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externalLinks/externalLink3.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drawings/drawing1.xml" ContentType="application/vnd.openxmlformats-officedocument.drawing+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threadedComments/threadedComment2.xml" ContentType="application/vnd.ms-excel.threadedcomments+xml"/>
  <Override PartName="/xl/comments3.xml" ContentType="application/vnd.openxmlformats-officedocument.spreadsheetml.comments+xml"/>
  <Override PartName="/xl/threadedComments/threadedComment3.xml" ContentType="application/vnd.ms-excel.threadedcomments+xml"/>
  <Override PartName="/xl/comments4.xml" ContentType="application/vnd.openxmlformats-officedocument.spreadsheetml.comments+xml"/>
  <Override PartName="/xl/threadedComments/threadedComment4.xml" ContentType="application/vnd.ms-excel.threadedcomments+xml"/>
  <Override PartName="/xl/comments5.xml" ContentType="application/vnd.openxmlformats-officedocument.spreadsheetml.comments+xml"/>
  <Override PartName="/xl/threadedComments/threadedComment5.xml" ContentType="application/vnd.ms-excel.threadedcomments+xml"/>
  <Override PartName="/xl/comments6.xml" ContentType="application/vnd.openxmlformats-officedocument.spreadsheetml.comments+xml"/>
  <Override PartName="/xl/threadedComments/threadedComment6.xml" ContentType="application/vnd.ms-excel.threadedcomments+xml"/>
  <Override PartName="/xl/persons/person.xml" ContentType="application/vnd.ms-excel.person+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codeName="ThisWorkbook"/>
  <mc:AlternateContent xmlns:mc="http://schemas.openxmlformats.org/markup-compatibility/2006">
    <mc:Choice Requires="x15">
      <x15ac:absPath xmlns:x15ac="http://schemas.microsoft.com/office/spreadsheetml/2010/11/ac" url="C:\Users\westkj\Documents\IESA-Opt-Dev_20260113\data\"/>
    </mc:Choice>
  </mc:AlternateContent>
  <xr:revisionPtr revIDLastSave="0" documentId="13_ncr:1_{61A2E76C-189D-4CB0-AF87-09BD96ED6F15}" xr6:coauthVersionLast="47" xr6:coauthVersionMax="47" xr10:uidLastSave="{00000000-0000-0000-0000-000000000000}"/>
  <bookViews>
    <workbookView xWindow="-110" yWindow="-110" windowWidth="19420" windowHeight="11500" tabRatio="618" activeTab="4" xr2:uid="{00000000-000D-0000-FFFF-FFFF00000000}"/>
  </bookViews>
  <sheets>
    <sheet name="IESA-Opt database" sheetId="21" r:id="rId1"/>
    <sheet name="Data Sources" sheetId="22" r:id="rId2"/>
    <sheet name="Activities" sheetId="1" r:id="rId3"/>
    <sheet name="Technologies" sheetId="3" r:id="rId4"/>
    <sheet name="EnergyBalance" sheetId="24" r:id="rId5"/>
    <sheet name="Infrastructure" sheetId="20" r:id="rId6"/>
    <sheet name="EffLearning" sheetId="14" r:id="rId7"/>
    <sheet name="HourlyProfiles" sheetId="4" r:id="rId8"/>
    <sheet name="Feedstocks" sheetId="27" r:id="rId9"/>
    <sheet name="Retrofitting" sheetId="13" r:id="rId10"/>
    <sheet name="PriceProfiles" sheetId="25" r:id="rId11"/>
    <sheet name="NodeParameters" sheetId="26" r:id="rId12"/>
    <sheet name="Parameters" sheetId="17" r:id="rId13"/>
    <sheet name="Types" sheetId="10" r:id="rId14"/>
    <sheet name="Ranges" sheetId="15" r:id="rId15"/>
    <sheet name="ActGrouping" sheetId="18" r:id="rId16"/>
    <sheet name="Notes" sheetId="28" r:id="rId17"/>
  </sheets>
  <externalReferences>
    <externalReference r:id="rId18"/>
    <externalReference r:id="rId19"/>
    <externalReference r:id="rId20"/>
  </externalReferences>
  <definedNames>
    <definedName name="_xlnm._FilterDatabase" localSheetId="4" hidden="1">EnergyBalance!$A$3:$MD$507</definedName>
    <definedName name="_xlnm._FilterDatabase" localSheetId="3" hidden="1">Technologies!$A$6:$DS$507</definedName>
    <definedName name="BE_shifting">Ranges!$D$4:$D$6</definedName>
    <definedName name="DR_shifting">Ranges!$E$4:$E$6</definedName>
    <definedName name="none">Ranges!$C$4:$C$6</definedName>
    <definedName name="ST_storage">Ranges!$F$5:$F$7</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U5" i="26" l="1"/>
  <c r="D5" i="26"/>
  <c r="E5" i="26" s="1"/>
  <c r="F5" i="26" s="1"/>
  <c r="G5" i="26" s="1"/>
  <c r="CH401" i="3" l="1"/>
  <c r="CH55" i="3"/>
  <c r="CG55" i="3"/>
  <c r="CF55" i="3"/>
  <c r="I72" i="1" l="1"/>
  <c r="I71" i="1"/>
  <c r="I70" i="1"/>
  <c r="CH237" i="3" l="1"/>
  <c r="CH419" i="3"/>
  <c r="GG439" i="24" l="1"/>
  <c r="GG440" i="24"/>
  <c r="GG441" i="24"/>
  <c r="GG442" i="24"/>
  <c r="GG443" i="24"/>
  <c r="GG444" i="24"/>
  <c r="GG445" i="24"/>
  <c r="GG446" i="24"/>
  <c r="GG447" i="24"/>
  <c r="GG448" i="24"/>
  <c r="GG449" i="24"/>
  <c r="GG450" i="24"/>
  <c r="GG451" i="24"/>
  <c r="GG452" i="24"/>
  <c r="GG453" i="24"/>
  <c r="GG454" i="24"/>
  <c r="GG455" i="24"/>
  <c r="GG456" i="24"/>
  <c r="GG457" i="24"/>
  <c r="GG458" i="24"/>
  <c r="GG459" i="24"/>
  <c r="GG460" i="24"/>
  <c r="DU450" i="24"/>
  <c r="DH450" i="24"/>
  <c r="CH457" i="24"/>
  <c r="CG457" i="24"/>
  <c r="CH453" i="24"/>
  <c r="CH451" i="24"/>
  <c r="CI445" i="24"/>
  <c r="CK457" i="24" s="1"/>
  <c r="CH445" i="24"/>
  <c r="CG445" i="24"/>
  <c r="CD4" i="24"/>
  <c r="CE4" i="24"/>
  <c r="CF4" i="24"/>
  <c r="CG4" i="24"/>
  <c r="CH4" i="24"/>
  <c r="CI4" i="24"/>
  <c r="CJ4" i="24"/>
  <c r="CK4" i="24"/>
  <c r="CL4" i="24"/>
  <c r="CM4" i="24"/>
  <c r="CN4" i="24"/>
  <c r="CD5" i="24"/>
  <c r="CE5" i="24"/>
  <c r="CF5" i="24"/>
  <c r="CG5" i="24"/>
  <c r="CH5" i="24"/>
  <c r="CI5" i="24"/>
  <c r="CJ5" i="24"/>
  <c r="CK5" i="24"/>
  <c r="CL5" i="24"/>
  <c r="CM5" i="24"/>
  <c r="CN5" i="24"/>
  <c r="CD6" i="24"/>
  <c r="CE6" i="24"/>
  <c r="CF6" i="24"/>
  <c r="CG6" i="24"/>
  <c r="CH6" i="24"/>
  <c r="CI6" i="24"/>
  <c r="CJ6" i="24"/>
  <c r="CK6" i="24"/>
  <c r="CL6" i="24"/>
  <c r="CM6" i="24"/>
  <c r="CN6" i="24"/>
  <c r="B439" i="24"/>
  <c r="C439" i="24"/>
  <c r="D439" i="24"/>
  <c r="E439" i="24"/>
  <c r="N439" i="24" s="1"/>
  <c r="GD439" i="24" s="1"/>
  <c r="F439" i="24"/>
  <c r="B440" i="24"/>
  <c r="C440" i="24"/>
  <c r="D440" i="24"/>
  <c r="E440" i="24"/>
  <c r="N440" i="24" s="1"/>
  <c r="F440" i="24"/>
  <c r="B441" i="24"/>
  <c r="C441" i="24"/>
  <c r="D441" i="24"/>
  <c r="E441" i="24"/>
  <c r="N441" i="24" s="1"/>
  <c r="F441" i="24"/>
  <c r="B442" i="24"/>
  <c r="C442" i="24"/>
  <c r="D442" i="24"/>
  <c r="E442" i="24"/>
  <c r="N442" i="24" s="1"/>
  <c r="F442" i="24"/>
  <c r="B443" i="24"/>
  <c r="C443" i="24"/>
  <c r="D443" i="24"/>
  <c r="E443" i="24"/>
  <c r="N443" i="24" s="1"/>
  <c r="F443" i="24"/>
  <c r="B444" i="24"/>
  <c r="C444" i="24"/>
  <c r="D444" i="24"/>
  <c r="E444" i="24"/>
  <c r="N444" i="24" s="1"/>
  <c r="GC444" i="24" s="1"/>
  <c r="F444" i="24"/>
  <c r="B445" i="24"/>
  <c r="C445" i="24"/>
  <c r="D445" i="24"/>
  <c r="E445" i="24"/>
  <c r="N445" i="24" s="1"/>
  <c r="F445" i="24"/>
  <c r="B446" i="24"/>
  <c r="C446" i="24"/>
  <c r="D446" i="24"/>
  <c r="E446" i="24"/>
  <c r="N446" i="24" s="1"/>
  <c r="GC446" i="24" s="1"/>
  <c r="F446" i="24"/>
  <c r="B447" i="24"/>
  <c r="C447" i="24"/>
  <c r="D447" i="24"/>
  <c r="E447" i="24"/>
  <c r="N447" i="24" s="1"/>
  <c r="GC447" i="24" s="1"/>
  <c r="F447" i="24"/>
  <c r="B448" i="24"/>
  <c r="C448" i="24"/>
  <c r="D448" i="24"/>
  <c r="E448" i="24"/>
  <c r="N448" i="24" s="1"/>
  <c r="F448" i="24"/>
  <c r="B449" i="24"/>
  <c r="C449" i="24"/>
  <c r="D449" i="24"/>
  <c r="E449" i="24"/>
  <c r="N449" i="24" s="1"/>
  <c r="F449" i="24"/>
  <c r="B450" i="24"/>
  <c r="C450" i="24"/>
  <c r="D450" i="24"/>
  <c r="E450" i="24"/>
  <c r="N450" i="24" s="1"/>
  <c r="F450" i="24"/>
  <c r="B451" i="24"/>
  <c r="C451" i="24"/>
  <c r="D451" i="24"/>
  <c r="E451" i="24"/>
  <c r="N451" i="24" s="1"/>
  <c r="F451" i="24"/>
  <c r="B452" i="24"/>
  <c r="C452" i="24"/>
  <c r="D452" i="24"/>
  <c r="E452" i="24"/>
  <c r="N452" i="24" s="1"/>
  <c r="F452" i="24"/>
  <c r="B453" i="24"/>
  <c r="C453" i="24"/>
  <c r="D453" i="24"/>
  <c r="E453" i="24"/>
  <c r="N453" i="24" s="1"/>
  <c r="F453" i="24"/>
  <c r="B454" i="24"/>
  <c r="C454" i="24"/>
  <c r="D454" i="24"/>
  <c r="E454" i="24"/>
  <c r="N454" i="24" s="1"/>
  <c r="F454" i="24"/>
  <c r="B455" i="24"/>
  <c r="C455" i="24"/>
  <c r="D455" i="24"/>
  <c r="E455" i="24"/>
  <c r="N455" i="24" s="1"/>
  <c r="F455" i="24"/>
  <c r="B456" i="24"/>
  <c r="C456" i="24"/>
  <c r="D456" i="24"/>
  <c r="E456" i="24"/>
  <c r="N456" i="24" s="1"/>
  <c r="F456" i="24"/>
  <c r="B457" i="24"/>
  <c r="C457" i="24"/>
  <c r="D457" i="24"/>
  <c r="E457" i="24"/>
  <c r="N457" i="24" s="1"/>
  <c r="F457" i="24"/>
  <c r="B458" i="24"/>
  <c r="C458" i="24"/>
  <c r="D458" i="24"/>
  <c r="E458" i="24"/>
  <c r="N458" i="24" s="1"/>
  <c r="F458" i="24"/>
  <c r="B459" i="24"/>
  <c r="C459" i="24"/>
  <c r="D459" i="24"/>
  <c r="E459" i="24"/>
  <c r="N459" i="24" s="1"/>
  <c r="F459" i="24"/>
  <c r="B460" i="24"/>
  <c r="C460" i="24"/>
  <c r="D460" i="24"/>
  <c r="E460" i="24"/>
  <c r="N460" i="24" s="1"/>
  <c r="GC460" i="24" s="1"/>
  <c r="F460" i="24"/>
  <c r="CH460" i="3"/>
  <c r="CG460" i="3"/>
  <c r="CF460" i="3"/>
  <c r="CE460" i="3"/>
  <c r="CD460" i="3"/>
  <c r="CC460" i="3"/>
  <c r="CB460" i="3"/>
  <c r="AD460" i="3"/>
  <c r="AC460" i="3"/>
  <c r="AB460" i="3"/>
  <c r="AA460" i="3"/>
  <c r="Z460" i="3"/>
  <c r="Y460" i="3"/>
  <c r="X460" i="3"/>
  <c r="CH459" i="3"/>
  <c r="CG459" i="3"/>
  <c r="CF459" i="3"/>
  <c r="CE459" i="3"/>
  <c r="CD459" i="3"/>
  <c r="CC459" i="3"/>
  <c r="CB459" i="3"/>
  <c r="CH458" i="3"/>
  <c r="CG458" i="3"/>
  <c r="CF458" i="3"/>
  <c r="CE458" i="3"/>
  <c r="CD458" i="3"/>
  <c r="CC458" i="3"/>
  <c r="CB458" i="3"/>
  <c r="V458" i="3"/>
  <c r="T458" i="3"/>
  <c r="S458" i="3"/>
  <c r="R458" i="3"/>
  <c r="O458" i="3"/>
  <c r="W458" i="3" s="1"/>
  <c r="N458" i="3"/>
  <c r="M458" i="3"/>
  <c r="U458" i="3" s="1"/>
  <c r="L458" i="3"/>
  <c r="K458" i="3"/>
  <c r="J458" i="3"/>
  <c r="I458" i="3"/>
  <c r="Q458" i="3" s="1"/>
  <c r="CH457" i="3"/>
  <c r="CG457" i="3"/>
  <c r="CF457" i="3"/>
  <c r="CE457" i="3"/>
  <c r="CD457" i="3"/>
  <c r="CC457" i="3"/>
  <c r="CB457" i="3"/>
  <c r="N457" i="3"/>
  <c r="V457" i="3" s="1"/>
  <c r="M457" i="3"/>
  <c r="U457" i="3" s="1"/>
  <c r="CH456" i="3"/>
  <c r="CG456" i="3"/>
  <c r="CF456" i="3"/>
  <c r="CE456" i="3"/>
  <c r="CD456" i="3"/>
  <c r="AH456" i="3"/>
  <c r="AG456" i="3"/>
  <c r="CH455" i="3"/>
  <c r="CD455" i="3"/>
  <c r="W455" i="3"/>
  <c r="V455" i="3"/>
  <c r="U455" i="3"/>
  <c r="T455" i="3"/>
  <c r="S455" i="3"/>
  <c r="R455" i="3"/>
  <c r="Q455" i="3"/>
  <c r="O455" i="3"/>
  <c r="N455" i="3"/>
  <c r="M455" i="3"/>
  <c r="L455" i="3"/>
  <c r="K455" i="3"/>
  <c r="J455" i="3"/>
  <c r="I455" i="3"/>
  <c r="CH454" i="3"/>
  <c r="CG454" i="3"/>
  <c r="CF454" i="3"/>
  <c r="CE454" i="3"/>
  <c r="CD454" i="3"/>
  <c r="T454" i="3"/>
  <c r="T456" i="3" s="1"/>
  <c r="R454" i="3"/>
  <c r="R456" i="3" s="1"/>
  <c r="J454" i="3"/>
  <c r="J456" i="3" s="1"/>
  <c r="CH453" i="3"/>
  <c r="CG453" i="3"/>
  <c r="CF453" i="3"/>
  <c r="CE453" i="3"/>
  <c r="CD453" i="3"/>
  <c r="W453" i="3"/>
  <c r="W454" i="3" s="1"/>
  <c r="W456" i="3" s="1"/>
  <c r="V453" i="3"/>
  <c r="V454" i="3" s="1"/>
  <c r="V456" i="3" s="1"/>
  <c r="U453" i="3"/>
  <c r="U454" i="3" s="1"/>
  <c r="U456" i="3" s="1"/>
  <c r="T453" i="3"/>
  <c r="S453" i="3"/>
  <c r="S454" i="3" s="1"/>
  <c r="S456" i="3" s="1"/>
  <c r="R453" i="3"/>
  <c r="Q453" i="3"/>
  <c r="Q454" i="3" s="1"/>
  <c r="Q456" i="3" s="1"/>
  <c r="O453" i="3"/>
  <c r="O454" i="3" s="1"/>
  <c r="O456" i="3" s="1"/>
  <c r="N453" i="3"/>
  <c r="N454" i="3" s="1"/>
  <c r="N456" i="3" s="1"/>
  <c r="M453" i="3"/>
  <c r="M454" i="3" s="1"/>
  <c r="M456" i="3" s="1"/>
  <c r="L453" i="3"/>
  <c r="L454" i="3" s="1"/>
  <c r="L456" i="3" s="1"/>
  <c r="K453" i="3"/>
  <c r="K454" i="3" s="1"/>
  <c r="K456" i="3" s="1"/>
  <c r="J453" i="3"/>
  <c r="I453" i="3"/>
  <c r="I454" i="3" s="1"/>
  <c r="I456" i="3" s="1"/>
  <c r="O452" i="3"/>
  <c r="W452" i="3" s="1"/>
  <c r="N452" i="3"/>
  <c r="V452" i="3" s="1"/>
  <c r="M452" i="3"/>
  <c r="U452" i="3" s="1"/>
  <c r="L452" i="3"/>
  <c r="T452" i="3" s="1"/>
  <c r="K452" i="3"/>
  <c r="S452" i="3" s="1"/>
  <c r="J452" i="3"/>
  <c r="R452" i="3" s="1"/>
  <c r="I452" i="3"/>
  <c r="Q452" i="3" s="1"/>
  <c r="AD451" i="3"/>
  <c r="AC451" i="3"/>
  <c r="AB451" i="3"/>
  <c r="AA451" i="3"/>
  <c r="Z451" i="3"/>
  <c r="Y451" i="3"/>
  <c r="X451" i="3"/>
  <c r="AD450" i="3"/>
  <c r="AC450" i="3"/>
  <c r="AB450" i="3"/>
  <c r="AA450" i="3"/>
  <c r="Z450" i="3"/>
  <c r="Y450" i="3"/>
  <c r="X450" i="3"/>
  <c r="BN449" i="3"/>
  <c r="AD449" i="3"/>
  <c r="AC449" i="3"/>
  <c r="AB449" i="3"/>
  <c r="AA449" i="3"/>
  <c r="Z449" i="3"/>
  <c r="Y449" i="3"/>
  <c r="X449" i="3"/>
  <c r="AD448" i="3"/>
  <c r="AC448" i="3"/>
  <c r="AB448" i="3"/>
  <c r="AA448" i="3"/>
  <c r="Z448" i="3"/>
  <c r="Y448" i="3"/>
  <c r="X448" i="3"/>
  <c r="CH447" i="3"/>
  <c r="CG447" i="3"/>
  <c r="CF447" i="3"/>
  <c r="CE447" i="3"/>
  <c r="CD447" i="3"/>
  <c r="CC447" i="3"/>
  <c r="I447" i="3"/>
  <c r="Q447" i="3" s="1"/>
  <c r="CH446" i="3"/>
  <c r="CD446" i="3"/>
  <c r="CG446" i="3" s="1"/>
  <c r="CC446" i="3"/>
  <c r="N446" i="3"/>
  <c r="V446" i="3" s="1"/>
  <c r="M446" i="3"/>
  <c r="U446" i="3" s="1"/>
  <c r="L446" i="3"/>
  <c r="T446" i="3" s="1"/>
  <c r="V445" i="3"/>
  <c r="O445" i="3"/>
  <c r="O457" i="3" s="1"/>
  <c r="W457" i="3" s="1"/>
  <c r="N445" i="3"/>
  <c r="N447" i="3" s="1"/>
  <c r="V447" i="3" s="1"/>
  <c r="M445" i="3"/>
  <c r="U445" i="3" s="1"/>
  <c r="L445" i="3"/>
  <c r="T445" i="3" s="1"/>
  <c r="K445" i="3"/>
  <c r="K446" i="3" s="1"/>
  <c r="S446" i="3" s="1"/>
  <c r="J445" i="3"/>
  <c r="J446" i="3" s="1"/>
  <c r="R446" i="3" s="1"/>
  <c r="I445" i="3"/>
  <c r="I446" i="3" s="1"/>
  <c r="Q446" i="3" s="1"/>
  <c r="CH443" i="3"/>
  <c r="CH452" i="3" s="1"/>
  <c r="CG443" i="3"/>
  <c r="CG452" i="3" s="1"/>
  <c r="CF443" i="3"/>
  <c r="CF452" i="3" s="1"/>
  <c r="CE443" i="3"/>
  <c r="CE452" i="3" s="1"/>
  <c r="CD443" i="3"/>
  <c r="CD452" i="3" s="1"/>
  <c r="CC443" i="3"/>
  <c r="CB443" i="3"/>
  <c r="AD443" i="3"/>
  <c r="AD444" i="3" s="1"/>
  <c r="AC443" i="3"/>
  <c r="AC444" i="3" s="1"/>
  <c r="AB443" i="3"/>
  <c r="AB444" i="3" s="1"/>
  <c r="AA443" i="3"/>
  <c r="AA444" i="3" s="1"/>
  <c r="Z443" i="3"/>
  <c r="Z444" i="3" s="1"/>
  <c r="Y443" i="3"/>
  <c r="Y444" i="3" s="1"/>
  <c r="X443" i="3"/>
  <c r="X444" i="3" s="1"/>
  <c r="CC442" i="3"/>
  <c r="CD442" i="3" s="1"/>
  <c r="CE442" i="3" s="1"/>
  <c r="CF442" i="3" s="1"/>
  <c r="CG442" i="3" s="1"/>
  <c r="CH442" i="3" s="1"/>
  <c r="I442" i="3"/>
  <c r="Q442" i="3" s="1"/>
  <c r="BU440" i="3"/>
  <c r="AD440" i="3"/>
  <c r="AD439" i="3" s="1"/>
  <c r="AC440" i="3"/>
  <c r="AC439" i="3" s="1"/>
  <c r="AB440" i="3"/>
  <c r="AB439" i="3" s="1"/>
  <c r="AA440" i="3"/>
  <c r="AA439" i="3" s="1"/>
  <c r="Z440" i="3"/>
  <c r="Z439" i="3" s="1"/>
  <c r="Y440" i="3"/>
  <c r="Y439" i="3" s="1"/>
  <c r="X440" i="3"/>
  <c r="X439" i="3" s="1"/>
  <c r="BU439" i="3"/>
  <c r="D75" i="1"/>
  <c r="E75" i="1" s="1"/>
  <c r="F75" i="1" s="1"/>
  <c r="G75" i="1" s="1"/>
  <c r="H75" i="1" s="1"/>
  <c r="I75" i="1" s="1"/>
  <c r="E74" i="1"/>
  <c r="F74" i="1" s="1"/>
  <c r="G74" i="1" s="1"/>
  <c r="H74" i="1" s="1"/>
  <c r="I74" i="1" s="1"/>
  <c r="T5" i="26"/>
  <c r="X6" i="26"/>
  <c r="GC443" i="24" l="1"/>
  <c r="W445" i="3"/>
  <c r="GC441" i="24"/>
  <c r="J442" i="3"/>
  <c r="R442" i="3" s="1"/>
  <c r="M447" i="3"/>
  <c r="U447" i="3" s="1"/>
  <c r="GC449" i="24"/>
  <c r="O447" i="3"/>
  <c r="W447" i="3" s="1"/>
  <c r="GC448" i="24"/>
  <c r="CF455" i="3"/>
  <c r="CG455" i="3" s="1"/>
  <c r="GF448" i="24"/>
  <c r="GC439" i="24"/>
  <c r="GE448" i="24"/>
  <c r="GD448" i="24"/>
  <c r="GF441" i="24"/>
  <c r="GF460" i="24"/>
  <c r="GF444" i="24"/>
  <c r="GE441" i="24"/>
  <c r="GE460" i="24"/>
  <c r="GF447" i="24"/>
  <c r="GE444" i="24"/>
  <c r="GD441" i="24"/>
  <c r="GD460" i="24"/>
  <c r="GE447" i="24"/>
  <c r="GD444" i="24"/>
  <c r="GD447" i="24"/>
  <c r="GF443" i="24"/>
  <c r="GF446" i="24"/>
  <c r="GE443" i="24"/>
  <c r="GF449" i="24"/>
  <c r="GE446" i="24"/>
  <c r="GD443" i="24"/>
  <c r="GE449" i="24"/>
  <c r="GD446" i="24"/>
  <c r="GD449" i="24"/>
  <c r="GF439" i="24"/>
  <c r="GE439" i="24"/>
  <c r="CI457" i="24"/>
  <c r="J447" i="3"/>
  <c r="R447" i="3" s="1"/>
  <c r="O446" i="3"/>
  <c r="W446" i="3" s="1"/>
  <c r="K447" i="3"/>
  <c r="S447" i="3" s="1"/>
  <c r="I457" i="3"/>
  <c r="Q457" i="3" s="1"/>
  <c r="J457" i="3"/>
  <c r="R457" i="3" s="1"/>
  <c r="K457" i="3"/>
  <c r="S457" i="3" s="1"/>
  <c r="L447" i="3"/>
  <c r="T447" i="3" s="1"/>
  <c r="Q445" i="3"/>
  <c r="L457" i="3"/>
  <c r="T457" i="3" s="1"/>
  <c r="R445" i="3"/>
  <c r="S445" i="3"/>
  <c r="CE455" i="3"/>
  <c r="K442" i="3"/>
  <c r="CE446" i="3"/>
  <c r="CF446" i="3"/>
  <c r="V5" i="26"/>
  <c r="W5" i="26" s="1"/>
  <c r="S442" i="3" l="1"/>
  <c r="L442" i="3"/>
  <c r="Y429" i="3"/>
  <c r="Z429" i="3"/>
  <c r="AA429" i="3"/>
  <c r="AB429" i="3"/>
  <c r="AC429" i="3"/>
  <c r="AD429" i="3"/>
  <c r="X429" i="3"/>
  <c r="CG429" i="3"/>
  <c r="CE429" i="3"/>
  <c r="CC429" i="3"/>
  <c r="CK265" i="3"/>
  <c r="CL265" i="3"/>
  <c r="CM265" i="3"/>
  <c r="CN265" i="3"/>
  <c r="CO265" i="3"/>
  <c r="CJ265" i="3"/>
  <c r="CP265" i="3"/>
  <c r="CR265" i="3" s="1"/>
  <c r="J369" i="3"/>
  <c r="K369" i="3"/>
  <c r="L369" i="3"/>
  <c r="M369" i="3"/>
  <c r="N369" i="3"/>
  <c r="O369" i="3"/>
  <c r="I369" i="3"/>
  <c r="EJ369" i="24"/>
  <c r="GG384" i="24"/>
  <c r="FI6" i="24"/>
  <c r="FI5" i="24"/>
  <c r="FI4" i="24"/>
  <c r="F429" i="24"/>
  <c r="E429" i="24"/>
  <c r="D429" i="24"/>
  <c r="C429" i="24"/>
  <c r="GF429" i="24" s="1"/>
  <c r="B429" i="24"/>
  <c r="BU429" i="3"/>
  <c r="F384" i="24"/>
  <c r="E384" i="24"/>
  <c r="D384" i="24"/>
  <c r="C384" i="24"/>
  <c r="B384" i="24"/>
  <c r="CG424" i="3"/>
  <c r="CE424" i="3"/>
  <c r="CC424" i="3"/>
  <c r="H67" i="27"/>
  <c r="H20" i="27"/>
  <c r="G67" i="27"/>
  <c r="F67" i="27"/>
  <c r="E67" i="27"/>
  <c r="A67" i="27"/>
  <c r="A66" i="27"/>
  <c r="A65" i="27"/>
  <c r="B67" i="27"/>
  <c r="AG95" i="24"/>
  <c r="AF95" i="24"/>
  <c r="B95" i="24"/>
  <c r="C95" i="24"/>
  <c r="D95" i="24"/>
  <c r="E95" i="24"/>
  <c r="N95" i="24" s="1"/>
  <c r="F95" i="24"/>
  <c r="M442" i="3" l="1"/>
  <c r="T442" i="3"/>
  <c r="CQ265" i="3"/>
  <c r="CV265" i="3"/>
  <c r="CU265" i="3"/>
  <c r="CT265" i="3"/>
  <c r="CS265" i="3"/>
  <c r="GC429" i="24"/>
  <c r="GD429" i="24"/>
  <c r="GE429" i="24"/>
  <c r="CI236" i="3"/>
  <c r="F192" i="24"/>
  <c r="E192" i="24"/>
  <c r="D192" i="24"/>
  <c r="C192" i="24"/>
  <c r="B192" i="24"/>
  <c r="F120" i="24"/>
  <c r="E120" i="24"/>
  <c r="D120" i="24"/>
  <c r="C120" i="24"/>
  <c r="B120" i="24"/>
  <c r="B121" i="24"/>
  <c r="C121" i="24"/>
  <c r="D121" i="24"/>
  <c r="E121" i="24"/>
  <c r="N121" i="24" s="1"/>
  <c r="F121" i="24"/>
  <c r="N442" i="3" l="1"/>
  <c r="U442" i="3"/>
  <c r="CP236" i="3"/>
  <c r="CK236" i="3"/>
  <c r="CL236" i="3"/>
  <c r="CM236" i="3"/>
  <c r="CN236" i="3"/>
  <c r="CO236" i="3"/>
  <c r="CJ236" i="3"/>
  <c r="CQ236" i="3"/>
  <c r="CR236" i="3"/>
  <c r="CS236" i="3"/>
  <c r="CT236" i="3"/>
  <c r="CU236" i="3"/>
  <c r="CV236" i="3"/>
  <c r="CI198" i="3"/>
  <c r="O442" i="3" l="1"/>
  <c r="W442" i="3" s="1"/>
  <c r="V442" i="3"/>
  <c r="CI254" i="3"/>
  <c r="CI256" i="3"/>
  <c r="CI259" i="3"/>
  <c r="I93" i="24" l="1"/>
  <c r="EM102" i="24" l="1"/>
  <c r="EM101" i="24"/>
  <c r="EJ100" i="24"/>
  <c r="EE102" i="24"/>
  <c r="EA101" i="24"/>
  <c r="DX100" i="24"/>
  <c r="DQ100" i="24"/>
  <c r="DP100" i="24"/>
  <c r="DO100" i="24"/>
  <c r="DH100" i="24"/>
  <c r="H40" i="27" l="1"/>
  <c r="H41" i="27"/>
  <c r="H42" i="27"/>
  <c r="E75" i="13" l="1"/>
  <c r="D75" i="13"/>
  <c r="C75" i="13"/>
  <c r="E74" i="13"/>
  <c r="D74" i="13"/>
  <c r="C74" i="13"/>
  <c r="DR132" i="3"/>
  <c r="DQ132" i="3"/>
  <c r="DP132" i="3"/>
  <c r="DO132" i="3"/>
  <c r="DN132" i="3"/>
  <c r="DM132" i="3"/>
  <c r="DL132" i="3"/>
  <c r="DR131" i="3"/>
  <c r="DQ131" i="3"/>
  <c r="DP131" i="3"/>
  <c r="DO131" i="3"/>
  <c r="DN131" i="3"/>
  <c r="DM131" i="3"/>
  <c r="DL131" i="3"/>
  <c r="DR130" i="3"/>
  <c r="DQ130" i="3"/>
  <c r="DP130" i="3"/>
  <c r="DO130" i="3"/>
  <c r="DN130" i="3"/>
  <c r="DM130" i="3"/>
  <c r="DL130" i="3"/>
  <c r="DR129" i="3"/>
  <c r="DQ129" i="3"/>
  <c r="DP129" i="3"/>
  <c r="DO129" i="3"/>
  <c r="DN129" i="3"/>
  <c r="DM129" i="3"/>
  <c r="DL129" i="3"/>
  <c r="DR140" i="3"/>
  <c r="DQ140" i="3"/>
  <c r="DP140" i="3"/>
  <c r="DO140" i="3"/>
  <c r="DN140" i="3"/>
  <c r="DM140" i="3"/>
  <c r="DL140" i="3"/>
  <c r="CB416" i="3"/>
  <c r="DL193" i="3" l="1"/>
  <c r="F66" i="27"/>
  <c r="F65" i="27"/>
  <c r="F64" i="27"/>
  <c r="F63" i="27"/>
  <c r="F62" i="27"/>
  <c r="F60" i="27"/>
  <c r="Q147" i="1"/>
  <c r="G66" i="27"/>
  <c r="E66" i="27"/>
  <c r="B66" i="27"/>
  <c r="P146" i="1"/>
  <c r="P148" i="1" s="1"/>
  <c r="DO144" i="24" l="1"/>
  <c r="DH144" i="24"/>
  <c r="DE139" i="24"/>
  <c r="DD136" i="24"/>
  <c r="O140" i="3"/>
  <c r="W140" i="3" s="1"/>
  <c r="N140" i="3"/>
  <c r="V140" i="3" s="1"/>
  <c r="M140" i="3"/>
  <c r="U140" i="3" s="1"/>
  <c r="L140" i="3"/>
  <c r="T140" i="3" s="1"/>
  <c r="K140" i="3"/>
  <c r="S140" i="3" s="1"/>
  <c r="J140" i="3"/>
  <c r="R140" i="3" s="1"/>
  <c r="I140" i="3"/>
  <c r="Q140" i="3" s="1"/>
  <c r="GG98" i="24"/>
  <c r="GG99" i="24"/>
  <c r="GF96" i="24"/>
  <c r="GE96" i="24"/>
  <c r="GD96" i="24"/>
  <c r="GC96" i="24"/>
  <c r="ER96" i="24"/>
  <c r="DO96" i="24"/>
  <c r="DH96" i="24"/>
  <c r="I96" i="3"/>
  <c r="J96" i="3" s="1"/>
  <c r="DC143" i="24"/>
  <c r="B144" i="24"/>
  <c r="C144" i="24"/>
  <c r="D144" i="24"/>
  <c r="E144" i="24"/>
  <c r="N144" i="24" s="1"/>
  <c r="F144" i="24"/>
  <c r="DC138" i="24"/>
  <c r="DO137" i="24"/>
  <c r="DD137" i="24"/>
  <c r="J136" i="3"/>
  <c r="K136" i="3"/>
  <c r="L136" i="3"/>
  <c r="M136" i="3"/>
  <c r="N136" i="3"/>
  <c r="O136" i="3"/>
  <c r="I136" i="3"/>
  <c r="Q96" i="3" l="1"/>
  <c r="K96" i="3"/>
  <c r="R96" i="3"/>
  <c r="I138" i="3"/>
  <c r="J138" i="3" s="1"/>
  <c r="K138" i="3" s="1"/>
  <c r="L138" i="3" s="1"/>
  <c r="M138" i="3" s="1"/>
  <c r="N138" i="3" s="1"/>
  <c r="O138" i="3" s="1"/>
  <c r="EX134" i="24"/>
  <c r="EX133" i="24"/>
  <c r="L96" i="3" l="1"/>
  <c r="S96" i="3"/>
  <c r="EX125" i="24"/>
  <c r="EY125" i="24" s="1"/>
  <c r="EX124" i="24"/>
  <c r="EY124" i="24" l="1"/>
  <c r="P147" i="1" s="1"/>
  <c r="M96" i="3"/>
  <c r="T96" i="3"/>
  <c r="N96" i="3" l="1"/>
  <c r="U96" i="3"/>
  <c r="E65" i="27"/>
  <c r="G65" i="27"/>
  <c r="B64" i="27"/>
  <c r="B65" i="27"/>
  <c r="H65" i="27"/>
  <c r="DR94" i="3"/>
  <c r="DQ94" i="3"/>
  <c r="DP94" i="3"/>
  <c r="DO94" i="3"/>
  <c r="DN94" i="3"/>
  <c r="DM94" i="3"/>
  <c r="DL94" i="3"/>
  <c r="BU94" i="3"/>
  <c r="F94" i="24"/>
  <c r="E94" i="24"/>
  <c r="N94" i="24" s="1"/>
  <c r="D94" i="24"/>
  <c r="C94" i="24"/>
  <c r="B94" i="24"/>
  <c r="EC6" i="24"/>
  <c r="EC5" i="24"/>
  <c r="EC4" i="24"/>
  <c r="GG358" i="24"/>
  <c r="F358" i="24"/>
  <c r="E358" i="24"/>
  <c r="N358" i="24" s="1"/>
  <c r="D358" i="24"/>
  <c r="C358" i="24"/>
  <c r="B358" i="24"/>
  <c r="BU358" i="3"/>
  <c r="S125" i="1"/>
  <c r="O96" i="3" l="1"/>
  <c r="W96" i="3" s="1"/>
  <c r="V96" i="3"/>
  <c r="GC358" i="24"/>
  <c r="GD358" i="24"/>
  <c r="GE358" i="24"/>
  <c r="GF358" i="24"/>
  <c r="CE265" i="3" l="1"/>
  <c r="CF265" i="3"/>
  <c r="CG265" i="3"/>
  <c r="CH265" i="3"/>
  <c r="CD265" i="3"/>
  <c r="C67" i="13"/>
  <c r="D67" i="13"/>
  <c r="E67" i="13"/>
  <c r="BU366" i="3"/>
  <c r="W366" i="3"/>
  <c r="V366" i="3"/>
  <c r="U366" i="3"/>
  <c r="T366" i="3"/>
  <c r="S366" i="3"/>
  <c r="R366" i="3"/>
  <c r="Q366" i="3"/>
  <c r="BU365" i="3"/>
  <c r="W365" i="3"/>
  <c r="V365" i="3"/>
  <c r="U365" i="3"/>
  <c r="T365" i="3"/>
  <c r="S365" i="3"/>
  <c r="R365" i="3"/>
  <c r="Q365" i="3"/>
  <c r="CH428" i="3"/>
  <c r="CF428" i="3"/>
  <c r="CD428" i="3"/>
  <c r="CB428" i="3"/>
  <c r="CG427" i="3"/>
  <c r="CE427" i="3"/>
  <c r="CC427" i="3"/>
  <c r="CG425" i="3"/>
  <c r="CE425" i="3"/>
  <c r="CC425" i="3"/>
  <c r="CG423" i="3"/>
  <c r="CE423" i="3"/>
  <c r="CC423" i="3"/>
  <c r="CG422" i="3"/>
  <c r="CE422" i="3"/>
  <c r="CC422" i="3"/>
  <c r="CG421" i="3"/>
  <c r="CE421" i="3"/>
  <c r="CC421" i="3"/>
  <c r="CG418" i="3"/>
  <c r="CE418" i="3"/>
  <c r="CC418" i="3"/>
  <c r="X504" i="3"/>
  <c r="CE428" i="3" l="1"/>
  <c r="CC428" i="3"/>
  <c r="CG428" i="3"/>
  <c r="BN375" i="3"/>
  <c r="J204" i="3" l="1"/>
  <c r="K204" i="3"/>
  <c r="L204" i="3"/>
  <c r="M204" i="3"/>
  <c r="N204" i="3"/>
  <c r="O204" i="3"/>
  <c r="J205" i="3"/>
  <c r="K205" i="3"/>
  <c r="L205" i="3"/>
  <c r="M205" i="3"/>
  <c r="N205" i="3"/>
  <c r="O205" i="3"/>
  <c r="I205" i="3"/>
  <c r="I204" i="3"/>
  <c r="J199" i="3"/>
  <c r="R199" i="3" s="1"/>
  <c r="K199" i="3"/>
  <c r="S199" i="3" s="1"/>
  <c r="L199" i="3"/>
  <c r="T199" i="3" s="1"/>
  <c r="M199" i="3"/>
  <c r="U199" i="3" s="1"/>
  <c r="N199" i="3"/>
  <c r="V199" i="3" s="1"/>
  <c r="O199" i="3"/>
  <c r="W199" i="3" s="1"/>
  <c r="I199" i="3"/>
  <c r="Q199" i="3" s="1"/>
  <c r="J194" i="3"/>
  <c r="R194" i="3" s="1"/>
  <c r="K194" i="3"/>
  <c r="S194" i="3" s="1"/>
  <c r="L194" i="3"/>
  <c r="T194" i="3" s="1"/>
  <c r="M194" i="3"/>
  <c r="U194" i="3" s="1"/>
  <c r="N194" i="3"/>
  <c r="V194" i="3" s="1"/>
  <c r="O194" i="3"/>
  <c r="W194" i="3" s="1"/>
  <c r="J196" i="3"/>
  <c r="R196" i="3" s="1"/>
  <c r="K196" i="3"/>
  <c r="S196" i="3" s="1"/>
  <c r="L196" i="3"/>
  <c r="T196" i="3" s="1"/>
  <c r="M196" i="3"/>
  <c r="U196" i="3" s="1"/>
  <c r="N196" i="3"/>
  <c r="V196" i="3" s="1"/>
  <c r="O196" i="3"/>
  <c r="W196" i="3" s="1"/>
  <c r="J197" i="3"/>
  <c r="R197" i="3" s="1"/>
  <c r="K197" i="3"/>
  <c r="S197" i="3" s="1"/>
  <c r="L197" i="3"/>
  <c r="T197" i="3" s="1"/>
  <c r="M197" i="3"/>
  <c r="U197" i="3" s="1"/>
  <c r="N197" i="3"/>
  <c r="V197" i="3" s="1"/>
  <c r="O197" i="3"/>
  <c r="W197" i="3" s="1"/>
  <c r="I197" i="3"/>
  <c r="Q197" i="3" s="1"/>
  <c r="I196" i="3"/>
  <c r="Q196" i="3" s="1"/>
  <c r="I194" i="3"/>
  <c r="Q194" i="3" s="1"/>
  <c r="R193" i="3"/>
  <c r="S193" i="3"/>
  <c r="T193" i="3"/>
  <c r="U193" i="3"/>
  <c r="V193" i="3"/>
  <c r="W193" i="3"/>
  <c r="R195" i="3"/>
  <c r="S195" i="3"/>
  <c r="T195" i="3"/>
  <c r="U195" i="3"/>
  <c r="V195" i="3"/>
  <c r="W195" i="3"/>
  <c r="R198" i="3"/>
  <c r="S198" i="3"/>
  <c r="T198" i="3"/>
  <c r="U198" i="3"/>
  <c r="V198" i="3"/>
  <c r="W198" i="3"/>
  <c r="R200" i="3"/>
  <c r="S200" i="3"/>
  <c r="T200" i="3"/>
  <c r="U200" i="3"/>
  <c r="V200" i="3"/>
  <c r="W200" i="3"/>
  <c r="Q195" i="3"/>
  <c r="Q198" i="3"/>
  <c r="Q200" i="3"/>
  <c r="Q193" i="3"/>
  <c r="BU132" i="3" l="1"/>
  <c r="W132" i="3"/>
  <c r="V132" i="3"/>
  <c r="U132" i="3"/>
  <c r="T132" i="3"/>
  <c r="S132" i="3"/>
  <c r="R132" i="3"/>
  <c r="Q132" i="3"/>
  <c r="BU131" i="3"/>
  <c r="W131" i="3"/>
  <c r="V131" i="3"/>
  <c r="U131" i="3"/>
  <c r="T131" i="3"/>
  <c r="S131" i="3"/>
  <c r="R131" i="3"/>
  <c r="Q131" i="3"/>
  <c r="BU130" i="3"/>
  <c r="W130" i="3"/>
  <c r="V130" i="3"/>
  <c r="U130" i="3"/>
  <c r="T130" i="3"/>
  <c r="S130" i="3"/>
  <c r="R130" i="3"/>
  <c r="Q130" i="3"/>
  <c r="BU129" i="3"/>
  <c r="W129" i="3"/>
  <c r="V129" i="3"/>
  <c r="U129" i="3"/>
  <c r="T129" i="3"/>
  <c r="S129" i="3"/>
  <c r="R129" i="3"/>
  <c r="Q129" i="3"/>
  <c r="R134" i="3"/>
  <c r="S134" i="3"/>
  <c r="T134" i="3"/>
  <c r="U134" i="3"/>
  <c r="V134" i="3"/>
  <c r="W134" i="3"/>
  <c r="Q134" i="3"/>
  <c r="R133" i="3"/>
  <c r="S133" i="3"/>
  <c r="T133" i="3"/>
  <c r="U133" i="3"/>
  <c r="V133" i="3"/>
  <c r="W133" i="3"/>
  <c r="Q133" i="3"/>
  <c r="I371" i="3" l="1"/>
  <c r="J371" i="3" s="1"/>
  <c r="K371" i="3" s="1"/>
  <c r="L371" i="3" s="1"/>
  <c r="M371" i="3" s="1"/>
  <c r="N371" i="3" s="1"/>
  <c r="O371" i="3" s="1"/>
  <c r="O392" i="3"/>
  <c r="GG393" i="24"/>
  <c r="EJ393" i="24"/>
  <c r="DH393" i="24"/>
  <c r="G393" i="24"/>
  <c r="B393" i="24"/>
  <c r="C393" i="24"/>
  <c r="D393" i="24"/>
  <c r="E393" i="24"/>
  <c r="F393" i="24"/>
  <c r="I403" i="3"/>
  <c r="I404" i="3" s="1"/>
  <c r="BU393" i="3"/>
  <c r="I393" i="3"/>
  <c r="J393" i="3" s="1"/>
  <c r="R393" i="3" s="1"/>
  <c r="EM404" i="24"/>
  <c r="EM403" i="24"/>
  <c r="DO404" i="24"/>
  <c r="DO403" i="24"/>
  <c r="DH404" i="24"/>
  <c r="DH403" i="24"/>
  <c r="J403" i="3" l="1"/>
  <c r="K403" i="3" s="1"/>
  <c r="S403" i="3" s="1"/>
  <c r="S404" i="3" s="1"/>
  <c r="Q393" i="3"/>
  <c r="Q403" i="3"/>
  <c r="Q404" i="3" s="1"/>
  <c r="K393" i="3"/>
  <c r="L393" i="3" s="1"/>
  <c r="M393" i="3" s="1"/>
  <c r="J404" i="3" l="1"/>
  <c r="K404" i="3"/>
  <c r="R403" i="3"/>
  <c r="R404" i="3" s="1"/>
  <c r="L403" i="3"/>
  <c r="T403" i="3" s="1"/>
  <c r="T404" i="3" s="1"/>
  <c r="T393" i="3"/>
  <c r="S393" i="3"/>
  <c r="L404" i="3"/>
  <c r="M403" i="3"/>
  <c r="U403" i="3" s="1"/>
  <c r="U404" i="3" s="1"/>
  <c r="N393" i="3"/>
  <c r="U393" i="3"/>
  <c r="N403" i="3" l="1"/>
  <c r="V403" i="3" s="1"/>
  <c r="V404" i="3" s="1"/>
  <c r="M404" i="3"/>
  <c r="O393" i="3"/>
  <c r="W393" i="3" s="1"/>
  <c r="V393" i="3"/>
  <c r="O403" i="3"/>
  <c r="N404" i="3"/>
  <c r="O404" i="3" l="1"/>
  <c r="W403" i="3"/>
  <c r="W404" i="3" s="1"/>
  <c r="J97" i="3"/>
  <c r="R97" i="3" s="1"/>
  <c r="R99" i="3" s="1"/>
  <c r="K97" i="3"/>
  <c r="S97" i="3" s="1"/>
  <c r="S99" i="3" s="1"/>
  <c r="L97" i="3"/>
  <c r="T97" i="3" s="1"/>
  <c r="T99" i="3" s="1"/>
  <c r="M97" i="3"/>
  <c r="M99" i="3" s="1"/>
  <c r="N97" i="3"/>
  <c r="N99" i="3" s="1"/>
  <c r="O97" i="3"/>
  <c r="O99" i="3" s="1"/>
  <c r="I97" i="3"/>
  <c r="I99" i="3" s="1"/>
  <c r="F99" i="24"/>
  <c r="E99" i="24"/>
  <c r="D99" i="24"/>
  <c r="C99" i="24"/>
  <c r="B99" i="24"/>
  <c r="P99" i="3"/>
  <c r="X99" i="3"/>
  <c r="Y99" i="3"/>
  <c r="Z99" i="3"/>
  <c r="AA99" i="3"/>
  <c r="AB99" i="3"/>
  <c r="AC99" i="3"/>
  <c r="AD99" i="3"/>
  <c r="AE99" i="3"/>
  <c r="AF99" i="3"/>
  <c r="AG99" i="3"/>
  <c r="AH99" i="3"/>
  <c r="I111" i="3"/>
  <c r="I115" i="3"/>
  <c r="I117" i="3"/>
  <c r="I126" i="3"/>
  <c r="I135" i="3"/>
  <c r="I137" i="3"/>
  <c r="I322" i="3"/>
  <c r="I323" i="3" s="1"/>
  <c r="I359" i="3"/>
  <c r="I360" i="3"/>
  <c r="I361" i="3"/>
  <c r="I362" i="3"/>
  <c r="I363" i="3"/>
  <c r="I372" i="3"/>
  <c r="I364" i="3" s="1"/>
  <c r="I387" i="3"/>
  <c r="I388" i="3"/>
  <c r="I390" i="3"/>
  <c r="I391" i="3"/>
  <c r="I392" i="3"/>
  <c r="I144" i="3" l="1"/>
  <c r="Q144" i="3" s="1"/>
  <c r="I139" i="3"/>
  <c r="J139" i="3" s="1"/>
  <c r="K139" i="3" s="1"/>
  <c r="L139" i="3" s="1"/>
  <c r="M139" i="3" s="1"/>
  <c r="N139" i="3" s="1"/>
  <c r="O139" i="3" s="1"/>
  <c r="L99" i="3"/>
  <c r="K99" i="3"/>
  <c r="W97" i="3"/>
  <c r="W99" i="3" s="1"/>
  <c r="J99" i="3"/>
  <c r="V97" i="3"/>
  <c r="V99" i="3" s="1"/>
  <c r="U97" i="3"/>
  <c r="U99" i="3" s="1"/>
  <c r="Q97" i="3"/>
  <c r="Q99" i="3" s="1"/>
  <c r="GG93" i="24" l="1"/>
  <c r="AG83" i="24"/>
  <c r="AF83" i="24"/>
  <c r="AG82" i="24"/>
  <c r="AF82" i="24"/>
  <c r="H36" i="27"/>
  <c r="H35" i="27"/>
  <c r="H34" i="27"/>
  <c r="EM62" i="24"/>
  <c r="EM63" i="24"/>
  <c r="EM61" i="24"/>
  <c r="EJ83" i="24"/>
  <c r="EP83" i="24"/>
  <c r="DO83" i="24"/>
  <c r="DH83" i="24"/>
  <c r="EJ82" i="24"/>
  <c r="DO82" i="24"/>
  <c r="DT82" i="24"/>
  <c r="DH82" i="24"/>
  <c r="B408" i="24"/>
  <c r="C408" i="24"/>
  <c r="D408" i="24"/>
  <c r="E408" i="24"/>
  <c r="F408" i="24"/>
  <c r="CF408" i="3"/>
  <c r="CH408" i="3"/>
  <c r="CC408" i="3"/>
  <c r="Y68" i="3"/>
  <c r="Z68" i="3"/>
  <c r="AA68" i="3"/>
  <c r="AB68" i="3"/>
  <c r="AC68" i="3"/>
  <c r="AD68" i="3"/>
  <c r="X68" i="3"/>
  <c r="Q68" i="3"/>
  <c r="R68" i="3"/>
  <c r="S68" i="3"/>
  <c r="T68" i="3"/>
  <c r="U68" i="3"/>
  <c r="V68" i="3"/>
  <c r="W68" i="3"/>
  <c r="I68" i="3"/>
  <c r="DH68" i="24"/>
  <c r="DZ68" i="24"/>
  <c r="H37" i="27" s="1"/>
  <c r="J68" i="3"/>
  <c r="K68" i="3" s="1"/>
  <c r="L68" i="3" s="1"/>
  <c r="M68" i="3" s="1"/>
  <c r="N68" i="3" s="1"/>
  <c r="O68" i="3" s="1"/>
  <c r="EP82" i="24" l="1"/>
  <c r="H31" i="27"/>
  <c r="H33" i="27" s="1"/>
  <c r="DT61" i="24"/>
  <c r="O59" i="3"/>
  <c r="N59" i="3"/>
  <c r="M59" i="3"/>
  <c r="L59" i="3"/>
  <c r="K59" i="3"/>
  <c r="J59" i="3"/>
  <c r="I59" i="3"/>
  <c r="W56" i="3"/>
  <c r="V56" i="3"/>
  <c r="U56" i="3"/>
  <c r="T56" i="3"/>
  <c r="S56" i="3"/>
  <c r="R56" i="3"/>
  <c r="Q56" i="3"/>
  <c r="W59" i="3"/>
  <c r="V59" i="3"/>
  <c r="U59" i="3"/>
  <c r="T59" i="3"/>
  <c r="S59" i="3"/>
  <c r="R59" i="3"/>
  <c r="Q59" i="3"/>
  <c r="H21" i="27" l="1"/>
  <c r="H30" i="27"/>
  <c r="H32" i="27" s="1"/>
  <c r="O390" i="3"/>
  <c r="M390" i="3"/>
  <c r="Q83" i="3"/>
  <c r="Q57" i="3"/>
  <c r="S82" i="3"/>
  <c r="S61" i="3"/>
  <c r="S62" i="3"/>
  <c r="S58" i="3"/>
  <c r="S63" i="3"/>
  <c r="S60" i="3"/>
  <c r="U82" i="3"/>
  <c r="U62" i="3"/>
  <c r="U60" i="3"/>
  <c r="U61" i="3"/>
  <c r="U58" i="3"/>
  <c r="U63" i="3"/>
  <c r="R57" i="3"/>
  <c r="R83" i="3"/>
  <c r="Q82" i="3"/>
  <c r="Q63" i="3"/>
  <c r="Q60" i="3"/>
  <c r="Q61" i="3"/>
  <c r="Q62" i="3"/>
  <c r="Q58" i="3"/>
  <c r="R82" i="3"/>
  <c r="R60" i="3"/>
  <c r="R63" i="3"/>
  <c r="R61" i="3"/>
  <c r="R58" i="3"/>
  <c r="R62" i="3"/>
  <c r="V62" i="3"/>
  <c r="V58" i="3"/>
  <c r="V60" i="3"/>
  <c r="V63" i="3"/>
  <c r="V61" i="3"/>
  <c r="V82" i="3"/>
  <c r="W82" i="3"/>
  <c r="W60" i="3"/>
  <c r="W62" i="3"/>
  <c r="W63" i="3"/>
  <c r="W61" i="3"/>
  <c r="W58" i="3"/>
  <c r="S83" i="3"/>
  <c r="S57" i="3"/>
  <c r="T82" i="3"/>
  <c r="T61" i="3"/>
  <c r="T58" i="3"/>
  <c r="T62" i="3"/>
  <c r="T63" i="3"/>
  <c r="T60" i="3"/>
  <c r="T57" i="3"/>
  <c r="T83" i="3"/>
  <c r="U57" i="3"/>
  <c r="U83" i="3"/>
  <c r="W57" i="3"/>
  <c r="W83" i="3"/>
  <c r="V57" i="3"/>
  <c r="V83" i="3"/>
  <c r="N390" i="3"/>
  <c r="K391" i="3"/>
  <c r="O391" i="3" s="1"/>
  <c r="AD391" i="3" s="1"/>
  <c r="AD392" i="3"/>
  <c r="AC392" i="3"/>
  <c r="AB392" i="3"/>
  <c r="AA392" i="3"/>
  <c r="Z392" i="3"/>
  <c r="Y392" i="3"/>
  <c r="W392" i="3"/>
  <c r="V392" i="3"/>
  <c r="U392" i="3"/>
  <c r="T392" i="3"/>
  <c r="S392" i="3"/>
  <c r="R392" i="3"/>
  <c r="X392" i="3"/>
  <c r="Q391" i="3"/>
  <c r="Q390" i="3"/>
  <c r="H22" i="27" l="1"/>
  <c r="H23" i="27" s="1"/>
  <c r="H24" i="27" s="1"/>
  <c r="H25" i="27" s="1"/>
  <c r="H26" i="27" s="1"/>
  <c r="H27" i="27" s="1"/>
  <c r="H28" i="27" s="1"/>
  <c r="H29" i="27" s="1"/>
  <c r="AD390" i="3"/>
  <c r="L390" i="3"/>
  <c r="Q392" i="3"/>
  <c r="X390" i="3"/>
  <c r="W391" i="3"/>
  <c r="X391" i="3"/>
  <c r="L391" i="3"/>
  <c r="T391" i="3" s="1"/>
  <c r="AA391" i="3" l="1"/>
  <c r="M391" i="3"/>
  <c r="N391" i="3" s="1"/>
  <c r="AC391" i="3" s="1"/>
  <c r="V391" i="3" l="1"/>
  <c r="AB391" i="3"/>
  <c r="U391" i="3"/>
  <c r="Z390" i="3"/>
  <c r="S391" i="3"/>
  <c r="Z391" i="3"/>
  <c r="N405" i="3" l="1"/>
  <c r="L405" i="3"/>
  <c r="J61" i="3" l="1"/>
  <c r="K61" i="3"/>
  <c r="L61" i="3"/>
  <c r="M61" i="3"/>
  <c r="N61" i="3"/>
  <c r="O61" i="3"/>
  <c r="I61" i="3"/>
  <c r="C37" i="1" l="1"/>
  <c r="B438" i="24" l="1"/>
  <c r="C438" i="24"/>
  <c r="D438" i="24"/>
  <c r="E438" i="24"/>
  <c r="F438" i="24"/>
  <c r="J62" i="3"/>
  <c r="J63" i="3" s="1"/>
  <c r="K62" i="3"/>
  <c r="K63" i="3" s="1"/>
  <c r="L62" i="3"/>
  <c r="L63" i="3" s="1"/>
  <c r="M62" i="3"/>
  <c r="M63" i="3" s="1"/>
  <c r="N62" i="3"/>
  <c r="N63" i="3" s="1"/>
  <c r="O62" i="3"/>
  <c r="O63" i="3" s="1"/>
  <c r="I62" i="3"/>
  <c r="I63" i="3" s="1"/>
  <c r="J60" i="3"/>
  <c r="K60" i="3"/>
  <c r="L60" i="3"/>
  <c r="M60" i="3"/>
  <c r="N60" i="3"/>
  <c r="O60" i="3"/>
  <c r="I60" i="3"/>
  <c r="AF63" i="24" l="1"/>
  <c r="AF62" i="24"/>
  <c r="AF61" i="24"/>
  <c r="AF60" i="24"/>
  <c r="AF59" i="24"/>
  <c r="AF58" i="24"/>
  <c r="AF57" i="24"/>
  <c r="AF56" i="24"/>
  <c r="AF55" i="24"/>
  <c r="AF54" i="24"/>
  <c r="AG55" i="24"/>
  <c r="AG56" i="24"/>
  <c r="AG57" i="24"/>
  <c r="AG58" i="24"/>
  <c r="AG59" i="24"/>
  <c r="AG60" i="24"/>
  <c r="AG61" i="24"/>
  <c r="AG62" i="24"/>
  <c r="AG63" i="24"/>
  <c r="AG54" i="24"/>
  <c r="EO93" i="24"/>
  <c r="B93" i="24"/>
  <c r="D93" i="24"/>
  <c r="E93" i="24"/>
  <c r="F93" i="24"/>
  <c r="DI304" i="24" l="1"/>
  <c r="B304" i="24"/>
  <c r="C304" i="24"/>
  <c r="D304" i="24"/>
  <c r="E304" i="24"/>
  <c r="N304" i="24" s="1"/>
  <c r="F304" i="24"/>
  <c r="DI297" i="24"/>
  <c r="B297" i="24"/>
  <c r="C297" i="24"/>
  <c r="D297" i="24"/>
  <c r="E297" i="24"/>
  <c r="N297" i="24" s="1"/>
  <c r="F297" i="24"/>
  <c r="DH320" i="24"/>
  <c r="DI284" i="24"/>
  <c r="DI273" i="24"/>
  <c r="BU320" i="3"/>
  <c r="AI320" i="3"/>
  <c r="BU304" i="3"/>
  <c r="AI304" i="3"/>
  <c r="BU297" i="3"/>
  <c r="AI297" i="3"/>
  <c r="BV236" i="3" l="1"/>
  <c r="BW236" i="3"/>
  <c r="BX236" i="3"/>
  <c r="BY236" i="3"/>
  <c r="BZ236" i="3"/>
  <c r="CA236" i="3"/>
  <c r="BU236" i="3"/>
  <c r="C29" i="1"/>
  <c r="C23" i="1" s="1"/>
  <c r="DL126" i="3" l="1"/>
  <c r="DM126" i="3"/>
  <c r="DN126" i="3"/>
  <c r="DO126" i="3"/>
  <c r="DP126" i="3"/>
  <c r="DQ126" i="3"/>
  <c r="DR126" i="3"/>
  <c r="DL127" i="3"/>
  <c r="DM127" i="3"/>
  <c r="DN127" i="3"/>
  <c r="DO127" i="3"/>
  <c r="DP127" i="3"/>
  <c r="DQ127" i="3"/>
  <c r="DR127" i="3"/>
  <c r="DL128" i="3"/>
  <c r="DM128" i="3"/>
  <c r="DN128" i="3"/>
  <c r="DO128" i="3"/>
  <c r="DP128" i="3"/>
  <c r="DQ128" i="3"/>
  <c r="DR128" i="3"/>
  <c r="DL133" i="3"/>
  <c r="DM133" i="3"/>
  <c r="DN133" i="3"/>
  <c r="DO133" i="3"/>
  <c r="DP133" i="3"/>
  <c r="DQ133" i="3"/>
  <c r="DR133" i="3"/>
  <c r="DL134" i="3"/>
  <c r="DM134" i="3"/>
  <c r="DN134" i="3"/>
  <c r="DO134" i="3"/>
  <c r="DP134" i="3"/>
  <c r="DQ134" i="3"/>
  <c r="DR134" i="3"/>
  <c r="DL135" i="3"/>
  <c r="DM135" i="3"/>
  <c r="DN135" i="3"/>
  <c r="DO135" i="3"/>
  <c r="DP135" i="3"/>
  <c r="DQ135" i="3"/>
  <c r="DR135" i="3"/>
  <c r="DL136" i="3"/>
  <c r="DM136" i="3"/>
  <c r="DN136" i="3"/>
  <c r="DO136" i="3"/>
  <c r="DP136" i="3"/>
  <c r="DQ136" i="3"/>
  <c r="DR136" i="3"/>
  <c r="DL137" i="3"/>
  <c r="DM137" i="3"/>
  <c r="DN137" i="3"/>
  <c r="DO137" i="3"/>
  <c r="DP137" i="3"/>
  <c r="DQ137" i="3"/>
  <c r="DR137" i="3"/>
  <c r="DL138" i="3"/>
  <c r="DM138" i="3"/>
  <c r="DN138" i="3"/>
  <c r="DO138" i="3"/>
  <c r="DP138" i="3"/>
  <c r="DQ138" i="3"/>
  <c r="DR138" i="3"/>
  <c r="DL139" i="3"/>
  <c r="DM139" i="3"/>
  <c r="DN139" i="3"/>
  <c r="DO139" i="3"/>
  <c r="DP139" i="3"/>
  <c r="DQ139" i="3"/>
  <c r="DR139" i="3"/>
  <c r="DL141" i="3"/>
  <c r="DM141" i="3"/>
  <c r="DN141" i="3"/>
  <c r="DO141" i="3"/>
  <c r="DP141" i="3"/>
  <c r="DQ141" i="3"/>
  <c r="DR141" i="3"/>
  <c r="DL142" i="3"/>
  <c r="DM142" i="3"/>
  <c r="DN142" i="3"/>
  <c r="DO142" i="3"/>
  <c r="DP142" i="3"/>
  <c r="DQ142" i="3"/>
  <c r="DR142" i="3"/>
  <c r="DL143" i="3"/>
  <c r="DM143" i="3"/>
  <c r="DN143" i="3"/>
  <c r="DO143" i="3"/>
  <c r="DP143" i="3"/>
  <c r="DQ143" i="3"/>
  <c r="DR143" i="3"/>
  <c r="DL125" i="3"/>
  <c r="DL124" i="3"/>
  <c r="J88" i="3"/>
  <c r="K88" i="3"/>
  <c r="L88" i="3"/>
  <c r="M88" i="3"/>
  <c r="N88" i="3"/>
  <c r="O88" i="3"/>
  <c r="K87" i="3"/>
  <c r="L87" i="3"/>
  <c r="M87" i="3"/>
  <c r="N87" i="3"/>
  <c r="O87" i="3"/>
  <c r="J87" i="3"/>
  <c r="GG417" i="24" l="1"/>
  <c r="B437" i="24"/>
  <c r="C437" i="24"/>
  <c r="D437" i="24"/>
  <c r="E437" i="24"/>
  <c r="N437" i="24" s="1"/>
  <c r="F437" i="24"/>
  <c r="N438" i="24"/>
  <c r="GF92" i="24"/>
  <c r="GE92" i="24"/>
  <c r="GD92" i="24"/>
  <c r="GC92" i="24"/>
  <c r="EZ126" i="24"/>
  <c r="EJ128" i="24"/>
  <c r="DO139" i="24"/>
  <c r="DH139" i="24"/>
  <c r="DH132" i="24"/>
  <c r="DH131" i="24"/>
  <c r="DH130" i="24"/>
  <c r="DH129" i="24"/>
  <c r="DO128" i="24"/>
  <c r="DH127" i="24"/>
  <c r="DH128" i="24" s="1"/>
  <c r="DE132" i="24"/>
  <c r="DC131" i="24"/>
  <c r="DB130" i="24"/>
  <c r="DD129" i="24"/>
  <c r="DD126" i="24"/>
  <c r="DC126" i="24"/>
  <c r="DB126" i="24"/>
  <c r="AJ140" i="24"/>
  <c r="AH140" i="24"/>
  <c r="AK138" i="24"/>
  <c r="AJ130" i="24"/>
  <c r="AH130" i="24"/>
  <c r="DL96" i="3"/>
  <c r="DM96" i="3"/>
  <c r="DN96" i="3"/>
  <c r="DO96" i="3"/>
  <c r="DP96" i="3"/>
  <c r="DQ96" i="3"/>
  <c r="DR96" i="3"/>
  <c r="DL97" i="3"/>
  <c r="DM97" i="3"/>
  <c r="DN97" i="3"/>
  <c r="DO97" i="3"/>
  <c r="DP97" i="3"/>
  <c r="DQ97" i="3"/>
  <c r="DR97" i="3"/>
  <c r="DL98" i="3"/>
  <c r="BN98" i="3" s="1"/>
  <c r="DL100" i="3"/>
  <c r="CB100" i="3" s="1"/>
  <c r="DL101" i="3"/>
  <c r="DL102" i="3"/>
  <c r="DL103" i="3"/>
  <c r="BN103" i="3" s="1"/>
  <c r="DL92" i="3"/>
  <c r="DL91" i="3"/>
  <c r="DL90" i="3"/>
  <c r="I88" i="3"/>
  <c r="I87" i="3"/>
  <c r="DL78" i="3"/>
  <c r="DM78" i="3"/>
  <c r="DN78" i="3"/>
  <c r="DO78" i="3"/>
  <c r="DP78" i="3"/>
  <c r="DQ78" i="3"/>
  <c r="DR78" i="3"/>
  <c r="DL79" i="3"/>
  <c r="DM79" i="3"/>
  <c r="DN79" i="3"/>
  <c r="DO79" i="3"/>
  <c r="DP79" i="3"/>
  <c r="DQ79" i="3"/>
  <c r="DR79" i="3"/>
  <c r="DL82" i="3"/>
  <c r="DM82" i="3"/>
  <c r="DN82" i="3"/>
  <c r="DO82" i="3"/>
  <c r="DP82" i="3"/>
  <c r="DQ82" i="3"/>
  <c r="DR82" i="3"/>
  <c r="DL83" i="3"/>
  <c r="DM83" i="3"/>
  <c r="DN83" i="3"/>
  <c r="DO83" i="3"/>
  <c r="DP83" i="3"/>
  <c r="DQ83" i="3"/>
  <c r="DR83" i="3"/>
  <c r="DL87" i="3"/>
  <c r="BN87" i="3" s="1"/>
  <c r="DM87" i="3"/>
  <c r="DN87" i="3"/>
  <c r="DO87" i="3"/>
  <c r="DP87" i="3"/>
  <c r="DQ87" i="3"/>
  <c r="DR87" i="3"/>
  <c r="DL46" i="3"/>
  <c r="DL47" i="3"/>
  <c r="DL48" i="3"/>
  <c r="DL49" i="3"/>
  <c r="DL50" i="3"/>
  <c r="DL51" i="3"/>
  <c r="DL52" i="3"/>
  <c r="CB52" i="3" s="1"/>
  <c r="DL53" i="3"/>
  <c r="DL54" i="3"/>
  <c r="DM54" i="3"/>
  <c r="DN54" i="3"/>
  <c r="DO54" i="3"/>
  <c r="DP54" i="3"/>
  <c r="DQ54" i="3"/>
  <c r="DR54" i="3"/>
  <c r="DL55" i="3"/>
  <c r="DM55" i="3"/>
  <c r="DN55" i="3"/>
  <c r="DO55" i="3"/>
  <c r="DP55" i="3"/>
  <c r="DQ55" i="3"/>
  <c r="DR55" i="3"/>
  <c r="DL56" i="3"/>
  <c r="DM56" i="3"/>
  <c r="DN56" i="3"/>
  <c r="DO56" i="3"/>
  <c r="DP56" i="3"/>
  <c r="DQ56" i="3"/>
  <c r="DR56" i="3"/>
  <c r="DL57" i="3"/>
  <c r="DM57" i="3"/>
  <c r="DN57" i="3"/>
  <c r="DO57" i="3"/>
  <c r="DP57" i="3"/>
  <c r="DQ57" i="3"/>
  <c r="DR57" i="3"/>
  <c r="DL58" i="3"/>
  <c r="DM58" i="3"/>
  <c r="DN58" i="3"/>
  <c r="DO58" i="3"/>
  <c r="DP58" i="3"/>
  <c r="DQ58" i="3"/>
  <c r="DR58" i="3"/>
  <c r="DL59" i="3"/>
  <c r="DM59" i="3"/>
  <c r="DN59" i="3"/>
  <c r="DO59" i="3"/>
  <c r="DP59" i="3"/>
  <c r="DQ59" i="3"/>
  <c r="DR59" i="3"/>
  <c r="DL60" i="3"/>
  <c r="DM60" i="3"/>
  <c r="DN60" i="3"/>
  <c r="DO60" i="3"/>
  <c r="DP60" i="3"/>
  <c r="DQ60" i="3"/>
  <c r="DR60" i="3"/>
  <c r="DL61" i="3"/>
  <c r="DM61" i="3"/>
  <c r="DN61" i="3"/>
  <c r="DO61" i="3"/>
  <c r="DP61" i="3"/>
  <c r="DQ61" i="3"/>
  <c r="DR61" i="3"/>
  <c r="DL62" i="3"/>
  <c r="DM62" i="3"/>
  <c r="DN62" i="3"/>
  <c r="DO62" i="3"/>
  <c r="DP62" i="3"/>
  <c r="DQ62" i="3"/>
  <c r="DR62" i="3"/>
  <c r="DL63" i="3"/>
  <c r="DM63" i="3"/>
  <c r="DN63" i="3"/>
  <c r="DO63" i="3"/>
  <c r="DP63" i="3"/>
  <c r="DQ63" i="3"/>
  <c r="DR63" i="3"/>
  <c r="DL64" i="3"/>
  <c r="DM64" i="3"/>
  <c r="DN64" i="3"/>
  <c r="DO64" i="3"/>
  <c r="DP64" i="3"/>
  <c r="DQ64" i="3"/>
  <c r="DR64" i="3"/>
  <c r="DL65" i="3"/>
  <c r="DM65" i="3"/>
  <c r="DN65" i="3"/>
  <c r="DO65" i="3"/>
  <c r="DP65" i="3"/>
  <c r="DQ65" i="3"/>
  <c r="DR65" i="3"/>
  <c r="DL66" i="3"/>
  <c r="DM66" i="3"/>
  <c r="DN66" i="3"/>
  <c r="DO66" i="3"/>
  <c r="DP66" i="3"/>
  <c r="DQ66" i="3"/>
  <c r="DR66" i="3"/>
  <c r="DL67" i="3"/>
  <c r="DM67" i="3"/>
  <c r="DN67" i="3"/>
  <c r="DO67" i="3"/>
  <c r="DP67" i="3"/>
  <c r="DQ67" i="3"/>
  <c r="DR67" i="3"/>
  <c r="DL68" i="3"/>
  <c r="DM68" i="3"/>
  <c r="DN68" i="3"/>
  <c r="DO68" i="3"/>
  <c r="DP68" i="3"/>
  <c r="DQ68" i="3"/>
  <c r="DR68" i="3"/>
  <c r="DL69" i="3"/>
  <c r="DL74" i="3"/>
  <c r="BN74" i="3" s="1"/>
  <c r="DL75" i="3"/>
  <c r="BN75" i="3" s="1"/>
  <c r="F37" i="27"/>
  <c r="G37" i="27"/>
  <c r="F38" i="27"/>
  <c r="G38" i="27"/>
  <c r="G58" i="27"/>
  <c r="G59" i="27"/>
  <c r="G60" i="27"/>
  <c r="G61" i="27"/>
  <c r="G62" i="27"/>
  <c r="G63" i="27"/>
  <c r="G64" i="27"/>
  <c r="E64" i="27"/>
  <c r="E63" i="27"/>
  <c r="E62" i="27"/>
  <c r="E38" i="27"/>
  <c r="E39" i="27"/>
  <c r="E40" i="27"/>
  <c r="E41" i="27"/>
  <c r="E42" i="27"/>
  <c r="E43" i="27"/>
  <c r="E44" i="27"/>
  <c r="E45" i="27"/>
  <c r="E46" i="27"/>
  <c r="E47" i="27"/>
  <c r="E48" i="27"/>
  <c r="E49" i="27"/>
  <c r="E50" i="27"/>
  <c r="E51" i="27"/>
  <c r="E52" i="27"/>
  <c r="E53" i="27"/>
  <c r="E54" i="27"/>
  <c r="E55" i="27"/>
  <c r="E56" i="27"/>
  <c r="E57" i="27"/>
  <c r="E58" i="27"/>
  <c r="E59" i="27"/>
  <c r="E60" i="27"/>
  <c r="E61" i="27"/>
  <c r="B38" i="27"/>
  <c r="B39" i="27"/>
  <c r="B40" i="27"/>
  <c r="B41" i="27"/>
  <c r="B42" i="27"/>
  <c r="B43" i="27"/>
  <c r="B44" i="27"/>
  <c r="B45" i="27"/>
  <c r="B46" i="27"/>
  <c r="B47" i="27"/>
  <c r="B48" i="27"/>
  <c r="B49" i="27"/>
  <c r="B50" i="27"/>
  <c r="B51" i="27"/>
  <c r="B52" i="27"/>
  <c r="B53" i="27"/>
  <c r="B54" i="27"/>
  <c r="B55" i="27"/>
  <c r="B56" i="27"/>
  <c r="B57" i="27"/>
  <c r="B58" i="27"/>
  <c r="B59" i="27"/>
  <c r="B60" i="27"/>
  <c r="B61" i="27"/>
  <c r="B62" i="27"/>
  <c r="B63" i="27"/>
  <c r="A35" i="27"/>
  <c r="A36" i="27"/>
  <c r="A37" i="27"/>
  <c r="A38" i="27"/>
  <c r="A39" i="27"/>
  <c r="A40" i="27"/>
  <c r="A41" i="27"/>
  <c r="A42" i="27"/>
  <c r="A43" i="27"/>
  <c r="A44" i="27"/>
  <c r="A45" i="27"/>
  <c r="A46" i="27"/>
  <c r="A47" i="27"/>
  <c r="A48" i="27"/>
  <c r="A49" i="27"/>
  <c r="A50" i="27"/>
  <c r="A51" i="27"/>
  <c r="A52" i="27"/>
  <c r="A53" i="27"/>
  <c r="A54" i="27"/>
  <c r="A55" i="27"/>
  <c r="A56" i="27"/>
  <c r="A57" i="27"/>
  <c r="A58" i="27"/>
  <c r="A59" i="27"/>
  <c r="A60" i="27"/>
  <c r="A61" i="27"/>
  <c r="A62" i="27"/>
  <c r="A63" i="27"/>
  <c r="A64" i="27"/>
  <c r="B124" i="24"/>
  <c r="C124" i="24"/>
  <c r="D124" i="24"/>
  <c r="E124" i="24"/>
  <c r="N124" i="24" s="1"/>
  <c r="F124" i="24"/>
  <c r="B125" i="24"/>
  <c r="C125" i="24"/>
  <c r="D125" i="24"/>
  <c r="E125" i="24"/>
  <c r="N125" i="24" s="1"/>
  <c r="F125" i="24"/>
  <c r="B126" i="24"/>
  <c r="C126" i="24"/>
  <c r="D126" i="24"/>
  <c r="E126" i="24"/>
  <c r="N126" i="24" s="1"/>
  <c r="F126" i="24"/>
  <c r="B127" i="24"/>
  <c r="C127" i="24"/>
  <c r="D127" i="24"/>
  <c r="E127" i="24"/>
  <c r="N127" i="24" s="1"/>
  <c r="F127" i="24"/>
  <c r="B128" i="24"/>
  <c r="C128" i="24"/>
  <c r="D128" i="24"/>
  <c r="E128" i="24"/>
  <c r="N128" i="24" s="1"/>
  <c r="F128" i="24"/>
  <c r="B129" i="24"/>
  <c r="C129" i="24"/>
  <c r="D129" i="24"/>
  <c r="E129" i="24"/>
  <c r="N129" i="24" s="1"/>
  <c r="F129" i="24"/>
  <c r="B130" i="24"/>
  <c r="C130" i="24"/>
  <c r="D130" i="24"/>
  <c r="E130" i="24"/>
  <c r="N130" i="24" s="1"/>
  <c r="F130" i="24"/>
  <c r="B131" i="24"/>
  <c r="C131" i="24"/>
  <c r="D131" i="24"/>
  <c r="E131" i="24"/>
  <c r="N131" i="24" s="1"/>
  <c r="F131" i="24"/>
  <c r="B132" i="24"/>
  <c r="C132" i="24"/>
  <c r="D132" i="24"/>
  <c r="E132" i="24"/>
  <c r="N132" i="24" s="1"/>
  <c r="F132" i="24"/>
  <c r="B133" i="24"/>
  <c r="C133" i="24"/>
  <c r="D133" i="24"/>
  <c r="E133" i="24"/>
  <c r="N133" i="24" s="1"/>
  <c r="F133" i="24"/>
  <c r="B134" i="24"/>
  <c r="C134" i="24"/>
  <c r="D134" i="24"/>
  <c r="E134" i="24"/>
  <c r="N134" i="24" s="1"/>
  <c r="F134" i="24"/>
  <c r="B135" i="24"/>
  <c r="C135" i="24"/>
  <c r="D135" i="24"/>
  <c r="E135" i="24"/>
  <c r="N135" i="24" s="1"/>
  <c r="F135" i="24"/>
  <c r="B136" i="24"/>
  <c r="C136" i="24"/>
  <c r="D136" i="24"/>
  <c r="E136" i="24"/>
  <c r="N136" i="24" s="1"/>
  <c r="F136" i="24"/>
  <c r="B137" i="24"/>
  <c r="C137" i="24"/>
  <c r="D137" i="24"/>
  <c r="E137" i="24"/>
  <c r="N137" i="24" s="1"/>
  <c r="F137" i="24"/>
  <c r="B138" i="24"/>
  <c r="C138" i="24"/>
  <c r="D138" i="24"/>
  <c r="E138" i="24"/>
  <c r="N138" i="24" s="1"/>
  <c r="F138" i="24"/>
  <c r="B139" i="24"/>
  <c r="C139" i="24"/>
  <c r="D139" i="24"/>
  <c r="E139" i="24"/>
  <c r="N139" i="24" s="1"/>
  <c r="F139" i="24"/>
  <c r="B140" i="24"/>
  <c r="C140" i="24"/>
  <c r="D140" i="24"/>
  <c r="E140" i="24"/>
  <c r="N140" i="24" s="1"/>
  <c r="F140" i="24"/>
  <c r="B141" i="24"/>
  <c r="C141" i="24"/>
  <c r="D141" i="24"/>
  <c r="E141" i="24"/>
  <c r="N141" i="24" s="1"/>
  <c r="F141" i="24"/>
  <c r="B142" i="24"/>
  <c r="C142" i="24"/>
  <c r="D142" i="24"/>
  <c r="E142" i="24"/>
  <c r="N142" i="24" s="1"/>
  <c r="F142" i="24"/>
  <c r="B143" i="24"/>
  <c r="C143" i="24"/>
  <c r="D143" i="24"/>
  <c r="E143" i="24"/>
  <c r="N143" i="24" s="1"/>
  <c r="F143" i="24"/>
  <c r="B96" i="24"/>
  <c r="D96" i="24"/>
  <c r="E96" i="24"/>
  <c r="F96" i="24"/>
  <c r="B98" i="24"/>
  <c r="C98" i="24"/>
  <c r="D98" i="24"/>
  <c r="E98" i="24"/>
  <c r="N98" i="24" s="1"/>
  <c r="F98" i="24"/>
  <c r="B100" i="24"/>
  <c r="C100" i="24"/>
  <c r="D100" i="24"/>
  <c r="E100" i="24"/>
  <c r="N100" i="24" s="1"/>
  <c r="F100" i="24"/>
  <c r="K87" i="24"/>
  <c r="EI90" i="24"/>
  <c r="EJ88" i="24"/>
  <c r="DO91" i="24"/>
  <c r="DH91" i="24"/>
  <c r="DO90" i="24"/>
  <c r="DH90" i="24"/>
  <c r="DO88" i="24"/>
  <c r="DH88" i="24"/>
  <c r="DO87" i="24"/>
  <c r="DH87" i="24"/>
  <c r="CZ88" i="24"/>
  <c r="CS87" i="24"/>
  <c r="B84" i="24"/>
  <c r="C84" i="24"/>
  <c r="D84" i="24"/>
  <c r="E84" i="24"/>
  <c r="N84" i="24" s="1"/>
  <c r="F84" i="24"/>
  <c r="B85" i="24"/>
  <c r="C85" i="24"/>
  <c r="D85" i="24"/>
  <c r="E85" i="24"/>
  <c r="N85" i="24" s="1"/>
  <c r="F85" i="24"/>
  <c r="B86" i="24"/>
  <c r="C86" i="24"/>
  <c r="D86" i="24"/>
  <c r="E86" i="24"/>
  <c r="N86" i="24" s="1"/>
  <c r="F86" i="24"/>
  <c r="B87" i="24"/>
  <c r="C87" i="24"/>
  <c r="D87" i="24"/>
  <c r="E87" i="24"/>
  <c r="N87" i="24" s="1"/>
  <c r="F87" i="24"/>
  <c r="B88" i="24"/>
  <c r="C88" i="24"/>
  <c r="D88" i="24"/>
  <c r="E88" i="24"/>
  <c r="N88" i="24" s="1"/>
  <c r="F88" i="24"/>
  <c r="B89" i="24"/>
  <c r="C89" i="24"/>
  <c r="D89" i="24"/>
  <c r="E89" i="24"/>
  <c r="N89" i="24" s="1"/>
  <c r="F89" i="24"/>
  <c r="DT83" i="24"/>
  <c r="DO81" i="24"/>
  <c r="DQ80" i="24"/>
  <c r="DO80" i="24"/>
  <c r="DH80" i="24"/>
  <c r="CV81" i="24"/>
  <c r="CS81" i="24"/>
  <c r="CV80" i="24"/>
  <c r="CS80" i="24"/>
  <c r="DA79" i="24"/>
  <c r="B71" i="24"/>
  <c r="C71" i="24"/>
  <c r="D71" i="24"/>
  <c r="E71" i="24"/>
  <c r="N71" i="24" s="1"/>
  <c r="F71" i="24"/>
  <c r="B72" i="24"/>
  <c r="C72" i="24"/>
  <c r="D72" i="24"/>
  <c r="E72" i="24"/>
  <c r="N72" i="24" s="1"/>
  <c r="F72" i="24"/>
  <c r="B73" i="24"/>
  <c r="C73" i="24"/>
  <c r="D73" i="24"/>
  <c r="E73" i="24"/>
  <c r="N73" i="24" s="1"/>
  <c r="F73" i="24"/>
  <c r="B74" i="24"/>
  <c r="C74" i="24"/>
  <c r="D74" i="24"/>
  <c r="E74" i="24"/>
  <c r="N74" i="24" s="1"/>
  <c r="F74" i="24"/>
  <c r="B75" i="24"/>
  <c r="C75" i="24"/>
  <c r="D75" i="24"/>
  <c r="E75" i="24"/>
  <c r="N75" i="24" s="1"/>
  <c r="F75" i="24"/>
  <c r="B76" i="24"/>
  <c r="C76" i="24"/>
  <c r="D76" i="24"/>
  <c r="E76" i="24"/>
  <c r="N76" i="24" s="1"/>
  <c r="F76" i="24"/>
  <c r="B77" i="24"/>
  <c r="C77" i="24"/>
  <c r="D77" i="24"/>
  <c r="E77" i="24"/>
  <c r="N77" i="24" s="1"/>
  <c r="F77" i="24"/>
  <c r="B78" i="24"/>
  <c r="C78" i="24"/>
  <c r="D78" i="24"/>
  <c r="E78" i="24"/>
  <c r="N78" i="24" s="1"/>
  <c r="F78" i="24"/>
  <c r="B79" i="24"/>
  <c r="C79" i="24"/>
  <c r="D79" i="24"/>
  <c r="E79" i="24"/>
  <c r="N79" i="24" s="1"/>
  <c r="F79" i="24"/>
  <c r="B80" i="24"/>
  <c r="C80" i="24"/>
  <c r="D80" i="24"/>
  <c r="E80" i="24"/>
  <c r="N80" i="24" s="1"/>
  <c r="F80" i="24"/>
  <c r="B81" i="24"/>
  <c r="C81" i="24"/>
  <c r="D81" i="24"/>
  <c r="E81" i="24"/>
  <c r="N81" i="24" s="1"/>
  <c r="F81" i="24"/>
  <c r="CR50" i="24"/>
  <c r="CR49" i="24"/>
  <c r="CR48" i="24"/>
  <c r="CR47" i="24"/>
  <c r="CR46" i="24"/>
  <c r="CQ45" i="24"/>
  <c r="CR44" i="24"/>
  <c r="CQ44" i="24"/>
  <c r="CR43" i="24"/>
  <c r="CQ43" i="24"/>
  <c r="CR42" i="24"/>
  <c r="CQ42" i="24"/>
  <c r="CR41" i="24"/>
  <c r="CQ41" i="24"/>
  <c r="CR40" i="24"/>
  <c r="CQ40" i="24"/>
  <c r="CR39" i="24"/>
  <c r="CQ39" i="24"/>
  <c r="CR38" i="24"/>
  <c r="CQ38" i="24"/>
  <c r="CR37" i="24"/>
  <c r="CQ37" i="24"/>
  <c r="CR36" i="24"/>
  <c r="CQ36" i="24"/>
  <c r="CR35" i="24"/>
  <c r="CQ35" i="24"/>
  <c r="EY4" i="24"/>
  <c r="EZ4" i="24"/>
  <c r="EZ5" i="24"/>
  <c r="EY6" i="24"/>
  <c r="EZ6" i="24"/>
  <c r="CZ5" i="24"/>
  <c r="DA5" i="24"/>
  <c r="DB5" i="24"/>
  <c r="DC5" i="24"/>
  <c r="DD5" i="24"/>
  <c r="DE5" i="24"/>
  <c r="CZ6" i="24"/>
  <c r="DA6" i="24"/>
  <c r="DB6" i="24"/>
  <c r="DC6" i="24"/>
  <c r="DD6" i="24"/>
  <c r="DE6" i="24"/>
  <c r="CQ5" i="24"/>
  <c r="CR5" i="24"/>
  <c r="CS5" i="24"/>
  <c r="CT5" i="24"/>
  <c r="CU5" i="24"/>
  <c r="CV5" i="24"/>
  <c r="CW5" i="24"/>
  <c r="CX5" i="24"/>
  <c r="CY5" i="24"/>
  <c r="CQ6" i="24"/>
  <c r="CR6" i="24"/>
  <c r="CS6" i="24"/>
  <c r="CT6" i="24"/>
  <c r="CU6" i="24"/>
  <c r="CV6" i="24"/>
  <c r="CW6" i="24"/>
  <c r="CX6" i="24"/>
  <c r="CY6" i="24"/>
  <c r="AH5" i="24"/>
  <c r="AI5" i="24"/>
  <c r="AJ5" i="24"/>
  <c r="AK5" i="24"/>
  <c r="AL5" i="24"/>
  <c r="AM5" i="24"/>
  <c r="AN5" i="24"/>
  <c r="AO5" i="24"/>
  <c r="AH6" i="24"/>
  <c r="AI6" i="24"/>
  <c r="AJ6" i="24"/>
  <c r="AK6" i="24"/>
  <c r="AL6" i="24"/>
  <c r="AM6" i="24"/>
  <c r="AN6" i="24"/>
  <c r="AO6" i="24"/>
  <c r="BU438" i="3"/>
  <c r="BU437" i="3"/>
  <c r="S114" i="1"/>
  <c r="BU139" i="3"/>
  <c r="BU138" i="3"/>
  <c r="BU137" i="3"/>
  <c r="O137" i="3"/>
  <c r="O144" i="3" s="1"/>
  <c r="W144" i="3" s="1"/>
  <c r="N137" i="3"/>
  <c r="N144" i="3" s="1"/>
  <c r="V144" i="3" s="1"/>
  <c r="M137" i="3"/>
  <c r="M144" i="3" s="1"/>
  <c r="U144" i="3" s="1"/>
  <c r="L137" i="3"/>
  <c r="L144" i="3" s="1"/>
  <c r="T144" i="3" s="1"/>
  <c r="K137" i="3"/>
  <c r="K144" i="3" s="1"/>
  <c r="S144" i="3" s="1"/>
  <c r="J137" i="3"/>
  <c r="J144" i="3" s="1"/>
  <c r="R144" i="3" s="1"/>
  <c r="W136" i="3"/>
  <c r="V136" i="3"/>
  <c r="U136" i="3"/>
  <c r="T136" i="3"/>
  <c r="S136" i="3"/>
  <c r="R136" i="3"/>
  <c r="T135" i="3"/>
  <c r="U135" i="3" s="1"/>
  <c r="V135" i="3" s="1"/>
  <c r="R135" i="3"/>
  <c r="L135" i="3"/>
  <c r="M135" i="3" s="1"/>
  <c r="N135" i="3" s="1"/>
  <c r="BU134" i="3"/>
  <c r="BU133" i="3"/>
  <c r="BU128" i="3"/>
  <c r="BU127" i="3"/>
  <c r="O126" i="3"/>
  <c r="W126" i="3" s="1"/>
  <c r="N126" i="3"/>
  <c r="V126" i="3" s="1"/>
  <c r="M126" i="3"/>
  <c r="U126" i="3" s="1"/>
  <c r="L126" i="3"/>
  <c r="T126" i="3" s="1"/>
  <c r="K126" i="3"/>
  <c r="S126" i="3" s="1"/>
  <c r="J126" i="3"/>
  <c r="R126" i="3" s="1"/>
  <c r="BU125" i="3"/>
  <c r="W125" i="3"/>
  <c r="V125" i="3"/>
  <c r="U125" i="3"/>
  <c r="T125" i="3"/>
  <c r="S125" i="3"/>
  <c r="R125" i="3"/>
  <c r="Q125" i="3"/>
  <c r="BU124" i="3"/>
  <c r="BU145" i="3"/>
  <c r="BU146" i="3"/>
  <c r="BU147" i="3"/>
  <c r="DL147" i="3"/>
  <c r="CB147" i="3" s="1"/>
  <c r="BU148" i="3"/>
  <c r="DL148" i="3"/>
  <c r="CB148" i="3" s="1"/>
  <c r="BU102" i="3"/>
  <c r="BU101" i="3"/>
  <c r="BU100" i="3"/>
  <c r="BU97" i="3"/>
  <c r="BU103" i="3"/>
  <c r="BU96" i="3"/>
  <c r="CC92" i="3"/>
  <c r="BU92" i="3"/>
  <c r="BU91" i="3"/>
  <c r="BU90" i="3"/>
  <c r="W90" i="3"/>
  <c r="V90" i="3"/>
  <c r="U90" i="3"/>
  <c r="T90" i="3"/>
  <c r="S90" i="3"/>
  <c r="R90" i="3"/>
  <c r="Q90" i="3"/>
  <c r="O90" i="3"/>
  <c r="N90" i="3"/>
  <c r="M90" i="3"/>
  <c r="L90" i="3"/>
  <c r="K90" i="3"/>
  <c r="J90" i="3"/>
  <c r="I90" i="3"/>
  <c r="BN88" i="3"/>
  <c r="W88" i="3"/>
  <c r="V88" i="3"/>
  <c r="U88" i="3"/>
  <c r="T88" i="3"/>
  <c r="S88" i="3"/>
  <c r="R88" i="3"/>
  <c r="W87" i="3"/>
  <c r="V87" i="3"/>
  <c r="U87" i="3"/>
  <c r="T87" i="3"/>
  <c r="S87" i="3"/>
  <c r="R87" i="3"/>
  <c r="DK84" i="3"/>
  <c r="CH84" i="3"/>
  <c r="CG84" i="3"/>
  <c r="CF84" i="3"/>
  <c r="CE84" i="3"/>
  <c r="CD84" i="3"/>
  <c r="CC84" i="3"/>
  <c r="CB84" i="3"/>
  <c r="BT84" i="3"/>
  <c r="BS84" i="3"/>
  <c r="BQ84" i="3"/>
  <c r="BP84" i="3"/>
  <c r="BO84" i="3"/>
  <c r="AY84" i="3"/>
  <c r="AK84" i="3"/>
  <c r="AJ84" i="3"/>
  <c r="AI84" i="3"/>
  <c r="DL84" i="3" s="1"/>
  <c r="AH84" i="3"/>
  <c r="AG84" i="3"/>
  <c r="AF84" i="3"/>
  <c r="CD83" i="3"/>
  <c r="CC83" i="3"/>
  <c r="BU83" i="3"/>
  <c r="AH83" i="3"/>
  <c r="AG83" i="3"/>
  <c r="AF83" i="3"/>
  <c r="AD83" i="3"/>
  <c r="AC83" i="3"/>
  <c r="AB83" i="3"/>
  <c r="AA83" i="3"/>
  <c r="Z83" i="3"/>
  <c r="Y83" i="3"/>
  <c r="X83" i="3"/>
  <c r="O83" i="3"/>
  <c r="N83" i="3"/>
  <c r="M83" i="3"/>
  <c r="L83" i="3"/>
  <c r="K83" i="3"/>
  <c r="J83" i="3"/>
  <c r="I83" i="3"/>
  <c r="CH82" i="3"/>
  <c r="CG82" i="3"/>
  <c r="CF82" i="3"/>
  <c r="CE82" i="3"/>
  <c r="CD82" i="3"/>
  <c r="CC82" i="3"/>
  <c r="BU82" i="3"/>
  <c r="AH82" i="3"/>
  <c r="AG82" i="3"/>
  <c r="AF82" i="3"/>
  <c r="AD82" i="3"/>
  <c r="AC82" i="3"/>
  <c r="AB82" i="3"/>
  <c r="AA82" i="3"/>
  <c r="Z82" i="3"/>
  <c r="Y82" i="3"/>
  <c r="X82" i="3"/>
  <c r="O82" i="3"/>
  <c r="N82" i="3"/>
  <c r="M82" i="3"/>
  <c r="L82" i="3"/>
  <c r="K82" i="3"/>
  <c r="J82" i="3"/>
  <c r="I82" i="3"/>
  <c r="G67" i="13" s="1"/>
  <c r="BU81" i="3"/>
  <c r="AD81" i="3"/>
  <c r="AC81" i="3"/>
  <c r="AB81" i="3"/>
  <c r="AA81" i="3"/>
  <c r="Z81" i="3"/>
  <c r="Y81" i="3"/>
  <c r="X81" i="3"/>
  <c r="BU80" i="3"/>
  <c r="AD80" i="3"/>
  <c r="AC80" i="3"/>
  <c r="AB80" i="3"/>
  <c r="AA80" i="3"/>
  <c r="Z80" i="3"/>
  <c r="Y80" i="3"/>
  <c r="X80" i="3"/>
  <c r="O80" i="3"/>
  <c r="W80" i="3" s="1"/>
  <c r="N80" i="3"/>
  <c r="V80" i="3" s="1"/>
  <c r="M80" i="3"/>
  <c r="M81" i="3" s="1"/>
  <c r="U81" i="3" s="1"/>
  <c r="L80" i="3"/>
  <c r="T80" i="3" s="1"/>
  <c r="K80" i="3"/>
  <c r="S80" i="3" s="1"/>
  <c r="J80" i="3"/>
  <c r="R80" i="3" s="1"/>
  <c r="I80" i="3"/>
  <c r="AD79" i="3"/>
  <c r="AD84" i="3" s="1"/>
  <c r="AC79" i="3"/>
  <c r="AC84" i="3" s="1"/>
  <c r="AB79" i="3"/>
  <c r="AB84" i="3" s="1"/>
  <c r="AA79" i="3"/>
  <c r="AA84" i="3" s="1"/>
  <c r="Z79" i="3"/>
  <c r="Z84" i="3" s="1"/>
  <c r="Y79" i="3"/>
  <c r="Y84" i="3" s="1"/>
  <c r="X79" i="3"/>
  <c r="O79" i="3"/>
  <c r="W79" i="3" s="1"/>
  <c r="W84" i="3" s="1"/>
  <c r="N79" i="3"/>
  <c r="V79" i="3" s="1"/>
  <c r="V84" i="3" s="1"/>
  <c r="M79" i="3"/>
  <c r="U79" i="3" s="1"/>
  <c r="U84" i="3" s="1"/>
  <c r="L79" i="3"/>
  <c r="T79" i="3" s="1"/>
  <c r="T84" i="3" s="1"/>
  <c r="K79" i="3"/>
  <c r="S79" i="3" s="1"/>
  <c r="S84" i="3" s="1"/>
  <c r="J79" i="3"/>
  <c r="R79" i="3" s="1"/>
  <c r="R84" i="3" s="1"/>
  <c r="I79" i="3"/>
  <c r="BU74" i="3"/>
  <c r="AD74" i="3"/>
  <c r="AC74" i="3"/>
  <c r="AB74" i="3"/>
  <c r="AA74" i="3"/>
  <c r="Z74" i="3"/>
  <c r="Y74" i="3"/>
  <c r="X74" i="3"/>
  <c r="O74" i="3"/>
  <c r="W74" i="3" s="1"/>
  <c r="N74" i="3"/>
  <c r="V74" i="3" s="1"/>
  <c r="M74" i="3"/>
  <c r="U74" i="3" s="1"/>
  <c r="L74" i="3"/>
  <c r="T74" i="3" s="1"/>
  <c r="K74" i="3"/>
  <c r="S74" i="3" s="1"/>
  <c r="J74" i="3"/>
  <c r="R74" i="3" s="1"/>
  <c r="I74" i="3"/>
  <c r="BU73" i="3"/>
  <c r="AD73" i="3"/>
  <c r="AD78" i="3" s="1"/>
  <c r="AC73" i="3"/>
  <c r="AC78" i="3" s="1"/>
  <c r="AB73" i="3"/>
  <c r="AB78" i="3" s="1"/>
  <c r="AA73" i="3"/>
  <c r="AA78" i="3" s="1"/>
  <c r="Z73" i="3"/>
  <c r="Z78" i="3" s="1"/>
  <c r="Y73" i="3"/>
  <c r="Y78" i="3" s="1"/>
  <c r="X73" i="3"/>
  <c r="O73" i="3"/>
  <c r="O78" i="3" s="1"/>
  <c r="W78" i="3" s="1"/>
  <c r="N73" i="3"/>
  <c r="N78" i="3" s="1"/>
  <c r="V78" i="3" s="1"/>
  <c r="M73" i="3"/>
  <c r="U73" i="3" s="1"/>
  <c r="L73" i="3"/>
  <c r="T73" i="3" s="1"/>
  <c r="K73" i="3"/>
  <c r="K78" i="3" s="1"/>
  <c r="S78" i="3" s="1"/>
  <c r="J73" i="3"/>
  <c r="J78" i="3" s="1"/>
  <c r="R78" i="3" s="1"/>
  <c r="I73" i="3"/>
  <c r="BU72" i="3"/>
  <c r="AD72" i="3"/>
  <c r="AC72" i="3"/>
  <c r="AB72" i="3"/>
  <c r="AA72" i="3"/>
  <c r="Z72" i="3"/>
  <c r="Y72" i="3"/>
  <c r="X72" i="3"/>
  <c r="O72" i="3"/>
  <c r="W72" i="3" s="1"/>
  <c r="N72" i="3"/>
  <c r="V72" i="3" s="1"/>
  <c r="M72" i="3"/>
  <c r="U72" i="3" s="1"/>
  <c r="L72" i="3"/>
  <c r="T72" i="3" s="1"/>
  <c r="K72" i="3"/>
  <c r="S72" i="3" s="1"/>
  <c r="J72" i="3"/>
  <c r="R72" i="3" s="1"/>
  <c r="I72" i="3"/>
  <c r="BU71" i="3"/>
  <c r="BR71" i="3"/>
  <c r="AD71" i="3"/>
  <c r="AC71" i="3"/>
  <c r="AB71" i="3"/>
  <c r="AA71" i="3"/>
  <c r="Z71" i="3"/>
  <c r="Y71" i="3"/>
  <c r="X71" i="3"/>
  <c r="O71" i="3"/>
  <c r="W71" i="3" s="1"/>
  <c r="N71" i="3"/>
  <c r="V71" i="3" s="1"/>
  <c r="M71" i="3"/>
  <c r="U71" i="3" s="1"/>
  <c r="L71" i="3"/>
  <c r="T71" i="3" s="1"/>
  <c r="K71" i="3"/>
  <c r="S71" i="3" s="1"/>
  <c r="J71" i="3"/>
  <c r="R71" i="3" s="1"/>
  <c r="I71" i="3"/>
  <c r="BU70" i="3"/>
  <c r="BU69" i="3"/>
  <c r="BU68" i="3"/>
  <c r="BU67" i="3"/>
  <c r="BU66" i="3"/>
  <c r="BU65" i="3"/>
  <c r="BU64" i="3"/>
  <c r="BU63" i="3"/>
  <c r="BU62" i="3"/>
  <c r="BU60" i="3"/>
  <c r="BU59" i="3"/>
  <c r="BU57" i="3"/>
  <c r="BU56" i="3"/>
  <c r="CE55" i="3"/>
  <c r="BU55" i="3"/>
  <c r="BU54" i="3"/>
  <c r="C48" i="1"/>
  <c r="D48" i="1" s="1"/>
  <c r="E48" i="1" s="1"/>
  <c r="F48" i="1" s="1"/>
  <c r="G48" i="1" s="1"/>
  <c r="H48" i="1" s="1"/>
  <c r="I48" i="1" s="1"/>
  <c r="C45" i="1"/>
  <c r="C33" i="1"/>
  <c r="DL89" i="3" s="1"/>
  <c r="BN89" i="3" s="1"/>
  <c r="C32" i="1"/>
  <c r="DL85" i="3" s="1"/>
  <c r="C31" i="1"/>
  <c r="DL80" i="3" s="1"/>
  <c r="BN80" i="3" s="1"/>
  <c r="C30" i="1"/>
  <c r="DL77" i="3" s="1"/>
  <c r="BN77" i="3" s="1"/>
  <c r="C28" i="1"/>
  <c r="DL73" i="3" s="1"/>
  <c r="BN73" i="3" s="1"/>
  <c r="C27" i="1"/>
  <c r="DL72" i="3" s="1"/>
  <c r="BN72" i="3" s="1"/>
  <c r="C26" i="1"/>
  <c r="DL71" i="3" s="1"/>
  <c r="BN71" i="3" s="1"/>
  <c r="C24" i="1"/>
  <c r="DL70" i="3" s="1"/>
  <c r="CB70" i="3" s="1"/>
  <c r="C16" i="1"/>
  <c r="D16" i="1" s="1"/>
  <c r="E16" i="1" s="1"/>
  <c r="F16" i="1" s="1"/>
  <c r="G16" i="1" s="1"/>
  <c r="H16" i="1" s="1"/>
  <c r="I16" i="1" s="1"/>
  <c r="C14" i="1"/>
  <c r="D14" i="1" s="1"/>
  <c r="E14" i="1" s="1"/>
  <c r="F14" i="1" s="1"/>
  <c r="G14" i="1" s="1"/>
  <c r="H14" i="1" s="1"/>
  <c r="I14" i="1" s="1"/>
  <c r="C12" i="1"/>
  <c r="D12" i="1" s="1"/>
  <c r="E12" i="1" s="1"/>
  <c r="F12" i="1" s="1"/>
  <c r="G12" i="1" s="1"/>
  <c r="H12" i="1" s="1"/>
  <c r="I12" i="1" s="1"/>
  <c r="C11" i="1"/>
  <c r="D11" i="1" s="1"/>
  <c r="E11" i="1" s="1"/>
  <c r="F11" i="1" s="1"/>
  <c r="G11" i="1" s="1"/>
  <c r="H11" i="1" s="1"/>
  <c r="I11" i="1" s="1"/>
  <c r="G73" i="1"/>
  <c r="H73" i="1" s="1"/>
  <c r="D73" i="1"/>
  <c r="E72" i="1"/>
  <c r="E71" i="1"/>
  <c r="E70" i="1"/>
  <c r="E69" i="1"/>
  <c r="G68" i="1"/>
  <c r="H68" i="1" s="1"/>
  <c r="D68" i="1"/>
  <c r="G67" i="1"/>
  <c r="H67" i="1" s="1"/>
  <c r="D67" i="1"/>
  <c r="G66" i="1"/>
  <c r="H66" i="1" s="1"/>
  <c r="D66" i="1"/>
  <c r="G65" i="1"/>
  <c r="H65" i="1" s="1"/>
  <c r="D65" i="1"/>
  <c r="G64" i="1"/>
  <c r="H64" i="1" s="1"/>
  <c r="D64" i="1"/>
  <c r="G63" i="1"/>
  <c r="H63" i="1" s="1"/>
  <c r="D63" i="1"/>
  <c r="G62" i="1"/>
  <c r="H62" i="1" s="1"/>
  <c r="D62" i="1"/>
  <c r="G61" i="1"/>
  <c r="H61" i="1" s="1"/>
  <c r="D61" i="1"/>
  <c r="G60" i="1"/>
  <c r="H60" i="1" s="1"/>
  <c r="D60" i="1"/>
  <c r="G59" i="1"/>
  <c r="H59" i="1" s="1"/>
  <c r="D59" i="1"/>
  <c r="G58" i="1"/>
  <c r="H58" i="1" s="1"/>
  <c r="D58" i="1"/>
  <c r="G57" i="1"/>
  <c r="H57" i="1" s="1"/>
  <c r="D57" i="1"/>
  <c r="G56" i="1"/>
  <c r="H56" i="1" s="1"/>
  <c r="D56" i="1"/>
  <c r="G55" i="1"/>
  <c r="H55" i="1" s="1"/>
  <c r="D55" i="1"/>
  <c r="E54" i="1"/>
  <c r="I54" i="1" s="1"/>
  <c r="G54" i="1" s="1"/>
  <c r="E53" i="1"/>
  <c r="I53" i="1" s="1"/>
  <c r="D52" i="1"/>
  <c r="E52" i="1" s="1"/>
  <c r="F52" i="1" s="1"/>
  <c r="G52" i="1" s="1"/>
  <c r="H52" i="1" s="1"/>
  <c r="I52" i="1" s="1"/>
  <c r="D51" i="1"/>
  <c r="E51" i="1" s="1"/>
  <c r="F51" i="1" s="1"/>
  <c r="G51" i="1" s="1"/>
  <c r="H51" i="1" s="1"/>
  <c r="I51" i="1" s="1"/>
  <c r="D50" i="1"/>
  <c r="E50" i="1" s="1"/>
  <c r="F50" i="1" s="1"/>
  <c r="G50" i="1" s="1"/>
  <c r="H50" i="1" s="1"/>
  <c r="I50" i="1" s="1"/>
  <c r="D49" i="1"/>
  <c r="D47" i="1"/>
  <c r="E47" i="1" s="1"/>
  <c r="F47" i="1" s="1"/>
  <c r="G47" i="1" s="1"/>
  <c r="H47" i="1" s="1"/>
  <c r="I47" i="1" s="1"/>
  <c r="D46" i="1"/>
  <c r="E46" i="1" s="1"/>
  <c r="F46" i="1" s="1"/>
  <c r="G46" i="1" s="1"/>
  <c r="H46" i="1" s="1"/>
  <c r="I46" i="1" s="1"/>
  <c r="DR148" i="3" s="1"/>
  <c r="CH148" i="3" s="1"/>
  <c r="D44" i="1"/>
  <c r="CC416" i="3" s="1"/>
  <c r="D17" i="1"/>
  <c r="E17" i="1" s="1"/>
  <c r="F17" i="1" s="1"/>
  <c r="G17" i="1" s="1"/>
  <c r="H17" i="1" s="1"/>
  <c r="I17" i="1" s="1"/>
  <c r="D15" i="1"/>
  <c r="E15" i="1" s="1"/>
  <c r="F15" i="1" s="1"/>
  <c r="G15" i="1" s="1"/>
  <c r="H15" i="1" s="1"/>
  <c r="I15" i="1" s="1"/>
  <c r="D13" i="1"/>
  <c r="E13" i="1" s="1"/>
  <c r="F13" i="1" s="1"/>
  <c r="G13" i="1" s="1"/>
  <c r="H13" i="1" s="1"/>
  <c r="I13" i="1" s="1"/>
  <c r="D10" i="1"/>
  <c r="E10" i="1" s="1"/>
  <c r="F10" i="1" s="1"/>
  <c r="G10" i="1" s="1"/>
  <c r="H10" i="1" s="1"/>
  <c r="I10" i="1" s="1"/>
  <c r="D9" i="1"/>
  <c r="E9" i="1" s="1"/>
  <c r="F9" i="1" s="1"/>
  <c r="G9" i="1" s="1"/>
  <c r="H9" i="1" s="1"/>
  <c r="I9" i="1" s="1"/>
  <c r="EY5" i="24"/>
  <c r="D97" i="1"/>
  <c r="E97" i="1" s="1"/>
  <c r="F97" i="1" s="1"/>
  <c r="G97" i="1" s="1"/>
  <c r="H97" i="1" s="1"/>
  <c r="I97" i="1" s="1"/>
  <c r="GC438" i="24" l="1"/>
  <c r="GD438" i="24"/>
  <c r="GE438" i="24"/>
  <c r="GF438" i="24"/>
  <c r="GC437" i="24"/>
  <c r="GD437" i="24"/>
  <c r="GE437" i="24"/>
  <c r="GF437" i="24"/>
  <c r="G72" i="1"/>
  <c r="H72" i="1" s="1"/>
  <c r="G70" i="1"/>
  <c r="H70" i="1" s="1"/>
  <c r="G71" i="1"/>
  <c r="H71" i="1" s="1"/>
  <c r="E49" i="1"/>
  <c r="DL146" i="3"/>
  <c r="T45" i="1"/>
  <c r="G69" i="1"/>
  <c r="F69" i="1" s="1"/>
  <c r="DH140" i="24"/>
  <c r="DH138" i="24"/>
  <c r="DO138" i="24"/>
  <c r="DO140" i="24"/>
  <c r="G74" i="13"/>
  <c r="BR88" i="3"/>
  <c r="BR74" i="3"/>
  <c r="BR80" i="3"/>
  <c r="BR72" i="3"/>
  <c r="BR73" i="3"/>
  <c r="BR87" i="3"/>
  <c r="F68" i="1"/>
  <c r="D45" i="1"/>
  <c r="E45" i="1" s="1"/>
  <c r="F45" i="1" s="1"/>
  <c r="G45" i="1" s="1"/>
  <c r="H45" i="1" s="1"/>
  <c r="I45" i="1" s="1"/>
  <c r="DR146" i="3" s="1"/>
  <c r="CH146" i="3" s="1"/>
  <c r="Q80" i="3"/>
  <c r="Q74" i="3"/>
  <c r="Q71" i="3"/>
  <c r="Q72" i="3"/>
  <c r="Q87" i="3"/>
  <c r="J135" i="3"/>
  <c r="X78" i="3"/>
  <c r="I78" i="3"/>
  <c r="I100" i="3" s="1"/>
  <c r="Q136" i="3"/>
  <c r="Q79" i="3"/>
  <c r="Q126" i="3"/>
  <c r="Q88" i="3"/>
  <c r="X84" i="3"/>
  <c r="BN78" i="3"/>
  <c r="D54" i="1"/>
  <c r="F64" i="1"/>
  <c r="DL145" i="3"/>
  <c r="BN145" i="3" s="1"/>
  <c r="DM147" i="3"/>
  <c r="CC147" i="3" s="1"/>
  <c r="F60" i="1"/>
  <c r="DR147" i="3"/>
  <c r="CH147" i="3" s="1"/>
  <c r="BN79" i="3"/>
  <c r="F63" i="1"/>
  <c r="DL81" i="3"/>
  <c r="D53" i="1"/>
  <c r="DL86" i="3"/>
  <c r="E44" i="1"/>
  <c r="CD416" i="3" s="1"/>
  <c r="DM124" i="3"/>
  <c r="CC124" i="3" s="1"/>
  <c r="DM125" i="3"/>
  <c r="CC125" i="3" s="1"/>
  <c r="D71" i="1"/>
  <c r="C22" i="1"/>
  <c r="DL76" i="3" s="1"/>
  <c r="BN76" i="3" s="1"/>
  <c r="CE83" i="3"/>
  <c r="CF83" i="3"/>
  <c r="U138" i="3"/>
  <c r="CG83" i="3"/>
  <c r="CH83" i="3"/>
  <c r="CD92" i="3"/>
  <c r="DR84" i="3"/>
  <c r="DQ84" i="3"/>
  <c r="DP84" i="3"/>
  <c r="DO84" i="3"/>
  <c r="DN84" i="3"/>
  <c r="DM84" i="3"/>
  <c r="DH81" i="24"/>
  <c r="R138" i="3"/>
  <c r="S138" i="3"/>
  <c r="R139" i="3"/>
  <c r="T138" i="3"/>
  <c r="S139" i="3"/>
  <c r="W138" i="3"/>
  <c r="V139" i="3"/>
  <c r="V138" i="3"/>
  <c r="W139" i="3"/>
  <c r="U139" i="3"/>
  <c r="T139" i="3"/>
  <c r="DN147" i="3"/>
  <c r="CD147" i="3" s="1"/>
  <c r="DN145" i="3"/>
  <c r="CD145" i="3" s="1"/>
  <c r="F59" i="1"/>
  <c r="DQ148" i="3"/>
  <c r="CG148" i="3" s="1"/>
  <c r="DP148" i="3"/>
  <c r="CF148" i="3" s="1"/>
  <c r="DO148" i="3"/>
  <c r="CE148" i="3" s="1"/>
  <c r="DN148" i="3"/>
  <c r="CD148" i="3" s="1"/>
  <c r="DO146" i="3"/>
  <c r="CE146" i="3" s="1"/>
  <c r="F67" i="1"/>
  <c r="DM148" i="3"/>
  <c r="CC148" i="3" s="1"/>
  <c r="DM146" i="3"/>
  <c r="F55" i="1"/>
  <c r="DQ147" i="3"/>
  <c r="CG147" i="3" s="1"/>
  <c r="DQ145" i="3"/>
  <c r="CG145" i="3" s="1"/>
  <c r="F56" i="1"/>
  <c r="D69" i="1"/>
  <c r="DP147" i="3"/>
  <c r="CF147" i="3" s="1"/>
  <c r="DO147" i="3"/>
  <c r="CE147" i="3" s="1"/>
  <c r="DO145" i="3"/>
  <c r="CE145" i="3" s="1"/>
  <c r="BN124" i="3"/>
  <c r="BN147" i="3"/>
  <c r="O84" i="3"/>
  <c r="BN100" i="3"/>
  <c r="L84" i="3"/>
  <c r="M84" i="3"/>
  <c r="CB103" i="3"/>
  <c r="I84" i="3"/>
  <c r="J84" i="3"/>
  <c r="K84" i="3"/>
  <c r="N84" i="3"/>
  <c r="O81" i="3"/>
  <c r="W81" i="3" s="1"/>
  <c r="N81" i="3"/>
  <c r="V81" i="3" s="1"/>
  <c r="U80" i="3"/>
  <c r="J81" i="3"/>
  <c r="R81" i="3" s="1"/>
  <c r="Q73" i="3"/>
  <c r="S73" i="3"/>
  <c r="V73" i="3"/>
  <c r="W73" i="3"/>
  <c r="L78" i="3"/>
  <c r="T78" i="3" s="1"/>
  <c r="R73" i="3"/>
  <c r="M78" i="3"/>
  <c r="U78" i="3" s="1"/>
  <c r="I81" i="3"/>
  <c r="K81" i="3"/>
  <c r="S81" i="3" s="1"/>
  <c r="L81" i="3"/>
  <c r="T81" i="3" s="1"/>
  <c r="H69" i="1"/>
  <c r="H54" i="1"/>
  <c r="F54" i="1"/>
  <c r="G53" i="1"/>
  <c r="H53" i="1" s="1"/>
  <c r="D72" i="1"/>
  <c r="F57" i="1"/>
  <c r="F61" i="1"/>
  <c r="F65" i="1"/>
  <c r="F58" i="1"/>
  <c r="F62" i="1"/>
  <c r="F66" i="1"/>
  <c r="D70" i="1"/>
  <c r="F73" i="1"/>
  <c r="F72" i="1" l="1"/>
  <c r="DM145" i="3"/>
  <c r="CC145" i="3" s="1"/>
  <c r="F71" i="1"/>
  <c r="DP146" i="3"/>
  <c r="CF146" i="3" s="1"/>
  <c r="F70" i="1"/>
  <c r="DQ146" i="3"/>
  <c r="CG146" i="3" s="1"/>
  <c r="DP145" i="3"/>
  <c r="CF145" i="3" s="1"/>
  <c r="U45" i="1"/>
  <c r="F49" i="1"/>
  <c r="V45" i="1"/>
  <c r="Q78" i="3"/>
  <c r="BR78" i="3"/>
  <c r="BR79" i="3"/>
  <c r="BQ145" i="3"/>
  <c r="DN146" i="3"/>
  <c r="CD146" i="3" s="1"/>
  <c r="DR145" i="3"/>
  <c r="CH145" i="3" s="1"/>
  <c r="I101" i="3"/>
  <c r="I102" i="3"/>
  <c r="I459" i="3" s="1"/>
  <c r="Q459" i="3" s="1"/>
  <c r="CB145" i="3"/>
  <c r="Q84" i="3"/>
  <c r="Q138" i="3"/>
  <c r="Q139" i="3"/>
  <c r="Q81" i="3"/>
  <c r="BN84" i="3"/>
  <c r="F44" i="1"/>
  <c r="CE416" i="3" s="1"/>
  <c r="DN124" i="3"/>
  <c r="CD124" i="3" s="1"/>
  <c r="DN125" i="3"/>
  <c r="CD125" i="3" s="1"/>
  <c r="CE92" i="3"/>
  <c r="F53" i="1"/>
  <c r="G49" i="1" l="1"/>
  <c r="W45" i="1"/>
  <c r="CF93" i="3"/>
  <c r="BR84" i="3"/>
  <c r="G44" i="1"/>
  <c r="CF416" i="3" s="1"/>
  <c r="DO125" i="3"/>
  <c r="CE125" i="3" s="1"/>
  <c r="DO124" i="3"/>
  <c r="CE124" i="3" s="1"/>
  <c r="CF92" i="3"/>
  <c r="B366" i="24"/>
  <c r="C366" i="24"/>
  <c r="D366" i="24"/>
  <c r="E366" i="24"/>
  <c r="N366" i="24" s="1"/>
  <c r="F366" i="24"/>
  <c r="B208" i="24"/>
  <c r="C208" i="24"/>
  <c r="D208" i="24"/>
  <c r="E208" i="24"/>
  <c r="N208" i="24" s="1"/>
  <c r="F208" i="24"/>
  <c r="B209" i="24"/>
  <c r="C209" i="24"/>
  <c r="D209" i="24"/>
  <c r="E209" i="24"/>
  <c r="N209" i="24" s="1"/>
  <c r="F209" i="24"/>
  <c r="B202" i="24"/>
  <c r="C202" i="24"/>
  <c r="D202" i="24"/>
  <c r="E202" i="24"/>
  <c r="N202" i="24" s="1"/>
  <c r="F202" i="24"/>
  <c r="B201" i="24"/>
  <c r="C201" i="24"/>
  <c r="D201" i="24"/>
  <c r="E201" i="24"/>
  <c r="N201" i="24" s="1"/>
  <c r="F201" i="24"/>
  <c r="DL209" i="3"/>
  <c r="DM209" i="3"/>
  <c r="DN209" i="3"/>
  <c r="DO209" i="3"/>
  <c r="DP209" i="3"/>
  <c r="DQ209" i="3"/>
  <c r="DR209" i="3"/>
  <c r="DL210" i="3"/>
  <c r="DN210" i="3"/>
  <c r="DR210" i="3"/>
  <c r="CH210" i="3" s="1"/>
  <c r="DL208" i="3"/>
  <c r="DM208" i="3"/>
  <c r="DN208" i="3"/>
  <c r="DO208" i="3"/>
  <c r="DP208" i="3"/>
  <c r="DQ208" i="3"/>
  <c r="DR208" i="3"/>
  <c r="B399" i="24"/>
  <c r="B400" i="24"/>
  <c r="B401" i="24"/>
  <c r="B402" i="24"/>
  <c r="B403" i="24"/>
  <c r="B404" i="24"/>
  <c r="B405" i="24"/>
  <c r="B406" i="24"/>
  <c r="B407" i="24"/>
  <c r="B409" i="24"/>
  <c r="B410" i="24"/>
  <c r="B411" i="24"/>
  <c r="B412" i="24"/>
  <c r="B413" i="24"/>
  <c r="B414" i="24"/>
  <c r="B415" i="24"/>
  <c r="B416" i="24"/>
  <c r="B417" i="24"/>
  <c r="B418" i="24"/>
  <c r="B419" i="24"/>
  <c r="B420" i="24"/>
  <c r="B421" i="24"/>
  <c r="B422" i="24"/>
  <c r="B423" i="24"/>
  <c r="B424" i="24"/>
  <c r="B425" i="24"/>
  <c r="B426" i="24"/>
  <c r="B427" i="24"/>
  <c r="B428" i="24"/>
  <c r="B430" i="24"/>
  <c r="B431" i="24"/>
  <c r="B432" i="24"/>
  <c r="B433" i="24"/>
  <c r="B434" i="24"/>
  <c r="B435" i="24"/>
  <c r="B436" i="24"/>
  <c r="B461" i="24"/>
  <c r="B462" i="24"/>
  <c r="B463" i="24"/>
  <c r="B464" i="24"/>
  <c r="B465" i="24"/>
  <c r="B466" i="24"/>
  <c r="B467" i="24"/>
  <c r="B468" i="24"/>
  <c r="B469" i="24"/>
  <c r="B470" i="24"/>
  <c r="B471" i="24"/>
  <c r="B472" i="24"/>
  <c r="B473" i="24"/>
  <c r="B474" i="24"/>
  <c r="B475" i="24"/>
  <c r="B476" i="24"/>
  <c r="B477" i="24"/>
  <c r="B478" i="24"/>
  <c r="B479" i="24"/>
  <c r="B480" i="24"/>
  <c r="B481" i="24"/>
  <c r="B482" i="24"/>
  <c r="B483" i="24"/>
  <c r="B484" i="24"/>
  <c r="B485" i="24"/>
  <c r="B486" i="24"/>
  <c r="B487" i="24"/>
  <c r="B488" i="24"/>
  <c r="B489" i="24"/>
  <c r="B490" i="24"/>
  <c r="B491" i="24"/>
  <c r="B492" i="24"/>
  <c r="B493" i="24"/>
  <c r="B494" i="24"/>
  <c r="B495" i="24"/>
  <c r="B496" i="24"/>
  <c r="B497" i="24"/>
  <c r="B498" i="24"/>
  <c r="B499" i="24"/>
  <c r="B500" i="24"/>
  <c r="B501" i="24"/>
  <c r="B502" i="24"/>
  <c r="B503" i="24"/>
  <c r="B504" i="24"/>
  <c r="B505" i="24"/>
  <c r="B506" i="24"/>
  <c r="B507" i="24"/>
  <c r="GG398" i="24"/>
  <c r="B398" i="24"/>
  <c r="C398" i="24"/>
  <c r="D398" i="24"/>
  <c r="E398" i="24"/>
  <c r="N398" i="24" s="1"/>
  <c r="F398" i="24"/>
  <c r="GB502" i="24"/>
  <c r="GB501" i="24"/>
  <c r="GG208" i="24"/>
  <c r="GG209" i="24"/>
  <c r="GG201" i="24"/>
  <c r="GG202" i="24"/>
  <c r="BU209" i="3"/>
  <c r="BU208" i="3"/>
  <c r="B397" i="24"/>
  <c r="B396" i="24"/>
  <c r="B395" i="24"/>
  <c r="B394" i="24"/>
  <c r="B392" i="24"/>
  <c r="B391" i="24"/>
  <c r="B390" i="24"/>
  <c r="B389" i="24"/>
  <c r="B388" i="24"/>
  <c r="B387" i="24"/>
  <c r="B386" i="24"/>
  <c r="B385" i="24"/>
  <c r="B383" i="24"/>
  <c r="B382" i="24"/>
  <c r="B381" i="24"/>
  <c r="B380" i="24"/>
  <c r="B379" i="24"/>
  <c r="B378" i="24"/>
  <c r="B377" i="24"/>
  <c r="B376" i="24"/>
  <c r="B375" i="24"/>
  <c r="B374" i="24"/>
  <c r="B373" i="24"/>
  <c r="B372" i="24"/>
  <c r="B371" i="24"/>
  <c r="B370" i="24"/>
  <c r="B369" i="24"/>
  <c r="B368" i="24"/>
  <c r="B367" i="24"/>
  <c r="B365" i="24"/>
  <c r="B364" i="24"/>
  <c r="B363" i="24"/>
  <c r="B362" i="24"/>
  <c r="B361" i="24"/>
  <c r="B360" i="24"/>
  <c r="B359" i="24"/>
  <c r="B357" i="24"/>
  <c r="B356" i="24"/>
  <c r="B355" i="24"/>
  <c r="B354" i="24"/>
  <c r="B353" i="24"/>
  <c r="B352" i="24"/>
  <c r="B351" i="24"/>
  <c r="B350" i="24"/>
  <c r="B349" i="24"/>
  <c r="B348" i="24"/>
  <c r="B347" i="24"/>
  <c r="B346" i="24"/>
  <c r="B345" i="24"/>
  <c r="B344" i="24"/>
  <c r="B343" i="24"/>
  <c r="B342" i="24"/>
  <c r="B341" i="24"/>
  <c r="B340" i="24"/>
  <c r="B339" i="24"/>
  <c r="B338" i="24"/>
  <c r="B337" i="24"/>
  <c r="B336" i="24"/>
  <c r="B335" i="24"/>
  <c r="B334" i="24"/>
  <c r="B333" i="24"/>
  <c r="B332" i="24"/>
  <c r="B331" i="24"/>
  <c r="B330" i="24"/>
  <c r="B329" i="24"/>
  <c r="B328" i="24"/>
  <c r="B327" i="24"/>
  <c r="B326" i="24"/>
  <c r="B325" i="24"/>
  <c r="B324" i="24"/>
  <c r="B323" i="24"/>
  <c r="B322" i="24"/>
  <c r="B321" i="24"/>
  <c r="B320" i="24"/>
  <c r="B319" i="24"/>
  <c r="B318" i="24"/>
  <c r="B317" i="24"/>
  <c r="B316" i="24"/>
  <c r="B315" i="24"/>
  <c r="B314" i="24"/>
  <c r="B313" i="24"/>
  <c r="B312" i="24"/>
  <c r="B311" i="24"/>
  <c r="B310" i="24"/>
  <c r="B309" i="24"/>
  <c r="B308" i="24"/>
  <c r="B307" i="24"/>
  <c r="B306" i="24"/>
  <c r="B305" i="24"/>
  <c r="B303" i="24"/>
  <c r="B302" i="24"/>
  <c r="B301" i="24"/>
  <c r="B300" i="24"/>
  <c r="B299" i="24"/>
  <c r="B298" i="24"/>
  <c r="B296" i="24"/>
  <c r="B295" i="24"/>
  <c r="B294" i="24"/>
  <c r="B293" i="24"/>
  <c r="B292" i="24"/>
  <c r="B291" i="24"/>
  <c r="B290" i="24"/>
  <c r="B289" i="24"/>
  <c r="B288" i="24"/>
  <c r="B287" i="24"/>
  <c r="B286" i="24"/>
  <c r="B285" i="24"/>
  <c r="B284" i="24"/>
  <c r="B283" i="24"/>
  <c r="B282" i="24"/>
  <c r="B281" i="24"/>
  <c r="B280" i="24"/>
  <c r="B279" i="24"/>
  <c r="B278" i="24"/>
  <c r="B277" i="24"/>
  <c r="B276" i="24"/>
  <c r="B275" i="24"/>
  <c r="B274" i="24"/>
  <c r="B273" i="24"/>
  <c r="B272" i="24"/>
  <c r="B271" i="24"/>
  <c r="B270" i="24"/>
  <c r="B269" i="24"/>
  <c r="B268" i="24"/>
  <c r="B267" i="24"/>
  <c r="B266" i="24"/>
  <c r="B265" i="24"/>
  <c r="B264" i="24"/>
  <c r="B263" i="24"/>
  <c r="B262" i="24"/>
  <c r="B261" i="24"/>
  <c r="B260" i="24"/>
  <c r="B259" i="24"/>
  <c r="B258" i="24"/>
  <c r="B257" i="24"/>
  <c r="B256" i="24"/>
  <c r="B255" i="24"/>
  <c r="B254" i="24"/>
  <c r="B253" i="24"/>
  <c r="B252" i="24"/>
  <c r="B251" i="24"/>
  <c r="B250" i="24"/>
  <c r="B249" i="24"/>
  <c r="B248" i="24"/>
  <c r="B247" i="24"/>
  <c r="B246" i="24"/>
  <c r="B245" i="24"/>
  <c r="B244" i="24"/>
  <c r="B243" i="24"/>
  <c r="B242" i="24"/>
  <c r="B241" i="24"/>
  <c r="B240" i="24"/>
  <c r="B239" i="24"/>
  <c r="B238" i="24"/>
  <c r="B237" i="24"/>
  <c r="B236" i="24"/>
  <c r="B235" i="24"/>
  <c r="B234" i="24"/>
  <c r="B233" i="24"/>
  <c r="B232" i="24"/>
  <c r="B231" i="24"/>
  <c r="B230" i="24"/>
  <c r="B229" i="24"/>
  <c r="B228" i="24"/>
  <c r="B227" i="24"/>
  <c r="B226" i="24"/>
  <c r="B225" i="24"/>
  <c r="B224" i="24"/>
  <c r="B223" i="24"/>
  <c r="B222" i="24"/>
  <c r="B221" i="24"/>
  <c r="B220" i="24"/>
  <c r="B219" i="24"/>
  <c r="B218" i="24"/>
  <c r="B217" i="24"/>
  <c r="B216" i="24"/>
  <c r="B215" i="24"/>
  <c r="B214" i="24"/>
  <c r="B213" i="24"/>
  <c r="B212" i="24"/>
  <c r="B211" i="24"/>
  <c r="B210" i="24"/>
  <c r="B207" i="24"/>
  <c r="B206" i="24"/>
  <c r="B205" i="24"/>
  <c r="B204" i="24"/>
  <c r="B203" i="24"/>
  <c r="B200" i="24"/>
  <c r="B199" i="24"/>
  <c r="B198" i="24"/>
  <c r="B197" i="24"/>
  <c r="B196" i="24"/>
  <c r="B195" i="24"/>
  <c r="B194" i="24"/>
  <c r="B193" i="24"/>
  <c r="B191" i="24"/>
  <c r="B190" i="24"/>
  <c r="B189" i="24"/>
  <c r="B188" i="24"/>
  <c r="B187" i="24"/>
  <c r="B186" i="24"/>
  <c r="B185" i="24"/>
  <c r="B184" i="24"/>
  <c r="B183" i="24"/>
  <c r="B182" i="24"/>
  <c r="B181" i="24"/>
  <c r="B180" i="24"/>
  <c r="B179" i="24"/>
  <c r="B178" i="24"/>
  <c r="B177" i="24"/>
  <c r="B176" i="24"/>
  <c r="B175" i="24"/>
  <c r="B174" i="24"/>
  <c r="B173" i="24"/>
  <c r="B172" i="24"/>
  <c r="B171" i="24"/>
  <c r="B170" i="24"/>
  <c r="B169" i="24"/>
  <c r="B168" i="24"/>
  <c r="B167" i="24"/>
  <c r="B166" i="24"/>
  <c r="B165" i="24"/>
  <c r="B164" i="24"/>
  <c r="B163" i="24"/>
  <c r="B162" i="24"/>
  <c r="B161" i="24"/>
  <c r="B160" i="24"/>
  <c r="B159" i="24"/>
  <c r="B158" i="24"/>
  <c r="B157" i="24"/>
  <c r="B156" i="24"/>
  <c r="B155" i="24"/>
  <c r="B154" i="24"/>
  <c r="B153" i="24"/>
  <c r="B152" i="24"/>
  <c r="B151" i="24"/>
  <c r="B150" i="24"/>
  <c r="B149" i="24"/>
  <c r="B148" i="24"/>
  <c r="B147" i="24"/>
  <c r="B146" i="24"/>
  <c r="B145" i="24"/>
  <c r="B123" i="24"/>
  <c r="B122" i="24"/>
  <c r="B119" i="24"/>
  <c r="B118" i="24"/>
  <c r="B117" i="24"/>
  <c r="B116" i="24"/>
  <c r="B115" i="24"/>
  <c r="B114" i="24"/>
  <c r="B113" i="24"/>
  <c r="B112" i="24"/>
  <c r="B111" i="24"/>
  <c r="B110" i="24"/>
  <c r="B109" i="24"/>
  <c r="B108" i="24"/>
  <c r="B107" i="24"/>
  <c r="B106" i="24"/>
  <c r="B105" i="24"/>
  <c r="B104" i="24"/>
  <c r="B103" i="24"/>
  <c r="B102" i="24"/>
  <c r="B101" i="24"/>
  <c r="B97" i="24"/>
  <c r="B92" i="24"/>
  <c r="B91" i="24"/>
  <c r="B90" i="24"/>
  <c r="B83" i="24"/>
  <c r="B82" i="24"/>
  <c r="B70" i="24"/>
  <c r="B69" i="24"/>
  <c r="B68" i="24"/>
  <c r="B67" i="24"/>
  <c r="B66" i="24"/>
  <c r="B65" i="24"/>
  <c r="B64" i="24"/>
  <c r="B63" i="24"/>
  <c r="B62" i="24"/>
  <c r="B61" i="24"/>
  <c r="B60" i="24"/>
  <c r="B59" i="24"/>
  <c r="B58" i="24"/>
  <c r="B57" i="24"/>
  <c r="B56" i="24"/>
  <c r="B55" i="24"/>
  <c r="B54" i="24"/>
  <c r="B53" i="24"/>
  <c r="B52" i="24"/>
  <c r="B51" i="24"/>
  <c r="B50" i="24"/>
  <c r="B49" i="24"/>
  <c r="B48" i="24"/>
  <c r="B47" i="24"/>
  <c r="B46" i="24"/>
  <c r="B45" i="24"/>
  <c r="B44" i="24"/>
  <c r="B43" i="24"/>
  <c r="B42" i="24"/>
  <c r="B41" i="24"/>
  <c r="B40" i="24"/>
  <c r="B39" i="24"/>
  <c r="B38" i="24"/>
  <c r="B37" i="24"/>
  <c r="B36" i="24"/>
  <c r="B35" i="24"/>
  <c r="B34" i="24"/>
  <c r="B33" i="24"/>
  <c r="B32" i="24"/>
  <c r="B31" i="24"/>
  <c r="B30" i="24"/>
  <c r="B29" i="24"/>
  <c r="B28" i="24"/>
  <c r="B27" i="24"/>
  <c r="B26" i="24"/>
  <c r="B25" i="24"/>
  <c r="B24" i="24"/>
  <c r="B23" i="24"/>
  <c r="B22" i="24"/>
  <c r="B21" i="24"/>
  <c r="B20" i="24"/>
  <c r="B19" i="24"/>
  <c r="B18" i="24"/>
  <c r="B17" i="24"/>
  <c r="B16" i="24"/>
  <c r="B15" i="24"/>
  <c r="B14" i="24"/>
  <c r="B13" i="24"/>
  <c r="B12" i="24"/>
  <c r="B11" i="24"/>
  <c r="B10" i="24"/>
  <c r="B9" i="24"/>
  <c r="B8" i="24"/>
  <c r="B7" i="24"/>
  <c r="J2" i="4"/>
  <c r="H49" i="1" l="1"/>
  <c r="X45" i="1"/>
  <c r="CG93" i="3"/>
  <c r="H44" i="1"/>
  <c r="CG416" i="3" s="1"/>
  <c r="DP125" i="3"/>
  <c r="CF125" i="3" s="1"/>
  <c r="DP124" i="3"/>
  <c r="CF124" i="3" s="1"/>
  <c r="CG92" i="3"/>
  <c r="CH92" i="3" s="1"/>
  <c r="GF398" i="24"/>
  <c r="GE398" i="24"/>
  <c r="GD398" i="24"/>
  <c r="GC398" i="24"/>
  <c r="GB6" i="24"/>
  <c r="GB5" i="24"/>
  <c r="GB4" i="24"/>
  <c r="DH363" i="24"/>
  <c r="DH364" i="24"/>
  <c r="EM363" i="24"/>
  <c r="EM364" i="24"/>
  <c r="H364" i="24"/>
  <c r="H363" i="24"/>
  <c r="C369" i="24"/>
  <c r="D369" i="24"/>
  <c r="E369" i="24"/>
  <c r="C357" i="24"/>
  <c r="D357" i="24"/>
  <c r="E357" i="24"/>
  <c r="F372" i="24"/>
  <c r="E372" i="24"/>
  <c r="D372" i="24"/>
  <c r="C372" i="24"/>
  <c r="BU372" i="3"/>
  <c r="O372" i="3"/>
  <c r="W372" i="3" s="1"/>
  <c r="W371" i="3"/>
  <c r="W357" i="3"/>
  <c r="Q357" i="3"/>
  <c r="W369" i="3"/>
  <c r="I49" i="1" l="1"/>
  <c r="Z45" i="1" s="1"/>
  <c r="Y45" i="1"/>
  <c r="CH93" i="3"/>
  <c r="Q359" i="3"/>
  <c r="Q362" i="3"/>
  <c r="Q371" i="3"/>
  <c r="Q369" i="3"/>
  <c r="O360" i="3"/>
  <c r="W360" i="3" s="1"/>
  <c r="O361" i="3"/>
  <c r="W361" i="3" s="1"/>
  <c r="Q363" i="3"/>
  <c r="Q372" i="3"/>
  <c r="I44" i="1"/>
  <c r="CH416" i="3" s="1"/>
  <c r="DQ125" i="3"/>
  <c r="CG125" i="3" s="1"/>
  <c r="DQ124" i="3"/>
  <c r="CG124" i="3" s="1"/>
  <c r="N372" i="24"/>
  <c r="Q361" i="3"/>
  <c r="Q360" i="3"/>
  <c r="O362" i="3"/>
  <c r="W362" i="3" s="1"/>
  <c r="O359" i="3"/>
  <c r="W359" i="3" s="1"/>
  <c r="O363" i="3" l="1"/>
  <c r="W363" i="3" s="1"/>
  <c r="DR125" i="3"/>
  <c r="CH125" i="3" s="1"/>
  <c r="DR124" i="3"/>
  <c r="CH124" i="3" s="1"/>
  <c r="F207" i="24"/>
  <c r="E207" i="24"/>
  <c r="D207" i="24"/>
  <c r="C207" i="24"/>
  <c r="DR207" i="3"/>
  <c r="DQ207" i="3"/>
  <c r="DP207" i="3"/>
  <c r="DO207" i="3"/>
  <c r="DN207" i="3"/>
  <c r="DL207" i="3"/>
  <c r="BU207" i="3"/>
  <c r="F404" i="24"/>
  <c r="F405" i="24"/>
  <c r="E404" i="24"/>
  <c r="D404" i="24"/>
  <c r="C404" i="24"/>
  <c r="F402" i="24"/>
  <c r="F403" i="24"/>
  <c r="F406" i="24"/>
  <c r="F407" i="24"/>
  <c r="F409" i="24"/>
  <c r="BU404" i="3"/>
  <c r="N404" i="24" l="1"/>
  <c r="N207" i="24"/>
  <c r="F369" i="24"/>
  <c r="F357" i="24"/>
  <c r="N369" i="24"/>
  <c r="N357" i="24"/>
  <c r="F364" i="24"/>
  <c r="E364" i="24"/>
  <c r="D364" i="24"/>
  <c r="C364" i="24"/>
  <c r="F363" i="24"/>
  <c r="E363" i="24"/>
  <c r="D363" i="24"/>
  <c r="C363" i="24"/>
  <c r="BU364" i="3"/>
  <c r="BU363" i="3"/>
  <c r="EH6" i="24"/>
  <c r="EG6" i="24"/>
  <c r="EH4" i="24"/>
  <c r="Q129" i="1"/>
  <c r="EH5" i="24" s="1"/>
  <c r="EO6" i="24"/>
  <c r="EO5" i="24"/>
  <c r="EO4" i="24"/>
  <c r="BU357" i="3" l="1"/>
  <c r="R369" i="3"/>
  <c r="J388" i="3" l="1"/>
  <c r="K388" i="3"/>
  <c r="L388" i="3"/>
  <c r="M388" i="3"/>
  <c r="N388" i="3"/>
  <c r="O388" i="3"/>
  <c r="J387" i="3"/>
  <c r="K387" i="3"/>
  <c r="L387" i="3"/>
  <c r="M387" i="3"/>
  <c r="N387" i="3"/>
  <c r="O387" i="3"/>
  <c r="S369" i="3" l="1"/>
  <c r="U369" i="3"/>
  <c r="V369" i="3"/>
  <c r="T369" i="3"/>
  <c r="DM207" i="3" l="1"/>
  <c r="Q364" i="3" l="1"/>
  <c r="O364" i="3"/>
  <c r="W364" i="3" s="1"/>
  <c r="BU397" i="3" l="1"/>
  <c r="BU369" i="3"/>
  <c r="F7" i="24" l="1"/>
  <c r="BU373" i="3" l="1"/>
  <c r="E20" i="27" l="1"/>
  <c r="C417" i="24" l="1"/>
  <c r="GC417" i="24" l="1"/>
  <c r="GD417" i="24"/>
  <c r="GE417" i="24"/>
  <c r="GF417" i="24"/>
  <c r="X46" i="3"/>
  <c r="X47" i="3"/>
  <c r="X48" i="3"/>
  <c r="X49" i="3"/>
  <c r="X50" i="3"/>
  <c r="X322" i="3"/>
  <c r="X397" i="3"/>
  <c r="X323" i="3" l="1"/>
  <c r="S5" i="26" l="1"/>
  <c r="BU417" i="3"/>
  <c r="BU418" i="3"/>
  <c r="D417" i="24" l="1"/>
  <c r="E417" i="24"/>
  <c r="F417" i="24"/>
  <c r="EX6" i="24"/>
  <c r="EX5" i="24"/>
  <c r="EX4" i="24"/>
  <c r="BU398" i="3" l="1"/>
  <c r="DH390" i="24" l="1"/>
  <c r="DO392" i="24"/>
  <c r="DH392" i="24"/>
  <c r="DH391" i="24"/>
  <c r="CB239" i="3" l="1"/>
  <c r="BU34" i="3" l="1"/>
  <c r="CC373" i="3"/>
  <c r="BR278" i="3"/>
  <c r="BR277" i="3"/>
  <c r="BR276" i="3"/>
  <c r="CD373" i="3" l="1"/>
  <c r="X7" i="26"/>
  <c r="CE373" i="3" l="1"/>
  <c r="S6" i="26"/>
  <c r="T6" i="26"/>
  <c r="U6" i="26"/>
  <c r="V6" i="26"/>
  <c r="W6" i="26"/>
  <c r="S7" i="26"/>
  <c r="T7" i="26"/>
  <c r="U7" i="26"/>
  <c r="V7" i="26"/>
  <c r="W7" i="26"/>
  <c r="R7" i="26"/>
  <c r="R6" i="26"/>
  <c r="BU504" i="3"/>
  <c r="BU505" i="3"/>
  <c r="R3" i="26"/>
  <c r="CH497" i="3" l="1"/>
  <c r="CD497" i="3"/>
  <c r="CH495" i="3"/>
  <c r="CD495" i="3"/>
  <c r="CH493" i="3"/>
  <c r="CD493" i="3"/>
  <c r="CD490" i="3"/>
  <c r="CH490" i="3"/>
  <c r="CD491" i="3"/>
  <c r="CH491" i="3"/>
  <c r="CH489" i="3"/>
  <c r="CD489" i="3"/>
  <c r="CH483" i="3"/>
  <c r="CD483" i="3"/>
  <c r="CH466" i="3"/>
  <c r="CH464" i="3"/>
  <c r="CH462" i="3"/>
  <c r="B3" i="26"/>
  <c r="D3" i="25"/>
  <c r="E3" i="14"/>
  <c r="AS3" i="20"/>
  <c r="AL3" i="20"/>
  <c r="AE3" i="20"/>
  <c r="P4" i="20"/>
  <c r="H4" i="20"/>
  <c r="DL6" i="3"/>
  <c r="DD5" i="3"/>
  <c r="CW5" i="3"/>
  <c r="CP5" i="3"/>
  <c r="CI5" i="3"/>
  <c r="CB5" i="3"/>
  <c r="BU5" i="3"/>
  <c r="BN5" i="3"/>
  <c r="X4" i="3"/>
  <c r="Q4" i="3"/>
  <c r="I4" i="3"/>
  <c r="C8" i="1"/>
  <c r="C3" i="1"/>
  <c r="CC419" i="3" l="1"/>
  <c r="CD419" i="3" s="1"/>
  <c r="CE419" i="3" s="1"/>
  <c r="J391" i="3"/>
  <c r="D43" i="1"/>
  <c r="E43" i="1" s="1"/>
  <c r="F43" i="1" s="1"/>
  <c r="G43" i="1" s="1"/>
  <c r="H43" i="1" s="1"/>
  <c r="I43" i="1" s="1"/>
  <c r="D25" i="1"/>
  <c r="D42" i="1"/>
  <c r="E42" i="1" s="1"/>
  <c r="F42" i="1" s="1"/>
  <c r="G42" i="1" s="1"/>
  <c r="H42" i="1" s="1"/>
  <c r="I42" i="1" s="1"/>
  <c r="D21" i="1"/>
  <c r="D41" i="1"/>
  <c r="E41" i="1" s="1"/>
  <c r="F41" i="1" s="1"/>
  <c r="G41" i="1" s="1"/>
  <c r="H41" i="1" s="1"/>
  <c r="I41" i="1" s="1"/>
  <c r="D20" i="1"/>
  <c r="D40" i="1"/>
  <c r="E40" i="1" s="1"/>
  <c r="F40" i="1" s="1"/>
  <c r="G40" i="1" s="1"/>
  <c r="H40" i="1" s="1"/>
  <c r="I40" i="1" s="1"/>
  <c r="D19" i="1"/>
  <c r="D39" i="1"/>
  <c r="E39" i="1" s="1"/>
  <c r="F39" i="1" s="1"/>
  <c r="G39" i="1" s="1"/>
  <c r="H39" i="1" s="1"/>
  <c r="I39" i="1" s="1"/>
  <c r="D18" i="1"/>
  <c r="D38" i="1"/>
  <c r="E38" i="1" s="1"/>
  <c r="F38" i="1" s="1"/>
  <c r="G38" i="1" s="1"/>
  <c r="H38" i="1" s="1"/>
  <c r="I38" i="1" s="1"/>
  <c r="D37" i="1"/>
  <c r="E37" i="1" s="1"/>
  <c r="F37" i="1" s="1"/>
  <c r="G37" i="1" s="1"/>
  <c r="H37" i="1" s="1"/>
  <c r="I37" i="1" s="1"/>
  <c r="D36" i="1"/>
  <c r="DM103" i="3" s="1"/>
  <c r="D35" i="1"/>
  <c r="D34" i="1"/>
  <c r="D33" i="1"/>
  <c r="D31" i="1"/>
  <c r="D30" i="1"/>
  <c r="D29" i="1"/>
  <c r="D27" i="1"/>
  <c r="D28" i="1"/>
  <c r="D22" i="1"/>
  <c r="D26" i="1"/>
  <c r="D24" i="1"/>
  <c r="D23" i="1"/>
  <c r="DM69" i="3" s="1"/>
  <c r="D32" i="1"/>
  <c r="CF495" i="3"/>
  <c r="N364" i="3"/>
  <c r="V364" i="3" s="1"/>
  <c r="N372" i="3"/>
  <c r="V372" i="3" s="1"/>
  <c r="J372" i="3"/>
  <c r="R372" i="3" s="1"/>
  <c r="M372" i="3"/>
  <c r="U372" i="3" s="1"/>
  <c r="L372" i="3"/>
  <c r="T372" i="3" s="1"/>
  <c r="S371" i="3"/>
  <c r="K372" i="3"/>
  <c r="S372" i="3" s="1"/>
  <c r="K364" i="3"/>
  <c r="S364" i="3" s="1"/>
  <c r="M364" i="3"/>
  <c r="U364" i="3" s="1"/>
  <c r="L364" i="3"/>
  <c r="T364" i="3" s="1"/>
  <c r="L363" i="3"/>
  <c r="T363" i="3" s="1"/>
  <c r="J364" i="3"/>
  <c r="R364" i="3" s="1"/>
  <c r="J363" i="3"/>
  <c r="R363" i="3" s="1"/>
  <c r="M363" i="3"/>
  <c r="U363" i="3" s="1"/>
  <c r="N363" i="3"/>
  <c r="V363" i="3" s="1"/>
  <c r="K363" i="3"/>
  <c r="S363" i="3" s="1"/>
  <c r="R371" i="3"/>
  <c r="V371" i="3"/>
  <c r="L357" i="3"/>
  <c r="T357" i="3" s="1"/>
  <c r="J357" i="3"/>
  <c r="R357" i="3" s="1"/>
  <c r="T371" i="3"/>
  <c r="N357" i="3"/>
  <c r="V357" i="3" s="1"/>
  <c r="K357" i="3"/>
  <c r="S357" i="3" s="1"/>
  <c r="U371" i="3"/>
  <c r="M357" i="3"/>
  <c r="U357" i="3" s="1"/>
  <c r="CF497" i="3"/>
  <c r="N362" i="3"/>
  <c r="V362" i="3" s="1"/>
  <c r="M362" i="3"/>
  <c r="U362" i="3" s="1"/>
  <c r="L362" i="3"/>
  <c r="T362" i="3" s="1"/>
  <c r="K362" i="3"/>
  <c r="S362" i="3" s="1"/>
  <c r="J362" i="3"/>
  <c r="R362" i="3" s="1"/>
  <c r="M360" i="3"/>
  <c r="U360" i="3" s="1"/>
  <c r="K361" i="3"/>
  <c r="S361" i="3" s="1"/>
  <c r="M359" i="3"/>
  <c r="U359" i="3" s="1"/>
  <c r="N360" i="3"/>
  <c r="V360" i="3" s="1"/>
  <c r="J361" i="3"/>
  <c r="R361" i="3" s="1"/>
  <c r="J360" i="3"/>
  <c r="R360" i="3" s="1"/>
  <c r="N359" i="3"/>
  <c r="V359" i="3" s="1"/>
  <c r="K359" i="3"/>
  <c r="S359" i="3" s="1"/>
  <c r="N361" i="3"/>
  <c r="V361" i="3" s="1"/>
  <c r="L361" i="3"/>
  <c r="T361" i="3" s="1"/>
  <c r="M361" i="3"/>
  <c r="U361" i="3" s="1"/>
  <c r="K360" i="3"/>
  <c r="S360" i="3" s="1"/>
  <c r="L360" i="3"/>
  <c r="T360" i="3" s="1"/>
  <c r="J359" i="3"/>
  <c r="R359" i="3" s="1"/>
  <c r="L359" i="3"/>
  <c r="T359" i="3" s="1"/>
  <c r="CF493" i="3"/>
  <c r="CF491" i="3"/>
  <c r="CF490" i="3"/>
  <c r="CF419" i="3" l="1"/>
  <c r="R391" i="3"/>
  <c r="Y391" i="3"/>
  <c r="E31" i="1"/>
  <c r="DM80" i="3"/>
  <c r="DM81" i="3"/>
  <c r="E33" i="1"/>
  <c r="DM89" i="3"/>
  <c r="E27" i="1"/>
  <c r="DM72" i="3"/>
  <c r="CC72" i="3" s="1"/>
  <c r="E34" i="1"/>
  <c r="DM98" i="3"/>
  <c r="CC98" i="3" s="1"/>
  <c r="E26" i="1"/>
  <c r="DM71" i="3"/>
  <c r="CC71" i="3" s="1"/>
  <c r="E35" i="1"/>
  <c r="DM101" i="3"/>
  <c r="CC101" i="3" s="1"/>
  <c r="DM102" i="3"/>
  <c r="CC102" i="3" s="1"/>
  <c r="DM100" i="3"/>
  <c r="CC100" i="3" s="1"/>
  <c r="E24" i="1"/>
  <c r="DM70" i="3"/>
  <c r="CC70" i="3" s="1"/>
  <c r="E18" i="1"/>
  <c r="DM47" i="3"/>
  <c r="DM48" i="3"/>
  <c r="DM50" i="3"/>
  <c r="DM46" i="3"/>
  <c r="DM49" i="3"/>
  <c r="E19" i="1"/>
  <c r="DM51" i="3"/>
  <c r="E20" i="1"/>
  <c r="DM52" i="3"/>
  <c r="CC52" i="3" s="1"/>
  <c r="E28" i="1"/>
  <c r="DM73" i="3"/>
  <c r="CC73" i="3" s="1"/>
  <c r="E21" i="1"/>
  <c r="DM53" i="3"/>
  <c r="E32" i="1"/>
  <c r="DM85" i="3"/>
  <c r="DM86" i="3"/>
  <c r="E30" i="1"/>
  <c r="DM77" i="3"/>
  <c r="E25" i="1"/>
  <c r="DM91" i="3"/>
  <c r="DM90" i="3"/>
  <c r="DM92" i="3"/>
  <c r="CE491" i="3"/>
  <c r="CG495" i="3"/>
  <c r="CG490" i="3"/>
  <c r="CG493" i="3"/>
  <c r="CG497" i="3"/>
  <c r="E29" i="1"/>
  <c r="J100" i="3"/>
  <c r="DM74" i="3"/>
  <c r="CC74" i="3" s="1"/>
  <c r="E23" i="1"/>
  <c r="DN69" i="3" s="1"/>
  <c r="DM75" i="3"/>
  <c r="E22" i="1"/>
  <c r="DM76" i="3"/>
  <c r="CE495" i="3"/>
  <c r="E36" i="1"/>
  <c r="DN103" i="3" s="1"/>
  <c r="CC103" i="3"/>
  <c r="CE497" i="3"/>
  <c r="CE493" i="3"/>
  <c r="CG491" i="3"/>
  <c r="CE490" i="3"/>
  <c r="D92" i="24"/>
  <c r="E92" i="24"/>
  <c r="F92" i="24"/>
  <c r="CG419" i="3" l="1"/>
  <c r="F20" i="1"/>
  <c r="DN52" i="3"/>
  <c r="F26" i="1"/>
  <c r="DN71" i="3"/>
  <c r="CD71" i="3" s="1"/>
  <c r="F27" i="1"/>
  <c r="DN72" i="3"/>
  <c r="CD72" i="3" s="1"/>
  <c r="F32" i="1"/>
  <c r="DN85" i="3"/>
  <c r="DN86" i="3"/>
  <c r="F24" i="1"/>
  <c r="DN70" i="3"/>
  <c r="CD70" i="3" s="1"/>
  <c r="F21" i="1"/>
  <c r="DN53" i="3"/>
  <c r="F25" i="1"/>
  <c r="DN91" i="3"/>
  <c r="DN90" i="3"/>
  <c r="DN92" i="3"/>
  <c r="F35" i="1"/>
  <c r="DN100" i="3"/>
  <c r="CD100" i="3" s="1"/>
  <c r="DN101" i="3"/>
  <c r="CD101" i="3" s="1"/>
  <c r="DN102" i="3"/>
  <c r="CD102" i="3" s="1"/>
  <c r="F34" i="1"/>
  <c r="DN98" i="3"/>
  <c r="CD98" i="3" s="1"/>
  <c r="F33" i="1"/>
  <c r="DN89" i="3"/>
  <c r="F28" i="1"/>
  <c r="DN73" i="3"/>
  <c r="CD73" i="3" s="1"/>
  <c r="F30" i="1"/>
  <c r="DN77" i="3"/>
  <c r="F19" i="1"/>
  <c r="DN51" i="3"/>
  <c r="F18" i="1"/>
  <c r="DN47" i="3"/>
  <c r="DN50" i="3"/>
  <c r="DN48" i="3"/>
  <c r="DN46" i="3"/>
  <c r="DN49" i="3"/>
  <c r="F31" i="1"/>
  <c r="DN80" i="3"/>
  <c r="DN81" i="3"/>
  <c r="J102" i="3"/>
  <c r="J459" i="3" s="1"/>
  <c r="R459" i="3" s="1"/>
  <c r="J101" i="3"/>
  <c r="F29" i="1"/>
  <c r="K100" i="3"/>
  <c r="DN74" i="3"/>
  <c r="CD74" i="3" s="1"/>
  <c r="F23" i="1"/>
  <c r="DO69" i="3" s="1"/>
  <c r="DN75" i="3"/>
  <c r="F22" i="1"/>
  <c r="DN76" i="3"/>
  <c r="F36" i="1"/>
  <c r="DO103" i="3" s="1"/>
  <c r="CD103" i="3"/>
  <c r="F264" i="24"/>
  <c r="E264" i="24"/>
  <c r="D264" i="24"/>
  <c r="C264" i="24"/>
  <c r="G18" i="1" l="1"/>
  <c r="DO49" i="3"/>
  <c r="DO50" i="3"/>
  <c r="DO47" i="3"/>
  <c r="DO48" i="3"/>
  <c r="DO46" i="3"/>
  <c r="G28" i="1"/>
  <c r="DO73" i="3"/>
  <c r="CE73" i="3" s="1"/>
  <c r="G24" i="1"/>
  <c r="DO70" i="3"/>
  <c r="CE70" i="3" s="1"/>
  <c r="G30" i="1"/>
  <c r="DO77" i="3"/>
  <c r="G33" i="1"/>
  <c r="DO89" i="3"/>
  <c r="G32" i="1"/>
  <c r="DO85" i="3"/>
  <c r="DO86" i="3"/>
  <c r="G27" i="1"/>
  <c r="DO72" i="3"/>
  <c r="CE72" i="3" s="1"/>
  <c r="G21" i="1"/>
  <c r="DO53" i="3"/>
  <c r="G31" i="1"/>
  <c r="DO81" i="3"/>
  <c r="DO80" i="3"/>
  <c r="G26" i="1"/>
  <c r="DO71" i="3"/>
  <c r="CE71" i="3" s="1"/>
  <c r="G19" i="1"/>
  <c r="DO51" i="3"/>
  <c r="G35" i="1"/>
  <c r="DO100" i="3"/>
  <c r="CE100" i="3" s="1"/>
  <c r="DO101" i="3"/>
  <c r="CE101" i="3" s="1"/>
  <c r="DO102" i="3"/>
  <c r="CE102" i="3" s="1"/>
  <c r="G25" i="1"/>
  <c r="DO91" i="3"/>
  <c r="DO90" i="3"/>
  <c r="DO92" i="3"/>
  <c r="G34" i="1"/>
  <c r="DO98" i="3"/>
  <c r="CE98" i="3" s="1"/>
  <c r="G20" i="1"/>
  <c r="DO52" i="3"/>
  <c r="K102" i="3"/>
  <c r="K459" i="3" s="1"/>
  <c r="S459" i="3" s="1"/>
  <c r="K101" i="3"/>
  <c r="G29" i="1"/>
  <c r="L100" i="3"/>
  <c r="DO74" i="3"/>
  <c r="CE74" i="3" s="1"/>
  <c r="G23" i="1"/>
  <c r="DP69" i="3" s="1"/>
  <c r="DO75" i="3"/>
  <c r="G22" i="1"/>
  <c r="DO76" i="3"/>
  <c r="G36" i="1"/>
  <c r="DP103" i="3" s="1"/>
  <c r="CE103" i="3"/>
  <c r="N264" i="24"/>
  <c r="CF264" i="3"/>
  <c r="BU264" i="3"/>
  <c r="M264" i="3"/>
  <c r="N264" i="3" s="1"/>
  <c r="H19" i="1" l="1"/>
  <c r="DP51" i="3"/>
  <c r="H30" i="1"/>
  <c r="DP77" i="3"/>
  <c r="H26" i="1"/>
  <c r="DP71" i="3"/>
  <c r="CF71" i="3" s="1"/>
  <c r="H24" i="1"/>
  <c r="DP70" i="3"/>
  <c r="CF70" i="3" s="1"/>
  <c r="H35" i="1"/>
  <c r="DP102" i="3"/>
  <c r="CF102" i="3" s="1"/>
  <c r="DP100" i="3"/>
  <c r="CF100" i="3" s="1"/>
  <c r="DP101" i="3"/>
  <c r="CF101" i="3" s="1"/>
  <c r="H20" i="1"/>
  <c r="DP52" i="3"/>
  <c r="H34" i="1"/>
  <c r="DP98" i="3"/>
  <c r="CF98" i="3" s="1"/>
  <c r="H21" i="1"/>
  <c r="DP53" i="3"/>
  <c r="H33" i="1"/>
  <c r="DP89" i="3"/>
  <c r="H28" i="1"/>
  <c r="DP73" i="3"/>
  <c r="CF73" i="3" s="1"/>
  <c r="H27" i="1"/>
  <c r="DP72" i="3"/>
  <c r="CF72" i="3" s="1"/>
  <c r="H32" i="1"/>
  <c r="DP85" i="3"/>
  <c r="DP86" i="3"/>
  <c r="H31" i="1"/>
  <c r="DP81" i="3"/>
  <c r="DP80" i="3"/>
  <c r="H25" i="1"/>
  <c r="DP91" i="3"/>
  <c r="DP90" i="3"/>
  <c r="DP92" i="3"/>
  <c r="H18" i="1"/>
  <c r="DP49" i="3"/>
  <c r="DP47" i="3"/>
  <c r="DP50" i="3"/>
  <c r="DP48" i="3"/>
  <c r="DP46" i="3"/>
  <c r="CG264" i="3"/>
  <c r="L102" i="3"/>
  <c r="L459" i="3" s="1"/>
  <c r="T459" i="3" s="1"/>
  <c r="L101" i="3"/>
  <c r="H29" i="1"/>
  <c r="M100" i="3"/>
  <c r="DP74" i="3"/>
  <c r="CF74" i="3" s="1"/>
  <c r="H23" i="1"/>
  <c r="DQ69" i="3" s="1"/>
  <c r="DP75" i="3"/>
  <c r="H22" i="1"/>
  <c r="DP76" i="3"/>
  <c r="H36" i="1"/>
  <c r="DQ103" i="3" s="1"/>
  <c r="CF103" i="3"/>
  <c r="L264" i="3"/>
  <c r="AG342" i="24"/>
  <c r="AG341" i="24"/>
  <c r="AG340" i="24"/>
  <c r="AG339" i="24"/>
  <c r="AG338" i="24"/>
  <c r="AG337" i="24"/>
  <c r="I25" i="1" l="1"/>
  <c r="DQ91" i="3"/>
  <c r="DQ90" i="3"/>
  <c r="DQ92" i="3"/>
  <c r="I32" i="1"/>
  <c r="DQ85" i="3"/>
  <c r="DQ86" i="3"/>
  <c r="I35" i="1"/>
  <c r="DQ102" i="3"/>
  <c r="CG102" i="3" s="1"/>
  <c r="DQ100" i="3"/>
  <c r="CG100" i="3" s="1"/>
  <c r="DQ101" i="3"/>
  <c r="CG101" i="3" s="1"/>
  <c r="I34" i="1"/>
  <c r="DR98" i="3" s="1"/>
  <c r="CH98" i="3" s="1"/>
  <c r="DQ98" i="3"/>
  <c r="CG98" i="3" s="1"/>
  <c r="I28" i="1"/>
  <c r="DR73" i="3" s="1"/>
  <c r="CH73" i="3" s="1"/>
  <c r="DQ73" i="3"/>
  <c r="CG73" i="3" s="1"/>
  <c r="I26" i="1"/>
  <c r="DR71" i="3" s="1"/>
  <c r="CH71" i="3" s="1"/>
  <c r="DQ71" i="3"/>
  <c r="CG71" i="3" s="1"/>
  <c r="I24" i="1"/>
  <c r="DR70" i="3" s="1"/>
  <c r="CH70" i="3" s="1"/>
  <c r="DQ70" i="3"/>
  <c r="CG70" i="3" s="1"/>
  <c r="I18" i="1"/>
  <c r="DQ49" i="3"/>
  <c r="DQ47" i="3"/>
  <c r="DQ50" i="3"/>
  <c r="DQ48" i="3"/>
  <c r="DQ46" i="3"/>
  <c r="I33" i="1"/>
  <c r="DR89" i="3" s="1"/>
  <c r="DQ89" i="3"/>
  <c r="I30" i="1"/>
  <c r="DR77" i="3" s="1"/>
  <c r="DQ77" i="3"/>
  <c r="I20" i="1"/>
  <c r="DR52" i="3" s="1"/>
  <c r="DQ52" i="3"/>
  <c r="I31" i="1"/>
  <c r="DQ81" i="3"/>
  <c r="DQ80" i="3"/>
  <c r="I27" i="1"/>
  <c r="DR72" i="3" s="1"/>
  <c r="CH72" i="3" s="1"/>
  <c r="DQ72" i="3"/>
  <c r="CG72" i="3" s="1"/>
  <c r="I21" i="1"/>
  <c r="DR53" i="3" s="1"/>
  <c r="DQ53" i="3"/>
  <c r="I19" i="1"/>
  <c r="DR51" i="3" s="1"/>
  <c r="DQ51" i="3"/>
  <c r="M102" i="3"/>
  <c r="M459" i="3" s="1"/>
  <c r="U459" i="3" s="1"/>
  <c r="M101" i="3"/>
  <c r="I29" i="1"/>
  <c r="N100" i="3"/>
  <c r="DQ74" i="3"/>
  <c r="CG74" i="3" s="1"/>
  <c r="I23" i="1"/>
  <c r="DQ75" i="3"/>
  <c r="I22" i="1"/>
  <c r="DR76" i="3" s="1"/>
  <c r="DQ76" i="3"/>
  <c r="I36" i="1"/>
  <c r="CG103" i="3"/>
  <c r="F191" i="24"/>
  <c r="E191" i="24"/>
  <c r="D191" i="24"/>
  <c r="C191" i="24"/>
  <c r="DR191" i="3"/>
  <c r="DQ191" i="3"/>
  <c r="DP191" i="3"/>
  <c r="DO191" i="3"/>
  <c r="CE191" i="3" s="1"/>
  <c r="DN191" i="3"/>
  <c r="CD191" i="3" s="1"/>
  <c r="DM191" i="3"/>
  <c r="DL191" i="3"/>
  <c r="BU191" i="3"/>
  <c r="E112" i="13"/>
  <c r="D112" i="13"/>
  <c r="E111" i="13"/>
  <c r="D111" i="13"/>
  <c r="E108" i="13"/>
  <c r="D108" i="13"/>
  <c r="E107" i="13"/>
  <c r="D107" i="13"/>
  <c r="E106" i="13"/>
  <c r="D106" i="13"/>
  <c r="E105" i="13"/>
  <c r="D105" i="13"/>
  <c r="E104" i="13"/>
  <c r="D104" i="13"/>
  <c r="E103" i="13"/>
  <c r="D103" i="13"/>
  <c r="E102" i="13"/>
  <c r="D102" i="13"/>
  <c r="E101" i="13"/>
  <c r="D101" i="13"/>
  <c r="E100" i="13"/>
  <c r="D100" i="13"/>
  <c r="E99" i="13"/>
  <c r="D99" i="13"/>
  <c r="E98" i="13"/>
  <c r="D98" i="13"/>
  <c r="E97" i="13"/>
  <c r="D97" i="13"/>
  <c r="E96" i="13"/>
  <c r="D96" i="13"/>
  <c r="E95" i="13"/>
  <c r="D95" i="13"/>
  <c r="E94" i="13"/>
  <c r="D94" i="13"/>
  <c r="E93" i="13"/>
  <c r="D93" i="13"/>
  <c r="E92" i="13"/>
  <c r="D92" i="13"/>
  <c r="E91" i="13"/>
  <c r="D91" i="13"/>
  <c r="E90" i="13"/>
  <c r="D90" i="13"/>
  <c r="E89" i="13"/>
  <c r="D89" i="13"/>
  <c r="E88" i="13"/>
  <c r="D88" i="13"/>
  <c r="E87" i="13"/>
  <c r="D87" i="13"/>
  <c r="E86" i="13"/>
  <c r="D86" i="13"/>
  <c r="E85" i="13"/>
  <c r="D85" i="13"/>
  <c r="E84" i="13"/>
  <c r="D84" i="13"/>
  <c r="E83" i="13"/>
  <c r="D83" i="13"/>
  <c r="E82" i="13"/>
  <c r="D82" i="13"/>
  <c r="E81" i="13"/>
  <c r="D81" i="13"/>
  <c r="E80" i="13"/>
  <c r="D80" i="13"/>
  <c r="E79" i="13"/>
  <c r="D79" i="13"/>
  <c r="E78" i="13"/>
  <c r="D78" i="13"/>
  <c r="E77" i="13"/>
  <c r="D77" i="13"/>
  <c r="E76" i="13"/>
  <c r="D76" i="13"/>
  <c r="E73" i="13"/>
  <c r="D73" i="13"/>
  <c r="E72" i="13"/>
  <c r="D72" i="13"/>
  <c r="E71" i="13"/>
  <c r="D71" i="13"/>
  <c r="E70" i="13"/>
  <c r="D70" i="13"/>
  <c r="E69" i="13"/>
  <c r="D69" i="13"/>
  <c r="E68" i="13"/>
  <c r="D68" i="13"/>
  <c r="E66" i="13"/>
  <c r="D66" i="13"/>
  <c r="E65" i="13"/>
  <c r="D65" i="13"/>
  <c r="E64" i="13"/>
  <c r="D64" i="13"/>
  <c r="E63" i="13"/>
  <c r="D63" i="13"/>
  <c r="E62" i="13"/>
  <c r="D62" i="13"/>
  <c r="E61" i="13"/>
  <c r="D61" i="13"/>
  <c r="E60" i="13"/>
  <c r="D60" i="13"/>
  <c r="E59" i="13"/>
  <c r="D59" i="13"/>
  <c r="E58" i="13"/>
  <c r="D58" i="13"/>
  <c r="E57" i="13"/>
  <c r="D57" i="13"/>
  <c r="E56" i="13"/>
  <c r="D56" i="13"/>
  <c r="E55" i="13"/>
  <c r="D55" i="13"/>
  <c r="E54" i="13"/>
  <c r="D54" i="13"/>
  <c r="E53" i="13"/>
  <c r="D53" i="13"/>
  <c r="E52" i="13"/>
  <c r="D52" i="13"/>
  <c r="E51" i="13"/>
  <c r="D51" i="13"/>
  <c r="E50" i="13"/>
  <c r="D50" i="13"/>
  <c r="E49" i="13"/>
  <c r="D49" i="13"/>
  <c r="E48" i="13"/>
  <c r="D48" i="13"/>
  <c r="E47" i="13"/>
  <c r="D47" i="13"/>
  <c r="E46" i="13"/>
  <c r="D46" i="13"/>
  <c r="E45" i="13"/>
  <c r="D45" i="13"/>
  <c r="E44" i="13"/>
  <c r="D44" i="13"/>
  <c r="E43" i="13"/>
  <c r="D43" i="13"/>
  <c r="E42" i="13"/>
  <c r="D42" i="13"/>
  <c r="E41" i="13"/>
  <c r="D41" i="13"/>
  <c r="E40" i="13"/>
  <c r="D40" i="13"/>
  <c r="E39" i="13"/>
  <c r="D39" i="13"/>
  <c r="E38" i="13"/>
  <c r="D38" i="13"/>
  <c r="E37" i="13"/>
  <c r="D37" i="13"/>
  <c r="E36" i="13"/>
  <c r="D36" i="13"/>
  <c r="E35" i="13"/>
  <c r="D35" i="13"/>
  <c r="E34" i="13"/>
  <c r="D34" i="13"/>
  <c r="E33" i="13"/>
  <c r="D33" i="13"/>
  <c r="E32" i="13"/>
  <c r="D32" i="13"/>
  <c r="E31" i="13"/>
  <c r="D31" i="13"/>
  <c r="E30" i="13"/>
  <c r="D30" i="13"/>
  <c r="E29" i="13"/>
  <c r="D29" i="13"/>
  <c r="E28" i="13"/>
  <c r="D28" i="13"/>
  <c r="E27" i="13"/>
  <c r="D27" i="13"/>
  <c r="E26" i="13"/>
  <c r="D26" i="13"/>
  <c r="E25" i="13"/>
  <c r="D25" i="13"/>
  <c r="E24" i="13"/>
  <c r="D24" i="13"/>
  <c r="E23" i="13"/>
  <c r="D23" i="13"/>
  <c r="E22" i="13"/>
  <c r="D22" i="13"/>
  <c r="E21" i="13"/>
  <c r="D21" i="13"/>
  <c r="E20" i="13"/>
  <c r="D20" i="13"/>
  <c r="E19" i="13"/>
  <c r="D19" i="13"/>
  <c r="E18" i="13"/>
  <c r="D18" i="13"/>
  <c r="E17" i="13"/>
  <c r="D17" i="13"/>
  <c r="E16" i="13"/>
  <c r="D16" i="13"/>
  <c r="E15" i="13"/>
  <c r="D15" i="13"/>
  <c r="E14" i="13"/>
  <c r="D14" i="13"/>
  <c r="E13" i="13"/>
  <c r="D13" i="13"/>
  <c r="E12" i="13"/>
  <c r="D12" i="13"/>
  <c r="E11" i="13"/>
  <c r="D11" i="13"/>
  <c r="E10" i="13"/>
  <c r="D10" i="13"/>
  <c r="E9" i="13"/>
  <c r="D9" i="13"/>
  <c r="E8" i="13"/>
  <c r="D8" i="13"/>
  <c r="E7" i="13"/>
  <c r="D7" i="13"/>
  <c r="E6" i="13"/>
  <c r="D6" i="13"/>
  <c r="E5" i="13"/>
  <c r="D5" i="13"/>
  <c r="D109" i="13"/>
  <c r="E109" i="13"/>
  <c r="D110" i="13"/>
  <c r="E110" i="13"/>
  <c r="E4" i="13"/>
  <c r="D4" i="13"/>
  <c r="C112" i="13"/>
  <c r="M263" i="3"/>
  <c r="N263" i="3" s="1"/>
  <c r="M262" i="3"/>
  <c r="N262" i="3" s="1"/>
  <c r="M260" i="3"/>
  <c r="N260" i="3" s="1"/>
  <c r="M251" i="3"/>
  <c r="N251" i="3" s="1"/>
  <c r="M238" i="3"/>
  <c r="L238" i="3" s="1"/>
  <c r="M239" i="3"/>
  <c r="N239" i="3" s="1"/>
  <c r="M240" i="3"/>
  <c r="N240" i="3" s="1"/>
  <c r="M241" i="3"/>
  <c r="N241" i="3" s="1"/>
  <c r="M243" i="3"/>
  <c r="N243" i="3" s="1"/>
  <c r="M244" i="3"/>
  <c r="N244" i="3" s="1"/>
  <c r="M245" i="3"/>
  <c r="N245" i="3" s="1"/>
  <c r="M246" i="3"/>
  <c r="L246" i="3" s="1"/>
  <c r="F246" i="24"/>
  <c r="E246" i="24"/>
  <c r="D246" i="24"/>
  <c r="C246" i="24"/>
  <c r="CF246" i="3"/>
  <c r="BU246" i="3"/>
  <c r="DR81" i="3" l="1"/>
  <c r="DR80" i="3"/>
  <c r="DR85" i="3"/>
  <c r="DR86" i="3"/>
  <c r="DR102" i="3"/>
  <c r="CH102" i="3" s="1"/>
  <c r="DR100" i="3"/>
  <c r="DR101" i="3"/>
  <c r="CH101" i="3" s="1"/>
  <c r="DR49" i="3"/>
  <c r="DR47" i="3"/>
  <c r="DR50" i="3"/>
  <c r="DR48" i="3"/>
  <c r="DR46" i="3"/>
  <c r="DR103" i="3"/>
  <c r="CH103" i="3" s="1"/>
  <c r="DR91" i="3"/>
  <c r="DR90" i="3"/>
  <c r="DR92" i="3"/>
  <c r="CG246" i="3"/>
  <c r="N101" i="3"/>
  <c r="N102" i="3"/>
  <c r="N459" i="3" s="1"/>
  <c r="V459" i="3" s="1"/>
  <c r="O100" i="3"/>
  <c r="DR74" i="3"/>
  <c r="CH74" i="3" s="1"/>
  <c r="DR75" i="3"/>
  <c r="DR69" i="3"/>
  <c r="N246" i="24"/>
  <c r="N191" i="24"/>
  <c r="L244" i="3"/>
  <c r="L260" i="3"/>
  <c r="L243" i="3"/>
  <c r="N246" i="3"/>
  <c r="N238" i="3"/>
  <c r="L245" i="3"/>
  <c r="L263" i="3"/>
  <c r="L241" i="3"/>
  <c r="L239" i="3"/>
  <c r="L262" i="3"/>
  <c r="L251" i="3"/>
  <c r="L240" i="3"/>
  <c r="CE246" i="3"/>
  <c r="O101" i="3" l="1"/>
  <c r="O102" i="3"/>
  <c r="O459" i="3" s="1"/>
  <c r="W459" i="3" s="1"/>
  <c r="F25" i="27"/>
  <c r="F28" i="27" l="1"/>
  <c r="F176" i="24"/>
  <c r="E176" i="24"/>
  <c r="D176" i="24"/>
  <c r="C176" i="24"/>
  <c r="F175" i="24"/>
  <c r="E175" i="24"/>
  <c r="D175" i="24"/>
  <c r="C175" i="24"/>
  <c r="DR176" i="3"/>
  <c r="CH176" i="3" s="1"/>
  <c r="DN176" i="3"/>
  <c r="CD176" i="3" s="1"/>
  <c r="DL176" i="3"/>
  <c r="CB176" i="3" s="1"/>
  <c r="BU176" i="3"/>
  <c r="DR175" i="3"/>
  <c r="CH175" i="3" s="1"/>
  <c r="DN175" i="3"/>
  <c r="CD175" i="3" s="1"/>
  <c r="DL175" i="3"/>
  <c r="CB175" i="3" s="1"/>
  <c r="BU175" i="3"/>
  <c r="F169" i="24"/>
  <c r="E169" i="24"/>
  <c r="D169" i="24"/>
  <c r="C169" i="24"/>
  <c r="F168" i="24"/>
  <c r="E168" i="24"/>
  <c r="D168" i="24"/>
  <c r="C168" i="24"/>
  <c r="DR169" i="3"/>
  <c r="CH169" i="3" s="1"/>
  <c r="DN169" i="3"/>
  <c r="CD169" i="3" s="1"/>
  <c r="DL169" i="3"/>
  <c r="CB169" i="3" s="1"/>
  <c r="BU169" i="3"/>
  <c r="DR168" i="3"/>
  <c r="CH168" i="3" s="1"/>
  <c r="DN168" i="3"/>
  <c r="CD168" i="3" s="1"/>
  <c r="DL168" i="3"/>
  <c r="CB168" i="3" s="1"/>
  <c r="BU168" i="3"/>
  <c r="F160" i="24"/>
  <c r="E160" i="24"/>
  <c r="D160" i="24"/>
  <c r="C160" i="24"/>
  <c r="F159" i="24"/>
  <c r="E159" i="24"/>
  <c r="D159" i="24"/>
  <c r="C159" i="24"/>
  <c r="DR160" i="3"/>
  <c r="CH160" i="3" s="1"/>
  <c r="DN160" i="3"/>
  <c r="CD160" i="3" s="1"/>
  <c r="DL160" i="3"/>
  <c r="CB160" i="3" s="1"/>
  <c r="BU160" i="3"/>
  <c r="DR159" i="3"/>
  <c r="CH159" i="3" s="1"/>
  <c r="DN159" i="3"/>
  <c r="CD159" i="3" s="1"/>
  <c r="DL159" i="3"/>
  <c r="CB159" i="3" s="1"/>
  <c r="BU159" i="3"/>
  <c r="DR150" i="3"/>
  <c r="CH150" i="3" s="1"/>
  <c r="DN150" i="3"/>
  <c r="CD150" i="3" s="1"/>
  <c r="DL150" i="3"/>
  <c r="CB150" i="3" s="1"/>
  <c r="BU150" i="3"/>
  <c r="DR149" i="3"/>
  <c r="CH149" i="3" s="1"/>
  <c r="DN149" i="3"/>
  <c r="CD149" i="3" s="1"/>
  <c r="DL149" i="3"/>
  <c r="CB149" i="3" s="1"/>
  <c r="BU149" i="3"/>
  <c r="N159" i="24" l="1"/>
  <c r="N160" i="24"/>
  <c r="N175" i="24"/>
  <c r="N168" i="24"/>
  <c r="N169" i="24"/>
  <c r="N176" i="24"/>
  <c r="G110" i="13"/>
  <c r="G109" i="13"/>
  <c r="C110" i="13" l="1"/>
  <c r="C109" i="13"/>
  <c r="A5" i="27"/>
  <c r="A6" i="27"/>
  <c r="G57" i="27"/>
  <c r="F57" i="27"/>
  <c r="G56" i="27"/>
  <c r="F56" i="27"/>
  <c r="G55" i="27"/>
  <c r="G54" i="27"/>
  <c r="F54" i="27"/>
  <c r="G53" i="27"/>
  <c r="F53" i="27"/>
  <c r="G52" i="27"/>
  <c r="G51" i="27"/>
  <c r="F51" i="27"/>
  <c r="G50" i="27"/>
  <c r="F50" i="27"/>
  <c r="G49" i="27"/>
  <c r="F49" i="27"/>
  <c r="G48" i="27"/>
  <c r="F48" i="27"/>
  <c r="G47" i="27"/>
  <c r="F47" i="27"/>
  <c r="G46" i="27"/>
  <c r="G45" i="27"/>
  <c r="F45" i="27"/>
  <c r="G44" i="27"/>
  <c r="F44" i="27"/>
  <c r="G43" i="27"/>
  <c r="F43" i="27"/>
  <c r="G42" i="27"/>
  <c r="G41" i="27"/>
  <c r="F41" i="27"/>
  <c r="G40" i="27"/>
  <c r="F40" i="27"/>
  <c r="G39" i="27"/>
  <c r="F39" i="27"/>
  <c r="G36" i="27"/>
  <c r="F36" i="27"/>
  <c r="G35" i="27"/>
  <c r="G34" i="27"/>
  <c r="F34" i="27"/>
  <c r="G33" i="27"/>
  <c r="F33" i="27"/>
  <c r="G32" i="27"/>
  <c r="F32" i="27"/>
  <c r="G31" i="27"/>
  <c r="F31" i="27"/>
  <c r="G30" i="27"/>
  <c r="F30" i="27"/>
  <c r="G29" i="27"/>
  <c r="G28" i="27"/>
  <c r="G27" i="27"/>
  <c r="F27" i="27"/>
  <c r="G26" i="27"/>
  <c r="G25" i="27"/>
  <c r="G24" i="27"/>
  <c r="F24" i="27"/>
  <c r="G23" i="27"/>
  <c r="G22" i="27"/>
  <c r="F22" i="27"/>
  <c r="G21" i="27"/>
  <c r="F21" i="27"/>
  <c r="G20" i="27"/>
  <c r="F20" i="27"/>
  <c r="G19" i="27"/>
  <c r="F19" i="27"/>
  <c r="G18" i="27"/>
  <c r="F18" i="27"/>
  <c r="G17" i="27"/>
  <c r="F17" i="27"/>
  <c r="G16" i="27"/>
  <c r="F16" i="27"/>
  <c r="G15" i="27"/>
  <c r="F15" i="27"/>
  <c r="G14" i="27"/>
  <c r="F14" i="27"/>
  <c r="G13" i="27"/>
  <c r="F13" i="27"/>
  <c r="G12" i="27"/>
  <c r="F12" i="27"/>
  <c r="G11" i="27"/>
  <c r="F11" i="27"/>
  <c r="G10" i="27"/>
  <c r="F10" i="27"/>
  <c r="G9" i="27"/>
  <c r="F9" i="27"/>
  <c r="G8" i="27"/>
  <c r="F8" i="27"/>
  <c r="G7" i="27"/>
  <c r="F7" i="27"/>
  <c r="G6" i="27"/>
  <c r="F6" i="27"/>
  <c r="G5" i="27"/>
  <c r="F5" i="27"/>
  <c r="F4" i="27"/>
  <c r="G4" i="27"/>
  <c r="E37" i="27"/>
  <c r="E36" i="27"/>
  <c r="E35" i="27"/>
  <c r="E34" i="27"/>
  <c r="E32" i="27"/>
  <c r="E30" i="27"/>
  <c r="E29" i="27"/>
  <c r="E28" i="27"/>
  <c r="E27" i="27"/>
  <c r="E26" i="27"/>
  <c r="E25" i="27"/>
  <c r="E24" i="27"/>
  <c r="E23" i="27"/>
  <c r="E22" i="27"/>
  <c r="E21" i="27"/>
  <c r="E19" i="27"/>
  <c r="E18" i="27"/>
  <c r="E17" i="27"/>
  <c r="E16" i="27"/>
  <c r="E15" i="27"/>
  <c r="E14" i="27"/>
  <c r="E13" i="27"/>
  <c r="E12" i="27"/>
  <c r="E11" i="27"/>
  <c r="E10" i="27"/>
  <c r="E9" i="27"/>
  <c r="E8" i="27"/>
  <c r="E7" i="27"/>
  <c r="E6" i="27"/>
  <c r="E5" i="27"/>
  <c r="E4" i="27"/>
  <c r="B37" i="27"/>
  <c r="B36" i="27"/>
  <c r="B35" i="27"/>
  <c r="B34" i="27"/>
  <c r="A34" i="27"/>
  <c r="B33" i="27"/>
  <c r="A33" i="27"/>
  <c r="B32" i="27"/>
  <c r="A32" i="27"/>
  <c r="B31" i="27"/>
  <c r="A31" i="27"/>
  <c r="B30" i="27"/>
  <c r="A30" i="27"/>
  <c r="B29" i="27"/>
  <c r="A29" i="27"/>
  <c r="B28" i="27"/>
  <c r="A28" i="27"/>
  <c r="B27" i="27"/>
  <c r="A27" i="27"/>
  <c r="B26" i="27"/>
  <c r="A26" i="27"/>
  <c r="B25" i="27"/>
  <c r="A25" i="27"/>
  <c r="B24" i="27"/>
  <c r="A24" i="27"/>
  <c r="B23" i="27"/>
  <c r="A23" i="27"/>
  <c r="B22" i="27"/>
  <c r="A22" i="27"/>
  <c r="B21" i="27"/>
  <c r="A21" i="27"/>
  <c r="B20" i="27"/>
  <c r="A20" i="27"/>
  <c r="B19" i="27"/>
  <c r="A19" i="27"/>
  <c r="B18" i="27"/>
  <c r="A18" i="27"/>
  <c r="B17" i="27"/>
  <c r="A17" i="27"/>
  <c r="B16" i="27"/>
  <c r="A16" i="27"/>
  <c r="B15" i="27"/>
  <c r="A15" i="27"/>
  <c r="B14" i="27"/>
  <c r="A14" i="27"/>
  <c r="B13" i="27"/>
  <c r="A13" i="27"/>
  <c r="B12" i="27"/>
  <c r="A12" i="27"/>
  <c r="B11" i="27"/>
  <c r="A11" i="27"/>
  <c r="B10" i="27"/>
  <c r="A10" i="27"/>
  <c r="B9" i="27"/>
  <c r="A9" i="27"/>
  <c r="B8" i="27"/>
  <c r="A8" i="27"/>
  <c r="B7" i="27"/>
  <c r="A7" i="27"/>
  <c r="B6" i="27"/>
  <c r="B5" i="27"/>
  <c r="A4" i="27"/>
  <c r="B4" i="27"/>
  <c r="AG6" i="24"/>
  <c r="AF6" i="24"/>
  <c r="AG5" i="24"/>
  <c r="AF5" i="24"/>
  <c r="AG4" i="24"/>
  <c r="AF4" i="24"/>
  <c r="AE4" i="24"/>
  <c r="AE5" i="24"/>
  <c r="F91" i="24"/>
  <c r="E91" i="24"/>
  <c r="D91" i="24"/>
  <c r="C91" i="24"/>
  <c r="F90" i="24"/>
  <c r="E90" i="24"/>
  <c r="D90" i="24"/>
  <c r="C90" i="24"/>
  <c r="F70" i="24"/>
  <c r="E70" i="24"/>
  <c r="D70" i="24"/>
  <c r="C70" i="24"/>
  <c r="CB323" i="3"/>
  <c r="H323" i="3"/>
  <c r="F323" i="24"/>
  <c r="E323" i="24"/>
  <c r="D323" i="24"/>
  <c r="C323" i="24"/>
  <c r="B34" i="14"/>
  <c r="A34" i="14"/>
  <c r="B33" i="14"/>
  <c r="A33" i="14"/>
  <c r="B32" i="14"/>
  <c r="A32" i="14"/>
  <c r="B31" i="14"/>
  <c r="A31" i="14"/>
  <c r="B30" i="14"/>
  <c r="A30" i="14"/>
  <c r="B29" i="14"/>
  <c r="A29" i="14"/>
  <c r="B28" i="14"/>
  <c r="A28" i="14"/>
  <c r="B27" i="14"/>
  <c r="A27" i="14"/>
  <c r="B26" i="14"/>
  <c r="A26" i="14"/>
  <c r="B25" i="14"/>
  <c r="A25" i="14"/>
  <c r="B24" i="14"/>
  <c r="A24" i="14"/>
  <c r="B23" i="14"/>
  <c r="A23" i="14"/>
  <c r="B22" i="14"/>
  <c r="A22" i="14"/>
  <c r="B21" i="14"/>
  <c r="A21" i="14"/>
  <c r="B20" i="14"/>
  <c r="A20" i="14"/>
  <c r="B19" i="14"/>
  <c r="A19" i="14"/>
  <c r="B18" i="14"/>
  <c r="A18" i="14"/>
  <c r="B17" i="14"/>
  <c r="A17" i="14"/>
  <c r="B16" i="14"/>
  <c r="A16" i="14"/>
  <c r="B15" i="14"/>
  <c r="A15" i="14"/>
  <c r="B14" i="14"/>
  <c r="A14" i="14"/>
  <c r="B13" i="14"/>
  <c r="A13" i="14"/>
  <c r="B12" i="14"/>
  <c r="A12" i="14"/>
  <c r="B11" i="14"/>
  <c r="A11" i="14"/>
  <c r="B10" i="14"/>
  <c r="A10" i="14"/>
  <c r="B9" i="14"/>
  <c r="A9" i="14"/>
  <c r="B8" i="14"/>
  <c r="A8" i="14"/>
  <c r="B7" i="14"/>
  <c r="A7" i="14"/>
  <c r="B6" i="14"/>
  <c r="A6" i="14"/>
  <c r="B5" i="14"/>
  <c r="A5" i="14"/>
  <c r="A4" i="14"/>
  <c r="B4" i="14"/>
  <c r="C111" i="13"/>
  <c r="C108" i="13"/>
  <c r="C107" i="13"/>
  <c r="C106" i="13"/>
  <c r="C105" i="13"/>
  <c r="C104" i="13"/>
  <c r="C103" i="13"/>
  <c r="C102" i="13"/>
  <c r="C101" i="13"/>
  <c r="C100" i="13"/>
  <c r="C99" i="13"/>
  <c r="C98" i="13"/>
  <c r="C97" i="13"/>
  <c r="C96" i="13"/>
  <c r="C95" i="13"/>
  <c r="C94" i="13"/>
  <c r="C93" i="13"/>
  <c r="C92" i="13"/>
  <c r="C91" i="13"/>
  <c r="C90" i="13"/>
  <c r="C89" i="13"/>
  <c r="C88" i="13"/>
  <c r="C87" i="13"/>
  <c r="C86" i="13"/>
  <c r="C85" i="13"/>
  <c r="C84" i="13"/>
  <c r="C83" i="13"/>
  <c r="C82" i="13"/>
  <c r="C81" i="13"/>
  <c r="C80" i="13"/>
  <c r="C79" i="13"/>
  <c r="C78" i="13"/>
  <c r="C77" i="13"/>
  <c r="C76" i="13"/>
  <c r="C73" i="13"/>
  <c r="C72" i="13"/>
  <c r="C71" i="13"/>
  <c r="C70" i="13"/>
  <c r="C69" i="13"/>
  <c r="C68" i="13"/>
  <c r="C66" i="13"/>
  <c r="C65" i="13"/>
  <c r="C64" i="13"/>
  <c r="C63" i="13"/>
  <c r="C62" i="13"/>
  <c r="C61" i="13"/>
  <c r="C60" i="13"/>
  <c r="C59" i="13"/>
  <c r="C58" i="13"/>
  <c r="C57" i="13"/>
  <c r="C56" i="13"/>
  <c r="C55" i="13"/>
  <c r="C54" i="13"/>
  <c r="C53" i="13"/>
  <c r="C52" i="13"/>
  <c r="C51" i="13"/>
  <c r="C50" i="13"/>
  <c r="C49" i="13"/>
  <c r="C48" i="13"/>
  <c r="C47" i="13"/>
  <c r="C46" i="13"/>
  <c r="C45" i="13"/>
  <c r="C44" i="13"/>
  <c r="C43" i="13"/>
  <c r="C42" i="13"/>
  <c r="C41" i="13"/>
  <c r="C40" i="13"/>
  <c r="C39" i="13"/>
  <c r="C38" i="13"/>
  <c r="C37" i="13"/>
  <c r="C36" i="13"/>
  <c r="C35" i="13"/>
  <c r="C34" i="13"/>
  <c r="C33" i="13"/>
  <c r="C32" i="13"/>
  <c r="C31" i="13"/>
  <c r="C30" i="13"/>
  <c r="C29" i="13"/>
  <c r="C28" i="13"/>
  <c r="C27" i="13"/>
  <c r="C26" i="13"/>
  <c r="C25" i="13"/>
  <c r="C24" i="13"/>
  <c r="C23" i="13"/>
  <c r="C22" i="13"/>
  <c r="C21" i="13"/>
  <c r="C20" i="13"/>
  <c r="C19" i="13"/>
  <c r="C18" i="13"/>
  <c r="C17" i="13"/>
  <c r="C16" i="13"/>
  <c r="C15" i="13"/>
  <c r="C14" i="13"/>
  <c r="C13" i="13"/>
  <c r="C12" i="13"/>
  <c r="C11" i="13"/>
  <c r="C10" i="13"/>
  <c r="C9" i="13"/>
  <c r="C8" i="13"/>
  <c r="C7" i="13"/>
  <c r="C6" i="13"/>
  <c r="C5" i="13"/>
  <c r="C4" i="13"/>
  <c r="G111" i="13"/>
  <c r="G108" i="13"/>
  <c r="G107" i="13"/>
  <c r="G106" i="13"/>
  <c r="G105" i="13"/>
  <c r="G104" i="13"/>
  <c r="G103" i="13"/>
  <c r="G102" i="13"/>
  <c r="G101" i="13"/>
  <c r="G100" i="13"/>
  <c r="G99" i="13"/>
  <c r="G98" i="13"/>
  <c r="G97" i="13"/>
  <c r="G96" i="13"/>
  <c r="G95" i="13"/>
  <c r="G94" i="13"/>
  <c r="G93" i="13"/>
  <c r="G92" i="13"/>
  <c r="G91" i="13"/>
  <c r="G90" i="13"/>
  <c r="G89" i="13"/>
  <c r="G88" i="13"/>
  <c r="G87" i="13"/>
  <c r="G86" i="13"/>
  <c r="G85" i="13"/>
  <c r="G81" i="13"/>
  <c r="G79" i="13"/>
  <c r="G78" i="13"/>
  <c r="G77" i="13"/>
  <c r="G76" i="13"/>
  <c r="G75" i="13"/>
  <c r="G73" i="13"/>
  <c r="G72" i="13"/>
  <c r="G71" i="13"/>
  <c r="G70" i="13"/>
  <c r="G69" i="13"/>
  <c r="G68" i="13"/>
  <c r="G66" i="13"/>
  <c r="G65" i="13"/>
  <c r="G64" i="13"/>
  <c r="G63" i="13"/>
  <c r="G62" i="13"/>
  <c r="G61" i="13"/>
  <c r="G60" i="13"/>
  <c r="G59" i="13"/>
  <c r="G58" i="13"/>
  <c r="G53" i="13"/>
  <c r="G52" i="13"/>
  <c r="G51" i="13"/>
  <c r="G50" i="13"/>
  <c r="G49" i="13"/>
  <c r="G48" i="13"/>
  <c r="G47" i="13"/>
  <c r="G46" i="13"/>
  <c r="G45" i="13"/>
  <c r="G44" i="13"/>
  <c r="G43" i="13"/>
  <c r="G42" i="13"/>
  <c r="G41" i="13"/>
  <c r="G40" i="13"/>
  <c r="G39" i="13"/>
  <c r="G38" i="13"/>
  <c r="G37" i="13"/>
  <c r="G36" i="13"/>
  <c r="G35" i="13"/>
  <c r="G34" i="13"/>
  <c r="G33" i="13"/>
  <c r="G32" i="13"/>
  <c r="G31" i="13"/>
  <c r="G30" i="13"/>
  <c r="G29" i="13"/>
  <c r="G28" i="13"/>
  <c r="G27" i="13"/>
  <c r="G26" i="13"/>
  <c r="G25" i="13"/>
  <c r="G24" i="13"/>
  <c r="G23" i="13"/>
  <c r="G22" i="13"/>
  <c r="G21" i="13"/>
  <c r="G20" i="13"/>
  <c r="G19" i="13"/>
  <c r="G18" i="13"/>
  <c r="G17" i="13"/>
  <c r="G16" i="13"/>
  <c r="G15" i="13"/>
  <c r="G14" i="13"/>
  <c r="G13" i="13"/>
  <c r="G12" i="13"/>
  <c r="G11" i="13"/>
  <c r="G10" i="13"/>
  <c r="G9" i="13"/>
  <c r="G8" i="13"/>
  <c r="G7" i="13"/>
  <c r="G6" i="13"/>
  <c r="G5" i="13"/>
  <c r="G4" i="13"/>
  <c r="CD322" i="3"/>
  <c r="CC322" i="3"/>
  <c r="AI322" i="3"/>
  <c r="AI323" i="3" s="1"/>
  <c r="AH322" i="3"/>
  <c r="BU322" i="3" s="1"/>
  <c r="AG322" i="3"/>
  <c r="AG323" i="3" s="1"/>
  <c r="AF322" i="3"/>
  <c r="AF323" i="3" s="1"/>
  <c r="AD322" i="3"/>
  <c r="AD323" i="3" s="1"/>
  <c r="AC322" i="3"/>
  <c r="AC323" i="3" s="1"/>
  <c r="AB322" i="3"/>
  <c r="AB323" i="3" s="1"/>
  <c r="AA322" i="3"/>
  <c r="AA323" i="3" s="1"/>
  <c r="Z322" i="3"/>
  <c r="Z323" i="3" s="1"/>
  <c r="Y322" i="3"/>
  <c r="Y323" i="3" s="1"/>
  <c r="W322" i="3"/>
  <c r="W323" i="3" s="1"/>
  <c r="V322" i="3"/>
  <c r="V323" i="3" s="1"/>
  <c r="U322" i="3"/>
  <c r="U323" i="3" s="1"/>
  <c r="T322" i="3"/>
  <c r="T323" i="3" s="1"/>
  <c r="S322" i="3"/>
  <c r="S323" i="3" s="1"/>
  <c r="R322" i="3"/>
  <c r="R323" i="3" s="1"/>
  <c r="Q322" i="3"/>
  <c r="O322" i="3"/>
  <c r="O323" i="3" s="1"/>
  <c r="K322" i="3"/>
  <c r="K323" i="3" s="1"/>
  <c r="J322" i="3"/>
  <c r="J323" i="3" s="1"/>
  <c r="H322" i="3"/>
  <c r="F322" i="24"/>
  <c r="E322" i="24"/>
  <c r="D322" i="24"/>
  <c r="C322" i="24"/>
  <c r="L322" i="3"/>
  <c r="L323" i="3" s="1"/>
  <c r="CF498" i="3"/>
  <c r="CF496" i="3"/>
  <c r="CF494" i="3"/>
  <c r="CF492" i="3"/>
  <c r="CF489" i="3"/>
  <c r="CF488" i="3"/>
  <c r="CF487" i="3"/>
  <c r="CF486" i="3"/>
  <c r="CF485" i="3"/>
  <c r="CF484" i="3"/>
  <c r="CF483" i="3"/>
  <c r="CF482" i="3"/>
  <c r="CF481" i="3"/>
  <c r="CF480" i="3"/>
  <c r="CF479" i="3"/>
  <c r="CF478" i="3"/>
  <c r="CF477" i="3"/>
  <c r="CF476" i="3"/>
  <c r="CF475" i="3"/>
  <c r="CF474" i="3"/>
  <c r="CF473" i="3"/>
  <c r="CF472" i="3"/>
  <c r="CF471" i="3"/>
  <c r="CF470" i="3"/>
  <c r="CF469" i="3"/>
  <c r="CF468" i="3"/>
  <c r="CF467" i="3"/>
  <c r="CF465" i="3"/>
  <c r="CF463" i="3"/>
  <c r="CF461" i="3"/>
  <c r="CF499" i="3"/>
  <c r="Q323" i="3" l="1"/>
  <c r="CE474" i="3"/>
  <c r="CE492" i="3"/>
  <c r="CC323" i="3"/>
  <c r="CG489" i="3"/>
  <c r="CG475" i="3"/>
  <c r="CG494" i="3"/>
  <c r="CD323" i="3"/>
  <c r="CG476" i="3"/>
  <c r="CE496" i="3"/>
  <c r="CE477" i="3"/>
  <c r="CG498" i="3"/>
  <c r="CE478" i="3"/>
  <c r="CG499" i="3"/>
  <c r="CE479" i="3"/>
  <c r="CG473" i="3"/>
  <c r="CE461" i="3"/>
  <c r="CE480" i="3"/>
  <c r="CE463" i="3"/>
  <c r="CG481" i="3"/>
  <c r="CG465" i="3"/>
  <c r="CE482" i="3"/>
  <c r="CG467" i="3"/>
  <c r="CG483" i="3"/>
  <c r="CG468" i="3"/>
  <c r="CG484" i="3"/>
  <c r="CE469" i="3"/>
  <c r="CE485" i="3"/>
  <c r="CE487" i="3"/>
  <c r="CE472" i="3"/>
  <c r="CE488" i="3"/>
  <c r="CE470" i="3"/>
  <c r="CG486" i="3"/>
  <c r="CE471" i="3"/>
  <c r="N323" i="24"/>
  <c r="N70" i="24"/>
  <c r="N322" i="24"/>
  <c r="AH323" i="3"/>
  <c r="BU323" i="3" s="1"/>
  <c r="CG470" i="3"/>
  <c r="CG487" i="3"/>
  <c r="M322" i="3"/>
  <c r="M323" i="3" s="1"/>
  <c r="CG478" i="3"/>
  <c r="CE484" i="3"/>
  <c r="CE494" i="3"/>
  <c r="CE489" i="3"/>
  <c r="CG485" i="3"/>
  <c r="CE486" i="3"/>
  <c r="CE476" i="3"/>
  <c r="N322" i="3"/>
  <c r="N323" i="3" s="1"/>
  <c r="CG463" i="3"/>
  <c r="CE468" i="3"/>
  <c r="CG471" i="3"/>
  <c r="CG479" i="3"/>
  <c r="CG492" i="3"/>
  <c r="CE499" i="3"/>
  <c r="CG469" i="3"/>
  <c r="CG477" i="3"/>
  <c r="CG474" i="3"/>
  <c r="CG482" i="3"/>
  <c r="CE475" i="3"/>
  <c r="CE483" i="3"/>
  <c r="CE467" i="3"/>
  <c r="CG480" i="3"/>
  <c r="CG488" i="3"/>
  <c r="CG496" i="3"/>
  <c r="CE465" i="3"/>
  <c r="CE473" i="3"/>
  <c r="CE481" i="3"/>
  <c r="CG461" i="3"/>
  <c r="CG472" i="3"/>
  <c r="CE498" i="3"/>
  <c r="F499" i="24" l="1"/>
  <c r="E499" i="24"/>
  <c r="D499" i="24"/>
  <c r="C499" i="24"/>
  <c r="F498" i="24"/>
  <c r="E498" i="24"/>
  <c r="D498" i="24"/>
  <c r="C498" i="24"/>
  <c r="F497" i="24"/>
  <c r="E497" i="24"/>
  <c r="D497" i="24"/>
  <c r="C497" i="24"/>
  <c r="F496" i="24"/>
  <c r="E496" i="24"/>
  <c r="D496" i="24"/>
  <c r="C496" i="24"/>
  <c r="F495" i="24"/>
  <c r="E495" i="24"/>
  <c r="D495" i="24"/>
  <c r="C495" i="24"/>
  <c r="F494" i="24"/>
  <c r="E494" i="24"/>
  <c r="D494" i="24"/>
  <c r="C494" i="24"/>
  <c r="F493" i="24"/>
  <c r="E493" i="24"/>
  <c r="D493" i="24"/>
  <c r="C493" i="24"/>
  <c r="F492" i="24"/>
  <c r="E492" i="24"/>
  <c r="D492" i="24"/>
  <c r="C492" i="24"/>
  <c r="F491" i="24"/>
  <c r="E491" i="24"/>
  <c r="D491" i="24"/>
  <c r="C491" i="24"/>
  <c r="F490" i="24"/>
  <c r="E490" i="24"/>
  <c r="D490" i="24"/>
  <c r="C490" i="24"/>
  <c r="F489" i="24"/>
  <c r="E489" i="24"/>
  <c r="D489" i="24"/>
  <c r="C489" i="24"/>
  <c r="F488" i="24"/>
  <c r="E488" i="24"/>
  <c r="D488" i="24"/>
  <c r="C488" i="24"/>
  <c r="F487" i="24"/>
  <c r="E487" i="24"/>
  <c r="D487" i="24"/>
  <c r="C487" i="24"/>
  <c r="F486" i="24"/>
  <c r="E486" i="24"/>
  <c r="D486" i="24"/>
  <c r="C486" i="24"/>
  <c r="F485" i="24"/>
  <c r="E485" i="24"/>
  <c r="D485" i="24"/>
  <c r="C485" i="24"/>
  <c r="F484" i="24"/>
  <c r="E484" i="24"/>
  <c r="D484" i="24"/>
  <c r="C484" i="24"/>
  <c r="F483" i="24"/>
  <c r="E483" i="24"/>
  <c r="D483" i="24"/>
  <c r="C483" i="24"/>
  <c r="F482" i="24"/>
  <c r="E482" i="24"/>
  <c r="D482" i="24"/>
  <c r="C482" i="24"/>
  <c r="FS6" i="24"/>
  <c r="FR6" i="24"/>
  <c r="FQ6" i="24"/>
  <c r="FP6" i="24"/>
  <c r="FO6" i="24"/>
  <c r="FS5" i="24"/>
  <c r="FR5" i="24"/>
  <c r="FQ5" i="24"/>
  <c r="FP5" i="24"/>
  <c r="FO5" i="24"/>
  <c r="FS4" i="24"/>
  <c r="FR4" i="24"/>
  <c r="FQ4" i="24"/>
  <c r="FP4" i="24"/>
  <c r="FO4" i="24"/>
  <c r="FW6" i="24"/>
  <c r="FV6" i="24"/>
  <c r="FU6" i="24"/>
  <c r="FT6" i="24"/>
  <c r="FW5" i="24"/>
  <c r="FV5" i="24"/>
  <c r="FU5" i="24"/>
  <c r="FT5" i="24"/>
  <c r="FW4" i="24"/>
  <c r="FV4" i="24"/>
  <c r="FU4" i="24"/>
  <c r="FT4" i="24"/>
  <c r="D461" i="24"/>
  <c r="BU499" i="3"/>
  <c r="BU498" i="3"/>
  <c r="BU497" i="3"/>
  <c r="BU496" i="3"/>
  <c r="BU495" i="3"/>
  <c r="BU494" i="3"/>
  <c r="BU493" i="3"/>
  <c r="BU492" i="3"/>
  <c r="BU487" i="3"/>
  <c r="BU486" i="3"/>
  <c r="BU485" i="3"/>
  <c r="BU484" i="3"/>
  <c r="BU483" i="3"/>
  <c r="BU482" i="3"/>
  <c r="BU466" i="3"/>
  <c r="BU465" i="3"/>
  <c r="BU463" i="3"/>
  <c r="BU464" i="3"/>
  <c r="F507" i="24"/>
  <c r="E507" i="24"/>
  <c r="D507" i="24"/>
  <c r="C507" i="24"/>
  <c r="F506" i="24"/>
  <c r="E506" i="24"/>
  <c r="D506" i="24"/>
  <c r="C506" i="24"/>
  <c r="F505" i="24"/>
  <c r="E505" i="24"/>
  <c r="D505" i="24"/>
  <c r="C505" i="24"/>
  <c r="F504" i="24"/>
  <c r="E504" i="24"/>
  <c r="D504" i="24"/>
  <c r="C504" i="24"/>
  <c r="F503" i="24"/>
  <c r="E503" i="24"/>
  <c r="D503" i="24"/>
  <c r="C503" i="24"/>
  <c r="F502" i="24"/>
  <c r="E502" i="24"/>
  <c r="D502" i="24"/>
  <c r="C502" i="24"/>
  <c r="F501" i="24"/>
  <c r="E501" i="24"/>
  <c r="D501" i="24"/>
  <c r="C501" i="24"/>
  <c r="F500" i="24"/>
  <c r="E500" i="24"/>
  <c r="D500" i="24"/>
  <c r="C500" i="24"/>
  <c r="F481" i="24"/>
  <c r="E481" i="24"/>
  <c r="D481" i="24"/>
  <c r="C481" i="24"/>
  <c r="F480" i="24"/>
  <c r="E480" i="24"/>
  <c r="D480" i="24"/>
  <c r="C480" i="24"/>
  <c r="F479" i="24"/>
  <c r="E479" i="24"/>
  <c r="D479" i="24"/>
  <c r="C479" i="24"/>
  <c r="F478" i="24"/>
  <c r="E478" i="24"/>
  <c r="D478" i="24"/>
  <c r="C478" i="24"/>
  <c r="F477" i="24"/>
  <c r="E477" i="24"/>
  <c r="D477" i="24"/>
  <c r="C477" i="24"/>
  <c r="F476" i="24"/>
  <c r="E476" i="24"/>
  <c r="D476" i="24"/>
  <c r="C476" i="24"/>
  <c r="F475" i="24"/>
  <c r="E475" i="24"/>
  <c r="D475" i="24"/>
  <c r="C475" i="24"/>
  <c r="F474" i="24"/>
  <c r="E474" i="24"/>
  <c r="D474" i="24"/>
  <c r="C474" i="24"/>
  <c r="F473" i="24"/>
  <c r="E473" i="24"/>
  <c r="D473" i="24"/>
  <c r="C473" i="24"/>
  <c r="F472" i="24"/>
  <c r="E472" i="24"/>
  <c r="D472" i="24"/>
  <c r="C472" i="24"/>
  <c r="F471" i="24"/>
  <c r="E471" i="24"/>
  <c r="D471" i="24"/>
  <c r="C471" i="24"/>
  <c r="F470" i="24"/>
  <c r="E470" i="24"/>
  <c r="D470" i="24"/>
  <c r="C470" i="24"/>
  <c r="F469" i="24"/>
  <c r="E469" i="24"/>
  <c r="D469" i="24"/>
  <c r="C469" i="24"/>
  <c r="F468" i="24"/>
  <c r="E468" i="24"/>
  <c r="D468" i="24"/>
  <c r="C468" i="24"/>
  <c r="F467" i="24"/>
  <c r="E467" i="24"/>
  <c r="D467" i="24"/>
  <c r="C467" i="24"/>
  <c r="F466" i="24"/>
  <c r="E466" i="24"/>
  <c r="D466" i="24"/>
  <c r="C466" i="24"/>
  <c r="F465" i="24"/>
  <c r="E465" i="24"/>
  <c r="D465" i="24"/>
  <c r="C465" i="24"/>
  <c r="F464" i="24"/>
  <c r="E464" i="24"/>
  <c r="D464" i="24"/>
  <c r="C464" i="24"/>
  <c r="F463" i="24"/>
  <c r="E463" i="24"/>
  <c r="D463" i="24"/>
  <c r="C463" i="24"/>
  <c r="F462" i="24"/>
  <c r="E462" i="24"/>
  <c r="D462" i="24"/>
  <c r="C462" i="24"/>
  <c r="F461" i="24"/>
  <c r="E461" i="24"/>
  <c r="C461" i="24"/>
  <c r="F436" i="24"/>
  <c r="E436" i="24"/>
  <c r="D436" i="24"/>
  <c r="C436" i="24"/>
  <c r="F435" i="24"/>
  <c r="E435" i="24"/>
  <c r="D435" i="24"/>
  <c r="C435" i="24"/>
  <c r="F434" i="24"/>
  <c r="E434" i="24"/>
  <c r="D434" i="24"/>
  <c r="C434" i="24"/>
  <c r="F433" i="24"/>
  <c r="E433" i="24"/>
  <c r="D433" i="24"/>
  <c r="C433" i="24"/>
  <c r="F432" i="24"/>
  <c r="E432" i="24"/>
  <c r="D432" i="24"/>
  <c r="C432" i="24"/>
  <c r="F431" i="24"/>
  <c r="E431" i="24"/>
  <c r="D431" i="24"/>
  <c r="C431" i="24"/>
  <c r="F430" i="24"/>
  <c r="E430" i="24"/>
  <c r="D430" i="24"/>
  <c r="C430" i="24"/>
  <c r="F428" i="24"/>
  <c r="E428" i="24"/>
  <c r="D428" i="24"/>
  <c r="C428" i="24"/>
  <c r="F427" i="24"/>
  <c r="E427" i="24"/>
  <c r="D427" i="24"/>
  <c r="C427" i="24"/>
  <c r="F426" i="24"/>
  <c r="E426" i="24"/>
  <c r="D426" i="24"/>
  <c r="C426" i="24"/>
  <c r="F425" i="24"/>
  <c r="E425" i="24"/>
  <c r="D425" i="24"/>
  <c r="C425" i="24"/>
  <c r="F424" i="24"/>
  <c r="E424" i="24"/>
  <c r="D424" i="24"/>
  <c r="C424" i="24"/>
  <c r="F423" i="24"/>
  <c r="E423" i="24"/>
  <c r="D423" i="24"/>
  <c r="C423" i="24"/>
  <c r="F422" i="24"/>
  <c r="E422" i="24"/>
  <c r="D422" i="24"/>
  <c r="C422" i="24"/>
  <c r="F421" i="24"/>
  <c r="E421" i="24"/>
  <c r="D421" i="24"/>
  <c r="C421" i="24"/>
  <c r="F420" i="24"/>
  <c r="E420" i="24"/>
  <c r="D420" i="24"/>
  <c r="C420" i="24"/>
  <c r="F419" i="24"/>
  <c r="E419" i="24"/>
  <c r="D419" i="24"/>
  <c r="C419" i="24"/>
  <c r="F418" i="24"/>
  <c r="E418" i="24"/>
  <c r="D418" i="24"/>
  <c r="C418" i="24"/>
  <c r="F416" i="24"/>
  <c r="E416" i="24"/>
  <c r="D416" i="24"/>
  <c r="C416" i="24"/>
  <c r="F415" i="24"/>
  <c r="E415" i="24"/>
  <c r="D415" i="24"/>
  <c r="C415" i="24"/>
  <c r="F414" i="24"/>
  <c r="E414" i="24"/>
  <c r="D414" i="24"/>
  <c r="C414" i="24"/>
  <c r="F413" i="24"/>
  <c r="E413" i="24"/>
  <c r="D413" i="24"/>
  <c r="C413" i="24"/>
  <c r="F412" i="24"/>
  <c r="E412" i="24"/>
  <c r="D412" i="24"/>
  <c r="C412" i="24"/>
  <c r="F411" i="24"/>
  <c r="E411" i="24"/>
  <c r="D411" i="24"/>
  <c r="C411" i="24"/>
  <c r="F410" i="24"/>
  <c r="E410" i="24"/>
  <c r="D410" i="24"/>
  <c r="C410" i="24"/>
  <c r="E409" i="24"/>
  <c r="D409" i="24"/>
  <c r="C409" i="24"/>
  <c r="E407" i="24"/>
  <c r="D407" i="24"/>
  <c r="C407" i="24"/>
  <c r="E406" i="24"/>
  <c r="D406" i="24"/>
  <c r="C406" i="24"/>
  <c r="E405" i="24"/>
  <c r="D405" i="24"/>
  <c r="C405" i="24"/>
  <c r="E403" i="24"/>
  <c r="D403" i="24"/>
  <c r="C403" i="24"/>
  <c r="E402" i="24"/>
  <c r="D402" i="24"/>
  <c r="C402" i="24"/>
  <c r="F401" i="24"/>
  <c r="E401" i="24"/>
  <c r="D401" i="24"/>
  <c r="C401" i="24"/>
  <c r="F400" i="24"/>
  <c r="E400" i="24"/>
  <c r="D400" i="24"/>
  <c r="C400" i="24"/>
  <c r="F399" i="24"/>
  <c r="E399" i="24"/>
  <c r="D399" i="24"/>
  <c r="C399" i="24"/>
  <c r="F397" i="24"/>
  <c r="E397" i="24"/>
  <c r="D397" i="24"/>
  <c r="C397" i="24"/>
  <c r="F396" i="24"/>
  <c r="E396" i="24"/>
  <c r="D396" i="24"/>
  <c r="C396" i="24"/>
  <c r="F395" i="24"/>
  <c r="E395" i="24"/>
  <c r="D395" i="24"/>
  <c r="C395" i="24"/>
  <c r="F394" i="24"/>
  <c r="E394" i="24"/>
  <c r="D394" i="24"/>
  <c r="C394" i="24"/>
  <c r="F392" i="24"/>
  <c r="E392" i="24"/>
  <c r="D392" i="24"/>
  <c r="C392" i="24"/>
  <c r="F391" i="24"/>
  <c r="E391" i="24"/>
  <c r="D391" i="24"/>
  <c r="C391" i="24"/>
  <c r="F390" i="24"/>
  <c r="E390" i="24"/>
  <c r="D390" i="24"/>
  <c r="C390" i="24"/>
  <c r="F389" i="24"/>
  <c r="E389" i="24"/>
  <c r="D389" i="24"/>
  <c r="C389" i="24"/>
  <c r="F388" i="24"/>
  <c r="E388" i="24"/>
  <c r="D388" i="24"/>
  <c r="C388" i="24"/>
  <c r="F387" i="24"/>
  <c r="E387" i="24"/>
  <c r="D387" i="24"/>
  <c r="C387" i="24"/>
  <c r="F386" i="24"/>
  <c r="E386" i="24"/>
  <c r="D386" i="24"/>
  <c r="C386" i="24"/>
  <c r="F385" i="24"/>
  <c r="E385" i="24"/>
  <c r="D385" i="24"/>
  <c r="C385" i="24"/>
  <c r="F383" i="24"/>
  <c r="E383" i="24"/>
  <c r="D383" i="24"/>
  <c r="C383" i="24"/>
  <c r="F382" i="24"/>
  <c r="E382" i="24"/>
  <c r="D382" i="24"/>
  <c r="C382" i="24"/>
  <c r="F381" i="24"/>
  <c r="E381" i="24"/>
  <c r="D381" i="24"/>
  <c r="C381" i="24"/>
  <c r="F380" i="24"/>
  <c r="E380" i="24"/>
  <c r="D380" i="24"/>
  <c r="C380" i="24"/>
  <c r="F379" i="24"/>
  <c r="E379" i="24"/>
  <c r="D379" i="24"/>
  <c r="C379" i="24"/>
  <c r="F378" i="24"/>
  <c r="E378" i="24"/>
  <c r="D378" i="24"/>
  <c r="C378" i="24"/>
  <c r="F377" i="24"/>
  <c r="E377" i="24"/>
  <c r="D377" i="24"/>
  <c r="C377" i="24"/>
  <c r="F376" i="24"/>
  <c r="E376" i="24"/>
  <c r="D376" i="24"/>
  <c r="C376" i="24"/>
  <c r="F375" i="24"/>
  <c r="E375" i="24"/>
  <c r="D375" i="24"/>
  <c r="C375" i="24"/>
  <c r="F374" i="24"/>
  <c r="E374" i="24"/>
  <c r="D374" i="24"/>
  <c r="C374" i="24"/>
  <c r="F373" i="24"/>
  <c r="E373" i="24"/>
  <c r="D373" i="24"/>
  <c r="C373" i="24"/>
  <c r="F371" i="24"/>
  <c r="E371" i="24"/>
  <c r="D371" i="24"/>
  <c r="C371" i="24"/>
  <c r="F370" i="24"/>
  <c r="E370" i="24"/>
  <c r="D370" i="24"/>
  <c r="C370" i="24"/>
  <c r="F368" i="24"/>
  <c r="E368" i="24"/>
  <c r="D368" i="24"/>
  <c r="C368" i="24"/>
  <c r="F367" i="24"/>
  <c r="E367" i="24"/>
  <c r="D367" i="24"/>
  <c r="C367" i="24"/>
  <c r="F365" i="24"/>
  <c r="E365" i="24"/>
  <c r="D365" i="24"/>
  <c r="C365" i="24"/>
  <c r="F362" i="24"/>
  <c r="E362" i="24"/>
  <c r="D362" i="24"/>
  <c r="C362" i="24"/>
  <c r="F361" i="24"/>
  <c r="E361" i="24"/>
  <c r="D361" i="24"/>
  <c r="C361" i="24"/>
  <c r="F360" i="24"/>
  <c r="E360" i="24"/>
  <c r="D360" i="24"/>
  <c r="C360" i="24"/>
  <c r="F359" i="24"/>
  <c r="E359" i="24"/>
  <c r="D359" i="24"/>
  <c r="C359" i="24"/>
  <c r="F356" i="24"/>
  <c r="E356" i="24"/>
  <c r="D356" i="24"/>
  <c r="C356" i="24"/>
  <c r="F355" i="24"/>
  <c r="E355" i="24"/>
  <c r="D355" i="24"/>
  <c r="C355" i="24"/>
  <c r="F354" i="24"/>
  <c r="E354" i="24"/>
  <c r="D354" i="24"/>
  <c r="C354" i="24"/>
  <c r="F353" i="24"/>
  <c r="E353" i="24"/>
  <c r="D353" i="24"/>
  <c r="C353" i="24"/>
  <c r="F352" i="24"/>
  <c r="E352" i="24"/>
  <c r="D352" i="24"/>
  <c r="C352" i="24"/>
  <c r="F351" i="24"/>
  <c r="E351" i="24"/>
  <c r="D351" i="24"/>
  <c r="C351" i="24"/>
  <c r="F350" i="24"/>
  <c r="E350" i="24"/>
  <c r="D350" i="24"/>
  <c r="C350" i="24"/>
  <c r="F349" i="24"/>
  <c r="E349" i="24"/>
  <c r="D349" i="24"/>
  <c r="C349" i="24"/>
  <c r="F348" i="24"/>
  <c r="E348" i="24"/>
  <c r="D348" i="24"/>
  <c r="C348" i="24"/>
  <c r="F347" i="24"/>
  <c r="E347" i="24"/>
  <c r="D347" i="24"/>
  <c r="C347" i="24"/>
  <c r="F346" i="24"/>
  <c r="E346" i="24"/>
  <c r="D346" i="24"/>
  <c r="C346" i="24"/>
  <c r="F345" i="24"/>
  <c r="E345" i="24"/>
  <c r="D345" i="24"/>
  <c r="C345" i="24"/>
  <c r="F344" i="24"/>
  <c r="E344" i="24"/>
  <c r="D344" i="24"/>
  <c r="C344" i="24"/>
  <c r="F343" i="24"/>
  <c r="E343" i="24"/>
  <c r="D343" i="24"/>
  <c r="C343" i="24"/>
  <c r="F342" i="24"/>
  <c r="E342" i="24"/>
  <c r="D342" i="24"/>
  <c r="C342" i="24"/>
  <c r="F341" i="24"/>
  <c r="E341" i="24"/>
  <c r="D341" i="24"/>
  <c r="C341" i="24"/>
  <c r="F340" i="24"/>
  <c r="E340" i="24"/>
  <c r="D340" i="24"/>
  <c r="C340" i="24"/>
  <c r="F339" i="24"/>
  <c r="E339" i="24"/>
  <c r="D339" i="24"/>
  <c r="C339" i="24"/>
  <c r="F338" i="24"/>
  <c r="E338" i="24"/>
  <c r="D338" i="24"/>
  <c r="C338" i="24"/>
  <c r="F337" i="24"/>
  <c r="E337" i="24"/>
  <c r="D337" i="24"/>
  <c r="C337" i="24"/>
  <c r="F336" i="24"/>
  <c r="E336" i="24"/>
  <c r="D336" i="24"/>
  <c r="C336" i="24"/>
  <c r="F335" i="24"/>
  <c r="E335" i="24"/>
  <c r="D335" i="24"/>
  <c r="C335" i="24"/>
  <c r="F334" i="24"/>
  <c r="E334" i="24"/>
  <c r="D334" i="24"/>
  <c r="C334" i="24"/>
  <c r="F333" i="24"/>
  <c r="E333" i="24"/>
  <c r="D333" i="24"/>
  <c r="C333" i="24"/>
  <c r="F332" i="24"/>
  <c r="E332" i="24"/>
  <c r="D332" i="24"/>
  <c r="C332" i="24"/>
  <c r="F331" i="24"/>
  <c r="E331" i="24"/>
  <c r="D331" i="24"/>
  <c r="C331" i="24"/>
  <c r="F330" i="24"/>
  <c r="E330" i="24"/>
  <c r="D330" i="24"/>
  <c r="C330" i="24"/>
  <c r="F329" i="24"/>
  <c r="E329" i="24"/>
  <c r="D329" i="24"/>
  <c r="C329" i="24"/>
  <c r="F328" i="24"/>
  <c r="E328" i="24"/>
  <c r="D328" i="24"/>
  <c r="C328" i="24"/>
  <c r="F327" i="24"/>
  <c r="E327" i="24"/>
  <c r="D327" i="24"/>
  <c r="C327" i="24"/>
  <c r="F326" i="24"/>
  <c r="E326" i="24"/>
  <c r="D326" i="24"/>
  <c r="C326" i="24"/>
  <c r="F325" i="24"/>
  <c r="E325" i="24"/>
  <c r="D325" i="24"/>
  <c r="C325" i="24"/>
  <c r="F324" i="24"/>
  <c r="E324" i="24"/>
  <c r="D324" i="24"/>
  <c r="C324" i="24"/>
  <c r="F321" i="24"/>
  <c r="E321" i="24"/>
  <c r="D321" i="24"/>
  <c r="C321" i="24"/>
  <c r="F320" i="24"/>
  <c r="E320" i="24"/>
  <c r="D320" i="24"/>
  <c r="C320" i="24"/>
  <c r="F319" i="24"/>
  <c r="E319" i="24"/>
  <c r="D319" i="24"/>
  <c r="C319" i="24"/>
  <c r="F318" i="24"/>
  <c r="E318" i="24"/>
  <c r="D318" i="24"/>
  <c r="C318" i="24"/>
  <c r="F317" i="24"/>
  <c r="E317" i="24"/>
  <c r="D317" i="24"/>
  <c r="C317" i="24"/>
  <c r="F316" i="24"/>
  <c r="E316" i="24"/>
  <c r="D316" i="24"/>
  <c r="C316" i="24"/>
  <c r="F315" i="24"/>
  <c r="E315" i="24"/>
  <c r="D315" i="24"/>
  <c r="C315" i="24"/>
  <c r="F314" i="24"/>
  <c r="E314" i="24"/>
  <c r="D314" i="24"/>
  <c r="C314" i="24"/>
  <c r="F313" i="24"/>
  <c r="E313" i="24"/>
  <c r="D313" i="24"/>
  <c r="C313" i="24"/>
  <c r="F312" i="24"/>
  <c r="E312" i="24"/>
  <c r="D312" i="24"/>
  <c r="C312" i="24"/>
  <c r="F311" i="24"/>
  <c r="E311" i="24"/>
  <c r="D311" i="24"/>
  <c r="C311" i="24"/>
  <c r="F310" i="24"/>
  <c r="E310" i="24"/>
  <c r="D310" i="24"/>
  <c r="C310" i="24"/>
  <c r="F309" i="24"/>
  <c r="E309" i="24"/>
  <c r="D309" i="24"/>
  <c r="C309" i="24"/>
  <c r="F308" i="24"/>
  <c r="E308" i="24"/>
  <c r="D308" i="24"/>
  <c r="C308" i="24"/>
  <c r="F307" i="24"/>
  <c r="E307" i="24"/>
  <c r="D307" i="24"/>
  <c r="C307" i="24"/>
  <c r="F306" i="24"/>
  <c r="E306" i="24"/>
  <c r="D306" i="24"/>
  <c r="C306" i="24"/>
  <c r="F305" i="24"/>
  <c r="E305" i="24"/>
  <c r="D305" i="24"/>
  <c r="C305" i="24"/>
  <c r="F303" i="24"/>
  <c r="E303" i="24"/>
  <c r="D303" i="24"/>
  <c r="C303" i="24"/>
  <c r="F302" i="24"/>
  <c r="E302" i="24"/>
  <c r="D302" i="24"/>
  <c r="C302" i="24"/>
  <c r="F301" i="24"/>
  <c r="E301" i="24"/>
  <c r="D301" i="24"/>
  <c r="C301" i="24"/>
  <c r="F300" i="24"/>
  <c r="E300" i="24"/>
  <c r="D300" i="24"/>
  <c r="C300" i="24"/>
  <c r="F299" i="24"/>
  <c r="E299" i="24"/>
  <c r="D299" i="24"/>
  <c r="C299" i="24"/>
  <c r="F298" i="24"/>
  <c r="E298" i="24"/>
  <c r="D298" i="24"/>
  <c r="C298" i="24"/>
  <c r="F296" i="24"/>
  <c r="E296" i="24"/>
  <c r="D296" i="24"/>
  <c r="C296" i="24"/>
  <c r="F295" i="24"/>
  <c r="E295" i="24"/>
  <c r="D295" i="24"/>
  <c r="C295" i="24"/>
  <c r="F294" i="24"/>
  <c r="E294" i="24"/>
  <c r="D294" i="24"/>
  <c r="C294" i="24"/>
  <c r="F293" i="24"/>
  <c r="E293" i="24"/>
  <c r="D293" i="24"/>
  <c r="C293" i="24"/>
  <c r="F292" i="24"/>
  <c r="E292" i="24"/>
  <c r="D292" i="24"/>
  <c r="C292" i="24"/>
  <c r="F291" i="24"/>
  <c r="E291" i="24"/>
  <c r="D291" i="24"/>
  <c r="C291" i="24"/>
  <c r="F290" i="24"/>
  <c r="E290" i="24"/>
  <c r="D290" i="24"/>
  <c r="C290" i="24"/>
  <c r="F289" i="24"/>
  <c r="E289" i="24"/>
  <c r="D289" i="24"/>
  <c r="C289" i="24"/>
  <c r="F288" i="24"/>
  <c r="E288" i="24"/>
  <c r="D288" i="24"/>
  <c r="C288" i="24"/>
  <c r="F287" i="24"/>
  <c r="E287" i="24"/>
  <c r="D287" i="24"/>
  <c r="C287" i="24"/>
  <c r="F286" i="24"/>
  <c r="E286" i="24"/>
  <c r="D286" i="24"/>
  <c r="C286" i="24"/>
  <c r="F285" i="24"/>
  <c r="E285" i="24"/>
  <c r="D285" i="24"/>
  <c r="C285" i="24"/>
  <c r="F284" i="24"/>
  <c r="E284" i="24"/>
  <c r="D284" i="24"/>
  <c r="C284" i="24"/>
  <c r="F283" i="24"/>
  <c r="E283" i="24"/>
  <c r="D283" i="24"/>
  <c r="C283" i="24"/>
  <c r="F282" i="24"/>
  <c r="E282" i="24"/>
  <c r="D282" i="24"/>
  <c r="C282" i="24"/>
  <c r="F281" i="24"/>
  <c r="E281" i="24"/>
  <c r="D281" i="24"/>
  <c r="C281" i="24"/>
  <c r="F280" i="24"/>
  <c r="E280" i="24"/>
  <c r="D280" i="24"/>
  <c r="C280" i="24"/>
  <c r="F279" i="24"/>
  <c r="E279" i="24"/>
  <c r="D279" i="24"/>
  <c r="C279" i="24"/>
  <c r="F278" i="24"/>
  <c r="E278" i="24"/>
  <c r="D278" i="24"/>
  <c r="C278" i="24"/>
  <c r="F277" i="24"/>
  <c r="E277" i="24"/>
  <c r="D277" i="24"/>
  <c r="C277" i="24"/>
  <c r="F276" i="24"/>
  <c r="E276" i="24"/>
  <c r="D276" i="24"/>
  <c r="C276" i="24"/>
  <c r="F275" i="24"/>
  <c r="E275" i="24"/>
  <c r="D275" i="24"/>
  <c r="C275" i="24"/>
  <c r="F274" i="24"/>
  <c r="E274" i="24"/>
  <c r="D274" i="24"/>
  <c r="C274" i="24"/>
  <c r="F273" i="24"/>
  <c r="E273" i="24"/>
  <c r="D273" i="24"/>
  <c r="C273" i="24"/>
  <c r="F272" i="24"/>
  <c r="E272" i="24"/>
  <c r="D272" i="24"/>
  <c r="C272" i="24"/>
  <c r="F271" i="24"/>
  <c r="E271" i="24"/>
  <c r="D271" i="24"/>
  <c r="C271" i="24"/>
  <c r="F270" i="24"/>
  <c r="E270" i="24"/>
  <c r="D270" i="24"/>
  <c r="C270" i="24"/>
  <c r="F269" i="24"/>
  <c r="E269" i="24"/>
  <c r="D269" i="24"/>
  <c r="C269" i="24"/>
  <c r="F268" i="24"/>
  <c r="E268" i="24"/>
  <c r="D268" i="24"/>
  <c r="C268" i="24"/>
  <c r="F267" i="24"/>
  <c r="E267" i="24"/>
  <c r="D267" i="24"/>
  <c r="C267" i="24"/>
  <c r="F266" i="24"/>
  <c r="E266" i="24"/>
  <c r="D266" i="24"/>
  <c r="C266" i="24"/>
  <c r="F265" i="24"/>
  <c r="E265" i="24"/>
  <c r="D265" i="24"/>
  <c r="C265" i="24"/>
  <c r="F263" i="24"/>
  <c r="E263" i="24"/>
  <c r="D263" i="24"/>
  <c r="C263" i="24"/>
  <c r="F262" i="24"/>
  <c r="E262" i="24"/>
  <c r="D262" i="24"/>
  <c r="C262" i="24"/>
  <c r="F261" i="24"/>
  <c r="E261" i="24"/>
  <c r="D261" i="24"/>
  <c r="C261" i="24"/>
  <c r="F260" i="24"/>
  <c r="E260" i="24"/>
  <c r="D260" i="24"/>
  <c r="C260" i="24"/>
  <c r="F259" i="24"/>
  <c r="E259" i="24"/>
  <c r="D259" i="24"/>
  <c r="C259" i="24"/>
  <c r="F258" i="24"/>
  <c r="E258" i="24"/>
  <c r="D258" i="24"/>
  <c r="C258" i="24"/>
  <c r="F257" i="24"/>
  <c r="E257" i="24"/>
  <c r="D257" i="24"/>
  <c r="C257" i="24"/>
  <c r="F256" i="24"/>
  <c r="E256" i="24"/>
  <c r="D256" i="24"/>
  <c r="C256" i="24"/>
  <c r="F255" i="24"/>
  <c r="E255" i="24"/>
  <c r="D255" i="24"/>
  <c r="C255" i="24"/>
  <c r="F254" i="24"/>
  <c r="E254" i="24"/>
  <c r="D254" i="24"/>
  <c r="C254" i="24"/>
  <c r="F253" i="24"/>
  <c r="E253" i="24"/>
  <c r="D253" i="24"/>
  <c r="C253" i="24"/>
  <c r="F252" i="24"/>
  <c r="E252" i="24"/>
  <c r="D252" i="24"/>
  <c r="C252" i="24"/>
  <c r="F251" i="24"/>
  <c r="E251" i="24"/>
  <c r="D251" i="24"/>
  <c r="C251" i="24"/>
  <c r="F250" i="24"/>
  <c r="E250" i="24"/>
  <c r="D250" i="24"/>
  <c r="C250" i="24"/>
  <c r="F249" i="24"/>
  <c r="E249" i="24"/>
  <c r="D249" i="24"/>
  <c r="C249" i="24"/>
  <c r="F248" i="24"/>
  <c r="E248" i="24"/>
  <c r="D248" i="24"/>
  <c r="C248" i="24"/>
  <c r="F247" i="24"/>
  <c r="E247" i="24"/>
  <c r="D247" i="24"/>
  <c r="C247" i="24"/>
  <c r="F245" i="24"/>
  <c r="E245" i="24"/>
  <c r="D245" i="24"/>
  <c r="C245" i="24"/>
  <c r="F244" i="24"/>
  <c r="E244" i="24"/>
  <c r="D244" i="24"/>
  <c r="C244" i="24"/>
  <c r="F243" i="24"/>
  <c r="E243" i="24"/>
  <c r="D243" i="24"/>
  <c r="C243" i="24"/>
  <c r="F242" i="24"/>
  <c r="E242" i="24"/>
  <c r="D242" i="24"/>
  <c r="C242" i="24"/>
  <c r="F241" i="24"/>
  <c r="E241" i="24"/>
  <c r="D241" i="24"/>
  <c r="C241" i="24"/>
  <c r="F240" i="24"/>
  <c r="E240" i="24"/>
  <c r="D240" i="24"/>
  <c r="C240" i="24"/>
  <c r="F239" i="24"/>
  <c r="E239" i="24"/>
  <c r="D239" i="24"/>
  <c r="C239" i="24"/>
  <c r="F238" i="24"/>
  <c r="E238" i="24"/>
  <c r="D238" i="24"/>
  <c r="C238" i="24"/>
  <c r="F237" i="24"/>
  <c r="E237" i="24"/>
  <c r="D237" i="24"/>
  <c r="C237" i="24"/>
  <c r="F236" i="24"/>
  <c r="E236" i="24"/>
  <c r="D236" i="24"/>
  <c r="C236" i="24"/>
  <c r="F235" i="24"/>
  <c r="E235" i="24"/>
  <c r="D235" i="24"/>
  <c r="C235" i="24"/>
  <c r="F234" i="24"/>
  <c r="E234" i="24"/>
  <c r="D234" i="24"/>
  <c r="C234" i="24"/>
  <c r="F233" i="24"/>
  <c r="E233" i="24"/>
  <c r="D233" i="24"/>
  <c r="C233" i="24"/>
  <c r="F232" i="24"/>
  <c r="E232" i="24"/>
  <c r="D232" i="24"/>
  <c r="C232" i="24"/>
  <c r="F231" i="24"/>
  <c r="E231" i="24"/>
  <c r="D231" i="24"/>
  <c r="C231" i="24"/>
  <c r="F230" i="24"/>
  <c r="E230" i="24"/>
  <c r="D230" i="24"/>
  <c r="C230" i="24"/>
  <c r="F229" i="24"/>
  <c r="E229" i="24"/>
  <c r="D229" i="24"/>
  <c r="C229" i="24"/>
  <c r="F228" i="24"/>
  <c r="E228" i="24"/>
  <c r="D228" i="24"/>
  <c r="C228" i="24"/>
  <c r="F227" i="24"/>
  <c r="E227" i="24"/>
  <c r="D227" i="24"/>
  <c r="C227" i="24"/>
  <c r="F226" i="24"/>
  <c r="E226" i="24"/>
  <c r="D226" i="24"/>
  <c r="C226" i="24"/>
  <c r="F225" i="24"/>
  <c r="E225" i="24"/>
  <c r="D225" i="24"/>
  <c r="C225" i="24"/>
  <c r="F224" i="24"/>
  <c r="E224" i="24"/>
  <c r="D224" i="24"/>
  <c r="C224" i="24"/>
  <c r="F222" i="24"/>
  <c r="E222" i="24"/>
  <c r="D222" i="24"/>
  <c r="C222" i="24"/>
  <c r="F219" i="24"/>
  <c r="E219" i="24"/>
  <c r="D219" i="24"/>
  <c r="C219" i="24"/>
  <c r="F218" i="24"/>
  <c r="E218" i="24"/>
  <c r="D218" i="24"/>
  <c r="C218" i="24"/>
  <c r="F221" i="24"/>
  <c r="E221" i="24"/>
  <c r="D221" i="24"/>
  <c r="C221" i="24"/>
  <c r="F214" i="24"/>
  <c r="E214" i="24"/>
  <c r="D214" i="24"/>
  <c r="C214" i="24"/>
  <c r="F220" i="24"/>
  <c r="E220" i="24"/>
  <c r="D220" i="24"/>
  <c r="C220" i="24"/>
  <c r="F217" i="24"/>
  <c r="E217" i="24"/>
  <c r="D217" i="24"/>
  <c r="C217" i="24"/>
  <c r="F213" i="24"/>
  <c r="E213" i="24"/>
  <c r="D213" i="24"/>
  <c r="C213" i="24"/>
  <c r="F211" i="24"/>
  <c r="E211" i="24"/>
  <c r="D211" i="24"/>
  <c r="C211" i="24"/>
  <c r="F216" i="24"/>
  <c r="E216" i="24"/>
  <c r="D216" i="24"/>
  <c r="C216" i="24"/>
  <c r="F215" i="24"/>
  <c r="E215" i="24"/>
  <c r="D215" i="24"/>
  <c r="C215" i="24"/>
  <c r="F212" i="24"/>
  <c r="E212" i="24"/>
  <c r="D212" i="24"/>
  <c r="C212" i="24"/>
  <c r="F210" i="24"/>
  <c r="E210" i="24"/>
  <c r="D210" i="24"/>
  <c r="C210" i="24"/>
  <c r="F223" i="24"/>
  <c r="E223" i="24"/>
  <c r="D223" i="24"/>
  <c r="C223" i="24"/>
  <c r="F190" i="24"/>
  <c r="E190" i="24"/>
  <c r="D190" i="24"/>
  <c r="C190" i="24"/>
  <c r="F200" i="24"/>
  <c r="E200" i="24"/>
  <c r="D200" i="24"/>
  <c r="C200" i="24"/>
  <c r="F199" i="24"/>
  <c r="E199" i="24"/>
  <c r="D199" i="24"/>
  <c r="C199" i="24"/>
  <c r="F198" i="24"/>
  <c r="E198" i="24"/>
  <c r="D198" i="24"/>
  <c r="C198" i="24"/>
  <c r="F197" i="24"/>
  <c r="E197" i="24"/>
  <c r="D197" i="24"/>
  <c r="C197" i="24"/>
  <c r="F196" i="24"/>
  <c r="E196" i="24"/>
  <c r="D196" i="24"/>
  <c r="C196" i="24"/>
  <c r="F195" i="24"/>
  <c r="E195" i="24"/>
  <c r="D195" i="24"/>
  <c r="C195" i="24"/>
  <c r="F194" i="24"/>
  <c r="E194" i="24"/>
  <c r="D194" i="24"/>
  <c r="C194" i="24"/>
  <c r="F193" i="24"/>
  <c r="E193" i="24"/>
  <c r="D193" i="24"/>
  <c r="C193" i="24"/>
  <c r="F189" i="24"/>
  <c r="E189" i="24"/>
  <c r="D189" i="24"/>
  <c r="C189" i="24"/>
  <c r="F188" i="24"/>
  <c r="E188" i="24"/>
  <c r="D188" i="24"/>
  <c r="C188" i="24"/>
  <c r="F187" i="24"/>
  <c r="E187" i="24"/>
  <c r="D187" i="24"/>
  <c r="C187" i="24"/>
  <c r="F186" i="24"/>
  <c r="E186" i="24"/>
  <c r="D186" i="24"/>
  <c r="C186" i="24"/>
  <c r="F185" i="24"/>
  <c r="E185" i="24"/>
  <c r="D185" i="24"/>
  <c r="C185" i="24"/>
  <c r="F184" i="24"/>
  <c r="E184" i="24"/>
  <c r="D184" i="24"/>
  <c r="C184" i="24"/>
  <c r="F183" i="24"/>
  <c r="E183" i="24"/>
  <c r="D183" i="24"/>
  <c r="C183" i="24"/>
  <c r="F206" i="24"/>
  <c r="E206" i="24"/>
  <c r="D206" i="24"/>
  <c r="C206" i="24"/>
  <c r="F205" i="24"/>
  <c r="E205" i="24"/>
  <c r="D205" i="24"/>
  <c r="C205" i="24"/>
  <c r="F204" i="24"/>
  <c r="E204" i="24"/>
  <c r="D204" i="24"/>
  <c r="C204" i="24"/>
  <c r="F203" i="24"/>
  <c r="E203" i="24"/>
  <c r="D203" i="24"/>
  <c r="C203" i="24"/>
  <c r="F182" i="24"/>
  <c r="E182" i="24"/>
  <c r="D182" i="24"/>
  <c r="C182" i="24"/>
  <c r="F181" i="24"/>
  <c r="E181" i="24"/>
  <c r="D181" i="24"/>
  <c r="C181" i="24"/>
  <c r="F180" i="24"/>
  <c r="E180" i="24"/>
  <c r="D180" i="24"/>
  <c r="C180" i="24"/>
  <c r="F179" i="24"/>
  <c r="E179" i="24"/>
  <c r="D179" i="24"/>
  <c r="C179" i="24"/>
  <c r="F178" i="24"/>
  <c r="E178" i="24"/>
  <c r="D178" i="24"/>
  <c r="C178" i="24"/>
  <c r="F177" i="24"/>
  <c r="E177" i="24"/>
  <c r="D177" i="24"/>
  <c r="C177" i="24"/>
  <c r="F174" i="24"/>
  <c r="E174" i="24"/>
  <c r="D174" i="24"/>
  <c r="C174" i="24"/>
  <c r="F173" i="24"/>
  <c r="E173" i="24"/>
  <c r="D173" i="24"/>
  <c r="C173" i="24"/>
  <c r="F172" i="24"/>
  <c r="E172" i="24"/>
  <c r="D172" i="24"/>
  <c r="C172" i="24"/>
  <c r="F171" i="24"/>
  <c r="E171" i="24"/>
  <c r="D171" i="24"/>
  <c r="C171" i="24"/>
  <c r="F170" i="24"/>
  <c r="E170" i="24"/>
  <c r="D170" i="24"/>
  <c r="C170" i="24"/>
  <c r="F167" i="24"/>
  <c r="E167" i="24"/>
  <c r="D167" i="24"/>
  <c r="C167" i="24"/>
  <c r="F166" i="24"/>
  <c r="E166" i="24"/>
  <c r="D166" i="24"/>
  <c r="C166" i="24"/>
  <c r="F165" i="24"/>
  <c r="E165" i="24"/>
  <c r="D165" i="24"/>
  <c r="C165" i="24"/>
  <c r="F164" i="24"/>
  <c r="E164" i="24"/>
  <c r="D164" i="24"/>
  <c r="C164" i="24"/>
  <c r="F163" i="24"/>
  <c r="E163" i="24"/>
  <c r="D163" i="24"/>
  <c r="C163" i="24"/>
  <c r="F162" i="24"/>
  <c r="E162" i="24"/>
  <c r="D162" i="24"/>
  <c r="C162" i="24"/>
  <c r="F161" i="24"/>
  <c r="E161" i="24"/>
  <c r="D161" i="24"/>
  <c r="C161" i="24"/>
  <c r="F158" i="24"/>
  <c r="E158" i="24"/>
  <c r="D158" i="24"/>
  <c r="C158" i="24"/>
  <c r="F157" i="24"/>
  <c r="E157" i="24"/>
  <c r="D157" i="24"/>
  <c r="C157" i="24"/>
  <c r="F156" i="24"/>
  <c r="E156" i="24"/>
  <c r="D156" i="24"/>
  <c r="C156" i="24"/>
  <c r="F155" i="24"/>
  <c r="E155" i="24"/>
  <c r="D155" i="24"/>
  <c r="C155" i="24"/>
  <c r="F154" i="24"/>
  <c r="E154" i="24"/>
  <c r="D154" i="24"/>
  <c r="C154" i="24"/>
  <c r="F153" i="24"/>
  <c r="E153" i="24"/>
  <c r="D153" i="24"/>
  <c r="C153" i="24"/>
  <c r="F152" i="24"/>
  <c r="E152" i="24"/>
  <c r="D152" i="24"/>
  <c r="C152" i="24"/>
  <c r="F151" i="24"/>
  <c r="E151" i="24"/>
  <c r="D151" i="24"/>
  <c r="C151" i="24"/>
  <c r="F150" i="24"/>
  <c r="E150" i="24"/>
  <c r="D150" i="24"/>
  <c r="C150" i="24"/>
  <c r="F149" i="24"/>
  <c r="E149" i="24"/>
  <c r="D149" i="24"/>
  <c r="C149" i="24"/>
  <c r="F148" i="24"/>
  <c r="E148" i="24"/>
  <c r="D148" i="24"/>
  <c r="C148" i="24"/>
  <c r="F147" i="24"/>
  <c r="E147" i="24"/>
  <c r="D147" i="24"/>
  <c r="C147" i="24"/>
  <c r="F146" i="24"/>
  <c r="E146" i="24"/>
  <c r="D146" i="24"/>
  <c r="C146" i="24"/>
  <c r="F145" i="24"/>
  <c r="E145" i="24"/>
  <c r="D145" i="24"/>
  <c r="C145" i="24"/>
  <c r="F123" i="24"/>
  <c r="E123" i="24"/>
  <c r="N123" i="24" s="1"/>
  <c r="D123" i="24"/>
  <c r="C123" i="24"/>
  <c r="F122" i="24"/>
  <c r="E122" i="24"/>
  <c r="D122" i="24"/>
  <c r="C122" i="24"/>
  <c r="F119" i="24"/>
  <c r="E119" i="24"/>
  <c r="D119" i="24"/>
  <c r="C119" i="24"/>
  <c r="F118" i="24"/>
  <c r="E118" i="24"/>
  <c r="D118" i="24"/>
  <c r="C118" i="24"/>
  <c r="F117" i="24"/>
  <c r="E117" i="24"/>
  <c r="D117" i="24"/>
  <c r="C117" i="24"/>
  <c r="F116" i="24"/>
  <c r="E116" i="24"/>
  <c r="D116" i="24"/>
  <c r="C116" i="24"/>
  <c r="F115" i="24"/>
  <c r="E115" i="24"/>
  <c r="D115" i="24"/>
  <c r="C115" i="24"/>
  <c r="F102" i="24"/>
  <c r="E102" i="24"/>
  <c r="D102" i="24"/>
  <c r="C102" i="24"/>
  <c r="F101" i="24"/>
  <c r="E101" i="24"/>
  <c r="D101" i="24"/>
  <c r="C101" i="24"/>
  <c r="F114" i="24"/>
  <c r="E114" i="24"/>
  <c r="D114" i="24"/>
  <c r="C114" i="24"/>
  <c r="F113" i="24"/>
  <c r="E113" i="24"/>
  <c r="D113" i="24"/>
  <c r="C113" i="24"/>
  <c r="F112" i="24"/>
  <c r="E112" i="24"/>
  <c r="D112" i="24"/>
  <c r="C112" i="24"/>
  <c r="F111" i="24"/>
  <c r="E111" i="24"/>
  <c r="D111" i="24"/>
  <c r="C111" i="24"/>
  <c r="F110" i="24"/>
  <c r="E110" i="24"/>
  <c r="D110" i="24"/>
  <c r="C110" i="24"/>
  <c r="F109" i="24"/>
  <c r="E109" i="24"/>
  <c r="D109" i="24"/>
  <c r="C109" i="24"/>
  <c r="F108" i="24"/>
  <c r="E108" i="24"/>
  <c r="D108" i="24"/>
  <c r="C108" i="24"/>
  <c r="F107" i="24"/>
  <c r="E107" i="24"/>
  <c r="D107" i="24"/>
  <c r="C107" i="24"/>
  <c r="F106" i="24"/>
  <c r="E106" i="24"/>
  <c r="D106" i="24"/>
  <c r="C106" i="24"/>
  <c r="F105" i="24"/>
  <c r="E105" i="24"/>
  <c r="D105" i="24"/>
  <c r="C105" i="24"/>
  <c r="F104" i="24"/>
  <c r="E104" i="24"/>
  <c r="D104" i="24"/>
  <c r="C104" i="24"/>
  <c r="F103" i="24"/>
  <c r="E103" i="24"/>
  <c r="D103" i="24"/>
  <c r="C103" i="24"/>
  <c r="F97" i="24"/>
  <c r="E97" i="24"/>
  <c r="D97" i="24"/>
  <c r="C97" i="24"/>
  <c r="F83" i="24"/>
  <c r="E83" i="24"/>
  <c r="D83" i="24"/>
  <c r="C83" i="24"/>
  <c r="F82" i="24"/>
  <c r="E82" i="24"/>
  <c r="N82" i="24" s="1"/>
  <c r="D82" i="24"/>
  <c r="C82" i="24"/>
  <c r="F69" i="24"/>
  <c r="E69" i="24"/>
  <c r="D69" i="24"/>
  <c r="C69" i="24"/>
  <c r="F68" i="24"/>
  <c r="E68" i="24"/>
  <c r="D68" i="24"/>
  <c r="C68" i="24"/>
  <c r="F67" i="24"/>
  <c r="E67" i="24"/>
  <c r="D67" i="24"/>
  <c r="C67" i="24"/>
  <c r="F66" i="24"/>
  <c r="E66" i="24"/>
  <c r="D66" i="24"/>
  <c r="C66" i="24"/>
  <c r="F65" i="24"/>
  <c r="E65" i="24"/>
  <c r="D65" i="24"/>
  <c r="C65" i="24"/>
  <c r="F64" i="24"/>
  <c r="E64" i="24"/>
  <c r="D64" i="24"/>
  <c r="C64" i="24"/>
  <c r="F63" i="24"/>
  <c r="E63" i="24"/>
  <c r="D63" i="24"/>
  <c r="C63" i="24"/>
  <c r="F62" i="24"/>
  <c r="E62" i="24"/>
  <c r="D62" i="24"/>
  <c r="C62" i="24"/>
  <c r="F61" i="24"/>
  <c r="E61" i="24"/>
  <c r="D61" i="24"/>
  <c r="C61" i="24"/>
  <c r="F60" i="24"/>
  <c r="E60" i="24"/>
  <c r="D60" i="24"/>
  <c r="C60" i="24"/>
  <c r="F59" i="24"/>
  <c r="E59" i="24"/>
  <c r="D59" i="24"/>
  <c r="C59" i="24"/>
  <c r="F58" i="24"/>
  <c r="E58" i="24"/>
  <c r="D58" i="24"/>
  <c r="C58" i="24"/>
  <c r="F57" i="24"/>
  <c r="E57" i="24"/>
  <c r="D57" i="24"/>
  <c r="C57" i="24"/>
  <c r="F56" i="24"/>
  <c r="E56" i="24"/>
  <c r="D56" i="24"/>
  <c r="C56" i="24"/>
  <c r="F55" i="24"/>
  <c r="E55" i="24"/>
  <c r="D55" i="24"/>
  <c r="C55" i="24"/>
  <c r="F54" i="24"/>
  <c r="E54" i="24"/>
  <c r="D54" i="24"/>
  <c r="C54" i="24"/>
  <c r="F53" i="24"/>
  <c r="E53" i="24"/>
  <c r="D53" i="24"/>
  <c r="C53" i="24"/>
  <c r="F52" i="24"/>
  <c r="E52" i="24"/>
  <c r="D52" i="24"/>
  <c r="C52" i="24"/>
  <c r="F51" i="24"/>
  <c r="E51" i="24"/>
  <c r="D51" i="24"/>
  <c r="C51" i="24"/>
  <c r="F50" i="24"/>
  <c r="E50" i="24"/>
  <c r="D50" i="24"/>
  <c r="C50" i="24"/>
  <c r="F49" i="24"/>
  <c r="E49" i="24"/>
  <c r="D49" i="24"/>
  <c r="C49" i="24"/>
  <c r="F48" i="24"/>
  <c r="E48" i="24"/>
  <c r="D48" i="24"/>
  <c r="C48" i="24"/>
  <c r="F47" i="24"/>
  <c r="E47" i="24"/>
  <c r="D47" i="24"/>
  <c r="C47" i="24"/>
  <c r="F46" i="24"/>
  <c r="E46" i="24"/>
  <c r="D46" i="24"/>
  <c r="C46" i="24"/>
  <c r="F45" i="24"/>
  <c r="E45" i="24"/>
  <c r="D45" i="24"/>
  <c r="C45" i="24"/>
  <c r="F44" i="24"/>
  <c r="E44" i="24"/>
  <c r="D44" i="24"/>
  <c r="C44" i="24"/>
  <c r="F43" i="24"/>
  <c r="E43" i="24"/>
  <c r="D43" i="24"/>
  <c r="C43" i="24"/>
  <c r="F42" i="24"/>
  <c r="E42" i="24"/>
  <c r="D42" i="24"/>
  <c r="C42" i="24"/>
  <c r="F41" i="24"/>
  <c r="E41" i="24"/>
  <c r="D41" i="24"/>
  <c r="C41" i="24"/>
  <c r="F40" i="24"/>
  <c r="E40" i="24"/>
  <c r="D40" i="24"/>
  <c r="C40" i="24"/>
  <c r="F39" i="24"/>
  <c r="E39" i="24"/>
  <c r="D39" i="24"/>
  <c r="C39" i="24"/>
  <c r="F38" i="24"/>
  <c r="E38" i="24"/>
  <c r="D38" i="24"/>
  <c r="C38" i="24"/>
  <c r="F37" i="24"/>
  <c r="E37" i="24"/>
  <c r="D37" i="24"/>
  <c r="C37" i="24"/>
  <c r="F36" i="24"/>
  <c r="E36" i="24"/>
  <c r="D36" i="24"/>
  <c r="C36" i="24"/>
  <c r="F35" i="24"/>
  <c r="E35" i="24"/>
  <c r="D35" i="24"/>
  <c r="C35" i="24"/>
  <c r="F34" i="24"/>
  <c r="E34" i="24"/>
  <c r="D34" i="24"/>
  <c r="C34" i="24"/>
  <c r="F33" i="24"/>
  <c r="E33" i="24"/>
  <c r="D33" i="24"/>
  <c r="C33" i="24"/>
  <c r="F32" i="24"/>
  <c r="E32" i="24"/>
  <c r="D32" i="24"/>
  <c r="C32" i="24"/>
  <c r="F31" i="24"/>
  <c r="E31" i="24"/>
  <c r="D31" i="24"/>
  <c r="C31" i="24"/>
  <c r="F30" i="24"/>
  <c r="E30" i="24"/>
  <c r="D30" i="24"/>
  <c r="C30" i="24"/>
  <c r="F29" i="24"/>
  <c r="E29" i="24"/>
  <c r="D29" i="24"/>
  <c r="C29" i="24"/>
  <c r="F28" i="24"/>
  <c r="E28" i="24"/>
  <c r="D28" i="24"/>
  <c r="C28" i="24"/>
  <c r="F27" i="24"/>
  <c r="E27" i="24"/>
  <c r="D27" i="24"/>
  <c r="C27" i="24"/>
  <c r="F26" i="24"/>
  <c r="E26" i="24"/>
  <c r="D26" i="24"/>
  <c r="C26" i="24"/>
  <c r="F25" i="24"/>
  <c r="E25" i="24"/>
  <c r="D25" i="24"/>
  <c r="C25" i="24"/>
  <c r="F24" i="24"/>
  <c r="E24" i="24"/>
  <c r="D24" i="24"/>
  <c r="C24" i="24"/>
  <c r="F23" i="24"/>
  <c r="E23" i="24"/>
  <c r="D23" i="24"/>
  <c r="C23" i="24"/>
  <c r="F22" i="24"/>
  <c r="E22" i="24"/>
  <c r="D22" i="24"/>
  <c r="C22" i="24"/>
  <c r="F21" i="24"/>
  <c r="E21" i="24"/>
  <c r="D21" i="24"/>
  <c r="C21" i="24"/>
  <c r="F20" i="24"/>
  <c r="E20" i="24"/>
  <c r="D20" i="24"/>
  <c r="C20" i="24"/>
  <c r="F19" i="24"/>
  <c r="E19" i="24"/>
  <c r="D19" i="24"/>
  <c r="C19" i="24"/>
  <c r="F18" i="24"/>
  <c r="E18" i="24"/>
  <c r="D18" i="24"/>
  <c r="C18" i="24"/>
  <c r="F17" i="24"/>
  <c r="E17" i="24"/>
  <c r="D17" i="24"/>
  <c r="C17" i="24"/>
  <c r="F16" i="24"/>
  <c r="E16" i="24"/>
  <c r="D16" i="24"/>
  <c r="C16" i="24"/>
  <c r="F15" i="24"/>
  <c r="E15" i="24"/>
  <c r="D15" i="24"/>
  <c r="C15" i="24"/>
  <c r="F14" i="24"/>
  <c r="E14" i="24"/>
  <c r="D14" i="24"/>
  <c r="C14" i="24"/>
  <c r="F13" i="24"/>
  <c r="E13" i="24"/>
  <c r="D13" i="24"/>
  <c r="C13" i="24"/>
  <c r="F12" i="24"/>
  <c r="E12" i="24"/>
  <c r="D12" i="24"/>
  <c r="C12" i="24"/>
  <c r="F11" i="24"/>
  <c r="E11" i="24"/>
  <c r="D11" i="24"/>
  <c r="C11" i="24"/>
  <c r="F10" i="24"/>
  <c r="E10" i="24"/>
  <c r="D10" i="24"/>
  <c r="C10" i="24"/>
  <c r="F9" i="24"/>
  <c r="E9" i="24"/>
  <c r="D9" i="24"/>
  <c r="C9" i="24"/>
  <c r="F8" i="24"/>
  <c r="E8" i="24"/>
  <c r="D8" i="24"/>
  <c r="C8" i="24"/>
  <c r="E7" i="24"/>
  <c r="D7" i="24"/>
  <c r="C7" i="24"/>
  <c r="DR190" i="3"/>
  <c r="DQ190" i="3"/>
  <c r="DP190" i="3"/>
  <c r="DO190" i="3"/>
  <c r="DN190" i="3"/>
  <c r="DM190" i="3"/>
  <c r="DL190" i="3"/>
  <c r="BN190" i="3" s="1"/>
  <c r="DR200" i="3"/>
  <c r="DN200" i="3"/>
  <c r="DL200" i="3"/>
  <c r="DR199" i="3"/>
  <c r="DN199" i="3"/>
  <c r="DL199" i="3"/>
  <c r="DR198" i="3"/>
  <c r="DN198" i="3"/>
  <c r="DL198" i="3"/>
  <c r="DR197" i="3"/>
  <c r="CH197" i="3" s="1"/>
  <c r="DN197" i="3"/>
  <c r="DL197" i="3"/>
  <c r="DR196" i="3"/>
  <c r="CH196" i="3" s="1"/>
  <c r="DN196" i="3"/>
  <c r="DL196" i="3"/>
  <c r="DR195" i="3"/>
  <c r="DN195" i="3"/>
  <c r="CD195" i="3" s="1"/>
  <c r="DL195" i="3"/>
  <c r="DR194" i="3"/>
  <c r="CH194" i="3" s="1"/>
  <c r="DN194" i="3"/>
  <c r="DL194" i="3"/>
  <c r="DR193" i="3"/>
  <c r="DN193" i="3"/>
  <c r="DR189" i="3"/>
  <c r="DN189" i="3"/>
  <c r="DL189" i="3"/>
  <c r="DR188" i="3"/>
  <c r="DN188" i="3"/>
  <c r="DL188" i="3"/>
  <c r="DR187" i="3"/>
  <c r="CH187" i="3" s="1"/>
  <c r="DN187" i="3"/>
  <c r="DL187" i="3"/>
  <c r="DR186" i="3"/>
  <c r="CH186" i="3" s="1"/>
  <c r="DN186" i="3"/>
  <c r="DL186" i="3"/>
  <c r="DR185" i="3"/>
  <c r="CH185" i="3" s="1"/>
  <c r="DN185" i="3"/>
  <c r="DL185" i="3"/>
  <c r="DR184" i="3"/>
  <c r="CH184" i="3" s="1"/>
  <c r="DN184" i="3"/>
  <c r="DL184" i="3"/>
  <c r="DR183" i="3"/>
  <c r="CH183" i="3" s="1"/>
  <c r="DN183" i="3"/>
  <c r="DL183" i="3"/>
  <c r="BN183" i="3" s="1"/>
  <c r="DR206" i="3"/>
  <c r="DN206" i="3"/>
  <c r="DL206" i="3"/>
  <c r="DR205" i="3"/>
  <c r="CH205" i="3" s="1"/>
  <c r="DN205" i="3"/>
  <c r="DL205" i="3"/>
  <c r="DR204" i="3"/>
  <c r="CH204" i="3" s="1"/>
  <c r="DN204" i="3"/>
  <c r="DL204" i="3"/>
  <c r="DR182" i="3"/>
  <c r="DN182" i="3"/>
  <c r="DL182" i="3"/>
  <c r="BN182" i="3" s="1"/>
  <c r="DR181" i="3"/>
  <c r="DN181" i="3"/>
  <c r="DL181" i="3"/>
  <c r="DR180" i="3"/>
  <c r="DN180" i="3"/>
  <c r="DL180" i="3"/>
  <c r="DR179" i="3"/>
  <c r="DN179" i="3"/>
  <c r="DL179" i="3"/>
  <c r="DR178" i="3"/>
  <c r="DN178" i="3"/>
  <c r="DL178" i="3"/>
  <c r="DR177" i="3"/>
  <c r="DN177" i="3"/>
  <c r="DL177" i="3"/>
  <c r="DR174" i="3"/>
  <c r="DN174" i="3"/>
  <c r="DL174" i="3"/>
  <c r="BN174" i="3" s="1"/>
  <c r="DR173" i="3"/>
  <c r="DN173" i="3"/>
  <c r="DL173" i="3"/>
  <c r="DR172" i="3"/>
  <c r="DN172" i="3"/>
  <c r="DL172" i="3"/>
  <c r="DR171" i="3"/>
  <c r="CH171" i="3" s="1"/>
  <c r="DN171" i="3"/>
  <c r="DL171" i="3"/>
  <c r="DR170" i="3"/>
  <c r="DN170" i="3"/>
  <c r="DL170" i="3"/>
  <c r="DR167" i="3"/>
  <c r="DN167" i="3"/>
  <c r="DL167" i="3"/>
  <c r="DR166" i="3"/>
  <c r="DN166" i="3"/>
  <c r="DL166" i="3"/>
  <c r="BN166" i="3" s="1"/>
  <c r="DR165" i="3"/>
  <c r="DN165" i="3"/>
  <c r="DL165" i="3"/>
  <c r="DR164" i="3"/>
  <c r="DN164" i="3"/>
  <c r="DL164" i="3"/>
  <c r="DR163" i="3"/>
  <c r="DN163" i="3"/>
  <c r="DL163" i="3"/>
  <c r="DR162" i="3"/>
  <c r="DN162" i="3"/>
  <c r="DL162" i="3"/>
  <c r="DR161" i="3"/>
  <c r="DN161" i="3"/>
  <c r="DL161" i="3"/>
  <c r="DR158" i="3"/>
  <c r="DN158" i="3"/>
  <c r="DL158" i="3"/>
  <c r="BN158" i="3" s="1"/>
  <c r="DR157" i="3"/>
  <c r="DN157" i="3"/>
  <c r="DL157" i="3"/>
  <c r="DR156" i="3"/>
  <c r="DN156" i="3"/>
  <c r="DL156" i="3"/>
  <c r="DR155" i="3"/>
  <c r="DN155" i="3"/>
  <c r="DL155" i="3"/>
  <c r="DR154" i="3"/>
  <c r="DN154" i="3"/>
  <c r="DL154" i="3"/>
  <c r="DR153" i="3"/>
  <c r="DN153" i="3"/>
  <c r="DL153" i="3"/>
  <c r="DR152" i="3"/>
  <c r="DN152" i="3"/>
  <c r="DL152" i="3"/>
  <c r="DR151" i="3"/>
  <c r="DN151" i="3"/>
  <c r="DL151" i="3"/>
  <c r="DL203" i="3"/>
  <c r="BN203" i="3" s="1"/>
  <c r="DN203" i="3"/>
  <c r="DR203" i="3"/>
  <c r="BO203" i="3" l="1"/>
  <c r="BP203" i="3" s="1"/>
  <c r="N484" i="24"/>
  <c r="N488" i="24"/>
  <c r="N492" i="24"/>
  <c r="N496" i="24"/>
  <c r="N7" i="24"/>
  <c r="N485" i="24"/>
  <c r="N489" i="24"/>
  <c r="N493" i="24"/>
  <c r="N497" i="24"/>
  <c r="N482" i="24"/>
  <c r="N486" i="24"/>
  <c r="N490" i="24"/>
  <c r="N494" i="24"/>
  <c r="N498" i="24"/>
  <c r="N483" i="24"/>
  <c r="N487" i="24"/>
  <c r="N491" i="24"/>
  <c r="N495" i="24"/>
  <c r="N499" i="24"/>
  <c r="N200" i="24"/>
  <c r="BU200" i="3"/>
  <c r="J250" i="3"/>
  <c r="M250" i="3"/>
  <c r="J242" i="3"/>
  <c r="M242" i="3"/>
  <c r="N242" i="3" s="1"/>
  <c r="M259" i="3"/>
  <c r="N259" i="3" s="1"/>
  <c r="J259" i="3"/>
  <c r="M258" i="3"/>
  <c r="N258" i="3" s="1"/>
  <c r="J258" i="3"/>
  <c r="M257" i="3"/>
  <c r="N257" i="3" s="1"/>
  <c r="J257" i="3"/>
  <c r="M256" i="3"/>
  <c r="N256" i="3" s="1"/>
  <c r="J256" i="3"/>
  <c r="M255" i="3"/>
  <c r="N255" i="3" s="1"/>
  <c r="J255" i="3"/>
  <c r="J254" i="3"/>
  <c r="M254" i="3"/>
  <c r="L254" i="3" s="1"/>
  <c r="J253" i="3"/>
  <c r="J237" i="3"/>
  <c r="M237" i="3"/>
  <c r="N237" i="3" s="1"/>
  <c r="M253" i="3"/>
  <c r="N253" i="3" s="1"/>
  <c r="J252" i="3"/>
  <c r="M252" i="3"/>
  <c r="L252" i="3" s="1"/>
  <c r="BQ203" i="3" l="1"/>
  <c r="N250" i="3"/>
  <c r="L258" i="3"/>
  <c r="L237" i="3"/>
  <c r="L250" i="3"/>
  <c r="L256" i="3"/>
  <c r="N254" i="3"/>
  <c r="L257" i="3"/>
  <c r="L255" i="3"/>
  <c r="N252" i="3"/>
  <c r="L259" i="3"/>
  <c r="L242" i="3"/>
  <c r="L253" i="3"/>
  <c r="BR203" i="3" l="1"/>
  <c r="N397" i="24"/>
  <c r="Z397" i="3"/>
  <c r="AD397" i="3"/>
  <c r="GF397" i="24" l="1"/>
  <c r="GE397" i="24"/>
  <c r="GC397" i="24"/>
  <c r="GD397" i="24"/>
  <c r="CC500" i="3"/>
  <c r="CF433" i="3"/>
  <c r="CC433" i="3"/>
  <c r="CF432" i="3"/>
  <c r="CC432" i="3"/>
  <c r="CG401" i="3"/>
  <c r="CB401" i="3"/>
  <c r="CF260" i="3"/>
  <c r="CC260" i="3"/>
  <c r="CG259" i="3"/>
  <c r="CC259" i="3"/>
  <c r="CE258" i="3"/>
  <c r="CC258" i="3"/>
  <c r="CG257" i="3"/>
  <c r="CC257" i="3"/>
  <c r="CE256" i="3"/>
  <c r="CC256" i="3"/>
  <c r="CG255" i="3"/>
  <c r="CC255" i="3"/>
  <c r="CE254" i="3"/>
  <c r="CF253" i="3"/>
  <c r="CC253" i="3"/>
  <c r="CC252" i="3"/>
  <c r="CF251" i="3"/>
  <c r="CF250" i="3"/>
  <c r="CC250" i="3"/>
  <c r="CF245" i="3"/>
  <c r="CF244" i="3"/>
  <c r="CC244" i="3"/>
  <c r="CF243" i="3"/>
  <c r="CC243" i="3"/>
  <c r="CF242" i="3"/>
  <c r="CC242" i="3"/>
  <c r="CF241" i="3"/>
  <c r="CC241" i="3"/>
  <c r="CC240" i="3"/>
  <c r="CC239" i="3"/>
  <c r="CC238" i="3"/>
  <c r="CG237" i="3"/>
  <c r="CC237" i="3"/>
  <c r="CG408" i="3" l="1"/>
  <c r="CG245" i="3"/>
  <c r="CE432" i="3"/>
  <c r="CG243" i="3"/>
  <c r="CE433" i="3"/>
  <c r="CG244" i="3"/>
  <c r="CE260" i="3"/>
  <c r="CG241" i="3"/>
  <c r="CE251" i="3"/>
  <c r="CG242" i="3"/>
  <c r="CE253" i="3"/>
  <c r="CG253" i="3"/>
  <c r="CE250" i="3"/>
  <c r="CE245" i="3"/>
  <c r="CG251" i="3"/>
  <c r="CE259" i="3"/>
  <c r="CE257" i="3"/>
  <c r="CG250" i="3"/>
  <c r="CE237" i="3"/>
  <c r="CE242" i="3"/>
  <c r="CG432" i="3"/>
  <c r="CE244" i="3"/>
  <c r="CG433" i="3"/>
  <c r="CE255" i="3"/>
  <c r="CG254" i="3"/>
  <c r="CG256" i="3"/>
  <c r="CG258" i="3"/>
  <c r="CG260" i="3"/>
  <c r="CE241" i="3"/>
  <c r="CE243" i="3"/>
  <c r="CE323" i="3"/>
  <c r="CD197" i="3" l="1"/>
  <c r="CD196" i="3"/>
  <c r="CD194" i="3"/>
  <c r="CD193" i="3"/>
  <c r="CB193" i="3"/>
  <c r="CD187" i="3"/>
  <c r="CD186" i="3"/>
  <c r="CD185" i="3"/>
  <c r="CD184" i="3"/>
  <c r="CD183" i="3"/>
  <c r="CB183" i="3"/>
  <c r="CD203" i="3"/>
  <c r="CB203" i="3"/>
  <c r="CH182" i="3"/>
  <c r="CD182" i="3"/>
  <c r="CB182" i="3"/>
  <c r="CH180" i="3"/>
  <c r="CH179" i="3"/>
  <c r="CH178" i="3"/>
  <c r="CH177" i="3"/>
  <c r="CH174" i="3"/>
  <c r="CD174" i="3"/>
  <c r="CB174" i="3"/>
  <c r="CH173" i="3"/>
  <c r="CH172" i="3"/>
  <c r="CH170" i="3"/>
  <c r="CH167" i="3"/>
  <c r="CD167" i="3"/>
  <c r="CB167" i="3"/>
  <c r="CH166" i="3"/>
  <c r="CD166" i="3"/>
  <c r="CB166" i="3"/>
  <c r="CH165" i="3"/>
  <c r="CH164" i="3"/>
  <c r="CH163" i="3"/>
  <c r="CH162" i="3"/>
  <c r="CH161" i="3"/>
  <c r="CD161" i="3"/>
  <c r="CB161" i="3"/>
  <c r="CH158" i="3"/>
  <c r="CD158" i="3"/>
  <c r="CB158" i="3"/>
  <c r="CH157" i="3"/>
  <c r="CH156" i="3"/>
  <c r="CH155" i="3"/>
  <c r="CH154" i="3"/>
  <c r="CH153" i="3"/>
  <c r="CH151" i="3"/>
  <c r="CD151" i="3"/>
  <c r="CB151" i="3"/>
  <c r="CD152" i="3"/>
  <c r="BN193" i="3" l="1"/>
  <c r="CD188" i="3"/>
  <c r="CH152" i="3"/>
  <c r="CD198" i="3"/>
  <c r="N507" i="24"/>
  <c r="N506" i="24"/>
  <c r="N505" i="24"/>
  <c r="N504" i="24"/>
  <c r="N503" i="24"/>
  <c r="N502" i="24"/>
  <c r="N501" i="24"/>
  <c r="N500" i="24"/>
  <c r="N481" i="24"/>
  <c r="N480" i="24"/>
  <c r="N479" i="24"/>
  <c r="N478" i="24"/>
  <c r="N477" i="24"/>
  <c r="N476" i="24"/>
  <c r="N475" i="24"/>
  <c r="N474" i="24"/>
  <c r="N473" i="24"/>
  <c r="N472" i="24"/>
  <c r="N471" i="24"/>
  <c r="N470" i="24"/>
  <c r="N469" i="24"/>
  <c r="N468" i="24"/>
  <c r="N467" i="24"/>
  <c r="N466" i="24"/>
  <c r="N465" i="24"/>
  <c r="N464" i="24"/>
  <c r="N463" i="24"/>
  <c r="N462" i="24"/>
  <c r="N461" i="24"/>
  <c r="N436" i="24"/>
  <c r="N435" i="24"/>
  <c r="N434" i="24"/>
  <c r="N433" i="24"/>
  <c r="N432" i="24"/>
  <c r="N431" i="24"/>
  <c r="N430" i="24"/>
  <c r="N428" i="24"/>
  <c r="N427" i="24"/>
  <c r="N426" i="24"/>
  <c r="N425" i="24"/>
  <c r="N424" i="24"/>
  <c r="N423" i="24"/>
  <c r="N422" i="24"/>
  <c r="N421" i="24"/>
  <c r="N420" i="24"/>
  <c r="N419" i="24"/>
  <c r="N418" i="24"/>
  <c r="N416" i="24"/>
  <c r="N415" i="24"/>
  <c r="N414" i="24"/>
  <c r="N413" i="24"/>
  <c r="N412" i="24"/>
  <c r="N411" i="24"/>
  <c r="N410" i="24"/>
  <c r="N409" i="24"/>
  <c r="N407" i="24"/>
  <c r="N406" i="24"/>
  <c r="N405" i="24"/>
  <c r="N403" i="24"/>
  <c r="N402" i="24"/>
  <c r="N401" i="24"/>
  <c r="N400" i="24"/>
  <c r="N399" i="24"/>
  <c r="N396" i="24"/>
  <c r="N395" i="24"/>
  <c r="N394" i="24"/>
  <c r="N392" i="24"/>
  <c r="N391" i="24"/>
  <c r="N390" i="24"/>
  <c r="N389" i="24"/>
  <c r="N388" i="24"/>
  <c r="N387" i="24"/>
  <c r="N386" i="24"/>
  <c r="N385" i="24"/>
  <c r="N383" i="24"/>
  <c r="N382" i="24"/>
  <c r="N381" i="24"/>
  <c r="N380" i="24"/>
  <c r="N379" i="24"/>
  <c r="N378" i="24"/>
  <c r="N377" i="24"/>
  <c r="N376" i="24"/>
  <c r="N375" i="24"/>
  <c r="N374" i="24"/>
  <c r="N373" i="24"/>
  <c r="N371" i="24"/>
  <c r="N370" i="24"/>
  <c r="N368" i="24"/>
  <c r="N367" i="24"/>
  <c r="N365" i="24"/>
  <c r="N362" i="24"/>
  <c r="N361" i="24"/>
  <c r="N360" i="24"/>
  <c r="N359" i="24"/>
  <c r="N356" i="24"/>
  <c r="N355" i="24"/>
  <c r="N354" i="24"/>
  <c r="N353" i="24"/>
  <c r="N352" i="24"/>
  <c r="N351" i="24"/>
  <c r="N350" i="24"/>
  <c r="N349" i="24"/>
  <c r="N348" i="24"/>
  <c r="N347" i="24"/>
  <c r="N346" i="24"/>
  <c r="N345" i="24"/>
  <c r="N344" i="24"/>
  <c r="N343" i="24"/>
  <c r="N342" i="24"/>
  <c r="N341" i="24"/>
  <c r="N340" i="24"/>
  <c r="N339" i="24"/>
  <c r="N338" i="24"/>
  <c r="N337" i="24"/>
  <c r="N336" i="24"/>
  <c r="N335" i="24"/>
  <c r="N334" i="24"/>
  <c r="N333" i="24"/>
  <c r="N332" i="24"/>
  <c r="N331" i="24"/>
  <c r="N330" i="24"/>
  <c r="N329" i="24"/>
  <c r="N328" i="24"/>
  <c r="N327" i="24"/>
  <c r="N326" i="24"/>
  <c r="N325" i="24"/>
  <c r="N324" i="24"/>
  <c r="N321" i="24"/>
  <c r="N320" i="24"/>
  <c r="N319" i="24"/>
  <c r="N318" i="24"/>
  <c r="N317" i="24"/>
  <c r="N316" i="24"/>
  <c r="N315" i="24"/>
  <c r="N314" i="24"/>
  <c r="N313" i="24"/>
  <c r="N312" i="24"/>
  <c r="N311" i="24"/>
  <c r="N310" i="24"/>
  <c r="N309" i="24"/>
  <c r="N308" i="24"/>
  <c r="N307" i="24"/>
  <c r="N306" i="24"/>
  <c r="N305" i="24"/>
  <c r="N303" i="24"/>
  <c r="N302" i="24"/>
  <c r="N301" i="24"/>
  <c r="N300" i="24"/>
  <c r="N299" i="24"/>
  <c r="N298" i="24"/>
  <c r="N296" i="24"/>
  <c r="N295" i="24"/>
  <c r="N294" i="24"/>
  <c r="N293" i="24"/>
  <c r="N292" i="24"/>
  <c r="N291" i="24"/>
  <c r="N290" i="24"/>
  <c r="N289" i="24"/>
  <c r="N288" i="24"/>
  <c r="N287" i="24"/>
  <c r="N286" i="24"/>
  <c r="N285" i="24"/>
  <c r="N284" i="24"/>
  <c r="N283" i="24"/>
  <c r="N282" i="24"/>
  <c r="N281" i="24"/>
  <c r="N280" i="24"/>
  <c r="N279" i="24"/>
  <c r="N278" i="24"/>
  <c r="N277" i="24"/>
  <c r="N276" i="24"/>
  <c r="N275" i="24"/>
  <c r="N274" i="24"/>
  <c r="N273" i="24"/>
  <c r="N272" i="24"/>
  <c r="N271" i="24"/>
  <c r="N270" i="24"/>
  <c r="N269" i="24"/>
  <c r="N268" i="24"/>
  <c r="N267" i="24"/>
  <c r="N266" i="24"/>
  <c r="N265" i="24"/>
  <c r="N263" i="24"/>
  <c r="N262" i="24"/>
  <c r="N261" i="24"/>
  <c r="N260" i="24"/>
  <c r="N259" i="24"/>
  <c r="N258" i="24"/>
  <c r="N257" i="24"/>
  <c r="N256" i="24"/>
  <c r="N255" i="24"/>
  <c r="N254" i="24"/>
  <c r="N253" i="24"/>
  <c r="N252" i="24"/>
  <c r="N251" i="24"/>
  <c r="N250" i="24"/>
  <c r="N249" i="24"/>
  <c r="N248" i="24"/>
  <c r="N247" i="24"/>
  <c r="N245" i="24"/>
  <c r="N244" i="24"/>
  <c r="N243" i="24"/>
  <c r="N242" i="24"/>
  <c r="N241" i="24"/>
  <c r="N240" i="24"/>
  <c r="N239" i="24"/>
  <c r="N238" i="24"/>
  <c r="N237" i="24"/>
  <c r="N236" i="24"/>
  <c r="N235" i="24"/>
  <c r="N234" i="24"/>
  <c r="N233" i="24"/>
  <c r="N232" i="24"/>
  <c r="N231" i="24"/>
  <c r="N230" i="24"/>
  <c r="N229" i="24"/>
  <c r="N228" i="24"/>
  <c r="N227" i="24"/>
  <c r="N226" i="24"/>
  <c r="N225" i="24"/>
  <c r="N224" i="24"/>
  <c r="N222" i="24"/>
  <c r="N219" i="24"/>
  <c r="N218" i="24"/>
  <c r="N221" i="24"/>
  <c r="N214" i="24"/>
  <c r="N220" i="24"/>
  <c r="N217" i="24"/>
  <c r="N213" i="24"/>
  <c r="N211" i="24"/>
  <c r="N216" i="24"/>
  <c r="N215" i="24"/>
  <c r="N212" i="24"/>
  <c r="N210" i="24"/>
  <c r="N223" i="24"/>
  <c r="N190" i="24"/>
  <c r="N199" i="24"/>
  <c r="N198" i="24"/>
  <c r="N197" i="24"/>
  <c r="N196" i="24"/>
  <c r="N195" i="24"/>
  <c r="N194" i="24"/>
  <c r="N193" i="24"/>
  <c r="N189" i="24"/>
  <c r="N188" i="24"/>
  <c r="N187" i="24"/>
  <c r="N186" i="24"/>
  <c r="N185" i="24"/>
  <c r="N184" i="24"/>
  <c r="N183" i="24"/>
  <c r="N206" i="24"/>
  <c r="N205" i="24"/>
  <c r="N204" i="24"/>
  <c r="N203" i="24"/>
  <c r="N182" i="24"/>
  <c r="N181" i="24"/>
  <c r="N180" i="24"/>
  <c r="N179" i="24"/>
  <c r="N178" i="24"/>
  <c r="N177" i="24"/>
  <c r="N174" i="24"/>
  <c r="N173" i="24"/>
  <c r="N172" i="24"/>
  <c r="N171" i="24"/>
  <c r="N170" i="24"/>
  <c r="N167" i="24"/>
  <c r="N166" i="24"/>
  <c r="N165" i="24"/>
  <c r="N164" i="24"/>
  <c r="N163" i="24"/>
  <c r="N162" i="24"/>
  <c r="N161" i="24"/>
  <c r="N158" i="24"/>
  <c r="N157" i="24"/>
  <c r="N156" i="24"/>
  <c r="N155" i="24"/>
  <c r="N154" i="24"/>
  <c r="N153" i="24"/>
  <c r="N152" i="24"/>
  <c r="N151" i="24"/>
  <c r="N150" i="24"/>
  <c r="N149" i="24"/>
  <c r="N148" i="24"/>
  <c r="N147" i="24"/>
  <c r="N146" i="24"/>
  <c r="N145" i="24"/>
  <c r="N122" i="24"/>
  <c r="N119" i="24"/>
  <c r="N118" i="24"/>
  <c r="N117" i="24"/>
  <c r="N116" i="24"/>
  <c r="N115" i="24"/>
  <c r="N102" i="24"/>
  <c r="N101" i="24"/>
  <c r="N114" i="24"/>
  <c r="N113" i="24"/>
  <c r="N112" i="24"/>
  <c r="N111" i="24"/>
  <c r="N110" i="24"/>
  <c r="N109" i="24"/>
  <c r="N108" i="24"/>
  <c r="N107" i="24"/>
  <c r="N106" i="24"/>
  <c r="N105" i="24"/>
  <c r="N104" i="24"/>
  <c r="N103" i="24"/>
  <c r="N97" i="24"/>
  <c r="N83" i="24"/>
  <c r="N69" i="24"/>
  <c r="N68" i="24"/>
  <c r="N67" i="24"/>
  <c r="N66" i="24"/>
  <c r="N65" i="24"/>
  <c r="N64" i="24"/>
  <c r="N63" i="24"/>
  <c r="N62" i="24"/>
  <c r="N61" i="24"/>
  <c r="N60" i="24"/>
  <c r="N59" i="24"/>
  <c r="N58" i="24"/>
  <c r="N57" i="24"/>
  <c r="N56" i="24"/>
  <c r="N55" i="24"/>
  <c r="N54" i="24"/>
  <c r="N53" i="24"/>
  <c r="N52" i="24"/>
  <c r="N51" i="24"/>
  <c r="N50" i="24"/>
  <c r="N49" i="24"/>
  <c r="N48" i="24"/>
  <c r="N47" i="24"/>
  <c r="N46" i="24"/>
  <c r="N45" i="24"/>
  <c r="N44" i="24"/>
  <c r="N43" i="24"/>
  <c r="N42" i="24"/>
  <c r="N41" i="24"/>
  <c r="N40" i="24"/>
  <c r="N39" i="24"/>
  <c r="N38" i="24"/>
  <c r="N37" i="24"/>
  <c r="N36" i="24"/>
  <c r="N35" i="24"/>
  <c r="N34" i="24"/>
  <c r="N33" i="24"/>
  <c r="N32" i="24"/>
  <c r="N31" i="24"/>
  <c r="N30" i="24"/>
  <c r="N29" i="24"/>
  <c r="N28" i="24"/>
  <c r="N27" i="24"/>
  <c r="N26" i="24"/>
  <c r="N25" i="24"/>
  <c r="N24" i="24"/>
  <c r="N23" i="24"/>
  <c r="N22" i="24"/>
  <c r="N21" i="24"/>
  <c r="N20" i="24"/>
  <c r="N19" i="24"/>
  <c r="N18" i="24"/>
  <c r="N17" i="24"/>
  <c r="N16" i="24"/>
  <c r="N15" i="24"/>
  <c r="N14" i="24"/>
  <c r="N13" i="24"/>
  <c r="N12" i="24"/>
  <c r="N11" i="24"/>
  <c r="N10" i="24"/>
  <c r="N9" i="24"/>
  <c r="N8" i="24"/>
  <c r="GG6" i="24"/>
  <c r="GF6" i="24"/>
  <c r="GE6" i="24"/>
  <c r="GD6" i="24"/>
  <c r="GC6" i="24"/>
  <c r="GA6" i="24"/>
  <c r="FZ6" i="24"/>
  <c r="FY6" i="24"/>
  <c r="FX6" i="24"/>
  <c r="FN6" i="24"/>
  <c r="FM6" i="24"/>
  <c r="FL6" i="24"/>
  <c r="FK6" i="24"/>
  <c r="FJ6" i="24"/>
  <c r="FH6" i="24"/>
  <c r="FG6" i="24"/>
  <c r="FF6" i="24"/>
  <c r="FE6" i="24"/>
  <c r="FD6" i="24"/>
  <c r="FC6" i="24"/>
  <c r="FB6" i="24"/>
  <c r="FA6" i="24"/>
  <c r="EW6" i="24"/>
  <c r="EV6" i="24"/>
  <c r="EU6" i="24"/>
  <c r="ET6" i="24"/>
  <c r="ES6" i="24"/>
  <c r="ER6" i="24"/>
  <c r="EQ6" i="24"/>
  <c r="EP6" i="24"/>
  <c r="EN6" i="24"/>
  <c r="EM6" i="24"/>
  <c r="EL6" i="24"/>
  <c r="EK6" i="24"/>
  <c r="EJ6" i="24"/>
  <c r="EI6" i="24"/>
  <c r="EF6" i="24"/>
  <c r="EE6" i="24"/>
  <c r="ED6" i="24"/>
  <c r="EB6" i="24"/>
  <c r="EA6" i="24"/>
  <c r="DZ6" i="24"/>
  <c r="DY6" i="24"/>
  <c r="DX6" i="24"/>
  <c r="DW6" i="24"/>
  <c r="DV6" i="24"/>
  <c r="DU6" i="24"/>
  <c r="DT6" i="24"/>
  <c r="DS6" i="24"/>
  <c r="DR6" i="24"/>
  <c r="DQ6" i="24"/>
  <c r="DP6" i="24"/>
  <c r="DO6" i="24"/>
  <c r="DN6" i="24"/>
  <c r="DM6" i="24"/>
  <c r="DL6" i="24"/>
  <c r="DK6" i="24"/>
  <c r="DJ6" i="24"/>
  <c r="DI6" i="24"/>
  <c r="DH6" i="24"/>
  <c r="DG6" i="24"/>
  <c r="DF6" i="24"/>
  <c r="CP6" i="24"/>
  <c r="CO6" i="24"/>
  <c r="CC6" i="24"/>
  <c r="CB6" i="24"/>
  <c r="CA6" i="24"/>
  <c r="BZ6" i="24"/>
  <c r="BY6" i="24"/>
  <c r="BW6" i="24"/>
  <c r="BT6" i="24"/>
  <c r="BS6" i="24"/>
  <c r="BV6" i="24"/>
  <c r="BO6" i="24"/>
  <c r="BU6" i="24"/>
  <c r="BR6" i="24"/>
  <c r="BN6" i="24"/>
  <c r="BL6" i="24"/>
  <c r="BQ6" i="24"/>
  <c r="BP6" i="24"/>
  <c r="BM6" i="24"/>
  <c r="BK6" i="24"/>
  <c r="BX6" i="24"/>
  <c r="BH6" i="24"/>
  <c r="BI6" i="24"/>
  <c r="BG6" i="24"/>
  <c r="BJ6" i="24"/>
  <c r="BF6" i="24"/>
  <c r="BE6" i="24"/>
  <c r="BD6" i="24"/>
  <c r="BC6" i="24"/>
  <c r="BB6" i="24"/>
  <c r="BA6" i="24"/>
  <c r="AZ6" i="24"/>
  <c r="AY6" i="24"/>
  <c r="AX6" i="24"/>
  <c r="AW6" i="24"/>
  <c r="AQ6" i="24"/>
  <c r="AV6" i="24"/>
  <c r="AU6" i="24"/>
  <c r="AT6" i="24"/>
  <c r="AS6" i="24"/>
  <c r="AR6" i="24"/>
  <c r="AP6" i="24"/>
  <c r="AE6" i="24"/>
  <c r="AD6" i="24"/>
  <c r="AC6" i="24"/>
  <c r="AB6" i="24"/>
  <c r="AA6" i="24"/>
  <c r="Z6" i="24"/>
  <c r="Y6" i="24"/>
  <c r="X6" i="24"/>
  <c r="W6" i="24"/>
  <c r="V6" i="24"/>
  <c r="U6" i="24"/>
  <c r="T6" i="24"/>
  <c r="S6" i="24"/>
  <c r="R6" i="24"/>
  <c r="Q6" i="24"/>
  <c r="GC436" i="24" l="1"/>
  <c r="GD436" i="24"/>
  <c r="GE436" i="24"/>
  <c r="GF436" i="24"/>
  <c r="GE407" i="24"/>
  <c r="GC407" i="24"/>
  <c r="GD407" i="24"/>
  <c r="GF407" i="24"/>
  <c r="GC416" i="24"/>
  <c r="GD416" i="24"/>
  <c r="GE416" i="24"/>
  <c r="GF416" i="24"/>
  <c r="GF418" i="24"/>
  <c r="GC418" i="24"/>
  <c r="GD418" i="24"/>
  <c r="GE418" i="24"/>
  <c r="GC419" i="24"/>
  <c r="GD419" i="24"/>
  <c r="GE419" i="24"/>
  <c r="GF419" i="24"/>
  <c r="GC420" i="24"/>
  <c r="GD420" i="24"/>
  <c r="GE420" i="24"/>
  <c r="GF420" i="24"/>
  <c r="GF347" i="24"/>
  <c r="GE347" i="24"/>
  <c r="GD347" i="24"/>
  <c r="GC347" i="24"/>
  <c r="GC425" i="24"/>
  <c r="GF425" i="24"/>
  <c r="GE425" i="24"/>
  <c r="GD425" i="24"/>
  <c r="GC426" i="24"/>
  <c r="GF426" i="24"/>
  <c r="GE426" i="24"/>
  <c r="GD426" i="24"/>
  <c r="GF265" i="24"/>
  <c r="GE265" i="24"/>
  <c r="GD265" i="24"/>
  <c r="GC265" i="24"/>
  <c r="GF427" i="24"/>
  <c r="GE427" i="24"/>
  <c r="GD427" i="24"/>
  <c r="GC427" i="24"/>
  <c r="GE424" i="24"/>
  <c r="GD424" i="24"/>
  <c r="GC424" i="24"/>
  <c r="GF424" i="24"/>
  <c r="GF428" i="24"/>
  <c r="GD428" i="24"/>
  <c r="GE428" i="24"/>
  <c r="GC428" i="24"/>
  <c r="GE335" i="24"/>
  <c r="GC335" i="24"/>
  <c r="GD335" i="24"/>
  <c r="GF335" i="24"/>
  <c r="GE351" i="24"/>
  <c r="GD351" i="24"/>
  <c r="GC351" i="24"/>
  <c r="GF351" i="24"/>
  <c r="GE412" i="24"/>
  <c r="GC412" i="24"/>
  <c r="GF412" i="24"/>
  <c r="GD412" i="24"/>
  <c r="GF430" i="24"/>
  <c r="GC430" i="24"/>
  <c r="GE430" i="24"/>
  <c r="GD430" i="24"/>
  <c r="GF345" i="24"/>
  <c r="GE345" i="24"/>
  <c r="GC345" i="24"/>
  <c r="GD345" i="24"/>
  <c r="GF336" i="24"/>
  <c r="GD336" i="24"/>
  <c r="GC336" i="24"/>
  <c r="GE336" i="24"/>
  <c r="GF375" i="24"/>
  <c r="GE375" i="24"/>
  <c r="GD375" i="24"/>
  <c r="GC375" i="24"/>
  <c r="GE413" i="24"/>
  <c r="GC413" i="24"/>
  <c r="GD413" i="24"/>
  <c r="GF413" i="24"/>
  <c r="GE431" i="24"/>
  <c r="GC431" i="24"/>
  <c r="GD431" i="24"/>
  <c r="GF431" i="24"/>
  <c r="GC423" i="24"/>
  <c r="GF423" i="24"/>
  <c r="GE423" i="24"/>
  <c r="GD423" i="24"/>
  <c r="GE386" i="24"/>
  <c r="GD386" i="24"/>
  <c r="GC386" i="24"/>
  <c r="GF386" i="24"/>
  <c r="GF414" i="24"/>
  <c r="GE414" i="24"/>
  <c r="GD414" i="24"/>
  <c r="GC414" i="24"/>
  <c r="GF432" i="24"/>
  <c r="GE432" i="24"/>
  <c r="GD432" i="24"/>
  <c r="GC432" i="24"/>
  <c r="GF354" i="24"/>
  <c r="GC354" i="24"/>
  <c r="GE354" i="24"/>
  <c r="GD354" i="24"/>
  <c r="GF415" i="24"/>
  <c r="GE415" i="24"/>
  <c r="GD415" i="24"/>
  <c r="GC415" i="24"/>
  <c r="GE433" i="24"/>
  <c r="GD433" i="24"/>
  <c r="GC433" i="24"/>
  <c r="GF433" i="24"/>
  <c r="GF396" i="24"/>
  <c r="GE396" i="24"/>
  <c r="GD396" i="24"/>
  <c r="GC396" i="24"/>
  <c r="GE434" i="24"/>
  <c r="GD434" i="24"/>
  <c r="GC434" i="24"/>
  <c r="GF434" i="24"/>
  <c r="GF346" i="24"/>
  <c r="GE346" i="24"/>
  <c r="GD346" i="24"/>
  <c r="GC346" i="24"/>
  <c r="GF356" i="24"/>
  <c r="GD356" i="24"/>
  <c r="GE356" i="24"/>
  <c r="GC356" i="24"/>
  <c r="GE435" i="24"/>
  <c r="GD435" i="24"/>
  <c r="GF435" i="24"/>
  <c r="GC435" i="24"/>
  <c r="GE343" i="24"/>
  <c r="GD343" i="24"/>
  <c r="GC343" i="24"/>
  <c r="GF343" i="24"/>
  <c r="GF421" i="24"/>
  <c r="GE421" i="24"/>
  <c r="GD421" i="24"/>
  <c r="GC421" i="24"/>
  <c r="GF344" i="24"/>
  <c r="GD344" i="24"/>
  <c r="GC344" i="24"/>
  <c r="GE344" i="24"/>
  <c r="GF422" i="24"/>
  <c r="GE422" i="24"/>
  <c r="GD422" i="24"/>
  <c r="GC422" i="24"/>
  <c r="BU259" i="3"/>
  <c r="BU258" i="3"/>
  <c r="BU257" i="3"/>
  <c r="BU255" i="3"/>
  <c r="BU407" i="3"/>
  <c r="Y397" i="3"/>
  <c r="AC397" i="3" l="1"/>
  <c r="AB397" i="3"/>
  <c r="AA397" i="3"/>
  <c r="DR222" i="3" l="1"/>
  <c r="CH222" i="3" s="1"/>
  <c r="DN222" i="3"/>
  <c r="CD222" i="3" s="1"/>
  <c r="DL222" i="3"/>
  <c r="CB222" i="3" s="1"/>
  <c r="BU222" i="3"/>
  <c r="DR219" i="3"/>
  <c r="CH219" i="3" s="1"/>
  <c r="DN219" i="3"/>
  <c r="CD219" i="3" s="1"/>
  <c r="DL219" i="3"/>
  <c r="CB219" i="3" s="1"/>
  <c r="BU219" i="3"/>
  <c r="DR218" i="3"/>
  <c r="CH218" i="3" s="1"/>
  <c r="DN218" i="3"/>
  <c r="CD218" i="3" s="1"/>
  <c r="DL218" i="3"/>
  <c r="CB218" i="3" s="1"/>
  <c r="BU218" i="3"/>
  <c r="DR221" i="3"/>
  <c r="CH221" i="3" s="1"/>
  <c r="DN221" i="3"/>
  <c r="CD221" i="3" s="1"/>
  <c r="DL221" i="3"/>
  <c r="CB221" i="3" s="1"/>
  <c r="BU221" i="3"/>
  <c r="DR214" i="3"/>
  <c r="CH214" i="3" s="1"/>
  <c r="DN214" i="3"/>
  <c r="CD214" i="3" s="1"/>
  <c r="DL214" i="3"/>
  <c r="CB214" i="3" s="1"/>
  <c r="BU214" i="3"/>
  <c r="BW5" i="24"/>
  <c r="BW4" i="24"/>
  <c r="BT5" i="24"/>
  <c r="BS5" i="24"/>
  <c r="BT4" i="24"/>
  <c r="BS4" i="24"/>
  <c r="BV5" i="24"/>
  <c r="BV4" i="24"/>
  <c r="BO5" i="24"/>
  <c r="BO4" i="24"/>
  <c r="DM210" i="3"/>
  <c r="DQ210" i="3" l="1"/>
  <c r="CG210" i="3" s="1"/>
  <c r="DP210" i="3"/>
  <c r="CF210" i="3" s="1"/>
  <c r="DM219" i="3"/>
  <c r="CC219" i="3" s="1"/>
  <c r="DM221" i="3"/>
  <c r="CC221" i="3" s="1"/>
  <c r="DM218" i="3"/>
  <c r="CC218" i="3" s="1"/>
  <c r="DQ221" i="3"/>
  <c r="CG221" i="3" s="1"/>
  <c r="DQ218" i="3"/>
  <c r="CG218" i="3" s="1"/>
  <c r="DM214" i="3"/>
  <c r="CC214" i="3" s="1"/>
  <c r="DM222" i="3"/>
  <c r="CC222" i="3" s="1"/>
  <c r="DP219" i="3"/>
  <c r="CF219" i="3" s="1"/>
  <c r="DP214" i="3"/>
  <c r="CF214" i="3" s="1"/>
  <c r="DP218" i="3"/>
  <c r="CF218" i="3" s="1"/>
  <c r="DP222" i="3"/>
  <c r="CF222" i="3" s="1"/>
  <c r="DP221" i="3"/>
  <c r="CF221" i="3" s="1"/>
  <c r="DO222" i="3"/>
  <c r="CE222" i="3" s="1"/>
  <c r="DO210" i="3"/>
  <c r="DQ214" i="3" l="1"/>
  <c r="CG214" i="3" s="1"/>
  <c r="DQ219" i="3"/>
  <c r="CG219" i="3" s="1"/>
  <c r="DO214" i="3"/>
  <c r="CE214" i="3" s="1"/>
  <c r="DO221" i="3"/>
  <c r="CE221" i="3" s="1"/>
  <c r="DO218" i="3"/>
  <c r="CE218" i="3" s="1"/>
  <c r="DO219" i="3"/>
  <c r="CE219" i="3" s="1"/>
  <c r="DQ222" i="3"/>
  <c r="CG222" i="3" s="1"/>
  <c r="DH101" i="24"/>
  <c r="DO101" i="24"/>
  <c r="DQ101" i="24"/>
  <c r="DM176" i="3" l="1"/>
  <c r="CC176" i="3" s="1"/>
  <c r="DM175" i="3"/>
  <c r="CC175" i="3" s="1"/>
  <c r="DM169" i="3"/>
  <c r="CC169" i="3" s="1"/>
  <c r="DM168" i="3"/>
  <c r="CC168" i="3" s="1"/>
  <c r="DM160" i="3"/>
  <c r="CC160" i="3" s="1"/>
  <c r="DM159" i="3"/>
  <c r="CC159" i="3" s="1"/>
  <c r="DM150" i="3"/>
  <c r="CC150" i="3" s="1"/>
  <c r="DM149" i="3"/>
  <c r="CC149" i="3" s="1"/>
  <c r="DP160" i="3"/>
  <c r="CF160" i="3" s="1"/>
  <c r="DP159" i="3"/>
  <c r="CF159" i="3" s="1"/>
  <c r="DP168" i="3"/>
  <c r="CF168" i="3" s="1"/>
  <c r="DP169" i="3"/>
  <c r="CF169" i="3" s="1"/>
  <c r="DP176" i="3"/>
  <c r="CF176" i="3" s="1"/>
  <c r="DP175" i="3"/>
  <c r="CF175" i="3" s="1"/>
  <c r="DP149" i="3"/>
  <c r="CF149" i="3" s="1"/>
  <c r="DP150" i="3"/>
  <c r="CF150" i="3" s="1"/>
  <c r="DP155" i="3"/>
  <c r="DP156" i="3"/>
  <c r="CF152" i="3"/>
  <c r="DP157" i="3"/>
  <c r="DP151" i="3"/>
  <c r="CF151" i="3" s="1"/>
  <c r="DP152" i="3"/>
  <c r="DP153" i="3"/>
  <c r="DP154" i="3"/>
  <c r="DM153" i="3"/>
  <c r="DM154" i="3"/>
  <c r="DM155" i="3"/>
  <c r="DM156" i="3"/>
  <c r="DM157" i="3"/>
  <c r="DM152" i="3"/>
  <c r="DM151" i="3"/>
  <c r="CC151" i="3" s="1"/>
  <c r="DP164" i="3"/>
  <c r="CF164" i="3" s="1"/>
  <c r="DP158" i="3"/>
  <c r="CF158" i="3" s="1"/>
  <c r="DP165" i="3"/>
  <c r="DP163" i="3"/>
  <c r="DP162" i="3"/>
  <c r="DP161" i="3"/>
  <c r="CF161" i="3" s="1"/>
  <c r="DM161" i="3"/>
  <c r="CC161" i="3" s="1"/>
  <c r="DM163" i="3"/>
  <c r="DM162" i="3"/>
  <c r="DM164" i="3"/>
  <c r="DM165" i="3"/>
  <c r="DM158" i="3"/>
  <c r="CC158" i="3" s="1"/>
  <c r="DP166" i="3"/>
  <c r="CF166" i="3" s="1"/>
  <c r="DP167" i="3"/>
  <c r="CF167" i="3" s="1"/>
  <c r="DP170" i="3"/>
  <c r="DP171" i="3"/>
  <c r="DP172" i="3"/>
  <c r="DP173" i="3"/>
  <c r="DM171" i="3"/>
  <c r="DM172" i="3"/>
  <c r="DM173" i="3"/>
  <c r="DM170" i="3"/>
  <c r="DM166" i="3"/>
  <c r="CC166" i="3" s="1"/>
  <c r="DM167" i="3"/>
  <c r="CC167" i="3" s="1"/>
  <c r="DP174" i="3"/>
  <c r="CF174" i="3" s="1"/>
  <c r="DP178" i="3"/>
  <c r="DP177" i="3"/>
  <c r="DP179" i="3"/>
  <c r="DP180" i="3"/>
  <c r="DM174" i="3"/>
  <c r="CC174" i="3" s="1"/>
  <c r="DM179" i="3"/>
  <c r="DM177" i="3"/>
  <c r="DM178" i="3"/>
  <c r="DM180" i="3"/>
  <c r="DP189" i="3"/>
  <c r="DP183" i="3"/>
  <c r="CF183" i="3" s="1"/>
  <c r="DP184" i="3"/>
  <c r="CF184" i="3" s="1"/>
  <c r="DP185" i="3"/>
  <c r="CF185" i="3" s="1"/>
  <c r="DP187" i="3"/>
  <c r="CF187" i="3" s="1"/>
  <c r="DP188" i="3"/>
  <c r="DP186" i="3"/>
  <c r="CF186" i="3" s="1"/>
  <c r="DM196" i="3"/>
  <c r="CC196" i="3" s="1"/>
  <c r="DM197" i="3"/>
  <c r="CC197" i="3" s="1"/>
  <c r="DM199" i="3"/>
  <c r="DM198" i="3"/>
  <c r="DM200" i="3"/>
  <c r="DM195" i="3"/>
  <c r="CC195" i="3" s="1"/>
  <c r="DM193" i="3"/>
  <c r="CC193" i="3" s="1"/>
  <c r="DM194" i="3"/>
  <c r="CC194" i="3" s="1"/>
  <c r="DP181" i="3"/>
  <c r="DP182" i="3"/>
  <c r="CF182" i="3" s="1"/>
  <c r="DM181" i="3"/>
  <c r="DM182" i="3"/>
  <c r="CC182" i="3" s="1"/>
  <c r="DM186" i="3"/>
  <c r="DM187" i="3"/>
  <c r="DM188" i="3"/>
  <c r="DM189" i="3"/>
  <c r="DM184" i="3"/>
  <c r="DM185" i="3"/>
  <c r="DM183" i="3"/>
  <c r="CC183" i="3" s="1"/>
  <c r="DP199" i="3"/>
  <c r="DP200" i="3"/>
  <c r="DP194" i="3"/>
  <c r="CF194" i="3" s="1"/>
  <c r="DP193" i="3"/>
  <c r="DP195" i="3"/>
  <c r="CF195" i="3" s="1"/>
  <c r="DP198" i="3"/>
  <c r="DP196" i="3"/>
  <c r="CF196" i="3" s="1"/>
  <c r="DP197" i="3"/>
  <c r="CF197" i="3" s="1"/>
  <c r="DP205" i="3"/>
  <c r="CF205" i="3" s="1"/>
  <c r="DP206" i="3"/>
  <c r="DP203" i="3"/>
  <c r="DP204" i="3"/>
  <c r="CF204" i="3" s="1"/>
  <c r="DM204" i="3"/>
  <c r="DM205" i="3"/>
  <c r="DM203" i="3"/>
  <c r="CC203" i="3" s="1"/>
  <c r="DM206" i="3"/>
  <c r="DO176" i="3" l="1"/>
  <c r="CE176" i="3" s="1"/>
  <c r="DO175" i="3"/>
  <c r="CE175" i="3" s="1"/>
  <c r="DO169" i="3"/>
  <c r="CE169" i="3" s="1"/>
  <c r="DO168" i="3"/>
  <c r="CE168" i="3" s="1"/>
  <c r="DO160" i="3"/>
  <c r="CE160" i="3" s="1"/>
  <c r="DO159" i="3"/>
  <c r="CE159" i="3" s="1"/>
  <c r="DQ176" i="3"/>
  <c r="CG176" i="3" s="1"/>
  <c r="DQ175" i="3"/>
  <c r="CG175" i="3" s="1"/>
  <c r="DQ160" i="3"/>
  <c r="CG160" i="3" s="1"/>
  <c r="DQ159" i="3"/>
  <c r="CG159" i="3" s="1"/>
  <c r="DQ168" i="3"/>
  <c r="CG168" i="3" s="1"/>
  <c r="DQ169" i="3"/>
  <c r="CG169" i="3" s="1"/>
  <c r="DO149" i="3"/>
  <c r="CE149" i="3" s="1"/>
  <c r="DO150" i="3"/>
  <c r="CE150" i="3" s="1"/>
  <c r="DQ149" i="3"/>
  <c r="CG149" i="3" s="1"/>
  <c r="DQ150" i="3"/>
  <c r="CG150" i="3" s="1"/>
  <c r="DO198" i="3"/>
  <c r="DO199" i="3"/>
  <c r="DO200" i="3"/>
  <c r="DO193" i="3"/>
  <c r="CE193" i="3" s="1"/>
  <c r="DO194" i="3"/>
  <c r="CE194" i="3" s="1"/>
  <c r="DO195" i="3"/>
  <c r="CE195" i="3" s="1"/>
  <c r="CH195" i="3" s="1"/>
  <c r="DO196" i="3"/>
  <c r="CE196" i="3" s="1"/>
  <c r="DO197" i="3"/>
  <c r="CE197" i="3" s="1"/>
  <c r="DO155" i="3"/>
  <c r="CE152" i="3"/>
  <c r="DO156" i="3"/>
  <c r="DO157" i="3"/>
  <c r="DO153" i="3"/>
  <c r="DO151" i="3"/>
  <c r="CE151" i="3" s="1"/>
  <c r="DO152" i="3"/>
  <c r="DO154" i="3"/>
  <c r="DQ165" i="3"/>
  <c r="CG165" i="3" s="1"/>
  <c r="DQ158" i="3"/>
  <c r="CG158" i="3" s="1"/>
  <c r="DQ163" i="3"/>
  <c r="CG163" i="3" s="1"/>
  <c r="DQ161" i="3"/>
  <c r="CG161" i="3" s="1"/>
  <c r="DQ164" i="3"/>
  <c r="CG164" i="3" s="1"/>
  <c r="DQ162" i="3"/>
  <c r="CG162" i="3" s="1"/>
  <c r="DO174" i="3"/>
  <c r="CE174" i="3" s="1"/>
  <c r="DO177" i="3"/>
  <c r="DO178" i="3"/>
  <c r="DO179" i="3"/>
  <c r="DO180" i="3"/>
  <c r="DQ200" i="3"/>
  <c r="DQ193" i="3"/>
  <c r="CG193" i="3" s="1"/>
  <c r="CG198" i="3" s="1"/>
  <c r="DQ194" i="3"/>
  <c r="CG194" i="3" s="1"/>
  <c r="DQ195" i="3"/>
  <c r="CG195" i="3" s="1"/>
  <c r="DQ196" i="3"/>
  <c r="CG196" i="3" s="1"/>
  <c r="DQ197" i="3"/>
  <c r="CG197" i="3" s="1"/>
  <c r="DQ199" i="3"/>
  <c r="DQ198" i="3"/>
  <c r="DO163" i="3"/>
  <c r="DO165" i="3"/>
  <c r="DO164" i="3"/>
  <c r="DO158" i="3"/>
  <c r="CE158" i="3" s="1"/>
  <c r="DO161" i="3"/>
  <c r="CE161" i="3" s="1"/>
  <c r="DO162" i="3"/>
  <c r="DO204" i="3"/>
  <c r="DO206" i="3"/>
  <c r="DO205" i="3"/>
  <c r="DO203" i="3"/>
  <c r="CE203" i="3" s="1"/>
  <c r="DQ206" i="3"/>
  <c r="DQ205" i="3"/>
  <c r="CG205" i="3" s="1"/>
  <c r="DQ204" i="3"/>
  <c r="CG204" i="3" s="1"/>
  <c r="DQ203" i="3"/>
  <c r="CG203" i="3" s="1"/>
  <c r="DQ167" i="3"/>
  <c r="CG167" i="3" s="1"/>
  <c r="DQ166" i="3"/>
  <c r="CG166" i="3" s="1"/>
  <c r="DQ170" i="3"/>
  <c r="CG170" i="3" s="1"/>
  <c r="DQ173" i="3"/>
  <c r="CG173" i="3" s="1"/>
  <c r="DQ171" i="3"/>
  <c r="DQ172" i="3"/>
  <c r="CG172" i="3" s="1"/>
  <c r="DO172" i="3"/>
  <c r="DO173" i="3"/>
  <c r="DO166" i="3"/>
  <c r="CE166" i="3" s="1"/>
  <c r="DO167" i="3"/>
  <c r="CE167" i="3" s="1"/>
  <c r="DO171" i="3"/>
  <c r="DO170" i="3"/>
  <c r="DQ157" i="3"/>
  <c r="CG157" i="3" s="1"/>
  <c r="DQ151" i="3"/>
  <c r="CG151" i="3" s="1"/>
  <c r="DQ152" i="3"/>
  <c r="DQ153" i="3"/>
  <c r="CG153" i="3" s="1"/>
  <c r="DQ155" i="3"/>
  <c r="CG155" i="3" s="1"/>
  <c r="CG152" i="3"/>
  <c r="DQ156" i="3"/>
  <c r="CG156" i="3" s="1"/>
  <c r="DQ154" i="3"/>
  <c r="CG154" i="3" s="1"/>
  <c r="DO181" i="3"/>
  <c r="DO182" i="3"/>
  <c r="CE182" i="3" s="1"/>
  <c r="DO188" i="3"/>
  <c r="DO189" i="3"/>
  <c r="CE189" i="3" s="1"/>
  <c r="DO183" i="3"/>
  <c r="CE183" i="3" s="1"/>
  <c r="DO186" i="3"/>
  <c r="CE186" i="3" s="1"/>
  <c r="DO184" i="3"/>
  <c r="CE184" i="3" s="1"/>
  <c r="DO185" i="3"/>
  <c r="CE185" i="3" s="1"/>
  <c r="DO187" i="3"/>
  <c r="CE187" i="3" s="1"/>
  <c r="DQ181" i="3"/>
  <c r="DQ182" i="3"/>
  <c r="CG182" i="3" s="1"/>
  <c r="DQ184" i="3"/>
  <c r="CG184" i="3" s="1"/>
  <c r="DQ183" i="3"/>
  <c r="CG183" i="3" s="1"/>
  <c r="DQ185" i="3"/>
  <c r="CG185" i="3" s="1"/>
  <c r="DQ188" i="3"/>
  <c r="DQ189" i="3"/>
  <c r="DQ186" i="3"/>
  <c r="CG186" i="3" s="1"/>
  <c r="DQ187" i="3"/>
  <c r="CG187" i="3" s="1"/>
  <c r="DQ177" i="3"/>
  <c r="CG177" i="3" s="1"/>
  <c r="DQ178" i="3"/>
  <c r="CG178" i="3" s="1"/>
  <c r="DQ179" i="3"/>
  <c r="CG179" i="3" s="1"/>
  <c r="DQ180" i="3"/>
  <c r="CG180" i="3" s="1"/>
  <c r="DQ174" i="3"/>
  <c r="CG174" i="3" s="1"/>
  <c r="CH203" i="3" l="1"/>
  <c r="CF203" i="3"/>
  <c r="CH193" i="3"/>
  <c r="CH198" i="3" s="1"/>
  <c r="CE188" i="3"/>
  <c r="CF188" i="3" s="1"/>
  <c r="CG188" i="3" s="1"/>
  <c r="CH188" i="3" s="1"/>
  <c r="CE198" i="3"/>
  <c r="CF193" i="3" l="1"/>
  <c r="CF198" i="3" s="1"/>
  <c r="ES47" i="24"/>
  <c r="ES46" i="24"/>
  <c r="P138" i="1" l="1"/>
  <c r="CO4" i="24"/>
  <c r="CP4" i="24"/>
  <c r="CO5" i="24"/>
  <c r="CP5" i="24"/>
  <c r="EP5" i="24" l="1"/>
  <c r="E33" i="27"/>
  <c r="E31" i="27"/>
  <c r="DQ102" i="24"/>
  <c r="DH102" i="24"/>
  <c r="DO102" i="24"/>
  <c r="EP4" i="24"/>
  <c r="CH50" i="3"/>
  <c r="CG50" i="3"/>
  <c r="CF50" i="3"/>
  <c r="CE50" i="3"/>
  <c r="CD50" i="3"/>
  <c r="CH49" i="3"/>
  <c r="CG49" i="3"/>
  <c r="CF49" i="3"/>
  <c r="CE49" i="3"/>
  <c r="CD49" i="3"/>
  <c r="CH48" i="3"/>
  <c r="CG48" i="3"/>
  <c r="CF48" i="3"/>
  <c r="CE48" i="3"/>
  <c r="CD48" i="3"/>
  <c r="CH47" i="3"/>
  <c r="CG47" i="3"/>
  <c r="CF47" i="3"/>
  <c r="CE47" i="3"/>
  <c r="CD47" i="3"/>
  <c r="CH46" i="3"/>
  <c r="CG46" i="3"/>
  <c r="CF46" i="3"/>
  <c r="CE46" i="3"/>
  <c r="CD46" i="3"/>
  <c r="BU436" i="3"/>
  <c r="BU435" i="3"/>
  <c r="ES49" i="24"/>
  <c r="ES48" i="24"/>
  <c r="EJ48" i="24"/>
  <c r="EJ46" i="24"/>
  <c r="EG50" i="24"/>
  <c r="EG49" i="24"/>
  <c r="EG47" i="24"/>
  <c r="J429" i="24" l="1" a="1"/>
  <c r="J429" i="24" s="1"/>
  <c r="J95" i="24" a="1"/>
  <c r="J95" i="24" s="1"/>
  <c r="J192" i="24" a="1"/>
  <c r="J192" i="24" s="1"/>
  <c r="J120" i="24" a="1"/>
  <c r="J120" i="24" s="1"/>
  <c r="J121" i="24" a="1"/>
  <c r="J121" i="24" s="1"/>
  <c r="J125" i="24" a="1"/>
  <c r="J125" i="24" s="1"/>
  <c r="J93" i="24" a="1"/>
  <c r="J93" i="24" s="1"/>
  <c r="J142" i="24" a="1"/>
  <c r="J142" i="24" s="1"/>
  <c r="J137" i="24" a="1"/>
  <c r="J137" i="24" s="1"/>
  <c r="J132" i="24" a="1"/>
  <c r="J132" i="24" s="1"/>
  <c r="J131" i="24" a="1"/>
  <c r="J131" i="24" s="1"/>
  <c r="J141" i="24" a="1"/>
  <c r="J141" i="24" s="1"/>
  <c r="J135" i="24" a="1"/>
  <c r="J135" i="24" s="1"/>
  <c r="J133" i="24" a="1"/>
  <c r="J133" i="24" s="1"/>
  <c r="J144" i="24" a="1"/>
  <c r="J144" i="24" s="1"/>
  <c r="J136" i="24" a="1"/>
  <c r="J136" i="24" s="1"/>
  <c r="J139" i="24" a="1"/>
  <c r="J139" i="24" s="1"/>
  <c r="J138" i="24" a="1"/>
  <c r="J138" i="24" s="1"/>
  <c r="J140" i="24" a="1"/>
  <c r="J140" i="24" s="1"/>
  <c r="J143" i="24" a="1"/>
  <c r="J143" i="24" s="1"/>
  <c r="J134" i="24" a="1"/>
  <c r="J134" i="24" s="1"/>
  <c r="J94" i="24" a="1"/>
  <c r="J94" i="24" s="1"/>
  <c r="J408" i="24" a="1"/>
  <c r="J408" i="24" s="1"/>
  <c r="J92" i="24" a="1"/>
  <c r="J92" i="24" s="1"/>
  <c r="J434" i="24" a="1"/>
  <c r="J434" i="24" s="1"/>
  <c r="J438" i="24" a="1"/>
  <c r="J438" i="24" s="1"/>
  <c r="J435" i="24" a="1"/>
  <c r="J435" i="24" s="1"/>
  <c r="J436" i="24" a="1"/>
  <c r="J436" i="24" s="1"/>
  <c r="J437" i="24" a="1"/>
  <c r="J437" i="24" s="1"/>
  <c r="J128" i="24" a="1"/>
  <c r="J128" i="24" s="1"/>
  <c r="J123" i="24" a="1"/>
  <c r="J123" i="24" s="1"/>
  <c r="J145" i="24" a="1"/>
  <c r="J145" i="24" s="1"/>
  <c r="J127" i="24" a="1"/>
  <c r="J127" i="24" s="1"/>
  <c r="J126" i="24" a="1"/>
  <c r="J126" i="24" s="1"/>
  <c r="J129" i="24" a="1"/>
  <c r="J129" i="24" s="1"/>
  <c r="J124" i="24" a="1"/>
  <c r="J124" i="24" s="1"/>
  <c r="J130" i="24" a="1"/>
  <c r="J130" i="24" s="1"/>
  <c r="J77" i="24" a="1"/>
  <c r="J77" i="24" s="1"/>
  <c r="J81" i="24" a="1"/>
  <c r="J81" i="24" s="1"/>
  <c r="J89" i="24" a="1"/>
  <c r="J89" i="24" s="1"/>
  <c r="J78" i="24" a="1"/>
  <c r="J78" i="24" s="1"/>
  <c r="J74" i="24" a="1"/>
  <c r="J74" i="24" s="1"/>
  <c r="J84" i="24" a="1"/>
  <c r="J84" i="24" s="1"/>
  <c r="J90" i="24" a="1"/>
  <c r="J90" i="24" s="1"/>
  <c r="J87" i="24" a="1"/>
  <c r="J87" i="24" s="1"/>
  <c r="J75" i="24" a="1"/>
  <c r="J75" i="24" s="1"/>
  <c r="J72" i="24" a="1"/>
  <c r="J72" i="24" s="1"/>
  <c r="J80" i="24" a="1"/>
  <c r="J80" i="24" s="1"/>
  <c r="J85" i="24" a="1"/>
  <c r="J85" i="24" s="1"/>
  <c r="J88" i="24" a="1"/>
  <c r="J88" i="24" s="1"/>
  <c r="J91" i="24" a="1"/>
  <c r="J91" i="24" s="1"/>
  <c r="J70" i="24" a="1"/>
  <c r="J70" i="24" s="1"/>
  <c r="J82" i="24" a="1"/>
  <c r="J82" i="24" s="1"/>
  <c r="J86" i="24" a="1"/>
  <c r="J86" i="24" s="1"/>
  <c r="J76" i="24" a="1"/>
  <c r="J76" i="24" s="1"/>
  <c r="J71" i="24" a="1"/>
  <c r="J71" i="24" s="1"/>
  <c r="J96" i="24" a="1"/>
  <c r="J96" i="24" s="1"/>
  <c r="J79" i="24" a="1"/>
  <c r="J79" i="24" s="1"/>
  <c r="J73" i="24" a="1"/>
  <c r="J73" i="24" s="1"/>
  <c r="J366" i="24" a="1"/>
  <c r="J366" i="24" s="1"/>
  <c r="J372" i="24" a="1"/>
  <c r="J372" i="24" s="1"/>
  <c r="J207" i="24" a="1"/>
  <c r="J207" i="24" s="1"/>
  <c r="J404" i="24" a="1"/>
  <c r="J404" i="24" s="1"/>
  <c r="J364" i="24" a="1"/>
  <c r="J364" i="24" s="1"/>
  <c r="J363" i="24" a="1"/>
  <c r="J363" i="24" s="1"/>
  <c r="J357" i="24" a="1"/>
  <c r="J357" i="24" s="1"/>
  <c r="J369" i="24" a="1"/>
  <c r="J369" i="24" s="1"/>
  <c r="J146" i="24" a="1"/>
  <c r="J146" i="24" s="1"/>
  <c r="J264" i="24" a="1"/>
  <c r="J264" i="24" s="1"/>
  <c r="J191" i="24" a="1"/>
  <c r="J191" i="24" s="1"/>
  <c r="J246" i="24" a="1"/>
  <c r="J246" i="24" s="1"/>
  <c r="J160" i="24" a="1"/>
  <c r="J160" i="24" s="1"/>
  <c r="J159" i="24" a="1"/>
  <c r="J159" i="24" s="1"/>
  <c r="J168" i="24" a="1"/>
  <c r="J168" i="24" s="1"/>
  <c r="J169" i="24" a="1"/>
  <c r="J169" i="24" s="1"/>
  <c r="J175" i="24" a="1"/>
  <c r="J175" i="24" s="1"/>
  <c r="J176" i="24" a="1"/>
  <c r="J176" i="24" s="1"/>
  <c r="J161" i="24" a="1"/>
  <c r="J161" i="24" s="1"/>
  <c r="J281" i="24" a="1"/>
  <c r="J281" i="24" s="1"/>
  <c r="J44" i="24" a="1"/>
  <c r="J44" i="24" s="1"/>
  <c r="J104" i="24" a="1"/>
  <c r="J104" i="24" s="1"/>
  <c r="J316" i="24" a="1"/>
  <c r="J316" i="24" s="1"/>
  <c r="J28" i="24" a="1"/>
  <c r="J28" i="24" s="1"/>
  <c r="J205" i="24" a="1"/>
  <c r="J205" i="24" s="1"/>
  <c r="J13" i="24" a="1"/>
  <c r="J13" i="24" s="1"/>
  <c r="J45" i="24" a="1"/>
  <c r="J45" i="24" s="1"/>
  <c r="J113" i="24" a="1"/>
  <c r="J113" i="24" s="1"/>
  <c r="J391" i="24" a="1"/>
  <c r="J391" i="24" s="1"/>
  <c r="J171" i="24" a="1"/>
  <c r="J171" i="24" s="1"/>
  <c r="J396" i="24" a="1"/>
  <c r="J396" i="24" s="1"/>
  <c r="J38" i="24" a="1"/>
  <c r="J38" i="24" s="1"/>
  <c r="J69" i="24" a="1"/>
  <c r="J69" i="24" s="1"/>
  <c r="J106" i="24" a="1"/>
  <c r="J106" i="24" s="1"/>
  <c r="J494" i="24" a="1"/>
  <c r="J494" i="24" s="1"/>
  <c r="J463" i="24" a="1"/>
  <c r="J463" i="24" s="1"/>
  <c r="J368" i="24" a="1"/>
  <c r="J368" i="24" s="1"/>
  <c r="J331" i="24" a="1"/>
  <c r="J331" i="24" s="1"/>
  <c r="J299" i="24" a="1"/>
  <c r="J299" i="24" s="1"/>
  <c r="J261" i="24" a="1"/>
  <c r="J261" i="24" s="1"/>
  <c r="J228" i="24" a="1"/>
  <c r="J228" i="24" s="1"/>
  <c r="J478" i="24" a="1"/>
  <c r="J478" i="24" s="1"/>
  <c r="J347" i="24" a="1"/>
  <c r="J347" i="24" s="1"/>
  <c r="J315" i="24" a="1"/>
  <c r="J315" i="24" s="1"/>
  <c r="J497" i="24" a="1"/>
  <c r="J497" i="24" s="1"/>
  <c r="J466" i="24" a="1"/>
  <c r="J466" i="24" s="1"/>
  <c r="J409" i="24" a="1"/>
  <c r="J409" i="24" s="1"/>
  <c r="J373" i="24" a="1"/>
  <c r="J373" i="24" s="1"/>
  <c r="J235" i="24" a="1"/>
  <c r="J235" i="24" s="1"/>
  <c r="J198" i="24" a="1"/>
  <c r="J198" i="24" s="1"/>
  <c r="J341" i="24" a="1"/>
  <c r="J341" i="24" s="1"/>
  <c r="J310" i="24" a="1"/>
  <c r="J310" i="24" s="1"/>
  <c r="J279" i="24" a="1"/>
  <c r="J279" i="24" s="1"/>
  <c r="J488" i="24" a="1"/>
  <c r="J488" i="24" s="1"/>
  <c r="J428" i="24" a="1"/>
  <c r="J428" i="24" s="1"/>
  <c r="J312" i="24" a="1"/>
  <c r="J312" i="24" s="1"/>
  <c r="J55" i="24" a="1"/>
  <c r="J55" i="24" s="1"/>
  <c r="J108" i="24" a="1"/>
  <c r="J108" i="24" s="1"/>
  <c r="J149" i="24" a="1"/>
  <c r="J149" i="24" s="1"/>
  <c r="J344" i="24" a="1"/>
  <c r="J344" i="24" s="1"/>
  <c r="J40" i="24" a="1"/>
  <c r="J40" i="24" s="1"/>
  <c r="J12" i="24" a="1"/>
  <c r="J12" i="24" s="1"/>
  <c r="J17" i="24" a="1"/>
  <c r="J17" i="24" s="1"/>
  <c r="J49" i="24" a="1"/>
  <c r="J49" i="24" s="1"/>
  <c r="J117" i="24" a="1"/>
  <c r="J117" i="24" s="1"/>
  <c r="J189" i="24" a="1"/>
  <c r="J189" i="24" s="1"/>
  <c r="J10" i="24" a="1"/>
  <c r="J10" i="24" s="1"/>
  <c r="J42" i="24" a="1"/>
  <c r="J42" i="24" s="1"/>
  <c r="J110" i="24" a="1"/>
  <c r="J110" i="24" s="1"/>
  <c r="J490" i="24" a="1"/>
  <c r="J490" i="24" s="1"/>
  <c r="J361" i="24" a="1"/>
  <c r="J361" i="24" s="1"/>
  <c r="J327" i="24" a="1"/>
  <c r="J327" i="24" s="1"/>
  <c r="J257" i="24" a="1"/>
  <c r="J257" i="24" s="1"/>
  <c r="J224" i="24" a="1"/>
  <c r="J224" i="24" s="1"/>
  <c r="J343" i="24" a="1"/>
  <c r="J343" i="24" s="1"/>
  <c r="J311" i="24" a="1"/>
  <c r="J311" i="24" s="1"/>
  <c r="J280" i="24" a="1"/>
  <c r="J280" i="24" s="1"/>
  <c r="J493" i="24" a="1"/>
  <c r="J493" i="24" s="1"/>
  <c r="J462" i="24" a="1"/>
  <c r="J462" i="24" s="1"/>
  <c r="J367" i="24" a="1"/>
  <c r="J367" i="24" s="1"/>
  <c r="J334" i="24" a="1"/>
  <c r="J334" i="24" s="1"/>
  <c r="J265" i="24" a="1"/>
  <c r="J265" i="24" s="1"/>
  <c r="J231" i="24" a="1"/>
  <c r="J231" i="24" s="1"/>
  <c r="J194" i="24" a="1"/>
  <c r="J194" i="24" s="1"/>
  <c r="J156" i="24" a="1"/>
  <c r="J156" i="24" s="1"/>
  <c r="J337" i="24" a="1"/>
  <c r="J337" i="24" s="1"/>
  <c r="J306" i="24" a="1"/>
  <c r="J306" i="24" s="1"/>
  <c r="J484" i="24" a="1"/>
  <c r="J484" i="24" s="1"/>
  <c r="J424" i="24" a="1"/>
  <c r="J424" i="24" s="1"/>
  <c r="J349" i="24" a="1"/>
  <c r="J349" i="24" s="1"/>
  <c r="J321" i="24" a="1"/>
  <c r="J321" i="24" s="1"/>
  <c r="J282" i="24" a="1"/>
  <c r="J282" i="24" s="1"/>
  <c r="J247" i="24" a="1"/>
  <c r="J247" i="24" s="1"/>
  <c r="J214" i="24" a="1"/>
  <c r="J214" i="24" s="1"/>
  <c r="J173" i="24" a="1"/>
  <c r="J173" i="24" s="1"/>
  <c r="J480" i="24" a="1"/>
  <c r="J480" i="24" s="1"/>
  <c r="J181" i="24" a="1"/>
  <c r="J181" i="24" s="1"/>
  <c r="J67" i="24" a="1"/>
  <c r="J67" i="24" s="1"/>
  <c r="J112" i="24" a="1"/>
  <c r="J112" i="24" s="1"/>
  <c r="J24" i="24" a="1"/>
  <c r="J24" i="24" s="1"/>
  <c r="J21" i="24" a="1"/>
  <c r="J21" i="24" s="1"/>
  <c r="J52" i="24" a="1"/>
  <c r="J52" i="24" s="1"/>
  <c r="J122" i="24" a="1"/>
  <c r="J122" i="24" s="1"/>
  <c r="J212" i="24" a="1"/>
  <c r="J212" i="24" s="1"/>
  <c r="J14" i="24" a="1"/>
  <c r="J14" i="24" s="1"/>
  <c r="J46" i="24" a="1"/>
  <c r="J46" i="24" s="1"/>
  <c r="J114" i="24" a="1"/>
  <c r="J114" i="24" s="1"/>
  <c r="J401" i="24" a="1"/>
  <c r="J401" i="24" s="1"/>
  <c r="J486" i="24" a="1"/>
  <c r="J486" i="24" s="1"/>
  <c r="J431" i="24" a="1"/>
  <c r="J431" i="24" s="1"/>
  <c r="J355" i="24" a="1"/>
  <c r="J355" i="24" s="1"/>
  <c r="J323" i="24" a="1"/>
  <c r="J323" i="24" s="1"/>
  <c r="J291" i="24" a="1"/>
  <c r="J291" i="24" s="1"/>
  <c r="J253" i="24" a="1"/>
  <c r="J253" i="24" s="1"/>
  <c r="J342" i="24" a="1"/>
  <c r="J342" i="24" s="1"/>
  <c r="J307" i="24" a="1"/>
  <c r="J307" i="24" s="1"/>
  <c r="J276" i="24" a="1"/>
  <c r="J276" i="24" s="1"/>
  <c r="J489" i="24" a="1"/>
  <c r="J489" i="24" s="1"/>
  <c r="J360" i="24" a="1"/>
  <c r="J360" i="24" s="1"/>
  <c r="J330" i="24" a="1"/>
  <c r="J330" i="24" s="1"/>
  <c r="J260" i="24" a="1"/>
  <c r="J260" i="24" s="1"/>
  <c r="J227" i="24" a="1"/>
  <c r="J227" i="24" s="1"/>
  <c r="J188" i="24" a="1"/>
  <c r="J188" i="24" s="1"/>
  <c r="J152" i="24" a="1"/>
  <c r="J152" i="24" s="1"/>
  <c r="J403" i="24" a="1"/>
  <c r="J403" i="24" s="1"/>
  <c r="J301" i="24" a="1"/>
  <c r="J301" i="24" s="1"/>
  <c r="J272" i="24" a="1"/>
  <c r="J272" i="24" s="1"/>
  <c r="J420" i="24" a="1"/>
  <c r="J420" i="24" s="1"/>
  <c r="J385" i="24" a="1"/>
  <c r="J385" i="24" s="1"/>
  <c r="J242" i="24" a="1"/>
  <c r="J242" i="24" s="1"/>
  <c r="J210" i="24" a="1"/>
  <c r="J210" i="24" s="1"/>
  <c r="J167" i="24" a="1"/>
  <c r="J167" i="24" s="1"/>
  <c r="J116" i="24" a="1"/>
  <c r="J116" i="24" s="1"/>
  <c r="J59" i="24" a="1"/>
  <c r="J59" i="24" s="1"/>
  <c r="J288" i="24" a="1"/>
  <c r="J288" i="24" s="1"/>
  <c r="J36" i="24" a="1"/>
  <c r="J36" i="24" s="1"/>
  <c r="J25" i="24" a="1"/>
  <c r="J25" i="24" s="1"/>
  <c r="J56" i="24" a="1"/>
  <c r="J56" i="24" s="1"/>
  <c r="J18" i="24" a="1"/>
  <c r="J18" i="24" s="1"/>
  <c r="J50" i="24" a="1"/>
  <c r="J50" i="24" s="1"/>
  <c r="J118" i="24" a="1"/>
  <c r="J118" i="24" s="1"/>
  <c r="J482" i="24" a="1"/>
  <c r="J482" i="24" s="1"/>
  <c r="J426" i="24" a="1"/>
  <c r="J426" i="24" s="1"/>
  <c r="J351" i="24" a="1"/>
  <c r="J351" i="24" s="1"/>
  <c r="J319" i="24" a="1"/>
  <c r="J319" i="24" s="1"/>
  <c r="J249" i="24" a="1"/>
  <c r="J249" i="24" s="1"/>
  <c r="J338" i="24" a="1"/>
  <c r="J338" i="24" s="1"/>
  <c r="J302" i="24" a="1"/>
  <c r="J302" i="24" s="1"/>
  <c r="J273" i="24" a="1"/>
  <c r="J273" i="24" s="1"/>
  <c r="J485" i="24" a="1"/>
  <c r="J485" i="24" s="1"/>
  <c r="J430" i="24" a="1"/>
  <c r="J430" i="24" s="1"/>
  <c r="J354" i="24" a="1"/>
  <c r="J354" i="24" s="1"/>
  <c r="J326" i="24" a="1"/>
  <c r="J326" i="24" s="1"/>
  <c r="J290" i="24" a="1"/>
  <c r="J290" i="24" s="1"/>
  <c r="J256" i="24" a="1"/>
  <c r="J256" i="24" s="1"/>
  <c r="J223" i="24" a="1"/>
  <c r="J223" i="24" s="1"/>
  <c r="J184" i="24" a="1"/>
  <c r="J184" i="24" s="1"/>
  <c r="J148" i="24" a="1"/>
  <c r="J148" i="24" s="1"/>
  <c r="J399" i="24" a="1"/>
  <c r="J399" i="24" s="1"/>
  <c r="J298" i="24" a="1"/>
  <c r="J298" i="24" s="1"/>
  <c r="J268" i="24" a="1"/>
  <c r="J268" i="24" s="1"/>
  <c r="J473" i="24" a="1"/>
  <c r="J473" i="24" s="1"/>
  <c r="J416" i="24" a="1"/>
  <c r="J416" i="24" s="1"/>
  <c r="J380" i="24" a="1"/>
  <c r="J380" i="24" s="1"/>
  <c r="J275" i="24" a="1"/>
  <c r="J275" i="24" s="1"/>
  <c r="J238" i="24" a="1"/>
  <c r="J238" i="24" s="1"/>
  <c r="J203" i="24" a="1"/>
  <c r="J203" i="24" s="1"/>
  <c r="J163" i="24" a="1"/>
  <c r="J163" i="24" s="1"/>
  <c r="J340" i="24" a="1"/>
  <c r="J340" i="24" s="1"/>
  <c r="J309" i="24" a="1"/>
  <c r="J309" i="24" s="1"/>
  <c r="J199" i="24" a="1"/>
  <c r="J199" i="24" s="1"/>
  <c r="J83" i="24" a="1"/>
  <c r="J83" i="24" s="1"/>
  <c r="J48" i="24" a="1"/>
  <c r="J48" i="24" s="1"/>
  <c r="J29" i="24" a="1"/>
  <c r="J29" i="24" s="1"/>
  <c r="J60" i="24" a="1"/>
  <c r="J60" i="24" s="1"/>
  <c r="J22" i="24" a="1"/>
  <c r="J22" i="24" s="1"/>
  <c r="J53" i="24" a="1"/>
  <c r="J53" i="24" s="1"/>
  <c r="J422" i="24" a="1"/>
  <c r="J422" i="24" s="1"/>
  <c r="J387" i="24" a="1"/>
  <c r="J387" i="24" s="1"/>
  <c r="J244" i="24" a="1"/>
  <c r="J244" i="24" s="1"/>
  <c r="J405" i="24" a="1"/>
  <c r="J405" i="24" s="1"/>
  <c r="J269" i="24" a="1"/>
  <c r="J269" i="24" s="1"/>
  <c r="J481" i="24" a="1"/>
  <c r="J481" i="24" s="1"/>
  <c r="J425" i="24" a="1"/>
  <c r="J425" i="24" s="1"/>
  <c r="J350" i="24" a="1"/>
  <c r="J350" i="24" s="1"/>
  <c r="J322" i="24" a="1"/>
  <c r="J322" i="24" s="1"/>
  <c r="J252" i="24" a="1"/>
  <c r="J252" i="24" s="1"/>
  <c r="J219" i="24" a="1"/>
  <c r="J219" i="24" s="1"/>
  <c r="J180" i="24" a="1"/>
  <c r="J180" i="24" s="1"/>
  <c r="J394" i="24" a="1"/>
  <c r="J394" i="24" s="1"/>
  <c r="J293" i="24" a="1"/>
  <c r="J293" i="24" s="1"/>
  <c r="J469" i="24" a="1"/>
  <c r="J469" i="24" s="1"/>
  <c r="J412" i="24" a="1"/>
  <c r="J412" i="24" s="1"/>
  <c r="J376" i="24" a="1"/>
  <c r="J376" i="24" s="1"/>
  <c r="J234" i="24" a="1"/>
  <c r="J234" i="24" s="1"/>
  <c r="J197" i="24" a="1"/>
  <c r="J197" i="24" s="1"/>
  <c r="J336" i="24" a="1"/>
  <c r="J336" i="24" s="1"/>
  <c r="J305" i="24" a="1"/>
  <c r="J305" i="24" s="1"/>
  <c r="J8" i="24" a="1"/>
  <c r="J8" i="24" s="1"/>
  <c r="J63" i="24" a="1"/>
  <c r="J63" i="24" s="1"/>
  <c r="J33" i="24" a="1"/>
  <c r="J33" i="24" s="1"/>
  <c r="J64" i="24" a="1"/>
  <c r="J64" i="24" s="1"/>
  <c r="J101" i="24" a="1"/>
  <c r="J101" i="24" s="1"/>
  <c r="J295" i="24" a="1"/>
  <c r="J295" i="24" s="1"/>
  <c r="J26" i="24" a="1"/>
  <c r="J26" i="24" s="1"/>
  <c r="J57" i="24" a="1"/>
  <c r="J57" i="24" s="1"/>
  <c r="J506" i="24" a="1"/>
  <c r="J506" i="24" s="1"/>
  <c r="J475" i="24" a="1"/>
  <c r="J475" i="24" s="1"/>
  <c r="J418" i="24" a="1"/>
  <c r="J418" i="24" s="1"/>
  <c r="J382" i="24" a="1"/>
  <c r="J382" i="24" s="1"/>
  <c r="J240" i="24" a="1"/>
  <c r="J240" i="24" s="1"/>
  <c r="J400" i="24" a="1"/>
  <c r="J400" i="24" s="1"/>
  <c r="J294" i="24" a="1"/>
  <c r="J294" i="24" s="1"/>
  <c r="J421" i="24" a="1"/>
  <c r="J421" i="24" s="1"/>
  <c r="J386" i="24" a="1"/>
  <c r="J386" i="24" s="1"/>
  <c r="J283" i="24" a="1"/>
  <c r="J283" i="24" s="1"/>
  <c r="J248" i="24" a="1"/>
  <c r="J248" i="24" s="1"/>
  <c r="J215" i="24" a="1"/>
  <c r="J215" i="24" s="1"/>
  <c r="J174" i="24" a="1"/>
  <c r="J174" i="24" s="1"/>
  <c r="J389" i="24" a="1"/>
  <c r="J389" i="24" s="1"/>
  <c r="J465" i="24" a="1"/>
  <c r="J465" i="24" s="1"/>
  <c r="J407" i="24" a="1"/>
  <c r="J407" i="24" s="1"/>
  <c r="J371" i="24" a="1"/>
  <c r="J371" i="24" s="1"/>
  <c r="J263" i="24" a="1"/>
  <c r="J263" i="24" s="1"/>
  <c r="J230" i="24" a="1"/>
  <c r="J230" i="24" s="1"/>
  <c r="J193" i="24" a="1"/>
  <c r="J193" i="24" s="1"/>
  <c r="J155" i="24" a="1"/>
  <c r="J155" i="24" s="1"/>
  <c r="J402" i="24" a="1"/>
  <c r="J402" i="24" s="1"/>
  <c r="J220" i="24" a="1"/>
  <c r="J220" i="24" s="1"/>
  <c r="J20" i="24" a="1"/>
  <c r="J20" i="24" s="1"/>
  <c r="J165" i="24" a="1"/>
  <c r="J165" i="24" s="1"/>
  <c r="J37" i="24" a="1"/>
  <c r="J37" i="24" s="1"/>
  <c r="J68" i="24" a="1"/>
  <c r="J68" i="24" s="1"/>
  <c r="J105" i="24" a="1"/>
  <c r="J105" i="24" s="1"/>
  <c r="J30" i="24" a="1"/>
  <c r="J30" i="24" s="1"/>
  <c r="J61" i="24" a="1"/>
  <c r="J61" i="24" s="1"/>
  <c r="J97" i="24" a="1"/>
  <c r="J97" i="24" s="1"/>
  <c r="J270" i="24" a="1"/>
  <c r="J270" i="24" s="1"/>
  <c r="J502" i="24" a="1"/>
  <c r="J502" i="24" s="1"/>
  <c r="J471" i="24" a="1"/>
  <c r="J471" i="24" s="1"/>
  <c r="J414" i="24" a="1"/>
  <c r="J414" i="24" s="1"/>
  <c r="J378" i="24" a="1"/>
  <c r="J378" i="24" s="1"/>
  <c r="J236" i="24" a="1"/>
  <c r="J236" i="24" s="1"/>
  <c r="J395" i="24" a="1"/>
  <c r="J395" i="24" s="1"/>
  <c r="J474" i="24" a="1"/>
  <c r="J474" i="24" s="1"/>
  <c r="J381" i="24" a="1"/>
  <c r="J381" i="24" s="1"/>
  <c r="J243" i="24" a="1"/>
  <c r="J243" i="24" s="1"/>
  <c r="J211" i="24" a="1"/>
  <c r="J211" i="24" s="1"/>
  <c r="J170" i="24" a="1"/>
  <c r="J170" i="24" s="1"/>
  <c r="J477" i="24" a="1"/>
  <c r="J477" i="24" s="1"/>
  <c r="J346" i="24" a="1"/>
  <c r="J346" i="24" s="1"/>
  <c r="J318" i="24" a="1"/>
  <c r="J318" i="24" s="1"/>
  <c r="J286" i="24" a="1"/>
  <c r="J286" i="24" s="1"/>
  <c r="J496" i="24" a="1"/>
  <c r="J496" i="24" s="1"/>
  <c r="J461" i="24" a="1"/>
  <c r="J461" i="24" s="1"/>
  <c r="J365" i="24" a="1"/>
  <c r="J365" i="24" s="1"/>
  <c r="J333" i="24" a="1"/>
  <c r="J333" i="24" s="1"/>
  <c r="J259" i="24" a="1"/>
  <c r="J259" i="24" s="1"/>
  <c r="J226" i="24" a="1"/>
  <c r="J226" i="24" s="1"/>
  <c r="J187" i="24" a="1"/>
  <c r="J187" i="24" s="1"/>
  <c r="J151" i="24" a="1"/>
  <c r="J151" i="24" s="1"/>
  <c r="J397" i="24" a="1"/>
  <c r="J397" i="24" s="1"/>
  <c r="J32" i="24" a="1"/>
  <c r="J32" i="24" s="1"/>
  <c r="J100" i="24" a="1"/>
  <c r="J100" i="24" s="1"/>
  <c r="J284" i="24" a="1"/>
  <c r="J284" i="24" s="1"/>
  <c r="J16" i="24" a="1"/>
  <c r="J16" i="24" s="1"/>
  <c r="J185" i="24" a="1"/>
  <c r="J185" i="24" s="1"/>
  <c r="J479" i="24" a="1"/>
  <c r="J479" i="24" s="1"/>
  <c r="J9" i="24" a="1"/>
  <c r="J9" i="24" s="1"/>
  <c r="J41" i="24" a="1"/>
  <c r="J41" i="24" s="1"/>
  <c r="J109" i="24" a="1"/>
  <c r="J109" i="24" s="1"/>
  <c r="J153" i="24" a="1"/>
  <c r="J153" i="24" s="1"/>
  <c r="J34" i="24" a="1"/>
  <c r="J34" i="24" s="1"/>
  <c r="J65" i="24" a="1"/>
  <c r="J65" i="24" s="1"/>
  <c r="J102" i="24" a="1"/>
  <c r="J102" i="24" s="1"/>
  <c r="J498" i="24" a="1"/>
  <c r="J498" i="24" s="1"/>
  <c r="J467" i="24" a="1"/>
  <c r="J467" i="24" s="1"/>
  <c r="J410" i="24" a="1"/>
  <c r="J410" i="24" s="1"/>
  <c r="J374" i="24" a="1"/>
  <c r="J374" i="24" s="1"/>
  <c r="J266" i="24" a="1"/>
  <c r="J266" i="24" s="1"/>
  <c r="J232" i="24" a="1"/>
  <c r="J232" i="24" s="1"/>
  <c r="J390" i="24" a="1"/>
  <c r="J390" i="24" s="1"/>
  <c r="J287" i="24" a="1"/>
  <c r="J287" i="24" s="1"/>
  <c r="J501" i="24" a="1"/>
  <c r="J501" i="24" s="1"/>
  <c r="J470" i="24" a="1"/>
  <c r="J470" i="24" s="1"/>
  <c r="J413" i="24" a="1"/>
  <c r="J413" i="24" s="1"/>
  <c r="J377" i="24" a="1"/>
  <c r="J377" i="24" s="1"/>
  <c r="J239" i="24" a="1"/>
  <c r="J239" i="24" s="1"/>
  <c r="J204" i="24" a="1"/>
  <c r="J204" i="24" s="1"/>
  <c r="J164" i="24" a="1"/>
  <c r="J164" i="24" s="1"/>
  <c r="J314" i="24" a="1"/>
  <c r="J314" i="24" s="1"/>
  <c r="J492" i="24" a="1"/>
  <c r="J492" i="24" s="1"/>
  <c r="J433" i="24" a="1"/>
  <c r="J433" i="24" s="1"/>
  <c r="J359" i="24" a="1"/>
  <c r="J359" i="24" s="1"/>
  <c r="J329" i="24" a="1"/>
  <c r="J329" i="24" s="1"/>
  <c r="J255" i="24" a="1"/>
  <c r="J255" i="24" s="1"/>
  <c r="J222" i="24" a="1"/>
  <c r="J222" i="24" s="1"/>
  <c r="J183" i="24" a="1"/>
  <c r="J183" i="24" s="1"/>
  <c r="J147" i="24" a="1"/>
  <c r="J147" i="24" s="1"/>
  <c r="J392" i="24" a="1"/>
  <c r="J392" i="24" s="1"/>
  <c r="J292" i="24" a="1"/>
  <c r="J292" i="24" s="1"/>
  <c r="J251" i="24" a="1"/>
  <c r="J251" i="24" s="1"/>
  <c r="J285" i="24" a="1"/>
  <c r="J285" i="24" s="1"/>
  <c r="J495" i="24" a="1"/>
  <c r="J495" i="24" s="1"/>
  <c r="J464" i="24" a="1"/>
  <c r="J464" i="24" s="1"/>
  <c r="J362" i="24" a="1"/>
  <c r="J362" i="24" s="1"/>
  <c r="J332" i="24" a="1"/>
  <c r="J332" i="24" s="1"/>
  <c r="J300" i="24" a="1"/>
  <c r="J300" i="24" s="1"/>
  <c r="J262" i="24" a="1"/>
  <c r="J262" i="24" s="1"/>
  <c r="J229" i="24" a="1"/>
  <c r="J229" i="24" s="1"/>
  <c r="J190" i="24" a="1"/>
  <c r="J190" i="24" s="1"/>
  <c r="J154" i="24" a="1"/>
  <c r="J154" i="24" s="1"/>
  <c r="J303" i="24" a="1"/>
  <c r="J303" i="24" s="1"/>
  <c r="J31" i="24" a="1"/>
  <c r="J31" i="24" s="1"/>
  <c r="J62" i="24" a="1"/>
  <c r="J62" i="24" s="1"/>
  <c r="J277" i="24" a="1"/>
  <c r="J277" i="24" s="1"/>
  <c r="J503" i="24" a="1"/>
  <c r="J503" i="24" s="1"/>
  <c r="J505" i="24" a="1"/>
  <c r="J505" i="24" s="1"/>
  <c r="J218" i="24" a="1"/>
  <c r="J218" i="24" s="1"/>
  <c r="J491" i="24" a="1"/>
  <c r="J491" i="24" s="1"/>
  <c r="J356" i="24" a="1"/>
  <c r="J356" i="24" s="1"/>
  <c r="J328" i="24" a="1"/>
  <c r="J328" i="24" s="1"/>
  <c r="J258" i="24" a="1"/>
  <c r="J258" i="24" s="1"/>
  <c r="J225" i="24" a="1"/>
  <c r="J225" i="24" s="1"/>
  <c r="J186" i="24" a="1"/>
  <c r="J186" i="24" s="1"/>
  <c r="J150" i="24" a="1"/>
  <c r="J150" i="24" s="1"/>
  <c r="J335" i="24" a="1"/>
  <c r="J335" i="24" s="1"/>
  <c r="J7" i="24" a="1"/>
  <c r="J7" i="24" s="1"/>
  <c r="J35" i="24" a="1"/>
  <c r="J35" i="24" s="1"/>
  <c r="J66" i="24" a="1"/>
  <c r="J66" i="24" s="1"/>
  <c r="J103" i="24" a="1"/>
  <c r="J103" i="24" s="1"/>
  <c r="J308" i="24" a="1"/>
  <c r="J308" i="24" s="1"/>
  <c r="J507" i="24" a="1"/>
  <c r="J507" i="24" s="1"/>
  <c r="J179" i="24" a="1"/>
  <c r="J179" i="24" s="1"/>
  <c r="J345" i="24" a="1"/>
  <c r="J345" i="24" s="1"/>
  <c r="J278" i="24" a="1"/>
  <c r="J278" i="24" s="1"/>
  <c r="J487" i="24" a="1"/>
  <c r="J487" i="24" s="1"/>
  <c r="J432" i="24" a="1"/>
  <c r="J432" i="24" s="1"/>
  <c r="J352" i="24" a="1"/>
  <c r="J352" i="24" s="1"/>
  <c r="J324" i="24" a="1"/>
  <c r="J324" i="24" s="1"/>
  <c r="J254" i="24" a="1"/>
  <c r="J254" i="24" s="1"/>
  <c r="J221" i="24" a="1"/>
  <c r="J221" i="24" s="1"/>
  <c r="J182" i="24" a="1"/>
  <c r="J182" i="24" s="1"/>
  <c r="J157" i="24" a="1"/>
  <c r="J157" i="24" s="1"/>
  <c r="J39" i="24" a="1"/>
  <c r="J39" i="24" s="1"/>
  <c r="J107" i="24" a="1"/>
  <c r="J107" i="24" s="1"/>
  <c r="J339" i="24" a="1"/>
  <c r="J339" i="24" s="1"/>
  <c r="J504" i="24" a="1"/>
  <c r="J504" i="24" s="1"/>
  <c r="J483" i="24" a="1"/>
  <c r="J483" i="24" s="1"/>
  <c r="J427" i="24" a="1"/>
  <c r="J427" i="24" s="1"/>
  <c r="J348" i="24" a="1"/>
  <c r="J348" i="24" s="1"/>
  <c r="J320" i="24" a="1"/>
  <c r="J320" i="24" s="1"/>
  <c r="J250" i="24" a="1"/>
  <c r="J250" i="24" s="1"/>
  <c r="J217" i="24" a="1"/>
  <c r="J217" i="24" s="1"/>
  <c r="J178" i="24" a="1"/>
  <c r="J178" i="24" s="1"/>
  <c r="J177" i="24" a="1"/>
  <c r="J177" i="24" s="1"/>
  <c r="J406" i="24" a="1"/>
  <c r="J406" i="24" s="1"/>
  <c r="J11" i="24" a="1"/>
  <c r="J11" i="24" s="1"/>
  <c r="J43" i="24" a="1"/>
  <c r="J43" i="24" s="1"/>
  <c r="J111" i="24" a="1"/>
  <c r="J111" i="24" s="1"/>
  <c r="J500" i="24" a="1"/>
  <c r="J500" i="24" s="1"/>
  <c r="J317" i="24" a="1"/>
  <c r="J317" i="24" s="1"/>
  <c r="J271" i="24" a="1"/>
  <c r="J271" i="24" s="1"/>
  <c r="J423" i="24" a="1"/>
  <c r="J423" i="24" s="1"/>
  <c r="J383" i="24" a="1"/>
  <c r="J383" i="24" s="1"/>
  <c r="J245" i="24" a="1"/>
  <c r="J245" i="24" s="1"/>
  <c r="J213" i="24" a="1"/>
  <c r="J213" i="24" s="1"/>
  <c r="J172" i="24" a="1"/>
  <c r="J172" i="24" s="1"/>
  <c r="J195" i="24" a="1"/>
  <c r="J195" i="24" s="1"/>
  <c r="J15" i="24" a="1"/>
  <c r="J15" i="24" s="1"/>
  <c r="J47" i="24" a="1"/>
  <c r="J47" i="24" s="1"/>
  <c r="J115" i="24" a="1"/>
  <c r="J115" i="24" s="1"/>
  <c r="J353" i="24" a="1"/>
  <c r="J353" i="24" s="1"/>
  <c r="J313" i="24" a="1"/>
  <c r="J313" i="24" s="1"/>
  <c r="J476" i="24" a="1"/>
  <c r="J476" i="24" s="1"/>
  <c r="J419" i="24" a="1"/>
  <c r="J419" i="24" s="1"/>
  <c r="J379" i="24" a="1"/>
  <c r="J379" i="24" s="1"/>
  <c r="J274" i="24" a="1"/>
  <c r="J274" i="24" s="1"/>
  <c r="J241" i="24" a="1"/>
  <c r="J241" i="24" s="1"/>
  <c r="J206" i="24" a="1"/>
  <c r="J206" i="24" s="1"/>
  <c r="J166" i="24" a="1"/>
  <c r="J166" i="24" s="1"/>
  <c r="J216" i="24" a="1"/>
  <c r="J216" i="24" s="1"/>
  <c r="J19" i="24" a="1"/>
  <c r="J19" i="24" s="1"/>
  <c r="J51" i="24" a="1"/>
  <c r="J51" i="24" s="1"/>
  <c r="J119" i="24" a="1"/>
  <c r="J119" i="24" s="1"/>
  <c r="J325" i="24" a="1"/>
  <c r="J325" i="24" s="1"/>
  <c r="J296" i="24" a="1"/>
  <c r="J296" i="24" s="1"/>
  <c r="J472" i="24" a="1"/>
  <c r="J472" i="24" s="1"/>
  <c r="J415" i="24" a="1"/>
  <c r="J415" i="24" s="1"/>
  <c r="J375" i="24" a="1"/>
  <c r="J375" i="24" s="1"/>
  <c r="J237" i="24" a="1"/>
  <c r="J237" i="24" s="1"/>
  <c r="J200" i="24" a="1"/>
  <c r="J200" i="24" s="1"/>
  <c r="J162" i="24" a="1"/>
  <c r="J162" i="24" s="1"/>
  <c r="J23" i="24" a="1"/>
  <c r="J23" i="24" s="1"/>
  <c r="J54" i="24" a="1"/>
  <c r="J54" i="24" s="1"/>
  <c r="J388" i="24" a="1"/>
  <c r="J388" i="24" s="1"/>
  <c r="J289" i="24" a="1"/>
  <c r="J289" i="24" s="1"/>
  <c r="J499" i="24" a="1"/>
  <c r="J499" i="24" s="1"/>
  <c r="J468" i="24" a="1"/>
  <c r="J468" i="24" s="1"/>
  <c r="J411" i="24" a="1"/>
  <c r="J411" i="24" s="1"/>
  <c r="J370" i="24" a="1"/>
  <c r="J370" i="24" s="1"/>
  <c r="J267" i="24" a="1"/>
  <c r="J267" i="24" s="1"/>
  <c r="J233" i="24" a="1"/>
  <c r="J233" i="24" s="1"/>
  <c r="J196" i="24" a="1"/>
  <c r="J196" i="24" s="1"/>
  <c r="J158" i="24" a="1"/>
  <c r="J158" i="24" s="1"/>
  <c r="J27" i="24" a="1"/>
  <c r="J27" i="24" s="1"/>
  <c r="J58" i="24" a="1"/>
  <c r="J58" i="24" s="1"/>
  <c r="G82" i="13"/>
  <c r="AD50" i="3"/>
  <c r="AC50" i="3"/>
  <c r="AB50" i="3"/>
  <c r="AA50" i="3"/>
  <c r="Z50" i="3"/>
  <c r="Y50" i="3"/>
  <c r="W50" i="3"/>
  <c r="V50" i="3"/>
  <c r="U50" i="3"/>
  <c r="T50" i="3"/>
  <c r="S50" i="3"/>
  <c r="R50" i="3"/>
  <c r="Q50" i="3"/>
  <c r="O50" i="3"/>
  <c r="N50" i="3"/>
  <c r="M50" i="3"/>
  <c r="L50" i="3"/>
  <c r="K50" i="3"/>
  <c r="J50" i="3"/>
  <c r="I50" i="3"/>
  <c r="AD49" i="3"/>
  <c r="AC49" i="3"/>
  <c r="AB49" i="3"/>
  <c r="AA49" i="3"/>
  <c r="Z49" i="3"/>
  <c r="Y49" i="3"/>
  <c r="W49" i="3"/>
  <c r="V49" i="3"/>
  <c r="U49" i="3"/>
  <c r="T49" i="3"/>
  <c r="S49" i="3"/>
  <c r="R49" i="3"/>
  <c r="Q49" i="3"/>
  <c r="O49" i="3"/>
  <c r="N49" i="3"/>
  <c r="M49" i="3"/>
  <c r="L49" i="3"/>
  <c r="K49" i="3"/>
  <c r="J49" i="3"/>
  <c r="I49" i="3"/>
  <c r="AD48" i="3"/>
  <c r="AC48" i="3"/>
  <c r="AB48" i="3"/>
  <c r="AA48" i="3"/>
  <c r="Z48" i="3"/>
  <c r="Y48" i="3"/>
  <c r="W48" i="3"/>
  <c r="V48" i="3"/>
  <c r="U48" i="3"/>
  <c r="T48" i="3"/>
  <c r="S48" i="3"/>
  <c r="R48" i="3"/>
  <c r="Q48" i="3"/>
  <c r="O48" i="3"/>
  <c r="N48" i="3"/>
  <c r="M48" i="3"/>
  <c r="L48" i="3"/>
  <c r="K48" i="3"/>
  <c r="J48" i="3"/>
  <c r="I48" i="3"/>
  <c r="AD47" i="3"/>
  <c r="AC47" i="3"/>
  <c r="AB47" i="3"/>
  <c r="AA47" i="3"/>
  <c r="Z47" i="3"/>
  <c r="Y47" i="3"/>
  <c r="W47" i="3"/>
  <c r="V47" i="3"/>
  <c r="U47" i="3"/>
  <c r="T47" i="3"/>
  <c r="S47" i="3"/>
  <c r="R47" i="3"/>
  <c r="Q47" i="3"/>
  <c r="O47" i="3"/>
  <c r="N47" i="3"/>
  <c r="M47" i="3"/>
  <c r="L47" i="3"/>
  <c r="K47" i="3"/>
  <c r="J47" i="3"/>
  <c r="I47" i="3"/>
  <c r="AD46" i="3"/>
  <c r="AC46" i="3"/>
  <c r="AB46" i="3"/>
  <c r="AA46" i="3"/>
  <c r="Z46" i="3"/>
  <c r="Y46" i="3"/>
  <c r="W46" i="3"/>
  <c r="V46" i="3"/>
  <c r="U46" i="3"/>
  <c r="T46" i="3"/>
  <c r="S46" i="3"/>
  <c r="R46" i="3"/>
  <c r="Q46" i="3"/>
  <c r="O46" i="3"/>
  <c r="N46" i="3"/>
  <c r="M46" i="3"/>
  <c r="L46" i="3"/>
  <c r="K46" i="3"/>
  <c r="J46" i="3"/>
  <c r="I46" i="3"/>
  <c r="DL112" i="3"/>
  <c r="CB112" i="3" s="1"/>
  <c r="DL111" i="3"/>
  <c r="DL110" i="3"/>
  <c r="DL109" i="3"/>
  <c r="DL108" i="3"/>
  <c r="CB108" i="3" s="1"/>
  <c r="DO112" i="24"/>
  <c r="DP110" i="24"/>
  <c r="DO110" i="24"/>
  <c r="DO108" i="24"/>
  <c r="DH111" i="24"/>
  <c r="DH110" i="24"/>
  <c r="AU4" i="24"/>
  <c r="AU5" i="24"/>
  <c r="W112" i="3"/>
  <c r="V112" i="3"/>
  <c r="U112" i="3"/>
  <c r="T112" i="3"/>
  <c r="S112" i="3"/>
  <c r="R112" i="3"/>
  <c r="Q112" i="3"/>
  <c r="O111" i="3"/>
  <c r="N111" i="3"/>
  <c r="M111" i="3"/>
  <c r="L111" i="3"/>
  <c r="K111" i="3"/>
  <c r="J111" i="3"/>
  <c r="BU110" i="3"/>
  <c r="W110" i="3"/>
  <c r="V110" i="3"/>
  <c r="U110" i="3"/>
  <c r="T110" i="3"/>
  <c r="S110" i="3"/>
  <c r="R110" i="3"/>
  <c r="BU109" i="3"/>
  <c r="W109" i="3"/>
  <c r="V109" i="3"/>
  <c r="U109" i="3"/>
  <c r="T109" i="3"/>
  <c r="S109" i="3"/>
  <c r="R109" i="3"/>
  <c r="Q109" i="3"/>
  <c r="W108" i="3"/>
  <c r="V108" i="3"/>
  <c r="U108" i="3"/>
  <c r="T108" i="3"/>
  <c r="S108" i="3"/>
  <c r="R108" i="3"/>
  <c r="Q108" i="3"/>
  <c r="G80" i="13" l="1"/>
  <c r="Q110" i="3"/>
  <c r="DP108" i="24"/>
  <c r="DP112" i="24"/>
  <c r="DP111" i="24" s="1"/>
  <c r="G55" i="13"/>
  <c r="G54" i="13"/>
  <c r="G57" i="13"/>
  <c r="G56" i="13"/>
  <c r="S111" i="3"/>
  <c r="V111" i="3"/>
  <c r="W111" i="3"/>
  <c r="Q111" i="3"/>
  <c r="DO111" i="24"/>
  <c r="DN109" i="3"/>
  <c r="DN110" i="3"/>
  <c r="CD110" i="3" s="1"/>
  <c r="DN111" i="3"/>
  <c r="CD111" i="3" s="1"/>
  <c r="R111" i="3"/>
  <c r="T111" i="3"/>
  <c r="U111" i="3"/>
  <c r="DM112" i="3"/>
  <c r="CC112" i="3" s="1"/>
  <c r="DN112" i="3"/>
  <c r="CD112" i="3" s="1"/>
  <c r="DM110" i="3"/>
  <c r="DM108" i="3"/>
  <c r="CC108" i="3" s="1"/>
  <c r="DN108" i="3"/>
  <c r="CD108" i="3" s="1"/>
  <c r="DM111" i="3"/>
  <c r="DM109" i="3"/>
  <c r="BN112" i="3"/>
  <c r="DO109" i="24"/>
  <c r="BN108" i="3"/>
  <c r="CD109" i="3" l="1"/>
  <c r="DP109" i="24"/>
  <c r="BU112" i="3"/>
  <c r="BR112" i="3"/>
  <c r="BU108" i="3"/>
  <c r="BR108" i="3"/>
  <c r="BU284" i="3"/>
  <c r="AI284" i="3"/>
  <c r="AI289" i="3"/>
  <c r="AI288" i="3"/>
  <c r="AI287" i="3"/>
  <c r="AI286" i="3"/>
  <c r="AI285" i="3"/>
  <c r="AI283" i="3"/>
  <c r="AI282" i="3"/>
  <c r="AI281" i="3"/>
  <c r="AI280" i="3"/>
  <c r="AI279" i="3"/>
  <c r="AI278" i="3"/>
  <c r="AI277" i="3"/>
  <c r="AI276" i="3"/>
  <c r="AI275" i="3"/>
  <c r="AI274" i="3"/>
  <c r="AI273" i="3"/>
  <c r="AI272" i="3"/>
  <c r="AI271" i="3"/>
  <c r="AI270" i="3"/>
  <c r="AI269" i="3"/>
  <c r="BU303" i="3" l="1"/>
  <c r="BU296" i="3"/>
  <c r="BU289" i="3"/>
  <c r="BU274" i="3"/>
  <c r="DH268" i="24"/>
  <c r="DI267" i="24"/>
  <c r="BU275" i="3" l="1"/>
  <c r="BU347" i="3"/>
  <c r="BZ4" i="24"/>
  <c r="CA4" i="24"/>
  <c r="CB4" i="24"/>
  <c r="BZ5" i="24"/>
  <c r="CA5" i="24"/>
  <c r="CB5" i="24"/>
  <c r="DR233" i="3"/>
  <c r="CH233" i="3" s="1"/>
  <c r="DL233" i="3"/>
  <c r="CB233" i="3" s="1"/>
  <c r="BU233" i="3"/>
  <c r="DR232" i="3"/>
  <c r="CH232" i="3" s="1"/>
  <c r="DL232" i="3"/>
  <c r="CB232" i="3" s="1"/>
  <c r="BU232" i="3"/>
  <c r="DR231" i="3"/>
  <c r="DL231" i="3"/>
  <c r="CB231" i="3" s="1"/>
  <c r="BU231" i="3"/>
  <c r="DR230" i="3"/>
  <c r="CH230" i="3" s="1"/>
  <c r="DL230" i="3"/>
  <c r="CB230" i="3" s="1"/>
  <c r="BU230" i="3"/>
  <c r="DR229" i="3"/>
  <c r="CH229" i="3" s="1"/>
  <c r="DL229" i="3"/>
  <c r="CB229" i="3" s="1"/>
  <c r="BU229" i="3"/>
  <c r="DR228" i="3"/>
  <c r="DL228" i="3"/>
  <c r="CB228" i="3" s="1"/>
  <c r="BU228" i="3"/>
  <c r="DR227" i="3"/>
  <c r="CH227" i="3" s="1"/>
  <c r="DL227" i="3"/>
  <c r="CB227" i="3" s="1"/>
  <c r="BU227" i="3"/>
  <c r="DR226" i="3"/>
  <c r="CH226" i="3" s="1"/>
  <c r="DL226" i="3"/>
  <c r="CB226" i="3" s="1"/>
  <c r="BU226" i="3"/>
  <c r="DR225" i="3"/>
  <c r="DL225" i="3"/>
  <c r="CB225" i="3" s="1"/>
  <c r="BU225" i="3"/>
  <c r="DR119" i="3" l="1"/>
  <c r="CH119" i="3" s="1"/>
  <c r="DQ119" i="3"/>
  <c r="CG119" i="3" s="1"/>
  <c r="DP119" i="3"/>
  <c r="CF119" i="3" s="1"/>
  <c r="DO119" i="3"/>
  <c r="CE119" i="3" s="1"/>
  <c r="DN119" i="3"/>
  <c r="CD119" i="3" s="1"/>
  <c r="DM119" i="3"/>
  <c r="CC119" i="3" s="1"/>
  <c r="DL119" i="3"/>
  <c r="BU119" i="3"/>
  <c r="BL507" i="3" l="1"/>
  <c r="BU507" i="3" s="1"/>
  <c r="BU420" i="3" l="1"/>
  <c r="BU316" i="3" l="1"/>
  <c r="BU315" i="3"/>
  <c r="BO378" i="3" l="1"/>
  <c r="BP378" i="3" s="1"/>
  <c r="BO377" i="3"/>
  <c r="BP377" i="3" s="1"/>
  <c r="BQ377" i="3" l="1"/>
  <c r="BQ378" i="3"/>
  <c r="Q131" i="1"/>
  <c r="F59" i="27" s="1"/>
  <c r="Q130" i="1"/>
  <c r="Q128" i="1"/>
  <c r="F58" i="27" s="1"/>
  <c r="Q127" i="1"/>
  <c r="Q126" i="1"/>
  <c r="F42" i="27" s="1"/>
  <c r="BR378" i="3" l="1"/>
  <c r="BR377" i="3"/>
  <c r="F46" i="27"/>
  <c r="F26" i="27"/>
  <c r="F23" i="27"/>
  <c r="F52" i="27"/>
  <c r="F29" i="27"/>
  <c r="F55" i="27"/>
  <c r="F35" i="27"/>
  <c r="I95" i="24" l="1" a="1"/>
  <c r="I95" i="24" s="1"/>
  <c r="GG95" i="24" s="1"/>
  <c r="I429" i="24" a="1"/>
  <c r="I429" i="24" s="1"/>
  <c r="GG429" i="24" s="1"/>
  <c r="I120" i="24" a="1"/>
  <c r="I120" i="24" s="1"/>
  <c r="GG120" i="24" s="1"/>
  <c r="I192" i="24" a="1"/>
  <c r="I192" i="24" s="1"/>
  <c r="GG192" i="24" s="1"/>
  <c r="I121" i="24" a="1"/>
  <c r="I121" i="24" s="1"/>
  <c r="GG121" i="24" s="1"/>
  <c r="I138" i="24" a="1"/>
  <c r="I138" i="24" s="1"/>
  <c r="GG138" i="24" s="1"/>
  <c r="I136" i="24" a="1"/>
  <c r="I136" i="24" s="1"/>
  <c r="GG136" i="24" s="1"/>
  <c r="I132" i="24" a="1"/>
  <c r="I132" i="24" s="1"/>
  <c r="GG132" i="24" s="1"/>
  <c r="I142" i="24" a="1"/>
  <c r="I142" i="24" s="1"/>
  <c r="GG142" i="24" s="1"/>
  <c r="I135" i="24" a="1"/>
  <c r="I135" i="24" s="1"/>
  <c r="GG135" i="24" s="1"/>
  <c r="I131" i="24" a="1"/>
  <c r="I131" i="24" s="1"/>
  <c r="GG131" i="24" s="1"/>
  <c r="I143" i="24" a="1"/>
  <c r="I143" i="24" s="1"/>
  <c r="GG143" i="24" s="1"/>
  <c r="I140" i="24" a="1"/>
  <c r="I140" i="24" s="1"/>
  <c r="GG140" i="24" s="1"/>
  <c r="I137" i="24" a="1"/>
  <c r="I137" i="24" s="1"/>
  <c r="GG137" i="24" s="1"/>
  <c r="I144" i="24" a="1"/>
  <c r="I144" i="24" s="1"/>
  <c r="GG144" i="24" s="1"/>
  <c r="I141" i="24" a="1"/>
  <c r="I141" i="24" s="1"/>
  <c r="GG141" i="24" s="1"/>
  <c r="I139" i="24" a="1"/>
  <c r="I139" i="24" s="1"/>
  <c r="GG139" i="24" s="1"/>
  <c r="I133" i="24" a="1"/>
  <c r="I133" i="24" s="1"/>
  <c r="I134" i="24" a="1"/>
  <c r="I134" i="24" s="1"/>
  <c r="I94" i="24" a="1"/>
  <c r="I94" i="24" s="1"/>
  <c r="GG94" i="24" s="1"/>
  <c r="BS377" i="3"/>
  <c r="BS378" i="3"/>
  <c r="I408" i="24" a="1"/>
  <c r="I408" i="24" s="1"/>
  <c r="GG408" i="24" s="1"/>
  <c r="I92" i="24" a="1"/>
  <c r="I92" i="24" s="1"/>
  <c r="GG92" i="24" s="1"/>
  <c r="I437" i="24" a="1"/>
  <c r="I437" i="24" s="1"/>
  <c r="GG437" i="24" s="1"/>
  <c r="I435" i="24" a="1"/>
  <c r="I435" i="24" s="1"/>
  <c r="I436" i="24" a="1"/>
  <c r="I436" i="24" s="1"/>
  <c r="GG436" i="24" s="1"/>
  <c r="I438" i="24" a="1"/>
  <c r="I438" i="24" s="1"/>
  <c r="GG438" i="24" s="1"/>
  <c r="I434" i="24" a="1"/>
  <c r="I434" i="24" s="1"/>
  <c r="I127" i="24" a="1"/>
  <c r="I127" i="24" s="1"/>
  <c r="GG127" i="24" s="1"/>
  <c r="I130" i="24" a="1"/>
  <c r="I130" i="24" s="1"/>
  <c r="GG130" i="24" s="1"/>
  <c r="I125" i="24" a="1"/>
  <c r="I125" i="24" s="1"/>
  <c r="GG125" i="24" s="1"/>
  <c r="I126" i="24" a="1"/>
  <c r="I126" i="24" s="1"/>
  <c r="GG126" i="24" s="1"/>
  <c r="I124" i="24" a="1"/>
  <c r="I124" i="24" s="1"/>
  <c r="GG124" i="24" s="1"/>
  <c r="I128" i="24" a="1"/>
  <c r="I128" i="24" s="1"/>
  <c r="GG128" i="24" s="1"/>
  <c r="I129" i="24" a="1"/>
  <c r="I129" i="24" s="1"/>
  <c r="GG129" i="24" s="1"/>
  <c r="I123" i="24" a="1"/>
  <c r="I123" i="24" s="1"/>
  <c r="I145" i="24" a="1"/>
  <c r="I145" i="24" s="1"/>
  <c r="GG145" i="24" s="1"/>
  <c r="I366" i="24" a="1"/>
  <c r="I366" i="24" s="1"/>
  <c r="GG366" i="24" s="1"/>
  <c r="I89" i="24" a="1"/>
  <c r="I89" i="24" s="1"/>
  <c r="GG89" i="24" s="1"/>
  <c r="I70" i="24" a="1"/>
  <c r="I70" i="24" s="1"/>
  <c r="GG70" i="24" s="1"/>
  <c r="I73" i="24" a="1"/>
  <c r="I73" i="24" s="1"/>
  <c r="GG73" i="24" s="1"/>
  <c r="I76" i="24" a="1"/>
  <c r="I76" i="24" s="1"/>
  <c r="GG76" i="24" s="1"/>
  <c r="I81" i="24" a="1"/>
  <c r="I81" i="24" s="1"/>
  <c r="GG81" i="24" s="1"/>
  <c r="I90" i="24" a="1"/>
  <c r="I90" i="24" s="1"/>
  <c r="GG90" i="24" s="1"/>
  <c r="I74" i="24" a="1"/>
  <c r="I74" i="24" s="1"/>
  <c r="GG74" i="24" s="1"/>
  <c r="I82" i="24" a="1"/>
  <c r="I82" i="24" s="1"/>
  <c r="GG82" i="24" s="1"/>
  <c r="I75" i="24" a="1"/>
  <c r="I75" i="24" s="1"/>
  <c r="GG75" i="24" s="1"/>
  <c r="I78" i="24" a="1"/>
  <c r="I78" i="24" s="1"/>
  <c r="GG78" i="24" s="1"/>
  <c r="I84" i="24" a="1"/>
  <c r="I84" i="24" s="1"/>
  <c r="GG84" i="24" s="1"/>
  <c r="I86" i="24" a="1"/>
  <c r="I86" i="24" s="1"/>
  <c r="GG86" i="24" s="1"/>
  <c r="I87" i="24" a="1"/>
  <c r="I87" i="24" s="1"/>
  <c r="GG87" i="24" s="1"/>
  <c r="I80" i="24" a="1"/>
  <c r="I80" i="24" s="1"/>
  <c r="GG80" i="24" s="1"/>
  <c r="I79" i="24" a="1"/>
  <c r="I79" i="24" s="1"/>
  <c r="GG79" i="24" s="1"/>
  <c r="I71" i="24" a="1"/>
  <c r="I71" i="24" s="1"/>
  <c r="GG71" i="24" s="1"/>
  <c r="I72" i="24" a="1"/>
  <c r="I72" i="24" s="1"/>
  <c r="GG72" i="24" s="1"/>
  <c r="I85" i="24" a="1"/>
  <c r="I85" i="24" s="1"/>
  <c r="GG85" i="24" s="1"/>
  <c r="I88" i="24" a="1"/>
  <c r="I88" i="24" s="1"/>
  <c r="GG88" i="24" s="1"/>
  <c r="I77" i="24" a="1"/>
  <c r="I77" i="24" s="1"/>
  <c r="GG77" i="24" s="1"/>
  <c r="I96" i="24" a="1"/>
  <c r="I96" i="24" s="1"/>
  <c r="GG96" i="24" s="1"/>
  <c r="I91" i="24" a="1"/>
  <c r="I91" i="24" s="1"/>
  <c r="GG91" i="24" s="1"/>
  <c r="I372" i="24" a="1"/>
  <c r="I372" i="24" s="1"/>
  <c r="I207" i="24" a="1"/>
  <c r="I207" i="24" s="1"/>
  <c r="I404" i="24" a="1"/>
  <c r="I404" i="24" s="1"/>
  <c r="I364" i="24" a="1"/>
  <c r="I364" i="24" s="1"/>
  <c r="I363" i="24" a="1"/>
  <c r="I363" i="24" s="1"/>
  <c r="I357" i="24" a="1"/>
  <c r="I357" i="24" s="1"/>
  <c r="I369" i="24" a="1"/>
  <c r="I369" i="24" s="1"/>
  <c r="I146" i="24" a="1"/>
  <c r="I146" i="24" s="1"/>
  <c r="I264" i="24" a="1"/>
  <c r="I264" i="24" s="1"/>
  <c r="I191" i="24" a="1"/>
  <c r="I191" i="24" s="1"/>
  <c r="I246" i="24" a="1"/>
  <c r="I246" i="24" s="1"/>
  <c r="I160" i="24" a="1"/>
  <c r="I160" i="24" s="1"/>
  <c r="I176" i="24" a="1"/>
  <c r="I176" i="24" s="1"/>
  <c r="I169" i="24" a="1"/>
  <c r="I169" i="24" s="1"/>
  <c r="I159" i="24" a="1"/>
  <c r="I159" i="24" s="1"/>
  <c r="I168" i="24" a="1"/>
  <c r="I168" i="24" s="1"/>
  <c r="I175" i="24" a="1"/>
  <c r="I175" i="24" s="1"/>
  <c r="I253" i="24" a="1"/>
  <c r="I253" i="24" s="1"/>
  <c r="I307" i="24" a="1"/>
  <c r="I307" i="24" s="1"/>
  <c r="I377" i="24" a="1"/>
  <c r="I377" i="24" s="1"/>
  <c r="I427" i="24" a="1"/>
  <c r="I427" i="24" s="1"/>
  <c r="I295" i="24" a="1"/>
  <c r="I295" i="24" s="1"/>
  <c r="I409" i="24" a="1"/>
  <c r="I409" i="24" s="1"/>
  <c r="I60" i="24" a="1"/>
  <c r="I60" i="24" s="1"/>
  <c r="I400" i="24" a="1"/>
  <c r="I400" i="24" s="1"/>
  <c r="I497" i="24" a="1"/>
  <c r="I497" i="24" s="1"/>
  <c r="I204" i="24" a="1"/>
  <c r="I204" i="24" s="1"/>
  <c r="I182" i="24" a="1"/>
  <c r="I182" i="24" s="1"/>
  <c r="I498" i="24" a="1"/>
  <c r="I498" i="24" s="1"/>
  <c r="I205" i="24" a="1"/>
  <c r="I205" i="24" s="1"/>
  <c r="I330" i="24" a="1"/>
  <c r="I330" i="24" s="1"/>
  <c r="I473" i="24" a="1"/>
  <c r="I473" i="24" s="1"/>
  <c r="I36" i="24" a="1"/>
  <c r="I36" i="24" s="1"/>
  <c r="I37" i="24" a="1"/>
  <c r="I37" i="24" s="1"/>
  <c r="I368" i="24" a="1"/>
  <c r="I368" i="24" s="1"/>
  <c r="I231" i="24" a="1"/>
  <c r="I231" i="24" s="1"/>
  <c r="GG231" i="24" s="1"/>
  <c r="I272" i="24" a="1"/>
  <c r="I272" i="24" s="1"/>
  <c r="I150" i="24" a="1"/>
  <c r="I150" i="24" s="1"/>
  <c r="I57" i="24" a="1"/>
  <c r="I57" i="24" s="1"/>
  <c r="I277" i="24" a="1"/>
  <c r="I277" i="24" s="1"/>
  <c r="I266" i="24" a="1"/>
  <c r="I266" i="24" s="1"/>
  <c r="I319" i="24" a="1"/>
  <c r="I319" i="24" s="1"/>
  <c r="I254" i="24" a="1"/>
  <c r="I254" i="24" s="1"/>
  <c r="I486" i="24" a="1"/>
  <c r="I486" i="24" s="1"/>
  <c r="I189" i="24" a="1"/>
  <c r="I189" i="24" s="1"/>
  <c r="I461" i="24" a="1"/>
  <c r="I461" i="24" s="1"/>
  <c r="I151" i="24" a="1"/>
  <c r="I151" i="24" s="1"/>
  <c r="I339" i="24" a="1"/>
  <c r="I339" i="24" s="1"/>
  <c r="I323" i="24" a="1"/>
  <c r="I323" i="24" s="1"/>
  <c r="I474" i="24" a="1"/>
  <c r="I474" i="24" s="1"/>
  <c r="I180" i="24" a="1"/>
  <c r="I180" i="24" s="1"/>
  <c r="I349" i="24" a="1"/>
  <c r="I349" i="24" s="1"/>
  <c r="I39" i="24" a="1"/>
  <c r="I39" i="24" s="1"/>
  <c r="I247" i="24" a="1"/>
  <c r="I247" i="24" s="1"/>
  <c r="I289" i="24" a="1"/>
  <c r="I289" i="24" s="1"/>
  <c r="I111" i="24" a="1"/>
  <c r="I111" i="24" s="1"/>
  <c r="I167" i="24" a="1"/>
  <c r="I167" i="24" s="1"/>
  <c r="I394" i="24" a="1"/>
  <c r="I394" i="24" s="1"/>
  <c r="I268" i="24" a="1"/>
  <c r="I268" i="24" s="1"/>
  <c r="I313" i="24" a="1"/>
  <c r="I313" i="24" s="1"/>
  <c r="I196" i="24" a="1"/>
  <c r="I196" i="24" s="1"/>
  <c r="I193" i="24" a="1"/>
  <c r="I193" i="24" s="1"/>
  <c r="I241" i="24" a="1"/>
  <c r="I241" i="24" s="1"/>
  <c r="I286" i="24" a="1"/>
  <c r="I286" i="24" s="1"/>
  <c r="I503" i="24" a="1"/>
  <c r="I503" i="24" s="1"/>
  <c r="I114" i="24" a="1"/>
  <c r="I114" i="24" s="1"/>
  <c r="I332" i="24" a="1"/>
  <c r="I332" i="24" s="1"/>
  <c r="I220" i="24" a="1"/>
  <c r="I220" i="24" s="1"/>
  <c r="I269" i="24" a="1"/>
  <c r="I269" i="24" s="1"/>
  <c r="I225" i="24" a="1"/>
  <c r="I225" i="24" s="1"/>
  <c r="I154" i="24" a="1"/>
  <c r="I154" i="24" s="1"/>
  <c r="I249" i="24" a="1"/>
  <c r="I249" i="24" s="1"/>
  <c r="I302" i="24" a="1"/>
  <c r="I302" i="24" s="1"/>
  <c r="I373" i="24" a="1"/>
  <c r="I373" i="24" s="1"/>
  <c r="I48" i="24" a="1"/>
  <c r="I48" i="24" s="1"/>
  <c r="I206" i="24" a="1"/>
  <c r="I206" i="24" s="1"/>
  <c r="I462" i="24" a="1"/>
  <c r="I462" i="24" s="1"/>
  <c r="I164" i="24" a="1"/>
  <c r="I164" i="24" s="1"/>
  <c r="I55" i="24" a="1"/>
  <c r="I55" i="24" s="1"/>
  <c r="I419" i="24" a="1"/>
  <c r="I419" i="24" s="1"/>
  <c r="GG419" i="24" s="1"/>
  <c r="I233" i="24" a="1"/>
  <c r="I233" i="24" s="1"/>
  <c r="GG233" i="24" s="1"/>
  <c r="I467" i="24" a="1"/>
  <c r="I467" i="24" s="1"/>
  <c r="I165" i="24" a="1"/>
  <c r="I165" i="24" s="1"/>
  <c r="I416" i="24" a="1"/>
  <c r="I416" i="24" s="1"/>
  <c r="GG416" i="24" s="1"/>
  <c r="I149" i="24" a="1"/>
  <c r="I149" i="24" s="1"/>
  <c r="I68" i="24" a="1"/>
  <c r="I68" i="24" s="1"/>
  <c r="I348" i="24" a="1"/>
  <c r="I348" i="24" s="1"/>
  <c r="I335" i="24" a="1"/>
  <c r="I335" i="24" s="1"/>
  <c r="I390" i="24" a="1"/>
  <c r="I390" i="24" s="1"/>
  <c r="I489" i="24" a="1"/>
  <c r="I489" i="24" s="1"/>
  <c r="I194" i="24" a="1"/>
  <c r="I194" i="24" s="1"/>
  <c r="I388" i="24" a="1"/>
  <c r="I388" i="24" s="1"/>
  <c r="I102" i="24" a="1"/>
  <c r="I102" i="24" s="1"/>
  <c r="I237" i="24" a="1"/>
  <c r="I237" i="24" s="1"/>
  <c r="I232" i="24" a="1"/>
  <c r="I232" i="24" s="1"/>
  <c r="GG232" i="24" s="1"/>
  <c r="I350" i="24" a="1"/>
  <c r="I350" i="24" s="1"/>
  <c r="I496" i="24" a="1"/>
  <c r="I496" i="24" s="1"/>
  <c r="I379" i="24" a="1"/>
  <c r="I379" i="24" s="1"/>
  <c r="I328" i="24" a="1"/>
  <c r="I328" i="24" s="1"/>
  <c r="I431" i="24" a="1"/>
  <c r="I431" i="24" s="1"/>
  <c r="I153" i="24" a="1"/>
  <c r="I153" i="24" s="1"/>
  <c r="I117" i="24" a="1"/>
  <c r="I117" i="24" s="1"/>
  <c r="I352" i="24" a="1"/>
  <c r="I352" i="24" s="1"/>
  <c r="I303" i="24" a="1"/>
  <c r="I303" i="24" s="1"/>
  <c r="I342" i="24" a="1"/>
  <c r="I342" i="24" s="1"/>
  <c r="I407" i="24" a="1"/>
  <c r="I407" i="24" s="1"/>
  <c r="GG407" i="24" s="1"/>
  <c r="I38" i="24" a="1"/>
  <c r="I38" i="24" s="1"/>
  <c r="I282" i="24" a="1"/>
  <c r="I282" i="24" s="1"/>
  <c r="I214" i="24" a="1"/>
  <c r="I214" i="24" s="1"/>
  <c r="I504" i="24" a="1"/>
  <c r="I504" i="24" s="1"/>
  <c r="I484" i="24" a="1"/>
  <c r="I484" i="24" s="1"/>
  <c r="I19" i="24" a="1"/>
  <c r="I19" i="24" s="1"/>
  <c r="I234" i="24" a="1"/>
  <c r="I234" i="24" s="1"/>
  <c r="I468" i="24" a="1"/>
  <c r="I468" i="24" s="1"/>
  <c r="I155" i="24" a="1"/>
  <c r="I155" i="24" s="1"/>
  <c r="I14" i="24" a="1"/>
  <c r="I14" i="24" s="1"/>
  <c r="I181" i="24" a="1"/>
  <c r="I181" i="24" s="1"/>
  <c r="I118" i="24" a="1"/>
  <c r="I118" i="24" s="1"/>
  <c r="I362" i="24" a="1"/>
  <c r="I362" i="24" s="1"/>
  <c r="I216" i="24" a="1"/>
  <c r="I216" i="24" s="1"/>
  <c r="I389" i="24" a="1"/>
  <c r="I389" i="24" s="1"/>
  <c r="I483" i="24" a="1"/>
  <c r="I483" i="24" s="1"/>
  <c r="I481" i="24" a="1"/>
  <c r="I481" i="24" s="1"/>
  <c r="I59" i="24" a="1"/>
  <c r="I59" i="24" s="1"/>
  <c r="I10" i="24" a="1"/>
  <c r="I10" i="24" s="1"/>
  <c r="I410" i="24" a="1"/>
  <c r="I410" i="24" s="1"/>
  <c r="I314" i="24" a="1"/>
  <c r="I314" i="24" s="1"/>
  <c r="I376" i="24" a="1"/>
  <c r="I376" i="24" s="1"/>
  <c r="I105" i="24" a="1"/>
  <c r="I105" i="24" s="1"/>
  <c r="I262" i="24" a="1"/>
  <c r="I262" i="24" s="1"/>
  <c r="I316" i="24" a="1"/>
  <c r="I316" i="24" s="1"/>
  <c r="I299" i="24" a="1"/>
  <c r="I299" i="24" s="1"/>
  <c r="I430" i="24" a="1"/>
  <c r="I430" i="24" s="1"/>
  <c r="I156" i="24" a="1"/>
  <c r="I156" i="24" s="1"/>
  <c r="I221" i="24" a="1"/>
  <c r="I221" i="24" s="1"/>
  <c r="I490" i="24" a="1"/>
  <c r="I490" i="24" s="1"/>
  <c r="I195" i="24" a="1"/>
  <c r="I195" i="24" s="1"/>
  <c r="I322" i="24" a="1"/>
  <c r="I322" i="24" s="1"/>
  <c r="I465" i="24" a="1"/>
  <c r="I465" i="24" s="1"/>
  <c r="I32" i="24" a="1"/>
  <c r="I32" i="24" s="1"/>
  <c r="I13" i="24" a="1"/>
  <c r="I13" i="24" s="1"/>
  <c r="I50" i="24" a="1"/>
  <c r="I50" i="24" s="1"/>
  <c r="I256" i="24" a="1"/>
  <c r="I256" i="24" s="1"/>
  <c r="I298" i="24" a="1"/>
  <c r="I298" i="24" s="1"/>
  <c r="I359" i="24" a="1"/>
  <c r="I359" i="24" s="1"/>
  <c r="I257" i="24" a="1"/>
  <c r="I257" i="24" s="1"/>
  <c r="I311" i="24" a="1"/>
  <c r="I311" i="24" s="1"/>
  <c r="I381" i="24" a="1"/>
  <c r="I381" i="24" s="1"/>
  <c r="I385" i="24" a="1"/>
  <c r="I385" i="24" s="1"/>
  <c r="I35" i="24" a="1"/>
  <c r="I35" i="24" s="1"/>
  <c r="I251" i="24" a="1"/>
  <c r="I251" i="24" s="1"/>
  <c r="I296" i="24" a="1"/>
  <c r="I296" i="24" s="1"/>
  <c r="I107" i="24" a="1"/>
  <c r="I107" i="24" s="1"/>
  <c r="I173" i="24" a="1"/>
  <c r="I173" i="24" s="1"/>
  <c r="I370" i="24" a="1"/>
  <c r="I370" i="24" s="1"/>
  <c r="I345" i="24" a="1"/>
  <c r="I345" i="24" s="1"/>
  <c r="I51" i="24" a="1"/>
  <c r="I51" i="24" s="1"/>
  <c r="I197" i="24" a="1"/>
  <c r="I197" i="24" s="1"/>
  <c r="I505" i="24" a="1"/>
  <c r="I505" i="24" s="1"/>
  <c r="I336" i="24" a="1"/>
  <c r="I336" i="24" s="1"/>
  <c r="I62" i="24" a="1"/>
  <c r="I62" i="24" s="1"/>
  <c r="I422" i="24" a="1"/>
  <c r="I422" i="24" s="1"/>
  <c r="I475" i="24" a="1"/>
  <c r="I475" i="24" s="1"/>
  <c r="I177" i="24" a="1"/>
  <c r="I177" i="24" s="1"/>
  <c r="I258" i="24" a="1"/>
  <c r="I258" i="24" s="1"/>
  <c r="I172" i="24" a="1"/>
  <c r="I172" i="24" s="1"/>
  <c r="I244" i="24" a="1"/>
  <c r="I244" i="24" s="1"/>
  <c r="I294" i="24" a="1"/>
  <c r="I294" i="24" s="1"/>
  <c r="I367" i="24" a="1"/>
  <c r="I367" i="24" s="1"/>
  <c r="I472" i="24" a="1"/>
  <c r="I472" i="24" s="1"/>
  <c r="I33" i="24" a="1"/>
  <c r="I33" i="24" s="1"/>
  <c r="I391" i="24" a="1"/>
  <c r="I391" i="24" s="1"/>
  <c r="I374" i="24" a="1"/>
  <c r="I374" i="24" s="1"/>
  <c r="I235" i="24" a="1"/>
  <c r="I235" i="24" s="1"/>
  <c r="I34" i="24" a="1"/>
  <c r="I34" i="24" s="1"/>
  <c r="I281" i="24" a="1"/>
  <c r="I281" i="24" s="1"/>
  <c r="I83" i="24" a="1"/>
  <c r="I83" i="24" s="1"/>
  <c r="I507" i="24" a="1"/>
  <c r="I507" i="24" s="1"/>
  <c r="I157" i="24" a="1"/>
  <c r="I157" i="24" s="1"/>
  <c r="I290" i="24" a="1"/>
  <c r="I290" i="24" s="1"/>
  <c r="I337" i="24" a="1"/>
  <c r="I337" i="24" s="1"/>
  <c r="I104" i="24" a="1"/>
  <c r="I104" i="24" s="1"/>
  <c r="I45" i="24" a="1"/>
  <c r="I45" i="24" s="1"/>
  <c r="I355" i="24" a="1"/>
  <c r="I355" i="24" s="1"/>
  <c r="I223" i="24" a="1"/>
  <c r="I223" i="24" s="1"/>
  <c r="I329" i="24" a="1"/>
  <c r="I329" i="24" s="1"/>
  <c r="I110" i="24" a="1"/>
  <c r="I110" i="24" s="1"/>
  <c r="I300" i="24" a="1"/>
  <c r="I300" i="24" s="1"/>
  <c r="I224" i="24" a="1"/>
  <c r="I224" i="24" s="1"/>
  <c r="I273" i="24" a="1"/>
  <c r="I273" i="24" s="1"/>
  <c r="I399" i="24" a="1"/>
  <c r="I399" i="24" s="1"/>
  <c r="I488" i="24" a="1"/>
  <c r="I488" i="24" s="1"/>
  <c r="I66" i="24" a="1"/>
  <c r="I66" i="24" s="1"/>
  <c r="I218" i="24" a="1"/>
  <c r="I218" i="24" s="1"/>
  <c r="I147" i="24" a="1"/>
  <c r="I147" i="24" s="1"/>
  <c r="I7" i="24" a="1"/>
  <c r="I7" i="24" s="1"/>
  <c r="I392" i="24" a="1"/>
  <c r="I392" i="24" s="1"/>
  <c r="I15" i="24" a="1"/>
  <c r="I15" i="24" s="1"/>
  <c r="I317" i="24" a="1"/>
  <c r="I317" i="24" s="1"/>
  <c r="I178" i="24" a="1"/>
  <c r="I178" i="24" s="1"/>
  <c r="I495" i="24" a="1"/>
  <c r="I495" i="24" s="1"/>
  <c r="I259" i="24" a="1"/>
  <c r="I259" i="24" s="1"/>
  <c r="I305" i="24" a="1"/>
  <c r="I305" i="24" s="1"/>
  <c r="I245" i="24" a="1"/>
  <c r="I245" i="24" s="1"/>
  <c r="I100" i="24" a="1"/>
  <c r="I100" i="24" s="1"/>
  <c r="GG100" i="24" s="1"/>
  <c r="I21" i="24" a="1"/>
  <c r="I21" i="24" s="1"/>
  <c r="I65" i="24" a="1"/>
  <c r="I65" i="24" s="1"/>
  <c r="I406" i="24" a="1"/>
  <c r="I406" i="24" s="1"/>
  <c r="I387" i="24" a="1"/>
  <c r="I387" i="24" s="1"/>
  <c r="I248" i="24" a="1"/>
  <c r="I248" i="24" s="1"/>
  <c r="I432" i="24" a="1"/>
  <c r="I432" i="24" s="1"/>
  <c r="I418" i="24" a="1"/>
  <c r="I418" i="24" s="1"/>
  <c r="GG418" i="24" s="1"/>
  <c r="I276" i="24" a="1"/>
  <c r="I276" i="24" s="1"/>
  <c r="I116" i="24" a="1"/>
  <c r="I116" i="24" s="1"/>
  <c r="I162" i="24" a="1"/>
  <c r="I162" i="24" s="1"/>
  <c r="I502" i="24" a="1"/>
  <c r="I502" i="24" s="1"/>
  <c r="I212" i="24" a="1"/>
  <c r="I212" i="24" s="1"/>
  <c r="I334" i="24" a="1"/>
  <c r="I334" i="24" s="1"/>
  <c r="I477" i="24" a="1"/>
  <c r="I477" i="24" s="1"/>
  <c r="I108" i="24" a="1"/>
  <c r="I108" i="24" s="1"/>
  <c r="I64" i="24" a="1"/>
  <c r="I64" i="24" s="1"/>
  <c r="I395" i="24" a="1"/>
  <c r="I395" i="24" s="1"/>
  <c r="I493" i="24" a="1"/>
  <c r="I493" i="24" s="1"/>
  <c r="I198" i="24" a="1"/>
  <c r="I198" i="24" s="1"/>
  <c r="I320" i="24" a="1"/>
  <c r="I320" i="24" s="1"/>
  <c r="I97" i="24" a="1"/>
  <c r="I97" i="24" s="1"/>
  <c r="GG97" i="24" s="1"/>
  <c r="I213" i="24" a="1"/>
  <c r="I213" i="24" s="1"/>
  <c r="I236" i="24" a="1"/>
  <c r="I236" i="24" s="1"/>
  <c r="I287" i="24" a="1"/>
  <c r="I287" i="24" s="1"/>
  <c r="I354" i="24" a="1"/>
  <c r="I354" i="24" s="1"/>
  <c r="I500" i="24" a="1"/>
  <c r="I500" i="24" s="1"/>
  <c r="I250" i="24" a="1"/>
  <c r="I250" i="24" s="1"/>
  <c r="I9" i="24" a="1"/>
  <c r="I9" i="24" s="1"/>
  <c r="I42" i="24" a="1"/>
  <c r="I42" i="24" s="1"/>
  <c r="I478" i="24" a="1"/>
  <c r="I478" i="24" s="1"/>
  <c r="I260" i="24" a="1"/>
  <c r="I260" i="24" s="1"/>
  <c r="I306" i="24" a="1"/>
  <c r="I306" i="24" s="1"/>
  <c r="I365" i="24" a="1"/>
  <c r="I365" i="24" s="1"/>
  <c r="I44" i="24" a="1"/>
  <c r="I44" i="24" s="1"/>
  <c r="I327" i="24" a="1"/>
  <c r="I327" i="24" s="1"/>
  <c r="I184" i="24" a="1"/>
  <c r="I184" i="24" s="1"/>
  <c r="I20" i="24" a="1"/>
  <c r="I20" i="24" s="1"/>
  <c r="I482" i="24" a="1"/>
  <c r="I482" i="24" s="1"/>
  <c r="I185" i="24" a="1"/>
  <c r="I185" i="24" s="1"/>
  <c r="I433" i="24" a="1"/>
  <c r="I433" i="24" s="1"/>
  <c r="I255" i="24" a="1"/>
  <c r="I255" i="24" s="1"/>
  <c r="I103" i="24" a="1"/>
  <c r="I103" i="24" s="1"/>
  <c r="I179" i="24" a="1"/>
  <c r="I179" i="24" s="1"/>
  <c r="I506" i="24" a="1"/>
  <c r="I506" i="24" s="1"/>
  <c r="I321" i="24" a="1"/>
  <c r="I321" i="24" s="1"/>
  <c r="I47" i="24" a="1"/>
  <c r="I47" i="24" s="1"/>
  <c r="I238" i="24" a="1"/>
  <c r="I238" i="24" s="1"/>
  <c r="I278" i="24" a="1"/>
  <c r="I278" i="24" s="1"/>
  <c r="I119" i="24" a="1"/>
  <c r="I119" i="24" s="1"/>
  <c r="I411" i="24" a="1"/>
  <c r="I411" i="24" s="1"/>
  <c r="I424" i="24" a="1"/>
  <c r="I424" i="24" s="1"/>
  <c r="I27" i="24" a="1"/>
  <c r="I27" i="24" s="1"/>
  <c r="I226" i="24" a="1"/>
  <c r="I226" i="24" s="1"/>
  <c r="GG226" i="24" s="1"/>
  <c r="I8" i="24" a="1"/>
  <c r="I8" i="24" s="1"/>
  <c r="I52" i="24" a="1"/>
  <c r="I52" i="24" s="1"/>
  <c r="I215" i="24" a="1"/>
  <c r="I215" i="24" s="1"/>
  <c r="I25" i="24" a="1"/>
  <c r="I25" i="24" s="1"/>
  <c r="I401" i="24" a="1"/>
  <c r="I401" i="24" s="1"/>
  <c r="I382" i="24" a="1"/>
  <c r="I382" i="24" s="1"/>
  <c r="I243" i="24" a="1"/>
  <c r="I243" i="24" s="1"/>
  <c r="I383" i="24" a="1"/>
  <c r="I383" i="24" s="1"/>
  <c r="I471" i="24" a="1"/>
  <c r="I471" i="24" s="1"/>
  <c r="I171" i="24" a="1"/>
  <c r="I171" i="24" s="1"/>
  <c r="I346" i="24" a="1"/>
  <c r="I346" i="24" s="1"/>
  <c r="I420" i="24" a="1"/>
  <c r="I420" i="24" s="1"/>
  <c r="GG420" i="24" s="1"/>
  <c r="I101" i="24" a="1"/>
  <c r="I101" i="24" s="1"/>
  <c r="GG101" i="24" s="1"/>
  <c r="I229" i="24" a="1"/>
  <c r="I229" i="24" s="1"/>
  <c r="GG229" i="24" s="1"/>
  <c r="I200" i="24" a="1"/>
  <c r="I200" i="24" s="1"/>
  <c r="I415" i="24" a="1"/>
  <c r="I415" i="24" s="1"/>
  <c r="I494" i="24" a="1"/>
  <c r="I494" i="24" s="1"/>
  <c r="I199" i="24" a="1"/>
  <c r="I199" i="24" s="1"/>
  <c r="I326" i="24" a="1"/>
  <c r="I326" i="24" s="1"/>
  <c r="I469" i="24" a="1"/>
  <c r="I469" i="24" s="1"/>
  <c r="I67" i="24" a="1"/>
  <c r="I67" i="24" s="1"/>
  <c r="I41" i="24" a="1"/>
  <c r="I41" i="24" s="1"/>
  <c r="I361" i="24" a="1"/>
  <c r="I361" i="24" s="1"/>
  <c r="I227" i="24" a="1"/>
  <c r="I227" i="24" s="1"/>
  <c r="GG227" i="24" s="1"/>
  <c r="I333" i="24" a="1"/>
  <c r="I333" i="24" s="1"/>
  <c r="I113" i="24" a="1"/>
  <c r="I113" i="24" s="1"/>
  <c r="I324" i="24" a="1"/>
  <c r="I324" i="24" s="1"/>
  <c r="I308" i="24" a="1"/>
  <c r="I308" i="24" s="1"/>
  <c r="I291" i="24" a="1"/>
  <c r="I291" i="24" s="1"/>
  <c r="I343" i="24" a="1"/>
  <c r="I343" i="24" s="1"/>
  <c r="I421" i="24" a="1"/>
  <c r="I421" i="24" s="1"/>
  <c r="I356" i="24" a="1"/>
  <c r="I356" i="24" s="1"/>
  <c r="I426" i="24" a="1"/>
  <c r="I426" i="24" s="1"/>
  <c r="I283" i="24" a="1"/>
  <c r="I283" i="24" s="1"/>
  <c r="I222" i="24" a="1"/>
  <c r="I222" i="24" s="1"/>
  <c r="I397" i="24" a="1"/>
  <c r="I397" i="24" s="1"/>
  <c r="I11" i="24" a="1"/>
  <c r="I11" i="24" s="1"/>
  <c r="I275" i="24" a="1"/>
  <c r="I275" i="24" s="1"/>
  <c r="I158" i="24" a="1"/>
  <c r="I158" i="24" s="1"/>
  <c r="I203" i="24" a="1"/>
  <c r="I203" i="24" s="1"/>
  <c r="I340" i="24" a="1"/>
  <c r="I340" i="24" s="1"/>
  <c r="I58" i="24" a="1"/>
  <c r="I58" i="24" s="1"/>
  <c r="I187" i="24" a="1"/>
  <c r="I187" i="24" s="1"/>
  <c r="I274" i="24" a="1"/>
  <c r="I274" i="24" s="1"/>
  <c r="I112" i="24" a="1"/>
  <c r="I112" i="24" s="1"/>
  <c r="I166" i="24" a="1"/>
  <c r="I166" i="24" s="1"/>
  <c r="I470" i="24" a="1"/>
  <c r="I470" i="24" s="1"/>
  <c r="I174" i="24" a="1"/>
  <c r="I174" i="24" s="1"/>
  <c r="I40" i="24" a="1"/>
  <c r="I40" i="24" s="1"/>
  <c r="I56" i="24" a="1"/>
  <c r="I56" i="24" s="1"/>
  <c r="I405" i="24" a="1"/>
  <c r="I405" i="24" s="1"/>
  <c r="I501" i="24" a="1"/>
  <c r="I501" i="24" s="1"/>
  <c r="I211" i="24" a="1"/>
  <c r="I211" i="24" s="1"/>
  <c r="I28" i="24" a="1"/>
  <c r="I28" i="24" s="1"/>
  <c r="I487" i="24" a="1"/>
  <c r="I487" i="24" s="1"/>
  <c r="I414" i="24" a="1"/>
  <c r="I414" i="24" s="1"/>
  <c r="I318" i="24" a="1"/>
  <c r="I318" i="24" s="1"/>
  <c r="I380" i="24" a="1"/>
  <c r="I380" i="24" s="1"/>
  <c r="I18" i="24" a="1"/>
  <c r="I18" i="24" s="1"/>
  <c r="I288" i="24" a="1"/>
  <c r="I288" i="24" s="1"/>
  <c r="I476" i="24" a="1"/>
  <c r="I476" i="24" s="1"/>
  <c r="I267" i="24" a="1"/>
  <c r="I267" i="24" s="1"/>
  <c r="I479" i="24" a="1"/>
  <c r="I479" i="24" s="1"/>
  <c r="I463" i="24" a="1"/>
  <c r="I463" i="24" s="1"/>
  <c r="I161" i="24" a="1"/>
  <c r="I161" i="24" s="1"/>
  <c r="I341" i="24" a="1"/>
  <c r="I341" i="24" s="1"/>
  <c r="I412" i="24" a="1"/>
  <c r="I412" i="24" s="1"/>
  <c r="I12" i="24" a="1"/>
  <c r="I12" i="24" s="1"/>
  <c r="I344" i="24" a="1"/>
  <c r="I344" i="24" s="1"/>
  <c r="I331" i="24" a="1"/>
  <c r="I331" i="24" s="1"/>
  <c r="I485" i="24" a="1"/>
  <c r="I485" i="24" s="1"/>
  <c r="I188" i="24" a="1"/>
  <c r="I188" i="24" s="1"/>
  <c r="I301" i="24" a="1"/>
  <c r="I301" i="24" s="1"/>
  <c r="I69" i="24" a="1"/>
  <c r="I69" i="24" s="1"/>
  <c r="I270" i="24" a="1"/>
  <c r="I270" i="24" s="1"/>
  <c r="I261" i="24" a="1"/>
  <c r="I261" i="24" s="1"/>
  <c r="I315" i="24" a="1"/>
  <c r="I315" i="24" s="1"/>
  <c r="I386" i="24" a="1"/>
  <c r="I386" i="24" s="1"/>
  <c r="I63" i="24" a="1"/>
  <c r="I63" i="24" s="1"/>
  <c r="I17" i="24" a="1"/>
  <c r="I17" i="24" s="1"/>
  <c r="I61" i="24" a="1"/>
  <c r="I61" i="24" s="1"/>
  <c r="I252" i="24" a="1"/>
  <c r="I252" i="24" s="1"/>
  <c r="I293" i="24" a="1"/>
  <c r="I293" i="24" s="1"/>
  <c r="I353" i="24" a="1"/>
  <c r="I353" i="24" s="1"/>
  <c r="I183" i="24" a="1"/>
  <c r="I183" i="24" s="1"/>
  <c r="I43" i="24" a="1"/>
  <c r="I43" i="24" s="1"/>
  <c r="I242" i="24" a="1"/>
  <c r="I242" i="24" s="1"/>
  <c r="I285" i="24" a="1"/>
  <c r="I285" i="24" s="1"/>
  <c r="I115" i="24" a="1"/>
  <c r="I115" i="24" s="1"/>
  <c r="I375" i="24" a="1"/>
  <c r="I375" i="24" s="1"/>
  <c r="I163" i="24" a="1"/>
  <c r="I163" i="24" s="1"/>
  <c r="I464" i="24" a="1"/>
  <c r="I464" i="24" s="1"/>
  <c r="I428" i="24" a="1"/>
  <c r="I428" i="24" s="1"/>
  <c r="I23" i="24" a="1"/>
  <c r="I23" i="24" s="1"/>
  <c r="I263" i="24" a="1"/>
  <c r="I263" i="24" s="1"/>
  <c r="I309" i="24" a="1"/>
  <c r="I309" i="24" s="1"/>
  <c r="I217" i="24" a="1"/>
  <c r="I217" i="24" s="1"/>
  <c r="I30" i="24" a="1"/>
  <c r="I30" i="24" s="1"/>
  <c r="I31" i="24" a="1"/>
  <c r="I31" i="24" s="1"/>
  <c r="I122" i="24" a="1"/>
  <c r="I122" i="24" s="1"/>
  <c r="I284" i="24" a="1"/>
  <c r="I284" i="24" s="1"/>
  <c r="I338" i="24" a="1"/>
  <c r="I338" i="24" s="1"/>
  <c r="I413" i="24" a="1"/>
  <c r="I413" i="24" s="1"/>
  <c r="I16" i="24" a="1"/>
  <c r="I16" i="24" s="1"/>
  <c r="I186" i="24" a="1"/>
  <c r="I186" i="24" s="1"/>
  <c r="I466" i="24" a="1"/>
  <c r="I466" i="24" s="1"/>
  <c r="I170" i="24" a="1"/>
  <c r="I170" i="24" s="1"/>
  <c r="I491" i="24" a="1"/>
  <c r="I491" i="24" s="1"/>
  <c r="I29" i="24" a="1"/>
  <c r="I29" i="24" s="1"/>
  <c r="I396" i="24" a="1"/>
  <c r="I396" i="24" s="1"/>
  <c r="I378" i="24" a="1"/>
  <c r="I378" i="24" s="1"/>
  <c r="I239" i="24" a="1"/>
  <c r="I239" i="24" s="1"/>
  <c r="I279" i="24" a="1"/>
  <c r="I279" i="24" s="1"/>
  <c r="I190" i="24" a="1"/>
  <c r="I190" i="24" s="1"/>
  <c r="I240" i="24" a="1"/>
  <c r="I240" i="24" s="1"/>
  <c r="I360" i="24" a="1"/>
  <c r="I360" i="24" s="1"/>
  <c r="I26" i="24" a="1"/>
  <c r="I26" i="24" s="1"/>
  <c r="I265" i="24" a="1"/>
  <c r="I265" i="24" s="1"/>
  <c r="I310" i="24" a="1"/>
  <c r="I310" i="24" s="1"/>
  <c r="I371" i="24" a="1"/>
  <c r="I371" i="24" s="1"/>
  <c r="I109" i="24" a="1"/>
  <c r="I109" i="24" s="1"/>
  <c r="I292" i="24" a="1"/>
  <c r="I292" i="24" s="1"/>
  <c r="I312" i="24" a="1"/>
  <c r="I312" i="24" s="1"/>
  <c r="I347" i="24" a="1"/>
  <c r="I347" i="24" s="1"/>
  <c r="I425" i="24" a="1"/>
  <c r="I425" i="24" s="1"/>
  <c r="I152" i="24" a="1"/>
  <c r="I152" i="24" s="1"/>
  <c r="I24" i="24" a="1"/>
  <c r="I24" i="24" s="1"/>
  <c r="I423" i="24" a="1"/>
  <c r="I423" i="24" s="1"/>
  <c r="I106" i="24" a="1"/>
  <c r="I106" i="24" s="1"/>
  <c r="I228" i="24" a="1"/>
  <c r="I228" i="24" s="1"/>
  <c r="GG228" i="24" s="1"/>
  <c r="I280" i="24" a="1"/>
  <c r="I280" i="24" s="1"/>
  <c r="I403" i="24" a="1"/>
  <c r="I403" i="24" s="1"/>
  <c r="I492" i="24" a="1"/>
  <c r="I492" i="24" s="1"/>
  <c r="I49" i="24" a="1"/>
  <c r="I49" i="24" s="1"/>
  <c r="I351" i="24" a="1"/>
  <c r="I351" i="24" s="1"/>
  <c r="I219" i="24" a="1"/>
  <c r="I219" i="24" s="1"/>
  <c r="I325" i="24" a="1"/>
  <c r="I325" i="24" s="1"/>
  <c r="I46" i="24" a="1"/>
  <c r="I46" i="24" s="1"/>
  <c r="I402" i="24" a="1"/>
  <c r="I402" i="24" s="1"/>
  <c r="I53" i="24" a="1"/>
  <c r="I53" i="24" s="1"/>
  <c r="I148" i="24" a="1"/>
  <c r="I148" i="24" s="1"/>
  <c r="I210" i="24" a="1"/>
  <c r="I210" i="24" s="1"/>
  <c r="I480" i="24" a="1"/>
  <c r="I480" i="24" s="1"/>
  <c r="I54" i="24" a="1"/>
  <c r="I54" i="24" s="1"/>
  <c r="I230" i="24" a="1"/>
  <c r="I230" i="24" s="1"/>
  <c r="GG230" i="24" s="1"/>
  <c r="I271" i="24" a="1"/>
  <c r="I271" i="24" s="1"/>
  <c r="I499" i="24" a="1"/>
  <c r="I499" i="24" s="1"/>
  <c r="I22" i="24" a="1"/>
  <c r="I22" i="24" s="1"/>
  <c r="AC13" i="20"/>
  <c r="AC12" i="20"/>
  <c r="AC11" i="20"/>
  <c r="AC10" i="20"/>
  <c r="AC9" i="20"/>
  <c r="AC8" i="20"/>
  <c r="AC7" i="20"/>
  <c r="AC6" i="20"/>
  <c r="BT378" i="3" l="1"/>
  <c r="BT377" i="3"/>
  <c r="GG409" i="24"/>
  <c r="GG160" i="24"/>
  <c r="GG246" i="24"/>
  <c r="GG112" i="24"/>
  <c r="GG111" i="24"/>
  <c r="GG191" i="24"/>
  <c r="GG264" i="24"/>
  <c r="GG83" i="24"/>
  <c r="GG369" i="24"/>
  <c r="GG357" i="24"/>
  <c r="GG175" i="24"/>
  <c r="GG363" i="24"/>
  <c r="GG168" i="24"/>
  <c r="GG364" i="24"/>
  <c r="GG159" i="24"/>
  <c r="GG404" i="24"/>
  <c r="GG169" i="24"/>
  <c r="GG207" i="24"/>
  <c r="GG176" i="24"/>
  <c r="GG372" i="24"/>
  <c r="BL506" i="3"/>
  <c r="BU506" i="3" s="1"/>
  <c r="BU503" i="3"/>
  <c r="BU502" i="3"/>
  <c r="BU501" i="3"/>
  <c r="BU500" i="3"/>
  <c r="BU491" i="3"/>
  <c r="BU490" i="3"/>
  <c r="BU489" i="3"/>
  <c r="BU488" i="3"/>
  <c r="BU481" i="3"/>
  <c r="BU480" i="3"/>
  <c r="BU479" i="3"/>
  <c r="BU478" i="3"/>
  <c r="BU477" i="3"/>
  <c r="BU476" i="3"/>
  <c r="BU475" i="3"/>
  <c r="BU474" i="3"/>
  <c r="BU473" i="3"/>
  <c r="BU472" i="3"/>
  <c r="BU471" i="3"/>
  <c r="BU470" i="3"/>
  <c r="BU469" i="3"/>
  <c r="BU468" i="3"/>
  <c r="BU467" i="3"/>
  <c r="BU462" i="3"/>
  <c r="BU461" i="3"/>
  <c r="BU434" i="3"/>
  <c r="BU433" i="3"/>
  <c r="BU432" i="3"/>
  <c r="BU431" i="3"/>
  <c r="BU430" i="3"/>
  <c r="BU428" i="3"/>
  <c r="BU427" i="3"/>
  <c r="BU426" i="3"/>
  <c r="BU425" i="3"/>
  <c r="BU424" i="3"/>
  <c r="BU423" i="3"/>
  <c r="BU422" i="3"/>
  <c r="BU421" i="3"/>
  <c r="BU419" i="3"/>
  <c r="BU416" i="3"/>
  <c r="BU415" i="3"/>
  <c r="BU414" i="3"/>
  <c r="BU413" i="3"/>
  <c r="BU412" i="3"/>
  <c r="BU411" i="3"/>
  <c r="BU410" i="3"/>
  <c r="BU409" i="3"/>
  <c r="BU406" i="3"/>
  <c r="BU405" i="3"/>
  <c r="BU403" i="3"/>
  <c r="BU402" i="3"/>
  <c r="BU401" i="3"/>
  <c r="BU400" i="3"/>
  <c r="BU399" i="3"/>
  <c r="BU396" i="3"/>
  <c r="BU395" i="3"/>
  <c r="BU394" i="3"/>
  <c r="BU392" i="3"/>
  <c r="BU391" i="3"/>
  <c r="BU390" i="3"/>
  <c r="BU389" i="3"/>
  <c r="BU388" i="3"/>
  <c r="BU387" i="3"/>
  <c r="BU386" i="3"/>
  <c r="BU385" i="3"/>
  <c r="BU374" i="3"/>
  <c r="BU383" i="3"/>
  <c r="BU382" i="3"/>
  <c r="BU381" i="3"/>
  <c r="BU380" i="3"/>
  <c r="BU379" i="3"/>
  <c r="BU378" i="3"/>
  <c r="BU377" i="3"/>
  <c r="BU376" i="3"/>
  <c r="BU375" i="3"/>
  <c r="BU371" i="3"/>
  <c r="BU370" i="3"/>
  <c r="BU368" i="3"/>
  <c r="BU367" i="3"/>
  <c r="BU362" i="3"/>
  <c r="BU361" i="3"/>
  <c r="BU360" i="3"/>
  <c r="BU359" i="3"/>
  <c r="BU356" i="3"/>
  <c r="BU355" i="3"/>
  <c r="BU354" i="3"/>
  <c r="BU353" i="3"/>
  <c r="BU352" i="3"/>
  <c r="BU351" i="3"/>
  <c r="BU350" i="3"/>
  <c r="BU349" i="3"/>
  <c r="BU348" i="3"/>
  <c r="BU346" i="3"/>
  <c r="BU345" i="3"/>
  <c r="BU344" i="3"/>
  <c r="BU343" i="3"/>
  <c r="BU342" i="3"/>
  <c r="BU341" i="3"/>
  <c r="BU340" i="3"/>
  <c r="BU339" i="3"/>
  <c r="BU338" i="3"/>
  <c r="BU337" i="3"/>
  <c r="BU336" i="3"/>
  <c r="BU335" i="3"/>
  <c r="BU334" i="3"/>
  <c r="BU333" i="3"/>
  <c r="BU332" i="3"/>
  <c r="BU331" i="3"/>
  <c r="BU330" i="3"/>
  <c r="BU329" i="3"/>
  <c r="BU328" i="3"/>
  <c r="BU327" i="3"/>
  <c r="BU326" i="3"/>
  <c r="BU325" i="3"/>
  <c r="BU317" i="3"/>
  <c r="BU321" i="3"/>
  <c r="BU319" i="3"/>
  <c r="BU318" i="3"/>
  <c r="BU314" i="3"/>
  <c r="BU313" i="3"/>
  <c r="BU312" i="3"/>
  <c r="BU311" i="3"/>
  <c r="BU310" i="3"/>
  <c r="BU309" i="3"/>
  <c r="BU308" i="3"/>
  <c r="BU307" i="3"/>
  <c r="BU306" i="3"/>
  <c r="BU305" i="3"/>
  <c r="BU302" i="3"/>
  <c r="BU301" i="3"/>
  <c r="BU300" i="3"/>
  <c r="BU299" i="3"/>
  <c r="BU298" i="3"/>
  <c r="BU295" i="3"/>
  <c r="BU294" i="3"/>
  <c r="BU293" i="3"/>
  <c r="BU292" i="3"/>
  <c r="BU291" i="3"/>
  <c r="BU290" i="3"/>
  <c r="BU288" i="3"/>
  <c r="BU287" i="3"/>
  <c r="BU286" i="3"/>
  <c r="BU285" i="3"/>
  <c r="BU283" i="3"/>
  <c r="BU282" i="3"/>
  <c r="BU281" i="3"/>
  <c r="BU280" i="3"/>
  <c r="BU279" i="3"/>
  <c r="BU278" i="3"/>
  <c r="BU277" i="3"/>
  <c r="BU273" i="3"/>
  <c r="BU276" i="3"/>
  <c r="BU272" i="3"/>
  <c r="BU271" i="3"/>
  <c r="BU270" i="3"/>
  <c r="BU269" i="3"/>
  <c r="BU268" i="3"/>
  <c r="BU256" i="3"/>
  <c r="BU267" i="3"/>
  <c r="BU266" i="3"/>
  <c r="BU263" i="3"/>
  <c r="BU262" i="3"/>
  <c r="BU261" i="3"/>
  <c r="BU260" i="3"/>
  <c r="BU254" i="3"/>
  <c r="BU253" i="3"/>
  <c r="BU252" i="3"/>
  <c r="BU251" i="3"/>
  <c r="BU250" i="3"/>
  <c r="BU249" i="3"/>
  <c r="BU247" i="3"/>
  <c r="BU245" i="3"/>
  <c r="BU244" i="3"/>
  <c r="BU243" i="3"/>
  <c r="BU242" i="3"/>
  <c r="BU241" i="3"/>
  <c r="BU240" i="3"/>
  <c r="BU239" i="3"/>
  <c r="BU238" i="3"/>
  <c r="BU237" i="3"/>
  <c r="BU224" i="3"/>
  <c r="BU220" i="3"/>
  <c r="BU217" i="3"/>
  <c r="BU213" i="3"/>
  <c r="BU211" i="3"/>
  <c r="BU216" i="3"/>
  <c r="BU215" i="3"/>
  <c r="BU212" i="3"/>
  <c r="BU210" i="3"/>
  <c r="BU223" i="3"/>
  <c r="BU190" i="3"/>
  <c r="BU199" i="3"/>
  <c r="BU198" i="3"/>
  <c r="BU197" i="3"/>
  <c r="BU196" i="3"/>
  <c r="BU195" i="3"/>
  <c r="BU194" i="3"/>
  <c r="BU193" i="3"/>
  <c r="BU189" i="3"/>
  <c r="BU188" i="3"/>
  <c r="BU187" i="3"/>
  <c r="BU186" i="3"/>
  <c r="BU185" i="3"/>
  <c r="BU184" i="3"/>
  <c r="BU183" i="3"/>
  <c r="BU206" i="3"/>
  <c r="BU205" i="3"/>
  <c r="BU204" i="3"/>
  <c r="BU203" i="3"/>
  <c r="BU182" i="3"/>
  <c r="BU181" i="3"/>
  <c r="BU180" i="3"/>
  <c r="BU179" i="3"/>
  <c r="BU178" i="3"/>
  <c r="BU177" i="3"/>
  <c r="BU174" i="3"/>
  <c r="BU173" i="3"/>
  <c r="BU172" i="3"/>
  <c r="BU171" i="3"/>
  <c r="BU170" i="3"/>
  <c r="BU167" i="3"/>
  <c r="BU166" i="3"/>
  <c r="BU165" i="3"/>
  <c r="BU164" i="3"/>
  <c r="BU163" i="3"/>
  <c r="BU162" i="3"/>
  <c r="BU161" i="3"/>
  <c r="BU158" i="3"/>
  <c r="BU157" i="3"/>
  <c r="BU156" i="3"/>
  <c r="BU155" i="3"/>
  <c r="BU154" i="3"/>
  <c r="BU153" i="3"/>
  <c r="BU152" i="3"/>
  <c r="BU151" i="3"/>
  <c r="BU123" i="3"/>
  <c r="BU122" i="3"/>
  <c r="BU121" i="3"/>
  <c r="BU118" i="3"/>
  <c r="BU117" i="3"/>
  <c r="BU116" i="3"/>
  <c r="BU115" i="3"/>
  <c r="BU114" i="3"/>
  <c r="BU113" i="3"/>
  <c r="BU107" i="3"/>
  <c r="BU106" i="3"/>
  <c r="BU105" i="3"/>
  <c r="BU104" i="3"/>
  <c r="BU53" i="3"/>
  <c r="BU52" i="3"/>
  <c r="BU45" i="3"/>
  <c r="BU44" i="3"/>
  <c r="BU43" i="3"/>
  <c r="BU42" i="3"/>
  <c r="BU41" i="3"/>
  <c r="BU40" i="3"/>
  <c r="BU39" i="3"/>
  <c r="BU38" i="3"/>
  <c r="BU37" i="3"/>
  <c r="BU36" i="3"/>
  <c r="BU30" i="3"/>
  <c r="BU29" i="3"/>
  <c r="BU8" i="3"/>
  <c r="BU7" i="3"/>
  <c r="CB254" i="3" l="1"/>
  <c r="CC254" i="3" s="1"/>
  <c r="K11" i="14"/>
  <c r="G11" i="14"/>
  <c r="ED5" i="24" l="1"/>
  <c r="ED4" i="24"/>
  <c r="DY5" i="24"/>
  <c r="DY4" i="24"/>
  <c r="BN25" i="3" l="1"/>
  <c r="BU18" i="3"/>
  <c r="BU17" i="3"/>
  <c r="BU13" i="3"/>
  <c r="BU12" i="3"/>
  <c r="EF5" i="24"/>
  <c r="EE5" i="24"/>
  <c r="EF4" i="24"/>
  <c r="EE4" i="24"/>
  <c r="DR42" i="3"/>
  <c r="CH42" i="3" s="1"/>
  <c r="DQ42" i="3"/>
  <c r="CG42" i="3" s="1"/>
  <c r="DP42" i="3"/>
  <c r="CF42" i="3" s="1"/>
  <c r="DO42" i="3"/>
  <c r="CE42" i="3" s="1"/>
  <c r="DN42" i="3"/>
  <c r="CD42" i="3" s="1"/>
  <c r="DM42" i="3"/>
  <c r="DL42" i="3"/>
  <c r="DR40" i="3"/>
  <c r="CH40" i="3" s="1"/>
  <c r="DQ40" i="3"/>
  <c r="CG40" i="3" s="1"/>
  <c r="DP40" i="3"/>
  <c r="CF40" i="3" s="1"/>
  <c r="DO40" i="3"/>
  <c r="CE40" i="3" s="1"/>
  <c r="DN40" i="3"/>
  <c r="CD40" i="3" s="1"/>
  <c r="DM40" i="3"/>
  <c r="DL40" i="3"/>
  <c r="BU25" i="3" l="1"/>
  <c r="CB53" i="3"/>
  <c r="CC53" i="3"/>
  <c r="CD53" i="3"/>
  <c r="CE53" i="3"/>
  <c r="CF53" i="3"/>
  <c r="CG53" i="3"/>
  <c r="CH53" i="3"/>
  <c r="AB4" i="24"/>
  <c r="AC4" i="24"/>
  <c r="AB5" i="24"/>
  <c r="AC5" i="24"/>
  <c r="BN53" i="3" l="1"/>
  <c r="DZ5" i="24"/>
  <c r="DZ4" i="24"/>
  <c r="J115" i="3"/>
  <c r="K115" i="3"/>
  <c r="L115" i="3"/>
  <c r="M115" i="3"/>
  <c r="N115" i="3"/>
  <c r="O115" i="3"/>
  <c r="J117" i="3"/>
  <c r="K117" i="3"/>
  <c r="L117" i="3"/>
  <c r="M117" i="3"/>
  <c r="N117" i="3"/>
  <c r="O117" i="3"/>
  <c r="G84" i="13" l="1"/>
  <c r="G83" i="13"/>
  <c r="CH52" i="3"/>
  <c r="CG52" i="3"/>
  <c r="CF52" i="3"/>
  <c r="CE52" i="3"/>
  <c r="CD52" i="3"/>
  <c r="AP4" i="24"/>
  <c r="AP5" i="24"/>
  <c r="EQ5" i="24" l="1"/>
  <c r="EQ4" i="24"/>
  <c r="AA4" i="24"/>
  <c r="AA5" i="24"/>
  <c r="AR4" i="24" l="1"/>
  <c r="AS4" i="24"/>
  <c r="AT4" i="24"/>
  <c r="AV4" i="24"/>
  <c r="AR5" i="24"/>
  <c r="AS5" i="24"/>
  <c r="AT5" i="24"/>
  <c r="AV5" i="24"/>
  <c r="DL105" i="3"/>
  <c r="DM105" i="3"/>
  <c r="DN105" i="3"/>
  <c r="DO105" i="3"/>
  <c r="CE105" i="3" s="1"/>
  <c r="DP105" i="3"/>
  <c r="CF105" i="3" s="1"/>
  <c r="DQ105" i="3"/>
  <c r="CG105" i="3" s="1"/>
  <c r="DR105" i="3"/>
  <c r="CH105" i="3" s="1"/>
  <c r="DL104" i="3"/>
  <c r="DM104" i="3"/>
  <c r="DN104" i="3"/>
  <c r="DO104" i="3"/>
  <c r="CE104" i="3" s="1"/>
  <c r="DP104" i="3"/>
  <c r="CF104" i="3" s="1"/>
  <c r="DQ104" i="3"/>
  <c r="CG104" i="3" s="1"/>
  <c r="DR104" i="3"/>
  <c r="CH104" i="3" s="1"/>
  <c r="DL106" i="3"/>
  <c r="DM106" i="3"/>
  <c r="CC106" i="3" s="1"/>
  <c r="DN106" i="3"/>
  <c r="CD106" i="3" s="1"/>
  <c r="DO106" i="3"/>
  <c r="CE106" i="3" s="1"/>
  <c r="DP106" i="3"/>
  <c r="CF106" i="3" s="1"/>
  <c r="DQ106" i="3"/>
  <c r="CG106" i="3" s="1"/>
  <c r="DR106" i="3"/>
  <c r="CH106" i="3" s="1"/>
  <c r="DL107" i="3"/>
  <c r="DM107" i="3"/>
  <c r="DN107" i="3"/>
  <c r="DO107" i="3"/>
  <c r="CE107" i="3" s="1"/>
  <c r="DP107" i="3"/>
  <c r="CF107" i="3" s="1"/>
  <c r="DQ107" i="3"/>
  <c r="CG107" i="3" s="1"/>
  <c r="DR107" i="3"/>
  <c r="CH107" i="3" s="1"/>
  <c r="DL113" i="3"/>
  <c r="DM113" i="3"/>
  <c r="CC113" i="3" s="1"/>
  <c r="DN113" i="3"/>
  <c r="CD113" i="3" s="1"/>
  <c r="DO113" i="3"/>
  <c r="CE113" i="3" s="1"/>
  <c r="DP113" i="3"/>
  <c r="CF113" i="3" s="1"/>
  <c r="DQ113" i="3"/>
  <c r="CG113" i="3" s="1"/>
  <c r="DR113" i="3"/>
  <c r="CH113" i="3" s="1"/>
  <c r="DL114" i="3"/>
  <c r="DM114" i="3"/>
  <c r="DN114" i="3"/>
  <c r="DO114" i="3"/>
  <c r="CE114" i="3" s="1"/>
  <c r="DP114" i="3"/>
  <c r="CF114" i="3" s="1"/>
  <c r="DQ114" i="3"/>
  <c r="CG114" i="3" s="1"/>
  <c r="DR114" i="3"/>
  <c r="CH114" i="3" s="1"/>
  <c r="CB113" i="3" l="1"/>
  <c r="BN113" i="3"/>
  <c r="CB106" i="3"/>
  <c r="BN106" i="3"/>
  <c r="DQ4" i="24"/>
  <c r="DQ5" i="24"/>
  <c r="DL41" i="3" l="1"/>
  <c r="DM41" i="3"/>
  <c r="DN41" i="3"/>
  <c r="CD41" i="3" s="1"/>
  <c r="DO41" i="3"/>
  <c r="CE41" i="3" s="1"/>
  <c r="DP41" i="3"/>
  <c r="CF41" i="3" s="1"/>
  <c r="DQ41" i="3"/>
  <c r="CG41" i="3" s="1"/>
  <c r="DR41" i="3"/>
  <c r="CH41" i="3" s="1"/>
  <c r="DL43" i="3"/>
  <c r="DM43" i="3"/>
  <c r="DN43" i="3"/>
  <c r="CD43" i="3" s="1"/>
  <c r="DO43" i="3"/>
  <c r="CE43" i="3" s="1"/>
  <c r="DP43" i="3"/>
  <c r="CF43" i="3" s="1"/>
  <c r="DQ43" i="3"/>
  <c r="CG43" i="3" s="1"/>
  <c r="DR43" i="3"/>
  <c r="CH43" i="3" s="1"/>
  <c r="DL44" i="3"/>
  <c r="DM44" i="3"/>
  <c r="DN44" i="3"/>
  <c r="DO44" i="3"/>
  <c r="DP44" i="3"/>
  <c r="CF44" i="3" s="1"/>
  <c r="DQ44" i="3"/>
  <c r="CG44" i="3" s="1"/>
  <c r="DR44" i="3"/>
  <c r="CH44" i="3" s="1"/>
  <c r="DL45" i="3"/>
  <c r="DM45" i="3"/>
  <c r="DN45" i="3"/>
  <c r="DO45" i="3"/>
  <c r="DP45" i="3"/>
  <c r="CF45" i="3" s="1"/>
  <c r="DQ45" i="3"/>
  <c r="CG45" i="3" s="1"/>
  <c r="DR45" i="3"/>
  <c r="CH45" i="3" s="1"/>
  <c r="EI5" i="24" l="1"/>
  <c r="EI4" i="24"/>
  <c r="DR25" i="3" l="1"/>
  <c r="DQ25" i="3"/>
  <c r="DP25" i="3"/>
  <c r="DO25" i="3"/>
  <c r="DL25" i="3"/>
  <c r="DR234" i="3" l="1"/>
  <c r="CH234" i="3" s="1"/>
  <c r="DQ234" i="3"/>
  <c r="CG234" i="3" s="1"/>
  <c r="DP234" i="3"/>
  <c r="CF234" i="3" s="1"/>
  <c r="DO234" i="3"/>
  <c r="CE234" i="3" s="1"/>
  <c r="DN234" i="3"/>
  <c r="CD234" i="3" s="1"/>
  <c r="DM234" i="3"/>
  <c r="CC234" i="3" s="1"/>
  <c r="DL234" i="3"/>
  <c r="CB234" i="3" l="1"/>
  <c r="BN234" i="3"/>
  <c r="BX234" i="3"/>
  <c r="BW234" i="3"/>
  <c r="BZ234" i="3"/>
  <c r="CA234" i="3"/>
  <c r="BY234" i="3"/>
  <c r="BN235" i="3"/>
  <c r="BV234" i="3" l="1"/>
  <c r="BU234" i="3"/>
  <c r="Z6" i="20" l="1"/>
  <c r="GA5" i="24" l="1"/>
  <c r="FZ5" i="24"/>
  <c r="FY5" i="24"/>
  <c r="FX5" i="24"/>
  <c r="FN5" i="24"/>
  <c r="FM5" i="24"/>
  <c r="FL5" i="24"/>
  <c r="FK5" i="24"/>
  <c r="FJ5" i="24"/>
  <c r="FH5" i="24"/>
  <c r="FG5" i="24"/>
  <c r="FF5" i="24"/>
  <c r="FE5" i="24"/>
  <c r="FD5" i="24"/>
  <c r="FC5" i="24"/>
  <c r="FB5" i="24"/>
  <c r="FA5" i="24"/>
  <c r="EW5" i="24"/>
  <c r="EV5" i="24"/>
  <c r="EU5" i="24"/>
  <c r="DS5" i="24"/>
  <c r="ET5" i="24"/>
  <c r="ES5" i="24"/>
  <c r="ER5" i="24"/>
  <c r="EN5" i="24"/>
  <c r="EM5" i="24"/>
  <c r="EL5" i="24"/>
  <c r="EK5" i="24"/>
  <c r="EJ5" i="24"/>
  <c r="DT5" i="24"/>
  <c r="DX5" i="24"/>
  <c r="DW5" i="24"/>
  <c r="EB5" i="24"/>
  <c r="DV5" i="24"/>
  <c r="EA5" i="24"/>
  <c r="DU5" i="24"/>
  <c r="DR5" i="24"/>
  <c r="DP5" i="24"/>
  <c r="DO5" i="24"/>
  <c r="DN5" i="24"/>
  <c r="DM5" i="24"/>
  <c r="DL5" i="24"/>
  <c r="DK5" i="24"/>
  <c r="DJ5" i="24"/>
  <c r="DI5" i="24"/>
  <c r="DH5" i="24"/>
  <c r="DG5" i="24"/>
  <c r="DF5" i="24"/>
  <c r="CC5" i="24"/>
  <c r="BY5" i="24"/>
  <c r="BU5" i="24"/>
  <c r="BR5" i="24"/>
  <c r="BN5" i="24"/>
  <c r="BL5" i="24"/>
  <c r="BQ5" i="24"/>
  <c r="BP5" i="24"/>
  <c r="BM5" i="24"/>
  <c r="BK5" i="24"/>
  <c r="BX5" i="24"/>
  <c r="BH5" i="24"/>
  <c r="BI5" i="24"/>
  <c r="BG5" i="24"/>
  <c r="BJ5" i="24"/>
  <c r="BF5" i="24"/>
  <c r="BE5" i="24"/>
  <c r="BD5" i="24"/>
  <c r="BC5" i="24"/>
  <c r="BB5" i="24"/>
  <c r="BA5" i="24"/>
  <c r="AZ5" i="24"/>
  <c r="AY5" i="24"/>
  <c r="AX5" i="24"/>
  <c r="AW5" i="24"/>
  <c r="AQ5" i="24"/>
  <c r="AD5" i="24"/>
  <c r="Z5" i="24"/>
  <c r="Y5" i="24"/>
  <c r="X5" i="24"/>
  <c r="W5" i="24"/>
  <c r="V5" i="24"/>
  <c r="U5" i="24"/>
  <c r="T5" i="24"/>
  <c r="S5" i="24"/>
  <c r="R5" i="24"/>
  <c r="GA4" i="24"/>
  <c r="FZ4" i="24"/>
  <c r="FY4" i="24"/>
  <c r="FX4" i="24"/>
  <c r="FN4" i="24"/>
  <c r="FM4" i="24"/>
  <c r="FL4" i="24"/>
  <c r="FK4" i="24"/>
  <c r="FJ4" i="24"/>
  <c r="FH4" i="24"/>
  <c r="FG4" i="24"/>
  <c r="FF4" i="24"/>
  <c r="FE4" i="24"/>
  <c r="FD4" i="24"/>
  <c r="FC4" i="24"/>
  <c r="FB4" i="24"/>
  <c r="FA4" i="24"/>
  <c r="EW4" i="24"/>
  <c r="EV4" i="24"/>
  <c r="EU4" i="24"/>
  <c r="DS4" i="24"/>
  <c r="ET4" i="24"/>
  <c r="ES4" i="24"/>
  <c r="ER4" i="24"/>
  <c r="EN4" i="24"/>
  <c r="EM4" i="24"/>
  <c r="EL4" i="24"/>
  <c r="EK4" i="24"/>
  <c r="EJ4" i="24"/>
  <c r="DT4" i="24"/>
  <c r="DX4" i="24"/>
  <c r="DW4" i="24"/>
  <c r="EB4" i="24"/>
  <c r="DV4" i="24"/>
  <c r="EA4" i="24"/>
  <c r="DU4" i="24"/>
  <c r="DR4" i="24"/>
  <c r="DP4" i="24"/>
  <c r="DO4" i="24"/>
  <c r="DN4" i="24"/>
  <c r="DM4" i="24"/>
  <c r="DL4" i="24"/>
  <c r="DK4" i="24"/>
  <c r="DJ4" i="24"/>
  <c r="DI4" i="24"/>
  <c r="DH4" i="24"/>
  <c r="DG4" i="24"/>
  <c r="DF4" i="24"/>
  <c r="CC4" i="24"/>
  <c r="BY4" i="24"/>
  <c r="BU4" i="24"/>
  <c r="BR4" i="24"/>
  <c r="BN4" i="24"/>
  <c r="BL4" i="24"/>
  <c r="BQ4" i="24"/>
  <c r="BP4" i="24"/>
  <c r="BM4" i="24"/>
  <c r="BK4" i="24"/>
  <c r="BX4" i="24"/>
  <c r="BH4" i="24"/>
  <c r="BI4" i="24"/>
  <c r="BG4" i="24"/>
  <c r="BJ4" i="24"/>
  <c r="BF4" i="24"/>
  <c r="BE4" i="24"/>
  <c r="BD4" i="24"/>
  <c r="BC4" i="24"/>
  <c r="BB4" i="24"/>
  <c r="BA4" i="24"/>
  <c r="AZ4" i="24"/>
  <c r="AY4" i="24"/>
  <c r="AX4" i="24"/>
  <c r="AW4" i="24"/>
  <c r="AQ4" i="24"/>
  <c r="AD4" i="24"/>
  <c r="Z4" i="24"/>
  <c r="Y4" i="24"/>
  <c r="X4" i="24"/>
  <c r="W4" i="24"/>
  <c r="V4" i="24"/>
  <c r="U4" i="24"/>
  <c r="T4" i="24"/>
  <c r="S4" i="24"/>
  <c r="R4" i="24"/>
  <c r="Q5" i="24"/>
  <c r="Q4" i="24"/>
  <c r="GG323" i="24" l="1"/>
  <c r="GG322" i="24"/>
  <c r="GG200" i="24"/>
  <c r="GG397" i="24"/>
  <c r="GG185" i="24"/>
  <c r="GG184" i="24"/>
  <c r="GG183" i="24"/>
  <c r="GG186" i="24"/>
  <c r="GG181" i="24"/>
  <c r="GG182" i="24"/>
  <c r="GG195" i="24"/>
  <c r="GG178" i="24"/>
  <c r="GG179" i="24"/>
  <c r="GG205" i="24"/>
  <c r="GG193" i="24"/>
  <c r="GG199" i="24"/>
  <c r="GG188" i="24"/>
  <c r="GG196" i="24"/>
  <c r="GG204" i="24"/>
  <c r="GG180" i="24"/>
  <c r="GG190" i="24"/>
  <c r="GG187" i="24"/>
  <c r="GG197" i="24"/>
  <c r="GG206" i="24"/>
  <c r="GG203" i="24"/>
  <c r="GG194" i="24"/>
  <c r="GG189" i="24"/>
  <c r="GG198" i="24"/>
  <c r="AK13" i="20"/>
  <c r="AJ13" i="20"/>
  <c r="AI13" i="20"/>
  <c r="AH13" i="20"/>
  <c r="AG13" i="20"/>
  <c r="AF13" i="20"/>
  <c r="AK12" i="20"/>
  <c r="AJ12" i="20"/>
  <c r="AI12" i="20"/>
  <c r="AH12" i="20"/>
  <c r="AG12" i="20"/>
  <c r="AF12" i="20"/>
  <c r="AK11" i="20"/>
  <c r="AJ11" i="20"/>
  <c r="AI11" i="20"/>
  <c r="AH11" i="20"/>
  <c r="AG11" i="20"/>
  <c r="AF11" i="20"/>
  <c r="AK10" i="20"/>
  <c r="AJ10" i="20"/>
  <c r="AI10" i="20"/>
  <c r="AH10" i="20"/>
  <c r="AG10" i="20"/>
  <c r="AF10" i="20"/>
  <c r="AK9" i="20"/>
  <c r="AJ9" i="20"/>
  <c r="AI9" i="20"/>
  <c r="AH9" i="20"/>
  <c r="AG9" i="20"/>
  <c r="AF9" i="20"/>
  <c r="AK8" i="20"/>
  <c r="AJ8" i="20"/>
  <c r="AI8" i="20"/>
  <c r="AH8" i="20"/>
  <c r="AG8" i="20"/>
  <c r="AF8" i="20"/>
  <c r="AK7" i="20"/>
  <c r="AJ7" i="20"/>
  <c r="AI7" i="20"/>
  <c r="AH7" i="20"/>
  <c r="AG7" i="20"/>
  <c r="AF7" i="20"/>
  <c r="AK6" i="20"/>
  <c r="AJ6" i="20"/>
  <c r="AI6" i="20"/>
  <c r="AH6" i="20"/>
  <c r="AG6" i="20"/>
  <c r="AF6" i="20"/>
  <c r="GG332" i="24" l="1"/>
  <c r="GG163" i="24"/>
  <c r="GG65" i="24"/>
  <c r="GG330" i="24"/>
  <c r="GG156" i="24"/>
  <c r="GG293" i="24"/>
  <c r="GG405" i="24"/>
  <c r="GG255" i="24"/>
  <c r="GG106" i="24"/>
  <c r="GG13" i="24"/>
  <c r="GG23" i="24"/>
  <c r="GG33" i="24"/>
  <c r="GG377" i="24"/>
  <c r="GG350" i="24"/>
  <c r="GG309" i="24"/>
  <c r="GG325" i="24"/>
  <c r="GG300" i="24"/>
  <c r="GG262" i="24"/>
  <c r="GG390" i="24"/>
  <c r="GG388" i="24"/>
  <c r="GG282" i="24"/>
  <c r="GG173" i="24"/>
  <c r="GG261" i="24"/>
  <c r="GG155" i="24"/>
  <c r="GG422" i="24"/>
  <c r="GG413" i="24"/>
  <c r="GG283" i="24"/>
  <c r="GG360" i="24"/>
  <c r="GG34" i="24"/>
  <c r="GG54" i="24"/>
  <c r="GG375" i="24"/>
  <c r="GG354" i="24"/>
  <c r="GG302" i="24"/>
  <c r="GG318" i="24"/>
  <c r="GG223" i="24"/>
  <c r="GG51" i="24"/>
  <c r="GG294" i="24"/>
  <c r="GG245" i="24"/>
  <c r="GG299" i="24"/>
  <c r="GG122" i="24"/>
  <c r="GG272" i="24"/>
  <c r="GG284" i="24"/>
  <c r="GG58" i="24"/>
  <c r="GG219" i="24"/>
  <c r="GG249" i="24"/>
  <c r="GG32" i="24"/>
  <c r="GG278" i="24"/>
  <c r="GG427" i="24"/>
  <c r="GG421" i="24"/>
  <c r="GG434" i="24"/>
  <c r="GG45" i="24"/>
  <c r="GG19" i="24"/>
  <c r="GG431" i="24"/>
  <c r="GG166" i="24"/>
  <c r="GG116" i="24"/>
  <c r="GG151" i="24"/>
  <c r="GG428" i="24"/>
  <c r="GG306" i="24"/>
  <c r="GG346" i="24"/>
  <c r="GG368" i="24"/>
  <c r="GG342" i="24"/>
  <c r="GG331" i="24"/>
  <c r="GG211" i="24"/>
  <c r="GG158" i="24"/>
  <c r="GG329" i="24"/>
  <c r="GG25" i="24"/>
  <c r="GG18" i="24"/>
  <c r="GG290" i="24"/>
  <c r="GG41" i="24"/>
  <c r="GG177" i="24"/>
  <c r="GG337" i="24"/>
  <c r="GG269" i="24"/>
  <c r="GG210" i="24"/>
  <c r="GG313" i="24"/>
  <c r="GG426" i="24"/>
  <c r="GG11" i="24"/>
  <c r="GG239" i="24"/>
  <c r="GG235" i="24"/>
  <c r="GG351" i="24"/>
  <c r="GG280" i="24"/>
  <c r="GG267" i="24"/>
  <c r="GG276" i="24"/>
  <c r="GG109" i="24"/>
  <c r="GG48" i="24"/>
  <c r="GG7" i="24"/>
  <c r="GG214" i="24"/>
  <c r="GG260" i="24"/>
  <c r="GG362" i="24"/>
  <c r="GG254" i="24"/>
  <c r="GG367" i="24"/>
  <c r="GG401" i="24"/>
  <c r="GG396" i="24"/>
  <c r="GG275" i="24"/>
  <c r="GG258" i="24"/>
  <c r="GG63" i="24"/>
  <c r="GG394" i="24"/>
  <c r="GG213" i="24"/>
  <c r="GG174" i="24"/>
  <c r="GG67" i="24"/>
  <c r="GG399" i="24"/>
  <c r="GG389" i="24"/>
  <c r="GG415" i="24"/>
  <c r="GG244" i="24"/>
  <c r="GG379" i="24"/>
  <c r="GG36" i="24"/>
  <c r="GG212" i="24"/>
  <c r="GG38" i="24"/>
  <c r="GG334" i="24"/>
  <c r="GG148" i="24"/>
  <c r="GG62" i="24"/>
  <c r="GG374" i="24"/>
  <c r="GG247" i="24"/>
  <c r="GG115" i="24"/>
  <c r="GG12" i="24"/>
  <c r="GG242" i="24"/>
  <c r="GG311" i="24"/>
  <c r="GG161" i="24"/>
  <c r="GG391" i="24"/>
  <c r="GG298" i="24"/>
  <c r="GG392" i="24"/>
  <c r="GG251" i="24"/>
  <c r="GG386" i="24"/>
  <c r="GG42" i="24"/>
  <c r="GG170" i="24"/>
  <c r="GG301" i="24"/>
  <c r="GG324" i="24"/>
  <c r="GG110" i="24"/>
  <c r="GG46" i="24"/>
  <c r="GG257" i="24"/>
  <c r="GG361" i="24"/>
  <c r="GG266" i="24"/>
  <c r="GG263" i="24"/>
  <c r="GG250" i="24"/>
  <c r="GG215" i="24"/>
  <c r="GG59" i="24"/>
  <c r="GG153" i="24"/>
  <c r="GG28" i="24"/>
  <c r="GG21" i="24"/>
  <c r="GG327" i="24"/>
  <c r="GG256" i="24"/>
  <c r="GG26" i="24"/>
  <c r="GG338" i="24"/>
  <c r="GG432" i="24"/>
  <c r="GG118" i="24"/>
  <c r="GG31" i="24"/>
  <c r="GG373" i="24"/>
  <c r="GG382" i="24"/>
  <c r="GG341" i="24"/>
  <c r="GG152" i="24"/>
  <c r="GG378" i="24"/>
  <c r="GG154" i="24"/>
  <c r="GG403" i="24"/>
  <c r="GG279" i="24"/>
  <c r="GG15" i="24"/>
  <c r="GG44" i="24"/>
  <c r="GG314" i="24"/>
  <c r="GG253" i="24"/>
  <c r="GG24" i="24"/>
  <c r="GG17" i="24"/>
  <c r="GG308" i="24"/>
  <c r="GG381" i="24"/>
  <c r="GG16" i="24"/>
  <c r="GG344" i="24"/>
  <c r="GG43" i="24"/>
  <c r="GG225" i="24"/>
  <c r="GG108" i="24"/>
  <c r="GG47" i="24"/>
  <c r="GG435" i="24"/>
  <c r="GG218" i="24"/>
  <c r="GG339" i="24"/>
  <c r="GG220" i="24"/>
  <c r="GG8" i="24"/>
  <c r="GG162" i="24"/>
  <c r="GG387" i="24"/>
  <c r="GG271" i="24"/>
  <c r="GG371" i="24"/>
  <c r="GG335" i="24"/>
  <c r="GG307" i="24"/>
  <c r="GG380" i="24"/>
  <c r="GG123" i="24"/>
  <c r="GG53" i="24"/>
  <c r="GG105" i="24"/>
  <c r="GG425" i="24"/>
  <c r="GG288" i="24"/>
  <c r="GG64" i="24"/>
  <c r="GG430" i="24"/>
  <c r="GG113" i="24"/>
  <c r="GG172" i="24"/>
  <c r="GG326" i="24"/>
  <c r="GG316" i="24"/>
  <c r="GG30" i="24"/>
  <c r="GG343" i="24"/>
  <c r="GG352" i="24"/>
  <c r="GG287" i="24"/>
  <c r="GG365" i="24"/>
  <c r="GG321" i="24"/>
  <c r="GG39" i="24"/>
  <c r="GG433" i="24"/>
  <c r="GG150" i="24"/>
  <c r="GG400" i="24"/>
  <c r="GG40" i="24"/>
  <c r="GG315" i="24"/>
  <c r="GG117" i="24"/>
  <c r="GG296" i="24"/>
  <c r="GG57" i="24"/>
  <c r="GG49" i="24"/>
  <c r="GG248" i="24"/>
  <c r="GG348" i="24"/>
  <c r="GG237" i="24"/>
  <c r="GG291" i="24"/>
  <c r="GG149" i="24"/>
  <c r="GG402" i="24"/>
  <c r="GG285" i="24"/>
  <c r="GG37" i="24"/>
  <c r="GG356" i="24"/>
  <c r="GG252" i="24"/>
  <c r="GG424" i="24"/>
  <c r="GG383" i="24"/>
  <c r="GG216" i="24"/>
  <c r="GG171" i="24"/>
  <c r="GG265" i="24"/>
  <c r="GG29" i="24"/>
  <c r="GG165" i="24"/>
  <c r="GG147" i="24"/>
  <c r="GG107" i="24"/>
  <c r="GG328" i="24"/>
  <c r="GG238" i="24"/>
  <c r="GG27" i="24"/>
  <c r="GG240" i="24"/>
  <c r="GG236" i="24"/>
  <c r="GG370" i="24"/>
  <c r="GG104" i="24"/>
  <c r="GG395" i="24"/>
  <c r="GG410" i="24"/>
  <c r="GG333" i="24"/>
  <c r="GG281" i="24"/>
  <c r="GG340" i="24"/>
  <c r="GG14" i="24"/>
  <c r="GG52" i="24"/>
  <c r="GG102" i="24"/>
  <c r="GG353" i="24"/>
  <c r="GG347" i="24"/>
  <c r="GG289" i="24"/>
  <c r="GG61" i="24"/>
  <c r="GG50" i="24"/>
  <c r="GG69" i="24"/>
  <c r="GG221" i="24"/>
  <c r="GG222" i="24"/>
  <c r="GG259" i="24"/>
  <c r="GG336" i="24"/>
  <c r="GG312" i="24"/>
  <c r="GG243" i="24"/>
  <c r="GG355" i="24"/>
  <c r="GG320" i="24"/>
  <c r="GG385" i="24"/>
  <c r="GG303" i="24"/>
  <c r="GG217" i="24"/>
  <c r="GG292" i="24"/>
  <c r="GG10" i="24"/>
  <c r="GG114" i="24"/>
  <c r="GG414" i="24"/>
  <c r="GG286" i="24"/>
  <c r="GG310" i="24"/>
  <c r="GG9" i="24"/>
  <c r="GG270" i="24"/>
  <c r="GG22" i="24"/>
  <c r="GG241" i="24"/>
  <c r="GG55" i="24"/>
  <c r="GG103" i="24"/>
  <c r="GG295" i="24"/>
  <c r="GG224" i="24"/>
  <c r="GG119" i="24"/>
  <c r="GG167" i="24"/>
  <c r="GG376" i="24"/>
  <c r="GG406" i="24"/>
  <c r="GG157" i="24"/>
  <c r="GG277" i="24"/>
  <c r="GG317" i="24"/>
  <c r="GG423" i="24"/>
  <c r="GG164" i="24"/>
  <c r="GG345" i="24"/>
  <c r="GG20" i="24"/>
  <c r="GG146" i="24"/>
  <c r="GG268" i="24"/>
  <c r="GG349" i="24"/>
  <c r="GG66" i="24"/>
  <c r="GG56" i="24"/>
  <c r="GG305" i="24"/>
  <c r="GG412" i="24"/>
  <c r="GG319" i="24"/>
  <c r="GG411" i="24"/>
  <c r="GG359" i="24"/>
  <c r="GG273" i="24"/>
  <c r="GG274" i="24"/>
  <c r="GG60" i="24"/>
  <c r="GG68" i="24"/>
  <c r="GG234" i="24"/>
  <c r="GG35" i="24"/>
  <c r="DG266" i="24"/>
  <c r="DF265" i="24"/>
  <c r="K32" i="14"/>
  <c r="J32" i="14"/>
  <c r="I32" i="14"/>
  <c r="H32" i="14"/>
  <c r="G32" i="14"/>
  <c r="F32" i="14"/>
  <c r="E32" i="14"/>
  <c r="K31" i="14"/>
  <c r="J31" i="14"/>
  <c r="I31" i="14"/>
  <c r="H31" i="14"/>
  <c r="G31" i="14"/>
  <c r="F31" i="14"/>
  <c r="E31" i="14"/>
  <c r="K30" i="14"/>
  <c r="J30" i="14"/>
  <c r="I30" i="14"/>
  <c r="H30" i="14"/>
  <c r="G30" i="14"/>
  <c r="F30" i="14"/>
  <c r="E30" i="14"/>
  <c r="K29" i="14"/>
  <c r="J29" i="14"/>
  <c r="I29" i="14"/>
  <c r="H29" i="14"/>
  <c r="G29" i="14"/>
  <c r="F29" i="14"/>
  <c r="E29" i="14"/>
  <c r="K28" i="14"/>
  <c r="J28" i="14"/>
  <c r="I28" i="14"/>
  <c r="H28" i="14"/>
  <c r="G28" i="14"/>
  <c r="F28" i="14"/>
  <c r="E28" i="14"/>
  <c r="F13" i="14"/>
  <c r="G13" i="14"/>
  <c r="H13" i="14"/>
  <c r="I13" i="14"/>
  <c r="J13" i="14"/>
  <c r="K13" i="14"/>
  <c r="F14" i="14"/>
  <c r="G14" i="14"/>
  <c r="H14" i="14"/>
  <c r="I14" i="14"/>
  <c r="J14" i="14"/>
  <c r="K14" i="14"/>
  <c r="F15" i="14"/>
  <c r="G15" i="14"/>
  <c r="H15" i="14"/>
  <c r="I15" i="14"/>
  <c r="J15" i="14"/>
  <c r="K15" i="14"/>
  <c r="F16" i="14"/>
  <c r="G16" i="14"/>
  <c r="H16" i="14"/>
  <c r="I16" i="14"/>
  <c r="J16" i="14"/>
  <c r="K16" i="14"/>
  <c r="F17" i="14"/>
  <c r="G17" i="14"/>
  <c r="H17" i="14"/>
  <c r="I17" i="14"/>
  <c r="J17" i="14"/>
  <c r="K17" i="14"/>
  <c r="F18" i="14"/>
  <c r="G18" i="14"/>
  <c r="H18" i="14"/>
  <c r="I18" i="14"/>
  <c r="J18" i="14"/>
  <c r="K18" i="14"/>
  <c r="F19" i="14"/>
  <c r="G19" i="14"/>
  <c r="H19" i="14"/>
  <c r="I19" i="14"/>
  <c r="J19" i="14"/>
  <c r="K19" i="14"/>
  <c r="F20" i="14"/>
  <c r="G20" i="14"/>
  <c r="H20" i="14"/>
  <c r="I20" i="14"/>
  <c r="J20" i="14"/>
  <c r="K20" i="14"/>
  <c r="F21" i="14"/>
  <c r="G21" i="14"/>
  <c r="H21" i="14"/>
  <c r="I21" i="14"/>
  <c r="J21" i="14"/>
  <c r="K21" i="14"/>
  <c r="F22" i="14"/>
  <c r="G22" i="14"/>
  <c r="H22" i="14"/>
  <c r="I22" i="14"/>
  <c r="J22" i="14"/>
  <c r="K22" i="14"/>
  <c r="F23" i="14"/>
  <c r="G23" i="14"/>
  <c r="H23" i="14"/>
  <c r="I23" i="14"/>
  <c r="J23" i="14"/>
  <c r="K23" i="14"/>
  <c r="F24" i="14"/>
  <c r="G24" i="14"/>
  <c r="H24" i="14"/>
  <c r="I24" i="14"/>
  <c r="J24" i="14"/>
  <c r="K24" i="14"/>
  <c r="F25" i="14"/>
  <c r="G25" i="14"/>
  <c r="H25" i="14"/>
  <c r="I25" i="14"/>
  <c r="J25" i="14"/>
  <c r="K25" i="14"/>
  <c r="F26" i="14"/>
  <c r="G26" i="14"/>
  <c r="H26" i="14"/>
  <c r="I26" i="14"/>
  <c r="J26" i="14"/>
  <c r="K26" i="14"/>
  <c r="F27" i="14"/>
  <c r="G27" i="14"/>
  <c r="H27" i="14"/>
  <c r="I27" i="14"/>
  <c r="J27" i="14"/>
  <c r="K27" i="14"/>
  <c r="E27" i="14"/>
  <c r="E26" i="14"/>
  <c r="E25" i="14"/>
  <c r="E24" i="14"/>
  <c r="E23" i="14"/>
  <c r="E22" i="14"/>
  <c r="E21" i="14"/>
  <c r="E20" i="14"/>
  <c r="E19" i="14"/>
  <c r="E18" i="14"/>
  <c r="E17" i="14"/>
  <c r="E16" i="14"/>
  <c r="E15" i="14"/>
  <c r="E14" i="14"/>
  <c r="E13" i="14"/>
  <c r="Z13" i="20" l="1"/>
  <c r="Z12" i="20"/>
  <c r="Z11" i="20"/>
  <c r="Z10" i="20"/>
  <c r="Z9" i="20"/>
  <c r="Z8" i="20"/>
  <c r="Z7" i="20"/>
  <c r="K5" i="14"/>
  <c r="G5" i="14"/>
  <c r="DL9" i="3"/>
  <c r="BN9" i="3" s="1"/>
  <c r="DM9" i="3"/>
  <c r="CC9" i="3" s="1"/>
  <c r="DN9" i="3"/>
  <c r="CD9" i="3" s="1"/>
  <c r="DO9" i="3"/>
  <c r="CE9" i="3" s="1"/>
  <c r="DP9" i="3"/>
  <c r="CF9" i="3" s="1"/>
  <c r="DQ9" i="3"/>
  <c r="CG9" i="3" s="1"/>
  <c r="DR9" i="3"/>
  <c r="CH9" i="3" s="1"/>
  <c r="DL10" i="3"/>
  <c r="BN10" i="3" s="1"/>
  <c r="DM10" i="3"/>
  <c r="CC10" i="3" s="1"/>
  <c r="DN10" i="3"/>
  <c r="CD10" i="3" s="1"/>
  <c r="DO10" i="3"/>
  <c r="CE10" i="3" s="1"/>
  <c r="DP10" i="3"/>
  <c r="CF10" i="3" s="1"/>
  <c r="DQ10" i="3"/>
  <c r="CG10" i="3" s="1"/>
  <c r="DR10" i="3"/>
  <c r="CH10" i="3" s="1"/>
  <c r="DL11" i="3"/>
  <c r="BN11" i="3" s="1"/>
  <c r="DM11" i="3"/>
  <c r="CC11" i="3" s="1"/>
  <c r="DN11" i="3"/>
  <c r="CD11" i="3" s="1"/>
  <c r="DO11" i="3"/>
  <c r="CE11" i="3" s="1"/>
  <c r="DP11" i="3"/>
  <c r="CF11" i="3" s="1"/>
  <c r="DQ11" i="3"/>
  <c r="CG11" i="3" s="1"/>
  <c r="DR11" i="3"/>
  <c r="CH11" i="3" s="1"/>
  <c r="DL12" i="3"/>
  <c r="BN12" i="3" s="1"/>
  <c r="DM12" i="3"/>
  <c r="CC12" i="3" s="1"/>
  <c r="DN12" i="3"/>
  <c r="CD12" i="3" s="1"/>
  <c r="DO12" i="3"/>
  <c r="CE12" i="3" s="1"/>
  <c r="DP12" i="3"/>
  <c r="CF12" i="3" s="1"/>
  <c r="DQ12" i="3"/>
  <c r="CG12" i="3" s="1"/>
  <c r="DR12" i="3"/>
  <c r="CH12" i="3" s="1"/>
  <c r="DL13" i="3"/>
  <c r="BN13" i="3" s="1"/>
  <c r="DM13" i="3"/>
  <c r="CC13" i="3" s="1"/>
  <c r="DN13" i="3"/>
  <c r="CD13" i="3" s="1"/>
  <c r="DO13" i="3"/>
  <c r="CE13" i="3" s="1"/>
  <c r="DP13" i="3"/>
  <c r="CF13" i="3" s="1"/>
  <c r="DQ13" i="3"/>
  <c r="CG13" i="3" s="1"/>
  <c r="DR13" i="3"/>
  <c r="CH13" i="3" s="1"/>
  <c r="DL14" i="3"/>
  <c r="BN14" i="3" s="1"/>
  <c r="DM14" i="3"/>
  <c r="CC14" i="3" s="1"/>
  <c r="DN14" i="3"/>
  <c r="CD14" i="3" s="1"/>
  <c r="DO14" i="3"/>
  <c r="CE14" i="3" s="1"/>
  <c r="DP14" i="3"/>
  <c r="CF14" i="3" s="1"/>
  <c r="DQ14" i="3"/>
  <c r="CG14" i="3" s="1"/>
  <c r="DR14" i="3"/>
  <c r="CH14" i="3" s="1"/>
  <c r="DL15" i="3"/>
  <c r="BN15" i="3" s="1"/>
  <c r="DM15" i="3"/>
  <c r="CC15" i="3" s="1"/>
  <c r="DN15" i="3"/>
  <c r="CD15" i="3" s="1"/>
  <c r="DO15" i="3"/>
  <c r="CE15" i="3" s="1"/>
  <c r="DP15" i="3"/>
  <c r="CF15" i="3" s="1"/>
  <c r="DQ15" i="3"/>
  <c r="CG15" i="3" s="1"/>
  <c r="DR15" i="3"/>
  <c r="CH15" i="3" s="1"/>
  <c r="DL16" i="3"/>
  <c r="BN16" i="3" s="1"/>
  <c r="DM16" i="3"/>
  <c r="CC16" i="3" s="1"/>
  <c r="DN16" i="3"/>
  <c r="CD16" i="3" s="1"/>
  <c r="DO16" i="3"/>
  <c r="CE16" i="3" s="1"/>
  <c r="DP16" i="3"/>
  <c r="CF16" i="3" s="1"/>
  <c r="DQ16" i="3"/>
  <c r="CG16" i="3" s="1"/>
  <c r="DR16" i="3"/>
  <c r="CH16" i="3" s="1"/>
  <c r="DL17" i="3"/>
  <c r="BN17" i="3" s="1"/>
  <c r="DM17" i="3"/>
  <c r="CC17" i="3" s="1"/>
  <c r="DN17" i="3"/>
  <c r="CD17" i="3" s="1"/>
  <c r="DO17" i="3"/>
  <c r="CE17" i="3" s="1"/>
  <c r="DP17" i="3"/>
  <c r="CF17" i="3" s="1"/>
  <c r="DQ17" i="3"/>
  <c r="CG17" i="3" s="1"/>
  <c r="DR17" i="3"/>
  <c r="CH17" i="3" s="1"/>
  <c r="DL18" i="3"/>
  <c r="BN18" i="3" s="1"/>
  <c r="DM18" i="3"/>
  <c r="CC18" i="3" s="1"/>
  <c r="DN18" i="3"/>
  <c r="CD18" i="3" s="1"/>
  <c r="DO18" i="3"/>
  <c r="CE18" i="3" s="1"/>
  <c r="DP18" i="3"/>
  <c r="CF18" i="3" s="1"/>
  <c r="DQ18" i="3"/>
  <c r="CG18" i="3" s="1"/>
  <c r="DR18" i="3"/>
  <c r="CH18" i="3" s="1"/>
  <c r="DL19" i="3"/>
  <c r="BN19" i="3" s="1"/>
  <c r="DM19" i="3"/>
  <c r="CC19" i="3" s="1"/>
  <c r="DN19" i="3"/>
  <c r="CD19" i="3" s="1"/>
  <c r="DO19" i="3"/>
  <c r="CE19" i="3" s="1"/>
  <c r="DP19" i="3"/>
  <c r="CF19" i="3" s="1"/>
  <c r="DQ19" i="3"/>
  <c r="CG19" i="3" s="1"/>
  <c r="DR19" i="3"/>
  <c r="CH19" i="3" s="1"/>
  <c r="DL20" i="3"/>
  <c r="DM20" i="3"/>
  <c r="CC20" i="3" s="1"/>
  <c r="DN20" i="3"/>
  <c r="CD20" i="3" s="1"/>
  <c r="DO20" i="3"/>
  <c r="CE20" i="3" s="1"/>
  <c r="DP20" i="3"/>
  <c r="CF20" i="3" s="1"/>
  <c r="DQ20" i="3"/>
  <c r="CG20" i="3" s="1"/>
  <c r="DR20" i="3"/>
  <c r="CH20" i="3" s="1"/>
  <c r="DL21" i="3"/>
  <c r="DM21" i="3"/>
  <c r="CC21" i="3" s="1"/>
  <c r="DN21" i="3"/>
  <c r="CD21" i="3" s="1"/>
  <c r="DO21" i="3"/>
  <c r="CE21" i="3" s="1"/>
  <c r="DP21" i="3"/>
  <c r="CF21" i="3" s="1"/>
  <c r="DQ21" i="3"/>
  <c r="CG21" i="3" s="1"/>
  <c r="DR21" i="3"/>
  <c r="CH21" i="3" s="1"/>
  <c r="DL22" i="3"/>
  <c r="DM22" i="3"/>
  <c r="CC22" i="3" s="1"/>
  <c r="DN22" i="3"/>
  <c r="CD22" i="3" s="1"/>
  <c r="DO22" i="3"/>
  <c r="CE22" i="3" s="1"/>
  <c r="DP22" i="3"/>
  <c r="CF22" i="3" s="1"/>
  <c r="DQ22" i="3"/>
  <c r="CG22" i="3" s="1"/>
  <c r="DR22" i="3"/>
  <c r="CH22" i="3" s="1"/>
  <c r="DL23" i="3"/>
  <c r="DM23" i="3"/>
  <c r="CC23" i="3" s="1"/>
  <c r="DN23" i="3"/>
  <c r="CD23" i="3" s="1"/>
  <c r="DO23" i="3"/>
  <c r="CE23" i="3" s="1"/>
  <c r="DP23" i="3"/>
  <c r="CF23" i="3" s="1"/>
  <c r="DQ23" i="3"/>
  <c r="CG23" i="3" s="1"/>
  <c r="DR23" i="3"/>
  <c r="CH23" i="3" s="1"/>
  <c r="DL24" i="3"/>
  <c r="DO24" i="3"/>
  <c r="CE24" i="3" s="1"/>
  <c r="DP24" i="3"/>
  <c r="CF24" i="3" s="1"/>
  <c r="DQ24" i="3"/>
  <c r="CG24" i="3" s="1"/>
  <c r="DR24" i="3"/>
  <c r="CH24" i="3" s="1"/>
  <c r="DL26" i="3"/>
  <c r="BN26" i="3" s="1"/>
  <c r="DM26" i="3"/>
  <c r="CC26" i="3" s="1"/>
  <c r="DN26" i="3"/>
  <c r="CD26" i="3" s="1"/>
  <c r="DO26" i="3"/>
  <c r="CE26" i="3" s="1"/>
  <c r="DP26" i="3"/>
  <c r="CF26" i="3" s="1"/>
  <c r="DQ26" i="3"/>
  <c r="CG26" i="3" s="1"/>
  <c r="DR26" i="3"/>
  <c r="CH26" i="3" s="1"/>
  <c r="DL27" i="3"/>
  <c r="BN27" i="3" s="1"/>
  <c r="DM27" i="3"/>
  <c r="CC27" i="3" s="1"/>
  <c r="DN27" i="3"/>
  <c r="CD27" i="3" s="1"/>
  <c r="DO27" i="3"/>
  <c r="CE27" i="3" s="1"/>
  <c r="DP27" i="3"/>
  <c r="CF27" i="3" s="1"/>
  <c r="DQ27" i="3"/>
  <c r="CG27" i="3" s="1"/>
  <c r="DR27" i="3"/>
  <c r="CH27" i="3" s="1"/>
  <c r="DL28" i="3"/>
  <c r="BN28" i="3" s="1"/>
  <c r="DM28" i="3"/>
  <c r="CC28" i="3" s="1"/>
  <c r="DN28" i="3"/>
  <c r="CD28" i="3" s="1"/>
  <c r="DO28" i="3"/>
  <c r="CE28" i="3" s="1"/>
  <c r="DP28" i="3"/>
  <c r="CF28" i="3" s="1"/>
  <c r="DQ28" i="3"/>
  <c r="CG28" i="3" s="1"/>
  <c r="DR28" i="3"/>
  <c r="CH28" i="3" s="1"/>
  <c r="DL29" i="3"/>
  <c r="BN29" i="3" s="1"/>
  <c r="DM29" i="3"/>
  <c r="CC29" i="3" s="1"/>
  <c r="DN29" i="3"/>
  <c r="CD29" i="3" s="1"/>
  <c r="DO29" i="3"/>
  <c r="CE29" i="3" s="1"/>
  <c r="DP29" i="3"/>
  <c r="CF29" i="3" s="1"/>
  <c r="DQ29" i="3"/>
  <c r="CG29" i="3" s="1"/>
  <c r="DR29" i="3"/>
  <c r="CH29" i="3" s="1"/>
  <c r="DL30" i="3"/>
  <c r="BN30" i="3" s="1"/>
  <c r="DM30" i="3"/>
  <c r="CC30" i="3" s="1"/>
  <c r="DN30" i="3"/>
  <c r="CD30" i="3" s="1"/>
  <c r="DO30" i="3"/>
  <c r="CE30" i="3" s="1"/>
  <c r="DP30" i="3"/>
  <c r="CF30" i="3" s="1"/>
  <c r="DQ30" i="3"/>
  <c r="CG30" i="3" s="1"/>
  <c r="DR30" i="3"/>
  <c r="CH30" i="3" s="1"/>
  <c r="DL31" i="3"/>
  <c r="CB31" i="3" s="1"/>
  <c r="DM31" i="3"/>
  <c r="CC31" i="3" s="1"/>
  <c r="DN31" i="3"/>
  <c r="CD31" i="3" s="1"/>
  <c r="DO31" i="3"/>
  <c r="CE31" i="3" s="1"/>
  <c r="DP31" i="3"/>
  <c r="CF31" i="3" s="1"/>
  <c r="DQ31" i="3"/>
  <c r="CG31" i="3" s="1"/>
  <c r="DR31" i="3"/>
  <c r="CH31" i="3" s="1"/>
  <c r="DL32" i="3"/>
  <c r="DM32" i="3"/>
  <c r="CC32" i="3" s="1"/>
  <c r="DN32" i="3"/>
  <c r="CD32" i="3" s="1"/>
  <c r="DO32" i="3"/>
  <c r="CE32" i="3" s="1"/>
  <c r="DP32" i="3"/>
  <c r="CF32" i="3" s="1"/>
  <c r="DQ32" i="3"/>
  <c r="CG32" i="3" s="1"/>
  <c r="DR32" i="3"/>
  <c r="CH32" i="3" s="1"/>
  <c r="DL33" i="3"/>
  <c r="DM33" i="3"/>
  <c r="CC33" i="3" s="1"/>
  <c r="DN33" i="3"/>
  <c r="CD33" i="3" s="1"/>
  <c r="DO33" i="3"/>
  <c r="CE33" i="3" s="1"/>
  <c r="DP33" i="3"/>
  <c r="CF33" i="3" s="1"/>
  <c r="DQ33" i="3"/>
  <c r="CG33" i="3" s="1"/>
  <c r="DR33" i="3"/>
  <c r="CH33" i="3" s="1"/>
  <c r="DL34" i="3"/>
  <c r="CB34" i="3" s="1"/>
  <c r="DM34" i="3"/>
  <c r="CC34" i="3" s="1"/>
  <c r="DN34" i="3"/>
  <c r="CD34" i="3" s="1"/>
  <c r="DO34" i="3"/>
  <c r="CE34" i="3" s="1"/>
  <c r="DP34" i="3"/>
  <c r="CF34" i="3" s="1"/>
  <c r="DQ34" i="3"/>
  <c r="CG34" i="3" s="1"/>
  <c r="DR34" i="3"/>
  <c r="CH34" i="3" s="1"/>
  <c r="DL35" i="3"/>
  <c r="DM35" i="3"/>
  <c r="CC35" i="3" s="1"/>
  <c r="DN35" i="3"/>
  <c r="CD35" i="3" s="1"/>
  <c r="DO35" i="3"/>
  <c r="CE35" i="3" s="1"/>
  <c r="DP35" i="3"/>
  <c r="CF35" i="3" s="1"/>
  <c r="DQ35" i="3"/>
  <c r="CG35" i="3" s="1"/>
  <c r="DR35" i="3"/>
  <c r="DL36" i="3"/>
  <c r="DM36" i="3"/>
  <c r="DN36" i="3"/>
  <c r="CD36" i="3" s="1"/>
  <c r="DO36" i="3"/>
  <c r="CE36" i="3" s="1"/>
  <c r="DP36" i="3"/>
  <c r="CF36" i="3" s="1"/>
  <c r="DQ36" i="3"/>
  <c r="CG36" i="3" s="1"/>
  <c r="DR36" i="3"/>
  <c r="CH36" i="3" s="1"/>
  <c r="DL37" i="3"/>
  <c r="DM37" i="3"/>
  <c r="DN37" i="3"/>
  <c r="CD37" i="3" s="1"/>
  <c r="DO37" i="3"/>
  <c r="CE37" i="3" s="1"/>
  <c r="DP37" i="3"/>
  <c r="CF37" i="3" s="1"/>
  <c r="DQ37" i="3"/>
  <c r="CG37" i="3" s="1"/>
  <c r="DR37" i="3"/>
  <c r="CH37" i="3" s="1"/>
  <c r="DL38" i="3"/>
  <c r="DM38" i="3"/>
  <c r="DN38" i="3"/>
  <c r="CD38" i="3" s="1"/>
  <c r="DO38" i="3"/>
  <c r="CE38" i="3" s="1"/>
  <c r="DP38" i="3"/>
  <c r="CF38" i="3" s="1"/>
  <c r="DQ38" i="3"/>
  <c r="CG38" i="3" s="1"/>
  <c r="DR38" i="3"/>
  <c r="CH38" i="3" s="1"/>
  <c r="DL39" i="3"/>
  <c r="DM39" i="3"/>
  <c r="DN39" i="3"/>
  <c r="CD39" i="3" s="1"/>
  <c r="DO39" i="3"/>
  <c r="CE39" i="3" s="1"/>
  <c r="DP39" i="3"/>
  <c r="CF39" i="3" s="1"/>
  <c r="DQ39" i="3"/>
  <c r="CG39" i="3" s="1"/>
  <c r="DR39" i="3"/>
  <c r="CH39" i="3" s="1"/>
  <c r="CB51" i="3"/>
  <c r="CC51" i="3"/>
  <c r="CD51" i="3"/>
  <c r="CE51" i="3"/>
  <c r="CF51" i="3"/>
  <c r="CG51" i="3"/>
  <c r="CH51" i="3"/>
  <c r="DL115" i="3"/>
  <c r="DM115" i="3"/>
  <c r="CC115" i="3" s="1"/>
  <c r="DN115" i="3"/>
  <c r="CD115" i="3" s="1"/>
  <c r="DO115" i="3"/>
  <c r="CE115" i="3" s="1"/>
  <c r="DP115" i="3"/>
  <c r="CF115" i="3" s="1"/>
  <c r="DQ115" i="3"/>
  <c r="CG115" i="3" s="1"/>
  <c r="DR115" i="3"/>
  <c r="CH115" i="3" s="1"/>
  <c r="DL116" i="3"/>
  <c r="DM116" i="3"/>
  <c r="CC116" i="3" s="1"/>
  <c r="DN116" i="3"/>
  <c r="CD116" i="3" s="1"/>
  <c r="DO116" i="3"/>
  <c r="CE116" i="3" s="1"/>
  <c r="DP116" i="3"/>
  <c r="CF116" i="3" s="1"/>
  <c r="DQ116" i="3"/>
  <c r="CG116" i="3" s="1"/>
  <c r="DR116" i="3"/>
  <c r="CH116" i="3" s="1"/>
  <c r="DL117" i="3"/>
  <c r="DM117" i="3"/>
  <c r="CC117" i="3" s="1"/>
  <c r="DN117" i="3"/>
  <c r="CD117" i="3" s="1"/>
  <c r="DO117" i="3"/>
  <c r="CE117" i="3" s="1"/>
  <c r="DP117" i="3"/>
  <c r="CF117" i="3" s="1"/>
  <c r="DQ117" i="3"/>
  <c r="CG117" i="3" s="1"/>
  <c r="DR117" i="3"/>
  <c r="DL118" i="3"/>
  <c r="DM118" i="3"/>
  <c r="CC118" i="3" s="1"/>
  <c r="DN118" i="3"/>
  <c r="CD118" i="3" s="1"/>
  <c r="DO118" i="3"/>
  <c r="CE118" i="3" s="1"/>
  <c r="DP118" i="3"/>
  <c r="CF118" i="3" s="1"/>
  <c r="DQ118" i="3"/>
  <c r="CG118" i="3" s="1"/>
  <c r="DR118" i="3"/>
  <c r="CH118" i="3" s="1"/>
  <c r="DL121" i="3"/>
  <c r="DM121" i="3"/>
  <c r="CC121" i="3" s="1"/>
  <c r="DN121" i="3"/>
  <c r="CD121" i="3" s="1"/>
  <c r="DO121" i="3"/>
  <c r="CE121" i="3" s="1"/>
  <c r="DP121" i="3"/>
  <c r="CF121" i="3" s="1"/>
  <c r="DQ121" i="3"/>
  <c r="CG121" i="3" s="1"/>
  <c r="DR121" i="3"/>
  <c r="CH121" i="3" s="1"/>
  <c r="DL122" i="3"/>
  <c r="DM122" i="3"/>
  <c r="CC122" i="3" s="1"/>
  <c r="DN122" i="3"/>
  <c r="CD122" i="3" s="1"/>
  <c r="DO122" i="3"/>
  <c r="CE122" i="3" s="1"/>
  <c r="DP122" i="3"/>
  <c r="CF122" i="3" s="1"/>
  <c r="DQ122" i="3"/>
  <c r="CG122" i="3" s="1"/>
  <c r="DR122" i="3"/>
  <c r="CH122" i="3" s="1"/>
  <c r="DL123" i="3"/>
  <c r="DM123" i="3"/>
  <c r="CC123" i="3" s="1"/>
  <c r="DN123" i="3"/>
  <c r="CD123" i="3" s="1"/>
  <c r="DO123" i="3"/>
  <c r="CE123" i="3" s="1"/>
  <c r="DP123" i="3"/>
  <c r="CF123" i="3" s="1"/>
  <c r="DQ123" i="3"/>
  <c r="CG123" i="3" s="1"/>
  <c r="DR123" i="3"/>
  <c r="CH123" i="3" s="1"/>
  <c r="CB190" i="3"/>
  <c r="CC190" i="3"/>
  <c r="CD190" i="3"/>
  <c r="CE190" i="3"/>
  <c r="DL223" i="3"/>
  <c r="CB223" i="3" s="1"/>
  <c r="DM223" i="3"/>
  <c r="CC223" i="3" s="1"/>
  <c r="DN223" i="3"/>
  <c r="CD223" i="3" s="1"/>
  <c r="DO223" i="3"/>
  <c r="CE223" i="3" s="1"/>
  <c r="DP223" i="3"/>
  <c r="CF223" i="3" s="1"/>
  <c r="DQ223" i="3"/>
  <c r="CG223" i="3" s="1"/>
  <c r="DR223" i="3"/>
  <c r="CH223" i="3" s="1"/>
  <c r="CB210" i="3"/>
  <c r="CC210" i="3"/>
  <c r="CD210" i="3"/>
  <c r="CE210" i="3"/>
  <c r="DL212" i="3"/>
  <c r="CB212" i="3" s="1"/>
  <c r="DM212" i="3"/>
  <c r="CC212" i="3" s="1"/>
  <c r="DN212" i="3"/>
  <c r="CD212" i="3" s="1"/>
  <c r="DO212" i="3"/>
  <c r="CE212" i="3" s="1"/>
  <c r="DP212" i="3"/>
  <c r="CF212" i="3" s="1"/>
  <c r="DQ212" i="3"/>
  <c r="CG212" i="3" s="1"/>
  <c r="DR212" i="3"/>
  <c r="CH212" i="3" s="1"/>
  <c r="DL215" i="3"/>
  <c r="CB215" i="3" s="1"/>
  <c r="DM215" i="3"/>
  <c r="CC215" i="3" s="1"/>
  <c r="DN215" i="3"/>
  <c r="CD215" i="3" s="1"/>
  <c r="DO215" i="3"/>
  <c r="CE215" i="3" s="1"/>
  <c r="DP215" i="3"/>
  <c r="CF215" i="3" s="1"/>
  <c r="DQ215" i="3"/>
  <c r="CG215" i="3" s="1"/>
  <c r="DR215" i="3"/>
  <c r="CH215" i="3" s="1"/>
  <c r="DL216" i="3"/>
  <c r="CB216" i="3" s="1"/>
  <c r="DM216" i="3"/>
  <c r="CC216" i="3" s="1"/>
  <c r="DN216" i="3"/>
  <c r="CD216" i="3" s="1"/>
  <c r="DO216" i="3"/>
  <c r="CE216" i="3" s="1"/>
  <c r="DP216" i="3"/>
  <c r="CF216" i="3" s="1"/>
  <c r="DQ216" i="3"/>
  <c r="CG216" i="3" s="1"/>
  <c r="DR216" i="3"/>
  <c r="CH216" i="3" s="1"/>
  <c r="DL211" i="3"/>
  <c r="CB211" i="3" s="1"/>
  <c r="DM211" i="3"/>
  <c r="CC211" i="3" s="1"/>
  <c r="DN211" i="3"/>
  <c r="CD211" i="3" s="1"/>
  <c r="DO211" i="3"/>
  <c r="CE211" i="3" s="1"/>
  <c r="DP211" i="3"/>
  <c r="CF211" i="3" s="1"/>
  <c r="DQ211" i="3"/>
  <c r="CG211" i="3" s="1"/>
  <c r="DR211" i="3"/>
  <c r="CH211" i="3" s="1"/>
  <c r="DL213" i="3"/>
  <c r="CB213" i="3" s="1"/>
  <c r="DM213" i="3"/>
  <c r="CC213" i="3" s="1"/>
  <c r="DN213" i="3"/>
  <c r="CD213" i="3" s="1"/>
  <c r="DO213" i="3"/>
  <c r="CE213" i="3" s="1"/>
  <c r="DP213" i="3"/>
  <c r="CF213" i="3" s="1"/>
  <c r="DQ213" i="3"/>
  <c r="CG213" i="3" s="1"/>
  <c r="DR213" i="3"/>
  <c r="CH213" i="3" s="1"/>
  <c r="DL217" i="3"/>
  <c r="CB217" i="3" s="1"/>
  <c r="DM217" i="3"/>
  <c r="CC217" i="3" s="1"/>
  <c r="DN217" i="3"/>
  <c r="CD217" i="3" s="1"/>
  <c r="DO217" i="3"/>
  <c r="CE217" i="3" s="1"/>
  <c r="DP217" i="3"/>
  <c r="CF217" i="3" s="1"/>
  <c r="DQ217" i="3"/>
  <c r="CG217" i="3" s="1"/>
  <c r="DR217" i="3"/>
  <c r="CH217" i="3" s="1"/>
  <c r="DL220" i="3"/>
  <c r="CB220" i="3" s="1"/>
  <c r="DM220" i="3"/>
  <c r="CC220" i="3" s="1"/>
  <c r="DN220" i="3"/>
  <c r="CD220" i="3" s="1"/>
  <c r="DO220" i="3"/>
  <c r="CE220" i="3" s="1"/>
  <c r="DP220" i="3"/>
  <c r="CF220" i="3" s="1"/>
  <c r="DQ220" i="3"/>
  <c r="CG220" i="3" s="1"/>
  <c r="DR220" i="3"/>
  <c r="CH220" i="3" s="1"/>
  <c r="DL224" i="3"/>
  <c r="CB224" i="3" s="1"/>
  <c r="DR224" i="3"/>
  <c r="CH224" i="3" s="1"/>
  <c r="BU27" i="3" l="1"/>
  <c r="BU9" i="3"/>
  <c r="BU11" i="3"/>
  <c r="BN31" i="3"/>
  <c r="BN35" i="3"/>
  <c r="CB35" i="3"/>
  <c r="CB33" i="3"/>
  <c r="BN33" i="3"/>
  <c r="CB115" i="3"/>
  <c r="BN115" i="3"/>
  <c r="CB117" i="3"/>
  <c r="BN117" i="3"/>
  <c r="CB32" i="3"/>
  <c r="BN32" i="3"/>
  <c r="CB24" i="3"/>
  <c r="BN24" i="3"/>
  <c r="CB121" i="3"/>
  <c r="BN121" i="3"/>
  <c r="BN51" i="3"/>
  <c r="I11" i="14"/>
  <c r="H11" i="14" s="1"/>
  <c r="I5" i="14"/>
  <c r="J5" i="14" s="1"/>
  <c r="EG4" i="24"/>
  <c r="EG5" i="24"/>
  <c r="GC451" i="24" l="1"/>
  <c r="GD450" i="24"/>
  <c r="GD453" i="24"/>
  <c r="GF442" i="24"/>
  <c r="GD458" i="24"/>
  <c r="GE445" i="24"/>
  <c r="GD445" i="24"/>
  <c r="GE452" i="24"/>
  <c r="GE450" i="24"/>
  <c r="GC442" i="24"/>
  <c r="GD442" i="24"/>
  <c r="GF455" i="24"/>
  <c r="GD456" i="24"/>
  <c r="GC455" i="24"/>
  <c r="GE458" i="24"/>
  <c r="GE457" i="24"/>
  <c r="GF457" i="24"/>
  <c r="GC452" i="24"/>
  <c r="GD451" i="24"/>
  <c r="GC454" i="24"/>
  <c r="GF456" i="24"/>
  <c r="GC440" i="24"/>
  <c r="GF453" i="24"/>
  <c r="GC457" i="24"/>
  <c r="GF454" i="24"/>
  <c r="GF451" i="24"/>
  <c r="GD455" i="24"/>
  <c r="GE440" i="24"/>
  <c r="GD452" i="24"/>
  <c r="GF440" i="24"/>
  <c r="GE451" i="24"/>
  <c r="GF459" i="24"/>
  <c r="GC458" i="24"/>
  <c r="GC450" i="24"/>
  <c r="GE456" i="24"/>
  <c r="GD440" i="24"/>
  <c r="GC445" i="24"/>
  <c r="GD454" i="24"/>
  <c r="GE455" i="24"/>
  <c r="GE442" i="24"/>
  <c r="GC453" i="24"/>
  <c r="GE453" i="24"/>
  <c r="GC459" i="24"/>
  <c r="GE459" i="24"/>
  <c r="GF452" i="24"/>
  <c r="GC456" i="24"/>
  <c r="GF445" i="24"/>
  <c r="GD457" i="24"/>
  <c r="GF450" i="24"/>
  <c r="GE454" i="24"/>
  <c r="GF458" i="24"/>
  <c r="GD459" i="24"/>
  <c r="GF384" i="24"/>
  <c r="GC384" i="24"/>
  <c r="GD384" i="24"/>
  <c r="GE384" i="24"/>
  <c r="GF95" i="24"/>
  <c r="GD95" i="24"/>
  <c r="GE95" i="24"/>
  <c r="GC95" i="24"/>
  <c r="GE121" i="24"/>
  <c r="GD121" i="24"/>
  <c r="GC121" i="24"/>
  <c r="GD93" i="24"/>
  <c r="GC94" i="24"/>
  <c r="GF121" i="24"/>
  <c r="GE93" i="24"/>
  <c r="GF93" i="24"/>
  <c r="GC93" i="24"/>
  <c r="GC143" i="24"/>
  <c r="GD143" i="24"/>
  <c r="GE143" i="24"/>
  <c r="GF143" i="24"/>
  <c r="GF94" i="24"/>
  <c r="GE94" i="24"/>
  <c r="GD94" i="24"/>
  <c r="BU33" i="3"/>
  <c r="BU24" i="3"/>
  <c r="BU35" i="3"/>
  <c r="BU31" i="3"/>
  <c r="BU32" i="3"/>
  <c r="GC393" i="24"/>
  <c r="GF393" i="24"/>
  <c r="GE393" i="24"/>
  <c r="GD393" i="24"/>
  <c r="GD99" i="24"/>
  <c r="GE99" i="24"/>
  <c r="GF99" i="24"/>
  <c r="GC99" i="24"/>
  <c r="GD98" i="24"/>
  <c r="GC98" i="24"/>
  <c r="GE98" i="24"/>
  <c r="GF98" i="24"/>
  <c r="GC408" i="24"/>
  <c r="GD409" i="24"/>
  <c r="GC409" i="24"/>
  <c r="GF408" i="24"/>
  <c r="GD408" i="24"/>
  <c r="GE408" i="24"/>
  <c r="GF409" i="24"/>
  <c r="GE409" i="24"/>
  <c r="GE129" i="24"/>
  <c r="GD138" i="24"/>
  <c r="GE86" i="24"/>
  <c r="GF80" i="24"/>
  <c r="GC81" i="24"/>
  <c r="GF124" i="24"/>
  <c r="GC79" i="24"/>
  <c r="GF126" i="24"/>
  <c r="GD136" i="24"/>
  <c r="GE209" i="24"/>
  <c r="GF357" i="24"/>
  <c r="GD364" i="24"/>
  <c r="GC246" i="24"/>
  <c r="GF175" i="24"/>
  <c r="GC90" i="24"/>
  <c r="GF48" i="24"/>
  <c r="GF402" i="24"/>
  <c r="GC113" i="24"/>
  <c r="GC167" i="24"/>
  <c r="GE49" i="24"/>
  <c r="GC223" i="24"/>
  <c r="GF110" i="24"/>
  <c r="GF230" i="24"/>
  <c r="GE114" i="24"/>
  <c r="GF61" i="24"/>
  <c r="GF103" i="24"/>
  <c r="GD332" i="24"/>
  <c r="GE243" i="24"/>
  <c r="GD20" i="24"/>
  <c r="GD370" i="24"/>
  <c r="GC55" i="24"/>
  <c r="GC388" i="24"/>
  <c r="GF119" i="24"/>
  <c r="GC56" i="24"/>
  <c r="GC194" i="24"/>
  <c r="GE154" i="24"/>
  <c r="GC251" i="24"/>
  <c r="GD211" i="24"/>
  <c r="GC301" i="24"/>
  <c r="GF281" i="24"/>
  <c r="GF213" i="24"/>
  <c r="GC54" i="24"/>
  <c r="GF40" i="24"/>
  <c r="GF16" i="24"/>
  <c r="GE319" i="24"/>
  <c r="GE253" i="24"/>
  <c r="GF178" i="24"/>
  <c r="GD163" i="24"/>
  <c r="GF60" i="24"/>
  <c r="GE394" i="24"/>
  <c r="GD238" i="24"/>
  <c r="GF180" i="24"/>
  <c r="GD253" i="24"/>
  <c r="GC241" i="24"/>
  <c r="GD243" i="24"/>
  <c r="GF316" i="24"/>
  <c r="GE283" i="24"/>
  <c r="GD325" i="24"/>
  <c r="GD360" i="24"/>
  <c r="GC361" i="24"/>
  <c r="GF53" i="24"/>
  <c r="GE104" i="24"/>
  <c r="GE145" i="24"/>
  <c r="GD236" i="24"/>
  <c r="GE229" i="24"/>
  <c r="GE307" i="24"/>
  <c r="GC320" i="24"/>
  <c r="GE287" i="24"/>
  <c r="GD21" i="24"/>
  <c r="GE65" i="24"/>
  <c r="GD61" i="24"/>
  <c r="GE43" i="24"/>
  <c r="GF401" i="24"/>
  <c r="GD122" i="24"/>
  <c r="GD108" i="24"/>
  <c r="GF334" i="24"/>
  <c r="GF224" i="24"/>
  <c r="GE186" i="24"/>
  <c r="GD158" i="24"/>
  <c r="GE80" i="24"/>
  <c r="GC135" i="24"/>
  <c r="GE138" i="24"/>
  <c r="GD140" i="24"/>
  <c r="GF72" i="24"/>
  <c r="GF73" i="24"/>
  <c r="GF132" i="24"/>
  <c r="GF85" i="24"/>
  <c r="GF366" i="24"/>
  <c r="GE357" i="24"/>
  <c r="GE363" i="24"/>
  <c r="GD246" i="24"/>
  <c r="GD159" i="24"/>
  <c r="GF323" i="24"/>
  <c r="GF67" i="24"/>
  <c r="GF24" i="24"/>
  <c r="GC149" i="24"/>
  <c r="GF17" i="24"/>
  <c r="GC183" i="24"/>
  <c r="GF64" i="24"/>
  <c r="GD226" i="24"/>
  <c r="GC146" i="24"/>
  <c r="GF247" i="24"/>
  <c r="GF150" i="24"/>
  <c r="GF101" i="24"/>
  <c r="GE15" i="24"/>
  <c r="GD348" i="24"/>
  <c r="GE260" i="24"/>
  <c r="GD55" i="24"/>
  <c r="GD388" i="24"/>
  <c r="GD83" i="24"/>
  <c r="GC11" i="24"/>
  <c r="GF157" i="24"/>
  <c r="GF97" i="24"/>
  <c r="GE220" i="24"/>
  <c r="GE174" i="24"/>
  <c r="GD268" i="24"/>
  <c r="GC231" i="24"/>
  <c r="GC318" i="24"/>
  <c r="GF298" i="24"/>
  <c r="GC232" i="24"/>
  <c r="GC82" i="24"/>
  <c r="GF63" i="24"/>
  <c r="GF44" i="24"/>
  <c r="GF337" i="24"/>
  <c r="GF270" i="24"/>
  <c r="GE193" i="24"/>
  <c r="GE203" i="24"/>
  <c r="GD106" i="24"/>
  <c r="GF21" i="24"/>
  <c r="GD255" i="24"/>
  <c r="GD195" i="24"/>
  <c r="GF274" i="24"/>
  <c r="GF262" i="24"/>
  <c r="GC273" i="24"/>
  <c r="GE338" i="24"/>
  <c r="GE85" i="24"/>
  <c r="GC125" i="24"/>
  <c r="GE131" i="24"/>
  <c r="GE87" i="24"/>
  <c r="GD141" i="24"/>
  <c r="GF76" i="24"/>
  <c r="GF81" i="24"/>
  <c r="GF125" i="24"/>
  <c r="GD131" i="24"/>
  <c r="GD209" i="24"/>
  <c r="GD357" i="24"/>
  <c r="GD363" i="24"/>
  <c r="GE246" i="24"/>
  <c r="GF176" i="24"/>
  <c r="GD90" i="24"/>
  <c r="GF113" i="24"/>
  <c r="GD167" i="24"/>
  <c r="GF49" i="24"/>
  <c r="GD223" i="24"/>
  <c r="GC110" i="24"/>
  <c r="GD242" i="24"/>
  <c r="GC164" i="24"/>
  <c r="GF263" i="24"/>
  <c r="GF170" i="24"/>
  <c r="GF151" i="24"/>
  <c r="GE20" i="24"/>
  <c r="GE370" i="24"/>
  <c r="GD277" i="24"/>
  <c r="GE83" i="24"/>
  <c r="GD11" i="24"/>
  <c r="GD115" i="24"/>
  <c r="GC28" i="24"/>
  <c r="GF179" i="24"/>
  <c r="GF116" i="24"/>
  <c r="GC234" i="24"/>
  <c r="GD188" i="24"/>
  <c r="GD284" i="24"/>
  <c r="GD248" i="24"/>
  <c r="GE352" i="24"/>
  <c r="GF315" i="24"/>
  <c r="GF249" i="24"/>
  <c r="GF102" i="24"/>
  <c r="GF109" i="24"/>
  <c r="GC9" i="24"/>
  <c r="GF353" i="24"/>
  <c r="GF286" i="24"/>
  <c r="GE217" i="24"/>
  <c r="GC198" i="24"/>
  <c r="GE405" i="24"/>
  <c r="GC272" i="24"/>
  <c r="GD214" i="24"/>
  <c r="GE290" i="24"/>
  <c r="GC279" i="24"/>
  <c r="GD298" i="24"/>
  <c r="GE360" i="24"/>
  <c r="GE321" i="24"/>
  <c r="GE380" i="24"/>
  <c r="GE57" i="24"/>
  <c r="GE124" i="24"/>
  <c r="GD125" i="24"/>
  <c r="GD85" i="24"/>
  <c r="GF100" i="24"/>
  <c r="GD86" i="24"/>
  <c r="GE141" i="24"/>
  <c r="GC131" i="24"/>
  <c r="GE366" i="24"/>
  <c r="GC357" i="24"/>
  <c r="GC363" i="24"/>
  <c r="GE160" i="24"/>
  <c r="GC159" i="24"/>
  <c r="GD322" i="24"/>
  <c r="GF149" i="24"/>
  <c r="GC17" i="24"/>
  <c r="GD183" i="24"/>
  <c r="GE64" i="24"/>
  <c r="GE226" i="24"/>
  <c r="GD146" i="24"/>
  <c r="GD259" i="24"/>
  <c r="GC204" i="24"/>
  <c r="GF280" i="24"/>
  <c r="GE184" i="24"/>
  <c r="GF171" i="24"/>
  <c r="GE55" i="24"/>
  <c r="GE388" i="24"/>
  <c r="GD293" i="24"/>
  <c r="GE115" i="24"/>
  <c r="GD28" i="24"/>
  <c r="GD153" i="24"/>
  <c r="GF403" i="24"/>
  <c r="GF194" i="24"/>
  <c r="GF154" i="24"/>
  <c r="GE251" i="24"/>
  <c r="GE211" i="24"/>
  <c r="GD301" i="24"/>
  <c r="GC392" i="24"/>
  <c r="GC333" i="24"/>
  <c r="GE266" i="24"/>
  <c r="GC152" i="24"/>
  <c r="GF145" i="24"/>
  <c r="GC41" i="24"/>
  <c r="GF376" i="24"/>
  <c r="GF303" i="24"/>
  <c r="GE233" i="24"/>
  <c r="GE219" i="24"/>
  <c r="GE158" i="24"/>
  <c r="GE10" i="24"/>
  <c r="GC288" i="24"/>
  <c r="GD235" i="24"/>
  <c r="GE312" i="24"/>
  <c r="GC300" i="24"/>
  <c r="GE325" i="24"/>
  <c r="GF381" i="24"/>
  <c r="GF339" i="24"/>
  <c r="GC13" i="24"/>
  <c r="GC139" i="24"/>
  <c r="GC100" i="24"/>
  <c r="GC73" i="24"/>
  <c r="GC77" i="24"/>
  <c r="GC137" i="24"/>
  <c r="GD129" i="24"/>
  <c r="GD132" i="24"/>
  <c r="GF79" i="24"/>
  <c r="GD124" i="24"/>
  <c r="GC209" i="24"/>
  <c r="GF372" i="24"/>
  <c r="GE364" i="24"/>
  <c r="GF169" i="24"/>
  <c r="GE159" i="24"/>
  <c r="GF91" i="24"/>
  <c r="GF167" i="24"/>
  <c r="GC49" i="24"/>
  <c r="GE223" i="24"/>
  <c r="GD110" i="24"/>
  <c r="GE242" i="24"/>
  <c r="GF164" i="24"/>
  <c r="GC276" i="24"/>
  <c r="GC199" i="24"/>
  <c r="GF296" i="24"/>
  <c r="GF210" i="24"/>
  <c r="GF185" i="24"/>
  <c r="GC83" i="24"/>
  <c r="GE11" i="24"/>
  <c r="GD311" i="24"/>
  <c r="GE153" i="24"/>
  <c r="GC403" i="24"/>
  <c r="GD173" i="24"/>
  <c r="GD29" i="24"/>
  <c r="GF220" i="24"/>
  <c r="GF174" i="24"/>
  <c r="GE268" i="24"/>
  <c r="GE231" i="24"/>
  <c r="GD318" i="24"/>
  <c r="GC32" i="24"/>
  <c r="GC8" i="24"/>
  <c r="GC349" i="24"/>
  <c r="GE282" i="24"/>
  <c r="GF172" i="24"/>
  <c r="GF163" i="24"/>
  <c r="GC60" i="24"/>
  <c r="GF394" i="24"/>
  <c r="GF320" i="24"/>
  <c r="GF250" i="24"/>
  <c r="GC238" i="24"/>
  <c r="GD180" i="24"/>
  <c r="GE46" i="24"/>
  <c r="GC306" i="24"/>
  <c r="GC243" i="24"/>
  <c r="GD334" i="24"/>
  <c r="GF321" i="24"/>
  <c r="GF349" i="24"/>
  <c r="GC14" i="24"/>
  <c r="GD361" i="24"/>
  <c r="GF411" i="24"/>
  <c r="GF54" i="24"/>
  <c r="GE258" i="24"/>
  <c r="GE213" i="24"/>
  <c r="GE190" i="24"/>
  <c r="GF302" i="24"/>
  <c r="GD320" i="24"/>
  <c r="GD305" i="24"/>
  <c r="GE21" i="24"/>
  <c r="GE26" i="24"/>
  <c r="GE391" i="24"/>
  <c r="GE165" i="24"/>
  <c r="GC400" i="24"/>
  <c r="GC221" i="24"/>
  <c r="GE166" i="24"/>
  <c r="GC295" i="24"/>
  <c r="GD240" i="24"/>
  <c r="GD215" i="24"/>
  <c r="GC260" i="24"/>
  <c r="GE303" i="24"/>
  <c r="GD271" i="24"/>
  <c r="GC365" i="24"/>
  <c r="GB365" i="24" s="1"/>
  <c r="GD34" i="24"/>
  <c r="GF378" i="24"/>
  <c r="GE147" i="24"/>
  <c r="GC62" i="24"/>
  <c r="GF136" i="24"/>
  <c r="GD100" i="24"/>
  <c r="GD81" i="24"/>
  <c r="GE81" i="24"/>
  <c r="GD87" i="24"/>
  <c r="GE130" i="24"/>
  <c r="GF75" i="24"/>
  <c r="GC140" i="24"/>
  <c r="GC84" i="24"/>
  <c r="GD366" i="24"/>
  <c r="GC372" i="24"/>
  <c r="GC364" i="24"/>
  <c r="GE176" i="24"/>
  <c r="GE168" i="24"/>
  <c r="GC91" i="24"/>
  <c r="GF183" i="24"/>
  <c r="GC64" i="24"/>
  <c r="GC226" i="24"/>
  <c r="GE146" i="24"/>
  <c r="GC259" i="24"/>
  <c r="GD204" i="24"/>
  <c r="GC292" i="24"/>
  <c r="GD222" i="24"/>
  <c r="GF314" i="24"/>
  <c r="GF227" i="24"/>
  <c r="GF212" i="24"/>
  <c r="GC115" i="24"/>
  <c r="GE28" i="24"/>
  <c r="GE329" i="24"/>
  <c r="GE173" i="24"/>
  <c r="GE29" i="24"/>
  <c r="GE187" i="24"/>
  <c r="GD52" i="24"/>
  <c r="GF234" i="24"/>
  <c r="GE188" i="24"/>
  <c r="GE284" i="24"/>
  <c r="GE248" i="24"/>
  <c r="GC352" i="24"/>
  <c r="GC59" i="24"/>
  <c r="GC36" i="24"/>
  <c r="GC371" i="24"/>
  <c r="GE299" i="24"/>
  <c r="GC186" i="24"/>
  <c r="GF203" i="24"/>
  <c r="GE106" i="24"/>
  <c r="GC21" i="24"/>
  <c r="GF338" i="24"/>
  <c r="GF267" i="24"/>
  <c r="GE255" i="24"/>
  <c r="GE195" i="24"/>
  <c r="GC107" i="24"/>
  <c r="GE324" i="24"/>
  <c r="GD273" i="24"/>
  <c r="GC381" i="24"/>
  <c r="GC339" i="24"/>
  <c r="GF380" i="24"/>
  <c r="GD50" i="24"/>
  <c r="GC382" i="24"/>
  <c r="GC46" i="24"/>
  <c r="GD82" i="24"/>
  <c r="GC130" i="24"/>
  <c r="GF127" i="24"/>
  <c r="GD137" i="24"/>
  <c r="GD78" i="24"/>
  <c r="GD88" i="24"/>
  <c r="GE136" i="24"/>
  <c r="GF141" i="24"/>
  <c r="GF131" i="24"/>
  <c r="GE88" i="24"/>
  <c r="GD84" i="24"/>
  <c r="GF209" i="24"/>
  <c r="GD372" i="24"/>
  <c r="GF364" i="24"/>
  <c r="GD160" i="24"/>
  <c r="GD168" i="24"/>
  <c r="GF70" i="24"/>
  <c r="GF223" i="24"/>
  <c r="GE110" i="24"/>
  <c r="GC242" i="24"/>
  <c r="GD164" i="24"/>
  <c r="GD276" i="24"/>
  <c r="GD199" i="24"/>
  <c r="GC310" i="24"/>
  <c r="GD239" i="24"/>
  <c r="GF332" i="24"/>
  <c r="GF243" i="24"/>
  <c r="GF228" i="24"/>
  <c r="GC153" i="24"/>
  <c r="GD403" i="24"/>
  <c r="GD365" i="24"/>
  <c r="GC187" i="24"/>
  <c r="GE52" i="24"/>
  <c r="GC216" i="24"/>
  <c r="GD68" i="24"/>
  <c r="GF251" i="24"/>
  <c r="GF211" i="24"/>
  <c r="GE301" i="24"/>
  <c r="GD392" i="24"/>
  <c r="GD105" i="24"/>
  <c r="GD37" i="24"/>
  <c r="GC389" i="24"/>
  <c r="GE316" i="24"/>
  <c r="GC215" i="24"/>
  <c r="GF198" i="24"/>
  <c r="GF405" i="24"/>
  <c r="GE377" i="24"/>
  <c r="GF283" i="24"/>
  <c r="GE272" i="24"/>
  <c r="GC214" i="24"/>
  <c r="GC122" i="24"/>
  <c r="GE340" i="24"/>
  <c r="GE298" i="24"/>
  <c r="GD14" i="24"/>
  <c r="GF361" i="24"/>
  <c r="GC405" i="24"/>
  <c r="GE35" i="24"/>
  <c r="GF387" i="24"/>
  <c r="GE101" i="24"/>
  <c r="GF135" i="24"/>
  <c r="GF89" i="24"/>
  <c r="GF87" i="24"/>
  <c r="GC87" i="24"/>
  <c r="GC85" i="24"/>
  <c r="GE132" i="24"/>
  <c r="GF88" i="24"/>
  <c r="GE127" i="24"/>
  <c r="GC366" i="24"/>
  <c r="GF207" i="24"/>
  <c r="GF264" i="24"/>
  <c r="GC169" i="24"/>
  <c r="GC175" i="24"/>
  <c r="GE91" i="24"/>
  <c r="GF226" i="24"/>
  <c r="GF146" i="24"/>
  <c r="GE259" i="24"/>
  <c r="GE204" i="24"/>
  <c r="GD292" i="24"/>
  <c r="GE222" i="24"/>
  <c r="GE328" i="24"/>
  <c r="GF15" i="24"/>
  <c r="GF348" i="24"/>
  <c r="GF260" i="24"/>
  <c r="GF244" i="24"/>
  <c r="GC173" i="24"/>
  <c r="GF29" i="24"/>
  <c r="GE385" i="24"/>
  <c r="GD216" i="24"/>
  <c r="GE68" i="24"/>
  <c r="GD230" i="24"/>
  <c r="GC114" i="24"/>
  <c r="GF268" i="24"/>
  <c r="GF231" i="24"/>
  <c r="GE318" i="24"/>
  <c r="GD32" i="24"/>
  <c r="GD8" i="24"/>
  <c r="GD119" i="24"/>
  <c r="GD56" i="24"/>
  <c r="GD13" i="24"/>
  <c r="GC334" i="24"/>
  <c r="GF229" i="24"/>
  <c r="GF219" i="24"/>
  <c r="GF158" i="24"/>
  <c r="GF10" i="24"/>
  <c r="GE395" i="24"/>
  <c r="GF300" i="24"/>
  <c r="GE288" i="24"/>
  <c r="GE235" i="24"/>
  <c r="GC161" i="24"/>
  <c r="GC379" i="24"/>
  <c r="GF325" i="24"/>
  <c r="GE50" i="24"/>
  <c r="GD382" i="24"/>
  <c r="GD46" i="24"/>
  <c r="GC51" i="24"/>
  <c r="GD58" i="24"/>
  <c r="GC141" i="24"/>
  <c r="GD71" i="24"/>
  <c r="GF84" i="24"/>
  <c r="GF137" i="24"/>
  <c r="GF140" i="24"/>
  <c r="GF139" i="24"/>
  <c r="GC142" i="24"/>
  <c r="GF202" i="24"/>
  <c r="GF208" i="24"/>
  <c r="GE207" i="24"/>
  <c r="GE264" i="24"/>
  <c r="GD176" i="24"/>
  <c r="GC168" i="24"/>
  <c r="GD91" i="24"/>
  <c r="GF242" i="24"/>
  <c r="GE164" i="24"/>
  <c r="GE276" i="24"/>
  <c r="GE199" i="24"/>
  <c r="GD310" i="24"/>
  <c r="GC239" i="24"/>
  <c r="GC362" i="24"/>
  <c r="GF20" i="24"/>
  <c r="GF370" i="24"/>
  <c r="GE277" i="24"/>
  <c r="GE261" i="24"/>
  <c r="GD187" i="24"/>
  <c r="GF52" i="24"/>
  <c r="GF33" i="24"/>
  <c r="GE230" i="24"/>
  <c r="GF114" i="24"/>
  <c r="GD247" i="24"/>
  <c r="GC150" i="24"/>
  <c r="GF284" i="24"/>
  <c r="GF248" i="24"/>
  <c r="GD352" i="24"/>
  <c r="GD59" i="24"/>
  <c r="GD36" i="24"/>
  <c r="GD157" i="24"/>
  <c r="GC97" i="24"/>
  <c r="GD45" i="24"/>
  <c r="GC350" i="24"/>
  <c r="GF245" i="24"/>
  <c r="GF238" i="24"/>
  <c r="GE180" i="24"/>
  <c r="GF46" i="24"/>
  <c r="GF26" i="24"/>
  <c r="GF317" i="24"/>
  <c r="GE306" i="24"/>
  <c r="GE252" i="24"/>
  <c r="GC40" i="24"/>
  <c r="GC16" i="24"/>
  <c r="GC376" i="24"/>
  <c r="GF35" i="24"/>
  <c r="GF23" i="24"/>
  <c r="GD111" i="24"/>
  <c r="GE82" i="24"/>
  <c r="GF215" i="24"/>
  <c r="GC205" i="24"/>
  <c r="GD142" i="24"/>
  <c r="GE78" i="24"/>
  <c r="GD80" i="24"/>
  <c r="GE71" i="24"/>
  <c r="GE137" i="24"/>
  <c r="GE76" i="24"/>
  <c r="GC138" i="24"/>
  <c r="GD126" i="24"/>
  <c r="GC126" i="24"/>
  <c r="GE201" i="24"/>
  <c r="GE208" i="24"/>
  <c r="GD207" i="24"/>
  <c r="GD264" i="24"/>
  <c r="GF160" i="24"/>
  <c r="GD175" i="24"/>
  <c r="GF322" i="24"/>
  <c r="GF259" i="24"/>
  <c r="GF204" i="24"/>
  <c r="GE292" i="24"/>
  <c r="GC222" i="24"/>
  <c r="GC328" i="24"/>
  <c r="GC12" i="24"/>
  <c r="GC383" i="24"/>
  <c r="GF55" i="24"/>
  <c r="GF388" i="24"/>
  <c r="GE293" i="24"/>
  <c r="GF278" i="24"/>
  <c r="GE216" i="24"/>
  <c r="GF68" i="24"/>
  <c r="GE30" i="24"/>
  <c r="GC247" i="24"/>
  <c r="GD150" i="24"/>
  <c r="GD263" i="24"/>
  <c r="GC170" i="24"/>
  <c r="GF301" i="24"/>
  <c r="GE392" i="24"/>
  <c r="GE105" i="24"/>
  <c r="GE37" i="24"/>
  <c r="GE179" i="24"/>
  <c r="GC116" i="24"/>
  <c r="GC410" i="24"/>
  <c r="GF373" i="24"/>
  <c r="GD262" i="24"/>
  <c r="GF255" i="24"/>
  <c r="GF195" i="24"/>
  <c r="GF107" i="24"/>
  <c r="GF57" i="24"/>
  <c r="GF374" i="24"/>
  <c r="GD324" i="24"/>
  <c r="GD269" i="24"/>
  <c r="GC63" i="24"/>
  <c r="GC44" i="24"/>
  <c r="GD405" i="24"/>
  <c r="GD51" i="24"/>
  <c r="GF166" i="24"/>
  <c r="GC155" i="24"/>
  <c r="GD118" i="24"/>
  <c r="GF309" i="24"/>
  <c r="GC212" i="24"/>
  <c r="GF190" i="24"/>
  <c r="GC302" i="24"/>
  <c r="GC316" i="24"/>
  <c r="GE305" i="24"/>
  <c r="GD411" i="24"/>
  <c r="GF39" i="24"/>
  <c r="GD391" i="24"/>
  <c r="GC165" i="24"/>
  <c r="GD123" i="24"/>
  <c r="GE41" i="24"/>
  <c r="GE278" i="24"/>
  <c r="GC281" i="24"/>
  <c r="GF326" i="24"/>
  <c r="GE271" i="24"/>
  <c r="GF307" i="24"/>
  <c r="GE373" i="24"/>
  <c r="GD309" i="24"/>
  <c r="GD389" i="24"/>
  <c r="GC103" i="24"/>
  <c r="GD7" i="24"/>
  <c r="GC147" i="24"/>
  <c r="GC89" i="24"/>
  <c r="GD79" i="24"/>
  <c r="GC129" i="24"/>
  <c r="GC127" i="24"/>
  <c r="GC136" i="24"/>
  <c r="GC86" i="24"/>
  <c r="GD73" i="24"/>
  <c r="GC202" i="24"/>
  <c r="GD208" i="24"/>
  <c r="GC207" i="24"/>
  <c r="GC264" i="24"/>
  <c r="GD169" i="24"/>
  <c r="GE175" i="24"/>
  <c r="GE322" i="24"/>
  <c r="GF276" i="24"/>
  <c r="GF199" i="24"/>
  <c r="GE310" i="24"/>
  <c r="GE239" i="24"/>
  <c r="GD362" i="24"/>
  <c r="GC48" i="24"/>
  <c r="GC402" i="24"/>
  <c r="GF83" i="24"/>
  <c r="GF11" i="24"/>
  <c r="GE311" i="24"/>
  <c r="GF294" i="24"/>
  <c r="GC230" i="24"/>
  <c r="GD114" i="24"/>
  <c r="GE61" i="24"/>
  <c r="GC263" i="24"/>
  <c r="GD170" i="24"/>
  <c r="GC280" i="24"/>
  <c r="GF184" i="24"/>
  <c r="GF318" i="24"/>
  <c r="GE32" i="24"/>
  <c r="GE8" i="24"/>
  <c r="GE119" i="24"/>
  <c r="GE56" i="24"/>
  <c r="GE194" i="24"/>
  <c r="GC154" i="24"/>
  <c r="GC38" i="24"/>
  <c r="GF390" i="24"/>
  <c r="GD279" i="24"/>
  <c r="GF272" i="24"/>
  <c r="GF214" i="24"/>
  <c r="GF122" i="24"/>
  <c r="GF27" i="24"/>
  <c r="GF391" i="24"/>
  <c r="GD340" i="24"/>
  <c r="GD285" i="24"/>
  <c r="GD109" i="24"/>
  <c r="GD9" i="24"/>
  <c r="GD38" i="24"/>
  <c r="GF82" i="24"/>
  <c r="GF271" i="24"/>
  <c r="GD205" i="24"/>
  <c r="GC156" i="24"/>
  <c r="GD151" i="24"/>
  <c r="GD232" i="24"/>
  <c r="GD89" i="24"/>
  <c r="GF77" i="24"/>
  <c r="GE77" i="24"/>
  <c r="GE75" i="24"/>
  <c r="GC71" i="24"/>
  <c r="GC132" i="24"/>
  <c r="GD139" i="24"/>
  <c r="GD130" i="24"/>
  <c r="GD76" i="24"/>
  <c r="GF130" i="24"/>
  <c r="GF71" i="24"/>
  <c r="GE100" i="24"/>
  <c r="GC124" i="24"/>
  <c r="GC88" i="24"/>
  <c r="GF86" i="24"/>
  <c r="GC201" i="24"/>
  <c r="GC369" i="24"/>
  <c r="GD404" i="24"/>
  <c r="GC191" i="24"/>
  <c r="GF168" i="24"/>
  <c r="GD323" i="24"/>
  <c r="GD70" i="24"/>
  <c r="GF328" i="24"/>
  <c r="GE12" i="24"/>
  <c r="GE383" i="24"/>
  <c r="GD67" i="24"/>
  <c r="GD24" i="24"/>
  <c r="GD149" i="24"/>
  <c r="GD17" i="24"/>
  <c r="GF173" i="24"/>
  <c r="GC29" i="24"/>
  <c r="GF385" i="24"/>
  <c r="GF367" i="24"/>
  <c r="GE280" i="24"/>
  <c r="GD184" i="24"/>
  <c r="GD171" i="24"/>
  <c r="GD314" i="24"/>
  <c r="GC227" i="24"/>
  <c r="GE332" i="24"/>
  <c r="GF32" i="24"/>
  <c r="GF8" i="24"/>
  <c r="GC119" i="24"/>
  <c r="GF56" i="24"/>
  <c r="GD194" i="24"/>
  <c r="GD154" i="24"/>
  <c r="GD251" i="24"/>
  <c r="GC211" i="24"/>
  <c r="GE155" i="24"/>
  <c r="GC406" i="24"/>
  <c r="GF331" i="24"/>
  <c r="GF324" i="24"/>
  <c r="GE269" i="24"/>
  <c r="GF196" i="24"/>
  <c r="GF104" i="24"/>
  <c r="GE63" i="24"/>
  <c r="GE44" i="24"/>
  <c r="GE337" i="24"/>
  <c r="GC203" i="24"/>
  <c r="GC106" i="24"/>
  <c r="GE205" i="24"/>
  <c r="GF182" i="24"/>
  <c r="GC355" i="24"/>
  <c r="GC253" i="24"/>
  <c r="GD225" i="24"/>
  <c r="GD252" i="24"/>
  <c r="GC294" i="24"/>
  <c r="GC283" i="24"/>
  <c r="GF13" i="24"/>
  <c r="GD57" i="24"/>
  <c r="GD72" i="24"/>
  <c r="GE73" i="24"/>
  <c r="GE135" i="24"/>
  <c r="GD75" i="24"/>
  <c r="GE72" i="24"/>
  <c r="GE84" i="24"/>
  <c r="GE126" i="24"/>
  <c r="GF142" i="24"/>
  <c r="GE140" i="24"/>
  <c r="GF201" i="24"/>
  <c r="GE369" i="24"/>
  <c r="GF363" i="24"/>
  <c r="GF246" i="24"/>
  <c r="GC176" i="24"/>
  <c r="GC323" i="24"/>
  <c r="GF12" i="24"/>
  <c r="GF383" i="24"/>
  <c r="GE67" i="24"/>
  <c r="GE24" i="24"/>
  <c r="GE149" i="24"/>
  <c r="GE17" i="24"/>
  <c r="GE183" i="24"/>
  <c r="GD64" i="24"/>
  <c r="GF216" i="24"/>
  <c r="GC68" i="24"/>
  <c r="GF30" i="24"/>
  <c r="GF42" i="24"/>
  <c r="GE314" i="24"/>
  <c r="GE227" i="24"/>
  <c r="GD15" i="24"/>
  <c r="GC348" i="24"/>
  <c r="GC20" i="24"/>
  <c r="GC370" i="24"/>
  <c r="GF105" i="24"/>
  <c r="GC37" i="24"/>
  <c r="GD179" i="24"/>
  <c r="GE116" i="24"/>
  <c r="GE234" i="24"/>
  <c r="GC188" i="24"/>
  <c r="GC284" i="24"/>
  <c r="GC248" i="24"/>
  <c r="GD189" i="24"/>
  <c r="GC39" i="24"/>
  <c r="GC387" i="24"/>
  <c r="GF379" i="24"/>
  <c r="GE302" i="24"/>
  <c r="GF236" i="24"/>
  <c r="GE156" i="24"/>
  <c r="GC145" i="24"/>
  <c r="GF41" i="24"/>
  <c r="GE376" i="24"/>
  <c r="GC219" i="24"/>
  <c r="GC158" i="24"/>
  <c r="GF232" i="24"/>
  <c r="GE225" i="24"/>
  <c r="GD379" i="24"/>
  <c r="GD294" i="24"/>
  <c r="GC262" i="24"/>
  <c r="GC298" i="24"/>
  <c r="GD127" i="24"/>
  <c r="EY128" i="24" s="1"/>
  <c r="GC76" i="24"/>
  <c r="GC160" i="24"/>
  <c r="GE362" i="24"/>
  <c r="GF187" i="24"/>
  <c r="GC101" i="24"/>
  <c r="GF392" i="24"/>
  <c r="GC268" i="24"/>
  <c r="GF235" i="24"/>
  <c r="GD319" i="24"/>
  <c r="GD40" i="24"/>
  <c r="GD338" i="24"/>
  <c r="GC252" i="24"/>
  <c r="GE22" i="24"/>
  <c r="GD44" i="24"/>
  <c r="GF342" i="24"/>
  <c r="GE19" i="24"/>
  <c r="GC236" i="24"/>
  <c r="GD267" i="24"/>
  <c r="GE117" i="24"/>
  <c r="GE60" i="24"/>
  <c r="GC367" i="24"/>
  <c r="GC391" i="24"/>
  <c r="GE189" i="24"/>
  <c r="GF254" i="24"/>
  <c r="GE25" i="24"/>
  <c r="GC108" i="24"/>
  <c r="GE289" i="24"/>
  <c r="GF395" i="24"/>
  <c r="GC7" i="24"/>
  <c r="GE196" i="24"/>
  <c r="GD172" i="24"/>
  <c r="GD315" i="24"/>
  <c r="GE350" i="24"/>
  <c r="GD227" i="24"/>
  <c r="GE200" i="24"/>
  <c r="GD152" i="24"/>
  <c r="GC235" i="24"/>
  <c r="GC312" i="24"/>
  <c r="GE300" i="24"/>
  <c r="GE317" i="24"/>
  <c r="GD200" i="24"/>
  <c r="GE296" i="24"/>
  <c r="GD287" i="24"/>
  <c r="GE31" i="24"/>
  <c r="GD303" i="24"/>
  <c r="GF258" i="24"/>
  <c r="GC80" i="24"/>
  <c r="GE125" i="24"/>
  <c r="GE169" i="24"/>
  <c r="GE402" i="24"/>
  <c r="GF28" i="24"/>
  <c r="GC151" i="24"/>
  <c r="GF36" i="24"/>
  <c r="GC174" i="24"/>
  <c r="GF252" i="24"/>
  <c r="GE353" i="24"/>
  <c r="GD212" i="24"/>
  <c r="GF22" i="24"/>
  <c r="GC277" i="24"/>
  <c r="GC35" i="24"/>
  <c r="GF256" i="24"/>
  <c r="GF360" i="24"/>
  <c r="GC270" i="24"/>
  <c r="GC257" i="24"/>
  <c r="GC305" i="24"/>
  <c r="GF189" i="24"/>
  <c r="GC256" i="24"/>
  <c r="GC390" i="24"/>
  <c r="GF7" i="24"/>
  <c r="GF221" i="24"/>
  <c r="GC271" i="24"/>
  <c r="GE18" i="24"/>
  <c r="GD148" i="24"/>
  <c r="GF311" i="24"/>
  <c r="GE103" i="24"/>
  <c r="GF295" i="24"/>
  <c r="GD224" i="24"/>
  <c r="GD193" i="24"/>
  <c r="GE341" i="24"/>
  <c r="GC377" i="24"/>
  <c r="GE181" i="24"/>
  <c r="GE228" i="24"/>
  <c r="GE178" i="24"/>
  <c r="GE273" i="24"/>
  <c r="GE334" i="24"/>
  <c r="GC317" i="24"/>
  <c r="GF377" i="24"/>
  <c r="GC244" i="24"/>
  <c r="GE250" i="24"/>
  <c r="GC30" i="24"/>
  <c r="GD10" i="24"/>
  <c r="GC195" i="24"/>
  <c r="GC72" i="24"/>
  <c r="GE142" i="24"/>
  <c r="GF159" i="24"/>
  <c r="GD12" i="24"/>
  <c r="GE403" i="24"/>
  <c r="GC185" i="24"/>
  <c r="GE59" i="24"/>
  <c r="GF188" i="24"/>
  <c r="GE285" i="24"/>
  <c r="GD145" i="24"/>
  <c r="GE232" i="24"/>
  <c r="GD35" i="24"/>
  <c r="GC325" i="24"/>
  <c r="GE54" i="24"/>
  <c r="GF277" i="24"/>
  <c r="GD22" i="24"/>
  <c r="GE197" i="24"/>
  <c r="GC278" i="24"/>
  <c r="GD327" i="24"/>
  <c r="GD221" i="24"/>
  <c r="GC307" i="24"/>
  <c r="GC26" i="24"/>
  <c r="GC319" i="24"/>
  <c r="GC261" i="24"/>
  <c r="GF291" i="24"/>
  <c r="GF69" i="24"/>
  <c r="GC166" i="24"/>
  <c r="GC337" i="24"/>
  <c r="GD27" i="24"/>
  <c r="GC341" i="24"/>
  <c r="GD244" i="24"/>
  <c r="GF217" i="24"/>
  <c r="GF371" i="24"/>
  <c r="GE400" i="24"/>
  <c r="GF152" i="24"/>
  <c r="GE249" i="24"/>
  <c r="GF193" i="24"/>
  <c r="GF293" i="24"/>
  <c r="GD381" i="24"/>
  <c r="GD339" i="24"/>
  <c r="GF177" i="24"/>
  <c r="GD147" i="24"/>
  <c r="GC229" i="24"/>
  <c r="GD112" i="24"/>
  <c r="GC394" i="24"/>
  <c r="GF222" i="24"/>
  <c r="GC206" i="24"/>
  <c r="GC27" i="24"/>
  <c r="GD278" i="24"/>
  <c r="GD317" i="24"/>
  <c r="GF129" i="24"/>
  <c r="GC75" i="24"/>
  <c r="GE323" i="24"/>
  <c r="GD48" i="24"/>
  <c r="GC52" i="24"/>
  <c r="GD280" i="24"/>
  <c r="GC105" i="24"/>
  <c r="GD231" i="24"/>
  <c r="GF161" i="24"/>
  <c r="GE163" i="24"/>
  <c r="GD274" i="24"/>
  <c r="GC118" i="24"/>
  <c r="GD349" i="24"/>
  <c r="GF118" i="24"/>
  <c r="GD329" i="24"/>
  <c r="GC57" i="24"/>
  <c r="GC163" i="24"/>
  <c r="GD299" i="24"/>
  <c r="GD368" i="24"/>
  <c r="GF240" i="24"/>
  <c r="GE333" i="24"/>
  <c r="GD65" i="24"/>
  <c r="GF38" i="24"/>
  <c r="GD282" i="24"/>
  <c r="GE331" i="24"/>
  <c r="GF147" i="24"/>
  <c r="GD217" i="24"/>
  <c r="GD394" i="24"/>
  <c r="GF47" i="24"/>
  <c r="GD312" i="24"/>
  <c r="GD266" i="24"/>
  <c r="GD237" i="24"/>
  <c r="GE399" i="24"/>
  <c r="GE42" i="24"/>
  <c r="GD306" i="24"/>
  <c r="GD270" i="24"/>
  <c r="GC218" i="24"/>
  <c r="GF319" i="24"/>
  <c r="GE14" i="24"/>
  <c r="GF355" i="24"/>
  <c r="GC401" i="24"/>
  <c r="GE313" i="24"/>
  <c r="GE295" i="24"/>
  <c r="GE378" i="24"/>
  <c r="GF266" i="24"/>
  <c r="GE89" i="24"/>
  <c r="GD213" i="24"/>
  <c r="GF275" i="24"/>
  <c r="GC274" i="24"/>
  <c r="GD337" i="24"/>
  <c r="GE339" i="24"/>
  <c r="GD74" i="24"/>
  <c r="GD201" i="24"/>
  <c r="GF90" i="24"/>
  <c r="GE113" i="24"/>
  <c r="GF329" i="24"/>
  <c r="GD296" i="24"/>
  <c r="GC157" i="24"/>
  <c r="GC69" i="24"/>
  <c r="GF181" i="24"/>
  <c r="GD198" i="24"/>
  <c r="GE182" i="24"/>
  <c r="GF162" i="24"/>
  <c r="GD380" i="24"/>
  <c r="GE162" i="24"/>
  <c r="GD353" i="24"/>
  <c r="GD54" i="24"/>
  <c r="GE9" i="24"/>
  <c r="GE342" i="24"/>
  <c r="GD19" i="24"/>
  <c r="GF257" i="24"/>
  <c r="GE359" i="24"/>
  <c r="GE23" i="24"/>
  <c r="GE381" i="24"/>
  <c r="GC303" i="24"/>
  <c r="GD374" i="24"/>
  <c r="GE171" i="24"/>
  <c r="GF233" i="24"/>
  <c r="GD25" i="24"/>
  <c r="GD62" i="24"/>
  <c r="GE218" i="24"/>
  <c r="GC286" i="24"/>
  <c r="GD254" i="24"/>
  <c r="GD33" i="24"/>
  <c r="GF406" i="24"/>
  <c r="GE214" i="24"/>
  <c r="GF290" i="24"/>
  <c r="GF237" i="24"/>
  <c r="GD376" i="24"/>
  <c r="GF50" i="24"/>
  <c r="GE382" i="24"/>
  <c r="GE172" i="24"/>
  <c r="GC315" i="24"/>
  <c r="GE315" i="24"/>
  <c r="GD102" i="24"/>
  <c r="GC324" i="24"/>
  <c r="GD401" i="24"/>
  <c r="GE274" i="24"/>
  <c r="GE148" i="24"/>
  <c r="GF218" i="24"/>
  <c r="GE368" i="24"/>
  <c r="GC326" i="24"/>
  <c r="GE270" i="24"/>
  <c r="GD135" i="24"/>
  <c r="GE202" i="24"/>
  <c r="GE90" i="24"/>
  <c r="GD383" i="24"/>
  <c r="GF365" i="24"/>
  <c r="GC332" i="24"/>
  <c r="GE36" i="24"/>
  <c r="GD117" i="24"/>
  <c r="GE221" i="24"/>
  <c r="GD41" i="24"/>
  <c r="GF197" i="24"/>
  <c r="GD182" i="24"/>
  <c r="GE411" i="24"/>
  <c r="GC182" i="24"/>
  <c r="GC380" i="24"/>
  <c r="GD104" i="24"/>
  <c r="GE256" i="24"/>
  <c r="GE367" i="24"/>
  <c r="GC399" i="24"/>
  <c r="GC299" i="24"/>
  <c r="GF389" i="24"/>
  <c r="GC58" i="24"/>
  <c r="GD219" i="24"/>
  <c r="GE326" i="24"/>
  <c r="GE7" i="24"/>
  <c r="GD196" i="24"/>
  <c r="GC254" i="24"/>
  <c r="GD18" i="24"/>
  <c r="GF112" i="24"/>
  <c r="GD272" i="24"/>
  <c r="GD308" i="24"/>
  <c r="GE275" i="24"/>
  <c r="GD30" i="24"/>
  <c r="GF31" i="24"/>
  <c r="GC269" i="24"/>
  <c r="GE308" i="24"/>
  <c r="GC258" i="24"/>
  <c r="GF399" i="24"/>
  <c r="GC31" i="24"/>
  <c r="GF350" i="24"/>
  <c r="GD350" i="24"/>
  <c r="GD377" i="24"/>
  <c r="GC327" i="24"/>
  <c r="GE401" i="24"/>
  <c r="GF368" i="24"/>
  <c r="GF287" i="24"/>
  <c r="GD286" i="24"/>
  <c r="GC338" i="24"/>
  <c r="GD69" i="24"/>
  <c r="GE79" i="24"/>
  <c r="GD202" i="24"/>
  <c r="GC322" i="24"/>
  <c r="GD402" i="24"/>
  <c r="GC33" i="24"/>
  <c r="GC184" i="24"/>
  <c r="GF37" i="24"/>
  <c r="GD177" i="24"/>
  <c r="GF43" i="24"/>
  <c r="GD60" i="24"/>
  <c r="GF241" i="24"/>
  <c r="GC225" i="24"/>
  <c r="GF410" i="24"/>
  <c r="GF225" i="24"/>
  <c r="GE13" i="24"/>
  <c r="GE123" i="24"/>
  <c r="GE281" i="24"/>
  <c r="GE390" i="24"/>
  <c r="GF51" i="24"/>
  <c r="GE320" i="24"/>
  <c r="GC25" i="24"/>
  <c r="GE108" i="24"/>
  <c r="GF106" i="24"/>
  <c r="GD395" i="24"/>
  <c r="GD378" i="24"/>
  <c r="GC240" i="24"/>
  <c r="GE291" i="24"/>
  <c r="GE69" i="24"/>
  <c r="GF148" i="24"/>
  <c r="GC180" i="24"/>
  <c r="GE330" i="24"/>
  <c r="GD291" i="24"/>
  <c r="GE107" i="24"/>
  <c r="GD47" i="24"/>
  <c r="GF289" i="24"/>
  <c r="GC330" i="24"/>
  <c r="GD275" i="24"/>
  <c r="GE45" i="24"/>
  <c r="GE51" i="24"/>
  <c r="GF108" i="24"/>
  <c r="GC309" i="24"/>
  <c r="GF66" i="24"/>
  <c r="GC66" i="24"/>
  <c r="GE177" i="24"/>
  <c r="GE102" i="24"/>
  <c r="GD197" i="24"/>
  <c r="GE206" i="24"/>
  <c r="GD53" i="24"/>
  <c r="GE33" i="24"/>
  <c r="GD290" i="24"/>
  <c r="GC43" i="24"/>
  <c r="GD258" i="24"/>
  <c r="GE74" i="24"/>
  <c r="GC208" i="24"/>
  <c r="GE70" i="24"/>
  <c r="GF312" i="24"/>
  <c r="GE210" i="24"/>
  <c r="GE97" i="24"/>
  <c r="GC22" i="24"/>
  <c r="GF58" i="24"/>
  <c r="GD300" i="24"/>
  <c r="GE245" i="24"/>
  <c r="GD101" i="24"/>
  <c r="GD245" i="24"/>
  <c r="GE410" i="24"/>
  <c r="GD162" i="24"/>
  <c r="GC329" i="24"/>
  <c r="GF65" i="24"/>
  <c r="GD203" i="24"/>
  <c r="GD342" i="24"/>
  <c r="GC10" i="24"/>
  <c r="GC123" i="24"/>
  <c r="GD260" i="24"/>
  <c r="GF34" i="24"/>
  <c r="GF269" i="24"/>
  <c r="GF261" i="24"/>
  <c r="GD289" i="24"/>
  <c r="GE38" i="24"/>
  <c r="GE254" i="24"/>
  <c r="GE161" i="24"/>
  <c r="GE34" i="24"/>
  <c r="GE109" i="24"/>
  <c r="GE66" i="24"/>
  <c r="GF74" i="24"/>
  <c r="GD369" i="24"/>
  <c r="GC70" i="24"/>
  <c r="GC67" i="24"/>
  <c r="GF330" i="24"/>
  <c r="GC15" i="24"/>
  <c r="GE157" i="24"/>
  <c r="GC50" i="24"/>
  <c r="GE118" i="24"/>
  <c r="GE111" i="24"/>
  <c r="GD178" i="24"/>
  <c r="GE262" i="24"/>
  <c r="GD161" i="24"/>
  <c r="GE267" i="24"/>
  <c r="GE53" i="24"/>
  <c r="GF206" i="24"/>
  <c r="GC353" i="24"/>
  <c r="GE39" i="24"/>
  <c r="GD256" i="24"/>
  <c r="GD367" i="24"/>
  <c r="GE122" i="24"/>
  <c r="GD206" i="24"/>
  <c r="GC285" i="24"/>
  <c r="GC65" i="24"/>
  <c r="GF45" i="24"/>
  <c r="GC282" i="24"/>
  <c r="GD331" i="24"/>
  <c r="GC196" i="24"/>
  <c r="GD186" i="24"/>
  <c r="GC111" i="24"/>
  <c r="GC45" i="24"/>
  <c r="GF156" i="24"/>
  <c r="GF285" i="24"/>
  <c r="GD218" i="24"/>
  <c r="GF186" i="24"/>
  <c r="GF78" i="24"/>
  <c r="GE372" i="24"/>
  <c r="GF292" i="24"/>
  <c r="GD113" i="24"/>
  <c r="GF14" i="24"/>
  <c r="GC296" i="24"/>
  <c r="GC179" i="24"/>
  <c r="GC23" i="24"/>
  <c r="GF19" i="24"/>
  <c r="GD155" i="24"/>
  <c r="GD63" i="24"/>
  <c r="GF305" i="24"/>
  <c r="GF205" i="24"/>
  <c r="GD283" i="24"/>
  <c r="GF117" i="24"/>
  <c r="GD190" i="24"/>
  <c r="GD385" i="24"/>
  <c r="GE58" i="24"/>
  <c r="GD281" i="24"/>
  <c r="GD390" i="24"/>
  <c r="GD165" i="24"/>
  <c r="GE215" i="24"/>
  <c r="GD333" i="24"/>
  <c r="GD23" i="24"/>
  <c r="GF279" i="24"/>
  <c r="GD326" i="24"/>
  <c r="GC374" i="24"/>
  <c r="GE224" i="24"/>
  <c r="GC217" i="24"/>
  <c r="GF341" i="24"/>
  <c r="GF400" i="24"/>
  <c r="GE355" i="24"/>
  <c r="GF200" i="24"/>
  <c r="GE152" i="24"/>
  <c r="GE371" i="24"/>
  <c r="GD400" i="24"/>
  <c r="GD355" i="24"/>
  <c r="GF155" i="24"/>
  <c r="GD156" i="24"/>
  <c r="GD228" i="24"/>
  <c r="GC200" i="24"/>
  <c r="GE379" i="24"/>
  <c r="GF359" i="24"/>
  <c r="GC266" i="24"/>
  <c r="GF382" i="24"/>
  <c r="GC308" i="24"/>
  <c r="GF138" i="24"/>
  <c r="GF404" i="24"/>
  <c r="GF310" i="24"/>
  <c r="GE167" i="24"/>
  <c r="GE247" i="24"/>
  <c r="GC314" i="24"/>
  <c r="GD220" i="24"/>
  <c r="GD295" i="24"/>
  <c r="GE40" i="24"/>
  <c r="GE212" i="24"/>
  <c r="GF273" i="24"/>
  <c r="GD321" i="24"/>
  <c r="GE236" i="24"/>
  <c r="GC321" i="24"/>
  <c r="GF165" i="24"/>
  <c r="GC245" i="24"/>
  <c r="GC411" i="24"/>
  <c r="GC104" i="24"/>
  <c r="GD307" i="24"/>
  <c r="GD26" i="24"/>
  <c r="GC189" i="24"/>
  <c r="GD233" i="24"/>
  <c r="GD359" i="24"/>
  <c r="GD43" i="24"/>
  <c r="GE238" i="24"/>
  <c r="GD373" i="24"/>
  <c r="GD313" i="24"/>
  <c r="GE244" i="24"/>
  <c r="GE237" i="24"/>
  <c r="GE365" i="24"/>
  <c r="GC34" i="24"/>
  <c r="GC293" i="24"/>
  <c r="GC224" i="24"/>
  <c r="GC172" i="24"/>
  <c r="GD399" i="24"/>
  <c r="GD42" i="24"/>
  <c r="GC378" i="24"/>
  <c r="GD181" i="24"/>
  <c r="GC178" i="24"/>
  <c r="GE406" i="24"/>
  <c r="GD116" i="24"/>
  <c r="GF25" i="24"/>
  <c r="GD371" i="24"/>
  <c r="GF327" i="24"/>
  <c r="GE112" i="24"/>
  <c r="GE139" i="24"/>
  <c r="GE404" i="24"/>
  <c r="GF362" i="24"/>
  <c r="GC24" i="24"/>
  <c r="GE263" i="24"/>
  <c r="GE348" i="24"/>
  <c r="GD97" i="24"/>
  <c r="GC313" i="24"/>
  <c r="GC109" i="24"/>
  <c r="GC102" i="24"/>
  <c r="GE349" i="24"/>
  <c r="GD39" i="24"/>
  <c r="GE257" i="24"/>
  <c r="GE361" i="24"/>
  <c r="GE185" i="24"/>
  <c r="GC267" i="24"/>
  <c r="GD410" i="24"/>
  <c r="GC162" i="24"/>
  <c r="GF333" i="24"/>
  <c r="GF123" i="24"/>
  <c r="GE240" i="24"/>
  <c r="GD250" i="24"/>
  <c r="GE389" i="24"/>
  <c r="GF62" i="24"/>
  <c r="GC395" i="24"/>
  <c r="GC193" i="24"/>
  <c r="GD210" i="24"/>
  <c r="GE387" i="24"/>
  <c r="GF111" i="24"/>
  <c r="GC228" i="24"/>
  <c r="GC61" i="24"/>
  <c r="GE151" i="24"/>
  <c r="GC74" i="24"/>
  <c r="GF191" i="24"/>
  <c r="GF239" i="24"/>
  <c r="GD49" i="24"/>
  <c r="GE150" i="24"/>
  <c r="GD174" i="24"/>
  <c r="GF288" i="24"/>
  <c r="GE16" i="24"/>
  <c r="GC197" i="24"/>
  <c r="GF253" i="24"/>
  <c r="GC287" i="24"/>
  <c r="GE294" i="24"/>
  <c r="GC368" i="24"/>
  <c r="GD257" i="24"/>
  <c r="GE327" i="24"/>
  <c r="GC117" i="24"/>
  <c r="GC190" i="24"/>
  <c r="GC385" i="24"/>
  <c r="GC19" i="24"/>
  <c r="GF282" i="24"/>
  <c r="GE309" i="24"/>
  <c r="GF18" i="24"/>
  <c r="GD166" i="24"/>
  <c r="GC311" i="24"/>
  <c r="GE27" i="24"/>
  <c r="GC42" i="24"/>
  <c r="GF308" i="24"/>
  <c r="GC291" i="24"/>
  <c r="GC18" i="24"/>
  <c r="GE47" i="24"/>
  <c r="GD288" i="24"/>
  <c r="GE286" i="24"/>
  <c r="GC237" i="24"/>
  <c r="GD107" i="24"/>
  <c r="GC47" i="24"/>
  <c r="GD406" i="24"/>
  <c r="GC249" i="24"/>
  <c r="GD241" i="24"/>
  <c r="GD77" i="24"/>
  <c r="GD191" i="24"/>
  <c r="GE48" i="24"/>
  <c r="GF115" i="24"/>
  <c r="GE170" i="24"/>
  <c r="GF59" i="24"/>
  <c r="GC220" i="24"/>
  <c r="GF306" i="24"/>
  <c r="GF9" i="24"/>
  <c r="GD249" i="24"/>
  <c r="GD185" i="24"/>
  <c r="GC78" i="24"/>
  <c r="GE191" i="24"/>
  <c r="GD328" i="24"/>
  <c r="GF153" i="24"/>
  <c r="GC210" i="24"/>
  <c r="GF352" i="24"/>
  <c r="GD234" i="24"/>
  <c r="GF340" i="24"/>
  <c r="GD302" i="24"/>
  <c r="GD31" i="24"/>
  <c r="GD316" i="24"/>
  <c r="GD16" i="24"/>
  <c r="GC360" i="24"/>
  <c r="GE241" i="24"/>
  <c r="GF299" i="24"/>
  <c r="GD387" i="24"/>
  <c r="GC213" i="24"/>
  <c r="GC250" i="24"/>
  <c r="GC53" i="24"/>
  <c r="GE198" i="24"/>
  <c r="GC342" i="24"/>
  <c r="GE374" i="24"/>
  <c r="GC171" i="24"/>
  <c r="GC233" i="24"/>
  <c r="GC359" i="24"/>
  <c r="GE62" i="24"/>
  <c r="GC255" i="24"/>
  <c r="GC373" i="24"/>
  <c r="GC331" i="24"/>
  <c r="GC177" i="24"/>
  <c r="GC148" i="24"/>
  <c r="GC289" i="24"/>
  <c r="GD330" i="24"/>
  <c r="GC275" i="24"/>
  <c r="GC181" i="24"/>
  <c r="GC112" i="24"/>
  <c r="GC340" i="24"/>
  <c r="GC290" i="24"/>
  <c r="GE279" i="24"/>
  <c r="GD341" i="24"/>
  <c r="GD103" i="24"/>
  <c r="GC404" i="24"/>
  <c r="GD261" i="24"/>
  <c r="GD66" i="24"/>
  <c r="GD229" i="24"/>
  <c r="GF313" i="24"/>
  <c r="H5" i="14"/>
  <c r="BU51" i="3"/>
  <c r="BP51" i="3"/>
  <c r="BO51" i="3"/>
  <c r="BR51" i="3"/>
  <c r="BQ51" i="3"/>
  <c r="J11" i="14"/>
  <c r="GE128" i="24" l="1"/>
  <c r="GD128" i="24"/>
  <c r="GC128" i="24"/>
  <c r="GF128" i="24"/>
  <c r="DR8" i="3"/>
  <c r="DQ8" i="3"/>
  <c r="DP8" i="3"/>
  <c r="DO8" i="3"/>
  <c r="DN8" i="3"/>
  <c r="DM8" i="3"/>
  <c r="DL8" i="3"/>
  <c r="DR7" i="3"/>
  <c r="CH7" i="3" s="1"/>
  <c r="DQ7" i="3"/>
  <c r="CG7" i="3" s="1"/>
  <c r="DP7" i="3"/>
  <c r="CF7" i="3" s="1"/>
  <c r="DO7" i="3"/>
  <c r="CE7" i="3" s="1"/>
  <c r="DN7" i="3"/>
  <c r="CD7" i="3" s="1"/>
  <c r="DM7" i="3"/>
  <c r="CC7" i="3" s="1"/>
  <c r="DL7" i="3"/>
  <c r="CB7" i="3" l="1"/>
  <c r="BN7" i="3"/>
  <c r="B8" i="17"/>
  <c r="DQ108" i="3" l="1"/>
  <c r="CG108" i="3" s="1"/>
  <c r="DQ110" i="3"/>
  <c r="CG110" i="3" s="1"/>
  <c r="DQ109" i="3"/>
  <c r="DO112" i="3"/>
  <c r="CE112" i="3" s="1"/>
  <c r="DO111" i="3"/>
  <c r="CE111" i="3" s="1"/>
  <c r="DO109" i="3"/>
  <c r="DO108" i="3"/>
  <c r="CE108" i="3" s="1"/>
  <c r="DO110" i="3"/>
  <c r="CE110" i="3" s="1"/>
  <c r="DQ111" i="3"/>
  <c r="CG111" i="3" s="1"/>
  <c r="DQ112" i="3"/>
  <c r="CG112" i="3" s="1"/>
  <c r="DR108" i="3"/>
  <c r="CH108" i="3" s="1"/>
  <c r="DR109" i="3"/>
  <c r="DR110" i="3"/>
  <c r="CH110" i="3" s="1"/>
  <c r="DP109" i="3"/>
  <c r="DP110" i="3"/>
  <c r="CF110" i="3" s="1"/>
  <c r="DP108" i="3"/>
  <c r="CF108" i="3" s="1"/>
  <c r="DP112" i="3"/>
  <c r="CF112" i="3" s="1"/>
  <c r="DP111" i="3"/>
  <c r="CF111" i="3" s="1"/>
  <c r="DR111" i="3"/>
  <c r="CH111" i="3" s="1"/>
  <c r="DR112" i="3"/>
  <c r="CH112" i="3" s="1"/>
  <c r="CE109" i="3" l="1"/>
  <c r="CF109" i="3"/>
  <c r="CG109" i="3"/>
  <c r="CH109" i="3"/>
  <c r="DN224" i="3" l="1"/>
  <c r="CD224" i="3" s="1"/>
  <c r="DO224" i="3"/>
  <c r="CE224" i="3" s="1"/>
  <c r="DP224" i="3"/>
  <c r="CF224" i="3" s="1"/>
  <c r="DP233" i="3"/>
  <c r="CF233" i="3" s="1"/>
  <c r="DP227" i="3"/>
  <c r="CF227" i="3" s="1"/>
  <c r="DP229" i="3"/>
  <c r="CF229" i="3" s="1"/>
  <c r="DP228" i="3"/>
  <c r="DP230" i="3"/>
  <c r="CF230" i="3" s="1"/>
  <c r="DN227" i="3"/>
  <c r="CD227" i="3" s="1"/>
  <c r="DN226" i="3"/>
  <c r="CD226" i="3" s="1"/>
  <c r="DN225" i="3"/>
  <c r="CD225" i="3" s="1"/>
  <c r="DN230" i="3"/>
  <c r="CD230" i="3" s="1"/>
  <c r="DN229" i="3"/>
  <c r="CD229" i="3" s="1"/>
  <c r="DN228" i="3"/>
  <c r="CD228" i="3" s="1"/>
  <c r="DM229" i="3"/>
  <c r="CC229" i="3" s="1"/>
  <c r="DM228" i="3"/>
  <c r="CC228" i="3" s="1"/>
  <c r="DM225" i="3"/>
  <c r="CC225" i="3" s="1"/>
  <c r="DM227" i="3"/>
  <c r="CC227" i="3" s="1"/>
  <c r="DM226" i="3"/>
  <c r="CC226" i="3" s="1"/>
  <c r="DM224" i="3"/>
  <c r="CC224" i="3" s="1"/>
  <c r="DM230" i="3" l="1"/>
  <c r="CC230" i="3" s="1"/>
  <c r="DO229" i="3"/>
  <c r="CE229" i="3" s="1"/>
  <c r="DQ230" i="3"/>
  <c r="CG230" i="3" s="1"/>
  <c r="DQ224" i="3"/>
  <c r="CG224" i="3" s="1"/>
  <c r="DQ225" i="3"/>
  <c r="CG225" i="3" s="1"/>
  <c r="DQ226" i="3"/>
  <c r="CG226" i="3" s="1"/>
  <c r="DQ227" i="3"/>
  <c r="CG227" i="3" s="1"/>
  <c r="DO226" i="3"/>
  <c r="CE226" i="3" s="1"/>
  <c r="DQ228" i="3"/>
  <c r="CG228" i="3" s="1"/>
  <c r="DO228" i="3"/>
  <c r="CE228" i="3" s="1"/>
  <c r="DQ229" i="3"/>
  <c r="CG229" i="3" s="1"/>
  <c r="DO230" i="3"/>
  <c r="CE230" i="3" s="1"/>
  <c r="DP226" i="3"/>
  <c r="CF226" i="3" s="1"/>
  <c r="DP225" i="3"/>
  <c r="DP231" i="3"/>
  <c r="DP232" i="3"/>
  <c r="CF232" i="3" s="1"/>
  <c r="CH228" i="3" l="1"/>
  <c r="CF228" i="3"/>
  <c r="DO225" i="3"/>
  <c r="CE225" i="3" s="1"/>
  <c r="CH225" i="3" s="1"/>
  <c r="CF225" i="3" s="1"/>
  <c r="DO227" i="3"/>
  <c r="CE227" i="3" s="1"/>
  <c r="DQ233" i="3"/>
  <c r="CG233" i="3" s="1"/>
  <c r="DQ231" i="3"/>
  <c r="CG231" i="3" s="1"/>
  <c r="DQ232" i="3"/>
  <c r="CG232" i="3" s="1"/>
  <c r="DO231" i="3" l="1"/>
  <c r="CE231" i="3" s="1"/>
  <c r="DN231" i="3"/>
  <c r="CD231" i="3" s="1"/>
  <c r="DM231" i="3"/>
  <c r="CC231" i="3" s="1"/>
  <c r="DM232" i="3"/>
  <c r="CC232" i="3" s="1"/>
  <c r="DM233" i="3"/>
  <c r="CC233" i="3" s="1"/>
  <c r="DN233" i="3"/>
  <c r="CD233" i="3" s="1"/>
  <c r="DN232" i="3"/>
  <c r="CD232" i="3" s="1"/>
  <c r="DO232" i="3"/>
  <c r="CE232" i="3" s="1"/>
  <c r="DO233" i="3"/>
  <c r="CE233" i="3" s="1"/>
  <c r="DN24" i="3"/>
  <c r="CD24" i="3" s="1"/>
  <c r="DM24" i="3"/>
  <c r="CC24" i="3" s="1"/>
  <c r="DN25" i="3"/>
  <c r="DM25" i="3"/>
  <c r="CH231" i="3" l="1"/>
  <c r="CF231" i="3" s="1"/>
  <c r="GB40" i="24"/>
  <c r="GB366" i="24"/>
  <c r="GB319" i="24"/>
  <c r="GB332" i="24"/>
  <c r="GB251" i="24"/>
  <c r="GB383" i="24"/>
  <c r="GB56" i="24"/>
  <c r="GB312" i="24"/>
  <c r="GB293" i="24"/>
  <c r="J390" i="3" l="1"/>
  <c r="Y390" i="3" s="1"/>
  <c r="AC390" i="3"/>
  <c r="AA390" i="3"/>
  <c r="R390" i="3" l="1"/>
  <c r="AB390" i="3"/>
  <c r="GC133" i="24" l="1"/>
  <c r="GC134" i="24"/>
  <c r="GG133" i="24" l="1"/>
  <c r="GD133" i="24"/>
  <c r="GF133" i="24"/>
  <c r="GE133" i="24"/>
  <c r="GG134" i="24"/>
  <c r="GD134" i="24"/>
  <c r="GE134" i="24"/>
  <c r="GF134" i="24"/>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tc={E009B03A-156C-4447-80F6-16093D312C8E}</author>
    <author>tc={B221EA0D-385F-4A68-8880-4CEDE1C625D8}</author>
    <author>tc={713A58C2-A317-40EE-B698-15FB94EDD106}</author>
    <author>tc={882EE4B4-5238-48EC-BA54-0894988CBCF7}</author>
    <author>tc={8B31A46D-4040-4C59-9B81-8BD88E478EBD}</author>
    <author>tc={010E0B71-D15D-4905-AD95-A6216E2CEB71}</author>
    <author>tc={4C4D6C72-844C-4D31-9F05-EE310213D1A2}</author>
    <author>tc={599E6D86-9B5E-48E0-8008-7F3C1914C463}</author>
    <author>tc={9C311A64-DAA6-4EEE-98DB-F96A9E969B79}</author>
    <author>tc={B4B6C797-A857-49EB-AD2C-2DD31346E86A}</author>
    <author>tc={1CECD5E3-13FA-4E29-850B-D41AE5EB0355}</author>
    <author>tc={25665E4B-2666-4F6F-A839-4A32A10AC9C1}</author>
    <author>tc={050BA5C1-DD5D-448A-9CED-7423D131E030}</author>
    <author>tc={6BD665DF-4C69-4C4E-BD52-21582A9964A9}</author>
    <author>tc={AFD1975E-BC33-4A5D-ABF4-40899A489F13}</author>
    <author>tc={43593B29-F3F6-4CC4-B861-7FDC6EE5941C}</author>
    <author>tc={E0606CF5-B873-4A64-A339-ECE540C656FB}</author>
    <author>tc={2DD5F4EF-0B8A-4772-9D23-C35F9E164FFE}</author>
    <author>tc={63394002-BED2-413D-B149-29C936899D61}</author>
    <author>tc={7DE70725-0D4B-4B95-849A-62BDD88C4816}</author>
    <author>tc={1EFC79CC-D662-44A3-9C93-52B82D3F6281}</author>
    <author>tc={03EF1E75-3CC9-480C-BB0C-A5488AD6EF3D}</author>
    <author>tc={8DAE0123-3818-48D6-8323-7C3CA26C5DD5}</author>
    <author>tc={3F64B5CD-EB8F-450D-ADA0-B73CED58B6B0}</author>
    <author>tc={00AD08E6-A6C3-409B-8D81-04D315E49063}</author>
    <author>tc={EE759248-89B3-4989-84E3-ED31DB89C4CA}</author>
    <author>tc={53A6EE4F-F5D5-4D93-95C3-E83762339EFC}</author>
    <author>tc={CA2BCE7E-DC61-4C34-88C4-D4710621A782}</author>
    <author>tc={6F38885A-7D8E-4ED8-BCCA-33E57CB4D97A}</author>
    <author>tc={C82D4901-1323-43EB-AFA7-89B0AF631A4E}</author>
    <author>tc={CE2D860C-5740-4FBA-BA5A-391B8288CDA4}</author>
    <author>tc={48C5F147-6406-4814-8D21-C3777E988DDE}</author>
    <author>tc={88FB4F87-3157-423B-99EF-FA3C28D20158}</author>
    <author>tc={81BC37D0-08E9-4720-81C7-2D8A893967C8}</author>
    <author>tc={F6472DF9-88AE-4D08-A3F3-FDC640BD16E3}</author>
    <author>tc={563292E8-1B89-4DF9-A655-471C891D6A99}</author>
    <author>tc={3C308A16-B7D6-406D-979C-613875782438}</author>
    <author>tc={E37E4722-58AF-41F3-BA94-70FBCB9E97B6}</author>
    <author>tc={70954EC1-6102-43F8-B387-441E89E0DA82}</author>
  </authors>
  <commentList>
    <comment ref="C9" authorId="0" shapeId="0" xr:uid="{E009B03A-156C-4447-80F6-16093D312C8E}">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population</t>
      </text>
    </comment>
    <comment ref="C10" authorId="1" shapeId="0" xr:uid="{B221EA0D-385F-4A68-8880-4CEDE1C625D8}">
      <text>
        <t>[Threaded comment]
Your version of Excel allows you to read this threaded comment; however, any edits to it will get removed if the file is opened in a newer version of Excel. Learn more: https://go.microsoft.com/fwlink/?linkid=870924
Comment:
https://opendata.cbs.nl/statline/#/CBS/nl/dataset/85035NED/table?ts=1731932451622
Reply:
    Updated 20 Feb 2025
Meergezinswoningen totaal 2915893</t>
      </text>
    </comment>
    <comment ref="C11" authorId="2" shapeId="0" xr:uid="{713A58C2-A317-40EE-B698-15FB94EDD106}">
      <text>
        <t>[Threaded comment]
Your version of Excel allows you to read this threaded comment; however, any edits to it will get removed if the file is opened in a newer version of Excel. Learn more: https://go.microsoft.com/fwlink/?linkid=870924
Comment:
    Hoekwoning + tussenwoning
Reply:
    Updated 20 Feb 2025</t>
      </text>
    </comment>
    <comment ref="C12" authorId="3" shapeId="0" xr:uid="{882EE4B4-5238-48EC-BA54-0894988CBCF7}">
      <text>
        <t>[Threaded comment]
Your version of Excel allows you to read this threaded comment; however, any edits to it will get removed if the file is opened in a newer version of Excel. Learn more: https://go.microsoft.com/fwlink/?linkid=870924
Comment:
    Vrijstaande woning + 2-onder-1-kapwoning
Updated 20 Feb 2025</t>
      </text>
    </comment>
    <comment ref="C13" authorId="4" shapeId="0" xr:uid="{8B31A46D-4040-4C59-9B81-8BD88E478EBD}">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4" authorId="5" shapeId="0" xr:uid="{010E0B71-D15D-4905-AD95-A6216E2CEB71}">
      <text>
        <t>[Threaded comment]
Your version of Excel allows you to read this threaded comment; however, any edits to it will get removed if the file is opened in a newer version of Excel. Learn more: https://go.microsoft.com/fwlink/?linkid=870924
Comment:
    Unable to find statistics - updated based on growth in total number of non-residential buildings between 2020 and 2022
StatLine - Dwellings and non-residential stock; changes, utility function, regions 
1157582 -&gt; 1181074 = 2.03%</t>
      </text>
    </comment>
    <comment ref="C15" authorId="6" shapeId="0" xr:uid="{4C4D6C72-844C-4D31-9F05-EE310213D1A2}">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Grows with GDP</t>
      </text>
    </comment>
    <comment ref="C16" authorId="7" shapeId="0" xr:uid="{599E6D86-9B5E-48E0-8008-7F3C1914C463}">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corrected to include demand supplied by other sources
Heat, natural gas, renewables. Assumed 90% efficiency of heat gen with natural gas.
Oil comes from machinery, and electricity separate</t>
      </text>
    </comment>
    <comment ref="C17" authorId="8" shapeId="0" xr:uid="{9C311A64-DAA6-4EEE-98DB-F96A9E969B79}">
      <text>
        <t>[Threaded comment]
Your version of Excel allows you to read this threaded comment; however, any edits to it will get removed if the file is opened in a newer version of Excel. Learn more: https://go.microsoft.com/fwlink/?linkid=870924
Comment:
    Based on CBS energy balance
https://opendata.cbs.nl/statline/#/CBS/nl/dataset/83989NED/table?ts=1731932841185
constant</t>
      </text>
    </comment>
    <comment ref="C18" authorId="9" shapeId="0" xr:uid="{B4B6C797-A857-49EB-AD2C-2DD31346E86A}">
      <text>
        <t xml:space="preserve">[Threaded comment]
Your version of Excel allows you to read this threaded comment; however, any edits to it will get removed if the file is opened in a newer version of Excel. Learn more: https://go.microsoft.com/fwlink/?linkid=870924
Comment:
    World Steel statistical yearbook 2023
</t>
      </text>
    </comment>
    <comment ref="C22" authorId="10" shapeId="0" xr:uid="{1CECD5E3-13FA-4E29-850B-D41AE5EB0355}">
      <text>
        <t>[Threaded comment]
Your version of Excel allows you to read this threaded comment; however, any edits to it will get removed if the file is opened in a newer version of Excel. Learn more: https://go.microsoft.com/fwlink/?linkid=870924
Comment:
    Based on 3 Mt ethylene/y in 2020 (PBL from CBS, provided by Carina, not publicly available on website), subtracting ethylene used directly in polymers
Reply:
    Total "ethylene intermediate" should = 3 Mt in 2020
Reply:
    Updated to 2.4 Mt ethylene production in 2022. Based on roughly 60% utilization rate (see ICIS source) and approximation from energy balance non-energy use
Reply:
    https://www.icis.com/explore/resources/cracker-closures-europe/</t>
      </text>
    </comment>
    <comment ref="C24" authorId="11" shapeId="0" xr:uid="{25665E4B-2666-4F6F-A839-4A32A10AC9C1}">
      <text>
        <t>[Threaded comment]
Your version of Excel allows you to read this threaded comment; however, any edits to it will get removed if the file is opened in a newer version of Excel. Learn more: https://go.microsoft.com/fwlink/?linkid=870924
Comment:
    Originally based on yields of butadiene at SABIC (110kt/1150 kt ethylene output) - now revised to be based on KEV values provided by Carina (0.43 Mt in 2020)
Reply:
    Assumed to decline with ethylene production (almost all butadiene/C4 production is from steam crackers)
Reply:
    Updated proportionally to 2.4 Mt/yr ethylene</t>
      </text>
    </comment>
    <comment ref="C25" authorId="12" shapeId="0" xr:uid="{050BA5C1-DD5D-448A-9CED-7423D131E030}">
      <text>
        <t>[Threaded comment]
Your version of Excel allows you to read this threaded comment; however, any edits to it will get removed if the file is opened in a newer version of Excel. Learn more: https://go.microsoft.com/fwlink/?linkid=870924
Comment:
    Cbs
StatLine - Crude and petroleum products balance sheet; supply and consumption (cbs.nl) &gt; 3.25 Mt in 2020
Reply:
    Current (rough) assumption is this declines along with ethylene production. There is also some refinery production (but not linked since there are no fuel exports in this version). To be revisited
Reply:
    Calibrated to avoid infeasibility as BTX is a by product in 2020</t>
      </text>
    </comment>
    <comment ref="C37" authorId="13" shapeId="0" xr:uid="{6BD665DF-4C69-4C4E-BD52-21582A9964A9}">
      <text>
        <t>[Threaded comment]
Your version of Excel allows you to read this threaded comment; however, any edits to it will get removed if the file is opened in a newer version of Excel. Learn more: https://go.microsoft.com/fwlink/?linkid=870924
Comment:
    Based on MIDDEN report - min estimated production (2.39 Mt) and max (2.94)</t>
      </text>
    </comment>
    <comment ref="C44" authorId="14" shapeId="0" xr:uid="{AFD1975E-BC33-4A5D-ABF4-40899A489F13}">
      <text>
        <t>[Threaded comment]
Your version of Excel allows you to read this threaded comment; however, any edits to it will get removed if the file is opened in a newer version of Excel. Learn more: https://go.microsoft.com/fwlink/?linkid=870924
Comment:
    Calibrated to CBS energy balance. 78.4 PJ household waste (biogenic 41.1+ fossil 37.3), assumed 9.4 MJ/kg waste</t>
      </text>
    </comment>
    <comment ref="C45" authorId="15" shapeId="0" xr:uid="{43593B29-F3F6-4CC4-B861-7FDC6EE5941C}">
      <text>
        <t>[Threaded comment]
Your version of Excel allows you to read this threaded comment; however, any edits to it will get removed if the file is opened in a newer version of Excel. Learn more: https://go.microsoft.com/fwlink/?linkid=870924
Comment:
    Updated 20 Feb 2025
Based on growth in total motorcycle ownership 2020 to 2022
654.4 &gt; 677.8 --&gt; 3.58%
https://opendata.cbs.nl/#/CBS/nl/dataset/82472NED/table?searchKeywords=verkeersprestatie%20motorfietsen</t>
      </text>
    </comment>
    <comment ref="C46" authorId="16" shapeId="0" xr:uid="{E0606CF5-B873-4A64-A339-ECE540C656FB}">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7" authorId="17" shapeId="0" xr:uid="{2DD5F4EF-0B8A-4772-9D23-C35F9E164FFE}">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48" authorId="18" shapeId="0" xr:uid="{63394002-BED2-413D-B149-29C936899D61}">
      <text>
        <t>[Threaded comment]
Your version of Excel allows you to read this threaded comment; however, any edits to it will get removed if the file is opened in a newer version of Excel. Learn more: https://go.microsoft.com/fwlink/?linkid=870924
Comment:
    Updated 20 feb 2025
Vrachtauto + trekker voor oplegger
Reply:
    https://opendata.cbs.nl/#/CBS/nl/dataset/85395NED/table?ts=1740060233135</t>
      </text>
    </comment>
    <comment ref="C49" authorId="19" shapeId="0" xr:uid="{7DE70725-0D4B-4B95-849A-62BDD88C4816}">
      <text>
        <t>[Threaded comment]
Your version of Excel allows you to read this threaded comment; however, any edits to it will get removed if the file is opened in a newer version of Excel. Learn more: https://go.microsoft.com/fwlink/?linkid=870924
Comment:
    Updated 20 feb 2025
Reply:
    https://opendata.cbs.nl/#/CBS/nl/dataset/85395NED/table?ts=1740060233135</t>
      </text>
    </comment>
    <comment ref="C50" authorId="20" shapeId="0" xr:uid="{1EFC79CC-D662-44A3-9C93-52B82D3F6281}">
      <text>
        <t>[Threaded comment]
Your version of Excel allows you to read this threaded comment; however, any edits to it will get removed if the file is opened in a newer version of Excel. Learn more: https://go.microsoft.com/fwlink/?linkid=870924
Comment:
    https://opendata.cbs.nl/#/CBS/nl/dataset/84708NED/table?ts=1740060097763
No vehicle kilometer data available. Left constant as train ridership is still recovering from a low point in 2020 (covid).</t>
      </text>
    </comment>
    <comment ref="C51" authorId="21" shapeId="0" xr:uid="{03EF1E75-3CC9-480C-BB0C-A5488AD6EF3D}">
      <text>
        <t>[Threaded comment]
Your version of Excel allows you to read this threaded comment; however, any edits to it will get removed if the file is opened in a newer version of Excel. Learn more: https://go.microsoft.com/fwlink/?linkid=870924
Comment:
    Left constant because no vehicle kilometer data available - relatively constant tonne-kilometers since 2012
https://opendata.cbs.nl/#/CBS/nl/dataset/85528NED/table?ts=1740061558620</t>
      </text>
    </comment>
    <comment ref="C52" authorId="22" shapeId="0" xr:uid="{8DAE0123-3818-48D6-8323-7C3CA26C5DD5}">
      <text>
        <t>[Threaded comment]
Your version of Excel allows you to read this threaded comment; however, any edits to it will get removed if the file is opened in a newer version of Excel. Learn more: https://go.microsoft.com/fwlink/?linkid=870924
Comment:
    Only domestic aviation is not covered. Reduced from 32.6PJ in previous version.
https://opendata.cbs.nl/#/CBS/nl/dataset/83140NED/table</t>
      </text>
    </comment>
    <comment ref="C69" authorId="23" shapeId="0" xr:uid="{3F64B5CD-EB8F-450D-ADA0-B73CED58B6B0}">
      <text>
        <t>[Threaded comment]
Your version of Excel allows you to read this threaded comment; however, any edits to it will get removed if the file is opened in a newer version of Excel. Learn more: https://go.microsoft.com/fwlink/?linkid=870924
Comment:
    Based on CBS energy balance, uitvoer aardgas.
Despite pandemic dip, other factors led to changes in natural gas markets/prices, so 2020 is used as the lower level of exports has remained (unlike for other energy carriers where it has rebounded since 2020)</t>
      </text>
    </comment>
    <comment ref="C70" authorId="24" shapeId="0" xr:uid="{00AD08E6-A6C3-409B-8D81-04D315E49063}">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nafta.
Significant fluctuations in naphtha trade over time. 2020 is used as the lower level of exports is within the range of recent non-pandemic year values (similar for example to 2015 and 2022).
</t>
      </text>
    </comment>
    <comment ref="C71" authorId="25" shapeId="0" xr:uid="{EE759248-89B3-4989-84E3-ED31DB89C4CA}">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motorbenzine, fossiele deel.
2020 is used as the lower level of exports is within the range of recent non-pandemic year values (similar for example to 2016-17 and 2023).
</t>
      </text>
    </comment>
    <comment ref="C72" authorId="26" shapeId="0" xr:uid="{53A6EE4F-F5D5-4D93-95C3-E83762339EFC}">
      <text>
        <t xml:space="preserve">[Threaded comment]
Your version of Excel allows you to read this threaded comment; however, any edits to it will get removed if the file is opened in a newer version of Excel. Learn more: https://go.microsoft.com/fwlink/?linkid=870924
Comment:
    Based on CBS energy balance, uitvoer vliegtuigkerosine, fossiele deel.
2019 is used to avoid bias from pandemic years. Exports have recovered to this pre-pandemic level in 2022-2023.
</t>
      </text>
    </comment>
    <comment ref="C74" authorId="27" shapeId="0" xr:uid="{CA2BCE7E-DC61-4C34-88C4-D4710621A782}">
      <text>
        <t>[Threaded comment]
Your version of Excel allows you to read this threaded comment; however, any edits to it will get removed if the file is opened in a newer version of Excel. Learn more: https://go.microsoft.com/fwlink/?linkid=870924
Comment:
    Zhang et al Table 6, 2015/2025
From 2030 onwards, follows building stock demand</t>
      </text>
    </comment>
    <comment ref="C75" authorId="28" shapeId="0" xr:uid="{6F38885A-7D8E-4ED8-BCCA-33E57CB4D97A}">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Winning + invoer Zout en afgeleide producten
Reply:
    5.893+0.551</t>
      </text>
    </comment>
    <comment ref="S114" authorId="29" shapeId="0" xr:uid="{C82D4901-1323-43EB-AFA7-89B0AF631A4E}">
      <text>
        <t>[Threaded comment]
Your version of Excel allows you to read this threaded comment; however, any edits to it will get removed if the file is opened in a newer version of Excel. Learn more: https://go.microsoft.com/fwlink/?linkid=870924
Comment:
    Used value from fact sheet (3.2 MJ/Nm3) divded by density of BFG (1.25 kg/m3) https://www.engineeringtoolbox.com/gas-density-d_158.html</t>
      </text>
    </comment>
    <comment ref="S130" authorId="30" shapeId="0" xr:uid="{CE2D860C-5740-4FBA-BA5A-391B8288CDA4}">
      <text>
        <t>[Threaded comment]
Your version of Excel allows you to read this threaded comment; however, any edits to it will get removed if the file is opened in a newer version of Excel. Learn more: https://go.microsoft.com/fwlink/?linkid=870924
Comment:
    https://onlinelibrary.wiley.com/doi/10.1155/2023/1842187
Range in conclusion is 12.55-17.15 (matched cluster model)</t>
      </text>
    </comment>
    <comment ref="S138" authorId="31" shapeId="0" xr:uid="{48C5F147-6406-4814-8D21-C3777E988DDE}">
      <text>
        <t>[Threaded comment]
Your version of Excel allows you to read this threaded comment; however, any edits to it will get removed if the file is opened in a newer version of Excel. Learn more: https://go.microsoft.com/fwlink/?linkid=870924
Comment:
    Chose equivalent value to naphtha
https://www.researchgate.net/publication/314490983_Municipal_Plastic_Waste_Composition_Study_at_Transfer_Station_of_Bangkok_and_Possibility_of_its_Energy_Recovery_by_Pyrolysis (in range provided in Table 1)</t>
      </text>
    </comment>
    <comment ref="P145" authorId="32" shapeId="0" xr:uid="{88FB4F87-3157-423B-99EF-FA3C28D2015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Q145" authorId="33" shapeId="0" xr:uid="{81BC37D0-08E9-4720-81C7-2D8A893967C8}">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S145" authorId="34" shapeId="0" xr:uid="{F6472DF9-88AE-4D08-A3F3-FDC640BD16E3}">
      <text>
        <t>[Threaded comment]
Your version of Excel allows you to read this threaded comment; however, any edits to it will get removed if the file is opened in a newer version of Excel. Learn more: https://go.microsoft.com/fwlink/?linkid=870924
Comment:
    RVO standard list of fuels 2024</t>
      </text>
    </comment>
    <comment ref="P146" authorId="35" shapeId="0" xr:uid="{563292E8-1B89-4DF9-A655-471C891D6A99}">
      <text>
        <t>[Threaded comment]
Your version of Excel allows you to read this threaded comment; however, any edits to it will get removed if the file is opened in a newer version of Excel. Learn more: https://go.microsoft.com/fwlink/?linkid=870924
Comment:
    75% carbon by mass in common plastics
Reply:
    Juraj’s paper - to be cited</t>
      </text>
    </comment>
    <comment ref="Q146" authorId="36" shapeId="0" xr:uid="{3C308A16-B7D6-406D-979C-613875782438}">
      <text>
        <t>[Threaded comment]
Your version of Excel allows you to read this threaded comment; however, any edits to it will get removed if the file is opened in a newer version of Excel. Learn more: https://go.microsoft.com/fwlink/?linkid=870924
Comment:
    Previous value was 0.477 (based on MIDDEN report) but assumed all fossil for linking case study (1-.523)
Reply:
    Updated 11 july 2025: MIDDEN report on waste incineration, Table 4.6, 93% weighted average fossil carbon content</t>
      </text>
    </comment>
    <comment ref="S146" authorId="37" shapeId="0" xr:uid="{E37E4722-58AF-41F3-BA94-70FBCB9E97B6}">
      <text>
        <t>[Threaded comment]
Your version of Excel allows you to read this threaded comment; however, any edits to it will get removed if the file is opened in a newer version of Excel. Learn more: https://go.microsoft.com/fwlink/?linkid=870924
Comment:
    Needs source</t>
      </text>
    </comment>
    <comment ref="Q147" authorId="38" shapeId="0" xr:uid="{70954EC1-6102-43F8-B387-441E89E0DA82}">
      <text>
        <t>[Threaded comment]
Your version of Excel allows you to read this threaded comment; however, any edits to it will get removed if the file is opened in a newer version of Excel. Learn more: https://go.microsoft.com/fwlink/?linkid=870924
Comment:
    Implied by 100% fossil plastic removal
=(9.5*.63-0.03*44)/8.85 = .527</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tc={C13E14CE-50D0-4D7D-BDA0-4CA62633C3A8}</author>
    <author>tc={1CB0F5F9-9D68-4533-9405-A959846B53EF}</author>
    <author>tc={D37C32DE-D5F5-4FDE-8945-5E39C8B61B5E}</author>
    <author>tc={4B76CE7C-DB3F-4EA2-81F6-7873BA21E8D8}</author>
    <author>tc={B230F07B-2894-458D-BE02-A4555503E01B}</author>
    <author>tc={6ADAF484-6B09-49C3-ABCE-BD55E3A693AA}</author>
    <author>tc={9BE8DD9E-6E19-4E8C-A04C-2CA66120E62D}</author>
    <author>tc={9FA13639-AA95-4BF6-842C-3BD7A65AF5D2}</author>
    <author>tc={C1724E50-3391-4289-B035-2653DD32D3E2}</author>
    <author>tc={09DDE970-42E8-455F-B012-BA19332C49B9}</author>
    <author>tc={EDF60D6E-ED97-4040-A843-A2A4863A664B}</author>
    <author>tc={7FCA2B5F-F92A-4390-82E6-D295DFDE839B}</author>
    <author>tc={6707EBF9-2467-4985-AA4D-5270A3BB1077}</author>
    <author>tc={EADE9CC6-1297-4B4D-A383-266C09525A45}</author>
    <author>tc={CF582BA2-B668-42F1-BA81-F5F142CE2E2E}</author>
    <author>tc={3CDE9630-74FD-4AA4-9A9D-6DCB5C104391}</author>
    <author>tc={B0FF3508-944C-4809-B4B1-3D547F11993F}</author>
    <author>tc={55787DFA-3389-4C48-A991-4B3E867991B1}</author>
    <author>tc={9538FCB0-D5CE-45CB-AB8D-B722BC0E7785}</author>
    <author>tc={5450DD12-E143-42D9-9DA9-883DF14418DD}</author>
    <author>tc={EF26A737-05A6-4DB7-98F1-AC0E2C15E931}</author>
    <author>tc={527AA4E7-1503-4E91-81D7-34795B7F4124}</author>
    <author>tc={CD7F1907-A574-49EC-BF0B-3224B87ECD16}</author>
    <author>tc={C763F92C-7CB7-4823-AF2F-62984950E283}</author>
    <author>tc={44E90372-DCB5-47F8-9876-F6737B85A737}</author>
    <author>tc={157E30C9-DCEB-4334-98CF-D8A00BD2251C}</author>
    <author>tc={853C3584-C31D-41B9-B7AA-928ACE68FA97}</author>
    <author>tc={1E3C3C87-A577-4DF3-94EA-2CBB9F5DF9F7}</author>
    <author>tc={6FBFA007-7114-4949-9109-CFC35B68C7EA}</author>
    <author>tc={9EA853B4-A3B6-4FA8-8801-FCB2E3F15C5B}</author>
    <author>tc={79D45D98-ECCA-405E-931B-74D549912315}</author>
    <author>tc={B8AA06B8-163D-4DF4-B610-02851A04091B}</author>
    <author>tc={012046B6-38AF-41D9-88B4-9C5967EDE414}</author>
    <author>tc={3FB05A61-A5DC-4B27-B89D-C568D1C2A5E9}</author>
    <author>tc={E5CD5A8E-EC4B-4D09-8438-B454EB1C8FD4}</author>
    <author>tc={8DF50C64-FAE1-40D6-A61C-041316599CE5}</author>
    <author>tc={699435A2-2508-4363-85F5-8F117E85D827}</author>
    <author>tc={6E3EA8AB-C40D-45FC-8D92-56C2FCFE85A9}</author>
    <author>tc={E2C30691-1092-4C1C-AA85-86B29650F419}</author>
    <author>tc={1CAE2F79-BFCE-41E0-B349-37C5FC9C7776}</author>
    <author>tc={BABF0C41-89FC-4388-81D1-CAB6F83F6EA4}</author>
    <author>tc={F80EEE27-9E14-4815-953B-8B17BF92BAED}</author>
    <author>tc={C589F381-23D9-48CC-8E19-54DC45B7AFFF}</author>
    <author>tc={AC7A1106-27A9-44E8-95A9-C8AC6A8299A4}</author>
    <author>tc={1C030F4D-39C2-440C-9F69-9713F17C119F}</author>
    <author>tc={91F21462-EF11-42F6-8183-0DEEC4EAE24A}</author>
    <author>tc={3E752B01-3BEB-4EC0-851C-CAB0BC159642}</author>
    <author>tc={EC778AFD-3099-421E-8D5C-80C29E19A844}</author>
    <author>tc={FA766223-2F6A-470B-A12A-C7A4B345A2A6}</author>
    <author>tc={22E96A8C-3B0B-4C76-9D06-D212E717EA06}</author>
    <author>tc={20789F4A-C5FB-4254-9777-CCF01D4F111B}</author>
    <author>tc={55077F24-AB66-4FF3-9EAD-54FB038BF310}</author>
    <author>tc={CFC433E4-85C8-44C7-A6BD-F063C2E3C60B}</author>
    <author>tc={7ACB3EFF-BF5A-4BFB-8A70-CADA5419E292}</author>
    <author>tc={CB6282DE-EB59-489D-9FF8-0D13511BE480}</author>
    <author>tc={C5152D7B-D0DB-4004-A790-D2E95258A6C0}</author>
    <author>tc={790C6F9A-6E44-49E9-9211-31B8E1710770}</author>
    <author>tc={F829EB1D-7CBF-477D-821A-5282861CBD04}</author>
    <author>tc={EDA4326B-EFE6-42E2-B682-E662DB378EA9}</author>
    <author>tc={7515D6B7-2F63-420C-9FFD-20EF3286C9B8}</author>
    <author>tc={4673BAAC-A6E8-400E-8E6A-0882424B475B}</author>
    <author>tc={1C914880-ACD9-41E3-BEEC-4FC350901124}</author>
    <author>tc={B65AB5F4-78D6-40DA-8262-161AEA11B941}</author>
    <author>tc={34A52C14-B5A6-4605-AC77-4EF64B1AD109}</author>
    <author>tc={163FCD87-E460-46C1-9986-74DC958D8038}</author>
    <author>tc={382866ED-CC6D-42DA-97DC-95CAAA45CE34}</author>
    <author>tc={82BC1229-3F33-4E11-811C-E06E1408B700}</author>
    <author>tc={2E1B26F3-98EE-40CD-8C4A-9C90B40BDDBA}</author>
    <author>tc={5AA3DA6D-1BE0-4343-A533-BD887E91640F}</author>
    <author>tc={FAF2B650-FC74-4AA3-8A97-91EDFB9F6724}</author>
    <author>tc={F91B7F1B-A81A-41A2-A45B-A73E981AB6C4}</author>
    <author>tc={6CFBC518-6408-4E32-825F-C1610266190A}</author>
    <author>tc={47D3725D-6607-4EE0-ADF7-E32EDFC1AC69}</author>
    <author>tc={CF37514D-1597-4501-8862-1BD5E09F8CA2}</author>
    <author>tc={5E0AAC94-EFDF-4E80-9C00-E146B397CFDB}</author>
    <author>tc={806CB0F0-6E85-45B4-BD40-086ED57622F6}</author>
    <author>tc={0F183645-3247-40F9-91BA-A6A9B7383CA1}</author>
    <author>tc={C8A86A82-BC0C-4309-BA96-F1D937B2EAD3}</author>
    <author>tc={1087D111-3B35-4B88-A16F-B270ACF578D9}</author>
    <author>tc={2DF9B939-B487-4995-B2E8-7CB751A6429E}</author>
    <author>tc={BD89145D-22CE-47B6-AF2D-9A20F70C6B77}</author>
    <author>tc={082C45E5-5C27-4E7B-A30A-C2CACA6303CA}</author>
    <author>tc={7A08BF17-9F85-4E1C-BC81-E804D1EE2BBD}</author>
    <author>tc={B62E5AF4-AFB6-4316-8EE3-7E89CB04376F}</author>
    <author>tc={0A21F33F-9B13-4845-BFEE-1326611C8D95}</author>
    <author>tc={0875A096-0E3E-48F1-A20E-CF55F429C9F6}</author>
    <author>tc={C5C06022-33CC-4B76-B326-7F8B940F2B30}</author>
    <author>tc={38DD45EA-3BD4-4817-AACD-6F4EF708D99D}</author>
    <author>tc={63742FDD-E067-47B0-A272-34949B21ECC0}</author>
    <author>tc={CA3679E1-04BF-4853-8BC3-8986E5380F96}</author>
    <author>tc={6D130EC8-C6E8-4FB7-B335-7AF6EC01B722}</author>
    <author>tc={593A6914-7EF8-4714-BCE6-90B3AC06D3CA}</author>
    <author>tc={854ECFAE-430B-49F3-994E-2E72050DA2CB}</author>
    <author>tc={997A0044-6103-4D09-B4B6-C4A79514EB96}</author>
    <author>tc={457ACEC0-6C5E-4543-B470-FB2AE0865249}</author>
    <author>tc={3EC4A03A-5121-4B45-8A1C-BCBADD91C371}</author>
    <author>tc={044F4BDF-758B-46D0-A78B-6FBBCCE43AA2}</author>
    <author>tc={BD2DBB3E-3BDC-4B81-BB40-CB9CD1A5AF1A}</author>
    <author>tc={C0EF4D0C-9318-4281-9E74-FF2DB425AE3E}</author>
    <author>tc={92AECA1E-C47C-4865-88D8-A7F98AC15B1D}</author>
    <author>tc={31EBFF6C-6EF4-4A6E-930B-15602E55D259}</author>
    <author>tc={5DA375B6-D86A-4859-A36B-53828267158F}</author>
    <author>tc={5BA17C3E-93A2-42E8-86C2-CECCED51D78A}</author>
    <author>tc={00D8FC80-5890-481B-A98C-433846D09D6D}</author>
    <author>tc={42EA6C6C-2A91-4117-A855-84308AD3F434}</author>
    <author>tc={3713FD56-ACAB-458C-B40D-8891EC39538E}</author>
    <author>tc={7F30B5B7-AD9C-45F6-BD4D-9E71CD9D704F}</author>
    <author>tc={74ABF320-C216-4EEC-BC96-C92BEE52A9F7}</author>
    <author>tc={2C3377CC-AB5C-4A66-9B3D-01D288EAD9A1}</author>
    <author>tc={7B6D6D60-9857-4CBE-9B3E-7F9B9BD69B5F}</author>
  </authors>
  <commentList>
    <comment ref="I68" authorId="0" shapeId="0" xr:uid="{C13E14CE-50D0-4D7D-BDA0-4CA62633C3A8}">
      <text>
        <t>[Threaded comment]
Your version of Excel allows you to read this threaded comment; however, any edits to it will get removed if the file is opened in a newer version of Excel. Learn more: https://go.microsoft.com/fwlink/?linkid=870924
Comment:
    27 kt/y, $193.4 USD 2024</t>
      </text>
    </comment>
    <comment ref="Q68" authorId="1" shapeId="0" xr:uid="{1CB0F5F9-9D68-4533-9405-A959846B53EF}">
      <text>
        <t>[Threaded comment]
Your version of Excel allows you to read this threaded comment; however, any edits to it will get removed if the file is opened in a newer version of Excel. Learn more: https://go.microsoft.com/fwlink/?linkid=870924
Comment:
    FOM from table 7 divided by annual capacity (input divided by yield converted to annual basis). Converted USD 2024 to EUR2019</t>
      </text>
    </comment>
    <comment ref="X68" authorId="2" shapeId="0" xr:uid="{D37C32DE-D5F5-4FDE-8945-5E39C8B61B5E}">
      <text>
        <t>[Threaded comment]
Your version of Excel allows you to read this threaded comment; however, any edits to it will get removed if the file is opened in a newer version of Excel. Learn more: https://go.microsoft.com/fwlink/?linkid=870924
Comment:
    Raw material costs &amp; vom from table 7</t>
      </text>
    </comment>
    <comment ref="CB92" authorId="3" shapeId="0" xr:uid="{4B76CE7C-DB3F-4EA2-81F6-7873BA21E8D8}">
      <text>
        <t>[Threaded comment]
Your version of Excel allows you to read this threaded comment; however, any edits to it will get removed if the file is opened in a newer version of Excel. Learn more: https://go.microsoft.com/fwlink/?linkid=870924
Comment:
    Based on imports from 2022 from CBS statistics (about 6 Mt imported and 3 Mt exported)</t>
      </text>
    </comment>
    <comment ref="I96" authorId="4" shapeId="0" xr:uid="{B230F07B-2894-458D-BE02-A4555503E01B}">
      <text>
        <t>[Threaded comment]
Your version of Excel allows you to read this threaded comment; however, any edits to it will get removed if the file is opened in a newer version of Excel. Learn more: https://go.microsoft.com/fwlink/?linkid=870924
Comment:
    Average of capital costs</t>
      </text>
    </comment>
    <comment ref="I97" authorId="5" shapeId="0" xr:uid="{6ADAF484-6B09-49C3-ABCE-BD55E3A693AA}">
      <text>
        <t>[Threaded comment]
Your version of Excel allows you to read this threaded comment; however, any edits to it will get removed if the file is opened in a newer version of Excel. Learn more: https://go.microsoft.com/fwlink/?linkid=870924
Comment:
    Updated based on Table 5 of source [106]</t>
      </text>
    </comment>
    <comment ref="G99" authorId="6" shapeId="0" xr:uid="{9BE8DD9E-6E19-4E8C-A04C-2CA66120E62D}">
      <text>
        <t>[Threaded comment]
Your version of Excel allows you to read this threaded comment; however, any edits to it will get removed if the file is opened in a newer version of Excel. Learn more: https://go.microsoft.com/fwlink/?linkid=870924
Comment:
    Assumed equal to conventional CAPEX because no data available. Cost benefit is in the reduced electricity consumption</t>
      </text>
    </comment>
    <comment ref="I136" authorId="7" shapeId="0" xr:uid="{9FA13639-AA95-4BF6-842C-3BD7A65AF5D2}">
      <text>
        <t>[Threaded comment]
Your version of Excel allows you to read this threaded comment; however, any edits to it will get removed if the file is opened in a newer version of Excel. Learn more: https://go.microsoft.com/fwlink/?linkid=870924
Comment:
    Ioniqa process : MIDDEN report &amp; CE Delft 2020</t>
      </text>
    </comment>
    <comment ref="I137" authorId="8" shapeId="0" xr:uid="{C1724E50-3391-4289-B035-2653DD32D3E2}">
      <text>
        <t>[Threaded comment]
Your version of Excel allows you to read this threaded comment; however, any edits to it will get removed if the file is opened in a newer version of Excel. Learn more: https://go.microsoft.com/fwlink/?linkid=870924
Comment:
    18.7 m€ converted for 95% yield and capacity</t>
      </text>
    </comment>
    <comment ref="G140" authorId="9" shapeId="0" xr:uid="{09DDE970-42E8-455F-B012-BA19332C49B9}">
      <text>
        <t xml:space="preserve">[Threaded comment]
Your version of Excel allows you to read this threaded comment; however, any edits to it will get removed if the file is opened in a newer version of Excel. Learn more: https://go.microsoft.com/fwlink/?linkid=870924
Comment:
    50 t/d LDPE dissolution plant, 90% utilization, used total direct permanent investment cost (not total capital investment)
$12.8M/50 tpd (16425 tpy with 90%)
&gt;$/t/year
&gt;$M/Mt/year
(2019 dollars)
&gt;€M/Mt/year
</t>
      </text>
    </comment>
    <comment ref="CI236" authorId="10" shapeId="0" xr:uid="{EDF60D6E-ED97-4040-A843-A2A4863A664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CP236" authorId="11" shapeId="0" xr:uid="{7FCA2B5F-F92A-4390-82E6-D295DFDE839B}">
      <text>
        <t>[Threaded comment]
Your version of Excel allows you to read this threaded comment; however, any edits to it will get removed if the file is opened in a newer version of Excel. Learn more: https://go.microsoft.com/fwlink/?linkid=870924
Comment:
    Based on CBS 2022 82.1 PJ uitvoer elektriciteit</t>
      </text>
    </comment>
    <comment ref="BN254" authorId="12" shapeId="0" xr:uid="{6707EBF9-2467-4985-AA4D-5270A3BB1077}">
      <text>
        <t>[Threaded comment]
Your version of Excel allows you to read this threaded comment; however, any edits to it will get removed if the file is opened in a newer version of Excel. Learn more: https://go.microsoft.com/fwlink/?linkid=870924
Comment:
    Basedon CBS 2022</t>
      </text>
    </comment>
    <comment ref="CI254" authorId="13" shapeId="0" xr:uid="{EADE9CC6-1297-4B4D-A383-266C09525A45}">
      <text>
        <t>[Threaded comment]
Your version of Excel allows you to read this threaded comment; however, any edits to it will get removed if the file is opened in a newer version of Excel. Learn more: https://go.microsoft.com/fwlink/?linkid=870924
Comment:
    Based on 25.6 PJ from CBS 2022</t>
      </text>
    </comment>
    <comment ref="Q255" authorId="14" shapeId="0" xr:uid="{CF582BA2-B668-42F1-BA81-F5F142CE2E2E}">
      <text>
        <t>[Threaded comment]
Your version of Excel allows you to read this threaded comment; however, any edits to it will get removed if the file is opened in a newer version of Excel. Learn more: https://go.microsoft.com/fwlink/?linkid=870924
Comment:
    Small differences to avoid multiple solutions from different solar PV options</t>
      </text>
    </comment>
    <comment ref="BN256" authorId="15" shapeId="0" xr:uid="{3CDE9630-74FD-4AA4-9A9D-6DCB5C104391}">
      <text>
        <t>[Threaded comment]
Your version of Excel allows you to read this threaded comment; however, any edits to it will get removed if the file is opened in a newer version of Excel. Learn more: https://go.microsoft.com/fwlink/?linkid=870924
Comment:
    Based on CBS 2022</t>
      </text>
    </comment>
    <comment ref="CI256" authorId="16" shapeId="0" xr:uid="{B0FF3508-944C-4809-B4B1-3D547F11993F}">
      <text>
        <t>[Threaded comment]
Your version of Excel allows you to read this threaded comment; however, any edits to it will get removed if the file is opened in a newer version of Excel. Learn more: https://go.microsoft.com/fwlink/?linkid=870924
Comment:
    Based on 6.4 PJ from CBS 2022</t>
      </text>
    </comment>
    <comment ref="BN259" authorId="17" shapeId="0" xr:uid="{55787DFA-3389-4C48-A991-4B3E867991B1}">
      <text>
        <t>[Threaded comment]
Your version of Excel allows you to read this threaded comment; however, any edits to it will get removed if the file is opened in a newer version of Excel. Learn more: https://go.microsoft.com/fwlink/?linkid=870924
Comment:
    Basedon 3.9 from CBS 2022</t>
      </text>
    </comment>
    <comment ref="CI259" authorId="18" shapeId="0" xr:uid="{9538FCB0-D5CE-45CB-AB8D-B722BC0E7785}">
      <text>
        <t>[Threaded comment]
Your version of Excel allows you to read this threaded comment; however, any edits to it will get removed if the file is opened in a newer version of Excel. Learn more: https://go.microsoft.com/fwlink/?linkid=870924
Comment:
    Based on 12.0 PJ from CBS 2022</t>
      </text>
    </comment>
    <comment ref="CI265" authorId="19" shapeId="0" xr:uid="{5450DD12-E143-42D9-9DA9-883DF14418DD}">
      <text>
        <t>[Threaded comment]
Your version of Excel allows you to read this threaded comment; however, any edits to it will get removed if the file is opened in a newer version of Excel. Learn more: https://go.microsoft.com/fwlink/?linkid=870924
Comment:
    Based on CBS 2022 66.8 PJ invoer elektriciteit</t>
      </text>
    </comment>
    <comment ref="CB336" authorId="20" shapeId="0" xr:uid="{EF26A737-05A6-4DB7-98F1-AC0E2C15E931}">
      <text>
        <t>[Threaded comment]
Your version of Excel allows you to read this threaded comment; however, any edits to it will get removed if the file is opened in a newer version of Excel. Learn more: https://go.microsoft.com/fwlink/?linkid=870924
Comment:
    Based on CBS statistics, 2022 imports of 17.7 million kg (at 44 MJ/kg) -&gt; 779 PJ</t>
      </text>
    </comment>
    <comment ref="I359" authorId="21" shapeId="0" xr:uid="{527AA4E7-1503-4E91-81D7-34795B7F4124}">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O359" authorId="22" shapeId="0" xr:uid="{CD7F1907-A574-49EC-BF0B-3224B87ECD16}">
      <text>
        <t>[Threaded comment]
Your version of Excel allows you to read this threaded comment; however, any edits to it will get removed if the file is opened in a newer version of Excel. Learn more: https://go.microsoft.com/fwlink/?linkid=870924
Comment:
    Assumed linear cost decline to 2050</t>
      </text>
    </comment>
    <comment ref="I360" authorId="23" shapeId="0" xr:uid="{C763F92C-7CB7-4823-AF2F-62984950E283}">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1" authorId="24" shapeId="0" xr:uid="{44E90372-DCB5-47F8-9876-F6737B85A73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2" authorId="25" shapeId="0" xr:uid="{157E30C9-DCEB-4334-98CF-D8A00BD2251C}">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3" authorId="26" shapeId="0" xr:uid="{853C3584-C31D-41B9-B7AA-928ACE68FA9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4" authorId="27" shapeId="0" xr:uid="{1E3C3C87-A577-4DF3-94EA-2CBB9F5DF9F7}">
      <text>
        <t xml:space="preserve">[Threaded comment]
Your version of Excel allows you to read this threaded comment; however, any edits to it will get removed if the file is opened in a newer version of Excel. Learn more: https://go.microsoft.com/fwlink/?linkid=870924
Comment:
    Updated based on Techno-economic assessment and comparison of Fischer–Tropsch and Methanol-to-Jet processes to produce sustainable aviation fuel via Power-to-Liquid - ScienceDirect 
Reply:
    Times 1.33 because the syncrude output is 1.33 PJ </t>
      </text>
    </comment>
    <comment ref="I365" authorId="28" shapeId="0" xr:uid="{6FBFA007-7114-4949-9109-CFC35B68C7EA}">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6" authorId="29" shapeId="0" xr:uid="{9EA853B4-A3B6-4FA8-8801-FCB2E3F15C5B}">
      <text>
        <t>[Threaded comment]
Your version of Excel allows you to read this threaded comment; however, any edits to it will get removed if the file is opened in a newer version of Excel. Learn more: https://go.microsoft.com/fwlink/?linkid=870924
Comment:
    Updated based on Poluzzi et al. &amp; Julia’s calculation (scaling factor)</t>
      </text>
    </comment>
    <comment ref="I367" authorId="30" shapeId="0" xr:uid="{79D45D98-ECCA-405E-931B-74D549912315}">
      <text>
        <t>[Threaded comment]
Your version of Excel allows you to read this threaded comment; however, any edits to it will get removed if the file is opened in a newer version of Excel. Learn more: https://go.microsoft.com/fwlink/?linkid=870924
Comment:
    Updated based on: technology-factsheets-rwgs-to-co-from-co2-and-h2-1.pdf. Only includes the water-gas-shift
Reply:
    Revised based on cluster model from Julia</t>
      </text>
    </comment>
    <comment ref="I369" authorId="31" shapeId="0" xr:uid="{B8AA06B8-163D-4DF4-B610-02851A04091B}">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70" authorId="32" shapeId="0" xr:uid="{012046B6-38AF-41D9-88B4-9C5967EDE414}">
      <text>
        <t>[Threaded comment]
Your version of Excel allows you to read this threaded comment; however, any edits to it will get removed if the file is opened in a newer version of Excel. Learn more: https://go.microsoft.com/fwlink/?linkid=870924
Comment:
    Updated based on Techno-economic assessment of long-term methanol production from natural gas and renewables - ScienceDirect 
Reply:
    Revised based on cluster model from Julia</t>
      </text>
    </comment>
    <comment ref="I371" authorId="33" shapeId="0" xr:uid="{3FB05A61-A5DC-4B27-B89D-C568D1C2A5E9}">
      <text>
        <t>[Threaded comment]
Your version of Excel allows you to read this threaded comment; however, any edits to it will get removed if the file is opened in a newer version of Excel. Learn more: https://go.microsoft.com/fwlink/?linkid=870924
Comment:
    technology-factsheet-methanol-from-co2-7.pdf 
Reply:
    For linking study, used pessimistic value, and no cost improvements</t>
      </text>
    </comment>
    <comment ref="Q371" authorId="34" shapeId="0" xr:uid="{E5CD5A8E-EC4B-4D09-8438-B454EB1C8FD4}">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Q372" authorId="35" shapeId="0" xr:uid="{8DF50C64-FAE1-40D6-A61C-041316599CE5}">
      <text>
        <t>[Threaded comment]
Your version of Excel allows you to read this threaded comment; however, any edits to it will get removed if the file is opened in a newer version of Excel. Learn more: https://go.microsoft.com/fwlink/?linkid=870924
Comment:
    4% of CAPEX as described in TNO factsheet</t>
      </text>
    </comment>
    <comment ref="I387" authorId="36" shapeId="0" xr:uid="{699435A2-2508-4363-85F5-8F117E85D827}">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88" authorId="37" shapeId="0" xr:uid="{6E3EA8AB-C40D-45FC-8D92-56C2FCFE85A9}">
      <text>
        <t xml:space="preserve">[Threaded comment]
Your version of Excel allows you to read this threaded comment; however, any edits to it will get removed if the file is opened in a newer version of Excel. Learn more: https://go.microsoft.com/fwlink/?linkid=870924
Comment:
    Updated based on: 2017-02 Techno - Economic Evaluation of SMR Based Standalone (Merchant) Hydrogen Plant with CCS.pdf </t>
      </text>
    </comment>
    <comment ref="I390" authorId="38" shapeId="0" xr:uid="{E2C30691-1092-4C1C-AA85-86B29650F419}">
      <text>
        <t>[Threaded comment]
Your version of Excel allows you to read this threaded comment; however, any edits to it will get removed if the file is opened in a newer version of Excel. Learn more: https://go.microsoft.com/fwlink/?linkid=870924
Comment:
    Based on ISPT (also TNO &amp; Krishnan papers), converted to 2022 currency</t>
      </text>
    </comment>
    <comment ref="K390" authorId="39" shapeId="0" xr:uid="{1CAE2F79-BFCE-41E0-B349-37C5FC9C7776}">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t>
      </text>
    </comment>
    <comment ref="L390" authorId="40" shapeId="0" xr:uid="{BABF0C41-89FC-4388-81D1-CAB6F83F6EA4}">
      <text>
        <t>[Threaded comment]
Your version of Excel allows you to read this threaded comment; however, any edits to it will get removed if the file is opened in a newer version of Excel. Learn more: https://go.microsoft.com/fwlink/?linkid=870924
Comment:
    Krishnan et al. 2023 - average of 2030 range</t>
      </text>
    </comment>
    <comment ref="M390" authorId="41" shapeId="0" xr:uid="{F80EEE27-9E14-4815-953B-8B17BF92BAED}">
      <text>
        <t>[Threaded comment]
Your version of Excel allows you to read this threaded comment; however, any edits to it will get removed if the file is opened in a newer version of Excel. Learn more: https://go.microsoft.com/fwlink/?linkid=870924
Comment:
    Krishnan et al. 2023 - average of 2030 range
Reply:
    Updated from Julia’s cluster model - very similar costs
Reply:
    For linking study, constant CAPEX from 2030</t>
      </text>
    </comment>
    <comment ref="O390" authorId="42" shapeId="0" xr:uid="{C589F381-23D9-48CC-8E19-54DC45B7AFFF}">
      <text>
        <t>[Threaded comment]
Your version of Excel allows you to read this threaded comment; however, any edits to it will get removed if the file is opened in a newer version of Excel. Learn more: https://go.microsoft.com/fwlink/?linkid=870924
Comment:
    Danish Energy Agency Tech catalogue AEC 100 MW average of 2050 range
Reply:
    Updated from Julia’s model, very similar costs
Reply:
    For linking study, constant CAPEX from 2030</t>
      </text>
    </comment>
    <comment ref="Q390" authorId="43" shapeId="0" xr:uid="{AC7A1106-27A9-44E8-95A9-C8AC6A8299A4}">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0" authorId="44" shapeId="0" xr:uid="{1C030F4D-39C2-440C-9F69-9713F17C119F}">
      <text>
        <t>[Threaded comment]
Your version of Excel allows you to read this threaded comment; however, any edits to it will get removed if the file is opened in a newer version of Excel. Learn more: https://go.microsoft.com/fwlink/?linkid=870924
Comment:
    Stack replacement costs. 
For alkaline, 23% of CAPEX replaced every 70000h (every 252 PJ at full load). According to Danish Energy Agency Technology catalogue</t>
      </text>
    </comment>
    <comment ref="AS390" authorId="45" shapeId="0" xr:uid="{91F21462-EF11-42F6-8183-0DEEC4EAE24A}">
      <text>
        <t>[Threaded comment]
Your version of Excel allows you to read this threaded comment; however, any edits to it will get removed if the file is opened in a newer version of Excel. Learn more: https://go.microsoft.com/fwlink/?linkid=870924
Comment:
    ISPT GW scale research
Reply:
    Public-report-gigawatt-advanced-green-electrolyser-design.pdf 
Minimum loads for PEM &amp; Alkaline</t>
      </text>
    </comment>
    <comment ref="DK390" authorId="46" shapeId="0" xr:uid="{3E752B01-3BEB-4EC0-851C-CAB0BC159642}">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K391" authorId="47" shapeId="0" xr:uid="{EC778AFD-3099-421E-8D5C-80C29E19A844}">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L391" authorId="48" shapeId="0" xr:uid="{FA766223-2F6A-470B-A12A-C7A4B345A2A6}">
      <text>
        <t>[Threaded comment]
Your version of Excel allows you to read this threaded comment; however, any edits to it will get removed if the file is opened in a newer version of Excel. Learn more: https://go.microsoft.com/fwlink/?linkid=870924
Comment:
    Krishnan et al. average of 2030 range</t>
      </text>
    </comment>
    <comment ref="O391" authorId="49" shapeId="0" xr:uid="{22E96A8C-3B0B-4C76-9D06-D212E717EA06}">
      <text>
        <t>[Threaded comment]
Your version of Excel allows you to read this threaded comment; however, any edits to it will get removed if the file is opened in a newer version of Excel. Learn more: https://go.microsoft.com/fwlink/?linkid=870924
Comment:
    Danish Energy Agency Tech catalogue PEM 100 MW average of 2050 range
Reply:
    For linking study, constant from 2030</t>
      </text>
    </comment>
    <comment ref="Q391" authorId="50" shapeId="0" xr:uid="{20789F4A-C5FB-4254-9777-CCF01D4F111B}">
      <text>
        <t>[Threaded comment]
Your version of Excel allows you to read this threaded comment; however, any edits to it will get removed if the file is opened in a newer version of Excel. Learn more: https://go.microsoft.com/fwlink/?linkid=870924
Comment:
    Based on percentages from TNO factsheets</t>
      </text>
    </comment>
    <comment ref="X391" authorId="51" shapeId="0" xr:uid="{55077F24-AB66-4FF3-9EAD-54FB038BF310}">
      <text>
        <t>[Threaded comment]
Your version of Excel allows you to read this threaded comment; however, any edits to it will get removed if the file is opened in a newer version of Excel. Learn more: https://go.microsoft.com/fwlink/?linkid=870924
Comment:
    Stack replacement costs. 
For PEM, 37% of CAPEX replaced every 55000h (every 198 PJ at full load). According to Danish Energy Agency Technology catalogue</t>
      </text>
    </comment>
    <comment ref="DK391" authorId="52" shapeId="0" xr:uid="{CFC433E4-85C8-44C7-A6BD-F063C2E3C60B}">
      <text>
        <t>[Threaded comment]
Your version of Excel allows you to read this threaded comment; however, any edits to it will get removed if the file is opened in a newer version of Excel. Learn more: https://go.microsoft.com/fwlink/?linkid=870924
Comment:
    Updated but not yet added to data list, see comments</t>
      </text>
    </comment>
    <comment ref="I392" authorId="53" shapeId="0" xr:uid="{7ACB3EFF-BF5A-4BFB-8A70-CADA5419E292}">
      <text>
        <t>[Threaded comment]
Your version of Excel allows you to read this threaded comment; however, any edits to it will get removed if the file is opened in a newer version of Excel. Learn more: https://go.microsoft.com/fwlink/?linkid=870924
Comment:
    Prosser et al 2024 gives some data, but costs seem very low
Cost analysis of hydrogen production by high-temperature solid oxide electrolysis - ScienceDirect 
Reply:
    Instead used Danish energy agency tech catalogue, values for 10MW SOEC (range 1800 for 100 MW and 4000 for 1 MW)
Reply:
    Used upper range of 2050 value</t>
      </text>
    </comment>
    <comment ref="O392" authorId="54" shapeId="0" xr:uid="{CB6282DE-EB59-489D-9FF8-0D13511BE480}">
      <text>
        <t>[Threaded comment]
Your version of Excel allows you to read this threaded comment; however, any edits to it will get removed if the file is opened in a newer version of Excel. Learn more: https://go.microsoft.com/fwlink/?linkid=870924
Comment:
    For linking study, constant from 2030</t>
      </text>
    </comment>
    <comment ref="Q392" authorId="55" shapeId="0" xr:uid="{C5152D7B-D0DB-4004-A790-D2E95258A6C0}">
      <text>
        <t>[Threaded comment]
Your version of Excel allows you to read this threaded comment; however, any edits to it will get removed if the file is opened in a newer version of Excel. Learn more: https://go.microsoft.com/fwlink/?linkid=870924
Comment:
    12% of CAPEX (from Danish Energy Agency technology catalogue)</t>
      </text>
    </comment>
    <comment ref="X392" authorId="56" shapeId="0" xr:uid="{790C6F9A-6E44-49E9-9211-31B8E1710770}">
      <text>
        <t>[Threaded comment]
Your version of Excel allows you to read this threaded comment; however, any edits to it will get removed if the file is opened in a newer version of Excel. Learn more: https://go.microsoft.com/fwlink/?linkid=870924
Comment:
    Stack replacement costs. 
For PEM, 68% of CAPEX replaced every 21250h (every 76.5 PJ at full load). According to Danish Energy Agency Technology catalogue</t>
      </text>
    </comment>
    <comment ref="AS392" authorId="57" shapeId="0" xr:uid="{F829EB1D-7CBF-477D-821A-5282861CBD04}">
      <text>
        <t>[Threaded comment]
Your version of Excel allows you to read this threaded comment; however, any edits to it will get removed if the file is opened in a newer version of Excel. Learn more: https://go.microsoft.com/fwlink/?linkid=870924
Comment:
    https://www.sciencedirect.com/science/article/pii/S0360319915009477
10-100% load</t>
      </text>
    </comment>
    <comment ref="CB417" authorId="58" shapeId="0" xr:uid="{EDA4326B-EFE6-42E2-B682-E662DB378EA9}">
      <text>
        <t>[Threaded comment]
Your version of Excel allows you to read this threaded comment; however, any edits to it will get removed if the file is opened in a newer version of Excel. Learn more: https://go.microsoft.com/fwlink/?linkid=870924
Comment:
    Lobelle et al. table, value for 2017 but no more recent data
Reply:
    Materiaal Monitor puts the value at 1000 kt, which is used for 2025 onwards.</t>
      </text>
    </comment>
    <comment ref="CB418" authorId="59" shapeId="0" xr:uid="{7515D6B7-2F63-420C-9FFD-20EF3286C9B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t>
      </text>
    </comment>
    <comment ref="CD418" authorId="60" shapeId="0" xr:uid="{4673BAAC-A6E8-400E-8E6A-0882424B475B}">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8" authorId="61" shapeId="0" xr:uid="{1C914880-ACD9-41E3-BEEC-4FC3509011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MINBIOCRP41, MINBIOCRP41a, MINBIOFRSR1, MINBIOWOO, MINBIOWOOa, MINBIOWOOW1, MINBIOWOOW1a (Willow, Poplar, Fuelwood residues, FuelwoodRW, C&amp;P_RW, Secondary Forestry residues - woodchips, Sawdust)
Reply:
    Updated from CE Delft Bioscope</t>
      </text>
    </comment>
    <comment ref="CH419" authorId="62" shapeId="0" xr:uid="{B65AB5F4-78D6-40DA-8262-161AEA11B941}">
      <text>
        <t>[Threaded comment]
Your version of Excel allows you to read this threaded comment; however, any edits to it will get removed if the file is opened in a newer version of Excel. Learn more: https://go.microsoft.com/fwlink/?linkid=870924
Comment:
    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
      </text>
    </comment>
    <comment ref="CB421" authorId="63" shapeId="0" xr:uid="{34A52C14-B5A6-4605-AC77-4EF64B1AD10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D421" authorId="64" shapeId="0" xr:uid="{163FCD87-E460-46C1-9986-74DC958D8038}">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F421" authorId="65" shapeId="0" xr:uid="{382866ED-CC6D-42DA-97DC-95CAAA45CE3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H421" authorId="66" shapeId="0" xr:uid="{82BC1229-3F33-4E11-811C-E06E1408B700}">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MINBIOCRP31 (miscanthus, switchgrass, RCG)</t>
      </text>
    </comment>
    <comment ref="CB422" authorId="67" shapeId="0" xr:uid="{2E1B26F3-98EE-40CD-8C4A-9C90B40BDDB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MINBIOAGRW1 (agricultural waste)</t>
      </text>
    </comment>
    <comment ref="CB423" authorId="68" shapeId="0" xr:uid="{5AA3DA6D-1BE0-4343-A533-BD887E91640F}">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MINBIOSLU1 (sludge)</t>
      </text>
    </comment>
    <comment ref="CB424" authorId="69" shapeId="0" xr:uid="{FAF2B650-FC74-4AA3-8A97-91EDFB9F672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HIGH - MINBIOGAS1 (manure solid, liquid)</t>
      </text>
    </comment>
    <comment ref="CD424" authorId="70" shapeId="0" xr:uid="{F91B7F1B-A81A-41A2-A45B-A73E981AB6C4}">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F424" authorId="71" shapeId="0" xr:uid="{6CFBC518-6408-4E32-825F-C1610266190A}">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H424" authorId="72" shapeId="0" xr:uid="{47D3725D-6607-4EE0-ADF7-E32EDFC1AC69}">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MINBIOGAS1 (manure solid, liquid)</t>
      </text>
    </comment>
    <comment ref="CB425" authorId="73" shapeId="0" xr:uid="{CF37514D-1597-4501-8862-1BD5E09F8CA2}">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MINBIOCRP21 (sugar from sugar beet)</t>
      </text>
    </comment>
    <comment ref="CB426" authorId="74" shapeId="0" xr:uid="{5E0AAC94-EFDF-4E80-9C00-E146B397CFDB}">
      <text>
        <t>[Threaded comment]
Your version of Excel allows you to read this threaded comment; however, any edits to it will get removed if the file is opened in a newer version of Excel. Learn more: https://go.microsoft.com/fwlink/?linkid=870924
Comment:
    No data available from ENSPRESO</t>
      </text>
    </comment>
    <comment ref="CB427" authorId="75" shapeId="0" xr:uid="{806CB0F0-6E85-45B4-BD40-086ED57622F6}">
      <text>
        <t>[Threaded comment]
Your version of Excel allows you to read this threaded comment; however, any edits to it will get removed if the file is opened in a newer version of Excel. Learn more: https://go.microsoft.com/fwlink/?linkid=870924
Comment:
    Updated based on ENSPRESO project, Med scenario - MINBIOLIQ1 (sunflower, soya seed) &amp; MINBIORPS1 (rapeseed)</t>
      </text>
    </comment>
    <comment ref="CB428" authorId="76" shapeId="0" xr:uid="{0F183645-3247-40F9-91BA-A6A9B7383CA1}">
      <text>
        <t>[Threaded comment]
Your version of Excel allows you to read this threaded comment; however, any edits to it will get removed if the file is opened in a newer version of Excel. Learn more: https://go.microsoft.com/fwlink/?linkid=870924
Comment:
    Updated based on ESNPRESO - total EU potential minus NL (MINBIOLIQ1)</t>
      </text>
    </comment>
    <comment ref="X440" authorId="77" shapeId="0" xr:uid="{C8A86A82-BC0C-4309-BA96-F1D937B2EAD3}">
      <text>
        <t>[Threaded comment]
Your version of Excel allows you to read this threaded comment; however, any edits to it will get removed if the file is opened in a newer version of Excel. Learn more: https://go.microsoft.com/fwlink/?linkid=870924
Comment:
    MIDDEN report table 4, in range for 89% of market</t>
      </text>
    </comment>
    <comment ref="CB440" authorId="78" shapeId="0" xr:uid="{1087D111-3B35-4B88-A16F-B270ACF578D9}">
      <text>
        <t>[Threaded comment]
Your version of Excel allows you to read this threaded comment; however, any edits to it will get removed if the file is opened in a newer version of Excel. Learn more: https://go.microsoft.com/fwlink/?linkid=870924
Comment:
    https://opendata.cbs.nl/#/CBS/nl/dataset/83180NED/table?ts=1742218988714
Invoer zout en afgeleide producten</t>
      </text>
    </comment>
    <comment ref="I442" authorId="79" shapeId="0" xr:uid="{2DF9B939-B487-4995-B2E8-7CB751A6429E}">
      <text>
        <t>[Threaded comment]
Your version of Excel allows you to read this threaded comment; however, any edits to it will get removed if the file is opened in a newer version of Excel. Learn more: https://go.microsoft.com/fwlink/?linkid=870924
Comment:
    https://atlassalt.com/independent-preliminary-economic-assessment-for-atlas-salts-great-atlantic-project-supports-state-of-the-art-salt-factory-vision/
CAPEX (excl. sustaining capital/reclamation/closure) per Mt capacity, deflated in CAD (World Bank) and converted to 2019 EUR</t>
      </text>
    </comment>
    <comment ref="X443" authorId="80" shapeId="0" xr:uid="{BD89145D-22CE-47B6-AF2D-9A20F70C6B77}">
      <text>
        <t>[Threaded comment]
Your version of Excel allows you to read this threaded comment; however, any edits to it will get removed if the file is opened in a newer version of Excel. Learn more: https://go.microsoft.com/fwlink/?linkid=870924
Comment:
    Zhang et al. 2020, Table 1, price for secondary material, recycling for concrete industry</t>
      </text>
    </comment>
    <comment ref="CB443" authorId="81" shapeId="0" xr:uid="{082C45E5-5C27-4E7B-A30A-C2CACA6303CA}">
      <text>
        <t>[Threaded comment]
Your version of Excel allows you to read this threaded comment; however, any edits to it will get removed if the file is opened in a newer version of Excel. Learn more: https://go.microsoft.com/fwlink/?linkid=870924
Comment:
    Zhang et al 2020
BAU 2025 sum of all EOL concrete
Minus road base use (not modelled)</t>
      </text>
    </comment>
    <comment ref="X444" authorId="82" shapeId="0" xr:uid="{7A08BF17-9F85-4E1C-BC81-E804D1EE2BBD}">
      <text>
        <t>[Threaded comment]
Your version of Excel allows you to read this threaded comment; however, any edits to it will get removed if the file is opened in a newer version of Excel. Learn more: https://go.microsoft.com/fwlink/?linkid=870924
Comment:
    Assumed to be available at zero cost by Samadi et al 2020
This could change with additional demand, but for now seems reasonable given that there would otherwise be waste disposal costs associated with CTW
Reply:
    Assumed half the cost of end-of-life concrete to avoid numerical instability</t>
      </text>
    </comment>
    <comment ref="CB444" authorId="83" shapeId="0" xr:uid="{B62E5AF4-AFB6-4316-8EE3-7E89CB04376F}">
      <text>
        <t>[Threaded comment]
Your version of Excel allows you to read this threaded comment; however, any edits to it will get removed if the file is opened in a newer version of Excel. Learn more: https://go.microsoft.com/fwlink/?linkid=870924
Comment:
    Materiaalvoorradenmonitor 2024, ceramic in buildings multiplied by average demolition rate for houses / non-houses from CBS</t>
      </text>
    </comment>
    <comment ref="I445" authorId="84" shapeId="0" xr:uid="{0A21F33F-9B13-4845-BFEE-1326611C8D95}">
      <text>
        <t>[Threaded comment]
Your version of Excel allows you to read this threaded comment; however, any edits to it will get removed if the file is opened in a newer version of Excel. Learn more: https://go.microsoft.com/fwlink/?linkid=870924
Comment:
    https://link.springer.com/article/10.1007/s40030-014-0058-y/tables/3
Reply:
    GDP deflator 2013 to 2019
https://data.worldbank.org/indicator/NY.GDP.DEFL.ZS.AD?end=2019&amp;locations=IN&amp;start=2013
Reply:
    Exchange rate 2019
https://www.ecb.europa.eu/stats/policy_and_exchange_rates/euro_reference_exchange_rates/html/eurofxref-graph-inr.en.html
Reply:
    In line with https://batchingplantsupplier.com/ready-mix-concrete-plant-cost/
$360k equipment cost for 240 m3/h (largest size)
Reply:
    Largest factor in concrete cost is raw materials (esp cement)</t>
      </text>
    </comment>
    <comment ref="BN445" authorId="85" shapeId="0" xr:uid="{0875A096-0E3E-48F1-A20E-CF55F429C9F6}">
      <text>
        <t>[Threaded comment]
Your version of Excel allows you to read this threaded comment; however, any edits to it will get removed if the file is opened in a newer version of Excel. Learn more: https://go.microsoft.com/fwlink/?linkid=870924
Comment:
    Based on 2015 statistics from ERMCO, via Zhang et al 2020</t>
      </text>
    </comment>
    <comment ref="G446" authorId="86" shapeId="0" xr:uid="{C5C06022-33CC-4B76-B326-7F8B940F2B30}">
      <text>
        <t>[Threaded comment]
Your version of Excel allows you to read this threaded comment; however, any edits to it will get removed if the file is opened in a newer version of Excel. Learn more: https://go.microsoft.com/fwlink/?linkid=870924
Comment:
    This includes repurposing of existing structures with renovation based on the Betonakkoord CO2 Roadmap estimates. Demand reduction (produces concrete)</t>
      </text>
    </comment>
    <comment ref="CC446" authorId="87" shapeId="0" xr:uid="{38DD45EA-3BD4-4817-AACD-6F4EF708D99D}">
      <text>
        <t xml:space="preserve">[Threaded comment]
Your version of Excel allows you to read this threaded comment; however, any edits to it will get removed if the file is opened in a newer version of Excel. Learn more: https://go.microsoft.com/fwlink/?linkid=870924
Comment:
    Betonakkoord - 350 km3 saved per year through reuse of existing structures/renovation
</t>
      </text>
    </comment>
    <comment ref="CD446" authorId="88" shapeId="0" xr:uid="{63742FDD-E067-47B0-A272-34949B21ECC0}">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CH446" authorId="89" shapeId="0" xr:uid="{CA3679E1-04BF-4853-8BC3-8986E5380F96}">
      <text>
        <t>[Threaded comment]
Your version of Excel allows you to read this threaded comment; however, any edits to it will get removed if the file is opened in a newer version of Excel. Learn more: https://go.microsoft.com/fwlink/?linkid=870924
Comment:
    Betonakkoord - 350 km3 for 10 khomes in 2020, twice as much by 2050. Linked to housing projections and linear interpolation. Assumed 2400 kg/m3 concrete.</t>
      </text>
    </comment>
    <comment ref="G447" authorId="90" shapeId="0" xr:uid="{6D130EC8-C6E8-4FB7-B335-7AF6EC01B722}">
      <text>
        <t>[Threaded comment]
Your version of Excel allows you to read this threaded comment; however, any edits to it will get removed if the file is opened in a newer version of Excel. Learn more: https://go.microsoft.com/fwlink/?linkid=870924
Comment:
    Based on the Betonakkoord CO2 Roadmap estimates. Demand reduction (produces concrete)</t>
      </text>
    </comment>
    <comment ref="CC447" authorId="91" shapeId="0" xr:uid="{593A6914-7EF8-4714-BCE6-90B3AC06D3CA}">
      <text>
        <t>[Threaded comment]
Your version of Excel allows you to read this threaded comment; however, any edits to it will get removed if the file is opened in a newer version of Excel. Learn more: https://go.microsoft.com/fwlink/?linkid=870924
Comment:
    And 75 km3 per year via reuse of columns and beams as foundation
Betonakkoord</t>
      </text>
    </comment>
    <comment ref="X448" authorId="92" shapeId="0" xr:uid="{854ECFAE-430B-49F3-994E-2E72050DA2CB}">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49" authorId="93" shapeId="0" xr:uid="{997A0044-6103-4D09-B4B6-C4A79514EB96}">
      <text>
        <t>[Threaded comment]
Your version of Excel allows you to read this threaded comment; however, any edits to it will get removed if the file is opened in a newer version of Excel. Learn more: https://go.microsoft.com/fwlink/?linkid=870924
Comment:
    Zhang et al 2019, Table 4 cost data (virgin material cost)</t>
      </text>
    </comment>
    <comment ref="X450" authorId="94" shapeId="0" xr:uid="{457ACEC0-6C5E-4543-B470-FB2AE0865249}">
      <text>
        <t>[Threaded comment]
Your version of Excel allows you to read this threaded comment; however, any edits to it will get removed if the file is opened in a newer version of Excel. Learn more: https://go.microsoft.com/fwlink/?linkid=870924
Comment:
    CBS statline, invoerwaarde &amp; hoeveelheid, normal portland cement, total of EU &amp; non-EU countries
https://opendata.cbs.nl/#/CBS/nl/dataset/81261ned/table?searchKeywords=cement</t>
      </text>
    </comment>
    <comment ref="I452" authorId="95" shapeId="0" xr:uid="{3EC4A03A-5121-4B45-8A1C-BCBADD91C371}">
      <text>
        <t>[Threaded comment]
Your version of Excel allows you to read this threaded comment; however, any edits to it will get removed if the file is opened in a newer version of Excel. Learn more: https://go.microsoft.com/fwlink/?linkid=870924
Comment:
    Costs from Table 4 in Zhang et al. 2019 Equipment Cost
Unclear how many hours of operation are required per tonne of material processed
Reply:
    https://pure.tudelft.nl/ws/portalfiles/portal/29778399/ADR_Thesis_Walter_de_Vries.pdf
Thesis p 32 gives throughput of ADR system 60-120t/h. 100 tonnes is within this range so hourly depreciation cost is not adjusted.</t>
      </text>
    </comment>
    <comment ref="I453" authorId="96" shapeId="0" xr:uid="{044F4BDF-758B-46D0-A78B-6FBBCCE43AA2}">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
Reply:
    See table 4 in samadi et al
For aggregate from CTW, you need collection transportation, crushing and sieving (NOT grinding)</t>
      </text>
    </comment>
    <comment ref="Q453" authorId="97" shapeId="0" xr:uid="{BD2DBB3E-3BDC-4B81-BB40-CB9CD1A5AF1A}">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3" authorId="98" shapeId="0" xr:uid="{C0EF4D0C-9318-4281-9E74-FF2DB425AE3E}">
      <text>
        <t>[Threaded comment]
Your version of Excel allows you to read this threaded comment; however, any edits to it will get removed if the file is opened in a newer version of Excel. Learn more: https://go.microsoft.com/fwlink/?linkid=870924
Comment:
    Tam 2008</t>
      </text>
    </comment>
    <comment ref="CD453" authorId="99" shapeId="0" xr:uid="{92AECA1E-C47C-4865-88D8-A7F98AC15B1D}">
      <text>
        <t>[Threaded comment]
Your version of Excel allows you to read this threaded comment; however, any edits to it will get removed if the file is opened in a newer version of Excel. Learn more: https://go.microsoft.com/fwlink/?linkid=870924
Comment:
    10% of total aggregate demand potential in 2030, increasing to 30% by 2050 (see appendix of paper)(Fu &amp; Lee). Note we assume same density of aggregate from CTW vs natural aggregate.</t>
      </text>
    </comment>
    <comment ref="I454" authorId="100" shapeId="0" xr:uid="{31EBFF6C-6EF4-4A6E-930B-15602E55D259}">
      <text>
        <t>[Threaded comment]
Your version of Excel allows you to read this threaded comment; however, any edits to it will get removed if the file is opened in a newer version of Excel. Learn more: https://go.microsoft.com/fwlink/?linkid=870924
Comment:
    Sum of the crushing to aggregate size plus CAPEX and OPEX from MIDDEN report on cement, used roller press + 2 vertical grinding mills as standard crushing/grinding technology.
Table 11.
Reply:
    See Table 4 in Samadi et al.
For SCM from CTW, you need collection, transportation, crushing sieving, and grinding.</t>
      </text>
    </comment>
    <comment ref="AG454" authorId="101" shapeId="0" xr:uid="{5DA375B6-D86A-4859-A36B-53828267158F}">
      <text>
        <t>[Threaded comment]
Your version of Excel allows you to read this threaded comment; however, any edits to it will get removed if the file is opened in a newer version of Excel. Learn more: https://go.microsoft.com/fwlink/?linkid=870924
Comment:
    Tam 2008</t>
      </text>
    </comment>
    <comment ref="CD454" authorId="102" shapeId="0" xr:uid="{5BA17C3E-93A2-42E8-86C2-CECCED51D78A}">
      <text>
        <t>[Threaded comment]
Your version of Excel allows you to read this threaded comment; however, any edits to it will get removed if the file is opened in a newer version of Excel. Learn more: https://go.microsoft.com/fwlink/?linkid=870924
Comment:
    10% of total cement demand potential in 2030, increasing to 30% by 2050 (see appendix of paper)(Fu &amp; Lee). Assumed same density SCM vs. cement.</t>
      </text>
    </comment>
    <comment ref="I455" authorId="103" shapeId="0" xr:uid="{00D8FC80-5890-481B-A98C-433846D09D6D}">
      <text>
        <t>[Threaded comment]
Your version of Excel allows you to read this threaded comment; however, any edits to it will get removed if the file is opened in a newer version of Excel. Learn more: https://go.microsoft.com/fwlink/?linkid=870924
Comment:
    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
      </text>
    </comment>
    <comment ref="Q455" authorId="104" shapeId="0" xr:uid="{42EA6C6C-2A91-4117-A855-84308AD3F434}">
      <text>
        <t xml:space="preserve">[Threaded comment]
Your version of Excel allows you to read this threaded comment; however, any edits to it will get removed if the file is opened in a newer version of Excel. Learn more: https://go.microsoft.com/fwlink/?linkid=870924
Comment:
    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
      </text>
    </comment>
    <comment ref="AG455" authorId="105" shapeId="0" xr:uid="{3713FD56-ACAB-458C-B40D-8891EC39538E}">
      <text>
        <t>[Threaded comment]
Your version of Excel allows you to read this threaded comment; however, any edits to it will get removed if the file is opened in a newer version of Excel. Learn more: https://go.microsoft.com/fwlink/?linkid=870924
Comment:
    Tam 2008</t>
      </text>
    </comment>
    <comment ref="CD455" authorId="106" shapeId="0" xr:uid="{7F30B5B7-AD9C-45F6-BD4D-9E71CD9D704F}">
      <text>
        <t>[Threaded comment]
Your version of Excel allows you to read this threaded comment; however, any edits to it will get removed if the file is opened in a newer version of Excel. Learn more: https://go.microsoft.com/fwlink/?linkid=870924
Comment:
    10% of total concrete demand potential in 2030, increasing to 30% by 2050 (see appendix of paper)(Fu &amp; Lee). Note we assume the same density of aggregate from CTW as natural aggregate.</t>
      </text>
    </comment>
    <comment ref="I456" authorId="107" shapeId="0" xr:uid="{74ABF320-C216-4EEC-BC96-C92BEE52A9F7}">
      <text>
        <t>[Threaded comment]
Your version of Excel allows you to read this threaded comment; however, any edits to it will get removed if the file is opened in a newer version of Excel. Learn more: https://go.microsoft.com/fwlink/?linkid=870924
Comment:
    Assumed same cost as crushing for SCM</t>
      </text>
    </comment>
    <comment ref="CD456" authorId="108" shapeId="0" xr:uid="{2C3377CC-AB5C-4A66-9B3D-01D288EAD9A1}">
      <text>
        <t>[Threaded comment]
Your version of Excel allows you to read this threaded comment; however, any edits to it will get removed if the file is opened in a newer version of Excel. Learn more: https://go.microsoft.com/fwlink/?linkid=870924
Comment:
    Assumed 20% potential by 2030, increasing to 50% by 2050 (see appendix of paper)(Fu &amp; Lee)</t>
      </text>
    </comment>
    <comment ref="CB460" authorId="109" shapeId="0" xr:uid="{7B6D6D60-9857-4CBE-9B3E-7F9B9BD69B5F}">
      <text>
        <t>[Threaded comment]
Your version of Excel allows you to read this threaded comment; however, any edits to it will get removed if the file is opened in a newer version of Excel. Learn more: https://go.microsoft.com/fwlink/?linkid=870924
Comment:
    Total amount of AfvalGlas in Materiaal Monitor gebruik table (also what is currently reused/recycled)</t>
      </text>
    </comment>
  </commentList>
</comments>
</file>

<file path=xl/comments3.xml><?xml version="1.0" encoding="utf-8"?>
<comments xmlns="http://schemas.openxmlformats.org/spreadsheetml/2006/main" xmlns:mc="http://schemas.openxmlformats.org/markup-compatibility/2006" xmlns:xr="http://schemas.microsoft.com/office/spreadsheetml/2014/revision" mc:Ignorable="xr">
  <authors>
    <author>tc={EA860C3B-FCFF-4D4A-BBC2-8A6E80A807F6}</author>
    <author>tc={0F5BFAC9-0067-46B2-8446-7D6D3A217915}</author>
    <author>tc={6858FD5D-82DF-4BA8-9809-816B955B31E2}</author>
    <author>tc={D5959AB4-71C6-4B63-A957-77DCD839ADB6}</author>
    <author>tc={BF492527-6FE3-43FB-835D-E3422F1707EE}</author>
    <author>tc={2517CBC1-22D1-4B3E-9A7D-6C74185621F0}</author>
    <author>tc={6737DA18-F1CD-4AF2-BEFE-7100D4D027EE}</author>
    <author>tc={9DDDB129-A43B-4430-81D8-9DDCDF26BC26}</author>
    <author>tc={E80B5E20-6DCF-4EAC-8B58-940C335E523D}</author>
    <author>tc={D47B86D2-4A50-4C82-B938-53D93A4BB20E}</author>
    <author>tc={51249379-8D17-46F0-886F-9C2EECEDB181}</author>
    <author>tc={703D1992-A2AE-451F-9800-EECA99804074}</author>
    <author>tc={DE61FE61-01B9-46F5-B3C7-0AB828019230}</author>
    <author>tc={CCC140EE-139B-4C67-8015-BF2614880E54}</author>
    <author>tc={B11855B4-2E0F-4BDD-9852-1E831E906E1B}</author>
    <author>tc={9EF9DCD5-FE26-427A-994F-3BBBE9CBC0CC}</author>
    <author>tc={E3FC9801-1B5F-4D0F-9F24-FBF0F3F5F576}</author>
    <author>tc={AB8C5B65-C4FD-47D2-BD87-FA2CDCB7FD27}</author>
    <author>tc={B7C6BE01-382D-4778-A5B5-4968B6EC6A57}</author>
    <author>tc={702F42AB-AF3D-4E7B-99EB-608E078100FA}</author>
    <author>tc={1A35D7F0-3A1C-46D2-8EA3-6AC510F62D32}</author>
    <author>tc={FED55390-C26C-4F1A-A6C5-0DF08BA2EE8C}</author>
    <author>tc={341AE422-E62E-4D6C-A276-078B0DC43F17}</author>
    <author>tc={45888717-27B5-4425-9F2E-A0742E687EC3}</author>
    <author>tc={08BB44EF-04A9-497C-9837-4F7E3B22C112}</author>
    <author>tc={2AF2ED6F-D15B-4E7E-8584-06B6F3BCF292}</author>
    <author>tc={289EFB61-77A0-4170-BDE8-1F1472CB7CC3}</author>
    <author>tc={1AD9CA64-EF73-44C5-9C67-F983A2B68DD1}</author>
    <author>tc={F39F0725-5619-4293-B998-467EB0817133}</author>
    <author>tc={259F42E3-615A-40EE-BF52-BEC3BAC8A352}</author>
    <author>tc={702F8606-2EB3-4AE2-AD92-DBFAE9D106EE}</author>
    <author>tc={5B9EE0C8-3048-4C3B-85BE-FA14597C3DCB}</author>
    <author>tc={445A1335-EDCD-4200-8007-19746C49F0C3}</author>
    <author>tc={637F3B93-1ACA-46E2-A180-C359B3410BF5}</author>
    <author>tc={5011BA70-E826-4D5D-92FC-AB617963AF54}</author>
    <author>tc={30BF4CEE-3E06-4E7B-8625-DFA5DF10694D}</author>
    <author>tc={76B7FC42-BF9C-4C8A-8B07-A4E60F20C139}</author>
    <author>tc={A45C7A1F-4D0E-47C8-B2C5-B433BDF5E1AB}</author>
    <author>tc={4C649F02-C281-4EC2-AD42-81BC83ACD64C}</author>
    <author>tc={F7C920D0-367E-4B4D-8996-6AEA8436E10C}</author>
    <author>tc={F4D267A3-4F1E-4459-9444-EA8180848EE2}</author>
    <author>tc={15253F71-3D55-41AC-A765-A62AAB4F08BB}</author>
    <author>tc={3AE7FB9D-0B8F-4522-9CF9-1781D7DF3A03}</author>
    <author>tc={3E97F192-0173-4BCE-AA79-BD4068CB631D}</author>
    <author>tc={9C95C622-4246-4872-BDF8-50BEA9AC211C}</author>
    <author>tc={3A8F82DE-1575-43A1-9823-7771561F9796}</author>
    <author>tc={27263F6D-C04C-4466-94E9-32FB8C6D4F1D}</author>
    <author>tc={81A4879C-3EF9-4819-B879-CD54BB09455B}</author>
    <author>tc={A44C8139-3B10-411B-A7FA-42512D0EAFEE}</author>
    <author>tc={59A61F7F-74D9-429D-BA33-778E3A841D2E}</author>
    <author>tc={80C45038-B564-4AD0-96E3-53073AE9591B}</author>
    <author>tc={8952C0B8-FFBD-4563-ABCC-C6DFF88CCA33}</author>
    <author>tc={53FEEF1F-C496-401F-B36E-B9E9502FCDE5}</author>
    <author>tc={3548FAC9-72EC-4A58-B5D8-BF0907D72AA4}</author>
    <author>tc={65875D08-637B-4178-8427-E940A6998797}</author>
    <author>tc={BEC5365E-1675-4900-84BE-B6316AE7394F}</author>
    <author>tc={D971FD4D-DBF4-4E11-9E3A-3458A519EF1B}</author>
    <author>tc={031C1276-06B6-434C-868C-A1202863BC87}</author>
    <author>tc={1BB8E577-FD59-43B0-BE54-3770EF2D0756}</author>
    <author>tc={6593E699-63F2-4EF2-AEB2-6987B58B36FF}</author>
    <author>tc={E2EE3FED-33EA-4124-8F8B-5A8D9E0F5681}</author>
    <author>tc={0FE4F90F-A872-4147-B5B3-05C2F7C1D12E}</author>
    <author>tc={3817C2BA-E95E-48BC-A937-F43A80D52AC2}</author>
    <author>tc={CC03431D-D17D-4C57-9E9E-97C29B2317C7}</author>
    <author>tc={297CDFB8-8964-4411-8A75-CDA0D1201C95}</author>
    <author>tc={797B1906-EF4C-46C8-94FE-FDE3E7B21949}</author>
    <author>tc={C97AB088-62F4-4BB1-8281-47E8FFCA383B}</author>
    <author>tc={9933C29B-1500-469E-8657-5593F524103A}</author>
    <author>tc={7060E41D-A36E-4DC9-8EE7-3705C0AC3271}</author>
    <author>tc={635B43F4-D707-4D8A-8CC5-372D2A482793}</author>
    <author>tc={82AE99DC-7A52-4396-90C3-452B1D1BB852}</author>
    <author>tc={C5E7CC56-149B-4100-A855-BC15FACCE41F}</author>
    <author>tc={D1699EA9-2195-4A25-B159-84E11843A6E2}</author>
    <author>tc={442B3202-805C-49F9-861D-B7F16939F84E}</author>
    <author>tc={6E7175FA-E91E-4908-B903-C753D18CEE3C}</author>
    <author>tc={DD0BEEA3-1991-46F1-AB29-E31F5BF0A967}</author>
    <author>tc={BEDB5BE0-ADE6-4D44-BA38-9962D33B67A0}</author>
    <author>tc={ADD53CFF-CAEC-4A49-A749-C70C933E8908}</author>
    <author>tc={5E6C0831-A365-47AB-B4F7-72717341C7E3}</author>
    <author>tc={0E3A7BDA-D14B-4E63-B23F-BE4FBD5405DD}</author>
    <author>tc={10059675-5422-4DDA-A222-29C0B2E2D23B}</author>
    <author>tc={614B9D65-A52D-4C61-9BCF-48547B0EE5A8}</author>
    <author>tc={B326B448-DC67-4F50-8CF7-DEB908500772}</author>
    <author>tc={4AB9F1F6-372E-4845-A491-FC2CD13EE7C7}</author>
    <author>tc={CAB00208-7533-4ECE-B7E7-5D4C07C9674C}</author>
    <author>tc={31898F7D-07B2-40ED-8076-EBBE85086C7D}</author>
    <author>tc={DD81F1EC-8F91-49C4-9A8F-A5CE02059387}</author>
    <author>tc={8F461CFD-1047-45D2-98C0-BCAD118218CA}</author>
    <author>tc={CB5A5C0D-3C99-4FCE-9BEE-D64C4630CE91}</author>
    <author>tc={105E2956-9F2F-4087-A21E-F3DCDF76B6A3}</author>
    <author>tc={F690DAF2-7F2D-4CE7-BCEB-70E5791FFAB9}</author>
    <author>tc={19B306EA-91BA-4C48-907F-9CF952F2EAC0}</author>
    <author>tc={A5A0620E-E0EF-4778-8CC9-4E775B74F2AF}</author>
    <author>tc={CBDA1F37-D62A-4250-AAD7-8ED99EC5C44B}</author>
    <author>tc={4612922E-9F06-48D0-BC95-3F33895200C0}</author>
    <author>tc={6203CF3A-5F84-4F6C-AD90-8C04C5F28D36}</author>
    <author>tc={F1A9F5FF-1321-4A49-AEAE-E943C47B290D}</author>
    <author>tc={82760936-EF29-4066-85A1-F6EE6E9DF295}</author>
    <author>tc={D200F3FD-5869-43FA-BA99-5DB7B841FA03}</author>
    <author>tc={305D3879-906F-47E6-B538-87FC7D3A5086}</author>
    <author>tc={56230820-4D15-49C2-A351-20A5AE3F6801}</author>
    <author>tc={4EECB18F-EA5B-44BC-AB37-506294B5DCAD}</author>
  </authors>
  <commentList>
    <comment ref="CQ35" authorId="0" shapeId="0" xr:uid="{EA860C3B-FCFF-4D4A-BBC2-8A6E80A807F6}">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6" authorId="1" shapeId="0" xr:uid="{0F5BFAC9-0067-46B2-8446-7D6D3A217915}">
      <text>
        <t>[Threaded comment]
Your version of Excel allows you to read this threaded comment; however, any edits to it will get removed if the file is opened in a newer version of Excel. Learn more: https://go.microsoft.com/fwlink/?linkid=870924
Comment:
    Based on annual inputs shown on p 12 (Fig 4) of MIDDEN report
Includes both fines and lump ore</t>
      </text>
    </comment>
    <comment ref="CQ37" authorId="2" shapeId="0" xr:uid="{6858FD5D-82DF-4BA8-9809-816B955B31E2}">
      <text>
        <t>[Threaded comment]
Your version of Excel allows you to read this threaded comment; however, any edits to it will get removed if the file is opened in a newer version of Excel. Learn more: https://go.microsoft.com/fwlink/?linkid=870924
Comment:
    Based on inputs shown on p 39 (Fig 23) of MIDDEN report
Includes both fines and lump ore</t>
      </text>
    </comment>
    <comment ref="CQ38" authorId="3" shapeId="0" xr:uid="{D5959AB4-71C6-4B63-A957-77DCD839ADB6}">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39" authorId="4" shapeId="0" xr:uid="{BF492527-6FE3-43FB-835D-E3422F1707EE}">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0" authorId="5" shapeId="0" xr:uid="{2517CBC1-22D1-4B3E-9A7D-6C74185621F0}">
      <text>
        <t>[Threaded comment]
Your version of Excel allows you to read this threaded comment; however, any edits to it will get removed if the file is opened in a newer version of Excel. Learn more: https://go.microsoft.com/fwlink/?linkid=870924
Comment:
    Based on inputs shown on p 40 (Fig 24) of MIDDEN report
Includes both fines and lump ore</t>
      </text>
    </comment>
    <comment ref="CQ41" authorId="6" shapeId="0" xr:uid="{6737DA18-F1CD-4AF2-BEFE-7100D4D027EE}">
      <text>
        <t>[Threaded comment]
Your version of Excel allows you to read this threaded comment; however, any edits to it will get removed if the file is opened in a newer version of Excel. Learn more: https://go.microsoft.com/fwlink/?linkid=870924
Comment:
    Based on inputs shown on p 41 (Fig 25) of MIDDEN report
Includes both fines and lump ore</t>
      </text>
    </comment>
    <comment ref="CQ42" authorId="7" shapeId="0" xr:uid="{9DDDB129-A43B-4430-81D8-9DDCDF26BC26}">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3" authorId="8" shapeId="0" xr:uid="{E80B5E20-6DCF-4EAC-8B58-940C335E523D}">
      <text>
        <t>[Threaded comment]
Your version of Excel allows you to read this threaded comment; however, any edits to it will get removed if the file is opened in a newer version of Excel. Learn more: https://go.microsoft.com/fwlink/?linkid=870924
Comment:
    Based on inputs shown on p 42 (Fig 26) of MIDDEN report
Includes both fines and lump ore</t>
      </text>
    </comment>
    <comment ref="CQ44" authorId="9" shapeId="0" xr:uid="{D47B86D2-4A50-4C82-B938-53D93A4BB20E}">
      <text>
        <t>[Threaded comment]
Your version of Excel allows you to read this threaded comment; however, any edits to it will get removed if the file is opened in a newer version of Excel. Learn more: https://go.microsoft.com/fwlink/?linkid=870924
Comment:
    Based on inputs shown on p 43 (Fig 27) of MIDDEN report
Includes both fines and lump ore</t>
      </text>
    </comment>
    <comment ref="CQ45" authorId="10" shapeId="0" xr:uid="{51249379-8D17-46F0-886F-9C2EECEDB181}">
      <text>
        <t>[Threaded comment]
Your version of Excel allows you to read this threaded comment; however, any edits to it will get removed if the file is opened in a newer version of Excel. Learn more: https://go.microsoft.com/fwlink/?linkid=870924
Comment:
    Based on inputs shown on p 44 (Fig 28) of MIDDEN report
Includes both fines and lump ore</t>
      </text>
    </comment>
    <comment ref="DH54" authorId="11" shapeId="0" xr:uid="{703D1992-A2AE-451F-9800-EECA99804074}">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54" authorId="12" shapeId="0" xr:uid="{DE61FE61-01B9-46F5-B3C7-0AB828019230}">
      <text>
        <t>[Threaded comment]
Your version of Excel allows you to read this threaded comment; however, any edits to it will get removed if the file is opened in a newer version of Excel. Learn more: https://go.microsoft.com/fwlink/?linkid=870924
Comment:
    Cluster model</t>
      </text>
    </comment>
    <comment ref="DT54" authorId="13" shapeId="0" xr:uid="{CCC140EE-139B-4C67-8015-BF2614880E54}">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56" authorId="14" shapeId="0" xr:uid="{B11855B4-2E0F-4BDD-9852-1E831E906E1B}">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64" authorId="15" shapeId="0" xr:uid="{9EF9DCD5-FE26-427A-994F-3BBBE9CBC0CC}">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4" authorId="16" shapeId="0" xr:uid="{E3FC9801-1B5F-4D0F-9F24-FBF0F3F5F57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Z64" authorId="17" shapeId="0" xr:uid="{AB8C5B65-C4FD-47D2-BD87-FA2CDCB7FD27}">
      <text>
        <t>[Threaded comment]
Your version of Excel allows you to read this threaded comment; however, any edits to it will get removed if the file is opened in a newer version of Excel. Learn more: https://go.microsoft.com/fwlink/?linkid=870924
Comment:
    Updated based on cluster model and LHV assumptions</t>
      </text>
    </comment>
    <comment ref="DO65" authorId="18" shapeId="0" xr:uid="{B7C6BE01-382D-4778-A5B5-4968B6EC6A57}">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I65" authorId="19" shapeId="0" xr:uid="{702F42AB-AF3D-4E7B-99EB-608E078100FA}">
      <text>
        <t>[Threaded comment]
Your version of Excel allows you to read this threaded comment; however, any edits to it will get removed if the file is opened in a newer version of Excel. Learn more: https://go.microsoft.com/fwlink/?linkid=870924
Comment:
    Updated based on cluster model. Now higher methanol input but lower heat input (efficiency ~equal)</t>
      </text>
    </comment>
    <comment ref="DH67" authorId="20" shapeId="0" xr:uid="{1A35D7F0-3A1C-46D2-8EA3-6AC510F62D3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67" authorId="21" shapeId="0" xr:uid="{FED55390-C26C-4F1A-A6C5-0DF08BA2EE8C}">
      <text>
        <t>[Threaded comment]
Your version of Excel allows you to read this threaded comment; however, any edits to it will get removed if the file is opened in a newer version of Excel. Learn more: https://go.microsoft.com/fwlink/?linkid=870924
Comment:
    Updated from cluster model - check the units!!</t>
      </text>
    </comment>
    <comment ref="DS67" authorId="22" shapeId="0" xr:uid="{341AE422-E62E-4D6C-A276-078B0DC43F1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67" authorId="23" shapeId="0" xr:uid="{45888717-27B5-4425-9F2E-A0742E687EC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68" authorId="24" shapeId="0" xr:uid="{08BB44EF-04A9-497C-9837-4F7E3B22C112}">
      <text>
        <t xml:space="preserve">[Threaded comment]
Your version of Excel allows you to read this threaded comment; however, any edits to it will get removed if the file is opened in a newer version of Excel. Learn more: https://go.microsoft.com/fwlink/?linkid=870924
Comment:
    8.2GJ/t propylene
</t>
      </text>
    </comment>
    <comment ref="DZ68" authorId="25" shapeId="0" xr:uid="{2AF2ED6F-D15B-4E7E-8584-06B6F3BCF292}">
      <text>
        <t>[Threaded comment]
Your version of Excel allows you to read this threaded comment; however, any edits to it will get removed if the file is opened in a newer version of Excel. Learn more: https://go.microsoft.com/fwlink/?linkid=870924
Comment:
    27% yield from Rode et al 2024</t>
      </text>
    </comment>
    <comment ref="I93" authorId="26" shapeId="0" xr:uid="{289EFB61-77A0-4170-BDE8-1F1472CB7CC3}">
      <text>
        <t>[Threaded comment]
Your version of Excel allows you to read this threaded comment; however, any edits to it will get removed if the file is opened in a newer version of Excel. Learn more: https://go.microsoft.com/fwlink/?linkid=870924
Comment:
    Special case where CO2 is directly used as feedstock for material!</t>
      </text>
    </comment>
    <comment ref="DH94" authorId="27" shapeId="0" xr:uid="{1AD9CA64-EF73-44C5-9C67-F983A2B68DD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S94" authorId="28" shapeId="0" xr:uid="{F39F0725-5619-4293-B998-467EB0817133}">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M94" authorId="29" shapeId="0" xr:uid="{259F42E3-615A-40EE-BF52-BEC3BAC8A35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95" authorId="30" shapeId="0" xr:uid="{702F8606-2EB3-4AE2-AD92-DBFAE9D106E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95" authorId="31" shapeId="0" xr:uid="{5B9EE0C8-3048-4C3B-85BE-FA14597C3DCB}">
      <text>
        <t>[Threaded comment]
Your version of Excel allows you to read this threaded comment; however, any edits to it will get removed if the file is opened in a newer version of Excel. Learn more: https://go.microsoft.com/fwlink/?linkid=870924
Comment:
    Cluster model</t>
      </text>
    </comment>
    <comment ref="DT95" authorId="32" shapeId="0" xr:uid="{445A1335-EDCD-4200-8007-19746C49F0C3}">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Y95" authorId="33" shapeId="0" xr:uid="{637F3B93-1ACA-46E2-A180-C359B3410BF5}">
      <text>
        <t>[Threaded comment]
Your version of Excel allows you to read this threaded comment; however, any edits to it will get removed if the file is opened in a newer version of Excel. Learn more: https://go.microsoft.com/fwlink/?linkid=870924
Comment:
    =-('https://365tno-my.sharepoint.com/personal/kira_west_tno_nl/Documents/Kira/PhD/Data/[Harmonization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
      </text>
    </comment>
    <comment ref="DH96" authorId="34" shapeId="0" xr:uid="{5011BA70-E826-4D5D-92FC-AB617963AF54}">
      <text>
        <t>[Threaded comment]
Your version of Excel allows you to read this threaded comment; however, any edits to it will get removed if the file is opened in a newer version of Excel. Learn more: https://go.microsoft.com/fwlink/?linkid=870924
Comment:
    Average of values for corn grain in table 2</t>
      </text>
    </comment>
    <comment ref="DO96" authorId="35" shapeId="0" xr:uid="{30BF4CEE-3E06-4E7B-8625-DFA5DF10694D}">
      <text>
        <t>[Threaded comment]
Your version of Excel allows you to read this threaded comment; however, any edits to it will get removed if the file is opened in a newer version of Excel. Learn more: https://go.microsoft.com/fwlink/?linkid=870924
Comment:
    Average of values from table 2 corn grain</t>
      </text>
    </comment>
    <comment ref="ER96" authorId="36" shapeId="0" xr:uid="{76B7FC42-BF9C-4C8A-8B07-A4E60F20C139}">
      <text>
        <t>[Threaded comment]
Your version of Excel allows you to read this threaded comment; however, any edits to it will get removed if the file is opened in a newer version of Excel. Learn more: https://go.microsoft.com/fwlink/?linkid=870924
Comment:
    Average of corn grain values in table 2, with 15 GJ/t LHV assumed</t>
      </text>
    </comment>
    <comment ref="EM97" authorId="37" shapeId="0" xr:uid="{A45C7A1F-4D0E-47C8-B2C5-B433BDF5E1AB}">
      <text>
        <t>[Threaded comment]
Your version of Excel allows you to read this threaded comment; however, any edits to it will get removed if the file is opened in a newer version of Excel. Learn more: https://go.microsoft.com/fwlink/?linkid=870924
Comment:
    Note that the value in the database given includes water - see table 3 of the report</t>
      </text>
    </comment>
    <comment ref="DH100" authorId="38" shapeId="0" xr:uid="{4C649F02-C281-4EC2-AD42-81BC83ACD64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O100" authorId="39" shapeId="0" xr:uid="{F7C920D0-367E-4B4D-8996-6AEA8436E10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P100" authorId="40" shapeId="0" xr:uid="{F4D267A3-4F1E-4459-9444-EA8180848EE2}">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Q100" authorId="41" shapeId="0" xr:uid="{15253F71-3D55-41AC-A765-A62AAB4F08BB}">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t>
      </text>
    </comment>
    <comment ref="DT100" authorId="42" shapeId="0" xr:uid="{3AE7FB9D-0B8F-4522-9CF9-1781D7DF3A03}">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DX100" authorId="43" shapeId="0" xr:uid="{3E97F192-0173-4BCE-AA79-BD4068CB631D}">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A101" authorId="44" shapeId="0" xr:uid="{9C95C622-4246-4872-BDF8-50BEA9AC211C}">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E102" authorId="45" shapeId="0" xr:uid="{3A8F82DE-1575-43A1-9823-7771561F9796}">
      <text>
        <t>[Threaded comment]
Your version of Excel allows you to read this threaded comment; however, any edits to it will get removed if the file is opened in a newer version of Excel. Learn more: https://go.microsoft.com/fwlink/?linkid=870924
Comment:
    Based cbs energy balance 2022 minus test run for other activities
Reply:
    Naphtha use in our results is already much higher than non-energy naphtha use in energy balance. Actual feedstock for crackers may also include LPG, diesel, etc. This has been adjusted to match on oil products level instead of for specific products</t>
      </text>
    </comment>
    <comment ref="EW124" authorId="46" shapeId="0" xr:uid="{27263F6D-C04C-4466-94E9-32FB8C6D4F1D}">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W125" authorId="47" shapeId="0" xr:uid="{81A4879C-3EF9-4819-B879-CD54BB09455B}">
      <text>
        <t>[Threaded comment]
Your version of Excel allows you to read this threaded comment; however, any edits to it will get removed if the file is opened in a newer version of Excel. Learn more: https://go.microsoft.com/fwlink/?linkid=870924
Comment:
    Was 9.5 in RVO’s 2022 standard list of fuels. 2024 version gives 9.4, not updated</t>
      </text>
    </comment>
    <comment ref="EX133" authorId="48" shapeId="0" xr:uid="{A44C8139-3B10-411B-A7FA-42512D0EAFEE}">
      <text>
        <t xml:space="preserve">[Threaded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t>
      </text>
    </comment>
    <comment ref="EX134" authorId="49" shapeId="0" xr:uid="{59A61F7F-74D9-429D-BA33-778E3A841D2E}">
      <text>
        <t>[Threaded comment]
Your version of Excel allows you to read this threaded comment; however, any edits to it will get removed if the file is opened in a newer version of Excel. Learn more: https://go.microsoft.com/fwlink/?linkid=870924
Comment:
    Matching overall yield MPW -&gt; MeOH from Afzal et al.  For consistency with cluster model</t>
      </text>
    </comment>
    <comment ref="DD136" authorId="50" shapeId="0" xr:uid="{80C45038-B564-4AD0-96E3-53073AE9591B}">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O137" authorId="51" shapeId="0" xr:uid="{8952C0B8-FFBD-4563-ABCC-C6DFF88CCA33}">
      <text>
        <t>[Threaded comment]
Your version of Excel allows you to read this threaded comment; however, any edits to it will get removed if the file is opened in a newer version of Excel. Learn more: https://go.microsoft.com/fwlink/?linkid=870924
Comment:
    Chemical recycling of Polyethylene terephthalate: A mini-review - ScienceDirect 
188 kj/mol
Reply:
    192 g/mol PET</t>
      </text>
    </comment>
    <comment ref="DH138" authorId="52" shapeId="0" xr:uid="{53FEEF1F-C496-401F-B36E-B9E9502FCDE5}">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38" authorId="53" shapeId="0" xr:uid="{3548FAC9-72EC-4A58-B5D8-BF0907D72AA4}">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F139" authorId="54" shapeId="0" xr:uid="{65875D08-637B-4178-8427-E940A6998797}">
      <text>
        <t>[Threaded comment]
Your version of Excel allows you to read this threaded comment; however, any edits to it will get removed if the file is opened in a newer version of Excel. Learn more: https://go.microsoft.com/fwlink/?linkid=870924
Comment:
    Assumed to include repolymerization because of model scope (monomer not explicit)
Reply:
    https://www.creasolv.de/images/2024.02.23_Dissolution_-_LCAs_EPS_PVC_EPS-HBCD.jpg (47% lower energy use than virgin production)</t>
      </text>
    </comment>
    <comment ref="DE139" authorId="55" shapeId="0" xr:uid="{BEC5365E-1675-4900-84BE-B6316AE7394F}">
      <text>
        <t>[Threaded comment]
Your version of Excel allows you to read this threaded comment; however, any edits to it will get removed if the file is opened in a newer version of Excel. Learn more: https://go.microsoft.com/fwlink/?linkid=870924
Comment:
    Assumed similar yield to glycolysis</t>
      </text>
    </comment>
    <comment ref="DH140" authorId="56" shapeId="0" xr:uid="{D971FD4D-DBF4-4E11-9E3A-3458A519EF1B}">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O140" authorId="57" shapeId="0" xr:uid="{031C1276-06B6-434C-868C-A1202863BC87}">
      <text>
        <t>[Threaded comment]
Your version of Excel allows you to read this threaded comment; however, any edits to it will get removed if the file is opened in a newer version of Excel. Learn more: https://go.microsoft.com/fwlink/?linkid=870924
Comment:
    47% less energy use than virgin production</t>
      </text>
    </comment>
    <comment ref="DI273" authorId="58" shapeId="0" xr:uid="{1BB8E577-FD59-43B0-BE54-3770EF2D0756}">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84" authorId="59" shapeId="0" xr:uid="{6593E699-63F2-4EF2-AEB2-6987B58B36FF}">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297" authorId="60" shapeId="0" xr:uid="{E2EE3FED-33EA-4124-8F8B-5A8D9E0F568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I304" authorId="61" shapeId="0" xr:uid="{0FE4F90F-A872-4147-B5B3-05C2F7C1D12E}">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20" authorId="62" shapeId="0" xr:uid="{3817C2BA-E95E-48BC-A937-F43A80D52AC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AG337" authorId="63" shapeId="0" xr:uid="{CC03431D-D17D-4C57-9E9E-97C29B2317C7}">
      <text>
        <t xml:space="preserve">[Threaded comment]
Your version of Excel allows you to read this threaded comment; however, any edits to it will get removed if the file is opened in a newer version of Excel. Learn more: https://go.microsoft.com/fwlink/?linkid=870924
Comment:
    Based on ratio in 2020 from CBS of total prod of aromatics vs total prod kerosene (with conversion of units, LHV of kerosene)
StatLine - Crude and petroleum products balance sheet; supply and consumption (cbs.nl) </t>
      </text>
    </comment>
    <comment ref="EI360" authorId="64" shapeId="0" xr:uid="{297CDFB8-8964-4411-8A75-CDA0D1201C95}">
      <text>
        <t>[Threaded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t>
      </text>
    </comment>
    <comment ref="EI362" authorId="65" shapeId="0" xr:uid="{797B1906-EF4C-46C8-94FE-FDE3E7B21949}">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EI364" authorId="66" shapeId="0" xr:uid="{C97AB088-62F4-4BB1-8281-47E8FFCA383B}">
      <text>
        <t xml:space="preserve">[Threaded comment]
Your version of Excel allows you to read this threaded comment; however, any edits to it will get removed if the file is opened in a newer version of Excel. Learn more: https://go.microsoft.com/fwlink/?linkid=870924
Comment:
    Based on Techno-economic assessment and comparison of Fischer–Tropsch and Methanol-to-Jet processes to produce sustainable aviation fuel via Power-to-Liquid - ScienceDirect . Updated in sources
</t>
      </text>
    </comment>
    <comment ref="DH366" authorId="67" shapeId="0" xr:uid="{9933C29B-1500-469E-8657-5593F524103A}">
      <text>
        <t>[Threaded comment]
Your version of Excel allows you to read this threaded comment; however, any edits to it will get removed if the file is opened in a newer version of Excel. Learn more: https://go.microsoft.com/fwlink/?linkid=870924
Comment:
    Electricity input neglected to avoid numerical issues</t>
      </text>
    </comment>
    <comment ref="H367" authorId="68" shapeId="0" xr:uid="{7060E41D-A36E-4DC9-8EE7-3705C0AC3271}">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H367" authorId="69" shapeId="0" xr:uid="{635B43F4-D707-4D8A-8CC5-372D2A482793}">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DO367" authorId="70" shapeId="0" xr:uid="{82AE99DC-7A52-4396-90C3-452B1D1BB852}">
      <text>
        <t>[Threaded comment]
Your version of Excel allows you to read this threaded comment; however, any edits to it will get removed if the file is opened in a newer version of Excel. Learn more: https://go.microsoft.com/fwlink/?linkid=870924
Comment:
    Updated based on cluster model</t>
      </text>
    </comment>
    <comment ref="EM367" authorId="71" shapeId="0" xr:uid="{C5E7CC56-149B-4100-A855-BC15FACCE41F}">
      <text>
        <t>[Threaded comment]
Your version of Excel allows you to read this threaded comment; however, any edits to it will get removed if the file is opened in a newer version of Excel. Learn more: https://go.microsoft.com/fwlink/?linkid=870924
Comment:
    Updated based on cluster model (very similar values)</t>
      </text>
    </comment>
    <comment ref="DH370" authorId="72" shapeId="0" xr:uid="{D1699EA9-2195-4A25-B159-84E11843A6E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370" authorId="73" shapeId="0" xr:uid="{442B3202-805C-49F9-861D-B7F16939F84E}">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G370" authorId="74" shapeId="0" xr:uid="{6E7175FA-E91E-4908-B903-C753D18CEE3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390" authorId="75" shapeId="0" xr:uid="{DD0BEEA3-1991-46F1-AB29-E31F5BF0A967}">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(19.1 kg/MWh input)
For AEC 1 GW</t>
      </text>
    </comment>
    <comment ref="DH391" authorId="76" shapeId="0" xr:uid="{BEDB5BE0-ADE6-4D44-BA38-9962D33B67A0}">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(17.8 kg/MWh input)
For PEMEC 1 GW</t>
      </text>
    </comment>
    <comment ref="DH392" authorId="77" shapeId="0" xr:uid="{ADD53CFF-CAEC-4A49-A749-C70C933E8908}">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79.5% electricity in total input)
For SOEC 100 MW</t>
      </text>
    </comment>
    <comment ref="DO392" authorId="78" shapeId="0" xr:uid="{5E6C0831-A365-47AB-B4F7-72717341C7E3}">
      <text>
        <t>[Threaded comment]
Your version of Excel allows you to read this threaded comment; however, any edits to it will get removed if the file is opened in a newer version of Excel. Learn more: https://go.microsoft.com/fwlink/?linkid=870924
Comment:
    2020 efficiency from Danish Energy Agency catalogue (24.7 kg/MWh input * 20.5% electricity in total input). For SOEC 100 MW</t>
      </text>
    </comment>
    <comment ref="DH401" authorId="79" shapeId="0" xr:uid="{0E3A7BDA-D14B-4E63-B23F-BE4FBD5405DD}">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1" authorId="80" shapeId="0" xr:uid="{10059675-5422-4DDA-A222-29C0B2E2D23B}">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1" authorId="81" shapeId="0" xr:uid="{614B9D65-A52D-4C61-9BCF-48547B0EE5A8}">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2" authorId="82" shapeId="0" xr:uid="{B326B448-DC67-4F50-8CF7-DEB908500772}">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O402" authorId="83" shapeId="0" xr:uid="{4AB9F1F6-372E-4845-A491-FC2CD13EE7C7}">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EJ402" authorId="84" shapeId="0" xr:uid="{CAB00208-7533-4ECE-B7E7-5D4C07C9674C}">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05" authorId="85" shapeId="0" xr:uid="{31898F7D-07B2-40ED-8076-EBBE85086C7D}">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O405" authorId="86" shapeId="0" xr:uid="{DD81F1EC-8F91-49C4-9A8F-A5CE02059387}">
      <text>
        <t>[Threaded comment]
Your version of Excel allows you to read this threaded comment; however, any edits to it will get removed if the file is opened in a newer version of Excel. Learn more: https://go.microsoft.com/fwlink/?linkid=870924
Comment:
    Updated from cluster data</t>
      </text>
    </comment>
    <comment ref="DP405" authorId="87" shapeId="0" xr:uid="{8F461CFD-1047-45D2-98C0-BCAD118218CA}">
      <text>
        <t>[Threaded comment]
Your version of Excel allows you to read this threaded comment; however, any edits to it will get removed if the file is opened in a newer version of Excel. Learn more: https://go.microsoft.com/fwlink/?linkid=870924
Comment:
    Updated from cluster model</t>
      </text>
    </comment>
    <comment ref="DH442" authorId="88" shapeId="0" xr:uid="{CB5A5C0D-3C99-4FCE-9BEE-D64C4630CE91}">
      <text>
        <t>[Threaded comment]
Your version of Excel allows you to read this threaded comment; however, any edits to it will get removed if the file is opened in a newer version of Excel. Learn more: https://go.microsoft.com/fwlink/?linkid=870924
Comment:
    MIDDEN report on salt - Figure 1 total electricity consumption</t>
      </text>
    </comment>
    <comment ref="DO442" authorId="89" shapeId="0" xr:uid="{105E2956-9F2F-4087-A21E-F3DCDF76B6A3}">
      <text>
        <t>[Threaded comment]
Your version of Excel allows you to read this threaded comment; however, any edits to it will get removed if the file is opened in a newer version of Excel. Learn more: https://go.microsoft.com/fwlink/?linkid=870924
Comment:
    MIDDEN report on salt - Figure 1 total heat consumption</t>
      </text>
    </comment>
    <comment ref="CG445" authorId="90" shapeId="0" xr:uid="{F690DAF2-7F2D-4CE7-BCEB-70E5791FFAB9}">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0" authorId="91" shapeId="0" xr:uid="{19B306EA-91BA-4C48-907F-9CF952F2EAC0}">
      <text>
        <t>[Threaded comment]
Your version of Excel allows you to read this threaded comment; however, any edits to it will get removed if the file is opened in a newer version of Excel. Learn more: https://go.microsoft.com/fwlink/?linkid=870924
Comment:
    Values from Zhang et al 2019, p 654, description of ADR + HAS system</t>
      </text>
    </comment>
    <comment ref="DH450" authorId="92" shapeId="0" xr:uid="{A5A0620E-E0EF-4778-8CC9-4E775B74F2AF}">
      <text>
        <t>[Threaded comment]
Your version of Excel allows you to read this threaded comment; however, any edits to it will get removed if the file is opened in a newer version of Excel. Learn more: https://go.microsoft.com/fwlink/?linkid=870924
Comment:
    Supplementary information Zhang et al 2019</t>
      </text>
    </comment>
    <comment ref="DU450" authorId="93" shapeId="0" xr:uid="{CBDA1F37-D62A-4250-AAD7-8ED99EC5C44B}">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1" authorId="94" shapeId="0" xr:uid="{4612922E-9F06-48D0-BC95-3F33895200C0}">
      <text>
        <t>[Threaded comment]
Your version of Excel allows you to read this threaded comment; however, any edits to it will get removed if the file is opened in a newer version of Excel. Learn more: https://go.microsoft.com/fwlink/?linkid=870924
Comment:
    Assumed the same as concrete recycling</t>
      </text>
    </comment>
    <comment ref="DH451" authorId="95" shapeId="0" xr:uid="{6203CF3A-5F84-4F6C-AD90-8C04C5F28D36}">
      <text>
        <t>[Threaded comment]
Your version of Excel allows you to read this threaded comment; however, any edits to it will get removed if the file is opened in a newer version of Excel. Learn more: https://go.microsoft.com/fwlink/?linkid=870924
Comment:
    Samadi et al 2020
Table 9, CFA (ceramic fine aggregate)</t>
      </text>
    </comment>
    <comment ref="CK452" authorId="96" shapeId="0" xr:uid="{F1A9F5FF-1321-4A49-AEAE-E943C47B290D}">
      <text>
        <t>[Threaded comment]
Your version of Excel allows you to read this threaded comment; however, any edits to it will get removed if the file is opened in a newer version of Excel. Learn more: https://go.microsoft.com/fwlink/?linkid=870924
Comment:
    Samadi et al section 2.1</t>
      </text>
    </comment>
    <comment ref="DH452" authorId="97" shapeId="0" xr:uid="{82760936-EF29-4066-85A1-F6EE6E9DF295}">
      <text>
        <t>[Threaded comment]
Your version of Excel allows you to read this threaded comment; however, any edits to it will get removed if the file is opened in a newer version of Excel. Learn more: https://go.microsoft.com/fwlink/?linkid=870924
Comment:
    Samadi et al 2020
Table 9, GC (ground ceramic)</t>
      </text>
    </comment>
    <comment ref="DU452" authorId="98" shapeId="0" xr:uid="{D200F3FD-5869-43FA-BA99-5DB7B841FA03}">
      <text>
        <t>[Threaded comment]
Your version of Excel allows you to read this threaded comment; however, any edits to it will get removed if the file is opened in a newer version of Excel. Learn more: https://go.microsoft.com/fwlink/?linkid=870924
Comment:
    From supplementary information Zhang et al 2019: 1300l diesel per 100t crushed
From RVO hulpmiddel omrekening: 0.84 kg diesel/liter
From RVO standard fuel list: 43.2 MJ/kg
Converted MJ/100t to GJ/t (or PJ/Mt)</t>
      </text>
    </comment>
    <comment ref="CH453" authorId="99" shapeId="0" xr:uid="{305D3879-906F-47E6-B538-87FC7D3A5086}">
      <text>
        <t>[Threaded comment]
Your version of Excel allows you to read this threaded comment; however, any edits to it will get removed if the file is opened in a newer version of Excel. Learn more: https://go.microsoft.com/fwlink/?linkid=870924
Comment:
    Based on in and outputs from Tam 2008 (sum of all sizes of aggregate output)</t>
      </text>
    </comment>
    <comment ref="CG455" authorId="100" shapeId="0" xr:uid="{56230820-4D15-49C2-A351-20A5AE3F6801}">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 ref="CG457" authorId="101" shapeId="0" xr:uid="{4EECB18F-EA5B-44BC-AB37-506294B5DCAD}">
      <text>
        <t>[Threaded comment]
Your version of Excel allows you to read this threaded comment; however, any edits to it will get removed if the file is opened in a newer version of Excel. Learn more: https://go.microsoft.com/fwlink/?linkid=870924
Comment:
    Based on Zhang et al. 2020, Table 2 (composition of 1 M3 hardened concrete)</t>
      </text>
    </comment>
  </commentList>
</comments>
</file>

<file path=xl/comments4.xml><?xml version="1.0" encoding="utf-8"?>
<comments xmlns="http://schemas.openxmlformats.org/spreadsheetml/2006/main" xmlns:mc="http://schemas.openxmlformats.org/markup-compatibility/2006" xmlns:xr="http://schemas.microsoft.com/office/spreadsheetml/2014/revision" mc:Ignorable="xr">
  <authors>
    <author>tc={1AD3C274-4C2E-49FF-BAE3-29FC9EA347D8}</author>
    <author>tc={3E1D8256-42E9-435E-B285-DEFFD70E5540}</author>
    <author>tc={C8E40793-EA09-483C-8E99-2539A9231DBB}</author>
  </authors>
  <commentList>
    <comment ref="L6" authorId="0" shapeId="0" xr:uid="{1AD3C274-4C2E-49FF-BAE3-29FC9EA347D8}">
      <text>
        <t>[Threaded comment]
Your version of Excel allows you to read this threaded comment; however, any edits to it will get removed if the file is opened in a newer version of Excel. Learn more: https://go.microsoft.com/fwlink/?linkid=870924
Comment:
    Danish Energy Agency Technology Catalogue, AEC 1 GW
Increases from 64 to 77% efficiency</t>
      </text>
    </comment>
    <comment ref="L7" authorId="1" shapeId="0" xr:uid="{3E1D8256-42E9-435E-B285-DEFFD70E5540}">
      <text>
        <t>[Threaded comment]
Your version of Excel allows you to read this threaded comment; however, any edits to it will get removed if the file is opened in a newer version of Excel. Learn more: https://go.microsoft.com/fwlink/?linkid=870924
Comment:
    Danish Energy Agency Technology Catalogue, PEMEC 1 GW
Increases from 59 to 75% efficiency</t>
      </text>
    </comment>
    <comment ref="L8" authorId="2" shapeId="0" xr:uid="{C8E40793-EA09-483C-8E99-2539A9231DBB}">
      <text>
        <t>[Threaded comment]
Your version of Excel allows you to read this threaded comment; however, any edits to it will get removed if the file is opened in a newer version of Excel. Learn more: https://go.microsoft.com/fwlink/?linkid=870924
Comment:
    Danish Energy Agency Technology Catalogue, SOEC 100 MW
Increases from 82 to 92% efficiency</t>
      </text>
    </comment>
  </commentList>
</comments>
</file>

<file path=xl/comments5.xml><?xml version="1.0" encoding="utf-8"?>
<comments xmlns="http://schemas.openxmlformats.org/spreadsheetml/2006/main" xmlns:mc="http://schemas.openxmlformats.org/markup-compatibility/2006" xmlns:xr="http://schemas.microsoft.com/office/spreadsheetml/2014/revision" mc:Ignorable="xr">
  <authors>
    <author>tc={16C74C59-C0F7-4A51-88A7-B50AB0921518}</author>
  </authors>
  <commentList>
    <comment ref="E61" authorId="0" shapeId="0" xr:uid="{16C74C59-C0F7-4A51-88A7-B50AB0921518}">
      <text>
        <t>[Threaded comment]
Your version of Excel allows you to read this threaded comment; however, any edits to it will get removed if the file is opened in a newer version of Excel. Learn more: https://go.microsoft.com/fwlink/?linkid=870924
Comment:
    Based on benzene (C6H6) stoichiometry</t>
      </text>
    </comment>
  </commentList>
</comments>
</file>

<file path=xl/comments6.xml><?xml version="1.0" encoding="utf-8"?>
<comments xmlns="http://schemas.openxmlformats.org/spreadsheetml/2006/main" xmlns:mc="http://schemas.openxmlformats.org/markup-compatibility/2006" xmlns:xr="http://schemas.microsoft.com/office/spreadsheetml/2014/revision" mc:Ignorable="xr">
  <authors>
    <author>tc={3CFC8070-0530-4D87-967F-1741E624580B}</author>
    <author>tc={E968BDE9-A228-4D9E-9B3D-9ACA835F4461}</author>
  </authors>
  <commentList>
    <comment ref="D5" authorId="0" shapeId="0" xr:uid="{3CFC8070-0530-4D87-967F-1741E624580B}">
      <text>
        <t>[Threaded comment]
Your version of Excel allows you to read this threaded comment; however, any edits to it will get removed if the file is opened in a newer version of Excel. Learn more: https://go.microsoft.com/fwlink/?linkid=870924
Comment:
    103 MtCO2eq = policy target
KEV 2024 states that 2030 target is not going to be reached. Gives strange results, so updated to KEV result for 2030 (121 MtCO2, brandbreedte 114-131). Same for 2035 (104, 92.9-114)
Reply:
    103/.45 = 228 MtCO2 in 1990 (close to reported UNFCCC)</t>
      </text>
    </comment>
    <comment ref="H5" authorId="1" shapeId="0" xr:uid="{E968BDE9-A228-4D9E-9B3D-9ACA835F4461}">
      <text>
        <t>[Threaded comment]
Your version of Excel allows you to read this threaded comment; however, any edits to it will get removed if the file is opened in a newer version of Excel. Learn more: https://go.microsoft.com/fwlink/?linkid=870924
Comment:
    5% of reported 1990 GHG emissions to UNFCCC
http://unfccc.int/sites/default/files/resource/sbi2024_17rev1_adv.pdf
221.844 MtCO2 * 5% = 11 MtCO2
Reply:
    Based on KEV 2024, 103 MtCO2 is 55% reduction
Reply:
    Reduced beyond 0 to compensate for synthetic fuel emissions and feedstock-related downstream emissions</t>
      </text>
    </comment>
  </commentList>
</comment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<sst xmlns="http://schemas.openxmlformats.org/spreadsheetml/2006/main" count="10320" uniqueCount="2094">
  <si>
    <t>IESA - NL' energy system database TRANSFORM</t>
  </si>
  <si>
    <t>By:</t>
  </si>
  <si>
    <t>TNO Energy and Material Transition</t>
  </si>
  <si>
    <t>Universiteit Utrecht (UU)</t>
  </si>
  <si>
    <t>Planbureau voor de Leefomgeving (PBL)</t>
  </si>
  <si>
    <t>Rijksuniveriteit Groningen (RUG)</t>
  </si>
  <si>
    <t>Contact persons:</t>
  </si>
  <si>
    <t>Kira West</t>
  </si>
  <si>
    <t>Amir Fattahi</t>
  </si>
  <si>
    <t>Generalities:</t>
  </si>
  <si>
    <t xml:space="preserve">All the costs are expressed in 2019 euros [€_2019]. Please take this into consideration when updating data. For this pupose a conversion table is provided in data sources sheet.
The red tabs contain data related to the definition of the activities, and their projected volumes within the scenario. The blue tabs contain the technologies, and their descriptions in terms of the required modelling parameters. The yellow tabs contain other parameters relevant for the functioning of the model and this excel file. 
The data contained in this excel file represents one scenario only. This means that each scenario explored must have its own excel data file. </t>
  </si>
  <si>
    <t>Name of the scenario:</t>
  </si>
  <si>
    <t>IESA TRANSFORM Scenario</t>
  </si>
  <si>
    <t>Storyline of the scenario:</t>
  </si>
  <si>
    <t>List of data sources used to build and update the database</t>
  </si>
  <si>
    <t>Currency conversion</t>
  </si>
  <si>
    <t>Auxiliar for € adjustment</t>
  </si>
  <si>
    <t>Data source</t>
  </si>
  <si>
    <t>No.</t>
  </si>
  <si>
    <t>Source name</t>
  </si>
  <si>
    <t>Description</t>
  </si>
  <si>
    <t xml:space="preserve">Year </t>
  </si>
  <si>
    <t>Link to public source [if available]</t>
  </si>
  <si>
    <t>Link to publication [if available]</t>
  </si>
  <si>
    <t>Year of €</t>
  </si>
  <si>
    <t>Equivalent in €_2019</t>
  </si>
  <si>
    <t>[ref No.]</t>
  </si>
  <si>
    <t>PBL's ENSYSI model database</t>
  </si>
  <si>
    <t>Data collected from different sources by PBL to build ENSYSI.</t>
  </si>
  <si>
    <t>NA</t>
  </si>
  <si>
    <t>EFFECTEN VAN DE ENERGIETRANSITIE OP DE REGIONALE ARBEIDSMARKT – EEN QUICKSCAN</t>
  </si>
  <si>
    <t xml:space="preserve"> </t>
  </si>
  <si>
    <t>[8]</t>
  </si>
  <si>
    <t>COMPETES model database</t>
  </si>
  <si>
    <t>Data collected from different sources by PBL/ECN based on TYNDP (MAF 2016 &amp; Sustainable Transition)</t>
  </si>
  <si>
    <t>Capacity vs energy subsidies for promoting renewable investment: Benefits and costs for the EU power market</t>
  </si>
  <si>
    <t>TNO factsheets</t>
  </si>
  <si>
    <t>Large scale alkalyne electrolyzer factsheet</t>
  </si>
  <si>
    <t>Electrolyzer factsheet</t>
  </si>
  <si>
    <t xml:space="preserve">Data collected by Remko Detz into the set of factsheets </t>
  </si>
  <si>
    <t>DAC factsheet</t>
  </si>
  <si>
    <t>FT facsheet (not yet online)</t>
  </si>
  <si>
    <t>Methanol path factsheet (not yet online)</t>
  </si>
  <si>
    <t>Cost of storage technologies</t>
  </si>
  <si>
    <t xml:space="preserve">Publication (Zakeri and Syri, 2015) </t>
  </si>
  <si>
    <t>Electrical energy storage systems: A comparative life cycle cost analysis</t>
  </si>
  <si>
    <t>Euro inflation tool</t>
  </si>
  <si>
    <t>Source from where the euro adjustment parameters where obtained for different years</t>
  </si>
  <si>
    <t>inflationtool</t>
  </si>
  <si>
    <t>OPERA model database</t>
  </si>
  <si>
    <t>Data collected from different sources by ECN</t>
  </si>
  <si>
    <t>FLEXNET Report OPERA section</t>
  </si>
  <si>
    <t>METIS T4</t>
  </si>
  <si>
    <t>Maximum clearing price in the APX day ahead electricity market accordingly with European Comission regulations</t>
  </si>
  <si>
    <t>POTENCIA Central Scenario NL</t>
  </si>
  <si>
    <t xml:space="preserve">Assumptions used for the services activity volumes in the POTENCIA scenarios by JRC.
This data was used to define the heat intensity of the service sectors as well as the drivers. The drivers were directly extracted from the CENTRAL SCENARIO NL database. And the intensities were combined with ENSYSI data to provide the water heating plus HDD function for the heat intensity. The reference HDD used for the reference parameters was of 2900 HDD. </t>
  </si>
  <si>
    <t>Database access</t>
  </si>
  <si>
    <t>POTENCIA Scenario Report</t>
  </si>
  <si>
    <t>POTENCIA Central Scenario</t>
  </si>
  <si>
    <t>Assumptions and data used for the Transport sectors in the POTENCIA scenario by JRC.
We grouped some of the activities and proportionally adjusted the parameters from the POTENCIA database. Most of the data was extracted from the Annual Reports&gt;Transport folder. Given the lack of data on capital costs, data was extracted from different sources and compared/callibrated to provide grouped annual costs similar to the reported by POTENCIA.</t>
  </si>
  <si>
    <t>Methodology to quantify transport emissions</t>
  </si>
  <si>
    <t>Source to justify accounting only for LTO in aviation within national emissions.</t>
  </si>
  <si>
    <t>Methods for calculating the emissions of transport in the Netherlands</t>
  </si>
  <si>
    <t>LTO vs CCD emissions</t>
  </si>
  <si>
    <t>Source to justify the proxies used for LTO and CCD emissions in aviation for Intra and Extra EU flights. It is not the perfect source, but it works for now. We are using it for the parameters regarding the share of international emmisions in aviation.</t>
  </si>
  <si>
    <t>Paper showing EEA data</t>
  </si>
  <si>
    <t>Data extracted to define residential, industry and agriculture activity volumes in the reference scenario</t>
  </si>
  <si>
    <t>Change in HDD in EU countries</t>
  </si>
  <si>
    <t>Publication (Spinioni et al, 2018)</t>
  </si>
  <si>
    <t>Changes of heating and cooling degree-days in Europe from 1981 to 2100</t>
  </si>
  <si>
    <t>ENSPRESO Biomass</t>
  </si>
  <si>
    <t>Projection on potentials for biomass availability and expected energy prices. Reference scenario.</t>
  </si>
  <si>
    <t>Bioenergy potentials for EU and neighbouring countries</t>
  </si>
  <si>
    <t>Climate and Energy Outlook 2019</t>
  </si>
  <si>
    <t>Use of the expected ETS prices developments (2020-2030).</t>
  </si>
  <si>
    <t>KEV table attachment</t>
  </si>
  <si>
    <t>CBP ETS valuation projections</t>
  </si>
  <si>
    <t>Long term projection scenarios on ETS price according with CBP. Mixed with KEV 19 available data on 2020-2030, to complement the long term 2050 picture.</t>
  </si>
  <si>
    <t>Valuation of CO2 emissions in CBA: implications of the scenario study Welfare, Prosperity and the Human Environment</t>
  </si>
  <si>
    <t>ENTSOG network</t>
  </si>
  <si>
    <t>Information about interconnection nodes to the national gas network</t>
  </si>
  <si>
    <t>ENTSOG network map</t>
  </si>
  <si>
    <t>NLOG Gas production data</t>
  </si>
  <si>
    <t>Data about the production of dutch gas fields. Complemented with the policy of closure of the Groningen field by 2022.</t>
  </si>
  <si>
    <t>NLOG data</t>
  </si>
  <si>
    <t>SP Global Analysis on groningen field closure</t>
  </si>
  <si>
    <t>LNG Price estimation</t>
  </si>
  <si>
    <t>Collection of sources for the estimation of the LNG gas price in Europe</t>
  </si>
  <si>
    <t>CSIS article gathering data from EUROSTAT and US Department of Energy</t>
  </si>
  <si>
    <t>TAQA Bergermeer Gas Storage</t>
  </si>
  <si>
    <t>Operational and project costs data of the operational TAQA gas storage plant</t>
  </si>
  <si>
    <t>2015/2020</t>
  </si>
  <si>
    <t>TAQA Operational figures</t>
  </si>
  <si>
    <t xml:space="preserve">TAQA Project </t>
  </si>
  <si>
    <t>Zuidwending Gas Buffer</t>
  </si>
  <si>
    <t>Operational and project costs data of the operational Zuidwending gas storage plant</t>
  </si>
  <si>
    <t>2006/2020</t>
  </si>
  <si>
    <t>Public data</t>
  </si>
  <si>
    <t>Project description</t>
  </si>
  <si>
    <t xml:space="preserve">NL GHG Inventory Report </t>
  </si>
  <si>
    <t>GHG Emissions in the Netherlands from 1990 to 2017 extracted from the national inventory 2019</t>
  </si>
  <si>
    <t>Publication with data in tables</t>
  </si>
  <si>
    <t>nonCO2 GHG emissions MACCs</t>
  </si>
  <si>
    <t>Publication with the MACC curves evolution until 2100 for most important nonCO2 GHG emissions in the World.</t>
  </si>
  <si>
    <t>Publication</t>
  </si>
  <si>
    <t>HFC emissions projections</t>
  </si>
  <si>
    <t>Publication with the expected development of HFC emissions in the world</t>
  </si>
  <si>
    <t>Trends in cattle numbers</t>
  </si>
  <si>
    <t>Historcal trends of cattle evolution in the Netherlands used as criteria to define the evolution of cattle related emissions. This database proposes that cattle numbers will decrease in the future.</t>
  </si>
  <si>
    <t>CBS data</t>
  </si>
  <si>
    <t>Trends in agricultural land use in the Netherlands</t>
  </si>
  <si>
    <t>Thesis from VU exploring land use change in the Netherlands. This study is used to define the driver in N2O agricultural emmisions which assumes a 10% decrease in 2050.</t>
  </si>
  <si>
    <t>Thesis</t>
  </si>
  <si>
    <t>Low carbon electricity generation costs</t>
  </si>
  <si>
    <t>Database from JRC on cost prametes of green electricity sources in Europe</t>
  </si>
  <si>
    <t>Database</t>
  </si>
  <si>
    <t>Compressor costs</t>
  </si>
  <si>
    <t>Paper with pipeline compressor costs in the USA</t>
  </si>
  <si>
    <t>CE Delft Scenarios</t>
  </si>
  <si>
    <t>Grid for the future scenario report</t>
  </si>
  <si>
    <t>TNO Scenarios</t>
  </si>
  <si>
    <t>Scenarios for a climate neutral energy system (adapt and transform data)</t>
  </si>
  <si>
    <t>Data</t>
  </si>
  <si>
    <t>Nuclear generation data</t>
  </si>
  <si>
    <t>Corrigendum from nuclear industry (Kan et al. paper)</t>
  </si>
  <si>
    <t>Petrochemical sector</t>
  </si>
  <si>
    <t>Petroleum products balance sheet; supply, consumption and stock</t>
  </si>
  <si>
    <t>CBS Energy Balance</t>
  </si>
  <si>
    <t>Energy balance sheet; supply, transformation and consumption</t>
  </si>
  <si>
    <t>Steel production ECN-MIDDEN</t>
  </si>
  <si>
    <t>2050 Decarbonisation of the Dutch Steelmaking Industry (Note: Coke oven gas generation is added to the gas network in the balance used in IESA-Opt)</t>
  </si>
  <si>
    <t>Master Thesis</t>
  </si>
  <si>
    <t>Costs of steel productiom</t>
  </si>
  <si>
    <t>Decarbonization options for the Dutch steel industry</t>
  </si>
  <si>
    <t>Ammonia production MIDDEN</t>
  </si>
  <si>
    <t>Decarbonization options for the Dutch fertilizer industry</t>
  </si>
  <si>
    <t>Drivetrain cost share</t>
  </si>
  <si>
    <t>Share in costs of transport drivetrain</t>
  </si>
  <si>
    <t>Nuclear Gen III</t>
  </si>
  <si>
    <t>Nuclear SMR</t>
  </si>
  <si>
    <t>Manufacturing cost analysis of fuel cells</t>
  </si>
  <si>
    <t>Hydrogen Fuel Cells technologies</t>
  </si>
  <si>
    <t>TYNDP ENTSOE</t>
  </si>
  <si>
    <t>ENSTSOE Scenarios for the TYNDP</t>
  </si>
  <si>
    <t>ENTSOE Hydropower</t>
  </si>
  <si>
    <t>Data on capacities, profiles and operation on different hydropower technologies all over Europe</t>
  </si>
  <si>
    <t>Air-Source Heat Pump</t>
  </si>
  <si>
    <t>Ground-Source Heat Pump</t>
  </si>
  <si>
    <t>Nuclear Gen IV Hydrogen production</t>
  </si>
  <si>
    <t>IEA Net-Zeroby 2050</t>
  </si>
  <si>
    <t>Capacity factors, Financing rates, CAPEX (Nuclear Gen III, Wind offshore)</t>
  </si>
  <si>
    <t>KEV 2020</t>
  </si>
  <si>
    <t>Demand volumes, prices and other GHG</t>
  </si>
  <si>
    <t>MIDDEN Steel</t>
  </si>
  <si>
    <t>Industrial decarbonization report for steel</t>
  </si>
  <si>
    <t>MIDDEN Aluminum</t>
  </si>
  <si>
    <t>Industrial decarbonization report for aluminum</t>
  </si>
  <si>
    <t>MIDDEN Zinc</t>
  </si>
  <si>
    <t>Industrial decarbonization report for zinc</t>
  </si>
  <si>
    <t>MIDDEN Fertilizers</t>
  </si>
  <si>
    <t>Industrial decarbonization report for fertilizers</t>
  </si>
  <si>
    <t xml:space="preserve">MIDDEN HVC </t>
  </si>
  <si>
    <t>Industrial decarbonization report for HVCs</t>
  </si>
  <si>
    <t>MIDDEN Chlor-alkali</t>
  </si>
  <si>
    <t>Industrial decarbonization report for chlor-alkali</t>
  </si>
  <si>
    <t>MIDDEN Ceramics</t>
  </si>
  <si>
    <t>Industrial decarbonization report for ceramics</t>
  </si>
  <si>
    <t xml:space="preserve">MIDDEN Glass </t>
  </si>
  <si>
    <t>Industrial decarbonization report for glass</t>
  </si>
  <si>
    <t>MIDDEN Paper cardboard</t>
  </si>
  <si>
    <t>Industrial decarbonization report for paper and cardboard</t>
  </si>
  <si>
    <t>Syngas from RWGS</t>
  </si>
  <si>
    <t>Fischer Tropsch process</t>
  </si>
  <si>
    <t>Direct production of methanol from H2 and CO2</t>
  </si>
  <si>
    <t>Costs of syngas SOEC</t>
  </si>
  <si>
    <t>Article on valuation of electrolytic syngas</t>
  </si>
  <si>
    <t>Methanol to olefins</t>
  </si>
  <si>
    <t>Pyrolysis oil from biomass</t>
  </si>
  <si>
    <t>Biomass gasification</t>
  </si>
  <si>
    <t>Syngas production from biomass</t>
  </si>
  <si>
    <t>Ethanol dehydration</t>
  </si>
  <si>
    <t>New feedstock for plastic industry article (Biomass magazine)</t>
  </si>
  <si>
    <t>Biomass polymerization</t>
  </si>
  <si>
    <t>HWWI Research paper on biomass polymerization (PLA)</t>
  </si>
  <si>
    <t>Alkaline electrolyzer</t>
  </si>
  <si>
    <t>PEM electrolyzer</t>
  </si>
  <si>
    <t>SOE electrolizer</t>
  </si>
  <si>
    <t>Plastic waste pyrolysis</t>
  </si>
  <si>
    <t>Biomass data EU</t>
  </si>
  <si>
    <t>JRC bioenergy potentials for EU and neighboring countries</t>
  </si>
  <si>
    <t>Plastic Waste NL CE Delft</t>
  </si>
  <si>
    <t>CE Delft report: Plastic use and processing of plastic waste in the Netherlands.</t>
  </si>
  <si>
    <t xml:space="preserve">ANAEROBIC DIGESTION OF WET BIOMASS FOR HEAT GENERATION
</t>
  </si>
  <si>
    <t xml:space="preserve">INDUSTRIAL NATURAL GAS CHP - GAS TURBINES WITH HEAT RECOVERY STEAM GENERATORS 
</t>
  </si>
  <si>
    <t>HYBRID HEAT PUMP HOUSEHOLDS</t>
  </si>
  <si>
    <t>AIR SOURCE HEAT PUMP</t>
  </si>
  <si>
    <t>Hydrogen (H2) boiler services sector</t>
  </si>
  <si>
    <t>ELECTRIC INDUSTRIAL BOILER</t>
  </si>
  <si>
    <t>HEAT PUMP - AIR TO WATER</t>
  </si>
  <si>
    <t>HEAT PUMP ‐ GROUNDWATER TO WATER</t>
  </si>
  <si>
    <t>MIDDEN database</t>
  </si>
  <si>
    <t>Heat generation technologies</t>
  </si>
  <si>
    <t>Basic organic chemicals</t>
  </si>
  <si>
    <t>MIDDEN Polyolefins</t>
  </si>
  <si>
    <t>Industrial decarbonization report for polyolefins</t>
  </si>
  <si>
    <t>MIDDEN PET</t>
  </si>
  <si>
    <t>Industrial decarbonization report for PTA &amp; PET</t>
  </si>
  <si>
    <t>MIDDEN waste incineration</t>
  </si>
  <si>
    <t>Industrial decarbonization report for waste incineration</t>
  </si>
  <si>
    <t>Jeswani et al. 2021</t>
  </si>
  <si>
    <t>Life cycle environmental impacts of chemical recycling via pyrolysis of mixed plastic waste in comparison with mechanical recycling and energy recovery, Science of the Total Environment, Vol. 769.</t>
  </si>
  <si>
    <t>SDE++ Eindadvies 2022</t>
  </si>
  <si>
    <t>Eindadvies basisbedragen SDE++ 2022, PBL</t>
  </si>
  <si>
    <t>Volk et al. 2021</t>
  </si>
  <si>
    <t>Techno-economic assessment and comparison of different plastic recycling pathways: A German case study, Journal of Industrial Ecology, 25(1): 1-20.</t>
  </si>
  <si>
    <t>CE Delft Verkenning Chemische Recycling - Update 2019</t>
  </si>
  <si>
    <t>Report about chemical recycling techniques</t>
  </si>
  <si>
    <t>Naviroj et al. 2019</t>
  </si>
  <si>
    <t>Chemical Recycling of Plastics by Dissolution, University of Pennsylvania</t>
  </si>
  <si>
    <t>IERO report</t>
  </si>
  <si>
    <t>Iron production by electrochemical reduction of its oxide for high CO2 mitigation (IERO), 2016, JRC</t>
  </si>
  <si>
    <t>Levi &amp; Cullen 2018</t>
  </si>
  <si>
    <t>Mapping Global Flows of Chemicals: From Fossil Fuel Feedstocks to Chemical Productions, Environmental Science &amp; Technology, 52, 4, 1724-1734</t>
  </si>
  <si>
    <t>corRES profiles</t>
  </si>
  <si>
    <t>Profiles were takne from JoostvStralen</t>
  </si>
  <si>
    <t>Cost of FT and MtJ</t>
  </si>
  <si>
    <t xml:space="preserve">Scientific paper </t>
  </si>
  <si>
    <t>Cost of biokerosene from HEFA</t>
  </si>
  <si>
    <t>Cost of SMR</t>
  </si>
  <si>
    <t>Technical report</t>
  </si>
  <si>
    <t>Cost of syngas from biomass</t>
  </si>
  <si>
    <t>Cost for methanol from syngas</t>
  </si>
  <si>
    <t>Data from TNO experts</t>
  </si>
  <si>
    <t>Spreadsheets "Energy and CO2 balance e-fuels.xlsx" and "MetOH.xlsx" provided by Stefania Luzzi and Jan Wilco Dijkstra</t>
  </si>
  <si>
    <t>Rode et al 2024</t>
  </si>
  <si>
    <t>Article on bioethanol to propylene</t>
  </si>
  <si>
    <t>Biobased propylene and acrylonitrile production in a sugarcane biorefinery: Identification of preferred production routes via techno-economic and environmental assessments - ScienceDirect</t>
  </si>
  <si>
    <t>Ding et al forthcoming</t>
  </si>
  <si>
    <t>Shiyu Ding et al. paper on production routes</t>
  </si>
  <si>
    <t>xxxx</t>
  </si>
  <si>
    <t>Krishnan et al 2023</t>
  </si>
  <si>
    <t>Electrolyzer cost paper</t>
  </si>
  <si>
    <t>Present and future cost of alkaline and PEM electrolyser stacks - ScienceDirect</t>
  </si>
  <si>
    <t>Ullman's Encyclopedia</t>
  </si>
  <si>
    <t>Ethylene production chapter - for steam cracker product yields</t>
  </si>
  <si>
    <t>Ramdin et al 2019</t>
  </si>
  <si>
    <t>Paper including chlor alkali electrolyzer costs</t>
  </si>
  <si>
    <t>table 5</t>
  </si>
  <si>
    <t>(PDF) High Pressure Electrochemical Reduction of CO2 to Formic acid/Formate: The Effect of pH on the Downstream Separation Process and Economics</t>
  </si>
  <si>
    <t>Hydrogen storage - large-scale underground storage in salt caverns</t>
  </si>
  <si>
    <t>https://energy.nl/wp-content/uploads/h2_large-scale-underground-storage-salt-caverns_2021-12-16-093010_lnyn-9.pdf</t>
  </si>
  <si>
    <t>Zhang et al 2020</t>
  </si>
  <si>
    <t>Upgrading CDW in NL</t>
  </si>
  <si>
    <t>https://www.sciencedirect.com/science/article/pii/S0959652620317650</t>
  </si>
  <si>
    <t>Afzal et al 2023</t>
  </si>
  <si>
    <t>See calculation sheet</t>
  </si>
  <si>
    <t>Techno-economic analysis and life cycle assessment of mixed plastic waste gasification for production of methanol and hydrogen - Green Chemistry (RSC Publishing)</t>
  </si>
  <si>
    <t>Andreasi Bassi et al 2020</t>
  </si>
  <si>
    <t>Supplementary information - economic analysis - Case A5</t>
  </si>
  <si>
    <t>https://www.sciencedirect.com/science/article/pii/S0921344920303475?pes=vor&amp;utm_source=scopus&amp;getft_integrator=scopus</t>
  </si>
  <si>
    <t>Poluzzi et al  2022</t>
  </si>
  <si>
    <t>Calculations based on costs for biomass to syngas, scaling factor of 0.7</t>
  </si>
  <si>
    <t>https://pubs.rsc.org/en/content/articlelanding/2022/se/d2se00661h</t>
  </si>
  <si>
    <t>PBL 2024</t>
  </si>
  <si>
    <t>Beschikbaarheid biogrondstoffen in Nederland en de Europese Unie (Tabel 4.1)</t>
  </si>
  <si>
    <t>https://www.pbl.nl/system/files/document/2024-04/pbl-2024-beschikbaarheid-biogrondstoffen-in-nederland-en-de-europese-unie_5213.pdf</t>
  </si>
  <si>
    <t>Lobelle et al 2023</t>
  </si>
  <si>
    <t>Knowns and unknowns of plastic waste flows in the Netherlands</t>
  </si>
  <si>
    <t>https://journals.sagepub.com/doi/10.1177/0734242X231180863</t>
  </si>
  <si>
    <t>RVO 2024</t>
  </si>
  <si>
    <t>The Netherlands: list of fuels and standard CO2 emission factors version of January 2024</t>
  </si>
  <si>
    <t>https://english.rvo.nl/sites/default/files/2024-07/The-Netherlands-list-of-fuels-January-2024.pdf</t>
  </si>
  <si>
    <t>Garcia-Gutierrez (JRC) 2023</t>
  </si>
  <si>
    <t>Environmental and economic assessment of plastic waste recycling</t>
  </si>
  <si>
    <t>CE Delft 2020</t>
  </si>
  <si>
    <t>CO2-reductie met de Circular Biobased Delta: Aanzet voor een routekaart voor de periode tot 2030</t>
  </si>
  <si>
    <t>https://ce.nl/wp-content/uploads/2021/03/CE_Delft_190303_CO2-reductie_met_de_Circular_Biobased_Delta_Def.pdf</t>
  </si>
  <si>
    <t>KIDV</t>
  </si>
  <si>
    <t>https://kidv.nl/media/engelse_kidv_publicaties/chemical_recycling_of_plastic_packaging_materials_analysis_and_opportunities_for_upscaling.pdf?1.2.19-1-g4e72483</t>
  </si>
  <si>
    <t>C</t>
  </si>
  <si>
    <t>Calculations</t>
  </si>
  <si>
    <t>Calculations based on other data within the dataset</t>
  </si>
  <si>
    <t>I</t>
  </si>
  <si>
    <t>IESA-Opt</t>
  </si>
  <si>
    <t>EU Power System model runs</t>
  </si>
  <si>
    <t>D</t>
  </si>
  <si>
    <t>Dummy data</t>
  </si>
  <si>
    <t xml:space="preserve">Used to design functionalities, usually based in educated guesses or quick google searches. This data is indicated with a red color in the database. </t>
  </si>
  <si>
    <t>These markets are the activity levels that must be met by the model in each year. The activity balance of the technologies must be equal to these.</t>
  </si>
  <si>
    <t>Evolution of driver in time</t>
  </si>
  <si>
    <t>External drivers (not in AIMMS)</t>
  </si>
  <si>
    <t>UoA</t>
  </si>
  <si>
    <t>Population</t>
  </si>
  <si>
    <t>[Mpp]</t>
  </si>
  <si>
    <t>CBS statline (bevolking; kerncijfers), UN Population Division, World Population Prospects 2024</t>
  </si>
  <si>
    <t>Gross Domestic Product</t>
  </si>
  <si>
    <t>[M€_2022]</t>
  </si>
  <si>
    <t>OECD Real GDP long-term forecast</t>
  </si>
  <si>
    <t>Heat degree days</t>
  </si>
  <si>
    <t>[HDD]</t>
  </si>
  <si>
    <t>[16]</t>
  </si>
  <si>
    <t>Evolution of volumes in time</t>
  </si>
  <si>
    <t>Maximum transformation</t>
  </si>
  <si>
    <t>Dispatch resolution</t>
  </si>
  <si>
    <t>Activity Type</t>
  </si>
  <si>
    <t>Node</t>
  </si>
  <si>
    <t>Target</t>
  </si>
  <si>
    <t>Energy Label</t>
  </si>
  <si>
    <t>Emission Factors</t>
  </si>
  <si>
    <t>Share of neutrality</t>
  </si>
  <si>
    <t>Activities</t>
  </si>
  <si>
    <t>[%/5years]</t>
  </si>
  <si>
    <t>[type]</t>
  </si>
  <si>
    <t>[y/n]</t>
  </si>
  <si>
    <t>[Mton_CO2/PJ]</t>
  </si>
  <si>
    <t>[%]</t>
  </si>
  <si>
    <t>Electricity demand - Residential</t>
  </si>
  <si>
    <t>[PJ]</t>
  </si>
  <si>
    <t>yearly</t>
  </si>
  <si>
    <t>Driver</t>
  </si>
  <si>
    <t>NL</t>
  </si>
  <si>
    <t>Houses - Residential Flats</t>
  </si>
  <si>
    <t>[khouses]</t>
  </si>
  <si>
    <t>Houses - Residential Terrace</t>
  </si>
  <si>
    <t>Houses - Residential Dwellings</t>
  </si>
  <si>
    <t>Electricity demand - Services</t>
  </si>
  <si>
    <t>Space - Services</t>
  </si>
  <si>
    <t>[Mm2]</t>
  </si>
  <si>
    <t>Electricity demand - Agricuture</t>
  </si>
  <si>
    <t>Heat demand - Agriculture</t>
  </si>
  <si>
    <t>Machinery - Agriculture</t>
  </si>
  <si>
    <t>Steel production - Basic Metals Industry</t>
  </si>
  <si>
    <t>[Mton_Steel]</t>
  </si>
  <si>
    <t>Nitric Acid production - Fertilizers Industry</t>
  </si>
  <si>
    <t>[Mton_AN]</t>
  </si>
  <si>
    <t>Urea production - Fertilizers Industry</t>
  </si>
  <si>
    <t>[Mton_Urea]</t>
  </si>
  <si>
    <t>Other Ammonia based fertilizers - Fertilizers Industry</t>
  </si>
  <si>
    <t>[Mton_NH3]</t>
  </si>
  <si>
    <t>Ethylene production - Chemical Industry</t>
  </si>
  <si>
    <t>[Mton_Ey]</t>
  </si>
  <si>
    <t>Propylene production - Chemical Industry</t>
  </si>
  <si>
    <t>[Mton_Py]</t>
  </si>
  <si>
    <t>Butadiene production - Chemical Industry</t>
  </si>
  <si>
    <t>[Mton_Butadiene]</t>
  </si>
  <si>
    <t>BTX aromatics production - Chemical Industry</t>
  </si>
  <si>
    <t>[Mton_BTX]</t>
  </si>
  <si>
    <t>LDPE production - Chemical Industry</t>
  </si>
  <si>
    <t>[Mton_LDPE]</t>
  </si>
  <si>
    <t>LLDPE production - Chemical Industry</t>
  </si>
  <si>
    <t>[Mton_LLDPE]</t>
  </si>
  <si>
    <t>HDPE production - Chemical Industry</t>
  </si>
  <si>
    <t>[Mton_HDPE]</t>
  </si>
  <si>
    <t>Polypropylene production - Chemical Industry</t>
  </si>
  <si>
    <t>[Mton_PP]</t>
  </si>
  <si>
    <t>PTA production - Chemical Industry</t>
  </si>
  <si>
    <t>[Mton_PTA]</t>
  </si>
  <si>
    <t>PVC production - Chemical Industry</t>
  </si>
  <si>
    <t>[Mton_PVC]</t>
  </si>
  <si>
    <t>Polyester production - Chemical Industry</t>
  </si>
  <si>
    <t>[Mton_material]</t>
  </si>
  <si>
    <t>Ethylene oxide production - Chemical Industry</t>
  </si>
  <si>
    <t>[Mton_EO]</t>
  </si>
  <si>
    <t>Chlorine production - Chemical Industry</t>
  </si>
  <si>
    <t>[Mton_CL2]</t>
  </si>
  <si>
    <t>Other ETS chemicals - Chemical Industry</t>
  </si>
  <si>
    <t>[Idx_2020]</t>
  </si>
  <si>
    <t>Glass production - ETS Industry</t>
  </si>
  <si>
    <t>[Mton_Glass]</t>
  </si>
  <si>
    <t>Ceramics production -ETS Industry</t>
  </si>
  <si>
    <t>[Mton_Ceramics]</t>
  </si>
  <si>
    <t>Paper production - ETS Industry</t>
  </si>
  <si>
    <t>[Mton_Paper]</t>
  </si>
  <si>
    <t>Board production - ETS Industry</t>
  </si>
  <si>
    <t>[Mton_board]</t>
  </si>
  <si>
    <t>Food production - non-ETS Industry</t>
  </si>
  <si>
    <t>Other ETS - Industry</t>
  </si>
  <si>
    <t>Other non-ETS - Industry</t>
  </si>
  <si>
    <t>Machinery - Industry</t>
  </si>
  <si>
    <t>Waste Management</t>
  </si>
  <si>
    <t>[Mton_Waste]</t>
  </si>
  <si>
    <t>Motorcycles</t>
  </si>
  <si>
    <t>[Gvkm]</t>
  </si>
  <si>
    <t>Passenger Cars</t>
  </si>
  <si>
    <t>Light-Duty Vehicles</t>
  </si>
  <si>
    <t>Heavy-Duty Vehicles</t>
  </si>
  <si>
    <t>Buses</t>
  </si>
  <si>
    <t>[Mvkm]</t>
  </si>
  <si>
    <t>Rail</t>
  </si>
  <si>
    <t>Domestic Navigation</t>
  </si>
  <si>
    <t>Other Transport</t>
  </si>
  <si>
    <t>Bunker Aviation</t>
  </si>
  <si>
    <t>Bunker Navigation</t>
  </si>
  <si>
    <t xml:space="preserve">neGHG - Residential - CO2 </t>
  </si>
  <si>
    <t>[Mton_CO2e]</t>
  </si>
  <si>
    <t xml:space="preserve">neGHG - Services - CH4 </t>
  </si>
  <si>
    <t xml:space="preserve">neGHG - Agriculture - CO2 </t>
  </si>
  <si>
    <t>neGHG - Agriculture - CH4</t>
  </si>
  <si>
    <t>neGHG - Agriculture - N2O</t>
  </si>
  <si>
    <t>neGHG - Industry - Chemical - CO2</t>
  </si>
  <si>
    <t>neGHG - Industry - Other - CO2</t>
  </si>
  <si>
    <t xml:space="preserve">neGHG - Industry - CH4 </t>
  </si>
  <si>
    <t>neGHG - Industry - N2O</t>
  </si>
  <si>
    <t>neGHG - Industry - F-gas</t>
  </si>
  <si>
    <t>neGHG - Transport - CH4</t>
  </si>
  <si>
    <t>neGHG - Transport - N2O</t>
  </si>
  <si>
    <t>neGHG - Transport - F-gas</t>
  </si>
  <si>
    <t>neGHG - LULUCF</t>
  </si>
  <si>
    <t>Natural Gas Exports</t>
  </si>
  <si>
    <t>EU</t>
  </si>
  <si>
    <t>Naphtha Exports</t>
  </si>
  <si>
    <t>[36]</t>
  </si>
  <si>
    <t>Road Fuel Exports</t>
  </si>
  <si>
    <t>Kerosene Exports</t>
  </si>
  <si>
    <t>Electricity demand - EU</t>
  </si>
  <si>
    <t>[2]</t>
  </si>
  <si>
    <t>Iron ore</t>
  </si>
  <si>
    <t>[Mton_iron_ore]</t>
  </si>
  <si>
    <t>Material conversion</t>
  </si>
  <si>
    <t>Material</t>
  </si>
  <si>
    <t>Limestone</t>
  </si>
  <si>
    <t>[Mton_limestone]</t>
  </si>
  <si>
    <t>DRI</t>
  </si>
  <si>
    <t>[Mton_DRI/y]</t>
  </si>
  <si>
    <t>Steel scrap</t>
  </si>
  <si>
    <t>[Mton_steelscrap]</t>
  </si>
  <si>
    <t>Ethylene intermediate</t>
  </si>
  <si>
    <t>Propylene intermediate</t>
  </si>
  <si>
    <t>PTA intermediate</t>
  </si>
  <si>
    <t>Chlorine intermediate</t>
  </si>
  <si>
    <t>Bioplastics (PEF, PLA)</t>
  </si>
  <si>
    <t>[Mton_BP]</t>
  </si>
  <si>
    <t>Polyethylene terephthalate (PET)</t>
  </si>
  <si>
    <t>[Mton_PET]</t>
  </si>
  <si>
    <t>BHET</t>
  </si>
  <si>
    <t>[Mton_BHET]</t>
  </si>
  <si>
    <t>Ethylene oxide intermediate</t>
  </si>
  <si>
    <t>Ethylene glycol</t>
  </si>
  <si>
    <t>[Mton_EG]</t>
  </si>
  <si>
    <t>Sorted polyethylene</t>
  </si>
  <si>
    <t>[Mton_sortedPE]</t>
  </si>
  <si>
    <t>Waste</t>
  </si>
  <si>
    <t>Sorted polypropylene</t>
  </si>
  <si>
    <t>[Mton_sortedPP]</t>
  </si>
  <si>
    <t>Sorted PET</t>
  </si>
  <si>
    <t>[Mton_sortedPET]</t>
  </si>
  <si>
    <t>Sorted PVC</t>
  </si>
  <si>
    <t>[Mton_sortedPVC]</t>
  </si>
  <si>
    <t>Electricity EU</t>
  </si>
  <si>
    <t>hourly-interconnected</t>
  </si>
  <si>
    <t>Energy</t>
  </si>
  <si>
    <t>Electricity</t>
  </si>
  <si>
    <t>[1]</t>
  </si>
  <si>
    <t>Electricity NL - HVNS</t>
  </si>
  <si>
    <t>hourly</t>
  </si>
  <si>
    <t>Electricity NL - HV</t>
  </si>
  <si>
    <t>Electricity NL - LV</t>
  </si>
  <si>
    <t>Heat LT Houses C-G</t>
  </si>
  <si>
    <t>hourly-indirect</t>
  </si>
  <si>
    <t>Heat</t>
  </si>
  <si>
    <t>Heat LT Houses A+,A,B</t>
  </si>
  <si>
    <t>Heat LT Services</t>
  </si>
  <si>
    <t>Heat LT Network</t>
  </si>
  <si>
    <t>Heat LT Agriculture</t>
  </si>
  <si>
    <t>Heat HT Industry</t>
  </si>
  <si>
    <t>Heat LT Industry</t>
  </si>
  <si>
    <t>Furnace Heat Industry</t>
  </si>
  <si>
    <t>Blast Furnace Gas</t>
  </si>
  <si>
    <t>Coal</t>
  </si>
  <si>
    <t>MJ/kg</t>
  </si>
  <si>
    <t>LPG</t>
  </si>
  <si>
    <t>Oil Products</t>
  </si>
  <si>
    <t>Naphtha</t>
  </si>
  <si>
    <t>Road Fuel</t>
  </si>
  <si>
    <t>Kerosene</t>
  </si>
  <si>
    <t>Fuel Oil</t>
  </si>
  <si>
    <t>Other Oil Products</t>
  </si>
  <si>
    <t>Bio Naphtha</t>
  </si>
  <si>
    <t>Bio-fuels</t>
  </si>
  <si>
    <t>Bio Ethanol</t>
  </si>
  <si>
    <t>Bio Diesel</t>
  </si>
  <si>
    <t>Bio Kerosene</t>
  </si>
  <si>
    <t>Bio LPG</t>
  </si>
  <si>
    <t>Syn Naphtha</t>
  </si>
  <si>
    <t>Fix Energy</t>
  </si>
  <si>
    <t>Synfuels</t>
  </si>
  <si>
    <t>Syn Diesel</t>
  </si>
  <si>
    <t>Syn Kerosene</t>
  </si>
  <si>
    <t>E-Kerosene</t>
  </si>
  <si>
    <t>Syngas</t>
  </si>
  <si>
    <t>Methanol</t>
  </si>
  <si>
    <t>Natural Gas HD</t>
  </si>
  <si>
    <t>daily</t>
  </si>
  <si>
    <t>Natural Gas</t>
  </si>
  <si>
    <t>Natural Gas LD</t>
  </si>
  <si>
    <t>Natural Gas LNG</t>
  </si>
  <si>
    <t>Hydrogen HD</t>
  </si>
  <si>
    <t>Hydrogen</t>
  </si>
  <si>
    <t>Hydrogen LD</t>
  </si>
  <si>
    <t>Renewable H2 Credit</t>
  </si>
  <si>
    <t>Credits</t>
  </si>
  <si>
    <t>Plastic pyrolysis oil</t>
  </si>
  <si>
    <t>[D]</t>
  </si>
  <si>
    <t>Ammonia</t>
  </si>
  <si>
    <t>Biomass</t>
  </si>
  <si>
    <t>Crude Oil</t>
  </si>
  <si>
    <t>Oil</t>
  </si>
  <si>
    <t>National Natural Gas</t>
  </si>
  <si>
    <t>Uranium</t>
  </si>
  <si>
    <t>Nuclear</t>
  </si>
  <si>
    <t>Municipal Waste</t>
  </si>
  <si>
    <t>[114]</t>
  </si>
  <si>
    <t>Mixed Plastic Waste</t>
  </si>
  <si>
    <t>[Mt]</t>
  </si>
  <si>
    <t>Waste for incineration</t>
  </si>
  <si>
    <t>Residual Plastic Waste</t>
  </si>
  <si>
    <t>Wood</t>
  </si>
  <si>
    <t>Grasscrops</t>
  </si>
  <si>
    <t>Dry organic matter</t>
  </si>
  <si>
    <t>Wet organic matter</t>
  </si>
  <si>
    <t>Manure</t>
  </si>
  <si>
    <t>Sugars</t>
  </si>
  <si>
    <t>Starch</t>
  </si>
  <si>
    <t>Vegetable Oil</t>
  </si>
  <si>
    <t>Biomethane</t>
  </si>
  <si>
    <t>Wind Energy</t>
  </si>
  <si>
    <t>Wind</t>
  </si>
  <si>
    <t>Solar Energy</t>
  </si>
  <si>
    <t>Solar</t>
  </si>
  <si>
    <t>Ambient Energy</t>
  </si>
  <si>
    <t>Other RE</t>
  </si>
  <si>
    <t>Geothermal Energy</t>
  </si>
  <si>
    <t>Solar Heat</t>
  </si>
  <si>
    <t>Emitted neGHG - Residential - CO2</t>
  </si>
  <si>
    <t>Emission</t>
  </si>
  <si>
    <t>Emitted neGHG - Services - CH4</t>
  </si>
  <si>
    <t>Emitted neGHG - Agriculture - CO2</t>
  </si>
  <si>
    <t>Emitted neGHG - Agriculture - CH4</t>
  </si>
  <si>
    <t>Emitted neGHG - Agriculture - N2O</t>
  </si>
  <si>
    <t>Emitted neGHG - Industry - CO2</t>
  </si>
  <si>
    <t>Emitted neGHG - Industry - CH4</t>
  </si>
  <si>
    <t>Emitted neGHG - Industry - N2O</t>
  </si>
  <si>
    <t>Emitted neGHG - Industry - F-gas</t>
  </si>
  <si>
    <t>Emitted neGHG - Transport - CH4</t>
  </si>
  <si>
    <t>Emitted neGHG - Transport - N2O</t>
  </si>
  <si>
    <t>Emitted neGHG - Transport - F-gas</t>
  </si>
  <si>
    <t>Emitted neGHG - LULUCF - CO2</t>
  </si>
  <si>
    <t>Renewable CO2 Credit</t>
  </si>
  <si>
    <t>CO2 CCUS Network</t>
  </si>
  <si>
    <t>[Mton_CO2]</t>
  </si>
  <si>
    <t>EmissionReport</t>
  </si>
  <si>
    <t>CO2 Air ETS</t>
  </si>
  <si>
    <t>CO2 Air n-ETS</t>
  </si>
  <si>
    <t>CO2 Air Int. Transport</t>
  </si>
  <si>
    <t>XX</t>
  </si>
  <si>
    <t>CO2 Air Feedstock end of lifetime</t>
  </si>
  <si>
    <t>Tech. Specifics</t>
  </si>
  <si>
    <t>Cost data</t>
  </si>
  <si>
    <t>Operation data</t>
  </si>
  <si>
    <t>CHP flexibility data</t>
  </si>
  <si>
    <t>Asymetric flexibility</t>
  </si>
  <si>
    <t>Hydro Reservoirs</t>
  </si>
  <si>
    <t>Flexibility data</t>
  </si>
  <si>
    <t>Network buffers</t>
  </si>
  <si>
    <t>Planned decommissioning</t>
  </si>
  <si>
    <t>Minimum stock in a year</t>
  </si>
  <si>
    <t>Maximum stock in a year</t>
  </si>
  <si>
    <t>Minimum use in a year</t>
  </si>
  <si>
    <t>Maximum use in a year</t>
  </si>
  <si>
    <t>No new investments</t>
  </si>
  <si>
    <t>No economic/early decommissioning</t>
  </si>
  <si>
    <t>Reference Volume of the main activity</t>
  </si>
  <si>
    <t>Tech_ID</t>
  </si>
  <si>
    <t>Policy Sectors</t>
  </si>
  <si>
    <t>Category</t>
  </si>
  <si>
    <t>Sector</t>
  </si>
  <si>
    <t>Sub-sector</t>
  </si>
  <si>
    <t>Main Activity</t>
  </si>
  <si>
    <t>Name</t>
  </si>
  <si>
    <t>UoC</t>
  </si>
  <si>
    <t xml:space="preserve">Investment </t>
  </si>
  <si>
    <t>Salvage value</t>
  </si>
  <si>
    <t xml:space="preserve">Fixed O&amp;M </t>
  </si>
  <si>
    <t xml:space="preserve">Variable O&amp;M </t>
  </si>
  <si>
    <t>WACC</t>
  </si>
  <si>
    <t>Const. Time</t>
  </si>
  <si>
    <t xml:space="preserve">Ec. Lifetime </t>
  </si>
  <si>
    <t xml:space="preserve">Tech. Lifetime </t>
  </si>
  <si>
    <t>Cap2Act</t>
  </si>
  <si>
    <t>Type of process</t>
  </si>
  <si>
    <t>Type of profile</t>
  </si>
  <si>
    <t>Ramping constraint</t>
  </si>
  <si>
    <t>CHP product</t>
  </si>
  <si>
    <t>CHP fuel</t>
  </si>
  <si>
    <r>
      <t xml:space="preserve">CHP </t>
    </r>
    <r>
      <rPr>
        <sz val="11"/>
        <color theme="0"/>
        <rFont val="Calibri"/>
        <family val="2"/>
      </rPr>
      <t>η</t>
    </r>
  </si>
  <si>
    <t>CHP heat balance range</t>
  </si>
  <si>
    <t>CHP deviation in USE          tolerance</t>
  </si>
  <si>
    <t>CHP deviation in     P/H RATIO     tolerance</t>
  </si>
  <si>
    <t>Shedding capacity</t>
  </si>
  <si>
    <t>Shedding volume</t>
  </si>
  <si>
    <t>Range for demand curtailing</t>
  </si>
  <si>
    <t>Pump to head ratio</t>
  </si>
  <si>
    <t>Reservoir capacity</t>
  </si>
  <si>
    <t>Pumping losses</t>
  </si>
  <si>
    <t>Form of Flexibility</t>
  </si>
  <si>
    <t>Benefited activity</t>
  </si>
  <si>
    <t>Flexible capacity</t>
  </si>
  <si>
    <t>Storage capacity</t>
  </si>
  <si>
    <t>Shifting range</t>
  </si>
  <si>
    <t>Losses</t>
  </si>
  <si>
    <t>Non-negotiable load</t>
  </si>
  <si>
    <t>Average journey duration</t>
  </si>
  <si>
    <t>Average speed</t>
  </si>
  <si>
    <t>Upward capacity</t>
  </si>
  <si>
    <t>Downward capacity</t>
  </si>
  <si>
    <t>Buffer capacity</t>
  </si>
  <si>
    <t>Current installed capacity needed</t>
  </si>
  <si>
    <t>Maximum technology deployment</t>
  </si>
  <si>
    <t>Current Installed Capacity</t>
  </si>
  <si>
    <t>1 = no new investments allowed in this year</t>
  </si>
  <si>
    <t>1 = no early decommissioning allowed in this year</t>
  </si>
  <si>
    <t>(also works as an auxiliary)</t>
  </si>
  <si>
    <t>% of CAPEX</t>
  </si>
  <si>
    <t>(h,d,w)</t>
  </si>
  <si>
    <t>(only for CHP)</t>
  </si>
  <si>
    <t>(if range is more than 1 hour)</t>
  </si>
  <si>
    <t>(zero if not PS)</t>
  </si>
  <si>
    <t>(hours of discharge)</t>
  </si>
  <si>
    <t>(hours of charge)</t>
  </si>
  <si>
    <t>(in relation to discharge)</t>
  </si>
  <si>
    <t>(not in the model)</t>
  </si>
  <si>
    <t>(no AIMMS)</t>
  </si>
  <si>
    <t>(mandatory)</t>
  </si>
  <si>
    <t>(only for Hourly dispatch)</t>
  </si>
  <si>
    <t>(only if storage is present)</t>
  </si>
  <si>
    <t>(only for flexible electric transport)</t>
  </si>
  <si>
    <t>2025</t>
  </si>
  <si>
    <t>[M€/UoC]</t>
  </si>
  <si>
    <t>[M€/UoC-y]</t>
  </si>
  <si>
    <t xml:space="preserve"> [M€/UoA]</t>
  </si>
  <si>
    <t>[1/y]</t>
  </si>
  <si>
    <t xml:space="preserve"> [y]</t>
  </si>
  <si>
    <t>[y]</t>
  </si>
  <si>
    <t>[UoA/UoC-y]</t>
  </si>
  <si>
    <t>[activity]</t>
  </si>
  <si>
    <t>[UoR]</t>
  </si>
  <si>
    <t>[h]</t>
  </si>
  <si>
    <t>[UoA/UoC-h]</t>
  </si>
  <si>
    <t>[PJ/UoC-d]</t>
  </si>
  <si>
    <t>[d]</t>
  </si>
  <si>
    <t>[UoC/5y]</t>
  </si>
  <si>
    <t>[UoC]</t>
  </si>
  <si>
    <t>[UoA]</t>
  </si>
  <si>
    <t>Res01_01</t>
  </si>
  <si>
    <t>Gebouwde omgeving</t>
  </si>
  <si>
    <t>Final</t>
  </si>
  <si>
    <t>Residential</t>
  </si>
  <si>
    <t>Appliances</t>
  </si>
  <si>
    <t>Dummy standard electricity consumption - Residential</t>
  </si>
  <si>
    <t>[PJ/y]</t>
  </si>
  <si>
    <t>Operation</t>
  </si>
  <si>
    <t>Standard Load</t>
  </si>
  <si>
    <t>none</t>
  </si>
  <si>
    <t>[1],[12]</t>
  </si>
  <si>
    <t>Res01_02</t>
  </si>
  <si>
    <t>Flexible standard electricity consumption - Residential</t>
  </si>
  <si>
    <t>DR shifting</t>
  </si>
  <si>
    <t>1 day [d]</t>
  </si>
  <si>
    <t>Res02_01</t>
  </si>
  <si>
    <t>Flats</t>
  </si>
  <si>
    <t>House with insulation GFE - Residential Flats</t>
  </si>
  <si>
    <t>[khouses/y]</t>
  </si>
  <si>
    <t>Built Environment</t>
  </si>
  <si>
    <t>Res02_02</t>
  </si>
  <si>
    <t>House with insulation DC - Residential Flats</t>
  </si>
  <si>
    <t>Res02_03</t>
  </si>
  <si>
    <t>House with insulation B - Residential Flats</t>
  </si>
  <si>
    <t>Res02_04</t>
  </si>
  <si>
    <t>House with insulation A - Residential Flats</t>
  </si>
  <si>
    <t>Res02_05</t>
  </si>
  <si>
    <t>House with insulation A+ - Residential Flats</t>
  </si>
  <si>
    <t>[1],[9],[12]</t>
  </si>
  <si>
    <t>Res03_01</t>
  </si>
  <si>
    <t>Terrace</t>
  </si>
  <si>
    <t>House with insulation GFE - Residential Terrace</t>
  </si>
  <si>
    <t>Res03_02</t>
  </si>
  <si>
    <t>House with insulation DC - Residential Terrace</t>
  </si>
  <si>
    <t>[1],[37],[38]</t>
  </si>
  <si>
    <t>Res03_03</t>
  </si>
  <si>
    <t>House with insulation B - Residential Terrace</t>
  </si>
  <si>
    <t>Res03_04</t>
  </si>
  <si>
    <t>House with insulation A - Residential Terrace</t>
  </si>
  <si>
    <t>Res03_05</t>
  </si>
  <si>
    <t>House with insulation A+ - Residential Terrace</t>
  </si>
  <si>
    <t>Res04_01</t>
  </si>
  <si>
    <t>Dwellings</t>
  </si>
  <si>
    <t>House with insulation GFE - Residential Dwellings</t>
  </si>
  <si>
    <t>Res04_02</t>
  </si>
  <si>
    <t>House with insulation DC - Residential Dwellings</t>
  </si>
  <si>
    <t>[12]</t>
  </si>
  <si>
    <t>Res04_03</t>
  </si>
  <si>
    <t>House with insulation B - Residential Dwellings</t>
  </si>
  <si>
    <t>Res04_04</t>
  </si>
  <si>
    <t>House with insulation A - Residential Dwellings</t>
  </si>
  <si>
    <t>Res04_05</t>
  </si>
  <si>
    <t>House with insulation A+ - Residential Dwellings</t>
  </si>
  <si>
    <t>[1],[D]</t>
  </si>
  <si>
    <t>Ser01_01</t>
  </si>
  <si>
    <t>Services</t>
  </si>
  <si>
    <t>Dummy standard electricity consumption - Services</t>
  </si>
  <si>
    <t>[39]</t>
  </si>
  <si>
    <t>Ser01_02</t>
  </si>
  <si>
    <t>Flexible standard electricity consumption - Services</t>
  </si>
  <si>
    <t>Ser02_01</t>
  </si>
  <si>
    <t>Buildings</t>
  </si>
  <si>
    <t>Space with insulation GFE - Services</t>
  </si>
  <si>
    <t>[Mm2/y]</t>
  </si>
  <si>
    <t>Ser02_02</t>
  </si>
  <si>
    <t>Space with insulation DC - Services</t>
  </si>
  <si>
    <t>Ser02_03</t>
  </si>
  <si>
    <t>Space with insulation B - Services</t>
  </si>
  <si>
    <t>Ser02_04</t>
  </si>
  <si>
    <t>Space with insulation A - Services</t>
  </si>
  <si>
    <t>Ser02_05</t>
  </si>
  <si>
    <t>Space with insulation A+ - Services</t>
  </si>
  <si>
    <t>Agr01_01</t>
  </si>
  <si>
    <t>Landbouw</t>
  </si>
  <si>
    <t>Agriculture</t>
  </si>
  <si>
    <t>Dummy standard electricity consumption - Agriculture</t>
  </si>
  <si>
    <t>Agr02_01</t>
  </si>
  <si>
    <t>Heat demand horticulture</t>
  </si>
  <si>
    <t>Dummy balance heat consumption - Agriculture Horticulture</t>
  </si>
  <si>
    <t>Flat high spread</t>
  </si>
  <si>
    <t>Agr04_01</t>
  </si>
  <si>
    <t>Mobiliteit</t>
  </si>
  <si>
    <t>Machinery</t>
  </si>
  <si>
    <t>Fuel based Machinery - Agriculture</t>
  </si>
  <si>
    <t>Agr04_02</t>
  </si>
  <si>
    <t>Hybrid Machinery - Agriculture</t>
  </si>
  <si>
    <t>IBM01_01</t>
  </si>
  <si>
    <t>Industrie</t>
  </si>
  <si>
    <t>Industry</t>
  </si>
  <si>
    <t>Basic Metals</t>
  </si>
  <si>
    <t>Blast furnace BOF - Steel Production</t>
  </si>
  <si>
    <t>[Mton_Steel/y]</t>
  </si>
  <si>
    <t>Flat</t>
  </si>
  <si>
    <t>[51]</t>
  </si>
  <si>
    <t>IBM01_02</t>
  </si>
  <si>
    <t>Blast furnace BOF wCCUS (end-of-pipe) - Steel Production</t>
  </si>
  <si>
    <t>IBM01_03</t>
  </si>
  <si>
    <t>Blast furnace BOF with top gas recycling wCCUS (end-of-pipe) - Steel Production</t>
  </si>
  <si>
    <t>IBM01_04</t>
  </si>
  <si>
    <t>Hisarna - Steel Production</t>
  </si>
  <si>
    <t>IBM01_05</t>
  </si>
  <si>
    <t>Hisarna wCCUS (cryogenic) - Steel Production</t>
  </si>
  <si>
    <t>IBM01_06</t>
  </si>
  <si>
    <t>Hisarna biomass wCCUS (cryogenic) - Steel Production</t>
  </si>
  <si>
    <t>IBM01_07</t>
  </si>
  <si>
    <t>Direct reduction from natural gas - Steel Production</t>
  </si>
  <si>
    <t>IBM01_08</t>
  </si>
  <si>
    <t>Direct reduction from hydrogen  - Steel Production</t>
  </si>
  <si>
    <t>IBM01_09</t>
  </si>
  <si>
    <t>Direct reduction from hydrogen w/biomass - Steel Production</t>
  </si>
  <si>
    <t>IBM01_10</t>
  </si>
  <si>
    <t>Low temperature electro winning (ULCOWIN) - Steel Production</t>
  </si>
  <si>
    <t>Shedding</t>
  </si>
  <si>
    <t>1 hour [h]</t>
  </si>
  <si>
    <t>IBM01_11</t>
  </si>
  <si>
    <t>High temperature electro winning - Steel Production</t>
  </si>
  <si>
    <t>IBM01_12</t>
  </si>
  <si>
    <t>Scrap-fed EAF - Steel Production</t>
  </si>
  <si>
    <t>IBM01_13</t>
  </si>
  <si>
    <t>Scrap-fed EAF with syngas fuel - Steel Production</t>
  </si>
  <si>
    <t>IBM01_15</t>
  </si>
  <si>
    <t>DRI-fed EAF - Steel Production</t>
  </si>
  <si>
    <t>IBM01_16</t>
  </si>
  <si>
    <t>DRI-fed EAF with syngas fuel - Steel Production</t>
  </si>
  <si>
    <t>IBM01_17</t>
  </si>
  <si>
    <t>DRI-fed EAF with syngas fuel and biomass reducing agent - Steel Production</t>
  </si>
  <si>
    <t>IFE01_01</t>
  </si>
  <si>
    <t>Fertilizers</t>
  </si>
  <si>
    <t>Nitric Acid production from Ammonia -Fertilizers</t>
  </si>
  <si>
    <t>[54],[36]</t>
  </si>
  <si>
    <t>IFE02_02</t>
  </si>
  <si>
    <t>Urea production from Ammonia and CCUS - Fertilizers</t>
  </si>
  <si>
    <t>IFE03_01</t>
  </si>
  <si>
    <t>Ammonia demand for other fertilizers - Fertilizers</t>
  </si>
  <si>
    <t>ICH01_01</t>
  </si>
  <si>
    <t>Conversion</t>
  </si>
  <si>
    <t>Chemicals</t>
  </si>
  <si>
    <t>Existing naphtha steam cracker - Petrochemical industry</t>
  </si>
  <si>
    <t>[Mton_Ey/y]</t>
  </si>
  <si>
    <t>[103]</t>
  </si>
  <si>
    <t>ICH01_02</t>
  </si>
  <si>
    <t>Existing naphtha steam cracker wCCUS (MEA postcombustion) - Petrochemical industry</t>
  </si>
  <si>
    <t>ICH01_03</t>
  </si>
  <si>
    <t>Existing bio-naphtha steam cracker wCCUS (MEA postcombustion) - Petrochemical industry</t>
  </si>
  <si>
    <t>ICH01_04</t>
  </si>
  <si>
    <t>Existing syn-naphtha steam cracker wCCUS (MEA postcombustion) - Petrochemical industry</t>
  </si>
  <si>
    <t>ICH01_05</t>
  </si>
  <si>
    <t>Electrified naphtha steam cracker - Petrochemical industry</t>
  </si>
  <si>
    <t>ICH01_06</t>
  </si>
  <si>
    <t>Electrified bio-naphtha steam cracker - Petrochemical industry</t>
  </si>
  <si>
    <t>ICH01_07</t>
  </si>
  <si>
    <t>Electrified syn-naphtha steam cracker - Petrochemical industry</t>
  </si>
  <si>
    <t>ICH01_08</t>
  </si>
  <si>
    <t>Hydrogen fueled naphtha steam cracker - Petrochemical industry</t>
  </si>
  <si>
    <t>ICH01_09</t>
  </si>
  <si>
    <t>Hydrogen fueled bio-naphtha steam cracker - Petrochemical industry</t>
  </si>
  <si>
    <t>ICH01_10</t>
  </si>
  <si>
    <t>Hydrogen fueled syn-naphtha steam cracker - Petrochemical industry</t>
  </si>
  <si>
    <t>ICH01_11</t>
  </si>
  <si>
    <t>Ethylene from bioethanol dehydration - Petrochemical industry</t>
  </si>
  <si>
    <t>ICH01_12</t>
  </si>
  <si>
    <t>Methanol to olefins - Petrochemical industry</t>
  </si>
  <si>
    <t>[Mton_Py/y]</t>
  </si>
  <si>
    <t>ICH01_13</t>
  </si>
  <si>
    <t>Primary</t>
  </si>
  <si>
    <t>Ethylene imports - Petrochemical industry</t>
  </si>
  <si>
    <t>[55]</t>
  </si>
  <si>
    <t>ICH01_14</t>
  </si>
  <si>
    <t>Propylene from PDH alkenation of LPG - Petrochemicals</t>
  </si>
  <si>
    <t>ICH01_15</t>
  </si>
  <si>
    <t>Propylene from ethanol dehydration, ethene dimerization and metathesis - Petrochemicals</t>
  </si>
  <si>
    <t>[102]</t>
  </si>
  <si>
    <t>ICH01_16</t>
  </si>
  <si>
    <t>Propylene imports - Petrochemical industry</t>
  </si>
  <si>
    <t>ICH01_17</t>
  </si>
  <si>
    <t>Butadiene imports - Petrochemical industry</t>
  </si>
  <si>
    <t>[Mton_Butadiene/y]</t>
  </si>
  <si>
    <t>ICH01_18</t>
  </si>
  <si>
    <t>High-pressure polymerisation of low-density polyethylene (LDPE)</t>
  </si>
  <si>
    <t>[Mton_LDPE/y]</t>
  </si>
  <si>
    <t>ICH01_19</t>
  </si>
  <si>
    <t>Solution polymerisation of linear low-density polyethylene (LLDPE)</t>
  </si>
  <si>
    <t>[Mton_LLDPE/y]</t>
  </si>
  <si>
    <t>ICH01_20</t>
  </si>
  <si>
    <t>Suspension/slurry polymerisation of high-density polyethylene (HDPE)</t>
  </si>
  <si>
    <t>[Mton_HDPE/y]</t>
  </si>
  <si>
    <t>ICH01_21</t>
  </si>
  <si>
    <t>Gas-phase polymerisation of polypropylene (PP)</t>
  </si>
  <si>
    <t>[Mton_PP/y]</t>
  </si>
  <si>
    <t>ICH01_22</t>
  </si>
  <si>
    <t>Propylene production - chemical industry</t>
  </si>
  <si>
    <t>Dummy - conversion of propylene use to propylene final</t>
  </si>
  <si>
    <t>ICH01_23</t>
  </si>
  <si>
    <t>Ethylene production - chemical industry</t>
  </si>
  <si>
    <t>Dummy - conversion of ethylene use to ethylene final</t>
  </si>
  <si>
    <t>ICH01_24</t>
  </si>
  <si>
    <t>Dummy - conversion of PTA intermediate to PTA final</t>
  </si>
  <si>
    <t>[Mton_PTA/y]</t>
  </si>
  <si>
    <t>ICH01_25</t>
  </si>
  <si>
    <t>Paraxylene oxidation and crystallization</t>
  </si>
  <si>
    <t>ICH01_26</t>
  </si>
  <si>
    <t>Polymerization to PET (PTA &amp; MEG)</t>
  </si>
  <si>
    <t>[Mton_PET/y]</t>
  </si>
  <si>
    <t>ICH01_27</t>
  </si>
  <si>
    <t>VCM production and polymerisation to PVC</t>
  </si>
  <si>
    <t>[Mton_PVC/y]</t>
  </si>
  <si>
    <t>ICH01_28</t>
  </si>
  <si>
    <t>VCM production and polymerisation to PVC with electric furnaces</t>
  </si>
  <si>
    <t>ICH01_29</t>
  </si>
  <si>
    <t>Existing naphtha steam cracker with 10% pyrolysis oil blending - Petrochemical industry</t>
  </si>
  <si>
    <t>ICH01_30</t>
  </si>
  <si>
    <t>Existing naphtha steam cracker with 10% pyrolysis oil blending and CCUS - Petrochemical industry</t>
  </si>
  <si>
    <t>ICH01_31</t>
  </si>
  <si>
    <t>Polymerization to PET (BHET)</t>
  </si>
  <si>
    <t>ICH01_32</t>
  </si>
  <si>
    <t>Dummy - conversion of PET to polyester</t>
  </si>
  <si>
    <t>[Mton_material/y]</t>
  </si>
  <si>
    <t>ICH01_33</t>
  </si>
  <si>
    <t>Dummy - conversion of bioplastics to polyester</t>
  </si>
  <si>
    <t>ICH01_34</t>
  </si>
  <si>
    <t>Ethylene oxide production</t>
  </si>
  <si>
    <t>[Mton_EO/y]</t>
  </si>
  <si>
    <t>ICH01_35</t>
  </si>
  <si>
    <t>Ethylene glycol production</t>
  </si>
  <si>
    <t>[Mton_EG/y]</t>
  </si>
  <si>
    <t>ICH01_36</t>
  </si>
  <si>
    <t>Dummy - conversion EO to final</t>
  </si>
  <si>
    <t>ICH01_37</t>
  </si>
  <si>
    <t>Methanol to aromatics</t>
  </si>
  <si>
    <t>[Mton_BTX/y]</t>
  </si>
  <si>
    <t>TNO 2024</t>
  </si>
  <si>
    <t>ICH01_38</t>
  </si>
  <si>
    <t>Biomass to aromatics</t>
  </si>
  <si>
    <t>ICH01_39</t>
  </si>
  <si>
    <t>Imported aromatics</t>
  </si>
  <si>
    <t>ICH01_40</t>
  </si>
  <si>
    <t>CO2 electrolysis</t>
  </si>
  <si>
    <t>ICH01_41</t>
  </si>
  <si>
    <t>Propylene from PDH alkenation of Bio LPG - Petrochemicals</t>
  </si>
  <si>
    <t>ICH01_42</t>
  </si>
  <si>
    <t>Existing bionaphtha steam cracker - Petrochemical industry</t>
  </si>
  <si>
    <t>ICB01_01</t>
  </si>
  <si>
    <t>Bioplastics from hydrolisis, fermenation and furfularization - Bioplastics</t>
  </si>
  <si>
    <t>[Mton_BP/y]</t>
  </si>
  <si>
    <t>[68]</t>
  </si>
  <si>
    <t>ICL01_01</t>
  </si>
  <si>
    <t>Chlor - alkali finite gap brine electrolysis - Chlorine production</t>
  </si>
  <si>
    <t>[Mton_Cl2/y]</t>
  </si>
  <si>
    <t>[56][106]</t>
  </si>
  <si>
    <t>ICL01_02</t>
  </si>
  <si>
    <t>Dummy - conversion of chlorine to final product</t>
  </si>
  <si>
    <t>ICL01_03</t>
  </si>
  <si>
    <t>Chlor - alkali zero-gap brine electrolysis - Chlorine production</t>
  </si>
  <si>
    <t>IOC01_01</t>
  </si>
  <si>
    <t>Reference remaining chemicals - Other ETS chemicals</t>
  </si>
  <si>
    <t>[Idx_2020/y]</t>
  </si>
  <si>
    <t>[12],[36]</t>
  </si>
  <si>
    <t>IOC01_02</t>
  </si>
  <si>
    <t>Improved remaining chemicals (bio feedstock) - Other ETS chemicals</t>
  </si>
  <si>
    <t>IOC01_03</t>
  </si>
  <si>
    <t>Improved remaining chemicals (syn feedstock) - Other ETS chemicals</t>
  </si>
  <si>
    <t>IGS01_01</t>
  </si>
  <si>
    <t>Other Industry ETS</t>
  </si>
  <si>
    <t>Conventional furnaces + post-melting  - Glass production</t>
  </si>
  <si>
    <t>[Mton_Glass/y]</t>
  </si>
  <si>
    <t>[58]</t>
  </si>
  <si>
    <t>IGS01_02</t>
  </si>
  <si>
    <t>Efficient furnaces + post-melting  - Glass production</t>
  </si>
  <si>
    <t>IGS01_03</t>
  </si>
  <si>
    <t>Electric cold-top furnaces + post-melting  - Glass production</t>
  </si>
  <si>
    <t>ICS01_01</t>
  </si>
  <si>
    <t>Conventional kilns + preparation, drying, treatment  - Ceramics production</t>
  </si>
  <si>
    <t>[Mton_Ceramic/y]</t>
  </si>
  <si>
    <t>[57]</t>
  </si>
  <si>
    <t>ICS01_02</t>
  </si>
  <si>
    <t>Electric kilns + preparation, drying, treatment - Ceramics production</t>
  </si>
  <si>
    <t>IPP01_01</t>
  </si>
  <si>
    <t>Conventional paper milling - Paper and board production</t>
  </si>
  <si>
    <t>[Mton_Paper/y]</t>
  </si>
  <si>
    <t>1 week [w]</t>
  </si>
  <si>
    <t>[59],[36]</t>
  </si>
  <si>
    <t>IPP01_02</t>
  </si>
  <si>
    <t>Compressed refining of paper - Paper and board production</t>
  </si>
  <si>
    <t>[59]</t>
  </si>
  <si>
    <t>IPP01_03</t>
  </si>
  <si>
    <t>Air-laid forming for paper - Paper and board production</t>
  </si>
  <si>
    <t>IPP01_04</t>
  </si>
  <si>
    <t>Microwave drying for board - Paper and board production</t>
  </si>
  <si>
    <t>[Mton_board/y]</t>
  </si>
  <si>
    <t>IPP01_05</t>
  </si>
  <si>
    <t>Conventional board milling - Paper and board production</t>
  </si>
  <si>
    <t>IFD01_01</t>
  </si>
  <si>
    <t>Other Industry non-ETS</t>
  </si>
  <si>
    <t>Reference food processes - Food industry</t>
  </si>
  <si>
    <t>IFD01_02</t>
  </si>
  <si>
    <t>Improved food processes - Food industry</t>
  </si>
  <si>
    <t>IOE01_01</t>
  </si>
  <si>
    <t>Reference other ETS industry - Other ETS Industry</t>
  </si>
  <si>
    <t>[12],[13],[14],[36]</t>
  </si>
  <si>
    <t>IOE01_02</t>
  </si>
  <si>
    <t>Improved other ETS industry - Other ETS Industry</t>
  </si>
  <si>
    <t>[12],[13],[14]</t>
  </si>
  <si>
    <t>ION01_01</t>
  </si>
  <si>
    <t>Reference other non-ETS industry - Other non-ETS Industry</t>
  </si>
  <si>
    <t>ION01_02</t>
  </si>
  <si>
    <t>Improved other non-ETS industry (bio feedstock) - Other non-ETS Industry</t>
  </si>
  <si>
    <t>ION01_03</t>
  </si>
  <si>
    <t>Improved other non-ETS industry (syn feedstock) - Other non-ETS Industry</t>
  </si>
  <si>
    <t>ICR01_01</t>
  </si>
  <si>
    <t>H2 Credits for Industry</t>
  </si>
  <si>
    <t>IMM01_01</t>
  </si>
  <si>
    <t>Standard Machinery - Industry</t>
  </si>
  <si>
    <t xml:space="preserve">Flat low night </t>
  </si>
  <si>
    <t>IMM01_02</t>
  </si>
  <si>
    <t>Hybrid Machinery - Industry</t>
  </si>
  <si>
    <t>IMM01_03</t>
  </si>
  <si>
    <t>Electric Machinery - Industry</t>
  </si>
  <si>
    <t>WAI01_01</t>
  </si>
  <si>
    <t>Waste Disposal</t>
  </si>
  <si>
    <t>Conventional waste collection &amp; sorting</t>
  </si>
  <si>
    <t>[Mton_Waste/y]</t>
  </si>
  <si>
    <t>Flat low night 6 days</t>
  </si>
  <si>
    <t>WAI01_02</t>
  </si>
  <si>
    <t>Improved waste collection &amp; sorting</t>
  </si>
  <si>
    <t>WAI01_03</t>
  </si>
  <si>
    <t>Sorting of plastic waste streams into categories</t>
  </si>
  <si>
    <t>WAI01_04</t>
  </si>
  <si>
    <t>CHP Waste - Waste Management</t>
  </si>
  <si>
    <t>[GW]</t>
  </si>
  <si>
    <t>CHP flexible</t>
  </si>
  <si>
    <t>WAI01_05</t>
  </si>
  <si>
    <t>CHP Waste wCCS - Waste Management</t>
  </si>
  <si>
    <t>WAI01_06</t>
  </si>
  <si>
    <t>Mechanical recycling of PET</t>
  </si>
  <si>
    <t>[Mton_sortedPET/y]</t>
  </si>
  <si>
    <t>[110]</t>
  </si>
  <si>
    <t>WAI01_07</t>
  </si>
  <si>
    <t>Mechanical recycling of PE</t>
  </si>
  <si>
    <t>[Mton_sortedPE/y]</t>
  </si>
  <si>
    <t>WAI01_08</t>
  </si>
  <si>
    <t>Mechanical recycling of PP</t>
  </si>
  <si>
    <t>[Mton_sortedPP/y]</t>
  </si>
  <si>
    <t>WAI01_09</t>
  </si>
  <si>
    <t>Mechanical recycling of PVC</t>
  </si>
  <si>
    <t>[Mton_sortedPVC/y]</t>
  </si>
  <si>
    <t>WAI01_10</t>
  </si>
  <si>
    <t>Gasification of plastic waste to syngas - Waste Management</t>
  </si>
  <si>
    <t>[109]</t>
  </si>
  <si>
    <t>WAI01_11</t>
  </si>
  <si>
    <t>Gasification of plastic waste to syngas with CC</t>
  </si>
  <si>
    <t>WAI01_12</t>
  </si>
  <si>
    <t>Integrated hydropyrolysis of plastic waste</t>
  </si>
  <si>
    <t>[72]</t>
  </si>
  <si>
    <t>WAI01_13</t>
  </si>
  <si>
    <t>Magnetic depolymerization of PET</t>
  </si>
  <si>
    <t>[Mton_BHET/y]</t>
  </si>
  <si>
    <t>[86][116]</t>
  </si>
  <si>
    <t>WAI01_14</t>
  </si>
  <si>
    <t>Glycolysis depolymerization of PET</t>
  </si>
  <si>
    <t>[117]</t>
  </si>
  <si>
    <t>WAI01_16</t>
  </si>
  <si>
    <t>Dissolution PP</t>
  </si>
  <si>
    <t>WAI01_17</t>
  </si>
  <si>
    <t>Depolymerization PVC</t>
  </si>
  <si>
    <t>WAI01_18</t>
  </si>
  <si>
    <t>Dissolution of PE waste streams</t>
  </si>
  <si>
    <t>[92]</t>
  </si>
  <si>
    <t>WAI01_19</t>
  </si>
  <si>
    <t>Dummy - conversion of municipal waste to waste for incineration</t>
  </si>
  <si>
    <t>WAI01_20</t>
  </si>
  <si>
    <t>Dummy - conversion of residual plastic waste to waste for incineration</t>
  </si>
  <si>
    <t>WAI01_21</t>
  </si>
  <si>
    <t>Dummy - conversion of mixed plastic waste to waste for incineration</t>
  </si>
  <si>
    <t>WAI01_22</t>
  </si>
  <si>
    <t>Depolymerization PP</t>
  </si>
  <si>
    <t>TRD01_01</t>
  </si>
  <si>
    <t>Transport</t>
  </si>
  <si>
    <t>Road</t>
  </si>
  <si>
    <t>ICE Vehicle - Motorcycle</t>
  </si>
  <si>
    <t>[Mvehicles]</t>
  </si>
  <si>
    <t>TRD01_02</t>
  </si>
  <si>
    <t>Electric Battery Vehicle - Motorcycle</t>
  </si>
  <si>
    <t>Electric Vehicles</t>
  </si>
  <si>
    <t>TRC01_01</t>
  </si>
  <si>
    <t>ICE 2010 norm Vehicle - Cars</t>
  </si>
  <si>
    <t>TRC01_02</t>
  </si>
  <si>
    <t>ICE efficient Vehicle - Cars</t>
  </si>
  <si>
    <t>[25],[26]</t>
  </si>
  <si>
    <t>TRC01_03</t>
  </si>
  <si>
    <t>ICE Bio Diesel Vehicle - Cars</t>
  </si>
  <si>
    <t>TRC01_04</t>
  </si>
  <si>
    <t>ICE Syn Diesel Vehicle - Cars</t>
  </si>
  <si>
    <t>TRC01_05</t>
  </si>
  <si>
    <t>ICE Hybrid Vehicle - Cars</t>
  </si>
  <si>
    <t>TRC01_06</t>
  </si>
  <si>
    <t>ICE Natural Gas Vehicle - Cars</t>
  </si>
  <si>
    <t>TRC01_07</t>
  </si>
  <si>
    <t>Plug-In Hybrid Vehicle - Cars</t>
  </si>
  <si>
    <t>TRC01_08</t>
  </si>
  <si>
    <t>Electric Battery Vehicle - Cars</t>
  </si>
  <si>
    <t>TRC01_09</t>
  </si>
  <si>
    <t>Electric Battery Vehicle FLEX - Cars</t>
  </si>
  <si>
    <t>EV smart charge</t>
  </si>
  <si>
    <t>TRC01_10</t>
  </si>
  <si>
    <t>Electric Battery Vehicle V2G - Cars</t>
  </si>
  <si>
    <t>EV P-to-Grid</t>
  </si>
  <si>
    <t>TRC01_11</t>
  </si>
  <si>
    <t>Hydrogen Fuel Cell Vehicle - Cars</t>
  </si>
  <si>
    <t>TRL01_01</t>
  </si>
  <si>
    <t>ICE 2010 norm Vehicle - LDV</t>
  </si>
  <si>
    <t>TRL01_02</t>
  </si>
  <si>
    <t>ICE efficient Vehicle - LDV</t>
  </si>
  <si>
    <t>TRL01_03</t>
  </si>
  <si>
    <t>ICE Bio Diesel Vehicle - LDV</t>
  </si>
  <si>
    <t>TRL01_04</t>
  </si>
  <si>
    <t>ICE Syn Diesel Vehicle - LDV</t>
  </si>
  <si>
    <t>TRL01_05</t>
  </si>
  <si>
    <t>Plug-In Hybrid Vehicle - LDV</t>
  </si>
  <si>
    <t>Electric LDV</t>
  </si>
  <si>
    <t>TRL01_06</t>
  </si>
  <si>
    <t>Electric Battery Vehicle - LDV</t>
  </si>
  <si>
    <t>TRL01_07</t>
  </si>
  <si>
    <t>Electric Battery Vehicle FLEX - LDV</t>
  </si>
  <si>
    <t>TRL01_08</t>
  </si>
  <si>
    <t>Hydrogen Fuel Cell Vehicle - LDV</t>
  </si>
  <si>
    <t>TRH01_01</t>
  </si>
  <si>
    <t>ICE 2010 norm Vehicle - HDV</t>
  </si>
  <si>
    <t>[kvehicles]</t>
  </si>
  <si>
    <t>TRH01_02</t>
  </si>
  <si>
    <t>ICE efficient Vehicle - HDV</t>
  </si>
  <si>
    <t>TRH01_03</t>
  </si>
  <si>
    <t>ICE Bio Diesel Vehicle - HDV</t>
  </si>
  <si>
    <t>TRH01_04</t>
  </si>
  <si>
    <t>ICE Syn Diesel Vehicle - HDV</t>
  </si>
  <si>
    <t>TRH01_05</t>
  </si>
  <si>
    <t>ICE Natural Gas Vehicle - HDV</t>
  </si>
  <si>
    <t>TRH01_06</t>
  </si>
  <si>
    <t>Electric Battery Vehicle - HDV</t>
  </si>
  <si>
    <t>Electric HDV</t>
  </si>
  <si>
    <t>TRH01_07</t>
  </si>
  <si>
    <t>Electric Battery Vehicle FLEX - HDV</t>
  </si>
  <si>
    <t>TRH01_08</t>
  </si>
  <si>
    <t>Hydrogen Fuel Cell Vehicle - HDV</t>
  </si>
  <si>
    <t>TRB01_01</t>
  </si>
  <si>
    <t>ICE Vehicle - Bus</t>
  </si>
  <si>
    <t>TRB01_02</t>
  </si>
  <si>
    <t>ICE Bio Diesel Vehicle - Bus</t>
  </si>
  <si>
    <t>TRB01_03</t>
  </si>
  <si>
    <t>ICE Syn Diesel Vehicle - Bus</t>
  </si>
  <si>
    <t>TRB01_04</t>
  </si>
  <si>
    <t>ICE Vehicle Natural Gas - Bus</t>
  </si>
  <si>
    <t>TRB01_05</t>
  </si>
  <si>
    <t>Plug-In Hybrid Vehicle - Bus</t>
  </si>
  <si>
    <t>TRB01_06</t>
  </si>
  <si>
    <t>Electric Battery Vehicle - Bus</t>
  </si>
  <si>
    <t>TRB01_07</t>
  </si>
  <si>
    <t>Hydrogen Fuel Cell Vehicle - Bus</t>
  </si>
  <si>
    <t>TRR01_01</t>
  </si>
  <si>
    <t>Compression Ignition - Train</t>
  </si>
  <si>
    <t>[trains]</t>
  </si>
  <si>
    <t>TRR01_02</t>
  </si>
  <si>
    <t>Conventional Electric - Train</t>
  </si>
  <si>
    <t>TNI01_01</t>
  </si>
  <si>
    <t>Navigation</t>
  </si>
  <si>
    <t>Heavy Oil Ship - Inland</t>
  </si>
  <si>
    <t>[vessels]</t>
  </si>
  <si>
    <t>TNI01_02</t>
  </si>
  <si>
    <t>Vegetable Oil Ship - Inland</t>
  </si>
  <si>
    <t>[1],[12],[40]</t>
  </si>
  <si>
    <t>TNI01_03</t>
  </si>
  <si>
    <t>ICE Ship - Inland</t>
  </si>
  <si>
    <t>TNI01_04</t>
  </si>
  <si>
    <t>Biodiesel Ship - Inland</t>
  </si>
  <si>
    <t>TNI01_05</t>
  </si>
  <si>
    <t>Syn Diesel Ship - Inland</t>
  </si>
  <si>
    <t>TNI01_06</t>
  </si>
  <si>
    <t>CNG Ship - Inland</t>
  </si>
  <si>
    <t>TNI01_07</t>
  </si>
  <si>
    <t>Ammonia Ship - Inland</t>
  </si>
  <si>
    <t>TOT01_01</t>
  </si>
  <si>
    <t>Other</t>
  </si>
  <si>
    <t>Other transport</t>
  </si>
  <si>
    <t>Dummy consumption - Other Transport</t>
  </si>
  <si>
    <t>TOT01_02</t>
  </si>
  <si>
    <t>Dummy electrified consumption - Other Transport</t>
  </si>
  <si>
    <t>TOT01_03</t>
  </si>
  <si>
    <t>H2 Credits for Transport</t>
  </si>
  <si>
    <t>TNB01_01</t>
  </si>
  <si>
    <t>Bunkerbrandstoffen</t>
  </si>
  <si>
    <t>Bunker</t>
  </si>
  <si>
    <t>Heavy Oil Ship - International</t>
  </si>
  <si>
    <t>TNB01_02</t>
  </si>
  <si>
    <t>Vegetable Oil Ship - International</t>
  </si>
  <si>
    <t>TNB01_03</t>
  </si>
  <si>
    <t>ICE Ship - International</t>
  </si>
  <si>
    <t>TNB01_04</t>
  </si>
  <si>
    <t>Bio Diesel Ship - International</t>
  </si>
  <si>
    <t>TNB01_05</t>
  </si>
  <si>
    <t>Syn Diesel Ship - International</t>
  </si>
  <si>
    <t>TNB01_06</t>
  </si>
  <si>
    <t>LNG Ship - International</t>
  </si>
  <si>
    <t>TNB01_07</t>
  </si>
  <si>
    <t>Ammonia Ship - International</t>
  </si>
  <si>
    <t>TNB01_08</t>
  </si>
  <si>
    <t>Methanol Ship - International</t>
  </si>
  <si>
    <t>TNB01_09</t>
  </si>
  <si>
    <t>H2 Credits for Navigation</t>
  </si>
  <si>
    <t>TNB01_10</t>
  </si>
  <si>
    <t>CO2 Credits for Navigation</t>
  </si>
  <si>
    <t>[MtonCO2e/y]</t>
  </si>
  <si>
    <t>TAI01_01</t>
  </si>
  <si>
    <t>Conventional Airplane</t>
  </si>
  <si>
    <t>[planes]</t>
  </si>
  <si>
    <t>TAI01_02</t>
  </si>
  <si>
    <t>Bio Kerosene Airplane</t>
  </si>
  <si>
    <t>TAI01_03</t>
  </si>
  <si>
    <t>Syn Kerosene Airplane</t>
  </si>
  <si>
    <t>TAI01_04</t>
  </si>
  <si>
    <t>Hydrogen Airplane</t>
  </si>
  <si>
    <t>TAI01_05</t>
  </si>
  <si>
    <t>E-Kerosene Airplane</t>
  </si>
  <si>
    <t>TAI01_06</t>
  </si>
  <si>
    <t xml:space="preserve">H2 Credits for Aviation </t>
  </si>
  <si>
    <t>TAI01_07</t>
  </si>
  <si>
    <t xml:space="preserve">CO2 Credits for Aviation </t>
  </si>
  <si>
    <t>neE01_01</t>
  </si>
  <si>
    <t>Indirect - CO2 Residential</t>
  </si>
  <si>
    <t>neE01_02</t>
  </si>
  <si>
    <t>Indirect - CH4 Services</t>
  </si>
  <si>
    <t>neE01_03</t>
  </si>
  <si>
    <t>Indirect - CO2 Agriculture</t>
  </si>
  <si>
    <t>neE01_04</t>
  </si>
  <si>
    <t>Indirect - CH4 Agriculture</t>
  </si>
  <si>
    <t>neE01_05</t>
  </si>
  <si>
    <t>Indirect - N2O Agriculture</t>
  </si>
  <si>
    <t>neE01_06</t>
  </si>
  <si>
    <t>Indirect - CO2 Chemical</t>
  </si>
  <si>
    <t>neE01_07</t>
  </si>
  <si>
    <t>Indirect - CO2 Other</t>
  </si>
  <si>
    <t>neE01_08</t>
  </si>
  <si>
    <t>Indirect - CH4 Industry</t>
  </si>
  <si>
    <t>neE01_09</t>
  </si>
  <si>
    <t>Indirect - N2O Industry</t>
  </si>
  <si>
    <t>neE01_10</t>
  </si>
  <si>
    <t>Indirect - F-gas Industry</t>
  </si>
  <si>
    <t>neE01_11</t>
  </si>
  <si>
    <t>Indirect - CH4 Transport</t>
  </si>
  <si>
    <t>neE01_12</t>
  </si>
  <si>
    <t>Indirect - N2O Transport</t>
  </si>
  <si>
    <t>neE01_13</t>
  </si>
  <si>
    <t>Indirect - F-gas Transport</t>
  </si>
  <si>
    <t>neE01_14</t>
  </si>
  <si>
    <t>Landgebruik</t>
  </si>
  <si>
    <t>LULUCF</t>
  </si>
  <si>
    <t>NGE01_01</t>
  </si>
  <si>
    <t>Exports</t>
  </si>
  <si>
    <t>Final Gas EU</t>
  </si>
  <si>
    <t>Export Gas NL</t>
  </si>
  <si>
    <t>Exports of Natural Gas</t>
  </si>
  <si>
    <t>OPE01_01</t>
  </si>
  <si>
    <t>Refineries</t>
  </si>
  <si>
    <t>Export Hydrocarbons</t>
  </si>
  <si>
    <t>Exports of oil-based naphtha</t>
  </si>
  <si>
    <t>OPE01_02</t>
  </si>
  <si>
    <t>Exports of bio-based naphtha</t>
  </si>
  <si>
    <t>OPE01_03</t>
  </si>
  <si>
    <t>Exports of syn-based naphtha</t>
  </si>
  <si>
    <t>OPE02_01</t>
  </si>
  <si>
    <t>Exports of oil-based road fuels</t>
  </si>
  <si>
    <t>OPE02_02</t>
  </si>
  <si>
    <t>Exports of bio-based road fuels</t>
  </si>
  <si>
    <t>OPE02_03</t>
  </si>
  <si>
    <t>Exports of syn-based road fuels</t>
  </si>
  <si>
    <t>OPE03_01</t>
  </si>
  <si>
    <t>Exports of oil-based kerosene</t>
  </si>
  <si>
    <t>OPE03_02</t>
  </si>
  <si>
    <t>Exports of bio-based kerosene</t>
  </si>
  <si>
    <t>OPE03_03</t>
  </si>
  <si>
    <t>Exports of syn-based kerosene</t>
  </si>
  <si>
    <t>PEU01_01</t>
  </si>
  <si>
    <t>External</t>
  </si>
  <si>
    <t>Power EU</t>
  </si>
  <si>
    <t>eDemand EU</t>
  </si>
  <si>
    <t>Dummy standard electricity consumption - EU</t>
  </si>
  <si>
    <t>EU Load</t>
  </si>
  <si>
    <t>PEU01_02</t>
  </si>
  <si>
    <t>Inland generation</t>
  </si>
  <si>
    <t>Inland generation - Power EU</t>
  </si>
  <si>
    <t>Hourly dispatch</t>
  </si>
  <si>
    <t>PEU01_03</t>
  </si>
  <si>
    <t>Elektriciteit</t>
  </si>
  <si>
    <t>XC Trade</t>
  </si>
  <si>
    <t>Export from NL to Power EU</t>
  </si>
  <si>
    <t>PNS01_01</t>
  </si>
  <si>
    <t>Power NL</t>
  </si>
  <si>
    <t>Generation</t>
  </si>
  <si>
    <t>Offshore Wind (far) - Power NL</t>
  </si>
  <si>
    <t>Wind Offshore NL</t>
  </si>
  <si>
    <t>[2],[49]</t>
  </si>
  <si>
    <t>PNL01_01</t>
  </si>
  <si>
    <t>Coal old - Power NL</t>
  </si>
  <si>
    <t>PNL01_02</t>
  </si>
  <si>
    <t>Co-fired Coal - Power NL</t>
  </si>
  <si>
    <t>PNL01_03</t>
  </si>
  <si>
    <t>Co-fired Coal wCCS - Power NL</t>
  </si>
  <si>
    <t>PNL01_04</t>
  </si>
  <si>
    <t>CCGT - Power NL</t>
  </si>
  <si>
    <t>PNL01_05</t>
  </si>
  <si>
    <t>CCGT wCCS - Power NL</t>
  </si>
  <si>
    <t>PNL01_06</t>
  </si>
  <si>
    <t>CCGT BFG - Power NL</t>
  </si>
  <si>
    <t>PNL01_07</t>
  </si>
  <si>
    <t>GT - Power NL</t>
  </si>
  <si>
    <t>PNL01_08</t>
  </si>
  <si>
    <t>Hydrogen SOFC - Power NL</t>
  </si>
  <si>
    <t>[43]</t>
  </si>
  <si>
    <t>PNL01_09</t>
  </si>
  <si>
    <t>Hydrogen CCGT - Power NL</t>
  </si>
  <si>
    <t>PNL01_10</t>
  </si>
  <si>
    <t>Nuclear - Borssele - Power NL</t>
  </si>
  <si>
    <t>[41],[49]</t>
  </si>
  <si>
    <t>PNL01_11</t>
  </si>
  <si>
    <t>Nuclear - Gen III - Power NL</t>
  </si>
  <si>
    <t>PNL01_12</t>
  </si>
  <si>
    <t>Nuclear SMR - Power NL</t>
  </si>
  <si>
    <t>[42],[49]</t>
  </si>
  <si>
    <t>PNL01_13</t>
  </si>
  <si>
    <t>Biomass - Power NL</t>
  </si>
  <si>
    <t>PNL01_14</t>
  </si>
  <si>
    <t>Biomass wCCS - Power NL</t>
  </si>
  <si>
    <t>PNL01_15</t>
  </si>
  <si>
    <t>Onshore Wind - Power NL</t>
  </si>
  <si>
    <t>Wind Onshore NL</t>
  </si>
  <si>
    <t>PNL01_16</t>
  </si>
  <si>
    <t>Offshore Wind (near)- Power NL</t>
  </si>
  <si>
    <t>PNL01_17</t>
  </si>
  <si>
    <t>Solar PV - Residential- Power NL</t>
  </si>
  <si>
    <t>Sun NL</t>
  </si>
  <si>
    <t>PNL01_18</t>
  </si>
  <si>
    <t>Solar PV - Services - Power NL</t>
  </si>
  <si>
    <t>PNL01_19</t>
  </si>
  <si>
    <t>Solar PV - Agriculture - Power NL</t>
  </si>
  <si>
    <t>PNL01_20</t>
  </si>
  <si>
    <t>Solar PV - Industry - Power NL</t>
  </si>
  <si>
    <t>PNL01_21</t>
  </si>
  <si>
    <t>Solar PV - Floating - Power NL</t>
  </si>
  <si>
    <t>PNL01_22</t>
  </si>
  <si>
    <t>Solar PV - Energy sector - Power NL</t>
  </si>
  <si>
    <t>PNL01_23</t>
  </si>
  <si>
    <t>Electricity from Hydro - Power NL</t>
  </si>
  <si>
    <t>Hydro RoR NL</t>
  </si>
  <si>
    <t>[2],[45]</t>
  </si>
  <si>
    <t>PNL_UD</t>
  </si>
  <si>
    <t>Unidspatched</t>
  </si>
  <si>
    <t>Undispatched Electricity (VOLL) - Power NL</t>
  </si>
  <si>
    <t>PNL03_01</t>
  </si>
  <si>
    <t>Storage</t>
  </si>
  <si>
    <t>Compresed Air Aboveground Storage - Power NL</t>
  </si>
  <si>
    <t>PNL03_02</t>
  </si>
  <si>
    <t>Compresed Air Underground Storage - Power NL</t>
  </si>
  <si>
    <t>3 days [r]</t>
  </si>
  <si>
    <t>PNL03_03</t>
  </si>
  <si>
    <t>Battery Storage Li-ion - Power NL</t>
  </si>
  <si>
    <t>PNL04_01</t>
  </si>
  <si>
    <t>Import from EU - Power NL</t>
  </si>
  <si>
    <t>PNL04_02</t>
  </si>
  <si>
    <t>Import from NS - Power NL</t>
  </si>
  <si>
    <t>PNL05_01</t>
  </si>
  <si>
    <t>Transformer from LV  to HV - Power NL</t>
  </si>
  <si>
    <t>PNL06_01</t>
  </si>
  <si>
    <t>Transformer from HV to LV - Power NL</t>
  </si>
  <si>
    <t>LTR01_01</t>
  </si>
  <si>
    <t>Boiler Gas - LT Heat for Houses</t>
  </si>
  <si>
    <t>LTR01_02</t>
  </si>
  <si>
    <t>Boiler Gas wWood Stove - LT Heat for Houses</t>
  </si>
  <si>
    <t>LTR01_03</t>
  </si>
  <si>
    <t>District Heating - LT Heat for Houses</t>
  </si>
  <si>
    <t>LTR01_04</t>
  </si>
  <si>
    <t>Hybrid Heat Pump - LT Heat for Houses</t>
  </si>
  <si>
    <t>[77]</t>
  </si>
  <si>
    <t>LTR01_05</t>
  </si>
  <si>
    <t>Electric Boiler - LT Heat for Houses</t>
  </si>
  <si>
    <t>[80][D]</t>
  </si>
  <si>
    <t>LTR01_06</t>
  </si>
  <si>
    <t>Boiler Hydrogen - LT Heat for Houses</t>
  </si>
  <si>
    <t>[79][D]</t>
  </si>
  <si>
    <t>LTR02_01</t>
  </si>
  <si>
    <t>Dummy C-G tech into A+,A,B - LT Heat for Houses</t>
  </si>
  <si>
    <t>LTR02_02</t>
  </si>
  <si>
    <t>Boiler Gas wSolar - LT Heat for Houses</t>
  </si>
  <si>
    <t>LTR02_03</t>
  </si>
  <si>
    <t>Electric Heater wSolar - LT Heat for Houses</t>
  </si>
  <si>
    <t>LTR02_04</t>
  </si>
  <si>
    <t>Electric Heat Pump Air - LT Heat for Houses</t>
  </si>
  <si>
    <t>BE shifting</t>
  </si>
  <si>
    <t>4 hours [q]</t>
  </si>
  <si>
    <t>[78]</t>
  </si>
  <si>
    <t>LTR02_05</t>
  </si>
  <si>
    <t>Electric Heat Pump GW - LT Heat for Houses</t>
  </si>
  <si>
    <t>[82]</t>
  </si>
  <si>
    <t>LTS01_01</t>
  </si>
  <si>
    <t>Boiler Gas Standard - LT Heat for Services</t>
  </si>
  <si>
    <t>LTS01_02</t>
  </si>
  <si>
    <t>Boiler Gas HR107 - LT Heat for Services</t>
  </si>
  <si>
    <t>LTS01_03</t>
  </si>
  <si>
    <t>District Heating - LT Heat for Services</t>
  </si>
  <si>
    <t>LTS01_04</t>
  </si>
  <si>
    <t>Hybrid Heat Pump - LT Heat for Services</t>
  </si>
  <si>
    <t>LTS01_05</t>
  </si>
  <si>
    <t>Electric Boiler - LT Heat for Services</t>
  </si>
  <si>
    <t>LTS01_06</t>
  </si>
  <si>
    <t>Electric Heat Pump Air - LT Heat for Services</t>
  </si>
  <si>
    <t>[81]</t>
  </si>
  <si>
    <t>LTS01_07</t>
  </si>
  <si>
    <t>Electric Heat Pump Soil - LT Heat for Services</t>
  </si>
  <si>
    <t>LTS01_08</t>
  </si>
  <si>
    <t>CHP Gas  - LT Heat for Services</t>
  </si>
  <si>
    <t>LTS01_09</t>
  </si>
  <si>
    <t>CHP H2 - LT Heat for Services</t>
  </si>
  <si>
    <t>LTS01_10</t>
  </si>
  <si>
    <t>Boiler Hydrogen - LT Heat for Services</t>
  </si>
  <si>
    <t>[79]</t>
  </si>
  <si>
    <t>LTN01_01</t>
  </si>
  <si>
    <t>Heat Network</t>
  </si>
  <si>
    <t>Boiler Gas - LT Heat for Network</t>
  </si>
  <si>
    <t>LTN01_02</t>
  </si>
  <si>
    <t>Boiler Gas wCCS - LT Heat for Network</t>
  </si>
  <si>
    <t>LTN01_03</t>
  </si>
  <si>
    <t>Boiler Biomass - LT Heat for Network</t>
  </si>
  <si>
    <t>LTN01_04</t>
  </si>
  <si>
    <t>Boiler Biomass wCCS - LT Heat for Network</t>
  </si>
  <si>
    <t>LTN01_05</t>
  </si>
  <si>
    <t>Geothermal Gas HP - LT Heat for Network</t>
  </si>
  <si>
    <t>LTN01_06</t>
  </si>
  <si>
    <t>Hot water storage tank - LT Heat for Network</t>
  </si>
  <si>
    <t>1 year [y]</t>
  </si>
  <si>
    <t>LTN01_07</t>
  </si>
  <si>
    <t>Boiler Hydrogen - LT Heat for Network</t>
  </si>
  <si>
    <t>LTN01_08</t>
  </si>
  <si>
    <t>Electric Boiler - LT Heat for Network</t>
  </si>
  <si>
    <t>Agr05_01</t>
  </si>
  <si>
    <t>CHP Gas - LT Heat for Agriculture</t>
  </si>
  <si>
    <t>Agr05_02</t>
  </si>
  <si>
    <t>Boiler Gas - LT Heat for Agriculture</t>
  </si>
  <si>
    <t>Agr05_03</t>
  </si>
  <si>
    <t>Geothermal HP - LT Heat for Agriculture</t>
  </si>
  <si>
    <t>Agr05_04</t>
  </si>
  <si>
    <t>Shallow Soil Energy - LT Heat for Agriculture</t>
  </si>
  <si>
    <t>Agr05_05</t>
  </si>
  <si>
    <t>Boiler Biomass - LT Heat for Agriculture</t>
  </si>
  <si>
    <t>Agr05_06</t>
  </si>
  <si>
    <t>Boiler Hydrogen - LT Heat for Agriculture</t>
  </si>
  <si>
    <t>Agr05_07</t>
  </si>
  <si>
    <t>Electric Boiler - LT Heat for Agriculture</t>
  </si>
  <si>
    <t>HTI01_01</t>
  </si>
  <si>
    <t>Boiler Gas - HT Heat for Industry</t>
  </si>
  <si>
    <t>[83]</t>
  </si>
  <si>
    <t>HTI01_02</t>
  </si>
  <si>
    <t>Boiler Gas wCCS - HT Heat for Industry</t>
  </si>
  <si>
    <t>HTI01_03</t>
  </si>
  <si>
    <t>Hybrid Boiler Gas - HT Heat for Industry</t>
  </si>
  <si>
    <t>HTI01_04</t>
  </si>
  <si>
    <t>Hybrid Boiler Gas wCCS - HT Heat for Industry</t>
  </si>
  <si>
    <t>HTI01_05</t>
  </si>
  <si>
    <t>Boiler Coal - HT Heat for Industry</t>
  </si>
  <si>
    <t>HTI01_06</t>
  </si>
  <si>
    <t>Boiler Coal wCCS - HT Heat for Industry</t>
  </si>
  <si>
    <t>HTI01_07</t>
  </si>
  <si>
    <t>Boiler Biomass - HT Heat for Industry</t>
  </si>
  <si>
    <t>HTI01_08</t>
  </si>
  <si>
    <t>Boiler Biomass wCCS - HT Heat for Industry</t>
  </si>
  <si>
    <t>HTI01_09</t>
  </si>
  <si>
    <t>CHP Gas - HT Heat for Industry</t>
  </si>
  <si>
    <t>HTI01_10</t>
  </si>
  <si>
    <t>CHP Gas wCCS - HT Heat for Industry</t>
  </si>
  <si>
    <t>HTI01_11</t>
  </si>
  <si>
    <t>CHP Coal - HT Heat for Industry</t>
  </si>
  <si>
    <t>HTI01_12</t>
  </si>
  <si>
    <t>CHP Coal wCCS - HT Heat for Industry</t>
  </si>
  <si>
    <t>HTI01_13</t>
  </si>
  <si>
    <t>CHP BFG - LT Heat for Industry</t>
  </si>
  <si>
    <t>HTI01_14</t>
  </si>
  <si>
    <t>CHP Biomass - HT Heat for Industry</t>
  </si>
  <si>
    <t>HTI01_15</t>
  </si>
  <si>
    <t>CHP Biomass wCCS - HT Heat for Industry</t>
  </si>
  <si>
    <t>HTI01_16</t>
  </si>
  <si>
    <t>Electric Boiler - HT Heat for Industry</t>
  </si>
  <si>
    <t>HTI01_17</t>
  </si>
  <si>
    <t>Boiler H2 - HT Heat for Industry</t>
  </si>
  <si>
    <t>HTI01_18</t>
  </si>
  <si>
    <t>Nuclear SMR Heat - HT Heat for Industry</t>
  </si>
  <si>
    <t>HTI01_19</t>
  </si>
  <si>
    <t>CHP Nuclear SMR - HT Heat for Industry</t>
  </si>
  <si>
    <t>LTI01_01</t>
  </si>
  <si>
    <t>Dummy HT tech into LT - LT Heat for Industry</t>
  </si>
  <si>
    <t>LTI01_02</t>
  </si>
  <si>
    <t>Heat Pump Gas - LT Heat for Industry</t>
  </si>
  <si>
    <t>LTI01_03</t>
  </si>
  <si>
    <t>Heat Pump Electricity - LT Heat for Industry</t>
  </si>
  <si>
    <t>LTI01_04</t>
  </si>
  <si>
    <t>Geothermal HP - LT Heat for Industry</t>
  </si>
  <si>
    <t>LTI01_05</t>
  </si>
  <si>
    <t>Co-Digestion Biomass - LT Heat for Industry</t>
  </si>
  <si>
    <t>FHI01_01</t>
  </si>
  <si>
    <t>Natural Gas Furnace - FH Industry</t>
  </si>
  <si>
    <t>FHI01_02</t>
  </si>
  <si>
    <t>Natural Gas Furnace wCCUS - FH Industry</t>
  </si>
  <si>
    <t>FHI01_03</t>
  </si>
  <si>
    <t>Biomass Furnace - FH Industry</t>
  </si>
  <si>
    <t>FHI01_04</t>
  </si>
  <si>
    <t>Biomass Furnace wCCUS - FH Industry</t>
  </si>
  <si>
    <t>FHI01_05</t>
  </si>
  <si>
    <t>Hydrogen Furnace - FH Industry</t>
  </si>
  <si>
    <t>FHI01_06</t>
  </si>
  <si>
    <t>Electric Furnace - FH Industry</t>
  </si>
  <si>
    <t>RFP01_01</t>
  </si>
  <si>
    <t>Fossil</t>
  </si>
  <si>
    <t>Fossil Secondary</t>
  </si>
  <si>
    <t>Imported LPG - Refineries</t>
  </si>
  <si>
    <t>RFP02_01</t>
  </si>
  <si>
    <t>Imported Naphtha - Refineries</t>
  </si>
  <si>
    <t>RFP03_01</t>
  </si>
  <si>
    <t>Fossil Based</t>
  </si>
  <si>
    <t>Deep cracking refinery - Refineries</t>
  </si>
  <si>
    <t>RFP03_02</t>
  </si>
  <si>
    <t>Deep cracking refinery wCCS - Refineries</t>
  </si>
  <si>
    <t>RFP03_03</t>
  </si>
  <si>
    <t>Basic cracking refinery - Refineries</t>
  </si>
  <si>
    <t>RFP03_04</t>
  </si>
  <si>
    <t>Basic cracking refinery wCCS - Refineries</t>
  </si>
  <si>
    <t>RFP03_05</t>
  </si>
  <si>
    <t>Koch refinery - Refineries</t>
  </si>
  <si>
    <t>RFP03_06</t>
  </si>
  <si>
    <t>Koch refinery wCCS - Refineries</t>
  </si>
  <si>
    <t>RFP03_13</t>
  </si>
  <si>
    <t>Imported Road Fuel - Refineries</t>
  </si>
  <si>
    <t>RFP04_01</t>
  </si>
  <si>
    <t>Imported Kerosene - Refineries</t>
  </si>
  <si>
    <t>RFP05_01</t>
  </si>
  <si>
    <t>Imported Fuel Oil - Refineries</t>
  </si>
  <si>
    <t>RFP06_01</t>
  </si>
  <si>
    <t>Imported Other Oil Products - Refineries</t>
  </si>
  <si>
    <t>RFB00_01</t>
  </si>
  <si>
    <t>Renewable</t>
  </si>
  <si>
    <t>Bio Fuels</t>
  </si>
  <si>
    <t>Imported Bionaphtha - Refineries</t>
  </si>
  <si>
    <t>RFB01_01</t>
  </si>
  <si>
    <t>Bio Based</t>
  </si>
  <si>
    <t>Bioethanol from sugar fermentation - Refineries</t>
  </si>
  <si>
    <t>RFB01_02</t>
  </si>
  <si>
    <t>Bioethanol from starch fermentation - Refineries</t>
  </si>
  <si>
    <t>RFB01_03</t>
  </si>
  <si>
    <t>Bioethanol from cellulosic biomass trough hydrolisis and fermentation - Refineries</t>
  </si>
  <si>
    <t>RFB01_04</t>
  </si>
  <si>
    <t>Imported Bioethanol - Refineries</t>
  </si>
  <si>
    <t>RFB02_01</t>
  </si>
  <si>
    <t>Biodiesel from FAME  - Refineries</t>
  </si>
  <si>
    <t>RFB02_02</t>
  </si>
  <si>
    <t>Biodiesel oriented hydro pyrolisis - Refineries</t>
  </si>
  <si>
    <t>[65]</t>
  </si>
  <si>
    <t>RFB02_03</t>
  </si>
  <si>
    <t>Imported Biodiesel - Refineries</t>
  </si>
  <si>
    <t>RFB03_01</t>
  </si>
  <si>
    <t>Biokerosene oriented hydro pyrolisis - Refineries</t>
  </si>
  <si>
    <t>RFB03_02</t>
  </si>
  <si>
    <t>Imported Biokerosene - Refineries</t>
  </si>
  <si>
    <t>[2],[7]</t>
  </si>
  <si>
    <t>RFB03_03</t>
  </si>
  <si>
    <t>Biokerosene from HEFA</t>
  </si>
  <si>
    <t>RFB03_04</t>
  </si>
  <si>
    <t>Imported Bio LPG - Refineries</t>
  </si>
  <si>
    <t>RFS01_01</t>
  </si>
  <si>
    <t>Synthetic</t>
  </si>
  <si>
    <t>Syndiesel oriented Fischer Tropsch - Refineries</t>
  </si>
  <si>
    <t>[61]</t>
  </si>
  <si>
    <t>RFS01_02</t>
  </si>
  <si>
    <t>Syndiesel oriented methanol to fuels - Refineries</t>
  </si>
  <si>
    <t>[64], [96]</t>
  </si>
  <si>
    <t>RFS02_01</t>
  </si>
  <si>
    <t>Synkerosene oriented Fischer Tropsch - Refineries</t>
  </si>
  <si>
    <t>RFS02_02</t>
  </si>
  <si>
    <t>Synkerosene oriented methanol to fuels - Refineries</t>
  </si>
  <si>
    <t>RFS02_03</t>
  </si>
  <si>
    <t>E-Kerosene oriented Fischer Tropsch incl. RWGS</t>
  </si>
  <si>
    <t>RFS02_04</t>
  </si>
  <si>
    <t>E-Kerosene oriented methanol to fuels incl. methanol production</t>
  </si>
  <si>
    <t>RFS03_01</t>
  </si>
  <si>
    <t>Syngas from biomass indirect gasification with pure stream capture - Refineries</t>
  </si>
  <si>
    <t>[111]</t>
  </si>
  <si>
    <t>RFS03_05</t>
  </si>
  <si>
    <t>Syngas from biomass indirect gasification with pure stream and flue gas capture - Refineries</t>
  </si>
  <si>
    <t>RFS03_02</t>
  </si>
  <si>
    <t>Syngas from CO2 and H2 RWGS - Refineries</t>
  </si>
  <si>
    <t>RFS03_03</t>
  </si>
  <si>
    <t>Syngas from SOEC  electrolysis - Refineries</t>
  </si>
  <si>
    <t>[63]</t>
  </si>
  <si>
    <t>RFS03_04</t>
  </si>
  <si>
    <t>Syngas from eSMR</t>
  </si>
  <si>
    <t>[98]</t>
  </si>
  <si>
    <t>RFS04_01</t>
  </si>
  <si>
    <t>Methanol from syngas - Refineries</t>
  </si>
  <si>
    <t>[62], [100],[103]</t>
  </si>
  <si>
    <t>RFS04_02</t>
  </si>
  <si>
    <t>Methanol direct synthesis from CO2 and H2 - Refineries</t>
  </si>
  <si>
    <t>[62]</t>
  </si>
  <si>
    <t>RFS04_03</t>
  </si>
  <si>
    <t>E-Methanol direct synthesis from CO2 and H2 - Refineries</t>
  </si>
  <si>
    <t>Gas01_01</t>
  </si>
  <si>
    <t>Final Gas</t>
  </si>
  <si>
    <t>Gas Extraction - Final Gas</t>
  </si>
  <si>
    <t>[GWh/d]</t>
  </si>
  <si>
    <t>Gas01_02</t>
  </si>
  <si>
    <t>Methane from Hydrogen - Final Gas</t>
  </si>
  <si>
    <t>Gas01_03</t>
  </si>
  <si>
    <t>Fossil Primary</t>
  </si>
  <si>
    <t>Imported Natural Gas - Final Gas</t>
  </si>
  <si>
    <t>Daily dispatch</t>
  </si>
  <si>
    <t>[2],[50]</t>
  </si>
  <si>
    <t>Gas01_04</t>
  </si>
  <si>
    <t>LNG decompression station - Final Gas</t>
  </si>
  <si>
    <t>Gas02_01</t>
  </si>
  <si>
    <t>Small scale storage buffer - Final Gas</t>
  </si>
  <si>
    <t>Gas buffer</t>
  </si>
  <si>
    <t>Gas02_02</t>
  </si>
  <si>
    <t>Large scale storage buffer - Final Gas</t>
  </si>
  <si>
    <t>Gas03_01</t>
  </si>
  <si>
    <t>Internal Gas Flow</t>
  </si>
  <si>
    <t>LD to HD compressor - Final Gas</t>
  </si>
  <si>
    <t>Gas04_01</t>
  </si>
  <si>
    <t>Gas from Manure Digestion - Final Gas</t>
  </si>
  <si>
    <t>Gas04_02</t>
  </si>
  <si>
    <t>Gas from Manure-Starch Co-Digestion - Final Gas</t>
  </si>
  <si>
    <t>Gas04_03</t>
  </si>
  <si>
    <t>Gas from Solid Biomass Gasification - Final Gas</t>
  </si>
  <si>
    <t>Gas04_04</t>
  </si>
  <si>
    <t>Gas from Solid Biomass Gasification wCCS - Final Gas</t>
  </si>
  <si>
    <t>Gas04_05</t>
  </si>
  <si>
    <t>Gas from imported biomethane</t>
  </si>
  <si>
    <t>Gas05_01</t>
  </si>
  <si>
    <t>HD to LD compressor - Final Gas</t>
  </si>
  <si>
    <t>Gas06_01</t>
  </si>
  <si>
    <t>Imported LNG - Final Gas</t>
  </si>
  <si>
    <t>Hyd01_01</t>
  </si>
  <si>
    <t>Gas Reforming - Hydrogen Production</t>
  </si>
  <si>
    <t>[2], [98]</t>
  </si>
  <si>
    <t>Hyd01_02</t>
  </si>
  <si>
    <t>Gas Reforming wCCS - Hydrogen Production</t>
  </si>
  <si>
    <t>Hyd01_03</t>
  </si>
  <si>
    <t>Nuclear Based</t>
  </si>
  <si>
    <t>Nuclear Gen IV - Hydrogen Production</t>
  </si>
  <si>
    <t>[48]</t>
  </si>
  <si>
    <t>Hyd01_04</t>
  </si>
  <si>
    <t>Alkaline Electrolyzer - Hydrogen Production</t>
  </si>
  <si>
    <t>[GWe]</t>
  </si>
  <si>
    <t>[69] [103] [104]</t>
  </si>
  <si>
    <t>Hyd01_05</t>
  </si>
  <si>
    <t>PEM Electrolyzer - Hydrogen Production</t>
  </si>
  <si>
    <t>[70]</t>
  </si>
  <si>
    <t>Hyd01_06</t>
  </si>
  <si>
    <t>Solid Oxide Electrolyzer - Hydrogen Production</t>
  </si>
  <si>
    <t>[71]</t>
  </si>
  <si>
    <t>Hyd01_07</t>
  </si>
  <si>
    <t>eSMR with CC - Hydrogen Production</t>
  </si>
  <si>
    <t>Hyd02_01</t>
  </si>
  <si>
    <t>Small scale storage buffer - Hydrogen Production</t>
  </si>
  <si>
    <t>Hyd02_02</t>
  </si>
  <si>
    <t>Large scale storage buffer - Hydrogen Production</t>
  </si>
  <si>
    <t>Hyd03_01</t>
  </si>
  <si>
    <t>Imported Hydrogen</t>
  </si>
  <si>
    <t>Imported Hydrogen (liquid) - Hydrogen Production</t>
  </si>
  <si>
    <t>Hyd03_02</t>
  </si>
  <si>
    <t>Exported Hydrogen</t>
  </si>
  <si>
    <t>Exported Hydrogen - Hydrogen Production</t>
  </si>
  <si>
    <t>Hyd03_03</t>
  </si>
  <si>
    <t>Imported Hydrogen  (pipeline) - Hydrogen Production</t>
  </si>
  <si>
    <t>Hyd04_01</t>
  </si>
  <si>
    <t>Internal Hydrogen Flow</t>
  </si>
  <si>
    <t>LD to HD compressor - Hydrogen Production</t>
  </si>
  <si>
    <t>Hyd04_02</t>
  </si>
  <si>
    <t>HD to LD compressor - Hydrogen Production</t>
  </si>
  <si>
    <t>Amm01_01</t>
  </si>
  <si>
    <t>Haber Bosch with H2 from SMR - Ammonia Production</t>
  </si>
  <si>
    <t>[54]</t>
  </si>
  <si>
    <t>Amm01_02</t>
  </si>
  <si>
    <t>Haber Bosch with H2 from SMR wCCUS - Ammonia Production</t>
  </si>
  <si>
    <t>Amm01_03</t>
  </si>
  <si>
    <t>Haber Bosch with external H2 - Ammonia Production</t>
  </si>
  <si>
    <t>Amm01_04</t>
  </si>
  <si>
    <t>Haber Bosch with renewable external H2 - Ammonia Production</t>
  </si>
  <si>
    <t>Amm01_05</t>
  </si>
  <si>
    <t>Haber Bosch with electrolyzer - Ammonia Production</t>
  </si>
  <si>
    <t>Amm01_06</t>
  </si>
  <si>
    <t>Solid State Ammonia Synthesis - Ammonia Production</t>
  </si>
  <si>
    <t>Amm01_07</t>
  </si>
  <si>
    <t>Imported Ammonia</t>
  </si>
  <si>
    <t>Imported Ammonia - Ammonia Production</t>
  </si>
  <si>
    <t>Amm01_08</t>
  </si>
  <si>
    <t>Haber Bosch with eSMR and CC - Ammonia Production</t>
  </si>
  <si>
    <t>Bio01_01</t>
  </si>
  <si>
    <t>Final Biomass</t>
  </si>
  <si>
    <t>Biomass from wood - Final Biomass</t>
  </si>
  <si>
    <t>Bio01_02</t>
  </si>
  <si>
    <t>Biomass from grasscrops - Final Biomass</t>
  </si>
  <si>
    <t>Bio01_03</t>
  </si>
  <si>
    <t>Biomass from agriculture residues - Final Biomass</t>
  </si>
  <si>
    <t>EPF01_01</t>
  </si>
  <si>
    <t>Imported Coal</t>
  </si>
  <si>
    <t>EPF01_02</t>
  </si>
  <si>
    <t>Imported Crude Oil</t>
  </si>
  <si>
    <t>EPF01_04</t>
  </si>
  <si>
    <t>EPO01_01</t>
  </si>
  <si>
    <t>Imported Uranium NL</t>
  </si>
  <si>
    <t>EPO01_02</t>
  </si>
  <si>
    <t>Municipal Waste NL</t>
  </si>
  <si>
    <t>EPO01_03</t>
  </si>
  <si>
    <t>Plastic Waste NL</t>
  </si>
  <si>
    <t>[Mt/y]</t>
  </si>
  <si>
    <t>EPB01_01</t>
  </si>
  <si>
    <t>Wood (crops, and others)</t>
  </si>
  <si>
    <t>[73]</t>
  </si>
  <si>
    <t>EPB01_02</t>
  </si>
  <si>
    <t>Imported Wood EU</t>
  </si>
  <si>
    <t>[73][112]</t>
  </si>
  <si>
    <t>EPB01_03</t>
  </si>
  <si>
    <t>Imported Wood America</t>
  </si>
  <si>
    <t>EPB01_04</t>
  </si>
  <si>
    <t>EPB01_05</t>
  </si>
  <si>
    <t>EPB01_06</t>
  </si>
  <si>
    <t>EPB01_07</t>
  </si>
  <si>
    <t>EPB01_08</t>
  </si>
  <si>
    <t>EPB01_09</t>
  </si>
  <si>
    <t>EPB01_10</t>
  </si>
  <si>
    <t>EPB01_11</t>
  </si>
  <si>
    <t>Imported Vegetable Oil</t>
  </si>
  <si>
    <t>EPB01_12</t>
  </si>
  <si>
    <t>Imported biomethane</t>
  </si>
  <si>
    <t>EPR01_01</t>
  </si>
  <si>
    <t>EPR01_02</t>
  </si>
  <si>
    <t>EPR01_03</t>
  </si>
  <si>
    <t>Ambient</t>
  </si>
  <si>
    <t>EPR01_04</t>
  </si>
  <si>
    <t>Geothermal</t>
  </si>
  <si>
    <t>EPR01_05</t>
  </si>
  <si>
    <t>EPM01_01</t>
  </si>
  <si>
    <t>Imported material</t>
  </si>
  <si>
    <t>Imported DRI briquettes</t>
  </si>
  <si>
    <t>EPM01_02</t>
  </si>
  <si>
    <t>Imported or purchased steel scrap</t>
  </si>
  <si>
    <t>[Mton_steelscrap/y]</t>
  </si>
  <si>
    <t>EPM01_06</t>
  </si>
  <si>
    <t>Imported or purchased iron ore</t>
  </si>
  <si>
    <t>[Mton_iron_ore/y]</t>
  </si>
  <si>
    <t>EPM01_07</t>
  </si>
  <si>
    <t>Imported or purchased limestone</t>
  </si>
  <si>
    <t>[Mton_limestone/y]</t>
  </si>
  <si>
    <t>neE02_01</t>
  </si>
  <si>
    <t>CO2</t>
  </si>
  <si>
    <t>neE02_02</t>
  </si>
  <si>
    <t>MACC Component 1 - neGHG CO2 Other</t>
  </si>
  <si>
    <t>neE02_03</t>
  </si>
  <si>
    <t>CH4</t>
  </si>
  <si>
    <t>neE02_04</t>
  </si>
  <si>
    <t>MACC Component 1 - neGHG CH4 Other</t>
  </si>
  <si>
    <t>neE02_05</t>
  </si>
  <si>
    <t>neE02_06</t>
  </si>
  <si>
    <t>neE02_07</t>
  </si>
  <si>
    <t>neE02_08</t>
  </si>
  <si>
    <t>MACC Component 1 - neGHG CH4 Enteric Fermentation</t>
  </si>
  <si>
    <t>neE02_09</t>
  </si>
  <si>
    <t>MACC Component 2 - neGHG CH4 Enteric Fermentation</t>
  </si>
  <si>
    <t>neE02_10</t>
  </si>
  <si>
    <t>MACC Component 3 - neGHG CH4 Enteric Fermentation</t>
  </si>
  <si>
    <t>neE02_11</t>
  </si>
  <si>
    <t>MACC Component 1 - neGHG CH4 Manure Management</t>
  </si>
  <si>
    <t>neE02_12</t>
  </si>
  <si>
    <t>MACC Component 2 - neGHG CH4 Manure Management</t>
  </si>
  <si>
    <t>neE02_13</t>
  </si>
  <si>
    <t>neE02_14</t>
  </si>
  <si>
    <t>N2O</t>
  </si>
  <si>
    <t>neE02_15</t>
  </si>
  <si>
    <t>MACC Component 1 - neGHG N2O Fertilizer</t>
  </si>
  <si>
    <t>neE02_16</t>
  </si>
  <si>
    <t>MACC Component 2 - neGHG N2O Fertilizer</t>
  </si>
  <si>
    <t>neE02_17</t>
  </si>
  <si>
    <t>MACC Component 3 - neGHG N2O Fertilizer</t>
  </si>
  <si>
    <t>neE02_18</t>
  </si>
  <si>
    <t>MACC Component 1 - neGHG N2O Manure Management</t>
  </si>
  <si>
    <t>neE02_19</t>
  </si>
  <si>
    <t>MACC Component 2 - neGHG N2O Manure Management</t>
  </si>
  <si>
    <t>neE02_20</t>
  </si>
  <si>
    <t>MACC Component 3 - neGHG N2O Manure Management</t>
  </si>
  <si>
    <t>neE02_21</t>
  </si>
  <si>
    <t>MACC Component 1 - neGHG N2O Other</t>
  </si>
  <si>
    <t>neE02_22</t>
  </si>
  <si>
    <t>neE02_23</t>
  </si>
  <si>
    <t>neE02_24</t>
  </si>
  <si>
    <t>neE02_25</t>
  </si>
  <si>
    <t>neE02_26</t>
  </si>
  <si>
    <t>neE02_27</t>
  </si>
  <si>
    <t>neE02_28</t>
  </si>
  <si>
    <t>F-gas</t>
  </si>
  <si>
    <t>neE02_29</t>
  </si>
  <si>
    <t>MACC Component 1 - neGHG F-gas Refrigerator</t>
  </si>
  <si>
    <t>neE02_30</t>
  </si>
  <si>
    <t>MACC Component 2 - neGHG F-gas Refrigerator</t>
  </si>
  <si>
    <t>neE02_31</t>
  </si>
  <si>
    <t>MACC Component 1 - neGHG F-gas Other</t>
  </si>
  <si>
    <t>neE02_32</t>
  </si>
  <si>
    <t>neE02_33</t>
  </si>
  <si>
    <t>neE02_34</t>
  </si>
  <si>
    <t>neE02_35</t>
  </si>
  <si>
    <t>neE02_36</t>
  </si>
  <si>
    <t>neE02_37</t>
  </si>
  <si>
    <t>neE02_38</t>
  </si>
  <si>
    <t>neE02_39</t>
  </si>
  <si>
    <t>Emi01_01</t>
  </si>
  <si>
    <t>CCUS Storage</t>
  </si>
  <si>
    <t>CO2 Storage</t>
  </si>
  <si>
    <t>[Mton_CO2/y]</t>
  </si>
  <si>
    <t>Emi01_02</t>
  </si>
  <si>
    <t>CCUS</t>
  </si>
  <si>
    <t>CO2 from Direct Air Capture under ETS scheme</t>
  </si>
  <si>
    <t>Emi01_03</t>
  </si>
  <si>
    <t>CO2 from Direct Air Capture outside ETS scheme</t>
  </si>
  <si>
    <t>Emi01_04</t>
  </si>
  <si>
    <t>Small scale storage buffer - CCUS Network</t>
  </si>
  <si>
    <t>[kton_CO2/d]</t>
  </si>
  <si>
    <t>Emi02_01</t>
  </si>
  <si>
    <t>National ETS</t>
  </si>
  <si>
    <t>CO2 ETS quota</t>
  </si>
  <si>
    <t>Emi02_02</t>
  </si>
  <si>
    <t>National nETS</t>
  </si>
  <si>
    <t>CO2 Emission non-ETS</t>
  </si>
  <si>
    <t>Emi02_03</t>
  </si>
  <si>
    <t>CO2 Emission Int. Transport</t>
  </si>
  <si>
    <t>Emi02_04</t>
  </si>
  <si>
    <t>Scope 3</t>
  </si>
  <si>
    <t>CO2 Emission Feedstock</t>
  </si>
  <si>
    <t>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 - Activity Balances</t>
  </si>
  <si>
    <t>CO2 Removal</t>
  </si>
  <si>
    <t>CO2 used from CCUS network</t>
  </si>
  <si>
    <t>Accounted Embodied CO2</t>
  </si>
  <si>
    <t>Feedstock Carbon</t>
  </si>
  <si>
    <t>Other ETS emission (process emission)</t>
  </si>
  <si>
    <t>Other non-ETS emission forms</t>
  </si>
  <si>
    <t>ETS status</t>
  </si>
  <si>
    <t>Emission node</t>
  </si>
  <si>
    <t>International emissions</t>
  </si>
  <si>
    <t>FORMULA!</t>
  </si>
  <si>
    <t>no AIMMS</t>
  </si>
  <si>
    <t xml:space="preserve">        </t>
  </si>
  <si>
    <t>[Mton_CO2/UoA]</t>
  </si>
  <si>
    <t>[t/f]</t>
  </si>
  <si>
    <t>[node]</t>
  </si>
  <si>
    <t>[9]</t>
  </si>
  <si>
    <t>[1],[35]</t>
  </si>
  <si>
    <t>[1],[36],[39]</t>
  </si>
  <si>
    <t>[51],[93]</t>
  </si>
  <si>
    <t>[103][105]</t>
  </si>
  <si>
    <t>[85],[94]</t>
  </si>
  <si>
    <t>[86],[94]</t>
  </si>
  <si>
    <t>[86],[C]</t>
  </si>
  <si>
    <t>[56]</t>
  </si>
  <si>
    <t>[59],[36],[C]</t>
  </si>
  <si>
    <t>[114],[87]</t>
  </si>
  <si>
    <t>[87],[C]</t>
  </si>
  <si>
    <t>[87],[89],[C]</t>
  </si>
  <si>
    <t>[72],[74],[C]</t>
  </si>
  <si>
    <t>[116]</t>
  </si>
  <si>
    <t>[1], [36]</t>
  </si>
  <si>
    <t>[41]</t>
  </si>
  <si>
    <t>[42]</t>
  </si>
  <si>
    <t>[2],[30]</t>
  </si>
  <si>
    <t>[2],[46]</t>
  </si>
  <si>
    <t>[2],[47]</t>
  </si>
  <si>
    <t>[64]</t>
  </si>
  <si>
    <t>[101]</t>
  </si>
  <si>
    <t>[69]</t>
  </si>
  <si>
    <t>Other data</t>
  </si>
  <si>
    <t>Existing</t>
  </si>
  <si>
    <t>Planned decommisioning</t>
  </si>
  <si>
    <t>Economic decommisioning</t>
  </si>
  <si>
    <t>Constraining range</t>
  </si>
  <si>
    <t>Activity Constrained</t>
  </si>
  <si>
    <t>% of Inv</t>
  </si>
  <si>
    <t>[UoA/UoC-UoR]</t>
  </si>
  <si>
    <t>IFG01_01</t>
  </si>
  <si>
    <t>Infrastructure</t>
  </si>
  <si>
    <t>Natural gas HD grid pipeline - Infrastructure Natural Gas</t>
  </si>
  <si>
    <t>[1],[9],[20]</t>
  </si>
  <si>
    <t>IFG01_02</t>
  </si>
  <si>
    <t>Natural gas LD grid pipeline - Infrastructure Natural Gas</t>
  </si>
  <si>
    <t>[1],[9]</t>
  </si>
  <si>
    <t>IFH01_01</t>
  </si>
  <si>
    <t>Hydrogen HD grid pipeline - Infrastructure Hydrogen</t>
  </si>
  <si>
    <t>IFH01_02</t>
  </si>
  <si>
    <t>Hydrogen LD grid pipeline - Infrastructure Hydrogen</t>
  </si>
  <si>
    <t>IFC01_01</t>
  </si>
  <si>
    <t>CCUS grid pipeline - Infrastructure CCUS</t>
  </si>
  <si>
    <t>[Mm]</t>
  </si>
  <si>
    <t>IFP01_01</t>
  </si>
  <si>
    <t>NL HV</t>
  </si>
  <si>
    <t>HV Electricity grid cable - Infrastructure Electricity</t>
  </si>
  <si>
    <t>IFP01_02</t>
  </si>
  <si>
    <t>NL LV</t>
  </si>
  <si>
    <t>LV Electricity grid cable - Infrastructure Electricity</t>
  </si>
  <si>
    <t>IFL01_01</t>
  </si>
  <si>
    <t>LT Heat</t>
  </si>
  <si>
    <t>LT Heat network pipeline - Infrastructure LT Heat Network</t>
  </si>
  <si>
    <t>Activity</t>
  </si>
  <si>
    <r>
      <t>Efficiency Learning [%</t>
    </r>
    <r>
      <rPr>
        <vertAlign val="subscript"/>
        <sz val="11"/>
        <color theme="0"/>
        <rFont val="Calibri"/>
        <family val="2"/>
        <scheme val="minor"/>
      </rPr>
      <t>2020</t>
    </r>
    <r>
      <rPr>
        <sz val="11"/>
        <color theme="0"/>
        <rFont val="Calibri"/>
        <family val="2"/>
        <scheme val="minor"/>
      </rPr>
      <t>]</t>
    </r>
  </si>
  <si>
    <t>2030</t>
  </si>
  <si>
    <t>2035</t>
  </si>
  <si>
    <t>2040</t>
  </si>
  <si>
    <t>2045</t>
  </si>
  <si>
    <t>2050</t>
  </si>
  <si>
    <t>[4]</t>
  </si>
  <si>
    <t>Removed for linking study, for consistency with cluster model</t>
  </si>
  <si>
    <t>[3],[4],[5],[6]</t>
  </si>
  <si>
    <t>Note that here LT Heat is a side product</t>
  </si>
  <si>
    <t>[11]</t>
  </si>
  <si>
    <t>[46]</t>
  </si>
  <si>
    <t>[47]</t>
  </si>
  <si>
    <t>Flat Profiles</t>
  </si>
  <si>
    <t>Availability Profiles</t>
  </si>
  <si>
    <t>hour</t>
  </si>
  <si>
    <t>day</t>
  </si>
  <si>
    <t>month</t>
  </si>
  <si>
    <t>Flat low spread</t>
  </si>
  <si>
    <t>Electric Vehicles - Use</t>
  </si>
  <si>
    <t>Electric LDV - Use</t>
  </si>
  <si>
    <t>Electric HDV - Use</t>
  </si>
  <si>
    <t xml:space="preserve">Data source </t>
  </si>
  <si>
    <t>[95]</t>
  </si>
  <si>
    <t>[45]</t>
  </si>
  <si>
    <t>Emission Factor</t>
  </si>
  <si>
    <t>Fossil Content</t>
  </si>
  <si>
    <t>Feedstock Use</t>
  </si>
  <si>
    <t>Carbon conservative</t>
  </si>
  <si>
    <t>BTX Aromatics Production - Chemical Industry</t>
  </si>
  <si>
    <t>Value</t>
  </si>
  <si>
    <t>Costs</t>
  </si>
  <si>
    <t xml:space="preserve">Tech_ID Original </t>
  </si>
  <si>
    <t>Tech_ID New</t>
  </si>
  <si>
    <t>Name
Original</t>
  </si>
  <si>
    <t>Name
New</t>
  </si>
  <si>
    <t>Enabled
[y/n]</t>
  </si>
  <si>
    <t>Overnight retrofitting investment [M€/UoC]</t>
  </si>
  <si>
    <t>[I]</t>
  </si>
  <si>
    <t>Paramters that are exclusive per node. (XX corresponds to int. transport/bunker emissions)</t>
  </si>
  <si>
    <t>Emission target [MtonCO2eq/yr]</t>
  </si>
  <si>
    <t>Cumulative emission</t>
  </si>
  <si>
    <t>Cumulative CO2 storage capacity</t>
  </si>
  <si>
    <t>Emission Target per sector in 2030</t>
  </si>
  <si>
    <t>Emission target including feedstock &amp; bunkers (Scope3) [MtonCO2eq/yr]</t>
  </si>
  <si>
    <t>2022-2050</t>
  </si>
  <si>
    <t>Built environment</t>
  </si>
  <si>
    <t>Land use</t>
  </si>
  <si>
    <t>Mobility</t>
  </si>
  <si>
    <t>Power sector</t>
  </si>
  <si>
    <t xml:space="preserve"> [MtonCO2eq/yr]</t>
  </si>
  <si>
    <t>[Mton_CO2eq]</t>
  </si>
  <si>
    <t>[Mton_CO2eq/yr]</t>
  </si>
  <si>
    <t>System Parameters (not necessarily read by AIMMS, but used in EXCEL)</t>
  </si>
  <si>
    <t>Units</t>
  </si>
  <si>
    <t>AIMMS</t>
  </si>
  <si>
    <t>Space for emissions to go negative</t>
  </si>
  <si>
    <t>yes</t>
  </si>
  <si>
    <t>XC Transmission Loss</t>
  </si>
  <si>
    <t>Flexibility threshold for baseload</t>
  </si>
  <si>
    <t>Account for shedding technologies as part of the load</t>
  </si>
  <si>
    <t>[yes/no]</t>
  </si>
  <si>
    <t>Maximum electricity bidding price or VOLL</t>
  </si>
  <si>
    <t>[M€/PJ]</t>
  </si>
  <si>
    <t>no</t>
  </si>
  <si>
    <t>[10]</t>
  </si>
  <si>
    <t>Reference salvage value fraction</t>
  </si>
  <si>
    <t>Transformer Loss HV to LV</t>
  </si>
  <si>
    <t>Are synthetic fuels CO2 neutral?</t>
  </si>
  <si>
    <t>[1=yes/0=no]</t>
  </si>
  <si>
    <t>Social discount rate</t>
  </si>
  <si>
    <t>Yes</t>
  </si>
  <si>
    <t>Base year (for NPV calculations)</t>
  </si>
  <si>
    <t>Normalized water heating demand in flats</t>
  </si>
  <si>
    <t>[PJ/khouses-y]</t>
  </si>
  <si>
    <t>Normalized water heating demand in terrace</t>
  </si>
  <si>
    <t>Normalized water heating demand in dwellings</t>
  </si>
  <si>
    <t>Normalized room heating demand in GFE flats</t>
  </si>
  <si>
    <t>[PJ/khouses-HDD-y]</t>
  </si>
  <si>
    <t>Normalized room heating demand in DC flats</t>
  </si>
  <si>
    <t>Normalized room heating demand in B flats</t>
  </si>
  <si>
    <t>Normalized room heating demand in A flats</t>
  </si>
  <si>
    <t>Normalized room heating demand in A+ flats</t>
  </si>
  <si>
    <t>Normalized room heating demand in GFE terraces</t>
  </si>
  <si>
    <t>Normalized room heating demand in DC terraces</t>
  </si>
  <si>
    <t>Normalized room heating demand in B terraces</t>
  </si>
  <si>
    <t>Normalized room heating demand in A terraces</t>
  </si>
  <si>
    <t>Normalized room heating demand in A+ terraces</t>
  </si>
  <si>
    <t>Normalized room heating demand in GFE dwellings</t>
  </si>
  <si>
    <t>Normalized room heating demand in DC dwellings</t>
  </si>
  <si>
    <t>Normalized room heating demand in B dwellings</t>
  </si>
  <si>
    <t>Normalized room heating demand in A dwellings</t>
  </si>
  <si>
    <t>Normalized room heating demand in A+ dwellings</t>
  </si>
  <si>
    <t>Normalized water heating demand in buildings</t>
  </si>
  <si>
    <t>[PJ/k-m2-y]</t>
  </si>
  <si>
    <t>Normalized room heating demand in GFE buildings</t>
  </si>
  <si>
    <t>[PJ/k-m2-HDD-y]</t>
  </si>
  <si>
    <t>Normalized room heating demand in DC buildings</t>
  </si>
  <si>
    <t>Normalized room heating demand in B buildings</t>
  </si>
  <si>
    <t>Normalized room heating demand in A buildings</t>
  </si>
  <si>
    <t>Normalized room heating demand in A+ buildings</t>
  </si>
  <si>
    <t>Market Types</t>
  </si>
  <si>
    <t>Activity Types</t>
  </si>
  <si>
    <t>Process Types</t>
  </si>
  <si>
    <t>Flexibility Types</t>
  </si>
  <si>
    <t>Range Types</t>
  </si>
  <si>
    <t>Sectors</t>
  </si>
  <si>
    <t>IEM sector</t>
  </si>
  <si>
    <t>Nodes</t>
  </si>
  <si>
    <t>Country name</t>
  </si>
  <si>
    <t>IEM node</t>
  </si>
  <si>
    <t>Energy Labels</t>
  </si>
  <si>
    <t>Renewables</t>
  </si>
  <si>
    <t>Maturity level</t>
  </si>
  <si>
    <t>KEV Sectors</t>
  </si>
  <si>
    <t>Europe</t>
  </si>
  <si>
    <t>Low</t>
  </si>
  <si>
    <t>Netherlands</t>
  </si>
  <si>
    <t>Med</t>
  </si>
  <si>
    <t>International</t>
  </si>
  <si>
    <t>High</t>
  </si>
  <si>
    <t>EmissionTarget</t>
  </si>
  <si>
    <t>1 month [m]</t>
  </si>
  <si>
    <t>1 season [s]</t>
  </si>
  <si>
    <t>neGHG</t>
  </si>
  <si>
    <t>Water Reservoir</t>
  </si>
  <si>
    <t>6 months [b]</t>
  </si>
  <si>
    <t>EOL</t>
  </si>
  <si>
    <t>Heat EU</t>
  </si>
  <si>
    <t>Range</t>
  </si>
  <si>
    <t>P2V storage</t>
  </si>
  <si>
    <t>DR valley filling</t>
  </si>
  <si>
    <t>DR peak shaving</t>
  </si>
  <si>
    <t>This section is created with the intention of grouping activities from the database with the intention of reducing computational times when required. Remember to edit connector technologies to operation.</t>
  </si>
  <si>
    <t>Activity Group</t>
  </si>
  <si>
    <t>New Activity</t>
  </si>
  <si>
    <t>Grouped Activities</t>
  </si>
  <si>
    <t>Group value</t>
  </si>
  <si>
    <t>[New Activity]</t>
  </si>
  <si>
    <t>[Group]</t>
  </si>
  <si>
    <t>[Activity]</t>
  </si>
  <si>
    <t>For purposes of linked model study, 8% discount rate applied for all sectors (not only chemicals/ammonia, so as not to bias the model against capital investment in these sectors). To be revisited for circularity study.</t>
  </si>
  <si>
    <t>No CAPEX differentiation between bio/syn/fossil naphtha for steam crackers. To be updated in simplified database.</t>
  </si>
  <si>
    <t>Removed WAI01_13 from feedstocks sheet &amp; corrected energy balance</t>
  </si>
  <si>
    <t>Butadiene production to final</t>
  </si>
  <si>
    <t>Ethylene &amp; propylene &amp; butadiene &amp; BTX imports to Primary Material</t>
  </si>
  <si>
    <t>Adjusted constraints on PEU01_02 (and some other elec trade tech) to avoid numerical issues</t>
  </si>
  <si>
    <t>Update data to use cluster model for chemicals</t>
  </si>
  <si>
    <t>REMOVE IFE02_01 - urea always uses captured CO2 (often integrated with ammonia production so not visible - but since we don't include that possibility we must include CO2 from network). All ammonia production requires CO2 separation. Differentiation is whether only concentrated CO2 is captured or also other CO2 from flue gas.</t>
  </si>
  <si>
    <t>Added captured carbon in conventional ammonia production</t>
  </si>
  <si>
    <t>Set 2050 EU Electricity prices equal to 2045. Very low prices, otherwise gave strange dip in system costs. (replaced by later source - see row 11)</t>
  </si>
  <si>
    <t>Merged column headers make some extra work when reading data in python - change this?</t>
  </si>
  <si>
    <t>Electricity prices for 2030/2040/2050 replaced with results from I-ELGAS provided by Sander (linked file). Based on a combination of II3050 and TYNDP. Used weighted average of import prices. Note that there can be prices of 0 in some hours (not many, but it happens). Negative prices do not occur in the dataset.</t>
  </si>
  <si>
    <t>Operational (hourly) profiles added for 4 tech.s in order to link to cluster model. Endogenous flexibility for those techs removed for the purposes of linking.</t>
  </si>
  <si>
    <t>Concrete demand</t>
  </si>
  <si>
    <t>[Mton_concrete]</t>
  </si>
  <si>
    <t>[108],[C]</t>
  </si>
  <si>
    <t>Salt production</t>
  </si>
  <si>
    <t>[Mton_salt]</t>
  </si>
  <si>
    <t>End-of-life concrete</t>
  </si>
  <si>
    <t>[Mton_EOL_concrete]</t>
  </si>
  <si>
    <t>Sand</t>
  </si>
  <si>
    <t>[Mton_sand]</t>
  </si>
  <si>
    <t>Gravel/aggregate</t>
  </si>
  <si>
    <t>[Mton_aggregate]</t>
  </si>
  <si>
    <t>Cement</t>
  </si>
  <si>
    <t>[Mton_cement]</t>
  </si>
  <si>
    <t>End-of-life ceramic</t>
  </si>
  <si>
    <t>[Mton_EOL_CTW]</t>
  </si>
  <si>
    <t>Supplementary cementitious material (SCM)</t>
  </si>
  <si>
    <t>[Mton_SCM]</t>
  </si>
  <si>
    <t>Extracted salt</t>
  </si>
  <si>
    <t>Clay</t>
  </si>
  <si>
    <t>[Mton_clay]</t>
  </si>
  <si>
    <t>Recycled glass</t>
  </si>
  <si>
    <t>EPM01_08</t>
  </si>
  <si>
    <t>Salt</t>
  </si>
  <si>
    <t>[Mton_salt/y]</t>
  </si>
  <si>
    <t>EPM01_09</t>
  </si>
  <si>
    <t>Imported salt</t>
  </si>
  <si>
    <t>EPM01_10</t>
  </si>
  <si>
    <t>Extracted clay</t>
  </si>
  <si>
    <t>[Mton_clay/y]</t>
  </si>
  <si>
    <t>ISL01_01</t>
  </si>
  <si>
    <t>Salt production (4,5 MEV and MVR)</t>
  </si>
  <si>
    <t>EOL01_01</t>
  </si>
  <si>
    <t>EOL stock</t>
  </si>
  <si>
    <t>Stock of end-of-life concrete</t>
  </si>
  <si>
    <t>[Mton_EOL_concrete/y]</t>
  </si>
  <si>
    <t>EOL01_02</t>
  </si>
  <si>
    <t>Stock of end-of-life ceramic (CTW)</t>
  </si>
  <si>
    <t>[Mton_EOL_CTW/y]</t>
  </si>
  <si>
    <t>ICN01_01</t>
  </si>
  <si>
    <t>Concrete</t>
  </si>
  <si>
    <t>Concrete production</t>
  </si>
  <si>
    <t>[Mton_concrete/y]</t>
  </si>
  <si>
    <t>ICN01_02</t>
  </si>
  <si>
    <t>Renovation of existing structures - demand reduction</t>
  </si>
  <si>
    <t>ICN01_03</t>
  </si>
  <si>
    <t>Reuse of concrete beams and columns as foundation - demand reduction</t>
  </si>
  <si>
    <t>EPM01_03</t>
  </si>
  <si>
    <t>Imported/purchased sand</t>
  </si>
  <si>
    <t>[Mton_sand/y]</t>
  </si>
  <si>
    <t>EPM01_04</t>
  </si>
  <si>
    <t>Imported/purchased gravel/aggregate</t>
  </si>
  <si>
    <t>[Mton_aggregate/y]</t>
  </si>
  <si>
    <t>EPM01_05</t>
  </si>
  <si>
    <t>Imported/purchased cement</t>
  </si>
  <si>
    <t>[Mton_cement/y]</t>
  </si>
  <si>
    <t>EOL01_04</t>
  </si>
  <si>
    <t>Stock of recovered cement</t>
  </si>
  <si>
    <t>EOL01_05</t>
  </si>
  <si>
    <t>EOL material</t>
  </si>
  <si>
    <t>Crushing, advanced dry recovery and heating air classification system for EOL concrete</t>
  </si>
  <si>
    <t>EOL01_06</t>
  </si>
  <si>
    <t>Crushing of ceramic tile waste (CTW) for use as aggregate</t>
  </si>
  <si>
    <t>[Mton_EOL_ceramic/y]</t>
  </si>
  <si>
    <t>EOL01_07</t>
  </si>
  <si>
    <t>Crushing of ceramic tile waste (CTW) for use as supplementary cementitious material (SCM)</t>
  </si>
  <si>
    <t>EOL01_08</t>
  </si>
  <si>
    <t>Coarse recycled concrete aggregate production</t>
  </si>
  <si>
    <t>EOL01_09</t>
  </si>
  <si>
    <t>Crushing of ceramic tile waste (CTW) for use as clay substitute in ceramic production</t>
  </si>
  <si>
    <t>ICN01_04</t>
  </si>
  <si>
    <t>Concrete production with SCM</t>
  </si>
  <si>
    <t>MEF01_01</t>
  </si>
  <si>
    <t>Material efficiency in steel production</t>
  </si>
  <si>
    <t>MEF01_02</t>
  </si>
  <si>
    <t>Material efficiency in glass production</t>
  </si>
  <si>
    <t>EOL01_10</t>
  </si>
  <si>
    <t>Stock of recycled glass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</si>
</sst>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16">
    <numFmt numFmtId="44" formatCode="_ &quot;€&quot;\ * #,##0.00_ ;_ &quot;€&quot;\ * \-#,##0.00_ ;_ &quot;€&quot;\ * &quot;-&quot;??_ ;_ @_ "/>
    <numFmt numFmtId="43" formatCode="_ * #,##0.00_ ;_ * \-#,##0.00_ ;_ * &quot;-&quot;??_ ;_ @_ "/>
    <numFmt numFmtId="164" formatCode="_(* #,##0.00_);_(* \(#,##0.00\);_(* &quot;-&quot;??_);_(@_)"/>
    <numFmt numFmtId="165" formatCode="0.000"/>
    <numFmt numFmtId="166" formatCode="0.00;\-0.00;;@"/>
    <numFmt numFmtId="167" formatCode="0.0000"/>
    <numFmt numFmtId="168" formatCode="_(* #,##0_);_(* \(#,##0\);_(* &quot;-&quot;??_);_(@_)"/>
    <numFmt numFmtId="169" formatCode="0.000;\-0.000;;@"/>
    <numFmt numFmtId="170" formatCode="0.00000000"/>
    <numFmt numFmtId="171" formatCode="0;\-0;;@"/>
    <numFmt numFmtId="172" formatCode="0.0"/>
    <numFmt numFmtId="173" formatCode="0.00_ ;\-0.00\ "/>
    <numFmt numFmtId="174" formatCode="0.000000000000000_ ;\-0.000000000000000\ "/>
    <numFmt numFmtId="175" formatCode="0.0%"/>
    <numFmt numFmtId="176" formatCode="0.000000;\-0.000000;;@"/>
    <numFmt numFmtId="177" formatCode="0.00000"/>
  </numFmts>
  <fonts count="29" x14ac:knownFonts="1">
    <font>
      <sz val="11"/>
      <color theme="1"/>
      <name val="Calibri"/>
      <family val="2"/>
      <scheme val="minor"/>
    </font>
    <font>
      <sz val="11"/>
      <color theme="0"/>
      <name val="Calibri"/>
      <family val="2"/>
      <scheme val="minor"/>
    </font>
    <font>
      <sz val="11"/>
      <color theme="1" tint="0.249977111117893"/>
      <name val="Calibri"/>
      <family val="2"/>
      <scheme val="minor"/>
    </font>
    <font>
      <sz val="11"/>
      <color theme="5" tint="-0.499984740745262"/>
      <name val="Calibri"/>
      <family val="2"/>
      <scheme val="minor"/>
    </font>
    <font>
      <sz val="11"/>
      <color theme="3" tint="-0.499984740745262"/>
      <name val="Calibri"/>
      <family val="2"/>
      <scheme val="minor"/>
    </font>
    <font>
      <sz val="11"/>
      <color theme="9" tint="-0.499984740745262"/>
      <name val="Calibri"/>
      <family val="2"/>
      <scheme val="minor"/>
    </font>
    <font>
      <sz val="11"/>
      <color rgb="FFFFFF00"/>
      <name val="Calibri"/>
      <family val="2"/>
      <scheme val="minor"/>
    </font>
    <font>
      <sz val="11"/>
      <color theme="7" tint="-0.499984740745262"/>
      <name val="Calibri"/>
      <family val="2"/>
      <scheme val="minor"/>
    </font>
    <font>
      <sz val="11"/>
      <name val="Calibri"/>
      <family val="2"/>
      <scheme val="minor"/>
    </font>
    <font>
      <sz val="11"/>
      <color theme="4" tint="-0.499984740745262"/>
      <name val="Calibri"/>
      <family val="2"/>
      <scheme val="minor"/>
    </font>
    <font>
      <vertAlign val="subscript"/>
      <sz val="11"/>
      <color theme="0"/>
      <name val="Calibri"/>
      <family val="2"/>
      <scheme val="minor"/>
    </font>
    <font>
      <sz val="11"/>
      <color theme="0"/>
      <name val="Calibri"/>
      <family val="2"/>
    </font>
    <font>
      <sz val="11"/>
      <color rgb="FFFF9797"/>
      <name val="Calibri"/>
      <family val="2"/>
      <scheme val="minor"/>
    </font>
    <font>
      <sz val="11"/>
      <color rgb="FF660066"/>
      <name val="Calibri"/>
      <family val="2"/>
      <scheme val="minor"/>
    </font>
    <font>
      <sz val="11"/>
      <color rgb="FF663300"/>
      <name val="Calibri"/>
      <family val="2"/>
      <scheme val="minor"/>
    </font>
    <font>
      <sz val="11"/>
      <color rgb="FFCC0066"/>
      <name val="Calibri"/>
      <family val="2"/>
      <scheme val="minor"/>
    </font>
    <font>
      <b/>
      <sz val="11"/>
      <color theme="1"/>
      <name val="Calibri"/>
      <family val="2"/>
      <scheme val="minor"/>
    </font>
    <font>
      <sz val="16"/>
      <color theme="1"/>
      <name val="Calibri"/>
      <family val="2"/>
      <scheme val="minor"/>
    </font>
    <font>
      <u/>
      <sz val="11"/>
      <color theme="10"/>
      <name val="Calibri"/>
      <family val="2"/>
      <scheme val="minor"/>
    </font>
    <font>
      <sz val="11"/>
      <color theme="1"/>
      <name val="Calibri"/>
      <family val="2"/>
      <scheme val="minor"/>
    </font>
    <font>
      <sz val="11"/>
      <color rgb="FF008080"/>
      <name val="Calibri"/>
      <family val="2"/>
      <scheme val="minor"/>
    </font>
    <font>
      <sz val="11"/>
      <color theme="3"/>
      <name val="Calibri"/>
      <family val="2"/>
      <scheme val="minor"/>
    </font>
    <font>
      <sz val="11"/>
      <color theme="8" tint="-0.499984740745262"/>
      <name val="Calibri"/>
      <family val="2"/>
      <scheme val="minor"/>
    </font>
    <font>
      <sz val="11"/>
      <color theme="0" tint="-0.499984740745262"/>
      <name val="Calibri"/>
      <family val="2"/>
      <scheme val="minor"/>
    </font>
    <font>
      <sz val="11"/>
      <color rgb="FFC00000"/>
      <name val="Calibri"/>
      <family val="2"/>
      <scheme val="minor"/>
    </font>
    <font>
      <sz val="11"/>
      <color rgb="FF091D23"/>
      <name val="Arial"/>
      <family val="2"/>
    </font>
    <font>
      <sz val="8"/>
      <name val="Calibri"/>
      <family val="2"/>
      <scheme val="minor"/>
    </font>
    <font>
      <sz val="11"/>
      <color theme="0" tint="-0.249977111117893"/>
      <name val="Calibri"/>
      <family val="2"/>
      <scheme val="minor"/>
    </font>
    <font>
      <sz val="11"/>
      <color theme="5"/>
      <name val="Calibri"/>
      <family val="2"/>
      <scheme val="minor"/>
    </font>
  </fonts>
  <fills count="80">
    <fill>
      <patternFill patternType="none"/>
    </fill>
    <fill>
      <patternFill patternType="gray125"/>
    </fill>
    <fill>
      <patternFill patternType="solid">
        <fgColor theme="1"/>
        <bgColor indexed="64"/>
      </patternFill>
    </fill>
    <fill>
      <patternFill patternType="solid">
        <fgColor theme="1" tint="0.499984740745262"/>
        <bgColor indexed="64"/>
      </patternFill>
    </fill>
    <fill>
      <patternFill patternType="solid">
        <fgColor theme="1" tint="0.34998626667073579"/>
        <bgColor indexed="64"/>
      </patternFill>
    </fill>
    <fill>
      <patternFill patternType="solid">
        <fgColor theme="0" tint="-0.249977111117893"/>
        <bgColor indexed="64"/>
      </patternFill>
    </fill>
    <fill>
      <patternFill patternType="solid">
        <fgColor theme="5" tint="0.79998168889431442"/>
        <bgColor indexed="64"/>
      </patternFill>
    </fill>
    <fill>
      <patternFill patternType="solid">
        <fgColor theme="7" tint="-0.249977111117893"/>
        <bgColor indexed="64"/>
      </patternFill>
    </fill>
    <fill>
      <patternFill patternType="solid">
        <fgColor theme="7" tint="-0.499984740745262"/>
        <bgColor indexed="64"/>
      </patternFill>
    </fill>
    <fill>
      <patternFill patternType="solid">
        <fgColor theme="7" tint="0.79998168889431442"/>
        <bgColor indexed="64"/>
      </patternFill>
    </fill>
    <fill>
      <patternFill patternType="solid">
        <fgColor theme="9" tint="-0.249977111117893"/>
        <bgColor indexed="64"/>
      </patternFill>
    </fill>
    <fill>
      <patternFill patternType="solid">
        <fgColor theme="5" tint="-0.249977111117893"/>
        <bgColor indexed="64"/>
      </patternFill>
    </fill>
    <fill>
      <patternFill patternType="solid">
        <fgColor theme="3" tint="0.79998168889431442"/>
        <bgColor indexed="64"/>
      </patternFill>
    </fill>
    <fill>
      <patternFill patternType="solid">
        <fgColor theme="3" tint="0.59999389629810485"/>
        <bgColor indexed="64"/>
      </patternFill>
    </fill>
    <fill>
      <patternFill patternType="solid">
        <fgColor theme="5" tint="-0.499984740745262"/>
        <bgColor indexed="64"/>
      </patternFill>
    </fill>
    <fill>
      <patternFill patternType="solid">
        <fgColor theme="5" tint="0.59999389629810485"/>
        <bgColor indexed="64"/>
      </patternFill>
    </fill>
    <fill>
      <patternFill patternType="solid">
        <fgColor theme="0" tint="-0.14999847407452621"/>
        <bgColor indexed="64"/>
      </patternFill>
    </fill>
    <fill>
      <patternFill patternType="solid">
        <fgColor theme="0" tint="-4.9989318521683403E-2"/>
        <bgColor indexed="64"/>
      </patternFill>
    </fill>
    <fill>
      <patternFill patternType="solid">
        <fgColor theme="7" tint="0.59999389629810485"/>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0"/>
        <bgColor indexed="64"/>
      </patternFill>
    </fill>
    <fill>
      <patternFill patternType="solid">
        <fgColor theme="3" tint="-0.249977111117893"/>
        <bgColor indexed="64"/>
      </patternFill>
    </fill>
    <fill>
      <patternFill patternType="solid">
        <fgColor theme="3" tint="-0.499984740745262"/>
        <bgColor indexed="64"/>
      </patternFill>
    </fill>
    <fill>
      <patternFill patternType="solid">
        <fgColor rgb="FFBA8CDC"/>
        <bgColor indexed="64"/>
      </patternFill>
    </fill>
    <fill>
      <patternFill patternType="solid">
        <fgColor theme="9" tint="-0.499984740745262"/>
        <bgColor indexed="64"/>
      </patternFill>
    </fill>
    <fill>
      <patternFill patternType="solid">
        <fgColor theme="1" tint="0.14999847407452621"/>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79998168889431442"/>
        <bgColor indexed="64"/>
      </patternFill>
    </fill>
    <fill>
      <patternFill patternType="solid">
        <fgColor theme="4" tint="0.59999389629810485"/>
        <bgColor indexed="64"/>
      </patternFill>
    </fill>
    <fill>
      <patternFill patternType="solid">
        <fgColor rgb="FF660066"/>
        <bgColor indexed="64"/>
      </patternFill>
    </fill>
    <fill>
      <patternFill patternType="solid">
        <fgColor rgb="FF990099"/>
        <bgColor indexed="64"/>
      </patternFill>
    </fill>
    <fill>
      <patternFill patternType="solid">
        <fgColor rgb="FFFFCCFF"/>
        <bgColor indexed="64"/>
      </patternFill>
    </fill>
    <fill>
      <patternFill patternType="solid">
        <fgColor rgb="FFFFE7FF"/>
        <bgColor indexed="64"/>
      </patternFill>
    </fill>
    <fill>
      <patternFill patternType="solid">
        <fgColor rgb="FF663300"/>
        <bgColor indexed="64"/>
      </patternFill>
    </fill>
    <fill>
      <patternFill patternType="solid">
        <fgColor rgb="FF996633"/>
        <bgColor indexed="64"/>
      </patternFill>
    </fill>
    <fill>
      <patternFill patternType="solid">
        <fgColor rgb="FFD9B28B"/>
        <bgColor indexed="64"/>
      </patternFill>
    </fill>
    <fill>
      <patternFill patternType="solid">
        <fgColor rgb="FFE7CFB7"/>
        <bgColor indexed="64"/>
      </patternFill>
    </fill>
    <fill>
      <patternFill patternType="solid">
        <fgColor rgb="FFCC0066"/>
        <bgColor indexed="64"/>
      </patternFill>
    </fill>
    <fill>
      <patternFill patternType="solid">
        <fgColor rgb="FFFF0066"/>
        <bgColor indexed="64"/>
      </patternFill>
    </fill>
    <fill>
      <patternFill patternType="solid">
        <fgColor rgb="FFFF99CC"/>
        <bgColor indexed="64"/>
      </patternFill>
    </fill>
    <fill>
      <patternFill patternType="solid">
        <fgColor rgb="FF003300"/>
        <bgColor indexed="64"/>
      </patternFill>
    </fill>
    <fill>
      <patternFill patternType="solid">
        <fgColor rgb="FF008080"/>
        <bgColor indexed="64"/>
      </patternFill>
    </fill>
    <fill>
      <patternFill patternType="solid">
        <fgColor rgb="FF7DFFDD"/>
        <bgColor indexed="64"/>
      </patternFill>
    </fill>
    <fill>
      <patternFill patternType="solid">
        <fgColor rgb="FFD1FFF3"/>
        <bgColor indexed="64"/>
      </patternFill>
    </fill>
    <fill>
      <patternFill patternType="solid">
        <fgColor theme="8" tint="0.59999389629810485"/>
        <bgColor indexed="64"/>
      </patternFill>
    </fill>
    <fill>
      <patternFill patternType="solid">
        <fgColor theme="8" tint="-0.249977111117893"/>
        <bgColor indexed="64"/>
      </patternFill>
    </fill>
    <fill>
      <patternFill patternType="solid">
        <fgColor theme="8" tint="-0.499984740745262"/>
        <bgColor indexed="64"/>
      </patternFill>
    </fill>
    <fill>
      <patternFill patternType="solid">
        <fgColor theme="8" tint="0.79998168889431442"/>
        <bgColor indexed="64"/>
      </patternFill>
    </fill>
    <fill>
      <patternFill patternType="solid">
        <fgColor rgb="FFC00000"/>
        <bgColor indexed="64"/>
      </patternFill>
    </fill>
    <fill>
      <patternFill patternType="solid">
        <fgColor rgb="FFFF0000"/>
        <bgColor indexed="64"/>
      </patternFill>
    </fill>
    <fill>
      <patternFill patternType="solid">
        <fgColor rgb="FFFFDDDD"/>
        <bgColor indexed="64"/>
      </patternFill>
    </fill>
    <fill>
      <patternFill patternType="solid">
        <fgColor rgb="FFFFC1C1"/>
        <bgColor indexed="64"/>
      </patternFill>
    </fill>
    <fill>
      <patternFill patternType="solid">
        <fgColor rgb="FFFFFFFF"/>
        <bgColor indexed="64"/>
      </patternFill>
    </fill>
    <fill>
      <patternFill patternType="solid">
        <fgColor rgb="FF76EECF"/>
        <bgColor indexed="64"/>
      </patternFill>
    </fill>
    <fill>
      <patternFill patternType="solid">
        <fgColor rgb="FF002060"/>
        <bgColor indexed="64"/>
      </patternFill>
    </fill>
    <fill>
      <patternFill patternType="solid">
        <fgColor rgb="FF0000FF"/>
        <bgColor indexed="64"/>
      </patternFill>
    </fill>
    <fill>
      <patternFill patternType="solid">
        <fgColor rgb="FFA7A7FF"/>
        <bgColor indexed="64"/>
      </patternFill>
    </fill>
    <fill>
      <patternFill patternType="solid">
        <fgColor rgb="FFD1D1FF"/>
        <bgColor indexed="64"/>
      </patternFill>
    </fill>
    <fill>
      <patternFill patternType="solid">
        <fgColor rgb="FFFFC000"/>
        <bgColor indexed="64"/>
      </patternFill>
    </fill>
    <fill>
      <patternFill patternType="solid">
        <fgColor rgb="FFFFD28F"/>
        <bgColor indexed="64"/>
      </patternFill>
    </fill>
    <fill>
      <patternFill patternType="solid">
        <fgColor rgb="FFFFECD1"/>
        <bgColor indexed="64"/>
      </patternFill>
    </fill>
    <fill>
      <patternFill patternType="solid">
        <fgColor rgb="FF17BB90"/>
        <bgColor indexed="64"/>
      </patternFill>
    </fill>
    <fill>
      <patternFill patternType="solid">
        <fgColor rgb="FF5757FF"/>
        <bgColor indexed="64"/>
      </patternFill>
    </fill>
    <fill>
      <patternFill patternType="solid">
        <fgColor theme="9"/>
        <bgColor indexed="64"/>
      </patternFill>
    </fill>
    <fill>
      <patternFill patternType="solid">
        <fgColor theme="5"/>
        <bgColor indexed="64"/>
      </patternFill>
    </fill>
    <fill>
      <patternFill patternType="solid">
        <fgColor theme="8" tint="0.39997558519241921"/>
        <bgColor indexed="64"/>
      </patternFill>
    </fill>
    <fill>
      <patternFill patternType="solid">
        <fgColor rgb="FF00F4EE"/>
        <bgColor indexed="64"/>
      </patternFill>
    </fill>
    <fill>
      <patternFill patternType="solid">
        <fgColor rgb="FFB3FFFF"/>
        <bgColor indexed="64"/>
      </patternFill>
    </fill>
    <fill>
      <patternFill patternType="solid">
        <fgColor rgb="FF1BDBA9"/>
        <bgColor indexed="64"/>
      </patternFill>
    </fill>
    <fill>
      <patternFill patternType="solid">
        <fgColor rgb="FF4747FF"/>
        <bgColor indexed="64"/>
      </patternFill>
    </fill>
    <fill>
      <patternFill patternType="solid">
        <fgColor rgb="FF9B9BFF"/>
        <bgColor indexed="64"/>
      </patternFill>
    </fill>
    <fill>
      <patternFill patternType="solid">
        <fgColor rgb="FFFFFF00"/>
        <bgColor indexed="64"/>
      </patternFill>
    </fill>
    <fill>
      <patternFill patternType="solid">
        <fgColor rgb="FFFFA3D1"/>
        <bgColor indexed="64"/>
      </patternFill>
    </fill>
    <fill>
      <patternFill patternType="solid">
        <fgColor theme="7"/>
        <bgColor indexed="64"/>
      </patternFill>
    </fill>
    <fill>
      <patternFill patternType="solid">
        <fgColor theme="8"/>
        <bgColor indexed="64"/>
      </patternFill>
    </fill>
    <fill>
      <patternFill patternType="solid">
        <fgColor rgb="FF92D050"/>
        <bgColor indexed="64"/>
      </patternFill>
    </fill>
    <fill>
      <patternFill patternType="solid">
        <fgColor rgb="FFAB81FF"/>
        <bgColor indexed="64"/>
      </patternFill>
    </fill>
    <fill>
      <patternFill patternType="solid">
        <fgColor rgb="FF54EAC3"/>
        <bgColor indexed="64"/>
      </patternFill>
    </fill>
  </fills>
  <borders count="11">
    <border>
      <left/>
      <right/>
      <top/>
      <bottom/>
      <diagonal/>
    </border>
    <border>
      <left/>
      <right style="thin">
        <color theme="5" tint="-0.499984740745262"/>
      </right>
      <top/>
      <bottom/>
      <diagonal/>
    </border>
    <border>
      <left style="thin">
        <color theme="5" tint="-0.499984740745262"/>
      </left>
      <right style="thin">
        <color rgb="FF663300"/>
      </right>
      <top/>
      <bottom/>
      <diagonal/>
    </border>
    <border>
      <left/>
      <right/>
      <top style="medium">
        <color indexed="64"/>
      </top>
      <bottom/>
      <diagonal/>
    </border>
    <border>
      <left/>
      <right/>
      <top/>
      <bottom style="medium">
        <color indexed="64"/>
      </bottom>
      <diagonal/>
    </border>
    <border>
      <left style="medium">
        <color indexed="64"/>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style="medium">
        <color indexed="64"/>
      </right>
      <top/>
      <bottom style="medium">
        <color indexed="64"/>
      </bottom>
      <diagonal/>
    </border>
  </borders>
  <cellStyleXfs count="7">
    <xf numFmtId="0" fontId="0" fillId="0" borderId="0"/>
    <xf numFmtId="0" fontId="18" fillId="0" borderId="0" applyNumberFormat="0" applyFill="0" applyBorder="0" applyAlignment="0" applyProtection="0"/>
    <xf numFmtId="164" fontId="19" fillId="0" borderId="0" applyFont="0" applyFill="0" applyBorder="0" applyAlignment="0" applyProtection="0"/>
    <xf numFmtId="43" fontId="19" fillId="0" borderId="0" applyFont="0" applyFill="0" applyBorder="0" applyAlignment="0" applyProtection="0"/>
    <xf numFmtId="9" fontId="19" fillId="0" borderId="0" applyFont="0" applyFill="0" applyBorder="0" applyAlignment="0" applyProtection="0"/>
    <xf numFmtId="44" fontId="19" fillId="0" borderId="0" applyFont="0" applyFill="0" applyBorder="0" applyAlignment="0" applyProtection="0"/>
    <xf numFmtId="9" fontId="19" fillId="0" borderId="0" applyFont="0" applyFill="0" applyBorder="0" applyAlignment="0" applyProtection="0"/>
  </cellStyleXfs>
  <cellXfs count="436">
    <xf numFmtId="0" fontId="0" fillId="0" borderId="0" xfId="0"/>
    <xf numFmtId="0" fontId="0" fillId="21" borderId="0" xfId="0" applyFill="1"/>
    <xf numFmtId="0" fontId="0" fillId="24" borderId="0" xfId="0" applyFill="1"/>
    <xf numFmtId="0" fontId="1" fillId="22" borderId="0" xfId="0" applyFont="1" applyFill="1" applyAlignment="1">
      <alignment horizontal="center" vertical="center" wrapText="1"/>
    </xf>
    <xf numFmtId="0" fontId="1" fillId="11" borderId="0" xfId="0" applyFont="1" applyFill="1" applyAlignment="1">
      <alignment horizontal="center" vertical="center" wrapText="1"/>
    </xf>
    <xf numFmtId="0" fontId="2" fillId="16" borderId="0" xfId="0" applyFont="1" applyFill="1"/>
    <xf numFmtId="0" fontId="2" fillId="17" borderId="0" xfId="0" applyFont="1" applyFill="1"/>
    <xf numFmtId="0" fontId="0" fillId="2" borderId="0" xfId="0" applyFill="1"/>
    <xf numFmtId="0" fontId="1" fillId="4" borderId="0" xfId="0" applyFont="1" applyFill="1" applyAlignment="1">
      <alignment horizontal="center" vertical="center" wrapText="1"/>
    </xf>
    <xf numFmtId="0" fontId="3" fillId="6" borderId="0" xfId="0" applyFont="1" applyFill="1"/>
    <xf numFmtId="0" fontId="4" fillId="12" borderId="0" xfId="0" applyFont="1" applyFill="1"/>
    <xf numFmtId="0" fontId="1" fillId="2" borderId="0" xfId="0" applyFont="1" applyFill="1"/>
    <xf numFmtId="0" fontId="1" fillId="4" borderId="0" xfId="0" applyFont="1" applyFill="1"/>
    <xf numFmtId="0" fontId="0" fillId="5" borderId="0" xfId="0" applyFill="1"/>
    <xf numFmtId="0" fontId="0" fillId="17" borderId="0" xfId="0" applyFill="1"/>
    <xf numFmtId="0" fontId="1" fillId="10" borderId="0" xfId="0" applyFont="1" applyFill="1" applyAlignment="1">
      <alignment horizontal="center" vertical="center" wrapText="1"/>
    </xf>
    <xf numFmtId="0" fontId="5" fillId="20" borderId="0" xfId="0" applyFont="1" applyFill="1" applyAlignment="1">
      <alignment horizontal="center"/>
    </xf>
    <xf numFmtId="0" fontId="5" fillId="19" borderId="0" xfId="0" applyFont="1" applyFill="1" applyAlignment="1">
      <alignment horizontal="center"/>
    </xf>
    <xf numFmtId="2" fontId="4" fillId="13" borderId="0" xfId="0" applyNumberFormat="1" applyFont="1" applyFill="1" applyAlignment="1">
      <alignment horizontal="center"/>
    </xf>
    <xf numFmtId="2" fontId="4" fillId="12" borderId="0" xfId="0" applyNumberFormat="1" applyFont="1" applyFill="1" applyAlignment="1">
      <alignment horizontal="center"/>
    </xf>
    <xf numFmtId="0" fontId="1" fillId="7" borderId="0" xfId="0" applyFont="1" applyFill="1" applyAlignment="1">
      <alignment horizontal="center"/>
    </xf>
    <xf numFmtId="0" fontId="1" fillId="11" borderId="0" xfId="0" applyFont="1" applyFill="1" applyAlignment="1">
      <alignment horizontal="center"/>
    </xf>
    <xf numFmtId="2" fontId="5" fillId="19" borderId="0" xfId="0" applyNumberFormat="1" applyFont="1" applyFill="1" applyAlignment="1">
      <alignment horizontal="center"/>
    </xf>
    <xf numFmtId="2" fontId="5" fillId="20" borderId="0" xfId="0" applyNumberFormat="1" applyFont="1" applyFill="1" applyAlignment="1">
      <alignment horizontal="center"/>
    </xf>
    <xf numFmtId="0" fontId="1" fillId="25" borderId="0" xfId="0" applyFont="1" applyFill="1"/>
    <xf numFmtId="0" fontId="5" fillId="19" borderId="0" xfId="0" applyFont="1" applyFill="1"/>
    <xf numFmtId="0" fontId="1" fillId="7" borderId="0" xfId="0" applyFont="1" applyFill="1" applyAlignment="1">
      <alignment horizontal="center" vertical="center" wrapText="1"/>
    </xf>
    <xf numFmtId="0" fontId="7" fillId="18" borderId="0" xfId="0" applyFont="1" applyFill="1" applyAlignment="1">
      <alignment horizontal="center"/>
    </xf>
    <xf numFmtId="0" fontId="7" fillId="9" borderId="0" xfId="0" applyFont="1" applyFill="1" applyAlignment="1">
      <alignment horizontal="center"/>
    </xf>
    <xf numFmtId="165" fontId="7" fillId="18" borderId="0" xfId="0" applyNumberFormat="1" applyFont="1" applyFill="1" applyAlignment="1">
      <alignment horizontal="center"/>
    </xf>
    <xf numFmtId="2" fontId="7" fillId="18" borderId="0" xfId="0" applyNumberFormat="1" applyFont="1" applyFill="1" applyAlignment="1">
      <alignment horizontal="center"/>
    </xf>
    <xf numFmtId="0" fontId="6" fillId="24" borderId="0" xfId="0" applyFont="1" applyFill="1" applyAlignment="1">
      <alignment wrapText="1"/>
    </xf>
    <xf numFmtId="0" fontId="1" fillId="14" borderId="0" xfId="0" applyFont="1" applyFill="1"/>
    <xf numFmtId="0" fontId="0" fillId="16" borderId="0" xfId="0" applyFill="1"/>
    <xf numFmtId="0" fontId="1" fillId="11" borderId="1" xfId="0" applyFont="1" applyFill="1" applyBorder="1" applyAlignment="1">
      <alignment horizontal="center" vertical="center" wrapText="1"/>
    </xf>
    <xf numFmtId="2" fontId="3" fillId="15" borderId="1" xfId="0" applyNumberFormat="1" applyFont="1" applyFill="1" applyBorder="1" applyAlignment="1">
      <alignment horizontal="center"/>
    </xf>
    <xf numFmtId="2" fontId="3" fillId="6" borderId="1" xfId="0" applyNumberFormat="1" applyFont="1" applyFill="1" applyBorder="1" applyAlignment="1">
      <alignment horizontal="center"/>
    </xf>
    <xf numFmtId="0" fontId="8" fillId="21" borderId="0" xfId="0" applyFont="1" applyFill="1"/>
    <xf numFmtId="0" fontId="1" fillId="14" borderId="0" xfId="0" applyFont="1" applyFill="1" applyAlignment="1">
      <alignment horizontal="center"/>
    </xf>
    <xf numFmtId="0" fontId="1" fillId="27" borderId="0" xfId="0" applyFont="1" applyFill="1"/>
    <xf numFmtId="0" fontId="1" fillId="28" borderId="0" xfId="0" applyFont="1" applyFill="1"/>
    <xf numFmtId="0" fontId="9" fillId="30" borderId="0" xfId="0" applyFont="1" applyFill="1"/>
    <xf numFmtId="0" fontId="9" fillId="29" borderId="0" xfId="0" applyFont="1" applyFill="1"/>
    <xf numFmtId="0" fontId="0" fillId="19" borderId="0" xfId="0" applyFill="1"/>
    <xf numFmtId="0" fontId="0" fillId="20" borderId="0" xfId="0" applyFill="1"/>
    <xf numFmtId="49" fontId="0" fillId="24" borderId="0" xfId="0" applyNumberFormat="1" applyFill="1"/>
    <xf numFmtId="49" fontId="1" fillId="4" borderId="0" xfId="0" applyNumberFormat="1" applyFont="1" applyFill="1" applyAlignment="1">
      <alignment horizontal="center" vertical="center" wrapText="1"/>
    </xf>
    <xf numFmtId="49" fontId="2" fillId="16" borderId="0" xfId="0" applyNumberFormat="1" applyFont="1" applyFill="1"/>
    <xf numFmtId="49" fontId="2" fillId="17" borderId="0" xfId="0" applyNumberFormat="1" applyFont="1" applyFill="1"/>
    <xf numFmtId="49" fontId="0" fillId="21" borderId="0" xfId="0" applyNumberFormat="1" applyFill="1"/>
    <xf numFmtId="0" fontId="1" fillId="23" borderId="0" xfId="0" applyFont="1" applyFill="1"/>
    <xf numFmtId="0" fontId="8" fillId="17" borderId="0" xfId="0" applyFont="1" applyFill="1"/>
    <xf numFmtId="49" fontId="1" fillId="11" borderId="0" xfId="0" applyNumberFormat="1" applyFont="1" applyFill="1" applyAlignment="1">
      <alignment vertical="center" wrapText="1"/>
    </xf>
    <xf numFmtId="49" fontId="1" fillId="7" borderId="0" xfId="0" applyNumberFormat="1" applyFont="1" applyFill="1" applyAlignment="1">
      <alignment vertical="center" wrapText="1"/>
    </xf>
    <xf numFmtId="0" fontId="3" fillId="15" borderId="0" xfId="0" applyFont="1" applyFill="1"/>
    <xf numFmtId="166" fontId="7" fillId="18" borderId="0" xfId="0" applyNumberFormat="1" applyFont="1" applyFill="1"/>
    <xf numFmtId="166" fontId="7" fillId="9" borderId="0" xfId="0" applyNumberFormat="1" applyFont="1" applyFill="1"/>
    <xf numFmtId="0" fontId="12" fillId="4" borderId="0" xfId="0" applyFont="1" applyFill="1"/>
    <xf numFmtId="0" fontId="8" fillId="5" borderId="0" xfId="0" applyFont="1" applyFill="1"/>
    <xf numFmtId="0" fontId="1" fillId="28" borderId="0" xfId="0" applyFont="1" applyFill="1" applyAlignment="1">
      <alignment horizontal="center" vertical="center" wrapText="1"/>
    </xf>
    <xf numFmtId="0" fontId="9" fillId="30" borderId="0" xfId="0" applyFont="1" applyFill="1" applyAlignment="1">
      <alignment horizontal="center"/>
    </xf>
    <xf numFmtId="0" fontId="9" fillId="29" borderId="0" xfId="0" applyFont="1" applyFill="1" applyAlignment="1">
      <alignment horizontal="center"/>
    </xf>
    <xf numFmtId="0" fontId="1" fillId="32" borderId="0" xfId="0" applyFont="1" applyFill="1" applyAlignment="1">
      <alignment horizontal="center" vertical="center" wrapText="1"/>
    </xf>
    <xf numFmtId="0" fontId="13" fillId="33" borderId="0" xfId="0" applyFont="1" applyFill="1" applyAlignment="1">
      <alignment horizontal="center"/>
    </xf>
    <xf numFmtId="0" fontId="13" fillId="34" borderId="0" xfId="0" applyFont="1" applyFill="1" applyAlignment="1">
      <alignment horizontal="center"/>
    </xf>
    <xf numFmtId="49" fontId="1" fillId="3" borderId="0" xfId="0" applyNumberFormat="1" applyFont="1" applyFill="1" applyAlignment="1">
      <alignment horizontal="center" vertical="center" wrapText="1"/>
    </xf>
    <xf numFmtId="2" fontId="0" fillId="17" borderId="0" xfId="0" applyNumberFormat="1" applyFill="1"/>
    <xf numFmtId="2" fontId="0" fillId="16" borderId="0" xfId="0" applyNumberFormat="1" applyFill="1"/>
    <xf numFmtId="0" fontId="6" fillId="24" borderId="0" xfId="0" applyFont="1" applyFill="1"/>
    <xf numFmtId="0" fontId="1" fillId="27" borderId="0" xfId="0" applyFont="1" applyFill="1" applyAlignment="1">
      <alignment horizontal="center"/>
    </xf>
    <xf numFmtId="0" fontId="1" fillId="28" borderId="0" xfId="0" applyFont="1" applyFill="1" applyAlignment="1">
      <alignment horizontal="center"/>
    </xf>
    <xf numFmtId="0" fontId="1" fillId="22" borderId="0" xfId="0" applyFont="1" applyFill="1" applyAlignment="1">
      <alignment horizontal="center"/>
    </xf>
    <xf numFmtId="0" fontId="3" fillId="11" borderId="1" xfId="0" applyFont="1" applyFill="1" applyBorder="1" applyAlignment="1">
      <alignment horizontal="center" vertical="center" wrapText="1"/>
    </xf>
    <xf numFmtId="2" fontId="0" fillId="21" borderId="0" xfId="0" applyNumberFormat="1" applyFill="1"/>
    <xf numFmtId="0" fontId="1" fillId="35" borderId="0" xfId="0" applyFont="1" applyFill="1"/>
    <xf numFmtId="0" fontId="1" fillId="36" borderId="2" xfId="0" applyFont="1" applyFill="1" applyBorder="1" applyAlignment="1">
      <alignment horizontal="center" vertical="center" wrapText="1"/>
    </xf>
    <xf numFmtId="0" fontId="14" fillId="36" borderId="2" xfId="0" applyFont="1" applyFill="1" applyBorder="1" applyAlignment="1">
      <alignment horizontal="center" vertical="center" wrapText="1"/>
    </xf>
    <xf numFmtId="0" fontId="1" fillId="39" borderId="0" xfId="0" applyFont="1" applyFill="1" applyAlignment="1">
      <alignment horizontal="center" vertical="center"/>
    </xf>
    <xf numFmtId="0" fontId="1" fillId="40" borderId="0" xfId="0" applyFont="1" applyFill="1" applyAlignment="1">
      <alignment horizontal="center" vertical="center"/>
    </xf>
    <xf numFmtId="0" fontId="15" fillId="41" borderId="0" xfId="0" applyFont="1" applyFill="1"/>
    <xf numFmtId="0" fontId="15" fillId="33" borderId="0" xfId="0" applyFont="1" applyFill="1"/>
    <xf numFmtId="0" fontId="17" fillId="21" borderId="0" xfId="0" applyFont="1" applyFill="1"/>
    <xf numFmtId="0" fontId="18" fillId="21" borderId="0" xfId="1" applyFill="1"/>
    <xf numFmtId="0" fontId="16" fillId="21" borderId="0" xfId="0" applyFont="1" applyFill="1"/>
    <xf numFmtId="0" fontId="1" fillId="39" borderId="0" xfId="0" applyFont="1" applyFill="1"/>
    <xf numFmtId="0" fontId="1" fillId="40" borderId="0" xfId="0" applyFont="1" applyFill="1"/>
    <xf numFmtId="0" fontId="18" fillId="16" borderId="0" xfId="1" applyFill="1" applyBorder="1"/>
    <xf numFmtId="167" fontId="0" fillId="16" borderId="0" xfId="0" applyNumberFormat="1" applyFill="1"/>
    <xf numFmtId="0" fontId="18" fillId="17" borderId="0" xfId="1" applyFill="1" applyBorder="1"/>
    <xf numFmtId="167" fontId="0" fillId="17" borderId="0" xfId="0" applyNumberFormat="1" applyFill="1"/>
    <xf numFmtId="0" fontId="8" fillId="16" borderId="0" xfId="1" applyFont="1" applyFill="1" applyBorder="1"/>
    <xf numFmtId="0" fontId="15" fillId="41" borderId="0" xfId="0" applyFont="1" applyFill="1" applyAlignment="1">
      <alignment horizontal="center" vertical="center" wrapText="1"/>
    </xf>
    <xf numFmtId="0" fontId="0" fillId="21" borderId="0" xfId="0" applyFill="1" applyAlignment="1">
      <alignment horizontal="left" vertical="top" wrapText="1"/>
    </xf>
    <xf numFmtId="166" fontId="4" fillId="13" borderId="0" xfId="0" applyNumberFormat="1" applyFont="1" applyFill="1" applyAlignment="1">
      <alignment horizontal="center"/>
    </xf>
    <xf numFmtId="166" fontId="4" fillId="12" borderId="0" xfId="0" applyNumberFormat="1" applyFont="1" applyFill="1" applyAlignment="1">
      <alignment horizontal="center"/>
    </xf>
    <xf numFmtId="0" fontId="0" fillId="16" borderId="0" xfId="0" applyFill="1" applyAlignment="1">
      <alignment wrapText="1"/>
    </xf>
    <xf numFmtId="166" fontId="7" fillId="18" borderId="0" xfId="0" applyNumberFormat="1" applyFont="1" applyFill="1" applyAlignment="1">
      <alignment horizontal="center"/>
    </xf>
    <xf numFmtId="166" fontId="3" fillId="15" borderId="0" xfId="0" applyNumberFormat="1" applyFont="1" applyFill="1" applyAlignment="1">
      <alignment horizontal="center"/>
    </xf>
    <xf numFmtId="166" fontId="7" fillId="9" borderId="0" xfId="0" applyNumberFormat="1" applyFont="1" applyFill="1" applyAlignment="1">
      <alignment horizontal="center"/>
    </xf>
    <xf numFmtId="166" fontId="3" fillId="6" borderId="0" xfId="0" applyNumberFormat="1" applyFont="1" applyFill="1" applyAlignment="1">
      <alignment horizontal="center"/>
    </xf>
    <xf numFmtId="0" fontId="0" fillId="17" borderId="0" xfId="0" applyFill="1" applyAlignment="1">
      <alignment wrapText="1"/>
    </xf>
    <xf numFmtId="164" fontId="4" fillId="13" borderId="0" xfId="2" applyFont="1" applyFill="1" applyBorder="1" applyAlignment="1">
      <alignment horizontal="center"/>
    </xf>
    <xf numFmtId="164" fontId="4" fillId="12" borderId="0" xfId="2" applyFont="1" applyFill="1" applyBorder="1" applyAlignment="1">
      <alignment horizontal="center"/>
    </xf>
    <xf numFmtId="166" fontId="5" fillId="19" borderId="0" xfId="0" applyNumberFormat="1" applyFont="1" applyFill="1" applyAlignment="1">
      <alignment horizontal="center"/>
    </xf>
    <xf numFmtId="166" fontId="5" fillId="20" borderId="0" xfId="0" applyNumberFormat="1" applyFont="1" applyFill="1" applyAlignment="1">
      <alignment horizontal="center"/>
    </xf>
    <xf numFmtId="0" fontId="1" fillId="43" borderId="0" xfId="0" applyFont="1" applyFill="1" applyAlignment="1">
      <alignment horizontal="center" vertical="center" wrapText="1"/>
    </xf>
    <xf numFmtId="0" fontId="20" fillId="45" borderId="0" xfId="0" applyFont="1" applyFill="1" applyAlignment="1">
      <alignment horizontal="center"/>
    </xf>
    <xf numFmtId="2" fontId="20" fillId="44" borderId="0" xfId="0" applyNumberFormat="1" applyFont="1" applyFill="1" applyAlignment="1">
      <alignment horizontal="center"/>
    </xf>
    <xf numFmtId="0" fontId="0" fillId="16" borderId="0" xfId="0" applyFill="1" applyAlignment="1">
      <alignment horizontal="center"/>
    </xf>
    <xf numFmtId="0" fontId="0" fillId="17" borderId="0" xfId="0" applyFill="1" applyAlignment="1">
      <alignment horizontal="center"/>
    </xf>
    <xf numFmtId="0" fontId="1" fillId="26" borderId="0" xfId="0" applyFont="1" applyFill="1" applyAlignment="1">
      <alignment horizontal="center"/>
    </xf>
    <xf numFmtId="0" fontId="0" fillId="0" borderId="0" xfId="0" applyAlignment="1">
      <alignment wrapText="1"/>
    </xf>
    <xf numFmtId="164" fontId="21" fillId="13" borderId="0" xfId="2" applyFont="1" applyFill="1"/>
    <xf numFmtId="164" fontId="21" fillId="12" borderId="0" xfId="2" applyFont="1" applyFill="1"/>
    <xf numFmtId="0" fontId="1" fillId="10" borderId="0" xfId="0" applyFont="1" applyFill="1" applyAlignment="1">
      <alignment vertical="center" wrapText="1"/>
    </xf>
    <xf numFmtId="0" fontId="3" fillId="11" borderId="0" xfId="0" applyFont="1" applyFill="1" applyAlignment="1">
      <alignment horizontal="center" vertical="center"/>
    </xf>
    <xf numFmtId="0" fontId="1" fillId="22" borderId="0" xfId="0" applyFont="1" applyFill="1" applyAlignment="1">
      <alignment horizontal="center" vertical="center"/>
    </xf>
    <xf numFmtId="0" fontId="1" fillId="7" borderId="0" xfId="0" applyFont="1" applyFill="1" applyAlignment="1">
      <alignment horizontal="center" vertical="center"/>
    </xf>
    <xf numFmtId="0" fontId="1" fillId="11" borderId="0" xfId="0" applyFont="1" applyFill="1" applyAlignment="1">
      <alignment horizontal="center" vertical="center"/>
    </xf>
    <xf numFmtId="0" fontId="1" fillId="47" borderId="0" xfId="0" applyFont="1" applyFill="1" applyAlignment="1">
      <alignment horizontal="center" vertical="center" wrapText="1"/>
    </xf>
    <xf numFmtId="0" fontId="1" fillId="47" borderId="0" xfId="0" applyFont="1" applyFill="1" applyAlignment="1">
      <alignment horizontal="center"/>
    </xf>
    <xf numFmtId="0" fontId="1" fillId="47" borderId="0" xfId="0" applyFont="1" applyFill="1" applyAlignment="1">
      <alignment horizontal="center" vertical="center"/>
    </xf>
    <xf numFmtId="166" fontId="22" fillId="46" borderId="0" xfId="0" applyNumberFormat="1" applyFont="1" applyFill="1" applyAlignment="1">
      <alignment horizontal="center"/>
    </xf>
    <xf numFmtId="166" fontId="22" fillId="49" borderId="0" xfId="0" applyNumberFormat="1" applyFont="1" applyFill="1" applyAlignment="1">
      <alignment horizontal="center"/>
    </xf>
    <xf numFmtId="0" fontId="4" fillId="22" borderId="0" xfId="0" applyFont="1" applyFill="1" applyAlignment="1">
      <alignment horizontal="center"/>
    </xf>
    <xf numFmtId="169" fontId="7" fillId="18" borderId="0" xfId="0" applyNumberFormat="1" applyFont="1" applyFill="1"/>
    <xf numFmtId="167" fontId="5" fillId="20" borderId="0" xfId="0" applyNumberFormat="1" applyFont="1" applyFill="1" applyAlignment="1">
      <alignment horizontal="center"/>
    </xf>
    <xf numFmtId="167" fontId="5" fillId="19" borderId="0" xfId="0" applyNumberFormat="1" applyFont="1" applyFill="1" applyAlignment="1">
      <alignment horizontal="center"/>
    </xf>
    <xf numFmtId="166" fontId="23" fillId="16" borderId="0" xfId="0" applyNumberFormat="1" applyFont="1" applyFill="1" applyAlignment="1">
      <alignment horizontal="center"/>
    </xf>
    <xf numFmtId="166" fontId="23" fillId="17" borderId="0" xfId="0" applyNumberFormat="1" applyFont="1" applyFill="1" applyAlignment="1">
      <alignment horizontal="center"/>
    </xf>
    <xf numFmtId="0" fontId="1" fillId="51" borderId="0" xfId="0" applyFont="1" applyFill="1" applyAlignment="1">
      <alignment horizontal="center" vertical="center" wrapText="1"/>
    </xf>
    <xf numFmtId="0" fontId="24" fillId="53" borderId="0" xfId="0" applyFont="1" applyFill="1" applyAlignment="1">
      <alignment horizontal="center"/>
    </xf>
    <xf numFmtId="0" fontId="24" fillId="52" borderId="0" xfId="0" applyFont="1" applyFill="1" applyAlignment="1">
      <alignment horizontal="center"/>
    </xf>
    <xf numFmtId="0" fontId="25" fillId="54" borderId="0" xfId="0" applyFont="1" applyFill="1" applyAlignment="1">
      <alignment horizontal="right" vertical="top"/>
    </xf>
    <xf numFmtId="169" fontId="7" fillId="9" borderId="0" xfId="0" applyNumberFormat="1" applyFont="1" applyFill="1"/>
    <xf numFmtId="170" fontId="5" fillId="19" borderId="0" xfId="0" applyNumberFormat="1" applyFont="1" applyFill="1"/>
    <xf numFmtId="171" fontId="22" fillId="46" borderId="0" xfId="0" applyNumberFormat="1" applyFont="1" applyFill="1" applyAlignment="1">
      <alignment horizontal="center"/>
    </xf>
    <xf numFmtId="171" fontId="22" fillId="49" borderId="0" xfId="0" applyNumberFormat="1" applyFont="1" applyFill="1" applyAlignment="1">
      <alignment horizontal="center"/>
    </xf>
    <xf numFmtId="2" fontId="22" fillId="46" borderId="0" xfId="0" applyNumberFormat="1" applyFont="1" applyFill="1" applyAlignment="1">
      <alignment horizontal="center"/>
    </xf>
    <xf numFmtId="2" fontId="22" fillId="49" borderId="0" xfId="0" applyNumberFormat="1" applyFont="1" applyFill="1" applyAlignment="1">
      <alignment horizontal="center"/>
    </xf>
    <xf numFmtId="0" fontId="1" fillId="48" borderId="0" xfId="0" applyFont="1" applyFill="1"/>
    <xf numFmtId="164" fontId="0" fillId="46" borderId="0" xfId="2" applyFont="1" applyFill="1"/>
    <xf numFmtId="172" fontId="0" fillId="16" borderId="0" xfId="0" applyNumberFormat="1" applyFill="1"/>
    <xf numFmtId="0" fontId="1" fillId="56" borderId="0" xfId="0" applyFont="1" applyFill="1" applyAlignment="1">
      <alignment horizontal="center" vertical="top" wrapText="1"/>
    </xf>
    <xf numFmtId="0" fontId="1" fillId="8" borderId="0" xfId="0" applyFont="1" applyFill="1" applyAlignment="1">
      <alignment horizontal="center" vertical="top" wrapText="1"/>
    </xf>
    <xf numFmtId="1" fontId="22" fillId="59" borderId="0" xfId="0" applyNumberFormat="1" applyFont="1" applyFill="1"/>
    <xf numFmtId="1" fontId="7" fillId="62" borderId="0" xfId="0" applyNumberFormat="1" applyFont="1" applyFill="1"/>
    <xf numFmtId="0" fontId="1" fillId="2" borderId="0" xfId="0" applyFont="1" applyFill="1" applyAlignment="1">
      <alignment horizontal="right" vertical="top"/>
    </xf>
    <xf numFmtId="0" fontId="1" fillId="39" borderId="0" xfId="0" applyFont="1" applyFill="1" applyAlignment="1">
      <alignment vertical="center"/>
    </xf>
    <xf numFmtId="0" fontId="6" fillId="22" borderId="0" xfId="0" applyFont="1" applyFill="1" applyAlignment="1">
      <alignment horizontal="center" vertical="center" wrapText="1"/>
    </xf>
    <xf numFmtId="0" fontId="1" fillId="55" borderId="1" xfId="0" applyFont="1" applyFill="1" applyBorder="1" applyAlignment="1">
      <alignment horizontal="center" vertical="center" wrapText="1"/>
    </xf>
    <xf numFmtId="167" fontId="0" fillId="21" borderId="0" xfId="0" applyNumberFormat="1" applyFill="1"/>
    <xf numFmtId="0" fontId="1" fillId="8" borderId="0" xfId="0" applyFont="1" applyFill="1" applyAlignment="1">
      <alignment horizontal="center" vertical="center" wrapText="1"/>
    </xf>
    <xf numFmtId="0" fontId="1" fillId="56" borderId="0" xfId="0" applyFont="1" applyFill="1" applyAlignment="1">
      <alignment horizontal="center" vertical="center" wrapText="1"/>
    </xf>
    <xf numFmtId="0" fontId="1" fillId="60" borderId="0" xfId="0" applyFont="1" applyFill="1" applyAlignment="1">
      <alignment horizontal="center" vertical="center"/>
    </xf>
    <xf numFmtId="0" fontId="1" fillId="57" borderId="0" xfId="0" applyFont="1" applyFill="1" applyAlignment="1">
      <alignment horizontal="center" vertical="center"/>
    </xf>
    <xf numFmtId="0" fontId="1" fillId="40" borderId="0" xfId="0" applyFont="1" applyFill="1" applyAlignment="1">
      <alignment vertical="center"/>
    </xf>
    <xf numFmtId="0" fontId="1" fillId="39" borderId="0" xfId="0" applyFont="1" applyFill="1" applyAlignment="1">
      <alignment vertical="top"/>
    </xf>
    <xf numFmtId="0" fontId="1" fillId="10" borderId="0" xfId="0" applyFont="1" applyFill="1" applyAlignment="1">
      <alignment horizontal="center" vertical="center"/>
    </xf>
    <xf numFmtId="0" fontId="1" fillId="14" borderId="0" xfId="0" applyFont="1" applyFill="1" applyAlignment="1">
      <alignment horizontal="center" vertical="center"/>
    </xf>
    <xf numFmtId="1" fontId="7" fillId="61" borderId="0" xfId="0" applyNumberFormat="1" applyFont="1" applyFill="1" applyAlignment="1">
      <alignment horizontal="center" vertical="center"/>
    </xf>
    <xf numFmtId="1" fontId="22" fillId="58" borderId="0" xfId="0" applyNumberFormat="1" applyFont="1" applyFill="1" applyAlignment="1">
      <alignment horizontal="center" vertical="center"/>
    </xf>
    <xf numFmtId="0" fontId="0" fillId="6" borderId="0" xfId="0" applyFill="1" applyAlignment="1">
      <alignment horizontal="center" vertical="center"/>
    </xf>
    <xf numFmtId="0" fontId="3" fillId="47" borderId="0" xfId="0" applyFont="1" applyFill="1" applyAlignment="1">
      <alignment horizontal="center" vertical="center"/>
    </xf>
    <xf numFmtId="0" fontId="1" fillId="28" borderId="0" xfId="0" applyFont="1" applyFill="1" applyAlignment="1">
      <alignment horizontal="center" vertical="center"/>
    </xf>
    <xf numFmtId="166" fontId="23" fillId="68" borderId="0" xfId="0" applyNumberFormat="1" applyFont="1" applyFill="1" applyAlignment="1">
      <alignment horizontal="center"/>
    </xf>
    <xf numFmtId="171" fontId="23" fillId="68" borderId="0" xfId="0" applyNumberFormat="1" applyFont="1" applyFill="1" applyAlignment="1">
      <alignment horizontal="center"/>
    </xf>
    <xf numFmtId="166" fontId="23" fillId="69" borderId="0" xfId="0" applyNumberFormat="1" applyFont="1" applyFill="1" applyAlignment="1">
      <alignment horizontal="center"/>
    </xf>
    <xf numFmtId="171" fontId="23" fillId="69" borderId="0" xfId="0" applyNumberFormat="1" applyFont="1" applyFill="1" applyAlignment="1">
      <alignment horizontal="center"/>
    </xf>
    <xf numFmtId="49" fontId="1" fillId="70" borderId="0" xfId="0" applyNumberFormat="1" applyFont="1" applyFill="1" applyAlignment="1">
      <alignment horizontal="center" vertical="center" wrapText="1"/>
    </xf>
    <xf numFmtId="49" fontId="1" fillId="71" borderId="0" xfId="0" applyNumberFormat="1" applyFont="1" applyFill="1" applyAlignment="1">
      <alignment horizontal="center" vertical="center" wrapText="1"/>
    </xf>
    <xf numFmtId="171" fontId="23" fillId="72" borderId="0" xfId="0" applyNumberFormat="1" applyFont="1" applyFill="1" applyAlignment="1">
      <alignment horizontal="center"/>
    </xf>
    <xf numFmtId="171" fontId="23" fillId="59" borderId="0" xfId="0" applyNumberFormat="1" applyFont="1" applyFill="1" applyAlignment="1">
      <alignment horizontal="center"/>
    </xf>
    <xf numFmtId="0" fontId="7" fillId="30" borderId="0" xfId="0" applyFont="1" applyFill="1" applyAlignment="1">
      <alignment horizontal="center"/>
    </xf>
    <xf numFmtId="0" fontId="3" fillId="67" borderId="0" xfId="0" applyFont="1" applyFill="1" applyAlignment="1">
      <alignment horizontal="center"/>
    </xf>
    <xf numFmtId="0" fontId="7" fillId="29" borderId="0" xfId="0" applyFont="1" applyFill="1" applyAlignment="1">
      <alignment horizontal="center"/>
    </xf>
    <xf numFmtId="0" fontId="3" fillId="49" borderId="0" xfId="0" applyFont="1" applyFill="1" applyAlignment="1">
      <alignment horizontal="center"/>
    </xf>
    <xf numFmtId="0" fontId="1" fillId="2" borderId="0" xfId="0" applyFont="1" applyFill="1" applyAlignment="1">
      <alignment horizontal="center"/>
    </xf>
    <xf numFmtId="169" fontId="3" fillId="37" borderId="2" xfId="0" applyNumberFormat="1" applyFont="1" applyFill="1" applyBorder="1" applyAlignment="1">
      <alignment horizontal="center"/>
    </xf>
    <xf numFmtId="169" fontId="3" fillId="38" borderId="2" xfId="0" applyNumberFormat="1" applyFont="1" applyFill="1" applyBorder="1" applyAlignment="1">
      <alignment horizontal="center"/>
    </xf>
    <xf numFmtId="0" fontId="27" fillId="16" borderId="0" xfId="0" applyFont="1" applyFill="1"/>
    <xf numFmtId="168" fontId="27" fillId="17" borderId="0" xfId="2" applyNumberFormat="1" applyFont="1" applyFill="1" applyBorder="1"/>
    <xf numFmtId="0" fontId="28" fillId="17" borderId="0" xfId="0" applyFont="1" applyFill="1"/>
    <xf numFmtId="49" fontId="28" fillId="16" borderId="0" xfId="0" applyNumberFormat="1" applyFont="1" applyFill="1"/>
    <xf numFmtId="164" fontId="4" fillId="73" borderId="0" xfId="2" applyFont="1" applyFill="1" applyBorder="1" applyAlignment="1">
      <alignment horizontal="center"/>
    </xf>
    <xf numFmtId="166" fontId="3" fillId="73" borderId="0" xfId="0" applyNumberFormat="1" applyFont="1" applyFill="1" applyAlignment="1">
      <alignment horizontal="center"/>
    </xf>
    <xf numFmtId="166" fontId="4" fillId="73" borderId="0" xfId="0" applyNumberFormat="1" applyFont="1" applyFill="1" applyAlignment="1">
      <alignment horizontal="center"/>
    </xf>
    <xf numFmtId="0" fontId="5" fillId="73" borderId="0" xfId="0" applyFont="1" applyFill="1" applyAlignment="1">
      <alignment horizontal="center"/>
    </xf>
    <xf numFmtId="0" fontId="9" fillId="73" borderId="0" xfId="0" applyFont="1" applyFill="1" applyAlignment="1">
      <alignment horizontal="center"/>
    </xf>
    <xf numFmtId="0" fontId="13" fillId="73" borderId="0" xfId="0" applyFont="1" applyFill="1" applyAlignment="1">
      <alignment horizontal="center"/>
    </xf>
    <xf numFmtId="0" fontId="24" fillId="73" borderId="0" xfId="0" applyFont="1" applyFill="1" applyAlignment="1">
      <alignment horizontal="center"/>
    </xf>
    <xf numFmtId="0" fontId="7" fillId="73" borderId="0" xfId="0" applyFont="1" applyFill="1" applyAlignment="1">
      <alignment horizontal="center"/>
    </xf>
    <xf numFmtId="2" fontId="7" fillId="73" borderId="0" xfId="0" applyNumberFormat="1" applyFont="1" applyFill="1" applyAlignment="1">
      <alignment horizontal="center"/>
    </xf>
    <xf numFmtId="2" fontId="20" fillId="73" borderId="0" xfId="0" applyNumberFormat="1" applyFont="1" applyFill="1" applyAlignment="1">
      <alignment horizontal="center"/>
    </xf>
    <xf numFmtId="171" fontId="22" fillId="73" borderId="0" xfId="0" applyNumberFormat="1" applyFont="1" applyFill="1" applyAlignment="1">
      <alignment horizontal="center"/>
    </xf>
    <xf numFmtId="166" fontId="22" fillId="73" borderId="0" xfId="0" applyNumberFormat="1" applyFont="1" applyFill="1" applyAlignment="1">
      <alignment horizontal="center"/>
    </xf>
    <xf numFmtId="2" fontId="22" fillId="73" borderId="0" xfId="0" applyNumberFormat="1" applyFont="1" applyFill="1" applyAlignment="1">
      <alignment horizontal="center"/>
    </xf>
    <xf numFmtId="0" fontId="3" fillId="73" borderId="0" xfId="0" applyFont="1" applyFill="1" applyAlignment="1">
      <alignment horizontal="center"/>
    </xf>
    <xf numFmtId="166" fontId="23" fillId="73" borderId="0" xfId="0" applyNumberFormat="1" applyFont="1" applyFill="1" applyAlignment="1">
      <alignment horizontal="center"/>
    </xf>
    <xf numFmtId="171" fontId="23" fillId="73" borderId="0" xfId="0" applyNumberFormat="1" applyFont="1" applyFill="1" applyAlignment="1">
      <alignment horizontal="center"/>
    </xf>
    <xf numFmtId="0" fontId="15" fillId="73" borderId="0" xfId="0" applyFont="1" applyFill="1"/>
    <xf numFmtId="0" fontId="28" fillId="16" borderId="0" xfId="0" applyFont="1" applyFill="1"/>
    <xf numFmtId="167" fontId="3" fillId="73" borderId="1" xfId="0" applyNumberFormat="1" applyFont="1" applyFill="1" applyBorder="1" applyAlignment="1">
      <alignment horizontal="center"/>
    </xf>
    <xf numFmtId="2" fontId="3" fillId="73" borderId="1" xfId="0" applyNumberFormat="1" applyFont="1" applyFill="1" applyBorder="1" applyAlignment="1">
      <alignment horizontal="center"/>
    </xf>
    <xf numFmtId="0" fontId="1" fillId="8" borderId="0" xfId="0" applyFont="1" applyFill="1"/>
    <xf numFmtId="49" fontId="1" fillId="22" borderId="0" xfId="0" applyNumberFormat="1" applyFont="1" applyFill="1" applyAlignment="1">
      <alignment vertical="center" wrapText="1"/>
    </xf>
    <xf numFmtId="169" fontId="7" fillId="73" borderId="0" xfId="0" applyNumberFormat="1" applyFont="1" applyFill="1"/>
    <xf numFmtId="165" fontId="5" fillId="19" borderId="0" xfId="0" applyNumberFormat="1" applyFont="1" applyFill="1" applyAlignment="1">
      <alignment horizontal="center"/>
    </xf>
    <xf numFmtId="165" fontId="5" fillId="20" borderId="0" xfId="0" applyNumberFormat="1" applyFont="1" applyFill="1" applyAlignment="1">
      <alignment horizontal="center"/>
    </xf>
    <xf numFmtId="169" fontId="5" fillId="20" borderId="0" xfId="0" applyNumberFormat="1" applyFont="1" applyFill="1" applyAlignment="1">
      <alignment horizontal="center"/>
    </xf>
    <xf numFmtId="166" fontId="5" fillId="73" borderId="0" xfId="0" applyNumberFormat="1" applyFont="1" applyFill="1" applyAlignment="1">
      <alignment horizontal="center"/>
    </xf>
    <xf numFmtId="0" fontId="0" fillId="73" borderId="0" xfId="0" applyFill="1"/>
    <xf numFmtId="165" fontId="3" fillId="73" borderId="1" xfId="0" applyNumberFormat="1" applyFont="1" applyFill="1" applyBorder="1" applyAlignment="1">
      <alignment horizontal="center"/>
    </xf>
    <xf numFmtId="0" fontId="3" fillId="73" borderId="0" xfId="0" applyFont="1" applyFill="1"/>
    <xf numFmtId="2" fontId="3" fillId="73" borderId="0" xfId="0" applyNumberFormat="1" applyFont="1" applyFill="1"/>
    <xf numFmtId="0" fontId="0" fillId="73" borderId="0" xfId="0" applyFill="1" applyAlignment="1">
      <alignment horizontal="center" vertical="center"/>
    </xf>
    <xf numFmtId="1" fontId="1" fillId="4" borderId="0" xfId="0" applyNumberFormat="1" applyFont="1" applyFill="1"/>
    <xf numFmtId="1" fontId="0" fillId="21" borderId="0" xfId="0" applyNumberFormat="1" applyFill="1" applyAlignment="1">
      <alignment horizontal="center"/>
    </xf>
    <xf numFmtId="173" fontId="0" fillId="21" borderId="0" xfId="0" applyNumberFormat="1" applyFill="1"/>
    <xf numFmtId="172" fontId="7" fillId="9" borderId="0" xfId="0" applyNumberFormat="1" applyFont="1" applyFill="1" applyAlignment="1">
      <alignment horizontal="center"/>
    </xf>
    <xf numFmtId="10" fontId="0" fillId="21" borderId="0" xfId="0" applyNumberFormat="1" applyFill="1"/>
    <xf numFmtId="49" fontId="2" fillId="73" borderId="0" xfId="0" applyNumberFormat="1" applyFont="1" applyFill="1"/>
    <xf numFmtId="166" fontId="7" fillId="73" borderId="0" xfId="0" applyNumberFormat="1" applyFont="1" applyFill="1"/>
    <xf numFmtId="0" fontId="2" fillId="20" borderId="0" xfId="0" applyFont="1" applyFill="1"/>
    <xf numFmtId="49" fontId="2" fillId="20" borderId="0" xfId="0" applyNumberFormat="1" applyFont="1" applyFill="1"/>
    <xf numFmtId="0" fontId="2" fillId="19" borderId="0" xfId="0" applyFont="1" applyFill="1"/>
    <xf numFmtId="49" fontId="2" fillId="19" borderId="0" xfId="0" applyNumberFormat="1" applyFont="1" applyFill="1"/>
    <xf numFmtId="43" fontId="4" fillId="12" borderId="0" xfId="3" applyFont="1" applyFill="1" applyBorder="1" applyAlignment="1">
      <alignment horizontal="center"/>
    </xf>
    <xf numFmtId="0" fontId="2" fillId="11" borderId="0" xfId="0" applyFont="1" applyFill="1"/>
    <xf numFmtId="49" fontId="2" fillId="9" borderId="0" xfId="0" applyNumberFormat="1" applyFont="1" applyFill="1"/>
    <xf numFmtId="0" fontId="2" fillId="11" borderId="5" xfId="0" applyFont="1" applyFill="1" applyBorder="1"/>
    <xf numFmtId="0" fontId="2" fillId="16" borderId="3" xfId="0" applyFont="1" applyFill="1" applyBorder="1"/>
    <xf numFmtId="49" fontId="2" fillId="16" borderId="3" xfId="0" applyNumberFormat="1" applyFont="1" applyFill="1" applyBorder="1"/>
    <xf numFmtId="49" fontId="2" fillId="16" borderId="6" xfId="0" applyNumberFormat="1" applyFont="1" applyFill="1" applyBorder="1"/>
    <xf numFmtId="0" fontId="2" fillId="17" borderId="7" xfId="0" applyFont="1" applyFill="1" applyBorder="1"/>
    <xf numFmtId="49" fontId="2" fillId="17" borderId="8" xfId="0" applyNumberFormat="1" applyFont="1" applyFill="1" applyBorder="1"/>
    <xf numFmtId="0" fontId="2" fillId="16" borderId="7" xfId="0" applyFont="1" applyFill="1" applyBorder="1"/>
    <xf numFmtId="49" fontId="2" fillId="16" borderId="8" xfId="0" applyNumberFormat="1" applyFont="1" applyFill="1" applyBorder="1"/>
    <xf numFmtId="0" fontId="2" fillId="11" borderId="7" xfId="0" applyFont="1" applyFill="1" applyBorder="1"/>
    <xf numFmtId="0" fontId="2" fillId="16" borderId="9" xfId="0" applyFont="1" applyFill="1" applyBorder="1"/>
    <xf numFmtId="0" fontId="2" fillId="16" borderId="4" xfId="0" applyFont="1" applyFill="1" applyBorder="1"/>
    <xf numFmtId="49" fontId="2" fillId="16" borderId="4" xfId="0" applyNumberFormat="1" applyFont="1" applyFill="1" applyBorder="1"/>
    <xf numFmtId="49" fontId="2" fillId="16" borderId="10" xfId="0" applyNumberFormat="1" applyFont="1" applyFill="1" applyBorder="1"/>
    <xf numFmtId="0" fontId="2" fillId="73" borderId="0" xfId="0" applyFont="1" applyFill="1"/>
    <xf numFmtId="166" fontId="3" fillId="60" borderId="0" xfId="0" applyNumberFormat="1" applyFont="1" applyFill="1" applyAlignment="1">
      <alignment horizontal="center"/>
    </xf>
    <xf numFmtId="166" fontId="3" fillId="60" borderId="5" xfId="0" applyNumberFormat="1" applyFont="1" applyFill="1" applyBorder="1" applyAlignment="1">
      <alignment horizontal="center"/>
    </xf>
    <xf numFmtId="166" fontId="3" fillId="60" borderId="3" xfId="0" applyNumberFormat="1" applyFont="1" applyFill="1" applyBorder="1" applyAlignment="1">
      <alignment horizontal="center"/>
    </xf>
    <xf numFmtId="166" fontId="3" fillId="60" borderId="6" xfId="0" applyNumberFormat="1" applyFont="1" applyFill="1" applyBorder="1" applyAlignment="1">
      <alignment horizontal="center"/>
    </xf>
    <xf numFmtId="166" fontId="3" fillId="60" borderId="7" xfId="0" applyNumberFormat="1" applyFont="1" applyFill="1" applyBorder="1" applyAlignment="1">
      <alignment horizontal="center"/>
    </xf>
    <xf numFmtId="166" fontId="3" fillId="60" borderId="8" xfId="0" applyNumberFormat="1" applyFont="1" applyFill="1" applyBorder="1" applyAlignment="1">
      <alignment horizontal="center"/>
    </xf>
    <xf numFmtId="166" fontId="3" fillId="60" borderId="9" xfId="0" applyNumberFormat="1" applyFont="1" applyFill="1" applyBorder="1" applyAlignment="1">
      <alignment horizontal="center"/>
    </xf>
    <xf numFmtId="166" fontId="3" fillId="60" borderId="4" xfId="0" applyNumberFormat="1" applyFont="1" applyFill="1" applyBorder="1" applyAlignment="1">
      <alignment horizontal="center"/>
    </xf>
    <xf numFmtId="166" fontId="3" fillId="60" borderId="10" xfId="0" applyNumberFormat="1" applyFont="1" applyFill="1" applyBorder="1" applyAlignment="1">
      <alignment horizontal="center"/>
    </xf>
    <xf numFmtId="164" fontId="4" fillId="60" borderId="0" xfId="2" applyFont="1" applyFill="1" applyBorder="1" applyAlignment="1">
      <alignment horizontal="center"/>
    </xf>
    <xf numFmtId="164" fontId="4" fillId="0" borderId="0" xfId="2" applyFont="1" applyFill="1" applyBorder="1" applyAlignment="1">
      <alignment horizontal="center"/>
    </xf>
    <xf numFmtId="0" fontId="2" fillId="60" borderId="7" xfId="0" applyFont="1" applyFill="1" applyBorder="1"/>
    <xf numFmtId="0" fontId="2" fillId="60" borderId="0" xfId="0" applyFont="1" applyFill="1"/>
    <xf numFmtId="0" fontId="7" fillId="60" borderId="0" xfId="0" applyFont="1" applyFill="1" applyAlignment="1">
      <alignment horizontal="center"/>
    </xf>
    <xf numFmtId="0" fontId="3" fillId="60" borderId="0" xfId="0" applyFont="1" applyFill="1" applyAlignment="1">
      <alignment horizontal="center"/>
    </xf>
    <xf numFmtId="2" fontId="22" fillId="5" borderId="0" xfId="0" applyNumberFormat="1" applyFont="1" applyFill="1" applyAlignment="1">
      <alignment horizontal="center"/>
    </xf>
    <xf numFmtId="166" fontId="4" fillId="5" borderId="0" xfId="0" applyNumberFormat="1" applyFont="1" applyFill="1" applyAlignment="1">
      <alignment horizontal="center"/>
    </xf>
    <xf numFmtId="0" fontId="0" fillId="60" borderId="0" xfId="0" applyFill="1"/>
    <xf numFmtId="2" fontId="5" fillId="60" borderId="0" xfId="0" applyNumberFormat="1" applyFont="1" applyFill="1" applyAlignment="1">
      <alignment horizontal="center"/>
    </xf>
    <xf numFmtId="165" fontId="5" fillId="60" borderId="0" xfId="0" applyNumberFormat="1" applyFont="1" applyFill="1" applyAlignment="1">
      <alignment horizontal="center"/>
    </xf>
    <xf numFmtId="166" fontId="5" fillId="60" borderId="0" xfId="0" applyNumberFormat="1" applyFont="1" applyFill="1" applyAlignment="1">
      <alignment horizontal="center"/>
    </xf>
    <xf numFmtId="0" fontId="15" fillId="60" borderId="0" xfId="0" applyFont="1" applyFill="1"/>
    <xf numFmtId="2" fontId="3" fillId="60" borderId="1" xfId="0" applyNumberFormat="1" applyFont="1" applyFill="1" applyBorder="1" applyAlignment="1">
      <alignment horizontal="center"/>
    </xf>
    <xf numFmtId="169" fontId="3" fillId="60" borderId="2" xfId="0" applyNumberFormat="1" applyFont="1" applyFill="1" applyBorder="1" applyAlignment="1">
      <alignment horizontal="center"/>
    </xf>
    <xf numFmtId="49" fontId="2" fillId="60" borderId="0" xfId="0" applyNumberFormat="1" applyFont="1" applyFill="1"/>
    <xf numFmtId="166" fontId="4" fillId="60" borderId="0" xfId="0" applyNumberFormat="1" applyFont="1" applyFill="1" applyAlignment="1">
      <alignment horizontal="center"/>
    </xf>
    <xf numFmtId="0" fontId="5" fillId="60" borderId="0" xfId="0" applyFont="1" applyFill="1" applyAlignment="1">
      <alignment horizontal="center"/>
    </xf>
    <xf numFmtId="0" fontId="9" fillId="60" borderId="0" xfId="0" applyFont="1" applyFill="1" applyAlignment="1">
      <alignment horizontal="center"/>
    </xf>
    <xf numFmtId="0" fontId="13" fillId="60" borderId="0" xfId="0" applyFont="1" applyFill="1" applyAlignment="1">
      <alignment horizontal="center"/>
    </xf>
    <xf numFmtId="0" fontId="24" fillId="60" borderId="0" xfId="0" applyFont="1" applyFill="1" applyAlignment="1">
      <alignment horizontal="center"/>
    </xf>
    <xf numFmtId="0" fontId="20" fillId="60" borderId="0" xfId="0" applyFont="1" applyFill="1" applyAlignment="1">
      <alignment horizontal="center"/>
    </xf>
    <xf numFmtId="171" fontId="22" fillId="60" borderId="0" xfId="0" applyNumberFormat="1" applyFont="1" applyFill="1" applyAlignment="1">
      <alignment horizontal="center"/>
    </xf>
    <xf numFmtId="166" fontId="22" fillId="60" borderId="0" xfId="0" applyNumberFormat="1" applyFont="1" applyFill="1" applyAlignment="1">
      <alignment horizontal="center"/>
    </xf>
    <xf numFmtId="2" fontId="22" fillId="60" borderId="0" xfId="0" applyNumberFormat="1" applyFont="1" applyFill="1" applyAlignment="1">
      <alignment horizontal="center"/>
    </xf>
    <xf numFmtId="166" fontId="23" fillId="60" borderId="0" xfId="0" applyNumberFormat="1" applyFont="1" applyFill="1" applyAlignment="1">
      <alignment horizontal="center"/>
    </xf>
    <xf numFmtId="171" fontId="23" fillId="60" borderId="0" xfId="0" applyNumberFormat="1" applyFont="1" applyFill="1" applyAlignment="1">
      <alignment horizontal="center"/>
    </xf>
    <xf numFmtId="173" fontId="0" fillId="60" borderId="0" xfId="0" applyNumberFormat="1" applyFill="1"/>
    <xf numFmtId="0" fontId="0" fillId="9" borderId="0" xfId="0" applyFill="1"/>
    <xf numFmtId="43" fontId="4" fillId="60" borderId="0" xfId="3" applyFont="1" applyFill="1" applyBorder="1" applyAlignment="1">
      <alignment horizontal="center"/>
    </xf>
    <xf numFmtId="166" fontId="4" fillId="49" borderId="0" xfId="0" applyNumberFormat="1" applyFont="1" applyFill="1" applyAlignment="1">
      <alignment horizontal="center"/>
    </xf>
    <xf numFmtId="0" fontId="18" fillId="0" borderId="0" xfId="1"/>
    <xf numFmtId="0" fontId="18" fillId="17" borderId="0" xfId="1" applyFill="1"/>
    <xf numFmtId="0" fontId="18" fillId="16" borderId="0" xfId="1" applyFill="1"/>
    <xf numFmtId="2" fontId="7" fillId="60" borderId="0" xfId="0" applyNumberFormat="1" applyFont="1" applyFill="1" applyAlignment="1">
      <alignment horizontal="center"/>
    </xf>
    <xf numFmtId="2" fontId="20" fillId="60" borderId="0" xfId="0" applyNumberFormat="1" applyFont="1" applyFill="1" applyAlignment="1">
      <alignment horizontal="center"/>
    </xf>
    <xf numFmtId="0" fontId="15" fillId="74" borderId="0" xfId="0" applyFont="1" applyFill="1"/>
    <xf numFmtId="0" fontId="2" fillId="75" borderId="0" xfId="0" applyFont="1" applyFill="1"/>
    <xf numFmtId="49" fontId="2" fillId="75" borderId="0" xfId="0" applyNumberFormat="1" applyFont="1" applyFill="1"/>
    <xf numFmtId="164" fontId="4" fillId="75" borderId="0" xfId="2" applyFont="1" applyFill="1" applyBorder="1" applyAlignment="1">
      <alignment horizontal="center"/>
    </xf>
    <xf numFmtId="166" fontId="4" fillId="75" borderId="0" xfId="0" applyNumberFormat="1" applyFont="1" applyFill="1" applyAlignment="1">
      <alignment horizontal="center"/>
    </xf>
    <xf numFmtId="0" fontId="5" fillId="75" borderId="0" xfId="0" applyFont="1" applyFill="1" applyAlignment="1">
      <alignment horizontal="center"/>
    </xf>
    <xf numFmtId="0" fontId="9" fillId="75" borderId="0" xfId="0" applyFont="1" applyFill="1" applyAlignment="1">
      <alignment horizontal="center"/>
    </xf>
    <xf numFmtId="0" fontId="13" fillId="75" borderId="0" xfId="0" applyFont="1" applyFill="1" applyAlignment="1">
      <alignment horizontal="center"/>
    </xf>
    <xf numFmtId="0" fontId="24" fillId="75" borderId="0" xfId="0" applyFont="1" applyFill="1" applyAlignment="1">
      <alignment horizontal="center"/>
    </xf>
    <xf numFmtId="0" fontId="7" fillId="75" borderId="0" xfId="0" applyFont="1" applyFill="1" applyAlignment="1">
      <alignment horizontal="center"/>
    </xf>
    <xf numFmtId="2" fontId="7" fillId="75" borderId="0" xfId="0" applyNumberFormat="1" applyFont="1" applyFill="1" applyAlignment="1">
      <alignment horizontal="center"/>
    </xf>
    <xf numFmtId="2" fontId="20" fillId="75" borderId="0" xfId="0" applyNumberFormat="1" applyFont="1" applyFill="1" applyAlignment="1">
      <alignment horizontal="center"/>
    </xf>
    <xf numFmtId="171" fontId="22" fillId="75" borderId="0" xfId="0" applyNumberFormat="1" applyFont="1" applyFill="1" applyAlignment="1">
      <alignment horizontal="center"/>
    </xf>
    <xf numFmtId="166" fontId="22" fillId="75" borderId="0" xfId="0" applyNumberFormat="1" applyFont="1" applyFill="1" applyAlignment="1">
      <alignment horizontal="center"/>
    </xf>
    <xf numFmtId="2" fontId="22" fillId="75" borderId="0" xfId="0" applyNumberFormat="1" applyFont="1" applyFill="1" applyAlignment="1">
      <alignment horizontal="center"/>
    </xf>
    <xf numFmtId="166" fontId="3" fillId="75" borderId="0" xfId="0" applyNumberFormat="1" applyFont="1" applyFill="1" applyAlignment="1">
      <alignment horizontal="center"/>
    </xf>
    <xf numFmtId="0" fontId="3" fillId="75" borderId="0" xfId="0" applyFont="1" applyFill="1" applyAlignment="1">
      <alignment horizontal="center"/>
    </xf>
    <xf numFmtId="166" fontId="23" fillId="75" borderId="0" xfId="0" applyNumberFormat="1" applyFont="1" applyFill="1" applyAlignment="1">
      <alignment horizontal="center"/>
    </xf>
    <xf numFmtId="171" fontId="23" fillId="75" borderId="0" xfId="0" applyNumberFormat="1" applyFont="1" applyFill="1" applyAlignment="1">
      <alignment horizontal="center"/>
    </xf>
    <xf numFmtId="0" fontId="15" fillId="75" borderId="0" xfId="0" applyFont="1" applyFill="1"/>
    <xf numFmtId="173" fontId="0" fillId="75" borderId="0" xfId="0" applyNumberFormat="1" applyFill="1"/>
    <xf numFmtId="0" fontId="0" fillId="75" borderId="0" xfId="0" applyFill="1"/>
    <xf numFmtId="2" fontId="5" fillId="75" borderId="0" xfId="0" applyNumberFormat="1" applyFont="1" applyFill="1" applyAlignment="1">
      <alignment horizontal="center"/>
    </xf>
    <xf numFmtId="165" fontId="5" fillId="75" borderId="0" xfId="0" applyNumberFormat="1" applyFont="1" applyFill="1" applyAlignment="1">
      <alignment horizontal="center"/>
    </xf>
    <xf numFmtId="166" fontId="5" fillId="75" borderId="0" xfId="0" applyNumberFormat="1" applyFont="1" applyFill="1" applyAlignment="1">
      <alignment horizontal="center"/>
    </xf>
    <xf numFmtId="169" fontId="5" fillId="75" borderId="0" xfId="0" applyNumberFormat="1" applyFont="1" applyFill="1" applyAlignment="1">
      <alignment horizontal="center"/>
    </xf>
    <xf numFmtId="2" fontId="3" fillId="75" borderId="1" xfId="0" applyNumberFormat="1" applyFont="1" applyFill="1" applyBorder="1" applyAlignment="1">
      <alignment horizontal="center"/>
    </xf>
    <xf numFmtId="169" fontId="3" fillId="75" borderId="2" xfId="0" applyNumberFormat="1" applyFont="1" applyFill="1" applyBorder="1" applyAlignment="1">
      <alignment horizontal="center"/>
    </xf>
    <xf numFmtId="0" fontId="20" fillId="75" borderId="0" xfId="0" applyFont="1" applyFill="1" applyAlignment="1">
      <alignment horizontal="center"/>
    </xf>
    <xf numFmtId="2" fontId="3" fillId="15" borderId="0" xfId="0" applyNumberFormat="1" applyFont="1" applyFill="1" applyAlignment="1">
      <alignment horizontal="center"/>
    </xf>
    <xf numFmtId="2" fontId="3" fillId="6" borderId="0" xfId="0" applyNumberFormat="1" applyFont="1" applyFill="1" applyAlignment="1">
      <alignment horizontal="center"/>
    </xf>
    <xf numFmtId="2" fontId="3" fillId="73" borderId="0" xfId="0" applyNumberFormat="1" applyFont="1" applyFill="1" applyAlignment="1">
      <alignment horizontal="center"/>
    </xf>
    <xf numFmtId="2" fontId="3" fillId="60" borderId="0" xfId="0" applyNumberFormat="1" applyFont="1" applyFill="1" applyAlignment="1">
      <alignment horizontal="center"/>
    </xf>
    <xf numFmtId="2" fontId="3" fillId="75" borderId="0" xfId="0" applyNumberFormat="1" applyFont="1" applyFill="1" applyAlignment="1">
      <alignment horizontal="center"/>
    </xf>
    <xf numFmtId="174" fontId="0" fillId="21" borderId="0" xfId="0" applyNumberFormat="1" applyFill="1"/>
    <xf numFmtId="0" fontId="3" fillId="38" borderId="2" xfId="0" applyFont="1" applyFill="1" applyBorder="1" applyAlignment="1">
      <alignment horizontal="center"/>
    </xf>
    <xf numFmtId="0" fontId="3" fillId="37" borderId="2" xfId="0" applyFont="1" applyFill="1" applyBorder="1" applyAlignment="1">
      <alignment horizontal="center"/>
    </xf>
    <xf numFmtId="2" fontId="16" fillId="21" borderId="0" xfId="0" applyNumberFormat="1" applyFont="1" applyFill="1"/>
    <xf numFmtId="0" fontId="2" fillId="74" borderId="0" xfId="0" applyFont="1" applyFill="1"/>
    <xf numFmtId="49" fontId="2" fillId="74" borderId="0" xfId="0" applyNumberFormat="1" applyFont="1" applyFill="1"/>
    <xf numFmtId="164" fontId="4" fillId="74" borderId="0" xfId="2" applyFont="1" applyFill="1" applyBorder="1" applyAlignment="1">
      <alignment horizontal="center"/>
    </xf>
    <xf numFmtId="166" fontId="4" fillId="74" borderId="0" xfId="0" applyNumberFormat="1" applyFont="1" applyFill="1" applyAlignment="1">
      <alignment horizontal="center"/>
    </xf>
    <xf numFmtId="0" fontId="5" fillId="74" borderId="0" xfId="0" applyFont="1" applyFill="1" applyAlignment="1">
      <alignment horizontal="center"/>
    </xf>
    <xf numFmtId="0" fontId="9" fillId="74" borderId="0" xfId="0" applyFont="1" applyFill="1" applyAlignment="1">
      <alignment horizontal="center"/>
    </xf>
    <xf numFmtId="0" fontId="13" fillId="74" borderId="0" xfId="0" applyFont="1" applyFill="1" applyAlignment="1">
      <alignment horizontal="center"/>
    </xf>
    <xf numFmtId="0" fontId="24" fillId="74" borderId="0" xfId="0" applyFont="1" applyFill="1" applyAlignment="1">
      <alignment horizontal="center"/>
    </xf>
    <xf numFmtId="0" fontId="7" fillId="74" borderId="0" xfId="0" applyFont="1" applyFill="1" applyAlignment="1">
      <alignment horizontal="center"/>
    </xf>
    <xf numFmtId="165" fontId="7" fillId="74" borderId="0" xfId="0" applyNumberFormat="1" applyFont="1" applyFill="1" applyAlignment="1">
      <alignment horizontal="center"/>
    </xf>
    <xf numFmtId="2" fontId="7" fillId="74" borderId="0" xfId="0" applyNumberFormat="1" applyFont="1" applyFill="1" applyAlignment="1">
      <alignment horizontal="center"/>
    </xf>
    <xf numFmtId="2" fontId="20" fillId="74" borderId="0" xfId="0" applyNumberFormat="1" applyFont="1" applyFill="1" applyAlignment="1">
      <alignment horizontal="center"/>
    </xf>
    <xf numFmtId="171" fontId="22" fillId="74" borderId="0" xfId="0" applyNumberFormat="1" applyFont="1" applyFill="1" applyAlignment="1">
      <alignment horizontal="center"/>
    </xf>
    <xf numFmtId="166" fontId="22" fillId="74" borderId="0" xfId="0" applyNumberFormat="1" applyFont="1" applyFill="1" applyAlignment="1">
      <alignment horizontal="center"/>
    </xf>
    <xf numFmtId="2" fontId="22" fillId="74" borderId="0" xfId="0" applyNumberFormat="1" applyFont="1" applyFill="1" applyAlignment="1">
      <alignment horizontal="center"/>
    </xf>
    <xf numFmtId="166" fontId="3" fillId="74" borderId="0" xfId="0" applyNumberFormat="1" applyFont="1" applyFill="1" applyAlignment="1">
      <alignment horizontal="center"/>
    </xf>
    <xf numFmtId="0" fontId="3" fillId="74" borderId="0" xfId="0" applyFont="1" applyFill="1" applyAlignment="1">
      <alignment horizontal="center"/>
    </xf>
    <xf numFmtId="166" fontId="23" fillId="74" borderId="0" xfId="0" applyNumberFormat="1" applyFont="1" applyFill="1" applyAlignment="1">
      <alignment horizontal="center"/>
    </xf>
    <xf numFmtId="171" fontId="23" fillId="74" borderId="0" xfId="0" applyNumberFormat="1" applyFont="1" applyFill="1" applyAlignment="1">
      <alignment horizontal="center"/>
    </xf>
    <xf numFmtId="173" fontId="0" fillId="74" borderId="0" xfId="0" applyNumberFormat="1" applyFill="1"/>
    <xf numFmtId="0" fontId="0" fillId="74" borderId="0" xfId="0" applyFill="1"/>
    <xf numFmtId="167" fontId="7" fillId="74" borderId="0" xfId="0" applyNumberFormat="1" applyFont="1" applyFill="1" applyAlignment="1">
      <alignment horizontal="center"/>
    </xf>
    <xf numFmtId="0" fontId="20" fillId="74" borderId="0" xfId="0" applyFont="1" applyFill="1" applyAlignment="1">
      <alignment horizontal="center"/>
    </xf>
    <xf numFmtId="2" fontId="5" fillId="74" borderId="0" xfId="0" applyNumberFormat="1" applyFont="1" applyFill="1" applyAlignment="1">
      <alignment horizontal="center"/>
    </xf>
    <xf numFmtId="166" fontId="5" fillId="74" borderId="0" xfId="0" applyNumberFormat="1" applyFont="1" applyFill="1" applyAlignment="1">
      <alignment horizontal="center"/>
    </xf>
    <xf numFmtId="2" fontId="3" fillId="74" borderId="1" xfId="0" applyNumberFormat="1" applyFont="1" applyFill="1" applyBorder="1" applyAlignment="1">
      <alignment horizontal="center"/>
    </xf>
    <xf numFmtId="2" fontId="3" fillId="74" borderId="0" xfId="0" applyNumberFormat="1" applyFont="1" applyFill="1" applyAlignment="1">
      <alignment horizontal="center"/>
    </xf>
    <xf numFmtId="167" fontId="7" fillId="9" borderId="0" xfId="0" applyNumberFormat="1" applyFont="1" applyFill="1" applyAlignment="1">
      <alignment horizontal="center"/>
    </xf>
    <xf numFmtId="165" fontId="7" fillId="73" borderId="0" xfId="0" applyNumberFormat="1" applyFont="1" applyFill="1" applyAlignment="1">
      <alignment horizontal="center"/>
    </xf>
    <xf numFmtId="49" fontId="0" fillId="73" borderId="0" xfId="0" applyNumberFormat="1" applyFill="1"/>
    <xf numFmtId="0" fontId="8" fillId="16" borderId="0" xfId="0" applyFont="1" applyFill="1"/>
    <xf numFmtId="172" fontId="0" fillId="60" borderId="0" xfId="0" applyNumberFormat="1" applyFill="1" applyAlignment="1">
      <alignment horizontal="center" vertical="center"/>
    </xf>
    <xf numFmtId="0" fontId="9" fillId="73" borderId="0" xfId="0" applyFont="1" applyFill="1"/>
    <xf numFmtId="43" fontId="0" fillId="21" borderId="0" xfId="0" applyNumberFormat="1" applyFill="1"/>
    <xf numFmtId="175" fontId="0" fillId="21" borderId="0" xfId="6" applyNumberFormat="1" applyFont="1" applyFill="1"/>
    <xf numFmtId="164" fontId="8" fillId="73" borderId="0" xfId="2" applyFont="1" applyFill="1" applyBorder="1" applyAlignment="1">
      <alignment horizontal="center"/>
    </xf>
    <xf numFmtId="164" fontId="4" fillId="76" borderId="0" xfId="2" applyFont="1" applyFill="1" applyBorder="1" applyAlignment="1">
      <alignment horizontal="center"/>
    </xf>
    <xf numFmtId="166" fontId="3" fillId="77" borderId="0" xfId="0" applyNumberFormat="1" applyFont="1" applyFill="1" applyAlignment="1">
      <alignment horizontal="center"/>
    </xf>
    <xf numFmtId="0" fontId="0" fillId="16" borderId="0" xfId="0" applyFill="1" applyAlignment="1">
      <alignment horizontal="left"/>
    </xf>
    <xf numFmtId="165" fontId="0" fillId="73" borderId="0" xfId="0" applyNumberFormat="1" applyFill="1"/>
    <xf numFmtId="165" fontId="8" fillId="20" borderId="0" xfId="0" applyNumberFormat="1" applyFont="1" applyFill="1"/>
    <xf numFmtId="165" fontId="0" fillId="20" borderId="0" xfId="0" applyNumberFormat="1" applyFill="1"/>
    <xf numFmtId="165" fontId="0" fillId="16" borderId="0" xfId="0" applyNumberFormat="1" applyFill="1"/>
    <xf numFmtId="165" fontId="8" fillId="19" borderId="0" xfId="0" applyNumberFormat="1" applyFont="1" applyFill="1"/>
    <xf numFmtId="165" fontId="0" fillId="19" borderId="0" xfId="0" applyNumberFormat="1" applyFill="1"/>
    <xf numFmtId="165" fontId="0" fillId="17" borderId="0" xfId="0" applyNumberFormat="1" applyFill="1"/>
    <xf numFmtId="165" fontId="28" fillId="73" borderId="0" xfId="0" applyNumberFormat="1" applyFont="1" applyFill="1"/>
    <xf numFmtId="165" fontId="0" fillId="60" borderId="0" xfId="0" applyNumberFormat="1" applyFill="1"/>
    <xf numFmtId="165" fontId="0" fillId="21" borderId="0" xfId="0" applyNumberFormat="1" applyFill="1"/>
    <xf numFmtId="166" fontId="3" fillId="65" borderId="0" xfId="0" applyNumberFormat="1" applyFont="1" applyFill="1" applyAlignment="1">
      <alignment horizontal="center"/>
    </xf>
    <xf numFmtId="167" fontId="3" fillId="15" borderId="1" xfId="0" applyNumberFormat="1" applyFont="1" applyFill="1" applyBorder="1" applyAlignment="1">
      <alignment horizontal="center"/>
    </xf>
    <xf numFmtId="167" fontId="3" fillId="6" borderId="1" xfId="0" applyNumberFormat="1" applyFont="1" applyFill="1" applyBorder="1" applyAlignment="1">
      <alignment horizontal="center"/>
    </xf>
    <xf numFmtId="2" fontId="5" fillId="78" borderId="0" xfId="0" applyNumberFormat="1" applyFont="1" applyFill="1"/>
    <xf numFmtId="0" fontId="7" fillId="78" borderId="0" xfId="0" applyFont="1" applyFill="1" applyAlignment="1">
      <alignment horizontal="center"/>
    </xf>
    <xf numFmtId="166" fontId="3" fillId="78" borderId="0" xfId="0" applyNumberFormat="1" applyFont="1" applyFill="1" applyAlignment="1">
      <alignment horizontal="center"/>
    </xf>
    <xf numFmtId="2" fontId="3" fillId="78" borderId="1" xfId="0" applyNumberFormat="1" applyFont="1" applyFill="1" applyBorder="1" applyAlignment="1">
      <alignment horizontal="center"/>
    </xf>
    <xf numFmtId="1" fontId="0" fillId="21" borderId="0" xfId="0" applyNumberFormat="1" applyFill="1"/>
    <xf numFmtId="0" fontId="5" fillId="78" borderId="0" xfId="0" applyFont="1" applyFill="1" applyAlignment="1">
      <alignment horizontal="center"/>
    </xf>
    <xf numFmtId="176" fontId="3" fillId="38" borderId="2" xfId="0" applyNumberFormat="1" applyFont="1" applyFill="1" applyBorder="1" applyAlignment="1">
      <alignment horizontal="center"/>
    </xf>
    <xf numFmtId="177" fontId="3" fillId="78" borderId="1" xfId="0" applyNumberFormat="1" applyFont="1" applyFill="1" applyBorder="1" applyAlignment="1">
      <alignment horizontal="center"/>
    </xf>
    <xf numFmtId="167" fontId="3" fillId="78" borderId="1" xfId="0" applyNumberFormat="1" applyFont="1" applyFill="1" applyBorder="1" applyAlignment="1">
      <alignment horizontal="center"/>
    </xf>
    <xf numFmtId="0" fontId="3" fillId="78" borderId="0" xfId="0" applyFont="1" applyFill="1" applyAlignment="1">
      <alignment horizontal="center"/>
    </xf>
    <xf numFmtId="166" fontId="3" fillId="72" borderId="0" xfId="0" applyNumberFormat="1" applyFont="1" applyFill="1" applyAlignment="1">
      <alignment horizontal="center"/>
    </xf>
    <xf numFmtId="0" fontId="2" fillId="72" borderId="0" xfId="0" applyFont="1" applyFill="1"/>
    <xf numFmtId="164" fontId="4" fillId="72" borderId="0" xfId="2" applyFont="1" applyFill="1" applyBorder="1" applyAlignment="1">
      <alignment horizontal="center"/>
    </xf>
    <xf numFmtId="49" fontId="2" fillId="72" borderId="0" xfId="0" applyNumberFormat="1" applyFont="1" applyFill="1"/>
    <xf numFmtId="172" fontId="0" fillId="79" borderId="0" xfId="0" applyNumberFormat="1" applyFill="1"/>
    <xf numFmtId="165" fontId="0" fillId="72" borderId="0" xfId="0" applyNumberFormat="1" applyFill="1"/>
    <xf numFmtId="2" fontId="0" fillId="73" borderId="0" xfId="0" applyNumberFormat="1" applyFill="1"/>
    <xf numFmtId="0" fontId="25" fillId="73" borderId="0" xfId="0" applyFont="1" applyFill="1" applyAlignment="1">
      <alignment horizontal="right" vertical="top"/>
    </xf>
    <xf numFmtId="165" fontId="25" fillId="73" borderId="0" xfId="0" applyNumberFormat="1" applyFont="1" applyFill="1" applyAlignment="1">
      <alignment horizontal="right" vertical="top"/>
    </xf>
    <xf numFmtId="172" fontId="0" fillId="73" borderId="0" xfId="0" applyNumberFormat="1" applyFill="1"/>
    <xf numFmtId="167" fontId="0" fillId="73" borderId="0" xfId="0" applyNumberFormat="1" applyFill="1"/>
    <xf numFmtId="2" fontId="25" fillId="73" borderId="0" xfId="0" applyNumberFormat="1" applyFont="1" applyFill="1" applyAlignment="1">
      <alignment horizontal="right" vertical="top"/>
    </xf>
    <xf numFmtId="2" fontId="0" fillId="72" borderId="0" xfId="0" applyNumberFormat="1" applyFill="1"/>
    <xf numFmtId="0" fontId="0" fillId="72" borderId="0" xfId="0" applyFill="1"/>
    <xf numFmtId="0" fontId="25" fillId="72" borderId="0" xfId="0" applyFont="1" applyFill="1" applyAlignment="1">
      <alignment horizontal="right" vertical="top"/>
    </xf>
    <xf numFmtId="167" fontId="0" fillId="21" borderId="0" xfId="0" applyNumberFormat="1" applyFill="1" applyAlignment="1">
      <alignment horizontal="center"/>
    </xf>
    <xf numFmtId="0" fontId="0" fillId="73" borderId="0" xfId="0" applyFill="1" applyAlignment="1">
      <alignment horizontal="center"/>
    </xf>
    <xf numFmtId="165" fontId="0" fillId="73" borderId="0" xfId="0" applyNumberFormat="1" applyFill="1" applyAlignment="1">
      <alignment horizontal="center"/>
    </xf>
    <xf numFmtId="0" fontId="13" fillId="72" borderId="0" xfId="0" applyFont="1" applyFill="1" applyAlignment="1">
      <alignment horizontal="center"/>
    </xf>
    <xf numFmtId="0" fontId="7" fillId="72" borderId="0" xfId="0" applyFont="1" applyFill="1" applyAlignment="1">
      <alignment horizontal="center"/>
    </xf>
    <xf numFmtId="2" fontId="0" fillId="60" borderId="0" xfId="0" applyNumberFormat="1" applyFill="1" applyAlignment="1">
      <alignment horizontal="center"/>
    </xf>
    <xf numFmtId="0" fontId="6" fillId="24" borderId="0" xfId="0" applyFont="1" applyFill="1" applyAlignment="1">
      <alignment horizontal="center" wrapText="1"/>
    </xf>
    <xf numFmtId="0" fontId="1" fillId="2" borderId="0" xfId="0" applyFont="1" applyFill="1" applyAlignment="1">
      <alignment horizontal="center"/>
    </xf>
    <xf numFmtId="49" fontId="1" fillId="4" borderId="0" xfId="0" applyNumberFormat="1" applyFont="1" applyFill="1" applyAlignment="1">
      <alignment horizontal="center" vertical="center" wrapText="1"/>
    </xf>
    <xf numFmtId="0" fontId="1" fillId="48" borderId="0" xfId="0" applyFont="1" applyFill="1" applyAlignment="1">
      <alignment horizontal="center"/>
    </xf>
    <xf numFmtId="0" fontId="1" fillId="47" borderId="0" xfId="0" applyFont="1" applyFill="1" applyAlignment="1">
      <alignment horizontal="center" vertical="center" wrapText="1"/>
    </xf>
    <xf numFmtId="0" fontId="1" fillId="27" borderId="0" xfId="0" applyFont="1" applyFill="1" applyAlignment="1">
      <alignment horizontal="center"/>
    </xf>
    <xf numFmtId="0" fontId="1" fillId="63" borderId="0" xfId="0" applyFont="1" applyFill="1" applyAlignment="1">
      <alignment horizontal="center"/>
    </xf>
    <xf numFmtId="49" fontId="1" fillId="70" borderId="0" xfId="0" applyNumberFormat="1" applyFont="1" applyFill="1" applyAlignment="1">
      <alignment horizontal="center" vertical="center" wrapText="1"/>
    </xf>
    <xf numFmtId="0" fontId="1" fillId="64" borderId="0" xfId="0" applyFont="1" applyFill="1" applyAlignment="1">
      <alignment horizontal="center"/>
    </xf>
    <xf numFmtId="49" fontId="1" fillId="71" borderId="0" xfId="0" applyNumberFormat="1" applyFont="1" applyFill="1" applyAlignment="1">
      <alignment horizontal="center" vertical="center" wrapText="1"/>
    </xf>
    <xf numFmtId="0" fontId="1" fillId="8" borderId="0" xfId="0" applyFont="1" applyFill="1" applyAlignment="1">
      <alignment horizontal="center"/>
    </xf>
    <xf numFmtId="0" fontId="1" fillId="23" borderId="0" xfId="0" applyFont="1" applyFill="1" applyAlignment="1">
      <alignment horizontal="center"/>
    </xf>
    <xf numFmtId="0" fontId="1" fillId="14" borderId="0" xfId="0" applyFont="1" applyFill="1" applyAlignment="1">
      <alignment horizontal="center"/>
    </xf>
    <xf numFmtId="0" fontId="1" fillId="26" borderId="0" xfId="0" applyFont="1" applyFill="1" applyAlignment="1">
      <alignment horizontal="center"/>
    </xf>
    <xf numFmtId="0" fontId="1" fillId="42" borderId="0" xfId="0" applyFont="1" applyFill="1" applyAlignment="1">
      <alignment horizontal="center"/>
    </xf>
    <xf numFmtId="0" fontId="1" fillId="50" borderId="0" xfId="0" applyFont="1" applyFill="1" applyAlignment="1">
      <alignment horizontal="center"/>
    </xf>
    <xf numFmtId="0" fontId="1" fillId="25" borderId="0" xfId="0" applyFont="1" applyFill="1" applyAlignment="1">
      <alignment horizontal="center"/>
    </xf>
    <xf numFmtId="0" fontId="1" fillId="31" borderId="0" xfId="0" applyFont="1" applyFill="1" applyAlignment="1">
      <alignment horizontal="center"/>
    </xf>
    <xf numFmtId="0" fontId="1" fillId="28" borderId="0" xfId="0" applyFont="1" applyFill="1" applyAlignment="1">
      <alignment horizontal="center" wrapText="1"/>
    </xf>
    <xf numFmtId="0" fontId="1" fillId="28" borderId="0" xfId="0" applyFont="1" applyFill="1" applyAlignment="1">
      <alignment horizontal="center" vertical="center" wrapText="1"/>
    </xf>
    <xf numFmtId="0" fontId="1" fillId="40" borderId="0" xfId="0" applyFont="1" applyFill="1" applyAlignment="1">
      <alignment horizontal="center" vertical="center" wrapText="1"/>
    </xf>
    <xf numFmtId="0" fontId="1" fillId="65" borderId="0" xfId="0" applyFont="1" applyFill="1" applyAlignment="1">
      <alignment horizontal="center" vertical="center"/>
    </xf>
    <xf numFmtId="0" fontId="1" fillId="10" borderId="0" xfId="0" applyFont="1" applyFill="1" applyAlignment="1">
      <alignment horizontal="center" vertical="top"/>
    </xf>
    <xf numFmtId="0" fontId="1" fillId="14" borderId="0" xfId="0" applyFont="1" applyFill="1" applyAlignment="1">
      <alignment horizontal="center" vertical="top"/>
    </xf>
    <xf numFmtId="0" fontId="1" fillId="66" borderId="0" xfId="0" applyFont="1" applyFill="1" applyAlignment="1">
      <alignment horizontal="center" vertical="center"/>
    </xf>
    <xf numFmtId="0" fontId="6" fillId="24" borderId="0" xfId="0" applyFont="1" applyFill="1" applyAlignment="1">
      <alignment horizontal="center" vertical="center" wrapText="1"/>
    </xf>
  </cellXfs>
  <cellStyles count="7">
    <cellStyle name="Comma" xfId="2" builtinId="3"/>
    <cellStyle name="Comma 2" xfId="3" xr:uid="{00000000-0005-0000-0000-000001000000}"/>
    <cellStyle name="Currency 2" xfId="5" xr:uid="{A407165B-EFFD-4D97-A336-973631630E9A}"/>
    <cellStyle name="Hyperlink" xfId="1" builtinId="8"/>
    <cellStyle name="Normal" xfId="0" builtinId="0"/>
    <cellStyle name="Percent" xfId="6" builtinId="5"/>
    <cellStyle name="Percent 2" xfId="4" xr:uid="{A4875554-895C-4BF3-9F47-D75796C4F97A}"/>
  </cellStyles>
  <dxfs count="208">
    <dxf>
      <font>
        <color rgb="FF990033"/>
      </font>
      <fill>
        <patternFill>
          <bgColor rgb="FFFF5BAD"/>
        </patternFill>
      </fill>
    </dxf>
    <dxf>
      <font>
        <color theme="0" tint="-0.499984740745262"/>
      </font>
      <fill>
        <patternFill>
          <bgColor theme="0" tint="-0.34998626667073579"/>
        </patternFill>
      </fill>
    </dxf>
    <dxf>
      <font>
        <color rgb="FF990033"/>
      </font>
      <fill>
        <patternFill>
          <bgColor rgb="FFFFA3D1"/>
        </patternFill>
      </fill>
    </dxf>
    <dxf>
      <font>
        <color theme="0" tint="-0.499984740745262"/>
      </font>
      <fill>
        <patternFill>
          <bgColor theme="0" tint="-0.14996795556505021"/>
        </patternFill>
      </fill>
    </dxf>
    <dxf>
      <font>
        <color rgb="FF990033"/>
      </font>
      <fill>
        <patternFill>
          <bgColor rgb="FFFF5BAD"/>
        </patternFill>
      </fill>
    </dxf>
    <dxf>
      <font>
        <color theme="0" tint="-0.499984740745262"/>
      </font>
      <fill>
        <patternFill>
          <bgColor theme="0" tint="-0.34998626667073579"/>
        </patternFill>
      </fill>
    </dxf>
    <dxf>
      <font>
        <color theme="0"/>
      </font>
    </dxf>
    <dxf>
      <font>
        <color rgb="FF006100"/>
      </font>
      <fill>
        <patternFill>
          <bgColor rgb="FFC6EFCE"/>
        </patternFill>
      </fill>
    </dxf>
    <dxf>
      <font>
        <color rgb="FF006100"/>
      </font>
      <fill>
        <patternFill>
          <bgColor rgb="FFC6EFCE"/>
        </patternFill>
      </fill>
    </dxf>
    <dxf>
      <font>
        <color rgb="FF006100"/>
      </font>
      <fill>
        <patternFill>
          <bgColor rgb="FFC6EFCE"/>
        </patternFill>
      </fill>
    </dxf>
    <dxf>
      <font>
        <color theme="7" tint="0.39994506668294322"/>
      </font>
    </dxf>
    <dxf>
      <font>
        <color rgb="FF990033"/>
      </font>
      <fill>
        <patternFill>
          <bgColor rgb="FFFFA3D1"/>
        </patternFill>
      </fill>
    </dxf>
    <dxf>
      <font>
        <color theme="7" tint="0.39994506668294322"/>
      </font>
    </dxf>
    <dxf>
      <font>
        <color theme="7" tint="0.39994506668294322"/>
      </font>
    </dxf>
    <dxf>
      <font>
        <color rgb="FF990033"/>
      </font>
      <fill>
        <patternFill>
          <bgColor rgb="FFFFA3D1"/>
        </patternFill>
      </fill>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theme="7" tint="0.39994506668294322"/>
      </font>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font>
    </dxf>
    <dxf>
      <font>
        <color theme="0"/>
      </font>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A3D1"/>
        </patternFill>
      </fill>
    </dxf>
    <dxf>
      <font>
        <color rgb="FF990033"/>
      </font>
      <fill>
        <patternFill>
          <bgColor rgb="FFFF5BAD"/>
        </patternFill>
      </fill>
    </dxf>
    <dxf>
      <font>
        <color rgb="FF990033"/>
      </font>
      <fill>
        <patternFill>
          <bgColor rgb="FFFF5BAD"/>
        </patternFill>
      </fill>
    </dxf>
    <dxf>
      <font>
        <color rgb="FF990033"/>
      </font>
      <fill>
        <patternFill>
          <bgColor rgb="FFFFA3D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rgb="FF990033"/>
      </font>
      <fill>
        <patternFill>
          <bgColor rgb="FFFFA3D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14996795556505021"/>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tint="-0.499984740745262"/>
      </font>
      <fill>
        <patternFill>
          <bgColor theme="0" tint="-0.34998626667073579"/>
        </patternFill>
      </fill>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rgb="FF990033"/>
      </font>
      <fill>
        <patternFill>
          <bgColor rgb="FFFF5BAD"/>
        </patternFill>
      </fill>
    </dxf>
    <dxf>
      <font>
        <color theme="0"/>
      </font>
    </dxf>
    <dxf>
      <font>
        <color rgb="FF990033"/>
      </font>
      <fill>
        <patternFill>
          <bgColor rgb="FFFF5BAD"/>
        </patternFill>
      </fill>
    </dxf>
    <dxf>
      <font>
        <color theme="0" tint="-0.499984740745262"/>
      </font>
      <fill>
        <patternFill>
          <bgColor theme="0" tint="-0.34998626667073579"/>
        </patternFill>
      </fill>
    </dxf>
    <dxf>
      <font>
        <color theme="0"/>
      </font>
    </dxf>
    <dxf>
      <font>
        <color theme="0"/>
      </font>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79998168889431442"/>
      </font>
      <fill>
        <patternFill>
          <bgColor theme="4" tint="-0.24994659260841701"/>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
      <font>
        <color theme="4" tint="-0.499984740745262"/>
      </font>
      <fill>
        <patternFill>
          <bgColor theme="4" tint="0.39994506668294322"/>
        </patternFill>
      </fill>
    </dxf>
  </dxfs>
  <tableStyles count="1" defaultTableStyle="TableStyleMedium2" defaultPivotStyle="PivotStyleLight16">
    <tableStyle name="Invisible" pivot="0" table="0" count="0" xr9:uid="{6B1EDD8E-463E-46BB-913A-D95E2D993BD0}"/>
  </tableStyles>
  <colors>
    <mruColors>
      <color rgb="FF9B9BFF"/>
      <color rgb="FFFFA3D1"/>
      <color rgb="FFD1D1FF"/>
      <color rgb="FF5757FF"/>
      <color rgb="FF4747FF"/>
      <color rgb="FF1BDBA9"/>
      <color rgb="FF54EAC3"/>
      <color rgb="FF76EECF"/>
      <color rgb="FFB3FFFF"/>
      <color rgb="FF00F4EE"/>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theme" Target="theme/theme1.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externalLink" Target="externalLinks/externalLink3.xml"/><Relationship Id="rId29" Type="http://schemas.openxmlformats.org/officeDocument/2006/relationships/customXml" Target="../customXml/item3.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28" Type="http://schemas.openxmlformats.org/officeDocument/2006/relationships/customXml" Target="../customXml/item2.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 Id="rId27" Type="http://schemas.openxmlformats.org/officeDocument/2006/relationships/customXml" Target="../customXml/item1.xml"/></Relationships>
</file>

<file path=xl/drawings/_rels/drawing1.xml.rels><?xml version="1.0" encoding="UTF-8" standalone="yes"?>
<Relationships xmlns="http://schemas.openxmlformats.org/package/2006/relationships"><Relationship Id="rId3" Type="http://schemas.openxmlformats.org/officeDocument/2006/relationships/image" Target="../media/image3.png"/><Relationship Id="rId2" Type="http://schemas.openxmlformats.org/officeDocument/2006/relationships/image" Target="../media/image2.png"/><Relationship Id="rId1" Type="http://schemas.openxmlformats.org/officeDocument/2006/relationships/image" Target="../media/image1.png"/><Relationship Id="rId6" Type="http://schemas.openxmlformats.org/officeDocument/2006/relationships/image" Target="../media/image6.png"/><Relationship Id="rId5" Type="http://schemas.openxmlformats.org/officeDocument/2006/relationships/image" Target="../media/image5.png"/><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4</xdr:col>
      <xdr:colOff>4562475</xdr:colOff>
      <xdr:row>2</xdr:row>
      <xdr:rowOff>123825</xdr:rowOff>
    </xdr:from>
    <xdr:to>
      <xdr:col>6</xdr:col>
      <xdr:colOff>342900</xdr:colOff>
      <xdr:row>11</xdr:row>
      <xdr:rowOff>134419</xdr:rowOff>
    </xdr:to>
    <xdr:pic>
      <xdr:nvPicPr>
        <xdr:cNvPr id="2" name="Picture 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5572125" y="438150"/>
          <a:ext cx="1581150" cy="1774624"/>
        </a:xfrm>
        <a:prstGeom prst="rect">
          <a:avLst/>
        </a:prstGeom>
      </xdr:spPr>
    </xdr:pic>
    <xdr:clientData/>
  </xdr:twoCellAnchor>
  <xdr:twoCellAnchor editAs="oneCell">
    <xdr:from>
      <xdr:col>4</xdr:col>
      <xdr:colOff>2468880</xdr:colOff>
      <xdr:row>22</xdr:row>
      <xdr:rowOff>2238375</xdr:rowOff>
    </xdr:from>
    <xdr:to>
      <xdr:col>4</xdr:col>
      <xdr:colOff>4020718</xdr:colOff>
      <xdr:row>25</xdr:row>
      <xdr:rowOff>173354</xdr:rowOff>
    </xdr:to>
    <xdr:pic>
      <xdr:nvPicPr>
        <xdr:cNvPr id="4" name="Picture 3" descr="Image result for PBL logo netherlands">
          <a:extLst>
            <a:ext uri="{FF2B5EF4-FFF2-40B4-BE49-F238E27FC236}">
              <a16:creationId xmlns:a16="http://schemas.microsoft.com/office/drawing/2014/main" id="{00000000-0008-0000-0000-000004000000}"/>
            </a:ext>
          </a:extLst>
        </xdr:cNvPr>
        <xdr:cNvPicPr>
          <a:picLocks noChangeAspect="1" noChangeArrowheads="1"/>
        </xdr:cNvPicPr>
      </xdr:nvPicPr>
      <xdr:blipFill rotWithShape="1">
        <a:blip xmlns:r="http://schemas.openxmlformats.org/officeDocument/2006/relationships" r:embed="rId2" cstate="print">
          <a:extLst>
            <a:ext uri="{28A0092B-C50C-407E-A947-70E740481C1C}">
              <a14:useLocalDpi xmlns:a14="http://schemas.microsoft.com/office/drawing/2010/main" val="0"/>
            </a:ext>
          </a:extLst>
        </a:blip>
        <a:srcRect t="3379" b="-1"/>
        <a:stretch/>
      </xdr:blipFill>
      <xdr:spPr bwMode="auto">
        <a:xfrm>
          <a:off x="3488055" y="8039100"/>
          <a:ext cx="1551838" cy="56387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4110990</xdr:colOff>
      <xdr:row>23</xdr:row>
      <xdr:rowOff>140093</xdr:rowOff>
    </xdr:from>
    <xdr:to>
      <xdr:col>5</xdr:col>
      <xdr:colOff>133348</xdr:colOff>
      <xdr:row>25</xdr:row>
      <xdr:rowOff>93343</xdr:rowOff>
    </xdr:to>
    <xdr:pic>
      <xdr:nvPicPr>
        <xdr:cNvPr id="5" name="Picture 4" descr="Image result for rug logo">
          <a:extLst>
            <a:ext uri="{FF2B5EF4-FFF2-40B4-BE49-F238E27FC236}">
              <a16:creationId xmlns:a16="http://schemas.microsoft.com/office/drawing/2014/main" id="{00000000-0008-0000-0000-000005000000}"/>
            </a:ext>
          </a:extLst>
        </xdr:cNvPr>
        <xdr:cNvPicPr>
          <a:picLocks noChangeAspect="1" noChangeArrowheads="1"/>
        </xdr:cNvPicPr>
      </xdr:nvPicPr>
      <xdr:blipFill>
        <a:blip xmlns:r="http://schemas.openxmlformats.org/officeDocument/2006/relationships" r:embed="rId3" cstate="print">
          <a:extLst>
            <a:ext uri="{28A0092B-C50C-407E-A947-70E740481C1C}">
              <a14:useLocalDpi xmlns:a14="http://schemas.microsoft.com/office/drawing/2010/main" val="0"/>
            </a:ext>
          </a:extLst>
        </a:blip>
        <a:srcRect/>
        <a:stretch>
          <a:fillRect/>
        </a:stretch>
      </xdr:blipFill>
      <xdr:spPr bwMode="auto">
        <a:xfrm>
          <a:off x="5130165" y="8207768"/>
          <a:ext cx="1356358" cy="3152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5</xdr:col>
      <xdr:colOff>390525</xdr:colOff>
      <xdr:row>23</xdr:row>
      <xdr:rowOff>54318</xdr:rowOff>
    </xdr:from>
    <xdr:to>
      <xdr:col>6</xdr:col>
      <xdr:colOff>505268</xdr:colOff>
      <xdr:row>25</xdr:row>
      <xdr:rowOff>152687</xdr:rowOff>
    </xdr:to>
    <xdr:pic>
      <xdr:nvPicPr>
        <xdr:cNvPr id="6" name="Picture 5">
          <a:extLst>
            <a:ext uri="{FF2B5EF4-FFF2-40B4-BE49-F238E27FC236}">
              <a16:creationId xmlns:a16="http://schemas.microsoft.com/office/drawing/2014/main" id="{00000000-0008-0000-0000-000006000000}"/>
            </a:ext>
          </a:extLst>
        </xdr:cNvPr>
        <xdr:cNvPicPr>
          <a:picLocks noChangeAspect="1"/>
        </xdr:cNvPicPr>
      </xdr:nvPicPr>
      <xdr:blipFill>
        <a:blip xmlns:r="http://schemas.openxmlformats.org/officeDocument/2006/relationships" r:embed="rId4"/>
        <a:stretch>
          <a:fillRect/>
        </a:stretch>
      </xdr:blipFill>
      <xdr:spPr>
        <a:xfrm>
          <a:off x="6743700" y="8121993"/>
          <a:ext cx="743393" cy="460319"/>
        </a:xfrm>
        <a:prstGeom prst="rect">
          <a:avLst/>
        </a:prstGeom>
      </xdr:spPr>
    </xdr:pic>
    <xdr:clientData/>
  </xdr:twoCellAnchor>
  <xdr:twoCellAnchor editAs="oneCell">
    <xdr:from>
      <xdr:col>1</xdr:col>
      <xdr:colOff>92817</xdr:colOff>
      <xdr:row>23</xdr:row>
      <xdr:rowOff>125730</xdr:rowOff>
    </xdr:from>
    <xdr:to>
      <xdr:col>4</xdr:col>
      <xdr:colOff>658588</xdr:colOff>
      <xdr:row>25</xdr:row>
      <xdr:rowOff>142875</xdr:rowOff>
    </xdr:to>
    <xdr:pic>
      <xdr:nvPicPr>
        <xdr:cNvPr id="7" name="Picture 6" descr="A picture containing text, clipart&#10;&#10;Description automatically generated">
          <a:extLst>
            <a:ext uri="{FF2B5EF4-FFF2-40B4-BE49-F238E27FC236}">
              <a16:creationId xmlns:a16="http://schemas.microsoft.com/office/drawing/2014/main" id="{F7224592-1A54-A2B3-BBD2-BC09A83D694B}"/>
            </a:ext>
          </a:extLst>
        </xdr:cNvPr>
        <xdr:cNvPicPr>
          <a:picLocks noChangeAspect="1"/>
        </xdr:cNvPicPr>
      </xdr:nvPicPr>
      <xdr:blipFill>
        <a:blip xmlns:r="http://schemas.openxmlformats.org/officeDocument/2006/relationships" r:embed="rId5" cstate="print">
          <a:duotone>
            <a:prstClr val="black"/>
            <a:schemeClr val="accent5">
              <a:tint val="45000"/>
              <a:satMod val="400000"/>
            </a:schemeClr>
          </a:duotone>
          <a:extLst>
            <a:ext uri="{28A0092B-C50C-407E-A947-70E740481C1C}">
              <a14:useLocalDpi xmlns:a14="http://schemas.microsoft.com/office/drawing/2010/main" val="0"/>
            </a:ext>
          </a:extLst>
        </a:blip>
        <a:stretch>
          <a:fillRect/>
        </a:stretch>
      </xdr:blipFill>
      <xdr:spPr>
        <a:xfrm>
          <a:off x="349992" y="8193405"/>
          <a:ext cx="1327771" cy="379095"/>
        </a:xfrm>
        <a:prstGeom prst="rect">
          <a:avLst/>
        </a:prstGeom>
        <a:noFill/>
        <a:ln>
          <a:solidFill>
            <a:schemeClr val="accent1">
              <a:lumMod val="50000"/>
            </a:schemeClr>
          </a:solidFill>
        </a:ln>
      </xdr:spPr>
    </xdr:pic>
    <xdr:clientData/>
  </xdr:twoCellAnchor>
  <xdr:twoCellAnchor editAs="oneCell">
    <xdr:from>
      <xdr:col>4</xdr:col>
      <xdr:colOff>779145</xdr:colOff>
      <xdr:row>23</xdr:row>
      <xdr:rowOff>136840</xdr:rowOff>
    </xdr:from>
    <xdr:to>
      <xdr:col>4</xdr:col>
      <xdr:colOff>2324100</xdr:colOff>
      <xdr:row>26</xdr:row>
      <xdr:rowOff>55577</xdr:rowOff>
    </xdr:to>
    <xdr:pic>
      <xdr:nvPicPr>
        <xdr:cNvPr id="8" name="Picture 7">
          <a:extLst>
            <a:ext uri="{FF2B5EF4-FFF2-40B4-BE49-F238E27FC236}">
              <a16:creationId xmlns:a16="http://schemas.microsoft.com/office/drawing/2014/main" id="{0BC21BCA-5F9E-506E-92A3-DA5A10F69D3E}"/>
            </a:ext>
          </a:extLst>
        </xdr:cNvPr>
        <xdr:cNvPicPr>
          <a:picLocks noChangeAspect="1"/>
        </xdr:cNvPicPr>
      </xdr:nvPicPr>
      <xdr:blipFill>
        <a:blip xmlns:r="http://schemas.openxmlformats.org/officeDocument/2006/relationships" r:embed="rId6"/>
        <a:stretch>
          <a:fillRect/>
        </a:stretch>
      </xdr:blipFill>
      <xdr:spPr>
        <a:xfrm>
          <a:off x="1798320" y="8204515"/>
          <a:ext cx="1544955" cy="461662"/>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2" Type="http://schemas.openxmlformats.org/officeDocument/2006/relationships/externalLinkPath" Target="https://365tno-my.sharepoint.com/personal/kira_west_tno_nl/Documents/Kira/PhD/Paper%202/IESAOpt_prices_20250715.xlsx" TargetMode="External"/><Relationship Id="rId1" Type="http://schemas.openxmlformats.org/officeDocument/2006/relationships/externalLinkPath" Target="https://365tno-my.sharepoint.com/personal/kira_west_tno_nl/Documents/Kira/PhD/Paper%202/IESAOpt_prices_20250715.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IESA-Opt-Dev_20250605_DMI/data/20250612_detailed_RFNBO.xlsx" TargetMode="External"/><Relationship Id="rId2" Type="http://schemas.openxmlformats.org/officeDocument/2006/relationships/externalLinkPath" Target="file:///C:\Users\westkj\Documents\IESA-Opt-Dev_20250605_DMI\data\20250612_detailed_RFNBO.xlsx" TargetMode="External"/><Relationship Id="rId1" Type="http://schemas.openxmlformats.org/officeDocument/2006/relationships/externalLinkPath" Target="/Users/westkj/Documents/IESA-Opt-Dev_20250605_DMI/data/20250612_detailed_RFNBO.xlsx" TargetMode="External"/></Relationships>
</file>

<file path=xl/externalLinks/_rels/externalLink3.xml.rels><?xml version="1.0" encoding="UTF-8" standalone="yes"?>
<Relationships xmlns="http://schemas.openxmlformats.org/package/2006/relationships"><Relationship Id="rId3" Type="http://schemas.openxmlformats.org/officeDocument/2006/relationships/externalLinkPath" Target="../../IESA-Opt-Dev_20250605_DMI/data/20250730_detailed_linked_v03.xlsx" TargetMode="External"/><Relationship Id="rId2" Type="http://schemas.openxmlformats.org/officeDocument/2006/relationships/externalLinkPath" Target="file:///C:\Users\westkj\Documents\IESA-Opt-Dev_20250605_DMI\data\20250730_detailed_linked_v03.xlsx" TargetMode="External"/><Relationship Id="rId1" Type="http://schemas.openxmlformats.org/officeDocument/2006/relationships/externalLinkPath" Target="/Users/westkj/Documents/IESA-Opt-Dev_20250605_DMI/data/20250730_detailed_linked_v03.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alternateUrls>
    <sheetNames>
      <sheetName val="READ_ME"/>
      <sheetName val="Commodity_prices_MEUR2022"/>
      <sheetName val="Commodity_prices_MEUR2019"/>
      <sheetName val="Commodity_prices_index"/>
      <sheetName val="Technologies_2023pricesfromIESA"/>
      <sheetName val="KEV2022"/>
      <sheetName val="KEV2024"/>
      <sheetName val="Enspreso_COST - NUTS0 EnergyCom"/>
      <sheetName val="Prices wo taxes"/>
      <sheetName val="TERMINAL - PA historical - 2024"/>
      <sheetName val="average_yearly price of plastic"/>
      <sheetName val="Limestone"/>
      <sheetName val="Sand_ironore"/>
      <sheetName val="olefins"/>
      <sheetName val="Steel_scrap"/>
      <sheetName val="PCPS_Data"/>
      <sheetName val="ECB_DATA"/>
      <sheetName val="FRED_USD GDP deflator"/>
      <sheetName val="Conversions"/>
      <sheetName val="other_sources"/>
      <sheetName val="References"/>
    </sheetNames>
    <sheetDataSet>
      <sheetData sheetId="0"/>
      <sheetData sheetId="1"/>
      <sheetData sheetId="2">
        <row r="2">
          <cell r="C2">
            <v>23.181827346496107</v>
          </cell>
        </row>
        <row r="42">
          <cell r="C42">
            <v>9.6087766700829214</v>
          </cell>
          <cell r="D42">
            <v>9.6087766700829214</v>
          </cell>
          <cell r="E42">
            <v>9.6087766700829214</v>
          </cell>
          <cell r="F42">
            <v>9.6087766700829214</v>
          </cell>
          <cell r="G42">
            <v>9.6087766700829214</v>
          </cell>
          <cell r="H42">
            <v>9.6087766700829214</v>
          </cell>
          <cell r="I42">
            <v>9.6087766700829214</v>
          </cell>
        </row>
        <row r="44">
          <cell r="C44">
            <v>16.297184400363882</v>
          </cell>
          <cell r="D44">
            <v>16.297184400363882</v>
          </cell>
          <cell r="E44">
            <v>16.297184400363882</v>
          </cell>
          <cell r="F44">
            <v>16.297184400363882</v>
          </cell>
          <cell r="G44">
            <v>16.297184400363882</v>
          </cell>
          <cell r="H44">
            <v>16.297184400363882</v>
          </cell>
          <cell r="I44">
            <v>16.297184400363882</v>
          </cell>
        </row>
        <row r="45">
          <cell r="C45">
            <v>9.3342401937948374</v>
          </cell>
          <cell r="D45">
            <v>9.3342401937948374</v>
          </cell>
          <cell r="E45">
            <v>9.3342401937948374</v>
          </cell>
          <cell r="F45">
            <v>9.3342401937948374</v>
          </cell>
          <cell r="G45">
            <v>9.3342401937948374</v>
          </cell>
          <cell r="H45">
            <v>9.3342401937948374</v>
          </cell>
          <cell r="I45">
            <v>9.3342401937948374</v>
          </cell>
        </row>
        <row r="46">
          <cell r="C46">
            <v>77.053237678188765</v>
          </cell>
          <cell r="D46">
            <v>77.053237678188765</v>
          </cell>
          <cell r="E46">
            <v>77.053237678188765</v>
          </cell>
          <cell r="F46">
            <v>77.053237678188765</v>
          </cell>
          <cell r="G46">
            <v>77.053237678188765</v>
          </cell>
          <cell r="H46">
            <v>77.053237678188765</v>
          </cell>
          <cell r="I46">
            <v>77.053237678188765</v>
          </cell>
        </row>
        <row r="47">
          <cell r="C47">
            <v>183.02431752538899</v>
          </cell>
          <cell r="D47">
            <v>183.02431752538899</v>
          </cell>
          <cell r="E47">
            <v>183.02431752538899</v>
          </cell>
          <cell r="F47">
            <v>183.02431752538899</v>
          </cell>
          <cell r="G47">
            <v>183.02431752538899</v>
          </cell>
          <cell r="H47">
            <v>183.02431752538899</v>
          </cell>
          <cell r="I47">
            <v>183.02431752538899</v>
          </cell>
        </row>
        <row r="49">
          <cell r="C49">
            <v>64.098324994561679</v>
          </cell>
          <cell r="D49">
            <v>64.098324994561679</v>
          </cell>
          <cell r="E49">
            <v>64.098324994561679</v>
          </cell>
          <cell r="F49">
            <v>64.098324994561679</v>
          </cell>
          <cell r="G49">
            <v>64.098324994561679</v>
          </cell>
          <cell r="H49">
            <v>64.098324994561679</v>
          </cell>
          <cell r="I49">
            <v>64.098324994561679</v>
          </cell>
        </row>
        <row r="50">
          <cell r="C50">
            <v>62.502804434920336</v>
          </cell>
          <cell r="D50">
            <v>62.502804434920336</v>
          </cell>
          <cell r="E50">
            <v>62.502804434920336</v>
          </cell>
          <cell r="F50">
            <v>62.502804434920336</v>
          </cell>
          <cell r="G50">
            <v>62.502804434920336</v>
          </cell>
          <cell r="H50">
            <v>62.502804434920336</v>
          </cell>
          <cell r="I50">
            <v>62.502804434920336</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 sheetId="17"/>
      <sheetData sheetId="18"/>
      <sheetData sheetId="19"/>
      <sheetData sheetId="20"/>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39">
          <cell r="E39">
            <v>1.855</v>
          </cell>
          <cell r="F39">
            <v>1.855</v>
          </cell>
          <cell r="G39">
            <v>1.855</v>
          </cell>
          <cell r="H39">
            <v>1.855</v>
          </cell>
          <cell r="I39">
            <v>1.855</v>
          </cell>
        </row>
        <row r="74">
          <cell r="E74">
            <v>33.799999999999997</v>
          </cell>
          <cell r="F74">
            <v>33.799999999999997</v>
          </cell>
          <cell r="G74">
            <v>33.799999999999997</v>
          </cell>
          <cell r="H74">
            <v>33.799999999999997</v>
          </cell>
          <cell r="I74">
            <v>33.799999999999997</v>
          </cell>
        </row>
      </sheetData>
      <sheetData sheetId="3"/>
      <sheetData sheetId="4">
        <row r="442">
          <cell r="CH442">
            <v>-0.47920000000000001</v>
          </cell>
          <cell r="CI442">
            <v>-0.14580000000000001</v>
          </cell>
        </row>
      </sheetData>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IESA-Opt database"/>
      <sheetName val="Data Sources"/>
      <sheetName val="Activities"/>
      <sheetName val="Technologies"/>
      <sheetName val="EnergyBalance"/>
      <sheetName val="Infrastructure"/>
      <sheetName val="EffLearning"/>
      <sheetName val="Feedstocks"/>
      <sheetName val="Retrofitting"/>
      <sheetName val="HourlyProfiles"/>
      <sheetName val="PriceProfiles"/>
      <sheetName val="NodeParameters"/>
      <sheetName val="Parameters"/>
      <sheetName val="Types"/>
      <sheetName val="Ranges"/>
      <sheetName val="ActGrouping"/>
      <sheetName val="Notes"/>
    </sheetNames>
    <sheetDataSet>
      <sheetData sheetId="0"/>
      <sheetData sheetId="1"/>
      <sheetData sheetId="2">
        <row r="18">
          <cell r="C18">
            <v>6.1429999999999998</v>
          </cell>
          <cell r="D18">
            <v>6.1429999999999998</v>
          </cell>
          <cell r="E18">
            <v>6.1429999999999998</v>
          </cell>
          <cell r="F18">
            <v>6.1429999999999998</v>
          </cell>
          <cell r="G18">
            <v>6.1429999999999998</v>
          </cell>
          <cell r="H18">
            <v>6.1429999999999998</v>
          </cell>
          <cell r="I18">
            <v>6.1429999999999998</v>
          </cell>
        </row>
        <row r="36">
          <cell r="C36">
            <v>0.92</v>
          </cell>
          <cell r="D36">
            <v>0.92</v>
          </cell>
          <cell r="E36">
            <v>0.92</v>
          </cell>
          <cell r="F36">
            <v>0.92</v>
          </cell>
          <cell r="G36">
            <v>0.92</v>
          </cell>
          <cell r="H36">
            <v>0.92</v>
          </cell>
          <cell r="I36">
            <v>0.92</v>
          </cell>
        </row>
        <row r="74">
          <cell r="C74">
            <v>31.2</v>
          </cell>
          <cell r="D74">
            <v>33.799999999999997</v>
          </cell>
          <cell r="E74">
            <v>33.799999999999997</v>
          </cell>
          <cell r="F74">
            <v>33.799999999999997</v>
          </cell>
          <cell r="G74">
            <v>33.799999999999997</v>
          </cell>
          <cell r="H74">
            <v>33.799999999999997</v>
          </cell>
          <cell r="I74">
            <v>33.799999999999997</v>
          </cell>
        </row>
      </sheetData>
      <sheetData sheetId="3"/>
      <sheetData sheetId="4"/>
      <sheetData sheetId="5"/>
      <sheetData sheetId="6"/>
      <sheetData sheetId="7"/>
      <sheetData sheetId="8"/>
      <sheetData sheetId="9"/>
      <sheetData sheetId="10"/>
      <sheetData sheetId="11"/>
      <sheetData sheetId="12"/>
      <sheetData sheetId="13"/>
      <sheetData sheetId="14"/>
      <sheetData sheetId="15"/>
      <sheetData sheetId="16"/>
    </sheetDataSet>
  </externalBook>
</externalLink>
</file>

<file path=xl/persons/person.xml><?xml version="1.0" encoding="utf-8"?>
<personList xmlns="http://schemas.microsoft.com/office/spreadsheetml/2018/threadedcomments" xmlns:x="http://schemas.openxmlformats.org/spreadsheetml/2006/main">
  <person displayName="West, K.J. (Kira)" id="{8605C1BA-ACC6-44B7-B6BA-3B49ED35AE65}" userId="S::kira.west@tno.nl::1a34c45a-5a99-4498-94a2-a3491c99e959" providerId="AD"/>
  <person displayName="Korbee, S.A. (Sena)" id="{7525724F-FAA8-4979-825E-563E74177B66}" userId="S::sena.korbee@tno.nl::b14e398a-25e3-4dbc-8034-57be2d1c140c"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threadedComments/threadedComment1.xml><?xml version="1.0" encoding="utf-8"?>
<ThreadedComments xmlns="http://schemas.microsoft.com/office/spreadsheetml/2018/threadedcomments" xmlns:x="http://schemas.openxmlformats.org/spreadsheetml/2006/main">
  <threadedComment ref="C9" dT="2024-11-18T12:32:29.10" personId="{8605C1BA-ACC6-44B7-B6BA-3B49ED35AE65}" id="{E009B03A-156C-4447-80F6-16093D312C8E}">
    <text>Based on CBS energy balance
https://opendata.cbs.nl/statline/#/CBS/nl/dataset/83989NED/table?ts=1731932841185
Grows with population</text>
    <extLst>
      <x:ext xmlns:xltc2="http://schemas.microsoft.com/office/spreadsheetml/2020/threadedcomments2" uri="{F7C98A9C-CBB3-438F-8F68-D28B6AF4A901}">
        <xltc2:checksum>491200071</xltc2:checksum>
        <xltc2:hyperlink startIndex="28" length="81" url="https://opendata.cbs.nl/statline/#/CBS/nl/dataset/83989NED/table?ts=1731932841185"/>
      </x:ext>
    </extLst>
  </threadedComment>
  <threadedComment ref="C10" dT="2024-11-18T12:24:15.26" personId="{8605C1BA-ACC6-44B7-B6BA-3B49ED35AE65}" id="{B221EA0D-385F-4A68-8880-4CEDE1C625D8}">
    <text xml:space="preserve">
https://opendata.cbs.nl/statline/#/CBS/nl/dataset/85035NED/table?ts=1731932451622</text>
    <extLst>
      <x:ext xmlns:xltc2="http://schemas.microsoft.com/office/spreadsheetml/2020/threadedcomments2" uri="{F7C98A9C-CBB3-438F-8F68-D28B6AF4A901}">
        <xltc2:checksum>1500716705</xltc2:checksum>
        <xltc2:hyperlink startIndex="1" length="81" url="https://opendata.cbs.nl/statline/#/CBS/nl/dataset/85035NED/table?ts=1731932451622"/>
      </x:ext>
    </extLst>
  </threadedComment>
  <threadedComment ref="C10" dT="2025-02-20T11:41:10.24" personId="{8605C1BA-ACC6-44B7-B6BA-3B49ED35AE65}" id="{DACA10F2-D2C8-4ACD-BC49-E4235033012B}" parentId="{B221EA0D-385F-4A68-8880-4CEDE1C625D8}">
    <text>Updated 20 Feb 2025
Meergezinswoningen totaal 2915893</text>
  </threadedComment>
  <threadedComment ref="C11" dT="2025-02-20T11:41:46.89" personId="{8605C1BA-ACC6-44B7-B6BA-3B49ED35AE65}" id="{713A58C2-A317-40EE-B698-15FB94EDD106}">
    <text>Hoekwoning + tussenwoning</text>
  </threadedComment>
  <threadedComment ref="C11" dT="2025-02-20T11:41:52.33" personId="{8605C1BA-ACC6-44B7-B6BA-3B49ED35AE65}" id="{19C3EAE1-EBA4-44F6-AAF6-52A413A1DCA1}" parentId="{713A58C2-A317-40EE-B698-15FB94EDD106}">
    <text>Updated 20 Feb 2025</text>
  </threadedComment>
  <threadedComment ref="C12" dT="2025-02-20T11:42:09.94" personId="{8605C1BA-ACC6-44B7-B6BA-3B49ED35AE65}" id="{882EE4B4-5238-48EC-BA54-0894988CBCF7}">
    <text>Vrijstaande woning + 2-onder-1-kapwoning
Updated 20 Feb 2025</text>
  </threadedComment>
  <threadedComment ref="C13" dT="2024-11-18T12:30:19.31" personId="{8605C1BA-ACC6-44B7-B6BA-3B49ED35AE65}" id="{8B31A46D-4040-4C59-9B81-8BD88E478EBD}">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4" dT="2025-02-20T11:59:25.12" personId="{8605C1BA-ACC6-44B7-B6BA-3B49ED35AE65}" id="{010E0B71-D15D-4905-AD95-A6216E2CEB71}">
    <text>Unable to find statistics - updated based on growth in total number of non-residential buildings between 2020 and 2022
StatLine - Dwellings and non-residential stock; changes, utility function, regions 
1157582 -&gt; 1181074 = 2.03%</text>
    <extLst>
      <x:ext xmlns:xltc2="http://schemas.microsoft.com/office/spreadsheetml/2020/threadedcomments2" uri="{F7C98A9C-CBB3-438F-8F68-D28B6AF4A901}">
        <xltc2:checksum>2338885982</xltc2:checksum>
        <xltc2:hyperlink startIndex="120" length="82" url="https://opendata.cbs.nl/#/CBS/en/dataset/81955ENG/table"/>
      </x:ext>
    </extLst>
  </threadedComment>
  <threadedComment ref="C15" dT="2024-11-18T12:30:19.31" personId="{8605C1BA-ACC6-44B7-B6BA-3B49ED35AE65}" id="{4C4D6C72-844C-4D31-9F05-EE310213D1A2}">
    <text>Based on CBS energy balance
https://opendata.cbs.nl/statline/#/CBS/nl/dataset/83989NED/table?ts=1731932841185
Grows with GDP</text>
    <extLst>
      <x:ext xmlns:xltc2="http://schemas.microsoft.com/office/spreadsheetml/2020/threadedcomments2" uri="{F7C98A9C-CBB3-438F-8F68-D28B6AF4A901}">
        <xltc2:checksum>1924319127</xltc2:checksum>
        <xltc2:hyperlink startIndex="28" length="81" url="https://opendata.cbs.nl/statline/#/CBS/nl/dataset/83989NED/table?ts=1731932841185"/>
      </x:ext>
    </extLst>
  </threadedComment>
  <threadedComment ref="C16" dT="2024-11-18T12:30:19.31" personId="{8605C1BA-ACC6-44B7-B6BA-3B49ED35AE65}" id="{599E6D86-9B5E-48E0-8008-7F3C1914C463}">
    <text>Based on CBS energy balance
https://opendata.cbs.nl/statline/#/CBS/nl/dataset/83989NED/table?ts=1731932841185
corrected to include demand supplied by other sources
Heat, natural gas, renewables. Assumed 90% efficiency of heat gen with natural gas.
Oil comes from machinery, and electricity separate</text>
    <extLst>
      <x:ext xmlns:xltc2="http://schemas.microsoft.com/office/spreadsheetml/2020/threadedcomments2" uri="{F7C98A9C-CBB3-438F-8F68-D28B6AF4A901}">
        <xltc2:checksum>4069464976</xltc2:checksum>
        <xltc2:hyperlink startIndex="28" length="81" url="https://opendata.cbs.nl/statline/#/CBS/nl/dataset/83989NED/table?ts=1731932841185"/>
      </x:ext>
    </extLst>
  </threadedComment>
  <threadedComment ref="C17" dT="2024-11-18T12:30:19.31" personId="{8605C1BA-ACC6-44B7-B6BA-3B49ED35AE65}" id="{9C311A64-DAA6-4EEE-98DB-F96A9E969B79}">
    <text>Based on CBS energy balance
https://opendata.cbs.nl/statline/#/CBS/nl/dataset/83989NED/table?ts=1731932841185
constant</text>
    <extLst>
      <x:ext xmlns:xltc2="http://schemas.microsoft.com/office/spreadsheetml/2020/threadedcomments2" uri="{F7C98A9C-CBB3-438F-8F68-D28B6AF4A901}">
        <xltc2:checksum>3714112286</xltc2:checksum>
        <xltc2:hyperlink startIndex="28" length="81" url="https://opendata.cbs.nl/statline/#/CBS/nl/dataset/83989NED/table?ts=1731932841185"/>
      </x:ext>
    </extLst>
  </threadedComment>
  <threadedComment ref="C18" dT="2025-02-24T12:27:32.66" personId="{8605C1BA-ACC6-44B7-B6BA-3B49ED35AE65}" id="{B4B6C797-A857-49EB-AD2C-2DD31346E86A}">
    <text xml:space="preserve">World Steel statistical yearbook 2023
</text>
  </threadedComment>
  <threadedComment ref="C22" dT="2024-08-09T09:33:13.16" personId="{8605C1BA-ACC6-44B7-B6BA-3B49ED35AE65}" id="{1CECD5E3-13FA-4E29-850B-D41AE5EB0355}">
    <text>Based on 3 Mt ethylene/y in 2020 (PBL from CBS, provided by Carina, not publicly available on website), subtracting ethylene used directly in polymers</text>
  </threadedComment>
  <threadedComment ref="C22" dT="2024-08-09T09:33:27.33" personId="{8605C1BA-ACC6-44B7-B6BA-3B49ED35AE65}" id="{6A3A0857-8C66-44B5-BA27-AA749A82A23F}" parentId="{1CECD5E3-13FA-4E29-850B-D41AE5EB0355}">
    <text>Total "ethylene intermediate" should = 3 Mt in 2020</text>
  </threadedComment>
  <threadedComment ref="C22" dT="2025-02-24T16:34:22.22" personId="{8605C1BA-ACC6-44B7-B6BA-3B49ED35AE65}" id="{E083AD01-095E-42ED-9AA3-42B7CA9D9B30}" parentId="{1CECD5E3-13FA-4E29-850B-D41AE5EB0355}">
    <text>Updated to 2.4 Mt ethylene production in 2022. Based on roughly 60% utilization rate (see ICIS source) and approximation from energy balance non-energy use</text>
  </threadedComment>
  <threadedComment ref="C22" dT="2025-02-24T16:34:32.23" personId="{8605C1BA-ACC6-44B7-B6BA-3B49ED35AE65}" id="{FDC2C122-DEE8-41CA-AE8D-31F3F6F086BA}" parentId="{1CECD5E3-13FA-4E29-850B-D41AE5EB0355}">
    <text>https://www.icis.com/explore/resources/cracker-closures-europe/</text>
    <extLst>
      <x:ext xmlns:xltc2="http://schemas.microsoft.com/office/spreadsheetml/2020/threadedcomments2" uri="{F7C98A9C-CBB3-438F-8F68-D28B6AF4A901}">
        <xltc2:checksum>2583473381</xltc2:checksum>
        <xltc2:hyperlink startIndex="0" length="63" url="https://www.icis.com/explore/resources/cracker-closures-europe/"/>
      </x:ext>
    </extLst>
  </threadedComment>
  <threadedComment ref="C24" dT="2024-07-11T16:06:26.38" personId="{8605C1BA-ACC6-44B7-B6BA-3B49ED35AE65}" id="{25665E4B-2666-4F6F-A839-4A32A10AC9C1}">
    <text>Originally based on yields of butadiene at SABIC (110kt/1150 kt ethylene output) - now revised to be based on KEV values provided by Carina (0.43 Mt in 2020)</text>
  </threadedComment>
  <threadedComment ref="C24" dT="2024-07-11T16:07:01.60" personId="{8605C1BA-ACC6-44B7-B6BA-3B49ED35AE65}" id="{E806EAE7-BDF5-404F-A3AB-A35DA79130BF}" parentId="{25665E4B-2666-4F6F-A839-4A32A10AC9C1}">
    <text>Assumed to decline with ethylene production (almost all butadiene/C4 production is from steam crackers)</text>
  </threadedComment>
  <threadedComment ref="C24" dT="2025-02-24T16:27:53.71" personId="{8605C1BA-ACC6-44B7-B6BA-3B49ED35AE65}" id="{CA261932-4639-45AC-8067-6EA6349924A4}" parentId="{25665E4B-2666-4F6F-A839-4A32A10AC9C1}">
    <text>Updated proportionally to 2.4 Mt/yr ethylene</text>
  </threadedComment>
  <threadedComment ref="C25" dT="2024-07-11T15:29:50.72" personId="{8605C1BA-ACC6-44B7-B6BA-3B49ED35AE65}" id="{050BA5C1-DD5D-448A-9CED-7423D131E030}">
    <text>Cbs
StatLine - Crude and petroleum products balance sheet; supply and consumption (cbs.nl) &gt; 3.25 Mt in 2020</text>
    <extLst>
      <x:ext xmlns:xltc2="http://schemas.microsoft.com/office/spreadsheetml/2020/threadedcomments2" uri="{F7C98A9C-CBB3-438F-8F68-D28B6AF4A901}">
        <xltc2:checksum>457635050</xltc2:checksum>
        <xltc2:hyperlink startIndex="4" length="86" url="https://opendata.cbs.nl/#/CBS/en/dataset/84596ENG/table?ts=1720711614477"/>
      </x:ext>
    </extLst>
  </threadedComment>
  <threadedComment ref="C25" dT="2024-07-11T15:32:40.28" personId="{8605C1BA-ACC6-44B7-B6BA-3B49ED35AE65}" id="{BBEEF8BC-97B9-43D0-8C9A-C04AC6690259}" parentId="{050BA5C1-DD5D-448A-9CED-7423D131E030}">
    <text>Current (rough) assumption is this declines along with ethylene production. There is also some refinery production (but not linked since there are no fuel exports in this version). To be revisited</text>
  </threadedComment>
  <threadedComment ref="C25" dT="2024-08-23T08:42:59.86" personId="{8605C1BA-ACC6-44B7-B6BA-3B49ED35AE65}" id="{E650D675-D8C6-4201-BB42-B1AB236C22F7}" parentId="{050BA5C1-DD5D-448A-9CED-7423D131E030}">
    <text>Calibrated to avoid infeasibility as BTX is a by product in 2020</text>
  </threadedComment>
  <threadedComment ref="C37" dT="2025-05-13T09:02:59.12" personId="{8605C1BA-ACC6-44B7-B6BA-3B49ED35AE65}" id="{6BD665DF-4C69-4C4E-BD52-21582A9964A9}">
    <text>Based on MIDDEN report - min estimated production (2.39 Mt) and max (2.94)</text>
  </threadedComment>
  <threadedComment ref="C44" dT="2024-11-07T14:06:41.82" personId="{8605C1BA-ACC6-44B7-B6BA-3B49ED35AE65}" id="{AFD1975E-BC33-4A5D-ABF4-40899A489F13}">
    <text>Calibrated to CBS energy balance. 78.4 PJ household waste (biogenic 41.1+ fossil 37.3), assumed 9.4 MJ/kg waste</text>
  </threadedComment>
  <threadedComment ref="C45" dT="2025-02-20T14:24:07.89" personId="{8605C1BA-ACC6-44B7-B6BA-3B49ED35AE65}" id="{43593B29-F3F6-4CC4-B861-7FDC6EE5941C}">
    <text>Updated 20 Feb 2025
Based on growth in total motorcycle ownership 2020 to 2022
654.4 &gt; 677.8 --&gt; 3.58%
https://opendata.cbs.nl/#/CBS/nl/dataset/82472NED/table?searchKeywords=verkeersprestatie%20motorfietsen</text>
    <extLst>
      <x:ext xmlns:xltc2="http://schemas.microsoft.com/office/spreadsheetml/2020/threadedcomments2" uri="{F7C98A9C-CBB3-438F-8F68-D28B6AF4A901}">
        <xltc2:checksum>87714459</xltc2:checksum>
        <xltc2:hyperlink startIndex="105" length="103" url="https://opendata.cbs.nl/#/CBS/nl/dataset/82472NED/table?searchKeywords=verkeersprestatie%20motorfietsen"/>
      </x:ext>
    </extLst>
  </threadedComment>
  <threadedComment ref="C46" dT="2025-02-20T14:05:37.72" personId="{8605C1BA-ACC6-44B7-B6BA-3B49ED35AE65}" id="{E0606CF5-B873-4A64-A339-ECE540C656FB}">
    <text>Updated 20 feb 2025</text>
  </threadedComment>
  <threadedComment ref="C46" dT="2025-02-20T14:05:39.38" personId="{8605C1BA-ACC6-44B7-B6BA-3B49ED35AE65}" id="{48C1E983-183D-48F9-B2D1-9C9AD103331B}" parentId="{E0606CF5-B873-4A64-A339-ECE540C656FB}">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7" dT="2025-02-20T14:05:37.72" personId="{8605C1BA-ACC6-44B7-B6BA-3B49ED35AE65}" id="{2DD5F4EF-0B8A-4772-9D23-C35F9E164FFE}">
    <text>Updated 20 feb 2025</text>
  </threadedComment>
  <threadedComment ref="C47" dT="2025-02-20T14:05:39.38" personId="{8605C1BA-ACC6-44B7-B6BA-3B49ED35AE65}" id="{3325E4A4-F54D-4A23-BDAA-9C0015C5FB84}" parentId="{2DD5F4EF-0B8A-4772-9D23-C35F9E164FFE}">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8" dT="2025-02-20T14:05:37.72" personId="{8605C1BA-ACC6-44B7-B6BA-3B49ED35AE65}" id="{63394002-BED2-413D-B149-29C936899D61}">
    <text>Updated 20 feb 2025
Vrachtauto + trekker voor oplegger</text>
  </threadedComment>
  <threadedComment ref="C48" dT="2025-02-20T14:05:39.38" personId="{8605C1BA-ACC6-44B7-B6BA-3B49ED35AE65}" id="{0AB4DF53-09EE-4F51-9500-8CCE26EE12D2}" parentId="{63394002-BED2-413D-B149-29C936899D61}">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49" dT="2025-02-20T14:05:37.72" personId="{8605C1BA-ACC6-44B7-B6BA-3B49ED35AE65}" id="{7DE70725-0D4B-4B95-849A-62BDD88C4816}">
    <text>Updated 20 feb 2025</text>
  </threadedComment>
  <threadedComment ref="C49" dT="2025-02-20T14:05:39.38" personId="{8605C1BA-ACC6-44B7-B6BA-3B49ED35AE65}" id="{266D5FD0-EE60-40EE-B4C8-F34BB2CBFB51}" parentId="{7DE70725-0D4B-4B95-849A-62BDD88C4816}">
    <text>https://opendata.cbs.nl/#/CBS/nl/dataset/85395NED/table?ts=1740060233135</text>
    <extLst>
      <x:ext xmlns:xltc2="http://schemas.microsoft.com/office/spreadsheetml/2020/threadedcomments2" uri="{F7C98A9C-CBB3-438F-8F68-D28B6AF4A901}">
        <xltc2:checksum>2735353692</xltc2:checksum>
        <xltc2:hyperlink startIndex="0" length="72" url="https://opendata.cbs.nl/#/CBS/nl/dataset/85395NED/table?ts=1740060233135"/>
      </x:ext>
    </extLst>
  </threadedComment>
  <threadedComment ref="C50" dT="2025-02-20T14:25:20.54" personId="{8605C1BA-ACC6-44B7-B6BA-3B49ED35AE65}" id="{1EFC79CC-D662-44A3-9C93-52B82D3F6281}">
    <text>https://opendata.cbs.nl/#/CBS/nl/dataset/84708NED/table?ts=1740060097763
No vehicle kilometer data available. Left constant as train ridership is still recovering from a low point in 2020 (covid).</text>
    <extLst>
      <x:ext xmlns:xltc2="http://schemas.microsoft.com/office/spreadsheetml/2020/threadedcomments2" uri="{F7C98A9C-CBB3-438F-8F68-D28B6AF4A901}">
        <xltc2:checksum>3655243097</xltc2:checksum>
        <xltc2:hyperlink startIndex="0" length="72" url="https://opendata.cbs.nl/#/CBS/nl/dataset/84708NED/table?ts=1740060097763"/>
      </x:ext>
    </extLst>
  </threadedComment>
  <threadedComment ref="C51" dT="2025-02-20T14:27:23.67" personId="{8605C1BA-ACC6-44B7-B6BA-3B49ED35AE65}" id="{03EF1E75-3CC9-480C-BB0C-A5488AD6EF3D}">
    <text>Left constant because no vehicle kilometer data available - relatively constant tonne-kilometers since 2012
https://opendata.cbs.nl/#/CBS/nl/dataset/85528NED/table?ts=1740061558620</text>
    <extLst>
      <x:ext xmlns:xltc2="http://schemas.microsoft.com/office/spreadsheetml/2020/threadedcomments2" uri="{F7C98A9C-CBB3-438F-8F68-D28B6AF4A901}">
        <xltc2:checksum>890284524</xltc2:checksum>
        <xltc2:hyperlink startIndex="109" length="72" url="https://opendata.cbs.nl/#/CBS/nl/dataset/85528NED/table?ts=1740061558620"/>
      </x:ext>
    </extLst>
  </threadedComment>
  <threadedComment ref="C52" dT="2025-02-20T14:34:37.38" personId="{8605C1BA-ACC6-44B7-B6BA-3B49ED35AE65}" id="{8DAE0123-3818-48D6-8323-7C3CA26C5DD5}">
    <text>Only domestic aviation is not covered. Reduced from 32.6PJ in previous version.
https://opendata.cbs.nl/#/CBS/nl/dataset/83140NED/table</text>
    <extLst>
      <x:ext xmlns:xltc2="http://schemas.microsoft.com/office/spreadsheetml/2020/threadedcomments2" uri="{F7C98A9C-CBB3-438F-8F68-D28B6AF4A901}">
        <xltc2:checksum>307396753</xltc2:checksum>
        <xltc2:hyperlink startIndex="81" length="55" url="https://opendata.cbs.nl/#/CBS/nl/dataset/83140NED/table"/>
      </x:ext>
    </extLst>
  </threadedComment>
  <threadedComment ref="C69" dT="2024-08-22T11:31:26.72" personId="{8605C1BA-ACC6-44B7-B6BA-3B49ED35AE65}" id="{3F64B5CD-EB8F-450D-ADA0-B73CED58B6B0}">
    <text>Based on CBS energy balance, uitvoer aardgas.
Despite pandemic dip, other factors led to changes in natural gas markets/prices, so 2020 is used as the lower level of exports has remained (unlike for other energy carriers where it has rebounded since 2020)</text>
  </threadedComment>
  <threadedComment ref="C70" dT="2024-08-22T11:35:06.62" personId="{8605C1BA-ACC6-44B7-B6BA-3B49ED35AE65}" id="{00AD08E6-A6C3-409B-8D81-04D315E49063}">
    <text xml:space="preserve">Based on CBS energy balance, uitvoer nafta.
Significant fluctuations in naphtha trade over time. 2020 is used as the lower level of exports is within the range of recent non-pandemic year values (similar for example to 2015 and 2022).
</text>
  </threadedComment>
  <threadedComment ref="C71" dT="2024-08-22T11:36:20.03" personId="{8605C1BA-ACC6-44B7-B6BA-3B49ED35AE65}" id="{EE759248-89B3-4989-84E3-ED31DB89C4CA}">
    <text xml:space="preserve">Based on CBS energy balance, uitvoer motorbenzine, fossiele deel.
2020 is used as the lower level of exports is within the range of recent non-pandemic year values (similar for example to 2016-17 and 2023).
</text>
  </threadedComment>
  <threadedComment ref="C72" dT="2024-08-22T11:37:09.41" personId="{8605C1BA-ACC6-44B7-B6BA-3B49ED35AE65}" id="{53A6EE4F-F5D5-4D93-95C3-E83762339EFC}">
    <text xml:space="preserve">Based on CBS energy balance, uitvoer vliegtuigkerosine, fossiele deel.
2019 is used to avoid bias from pandemic years. Exports have recovered to this pre-pandemic level in 2022-2023.
</text>
  </threadedComment>
  <threadedComment ref="C74" dT="2025-06-18T14:16:07.07" personId="{8605C1BA-ACC6-44B7-B6BA-3B49ED35AE65}" id="{CA2BCE7E-DC61-4C34-88C4-D4710621A782}">
    <text>Zhang et al Table 6, 2015/2025
From 2030 onwards, follows building stock demand</text>
  </threadedComment>
  <threadedComment ref="C75" dT="2025-04-02T15:38:56.33" personId="{8605C1BA-ACC6-44B7-B6BA-3B49ED35AE65}" id="{6F38885A-7D8E-4ED8-BCCA-33E57CB4D97A}">
    <text>https://opendata.cbs.nl/#/CBS/nl/dataset/83180NED/table?ts=1742218988714
Winning + invoer Zout en afgeleide producten</text>
    <extLst>
      <x:ext xmlns:xltc2="http://schemas.microsoft.com/office/spreadsheetml/2020/threadedcomments2" uri="{F7C98A9C-CBB3-438F-8F68-D28B6AF4A901}">
        <xltc2:checksum>3274544998</xltc2:checksum>
        <xltc2:hyperlink startIndex="0" length="72" url="https://opendata.cbs.nl/#/CBS/nl/dataset/83180NED/table?ts=1742218988714"/>
      </x:ext>
    </extLst>
  </threadedComment>
  <threadedComment ref="C75" dT="2025-07-30T20:42:49.16" personId="{8605C1BA-ACC6-44B7-B6BA-3B49ED35AE65}" id="{FBE6C4F7-EF80-4EAB-8617-209168EAF81A}" parentId="{6F38885A-7D8E-4ED8-BCCA-33E57CB4D97A}">
    <text>5.893+0.551</text>
  </threadedComment>
  <threadedComment ref="S114" dT="2025-03-24T14:48:21.04" personId="{8605C1BA-ACC6-44B7-B6BA-3B49ED35AE65}" id="{C82D4901-1323-43EB-AFA7-89B0AF631A4E}">
    <text>Used value from fact sheet (3.2 MJ/Nm3) divded by density of BFG (1.25 kg/m3) https://www.engineeringtoolbox.com/gas-density-d_158.html</text>
    <extLst>
      <x:ext xmlns:xltc2="http://schemas.microsoft.com/office/spreadsheetml/2020/threadedcomments2" uri="{F7C98A9C-CBB3-438F-8F68-D28B6AF4A901}">
        <xltc2:checksum>2582313175</xltc2:checksum>
        <xltc2:hyperlink startIndex="78" length="57" url="https://www.engineeringtoolbox.com/gas-density-d_158.html"/>
      </x:ext>
    </extLst>
  </threadedComment>
  <threadedComment ref="S130" dT="2025-03-24T14:43:39.30" personId="{8605C1BA-ACC6-44B7-B6BA-3B49ED35AE65}" id="{CE2D860C-5740-4FBA-BA5A-391B8288CDA4}">
    <text>https://onlinelibrary.wiley.com/doi/10.1155/2023/1842187
Range in conclusion is 12.55-17.15 (matched cluster model)</text>
    <extLst>
      <x:ext xmlns:xltc2="http://schemas.microsoft.com/office/spreadsheetml/2020/threadedcomments2" uri="{F7C98A9C-CBB3-438F-8F68-D28B6AF4A901}">
        <xltc2:checksum>691103780</xltc2:checksum>
        <xltc2:hyperlink startIndex="0" length="56" url="https://onlinelibrary.wiley.com/doi/10.1155/2023/1842187"/>
      </x:ext>
    </extLst>
  </threadedComment>
  <threadedComment ref="S138" dT="2025-03-24T14:40:26.66" personId="{8605C1BA-ACC6-44B7-B6BA-3B49ED35AE65}" id="{48C5F147-6406-4814-8D21-C3777E988DDE}">
    <text>Chose equivalent value to naphtha
https://www.researchgate.net/publication/314490983_Municipal_Plastic_Waste_Composition_Study_at_Transfer_Station_of_Bangkok_and_Possibility_of_its_Energy_Recovery_by_Pyrolysis (in range provided in Table 1)</text>
    <extLst>
      <x:ext xmlns:xltc2="http://schemas.microsoft.com/office/spreadsheetml/2020/threadedcomments2" uri="{F7C98A9C-CBB3-438F-8F68-D28B6AF4A901}">
        <xltc2:checksum>866336659</xltc2:checksum>
        <xltc2:hyperlink startIndex="35" length="175" url="https://www.researchgate.net/publication/314490983_Municipal_Plastic_Waste_Composition_Study_at_Transfer_Station_of_Bangkok_and_Possibility_of_its_Energy_Recovery_by_Pyrolysis"/>
      </x:ext>
    </extLst>
  </threadedComment>
  <threadedComment ref="P145" dT="2025-07-09T13:17:00.64" personId="{8605C1BA-ACC6-44B7-B6BA-3B49ED35AE65}" id="{88FB4F87-3157-423B-99EF-FA3C28D20158}">
    <text>RVO standard list of fuels 2024</text>
  </threadedComment>
  <threadedComment ref="Q145" dT="2025-07-09T13:16:50.50" personId="{8605C1BA-ACC6-44B7-B6BA-3B49ED35AE65}" id="{81BC37D0-08E9-4720-81C7-2D8A893967C8}">
    <text>RVO standard list of fuels 2024</text>
  </threadedComment>
  <threadedComment ref="S145" dT="2025-07-09T13:17:08.36" personId="{8605C1BA-ACC6-44B7-B6BA-3B49ED35AE65}" id="{F6472DF9-88AE-4D08-A3F3-FDC640BD16E3}">
    <text>RVO standard list of fuels 2024</text>
  </threadedComment>
  <threadedComment ref="P146" dT="2025-06-19T08:14:59.69" personId="{8605C1BA-ACC6-44B7-B6BA-3B49ED35AE65}" id="{563292E8-1B89-4DF9-A655-471C891D6A99}">
    <text>75% carbon by mass in common plastics</text>
  </threadedComment>
  <threadedComment ref="P146" dT="2025-07-11T13:26:47.32" personId="{8605C1BA-ACC6-44B7-B6BA-3B49ED35AE65}" id="{CF88DF1C-F975-4A0C-A36D-BA34FA76982C}" parentId="{563292E8-1B89-4DF9-A655-471C891D6A99}">
    <text>Juraj’s paper - to be cited</text>
  </threadedComment>
  <threadedComment ref="Q146" dT="2025-06-19T08:06:38.12" personId="{8605C1BA-ACC6-44B7-B6BA-3B49ED35AE65}" id="{3C308A16-B7D6-406D-979C-613875782438}">
    <text>Previous value was 0.477 (based on MIDDEN report) but assumed all fossil for linking case study (1-.523)</text>
  </threadedComment>
  <threadedComment ref="Q146" dT="2025-07-11T14:19:33.93" personId="{8605C1BA-ACC6-44B7-B6BA-3B49ED35AE65}" id="{CFD19493-C11D-4553-AEBD-927B95A78639}" parentId="{3C308A16-B7D6-406D-979C-613875782438}">
    <text>Updated 11 july 2025: MIDDEN report on waste incineration, Table 4.6, 93% weighted average fossil carbon content</text>
  </threadedComment>
  <threadedComment ref="S146" dT="2025-03-24T14:36:02.74" personId="{8605C1BA-ACC6-44B7-B6BA-3B49ED35AE65}" id="{E37E4722-58AF-41F3-BA94-70FBCB9E97B6}">
    <text>Needs source</text>
  </threadedComment>
  <threadedComment ref="Q147" dT="2025-06-19T13:56:41.27" personId="{8605C1BA-ACC6-44B7-B6BA-3B49ED35AE65}" id="{70954EC1-6102-43F8-B387-441E89E0DA82}">
    <text>Implied by 100% fossil plastic removal
=(9.5*.63-0.03*44)/8.85 = .527</text>
  </threadedComment>
</ThreadedComments>
</file>

<file path=xl/threadedComments/threadedComment2.xml><?xml version="1.0" encoding="utf-8"?>
<ThreadedComments xmlns="http://schemas.microsoft.com/office/spreadsheetml/2018/threadedcomments" xmlns:x="http://schemas.openxmlformats.org/spreadsheetml/2006/main">
  <threadedComment ref="I68" dT="2025-06-05T13:29:24.29" personId="{8605C1BA-ACC6-44B7-B6BA-3B49ED35AE65}" id="{C13E14CE-50D0-4D7D-BDA0-4CA62633C3A8}">
    <text>27 kt/y, $193.4 USD 2024</text>
  </threadedComment>
  <threadedComment ref="Q68" dT="2025-06-05T13:54:54.65" personId="{8605C1BA-ACC6-44B7-B6BA-3B49ED35AE65}" id="{1CB0F5F9-9D68-4533-9405-A959846B53EF}">
    <text>FOM from table 7 divided by annual capacity (input divided by yield converted to annual basis). Converted USD 2024 to EUR2019</text>
  </threadedComment>
  <threadedComment ref="X68" dT="2025-06-05T13:57:12.30" personId="{8605C1BA-ACC6-44B7-B6BA-3B49ED35AE65}" id="{D37C32DE-D5F5-4FDE-8945-5E39C8B61B5E}">
    <text>Raw material costs &amp; vom from table 7</text>
  </threadedComment>
  <threadedComment ref="CB92" dT="2024-10-23T16:00:02.35" personId="{8605C1BA-ACC6-44B7-B6BA-3B49ED35AE65}" id="{4B76CE7C-DB3F-4EA2-81F6-7873BA21E8D8}">
    <text>Based on imports from 2022 from CBS statistics (about 6 Mt imported and 3 Mt exported)</text>
  </threadedComment>
  <threadedComment ref="I96" dT="2025-07-14T12:07:16.72" personId="{8605C1BA-ACC6-44B7-B6BA-3B49ED35AE65}" id="{B230F07B-2894-458D-BE02-A4555503E01B}">
    <text>Average of capital costs</text>
  </threadedComment>
  <threadedComment ref="I97" dT="2025-06-10T15:58:51.57" personId="{8605C1BA-ACC6-44B7-B6BA-3B49ED35AE65}" id="{6ADAF484-6B09-49C3-ABCE-BD55E3A693AA}">
    <text>Updated based on Table 5 of source [106]</text>
  </threadedComment>
  <threadedComment ref="G99" dT="2025-06-10T15:45:57.78" personId="{8605C1BA-ACC6-44B7-B6BA-3B49ED35AE65}" id="{9BE8DD9E-6E19-4E8C-A04C-2CA66120E62D}">
    <text>Assumed equal to conventional CAPEX because no data available. Cost benefit is in the reduced electricity consumption</text>
  </threadedComment>
  <threadedComment ref="I136" dT="2025-07-14T09:56:41.80" personId="{8605C1BA-ACC6-44B7-B6BA-3B49ED35AE65}" id="{9FA13639-AA95-4BF6-842C-3BD7A65AF5D2}">
    <text>Ioniqa process : MIDDEN report &amp; CE Delft 2020</text>
  </threadedComment>
  <threadedComment ref="I137" dT="2025-07-14T10:06:39.25" personId="{8605C1BA-ACC6-44B7-B6BA-3B49ED35AE65}" id="{C1724E50-3391-4289-B035-2653DD32D3E2}">
    <text>18.7 m€ converted for 95% yield and capacity</text>
  </threadedComment>
  <threadedComment ref="G140" dT="2025-07-15T09:30:03.22" personId="{8605C1BA-ACC6-44B7-B6BA-3B49ED35AE65}" id="{09DDE970-42E8-455F-B012-BA19332C49B9}">
    <text xml:space="preserve">50 t/d LDPE dissolution plant, 90% utilization, used total direct permanent investment cost (not total capital investment)
$12.8M/50 tpd (16425 tpy with 90%)
&gt;$/t/year
&gt;$M/Mt/year
(2019 dollars)
&gt;€M/Mt/year
</text>
  </threadedComment>
  <threadedComment ref="CI236" dT="2024-11-07T14:28:12.16" personId="{8605C1BA-ACC6-44B7-B6BA-3B49ED35AE65}" id="{EDF60D6E-ED97-4040-A843-A2A4863A664B}">
    <text>Based on CBS 2022 82.1 PJ uitvoer elektriciteit</text>
  </threadedComment>
  <threadedComment ref="CP236" dT="2025-07-29T14:32:37.28" personId="{8605C1BA-ACC6-44B7-B6BA-3B49ED35AE65}" id="{7FCA2B5F-F92A-4390-82E6-D295DFDE839B}">
    <text>Based on CBS 2022 82.1 PJ uitvoer elektriciteit</text>
  </threadedComment>
  <threadedComment ref="BN254" dT="2024-11-11T16:15:33.63" personId="{8605C1BA-ACC6-44B7-B6BA-3B49ED35AE65}" id="{6707EBF9-2467-4985-AA4D-5270A3BB1077}">
    <text>Basedon CBS 2022</text>
  </threadedComment>
  <threadedComment ref="CI254" dT="2024-11-11T16:07:38.64" personId="{8605C1BA-ACC6-44B7-B6BA-3B49ED35AE65}" id="{EADE9CC6-1297-4B4D-A383-266C09525A45}">
    <text>Based on 25.6 PJ from CBS 2022</text>
  </threadedComment>
  <threadedComment ref="Q255" dT="2025-06-30T07:48:47.57" personId="{8605C1BA-ACC6-44B7-B6BA-3B49ED35AE65}" id="{CF582BA2-B668-42F1-BA81-F5F142CE2E2E}">
    <text>Small differences to avoid multiple solutions from different solar PV options</text>
  </threadedComment>
  <threadedComment ref="BN256" dT="2024-11-11T16:15:26.31" personId="{8605C1BA-ACC6-44B7-B6BA-3B49ED35AE65}" id="{3CDE9630-74FD-4AA4-9A9D-6DCB5C104391}">
    <text>Based on CBS 2022</text>
  </threadedComment>
  <threadedComment ref="CI256" dT="2024-11-11T16:07:26.03" personId="{8605C1BA-ACC6-44B7-B6BA-3B49ED35AE65}" id="{B0FF3508-944C-4809-B4B1-3D547F11993F}">
    <text>Based on 6.4 PJ from CBS 2022</text>
  </threadedComment>
  <threadedComment ref="BN259" dT="2024-11-11T16:15:17.53" personId="{8605C1BA-ACC6-44B7-B6BA-3B49ED35AE65}" id="{55787DFA-3389-4C48-A991-4B3E867991B1}">
    <text>Basedon 3.9 from CBS 2022</text>
  </threadedComment>
  <threadedComment ref="CI259" dT="2024-11-11T16:08:00.84" personId="{8605C1BA-ACC6-44B7-B6BA-3B49ED35AE65}" id="{9538FCB0-D5CE-45CB-AB8D-B722BC0E7785}">
    <text>Based on 12.0 PJ from CBS 2022</text>
  </threadedComment>
  <threadedComment ref="CI265" dT="2024-11-07T14:28:12.16" personId="{8605C1BA-ACC6-44B7-B6BA-3B49ED35AE65}" id="{5450DD12-E143-42D9-9DA9-883DF14418DD}">
    <text>Based on CBS 2022 66.8 PJ invoer elektriciteit</text>
  </threadedComment>
  <threadedComment ref="CB336" dT="2024-10-23T16:04:13.02" personId="{8605C1BA-ACC6-44B7-B6BA-3B49ED35AE65}" id="{EF26A737-05A6-4DB7-98F1-AC0E2C15E931}">
    <text>Based on CBS statistics, 2022 imports of 17.7 million kg (at 44 MJ/kg) -&gt; 779 PJ</text>
  </threadedComment>
  <threadedComment ref="I359" dT="2025-03-31T12:32:00.17" personId="{7525724F-FAA8-4979-825E-563E74177B66}" id="{527AA4E7-1503-4E91-81D7-34795B7F4124}">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59" dT="2025-04-03T11:48:07.93" personId="{7525724F-FAA8-4979-825E-563E74177B66}" id="{FA4411BF-17AE-4C0C-A170-856B584F44E0}" parentId="{527AA4E7-1503-4E91-81D7-34795B7F4124}">
    <text xml:space="preserve">Times 1.33 because the syncrude output is 1.33 PJ </text>
  </threadedComment>
  <threadedComment ref="O359" dT="2025-03-31T12:32:32.48" personId="{7525724F-FAA8-4979-825E-563E74177B66}" id="{CD7F1907-A574-49EC-BF0B-3224B87ECD16}">
    <text>Assumed linear cost decline to 2050</text>
  </threadedComment>
  <threadedComment ref="I360" dT="2025-03-31T12:32:05.13" personId="{7525724F-FAA8-4979-825E-563E74177B66}" id="{C763F92C-7CB7-4823-AF2F-62984950E283}">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0" dT="2025-04-03T11:47:50.11" personId="{7525724F-FAA8-4979-825E-563E74177B66}" id="{9CBEC5AB-343C-4C93-AC11-FF005F4A0829}" parentId="{C763F92C-7CB7-4823-AF2F-62984950E283}">
    <text xml:space="preserve">Times 1.33 because the syncrude output is 1.33 PJ </text>
  </threadedComment>
  <threadedComment ref="I361" dT="2025-03-31T12:32:09.49" personId="{7525724F-FAA8-4979-825E-563E74177B66}" id="{44E90372-DCB5-47F8-9876-F6737B85A73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1" dT="2025-04-03T11:48:11.95" personId="{7525724F-FAA8-4979-825E-563E74177B66}" id="{1D240A31-3511-46D5-93AA-9E3AAC2E07C4}" parentId="{44E90372-DCB5-47F8-9876-F6737B85A737}">
    <text xml:space="preserve">Times 1.33 because the syncrude output is 1.33 PJ </text>
  </threadedComment>
  <threadedComment ref="I362" dT="2025-03-31T12:32:13.66" personId="{7525724F-FAA8-4979-825E-563E74177B66}" id="{157E30C9-DCEB-4334-98CF-D8A00BD2251C}">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2" dT="2025-04-03T11:48:16.22" personId="{7525724F-FAA8-4979-825E-563E74177B66}" id="{42056DEB-572C-448C-87DF-C3F62539C3BE}" parentId="{157E30C9-DCEB-4334-98CF-D8A00BD2251C}">
    <text xml:space="preserve">Times 1.33 because the syncrude output is 1.33 PJ </text>
  </threadedComment>
  <threadedComment ref="I363" dT="2025-03-31T12:32:09.49" personId="{7525724F-FAA8-4979-825E-563E74177B66}" id="{853C3584-C31D-41B9-B7AA-928ACE68FA9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3" dT="2025-04-03T11:48:11.95" personId="{7525724F-FAA8-4979-825E-563E74177B66}" id="{FC863B84-7126-44E2-A05B-BC13750C8E66}" parentId="{853C3584-C31D-41B9-B7AA-928ACE68FA97}">
    <text xml:space="preserve">Times 1.33 because the syncrude output is 1.33 PJ </text>
  </threadedComment>
  <threadedComment ref="I364" dT="2025-03-31T12:32:13.66" personId="{7525724F-FAA8-4979-825E-563E74177B66}" id="{1E3C3C87-A577-4DF3-94EA-2CBB9F5DF9F7}">
    <text xml:space="preserve">Updated based on Techno-economic assessment and comparison of Fischer–Tropsch and Methanol-to-Jet processes to produce sustainable aviation fuel via Power-to-Liquid - ScienceDirect </text>
    <extLst>
      <x:ext xmlns:xltc2="http://schemas.microsoft.com/office/spreadsheetml/2020/threadedcomments2" uri="{F7C98A9C-CBB3-438F-8F68-D28B6AF4A901}">
        <xltc2:checksum>1915458122</xltc2:checksum>
        <xltc2:hyperlink startIndex="17" length="163" url="https://www.sciencedirect.com/science/article/pii/S0196890424006691#appSB"/>
      </x:ext>
    </extLst>
  </threadedComment>
  <threadedComment ref="I364" dT="2025-04-03T11:48:16.22" personId="{7525724F-FAA8-4979-825E-563E74177B66}" id="{98F24F21-0E8E-469F-B7D5-790A31897BE0}" parentId="{1E3C3C87-A577-4DF3-94EA-2CBB9F5DF9F7}">
    <text xml:space="preserve">Times 1.33 because the syncrude output is 1.33 PJ </text>
  </threadedComment>
  <threadedComment ref="I365" dT="2025-06-26T13:18:34.97" personId="{8605C1BA-ACC6-44B7-B6BA-3B49ED35AE65}" id="{6FBFA007-7114-4949-9109-CFC35B68C7EA}">
    <text>Updated based on Poluzzi et al. &amp; Julia’s calculation (scaling factor)</text>
  </threadedComment>
  <threadedComment ref="I366" dT="2025-06-26T13:18:47.73" personId="{8605C1BA-ACC6-44B7-B6BA-3B49ED35AE65}" id="{9EA853B4-A3B6-4FA8-8801-FCB2E3F15C5B}">
    <text>Updated based on Poluzzi et al. &amp; Julia’s calculation (scaling factor)</text>
  </threadedComment>
  <threadedComment ref="I367" dT="2025-03-31T10:32:26.64" personId="{7525724F-FAA8-4979-825E-563E74177B66}" id="{79D45D98-ECCA-405E-931B-74D549912315}">
    <text>Updated based on: technology-factsheets-rwgs-to-co-from-co2-and-h2-1.pdf. Only includes the water-gas-shift</text>
    <extLst>
      <x:ext xmlns:xltc2="http://schemas.microsoft.com/office/spreadsheetml/2020/threadedcomments2" uri="{F7C98A9C-CBB3-438F-8F68-D28B6AF4A901}">
        <xltc2:checksum>4010067071</xltc2:checksum>
        <xltc2:hyperlink startIndex="18" length="54" url="https://energy.nl/wp-content/uploads/technology-factsheets-rwgs-to-co-from-co2-and-h2-1.pdf"/>
      </x:ext>
    </extLst>
  </threadedComment>
  <threadedComment ref="I367" dT="2025-06-03T09:34:57.13" personId="{8605C1BA-ACC6-44B7-B6BA-3B49ED35AE65}" id="{E91382AB-054D-4557-A762-AC5B43B87130}" parentId="{79D45D98-ECCA-405E-931B-74D549912315}">
    <text>Revised based on cluster model from Julia</text>
  </threadedComment>
  <threadedComment ref="I369" dT="2025-03-31T09:01:43.95" personId="{7525724F-FAA8-4979-825E-563E74177B66}" id="{B8AA06B8-163D-4DF4-B610-02851A04091B}">
    <text xml:space="preserve">Updated based on 2017-02 Techno - Economic Evaluation of SMR Based Standalone (Merchant) Hydrogen Plant with CCS.pdf </text>
    <extLst>
      <x:ext xmlns:xltc2="http://schemas.microsoft.com/office/spreadsheetml/2020/threadedcomments2" uri="{F7C98A9C-CBB3-438F-8F68-D28B6AF4A901}">
        <xltc2:checksum>3435811775</xltc2:checksum>
        <xltc2:hyperlink startIndex="17" length="99" url="https://publications.ieaghg.org/technicalreports/2017-02%20Techno%20-%20Economic%20Evaluation%20of%20SMR%20Based%20Standalone%20(Merchant)%20Hydrogen%20Plant%20with%20CCS.pdf"/>
      </x:ext>
    </extLst>
  </threadedComment>
  <threadedComment ref="I370" dT="2025-03-31T12:32:57.01" personId="{7525724F-FAA8-4979-825E-563E74177B66}" id="{012046B6-38AF-41D9-88B4-9C5967EDE414}">
    <text xml:space="preserve">Updated based on Techno-economic assessment of long-term methanol production from natural gas and renewables - ScienceDirect </text>
    <extLst>
      <x:ext xmlns:xltc2="http://schemas.microsoft.com/office/spreadsheetml/2020/threadedcomments2" uri="{F7C98A9C-CBB3-438F-8F68-D28B6AF4A901}">
        <xltc2:checksum>1323977454</xltc2:checksum>
        <xltc2:hyperlink startIndex="17" length="107" url="https://www.sciencedirect.com/science/article/pii/S0196890422005817"/>
      </x:ext>
    </extLst>
  </threadedComment>
  <threadedComment ref="I370" dT="2025-06-03T09:35:56.21" personId="{8605C1BA-ACC6-44B7-B6BA-3B49ED35AE65}" id="{2F9E2CFF-BEFB-41F9-97D7-F5C4DC504727}" parentId="{012046B6-38AF-41D9-88B4-9C5967EDE414}">
    <text>Revised based on cluster model from Julia</text>
  </threadedComment>
  <threadedComment ref="I371" dT="2025-06-03T10:09:28.92" personId="{8605C1BA-ACC6-44B7-B6BA-3B49ED35AE65}" id="{3FB05A61-A5DC-4B27-B89D-C568D1C2A5E9}">
    <text xml:space="preserve">technology-factsheet-methanol-from-co2-7.pdf </text>
    <extLst>
      <x:ext xmlns:xltc2="http://schemas.microsoft.com/office/spreadsheetml/2020/threadedcomments2" uri="{F7C98A9C-CBB3-438F-8F68-D28B6AF4A901}">
        <xltc2:checksum>3869465944</xltc2:checksum>
        <xltc2:hyperlink startIndex="0" length="44" url="https://energy.nl/wp-content/uploads/technology-factsheet-methanol-from-co2-7.pdf"/>
      </x:ext>
    </extLst>
  </threadedComment>
  <threadedComment ref="I371" dT="2025-06-12T13:14:52.91" personId="{8605C1BA-ACC6-44B7-B6BA-3B49ED35AE65}" id="{9E6E78AB-EF42-4B01-B428-2CB42ED0842F}" parentId="{3FB05A61-A5DC-4B27-B89D-C568D1C2A5E9}">
    <text>For linking study, used pessimistic value, and no cost improvements</text>
  </threadedComment>
  <threadedComment ref="Q371" dT="2024-11-26T15:51:48.44" personId="{8605C1BA-ACC6-44B7-B6BA-3B49ED35AE65}" id="{E5CD5A8E-EC4B-4D09-8438-B454EB1C8FD4}">
    <text>4% of CAPEX as described in TNO factsheet</text>
  </threadedComment>
  <threadedComment ref="Q372" dT="2024-11-26T15:51:48.44" personId="{8605C1BA-ACC6-44B7-B6BA-3B49ED35AE65}" id="{8DF50C64-FAE1-40D6-A61C-041316599CE5}">
    <text>4% of CAPEX as described in TNO factsheet</text>
  </threadedComment>
  <threadedComment ref="I387" dT="2025-03-31T09:01:57.46" personId="{7525724F-FAA8-4979-825E-563E74177B66}" id="{699435A2-2508-4363-85F5-8F117E85D827}">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88" dT="2025-03-31T09:02:08.58" personId="{7525724F-FAA8-4979-825E-563E74177B66}" id="{6E3EA8AB-C40D-45FC-8D92-56C2FCFE85A9}">
    <text xml:space="preserve">Updated based on: 2017-02 Techno - Economic Evaluation of SMR Based Standalone (Merchant) Hydrogen Plant with CCS.pdf </text>
    <extLst>
      <x:ext xmlns:xltc2="http://schemas.microsoft.com/office/spreadsheetml/2020/threadedcomments2" uri="{F7C98A9C-CBB3-438F-8F68-D28B6AF4A901}">
        <xltc2:checksum>2771467348</xltc2:checksum>
        <xltc2:hyperlink startIndex="18" length="99" url="https://publications.ieaghg.org/technicalreports/2017-02%20Techno%20-%20Economic%20Evaluation%20of%20SMR%20Based%20Standalone%20(Merchant)%20Hydrogen%20Plant%20with%20CCS.pdf"/>
      </x:ext>
    </extLst>
  </threadedComment>
  <threadedComment ref="I390" dT="2024-11-27T14:47:25.04" personId="{8605C1BA-ACC6-44B7-B6BA-3B49ED35AE65}" id="{E2C30691-1092-4C1C-AA85-86B29650F419}">
    <text>Based on ISPT (also TNO &amp; Krishnan papers), converted to 2022 currency</text>
  </threadedComment>
  <threadedComment ref="K390" dT="2024-11-27T14:56:26.68" personId="{8605C1BA-ACC6-44B7-B6BA-3B49ED35AE65}" id="{1CAE2F79-BFCE-41E0-B349-37C5FC9C7776}">
    <text>Krishnan et al. 2023 - average of 2030 range</text>
  </threadedComment>
  <threadedComment ref="K390" dT="2025-06-03T10:29:06.03" personId="{8605C1BA-ACC6-44B7-B6BA-3B49ED35AE65}" id="{765EDBC5-4674-48F4-9BBE-B9D25FCD60CB}" parentId="{1CAE2F79-BFCE-41E0-B349-37C5FC9C7776}">
    <text>Updated from Julia’s cluster model - very similar costs</text>
  </threadedComment>
  <threadedComment ref="L390" dT="2024-11-27T14:56:26.68" personId="{8605C1BA-ACC6-44B7-B6BA-3B49ED35AE65}" id="{BABF0C41-89FC-4388-81D1-CAB6F83F6EA4}">
    <text>Krishnan et al. 2023 - average of 2030 range</text>
  </threadedComment>
  <threadedComment ref="M390" dT="2024-11-27T14:56:26.68" personId="{8605C1BA-ACC6-44B7-B6BA-3B49ED35AE65}" id="{F80EEE27-9E14-4815-953B-8B17BF92BAED}">
    <text>Krishnan et al. 2023 - average of 2030 range</text>
  </threadedComment>
  <threadedComment ref="M390" dT="2025-06-03T10:29:06.03" personId="{8605C1BA-ACC6-44B7-B6BA-3B49ED35AE65}" id="{622BF7A8-987E-49BB-AEBB-CC329BCDC9DA}" parentId="{F80EEE27-9E14-4815-953B-8B17BF92BAED}">
    <text>Updated from Julia’s cluster model - very similar costs</text>
  </threadedComment>
  <threadedComment ref="M390" dT="2025-06-12T13:13:27.68" personId="{8605C1BA-ACC6-44B7-B6BA-3B49ED35AE65}" id="{B7E0FC7C-38FE-4F3A-90F1-B940E85FFEAF}" parentId="{F80EEE27-9E14-4815-953B-8B17BF92BAED}">
    <text>For linking study, constant CAPEX from 2030</text>
  </threadedComment>
  <threadedComment ref="O390" dT="2024-11-27T14:56:26.68" personId="{8605C1BA-ACC6-44B7-B6BA-3B49ED35AE65}" id="{C589F381-23D9-48CC-8E19-54DC45B7AFFF}">
    <text>Danish Energy Agency Tech catalogue AEC 100 MW average of 2050 range</text>
  </threadedComment>
  <threadedComment ref="O390" dT="2025-06-03T10:29:17.52" personId="{8605C1BA-ACC6-44B7-B6BA-3B49ED35AE65}" id="{15465270-4C04-481B-A3E6-A230E7A2A70B}" parentId="{C589F381-23D9-48CC-8E19-54DC45B7AFFF}">
    <text>Updated from Julia’s model, very similar costs</text>
  </threadedComment>
  <threadedComment ref="O390" dT="2025-06-12T13:13:48.04" personId="{8605C1BA-ACC6-44B7-B6BA-3B49ED35AE65}" id="{0ED2CA04-D6F8-435A-BC33-4EAED694BEF1}" parentId="{C589F381-23D9-48CC-8E19-54DC45B7AFFF}">
    <text>For linking study, constant CAPEX from 2030</text>
  </threadedComment>
  <threadedComment ref="Q390" dT="2024-11-27T15:16:08.60" personId="{8605C1BA-ACC6-44B7-B6BA-3B49ED35AE65}" id="{AC7A1106-27A9-44E8-95A9-C8AC6A8299A4}">
    <text>Based on percentages from TNO factsheets</text>
  </threadedComment>
  <threadedComment ref="X390" dT="2024-11-29T12:05:05.65" personId="{8605C1BA-ACC6-44B7-B6BA-3B49ED35AE65}" id="{1C030F4D-39C2-440C-9F69-9713F17C119F}">
    <text>Stack replacement costs. 
For alkaline, 23% of CAPEX replaced every 70000h (every 252 PJ at full load). According to Danish Energy Agency Technology catalogue</text>
  </threadedComment>
  <threadedComment ref="AS390" dT="2024-11-29T11:52:50.36" personId="{8605C1BA-ACC6-44B7-B6BA-3B49ED35AE65}" id="{91F21462-EF11-42F6-8183-0DEEC4EAE24A}">
    <text>ISPT GW scale research</text>
  </threadedComment>
  <threadedComment ref="AS390" dT="2024-11-29T11:53:38.88" personId="{8605C1BA-ACC6-44B7-B6BA-3B49ED35AE65}" id="{EBF4A8BA-BBEC-4A60-BDE8-83F321DF3F6F}" parentId="{91F21462-EF11-42F6-8183-0DEEC4EAE24A}">
    <text>Public-report-gigawatt-advanced-green-electrolyser-design.pdf 
Minimum loads for PEM &amp; Alkaline</text>
    <extLst>
      <x:ext xmlns:xltc2="http://schemas.microsoft.com/office/spreadsheetml/2020/threadedcomments2" uri="{F7C98A9C-CBB3-438F-8F68-D28B6AF4A901}">
        <xltc2:checksum>212010327</xltc2:checksum>
        <xltc2:hyperlink startIndex="0" length="61" url="https://ispt.eu/media/Public-report-gigawatt-advanced-green-electrolyser-design.pdf"/>
      </x:ext>
    </extLst>
  </threadedComment>
  <threadedComment ref="DK390" dT="2024-11-27T15:17:31.40" personId="{8605C1BA-ACC6-44B7-B6BA-3B49ED35AE65}" id="{3E752B01-3BEB-4EC0-851C-CAB0BC159642}">
    <text>Updated but not yet added to data list, see comments</text>
  </threadedComment>
  <threadedComment ref="K391" dT="2024-11-27T14:56:31.90" personId="{8605C1BA-ACC6-44B7-B6BA-3B49ED35AE65}" id="{EC778AFD-3099-421E-8D5C-80C29E19A844}">
    <text>Krishnan et al. average of 2030 range</text>
  </threadedComment>
  <threadedComment ref="L391" dT="2024-11-27T14:56:31.90" personId="{8605C1BA-ACC6-44B7-B6BA-3B49ED35AE65}" id="{FA766223-2F6A-470B-A12A-C7A4B345A2A6}">
    <text>Krishnan et al. average of 2030 range</text>
  </threadedComment>
  <threadedComment ref="O391" dT="2024-11-27T14:56:31.90" personId="{8605C1BA-ACC6-44B7-B6BA-3B49ED35AE65}" id="{22E96A8C-3B0B-4C76-9D06-D212E717EA06}">
    <text>Danish Energy Agency Tech catalogue PEM 100 MW average of 2050 range</text>
  </threadedComment>
  <threadedComment ref="O391" dT="2025-06-12T13:14:01.62" personId="{8605C1BA-ACC6-44B7-B6BA-3B49ED35AE65}" id="{B85C452F-6056-4478-825D-1E288028E423}" parentId="{22E96A8C-3B0B-4C76-9D06-D212E717EA06}">
    <text>For linking study, constant from 2030</text>
  </threadedComment>
  <threadedComment ref="Q391" dT="2024-11-27T15:16:17.18" personId="{8605C1BA-ACC6-44B7-B6BA-3B49ED35AE65}" id="{20789F4A-C5FB-4254-9777-CCF01D4F111B}">
    <text>Based on percentages from TNO factsheets</text>
  </threadedComment>
  <threadedComment ref="X391" dT="2024-11-29T12:05:05.65" personId="{8605C1BA-ACC6-44B7-B6BA-3B49ED35AE65}" id="{55077F24-AB66-4FF3-9EAD-54FB038BF310}">
    <text>Stack replacement costs. 
For PEM, 37% of CAPEX replaced every 55000h (every 198 PJ at full load). According to Danish Energy Agency Technology catalogue</text>
  </threadedComment>
  <threadedComment ref="DK391" dT="2024-11-27T15:17:52.20" personId="{8605C1BA-ACC6-44B7-B6BA-3B49ED35AE65}" id="{CFC433E4-85C8-44C7-A6BD-F063C2E3C60B}">
    <text>Updated but not yet added to data list, see comments</text>
  </threadedComment>
  <threadedComment ref="I392" dT="2024-11-27T15:25:46.75" personId="{8605C1BA-ACC6-44B7-B6BA-3B49ED35AE65}" id="{7ACB3EFF-BF5A-4BFB-8A70-CADA5419E292}">
    <text xml:space="preserve">Prosser et al 2024 gives some data, but costs seem very low
Cost analysis of hydrogen production by high-temperature solid oxide electrolysis - ScienceDirect </text>
    <extLst>
      <x:ext xmlns:xltc2="http://schemas.microsoft.com/office/spreadsheetml/2020/threadedcomments2" uri="{F7C98A9C-CBB3-438F-8F68-D28B6AF4A901}">
        <xltc2:checksum>1260070057</xltc2:checksum>
        <xltc2:hyperlink startIndex="60" length="97" url="https://www.sciencedirect.com/science/article/pii/S0360319923034985?casa_token=0FIG3uNFD8YAAAAA:icywKnJdlmlt7tZJacnUXAn4CCaIrCl6ptkh1CLcWUFXR-Ugip9XwzXHF6-f2b4nKJJChNVNPQ"/>
      </x:ext>
    </extLst>
  </threadedComment>
  <threadedComment ref="I392" dT="2024-11-27T15:43:49.63" personId="{8605C1BA-ACC6-44B7-B6BA-3B49ED35AE65}" id="{ECE373FB-FCD1-42AB-BCFC-6AFB443F09EC}" parentId="{7ACB3EFF-BF5A-4BFB-8A70-CADA5419E292}">
    <text>Instead used Danish energy agency tech catalogue, values for 10MW SOEC (range 1800 for 100 MW and 4000 for 1 MW)</text>
  </threadedComment>
  <threadedComment ref="I392" dT="2024-11-27T15:44:03.67" personId="{8605C1BA-ACC6-44B7-B6BA-3B49ED35AE65}" id="{98645B3D-D0AF-4AAE-91A4-760351C83159}" parentId="{7ACB3EFF-BF5A-4BFB-8A70-CADA5419E292}">
    <text>Used upper range of 2050 value</text>
  </threadedComment>
  <threadedComment ref="O392" dT="2025-06-12T13:14:19.11" personId="{8605C1BA-ACC6-44B7-B6BA-3B49ED35AE65}" id="{CB6282DE-EB59-489D-9FF8-0D13511BE480}">
    <text>For linking study, constant from 2030</text>
  </threadedComment>
  <threadedComment ref="Q392" dT="2024-11-29T09:36:45.38" personId="{8605C1BA-ACC6-44B7-B6BA-3B49ED35AE65}" id="{C5152D7B-D0DB-4004-A790-D2E95258A6C0}">
    <text>12% of CAPEX (from Danish Energy Agency technology catalogue)</text>
  </threadedComment>
  <threadedComment ref="X392" dT="2024-11-29T12:05:05.65" personId="{8605C1BA-ACC6-44B7-B6BA-3B49ED35AE65}" id="{790C6F9A-6E44-49E9-9211-31B8E1710770}">
    <text>Stack replacement costs. 
For PEM, 68% of CAPEX replaced every 21250h (every 76.5 PJ at full load). According to Danish Energy Agency Technology catalogue</text>
  </threadedComment>
  <threadedComment ref="AS392" dT="2024-11-29T11:54:24.35" personId="{8605C1BA-ACC6-44B7-B6BA-3B49ED35AE65}" id="{F829EB1D-7CBF-477D-821A-5282861CBD04}">
    <text>https://www.sciencedirect.com/science/article/pii/S0360319915009477
10-100% load</text>
    <extLst>
      <x:ext xmlns:xltc2="http://schemas.microsoft.com/office/spreadsheetml/2020/threadedcomments2" uri="{F7C98A9C-CBB3-438F-8F68-D28B6AF4A901}">
        <xltc2:checksum>738337224</xltc2:checksum>
        <xltc2:hyperlink startIndex="0" length="67" url="https://www.sciencedirect.com/science/article/pii/S0360319915009477"/>
      </x:ext>
    </extLst>
  </threadedComment>
  <threadedComment ref="CB417" dT="2025-07-01T12:53:18.66" personId="{8605C1BA-ACC6-44B7-B6BA-3B49ED35AE65}" id="{EDA4326B-EFE6-42E2-B682-E662DB378EA9}">
    <text>Lobelle et al. table, value for 2017 but no more recent data</text>
  </threadedComment>
  <threadedComment ref="CB417" dT="2025-07-01T12:53:35.54" personId="{8605C1BA-ACC6-44B7-B6BA-3B49ED35AE65}" id="{4003FF95-54DD-4A79-9215-7F6420843016}" parentId="{EDA4326B-EFE6-42E2-B682-E662DB378EA9}">
    <text>Materiaal Monitor puts the value at 1000 kt, which is used for 2025 onwards.</text>
  </threadedComment>
  <threadedComment ref="CB418" dT="2024-11-29T09:41:06.88" personId="{8605C1BA-ACC6-44B7-B6BA-3B49ED35AE65}" id="{7515D6B7-2F63-420C-9FFD-20EF3286C9B8}">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4-11-29T09:41:06.88" personId="{8605C1BA-ACC6-44B7-B6BA-3B49ED35AE65}" id="{4673BAAC-A6E8-400E-8E6A-0882424B475B}">
    <text>Updated based on ENSPRESO project, Med scenario - MINBIOCRP41, MINBIOCRP41a, MINBIOFRSR1, MINBIOWOO, MINBIOWOOa, MINBIOWOOW1, MINBIOWOOW1a (Willow, Poplar, Fuelwood residues, FuelwoodRW, C&amp;P_RW, Secondary Forestry residues - woodchips, Sawdust)</text>
  </threadedComment>
  <threadedComment ref="CD418" dT="2025-03-14T12:27:49.96" personId="{7525724F-FAA8-4979-825E-563E74177B66}" id="{3200780D-AA9E-43E0-8E7A-D07C5C0C3633}" parentId="{4673BAAC-A6E8-400E-8E6A-0882424B475B}">
    <text>Updated from CE Delft Bioscope</text>
  </threadedComment>
  <threadedComment ref="CH418" dT="2024-11-29T09:41:06.88" personId="{8605C1BA-ACC6-44B7-B6BA-3B49ED35AE65}" id="{1C914880-ACD9-41E3-BEEC-4FC350901124}">
    <text>Updated based on ENSPRESO project, Med scenario - MINBIOCRP41, MINBIOCRP41a, MINBIOFRSR1, MINBIOWOO, MINBIOWOOa, MINBIOWOOW1, MINBIOWOOW1a (Willow, Poplar, Fuelwood residues, FuelwoodRW, C&amp;P_RW, Secondary Forestry residues - woodchips, Sawdust)</text>
  </threadedComment>
  <threadedComment ref="CH418" dT="2025-03-14T12:28:03.46" personId="{7525724F-FAA8-4979-825E-563E74177B66}" id="{FF8682ED-CFAB-48E3-803D-49FB53BC3B40}" parentId="{1C914880-ACD9-41E3-BEEC-4FC350901124}">
    <text>Updated from CE Delft Bioscope</text>
  </threadedComment>
  <threadedComment ref="CH419" dT="2025-06-30T09:15:07.94" personId="{8605C1BA-ACC6-44B7-B6BA-3B49ED35AE65}" id="{B65AB5F4-78D6-40DA-8262-161AEA11B941}">
    <text>Updated based on PBL report: Beschikbaarheid biogrondstoffen in Nederland en de Europese Unie
https://www.pbl.nl/system/files/document/2024-04/pbl-2024-beschikbaarheid-biogrondstoffen-in-nederland-en-de-europese-unie_5213.pdf
Assumes a “fair share” method of availability for EU27 based on GDP. Fair share based on population would be lower, so no additional imports from the rest of the world are included.
Used mid-point of low and high estimate for 2050 imports (Table 4.1), and linear increase to 2050.</text>
    <extLst>
      <x:ext xmlns:xltc2="http://schemas.microsoft.com/office/spreadsheetml/2020/threadedcomments2" uri="{F7C98A9C-CBB3-438F-8F68-D28B6AF4A901}">
        <xltc2:checksum>1550471196</xltc2:checksum>
        <xltc2:hyperlink startIndex="94" length="131" url="https://www.pbl.nl/system/files/document/2024-04/pbl-2024-beschikbaarheid-biogrondstoffen-in-nederland-en-de-europese-unie_5213.pdf"/>
      </x:ext>
    </extLst>
  </threadedComment>
  <threadedComment ref="CB421" dT="2024-11-29T09:41:06.88" personId="{8605C1BA-ACC6-44B7-B6BA-3B49ED35AE65}" id="{34A52C14-B5A6-4605-AC77-4EF64B1AD109}">
    <text>Updated based on ENSPRESO project, Med scenario - MINBIOCRP31 (miscanthus, switchgrass, RCG)</text>
  </threadedComment>
  <threadedComment ref="CD421" dT="2024-11-29T09:41:06.88" personId="{8605C1BA-ACC6-44B7-B6BA-3B49ED35AE65}" id="{163FCD87-E460-46C1-9986-74DC958D8038}">
    <text>Updated based on ENSPRESO project, Med scenario - MINBIOCRP31 (miscanthus, switchgrass, RCG)</text>
  </threadedComment>
  <threadedComment ref="CF421" dT="2024-11-29T09:41:06.88" personId="{8605C1BA-ACC6-44B7-B6BA-3B49ED35AE65}" id="{382866ED-CC6D-42DA-97DC-95CAAA45CE34}">
    <text>Updated based on ENSPRESO project, Med scenario - MINBIOCRP31 (miscanthus, switchgrass, RCG)</text>
  </threadedComment>
  <threadedComment ref="CH421" dT="2024-11-29T09:41:06.88" personId="{8605C1BA-ACC6-44B7-B6BA-3B49ED35AE65}" id="{82BC1229-3F33-4E11-811C-E06E1408B700}">
    <text>Updated based on ENSPRESO project, Med scenario - MINBIOCRP31 (miscanthus, switchgrass, RCG)</text>
  </threadedComment>
  <threadedComment ref="CB422" dT="2024-11-29T09:41:06.88" personId="{8605C1BA-ACC6-44B7-B6BA-3B49ED35AE65}" id="{2E1B26F3-98EE-40CD-8C4A-9C90B40BDDBA}">
    <text>Updated based on ENSPRESO project, Med scenario - MINBIOAGRW1 (agricultural waste)</text>
  </threadedComment>
  <threadedComment ref="CB423" dT="2024-11-29T09:41:06.88" personId="{8605C1BA-ACC6-44B7-B6BA-3B49ED35AE65}" id="{5AA3DA6D-1BE0-4343-A533-BD887E91640F}">
    <text>Updated based on ENSPRESO project, Med scenario - MINBIOSLU1 (sludge)</text>
  </threadedComment>
  <threadedComment ref="CB424" dT="2024-11-29T09:41:06.88" personId="{8605C1BA-ACC6-44B7-B6BA-3B49ED35AE65}" id="{FAF2B650-FC74-4AA3-8A97-91EDFB9F6724}">
    <text>Updated based on ENSPRESO project, Med scenario HIGH - MINBIOGAS1 (manure solid, liquid)</text>
  </threadedComment>
  <threadedComment ref="CD424" dT="2024-11-29T09:41:06.88" personId="{8605C1BA-ACC6-44B7-B6BA-3B49ED35AE65}" id="{F91B7F1B-A81A-41A2-A45B-A73E981AB6C4}">
    <text>Updated based on ENSPRESO project, Med scenario - MINBIOGAS1 (manure solid, liquid)</text>
  </threadedComment>
  <threadedComment ref="CF424" dT="2024-11-29T09:41:06.88" personId="{8605C1BA-ACC6-44B7-B6BA-3B49ED35AE65}" id="{6CFBC518-6408-4E32-825F-C1610266190A}">
    <text>Updated based on ENSPRESO project, Med scenario - MINBIOGAS1 (manure solid, liquid)</text>
  </threadedComment>
  <threadedComment ref="CH424" dT="2024-11-29T09:41:06.88" personId="{8605C1BA-ACC6-44B7-B6BA-3B49ED35AE65}" id="{47D3725D-6607-4EE0-ADF7-E32EDFC1AC69}">
    <text>Updated based on ENSPRESO project, Med scenario - MINBIOGAS1 (manure solid, liquid)</text>
  </threadedComment>
  <threadedComment ref="CB425" dT="2024-11-29T09:41:06.88" personId="{8605C1BA-ACC6-44B7-B6BA-3B49ED35AE65}" id="{CF37514D-1597-4501-8862-1BD5E09F8CA2}">
    <text>Updated based on ENSPRESO project, Med scenario - MINBIOCRP21 (sugar from sugar beet)</text>
  </threadedComment>
  <threadedComment ref="CB426" dT="2024-11-29T09:41:06.88" personId="{8605C1BA-ACC6-44B7-B6BA-3B49ED35AE65}" id="{5E0AAC94-EFDF-4E80-9C00-E146B397CFDB}">
    <text>No data available from ENSPRESO</text>
  </threadedComment>
  <threadedComment ref="CB427" dT="2024-11-29T09:41:06.88" personId="{8605C1BA-ACC6-44B7-B6BA-3B49ED35AE65}" id="{806CB0F0-6E85-45B4-BD40-086ED57622F6}">
    <text>Updated based on ENSPRESO project, Med scenario - MINBIOLIQ1 (sunflower, soya seed) &amp; MINBIORPS1 (rapeseed)</text>
  </threadedComment>
  <threadedComment ref="CB428" dT="2025-06-26T13:07:34.36" personId="{8605C1BA-ACC6-44B7-B6BA-3B49ED35AE65}" id="{0F183645-3247-40F9-91BA-A6A9B7383CA1}">
    <text>Updated based on ESNPRESO - total EU potential minus NL (MINBIOLIQ1)</text>
  </threadedComment>
  <threadedComment ref="X440" dT="2025-04-02T15:07:33.75" personId="{8605C1BA-ACC6-44B7-B6BA-3B49ED35AE65}" id="{C8A86A82-BC0C-4309-BA96-F1D937B2EAD3}">
    <text>MIDDEN report table 4, in range for 89% of market</text>
  </threadedComment>
  <threadedComment ref="CB440" dT="2025-04-02T15:39:22.78" personId="{8605C1BA-ACC6-44B7-B6BA-3B49ED35AE65}" id="{1087D111-3B35-4B88-A16F-B270ACF578D9}">
    <text>https://opendata.cbs.nl/#/CBS/nl/dataset/83180NED/table?ts=1742218988714
Invoer zout en afgeleide producten</text>
    <extLst>
      <x:ext xmlns:xltc2="http://schemas.microsoft.com/office/spreadsheetml/2020/threadedcomments2" uri="{F7C98A9C-CBB3-438F-8F68-D28B6AF4A901}">
        <xltc2:checksum>623273465</xltc2:checksum>
        <xltc2:hyperlink startIndex="0" length="72" url="https://opendata.cbs.nl/#/CBS/nl/dataset/83180NED/table?ts=1742218988714"/>
      </x:ext>
    </extLst>
  </threadedComment>
  <threadedComment ref="I442" dT="2025-04-04T08:45:44.91" personId="{8605C1BA-ACC6-44B7-B6BA-3B49ED35AE65}" id="{2DF9B939-B487-4995-B2E8-7CB751A6429E}">
    <text>https://atlassalt.com/independent-preliminary-economic-assessment-for-atlas-salts-great-atlantic-project-supports-state-of-the-art-salt-factory-vision/
CAPEX (excl. sustaining capital/reclamation/closure) per Mt capacity, deflated in CAD (World Bank) and converted to 2019 EUR</text>
    <extLst>
      <x:ext xmlns:xltc2="http://schemas.microsoft.com/office/spreadsheetml/2020/threadedcomments2" uri="{F7C98A9C-CBB3-438F-8F68-D28B6AF4A901}">
        <xltc2:checksum>4101598873</xltc2:checksum>
        <xltc2:hyperlink startIndex="0" length="151" url="https://atlassalt.com/independent-preliminary-economic-assessment-for-atlas-salts-great-atlantic-project-supports-state-of-the-art-salt-factory-vision/"/>
      </x:ext>
    </extLst>
  </threadedComment>
  <threadedComment ref="X443" dT="2025-03-18T15:37:18.52" personId="{8605C1BA-ACC6-44B7-B6BA-3B49ED35AE65}" id="{BD89145D-22CE-47B6-AF2D-9A20F70C6B77}">
    <text>Zhang et al. 2020, Table 1, price for secondary material, recycling for concrete industry</text>
  </threadedComment>
  <threadedComment ref="CB443" dT="2025-03-20T15:21:02.50" personId="{8605C1BA-ACC6-44B7-B6BA-3B49ED35AE65}" id="{082C45E5-5C27-4E7B-A30A-C2CACA6303CA}">
    <text>Zhang et al 2020
BAU 2025 sum of all EOL concrete
Minus road base use (not modelled)</text>
  </threadedComment>
  <threadedComment ref="X444" dT="2025-03-19T14:02:23.72" personId="{8605C1BA-ACC6-44B7-B6BA-3B49ED35AE65}" id="{7A08BF17-9F85-4E1C-BC81-E804D1EE2BBD}">
    <text>Assumed to be available at zero cost by Samadi et al 2020
This could change with additional demand, but for now seems reasonable given that there would otherwise be waste disposal costs associated with CTW</text>
  </threadedComment>
  <threadedComment ref="X444" dT="2025-07-31T21:26:09.02" personId="{8605C1BA-ACC6-44B7-B6BA-3B49ED35AE65}" id="{31EC526B-2CAB-4EB8-A1D3-8715D3E5DAE5}" parentId="{7A08BF17-9F85-4E1C-BC81-E804D1EE2BBD}">
    <text>Assumed half the cost of end-of-life concrete to avoid numerical instability</text>
  </threadedComment>
  <threadedComment ref="CB444" dT="2025-03-20T15:18:20.58" personId="{8605C1BA-ACC6-44B7-B6BA-3B49ED35AE65}" id="{B62E5AF4-AFB6-4316-8EE3-7E89CB04376F}">
    <text>Materiaalvoorradenmonitor 2024, ceramic in buildings multiplied by average demolition rate for houses / non-houses from CBS</text>
  </threadedComment>
  <threadedComment ref="I445" dT="2025-06-20T09:53:47.08" personId="{8605C1BA-ACC6-44B7-B6BA-3B49ED35AE65}" id="{0A21F33F-9B13-4845-BFEE-1326611C8D95}">
    <text>https://link.springer.com/article/10.1007/s40030-014-0058-y/tables/3</text>
    <extLst>
      <x:ext xmlns:xltc2="http://schemas.microsoft.com/office/spreadsheetml/2020/threadedcomments2" uri="{F7C98A9C-CBB3-438F-8F68-D28B6AF4A901}">
        <xltc2:checksum>3492345185</xltc2:checksum>
        <xltc2:hyperlink startIndex="0" length="68" url="https://link.springer.com/article/10.1007/s40030-014-0058-y/tables/3"/>
      </x:ext>
    </extLst>
  </threadedComment>
  <threadedComment ref="I445" dT="2025-06-20T09:56:58.01" personId="{8605C1BA-ACC6-44B7-B6BA-3B49ED35AE65}" id="{1973959F-4168-4BE0-8C42-4D083FD78CE6}" parentId="{0A21F33F-9B13-4845-BFEE-1326611C8D95}">
    <text>GDP deflator 2013 to 2019
https://data.worldbank.org/indicator/NY.GDP.DEFL.ZS.AD?end=2019&amp;locations=IN&amp;start=2013</text>
    <extLst>
      <x:ext xmlns:xltc2="http://schemas.microsoft.com/office/spreadsheetml/2020/threadedcomments2" uri="{F7C98A9C-CBB3-438F-8F68-D28B6AF4A901}">
        <xltc2:checksum>311193008</xltc2:checksum>
        <xltc2:hyperlink startIndex="26" length="87" url="https://data.worldbank.org/indicator/NY.GDP.DEFL.ZS.AD?end=2019&amp;locations=IN&amp;start=2013"/>
      </x:ext>
    </extLst>
  </threadedComment>
  <threadedComment ref="I445" dT="2025-06-20T09:57:43.53" personId="{8605C1BA-ACC6-44B7-B6BA-3B49ED35AE65}" id="{EA651978-73D0-463F-8C52-F95C00147FFC}" parentId="{0A21F33F-9B13-4845-BFEE-1326611C8D95}">
    <text>Exchange rate 2019
https://www.ecb.europa.eu/stats/policy_and_exchange_rates/euro_reference_exchange_rates/html/eurofxref-graph-inr.en.html</text>
    <extLst>
      <x:ext xmlns:xltc2="http://schemas.microsoft.com/office/spreadsheetml/2020/threadedcomments2" uri="{F7C98A9C-CBB3-438F-8F68-D28B6AF4A901}">
        <xltc2:checksum>691426966</xltc2:checksum>
        <xltc2:hyperlink startIndex="19" length="120" url="https://www.ecb.europa.eu/stats/policy_and_exchange_rates/euro_reference_exchange_rates/html/eurofxref-graph-inr.en.html"/>
      </x:ext>
    </extLst>
  </threadedComment>
  <threadedComment ref="I445" dT="2025-06-20T15:12:26.26" personId="{8605C1BA-ACC6-44B7-B6BA-3B49ED35AE65}" id="{6191DEFA-8E13-4123-AACB-5DCCCB1EA668}" parentId="{0A21F33F-9B13-4845-BFEE-1326611C8D95}">
    <text>In line with https://batchingplantsupplier.com/ready-mix-concrete-plant-cost/
$360k equipment cost for 240 m3/h (largest size)</text>
    <extLst>
      <x:ext xmlns:xltc2="http://schemas.microsoft.com/office/spreadsheetml/2020/threadedcomments2" uri="{F7C98A9C-CBB3-438F-8F68-D28B6AF4A901}">
        <xltc2:checksum>3795343992</xltc2:checksum>
        <xltc2:hyperlink startIndex="13" length="64" url="https://batchingplantsupplier.com/ready-mix-concrete-plant-cost/"/>
      </x:ext>
    </extLst>
  </threadedComment>
  <threadedComment ref="I445" dT="2025-06-20T15:12:46.90" personId="{8605C1BA-ACC6-44B7-B6BA-3B49ED35AE65}" id="{0CB3D0E7-2EE4-41DA-9091-FA954BCD7E3C}" parentId="{0A21F33F-9B13-4845-BFEE-1326611C8D95}">
    <text>Largest factor in concrete cost is raw materials (esp cement)</text>
  </threadedComment>
  <threadedComment ref="BN445" dT="2025-03-05T16:03:54.48" personId="{8605C1BA-ACC6-44B7-B6BA-3B49ED35AE65}" id="{0875A096-0E3E-48F1-A20E-CF55F429C9F6}">
    <text>Based on 2015 statistics from ERMCO, via Zhang et al 2020</text>
  </threadedComment>
  <threadedComment ref="G446" dT="2025-06-18T14:22:39.16" personId="{8605C1BA-ACC6-44B7-B6BA-3B49ED35AE65}" id="{C5C06022-33CC-4B76-B326-7F8B940F2B30}">
    <text>This includes repurposing of existing structures with renovation based on the Betonakkoord CO2 Roadmap estimates. Demand reduction (produces concrete)</text>
  </threadedComment>
  <threadedComment ref="CC446" dT="2025-06-18T14:34:39.51" personId="{8605C1BA-ACC6-44B7-B6BA-3B49ED35AE65}" id="{38DD45EA-3BD4-4817-AACD-6F4EF708D99D}">
    <text xml:space="preserve">Betonakkoord - 350 km3 saved per year through reuse of existing structures/renovation
</text>
  </threadedComment>
  <threadedComment ref="CD446" dT="2025-06-18T14:34:39.51" personId="{8605C1BA-ACC6-44B7-B6BA-3B49ED35AE65}" id="{63742FDD-E067-47B0-A272-34949B21ECC0}">
    <text>Betonakkoord - 350 km3 for 10 khomes in 2020, twice as much by 2050. Linked to housing projections and linear interpolation. Assumed 2400 kg/m3 concrete.</text>
  </threadedComment>
  <threadedComment ref="CH446" dT="2025-06-18T14:34:39.51" personId="{8605C1BA-ACC6-44B7-B6BA-3B49ED35AE65}" id="{CA3679E1-04BF-4853-8BC3-8986E5380F96}">
    <text>Betonakkoord - 350 km3 for 10 khomes in 2020, twice as much by 2050. Linked to housing projections and linear interpolation. Assumed 2400 kg/m3 concrete.</text>
  </threadedComment>
  <threadedComment ref="G447" dT="2025-06-20T09:05:03.04" personId="{8605C1BA-ACC6-44B7-B6BA-3B49ED35AE65}" id="{6D130EC8-C6E8-4FB7-B335-7AF6EC01B722}">
    <text>Based on the Betonakkoord CO2 Roadmap estimates. Demand reduction (produces concrete)</text>
  </threadedComment>
  <threadedComment ref="CC447" dT="2025-06-18T15:01:29.52" personId="{8605C1BA-ACC6-44B7-B6BA-3B49ED35AE65}" id="{593A6914-7EF8-4714-BCE6-90B3AC06D3CA}">
    <text>And 75 km3 per year via reuse of columns and beams as foundation
Betonakkoord</text>
  </threadedComment>
  <threadedComment ref="X448" dT="2025-03-19T13:37:59.75" personId="{8605C1BA-ACC6-44B7-B6BA-3B49ED35AE65}" id="{854ECFAE-430B-49F3-994E-2E72050DA2CB}">
    <text>Zhang et al 2019, Table 4 cost data (virgin material cost)</text>
  </threadedComment>
  <threadedComment ref="X449" dT="2025-03-19T13:37:59.75" personId="{8605C1BA-ACC6-44B7-B6BA-3B49ED35AE65}" id="{997A0044-6103-4D09-B4B6-C4A79514EB96}">
    <text>Zhang et al 2019, Table 4 cost data (virgin material cost)</text>
  </threadedComment>
  <threadedComment ref="X450" dT="2025-03-18T16:06:21.61" personId="{8605C1BA-ACC6-44B7-B6BA-3B49ED35AE65}" id="{457ACEC0-6C5E-4543-B470-FB2AE0865249}">
    <text>CBS statline, invoerwaarde &amp; hoeveelheid, normal portland cement, total of EU &amp; non-EU countries
https://opendata.cbs.nl/#/CBS/nl/dataset/81261ned/table?searchKeywords=cement</text>
    <extLst>
      <x:ext xmlns:xltc2="http://schemas.microsoft.com/office/spreadsheetml/2020/threadedcomments2" uri="{F7C98A9C-CBB3-438F-8F68-D28B6AF4A901}">
        <xltc2:checksum>4282115577</xltc2:checksum>
        <xltc2:hyperlink startIndex="98" length="77" url="https://opendata.cbs.nl/#/CBS/nl/dataset/81261ned/table?searchKeywords=cement"/>
      </x:ext>
    </extLst>
  </threadedComment>
  <threadedComment ref="I452" dT="2025-03-19T13:43:26.22" personId="{8605C1BA-ACC6-44B7-B6BA-3B49ED35AE65}" id="{3EC4A03A-5121-4B45-8A1C-BCBADD91C371}">
    <text>Costs from Table 4 in Zhang et al. 2019 Equipment Cost
Unclear how many hours of operation are required per tonne of material processed</text>
  </threadedComment>
  <threadedComment ref="I452" dT="2025-03-25T14:22:20.10" personId="{8605C1BA-ACC6-44B7-B6BA-3B49ED35AE65}" id="{2D1039C4-766A-40A0-BD04-CB37C580E0F9}" parentId="{3EC4A03A-5121-4B45-8A1C-BCBADD91C371}">
    <text>https://pure.tudelft.nl/ws/portalfiles/portal/29778399/ADR_Thesis_Walter_de_Vries.pdf
Thesis p 32 gives throughput of ADR system 60-120t/h. 100 tonnes is within this range so hourly depreciation cost is not adjusted.</text>
    <extLst>
      <x:ext xmlns:xltc2="http://schemas.microsoft.com/office/spreadsheetml/2020/threadedcomments2" uri="{F7C98A9C-CBB3-438F-8F68-D28B6AF4A901}">
        <xltc2:checksum>323935935</xltc2:checksum>
        <xltc2:hyperlink startIndex="0" length="85" url="https://pure.tudelft.nl/ws/portalfiles/portal/29778399/ADR_Thesis_Walter_de_Vries.pdf"/>
      </x:ext>
    </extLst>
  </threadedComment>
  <threadedComment ref="I453" dT="2025-03-19T12:25:45.95" personId="{8605C1BA-ACC6-44B7-B6BA-3B49ED35AE65}" id="{044F4BDF-758B-46D0-A78B-6FBBCCE43AA2}">
    <text>From Tom 2008
Used capital cost &amp; working capital from current method (Table 1)
115 kt capacity (input) (landfill dumping charge divided by price per tonne)
Primary crusher = 1.651 m€ + 15% working capital
Secondary crusher = 1.68 m€ + 15% working capital
Shaper = 0.9 +15%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1491546027</xltc2:checksum>
        <xltc2:hyperlink startIndex="327" length="67" url="https://data.worldbank.org/indicator/NY.GDP.DEFL.KD.ZG?locations=AU"/>
        <xltc2:hyperlink startIndex="448" length="106" url="https://www.ecb.europa.eu/stats/policy_and_exchange_rates/euro_reference_exchange_rates/html/index.en.html"/>
      </x:ext>
    </extLst>
  </threadedComment>
  <threadedComment ref="I453" dT="2025-03-19T13:20:14.38" personId="{8605C1BA-ACC6-44B7-B6BA-3B49ED35AE65}" id="{127E101F-420B-42C9-AC41-3D64FD456CCD}" parentId="{044F4BDF-758B-46D0-A78B-6FBBCCE43AA2}">
    <text>See table 4 in samadi et al
For aggregate from CTW, you need collection transportation, crushing and sieving (NOT grinding)</text>
  </threadedComment>
  <threadedComment ref="Q453" dT="2025-03-19T12:28:09.06" personId="{8605C1BA-ACC6-44B7-B6BA-3B49ED35AE65}" id="{BD2DBB3E-3BDC-4B81-BB40-CB9CD1A5AF1A}">
    <text xml:space="preserve">Tam 2008
Equipment maintenance + fixed overhead for primary and secondary crusher and shaper
30.1 +40.6 +32.2 +40.6 +22.3 +40.6 = 206.4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79762085</xltc2:checksum>
        <xltc2:hyperlink startIndex="211" length="67" url="https://data.worldbank.org/indicator/NY.GDP.DEFL.KD.ZG?locations=AU"/>
        <xltc2:hyperlink startIndex="332" length="106" url="https://www.ecb.europa.eu/stats/policy_and_exchange_rates/euro_reference_exchange_rates/html/index.en.html"/>
      </x:ext>
    </extLst>
  </threadedComment>
  <threadedComment ref="AG453" dT="2025-03-19T12:36:37.11" personId="{8605C1BA-ACC6-44B7-B6BA-3B49ED35AE65}" id="{C0EF4D0C-9318-4281-9E74-FF2DB425AE3E}">
    <text>Tam 2008</text>
  </threadedComment>
  <threadedComment ref="CD453" dT="2025-05-13T09:47:15.44" personId="{8605C1BA-ACC6-44B7-B6BA-3B49ED35AE65}" id="{92AECA1E-C47C-4865-88D8-A7F98AC15B1D}">
    <text>10% of total aggregate demand potential in 2030, increasing to 30% by 2050 (see appendix of paper)(Fu &amp; Lee). Note we assume same density of aggregate from CTW vs natural aggregate.</text>
  </threadedComment>
  <threadedComment ref="I454" dT="2025-03-19T10:36:42.87" personId="{8605C1BA-ACC6-44B7-B6BA-3B49ED35AE65}" id="{31EBFF6C-6EF4-4A6E-930B-15602E55D259}">
    <text>Sum of the crushing to aggregate size plus CAPEX and OPEX from MIDDEN report on cement, used roller press + 2 vertical grinding mills as standard crushing/grinding technology.
Table 11.</text>
  </threadedComment>
  <threadedComment ref="I454" dT="2025-03-19T13:20:45.31" personId="{8605C1BA-ACC6-44B7-B6BA-3B49ED35AE65}" id="{C6409986-D3EA-4D40-9055-08E65213A497}" parentId="{31EBFF6C-6EF4-4A6E-930B-15602E55D259}">
    <text>See Table 4 in Samadi et al.
For SCM from CTW, you need collection, transportation, crushing sieving, and grinding.</text>
  </threadedComment>
  <threadedComment ref="AG454" dT="2025-03-19T12:36:41.93" personId="{8605C1BA-ACC6-44B7-B6BA-3B49ED35AE65}" id="{5DA375B6-D86A-4859-A36B-53828267158F}">
    <text>Tam 2008</text>
  </threadedComment>
  <threadedComment ref="CD454" dT="2025-05-13T09:47:15.44" personId="{8605C1BA-ACC6-44B7-B6BA-3B49ED35AE65}" id="{5BA17C3E-93A2-42E8-86C2-CECCED51D78A}">
    <text>10% of total cement demand potential in 2030, increasing to 30% by 2050 (see appendix of paper)(Fu &amp; Lee). Assumed same density SCM vs. cement.</text>
  </threadedComment>
  <threadedComment ref="I455" dT="2025-03-19T12:25:45.95" personId="{8605C1BA-ACC6-44B7-B6BA-3B49ED35AE65}" id="{00D8FC80-5890-481B-A98C-433846D09D6D}">
    <text>From Tom 2008
Used capital cost &amp; working capital from concrete recycling method (Table 2)
115 kt capacity (input) (landfill dumping charge divided by price per tonne)
pulverizer, primary &amp; secondary crusher, magnetic separator
Conversion from australian dollars 2008 to EUR 2020
https://data.worldbank.org/indicator/NY.GDP.DEFL.KD.ZG?locations=AU
4.8*1.9*6.2*1.8*-0.2*1.4*-0.6*-0.7*3.7*1.9*3.5 &gt;&gt;26%
https://www.ecb.europa.eu/stats/policy_and_exchange_rates/euro_reference_exchange_rates/html/index.en.html
1.6549</text>
    <extLst>
      <x:ext xmlns:xltc2="http://schemas.microsoft.com/office/spreadsheetml/2020/threadedcomments2" uri="{F7C98A9C-CBB3-438F-8F68-D28B6AF4A901}">
        <xltc2:checksum>937458858</xltc2:checksum>
        <xltc2:hyperlink startIndex="281" length="67" url="https://data.worldbank.org/indicator/NY.GDP.DEFL.KD.ZG?locations=AU"/>
        <xltc2:hyperlink startIndex="402" length="106" url="https://www.ecb.europa.eu/stats/policy_and_exchange_rates/euro_reference_exchange_rates/html/index.en.html"/>
      </x:ext>
    </extLst>
  </threadedComment>
  <threadedComment ref="Q455" dT="2025-03-19T12:28:09.06" personId="{8605C1BA-ACC6-44B7-B6BA-3B49ED35AE65}" id="{42EA6C6C-2A91-4117-A855-84308AD3F434}">
    <text xml:space="preserve">Tam 2008
Equipment maintenance + fixed overhead 
35.2+40.6+40.2+40.6+15.9+40.6+42.3+40.6 = 296 k€
Per 115kt capacity
Conversion from australian dollars 2008 to EUR 2020
https://data.worldbank.org/indicator/NY.GDP.DEFL.KD.ZG?locations=AU
4.8*1.9*6.2*1.8*-0.2*1.4*-0.6*-0.7*3.7*1.9*3.5 &gt;&gt;26%
https://www.ecb.europa.eu/stats/policy_and_exchange_rates/euro_reference_exchange_rates/html/index.en.html
1.6549
</text>
    <extLst>
      <x:ext xmlns:xltc2="http://schemas.microsoft.com/office/spreadsheetml/2020/threadedcomments2" uri="{F7C98A9C-CBB3-438F-8F68-D28B6AF4A901}">
        <xltc2:checksum>3650331643</xltc2:checksum>
        <xltc2:hyperlink startIndex="170" length="67" url="https://data.worldbank.org/indicator/NY.GDP.DEFL.KD.ZG?locations=AU"/>
        <xltc2:hyperlink startIndex="291" length="106" url="https://www.ecb.europa.eu/stats/policy_and_exchange_rates/euro_reference_exchange_rates/html/index.en.html"/>
      </x:ext>
    </extLst>
  </threadedComment>
  <threadedComment ref="AG455" dT="2025-03-19T12:36:41.93" personId="{8605C1BA-ACC6-44B7-B6BA-3B49ED35AE65}" id="{3713FD56-ACAB-458C-B40D-8891EC39538E}">
    <text>Tam 2008</text>
  </threadedComment>
  <threadedComment ref="CD455" dT="2025-05-13T09:47:15.44" personId="{8605C1BA-ACC6-44B7-B6BA-3B49ED35AE65}" id="{7F30B5B7-AD9C-45F6-BD4D-9E71CD9D704F}">
    <text>10% of total concrete demand potential in 2030, increasing to 30% by 2050 (see appendix of paper)(Fu &amp; Lee). Note we assume the same density of aggregate from CTW as natural aggregate.</text>
  </threadedComment>
  <threadedComment ref="I456" dT="2025-05-13T09:41:38.70" personId="{8605C1BA-ACC6-44B7-B6BA-3B49ED35AE65}" id="{74ABF320-C216-4EEC-BC96-C92BEE52A9F7}">
    <text>Assumed same cost as crushing for SCM</text>
  </threadedComment>
  <threadedComment ref="CD456" dT="2025-05-13T09:45:22.75" personId="{8605C1BA-ACC6-44B7-B6BA-3B49ED35AE65}" id="{2C3377CC-AB5C-4A66-9B3D-01D288EAD9A1}">
    <text>Assumed 20% potential by 2030, increasing to 50% by 2050 (see appendix of paper)(Fu &amp; Lee)</text>
  </threadedComment>
  <threadedComment ref="CB460" dT="2025-07-31T07:49:50.84" personId="{8605C1BA-ACC6-44B7-B6BA-3B49ED35AE65}" id="{7B6D6D60-9857-4CBE-9B3E-7F9B9BD69B5F}">
    <text>Total amount of AfvalGlas in Materiaal Monitor gebruik table (also what is currently reused/recycled)</text>
  </threadedComment>
</ThreadedComments>
</file>

<file path=xl/threadedComments/threadedComment3.xml><?xml version="1.0" encoding="utf-8"?>
<ThreadedComments xmlns="http://schemas.microsoft.com/office/spreadsheetml/2018/threadedcomments" xmlns:x="http://schemas.openxmlformats.org/spreadsheetml/2006/main">
  <threadedComment ref="CQ35" dT="2025-04-01T09:21:42.84" personId="{8605C1BA-ACC6-44B7-B6BA-3B49ED35AE65}" id="{EA860C3B-FCFF-4D4A-BBC2-8A6E80A807F6}">
    <text>Based on annual inputs shown on p 12 (Fig 4) of MIDDEN report
Includes both fines and lump ore</text>
  </threadedComment>
  <threadedComment ref="CQ36" dT="2025-04-01T09:21:42.84" personId="{8605C1BA-ACC6-44B7-B6BA-3B49ED35AE65}" id="{0F5BFAC9-0067-46B2-8446-7D6D3A217915}">
    <text>Based on annual inputs shown on p 12 (Fig 4) of MIDDEN report
Includes both fines and lump ore</text>
  </threadedComment>
  <threadedComment ref="CQ37" dT="2025-04-01T09:21:42.84" personId="{8605C1BA-ACC6-44B7-B6BA-3B49ED35AE65}" id="{6858FD5D-82DF-4BA8-9809-816B955B31E2}">
    <text>Based on inputs shown on p 39 (Fig 23) of MIDDEN report
Includes both fines and lump ore</text>
  </threadedComment>
  <threadedComment ref="CQ38" dT="2025-04-01T09:21:42.84" personId="{8605C1BA-ACC6-44B7-B6BA-3B49ED35AE65}" id="{D5959AB4-71C6-4B63-A957-77DCD839ADB6}">
    <text>Based on inputs shown on p 40 (Fig 24) of MIDDEN report
Includes both fines and lump ore</text>
  </threadedComment>
  <threadedComment ref="CQ39" dT="2025-04-01T09:21:42.84" personId="{8605C1BA-ACC6-44B7-B6BA-3B49ED35AE65}" id="{BF492527-6FE3-43FB-835D-E3422F1707EE}">
    <text>Based on inputs shown on p 40 (Fig 24) of MIDDEN report
Includes both fines and lump ore</text>
  </threadedComment>
  <threadedComment ref="CQ40" dT="2025-04-01T09:21:42.84" personId="{8605C1BA-ACC6-44B7-B6BA-3B49ED35AE65}" id="{2517CBC1-22D1-4B3E-9A7D-6C74185621F0}">
    <text>Based on inputs shown on p 40 (Fig 24) of MIDDEN report
Includes both fines and lump ore</text>
  </threadedComment>
  <threadedComment ref="CQ41" dT="2025-04-01T09:21:42.84" personId="{8605C1BA-ACC6-44B7-B6BA-3B49ED35AE65}" id="{6737DA18-F1CD-4AF2-BEFE-7100D4D027EE}">
    <text>Based on inputs shown on p 41 (Fig 25) of MIDDEN report
Includes both fines and lump ore</text>
  </threadedComment>
  <threadedComment ref="CQ42" dT="2025-04-01T09:21:42.84" personId="{8605C1BA-ACC6-44B7-B6BA-3B49ED35AE65}" id="{9DDDB129-A43B-4430-81D8-9DDCDF26BC26}">
    <text>Based on inputs shown on p 42 (Fig 26) of MIDDEN report
Includes both fines and lump ore</text>
  </threadedComment>
  <threadedComment ref="CQ43" dT="2025-04-01T09:21:42.84" personId="{8605C1BA-ACC6-44B7-B6BA-3B49ED35AE65}" id="{E80B5E20-6DCF-4EAC-8B58-940C335E523D}">
    <text>Based on inputs shown on p 42 (Fig 26) of MIDDEN report
Includes both fines and lump ore</text>
  </threadedComment>
  <threadedComment ref="CQ44" dT="2025-04-01T09:21:42.84" personId="{8605C1BA-ACC6-44B7-B6BA-3B49ED35AE65}" id="{D47B86D2-4A50-4C82-B938-53D93A4BB20E}">
    <text>Based on inputs shown on p 43 (Fig 27) of MIDDEN report
Includes both fines and lump ore</text>
  </threadedComment>
  <threadedComment ref="CQ45" dT="2025-04-01T09:21:42.84" personId="{8605C1BA-ACC6-44B7-B6BA-3B49ED35AE65}" id="{51249379-8D17-46F0-886F-9C2EECEDB181}">
    <text>Based on inputs shown on p 44 (Fig 28) of MIDDEN report
Includes both fines and lump ore</text>
  </threadedComment>
  <threadedComment ref="DH54" dT="2025-05-05T11:11:08.56" personId="{8605C1BA-ACC6-44B7-B6BA-3B49ED35AE65}" id="{703D1992-A2AE-451F-9800-EECA99804074}">
    <text>Updated from cluster model</text>
  </threadedComment>
  <threadedComment ref="DO54" dT="2025-05-05T11:11:44.91" personId="{8605C1BA-ACC6-44B7-B6BA-3B49ED35AE65}" id="{DE61FE61-01B9-46F5-B3C7-0AB828019230}">
    <text>Cluster model</text>
  </threadedComment>
  <threadedComment ref="DT54" dT="2025-05-13T14:25:07.68" personId="{8605C1BA-ACC6-44B7-B6BA-3B49ED35AE65}" id="{CCC140EE-139B-4C67-8015-BF2614880E54}">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56" dT="2025-05-13T14:25:07.68" personId="{8605C1BA-ACC6-44B7-B6BA-3B49ED35AE65}" id="{B11855B4-2E0F-4BDD-9852-1E831E906E1B}">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64" dT="2025-05-02T10:18:03.58" personId="{8605C1BA-ACC6-44B7-B6BA-3B49ED35AE65}" id="{9EF9DCD5-FE26-427A-994F-3BBBE9CBC0CC}">
    <text>Updated based on cluster model</text>
  </threadedComment>
  <threadedComment ref="DO64" dT="2025-05-02T10:18:22.12" personId="{8605C1BA-ACC6-44B7-B6BA-3B49ED35AE65}" id="{E3FC9801-1B5F-4D0F-9F24-FBF0F3F5F576}">
    <text>Updated based on cluster model</text>
  </threadedComment>
  <threadedComment ref="DZ64" dT="2025-05-02T10:20:06.39" personId="{8605C1BA-ACC6-44B7-B6BA-3B49ED35AE65}" id="{AB8C5B65-C4FD-47D2-BD87-FA2CDCB7FD27}">
    <text>Updated based on cluster model and LHV assumptions</text>
  </threadedComment>
  <threadedComment ref="DO65" dT="2025-05-02T10:28:34.22" personId="{8605C1BA-ACC6-44B7-B6BA-3B49ED35AE65}" id="{B7C6BE01-382D-4778-A5B5-4968B6EC6A57}">
    <text>Updated based on cluster model</text>
  </threadedComment>
  <threadedComment ref="EI65" dT="2025-05-02T10:29:31.88" personId="{8605C1BA-ACC6-44B7-B6BA-3B49ED35AE65}" id="{702F42AB-AF3D-4E7B-99EB-608E078100FA}">
    <text>Updated based on cluster model. Now higher methanol input but lower heat input (efficiency ~equal)</text>
  </threadedComment>
  <threadedComment ref="DH67" dT="2025-05-02T10:41:10.23" personId="{8605C1BA-ACC6-44B7-B6BA-3B49ED35AE65}" id="{1A35D7F0-3A1C-46D2-8EA3-6AC510F62D32}">
    <text>Updated based on cluster model</text>
  </threadedComment>
  <threadedComment ref="DO67" dT="2025-05-02T10:42:55.03" personId="{8605C1BA-ACC6-44B7-B6BA-3B49ED35AE65}" id="{FED55390-C26C-4F1A-A6C5-0DF08BA2EE8C}">
    <text>Updated from cluster model - check the units!!</text>
  </threadedComment>
  <threadedComment ref="DS67" dT="2025-05-02T10:43:45.80" personId="{8605C1BA-ACC6-44B7-B6BA-3B49ED35AE65}" id="{341AE422-E62E-4D6C-A276-078B0DC43F17}">
    <text>Updated from cluster model</text>
  </threadedComment>
  <threadedComment ref="EM67" dT="2025-05-02T10:44:11.26" personId="{8605C1BA-ACC6-44B7-B6BA-3B49ED35AE65}" id="{45888717-27B5-4425-9F2E-A0742E687EC3}">
    <text>Updated from cluster model</text>
  </threadedComment>
  <threadedComment ref="DH68" dT="2025-06-05T13:36:55.51" personId="{8605C1BA-ACC6-44B7-B6BA-3B49ED35AE65}" id="{08BB44EF-04A9-497C-9837-4F7E3B22C112}">
    <text xml:space="preserve">8.2GJ/t propylene
</text>
  </threadedComment>
  <threadedComment ref="DZ68" dT="2025-06-05T13:34:45.37" personId="{8605C1BA-ACC6-44B7-B6BA-3B49ED35AE65}" id="{2AF2ED6F-D15B-4E7E-8584-06B6F3BCF292}">
    <text>27% yield from Rode et al 2024</text>
  </threadedComment>
  <threadedComment ref="I93" dT="2025-07-21T21:25:56.95" personId="{8605C1BA-ACC6-44B7-B6BA-3B49ED35AE65}" id="{289EFB61-77A0-4170-BDE8-1F1472CB7CC3}">
    <text>Special case where CO2 is directly used as feedstock for material!</text>
  </threadedComment>
  <threadedComment ref="DH94" dT="2025-05-02T10:41:10.23" personId="{8605C1BA-ACC6-44B7-B6BA-3B49ED35AE65}" id="{1AD9CA64-EF73-44C5-9C67-F983A2B68DD1}">
    <text>Updated based on cluster model</text>
  </threadedComment>
  <threadedComment ref="DS94" dT="2025-05-02T10:43:45.80" personId="{8605C1BA-ACC6-44B7-B6BA-3B49ED35AE65}" id="{F39F0725-5619-4293-B998-467EB0817133}">
    <text>Updated from cluster model</text>
  </threadedComment>
  <threadedComment ref="EM94" dT="2025-05-02T10:44:11.26" personId="{8605C1BA-ACC6-44B7-B6BA-3B49ED35AE65}" id="{259F42E3-615A-40EE-BF52-BEC3BAC8A352}">
    <text>Updated from cluster model</text>
  </threadedComment>
  <threadedComment ref="DH95" dT="2025-05-05T11:11:08.56" personId="{8605C1BA-ACC6-44B7-B6BA-3B49ED35AE65}" id="{702F8606-2EB3-4AE2-AD92-DBFAE9D106EE}">
    <text>Updated from cluster model</text>
  </threadedComment>
  <threadedComment ref="DO95" dT="2025-05-05T11:11:44.91" personId="{8605C1BA-ACC6-44B7-B6BA-3B49ED35AE65}" id="{5B9EE0C8-3048-4C3B-85BE-FA14597C3DCB}">
    <text>Cluster model</text>
  </threadedComment>
  <threadedComment ref="DT95" dT="2025-05-13T14:25:07.68" personId="{8605C1BA-ACC6-44B7-B6BA-3B49ED35AE65}" id="{445A1335-EDCD-4200-8007-19746C49F0C3}">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Y95" dT="2025-05-13T14:25:07.68" personId="{8605C1BA-ACC6-44B7-B6BA-3B49ED35AE65}" id="{637F3B93-1ACA-46E2-A180-C359B3410BF5}">
    <text>=-('https://365tno-my.sharepoint.com/personal/kira_west_tno_nl/Documents/Kira/PhD/Data/[Harmonization of data_cluster_link.xlsx]Technologies - E&amp;M balances'!$K$17*Activities!S116)/('https://365tno-my.sharepoint.com/personal/kira_west_tno_nl/Documents/Kira/PhD/Data/[Harmonization of data_cluster_link.xlsx]Technologies - E&amp;M balances'!$N$17)</text>
    <extLst>
      <x:ext xmlns:xltc2="http://schemas.microsoft.com/office/spreadsheetml/2020/threadedcomments2" uri="{F7C98A9C-CBB3-438F-8F68-D28B6AF4A901}">
        <xltc2:checksum>1037770227</xltc2:checksum>
        <xltc2:hyperlink startIndex="4" length="97" url="https://365tno-my.sharepoint.com/personal/kira_west_tno_nl/Documents/Kira/PhD/Data/[Harmonization"/>
      </x:ext>
    </extLst>
  </threadedComment>
  <threadedComment ref="DH96" dT="2025-07-14T12:10:25.49" personId="{8605C1BA-ACC6-44B7-B6BA-3B49ED35AE65}" id="{5011BA70-E826-4D5D-92FC-AB617963AF54}">
    <text>Average of values for corn grain in table 2</text>
  </threadedComment>
  <threadedComment ref="DO96" dT="2025-07-14T12:11:06.16" personId="{8605C1BA-ACC6-44B7-B6BA-3B49ED35AE65}" id="{30BF4CEE-3E06-4E7B-8625-DFA5DF10694D}">
    <text>Average of values from table 2 corn grain</text>
  </threadedComment>
  <threadedComment ref="ER96" dT="2025-07-14T12:12:58.83" personId="{8605C1BA-ACC6-44B7-B6BA-3B49ED35AE65}" id="{76B7FC42-BF9C-4C8A-8B07-A4E60F20C139}">
    <text>Average of corn grain values in table 2, with 15 GJ/t LHV assumed</text>
  </threadedComment>
  <threadedComment ref="EM97" dT="2025-06-10T15:38:26.19" personId="{8605C1BA-ACC6-44B7-B6BA-3B49ED35AE65}" id="{A45C7A1F-4D0E-47C8-B2C5-B433BDF5E1AB}">
    <text>Note that the value in the database given includes water - see table 3 of the report</text>
  </threadedComment>
  <threadedComment ref="DH100" dT="2025-07-23T08:11:32.53" personId="{8605C1BA-ACC6-44B7-B6BA-3B49ED35AE65}" id="{4C649F02-C281-4EC2-AD42-81BC83ACD64C}">
    <text>Based cbs energy balance 2022 minus test run for other activities</text>
  </threadedComment>
  <threadedComment ref="DO100" dT="2025-07-23T08:11:32.53" personId="{8605C1BA-ACC6-44B7-B6BA-3B49ED35AE65}" id="{F7C920D0-367E-4B4D-8996-6AEA8436E10C}">
    <text>Based cbs energy balance 2022 minus test run for other activities</text>
  </threadedComment>
  <threadedComment ref="DP100" dT="2025-07-23T08:11:32.53" personId="{8605C1BA-ACC6-44B7-B6BA-3B49ED35AE65}" id="{F4D267A3-4F1E-4459-9444-EA8180848EE2}">
    <text>Based cbs energy balance 2022 minus test run for other activities</text>
  </threadedComment>
  <threadedComment ref="DQ100" dT="2025-07-23T08:11:32.53" personId="{8605C1BA-ACC6-44B7-B6BA-3B49ED35AE65}" id="{15253F71-3D55-41AC-A765-A62AAB4F08BB}">
    <text>Based cbs energy balance 2022 minus test run for other activities</text>
  </threadedComment>
  <threadedComment ref="DT100" dT="2025-07-23T08:11:32.53" personId="{8605C1BA-ACC6-44B7-B6BA-3B49ED35AE65}" id="{3AE7FB9D-0B8F-4522-9CF9-1781D7DF3A03}">
    <text>Based cbs energy balance 2022 minus test run for other activities</text>
  </threadedComment>
  <threadedComment ref="DT100" dT="2025-07-23T08:21:42.41" personId="{8605C1BA-ACC6-44B7-B6BA-3B49ED35AE65}" id="{91F4027B-F5A0-4F06-9EF2-D62CFE8B1643}" parentId="{3AE7FB9D-0B8F-4522-9CF9-1781D7DF3A03}">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DX100" dT="2025-07-23T08:11:32.53" personId="{8605C1BA-ACC6-44B7-B6BA-3B49ED35AE65}" id="{3E97F192-0173-4BCE-AA79-BD4068CB631D}">
    <text>Based cbs energy balance 2022 minus test run for other activities</text>
  </threadedComment>
  <threadedComment ref="DX100" dT="2025-07-23T08:21:42.41" personId="{8605C1BA-ACC6-44B7-B6BA-3B49ED35AE65}" id="{C24D55C5-6987-47BA-8C36-EBEB1FD617FC}" parentId="{3E97F192-0173-4BCE-AA79-BD4068CB631D}">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A101" dT="2025-07-23T08:11:32.53" personId="{8605C1BA-ACC6-44B7-B6BA-3B49ED35AE65}" id="{9C95C622-4246-4872-BDF8-50BEA9AC211C}">
    <text>Based cbs energy balance 2022 minus test run for other activities</text>
  </threadedComment>
  <threadedComment ref="EA101" dT="2025-07-23T08:21:42.41" personId="{8605C1BA-ACC6-44B7-B6BA-3B49ED35AE65}" id="{4B25535D-CB9F-4ABF-A0C9-7C696D315F08}" parentId="{9C95C622-4246-4872-BDF8-50BEA9AC211C}">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E102" dT="2025-07-23T08:11:32.53" personId="{8605C1BA-ACC6-44B7-B6BA-3B49ED35AE65}" id="{3A8F82DE-1575-43A1-9823-7771561F9796}">
    <text>Based cbs energy balance 2022 minus test run for other activities</text>
  </threadedComment>
  <threadedComment ref="EE102" dT="2025-07-23T08:21:42.41" personId="{8605C1BA-ACC6-44B7-B6BA-3B49ED35AE65}" id="{6365117D-A12A-45C0-A928-04B5F4AC2B31}" parentId="{3A8F82DE-1575-43A1-9823-7771561F9796}">
    <text>Naphtha use in our results is already much higher than non-energy naphtha use in energy balance. Actual feedstock for crackers may also include LPG, diesel, etc. This has been adjusted to match on oil products level instead of for specific products</text>
  </threadedComment>
  <threadedComment ref="EW124" dT="2025-07-09T13:05:45.64" personId="{8605C1BA-ACC6-44B7-B6BA-3B49ED35AE65}" id="{27263F6D-C04C-4466-94E9-32FB8C6D4F1D}">
    <text>Was 9.5 in RVO’s 2022 standard list of fuels. 2024 version gives 9.4, not updated</text>
  </threadedComment>
  <threadedComment ref="EW125" dT="2025-07-09T13:05:36.95" personId="{8605C1BA-ACC6-44B7-B6BA-3B49ED35AE65}" id="{81A4879C-3EF9-4819-B879-CD54BB09455B}">
    <text>Was 9.5 in RVO’s 2022 standard list of fuels. 2024 version gives 9.4, not updated</text>
  </threadedComment>
  <threadedComment ref="EX133" dT="2025-07-11T13:29:11.55" personId="{8605C1BA-ACC6-44B7-B6BA-3B49ED35AE65}" id="{A44C8139-3B10-411B-A7FA-42512D0EAFEE}">
    <text xml:space="preserve">Matching overall yield MPW -&gt; MeOH from Afzal et al. </text>
  </threadedComment>
  <threadedComment ref="EX134" dT="2025-07-11T13:29:21.73" personId="{8605C1BA-ACC6-44B7-B6BA-3B49ED35AE65}" id="{59A61F7F-74D9-429D-BA33-778E3A841D2E}">
    <text>Matching overall yield MPW -&gt; MeOH from Afzal et al.  For consistency with cluster model</text>
  </threadedComment>
  <threadedComment ref="DD136" dT="2025-07-15T09:39:08.87" personId="{8605C1BA-ACC6-44B7-B6BA-3B49ED35AE65}" id="{80C45038-B564-4AD0-96E3-53073AE9591B}">
    <text>Assumed similar yield to glycolysis</text>
  </threadedComment>
  <threadedComment ref="DO137" dT="2025-07-14T10:25:01.76" personId="{8605C1BA-ACC6-44B7-B6BA-3B49ED35AE65}" id="{8952C0B8-FFBD-4563-ABCC-C6DFF88CCA33}">
    <text>Chemical recycling of Polyethylene terephthalate: A mini-review - ScienceDirect 
188 kj/mol</text>
    <extLst>
      <x:ext xmlns:xltc2="http://schemas.microsoft.com/office/spreadsheetml/2020/threadedcomments2" uri="{F7C98A9C-CBB3-438F-8F68-D28B6AF4A901}">
        <xltc2:checksum>3890555932</xltc2:checksum>
        <xltc2:hyperlink startIndex="0" length="79" url="https://www.sciencedirect.com/science/article/pii/S2213343724006377#fig0015"/>
      </x:ext>
    </extLst>
  </threadedComment>
  <threadedComment ref="DO137" dT="2025-07-14T10:25:25.16" personId="{8605C1BA-ACC6-44B7-B6BA-3B49ED35AE65}" id="{B91C7F50-3578-4CAE-BEA8-131DE05529E8}" parentId="{8952C0B8-FFBD-4563-ABCC-C6DFF88CCA33}">
    <text>192 g/mol PET</text>
  </threadedComment>
  <threadedComment ref="DH138" dT="2025-07-14T11:54:08.99" personId="{8605C1BA-ACC6-44B7-B6BA-3B49ED35AE65}" id="{53FEEF1F-C496-401F-B36E-B9E9502FCDE5}">
    <text>47% less energy use than virgin production</text>
  </threadedComment>
  <threadedComment ref="DO138" dT="2025-07-14T11:54:08.99" personId="{8605C1BA-ACC6-44B7-B6BA-3B49ED35AE65}" id="{3548FAC9-72EC-4A58-B5D8-BF0907D72AA4}">
    <text>47% less energy use than virgin production</text>
  </threadedComment>
  <threadedComment ref="F139" dT="2025-07-14T11:38:42.69" personId="{8605C1BA-ACC6-44B7-B6BA-3B49ED35AE65}" id="{65875D08-637B-4178-8427-E940A6998797}">
    <text>Assumed to include repolymerization because of model scope (monomer not explicit)</text>
  </threadedComment>
  <threadedComment ref="F139" dT="2025-07-14T11:59:36.96" personId="{8605C1BA-ACC6-44B7-B6BA-3B49ED35AE65}" id="{0F103828-FCD0-49F4-93FA-7E8C526B6928}" parentId="{65875D08-637B-4178-8427-E940A6998797}">
    <text>https://www.creasolv.de/images/2024.02.23_Dissolution_-_LCAs_EPS_PVC_EPS-HBCD.jpg (47% lower energy use than virgin production)</text>
    <extLst>
      <x:ext xmlns:xltc2="http://schemas.microsoft.com/office/spreadsheetml/2020/threadedcomments2" uri="{F7C98A9C-CBB3-438F-8F68-D28B6AF4A901}">
        <xltc2:checksum>3481669754</xltc2:checksum>
        <xltc2:hyperlink startIndex="0" length="81" url="https://www.creasolv.de/images/2024.02.23_Dissolution_-_LCAs_EPS_PVC_EPS-HBCD.jpg"/>
      </x:ext>
    </extLst>
  </threadedComment>
  <threadedComment ref="DE139" dT="2025-07-15T09:39:08.87" personId="{8605C1BA-ACC6-44B7-B6BA-3B49ED35AE65}" id="{BEC5365E-1675-4900-84BE-B6316AE7394F}">
    <text>Assumed similar yield to glycolysis</text>
  </threadedComment>
  <threadedComment ref="DH140" dT="2025-07-14T11:54:08.99" personId="{8605C1BA-ACC6-44B7-B6BA-3B49ED35AE65}" id="{D971FD4D-DBF4-4E11-9E3A-3458A519EF1B}">
    <text>47% less energy use than virgin production</text>
  </threadedComment>
  <threadedComment ref="DO140" dT="2025-07-14T11:54:08.99" personId="{8605C1BA-ACC6-44B7-B6BA-3B49ED35AE65}" id="{031C1276-06B6-434C-868C-A1202863BC87}">
    <text>47% less energy use than virgin production</text>
  </threadedComment>
  <threadedComment ref="DI273" dT="2025-05-02T10:49:25.07" personId="{8605C1BA-ACC6-44B7-B6BA-3B49ED35AE65}" id="{1BB8E577-FD59-43B0-BE54-3770EF2D0756}">
    <text>Updated based on cluster model</text>
  </threadedComment>
  <threadedComment ref="DI284" dT="2025-05-02T10:49:25.07" personId="{8605C1BA-ACC6-44B7-B6BA-3B49ED35AE65}" id="{6593E699-63F2-4EF2-AEB2-6987B58B36FF}">
    <text>Updated based on cluster model</text>
  </threadedComment>
  <threadedComment ref="DI297" dT="2025-05-02T10:49:25.07" personId="{8605C1BA-ACC6-44B7-B6BA-3B49ED35AE65}" id="{E2EE3FED-33EA-4124-8F8B-5A8D9E0F5681}">
    <text>Updated based on cluster model</text>
  </threadedComment>
  <threadedComment ref="DI304" dT="2025-05-02T10:49:25.07" personId="{8605C1BA-ACC6-44B7-B6BA-3B49ED35AE65}" id="{0FE4F90F-A872-4147-B5B3-05C2F7C1D12E}">
    <text>Updated based on cluster model</text>
  </threadedComment>
  <threadedComment ref="DH320" dT="2025-05-02T10:49:25.07" personId="{8605C1BA-ACC6-44B7-B6BA-3B49ED35AE65}" id="{3817C2BA-E95E-48BC-A937-F43A80D52AC2}">
    <text>Updated based on cluster model</text>
  </threadedComment>
  <threadedComment ref="AG337" dT="2024-07-26T13:59:10.82" personId="{8605C1BA-ACC6-44B7-B6BA-3B49ED35AE65}" id="{CC03431D-D17D-4C57-9E9E-97C29B2317C7}">
    <text xml:space="preserve">Based on ratio in 2020 from CBS of total prod of aromatics vs total prod kerosene (with conversion of units, LHV of kerosene)
StatLine - Crude and petroleum products balance sheet; supply and consumption (cbs.nl) </text>
    <extLst>
      <x:ext xmlns:xltc2="http://schemas.microsoft.com/office/spreadsheetml/2020/threadedcomments2" uri="{F7C98A9C-CBB3-438F-8F68-D28B6AF4A901}">
        <xltc2:checksum>4280473956</xltc2:checksum>
        <xltc2:hyperlink startIndex="127" length="86" url="https://opendata.cbs.nl/#/CBS/en/dataset/84596ENG/table?ts=1720711614477"/>
      </x:ext>
    </extLst>
  </threadedComment>
  <threadedComment ref="EI360" dT="2025-04-03T13:00:31.51" personId="{7525724F-FAA8-4979-825E-563E74177B66}" id="{297CDFB8-8964-4411-8A75-CDA0D1201C95}">
    <text>Based on Techno-economic assessment and comparison of Fischer–Tropsch and Methanol-to-Jet processes to produce sustainable aviation fuel via Power-to-Liquid - ScienceDirect . Updated in sources</text>
    <extLst>
      <x:ext xmlns:xltc2="http://schemas.microsoft.com/office/spreadsheetml/2020/threadedcomments2" uri="{F7C98A9C-CBB3-438F-8F68-D28B6AF4A901}">
        <xltc2:checksum>2517830190</xltc2:checksum>
        <xltc2:hyperlink startIndex="9" length="163" url="https://www.sciencedirect.com/science/article/pii/S0196890424006691"/>
      </x:ext>
    </extLst>
  </threadedComment>
  <threadedComment ref="EI362" dT="2025-04-03T13:00:36.21" personId="{7525724F-FAA8-4979-825E-563E74177B66}" id="{797B1906-EF4C-46C8-94FE-FDE3E7B21949}">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EI364" dT="2025-04-03T13:00:36.21" personId="{7525724F-FAA8-4979-825E-563E74177B66}" id="{C97AB088-62F4-4BB1-8281-47E8FFCA383B}">
    <text xml:space="preserve">Based on Techno-economic assessment and comparison of Fischer–Tropsch and Methanol-to-Jet processes to produce sustainable aviation fuel via Power-to-Liquid - ScienceDirect . Updated in sources
</text>
    <extLst>
      <x:ext xmlns:xltc2="http://schemas.microsoft.com/office/spreadsheetml/2020/threadedcomments2" uri="{F7C98A9C-CBB3-438F-8F68-D28B6AF4A901}">
        <xltc2:checksum>175423233</xltc2:checksum>
        <xltc2:hyperlink startIndex="9" length="163" url="https://www.sciencedirect.com/science/article/pii/S0196890424006691"/>
      </x:ext>
    </extLst>
  </threadedComment>
  <threadedComment ref="DH366" dT="2025-07-29T12:32:51.63" personId="{8605C1BA-ACC6-44B7-B6BA-3B49ED35AE65}" id="{9933C29B-1500-469E-8657-5593F524103A}">
    <text>Electricity input neglected to avoid numerical issues</text>
  </threadedComment>
  <threadedComment ref="H367" dT="2025-05-02T10:55:04.60" personId="{8605C1BA-ACC6-44B7-B6BA-3B49ED35AE65}" id="{7060E41D-A36E-4DC9-8EE7-3705C0AC3271}">
    <text>Updated based on cluster model</text>
  </threadedComment>
  <threadedComment ref="DH367" dT="2025-05-02T10:53:01.27" personId="{8605C1BA-ACC6-44B7-B6BA-3B49ED35AE65}" id="{635B43F4-D707-4D8A-8CC5-372D2A482793}">
    <text>Updated based on cluster model</text>
  </threadedComment>
  <threadedComment ref="DO367" dT="2025-05-02T10:53:14.08" personId="{8605C1BA-ACC6-44B7-B6BA-3B49ED35AE65}" id="{82AE99DC-7A52-4396-90C3-452B1D1BB852}">
    <text>Updated based on cluster model</text>
  </threadedComment>
  <threadedComment ref="EM367" dT="2025-05-02T10:54:06.11" personId="{8605C1BA-ACC6-44B7-B6BA-3B49ED35AE65}" id="{C5E7CC56-149B-4100-A855-BC15FACCE41F}">
    <text>Updated based on cluster model (very similar values)</text>
  </threadedComment>
  <threadedComment ref="DH370" dT="2025-05-02T10:58:06.04" personId="{8605C1BA-ACC6-44B7-B6BA-3B49ED35AE65}" id="{D1699EA9-2195-4A25-B159-84E11843A6E2}">
    <text>Updated from cluster model</text>
  </threadedComment>
  <threadedComment ref="DO370" dT="2025-05-02T10:58:39.82" personId="{8605C1BA-ACC6-44B7-B6BA-3B49ED35AE65}" id="{442B3202-805C-49F9-861D-B7F16939F84E}">
    <text>Updated from cluster model</text>
  </threadedComment>
  <threadedComment ref="EG370" dT="2025-05-02T10:59:17.15" personId="{8605C1BA-ACC6-44B7-B6BA-3B49ED35AE65}" id="{6E7175FA-E91E-4908-B903-C753D18CEE3C}">
    <text>Updated from cluster model</text>
  </threadedComment>
  <threadedComment ref="DH390" dT="2024-11-29T12:16:38.08" personId="{8605C1BA-ACC6-44B7-B6BA-3B49ED35AE65}" id="{DD0BEEA3-1991-46F1-AB29-E31F5BF0A967}">
    <text>2020 efficiency from Danish Energy Agency catalogue (19.1 kg/MWh input)
For AEC 1 GW</text>
  </threadedComment>
  <threadedComment ref="DH391" dT="2024-11-29T12:16:38.08" personId="{8605C1BA-ACC6-44B7-B6BA-3B49ED35AE65}" id="{BEDB5BE0-ADE6-4D44-BA38-9962D33B67A0}">
    <text>2020 efficiency from Danish Energy Agency catalogue (17.8 kg/MWh input)
For PEMEC 1 GW</text>
  </threadedComment>
  <threadedComment ref="DH392" dT="2024-11-29T12:16:38.08" personId="{8605C1BA-ACC6-44B7-B6BA-3B49ED35AE65}" id="{ADD53CFF-CAEC-4A49-A749-C70C933E8908}">
    <text>2020 efficiency from Danish Energy Agency catalogue (24.7 kg/MWh input * 79.5% electricity in total input)
For SOEC 100 MW</text>
  </threadedComment>
  <threadedComment ref="DO392" dT="2024-11-29T12:16:38.08" personId="{8605C1BA-ACC6-44B7-B6BA-3B49ED35AE65}" id="{5E6C0831-A365-47AB-B4F7-72717341C7E3}">
    <text>2020 efficiency from Danish Energy Agency catalogue (24.7 kg/MWh input * 20.5% electricity in total input). For SOEC 100 MW</text>
  </threadedComment>
  <threadedComment ref="DH401" dT="2025-05-02T11:15:48.85" personId="{8605C1BA-ACC6-44B7-B6BA-3B49ED35AE65}" id="{0E3A7BDA-D14B-4E63-B23F-BE4FBD5405DD}">
    <text>Updated from cluster model</text>
  </threadedComment>
  <threadedComment ref="DO401" dT="2025-05-02T11:15:37.50" personId="{8605C1BA-ACC6-44B7-B6BA-3B49ED35AE65}" id="{10059675-5422-4DDA-A222-29C0B2E2D23B}">
    <text>Updated from cluster model</text>
  </threadedComment>
  <threadedComment ref="EJ401" dT="2025-05-02T11:15:25.48" personId="{8605C1BA-ACC6-44B7-B6BA-3B49ED35AE65}" id="{614B9D65-A52D-4C61-9BCF-48547B0EE5A8}">
    <text>Updated from cluster model</text>
  </threadedComment>
  <threadedComment ref="DH402" dT="2025-05-02T11:15:48.85" personId="{8605C1BA-ACC6-44B7-B6BA-3B49ED35AE65}" id="{B326B448-DC67-4F50-8CF7-DEB908500772}">
    <text>Updated from cluster model</text>
  </threadedComment>
  <threadedComment ref="DO402" dT="2025-05-02T11:15:37.50" personId="{8605C1BA-ACC6-44B7-B6BA-3B49ED35AE65}" id="{4AB9F1F6-372E-4845-A491-FC2CD13EE7C7}">
    <text>Updated from cluster model</text>
  </threadedComment>
  <threadedComment ref="EJ402" dT="2025-05-02T11:15:25.48" personId="{8605C1BA-ACC6-44B7-B6BA-3B49ED35AE65}" id="{CAB00208-7533-4ECE-B7E7-5D4C07C9674C}">
    <text>Updated from cluster model</text>
  </threadedComment>
  <threadedComment ref="DH405" dT="2025-05-05T10:53:59.73" personId="{8605C1BA-ACC6-44B7-B6BA-3B49ED35AE65}" id="{31898F7D-07B2-40ED-8076-EBBE85086C7D}">
    <text>Updated from cluster data</text>
  </threadedComment>
  <threadedComment ref="DO405" dT="2025-05-05T10:55:24.35" personId="{8605C1BA-ACC6-44B7-B6BA-3B49ED35AE65}" id="{DD81F1EC-8F91-49C4-9A8F-A5CE02059387}">
    <text>Updated from cluster data</text>
  </threadedComment>
  <threadedComment ref="DP405" dT="2025-05-05T10:56:02.86" personId="{8605C1BA-ACC6-44B7-B6BA-3B49ED35AE65}" id="{8F461CFD-1047-45D2-98C0-BCAD118218CA}">
    <text>Updated from cluster model</text>
  </threadedComment>
  <threadedComment ref="DH442" dT="2025-04-02T15:35:46.09" personId="{8605C1BA-ACC6-44B7-B6BA-3B49ED35AE65}" id="{CB5A5C0D-3C99-4FCE-9BEE-D64C4630CE91}">
    <text>MIDDEN report on salt - Figure 1 total electricity consumption</text>
  </threadedComment>
  <threadedComment ref="DO442" dT="2025-04-02T15:35:46.09" personId="{8605C1BA-ACC6-44B7-B6BA-3B49ED35AE65}" id="{105E2956-9F2F-4087-A21E-F3DCDF76B6A3}">
    <text>MIDDEN report on salt - Figure 1 total heat consumption</text>
  </threadedComment>
  <threadedComment ref="CG445" dT="2025-03-05T16:05:46.17" personId="{8605C1BA-ACC6-44B7-B6BA-3B49ED35AE65}" id="{F690DAF2-7F2D-4CE7-BCEB-70E5791FFAB9}">
    <text>Based on Zhang et al. 2020, Table 2 (composition of 1 M3 hardened concrete)</text>
  </threadedComment>
  <threadedComment ref="CG450" dT="2025-03-19T13:31:22.77" personId="{8605C1BA-ACC6-44B7-B6BA-3B49ED35AE65}" id="{19B306EA-91BA-4C48-907F-9CF952F2EAC0}">
    <text>Values from Zhang et al 2019, p 654, description of ADR + HAS system</text>
  </threadedComment>
  <threadedComment ref="DH450" dT="2025-03-25T13:59:32.20" personId="{8605C1BA-ACC6-44B7-B6BA-3B49ED35AE65}" id="{A5A0620E-E0EF-4778-8CC9-4E775B74F2AF}">
    <text>Supplementary information Zhang et al 2019</text>
  </threadedComment>
  <threadedComment ref="DU450" dT="2025-03-25T14:04:19.36" personId="{8605C1BA-ACC6-44B7-B6BA-3B49ED35AE65}" id="{CBDA1F37-D62A-4250-AAD7-8ED99EC5C44B}">
    <text>From supplementary information Zhang et al 2019: 1300l diesel per 100t crushed
From RVO hulpmiddel omrekening: 0.84 kg diesel/liter
From RVO standard fuel list: 43.2 MJ/kg
Converted MJ/100t to GJ/t (or PJ/Mt)</text>
  </threadedComment>
  <threadedComment ref="CH451" dT="2025-03-19T13:23:30.07" personId="{8605C1BA-ACC6-44B7-B6BA-3B49ED35AE65}" id="{4612922E-9F06-48D0-BC95-3F33895200C0}">
    <text>Assumed the same as concrete recycling</text>
  </threadedComment>
  <threadedComment ref="DH451" dT="2025-03-19T10:17:04.75" personId="{8605C1BA-ACC6-44B7-B6BA-3B49ED35AE65}" id="{6203CF3A-5F84-4F6C-AD90-8C04C5F28D36}">
    <text>Samadi et al 2020
Table 9, CFA (ceramic fine aggregate)</text>
  </threadedComment>
  <threadedComment ref="CK452" dT="2025-03-19T13:23:30.07" personId="{8605C1BA-ACC6-44B7-B6BA-3B49ED35AE65}" id="{F1A9F5FF-1321-4A49-AEAE-E943C47B290D}">
    <text>Samadi et al section 2.1</text>
  </threadedComment>
  <threadedComment ref="DH452" dT="2025-03-19T10:17:38.29" personId="{8605C1BA-ACC6-44B7-B6BA-3B49ED35AE65}" id="{82760936-EF29-4066-85A1-F6EE6E9DF295}">
    <text>Samadi et al 2020
Table 9, GC (ground ceramic)</text>
  </threadedComment>
  <threadedComment ref="DU452" dT="2025-03-25T14:04:19.36" personId="{8605C1BA-ACC6-44B7-B6BA-3B49ED35AE65}" id="{D200F3FD-5869-43FA-BA99-5DB7B841FA03}">
    <text>From supplementary information Zhang et al 2019: 1300l diesel per 100t crushed
From RVO hulpmiddel omrekening: 0.84 kg diesel/liter
From RVO standard fuel list: 43.2 MJ/kg
Converted MJ/100t to GJ/t (or PJ/Mt)</text>
  </threadedComment>
  <threadedComment ref="CH453" dT="2025-03-19T13:23:03.51" personId="{8605C1BA-ACC6-44B7-B6BA-3B49ED35AE65}" id="{305D3879-906F-47E6-B538-87FC7D3A5086}">
    <text>Based on in and outputs from Tam 2008 (sum of all sizes of aggregate output)</text>
  </threadedComment>
  <threadedComment ref="CG455" dT="2025-03-05T16:05:46.17" personId="{8605C1BA-ACC6-44B7-B6BA-3B49ED35AE65}" id="{56230820-4D15-49C2-A351-20A5AE3F6801}">
    <text>Based on Zhang et al. 2020, Table 2 (composition of 1 M3 hardened concrete)</text>
  </threadedComment>
  <threadedComment ref="CG457" dT="2025-03-05T16:05:46.17" personId="{8605C1BA-ACC6-44B7-B6BA-3B49ED35AE65}" id="{4EECB18F-EA5B-44BC-AB37-506294B5DCAD}">
    <text>Based on Zhang et al. 2020, Table 2 (composition of 1 M3 hardened concrete)</text>
  </threadedComment>
</ThreadedComments>
</file>

<file path=xl/threadedComments/threadedComment4.xml><?xml version="1.0" encoding="utf-8"?>
<ThreadedComments xmlns="http://schemas.microsoft.com/office/spreadsheetml/2018/threadedcomments" xmlns:x="http://schemas.openxmlformats.org/spreadsheetml/2006/main">
  <threadedComment ref="L6" dT="2024-11-29T12:21:25.51" personId="{8605C1BA-ACC6-44B7-B6BA-3B49ED35AE65}" id="{1AD3C274-4C2E-49FF-BAE3-29FC9EA347D8}">
    <text>Danish Energy Agency Technology Catalogue, AEC 1 GW
Increases from 64 to 77% efficiency</text>
  </threadedComment>
  <threadedComment ref="L7" dT="2024-11-29T12:21:25.51" personId="{8605C1BA-ACC6-44B7-B6BA-3B49ED35AE65}" id="{3E1D8256-42E9-435E-B285-DEFFD70E5540}">
    <text>Danish Energy Agency Technology Catalogue, PEMEC 1 GW
Increases from 59 to 75% efficiency</text>
  </threadedComment>
  <threadedComment ref="L8" dT="2024-11-29T12:21:25.51" personId="{8605C1BA-ACC6-44B7-B6BA-3B49ED35AE65}" id="{C8E40793-EA09-483C-8E99-2539A9231DBB}">
    <text>Danish Energy Agency Technology Catalogue, SOEC 100 MW
Increases from 82 to 92% efficiency</text>
  </threadedComment>
</ThreadedComments>
</file>

<file path=xl/threadedComments/threadedComment5.xml><?xml version="1.0" encoding="utf-8"?>
<ThreadedComments xmlns="http://schemas.microsoft.com/office/spreadsheetml/2018/threadedcomments" xmlns:x="http://schemas.openxmlformats.org/spreadsheetml/2006/main">
  <threadedComment ref="E61" dT="2024-08-23T08:29:38.34" personId="{8605C1BA-ACC6-44B7-B6BA-3B49ED35AE65}" id="{16C74C59-C0F7-4A51-88A7-B50AB0921518}">
    <text>Based on benzene (C6H6) stoichiometry</text>
  </threadedComment>
</ThreadedComments>
</file>

<file path=xl/threadedComments/threadedComment6.xml><?xml version="1.0" encoding="utf-8"?>
<ThreadedComments xmlns="http://schemas.microsoft.com/office/spreadsheetml/2018/threadedcomments" xmlns:x="http://schemas.openxmlformats.org/spreadsheetml/2006/main">
  <threadedComment ref="D5" dT="2024-11-01T09:45:51.08" personId="{8605C1BA-ACC6-44B7-B6BA-3B49ED35AE65}" id="{3CFC8070-0530-4D87-967F-1741E624580B}">
    <text>103 MtCO2eq = policy target
KEV 2024 states that 2030 target is not going to be reached. Gives strange results, so updated to KEV result for 2030 (121 MtCO2, brandbreedte 114-131). Same for 2035 (104, 92.9-114)</text>
  </threadedComment>
  <threadedComment ref="D5" dT="2025-04-28T14:07:32.40" personId="{8605C1BA-ACC6-44B7-B6BA-3B49ED35AE65}" id="{D3A0FF1C-00C4-4401-ACC1-5190B1456830}" parentId="{3CFC8070-0530-4D87-967F-1741E624580B}">
    <text>103/.45 = 228 MtCO2 in 1990 (close to reported UNFCCC)</text>
  </threadedComment>
  <threadedComment ref="H5" dT="2025-04-28T14:06:02.14" personId="{8605C1BA-ACC6-44B7-B6BA-3B49ED35AE65}" id="{E968BDE9-A228-4D9E-9B3D-9ACA835F4461}">
    <text>5% of reported 1990 GHG emissions to UNFCCC
http://unfccc.int/sites/default/files/resource/sbi2024_17rev1_adv.pdf
221.844 MtCO2 * 5% = 11 MtCO2</text>
    <extLst>
      <x:ext xmlns:xltc2="http://schemas.microsoft.com/office/spreadsheetml/2020/threadedcomments2" uri="{F7C98A9C-CBB3-438F-8F68-D28B6AF4A901}">
        <xltc2:checksum>3826769349</xltc2:checksum>
        <xltc2:hyperlink startIndex="44" length="69" url="http://unfccc.int/sites/default/files/resource/sbi2024_17rev1_adv.pdf"/>
      </x:ext>
    </extLst>
  </threadedComment>
  <threadedComment ref="H5" dT="2025-04-28T14:10:31.22" personId="{8605C1BA-ACC6-44B7-B6BA-3B49ED35AE65}" id="{C25F731A-FA7C-4574-BCD7-BE4A96AB9740}" parentId="{E968BDE9-A228-4D9E-9B3D-9ACA835F4461}">
    <text>Based on KEV 2024, 103 MtCO2 is 55% reduction</text>
  </threadedComment>
  <threadedComment ref="H5" dT="2025-10-28T15:00:10.81" personId="{8605C1BA-ACC6-44B7-B6BA-3B49ED35AE65}" id="{D8022744-268F-43B6-8528-21C3FF31F393}" parentId="{E968BDE9-A228-4D9E-9B3D-9ACA835F4461}">
    <text>Reduced beyond 0 to compensate for synthetic fuel emissions and feedstock-related downstream emissions</text>
  </threadedComment>
</ThreadedComments>
</file>

<file path=xl/worksheets/_rels/sheet1.xml.rels><?xml version="1.0" encoding="UTF-8" standalone="yes"?>
<Relationships xmlns="http://schemas.openxmlformats.org/package/2006/relationships"><Relationship Id="rId3" Type="http://schemas.openxmlformats.org/officeDocument/2006/relationships/printerSettings" Target="../printerSettings/printerSettings1.bin"/><Relationship Id="rId2" Type="http://schemas.openxmlformats.org/officeDocument/2006/relationships/hyperlink" Target="mailto:k.j.west@uu.nl" TargetMode="External"/><Relationship Id="rId1" Type="http://schemas.openxmlformats.org/officeDocument/2006/relationships/hyperlink" Target="mailto:a.fattahi@rug.nl" TargetMode="External"/><Relationship Id="rId4"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26" Type="http://schemas.openxmlformats.org/officeDocument/2006/relationships/hyperlink" Target="https://www.gasstoragebergermeer.com/operational-information/" TargetMode="External"/><Relationship Id="rId21" Type="http://schemas.openxmlformats.org/officeDocument/2006/relationships/hyperlink" Target="https://www.cpb.nl/sites/default/files/omnidownload/CPB-PBL-Backgrounddocument-23nov2016-Valuation-of-co2-emissions-in-CBA.pdf" TargetMode="External"/><Relationship Id="rId42" Type="http://schemas.openxmlformats.org/officeDocument/2006/relationships/hyperlink" Target="https://energy.nl/en/publication/towards-a-sustainable-energy-system-for-the-netherlands-in-2050/" TargetMode="External"/><Relationship Id="rId47" Type="http://schemas.openxmlformats.org/officeDocument/2006/relationships/hyperlink" Target="https://www.pbl.nl/sites/default/files/downloads/pbl-2019-decarbonisation-options-for-the-dutch-fertiliser-industry_3657.pdf" TargetMode="External"/><Relationship Id="rId63" Type="http://schemas.openxmlformats.org/officeDocument/2006/relationships/hyperlink" Target="https://energy.nl/en/factsheet/co-production-via-reverse-water-gas-shift/" TargetMode="External"/><Relationship Id="rId68" Type="http://schemas.openxmlformats.org/officeDocument/2006/relationships/hyperlink" Target="https://energy.nl/en/factsheet/production-of-pyrolysis-bio-oil-from-solid-biomass-via-fast-pyrolysis/" TargetMode="External"/><Relationship Id="rId84" Type="http://schemas.openxmlformats.org/officeDocument/2006/relationships/hyperlink" Target="https://energy.nl/media/downloads/Heat-pump-groundwater-to-water-services.pdf" TargetMode="External"/><Relationship Id="rId89" Type="http://schemas.openxmlformats.org/officeDocument/2006/relationships/hyperlink" Target="https://www.sciencedirect.com/science/article/pii/S0048969720380141" TargetMode="External"/><Relationship Id="rId16" Type="http://schemas.openxmlformats.org/officeDocument/2006/relationships/hyperlink" Target="https://ec.europa.eu/jrc/en/potencia/central-scenario" TargetMode="External"/><Relationship Id="rId107" Type="http://schemas.openxmlformats.org/officeDocument/2006/relationships/printerSettings" Target="../printerSettings/printerSettings2.bin"/><Relationship Id="rId11" Type="http://schemas.openxmlformats.org/officeDocument/2006/relationships/hyperlink" Target="https://ec.europa.eu/jrc/en/publication/eur-scientific-and-technical-research-reports/potencia-central-scenario-eu-energy-outlook-2050" TargetMode="External"/><Relationship Id="rId32" Type="http://schemas.openxmlformats.org/officeDocument/2006/relationships/hyperlink" Target="https://www.sciencedirect.com/science/article/pii/S2352340919306882" TargetMode="External"/><Relationship Id="rId37" Type="http://schemas.openxmlformats.org/officeDocument/2006/relationships/hyperlink" Target="https://data.jrc.ec.europa.eu/dataset/jrc-etri-10003" TargetMode="External"/><Relationship Id="rId53" Type="http://schemas.openxmlformats.org/officeDocument/2006/relationships/hyperlink" Target="https://2020.entsos-tyndp-scenarios.eu/" TargetMode="External"/><Relationship Id="rId58" Type="http://schemas.openxmlformats.org/officeDocument/2006/relationships/hyperlink" Target="https://iea.blob.core.windows.net/assets/ad0d4830-bd7e-47b6-838c-40d115733c13/NetZeroby2050-ARoadmapfortheGlobalEnergySector.pdf" TargetMode="External"/><Relationship Id="rId74" Type="http://schemas.openxmlformats.org/officeDocument/2006/relationships/hyperlink" Target="https://energy.nl/media/downloads/Pyrolysis-oil-production-from-plastic-waste_28-09-2020.pdf" TargetMode="External"/><Relationship Id="rId79" Type="http://schemas.openxmlformats.org/officeDocument/2006/relationships/hyperlink" Target="https://energy.nl/media/data/Technology-FactsheetNaturalGasCHP-V2.pdf" TargetMode="External"/><Relationship Id="rId102" Type="http://schemas.openxmlformats.org/officeDocument/2006/relationships/hyperlink" Target="https://www.sciencedirect.com/science/article/pii/S0961953424003520?via%3Dihub" TargetMode="External"/><Relationship Id="rId5" Type="http://schemas.openxmlformats.org/officeDocument/2006/relationships/hyperlink" Target="https://www.inflationtool.com/euro?amount=100&amp;year1=2010&amp;year2=2019" TargetMode="External"/><Relationship Id="rId90" Type="http://schemas.openxmlformats.org/officeDocument/2006/relationships/hyperlink" Target="https://www.pbl.nl/publicaties/eindadvies-basisbedragen-sde-2022" TargetMode="External"/><Relationship Id="rId95" Type="http://schemas.openxmlformats.org/officeDocument/2006/relationships/hyperlink" Target="https://pubs.acs.org/doi/full/10.1021/acs.est.7b04573" TargetMode="External"/><Relationship Id="rId22" Type="http://schemas.openxmlformats.org/officeDocument/2006/relationships/hyperlink" Target="https://www.entsog.eu/sites/default/files/2019-10/ENTSOG_CAP_2019_A0_1189x841_FULL_400.pdf" TargetMode="External"/><Relationship Id="rId27" Type="http://schemas.openxmlformats.org/officeDocument/2006/relationships/hyperlink" Target="http://www.pgknet.nl/uploads/events/18-03-2015%20%20PGK%20Presentatie%20Bergermeer.pdf" TargetMode="External"/><Relationship Id="rId43" Type="http://schemas.openxmlformats.org/officeDocument/2006/relationships/hyperlink" Target="https://opendata.cbs.nl/statline/" TargetMode="External"/><Relationship Id="rId48" Type="http://schemas.openxmlformats.org/officeDocument/2006/relationships/hyperlink" Target="https://www.researchgate.net/publication/260339436_An_Overview_of_Costs_for_Vehicle_Components_Fuels_and_Greenhouse_Gas_Emissions" TargetMode="External"/><Relationship Id="rId64" Type="http://schemas.openxmlformats.org/officeDocument/2006/relationships/hyperlink" Target="https://energy.nl/wp-content/uploads/2019/12/Technology-Factsheets-FT-fuel-production.pdf" TargetMode="External"/><Relationship Id="rId69" Type="http://schemas.openxmlformats.org/officeDocument/2006/relationships/hyperlink" Target="http://biomassmagazine.com/articles/3195/biomass-new-feedstock-for-the-plastic-industry" TargetMode="External"/><Relationship Id="rId80" Type="http://schemas.openxmlformats.org/officeDocument/2006/relationships/hyperlink" Target="https://energy.nl/media/data/Technology-Factsheet-Heat-pump-hybrid-households.pdf" TargetMode="External"/><Relationship Id="rId85" Type="http://schemas.openxmlformats.org/officeDocument/2006/relationships/hyperlink" Target="https://www.pbl.nl/en/publications/manufacturing-industry-decarbonisation-data-exchange-network-the-database-version-0.3" TargetMode="External"/><Relationship Id="rId12" Type="http://schemas.openxmlformats.org/officeDocument/2006/relationships/hyperlink" Target="https://ec.europa.eu/jrc/en/potencia/central-scenario" TargetMode="External"/><Relationship Id="rId17" Type="http://schemas.openxmlformats.org/officeDocument/2006/relationships/hyperlink" Target="https://ec.europa.eu/jrc/en/publication/eur-scientific-and-technical-research-reports/jrc-eu-times-model-bioenergy-potentials-eu-and-neighbouring-countries" TargetMode="External"/><Relationship Id="rId33" Type="http://schemas.openxmlformats.org/officeDocument/2006/relationships/hyperlink" Target="https://www.pnas.org/content/106/27/10949" TargetMode="External"/><Relationship Id="rId38" Type="http://schemas.openxmlformats.org/officeDocument/2006/relationships/hyperlink" Target="https://www.sciencedirect.com/science/article/pii/S0255270117313168" TargetMode="External"/><Relationship Id="rId59" Type="http://schemas.openxmlformats.org/officeDocument/2006/relationships/hyperlink" Target="https://www.pbl.nl/publicaties/klimaat-en-energieverkenning-2020" TargetMode="External"/><Relationship Id="rId103" Type="http://schemas.openxmlformats.org/officeDocument/2006/relationships/hyperlink" Target="https://www.sciencedirect.com/science/article/pii/S0360319923022590" TargetMode="External"/><Relationship Id="rId20" Type="http://schemas.openxmlformats.org/officeDocument/2006/relationships/hyperlink" Target="https://www.pbl.nl/publicaties/klimaat-en-energieverkenning-2019" TargetMode="External"/><Relationship Id="rId41" Type="http://schemas.openxmlformats.org/officeDocument/2006/relationships/hyperlink" Target="https://www.sciencedirect.com/science/article/pii/S0360544220305417" TargetMode="External"/><Relationship Id="rId54" Type="http://schemas.openxmlformats.org/officeDocument/2006/relationships/hyperlink" Target="https://zenodo.org/record/3929773" TargetMode="External"/><Relationship Id="rId62" Type="http://schemas.openxmlformats.org/officeDocument/2006/relationships/hyperlink" Target="https://www.pbl.nl/en/middenweb/publications" TargetMode="External"/><Relationship Id="rId70" Type="http://schemas.openxmlformats.org/officeDocument/2006/relationships/hyperlink" Target="https://www.hwwi.org/fileadmin/hwwi/Publikationen/Research/2021/HWWI_Research_Paper_197.pdf" TargetMode="External"/><Relationship Id="rId75" Type="http://schemas.openxmlformats.org/officeDocument/2006/relationships/hyperlink" Target="../../../../Downloads/biomass%20potentials%20in%20europe_web%20rev.pdf" TargetMode="External"/><Relationship Id="rId83" Type="http://schemas.openxmlformats.org/officeDocument/2006/relationships/hyperlink" Target="https://energy.nl/media/data/Heat-pump-air-to-water-services-1.pdf" TargetMode="External"/><Relationship Id="rId88" Type="http://schemas.openxmlformats.org/officeDocument/2006/relationships/hyperlink" Target="https://www.pbl.nl/en/publications/decarbonisation-options-for-the-dutch-waste-incineration-industry" TargetMode="External"/><Relationship Id="rId91" Type="http://schemas.openxmlformats.org/officeDocument/2006/relationships/hyperlink" Target="https://www.researchgate.net/publication/351124477_Techno-economic_assessment_and_comparison_of_different_plastic_recycling_pathways_A_German_case_study" TargetMode="External"/><Relationship Id="rId96" Type="http://schemas.openxmlformats.org/officeDocument/2006/relationships/hyperlink" Target="https://energy.nl/wp-content/uploads/technology-factsheets-direct-air-capture-7.pdf" TargetMode="External"/><Relationship Id="rId1" Type="http://schemas.openxmlformats.org/officeDocument/2006/relationships/hyperlink" Target="https://www.pbl.nl/sites/default/files/downloads/pbl-2018-effecten-van-de-energietransitie-3006.pdf" TargetMode="External"/><Relationship Id="rId6" Type="http://schemas.openxmlformats.org/officeDocument/2006/relationships/hyperlink" Target="https://publicaties.ecn.nl/PdfFetch.aspx?nr=ECN-E--17-044" TargetMode="External"/><Relationship Id="rId15" Type="http://schemas.openxmlformats.org/officeDocument/2006/relationships/hyperlink" Target="https://ec.europa.eu/jrc/en/publication/eur-scientific-and-technical-research-reports/potencia-central-scenario-eu-energy-outlook-2050" TargetMode="External"/><Relationship Id="rId23" Type="http://schemas.openxmlformats.org/officeDocument/2006/relationships/hyperlink" Target="https://www.nlog.nl/en/production-and-injection-data" TargetMode="External"/><Relationship Id="rId28" Type="http://schemas.openxmlformats.org/officeDocument/2006/relationships/hyperlink" Target="https://www.agbzw.nl/onze-cavernes" TargetMode="External"/><Relationship Id="rId36" Type="http://schemas.openxmlformats.org/officeDocument/2006/relationships/hyperlink" Target="https://op.europa.eu/en/publication-detail/-/publication/e3e5b9d3-f9a6-11e7-b8f5-01aa75ed71a1/language-en" TargetMode="External"/><Relationship Id="rId49" Type="http://schemas.openxmlformats.org/officeDocument/2006/relationships/hyperlink" Target="https://energy.nl/wp-content/uploads/2019/09/Nuclear-energy-generation-III-nuclear-reactors-2.pdf" TargetMode="External"/><Relationship Id="rId57" Type="http://schemas.openxmlformats.org/officeDocument/2006/relationships/hyperlink" Target="https://energy.nl/wp-content/uploads/2019/09/Nuclear-energy-generation-IV-nuclear-reactors-for-hydrogen-production-2.pdf" TargetMode="External"/><Relationship Id="rId106" Type="http://schemas.openxmlformats.org/officeDocument/2006/relationships/hyperlink" Target="https://www.sciencedirect.com/science/article/pii/S0921344920303475?pes=vor&amp;utm_source=scopus&amp;getft_integrator=scopus" TargetMode="External"/><Relationship Id="rId10" Type="http://schemas.openxmlformats.org/officeDocument/2006/relationships/hyperlink" Target="https://ec.europa.eu/jrc/en/potencia/central-scenario" TargetMode="External"/><Relationship Id="rId31" Type="http://schemas.openxmlformats.org/officeDocument/2006/relationships/hyperlink" Target="https://www.sciencedirect.com/science/article/pii/S146290111830889X" TargetMode="External"/><Relationship Id="rId44" Type="http://schemas.openxmlformats.org/officeDocument/2006/relationships/hyperlink" Target="https://opendata.cbs.nl/" TargetMode="External"/><Relationship Id="rId52" Type="http://schemas.openxmlformats.org/officeDocument/2006/relationships/hyperlink" Target="https://2020.entsos-tyndp-scenarios.eu/download-data/" TargetMode="External"/><Relationship Id="rId60" Type="http://schemas.openxmlformats.org/officeDocument/2006/relationships/hyperlink" Target="https://www.pbl.nl/en/middenweb/the-database" TargetMode="External"/><Relationship Id="rId65" Type="http://schemas.openxmlformats.org/officeDocument/2006/relationships/hyperlink" Target="https://energy.nl/en/factsheet/methanol-production-from-co2/" TargetMode="External"/><Relationship Id="rId73" Type="http://schemas.openxmlformats.org/officeDocument/2006/relationships/hyperlink" Target="https://energy.nl/media/data/Technology-Factsheets_SOElectrolysis.pdf" TargetMode="External"/><Relationship Id="rId78" Type="http://schemas.openxmlformats.org/officeDocument/2006/relationships/hyperlink" Target="https://energy.nl/media/downloads/Anaerobic-digestion-of-wet-biomass-for-heat-generation-1.pdf" TargetMode="External"/><Relationship Id="rId81" Type="http://schemas.openxmlformats.org/officeDocument/2006/relationships/hyperlink" Target="https://energy.nl/media/data/Technology-Factsheet-Heat-pump-air-households-1.pdf" TargetMode="External"/><Relationship Id="rId86" Type="http://schemas.openxmlformats.org/officeDocument/2006/relationships/hyperlink" Target="https://www.pbl.nl/en/publications/decarbonisation-options-for-the-dutch-polyolefins-industry" TargetMode="External"/><Relationship Id="rId94" Type="http://schemas.openxmlformats.org/officeDocument/2006/relationships/hyperlink" Target="https://op.europa.eu/en/publication-detail/-/publication/4255cd56-9a96-11e6-9bca-01aa75ed71a1" TargetMode="External"/><Relationship Id="rId99" Type="http://schemas.openxmlformats.org/officeDocument/2006/relationships/hyperlink" Target="https://publications.ieaghg.org/technicalreports/2017-02%20Techno%20-%20Economic%20Evaluation%20of%20SMR%20Based%20Standalone%20(Merchant)%20Hydrogen%20Plant%20with%20CCS.pdf" TargetMode="External"/><Relationship Id="rId101" Type="http://schemas.openxmlformats.org/officeDocument/2006/relationships/hyperlink" Target="https://www.sciencedirect.com/science/article/pii/S0196890422005817" TargetMode="External"/><Relationship Id="rId4" Type="http://schemas.openxmlformats.org/officeDocument/2006/relationships/hyperlink" Target="https://doi.org/10.1016/j.rser.2014.10.011" TargetMode="External"/><Relationship Id="rId9" Type="http://schemas.openxmlformats.org/officeDocument/2006/relationships/hyperlink" Target="https://ec.europa.eu/jrc/en/publication/eur-scientific-and-technical-research-reports/potencia-central-scenario-eu-energy-outlook-2050" TargetMode="External"/><Relationship Id="rId13" Type="http://schemas.openxmlformats.org/officeDocument/2006/relationships/hyperlink" Target="https://english.rvo.nl/sites/default/files/2019/05/Klein%20et%20al%202019%20Methodology%20report%20transport%202019.PDF" TargetMode="External"/><Relationship Id="rId18" Type="http://schemas.openxmlformats.org/officeDocument/2006/relationships/hyperlink" Target="https://data.jrc.ec.europa.eu/dataset/74ed5a04-7d74-4807-9eab-b94774309d9f/resource/94aca7d6-89af-4969-a74c-2c7ab4376788" TargetMode="External"/><Relationship Id="rId39" Type="http://schemas.openxmlformats.org/officeDocument/2006/relationships/hyperlink" Target="http://publications.tno.nl/publication/34636594/KRZna2/TNO-2020-scenario.pdf" TargetMode="External"/><Relationship Id="rId34" Type="http://schemas.openxmlformats.org/officeDocument/2006/relationships/hyperlink" Target="https://www.cbs.nl/en-gb/news/2019/29/national-cattle-herd-declining-slightly" TargetMode="External"/><Relationship Id="rId50" Type="http://schemas.openxmlformats.org/officeDocument/2006/relationships/hyperlink" Target="https://energy.nl/wp-content/uploads/2019/09/Nuclear-energy-small-modular-reactor-SMR-2.pdf" TargetMode="External"/><Relationship Id="rId55" Type="http://schemas.openxmlformats.org/officeDocument/2006/relationships/hyperlink" Target="https://energy.nl/wp-content/uploads/2019/02/Technology-Factsheet-Heat-pump-air-households-1.pdf" TargetMode="External"/><Relationship Id="rId76" Type="http://schemas.openxmlformats.org/officeDocument/2006/relationships/hyperlink" Target="https://heatroadmap.eu/wp-content/uploads/2020/01/HRE4_D6.1-Future-fuel-price-review.pdf" TargetMode="External"/><Relationship Id="rId97" Type="http://schemas.openxmlformats.org/officeDocument/2006/relationships/hyperlink" Target="https://www.sciencedirect.com/science/article/pii/S0196890424006691" TargetMode="External"/><Relationship Id="rId104" Type="http://schemas.openxmlformats.org/officeDocument/2006/relationships/hyperlink" Target="https://www.researchgate.net/publication/337453559_High_Pressure_Electrochemical_Reduction_of_CO2_to_Formic_acidFormate_The_Effect_of_pH_on_the_Downstream_Separation_Process_and_Economics" TargetMode="External"/><Relationship Id="rId7" Type="http://schemas.openxmlformats.org/officeDocument/2006/relationships/hyperlink" Target="https://ec.europa.eu/energy/sites/ener/files/documents/overview_of_european_electricity_markets.pdf" TargetMode="External"/><Relationship Id="rId71" Type="http://schemas.openxmlformats.org/officeDocument/2006/relationships/hyperlink" Target="https://energy.nl/media/data/FINAL-Factsheet-Large-scale-H2-Alkalische-Elektrolyse.pdf" TargetMode="External"/><Relationship Id="rId92" Type="http://schemas.openxmlformats.org/officeDocument/2006/relationships/hyperlink" Target="https://ce.nl/publicaties/verkenning-chemische-recycling-update-2019/" TargetMode="External"/><Relationship Id="rId2" Type="http://schemas.openxmlformats.org/officeDocument/2006/relationships/hyperlink" Target="https://doi.org/10.1016/j.enpol.2019.111166" TargetMode="External"/><Relationship Id="rId29" Type="http://schemas.openxmlformats.org/officeDocument/2006/relationships/hyperlink" Target="http://members.igu.org/html/wgc2006/pdf/paper/add10531.pdf" TargetMode="External"/><Relationship Id="rId24" Type="http://schemas.openxmlformats.org/officeDocument/2006/relationships/hyperlink" Target="file:///G:\Literature\Gas%20Network\groningen-european-gas-report.pdf" TargetMode="External"/><Relationship Id="rId40" Type="http://schemas.openxmlformats.org/officeDocument/2006/relationships/hyperlink" Target="https://www.ce.nl/publicaties/download/2419" TargetMode="External"/><Relationship Id="rId45" Type="http://schemas.openxmlformats.org/officeDocument/2006/relationships/hyperlink" Target="https://repository.tudelft.nl/islandora/object/uuid:fb0b7ea3-601b-4742-8594-dbe95d688e1d/datastream/OBJ/download" TargetMode="External"/><Relationship Id="rId66" Type="http://schemas.openxmlformats.org/officeDocument/2006/relationships/hyperlink" Target="https://www.sciencedirect.com/science/article/pii/S1876610213008424" TargetMode="External"/><Relationship Id="rId87" Type="http://schemas.openxmlformats.org/officeDocument/2006/relationships/hyperlink" Target="https://www.pbl.nl/en/publications/decarbonisation-options-for-the-dutch-bottle-grade-pet-industry" TargetMode="External"/><Relationship Id="rId61" Type="http://schemas.openxmlformats.org/officeDocument/2006/relationships/hyperlink" Target="https://www.pbl.nl/en/middenweb/the-database" TargetMode="External"/><Relationship Id="rId82" Type="http://schemas.openxmlformats.org/officeDocument/2006/relationships/hyperlink" Target="https://energy.nl/media/downloads/Hydrogen-boiler-Services-1.pdf" TargetMode="External"/><Relationship Id="rId19" Type="http://schemas.openxmlformats.org/officeDocument/2006/relationships/hyperlink" Target="https://www.pbl.nl/sites/default/files/downloads/pbl-2019-klimaat-en-energieverkenning-2019-3508.pdf" TargetMode="External"/><Relationship Id="rId14" Type="http://schemas.openxmlformats.org/officeDocument/2006/relationships/hyperlink" Target="https://link.springer.com/article/10.1186/s42834-019-0024-5/tables/2?shared-article-renderer" TargetMode="External"/><Relationship Id="rId30" Type="http://schemas.openxmlformats.org/officeDocument/2006/relationships/hyperlink" Target="https://www.rivm.nl/bibliotheek/rapporten/2019-0020.pdf" TargetMode="External"/><Relationship Id="rId35" Type="http://schemas.openxmlformats.org/officeDocument/2006/relationships/hyperlink" Target="https://spinlab.vu.nl/wp-content/uploads/2016/09/SL-11_Scenario_based_projections_KvK8.pdf" TargetMode="External"/><Relationship Id="rId56" Type="http://schemas.openxmlformats.org/officeDocument/2006/relationships/hyperlink" Target="https://energy.nl/wp-content/uploads/2019/05/Technology-Factsheet-Heat-pump-soil-households.pdf" TargetMode="External"/><Relationship Id="rId77" Type="http://schemas.openxmlformats.org/officeDocument/2006/relationships/hyperlink" Target="https://ce.nl/publicaties/plasticgebruik-en-verwerking-van-plastic-afval-in-nederland/" TargetMode="External"/><Relationship Id="rId100" Type="http://schemas.openxmlformats.org/officeDocument/2006/relationships/hyperlink" Target="https://topsectorenergie.nl/documents/90/TKI_Nieuw_Gas-BTG_openbaar_eindrapport_vergassing_11_maart_2021_kaft_en_WCAG_-_210301.pdf" TargetMode="External"/><Relationship Id="rId105" Type="http://schemas.openxmlformats.org/officeDocument/2006/relationships/hyperlink" Target="https://pubs.rsc.org/en/content/articlelanding/2023/gc/d3gc00679d" TargetMode="External"/><Relationship Id="rId8" Type="http://schemas.openxmlformats.org/officeDocument/2006/relationships/hyperlink" Target="https://doi.org/10.1002/joc.5362" TargetMode="External"/><Relationship Id="rId51" Type="http://schemas.openxmlformats.org/officeDocument/2006/relationships/hyperlink" Target="https://www.energy.gov/sites/prod/files/2018/02/f49/fcto_battelle_mfg_cost_analysis_100_250kw_pp_chp_fc_systems_jan2017.pdf" TargetMode="External"/><Relationship Id="rId72" Type="http://schemas.openxmlformats.org/officeDocument/2006/relationships/hyperlink" Target="https://energy.nl/media/downloads/Polymer-electrolyte-membrane-PEM-hydrogen-installation-%E2%80%93-large-scale.pdf" TargetMode="External"/><Relationship Id="rId93" Type="http://schemas.openxmlformats.org/officeDocument/2006/relationships/hyperlink" Target="https://core.ac.uk/download/pdf/219382696.pdf" TargetMode="External"/><Relationship Id="rId98" Type="http://schemas.openxmlformats.org/officeDocument/2006/relationships/hyperlink" Target="https://www.sciencedirect.com/science/article/pii/S0378382017307828" TargetMode="External"/><Relationship Id="rId3" Type="http://schemas.openxmlformats.org/officeDocument/2006/relationships/hyperlink" Target="https://energy.nl/wp-content/uploads/2019/05/FINAL-Factsheet-Large-scale-H2-Alkalische-Elektrolyse.pdf" TargetMode="External"/><Relationship Id="rId25" Type="http://schemas.openxmlformats.org/officeDocument/2006/relationships/hyperlink" Target="https://www.csis.org/blogs/energy-headlines-versus-trendlines/how-much-does-us-lng-cost-europe" TargetMode="External"/><Relationship Id="rId46" Type="http://schemas.openxmlformats.org/officeDocument/2006/relationships/hyperlink" Target="https://www.pbl.nl/en/publications/decarbonisation-options-for-the-dutch-steel-industry" TargetMode="External"/><Relationship Id="rId67" Type="http://schemas.openxmlformats.org/officeDocument/2006/relationships/hyperlink" Target="https://energy.nl/en/factsheet/advanced-methanol-to-olefins-process/" TargetMode="External"/></Relationships>
</file>

<file path=xl/worksheets/_rels/sheet3.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3.bin"/><Relationship Id="rId4" Type="http://schemas.microsoft.com/office/2017/10/relationships/threadedComment" Target="../threadedComments/threadedComment1.xml"/></Relationships>
</file>

<file path=xl/worksheets/_rels/sheet4.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4.bin"/><Relationship Id="rId4" Type="http://schemas.microsoft.com/office/2017/10/relationships/threadedComment" Target="../threadedComments/threadedComment2.xml"/></Relationships>
</file>

<file path=xl/worksheets/_rels/sheet5.xml.rels><?xml version="1.0" encoding="UTF-8" standalone="yes"?>
<Relationships xmlns="http://schemas.openxmlformats.org/package/2006/relationships"><Relationship Id="rId3" Type="http://schemas.openxmlformats.org/officeDocument/2006/relationships/comments" Target="../comments3.xml"/><Relationship Id="rId2" Type="http://schemas.openxmlformats.org/officeDocument/2006/relationships/vmlDrawing" Target="../drawings/vmlDrawing3.vml"/><Relationship Id="rId1" Type="http://schemas.openxmlformats.org/officeDocument/2006/relationships/printerSettings" Target="../printerSettings/printerSettings5.bin"/><Relationship Id="rId4" Type="http://schemas.microsoft.com/office/2017/10/relationships/threadedComment" Target="../threadedComments/threadedComment3.xml"/></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3" Type="http://schemas.openxmlformats.org/officeDocument/2006/relationships/comments" Target="../comments4.xml"/><Relationship Id="rId2" Type="http://schemas.openxmlformats.org/officeDocument/2006/relationships/vmlDrawing" Target="../drawings/vmlDrawing4.vml"/><Relationship Id="rId1" Type="http://schemas.openxmlformats.org/officeDocument/2006/relationships/printerSettings" Target="../printerSettings/printerSettings7.bin"/><Relationship Id="rId4" Type="http://schemas.microsoft.com/office/2017/10/relationships/threadedComment" Target="../threadedComments/threadedComment4.xml"/></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3" Type="http://schemas.openxmlformats.org/officeDocument/2006/relationships/comments" Target="../comments5.xml"/><Relationship Id="rId2" Type="http://schemas.openxmlformats.org/officeDocument/2006/relationships/vmlDrawing" Target="../drawings/vmlDrawing5.vml"/><Relationship Id="rId1" Type="http://schemas.openxmlformats.org/officeDocument/2006/relationships/printerSettings" Target="../printerSettings/printerSettings9.bin"/><Relationship Id="rId4" Type="http://schemas.microsoft.com/office/2017/10/relationships/threadedComment" Target="../threadedComments/threadedComment5.xml"/></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_rels/sheet11.xml.rels><?xml version="1.0" encoding="UTF-8" standalone="yes"?>
<Relationships xmlns="http://schemas.openxmlformats.org/package/2006/relationships"><Relationship Id="rId1" Type="http://schemas.openxmlformats.org/officeDocument/2006/relationships/printerSettings" Target="../printerSettings/printerSettings11.bin"/></Relationships>
</file>

<file path=xl/worksheets/_rels/sheet12.xml.rels><?xml version="1.0" encoding="UTF-8" standalone="yes"?>
<Relationships xmlns="http://schemas.openxmlformats.org/package/2006/relationships"><Relationship Id="rId3" Type="http://schemas.openxmlformats.org/officeDocument/2006/relationships/comments" Target="../comments6.xml"/><Relationship Id="rId2" Type="http://schemas.openxmlformats.org/officeDocument/2006/relationships/vmlDrawing" Target="../drawings/vmlDrawing6.vml"/><Relationship Id="rId1" Type="http://schemas.openxmlformats.org/officeDocument/2006/relationships/printerSettings" Target="../printerSettings/printerSettings12.bin"/><Relationship Id="rId4" Type="http://schemas.microsoft.com/office/2017/10/relationships/threadedComment" Target="../threadedComments/threadedComment6.xml"/></Relationships>
</file>

<file path=xl/worksheets/_rels/sheet13.xml.rels><?xml version="1.0" encoding="UTF-8" standalone="yes"?>
<Relationships xmlns="http://schemas.openxmlformats.org/package/2006/relationships"><Relationship Id="rId1" Type="http://schemas.openxmlformats.org/officeDocument/2006/relationships/printerSettings" Target="../printerSettings/printerSettings13.bin"/></Relationships>
</file>

<file path=xl/worksheets/_rels/sheet14.xml.rels><?xml version="1.0" encoding="UTF-8" standalone="yes"?>
<Relationships xmlns="http://schemas.openxmlformats.org/package/2006/relationships"><Relationship Id="rId1" Type="http://schemas.openxmlformats.org/officeDocument/2006/relationships/printerSettings" Target="../printerSettings/printerSettings14.bin"/></Relationships>
</file>

<file path=xl/worksheets/_rels/sheet15.xml.rels><?xml version="1.0" encoding="UTF-8" standalone="yes"?>
<Relationships xmlns="http://schemas.openxmlformats.org/package/2006/relationships"><Relationship Id="rId1" Type="http://schemas.openxmlformats.org/officeDocument/2006/relationships/printerSettings" Target="../printerSettings/printerSettings15.bin"/></Relationships>
</file>

<file path=xl/worksheets/_rels/sheet16.xml.rels><?xml version="1.0" encoding="UTF-8" standalone="yes"?>
<Relationships xmlns="http://schemas.openxmlformats.org/package/2006/relationships"><Relationship Id="rId1" Type="http://schemas.openxmlformats.org/officeDocument/2006/relationships/printerSettings" Target="../printerSettings/printerSettings16.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tabColor theme="1"/>
  </sheetPr>
  <dimension ref="B2:G27"/>
  <sheetViews>
    <sheetView workbookViewId="0">
      <selection activeCell="E23" sqref="E23"/>
    </sheetView>
  </sheetViews>
  <sheetFormatPr defaultColWidth="9.08984375" defaultRowHeight="14.5" x14ac:dyDescent="0.35"/>
  <cols>
    <col min="1" max="1" width="3.90625" style="14" customWidth="1"/>
    <col min="2" max="3" width="3.08984375" style="14" customWidth="1"/>
    <col min="4" max="4" width="4.90625" style="14" customWidth="1"/>
    <col min="5" max="5" width="77.90625" style="14" customWidth="1"/>
    <col min="6" max="16384" width="9.08984375" style="14"/>
  </cols>
  <sheetData>
    <row r="2" spans="2:7" ht="9.75" customHeight="1" x14ac:dyDescent="0.35">
      <c r="B2" s="1"/>
      <c r="C2" s="1"/>
      <c r="D2" s="1"/>
      <c r="E2" s="1"/>
      <c r="F2" s="1"/>
      <c r="G2" s="1"/>
    </row>
    <row r="3" spans="2:7" ht="21" x14ac:dyDescent="0.5">
      <c r="B3" s="1"/>
      <c r="C3" s="81" t="s">
        <v>0</v>
      </c>
      <c r="D3" s="81"/>
      <c r="E3" s="1"/>
      <c r="F3" s="1"/>
      <c r="G3" s="1"/>
    </row>
    <row r="4" spans="2:7" ht="13.5" customHeight="1" x14ac:dyDescent="0.5">
      <c r="B4" s="1"/>
      <c r="C4" s="1"/>
      <c r="D4" s="81"/>
      <c r="E4" s="1"/>
      <c r="F4" s="1"/>
      <c r="G4" s="1"/>
    </row>
    <row r="5" spans="2:7" x14ac:dyDescent="0.35">
      <c r="B5" s="1"/>
      <c r="C5" s="1"/>
      <c r="D5" s="1" t="s">
        <v>1</v>
      </c>
      <c r="E5" s="1"/>
      <c r="F5" s="1"/>
      <c r="G5" s="1"/>
    </row>
    <row r="6" spans="2:7" x14ac:dyDescent="0.35">
      <c r="B6" s="1"/>
      <c r="C6" s="1"/>
      <c r="D6" s="1"/>
      <c r="E6" s="1" t="s">
        <v>2</v>
      </c>
      <c r="F6" s="1"/>
      <c r="G6" s="1"/>
    </row>
    <row r="7" spans="2:7" x14ac:dyDescent="0.35">
      <c r="B7" s="1"/>
      <c r="C7" s="1"/>
      <c r="D7" s="1"/>
      <c r="E7" s="1" t="s">
        <v>3</v>
      </c>
      <c r="F7" s="1"/>
      <c r="G7" s="1"/>
    </row>
    <row r="8" spans="2:7" x14ac:dyDescent="0.35">
      <c r="B8" s="1"/>
      <c r="C8" s="1"/>
      <c r="D8" s="1"/>
      <c r="E8" s="1" t="s">
        <v>4</v>
      </c>
      <c r="F8" s="1"/>
      <c r="G8" s="1"/>
    </row>
    <row r="9" spans="2:7" x14ac:dyDescent="0.35">
      <c r="B9" s="1"/>
      <c r="C9" s="1"/>
      <c r="D9" s="1"/>
      <c r="E9" s="1" t="s">
        <v>5</v>
      </c>
      <c r="F9" s="1"/>
      <c r="G9" s="1"/>
    </row>
    <row r="10" spans="2:7" x14ac:dyDescent="0.35">
      <c r="B10" s="1"/>
      <c r="C10" s="1"/>
      <c r="D10" s="1"/>
      <c r="E10" s="1"/>
      <c r="F10" s="1"/>
      <c r="G10" s="1"/>
    </row>
    <row r="11" spans="2:7" x14ac:dyDescent="0.35">
      <c r="B11" s="1"/>
      <c r="C11" s="1"/>
      <c r="D11" s="1" t="s">
        <v>6</v>
      </c>
      <c r="E11" s="1"/>
      <c r="F11" s="1"/>
      <c r="G11" s="1"/>
    </row>
    <row r="12" spans="2:7" x14ac:dyDescent="0.35">
      <c r="B12" s="1"/>
      <c r="C12" s="1"/>
      <c r="D12" s="1"/>
      <c r="E12" s="82" t="s">
        <v>7</v>
      </c>
      <c r="F12" s="1"/>
      <c r="G12" s="1"/>
    </row>
    <row r="13" spans="2:7" x14ac:dyDescent="0.35">
      <c r="B13" s="1"/>
      <c r="C13" s="1"/>
      <c r="D13" s="1"/>
      <c r="E13" s="82" t="s">
        <v>8</v>
      </c>
      <c r="F13" s="1"/>
      <c r="G13" s="1"/>
    </row>
    <row r="14" spans="2:7" x14ac:dyDescent="0.35">
      <c r="B14" s="1"/>
      <c r="C14" s="1"/>
      <c r="D14" s="1"/>
      <c r="E14" s="82"/>
      <c r="F14" s="1"/>
      <c r="G14" s="1"/>
    </row>
    <row r="15" spans="2:7" x14ac:dyDescent="0.35">
      <c r="B15" s="1"/>
      <c r="C15" s="1"/>
      <c r="D15" s="1"/>
      <c r="E15" s="1"/>
      <c r="F15" s="1"/>
      <c r="G15" s="1"/>
    </row>
    <row r="16" spans="2:7" x14ac:dyDescent="0.35">
      <c r="B16" s="1"/>
      <c r="C16" s="1"/>
      <c r="D16" s="1" t="s">
        <v>9</v>
      </c>
      <c r="E16" s="1"/>
      <c r="F16" s="1"/>
      <c r="G16" s="1"/>
    </row>
    <row r="17" spans="2:7" ht="156" customHeight="1" x14ac:dyDescent="0.35">
      <c r="B17" s="1"/>
      <c r="C17" s="1"/>
      <c r="D17" s="1"/>
      <c r="E17" s="92" t="s">
        <v>10</v>
      </c>
      <c r="F17" s="1"/>
      <c r="G17" s="1"/>
    </row>
    <row r="18" spans="2:7" x14ac:dyDescent="0.35">
      <c r="B18" s="1"/>
      <c r="C18" s="1"/>
      <c r="D18" s="1"/>
      <c r="E18" s="1"/>
      <c r="F18" s="1"/>
      <c r="G18" s="1"/>
    </row>
    <row r="19" spans="2:7" x14ac:dyDescent="0.35">
      <c r="B19" s="1"/>
      <c r="C19" s="1"/>
      <c r="D19" s="1" t="s">
        <v>11</v>
      </c>
      <c r="E19" s="1"/>
      <c r="F19" s="1"/>
      <c r="G19" s="1"/>
    </row>
    <row r="20" spans="2:7" x14ac:dyDescent="0.35">
      <c r="B20" s="1"/>
      <c r="C20" s="1"/>
      <c r="D20" s="1"/>
      <c r="E20" s="83" t="s">
        <v>12</v>
      </c>
      <c r="F20" s="1"/>
      <c r="G20" s="1"/>
    </row>
    <row r="21" spans="2:7" x14ac:dyDescent="0.35">
      <c r="B21" s="1"/>
      <c r="C21" s="1"/>
      <c r="D21" s="1"/>
      <c r="E21" s="1"/>
      <c r="F21" s="1"/>
      <c r="G21" s="1"/>
    </row>
    <row r="22" spans="2:7" x14ac:dyDescent="0.35">
      <c r="B22" s="1"/>
      <c r="C22" s="1"/>
      <c r="D22" s="1" t="s">
        <v>13</v>
      </c>
      <c r="E22" s="1"/>
      <c r="F22" s="1"/>
      <c r="G22" s="1"/>
    </row>
    <row r="23" spans="2:7" ht="178.5" customHeight="1" x14ac:dyDescent="0.35">
      <c r="B23" s="1"/>
      <c r="C23" s="1"/>
      <c r="D23" s="1"/>
      <c r="E23" s="111"/>
      <c r="F23" s="1"/>
      <c r="G23" s="1"/>
    </row>
    <row r="24" spans="2:7" x14ac:dyDescent="0.35">
      <c r="B24" s="1"/>
      <c r="C24" s="1"/>
      <c r="D24" s="1"/>
      <c r="E24" s="1"/>
      <c r="F24" s="1"/>
      <c r="G24" s="1"/>
    </row>
    <row r="25" spans="2:7" x14ac:dyDescent="0.35">
      <c r="B25" s="1"/>
      <c r="C25" s="1"/>
      <c r="D25" s="1"/>
      <c r="E25" s="1"/>
      <c r="F25" s="1"/>
      <c r="G25" s="1"/>
    </row>
    <row r="26" spans="2:7" x14ac:dyDescent="0.35">
      <c r="B26" s="1"/>
      <c r="C26" s="1"/>
      <c r="D26" s="1"/>
      <c r="E26" s="1"/>
      <c r="F26" s="1"/>
      <c r="G26" s="1"/>
    </row>
    <row r="27" spans="2:7" x14ac:dyDescent="0.35">
      <c r="B27" s="1"/>
      <c r="C27" s="1"/>
      <c r="D27" s="1"/>
      <c r="E27" s="1"/>
      <c r="F27" s="1"/>
      <c r="G27" s="1"/>
    </row>
  </sheetData>
  <hyperlinks>
    <hyperlink ref="E13" r:id="rId1" xr:uid="{00000000-0004-0000-0000-000000000000}"/>
    <hyperlink ref="E12" r:id="rId2" xr:uid="{00000000-0004-0000-0000-000001000000}"/>
  </hyperlinks>
  <pageMargins left="0.7" right="0.7" top="0.75" bottom="0.75" header="0.3" footer="0.3"/>
  <pageSetup orientation="portrait" r:id="rId3"/>
  <drawing r:id="rId4"/>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Sheet10">
    <tabColor theme="1"/>
  </sheetPr>
  <dimension ref="A1:J130"/>
  <sheetViews>
    <sheetView zoomScale="70" zoomScaleNormal="70" workbookViewId="0">
      <selection activeCell="C45" sqref="C45"/>
    </sheetView>
  </sheetViews>
  <sheetFormatPr defaultColWidth="9.08984375" defaultRowHeight="14.5" x14ac:dyDescent="0.35"/>
  <cols>
    <col min="1" max="1" width="4.08984375" style="1" bestFit="1" customWidth="1"/>
    <col min="2" max="2" width="29.90625" style="1" customWidth="1"/>
    <col min="3" max="3" width="244.08984375" style="1" bestFit="1" customWidth="1"/>
    <col min="4" max="4" width="9.90625" style="1" bestFit="1" customWidth="1"/>
    <col min="5" max="5" width="31.08984375" style="1" bestFit="1" customWidth="1"/>
    <col min="6" max="6" width="57" style="1" customWidth="1"/>
    <col min="7" max="7" width="9.08984375" style="1"/>
    <col min="8" max="8" width="11.90625" style="1" customWidth="1"/>
    <col min="9" max="9" width="19.08984375" style="1" bestFit="1" customWidth="1"/>
    <col min="10" max="10" width="11.08984375" style="1" bestFit="1" customWidth="1"/>
    <col min="11" max="16384" width="9.08984375" style="1"/>
  </cols>
  <sheetData>
    <row r="1" spans="1:10" ht="15" customHeight="1" x14ac:dyDescent="0.35">
      <c r="A1" s="410" t="s">
        <v>14</v>
      </c>
      <c r="B1" s="410"/>
      <c r="C1" s="410"/>
      <c r="D1" s="410"/>
      <c r="E1" s="410"/>
      <c r="F1" s="410"/>
      <c r="H1" s="410" t="s">
        <v>15</v>
      </c>
      <c r="I1" s="410"/>
      <c r="J1" s="410"/>
    </row>
    <row r="2" spans="1:10" x14ac:dyDescent="0.35">
      <c r="A2" s="11"/>
      <c r="B2" s="11"/>
      <c r="C2" s="411"/>
      <c r="D2" s="411"/>
      <c r="E2" s="411"/>
      <c r="F2" s="11"/>
      <c r="H2" s="11" t="s">
        <v>16</v>
      </c>
      <c r="I2" s="11"/>
      <c r="J2" s="84" t="s">
        <v>17</v>
      </c>
    </row>
    <row r="3" spans="1:10" x14ac:dyDescent="0.35">
      <c r="A3" s="12" t="s">
        <v>18</v>
      </c>
      <c r="B3" s="12" t="s">
        <v>19</v>
      </c>
      <c r="C3" s="12" t="s">
        <v>20</v>
      </c>
      <c r="D3" s="12" t="s">
        <v>21</v>
      </c>
      <c r="E3" s="12" t="s">
        <v>22</v>
      </c>
      <c r="F3" s="12" t="s">
        <v>23</v>
      </c>
      <c r="H3" s="12" t="s">
        <v>24</v>
      </c>
      <c r="I3" s="12" t="s">
        <v>25</v>
      </c>
      <c r="J3" s="85" t="s">
        <v>26</v>
      </c>
    </row>
    <row r="4" spans="1:10" ht="13.5" customHeight="1" x14ac:dyDescent="0.35">
      <c r="A4" s="33">
        <v>1</v>
      </c>
      <c r="B4" s="33" t="s">
        <v>27</v>
      </c>
      <c r="C4" s="33" t="s">
        <v>28</v>
      </c>
      <c r="D4" s="108">
        <v>2015</v>
      </c>
      <c r="E4" s="33" t="s">
        <v>29</v>
      </c>
      <c r="F4" s="86" t="s">
        <v>30</v>
      </c>
      <c r="G4" s="1" t="s">
        <v>31</v>
      </c>
      <c r="H4" s="33">
        <v>2010</v>
      </c>
      <c r="I4" s="87">
        <v>0.88715400993612492</v>
      </c>
      <c r="J4" s="79" t="s">
        <v>32</v>
      </c>
    </row>
    <row r="5" spans="1:10" x14ac:dyDescent="0.35">
      <c r="A5" s="14">
        <v>2</v>
      </c>
      <c r="B5" s="14" t="s">
        <v>33</v>
      </c>
      <c r="C5" s="14" t="s">
        <v>34</v>
      </c>
      <c r="D5" s="109">
        <v>2020</v>
      </c>
      <c r="E5" s="14" t="s">
        <v>29</v>
      </c>
      <c r="F5" s="88" t="s">
        <v>35</v>
      </c>
      <c r="G5" s="1" t="s">
        <v>31</v>
      </c>
      <c r="H5" s="14">
        <v>2011</v>
      </c>
      <c r="I5" s="89">
        <v>0.90684882895670693</v>
      </c>
      <c r="J5" s="80" t="s">
        <v>32</v>
      </c>
    </row>
    <row r="6" spans="1:10" ht="13.5" customHeight="1" x14ac:dyDescent="0.35">
      <c r="A6" s="33">
        <v>3</v>
      </c>
      <c r="B6" s="33" t="s">
        <v>36</v>
      </c>
      <c r="C6" s="33" t="s">
        <v>37</v>
      </c>
      <c r="D6" s="108">
        <v>2019</v>
      </c>
      <c r="E6" s="86" t="s">
        <v>38</v>
      </c>
      <c r="F6" s="90" t="s">
        <v>29</v>
      </c>
      <c r="G6" s="1" t="s">
        <v>31</v>
      </c>
      <c r="H6" s="33">
        <v>2012</v>
      </c>
      <c r="I6" s="87">
        <v>0.93186657203690559</v>
      </c>
      <c r="J6" s="79" t="s">
        <v>32</v>
      </c>
    </row>
    <row r="7" spans="1:10" x14ac:dyDescent="0.35">
      <c r="A7" s="14">
        <v>4</v>
      </c>
      <c r="B7" s="14" t="s">
        <v>36</v>
      </c>
      <c r="C7" s="14" t="s">
        <v>39</v>
      </c>
      <c r="D7" s="109">
        <v>2019</v>
      </c>
      <c r="E7" s="88" t="s">
        <v>40</v>
      </c>
      <c r="F7" s="51" t="s">
        <v>29</v>
      </c>
      <c r="G7" s="1" t="s">
        <v>31</v>
      </c>
      <c r="H7" s="14">
        <v>2013</v>
      </c>
      <c r="I7" s="89">
        <v>0.95253726046841747</v>
      </c>
      <c r="J7" s="80" t="s">
        <v>32</v>
      </c>
    </row>
    <row r="8" spans="1:10" ht="13.5" customHeight="1" x14ac:dyDescent="0.35">
      <c r="A8" s="33">
        <v>5</v>
      </c>
      <c r="B8" s="33" t="s">
        <v>36</v>
      </c>
      <c r="C8" s="33" t="s">
        <v>39</v>
      </c>
      <c r="D8" s="108">
        <v>2019</v>
      </c>
      <c r="E8" s="33" t="s">
        <v>41</v>
      </c>
      <c r="F8" s="90" t="s">
        <v>29</v>
      </c>
      <c r="G8" s="1" t="s">
        <v>31</v>
      </c>
      <c r="H8" s="33">
        <v>2014</v>
      </c>
      <c r="I8" s="87">
        <v>0.96061036195883609</v>
      </c>
      <c r="J8" s="79" t="s">
        <v>32</v>
      </c>
    </row>
    <row r="9" spans="1:10" x14ac:dyDescent="0.35">
      <c r="A9" s="14">
        <v>6</v>
      </c>
      <c r="B9" s="14" t="s">
        <v>36</v>
      </c>
      <c r="C9" s="14" t="s">
        <v>39</v>
      </c>
      <c r="D9" s="109">
        <v>2019</v>
      </c>
      <c r="E9" s="14" t="s">
        <v>42</v>
      </c>
      <c r="F9" s="14" t="s">
        <v>29</v>
      </c>
      <c r="G9" s="1" t="s">
        <v>31</v>
      </c>
      <c r="H9" s="14">
        <v>2015</v>
      </c>
      <c r="I9" s="89">
        <v>0.95892476933995741</v>
      </c>
      <c r="J9" s="80" t="s">
        <v>32</v>
      </c>
    </row>
    <row r="10" spans="1:10" ht="13.5" customHeight="1" x14ac:dyDescent="0.35">
      <c r="A10" s="33">
        <v>7</v>
      </c>
      <c r="B10" s="33" t="s">
        <v>43</v>
      </c>
      <c r="C10" s="33" t="s">
        <v>44</v>
      </c>
      <c r="D10" s="108">
        <v>2015</v>
      </c>
      <c r="E10" s="33" t="s">
        <v>29</v>
      </c>
      <c r="F10" s="86" t="s">
        <v>45</v>
      </c>
      <c r="G10" s="1" t="s">
        <v>31</v>
      </c>
      <c r="H10" s="33">
        <v>2016</v>
      </c>
      <c r="I10" s="87">
        <v>0.96132008516678491</v>
      </c>
      <c r="J10" s="79" t="s">
        <v>32</v>
      </c>
    </row>
    <row r="11" spans="1:10" x14ac:dyDescent="0.35">
      <c r="A11" s="14">
        <v>8</v>
      </c>
      <c r="B11" s="14" t="s">
        <v>46</v>
      </c>
      <c r="C11" s="14" t="s">
        <v>47</v>
      </c>
      <c r="D11" s="109">
        <v>2020</v>
      </c>
      <c r="E11" s="88" t="s">
        <v>48</v>
      </c>
      <c r="F11" s="51" t="s">
        <v>29</v>
      </c>
      <c r="G11" s="1" t="s">
        <v>31</v>
      </c>
      <c r="H11" s="14">
        <v>2017</v>
      </c>
      <c r="I11" s="89">
        <v>0.97187721788502479</v>
      </c>
      <c r="J11" s="80" t="s">
        <v>32</v>
      </c>
    </row>
    <row r="12" spans="1:10" ht="13.5" customHeight="1" x14ac:dyDescent="0.35">
      <c r="A12" s="33">
        <v>9</v>
      </c>
      <c r="B12" s="33" t="s">
        <v>49</v>
      </c>
      <c r="C12" s="33" t="s">
        <v>50</v>
      </c>
      <c r="D12" s="108">
        <v>2015</v>
      </c>
      <c r="E12" s="33" t="s">
        <v>29</v>
      </c>
      <c r="F12" s="86" t="s">
        <v>51</v>
      </c>
      <c r="G12" s="1" t="s">
        <v>31</v>
      </c>
      <c r="H12" s="33">
        <v>2018</v>
      </c>
      <c r="I12" s="87">
        <v>0.98500709723207958</v>
      </c>
      <c r="J12" s="79" t="s">
        <v>32</v>
      </c>
    </row>
    <row r="13" spans="1:10" x14ac:dyDescent="0.35">
      <c r="A13" s="14">
        <v>10</v>
      </c>
      <c r="B13" s="14" t="s">
        <v>52</v>
      </c>
      <c r="C13" s="14" t="s">
        <v>53</v>
      </c>
      <c r="D13" s="109">
        <v>2016</v>
      </c>
      <c r="E13" s="14" t="s">
        <v>29</v>
      </c>
      <c r="F13" s="88" t="s">
        <v>52</v>
      </c>
      <c r="G13" s="1" t="s">
        <v>31</v>
      </c>
      <c r="H13" s="14">
        <v>2019</v>
      </c>
      <c r="I13" s="89">
        <v>1</v>
      </c>
      <c r="J13" s="80" t="s">
        <v>32</v>
      </c>
    </row>
    <row r="14" spans="1:10" ht="13.4" customHeight="1" x14ac:dyDescent="0.35">
      <c r="A14" s="33">
        <v>11</v>
      </c>
      <c r="B14" s="33" t="s">
        <v>54</v>
      </c>
      <c r="C14" s="95" t="s">
        <v>55</v>
      </c>
      <c r="D14" s="108">
        <v>2019</v>
      </c>
      <c r="E14" s="86" t="s">
        <v>56</v>
      </c>
      <c r="F14" s="86" t="s">
        <v>57</v>
      </c>
      <c r="G14" s="1" t="s">
        <v>31</v>
      </c>
    </row>
    <row r="15" spans="1:10" ht="13.5" customHeight="1" x14ac:dyDescent="0.35">
      <c r="A15" s="14">
        <v>12</v>
      </c>
      <c r="B15" s="14" t="s">
        <v>58</v>
      </c>
      <c r="C15" s="100" t="s">
        <v>59</v>
      </c>
      <c r="D15" s="109">
        <v>2019</v>
      </c>
      <c r="E15" s="88" t="s">
        <v>56</v>
      </c>
      <c r="F15" s="88" t="s">
        <v>57</v>
      </c>
      <c r="G15" s="1" t="s">
        <v>31</v>
      </c>
    </row>
    <row r="16" spans="1:10" ht="13.5" customHeight="1" x14ac:dyDescent="0.35">
      <c r="A16" s="33">
        <v>13</v>
      </c>
      <c r="B16" s="33" t="s">
        <v>60</v>
      </c>
      <c r="C16" s="33" t="s">
        <v>61</v>
      </c>
      <c r="D16" s="108">
        <v>2019</v>
      </c>
      <c r="E16" s="33"/>
      <c r="F16" s="86" t="s">
        <v>62</v>
      </c>
      <c r="G16" s="1" t="s">
        <v>31</v>
      </c>
    </row>
    <row r="17" spans="1:7" ht="13.5" customHeight="1" x14ac:dyDescent="0.35">
      <c r="A17" s="14">
        <v>14</v>
      </c>
      <c r="B17" s="14" t="s">
        <v>63</v>
      </c>
      <c r="C17" s="14" t="s">
        <v>64</v>
      </c>
      <c r="D17" s="109">
        <v>2019</v>
      </c>
      <c r="E17" s="14"/>
      <c r="F17" s="88" t="s">
        <v>65</v>
      </c>
      <c r="G17" s="1" t="s">
        <v>31</v>
      </c>
    </row>
    <row r="18" spans="1:7" ht="13.5" customHeight="1" x14ac:dyDescent="0.35">
      <c r="A18" s="33">
        <v>15</v>
      </c>
      <c r="B18" s="33" t="s">
        <v>54</v>
      </c>
      <c r="C18" s="33" t="s">
        <v>66</v>
      </c>
      <c r="D18" s="108">
        <v>2019</v>
      </c>
      <c r="E18" s="86" t="s">
        <v>56</v>
      </c>
      <c r="F18" s="86" t="s">
        <v>57</v>
      </c>
      <c r="G18" s="1" t="s">
        <v>31</v>
      </c>
    </row>
    <row r="19" spans="1:7" ht="13.5" customHeight="1" x14ac:dyDescent="0.35">
      <c r="A19" s="14">
        <v>16</v>
      </c>
      <c r="B19" s="14" t="s">
        <v>67</v>
      </c>
      <c r="C19" s="14" t="s">
        <v>68</v>
      </c>
      <c r="D19" s="109">
        <v>2018</v>
      </c>
      <c r="E19" s="14" t="s">
        <v>29</v>
      </c>
      <c r="F19" s="88" t="s">
        <v>69</v>
      </c>
      <c r="G19" s="1" t="s">
        <v>31</v>
      </c>
    </row>
    <row r="20" spans="1:7" ht="13.5" customHeight="1" x14ac:dyDescent="0.35">
      <c r="A20" s="33">
        <v>17</v>
      </c>
      <c r="B20" s="33" t="s">
        <v>70</v>
      </c>
      <c r="C20" s="33" t="s">
        <v>71</v>
      </c>
      <c r="D20" s="108">
        <v>2019</v>
      </c>
      <c r="E20" s="86" t="s">
        <v>56</v>
      </c>
      <c r="F20" s="86" t="s">
        <v>72</v>
      </c>
      <c r="G20" s="1" t="s">
        <v>31</v>
      </c>
    </row>
    <row r="21" spans="1:7" ht="13.5" customHeight="1" x14ac:dyDescent="0.35">
      <c r="A21" s="14">
        <v>18</v>
      </c>
      <c r="B21" s="14" t="s">
        <v>73</v>
      </c>
      <c r="C21" s="14" t="s">
        <v>74</v>
      </c>
      <c r="D21" s="109">
        <v>2019</v>
      </c>
      <c r="E21" s="88" t="s">
        <v>75</v>
      </c>
      <c r="F21" s="88" t="s">
        <v>73</v>
      </c>
      <c r="G21" s="1" t="s">
        <v>31</v>
      </c>
    </row>
    <row r="22" spans="1:7" ht="13.5" customHeight="1" x14ac:dyDescent="0.35">
      <c r="A22" s="33">
        <v>19</v>
      </c>
      <c r="B22" s="33" t="s">
        <v>76</v>
      </c>
      <c r="C22" s="33" t="s">
        <v>77</v>
      </c>
      <c r="D22" s="108">
        <v>2016</v>
      </c>
      <c r="E22" s="86"/>
      <c r="F22" s="86" t="s">
        <v>78</v>
      </c>
      <c r="G22" s="1" t="s">
        <v>31</v>
      </c>
    </row>
    <row r="23" spans="1:7" ht="13.5" customHeight="1" x14ac:dyDescent="0.35">
      <c r="A23" s="14">
        <v>20</v>
      </c>
      <c r="B23" s="14" t="s">
        <v>79</v>
      </c>
      <c r="C23" s="14" t="s">
        <v>80</v>
      </c>
      <c r="D23" s="109">
        <v>2019</v>
      </c>
      <c r="E23" s="88" t="s">
        <v>81</v>
      </c>
      <c r="F23" s="88"/>
      <c r="G23" s="1" t="s">
        <v>31</v>
      </c>
    </row>
    <row r="24" spans="1:7" ht="13.5" customHeight="1" x14ac:dyDescent="0.35">
      <c r="A24" s="33">
        <v>21</v>
      </c>
      <c r="B24" s="33" t="s">
        <v>82</v>
      </c>
      <c r="C24" s="33" t="s">
        <v>83</v>
      </c>
      <c r="D24" s="108">
        <v>2015</v>
      </c>
      <c r="E24" s="86" t="s">
        <v>84</v>
      </c>
      <c r="F24" s="86" t="s">
        <v>85</v>
      </c>
      <c r="G24" s="1" t="s">
        <v>31</v>
      </c>
    </row>
    <row r="25" spans="1:7" ht="13.5" customHeight="1" x14ac:dyDescent="0.35">
      <c r="A25" s="14">
        <v>22</v>
      </c>
      <c r="B25" s="14" t="s">
        <v>86</v>
      </c>
      <c r="C25" s="14" t="s">
        <v>87</v>
      </c>
      <c r="D25" s="109">
        <v>2019</v>
      </c>
      <c r="E25" s="88"/>
      <c r="F25" s="88" t="s">
        <v>88</v>
      </c>
      <c r="G25" s="1" t="s">
        <v>31</v>
      </c>
    </row>
    <row r="26" spans="1:7" ht="13.5" customHeight="1" x14ac:dyDescent="0.35">
      <c r="A26" s="33">
        <v>23</v>
      </c>
      <c r="B26" s="33" t="s">
        <v>89</v>
      </c>
      <c r="C26" s="33" t="s">
        <v>90</v>
      </c>
      <c r="D26" s="108" t="s">
        <v>91</v>
      </c>
      <c r="E26" s="86" t="s">
        <v>92</v>
      </c>
      <c r="F26" s="86" t="s">
        <v>93</v>
      </c>
      <c r="G26" s="1" t="s">
        <v>31</v>
      </c>
    </row>
    <row r="27" spans="1:7" ht="13.5" customHeight="1" x14ac:dyDescent="0.35">
      <c r="A27" s="14">
        <v>24</v>
      </c>
      <c r="B27" s="14" t="s">
        <v>94</v>
      </c>
      <c r="C27" s="14" t="s">
        <v>95</v>
      </c>
      <c r="D27" s="109" t="s">
        <v>96</v>
      </c>
      <c r="E27" s="88" t="s">
        <v>97</v>
      </c>
      <c r="F27" s="88" t="s">
        <v>98</v>
      </c>
      <c r="G27" s="1" t="s">
        <v>31</v>
      </c>
    </row>
    <row r="28" spans="1:7" ht="13.5" customHeight="1" x14ac:dyDescent="0.35">
      <c r="A28" s="33">
        <v>25</v>
      </c>
      <c r="B28" s="33" t="s">
        <v>99</v>
      </c>
      <c r="C28" s="33" t="s">
        <v>100</v>
      </c>
      <c r="D28" s="108">
        <v>2019</v>
      </c>
      <c r="E28" s="86"/>
      <c r="F28" s="86" t="s">
        <v>101</v>
      </c>
      <c r="G28" s="1" t="s">
        <v>31</v>
      </c>
    </row>
    <row r="29" spans="1:7" ht="13.5" customHeight="1" x14ac:dyDescent="0.35">
      <c r="A29" s="14">
        <v>26</v>
      </c>
      <c r="B29" s="14" t="s">
        <v>102</v>
      </c>
      <c r="C29" s="14" t="s">
        <v>103</v>
      </c>
      <c r="D29" s="109">
        <v>2019</v>
      </c>
      <c r="E29" s="88" t="s">
        <v>97</v>
      </c>
      <c r="F29" s="88" t="s">
        <v>104</v>
      </c>
      <c r="G29" s="1" t="s">
        <v>31</v>
      </c>
    </row>
    <row r="30" spans="1:7" ht="13.5" customHeight="1" x14ac:dyDescent="0.35">
      <c r="A30" s="33">
        <v>27</v>
      </c>
      <c r="B30" s="33" t="s">
        <v>105</v>
      </c>
      <c r="C30" s="33" t="s">
        <v>106</v>
      </c>
      <c r="D30" s="108">
        <v>2009</v>
      </c>
      <c r="E30" s="86"/>
      <c r="F30" s="86" t="s">
        <v>104</v>
      </c>
      <c r="G30" s="1" t="s">
        <v>31</v>
      </c>
    </row>
    <row r="31" spans="1:7" ht="13.5" customHeight="1" x14ac:dyDescent="0.35">
      <c r="A31" s="14">
        <v>28</v>
      </c>
      <c r="B31" s="14" t="s">
        <v>107</v>
      </c>
      <c r="C31" s="14" t="s">
        <v>108</v>
      </c>
      <c r="D31" s="109">
        <v>2019</v>
      </c>
      <c r="E31" s="88" t="s">
        <v>109</v>
      </c>
      <c r="F31" s="88"/>
      <c r="G31" s="1" t="s">
        <v>31</v>
      </c>
    </row>
    <row r="32" spans="1:7" ht="13.5" customHeight="1" x14ac:dyDescent="0.35">
      <c r="A32" s="33">
        <v>29</v>
      </c>
      <c r="B32" s="33" t="s">
        <v>110</v>
      </c>
      <c r="C32" s="33" t="s">
        <v>111</v>
      </c>
      <c r="D32" s="108">
        <v>2012</v>
      </c>
      <c r="E32" s="86"/>
      <c r="F32" s="86" t="s">
        <v>112</v>
      </c>
      <c r="G32" s="1" t="s">
        <v>31</v>
      </c>
    </row>
    <row r="33" spans="1:7" ht="13.5" customHeight="1" x14ac:dyDescent="0.35">
      <c r="A33" s="14">
        <v>30</v>
      </c>
      <c r="B33" s="14" t="s">
        <v>113</v>
      </c>
      <c r="C33" s="14" t="s">
        <v>114</v>
      </c>
      <c r="D33" s="109">
        <v>2017</v>
      </c>
      <c r="E33" s="88" t="s">
        <v>115</v>
      </c>
      <c r="F33" s="88" t="s">
        <v>104</v>
      </c>
      <c r="G33" s="1" t="s">
        <v>31</v>
      </c>
    </row>
    <row r="34" spans="1:7" ht="13.5" customHeight="1" x14ac:dyDescent="0.35">
      <c r="A34" s="33">
        <v>31</v>
      </c>
      <c r="B34" s="33" t="s">
        <v>116</v>
      </c>
      <c r="C34" s="33" t="s">
        <v>117</v>
      </c>
      <c r="D34" s="108">
        <v>2018</v>
      </c>
      <c r="E34" s="86"/>
      <c r="F34" s="86" t="s">
        <v>104</v>
      </c>
      <c r="G34" s="1" t="s">
        <v>31</v>
      </c>
    </row>
    <row r="35" spans="1:7" ht="13.5" customHeight="1" x14ac:dyDescent="0.35">
      <c r="A35" s="14">
        <v>32</v>
      </c>
      <c r="B35" s="14" t="s">
        <v>118</v>
      </c>
      <c r="C35" s="14" t="s">
        <v>119</v>
      </c>
      <c r="D35" s="109">
        <v>2017</v>
      </c>
      <c r="E35" s="88"/>
      <c r="F35" s="88" t="s">
        <v>104</v>
      </c>
      <c r="G35" s="1" t="s">
        <v>31</v>
      </c>
    </row>
    <row r="36" spans="1:7" ht="13.5" customHeight="1" x14ac:dyDescent="0.35">
      <c r="A36" s="33">
        <v>33</v>
      </c>
      <c r="B36" s="33" t="s">
        <v>120</v>
      </c>
      <c r="C36" s="33" t="s">
        <v>121</v>
      </c>
      <c r="D36" s="108">
        <v>2020</v>
      </c>
      <c r="E36" s="86" t="s">
        <v>122</v>
      </c>
      <c r="F36" s="86" t="s">
        <v>104</v>
      </c>
      <c r="G36" s="1" t="s">
        <v>31</v>
      </c>
    </row>
    <row r="37" spans="1:7" ht="13.5" customHeight="1" x14ac:dyDescent="0.35">
      <c r="A37" s="14">
        <v>34</v>
      </c>
      <c r="B37" s="14" t="s">
        <v>123</v>
      </c>
      <c r="C37" s="14" t="s">
        <v>124</v>
      </c>
      <c r="D37" s="109">
        <v>2020</v>
      </c>
      <c r="E37" s="88"/>
      <c r="F37" s="88" t="s">
        <v>104</v>
      </c>
      <c r="G37" s="1" t="s">
        <v>31</v>
      </c>
    </row>
    <row r="38" spans="1:7" ht="13.5" customHeight="1" x14ac:dyDescent="0.35">
      <c r="A38" s="33">
        <v>35</v>
      </c>
      <c r="B38" s="33" t="s">
        <v>125</v>
      </c>
      <c r="C38" s="33" t="s">
        <v>126</v>
      </c>
      <c r="D38" s="108">
        <v>2017</v>
      </c>
      <c r="E38" s="86" t="s">
        <v>122</v>
      </c>
      <c r="F38" s="86"/>
    </row>
    <row r="39" spans="1:7" ht="13.5" customHeight="1" x14ac:dyDescent="0.35">
      <c r="A39" s="14">
        <v>36</v>
      </c>
      <c r="B39" s="14" t="s">
        <v>127</v>
      </c>
      <c r="C39" s="14" t="s">
        <v>128</v>
      </c>
      <c r="D39" s="109">
        <v>2019</v>
      </c>
      <c r="E39" s="88" t="s">
        <v>122</v>
      </c>
      <c r="F39" s="88"/>
    </row>
    <row r="40" spans="1:7" ht="13.5" customHeight="1" x14ac:dyDescent="0.35">
      <c r="A40" s="33">
        <v>37</v>
      </c>
      <c r="B40" s="33" t="s">
        <v>129</v>
      </c>
      <c r="C40" s="33" t="s">
        <v>130</v>
      </c>
      <c r="D40" s="108">
        <v>2019</v>
      </c>
      <c r="E40" s="86"/>
      <c r="F40" s="86" t="s">
        <v>131</v>
      </c>
    </row>
    <row r="41" spans="1:7" ht="13.5" customHeight="1" x14ac:dyDescent="0.35">
      <c r="A41" s="14">
        <v>38</v>
      </c>
      <c r="B41" s="14" t="s">
        <v>132</v>
      </c>
      <c r="C41" s="14" t="s">
        <v>133</v>
      </c>
      <c r="D41" s="109">
        <v>2019</v>
      </c>
      <c r="E41" s="88"/>
      <c r="F41" s="88" t="s">
        <v>104</v>
      </c>
    </row>
    <row r="42" spans="1:7" ht="13.5" customHeight="1" x14ac:dyDescent="0.35">
      <c r="A42" s="33">
        <v>39</v>
      </c>
      <c r="B42" s="33" t="s">
        <v>134</v>
      </c>
      <c r="C42" s="33" t="s">
        <v>135</v>
      </c>
      <c r="D42" s="108">
        <v>2019</v>
      </c>
      <c r="E42" s="86"/>
      <c r="F42" s="86" t="s">
        <v>104</v>
      </c>
    </row>
    <row r="43" spans="1:7" ht="13.5" customHeight="1" x14ac:dyDescent="0.35">
      <c r="A43" s="14">
        <v>40</v>
      </c>
      <c r="B43" s="14" t="s">
        <v>136</v>
      </c>
      <c r="C43" s="14" t="s">
        <v>137</v>
      </c>
      <c r="D43" s="109">
        <v>2014</v>
      </c>
      <c r="E43" s="88"/>
      <c r="F43" s="88" t="s">
        <v>104</v>
      </c>
    </row>
    <row r="44" spans="1:7" ht="13.5" customHeight="1" x14ac:dyDescent="0.35">
      <c r="A44" s="33">
        <v>41</v>
      </c>
      <c r="B44" s="33" t="s">
        <v>36</v>
      </c>
      <c r="C44" s="33" t="s">
        <v>138</v>
      </c>
      <c r="D44" s="108">
        <v>2018</v>
      </c>
      <c r="E44" s="86" t="s">
        <v>122</v>
      </c>
      <c r="F44" s="86"/>
    </row>
    <row r="45" spans="1:7" ht="13.5" customHeight="1" x14ac:dyDescent="0.35">
      <c r="A45" s="14">
        <v>42</v>
      </c>
      <c r="B45" s="14" t="s">
        <v>36</v>
      </c>
      <c r="C45" s="14" t="s">
        <v>139</v>
      </c>
      <c r="D45" s="109">
        <v>2018</v>
      </c>
      <c r="E45" s="88" t="s">
        <v>122</v>
      </c>
      <c r="F45" s="88"/>
    </row>
    <row r="46" spans="1:7" ht="13.5" customHeight="1" x14ac:dyDescent="0.35">
      <c r="A46" s="33">
        <v>43</v>
      </c>
      <c r="B46" s="33" t="s">
        <v>140</v>
      </c>
      <c r="C46" s="33" t="s">
        <v>141</v>
      </c>
      <c r="D46" s="108">
        <v>2017</v>
      </c>
      <c r="E46" s="86"/>
      <c r="F46" s="86" t="s">
        <v>104</v>
      </c>
    </row>
    <row r="47" spans="1:7" ht="13.5" customHeight="1" x14ac:dyDescent="0.35">
      <c r="A47" s="14">
        <v>44</v>
      </c>
      <c r="B47" s="14" t="s">
        <v>142</v>
      </c>
      <c r="C47" s="14" t="s">
        <v>143</v>
      </c>
      <c r="D47" s="109">
        <v>2020</v>
      </c>
      <c r="E47" s="88" t="s">
        <v>122</v>
      </c>
      <c r="F47" s="88" t="s">
        <v>104</v>
      </c>
    </row>
    <row r="48" spans="1:7" ht="13.5" customHeight="1" x14ac:dyDescent="0.35">
      <c r="A48" s="33">
        <v>45</v>
      </c>
      <c r="B48" s="33" t="s">
        <v>144</v>
      </c>
      <c r="C48" s="33" t="s">
        <v>145</v>
      </c>
      <c r="D48" s="108">
        <v>2020</v>
      </c>
      <c r="E48" s="86" t="s">
        <v>122</v>
      </c>
      <c r="F48" s="86"/>
    </row>
    <row r="49" spans="1:6" ht="13.5" customHeight="1" x14ac:dyDescent="0.35">
      <c r="A49" s="14">
        <v>46</v>
      </c>
      <c r="B49" s="14" t="s">
        <v>36</v>
      </c>
      <c r="C49" s="14" t="s">
        <v>146</v>
      </c>
      <c r="D49" s="109">
        <v>2019</v>
      </c>
      <c r="E49" s="88" t="s">
        <v>122</v>
      </c>
      <c r="F49" s="88"/>
    </row>
    <row r="50" spans="1:6" ht="13.5" customHeight="1" x14ac:dyDescent="0.35">
      <c r="A50" s="33">
        <v>47</v>
      </c>
      <c r="B50" s="33" t="s">
        <v>36</v>
      </c>
      <c r="C50" s="33" t="s">
        <v>147</v>
      </c>
      <c r="D50" s="108">
        <v>2019</v>
      </c>
      <c r="E50" s="86" t="s">
        <v>122</v>
      </c>
      <c r="F50" s="86"/>
    </row>
    <row r="51" spans="1:6" ht="13.5" customHeight="1" x14ac:dyDescent="0.35">
      <c r="A51" s="14">
        <v>48</v>
      </c>
      <c r="B51" s="14" t="s">
        <v>36</v>
      </c>
      <c r="C51" s="14" t="s">
        <v>148</v>
      </c>
      <c r="D51" s="109">
        <v>2018</v>
      </c>
      <c r="E51" s="88" t="s">
        <v>122</v>
      </c>
      <c r="F51" s="88"/>
    </row>
    <row r="52" spans="1:6" ht="13.5" customHeight="1" x14ac:dyDescent="0.35">
      <c r="A52" s="33">
        <v>49</v>
      </c>
      <c r="B52" s="33" t="s">
        <v>149</v>
      </c>
      <c r="C52" s="33" t="s">
        <v>150</v>
      </c>
      <c r="D52" s="108">
        <v>2021</v>
      </c>
      <c r="E52" s="86" t="s">
        <v>122</v>
      </c>
      <c r="F52" s="86"/>
    </row>
    <row r="53" spans="1:6" ht="13.5" customHeight="1" x14ac:dyDescent="0.35">
      <c r="A53" s="14">
        <v>50</v>
      </c>
      <c r="B53" s="14" t="s">
        <v>151</v>
      </c>
      <c r="C53" s="14" t="s">
        <v>152</v>
      </c>
      <c r="D53" s="109">
        <v>2020</v>
      </c>
      <c r="E53" s="88"/>
      <c r="F53" s="88" t="s">
        <v>104</v>
      </c>
    </row>
    <row r="54" spans="1:6" ht="13.5" customHeight="1" x14ac:dyDescent="0.35">
      <c r="A54" s="33">
        <v>51</v>
      </c>
      <c r="B54" s="33" t="s">
        <v>153</v>
      </c>
      <c r="C54" s="33" t="s">
        <v>154</v>
      </c>
      <c r="D54" s="108">
        <v>2019</v>
      </c>
      <c r="E54" s="86" t="s">
        <v>122</v>
      </c>
      <c r="F54" s="86" t="s">
        <v>104</v>
      </c>
    </row>
    <row r="55" spans="1:6" ht="13.5" customHeight="1" x14ac:dyDescent="0.35">
      <c r="A55" s="14">
        <v>52</v>
      </c>
      <c r="B55" s="14" t="s">
        <v>155</v>
      </c>
      <c r="C55" s="14" t="s">
        <v>156</v>
      </c>
      <c r="D55" s="109">
        <v>2019</v>
      </c>
      <c r="E55" s="88" t="s">
        <v>122</v>
      </c>
      <c r="F55" s="88" t="s">
        <v>104</v>
      </c>
    </row>
    <row r="56" spans="1:6" ht="13.5" customHeight="1" x14ac:dyDescent="0.35">
      <c r="A56" s="33">
        <v>53</v>
      </c>
      <c r="B56" s="33" t="s">
        <v>157</v>
      </c>
      <c r="C56" s="33" t="s">
        <v>158</v>
      </c>
      <c r="D56" s="108">
        <v>2019</v>
      </c>
      <c r="E56" s="86" t="s">
        <v>122</v>
      </c>
      <c r="F56" s="86" t="s">
        <v>104</v>
      </c>
    </row>
    <row r="57" spans="1:6" ht="13.5" customHeight="1" x14ac:dyDescent="0.35">
      <c r="A57" s="14">
        <v>54</v>
      </c>
      <c r="B57" s="14" t="s">
        <v>159</v>
      </c>
      <c r="C57" s="14" t="s">
        <v>160</v>
      </c>
      <c r="D57" s="109">
        <v>2019</v>
      </c>
      <c r="E57" s="88" t="s">
        <v>122</v>
      </c>
      <c r="F57" s="88" t="s">
        <v>104</v>
      </c>
    </row>
    <row r="58" spans="1:6" ht="13.4" customHeight="1" x14ac:dyDescent="0.35">
      <c r="A58" s="33">
        <v>55</v>
      </c>
      <c r="B58" s="33" t="s">
        <v>161</v>
      </c>
      <c r="C58" s="33" t="s">
        <v>162</v>
      </c>
      <c r="D58" s="108">
        <v>2020</v>
      </c>
      <c r="E58" s="86" t="s">
        <v>122</v>
      </c>
      <c r="F58" s="86" t="s">
        <v>104</v>
      </c>
    </row>
    <row r="59" spans="1:6" ht="13.5" customHeight="1" x14ac:dyDescent="0.35">
      <c r="A59" s="14">
        <v>56</v>
      </c>
      <c r="B59" s="14" t="s">
        <v>163</v>
      </c>
      <c r="C59" s="14" t="s">
        <v>164</v>
      </c>
      <c r="D59" s="109">
        <v>2021</v>
      </c>
      <c r="E59" s="88" t="s">
        <v>122</v>
      </c>
      <c r="F59" s="88" t="s">
        <v>104</v>
      </c>
    </row>
    <row r="60" spans="1:6" ht="13.5" customHeight="1" x14ac:dyDescent="0.35">
      <c r="A60" s="33">
        <v>57</v>
      </c>
      <c r="B60" s="33" t="s">
        <v>165</v>
      </c>
      <c r="C60" s="33" t="s">
        <v>166</v>
      </c>
      <c r="D60" s="108">
        <v>2020</v>
      </c>
      <c r="E60" s="86" t="s">
        <v>122</v>
      </c>
      <c r="F60" s="86" t="s">
        <v>104</v>
      </c>
    </row>
    <row r="61" spans="1:6" ht="13.5" customHeight="1" x14ac:dyDescent="0.35">
      <c r="A61" s="14">
        <v>58</v>
      </c>
      <c r="B61" s="14" t="s">
        <v>167</v>
      </c>
      <c r="C61" s="14" t="s">
        <v>168</v>
      </c>
      <c r="D61" s="109">
        <v>2019</v>
      </c>
      <c r="E61" s="88" t="s">
        <v>122</v>
      </c>
      <c r="F61" s="88" t="s">
        <v>104</v>
      </c>
    </row>
    <row r="62" spans="1:6" ht="13.5" customHeight="1" x14ac:dyDescent="0.35">
      <c r="A62" s="33">
        <v>59</v>
      </c>
      <c r="B62" s="33" t="s">
        <v>169</v>
      </c>
      <c r="C62" s="33" t="s">
        <v>170</v>
      </c>
      <c r="D62" s="108">
        <v>2019</v>
      </c>
      <c r="E62" s="86" t="s">
        <v>122</v>
      </c>
      <c r="F62" s="86" t="s">
        <v>104</v>
      </c>
    </row>
    <row r="63" spans="1:6" ht="13.5" customHeight="1" x14ac:dyDescent="0.35">
      <c r="A63" s="14">
        <v>60</v>
      </c>
      <c r="B63" s="14" t="s">
        <v>36</v>
      </c>
      <c r="C63" s="14" t="s">
        <v>171</v>
      </c>
      <c r="D63" s="109">
        <v>2019</v>
      </c>
      <c r="E63" s="88" t="s">
        <v>122</v>
      </c>
      <c r="F63" s="88"/>
    </row>
    <row r="64" spans="1:6" ht="13.5" customHeight="1" x14ac:dyDescent="0.35">
      <c r="A64" s="33">
        <v>61</v>
      </c>
      <c r="B64" s="33" t="s">
        <v>36</v>
      </c>
      <c r="C64" s="33" t="s">
        <v>172</v>
      </c>
      <c r="D64" s="108">
        <v>2019</v>
      </c>
      <c r="E64" s="86" t="s">
        <v>122</v>
      </c>
      <c r="F64" s="86"/>
    </row>
    <row r="65" spans="1:6" ht="13.5" customHeight="1" x14ac:dyDescent="0.35">
      <c r="A65" s="14">
        <v>62</v>
      </c>
      <c r="B65" s="14" t="s">
        <v>36</v>
      </c>
      <c r="C65" s="14" t="s">
        <v>173</v>
      </c>
      <c r="D65" s="109">
        <v>2019</v>
      </c>
      <c r="E65" s="88" t="s">
        <v>122</v>
      </c>
      <c r="F65" s="88"/>
    </row>
    <row r="66" spans="1:6" ht="13.5" customHeight="1" x14ac:dyDescent="0.35">
      <c r="A66" s="33">
        <v>63</v>
      </c>
      <c r="B66" s="33" t="s">
        <v>174</v>
      </c>
      <c r="C66" s="33" t="s">
        <v>175</v>
      </c>
      <c r="D66" s="108">
        <v>2013</v>
      </c>
      <c r="E66" s="86"/>
      <c r="F66" s="86" t="s">
        <v>104</v>
      </c>
    </row>
    <row r="67" spans="1:6" ht="13.5" customHeight="1" x14ac:dyDescent="0.35">
      <c r="A67" s="14">
        <v>64</v>
      </c>
      <c r="B67" s="14" t="s">
        <v>36</v>
      </c>
      <c r="C67" s="14" t="s">
        <v>176</v>
      </c>
      <c r="D67" s="109">
        <v>2021</v>
      </c>
      <c r="E67" s="88" t="s">
        <v>122</v>
      </c>
      <c r="F67" s="88"/>
    </row>
    <row r="68" spans="1:6" ht="13.5" customHeight="1" x14ac:dyDescent="0.35">
      <c r="A68" s="33">
        <v>65</v>
      </c>
      <c r="B68" s="33" t="s">
        <v>36</v>
      </c>
      <c r="C68" s="33" t="s">
        <v>177</v>
      </c>
      <c r="D68" s="108">
        <v>2019</v>
      </c>
      <c r="E68" s="86" t="s">
        <v>122</v>
      </c>
      <c r="F68" s="86"/>
    </row>
    <row r="69" spans="1:6" ht="13.5" customHeight="1" x14ac:dyDescent="0.35">
      <c r="A69" s="14">
        <v>66</v>
      </c>
      <c r="B69" s="14" t="s">
        <v>178</v>
      </c>
      <c r="C69" s="14" t="s">
        <v>179</v>
      </c>
      <c r="D69" s="109">
        <v>2020</v>
      </c>
      <c r="E69" s="88"/>
      <c r="F69"/>
    </row>
    <row r="70" spans="1:6" ht="13.5" customHeight="1" x14ac:dyDescent="0.35">
      <c r="A70" s="33">
        <v>67</v>
      </c>
      <c r="B70" s="33" t="s">
        <v>180</v>
      </c>
      <c r="C70" s="33" t="s">
        <v>181</v>
      </c>
      <c r="D70" s="108">
        <v>2020</v>
      </c>
      <c r="E70" s="86"/>
      <c r="F70" s="86" t="s">
        <v>104</v>
      </c>
    </row>
    <row r="71" spans="1:6" ht="13.5" customHeight="1" x14ac:dyDescent="0.35">
      <c r="A71" s="14">
        <v>68</v>
      </c>
      <c r="B71" s="14" t="s">
        <v>182</v>
      </c>
      <c r="C71" s="14" t="s">
        <v>183</v>
      </c>
      <c r="D71" s="109">
        <v>2021</v>
      </c>
      <c r="E71" s="88"/>
      <c r="F71" s="88" t="s">
        <v>104</v>
      </c>
    </row>
    <row r="72" spans="1:6" ht="13.5" customHeight="1" x14ac:dyDescent="0.35">
      <c r="A72" s="33">
        <v>69</v>
      </c>
      <c r="B72" s="33" t="s">
        <v>36</v>
      </c>
      <c r="C72" s="33" t="s">
        <v>184</v>
      </c>
      <c r="D72" s="108">
        <v>2018</v>
      </c>
      <c r="E72" s="86" t="s">
        <v>122</v>
      </c>
      <c r="F72" s="86"/>
    </row>
    <row r="73" spans="1:6" ht="13.5" customHeight="1" x14ac:dyDescent="0.35">
      <c r="A73" s="14">
        <v>70</v>
      </c>
      <c r="B73" s="14" t="s">
        <v>36</v>
      </c>
      <c r="C73" s="14" t="s">
        <v>185</v>
      </c>
      <c r="D73" s="109">
        <v>2019</v>
      </c>
      <c r="E73" s="88" t="s">
        <v>122</v>
      </c>
      <c r="F73" s="88"/>
    </row>
    <row r="74" spans="1:6" ht="13.5" customHeight="1" x14ac:dyDescent="0.35">
      <c r="A74" s="33">
        <v>71</v>
      </c>
      <c r="B74" s="33" t="s">
        <v>36</v>
      </c>
      <c r="C74" s="33" t="s">
        <v>186</v>
      </c>
      <c r="D74" s="108">
        <v>2020</v>
      </c>
      <c r="E74" s="86" t="s">
        <v>122</v>
      </c>
      <c r="F74" s="86"/>
    </row>
    <row r="75" spans="1:6" ht="13.5" customHeight="1" x14ac:dyDescent="0.35">
      <c r="A75" s="14">
        <v>72</v>
      </c>
      <c r="B75" s="14" t="s">
        <v>36</v>
      </c>
      <c r="C75" s="14" t="s">
        <v>187</v>
      </c>
      <c r="D75" s="109">
        <v>2020</v>
      </c>
      <c r="E75" s="88" t="s">
        <v>122</v>
      </c>
      <c r="F75" s="88"/>
    </row>
    <row r="76" spans="1:6" ht="13.5" customHeight="1" x14ac:dyDescent="0.35">
      <c r="A76" s="33">
        <v>73</v>
      </c>
      <c r="B76" s="33" t="s">
        <v>188</v>
      </c>
      <c r="C76" s="33" t="s">
        <v>189</v>
      </c>
      <c r="D76" s="108">
        <v>2015</v>
      </c>
      <c r="E76" s="86" t="s">
        <v>122</v>
      </c>
      <c r="F76" s="86" t="s">
        <v>104</v>
      </c>
    </row>
    <row r="77" spans="1:6" ht="13.5" customHeight="1" x14ac:dyDescent="0.35">
      <c r="A77" s="14">
        <v>74</v>
      </c>
      <c r="B77" s="14" t="s">
        <v>190</v>
      </c>
      <c r="C77" s="14" t="s">
        <v>191</v>
      </c>
      <c r="D77" s="109">
        <v>2019</v>
      </c>
      <c r="E77" s="88"/>
      <c r="F77" s="88" t="s">
        <v>104</v>
      </c>
    </row>
    <row r="78" spans="1:6" ht="13.5" customHeight="1" x14ac:dyDescent="0.35">
      <c r="A78" s="33">
        <v>75</v>
      </c>
      <c r="B78" s="33" t="s">
        <v>36</v>
      </c>
      <c r="C78" s="95" t="s">
        <v>192</v>
      </c>
      <c r="D78" s="108">
        <v>2018</v>
      </c>
      <c r="E78" s="86" t="s">
        <v>122</v>
      </c>
      <c r="F78" s="86"/>
    </row>
    <row r="79" spans="1:6" ht="13.5" customHeight="1" x14ac:dyDescent="0.35">
      <c r="A79" s="14">
        <v>76</v>
      </c>
      <c r="B79" s="14" t="s">
        <v>36</v>
      </c>
      <c r="C79" s="100" t="s">
        <v>193</v>
      </c>
      <c r="D79" s="109">
        <v>2020</v>
      </c>
      <c r="E79" s="88" t="s">
        <v>122</v>
      </c>
      <c r="F79" s="88"/>
    </row>
    <row r="80" spans="1:6" ht="13.5" customHeight="1" x14ac:dyDescent="0.35">
      <c r="A80" s="33">
        <v>77</v>
      </c>
      <c r="B80" s="33" t="s">
        <v>36</v>
      </c>
      <c r="C80" s="95" t="s">
        <v>194</v>
      </c>
      <c r="D80" s="108">
        <v>2019</v>
      </c>
      <c r="E80" s="86" t="s">
        <v>122</v>
      </c>
      <c r="F80" s="86"/>
    </row>
    <row r="81" spans="1:6" ht="13.5" customHeight="1" x14ac:dyDescent="0.35">
      <c r="A81" s="14">
        <v>78</v>
      </c>
      <c r="B81" s="14" t="s">
        <v>36</v>
      </c>
      <c r="C81" s="14" t="s">
        <v>195</v>
      </c>
      <c r="D81" s="109">
        <v>2019</v>
      </c>
      <c r="E81" s="88" t="s">
        <v>122</v>
      </c>
      <c r="F81" s="88"/>
    </row>
    <row r="82" spans="1:6" ht="13.5" customHeight="1" x14ac:dyDescent="0.35">
      <c r="A82" s="33">
        <v>79</v>
      </c>
      <c r="B82" s="33" t="s">
        <v>36</v>
      </c>
      <c r="C82" s="33" t="s">
        <v>196</v>
      </c>
      <c r="D82" s="108">
        <v>2021</v>
      </c>
      <c r="E82" s="86" t="s">
        <v>122</v>
      </c>
      <c r="F82" s="86"/>
    </row>
    <row r="83" spans="1:6" ht="13.5" customHeight="1" x14ac:dyDescent="0.35">
      <c r="A83" s="14">
        <v>80</v>
      </c>
      <c r="B83" s="14" t="s">
        <v>36</v>
      </c>
      <c r="C83" s="100" t="s">
        <v>197</v>
      </c>
      <c r="D83" s="109">
        <v>2018</v>
      </c>
      <c r="E83" s="88" t="s">
        <v>122</v>
      </c>
      <c r="F83" s="88"/>
    </row>
    <row r="84" spans="1:6" ht="13.5" customHeight="1" x14ac:dyDescent="0.35">
      <c r="A84" s="33">
        <v>81</v>
      </c>
      <c r="B84" s="33" t="s">
        <v>36</v>
      </c>
      <c r="C84" s="33" t="s">
        <v>198</v>
      </c>
      <c r="D84" s="108">
        <v>2020</v>
      </c>
      <c r="E84" s="86" t="s">
        <v>122</v>
      </c>
      <c r="F84" s="86"/>
    </row>
    <row r="85" spans="1:6" ht="13.5" customHeight="1" x14ac:dyDescent="0.35">
      <c r="A85" s="14">
        <v>82</v>
      </c>
      <c r="B85" s="14" t="s">
        <v>36</v>
      </c>
      <c r="C85" s="14" t="s">
        <v>199</v>
      </c>
      <c r="D85" s="109">
        <v>2020</v>
      </c>
      <c r="E85" s="88" t="s">
        <v>122</v>
      </c>
      <c r="F85" s="88"/>
    </row>
    <row r="86" spans="1:6" ht="13.5" customHeight="1" x14ac:dyDescent="0.35">
      <c r="A86" s="33">
        <v>83</v>
      </c>
      <c r="B86" s="33" t="s">
        <v>200</v>
      </c>
      <c r="C86" s="33" t="s">
        <v>201</v>
      </c>
      <c r="D86" s="108">
        <v>2021</v>
      </c>
      <c r="E86" s="86" t="s">
        <v>122</v>
      </c>
      <c r="F86" s="86"/>
    </row>
    <row r="87" spans="1:6" ht="13.5" customHeight="1" x14ac:dyDescent="0.35">
      <c r="A87" s="14">
        <v>84</v>
      </c>
      <c r="B87" s="14" t="s">
        <v>200</v>
      </c>
      <c r="C87" s="14" t="s">
        <v>202</v>
      </c>
      <c r="D87" s="109">
        <v>2020</v>
      </c>
      <c r="E87" s="88"/>
      <c r="F87" s="88"/>
    </row>
    <row r="88" spans="1:6" ht="13.5" customHeight="1" x14ac:dyDescent="0.35">
      <c r="A88" s="33">
        <v>85</v>
      </c>
      <c r="B88" s="33" t="s">
        <v>203</v>
      </c>
      <c r="C88" s="33" t="s">
        <v>204</v>
      </c>
      <c r="D88" s="108">
        <v>2021</v>
      </c>
      <c r="E88" s="86"/>
      <c r="F88" s="86" t="s">
        <v>104</v>
      </c>
    </row>
    <row r="89" spans="1:6" ht="13.5" customHeight="1" x14ac:dyDescent="0.35">
      <c r="A89" s="14">
        <v>86</v>
      </c>
      <c r="B89" s="14" t="s">
        <v>205</v>
      </c>
      <c r="C89" s="14" t="s">
        <v>206</v>
      </c>
      <c r="D89" s="109">
        <v>2021</v>
      </c>
      <c r="E89" s="88"/>
      <c r="F89" s="88" t="s">
        <v>104</v>
      </c>
    </row>
    <row r="90" spans="1:6" ht="13.5" customHeight="1" x14ac:dyDescent="0.35">
      <c r="A90" s="33">
        <v>87</v>
      </c>
      <c r="B90" s="33" t="s">
        <v>207</v>
      </c>
      <c r="C90" s="33" t="s">
        <v>208</v>
      </c>
      <c r="D90" s="108">
        <v>2022</v>
      </c>
      <c r="E90" s="86"/>
      <c r="F90" s="86" t="s">
        <v>104</v>
      </c>
    </row>
    <row r="91" spans="1:6" ht="13.5" customHeight="1" x14ac:dyDescent="0.35">
      <c r="A91" s="14">
        <v>88</v>
      </c>
      <c r="B91" s="14" t="s">
        <v>209</v>
      </c>
      <c r="C91" s="14" t="s">
        <v>210</v>
      </c>
      <c r="D91" s="109">
        <v>2021</v>
      </c>
      <c r="E91" s="88"/>
      <c r="F91" s="88" t="s">
        <v>104</v>
      </c>
    </row>
    <row r="92" spans="1:6" ht="13.5" customHeight="1" x14ac:dyDescent="0.35">
      <c r="A92" s="33">
        <v>89</v>
      </c>
      <c r="B92" s="33" t="s">
        <v>211</v>
      </c>
      <c r="C92" s="33" t="s">
        <v>212</v>
      </c>
      <c r="D92" s="108">
        <v>2022</v>
      </c>
      <c r="E92" s="86"/>
      <c r="F92" s="86" t="s">
        <v>104</v>
      </c>
    </row>
    <row r="93" spans="1:6" ht="13.5" customHeight="1" x14ac:dyDescent="0.35">
      <c r="A93" s="14">
        <v>90</v>
      </c>
      <c r="B93" s="14" t="s">
        <v>213</v>
      </c>
      <c r="C93" s="14" t="s">
        <v>214</v>
      </c>
      <c r="D93" s="109">
        <v>2021</v>
      </c>
      <c r="E93" s="88"/>
      <c r="F93" s="88" t="s">
        <v>104</v>
      </c>
    </row>
    <row r="94" spans="1:6" ht="13.5" customHeight="1" x14ac:dyDescent="0.35">
      <c r="A94" s="33">
        <v>91</v>
      </c>
      <c r="B94" s="33" t="s">
        <v>215</v>
      </c>
      <c r="C94" s="33" t="s">
        <v>216</v>
      </c>
      <c r="D94" s="108">
        <v>2018</v>
      </c>
      <c r="E94" s="86"/>
      <c r="F94" s="86" t="s">
        <v>104</v>
      </c>
    </row>
    <row r="95" spans="1:6" ht="13.5" customHeight="1" x14ac:dyDescent="0.35">
      <c r="A95" s="14">
        <v>92</v>
      </c>
      <c r="B95" s="14" t="s">
        <v>217</v>
      </c>
      <c r="C95" s="14" t="s">
        <v>218</v>
      </c>
      <c r="D95" s="109">
        <v>2019</v>
      </c>
      <c r="E95" s="88"/>
      <c r="F95" s="88" t="s">
        <v>104</v>
      </c>
    </row>
    <row r="96" spans="1:6" ht="13.5" customHeight="1" x14ac:dyDescent="0.35">
      <c r="A96" s="33">
        <v>93</v>
      </c>
      <c r="B96" s="33" t="s">
        <v>219</v>
      </c>
      <c r="C96" s="33" t="s">
        <v>220</v>
      </c>
      <c r="D96" s="108">
        <v>2016</v>
      </c>
      <c r="E96" s="86"/>
      <c r="F96" s="86" t="s">
        <v>104</v>
      </c>
    </row>
    <row r="97" spans="1:6" ht="13.5" customHeight="1" x14ac:dyDescent="0.35">
      <c r="A97" s="14">
        <v>94</v>
      </c>
      <c r="B97" s="14" t="s">
        <v>221</v>
      </c>
      <c r="C97" s="14" t="s">
        <v>222</v>
      </c>
      <c r="D97" s="109">
        <v>2018</v>
      </c>
      <c r="E97" s="88"/>
      <c r="F97" s="88" t="s">
        <v>104</v>
      </c>
    </row>
    <row r="98" spans="1:6" ht="13.5" customHeight="1" x14ac:dyDescent="0.35">
      <c r="A98" s="14">
        <v>95</v>
      </c>
      <c r="B98" s="14" t="s">
        <v>223</v>
      </c>
      <c r="C98" s="14" t="s">
        <v>224</v>
      </c>
      <c r="D98" s="109">
        <v>2024</v>
      </c>
      <c r="E98" s="88"/>
      <c r="F98" s="88"/>
    </row>
    <row r="99" spans="1:6" ht="13.5" customHeight="1" x14ac:dyDescent="0.35">
      <c r="A99" s="14">
        <v>96</v>
      </c>
      <c r="B99" s="14" t="s">
        <v>225</v>
      </c>
      <c r="C99" s="14" t="s">
        <v>226</v>
      </c>
      <c r="D99" s="109">
        <v>2024</v>
      </c>
      <c r="E99" s="88"/>
      <c r="F99" s="285" t="s">
        <v>104</v>
      </c>
    </row>
    <row r="100" spans="1:6" ht="13.5" customHeight="1" x14ac:dyDescent="0.35">
      <c r="A100" s="33">
        <v>97</v>
      </c>
      <c r="B100" s="33" t="s">
        <v>227</v>
      </c>
      <c r="C100" s="33" t="s">
        <v>226</v>
      </c>
      <c r="D100" s="108">
        <v>2018</v>
      </c>
      <c r="E100" s="86"/>
      <c r="F100" s="286" t="s">
        <v>104</v>
      </c>
    </row>
    <row r="101" spans="1:6" ht="13.5" customHeight="1" x14ac:dyDescent="0.35">
      <c r="A101" s="14">
        <v>98</v>
      </c>
      <c r="B101" s="14" t="s">
        <v>228</v>
      </c>
      <c r="C101" s="14" t="s">
        <v>229</v>
      </c>
      <c r="D101" s="109">
        <v>2017</v>
      </c>
      <c r="E101" s="88"/>
      <c r="F101" s="284" t="s">
        <v>104</v>
      </c>
    </row>
    <row r="102" spans="1:6" ht="13.5" customHeight="1" x14ac:dyDescent="0.35">
      <c r="A102" s="33">
        <v>99</v>
      </c>
      <c r="B102" s="33" t="s">
        <v>230</v>
      </c>
      <c r="C102" s="33" t="s">
        <v>229</v>
      </c>
      <c r="D102" s="108">
        <v>2021</v>
      </c>
      <c r="E102" s="86"/>
      <c r="F102" s="284" t="s">
        <v>104</v>
      </c>
    </row>
    <row r="103" spans="1:6" ht="13.5" customHeight="1" x14ac:dyDescent="0.35">
      <c r="A103" s="14">
        <v>100</v>
      </c>
      <c r="B103" s="14" t="s">
        <v>231</v>
      </c>
      <c r="C103" s="14" t="s">
        <v>226</v>
      </c>
      <c r="D103" s="109">
        <v>2022</v>
      </c>
      <c r="E103" s="88"/>
      <c r="F103" s="284" t="s">
        <v>104</v>
      </c>
    </row>
    <row r="104" spans="1:6" ht="13.5" customHeight="1" x14ac:dyDescent="0.35">
      <c r="A104" s="33">
        <v>101</v>
      </c>
      <c r="B104" s="33" t="s">
        <v>232</v>
      </c>
      <c r="C104" s="33" t="s">
        <v>233</v>
      </c>
      <c r="D104" s="108">
        <v>2025</v>
      </c>
      <c r="E104" s="86"/>
      <c r="F104" s="286"/>
    </row>
    <row r="105" spans="1:6" ht="13.5" customHeight="1" x14ac:dyDescent="0.35">
      <c r="A105" s="14">
        <v>102</v>
      </c>
      <c r="B105" s="14" t="s">
        <v>234</v>
      </c>
      <c r="C105" s="14" t="s">
        <v>235</v>
      </c>
      <c r="D105" s="109">
        <v>2024</v>
      </c>
      <c r="E105" s="88"/>
      <c r="F105" s="284" t="s">
        <v>236</v>
      </c>
    </row>
    <row r="106" spans="1:6" ht="13.5" customHeight="1" x14ac:dyDescent="0.35">
      <c r="A106" s="33">
        <v>103</v>
      </c>
      <c r="B106" s="33" t="s">
        <v>237</v>
      </c>
      <c r="C106" s="33" t="s">
        <v>238</v>
      </c>
      <c r="D106" s="108" t="s">
        <v>239</v>
      </c>
      <c r="E106" s="86"/>
      <c r="F106" s="286"/>
    </row>
    <row r="107" spans="1:6" ht="13.5" customHeight="1" x14ac:dyDescent="0.35">
      <c r="A107" s="14">
        <v>104</v>
      </c>
      <c r="B107" s="14" t="s">
        <v>240</v>
      </c>
      <c r="C107" s="14" t="s">
        <v>241</v>
      </c>
      <c r="D107" s="109">
        <v>2023</v>
      </c>
      <c r="E107" s="88"/>
      <c r="F107" s="284" t="s">
        <v>242</v>
      </c>
    </row>
    <row r="108" spans="1:6" ht="13.5" customHeight="1" x14ac:dyDescent="0.35">
      <c r="A108" s="33">
        <v>105</v>
      </c>
      <c r="B108" s="33" t="s">
        <v>243</v>
      </c>
      <c r="C108" s="33" t="s">
        <v>244</v>
      </c>
      <c r="D108" s="108"/>
      <c r="E108" s="86"/>
      <c r="F108" s="286"/>
    </row>
    <row r="109" spans="1:6" ht="13.5" customHeight="1" x14ac:dyDescent="0.35">
      <c r="A109" s="14">
        <v>106</v>
      </c>
      <c r="B109" s="14" t="s">
        <v>245</v>
      </c>
      <c r="C109" s="14" t="s">
        <v>246</v>
      </c>
      <c r="D109" s="109"/>
      <c r="E109" s="88" t="s">
        <v>247</v>
      </c>
      <c r="F109" s="284" t="s">
        <v>248</v>
      </c>
    </row>
    <row r="110" spans="1:6" ht="13.5" customHeight="1" x14ac:dyDescent="0.35">
      <c r="A110" s="33">
        <v>107</v>
      </c>
      <c r="B110" s="33" t="s">
        <v>36</v>
      </c>
      <c r="C110" s="33" t="s">
        <v>249</v>
      </c>
      <c r="D110" s="108">
        <v>2021</v>
      </c>
      <c r="E110" s="86" t="s">
        <v>250</v>
      </c>
      <c r="F110" s="286"/>
    </row>
    <row r="111" spans="1:6" ht="13.5" customHeight="1" x14ac:dyDescent="0.35">
      <c r="A111" s="14">
        <v>108</v>
      </c>
      <c r="B111" s="14" t="s">
        <v>251</v>
      </c>
      <c r="C111" s="14" t="s">
        <v>252</v>
      </c>
      <c r="D111" s="109">
        <v>2020</v>
      </c>
      <c r="E111" s="88"/>
      <c r="F111" s="285" t="s">
        <v>253</v>
      </c>
    </row>
    <row r="112" spans="1:6" ht="13.5" customHeight="1" x14ac:dyDescent="0.35">
      <c r="A112" s="33">
        <v>109</v>
      </c>
      <c r="B112" s="33" t="s">
        <v>254</v>
      </c>
      <c r="C112" s="33" t="s">
        <v>255</v>
      </c>
      <c r="D112" s="108">
        <v>2023</v>
      </c>
      <c r="E112" s="86"/>
      <c r="F112" s="284" t="s">
        <v>256</v>
      </c>
    </row>
    <row r="113" spans="1:7" ht="13.5" customHeight="1" x14ac:dyDescent="0.35">
      <c r="A113" s="33">
        <v>110</v>
      </c>
      <c r="B113" s="33" t="s">
        <v>257</v>
      </c>
      <c r="C113" s="33" t="s">
        <v>258</v>
      </c>
      <c r="D113" s="108">
        <v>2020</v>
      </c>
      <c r="E113" s="86"/>
      <c r="F113" s="286" t="s">
        <v>259</v>
      </c>
    </row>
    <row r="114" spans="1:7" ht="13.5" customHeight="1" x14ac:dyDescent="0.35">
      <c r="A114" s="33">
        <v>111</v>
      </c>
      <c r="B114" s="33" t="s">
        <v>260</v>
      </c>
      <c r="C114" s="33" t="s">
        <v>261</v>
      </c>
      <c r="D114" s="108">
        <v>2022</v>
      </c>
      <c r="E114" s="86"/>
      <c r="F114" s="286" t="s">
        <v>262</v>
      </c>
    </row>
    <row r="115" spans="1:7" ht="13.5" customHeight="1" x14ac:dyDescent="0.35">
      <c r="A115" s="33">
        <v>112</v>
      </c>
      <c r="B115" s="33" t="s">
        <v>263</v>
      </c>
      <c r="C115" s="365" t="s">
        <v>264</v>
      </c>
      <c r="D115" s="108">
        <v>2024</v>
      </c>
      <c r="E115" s="286"/>
      <c r="F115" s="1" t="s">
        <v>265</v>
      </c>
    </row>
    <row r="116" spans="1:7" ht="13.5" customHeight="1" x14ac:dyDescent="0.35">
      <c r="A116" s="33">
        <v>113</v>
      </c>
      <c r="B116" s="33" t="s">
        <v>266</v>
      </c>
      <c r="C116" s="33" t="s">
        <v>267</v>
      </c>
      <c r="D116" s="108">
        <v>2023</v>
      </c>
      <c r="E116" s="86"/>
      <c r="F116" s="286" t="s">
        <v>268</v>
      </c>
    </row>
    <row r="117" spans="1:7" ht="13.5" customHeight="1" x14ac:dyDescent="0.35">
      <c r="A117" s="33">
        <v>114</v>
      </c>
      <c r="B117" s="33" t="s">
        <v>269</v>
      </c>
      <c r="C117" s="33" t="s">
        <v>270</v>
      </c>
      <c r="D117" s="108">
        <v>2024</v>
      </c>
      <c r="E117" s="86"/>
      <c r="F117" s="286" t="s">
        <v>271</v>
      </c>
    </row>
    <row r="118" spans="1:7" ht="13.5" customHeight="1" x14ac:dyDescent="0.35">
      <c r="A118" s="33">
        <v>115</v>
      </c>
      <c r="B118" s="33" t="s">
        <v>272</v>
      </c>
      <c r="C118" s="33" t="s">
        <v>273</v>
      </c>
      <c r="D118" s="108">
        <v>2023</v>
      </c>
      <c r="E118" s="86"/>
      <c r="F118" s="286"/>
    </row>
    <row r="119" spans="1:7" ht="13.5" customHeight="1" x14ac:dyDescent="0.35">
      <c r="A119" s="33">
        <v>116</v>
      </c>
      <c r="B119" s="33" t="s">
        <v>274</v>
      </c>
      <c r="C119" s="365" t="s">
        <v>275</v>
      </c>
      <c r="D119" s="86">
        <v>2020</v>
      </c>
      <c r="E119" s="286"/>
      <c r="F119" s="1" t="s">
        <v>276</v>
      </c>
    </row>
    <row r="120" spans="1:7" ht="13.5" customHeight="1" x14ac:dyDescent="0.35">
      <c r="A120" s="33">
        <v>117</v>
      </c>
      <c r="B120" s="33" t="s">
        <v>277</v>
      </c>
      <c r="C120" s="365"/>
      <c r="D120" s="86"/>
      <c r="E120" s="286"/>
      <c r="F120" s="1" t="s">
        <v>278</v>
      </c>
    </row>
    <row r="121" spans="1:7" ht="13.5" customHeight="1" x14ac:dyDescent="0.35">
      <c r="A121" s="33"/>
      <c r="B121" s="33"/>
      <c r="C121" s="365"/>
      <c r="D121" s="86"/>
      <c r="E121" s="286"/>
    </row>
    <row r="122" spans="1:7" ht="13.5" customHeight="1" x14ac:dyDescent="0.35">
      <c r="A122" s="33"/>
      <c r="B122" s="33"/>
      <c r="C122" s="365"/>
      <c r="D122" s="86"/>
      <c r="E122" s="286"/>
    </row>
    <row r="123" spans="1:7" ht="13.5" customHeight="1" x14ac:dyDescent="0.35">
      <c r="A123" s="33"/>
      <c r="B123" s="33"/>
      <c r="C123" s="365"/>
      <c r="D123" s="86"/>
      <c r="E123" s="286"/>
    </row>
    <row r="124" spans="1:7" ht="13.5" customHeight="1" x14ac:dyDescent="0.35">
      <c r="A124" s="33"/>
      <c r="B124" s="33"/>
      <c r="C124" s="365"/>
      <c r="D124" s="86"/>
      <c r="E124" s="286"/>
    </row>
    <row r="125" spans="1:7" ht="13.5" customHeight="1" x14ac:dyDescent="0.35">
      <c r="A125" s="33"/>
      <c r="B125" s="33"/>
      <c r="C125" s="365"/>
      <c r="D125" s="86"/>
      <c r="E125" s="286"/>
    </row>
    <row r="126" spans="1:7" ht="13.5" customHeight="1" x14ac:dyDescent="0.35">
      <c r="A126" s="33" t="s">
        <v>279</v>
      </c>
      <c r="B126" s="33" t="s">
        <v>280</v>
      </c>
      <c r="C126" s="33" t="s">
        <v>281</v>
      </c>
      <c r="D126" s="108" t="s">
        <v>29</v>
      </c>
      <c r="E126" s="86"/>
      <c r="F126" s="86"/>
    </row>
    <row r="127" spans="1:7" ht="13.5" customHeight="1" x14ac:dyDescent="0.35">
      <c r="A127" s="14" t="s">
        <v>282</v>
      </c>
      <c r="B127" s="14" t="s">
        <v>283</v>
      </c>
      <c r="C127" s="14" t="s">
        <v>284</v>
      </c>
      <c r="D127" s="109">
        <v>2022</v>
      </c>
      <c r="E127" s="88"/>
      <c r="F127" s="88"/>
    </row>
    <row r="128" spans="1:7" ht="13.5" customHeight="1" x14ac:dyDescent="0.35">
      <c r="A128" s="33" t="s">
        <v>285</v>
      </c>
      <c r="B128" s="33" t="s">
        <v>286</v>
      </c>
      <c r="C128" s="33" t="s">
        <v>287</v>
      </c>
      <c r="D128" s="108" t="s">
        <v>29</v>
      </c>
      <c r="E128" s="86" t="s">
        <v>29</v>
      </c>
      <c r="F128" s="86" t="s">
        <v>29</v>
      </c>
      <c r="G128" s="1" t="s">
        <v>31</v>
      </c>
    </row>
    <row r="129" spans="1:7" x14ac:dyDescent="0.35">
      <c r="A129" s="14"/>
      <c r="B129" s="14"/>
      <c r="C129" s="14"/>
      <c r="D129" s="109"/>
      <c r="E129" s="88"/>
      <c r="F129" s="88"/>
      <c r="G129" s="1" t="s">
        <v>31</v>
      </c>
    </row>
    <row r="130" spans="1:7" ht="13.5" customHeight="1" x14ac:dyDescent="0.35">
      <c r="G130" s="1" t="s">
        <v>31</v>
      </c>
    </row>
  </sheetData>
  <mergeCells count="3">
    <mergeCell ref="A1:F1"/>
    <mergeCell ref="H1:J1"/>
    <mergeCell ref="C2:E2"/>
  </mergeCells>
  <hyperlinks>
    <hyperlink ref="F4" r:id="rId1" xr:uid="{00000000-0004-0000-0100-000000000000}"/>
    <hyperlink ref="F5" r:id="rId2" xr:uid="{00000000-0004-0000-0100-000001000000}"/>
    <hyperlink ref="E6" r:id="rId3" xr:uid="{00000000-0004-0000-0100-000002000000}"/>
    <hyperlink ref="F10" r:id="rId4" xr:uid="{00000000-0004-0000-0100-000003000000}"/>
    <hyperlink ref="E11" r:id="rId5" xr:uid="{00000000-0004-0000-0100-000004000000}"/>
    <hyperlink ref="F12" r:id="rId6" xr:uid="{00000000-0004-0000-0100-000005000000}"/>
    <hyperlink ref="F13" r:id="rId7" xr:uid="{00000000-0004-0000-0100-000006000000}"/>
    <hyperlink ref="F19" r:id="rId8" xr:uid="{00000000-0004-0000-0100-000007000000}"/>
    <hyperlink ref="F14" r:id="rId9" xr:uid="{00000000-0004-0000-0100-000008000000}"/>
    <hyperlink ref="E14" r:id="rId10" xr:uid="{00000000-0004-0000-0100-000009000000}"/>
    <hyperlink ref="F15" r:id="rId11" xr:uid="{00000000-0004-0000-0100-00000A000000}"/>
    <hyperlink ref="E15" r:id="rId12" xr:uid="{00000000-0004-0000-0100-00000B000000}"/>
    <hyperlink ref="F16" r:id="rId13" xr:uid="{00000000-0004-0000-0100-00000C000000}"/>
    <hyperlink ref="F17" r:id="rId14" xr:uid="{00000000-0004-0000-0100-00000D000000}"/>
    <hyperlink ref="F18" r:id="rId15" xr:uid="{00000000-0004-0000-0100-00000E000000}"/>
    <hyperlink ref="E18" r:id="rId16" xr:uid="{00000000-0004-0000-0100-00000F000000}"/>
    <hyperlink ref="F20" r:id="rId17" xr:uid="{00000000-0004-0000-0100-000010000000}"/>
    <hyperlink ref="E20" r:id="rId18" xr:uid="{00000000-0004-0000-0100-000011000000}"/>
    <hyperlink ref="F21" r:id="rId19" xr:uid="{00000000-0004-0000-0100-000012000000}"/>
    <hyperlink ref="E21" r:id="rId20" xr:uid="{00000000-0004-0000-0100-000013000000}"/>
    <hyperlink ref="F22" r:id="rId21" xr:uid="{00000000-0004-0000-0100-000014000000}"/>
    <hyperlink ref="E23" r:id="rId22" xr:uid="{00000000-0004-0000-0100-000015000000}"/>
    <hyperlink ref="E24" r:id="rId23" xr:uid="{00000000-0004-0000-0100-000016000000}"/>
    <hyperlink ref="F24" r:id="rId24" xr:uid="{00000000-0004-0000-0100-000017000000}"/>
    <hyperlink ref="F25" r:id="rId25" xr:uid="{00000000-0004-0000-0100-000018000000}"/>
    <hyperlink ref="E26" r:id="rId26" xr:uid="{00000000-0004-0000-0100-000019000000}"/>
    <hyperlink ref="F26" r:id="rId27" xr:uid="{00000000-0004-0000-0100-00001A000000}"/>
    <hyperlink ref="E27" r:id="rId28" xr:uid="{00000000-0004-0000-0100-00001B000000}"/>
    <hyperlink ref="F27" r:id="rId29" xr:uid="{00000000-0004-0000-0100-00001C000000}"/>
    <hyperlink ref="F28" r:id="rId30" xr:uid="{00000000-0004-0000-0100-00001D000000}"/>
    <hyperlink ref="F29" r:id="rId31" location="!" xr:uid="{00000000-0004-0000-0100-00001E000000}"/>
    <hyperlink ref="E29" r:id="rId32" xr:uid="{00000000-0004-0000-0100-00001F000000}"/>
    <hyperlink ref="F30" r:id="rId33" xr:uid="{00000000-0004-0000-0100-000020000000}"/>
    <hyperlink ref="E31" r:id="rId34" xr:uid="{00000000-0004-0000-0100-000021000000}"/>
    <hyperlink ref="F32" r:id="rId35" xr:uid="{00000000-0004-0000-0100-000022000000}"/>
    <hyperlink ref="F33" r:id="rId36" xr:uid="{00000000-0004-0000-0100-000023000000}"/>
    <hyperlink ref="E33" r:id="rId37" xr:uid="{00000000-0004-0000-0100-000024000000}"/>
    <hyperlink ref="F34" r:id="rId38" xr:uid="{00000000-0004-0000-0100-000025000000}"/>
    <hyperlink ref="F36" r:id="rId39" xr:uid="{00000000-0004-0000-0100-000026000000}"/>
    <hyperlink ref="F35" r:id="rId40" xr:uid="{00000000-0004-0000-0100-000027000000}"/>
    <hyperlink ref="F37" r:id="rId41" xr:uid="{00000000-0004-0000-0100-000028000000}"/>
    <hyperlink ref="E36" r:id="rId42" xr:uid="{00000000-0004-0000-0100-000029000000}"/>
    <hyperlink ref="E38" r:id="rId43" location="/CBS/en/dataset/83403ENG/table?ts=1595789114738" xr:uid="{00000000-0004-0000-0100-00002A000000}"/>
    <hyperlink ref="E39" r:id="rId44" location="/CBS/en/dataset/83140ENG/table" xr:uid="{00000000-0004-0000-0100-00002B000000}"/>
    <hyperlink ref="F40" r:id="rId45" xr:uid="{00000000-0004-0000-0100-00002C000000}"/>
    <hyperlink ref="F41" r:id="rId46" xr:uid="{00000000-0004-0000-0100-00002D000000}"/>
    <hyperlink ref="F42" r:id="rId47" xr:uid="{00000000-0004-0000-0100-00002E000000}"/>
    <hyperlink ref="F43" r:id="rId48" xr:uid="{00000000-0004-0000-0100-00002F000000}"/>
    <hyperlink ref="E44" r:id="rId49" xr:uid="{00000000-0004-0000-0100-000030000000}"/>
    <hyperlink ref="E45" r:id="rId50" xr:uid="{00000000-0004-0000-0100-000031000000}"/>
    <hyperlink ref="F46" r:id="rId51" xr:uid="{00000000-0004-0000-0100-000032000000}"/>
    <hyperlink ref="E47" r:id="rId52" xr:uid="{00000000-0004-0000-0100-000033000000}"/>
    <hyperlink ref="F47" r:id="rId53" xr:uid="{00000000-0004-0000-0100-000034000000}"/>
    <hyperlink ref="E48" r:id="rId54" location=".YHAaQOgzaUl" xr:uid="{00000000-0004-0000-0100-000035000000}"/>
    <hyperlink ref="E49" r:id="rId55" xr:uid="{00000000-0004-0000-0100-000036000000}"/>
    <hyperlink ref="E50" r:id="rId56" xr:uid="{00000000-0004-0000-0100-000037000000}"/>
    <hyperlink ref="E51" r:id="rId57" xr:uid="{00000000-0004-0000-0100-000038000000}"/>
    <hyperlink ref="E52" r:id="rId58" xr:uid="{00000000-0004-0000-0100-000039000000}"/>
    <hyperlink ref="F53" r:id="rId59" xr:uid="{00000000-0004-0000-0100-00003A000000}"/>
    <hyperlink ref="E58" r:id="rId60" xr:uid="{00000000-0004-0000-0100-00003B000000}"/>
    <hyperlink ref="E54:E62" r:id="rId61" display="Data" xr:uid="{00000000-0004-0000-0100-00003C000000}"/>
    <hyperlink ref="F54:F62" r:id="rId62" display="Publication" xr:uid="{00000000-0004-0000-0100-00003D000000}"/>
    <hyperlink ref="E63" r:id="rId63" xr:uid="{00000000-0004-0000-0100-00003E000000}"/>
    <hyperlink ref="E64" r:id="rId64" xr:uid="{00000000-0004-0000-0100-00003F000000}"/>
    <hyperlink ref="E65" r:id="rId65" xr:uid="{00000000-0004-0000-0100-000040000000}"/>
    <hyperlink ref="F66" r:id="rId66" xr:uid="{00000000-0004-0000-0100-000041000000}"/>
    <hyperlink ref="E67" r:id="rId67" xr:uid="{00000000-0004-0000-0100-000042000000}"/>
    <hyperlink ref="E68" r:id="rId68" xr:uid="{00000000-0004-0000-0100-000043000000}"/>
    <hyperlink ref="F70" r:id="rId69" xr:uid="{00000000-0004-0000-0100-000045000000}"/>
    <hyperlink ref="F71" r:id="rId70" xr:uid="{00000000-0004-0000-0100-000046000000}"/>
    <hyperlink ref="E72" r:id="rId71" xr:uid="{00000000-0004-0000-0100-000047000000}"/>
    <hyperlink ref="E73" r:id="rId72" xr:uid="{00000000-0004-0000-0100-000048000000}"/>
    <hyperlink ref="E74" r:id="rId73" xr:uid="{00000000-0004-0000-0100-000049000000}"/>
    <hyperlink ref="E75" r:id="rId74" xr:uid="{00000000-0004-0000-0100-00004A000000}"/>
    <hyperlink ref="F76" r:id="rId75" xr:uid="{00000000-0004-0000-0100-00004B000000}"/>
    <hyperlink ref="E76" r:id="rId76" xr:uid="{00000000-0004-0000-0100-00004C000000}"/>
    <hyperlink ref="F77" r:id="rId77" xr:uid="{00000000-0004-0000-0100-00004D000000}"/>
    <hyperlink ref="E78" r:id="rId78" xr:uid="{00000000-0004-0000-0100-00004E000000}"/>
    <hyperlink ref="E79" r:id="rId79" xr:uid="{00000000-0004-0000-0100-00004F000000}"/>
    <hyperlink ref="E80" r:id="rId80" xr:uid="{00000000-0004-0000-0100-000050000000}"/>
    <hyperlink ref="E81" r:id="rId81" xr:uid="{00000000-0004-0000-0100-000051000000}"/>
    <hyperlink ref="E82" r:id="rId82" xr:uid="{00000000-0004-0000-0100-000052000000}"/>
    <hyperlink ref="E84" r:id="rId83" xr:uid="{00000000-0004-0000-0100-000053000000}"/>
    <hyperlink ref="E85" r:id="rId84" xr:uid="{00000000-0004-0000-0100-000054000000}"/>
    <hyperlink ref="E86" r:id="rId85" xr:uid="{00000000-0004-0000-0100-000055000000}"/>
    <hyperlink ref="F88" r:id="rId86" xr:uid="{00000000-0004-0000-0100-000056000000}"/>
    <hyperlink ref="F89" r:id="rId87" xr:uid="{00000000-0004-0000-0100-000057000000}"/>
    <hyperlink ref="F90" r:id="rId88" xr:uid="{00000000-0004-0000-0100-000058000000}"/>
    <hyperlink ref="F91" r:id="rId89" xr:uid="{00000000-0004-0000-0100-000059000000}"/>
    <hyperlink ref="F92" r:id="rId90" xr:uid="{00000000-0004-0000-0100-00005A000000}"/>
    <hyperlink ref="F93" r:id="rId91" xr:uid="{00000000-0004-0000-0100-00005B000000}"/>
    <hyperlink ref="F94" r:id="rId92" xr:uid="{00000000-0004-0000-0100-00005C000000}"/>
    <hyperlink ref="F95" r:id="rId93" xr:uid="{00000000-0004-0000-0100-00005D000000}"/>
    <hyperlink ref="F96" r:id="rId94" xr:uid="{00000000-0004-0000-0100-00005E000000}"/>
    <hyperlink ref="F97" r:id="rId95" xr:uid="{00000000-0004-0000-0100-00005F000000}"/>
    <hyperlink ref="E7" r:id="rId96" xr:uid="{034F602E-8215-4E36-9346-F95525F32EC6}"/>
    <hyperlink ref="F99" r:id="rId97" xr:uid="{99706DC6-0A0E-4226-A835-E48D2BA0B489}"/>
    <hyperlink ref="F100" r:id="rId98" xr:uid="{0A0EBD61-CE34-4B01-BE7E-207BFDF5D104}"/>
    <hyperlink ref="F101" r:id="rId99" xr:uid="{E7C877CD-E522-449A-A264-05FF077C61EF}"/>
    <hyperlink ref="F102" r:id="rId100" xr:uid="{40B1E8DF-CF53-4993-A1B9-5FDA8982E9B7}"/>
    <hyperlink ref="F103" r:id="rId101" xr:uid="{BDE52321-C7DB-416D-B47D-FD8E431777FD}"/>
    <hyperlink ref="F105" r:id="rId102" display="https://www.sciencedirect.com/science/article/pii/S0961953424003520?via%3Dihub" xr:uid="{7F0D85DD-007B-469C-8448-F83E3D4F3157}"/>
    <hyperlink ref="F107" r:id="rId103" display="https://www.sciencedirect.com/science/article/pii/S0360319923022590" xr:uid="{E0400A6A-EF6B-479B-97CC-023FF651974F}"/>
    <hyperlink ref="F109" r:id="rId104" display="https://www.researchgate.net/publication/337453559_High_Pressure_Electrochemical_Reduction_of_CO2_to_Formic_acidFormate_The_Effect_of_pH_on_the_Downstream_Separation_Process_and_Economics" xr:uid="{A45001F4-1647-4E55-B58D-CA29EE48AB2B}"/>
    <hyperlink ref="F112" r:id="rId105" display="https://pubs.rsc.org/en/content/articlelanding/2023/gc/d3gc00679d" xr:uid="{D4D4F234-B41C-4EFC-9F15-DDE49C54C3D2}"/>
    <hyperlink ref="F113" r:id="rId106" xr:uid="{DECBC910-2C23-4CF8-9F22-403119E22DD6}"/>
  </hyperlinks>
  <pageMargins left="0.7" right="0.7" top="0.75" bottom="0.75" header="0.3" footer="0.3"/>
  <pageSetup orientation="portrait" r:id="rId107"/>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3">
    <tabColor rgb="FFC00000"/>
  </sheetPr>
  <dimension ref="A1:CG181"/>
  <sheetViews>
    <sheetView topLeftCell="A96" zoomScale="70" zoomScaleNormal="70" workbookViewId="0">
      <selection activeCell="L125" sqref="L125"/>
    </sheetView>
  </sheetViews>
  <sheetFormatPr defaultColWidth="8.90625" defaultRowHeight="14.5" x14ac:dyDescent="0.35"/>
  <cols>
    <col min="1" max="1" width="46" style="1" customWidth="1"/>
    <col min="2" max="2" width="14.453125" style="1" customWidth="1"/>
    <col min="3" max="3" width="11" style="1" customWidth="1"/>
    <col min="4" max="4" width="11.08984375" style="1" customWidth="1"/>
    <col min="5" max="5" width="10.90625" style="1" customWidth="1"/>
    <col min="6" max="6" width="11.453125" style="1" customWidth="1"/>
    <col min="7" max="7" width="12" style="1" customWidth="1"/>
    <col min="8" max="8" width="11.54296875" style="1" customWidth="1"/>
    <col min="9" max="9" width="13" style="1" customWidth="1"/>
    <col min="10" max="10" width="11.08984375" style="1" customWidth="1"/>
    <col min="11" max="11" width="9.90625" style="1" customWidth="1"/>
    <col min="12" max="12" width="13" style="1" bestFit="1" customWidth="1"/>
    <col min="13" max="13" width="7.08984375" style="1" bestFit="1" customWidth="1"/>
    <col min="14" max="14" width="5.453125" style="1" customWidth="1"/>
    <col min="15" max="15" width="9" style="1" customWidth="1"/>
    <col min="16" max="16" width="17.90625" style="1" bestFit="1" customWidth="1"/>
    <col min="17" max="17" width="17" style="1" customWidth="1"/>
    <col min="18" max="18" width="12.90625" style="1" bestFit="1" customWidth="1"/>
    <col min="19" max="19" width="10.453125" style="1" bestFit="1" customWidth="1"/>
    <col min="20" max="16384" width="8.90625" style="1"/>
  </cols>
  <sheetData>
    <row r="1" spans="1:85" ht="15" customHeight="1" x14ac:dyDescent="0.35">
      <c r="A1" s="68" t="s">
        <v>288</v>
      </c>
      <c r="B1" s="31"/>
      <c r="C1" s="31"/>
      <c r="D1" s="31"/>
      <c r="E1" s="31"/>
      <c r="F1" s="31"/>
      <c r="G1" s="31"/>
      <c r="H1" s="31"/>
      <c r="I1" s="31"/>
      <c r="J1" s="31"/>
      <c r="K1" s="31"/>
      <c r="L1" s="31"/>
      <c r="M1" s="31"/>
      <c r="N1" s="31"/>
      <c r="O1" s="31"/>
      <c r="P1" s="31"/>
      <c r="Q1" s="31"/>
      <c r="R1" s="31"/>
    </row>
    <row r="2" spans="1:85" x14ac:dyDescent="0.35">
      <c r="A2" s="11"/>
      <c r="B2" s="11"/>
      <c r="C2" s="411" t="s">
        <v>289</v>
      </c>
      <c r="D2" s="411"/>
      <c r="E2" s="411"/>
      <c r="F2" s="411"/>
      <c r="G2" s="411"/>
      <c r="H2" s="411"/>
      <c r="I2" s="411"/>
      <c r="J2" s="84" t="s">
        <v>17</v>
      </c>
      <c r="K2" s="84"/>
      <c r="L2" s="84"/>
      <c r="M2" s="84"/>
      <c r="N2" s="84"/>
      <c r="O2" s="84"/>
      <c r="P2" s="84"/>
      <c r="Q2" s="84"/>
      <c r="R2" s="84"/>
      <c r="T2" s="220"/>
    </row>
    <row r="3" spans="1:85" x14ac:dyDescent="0.35">
      <c r="A3" s="12" t="s">
        <v>290</v>
      </c>
      <c r="B3" s="12" t="s">
        <v>291</v>
      </c>
      <c r="C3" s="216">
        <f>Parameters!$B$13</f>
        <v>2022</v>
      </c>
      <c r="D3" s="12">
        <v>2025</v>
      </c>
      <c r="E3" s="12">
        <v>2030</v>
      </c>
      <c r="F3" s="12">
        <v>2035</v>
      </c>
      <c r="G3" s="12">
        <v>2040</v>
      </c>
      <c r="H3" s="12">
        <v>2045</v>
      </c>
      <c r="I3" s="12">
        <v>2050</v>
      </c>
      <c r="J3" s="85" t="s">
        <v>26</v>
      </c>
      <c r="K3" s="85"/>
      <c r="L3" s="85"/>
      <c r="M3" s="85"/>
      <c r="N3" s="85"/>
      <c r="O3" s="85"/>
      <c r="P3" s="85"/>
      <c r="Q3" s="85"/>
      <c r="R3" s="85"/>
    </row>
    <row r="4" spans="1:85" x14ac:dyDescent="0.35">
      <c r="A4" s="33" t="s">
        <v>292</v>
      </c>
      <c r="B4" s="33" t="s">
        <v>293</v>
      </c>
      <c r="C4" s="180">
        <v>17.59</v>
      </c>
      <c r="D4" s="180">
        <v>18.347000000000001</v>
      </c>
      <c r="E4" s="180">
        <v>18.757000000000001</v>
      </c>
      <c r="F4" s="180">
        <v>18.977</v>
      </c>
      <c r="G4" s="180">
        <v>19.062999999999999</v>
      </c>
      <c r="H4" s="180">
        <v>19.042000000000002</v>
      </c>
      <c r="I4" s="180">
        <v>18.957999999999998</v>
      </c>
      <c r="J4" s="79" t="s">
        <v>294</v>
      </c>
      <c r="K4" s="79"/>
      <c r="L4" s="79"/>
      <c r="M4" s="79"/>
      <c r="N4" s="79"/>
      <c r="O4" s="79"/>
      <c r="P4" s="79"/>
      <c r="Q4" s="79"/>
      <c r="R4" s="79"/>
    </row>
    <row r="5" spans="1:85" x14ac:dyDescent="0.35">
      <c r="A5" s="14" t="s">
        <v>295</v>
      </c>
      <c r="B5" s="14" t="s">
        <v>296</v>
      </c>
      <c r="C5" s="181">
        <v>1146886</v>
      </c>
      <c r="D5" s="181">
        <v>1167902</v>
      </c>
      <c r="E5" s="181">
        <v>1274004</v>
      </c>
      <c r="F5" s="181">
        <v>1366385</v>
      </c>
      <c r="G5" s="181">
        <v>1477170</v>
      </c>
      <c r="H5" s="181">
        <v>1608711</v>
      </c>
      <c r="I5" s="181">
        <v>1747307</v>
      </c>
      <c r="J5" s="80" t="s">
        <v>297</v>
      </c>
      <c r="K5" s="80"/>
      <c r="L5" s="80"/>
      <c r="M5" s="80"/>
      <c r="N5" s="80"/>
      <c r="O5" s="80"/>
      <c r="P5" s="80"/>
      <c r="Q5" s="80"/>
      <c r="R5" s="80"/>
      <c r="S5" s="361"/>
      <c r="T5" s="361"/>
      <c r="U5" s="361"/>
      <c r="V5" s="361"/>
      <c r="W5" s="361"/>
    </row>
    <row r="6" spans="1:85" x14ac:dyDescent="0.35">
      <c r="A6" s="33" t="s">
        <v>298</v>
      </c>
      <c r="B6" s="33" t="s">
        <v>299</v>
      </c>
      <c r="C6" s="180">
        <v>2900</v>
      </c>
      <c r="D6" s="180">
        <v>2850</v>
      </c>
      <c r="E6" s="180">
        <v>2800</v>
      </c>
      <c r="F6" s="180">
        <v>2710</v>
      </c>
      <c r="G6" s="180">
        <v>2620</v>
      </c>
      <c r="H6" s="180">
        <v>2530</v>
      </c>
      <c r="I6" s="180">
        <v>2440</v>
      </c>
      <c r="J6" s="79" t="s">
        <v>300</v>
      </c>
      <c r="K6" s="79"/>
      <c r="L6" s="79"/>
      <c r="M6" s="79"/>
      <c r="N6" s="79"/>
      <c r="O6" s="79"/>
      <c r="P6" s="79"/>
      <c r="Q6" s="79"/>
      <c r="R6" s="79"/>
    </row>
    <row r="7" spans="1:85" x14ac:dyDescent="0.35">
      <c r="A7" s="11"/>
      <c r="B7" s="11"/>
      <c r="C7" s="411" t="s">
        <v>301</v>
      </c>
      <c r="D7" s="411"/>
      <c r="E7" s="411"/>
      <c r="F7" s="411"/>
      <c r="G7" s="411"/>
      <c r="H7" s="411"/>
      <c r="I7" s="411"/>
      <c r="J7" s="177" t="s">
        <v>302</v>
      </c>
      <c r="K7" s="11" t="s">
        <v>303</v>
      </c>
      <c r="L7" s="11" t="s">
        <v>304</v>
      </c>
      <c r="M7" s="11" t="s">
        <v>305</v>
      </c>
      <c r="N7" s="11" t="s">
        <v>306</v>
      </c>
      <c r="O7" s="11" t="s">
        <v>307</v>
      </c>
      <c r="P7" s="39" t="s">
        <v>308</v>
      </c>
      <c r="Q7" s="39" t="s">
        <v>309</v>
      </c>
      <c r="R7" s="84" t="s">
        <v>17</v>
      </c>
    </row>
    <row r="8" spans="1:85" x14ac:dyDescent="0.35">
      <c r="A8" s="12" t="s">
        <v>310</v>
      </c>
      <c r="B8" s="12" t="s">
        <v>291</v>
      </c>
      <c r="C8" s="216">
        <f>Parameters!$B$13</f>
        <v>2022</v>
      </c>
      <c r="D8" s="12">
        <v>2025</v>
      </c>
      <c r="E8" s="12">
        <v>2030</v>
      </c>
      <c r="F8" s="12">
        <v>2035</v>
      </c>
      <c r="G8" s="12">
        <v>2040</v>
      </c>
      <c r="H8" s="12">
        <v>2045</v>
      </c>
      <c r="I8" s="12">
        <v>2050</v>
      </c>
      <c r="J8" s="12" t="s">
        <v>311</v>
      </c>
      <c r="K8" s="12" t="s">
        <v>312</v>
      </c>
      <c r="L8" s="12" t="s">
        <v>312</v>
      </c>
      <c r="M8" s="12" t="s">
        <v>312</v>
      </c>
      <c r="N8" s="12" t="s">
        <v>313</v>
      </c>
      <c r="O8" s="12" t="s">
        <v>312</v>
      </c>
      <c r="P8" s="40" t="s">
        <v>314</v>
      </c>
      <c r="Q8" s="40" t="s">
        <v>315</v>
      </c>
      <c r="R8" s="85" t="s">
        <v>26</v>
      </c>
    </row>
    <row r="9" spans="1:85" s="83" customFormat="1" x14ac:dyDescent="0.35">
      <c r="A9" s="33" t="s">
        <v>316</v>
      </c>
      <c r="B9" s="33" t="s">
        <v>317</v>
      </c>
      <c r="C9" s="366">
        <v>80.099999999999994</v>
      </c>
      <c r="D9" s="367">
        <f>(D$4/C$4)*C9</f>
        <v>83.54716884593519</v>
      </c>
      <c r="E9" s="367">
        <f t="shared" ref="E9:I9" si="0">(E$4/D$4)*D9</f>
        <v>85.414195565662311</v>
      </c>
      <c r="F9" s="367">
        <f t="shared" si="0"/>
        <v>86.416014781125639</v>
      </c>
      <c r="G9" s="367">
        <f t="shared" si="0"/>
        <v>86.80763501989766</v>
      </c>
      <c r="H9" s="367">
        <f t="shared" si="0"/>
        <v>86.712006822057987</v>
      </c>
      <c r="I9" s="368">
        <f t="shared" si="0"/>
        <v>86.329494030699252</v>
      </c>
      <c r="J9" s="369"/>
      <c r="K9" s="33" t="s">
        <v>318</v>
      </c>
      <c r="L9" s="33" t="s">
        <v>319</v>
      </c>
      <c r="M9" s="33" t="s">
        <v>320</v>
      </c>
      <c r="N9" s="33">
        <v>0</v>
      </c>
      <c r="O9" s="33" t="s">
        <v>29</v>
      </c>
      <c r="P9" s="41" t="s">
        <v>29</v>
      </c>
      <c r="Q9" s="41" t="s">
        <v>29</v>
      </c>
      <c r="R9" s="79"/>
      <c r="T9" s="326"/>
      <c r="U9" s="326"/>
      <c r="V9" s="326"/>
      <c r="W9" s="326"/>
      <c r="X9" s="326"/>
      <c r="Y9" s="326"/>
      <c r="Z9" s="326"/>
      <c r="AA9" s="326"/>
      <c r="AB9" s="326"/>
      <c r="AC9" s="326"/>
      <c r="AD9" s="326"/>
      <c r="AE9" s="326"/>
      <c r="AF9" s="326"/>
      <c r="AG9" s="326"/>
      <c r="AH9" s="326"/>
      <c r="AI9" s="326"/>
      <c r="AJ9" s="326"/>
      <c r="AK9" s="326"/>
      <c r="AL9" s="326"/>
      <c r="AM9" s="326"/>
      <c r="AN9" s="326"/>
      <c r="AO9" s="326"/>
      <c r="AP9" s="326"/>
      <c r="AQ9" s="326"/>
      <c r="AR9" s="326"/>
      <c r="AS9" s="326"/>
      <c r="AT9" s="326"/>
      <c r="AU9" s="326"/>
      <c r="AV9" s="326"/>
      <c r="AW9" s="326"/>
      <c r="AX9" s="326"/>
      <c r="AY9" s="326"/>
      <c r="AZ9" s="326"/>
      <c r="BA9" s="326"/>
      <c r="BB9" s="326"/>
      <c r="BC9" s="326"/>
      <c r="BD9" s="326"/>
      <c r="BE9" s="326"/>
      <c r="BF9" s="326"/>
      <c r="BG9" s="326"/>
      <c r="BH9" s="326"/>
      <c r="BI9" s="326"/>
      <c r="BJ9" s="326"/>
      <c r="BK9" s="326"/>
      <c r="BL9" s="326"/>
      <c r="BM9" s="326"/>
      <c r="BN9" s="326"/>
      <c r="BO9" s="326"/>
      <c r="BP9" s="326"/>
      <c r="BQ9" s="326"/>
      <c r="BR9" s="326"/>
      <c r="BS9" s="326"/>
      <c r="BT9" s="326"/>
      <c r="BU9" s="326"/>
      <c r="BV9" s="326"/>
      <c r="BW9" s="326"/>
      <c r="BX9" s="326"/>
      <c r="BY9" s="326"/>
      <c r="BZ9" s="326"/>
      <c r="CA9" s="326"/>
      <c r="CB9" s="326"/>
      <c r="CC9" s="326"/>
      <c r="CD9" s="326"/>
      <c r="CE9" s="326"/>
      <c r="CF9" s="326"/>
      <c r="CG9" s="326"/>
    </row>
    <row r="10" spans="1:85" s="83" customFormat="1" x14ac:dyDescent="0.35">
      <c r="A10" s="14" t="s">
        <v>321</v>
      </c>
      <c r="B10" s="14" t="s">
        <v>322</v>
      </c>
      <c r="C10" s="366">
        <v>2916</v>
      </c>
      <c r="D10" s="370">
        <f>(D4/C4)*C10</f>
        <v>3041.4924388857307</v>
      </c>
      <c r="E10" s="371">
        <f t="shared" ref="E10:I10" si="1">(E4/D4)*D10</f>
        <v>3109.4606026151223</v>
      </c>
      <c r="F10" s="371">
        <f t="shared" si="1"/>
        <v>3145.9313246162592</v>
      </c>
      <c r="G10" s="371">
        <f t="shared" si="1"/>
        <v>3160.1880613985218</v>
      </c>
      <c r="H10" s="371">
        <f t="shared" si="1"/>
        <v>3156.7067652075048</v>
      </c>
      <c r="I10" s="371">
        <f t="shared" si="1"/>
        <v>3142.7815804434335</v>
      </c>
      <c r="J10" s="372"/>
      <c r="K10" s="14" t="s">
        <v>318</v>
      </c>
      <c r="L10" s="14" t="s">
        <v>319</v>
      </c>
      <c r="M10" s="14" t="s">
        <v>320</v>
      </c>
      <c r="N10" s="14">
        <v>0</v>
      </c>
      <c r="O10" s="14" t="s">
        <v>29</v>
      </c>
      <c r="P10" s="42" t="s">
        <v>29</v>
      </c>
      <c r="Q10" s="42" t="s">
        <v>29</v>
      </c>
      <c r="R10" s="80"/>
      <c r="T10" s="326"/>
      <c r="U10" s="326"/>
      <c r="V10" s="326"/>
      <c r="W10" s="326"/>
      <c r="X10" s="326"/>
      <c r="Y10" s="326"/>
      <c r="Z10" s="326"/>
      <c r="AA10" s="326"/>
      <c r="AB10" s="326"/>
      <c r="AC10" s="326"/>
      <c r="AD10" s="326"/>
      <c r="AE10" s="326"/>
      <c r="AF10" s="326"/>
      <c r="AG10" s="326"/>
      <c r="AH10" s="326"/>
      <c r="AI10" s="326"/>
    </row>
    <row r="11" spans="1:85" s="83" customFormat="1" x14ac:dyDescent="0.35">
      <c r="A11" s="33" t="s">
        <v>323</v>
      </c>
      <c r="B11" s="33" t="s">
        <v>322</v>
      </c>
      <c r="C11" s="366">
        <f>1019+2361</f>
        <v>3380</v>
      </c>
      <c r="D11" s="367">
        <f>(D4/C4)*C11</f>
        <v>3525.4610574189883</v>
      </c>
      <c r="E11" s="368">
        <f t="shared" ref="E11:I11" si="2">(E4/D4)*D11</f>
        <v>3604.2444570778853</v>
      </c>
      <c r="F11" s="368">
        <f t="shared" si="2"/>
        <v>3646.5184764070495</v>
      </c>
      <c r="G11" s="368">
        <f t="shared" si="2"/>
        <v>3663.0437748720865</v>
      </c>
      <c r="H11" s="368">
        <f t="shared" si="2"/>
        <v>3659.008527572485</v>
      </c>
      <c r="I11" s="368">
        <f t="shared" si="2"/>
        <v>3642.867538374076</v>
      </c>
      <c r="J11" s="369"/>
      <c r="K11" s="33" t="s">
        <v>318</v>
      </c>
      <c r="L11" s="33" t="s">
        <v>319</v>
      </c>
      <c r="M11" s="33" t="s">
        <v>320</v>
      </c>
      <c r="N11" s="33">
        <v>0</v>
      </c>
      <c r="O11" s="33" t="s">
        <v>29</v>
      </c>
      <c r="P11" s="41" t="s">
        <v>29</v>
      </c>
      <c r="Q11" s="41" t="s">
        <v>29</v>
      </c>
      <c r="R11" s="79"/>
      <c r="T11" s="326"/>
      <c r="U11" s="326"/>
      <c r="V11" s="326"/>
      <c r="W11" s="326"/>
      <c r="X11" s="326"/>
      <c r="Y11" s="326"/>
      <c r="Z11" s="326"/>
      <c r="AA11" s="326"/>
      <c r="AB11" s="326"/>
      <c r="AC11" s="326"/>
      <c r="AD11" s="326"/>
      <c r="AE11" s="326"/>
      <c r="AF11" s="326"/>
      <c r="AG11" s="326"/>
      <c r="AH11" s="326"/>
      <c r="AI11" s="326"/>
    </row>
    <row r="12" spans="1:85" s="83" customFormat="1" x14ac:dyDescent="0.35">
      <c r="A12" s="14" t="s">
        <v>324</v>
      </c>
      <c r="B12" s="14" t="s">
        <v>322</v>
      </c>
      <c r="C12" s="366">
        <f>1043+704</f>
        <v>1747</v>
      </c>
      <c r="D12" s="370">
        <f>(D4/C4)*C12</f>
        <v>1822.1835702103469</v>
      </c>
      <c r="E12" s="371">
        <f t="shared" ref="E12:I12" si="3">(E4/D4)*D12</f>
        <v>1862.9038658328598</v>
      </c>
      <c r="F12" s="371">
        <f t="shared" si="3"/>
        <v>1884.7537805571349</v>
      </c>
      <c r="G12" s="371">
        <f t="shared" si="3"/>
        <v>1893.2951108584423</v>
      </c>
      <c r="H12" s="371">
        <f t="shared" si="3"/>
        <v>1891.2094371802164</v>
      </c>
      <c r="I12" s="371">
        <f t="shared" si="3"/>
        <v>1882.866742467311</v>
      </c>
      <c r="J12" s="372"/>
      <c r="K12" s="14" t="s">
        <v>318</v>
      </c>
      <c r="L12" s="14" t="s">
        <v>319</v>
      </c>
      <c r="M12" s="14" t="s">
        <v>320</v>
      </c>
      <c r="N12" s="14">
        <v>0</v>
      </c>
      <c r="O12" s="14" t="s">
        <v>29</v>
      </c>
      <c r="P12" s="42" t="s">
        <v>29</v>
      </c>
      <c r="Q12" s="42" t="s">
        <v>29</v>
      </c>
      <c r="R12" s="80"/>
      <c r="T12" s="326"/>
      <c r="U12" s="326"/>
      <c r="V12" s="326"/>
      <c r="W12" s="326"/>
      <c r="X12" s="326"/>
      <c r="Y12" s="326"/>
      <c r="Z12" s="326"/>
      <c r="AA12" s="326"/>
      <c r="AB12" s="326"/>
      <c r="AC12" s="326"/>
      <c r="AD12" s="326"/>
      <c r="AE12" s="326"/>
      <c r="AF12" s="326"/>
      <c r="AG12" s="326"/>
      <c r="AH12" s="326"/>
      <c r="AI12" s="326"/>
    </row>
    <row r="13" spans="1:85" s="83" customFormat="1" x14ac:dyDescent="0.35">
      <c r="A13" s="33" t="s">
        <v>325</v>
      </c>
      <c r="B13" s="33" t="s">
        <v>317</v>
      </c>
      <c r="C13" s="366">
        <v>124.9</v>
      </c>
      <c r="D13" s="367">
        <f>D$5/C$5*C13</f>
        <v>127.18871779758406</v>
      </c>
      <c r="E13" s="367">
        <f t="shared" ref="E13:I15" si="4">E$5/D$5*D13</f>
        <v>138.74360625205992</v>
      </c>
      <c r="F13" s="367">
        <f t="shared" si="4"/>
        <v>148.80422858069591</v>
      </c>
      <c r="G13" s="367">
        <f t="shared" si="4"/>
        <v>160.86911253603236</v>
      </c>
      <c r="H13" s="367">
        <f t="shared" si="4"/>
        <v>175.1943993561697</v>
      </c>
      <c r="I13" s="368">
        <f t="shared" si="4"/>
        <v>190.28800098702055</v>
      </c>
      <c r="J13" s="369"/>
      <c r="K13" s="33" t="s">
        <v>318</v>
      </c>
      <c r="L13" s="33" t="s">
        <v>319</v>
      </c>
      <c r="M13" s="33" t="s">
        <v>320</v>
      </c>
      <c r="N13" s="33">
        <v>0</v>
      </c>
      <c r="O13" s="33" t="s">
        <v>29</v>
      </c>
      <c r="P13" s="41" t="s">
        <v>29</v>
      </c>
      <c r="Q13" s="41" t="s">
        <v>29</v>
      </c>
      <c r="R13" s="79"/>
      <c r="T13" s="326"/>
      <c r="U13" s="326"/>
      <c r="V13" s="326"/>
      <c r="W13" s="326"/>
      <c r="X13" s="326"/>
      <c r="Y13" s="326"/>
      <c r="Z13" s="326"/>
      <c r="AA13" s="326"/>
      <c r="AB13" s="326"/>
      <c r="AC13" s="326"/>
      <c r="AD13" s="326"/>
      <c r="AE13" s="326"/>
      <c r="AF13" s="326"/>
      <c r="AG13" s="326"/>
      <c r="AH13" s="326"/>
      <c r="AI13" s="326"/>
    </row>
    <row r="14" spans="1:85" s="83" customFormat="1" x14ac:dyDescent="0.35">
      <c r="A14" s="14" t="s">
        <v>326</v>
      </c>
      <c r="B14" s="14" t="s">
        <v>327</v>
      </c>
      <c r="C14" s="366">
        <f>430*1.0203</f>
        <v>438.72899999999998</v>
      </c>
      <c r="D14" s="370">
        <f>D$5/C$5*C14</f>
        <v>446.76844652214777</v>
      </c>
      <c r="E14" s="371">
        <f t="shared" si="4"/>
        <v>487.35663432634107</v>
      </c>
      <c r="F14" s="371">
        <f t="shared" si="4"/>
        <v>522.69600000784737</v>
      </c>
      <c r="G14" s="371">
        <f t="shared" si="4"/>
        <v>565.07561948615648</v>
      </c>
      <c r="H14" s="371">
        <f t="shared" si="4"/>
        <v>615.3952252612728</v>
      </c>
      <c r="I14" s="371">
        <f t="shared" si="4"/>
        <v>668.4136459970739</v>
      </c>
      <c r="J14" s="372"/>
      <c r="K14" s="14" t="s">
        <v>318</v>
      </c>
      <c r="L14" s="14" t="s">
        <v>319</v>
      </c>
      <c r="M14" s="14" t="s">
        <v>320</v>
      </c>
      <c r="N14" s="14">
        <v>0</v>
      </c>
      <c r="O14" s="14" t="s">
        <v>29</v>
      </c>
      <c r="P14" s="42" t="s">
        <v>29</v>
      </c>
      <c r="Q14" s="42" t="s">
        <v>29</v>
      </c>
      <c r="R14" s="80"/>
      <c r="T14" s="326"/>
      <c r="U14" s="326"/>
      <c r="V14" s="326"/>
      <c r="W14" s="326"/>
      <c r="X14" s="326"/>
      <c r="Y14" s="326"/>
      <c r="Z14" s="326"/>
      <c r="AA14" s="326"/>
      <c r="AB14" s="326"/>
      <c r="AC14" s="326"/>
      <c r="AD14" s="326"/>
      <c r="AE14" s="326"/>
      <c r="AF14" s="326"/>
      <c r="AG14" s="326"/>
      <c r="AH14" s="326"/>
      <c r="AI14" s="326"/>
    </row>
    <row r="15" spans="1:85" s="83" customFormat="1" x14ac:dyDescent="0.35">
      <c r="A15" s="33" t="s">
        <v>328</v>
      </c>
      <c r="B15" s="33" t="s">
        <v>317</v>
      </c>
      <c r="C15" s="366">
        <v>25.2</v>
      </c>
      <c r="D15" s="367">
        <f>D$5/C$5*C15</f>
        <v>25.661774927935294</v>
      </c>
      <c r="E15" s="368">
        <f t="shared" si="4"/>
        <v>27.993105504819138</v>
      </c>
      <c r="F15" s="368">
        <f t="shared" si="4"/>
        <v>30.022950842542329</v>
      </c>
      <c r="G15" s="367">
        <f t="shared" si="4"/>
        <v>32.457178830328388</v>
      </c>
      <c r="H15" s="368">
        <f t="shared" si="4"/>
        <v>35.347468885312061</v>
      </c>
      <c r="I15" s="368">
        <f t="shared" si="4"/>
        <v>38.392775219158672</v>
      </c>
      <c r="J15" s="369"/>
      <c r="K15" s="33" t="s">
        <v>318</v>
      </c>
      <c r="L15" s="33" t="s">
        <v>319</v>
      </c>
      <c r="M15" s="33" t="s">
        <v>320</v>
      </c>
      <c r="N15" s="33">
        <v>0</v>
      </c>
      <c r="O15" s="33" t="s">
        <v>29</v>
      </c>
      <c r="P15" s="41" t="s">
        <v>29</v>
      </c>
      <c r="Q15" s="41" t="s">
        <v>29</v>
      </c>
      <c r="R15" s="79"/>
      <c r="T15" s="326"/>
      <c r="U15" s="326"/>
      <c r="V15" s="326"/>
      <c r="W15" s="326"/>
      <c r="X15" s="326"/>
      <c r="Y15" s="326"/>
      <c r="Z15" s="326"/>
      <c r="AA15" s="326"/>
      <c r="AB15" s="326"/>
      <c r="AC15" s="326"/>
      <c r="AD15" s="326"/>
      <c r="AE15" s="326"/>
      <c r="AF15" s="326"/>
      <c r="AG15" s="326"/>
      <c r="AH15" s="326"/>
      <c r="AI15" s="326"/>
    </row>
    <row r="16" spans="1:85" s="83" customFormat="1" x14ac:dyDescent="0.35">
      <c r="A16" s="14" t="s">
        <v>329</v>
      </c>
      <c r="B16" s="14" t="s">
        <v>317</v>
      </c>
      <c r="C16" s="366">
        <f>39.7+14.2+20.7*0.9</f>
        <v>72.53</v>
      </c>
      <c r="D16" s="371">
        <f>C16</f>
        <v>72.53</v>
      </c>
      <c r="E16" s="371">
        <f t="shared" ref="E16:I17" si="5">D16</f>
        <v>72.53</v>
      </c>
      <c r="F16" s="371">
        <f t="shared" si="5"/>
        <v>72.53</v>
      </c>
      <c r="G16" s="371">
        <f t="shared" si="5"/>
        <v>72.53</v>
      </c>
      <c r="H16" s="371">
        <f t="shared" si="5"/>
        <v>72.53</v>
      </c>
      <c r="I16" s="371">
        <f t="shared" si="5"/>
        <v>72.53</v>
      </c>
      <c r="J16" s="372"/>
      <c r="K16" s="14" t="s">
        <v>318</v>
      </c>
      <c r="L16" s="14" t="s">
        <v>319</v>
      </c>
      <c r="M16" s="14" t="s">
        <v>320</v>
      </c>
      <c r="N16" s="14">
        <v>0</v>
      </c>
      <c r="O16" s="14" t="s">
        <v>29</v>
      </c>
      <c r="P16" s="42" t="s">
        <v>29</v>
      </c>
      <c r="Q16" s="42" t="s">
        <v>29</v>
      </c>
      <c r="R16" s="80"/>
      <c r="T16" s="326"/>
      <c r="U16" s="326"/>
      <c r="V16" s="326"/>
      <c r="W16" s="326"/>
      <c r="X16" s="326"/>
      <c r="Y16" s="326"/>
      <c r="Z16" s="326"/>
      <c r="AA16" s="326"/>
      <c r="AB16" s="326"/>
      <c r="AC16" s="326"/>
      <c r="AD16" s="326"/>
      <c r="AE16" s="326"/>
      <c r="AF16" s="326"/>
      <c r="AG16" s="326"/>
      <c r="AH16" s="326"/>
      <c r="AI16" s="326"/>
    </row>
    <row r="17" spans="1:35" s="83" customFormat="1" x14ac:dyDescent="0.35">
      <c r="A17" s="33" t="s">
        <v>330</v>
      </c>
      <c r="B17" s="33" t="s">
        <v>317</v>
      </c>
      <c r="C17" s="366">
        <v>25.2</v>
      </c>
      <c r="D17" s="367">
        <f>C17</f>
        <v>25.2</v>
      </c>
      <c r="E17" s="368">
        <f t="shared" si="5"/>
        <v>25.2</v>
      </c>
      <c r="F17" s="367">
        <f t="shared" si="5"/>
        <v>25.2</v>
      </c>
      <c r="G17" s="368">
        <f t="shared" si="5"/>
        <v>25.2</v>
      </c>
      <c r="H17" s="368">
        <f t="shared" si="5"/>
        <v>25.2</v>
      </c>
      <c r="I17" s="368">
        <f t="shared" si="5"/>
        <v>25.2</v>
      </c>
      <c r="J17" s="369"/>
      <c r="K17" s="33" t="s">
        <v>318</v>
      </c>
      <c r="L17" s="33" t="s">
        <v>319</v>
      </c>
      <c r="M17" s="33" t="s">
        <v>320</v>
      </c>
      <c r="N17" s="33">
        <v>0</v>
      </c>
      <c r="O17" s="33" t="s">
        <v>29</v>
      </c>
      <c r="P17" s="41" t="s">
        <v>29</v>
      </c>
      <c r="Q17" s="41" t="s">
        <v>29</v>
      </c>
      <c r="R17" s="79"/>
      <c r="T17" s="326"/>
      <c r="U17" s="326"/>
      <c r="V17" s="326"/>
      <c r="W17" s="326"/>
      <c r="X17" s="326"/>
      <c r="Y17" s="326"/>
      <c r="Z17" s="326"/>
      <c r="AA17" s="326"/>
      <c r="AB17" s="326"/>
      <c r="AC17" s="326"/>
      <c r="AD17" s="326"/>
      <c r="AE17" s="326"/>
      <c r="AF17" s="326"/>
      <c r="AG17" s="326"/>
      <c r="AH17" s="326"/>
      <c r="AI17" s="326"/>
    </row>
    <row r="18" spans="1:35" s="83" customFormat="1" x14ac:dyDescent="0.35">
      <c r="A18" s="14" t="s">
        <v>331</v>
      </c>
      <c r="B18" s="14" t="s">
        <v>332</v>
      </c>
      <c r="C18" s="366">
        <v>6.1429999999999998</v>
      </c>
      <c r="D18" s="370">
        <f>(C18)*(1+$T$2)^(D$8-C$8)</f>
        <v>6.1429999999999998</v>
      </c>
      <c r="E18" s="371">
        <f t="shared" ref="E18:I18" si="6">(D18)*(1+$T$2)^(E$8-D$8)</f>
        <v>6.1429999999999998</v>
      </c>
      <c r="F18" s="371">
        <f t="shared" si="6"/>
        <v>6.1429999999999998</v>
      </c>
      <c r="G18" s="371">
        <f t="shared" si="6"/>
        <v>6.1429999999999998</v>
      </c>
      <c r="H18" s="371">
        <f t="shared" si="6"/>
        <v>6.1429999999999998</v>
      </c>
      <c r="I18" s="371">
        <f t="shared" si="6"/>
        <v>6.1429999999999998</v>
      </c>
      <c r="J18" s="372"/>
      <c r="K18" s="14" t="s">
        <v>318</v>
      </c>
      <c r="L18" s="14" t="s">
        <v>319</v>
      </c>
      <c r="M18" s="14" t="s">
        <v>320</v>
      </c>
      <c r="N18" s="14">
        <v>0</v>
      </c>
      <c r="O18" s="14" t="s">
        <v>29</v>
      </c>
      <c r="P18" s="42" t="s">
        <v>29</v>
      </c>
      <c r="Q18" s="42" t="s">
        <v>29</v>
      </c>
      <c r="R18" s="80"/>
      <c r="T18" s="326"/>
      <c r="U18" s="326"/>
      <c r="V18" s="326"/>
      <c r="W18" s="326"/>
      <c r="X18" s="326"/>
      <c r="Y18" s="326"/>
      <c r="Z18" s="326"/>
      <c r="AA18" s="326"/>
      <c r="AB18" s="326"/>
      <c r="AC18" s="326"/>
      <c r="AD18" s="326"/>
      <c r="AE18" s="326"/>
      <c r="AF18" s="326"/>
      <c r="AG18" s="326"/>
      <c r="AH18" s="326"/>
      <c r="AI18" s="326"/>
    </row>
    <row r="19" spans="1:35" s="83" customFormat="1" x14ac:dyDescent="0.35">
      <c r="A19" s="33" t="s">
        <v>333</v>
      </c>
      <c r="B19" s="33" t="s">
        <v>334</v>
      </c>
      <c r="C19" s="369">
        <v>2.4</v>
      </c>
      <c r="D19" s="367">
        <f t="shared" ref="D19:I34" si="7">(C19)*(1+$T$2)^(D$8-C$8)</f>
        <v>2.4</v>
      </c>
      <c r="E19" s="368">
        <f t="shared" si="7"/>
        <v>2.4</v>
      </c>
      <c r="F19" s="368">
        <f t="shared" si="7"/>
        <v>2.4</v>
      </c>
      <c r="G19" s="368">
        <f t="shared" si="7"/>
        <v>2.4</v>
      </c>
      <c r="H19" s="368">
        <f t="shared" si="7"/>
        <v>2.4</v>
      </c>
      <c r="I19" s="368">
        <f t="shared" si="7"/>
        <v>2.4</v>
      </c>
      <c r="J19" s="369"/>
      <c r="K19" s="33" t="s">
        <v>318</v>
      </c>
      <c r="L19" s="33" t="s">
        <v>319</v>
      </c>
      <c r="M19" s="33" t="s">
        <v>320</v>
      </c>
      <c r="N19" s="33">
        <v>0</v>
      </c>
      <c r="O19" s="33" t="s">
        <v>29</v>
      </c>
      <c r="P19" s="41" t="s">
        <v>29</v>
      </c>
      <c r="Q19" s="41" t="s">
        <v>29</v>
      </c>
      <c r="R19" s="79"/>
      <c r="T19" s="326"/>
      <c r="U19" s="326"/>
      <c r="V19" s="326"/>
      <c r="W19" s="326"/>
      <c r="X19" s="326"/>
      <c r="Y19" s="326"/>
      <c r="Z19" s="326"/>
      <c r="AA19" s="326"/>
      <c r="AB19" s="326"/>
      <c r="AC19" s="326"/>
      <c r="AD19" s="326"/>
      <c r="AE19" s="326"/>
      <c r="AF19" s="326"/>
      <c r="AG19" s="326"/>
      <c r="AH19" s="326"/>
      <c r="AI19" s="326"/>
    </row>
    <row r="20" spans="1:35" s="83" customFormat="1" x14ac:dyDescent="0.35">
      <c r="A20" s="14" t="s">
        <v>335</v>
      </c>
      <c r="B20" s="14" t="s">
        <v>336</v>
      </c>
      <c r="C20" s="372">
        <v>1.8</v>
      </c>
      <c r="D20" s="370">
        <f t="shared" si="7"/>
        <v>1.8</v>
      </c>
      <c r="E20" s="371">
        <f t="shared" si="7"/>
        <v>1.8</v>
      </c>
      <c r="F20" s="371">
        <f t="shared" si="7"/>
        <v>1.8</v>
      </c>
      <c r="G20" s="371">
        <f t="shared" si="7"/>
        <v>1.8</v>
      </c>
      <c r="H20" s="371">
        <f t="shared" si="7"/>
        <v>1.8</v>
      </c>
      <c r="I20" s="371">
        <f t="shared" si="7"/>
        <v>1.8</v>
      </c>
      <c r="J20" s="372"/>
      <c r="K20" s="14" t="s">
        <v>318</v>
      </c>
      <c r="L20" s="14" t="s">
        <v>319</v>
      </c>
      <c r="M20" s="14" t="s">
        <v>320</v>
      </c>
      <c r="N20" s="14">
        <v>0</v>
      </c>
      <c r="O20" s="14" t="s">
        <v>29</v>
      </c>
      <c r="P20" s="42" t="s">
        <v>29</v>
      </c>
      <c r="Q20" s="42" t="s">
        <v>29</v>
      </c>
      <c r="R20" s="80"/>
      <c r="T20" s="326"/>
      <c r="U20" s="326"/>
      <c r="V20" s="326"/>
      <c r="W20" s="326"/>
      <c r="X20" s="326"/>
      <c r="Y20" s="326"/>
      <c r="Z20" s="326"/>
      <c r="AA20" s="326"/>
      <c r="AB20" s="326"/>
      <c r="AC20" s="326"/>
      <c r="AD20" s="326"/>
      <c r="AE20" s="326"/>
      <c r="AF20" s="326"/>
      <c r="AG20" s="326"/>
      <c r="AH20" s="326"/>
      <c r="AI20" s="326"/>
    </row>
    <row r="21" spans="1:35" s="83" customFormat="1" x14ac:dyDescent="0.35">
      <c r="A21" s="33" t="s">
        <v>337</v>
      </c>
      <c r="B21" s="33" t="s">
        <v>338</v>
      </c>
      <c r="C21" s="369">
        <v>1.2</v>
      </c>
      <c r="D21" s="367">
        <f t="shared" si="7"/>
        <v>1.2</v>
      </c>
      <c r="E21" s="368">
        <f t="shared" si="7"/>
        <v>1.2</v>
      </c>
      <c r="F21" s="368">
        <f t="shared" si="7"/>
        <v>1.2</v>
      </c>
      <c r="G21" s="368">
        <f t="shared" si="7"/>
        <v>1.2</v>
      </c>
      <c r="H21" s="368">
        <f t="shared" si="7"/>
        <v>1.2</v>
      </c>
      <c r="I21" s="368">
        <f t="shared" si="7"/>
        <v>1.2</v>
      </c>
      <c r="J21" s="369"/>
      <c r="K21" s="33" t="s">
        <v>318</v>
      </c>
      <c r="L21" s="33" t="s">
        <v>319</v>
      </c>
      <c r="M21" s="33" t="s">
        <v>320</v>
      </c>
      <c r="N21" s="33">
        <v>0</v>
      </c>
      <c r="O21" s="33" t="s">
        <v>29</v>
      </c>
      <c r="P21" s="41" t="s">
        <v>29</v>
      </c>
      <c r="Q21" s="41" t="s">
        <v>29</v>
      </c>
      <c r="R21" s="79"/>
      <c r="T21" s="326"/>
      <c r="U21" s="326"/>
      <c r="V21" s="326"/>
      <c r="W21" s="326"/>
      <c r="X21" s="326"/>
      <c r="Y21" s="326"/>
      <c r="Z21" s="326"/>
      <c r="AA21" s="326"/>
      <c r="AB21" s="326"/>
      <c r="AC21" s="326"/>
      <c r="AD21" s="326"/>
      <c r="AE21" s="326"/>
      <c r="AF21" s="326"/>
      <c r="AG21" s="326"/>
      <c r="AH21" s="326"/>
      <c r="AI21" s="326"/>
    </row>
    <row r="22" spans="1:35" s="83" customFormat="1" x14ac:dyDescent="0.35">
      <c r="A22" s="14" t="s">
        <v>339</v>
      </c>
      <c r="B22" s="14" t="s">
        <v>340</v>
      </c>
      <c r="C22" s="366">
        <f>2.4+EnergyBalance!$CS$71*Activities!$C$26+EnergyBalance!$CS$72*Activities!$C$27+EnergyBalance!$CS$73*Activities!$C$28+EnergyBalance!$CS$80*Activities!$C$31+EnergyBalance!$CS$87*Activities!$C$33+EnergyBalance!$CS$87*EnergyBalance!$CZ$88*EnergyBalance!$DA$79*Activities!$C$32</f>
        <v>0.40030929773114754</v>
      </c>
      <c r="D22" s="371">
        <f t="shared" si="7"/>
        <v>0.40030929773114754</v>
      </c>
      <c r="E22" s="371">
        <f t="shared" si="7"/>
        <v>0.40030929773114754</v>
      </c>
      <c r="F22" s="371">
        <f t="shared" si="7"/>
        <v>0.40030929773114754</v>
      </c>
      <c r="G22" s="371">
        <f t="shared" si="7"/>
        <v>0.40030929773114754</v>
      </c>
      <c r="H22" s="371">
        <f t="shared" si="7"/>
        <v>0.40030929773114754</v>
      </c>
      <c r="I22" s="371">
        <f t="shared" si="7"/>
        <v>0.40030929773114754</v>
      </c>
      <c r="J22" s="372"/>
      <c r="K22" s="14" t="s">
        <v>318</v>
      </c>
      <c r="L22" s="14" t="s">
        <v>319</v>
      </c>
      <c r="M22" s="14" t="s">
        <v>320</v>
      </c>
      <c r="N22" s="14">
        <v>0</v>
      </c>
      <c r="O22" s="14" t="s">
        <v>29</v>
      </c>
      <c r="P22" s="42" t="s">
        <v>29</v>
      </c>
      <c r="Q22" s="42" t="s">
        <v>29</v>
      </c>
      <c r="R22" s="80"/>
      <c r="T22" s="326"/>
      <c r="U22" s="326"/>
      <c r="V22" s="326"/>
      <c r="W22" s="326"/>
      <c r="X22" s="326"/>
      <c r="Y22" s="326"/>
      <c r="Z22" s="326"/>
      <c r="AA22" s="326"/>
      <c r="AB22" s="326"/>
      <c r="AC22" s="326"/>
      <c r="AD22" s="326"/>
      <c r="AE22" s="326"/>
      <c r="AF22" s="326"/>
      <c r="AG22" s="326"/>
      <c r="AH22" s="326"/>
      <c r="AI22" s="326"/>
    </row>
    <row r="23" spans="1:35" s="83" customFormat="1" x14ac:dyDescent="0.35">
      <c r="A23" s="33" t="s">
        <v>341</v>
      </c>
      <c r="B23" s="33" t="s">
        <v>342</v>
      </c>
      <c r="C23" s="366">
        <f>2.4*(0.136/0.303)-C29*1.02+0.5</f>
        <v>0.96522772277227731</v>
      </c>
      <c r="D23" s="367">
        <f t="shared" si="7"/>
        <v>0.96522772277227731</v>
      </c>
      <c r="E23" s="368">
        <f t="shared" si="7"/>
        <v>0.96522772277227731</v>
      </c>
      <c r="F23" s="368">
        <f t="shared" si="7"/>
        <v>0.96522772277227731</v>
      </c>
      <c r="G23" s="368">
        <f t="shared" si="7"/>
        <v>0.96522772277227731</v>
      </c>
      <c r="H23" s="368">
        <f t="shared" si="7"/>
        <v>0.96522772277227731</v>
      </c>
      <c r="I23" s="368">
        <f t="shared" si="7"/>
        <v>0.96522772277227731</v>
      </c>
      <c r="J23" s="369"/>
      <c r="K23" s="33" t="s">
        <v>318</v>
      </c>
      <c r="L23" s="33" t="s">
        <v>319</v>
      </c>
      <c r="M23" s="33" t="s">
        <v>320</v>
      </c>
      <c r="N23" s="33">
        <v>0</v>
      </c>
      <c r="O23" s="33" t="s">
        <v>29</v>
      </c>
      <c r="P23" s="41" t="s">
        <v>29</v>
      </c>
      <c r="Q23" s="41" t="s">
        <v>29</v>
      </c>
      <c r="R23" s="79"/>
      <c r="T23" s="326"/>
      <c r="U23" s="326"/>
      <c r="V23" s="326"/>
      <c r="W23" s="326"/>
      <c r="X23" s="326"/>
      <c r="Y23" s="326"/>
      <c r="Z23" s="326"/>
      <c r="AA23" s="326"/>
      <c r="AB23" s="326"/>
      <c r="AC23" s="326"/>
      <c r="AD23" s="326"/>
      <c r="AE23" s="326"/>
      <c r="AF23" s="326"/>
      <c r="AG23" s="326"/>
      <c r="AH23" s="326"/>
      <c r="AI23" s="326"/>
    </row>
    <row r="24" spans="1:35" s="83" customFormat="1" x14ac:dyDescent="0.35">
      <c r="A24" s="14" t="s">
        <v>343</v>
      </c>
      <c r="B24" s="14" t="s">
        <v>344</v>
      </c>
      <c r="C24" s="366">
        <f>0.43/3*2.4</f>
        <v>0.34400000000000003</v>
      </c>
      <c r="D24" s="370">
        <f t="shared" si="7"/>
        <v>0.34400000000000003</v>
      </c>
      <c r="E24" s="371">
        <f t="shared" si="7"/>
        <v>0.34400000000000003</v>
      </c>
      <c r="F24" s="371">
        <f t="shared" si="7"/>
        <v>0.34400000000000003</v>
      </c>
      <c r="G24" s="371">
        <f t="shared" si="7"/>
        <v>0.34400000000000003</v>
      </c>
      <c r="H24" s="371">
        <f t="shared" si="7"/>
        <v>0.34400000000000003</v>
      </c>
      <c r="I24" s="371">
        <f t="shared" si="7"/>
        <v>0.34400000000000003</v>
      </c>
      <c r="J24" s="372"/>
      <c r="K24" s="14" t="s">
        <v>318</v>
      </c>
      <c r="L24" s="14" t="s">
        <v>319</v>
      </c>
      <c r="M24" s="14" t="s">
        <v>320</v>
      </c>
      <c r="N24" s="14">
        <v>0</v>
      </c>
      <c r="O24" s="14" t="s">
        <v>29</v>
      </c>
      <c r="P24" s="42" t="s">
        <v>29</v>
      </c>
      <c r="Q24" s="42" t="s">
        <v>29</v>
      </c>
      <c r="R24" s="80"/>
      <c r="T24" s="326"/>
      <c r="U24" s="326"/>
      <c r="V24" s="326"/>
      <c r="W24" s="326"/>
      <c r="X24" s="326"/>
      <c r="Y24" s="326"/>
      <c r="Z24" s="326"/>
      <c r="AA24" s="326"/>
      <c r="AB24" s="326"/>
      <c r="AC24" s="326"/>
      <c r="AD24" s="326"/>
      <c r="AE24" s="326"/>
      <c r="AF24" s="326"/>
      <c r="AG24" s="326"/>
      <c r="AH24" s="326"/>
      <c r="AI24" s="326"/>
    </row>
    <row r="25" spans="1:35" s="83" customFormat="1" x14ac:dyDescent="0.35">
      <c r="A25" s="14" t="s">
        <v>345</v>
      </c>
      <c r="B25" s="14" t="s">
        <v>346</v>
      </c>
      <c r="C25" s="373">
        <v>3</v>
      </c>
      <c r="D25" s="370">
        <f t="shared" si="7"/>
        <v>3</v>
      </c>
      <c r="E25" s="371">
        <f t="shared" si="7"/>
        <v>3</v>
      </c>
      <c r="F25" s="371">
        <f t="shared" si="7"/>
        <v>3</v>
      </c>
      <c r="G25" s="371">
        <f t="shared" si="7"/>
        <v>3</v>
      </c>
      <c r="H25" s="371">
        <f t="shared" si="7"/>
        <v>3</v>
      </c>
      <c r="I25" s="371">
        <f t="shared" si="7"/>
        <v>3</v>
      </c>
      <c r="J25" s="372"/>
      <c r="K25" s="14" t="s">
        <v>318</v>
      </c>
      <c r="L25" s="14" t="s">
        <v>319</v>
      </c>
      <c r="M25" s="14" t="s">
        <v>320</v>
      </c>
      <c r="N25" s="14">
        <v>0</v>
      </c>
      <c r="O25" s="14" t="s">
        <v>29</v>
      </c>
      <c r="P25" s="42" t="s">
        <v>29</v>
      </c>
      <c r="Q25" s="42" t="s">
        <v>29</v>
      </c>
      <c r="R25" s="80"/>
      <c r="T25" s="326"/>
      <c r="U25" s="326"/>
      <c r="V25" s="326"/>
      <c r="W25" s="326"/>
      <c r="X25" s="326"/>
      <c r="Y25" s="326"/>
      <c r="Z25" s="326"/>
      <c r="AA25" s="326"/>
      <c r="AB25" s="326"/>
      <c r="AC25" s="326"/>
      <c r="AD25" s="326"/>
      <c r="AE25" s="326"/>
      <c r="AF25" s="326"/>
      <c r="AG25" s="326"/>
      <c r="AH25" s="326"/>
      <c r="AI25" s="326"/>
    </row>
    <row r="26" spans="1:35" s="83" customFormat="1" x14ac:dyDescent="0.35">
      <c r="A26" s="33" t="s">
        <v>347</v>
      </c>
      <c r="B26" s="33" t="s">
        <v>348</v>
      </c>
      <c r="C26" s="366">
        <f>0.73/3*2.4</f>
        <v>0.58399999999999996</v>
      </c>
      <c r="D26" s="367">
        <f t="shared" si="7"/>
        <v>0.58399999999999996</v>
      </c>
      <c r="E26" s="368">
        <f t="shared" si="7"/>
        <v>0.58399999999999996</v>
      </c>
      <c r="F26" s="368">
        <f t="shared" si="7"/>
        <v>0.58399999999999996</v>
      </c>
      <c r="G26" s="368">
        <f t="shared" si="7"/>
        <v>0.58399999999999996</v>
      </c>
      <c r="H26" s="368">
        <f t="shared" si="7"/>
        <v>0.58399999999999996</v>
      </c>
      <c r="I26" s="368">
        <f t="shared" si="7"/>
        <v>0.58399999999999996</v>
      </c>
      <c r="J26" s="369"/>
      <c r="K26" s="33" t="s">
        <v>318</v>
      </c>
      <c r="L26" s="33" t="s">
        <v>319</v>
      </c>
      <c r="M26" s="33" t="s">
        <v>320</v>
      </c>
      <c r="N26" s="33">
        <v>0</v>
      </c>
      <c r="O26" s="33" t="s">
        <v>29</v>
      </c>
      <c r="P26" s="41" t="s">
        <v>29</v>
      </c>
      <c r="Q26" s="41" t="s">
        <v>29</v>
      </c>
      <c r="R26" s="79"/>
      <c r="U26" s="326"/>
    </row>
    <row r="27" spans="1:35" s="83" customFormat="1" x14ac:dyDescent="0.35">
      <c r="A27" s="14" t="s">
        <v>349</v>
      </c>
      <c r="B27" s="14" t="s">
        <v>350</v>
      </c>
      <c r="C27" s="366">
        <f>0.8/3*2.4</f>
        <v>0.64</v>
      </c>
      <c r="D27" s="370">
        <f t="shared" si="7"/>
        <v>0.64</v>
      </c>
      <c r="E27" s="371">
        <f t="shared" si="7"/>
        <v>0.64</v>
      </c>
      <c r="F27" s="371">
        <f t="shared" si="7"/>
        <v>0.64</v>
      </c>
      <c r="G27" s="371">
        <f t="shared" si="7"/>
        <v>0.64</v>
      </c>
      <c r="H27" s="371">
        <f t="shared" si="7"/>
        <v>0.64</v>
      </c>
      <c r="I27" s="371">
        <f t="shared" si="7"/>
        <v>0.64</v>
      </c>
      <c r="J27" s="372"/>
      <c r="K27" s="14" t="s">
        <v>318</v>
      </c>
      <c r="L27" s="14" t="s">
        <v>319</v>
      </c>
      <c r="M27" s="14" t="s">
        <v>320</v>
      </c>
      <c r="N27" s="14">
        <v>0</v>
      </c>
      <c r="O27" s="14" t="s">
        <v>29</v>
      </c>
      <c r="P27" s="42" t="s">
        <v>29</v>
      </c>
      <c r="Q27" s="42" t="s">
        <v>29</v>
      </c>
      <c r="R27" s="80"/>
      <c r="U27" s="326"/>
    </row>
    <row r="28" spans="1:35" s="83" customFormat="1" x14ac:dyDescent="0.35">
      <c r="A28" s="33" t="s">
        <v>351</v>
      </c>
      <c r="B28" s="33" t="s">
        <v>352</v>
      </c>
      <c r="C28" s="366">
        <f>0.31/3*2.4</f>
        <v>0.248</v>
      </c>
      <c r="D28" s="367">
        <f t="shared" si="7"/>
        <v>0.248</v>
      </c>
      <c r="E28" s="368">
        <f t="shared" si="7"/>
        <v>0.248</v>
      </c>
      <c r="F28" s="368">
        <f t="shared" si="7"/>
        <v>0.248</v>
      </c>
      <c r="G28" s="368">
        <f t="shared" si="7"/>
        <v>0.248</v>
      </c>
      <c r="H28" s="368">
        <f t="shared" si="7"/>
        <v>0.248</v>
      </c>
      <c r="I28" s="368">
        <f t="shared" si="7"/>
        <v>0.248</v>
      </c>
      <c r="J28" s="369"/>
      <c r="K28" s="33" t="s">
        <v>318</v>
      </c>
      <c r="L28" s="33" t="s">
        <v>319</v>
      </c>
      <c r="M28" s="33" t="s">
        <v>320</v>
      </c>
      <c r="N28" s="33">
        <v>0</v>
      </c>
      <c r="O28" s="33" t="s">
        <v>29</v>
      </c>
      <c r="P28" s="41" t="s">
        <v>29</v>
      </c>
      <c r="Q28" s="41" t="s">
        <v>29</v>
      </c>
      <c r="R28" s="79"/>
      <c r="U28" s="326"/>
    </row>
    <row r="29" spans="1:35" s="83" customFormat="1" x14ac:dyDescent="0.35">
      <c r="A29" s="14" t="s">
        <v>353</v>
      </c>
      <c r="B29" s="14" t="s">
        <v>354</v>
      </c>
      <c r="C29" s="366">
        <f>0.75/3*2.4</f>
        <v>0.6</v>
      </c>
      <c r="D29" s="370">
        <f t="shared" si="7"/>
        <v>0.6</v>
      </c>
      <c r="E29" s="371">
        <f t="shared" si="7"/>
        <v>0.6</v>
      </c>
      <c r="F29" s="371">
        <f t="shared" si="7"/>
        <v>0.6</v>
      </c>
      <c r="G29" s="371">
        <f t="shared" si="7"/>
        <v>0.6</v>
      </c>
      <c r="H29" s="371">
        <f t="shared" si="7"/>
        <v>0.6</v>
      </c>
      <c r="I29" s="371">
        <f t="shared" si="7"/>
        <v>0.6</v>
      </c>
      <c r="J29" s="372"/>
      <c r="K29" s="14" t="s">
        <v>318</v>
      </c>
      <c r="L29" s="14" t="s">
        <v>319</v>
      </c>
      <c r="M29" s="14" t="s">
        <v>320</v>
      </c>
      <c r="N29" s="14">
        <v>0</v>
      </c>
      <c r="O29" s="14" t="s">
        <v>29</v>
      </c>
      <c r="P29" s="42" t="s">
        <v>29</v>
      </c>
      <c r="Q29" s="42" t="s">
        <v>29</v>
      </c>
      <c r="R29" s="80"/>
      <c r="U29" s="326"/>
    </row>
    <row r="30" spans="1:35" s="83" customFormat="1" x14ac:dyDescent="0.35">
      <c r="A30" s="33" t="s">
        <v>355</v>
      </c>
      <c r="B30" s="33" t="s">
        <v>356</v>
      </c>
      <c r="C30" s="366">
        <f>0.342/3*2.4</f>
        <v>0.27360000000000001</v>
      </c>
      <c r="D30" s="367">
        <f t="shared" si="7"/>
        <v>0.27360000000000001</v>
      </c>
      <c r="E30" s="368">
        <f t="shared" si="7"/>
        <v>0.27360000000000001</v>
      </c>
      <c r="F30" s="368">
        <f t="shared" si="7"/>
        <v>0.27360000000000001</v>
      </c>
      <c r="G30" s="368">
        <f t="shared" si="7"/>
        <v>0.27360000000000001</v>
      </c>
      <c r="H30" s="368">
        <f t="shared" si="7"/>
        <v>0.27360000000000001</v>
      </c>
      <c r="I30" s="368">
        <f t="shared" si="7"/>
        <v>0.27360000000000001</v>
      </c>
      <c r="J30" s="369"/>
      <c r="K30" s="33" t="s">
        <v>318</v>
      </c>
      <c r="L30" s="33" t="s">
        <v>319</v>
      </c>
      <c r="M30" s="33" t="s">
        <v>320</v>
      </c>
      <c r="N30" s="33">
        <v>0</v>
      </c>
      <c r="O30" s="33" t="s">
        <v>29</v>
      </c>
      <c r="P30" s="41" t="s">
        <v>29</v>
      </c>
      <c r="Q30" s="41" t="s">
        <v>29</v>
      </c>
      <c r="R30" s="79"/>
      <c r="U30" s="326"/>
    </row>
    <row r="31" spans="1:35" s="83" customFormat="1" x14ac:dyDescent="0.35">
      <c r="A31" s="14" t="s">
        <v>357</v>
      </c>
      <c r="B31" s="14" t="s">
        <v>358</v>
      </c>
      <c r="C31" s="366">
        <f>0.75/3*2.4</f>
        <v>0.6</v>
      </c>
      <c r="D31" s="370">
        <f t="shared" si="7"/>
        <v>0.6</v>
      </c>
      <c r="E31" s="371">
        <f t="shared" si="7"/>
        <v>0.6</v>
      </c>
      <c r="F31" s="371">
        <f t="shared" si="7"/>
        <v>0.6</v>
      </c>
      <c r="G31" s="371">
        <f t="shared" si="7"/>
        <v>0.6</v>
      </c>
      <c r="H31" s="371">
        <f t="shared" si="7"/>
        <v>0.6</v>
      </c>
      <c r="I31" s="371">
        <f t="shared" si="7"/>
        <v>0.6</v>
      </c>
      <c r="J31" s="372"/>
      <c r="K31" s="14" t="s">
        <v>318</v>
      </c>
      <c r="L31" s="14" t="s">
        <v>319</v>
      </c>
      <c r="M31" s="14" t="s">
        <v>320</v>
      </c>
      <c r="N31" s="14">
        <v>0</v>
      </c>
      <c r="O31" s="14" t="s">
        <v>29</v>
      </c>
      <c r="P31" s="42" t="s">
        <v>29</v>
      </c>
      <c r="Q31" s="42" t="s">
        <v>29</v>
      </c>
      <c r="R31" s="80"/>
      <c r="U31" s="326"/>
    </row>
    <row r="32" spans="1:35" s="83" customFormat="1" x14ac:dyDescent="0.35">
      <c r="A32" s="33" t="s">
        <v>359</v>
      </c>
      <c r="B32" s="33" t="s">
        <v>360</v>
      </c>
      <c r="C32" s="366">
        <f>0.426/3*2.4</f>
        <v>0.34079999999999994</v>
      </c>
      <c r="D32" s="367">
        <f t="shared" si="7"/>
        <v>0.34079999999999994</v>
      </c>
      <c r="E32" s="368">
        <f t="shared" si="7"/>
        <v>0.34079999999999994</v>
      </c>
      <c r="F32" s="368">
        <f t="shared" si="7"/>
        <v>0.34079999999999994</v>
      </c>
      <c r="G32" s="368">
        <f t="shared" si="7"/>
        <v>0.34079999999999994</v>
      </c>
      <c r="H32" s="368">
        <f t="shared" si="7"/>
        <v>0.34079999999999994</v>
      </c>
      <c r="I32" s="368">
        <f t="shared" si="7"/>
        <v>0.34079999999999994</v>
      </c>
      <c r="J32" s="369"/>
      <c r="K32" s="33" t="s">
        <v>318</v>
      </c>
      <c r="L32" s="33" t="s">
        <v>319</v>
      </c>
      <c r="M32" s="33" t="s">
        <v>320</v>
      </c>
      <c r="N32" s="33">
        <v>0</v>
      </c>
      <c r="O32" s="33" t="s">
        <v>29</v>
      </c>
      <c r="P32" s="41" t="s">
        <v>29</v>
      </c>
      <c r="Q32" s="41" t="s">
        <v>29</v>
      </c>
      <c r="R32" s="79"/>
      <c r="U32" s="326"/>
    </row>
    <row r="33" spans="1:35" s="83" customFormat="1" x14ac:dyDescent="0.35">
      <c r="A33" s="14" t="s">
        <v>361</v>
      </c>
      <c r="B33" s="14" t="s">
        <v>362</v>
      </c>
      <c r="C33" s="366">
        <f>0.183/3*2.4</f>
        <v>0.1464</v>
      </c>
      <c r="D33" s="370">
        <f t="shared" si="7"/>
        <v>0.1464</v>
      </c>
      <c r="E33" s="371">
        <f t="shared" si="7"/>
        <v>0.1464</v>
      </c>
      <c r="F33" s="371">
        <f t="shared" si="7"/>
        <v>0.1464</v>
      </c>
      <c r="G33" s="371">
        <f t="shared" si="7"/>
        <v>0.1464</v>
      </c>
      <c r="H33" s="371">
        <f t="shared" si="7"/>
        <v>0.1464</v>
      </c>
      <c r="I33" s="371">
        <f t="shared" si="7"/>
        <v>0.1464</v>
      </c>
      <c r="J33" s="372"/>
      <c r="K33" s="14" t="s">
        <v>318</v>
      </c>
      <c r="L33" s="14" t="s">
        <v>319</v>
      </c>
      <c r="M33" s="14" t="s">
        <v>320</v>
      </c>
      <c r="N33" s="14">
        <v>0</v>
      </c>
      <c r="O33" s="14" t="s">
        <v>29</v>
      </c>
      <c r="P33" s="42" t="s">
        <v>29</v>
      </c>
      <c r="Q33" s="42" t="s">
        <v>29</v>
      </c>
      <c r="R33" s="80"/>
      <c r="U33" s="326"/>
    </row>
    <row r="34" spans="1:35" s="83" customFormat="1" x14ac:dyDescent="0.35">
      <c r="A34" s="33" t="s">
        <v>363</v>
      </c>
      <c r="B34" s="33" t="s">
        <v>364</v>
      </c>
      <c r="C34" s="369">
        <v>1</v>
      </c>
      <c r="D34" s="367">
        <f t="shared" si="7"/>
        <v>1</v>
      </c>
      <c r="E34" s="368">
        <f t="shared" si="7"/>
        <v>1</v>
      </c>
      <c r="F34" s="368">
        <f t="shared" si="7"/>
        <v>1</v>
      </c>
      <c r="G34" s="368">
        <f t="shared" si="7"/>
        <v>1</v>
      </c>
      <c r="H34" s="368">
        <f t="shared" si="7"/>
        <v>1</v>
      </c>
      <c r="I34" s="368">
        <f t="shared" si="7"/>
        <v>1</v>
      </c>
      <c r="J34" s="369"/>
      <c r="K34" s="33" t="s">
        <v>318</v>
      </c>
      <c r="L34" s="33" t="s">
        <v>319</v>
      </c>
      <c r="M34" s="33" t="s">
        <v>320</v>
      </c>
      <c r="N34" s="33">
        <v>0</v>
      </c>
      <c r="O34" s="33" t="s">
        <v>29</v>
      </c>
      <c r="P34" s="41" t="s">
        <v>29</v>
      </c>
      <c r="Q34" s="41" t="s">
        <v>29</v>
      </c>
      <c r="R34" s="79"/>
      <c r="T34" s="326"/>
      <c r="U34" s="326"/>
      <c r="V34" s="326"/>
      <c r="W34" s="326"/>
      <c r="X34" s="326"/>
      <c r="Y34" s="326"/>
      <c r="Z34" s="326"/>
      <c r="AA34" s="326"/>
      <c r="AB34" s="326"/>
      <c r="AC34" s="326"/>
      <c r="AD34" s="326"/>
      <c r="AE34" s="326"/>
      <c r="AF34" s="326"/>
      <c r="AG34" s="326"/>
      <c r="AH34" s="326"/>
      <c r="AI34" s="326"/>
    </row>
    <row r="35" spans="1:35" s="83" customFormat="1" x14ac:dyDescent="0.35">
      <c r="A35" s="33" t="s">
        <v>365</v>
      </c>
      <c r="B35" s="33" t="s">
        <v>366</v>
      </c>
      <c r="C35" s="369">
        <v>1</v>
      </c>
      <c r="D35" s="367">
        <f t="shared" ref="D35:I43" si="8">(C35)*(1+$T$2)^(D$8-C$8)</f>
        <v>1</v>
      </c>
      <c r="E35" s="367">
        <f t="shared" si="8"/>
        <v>1</v>
      </c>
      <c r="F35" s="367">
        <f t="shared" si="8"/>
        <v>1</v>
      </c>
      <c r="G35" s="367">
        <f t="shared" si="8"/>
        <v>1</v>
      </c>
      <c r="H35" s="367">
        <f t="shared" si="8"/>
        <v>1</v>
      </c>
      <c r="I35" s="367">
        <f t="shared" si="8"/>
        <v>1</v>
      </c>
      <c r="J35" s="369"/>
      <c r="K35" s="33" t="s">
        <v>318</v>
      </c>
      <c r="L35" s="33" t="s">
        <v>319</v>
      </c>
      <c r="M35" s="33" t="s">
        <v>320</v>
      </c>
      <c r="N35" s="33">
        <v>0</v>
      </c>
      <c r="O35" s="33" t="s">
        <v>29</v>
      </c>
      <c r="P35" s="41" t="s">
        <v>29</v>
      </c>
      <c r="Q35" s="41" t="s">
        <v>29</v>
      </c>
      <c r="R35" s="79"/>
      <c r="T35" s="326"/>
      <c r="U35" s="326"/>
      <c r="V35" s="326"/>
      <c r="W35" s="326"/>
      <c r="X35" s="326"/>
      <c r="Y35" s="326"/>
      <c r="Z35" s="326"/>
      <c r="AA35" s="326"/>
      <c r="AB35" s="326"/>
      <c r="AC35" s="326"/>
      <c r="AD35" s="326"/>
      <c r="AE35" s="326"/>
      <c r="AF35" s="326"/>
      <c r="AG35" s="326"/>
      <c r="AH35" s="326"/>
      <c r="AI35" s="326"/>
    </row>
    <row r="36" spans="1:35" s="83" customFormat="1" x14ac:dyDescent="0.35">
      <c r="A36" s="14" t="s">
        <v>367</v>
      </c>
      <c r="B36" s="14" t="s">
        <v>368</v>
      </c>
      <c r="C36" s="372">
        <v>0.92</v>
      </c>
      <c r="D36" s="370">
        <f t="shared" si="8"/>
        <v>0.92</v>
      </c>
      <c r="E36" s="371">
        <f t="shared" si="8"/>
        <v>0.92</v>
      </c>
      <c r="F36" s="371">
        <f t="shared" si="8"/>
        <v>0.92</v>
      </c>
      <c r="G36" s="371">
        <f t="shared" si="8"/>
        <v>0.92</v>
      </c>
      <c r="H36" s="371">
        <f t="shared" si="8"/>
        <v>0.92</v>
      </c>
      <c r="I36" s="371">
        <f t="shared" si="8"/>
        <v>0.92</v>
      </c>
      <c r="J36" s="372"/>
      <c r="K36" s="14" t="s">
        <v>318</v>
      </c>
      <c r="L36" s="14" t="s">
        <v>319</v>
      </c>
      <c r="M36" s="14" t="s">
        <v>320</v>
      </c>
      <c r="N36" s="14">
        <v>0</v>
      </c>
      <c r="O36" s="14" t="s">
        <v>29</v>
      </c>
      <c r="P36" s="42" t="s">
        <v>29</v>
      </c>
      <c r="Q36" s="42" t="s">
        <v>29</v>
      </c>
      <c r="R36" s="80"/>
      <c r="T36" s="326"/>
      <c r="U36" s="326"/>
      <c r="V36" s="326"/>
      <c r="W36" s="326"/>
      <c r="X36" s="326"/>
      <c r="Y36" s="326"/>
      <c r="Z36" s="326"/>
      <c r="AA36" s="326"/>
      <c r="AB36" s="326"/>
      <c r="AC36" s="326"/>
      <c r="AD36" s="326"/>
      <c r="AE36" s="326"/>
      <c r="AF36" s="326"/>
      <c r="AG36" s="326"/>
      <c r="AH36" s="326"/>
      <c r="AI36" s="326"/>
    </row>
    <row r="37" spans="1:35" s="83" customFormat="1" x14ac:dyDescent="0.35">
      <c r="A37" s="33" t="s">
        <v>369</v>
      </c>
      <c r="B37" s="33" t="s">
        <v>370</v>
      </c>
      <c r="C37" s="366">
        <f>(2.39+2.94)/2</f>
        <v>2.665</v>
      </c>
      <c r="D37" s="367">
        <f t="shared" si="8"/>
        <v>2.665</v>
      </c>
      <c r="E37" s="368">
        <f t="shared" si="8"/>
        <v>2.665</v>
      </c>
      <c r="F37" s="368">
        <f t="shared" si="8"/>
        <v>2.665</v>
      </c>
      <c r="G37" s="368">
        <f t="shared" si="8"/>
        <v>2.665</v>
      </c>
      <c r="H37" s="368">
        <f t="shared" si="8"/>
        <v>2.665</v>
      </c>
      <c r="I37" s="368">
        <f t="shared" si="8"/>
        <v>2.665</v>
      </c>
      <c r="J37" s="369"/>
      <c r="K37" s="33" t="s">
        <v>318</v>
      </c>
      <c r="L37" s="33" t="s">
        <v>319</v>
      </c>
      <c r="M37" s="33" t="s">
        <v>320</v>
      </c>
      <c r="N37" s="33">
        <v>0</v>
      </c>
      <c r="O37" s="33" t="s">
        <v>29</v>
      </c>
      <c r="P37" s="41" t="s">
        <v>29</v>
      </c>
      <c r="Q37" s="41" t="s">
        <v>29</v>
      </c>
      <c r="R37" s="79"/>
      <c r="T37" s="326"/>
      <c r="U37" s="326"/>
      <c r="V37" s="326"/>
      <c r="W37" s="326"/>
      <c r="X37" s="326"/>
      <c r="Y37" s="326"/>
      <c r="Z37" s="326"/>
      <c r="AA37" s="326"/>
      <c r="AB37" s="326"/>
      <c r="AC37" s="326"/>
      <c r="AD37" s="326"/>
      <c r="AE37" s="326"/>
      <c r="AF37" s="326"/>
      <c r="AG37" s="326"/>
      <c r="AH37" s="326"/>
      <c r="AI37" s="326"/>
    </row>
    <row r="38" spans="1:35" s="83" customFormat="1" x14ac:dyDescent="0.35">
      <c r="A38" s="14" t="s">
        <v>371</v>
      </c>
      <c r="B38" s="14" t="s">
        <v>372</v>
      </c>
      <c r="C38" s="372">
        <v>1.0149999999999999</v>
      </c>
      <c r="D38" s="370">
        <f t="shared" si="8"/>
        <v>1.0149999999999999</v>
      </c>
      <c r="E38" s="370">
        <f t="shared" si="8"/>
        <v>1.0149999999999999</v>
      </c>
      <c r="F38" s="370">
        <f t="shared" si="8"/>
        <v>1.0149999999999999</v>
      </c>
      <c r="G38" s="370">
        <f t="shared" si="8"/>
        <v>1.0149999999999999</v>
      </c>
      <c r="H38" s="370">
        <f t="shared" si="8"/>
        <v>1.0149999999999999</v>
      </c>
      <c r="I38" s="371">
        <f t="shared" si="8"/>
        <v>1.0149999999999999</v>
      </c>
      <c r="J38" s="372"/>
      <c r="K38" s="14" t="s">
        <v>318</v>
      </c>
      <c r="L38" s="14" t="s">
        <v>319</v>
      </c>
      <c r="M38" s="14" t="s">
        <v>320</v>
      </c>
      <c r="N38" s="14">
        <v>0</v>
      </c>
      <c r="O38" s="14" t="s">
        <v>29</v>
      </c>
      <c r="P38" s="42" t="s">
        <v>29</v>
      </c>
      <c r="Q38" s="42" t="s">
        <v>29</v>
      </c>
      <c r="R38" s="80"/>
      <c r="T38" s="326"/>
      <c r="U38" s="326"/>
      <c r="V38" s="326"/>
      <c r="W38" s="326"/>
      <c r="X38" s="326"/>
      <c r="Y38" s="326"/>
      <c r="Z38" s="326"/>
      <c r="AA38" s="326"/>
      <c r="AB38" s="326"/>
      <c r="AC38" s="326"/>
      <c r="AD38" s="326"/>
      <c r="AE38" s="326"/>
      <c r="AF38" s="326"/>
      <c r="AG38" s="326"/>
      <c r="AH38" s="326"/>
      <c r="AI38" s="326"/>
    </row>
    <row r="39" spans="1:35" s="83" customFormat="1" x14ac:dyDescent="0.35">
      <c r="A39" s="33" t="s">
        <v>373</v>
      </c>
      <c r="B39" s="33" t="s">
        <v>374</v>
      </c>
      <c r="C39" s="369">
        <v>1.855</v>
      </c>
      <c r="D39" s="367">
        <f t="shared" si="8"/>
        <v>1.855</v>
      </c>
      <c r="E39" s="368">
        <f t="shared" si="8"/>
        <v>1.855</v>
      </c>
      <c r="F39" s="368">
        <f t="shared" si="8"/>
        <v>1.855</v>
      </c>
      <c r="G39" s="368">
        <f t="shared" si="8"/>
        <v>1.855</v>
      </c>
      <c r="H39" s="368">
        <f t="shared" si="8"/>
        <v>1.855</v>
      </c>
      <c r="I39" s="368">
        <f t="shared" si="8"/>
        <v>1.855</v>
      </c>
      <c r="J39" s="369"/>
      <c r="K39" s="33" t="s">
        <v>318</v>
      </c>
      <c r="L39" s="33" t="s">
        <v>319</v>
      </c>
      <c r="M39" s="33" t="s">
        <v>320</v>
      </c>
      <c r="N39" s="33">
        <v>0</v>
      </c>
      <c r="O39" s="33" t="s">
        <v>29</v>
      </c>
      <c r="P39" s="41" t="s">
        <v>29</v>
      </c>
      <c r="Q39" s="41" t="s">
        <v>29</v>
      </c>
      <c r="R39" s="79"/>
      <c r="T39" s="326"/>
      <c r="U39" s="326"/>
      <c r="V39" s="326"/>
      <c r="W39" s="326"/>
      <c r="X39" s="326"/>
      <c r="Y39" s="326"/>
      <c r="Z39" s="326"/>
      <c r="AA39" s="326"/>
      <c r="AB39" s="326"/>
      <c r="AC39" s="326"/>
      <c r="AD39" s="326"/>
      <c r="AE39" s="326"/>
      <c r="AF39" s="326"/>
      <c r="AG39" s="326"/>
      <c r="AH39" s="326"/>
      <c r="AI39" s="326"/>
    </row>
    <row r="40" spans="1:35" s="83" customFormat="1" x14ac:dyDescent="0.35">
      <c r="A40" s="14" t="s">
        <v>375</v>
      </c>
      <c r="B40" s="14" t="s">
        <v>366</v>
      </c>
      <c r="C40" s="372">
        <v>1</v>
      </c>
      <c r="D40" s="370">
        <f t="shared" si="8"/>
        <v>1</v>
      </c>
      <c r="E40" s="371">
        <f t="shared" si="8"/>
        <v>1</v>
      </c>
      <c r="F40" s="371">
        <f t="shared" si="8"/>
        <v>1</v>
      </c>
      <c r="G40" s="371">
        <f t="shared" si="8"/>
        <v>1</v>
      </c>
      <c r="H40" s="371">
        <f t="shared" si="8"/>
        <v>1</v>
      </c>
      <c r="I40" s="371">
        <f t="shared" si="8"/>
        <v>1</v>
      </c>
      <c r="J40" s="372"/>
      <c r="K40" s="14" t="s">
        <v>318</v>
      </c>
      <c r="L40" s="14" t="s">
        <v>319</v>
      </c>
      <c r="M40" s="14" t="s">
        <v>320</v>
      </c>
      <c r="N40" s="14">
        <v>0</v>
      </c>
      <c r="O40" s="14" t="s">
        <v>29</v>
      </c>
      <c r="P40" s="42" t="s">
        <v>29</v>
      </c>
      <c r="Q40" s="42" t="s">
        <v>29</v>
      </c>
      <c r="R40" s="80"/>
      <c r="T40" s="326"/>
      <c r="U40" s="326"/>
      <c r="V40" s="326"/>
      <c r="W40" s="326"/>
      <c r="X40" s="326"/>
      <c r="Y40" s="326"/>
      <c r="Z40" s="326"/>
      <c r="AA40" s="326"/>
      <c r="AB40" s="326"/>
      <c r="AC40" s="326"/>
      <c r="AD40" s="326"/>
      <c r="AE40" s="326"/>
      <c r="AF40" s="326"/>
      <c r="AG40" s="326"/>
      <c r="AH40" s="326"/>
      <c r="AI40" s="326"/>
    </row>
    <row r="41" spans="1:35" s="83" customFormat="1" x14ac:dyDescent="0.35">
      <c r="A41" s="14" t="s">
        <v>376</v>
      </c>
      <c r="B41" s="14" t="s">
        <v>366</v>
      </c>
      <c r="C41" s="372">
        <v>1</v>
      </c>
      <c r="D41" s="370">
        <f t="shared" si="8"/>
        <v>1</v>
      </c>
      <c r="E41" s="370">
        <f t="shared" si="8"/>
        <v>1</v>
      </c>
      <c r="F41" s="370">
        <f t="shared" si="8"/>
        <v>1</v>
      </c>
      <c r="G41" s="370">
        <f t="shared" si="8"/>
        <v>1</v>
      </c>
      <c r="H41" s="370">
        <f t="shared" si="8"/>
        <v>1</v>
      </c>
      <c r="I41" s="371">
        <f t="shared" si="8"/>
        <v>1</v>
      </c>
      <c r="J41" s="372"/>
      <c r="K41" s="14" t="s">
        <v>318</v>
      </c>
      <c r="L41" s="14" t="s">
        <v>319</v>
      </c>
      <c r="M41" s="14" t="s">
        <v>320</v>
      </c>
      <c r="N41" s="14">
        <v>0</v>
      </c>
      <c r="O41" s="14" t="s">
        <v>29</v>
      </c>
      <c r="P41" s="42" t="s">
        <v>29</v>
      </c>
      <c r="Q41" s="42" t="s">
        <v>29</v>
      </c>
      <c r="R41" s="80"/>
      <c r="T41" s="326"/>
      <c r="U41" s="326"/>
      <c r="V41" s="326"/>
      <c r="W41" s="326"/>
      <c r="X41" s="326"/>
      <c r="Y41" s="326"/>
      <c r="Z41" s="326"/>
      <c r="AA41" s="326"/>
      <c r="AB41" s="326"/>
      <c r="AC41" s="326"/>
      <c r="AD41" s="326"/>
      <c r="AE41" s="326"/>
      <c r="AF41" s="326"/>
      <c r="AG41" s="326"/>
      <c r="AH41" s="326"/>
      <c r="AI41" s="326"/>
    </row>
    <row r="42" spans="1:35" s="83" customFormat="1" x14ac:dyDescent="0.35">
      <c r="A42" s="33" t="s">
        <v>377</v>
      </c>
      <c r="B42" s="33" t="s">
        <v>366</v>
      </c>
      <c r="C42" s="369">
        <v>1</v>
      </c>
      <c r="D42" s="367">
        <f t="shared" si="8"/>
        <v>1</v>
      </c>
      <c r="E42" s="367">
        <f t="shared" si="8"/>
        <v>1</v>
      </c>
      <c r="F42" s="367">
        <f t="shared" si="8"/>
        <v>1</v>
      </c>
      <c r="G42" s="367">
        <f t="shared" si="8"/>
        <v>1</v>
      </c>
      <c r="H42" s="367">
        <f t="shared" si="8"/>
        <v>1</v>
      </c>
      <c r="I42" s="368">
        <f t="shared" si="8"/>
        <v>1</v>
      </c>
      <c r="J42" s="369"/>
      <c r="K42" s="33" t="s">
        <v>318</v>
      </c>
      <c r="L42" s="33" t="s">
        <v>319</v>
      </c>
      <c r="M42" s="33" t="s">
        <v>320</v>
      </c>
      <c r="N42" s="33">
        <v>0</v>
      </c>
      <c r="O42" s="33" t="s">
        <v>29</v>
      </c>
      <c r="P42" s="41" t="s">
        <v>29</v>
      </c>
      <c r="Q42" s="41" t="s">
        <v>29</v>
      </c>
      <c r="R42" s="79"/>
      <c r="T42" s="326"/>
      <c r="U42" s="326"/>
      <c r="V42" s="326"/>
      <c r="W42" s="326"/>
      <c r="X42" s="326"/>
      <c r="Y42" s="326"/>
      <c r="Z42" s="326"/>
      <c r="AA42" s="326"/>
      <c r="AB42" s="326"/>
      <c r="AC42" s="326"/>
      <c r="AD42" s="326"/>
      <c r="AE42" s="326"/>
      <c r="AF42" s="326"/>
      <c r="AG42" s="326"/>
      <c r="AH42" s="326"/>
      <c r="AI42" s="326"/>
    </row>
    <row r="43" spans="1:35" s="83" customFormat="1" x14ac:dyDescent="0.35">
      <c r="A43" s="14" t="s">
        <v>378</v>
      </c>
      <c r="B43" s="14" t="s">
        <v>317</v>
      </c>
      <c r="C43" s="372">
        <v>25.4</v>
      </c>
      <c r="D43" s="370">
        <f t="shared" si="8"/>
        <v>25.4</v>
      </c>
      <c r="E43" s="371">
        <f t="shared" si="8"/>
        <v>25.4</v>
      </c>
      <c r="F43" s="371">
        <f t="shared" si="8"/>
        <v>25.4</v>
      </c>
      <c r="G43" s="370">
        <f t="shared" si="8"/>
        <v>25.4</v>
      </c>
      <c r="H43" s="371">
        <f t="shared" si="8"/>
        <v>25.4</v>
      </c>
      <c r="I43" s="371">
        <f t="shared" si="8"/>
        <v>25.4</v>
      </c>
      <c r="J43" s="372"/>
      <c r="K43" s="14" t="s">
        <v>318</v>
      </c>
      <c r="L43" s="14" t="s">
        <v>319</v>
      </c>
      <c r="M43" s="14" t="s">
        <v>320</v>
      </c>
      <c r="N43" s="14">
        <v>0</v>
      </c>
      <c r="O43" s="14" t="s">
        <v>29</v>
      </c>
      <c r="P43" s="42" t="s">
        <v>29</v>
      </c>
      <c r="Q43" s="42" t="s">
        <v>29</v>
      </c>
      <c r="R43" s="80"/>
      <c r="T43" s="326"/>
      <c r="U43" s="326"/>
      <c r="V43" s="326"/>
      <c r="W43" s="326"/>
      <c r="X43" s="326"/>
      <c r="Y43" s="326"/>
      <c r="Z43" s="326"/>
      <c r="AA43" s="326"/>
      <c r="AB43" s="326"/>
      <c r="AC43" s="326"/>
      <c r="AD43" s="326"/>
      <c r="AE43" s="326"/>
      <c r="AF43" s="326"/>
      <c r="AG43" s="326"/>
      <c r="AH43" s="326"/>
      <c r="AI43" s="326"/>
    </row>
    <row r="44" spans="1:35" s="83" customFormat="1" x14ac:dyDescent="0.35">
      <c r="A44" s="33" t="s">
        <v>379</v>
      </c>
      <c r="B44" s="33" t="s">
        <v>380</v>
      </c>
      <c r="C44" s="211">
        <v>8.34</v>
      </c>
      <c r="D44" s="367">
        <f>C44</f>
        <v>8.34</v>
      </c>
      <c r="E44" s="367">
        <f t="shared" ref="E44:I44" si="9">D44</f>
        <v>8.34</v>
      </c>
      <c r="F44" s="367">
        <f t="shared" si="9"/>
        <v>8.34</v>
      </c>
      <c r="G44" s="367">
        <f t="shared" si="9"/>
        <v>8.34</v>
      </c>
      <c r="H44" s="367">
        <f t="shared" si="9"/>
        <v>8.34</v>
      </c>
      <c r="I44" s="368">
        <f t="shared" si="9"/>
        <v>8.34</v>
      </c>
      <c r="J44" s="369"/>
      <c r="K44" s="33" t="s">
        <v>318</v>
      </c>
      <c r="L44" s="33" t="s">
        <v>319</v>
      </c>
      <c r="M44" s="33" t="s">
        <v>320</v>
      </c>
      <c r="N44" s="33">
        <v>0</v>
      </c>
      <c r="O44" s="33" t="s">
        <v>29</v>
      </c>
      <c r="P44" s="41" t="s">
        <v>29</v>
      </c>
      <c r="Q44" s="41" t="s">
        <v>29</v>
      </c>
      <c r="R44" s="79"/>
      <c r="T44" s="326"/>
      <c r="U44" s="326"/>
      <c r="V44" s="326"/>
      <c r="W44" s="326"/>
      <c r="X44" s="326"/>
      <c r="Y44" s="326"/>
      <c r="Z44" s="326"/>
      <c r="AA44" s="326"/>
      <c r="AB44" s="326"/>
      <c r="AC44" s="326"/>
      <c r="AD44" s="326"/>
      <c r="AE44" s="326"/>
      <c r="AF44" s="326"/>
      <c r="AG44" s="326"/>
      <c r="AH44" s="326"/>
      <c r="AI44" s="326"/>
    </row>
    <row r="45" spans="1:35" s="83" customFormat="1" x14ac:dyDescent="0.35">
      <c r="A45" s="14" t="s">
        <v>381</v>
      </c>
      <c r="B45" s="14" t="s">
        <v>382</v>
      </c>
      <c r="C45" s="366">
        <f>5.1*1.035</f>
        <v>5.2784999999999993</v>
      </c>
      <c r="D45" s="371">
        <f>(D$4/C$4)*C45</f>
        <v>5.5056645537237063</v>
      </c>
      <c r="E45" s="371">
        <f t="shared" ref="E45:I45" si="10">(E$4/D$4)*D45</f>
        <v>5.628699516770892</v>
      </c>
      <c r="F45" s="371">
        <f t="shared" si="10"/>
        <v>5.6947182774303577</v>
      </c>
      <c r="G45" s="371">
        <f t="shared" si="10"/>
        <v>5.7205256111426941</v>
      </c>
      <c r="H45" s="371">
        <f t="shared" si="10"/>
        <v>5.7142238203524736</v>
      </c>
      <c r="I45" s="371">
        <f t="shared" si="10"/>
        <v>5.6890166571915861</v>
      </c>
      <c r="J45" s="372"/>
      <c r="K45" s="14" t="s">
        <v>318</v>
      </c>
      <c r="L45" s="14" t="s">
        <v>319</v>
      </c>
      <c r="M45" s="14" t="s">
        <v>320</v>
      </c>
      <c r="N45" s="14">
        <v>0</v>
      </c>
      <c r="O45" s="14" t="s">
        <v>29</v>
      </c>
      <c r="P45" s="42" t="s">
        <v>29</v>
      </c>
      <c r="Q45" s="42" t="s">
        <v>29</v>
      </c>
      <c r="R45" s="80"/>
      <c r="T45" s="326">
        <f>SUM(C45:C48,SUM(C49:C51)/10^3)</f>
        <v>135.26249999999999</v>
      </c>
      <c r="U45" s="326">
        <f t="shared" ref="U45:Z45" si="11">SUM(D45:D48,SUM(D49:D51)/10^3)</f>
        <v>141.08363203524732</v>
      </c>
      <c r="V45" s="326">
        <f t="shared" si="11"/>
        <v>144.23642481523592</v>
      </c>
      <c r="W45" s="326">
        <f t="shared" si="11"/>
        <v>145.92816728254689</v>
      </c>
      <c r="X45" s="326">
        <f t="shared" si="11"/>
        <v>146.58948479249574</v>
      </c>
      <c r="Y45" s="326">
        <f t="shared" si="11"/>
        <v>146.42800028425242</v>
      </c>
      <c r="Z45" s="326">
        <f t="shared" si="11"/>
        <v>145.78206225127914</v>
      </c>
      <c r="AA45" s="326"/>
      <c r="AB45" s="326"/>
      <c r="AC45" s="326"/>
      <c r="AD45" s="326"/>
      <c r="AE45" s="326"/>
      <c r="AF45" s="326"/>
      <c r="AG45" s="326"/>
      <c r="AH45" s="326"/>
      <c r="AI45" s="326"/>
    </row>
    <row r="46" spans="1:35" s="83" customFormat="1" x14ac:dyDescent="0.35">
      <c r="A46" s="33" t="s">
        <v>383</v>
      </c>
      <c r="B46" s="33" t="s">
        <v>382</v>
      </c>
      <c r="C46" s="366">
        <v>102.7</v>
      </c>
      <c r="D46" s="367">
        <f t="shared" ref="D46:I52" si="12">(D$4/C$4)*C46</f>
        <v>107.11977828311541</v>
      </c>
      <c r="E46" s="368">
        <f t="shared" si="12"/>
        <v>109.51358158044344</v>
      </c>
      <c r="F46" s="368">
        <f t="shared" si="12"/>
        <v>110.7980613985219</v>
      </c>
      <c r="G46" s="368">
        <f t="shared" si="12"/>
        <v>111.30017623649802</v>
      </c>
      <c r="H46" s="368">
        <f t="shared" si="12"/>
        <v>111.17756679931782</v>
      </c>
      <c r="I46" s="368">
        <f t="shared" si="12"/>
        <v>110.68712905059694</v>
      </c>
      <c r="J46" s="369"/>
      <c r="K46" s="33" t="s">
        <v>318</v>
      </c>
      <c r="L46" s="33" t="s">
        <v>319</v>
      </c>
      <c r="M46" s="33" t="s">
        <v>320</v>
      </c>
      <c r="N46" s="33">
        <v>0</v>
      </c>
      <c r="O46" s="33" t="s">
        <v>29</v>
      </c>
      <c r="P46" s="41" t="s">
        <v>29</v>
      </c>
      <c r="Q46" s="41" t="s">
        <v>29</v>
      </c>
      <c r="R46" s="79"/>
      <c r="T46" s="326"/>
      <c r="U46" s="326"/>
      <c r="V46" s="326"/>
      <c r="W46" s="326"/>
      <c r="X46" s="326"/>
      <c r="Y46" s="326"/>
      <c r="Z46" s="326"/>
      <c r="AA46" s="326"/>
      <c r="AB46" s="326"/>
      <c r="AC46" s="326"/>
      <c r="AD46" s="326"/>
      <c r="AE46" s="326"/>
      <c r="AF46" s="326"/>
      <c r="AG46" s="326"/>
      <c r="AH46" s="326"/>
      <c r="AI46" s="326"/>
    </row>
    <row r="47" spans="1:35" s="83" customFormat="1" x14ac:dyDescent="0.35">
      <c r="A47" s="14" t="s">
        <v>384</v>
      </c>
      <c r="B47" s="14" t="s">
        <v>382</v>
      </c>
      <c r="C47" s="366">
        <v>18.940000000000001</v>
      </c>
      <c r="D47" s="370">
        <f t="shared" si="12"/>
        <v>19.755098351335988</v>
      </c>
      <c r="E47" s="371">
        <f t="shared" si="12"/>
        <v>20.196565093803301</v>
      </c>
      <c r="F47" s="371">
        <f t="shared" si="12"/>
        <v>20.433449687322348</v>
      </c>
      <c r="G47" s="371">
        <f t="shared" si="12"/>
        <v>20.526050028425246</v>
      </c>
      <c r="H47" s="371">
        <f t="shared" si="12"/>
        <v>20.503438317225704</v>
      </c>
      <c r="I47" s="371">
        <f t="shared" si="12"/>
        <v>20.412991472427521</v>
      </c>
      <c r="J47" s="372"/>
      <c r="K47" s="14" t="s">
        <v>318</v>
      </c>
      <c r="L47" s="14" t="s">
        <v>319</v>
      </c>
      <c r="M47" s="14" t="s">
        <v>320</v>
      </c>
      <c r="N47" s="14">
        <v>0</v>
      </c>
      <c r="O47" s="14" t="s">
        <v>29</v>
      </c>
      <c r="P47" s="42" t="s">
        <v>29</v>
      </c>
      <c r="Q47" s="42" t="s">
        <v>29</v>
      </c>
      <c r="R47" s="80"/>
      <c r="T47" s="326"/>
      <c r="U47" s="326"/>
      <c r="V47" s="326"/>
      <c r="W47" s="326"/>
      <c r="X47" s="326"/>
      <c r="Y47" s="326"/>
      <c r="Z47" s="326"/>
      <c r="AA47" s="326"/>
      <c r="AB47" s="326"/>
      <c r="AC47" s="326"/>
      <c r="AD47" s="326"/>
      <c r="AE47" s="326"/>
      <c r="AF47" s="326"/>
      <c r="AG47" s="326"/>
      <c r="AH47" s="326"/>
      <c r="AI47" s="326"/>
    </row>
    <row r="48" spans="1:35" s="83" customFormat="1" x14ac:dyDescent="0.35">
      <c r="A48" s="33" t="s">
        <v>385</v>
      </c>
      <c r="B48" s="33" t="s">
        <v>382</v>
      </c>
      <c r="C48" s="366">
        <f>2.034+5.595</f>
        <v>7.6289999999999996</v>
      </c>
      <c r="D48" s="367">
        <f t="shared" si="12"/>
        <v>7.9573202387720299</v>
      </c>
      <c r="E48" s="368">
        <f t="shared" si="12"/>
        <v>8.1351422967595237</v>
      </c>
      <c r="F48" s="368">
        <f t="shared" si="12"/>
        <v>8.2305590108015938</v>
      </c>
      <c r="G48" s="368">
        <f t="shared" si="12"/>
        <v>8.2678582717453111</v>
      </c>
      <c r="H48" s="368">
        <f t="shared" si="12"/>
        <v>8.2587503126776607</v>
      </c>
      <c r="I48" s="368">
        <f t="shared" si="12"/>
        <v>8.2223184764070503</v>
      </c>
      <c r="J48" s="369"/>
      <c r="K48" s="33" t="s">
        <v>318</v>
      </c>
      <c r="L48" s="33" t="s">
        <v>319</v>
      </c>
      <c r="M48" s="33" t="s">
        <v>320</v>
      </c>
      <c r="N48" s="33">
        <v>0</v>
      </c>
      <c r="O48" s="33" t="s">
        <v>29</v>
      </c>
      <c r="P48" s="41" t="s">
        <v>29</v>
      </c>
      <c r="Q48" s="41" t="s">
        <v>29</v>
      </c>
      <c r="R48" s="79"/>
      <c r="T48" s="326"/>
      <c r="U48" s="326"/>
      <c r="V48" s="326"/>
      <c r="W48" s="326"/>
      <c r="X48" s="326"/>
      <c r="Y48" s="326"/>
      <c r="Z48" s="326"/>
      <c r="AA48" s="326"/>
      <c r="AB48" s="326"/>
      <c r="AC48" s="326"/>
      <c r="AD48" s="326"/>
      <c r="AE48" s="326"/>
      <c r="AF48" s="326"/>
      <c r="AG48" s="326"/>
      <c r="AH48" s="326"/>
      <c r="AI48" s="326"/>
    </row>
    <row r="49" spans="1:35" s="83" customFormat="1" x14ac:dyDescent="0.35">
      <c r="A49" s="14" t="s">
        <v>386</v>
      </c>
      <c r="B49" s="14" t="s">
        <v>387</v>
      </c>
      <c r="C49" s="366">
        <v>490</v>
      </c>
      <c r="D49" s="370">
        <f t="shared" si="12"/>
        <v>511.08754974417286</v>
      </c>
      <c r="E49" s="371">
        <f t="shared" si="12"/>
        <v>522.50881182490059</v>
      </c>
      <c r="F49" s="371">
        <f t="shared" si="12"/>
        <v>528.63729391699837</v>
      </c>
      <c r="G49" s="371">
        <f t="shared" si="12"/>
        <v>531.03297328027293</v>
      </c>
      <c r="H49" s="371">
        <f t="shared" si="12"/>
        <v>530.44798180784551</v>
      </c>
      <c r="I49" s="371">
        <f t="shared" si="12"/>
        <v>528.10801591813538</v>
      </c>
      <c r="J49" s="372"/>
      <c r="K49" s="14" t="s">
        <v>318</v>
      </c>
      <c r="L49" s="14" t="s">
        <v>319</v>
      </c>
      <c r="M49" s="14" t="s">
        <v>320</v>
      </c>
      <c r="N49" s="14">
        <v>0</v>
      </c>
      <c r="O49" s="14" t="s">
        <v>29</v>
      </c>
      <c r="P49" s="42" t="s">
        <v>29</v>
      </c>
      <c r="Q49" s="42" t="s">
        <v>29</v>
      </c>
      <c r="R49" s="80"/>
      <c r="T49" s="326"/>
      <c r="U49" s="326"/>
      <c r="V49" s="326"/>
      <c r="W49" s="326"/>
      <c r="X49" s="326"/>
      <c r="Y49" s="326"/>
      <c r="Z49" s="326"/>
      <c r="AA49" s="326"/>
      <c r="AB49" s="326"/>
      <c r="AC49" s="326"/>
      <c r="AD49" s="326"/>
      <c r="AE49" s="326"/>
      <c r="AF49" s="326"/>
      <c r="AG49" s="326"/>
      <c r="AH49" s="326"/>
      <c r="AI49" s="326"/>
    </row>
    <row r="50" spans="1:35" s="83" customFormat="1" x14ac:dyDescent="0.35">
      <c r="A50" s="33" t="s">
        <v>388</v>
      </c>
      <c r="B50" s="33" t="s">
        <v>387</v>
      </c>
      <c r="C50" s="366">
        <v>170</v>
      </c>
      <c r="D50" s="371">
        <f t="shared" si="12"/>
        <v>177.31608868675386</v>
      </c>
      <c r="E50" s="371">
        <f t="shared" si="12"/>
        <v>181.27856736782266</v>
      </c>
      <c r="F50" s="371">
        <f t="shared" si="12"/>
        <v>183.40477544059129</v>
      </c>
      <c r="G50" s="371">
        <f t="shared" si="12"/>
        <v>184.23592950540083</v>
      </c>
      <c r="H50" s="371">
        <f t="shared" si="12"/>
        <v>184.03297328027296</v>
      </c>
      <c r="I50" s="371">
        <f t="shared" si="12"/>
        <v>183.22114837976127</v>
      </c>
      <c r="J50" s="369"/>
      <c r="K50" s="33" t="s">
        <v>318</v>
      </c>
      <c r="L50" s="33" t="s">
        <v>319</v>
      </c>
      <c r="M50" s="33" t="s">
        <v>320</v>
      </c>
      <c r="N50" s="33">
        <v>0</v>
      </c>
      <c r="O50" s="33" t="s">
        <v>29</v>
      </c>
      <c r="P50" s="41" t="s">
        <v>29</v>
      </c>
      <c r="Q50" s="41" t="s">
        <v>29</v>
      </c>
      <c r="R50" s="79"/>
      <c r="T50" s="326"/>
      <c r="U50" s="326"/>
      <c r="V50" s="326"/>
      <c r="W50" s="326"/>
      <c r="X50" s="326"/>
      <c r="Y50" s="326"/>
      <c r="Z50" s="326"/>
      <c r="AA50" s="326"/>
      <c r="AB50" s="326"/>
      <c r="AC50" s="326"/>
      <c r="AD50" s="326"/>
      <c r="AE50" s="326"/>
      <c r="AF50" s="326"/>
      <c r="AG50" s="326"/>
      <c r="AH50" s="326"/>
      <c r="AI50" s="326"/>
    </row>
    <row r="51" spans="1:35" s="83" customFormat="1" x14ac:dyDescent="0.35">
      <c r="A51" s="33" t="s">
        <v>389</v>
      </c>
      <c r="B51" s="33" t="s">
        <v>387</v>
      </c>
      <c r="C51" s="366">
        <v>55</v>
      </c>
      <c r="D51" s="367">
        <f t="shared" si="12"/>
        <v>57.366969869243889</v>
      </c>
      <c r="E51" s="367">
        <f t="shared" si="12"/>
        <v>58.648948266060266</v>
      </c>
      <c r="F51" s="367">
        <f t="shared" si="12"/>
        <v>59.33683911313247</v>
      </c>
      <c r="G51" s="367">
        <f t="shared" si="12"/>
        <v>59.605741898806144</v>
      </c>
      <c r="H51" s="367">
        <f t="shared" si="12"/>
        <v>59.540079590676534</v>
      </c>
      <c r="I51" s="368">
        <f t="shared" si="12"/>
        <v>59.27743035815805</v>
      </c>
      <c r="J51" s="369"/>
      <c r="K51" s="33" t="s">
        <v>318</v>
      </c>
      <c r="L51" s="33" t="s">
        <v>319</v>
      </c>
      <c r="M51" s="33" t="s">
        <v>320</v>
      </c>
      <c r="N51" s="33">
        <v>0</v>
      </c>
      <c r="O51" s="33" t="s">
        <v>29</v>
      </c>
      <c r="P51" s="41" t="s">
        <v>29</v>
      </c>
      <c r="Q51" s="41" t="s">
        <v>29</v>
      </c>
      <c r="R51" s="79"/>
      <c r="T51" s="326"/>
      <c r="U51" s="326"/>
      <c r="V51" s="326"/>
      <c r="W51" s="326"/>
      <c r="X51" s="326"/>
      <c r="Y51" s="326"/>
      <c r="Z51" s="326"/>
      <c r="AA51" s="326"/>
      <c r="AB51" s="326"/>
      <c r="AC51" s="326"/>
      <c r="AD51" s="326"/>
      <c r="AE51" s="326"/>
      <c r="AF51" s="326"/>
      <c r="AG51" s="326"/>
      <c r="AH51" s="326"/>
      <c r="AI51" s="326"/>
    </row>
    <row r="52" spans="1:35" s="83" customFormat="1" x14ac:dyDescent="0.35">
      <c r="A52" s="33" t="s">
        <v>390</v>
      </c>
      <c r="B52" s="33" t="s">
        <v>317</v>
      </c>
      <c r="C52" s="366">
        <v>0.4</v>
      </c>
      <c r="D52" s="367">
        <f t="shared" si="12"/>
        <v>0.4172143263217738</v>
      </c>
      <c r="E52" s="368">
        <f t="shared" si="12"/>
        <v>0.42653780557134741</v>
      </c>
      <c r="F52" s="368">
        <f t="shared" si="12"/>
        <v>0.43154064809550885</v>
      </c>
      <c r="G52" s="368">
        <f t="shared" si="12"/>
        <v>0.43349630471859013</v>
      </c>
      <c r="H52" s="368">
        <f t="shared" si="12"/>
        <v>0.43301876065946571</v>
      </c>
      <c r="I52" s="368">
        <f t="shared" si="12"/>
        <v>0.43110858442296762</v>
      </c>
      <c r="J52" s="369"/>
      <c r="K52" s="33" t="s">
        <v>318</v>
      </c>
      <c r="L52" s="33" t="s">
        <v>319</v>
      </c>
      <c r="M52" s="33" t="s">
        <v>320</v>
      </c>
      <c r="N52" s="33">
        <v>0</v>
      </c>
      <c r="O52" s="33" t="s">
        <v>29</v>
      </c>
      <c r="P52" s="41" t="s">
        <v>29</v>
      </c>
      <c r="Q52" s="41" t="s">
        <v>29</v>
      </c>
      <c r="R52" s="79"/>
      <c r="T52" s="326"/>
      <c r="U52" s="326"/>
      <c r="V52" s="326"/>
      <c r="W52" s="326"/>
      <c r="X52" s="326"/>
      <c r="Y52" s="326"/>
      <c r="Z52" s="326"/>
      <c r="AA52" s="326"/>
      <c r="AB52" s="326"/>
      <c r="AC52" s="326"/>
      <c r="AD52" s="326"/>
      <c r="AE52" s="326"/>
      <c r="AF52" s="326"/>
      <c r="AG52" s="326"/>
      <c r="AH52" s="326"/>
      <c r="AI52" s="326"/>
    </row>
    <row r="53" spans="1:35" s="83" customFormat="1" x14ac:dyDescent="0.35">
      <c r="A53" s="14" t="s">
        <v>391</v>
      </c>
      <c r="B53" s="14" t="s">
        <v>387</v>
      </c>
      <c r="C53" s="372">
        <v>580</v>
      </c>
      <c r="D53" s="370">
        <f t="shared" ref="D53:D73" si="13">ROUND((C53+E53)/2,2)</f>
        <v>580</v>
      </c>
      <c r="E53" s="371">
        <f t="shared" ref="E53:E54" si="14">C53</f>
        <v>580</v>
      </c>
      <c r="F53" s="371">
        <f t="shared" ref="F53:F73" si="15">ROUND((E53+G53)/2,2)</f>
        <v>580</v>
      </c>
      <c r="G53" s="371">
        <f t="shared" ref="G53:G73" si="16">ROUND((E53+I53)/2,2)</f>
        <v>580</v>
      </c>
      <c r="H53" s="371">
        <f t="shared" ref="H53:H73" si="17">ROUND((G53+I53)/2,2)</f>
        <v>580</v>
      </c>
      <c r="I53" s="371">
        <f t="shared" ref="I53:I54" si="18">E53</f>
        <v>580</v>
      </c>
      <c r="J53" s="372"/>
      <c r="K53" s="14" t="s">
        <v>318</v>
      </c>
      <c r="L53" s="14" t="s">
        <v>319</v>
      </c>
      <c r="M53" s="14" t="s">
        <v>320</v>
      </c>
      <c r="N53" s="14">
        <v>0</v>
      </c>
      <c r="O53" s="14" t="s">
        <v>29</v>
      </c>
      <c r="P53" s="42" t="s">
        <v>29</v>
      </c>
      <c r="Q53" s="42" t="s">
        <v>29</v>
      </c>
      <c r="R53" s="80"/>
      <c r="T53" s="326"/>
      <c r="U53" s="326"/>
      <c r="V53" s="326"/>
      <c r="W53" s="326"/>
      <c r="X53" s="326"/>
      <c r="Y53" s="326"/>
      <c r="Z53" s="326"/>
      <c r="AA53" s="326"/>
      <c r="AB53" s="326"/>
      <c r="AC53" s="326"/>
      <c r="AD53" s="326"/>
      <c r="AE53" s="326"/>
      <c r="AF53" s="326"/>
      <c r="AG53" s="326"/>
      <c r="AH53" s="326"/>
      <c r="AI53" s="326"/>
    </row>
    <row r="54" spans="1:35" s="83" customFormat="1" x14ac:dyDescent="0.35">
      <c r="A54" s="14" t="s">
        <v>392</v>
      </c>
      <c r="B54" s="14" t="s">
        <v>387</v>
      </c>
      <c r="C54" s="372">
        <v>110</v>
      </c>
      <c r="D54" s="371">
        <f t="shared" si="13"/>
        <v>110</v>
      </c>
      <c r="E54" s="371">
        <f t="shared" si="14"/>
        <v>110</v>
      </c>
      <c r="F54" s="371">
        <f t="shared" si="15"/>
        <v>110</v>
      </c>
      <c r="G54" s="371">
        <f t="shared" si="16"/>
        <v>110</v>
      </c>
      <c r="H54" s="371">
        <f t="shared" si="17"/>
        <v>110</v>
      </c>
      <c r="I54" s="371">
        <f t="shared" si="18"/>
        <v>110</v>
      </c>
      <c r="J54" s="372"/>
      <c r="K54" s="14" t="s">
        <v>318</v>
      </c>
      <c r="L54" s="14" t="s">
        <v>319</v>
      </c>
      <c r="M54" s="14" t="s">
        <v>320</v>
      </c>
      <c r="N54" s="14">
        <v>0</v>
      </c>
      <c r="O54" s="14" t="s">
        <v>29</v>
      </c>
      <c r="P54" s="42" t="s">
        <v>29</v>
      </c>
      <c r="Q54" s="42" t="s">
        <v>29</v>
      </c>
      <c r="R54" s="80"/>
      <c r="T54" s="326"/>
      <c r="U54" s="326"/>
      <c r="V54" s="326"/>
      <c r="W54" s="326"/>
      <c r="X54" s="326"/>
      <c r="Y54" s="326"/>
      <c r="Z54" s="326"/>
      <c r="AA54" s="326"/>
      <c r="AB54" s="326"/>
      <c r="AC54" s="326"/>
      <c r="AD54" s="326"/>
      <c r="AE54" s="326"/>
      <c r="AF54" s="326"/>
      <c r="AG54" s="326"/>
      <c r="AH54" s="326"/>
      <c r="AI54" s="326"/>
    </row>
    <row r="55" spans="1:35" s="83" customFormat="1" x14ac:dyDescent="0.35">
      <c r="A55" s="33" t="s">
        <v>393</v>
      </c>
      <c r="B55" s="33" t="s">
        <v>394</v>
      </c>
      <c r="C55" s="369">
        <v>0.4</v>
      </c>
      <c r="D55" s="369">
        <f t="shared" si="13"/>
        <v>0.35</v>
      </c>
      <c r="E55" s="369">
        <v>0.29899999999999999</v>
      </c>
      <c r="F55" s="369">
        <f t="shared" si="15"/>
        <v>0.3</v>
      </c>
      <c r="G55" s="369">
        <f>ROUND((E55+I55)/2,2)</f>
        <v>0.3</v>
      </c>
      <c r="H55" s="369">
        <f t="shared" si="17"/>
        <v>0.3</v>
      </c>
      <c r="I55" s="369">
        <v>0.30299999999999999</v>
      </c>
      <c r="J55" s="369"/>
      <c r="K55" s="33" t="s">
        <v>318</v>
      </c>
      <c r="L55" s="33" t="s">
        <v>319</v>
      </c>
      <c r="M55" s="33" t="s">
        <v>320</v>
      </c>
      <c r="N55" s="33">
        <v>0</v>
      </c>
      <c r="O55" s="33" t="s">
        <v>29</v>
      </c>
      <c r="P55" s="41" t="s">
        <v>29</v>
      </c>
      <c r="Q55" s="41" t="s">
        <v>29</v>
      </c>
      <c r="R55" s="79"/>
      <c r="T55" s="326"/>
      <c r="U55" s="326"/>
      <c r="V55" s="326"/>
      <c r="W55" s="326"/>
      <c r="X55" s="326"/>
      <c r="Y55" s="326"/>
      <c r="Z55" s="326"/>
      <c r="AA55" s="326"/>
      <c r="AB55" s="326"/>
      <c r="AC55" s="326"/>
      <c r="AD55" s="326"/>
      <c r="AE55" s="326"/>
      <c r="AF55" s="326"/>
      <c r="AG55" s="326"/>
      <c r="AH55" s="326"/>
      <c r="AI55" s="326"/>
    </row>
    <row r="56" spans="1:35" s="83" customFormat="1" x14ac:dyDescent="0.35">
      <c r="A56" s="33" t="s">
        <v>395</v>
      </c>
      <c r="B56" s="33" t="s">
        <v>394</v>
      </c>
      <c r="C56" s="369">
        <v>0.3</v>
      </c>
      <c r="D56" s="369">
        <f t="shared" si="13"/>
        <v>0.34</v>
      </c>
      <c r="E56" s="369">
        <v>0.38800000000000001</v>
      </c>
      <c r="F56" s="369">
        <f t="shared" si="15"/>
        <v>0.37</v>
      </c>
      <c r="G56" s="369">
        <f>ROUND((E56+I56)/2,2)</f>
        <v>0.35</v>
      </c>
      <c r="H56" s="369">
        <f t="shared" si="17"/>
        <v>0.34</v>
      </c>
      <c r="I56" s="369">
        <v>0.32100000000000001</v>
      </c>
      <c r="J56" s="369"/>
      <c r="K56" s="33" t="s">
        <v>318</v>
      </c>
      <c r="L56" s="33" t="s">
        <v>319</v>
      </c>
      <c r="M56" s="33" t="s">
        <v>320</v>
      </c>
      <c r="N56" s="33">
        <v>0</v>
      </c>
      <c r="O56" s="33" t="s">
        <v>29</v>
      </c>
      <c r="P56" s="41" t="s">
        <v>29</v>
      </c>
      <c r="Q56" s="41" t="s">
        <v>29</v>
      </c>
      <c r="R56" s="79"/>
      <c r="T56" s="326"/>
      <c r="U56" s="326"/>
      <c r="V56" s="326"/>
      <c r="W56" s="326"/>
      <c r="X56" s="326"/>
      <c r="Y56" s="326"/>
      <c r="Z56" s="326"/>
      <c r="AA56" s="326"/>
      <c r="AB56" s="326"/>
      <c r="AC56" s="326"/>
      <c r="AD56" s="326"/>
      <c r="AE56" s="326"/>
      <c r="AF56" s="326"/>
      <c r="AG56" s="326"/>
      <c r="AH56" s="326"/>
      <c r="AI56" s="326"/>
    </row>
    <row r="57" spans="1:35" s="83" customFormat="1" x14ac:dyDescent="0.35">
      <c r="A57" s="14" t="s">
        <v>396</v>
      </c>
      <c r="B57" s="14" t="s">
        <v>394</v>
      </c>
      <c r="C57" s="372">
        <v>0.3</v>
      </c>
      <c r="D57" s="372">
        <f t="shared" si="13"/>
        <v>0.26</v>
      </c>
      <c r="E57" s="372">
        <v>0.21299999999999999</v>
      </c>
      <c r="F57" s="372">
        <f t="shared" si="15"/>
        <v>0.2</v>
      </c>
      <c r="G57" s="372">
        <f t="shared" ref="G57" si="19">ROUND((E57+I57)/2,2)</f>
        <v>0.19</v>
      </c>
      <c r="H57" s="372">
        <f t="shared" si="17"/>
        <v>0.18</v>
      </c>
      <c r="I57" s="372">
        <v>0.16600000000000001</v>
      </c>
      <c r="J57" s="372"/>
      <c r="K57" s="14" t="s">
        <v>318</v>
      </c>
      <c r="L57" s="14" t="s">
        <v>319</v>
      </c>
      <c r="M57" s="14" t="s">
        <v>320</v>
      </c>
      <c r="N57" s="14">
        <v>0</v>
      </c>
      <c r="O57" s="14" t="s">
        <v>29</v>
      </c>
      <c r="P57" s="42" t="s">
        <v>29</v>
      </c>
      <c r="Q57" s="42" t="s">
        <v>29</v>
      </c>
      <c r="R57" s="80"/>
      <c r="T57" s="326"/>
      <c r="U57" s="326"/>
      <c r="V57" s="326"/>
      <c r="W57" s="326"/>
      <c r="X57" s="326"/>
      <c r="Y57" s="326"/>
      <c r="Z57" s="326"/>
      <c r="AA57" s="326"/>
      <c r="AB57" s="326"/>
      <c r="AC57" s="326"/>
      <c r="AD57" s="326"/>
      <c r="AE57" s="326"/>
      <c r="AF57" s="326"/>
      <c r="AG57" s="326"/>
      <c r="AH57" s="326"/>
      <c r="AI57" s="326"/>
    </row>
    <row r="58" spans="1:35" s="83" customFormat="1" x14ac:dyDescent="0.35">
      <c r="A58" s="14" t="s">
        <v>397</v>
      </c>
      <c r="B58" s="14" t="s">
        <v>394</v>
      </c>
      <c r="C58" s="372">
        <v>12.6</v>
      </c>
      <c r="D58" s="372">
        <f t="shared" si="13"/>
        <v>10.24</v>
      </c>
      <c r="E58" s="372">
        <v>7.87</v>
      </c>
      <c r="F58" s="372">
        <f t="shared" si="15"/>
        <v>7.43</v>
      </c>
      <c r="G58" s="372">
        <f>ROUND((E58+I58)/2,2)</f>
        <v>6.99</v>
      </c>
      <c r="H58" s="372">
        <f t="shared" si="17"/>
        <v>6.55</v>
      </c>
      <c r="I58" s="372">
        <v>6.11</v>
      </c>
      <c r="J58" s="372"/>
      <c r="K58" s="14" t="s">
        <v>318</v>
      </c>
      <c r="L58" s="14" t="s">
        <v>319</v>
      </c>
      <c r="M58" s="14" t="s">
        <v>320</v>
      </c>
      <c r="N58" s="14">
        <v>0</v>
      </c>
      <c r="O58" s="14" t="s">
        <v>29</v>
      </c>
      <c r="P58" s="42" t="s">
        <v>29</v>
      </c>
      <c r="Q58" s="42" t="s">
        <v>29</v>
      </c>
      <c r="R58" s="80"/>
      <c r="T58" s="326"/>
      <c r="U58" s="326"/>
      <c r="V58" s="326"/>
      <c r="W58" s="326"/>
      <c r="X58" s="326"/>
      <c r="Y58" s="326"/>
      <c r="Z58" s="326"/>
      <c r="AA58" s="326"/>
      <c r="AB58" s="326"/>
      <c r="AC58" s="326"/>
      <c r="AD58" s="326"/>
      <c r="AE58" s="326"/>
      <c r="AF58" s="326"/>
      <c r="AG58" s="326"/>
      <c r="AH58" s="326"/>
      <c r="AI58" s="326"/>
    </row>
    <row r="59" spans="1:35" s="83" customFormat="1" x14ac:dyDescent="0.35">
      <c r="A59" s="33" t="s">
        <v>398</v>
      </c>
      <c r="B59" s="33" t="s">
        <v>394</v>
      </c>
      <c r="C59" s="369">
        <v>4.5</v>
      </c>
      <c r="D59" s="369">
        <f t="shared" si="13"/>
        <v>4.03</v>
      </c>
      <c r="E59" s="369">
        <v>3.56</v>
      </c>
      <c r="F59" s="369">
        <f t="shared" si="15"/>
        <v>3.32</v>
      </c>
      <c r="G59" s="369">
        <f>ROUND((E59+I59)/2,2)</f>
        <v>3.07</v>
      </c>
      <c r="H59" s="369">
        <f t="shared" si="17"/>
        <v>2.83</v>
      </c>
      <c r="I59" s="369">
        <v>2.58</v>
      </c>
      <c r="J59" s="369"/>
      <c r="K59" s="33" t="s">
        <v>318</v>
      </c>
      <c r="L59" s="33" t="s">
        <v>319</v>
      </c>
      <c r="M59" s="33" t="s">
        <v>320</v>
      </c>
      <c r="N59" s="33">
        <v>0</v>
      </c>
      <c r="O59" s="33" t="s">
        <v>29</v>
      </c>
      <c r="P59" s="41" t="s">
        <v>29</v>
      </c>
      <c r="Q59" s="41" t="s">
        <v>29</v>
      </c>
      <c r="R59" s="79"/>
      <c r="T59" s="326"/>
      <c r="U59" s="326"/>
      <c r="V59" s="326"/>
      <c r="W59" s="326"/>
      <c r="X59" s="326"/>
      <c r="Y59" s="326"/>
      <c r="Z59" s="326"/>
      <c r="AA59" s="326"/>
      <c r="AB59" s="326"/>
      <c r="AC59" s="326"/>
      <c r="AD59" s="326"/>
      <c r="AE59" s="326"/>
      <c r="AF59" s="326"/>
      <c r="AG59" s="326"/>
      <c r="AH59" s="326"/>
      <c r="AI59" s="326"/>
    </row>
    <row r="60" spans="1:35" s="83" customFormat="1" x14ac:dyDescent="0.35">
      <c r="A60" s="33" t="s">
        <v>399</v>
      </c>
      <c r="B60" s="33" t="s">
        <v>394</v>
      </c>
      <c r="C60" s="369">
        <v>0.9</v>
      </c>
      <c r="D60" s="369">
        <f t="shared" si="13"/>
        <v>0.85</v>
      </c>
      <c r="E60" s="369">
        <v>0.80200000000000005</v>
      </c>
      <c r="F60" s="369">
        <f t="shared" si="15"/>
        <v>0.75</v>
      </c>
      <c r="G60" s="369">
        <f t="shared" ref="G60" si="20">ROUND((E60+I60)/2,2)</f>
        <v>0.7</v>
      </c>
      <c r="H60" s="369">
        <f t="shared" si="17"/>
        <v>0.65</v>
      </c>
      <c r="I60" s="369">
        <v>0.60199999999999998</v>
      </c>
      <c r="J60" s="369"/>
      <c r="K60" s="33" t="s">
        <v>318</v>
      </c>
      <c r="L60" s="33" t="s">
        <v>319</v>
      </c>
      <c r="M60" s="33" t="s">
        <v>320</v>
      </c>
      <c r="N60" s="33">
        <v>0</v>
      </c>
      <c r="O60" s="33" t="s">
        <v>29</v>
      </c>
      <c r="P60" s="41" t="s">
        <v>29</v>
      </c>
      <c r="Q60" s="41" t="s">
        <v>29</v>
      </c>
      <c r="R60" s="79"/>
      <c r="T60" s="326"/>
      <c r="U60" s="326"/>
      <c r="V60" s="326"/>
      <c r="W60" s="326"/>
      <c r="X60" s="326"/>
      <c r="Y60" s="326"/>
      <c r="Z60" s="326"/>
      <c r="AA60" s="326"/>
      <c r="AB60" s="326"/>
      <c r="AC60" s="326"/>
      <c r="AD60" s="326"/>
      <c r="AE60" s="326"/>
      <c r="AF60" s="326"/>
      <c r="AG60" s="326"/>
      <c r="AH60" s="326"/>
      <c r="AI60" s="326"/>
    </row>
    <row r="61" spans="1:35" s="83" customFormat="1" x14ac:dyDescent="0.35">
      <c r="A61" s="14" t="s">
        <v>400</v>
      </c>
      <c r="B61" s="14" t="s">
        <v>394</v>
      </c>
      <c r="C61" s="372">
        <v>0.9</v>
      </c>
      <c r="D61" s="372">
        <f t="shared" si="13"/>
        <v>0.78</v>
      </c>
      <c r="E61" s="372">
        <v>0.66900000000000004</v>
      </c>
      <c r="F61" s="372">
        <f t="shared" si="15"/>
        <v>0.67</v>
      </c>
      <c r="G61" s="372">
        <f>ROUND((E61+I61)/2,2)</f>
        <v>0.68</v>
      </c>
      <c r="H61" s="372">
        <f t="shared" si="17"/>
        <v>0.69</v>
      </c>
      <c r="I61" s="372">
        <v>0.69599999999999995</v>
      </c>
      <c r="J61" s="372"/>
      <c r="K61" s="14" t="s">
        <v>318</v>
      </c>
      <c r="L61" s="14" t="s">
        <v>319</v>
      </c>
      <c r="M61" s="14" t="s">
        <v>320</v>
      </c>
      <c r="N61" s="14">
        <v>0</v>
      </c>
      <c r="O61" s="14" t="s">
        <v>29</v>
      </c>
      <c r="P61" s="42" t="s">
        <v>29</v>
      </c>
      <c r="Q61" s="42" t="s">
        <v>29</v>
      </c>
      <c r="R61" s="80"/>
      <c r="T61" s="326"/>
      <c r="U61" s="326"/>
      <c r="V61" s="326"/>
      <c r="W61" s="326"/>
      <c r="X61" s="326"/>
      <c r="Y61" s="326"/>
      <c r="Z61" s="326"/>
      <c r="AA61" s="326"/>
      <c r="AB61" s="326"/>
      <c r="AC61" s="326"/>
      <c r="AD61" s="326"/>
      <c r="AE61" s="326"/>
      <c r="AF61" s="326"/>
      <c r="AG61" s="326"/>
      <c r="AH61" s="326"/>
      <c r="AI61" s="326"/>
    </row>
    <row r="62" spans="1:35" s="83" customFormat="1" x14ac:dyDescent="0.35">
      <c r="A62" s="33" t="s">
        <v>401</v>
      </c>
      <c r="B62" s="33" t="s">
        <v>394</v>
      </c>
      <c r="C62" s="369">
        <v>2.6</v>
      </c>
      <c r="D62" s="369">
        <f t="shared" si="13"/>
        <v>2.62</v>
      </c>
      <c r="E62" s="369">
        <v>2.64</v>
      </c>
      <c r="F62" s="369">
        <f t="shared" si="15"/>
        <v>2.3199999999999998</v>
      </c>
      <c r="G62" s="369">
        <f>ROUND((E62+I62)/2,2)</f>
        <v>2</v>
      </c>
      <c r="H62" s="369">
        <f t="shared" si="17"/>
        <v>1.68</v>
      </c>
      <c r="I62" s="369">
        <v>1.35</v>
      </c>
      <c r="J62" s="369"/>
      <c r="K62" s="33" t="s">
        <v>318</v>
      </c>
      <c r="L62" s="33" t="s">
        <v>319</v>
      </c>
      <c r="M62" s="33" t="s">
        <v>320</v>
      </c>
      <c r="N62" s="33">
        <v>0</v>
      </c>
      <c r="O62" s="33" t="s">
        <v>29</v>
      </c>
      <c r="P62" s="41" t="s">
        <v>29</v>
      </c>
      <c r="Q62" s="41" t="s">
        <v>29</v>
      </c>
      <c r="R62" s="79"/>
      <c r="T62" s="326"/>
      <c r="U62" s="326"/>
      <c r="V62" s="326"/>
      <c r="W62" s="326"/>
      <c r="X62" s="326"/>
      <c r="Y62" s="326"/>
      <c r="Z62" s="326"/>
      <c r="AA62" s="326"/>
      <c r="AB62" s="326"/>
      <c r="AC62" s="326"/>
      <c r="AD62" s="326"/>
      <c r="AE62" s="326"/>
      <c r="AF62" s="326"/>
      <c r="AG62" s="326"/>
      <c r="AH62" s="326"/>
      <c r="AI62" s="326"/>
    </row>
    <row r="63" spans="1:35" s="83" customFormat="1" x14ac:dyDescent="0.35">
      <c r="A63" s="33" t="s">
        <v>402</v>
      </c>
      <c r="B63" s="33" t="s">
        <v>394</v>
      </c>
      <c r="C63" s="369">
        <v>1</v>
      </c>
      <c r="D63" s="369">
        <f t="shared" si="13"/>
        <v>0.69</v>
      </c>
      <c r="E63" s="369">
        <v>0.38100000000000001</v>
      </c>
      <c r="F63" s="369">
        <f t="shared" si="15"/>
        <v>0.38</v>
      </c>
      <c r="G63" s="369">
        <f>ROUND((E63+I63)/2,2)</f>
        <v>0.37</v>
      </c>
      <c r="H63" s="369">
        <f t="shared" si="17"/>
        <v>0.36</v>
      </c>
      <c r="I63" s="369">
        <v>0.35899999999999999</v>
      </c>
      <c r="J63" s="369"/>
      <c r="K63" s="33" t="s">
        <v>318</v>
      </c>
      <c r="L63" s="33" t="s">
        <v>319</v>
      </c>
      <c r="M63" s="33" t="s">
        <v>320</v>
      </c>
      <c r="N63" s="33">
        <v>0</v>
      </c>
      <c r="O63" s="33" t="s">
        <v>29</v>
      </c>
      <c r="P63" s="41" t="s">
        <v>29</v>
      </c>
      <c r="Q63" s="41" t="s">
        <v>29</v>
      </c>
      <c r="R63" s="79"/>
      <c r="T63" s="326"/>
      <c r="U63" s="326"/>
      <c r="V63" s="326"/>
      <c r="W63" s="326"/>
      <c r="X63" s="326"/>
      <c r="Y63" s="326"/>
      <c r="Z63" s="326"/>
      <c r="AA63" s="326"/>
      <c r="AB63" s="326"/>
      <c r="AC63" s="326"/>
      <c r="AD63" s="326"/>
      <c r="AE63" s="326"/>
      <c r="AF63" s="326"/>
      <c r="AG63" s="326"/>
      <c r="AH63" s="326"/>
      <c r="AI63" s="326"/>
    </row>
    <row r="64" spans="1:35" s="83" customFormat="1" x14ac:dyDescent="0.35">
      <c r="A64" s="14" t="s">
        <v>403</v>
      </c>
      <c r="B64" s="14" t="s">
        <v>394</v>
      </c>
      <c r="C64" s="372">
        <v>1.5</v>
      </c>
      <c r="D64" s="372">
        <f t="shared" si="13"/>
        <v>1.1299999999999999</v>
      </c>
      <c r="E64" s="372">
        <v>0.76700000000000002</v>
      </c>
      <c r="F64" s="372">
        <f t="shared" si="15"/>
        <v>0.71</v>
      </c>
      <c r="G64" s="372">
        <f>ROUND((E64+I64)/2,2)</f>
        <v>0.65</v>
      </c>
      <c r="H64" s="372">
        <f t="shared" si="17"/>
        <v>0.6</v>
      </c>
      <c r="I64" s="372">
        <v>0.54100000000000004</v>
      </c>
      <c r="J64" s="372"/>
      <c r="K64" s="14" t="s">
        <v>318</v>
      </c>
      <c r="L64" s="14" t="s">
        <v>319</v>
      </c>
      <c r="M64" s="14" t="s">
        <v>320</v>
      </c>
      <c r="N64" s="14">
        <v>0</v>
      </c>
      <c r="O64" s="14" t="s">
        <v>29</v>
      </c>
      <c r="P64" s="42" t="s">
        <v>29</v>
      </c>
      <c r="Q64" s="42" t="s">
        <v>29</v>
      </c>
      <c r="R64" s="80"/>
      <c r="T64" s="326"/>
      <c r="U64" s="326"/>
      <c r="V64" s="326"/>
      <c r="W64" s="326"/>
      <c r="X64" s="326"/>
      <c r="Y64" s="326"/>
      <c r="Z64" s="326"/>
      <c r="AA64" s="326"/>
      <c r="AB64" s="326"/>
      <c r="AC64" s="326"/>
      <c r="AD64" s="326"/>
      <c r="AE64" s="326"/>
      <c r="AF64" s="326"/>
      <c r="AG64" s="326"/>
      <c r="AH64" s="326"/>
      <c r="AI64" s="326"/>
    </row>
    <row r="65" spans="1:35" s="83" customFormat="1" x14ac:dyDescent="0.35">
      <c r="A65" s="14" t="s">
        <v>404</v>
      </c>
      <c r="B65" s="14" t="s">
        <v>394</v>
      </c>
      <c r="C65" s="372">
        <v>0.08</v>
      </c>
      <c r="D65" s="372">
        <f t="shared" si="13"/>
        <v>7.0000000000000007E-2</v>
      </c>
      <c r="E65" s="372">
        <v>0.06</v>
      </c>
      <c r="F65" s="372">
        <f t="shared" si="15"/>
        <v>0.05</v>
      </c>
      <c r="G65" s="372">
        <f t="shared" ref="G65:G67" si="21">ROUND((E65+I65)/2,2)</f>
        <v>0.04</v>
      </c>
      <c r="H65" s="372">
        <f t="shared" si="17"/>
        <v>0.03</v>
      </c>
      <c r="I65" s="372">
        <v>1.0999999999999999E-2</v>
      </c>
      <c r="J65" s="372"/>
      <c r="K65" s="14" t="s">
        <v>318</v>
      </c>
      <c r="L65" s="14" t="s">
        <v>319</v>
      </c>
      <c r="M65" s="14" t="s">
        <v>320</v>
      </c>
      <c r="N65" s="14">
        <v>0</v>
      </c>
      <c r="O65" s="14" t="s">
        <v>29</v>
      </c>
      <c r="P65" s="42" t="s">
        <v>29</v>
      </c>
      <c r="Q65" s="42" t="s">
        <v>29</v>
      </c>
      <c r="R65" s="80"/>
      <c r="T65" s="326"/>
      <c r="U65" s="326"/>
      <c r="V65" s="326"/>
      <c r="W65" s="326"/>
      <c r="X65" s="326"/>
      <c r="Y65" s="326"/>
      <c r="Z65" s="326"/>
      <c r="AA65" s="326"/>
      <c r="AB65" s="326"/>
      <c r="AC65" s="326"/>
      <c r="AD65" s="326"/>
      <c r="AE65" s="326"/>
      <c r="AF65" s="326"/>
      <c r="AG65" s="326"/>
      <c r="AH65" s="326"/>
      <c r="AI65" s="326"/>
    </row>
    <row r="66" spans="1:35" s="83" customFormat="1" x14ac:dyDescent="0.35">
      <c r="A66" s="14" t="s">
        <v>405</v>
      </c>
      <c r="B66" s="14" t="s">
        <v>394</v>
      </c>
      <c r="C66" s="372">
        <v>1.1000000000000001</v>
      </c>
      <c r="D66" s="372">
        <f t="shared" si="13"/>
        <v>0.64</v>
      </c>
      <c r="E66" s="372">
        <v>0.17499999999999999</v>
      </c>
      <c r="F66" s="372">
        <f t="shared" si="15"/>
        <v>0.15</v>
      </c>
      <c r="G66" s="372">
        <f t="shared" si="21"/>
        <v>0.13</v>
      </c>
      <c r="H66" s="372">
        <f t="shared" si="17"/>
        <v>0.11</v>
      </c>
      <c r="I66" s="372">
        <v>8.4000000000000005E-2</v>
      </c>
      <c r="J66" s="372"/>
      <c r="K66" s="14" t="s">
        <v>318</v>
      </c>
      <c r="L66" s="14" t="s">
        <v>319</v>
      </c>
      <c r="M66" s="14" t="s">
        <v>320</v>
      </c>
      <c r="N66" s="14">
        <v>0</v>
      </c>
      <c r="O66" s="14" t="s">
        <v>29</v>
      </c>
      <c r="P66" s="42" t="s">
        <v>29</v>
      </c>
      <c r="Q66" s="42" t="s">
        <v>29</v>
      </c>
      <c r="R66" s="80"/>
      <c r="T66" s="326"/>
      <c r="U66" s="326"/>
      <c r="V66" s="326"/>
      <c r="W66" s="326"/>
      <c r="X66" s="326"/>
      <c r="Y66" s="326"/>
      <c r="Z66" s="326"/>
      <c r="AA66" s="326"/>
      <c r="AB66" s="326"/>
      <c r="AC66" s="326"/>
      <c r="AD66" s="326"/>
      <c r="AE66" s="326"/>
      <c r="AF66" s="326"/>
      <c r="AG66" s="326"/>
      <c r="AH66" s="326"/>
      <c r="AI66" s="326"/>
    </row>
    <row r="67" spans="1:35" s="83" customFormat="1" x14ac:dyDescent="0.35">
      <c r="A67" s="33" t="s">
        <v>406</v>
      </c>
      <c r="B67" s="33" t="s">
        <v>394</v>
      </c>
      <c r="C67" s="369">
        <v>0.4</v>
      </c>
      <c r="D67" s="369">
        <f t="shared" si="13"/>
        <v>0.26</v>
      </c>
      <c r="E67" s="369">
        <v>0.11</v>
      </c>
      <c r="F67" s="369">
        <f t="shared" si="15"/>
        <v>0.09</v>
      </c>
      <c r="G67" s="369">
        <f t="shared" si="21"/>
        <v>0.06</v>
      </c>
      <c r="H67" s="369">
        <f t="shared" si="17"/>
        <v>0.03</v>
      </c>
      <c r="I67" s="369">
        <v>0</v>
      </c>
      <c r="J67" s="369"/>
      <c r="K67" s="33" t="s">
        <v>318</v>
      </c>
      <c r="L67" s="33" t="s">
        <v>319</v>
      </c>
      <c r="M67" s="33" t="s">
        <v>320</v>
      </c>
      <c r="N67" s="33">
        <v>0</v>
      </c>
      <c r="O67" s="33" t="s">
        <v>29</v>
      </c>
      <c r="P67" s="41" t="s">
        <v>29</v>
      </c>
      <c r="Q67" s="41" t="s">
        <v>29</v>
      </c>
      <c r="R67" s="79"/>
      <c r="T67" s="326"/>
      <c r="U67" s="326"/>
      <c r="V67" s="326"/>
      <c r="W67" s="326"/>
      <c r="X67" s="326"/>
      <c r="Y67" s="326"/>
      <c r="Z67" s="326"/>
      <c r="AA67" s="326"/>
      <c r="AB67" s="326"/>
      <c r="AC67" s="326"/>
      <c r="AD67" s="326"/>
      <c r="AE67" s="326"/>
      <c r="AF67" s="326"/>
      <c r="AG67" s="326"/>
      <c r="AH67" s="326"/>
      <c r="AI67" s="326"/>
    </row>
    <row r="68" spans="1:35" s="83" customFormat="1" x14ac:dyDescent="0.35">
      <c r="A68" s="14" t="s">
        <v>407</v>
      </c>
      <c r="B68" s="14" t="s">
        <v>394</v>
      </c>
      <c r="C68" s="372">
        <v>2.5</v>
      </c>
      <c r="D68" s="372">
        <f t="shared" si="13"/>
        <v>3.08</v>
      </c>
      <c r="E68" s="372">
        <v>3.66</v>
      </c>
      <c r="F68" s="372">
        <f t="shared" si="15"/>
        <v>3.41</v>
      </c>
      <c r="G68" s="372">
        <f>ROUND((E68+I68)/2,2)</f>
        <v>3.16</v>
      </c>
      <c r="H68" s="372">
        <f t="shared" si="17"/>
        <v>2.91</v>
      </c>
      <c r="I68" s="372">
        <v>2.66</v>
      </c>
      <c r="J68" s="372"/>
      <c r="K68" s="14" t="s">
        <v>318</v>
      </c>
      <c r="L68" s="14" t="s">
        <v>319</v>
      </c>
      <c r="M68" s="14" t="s">
        <v>320</v>
      </c>
      <c r="N68" s="14">
        <v>0</v>
      </c>
      <c r="O68" s="14" t="s">
        <v>29</v>
      </c>
      <c r="P68" s="42" t="s">
        <v>29</v>
      </c>
      <c r="Q68" s="42" t="s">
        <v>29</v>
      </c>
      <c r="R68" s="80"/>
      <c r="T68" s="326"/>
      <c r="U68" s="326"/>
      <c r="V68" s="326"/>
      <c r="W68" s="326"/>
      <c r="X68" s="326"/>
      <c r="Y68" s="326"/>
      <c r="Z68" s="326"/>
      <c r="AA68" s="326"/>
      <c r="AB68" s="326"/>
      <c r="AC68" s="326"/>
      <c r="AD68" s="326"/>
      <c r="AE68" s="326"/>
      <c r="AF68" s="326"/>
      <c r="AG68" s="326"/>
      <c r="AH68" s="326"/>
      <c r="AI68" s="326"/>
    </row>
    <row r="69" spans="1:35" x14ac:dyDescent="0.35">
      <c r="A69" s="14" t="s">
        <v>408</v>
      </c>
      <c r="B69" s="14" t="s">
        <v>317</v>
      </c>
      <c r="C69" s="366">
        <v>1198</v>
      </c>
      <c r="D69" s="372">
        <f t="shared" si="13"/>
        <v>1198</v>
      </c>
      <c r="E69" s="374">
        <f t="shared" ref="E69:E72" si="22">C69</f>
        <v>1198</v>
      </c>
      <c r="F69" s="372">
        <f t="shared" si="15"/>
        <v>898.5</v>
      </c>
      <c r="G69" s="372">
        <f t="shared" si="16"/>
        <v>599</v>
      </c>
      <c r="H69" s="372">
        <f t="shared" si="17"/>
        <v>299.5</v>
      </c>
      <c r="I69" s="372">
        <v>0</v>
      </c>
      <c r="J69" s="372"/>
      <c r="K69" s="14" t="s">
        <v>318</v>
      </c>
      <c r="L69" s="14" t="s">
        <v>319</v>
      </c>
      <c r="M69" s="14" t="s">
        <v>409</v>
      </c>
      <c r="N69" s="14">
        <v>0</v>
      </c>
      <c r="O69" s="14" t="s">
        <v>29</v>
      </c>
      <c r="P69" s="42">
        <v>5.6599999999999998E-2</v>
      </c>
      <c r="Q69" s="42">
        <v>0</v>
      </c>
      <c r="R69" s="80"/>
      <c r="T69" s="326"/>
      <c r="U69" s="326"/>
      <c r="V69" s="326"/>
      <c r="W69" s="326"/>
      <c r="X69" s="326"/>
      <c r="Y69" s="326"/>
      <c r="Z69" s="326"/>
      <c r="AA69" s="326"/>
      <c r="AB69" s="326"/>
      <c r="AC69" s="326"/>
      <c r="AD69" s="326"/>
      <c r="AE69" s="326"/>
      <c r="AF69" s="326"/>
      <c r="AG69" s="326"/>
      <c r="AH69" s="326"/>
      <c r="AI69" s="326"/>
    </row>
    <row r="70" spans="1:35" x14ac:dyDescent="0.35">
      <c r="A70" s="33" t="s">
        <v>410</v>
      </c>
      <c r="B70" s="33" t="s">
        <v>317</v>
      </c>
      <c r="C70" s="366">
        <v>556</v>
      </c>
      <c r="D70" s="369">
        <f t="shared" si="13"/>
        <v>556</v>
      </c>
      <c r="E70" s="374">
        <f t="shared" si="22"/>
        <v>556</v>
      </c>
      <c r="F70" s="372">
        <f t="shared" ref="F70:F72" si="23">ROUND((E70+G70)/2,2)</f>
        <v>451.75</v>
      </c>
      <c r="G70" s="372">
        <f t="shared" ref="G70:G72" si="24">ROUND((E70+I70)/2,2)</f>
        <v>347.5</v>
      </c>
      <c r="H70" s="372">
        <f t="shared" ref="H70:H72" si="25">ROUND((G70+I70)/2,2)</f>
        <v>243.25</v>
      </c>
      <c r="I70" s="394">
        <f>E70*0.25</f>
        <v>139</v>
      </c>
      <c r="J70" s="369"/>
      <c r="K70" s="33" t="s">
        <v>318</v>
      </c>
      <c r="L70" s="33" t="s">
        <v>319</v>
      </c>
      <c r="M70" s="14" t="s">
        <v>409</v>
      </c>
      <c r="N70" s="33">
        <v>0</v>
      </c>
      <c r="O70" s="33" t="s">
        <v>29</v>
      </c>
      <c r="P70" s="41">
        <v>7.0999999999999994E-2</v>
      </c>
      <c r="Q70" s="41">
        <v>0</v>
      </c>
      <c r="R70" s="79" t="s">
        <v>411</v>
      </c>
      <c r="T70" s="326"/>
      <c r="U70" s="326"/>
      <c r="V70" s="326"/>
      <c r="W70" s="326"/>
      <c r="X70" s="326"/>
      <c r="Y70" s="326"/>
      <c r="Z70" s="326"/>
      <c r="AA70" s="326"/>
      <c r="AB70" s="326"/>
      <c r="AC70" s="326"/>
      <c r="AD70" s="326"/>
      <c r="AE70" s="326"/>
      <c r="AF70" s="326"/>
      <c r="AG70" s="326"/>
      <c r="AH70" s="326"/>
      <c r="AI70" s="326"/>
    </row>
    <row r="71" spans="1:35" x14ac:dyDescent="0.35">
      <c r="A71" s="14" t="s">
        <v>412</v>
      </c>
      <c r="B71" s="14" t="s">
        <v>317</v>
      </c>
      <c r="C71" s="366">
        <v>846</v>
      </c>
      <c r="D71" s="372">
        <f t="shared" si="13"/>
        <v>846</v>
      </c>
      <c r="E71" s="374">
        <f t="shared" si="22"/>
        <v>846</v>
      </c>
      <c r="F71" s="372">
        <f t="shared" si="23"/>
        <v>687.38</v>
      </c>
      <c r="G71" s="372">
        <f t="shared" si="24"/>
        <v>528.75</v>
      </c>
      <c r="H71" s="372">
        <f t="shared" si="25"/>
        <v>370.13</v>
      </c>
      <c r="I71" s="394">
        <f>E71*0.25</f>
        <v>211.5</v>
      </c>
      <c r="J71" s="372"/>
      <c r="K71" s="14" t="s">
        <v>318</v>
      </c>
      <c r="L71" s="14" t="s">
        <v>319</v>
      </c>
      <c r="M71" s="14" t="s">
        <v>409</v>
      </c>
      <c r="N71" s="14">
        <v>0</v>
      </c>
      <c r="O71" s="14" t="s">
        <v>29</v>
      </c>
      <c r="P71" s="42">
        <v>7.2999999999999995E-2</v>
      </c>
      <c r="Q71" s="42">
        <v>0</v>
      </c>
      <c r="R71" s="80" t="s">
        <v>411</v>
      </c>
      <c r="T71" s="326"/>
      <c r="U71" s="326"/>
      <c r="V71" s="326"/>
      <c r="W71" s="326"/>
      <c r="X71" s="326"/>
      <c r="Y71" s="326"/>
      <c r="Z71" s="326"/>
      <c r="AA71" s="326"/>
      <c r="AB71" s="326"/>
      <c r="AC71" s="326"/>
      <c r="AD71" s="326"/>
      <c r="AE71" s="326"/>
      <c r="AF71" s="326"/>
      <c r="AG71" s="326"/>
      <c r="AH71" s="326"/>
      <c r="AI71" s="326"/>
    </row>
    <row r="72" spans="1:35" x14ac:dyDescent="0.35">
      <c r="A72" s="33" t="s">
        <v>413</v>
      </c>
      <c r="B72" s="33" t="s">
        <v>317</v>
      </c>
      <c r="C72" s="366">
        <v>353</v>
      </c>
      <c r="D72" s="369">
        <f t="shared" si="13"/>
        <v>353</v>
      </c>
      <c r="E72" s="374">
        <f t="shared" si="22"/>
        <v>353</v>
      </c>
      <c r="F72" s="372">
        <f t="shared" si="23"/>
        <v>286.82</v>
      </c>
      <c r="G72" s="372">
        <f t="shared" si="24"/>
        <v>220.63</v>
      </c>
      <c r="H72" s="372">
        <f t="shared" si="25"/>
        <v>154.44</v>
      </c>
      <c r="I72" s="394">
        <f>E72*0.25</f>
        <v>88.25</v>
      </c>
      <c r="J72" s="369"/>
      <c r="K72" s="33" t="s">
        <v>318</v>
      </c>
      <c r="L72" s="33" t="s">
        <v>319</v>
      </c>
      <c r="M72" s="14" t="s">
        <v>409</v>
      </c>
      <c r="N72" s="33">
        <v>0</v>
      </c>
      <c r="O72" s="33" t="s">
        <v>29</v>
      </c>
      <c r="P72" s="41">
        <v>7.1999999999999995E-2</v>
      </c>
      <c r="Q72" s="41">
        <v>0</v>
      </c>
      <c r="R72" s="79" t="s">
        <v>411</v>
      </c>
      <c r="T72" s="326"/>
      <c r="U72" s="326"/>
      <c r="V72" s="326"/>
      <c r="W72" s="326"/>
      <c r="X72" s="326"/>
      <c r="Y72" s="326"/>
      <c r="Z72" s="326"/>
      <c r="AA72" s="326"/>
      <c r="AB72" s="326"/>
      <c r="AC72" s="326"/>
      <c r="AD72" s="326"/>
      <c r="AE72" s="326"/>
      <c r="AF72" s="326"/>
      <c r="AG72" s="326"/>
      <c r="AH72" s="326"/>
      <c r="AI72" s="326"/>
    </row>
    <row r="73" spans="1:35" x14ac:dyDescent="0.35">
      <c r="A73" s="14" t="s">
        <v>414</v>
      </c>
      <c r="B73" s="14" t="s">
        <v>317</v>
      </c>
      <c r="C73" s="372">
        <v>4260</v>
      </c>
      <c r="D73" s="372">
        <f t="shared" si="13"/>
        <v>4560</v>
      </c>
      <c r="E73" s="372">
        <v>4860</v>
      </c>
      <c r="F73" s="372">
        <f t="shared" si="15"/>
        <v>5163.75</v>
      </c>
      <c r="G73" s="372">
        <f t="shared" si="16"/>
        <v>5467.5</v>
      </c>
      <c r="H73" s="372">
        <f t="shared" si="17"/>
        <v>5771.25</v>
      </c>
      <c r="I73" s="372">
        <v>6075</v>
      </c>
      <c r="J73" s="372"/>
      <c r="K73" s="14" t="s">
        <v>318</v>
      </c>
      <c r="L73" s="14" t="s">
        <v>319</v>
      </c>
      <c r="M73" s="14" t="s">
        <v>409</v>
      </c>
      <c r="N73" s="14">
        <v>0</v>
      </c>
      <c r="O73" s="14" t="s">
        <v>29</v>
      </c>
      <c r="P73" s="42" t="s">
        <v>29</v>
      </c>
      <c r="Q73" s="42" t="s">
        <v>29</v>
      </c>
      <c r="R73" s="80" t="s">
        <v>415</v>
      </c>
      <c r="T73" s="326"/>
      <c r="U73" s="326"/>
      <c r="V73" s="326"/>
      <c r="W73" s="326"/>
      <c r="X73" s="326"/>
      <c r="Y73" s="326"/>
      <c r="Z73" s="326"/>
      <c r="AA73" s="326"/>
      <c r="AB73" s="326"/>
      <c r="AC73" s="326"/>
      <c r="AD73" s="326"/>
      <c r="AE73" s="326"/>
      <c r="AF73" s="326"/>
      <c r="AG73" s="326"/>
      <c r="AH73" s="326"/>
      <c r="AI73" s="326"/>
    </row>
    <row r="74" spans="1:35" x14ac:dyDescent="0.35">
      <c r="A74" s="211" t="s">
        <v>2017</v>
      </c>
      <c r="B74" s="211" t="s">
        <v>2018</v>
      </c>
      <c r="C74" s="211">
        <v>31.2</v>
      </c>
      <c r="D74" s="211">
        <v>33.799999999999997</v>
      </c>
      <c r="E74" s="211">
        <f>D74</f>
        <v>33.799999999999997</v>
      </c>
      <c r="F74" s="211">
        <f t="shared" ref="F74:I75" si="26">E74</f>
        <v>33.799999999999997</v>
      </c>
      <c r="G74" s="211">
        <f t="shared" si="26"/>
        <v>33.799999999999997</v>
      </c>
      <c r="H74" s="211">
        <f t="shared" si="26"/>
        <v>33.799999999999997</v>
      </c>
      <c r="I74" s="211">
        <f t="shared" si="26"/>
        <v>33.799999999999997</v>
      </c>
      <c r="J74" s="14"/>
      <c r="K74" s="33" t="s">
        <v>318</v>
      </c>
      <c r="L74" s="211" t="s">
        <v>319</v>
      </c>
      <c r="M74" s="211" t="s">
        <v>320</v>
      </c>
      <c r="N74" s="33">
        <v>0</v>
      </c>
      <c r="O74" s="33" t="s">
        <v>29</v>
      </c>
      <c r="P74" s="41" t="s">
        <v>29</v>
      </c>
      <c r="Q74" s="41" t="s">
        <v>29</v>
      </c>
      <c r="R74" s="79" t="s">
        <v>2019</v>
      </c>
      <c r="S74" s="83"/>
    </row>
    <row r="75" spans="1:35" x14ac:dyDescent="0.35">
      <c r="A75" s="211" t="s">
        <v>2020</v>
      </c>
      <c r="B75" s="211" t="s">
        <v>2021</v>
      </c>
      <c r="C75" s="211">
        <v>0</v>
      </c>
      <c r="D75" s="211">
        <f>C75</f>
        <v>0</v>
      </c>
      <c r="E75" s="211">
        <f t="shared" ref="E75" si="27">D75</f>
        <v>0</v>
      </c>
      <c r="F75" s="211">
        <f t="shared" si="26"/>
        <v>0</v>
      </c>
      <c r="G75" s="211">
        <f t="shared" si="26"/>
        <v>0</v>
      </c>
      <c r="H75" s="211">
        <f t="shared" si="26"/>
        <v>0</v>
      </c>
      <c r="I75" s="211">
        <f t="shared" si="26"/>
        <v>0</v>
      </c>
      <c r="J75" s="14"/>
      <c r="K75" s="33" t="s">
        <v>318</v>
      </c>
      <c r="L75" s="211" t="s">
        <v>319</v>
      </c>
      <c r="M75" s="211" t="s">
        <v>320</v>
      </c>
      <c r="N75" s="33">
        <v>0</v>
      </c>
      <c r="O75" s="33" t="s">
        <v>29</v>
      </c>
      <c r="P75" s="41" t="s">
        <v>29</v>
      </c>
      <c r="Q75" s="41" t="s">
        <v>29</v>
      </c>
      <c r="R75" s="79"/>
      <c r="S75" s="83"/>
    </row>
    <row r="76" spans="1:35" x14ac:dyDescent="0.35">
      <c r="A76" s="211" t="s">
        <v>2022</v>
      </c>
      <c r="B76" s="211" t="s">
        <v>2023</v>
      </c>
      <c r="C76" s="211">
        <v>0</v>
      </c>
      <c r="D76" s="211">
        <v>0</v>
      </c>
      <c r="E76" s="211">
        <v>0</v>
      </c>
      <c r="F76" s="211">
        <v>0</v>
      </c>
      <c r="G76" s="211">
        <v>0</v>
      </c>
      <c r="H76" s="211">
        <v>0</v>
      </c>
      <c r="I76" s="211">
        <v>0</v>
      </c>
      <c r="J76" s="14"/>
      <c r="K76" s="33" t="s">
        <v>318</v>
      </c>
      <c r="L76" s="33" t="s">
        <v>418</v>
      </c>
      <c r="M76" s="211" t="s">
        <v>320</v>
      </c>
      <c r="N76" s="33">
        <v>0</v>
      </c>
      <c r="O76" s="211" t="s">
        <v>1990</v>
      </c>
      <c r="P76" s="41" t="s">
        <v>29</v>
      </c>
      <c r="Q76" s="41" t="s">
        <v>29</v>
      </c>
      <c r="R76" s="79"/>
      <c r="S76" s="83">
        <v>1</v>
      </c>
    </row>
    <row r="77" spans="1:35" x14ac:dyDescent="0.35">
      <c r="A77" s="1" t="s">
        <v>2024</v>
      </c>
      <c r="B77" s="49" t="s">
        <v>2025</v>
      </c>
      <c r="C77" s="211">
        <v>0</v>
      </c>
      <c r="D77" s="211">
        <v>0</v>
      </c>
      <c r="E77" s="211">
        <v>0</v>
      </c>
      <c r="F77" s="211">
        <v>0</v>
      </c>
      <c r="G77" s="211">
        <v>0</v>
      </c>
      <c r="H77" s="211">
        <v>0</v>
      </c>
      <c r="I77" s="211">
        <v>0</v>
      </c>
      <c r="J77" s="14"/>
      <c r="K77" s="33" t="s">
        <v>318</v>
      </c>
      <c r="L77" s="33" t="s">
        <v>418</v>
      </c>
      <c r="M77" s="211" t="s">
        <v>320</v>
      </c>
      <c r="N77" s="33">
        <v>0</v>
      </c>
      <c r="O77" s="33" t="s">
        <v>419</v>
      </c>
      <c r="P77" s="41" t="s">
        <v>29</v>
      </c>
      <c r="Q77" s="41" t="s">
        <v>29</v>
      </c>
      <c r="R77" s="79"/>
      <c r="S77" s="83">
        <v>1</v>
      </c>
    </row>
    <row r="78" spans="1:35" x14ac:dyDescent="0.35">
      <c r="A78" s="1" t="s">
        <v>2026</v>
      </c>
      <c r="B78" s="49" t="s">
        <v>2027</v>
      </c>
      <c r="C78" s="211">
        <v>0</v>
      </c>
      <c r="D78" s="211">
        <v>0</v>
      </c>
      <c r="E78" s="211">
        <v>0</v>
      </c>
      <c r="F78" s="211">
        <v>0</v>
      </c>
      <c r="G78" s="211">
        <v>0</v>
      </c>
      <c r="H78" s="211">
        <v>0</v>
      </c>
      <c r="I78" s="211">
        <v>0</v>
      </c>
      <c r="J78" s="14"/>
      <c r="K78" s="33" t="s">
        <v>318</v>
      </c>
      <c r="L78" s="33" t="s">
        <v>418</v>
      </c>
      <c r="M78" s="211" t="s">
        <v>320</v>
      </c>
      <c r="N78" s="33">
        <v>0</v>
      </c>
      <c r="O78" s="33" t="s">
        <v>419</v>
      </c>
      <c r="P78" s="41" t="s">
        <v>29</v>
      </c>
      <c r="Q78" s="41" t="s">
        <v>29</v>
      </c>
      <c r="R78" s="79"/>
      <c r="S78" s="83">
        <v>1</v>
      </c>
    </row>
    <row r="79" spans="1:35" x14ac:dyDescent="0.35">
      <c r="A79" s="1" t="s">
        <v>2028</v>
      </c>
      <c r="B79" s="49" t="s">
        <v>2029</v>
      </c>
      <c r="C79" s="211">
        <v>0</v>
      </c>
      <c r="D79" s="211">
        <v>0</v>
      </c>
      <c r="E79" s="211">
        <v>0</v>
      </c>
      <c r="F79" s="211">
        <v>0</v>
      </c>
      <c r="G79" s="211">
        <v>0</v>
      </c>
      <c r="H79" s="211">
        <v>0</v>
      </c>
      <c r="I79" s="211">
        <v>0</v>
      </c>
      <c r="J79" s="14"/>
      <c r="K79" s="33" t="s">
        <v>318</v>
      </c>
      <c r="L79" s="33" t="s">
        <v>418</v>
      </c>
      <c r="M79" s="211" t="s">
        <v>320</v>
      </c>
      <c r="N79" s="33">
        <v>0</v>
      </c>
      <c r="O79" s="33" t="s">
        <v>419</v>
      </c>
      <c r="P79" s="41" t="s">
        <v>29</v>
      </c>
      <c r="Q79" s="41" t="s">
        <v>29</v>
      </c>
      <c r="R79" s="79"/>
      <c r="S79" s="83">
        <v>1</v>
      </c>
    </row>
    <row r="80" spans="1:35" x14ac:dyDescent="0.35">
      <c r="A80" s="211" t="s">
        <v>2030</v>
      </c>
      <c r="B80" s="356" t="s">
        <v>2031</v>
      </c>
      <c r="C80" s="1">
        <v>0</v>
      </c>
      <c r="D80" s="1">
        <v>0</v>
      </c>
      <c r="E80" s="1">
        <v>0</v>
      </c>
      <c r="F80" s="1">
        <v>0</v>
      </c>
      <c r="G80" s="1">
        <v>0</v>
      </c>
      <c r="H80" s="1">
        <v>0</v>
      </c>
      <c r="I80" s="1">
        <v>0</v>
      </c>
      <c r="J80" s="14"/>
      <c r="K80" s="33" t="s">
        <v>318</v>
      </c>
      <c r="L80" s="33" t="s">
        <v>418</v>
      </c>
      <c r="M80" s="211" t="s">
        <v>320</v>
      </c>
      <c r="N80" s="33">
        <v>0</v>
      </c>
      <c r="O80" s="211" t="s">
        <v>1990</v>
      </c>
      <c r="P80" s="41" t="s">
        <v>29</v>
      </c>
      <c r="Q80" s="41" t="s">
        <v>29</v>
      </c>
      <c r="R80" s="79"/>
      <c r="S80" s="83">
        <v>1</v>
      </c>
    </row>
    <row r="81" spans="1:35" x14ac:dyDescent="0.35">
      <c r="A81" s="211" t="s">
        <v>2032</v>
      </c>
      <c r="B81" s="356" t="s">
        <v>2033</v>
      </c>
      <c r="C81" s="1">
        <v>0</v>
      </c>
      <c r="D81" s="1">
        <v>0</v>
      </c>
      <c r="E81" s="1">
        <v>0</v>
      </c>
      <c r="F81" s="1">
        <v>0</v>
      </c>
      <c r="G81" s="1">
        <v>0</v>
      </c>
      <c r="H81" s="1">
        <v>0</v>
      </c>
      <c r="I81" s="1">
        <v>0</v>
      </c>
      <c r="J81" s="14"/>
      <c r="K81" s="33" t="s">
        <v>318</v>
      </c>
      <c r="L81" s="33" t="s">
        <v>418</v>
      </c>
      <c r="M81" s="211" t="s">
        <v>320</v>
      </c>
      <c r="N81" s="33">
        <v>0</v>
      </c>
      <c r="O81" s="33" t="s">
        <v>419</v>
      </c>
      <c r="P81" s="41" t="s">
        <v>29</v>
      </c>
      <c r="Q81" s="41" t="s">
        <v>29</v>
      </c>
      <c r="R81" s="79"/>
      <c r="S81" s="83">
        <v>1</v>
      </c>
    </row>
    <row r="82" spans="1:35" x14ac:dyDescent="0.35">
      <c r="A82" s="211" t="s">
        <v>416</v>
      </c>
      <c r="B82" s="356" t="s">
        <v>417</v>
      </c>
      <c r="C82" s="375">
        <v>0</v>
      </c>
      <c r="D82" s="375">
        <v>0</v>
      </c>
      <c r="E82" s="375">
        <v>0</v>
      </c>
      <c r="F82" s="375">
        <v>0</v>
      </c>
      <c r="G82" s="375">
        <v>0</v>
      </c>
      <c r="H82" s="375">
        <v>0</v>
      </c>
      <c r="I82" s="375">
        <v>0</v>
      </c>
      <c r="J82" s="372"/>
      <c r="K82" s="33" t="s">
        <v>318</v>
      </c>
      <c r="L82" s="33" t="s">
        <v>418</v>
      </c>
      <c r="M82" s="211" t="s">
        <v>320</v>
      </c>
      <c r="N82" s="33">
        <v>0</v>
      </c>
      <c r="O82" s="33" t="s">
        <v>419</v>
      </c>
      <c r="P82" s="41" t="s">
        <v>29</v>
      </c>
      <c r="Q82" s="41" t="s">
        <v>29</v>
      </c>
      <c r="R82" s="79"/>
      <c r="S82" s="83">
        <v>1</v>
      </c>
      <c r="U82" s="326"/>
    </row>
    <row r="83" spans="1:35" x14ac:dyDescent="0.35">
      <c r="A83" s="211" t="s">
        <v>420</v>
      </c>
      <c r="B83" s="356" t="s">
        <v>421</v>
      </c>
      <c r="C83" s="375">
        <v>0</v>
      </c>
      <c r="D83" s="375">
        <v>0</v>
      </c>
      <c r="E83" s="375">
        <v>0</v>
      </c>
      <c r="F83" s="375">
        <v>0</v>
      </c>
      <c r="G83" s="375">
        <v>0</v>
      </c>
      <c r="H83" s="375">
        <v>0</v>
      </c>
      <c r="I83" s="375">
        <v>0</v>
      </c>
      <c r="J83" s="372"/>
      <c r="K83" s="33" t="s">
        <v>318</v>
      </c>
      <c r="L83" s="33" t="s">
        <v>418</v>
      </c>
      <c r="M83" s="211" t="s">
        <v>320</v>
      </c>
      <c r="N83" s="33">
        <v>0</v>
      </c>
      <c r="O83" s="33" t="s">
        <v>419</v>
      </c>
      <c r="P83" s="41" t="s">
        <v>29</v>
      </c>
      <c r="Q83" s="41" t="s">
        <v>29</v>
      </c>
      <c r="R83" s="79"/>
      <c r="S83" s="83">
        <v>1</v>
      </c>
      <c r="U83" s="326"/>
    </row>
    <row r="84" spans="1:35" x14ac:dyDescent="0.35">
      <c r="A84" s="211" t="s">
        <v>2034</v>
      </c>
      <c r="B84" s="356" t="s">
        <v>2021</v>
      </c>
      <c r="C84" s="1">
        <v>0</v>
      </c>
      <c r="D84" s="1">
        <v>0</v>
      </c>
      <c r="E84" s="1">
        <v>0</v>
      </c>
      <c r="F84" s="1">
        <v>0</v>
      </c>
      <c r="G84" s="1">
        <v>0</v>
      </c>
      <c r="H84" s="1">
        <v>0</v>
      </c>
      <c r="I84" s="1">
        <v>0</v>
      </c>
      <c r="J84" s="14"/>
      <c r="K84" s="33" t="s">
        <v>318</v>
      </c>
      <c r="L84" s="33" t="s">
        <v>418</v>
      </c>
      <c r="M84" s="211" t="s">
        <v>320</v>
      </c>
      <c r="N84" s="33">
        <v>0</v>
      </c>
      <c r="O84" s="33" t="s">
        <v>419</v>
      </c>
      <c r="P84" s="41" t="s">
        <v>29</v>
      </c>
      <c r="Q84" s="41" t="s">
        <v>29</v>
      </c>
      <c r="R84" s="79"/>
      <c r="S84" s="83">
        <v>1</v>
      </c>
    </row>
    <row r="85" spans="1:35" x14ac:dyDescent="0.35">
      <c r="A85" s="211" t="s">
        <v>2035</v>
      </c>
      <c r="B85" s="356" t="s">
        <v>2036</v>
      </c>
      <c r="C85" s="1">
        <v>0</v>
      </c>
      <c r="D85" s="1">
        <v>0</v>
      </c>
      <c r="E85" s="1">
        <v>0</v>
      </c>
      <c r="F85" s="1">
        <v>0</v>
      </c>
      <c r="G85" s="1">
        <v>0</v>
      </c>
      <c r="H85" s="1">
        <v>0</v>
      </c>
      <c r="I85" s="1">
        <v>0</v>
      </c>
      <c r="K85" s="33" t="s">
        <v>318</v>
      </c>
      <c r="L85" s="33" t="s">
        <v>418</v>
      </c>
      <c r="M85" s="211" t="s">
        <v>320</v>
      </c>
      <c r="N85" s="33">
        <v>0</v>
      </c>
      <c r="O85" s="33" t="s">
        <v>419</v>
      </c>
      <c r="P85" s="41" t="s">
        <v>29</v>
      </c>
      <c r="Q85" s="41" t="s">
        <v>29</v>
      </c>
      <c r="R85" s="79"/>
      <c r="S85" s="83">
        <v>1</v>
      </c>
    </row>
    <row r="86" spans="1:35" x14ac:dyDescent="0.35">
      <c r="A86" s="211" t="s">
        <v>2037</v>
      </c>
      <c r="B86" s="356" t="s">
        <v>368</v>
      </c>
      <c r="C86" s="1">
        <v>0</v>
      </c>
      <c r="D86" s="1">
        <v>0</v>
      </c>
      <c r="E86" s="1">
        <v>0</v>
      </c>
      <c r="F86" s="1">
        <v>0</v>
      </c>
      <c r="G86" s="1">
        <v>0</v>
      </c>
      <c r="H86" s="1">
        <v>0</v>
      </c>
      <c r="I86" s="1">
        <v>0</v>
      </c>
      <c r="K86" s="33" t="s">
        <v>318</v>
      </c>
      <c r="L86" s="33" t="s">
        <v>418</v>
      </c>
      <c r="M86" s="211" t="s">
        <v>320</v>
      </c>
      <c r="N86" s="33">
        <v>0</v>
      </c>
      <c r="O86" s="211" t="s">
        <v>1990</v>
      </c>
      <c r="P86" s="41" t="s">
        <v>29</v>
      </c>
      <c r="Q86" s="41" t="s">
        <v>29</v>
      </c>
      <c r="R86" s="79"/>
      <c r="S86" s="83">
        <v>1</v>
      </c>
    </row>
    <row r="87" spans="1:35" x14ac:dyDescent="0.35">
      <c r="A87" s="33" t="s">
        <v>422</v>
      </c>
      <c r="B87" s="33" t="s">
        <v>423</v>
      </c>
      <c r="C87" s="369">
        <v>0</v>
      </c>
      <c r="D87" s="369">
        <v>0</v>
      </c>
      <c r="E87" s="369">
        <v>0</v>
      </c>
      <c r="F87" s="369">
        <v>0</v>
      </c>
      <c r="G87" s="369">
        <v>0</v>
      </c>
      <c r="H87" s="369">
        <v>0</v>
      </c>
      <c r="I87" s="369">
        <v>0</v>
      </c>
      <c r="J87" s="369"/>
      <c r="K87" s="33" t="s">
        <v>318</v>
      </c>
      <c r="L87" s="33" t="s">
        <v>418</v>
      </c>
      <c r="M87" s="33" t="s">
        <v>320</v>
      </c>
      <c r="N87" s="33">
        <v>0</v>
      </c>
      <c r="O87" s="33" t="s">
        <v>419</v>
      </c>
      <c r="P87" s="41" t="s">
        <v>29</v>
      </c>
      <c r="Q87" s="41" t="s">
        <v>29</v>
      </c>
      <c r="R87" s="79"/>
      <c r="S87" s="83">
        <v>1</v>
      </c>
      <c r="U87" s="326"/>
      <c r="V87" s="326"/>
      <c r="W87" s="326"/>
      <c r="X87" s="326"/>
      <c r="Y87" s="326"/>
      <c r="Z87" s="326"/>
      <c r="AA87" s="326"/>
      <c r="AB87" s="326"/>
      <c r="AC87" s="326"/>
      <c r="AD87" s="326"/>
      <c r="AE87" s="326"/>
      <c r="AF87" s="326"/>
      <c r="AG87" s="326"/>
      <c r="AH87" s="326"/>
      <c r="AI87" s="326"/>
    </row>
    <row r="88" spans="1:35" x14ac:dyDescent="0.35">
      <c r="A88" s="14" t="s">
        <v>424</v>
      </c>
      <c r="B88" s="14" t="s">
        <v>425</v>
      </c>
      <c r="C88" s="372">
        <v>0</v>
      </c>
      <c r="D88" s="372">
        <v>0</v>
      </c>
      <c r="E88" s="372">
        <v>0</v>
      </c>
      <c r="F88" s="372">
        <v>0</v>
      </c>
      <c r="G88" s="372">
        <v>0</v>
      </c>
      <c r="H88" s="372">
        <v>0</v>
      </c>
      <c r="I88" s="372">
        <v>0</v>
      </c>
      <c r="J88" s="372"/>
      <c r="K88" s="14" t="s">
        <v>318</v>
      </c>
      <c r="L88" s="14" t="s">
        <v>418</v>
      </c>
      <c r="M88" s="14" t="s">
        <v>320</v>
      </c>
      <c r="N88" s="14">
        <v>0</v>
      </c>
      <c r="O88" s="211" t="s">
        <v>1990</v>
      </c>
      <c r="P88" s="42" t="s">
        <v>29</v>
      </c>
      <c r="Q88" s="42" t="s">
        <v>29</v>
      </c>
      <c r="R88" s="80"/>
      <c r="S88" s="83">
        <v>1</v>
      </c>
      <c r="U88" s="326"/>
      <c r="V88" s="326"/>
      <c r="W88" s="326"/>
      <c r="X88" s="326"/>
      <c r="Y88" s="326"/>
      <c r="Z88" s="326"/>
      <c r="AA88" s="326"/>
      <c r="AB88" s="326"/>
      <c r="AC88" s="326"/>
      <c r="AD88" s="326"/>
      <c r="AE88" s="326"/>
      <c r="AF88" s="326"/>
      <c r="AG88" s="326"/>
      <c r="AH88" s="326"/>
      <c r="AI88" s="326"/>
    </row>
    <row r="89" spans="1:35" x14ac:dyDescent="0.35">
      <c r="A89" s="33" t="s">
        <v>426</v>
      </c>
      <c r="B89" s="33" t="s">
        <v>340</v>
      </c>
      <c r="C89" s="369">
        <v>0</v>
      </c>
      <c r="D89" s="369">
        <v>0</v>
      </c>
      <c r="E89" s="369">
        <v>0</v>
      </c>
      <c r="F89" s="369">
        <v>0</v>
      </c>
      <c r="G89" s="369">
        <v>0</v>
      </c>
      <c r="H89" s="369">
        <v>0</v>
      </c>
      <c r="I89" s="369">
        <v>0</v>
      </c>
      <c r="J89" s="369"/>
      <c r="K89" s="33" t="s">
        <v>318</v>
      </c>
      <c r="L89" s="33" t="s">
        <v>418</v>
      </c>
      <c r="M89" s="33" t="s">
        <v>320</v>
      </c>
      <c r="N89" s="33">
        <v>0</v>
      </c>
      <c r="O89" s="33" t="s">
        <v>419</v>
      </c>
      <c r="P89" s="41" t="s">
        <v>29</v>
      </c>
      <c r="Q89" s="41" t="s">
        <v>29</v>
      </c>
      <c r="R89" s="79"/>
      <c r="S89" s="83">
        <v>1</v>
      </c>
      <c r="U89" s="326"/>
    </row>
    <row r="90" spans="1:35" x14ac:dyDescent="0.35">
      <c r="A90" s="14" t="s">
        <v>427</v>
      </c>
      <c r="B90" s="14" t="s">
        <v>342</v>
      </c>
      <c r="C90" s="372">
        <v>0</v>
      </c>
      <c r="D90" s="372">
        <v>0</v>
      </c>
      <c r="E90" s="372">
        <v>0</v>
      </c>
      <c r="F90" s="372">
        <v>0</v>
      </c>
      <c r="G90" s="372">
        <v>0</v>
      </c>
      <c r="H90" s="372">
        <v>0</v>
      </c>
      <c r="I90" s="372">
        <v>0</v>
      </c>
      <c r="J90" s="372"/>
      <c r="K90" s="14" t="s">
        <v>318</v>
      </c>
      <c r="L90" s="14" t="s">
        <v>418</v>
      </c>
      <c r="M90" s="14" t="s">
        <v>320</v>
      </c>
      <c r="N90" s="14">
        <v>0</v>
      </c>
      <c r="O90" s="14" t="s">
        <v>419</v>
      </c>
      <c r="P90" s="42" t="s">
        <v>29</v>
      </c>
      <c r="Q90" s="42" t="s">
        <v>29</v>
      </c>
      <c r="R90" s="80"/>
      <c r="S90" s="83">
        <v>1</v>
      </c>
      <c r="U90" s="326"/>
    </row>
    <row r="91" spans="1:35" x14ac:dyDescent="0.35">
      <c r="A91" s="33" t="s">
        <v>428</v>
      </c>
      <c r="B91" s="33" t="s">
        <v>356</v>
      </c>
      <c r="C91" s="369">
        <v>0</v>
      </c>
      <c r="D91" s="369">
        <v>0</v>
      </c>
      <c r="E91" s="369">
        <v>0</v>
      </c>
      <c r="F91" s="369">
        <v>0</v>
      </c>
      <c r="G91" s="369">
        <v>0</v>
      </c>
      <c r="H91" s="369">
        <v>0</v>
      </c>
      <c r="I91" s="369">
        <v>0</v>
      </c>
      <c r="J91" s="369"/>
      <c r="K91" s="33" t="s">
        <v>318</v>
      </c>
      <c r="L91" s="33" t="s">
        <v>418</v>
      </c>
      <c r="M91" s="33" t="s">
        <v>320</v>
      </c>
      <c r="N91" s="33">
        <v>0</v>
      </c>
      <c r="O91" s="33" t="s">
        <v>419</v>
      </c>
      <c r="P91" s="41" t="s">
        <v>29</v>
      </c>
      <c r="Q91" s="41" t="s">
        <v>29</v>
      </c>
      <c r="R91" s="79"/>
      <c r="S91" s="83">
        <v>1</v>
      </c>
      <c r="U91" s="326"/>
    </row>
    <row r="92" spans="1:35" x14ac:dyDescent="0.35">
      <c r="A92" s="14" t="s">
        <v>429</v>
      </c>
      <c r="B92" s="14" t="s">
        <v>364</v>
      </c>
      <c r="C92" s="372">
        <v>0</v>
      </c>
      <c r="D92" s="372">
        <v>0</v>
      </c>
      <c r="E92" s="372">
        <v>0</v>
      </c>
      <c r="F92" s="372">
        <v>0</v>
      </c>
      <c r="G92" s="372">
        <v>0</v>
      </c>
      <c r="H92" s="372">
        <v>0</v>
      </c>
      <c r="I92" s="372">
        <v>0</v>
      </c>
      <c r="J92" s="372"/>
      <c r="K92" s="14" t="s">
        <v>318</v>
      </c>
      <c r="L92" s="14" t="s">
        <v>418</v>
      </c>
      <c r="M92" s="14" t="s">
        <v>320</v>
      </c>
      <c r="N92" s="14">
        <v>0</v>
      </c>
      <c r="O92" s="14" t="s">
        <v>419</v>
      </c>
      <c r="P92" s="42" t="s">
        <v>29</v>
      </c>
      <c r="Q92" s="42" t="s">
        <v>29</v>
      </c>
      <c r="R92" s="80"/>
      <c r="S92" s="83">
        <v>1</v>
      </c>
      <c r="U92" s="326"/>
    </row>
    <row r="93" spans="1:35" x14ac:dyDescent="0.35">
      <c r="A93" s="33" t="s">
        <v>430</v>
      </c>
      <c r="B93" s="33" t="s">
        <v>431</v>
      </c>
      <c r="C93" s="369">
        <v>0</v>
      </c>
      <c r="D93" s="369">
        <v>0</v>
      </c>
      <c r="E93" s="369">
        <v>0</v>
      </c>
      <c r="F93" s="369">
        <v>0</v>
      </c>
      <c r="G93" s="369">
        <v>0</v>
      </c>
      <c r="H93" s="369">
        <v>0</v>
      </c>
      <c r="I93" s="369">
        <v>0</v>
      </c>
      <c r="J93" s="369"/>
      <c r="K93" s="33" t="s">
        <v>318</v>
      </c>
      <c r="L93" s="33" t="s">
        <v>418</v>
      </c>
      <c r="M93" s="33" t="s">
        <v>320</v>
      </c>
      <c r="N93" s="33">
        <v>0</v>
      </c>
      <c r="O93" s="33" t="s">
        <v>419</v>
      </c>
      <c r="P93" s="41" t="s">
        <v>29</v>
      </c>
      <c r="Q93" s="41" t="s">
        <v>29</v>
      </c>
      <c r="R93" s="79"/>
      <c r="S93" s="83">
        <v>1</v>
      </c>
      <c r="U93" s="326"/>
    </row>
    <row r="94" spans="1:35" x14ac:dyDescent="0.35">
      <c r="A94" s="14" t="s">
        <v>432</v>
      </c>
      <c r="B94" s="14" t="s">
        <v>433</v>
      </c>
      <c r="C94" s="372">
        <v>0</v>
      </c>
      <c r="D94" s="372">
        <v>0</v>
      </c>
      <c r="E94" s="372">
        <v>0</v>
      </c>
      <c r="F94" s="372">
        <v>0</v>
      </c>
      <c r="G94" s="372">
        <v>0</v>
      </c>
      <c r="H94" s="372">
        <v>0</v>
      </c>
      <c r="I94" s="372">
        <v>0</v>
      </c>
      <c r="J94" s="372"/>
      <c r="K94" s="14" t="s">
        <v>318</v>
      </c>
      <c r="L94" s="14" t="s">
        <v>418</v>
      </c>
      <c r="M94" s="14" t="s">
        <v>320</v>
      </c>
      <c r="N94" s="14">
        <v>0</v>
      </c>
      <c r="O94" s="14" t="s">
        <v>419</v>
      </c>
      <c r="P94" s="42" t="s">
        <v>29</v>
      </c>
      <c r="Q94" s="42" t="s">
        <v>29</v>
      </c>
      <c r="R94" s="80"/>
      <c r="S94" s="83">
        <v>1</v>
      </c>
      <c r="U94" s="326"/>
    </row>
    <row r="95" spans="1:35" x14ac:dyDescent="0.35">
      <c r="A95" s="33" t="s">
        <v>434</v>
      </c>
      <c r="B95" s="33" t="s">
        <v>435</v>
      </c>
      <c r="C95" s="369">
        <v>0</v>
      </c>
      <c r="D95" s="369">
        <v>0</v>
      </c>
      <c r="E95" s="369">
        <v>0</v>
      </c>
      <c r="F95" s="369">
        <v>0</v>
      </c>
      <c r="G95" s="369">
        <v>0</v>
      </c>
      <c r="H95" s="369">
        <v>0</v>
      </c>
      <c r="I95" s="369">
        <v>0</v>
      </c>
      <c r="J95" s="369"/>
      <c r="K95" s="33" t="s">
        <v>318</v>
      </c>
      <c r="L95" s="33" t="s">
        <v>418</v>
      </c>
      <c r="M95" s="33" t="s">
        <v>320</v>
      </c>
      <c r="N95" s="33">
        <v>0</v>
      </c>
      <c r="O95" s="33" t="s">
        <v>419</v>
      </c>
      <c r="P95" s="41" t="s">
        <v>29</v>
      </c>
      <c r="Q95" s="41" t="s">
        <v>29</v>
      </c>
      <c r="R95" s="79"/>
      <c r="S95" s="83">
        <v>1</v>
      </c>
      <c r="U95" s="326"/>
    </row>
    <row r="96" spans="1:35" x14ac:dyDescent="0.35">
      <c r="A96" s="14" t="s">
        <v>436</v>
      </c>
      <c r="B96" s="14" t="s">
        <v>362</v>
      </c>
      <c r="C96" s="372">
        <v>0</v>
      </c>
      <c r="D96" s="372">
        <v>0</v>
      </c>
      <c r="E96" s="372">
        <v>0</v>
      </c>
      <c r="F96" s="372">
        <v>0</v>
      </c>
      <c r="G96" s="372">
        <v>0</v>
      </c>
      <c r="H96" s="372">
        <v>0</v>
      </c>
      <c r="I96" s="372">
        <v>0</v>
      </c>
      <c r="J96" s="372"/>
      <c r="K96" s="14" t="s">
        <v>318</v>
      </c>
      <c r="L96" s="14" t="s">
        <v>418</v>
      </c>
      <c r="M96" s="14" t="s">
        <v>320</v>
      </c>
      <c r="N96" s="14">
        <v>0</v>
      </c>
      <c r="O96" s="14" t="s">
        <v>419</v>
      </c>
      <c r="P96" s="42" t="s">
        <v>29</v>
      </c>
      <c r="Q96" s="42" t="s">
        <v>29</v>
      </c>
      <c r="R96" s="80"/>
      <c r="S96" s="83">
        <v>1</v>
      </c>
      <c r="U96" s="326"/>
    </row>
    <row r="97" spans="1:35" x14ac:dyDescent="0.35">
      <c r="A97" s="33" t="s">
        <v>437</v>
      </c>
      <c r="B97" s="33" t="s">
        <v>438</v>
      </c>
      <c r="C97" s="369">
        <v>0</v>
      </c>
      <c r="D97" s="369">
        <f>C97</f>
        <v>0</v>
      </c>
      <c r="E97" s="369">
        <f t="shared" ref="E97:I97" si="28">D97</f>
        <v>0</v>
      </c>
      <c r="F97" s="369">
        <f t="shared" si="28"/>
        <v>0</v>
      </c>
      <c r="G97" s="369">
        <f t="shared" si="28"/>
        <v>0</v>
      </c>
      <c r="H97" s="369">
        <f t="shared" si="28"/>
        <v>0</v>
      </c>
      <c r="I97" s="369">
        <f t="shared" si="28"/>
        <v>0</v>
      </c>
      <c r="J97" s="369"/>
      <c r="K97" s="33" t="s">
        <v>318</v>
      </c>
      <c r="L97" s="33" t="s">
        <v>418</v>
      </c>
      <c r="M97" s="33" t="s">
        <v>320</v>
      </c>
      <c r="N97" s="33">
        <v>0</v>
      </c>
      <c r="O97" s="33" t="s">
        <v>419</v>
      </c>
      <c r="P97" s="41" t="s">
        <v>29</v>
      </c>
      <c r="Q97" s="41" t="s">
        <v>29</v>
      </c>
      <c r="R97" s="79"/>
      <c r="S97" s="83">
        <v>1</v>
      </c>
      <c r="U97" s="326"/>
    </row>
    <row r="98" spans="1:35" x14ac:dyDescent="0.35">
      <c r="A98" s="14" t="s">
        <v>439</v>
      </c>
      <c r="B98" s="14" t="s">
        <v>440</v>
      </c>
      <c r="C98" s="372">
        <v>0</v>
      </c>
      <c r="D98" s="372">
        <v>0</v>
      </c>
      <c r="E98" s="372">
        <v>0</v>
      </c>
      <c r="F98" s="372">
        <v>0</v>
      </c>
      <c r="G98" s="372">
        <v>0</v>
      </c>
      <c r="H98" s="372">
        <v>0</v>
      </c>
      <c r="I98" s="372">
        <v>0</v>
      </c>
      <c r="J98" s="372"/>
      <c r="K98" s="14" t="s">
        <v>318</v>
      </c>
      <c r="L98" s="14" t="s">
        <v>418</v>
      </c>
      <c r="M98" s="14" t="s">
        <v>320</v>
      </c>
      <c r="N98" s="14">
        <v>0</v>
      </c>
      <c r="O98" s="14" t="s">
        <v>441</v>
      </c>
      <c r="P98" s="42" t="s">
        <v>29</v>
      </c>
      <c r="Q98" s="42" t="s">
        <v>29</v>
      </c>
      <c r="R98" s="80"/>
      <c r="S98" s="83">
        <v>1</v>
      </c>
      <c r="U98" s="326"/>
    </row>
    <row r="99" spans="1:35" x14ac:dyDescent="0.35">
      <c r="A99" s="33" t="s">
        <v>442</v>
      </c>
      <c r="B99" s="33" t="s">
        <v>443</v>
      </c>
      <c r="C99" s="369">
        <v>0</v>
      </c>
      <c r="D99" s="369">
        <v>0</v>
      </c>
      <c r="E99" s="369">
        <v>0</v>
      </c>
      <c r="F99" s="369">
        <v>0</v>
      </c>
      <c r="G99" s="369">
        <v>0</v>
      </c>
      <c r="H99" s="369">
        <v>0</v>
      </c>
      <c r="I99" s="369">
        <v>0</v>
      </c>
      <c r="J99" s="369"/>
      <c r="K99" s="33" t="s">
        <v>318</v>
      </c>
      <c r="L99" s="33" t="s">
        <v>418</v>
      </c>
      <c r="M99" s="33" t="s">
        <v>320</v>
      </c>
      <c r="N99" s="33">
        <v>0</v>
      </c>
      <c r="O99" s="33" t="s">
        <v>441</v>
      </c>
      <c r="P99" s="41" t="s">
        <v>29</v>
      </c>
      <c r="Q99" s="41" t="s">
        <v>29</v>
      </c>
      <c r="R99" s="79"/>
      <c r="S99" s="83">
        <v>1</v>
      </c>
      <c r="U99" s="326"/>
    </row>
    <row r="100" spans="1:35" x14ac:dyDescent="0.35">
      <c r="A100" s="14" t="s">
        <v>444</v>
      </c>
      <c r="B100" s="14" t="s">
        <v>445</v>
      </c>
      <c r="C100" s="372">
        <v>0</v>
      </c>
      <c r="D100" s="372">
        <v>0</v>
      </c>
      <c r="E100" s="372">
        <v>0</v>
      </c>
      <c r="F100" s="372">
        <v>0</v>
      </c>
      <c r="G100" s="372">
        <v>0</v>
      </c>
      <c r="H100" s="372">
        <v>0</v>
      </c>
      <c r="I100" s="372">
        <v>0</v>
      </c>
      <c r="J100" s="372"/>
      <c r="K100" s="14" t="s">
        <v>318</v>
      </c>
      <c r="L100" s="14" t="s">
        <v>418</v>
      </c>
      <c r="M100" s="14" t="s">
        <v>320</v>
      </c>
      <c r="N100" s="14">
        <v>0</v>
      </c>
      <c r="O100" s="14" t="s">
        <v>441</v>
      </c>
      <c r="P100" s="42" t="s">
        <v>29</v>
      </c>
      <c r="Q100" s="42" t="s">
        <v>29</v>
      </c>
      <c r="R100" s="80"/>
      <c r="S100" s="83">
        <v>1</v>
      </c>
      <c r="U100" s="326"/>
    </row>
    <row r="101" spans="1:35" ht="12.65" customHeight="1" x14ac:dyDescent="0.35">
      <c r="A101" s="33" t="s">
        <v>446</v>
      </c>
      <c r="B101" s="33" t="s">
        <v>447</v>
      </c>
      <c r="C101" s="369">
        <v>0</v>
      </c>
      <c r="D101" s="369">
        <v>0</v>
      </c>
      <c r="E101" s="369">
        <v>0</v>
      </c>
      <c r="F101" s="369">
        <v>0</v>
      </c>
      <c r="G101" s="369">
        <v>0</v>
      </c>
      <c r="H101" s="369">
        <v>0</v>
      </c>
      <c r="I101" s="369">
        <v>0</v>
      </c>
      <c r="J101" s="369"/>
      <c r="K101" s="33" t="s">
        <v>318</v>
      </c>
      <c r="L101" s="33" t="s">
        <v>418</v>
      </c>
      <c r="M101" s="33" t="s">
        <v>320</v>
      </c>
      <c r="N101" s="33">
        <v>0</v>
      </c>
      <c r="O101" s="33" t="s">
        <v>441</v>
      </c>
      <c r="P101" s="41" t="s">
        <v>29</v>
      </c>
      <c r="Q101" s="41" t="s">
        <v>29</v>
      </c>
      <c r="R101" s="79"/>
      <c r="S101" s="83">
        <v>1</v>
      </c>
      <c r="U101" s="326"/>
    </row>
    <row r="102" spans="1:35" x14ac:dyDescent="0.35">
      <c r="A102" s="14" t="s">
        <v>448</v>
      </c>
      <c r="B102" s="14" t="s">
        <v>317</v>
      </c>
      <c r="C102" s="372">
        <v>0</v>
      </c>
      <c r="D102" s="372">
        <v>0</v>
      </c>
      <c r="E102" s="372">
        <v>0</v>
      </c>
      <c r="F102" s="372">
        <v>0</v>
      </c>
      <c r="G102" s="372">
        <v>0</v>
      </c>
      <c r="H102" s="372">
        <v>0</v>
      </c>
      <c r="I102" s="372">
        <v>0</v>
      </c>
      <c r="J102" s="372"/>
      <c r="K102" s="14" t="s">
        <v>449</v>
      </c>
      <c r="L102" s="14" t="s">
        <v>450</v>
      </c>
      <c r="M102" s="14" t="s">
        <v>409</v>
      </c>
      <c r="N102" s="14">
        <v>0</v>
      </c>
      <c r="O102" s="14" t="s">
        <v>451</v>
      </c>
      <c r="P102" s="42" t="s">
        <v>29</v>
      </c>
      <c r="Q102" s="42" t="s">
        <v>29</v>
      </c>
      <c r="R102" s="80" t="s">
        <v>452</v>
      </c>
      <c r="U102" s="326"/>
      <c r="V102" s="326"/>
      <c r="W102" s="326"/>
      <c r="X102" s="326"/>
      <c r="Y102" s="326"/>
      <c r="Z102" s="326"/>
      <c r="AA102" s="326"/>
      <c r="AB102" s="326"/>
      <c r="AC102" s="326"/>
      <c r="AD102" s="326"/>
      <c r="AE102" s="326"/>
      <c r="AF102" s="326"/>
      <c r="AG102" s="326"/>
      <c r="AH102" s="326"/>
      <c r="AI102" s="326"/>
    </row>
    <row r="103" spans="1:35" x14ac:dyDescent="0.35">
      <c r="A103" s="33" t="s">
        <v>453</v>
      </c>
      <c r="B103" s="33" t="s">
        <v>317</v>
      </c>
      <c r="C103" s="369">
        <v>0</v>
      </c>
      <c r="D103" s="369">
        <v>0</v>
      </c>
      <c r="E103" s="369">
        <v>0</v>
      </c>
      <c r="F103" s="369">
        <v>0</v>
      </c>
      <c r="G103" s="369">
        <v>0</v>
      </c>
      <c r="H103" s="369">
        <v>0</v>
      </c>
      <c r="I103" s="369">
        <v>0</v>
      </c>
      <c r="J103" s="369"/>
      <c r="K103" s="33" t="s">
        <v>454</v>
      </c>
      <c r="L103" s="33" t="s">
        <v>450</v>
      </c>
      <c r="M103" s="33" t="s">
        <v>320</v>
      </c>
      <c r="N103" s="33">
        <v>0</v>
      </c>
      <c r="O103" s="33" t="s">
        <v>451</v>
      </c>
      <c r="P103" s="41" t="s">
        <v>29</v>
      </c>
      <c r="Q103" s="41" t="s">
        <v>29</v>
      </c>
      <c r="R103" s="79" t="s">
        <v>452</v>
      </c>
      <c r="U103" s="326"/>
      <c r="V103" s="326"/>
      <c r="W103" s="326"/>
      <c r="X103" s="326"/>
      <c r="Y103" s="326"/>
      <c r="Z103" s="326"/>
      <c r="AA103" s="326"/>
      <c r="AB103" s="326"/>
      <c r="AC103" s="326"/>
      <c r="AD103" s="326"/>
      <c r="AE103" s="326"/>
      <c r="AF103" s="326"/>
      <c r="AG103" s="326"/>
      <c r="AH103" s="326"/>
      <c r="AI103" s="326"/>
    </row>
    <row r="104" spans="1:35" x14ac:dyDescent="0.35">
      <c r="A104" s="14" t="s">
        <v>455</v>
      </c>
      <c r="B104" s="14" t="s">
        <v>317</v>
      </c>
      <c r="C104" s="372">
        <v>0</v>
      </c>
      <c r="D104" s="372">
        <v>0</v>
      </c>
      <c r="E104" s="372">
        <v>0</v>
      </c>
      <c r="F104" s="372">
        <v>0</v>
      </c>
      <c r="G104" s="372">
        <v>0</v>
      </c>
      <c r="H104" s="372">
        <v>0</v>
      </c>
      <c r="I104" s="372">
        <v>0</v>
      </c>
      <c r="J104" s="372"/>
      <c r="K104" s="14" t="s">
        <v>454</v>
      </c>
      <c r="L104" s="14" t="s">
        <v>450</v>
      </c>
      <c r="M104" s="14" t="s">
        <v>320</v>
      </c>
      <c r="N104" s="14">
        <v>0</v>
      </c>
      <c r="O104" s="14" t="s">
        <v>451</v>
      </c>
      <c r="P104" s="42" t="s">
        <v>29</v>
      </c>
      <c r="Q104" s="42" t="s">
        <v>29</v>
      </c>
      <c r="R104" s="80" t="s">
        <v>452</v>
      </c>
      <c r="U104" s="326"/>
      <c r="V104" s="326"/>
      <c r="W104" s="326"/>
      <c r="X104" s="326"/>
      <c r="Y104" s="326"/>
      <c r="Z104" s="326"/>
      <c r="AA104" s="326"/>
      <c r="AB104" s="326"/>
      <c r="AC104" s="326"/>
      <c r="AD104" s="326"/>
      <c r="AE104" s="326"/>
      <c r="AF104" s="326"/>
      <c r="AG104" s="326"/>
      <c r="AH104" s="326"/>
      <c r="AI104" s="326"/>
    </row>
    <row r="105" spans="1:35" x14ac:dyDescent="0.35">
      <c r="A105" s="33" t="s">
        <v>456</v>
      </c>
      <c r="B105" s="33" t="s">
        <v>317</v>
      </c>
      <c r="C105" s="369">
        <v>0</v>
      </c>
      <c r="D105" s="369">
        <v>0</v>
      </c>
      <c r="E105" s="369">
        <v>0</v>
      </c>
      <c r="F105" s="369">
        <v>0</v>
      </c>
      <c r="G105" s="369">
        <v>0</v>
      </c>
      <c r="H105" s="369">
        <v>0</v>
      </c>
      <c r="I105" s="369">
        <v>0</v>
      </c>
      <c r="J105" s="369"/>
      <c r="K105" s="33" t="s">
        <v>454</v>
      </c>
      <c r="L105" s="33" t="s">
        <v>450</v>
      </c>
      <c r="M105" s="33" t="s">
        <v>320</v>
      </c>
      <c r="N105" s="33">
        <v>0</v>
      </c>
      <c r="O105" s="33" t="s">
        <v>451</v>
      </c>
      <c r="P105" s="41" t="s">
        <v>29</v>
      </c>
      <c r="Q105" s="41" t="s">
        <v>29</v>
      </c>
      <c r="R105" s="79" t="s">
        <v>452</v>
      </c>
      <c r="U105" s="326"/>
      <c r="V105" s="326"/>
      <c r="W105" s="326"/>
      <c r="X105" s="326"/>
      <c r="Y105" s="326"/>
      <c r="Z105" s="326"/>
      <c r="AA105" s="326"/>
      <c r="AB105" s="326"/>
      <c r="AC105" s="326"/>
      <c r="AD105" s="326"/>
      <c r="AE105" s="326"/>
      <c r="AF105" s="326"/>
      <c r="AG105" s="326"/>
      <c r="AH105" s="326"/>
      <c r="AI105" s="326"/>
    </row>
    <row r="106" spans="1:35" x14ac:dyDescent="0.35">
      <c r="A106" s="14" t="s">
        <v>457</v>
      </c>
      <c r="B106" s="14" t="s">
        <v>317</v>
      </c>
      <c r="C106" s="372">
        <v>0</v>
      </c>
      <c r="D106" s="372">
        <v>0</v>
      </c>
      <c r="E106" s="372">
        <v>0</v>
      </c>
      <c r="F106" s="372">
        <v>0</v>
      </c>
      <c r="G106" s="372">
        <v>0</v>
      </c>
      <c r="H106" s="372">
        <v>0</v>
      </c>
      <c r="I106" s="372">
        <v>0</v>
      </c>
      <c r="J106" s="372"/>
      <c r="K106" s="14" t="s">
        <v>458</v>
      </c>
      <c r="L106" s="14" t="s">
        <v>450</v>
      </c>
      <c r="M106" s="14" t="s">
        <v>320</v>
      </c>
      <c r="N106" s="14">
        <v>0</v>
      </c>
      <c r="O106" s="14" t="s">
        <v>459</v>
      </c>
      <c r="P106" s="42" t="s">
        <v>29</v>
      </c>
      <c r="Q106" s="42" t="s">
        <v>29</v>
      </c>
      <c r="R106" s="80" t="s">
        <v>452</v>
      </c>
      <c r="U106" s="326"/>
      <c r="V106" s="326"/>
      <c r="W106" s="326"/>
      <c r="X106" s="326"/>
      <c r="Y106" s="326"/>
      <c r="Z106" s="326"/>
      <c r="AA106" s="326"/>
      <c r="AB106" s="326"/>
      <c r="AC106" s="326"/>
      <c r="AD106" s="326"/>
      <c r="AE106" s="326"/>
      <c r="AF106" s="326"/>
      <c r="AG106" s="326"/>
      <c r="AH106" s="326"/>
      <c r="AI106" s="326"/>
    </row>
    <row r="107" spans="1:35" x14ac:dyDescent="0.35">
      <c r="A107" s="33" t="s">
        <v>460</v>
      </c>
      <c r="B107" s="33" t="s">
        <v>317</v>
      </c>
      <c r="C107" s="369">
        <v>0</v>
      </c>
      <c r="D107" s="369">
        <v>0</v>
      </c>
      <c r="E107" s="369">
        <v>0</v>
      </c>
      <c r="F107" s="369">
        <v>0</v>
      </c>
      <c r="G107" s="369">
        <v>0</v>
      </c>
      <c r="H107" s="369">
        <v>0</v>
      </c>
      <c r="I107" s="369">
        <v>0</v>
      </c>
      <c r="J107" s="369"/>
      <c r="K107" s="33" t="s">
        <v>458</v>
      </c>
      <c r="L107" s="33" t="s">
        <v>450</v>
      </c>
      <c r="M107" s="33" t="s">
        <v>320</v>
      </c>
      <c r="N107" s="33">
        <v>0</v>
      </c>
      <c r="O107" s="33" t="s">
        <v>459</v>
      </c>
      <c r="P107" s="41" t="s">
        <v>29</v>
      </c>
      <c r="Q107" s="41" t="s">
        <v>29</v>
      </c>
      <c r="R107" s="79" t="s">
        <v>452</v>
      </c>
      <c r="U107" s="326"/>
      <c r="V107" s="326"/>
      <c r="W107" s="326"/>
      <c r="X107" s="326"/>
      <c r="Y107" s="326"/>
      <c r="Z107" s="326"/>
      <c r="AA107" s="326"/>
      <c r="AB107" s="326"/>
      <c r="AC107" s="326"/>
      <c r="AD107" s="326"/>
      <c r="AE107" s="326"/>
      <c r="AF107" s="326"/>
      <c r="AG107" s="326"/>
      <c r="AH107" s="326"/>
      <c r="AI107" s="326"/>
    </row>
    <row r="108" spans="1:35" x14ac:dyDescent="0.35">
      <c r="A108" s="14" t="s">
        <v>461</v>
      </c>
      <c r="B108" s="14" t="s">
        <v>317</v>
      </c>
      <c r="C108" s="372">
        <v>0</v>
      </c>
      <c r="D108" s="372">
        <v>0</v>
      </c>
      <c r="E108" s="372">
        <v>0</v>
      </c>
      <c r="F108" s="372">
        <v>0</v>
      </c>
      <c r="G108" s="372">
        <v>0</v>
      </c>
      <c r="H108" s="372">
        <v>0</v>
      </c>
      <c r="I108" s="372">
        <v>0</v>
      </c>
      <c r="J108" s="372"/>
      <c r="K108" s="14" t="s">
        <v>458</v>
      </c>
      <c r="L108" s="14" t="s">
        <v>450</v>
      </c>
      <c r="M108" s="14" t="s">
        <v>320</v>
      </c>
      <c r="N108" s="14">
        <v>0</v>
      </c>
      <c r="O108" s="14" t="s">
        <v>459</v>
      </c>
      <c r="P108" s="42" t="s">
        <v>29</v>
      </c>
      <c r="Q108" s="42" t="s">
        <v>29</v>
      </c>
      <c r="R108" s="80" t="s">
        <v>452</v>
      </c>
      <c r="U108" s="326"/>
      <c r="V108" s="326"/>
      <c r="W108" s="326"/>
      <c r="X108" s="326"/>
      <c r="Y108" s="326"/>
      <c r="Z108" s="326"/>
      <c r="AA108" s="326"/>
      <c r="AB108" s="326"/>
      <c r="AC108" s="326"/>
      <c r="AD108" s="326"/>
      <c r="AE108" s="326"/>
      <c r="AF108" s="326"/>
      <c r="AG108" s="326"/>
      <c r="AH108" s="326"/>
      <c r="AI108" s="326"/>
    </row>
    <row r="109" spans="1:35" x14ac:dyDescent="0.35">
      <c r="A109" s="33" t="s">
        <v>462</v>
      </c>
      <c r="B109" s="33" t="s">
        <v>317</v>
      </c>
      <c r="C109" s="369">
        <v>0</v>
      </c>
      <c r="D109" s="369">
        <v>0</v>
      </c>
      <c r="E109" s="369">
        <v>0</v>
      </c>
      <c r="F109" s="369">
        <v>0</v>
      </c>
      <c r="G109" s="369">
        <v>0</v>
      </c>
      <c r="H109" s="369">
        <v>0</v>
      </c>
      <c r="I109" s="369">
        <v>0</v>
      </c>
      <c r="J109" s="369"/>
      <c r="K109" s="33" t="s">
        <v>454</v>
      </c>
      <c r="L109" s="33" t="s">
        <v>450</v>
      </c>
      <c r="M109" s="33" t="s">
        <v>320</v>
      </c>
      <c r="N109" s="33">
        <v>0</v>
      </c>
      <c r="O109" s="33" t="s">
        <v>459</v>
      </c>
      <c r="P109" s="41" t="s">
        <v>29</v>
      </c>
      <c r="Q109" s="41" t="s">
        <v>29</v>
      </c>
      <c r="R109" s="79" t="s">
        <v>452</v>
      </c>
      <c r="U109" s="326"/>
      <c r="V109" s="326"/>
      <c r="W109" s="326"/>
      <c r="X109" s="326"/>
      <c r="Y109" s="326"/>
      <c r="Z109" s="326"/>
      <c r="AA109" s="326"/>
      <c r="AB109" s="326"/>
      <c r="AC109" s="326"/>
      <c r="AD109" s="326"/>
      <c r="AE109" s="326"/>
      <c r="AF109" s="326"/>
      <c r="AG109" s="326"/>
      <c r="AH109" s="326"/>
      <c r="AI109" s="326"/>
    </row>
    <row r="110" spans="1:35" x14ac:dyDescent="0.35">
      <c r="A110" s="14" t="s">
        <v>463</v>
      </c>
      <c r="B110" s="14" t="s">
        <v>317</v>
      </c>
      <c r="C110" s="372">
        <v>0</v>
      </c>
      <c r="D110" s="372">
        <v>0</v>
      </c>
      <c r="E110" s="372">
        <v>0</v>
      </c>
      <c r="F110" s="372">
        <v>0</v>
      </c>
      <c r="G110" s="372">
        <v>0</v>
      </c>
      <c r="H110" s="372">
        <v>0</v>
      </c>
      <c r="I110" s="372">
        <v>0</v>
      </c>
      <c r="J110" s="372"/>
      <c r="K110" s="14" t="s">
        <v>458</v>
      </c>
      <c r="L110" s="14" t="s">
        <v>450</v>
      </c>
      <c r="M110" s="14" t="s">
        <v>320</v>
      </c>
      <c r="N110" s="14">
        <v>0</v>
      </c>
      <c r="O110" s="14" t="s">
        <v>459</v>
      </c>
      <c r="P110" s="42" t="s">
        <v>29</v>
      </c>
      <c r="Q110" s="42" t="s">
        <v>29</v>
      </c>
      <c r="R110" s="80" t="s">
        <v>452</v>
      </c>
      <c r="U110" s="326"/>
      <c r="V110" s="326"/>
      <c r="W110" s="326"/>
      <c r="X110" s="326"/>
      <c r="Y110" s="326"/>
      <c r="Z110" s="326"/>
      <c r="AA110" s="326"/>
      <c r="AB110" s="326"/>
      <c r="AC110" s="326"/>
      <c r="AD110" s="326"/>
      <c r="AE110" s="326"/>
      <c r="AF110" s="326"/>
      <c r="AG110" s="326"/>
      <c r="AH110" s="326"/>
      <c r="AI110" s="326"/>
    </row>
    <row r="111" spans="1:35" x14ac:dyDescent="0.35">
      <c r="A111" s="33" t="s">
        <v>464</v>
      </c>
      <c r="B111" s="33" t="s">
        <v>317</v>
      </c>
      <c r="C111" s="369">
        <v>0</v>
      </c>
      <c r="D111" s="369">
        <v>0</v>
      </c>
      <c r="E111" s="369">
        <v>0</v>
      </c>
      <c r="F111" s="369">
        <v>0</v>
      </c>
      <c r="G111" s="369">
        <v>0</v>
      </c>
      <c r="H111" s="369">
        <v>0</v>
      </c>
      <c r="I111" s="369">
        <v>0</v>
      </c>
      <c r="J111" s="369"/>
      <c r="K111" s="33" t="s">
        <v>458</v>
      </c>
      <c r="L111" s="33" t="s">
        <v>450</v>
      </c>
      <c r="M111" s="33" t="s">
        <v>320</v>
      </c>
      <c r="N111" s="33">
        <v>0</v>
      </c>
      <c r="O111" s="33" t="s">
        <v>459</v>
      </c>
      <c r="P111" s="41" t="s">
        <v>29</v>
      </c>
      <c r="Q111" s="41" t="s">
        <v>29</v>
      </c>
      <c r="R111" s="79" t="s">
        <v>452</v>
      </c>
      <c r="U111" s="326"/>
      <c r="V111" s="326"/>
      <c r="W111" s="326"/>
      <c r="X111" s="326"/>
      <c r="Y111" s="326"/>
      <c r="Z111" s="326"/>
      <c r="AA111" s="326"/>
      <c r="AB111" s="326"/>
      <c r="AC111" s="326"/>
      <c r="AD111" s="326"/>
      <c r="AE111" s="326"/>
      <c r="AF111" s="326"/>
      <c r="AG111" s="326"/>
      <c r="AH111" s="326"/>
      <c r="AI111" s="326"/>
    </row>
    <row r="112" spans="1:35" x14ac:dyDescent="0.35">
      <c r="A112" s="14" t="s">
        <v>465</v>
      </c>
      <c r="B112" s="14" t="s">
        <v>317</v>
      </c>
      <c r="C112" s="372">
        <v>0</v>
      </c>
      <c r="D112" s="372">
        <v>0</v>
      </c>
      <c r="E112" s="372">
        <v>0</v>
      </c>
      <c r="F112" s="372">
        <v>0</v>
      </c>
      <c r="G112" s="372">
        <v>0</v>
      </c>
      <c r="H112" s="372">
        <v>0</v>
      </c>
      <c r="I112" s="372">
        <v>0</v>
      </c>
      <c r="J112" s="372"/>
      <c r="K112" s="14" t="s">
        <v>458</v>
      </c>
      <c r="L112" s="14" t="s">
        <v>450</v>
      </c>
      <c r="M112" s="14" t="s">
        <v>320</v>
      </c>
      <c r="N112" s="14">
        <v>0</v>
      </c>
      <c r="O112" s="14" t="s">
        <v>459</v>
      </c>
      <c r="P112" s="42" t="s">
        <v>29</v>
      </c>
      <c r="Q112" s="42" t="s">
        <v>29</v>
      </c>
      <c r="R112" s="80" t="s">
        <v>452</v>
      </c>
      <c r="U112" s="326"/>
      <c r="V112" s="326"/>
      <c r="W112" s="326"/>
      <c r="X112" s="326"/>
      <c r="Y112" s="326"/>
      <c r="Z112" s="326"/>
      <c r="AA112" s="326"/>
      <c r="AB112" s="326"/>
      <c r="AC112" s="326"/>
      <c r="AD112" s="326"/>
      <c r="AE112" s="326"/>
      <c r="AF112" s="326"/>
      <c r="AG112" s="326"/>
      <c r="AH112" s="326"/>
      <c r="AI112" s="326"/>
    </row>
    <row r="113" spans="1:35" x14ac:dyDescent="0.35">
      <c r="A113" s="33" t="s">
        <v>466</v>
      </c>
      <c r="B113" s="33" t="s">
        <v>317</v>
      </c>
      <c r="C113" s="369">
        <v>0</v>
      </c>
      <c r="D113" s="369">
        <v>0</v>
      </c>
      <c r="E113" s="369">
        <v>0</v>
      </c>
      <c r="F113" s="369">
        <v>0</v>
      </c>
      <c r="G113" s="369">
        <v>0</v>
      </c>
      <c r="H113" s="369">
        <v>0</v>
      </c>
      <c r="I113" s="369">
        <v>0</v>
      </c>
      <c r="J113" s="369"/>
      <c r="K113" s="33" t="s">
        <v>458</v>
      </c>
      <c r="L113" s="33" t="s">
        <v>450</v>
      </c>
      <c r="M113" s="33" t="s">
        <v>320</v>
      </c>
      <c r="N113" s="33">
        <v>0</v>
      </c>
      <c r="O113" s="33" t="s">
        <v>459</v>
      </c>
      <c r="P113" s="41" t="s">
        <v>29</v>
      </c>
      <c r="Q113" s="41" t="s">
        <v>29</v>
      </c>
      <c r="R113" s="79" t="s">
        <v>452</v>
      </c>
      <c r="U113" s="326"/>
      <c r="V113" s="326"/>
      <c r="W113" s="326"/>
      <c r="X113" s="326"/>
      <c r="Y113" s="326"/>
      <c r="Z113" s="326"/>
      <c r="AA113" s="326"/>
      <c r="AB113" s="326"/>
      <c r="AC113" s="326"/>
      <c r="AD113" s="326"/>
      <c r="AE113" s="326"/>
      <c r="AF113" s="326"/>
      <c r="AG113" s="326"/>
      <c r="AH113" s="326"/>
      <c r="AI113" s="326"/>
    </row>
    <row r="114" spans="1:35" x14ac:dyDescent="0.35">
      <c r="A114" s="14" t="s">
        <v>467</v>
      </c>
      <c r="B114" s="14" t="s">
        <v>317</v>
      </c>
      <c r="C114" s="372">
        <v>0</v>
      </c>
      <c r="D114" s="372">
        <v>0</v>
      </c>
      <c r="E114" s="372">
        <v>0</v>
      </c>
      <c r="F114" s="372">
        <v>0</v>
      </c>
      <c r="G114" s="372">
        <v>0</v>
      </c>
      <c r="H114" s="372">
        <v>0</v>
      </c>
      <c r="I114" s="372">
        <v>0</v>
      </c>
      <c r="J114" s="372"/>
      <c r="K114" s="14" t="s">
        <v>318</v>
      </c>
      <c r="L114" s="14" t="s">
        <v>450</v>
      </c>
      <c r="M114" s="14" t="s">
        <v>320</v>
      </c>
      <c r="N114" s="14">
        <v>0</v>
      </c>
      <c r="O114" s="14" t="s">
        <v>468</v>
      </c>
      <c r="P114" s="42">
        <v>0.24740000000000001</v>
      </c>
      <c r="Q114" s="42">
        <v>0</v>
      </c>
      <c r="R114" s="80" t="s">
        <v>452</v>
      </c>
      <c r="S114" s="1">
        <f>3.2/1.25</f>
        <v>2.56</v>
      </c>
      <c r="T114" s="1" t="s">
        <v>469</v>
      </c>
      <c r="U114" s="326"/>
      <c r="V114" s="326"/>
      <c r="W114" s="326"/>
      <c r="X114" s="326"/>
      <c r="Y114" s="326"/>
      <c r="Z114" s="326"/>
      <c r="AA114" s="326"/>
      <c r="AB114" s="326"/>
      <c r="AC114" s="326"/>
      <c r="AD114" s="326"/>
      <c r="AE114" s="326"/>
      <c r="AF114" s="326"/>
      <c r="AG114" s="326"/>
      <c r="AH114" s="326"/>
      <c r="AI114" s="326"/>
    </row>
    <row r="115" spans="1:35" x14ac:dyDescent="0.35">
      <c r="A115" s="33" t="s">
        <v>470</v>
      </c>
      <c r="B115" s="33" t="s">
        <v>317</v>
      </c>
      <c r="C115" s="369">
        <v>0</v>
      </c>
      <c r="D115" s="369">
        <v>0</v>
      </c>
      <c r="E115" s="369">
        <v>0</v>
      </c>
      <c r="F115" s="369">
        <v>0</v>
      </c>
      <c r="G115" s="369">
        <v>0</v>
      </c>
      <c r="H115" s="369">
        <v>0</v>
      </c>
      <c r="I115" s="369">
        <v>0</v>
      </c>
      <c r="J115" s="369"/>
      <c r="K115" s="33" t="s">
        <v>318</v>
      </c>
      <c r="L115" s="14" t="s">
        <v>450</v>
      </c>
      <c r="M115" s="33" t="s">
        <v>320</v>
      </c>
      <c r="N115" s="33">
        <v>0</v>
      </c>
      <c r="O115" s="33" t="s">
        <v>471</v>
      </c>
      <c r="P115" s="41">
        <v>6.3100000000000003E-2</v>
      </c>
      <c r="Q115" s="41">
        <v>0</v>
      </c>
      <c r="R115" s="79" t="s">
        <v>452</v>
      </c>
      <c r="S115" s="1">
        <v>45.2</v>
      </c>
      <c r="U115" s="326"/>
      <c r="V115" s="326"/>
      <c r="W115" s="326"/>
      <c r="X115" s="326"/>
      <c r="Y115" s="326"/>
      <c r="Z115" s="326"/>
      <c r="AA115" s="326"/>
      <c r="AB115" s="326"/>
      <c r="AC115" s="326"/>
      <c r="AD115" s="326"/>
      <c r="AE115" s="326"/>
      <c r="AF115" s="326"/>
      <c r="AG115" s="326"/>
      <c r="AH115" s="326"/>
      <c r="AI115" s="326"/>
    </row>
    <row r="116" spans="1:35" x14ac:dyDescent="0.35">
      <c r="A116" s="14" t="s">
        <v>472</v>
      </c>
      <c r="B116" s="14" t="s">
        <v>317</v>
      </c>
      <c r="C116" s="372">
        <v>0</v>
      </c>
      <c r="D116" s="372">
        <v>0</v>
      </c>
      <c r="E116" s="372">
        <v>0</v>
      </c>
      <c r="F116" s="372">
        <v>0</v>
      </c>
      <c r="G116" s="372">
        <v>0</v>
      </c>
      <c r="H116" s="372">
        <v>0</v>
      </c>
      <c r="I116" s="372">
        <v>0</v>
      </c>
      <c r="J116" s="372"/>
      <c r="K116" s="14" t="s">
        <v>318</v>
      </c>
      <c r="L116" s="14" t="s">
        <v>450</v>
      </c>
      <c r="M116" s="14" t="s">
        <v>320</v>
      </c>
      <c r="N116" s="14">
        <v>0</v>
      </c>
      <c r="O116" s="14" t="s">
        <v>471</v>
      </c>
      <c r="P116" s="42">
        <v>7.0999999999999994E-2</v>
      </c>
      <c r="Q116" s="42">
        <v>0</v>
      </c>
      <c r="R116" s="80" t="s">
        <v>452</v>
      </c>
      <c r="S116" s="1">
        <v>44</v>
      </c>
      <c r="U116" s="326"/>
      <c r="V116" s="326"/>
      <c r="W116" s="326"/>
      <c r="X116" s="326"/>
      <c r="Y116" s="326"/>
      <c r="Z116" s="326"/>
      <c r="AA116" s="326"/>
      <c r="AB116" s="326"/>
      <c r="AC116" s="326"/>
      <c r="AD116" s="326"/>
      <c r="AE116" s="326"/>
      <c r="AF116" s="326"/>
      <c r="AG116" s="326"/>
      <c r="AH116" s="326"/>
      <c r="AI116" s="326"/>
    </row>
    <row r="117" spans="1:35" x14ac:dyDescent="0.35">
      <c r="A117" s="33" t="s">
        <v>473</v>
      </c>
      <c r="B117" s="33" t="s">
        <v>317</v>
      </c>
      <c r="C117" s="369">
        <v>0</v>
      </c>
      <c r="D117" s="369">
        <v>0</v>
      </c>
      <c r="E117" s="369">
        <v>0</v>
      </c>
      <c r="F117" s="369">
        <v>0</v>
      </c>
      <c r="G117" s="369">
        <v>0</v>
      </c>
      <c r="H117" s="369">
        <v>0</v>
      </c>
      <c r="I117" s="369">
        <v>0</v>
      </c>
      <c r="J117" s="369"/>
      <c r="K117" s="33" t="s">
        <v>318</v>
      </c>
      <c r="L117" s="14" t="s">
        <v>450</v>
      </c>
      <c r="M117" s="33" t="s">
        <v>320</v>
      </c>
      <c r="N117" s="33">
        <v>0</v>
      </c>
      <c r="O117" s="33" t="s">
        <v>471</v>
      </c>
      <c r="P117" s="41">
        <v>7.2999999999999995E-2</v>
      </c>
      <c r="Q117" s="41">
        <v>0</v>
      </c>
      <c r="R117" s="79" t="s">
        <v>452</v>
      </c>
      <c r="S117" s="1">
        <v>43.3</v>
      </c>
      <c r="U117" s="326"/>
      <c r="V117" s="326"/>
      <c r="W117" s="326"/>
      <c r="X117" s="326"/>
      <c r="Y117" s="326"/>
      <c r="Z117" s="326"/>
      <c r="AA117" s="326"/>
      <c r="AB117" s="326"/>
      <c r="AC117" s="326"/>
      <c r="AD117" s="326"/>
      <c r="AE117" s="326"/>
      <c r="AF117" s="326"/>
      <c r="AG117" s="326"/>
      <c r="AH117" s="326"/>
      <c r="AI117" s="326"/>
    </row>
    <row r="118" spans="1:35" x14ac:dyDescent="0.35">
      <c r="A118" s="14" t="s">
        <v>474</v>
      </c>
      <c r="B118" s="14" t="s">
        <v>317</v>
      </c>
      <c r="C118" s="372">
        <v>0</v>
      </c>
      <c r="D118" s="372">
        <v>0</v>
      </c>
      <c r="E118" s="372">
        <v>0</v>
      </c>
      <c r="F118" s="372">
        <v>0</v>
      </c>
      <c r="G118" s="372">
        <v>0</v>
      </c>
      <c r="H118" s="372">
        <v>0</v>
      </c>
      <c r="I118" s="372">
        <v>0</v>
      </c>
      <c r="J118" s="372"/>
      <c r="K118" s="14" t="s">
        <v>318</v>
      </c>
      <c r="L118" s="14" t="s">
        <v>450</v>
      </c>
      <c r="M118" s="14" t="s">
        <v>320</v>
      </c>
      <c r="N118" s="14">
        <v>0</v>
      </c>
      <c r="O118" s="14" t="s">
        <v>471</v>
      </c>
      <c r="P118" s="42">
        <v>7.1999999999999995E-2</v>
      </c>
      <c r="Q118" s="42">
        <v>0</v>
      </c>
      <c r="R118" s="80" t="s">
        <v>452</v>
      </c>
      <c r="S118" s="1">
        <v>43.5</v>
      </c>
      <c r="U118" s="326"/>
      <c r="V118" s="326"/>
      <c r="W118" s="326"/>
      <c r="X118" s="326"/>
      <c r="Y118" s="326"/>
      <c r="Z118" s="326"/>
      <c r="AA118" s="326"/>
      <c r="AB118" s="326"/>
      <c r="AC118" s="326"/>
      <c r="AD118" s="326"/>
      <c r="AE118" s="326"/>
      <c r="AF118" s="326"/>
      <c r="AG118" s="326"/>
      <c r="AH118" s="326"/>
      <c r="AI118" s="326"/>
    </row>
    <row r="119" spans="1:35" x14ac:dyDescent="0.35">
      <c r="A119" s="33" t="s">
        <v>475</v>
      </c>
      <c r="B119" s="33" t="s">
        <v>317</v>
      </c>
      <c r="C119" s="369">
        <v>0</v>
      </c>
      <c r="D119" s="369">
        <v>0</v>
      </c>
      <c r="E119" s="369">
        <v>0</v>
      </c>
      <c r="F119" s="369">
        <v>0</v>
      </c>
      <c r="G119" s="369">
        <v>0</v>
      </c>
      <c r="H119" s="369">
        <v>0</v>
      </c>
      <c r="I119" s="369">
        <v>0</v>
      </c>
      <c r="J119" s="369"/>
      <c r="K119" s="33" t="s">
        <v>318</v>
      </c>
      <c r="L119" s="14" t="s">
        <v>450</v>
      </c>
      <c r="M119" s="33" t="s">
        <v>320</v>
      </c>
      <c r="N119" s="33">
        <v>0</v>
      </c>
      <c r="O119" s="33" t="s">
        <v>471</v>
      </c>
      <c r="P119" s="41">
        <v>7.6999999999999999E-2</v>
      </c>
      <c r="Q119" s="41">
        <v>0</v>
      </c>
      <c r="R119" s="79" t="s">
        <v>452</v>
      </c>
      <c r="S119" s="1">
        <v>41</v>
      </c>
      <c r="U119" s="326"/>
      <c r="V119" s="326"/>
      <c r="W119" s="326"/>
      <c r="X119" s="326"/>
      <c r="Y119" s="326"/>
      <c r="Z119" s="326"/>
      <c r="AA119" s="326"/>
      <c r="AB119" s="326"/>
      <c r="AC119" s="326"/>
      <c r="AD119" s="326"/>
      <c r="AE119" s="326"/>
      <c r="AF119" s="326"/>
      <c r="AG119" s="326"/>
      <c r="AH119" s="326"/>
      <c r="AI119" s="326"/>
    </row>
    <row r="120" spans="1:35" x14ac:dyDescent="0.35">
      <c r="A120" s="14" t="s">
        <v>476</v>
      </c>
      <c r="B120" s="14" t="s">
        <v>317</v>
      </c>
      <c r="C120" s="372">
        <v>0</v>
      </c>
      <c r="D120" s="372">
        <v>0</v>
      </c>
      <c r="E120" s="372">
        <v>0</v>
      </c>
      <c r="F120" s="372">
        <v>0</v>
      </c>
      <c r="G120" s="372">
        <v>0</v>
      </c>
      <c r="H120" s="372">
        <v>0</v>
      </c>
      <c r="I120" s="372">
        <v>0</v>
      </c>
      <c r="J120" s="372"/>
      <c r="K120" s="14" t="s">
        <v>318</v>
      </c>
      <c r="L120" s="33" t="s">
        <v>450</v>
      </c>
      <c r="M120" s="14" t="s">
        <v>320</v>
      </c>
      <c r="N120" s="14">
        <v>0</v>
      </c>
      <c r="O120" s="14" t="s">
        <v>471</v>
      </c>
      <c r="P120" s="42">
        <v>8.1000000000000003E-2</v>
      </c>
      <c r="Q120" s="42">
        <v>0</v>
      </c>
      <c r="R120" s="80" t="s">
        <v>452</v>
      </c>
      <c r="S120" s="1">
        <v>40.200000000000003</v>
      </c>
      <c r="U120" s="326"/>
      <c r="V120" s="326"/>
      <c r="W120" s="326"/>
      <c r="X120" s="326"/>
      <c r="Y120" s="326"/>
      <c r="Z120" s="326"/>
      <c r="AA120" s="326"/>
      <c r="AB120" s="326"/>
      <c r="AC120" s="326"/>
      <c r="AD120" s="326"/>
      <c r="AE120" s="326"/>
      <c r="AF120" s="326"/>
      <c r="AG120" s="326"/>
      <c r="AH120" s="326"/>
      <c r="AI120" s="326"/>
    </row>
    <row r="121" spans="1:35" x14ac:dyDescent="0.35">
      <c r="A121" s="33" t="s">
        <v>477</v>
      </c>
      <c r="B121" s="33" t="s">
        <v>317</v>
      </c>
      <c r="C121" s="369">
        <v>0</v>
      </c>
      <c r="D121" s="369">
        <v>0</v>
      </c>
      <c r="E121" s="369">
        <v>0</v>
      </c>
      <c r="F121" s="369">
        <v>0</v>
      </c>
      <c r="G121" s="369">
        <v>0</v>
      </c>
      <c r="H121" s="369">
        <v>0</v>
      </c>
      <c r="I121" s="369">
        <v>0</v>
      </c>
      <c r="J121" s="369"/>
      <c r="K121" s="33" t="s">
        <v>318</v>
      </c>
      <c r="L121" s="33" t="s">
        <v>450</v>
      </c>
      <c r="M121" s="33" t="s">
        <v>320</v>
      </c>
      <c r="N121" s="33">
        <v>0</v>
      </c>
      <c r="O121" s="33" t="s">
        <v>478</v>
      </c>
      <c r="P121" s="41">
        <v>7.0999999999999994E-2</v>
      </c>
      <c r="Q121" s="41">
        <v>1</v>
      </c>
      <c r="R121" s="79" t="s">
        <v>452</v>
      </c>
      <c r="S121" s="1">
        <v>44</v>
      </c>
      <c r="U121" s="326"/>
      <c r="V121" s="326"/>
      <c r="W121" s="326"/>
      <c r="X121" s="326"/>
      <c r="Y121" s="326"/>
      <c r="Z121" s="326"/>
      <c r="AA121" s="326"/>
      <c r="AB121" s="326"/>
      <c r="AC121" s="326"/>
      <c r="AD121" s="326"/>
      <c r="AE121" s="326"/>
      <c r="AF121" s="326"/>
      <c r="AG121" s="326"/>
      <c r="AH121" s="326"/>
      <c r="AI121" s="326"/>
    </row>
    <row r="122" spans="1:35" x14ac:dyDescent="0.35">
      <c r="A122" s="14" t="s">
        <v>479</v>
      </c>
      <c r="B122" s="14" t="s">
        <v>317</v>
      </c>
      <c r="C122" s="372">
        <v>0</v>
      </c>
      <c r="D122" s="372">
        <v>0</v>
      </c>
      <c r="E122" s="372">
        <v>0</v>
      </c>
      <c r="F122" s="372">
        <v>0</v>
      </c>
      <c r="G122" s="372">
        <v>0</v>
      </c>
      <c r="H122" s="372">
        <v>0</v>
      </c>
      <c r="I122" s="372">
        <v>0</v>
      </c>
      <c r="J122" s="372"/>
      <c r="K122" s="14" t="s">
        <v>318</v>
      </c>
      <c r="L122" s="14" t="s">
        <v>450</v>
      </c>
      <c r="M122" s="14" t="s">
        <v>320</v>
      </c>
      <c r="N122" s="14">
        <v>0</v>
      </c>
      <c r="O122" s="14" t="s">
        <v>478</v>
      </c>
      <c r="P122" s="42">
        <v>5.5E-2</v>
      </c>
      <c r="Q122" s="42">
        <v>1</v>
      </c>
      <c r="R122" s="80" t="s">
        <v>452</v>
      </c>
      <c r="S122" s="1">
        <v>26.7</v>
      </c>
      <c r="U122" s="326"/>
      <c r="V122" s="326"/>
      <c r="W122" s="326"/>
      <c r="X122" s="326"/>
      <c r="Y122" s="326"/>
      <c r="Z122" s="326"/>
      <c r="AA122" s="326"/>
      <c r="AB122" s="326"/>
      <c r="AC122" s="326"/>
      <c r="AD122" s="326"/>
      <c r="AE122" s="326"/>
      <c r="AF122" s="326"/>
      <c r="AG122" s="326"/>
      <c r="AH122" s="326"/>
      <c r="AI122" s="326"/>
    </row>
    <row r="123" spans="1:35" x14ac:dyDescent="0.35">
      <c r="A123" s="33" t="s">
        <v>480</v>
      </c>
      <c r="B123" s="33" t="s">
        <v>317</v>
      </c>
      <c r="C123" s="369">
        <v>0</v>
      </c>
      <c r="D123" s="369">
        <v>0</v>
      </c>
      <c r="E123" s="369">
        <v>0</v>
      </c>
      <c r="F123" s="369">
        <v>0</v>
      </c>
      <c r="G123" s="369">
        <v>0</v>
      </c>
      <c r="H123" s="369">
        <v>0</v>
      </c>
      <c r="I123" s="369">
        <v>0</v>
      </c>
      <c r="J123" s="369"/>
      <c r="K123" s="33" t="s">
        <v>318</v>
      </c>
      <c r="L123" s="33" t="s">
        <v>450</v>
      </c>
      <c r="M123" s="33" t="s">
        <v>320</v>
      </c>
      <c r="N123" s="33">
        <v>0</v>
      </c>
      <c r="O123" s="33" t="s">
        <v>478</v>
      </c>
      <c r="P123" s="41">
        <v>7.2999999999999995E-2</v>
      </c>
      <c r="Q123" s="41">
        <v>1</v>
      </c>
      <c r="R123" s="79" t="s">
        <v>452</v>
      </c>
      <c r="S123" s="1">
        <v>43.2</v>
      </c>
      <c r="U123" s="326"/>
      <c r="V123" s="326"/>
      <c r="W123" s="326"/>
      <c r="X123" s="326"/>
      <c r="Y123" s="326"/>
      <c r="Z123" s="326"/>
      <c r="AA123" s="326"/>
      <c r="AB123" s="326"/>
      <c r="AC123" s="326"/>
      <c r="AD123" s="326"/>
      <c r="AE123" s="326"/>
      <c r="AF123" s="326"/>
      <c r="AG123" s="326"/>
      <c r="AH123" s="326"/>
      <c r="AI123" s="326"/>
    </row>
    <row r="124" spans="1:35" x14ac:dyDescent="0.35">
      <c r="A124" s="14" t="s">
        <v>481</v>
      </c>
      <c r="B124" s="14" t="s">
        <v>317</v>
      </c>
      <c r="C124" s="372">
        <v>0</v>
      </c>
      <c r="D124" s="372">
        <v>0</v>
      </c>
      <c r="E124" s="372">
        <v>0</v>
      </c>
      <c r="F124" s="372">
        <v>0</v>
      </c>
      <c r="G124" s="372">
        <v>0</v>
      </c>
      <c r="H124" s="372">
        <v>0</v>
      </c>
      <c r="I124" s="372">
        <v>0</v>
      </c>
      <c r="J124" s="372"/>
      <c r="K124" s="14" t="s">
        <v>318</v>
      </c>
      <c r="L124" s="14" t="s">
        <v>450</v>
      </c>
      <c r="M124" s="14" t="s">
        <v>320</v>
      </c>
      <c r="N124" s="14">
        <v>0</v>
      </c>
      <c r="O124" s="14" t="s">
        <v>478</v>
      </c>
      <c r="P124" s="42">
        <v>7.1999999999999995E-2</v>
      </c>
      <c r="Q124" s="42">
        <v>1</v>
      </c>
      <c r="R124" s="80" t="s">
        <v>452</v>
      </c>
      <c r="S124" s="1">
        <v>43.5</v>
      </c>
      <c r="U124" s="326"/>
      <c r="V124" s="326"/>
      <c r="W124" s="326"/>
      <c r="X124" s="326"/>
      <c r="Y124" s="326"/>
      <c r="Z124" s="326"/>
      <c r="AA124" s="326"/>
      <c r="AB124" s="326"/>
      <c r="AC124" s="326"/>
      <c r="AD124" s="326"/>
      <c r="AE124" s="326"/>
      <c r="AF124" s="326"/>
      <c r="AG124" s="326"/>
      <c r="AH124" s="326"/>
      <c r="AI124" s="326"/>
    </row>
    <row r="125" spans="1:35" x14ac:dyDescent="0.35">
      <c r="A125" s="14" t="s">
        <v>482</v>
      </c>
      <c r="B125" s="14" t="s">
        <v>317</v>
      </c>
      <c r="C125" s="372">
        <v>0</v>
      </c>
      <c r="D125" s="372">
        <v>0</v>
      </c>
      <c r="E125" s="372">
        <v>0</v>
      </c>
      <c r="F125" s="372">
        <v>0</v>
      </c>
      <c r="G125" s="372">
        <v>0</v>
      </c>
      <c r="H125" s="372">
        <v>0</v>
      </c>
      <c r="I125" s="372">
        <v>0</v>
      </c>
      <c r="J125" s="372"/>
      <c r="K125" s="14" t="s">
        <v>318</v>
      </c>
      <c r="L125" s="14" t="s">
        <v>450</v>
      </c>
      <c r="M125" s="14" t="s">
        <v>320</v>
      </c>
      <c r="N125" s="14">
        <v>0</v>
      </c>
      <c r="O125" s="14" t="s">
        <v>478</v>
      </c>
      <c r="P125" s="41">
        <v>6.3100000000000003E-2</v>
      </c>
      <c r="Q125" s="42">
        <v>1</v>
      </c>
      <c r="R125" s="80" t="s">
        <v>452</v>
      </c>
      <c r="S125" s="1">
        <f>S115</f>
        <v>45.2</v>
      </c>
      <c r="U125" s="326"/>
      <c r="V125" s="326"/>
      <c r="W125" s="326"/>
      <c r="X125" s="326"/>
      <c r="Y125" s="326"/>
      <c r="Z125" s="326"/>
      <c r="AA125" s="326"/>
      <c r="AB125" s="326"/>
      <c r="AC125" s="326"/>
      <c r="AD125" s="326"/>
      <c r="AE125" s="326"/>
      <c r="AF125" s="326"/>
      <c r="AG125" s="326"/>
      <c r="AH125" s="326"/>
      <c r="AI125" s="326"/>
    </row>
    <row r="126" spans="1:35" x14ac:dyDescent="0.35">
      <c r="A126" s="33" t="s">
        <v>483</v>
      </c>
      <c r="B126" s="33" t="s">
        <v>317</v>
      </c>
      <c r="C126" s="369">
        <v>0</v>
      </c>
      <c r="D126" s="369">
        <v>0</v>
      </c>
      <c r="E126" s="369">
        <v>0</v>
      </c>
      <c r="F126" s="369">
        <v>0</v>
      </c>
      <c r="G126" s="369">
        <v>0</v>
      </c>
      <c r="H126" s="369">
        <v>0</v>
      </c>
      <c r="I126" s="369">
        <v>0</v>
      </c>
      <c r="J126" s="369"/>
      <c r="K126" s="33" t="s">
        <v>318</v>
      </c>
      <c r="L126" s="33" t="s">
        <v>484</v>
      </c>
      <c r="M126" s="33" t="s">
        <v>320</v>
      </c>
      <c r="N126" s="33">
        <v>0</v>
      </c>
      <c r="O126" s="33" t="s">
        <v>485</v>
      </c>
      <c r="P126" s="41">
        <v>7.0999999999999994E-2</v>
      </c>
      <c r="Q126" s="41">
        <f>Parameters!$B$11</f>
        <v>0</v>
      </c>
      <c r="R126" s="79" t="s">
        <v>452</v>
      </c>
      <c r="S126" s="1">
        <v>44</v>
      </c>
      <c r="U126" s="326"/>
      <c r="V126" s="326"/>
      <c r="W126" s="326"/>
      <c r="X126" s="326"/>
      <c r="Y126" s="326"/>
      <c r="Z126" s="326"/>
      <c r="AA126" s="326"/>
      <c r="AB126" s="326"/>
      <c r="AC126" s="326"/>
      <c r="AD126" s="326"/>
      <c r="AE126" s="326"/>
      <c r="AF126" s="326"/>
      <c r="AG126" s="326"/>
      <c r="AH126" s="326"/>
      <c r="AI126" s="326"/>
    </row>
    <row r="127" spans="1:35" x14ac:dyDescent="0.35">
      <c r="A127" s="14" t="s">
        <v>486</v>
      </c>
      <c r="B127" s="14" t="s">
        <v>317</v>
      </c>
      <c r="C127" s="372">
        <v>0</v>
      </c>
      <c r="D127" s="372">
        <v>0</v>
      </c>
      <c r="E127" s="372">
        <v>0</v>
      </c>
      <c r="F127" s="372">
        <v>0</v>
      </c>
      <c r="G127" s="372">
        <v>0</v>
      </c>
      <c r="H127" s="372">
        <v>0</v>
      </c>
      <c r="I127" s="372">
        <v>0</v>
      </c>
      <c r="J127" s="372"/>
      <c r="K127" s="14" t="s">
        <v>318</v>
      </c>
      <c r="L127" s="14" t="s">
        <v>484</v>
      </c>
      <c r="M127" s="14" t="s">
        <v>320</v>
      </c>
      <c r="N127" s="14">
        <v>0</v>
      </c>
      <c r="O127" s="14" t="s">
        <v>485</v>
      </c>
      <c r="P127" s="42">
        <v>7.2999999999999995E-2</v>
      </c>
      <c r="Q127" s="42">
        <f>Parameters!$B$11</f>
        <v>0</v>
      </c>
      <c r="R127" s="80" t="s">
        <v>452</v>
      </c>
      <c r="S127" s="1">
        <v>43.2</v>
      </c>
      <c r="U127" s="326"/>
      <c r="V127" s="326"/>
      <c r="W127" s="326"/>
      <c r="X127" s="326"/>
      <c r="Y127" s="326"/>
      <c r="Z127" s="326"/>
      <c r="AA127" s="326"/>
      <c r="AB127" s="326"/>
      <c r="AC127" s="326"/>
      <c r="AD127" s="326"/>
      <c r="AE127" s="326"/>
      <c r="AF127" s="326"/>
      <c r="AG127" s="326"/>
      <c r="AH127" s="326"/>
      <c r="AI127" s="326"/>
    </row>
    <row r="128" spans="1:35" x14ac:dyDescent="0.35">
      <c r="A128" s="33" t="s">
        <v>487</v>
      </c>
      <c r="B128" s="33" t="s">
        <v>317</v>
      </c>
      <c r="C128" s="369">
        <v>0</v>
      </c>
      <c r="D128" s="369">
        <v>0</v>
      </c>
      <c r="E128" s="369">
        <v>0</v>
      </c>
      <c r="F128" s="369">
        <v>0</v>
      </c>
      <c r="G128" s="369">
        <v>0</v>
      </c>
      <c r="H128" s="369">
        <v>0</v>
      </c>
      <c r="I128" s="369">
        <v>0</v>
      </c>
      <c r="J128" s="369"/>
      <c r="K128" s="33" t="s">
        <v>318</v>
      </c>
      <c r="L128" s="33" t="s">
        <v>484</v>
      </c>
      <c r="M128" s="33" t="s">
        <v>320</v>
      </c>
      <c r="N128" s="33">
        <v>0</v>
      </c>
      <c r="O128" s="33" t="s">
        <v>485</v>
      </c>
      <c r="P128" s="41">
        <v>7.1999999999999995E-2</v>
      </c>
      <c r="Q128" s="41">
        <f>Parameters!$B$11</f>
        <v>0</v>
      </c>
      <c r="R128" s="79" t="s">
        <v>452</v>
      </c>
      <c r="S128" s="1">
        <v>43.5</v>
      </c>
      <c r="U128" s="326"/>
      <c r="V128" s="326"/>
      <c r="W128" s="326"/>
      <c r="X128" s="326"/>
      <c r="Y128" s="326"/>
      <c r="Z128" s="326"/>
      <c r="AA128" s="326"/>
      <c r="AB128" s="326"/>
      <c r="AC128" s="326"/>
      <c r="AD128" s="326"/>
      <c r="AE128" s="326"/>
      <c r="AF128" s="326"/>
      <c r="AG128" s="326"/>
      <c r="AH128" s="326"/>
      <c r="AI128" s="326"/>
    </row>
    <row r="129" spans="1:35" x14ac:dyDescent="0.35">
      <c r="A129" s="33" t="s">
        <v>488</v>
      </c>
      <c r="B129" s="33" t="s">
        <v>317</v>
      </c>
      <c r="C129" s="369">
        <v>0</v>
      </c>
      <c r="D129" s="369">
        <v>0</v>
      </c>
      <c r="E129" s="369">
        <v>0</v>
      </c>
      <c r="F129" s="369">
        <v>0</v>
      </c>
      <c r="G129" s="369">
        <v>0</v>
      </c>
      <c r="H129" s="369">
        <v>0</v>
      </c>
      <c r="I129" s="369">
        <v>0</v>
      </c>
      <c r="J129" s="369"/>
      <c r="K129" s="33" t="s">
        <v>318</v>
      </c>
      <c r="L129" s="33" t="s">
        <v>484</v>
      </c>
      <c r="M129" s="33" t="s">
        <v>320</v>
      </c>
      <c r="N129" s="33">
        <v>0</v>
      </c>
      <c r="O129" s="33" t="s">
        <v>485</v>
      </c>
      <c r="P129" s="41">
        <v>7.1999999999999995E-2</v>
      </c>
      <c r="Q129" s="41">
        <f>Parameters!$B$11</f>
        <v>0</v>
      </c>
      <c r="R129" s="79" t="s">
        <v>452</v>
      </c>
      <c r="S129" s="1">
        <v>43.5</v>
      </c>
      <c r="U129" s="326"/>
      <c r="V129" s="326"/>
      <c r="W129" s="326"/>
      <c r="X129" s="326"/>
      <c r="Y129" s="326"/>
      <c r="Z129" s="326"/>
      <c r="AA129" s="326"/>
      <c r="AB129" s="326"/>
      <c r="AC129" s="326"/>
      <c r="AD129" s="326"/>
      <c r="AE129" s="326"/>
      <c r="AF129" s="326"/>
      <c r="AG129" s="326"/>
      <c r="AH129" s="326"/>
      <c r="AI129" s="326"/>
    </row>
    <row r="130" spans="1:35" x14ac:dyDescent="0.35">
      <c r="A130" s="14" t="s">
        <v>489</v>
      </c>
      <c r="B130" s="14" t="s">
        <v>317</v>
      </c>
      <c r="C130" s="372">
        <v>0</v>
      </c>
      <c r="D130" s="372">
        <v>0</v>
      </c>
      <c r="E130" s="372">
        <v>0</v>
      </c>
      <c r="F130" s="372">
        <v>0</v>
      </c>
      <c r="G130" s="372">
        <v>0</v>
      </c>
      <c r="H130" s="372">
        <v>0</v>
      </c>
      <c r="I130" s="372">
        <v>0</v>
      </c>
      <c r="J130" s="372"/>
      <c r="K130" s="14" t="s">
        <v>318</v>
      </c>
      <c r="L130" s="14" t="s">
        <v>484</v>
      </c>
      <c r="M130" s="14" t="s">
        <v>320</v>
      </c>
      <c r="N130" s="14">
        <v>0</v>
      </c>
      <c r="O130" s="14" t="s">
        <v>485</v>
      </c>
      <c r="P130" s="42">
        <v>7.3999999999999996E-2</v>
      </c>
      <c r="Q130" s="42">
        <f>Parameters!$B$11</f>
        <v>0</v>
      </c>
      <c r="R130" s="80" t="s">
        <v>452</v>
      </c>
      <c r="S130" s="1">
        <v>14.4</v>
      </c>
      <c r="U130" s="326"/>
      <c r="V130" s="326"/>
      <c r="W130" s="326"/>
      <c r="X130" s="326"/>
      <c r="Y130" s="326"/>
      <c r="Z130" s="326"/>
      <c r="AA130" s="326"/>
      <c r="AB130" s="326"/>
      <c r="AC130" s="326"/>
      <c r="AD130" s="326"/>
      <c r="AE130" s="326"/>
      <c r="AF130" s="326"/>
      <c r="AG130" s="326"/>
      <c r="AH130" s="326"/>
      <c r="AI130" s="326"/>
    </row>
    <row r="131" spans="1:35" x14ac:dyDescent="0.35">
      <c r="A131" s="33" t="s">
        <v>490</v>
      </c>
      <c r="B131" s="33" t="s">
        <v>317</v>
      </c>
      <c r="C131" s="369">
        <v>0</v>
      </c>
      <c r="D131" s="369">
        <v>0</v>
      </c>
      <c r="E131" s="369">
        <v>0</v>
      </c>
      <c r="F131" s="369">
        <v>0</v>
      </c>
      <c r="G131" s="369">
        <v>0</v>
      </c>
      <c r="H131" s="369">
        <v>0</v>
      </c>
      <c r="I131" s="369">
        <v>0</v>
      </c>
      <c r="J131" s="369"/>
      <c r="K131" s="33" t="s">
        <v>318</v>
      </c>
      <c r="L131" s="33" t="s">
        <v>484</v>
      </c>
      <c r="M131" s="33" t="s">
        <v>320</v>
      </c>
      <c r="N131" s="33">
        <v>0</v>
      </c>
      <c r="O131" s="33" t="s">
        <v>485</v>
      </c>
      <c r="P131" s="41">
        <v>6.8000000000000005E-2</v>
      </c>
      <c r="Q131" s="41">
        <f>Parameters!$B$11</f>
        <v>0</v>
      </c>
      <c r="R131" s="79" t="s">
        <v>452</v>
      </c>
      <c r="S131" s="1">
        <v>19.899999999999999</v>
      </c>
      <c r="U131" s="326"/>
      <c r="V131" s="326"/>
      <c r="W131" s="326"/>
      <c r="X131" s="326"/>
      <c r="Y131" s="326"/>
      <c r="Z131" s="326"/>
      <c r="AA131" s="326"/>
      <c r="AB131" s="326"/>
      <c r="AC131" s="326"/>
      <c r="AD131" s="326"/>
      <c r="AE131" s="326"/>
      <c r="AF131" s="326"/>
      <c r="AG131" s="326"/>
      <c r="AH131" s="326"/>
      <c r="AI131" s="326"/>
    </row>
    <row r="132" spans="1:35" x14ac:dyDescent="0.35">
      <c r="A132" s="14" t="s">
        <v>491</v>
      </c>
      <c r="B132" s="14" t="s">
        <v>317</v>
      </c>
      <c r="C132" s="372">
        <v>0</v>
      </c>
      <c r="D132" s="372">
        <v>0</v>
      </c>
      <c r="E132" s="372">
        <v>0</v>
      </c>
      <c r="F132" s="372">
        <v>0</v>
      </c>
      <c r="G132" s="372">
        <v>0</v>
      </c>
      <c r="H132" s="372">
        <v>0</v>
      </c>
      <c r="I132" s="372">
        <v>0</v>
      </c>
      <c r="J132" s="372"/>
      <c r="K132" s="14" t="s">
        <v>492</v>
      </c>
      <c r="L132" s="14" t="s">
        <v>450</v>
      </c>
      <c r="M132" s="14" t="s">
        <v>320</v>
      </c>
      <c r="N132" s="14">
        <v>0</v>
      </c>
      <c r="O132" s="14" t="s">
        <v>493</v>
      </c>
      <c r="P132" s="42">
        <v>5.6599999999999998E-2</v>
      </c>
      <c r="Q132" s="42">
        <v>0</v>
      </c>
      <c r="R132" s="80" t="s">
        <v>452</v>
      </c>
      <c r="S132" s="1">
        <v>50</v>
      </c>
      <c r="U132" s="326"/>
      <c r="V132" s="326"/>
      <c r="W132" s="326"/>
      <c r="X132" s="326"/>
      <c r="Y132" s="326"/>
      <c r="Z132" s="326"/>
      <c r="AA132" s="326"/>
      <c r="AB132" s="326"/>
      <c r="AC132" s="326"/>
      <c r="AD132" s="326"/>
      <c r="AE132" s="326"/>
      <c r="AF132" s="326"/>
      <c r="AG132" s="326"/>
      <c r="AH132" s="326"/>
      <c r="AI132" s="326"/>
    </row>
    <row r="133" spans="1:35" x14ac:dyDescent="0.35">
      <c r="A133" s="33" t="s">
        <v>494</v>
      </c>
      <c r="B133" s="33" t="s">
        <v>317</v>
      </c>
      <c r="C133" s="369">
        <v>0</v>
      </c>
      <c r="D133" s="369">
        <v>0</v>
      </c>
      <c r="E133" s="369">
        <v>0</v>
      </c>
      <c r="F133" s="369">
        <v>0</v>
      </c>
      <c r="G133" s="369">
        <v>0</v>
      </c>
      <c r="H133" s="369">
        <v>0</v>
      </c>
      <c r="I133" s="369">
        <v>0</v>
      </c>
      <c r="J133" s="369"/>
      <c r="K133" s="33" t="s">
        <v>492</v>
      </c>
      <c r="L133" s="33" t="s">
        <v>450</v>
      </c>
      <c r="M133" s="33" t="s">
        <v>320</v>
      </c>
      <c r="N133" s="33">
        <v>0</v>
      </c>
      <c r="O133" s="33" t="s">
        <v>493</v>
      </c>
      <c r="P133" s="41">
        <v>5.6599999999999998E-2</v>
      </c>
      <c r="Q133" s="41">
        <v>0</v>
      </c>
      <c r="R133" s="79" t="s">
        <v>452</v>
      </c>
      <c r="S133" s="1">
        <v>50</v>
      </c>
      <c r="U133" s="326"/>
      <c r="V133" s="326"/>
      <c r="W133" s="326"/>
      <c r="X133" s="326"/>
      <c r="Y133" s="326"/>
      <c r="Z133" s="326"/>
      <c r="AA133" s="326"/>
      <c r="AB133" s="326"/>
      <c r="AC133" s="326"/>
      <c r="AD133" s="326"/>
      <c r="AE133" s="326"/>
      <c r="AF133" s="326"/>
      <c r="AG133" s="326"/>
      <c r="AH133" s="326"/>
      <c r="AI133" s="326"/>
    </row>
    <row r="134" spans="1:35" x14ac:dyDescent="0.35">
      <c r="A134" s="14" t="s">
        <v>495</v>
      </c>
      <c r="B134" s="14" t="s">
        <v>317</v>
      </c>
      <c r="C134" s="372">
        <v>0</v>
      </c>
      <c r="D134" s="372">
        <v>0</v>
      </c>
      <c r="E134" s="372">
        <v>0</v>
      </c>
      <c r="F134" s="372">
        <v>0</v>
      </c>
      <c r="G134" s="372">
        <v>0</v>
      </c>
      <c r="H134" s="372">
        <v>0</v>
      </c>
      <c r="I134" s="372">
        <v>0</v>
      </c>
      <c r="J134" s="372"/>
      <c r="K134" s="14" t="s">
        <v>318</v>
      </c>
      <c r="L134" s="14" t="s">
        <v>450</v>
      </c>
      <c r="M134" s="14" t="s">
        <v>320</v>
      </c>
      <c r="N134" s="14">
        <v>0</v>
      </c>
      <c r="O134" s="14" t="s">
        <v>493</v>
      </c>
      <c r="P134" s="42">
        <v>5.6599999999999998E-2</v>
      </c>
      <c r="Q134" s="42">
        <v>0</v>
      </c>
      <c r="R134" s="80" t="s">
        <v>452</v>
      </c>
      <c r="S134" s="1">
        <v>48.6</v>
      </c>
      <c r="U134" s="326"/>
      <c r="V134" s="326"/>
      <c r="W134" s="326"/>
      <c r="X134" s="326"/>
      <c r="Y134" s="326"/>
      <c r="Z134" s="326"/>
      <c r="AA134" s="326"/>
      <c r="AB134" s="326"/>
      <c r="AC134" s="326"/>
      <c r="AD134" s="326"/>
      <c r="AE134" s="326"/>
      <c r="AF134" s="326"/>
      <c r="AG134" s="326"/>
      <c r="AH134" s="326"/>
      <c r="AI134" s="326"/>
    </row>
    <row r="135" spans="1:35" x14ac:dyDescent="0.35">
      <c r="A135" s="33" t="s">
        <v>496</v>
      </c>
      <c r="B135" s="33" t="s">
        <v>317</v>
      </c>
      <c r="C135" s="369">
        <v>0</v>
      </c>
      <c r="D135" s="369">
        <v>0</v>
      </c>
      <c r="E135" s="369">
        <v>0</v>
      </c>
      <c r="F135" s="369">
        <v>0</v>
      </c>
      <c r="G135" s="369">
        <v>0</v>
      </c>
      <c r="H135" s="369">
        <v>0</v>
      </c>
      <c r="I135" s="369">
        <v>0</v>
      </c>
      <c r="J135" s="369"/>
      <c r="K135" s="33" t="s">
        <v>492</v>
      </c>
      <c r="L135" s="33" t="s">
        <v>484</v>
      </c>
      <c r="M135" s="33" t="s">
        <v>320</v>
      </c>
      <c r="N135" s="33">
        <v>0</v>
      </c>
      <c r="O135" s="33" t="s">
        <v>497</v>
      </c>
      <c r="P135" s="41">
        <v>0</v>
      </c>
      <c r="Q135" s="41">
        <v>0</v>
      </c>
      <c r="R135" s="79" t="s">
        <v>452</v>
      </c>
      <c r="S135" s="1">
        <v>120</v>
      </c>
      <c r="U135" s="326"/>
      <c r="V135" s="326"/>
      <c r="W135" s="326"/>
      <c r="X135" s="326"/>
      <c r="Y135" s="326"/>
      <c r="Z135" s="326"/>
      <c r="AA135" s="326"/>
      <c r="AB135" s="326"/>
      <c r="AC135" s="326"/>
      <c r="AD135" s="326"/>
      <c r="AE135" s="326"/>
      <c r="AF135" s="326"/>
      <c r="AG135" s="326"/>
      <c r="AH135" s="326"/>
      <c r="AI135" s="326"/>
    </row>
    <row r="136" spans="1:35" x14ac:dyDescent="0.35">
      <c r="A136" s="14" t="s">
        <v>498</v>
      </c>
      <c r="B136" s="14" t="s">
        <v>317</v>
      </c>
      <c r="C136" s="372">
        <v>0</v>
      </c>
      <c r="D136" s="372">
        <v>0</v>
      </c>
      <c r="E136" s="372">
        <v>0</v>
      </c>
      <c r="F136" s="372">
        <v>0</v>
      </c>
      <c r="G136" s="372">
        <v>0</v>
      </c>
      <c r="H136" s="372">
        <v>0</v>
      </c>
      <c r="I136" s="372">
        <v>0</v>
      </c>
      <c r="J136" s="372"/>
      <c r="K136" s="14" t="s">
        <v>492</v>
      </c>
      <c r="L136" s="33" t="s">
        <v>484</v>
      </c>
      <c r="M136" s="14" t="s">
        <v>320</v>
      </c>
      <c r="N136" s="14">
        <v>0</v>
      </c>
      <c r="O136" s="14" t="s">
        <v>497</v>
      </c>
      <c r="P136" s="42">
        <v>0</v>
      </c>
      <c r="Q136" s="42">
        <v>0</v>
      </c>
      <c r="R136" s="80" t="s">
        <v>452</v>
      </c>
      <c r="S136" s="1">
        <v>120</v>
      </c>
      <c r="U136" s="326"/>
      <c r="V136" s="326"/>
      <c r="W136" s="326"/>
      <c r="X136" s="326"/>
      <c r="Y136" s="326"/>
      <c r="Z136" s="326"/>
      <c r="AA136" s="326"/>
      <c r="AB136" s="326"/>
      <c r="AC136" s="326"/>
      <c r="AD136" s="326"/>
      <c r="AE136" s="326"/>
      <c r="AF136" s="326"/>
      <c r="AG136" s="326"/>
      <c r="AH136" s="326"/>
      <c r="AI136" s="326"/>
    </row>
    <row r="137" spans="1:35" x14ac:dyDescent="0.35">
      <c r="A137" s="14" t="s">
        <v>499</v>
      </c>
      <c r="B137" s="14" t="s">
        <v>317</v>
      </c>
      <c r="C137" s="372">
        <v>0</v>
      </c>
      <c r="D137" s="372">
        <v>0</v>
      </c>
      <c r="E137" s="372">
        <v>0</v>
      </c>
      <c r="F137" s="372">
        <v>0</v>
      </c>
      <c r="G137" s="372">
        <v>0</v>
      </c>
      <c r="H137" s="372">
        <v>0</v>
      </c>
      <c r="I137" s="372">
        <v>0</v>
      </c>
      <c r="J137" s="372"/>
      <c r="K137" s="14" t="s">
        <v>318</v>
      </c>
      <c r="L137" s="211" t="s">
        <v>500</v>
      </c>
      <c r="M137" s="14" t="s">
        <v>320</v>
      </c>
      <c r="N137" s="14">
        <v>0</v>
      </c>
      <c r="O137" s="14" t="s">
        <v>497</v>
      </c>
      <c r="P137" s="42">
        <v>0</v>
      </c>
      <c r="Q137" s="42">
        <v>0</v>
      </c>
      <c r="R137" s="80"/>
      <c r="U137" s="326"/>
      <c r="V137" s="326"/>
      <c r="W137" s="326"/>
      <c r="X137" s="326"/>
      <c r="Y137" s="326"/>
      <c r="Z137" s="326"/>
      <c r="AA137" s="326"/>
      <c r="AB137" s="326"/>
      <c r="AC137" s="326"/>
      <c r="AD137" s="326"/>
      <c r="AE137" s="326"/>
      <c r="AF137" s="326"/>
      <c r="AG137" s="326"/>
      <c r="AH137" s="326"/>
      <c r="AI137" s="326"/>
    </row>
    <row r="138" spans="1:35" x14ac:dyDescent="0.35">
      <c r="A138" s="33" t="s">
        <v>501</v>
      </c>
      <c r="B138" s="33" t="s">
        <v>317</v>
      </c>
      <c r="C138" s="369">
        <v>0</v>
      </c>
      <c r="D138" s="369">
        <v>0</v>
      </c>
      <c r="E138" s="369">
        <v>0</v>
      </c>
      <c r="F138" s="369">
        <v>0</v>
      </c>
      <c r="G138" s="369">
        <v>0</v>
      </c>
      <c r="H138" s="369">
        <v>0</v>
      </c>
      <c r="I138" s="369">
        <v>0</v>
      </c>
      <c r="J138" s="369"/>
      <c r="K138" s="33" t="s">
        <v>318</v>
      </c>
      <c r="L138" s="33" t="s">
        <v>484</v>
      </c>
      <c r="M138" s="33" t="s">
        <v>320</v>
      </c>
      <c r="N138" s="33">
        <v>0</v>
      </c>
      <c r="O138" s="33" t="s">
        <v>485</v>
      </c>
      <c r="P138" s="41">
        <f>P126</f>
        <v>7.0999999999999994E-2</v>
      </c>
      <c r="Q138" s="41">
        <v>0</v>
      </c>
      <c r="R138" s="79" t="s">
        <v>502</v>
      </c>
      <c r="S138" s="211">
        <v>44</v>
      </c>
      <c r="U138" s="326"/>
      <c r="V138" s="326"/>
      <c r="W138" s="326"/>
      <c r="X138" s="326"/>
      <c r="Y138" s="326"/>
      <c r="Z138" s="326"/>
      <c r="AA138" s="326"/>
      <c r="AB138" s="326"/>
      <c r="AC138" s="326"/>
      <c r="AD138" s="326"/>
      <c r="AE138" s="326"/>
      <c r="AF138" s="326"/>
      <c r="AG138" s="326"/>
      <c r="AH138" s="326"/>
      <c r="AI138" s="326"/>
    </row>
    <row r="139" spans="1:35" x14ac:dyDescent="0.35">
      <c r="A139" s="14" t="s">
        <v>503</v>
      </c>
      <c r="B139" s="14" t="s">
        <v>317</v>
      </c>
      <c r="C139" s="372">
        <v>0</v>
      </c>
      <c r="D139" s="372">
        <v>0</v>
      </c>
      <c r="E139" s="372">
        <v>0</v>
      </c>
      <c r="F139" s="372">
        <v>0</v>
      </c>
      <c r="G139" s="372">
        <v>0</v>
      </c>
      <c r="H139" s="372">
        <v>0</v>
      </c>
      <c r="I139" s="372">
        <v>0</v>
      </c>
      <c r="J139" s="372"/>
      <c r="K139" s="14" t="s">
        <v>318</v>
      </c>
      <c r="L139" s="14" t="s">
        <v>450</v>
      </c>
      <c r="M139" s="14" t="s">
        <v>320</v>
      </c>
      <c r="N139" s="14">
        <v>0</v>
      </c>
      <c r="O139" s="14" t="s">
        <v>503</v>
      </c>
      <c r="P139" s="42">
        <v>0</v>
      </c>
      <c r="Q139" s="42">
        <v>0</v>
      </c>
      <c r="R139" s="80" t="s">
        <v>452</v>
      </c>
      <c r="S139" s="1">
        <v>18.600000000000001</v>
      </c>
      <c r="U139" s="326"/>
      <c r="V139" s="326"/>
      <c r="W139" s="326"/>
      <c r="X139" s="326"/>
      <c r="Y139" s="326"/>
      <c r="Z139" s="326"/>
      <c r="AA139" s="326"/>
      <c r="AB139" s="326"/>
      <c r="AC139" s="326"/>
      <c r="AD139" s="326"/>
      <c r="AE139" s="326"/>
      <c r="AF139" s="326"/>
      <c r="AG139" s="326"/>
      <c r="AH139" s="326"/>
      <c r="AI139" s="326"/>
    </row>
    <row r="140" spans="1:35" x14ac:dyDescent="0.35">
      <c r="A140" s="33" t="s">
        <v>504</v>
      </c>
      <c r="B140" s="33" t="s">
        <v>317</v>
      </c>
      <c r="C140" s="369">
        <v>0</v>
      </c>
      <c r="D140" s="369">
        <v>0</v>
      </c>
      <c r="E140" s="369">
        <v>0</v>
      </c>
      <c r="F140" s="369">
        <v>0</v>
      </c>
      <c r="G140" s="369">
        <v>0</v>
      </c>
      <c r="H140" s="369">
        <v>0</v>
      </c>
      <c r="I140" s="369">
        <v>0</v>
      </c>
      <c r="J140" s="369"/>
      <c r="K140" s="33" t="s">
        <v>318</v>
      </c>
      <c r="L140" s="33" t="s">
        <v>450</v>
      </c>
      <c r="M140" s="33" t="s">
        <v>320</v>
      </c>
      <c r="N140" s="33">
        <v>0</v>
      </c>
      <c r="O140" s="33" t="s">
        <v>504</v>
      </c>
      <c r="P140" s="41">
        <v>0.1096</v>
      </c>
      <c r="Q140" s="41">
        <v>1</v>
      </c>
      <c r="R140" s="79" t="s">
        <v>452</v>
      </c>
      <c r="S140" s="1">
        <v>15.1</v>
      </c>
      <c r="U140" s="326"/>
      <c r="V140" s="326"/>
      <c r="W140" s="326"/>
      <c r="X140" s="326"/>
      <c r="Y140" s="326"/>
      <c r="Z140" s="326"/>
      <c r="AA140" s="326"/>
      <c r="AB140" s="326"/>
      <c r="AC140" s="326"/>
      <c r="AD140" s="326"/>
      <c r="AE140" s="326"/>
      <c r="AF140" s="326"/>
      <c r="AG140" s="326"/>
      <c r="AH140" s="326"/>
      <c r="AI140" s="326"/>
    </row>
    <row r="141" spans="1:35" x14ac:dyDescent="0.35">
      <c r="A141" s="14" t="s">
        <v>468</v>
      </c>
      <c r="B141" s="14" t="s">
        <v>317</v>
      </c>
      <c r="C141" s="372">
        <v>0</v>
      </c>
      <c r="D141" s="372">
        <v>0</v>
      </c>
      <c r="E141" s="372">
        <v>0</v>
      </c>
      <c r="F141" s="372">
        <v>0</v>
      </c>
      <c r="G141" s="372">
        <v>0</v>
      </c>
      <c r="H141" s="372">
        <v>0</v>
      </c>
      <c r="I141" s="372">
        <v>0</v>
      </c>
      <c r="J141" s="372"/>
      <c r="K141" s="14" t="s">
        <v>318</v>
      </c>
      <c r="L141" s="14" t="s">
        <v>450</v>
      </c>
      <c r="M141" s="14" t="s">
        <v>320</v>
      </c>
      <c r="N141" s="14">
        <v>0</v>
      </c>
      <c r="O141" s="14" t="s">
        <v>468</v>
      </c>
      <c r="P141" s="42">
        <v>9.8299999999999998E-2</v>
      </c>
      <c r="Q141" s="42">
        <v>0</v>
      </c>
      <c r="R141" s="80" t="s">
        <v>452</v>
      </c>
      <c r="S141" s="1">
        <v>29.3</v>
      </c>
      <c r="U141" s="326"/>
      <c r="V141" s="326"/>
      <c r="W141" s="326"/>
      <c r="X141" s="326"/>
      <c r="Y141" s="326"/>
      <c r="Z141" s="326"/>
      <c r="AA141" s="326"/>
      <c r="AB141" s="326"/>
      <c r="AC141" s="326"/>
      <c r="AD141" s="326"/>
      <c r="AE141" s="326"/>
      <c r="AF141" s="326"/>
      <c r="AG141" s="326"/>
      <c r="AH141" s="326"/>
      <c r="AI141" s="326"/>
    </row>
    <row r="142" spans="1:35" x14ac:dyDescent="0.35">
      <c r="A142" s="33" t="s">
        <v>505</v>
      </c>
      <c r="B142" s="33" t="s">
        <v>317</v>
      </c>
      <c r="C142" s="369">
        <v>0</v>
      </c>
      <c r="D142" s="369">
        <v>0</v>
      </c>
      <c r="E142" s="369">
        <v>0</v>
      </c>
      <c r="F142" s="369">
        <v>0</v>
      </c>
      <c r="G142" s="369">
        <v>0</v>
      </c>
      <c r="H142" s="369">
        <v>0</v>
      </c>
      <c r="I142" s="369">
        <v>0</v>
      </c>
      <c r="J142" s="369"/>
      <c r="K142" s="33" t="s">
        <v>318</v>
      </c>
      <c r="L142" s="33" t="s">
        <v>450</v>
      </c>
      <c r="M142" s="33" t="s">
        <v>320</v>
      </c>
      <c r="N142" s="33">
        <v>0</v>
      </c>
      <c r="O142" s="33" t="s">
        <v>506</v>
      </c>
      <c r="P142" s="41">
        <v>7.3300000000000004E-2</v>
      </c>
      <c r="Q142" s="41">
        <v>0</v>
      </c>
      <c r="R142" s="79" t="s">
        <v>452</v>
      </c>
      <c r="S142" s="1">
        <v>42.7</v>
      </c>
      <c r="U142" s="326"/>
      <c r="V142" s="326"/>
      <c r="W142" s="326"/>
      <c r="X142" s="326"/>
      <c r="Y142" s="326"/>
      <c r="Z142" s="326"/>
      <c r="AA142" s="326"/>
      <c r="AB142" s="326"/>
      <c r="AC142" s="326"/>
      <c r="AD142" s="326"/>
      <c r="AE142" s="326"/>
      <c r="AF142" s="326"/>
      <c r="AG142" s="326"/>
      <c r="AH142" s="326"/>
      <c r="AI142" s="326"/>
    </row>
    <row r="143" spans="1:35" x14ac:dyDescent="0.35">
      <c r="A143" s="14" t="s">
        <v>507</v>
      </c>
      <c r="B143" s="14" t="s">
        <v>317</v>
      </c>
      <c r="C143" s="372">
        <v>0</v>
      </c>
      <c r="D143" s="372">
        <v>0</v>
      </c>
      <c r="E143" s="372">
        <v>0</v>
      </c>
      <c r="F143" s="372">
        <v>0</v>
      </c>
      <c r="G143" s="372">
        <v>0</v>
      </c>
      <c r="H143" s="372">
        <v>0</v>
      </c>
      <c r="I143" s="372">
        <v>0</v>
      </c>
      <c r="J143" s="372"/>
      <c r="K143" s="14" t="s">
        <v>318</v>
      </c>
      <c r="L143" s="14" t="s">
        <v>450</v>
      </c>
      <c r="M143" s="14" t="s">
        <v>320</v>
      </c>
      <c r="N143" s="14">
        <v>0</v>
      </c>
      <c r="O143" s="14" t="s">
        <v>493</v>
      </c>
      <c r="P143" s="42">
        <v>5.6599999999999998E-2</v>
      </c>
      <c r="Q143" s="42">
        <v>0</v>
      </c>
      <c r="R143" s="80" t="s">
        <v>452</v>
      </c>
      <c r="S143" s="1">
        <v>50</v>
      </c>
      <c r="U143" s="326"/>
      <c r="V143" s="326"/>
      <c r="W143" s="326"/>
      <c r="X143" s="326"/>
      <c r="Y143" s="326"/>
      <c r="Z143" s="326"/>
      <c r="AA143" s="326"/>
      <c r="AB143" s="326"/>
      <c r="AC143" s="326"/>
      <c r="AD143" s="326"/>
      <c r="AE143" s="326"/>
      <c r="AF143" s="326"/>
      <c r="AG143" s="326"/>
      <c r="AH143" s="326"/>
      <c r="AI143" s="326"/>
    </row>
    <row r="144" spans="1:35" x14ac:dyDescent="0.35">
      <c r="A144" s="33" t="s">
        <v>508</v>
      </c>
      <c r="B144" s="33" t="s">
        <v>317</v>
      </c>
      <c r="C144" s="369">
        <v>0</v>
      </c>
      <c r="D144" s="369">
        <v>0</v>
      </c>
      <c r="E144" s="369">
        <v>0</v>
      </c>
      <c r="F144" s="369">
        <v>0</v>
      </c>
      <c r="G144" s="369">
        <v>0</v>
      </c>
      <c r="H144" s="369">
        <v>0</v>
      </c>
      <c r="I144" s="369">
        <v>0</v>
      </c>
      <c r="J144" s="369"/>
      <c r="K144" s="33" t="s">
        <v>318</v>
      </c>
      <c r="L144" s="33" t="s">
        <v>484</v>
      </c>
      <c r="M144" s="33" t="s">
        <v>320</v>
      </c>
      <c r="N144" s="33">
        <v>0</v>
      </c>
      <c r="O144" s="33" t="s">
        <v>509</v>
      </c>
      <c r="P144" s="41">
        <v>0</v>
      </c>
      <c r="Q144" s="41">
        <v>0</v>
      </c>
      <c r="R144" s="79" t="s">
        <v>452</v>
      </c>
      <c r="S144" s="1">
        <v>500000</v>
      </c>
      <c r="U144" s="326"/>
      <c r="V144" s="326"/>
      <c r="W144" s="326"/>
      <c r="X144" s="326"/>
      <c r="Y144" s="326"/>
      <c r="Z144" s="326"/>
      <c r="AA144" s="326"/>
      <c r="AB144" s="326"/>
      <c r="AC144" s="326"/>
      <c r="AD144" s="326"/>
      <c r="AE144" s="326"/>
      <c r="AF144" s="326"/>
      <c r="AG144" s="326"/>
      <c r="AH144" s="326"/>
      <c r="AI144" s="326"/>
    </row>
    <row r="145" spans="1:35" x14ac:dyDescent="0.35">
      <c r="A145" s="14" t="s">
        <v>510</v>
      </c>
      <c r="B145" s="14" t="s">
        <v>317</v>
      </c>
      <c r="C145" s="372">
        <v>0</v>
      </c>
      <c r="D145" s="372">
        <v>0</v>
      </c>
      <c r="E145" s="372">
        <v>0</v>
      </c>
      <c r="F145" s="372">
        <v>0</v>
      </c>
      <c r="G145" s="372">
        <v>0</v>
      </c>
      <c r="H145" s="372">
        <v>0</v>
      </c>
      <c r="I145" s="372">
        <v>0</v>
      </c>
      <c r="J145" s="372"/>
      <c r="K145" s="14" t="s">
        <v>318</v>
      </c>
      <c r="L145" s="14" t="s">
        <v>450</v>
      </c>
      <c r="M145" s="14" t="s">
        <v>320</v>
      </c>
      <c r="N145" s="14">
        <v>0</v>
      </c>
      <c r="O145" s="14" t="s">
        <v>441</v>
      </c>
      <c r="P145" s="359">
        <v>0.1074</v>
      </c>
      <c r="Q145" s="42">
        <v>0.64</v>
      </c>
      <c r="R145" s="80" t="s">
        <v>511</v>
      </c>
      <c r="S145" s="1">
        <v>9.4</v>
      </c>
      <c r="U145" s="326"/>
      <c r="V145" s="326"/>
      <c r="W145" s="326"/>
      <c r="X145" s="326"/>
      <c r="Y145" s="326"/>
      <c r="Z145" s="326"/>
      <c r="AA145" s="326"/>
      <c r="AB145" s="326"/>
      <c r="AC145" s="326"/>
      <c r="AD145" s="326"/>
      <c r="AE145" s="326"/>
      <c r="AF145" s="326"/>
      <c r="AG145" s="326"/>
      <c r="AH145" s="326"/>
      <c r="AI145" s="326"/>
    </row>
    <row r="146" spans="1:35" x14ac:dyDescent="0.35">
      <c r="A146" s="33" t="s">
        <v>512</v>
      </c>
      <c r="B146" s="33" t="s">
        <v>513</v>
      </c>
      <c r="C146" s="369">
        <v>0</v>
      </c>
      <c r="D146" s="369">
        <v>0</v>
      </c>
      <c r="E146" s="369">
        <v>0</v>
      </c>
      <c r="F146" s="369">
        <v>0</v>
      </c>
      <c r="G146" s="369">
        <v>0</v>
      </c>
      <c r="H146" s="369">
        <v>0</v>
      </c>
      <c r="I146" s="369">
        <v>0</v>
      </c>
      <c r="J146" s="369"/>
      <c r="K146" s="33" t="s">
        <v>318</v>
      </c>
      <c r="L146" s="33" t="s">
        <v>418</v>
      </c>
      <c r="M146" s="33" t="s">
        <v>320</v>
      </c>
      <c r="N146" s="33">
        <v>0</v>
      </c>
      <c r="O146" s="33" t="s">
        <v>441</v>
      </c>
      <c r="P146" s="41">
        <f>0.65*(44/12)</f>
        <v>2.3833333333333333</v>
      </c>
      <c r="Q146" s="41">
        <v>7.0000000000000007E-2</v>
      </c>
      <c r="R146" s="79" t="s">
        <v>452</v>
      </c>
      <c r="S146" s="211">
        <v>19</v>
      </c>
      <c r="U146" s="326"/>
      <c r="V146" s="326"/>
      <c r="W146" s="326"/>
      <c r="X146" s="326"/>
      <c r="Y146" s="326"/>
      <c r="Z146" s="326"/>
      <c r="AA146" s="326"/>
      <c r="AB146" s="326"/>
      <c r="AC146" s="326"/>
      <c r="AD146" s="326"/>
      <c r="AE146" s="326"/>
      <c r="AF146" s="326"/>
      <c r="AG146" s="326"/>
      <c r="AH146" s="326"/>
      <c r="AI146" s="326"/>
    </row>
    <row r="147" spans="1:35" x14ac:dyDescent="0.35">
      <c r="A147" s="14" t="s">
        <v>514</v>
      </c>
      <c r="B147" s="14" t="s">
        <v>317</v>
      </c>
      <c r="C147" s="372">
        <v>0</v>
      </c>
      <c r="D147" s="372">
        <v>0</v>
      </c>
      <c r="E147" s="372">
        <v>0</v>
      </c>
      <c r="F147" s="372">
        <v>0</v>
      </c>
      <c r="G147" s="372">
        <v>0</v>
      </c>
      <c r="H147" s="372">
        <v>0</v>
      </c>
      <c r="I147" s="372">
        <v>0</v>
      </c>
      <c r="J147" s="372"/>
      <c r="K147" s="14" t="s">
        <v>318</v>
      </c>
      <c r="L147" s="14" t="s">
        <v>484</v>
      </c>
      <c r="M147" s="14" t="s">
        <v>320</v>
      </c>
      <c r="N147" s="14">
        <v>0</v>
      </c>
      <c r="O147" s="14" t="s">
        <v>441</v>
      </c>
      <c r="P147" s="42">
        <f>(P145*S145-P146*EnergyBalance!EX124)/EnergyBalance!EY124</f>
        <v>0.10604077689648159</v>
      </c>
      <c r="Q147" s="42">
        <f>1-((9.5*0.63-0.03*44)/8.85)</f>
        <v>0.47288135593220326</v>
      </c>
      <c r="R147" s="80" t="s">
        <v>502</v>
      </c>
      <c r="S147" s="211">
        <v>8.1</v>
      </c>
      <c r="U147" s="326"/>
      <c r="V147" s="326"/>
      <c r="W147" s="326"/>
      <c r="X147" s="326"/>
      <c r="Y147" s="326"/>
      <c r="Z147" s="326"/>
      <c r="AA147" s="326"/>
      <c r="AB147" s="326"/>
      <c r="AC147" s="326"/>
      <c r="AD147" s="326"/>
      <c r="AE147" s="326"/>
      <c r="AF147" s="326"/>
      <c r="AG147" s="326"/>
      <c r="AH147" s="326"/>
      <c r="AI147" s="326"/>
    </row>
    <row r="148" spans="1:35" x14ac:dyDescent="0.35">
      <c r="A148" s="33" t="s">
        <v>515</v>
      </c>
      <c r="B148" s="33" t="s">
        <v>317</v>
      </c>
      <c r="C148" s="369">
        <v>0</v>
      </c>
      <c r="D148" s="369">
        <v>0</v>
      </c>
      <c r="E148" s="369">
        <v>0</v>
      </c>
      <c r="F148" s="369">
        <v>0</v>
      </c>
      <c r="G148" s="369">
        <v>0</v>
      </c>
      <c r="H148" s="369">
        <v>0</v>
      </c>
      <c r="I148" s="369">
        <v>0</v>
      </c>
      <c r="J148" s="369"/>
      <c r="K148" s="33" t="s">
        <v>318</v>
      </c>
      <c r="L148" s="33" t="s">
        <v>484</v>
      </c>
      <c r="M148" s="33" t="s">
        <v>320</v>
      </c>
      <c r="N148" s="33">
        <v>0</v>
      </c>
      <c r="O148" s="33" t="s">
        <v>441</v>
      </c>
      <c r="P148" s="41">
        <f>P146/44</f>
        <v>5.4166666666666669E-2</v>
      </c>
      <c r="Q148" s="41">
        <v>0</v>
      </c>
      <c r="R148" s="79" t="s">
        <v>502</v>
      </c>
      <c r="S148" s="211">
        <v>19</v>
      </c>
      <c r="U148" s="326"/>
      <c r="V148" s="326"/>
      <c r="W148" s="326"/>
      <c r="X148" s="326"/>
      <c r="Y148" s="326"/>
      <c r="Z148" s="326"/>
      <c r="AA148" s="326"/>
      <c r="AB148" s="326"/>
      <c r="AC148" s="326"/>
      <c r="AD148" s="326"/>
      <c r="AE148" s="326"/>
      <c r="AF148" s="326"/>
      <c r="AG148" s="326"/>
      <c r="AH148" s="326"/>
      <c r="AI148" s="326"/>
    </row>
    <row r="149" spans="1:35" x14ac:dyDescent="0.35">
      <c r="A149" s="14" t="s">
        <v>516</v>
      </c>
      <c r="B149" s="14" t="s">
        <v>317</v>
      </c>
      <c r="C149" s="372">
        <v>0</v>
      </c>
      <c r="D149" s="372">
        <v>0</v>
      </c>
      <c r="E149" s="372">
        <v>0</v>
      </c>
      <c r="F149" s="372">
        <v>0</v>
      </c>
      <c r="G149" s="372">
        <v>0</v>
      </c>
      <c r="H149" s="372">
        <v>0</v>
      </c>
      <c r="I149" s="372">
        <v>0</v>
      </c>
      <c r="J149" s="372"/>
      <c r="K149" s="14" t="s">
        <v>318</v>
      </c>
      <c r="L149" s="14" t="s">
        <v>450</v>
      </c>
      <c r="M149" s="14" t="s">
        <v>320</v>
      </c>
      <c r="N149" s="14">
        <v>0</v>
      </c>
      <c r="O149" s="14" t="s">
        <v>504</v>
      </c>
      <c r="P149" s="42">
        <v>0.1096</v>
      </c>
      <c r="Q149" s="42">
        <v>1</v>
      </c>
      <c r="R149" s="80" t="s">
        <v>452</v>
      </c>
      <c r="S149" s="1">
        <v>15.1</v>
      </c>
      <c r="U149" s="326"/>
      <c r="V149" s="326"/>
      <c r="W149" s="326"/>
      <c r="X149" s="326"/>
      <c r="Y149" s="326"/>
      <c r="Z149" s="326"/>
      <c r="AA149" s="326"/>
      <c r="AB149" s="326"/>
      <c r="AC149" s="326"/>
      <c r="AD149" s="326"/>
      <c r="AE149" s="326"/>
      <c r="AF149" s="326"/>
      <c r="AG149" s="326"/>
      <c r="AH149" s="326"/>
      <c r="AI149" s="326"/>
    </row>
    <row r="150" spans="1:35" x14ac:dyDescent="0.35">
      <c r="A150" s="33" t="s">
        <v>517</v>
      </c>
      <c r="B150" s="33" t="s">
        <v>317</v>
      </c>
      <c r="C150" s="369">
        <v>0</v>
      </c>
      <c r="D150" s="369">
        <v>0</v>
      </c>
      <c r="E150" s="369">
        <v>0</v>
      </c>
      <c r="F150" s="369">
        <v>0</v>
      </c>
      <c r="G150" s="369">
        <v>0</v>
      </c>
      <c r="H150" s="369">
        <v>0</v>
      </c>
      <c r="I150" s="369">
        <v>0</v>
      </c>
      <c r="J150" s="369"/>
      <c r="K150" s="33" t="s">
        <v>318</v>
      </c>
      <c r="L150" s="33" t="s">
        <v>450</v>
      </c>
      <c r="M150" s="33" t="s">
        <v>320</v>
      </c>
      <c r="N150" s="33">
        <v>0</v>
      </c>
      <c r="O150" s="33" t="s">
        <v>504</v>
      </c>
      <c r="P150" s="41">
        <v>0.1096</v>
      </c>
      <c r="Q150" s="41">
        <v>1</v>
      </c>
      <c r="R150" s="79" t="s">
        <v>452</v>
      </c>
      <c r="S150" s="1">
        <v>15.1</v>
      </c>
      <c r="U150" s="326"/>
      <c r="V150" s="326"/>
      <c r="W150" s="326"/>
      <c r="X150" s="326"/>
      <c r="Y150" s="326"/>
      <c r="Z150" s="326"/>
      <c r="AA150" s="326"/>
      <c r="AB150" s="326"/>
      <c r="AC150" s="326"/>
      <c r="AD150" s="326"/>
      <c r="AE150" s="326"/>
      <c r="AF150" s="326"/>
      <c r="AG150" s="326"/>
      <c r="AH150" s="326"/>
      <c r="AI150" s="326"/>
    </row>
    <row r="151" spans="1:35" x14ac:dyDescent="0.35">
      <c r="A151" s="14" t="s">
        <v>518</v>
      </c>
      <c r="B151" s="14" t="s">
        <v>317</v>
      </c>
      <c r="C151" s="372">
        <v>0</v>
      </c>
      <c r="D151" s="372">
        <v>0</v>
      </c>
      <c r="E151" s="372">
        <v>0</v>
      </c>
      <c r="F151" s="372">
        <v>0</v>
      </c>
      <c r="G151" s="372">
        <v>0</v>
      </c>
      <c r="H151" s="372">
        <v>0</v>
      </c>
      <c r="I151" s="372">
        <v>0</v>
      </c>
      <c r="J151" s="372"/>
      <c r="K151" s="14" t="s">
        <v>318</v>
      </c>
      <c r="L151" s="14" t="s">
        <v>450</v>
      </c>
      <c r="M151" s="14" t="s">
        <v>320</v>
      </c>
      <c r="N151" s="14">
        <v>0</v>
      </c>
      <c r="O151" s="14" t="s">
        <v>504</v>
      </c>
      <c r="P151" s="42">
        <v>0.1096</v>
      </c>
      <c r="Q151" s="42">
        <v>1</v>
      </c>
      <c r="R151" s="80" t="s">
        <v>452</v>
      </c>
      <c r="S151" s="1">
        <v>15.1</v>
      </c>
      <c r="U151" s="326"/>
      <c r="V151" s="326"/>
      <c r="W151" s="326"/>
      <c r="X151" s="326"/>
      <c r="Y151" s="326"/>
      <c r="Z151" s="326"/>
      <c r="AA151" s="326"/>
      <c r="AB151" s="326"/>
      <c r="AC151" s="326"/>
      <c r="AD151" s="326"/>
      <c r="AE151" s="326"/>
      <c r="AF151" s="326"/>
      <c r="AG151" s="326"/>
      <c r="AH151" s="326"/>
      <c r="AI151" s="326"/>
    </row>
    <row r="152" spans="1:35" x14ac:dyDescent="0.35">
      <c r="A152" s="33" t="s">
        <v>519</v>
      </c>
      <c r="B152" s="33" t="s">
        <v>317</v>
      </c>
      <c r="C152" s="369">
        <v>0</v>
      </c>
      <c r="D152" s="369">
        <v>0</v>
      </c>
      <c r="E152" s="369">
        <v>0</v>
      </c>
      <c r="F152" s="369">
        <v>0</v>
      </c>
      <c r="G152" s="369">
        <v>0</v>
      </c>
      <c r="H152" s="369">
        <v>0</v>
      </c>
      <c r="I152" s="369">
        <v>0</v>
      </c>
      <c r="J152" s="369"/>
      <c r="K152" s="33" t="s">
        <v>318</v>
      </c>
      <c r="L152" s="33" t="s">
        <v>450</v>
      </c>
      <c r="M152" s="33" t="s">
        <v>320</v>
      </c>
      <c r="N152" s="33">
        <v>0</v>
      </c>
      <c r="O152" s="33" t="s">
        <v>504</v>
      </c>
      <c r="P152" s="41">
        <v>0.1096</v>
      </c>
      <c r="Q152" s="41">
        <v>1</v>
      </c>
      <c r="R152" s="79" t="s">
        <v>452</v>
      </c>
      <c r="S152" s="1">
        <v>15.1</v>
      </c>
      <c r="U152" s="326"/>
      <c r="V152" s="326"/>
      <c r="W152" s="326"/>
      <c r="X152" s="326"/>
      <c r="Y152" s="326"/>
      <c r="Z152" s="326"/>
      <c r="AA152" s="326"/>
      <c r="AB152" s="326"/>
      <c r="AC152" s="326"/>
      <c r="AD152" s="326"/>
      <c r="AE152" s="326"/>
      <c r="AF152" s="326"/>
      <c r="AG152" s="326"/>
      <c r="AH152" s="326"/>
      <c r="AI152" s="326"/>
    </row>
    <row r="153" spans="1:35" x14ac:dyDescent="0.35">
      <c r="A153" s="14" t="s">
        <v>520</v>
      </c>
      <c r="B153" s="14" t="s">
        <v>317</v>
      </c>
      <c r="C153" s="372">
        <v>0</v>
      </c>
      <c r="D153" s="372">
        <v>0</v>
      </c>
      <c r="E153" s="372">
        <v>0</v>
      </c>
      <c r="F153" s="372">
        <v>0</v>
      </c>
      <c r="G153" s="372">
        <v>0</v>
      </c>
      <c r="H153" s="372">
        <v>0</v>
      </c>
      <c r="I153" s="372">
        <v>0</v>
      </c>
      <c r="J153" s="372"/>
      <c r="K153" s="14" t="s">
        <v>318</v>
      </c>
      <c r="L153" s="14" t="s">
        <v>450</v>
      </c>
      <c r="M153" s="14" t="s">
        <v>320</v>
      </c>
      <c r="N153" s="14">
        <v>0</v>
      </c>
      <c r="O153" s="14" t="s">
        <v>504</v>
      </c>
      <c r="P153" s="42">
        <v>0.1096</v>
      </c>
      <c r="Q153" s="42">
        <v>1</v>
      </c>
      <c r="R153" s="80" t="s">
        <v>452</v>
      </c>
      <c r="S153" s="1">
        <v>15.1</v>
      </c>
      <c r="U153" s="326"/>
      <c r="V153" s="326"/>
      <c r="W153" s="326"/>
      <c r="X153" s="326"/>
      <c r="Y153" s="326"/>
      <c r="Z153" s="326"/>
      <c r="AA153" s="326"/>
      <c r="AB153" s="326"/>
      <c r="AC153" s="326"/>
      <c r="AD153" s="326"/>
      <c r="AE153" s="326"/>
      <c r="AF153" s="326"/>
      <c r="AG153" s="326"/>
      <c r="AH153" s="326"/>
      <c r="AI153" s="326"/>
    </row>
    <row r="154" spans="1:35" x14ac:dyDescent="0.35">
      <c r="A154" s="33" t="s">
        <v>521</v>
      </c>
      <c r="B154" s="33" t="s">
        <v>317</v>
      </c>
      <c r="C154" s="369">
        <v>0</v>
      </c>
      <c r="D154" s="369">
        <v>0</v>
      </c>
      <c r="E154" s="369">
        <v>0</v>
      </c>
      <c r="F154" s="369">
        <v>0</v>
      </c>
      <c r="G154" s="369">
        <v>0</v>
      </c>
      <c r="H154" s="369">
        <v>0</v>
      </c>
      <c r="I154" s="369">
        <v>0</v>
      </c>
      <c r="J154" s="369"/>
      <c r="K154" s="33" t="s">
        <v>318</v>
      </c>
      <c r="L154" s="33" t="s">
        <v>450</v>
      </c>
      <c r="M154" s="33" t="s">
        <v>320</v>
      </c>
      <c r="N154" s="33">
        <v>0</v>
      </c>
      <c r="O154" s="33" t="s">
        <v>504</v>
      </c>
      <c r="P154" s="41">
        <v>0.1096</v>
      </c>
      <c r="Q154" s="41">
        <v>1</v>
      </c>
      <c r="R154" s="79" t="s">
        <v>452</v>
      </c>
      <c r="S154" s="1">
        <v>15.1</v>
      </c>
      <c r="U154" s="326"/>
      <c r="V154" s="326"/>
      <c r="W154" s="326"/>
      <c r="X154" s="326"/>
      <c r="Y154" s="326"/>
      <c r="Z154" s="326"/>
      <c r="AA154" s="326"/>
      <c r="AB154" s="326"/>
      <c r="AC154" s="326"/>
      <c r="AD154" s="326"/>
      <c r="AE154" s="326"/>
      <c r="AF154" s="326"/>
      <c r="AG154" s="326"/>
      <c r="AH154" s="326"/>
      <c r="AI154" s="326"/>
    </row>
    <row r="155" spans="1:35" x14ac:dyDescent="0.35">
      <c r="A155" s="14" t="s">
        <v>522</v>
      </c>
      <c r="B155" s="14" t="s">
        <v>317</v>
      </c>
      <c r="C155" s="372">
        <v>0</v>
      </c>
      <c r="D155" s="372">
        <v>0</v>
      </c>
      <c r="E155" s="372">
        <v>0</v>
      </c>
      <c r="F155" s="372">
        <v>0</v>
      </c>
      <c r="G155" s="372">
        <v>0</v>
      </c>
      <c r="H155" s="372">
        <v>0</v>
      </c>
      <c r="I155" s="372">
        <v>0</v>
      </c>
      <c r="J155" s="372"/>
      <c r="K155" s="14" t="s">
        <v>318</v>
      </c>
      <c r="L155" s="14" t="s">
        <v>450</v>
      </c>
      <c r="M155" s="14" t="s">
        <v>320</v>
      </c>
      <c r="N155" s="14">
        <v>0</v>
      </c>
      <c r="O155" s="14" t="s">
        <v>504</v>
      </c>
      <c r="P155" s="42">
        <v>0.1096</v>
      </c>
      <c r="Q155" s="42">
        <v>1</v>
      </c>
      <c r="R155" s="80" t="s">
        <v>452</v>
      </c>
      <c r="S155" s="1">
        <v>15.1</v>
      </c>
      <c r="T155" s="326"/>
      <c r="U155" s="326"/>
      <c r="V155" s="326"/>
      <c r="W155" s="326"/>
      <c r="X155" s="326"/>
      <c r="Y155" s="326"/>
      <c r="Z155" s="326"/>
      <c r="AA155" s="326"/>
      <c r="AB155" s="326"/>
      <c r="AC155" s="326"/>
      <c r="AD155" s="326"/>
      <c r="AE155" s="326"/>
      <c r="AF155" s="326"/>
      <c r="AG155" s="326"/>
      <c r="AH155" s="326"/>
      <c r="AI155" s="326"/>
    </row>
    <row r="156" spans="1:35" x14ac:dyDescent="0.35">
      <c r="A156" s="33" t="s">
        <v>523</v>
      </c>
      <c r="B156" s="33" t="s">
        <v>317</v>
      </c>
      <c r="C156" s="369">
        <v>0</v>
      </c>
      <c r="D156" s="369">
        <v>0</v>
      </c>
      <c r="E156" s="369">
        <v>0</v>
      </c>
      <c r="F156" s="369">
        <v>0</v>
      </c>
      <c r="G156" s="369">
        <v>0</v>
      </c>
      <c r="H156" s="369">
        <v>0</v>
      </c>
      <c r="I156" s="369">
        <v>0</v>
      </c>
      <c r="J156" s="369"/>
      <c r="K156" s="33" t="s">
        <v>318</v>
      </c>
      <c r="L156" s="33" t="s">
        <v>450</v>
      </c>
      <c r="M156" s="33" t="s">
        <v>320</v>
      </c>
      <c r="N156" s="33">
        <v>0</v>
      </c>
      <c r="O156" s="33" t="s">
        <v>478</v>
      </c>
      <c r="P156" s="41">
        <v>7.1199999999999999E-2</v>
      </c>
      <c r="Q156" s="41">
        <v>1</v>
      </c>
      <c r="R156" s="79" t="s">
        <v>452</v>
      </c>
      <c r="S156" s="1">
        <v>37.799999999999997</v>
      </c>
      <c r="T156" s="326"/>
      <c r="U156" s="326"/>
      <c r="V156" s="326"/>
      <c r="W156" s="326"/>
      <c r="X156" s="326"/>
      <c r="Y156" s="326"/>
      <c r="Z156" s="326"/>
      <c r="AA156" s="326"/>
      <c r="AB156" s="326"/>
      <c r="AC156" s="326"/>
      <c r="AD156" s="326"/>
      <c r="AE156" s="326"/>
      <c r="AF156" s="326"/>
      <c r="AG156" s="326"/>
      <c r="AH156" s="326"/>
      <c r="AI156" s="326"/>
    </row>
    <row r="157" spans="1:35" x14ac:dyDescent="0.35">
      <c r="A157" s="33" t="s">
        <v>524</v>
      </c>
      <c r="B157" s="33" t="s">
        <v>317</v>
      </c>
      <c r="C157" s="369">
        <v>0</v>
      </c>
      <c r="D157" s="369">
        <v>0</v>
      </c>
      <c r="E157" s="369">
        <v>0</v>
      </c>
      <c r="F157" s="369">
        <v>0</v>
      </c>
      <c r="G157" s="369">
        <v>0</v>
      </c>
      <c r="H157" s="369">
        <v>0</v>
      </c>
      <c r="I157" s="369">
        <v>0</v>
      </c>
      <c r="J157" s="369"/>
      <c r="K157" s="33" t="s">
        <v>318</v>
      </c>
      <c r="L157" s="33" t="s">
        <v>450</v>
      </c>
      <c r="M157" s="33" t="s">
        <v>320</v>
      </c>
      <c r="N157" s="33">
        <v>0</v>
      </c>
      <c r="O157" s="33" t="s">
        <v>478</v>
      </c>
      <c r="P157" s="42">
        <v>5.6599999999999998E-2</v>
      </c>
      <c r="Q157" s="41">
        <v>1</v>
      </c>
      <c r="R157" s="79" t="s">
        <v>452</v>
      </c>
      <c r="T157" s="326"/>
      <c r="U157" s="326"/>
      <c r="V157" s="326"/>
      <c r="W157" s="326"/>
      <c r="X157" s="326"/>
      <c r="Y157" s="326"/>
      <c r="Z157" s="326"/>
      <c r="AA157" s="326"/>
      <c r="AB157" s="326"/>
      <c r="AC157" s="326"/>
      <c r="AD157" s="326"/>
      <c r="AE157" s="326"/>
      <c r="AF157" s="326"/>
      <c r="AG157" s="326"/>
      <c r="AH157" s="326"/>
      <c r="AI157" s="326"/>
    </row>
    <row r="158" spans="1:35" x14ac:dyDescent="0.35">
      <c r="A158" s="14" t="s">
        <v>525</v>
      </c>
      <c r="B158" s="14" t="s">
        <v>317</v>
      </c>
      <c r="C158" s="372">
        <v>0</v>
      </c>
      <c r="D158" s="372">
        <v>0</v>
      </c>
      <c r="E158" s="372">
        <v>0</v>
      </c>
      <c r="F158" s="372">
        <v>0</v>
      </c>
      <c r="G158" s="372">
        <v>0</v>
      </c>
      <c r="H158" s="372">
        <v>0</v>
      </c>
      <c r="I158" s="372">
        <v>0</v>
      </c>
      <c r="J158" s="372"/>
      <c r="K158" s="14" t="s">
        <v>318</v>
      </c>
      <c r="L158" s="33" t="s">
        <v>484</v>
      </c>
      <c r="M158" s="14" t="s">
        <v>320</v>
      </c>
      <c r="N158" s="14">
        <v>0</v>
      </c>
      <c r="O158" s="14" t="s">
        <v>526</v>
      </c>
      <c r="P158" s="42">
        <v>0</v>
      </c>
      <c r="Q158" s="42">
        <v>0</v>
      </c>
      <c r="R158" s="80" t="s">
        <v>452</v>
      </c>
      <c r="T158" s="326"/>
      <c r="U158" s="326"/>
      <c r="V158" s="326"/>
      <c r="W158" s="326"/>
      <c r="X158" s="326"/>
      <c r="Y158" s="326"/>
      <c r="Z158" s="326"/>
      <c r="AA158" s="326"/>
      <c r="AB158" s="326"/>
      <c r="AC158" s="326"/>
      <c r="AD158" s="326"/>
      <c r="AE158" s="326"/>
      <c r="AF158" s="326"/>
      <c r="AG158" s="326"/>
      <c r="AH158" s="326"/>
      <c r="AI158" s="326"/>
    </row>
    <row r="159" spans="1:35" x14ac:dyDescent="0.35">
      <c r="A159" s="33" t="s">
        <v>527</v>
      </c>
      <c r="B159" s="33" t="s">
        <v>317</v>
      </c>
      <c r="C159" s="369">
        <v>0</v>
      </c>
      <c r="D159" s="369">
        <v>0</v>
      </c>
      <c r="E159" s="369">
        <v>0</v>
      </c>
      <c r="F159" s="369">
        <v>0</v>
      </c>
      <c r="G159" s="369">
        <v>0</v>
      </c>
      <c r="H159" s="369">
        <v>0</v>
      </c>
      <c r="I159" s="369">
        <v>0</v>
      </c>
      <c r="J159" s="369"/>
      <c r="K159" s="33" t="s">
        <v>318</v>
      </c>
      <c r="L159" s="33" t="s">
        <v>484</v>
      </c>
      <c r="M159" s="33" t="s">
        <v>320</v>
      </c>
      <c r="N159" s="33">
        <v>0</v>
      </c>
      <c r="O159" s="33" t="s">
        <v>528</v>
      </c>
      <c r="P159" s="41">
        <v>0</v>
      </c>
      <c r="Q159" s="41">
        <v>0</v>
      </c>
      <c r="R159" s="79" t="s">
        <v>452</v>
      </c>
      <c r="T159" s="326"/>
      <c r="U159" s="326"/>
      <c r="V159" s="326"/>
      <c r="W159" s="326"/>
      <c r="X159" s="326"/>
      <c r="Y159" s="326"/>
      <c r="Z159" s="326"/>
      <c r="AA159" s="326"/>
      <c r="AB159" s="326"/>
      <c r="AC159" s="326"/>
      <c r="AD159" s="326"/>
      <c r="AE159" s="326"/>
      <c r="AF159" s="326"/>
      <c r="AG159" s="326"/>
      <c r="AH159" s="326"/>
      <c r="AI159" s="326"/>
    </row>
    <row r="160" spans="1:35" x14ac:dyDescent="0.35">
      <c r="A160" s="14" t="s">
        <v>529</v>
      </c>
      <c r="B160" s="14" t="s">
        <v>317</v>
      </c>
      <c r="C160" s="372">
        <v>0</v>
      </c>
      <c r="D160" s="372">
        <v>0</v>
      </c>
      <c r="E160" s="372">
        <v>0</v>
      </c>
      <c r="F160" s="372">
        <v>0</v>
      </c>
      <c r="G160" s="372">
        <v>0</v>
      </c>
      <c r="H160" s="372">
        <v>0</v>
      </c>
      <c r="I160" s="372">
        <v>0</v>
      </c>
      <c r="J160" s="372"/>
      <c r="K160" s="14" t="s">
        <v>318</v>
      </c>
      <c r="L160" s="33" t="s">
        <v>484</v>
      </c>
      <c r="M160" s="14" t="s">
        <v>320</v>
      </c>
      <c r="N160" s="14">
        <v>0</v>
      </c>
      <c r="O160" s="14" t="s">
        <v>530</v>
      </c>
      <c r="P160" s="42">
        <v>0</v>
      </c>
      <c r="Q160" s="42">
        <v>0</v>
      </c>
      <c r="R160" s="80" t="s">
        <v>452</v>
      </c>
      <c r="T160" s="326"/>
      <c r="U160" s="326"/>
      <c r="V160" s="326"/>
      <c r="W160" s="326"/>
      <c r="X160" s="326"/>
      <c r="Y160" s="326"/>
      <c r="Z160" s="326"/>
      <c r="AA160" s="326"/>
      <c r="AB160" s="326"/>
      <c r="AC160" s="326"/>
      <c r="AD160" s="326"/>
      <c r="AE160" s="326"/>
      <c r="AF160" s="326"/>
      <c r="AG160" s="326"/>
      <c r="AH160" s="326"/>
      <c r="AI160" s="326"/>
    </row>
    <row r="161" spans="1:35" x14ac:dyDescent="0.35">
      <c r="A161" s="33" t="s">
        <v>531</v>
      </c>
      <c r="B161" s="33" t="s">
        <v>317</v>
      </c>
      <c r="C161" s="369">
        <v>0</v>
      </c>
      <c r="D161" s="369">
        <v>0</v>
      </c>
      <c r="E161" s="369">
        <v>0</v>
      </c>
      <c r="F161" s="369">
        <v>0</v>
      </c>
      <c r="G161" s="369">
        <v>0</v>
      </c>
      <c r="H161" s="369">
        <v>0</v>
      </c>
      <c r="I161" s="369">
        <v>0</v>
      </c>
      <c r="J161" s="369"/>
      <c r="K161" s="33" t="s">
        <v>318</v>
      </c>
      <c r="L161" s="33" t="s">
        <v>484</v>
      </c>
      <c r="M161" s="33" t="s">
        <v>320</v>
      </c>
      <c r="N161" s="33">
        <v>0</v>
      </c>
      <c r="O161" s="33" t="s">
        <v>530</v>
      </c>
      <c r="P161" s="41">
        <v>0</v>
      </c>
      <c r="Q161" s="41">
        <v>0</v>
      </c>
      <c r="R161" s="79" t="s">
        <v>452</v>
      </c>
      <c r="T161" s="326"/>
      <c r="U161" s="326"/>
      <c r="V161" s="326"/>
      <c r="W161" s="326"/>
      <c r="X161" s="326"/>
      <c r="Y161" s="326"/>
      <c r="Z161" s="326"/>
      <c r="AA161" s="326"/>
      <c r="AB161" s="326"/>
      <c r="AC161" s="326"/>
      <c r="AD161" s="326"/>
      <c r="AE161" s="326"/>
      <c r="AF161" s="326"/>
      <c r="AG161" s="326"/>
      <c r="AH161" s="326"/>
      <c r="AI161" s="326"/>
    </row>
    <row r="162" spans="1:35" x14ac:dyDescent="0.35">
      <c r="A162" s="14" t="s">
        <v>532</v>
      </c>
      <c r="B162" s="14" t="s">
        <v>317</v>
      </c>
      <c r="C162" s="372">
        <v>0</v>
      </c>
      <c r="D162" s="372">
        <v>0</v>
      </c>
      <c r="E162" s="372">
        <v>0</v>
      </c>
      <c r="F162" s="372">
        <v>0</v>
      </c>
      <c r="G162" s="372">
        <v>0</v>
      </c>
      <c r="H162" s="372">
        <v>0</v>
      </c>
      <c r="I162" s="372">
        <v>0</v>
      </c>
      <c r="J162" s="372"/>
      <c r="K162" s="14" t="s">
        <v>318</v>
      </c>
      <c r="L162" s="33" t="s">
        <v>484</v>
      </c>
      <c r="M162" s="14" t="s">
        <v>320</v>
      </c>
      <c r="N162" s="14">
        <v>0</v>
      </c>
      <c r="O162" s="14" t="s">
        <v>530</v>
      </c>
      <c r="P162" s="42">
        <v>0</v>
      </c>
      <c r="Q162" s="42">
        <v>0</v>
      </c>
      <c r="R162" s="80" t="s">
        <v>452</v>
      </c>
      <c r="T162" s="326"/>
      <c r="U162" s="326"/>
      <c r="V162" s="326"/>
      <c r="W162" s="326"/>
      <c r="X162" s="326"/>
      <c r="Y162" s="326"/>
      <c r="Z162" s="326"/>
      <c r="AA162" s="326"/>
      <c r="AB162" s="326"/>
      <c r="AC162" s="326"/>
      <c r="AD162" s="326"/>
      <c r="AE162" s="326"/>
      <c r="AF162" s="326"/>
      <c r="AG162" s="326"/>
      <c r="AH162" s="326"/>
      <c r="AI162" s="326"/>
    </row>
    <row r="163" spans="1:35" x14ac:dyDescent="0.35">
      <c r="A163" s="33" t="s">
        <v>533</v>
      </c>
      <c r="B163" s="33" t="s">
        <v>394</v>
      </c>
      <c r="C163" s="369">
        <v>0</v>
      </c>
      <c r="D163" s="369">
        <v>0</v>
      </c>
      <c r="E163" s="369">
        <v>0</v>
      </c>
      <c r="F163" s="369">
        <v>0</v>
      </c>
      <c r="G163" s="369">
        <v>0</v>
      </c>
      <c r="H163" s="369">
        <v>0</v>
      </c>
      <c r="I163" s="369">
        <v>0</v>
      </c>
      <c r="J163" s="369"/>
      <c r="K163" s="33" t="s">
        <v>318</v>
      </c>
      <c r="L163" s="33" t="s">
        <v>534</v>
      </c>
      <c r="M163" s="33" t="s">
        <v>320</v>
      </c>
      <c r="N163" s="33">
        <v>0</v>
      </c>
      <c r="O163" s="33" t="s">
        <v>29</v>
      </c>
      <c r="P163" s="41" t="s">
        <v>29</v>
      </c>
      <c r="Q163" s="41" t="s">
        <v>29</v>
      </c>
      <c r="R163" s="79" t="s">
        <v>452</v>
      </c>
      <c r="T163" s="326"/>
      <c r="U163" s="326"/>
      <c r="V163" s="326"/>
      <c r="W163" s="326"/>
      <c r="X163" s="326"/>
      <c r="Y163" s="326"/>
      <c r="Z163" s="326"/>
      <c r="AA163" s="326"/>
      <c r="AB163" s="326"/>
      <c r="AC163" s="326"/>
      <c r="AD163" s="326"/>
      <c r="AE163" s="326"/>
      <c r="AF163" s="326"/>
      <c r="AG163" s="326"/>
      <c r="AH163" s="326"/>
      <c r="AI163" s="326"/>
    </row>
    <row r="164" spans="1:35" x14ac:dyDescent="0.35">
      <c r="A164" s="14" t="s">
        <v>535</v>
      </c>
      <c r="B164" s="14" t="s">
        <v>394</v>
      </c>
      <c r="C164" s="372">
        <v>0</v>
      </c>
      <c r="D164" s="372">
        <v>0</v>
      </c>
      <c r="E164" s="372">
        <v>0</v>
      </c>
      <c r="F164" s="372">
        <v>0</v>
      </c>
      <c r="G164" s="372">
        <v>0</v>
      </c>
      <c r="H164" s="372">
        <v>0</v>
      </c>
      <c r="I164" s="372">
        <v>0</v>
      </c>
      <c r="J164" s="372"/>
      <c r="K164" s="14" t="s">
        <v>318</v>
      </c>
      <c r="L164" s="14" t="s">
        <v>534</v>
      </c>
      <c r="M164" s="14" t="s">
        <v>320</v>
      </c>
      <c r="N164" s="14">
        <v>0</v>
      </c>
      <c r="O164" s="14" t="s">
        <v>29</v>
      </c>
      <c r="P164" s="42" t="s">
        <v>29</v>
      </c>
      <c r="Q164" s="42" t="s">
        <v>29</v>
      </c>
      <c r="R164" s="80" t="s">
        <v>452</v>
      </c>
      <c r="T164" s="326"/>
      <c r="U164" s="326"/>
      <c r="V164" s="326"/>
      <c r="W164" s="326"/>
      <c r="X164" s="326"/>
      <c r="Y164" s="326"/>
      <c r="Z164" s="326"/>
      <c r="AA164" s="326"/>
      <c r="AB164" s="326"/>
      <c r="AC164" s="326"/>
      <c r="AD164" s="326"/>
      <c r="AE164" s="326"/>
      <c r="AF164" s="326"/>
      <c r="AG164" s="326"/>
      <c r="AH164" s="326"/>
      <c r="AI164" s="326"/>
    </row>
    <row r="165" spans="1:35" x14ac:dyDescent="0.35">
      <c r="A165" s="33" t="s">
        <v>536</v>
      </c>
      <c r="B165" s="33" t="s">
        <v>394</v>
      </c>
      <c r="C165" s="369">
        <v>0</v>
      </c>
      <c r="D165" s="369">
        <v>0</v>
      </c>
      <c r="E165" s="369">
        <v>0</v>
      </c>
      <c r="F165" s="369">
        <v>0</v>
      </c>
      <c r="G165" s="369">
        <v>0</v>
      </c>
      <c r="H165" s="369">
        <v>0</v>
      </c>
      <c r="I165" s="369">
        <v>0</v>
      </c>
      <c r="J165" s="369"/>
      <c r="K165" s="33" t="s">
        <v>318</v>
      </c>
      <c r="L165" s="33" t="s">
        <v>534</v>
      </c>
      <c r="M165" s="33" t="s">
        <v>320</v>
      </c>
      <c r="N165" s="33">
        <v>0</v>
      </c>
      <c r="O165" s="33" t="s">
        <v>29</v>
      </c>
      <c r="P165" s="41" t="s">
        <v>29</v>
      </c>
      <c r="Q165" s="41" t="s">
        <v>29</v>
      </c>
      <c r="R165" s="79" t="s">
        <v>452</v>
      </c>
      <c r="T165" s="326"/>
      <c r="U165" s="326"/>
      <c r="V165" s="326"/>
      <c r="W165" s="326"/>
      <c r="X165" s="326"/>
      <c r="Y165" s="326"/>
      <c r="Z165" s="326"/>
      <c r="AA165" s="326"/>
      <c r="AB165" s="326"/>
      <c r="AC165" s="326"/>
      <c r="AD165" s="326"/>
      <c r="AE165" s="326"/>
      <c r="AF165" s="326"/>
      <c r="AG165" s="326"/>
      <c r="AH165" s="326"/>
      <c r="AI165" s="326"/>
    </row>
    <row r="166" spans="1:35" x14ac:dyDescent="0.35">
      <c r="A166" s="14" t="s">
        <v>537</v>
      </c>
      <c r="B166" s="14" t="s">
        <v>394</v>
      </c>
      <c r="C166" s="372">
        <v>0</v>
      </c>
      <c r="D166" s="372">
        <v>0</v>
      </c>
      <c r="E166" s="372">
        <v>0</v>
      </c>
      <c r="F166" s="372">
        <v>0</v>
      </c>
      <c r="G166" s="372">
        <v>0</v>
      </c>
      <c r="H166" s="372">
        <v>0</v>
      </c>
      <c r="I166" s="372">
        <v>0</v>
      </c>
      <c r="J166" s="372"/>
      <c r="K166" s="14" t="s">
        <v>318</v>
      </c>
      <c r="L166" s="14" t="s">
        <v>534</v>
      </c>
      <c r="M166" s="14" t="s">
        <v>320</v>
      </c>
      <c r="N166" s="14">
        <v>0</v>
      </c>
      <c r="O166" s="14" t="s">
        <v>29</v>
      </c>
      <c r="P166" s="42" t="s">
        <v>29</v>
      </c>
      <c r="Q166" s="42" t="s">
        <v>29</v>
      </c>
      <c r="R166" s="80" t="s">
        <v>452</v>
      </c>
      <c r="T166" s="326"/>
      <c r="U166" s="326"/>
      <c r="V166" s="326"/>
      <c r="W166" s="326"/>
      <c r="X166" s="326"/>
      <c r="Y166" s="326"/>
      <c r="Z166" s="326"/>
      <c r="AA166" s="326"/>
      <c r="AB166" s="326"/>
      <c r="AC166" s="326"/>
      <c r="AD166" s="326"/>
      <c r="AE166" s="326"/>
      <c r="AF166" s="326"/>
      <c r="AG166" s="326"/>
      <c r="AH166" s="326"/>
      <c r="AI166" s="326"/>
    </row>
    <row r="167" spans="1:35" x14ac:dyDescent="0.35">
      <c r="A167" s="14" t="s">
        <v>538</v>
      </c>
      <c r="B167" s="14" t="s">
        <v>394</v>
      </c>
      <c r="C167" s="372">
        <v>0</v>
      </c>
      <c r="D167" s="372">
        <v>0</v>
      </c>
      <c r="E167" s="372">
        <v>0</v>
      </c>
      <c r="F167" s="372">
        <v>0</v>
      </c>
      <c r="G167" s="372">
        <v>0</v>
      </c>
      <c r="H167" s="372">
        <v>0</v>
      </c>
      <c r="I167" s="372">
        <v>0</v>
      </c>
      <c r="J167" s="372"/>
      <c r="K167" s="14" t="s">
        <v>318</v>
      </c>
      <c r="L167" s="14" t="s">
        <v>534</v>
      </c>
      <c r="M167" s="14" t="s">
        <v>320</v>
      </c>
      <c r="N167" s="14">
        <v>0</v>
      </c>
      <c r="O167" s="14" t="s">
        <v>29</v>
      </c>
      <c r="P167" s="42" t="s">
        <v>29</v>
      </c>
      <c r="Q167" s="42" t="s">
        <v>29</v>
      </c>
      <c r="R167" s="80" t="s">
        <v>452</v>
      </c>
      <c r="T167" s="326"/>
      <c r="U167" s="326"/>
      <c r="V167" s="326"/>
      <c r="W167" s="326"/>
      <c r="X167" s="326"/>
      <c r="Y167" s="326"/>
      <c r="Z167" s="326"/>
      <c r="AA167" s="326"/>
      <c r="AB167" s="326"/>
      <c r="AC167" s="326"/>
      <c r="AD167" s="326"/>
      <c r="AE167" s="326"/>
      <c r="AF167" s="326"/>
      <c r="AG167" s="326"/>
      <c r="AH167" s="326"/>
      <c r="AI167" s="326"/>
    </row>
    <row r="168" spans="1:35" x14ac:dyDescent="0.35">
      <c r="A168" s="33" t="s">
        <v>539</v>
      </c>
      <c r="B168" s="33" t="s">
        <v>394</v>
      </c>
      <c r="C168" s="369">
        <v>0</v>
      </c>
      <c r="D168" s="369">
        <v>0</v>
      </c>
      <c r="E168" s="369">
        <v>0</v>
      </c>
      <c r="F168" s="369">
        <v>0</v>
      </c>
      <c r="G168" s="369">
        <v>0</v>
      </c>
      <c r="H168" s="369">
        <v>0</v>
      </c>
      <c r="I168" s="369">
        <v>0</v>
      </c>
      <c r="J168" s="369"/>
      <c r="K168" s="33" t="s">
        <v>318</v>
      </c>
      <c r="L168" s="33" t="s">
        <v>534</v>
      </c>
      <c r="M168" s="33" t="s">
        <v>320</v>
      </c>
      <c r="N168" s="33">
        <v>0</v>
      </c>
      <c r="O168" s="33" t="s">
        <v>29</v>
      </c>
      <c r="P168" s="41" t="s">
        <v>29</v>
      </c>
      <c r="Q168" s="41" t="s">
        <v>29</v>
      </c>
      <c r="R168" s="79" t="s">
        <v>452</v>
      </c>
      <c r="T168" s="326"/>
      <c r="U168" s="326"/>
      <c r="V168" s="326"/>
      <c r="W168" s="326"/>
      <c r="X168" s="326"/>
      <c r="Y168" s="326"/>
      <c r="Z168" s="326"/>
      <c r="AA168" s="326"/>
      <c r="AB168" s="326"/>
      <c r="AC168" s="326"/>
      <c r="AD168" s="326"/>
      <c r="AE168" s="326"/>
      <c r="AF168" s="326"/>
      <c r="AG168" s="326"/>
      <c r="AH168" s="326"/>
      <c r="AI168" s="326"/>
    </row>
    <row r="169" spans="1:35" x14ac:dyDescent="0.35">
      <c r="A169" s="14" t="s">
        <v>540</v>
      </c>
      <c r="B169" s="14" t="s">
        <v>394</v>
      </c>
      <c r="C169" s="372">
        <v>0</v>
      </c>
      <c r="D169" s="372">
        <v>0</v>
      </c>
      <c r="E169" s="372">
        <v>0</v>
      </c>
      <c r="F169" s="372">
        <v>0</v>
      </c>
      <c r="G169" s="372">
        <v>0</v>
      </c>
      <c r="H169" s="372">
        <v>0</v>
      </c>
      <c r="I169" s="372">
        <v>0</v>
      </c>
      <c r="J169" s="372"/>
      <c r="K169" s="14" t="s">
        <v>318</v>
      </c>
      <c r="L169" s="14" t="s">
        <v>534</v>
      </c>
      <c r="M169" s="14" t="s">
        <v>320</v>
      </c>
      <c r="N169" s="14">
        <v>0</v>
      </c>
      <c r="O169" s="14" t="s">
        <v>29</v>
      </c>
      <c r="P169" s="42" t="s">
        <v>29</v>
      </c>
      <c r="Q169" s="42" t="s">
        <v>29</v>
      </c>
      <c r="R169" s="80" t="s">
        <v>452</v>
      </c>
      <c r="T169" s="326"/>
      <c r="U169" s="326"/>
      <c r="V169" s="326"/>
      <c r="W169" s="326"/>
      <c r="X169" s="326"/>
      <c r="Y169" s="326"/>
      <c r="Z169" s="326"/>
      <c r="AA169" s="326"/>
      <c r="AB169" s="326"/>
      <c r="AC169" s="326"/>
      <c r="AD169" s="326"/>
      <c r="AE169" s="326"/>
      <c r="AF169" s="326"/>
      <c r="AG169" s="326"/>
      <c r="AH169" s="326"/>
      <c r="AI169" s="326"/>
    </row>
    <row r="170" spans="1:35" x14ac:dyDescent="0.35">
      <c r="A170" s="14" t="s">
        <v>541</v>
      </c>
      <c r="B170" s="14" t="s">
        <v>394</v>
      </c>
      <c r="C170" s="372">
        <v>0</v>
      </c>
      <c r="D170" s="372">
        <v>0</v>
      </c>
      <c r="E170" s="372">
        <v>0</v>
      </c>
      <c r="F170" s="372">
        <v>0</v>
      </c>
      <c r="G170" s="372">
        <v>0</v>
      </c>
      <c r="H170" s="372">
        <v>0</v>
      </c>
      <c r="I170" s="372">
        <v>0</v>
      </c>
      <c r="J170" s="372"/>
      <c r="K170" s="14" t="s">
        <v>318</v>
      </c>
      <c r="L170" s="14" t="s">
        <v>534</v>
      </c>
      <c r="M170" s="14" t="s">
        <v>320</v>
      </c>
      <c r="N170" s="14">
        <v>0</v>
      </c>
      <c r="O170" s="14" t="s">
        <v>29</v>
      </c>
      <c r="P170" s="42" t="s">
        <v>29</v>
      </c>
      <c r="Q170" s="42" t="s">
        <v>29</v>
      </c>
      <c r="R170" s="80" t="s">
        <v>452</v>
      </c>
      <c r="T170" s="326"/>
      <c r="U170" s="326"/>
      <c r="V170" s="326"/>
      <c r="W170" s="326"/>
      <c r="X170" s="326"/>
      <c r="Y170" s="326"/>
      <c r="Z170" s="326"/>
      <c r="AA170" s="326"/>
      <c r="AB170" s="326"/>
      <c r="AC170" s="326"/>
      <c r="AD170" s="326"/>
      <c r="AE170" s="326"/>
      <c r="AF170" s="326"/>
      <c r="AG170" s="326"/>
      <c r="AH170" s="326"/>
      <c r="AI170" s="326"/>
    </row>
    <row r="171" spans="1:35" x14ac:dyDescent="0.35">
      <c r="A171" s="14" t="s">
        <v>542</v>
      </c>
      <c r="B171" s="14" t="s">
        <v>394</v>
      </c>
      <c r="C171" s="372">
        <v>0</v>
      </c>
      <c r="D171" s="372">
        <v>0</v>
      </c>
      <c r="E171" s="372">
        <v>0</v>
      </c>
      <c r="F171" s="372">
        <v>0</v>
      </c>
      <c r="G171" s="372">
        <v>0</v>
      </c>
      <c r="H171" s="372">
        <v>0</v>
      </c>
      <c r="I171" s="372">
        <v>0</v>
      </c>
      <c r="J171" s="372"/>
      <c r="K171" s="14" t="s">
        <v>318</v>
      </c>
      <c r="L171" s="14" t="s">
        <v>534</v>
      </c>
      <c r="M171" s="14" t="s">
        <v>320</v>
      </c>
      <c r="N171" s="14">
        <v>0</v>
      </c>
      <c r="O171" s="14" t="s">
        <v>29</v>
      </c>
      <c r="P171" s="42" t="s">
        <v>29</v>
      </c>
      <c r="Q171" s="42" t="s">
        <v>29</v>
      </c>
      <c r="R171" s="80" t="s">
        <v>452</v>
      </c>
      <c r="T171" s="326"/>
      <c r="U171" s="326"/>
      <c r="V171" s="326"/>
      <c r="W171" s="326"/>
      <c r="X171" s="326"/>
      <c r="Y171" s="326"/>
      <c r="Z171" s="326"/>
      <c r="AA171" s="326"/>
      <c r="AB171" s="326"/>
      <c r="AC171" s="326"/>
      <c r="AD171" s="326"/>
      <c r="AE171" s="326"/>
      <c r="AF171" s="326"/>
      <c r="AG171" s="326"/>
      <c r="AH171" s="326"/>
      <c r="AI171" s="326"/>
    </row>
    <row r="172" spans="1:35" x14ac:dyDescent="0.35">
      <c r="A172" s="33" t="s">
        <v>543</v>
      </c>
      <c r="B172" s="33" t="s">
        <v>394</v>
      </c>
      <c r="C172" s="369">
        <v>0</v>
      </c>
      <c r="D172" s="369">
        <v>0</v>
      </c>
      <c r="E172" s="369">
        <v>0</v>
      </c>
      <c r="F172" s="369">
        <v>0</v>
      </c>
      <c r="G172" s="369">
        <v>0</v>
      </c>
      <c r="H172" s="369">
        <v>0</v>
      </c>
      <c r="I172" s="369">
        <v>0</v>
      </c>
      <c r="J172" s="369"/>
      <c r="K172" s="33" t="s">
        <v>318</v>
      </c>
      <c r="L172" s="33" t="s">
        <v>534</v>
      </c>
      <c r="M172" s="33" t="s">
        <v>320</v>
      </c>
      <c r="N172" s="33">
        <v>0</v>
      </c>
      <c r="O172" s="33" t="s">
        <v>29</v>
      </c>
      <c r="P172" s="41" t="s">
        <v>29</v>
      </c>
      <c r="Q172" s="41" t="s">
        <v>29</v>
      </c>
      <c r="R172" s="79" t="s">
        <v>452</v>
      </c>
      <c r="T172" s="326"/>
      <c r="U172" s="326"/>
      <c r="V172" s="326"/>
      <c r="W172" s="326"/>
      <c r="X172" s="326"/>
      <c r="Y172" s="326"/>
      <c r="Z172" s="326"/>
      <c r="AA172" s="326"/>
      <c r="AB172" s="326"/>
      <c r="AC172" s="326"/>
      <c r="AD172" s="326"/>
      <c r="AE172" s="326"/>
      <c r="AF172" s="326"/>
      <c r="AG172" s="326"/>
      <c r="AH172" s="326"/>
      <c r="AI172" s="326"/>
    </row>
    <row r="173" spans="1:35" x14ac:dyDescent="0.35">
      <c r="A173" s="14" t="s">
        <v>544</v>
      </c>
      <c r="B173" s="14" t="s">
        <v>394</v>
      </c>
      <c r="C173" s="372">
        <v>0</v>
      </c>
      <c r="D173" s="372">
        <v>0</v>
      </c>
      <c r="E173" s="372">
        <v>0</v>
      </c>
      <c r="F173" s="372">
        <v>0</v>
      </c>
      <c r="G173" s="372">
        <v>0</v>
      </c>
      <c r="H173" s="372">
        <v>0</v>
      </c>
      <c r="I173" s="372">
        <v>0</v>
      </c>
      <c r="J173" s="372"/>
      <c r="K173" s="14" t="s">
        <v>318</v>
      </c>
      <c r="L173" s="14" t="s">
        <v>534</v>
      </c>
      <c r="M173" s="14" t="s">
        <v>320</v>
      </c>
      <c r="N173" s="14">
        <v>0</v>
      </c>
      <c r="O173" s="14" t="s">
        <v>29</v>
      </c>
      <c r="P173" s="42" t="s">
        <v>29</v>
      </c>
      <c r="Q173" s="42" t="s">
        <v>29</v>
      </c>
      <c r="R173" s="80" t="s">
        <v>452</v>
      </c>
      <c r="T173" s="326"/>
      <c r="U173" s="326"/>
      <c r="V173" s="326"/>
      <c r="W173" s="326"/>
      <c r="X173" s="326"/>
      <c r="Y173" s="326"/>
      <c r="Z173" s="326"/>
      <c r="AA173" s="326"/>
      <c r="AB173" s="326"/>
      <c r="AC173" s="326"/>
      <c r="AD173" s="326"/>
      <c r="AE173" s="326"/>
      <c r="AF173" s="326"/>
      <c r="AG173" s="326"/>
      <c r="AH173" s="326"/>
      <c r="AI173" s="326"/>
    </row>
    <row r="174" spans="1:35" x14ac:dyDescent="0.35">
      <c r="A174" s="14" t="s">
        <v>545</v>
      </c>
      <c r="B174" s="14" t="s">
        <v>394</v>
      </c>
      <c r="C174" s="372">
        <v>0</v>
      </c>
      <c r="D174" s="372">
        <v>0</v>
      </c>
      <c r="E174" s="372">
        <v>0</v>
      </c>
      <c r="F174" s="372">
        <v>0</v>
      </c>
      <c r="G174" s="372">
        <v>0</v>
      </c>
      <c r="H174" s="372">
        <v>0</v>
      </c>
      <c r="I174" s="372">
        <v>0</v>
      </c>
      <c r="J174" s="372"/>
      <c r="K174" s="14" t="s">
        <v>318</v>
      </c>
      <c r="L174" s="14" t="s">
        <v>534</v>
      </c>
      <c r="M174" s="14" t="s">
        <v>320</v>
      </c>
      <c r="N174" s="14">
        <v>0</v>
      </c>
      <c r="O174" s="14" t="s">
        <v>29</v>
      </c>
      <c r="P174" s="42" t="s">
        <v>29</v>
      </c>
      <c r="Q174" s="42" t="s">
        <v>29</v>
      </c>
      <c r="R174" s="80" t="s">
        <v>452</v>
      </c>
      <c r="T174" s="326"/>
      <c r="U174" s="326"/>
      <c r="V174" s="326"/>
      <c r="W174" s="326"/>
      <c r="X174" s="326"/>
      <c r="Y174" s="326"/>
      <c r="Z174" s="326"/>
      <c r="AA174" s="326"/>
      <c r="AB174" s="326"/>
      <c r="AC174" s="326"/>
      <c r="AD174" s="326"/>
      <c r="AE174" s="326"/>
      <c r="AF174" s="326"/>
      <c r="AG174" s="326"/>
      <c r="AH174" s="326"/>
      <c r="AI174" s="326"/>
    </row>
    <row r="175" spans="1:35" x14ac:dyDescent="0.35">
      <c r="A175" s="14" t="s">
        <v>546</v>
      </c>
      <c r="B175" s="14" t="s">
        <v>394</v>
      </c>
      <c r="C175" s="372">
        <v>0</v>
      </c>
      <c r="D175" s="372">
        <v>0</v>
      </c>
      <c r="E175" s="372">
        <v>0</v>
      </c>
      <c r="F175" s="372">
        <v>0</v>
      </c>
      <c r="G175" s="372">
        <v>0</v>
      </c>
      <c r="H175" s="372">
        <v>0</v>
      </c>
      <c r="I175" s="372">
        <v>0</v>
      </c>
      <c r="J175" s="372"/>
      <c r="K175" s="14" t="s">
        <v>318</v>
      </c>
      <c r="L175" s="14" t="s">
        <v>534</v>
      </c>
      <c r="M175" s="14" t="s">
        <v>320</v>
      </c>
      <c r="N175" s="14">
        <v>0</v>
      </c>
      <c r="O175" s="14" t="s">
        <v>29</v>
      </c>
      <c r="P175" s="42" t="s">
        <v>29</v>
      </c>
      <c r="Q175" s="42" t="s">
        <v>29</v>
      </c>
      <c r="R175" s="80" t="s">
        <v>452</v>
      </c>
      <c r="T175" s="326"/>
      <c r="U175" s="326"/>
      <c r="V175" s="326"/>
      <c r="W175" s="326"/>
      <c r="X175" s="326"/>
      <c r="Y175" s="326"/>
      <c r="Z175" s="326"/>
      <c r="AA175" s="326"/>
      <c r="AB175" s="326"/>
      <c r="AC175" s="326"/>
      <c r="AD175" s="326"/>
      <c r="AE175" s="326"/>
      <c r="AF175" s="326"/>
      <c r="AG175" s="326"/>
      <c r="AH175" s="326"/>
      <c r="AI175" s="326"/>
    </row>
    <row r="176" spans="1:35" x14ac:dyDescent="0.35">
      <c r="A176" s="14" t="s">
        <v>547</v>
      </c>
      <c r="B176" s="14" t="s">
        <v>394</v>
      </c>
      <c r="C176" s="372">
        <v>0</v>
      </c>
      <c r="D176" s="372">
        <v>0</v>
      </c>
      <c r="E176" s="372">
        <v>0</v>
      </c>
      <c r="F176" s="372">
        <v>0</v>
      </c>
      <c r="G176" s="372">
        <v>0</v>
      </c>
      <c r="H176" s="372">
        <v>0</v>
      </c>
      <c r="I176" s="372">
        <v>0</v>
      </c>
      <c r="J176" s="372"/>
      <c r="K176" s="14" t="s">
        <v>318</v>
      </c>
      <c r="L176" s="211" t="s">
        <v>500</v>
      </c>
      <c r="M176" s="14" t="s">
        <v>320</v>
      </c>
      <c r="N176" s="14">
        <v>0</v>
      </c>
      <c r="O176" s="14" t="s">
        <v>29</v>
      </c>
      <c r="P176" s="42" t="s">
        <v>29</v>
      </c>
      <c r="Q176" s="42" t="s">
        <v>29</v>
      </c>
      <c r="R176" s="80"/>
      <c r="T176" s="326"/>
      <c r="U176" s="326"/>
      <c r="V176" s="326"/>
      <c r="W176" s="326"/>
      <c r="X176" s="326"/>
      <c r="Y176" s="326"/>
      <c r="Z176" s="326"/>
      <c r="AA176" s="326"/>
      <c r="AB176" s="326"/>
      <c r="AC176" s="326"/>
      <c r="AD176" s="326"/>
      <c r="AE176" s="326"/>
      <c r="AF176" s="326"/>
      <c r="AG176" s="326"/>
      <c r="AH176" s="326"/>
      <c r="AI176" s="326"/>
    </row>
    <row r="177" spans="1:35" x14ac:dyDescent="0.35">
      <c r="A177" s="33" t="s">
        <v>548</v>
      </c>
      <c r="B177" s="33" t="s">
        <v>549</v>
      </c>
      <c r="C177" s="369">
        <v>0</v>
      </c>
      <c r="D177" s="369">
        <v>0</v>
      </c>
      <c r="E177" s="369">
        <v>0</v>
      </c>
      <c r="F177" s="369">
        <v>0</v>
      </c>
      <c r="G177" s="369">
        <v>0</v>
      </c>
      <c r="H177" s="369">
        <v>0</v>
      </c>
      <c r="I177" s="369">
        <v>0</v>
      </c>
      <c r="J177" s="369"/>
      <c r="K177" s="33" t="s">
        <v>492</v>
      </c>
      <c r="L177" s="33" t="s">
        <v>550</v>
      </c>
      <c r="M177" s="33" t="s">
        <v>320</v>
      </c>
      <c r="N177" s="33">
        <v>0</v>
      </c>
      <c r="O177" s="33" t="s">
        <v>29</v>
      </c>
      <c r="P177" s="41" t="s">
        <v>29</v>
      </c>
      <c r="Q177" s="41" t="s">
        <v>29</v>
      </c>
      <c r="R177" s="79" t="s">
        <v>452</v>
      </c>
      <c r="T177" s="326"/>
      <c r="U177" s="326"/>
      <c r="V177" s="326"/>
      <c r="W177" s="326"/>
      <c r="X177" s="326"/>
      <c r="Y177" s="326"/>
      <c r="Z177" s="326"/>
      <c r="AA177" s="326"/>
      <c r="AB177" s="326"/>
      <c r="AC177" s="326"/>
      <c r="AD177" s="326"/>
      <c r="AE177" s="326"/>
      <c r="AF177" s="326"/>
      <c r="AG177" s="326"/>
      <c r="AH177" s="326"/>
      <c r="AI177" s="326"/>
    </row>
    <row r="178" spans="1:35" x14ac:dyDescent="0.35">
      <c r="A178" s="14" t="s">
        <v>551</v>
      </c>
      <c r="B178" s="14" t="s">
        <v>549</v>
      </c>
      <c r="C178" s="372">
        <v>0</v>
      </c>
      <c r="D178" s="372">
        <v>0</v>
      </c>
      <c r="E178" s="372">
        <v>0</v>
      </c>
      <c r="F178" s="372">
        <v>0</v>
      </c>
      <c r="G178" s="372">
        <v>0</v>
      </c>
      <c r="H178" s="372">
        <v>0</v>
      </c>
      <c r="I178" s="372">
        <v>0</v>
      </c>
      <c r="J178" s="372"/>
      <c r="K178" s="14" t="s">
        <v>318</v>
      </c>
      <c r="L178" s="14" t="s">
        <v>550</v>
      </c>
      <c r="M178" s="14" t="s">
        <v>320</v>
      </c>
      <c r="N178" s="14">
        <v>1</v>
      </c>
      <c r="O178" s="14" t="s">
        <v>29</v>
      </c>
      <c r="P178" s="42" t="s">
        <v>29</v>
      </c>
      <c r="Q178" s="42" t="s">
        <v>29</v>
      </c>
      <c r="R178" s="80" t="s">
        <v>452</v>
      </c>
      <c r="T178" s="326"/>
      <c r="U178" s="326"/>
      <c r="V178" s="326"/>
      <c r="W178" s="326"/>
      <c r="X178" s="326"/>
      <c r="Y178" s="326"/>
      <c r="Z178" s="326"/>
      <c r="AA178" s="326"/>
      <c r="AB178" s="326"/>
      <c r="AC178" s="326"/>
      <c r="AD178" s="326"/>
      <c r="AE178" s="326"/>
      <c r="AF178" s="326"/>
      <c r="AG178" s="326"/>
      <c r="AH178" s="326"/>
      <c r="AI178" s="326"/>
    </row>
    <row r="179" spans="1:35" x14ac:dyDescent="0.35">
      <c r="A179" s="33" t="s">
        <v>552</v>
      </c>
      <c r="B179" s="33" t="s">
        <v>549</v>
      </c>
      <c r="C179" s="369">
        <v>0</v>
      </c>
      <c r="D179" s="369">
        <v>0</v>
      </c>
      <c r="E179" s="369">
        <v>0</v>
      </c>
      <c r="F179" s="369">
        <v>0</v>
      </c>
      <c r="G179" s="369">
        <v>0</v>
      </c>
      <c r="H179" s="369">
        <v>0</v>
      </c>
      <c r="I179" s="369">
        <v>0</v>
      </c>
      <c r="J179" s="369"/>
      <c r="K179" s="33" t="s">
        <v>318</v>
      </c>
      <c r="L179" s="33" t="s">
        <v>550</v>
      </c>
      <c r="M179" s="33" t="s">
        <v>320</v>
      </c>
      <c r="N179" s="33">
        <v>1</v>
      </c>
      <c r="O179" s="33" t="s">
        <v>29</v>
      </c>
      <c r="P179" s="41" t="s">
        <v>29</v>
      </c>
      <c r="Q179" s="41" t="s">
        <v>29</v>
      </c>
      <c r="R179" s="79" t="s">
        <v>452</v>
      </c>
      <c r="T179" s="326"/>
      <c r="U179" s="326"/>
      <c r="V179" s="326"/>
      <c r="W179" s="326"/>
      <c r="X179" s="326"/>
      <c r="Y179" s="326"/>
      <c r="Z179" s="326"/>
      <c r="AA179" s="326"/>
      <c r="AB179" s="326"/>
      <c r="AC179" s="326"/>
      <c r="AD179" s="326"/>
      <c r="AE179" s="326"/>
      <c r="AF179" s="326"/>
      <c r="AG179" s="326"/>
      <c r="AH179" s="326"/>
      <c r="AI179" s="326"/>
    </row>
    <row r="180" spans="1:35" x14ac:dyDescent="0.35">
      <c r="A180" s="14" t="s">
        <v>553</v>
      </c>
      <c r="B180" s="14" t="s">
        <v>549</v>
      </c>
      <c r="C180" s="372">
        <v>0</v>
      </c>
      <c r="D180" s="372">
        <v>0</v>
      </c>
      <c r="E180" s="372">
        <v>0</v>
      </c>
      <c r="F180" s="372">
        <v>0</v>
      </c>
      <c r="G180" s="372">
        <v>0</v>
      </c>
      <c r="H180" s="372">
        <v>0</v>
      </c>
      <c r="I180" s="372">
        <v>0</v>
      </c>
      <c r="J180" s="372"/>
      <c r="K180" s="14" t="s">
        <v>318</v>
      </c>
      <c r="L180" s="14" t="s">
        <v>550</v>
      </c>
      <c r="M180" s="14" t="s">
        <v>320</v>
      </c>
      <c r="N180" s="14">
        <v>0</v>
      </c>
      <c r="O180" s="14" t="s">
        <v>29</v>
      </c>
      <c r="P180" s="42" t="s">
        <v>29</v>
      </c>
      <c r="Q180" s="42" t="s">
        <v>29</v>
      </c>
      <c r="R180" s="80" t="s">
        <v>452</v>
      </c>
      <c r="T180" s="326"/>
      <c r="U180" s="326"/>
      <c r="V180" s="326"/>
      <c r="W180" s="326"/>
      <c r="X180" s="326"/>
      <c r="Y180" s="326"/>
      <c r="Z180" s="326"/>
      <c r="AA180" s="326"/>
      <c r="AB180" s="326"/>
      <c r="AC180" s="326"/>
      <c r="AD180" s="326"/>
      <c r="AE180" s="326"/>
      <c r="AF180" s="326"/>
      <c r="AG180" s="326"/>
      <c r="AH180" s="326"/>
      <c r="AI180" s="326"/>
    </row>
    <row r="181" spans="1:35" x14ac:dyDescent="0.35">
      <c r="A181" s="33" t="s">
        <v>555</v>
      </c>
      <c r="B181" s="33" t="s">
        <v>549</v>
      </c>
      <c r="C181" s="369">
        <v>0</v>
      </c>
      <c r="D181" s="369">
        <v>0</v>
      </c>
      <c r="E181" s="369">
        <v>0</v>
      </c>
      <c r="F181" s="369">
        <v>0</v>
      </c>
      <c r="G181" s="369">
        <v>0</v>
      </c>
      <c r="H181" s="369">
        <v>0</v>
      </c>
      <c r="I181" s="369">
        <v>0</v>
      </c>
      <c r="J181" s="369"/>
      <c r="K181" s="33" t="s">
        <v>318</v>
      </c>
      <c r="L181" s="33" t="s">
        <v>550</v>
      </c>
      <c r="M181" s="211" t="s">
        <v>320</v>
      </c>
      <c r="N181" s="33">
        <v>0</v>
      </c>
      <c r="O181" s="33" t="s">
        <v>29</v>
      </c>
      <c r="P181" s="41" t="s">
        <v>29</v>
      </c>
      <c r="Q181" s="41" t="s">
        <v>29</v>
      </c>
      <c r="R181" s="79" t="s">
        <v>452</v>
      </c>
      <c r="T181" s="326"/>
      <c r="U181" s="326"/>
      <c r="V181" s="326"/>
      <c r="W181" s="326"/>
      <c r="X181" s="326"/>
      <c r="Y181" s="326"/>
      <c r="Z181" s="326"/>
      <c r="AA181" s="326"/>
      <c r="AB181" s="326"/>
      <c r="AC181" s="326"/>
      <c r="AD181" s="326"/>
      <c r="AE181" s="326"/>
      <c r="AF181" s="326"/>
      <c r="AG181" s="326"/>
      <c r="AH181" s="326"/>
      <c r="AI181" s="326"/>
    </row>
  </sheetData>
  <mergeCells count="2">
    <mergeCell ref="C2:I2"/>
    <mergeCell ref="C7:I7"/>
  </mergeCells>
  <pageMargins left="0.7" right="0.7" top="0.75" bottom="0.75" header="0.3" footer="0.3"/>
  <pageSetup orientation="portrait" horizontalDpi="1200" verticalDpi="1200" r:id="rId1"/>
  <legacyDrawing r:id="rId2"/>
  <extLst>
    <ext xmlns:x14="http://schemas.microsoft.com/office/spreadsheetml/2009/9/main" uri="{CCE6A557-97BC-4b89-ADB6-D9C93CAAB3DF}">
      <x14:dataValidations xmlns:xm="http://schemas.microsoft.com/office/excel/2006/main" count="1">
        <x14:dataValidation type="list" allowBlank="1" showInputMessage="1" showErrorMessage="1" xr:uid="{00000000-0002-0000-0200-000000000000}">
          <x14:formula1>
            <xm:f>Types!K$4:K$20</xm:f>
          </x14:formula1>
          <xm:sqref>O158:O181 O9:O23 O34:O37 O40:O73 O102:O137 O139:O144 O149:O156</xm:sqref>
        </x14:dataValidation>
      </x14:dataValidations>
    </ext>
  </extLst>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6">
    <tabColor theme="4" tint="-0.499984740745262"/>
  </sheetPr>
  <dimension ref="A1:IJ511"/>
  <sheetViews>
    <sheetView zoomScale="70" zoomScaleNormal="70" workbookViewId="0">
      <pane xSplit="8" ySplit="6" topLeftCell="CF123" activePane="bottomRight" state="frozen"/>
      <selection pane="topRight" activeCell="I1" sqref="I1"/>
      <selection pane="bottomLeft" activeCell="A7" sqref="A7"/>
      <selection pane="bottomRight" activeCell="A138" sqref="A138:XFD138"/>
    </sheetView>
  </sheetViews>
  <sheetFormatPr defaultColWidth="18.08984375" defaultRowHeight="14.5" x14ac:dyDescent="0.35"/>
  <cols>
    <col min="1" max="1" width="10.90625" style="1" customWidth="1"/>
    <col min="2" max="2" width="14.54296875" style="1" customWidth="1"/>
    <col min="3" max="3" width="10.90625" style="1" customWidth="1"/>
    <col min="4" max="4" width="13.54296875" style="1" customWidth="1"/>
    <col min="5" max="5" width="14.54296875" style="1" customWidth="1"/>
    <col min="6" max="6" width="40.54296875" style="1" customWidth="1"/>
    <col min="7" max="7" width="50" style="49" customWidth="1"/>
    <col min="8" max="8" width="20" style="49" bestFit="1" customWidth="1"/>
    <col min="9" max="15" width="16.453125" style="1" bestFit="1" customWidth="1"/>
    <col min="16" max="16" width="16.90625" style="1" bestFit="1" customWidth="1"/>
    <col min="17" max="18" width="15" style="1" bestFit="1" customWidth="1"/>
    <col min="19" max="19" width="15" style="1" customWidth="1"/>
    <col min="20" max="23" width="15" style="1" bestFit="1" customWidth="1"/>
    <col min="24" max="26" width="12.54296875" style="1" bestFit="1" customWidth="1"/>
    <col min="27" max="30" width="12.453125" style="1" customWidth="1"/>
    <col min="31" max="31" width="6.90625" style="1" customWidth="1"/>
    <col min="32" max="32" width="10.08984375" style="1" customWidth="1"/>
    <col min="33" max="33" width="10.54296875" style="1" customWidth="1"/>
    <col min="34" max="34" width="12.54296875" style="1" bestFit="1" customWidth="1"/>
    <col min="35" max="35" width="16.08984375" style="1" bestFit="1" customWidth="1"/>
    <col min="36" max="36" width="17.90625" style="1" bestFit="1" customWidth="1"/>
    <col min="37" max="37" width="29.08984375" style="1" customWidth="1"/>
    <col min="38" max="38" width="19.453125" style="1" customWidth="1"/>
    <col min="39" max="39" width="23.453125" style="1" bestFit="1" customWidth="1"/>
    <col min="40" max="40" width="16.90625" style="1" bestFit="1" customWidth="1"/>
    <col min="41" max="41" width="13.08984375" style="1" bestFit="1" customWidth="1"/>
    <col min="42" max="49" width="19.453125" style="1" customWidth="1"/>
    <col min="50" max="50" width="17" style="1" customWidth="1"/>
    <col min="51" max="51" width="17.08984375" style="1" bestFit="1" customWidth="1"/>
    <col min="52" max="52" width="21.08984375" style="1" bestFit="1" customWidth="1"/>
    <col min="53" max="53" width="16.08984375" style="1" bestFit="1" customWidth="1"/>
    <col min="54" max="55" width="20" style="1" bestFit="1" customWidth="1"/>
    <col min="56" max="56" width="14.90625" style="1" bestFit="1" customWidth="1"/>
    <col min="57" max="57" width="14.90625" style="1" customWidth="1"/>
    <col min="58" max="59" width="19.90625" style="1" customWidth="1"/>
    <col min="60" max="60" width="26.453125" style="1" bestFit="1" customWidth="1"/>
    <col min="61" max="63" width="14.90625" style="1" customWidth="1"/>
    <col min="64" max="64" width="11.08984375" style="1" customWidth="1"/>
    <col min="65" max="65" width="13" style="1" bestFit="1" customWidth="1"/>
    <col min="66" max="66" width="11.08984375" style="1" customWidth="1"/>
    <col min="67" max="72" width="10.54296875" style="1" bestFit="1" customWidth="1"/>
    <col min="73" max="100" width="12" style="1" bestFit="1" customWidth="1"/>
    <col min="101" max="102" width="11.90625" style="49" customWidth="1"/>
    <col min="103" max="103" width="14.08984375" style="49" bestFit="1" customWidth="1"/>
    <col min="104" max="104" width="13" style="49" bestFit="1" customWidth="1"/>
    <col min="105" max="106" width="13.08984375" style="49" bestFit="1" customWidth="1"/>
    <col min="107" max="109" width="11.90625" style="49" customWidth="1"/>
    <col min="110" max="110" width="14.08984375" style="49" bestFit="1" customWidth="1"/>
    <col min="111" max="111" width="13" style="49" bestFit="1" customWidth="1"/>
    <col min="112" max="113" width="13.08984375" style="49" bestFit="1" customWidth="1"/>
    <col min="114" max="114" width="11.90625" style="49" customWidth="1"/>
    <col min="115" max="115" width="21.08984375" style="1" bestFit="1" customWidth="1"/>
    <col min="116" max="116" width="13.54296875" style="49" customWidth="1"/>
    <col min="117" max="117" width="13.54296875" style="49" bestFit="1" customWidth="1"/>
    <col min="118" max="118" width="14.08984375" style="49" bestFit="1" customWidth="1"/>
    <col min="119" max="119" width="13" style="49" bestFit="1" customWidth="1"/>
    <col min="120" max="121" width="13.08984375" style="49" bestFit="1" customWidth="1"/>
    <col min="122" max="122" width="11.90625" style="49" customWidth="1"/>
    <col min="123" max="16384" width="18.08984375" style="1"/>
  </cols>
  <sheetData>
    <row r="1" spans="1:147" x14ac:dyDescent="0.35">
      <c r="A1" s="2"/>
      <c r="B1" s="2"/>
      <c r="C1" s="2"/>
      <c r="D1" s="2"/>
      <c r="E1" s="2"/>
      <c r="F1" s="2"/>
      <c r="G1" s="45"/>
      <c r="H1" s="45"/>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45"/>
      <c r="CX1" s="45"/>
      <c r="CY1" s="45"/>
      <c r="CZ1" s="45"/>
      <c r="DA1" s="45"/>
      <c r="DB1" s="45"/>
      <c r="DC1" s="45"/>
      <c r="DD1" s="45"/>
      <c r="DE1" s="45"/>
      <c r="DF1" s="45"/>
      <c r="DG1" s="45"/>
      <c r="DH1" s="45"/>
      <c r="DI1" s="45"/>
      <c r="DJ1" s="45"/>
      <c r="DK1" s="2"/>
      <c r="DL1" s="45"/>
      <c r="DM1" s="45"/>
      <c r="DN1" s="45"/>
      <c r="DO1" s="45"/>
      <c r="DP1" s="45"/>
      <c r="DQ1" s="45"/>
      <c r="DR1" s="45"/>
    </row>
    <row r="2" spans="1:147" x14ac:dyDescent="0.35">
      <c r="A2" s="423" t="s">
        <v>556</v>
      </c>
      <c r="B2" s="423"/>
      <c r="C2" s="423"/>
      <c r="D2" s="423"/>
      <c r="E2" s="423"/>
      <c r="F2" s="423"/>
      <c r="G2" s="423"/>
      <c r="H2" s="110"/>
      <c r="I2" s="421" t="s">
        <v>557</v>
      </c>
      <c r="J2" s="421"/>
      <c r="K2" s="421"/>
      <c r="L2" s="421"/>
      <c r="M2" s="421"/>
      <c r="N2" s="421"/>
      <c r="O2" s="421"/>
      <c r="P2" s="421"/>
      <c r="Q2" s="421"/>
      <c r="R2" s="421"/>
      <c r="S2" s="421"/>
      <c r="T2" s="421"/>
      <c r="U2" s="421"/>
      <c r="V2" s="421"/>
      <c r="W2" s="421"/>
      <c r="X2" s="421"/>
      <c r="Y2" s="421"/>
      <c r="Z2" s="421"/>
      <c r="AA2" s="421"/>
      <c r="AB2" s="421"/>
      <c r="AC2" s="421"/>
      <c r="AD2" s="421"/>
      <c r="AE2" s="421"/>
      <c r="AF2" s="421"/>
      <c r="AG2" s="421"/>
      <c r="AH2" s="421"/>
      <c r="AI2" s="426" t="s">
        <v>558</v>
      </c>
      <c r="AJ2" s="426"/>
      <c r="AK2" s="426"/>
      <c r="AL2" s="426"/>
      <c r="AM2" s="415" t="s">
        <v>559</v>
      </c>
      <c r="AN2" s="415"/>
      <c r="AO2" s="415"/>
      <c r="AP2" s="415"/>
      <c r="AQ2" s="415"/>
      <c r="AR2" s="415"/>
      <c r="AS2" s="427" t="s">
        <v>560</v>
      </c>
      <c r="AT2" s="427"/>
      <c r="AU2" s="427"/>
      <c r="AV2" s="425" t="s">
        <v>561</v>
      </c>
      <c r="AW2" s="425"/>
      <c r="AX2" s="425"/>
      <c r="AY2" s="420" t="s">
        <v>562</v>
      </c>
      <c r="AZ2" s="420"/>
      <c r="BA2" s="420"/>
      <c r="BB2" s="420"/>
      <c r="BC2" s="420"/>
      <c r="BD2" s="420"/>
      <c r="BE2" s="420"/>
      <c r="BF2" s="420"/>
      <c r="BG2" s="420"/>
      <c r="BH2" s="424" t="s">
        <v>563</v>
      </c>
      <c r="BI2" s="424"/>
      <c r="BJ2" s="424"/>
      <c r="BK2" s="424"/>
      <c r="BL2" s="413"/>
      <c r="BM2" s="413"/>
      <c r="BN2" s="413"/>
      <c r="BO2" s="421" t="s">
        <v>564</v>
      </c>
      <c r="BP2" s="421"/>
      <c r="BQ2" s="421"/>
      <c r="BR2" s="421"/>
      <c r="BS2" s="421"/>
      <c r="BT2" s="421"/>
      <c r="BU2" s="420" t="s">
        <v>565</v>
      </c>
      <c r="BV2" s="420"/>
      <c r="BW2" s="420"/>
      <c r="BX2" s="420"/>
      <c r="BY2" s="420"/>
      <c r="BZ2" s="420"/>
      <c r="CA2" s="420"/>
      <c r="CB2" s="422" t="s">
        <v>566</v>
      </c>
      <c r="CC2" s="422"/>
      <c r="CD2" s="422"/>
      <c r="CE2" s="422"/>
      <c r="CF2" s="422"/>
      <c r="CG2" s="422"/>
      <c r="CH2" s="422"/>
      <c r="CI2" s="415" t="s">
        <v>567</v>
      </c>
      <c r="CJ2" s="415"/>
      <c r="CK2" s="415"/>
      <c r="CL2" s="415"/>
      <c r="CM2" s="415"/>
      <c r="CN2" s="415"/>
      <c r="CO2" s="415"/>
      <c r="CP2" s="413" t="s">
        <v>568</v>
      </c>
      <c r="CQ2" s="413"/>
      <c r="CR2" s="413"/>
      <c r="CS2" s="413"/>
      <c r="CT2" s="413"/>
      <c r="CU2" s="413"/>
      <c r="CV2" s="413"/>
      <c r="CW2" s="416" t="s">
        <v>569</v>
      </c>
      <c r="CX2" s="416"/>
      <c r="CY2" s="416"/>
      <c r="CZ2" s="416"/>
      <c r="DA2" s="416"/>
      <c r="DB2" s="416"/>
      <c r="DC2" s="416"/>
      <c r="DD2" s="418" t="s">
        <v>570</v>
      </c>
      <c r="DE2" s="418"/>
      <c r="DF2" s="418"/>
      <c r="DG2" s="418"/>
      <c r="DH2" s="418"/>
      <c r="DI2" s="418"/>
      <c r="DJ2" s="418"/>
      <c r="DK2" s="77" t="s">
        <v>17</v>
      </c>
      <c r="DL2" s="423" t="s">
        <v>571</v>
      </c>
      <c r="DM2" s="423"/>
      <c r="DN2" s="423"/>
      <c r="DO2" s="423"/>
      <c r="DP2" s="423"/>
      <c r="DQ2" s="423"/>
      <c r="DR2" s="423"/>
    </row>
    <row r="3" spans="1:147" ht="58" x14ac:dyDescent="0.35">
      <c r="A3" s="8" t="s">
        <v>572</v>
      </c>
      <c r="B3" s="8" t="s">
        <v>573</v>
      </c>
      <c r="C3" s="8" t="s">
        <v>574</v>
      </c>
      <c r="D3" s="8" t="s">
        <v>575</v>
      </c>
      <c r="E3" s="8" t="s">
        <v>576</v>
      </c>
      <c r="F3" s="8" t="s">
        <v>577</v>
      </c>
      <c r="G3" s="46" t="s">
        <v>578</v>
      </c>
      <c r="H3" s="46" t="s">
        <v>579</v>
      </c>
      <c r="I3" s="3" t="s">
        <v>580</v>
      </c>
      <c r="J3" s="3" t="s">
        <v>580</v>
      </c>
      <c r="K3" s="3" t="s">
        <v>580</v>
      </c>
      <c r="L3" s="3" t="s">
        <v>580</v>
      </c>
      <c r="M3" s="3" t="s">
        <v>580</v>
      </c>
      <c r="N3" s="3" t="s">
        <v>580</v>
      </c>
      <c r="O3" s="3" t="s">
        <v>580</v>
      </c>
      <c r="P3" s="3" t="s">
        <v>581</v>
      </c>
      <c r="Q3" s="3" t="s">
        <v>582</v>
      </c>
      <c r="R3" s="3" t="s">
        <v>582</v>
      </c>
      <c r="S3" s="3" t="s">
        <v>582</v>
      </c>
      <c r="T3" s="3" t="s">
        <v>582</v>
      </c>
      <c r="U3" s="3" t="s">
        <v>582</v>
      </c>
      <c r="V3" s="3" t="s">
        <v>582</v>
      </c>
      <c r="W3" s="3" t="s">
        <v>582</v>
      </c>
      <c r="X3" s="3" t="s">
        <v>583</v>
      </c>
      <c r="Y3" s="3" t="s">
        <v>583</v>
      </c>
      <c r="Z3" s="3" t="s">
        <v>583</v>
      </c>
      <c r="AA3" s="3" t="s">
        <v>583</v>
      </c>
      <c r="AB3" s="3" t="s">
        <v>583</v>
      </c>
      <c r="AC3" s="3" t="s">
        <v>583</v>
      </c>
      <c r="AD3" s="3" t="s">
        <v>583</v>
      </c>
      <c r="AE3" s="149" t="s">
        <v>584</v>
      </c>
      <c r="AF3" s="3" t="s">
        <v>585</v>
      </c>
      <c r="AG3" s="3" t="s">
        <v>586</v>
      </c>
      <c r="AH3" s="3" t="s">
        <v>587</v>
      </c>
      <c r="AI3" s="15" t="s">
        <v>588</v>
      </c>
      <c r="AJ3" s="15" t="s">
        <v>589</v>
      </c>
      <c r="AK3" s="15" t="s">
        <v>590</v>
      </c>
      <c r="AL3" s="15" t="s">
        <v>591</v>
      </c>
      <c r="AM3" s="59" t="s">
        <v>592</v>
      </c>
      <c r="AN3" s="59" t="s">
        <v>593</v>
      </c>
      <c r="AO3" s="59" t="s">
        <v>594</v>
      </c>
      <c r="AP3" s="59" t="s">
        <v>595</v>
      </c>
      <c r="AQ3" s="59" t="s">
        <v>596</v>
      </c>
      <c r="AR3" s="59" t="s">
        <v>597</v>
      </c>
      <c r="AS3" s="62" t="s">
        <v>598</v>
      </c>
      <c r="AT3" s="62" t="s">
        <v>599</v>
      </c>
      <c r="AU3" s="62" t="s">
        <v>600</v>
      </c>
      <c r="AV3" s="130" t="s">
        <v>601</v>
      </c>
      <c r="AW3" s="130" t="s">
        <v>602</v>
      </c>
      <c r="AX3" s="130" t="s">
        <v>603</v>
      </c>
      <c r="AY3" s="26" t="s">
        <v>604</v>
      </c>
      <c r="AZ3" s="26" t="s">
        <v>605</v>
      </c>
      <c r="BA3" s="26" t="s">
        <v>606</v>
      </c>
      <c r="BB3" s="26" t="s">
        <v>607</v>
      </c>
      <c r="BC3" s="26" t="s">
        <v>608</v>
      </c>
      <c r="BD3" s="26" t="s">
        <v>609</v>
      </c>
      <c r="BE3" s="26" t="s">
        <v>610</v>
      </c>
      <c r="BF3" s="26" t="s">
        <v>611</v>
      </c>
      <c r="BG3" s="26" t="s">
        <v>612</v>
      </c>
      <c r="BH3" s="105" t="s">
        <v>605</v>
      </c>
      <c r="BI3" s="105" t="s">
        <v>613</v>
      </c>
      <c r="BJ3" s="105" t="s">
        <v>614</v>
      </c>
      <c r="BK3" s="105" t="s">
        <v>615</v>
      </c>
      <c r="BL3" s="119" t="s">
        <v>616</v>
      </c>
      <c r="BM3" s="119" t="s">
        <v>617</v>
      </c>
      <c r="BN3" s="119" t="s">
        <v>618</v>
      </c>
      <c r="BO3" s="71"/>
      <c r="BP3" s="71"/>
      <c r="BQ3" s="71"/>
      <c r="BR3" s="71"/>
      <c r="BS3" s="71"/>
      <c r="BT3" s="71"/>
      <c r="BU3" s="20"/>
      <c r="BV3" s="20"/>
      <c r="BW3" s="20"/>
      <c r="BX3" s="20"/>
      <c r="BY3" s="20"/>
      <c r="BZ3" s="20"/>
      <c r="CA3" s="20"/>
      <c r="CB3" s="115">
        <v>0</v>
      </c>
      <c r="CC3" s="115">
        <v>0</v>
      </c>
      <c r="CD3" s="115">
        <v>0.1</v>
      </c>
      <c r="CE3" s="115">
        <v>0.2</v>
      </c>
      <c r="CF3" s="115">
        <v>0.5</v>
      </c>
      <c r="CG3" s="115">
        <v>1</v>
      </c>
      <c r="CH3" s="115">
        <v>1</v>
      </c>
      <c r="CI3" s="70"/>
      <c r="CJ3" s="70"/>
      <c r="CK3" s="70"/>
      <c r="CL3" s="70"/>
      <c r="CM3" s="70"/>
      <c r="CN3" s="70"/>
      <c r="CO3" s="70"/>
      <c r="CP3" s="163"/>
      <c r="CQ3" s="163"/>
      <c r="CR3" s="163"/>
      <c r="CS3" s="163"/>
      <c r="CT3" s="163"/>
      <c r="CU3" s="163"/>
      <c r="CV3" s="163"/>
      <c r="CW3" s="417" t="s">
        <v>619</v>
      </c>
      <c r="CX3" s="417"/>
      <c r="CY3" s="417"/>
      <c r="CZ3" s="417"/>
      <c r="DA3" s="417"/>
      <c r="DB3" s="417"/>
      <c r="DC3" s="417"/>
      <c r="DD3" s="419" t="s">
        <v>620</v>
      </c>
      <c r="DE3" s="419"/>
      <c r="DF3" s="419"/>
      <c r="DG3" s="419"/>
      <c r="DH3" s="419"/>
      <c r="DI3" s="419"/>
      <c r="DJ3" s="419"/>
      <c r="DK3" s="78"/>
      <c r="DL3" s="412" t="s">
        <v>621</v>
      </c>
      <c r="DM3" s="412"/>
      <c r="DN3" s="412"/>
      <c r="DO3" s="412"/>
      <c r="DP3" s="412"/>
      <c r="DQ3" s="412"/>
      <c r="DR3" s="412"/>
    </row>
    <row r="4" spans="1:147" ht="30" customHeight="1" x14ac:dyDescent="0.35">
      <c r="A4" s="8"/>
      <c r="B4" s="8"/>
      <c r="C4" s="8"/>
      <c r="D4" s="8"/>
      <c r="E4" s="8"/>
      <c r="F4" s="8"/>
      <c r="G4" s="46"/>
      <c r="H4" s="46"/>
      <c r="I4" s="3">
        <f>Parameters!$B$13</f>
        <v>2022</v>
      </c>
      <c r="J4" s="3">
        <v>2025</v>
      </c>
      <c r="K4" s="3">
        <v>2030</v>
      </c>
      <c r="L4" s="3">
        <v>2035</v>
      </c>
      <c r="M4" s="3">
        <v>2040</v>
      </c>
      <c r="N4" s="3">
        <v>2045</v>
      </c>
      <c r="O4" s="3">
        <v>2050</v>
      </c>
      <c r="P4" s="3" t="s">
        <v>622</v>
      </c>
      <c r="Q4" s="3">
        <f>Parameters!$B$13</f>
        <v>2022</v>
      </c>
      <c r="R4" s="3">
        <v>2025</v>
      </c>
      <c r="S4" s="3">
        <v>2030</v>
      </c>
      <c r="T4" s="3">
        <v>2035</v>
      </c>
      <c r="U4" s="3">
        <v>2040</v>
      </c>
      <c r="V4" s="3">
        <v>2045</v>
      </c>
      <c r="W4" s="3">
        <v>2050</v>
      </c>
      <c r="X4" s="3">
        <f>Parameters!$B$13</f>
        <v>2022</v>
      </c>
      <c r="Y4" s="3">
        <v>2025</v>
      </c>
      <c r="Z4" s="3">
        <v>2030</v>
      </c>
      <c r="AA4" s="3">
        <v>2035</v>
      </c>
      <c r="AB4" s="3">
        <v>2040</v>
      </c>
      <c r="AC4" s="3">
        <v>2045</v>
      </c>
      <c r="AD4" s="3">
        <v>2050</v>
      </c>
      <c r="AE4" s="3"/>
      <c r="AF4" s="3"/>
      <c r="AG4" s="3"/>
      <c r="AH4" s="3"/>
      <c r="AI4" s="15"/>
      <c r="AJ4" s="15"/>
      <c r="AK4" s="15"/>
      <c r="AL4" s="15"/>
      <c r="AM4" s="59"/>
      <c r="AN4" s="59"/>
      <c r="AO4" s="59"/>
      <c r="AP4" s="59" t="s">
        <v>623</v>
      </c>
      <c r="AQ4" s="59" t="s">
        <v>624</v>
      </c>
      <c r="AR4" s="59" t="s">
        <v>624</v>
      </c>
      <c r="AS4" s="62"/>
      <c r="AT4" s="62" t="s">
        <v>625</v>
      </c>
      <c r="AU4" s="62"/>
      <c r="AV4" s="130" t="s">
        <v>626</v>
      </c>
      <c r="AW4" s="130" t="s">
        <v>627</v>
      </c>
      <c r="AX4" s="130"/>
      <c r="AY4" s="26"/>
      <c r="AZ4" s="26"/>
      <c r="BA4" s="26"/>
      <c r="BB4" s="26" t="s">
        <v>628</v>
      </c>
      <c r="BC4" s="26"/>
      <c r="BD4" s="26"/>
      <c r="BE4" s="26"/>
      <c r="BF4" s="26"/>
      <c r="BG4" s="26"/>
      <c r="BH4" s="105"/>
      <c r="BI4" s="105"/>
      <c r="BJ4" s="105"/>
      <c r="BK4" s="105" t="s">
        <v>629</v>
      </c>
      <c r="BL4" s="414" t="s">
        <v>630</v>
      </c>
      <c r="BM4" s="119"/>
      <c r="BN4" s="120"/>
      <c r="BO4" s="124">
        <v>1</v>
      </c>
      <c r="BP4" s="124">
        <v>2</v>
      </c>
      <c r="BQ4" s="124">
        <v>3</v>
      </c>
      <c r="BR4" s="124">
        <v>4</v>
      </c>
      <c r="BS4" s="124">
        <v>5</v>
      </c>
      <c r="BT4" s="124">
        <v>6</v>
      </c>
      <c r="BU4" s="20"/>
      <c r="BV4" s="20"/>
      <c r="BW4" s="20"/>
      <c r="BX4" s="20"/>
      <c r="BY4" s="20"/>
      <c r="BZ4" s="20"/>
      <c r="CA4" s="20"/>
      <c r="CB4" s="115">
        <v>0</v>
      </c>
      <c r="CC4" s="115">
        <v>0.5</v>
      </c>
      <c r="CD4" s="115">
        <v>1</v>
      </c>
      <c r="CE4" s="115">
        <v>1</v>
      </c>
      <c r="CF4" s="115">
        <v>1</v>
      </c>
      <c r="CG4" s="115">
        <v>1</v>
      </c>
      <c r="CH4" s="115">
        <v>1</v>
      </c>
      <c r="CI4" s="70"/>
      <c r="CJ4" s="70"/>
      <c r="CK4" s="70"/>
      <c r="CL4" s="70"/>
      <c r="CM4" s="70"/>
      <c r="CN4" s="70"/>
      <c r="CO4" s="70"/>
      <c r="CP4" s="163"/>
      <c r="CQ4" s="163"/>
      <c r="CR4" s="163"/>
      <c r="CS4" s="163"/>
      <c r="CT4" s="163"/>
      <c r="CU4" s="163"/>
      <c r="CV4" s="163"/>
      <c r="CW4" s="169"/>
      <c r="CX4" s="169"/>
      <c r="CY4" s="169"/>
      <c r="CZ4" s="169" t="s">
        <v>313</v>
      </c>
      <c r="DA4" s="169"/>
      <c r="DB4" s="169"/>
      <c r="DC4" s="169"/>
      <c r="DD4" s="170"/>
      <c r="DE4" s="170"/>
      <c r="DF4" s="170"/>
      <c r="DG4" s="170" t="s">
        <v>313</v>
      </c>
      <c r="DH4" s="170"/>
      <c r="DI4" s="170"/>
      <c r="DJ4" s="170"/>
      <c r="DK4" s="78"/>
      <c r="DL4" s="46"/>
      <c r="DM4" s="46"/>
      <c r="DN4" s="46"/>
      <c r="DO4" s="46" t="s">
        <v>631</v>
      </c>
      <c r="DP4" s="46"/>
      <c r="DQ4" s="46"/>
      <c r="DR4" s="46"/>
    </row>
    <row r="5" spans="1:147" ht="29" x14ac:dyDescent="0.35">
      <c r="A5" s="8"/>
      <c r="B5" s="8"/>
      <c r="C5" s="8"/>
      <c r="D5" s="8"/>
      <c r="E5" s="8"/>
      <c r="F5" s="8"/>
      <c r="G5" s="46"/>
      <c r="H5" s="46"/>
      <c r="I5" s="3"/>
      <c r="J5" s="3"/>
      <c r="K5" s="3"/>
      <c r="L5" s="3"/>
      <c r="M5" s="3"/>
      <c r="N5" s="3"/>
      <c r="O5" s="3"/>
      <c r="P5" s="3"/>
      <c r="Q5" s="3"/>
      <c r="R5" s="3"/>
      <c r="S5" s="3"/>
      <c r="T5" s="3"/>
      <c r="U5" s="3"/>
      <c r="V5" s="3"/>
      <c r="W5" s="3"/>
      <c r="X5" s="3"/>
      <c r="Y5" s="3"/>
      <c r="Z5" s="3"/>
      <c r="AA5" s="3"/>
      <c r="AB5" s="3"/>
      <c r="AC5" s="3"/>
      <c r="AD5" s="3"/>
      <c r="AE5" s="3"/>
      <c r="AF5" s="3"/>
      <c r="AG5" s="3"/>
      <c r="AH5" s="3"/>
      <c r="AI5" s="15"/>
      <c r="AJ5" s="15" t="s">
        <v>632</v>
      </c>
      <c r="AK5" s="15" t="s">
        <v>632</v>
      </c>
      <c r="AL5" s="15" t="s">
        <v>633</v>
      </c>
      <c r="AM5" s="59"/>
      <c r="AN5" s="59"/>
      <c r="AO5" s="59"/>
      <c r="AP5" s="59"/>
      <c r="AQ5" s="59"/>
      <c r="AR5" s="59"/>
      <c r="AS5" s="62"/>
      <c r="AT5" s="62"/>
      <c r="AU5" s="62"/>
      <c r="AV5" s="130"/>
      <c r="AW5" s="130"/>
      <c r="AX5" s="130"/>
      <c r="AY5" s="26"/>
      <c r="AZ5" s="26"/>
      <c r="BA5" s="26"/>
      <c r="BB5" s="26" t="s">
        <v>634</v>
      </c>
      <c r="BC5" s="26"/>
      <c r="BD5" s="26"/>
      <c r="BE5" s="26"/>
      <c r="BF5" s="26" t="s">
        <v>635</v>
      </c>
      <c r="BG5" s="26" t="s">
        <v>635</v>
      </c>
      <c r="BH5" s="105"/>
      <c r="BI5" s="105"/>
      <c r="BJ5" s="105"/>
      <c r="BK5" s="105"/>
      <c r="BL5" s="414"/>
      <c r="BM5" s="119"/>
      <c r="BN5" s="121">
        <f>Parameters!$B$13</f>
        <v>2022</v>
      </c>
      <c r="BO5" s="116">
        <v>2025</v>
      </c>
      <c r="BP5" s="116">
        <v>2030</v>
      </c>
      <c r="BQ5" s="116">
        <v>2035</v>
      </c>
      <c r="BR5" s="116">
        <v>2040</v>
      </c>
      <c r="BS5" s="116">
        <v>2045</v>
      </c>
      <c r="BT5" s="116">
        <v>2050</v>
      </c>
      <c r="BU5" s="117">
        <f>Parameters!$B$13</f>
        <v>2022</v>
      </c>
      <c r="BV5" s="117">
        <v>2025</v>
      </c>
      <c r="BW5" s="117">
        <v>2030</v>
      </c>
      <c r="BX5" s="117">
        <v>2035</v>
      </c>
      <c r="BY5" s="117">
        <v>2040</v>
      </c>
      <c r="BZ5" s="117">
        <v>2045</v>
      </c>
      <c r="CA5" s="117">
        <v>2050</v>
      </c>
      <c r="CB5" s="118">
        <f>Parameters!$B$13</f>
        <v>2022</v>
      </c>
      <c r="CC5" s="118">
        <v>2025</v>
      </c>
      <c r="CD5" s="118">
        <v>2030</v>
      </c>
      <c r="CE5" s="118">
        <v>2035</v>
      </c>
      <c r="CF5" s="118">
        <v>2040</v>
      </c>
      <c r="CG5" s="118">
        <v>2045</v>
      </c>
      <c r="CH5" s="118">
        <v>2050</v>
      </c>
      <c r="CI5" s="164">
        <f>Parameters!$B$13</f>
        <v>2022</v>
      </c>
      <c r="CJ5" s="164">
        <v>2025</v>
      </c>
      <c r="CK5" s="164">
        <v>2030</v>
      </c>
      <c r="CL5" s="164">
        <v>2035</v>
      </c>
      <c r="CM5" s="164">
        <v>2040</v>
      </c>
      <c r="CN5" s="164">
        <v>2045</v>
      </c>
      <c r="CO5" s="164">
        <v>2050</v>
      </c>
      <c r="CP5" s="121">
        <f>Parameters!$B$13</f>
        <v>2022</v>
      </c>
      <c r="CQ5" s="121">
        <v>2025</v>
      </c>
      <c r="CR5" s="121">
        <v>2030</v>
      </c>
      <c r="CS5" s="121">
        <v>2035</v>
      </c>
      <c r="CT5" s="121">
        <v>2040</v>
      </c>
      <c r="CU5" s="121">
        <v>2045</v>
      </c>
      <c r="CV5" s="121">
        <v>2050</v>
      </c>
      <c r="CW5" s="169">
        <f>Parameters!$B$13</f>
        <v>2022</v>
      </c>
      <c r="CX5" s="169" t="s">
        <v>636</v>
      </c>
      <c r="CY5" s="169">
        <v>2030</v>
      </c>
      <c r="CZ5" s="169">
        <v>2035</v>
      </c>
      <c r="DA5" s="169">
        <v>2040</v>
      </c>
      <c r="DB5" s="169">
        <v>2045</v>
      </c>
      <c r="DC5" s="169">
        <v>2050</v>
      </c>
      <c r="DD5" s="170">
        <f>Parameters!$B$13</f>
        <v>2022</v>
      </c>
      <c r="DE5" s="170" t="s">
        <v>636</v>
      </c>
      <c r="DF5" s="170">
        <v>2030</v>
      </c>
      <c r="DG5" s="170">
        <v>2035</v>
      </c>
      <c r="DH5" s="170">
        <v>2040</v>
      </c>
      <c r="DI5" s="170">
        <v>2045</v>
      </c>
      <c r="DJ5" s="170">
        <v>2050</v>
      </c>
      <c r="DK5" s="78"/>
      <c r="DL5" s="46"/>
      <c r="DM5" s="46"/>
      <c r="DN5" s="46"/>
      <c r="DO5" s="46"/>
      <c r="DP5" s="46"/>
      <c r="DQ5" s="46"/>
      <c r="DR5" s="46"/>
    </row>
    <row r="6" spans="1:147" x14ac:dyDescent="0.35">
      <c r="A6" s="8"/>
      <c r="B6" s="8"/>
      <c r="C6" s="8"/>
      <c r="D6" s="8"/>
      <c r="E6" s="8"/>
      <c r="F6" s="8"/>
      <c r="G6" s="46"/>
      <c r="H6" s="46"/>
      <c r="I6" s="3" t="s">
        <v>637</v>
      </c>
      <c r="J6" s="3" t="s">
        <v>637</v>
      </c>
      <c r="K6" s="3" t="s">
        <v>637</v>
      </c>
      <c r="L6" s="3" t="s">
        <v>637</v>
      </c>
      <c r="M6" s="3" t="s">
        <v>637</v>
      </c>
      <c r="N6" s="3" t="s">
        <v>637</v>
      </c>
      <c r="O6" s="3" t="s">
        <v>637</v>
      </c>
      <c r="P6" s="3" t="s">
        <v>315</v>
      </c>
      <c r="Q6" s="3" t="s">
        <v>638</v>
      </c>
      <c r="R6" s="3" t="s">
        <v>638</v>
      </c>
      <c r="S6" s="3" t="s">
        <v>638</v>
      </c>
      <c r="T6" s="3" t="s">
        <v>638</v>
      </c>
      <c r="U6" s="3" t="s">
        <v>638</v>
      </c>
      <c r="V6" s="3" t="s">
        <v>638</v>
      </c>
      <c r="W6" s="3" t="s">
        <v>638</v>
      </c>
      <c r="X6" s="3" t="s">
        <v>639</v>
      </c>
      <c r="Y6" s="3" t="s">
        <v>639</v>
      </c>
      <c r="Z6" s="3" t="s">
        <v>639</v>
      </c>
      <c r="AA6" s="3" t="s">
        <v>639</v>
      </c>
      <c r="AB6" s="3" t="s">
        <v>639</v>
      </c>
      <c r="AC6" s="3" t="s">
        <v>639</v>
      </c>
      <c r="AD6" s="3" t="s">
        <v>639</v>
      </c>
      <c r="AE6" s="3" t="s">
        <v>640</v>
      </c>
      <c r="AF6" s="3" t="s">
        <v>641</v>
      </c>
      <c r="AG6" s="3" t="s">
        <v>641</v>
      </c>
      <c r="AH6" s="3" t="s">
        <v>642</v>
      </c>
      <c r="AI6" s="15" t="s">
        <v>643</v>
      </c>
      <c r="AJ6" s="15" t="s">
        <v>312</v>
      </c>
      <c r="AK6" s="15" t="s">
        <v>312</v>
      </c>
      <c r="AL6" s="15" t="s">
        <v>315</v>
      </c>
      <c r="AM6" s="59" t="s">
        <v>644</v>
      </c>
      <c r="AN6" s="59" t="s">
        <v>644</v>
      </c>
      <c r="AO6" s="59" t="s">
        <v>315</v>
      </c>
      <c r="AP6" s="59" t="s">
        <v>645</v>
      </c>
      <c r="AQ6" s="59" t="s">
        <v>315</v>
      </c>
      <c r="AR6" s="59" t="s">
        <v>315</v>
      </c>
      <c r="AS6" s="62" t="s">
        <v>315</v>
      </c>
      <c r="AT6" s="62" t="s">
        <v>315</v>
      </c>
      <c r="AU6" s="62" t="s">
        <v>645</v>
      </c>
      <c r="AV6" s="130" t="s">
        <v>315</v>
      </c>
      <c r="AW6" s="130" t="s">
        <v>646</v>
      </c>
      <c r="AX6" s="130" t="s">
        <v>315</v>
      </c>
      <c r="AY6" s="26" t="s">
        <v>312</v>
      </c>
      <c r="AZ6" s="26" t="s">
        <v>644</v>
      </c>
      <c r="BA6" s="26" t="s">
        <v>315</v>
      </c>
      <c r="BB6" s="26" t="s">
        <v>646</v>
      </c>
      <c r="BC6" s="26" t="s">
        <v>645</v>
      </c>
      <c r="BD6" s="26" t="s">
        <v>315</v>
      </c>
      <c r="BE6" s="26" t="s">
        <v>315</v>
      </c>
      <c r="BF6" s="26" t="s">
        <v>646</v>
      </c>
      <c r="BG6" s="26" t="s">
        <v>647</v>
      </c>
      <c r="BH6" s="105" t="s">
        <v>644</v>
      </c>
      <c r="BI6" s="105" t="s">
        <v>648</v>
      </c>
      <c r="BJ6" s="105" t="s">
        <v>648</v>
      </c>
      <c r="BK6" s="105" t="s">
        <v>649</v>
      </c>
      <c r="BL6" s="120" t="s">
        <v>313</v>
      </c>
      <c r="BM6" s="120" t="s">
        <v>650</v>
      </c>
      <c r="BN6" s="120" t="s">
        <v>651</v>
      </c>
      <c r="BO6" s="71" t="s">
        <v>651</v>
      </c>
      <c r="BP6" s="71" t="s">
        <v>651</v>
      </c>
      <c r="BQ6" s="71" t="s">
        <v>651</v>
      </c>
      <c r="BR6" s="71" t="s">
        <v>651</v>
      </c>
      <c r="BS6" s="71" t="s">
        <v>651</v>
      </c>
      <c r="BT6" s="71" t="s">
        <v>651</v>
      </c>
      <c r="BU6" s="20" t="s">
        <v>651</v>
      </c>
      <c r="BV6" s="20" t="s">
        <v>651</v>
      </c>
      <c r="BW6" s="20" t="s">
        <v>651</v>
      </c>
      <c r="BX6" s="20" t="s">
        <v>651</v>
      </c>
      <c r="BY6" s="20" t="s">
        <v>651</v>
      </c>
      <c r="BZ6" s="20" t="s">
        <v>651</v>
      </c>
      <c r="CA6" s="20" t="s">
        <v>651</v>
      </c>
      <c r="CB6" s="21" t="s">
        <v>651</v>
      </c>
      <c r="CC6" s="21" t="s">
        <v>651</v>
      </c>
      <c r="CD6" s="21" t="s">
        <v>651</v>
      </c>
      <c r="CE6" s="21" t="s">
        <v>651</v>
      </c>
      <c r="CF6" s="21" t="s">
        <v>651</v>
      </c>
      <c r="CG6" s="21" t="s">
        <v>651</v>
      </c>
      <c r="CH6" s="21" t="s">
        <v>651</v>
      </c>
      <c r="CI6" s="70" t="s">
        <v>652</v>
      </c>
      <c r="CJ6" s="70" t="s">
        <v>652</v>
      </c>
      <c r="CK6" s="70" t="s">
        <v>652</v>
      </c>
      <c r="CL6" s="70" t="s">
        <v>652</v>
      </c>
      <c r="CM6" s="70" t="s">
        <v>652</v>
      </c>
      <c r="CN6" s="70" t="s">
        <v>652</v>
      </c>
      <c r="CO6" s="70" t="s">
        <v>652</v>
      </c>
      <c r="CP6" s="120" t="s">
        <v>652</v>
      </c>
      <c r="CQ6" s="120" t="s">
        <v>652</v>
      </c>
      <c r="CR6" s="120" t="s">
        <v>652</v>
      </c>
      <c r="CS6" s="120" t="s">
        <v>652</v>
      </c>
      <c r="CT6" s="120" t="s">
        <v>652</v>
      </c>
      <c r="CU6" s="120" t="s">
        <v>652</v>
      </c>
      <c r="CV6" s="120" t="s">
        <v>652</v>
      </c>
      <c r="CW6" s="169" t="s">
        <v>313</v>
      </c>
      <c r="CX6" s="169" t="s">
        <v>313</v>
      </c>
      <c r="CY6" s="169" t="s">
        <v>313</v>
      </c>
      <c r="CZ6" s="169" t="s">
        <v>313</v>
      </c>
      <c r="DA6" s="169" t="s">
        <v>313</v>
      </c>
      <c r="DB6" s="169" t="s">
        <v>313</v>
      </c>
      <c r="DC6" s="169" t="s">
        <v>313</v>
      </c>
      <c r="DD6" s="170" t="s">
        <v>313</v>
      </c>
      <c r="DE6" s="170" t="s">
        <v>313</v>
      </c>
      <c r="DF6" s="170" t="s">
        <v>313</v>
      </c>
      <c r="DG6" s="170" t="s">
        <v>313</v>
      </c>
      <c r="DH6" s="170" t="s">
        <v>313</v>
      </c>
      <c r="DI6" s="170" t="s">
        <v>313</v>
      </c>
      <c r="DJ6" s="170" t="s">
        <v>313</v>
      </c>
      <c r="DK6" s="78" t="s">
        <v>26</v>
      </c>
      <c r="DL6" s="46">
        <f>Parameters!$B$13</f>
        <v>2022</v>
      </c>
      <c r="DM6" s="46">
        <v>2025</v>
      </c>
      <c r="DN6" s="46">
        <v>2030</v>
      </c>
      <c r="DO6" s="46">
        <v>2035</v>
      </c>
      <c r="DP6" s="46">
        <v>2040</v>
      </c>
      <c r="DQ6" s="46">
        <v>2045</v>
      </c>
      <c r="DR6" s="46">
        <v>2050</v>
      </c>
    </row>
    <row r="7" spans="1:147" x14ac:dyDescent="0.35">
      <c r="A7" s="5" t="s">
        <v>653</v>
      </c>
      <c r="B7" s="5" t="s">
        <v>654</v>
      </c>
      <c r="C7" s="5" t="s">
        <v>655</v>
      </c>
      <c r="D7" s="5" t="s">
        <v>656</v>
      </c>
      <c r="E7" s="5" t="s">
        <v>657</v>
      </c>
      <c r="F7" s="5" t="s">
        <v>316</v>
      </c>
      <c r="G7" s="47" t="s">
        <v>658</v>
      </c>
      <c r="H7" s="47" t="s">
        <v>659</v>
      </c>
      <c r="I7" s="101">
        <v>0</v>
      </c>
      <c r="J7" s="101">
        <v>0</v>
      </c>
      <c r="K7" s="101">
        <v>0</v>
      </c>
      <c r="L7" s="101">
        <v>0</v>
      </c>
      <c r="M7" s="101">
        <v>0</v>
      </c>
      <c r="N7" s="101">
        <v>0</v>
      </c>
      <c r="O7" s="101">
        <v>0</v>
      </c>
      <c r="P7" s="93">
        <v>0</v>
      </c>
      <c r="Q7" s="101">
        <v>0</v>
      </c>
      <c r="R7" s="101">
        <v>0</v>
      </c>
      <c r="S7" s="101">
        <v>0</v>
      </c>
      <c r="T7" s="101">
        <v>0</v>
      </c>
      <c r="U7" s="101">
        <v>0</v>
      </c>
      <c r="V7" s="101">
        <v>0</v>
      </c>
      <c r="W7" s="101">
        <v>0</v>
      </c>
      <c r="X7" s="101">
        <v>0</v>
      </c>
      <c r="Y7" s="101">
        <v>0</v>
      </c>
      <c r="Z7" s="101">
        <v>0</v>
      </c>
      <c r="AA7" s="101">
        <v>0</v>
      </c>
      <c r="AB7" s="101">
        <v>0</v>
      </c>
      <c r="AC7" s="101">
        <v>0</v>
      </c>
      <c r="AD7" s="101">
        <v>0</v>
      </c>
      <c r="AE7" s="186">
        <v>0.08</v>
      </c>
      <c r="AF7" s="93">
        <v>0</v>
      </c>
      <c r="AG7" s="93">
        <v>1</v>
      </c>
      <c r="AH7" s="93">
        <v>1</v>
      </c>
      <c r="AI7" s="16">
        <v>1</v>
      </c>
      <c r="AJ7" s="16" t="s">
        <v>660</v>
      </c>
      <c r="AK7" s="16" t="s">
        <v>661</v>
      </c>
      <c r="AL7" s="16"/>
      <c r="AM7" s="60"/>
      <c r="AN7" s="60"/>
      <c r="AO7" s="60"/>
      <c r="AP7" s="60"/>
      <c r="AQ7" s="60"/>
      <c r="AR7" s="60"/>
      <c r="AS7" s="63"/>
      <c r="AT7" s="63"/>
      <c r="AU7" s="63"/>
      <c r="AV7" s="131"/>
      <c r="AW7" s="131"/>
      <c r="AX7" s="131"/>
      <c r="AY7" s="27" t="s">
        <v>662</v>
      </c>
      <c r="AZ7" s="27"/>
      <c r="BA7" s="27"/>
      <c r="BB7" s="30"/>
      <c r="BC7" s="30"/>
      <c r="BD7" s="30"/>
      <c r="BE7" s="30"/>
      <c r="BF7" s="30"/>
      <c r="BG7" s="30"/>
      <c r="BH7" s="107"/>
      <c r="BI7" s="107"/>
      <c r="BJ7" s="107"/>
      <c r="BK7" s="107"/>
      <c r="BL7" s="136"/>
      <c r="BM7" s="122"/>
      <c r="BN7" s="138">
        <f>DL7</f>
        <v>80.099999999999994</v>
      </c>
      <c r="BO7" s="93">
        <v>0</v>
      </c>
      <c r="BP7" s="93">
        <v>0</v>
      </c>
      <c r="BQ7" s="93">
        <v>0</v>
      </c>
      <c r="BR7" s="93">
        <v>0</v>
      </c>
      <c r="BS7" s="93">
        <v>0</v>
      </c>
      <c r="BT7" s="93">
        <v>0</v>
      </c>
      <c r="BU7" s="27">
        <f>IF(BL7=1,BN7,0)</f>
        <v>0</v>
      </c>
      <c r="BV7" s="27"/>
      <c r="BW7" s="27"/>
      <c r="BX7" s="27"/>
      <c r="BY7" s="27"/>
      <c r="BZ7" s="27"/>
      <c r="CA7" s="27"/>
      <c r="CB7" s="97">
        <f>DL7</f>
        <v>80.099999999999994</v>
      </c>
      <c r="CC7" s="97">
        <f t="shared" ref="CC7:CH7" si="0">DM7</f>
        <v>83.54716884593519</v>
      </c>
      <c r="CD7" s="97">
        <f t="shared" si="0"/>
        <v>85.414195565662311</v>
      </c>
      <c r="CE7" s="97">
        <f t="shared" si="0"/>
        <v>86.416014781125639</v>
      </c>
      <c r="CF7" s="97">
        <f t="shared" si="0"/>
        <v>86.80763501989766</v>
      </c>
      <c r="CG7" s="97">
        <f t="shared" si="0"/>
        <v>86.712006822057987</v>
      </c>
      <c r="CH7" s="97">
        <f t="shared" si="0"/>
        <v>86.329494030699252</v>
      </c>
      <c r="CI7" s="173"/>
      <c r="CJ7" s="173"/>
      <c r="CK7" s="173"/>
      <c r="CL7" s="173"/>
      <c r="CM7" s="173"/>
      <c r="CN7" s="173"/>
      <c r="CO7" s="173"/>
      <c r="CP7" s="174"/>
      <c r="CQ7" s="174"/>
      <c r="CR7" s="174"/>
      <c r="CS7" s="174"/>
      <c r="CT7" s="174"/>
      <c r="CU7" s="174"/>
      <c r="CV7" s="174"/>
      <c r="CW7" s="165"/>
      <c r="CX7" s="166"/>
      <c r="CY7" s="166"/>
      <c r="CZ7" s="166"/>
      <c r="DA7" s="166"/>
      <c r="DB7" s="166"/>
      <c r="DC7" s="166"/>
      <c r="DD7" s="171"/>
      <c r="DE7" s="171"/>
      <c r="DF7" s="171"/>
      <c r="DG7" s="171"/>
      <c r="DH7" s="171"/>
      <c r="DI7" s="171"/>
      <c r="DJ7" s="171"/>
      <c r="DK7" s="79" t="s">
        <v>663</v>
      </c>
      <c r="DL7" s="128">
        <f>VLOOKUP($F7,Activities!$A$9:$I$180,3,FALSE)/$AI7</f>
        <v>80.099999999999994</v>
      </c>
      <c r="DM7" s="128">
        <f>VLOOKUP($F7,Activities!$A$9:$I$180,4,FALSE)/$AI7</f>
        <v>83.54716884593519</v>
      </c>
      <c r="DN7" s="128">
        <f>VLOOKUP($F7,Activities!$A$9:$I$180,5,FALSE)/$AI7</f>
        <v>85.414195565662311</v>
      </c>
      <c r="DO7" s="128">
        <f>VLOOKUP($F7,Activities!$A$9:$I$180,6,FALSE)/$AI7</f>
        <v>86.416014781125639</v>
      </c>
      <c r="DP7" s="128">
        <f>VLOOKUP($F7,Activities!$A$9:$I$180,7,FALSE)/$AI7</f>
        <v>86.80763501989766</v>
      </c>
      <c r="DQ7" s="128">
        <f>VLOOKUP($F7,Activities!$A$9:$I$180,8,FALSE)/$AI7</f>
        <v>86.712006822057987</v>
      </c>
      <c r="DR7" s="128">
        <f>VLOOKUP($F7,Activities!$A$9:$I$180,9,FALSE)/$AI7</f>
        <v>86.329494030699252</v>
      </c>
      <c r="DS7" s="218"/>
      <c r="DT7" s="360"/>
      <c r="DU7" s="360"/>
      <c r="DV7" s="360"/>
      <c r="DW7" s="360"/>
      <c r="DX7" s="360"/>
      <c r="DY7" s="360"/>
      <c r="DZ7" s="360"/>
      <c r="EA7" s="360"/>
      <c r="EB7" s="360"/>
      <c r="EC7" s="360"/>
      <c r="ED7" s="360"/>
      <c r="EE7" s="360"/>
      <c r="EF7" s="360"/>
      <c r="EG7" s="360"/>
      <c r="EH7" s="360"/>
      <c r="EI7" s="360"/>
      <c r="EJ7" s="360"/>
      <c r="EK7" s="360"/>
      <c r="EL7" s="360"/>
      <c r="EM7" s="360"/>
      <c r="EN7" s="360"/>
      <c r="EO7" s="360"/>
      <c r="EP7" s="360"/>
      <c r="EQ7" s="360"/>
    </row>
    <row r="8" spans="1:147" x14ac:dyDescent="0.35">
      <c r="A8" s="6" t="s">
        <v>664</v>
      </c>
      <c r="B8" s="6" t="s">
        <v>654</v>
      </c>
      <c r="C8" s="6" t="s">
        <v>655</v>
      </c>
      <c r="D8" s="6" t="s">
        <v>656</v>
      </c>
      <c r="E8" s="6" t="s">
        <v>657</v>
      </c>
      <c r="F8" s="6" t="s">
        <v>316</v>
      </c>
      <c r="G8" s="48" t="s">
        <v>665</v>
      </c>
      <c r="H8" s="48" t="s">
        <v>659</v>
      </c>
      <c r="I8" s="102">
        <v>0.5</v>
      </c>
      <c r="J8" s="102">
        <v>0.5</v>
      </c>
      <c r="K8" s="102">
        <v>0.5</v>
      </c>
      <c r="L8" s="102">
        <v>0.3</v>
      </c>
      <c r="M8" s="102">
        <v>0.1</v>
      </c>
      <c r="N8" s="102">
        <v>0</v>
      </c>
      <c r="O8" s="102">
        <v>0</v>
      </c>
      <c r="P8" s="94">
        <v>0</v>
      </c>
      <c r="Q8" s="102">
        <v>0</v>
      </c>
      <c r="R8" s="102">
        <v>0</v>
      </c>
      <c r="S8" s="102">
        <v>0</v>
      </c>
      <c r="T8" s="102">
        <v>0</v>
      </c>
      <c r="U8" s="102">
        <v>0</v>
      </c>
      <c r="V8" s="102">
        <v>0</v>
      </c>
      <c r="W8" s="102">
        <v>0</v>
      </c>
      <c r="X8" s="102">
        <v>0</v>
      </c>
      <c r="Y8" s="102">
        <v>0</v>
      </c>
      <c r="Z8" s="102">
        <v>0</v>
      </c>
      <c r="AA8" s="102">
        <v>0</v>
      </c>
      <c r="AB8" s="102">
        <v>0</v>
      </c>
      <c r="AC8" s="102">
        <v>0</v>
      </c>
      <c r="AD8" s="102">
        <v>0</v>
      </c>
      <c r="AE8" s="186">
        <v>0.08</v>
      </c>
      <c r="AF8" s="94">
        <v>0</v>
      </c>
      <c r="AG8" s="94">
        <v>15</v>
      </c>
      <c r="AH8" s="94">
        <v>15</v>
      </c>
      <c r="AI8" s="17">
        <v>1</v>
      </c>
      <c r="AJ8" s="17" t="s">
        <v>660</v>
      </c>
      <c r="AK8" s="17" t="s">
        <v>661</v>
      </c>
      <c r="AL8" s="17"/>
      <c r="AM8" s="61"/>
      <c r="AN8" s="61"/>
      <c r="AO8" s="61"/>
      <c r="AP8" s="61"/>
      <c r="AQ8" s="61"/>
      <c r="AR8" s="61"/>
      <c r="AS8" s="64"/>
      <c r="AT8" s="64"/>
      <c r="AU8" s="64"/>
      <c r="AV8" s="132"/>
      <c r="AW8" s="132"/>
      <c r="AX8" s="132"/>
      <c r="AY8" s="28" t="s">
        <v>666</v>
      </c>
      <c r="AZ8" s="28" t="s">
        <v>456</v>
      </c>
      <c r="BA8" s="28">
        <v>1</v>
      </c>
      <c r="BB8" s="28"/>
      <c r="BC8" s="28" t="s">
        <v>667</v>
      </c>
      <c r="BD8" s="28">
        <v>0.02</v>
      </c>
      <c r="BE8" s="28">
        <v>0.8</v>
      </c>
      <c r="BF8" s="28"/>
      <c r="BG8" s="28"/>
      <c r="BH8" s="106"/>
      <c r="BI8" s="106"/>
      <c r="BJ8" s="106"/>
      <c r="BK8" s="106"/>
      <c r="BL8" s="137"/>
      <c r="BM8" s="123"/>
      <c r="BN8" s="139">
        <v>0.5</v>
      </c>
      <c r="BO8" s="94"/>
      <c r="BP8" s="94"/>
      <c r="BQ8" s="94">
        <v>0.5</v>
      </c>
      <c r="BR8" s="94"/>
      <c r="BS8" s="94"/>
      <c r="BT8" s="94"/>
      <c r="BU8" s="28">
        <f t="shared" ref="BU8:BU103" si="1">IF(BL8=1,BN8,0)</f>
        <v>0</v>
      </c>
      <c r="BV8" s="28"/>
      <c r="BW8" s="28"/>
      <c r="BX8" s="28"/>
      <c r="BY8" s="28"/>
      <c r="BZ8" s="28"/>
      <c r="CA8" s="28"/>
      <c r="CB8" s="99">
        <v>0.5</v>
      </c>
      <c r="CC8" s="99">
        <v>1</v>
      </c>
      <c r="CD8" s="99">
        <v>2</v>
      </c>
      <c r="CE8" s="99">
        <v>4</v>
      </c>
      <c r="CF8" s="99">
        <v>8</v>
      </c>
      <c r="CG8" s="99">
        <v>20</v>
      </c>
      <c r="CH8" s="99">
        <v>32</v>
      </c>
      <c r="CI8" s="175"/>
      <c r="CJ8" s="175"/>
      <c r="CK8" s="175"/>
      <c r="CL8" s="175"/>
      <c r="CM8" s="175"/>
      <c r="CN8" s="175"/>
      <c r="CO8" s="175"/>
      <c r="CP8" s="176"/>
      <c r="CQ8" s="176"/>
      <c r="CR8" s="176"/>
      <c r="CS8" s="176"/>
      <c r="CT8" s="176"/>
      <c r="CU8" s="176"/>
      <c r="CV8" s="176"/>
      <c r="CW8" s="167"/>
      <c r="CX8" s="168"/>
      <c r="CY8" s="168"/>
      <c r="CZ8" s="168"/>
      <c r="DA8" s="168"/>
      <c r="DB8" s="168"/>
      <c r="DC8" s="168"/>
      <c r="DD8" s="172"/>
      <c r="DE8" s="172"/>
      <c r="DF8" s="172"/>
      <c r="DG8" s="172"/>
      <c r="DH8" s="172"/>
      <c r="DI8" s="172"/>
      <c r="DJ8" s="172"/>
      <c r="DK8" s="80" t="s">
        <v>663</v>
      </c>
      <c r="DL8" s="129">
        <f>VLOOKUP($F8,Activities!$A$9:$I$180,3,FALSE)/$AI8</f>
        <v>80.099999999999994</v>
      </c>
      <c r="DM8" s="129">
        <f>VLOOKUP($F8,Activities!$A$9:$I$180,4,FALSE)/$AI8</f>
        <v>83.54716884593519</v>
      </c>
      <c r="DN8" s="129">
        <f>VLOOKUP($F8,Activities!$A$9:$I$180,5,FALSE)/$AI8</f>
        <v>85.414195565662311</v>
      </c>
      <c r="DO8" s="129">
        <f>VLOOKUP($F8,Activities!$A$9:$I$180,6,FALSE)/$AI8</f>
        <v>86.416014781125639</v>
      </c>
      <c r="DP8" s="129">
        <f>VLOOKUP($F8,Activities!$A$9:$I$180,7,FALSE)/$AI8</f>
        <v>86.80763501989766</v>
      </c>
      <c r="DQ8" s="129">
        <f>VLOOKUP($F8,Activities!$A$9:$I$180,8,FALSE)/$AI8</f>
        <v>86.712006822057987</v>
      </c>
      <c r="DR8" s="129">
        <f>VLOOKUP($F8,Activities!$A$9:$I$180,9,FALSE)/$AI8</f>
        <v>86.329494030699252</v>
      </c>
      <c r="DS8" s="218"/>
      <c r="DT8" s="360"/>
      <c r="DU8" s="360"/>
      <c r="DV8" s="360"/>
      <c r="DW8" s="360"/>
      <c r="DX8" s="360"/>
      <c r="DY8" s="360"/>
      <c r="DZ8" s="360"/>
      <c r="EA8" s="360"/>
      <c r="EB8" s="360"/>
      <c r="EC8" s="360"/>
      <c r="ED8" s="360"/>
      <c r="EE8" s="360"/>
      <c r="EF8" s="360"/>
      <c r="EG8" s="360"/>
      <c r="EH8" s="360"/>
      <c r="EI8" s="360"/>
      <c r="EJ8" s="360"/>
      <c r="EK8" s="360"/>
      <c r="EL8" s="360"/>
      <c r="EM8" s="360"/>
      <c r="EN8" s="360"/>
      <c r="EO8" s="360"/>
      <c r="EP8" s="360"/>
      <c r="EQ8" s="360"/>
    </row>
    <row r="9" spans="1:147" x14ac:dyDescent="0.35">
      <c r="A9" s="5" t="s">
        <v>668</v>
      </c>
      <c r="B9" s="5" t="s">
        <v>654</v>
      </c>
      <c r="C9" s="5" t="s">
        <v>655</v>
      </c>
      <c r="D9" s="5" t="s">
        <v>656</v>
      </c>
      <c r="E9" s="5" t="s">
        <v>669</v>
      </c>
      <c r="F9" s="5" t="s">
        <v>321</v>
      </c>
      <c r="G9" s="47" t="s">
        <v>670</v>
      </c>
      <c r="H9" s="47" t="s">
        <v>671</v>
      </c>
      <c r="I9" s="101">
        <v>0</v>
      </c>
      <c r="J9" s="101">
        <v>0</v>
      </c>
      <c r="K9" s="101">
        <v>0</v>
      </c>
      <c r="L9" s="101">
        <v>0</v>
      </c>
      <c r="M9" s="101">
        <v>0</v>
      </c>
      <c r="N9" s="101">
        <v>0</v>
      </c>
      <c r="O9" s="101">
        <v>0</v>
      </c>
      <c r="P9" s="93">
        <v>0</v>
      </c>
      <c r="Q9" s="101">
        <v>0</v>
      </c>
      <c r="R9" s="101">
        <v>0</v>
      </c>
      <c r="S9" s="101">
        <v>0</v>
      </c>
      <c r="T9" s="101">
        <v>0</v>
      </c>
      <c r="U9" s="101">
        <v>0</v>
      </c>
      <c r="V9" s="101">
        <v>0</v>
      </c>
      <c r="W9" s="101">
        <v>0</v>
      </c>
      <c r="X9" s="101">
        <v>0</v>
      </c>
      <c r="Y9" s="101">
        <v>0</v>
      </c>
      <c r="Z9" s="101">
        <v>0</v>
      </c>
      <c r="AA9" s="101">
        <v>0</v>
      </c>
      <c r="AB9" s="101">
        <v>0</v>
      </c>
      <c r="AC9" s="101">
        <v>0</v>
      </c>
      <c r="AD9" s="101">
        <v>0</v>
      </c>
      <c r="AE9" s="186">
        <v>0.08</v>
      </c>
      <c r="AF9" s="93">
        <v>0</v>
      </c>
      <c r="AG9" s="93">
        <v>40</v>
      </c>
      <c r="AH9" s="93">
        <v>40</v>
      </c>
      <c r="AI9" s="16">
        <v>1</v>
      </c>
      <c r="AJ9" s="16" t="s">
        <v>660</v>
      </c>
      <c r="AK9" s="16" t="s">
        <v>672</v>
      </c>
      <c r="AL9" s="16"/>
      <c r="AM9" s="60"/>
      <c r="AN9" s="60"/>
      <c r="AO9" s="60"/>
      <c r="AP9" s="60"/>
      <c r="AQ9" s="60"/>
      <c r="AR9" s="60"/>
      <c r="AS9" s="63"/>
      <c r="AT9" s="63"/>
      <c r="AU9" s="63"/>
      <c r="AV9" s="131"/>
      <c r="AW9" s="131"/>
      <c r="AX9" s="131"/>
      <c r="AY9" s="27" t="s">
        <v>662</v>
      </c>
      <c r="AZ9" s="27"/>
      <c r="BA9" s="27"/>
      <c r="BB9" s="30"/>
      <c r="BC9" s="30"/>
      <c r="BD9" s="30"/>
      <c r="BE9" s="30"/>
      <c r="BF9" s="30"/>
      <c r="BG9" s="30"/>
      <c r="BH9" s="107"/>
      <c r="BI9" s="107"/>
      <c r="BJ9" s="107"/>
      <c r="BK9" s="107"/>
      <c r="BL9" s="136">
        <v>1</v>
      </c>
      <c r="BM9" s="122"/>
      <c r="BN9" s="138">
        <f>IF(SUM(CB9:CB9)&lt;DL9,CB9,DL9-SUM(CB9:CB9))</f>
        <v>1000</v>
      </c>
      <c r="BO9" s="186"/>
      <c r="BP9" s="186"/>
      <c r="BQ9" s="186"/>
      <c r="BR9" s="186"/>
      <c r="BS9" s="186"/>
      <c r="BT9" s="93">
        <v>0</v>
      </c>
      <c r="BU9" s="27">
        <f t="shared" si="1"/>
        <v>1000</v>
      </c>
      <c r="BV9" s="27"/>
      <c r="BW9" s="27"/>
      <c r="BX9" s="27"/>
      <c r="BY9" s="27"/>
      <c r="BZ9" s="27"/>
      <c r="CA9" s="27"/>
      <c r="CB9" s="97">
        <v>1000</v>
      </c>
      <c r="CC9" s="97">
        <f t="shared" ref="CC9:CH24" si="2">DM9</f>
        <v>3041.4924388857307</v>
      </c>
      <c r="CD9" s="97">
        <f t="shared" ref="CD9:CD23" si="3">DN9</f>
        <v>3109.4606026151223</v>
      </c>
      <c r="CE9" s="97">
        <f t="shared" ref="CE9:CE23" si="4">DO9</f>
        <v>3145.9313246162592</v>
      </c>
      <c r="CF9" s="97">
        <f t="shared" ref="CF9:CF23" si="5">DP9</f>
        <v>3160.1880613985218</v>
      </c>
      <c r="CG9" s="97">
        <f t="shared" ref="CG9:CG23" si="6">DQ9</f>
        <v>3156.7067652075048</v>
      </c>
      <c r="CH9" s="97">
        <f t="shared" ref="CH9:CH23" si="7">DR9</f>
        <v>3142.7815804434335</v>
      </c>
      <c r="CI9" s="173"/>
      <c r="CJ9" s="173"/>
      <c r="CK9" s="173"/>
      <c r="CL9" s="173"/>
      <c r="CM9" s="173"/>
      <c r="CN9" s="173"/>
      <c r="CO9" s="173"/>
      <c r="CP9" s="174"/>
      <c r="CQ9" s="174"/>
      <c r="CR9" s="174"/>
      <c r="CS9" s="174"/>
      <c r="CT9" s="174"/>
      <c r="CU9" s="174"/>
      <c r="CV9" s="174"/>
      <c r="CW9" s="165"/>
      <c r="CX9" s="166">
        <v>1</v>
      </c>
      <c r="CY9" s="166">
        <v>1</v>
      </c>
      <c r="CZ9" s="166">
        <v>1</v>
      </c>
      <c r="DA9" s="166">
        <v>1</v>
      </c>
      <c r="DB9" s="166">
        <v>1</v>
      </c>
      <c r="DC9" s="166">
        <v>1</v>
      </c>
      <c r="DD9" s="171"/>
      <c r="DE9" s="171"/>
      <c r="DF9" s="171"/>
      <c r="DG9" s="171"/>
      <c r="DH9" s="171"/>
      <c r="DI9" s="171"/>
      <c r="DJ9" s="171"/>
      <c r="DK9" s="79" t="s">
        <v>663</v>
      </c>
      <c r="DL9" s="128">
        <f>VLOOKUP($F9,Activities!$A$9:$I$180,3,FALSE)/$AI9</f>
        <v>2916</v>
      </c>
      <c r="DM9" s="128">
        <f>VLOOKUP($F9,Activities!$A$9:$I$180,4,FALSE)/$AI9</f>
        <v>3041.4924388857307</v>
      </c>
      <c r="DN9" s="128">
        <f>VLOOKUP($F9,Activities!$A$9:$I$180,5,FALSE)/$AI9</f>
        <v>3109.4606026151223</v>
      </c>
      <c r="DO9" s="128">
        <f>VLOOKUP($F9,Activities!$A$9:$I$180,6,FALSE)/$AI9</f>
        <v>3145.9313246162592</v>
      </c>
      <c r="DP9" s="128">
        <f>VLOOKUP($F9,Activities!$A$9:$I$180,7,FALSE)/$AI9</f>
        <v>3160.1880613985218</v>
      </c>
      <c r="DQ9" s="128">
        <f>VLOOKUP($F9,Activities!$A$9:$I$180,8,FALSE)/$AI9</f>
        <v>3156.7067652075048</v>
      </c>
      <c r="DR9" s="128">
        <f>VLOOKUP($F9,Activities!$A$9:$I$180,9,FALSE)/$AI9</f>
        <v>3142.7815804434335</v>
      </c>
      <c r="DS9" s="218"/>
      <c r="DT9" s="360"/>
      <c r="DU9" s="360"/>
      <c r="DV9" s="360"/>
      <c r="DW9" s="360"/>
      <c r="DX9" s="360"/>
      <c r="DY9" s="360"/>
      <c r="DZ9" s="360"/>
      <c r="EA9" s="360"/>
      <c r="EB9" s="360"/>
      <c r="EC9" s="360"/>
      <c r="ED9" s="360"/>
      <c r="EE9" s="360"/>
      <c r="EF9" s="360"/>
      <c r="EG9" s="360"/>
      <c r="EH9" s="360"/>
      <c r="EI9" s="360"/>
      <c r="EJ9" s="360"/>
      <c r="EK9" s="360"/>
      <c r="EL9" s="360"/>
      <c r="EM9" s="360"/>
      <c r="EN9" s="360"/>
      <c r="EO9" s="360"/>
      <c r="EP9" s="360"/>
      <c r="EQ9" s="360"/>
    </row>
    <row r="10" spans="1:147" x14ac:dyDescent="0.35">
      <c r="A10" s="6" t="s">
        <v>673</v>
      </c>
      <c r="B10" s="6" t="s">
        <v>654</v>
      </c>
      <c r="C10" s="6" t="s">
        <v>655</v>
      </c>
      <c r="D10" s="6" t="s">
        <v>656</v>
      </c>
      <c r="E10" s="6" t="s">
        <v>669</v>
      </c>
      <c r="F10" s="6" t="s">
        <v>321</v>
      </c>
      <c r="G10" s="48" t="s">
        <v>674</v>
      </c>
      <c r="H10" s="48" t="s">
        <v>671</v>
      </c>
      <c r="I10" s="102">
        <v>2.37</v>
      </c>
      <c r="J10" s="102">
        <v>2.37</v>
      </c>
      <c r="K10" s="102">
        <v>2.37</v>
      </c>
      <c r="L10" s="102">
        <v>0</v>
      </c>
      <c r="M10" s="102">
        <v>0</v>
      </c>
      <c r="N10" s="102">
        <v>0</v>
      </c>
      <c r="O10" s="102">
        <v>0</v>
      </c>
      <c r="P10" s="94">
        <v>0</v>
      </c>
      <c r="Q10" s="102">
        <v>0</v>
      </c>
      <c r="R10" s="102">
        <v>0</v>
      </c>
      <c r="S10" s="102">
        <v>0</v>
      </c>
      <c r="T10" s="102">
        <v>0</v>
      </c>
      <c r="U10" s="102">
        <v>0</v>
      </c>
      <c r="V10" s="102">
        <v>0</v>
      </c>
      <c r="W10" s="102">
        <v>0</v>
      </c>
      <c r="X10" s="102">
        <v>0</v>
      </c>
      <c r="Y10" s="102">
        <v>0</v>
      </c>
      <c r="Z10" s="102">
        <v>0</v>
      </c>
      <c r="AA10" s="102">
        <v>0</v>
      </c>
      <c r="AB10" s="102">
        <v>0</v>
      </c>
      <c r="AC10" s="102">
        <v>0</v>
      </c>
      <c r="AD10" s="102">
        <v>0</v>
      </c>
      <c r="AE10" s="186">
        <v>0.08</v>
      </c>
      <c r="AF10" s="94">
        <v>0</v>
      </c>
      <c r="AG10" s="94">
        <v>40</v>
      </c>
      <c r="AH10" s="94">
        <v>40</v>
      </c>
      <c r="AI10" s="17">
        <v>1</v>
      </c>
      <c r="AJ10" s="17" t="s">
        <v>660</v>
      </c>
      <c r="AK10" s="17" t="s">
        <v>672</v>
      </c>
      <c r="AL10" s="17"/>
      <c r="AM10" s="61"/>
      <c r="AN10" s="61"/>
      <c r="AO10" s="61"/>
      <c r="AP10" s="61"/>
      <c r="AQ10" s="61"/>
      <c r="AR10" s="61"/>
      <c r="AS10" s="64"/>
      <c r="AT10" s="64"/>
      <c r="AU10" s="64"/>
      <c r="AV10" s="132"/>
      <c r="AW10" s="132"/>
      <c r="AX10" s="132"/>
      <c r="AY10" s="28" t="s">
        <v>662</v>
      </c>
      <c r="AZ10" s="28"/>
      <c r="BA10" s="28"/>
      <c r="BB10" s="28"/>
      <c r="BC10" s="28"/>
      <c r="BD10" s="28"/>
      <c r="BE10" s="28"/>
      <c r="BF10" s="28"/>
      <c r="BG10" s="28"/>
      <c r="BH10" s="106"/>
      <c r="BI10" s="106"/>
      <c r="BJ10" s="106"/>
      <c r="BK10" s="106"/>
      <c r="BL10" s="137">
        <v>1</v>
      </c>
      <c r="BM10" s="123"/>
      <c r="BN10" s="138">
        <f>IF(SUM(CB9:CB10)&lt;DL10,CB10,DL10-SUM(CB9:CB9))</f>
        <v>1150</v>
      </c>
      <c r="BO10" s="186"/>
      <c r="BP10" s="186"/>
      <c r="BQ10" s="186"/>
      <c r="BR10" s="186"/>
      <c r="BS10" s="186"/>
      <c r="BT10" s="94"/>
      <c r="BU10" s="28">
        <v>1050</v>
      </c>
      <c r="BV10" s="28"/>
      <c r="BW10" s="28"/>
      <c r="BX10" s="28"/>
      <c r="BY10" s="28"/>
      <c r="BZ10" s="28"/>
      <c r="CA10" s="28"/>
      <c r="CB10" s="99">
        <v>1150</v>
      </c>
      <c r="CC10" s="185">
        <f t="shared" si="2"/>
        <v>3041.4924388857307</v>
      </c>
      <c r="CD10" s="185">
        <f t="shared" si="3"/>
        <v>3109.4606026151223</v>
      </c>
      <c r="CE10" s="185">
        <f t="shared" si="4"/>
        <v>3145.9313246162592</v>
      </c>
      <c r="CF10" s="185">
        <f t="shared" si="5"/>
        <v>3160.1880613985218</v>
      </c>
      <c r="CG10" s="185">
        <f t="shared" si="6"/>
        <v>3156.7067652075048</v>
      </c>
      <c r="CH10" s="185">
        <f t="shared" si="7"/>
        <v>3142.7815804434335</v>
      </c>
      <c r="CI10" s="175"/>
      <c r="CJ10" s="175"/>
      <c r="CK10" s="175"/>
      <c r="CL10" s="175"/>
      <c r="CM10" s="175"/>
      <c r="CN10" s="175"/>
      <c r="CO10" s="175"/>
      <c r="CP10" s="176"/>
      <c r="CQ10" s="176"/>
      <c r="CR10" s="176"/>
      <c r="CS10" s="176"/>
      <c r="CT10" s="176"/>
      <c r="CU10" s="176"/>
      <c r="CV10" s="176"/>
      <c r="CW10" s="167"/>
      <c r="CX10" s="168"/>
      <c r="CY10" s="168">
        <v>1</v>
      </c>
      <c r="CZ10" s="168">
        <v>1</v>
      </c>
      <c r="DA10" s="168">
        <v>1</v>
      </c>
      <c r="DB10" s="168">
        <v>1</v>
      </c>
      <c r="DC10" s="168">
        <v>1</v>
      </c>
      <c r="DD10" s="172"/>
      <c r="DE10" s="172"/>
      <c r="DF10" s="172"/>
      <c r="DG10" s="172"/>
      <c r="DH10" s="172"/>
      <c r="DI10" s="172"/>
      <c r="DJ10" s="172"/>
      <c r="DK10" s="80" t="s">
        <v>663</v>
      </c>
      <c r="DL10" s="129">
        <f>VLOOKUP($F10,Activities!$A$9:$I$180,3,FALSE)/$AI10</f>
        <v>2916</v>
      </c>
      <c r="DM10" s="129">
        <f>VLOOKUP($F10,Activities!$A$9:$I$180,4,FALSE)/$AI10</f>
        <v>3041.4924388857307</v>
      </c>
      <c r="DN10" s="129">
        <f>VLOOKUP($F10,Activities!$A$9:$I$180,5,FALSE)/$AI10</f>
        <v>3109.4606026151223</v>
      </c>
      <c r="DO10" s="129">
        <f>VLOOKUP($F10,Activities!$A$9:$I$180,6,FALSE)/$AI10</f>
        <v>3145.9313246162592</v>
      </c>
      <c r="DP10" s="129">
        <f>VLOOKUP($F10,Activities!$A$9:$I$180,7,FALSE)/$AI10</f>
        <v>3160.1880613985218</v>
      </c>
      <c r="DQ10" s="129">
        <f>VLOOKUP($F10,Activities!$A$9:$I$180,8,FALSE)/$AI10</f>
        <v>3156.7067652075048</v>
      </c>
      <c r="DR10" s="129">
        <f>VLOOKUP($F10,Activities!$A$9:$I$180,9,FALSE)/$AI10</f>
        <v>3142.7815804434335</v>
      </c>
      <c r="DS10" s="218"/>
      <c r="DT10" s="360"/>
      <c r="DU10" s="360"/>
      <c r="DV10" s="360"/>
      <c r="DW10" s="360"/>
      <c r="DX10" s="360"/>
      <c r="DY10" s="360"/>
      <c r="DZ10" s="360"/>
      <c r="EA10" s="360"/>
      <c r="EB10" s="360"/>
      <c r="EC10" s="360"/>
      <c r="ED10" s="360"/>
      <c r="EE10" s="360"/>
      <c r="EF10" s="360"/>
      <c r="EG10" s="360"/>
      <c r="EH10" s="360"/>
      <c r="EI10" s="360"/>
      <c r="EJ10" s="360"/>
      <c r="EK10" s="360"/>
      <c r="EL10" s="360"/>
      <c r="EM10" s="360"/>
      <c r="EN10" s="360"/>
      <c r="EO10" s="360"/>
      <c r="EP10" s="360"/>
      <c r="EQ10" s="360"/>
    </row>
    <row r="11" spans="1:147" x14ac:dyDescent="0.35">
      <c r="A11" s="5" t="s">
        <v>675</v>
      </c>
      <c r="B11" s="5" t="s">
        <v>654</v>
      </c>
      <c r="C11" s="5" t="s">
        <v>655</v>
      </c>
      <c r="D11" s="5" t="s">
        <v>656</v>
      </c>
      <c r="E11" s="5" t="s">
        <v>669</v>
      </c>
      <c r="F11" s="5" t="s">
        <v>321</v>
      </c>
      <c r="G11" s="47" t="s">
        <v>676</v>
      </c>
      <c r="H11" s="47" t="s">
        <v>671</v>
      </c>
      <c r="I11" s="101">
        <v>8.1999999999999993</v>
      </c>
      <c r="J11" s="101">
        <v>8.1999999999999993</v>
      </c>
      <c r="K11" s="101">
        <v>8.1999999999999993</v>
      </c>
      <c r="L11" s="101">
        <v>5.8</v>
      </c>
      <c r="M11" s="101">
        <v>5.8</v>
      </c>
      <c r="N11" s="101">
        <v>0</v>
      </c>
      <c r="O11" s="101">
        <v>0</v>
      </c>
      <c r="P11" s="93">
        <v>0</v>
      </c>
      <c r="Q11" s="101">
        <v>0</v>
      </c>
      <c r="R11" s="101">
        <v>0</v>
      </c>
      <c r="S11" s="101">
        <v>0</v>
      </c>
      <c r="T11" s="101">
        <v>0</v>
      </c>
      <c r="U11" s="101">
        <v>0</v>
      </c>
      <c r="V11" s="101">
        <v>0</v>
      </c>
      <c r="W11" s="101">
        <v>0</v>
      </c>
      <c r="X11" s="101">
        <v>0</v>
      </c>
      <c r="Y11" s="101">
        <v>0</v>
      </c>
      <c r="Z11" s="101">
        <v>0</v>
      </c>
      <c r="AA11" s="101">
        <v>0</v>
      </c>
      <c r="AB11" s="101">
        <v>0</v>
      </c>
      <c r="AC11" s="101">
        <v>0</v>
      </c>
      <c r="AD11" s="101">
        <v>0</v>
      </c>
      <c r="AE11" s="186">
        <v>0.08</v>
      </c>
      <c r="AF11" s="93">
        <v>0</v>
      </c>
      <c r="AG11" s="93">
        <v>40</v>
      </c>
      <c r="AH11" s="93">
        <v>40</v>
      </c>
      <c r="AI11" s="16">
        <v>1</v>
      </c>
      <c r="AJ11" s="16" t="s">
        <v>660</v>
      </c>
      <c r="AK11" s="16" t="s">
        <v>672</v>
      </c>
      <c r="AL11" s="16"/>
      <c r="AM11" s="60"/>
      <c r="AN11" s="60"/>
      <c r="AO11" s="60"/>
      <c r="AP11" s="60"/>
      <c r="AQ11" s="60"/>
      <c r="AR11" s="60"/>
      <c r="AS11" s="63"/>
      <c r="AT11" s="63"/>
      <c r="AU11" s="63"/>
      <c r="AV11" s="131"/>
      <c r="AW11" s="131"/>
      <c r="AX11" s="131"/>
      <c r="AY11" s="27" t="s">
        <v>662</v>
      </c>
      <c r="AZ11" s="27"/>
      <c r="BA11" s="27"/>
      <c r="BB11" s="30"/>
      <c r="BC11" s="30"/>
      <c r="BD11" s="30"/>
      <c r="BE11" s="30"/>
      <c r="BF11" s="30"/>
      <c r="BG11" s="30"/>
      <c r="BH11" s="107"/>
      <c r="BI11" s="107"/>
      <c r="BJ11" s="107"/>
      <c r="BK11" s="107"/>
      <c r="BL11" s="137">
        <v>1</v>
      </c>
      <c r="BM11" s="122"/>
      <c r="BN11" s="138">
        <f>IF(SUM(CB9:CB11)&lt;DL11,CB11,DL11-SUM(CB9:CB10))</f>
        <v>500</v>
      </c>
      <c r="BO11" s="186"/>
      <c r="BP11" s="186"/>
      <c r="BQ11" s="186"/>
      <c r="BR11" s="186"/>
      <c r="BS11" s="186"/>
      <c r="BT11" s="186"/>
      <c r="BU11" s="27">
        <f t="shared" si="1"/>
        <v>500</v>
      </c>
      <c r="BV11" s="27"/>
      <c r="BW11" s="27"/>
      <c r="BX11" s="27"/>
      <c r="BY11" s="27"/>
      <c r="BZ11" s="27"/>
      <c r="CA11" s="27"/>
      <c r="CB11" s="97">
        <v>500</v>
      </c>
      <c r="CC11" s="185">
        <f t="shared" si="2"/>
        <v>3041.4924388857307</v>
      </c>
      <c r="CD11" s="185">
        <f t="shared" si="3"/>
        <v>3109.4606026151223</v>
      </c>
      <c r="CE11" s="185">
        <f t="shared" si="4"/>
        <v>3145.9313246162592</v>
      </c>
      <c r="CF11" s="185">
        <f t="shared" si="5"/>
        <v>3160.1880613985218</v>
      </c>
      <c r="CG11" s="185">
        <f t="shared" si="6"/>
        <v>3156.7067652075048</v>
      </c>
      <c r="CH11" s="185">
        <f t="shared" si="7"/>
        <v>3142.7815804434335</v>
      </c>
      <c r="CI11" s="173"/>
      <c r="CJ11" s="173"/>
      <c r="CK11" s="173"/>
      <c r="CL11" s="173"/>
      <c r="CM11" s="173"/>
      <c r="CN11" s="173"/>
      <c r="CO11" s="173"/>
      <c r="CP11" s="174"/>
      <c r="CQ11" s="174"/>
      <c r="CR11" s="174"/>
      <c r="CS11" s="174"/>
      <c r="CT11" s="174"/>
      <c r="CU11" s="174"/>
      <c r="CV11" s="174"/>
      <c r="CW11" s="165"/>
      <c r="CX11" s="166"/>
      <c r="CY11" s="166"/>
      <c r="CZ11" s="166">
        <v>1</v>
      </c>
      <c r="DA11" s="166">
        <v>1</v>
      </c>
      <c r="DB11" s="166">
        <v>1</v>
      </c>
      <c r="DC11" s="166">
        <v>1</v>
      </c>
      <c r="DD11" s="171"/>
      <c r="DE11" s="171"/>
      <c r="DF11" s="171"/>
      <c r="DG11" s="171"/>
      <c r="DH11" s="171"/>
      <c r="DI11" s="171"/>
      <c r="DJ11" s="171"/>
      <c r="DK11" s="79" t="s">
        <v>663</v>
      </c>
      <c r="DL11" s="128">
        <f>VLOOKUP($F11,Activities!$A$9:$I$180,3,FALSE)/$AI11</f>
        <v>2916</v>
      </c>
      <c r="DM11" s="128">
        <f>VLOOKUP($F11,Activities!$A$9:$I$180,4,FALSE)/$AI11</f>
        <v>3041.4924388857307</v>
      </c>
      <c r="DN11" s="128">
        <f>VLOOKUP($F11,Activities!$A$9:$I$180,5,FALSE)/$AI11</f>
        <v>3109.4606026151223</v>
      </c>
      <c r="DO11" s="128">
        <f>VLOOKUP($F11,Activities!$A$9:$I$180,6,FALSE)/$AI11</f>
        <v>3145.9313246162592</v>
      </c>
      <c r="DP11" s="128">
        <f>VLOOKUP($F11,Activities!$A$9:$I$180,7,FALSE)/$AI11</f>
        <v>3160.1880613985218</v>
      </c>
      <c r="DQ11" s="128">
        <f>VLOOKUP($F11,Activities!$A$9:$I$180,8,FALSE)/$AI11</f>
        <v>3156.7067652075048</v>
      </c>
      <c r="DR11" s="128">
        <f>VLOOKUP($F11,Activities!$A$9:$I$180,9,FALSE)/$AI11</f>
        <v>3142.7815804434335</v>
      </c>
      <c r="DS11" s="218"/>
      <c r="DT11" s="360"/>
      <c r="DU11" s="360"/>
      <c r="DV11" s="360"/>
      <c r="DW11" s="360"/>
      <c r="DX11" s="360"/>
      <c r="DY11" s="360"/>
      <c r="DZ11" s="360"/>
      <c r="EA11" s="360"/>
      <c r="EB11" s="360"/>
      <c r="EC11" s="360"/>
      <c r="ED11" s="360"/>
      <c r="EE11" s="360"/>
      <c r="EF11" s="360"/>
      <c r="EG11" s="360"/>
      <c r="EH11" s="360"/>
      <c r="EI11" s="360"/>
      <c r="EJ11" s="360"/>
      <c r="EK11" s="360"/>
      <c r="EL11" s="360"/>
      <c r="EM11" s="360"/>
      <c r="EN11" s="360"/>
      <c r="EO11" s="360"/>
      <c r="EP11" s="360"/>
      <c r="EQ11" s="360"/>
    </row>
    <row r="12" spans="1:147" x14ac:dyDescent="0.35">
      <c r="A12" s="6" t="s">
        <v>677</v>
      </c>
      <c r="B12" s="6" t="s">
        <v>654</v>
      </c>
      <c r="C12" s="6" t="s">
        <v>655</v>
      </c>
      <c r="D12" s="6" t="s">
        <v>656</v>
      </c>
      <c r="E12" s="6" t="s">
        <v>669</v>
      </c>
      <c r="F12" s="6" t="s">
        <v>321</v>
      </c>
      <c r="G12" s="48" t="s">
        <v>678</v>
      </c>
      <c r="H12" s="48" t="s">
        <v>671</v>
      </c>
      <c r="I12" s="102">
        <v>10.37</v>
      </c>
      <c r="J12" s="102">
        <v>10.11</v>
      </c>
      <c r="K12" s="102">
        <v>9.85</v>
      </c>
      <c r="L12" s="102">
        <v>7.2</v>
      </c>
      <c r="M12" s="102">
        <v>7.1</v>
      </c>
      <c r="N12" s="102">
        <v>1.3</v>
      </c>
      <c r="O12" s="102">
        <v>1.3</v>
      </c>
      <c r="P12" s="94">
        <v>0</v>
      </c>
      <c r="Q12" s="102">
        <v>0</v>
      </c>
      <c r="R12" s="102">
        <v>0</v>
      </c>
      <c r="S12" s="102">
        <v>0</v>
      </c>
      <c r="T12" s="102">
        <v>0</v>
      </c>
      <c r="U12" s="102">
        <v>0</v>
      </c>
      <c r="V12" s="102">
        <v>0</v>
      </c>
      <c r="W12" s="102">
        <v>0</v>
      </c>
      <c r="X12" s="102">
        <v>0</v>
      </c>
      <c r="Y12" s="102">
        <v>0</v>
      </c>
      <c r="Z12" s="102">
        <v>0</v>
      </c>
      <c r="AA12" s="102">
        <v>0</v>
      </c>
      <c r="AB12" s="102">
        <v>0</v>
      </c>
      <c r="AC12" s="102">
        <v>0</v>
      </c>
      <c r="AD12" s="102">
        <v>0</v>
      </c>
      <c r="AE12" s="186">
        <v>0.08</v>
      </c>
      <c r="AF12" s="94">
        <v>0</v>
      </c>
      <c r="AG12" s="94">
        <v>40</v>
      </c>
      <c r="AH12" s="94">
        <v>40</v>
      </c>
      <c r="AI12" s="17">
        <v>1</v>
      </c>
      <c r="AJ12" s="17" t="s">
        <v>660</v>
      </c>
      <c r="AK12" s="17" t="s">
        <v>672</v>
      </c>
      <c r="AL12" s="17"/>
      <c r="AM12" s="61"/>
      <c r="AN12" s="61"/>
      <c r="AO12" s="61"/>
      <c r="AP12" s="61"/>
      <c r="AQ12" s="61"/>
      <c r="AR12" s="61"/>
      <c r="AS12" s="64"/>
      <c r="AT12" s="64"/>
      <c r="AU12" s="64"/>
      <c r="AV12" s="132"/>
      <c r="AW12" s="132"/>
      <c r="AX12" s="132"/>
      <c r="AY12" s="28" t="s">
        <v>662</v>
      </c>
      <c r="AZ12" s="28"/>
      <c r="BA12" s="28"/>
      <c r="BB12" s="28"/>
      <c r="BC12" s="28"/>
      <c r="BD12" s="28"/>
      <c r="BE12" s="28"/>
      <c r="BF12" s="28"/>
      <c r="BG12" s="28"/>
      <c r="BH12" s="106"/>
      <c r="BI12" s="106"/>
      <c r="BJ12" s="106"/>
      <c r="BK12" s="106"/>
      <c r="BL12" s="137"/>
      <c r="BM12" s="123"/>
      <c r="BN12" s="138">
        <f>IF(SUM(CB9:CB12)&lt;DL12,CB12,DL12-SUM(CB9:CB11))</f>
        <v>250</v>
      </c>
      <c r="BO12" s="186"/>
      <c r="BP12" s="186"/>
      <c r="BQ12" s="186"/>
      <c r="BR12" s="186"/>
      <c r="BS12" s="186"/>
      <c r="BT12" s="186"/>
      <c r="BU12" s="28">
        <f t="shared" si="1"/>
        <v>0</v>
      </c>
      <c r="BV12" s="28"/>
      <c r="BW12" s="28"/>
      <c r="BX12" s="28"/>
      <c r="BY12" s="28"/>
      <c r="BZ12" s="28"/>
      <c r="CA12" s="28"/>
      <c r="CB12" s="99">
        <v>250</v>
      </c>
      <c r="CC12" s="185">
        <f t="shared" si="2"/>
        <v>3041.4924388857307</v>
      </c>
      <c r="CD12" s="185">
        <f t="shared" si="3"/>
        <v>3109.4606026151223</v>
      </c>
      <c r="CE12" s="185">
        <f t="shared" si="4"/>
        <v>3145.9313246162592</v>
      </c>
      <c r="CF12" s="185">
        <f t="shared" si="5"/>
        <v>3160.1880613985218</v>
      </c>
      <c r="CG12" s="185">
        <f t="shared" si="6"/>
        <v>3156.7067652075048</v>
      </c>
      <c r="CH12" s="185">
        <f t="shared" si="7"/>
        <v>3142.7815804434335</v>
      </c>
      <c r="CI12" s="175"/>
      <c r="CJ12" s="175"/>
      <c r="CK12" s="175"/>
      <c r="CL12" s="175"/>
      <c r="CM12" s="175"/>
      <c r="CN12" s="175"/>
      <c r="CO12" s="175"/>
      <c r="CP12" s="176"/>
      <c r="CQ12" s="176"/>
      <c r="CR12" s="176"/>
      <c r="CS12" s="176"/>
      <c r="CT12" s="176"/>
      <c r="CU12" s="176"/>
      <c r="CV12" s="176"/>
      <c r="CW12" s="167"/>
      <c r="CX12" s="168"/>
      <c r="CY12" s="168"/>
      <c r="CZ12" s="168"/>
      <c r="DA12" s="168"/>
      <c r="DB12" s="168"/>
      <c r="DC12" s="168"/>
      <c r="DD12" s="172"/>
      <c r="DE12" s="172"/>
      <c r="DF12" s="172">
        <v>1</v>
      </c>
      <c r="DG12" s="172">
        <v>1</v>
      </c>
      <c r="DH12" s="172">
        <v>1</v>
      </c>
      <c r="DI12" s="172">
        <v>1</v>
      </c>
      <c r="DJ12" s="172">
        <v>1</v>
      </c>
      <c r="DK12" s="80" t="s">
        <v>663</v>
      </c>
      <c r="DL12" s="129">
        <f>VLOOKUP($F12,Activities!$A$9:$I$180,3,FALSE)/$AI12</f>
        <v>2916</v>
      </c>
      <c r="DM12" s="129">
        <f>VLOOKUP($F12,Activities!$A$9:$I$180,4,FALSE)/$AI12</f>
        <v>3041.4924388857307</v>
      </c>
      <c r="DN12" s="129">
        <f>VLOOKUP($F12,Activities!$A$9:$I$180,5,FALSE)/$AI12</f>
        <v>3109.4606026151223</v>
      </c>
      <c r="DO12" s="129">
        <f>VLOOKUP($F12,Activities!$A$9:$I$180,6,FALSE)/$AI12</f>
        <v>3145.9313246162592</v>
      </c>
      <c r="DP12" s="129">
        <f>VLOOKUP($F12,Activities!$A$9:$I$180,7,FALSE)/$AI12</f>
        <v>3160.1880613985218</v>
      </c>
      <c r="DQ12" s="129">
        <f>VLOOKUP($F12,Activities!$A$9:$I$180,8,FALSE)/$AI12</f>
        <v>3156.7067652075048</v>
      </c>
      <c r="DR12" s="129">
        <f>VLOOKUP($F12,Activities!$A$9:$I$180,9,FALSE)/$AI12</f>
        <v>3142.7815804434335</v>
      </c>
      <c r="DS12" s="218"/>
      <c r="DT12" s="360"/>
      <c r="DU12" s="360"/>
      <c r="DV12" s="360"/>
      <c r="DW12" s="360"/>
      <c r="DX12" s="360"/>
      <c r="DY12" s="360"/>
      <c r="DZ12" s="360"/>
      <c r="EA12" s="360"/>
      <c r="EB12" s="360"/>
      <c r="EC12" s="360"/>
      <c r="ED12" s="360"/>
      <c r="EE12" s="360"/>
      <c r="EF12" s="360"/>
      <c r="EG12" s="360"/>
      <c r="EH12" s="360"/>
      <c r="EI12" s="360"/>
      <c r="EJ12" s="360"/>
      <c r="EK12" s="360"/>
      <c r="EL12" s="360"/>
      <c r="EM12" s="360"/>
      <c r="EN12" s="360"/>
      <c r="EO12" s="360"/>
      <c r="EP12" s="360"/>
      <c r="EQ12" s="360"/>
    </row>
    <row r="13" spans="1:147" x14ac:dyDescent="0.35">
      <c r="A13" s="5" t="s">
        <v>679</v>
      </c>
      <c r="B13" s="5" t="s">
        <v>654</v>
      </c>
      <c r="C13" s="5" t="s">
        <v>655</v>
      </c>
      <c r="D13" s="5" t="s">
        <v>656</v>
      </c>
      <c r="E13" s="5" t="s">
        <v>669</v>
      </c>
      <c r="F13" s="5" t="s">
        <v>321</v>
      </c>
      <c r="G13" s="47" t="s">
        <v>680</v>
      </c>
      <c r="H13" s="47" t="s">
        <v>671</v>
      </c>
      <c r="I13" s="101">
        <v>12.26</v>
      </c>
      <c r="J13" s="101">
        <v>11.65</v>
      </c>
      <c r="K13" s="101">
        <v>11.04</v>
      </c>
      <c r="L13" s="101">
        <v>8.1</v>
      </c>
      <c r="M13" s="101">
        <v>7.5</v>
      </c>
      <c r="N13" s="101">
        <v>1.7</v>
      </c>
      <c r="O13" s="101">
        <v>1.5</v>
      </c>
      <c r="P13" s="93">
        <v>0</v>
      </c>
      <c r="Q13" s="101">
        <v>0</v>
      </c>
      <c r="R13" s="101">
        <v>0</v>
      </c>
      <c r="S13" s="101">
        <v>0</v>
      </c>
      <c r="T13" s="101">
        <v>0</v>
      </c>
      <c r="U13" s="101">
        <v>0</v>
      </c>
      <c r="V13" s="101">
        <v>0</v>
      </c>
      <c r="W13" s="101">
        <v>0</v>
      </c>
      <c r="X13" s="101">
        <v>0</v>
      </c>
      <c r="Y13" s="101">
        <v>0</v>
      </c>
      <c r="Z13" s="101">
        <v>0</v>
      </c>
      <c r="AA13" s="101">
        <v>0</v>
      </c>
      <c r="AB13" s="101">
        <v>0</v>
      </c>
      <c r="AC13" s="101">
        <v>0</v>
      </c>
      <c r="AD13" s="101">
        <v>0</v>
      </c>
      <c r="AE13" s="186">
        <v>0.08</v>
      </c>
      <c r="AF13" s="93">
        <v>0</v>
      </c>
      <c r="AG13" s="93">
        <v>40</v>
      </c>
      <c r="AH13" s="93">
        <v>40</v>
      </c>
      <c r="AI13" s="16">
        <v>1</v>
      </c>
      <c r="AJ13" s="16" t="s">
        <v>660</v>
      </c>
      <c r="AK13" s="16" t="s">
        <v>672</v>
      </c>
      <c r="AL13" s="16"/>
      <c r="AM13" s="60"/>
      <c r="AN13" s="60"/>
      <c r="AO13" s="60"/>
      <c r="AP13" s="60"/>
      <c r="AQ13" s="60"/>
      <c r="AR13" s="60"/>
      <c r="AS13" s="63"/>
      <c r="AT13" s="63"/>
      <c r="AU13" s="63"/>
      <c r="AV13" s="131"/>
      <c r="AW13" s="131"/>
      <c r="AX13" s="131"/>
      <c r="AY13" s="27" t="s">
        <v>662</v>
      </c>
      <c r="AZ13" s="27"/>
      <c r="BA13" s="27"/>
      <c r="BB13" s="30"/>
      <c r="BC13" s="30"/>
      <c r="BD13" s="30"/>
      <c r="BE13" s="30"/>
      <c r="BF13" s="30"/>
      <c r="BG13" s="30"/>
      <c r="BH13" s="107"/>
      <c r="BI13" s="107"/>
      <c r="BJ13" s="107"/>
      <c r="BK13" s="107"/>
      <c r="BL13" s="136"/>
      <c r="BM13" s="122"/>
      <c r="BN13" s="138">
        <f>IF(SUM(CB9:CB13)&lt;DL13,CB13,DL13-SUM(CB9:CB12))</f>
        <v>16</v>
      </c>
      <c r="BO13" s="186"/>
      <c r="BP13" s="186"/>
      <c r="BQ13" s="186"/>
      <c r="BR13" s="186"/>
      <c r="BS13" s="186"/>
      <c r="BT13" s="186"/>
      <c r="BU13" s="27">
        <f t="shared" si="1"/>
        <v>0</v>
      </c>
      <c r="BV13" s="27"/>
      <c r="BW13" s="27"/>
      <c r="BX13" s="27"/>
      <c r="BY13" s="27"/>
      <c r="BZ13" s="27"/>
      <c r="CA13" s="27"/>
      <c r="CB13" s="97">
        <v>100</v>
      </c>
      <c r="CC13" s="185">
        <f t="shared" si="2"/>
        <v>3041.4924388857307</v>
      </c>
      <c r="CD13" s="185">
        <f t="shared" si="3"/>
        <v>3109.4606026151223</v>
      </c>
      <c r="CE13" s="185">
        <f t="shared" si="4"/>
        <v>3145.9313246162592</v>
      </c>
      <c r="CF13" s="185">
        <f t="shared" si="5"/>
        <v>3160.1880613985218</v>
      </c>
      <c r="CG13" s="185">
        <f t="shared" si="6"/>
        <v>3156.7067652075048</v>
      </c>
      <c r="CH13" s="185">
        <f t="shared" si="7"/>
        <v>3142.7815804434335</v>
      </c>
      <c r="CI13" s="173"/>
      <c r="CJ13" s="173"/>
      <c r="CK13" s="173"/>
      <c r="CL13" s="173"/>
      <c r="CM13" s="173"/>
      <c r="CN13" s="173"/>
      <c r="CO13" s="173"/>
      <c r="CP13" s="174"/>
      <c r="CQ13" s="174"/>
      <c r="CR13" s="174"/>
      <c r="CS13" s="174"/>
      <c r="CT13" s="174"/>
      <c r="CU13" s="174"/>
      <c r="CV13" s="174"/>
      <c r="CW13" s="165"/>
      <c r="CX13" s="166"/>
      <c r="CY13" s="166"/>
      <c r="CZ13" s="166"/>
      <c r="DA13" s="166"/>
      <c r="DB13" s="166"/>
      <c r="DC13" s="166"/>
      <c r="DD13" s="171"/>
      <c r="DE13" s="171"/>
      <c r="DF13" s="171">
        <v>1</v>
      </c>
      <c r="DG13" s="171">
        <v>1</v>
      </c>
      <c r="DH13" s="171">
        <v>1</v>
      </c>
      <c r="DI13" s="171">
        <v>1</v>
      </c>
      <c r="DJ13" s="171">
        <v>1</v>
      </c>
      <c r="DK13" s="79" t="s">
        <v>681</v>
      </c>
      <c r="DL13" s="128">
        <f>VLOOKUP($F13,Activities!$A$9:$I$180,3,FALSE)/$AI13</f>
        <v>2916</v>
      </c>
      <c r="DM13" s="128">
        <f>VLOOKUP($F13,Activities!$A$9:$I$180,4,FALSE)/$AI13</f>
        <v>3041.4924388857307</v>
      </c>
      <c r="DN13" s="128">
        <f>VLOOKUP($F13,Activities!$A$9:$I$180,5,FALSE)/$AI13</f>
        <v>3109.4606026151223</v>
      </c>
      <c r="DO13" s="128">
        <f>VLOOKUP($F13,Activities!$A$9:$I$180,6,FALSE)/$AI13</f>
        <v>3145.9313246162592</v>
      </c>
      <c r="DP13" s="128">
        <f>VLOOKUP($F13,Activities!$A$9:$I$180,7,FALSE)/$AI13</f>
        <v>3160.1880613985218</v>
      </c>
      <c r="DQ13" s="128">
        <f>VLOOKUP($F13,Activities!$A$9:$I$180,8,FALSE)/$AI13</f>
        <v>3156.7067652075048</v>
      </c>
      <c r="DR13" s="128">
        <f>VLOOKUP($F13,Activities!$A$9:$I$180,9,FALSE)/$AI13</f>
        <v>3142.7815804434335</v>
      </c>
      <c r="DS13" s="218"/>
      <c r="DT13" s="360"/>
      <c r="DU13" s="360"/>
      <c r="DV13" s="360"/>
      <c r="DW13" s="360"/>
      <c r="DX13" s="360"/>
      <c r="DY13" s="360"/>
      <c r="DZ13" s="360"/>
      <c r="EA13" s="360"/>
      <c r="EB13" s="360"/>
      <c r="EC13" s="360"/>
      <c r="ED13" s="360"/>
      <c r="EE13" s="360"/>
      <c r="EF13" s="360"/>
      <c r="EG13" s="360"/>
      <c r="EH13" s="360"/>
      <c r="EI13" s="360"/>
      <c r="EJ13" s="360"/>
      <c r="EK13" s="360"/>
      <c r="EL13" s="360"/>
      <c r="EM13" s="360"/>
      <c r="EN13" s="360"/>
      <c r="EO13" s="360"/>
      <c r="EP13" s="360"/>
      <c r="EQ13" s="360"/>
    </row>
    <row r="14" spans="1:147" x14ac:dyDescent="0.35">
      <c r="A14" s="6" t="s">
        <v>682</v>
      </c>
      <c r="B14" s="6" t="s">
        <v>654</v>
      </c>
      <c r="C14" s="6" t="s">
        <v>655</v>
      </c>
      <c r="D14" s="6" t="s">
        <v>656</v>
      </c>
      <c r="E14" s="6" t="s">
        <v>683</v>
      </c>
      <c r="F14" s="6" t="s">
        <v>323</v>
      </c>
      <c r="G14" s="48" t="s">
        <v>684</v>
      </c>
      <c r="H14" s="48" t="s">
        <v>671</v>
      </c>
      <c r="I14" s="102">
        <v>0</v>
      </c>
      <c r="J14" s="102">
        <v>0</v>
      </c>
      <c r="K14" s="102">
        <v>0</v>
      </c>
      <c r="L14" s="102">
        <v>0</v>
      </c>
      <c r="M14" s="102">
        <v>0</v>
      </c>
      <c r="N14" s="102">
        <v>0</v>
      </c>
      <c r="O14" s="102">
        <v>0</v>
      </c>
      <c r="P14" s="94">
        <v>0</v>
      </c>
      <c r="Q14" s="102">
        <v>0</v>
      </c>
      <c r="R14" s="102">
        <v>0</v>
      </c>
      <c r="S14" s="102">
        <v>0</v>
      </c>
      <c r="T14" s="102">
        <v>0</v>
      </c>
      <c r="U14" s="102">
        <v>0</v>
      </c>
      <c r="V14" s="102">
        <v>0</v>
      </c>
      <c r="W14" s="102">
        <v>0</v>
      </c>
      <c r="X14" s="102">
        <v>0</v>
      </c>
      <c r="Y14" s="102">
        <v>0</v>
      </c>
      <c r="Z14" s="102">
        <v>0</v>
      </c>
      <c r="AA14" s="102">
        <v>0</v>
      </c>
      <c r="AB14" s="102">
        <v>0</v>
      </c>
      <c r="AC14" s="102">
        <v>0</v>
      </c>
      <c r="AD14" s="102">
        <v>0</v>
      </c>
      <c r="AE14" s="186">
        <v>0.08</v>
      </c>
      <c r="AF14" s="94">
        <v>0</v>
      </c>
      <c r="AG14" s="94">
        <v>40</v>
      </c>
      <c r="AH14" s="94">
        <v>40</v>
      </c>
      <c r="AI14" s="17">
        <v>1</v>
      </c>
      <c r="AJ14" s="17" t="s">
        <v>660</v>
      </c>
      <c r="AK14" s="17" t="s">
        <v>672</v>
      </c>
      <c r="AL14" s="17"/>
      <c r="AM14" s="61"/>
      <c r="AN14" s="61"/>
      <c r="AO14" s="61"/>
      <c r="AP14" s="61"/>
      <c r="AQ14" s="61"/>
      <c r="AR14" s="61"/>
      <c r="AS14" s="64"/>
      <c r="AT14" s="64"/>
      <c r="AU14" s="64"/>
      <c r="AV14" s="132"/>
      <c r="AW14" s="132"/>
      <c r="AX14" s="132"/>
      <c r="AY14" s="28" t="s">
        <v>662</v>
      </c>
      <c r="AZ14" s="28"/>
      <c r="BA14" s="28"/>
      <c r="BB14" s="28"/>
      <c r="BC14" s="28"/>
      <c r="BD14" s="28"/>
      <c r="BE14" s="28"/>
      <c r="BF14" s="28"/>
      <c r="BG14" s="28"/>
      <c r="BH14" s="106"/>
      <c r="BI14" s="106"/>
      <c r="BJ14" s="106"/>
      <c r="BK14" s="106"/>
      <c r="BL14" s="137">
        <v>1</v>
      </c>
      <c r="BM14" s="123"/>
      <c r="BN14" s="138">
        <f>IF(SUM(CB14:CB14)&lt;DL14,CB14,MAX(DL14-SUM(CB14:CB14),0))</f>
        <v>2000</v>
      </c>
      <c r="BO14" s="186"/>
      <c r="BP14" s="186"/>
      <c r="BQ14" s="186"/>
      <c r="BR14" s="186"/>
      <c r="BS14" s="186"/>
      <c r="BT14" s="186"/>
      <c r="BU14" s="28">
        <v>800</v>
      </c>
      <c r="BV14" s="28"/>
      <c r="BW14" s="28"/>
      <c r="BX14" s="28"/>
      <c r="BY14" s="28"/>
      <c r="BZ14" s="28"/>
      <c r="CA14" s="28"/>
      <c r="CB14" s="99">
        <v>2000</v>
      </c>
      <c r="CC14" s="99">
        <f t="shared" si="2"/>
        <v>3525.4610574189883</v>
      </c>
      <c r="CD14" s="99">
        <f t="shared" si="3"/>
        <v>3604.2444570778853</v>
      </c>
      <c r="CE14" s="99">
        <f t="shared" si="4"/>
        <v>3646.5184764070495</v>
      </c>
      <c r="CF14" s="99">
        <f t="shared" si="5"/>
        <v>3663.0437748720865</v>
      </c>
      <c r="CG14" s="99">
        <f t="shared" si="6"/>
        <v>3659.008527572485</v>
      </c>
      <c r="CH14" s="99">
        <f t="shared" si="7"/>
        <v>3642.867538374076</v>
      </c>
      <c r="CI14" s="175"/>
      <c r="CJ14" s="175"/>
      <c r="CK14" s="175"/>
      <c r="CL14" s="175"/>
      <c r="CM14" s="175"/>
      <c r="CN14" s="175"/>
      <c r="CO14" s="175"/>
      <c r="CP14" s="176"/>
      <c r="CQ14" s="176"/>
      <c r="CR14" s="176"/>
      <c r="CS14" s="176"/>
      <c r="CT14" s="176"/>
      <c r="CU14" s="176"/>
      <c r="CV14" s="176"/>
      <c r="CW14" s="167"/>
      <c r="CX14" s="168">
        <v>1</v>
      </c>
      <c r="CY14" s="168">
        <v>1</v>
      </c>
      <c r="CZ14" s="168">
        <v>1</v>
      </c>
      <c r="DA14" s="168">
        <v>1</v>
      </c>
      <c r="DB14" s="168">
        <v>1</v>
      </c>
      <c r="DC14" s="168">
        <v>1</v>
      </c>
      <c r="DD14" s="172"/>
      <c r="DE14" s="172"/>
      <c r="DF14" s="172"/>
      <c r="DG14" s="172"/>
      <c r="DH14" s="172"/>
      <c r="DI14" s="172"/>
      <c r="DJ14" s="172"/>
      <c r="DK14" s="80" t="s">
        <v>681</v>
      </c>
      <c r="DL14" s="129">
        <f>VLOOKUP($F14,Activities!$A$9:$I$180,3,FALSE)/$AI14</f>
        <v>3380</v>
      </c>
      <c r="DM14" s="129">
        <f>VLOOKUP($F14,Activities!$A$9:$I$180,4,FALSE)/$AI14</f>
        <v>3525.4610574189883</v>
      </c>
      <c r="DN14" s="129">
        <f>VLOOKUP($F14,Activities!$A$9:$I$180,5,FALSE)/$AI14</f>
        <v>3604.2444570778853</v>
      </c>
      <c r="DO14" s="129">
        <f>VLOOKUP($F14,Activities!$A$9:$I$180,6,FALSE)/$AI14</f>
        <v>3646.5184764070495</v>
      </c>
      <c r="DP14" s="129">
        <f>VLOOKUP($F14,Activities!$A$9:$I$180,7,FALSE)/$AI14</f>
        <v>3663.0437748720865</v>
      </c>
      <c r="DQ14" s="129">
        <f>VLOOKUP($F14,Activities!$A$9:$I$180,8,FALSE)/$AI14</f>
        <v>3659.008527572485</v>
      </c>
      <c r="DR14" s="129">
        <f>VLOOKUP($F14,Activities!$A$9:$I$180,9,FALSE)/$AI14</f>
        <v>3642.867538374076</v>
      </c>
      <c r="DS14" s="218"/>
      <c r="DT14" s="360"/>
      <c r="DU14" s="360"/>
      <c r="DV14" s="360"/>
      <c r="DW14" s="360"/>
      <c r="DX14" s="360"/>
      <c r="DY14" s="360"/>
      <c r="DZ14" s="360"/>
      <c r="EA14" s="360"/>
      <c r="EB14" s="360"/>
      <c r="EC14" s="360"/>
      <c r="ED14" s="360"/>
      <c r="EE14" s="360"/>
      <c r="EF14" s="360"/>
      <c r="EG14" s="360"/>
      <c r="EH14" s="360"/>
      <c r="EI14" s="360"/>
      <c r="EJ14" s="360"/>
      <c r="EK14" s="360"/>
      <c r="EL14" s="360"/>
      <c r="EM14" s="360"/>
      <c r="EN14" s="360"/>
      <c r="EO14" s="360"/>
      <c r="EP14" s="360"/>
      <c r="EQ14" s="360"/>
    </row>
    <row r="15" spans="1:147" x14ac:dyDescent="0.35">
      <c r="A15" s="5" t="s">
        <v>685</v>
      </c>
      <c r="B15" s="5" t="s">
        <v>654</v>
      </c>
      <c r="C15" s="5" t="s">
        <v>655</v>
      </c>
      <c r="D15" s="5" t="s">
        <v>656</v>
      </c>
      <c r="E15" s="5" t="s">
        <v>683</v>
      </c>
      <c r="F15" s="5" t="s">
        <v>323</v>
      </c>
      <c r="G15" s="47" t="s">
        <v>686</v>
      </c>
      <c r="H15" s="47" t="s">
        <v>671</v>
      </c>
      <c r="I15" s="101">
        <v>3.18</v>
      </c>
      <c r="J15" s="101">
        <v>3.18</v>
      </c>
      <c r="K15" s="101">
        <v>3.18</v>
      </c>
      <c r="L15" s="101">
        <v>0</v>
      </c>
      <c r="M15" s="101">
        <v>0</v>
      </c>
      <c r="N15" s="101">
        <v>0</v>
      </c>
      <c r="O15" s="101">
        <v>0</v>
      </c>
      <c r="P15" s="93">
        <v>0</v>
      </c>
      <c r="Q15" s="101">
        <v>0</v>
      </c>
      <c r="R15" s="101">
        <v>0</v>
      </c>
      <c r="S15" s="101">
        <v>0</v>
      </c>
      <c r="T15" s="101">
        <v>0</v>
      </c>
      <c r="U15" s="101">
        <v>0</v>
      </c>
      <c r="V15" s="101">
        <v>0</v>
      </c>
      <c r="W15" s="101">
        <v>0</v>
      </c>
      <c r="X15" s="101">
        <v>0</v>
      </c>
      <c r="Y15" s="101">
        <v>0</v>
      </c>
      <c r="Z15" s="101">
        <v>0</v>
      </c>
      <c r="AA15" s="101">
        <v>0</v>
      </c>
      <c r="AB15" s="101">
        <v>0</v>
      </c>
      <c r="AC15" s="101">
        <v>0</v>
      </c>
      <c r="AD15" s="101">
        <v>0</v>
      </c>
      <c r="AE15" s="186">
        <v>0.08</v>
      </c>
      <c r="AF15" s="93">
        <v>0</v>
      </c>
      <c r="AG15" s="93">
        <v>40</v>
      </c>
      <c r="AH15" s="93">
        <v>40</v>
      </c>
      <c r="AI15" s="16">
        <v>1</v>
      </c>
      <c r="AJ15" s="16" t="s">
        <v>660</v>
      </c>
      <c r="AK15" s="16" t="s">
        <v>672</v>
      </c>
      <c r="AL15" s="16"/>
      <c r="AM15" s="60"/>
      <c r="AN15" s="60"/>
      <c r="AO15" s="60"/>
      <c r="AP15" s="60"/>
      <c r="AQ15" s="60"/>
      <c r="AR15" s="60"/>
      <c r="AS15" s="63"/>
      <c r="AT15" s="63"/>
      <c r="AU15" s="63"/>
      <c r="AV15" s="131"/>
      <c r="AW15" s="131"/>
      <c r="AX15" s="131"/>
      <c r="AY15" s="27" t="s">
        <v>662</v>
      </c>
      <c r="AZ15" s="27"/>
      <c r="BA15" s="27"/>
      <c r="BB15" s="30"/>
      <c r="BC15" s="30"/>
      <c r="BD15" s="30"/>
      <c r="BE15" s="30"/>
      <c r="BF15" s="30"/>
      <c r="BG15" s="30"/>
      <c r="BH15" s="107"/>
      <c r="BI15" s="107"/>
      <c r="BJ15" s="107"/>
      <c r="BK15" s="107"/>
      <c r="BL15" s="136">
        <v>1</v>
      </c>
      <c r="BM15" s="122"/>
      <c r="BN15" s="138">
        <f>IF(SUM(CB14:CB15)&lt;DL15,CB15,MAX(DL15-SUM(CB14:CB14),0))</f>
        <v>1270</v>
      </c>
      <c r="BO15" s="186"/>
      <c r="BP15" s="186"/>
      <c r="BQ15" s="186"/>
      <c r="BR15" s="186"/>
      <c r="BS15" s="186"/>
      <c r="BT15" s="186"/>
      <c r="BU15" s="27">
        <v>870</v>
      </c>
      <c r="BV15" s="27"/>
      <c r="BW15" s="27"/>
      <c r="BX15" s="27"/>
      <c r="BY15" s="27"/>
      <c r="BZ15" s="27"/>
      <c r="CA15" s="27"/>
      <c r="CB15" s="97">
        <v>1270</v>
      </c>
      <c r="CC15" s="185">
        <f t="shared" si="2"/>
        <v>3525.4610574189883</v>
      </c>
      <c r="CD15" s="185">
        <f t="shared" si="3"/>
        <v>3604.2444570778853</v>
      </c>
      <c r="CE15" s="185">
        <f t="shared" si="4"/>
        <v>3646.5184764070495</v>
      </c>
      <c r="CF15" s="185">
        <f t="shared" si="5"/>
        <v>3663.0437748720865</v>
      </c>
      <c r="CG15" s="185">
        <f t="shared" si="6"/>
        <v>3659.008527572485</v>
      </c>
      <c r="CH15" s="185">
        <f t="shared" si="7"/>
        <v>3642.867538374076</v>
      </c>
      <c r="CI15" s="173"/>
      <c r="CJ15" s="173"/>
      <c r="CK15" s="173"/>
      <c r="CL15" s="173"/>
      <c r="CM15" s="173"/>
      <c r="CN15" s="173"/>
      <c r="CO15" s="173"/>
      <c r="CP15" s="174"/>
      <c r="CQ15" s="174"/>
      <c r="CR15" s="174"/>
      <c r="CS15" s="174"/>
      <c r="CT15" s="174"/>
      <c r="CU15" s="174"/>
      <c r="CV15" s="174"/>
      <c r="CW15" s="165"/>
      <c r="CX15" s="166"/>
      <c r="CY15" s="166">
        <v>1</v>
      </c>
      <c r="CZ15" s="166">
        <v>1</v>
      </c>
      <c r="DA15" s="166">
        <v>1</v>
      </c>
      <c r="DB15" s="166">
        <v>1</v>
      </c>
      <c r="DC15" s="166">
        <v>1</v>
      </c>
      <c r="DD15" s="171"/>
      <c r="DE15" s="171"/>
      <c r="DF15" s="171"/>
      <c r="DG15" s="171"/>
      <c r="DH15" s="171"/>
      <c r="DI15" s="171"/>
      <c r="DJ15" s="171"/>
      <c r="DK15" s="79" t="s">
        <v>687</v>
      </c>
      <c r="DL15" s="128">
        <f>VLOOKUP($F15,Activities!$A$9:$I$180,3,FALSE)/$AI15</f>
        <v>3380</v>
      </c>
      <c r="DM15" s="128">
        <f>VLOOKUP($F15,Activities!$A$9:$I$180,4,FALSE)/$AI15</f>
        <v>3525.4610574189883</v>
      </c>
      <c r="DN15" s="128">
        <f>VLOOKUP($F15,Activities!$A$9:$I$180,5,FALSE)/$AI15</f>
        <v>3604.2444570778853</v>
      </c>
      <c r="DO15" s="128">
        <f>VLOOKUP($F15,Activities!$A$9:$I$180,6,FALSE)/$AI15</f>
        <v>3646.5184764070495</v>
      </c>
      <c r="DP15" s="128">
        <f>VLOOKUP($F15,Activities!$A$9:$I$180,7,FALSE)/$AI15</f>
        <v>3663.0437748720865</v>
      </c>
      <c r="DQ15" s="128">
        <f>VLOOKUP($F15,Activities!$A$9:$I$180,8,FALSE)/$AI15</f>
        <v>3659.008527572485</v>
      </c>
      <c r="DR15" s="128">
        <f>VLOOKUP($F15,Activities!$A$9:$I$180,9,FALSE)/$AI15</f>
        <v>3642.867538374076</v>
      </c>
      <c r="DS15" s="218"/>
      <c r="DT15" s="360"/>
      <c r="DU15" s="360"/>
      <c r="DV15" s="360"/>
      <c r="DW15" s="360"/>
      <c r="DX15" s="360"/>
      <c r="DY15" s="360"/>
      <c r="DZ15" s="360"/>
      <c r="EA15" s="360"/>
      <c r="EB15" s="360"/>
      <c r="EC15" s="360"/>
      <c r="ED15" s="360"/>
      <c r="EE15" s="360"/>
      <c r="EF15" s="360"/>
      <c r="EG15" s="360"/>
      <c r="EH15" s="360"/>
      <c r="EI15" s="360"/>
      <c r="EJ15" s="360"/>
      <c r="EK15" s="360"/>
      <c r="EL15" s="360"/>
      <c r="EM15" s="360"/>
      <c r="EN15" s="360"/>
      <c r="EO15" s="360"/>
      <c r="EP15" s="360"/>
      <c r="EQ15" s="360"/>
    </row>
    <row r="16" spans="1:147" x14ac:dyDescent="0.35">
      <c r="A16" s="6" t="s">
        <v>688</v>
      </c>
      <c r="B16" s="6" t="s">
        <v>654</v>
      </c>
      <c r="C16" s="6" t="s">
        <v>655</v>
      </c>
      <c r="D16" s="6" t="s">
        <v>656</v>
      </c>
      <c r="E16" s="6" t="s">
        <v>683</v>
      </c>
      <c r="F16" s="6" t="s">
        <v>323</v>
      </c>
      <c r="G16" s="48" t="s">
        <v>689</v>
      </c>
      <c r="H16" s="48" t="s">
        <v>671</v>
      </c>
      <c r="I16" s="102">
        <v>9.7100000000000009</v>
      </c>
      <c r="J16" s="102">
        <v>9.7100000000000009</v>
      </c>
      <c r="K16" s="102">
        <v>9.7100000000000009</v>
      </c>
      <c r="L16" s="102">
        <v>6.5</v>
      </c>
      <c r="M16" s="102">
        <v>6.5</v>
      </c>
      <c r="N16" s="102">
        <v>0</v>
      </c>
      <c r="O16" s="102">
        <v>0</v>
      </c>
      <c r="P16" s="94">
        <v>0</v>
      </c>
      <c r="Q16" s="102">
        <v>0</v>
      </c>
      <c r="R16" s="102">
        <v>0</v>
      </c>
      <c r="S16" s="102">
        <v>0</v>
      </c>
      <c r="T16" s="102">
        <v>0</v>
      </c>
      <c r="U16" s="102">
        <v>0</v>
      </c>
      <c r="V16" s="102">
        <v>0</v>
      </c>
      <c r="W16" s="102">
        <v>0</v>
      </c>
      <c r="X16" s="102">
        <v>0</v>
      </c>
      <c r="Y16" s="102">
        <v>0</v>
      </c>
      <c r="Z16" s="102">
        <v>0</v>
      </c>
      <c r="AA16" s="102">
        <v>0</v>
      </c>
      <c r="AB16" s="102">
        <v>0</v>
      </c>
      <c r="AC16" s="102">
        <v>0</v>
      </c>
      <c r="AD16" s="102">
        <v>0</v>
      </c>
      <c r="AE16" s="186">
        <v>0.08</v>
      </c>
      <c r="AF16" s="94">
        <v>0</v>
      </c>
      <c r="AG16" s="94">
        <v>40</v>
      </c>
      <c r="AH16" s="94">
        <v>40</v>
      </c>
      <c r="AI16" s="17">
        <v>1</v>
      </c>
      <c r="AJ16" s="17" t="s">
        <v>660</v>
      </c>
      <c r="AK16" s="17" t="s">
        <v>672</v>
      </c>
      <c r="AL16" s="17"/>
      <c r="AM16" s="61"/>
      <c r="AN16" s="61"/>
      <c r="AO16" s="61"/>
      <c r="AP16" s="61"/>
      <c r="AQ16" s="61"/>
      <c r="AR16" s="61"/>
      <c r="AS16" s="64"/>
      <c r="AT16" s="64"/>
      <c r="AU16" s="64"/>
      <c r="AV16" s="132"/>
      <c r="AW16" s="132"/>
      <c r="AX16" s="132"/>
      <c r="AY16" s="28" t="s">
        <v>662</v>
      </c>
      <c r="AZ16" s="28"/>
      <c r="BA16" s="28"/>
      <c r="BB16" s="28"/>
      <c r="BC16" s="28"/>
      <c r="BD16" s="28"/>
      <c r="BE16" s="28"/>
      <c r="BF16" s="28"/>
      <c r="BG16" s="28"/>
      <c r="BH16" s="106"/>
      <c r="BI16" s="106"/>
      <c r="BJ16" s="106"/>
      <c r="BK16" s="106"/>
      <c r="BL16" s="136">
        <v>1</v>
      </c>
      <c r="BM16" s="123"/>
      <c r="BN16" s="138">
        <f>IF(SUM(CB14:CB16)&lt;DL16,CB16,MAX(DL16-SUM(CB14:CB15),0))</f>
        <v>110</v>
      </c>
      <c r="BO16" s="186"/>
      <c r="BP16" s="186"/>
      <c r="BQ16" s="186"/>
      <c r="BR16" s="186"/>
      <c r="BS16" s="186"/>
      <c r="BT16" s="186"/>
      <c r="BU16" s="28">
        <v>500</v>
      </c>
      <c r="BV16" s="28"/>
      <c r="BW16" s="28"/>
      <c r="BX16" s="28"/>
      <c r="BY16" s="28"/>
      <c r="BZ16" s="28"/>
      <c r="CA16" s="28"/>
      <c r="CB16" s="99">
        <v>840</v>
      </c>
      <c r="CC16" s="185">
        <f t="shared" si="2"/>
        <v>3525.4610574189883</v>
      </c>
      <c r="CD16" s="185">
        <f t="shared" si="3"/>
        <v>3604.2444570778853</v>
      </c>
      <c r="CE16" s="185">
        <f t="shared" si="4"/>
        <v>3646.5184764070495</v>
      </c>
      <c r="CF16" s="185">
        <f t="shared" si="5"/>
        <v>3663.0437748720865</v>
      </c>
      <c r="CG16" s="185">
        <f t="shared" si="6"/>
        <v>3659.008527572485</v>
      </c>
      <c r="CH16" s="185">
        <f t="shared" si="7"/>
        <v>3642.867538374076</v>
      </c>
      <c r="CI16" s="175"/>
      <c r="CJ16" s="175"/>
      <c r="CK16" s="175"/>
      <c r="CL16" s="175"/>
      <c r="CM16" s="175"/>
      <c r="CN16" s="175"/>
      <c r="CO16" s="175"/>
      <c r="CP16" s="176"/>
      <c r="CQ16" s="176"/>
      <c r="CR16" s="176"/>
      <c r="CS16" s="176"/>
      <c r="CT16" s="176"/>
      <c r="CU16" s="176"/>
      <c r="CV16" s="176"/>
      <c r="CW16" s="167"/>
      <c r="CX16" s="168"/>
      <c r="CY16" s="168"/>
      <c r="CZ16" s="168">
        <v>1</v>
      </c>
      <c r="DA16" s="168">
        <v>1</v>
      </c>
      <c r="DB16" s="168">
        <v>1</v>
      </c>
      <c r="DC16" s="168">
        <v>1</v>
      </c>
      <c r="DD16" s="172"/>
      <c r="DE16" s="172"/>
      <c r="DF16" s="172"/>
      <c r="DG16" s="172"/>
      <c r="DH16" s="172"/>
      <c r="DI16" s="172"/>
      <c r="DJ16" s="172"/>
      <c r="DK16" s="80" t="s">
        <v>687</v>
      </c>
      <c r="DL16" s="129">
        <f>VLOOKUP($F16,Activities!$A$9:$I$180,3,FALSE)/$AI16</f>
        <v>3380</v>
      </c>
      <c r="DM16" s="129">
        <f>VLOOKUP($F16,Activities!$A$9:$I$180,4,FALSE)/$AI16</f>
        <v>3525.4610574189883</v>
      </c>
      <c r="DN16" s="129">
        <f>VLOOKUP($F16,Activities!$A$9:$I$180,5,FALSE)/$AI16</f>
        <v>3604.2444570778853</v>
      </c>
      <c r="DO16" s="129">
        <f>VLOOKUP($F16,Activities!$A$9:$I$180,6,FALSE)/$AI16</f>
        <v>3646.5184764070495</v>
      </c>
      <c r="DP16" s="129">
        <f>VLOOKUP($F16,Activities!$A$9:$I$180,7,FALSE)/$AI16</f>
        <v>3663.0437748720865</v>
      </c>
      <c r="DQ16" s="129">
        <f>VLOOKUP($F16,Activities!$A$9:$I$180,8,FALSE)/$AI16</f>
        <v>3659.008527572485</v>
      </c>
      <c r="DR16" s="129">
        <f>VLOOKUP($F16,Activities!$A$9:$I$180,9,FALSE)/$AI16</f>
        <v>3642.867538374076</v>
      </c>
      <c r="DS16" s="218"/>
      <c r="DT16" s="360"/>
      <c r="DU16" s="360"/>
      <c r="DV16" s="360"/>
      <c r="DW16" s="360"/>
      <c r="DX16" s="360"/>
      <c r="DY16" s="360"/>
      <c r="DZ16" s="360"/>
      <c r="EA16" s="360"/>
      <c r="EB16" s="360"/>
      <c r="EC16" s="360"/>
      <c r="ED16" s="360"/>
      <c r="EE16" s="360"/>
      <c r="EF16" s="360"/>
      <c r="EG16" s="360"/>
      <c r="EH16" s="360"/>
      <c r="EI16" s="360"/>
      <c r="EJ16" s="360"/>
      <c r="EK16" s="360"/>
      <c r="EL16" s="360"/>
      <c r="EM16" s="360"/>
      <c r="EN16" s="360"/>
      <c r="EO16" s="360"/>
      <c r="EP16" s="360"/>
      <c r="EQ16" s="360"/>
    </row>
    <row r="17" spans="1:147" x14ac:dyDescent="0.35">
      <c r="A17" s="5" t="s">
        <v>690</v>
      </c>
      <c r="B17" s="5" t="s">
        <v>654</v>
      </c>
      <c r="C17" s="5" t="s">
        <v>655</v>
      </c>
      <c r="D17" s="5" t="s">
        <v>656</v>
      </c>
      <c r="E17" s="5" t="s">
        <v>683</v>
      </c>
      <c r="F17" s="5" t="s">
        <v>323</v>
      </c>
      <c r="G17" s="47" t="s">
        <v>691</v>
      </c>
      <c r="H17" s="47" t="s">
        <v>671</v>
      </c>
      <c r="I17" s="101">
        <v>12.9</v>
      </c>
      <c r="J17" s="101">
        <v>12.57</v>
      </c>
      <c r="K17" s="101">
        <v>12.25</v>
      </c>
      <c r="L17" s="101">
        <v>8.6999999999999993</v>
      </c>
      <c r="M17" s="101">
        <v>8.4</v>
      </c>
      <c r="N17" s="101">
        <v>1.9</v>
      </c>
      <c r="O17" s="101">
        <v>1.9</v>
      </c>
      <c r="P17" s="93">
        <v>0</v>
      </c>
      <c r="Q17" s="101">
        <v>0</v>
      </c>
      <c r="R17" s="101">
        <v>0</v>
      </c>
      <c r="S17" s="101">
        <v>0</v>
      </c>
      <c r="T17" s="101">
        <v>0</v>
      </c>
      <c r="U17" s="101">
        <v>0</v>
      </c>
      <c r="V17" s="101">
        <v>0</v>
      </c>
      <c r="W17" s="101">
        <v>0</v>
      </c>
      <c r="X17" s="101">
        <v>0</v>
      </c>
      <c r="Y17" s="101">
        <v>0</v>
      </c>
      <c r="Z17" s="101">
        <v>0</v>
      </c>
      <c r="AA17" s="101">
        <v>0</v>
      </c>
      <c r="AB17" s="101">
        <v>0</v>
      </c>
      <c r="AC17" s="101">
        <v>0</v>
      </c>
      <c r="AD17" s="101">
        <v>0</v>
      </c>
      <c r="AE17" s="186">
        <v>0.08</v>
      </c>
      <c r="AF17" s="93">
        <v>0</v>
      </c>
      <c r="AG17" s="93">
        <v>40</v>
      </c>
      <c r="AH17" s="93">
        <v>40</v>
      </c>
      <c r="AI17" s="16">
        <v>1</v>
      </c>
      <c r="AJ17" s="16" t="s">
        <v>660</v>
      </c>
      <c r="AK17" s="16" t="s">
        <v>672</v>
      </c>
      <c r="AL17" s="16"/>
      <c r="AM17" s="60"/>
      <c r="AN17" s="60"/>
      <c r="AO17" s="60"/>
      <c r="AP17" s="60"/>
      <c r="AQ17" s="60"/>
      <c r="AR17" s="60"/>
      <c r="AS17" s="63"/>
      <c r="AT17" s="63"/>
      <c r="AU17" s="63"/>
      <c r="AV17" s="131"/>
      <c r="AW17" s="131"/>
      <c r="AX17" s="131"/>
      <c r="AY17" s="27" t="s">
        <v>662</v>
      </c>
      <c r="AZ17" s="27"/>
      <c r="BA17" s="27"/>
      <c r="BB17" s="30"/>
      <c r="BC17" s="30"/>
      <c r="BD17" s="30"/>
      <c r="BE17" s="30"/>
      <c r="BF17" s="30"/>
      <c r="BG17" s="30"/>
      <c r="BH17" s="107"/>
      <c r="BI17" s="107"/>
      <c r="BJ17" s="107"/>
      <c r="BK17" s="107"/>
      <c r="BL17" s="136"/>
      <c r="BM17" s="122"/>
      <c r="BN17" s="138">
        <f>IF(SUM(CB14:CB17)&lt;DL17,CB17,MAX(DL17-SUM(CB14:CB16),0))</f>
        <v>0</v>
      </c>
      <c r="BO17" s="186"/>
      <c r="BP17" s="186"/>
      <c r="BQ17" s="186"/>
      <c r="BR17" s="186"/>
      <c r="BS17" s="186"/>
      <c r="BT17" s="186"/>
      <c r="BU17" s="27">
        <f t="shared" si="1"/>
        <v>0</v>
      </c>
      <c r="BV17" s="27"/>
      <c r="BW17" s="27"/>
      <c r="BX17" s="27"/>
      <c r="BY17" s="27"/>
      <c r="BZ17" s="27"/>
      <c r="CA17" s="27"/>
      <c r="CB17" s="97">
        <v>380</v>
      </c>
      <c r="CC17" s="185">
        <f t="shared" si="2"/>
        <v>3525.4610574189883</v>
      </c>
      <c r="CD17" s="185">
        <f t="shared" si="3"/>
        <v>3604.2444570778853</v>
      </c>
      <c r="CE17" s="185">
        <f t="shared" si="4"/>
        <v>3646.5184764070495</v>
      </c>
      <c r="CF17" s="185">
        <f t="shared" si="5"/>
        <v>3663.0437748720865</v>
      </c>
      <c r="CG17" s="185">
        <f t="shared" si="6"/>
        <v>3659.008527572485</v>
      </c>
      <c r="CH17" s="185">
        <f t="shared" si="7"/>
        <v>3642.867538374076</v>
      </c>
      <c r="CI17" s="173"/>
      <c r="CJ17" s="173"/>
      <c r="CK17" s="173"/>
      <c r="CL17" s="173"/>
      <c r="CM17" s="173"/>
      <c r="CN17" s="173"/>
      <c r="CO17" s="173"/>
      <c r="CP17" s="174"/>
      <c r="CQ17" s="174"/>
      <c r="CR17" s="174"/>
      <c r="CS17" s="174"/>
      <c r="CT17" s="174"/>
      <c r="CU17" s="174"/>
      <c r="CV17" s="174"/>
      <c r="CW17" s="165"/>
      <c r="CX17" s="166"/>
      <c r="CY17" s="166"/>
      <c r="CZ17" s="166"/>
      <c r="DA17" s="166"/>
      <c r="DB17" s="166"/>
      <c r="DC17" s="166"/>
      <c r="DD17" s="171"/>
      <c r="DE17" s="171"/>
      <c r="DF17" s="171">
        <v>1</v>
      </c>
      <c r="DG17" s="171">
        <v>1</v>
      </c>
      <c r="DH17" s="171">
        <v>1</v>
      </c>
      <c r="DI17" s="171">
        <v>1</v>
      </c>
      <c r="DJ17" s="171">
        <v>1</v>
      </c>
      <c r="DK17" s="79" t="s">
        <v>687</v>
      </c>
      <c r="DL17" s="128">
        <f>VLOOKUP($F17,Activities!$A$9:$I$180,3,FALSE)/$AI17</f>
        <v>3380</v>
      </c>
      <c r="DM17" s="128">
        <f>VLOOKUP($F17,Activities!$A$9:$I$180,4,FALSE)/$AI17</f>
        <v>3525.4610574189883</v>
      </c>
      <c r="DN17" s="128">
        <f>VLOOKUP($F17,Activities!$A$9:$I$180,5,FALSE)/$AI17</f>
        <v>3604.2444570778853</v>
      </c>
      <c r="DO17" s="128">
        <f>VLOOKUP($F17,Activities!$A$9:$I$180,6,FALSE)/$AI17</f>
        <v>3646.5184764070495</v>
      </c>
      <c r="DP17" s="128">
        <f>VLOOKUP($F17,Activities!$A$9:$I$180,7,FALSE)/$AI17</f>
        <v>3663.0437748720865</v>
      </c>
      <c r="DQ17" s="128">
        <f>VLOOKUP($F17,Activities!$A$9:$I$180,8,FALSE)/$AI17</f>
        <v>3659.008527572485</v>
      </c>
      <c r="DR17" s="128">
        <f>VLOOKUP($F17,Activities!$A$9:$I$180,9,FALSE)/$AI17</f>
        <v>3642.867538374076</v>
      </c>
      <c r="DS17" s="218"/>
      <c r="DT17" s="360"/>
      <c r="DU17" s="360"/>
      <c r="DV17" s="360"/>
      <c r="DW17" s="360"/>
      <c r="DX17" s="360"/>
      <c r="DY17" s="360"/>
      <c r="DZ17" s="360"/>
      <c r="EA17" s="360"/>
      <c r="EB17" s="360"/>
      <c r="EC17" s="360"/>
      <c r="ED17" s="360"/>
      <c r="EE17" s="360"/>
      <c r="EF17" s="360"/>
      <c r="EG17" s="360"/>
      <c r="EH17" s="360"/>
      <c r="EI17" s="360"/>
      <c r="EJ17" s="360"/>
      <c r="EK17" s="360"/>
      <c r="EL17" s="360"/>
      <c r="EM17" s="360"/>
      <c r="EN17" s="360"/>
      <c r="EO17" s="360"/>
      <c r="EP17" s="360"/>
      <c r="EQ17" s="360"/>
    </row>
    <row r="18" spans="1:147" x14ac:dyDescent="0.35">
      <c r="A18" s="6" t="s">
        <v>692</v>
      </c>
      <c r="B18" s="6" t="s">
        <v>654</v>
      </c>
      <c r="C18" s="6" t="s">
        <v>655</v>
      </c>
      <c r="D18" s="6" t="s">
        <v>656</v>
      </c>
      <c r="E18" s="6" t="s">
        <v>683</v>
      </c>
      <c r="F18" s="6" t="s">
        <v>323</v>
      </c>
      <c r="G18" s="48" t="s">
        <v>693</v>
      </c>
      <c r="H18" s="48" t="s">
        <v>671</v>
      </c>
      <c r="I18" s="102">
        <v>15.69</v>
      </c>
      <c r="J18" s="102">
        <v>14.91</v>
      </c>
      <c r="K18" s="102">
        <v>14.12</v>
      </c>
      <c r="L18" s="102">
        <v>10.199999999999999</v>
      </c>
      <c r="M18" s="102">
        <v>9.5</v>
      </c>
      <c r="N18" s="102">
        <v>3</v>
      </c>
      <c r="O18" s="102">
        <v>2.5</v>
      </c>
      <c r="P18" s="94">
        <v>0</v>
      </c>
      <c r="Q18" s="102">
        <v>0</v>
      </c>
      <c r="R18" s="102">
        <v>0</v>
      </c>
      <c r="S18" s="102">
        <v>0</v>
      </c>
      <c r="T18" s="102">
        <v>0</v>
      </c>
      <c r="U18" s="102">
        <v>0</v>
      </c>
      <c r="V18" s="102">
        <v>0</v>
      </c>
      <c r="W18" s="102">
        <v>0</v>
      </c>
      <c r="X18" s="102">
        <v>0</v>
      </c>
      <c r="Y18" s="102">
        <v>0</v>
      </c>
      <c r="Z18" s="102">
        <v>0</v>
      </c>
      <c r="AA18" s="102">
        <v>0</v>
      </c>
      <c r="AB18" s="102">
        <v>0</v>
      </c>
      <c r="AC18" s="102">
        <v>0</v>
      </c>
      <c r="AD18" s="102">
        <v>0</v>
      </c>
      <c r="AE18" s="186">
        <v>0.08</v>
      </c>
      <c r="AF18" s="94">
        <v>0</v>
      </c>
      <c r="AG18" s="94">
        <v>40</v>
      </c>
      <c r="AH18" s="94">
        <v>40</v>
      </c>
      <c r="AI18" s="17">
        <v>1</v>
      </c>
      <c r="AJ18" s="17" t="s">
        <v>660</v>
      </c>
      <c r="AK18" s="17" t="s">
        <v>672</v>
      </c>
      <c r="AL18" s="17"/>
      <c r="AM18" s="61"/>
      <c r="AN18" s="61"/>
      <c r="AO18" s="61"/>
      <c r="AP18" s="61"/>
      <c r="AQ18" s="61"/>
      <c r="AR18" s="61"/>
      <c r="AS18" s="64"/>
      <c r="AT18" s="64"/>
      <c r="AU18" s="64"/>
      <c r="AV18" s="132"/>
      <c r="AW18" s="132"/>
      <c r="AX18" s="132"/>
      <c r="AY18" s="28" t="s">
        <v>662</v>
      </c>
      <c r="AZ18" s="28"/>
      <c r="BA18" s="28"/>
      <c r="BB18" s="28"/>
      <c r="BC18" s="28"/>
      <c r="BD18" s="28"/>
      <c r="BE18" s="28"/>
      <c r="BF18" s="28"/>
      <c r="BG18" s="28"/>
      <c r="BH18" s="106"/>
      <c r="BI18" s="106"/>
      <c r="BJ18" s="106"/>
      <c r="BK18" s="106"/>
      <c r="BL18" s="137"/>
      <c r="BM18" s="123"/>
      <c r="BN18" s="138">
        <f>IF(SUM(CB14:CB18)&lt;DL18,CB18,MAX(DL18-SUM(CB14:CB17),0))</f>
        <v>0</v>
      </c>
      <c r="BO18" s="186"/>
      <c r="BP18" s="186"/>
      <c r="BQ18" s="186"/>
      <c r="BR18" s="186"/>
      <c r="BS18" s="186"/>
      <c r="BT18" s="186"/>
      <c r="BU18" s="28">
        <f t="shared" si="1"/>
        <v>0</v>
      </c>
      <c r="BV18" s="28"/>
      <c r="BW18" s="28"/>
      <c r="BX18" s="28"/>
      <c r="BY18" s="28"/>
      <c r="BZ18" s="28"/>
      <c r="CA18" s="28"/>
      <c r="CB18" s="99">
        <v>120</v>
      </c>
      <c r="CC18" s="185">
        <f t="shared" si="2"/>
        <v>3525.4610574189883</v>
      </c>
      <c r="CD18" s="185">
        <f t="shared" si="3"/>
        <v>3604.2444570778853</v>
      </c>
      <c r="CE18" s="185">
        <f t="shared" si="4"/>
        <v>3646.5184764070495</v>
      </c>
      <c r="CF18" s="185">
        <f t="shared" si="5"/>
        <v>3663.0437748720865</v>
      </c>
      <c r="CG18" s="185">
        <f t="shared" si="6"/>
        <v>3659.008527572485</v>
      </c>
      <c r="CH18" s="185">
        <f t="shared" si="7"/>
        <v>3642.867538374076</v>
      </c>
      <c r="CI18" s="175"/>
      <c r="CJ18" s="175"/>
      <c r="CK18" s="175"/>
      <c r="CL18" s="175"/>
      <c r="CM18" s="175"/>
      <c r="CN18" s="175"/>
      <c r="CO18" s="175"/>
      <c r="CP18" s="176"/>
      <c r="CQ18" s="176"/>
      <c r="CR18" s="176"/>
      <c r="CS18" s="176"/>
      <c r="CT18" s="176"/>
      <c r="CU18" s="176"/>
      <c r="CV18" s="176"/>
      <c r="CW18" s="167"/>
      <c r="CX18" s="168"/>
      <c r="CY18" s="168"/>
      <c r="CZ18" s="168"/>
      <c r="DA18" s="168"/>
      <c r="DB18" s="168"/>
      <c r="DC18" s="168"/>
      <c r="DD18" s="172"/>
      <c r="DE18" s="172"/>
      <c r="DF18" s="172">
        <v>1</v>
      </c>
      <c r="DG18" s="172">
        <v>1</v>
      </c>
      <c r="DH18" s="172">
        <v>1</v>
      </c>
      <c r="DI18" s="172">
        <v>1</v>
      </c>
      <c r="DJ18" s="172">
        <v>1</v>
      </c>
      <c r="DK18" s="80" t="s">
        <v>687</v>
      </c>
      <c r="DL18" s="129">
        <f>VLOOKUP($F18,Activities!$A$9:$I$180,3,FALSE)/$AI18</f>
        <v>3380</v>
      </c>
      <c r="DM18" s="129">
        <f>VLOOKUP($F18,Activities!$A$9:$I$180,4,FALSE)/$AI18</f>
        <v>3525.4610574189883</v>
      </c>
      <c r="DN18" s="129">
        <f>VLOOKUP($F18,Activities!$A$9:$I$180,5,FALSE)/$AI18</f>
        <v>3604.2444570778853</v>
      </c>
      <c r="DO18" s="129">
        <f>VLOOKUP($F18,Activities!$A$9:$I$180,6,FALSE)/$AI18</f>
        <v>3646.5184764070495</v>
      </c>
      <c r="DP18" s="129">
        <f>VLOOKUP($F18,Activities!$A$9:$I$180,7,FALSE)/$AI18</f>
        <v>3663.0437748720865</v>
      </c>
      <c r="DQ18" s="129">
        <f>VLOOKUP($F18,Activities!$A$9:$I$180,8,FALSE)/$AI18</f>
        <v>3659.008527572485</v>
      </c>
      <c r="DR18" s="129">
        <f>VLOOKUP($F18,Activities!$A$9:$I$180,9,FALSE)/$AI18</f>
        <v>3642.867538374076</v>
      </c>
      <c r="DS18" s="218"/>
      <c r="DT18" s="360"/>
      <c r="DU18" s="360"/>
      <c r="DV18" s="360"/>
      <c r="DW18" s="360"/>
      <c r="DX18" s="360"/>
      <c r="DY18" s="360"/>
      <c r="DZ18" s="360"/>
      <c r="EA18" s="360"/>
      <c r="EB18" s="360"/>
      <c r="EC18" s="360"/>
      <c r="ED18" s="360"/>
      <c r="EE18" s="360"/>
      <c r="EF18" s="360"/>
      <c r="EG18" s="360"/>
      <c r="EH18" s="360"/>
      <c r="EI18" s="360"/>
      <c r="EJ18" s="360"/>
      <c r="EK18" s="360"/>
      <c r="EL18" s="360"/>
      <c r="EM18" s="360"/>
      <c r="EN18" s="360"/>
      <c r="EO18" s="360"/>
      <c r="EP18" s="360"/>
      <c r="EQ18" s="360"/>
    </row>
    <row r="19" spans="1:147" x14ac:dyDescent="0.35">
      <c r="A19" s="5" t="s">
        <v>694</v>
      </c>
      <c r="B19" s="5" t="s">
        <v>654</v>
      </c>
      <c r="C19" s="5" t="s">
        <v>655</v>
      </c>
      <c r="D19" s="5" t="s">
        <v>656</v>
      </c>
      <c r="E19" s="5" t="s">
        <v>695</v>
      </c>
      <c r="F19" s="5" t="s">
        <v>324</v>
      </c>
      <c r="G19" s="47" t="s">
        <v>696</v>
      </c>
      <c r="H19" s="47" t="s">
        <v>671</v>
      </c>
      <c r="I19" s="101">
        <v>0</v>
      </c>
      <c r="J19" s="101">
        <v>0</v>
      </c>
      <c r="K19" s="101">
        <v>0</v>
      </c>
      <c r="L19" s="101">
        <v>0</v>
      </c>
      <c r="M19" s="101">
        <v>0</v>
      </c>
      <c r="N19" s="101">
        <v>0</v>
      </c>
      <c r="O19" s="101">
        <v>0</v>
      </c>
      <c r="P19" s="93">
        <v>0</v>
      </c>
      <c r="Q19" s="101">
        <v>0</v>
      </c>
      <c r="R19" s="101">
        <v>0</v>
      </c>
      <c r="S19" s="101">
        <v>0</v>
      </c>
      <c r="T19" s="101">
        <v>0</v>
      </c>
      <c r="U19" s="101">
        <v>0</v>
      </c>
      <c r="V19" s="101">
        <v>0</v>
      </c>
      <c r="W19" s="101">
        <v>0</v>
      </c>
      <c r="X19" s="101">
        <v>0</v>
      </c>
      <c r="Y19" s="101">
        <v>0</v>
      </c>
      <c r="Z19" s="101">
        <v>0</v>
      </c>
      <c r="AA19" s="101">
        <v>0</v>
      </c>
      <c r="AB19" s="101">
        <v>0</v>
      </c>
      <c r="AC19" s="101">
        <v>0</v>
      </c>
      <c r="AD19" s="101">
        <v>0</v>
      </c>
      <c r="AE19" s="186">
        <v>0.08</v>
      </c>
      <c r="AF19" s="93">
        <v>0</v>
      </c>
      <c r="AG19" s="93">
        <v>40</v>
      </c>
      <c r="AH19" s="93">
        <v>40</v>
      </c>
      <c r="AI19" s="16">
        <v>1</v>
      </c>
      <c r="AJ19" s="16" t="s">
        <v>660</v>
      </c>
      <c r="AK19" s="16" t="s">
        <v>672</v>
      </c>
      <c r="AL19" s="16"/>
      <c r="AM19" s="60"/>
      <c r="AN19" s="60"/>
      <c r="AO19" s="60"/>
      <c r="AP19" s="60"/>
      <c r="AQ19" s="60"/>
      <c r="AR19" s="60"/>
      <c r="AS19" s="63"/>
      <c r="AT19" s="63"/>
      <c r="AU19" s="63"/>
      <c r="AV19" s="131"/>
      <c r="AW19" s="131"/>
      <c r="AX19" s="131"/>
      <c r="AY19" s="27" t="s">
        <v>662</v>
      </c>
      <c r="AZ19" s="27"/>
      <c r="BA19" s="27"/>
      <c r="BB19" s="30"/>
      <c r="BC19" s="30"/>
      <c r="BD19" s="30"/>
      <c r="BE19" s="30"/>
      <c r="BF19" s="30"/>
      <c r="BG19" s="30"/>
      <c r="BH19" s="107"/>
      <c r="BI19" s="107"/>
      <c r="BJ19" s="107"/>
      <c r="BK19" s="107"/>
      <c r="BL19" s="136">
        <v>1</v>
      </c>
      <c r="BM19" s="122"/>
      <c r="BN19" s="138">
        <f>IF(SUM(CB19:CB19)&lt;DL19,CB19,MAX(DL19-SUM(CB19:CB19),0))</f>
        <v>500</v>
      </c>
      <c r="BO19" s="186"/>
      <c r="BP19" s="186"/>
      <c r="BQ19" s="186"/>
      <c r="BR19" s="186"/>
      <c r="BS19" s="186"/>
      <c r="BT19" s="186"/>
      <c r="BU19" s="27">
        <v>500</v>
      </c>
      <c r="BV19" s="27"/>
      <c r="BW19" s="27"/>
      <c r="BX19" s="27"/>
      <c r="BY19" s="27"/>
      <c r="BZ19" s="27"/>
      <c r="CA19" s="27"/>
      <c r="CB19" s="97">
        <v>500</v>
      </c>
      <c r="CC19" s="97">
        <f t="shared" si="2"/>
        <v>1822.1835702103469</v>
      </c>
      <c r="CD19" s="97">
        <f t="shared" si="3"/>
        <v>1862.9038658328598</v>
      </c>
      <c r="CE19" s="97">
        <f t="shared" si="4"/>
        <v>1884.7537805571349</v>
      </c>
      <c r="CF19" s="97">
        <f t="shared" si="5"/>
        <v>1893.2951108584423</v>
      </c>
      <c r="CG19" s="97">
        <f t="shared" si="6"/>
        <v>1891.2094371802164</v>
      </c>
      <c r="CH19" s="97">
        <f t="shared" si="7"/>
        <v>1882.866742467311</v>
      </c>
      <c r="CI19" s="173"/>
      <c r="CJ19" s="173"/>
      <c r="CK19" s="173"/>
      <c r="CL19" s="173"/>
      <c r="CM19" s="173"/>
      <c r="CN19" s="173"/>
      <c r="CO19" s="173"/>
      <c r="CP19" s="174"/>
      <c r="CQ19" s="174"/>
      <c r="CR19" s="174"/>
      <c r="CS19" s="174"/>
      <c r="CT19" s="174"/>
      <c r="CU19" s="174"/>
      <c r="CV19" s="174"/>
      <c r="CW19" s="165"/>
      <c r="CX19" s="166">
        <v>1</v>
      </c>
      <c r="CY19" s="166">
        <v>1</v>
      </c>
      <c r="CZ19" s="166">
        <v>1</v>
      </c>
      <c r="DA19" s="166">
        <v>1</v>
      </c>
      <c r="DB19" s="166">
        <v>1</v>
      </c>
      <c r="DC19" s="166">
        <v>1</v>
      </c>
      <c r="DD19" s="171"/>
      <c r="DE19" s="171"/>
      <c r="DF19" s="171"/>
      <c r="DG19" s="171"/>
      <c r="DH19" s="171"/>
      <c r="DI19" s="171"/>
      <c r="DJ19" s="171"/>
      <c r="DK19" s="79" t="s">
        <v>687</v>
      </c>
      <c r="DL19" s="128">
        <f>VLOOKUP($F19,Activities!$A$9:$I$180,3,FALSE)/$AI19</f>
        <v>1747</v>
      </c>
      <c r="DM19" s="128">
        <f>VLOOKUP($F19,Activities!$A$9:$I$180,4,FALSE)/$AI19</f>
        <v>1822.1835702103469</v>
      </c>
      <c r="DN19" s="128">
        <f>VLOOKUP($F19,Activities!$A$9:$I$180,5,FALSE)/$AI19</f>
        <v>1862.9038658328598</v>
      </c>
      <c r="DO19" s="128">
        <f>VLOOKUP($F19,Activities!$A$9:$I$180,6,FALSE)/$AI19</f>
        <v>1884.7537805571349</v>
      </c>
      <c r="DP19" s="128">
        <f>VLOOKUP($F19,Activities!$A$9:$I$180,7,FALSE)/$AI19</f>
        <v>1893.2951108584423</v>
      </c>
      <c r="DQ19" s="128">
        <f>VLOOKUP($F19,Activities!$A$9:$I$180,8,FALSE)/$AI19</f>
        <v>1891.2094371802164</v>
      </c>
      <c r="DR19" s="128">
        <f>VLOOKUP($F19,Activities!$A$9:$I$180,9,FALSE)/$AI19</f>
        <v>1882.866742467311</v>
      </c>
      <c r="DS19" s="218"/>
      <c r="DT19" s="360"/>
      <c r="DU19" s="360"/>
      <c r="DV19" s="360"/>
      <c r="DW19" s="360"/>
      <c r="DX19" s="360"/>
      <c r="DY19" s="360"/>
      <c r="DZ19" s="360"/>
      <c r="EA19" s="360"/>
      <c r="EB19" s="360"/>
      <c r="EC19" s="360"/>
      <c r="ED19" s="360"/>
      <c r="EE19" s="360"/>
      <c r="EF19" s="360"/>
      <c r="EG19" s="360"/>
      <c r="EH19" s="360"/>
      <c r="EI19" s="360"/>
      <c r="EJ19" s="360"/>
      <c r="EK19" s="360"/>
      <c r="EL19" s="360"/>
      <c r="EM19" s="360"/>
      <c r="EN19" s="360"/>
      <c r="EO19" s="360"/>
      <c r="EP19" s="360"/>
      <c r="EQ19" s="360"/>
    </row>
    <row r="20" spans="1:147" x14ac:dyDescent="0.35">
      <c r="A20" s="6" t="s">
        <v>697</v>
      </c>
      <c r="B20" s="6" t="s">
        <v>654</v>
      </c>
      <c r="C20" s="6" t="s">
        <v>655</v>
      </c>
      <c r="D20" s="6" t="s">
        <v>656</v>
      </c>
      <c r="E20" s="6" t="s">
        <v>695</v>
      </c>
      <c r="F20" s="6" t="s">
        <v>324</v>
      </c>
      <c r="G20" s="48" t="s">
        <v>698</v>
      </c>
      <c r="H20" s="48" t="s">
        <v>671</v>
      </c>
      <c r="I20" s="102">
        <v>5.6</v>
      </c>
      <c r="J20" s="102">
        <v>5.6</v>
      </c>
      <c r="K20" s="102">
        <v>5.6</v>
      </c>
      <c r="L20" s="102">
        <v>0</v>
      </c>
      <c r="M20" s="102">
        <v>0</v>
      </c>
      <c r="N20" s="102">
        <v>0</v>
      </c>
      <c r="O20" s="102">
        <v>0</v>
      </c>
      <c r="P20" s="94">
        <v>0</v>
      </c>
      <c r="Q20" s="102">
        <v>0</v>
      </c>
      <c r="R20" s="102">
        <v>0</v>
      </c>
      <c r="S20" s="102">
        <v>0</v>
      </c>
      <c r="T20" s="102">
        <v>0</v>
      </c>
      <c r="U20" s="102">
        <v>0</v>
      </c>
      <c r="V20" s="102">
        <v>0</v>
      </c>
      <c r="W20" s="102">
        <v>0</v>
      </c>
      <c r="X20" s="102">
        <v>0</v>
      </c>
      <c r="Y20" s="102">
        <v>0</v>
      </c>
      <c r="Z20" s="102">
        <v>0</v>
      </c>
      <c r="AA20" s="102">
        <v>0</v>
      </c>
      <c r="AB20" s="102">
        <v>0</v>
      </c>
      <c r="AC20" s="102">
        <v>0</v>
      </c>
      <c r="AD20" s="102">
        <v>0</v>
      </c>
      <c r="AE20" s="186">
        <v>0.08</v>
      </c>
      <c r="AF20" s="94">
        <v>0</v>
      </c>
      <c r="AG20" s="94">
        <v>40</v>
      </c>
      <c r="AH20" s="94">
        <v>40</v>
      </c>
      <c r="AI20" s="17">
        <v>1</v>
      </c>
      <c r="AJ20" s="17" t="s">
        <v>660</v>
      </c>
      <c r="AK20" s="17" t="s">
        <v>672</v>
      </c>
      <c r="AL20" s="17"/>
      <c r="AM20" s="61"/>
      <c r="AN20" s="61"/>
      <c r="AO20" s="61"/>
      <c r="AP20" s="61"/>
      <c r="AQ20" s="61"/>
      <c r="AR20" s="61"/>
      <c r="AS20" s="64"/>
      <c r="AT20" s="64"/>
      <c r="AU20" s="64"/>
      <c r="AV20" s="132"/>
      <c r="AW20" s="132"/>
      <c r="AX20" s="132"/>
      <c r="AY20" s="28" t="s">
        <v>662</v>
      </c>
      <c r="AZ20" s="28"/>
      <c r="BA20" s="28"/>
      <c r="BB20" s="28"/>
      <c r="BC20" s="28"/>
      <c r="BD20" s="28"/>
      <c r="BE20" s="28"/>
      <c r="BF20" s="28"/>
      <c r="BG20" s="28"/>
      <c r="BH20" s="106"/>
      <c r="BI20" s="106"/>
      <c r="BJ20" s="106"/>
      <c r="BK20" s="106"/>
      <c r="BL20" s="137">
        <v>1</v>
      </c>
      <c r="BM20" s="123"/>
      <c r="BN20" s="138">
        <v>500</v>
      </c>
      <c r="BO20" s="186"/>
      <c r="BP20" s="186"/>
      <c r="BQ20" s="186"/>
      <c r="BR20" s="186"/>
      <c r="BS20" s="186"/>
      <c r="BT20" s="186"/>
      <c r="BU20" s="28">
        <v>500</v>
      </c>
      <c r="BV20" s="28"/>
      <c r="BW20" s="28"/>
      <c r="BX20" s="28"/>
      <c r="BY20" s="28"/>
      <c r="BZ20" s="28"/>
      <c r="CA20" s="28"/>
      <c r="CB20" s="99">
        <v>810</v>
      </c>
      <c r="CC20" s="185">
        <f t="shared" si="2"/>
        <v>1822.1835702103469</v>
      </c>
      <c r="CD20" s="185">
        <f t="shared" si="3"/>
        <v>1862.9038658328598</v>
      </c>
      <c r="CE20" s="185">
        <f t="shared" si="4"/>
        <v>1884.7537805571349</v>
      </c>
      <c r="CF20" s="185">
        <f t="shared" si="5"/>
        <v>1893.2951108584423</v>
      </c>
      <c r="CG20" s="185">
        <f t="shared" si="6"/>
        <v>1891.2094371802164</v>
      </c>
      <c r="CH20" s="185">
        <f t="shared" si="7"/>
        <v>1882.866742467311</v>
      </c>
      <c r="CI20" s="175"/>
      <c r="CJ20" s="175"/>
      <c r="CK20" s="175"/>
      <c r="CL20" s="175"/>
      <c r="CM20" s="175"/>
      <c r="CN20" s="175"/>
      <c r="CO20" s="175"/>
      <c r="CP20" s="176"/>
      <c r="CQ20" s="176"/>
      <c r="CR20" s="176"/>
      <c r="CS20" s="176"/>
      <c r="CT20" s="176"/>
      <c r="CU20" s="176"/>
      <c r="CV20" s="176"/>
      <c r="CW20" s="167"/>
      <c r="CX20" s="168"/>
      <c r="CY20" s="168">
        <v>1</v>
      </c>
      <c r="CZ20" s="168">
        <v>1</v>
      </c>
      <c r="DA20" s="168">
        <v>1</v>
      </c>
      <c r="DB20" s="168">
        <v>1</v>
      </c>
      <c r="DC20" s="168">
        <v>1</v>
      </c>
      <c r="DD20" s="172"/>
      <c r="DE20" s="172"/>
      <c r="DF20" s="172"/>
      <c r="DG20" s="172"/>
      <c r="DH20" s="172"/>
      <c r="DI20" s="172"/>
      <c r="DJ20" s="172"/>
      <c r="DK20" s="80" t="s">
        <v>699</v>
      </c>
      <c r="DL20" s="129">
        <f>VLOOKUP($F20,Activities!$A$9:$I$180,3,FALSE)/$AI20</f>
        <v>1747</v>
      </c>
      <c r="DM20" s="129">
        <f>VLOOKUP($F20,Activities!$A$9:$I$180,4,FALSE)/$AI20</f>
        <v>1822.1835702103469</v>
      </c>
      <c r="DN20" s="129">
        <f>VLOOKUP($F20,Activities!$A$9:$I$180,5,FALSE)/$AI20</f>
        <v>1862.9038658328598</v>
      </c>
      <c r="DO20" s="129">
        <f>VLOOKUP($F20,Activities!$A$9:$I$180,6,FALSE)/$AI20</f>
        <v>1884.7537805571349</v>
      </c>
      <c r="DP20" s="129">
        <f>VLOOKUP($F20,Activities!$A$9:$I$180,7,FALSE)/$AI20</f>
        <v>1893.2951108584423</v>
      </c>
      <c r="DQ20" s="129">
        <f>VLOOKUP($F20,Activities!$A$9:$I$180,8,FALSE)/$AI20</f>
        <v>1891.2094371802164</v>
      </c>
      <c r="DR20" s="129">
        <f>VLOOKUP($F20,Activities!$A$9:$I$180,9,FALSE)/$AI20</f>
        <v>1882.866742467311</v>
      </c>
      <c r="DS20" s="218"/>
      <c r="DT20" s="360"/>
      <c r="DU20" s="360"/>
      <c r="DV20" s="360"/>
      <c r="DW20" s="360"/>
      <c r="DX20" s="360"/>
      <c r="DY20" s="360"/>
      <c r="DZ20" s="360"/>
      <c r="EA20" s="360"/>
      <c r="EB20" s="360"/>
      <c r="EC20" s="360"/>
      <c r="ED20" s="360"/>
      <c r="EE20" s="360"/>
      <c r="EF20" s="360"/>
      <c r="EG20" s="360"/>
      <c r="EH20" s="360"/>
      <c r="EI20" s="360"/>
      <c r="EJ20" s="360"/>
      <c r="EK20" s="360"/>
      <c r="EL20" s="360"/>
      <c r="EM20" s="360"/>
      <c r="EN20" s="360"/>
      <c r="EO20" s="360"/>
      <c r="EP20" s="360"/>
      <c r="EQ20" s="360"/>
    </row>
    <row r="21" spans="1:147" x14ac:dyDescent="0.35">
      <c r="A21" s="5" t="s">
        <v>700</v>
      </c>
      <c r="B21" s="5" t="s">
        <v>654</v>
      </c>
      <c r="C21" s="5" t="s">
        <v>655</v>
      </c>
      <c r="D21" s="5" t="s">
        <v>656</v>
      </c>
      <c r="E21" s="5" t="s">
        <v>695</v>
      </c>
      <c r="F21" s="5" t="s">
        <v>324</v>
      </c>
      <c r="G21" s="47" t="s">
        <v>701</v>
      </c>
      <c r="H21" s="47" t="s">
        <v>671</v>
      </c>
      <c r="I21" s="101">
        <v>17.190000000000001</v>
      </c>
      <c r="J21" s="101">
        <v>17.190000000000001</v>
      </c>
      <c r="K21" s="101">
        <v>17.190000000000001</v>
      </c>
      <c r="L21" s="101">
        <v>11.6</v>
      </c>
      <c r="M21" s="101">
        <v>11.6</v>
      </c>
      <c r="N21" s="101">
        <v>0</v>
      </c>
      <c r="O21" s="101">
        <v>0</v>
      </c>
      <c r="P21" s="93">
        <v>0</v>
      </c>
      <c r="Q21" s="101">
        <v>0</v>
      </c>
      <c r="R21" s="101">
        <v>0</v>
      </c>
      <c r="S21" s="101">
        <v>0</v>
      </c>
      <c r="T21" s="101">
        <v>0</v>
      </c>
      <c r="U21" s="101">
        <v>0</v>
      </c>
      <c r="V21" s="101">
        <v>0</v>
      </c>
      <c r="W21" s="101">
        <v>0</v>
      </c>
      <c r="X21" s="101">
        <v>0</v>
      </c>
      <c r="Y21" s="101">
        <v>0</v>
      </c>
      <c r="Z21" s="101">
        <v>0</v>
      </c>
      <c r="AA21" s="101">
        <v>0</v>
      </c>
      <c r="AB21" s="101">
        <v>0</v>
      </c>
      <c r="AC21" s="101">
        <v>0</v>
      </c>
      <c r="AD21" s="101">
        <v>0</v>
      </c>
      <c r="AE21" s="186">
        <v>0.08</v>
      </c>
      <c r="AF21" s="93">
        <v>0</v>
      </c>
      <c r="AG21" s="93">
        <v>40</v>
      </c>
      <c r="AH21" s="93">
        <v>40</v>
      </c>
      <c r="AI21" s="16">
        <v>1</v>
      </c>
      <c r="AJ21" s="16" t="s">
        <v>660</v>
      </c>
      <c r="AK21" s="16" t="s">
        <v>672</v>
      </c>
      <c r="AL21" s="16"/>
      <c r="AM21" s="60"/>
      <c r="AN21" s="60"/>
      <c r="AO21" s="60"/>
      <c r="AP21" s="60"/>
      <c r="AQ21" s="60"/>
      <c r="AR21" s="60"/>
      <c r="AS21" s="63"/>
      <c r="AT21" s="63"/>
      <c r="AU21" s="63"/>
      <c r="AV21" s="131"/>
      <c r="AW21" s="131"/>
      <c r="AX21" s="131"/>
      <c r="AY21" s="27" t="s">
        <v>662</v>
      </c>
      <c r="AZ21" s="27"/>
      <c r="BA21" s="27"/>
      <c r="BB21" s="30"/>
      <c r="BC21" s="30"/>
      <c r="BD21" s="30"/>
      <c r="BE21" s="30"/>
      <c r="BF21" s="30"/>
      <c r="BG21" s="30"/>
      <c r="BH21" s="107"/>
      <c r="BI21" s="107"/>
      <c r="BJ21" s="107"/>
      <c r="BK21" s="107"/>
      <c r="BL21" s="137">
        <v>1</v>
      </c>
      <c r="BM21" s="122"/>
      <c r="BN21" s="138">
        <v>500</v>
      </c>
      <c r="BO21" s="186"/>
      <c r="BP21" s="186"/>
      <c r="BQ21" s="186"/>
      <c r="BR21" s="186"/>
      <c r="BS21" s="186"/>
      <c r="BT21" s="186"/>
      <c r="BU21" s="27">
        <v>500</v>
      </c>
      <c r="BV21" s="27"/>
      <c r="BW21" s="27"/>
      <c r="BX21" s="27"/>
      <c r="BY21" s="27"/>
      <c r="BZ21" s="27"/>
      <c r="CA21" s="27"/>
      <c r="CB21" s="97">
        <v>710</v>
      </c>
      <c r="CC21" s="185">
        <f t="shared" si="2"/>
        <v>1822.1835702103469</v>
      </c>
      <c r="CD21" s="185">
        <f t="shared" si="3"/>
        <v>1862.9038658328598</v>
      </c>
      <c r="CE21" s="185">
        <f t="shared" si="4"/>
        <v>1884.7537805571349</v>
      </c>
      <c r="CF21" s="185">
        <f t="shared" si="5"/>
        <v>1893.2951108584423</v>
      </c>
      <c r="CG21" s="185">
        <f t="shared" si="6"/>
        <v>1891.2094371802164</v>
      </c>
      <c r="CH21" s="185">
        <f t="shared" si="7"/>
        <v>1882.866742467311</v>
      </c>
      <c r="CI21" s="173"/>
      <c r="CJ21" s="173"/>
      <c r="CK21" s="173"/>
      <c r="CL21" s="173"/>
      <c r="CM21" s="173"/>
      <c r="CN21" s="173"/>
      <c r="CO21" s="173"/>
      <c r="CP21" s="174"/>
      <c r="CQ21" s="174"/>
      <c r="CR21" s="174"/>
      <c r="CS21" s="174"/>
      <c r="CT21" s="174"/>
      <c r="CU21" s="174"/>
      <c r="CV21" s="174"/>
      <c r="CW21" s="165"/>
      <c r="CX21" s="166"/>
      <c r="CY21" s="166"/>
      <c r="CZ21" s="166">
        <v>1</v>
      </c>
      <c r="DA21" s="166">
        <v>1</v>
      </c>
      <c r="DB21" s="166">
        <v>1</v>
      </c>
      <c r="DC21" s="166">
        <v>1</v>
      </c>
      <c r="DD21" s="171"/>
      <c r="DE21" s="171"/>
      <c r="DF21" s="171"/>
      <c r="DG21" s="171"/>
      <c r="DH21" s="171"/>
      <c r="DI21" s="171"/>
      <c r="DJ21" s="171"/>
      <c r="DK21" s="79" t="s">
        <v>663</v>
      </c>
      <c r="DL21" s="128">
        <f>VLOOKUP($F21,Activities!$A$9:$I$180,3,FALSE)/$AI21</f>
        <v>1747</v>
      </c>
      <c r="DM21" s="128">
        <f>VLOOKUP($F21,Activities!$A$9:$I$180,4,FALSE)/$AI21</f>
        <v>1822.1835702103469</v>
      </c>
      <c r="DN21" s="128">
        <f>VLOOKUP($F21,Activities!$A$9:$I$180,5,FALSE)/$AI21</f>
        <v>1862.9038658328598</v>
      </c>
      <c r="DO21" s="128">
        <f>VLOOKUP($F21,Activities!$A$9:$I$180,6,FALSE)/$AI21</f>
        <v>1884.7537805571349</v>
      </c>
      <c r="DP21" s="128">
        <f>VLOOKUP($F21,Activities!$A$9:$I$180,7,FALSE)/$AI21</f>
        <v>1893.2951108584423</v>
      </c>
      <c r="DQ21" s="128">
        <f>VLOOKUP($F21,Activities!$A$9:$I$180,8,FALSE)/$AI21</f>
        <v>1891.2094371802164</v>
      </c>
      <c r="DR21" s="128">
        <f>VLOOKUP($F21,Activities!$A$9:$I$180,9,FALSE)/$AI21</f>
        <v>1882.866742467311</v>
      </c>
      <c r="DS21" s="218"/>
      <c r="DT21" s="360"/>
      <c r="DU21" s="360"/>
      <c r="DV21" s="360"/>
      <c r="DW21" s="360"/>
      <c r="DX21" s="360"/>
      <c r="DY21" s="360"/>
      <c r="DZ21" s="360"/>
      <c r="EA21" s="360"/>
      <c r="EB21" s="360"/>
      <c r="EC21" s="360"/>
      <c r="ED21" s="360"/>
      <c r="EE21" s="360"/>
      <c r="EF21" s="360"/>
      <c r="EG21" s="360"/>
      <c r="EH21" s="360"/>
      <c r="EI21" s="360"/>
      <c r="EJ21" s="360"/>
      <c r="EK21" s="360"/>
      <c r="EL21" s="360"/>
      <c r="EM21" s="360"/>
      <c r="EN21" s="360"/>
      <c r="EO21" s="360"/>
      <c r="EP21" s="360"/>
      <c r="EQ21" s="360"/>
    </row>
    <row r="22" spans="1:147" x14ac:dyDescent="0.35">
      <c r="A22" s="6" t="s">
        <v>702</v>
      </c>
      <c r="B22" s="6" t="s">
        <v>654</v>
      </c>
      <c r="C22" s="6" t="s">
        <v>655</v>
      </c>
      <c r="D22" s="6" t="s">
        <v>656</v>
      </c>
      <c r="E22" s="6" t="s">
        <v>695</v>
      </c>
      <c r="F22" s="6" t="s">
        <v>324</v>
      </c>
      <c r="G22" s="48" t="s">
        <v>703</v>
      </c>
      <c r="H22" s="48" t="s">
        <v>671</v>
      </c>
      <c r="I22" s="102">
        <v>23.09</v>
      </c>
      <c r="J22" s="102">
        <v>22.51</v>
      </c>
      <c r="K22" s="102">
        <v>21.93</v>
      </c>
      <c r="L22" s="102">
        <v>15.8</v>
      </c>
      <c r="M22" s="102">
        <v>15</v>
      </c>
      <c r="N22" s="102">
        <v>3.4</v>
      </c>
      <c r="O22" s="102">
        <v>3.4</v>
      </c>
      <c r="P22" s="94">
        <v>0</v>
      </c>
      <c r="Q22" s="102">
        <v>0</v>
      </c>
      <c r="R22" s="102">
        <v>0</v>
      </c>
      <c r="S22" s="102">
        <v>0</v>
      </c>
      <c r="T22" s="102">
        <v>0</v>
      </c>
      <c r="U22" s="102">
        <v>0</v>
      </c>
      <c r="V22" s="102">
        <v>0</v>
      </c>
      <c r="W22" s="102">
        <v>0</v>
      </c>
      <c r="X22" s="102">
        <v>0</v>
      </c>
      <c r="Y22" s="102">
        <v>0</v>
      </c>
      <c r="Z22" s="102">
        <v>0</v>
      </c>
      <c r="AA22" s="102">
        <v>0</v>
      </c>
      <c r="AB22" s="102">
        <v>0</v>
      </c>
      <c r="AC22" s="102">
        <v>0</v>
      </c>
      <c r="AD22" s="102">
        <v>0</v>
      </c>
      <c r="AE22" s="186">
        <v>0.08</v>
      </c>
      <c r="AF22" s="94">
        <v>0</v>
      </c>
      <c r="AG22" s="94">
        <v>40</v>
      </c>
      <c r="AH22" s="94">
        <v>40</v>
      </c>
      <c r="AI22" s="17">
        <v>1</v>
      </c>
      <c r="AJ22" s="17" t="s">
        <v>660</v>
      </c>
      <c r="AK22" s="17" t="s">
        <v>672</v>
      </c>
      <c r="AL22" s="17"/>
      <c r="AM22" s="61"/>
      <c r="AN22" s="61"/>
      <c r="AO22" s="61"/>
      <c r="AP22" s="61"/>
      <c r="AQ22" s="61"/>
      <c r="AR22" s="61"/>
      <c r="AS22" s="64"/>
      <c r="AT22" s="64"/>
      <c r="AU22" s="64"/>
      <c r="AV22" s="132"/>
      <c r="AW22" s="132"/>
      <c r="AX22" s="132"/>
      <c r="AY22" s="28" t="s">
        <v>662</v>
      </c>
      <c r="AZ22" s="28"/>
      <c r="BA22" s="28"/>
      <c r="BB22" s="28"/>
      <c r="BC22" s="28"/>
      <c r="BD22" s="28"/>
      <c r="BE22" s="28"/>
      <c r="BF22" s="28"/>
      <c r="BG22" s="28"/>
      <c r="BH22" s="106"/>
      <c r="BI22" s="106"/>
      <c r="BJ22" s="106"/>
      <c r="BK22" s="106"/>
      <c r="BL22" s="137"/>
      <c r="BM22" s="123"/>
      <c r="BN22" s="138">
        <v>100</v>
      </c>
      <c r="BO22" s="186"/>
      <c r="BP22" s="186"/>
      <c r="BQ22" s="186"/>
      <c r="BR22" s="186"/>
      <c r="BS22" s="186"/>
      <c r="BT22" s="186"/>
      <c r="BU22" s="28">
        <v>100</v>
      </c>
      <c r="BV22" s="28"/>
      <c r="BW22" s="28"/>
      <c r="BX22" s="28"/>
      <c r="BY22" s="28"/>
      <c r="BZ22" s="28"/>
      <c r="CA22" s="28"/>
      <c r="CB22" s="99">
        <v>260</v>
      </c>
      <c r="CC22" s="185">
        <f t="shared" si="2"/>
        <v>1822.1835702103469</v>
      </c>
      <c r="CD22" s="185">
        <f t="shared" si="3"/>
        <v>1862.9038658328598</v>
      </c>
      <c r="CE22" s="185">
        <f t="shared" si="4"/>
        <v>1884.7537805571349</v>
      </c>
      <c r="CF22" s="185">
        <f t="shared" si="5"/>
        <v>1893.2951108584423</v>
      </c>
      <c r="CG22" s="185">
        <f t="shared" si="6"/>
        <v>1891.2094371802164</v>
      </c>
      <c r="CH22" s="185">
        <f t="shared" si="7"/>
        <v>1882.866742467311</v>
      </c>
      <c r="CI22" s="175"/>
      <c r="CJ22" s="175"/>
      <c r="CK22" s="175"/>
      <c r="CL22" s="175"/>
      <c r="CM22" s="175"/>
      <c r="CN22" s="175"/>
      <c r="CO22" s="175"/>
      <c r="CP22" s="176"/>
      <c r="CQ22" s="176"/>
      <c r="CR22" s="176"/>
      <c r="CS22" s="176"/>
      <c r="CT22" s="176"/>
      <c r="CU22" s="176"/>
      <c r="CV22" s="176"/>
      <c r="CW22" s="167"/>
      <c r="CX22" s="168"/>
      <c r="CY22" s="168"/>
      <c r="CZ22" s="168"/>
      <c r="DA22" s="168"/>
      <c r="DB22" s="168"/>
      <c r="DC22" s="168"/>
      <c r="DD22" s="172"/>
      <c r="DE22" s="172"/>
      <c r="DF22" s="172">
        <v>1</v>
      </c>
      <c r="DG22" s="172">
        <v>1</v>
      </c>
      <c r="DH22" s="172">
        <v>1</v>
      </c>
      <c r="DI22" s="172">
        <v>1</v>
      </c>
      <c r="DJ22" s="172">
        <v>1</v>
      </c>
      <c r="DK22" s="80" t="s">
        <v>663</v>
      </c>
      <c r="DL22" s="129">
        <f>VLOOKUP($F22,Activities!$A$9:$I$180,3,FALSE)/$AI22</f>
        <v>1747</v>
      </c>
      <c r="DM22" s="129">
        <f>VLOOKUP($F22,Activities!$A$9:$I$180,4,FALSE)/$AI22</f>
        <v>1822.1835702103469</v>
      </c>
      <c r="DN22" s="129">
        <f>VLOOKUP($F22,Activities!$A$9:$I$180,5,FALSE)/$AI22</f>
        <v>1862.9038658328598</v>
      </c>
      <c r="DO22" s="129">
        <f>VLOOKUP($F22,Activities!$A$9:$I$180,6,FALSE)/$AI22</f>
        <v>1884.7537805571349</v>
      </c>
      <c r="DP22" s="129">
        <f>VLOOKUP($F22,Activities!$A$9:$I$180,7,FALSE)/$AI22</f>
        <v>1893.2951108584423</v>
      </c>
      <c r="DQ22" s="129">
        <f>VLOOKUP($F22,Activities!$A$9:$I$180,8,FALSE)/$AI22</f>
        <v>1891.2094371802164</v>
      </c>
      <c r="DR22" s="129">
        <f>VLOOKUP($F22,Activities!$A$9:$I$180,9,FALSE)/$AI22</f>
        <v>1882.866742467311</v>
      </c>
      <c r="DS22" s="218"/>
      <c r="DT22" s="360"/>
      <c r="DU22" s="360"/>
      <c r="DV22" s="360"/>
      <c r="DW22" s="360"/>
      <c r="DX22" s="360"/>
      <c r="DY22" s="360"/>
      <c r="DZ22" s="360"/>
      <c r="EA22" s="360"/>
      <c r="EB22" s="360"/>
      <c r="EC22" s="360"/>
      <c r="ED22" s="360"/>
      <c r="EE22" s="360"/>
      <c r="EF22" s="360"/>
      <c r="EG22" s="360"/>
      <c r="EH22" s="360"/>
      <c r="EI22" s="360"/>
      <c r="EJ22" s="360"/>
      <c r="EK22" s="360"/>
      <c r="EL22" s="360"/>
      <c r="EM22" s="360"/>
      <c r="EN22" s="360"/>
      <c r="EO22" s="360"/>
      <c r="EP22" s="360"/>
      <c r="EQ22" s="360"/>
    </row>
    <row r="23" spans="1:147" x14ac:dyDescent="0.35">
      <c r="A23" s="5" t="s">
        <v>704</v>
      </c>
      <c r="B23" s="5" t="s">
        <v>654</v>
      </c>
      <c r="C23" s="5" t="s">
        <v>655</v>
      </c>
      <c r="D23" s="5" t="s">
        <v>656</v>
      </c>
      <c r="E23" s="5" t="s">
        <v>695</v>
      </c>
      <c r="F23" s="5" t="s">
        <v>324</v>
      </c>
      <c r="G23" s="47" t="s">
        <v>705</v>
      </c>
      <c r="H23" s="47" t="s">
        <v>671</v>
      </c>
      <c r="I23" s="101">
        <v>28.28</v>
      </c>
      <c r="J23" s="101">
        <v>26.86</v>
      </c>
      <c r="K23" s="101">
        <v>25.45</v>
      </c>
      <c r="L23" s="101">
        <v>18.600000000000001</v>
      </c>
      <c r="M23" s="101">
        <v>18</v>
      </c>
      <c r="N23" s="101">
        <v>6</v>
      </c>
      <c r="O23" s="101">
        <v>5</v>
      </c>
      <c r="P23" s="93">
        <v>0</v>
      </c>
      <c r="Q23" s="101">
        <v>0</v>
      </c>
      <c r="R23" s="101">
        <v>0</v>
      </c>
      <c r="S23" s="101">
        <v>0</v>
      </c>
      <c r="T23" s="101">
        <v>0</v>
      </c>
      <c r="U23" s="101">
        <v>0</v>
      </c>
      <c r="V23" s="101">
        <v>0</v>
      </c>
      <c r="W23" s="101">
        <v>0</v>
      </c>
      <c r="X23" s="101">
        <v>0</v>
      </c>
      <c r="Y23" s="101">
        <v>0</v>
      </c>
      <c r="Z23" s="101">
        <v>0</v>
      </c>
      <c r="AA23" s="101">
        <v>0</v>
      </c>
      <c r="AB23" s="101">
        <v>0</v>
      </c>
      <c r="AC23" s="101">
        <v>0</v>
      </c>
      <c r="AD23" s="101">
        <v>0</v>
      </c>
      <c r="AE23" s="186">
        <v>0.08</v>
      </c>
      <c r="AF23" s="93">
        <v>0</v>
      </c>
      <c r="AG23" s="93">
        <v>40</v>
      </c>
      <c r="AH23" s="93">
        <v>40</v>
      </c>
      <c r="AI23" s="16">
        <v>1</v>
      </c>
      <c r="AJ23" s="16" t="s">
        <v>660</v>
      </c>
      <c r="AK23" s="16" t="s">
        <v>672</v>
      </c>
      <c r="AL23" s="16"/>
      <c r="AM23" s="60"/>
      <c r="AN23" s="60"/>
      <c r="AO23" s="60"/>
      <c r="AP23" s="60"/>
      <c r="AQ23" s="60"/>
      <c r="AR23" s="60"/>
      <c r="AS23" s="63"/>
      <c r="AT23" s="63"/>
      <c r="AU23" s="63"/>
      <c r="AV23" s="131"/>
      <c r="AW23" s="131"/>
      <c r="AX23" s="131"/>
      <c r="AY23" s="27" t="s">
        <v>662</v>
      </c>
      <c r="AZ23" s="27"/>
      <c r="BA23" s="27"/>
      <c r="BB23" s="30"/>
      <c r="BC23" s="30"/>
      <c r="BD23" s="30"/>
      <c r="BE23" s="30"/>
      <c r="BF23" s="30"/>
      <c r="BG23" s="30"/>
      <c r="BH23" s="107"/>
      <c r="BI23" s="107"/>
      <c r="BJ23" s="107"/>
      <c r="BK23" s="107"/>
      <c r="BL23" s="136"/>
      <c r="BM23" s="122"/>
      <c r="BN23" s="138">
        <v>100</v>
      </c>
      <c r="BO23" s="186"/>
      <c r="BP23" s="186"/>
      <c r="BQ23" s="186"/>
      <c r="BR23" s="186"/>
      <c r="BS23" s="186"/>
      <c r="BT23" s="186"/>
      <c r="BU23" s="27">
        <v>100</v>
      </c>
      <c r="BV23" s="27"/>
      <c r="BW23" s="27"/>
      <c r="BX23" s="27"/>
      <c r="BY23" s="27"/>
      <c r="BZ23" s="27"/>
      <c r="CA23" s="27"/>
      <c r="CB23" s="97">
        <v>160</v>
      </c>
      <c r="CC23" s="185">
        <f t="shared" si="2"/>
        <v>1822.1835702103469</v>
      </c>
      <c r="CD23" s="185">
        <f t="shared" si="3"/>
        <v>1862.9038658328598</v>
      </c>
      <c r="CE23" s="185">
        <f t="shared" si="4"/>
        <v>1884.7537805571349</v>
      </c>
      <c r="CF23" s="185">
        <f t="shared" si="5"/>
        <v>1893.2951108584423</v>
      </c>
      <c r="CG23" s="185">
        <f t="shared" si="6"/>
        <v>1891.2094371802164</v>
      </c>
      <c r="CH23" s="185">
        <f t="shared" si="7"/>
        <v>1882.866742467311</v>
      </c>
      <c r="CI23" s="173"/>
      <c r="CJ23" s="173"/>
      <c r="CK23" s="173"/>
      <c r="CL23" s="173"/>
      <c r="CM23" s="173"/>
      <c r="CN23" s="173"/>
      <c r="CO23" s="173"/>
      <c r="CP23" s="174"/>
      <c r="CQ23" s="174"/>
      <c r="CR23" s="174"/>
      <c r="CS23" s="174"/>
      <c r="CT23" s="174"/>
      <c r="CU23" s="174"/>
      <c r="CV23" s="174"/>
      <c r="CW23" s="165"/>
      <c r="CX23" s="166"/>
      <c r="CY23" s="166"/>
      <c r="CZ23" s="166"/>
      <c r="DA23" s="166"/>
      <c r="DB23" s="166"/>
      <c r="DC23" s="166"/>
      <c r="DD23" s="171"/>
      <c r="DE23" s="171"/>
      <c r="DF23" s="171">
        <v>1</v>
      </c>
      <c r="DG23" s="171">
        <v>1</v>
      </c>
      <c r="DH23" s="171">
        <v>1</v>
      </c>
      <c r="DI23" s="171">
        <v>1</v>
      </c>
      <c r="DJ23" s="171">
        <v>1</v>
      </c>
      <c r="DK23" s="79" t="s">
        <v>706</v>
      </c>
      <c r="DL23" s="128">
        <f>VLOOKUP($F23,Activities!$A$9:$I$180,3,FALSE)/$AI23</f>
        <v>1747</v>
      </c>
      <c r="DM23" s="128">
        <f>VLOOKUP($F23,Activities!$A$9:$I$180,4,FALSE)/$AI23</f>
        <v>1822.1835702103469</v>
      </c>
      <c r="DN23" s="128">
        <f>VLOOKUP($F23,Activities!$A$9:$I$180,5,FALSE)/$AI23</f>
        <v>1862.9038658328598</v>
      </c>
      <c r="DO23" s="128">
        <f>VLOOKUP($F23,Activities!$A$9:$I$180,6,FALSE)/$AI23</f>
        <v>1884.7537805571349</v>
      </c>
      <c r="DP23" s="128">
        <f>VLOOKUP($F23,Activities!$A$9:$I$180,7,FALSE)/$AI23</f>
        <v>1893.2951108584423</v>
      </c>
      <c r="DQ23" s="128">
        <f>VLOOKUP($F23,Activities!$A$9:$I$180,8,FALSE)/$AI23</f>
        <v>1891.2094371802164</v>
      </c>
      <c r="DR23" s="128">
        <f>VLOOKUP($F23,Activities!$A$9:$I$180,9,FALSE)/$AI23</f>
        <v>1882.866742467311</v>
      </c>
      <c r="DS23" s="218"/>
      <c r="DT23" s="360"/>
      <c r="DU23" s="360"/>
      <c r="DV23" s="360"/>
      <c r="DW23" s="360"/>
      <c r="DX23" s="360"/>
      <c r="DY23" s="360"/>
      <c r="DZ23" s="360"/>
      <c r="EA23" s="360"/>
      <c r="EB23" s="360"/>
      <c r="EC23" s="360"/>
      <c r="ED23" s="360"/>
      <c r="EE23" s="360"/>
      <c r="EF23" s="360"/>
      <c r="EG23" s="360"/>
      <c r="EH23" s="360"/>
      <c r="EI23" s="360"/>
      <c r="EJ23" s="360"/>
      <c r="EK23" s="360"/>
      <c r="EL23" s="360"/>
      <c r="EM23" s="360"/>
      <c r="EN23" s="360"/>
      <c r="EO23" s="360"/>
      <c r="EP23" s="360"/>
      <c r="EQ23" s="360"/>
    </row>
    <row r="24" spans="1:147" x14ac:dyDescent="0.35">
      <c r="A24" s="6" t="s">
        <v>707</v>
      </c>
      <c r="B24" s="6" t="s">
        <v>654</v>
      </c>
      <c r="C24" s="6" t="s">
        <v>655</v>
      </c>
      <c r="D24" s="6" t="s">
        <v>708</v>
      </c>
      <c r="E24" s="6" t="s">
        <v>657</v>
      </c>
      <c r="F24" s="6" t="s">
        <v>325</v>
      </c>
      <c r="G24" s="48" t="s">
        <v>709</v>
      </c>
      <c r="H24" s="48" t="s">
        <v>659</v>
      </c>
      <c r="I24" s="102">
        <v>0</v>
      </c>
      <c r="J24" s="102">
        <v>0</v>
      </c>
      <c r="K24" s="102">
        <v>0</v>
      </c>
      <c r="L24" s="102">
        <v>0</v>
      </c>
      <c r="M24" s="102">
        <v>0</v>
      </c>
      <c r="N24" s="102">
        <v>0</v>
      </c>
      <c r="O24" s="102">
        <v>0</v>
      </c>
      <c r="P24" s="94">
        <v>0</v>
      </c>
      <c r="Q24" s="102">
        <v>0</v>
      </c>
      <c r="R24" s="102">
        <v>0</v>
      </c>
      <c r="S24" s="102">
        <v>0</v>
      </c>
      <c r="T24" s="102">
        <v>0</v>
      </c>
      <c r="U24" s="102">
        <v>0</v>
      </c>
      <c r="V24" s="102">
        <v>0</v>
      </c>
      <c r="W24" s="102">
        <v>0</v>
      </c>
      <c r="X24" s="102">
        <v>0</v>
      </c>
      <c r="Y24" s="102">
        <v>0</v>
      </c>
      <c r="Z24" s="102">
        <v>0</v>
      </c>
      <c r="AA24" s="102">
        <v>0</v>
      </c>
      <c r="AB24" s="102">
        <v>0</v>
      </c>
      <c r="AC24" s="102">
        <v>0</v>
      </c>
      <c r="AD24" s="102">
        <v>0</v>
      </c>
      <c r="AE24" s="186">
        <v>0.08</v>
      </c>
      <c r="AF24" s="94">
        <v>0</v>
      </c>
      <c r="AG24" s="94">
        <v>1</v>
      </c>
      <c r="AH24" s="94">
        <v>1</v>
      </c>
      <c r="AI24" s="17">
        <v>1</v>
      </c>
      <c r="AJ24" s="17" t="s">
        <v>660</v>
      </c>
      <c r="AK24" s="17" t="s">
        <v>661</v>
      </c>
      <c r="AL24" s="17"/>
      <c r="AM24" s="61"/>
      <c r="AN24" s="61"/>
      <c r="AO24" s="61"/>
      <c r="AP24" s="61"/>
      <c r="AQ24" s="61"/>
      <c r="AR24" s="61"/>
      <c r="AS24" s="64"/>
      <c r="AT24" s="64"/>
      <c r="AU24" s="64"/>
      <c r="AV24" s="132"/>
      <c r="AW24" s="132"/>
      <c r="AX24" s="132"/>
      <c r="AY24" s="28" t="s">
        <v>662</v>
      </c>
      <c r="AZ24" s="28"/>
      <c r="BA24" s="28"/>
      <c r="BB24" s="28"/>
      <c r="BC24" s="28"/>
      <c r="BD24" s="28"/>
      <c r="BE24" s="28"/>
      <c r="BF24" s="28"/>
      <c r="BG24" s="28"/>
      <c r="BH24" s="106"/>
      <c r="BI24" s="106"/>
      <c r="BJ24" s="106"/>
      <c r="BK24" s="106"/>
      <c r="BL24" s="137">
        <v>1</v>
      </c>
      <c r="BM24" s="123"/>
      <c r="BN24" s="139">
        <f>DL24</f>
        <v>124.9</v>
      </c>
      <c r="BO24" s="186"/>
      <c r="BP24" s="186"/>
      <c r="BQ24" s="186"/>
      <c r="BR24" s="186"/>
      <c r="BS24" s="186"/>
      <c r="BT24" s="186"/>
      <c r="BU24" s="28">
        <f>IF(BL24=1,BN24,0)</f>
        <v>124.9</v>
      </c>
      <c r="BV24" s="28"/>
      <c r="BW24" s="28"/>
      <c r="BX24" s="28"/>
      <c r="BY24" s="28"/>
      <c r="BZ24" s="28"/>
      <c r="CA24" s="28"/>
      <c r="CB24" s="99">
        <f>DL24</f>
        <v>124.9</v>
      </c>
      <c r="CC24" s="99">
        <f t="shared" ref="CC24" si="8">DM24</f>
        <v>127.18871779758406</v>
      </c>
      <c r="CD24" s="99">
        <f t="shared" si="2"/>
        <v>138.74360625205992</v>
      </c>
      <c r="CE24" s="99">
        <f t="shared" si="2"/>
        <v>148.80422858069591</v>
      </c>
      <c r="CF24" s="99">
        <f t="shared" si="2"/>
        <v>160.86911253603236</v>
      </c>
      <c r="CG24" s="99">
        <f t="shared" si="2"/>
        <v>175.1943993561697</v>
      </c>
      <c r="CH24" s="99">
        <f t="shared" si="2"/>
        <v>190.28800098702055</v>
      </c>
      <c r="CI24" s="175"/>
      <c r="CJ24" s="175"/>
      <c r="CK24" s="175"/>
      <c r="CL24" s="175"/>
      <c r="CM24" s="175"/>
      <c r="CN24" s="175"/>
      <c r="CO24" s="175"/>
      <c r="CP24" s="176"/>
      <c r="CQ24" s="176"/>
      <c r="CR24" s="176"/>
      <c r="CS24" s="176"/>
      <c r="CT24" s="176"/>
      <c r="CU24" s="176"/>
      <c r="CV24" s="176"/>
      <c r="CW24" s="167"/>
      <c r="CX24" s="168"/>
      <c r="CY24" s="168"/>
      <c r="CZ24" s="168"/>
      <c r="DA24" s="168"/>
      <c r="DB24" s="168"/>
      <c r="DC24" s="168"/>
      <c r="DD24" s="172"/>
      <c r="DE24" s="172"/>
      <c r="DF24" s="172"/>
      <c r="DG24" s="172"/>
      <c r="DH24" s="172"/>
      <c r="DI24" s="172"/>
      <c r="DJ24" s="172"/>
      <c r="DK24" s="80" t="s">
        <v>710</v>
      </c>
      <c r="DL24" s="129">
        <f>VLOOKUP($F24,Activities!$A$9:$I$180,3,FALSE)/$AI24</f>
        <v>124.9</v>
      </c>
      <c r="DM24" s="129">
        <f>VLOOKUP($F24,Activities!$A$9:$I$180,4,FALSE)/$AI24</f>
        <v>127.18871779758406</v>
      </c>
      <c r="DN24" s="129">
        <f>VLOOKUP($F24,Activities!$A$9:$I$180,5,FALSE)/$AI24</f>
        <v>138.74360625205992</v>
      </c>
      <c r="DO24" s="129">
        <f>VLOOKUP($F24,Activities!$A$9:$I$180,6,FALSE)/$AI24</f>
        <v>148.80422858069591</v>
      </c>
      <c r="DP24" s="129">
        <f>VLOOKUP($F24,Activities!$A$9:$I$180,7,FALSE)/$AI24</f>
        <v>160.86911253603236</v>
      </c>
      <c r="DQ24" s="129">
        <f>VLOOKUP($F24,Activities!$A$9:$I$180,8,FALSE)/$AI24</f>
        <v>175.1943993561697</v>
      </c>
      <c r="DR24" s="129">
        <f>VLOOKUP($F24,Activities!$A$9:$I$180,9,FALSE)/$AI24</f>
        <v>190.28800098702055</v>
      </c>
      <c r="DS24" s="218"/>
      <c r="DT24" s="360"/>
      <c r="DU24" s="360"/>
      <c r="DV24" s="360"/>
      <c r="DW24" s="360"/>
      <c r="DX24" s="360"/>
      <c r="DY24" s="360"/>
      <c r="DZ24" s="360"/>
      <c r="EA24" s="360"/>
      <c r="EB24" s="360"/>
      <c r="EC24" s="360"/>
      <c r="ED24" s="360"/>
      <c r="EE24" s="360"/>
      <c r="EF24" s="360"/>
      <c r="EG24" s="360"/>
      <c r="EH24" s="360"/>
      <c r="EI24" s="360"/>
      <c r="EJ24" s="360"/>
      <c r="EK24" s="360"/>
      <c r="EL24" s="360"/>
      <c r="EM24" s="360"/>
      <c r="EN24" s="360"/>
      <c r="EO24" s="360"/>
      <c r="EP24" s="360"/>
      <c r="EQ24" s="360"/>
    </row>
    <row r="25" spans="1:147" x14ac:dyDescent="0.35">
      <c r="A25" s="5" t="s">
        <v>711</v>
      </c>
      <c r="B25" s="5" t="s">
        <v>654</v>
      </c>
      <c r="C25" s="5" t="s">
        <v>655</v>
      </c>
      <c r="D25" s="5" t="s">
        <v>708</v>
      </c>
      <c r="E25" s="5" t="s">
        <v>657</v>
      </c>
      <c r="F25" s="5" t="s">
        <v>325</v>
      </c>
      <c r="G25" s="47" t="s">
        <v>712</v>
      </c>
      <c r="H25" s="47" t="s">
        <v>659</v>
      </c>
      <c r="I25" s="101">
        <v>0.5</v>
      </c>
      <c r="J25" s="101">
        <v>0.5</v>
      </c>
      <c r="K25" s="101">
        <v>0.5</v>
      </c>
      <c r="L25" s="101">
        <v>0.3</v>
      </c>
      <c r="M25" s="101">
        <v>0.1</v>
      </c>
      <c r="N25" s="101">
        <v>0</v>
      </c>
      <c r="O25" s="101">
        <v>0</v>
      </c>
      <c r="P25" s="93">
        <v>0</v>
      </c>
      <c r="Q25" s="101">
        <v>0</v>
      </c>
      <c r="R25" s="101">
        <v>0</v>
      </c>
      <c r="S25" s="101">
        <v>0</v>
      </c>
      <c r="T25" s="101">
        <v>0</v>
      </c>
      <c r="U25" s="101">
        <v>0</v>
      </c>
      <c r="V25" s="101">
        <v>0</v>
      </c>
      <c r="W25" s="101">
        <v>0</v>
      </c>
      <c r="X25" s="101">
        <v>0</v>
      </c>
      <c r="Y25" s="101">
        <v>0</v>
      </c>
      <c r="Z25" s="101">
        <v>0</v>
      </c>
      <c r="AA25" s="101">
        <v>0</v>
      </c>
      <c r="AB25" s="101">
        <v>0</v>
      </c>
      <c r="AC25" s="101">
        <v>0</v>
      </c>
      <c r="AD25" s="101">
        <v>0</v>
      </c>
      <c r="AE25" s="186">
        <v>0.08</v>
      </c>
      <c r="AF25" s="93">
        <v>0</v>
      </c>
      <c r="AG25" s="93">
        <v>15</v>
      </c>
      <c r="AH25" s="93">
        <v>15</v>
      </c>
      <c r="AI25" s="16">
        <v>1</v>
      </c>
      <c r="AJ25" s="16" t="s">
        <v>660</v>
      </c>
      <c r="AK25" s="16" t="s">
        <v>661</v>
      </c>
      <c r="AL25" s="16"/>
      <c r="AM25" s="60"/>
      <c r="AN25" s="60"/>
      <c r="AO25" s="60"/>
      <c r="AP25" s="60"/>
      <c r="AQ25" s="60"/>
      <c r="AR25" s="60"/>
      <c r="AS25" s="63"/>
      <c r="AT25" s="63"/>
      <c r="AU25" s="63"/>
      <c r="AV25" s="131"/>
      <c r="AW25" s="131"/>
      <c r="AX25" s="131"/>
      <c r="AY25" s="27" t="s">
        <v>666</v>
      </c>
      <c r="AZ25" s="27" t="s">
        <v>456</v>
      </c>
      <c r="BA25" s="27">
        <v>1</v>
      </c>
      <c r="BB25" s="30"/>
      <c r="BC25" s="30" t="s">
        <v>667</v>
      </c>
      <c r="BD25" s="30">
        <v>0.02</v>
      </c>
      <c r="BE25" s="30">
        <v>0.8</v>
      </c>
      <c r="BF25" s="30"/>
      <c r="BG25" s="30"/>
      <c r="BH25" s="107"/>
      <c r="BI25" s="107"/>
      <c r="BJ25" s="107"/>
      <c r="BK25" s="107"/>
      <c r="BL25" s="136"/>
      <c r="BM25" s="122"/>
      <c r="BN25" s="138">
        <f t="shared" ref="BN25" si="9">CB25</f>
        <v>0.5</v>
      </c>
      <c r="BO25" s="186"/>
      <c r="BP25" s="186"/>
      <c r="BQ25" s="186"/>
      <c r="BR25" s="186"/>
      <c r="BS25" s="186"/>
      <c r="BT25" s="186"/>
      <c r="BU25" s="27">
        <f t="shared" si="1"/>
        <v>0</v>
      </c>
      <c r="BV25" s="27"/>
      <c r="BW25" s="27"/>
      <c r="BX25" s="27"/>
      <c r="BY25" s="27"/>
      <c r="BZ25" s="27"/>
      <c r="CA25" s="27"/>
      <c r="CB25" s="97">
        <v>0.5</v>
      </c>
      <c r="CC25" s="97">
        <v>1</v>
      </c>
      <c r="CD25" s="97">
        <v>2</v>
      </c>
      <c r="CE25" s="97">
        <v>4</v>
      </c>
      <c r="CF25" s="97">
        <v>10</v>
      </c>
      <c r="CG25" s="97">
        <v>20</v>
      </c>
      <c r="CH25" s="97">
        <v>40</v>
      </c>
      <c r="CI25" s="173"/>
      <c r="CJ25" s="173"/>
      <c r="CK25" s="173"/>
      <c r="CL25" s="173"/>
      <c r="CM25" s="173"/>
      <c r="CN25" s="173"/>
      <c r="CO25" s="173"/>
      <c r="CP25" s="174"/>
      <c r="CQ25" s="174"/>
      <c r="CR25" s="174"/>
      <c r="CS25" s="174"/>
      <c r="CT25" s="174"/>
      <c r="CU25" s="174"/>
      <c r="CV25" s="174"/>
      <c r="CW25" s="165"/>
      <c r="CX25" s="166"/>
      <c r="CY25" s="166"/>
      <c r="CZ25" s="166"/>
      <c r="DA25" s="166"/>
      <c r="DB25" s="166"/>
      <c r="DC25" s="166"/>
      <c r="DD25" s="171"/>
      <c r="DE25" s="171"/>
      <c r="DF25" s="171"/>
      <c r="DG25" s="171"/>
      <c r="DH25" s="171"/>
      <c r="DI25" s="171"/>
      <c r="DJ25" s="171"/>
      <c r="DK25" s="79" t="s">
        <v>710</v>
      </c>
      <c r="DL25" s="128">
        <f>VLOOKUP($F25,Activities!$A$9:$I$180,3,FALSE)/$AI25</f>
        <v>124.9</v>
      </c>
      <c r="DM25" s="128">
        <f>VLOOKUP($F25,Activities!$A$9:$I$180,4,FALSE)/$AI25</f>
        <v>127.18871779758406</v>
      </c>
      <c r="DN25" s="128">
        <f>VLOOKUP($F25,Activities!$A$9:$I$180,5,FALSE)/$AI25</f>
        <v>138.74360625205992</v>
      </c>
      <c r="DO25" s="128">
        <f>VLOOKUP($F25,Activities!$A$9:$I$180,6,FALSE)/$AI25</f>
        <v>148.80422858069591</v>
      </c>
      <c r="DP25" s="128">
        <f>VLOOKUP($F25,Activities!$A$9:$I$180,7,FALSE)/$AI25</f>
        <v>160.86911253603236</v>
      </c>
      <c r="DQ25" s="128">
        <f>VLOOKUP($F25,Activities!$A$9:$I$180,8,FALSE)/$AI25</f>
        <v>175.1943993561697</v>
      </c>
      <c r="DR25" s="128">
        <f>VLOOKUP($F25,Activities!$A$9:$I$180,9,FALSE)/$AI25</f>
        <v>190.28800098702055</v>
      </c>
      <c r="DS25" s="218"/>
      <c r="DT25" s="360"/>
      <c r="DU25" s="360"/>
      <c r="DV25" s="360"/>
      <c r="DW25" s="360"/>
      <c r="DX25" s="360"/>
      <c r="DY25" s="360"/>
      <c r="DZ25" s="360"/>
      <c r="EA25" s="360"/>
      <c r="EB25" s="360"/>
      <c r="EC25" s="360"/>
      <c r="ED25" s="360"/>
      <c r="EE25" s="360"/>
      <c r="EF25" s="360"/>
      <c r="EG25" s="360"/>
      <c r="EH25" s="360"/>
      <c r="EI25" s="360"/>
      <c r="EJ25" s="360"/>
      <c r="EK25" s="360"/>
      <c r="EL25" s="360"/>
      <c r="EM25" s="360"/>
      <c r="EN25" s="360"/>
      <c r="EO25" s="360"/>
      <c r="EP25" s="360"/>
      <c r="EQ25" s="360"/>
    </row>
    <row r="26" spans="1:147" x14ac:dyDescent="0.35">
      <c r="A26" s="6" t="s">
        <v>713</v>
      </c>
      <c r="B26" s="6" t="s">
        <v>654</v>
      </c>
      <c r="C26" s="6" t="s">
        <v>655</v>
      </c>
      <c r="D26" s="6" t="s">
        <v>708</v>
      </c>
      <c r="E26" s="6" t="s">
        <v>714</v>
      </c>
      <c r="F26" s="6" t="s">
        <v>326</v>
      </c>
      <c r="G26" s="48" t="s">
        <v>715</v>
      </c>
      <c r="H26" s="48" t="s">
        <v>716</v>
      </c>
      <c r="I26" s="102">
        <v>0</v>
      </c>
      <c r="J26" s="102">
        <v>0</v>
      </c>
      <c r="K26" s="102">
        <v>0</v>
      </c>
      <c r="L26" s="102">
        <v>0</v>
      </c>
      <c r="M26" s="102">
        <v>0</v>
      </c>
      <c r="N26" s="102">
        <v>0</v>
      </c>
      <c r="O26" s="102">
        <v>0</v>
      </c>
      <c r="P26" s="94">
        <v>0</v>
      </c>
      <c r="Q26" s="102">
        <v>0.32</v>
      </c>
      <c r="R26" s="102">
        <v>0.32</v>
      </c>
      <c r="S26" s="102">
        <v>0.32</v>
      </c>
      <c r="T26" s="102">
        <v>0.32</v>
      </c>
      <c r="U26" s="102">
        <v>0.32</v>
      </c>
      <c r="V26" s="102">
        <v>0.32</v>
      </c>
      <c r="W26" s="102">
        <v>0.32</v>
      </c>
      <c r="X26" s="102">
        <v>0</v>
      </c>
      <c r="Y26" s="102">
        <v>0</v>
      </c>
      <c r="Z26" s="102">
        <v>0</v>
      </c>
      <c r="AA26" s="102">
        <v>0</v>
      </c>
      <c r="AB26" s="102">
        <v>0</v>
      </c>
      <c r="AC26" s="102">
        <v>0</v>
      </c>
      <c r="AD26" s="102">
        <v>0</v>
      </c>
      <c r="AE26" s="186">
        <v>0.08</v>
      </c>
      <c r="AF26" s="94">
        <v>0</v>
      </c>
      <c r="AG26" s="94">
        <v>25</v>
      </c>
      <c r="AH26" s="94">
        <v>25</v>
      </c>
      <c r="AI26" s="17">
        <v>1</v>
      </c>
      <c r="AJ26" s="17" t="s">
        <v>660</v>
      </c>
      <c r="AK26" s="17" t="s">
        <v>672</v>
      </c>
      <c r="AL26" s="17"/>
      <c r="AM26" s="61"/>
      <c r="AN26" s="61"/>
      <c r="AO26" s="61"/>
      <c r="AP26" s="61"/>
      <c r="AQ26" s="61"/>
      <c r="AR26" s="61"/>
      <c r="AS26" s="64"/>
      <c r="AT26" s="64"/>
      <c r="AU26" s="64"/>
      <c r="AV26" s="132"/>
      <c r="AW26" s="132"/>
      <c r="AX26" s="132"/>
      <c r="AY26" s="28" t="s">
        <v>662</v>
      </c>
      <c r="AZ26" s="28"/>
      <c r="BA26" s="28"/>
      <c r="BB26" s="28"/>
      <c r="BC26" s="28"/>
      <c r="BD26" s="28"/>
      <c r="BE26" s="28"/>
      <c r="BF26" s="28"/>
      <c r="BG26" s="28"/>
      <c r="BH26" s="106"/>
      <c r="BI26" s="106"/>
      <c r="BJ26" s="106"/>
      <c r="BK26" s="106"/>
      <c r="BL26" s="137">
        <v>1</v>
      </c>
      <c r="BM26" s="123"/>
      <c r="BN26" s="138">
        <f>IF(SUM(CB26:CB26)&lt;DL26,CB26,MAX(DL26-SUM(CB26:CB26),0))</f>
        <v>190</v>
      </c>
      <c r="BO26" s="186"/>
      <c r="BP26" s="186"/>
      <c r="BQ26" s="186"/>
      <c r="BR26" s="186"/>
      <c r="BS26" s="186"/>
      <c r="BT26" s="186"/>
      <c r="BU26" s="28">
        <v>135</v>
      </c>
      <c r="BV26" s="28"/>
      <c r="BW26" s="28"/>
      <c r="BX26" s="28"/>
      <c r="BY26" s="28"/>
      <c r="BZ26" s="28"/>
      <c r="CA26" s="28"/>
      <c r="CB26" s="99">
        <v>190</v>
      </c>
      <c r="CC26" s="99">
        <f t="shared" ref="CC26:CH42" si="10">DM26</f>
        <v>446.76844652214777</v>
      </c>
      <c r="CD26" s="99">
        <f t="shared" si="10"/>
        <v>487.35663432634107</v>
      </c>
      <c r="CE26" s="99">
        <f t="shared" si="10"/>
        <v>522.69600000784737</v>
      </c>
      <c r="CF26" s="99">
        <f t="shared" si="10"/>
        <v>565.07561948615648</v>
      </c>
      <c r="CG26" s="99">
        <f t="shared" si="10"/>
        <v>615.3952252612728</v>
      </c>
      <c r="CH26" s="99">
        <f>DR26</f>
        <v>668.4136459970739</v>
      </c>
      <c r="CI26" s="175"/>
      <c r="CJ26" s="175"/>
      <c r="CK26" s="175"/>
      <c r="CL26" s="175"/>
      <c r="CM26" s="175"/>
      <c r="CN26" s="175"/>
      <c r="CO26" s="175"/>
      <c r="CP26" s="176"/>
      <c r="CQ26" s="176"/>
      <c r="CR26" s="176"/>
      <c r="CS26" s="176"/>
      <c r="CT26" s="176"/>
      <c r="CU26" s="176"/>
      <c r="CV26" s="176"/>
      <c r="CW26" s="167"/>
      <c r="CX26" s="168">
        <v>1</v>
      </c>
      <c r="CY26" s="168">
        <v>1</v>
      </c>
      <c r="CZ26" s="168">
        <v>1</v>
      </c>
      <c r="DA26" s="168">
        <v>1</v>
      </c>
      <c r="DB26" s="168">
        <v>1</v>
      </c>
      <c r="DC26" s="168">
        <v>1</v>
      </c>
      <c r="DD26" s="172"/>
      <c r="DE26" s="172"/>
      <c r="DF26" s="172"/>
      <c r="DG26" s="172"/>
      <c r="DH26" s="172"/>
      <c r="DI26" s="172"/>
      <c r="DJ26" s="172"/>
      <c r="DK26" s="80" t="s">
        <v>710</v>
      </c>
      <c r="DL26" s="129">
        <f>VLOOKUP($F26,Activities!$A$9:$I$180,3,FALSE)/$AI26</f>
        <v>438.72899999999998</v>
      </c>
      <c r="DM26" s="129">
        <f>VLOOKUP($F26,Activities!$A$9:$I$180,4,FALSE)/$AI26</f>
        <v>446.76844652214777</v>
      </c>
      <c r="DN26" s="129">
        <f>VLOOKUP($F26,Activities!$A$9:$I$180,5,FALSE)/$AI26</f>
        <v>487.35663432634107</v>
      </c>
      <c r="DO26" s="129">
        <f>VLOOKUP($F26,Activities!$A$9:$I$180,6,FALSE)/$AI26</f>
        <v>522.69600000784737</v>
      </c>
      <c r="DP26" s="129">
        <f>VLOOKUP($F26,Activities!$A$9:$I$180,7,FALSE)/$AI26</f>
        <v>565.07561948615648</v>
      </c>
      <c r="DQ26" s="129">
        <f>VLOOKUP($F26,Activities!$A$9:$I$180,8,FALSE)/$AI26</f>
        <v>615.3952252612728</v>
      </c>
      <c r="DR26" s="129">
        <f>VLOOKUP($F26,Activities!$A$9:$I$180,9,FALSE)/$AI26</f>
        <v>668.4136459970739</v>
      </c>
      <c r="DS26" s="218"/>
      <c r="DT26" s="360"/>
      <c r="DU26" s="360"/>
      <c r="DV26" s="360"/>
      <c r="DW26" s="360"/>
      <c r="DX26" s="360"/>
      <c r="DY26" s="360"/>
      <c r="DZ26" s="360"/>
      <c r="EA26" s="360"/>
      <c r="EB26" s="360"/>
      <c r="EC26" s="360"/>
      <c r="ED26" s="360"/>
      <c r="EE26" s="360"/>
      <c r="EF26" s="360"/>
      <c r="EG26" s="360"/>
      <c r="EH26" s="360"/>
      <c r="EI26" s="360"/>
      <c r="EJ26" s="360"/>
      <c r="EK26" s="360"/>
      <c r="EL26" s="360"/>
      <c r="EM26" s="360"/>
      <c r="EN26" s="360"/>
      <c r="EO26" s="360"/>
      <c r="EP26" s="360"/>
      <c r="EQ26" s="360"/>
    </row>
    <row r="27" spans="1:147" x14ac:dyDescent="0.35">
      <c r="A27" s="5" t="s">
        <v>717</v>
      </c>
      <c r="B27" s="5" t="s">
        <v>654</v>
      </c>
      <c r="C27" s="5" t="s">
        <v>655</v>
      </c>
      <c r="D27" s="5" t="s">
        <v>708</v>
      </c>
      <c r="E27" s="5" t="s">
        <v>714</v>
      </c>
      <c r="F27" s="5" t="s">
        <v>326</v>
      </c>
      <c r="G27" s="47" t="s">
        <v>718</v>
      </c>
      <c r="H27" s="47" t="s">
        <v>716</v>
      </c>
      <c r="I27" s="101">
        <v>21.9</v>
      </c>
      <c r="J27" s="101">
        <v>21.9</v>
      </c>
      <c r="K27" s="101">
        <v>21.9</v>
      </c>
      <c r="L27" s="101">
        <v>0</v>
      </c>
      <c r="M27" s="101">
        <v>0</v>
      </c>
      <c r="N27" s="101">
        <v>0</v>
      </c>
      <c r="O27" s="101">
        <v>0</v>
      </c>
      <c r="P27" s="93">
        <v>0</v>
      </c>
      <c r="Q27" s="101">
        <v>0.32</v>
      </c>
      <c r="R27" s="101">
        <v>0.32</v>
      </c>
      <c r="S27" s="101">
        <v>0.32</v>
      </c>
      <c r="T27" s="101">
        <v>0.32</v>
      </c>
      <c r="U27" s="101">
        <v>0.32</v>
      </c>
      <c r="V27" s="101">
        <v>0.32</v>
      </c>
      <c r="W27" s="101">
        <v>0.32</v>
      </c>
      <c r="X27" s="101">
        <v>0</v>
      </c>
      <c r="Y27" s="101">
        <v>0</v>
      </c>
      <c r="Z27" s="101">
        <v>0</v>
      </c>
      <c r="AA27" s="101">
        <v>0</v>
      </c>
      <c r="AB27" s="101">
        <v>0</v>
      </c>
      <c r="AC27" s="101">
        <v>0</v>
      </c>
      <c r="AD27" s="101">
        <v>0</v>
      </c>
      <c r="AE27" s="186">
        <v>0.08</v>
      </c>
      <c r="AF27" s="93">
        <v>0</v>
      </c>
      <c r="AG27" s="93">
        <v>25</v>
      </c>
      <c r="AH27" s="93">
        <v>25</v>
      </c>
      <c r="AI27" s="16">
        <v>1</v>
      </c>
      <c r="AJ27" s="16" t="s">
        <v>660</v>
      </c>
      <c r="AK27" s="16" t="s">
        <v>672</v>
      </c>
      <c r="AL27" s="16"/>
      <c r="AM27" s="60"/>
      <c r="AN27" s="60"/>
      <c r="AO27" s="60"/>
      <c r="AP27" s="60"/>
      <c r="AQ27" s="60"/>
      <c r="AR27" s="60"/>
      <c r="AS27" s="63"/>
      <c r="AT27" s="63"/>
      <c r="AU27" s="63"/>
      <c r="AV27" s="131"/>
      <c r="AW27" s="131"/>
      <c r="AX27" s="131"/>
      <c r="AY27" s="27" t="s">
        <v>662</v>
      </c>
      <c r="AZ27" s="27"/>
      <c r="BA27" s="27"/>
      <c r="BB27" s="30"/>
      <c r="BC27" s="30"/>
      <c r="BD27" s="30"/>
      <c r="BE27" s="30"/>
      <c r="BF27" s="30"/>
      <c r="BG27" s="30"/>
      <c r="BH27" s="107"/>
      <c r="BI27" s="107"/>
      <c r="BJ27" s="107"/>
      <c r="BK27" s="107"/>
      <c r="BL27" s="136">
        <v>1</v>
      </c>
      <c r="BM27" s="122"/>
      <c r="BN27" s="138">
        <f>IF(SUM(CB26:CB27)&lt;DL27,CB27,MAX(DL27-SUM(CB26:CB26),0))</f>
        <v>100</v>
      </c>
      <c r="BO27" s="186"/>
      <c r="BP27" s="186"/>
      <c r="BQ27" s="186"/>
      <c r="BR27" s="186"/>
      <c r="BS27" s="186"/>
      <c r="BT27" s="186"/>
      <c r="BU27" s="27">
        <f t="shared" si="1"/>
        <v>100</v>
      </c>
      <c r="BV27" s="27"/>
      <c r="BW27" s="27"/>
      <c r="BX27" s="27"/>
      <c r="BY27" s="27"/>
      <c r="BZ27" s="27"/>
      <c r="CA27" s="27"/>
      <c r="CB27" s="97">
        <v>100</v>
      </c>
      <c r="CC27" s="97">
        <f t="shared" si="10"/>
        <v>446.76844652214777</v>
      </c>
      <c r="CD27" s="97">
        <f t="shared" si="10"/>
        <v>487.35663432634107</v>
      </c>
      <c r="CE27" s="97">
        <f t="shared" si="10"/>
        <v>522.69600000784737</v>
      </c>
      <c r="CF27" s="97">
        <f t="shared" si="10"/>
        <v>565.07561948615648</v>
      </c>
      <c r="CG27" s="97">
        <f t="shared" si="10"/>
        <v>615.3952252612728</v>
      </c>
      <c r="CH27" s="97">
        <f t="shared" si="10"/>
        <v>668.4136459970739</v>
      </c>
      <c r="CI27" s="173"/>
      <c r="CJ27" s="173"/>
      <c r="CK27" s="173"/>
      <c r="CL27" s="173"/>
      <c r="CM27" s="173"/>
      <c r="CN27" s="173"/>
      <c r="CO27" s="173"/>
      <c r="CP27" s="174"/>
      <c r="CQ27" s="174"/>
      <c r="CR27" s="174"/>
      <c r="CS27" s="174"/>
      <c r="CT27" s="174"/>
      <c r="CU27" s="174"/>
      <c r="CV27" s="174"/>
      <c r="CW27" s="165"/>
      <c r="CX27" s="166"/>
      <c r="CY27" s="166">
        <v>1</v>
      </c>
      <c r="CZ27" s="166">
        <v>1</v>
      </c>
      <c r="DA27" s="166">
        <v>1</v>
      </c>
      <c r="DB27" s="166">
        <v>1</v>
      </c>
      <c r="DC27" s="166">
        <v>1</v>
      </c>
      <c r="DD27" s="171"/>
      <c r="DE27" s="171"/>
      <c r="DF27" s="171"/>
      <c r="DG27" s="171"/>
      <c r="DH27" s="171"/>
      <c r="DI27" s="171"/>
      <c r="DJ27" s="171"/>
      <c r="DK27" s="79" t="s">
        <v>452</v>
      </c>
      <c r="DL27" s="128">
        <f>VLOOKUP($F27,Activities!$A$9:$I$180,3,FALSE)/$AI27</f>
        <v>438.72899999999998</v>
      </c>
      <c r="DM27" s="128">
        <f>VLOOKUP($F27,Activities!$A$9:$I$180,4,FALSE)/$AI27</f>
        <v>446.76844652214777</v>
      </c>
      <c r="DN27" s="128">
        <f>VLOOKUP($F27,Activities!$A$9:$I$180,5,FALSE)/$AI27</f>
        <v>487.35663432634107</v>
      </c>
      <c r="DO27" s="128">
        <f>VLOOKUP($F27,Activities!$A$9:$I$180,6,FALSE)/$AI27</f>
        <v>522.69600000784737</v>
      </c>
      <c r="DP27" s="128">
        <f>VLOOKUP($F27,Activities!$A$9:$I$180,7,FALSE)/$AI27</f>
        <v>565.07561948615648</v>
      </c>
      <c r="DQ27" s="128">
        <f>VLOOKUP($F27,Activities!$A$9:$I$180,8,FALSE)/$AI27</f>
        <v>615.3952252612728</v>
      </c>
      <c r="DR27" s="128">
        <f>VLOOKUP($F27,Activities!$A$9:$I$180,9,FALSE)/$AI27</f>
        <v>668.4136459970739</v>
      </c>
      <c r="DS27" s="218"/>
      <c r="DT27" s="360"/>
      <c r="DU27" s="360"/>
      <c r="DV27" s="360"/>
      <c r="DW27" s="360"/>
      <c r="DX27" s="360"/>
      <c r="DY27" s="360"/>
      <c r="DZ27" s="360"/>
      <c r="EA27" s="360"/>
      <c r="EB27" s="360"/>
      <c r="EC27" s="360"/>
      <c r="ED27" s="360"/>
      <c r="EE27" s="360"/>
      <c r="EF27" s="360"/>
      <c r="EG27" s="360"/>
      <c r="EH27" s="360"/>
      <c r="EI27" s="360"/>
      <c r="EJ27" s="360"/>
      <c r="EK27" s="360"/>
      <c r="EL27" s="360"/>
      <c r="EM27" s="360"/>
      <c r="EN27" s="360"/>
      <c r="EO27" s="360"/>
      <c r="EP27" s="360"/>
      <c r="EQ27" s="360"/>
    </row>
    <row r="28" spans="1:147" x14ac:dyDescent="0.35">
      <c r="A28" s="6" t="s">
        <v>719</v>
      </c>
      <c r="B28" s="6" t="s">
        <v>654</v>
      </c>
      <c r="C28" s="6" t="s">
        <v>655</v>
      </c>
      <c r="D28" s="6" t="s">
        <v>708</v>
      </c>
      <c r="E28" s="6" t="s">
        <v>714</v>
      </c>
      <c r="F28" s="6" t="s">
        <v>326</v>
      </c>
      <c r="G28" s="48" t="s">
        <v>720</v>
      </c>
      <c r="H28" s="48" t="s">
        <v>716</v>
      </c>
      <c r="I28" s="102">
        <v>95.3</v>
      </c>
      <c r="J28" s="102">
        <v>95.3</v>
      </c>
      <c r="K28" s="102">
        <v>95.3</v>
      </c>
      <c r="L28" s="102">
        <v>73.099999999999994</v>
      </c>
      <c r="M28" s="102">
        <v>73.099999999999994</v>
      </c>
      <c r="N28" s="102">
        <v>22</v>
      </c>
      <c r="O28" s="102">
        <v>22</v>
      </c>
      <c r="P28" s="94">
        <v>0</v>
      </c>
      <c r="Q28" s="102">
        <v>0.32</v>
      </c>
      <c r="R28" s="102">
        <v>0.32</v>
      </c>
      <c r="S28" s="102">
        <v>0.32</v>
      </c>
      <c r="T28" s="102">
        <v>0.32</v>
      </c>
      <c r="U28" s="102">
        <v>0.32</v>
      </c>
      <c r="V28" s="102">
        <v>0.32</v>
      </c>
      <c r="W28" s="102">
        <v>0.32</v>
      </c>
      <c r="X28" s="102">
        <v>0</v>
      </c>
      <c r="Y28" s="102">
        <v>0</v>
      </c>
      <c r="Z28" s="102">
        <v>0</v>
      </c>
      <c r="AA28" s="102">
        <v>0</v>
      </c>
      <c r="AB28" s="102">
        <v>0</v>
      </c>
      <c r="AC28" s="102">
        <v>0</v>
      </c>
      <c r="AD28" s="102">
        <v>0</v>
      </c>
      <c r="AE28" s="186">
        <v>0.08</v>
      </c>
      <c r="AF28" s="94">
        <v>0</v>
      </c>
      <c r="AG28" s="94">
        <v>25</v>
      </c>
      <c r="AH28" s="94">
        <v>25</v>
      </c>
      <c r="AI28" s="17">
        <v>1</v>
      </c>
      <c r="AJ28" s="17" t="s">
        <v>660</v>
      </c>
      <c r="AK28" s="17" t="s">
        <v>672</v>
      </c>
      <c r="AL28" s="17"/>
      <c r="AM28" s="61"/>
      <c r="AN28" s="61"/>
      <c r="AO28" s="61"/>
      <c r="AP28" s="61"/>
      <c r="AQ28" s="61"/>
      <c r="AR28" s="61"/>
      <c r="AS28" s="64"/>
      <c r="AT28" s="64"/>
      <c r="AU28" s="64"/>
      <c r="AV28" s="132"/>
      <c r="AW28" s="132"/>
      <c r="AX28" s="132"/>
      <c r="AY28" s="28" t="s">
        <v>662</v>
      </c>
      <c r="AZ28" s="28"/>
      <c r="BA28" s="28"/>
      <c r="BB28" s="28"/>
      <c r="BC28" s="28"/>
      <c r="BD28" s="28"/>
      <c r="BE28" s="28"/>
      <c r="BF28" s="28"/>
      <c r="BG28" s="28"/>
      <c r="BH28" s="106"/>
      <c r="BI28" s="106"/>
      <c r="BJ28" s="106"/>
      <c r="BK28" s="106"/>
      <c r="BL28" s="137"/>
      <c r="BM28" s="123"/>
      <c r="BN28" s="138">
        <f>IF(SUM(CB26:CB28)&lt;DL28,CB28,MAX(DL28-SUM(CB26:CB27),0))</f>
        <v>148.72899999999998</v>
      </c>
      <c r="BO28" s="186"/>
      <c r="BP28" s="186"/>
      <c r="BQ28" s="186"/>
      <c r="BR28" s="186"/>
      <c r="BS28" s="186"/>
      <c r="BT28" s="186"/>
      <c r="BU28" s="28">
        <v>180</v>
      </c>
      <c r="BV28" s="28"/>
      <c r="BW28" s="28"/>
      <c r="BX28" s="28"/>
      <c r="BY28" s="28"/>
      <c r="BZ28" s="28"/>
      <c r="CA28" s="28"/>
      <c r="CB28" s="99">
        <v>210</v>
      </c>
      <c r="CC28" s="99">
        <f t="shared" si="10"/>
        <v>446.76844652214777</v>
      </c>
      <c r="CD28" s="99">
        <f t="shared" si="10"/>
        <v>487.35663432634107</v>
      </c>
      <c r="CE28" s="99">
        <f t="shared" si="10"/>
        <v>522.69600000784737</v>
      </c>
      <c r="CF28" s="99">
        <f t="shared" si="10"/>
        <v>565.07561948615648</v>
      </c>
      <c r="CG28" s="99">
        <f t="shared" si="10"/>
        <v>615.3952252612728</v>
      </c>
      <c r="CH28" s="99">
        <f t="shared" si="10"/>
        <v>668.4136459970739</v>
      </c>
      <c r="CI28" s="175"/>
      <c r="CJ28" s="175"/>
      <c r="CK28" s="175"/>
      <c r="CL28" s="175"/>
      <c r="CM28" s="175"/>
      <c r="CN28" s="175"/>
      <c r="CO28" s="175"/>
      <c r="CP28" s="176"/>
      <c r="CQ28" s="176"/>
      <c r="CR28" s="176"/>
      <c r="CS28" s="176"/>
      <c r="CT28" s="176"/>
      <c r="CU28" s="176"/>
      <c r="CV28" s="176"/>
      <c r="CW28" s="167"/>
      <c r="CX28" s="168"/>
      <c r="CY28" s="168"/>
      <c r="CZ28" s="168">
        <v>1</v>
      </c>
      <c r="DA28" s="168">
        <v>1</v>
      </c>
      <c r="DB28" s="168">
        <v>1</v>
      </c>
      <c r="DC28" s="168">
        <v>1</v>
      </c>
      <c r="DD28" s="172"/>
      <c r="DE28" s="172"/>
      <c r="DF28" s="172"/>
      <c r="DG28" s="172"/>
      <c r="DH28" s="172"/>
      <c r="DI28" s="172"/>
      <c r="DJ28" s="172"/>
      <c r="DK28" s="80" t="s">
        <v>663</v>
      </c>
      <c r="DL28" s="129">
        <f>VLOOKUP($F28,Activities!$A$9:$I$180,3,FALSE)/$AI28</f>
        <v>438.72899999999998</v>
      </c>
      <c r="DM28" s="129">
        <f>VLOOKUP($F28,Activities!$A$9:$I$180,4,FALSE)/$AI28</f>
        <v>446.76844652214777</v>
      </c>
      <c r="DN28" s="129">
        <f>VLOOKUP($F28,Activities!$A$9:$I$180,5,FALSE)/$AI28</f>
        <v>487.35663432634107</v>
      </c>
      <c r="DO28" s="129">
        <f>VLOOKUP($F28,Activities!$A$9:$I$180,6,FALSE)/$AI28</f>
        <v>522.69600000784737</v>
      </c>
      <c r="DP28" s="129">
        <f>VLOOKUP($F28,Activities!$A$9:$I$180,7,FALSE)/$AI28</f>
        <v>565.07561948615648</v>
      </c>
      <c r="DQ28" s="129">
        <f>VLOOKUP($F28,Activities!$A$9:$I$180,8,FALSE)/$AI28</f>
        <v>615.3952252612728</v>
      </c>
      <c r="DR28" s="129">
        <f>VLOOKUP($F28,Activities!$A$9:$I$180,9,FALSE)/$AI28</f>
        <v>668.4136459970739</v>
      </c>
      <c r="DS28" s="218"/>
      <c r="DT28" s="360"/>
      <c r="DU28" s="360"/>
      <c r="DV28" s="360"/>
      <c r="DW28" s="360"/>
      <c r="DX28" s="360"/>
      <c r="DY28" s="360"/>
      <c r="DZ28" s="360"/>
      <c r="EA28" s="360"/>
      <c r="EB28" s="360"/>
      <c r="EC28" s="360"/>
      <c r="ED28" s="360"/>
      <c r="EE28" s="360"/>
      <c r="EF28" s="360"/>
      <c r="EG28" s="360"/>
      <c r="EH28" s="360"/>
      <c r="EI28" s="360"/>
      <c r="EJ28" s="360"/>
      <c r="EK28" s="360"/>
      <c r="EL28" s="360"/>
      <c r="EM28" s="360"/>
      <c r="EN28" s="360"/>
      <c r="EO28" s="360"/>
      <c r="EP28" s="360"/>
      <c r="EQ28" s="360"/>
    </row>
    <row r="29" spans="1:147" x14ac:dyDescent="0.35">
      <c r="A29" s="5" t="s">
        <v>721</v>
      </c>
      <c r="B29" s="5" t="s">
        <v>654</v>
      </c>
      <c r="C29" s="5" t="s">
        <v>655</v>
      </c>
      <c r="D29" s="5" t="s">
        <v>708</v>
      </c>
      <c r="E29" s="5" t="s">
        <v>714</v>
      </c>
      <c r="F29" s="5" t="s">
        <v>326</v>
      </c>
      <c r="G29" s="47" t="s">
        <v>722</v>
      </c>
      <c r="H29" s="47" t="s">
        <v>716</v>
      </c>
      <c r="I29" s="101">
        <v>109.9</v>
      </c>
      <c r="J29" s="101">
        <v>107.2</v>
      </c>
      <c r="K29" s="101">
        <v>104.5</v>
      </c>
      <c r="L29" s="101">
        <v>82.6</v>
      </c>
      <c r="M29" s="101">
        <v>77.7</v>
      </c>
      <c r="N29" s="101">
        <v>26</v>
      </c>
      <c r="O29" s="101">
        <v>24</v>
      </c>
      <c r="P29" s="93">
        <v>0</v>
      </c>
      <c r="Q29" s="101">
        <v>0.32</v>
      </c>
      <c r="R29" s="101">
        <v>0.32</v>
      </c>
      <c r="S29" s="101">
        <v>0.32</v>
      </c>
      <c r="T29" s="101">
        <v>0.32</v>
      </c>
      <c r="U29" s="101">
        <v>0.32</v>
      </c>
      <c r="V29" s="101">
        <v>0.32</v>
      </c>
      <c r="W29" s="101">
        <v>0.32</v>
      </c>
      <c r="X29" s="101">
        <v>0</v>
      </c>
      <c r="Y29" s="101">
        <v>0</v>
      </c>
      <c r="Z29" s="101">
        <v>0</v>
      </c>
      <c r="AA29" s="101">
        <v>0</v>
      </c>
      <c r="AB29" s="101">
        <v>0</v>
      </c>
      <c r="AC29" s="101">
        <v>0</v>
      </c>
      <c r="AD29" s="101">
        <v>0</v>
      </c>
      <c r="AE29" s="186">
        <v>0.08</v>
      </c>
      <c r="AF29" s="93">
        <v>0</v>
      </c>
      <c r="AG29" s="93">
        <v>25</v>
      </c>
      <c r="AH29" s="93">
        <v>25</v>
      </c>
      <c r="AI29" s="16">
        <v>1</v>
      </c>
      <c r="AJ29" s="16" t="s">
        <v>660</v>
      </c>
      <c r="AK29" s="16" t="s">
        <v>672</v>
      </c>
      <c r="AL29" s="16"/>
      <c r="AM29" s="60"/>
      <c r="AN29" s="60"/>
      <c r="AO29" s="60"/>
      <c r="AP29" s="60"/>
      <c r="AQ29" s="60"/>
      <c r="AR29" s="60"/>
      <c r="AS29" s="63"/>
      <c r="AT29" s="63"/>
      <c r="AU29" s="63"/>
      <c r="AV29" s="131"/>
      <c r="AW29" s="131"/>
      <c r="AX29" s="131"/>
      <c r="AY29" s="27" t="s">
        <v>662</v>
      </c>
      <c r="AZ29" s="27"/>
      <c r="BA29" s="27"/>
      <c r="BB29" s="30"/>
      <c r="BC29" s="30"/>
      <c r="BD29" s="30"/>
      <c r="BE29" s="30"/>
      <c r="BF29" s="30"/>
      <c r="BG29" s="30"/>
      <c r="BH29" s="107"/>
      <c r="BI29" s="107"/>
      <c r="BJ29" s="107"/>
      <c r="BK29" s="107"/>
      <c r="BL29" s="136"/>
      <c r="BM29" s="122"/>
      <c r="BN29" s="138">
        <f>IF(SUM(CB26:CB29)&lt;DL29,CB29,MAX(DL29-SUM(CB26:CB28),0))</f>
        <v>0</v>
      </c>
      <c r="BO29" s="93"/>
      <c r="BP29" s="93"/>
      <c r="BQ29" s="93">
        <v>0</v>
      </c>
      <c r="BR29" s="93">
        <v>0</v>
      </c>
      <c r="BS29" s="93"/>
      <c r="BT29" s="93">
        <v>0</v>
      </c>
      <c r="BU29" s="27">
        <f t="shared" si="1"/>
        <v>0</v>
      </c>
      <c r="BV29" s="27"/>
      <c r="BW29" s="27"/>
      <c r="BX29" s="27"/>
      <c r="BY29" s="27"/>
      <c r="BZ29" s="27"/>
      <c r="CA29" s="27"/>
      <c r="CB29" s="97">
        <v>10</v>
      </c>
      <c r="CC29" s="97">
        <f t="shared" si="10"/>
        <v>446.76844652214777</v>
      </c>
      <c r="CD29" s="97">
        <f t="shared" si="10"/>
        <v>487.35663432634107</v>
      </c>
      <c r="CE29" s="97">
        <f t="shared" si="10"/>
        <v>522.69600000784737</v>
      </c>
      <c r="CF29" s="97">
        <f t="shared" si="10"/>
        <v>565.07561948615648</v>
      </c>
      <c r="CG29" s="97">
        <f t="shared" si="10"/>
        <v>615.3952252612728</v>
      </c>
      <c r="CH29" s="97">
        <f t="shared" si="10"/>
        <v>668.4136459970739</v>
      </c>
      <c r="CI29" s="173"/>
      <c r="CJ29" s="173"/>
      <c r="CK29" s="173"/>
      <c r="CL29" s="173"/>
      <c r="CM29" s="173"/>
      <c r="CN29" s="173"/>
      <c r="CO29" s="173"/>
      <c r="CP29" s="174"/>
      <c r="CQ29" s="174"/>
      <c r="CR29" s="174"/>
      <c r="CS29" s="174"/>
      <c r="CT29" s="174"/>
      <c r="CU29" s="174"/>
      <c r="CV29" s="174"/>
      <c r="CW29" s="165"/>
      <c r="CX29" s="166"/>
      <c r="CY29" s="166"/>
      <c r="CZ29" s="166"/>
      <c r="DA29" s="166"/>
      <c r="DB29" s="166"/>
      <c r="DC29" s="166"/>
      <c r="DD29" s="171"/>
      <c r="DE29" s="171"/>
      <c r="DF29" s="171">
        <v>1</v>
      </c>
      <c r="DG29" s="171">
        <v>1</v>
      </c>
      <c r="DH29" s="171">
        <v>1</v>
      </c>
      <c r="DI29" s="171">
        <v>1</v>
      </c>
      <c r="DJ29" s="171">
        <v>1</v>
      </c>
      <c r="DK29" s="79" t="s">
        <v>699</v>
      </c>
      <c r="DL29" s="128">
        <f>VLOOKUP($F29,Activities!$A$9:$I$180,3,FALSE)/$AI29</f>
        <v>438.72899999999998</v>
      </c>
      <c r="DM29" s="128">
        <f>VLOOKUP($F29,Activities!$A$9:$I$180,4,FALSE)/$AI29</f>
        <v>446.76844652214777</v>
      </c>
      <c r="DN29" s="128">
        <f>VLOOKUP($F29,Activities!$A$9:$I$180,5,FALSE)/$AI29</f>
        <v>487.35663432634107</v>
      </c>
      <c r="DO29" s="128">
        <f>VLOOKUP($F29,Activities!$A$9:$I$180,6,FALSE)/$AI29</f>
        <v>522.69600000784737</v>
      </c>
      <c r="DP29" s="128">
        <f>VLOOKUP($F29,Activities!$A$9:$I$180,7,FALSE)/$AI29</f>
        <v>565.07561948615648</v>
      </c>
      <c r="DQ29" s="128">
        <f>VLOOKUP($F29,Activities!$A$9:$I$180,8,FALSE)/$AI29</f>
        <v>615.3952252612728</v>
      </c>
      <c r="DR29" s="128">
        <f>VLOOKUP($F29,Activities!$A$9:$I$180,9,FALSE)/$AI29</f>
        <v>668.4136459970739</v>
      </c>
      <c r="DS29" s="218"/>
      <c r="DT29" s="360"/>
      <c r="DU29" s="360"/>
      <c r="DV29" s="360"/>
      <c r="DW29" s="360"/>
      <c r="DX29" s="360"/>
      <c r="DY29" s="360"/>
      <c r="DZ29" s="360"/>
      <c r="EA29" s="360"/>
      <c r="EB29" s="360"/>
      <c r="EC29" s="360"/>
      <c r="ED29" s="360"/>
      <c r="EE29" s="360"/>
      <c r="EF29" s="360"/>
      <c r="EG29" s="360"/>
      <c r="EH29" s="360"/>
      <c r="EI29" s="360"/>
      <c r="EJ29" s="360"/>
      <c r="EK29" s="360"/>
      <c r="EL29" s="360"/>
      <c r="EM29" s="360"/>
      <c r="EN29" s="360"/>
      <c r="EO29" s="360"/>
      <c r="EP29" s="360"/>
      <c r="EQ29" s="360"/>
    </row>
    <row r="30" spans="1:147" x14ac:dyDescent="0.35">
      <c r="A30" s="6" t="s">
        <v>723</v>
      </c>
      <c r="B30" s="6" t="s">
        <v>654</v>
      </c>
      <c r="C30" s="6" t="s">
        <v>655</v>
      </c>
      <c r="D30" s="6" t="s">
        <v>708</v>
      </c>
      <c r="E30" s="6" t="s">
        <v>714</v>
      </c>
      <c r="F30" s="6" t="s">
        <v>326</v>
      </c>
      <c r="G30" s="48" t="s">
        <v>724</v>
      </c>
      <c r="H30" s="48" t="s">
        <v>716</v>
      </c>
      <c r="I30" s="102">
        <v>122.64</v>
      </c>
      <c r="J30" s="102">
        <v>116.5</v>
      </c>
      <c r="K30" s="102">
        <v>110.4</v>
      </c>
      <c r="L30" s="102">
        <v>88.5</v>
      </c>
      <c r="M30" s="102">
        <v>82.5</v>
      </c>
      <c r="N30" s="102">
        <v>30</v>
      </c>
      <c r="O30" s="102">
        <v>28</v>
      </c>
      <c r="P30" s="94">
        <v>0</v>
      </c>
      <c r="Q30" s="102">
        <v>0.32</v>
      </c>
      <c r="R30" s="102">
        <v>0.32</v>
      </c>
      <c r="S30" s="102">
        <v>0.32</v>
      </c>
      <c r="T30" s="102">
        <v>0.32</v>
      </c>
      <c r="U30" s="102">
        <v>0.32</v>
      </c>
      <c r="V30" s="102">
        <v>0.32</v>
      </c>
      <c r="W30" s="102">
        <v>0.32</v>
      </c>
      <c r="X30" s="102">
        <v>0</v>
      </c>
      <c r="Y30" s="102">
        <v>0</v>
      </c>
      <c r="Z30" s="102">
        <v>0</v>
      </c>
      <c r="AA30" s="102">
        <v>0</v>
      </c>
      <c r="AB30" s="102">
        <v>0</v>
      </c>
      <c r="AC30" s="102">
        <v>0</v>
      </c>
      <c r="AD30" s="102">
        <v>0</v>
      </c>
      <c r="AE30" s="186">
        <v>0.08</v>
      </c>
      <c r="AF30" s="94">
        <v>0</v>
      </c>
      <c r="AG30" s="94">
        <v>25</v>
      </c>
      <c r="AH30" s="94">
        <v>25</v>
      </c>
      <c r="AI30" s="17">
        <v>1</v>
      </c>
      <c r="AJ30" s="17" t="s">
        <v>660</v>
      </c>
      <c r="AK30" s="17" t="s">
        <v>672</v>
      </c>
      <c r="AL30" s="17"/>
      <c r="AM30" s="61"/>
      <c r="AN30" s="61"/>
      <c r="AO30" s="61"/>
      <c r="AP30" s="61"/>
      <c r="AQ30" s="61"/>
      <c r="AR30" s="61"/>
      <c r="AS30" s="64"/>
      <c r="AT30" s="64"/>
      <c r="AU30" s="64"/>
      <c r="AV30" s="132"/>
      <c r="AW30" s="132"/>
      <c r="AX30" s="132"/>
      <c r="AY30" s="28" t="s">
        <v>662</v>
      </c>
      <c r="AZ30" s="28"/>
      <c r="BA30" s="28"/>
      <c r="BB30" s="28"/>
      <c r="BC30" s="28"/>
      <c r="BD30" s="28"/>
      <c r="BE30" s="28"/>
      <c r="BF30" s="28"/>
      <c r="BG30" s="28"/>
      <c r="BH30" s="106"/>
      <c r="BI30" s="106"/>
      <c r="BJ30" s="106"/>
      <c r="BK30" s="106"/>
      <c r="BL30" s="137"/>
      <c r="BM30" s="123"/>
      <c r="BN30" s="138">
        <f>IF(SUM(CB26:CB30)&lt;DL30,CB30,MAX(DL30-SUM(CB26:CB29),0))</f>
        <v>0</v>
      </c>
      <c r="BO30" s="94"/>
      <c r="BP30" s="94"/>
      <c r="BQ30" s="94">
        <v>0</v>
      </c>
      <c r="BR30" s="94">
        <v>0</v>
      </c>
      <c r="BS30" s="94"/>
      <c r="BT30" s="94">
        <v>0</v>
      </c>
      <c r="BU30" s="28">
        <f t="shared" si="1"/>
        <v>0</v>
      </c>
      <c r="BV30" s="28"/>
      <c r="BW30" s="28"/>
      <c r="BX30" s="28"/>
      <c r="BY30" s="28"/>
      <c r="BZ30" s="28"/>
      <c r="CA30" s="28"/>
      <c r="CB30" s="99">
        <v>5</v>
      </c>
      <c r="CC30" s="99">
        <f t="shared" si="10"/>
        <v>446.76844652214777</v>
      </c>
      <c r="CD30" s="99">
        <f t="shared" si="10"/>
        <v>487.35663432634107</v>
      </c>
      <c r="CE30" s="99">
        <f t="shared" si="10"/>
        <v>522.69600000784737</v>
      </c>
      <c r="CF30" s="99">
        <f t="shared" si="10"/>
        <v>565.07561948615648</v>
      </c>
      <c r="CG30" s="99">
        <f t="shared" si="10"/>
        <v>615.3952252612728</v>
      </c>
      <c r="CH30" s="99">
        <f t="shared" si="10"/>
        <v>668.4136459970739</v>
      </c>
      <c r="CI30" s="175"/>
      <c r="CJ30" s="175"/>
      <c r="CK30" s="175"/>
      <c r="CL30" s="175"/>
      <c r="CM30" s="175"/>
      <c r="CN30" s="175"/>
      <c r="CO30" s="175"/>
      <c r="CP30" s="176"/>
      <c r="CQ30" s="176"/>
      <c r="CR30" s="176"/>
      <c r="CS30" s="176"/>
      <c r="CT30" s="176"/>
      <c r="CU30" s="176"/>
      <c r="CV30" s="176"/>
      <c r="CW30" s="167"/>
      <c r="CX30" s="168"/>
      <c r="CY30" s="168"/>
      <c r="CZ30" s="168"/>
      <c r="DA30" s="168"/>
      <c r="DB30" s="168"/>
      <c r="DC30" s="168"/>
      <c r="DD30" s="172"/>
      <c r="DE30" s="172"/>
      <c r="DF30" s="172">
        <v>1</v>
      </c>
      <c r="DG30" s="172">
        <v>1</v>
      </c>
      <c r="DH30" s="172">
        <v>1</v>
      </c>
      <c r="DI30" s="172">
        <v>1</v>
      </c>
      <c r="DJ30" s="172">
        <v>1</v>
      </c>
      <c r="DK30" s="80" t="s">
        <v>699</v>
      </c>
      <c r="DL30" s="129">
        <f>VLOOKUP($F30,Activities!$A$9:$I$180,3,FALSE)/$AI30</f>
        <v>438.72899999999998</v>
      </c>
      <c r="DM30" s="129">
        <f>VLOOKUP($F30,Activities!$A$9:$I$180,4,FALSE)/$AI30</f>
        <v>446.76844652214777</v>
      </c>
      <c r="DN30" s="129">
        <f>VLOOKUP($F30,Activities!$A$9:$I$180,5,FALSE)/$AI30</f>
        <v>487.35663432634107</v>
      </c>
      <c r="DO30" s="129">
        <f>VLOOKUP($F30,Activities!$A$9:$I$180,6,FALSE)/$AI30</f>
        <v>522.69600000784737</v>
      </c>
      <c r="DP30" s="129">
        <f>VLOOKUP($F30,Activities!$A$9:$I$180,7,FALSE)/$AI30</f>
        <v>565.07561948615648</v>
      </c>
      <c r="DQ30" s="129">
        <f>VLOOKUP($F30,Activities!$A$9:$I$180,8,FALSE)/$AI30</f>
        <v>615.3952252612728</v>
      </c>
      <c r="DR30" s="129">
        <f>VLOOKUP($F30,Activities!$A$9:$I$180,9,FALSE)/$AI30</f>
        <v>668.4136459970739</v>
      </c>
      <c r="DS30" s="218"/>
      <c r="DT30" s="360"/>
      <c r="DU30" s="360"/>
      <c r="DV30" s="360"/>
      <c r="DW30" s="360"/>
      <c r="DX30" s="360"/>
      <c r="DY30" s="360"/>
      <c r="DZ30" s="360"/>
      <c r="EA30" s="360"/>
      <c r="EB30" s="360"/>
      <c r="EC30" s="360"/>
      <c r="ED30" s="360"/>
      <c r="EE30" s="360"/>
      <c r="EF30" s="360"/>
      <c r="EG30" s="360"/>
      <c r="EH30" s="360"/>
      <c r="EI30" s="360"/>
      <c r="EJ30" s="360"/>
      <c r="EK30" s="360"/>
      <c r="EL30" s="360"/>
      <c r="EM30" s="360"/>
      <c r="EN30" s="360"/>
      <c r="EO30" s="360"/>
      <c r="EP30" s="360"/>
      <c r="EQ30" s="360"/>
    </row>
    <row r="31" spans="1:147" x14ac:dyDescent="0.35">
      <c r="A31" s="5" t="s">
        <v>725</v>
      </c>
      <c r="B31" s="5" t="s">
        <v>726</v>
      </c>
      <c r="C31" s="5" t="s">
        <v>655</v>
      </c>
      <c r="D31" s="5" t="s">
        <v>727</v>
      </c>
      <c r="E31" s="5" t="s">
        <v>657</v>
      </c>
      <c r="F31" s="5" t="s">
        <v>328</v>
      </c>
      <c r="G31" s="47" t="s">
        <v>728</v>
      </c>
      <c r="H31" s="47" t="s">
        <v>659</v>
      </c>
      <c r="I31" s="101">
        <v>0</v>
      </c>
      <c r="J31" s="101">
        <v>0</v>
      </c>
      <c r="K31" s="101">
        <v>0</v>
      </c>
      <c r="L31" s="101">
        <v>0</v>
      </c>
      <c r="M31" s="101">
        <v>0</v>
      </c>
      <c r="N31" s="101">
        <v>0</v>
      </c>
      <c r="O31" s="101">
        <v>0</v>
      </c>
      <c r="P31" s="93">
        <v>0</v>
      </c>
      <c r="Q31" s="101">
        <v>0</v>
      </c>
      <c r="R31" s="101">
        <v>0</v>
      </c>
      <c r="S31" s="101">
        <v>0</v>
      </c>
      <c r="T31" s="101">
        <v>0</v>
      </c>
      <c r="U31" s="101">
        <v>0</v>
      </c>
      <c r="V31" s="101">
        <v>0</v>
      </c>
      <c r="W31" s="101">
        <v>0</v>
      </c>
      <c r="X31" s="101">
        <v>0</v>
      </c>
      <c r="Y31" s="101">
        <v>0</v>
      </c>
      <c r="Z31" s="101">
        <v>0</v>
      </c>
      <c r="AA31" s="101">
        <v>0</v>
      </c>
      <c r="AB31" s="101">
        <v>0</v>
      </c>
      <c r="AC31" s="101">
        <v>0</v>
      </c>
      <c r="AD31" s="101">
        <v>0</v>
      </c>
      <c r="AE31" s="186">
        <v>0.08</v>
      </c>
      <c r="AF31" s="93">
        <v>0</v>
      </c>
      <c r="AG31" s="93">
        <v>1</v>
      </c>
      <c r="AH31" s="93">
        <v>1</v>
      </c>
      <c r="AI31" s="16">
        <v>1</v>
      </c>
      <c r="AJ31" s="16" t="s">
        <v>660</v>
      </c>
      <c r="AK31" s="16" t="s">
        <v>661</v>
      </c>
      <c r="AL31" s="16"/>
      <c r="AM31" s="60"/>
      <c r="AN31" s="60"/>
      <c r="AO31" s="60"/>
      <c r="AP31" s="60"/>
      <c r="AQ31" s="60"/>
      <c r="AR31" s="60"/>
      <c r="AS31" s="63"/>
      <c r="AT31" s="63"/>
      <c r="AU31" s="63"/>
      <c r="AV31" s="131"/>
      <c r="AW31" s="131"/>
      <c r="AX31" s="131"/>
      <c r="AY31" s="27" t="s">
        <v>662</v>
      </c>
      <c r="AZ31" s="27"/>
      <c r="BA31" s="27"/>
      <c r="BB31" s="30"/>
      <c r="BC31" s="30"/>
      <c r="BD31" s="30"/>
      <c r="BE31" s="30"/>
      <c r="BF31" s="30"/>
      <c r="BG31" s="30"/>
      <c r="BH31" s="107"/>
      <c r="BI31" s="107"/>
      <c r="BJ31" s="107"/>
      <c r="BK31" s="107"/>
      <c r="BL31" s="136">
        <v>1</v>
      </c>
      <c r="BM31" s="122"/>
      <c r="BN31" s="138">
        <f>CB31</f>
        <v>25.2</v>
      </c>
      <c r="BO31" s="93"/>
      <c r="BP31" s="93"/>
      <c r="BQ31" s="93">
        <v>0</v>
      </c>
      <c r="BR31" s="93">
        <v>0</v>
      </c>
      <c r="BS31" s="93">
        <v>0</v>
      </c>
      <c r="BT31" s="93">
        <v>0</v>
      </c>
      <c r="BU31" s="27">
        <f t="shared" si="1"/>
        <v>25.2</v>
      </c>
      <c r="BV31" s="27"/>
      <c r="BW31" s="27"/>
      <c r="BX31" s="27"/>
      <c r="BY31" s="27"/>
      <c r="BZ31" s="27"/>
      <c r="CA31" s="27"/>
      <c r="CB31" s="97">
        <f>DL31</f>
        <v>25.2</v>
      </c>
      <c r="CC31" s="97">
        <f t="shared" si="10"/>
        <v>25.661774927935294</v>
      </c>
      <c r="CD31" s="97">
        <f t="shared" si="10"/>
        <v>27.993105504819138</v>
      </c>
      <c r="CE31" s="97">
        <f t="shared" si="10"/>
        <v>30.022950842542329</v>
      </c>
      <c r="CF31" s="97">
        <f t="shared" si="10"/>
        <v>32.457178830328388</v>
      </c>
      <c r="CG31" s="97">
        <f t="shared" si="10"/>
        <v>35.347468885312061</v>
      </c>
      <c r="CH31" s="97">
        <f t="shared" si="10"/>
        <v>38.392775219158672</v>
      </c>
      <c r="CI31" s="173"/>
      <c r="CJ31" s="173"/>
      <c r="CK31" s="173"/>
      <c r="CL31" s="173"/>
      <c r="CM31" s="173"/>
      <c r="CN31" s="173"/>
      <c r="CO31" s="173"/>
      <c r="CP31" s="174"/>
      <c r="CQ31" s="174"/>
      <c r="CR31" s="174"/>
      <c r="CS31" s="174"/>
      <c r="CT31" s="174"/>
      <c r="CU31" s="174"/>
      <c r="CV31" s="174"/>
      <c r="CW31" s="165"/>
      <c r="CX31" s="166"/>
      <c r="CY31" s="166"/>
      <c r="CZ31" s="166"/>
      <c r="DA31" s="166"/>
      <c r="DB31" s="166"/>
      <c r="DC31" s="166"/>
      <c r="DD31" s="171"/>
      <c r="DE31" s="171"/>
      <c r="DF31" s="171"/>
      <c r="DG31" s="171"/>
      <c r="DH31" s="171"/>
      <c r="DI31" s="171"/>
      <c r="DJ31" s="171"/>
      <c r="DK31" s="79" t="s">
        <v>681</v>
      </c>
      <c r="DL31" s="128">
        <f>VLOOKUP($F31,Activities!$A$9:$I$180,3,FALSE)/$AI31</f>
        <v>25.2</v>
      </c>
      <c r="DM31" s="128">
        <f>VLOOKUP($F31,Activities!$A$9:$I$180,4,FALSE)/$AI31</f>
        <v>25.661774927935294</v>
      </c>
      <c r="DN31" s="128">
        <f>VLOOKUP($F31,Activities!$A$9:$I$180,5,FALSE)/$AI31</f>
        <v>27.993105504819138</v>
      </c>
      <c r="DO31" s="128">
        <f>VLOOKUP($F31,Activities!$A$9:$I$180,6,FALSE)/$AI31</f>
        <v>30.022950842542329</v>
      </c>
      <c r="DP31" s="128">
        <f>VLOOKUP($F31,Activities!$A$9:$I$180,7,FALSE)/$AI31</f>
        <v>32.457178830328388</v>
      </c>
      <c r="DQ31" s="128">
        <f>VLOOKUP($F31,Activities!$A$9:$I$180,8,FALSE)/$AI31</f>
        <v>35.347468885312061</v>
      </c>
      <c r="DR31" s="128">
        <f>VLOOKUP($F31,Activities!$A$9:$I$180,9,FALSE)/$AI31</f>
        <v>38.392775219158672</v>
      </c>
      <c r="DS31" s="218"/>
      <c r="DT31" s="360"/>
      <c r="DU31" s="360"/>
      <c r="DV31" s="360"/>
      <c r="DW31" s="360"/>
      <c r="DX31" s="360"/>
      <c r="DY31" s="360"/>
      <c r="DZ31" s="360"/>
      <c r="EA31" s="360"/>
      <c r="EB31" s="360"/>
      <c r="EC31" s="360"/>
      <c r="ED31" s="360"/>
      <c r="EE31" s="360"/>
      <c r="EF31" s="360"/>
      <c r="EG31" s="360"/>
      <c r="EH31" s="360"/>
      <c r="EI31" s="360"/>
      <c r="EJ31" s="360"/>
      <c r="EK31" s="360"/>
      <c r="EL31" s="360"/>
      <c r="EM31" s="360"/>
      <c r="EN31" s="360"/>
      <c r="EO31" s="360"/>
      <c r="EP31" s="360"/>
      <c r="EQ31" s="360"/>
    </row>
    <row r="32" spans="1:147" x14ac:dyDescent="0.35">
      <c r="A32" s="6" t="s">
        <v>729</v>
      </c>
      <c r="B32" s="6" t="s">
        <v>726</v>
      </c>
      <c r="C32" s="6" t="s">
        <v>655</v>
      </c>
      <c r="D32" s="6" t="s">
        <v>727</v>
      </c>
      <c r="E32" s="6" t="s">
        <v>730</v>
      </c>
      <c r="F32" s="6" t="s">
        <v>329</v>
      </c>
      <c r="G32" s="48" t="s">
        <v>731</v>
      </c>
      <c r="H32" s="48" t="s">
        <v>659</v>
      </c>
      <c r="I32" s="102">
        <v>0</v>
      </c>
      <c r="J32" s="102">
        <v>0</v>
      </c>
      <c r="K32" s="102">
        <v>0</v>
      </c>
      <c r="L32" s="102">
        <v>0</v>
      </c>
      <c r="M32" s="102">
        <v>0</v>
      </c>
      <c r="N32" s="102">
        <v>0</v>
      </c>
      <c r="O32" s="102">
        <v>0</v>
      </c>
      <c r="P32" s="94">
        <v>0</v>
      </c>
      <c r="Q32" s="102">
        <v>0</v>
      </c>
      <c r="R32" s="102">
        <v>0</v>
      </c>
      <c r="S32" s="102">
        <v>0</v>
      </c>
      <c r="T32" s="102">
        <v>0</v>
      </c>
      <c r="U32" s="102">
        <v>0</v>
      </c>
      <c r="V32" s="102">
        <v>0</v>
      </c>
      <c r="W32" s="102">
        <v>0</v>
      </c>
      <c r="X32" s="102">
        <v>0</v>
      </c>
      <c r="Y32" s="102">
        <v>0</v>
      </c>
      <c r="Z32" s="102">
        <v>0</v>
      </c>
      <c r="AA32" s="102">
        <v>0</v>
      </c>
      <c r="AB32" s="102">
        <v>0</v>
      </c>
      <c r="AC32" s="102">
        <v>0</v>
      </c>
      <c r="AD32" s="102">
        <v>0</v>
      </c>
      <c r="AE32" s="186">
        <v>0.08</v>
      </c>
      <c r="AF32" s="94">
        <v>0</v>
      </c>
      <c r="AG32" s="94">
        <v>1</v>
      </c>
      <c r="AH32" s="94">
        <v>1</v>
      </c>
      <c r="AI32" s="17">
        <v>1</v>
      </c>
      <c r="AJ32" s="17" t="s">
        <v>660</v>
      </c>
      <c r="AK32" s="17" t="s">
        <v>732</v>
      </c>
      <c r="AL32" s="17"/>
      <c r="AM32" s="61"/>
      <c r="AN32" s="61"/>
      <c r="AO32" s="61"/>
      <c r="AP32" s="61"/>
      <c r="AQ32" s="61"/>
      <c r="AR32" s="61"/>
      <c r="AS32" s="64"/>
      <c r="AT32" s="64"/>
      <c r="AU32" s="64"/>
      <c r="AV32" s="132"/>
      <c r="AW32" s="132"/>
      <c r="AX32" s="132"/>
      <c r="AY32" s="28" t="s">
        <v>662</v>
      </c>
      <c r="AZ32" s="28"/>
      <c r="BA32" s="28"/>
      <c r="BB32" s="28"/>
      <c r="BC32" s="28"/>
      <c r="BD32" s="28"/>
      <c r="BE32" s="28"/>
      <c r="BF32" s="28"/>
      <c r="BG32" s="28"/>
      <c r="BH32" s="106"/>
      <c r="BI32" s="106"/>
      <c r="BJ32" s="106"/>
      <c r="BK32" s="106"/>
      <c r="BL32" s="137">
        <v>1</v>
      </c>
      <c r="BM32" s="123"/>
      <c r="BN32" s="139">
        <f>DL32</f>
        <v>72.53</v>
      </c>
      <c r="BO32" s="94">
        <v>0</v>
      </c>
      <c r="BP32" s="94">
        <v>0</v>
      </c>
      <c r="BQ32" s="94">
        <v>0</v>
      </c>
      <c r="BR32" s="94">
        <v>0</v>
      </c>
      <c r="BS32" s="94">
        <v>0</v>
      </c>
      <c r="BT32" s="94">
        <v>0</v>
      </c>
      <c r="BU32" s="28">
        <f t="shared" si="1"/>
        <v>72.53</v>
      </c>
      <c r="BV32" s="28"/>
      <c r="BW32" s="28"/>
      <c r="BX32" s="28"/>
      <c r="BY32" s="28"/>
      <c r="BZ32" s="28"/>
      <c r="CA32" s="28"/>
      <c r="CB32" s="99">
        <f t="shared" ref="CB32:CB35" si="11">DL32</f>
        <v>72.53</v>
      </c>
      <c r="CC32" s="99">
        <f t="shared" si="10"/>
        <v>72.53</v>
      </c>
      <c r="CD32" s="99">
        <f t="shared" si="10"/>
        <v>72.53</v>
      </c>
      <c r="CE32" s="99">
        <f t="shared" si="10"/>
        <v>72.53</v>
      </c>
      <c r="CF32" s="99">
        <f t="shared" si="10"/>
        <v>72.53</v>
      </c>
      <c r="CG32" s="99">
        <f t="shared" si="10"/>
        <v>72.53</v>
      </c>
      <c r="CH32" s="99">
        <f>DR32</f>
        <v>72.53</v>
      </c>
      <c r="CI32" s="175"/>
      <c r="CJ32" s="175"/>
      <c r="CK32" s="175"/>
      <c r="CL32" s="175"/>
      <c r="CM32" s="175"/>
      <c r="CN32" s="175"/>
      <c r="CO32" s="175"/>
      <c r="CP32" s="176"/>
      <c r="CQ32" s="176"/>
      <c r="CR32" s="176"/>
      <c r="CS32" s="176"/>
      <c r="CT32" s="176"/>
      <c r="CU32" s="176"/>
      <c r="CV32" s="176"/>
      <c r="CW32" s="167"/>
      <c r="CX32" s="168"/>
      <c r="CY32" s="168"/>
      <c r="CZ32" s="168"/>
      <c r="DA32" s="168"/>
      <c r="DB32" s="168"/>
      <c r="DC32" s="168"/>
      <c r="DD32" s="172"/>
      <c r="DE32" s="172"/>
      <c r="DF32" s="172"/>
      <c r="DG32" s="172"/>
      <c r="DH32" s="172"/>
      <c r="DI32" s="172"/>
      <c r="DJ32" s="172"/>
      <c r="DK32" s="80" t="s">
        <v>681</v>
      </c>
      <c r="DL32" s="129">
        <f>VLOOKUP($F32,Activities!$A$9:$I$180,3,FALSE)/$AI32</f>
        <v>72.53</v>
      </c>
      <c r="DM32" s="129">
        <f>VLOOKUP($F32,Activities!$A$9:$I$180,4,FALSE)/$AI32</f>
        <v>72.53</v>
      </c>
      <c r="DN32" s="129">
        <f>VLOOKUP($F32,Activities!$A$9:$I$180,5,FALSE)/$AI32</f>
        <v>72.53</v>
      </c>
      <c r="DO32" s="129">
        <f>VLOOKUP($F32,Activities!$A$9:$I$180,6,FALSE)/$AI32</f>
        <v>72.53</v>
      </c>
      <c r="DP32" s="129">
        <f>VLOOKUP($F32,Activities!$A$9:$I$180,7,FALSE)/$AI32</f>
        <v>72.53</v>
      </c>
      <c r="DQ32" s="129">
        <f>VLOOKUP($F32,Activities!$A$9:$I$180,8,FALSE)/$AI32</f>
        <v>72.53</v>
      </c>
      <c r="DR32" s="129">
        <f>VLOOKUP($F32,Activities!$A$9:$I$180,9,FALSE)/$AI32</f>
        <v>72.53</v>
      </c>
      <c r="DS32" s="218"/>
      <c r="DT32" s="360"/>
      <c r="DU32" s="360"/>
      <c r="DV32" s="360"/>
      <c r="DW32" s="360"/>
      <c r="DX32" s="360"/>
      <c r="DY32" s="360"/>
      <c r="DZ32" s="360"/>
      <c r="EA32" s="360"/>
      <c r="EB32" s="360"/>
      <c r="EC32" s="360"/>
      <c r="ED32" s="360"/>
      <c r="EE32" s="360"/>
      <c r="EF32" s="360"/>
      <c r="EG32" s="360"/>
      <c r="EH32" s="360"/>
      <c r="EI32" s="360"/>
      <c r="EJ32" s="360"/>
      <c r="EK32" s="360"/>
      <c r="EL32" s="360"/>
      <c r="EM32" s="360"/>
      <c r="EN32" s="360"/>
      <c r="EO32" s="360"/>
      <c r="EP32" s="360"/>
      <c r="EQ32" s="360"/>
    </row>
    <row r="33" spans="1:147" x14ac:dyDescent="0.35">
      <c r="A33" s="5" t="s">
        <v>733</v>
      </c>
      <c r="B33" s="5" t="s">
        <v>734</v>
      </c>
      <c r="C33" s="5" t="s">
        <v>655</v>
      </c>
      <c r="D33" s="5" t="s">
        <v>727</v>
      </c>
      <c r="E33" s="5" t="s">
        <v>735</v>
      </c>
      <c r="F33" s="5" t="s">
        <v>330</v>
      </c>
      <c r="G33" s="47" t="s">
        <v>736</v>
      </c>
      <c r="H33" s="47" t="s">
        <v>659</v>
      </c>
      <c r="I33" s="101">
        <v>265</v>
      </c>
      <c r="J33" s="101">
        <v>265</v>
      </c>
      <c r="K33" s="101">
        <v>265</v>
      </c>
      <c r="L33" s="101">
        <v>265</v>
      </c>
      <c r="M33" s="101">
        <v>265</v>
      </c>
      <c r="N33" s="101">
        <v>265</v>
      </c>
      <c r="O33" s="101">
        <v>265</v>
      </c>
      <c r="P33" s="93">
        <v>0</v>
      </c>
      <c r="Q33" s="101">
        <v>0</v>
      </c>
      <c r="R33" s="101">
        <v>0</v>
      </c>
      <c r="S33" s="101">
        <v>0</v>
      </c>
      <c r="T33" s="101">
        <v>0</v>
      </c>
      <c r="U33" s="101">
        <v>0</v>
      </c>
      <c r="V33" s="101">
        <v>0</v>
      </c>
      <c r="W33" s="101">
        <v>0</v>
      </c>
      <c r="X33" s="101">
        <v>0</v>
      </c>
      <c r="Y33" s="101">
        <v>0</v>
      </c>
      <c r="Z33" s="101">
        <v>0</v>
      </c>
      <c r="AA33" s="101">
        <v>0</v>
      </c>
      <c r="AB33" s="101">
        <v>0</v>
      </c>
      <c r="AC33" s="101">
        <v>0</v>
      </c>
      <c r="AD33" s="101">
        <v>0</v>
      </c>
      <c r="AE33" s="186">
        <v>0.08</v>
      </c>
      <c r="AF33" s="93">
        <v>0</v>
      </c>
      <c r="AG33" s="93">
        <v>15</v>
      </c>
      <c r="AH33" s="93">
        <v>15</v>
      </c>
      <c r="AI33" s="16">
        <v>1</v>
      </c>
      <c r="AJ33" s="16" t="s">
        <v>660</v>
      </c>
      <c r="AK33" s="16" t="s">
        <v>732</v>
      </c>
      <c r="AL33" s="16"/>
      <c r="AM33" s="60"/>
      <c r="AN33" s="60"/>
      <c r="AO33" s="60"/>
      <c r="AP33" s="60"/>
      <c r="AQ33" s="60"/>
      <c r="AR33" s="60"/>
      <c r="AS33" s="63"/>
      <c r="AT33" s="63"/>
      <c r="AU33" s="63"/>
      <c r="AV33" s="131"/>
      <c r="AW33" s="131"/>
      <c r="AX33" s="131"/>
      <c r="AY33" s="27" t="s">
        <v>662</v>
      </c>
      <c r="AZ33" s="27"/>
      <c r="BA33" s="27"/>
      <c r="BB33" s="30"/>
      <c r="BC33" s="30"/>
      <c r="BD33" s="30"/>
      <c r="BE33" s="30"/>
      <c r="BF33" s="30"/>
      <c r="BG33" s="30"/>
      <c r="BH33" s="107"/>
      <c r="BI33" s="107"/>
      <c r="BJ33" s="107"/>
      <c r="BK33" s="107"/>
      <c r="BL33" s="136"/>
      <c r="BM33" s="122"/>
      <c r="BN33" s="138">
        <f>DL33-BN34</f>
        <v>23.099999999999998</v>
      </c>
      <c r="BO33" s="93">
        <v>6.8999999999999995</v>
      </c>
      <c r="BP33" s="93">
        <v>5</v>
      </c>
      <c r="BQ33" s="93"/>
      <c r="BR33" s="93"/>
      <c r="BS33" s="93"/>
      <c r="BT33" s="93"/>
      <c r="BU33" s="30">
        <f>BN33</f>
        <v>23.099999999999998</v>
      </c>
      <c r="BV33" s="27"/>
      <c r="BW33" s="27"/>
      <c r="BX33" s="27"/>
      <c r="BY33" s="27"/>
      <c r="BZ33" s="27"/>
      <c r="CA33" s="27"/>
      <c r="CB33" s="97">
        <f t="shared" si="11"/>
        <v>25.2</v>
      </c>
      <c r="CC33" s="97">
        <f t="shared" si="10"/>
        <v>25.2</v>
      </c>
      <c r="CD33" s="97">
        <f t="shared" si="10"/>
        <v>25.2</v>
      </c>
      <c r="CE33" s="97">
        <f t="shared" si="10"/>
        <v>25.2</v>
      </c>
      <c r="CF33" s="97">
        <f t="shared" si="10"/>
        <v>25.2</v>
      </c>
      <c r="CG33" s="97">
        <f t="shared" si="10"/>
        <v>25.2</v>
      </c>
      <c r="CH33" s="97">
        <f t="shared" si="10"/>
        <v>25.2</v>
      </c>
      <c r="CI33" s="173"/>
      <c r="CJ33" s="173"/>
      <c r="CK33" s="173"/>
      <c r="CL33" s="173"/>
      <c r="CM33" s="173"/>
      <c r="CN33" s="173"/>
      <c r="CO33" s="173"/>
      <c r="CP33" s="174"/>
      <c r="CQ33" s="174"/>
      <c r="CR33" s="174"/>
      <c r="CS33" s="174"/>
      <c r="CT33" s="174"/>
      <c r="CU33" s="174"/>
      <c r="CV33" s="174"/>
      <c r="CW33" s="165"/>
      <c r="CX33" s="166"/>
      <c r="CY33" s="166"/>
      <c r="CZ33" s="166"/>
      <c r="DA33" s="166"/>
      <c r="DB33" s="166"/>
      <c r="DC33" s="166"/>
      <c r="DD33" s="171"/>
      <c r="DE33" s="171"/>
      <c r="DF33" s="171"/>
      <c r="DG33" s="171"/>
      <c r="DH33" s="171"/>
      <c r="DI33" s="171"/>
      <c r="DJ33" s="171"/>
      <c r="DK33" s="79" t="s">
        <v>699</v>
      </c>
      <c r="DL33" s="128">
        <f>VLOOKUP($F33,Activities!$A$9:$I$180,3,FALSE)/$AI33</f>
        <v>25.2</v>
      </c>
      <c r="DM33" s="128">
        <f>VLOOKUP($F33,Activities!$A$9:$I$180,4,FALSE)/$AI33</f>
        <v>25.2</v>
      </c>
      <c r="DN33" s="128">
        <f>VLOOKUP($F33,Activities!$A$9:$I$180,5,FALSE)/$AI33</f>
        <v>25.2</v>
      </c>
      <c r="DO33" s="128">
        <f>VLOOKUP($F33,Activities!$A$9:$I$180,6,FALSE)/$AI33</f>
        <v>25.2</v>
      </c>
      <c r="DP33" s="128">
        <f>VLOOKUP($F33,Activities!$A$9:$I$180,7,FALSE)/$AI33</f>
        <v>25.2</v>
      </c>
      <c r="DQ33" s="128">
        <f>VLOOKUP($F33,Activities!$A$9:$I$180,8,FALSE)/$AI33</f>
        <v>25.2</v>
      </c>
      <c r="DR33" s="128">
        <f>VLOOKUP($F33,Activities!$A$9:$I$180,9,FALSE)/$AI33</f>
        <v>25.2</v>
      </c>
      <c r="DS33" s="218"/>
      <c r="DT33" s="360"/>
      <c r="DU33" s="360"/>
      <c r="DV33" s="360"/>
      <c r="DW33" s="360"/>
      <c r="DX33" s="360"/>
      <c r="DY33" s="360"/>
      <c r="DZ33" s="360"/>
      <c r="EA33" s="360"/>
      <c r="EB33" s="360"/>
      <c r="EC33" s="360"/>
      <c r="ED33" s="360"/>
      <c r="EE33" s="360"/>
      <c r="EF33" s="360"/>
      <c r="EG33" s="360"/>
      <c r="EH33" s="360"/>
      <c r="EI33" s="360"/>
      <c r="EJ33" s="360"/>
      <c r="EK33" s="360"/>
      <c r="EL33" s="360"/>
      <c r="EM33" s="360"/>
      <c r="EN33" s="360"/>
      <c r="EO33" s="360"/>
      <c r="EP33" s="360"/>
      <c r="EQ33" s="360"/>
    </row>
    <row r="34" spans="1:147" x14ac:dyDescent="0.35">
      <c r="A34" s="6" t="s">
        <v>737</v>
      </c>
      <c r="B34" s="6" t="s">
        <v>734</v>
      </c>
      <c r="C34" s="6" t="s">
        <v>655</v>
      </c>
      <c r="D34" s="6" t="s">
        <v>727</v>
      </c>
      <c r="E34" s="6" t="s">
        <v>735</v>
      </c>
      <c r="F34" s="6" t="s">
        <v>330</v>
      </c>
      <c r="G34" s="48" t="s">
        <v>738</v>
      </c>
      <c r="H34" s="48" t="s">
        <v>659</v>
      </c>
      <c r="I34" s="102">
        <v>570</v>
      </c>
      <c r="J34" s="102">
        <v>541.5</v>
      </c>
      <c r="K34" s="102">
        <v>514.42999999999995</v>
      </c>
      <c r="L34" s="102">
        <v>488.7</v>
      </c>
      <c r="M34" s="102">
        <v>464.27</v>
      </c>
      <c r="N34" s="102">
        <v>441.06</v>
      </c>
      <c r="O34" s="102">
        <v>419</v>
      </c>
      <c r="P34" s="94">
        <v>0</v>
      </c>
      <c r="Q34" s="102">
        <v>0</v>
      </c>
      <c r="R34" s="102">
        <v>0</v>
      </c>
      <c r="S34" s="102">
        <v>0</v>
      </c>
      <c r="T34" s="102">
        <v>0</v>
      </c>
      <c r="U34" s="102">
        <v>0</v>
      </c>
      <c r="V34" s="102">
        <v>0</v>
      </c>
      <c r="W34" s="102">
        <v>0</v>
      </c>
      <c r="X34" s="102">
        <v>0</v>
      </c>
      <c r="Y34" s="102">
        <v>0</v>
      </c>
      <c r="Z34" s="102">
        <v>0</v>
      </c>
      <c r="AA34" s="102">
        <v>0</v>
      </c>
      <c r="AB34" s="102">
        <v>0</v>
      </c>
      <c r="AC34" s="102">
        <v>0</v>
      </c>
      <c r="AD34" s="102">
        <v>0</v>
      </c>
      <c r="AE34" s="186">
        <v>0.08</v>
      </c>
      <c r="AF34" s="94">
        <v>0</v>
      </c>
      <c r="AG34" s="94">
        <v>15</v>
      </c>
      <c r="AH34" s="94">
        <v>15</v>
      </c>
      <c r="AI34" s="17">
        <v>1</v>
      </c>
      <c r="AJ34" s="17" t="s">
        <v>660</v>
      </c>
      <c r="AK34" s="17" t="s">
        <v>732</v>
      </c>
      <c r="AL34" s="17"/>
      <c r="AM34" s="61"/>
      <c r="AN34" s="61"/>
      <c r="AO34" s="61"/>
      <c r="AP34" s="61"/>
      <c r="AQ34" s="61"/>
      <c r="AR34" s="61"/>
      <c r="AS34" s="64"/>
      <c r="AT34" s="64"/>
      <c r="AU34" s="64"/>
      <c r="AV34" s="132"/>
      <c r="AW34" s="132"/>
      <c r="AX34" s="132"/>
      <c r="AY34" s="28" t="s">
        <v>662</v>
      </c>
      <c r="AZ34" s="28"/>
      <c r="BA34" s="28"/>
      <c r="BB34" s="28"/>
      <c r="BC34" s="28"/>
      <c r="BD34" s="28"/>
      <c r="BE34" s="28"/>
      <c r="BF34" s="28"/>
      <c r="BG34" s="28"/>
      <c r="BH34" s="106"/>
      <c r="BI34" s="106"/>
      <c r="BJ34" s="106"/>
      <c r="BK34" s="106"/>
      <c r="BL34" s="137"/>
      <c r="BM34" s="123"/>
      <c r="BN34" s="139">
        <v>2.1</v>
      </c>
      <c r="BO34" s="94">
        <v>7.0000000000000007E-2</v>
      </c>
      <c r="BP34" s="94">
        <v>0.5</v>
      </c>
      <c r="BQ34" s="94">
        <v>1.5</v>
      </c>
      <c r="BR34" s="94"/>
      <c r="BS34" s="94"/>
      <c r="BT34" s="94"/>
      <c r="BU34" s="219">
        <f>BN34</f>
        <v>2.1</v>
      </c>
      <c r="BV34" s="28"/>
      <c r="BW34" s="28"/>
      <c r="BX34" s="28"/>
      <c r="BY34" s="28"/>
      <c r="BZ34" s="28"/>
      <c r="CA34" s="28"/>
      <c r="CB34" s="99">
        <f t="shared" si="11"/>
        <v>25.2</v>
      </c>
      <c r="CC34" s="99">
        <f t="shared" si="10"/>
        <v>25.2</v>
      </c>
      <c r="CD34" s="99">
        <f t="shared" si="10"/>
        <v>25.2</v>
      </c>
      <c r="CE34" s="99">
        <f t="shared" si="10"/>
        <v>25.2</v>
      </c>
      <c r="CF34" s="99">
        <f t="shared" si="10"/>
        <v>25.2</v>
      </c>
      <c r="CG34" s="99">
        <f t="shared" si="10"/>
        <v>25.2</v>
      </c>
      <c r="CH34" s="99">
        <f t="shared" si="10"/>
        <v>25.2</v>
      </c>
      <c r="CI34" s="175"/>
      <c r="CJ34" s="175"/>
      <c r="CK34" s="175"/>
      <c r="CL34" s="175"/>
      <c r="CM34" s="175"/>
      <c r="CN34" s="175"/>
      <c r="CO34" s="175"/>
      <c r="CP34" s="176"/>
      <c r="CQ34" s="176"/>
      <c r="CR34" s="176"/>
      <c r="CS34" s="176"/>
      <c r="CT34" s="176"/>
      <c r="CU34" s="176"/>
      <c r="CV34" s="176"/>
      <c r="CW34" s="167"/>
      <c r="CX34" s="168"/>
      <c r="CY34" s="168"/>
      <c r="CZ34" s="168"/>
      <c r="DA34" s="168"/>
      <c r="DB34" s="168"/>
      <c r="DC34" s="168"/>
      <c r="DD34" s="172"/>
      <c r="DE34" s="172"/>
      <c r="DF34" s="172"/>
      <c r="DG34" s="172"/>
      <c r="DH34" s="172"/>
      <c r="DI34" s="172"/>
      <c r="DJ34" s="172"/>
      <c r="DK34" s="80" t="s">
        <v>452</v>
      </c>
      <c r="DL34" s="129">
        <f>VLOOKUP($F34,Activities!$A$9:$I$180,3,FALSE)/$AI34</f>
        <v>25.2</v>
      </c>
      <c r="DM34" s="129">
        <f>VLOOKUP($F34,Activities!$A$9:$I$180,4,FALSE)/$AI34</f>
        <v>25.2</v>
      </c>
      <c r="DN34" s="129">
        <f>VLOOKUP($F34,Activities!$A$9:$I$180,5,FALSE)/$AI34</f>
        <v>25.2</v>
      </c>
      <c r="DO34" s="129">
        <f>VLOOKUP($F34,Activities!$A$9:$I$180,6,FALSE)/$AI34</f>
        <v>25.2</v>
      </c>
      <c r="DP34" s="129">
        <f>VLOOKUP($F34,Activities!$A$9:$I$180,7,FALSE)/$AI34</f>
        <v>25.2</v>
      </c>
      <c r="DQ34" s="129">
        <f>VLOOKUP($F34,Activities!$A$9:$I$180,8,FALSE)/$AI34</f>
        <v>25.2</v>
      </c>
      <c r="DR34" s="129">
        <f>VLOOKUP($F34,Activities!$A$9:$I$180,9,FALSE)/$AI34</f>
        <v>25.2</v>
      </c>
      <c r="DS34" s="218"/>
      <c r="DT34" s="360"/>
      <c r="DU34" s="360"/>
      <c r="DV34" s="360"/>
      <c r="DW34" s="360"/>
      <c r="DX34" s="360"/>
      <c r="DY34" s="360"/>
      <c r="DZ34" s="360"/>
      <c r="EA34" s="360"/>
      <c r="EB34" s="360"/>
      <c r="EC34" s="360"/>
      <c r="ED34" s="360"/>
      <c r="EE34" s="360"/>
      <c r="EF34" s="360"/>
      <c r="EG34" s="360"/>
      <c r="EH34" s="360"/>
      <c r="EI34" s="360"/>
      <c r="EJ34" s="360"/>
      <c r="EK34" s="360"/>
      <c r="EL34" s="360"/>
      <c r="EM34" s="360"/>
      <c r="EN34" s="360"/>
      <c r="EO34" s="360"/>
      <c r="EP34" s="360"/>
      <c r="EQ34" s="360"/>
    </row>
    <row r="35" spans="1:147" x14ac:dyDescent="0.35">
      <c r="A35" s="5" t="s">
        <v>739</v>
      </c>
      <c r="B35" s="5" t="s">
        <v>740</v>
      </c>
      <c r="C35" s="5" t="s">
        <v>655</v>
      </c>
      <c r="D35" s="5" t="s">
        <v>741</v>
      </c>
      <c r="E35" s="5" t="s">
        <v>742</v>
      </c>
      <c r="F35" s="5" t="s">
        <v>331</v>
      </c>
      <c r="G35" s="47" t="s">
        <v>743</v>
      </c>
      <c r="H35" s="47" t="s">
        <v>744</v>
      </c>
      <c r="I35" s="101">
        <v>550.5</v>
      </c>
      <c r="J35" s="101">
        <v>550.5</v>
      </c>
      <c r="K35" s="101">
        <v>550.5</v>
      </c>
      <c r="L35" s="101">
        <v>550.5</v>
      </c>
      <c r="M35" s="101">
        <v>550.5</v>
      </c>
      <c r="N35" s="101">
        <v>550.5</v>
      </c>
      <c r="O35" s="101">
        <v>550.5</v>
      </c>
      <c r="P35" s="93">
        <v>0</v>
      </c>
      <c r="Q35" s="101">
        <v>34.6</v>
      </c>
      <c r="R35" s="101">
        <v>34.6</v>
      </c>
      <c r="S35" s="101">
        <v>34.6</v>
      </c>
      <c r="T35" s="101">
        <v>34.6</v>
      </c>
      <c r="U35" s="101">
        <v>34.6</v>
      </c>
      <c r="V35" s="101">
        <v>34.6</v>
      </c>
      <c r="W35" s="101">
        <v>34.6</v>
      </c>
      <c r="X35" s="101">
        <v>170</v>
      </c>
      <c r="Y35" s="101">
        <v>170</v>
      </c>
      <c r="Z35" s="101">
        <v>170</v>
      </c>
      <c r="AA35" s="101">
        <v>170</v>
      </c>
      <c r="AB35" s="101">
        <v>170</v>
      </c>
      <c r="AC35" s="101">
        <v>170</v>
      </c>
      <c r="AD35" s="101">
        <v>170</v>
      </c>
      <c r="AE35" s="186">
        <v>0.08</v>
      </c>
      <c r="AF35" s="93">
        <v>0</v>
      </c>
      <c r="AG35" s="93">
        <v>30</v>
      </c>
      <c r="AH35" s="93">
        <v>30</v>
      </c>
      <c r="AI35" s="16">
        <v>1</v>
      </c>
      <c r="AJ35" s="16" t="s">
        <v>660</v>
      </c>
      <c r="AK35" s="16" t="s">
        <v>745</v>
      </c>
      <c r="AL35" s="16"/>
      <c r="AM35" s="60"/>
      <c r="AN35" s="60"/>
      <c r="AO35" s="60"/>
      <c r="AP35" s="60"/>
      <c r="AQ35" s="60"/>
      <c r="AR35" s="60"/>
      <c r="AS35" s="63"/>
      <c r="AT35" s="63"/>
      <c r="AU35" s="63"/>
      <c r="AV35" s="131"/>
      <c r="AW35" s="131"/>
      <c r="AX35" s="131"/>
      <c r="AY35" s="27" t="s">
        <v>662</v>
      </c>
      <c r="AZ35" s="27"/>
      <c r="BA35" s="27"/>
      <c r="BB35" s="30"/>
      <c r="BC35" s="30"/>
      <c r="BD35" s="30"/>
      <c r="BE35" s="30"/>
      <c r="BF35" s="30"/>
      <c r="BG35" s="30"/>
      <c r="BH35" s="107"/>
      <c r="BI35" s="107"/>
      <c r="BJ35" s="107"/>
      <c r="BK35" s="107"/>
      <c r="BL35" s="136">
        <v>1</v>
      </c>
      <c r="BM35" s="122"/>
      <c r="BN35" s="138">
        <f>DL35</f>
        <v>6.1429999999999998</v>
      </c>
      <c r="BO35" s="93"/>
      <c r="BP35" s="93"/>
      <c r="BQ35" s="93"/>
      <c r="BR35" s="186"/>
      <c r="BS35" s="93"/>
      <c r="BT35" s="93"/>
      <c r="BU35" s="27">
        <f t="shared" si="1"/>
        <v>6.1429999999999998</v>
      </c>
      <c r="BV35" s="27"/>
      <c r="BW35" s="27"/>
      <c r="BX35" s="27"/>
      <c r="BY35" s="27"/>
      <c r="BZ35" s="27"/>
      <c r="CA35" s="27"/>
      <c r="CB35" s="97">
        <f t="shared" si="11"/>
        <v>6.1429999999999998</v>
      </c>
      <c r="CC35" s="97">
        <f t="shared" ref="CC35" si="12">DM35</f>
        <v>6.1429999999999998</v>
      </c>
      <c r="CD35" s="97">
        <f t="shared" si="10"/>
        <v>6.1429999999999998</v>
      </c>
      <c r="CE35" s="97">
        <f t="shared" si="10"/>
        <v>6.1429999999999998</v>
      </c>
      <c r="CF35" s="97">
        <f t="shared" si="10"/>
        <v>6.1429999999999998</v>
      </c>
      <c r="CG35" s="97">
        <f t="shared" si="10"/>
        <v>6.1429999999999998</v>
      </c>
      <c r="CH35" s="97"/>
      <c r="CI35" s="173"/>
      <c r="CJ35" s="173"/>
      <c r="CK35" s="173"/>
      <c r="CL35" s="173"/>
      <c r="CM35" s="173"/>
      <c r="CN35" s="173"/>
      <c r="CO35" s="173"/>
      <c r="CP35" s="174"/>
      <c r="CQ35" s="174"/>
      <c r="CR35" s="174"/>
      <c r="CS35" s="174"/>
      <c r="CT35" s="174"/>
      <c r="CU35" s="174"/>
      <c r="CV35" s="174"/>
      <c r="CW35" s="165"/>
      <c r="CX35" s="199">
        <v>1</v>
      </c>
      <c r="CY35" s="199">
        <v>1</v>
      </c>
      <c r="CZ35" s="199">
        <v>1</v>
      </c>
      <c r="DA35" s="199">
        <v>1</v>
      </c>
      <c r="DB35" s="199">
        <v>1</v>
      </c>
      <c r="DC35" s="199">
        <v>1</v>
      </c>
      <c r="DD35" s="171"/>
      <c r="DE35" s="171"/>
      <c r="DF35" s="171"/>
      <c r="DG35" s="171"/>
      <c r="DH35" s="171"/>
      <c r="DI35" s="171"/>
      <c r="DJ35" s="171"/>
      <c r="DK35" s="79" t="s">
        <v>746</v>
      </c>
      <c r="DL35" s="128">
        <f>VLOOKUP($F35,Activities!$A$9:$I$180,3,FALSE)/$AI35</f>
        <v>6.1429999999999998</v>
      </c>
      <c r="DM35" s="128">
        <f>VLOOKUP($F35,Activities!$A$9:$I$180,4,FALSE)/$AI35</f>
        <v>6.1429999999999998</v>
      </c>
      <c r="DN35" s="128">
        <f>VLOOKUP($F35,Activities!$A$9:$I$180,5,FALSE)/$AI35</f>
        <v>6.1429999999999998</v>
      </c>
      <c r="DO35" s="128">
        <f>VLOOKUP($F35,Activities!$A$9:$I$180,6,FALSE)/$AI35</f>
        <v>6.1429999999999998</v>
      </c>
      <c r="DP35" s="128">
        <f>VLOOKUP($F35,Activities!$A$9:$I$180,7,FALSE)/$AI35</f>
        <v>6.1429999999999998</v>
      </c>
      <c r="DQ35" s="128">
        <f>VLOOKUP($F35,Activities!$A$9:$I$180,8,FALSE)/$AI35</f>
        <v>6.1429999999999998</v>
      </c>
      <c r="DR35" s="128">
        <f>VLOOKUP($F35,Activities!$A$9:$I$180,9,FALSE)/$AI35</f>
        <v>6.1429999999999998</v>
      </c>
      <c r="DS35" s="218"/>
      <c r="DT35" s="360"/>
      <c r="DU35" s="360"/>
      <c r="DV35" s="360"/>
      <c r="DW35" s="360"/>
      <c r="DX35" s="360"/>
      <c r="DY35" s="360"/>
      <c r="DZ35" s="360"/>
      <c r="EA35" s="360"/>
      <c r="EB35" s="360"/>
      <c r="EC35" s="360"/>
      <c r="ED35" s="360"/>
      <c r="EE35" s="360"/>
      <c r="EF35" s="360"/>
      <c r="EG35" s="360"/>
      <c r="EH35" s="360"/>
      <c r="EI35" s="360"/>
      <c r="EJ35" s="360"/>
      <c r="EK35" s="360"/>
      <c r="EL35" s="360"/>
      <c r="EM35" s="360"/>
      <c r="EN35" s="360"/>
      <c r="EO35" s="360"/>
      <c r="EP35" s="360"/>
      <c r="EQ35" s="360"/>
    </row>
    <row r="36" spans="1:147" x14ac:dyDescent="0.35">
      <c r="A36" s="6" t="s">
        <v>747</v>
      </c>
      <c r="B36" s="6" t="s">
        <v>740</v>
      </c>
      <c r="C36" s="6" t="s">
        <v>655</v>
      </c>
      <c r="D36" s="6" t="s">
        <v>741</v>
      </c>
      <c r="E36" s="6" t="s">
        <v>742</v>
      </c>
      <c r="F36" s="6" t="s">
        <v>331</v>
      </c>
      <c r="G36" s="48" t="s">
        <v>748</v>
      </c>
      <c r="H36" s="48" t="s">
        <v>744</v>
      </c>
      <c r="I36" s="102">
        <v>795</v>
      </c>
      <c r="J36" s="102">
        <v>795</v>
      </c>
      <c r="K36" s="102">
        <v>795</v>
      </c>
      <c r="L36" s="102">
        <v>795</v>
      </c>
      <c r="M36" s="102">
        <v>795</v>
      </c>
      <c r="N36" s="102">
        <v>795</v>
      </c>
      <c r="O36" s="102">
        <v>795</v>
      </c>
      <c r="P36" s="94">
        <v>0</v>
      </c>
      <c r="Q36" s="102">
        <v>60.9</v>
      </c>
      <c r="R36" s="102">
        <v>60.9</v>
      </c>
      <c r="S36" s="102">
        <v>60.9</v>
      </c>
      <c r="T36" s="102">
        <v>60.9</v>
      </c>
      <c r="U36" s="102">
        <v>60.9</v>
      </c>
      <c r="V36" s="102">
        <v>60.9</v>
      </c>
      <c r="W36" s="102">
        <v>60.9</v>
      </c>
      <c r="X36" s="102">
        <v>170</v>
      </c>
      <c r="Y36" s="102">
        <v>170</v>
      </c>
      <c r="Z36" s="102">
        <v>170</v>
      </c>
      <c r="AA36" s="102">
        <v>170</v>
      </c>
      <c r="AB36" s="102">
        <v>170</v>
      </c>
      <c r="AC36" s="102">
        <v>170</v>
      </c>
      <c r="AD36" s="102">
        <v>170</v>
      </c>
      <c r="AE36" s="186">
        <v>0.08</v>
      </c>
      <c r="AF36" s="94">
        <v>0</v>
      </c>
      <c r="AG36" s="94">
        <v>30</v>
      </c>
      <c r="AH36" s="94">
        <v>30</v>
      </c>
      <c r="AI36" s="17">
        <v>1</v>
      </c>
      <c r="AJ36" s="17" t="s">
        <v>660</v>
      </c>
      <c r="AK36" s="17" t="s">
        <v>745</v>
      </c>
      <c r="AL36" s="17"/>
      <c r="AM36" s="61"/>
      <c r="AN36" s="61"/>
      <c r="AO36" s="61"/>
      <c r="AP36" s="61"/>
      <c r="AQ36" s="61"/>
      <c r="AR36" s="61"/>
      <c r="AS36" s="64"/>
      <c r="AT36" s="64"/>
      <c r="AU36" s="64"/>
      <c r="AV36" s="132"/>
      <c r="AW36" s="132"/>
      <c r="AX36" s="132"/>
      <c r="AY36" s="28" t="s">
        <v>662</v>
      </c>
      <c r="AZ36" s="28"/>
      <c r="BA36" s="28"/>
      <c r="BB36" s="28"/>
      <c r="BC36" s="28"/>
      <c r="BD36" s="28"/>
      <c r="BE36" s="28"/>
      <c r="BF36" s="28"/>
      <c r="BG36" s="28"/>
      <c r="BH36" s="106"/>
      <c r="BI36" s="106"/>
      <c r="BJ36" s="106"/>
      <c r="BK36" s="106"/>
      <c r="BL36" s="137"/>
      <c r="BM36" s="123"/>
      <c r="BN36" s="139">
        <v>0</v>
      </c>
      <c r="BO36" s="94"/>
      <c r="BP36" s="94"/>
      <c r="BQ36" s="94"/>
      <c r="BR36" s="94"/>
      <c r="BS36" s="94"/>
      <c r="BT36" s="94"/>
      <c r="BU36" s="28">
        <f t="shared" si="1"/>
        <v>0</v>
      </c>
      <c r="BV36" s="28"/>
      <c r="BW36" s="28"/>
      <c r="BX36" s="28"/>
      <c r="BY36" s="28"/>
      <c r="BZ36" s="28"/>
      <c r="CA36" s="28"/>
      <c r="CB36" s="99">
        <v>0</v>
      </c>
      <c r="CC36" s="99">
        <v>4</v>
      </c>
      <c r="CD36" s="99">
        <f t="shared" si="10"/>
        <v>6.1429999999999998</v>
      </c>
      <c r="CE36" s="99">
        <f t="shared" si="10"/>
        <v>6.1429999999999998</v>
      </c>
      <c r="CF36" s="99">
        <f t="shared" si="10"/>
        <v>6.1429999999999998</v>
      </c>
      <c r="CG36" s="99">
        <f t="shared" si="10"/>
        <v>6.1429999999999998</v>
      </c>
      <c r="CH36" s="99">
        <f t="shared" si="10"/>
        <v>6.1429999999999998</v>
      </c>
      <c r="CI36" s="175"/>
      <c r="CJ36" s="175"/>
      <c r="CK36" s="175"/>
      <c r="CL36" s="175"/>
      <c r="CM36" s="175"/>
      <c r="CN36" s="175"/>
      <c r="CO36" s="175"/>
      <c r="CP36" s="176"/>
      <c r="CQ36" s="176"/>
      <c r="CR36" s="176"/>
      <c r="CS36" s="176"/>
      <c r="CT36" s="176"/>
      <c r="CU36" s="176"/>
      <c r="CV36" s="176"/>
      <c r="CW36" s="167"/>
      <c r="CX36" s="168"/>
      <c r="CY36" s="168"/>
      <c r="CZ36" s="168"/>
      <c r="DA36" s="168"/>
      <c r="DB36" s="168"/>
      <c r="DC36" s="168"/>
      <c r="DD36" s="172"/>
      <c r="DE36" s="172"/>
      <c r="DF36" s="172"/>
      <c r="DG36" s="172"/>
      <c r="DH36" s="172"/>
      <c r="DI36" s="172"/>
      <c r="DJ36" s="172"/>
      <c r="DK36" s="80" t="s">
        <v>746</v>
      </c>
      <c r="DL36" s="129">
        <f>VLOOKUP($F36,Activities!$A$9:$I$180,3,FALSE)/$AI36</f>
        <v>6.1429999999999998</v>
      </c>
      <c r="DM36" s="129">
        <f>VLOOKUP($F36,Activities!$A$9:$I$180,4,FALSE)/$AI36</f>
        <v>6.1429999999999998</v>
      </c>
      <c r="DN36" s="129">
        <f>VLOOKUP($F36,Activities!$A$9:$I$180,5,FALSE)/$AI36</f>
        <v>6.1429999999999998</v>
      </c>
      <c r="DO36" s="129">
        <f>VLOOKUP($F36,Activities!$A$9:$I$180,6,FALSE)/$AI36</f>
        <v>6.1429999999999998</v>
      </c>
      <c r="DP36" s="129">
        <f>VLOOKUP($F36,Activities!$A$9:$I$180,7,FALSE)/$AI36</f>
        <v>6.1429999999999998</v>
      </c>
      <c r="DQ36" s="129">
        <f>VLOOKUP($F36,Activities!$A$9:$I$180,8,FALSE)/$AI36</f>
        <v>6.1429999999999998</v>
      </c>
      <c r="DR36" s="129">
        <f>VLOOKUP($F36,Activities!$A$9:$I$180,9,FALSE)/$AI36</f>
        <v>6.1429999999999998</v>
      </c>
      <c r="DS36" s="218"/>
      <c r="DT36" s="360"/>
      <c r="DU36" s="360"/>
      <c r="DV36" s="360"/>
      <c r="DW36" s="360"/>
      <c r="DX36" s="360"/>
      <c r="DY36" s="360"/>
      <c r="DZ36" s="360"/>
      <c r="EA36" s="360"/>
      <c r="EB36" s="360"/>
      <c r="EC36" s="360"/>
      <c r="ED36" s="360"/>
      <c r="EE36" s="360"/>
      <c r="EF36" s="360"/>
      <c r="EG36" s="360"/>
      <c r="EH36" s="360"/>
      <c r="EI36" s="360"/>
      <c r="EJ36" s="360"/>
      <c r="EK36" s="360"/>
      <c r="EL36" s="360"/>
      <c r="EM36" s="360"/>
      <c r="EN36" s="360"/>
      <c r="EO36" s="360"/>
      <c r="EP36" s="360"/>
      <c r="EQ36" s="360"/>
    </row>
    <row r="37" spans="1:147" x14ac:dyDescent="0.35">
      <c r="A37" s="5" t="s">
        <v>749</v>
      </c>
      <c r="B37" s="5" t="s">
        <v>740</v>
      </c>
      <c r="C37" s="5" t="s">
        <v>655</v>
      </c>
      <c r="D37" s="5" t="s">
        <v>741</v>
      </c>
      <c r="E37" s="5" t="s">
        <v>742</v>
      </c>
      <c r="F37" s="5" t="s">
        <v>331</v>
      </c>
      <c r="G37" s="47" t="s">
        <v>750</v>
      </c>
      <c r="H37" s="47" t="s">
        <v>744</v>
      </c>
      <c r="I37" s="101">
        <v>815</v>
      </c>
      <c r="J37" s="101">
        <v>815</v>
      </c>
      <c r="K37" s="101">
        <v>815</v>
      </c>
      <c r="L37" s="101">
        <v>815</v>
      </c>
      <c r="M37" s="101">
        <v>815</v>
      </c>
      <c r="N37" s="101">
        <v>815</v>
      </c>
      <c r="O37" s="101">
        <v>815</v>
      </c>
      <c r="P37" s="93">
        <v>0</v>
      </c>
      <c r="Q37" s="101">
        <v>67.8</v>
      </c>
      <c r="R37" s="101">
        <v>67.8</v>
      </c>
      <c r="S37" s="101">
        <v>67.8</v>
      </c>
      <c r="T37" s="101">
        <v>67.8</v>
      </c>
      <c r="U37" s="101">
        <v>67.8</v>
      </c>
      <c r="V37" s="101">
        <v>67.8</v>
      </c>
      <c r="W37" s="101">
        <v>67.8</v>
      </c>
      <c r="X37" s="101">
        <v>170</v>
      </c>
      <c r="Y37" s="101">
        <v>170</v>
      </c>
      <c r="Z37" s="101">
        <v>170</v>
      </c>
      <c r="AA37" s="101">
        <v>170</v>
      </c>
      <c r="AB37" s="101">
        <v>170</v>
      </c>
      <c r="AC37" s="101">
        <v>170</v>
      </c>
      <c r="AD37" s="101">
        <v>170</v>
      </c>
      <c r="AE37" s="186">
        <v>0.08</v>
      </c>
      <c r="AF37" s="93">
        <v>0</v>
      </c>
      <c r="AG37" s="93">
        <v>30</v>
      </c>
      <c r="AH37" s="93">
        <v>30</v>
      </c>
      <c r="AI37" s="16">
        <v>1</v>
      </c>
      <c r="AJ37" s="16" t="s">
        <v>660</v>
      </c>
      <c r="AK37" s="16" t="s">
        <v>745</v>
      </c>
      <c r="AL37" s="16"/>
      <c r="AM37" s="60"/>
      <c r="AN37" s="60"/>
      <c r="AO37" s="60"/>
      <c r="AP37" s="60"/>
      <c r="AQ37" s="60"/>
      <c r="AR37" s="60"/>
      <c r="AS37" s="63"/>
      <c r="AT37" s="63"/>
      <c r="AU37" s="63"/>
      <c r="AV37" s="131"/>
      <c r="AW37" s="131"/>
      <c r="AX37" s="131"/>
      <c r="AY37" s="27" t="s">
        <v>662</v>
      </c>
      <c r="AZ37" s="27"/>
      <c r="BA37" s="27"/>
      <c r="BB37" s="30"/>
      <c r="BC37" s="30"/>
      <c r="BD37" s="30"/>
      <c r="BE37" s="30"/>
      <c r="BF37" s="30"/>
      <c r="BG37" s="30"/>
      <c r="BH37" s="107"/>
      <c r="BI37" s="107"/>
      <c r="BJ37" s="107"/>
      <c r="BK37" s="107"/>
      <c r="BL37" s="136"/>
      <c r="BM37" s="122"/>
      <c r="BN37" s="138">
        <v>0</v>
      </c>
      <c r="BO37" s="93"/>
      <c r="BP37" s="93"/>
      <c r="BQ37" s="93"/>
      <c r="BR37" s="93"/>
      <c r="BS37" s="93"/>
      <c r="BT37" s="93"/>
      <c r="BU37" s="27">
        <f t="shared" si="1"/>
        <v>0</v>
      </c>
      <c r="BV37" s="27"/>
      <c r="BW37" s="27"/>
      <c r="BX37" s="27"/>
      <c r="BY37" s="27"/>
      <c r="BZ37" s="27"/>
      <c r="CA37" s="27"/>
      <c r="CB37" s="97">
        <v>0</v>
      </c>
      <c r="CC37" s="97">
        <v>4</v>
      </c>
      <c r="CD37" s="97">
        <f t="shared" si="10"/>
        <v>6.1429999999999998</v>
      </c>
      <c r="CE37" s="97">
        <f t="shared" si="10"/>
        <v>6.1429999999999998</v>
      </c>
      <c r="CF37" s="97">
        <f t="shared" si="10"/>
        <v>6.1429999999999998</v>
      </c>
      <c r="CG37" s="97">
        <f t="shared" si="10"/>
        <v>6.1429999999999998</v>
      </c>
      <c r="CH37" s="97">
        <f t="shared" si="10"/>
        <v>6.1429999999999998</v>
      </c>
      <c r="CI37" s="173"/>
      <c r="CJ37" s="173"/>
      <c r="CK37" s="173"/>
      <c r="CL37" s="173"/>
      <c r="CM37" s="173"/>
      <c r="CN37" s="173"/>
      <c r="CO37" s="173"/>
      <c r="CP37" s="174"/>
      <c r="CQ37" s="174"/>
      <c r="CR37" s="174"/>
      <c r="CS37" s="174"/>
      <c r="CT37" s="174"/>
      <c r="CU37" s="174"/>
      <c r="CV37" s="174"/>
      <c r="CW37" s="165"/>
      <c r="CX37" s="166"/>
      <c r="CY37" s="166"/>
      <c r="CZ37" s="166"/>
      <c r="DA37" s="166"/>
      <c r="DB37" s="166"/>
      <c r="DC37" s="166"/>
      <c r="DD37" s="171"/>
      <c r="DE37" s="171"/>
      <c r="DF37" s="171"/>
      <c r="DG37" s="171"/>
      <c r="DH37" s="171"/>
      <c r="DI37" s="171"/>
      <c r="DJ37" s="171"/>
      <c r="DK37" s="79" t="s">
        <v>746</v>
      </c>
      <c r="DL37" s="128">
        <f>VLOOKUP($F37,Activities!$A$9:$I$180,3,FALSE)/$AI37</f>
        <v>6.1429999999999998</v>
      </c>
      <c r="DM37" s="128">
        <f>VLOOKUP($F37,Activities!$A$9:$I$180,4,FALSE)/$AI37</f>
        <v>6.1429999999999998</v>
      </c>
      <c r="DN37" s="128">
        <f>VLOOKUP($F37,Activities!$A$9:$I$180,5,FALSE)/$AI37</f>
        <v>6.1429999999999998</v>
      </c>
      <c r="DO37" s="128">
        <f>VLOOKUP($F37,Activities!$A$9:$I$180,6,FALSE)/$AI37</f>
        <v>6.1429999999999998</v>
      </c>
      <c r="DP37" s="128">
        <f>VLOOKUP($F37,Activities!$A$9:$I$180,7,FALSE)/$AI37</f>
        <v>6.1429999999999998</v>
      </c>
      <c r="DQ37" s="128">
        <f>VLOOKUP($F37,Activities!$A$9:$I$180,8,FALSE)/$AI37</f>
        <v>6.1429999999999998</v>
      </c>
      <c r="DR37" s="128">
        <f>VLOOKUP($F37,Activities!$A$9:$I$180,9,FALSE)/$AI37</f>
        <v>6.1429999999999998</v>
      </c>
      <c r="DS37" s="218"/>
      <c r="DT37" s="360"/>
      <c r="DU37" s="360"/>
      <c r="DV37" s="360"/>
      <c r="DW37" s="360"/>
      <c r="DX37" s="360"/>
      <c r="DY37" s="360"/>
      <c r="DZ37" s="360"/>
      <c r="EA37" s="360"/>
      <c r="EB37" s="360"/>
      <c r="EC37" s="360"/>
      <c r="ED37" s="360"/>
      <c r="EE37" s="360"/>
      <c r="EF37" s="360"/>
      <c r="EG37" s="360"/>
      <c r="EH37" s="360"/>
      <c r="EI37" s="360"/>
      <c r="EJ37" s="360"/>
      <c r="EK37" s="360"/>
      <c r="EL37" s="360"/>
      <c r="EM37" s="360"/>
      <c r="EN37" s="360"/>
      <c r="EO37" s="360"/>
      <c r="EP37" s="360"/>
      <c r="EQ37" s="360"/>
    </row>
    <row r="38" spans="1:147" x14ac:dyDescent="0.35">
      <c r="A38" s="6" t="s">
        <v>751</v>
      </c>
      <c r="B38" s="6" t="s">
        <v>740</v>
      </c>
      <c r="C38" s="6" t="s">
        <v>655</v>
      </c>
      <c r="D38" s="6" t="s">
        <v>741</v>
      </c>
      <c r="E38" s="6" t="s">
        <v>742</v>
      </c>
      <c r="F38" s="6" t="s">
        <v>331</v>
      </c>
      <c r="G38" s="48" t="s">
        <v>752</v>
      </c>
      <c r="H38" s="48" t="s">
        <v>744</v>
      </c>
      <c r="I38" s="102">
        <v>575</v>
      </c>
      <c r="J38" s="102">
        <v>470</v>
      </c>
      <c r="K38" s="102">
        <v>370</v>
      </c>
      <c r="L38" s="102">
        <v>360</v>
      </c>
      <c r="M38" s="102">
        <v>345</v>
      </c>
      <c r="N38" s="102">
        <v>335</v>
      </c>
      <c r="O38" s="102">
        <v>320</v>
      </c>
      <c r="P38" s="94">
        <v>0</v>
      </c>
      <c r="Q38" s="102">
        <v>70.900000000000006</v>
      </c>
      <c r="R38" s="102">
        <v>70.900000000000006</v>
      </c>
      <c r="S38" s="102">
        <v>62.6</v>
      </c>
      <c r="T38" s="102">
        <v>62.6</v>
      </c>
      <c r="U38" s="102">
        <v>52</v>
      </c>
      <c r="V38" s="102">
        <v>52</v>
      </c>
      <c r="W38" s="102">
        <v>42.2</v>
      </c>
      <c r="X38" s="102">
        <v>170</v>
      </c>
      <c r="Y38" s="102">
        <v>170</v>
      </c>
      <c r="Z38" s="102">
        <v>170</v>
      </c>
      <c r="AA38" s="102">
        <v>170</v>
      </c>
      <c r="AB38" s="102">
        <v>170</v>
      </c>
      <c r="AC38" s="102">
        <v>170</v>
      </c>
      <c r="AD38" s="102">
        <v>170</v>
      </c>
      <c r="AE38" s="186">
        <v>0.08</v>
      </c>
      <c r="AF38" s="94">
        <v>0</v>
      </c>
      <c r="AG38" s="94">
        <v>30</v>
      </c>
      <c r="AH38" s="94">
        <v>30</v>
      </c>
      <c r="AI38" s="17">
        <v>1</v>
      </c>
      <c r="AJ38" s="17" t="s">
        <v>660</v>
      </c>
      <c r="AK38" s="17" t="s">
        <v>745</v>
      </c>
      <c r="AL38" s="17"/>
      <c r="AM38" s="61"/>
      <c r="AN38" s="61"/>
      <c r="AO38" s="61"/>
      <c r="AP38" s="61"/>
      <c r="AQ38" s="61"/>
      <c r="AR38" s="61"/>
      <c r="AS38" s="64"/>
      <c r="AT38" s="64"/>
      <c r="AU38" s="64"/>
      <c r="AV38" s="132"/>
      <c r="AW38" s="132"/>
      <c r="AX38" s="132"/>
      <c r="AY38" s="28" t="s">
        <v>662</v>
      </c>
      <c r="AZ38" s="28"/>
      <c r="BA38" s="28"/>
      <c r="BB38" s="28"/>
      <c r="BC38" s="28"/>
      <c r="BD38" s="28"/>
      <c r="BE38" s="28"/>
      <c r="BF38" s="28"/>
      <c r="BG38" s="28"/>
      <c r="BH38" s="106"/>
      <c r="BI38" s="106"/>
      <c r="BJ38" s="106"/>
      <c r="BK38" s="106"/>
      <c r="BL38" s="137"/>
      <c r="BM38" s="123"/>
      <c r="BN38" s="139">
        <v>0</v>
      </c>
      <c r="BO38" s="94"/>
      <c r="BP38" s="94"/>
      <c r="BQ38" s="94"/>
      <c r="BR38" s="94"/>
      <c r="BS38" s="94"/>
      <c r="BT38" s="94"/>
      <c r="BU38" s="28">
        <f t="shared" si="1"/>
        <v>0</v>
      </c>
      <c r="BV38" s="28"/>
      <c r="BW38" s="28"/>
      <c r="BX38" s="28"/>
      <c r="BY38" s="28"/>
      <c r="BZ38" s="28"/>
      <c r="CA38" s="28"/>
      <c r="CB38" s="99"/>
      <c r="CC38" s="99">
        <v>0.06</v>
      </c>
      <c r="CD38" s="99">
        <f t="shared" si="10"/>
        <v>6.1429999999999998</v>
      </c>
      <c r="CE38" s="99">
        <f t="shared" si="10"/>
        <v>6.1429999999999998</v>
      </c>
      <c r="CF38" s="99">
        <f t="shared" si="10"/>
        <v>6.1429999999999998</v>
      </c>
      <c r="CG38" s="99">
        <f t="shared" si="10"/>
        <v>6.1429999999999998</v>
      </c>
      <c r="CH38" s="99">
        <f t="shared" si="10"/>
        <v>6.1429999999999998</v>
      </c>
      <c r="CI38" s="175"/>
      <c r="CJ38" s="175"/>
      <c r="CK38" s="175"/>
      <c r="CL38" s="175"/>
      <c r="CM38" s="175"/>
      <c r="CN38" s="175"/>
      <c r="CO38" s="175"/>
      <c r="CP38" s="176"/>
      <c r="CQ38" s="176"/>
      <c r="CR38" s="176"/>
      <c r="CS38" s="176"/>
      <c r="CT38" s="176"/>
      <c r="CU38" s="176"/>
      <c r="CV38" s="176"/>
      <c r="CW38" s="167"/>
      <c r="CX38" s="168"/>
      <c r="CY38" s="168"/>
      <c r="CZ38" s="168"/>
      <c r="DA38" s="168"/>
      <c r="DB38" s="168"/>
      <c r="DC38" s="168"/>
      <c r="DD38" s="172"/>
      <c r="DE38" s="172"/>
      <c r="DF38" s="172"/>
      <c r="DG38" s="172"/>
      <c r="DH38" s="172"/>
      <c r="DI38" s="172"/>
      <c r="DJ38" s="172"/>
      <c r="DK38" s="80" t="s">
        <v>746</v>
      </c>
      <c r="DL38" s="129">
        <f>VLOOKUP($F38,Activities!$A$9:$I$180,3,FALSE)/$AI38</f>
        <v>6.1429999999999998</v>
      </c>
      <c r="DM38" s="129">
        <f>VLOOKUP($F38,Activities!$A$9:$I$180,4,FALSE)/$AI38</f>
        <v>6.1429999999999998</v>
      </c>
      <c r="DN38" s="129">
        <f>VLOOKUP($F38,Activities!$A$9:$I$180,5,FALSE)/$AI38</f>
        <v>6.1429999999999998</v>
      </c>
      <c r="DO38" s="129">
        <f>VLOOKUP($F38,Activities!$A$9:$I$180,6,FALSE)/$AI38</f>
        <v>6.1429999999999998</v>
      </c>
      <c r="DP38" s="129">
        <f>VLOOKUP($F38,Activities!$A$9:$I$180,7,FALSE)/$AI38</f>
        <v>6.1429999999999998</v>
      </c>
      <c r="DQ38" s="129">
        <f>VLOOKUP($F38,Activities!$A$9:$I$180,8,FALSE)/$AI38</f>
        <v>6.1429999999999998</v>
      </c>
      <c r="DR38" s="129">
        <f>VLOOKUP($F38,Activities!$A$9:$I$180,9,FALSE)/$AI38</f>
        <v>6.1429999999999998</v>
      </c>
      <c r="DS38" s="218"/>
      <c r="DT38" s="360"/>
      <c r="DU38" s="360"/>
      <c r="DV38" s="360"/>
      <c r="DW38" s="360"/>
      <c r="DX38" s="360"/>
      <c r="DY38" s="360"/>
      <c r="DZ38" s="360"/>
      <c r="EA38" s="360"/>
      <c r="EB38" s="360"/>
      <c r="EC38" s="360"/>
      <c r="ED38" s="360"/>
      <c r="EE38" s="360"/>
      <c r="EF38" s="360"/>
      <c r="EG38" s="360"/>
      <c r="EH38" s="360"/>
      <c r="EI38" s="360"/>
      <c r="EJ38" s="360"/>
      <c r="EK38" s="360"/>
      <c r="EL38" s="360"/>
      <c r="EM38" s="360"/>
      <c r="EN38" s="360"/>
      <c r="EO38" s="360"/>
      <c r="EP38" s="360"/>
      <c r="EQ38" s="360"/>
    </row>
    <row r="39" spans="1:147" x14ac:dyDescent="0.35">
      <c r="A39" s="5" t="s">
        <v>753</v>
      </c>
      <c r="B39" s="5" t="s">
        <v>740</v>
      </c>
      <c r="C39" s="5" t="s">
        <v>655</v>
      </c>
      <c r="D39" s="5" t="s">
        <v>741</v>
      </c>
      <c r="E39" s="5" t="s">
        <v>742</v>
      </c>
      <c r="F39" s="5" t="s">
        <v>331</v>
      </c>
      <c r="G39" s="47" t="s">
        <v>754</v>
      </c>
      <c r="H39" s="47" t="s">
        <v>744</v>
      </c>
      <c r="I39" s="101">
        <v>840</v>
      </c>
      <c r="J39" s="101">
        <v>690</v>
      </c>
      <c r="K39" s="101">
        <v>545</v>
      </c>
      <c r="L39" s="101">
        <v>545</v>
      </c>
      <c r="M39" s="101">
        <v>545</v>
      </c>
      <c r="N39" s="101">
        <v>545</v>
      </c>
      <c r="O39" s="101">
        <v>545</v>
      </c>
      <c r="P39" s="93">
        <v>0</v>
      </c>
      <c r="Q39" s="101">
        <v>97.7</v>
      </c>
      <c r="R39" s="101">
        <v>97.7</v>
      </c>
      <c r="S39" s="101">
        <v>86.3</v>
      </c>
      <c r="T39" s="101">
        <v>86.3</v>
      </c>
      <c r="U39" s="101">
        <v>77</v>
      </c>
      <c r="V39" s="101">
        <v>77</v>
      </c>
      <c r="W39" s="101">
        <v>68.3</v>
      </c>
      <c r="X39" s="101">
        <v>170</v>
      </c>
      <c r="Y39" s="101">
        <v>170</v>
      </c>
      <c r="Z39" s="101">
        <v>170</v>
      </c>
      <c r="AA39" s="101">
        <v>170</v>
      </c>
      <c r="AB39" s="101">
        <v>170</v>
      </c>
      <c r="AC39" s="101">
        <v>170</v>
      </c>
      <c r="AD39" s="101">
        <v>170</v>
      </c>
      <c r="AE39" s="186">
        <v>0.08</v>
      </c>
      <c r="AF39" s="93">
        <v>0</v>
      </c>
      <c r="AG39" s="93">
        <v>30</v>
      </c>
      <c r="AH39" s="93">
        <v>30</v>
      </c>
      <c r="AI39" s="16">
        <v>1</v>
      </c>
      <c r="AJ39" s="16" t="s">
        <v>660</v>
      </c>
      <c r="AK39" s="16" t="s">
        <v>745</v>
      </c>
      <c r="AL39" s="16"/>
      <c r="AM39" s="60"/>
      <c r="AN39" s="60"/>
      <c r="AO39" s="60"/>
      <c r="AP39" s="60"/>
      <c r="AQ39" s="60"/>
      <c r="AR39" s="60"/>
      <c r="AS39" s="63"/>
      <c r="AT39" s="63"/>
      <c r="AU39" s="63"/>
      <c r="AV39" s="131"/>
      <c r="AW39" s="131"/>
      <c r="AX39" s="131"/>
      <c r="AY39" s="27" t="s">
        <v>662</v>
      </c>
      <c r="AZ39" s="27"/>
      <c r="BA39" s="27"/>
      <c r="BB39" s="30"/>
      <c r="BC39" s="30"/>
      <c r="BD39" s="30"/>
      <c r="BE39" s="30"/>
      <c r="BF39" s="30"/>
      <c r="BG39" s="30"/>
      <c r="BH39" s="107"/>
      <c r="BI39" s="107"/>
      <c r="BJ39" s="107"/>
      <c r="BK39" s="107"/>
      <c r="BL39" s="136"/>
      <c r="BM39" s="122"/>
      <c r="BN39" s="138">
        <v>0</v>
      </c>
      <c r="BO39" s="93"/>
      <c r="BP39" s="93"/>
      <c r="BQ39" s="93"/>
      <c r="BR39" s="93"/>
      <c r="BS39" s="93"/>
      <c r="BT39" s="93"/>
      <c r="BU39" s="27">
        <f t="shared" si="1"/>
        <v>0</v>
      </c>
      <c r="BV39" s="27"/>
      <c r="BW39" s="27"/>
      <c r="BX39" s="27"/>
      <c r="BY39" s="27"/>
      <c r="BZ39" s="27"/>
      <c r="CA39" s="27"/>
      <c r="CB39" s="97">
        <v>0</v>
      </c>
      <c r="CC39" s="185">
        <v>0.06</v>
      </c>
      <c r="CD39" s="97">
        <f t="shared" si="10"/>
        <v>6.1429999999999998</v>
      </c>
      <c r="CE39" s="97">
        <f t="shared" si="10"/>
        <v>6.1429999999999998</v>
      </c>
      <c r="CF39" s="97">
        <f t="shared" si="10"/>
        <v>6.1429999999999998</v>
      </c>
      <c r="CG39" s="97">
        <f t="shared" si="10"/>
        <v>6.1429999999999998</v>
      </c>
      <c r="CH39" s="97">
        <f t="shared" si="10"/>
        <v>6.1429999999999998</v>
      </c>
      <c r="CI39" s="173"/>
      <c r="CJ39" s="173"/>
      <c r="CK39" s="173"/>
      <c r="CL39" s="173"/>
      <c r="CM39" s="173"/>
      <c r="CN39" s="173"/>
      <c r="CO39" s="173"/>
      <c r="CP39" s="174"/>
      <c r="CQ39" s="174"/>
      <c r="CR39" s="174"/>
      <c r="CS39" s="174"/>
      <c r="CT39" s="174"/>
      <c r="CU39" s="174"/>
      <c r="CV39" s="174"/>
      <c r="CW39" s="165"/>
      <c r="CX39" s="166"/>
      <c r="CY39" s="166"/>
      <c r="CZ39" s="166"/>
      <c r="DA39" s="166"/>
      <c r="DB39" s="166"/>
      <c r="DC39" s="166"/>
      <c r="DD39" s="171"/>
      <c r="DE39" s="171"/>
      <c r="DF39" s="171"/>
      <c r="DG39" s="171"/>
      <c r="DH39" s="171"/>
      <c r="DI39" s="171"/>
      <c r="DJ39" s="171"/>
      <c r="DK39" s="79" t="s">
        <v>746</v>
      </c>
      <c r="DL39" s="128">
        <f>VLOOKUP($F39,Activities!$A$9:$I$180,3,FALSE)/$AI39</f>
        <v>6.1429999999999998</v>
      </c>
      <c r="DM39" s="128">
        <f>VLOOKUP($F39,Activities!$A$9:$I$180,4,FALSE)/$AI39</f>
        <v>6.1429999999999998</v>
      </c>
      <c r="DN39" s="128">
        <f>VLOOKUP($F39,Activities!$A$9:$I$180,5,FALSE)/$AI39</f>
        <v>6.1429999999999998</v>
      </c>
      <c r="DO39" s="128">
        <f>VLOOKUP($F39,Activities!$A$9:$I$180,6,FALSE)/$AI39</f>
        <v>6.1429999999999998</v>
      </c>
      <c r="DP39" s="128">
        <f>VLOOKUP($F39,Activities!$A$9:$I$180,7,FALSE)/$AI39</f>
        <v>6.1429999999999998</v>
      </c>
      <c r="DQ39" s="128">
        <f>VLOOKUP($F39,Activities!$A$9:$I$180,8,FALSE)/$AI39</f>
        <v>6.1429999999999998</v>
      </c>
      <c r="DR39" s="128">
        <f>VLOOKUP($F39,Activities!$A$9:$I$180,9,FALSE)/$AI39</f>
        <v>6.1429999999999998</v>
      </c>
      <c r="DS39" s="218"/>
      <c r="DT39" s="360"/>
      <c r="DU39" s="360"/>
      <c r="DV39" s="360"/>
      <c r="DW39" s="360"/>
      <c r="DX39" s="360"/>
      <c r="DY39" s="360"/>
      <c r="DZ39" s="360"/>
      <c r="EA39" s="360"/>
      <c r="EB39" s="360"/>
      <c r="EC39" s="360"/>
      <c r="ED39" s="360"/>
      <c r="EE39" s="360"/>
      <c r="EF39" s="360"/>
      <c r="EG39" s="360"/>
      <c r="EH39" s="360"/>
      <c r="EI39" s="360"/>
      <c r="EJ39" s="360"/>
      <c r="EK39" s="360"/>
      <c r="EL39" s="360"/>
      <c r="EM39" s="360"/>
      <c r="EN39" s="360"/>
      <c r="EO39" s="360"/>
      <c r="EP39" s="360"/>
      <c r="EQ39" s="360"/>
    </row>
    <row r="40" spans="1:147" x14ac:dyDescent="0.35">
      <c r="A40" s="6" t="s">
        <v>755</v>
      </c>
      <c r="B40" s="6" t="s">
        <v>740</v>
      </c>
      <c r="C40" s="6" t="s">
        <v>655</v>
      </c>
      <c r="D40" s="6" t="s">
        <v>741</v>
      </c>
      <c r="E40" s="6" t="s">
        <v>742</v>
      </c>
      <c r="F40" s="6" t="s">
        <v>331</v>
      </c>
      <c r="G40" s="48" t="s">
        <v>756</v>
      </c>
      <c r="H40" s="48" t="s">
        <v>744</v>
      </c>
      <c r="I40" s="102">
        <v>900</v>
      </c>
      <c r="J40" s="102">
        <v>750</v>
      </c>
      <c r="K40" s="102">
        <v>600</v>
      </c>
      <c r="L40" s="102">
        <v>600</v>
      </c>
      <c r="M40" s="102">
        <v>600</v>
      </c>
      <c r="N40" s="102">
        <v>600</v>
      </c>
      <c r="O40" s="102">
        <v>600</v>
      </c>
      <c r="P40" s="94">
        <v>0</v>
      </c>
      <c r="Q40" s="102">
        <v>105</v>
      </c>
      <c r="R40" s="102">
        <v>105</v>
      </c>
      <c r="S40" s="102">
        <v>90</v>
      </c>
      <c r="T40" s="102">
        <v>90</v>
      </c>
      <c r="U40" s="102">
        <v>80</v>
      </c>
      <c r="V40" s="102">
        <v>80</v>
      </c>
      <c r="W40" s="102">
        <v>70</v>
      </c>
      <c r="X40" s="102">
        <v>170</v>
      </c>
      <c r="Y40" s="102">
        <v>170</v>
      </c>
      <c r="Z40" s="102">
        <v>170</v>
      </c>
      <c r="AA40" s="102">
        <v>170</v>
      </c>
      <c r="AB40" s="102">
        <v>170</v>
      </c>
      <c r="AC40" s="102">
        <v>170</v>
      </c>
      <c r="AD40" s="102">
        <v>170</v>
      </c>
      <c r="AE40" s="186">
        <v>0.08</v>
      </c>
      <c r="AF40" s="94">
        <v>0</v>
      </c>
      <c r="AG40" s="94">
        <v>30</v>
      </c>
      <c r="AH40" s="94">
        <v>30</v>
      </c>
      <c r="AI40" s="17">
        <v>1</v>
      </c>
      <c r="AJ40" s="17" t="s">
        <v>660</v>
      </c>
      <c r="AK40" s="17" t="s">
        <v>745</v>
      </c>
      <c r="AL40" s="17"/>
      <c r="AM40" s="61"/>
      <c r="AN40" s="61"/>
      <c r="AO40" s="61"/>
      <c r="AP40" s="61"/>
      <c r="AQ40" s="61"/>
      <c r="AR40" s="61"/>
      <c r="AS40" s="64"/>
      <c r="AT40" s="64"/>
      <c r="AU40" s="64"/>
      <c r="AV40" s="132"/>
      <c r="AW40" s="132"/>
      <c r="AX40" s="132"/>
      <c r="AY40" s="28" t="s">
        <v>662</v>
      </c>
      <c r="AZ40" s="28"/>
      <c r="BA40" s="28"/>
      <c r="BB40" s="28"/>
      <c r="BC40" s="28"/>
      <c r="BD40" s="28"/>
      <c r="BE40" s="28"/>
      <c r="BF40" s="28"/>
      <c r="BG40" s="28"/>
      <c r="BH40" s="106"/>
      <c r="BI40" s="106"/>
      <c r="BJ40" s="106"/>
      <c r="BK40" s="106"/>
      <c r="BL40" s="137"/>
      <c r="BM40" s="123"/>
      <c r="BN40" s="139">
        <v>0</v>
      </c>
      <c r="BO40" s="94"/>
      <c r="BP40" s="94"/>
      <c r="BQ40" s="94"/>
      <c r="BR40" s="94"/>
      <c r="BS40" s="94"/>
      <c r="BT40" s="94"/>
      <c r="BU40" s="28">
        <f t="shared" si="1"/>
        <v>0</v>
      </c>
      <c r="BV40" s="28"/>
      <c r="BW40" s="28"/>
      <c r="BX40" s="28"/>
      <c r="BY40" s="28"/>
      <c r="BZ40" s="28"/>
      <c r="CA40" s="28"/>
      <c r="CB40" s="99">
        <v>0</v>
      </c>
      <c r="CC40" s="99">
        <v>4</v>
      </c>
      <c r="CD40" s="99">
        <f t="shared" si="10"/>
        <v>6.1429999999999998</v>
      </c>
      <c r="CE40" s="99">
        <f t="shared" si="10"/>
        <v>6.1429999999999998</v>
      </c>
      <c r="CF40" s="99">
        <f t="shared" si="10"/>
        <v>6.1429999999999998</v>
      </c>
      <c r="CG40" s="99">
        <f t="shared" si="10"/>
        <v>6.1429999999999998</v>
      </c>
      <c r="CH40" s="99">
        <f t="shared" si="10"/>
        <v>6.1429999999999998</v>
      </c>
      <c r="CI40" s="175"/>
      <c r="CJ40" s="175"/>
      <c r="CK40" s="175"/>
      <c r="CL40" s="175"/>
      <c r="CM40" s="175"/>
      <c r="CN40" s="175"/>
      <c r="CO40" s="175"/>
      <c r="CP40" s="176"/>
      <c r="CQ40" s="176"/>
      <c r="CR40" s="176"/>
      <c r="CS40" s="176"/>
      <c r="CT40" s="176"/>
      <c r="CU40" s="176"/>
      <c r="CV40" s="176"/>
      <c r="CW40" s="167"/>
      <c r="CX40" s="168"/>
      <c r="CY40" s="168"/>
      <c r="CZ40" s="168"/>
      <c r="DA40" s="168"/>
      <c r="DB40" s="168"/>
      <c r="DC40" s="168"/>
      <c r="DD40" s="172"/>
      <c r="DE40" s="172"/>
      <c r="DF40" s="172"/>
      <c r="DG40" s="172"/>
      <c r="DH40" s="172"/>
      <c r="DI40" s="172"/>
      <c r="DJ40" s="172"/>
      <c r="DK40" s="80" t="s">
        <v>746</v>
      </c>
      <c r="DL40" s="129">
        <f>VLOOKUP($F40,Activities!$A$9:$I$180,3,FALSE)/$AI40</f>
        <v>6.1429999999999998</v>
      </c>
      <c r="DM40" s="129">
        <f>VLOOKUP($F40,Activities!$A$9:$I$180,4,FALSE)/$AI40</f>
        <v>6.1429999999999998</v>
      </c>
      <c r="DN40" s="129">
        <f>VLOOKUP($F40,Activities!$A$9:$I$180,5,FALSE)/$AI40</f>
        <v>6.1429999999999998</v>
      </c>
      <c r="DO40" s="129">
        <f>VLOOKUP($F40,Activities!$A$9:$I$180,6,FALSE)/$AI40</f>
        <v>6.1429999999999998</v>
      </c>
      <c r="DP40" s="129">
        <f>VLOOKUP($F40,Activities!$A$9:$I$180,7,FALSE)/$AI40</f>
        <v>6.1429999999999998</v>
      </c>
      <c r="DQ40" s="129">
        <f>VLOOKUP($F40,Activities!$A$9:$I$180,8,FALSE)/$AI40</f>
        <v>6.1429999999999998</v>
      </c>
      <c r="DR40" s="129">
        <f>VLOOKUP($F40,Activities!$A$9:$I$180,9,FALSE)/$AI40</f>
        <v>6.1429999999999998</v>
      </c>
      <c r="DS40" s="218"/>
      <c r="DT40" s="360"/>
      <c r="DU40" s="360"/>
      <c r="DV40" s="360"/>
      <c r="DW40" s="360"/>
      <c r="DX40" s="360"/>
      <c r="DY40" s="360"/>
      <c r="DZ40" s="360"/>
      <c r="EA40" s="360"/>
      <c r="EB40" s="360"/>
      <c r="EC40" s="360"/>
      <c r="ED40" s="360"/>
      <c r="EE40" s="360"/>
      <c r="EF40" s="360"/>
      <c r="EG40" s="360"/>
      <c r="EH40" s="360"/>
      <c r="EI40" s="360"/>
      <c r="EJ40" s="360"/>
      <c r="EK40" s="360"/>
      <c r="EL40" s="360"/>
      <c r="EM40" s="360"/>
      <c r="EN40" s="360"/>
      <c r="EO40" s="360"/>
      <c r="EP40" s="360"/>
      <c r="EQ40" s="360"/>
    </row>
    <row r="41" spans="1:147" x14ac:dyDescent="0.35">
      <c r="A41" s="5" t="s">
        <v>757</v>
      </c>
      <c r="B41" s="5" t="s">
        <v>740</v>
      </c>
      <c r="C41" s="5" t="s">
        <v>655</v>
      </c>
      <c r="D41" s="5" t="s">
        <v>741</v>
      </c>
      <c r="E41" s="5" t="s">
        <v>742</v>
      </c>
      <c r="F41" s="5" t="s">
        <v>331</v>
      </c>
      <c r="G41" s="47" t="s">
        <v>758</v>
      </c>
      <c r="H41" s="47" t="s">
        <v>744</v>
      </c>
      <c r="I41" s="101">
        <v>435</v>
      </c>
      <c r="J41" s="101">
        <v>435</v>
      </c>
      <c r="K41" s="101">
        <v>435</v>
      </c>
      <c r="L41" s="101">
        <v>435</v>
      </c>
      <c r="M41" s="101">
        <v>435</v>
      </c>
      <c r="N41" s="101">
        <v>435</v>
      </c>
      <c r="O41" s="101">
        <v>435</v>
      </c>
      <c r="P41" s="93">
        <v>0</v>
      </c>
      <c r="Q41" s="101">
        <v>13</v>
      </c>
      <c r="R41" s="101">
        <v>13</v>
      </c>
      <c r="S41" s="101">
        <v>13</v>
      </c>
      <c r="T41" s="101">
        <v>13</v>
      </c>
      <c r="U41" s="101">
        <v>13</v>
      </c>
      <c r="V41" s="101">
        <v>13</v>
      </c>
      <c r="W41" s="101">
        <v>13</v>
      </c>
      <c r="X41" s="101">
        <v>170</v>
      </c>
      <c r="Y41" s="101">
        <v>170</v>
      </c>
      <c r="Z41" s="101">
        <v>170</v>
      </c>
      <c r="AA41" s="101">
        <v>170</v>
      </c>
      <c r="AB41" s="101">
        <v>170</v>
      </c>
      <c r="AC41" s="101">
        <v>170</v>
      </c>
      <c r="AD41" s="101">
        <v>170</v>
      </c>
      <c r="AE41" s="186">
        <v>0.08</v>
      </c>
      <c r="AF41" s="93">
        <v>0</v>
      </c>
      <c r="AG41" s="93">
        <v>30</v>
      </c>
      <c r="AH41" s="93">
        <v>30</v>
      </c>
      <c r="AI41" s="16">
        <v>1</v>
      </c>
      <c r="AJ41" s="16" t="s">
        <v>660</v>
      </c>
      <c r="AK41" s="16" t="s">
        <v>745</v>
      </c>
      <c r="AL41" s="16"/>
      <c r="AM41" s="60"/>
      <c r="AN41" s="60"/>
      <c r="AO41" s="60"/>
      <c r="AP41" s="60"/>
      <c r="AQ41" s="60"/>
      <c r="AR41" s="60"/>
      <c r="AS41" s="63"/>
      <c r="AT41" s="63"/>
      <c r="AU41" s="63"/>
      <c r="AV41" s="131"/>
      <c r="AW41" s="131"/>
      <c r="AX41" s="131"/>
      <c r="AY41" s="27" t="s">
        <v>662</v>
      </c>
      <c r="AZ41" s="27"/>
      <c r="BA41" s="27"/>
      <c r="BB41" s="30"/>
      <c r="BC41" s="30"/>
      <c r="BD41" s="30"/>
      <c r="BE41" s="30"/>
      <c r="BF41" s="30"/>
      <c r="BG41" s="30"/>
      <c r="BH41" s="107"/>
      <c r="BI41" s="107"/>
      <c r="BJ41" s="107"/>
      <c r="BK41" s="107"/>
      <c r="BL41" s="136"/>
      <c r="BM41" s="122"/>
      <c r="BN41" s="138">
        <v>0</v>
      </c>
      <c r="BO41" s="93"/>
      <c r="BP41" s="93"/>
      <c r="BQ41" s="93"/>
      <c r="BR41" s="93"/>
      <c r="BS41" s="93"/>
      <c r="BT41" s="93"/>
      <c r="BU41" s="27">
        <f t="shared" si="1"/>
        <v>0</v>
      </c>
      <c r="BV41" s="27"/>
      <c r="BW41" s="191"/>
      <c r="BX41" s="27"/>
      <c r="BY41" s="27"/>
      <c r="BZ41" s="27"/>
      <c r="CA41" s="27"/>
      <c r="CB41" s="97">
        <v>0</v>
      </c>
      <c r="CC41" s="97">
        <v>4</v>
      </c>
      <c r="CD41" s="97">
        <f t="shared" ref="CD41:CD43" si="13">DN41</f>
        <v>6.1429999999999998</v>
      </c>
      <c r="CE41" s="97">
        <f t="shared" ref="CE41:CE43" si="14">DO41</f>
        <v>6.1429999999999998</v>
      </c>
      <c r="CF41" s="97">
        <f t="shared" si="10"/>
        <v>6.1429999999999998</v>
      </c>
      <c r="CG41" s="97">
        <f t="shared" si="10"/>
        <v>6.1429999999999998</v>
      </c>
      <c r="CH41" s="97">
        <f t="shared" si="10"/>
        <v>6.1429999999999998</v>
      </c>
      <c r="CI41" s="173"/>
      <c r="CJ41" s="173"/>
      <c r="CK41" s="173"/>
      <c r="CL41" s="173"/>
      <c r="CM41" s="173"/>
      <c r="CN41" s="173"/>
      <c r="CO41" s="173"/>
      <c r="CP41" s="174"/>
      <c r="CQ41" s="174"/>
      <c r="CR41" s="174"/>
      <c r="CS41" s="174"/>
      <c r="CT41" s="174"/>
      <c r="CU41" s="174"/>
      <c r="CV41" s="174"/>
      <c r="CW41" s="165"/>
      <c r="CX41" s="166"/>
      <c r="CY41" s="166"/>
      <c r="CZ41" s="166"/>
      <c r="DA41" s="166"/>
      <c r="DB41" s="166"/>
      <c r="DC41" s="166"/>
      <c r="DD41" s="171"/>
      <c r="DE41" s="171"/>
      <c r="DF41" s="171"/>
      <c r="DG41" s="171"/>
      <c r="DH41" s="171"/>
      <c r="DI41" s="171"/>
      <c r="DJ41" s="171"/>
      <c r="DK41" s="79" t="s">
        <v>746</v>
      </c>
      <c r="DL41" s="128">
        <f>VLOOKUP($F41,Activities!$A$9:$I$180,3,FALSE)/$AI41</f>
        <v>6.1429999999999998</v>
      </c>
      <c r="DM41" s="128">
        <f>VLOOKUP($F41,Activities!$A$9:$I$180,4,FALSE)/$AI41</f>
        <v>6.1429999999999998</v>
      </c>
      <c r="DN41" s="128">
        <f>VLOOKUP($F41,Activities!$A$9:$I$180,5,FALSE)/$AI41</f>
        <v>6.1429999999999998</v>
      </c>
      <c r="DO41" s="128">
        <f>VLOOKUP($F41,Activities!$A$9:$I$180,6,FALSE)/$AI41</f>
        <v>6.1429999999999998</v>
      </c>
      <c r="DP41" s="128">
        <f>VLOOKUP($F41,Activities!$A$9:$I$180,7,FALSE)/$AI41</f>
        <v>6.1429999999999998</v>
      </c>
      <c r="DQ41" s="128">
        <f>VLOOKUP($F41,Activities!$A$9:$I$180,8,FALSE)/$AI41</f>
        <v>6.1429999999999998</v>
      </c>
      <c r="DR41" s="128">
        <f>VLOOKUP($F41,Activities!$A$9:$I$180,9,FALSE)/$AI41</f>
        <v>6.1429999999999998</v>
      </c>
      <c r="DS41" s="218"/>
      <c r="DT41" s="360"/>
      <c r="DU41" s="360"/>
      <c r="DV41" s="360"/>
      <c r="DW41" s="360"/>
      <c r="DX41" s="360"/>
      <c r="DY41" s="360"/>
      <c r="DZ41" s="360"/>
      <c r="EA41" s="360"/>
      <c r="EB41" s="360"/>
      <c r="EC41" s="360"/>
      <c r="ED41" s="360"/>
      <c r="EE41" s="360"/>
      <c r="EF41" s="360"/>
      <c r="EG41" s="360"/>
      <c r="EH41" s="360"/>
      <c r="EI41" s="360"/>
      <c r="EJ41" s="360"/>
      <c r="EK41" s="360"/>
      <c r="EL41" s="360"/>
      <c r="EM41" s="360"/>
      <c r="EN41" s="360"/>
      <c r="EO41" s="360"/>
      <c r="EP41" s="360"/>
      <c r="EQ41" s="360"/>
    </row>
    <row r="42" spans="1:147" x14ac:dyDescent="0.35">
      <c r="A42" s="6" t="s">
        <v>759</v>
      </c>
      <c r="B42" s="6" t="s">
        <v>740</v>
      </c>
      <c r="C42" s="6" t="s">
        <v>655</v>
      </c>
      <c r="D42" s="6" t="s">
        <v>741</v>
      </c>
      <c r="E42" s="6" t="s">
        <v>742</v>
      </c>
      <c r="F42" s="6" t="s">
        <v>331</v>
      </c>
      <c r="G42" s="48" t="s">
        <v>760</v>
      </c>
      <c r="H42" s="48" t="s">
        <v>744</v>
      </c>
      <c r="I42" s="102">
        <v>435</v>
      </c>
      <c r="J42" s="102">
        <v>435</v>
      </c>
      <c r="K42" s="102">
        <v>435</v>
      </c>
      <c r="L42" s="102">
        <v>435</v>
      </c>
      <c r="M42" s="102">
        <v>435</v>
      </c>
      <c r="N42" s="102">
        <v>435</v>
      </c>
      <c r="O42" s="102">
        <v>435</v>
      </c>
      <c r="P42" s="94">
        <v>0</v>
      </c>
      <c r="Q42" s="102">
        <v>13</v>
      </c>
      <c r="R42" s="102">
        <v>13</v>
      </c>
      <c r="S42" s="102">
        <v>13</v>
      </c>
      <c r="T42" s="102">
        <v>13</v>
      </c>
      <c r="U42" s="102">
        <v>13</v>
      </c>
      <c r="V42" s="102">
        <v>13</v>
      </c>
      <c r="W42" s="102">
        <v>13</v>
      </c>
      <c r="X42" s="102">
        <v>170</v>
      </c>
      <c r="Y42" s="102">
        <v>170</v>
      </c>
      <c r="Z42" s="102">
        <v>170</v>
      </c>
      <c r="AA42" s="102">
        <v>170</v>
      </c>
      <c r="AB42" s="102">
        <v>170</v>
      </c>
      <c r="AC42" s="102">
        <v>170</v>
      </c>
      <c r="AD42" s="102">
        <v>170</v>
      </c>
      <c r="AE42" s="186">
        <v>0.08</v>
      </c>
      <c r="AF42" s="94">
        <v>0</v>
      </c>
      <c r="AG42" s="94">
        <v>30</v>
      </c>
      <c r="AH42" s="94">
        <v>30</v>
      </c>
      <c r="AI42" s="17">
        <v>1</v>
      </c>
      <c r="AJ42" s="17" t="s">
        <v>660</v>
      </c>
      <c r="AK42" s="17" t="s">
        <v>745</v>
      </c>
      <c r="AL42" s="17"/>
      <c r="AM42" s="61"/>
      <c r="AN42" s="61"/>
      <c r="AO42" s="61"/>
      <c r="AP42" s="61"/>
      <c r="AQ42" s="61"/>
      <c r="AR42" s="61"/>
      <c r="AS42" s="64"/>
      <c r="AT42" s="64"/>
      <c r="AU42" s="64"/>
      <c r="AV42" s="132"/>
      <c r="AW42" s="132"/>
      <c r="AX42" s="132"/>
      <c r="AY42" s="28" t="s">
        <v>662</v>
      </c>
      <c r="AZ42" s="28"/>
      <c r="BA42" s="28"/>
      <c r="BB42" s="28"/>
      <c r="BC42" s="28"/>
      <c r="BD42" s="28"/>
      <c r="BE42" s="28"/>
      <c r="BF42" s="28"/>
      <c r="BG42" s="28"/>
      <c r="BH42" s="106"/>
      <c r="BI42" s="106"/>
      <c r="BJ42" s="106"/>
      <c r="BK42" s="106"/>
      <c r="BL42" s="137"/>
      <c r="BM42" s="123"/>
      <c r="BN42" s="139">
        <v>0</v>
      </c>
      <c r="BO42" s="94"/>
      <c r="BP42" s="94"/>
      <c r="BQ42" s="94"/>
      <c r="BR42" s="94"/>
      <c r="BS42" s="94"/>
      <c r="BT42" s="94"/>
      <c r="BU42" s="28">
        <f t="shared" si="1"/>
        <v>0</v>
      </c>
      <c r="BV42" s="28"/>
      <c r="BW42" s="28"/>
      <c r="BX42" s="28"/>
      <c r="BY42" s="28"/>
      <c r="BZ42" s="28"/>
      <c r="CA42" s="28"/>
      <c r="CB42" s="99">
        <v>0</v>
      </c>
      <c r="CC42" s="99"/>
      <c r="CD42" s="99">
        <f t="shared" si="13"/>
        <v>6.1429999999999998</v>
      </c>
      <c r="CE42" s="99">
        <f t="shared" si="14"/>
        <v>6.1429999999999998</v>
      </c>
      <c r="CF42" s="99">
        <f t="shared" ref="CF42:CH50" si="15">DP42</f>
        <v>6.1429999999999998</v>
      </c>
      <c r="CG42" s="97">
        <f t="shared" si="10"/>
        <v>6.1429999999999998</v>
      </c>
      <c r="CH42" s="97">
        <f t="shared" si="10"/>
        <v>6.1429999999999998</v>
      </c>
      <c r="CI42" s="175"/>
      <c r="CJ42" s="175"/>
      <c r="CK42" s="175"/>
      <c r="CL42" s="175"/>
      <c r="CM42" s="175"/>
      <c r="CN42" s="175"/>
      <c r="CO42" s="175"/>
      <c r="CP42" s="176"/>
      <c r="CQ42" s="176"/>
      <c r="CR42" s="176"/>
      <c r="CS42" s="176"/>
      <c r="CT42" s="176"/>
      <c r="CU42" s="176"/>
      <c r="CV42" s="176"/>
      <c r="CW42" s="167"/>
      <c r="CX42" s="168"/>
      <c r="CY42" s="168"/>
      <c r="CZ42" s="168"/>
      <c r="DA42" s="168"/>
      <c r="DB42" s="168"/>
      <c r="DC42" s="168"/>
      <c r="DD42" s="172"/>
      <c r="DE42" s="172"/>
      <c r="DF42" s="172"/>
      <c r="DG42" s="172"/>
      <c r="DH42" s="172"/>
      <c r="DI42" s="172"/>
      <c r="DJ42" s="172"/>
      <c r="DK42" s="80" t="s">
        <v>746</v>
      </c>
      <c r="DL42" s="129">
        <f>VLOOKUP($F42,Activities!$A$9:$I$180,3,FALSE)/$AI42</f>
        <v>6.1429999999999998</v>
      </c>
      <c r="DM42" s="129">
        <f>VLOOKUP($F42,Activities!$A$9:$I$180,4,FALSE)/$AI42</f>
        <v>6.1429999999999998</v>
      </c>
      <c r="DN42" s="129">
        <f>VLOOKUP($F42,Activities!$A$9:$I$180,5,FALSE)/$AI42</f>
        <v>6.1429999999999998</v>
      </c>
      <c r="DO42" s="129">
        <f>VLOOKUP($F42,Activities!$A$9:$I$180,6,FALSE)/$AI42</f>
        <v>6.1429999999999998</v>
      </c>
      <c r="DP42" s="129">
        <f>VLOOKUP($F42,Activities!$A$9:$I$180,7,FALSE)/$AI42</f>
        <v>6.1429999999999998</v>
      </c>
      <c r="DQ42" s="129">
        <f>VLOOKUP($F42,Activities!$A$9:$I$180,8,FALSE)/$AI42</f>
        <v>6.1429999999999998</v>
      </c>
      <c r="DR42" s="129">
        <f>VLOOKUP($F42,Activities!$A$9:$I$180,9,FALSE)/$AI42</f>
        <v>6.1429999999999998</v>
      </c>
      <c r="DS42" s="218"/>
      <c r="DT42" s="360"/>
      <c r="DU42" s="360"/>
      <c r="DV42" s="360"/>
      <c r="DW42" s="360"/>
      <c r="DX42" s="360"/>
      <c r="DY42" s="360"/>
      <c r="DZ42" s="360"/>
      <c r="EA42" s="360"/>
      <c r="EB42" s="360"/>
      <c r="EC42" s="360"/>
      <c r="ED42" s="360"/>
      <c r="EE42" s="360"/>
      <c r="EF42" s="360"/>
      <c r="EG42" s="360"/>
      <c r="EH42" s="360"/>
      <c r="EI42" s="360"/>
      <c r="EJ42" s="360"/>
      <c r="EK42" s="360"/>
      <c r="EL42" s="360"/>
      <c r="EM42" s="360"/>
      <c r="EN42" s="360"/>
      <c r="EO42" s="360"/>
      <c r="EP42" s="360"/>
      <c r="EQ42" s="360"/>
    </row>
    <row r="43" spans="1:147" x14ac:dyDescent="0.35">
      <c r="A43" s="5" t="s">
        <v>761</v>
      </c>
      <c r="B43" s="5" t="s">
        <v>740</v>
      </c>
      <c r="C43" s="5" t="s">
        <v>655</v>
      </c>
      <c r="D43" s="5" t="s">
        <v>741</v>
      </c>
      <c r="E43" s="5" t="s">
        <v>742</v>
      </c>
      <c r="F43" s="5" t="s">
        <v>331</v>
      </c>
      <c r="G43" s="47" t="s">
        <v>762</v>
      </c>
      <c r="H43" s="47" t="s">
        <v>744</v>
      </c>
      <c r="I43" s="101">
        <v>435</v>
      </c>
      <c r="J43" s="101">
        <v>435</v>
      </c>
      <c r="K43" s="101">
        <v>435</v>
      </c>
      <c r="L43" s="101">
        <v>435</v>
      </c>
      <c r="M43" s="101">
        <v>435</v>
      </c>
      <c r="N43" s="101">
        <v>435</v>
      </c>
      <c r="O43" s="101">
        <v>435</v>
      </c>
      <c r="P43" s="93">
        <v>0</v>
      </c>
      <c r="Q43" s="101">
        <v>13</v>
      </c>
      <c r="R43" s="101">
        <v>13</v>
      </c>
      <c r="S43" s="101">
        <v>13</v>
      </c>
      <c r="T43" s="101">
        <v>13</v>
      </c>
      <c r="U43" s="101">
        <v>13</v>
      </c>
      <c r="V43" s="101">
        <v>13</v>
      </c>
      <c r="W43" s="101">
        <v>13</v>
      </c>
      <c r="X43" s="101">
        <v>170</v>
      </c>
      <c r="Y43" s="101">
        <v>170</v>
      </c>
      <c r="Z43" s="101">
        <v>170</v>
      </c>
      <c r="AA43" s="101">
        <v>170</v>
      </c>
      <c r="AB43" s="101">
        <v>170</v>
      </c>
      <c r="AC43" s="101">
        <v>170</v>
      </c>
      <c r="AD43" s="101">
        <v>170</v>
      </c>
      <c r="AE43" s="186">
        <v>0.08</v>
      </c>
      <c r="AF43" s="93">
        <v>0</v>
      </c>
      <c r="AG43" s="93">
        <v>30</v>
      </c>
      <c r="AH43" s="93">
        <v>30</v>
      </c>
      <c r="AI43" s="16">
        <v>1</v>
      </c>
      <c r="AJ43" s="16" t="s">
        <v>660</v>
      </c>
      <c r="AK43" s="16" t="s">
        <v>745</v>
      </c>
      <c r="AL43" s="16"/>
      <c r="AM43" s="60"/>
      <c r="AN43" s="60"/>
      <c r="AO43" s="60"/>
      <c r="AP43" s="60"/>
      <c r="AQ43" s="60"/>
      <c r="AR43" s="60"/>
      <c r="AS43" s="63"/>
      <c r="AT43" s="63"/>
      <c r="AU43" s="63"/>
      <c r="AV43" s="131"/>
      <c r="AW43" s="131"/>
      <c r="AX43" s="131"/>
      <c r="AY43" s="27" t="s">
        <v>662</v>
      </c>
      <c r="AZ43" s="27"/>
      <c r="BA43" s="27"/>
      <c r="BB43" s="30"/>
      <c r="BC43" s="30"/>
      <c r="BD43" s="30"/>
      <c r="BE43" s="30"/>
      <c r="BF43" s="30"/>
      <c r="BG43" s="30"/>
      <c r="BH43" s="107"/>
      <c r="BI43" s="107"/>
      <c r="BJ43" s="107"/>
      <c r="BK43" s="107"/>
      <c r="BL43" s="136"/>
      <c r="BM43" s="122"/>
      <c r="BN43" s="138">
        <v>0</v>
      </c>
      <c r="BO43" s="93"/>
      <c r="BP43" s="93"/>
      <c r="BQ43" s="93"/>
      <c r="BR43" s="93"/>
      <c r="BS43" s="93"/>
      <c r="BT43" s="93"/>
      <c r="BU43" s="27">
        <f t="shared" si="1"/>
        <v>0</v>
      </c>
      <c r="BV43" s="27"/>
      <c r="BW43" s="27"/>
      <c r="BX43" s="27"/>
      <c r="BY43" s="27"/>
      <c r="BZ43" s="27"/>
      <c r="CA43" s="27"/>
      <c r="CB43" s="97">
        <v>0</v>
      </c>
      <c r="CC43" s="97"/>
      <c r="CD43" s="185">
        <f t="shared" si="13"/>
        <v>6.1429999999999998</v>
      </c>
      <c r="CE43" s="185">
        <f t="shared" si="14"/>
        <v>6.1429999999999998</v>
      </c>
      <c r="CF43" s="97">
        <f t="shared" si="15"/>
        <v>6.1429999999999998</v>
      </c>
      <c r="CG43" s="97">
        <f t="shared" si="15"/>
        <v>6.1429999999999998</v>
      </c>
      <c r="CH43" s="97">
        <f t="shared" si="15"/>
        <v>6.1429999999999998</v>
      </c>
      <c r="CI43" s="173"/>
      <c r="CJ43" s="173"/>
      <c r="CK43" s="173"/>
      <c r="CL43" s="173"/>
      <c r="CM43" s="173"/>
      <c r="CN43" s="173"/>
      <c r="CO43" s="173"/>
      <c r="CP43" s="174"/>
      <c r="CQ43" s="174"/>
      <c r="CR43" s="174"/>
      <c r="CS43" s="174"/>
      <c r="CT43" s="174"/>
      <c r="CU43" s="174"/>
      <c r="CV43" s="174"/>
      <c r="CW43" s="165"/>
      <c r="CX43" s="166"/>
      <c r="CY43" s="166"/>
      <c r="CZ43" s="166"/>
      <c r="DA43" s="166"/>
      <c r="DB43" s="166"/>
      <c r="DC43" s="166"/>
      <c r="DD43" s="171"/>
      <c r="DE43" s="171"/>
      <c r="DF43" s="171"/>
      <c r="DG43" s="171"/>
      <c r="DH43" s="171"/>
      <c r="DI43" s="171"/>
      <c r="DJ43" s="171"/>
      <c r="DK43" s="79" t="s">
        <v>746</v>
      </c>
      <c r="DL43" s="128">
        <f>VLOOKUP($F43,Activities!$A$9:$I$180,3,FALSE)/$AI43</f>
        <v>6.1429999999999998</v>
      </c>
      <c r="DM43" s="128">
        <f>VLOOKUP($F43,Activities!$A$9:$I$180,4,FALSE)/$AI43</f>
        <v>6.1429999999999998</v>
      </c>
      <c r="DN43" s="128">
        <f>VLOOKUP($F43,Activities!$A$9:$I$180,5,FALSE)/$AI43</f>
        <v>6.1429999999999998</v>
      </c>
      <c r="DO43" s="128">
        <f>VLOOKUP($F43,Activities!$A$9:$I$180,6,FALSE)/$AI43</f>
        <v>6.1429999999999998</v>
      </c>
      <c r="DP43" s="128">
        <f>VLOOKUP($F43,Activities!$A$9:$I$180,7,FALSE)/$AI43</f>
        <v>6.1429999999999998</v>
      </c>
      <c r="DQ43" s="128">
        <f>VLOOKUP($F43,Activities!$A$9:$I$180,8,FALSE)/$AI43</f>
        <v>6.1429999999999998</v>
      </c>
      <c r="DR43" s="128">
        <f>VLOOKUP($F43,Activities!$A$9:$I$180,9,FALSE)/$AI43</f>
        <v>6.1429999999999998</v>
      </c>
      <c r="DS43" s="218"/>
      <c r="DT43" s="360"/>
      <c r="DU43" s="360"/>
      <c r="DV43" s="360"/>
      <c r="DW43" s="360"/>
      <c r="DX43" s="360"/>
      <c r="DY43" s="360"/>
      <c r="DZ43" s="360"/>
      <c r="EA43" s="360"/>
      <c r="EB43" s="360"/>
      <c r="EC43" s="360"/>
      <c r="ED43" s="360"/>
      <c r="EE43" s="360"/>
      <c r="EF43" s="360"/>
      <c r="EG43" s="360"/>
      <c r="EH43" s="360"/>
      <c r="EI43" s="360"/>
      <c r="EJ43" s="360"/>
      <c r="EK43" s="360"/>
      <c r="EL43" s="360"/>
      <c r="EM43" s="360"/>
      <c r="EN43" s="360"/>
      <c r="EO43" s="360"/>
      <c r="EP43" s="360"/>
      <c r="EQ43" s="360"/>
    </row>
    <row r="44" spans="1:147" x14ac:dyDescent="0.35">
      <c r="A44" s="6" t="s">
        <v>763</v>
      </c>
      <c r="B44" s="6" t="s">
        <v>740</v>
      </c>
      <c r="C44" s="6" t="s">
        <v>655</v>
      </c>
      <c r="D44" s="6" t="s">
        <v>741</v>
      </c>
      <c r="E44" s="6" t="s">
        <v>742</v>
      </c>
      <c r="F44" s="6" t="s">
        <v>331</v>
      </c>
      <c r="G44" s="48" t="s">
        <v>764</v>
      </c>
      <c r="H44" s="48" t="s">
        <v>744</v>
      </c>
      <c r="I44" s="102">
        <v>1000</v>
      </c>
      <c r="J44" s="102">
        <v>950</v>
      </c>
      <c r="K44" s="102">
        <v>900</v>
      </c>
      <c r="L44" s="102">
        <v>835</v>
      </c>
      <c r="M44" s="102">
        <v>770</v>
      </c>
      <c r="N44" s="102">
        <v>705</v>
      </c>
      <c r="O44" s="102">
        <v>640</v>
      </c>
      <c r="P44" s="94">
        <v>0</v>
      </c>
      <c r="Q44" s="102">
        <v>70</v>
      </c>
      <c r="R44" s="102">
        <v>70</v>
      </c>
      <c r="S44" s="102">
        <v>60</v>
      </c>
      <c r="T44" s="102">
        <v>60</v>
      </c>
      <c r="U44" s="102">
        <v>53</v>
      </c>
      <c r="V44" s="102">
        <v>53</v>
      </c>
      <c r="W44" s="102">
        <v>45</v>
      </c>
      <c r="X44" s="102">
        <v>170</v>
      </c>
      <c r="Y44" s="102">
        <v>170</v>
      </c>
      <c r="Z44" s="102">
        <v>170</v>
      </c>
      <c r="AA44" s="102">
        <v>170</v>
      </c>
      <c r="AB44" s="102">
        <v>170</v>
      </c>
      <c r="AC44" s="102">
        <v>170</v>
      </c>
      <c r="AD44" s="102">
        <v>170</v>
      </c>
      <c r="AE44" s="186">
        <v>0.08</v>
      </c>
      <c r="AF44" s="94">
        <v>0</v>
      </c>
      <c r="AG44" s="94">
        <v>30</v>
      </c>
      <c r="AH44" s="94">
        <v>30</v>
      </c>
      <c r="AI44" s="17">
        <v>1</v>
      </c>
      <c r="AJ44" s="17" t="s">
        <v>765</v>
      </c>
      <c r="AK44" s="17" t="s">
        <v>745</v>
      </c>
      <c r="AL44" s="17"/>
      <c r="AM44" s="61"/>
      <c r="AN44" s="61"/>
      <c r="AO44" s="61"/>
      <c r="AP44" s="61"/>
      <c r="AQ44" s="61"/>
      <c r="AR44" s="61"/>
      <c r="AS44" s="64">
        <v>0.5</v>
      </c>
      <c r="AT44" s="64"/>
      <c r="AU44" s="64" t="s">
        <v>766</v>
      </c>
      <c r="AV44" s="132"/>
      <c r="AW44" s="132"/>
      <c r="AX44" s="132"/>
      <c r="AY44" s="28" t="s">
        <v>662</v>
      </c>
      <c r="AZ44" s="28"/>
      <c r="BA44" s="28"/>
      <c r="BB44" s="28"/>
      <c r="BC44" s="28"/>
      <c r="BD44" s="28"/>
      <c r="BE44" s="28"/>
      <c r="BF44" s="28"/>
      <c r="BG44" s="28"/>
      <c r="BH44" s="106"/>
      <c r="BI44" s="106"/>
      <c r="BJ44" s="106"/>
      <c r="BK44" s="106"/>
      <c r="BL44" s="137"/>
      <c r="BM44" s="123"/>
      <c r="BN44" s="139">
        <v>0</v>
      </c>
      <c r="BO44" s="94"/>
      <c r="BP44" s="94"/>
      <c r="BQ44" s="94"/>
      <c r="BR44" s="94"/>
      <c r="BS44" s="94"/>
      <c r="BT44" s="94"/>
      <c r="BU44" s="28">
        <f t="shared" si="1"/>
        <v>0</v>
      </c>
      <c r="BV44" s="28"/>
      <c r="BW44" s="28"/>
      <c r="BX44" s="28"/>
      <c r="BY44" s="28"/>
      <c r="BZ44" s="28"/>
      <c r="CA44" s="28"/>
      <c r="CB44" s="99"/>
      <c r="CC44" s="99"/>
      <c r="CD44" s="185"/>
      <c r="CE44" s="97">
        <v>4</v>
      </c>
      <c r="CF44" s="97">
        <f t="shared" ref="CF44:CF50" si="16">DP44</f>
        <v>6.1429999999999998</v>
      </c>
      <c r="CG44" s="97">
        <f t="shared" si="15"/>
        <v>6.1429999999999998</v>
      </c>
      <c r="CH44" s="97">
        <f t="shared" si="15"/>
        <v>6.1429999999999998</v>
      </c>
      <c r="CI44" s="175"/>
      <c r="CJ44" s="175"/>
      <c r="CK44" s="175"/>
      <c r="CL44" s="175"/>
      <c r="CM44" s="175"/>
      <c r="CN44" s="175"/>
      <c r="CO44" s="175"/>
      <c r="CP44" s="176"/>
      <c r="CQ44" s="176"/>
      <c r="CR44" s="176"/>
      <c r="CS44" s="176"/>
      <c r="CT44" s="176"/>
      <c r="CU44" s="176"/>
      <c r="CV44" s="176"/>
      <c r="CW44" s="167"/>
      <c r="CX44" s="168"/>
      <c r="CY44" s="168"/>
      <c r="CZ44" s="168"/>
      <c r="DA44" s="168"/>
      <c r="DB44" s="168"/>
      <c r="DC44" s="168"/>
      <c r="DD44" s="172"/>
      <c r="DE44" s="172"/>
      <c r="DF44" s="172"/>
      <c r="DG44" s="172"/>
      <c r="DH44" s="172"/>
      <c r="DI44" s="172"/>
      <c r="DJ44" s="172"/>
      <c r="DK44" s="80" t="s">
        <v>746</v>
      </c>
      <c r="DL44" s="129">
        <f>VLOOKUP($F44,Activities!$A$9:$I$180,3,FALSE)/$AI44</f>
        <v>6.1429999999999998</v>
      </c>
      <c r="DM44" s="129">
        <f>VLOOKUP($F44,Activities!$A$9:$I$180,4,FALSE)/$AI44</f>
        <v>6.1429999999999998</v>
      </c>
      <c r="DN44" s="129">
        <f>VLOOKUP($F44,Activities!$A$9:$I$180,5,FALSE)/$AI44</f>
        <v>6.1429999999999998</v>
      </c>
      <c r="DO44" s="129">
        <f>VLOOKUP($F44,Activities!$A$9:$I$180,6,FALSE)/$AI44</f>
        <v>6.1429999999999998</v>
      </c>
      <c r="DP44" s="129">
        <f>VLOOKUP($F44,Activities!$A$9:$I$180,7,FALSE)/$AI44</f>
        <v>6.1429999999999998</v>
      </c>
      <c r="DQ44" s="129">
        <f>VLOOKUP($F44,Activities!$A$9:$I$180,8,FALSE)/$AI44</f>
        <v>6.1429999999999998</v>
      </c>
      <c r="DR44" s="129">
        <f>VLOOKUP($F44,Activities!$A$9:$I$180,9,FALSE)/$AI44</f>
        <v>6.1429999999999998</v>
      </c>
      <c r="DS44" s="218"/>
      <c r="DT44" s="360"/>
      <c r="DU44" s="360"/>
      <c r="DV44" s="360"/>
      <c r="DW44" s="360"/>
      <c r="DX44" s="360"/>
      <c r="DY44" s="360"/>
      <c r="DZ44" s="360"/>
      <c r="EA44" s="360"/>
      <c r="EB44" s="360"/>
      <c r="EC44" s="360"/>
      <c r="ED44" s="360"/>
      <c r="EE44" s="360"/>
      <c r="EF44" s="360"/>
      <c r="EG44" s="360"/>
      <c r="EH44" s="360"/>
      <c r="EI44" s="360"/>
      <c r="EJ44" s="360"/>
      <c r="EK44" s="360"/>
      <c r="EL44" s="360"/>
      <c r="EM44" s="360"/>
      <c r="EN44" s="360"/>
      <c r="EO44" s="360"/>
      <c r="EP44" s="360"/>
      <c r="EQ44" s="360"/>
    </row>
    <row r="45" spans="1:147" x14ac:dyDescent="0.35">
      <c r="A45" s="5" t="s">
        <v>767</v>
      </c>
      <c r="B45" s="5" t="s">
        <v>740</v>
      </c>
      <c r="C45" s="5" t="s">
        <v>655</v>
      </c>
      <c r="D45" s="5" t="s">
        <v>741</v>
      </c>
      <c r="E45" s="5" t="s">
        <v>742</v>
      </c>
      <c r="F45" s="5" t="s">
        <v>331</v>
      </c>
      <c r="G45" s="47" t="s">
        <v>768</v>
      </c>
      <c r="H45" s="47" t="s">
        <v>744</v>
      </c>
      <c r="I45" s="101">
        <v>1100</v>
      </c>
      <c r="J45" s="101">
        <v>980</v>
      </c>
      <c r="K45" s="101">
        <v>950</v>
      </c>
      <c r="L45" s="101">
        <v>890</v>
      </c>
      <c r="M45" s="101">
        <v>830</v>
      </c>
      <c r="N45" s="101">
        <v>770</v>
      </c>
      <c r="O45" s="101">
        <v>710</v>
      </c>
      <c r="P45" s="93">
        <v>0</v>
      </c>
      <c r="Q45" s="101">
        <v>85</v>
      </c>
      <c r="R45" s="101">
        <v>85</v>
      </c>
      <c r="S45" s="101">
        <v>75</v>
      </c>
      <c r="T45" s="101">
        <v>75</v>
      </c>
      <c r="U45" s="101">
        <v>66</v>
      </c>
      <c r="V45" s="101">
        <v>66</v>
      </c>
      <c r="W45" s="101">
        <v>58</v>
      </c>
      <c r="X45" s="101">
        <v>170</v>
      </c>
      <c r="Y45" s="101">
        <v>170</v>
      </c>
      <c r="Z45" s="101">
        <v>170</v>
      </c>
      <c r="AA45" s="101">
        <v>170</v>
      </c>
      <c r="AB45" s="101">
        <v>170</v>
      </c>
      <c r="AC45" s="101">
        <v>170</v>
      </c>
      <c r="AD45" s="101">
        <v>170</v>
      </c>
      <c r="AE45" s="186">
        <v>0.08</v>
      </c>
      <c r="AF45" s="93">
        <v>0</v>
      </c>
      <c r="AG45" s="93">
        <v>30</v>
      </c>
      <c r="AH45" s="93">
        <v>30</v>
      </c>
      <c r="AI45" s="16">
        <v>1</v>
      </c>
      <c r="AJ45" s="16" t="s">
        <v>765</v>
      </c>
      <c r="AK45" s="16" t="s">
        <v>745</v>
      </c>
      <c r="AL45" s="16"/>
      <c r="AM45" s="60"/>
      <c r="AN45" s="60"/>
      <c r="AO45" s="60"/>
      <c r="AP45" s="60"/>
      <c r="AQ45" s="60"/>
      <c r="AR45" s="60"/>
      <c r="AS45" s="63">
        <v>0.5</v>
      </c>
      <c r="AT45" s="63"/>
      <c r="AU45" s="63" t="s">
        <v>766</v>
      </c>
      <c r="AV45" s="131"/>
      <c r="AW45" s="131"/>
      <c r="AX45" s="131"/>
      <c r="AY45" s="27" t="s">
        <v>662</v>
      </c>
      <c r="AZ45" s="27"/>
      <c r="BA45" s="27"/>
      <c r="BB45" s="30"/>
      <c r="BC45" s="30"/>
      <c r="BD45" s="30"/>
      <c r="BE45" s="30"/>
      <c r="BF45" s="30"/>
      <c r="BG45" s="30"/>
      <c r="BH45" s="107"/>
      <c r="BI45" s="107"/>
      <c r="BJ45" s="107"/>
      <c r="BK45" s="107"/>
      <c r="BL45" s="136"/>
      <c r="BM45" s="122"/>
      <c r="BN45" s="138">
        <v>0</v>
      </c>
      <c r="BO45" s="93"/>
      <c r="BP45" s="93"/>
      <c r="BQ45" s="93"/>
      <c r="BR45" s="93"/>
      <c r="BS45" s="93"/>
      <c r="BT45" s="93"/>
      <c r="BU45" s="27">
        <f t="shared" si="1"/>
        <v>0</v>
      </c>
      <c r="BV45" s="27"/>
      <c r="BW45" s="27"/>
      <c r="BX45" s="27"/>
      <c r="BY45" s="27"/>
      <c r="BZ45" s="27"/>
      <c r="CA45" s="27"/>
      <c r="CB45" s="97"/>
      <c r="CC45" s="97"/>
      <c r="CD45" s="185"/>
      <c r="CE45" s="97">
        <v>4</v>
      </c>
      <c r="CF45" s="97">
        <f t="shared" si="16"/>
        <v>6.1429999999999998</v>
      </c>
      <c r="CG45" s="97">
        <f t="shared" si="15"/>
        <v>6.1429999999999998</v>
      </c>
      <c r="CH45" s="97">
        <f t="shared" si="15"/>
        <v>6.1429999999999998</v>
      </c>
      <c r="CI45" s="173"/>
      <c r="CJ45" s="173"/>
      <c r="CK45" s="173"/>
      <c r="CL45" s="173"/>
      <c r="CM45" s="173"/>
      <c r="CN45" s="173"/>
      <c r="CO45" s="173"/>
      <c r="CP45" s="174"/>
      <c r="CQ45" s="174"/>
      <c r="CR45" s="174"/>
      <c r="CS45" s="174"/>
      <c r="CT45" s="174"/>
      <c r="CU45" s="174"/>
      <c r="CV45" s="174"/>
      <c r="CW45" s="165"/>
      <c r="CX45" s="166"/>
      <c r="CY45" s="166"/>
      <c r="CZ45" s="166"/>
      <c r="DA45" s="166"/>
      <c r="DB45" s="166"/>
      <c r="DC45" s="166"/>
      <c r="DD45" s="171"/>
      <c r="DE45" s="171"/>
      <c r="DF45" s="171"/>
      <c r="DG45" s="171"/>
      <c r="DH45" s="171"/>
      <c r="DI45" s="171"/>
      <c r="DJ45" s="171"/>
      <c r="DK45" s="79" t="s">
        <v>746</v>
      </c>
      <c r="DL45" s="128">
        <f>VLOOKUP($F45,Activities!$A$9:$I$180,3,FALSE)/$AI45</f>
        <v>6.1429999999999998</v>
      </c>
      <c r="DM45" s="128">
        <f>VLOOKUP($F45,Activities!$A$9:$I$180,4,FALSE)/$AI45</f>
        <v>6.1429999999999998</v>
      </c>
      <c r="DN45" s="128">
        <f>VLOOKUP($F45,Activities!$A$9:$I$180,5,FALSE)/$AI45</f>
        <v>6.1429999999999998</v>
      </c>
      <c r="DO45" s="128">
        <f>VLOOKUP($F45,Activities!$A$9:$I$180,6,FALSE)/$AI45</f>
        <v>6.1429999999999998</v>
      </c>
      <c r="DP45" s="128">
        <f>VLOOKUP($F45,Activities!$A$9:$I$180,7,FALSE)/$AI45</f>
        <v>6.1429999999999998</v>
      </c>
      <c r="DQ45" s="128">
        <f>VLOOKUP($F45,Activities!$A$9:$I$180,8,FALSE)/$AI45</f>
        <v>6.1429999999999998</v>
      </c>
      <c r="DR45" s="128">
        <f>VLOOKUP($F45,Activities!$A$9:$I$180,9,FALSE)/$AI45</f>
        <v>6.1429999999999998</v>
      </c>
      <c r="DS45" s="218"/>
      <c r="DT45" s="360"/>
      <c r="DU45" s="360"/>
      <c r="DV45" s="360"/>
      <c r="DW45" s="360"/>
      <c r="DX45" s="360"/>
      <c r="DY45" s="360"/>
      <c r="DZ45" s="360"/>
      <c r="EA45" s="360"/>
      <c r="EB45" s="360"/>
      <c r="EC45" s="360"/>
      <c r="ED45" s="360"/>
      <c r="EE45" s="360"/>
      <c r="EF45" s="360"/>
      <c r="EG45" s="360"/>
      <c r="EH45" s="360"/>
      <c r="EI45" s="360"/>
      <c r="EJ45" s="360"/>
      <c r="EK45" s="360"/>
      <c r="EL45" s="360"/>
      <c r="EM45" s="360"/>
      <c r="EN45" s="360"/>
      <c r="EO45" s="360"/>
      <c r="EP45" s="360"/>
      <c r="EQ45" s="360"/>
    </row>
    <row r="46" spans="1:147" x14ac:dyDescent="0.35">
      <c r="A46" s="6" t="s">
        <v>769</v>
      </c>
      <c r="B46" s="6" t="s">
        <v>740</v>
      </c>
      <c r="C46" s="6" t="s">
        <v>655</v>
      </c>
      <c r="D46" s="6" t="s">
        <v>741</v>
      </c>
      <c r="E46" s="6" t="s">
        <v>742</v>
      </c>
      <c r="F46" s="6" t="s">
        <v>331</v>
      </c>
      <c r="G46" s="48" t="s">
        <v>770</v>
      </c>
      <c r="H46" s="48" t="s">
        <v>744</v>
      </c>
      <c r="I46" s="102">
        <f>455*(103.88/100)</f>
        <v>472.654</v>
      </c>
      <c r="J46" s="102">
        <f t="shared" ref="J46:O50" si="17">455*(103.88/100)</f>
        <v>472.654</v>
      </c>
      <c r="K46" s="102">
        <f t="shared" si="17"/>
        <v>472.654</v>
      </c>
      <c r="L46" s="102">
        <f t="shared" si="17"/>
        <v>472.654</v>
      </c>
      <c r="M46" s="102">
        <f t="shared" si="17"/>
        <v>472.654</v>
      </c>
      <c r="N46" s="102">
        <f t="shared" si="17"/>
        <v>472.654</v>
      </c>
      <c r="O46" s="102">
        <f t="shared" si="17"/>
        <v>472.654</v>
      </c>
      <c r="P46" s="94">
        <v>0</v>
      </c>
      <c r="Q46" s="102">
        <f>39*(103.88/100)</f>
        <v>40.513199999999998</v>
      </c>
      <c r="R46" s="102">
        <f t="shared" ref="R46:W50" si="18">39*(103.88/100)</f>
        <v>40.513199999999998</v>
      </c>
      <c r="S46" s="102">
        <f t="shared" si="18"/>
        <v>40.513199999999998</v>
      </c>
      <c r="T46" s="102">
        <f t="shared" si="18"/>
        <v>40.513199999999998</v>
      </c>
      <c r="U46" s="102">
        <f t="shared" si="18"/>
        <v>40.513199999999998</v>
      </c>
      <c r="V46" s="102">
        <f t="shared" si="18"/>
        <v>40.513199999999998</v>
      </c>
      <c r="W46" s="102">
        <f t="shared" si="18"/>
        <v>40.513199999999998</v>
      </c>
      <c r="X46" s="102">
        <f>X35*1.2</f>
        <v>204</v>
      </c>
      <c r="Y46" s="102">
        <f t="shared" ref="Y46:AD46" si="19">Y35*1.2</f>
        <v>204</v>
      </c>
      <c r="Z46" s="102">
        <f t="shared" si="19"/>
        <v>204</v>
      </c>
      <c r="AA46" s="102">
        <f t="shared" si="19"/>
        <v>204</v>
      </c>
      <c r="AB46" s="102">
        <f t="shared" si="19"/>
        <v>204</v>
      </c>
      <c r="AC46" s="102">
        <f t="shared" si="19"/>
        <v>204</v>
      </c>
      <c r="AD46" s="102">
        <f t="shared" si="19"/>
        <v>204</v>
      </c>
      <c r="AE46" s="186">
        <v>0.08</v>
      </c>
      <c r="AF46" s="94">
        <v>0</v>
      </c>
      <c r="AG46" s="94">
        <v>20</v>
      </c>
      <c r="AH46" s="94">
        <v>20</v>
      </c>
      <c r="AI46" s="17">
        <v>1</v>
      </c>
      <c r="AJ46" s="17" t="s">
        <v>660</v>
      </c>
      <c r="AK46" s="17" t="s">
        <v>745</v>
      </c>
      <c r="AL46" s="17"/>
      <c r="AM46" s="61"/>
      <c r="AN46" s="61"/>
      <c r="AO46" s="61"/>
      <c r="AP46" s="61"/>
      <c r="AQ46" s="61"/>
      <c r="AR46" s="61"/>
      <c r="AS46" s="64"/>
      <c r="AT46" s="64"/>
      <c r="AU46" s="64"/>
      <c r="AV46" s="132"/>
      <c r="AW46" s="132"/>
      <c r="AX46" s="132"/>
      <c r="AY46" s="28" t="s">
        <v>662</v>
      </c>
      <c r="AZ46" s="28"/>
      <c r="BA46" s="28"/>
      <c r="BB46" s="28"/>
      <c r="BC46" s="28"/>
      <c r="BD46" s="28"/>
      <c r="BE46" s="28"/>
      <c r="BF46" s="28"/>
      <c r="BG46" s="28"/>
      <c r="BH46" s="106"/>
      <c r="BI46" s="106"/>
      <c r="BJ46" s="106"/>
      <c r="BK46" s="106"/>
      <c r="BL46" s="137"/>
      <c r="BM46" s="123"/>
      <c r="BN46" s="139">
        <v>0</v>
      </c>
      <c r="BO46" s="94"/>
      <c r="BP46" s="94"/>
      <c r="BQ46" s="94"/>
      <c r="BR46" s="94"/>
      <c r="BS46" s="94"/>
      <c r="BT46" s="94"/>
      <c r="BU46" s="28"/>
      <c r="BV46" s="28"/>
      <c r="BW46" s="28"/>
      <c r="BX46" s="28"/>
      <c r="BY46" s="28"/>
      <c r="BZ46" s="28"/>
      <c r="CA46" s="28"/>
      <c r="CB46" s="99"/>
      <c r="CC46" s="99">
        <v>4</v>
      </c>
      <c r="CD46" s="97">
        <f t="shared" ref="CD46:CE50" si="20">DN46</f>
        <v>6.1429999999999998</v>
      </c>
      <c r="CE46" s="97">
        <f t="shared" si="20"/>
        <v>6.1429999999999998</v>
      </c>
      <c r="CF46" s="97">
        <f t="shared" si="16"/>
        <v>6.1429999999999998</v>
      </c>
      <c r="CG46" s="97">
        <f t="shared" si="15"/>
        <v>6.1429999999999998</v>
      </c>
      <c r="CH46" s="97">
        <f t="shared" si="15"/>
        <v>6.1429999999999998</v>
      </c>
      <c r="CI46" s="175"/>
      <c r="CJ46" s="175"/>
      <c r="CK46" s="175"/>
      <c r="CL46" s="175"/>
      <c r="CM46" s="175"/>
      <c r="CN46" s="175"/>
      <c r="CO46" s="175"/>
      <c r="CP46" s="176"/>
      <c r="CQ46" s="176"/>
      <c r="CR46" s="176"/>
      <c r="CS46" s="176"/>
      <c r="CT46" s="176"/>
      <c r="CU46" s="176"/>
      <c r="CV46" s="176"/>
      <c r="CW46" s="167"/>
      <c r="CX46" s="168"/>
      <c r="CY46" s="168"/>
      <c r="CZ46" s="168"/>
      <c r="DA46" s="168"/>
      <c r="DB46" s="168"/>
      <c r="DC46" s="168"/>
      <c r="DD46" s="172"/>
      <c r="DE46" s="172"/>
      <c r="DF46" s="172"/>
      <c r="DG46" s="172"/>
      <c r="DH46" s="172"/>
      <c r="DI46" s="172"/>
      <c r="DJ46" s="172"/>
      <c r="DK46" s="80"/>
      <c r="DL46" s="128">
        <f>VLOOKUP($F46,Activities!$A$9:$I$180,3,FALSE)/$AI46</f>
        <v>6.1429999999999998</v>
      </c>
      <c r="DM46" s="128">
        <f>VLOOKUP($F46,Activities!$A$9:$I$180,4,FALSE)/$AI46</f>
        <v>6.1429999999999998</v>
      </c>
      <c r="DN46" s="128">
        <f>VLOOKUP($F46,Activities!$A$9:$I$180,5,FALSE)/$AI46</f>
        <v>6.1429999999999998</v>
      </c>
      <c r="DO46" s="128">
        <f>VLOOKUP($F46,Activities!$A$9:$I$180,6,FALSE)/$AI46</f>
        <v>6.1429999999999998</v>
      </c>
      <c r="DP46" s="128">
        <f>VLOOKUP($F46,Activities!$A$9:$I$180,7,FALSE)/$AI46</f>
        <v>6.1429999999999998</v>
      </c>
      <c r="DQ46" s="128">
        <f>VLOOKUP($F46,Activities!$A$9:$I$180,8,FALSE)/$AI46</f>
        <v>6.1429999999999998</v>
      </c>
      <c r="DR46" s="128">
        <f>VLOOKUP($F46,Activities!$A$9:$I$180,9,FALSE)/$AI46</f>
        <v>6.1429999999999998</v>
      </c>
      <c r="DS46" s="218"/>
      <c r="DT46" s="360"/>
      <c r="DU46" s="360"/>
      <c r="DV46" s="360"/>
      <c r="DW46" s="360"/>
      <c r="DX46" s="360"/>
      <c r="DY46" s="360"/>
      <c r="DZ46" s="360"/>
      <c r="EA46" s="360"/>
      <c r="EB46" s="360"/>
      <c r="EC46" s="360"/>
      <c r="ED46" s="360"/>
      <c r="EE46" s="360"/>
      <c r="EF46" s="360"/>
      <c r="EG46" s="360"/>
      <c r="EH46" s="360"/>
      <c r="EI46" s="360"/>
      <c r="EJ46" s="360"/>
      <c r="EK46" s="360"/>
      <c r="EL46" s="360"/>
      <c r="EM46" s="360"/>
      <c r="EN46" s="360"/>
      <c r="EO46" s="360"/>
      <c r="EP46" s="360"/>
      <c r="EQ46" s="360"/>
    </row>
    <row r="47" spans="1:147" x14ac:dyDescent="0.35">
      <c r="A47" s="5" t="s">
        <v>771</v>
      </c>
      <c r="B47" s="5" t="s">
        <v>740</v>
      </c>
      <c r="C47" s="5" t="s">
        <v>655</v>
      </c>
      <c r="D47" s="5" t="s">
        <v>741</v>
      </c>
      <c r="E47" s="5" t="s">
        <v>742</v>
      </c>
      <c r="F47" s="5" t="s">
        <v>331</v>
      </c>
      <c r="G47" s="47" t="s">
        <v>772</v>
      </c>
      <c r="H47" s="47" t="s">
        <v>744</v>
      </c>
      <c r="I47" s="101">
        <f t="shared" ref="I47:I50" si="21">455*(103.88/100)</f>
        <v>472.654</v>
      </c>
      <c r="J47" s="101">
        <f t="shared" si="17"/>
        <v>472.654</v>
      </c>
      <c r="K47" s="101">
        <f t="shared" si="17"/>
        <v>472.654</v>
      </c>
      <c r="L47" s="101">
        <f t="shared" si="17"/>
        <v>472.654</v>
      </c>
      <c r="M47" s="101">
        <f t="shared" si="17"/>
        <v>472.654</v>
      </c>
      <c r="N47" s="101">
        <f t="shared" si="17"/>
        <v>472.654</v>
      </c>
      <c r="O47" s="101">
        <f t="shared" si="17"/>
        <v>472.654</v>
      </c>
      <c r="P47" s="93">
        <v>0</v>
      </c>
      <c r="Q47" s="101">
        <f t="shared" ref="Q47:Q50" si="22">39*(103.88/100)</f>
        <v>40.513199999999998</v>
      </c>
      <c r="R47" s="101">
        <f t="shared" si="18"/>
        <v>40.513199999999998</v>
      </c>
      <c r="S47" s="101">
        <f t="shared" si="18"/>
        <v>40.513199999999998</v>
      </c>
      <c r="T47" s="101">
        <f t="shared" si="18"/>
        <v>40.513199999999998</v>
      </c>
      <c r="U47" s="101">
        <f t="shared" si="18"/>
        <v>40.513199999999998</v>
      </c>
      <c r="V47" s="101">
        <f t="shared" si="18"/>
        <v>40.513199999999998</v>
      </c>
      <c r="W47" s="101">
        <f t="shared" si="18"/>
        <v>40.513199999999998</v>
      </c>
      <c r="X47" s="101">
        <f t="shared" ref="X47:AD47" si="23">X36*1.2</f>
        <v>204</v>
      </c>
      <c r="Y47" s="101">
        <f t="shared" si="23"/>
        <v>204</v>
      </c>
      <c r="Z47" s="101">
        <f t="shared" si="23"/>
        <v>204</v>
      </c>
      <c r="AA47" s="101">
        <f t="shared" si="23"/>
        <v>204</v>
      </c>
      <c r="AB47" s="101">
        <f t="shared" si="23"/>
        <v>204</v>
      </c>
      <c r="AC47" s="101">
        <f t="shared" si="23"/>
        <v>204</v>
      </c>
      <c r="AD47" s="101">
        <f t="shared" si="23"/>
        <v>204</v>
      </c>
      <c r="AE47" s="186">
        <v>0.08</v>
      </c>
      <c r="AF47" s="93">
        <v>0</v>
      </c>
      <c r="AG47" s="93">
        <v>20</v>
      </c>
      <c r="AH47" s="93">
        <v>20</v>
      </c>
      <c r="AI47" s="16">
        <v>1</v>
      </c>
      <c r="AJ47" s="16" t="s">
        <v>660</v>
      </c>
      <c r="AK47" s="16" t="s">
        <v>745</v>
      </c>
      <c r="AL47" s="16"/>
      <c r="AM47" s="60"/>
      <c r="AN47" s="60"/>
      <c r="AO47" s="60"/>
      <c r="AP47" s="60"/>
      <c r="AQ47" s="60"/>
      <c r="AR47" s="60"/>
      <c r="AS47" s="63"/>
      <c r="AT47" s="63"/>
      <c r="AU47" s="63"/>
      <c r="AV47" s="131"/>
      <c r="AW47" s="131"/>
      <c r="AX47" s="131"/>
      <c r="AY47" s="27" t="s">
        <v>662</v>
      </c>
      <c r="AZ47" s="27"/>
      <c r="BA47" s="27"/>
      <c r="BB47" s="30"/>
      <c r="BC47" s="30"/>
      <c r="BD47" s="30"/>
      <c r="BE47" s="30"/>
      <c r="BF47" s="30"/>
      <c r="BG47" s="30"/>
      <c r="BH47" s="107"/>
      <c r="BI47" s="107"/>
      <c r="BJ47" s="107"/>
      <c r="BK47" s="107"/>
      <c r="BL47" s="136"/>
      <c r="BM47" s="122"/>
      <c r="BN47" s="138">
        <v>0</v>
      </c>
      <c r="BO47" s="93"/>
      <c r="BP47" s="93"/>
      <c r="BQ47" s="93"/>
      <c r="BR47" s="93"/>
      <c r="BS47" s="93"/>
      <c r="BT47" s="93"/>
      <c r="BU47" s="27"/>
      <c r="BV47" s="27"/>
      <c r="BW47" s="27"/>
      <c r="BX47" s="27"/>
      <c r="BY47" s="27"/>
      <c r="BZ47" s="27"/>
      <c r="CA47" s="27"/>
      <c r="CB47" s="97"/>
      <c r="CC47" s="97">
        <v>4</v>
      </c>
      <c r="CD47" s="97">
        <f t="shared" si="20"/>
        <v>6.1429999999999998</v>
      </c>
      <c r="CE47" s="97">
        <f t="shared" si="20"/>
        <v>6.1429999999999998</v>
      </c>
      <c r="CF47" s="97">
        <f t="shared" si="16"/>
        <v>6.1429999999999998</v>
      </c>
      <c r="CG47" s="97">
        <f t="shared" si="15"/>
        <v>6.1429999999999998</v>
      </c>
      <c r="CH47" s="97">
        <f t="shared" si="15"/>
        <v>6.1429999999999998</v>
      </c>
      <c r="CI47" s="173"/>
      <c r="CJ47" s="173"/>
      <c r="CK47" s="173"/>
      <c r="CL47" s="173"/>
      <c r="CM47" s="173"/>
      <c r="CN47" s="173"/>
      <c r="CO47" s="173"/>
      <c r="CP47" s="174"/>
      <c r="CQ47" s="174"/>
      <c r="CR47" s="174"/>
      <c r="CS47" s="174"/>
      <c r="CT47" s="174"/>
      <c r="CU47" s="174"/>
      <c r="CV47" s="174"/>
      <c r="CW47" s="165"/>
      <c r="CX47" s="166"/>
      <c r="CY47" s="166"/>
      <c r="CZ47" s="166"/>
      <c r="DA47" s="166"/>
      <c r="DB47" s="166"/>
      <c r="DC47" s="166"/>
      <c r="DD47" s="171"/>
      <c r="DE47" s="171"/>
      <c r="DF47" s="171"/>
      <c r="DG47" s="171"/>
      <c r="DH47" s="171"/>
      <c r="DI47" s="171"/>
      <c r="DJ47" s="171"/>
      <c r="DK47" s="79"/>
      <c r="DL47" s="128">
        <f>VLOOKUP($F47,Activities!$A$9:$I$180,3,FALSE)/$AI47</f>
        <v>6.1429999999999998</v>
      </c>
      <c r="DM47" s="128">
        <f>VLOOKUP($F47,Activities!$A$9:$I$180,4,FALSE)/$AI47</f>
        <v>6.1429999999999998</v>
      </c>
      <c r="DN47" s="128">
        <f>VLOOKUP($F47,Activities!$A$9:$I$180,5,FALSE)/$AI47</f>
        <v>6.1429999999999998</v>
      </c>
      <c r="DO47" s="128">
        <f>VLOOKUP($F47,Activities!$A$9:$I$180,6,FALSE)/$AI47</f>
        <v>6.1429999999999998</v>
      </c>
      <c r="DP47" s="128">
        <f>VLOOKUP($F47,Activities!$A$9:$I$180,7,FALSE)/$AI47</f>
        <v>6.1429999999999998</v>
      </c>
      <c r="DQ47" s="128">
        <f>VLOOKUP($F47,Activities!$A$9:$I$180,8,FALSE)/$AI47</f>
        <v>6.1429999999999998</v>
      </c>
      <c r="DR47" s="128">
        <f>VLOOKUP($F47,Activities!$A$9:$I$180,9,FALSE)/$AI47</f>
        <v>6.1429999999999998</v>
      </c>
      <c r="DS47" s="218"/>
      <c r="DT47" s="360"/>
      <c r="DU47" s="360"/>
      <c r="DV47" s="360"/>
      <c r="DW47" s="360"/>
      <c r="DX47" s="360"/>
      <c r="DY47" s="360"/>
      <c r="DZ47" s="360"/>
      <c r="EA47" s="360"/>
      <c r="EB47" s="360"/>
      <c r="EC47" s="360"/>
      <c r="ED47" s="360"/>
      <c r="EE47" s="360"/>
      <c r="EF47" s="360"/>
      <c r="EG47" s="360"/>
      <c r="EH47" s="360"/>
      <c r="EI47" s="360"/>
      <c r="EJ47" s="360"/>
      <c r="EK47" s="360"/>
      <c r="EL47" s="360"/>
      <c r="EM47" s="360"/>
      <c r="EN47" s="360"/>
      <c r="EO47" s="360"/>
      <c r="EP47" s="360"/>
      <c r="EQ47" s="360"/>
    </row>
    <row r="48" spans="1:147" x14ac:dyDescent="0.35">
      <c r="A48" s="6" t="s">
        <v>773</v>
      </c>
      <c r="B48" s="6" t="s">
        <v>740</v>
      </c>
      <c r="C48" s="6" t="s">
        <v>655</v>
      </c>
      <c r="D48" s="6" t="s">
        <v>741</v>
      </c>
      <c r="E48" s="6" t="s">
        <v>742</v>
      </c>
      <c r="F48" s="6" t="s">
        <v>331</v>
      </c>
      <c r="G48" s="48" t="s">
        <v>774</v>
      </c>
      <c r="H48" s="48" t="s">
        <v>744</v>
      </c>
      <c r="I48" s="102">
        <f>455*(103.88/100)</f>
        <v>472.654</v>
      </c>
      <c r="J48" s="102">
        <f t="shared" si="17"/>
        <v>472.654</v>
      </c>
      <c r="K48" s="102">
        <f t="shared" si="17"/>
        <v>472.654</v>
      </c>
      <c r="L48" s="102">
        <f t="shared" si="17"/>
        <v>472.654</v>
      </c>
      <c r="M48" s="102">
        <f t="shared" si="17"/>
        <v>472.654</v>
      </c>
      <c r="N48" s="102">
        <f t="shared" si="17"/>
        <v>472.654</v>
      </c>
      <c r="O48" s="102">
        <f t="shared" si="17"/>
        <v>472.654</v>
      </c>
      <c r="P48" s="94">
        <v>0</v>
      </c>
      <c r="Q48" s="102">
        <f>39*(103.88/100)</f>
        <v>40.513199999999998</v>
      </c>
      <c r="R48" s="102">
        <f t="shared" si="18"/>
        <v>40.513199999999998</v>
      </c>
      <c r="S48" s="102">
        <f t="shared" si="18"/>
        <v>40.513199999999998</v>
      </c>
      <c r="T48" s="102">
        <f t="shared" si="18"/>
        <v>40.513199999999998</v>
      </c>
      <c r="U48" s="102">
        <f t="shared" si="18"/>
        <v>40.513199999999998</v>
      </c>
      <c r="V48" s="102">
        <f t="shared" si="18"/>
        <v>40.513199999999998</v>
      </c>
      <c r="W48" s="102">
        <f t="shared" si="18"/>
        <v>40.513199999999998</v>
      </c>
      <c r="X48" s="102">
        <f t="shared" ref="X48:AD50" si="24">X38*1.2</f>
        <v>204</v>
      </c>
      <c r="Y48" s="102">
        <f t="shared" si="24"/>
        <v>204</v>
      </c>
      <c r="Z48" s="102">
        <f t="shared" si="24"/>
        <v>204</v>
      </c>
      <c r="AA48" s="102">
        <f t="shared" si="24"/>
        <v>204</v>
      </c>
      <c r="AB48" s="102">
        <f t="shared" si="24"/>
        <v>204</v>
      </c>
      <c r="AC48" s="102">
        <f t="shared" si="24"/>
        <v>204</v>
      </c>
      <c r="AD48" s="102">
        <f t="shared" si="24"/>
        <v>204</v>
      </c>
      <c r="AE48" s="186">
        <v>0.08</v>
      </c>
      <c r="AF48" s="94">
        <v>0</v>
      </c>
      <c r="AG48" s="94">
        <v>20</v>
      </c>
      <c r="AH48" s="94">
        <v>20</v>
      </c>
      <c r="AI48" s="17">
        <v>1</v>
      </c>
      <c r="AJ48" s="17" t="s">
        <v>660</v>
      </c>
      <c r="AK48" s="17" t="s">
        <v>745</v>
      </c>
      <c r="AL48" s="17"/>
      <c r="AM48" s="61"/>
      <c r="AN48" s="61"/>
      <c r="AO48" s="61"/>
      <c r="AP48" s="61"/>
      <c r="AQ48" s="61"/>
      <c r="AR48" s="61"/>
      <c r="AS48" s="64"/>
      <c r="AT48" s="64"/>
      <c r="AU48" s="64"/>
      <c r="AV48" s="132"/>
      <c r="AW48" s="132"/>
      <c r="AX48" s="132"/>
      <c r="AY48" s="28" t="s">
        <v>662</v>
      </c>
      <c r="AZ48" s="28"/>
      <c r="BA48" s="28"/>
      <c r="BB48" s="28"/>
      <c r="BC48" s="28"/>
      <c r="BD48" s="28"/>
      <c r="BE48" s="28"/>
      <c r="BF48" s="28"/>
      <c r="BG48" s="28"/>
      <c r="BH48" s="106"/>
      <c r="BI48" s="106"/>
      <c r="BJ48" s="106"/>
      <c r="BK48" s="106"/>
      <c r="BL48" s="137"/>
      <c r="BM48" s="123"/>
      <c r="BN48" s="139">
        <v>0</v>
      </c>
      <c r="BO48" s="94"/>
      <c r="BP48" s="94"/>
      <c r="BQ48" s="94"/>
      <c r="BR48" s="94"/>
      <c r="BS48" s="94"/>
      <c r="BT48" s="94"/>
      <c r="BU48" s="28"/>
      <c r="BV48" s="28"/>
      <c r="BW48" s="28"/>
      <c r="BX48" s="28"/>
      <c r="BY48" s="28"/>
      <c r="BZ48" s="28"/>
      <c r="CA48" s="28"/>
      <c r="CB48" s="99"/>
      <c r="CC48" s="99">
        <v>4</v>
      </c>
      <c r="CD48" s="97">
        <f t="shared" si="20"/>
        <v>6.1429999999999998</v>
      </c>
      <c r="CE48" s="97">
        <f t="shared" si="20"/>
        <v>6.1429999999999998</v>
      </c>
      <c r="CF48" s="97">
        <f t="shared" si="16"/>
        <v>6.1429999999999998</v>
      </c>
      <c r="CG48" s="97">
        <f t="shared" si="15"/>
        <v>6.1429999999999998</v>
      </c>
      <c r="CH48" s="97">
        <f t="shared" si="15"/>
        <v>6.1429999999999998</v>
      </c>
      <c r="CI48" s="175"/>
      <c r="CJ48" s="175"/>
      <c r="CK48" s="175"/>
      <c r="CL48" s="175"/>
      <c r="CM48" s="175"/>
      <c r="CN48" s="175"/>
      <c r="CO48" s="175"/>
      <c r="CP48" s="176"/>
      <c r="CQ48" s="176"/>
      <c r="CR48" s="176"/>
      <c r="CS48" s="176"/>
      <c r="CT48" s="176"/>
      <c r="CU48" s="176"/>
      <c r="CV48" s="176"/>
      <c r="CW48" s="167"/>
      <c r="CX48" s="168"/>
      <c r="CY48" s="168"/>
      <c r="CZ48" s="168"/>
      <c r="DA48" s="168"/>
      <c r="DB48" s="168"/>
      <c r="DC48" s="168"/>
      <c r="DD48" s="172"/>
      <c r="DE48" s="172"/>
      <c r="DF48" s="172"/>
      <c r="DG48" s="172"/>
      <c r="DH48" s="172"/>
      <c r="DI48" s="172"/>
      <c r="DJ48" s="172"/>
      <c r="DK48" s="80"/>
      <c r="DL48" s="128">
        <f>VLOOKUP($F48,Activities!$A$9:$I$180,3,FALSE)/$AI48</f>
        <v>6.1429999999999998</v>
      </c>
      <c r="DM48" s="128">
        <f>VLOOKUP($F48,Activities!$A$9:$I$180,4,FALSE)/$AI48</f>
        <v>6.1429999999999998</v>
      </c>
      <c r="DN48" s="128">
        <f>VLOOKUP($F48,Activities!$A$9:$I$180,5,FALSE)/$AI48</f>
        <v>6.1429999999999998</v>
      </c>
      <c r="DO48" s="128">
        <f>VLOOKUP($F48,Activities!$A$9:$I$180,6,FALSE)/$AI48</f>
        <v>6.1429999999999998</v>
      </c>
      <c r="DP48" s="128">
        <f>VLOOKUP($F48,Activities!$A$9:$I$180,7,FALSE)/$AI48</f>
        <v>6.1429999999999998</v>
      </c>
      <c r="DQ48" s="128">
        <f>VLOOKUP($F48,Activities!$A$9:$I$180,8,FALSE)/$AI48</f>
        <v>6.1429999999999998</v>
      </c>
      <c r="DR48" s="128">
        <f>VLOOKUP($F48,Activities!$A$9:$I$180,9,FALSE)/$AI48</f>
        <v>6.1429999999999998</v>
      </c>
      <c r="DS48" s="218"/>
      <c r="DT48" s="360"/>
      <c r="DU48" s="360"/>
      <c r="DV48" s="360"/>
      <c r="DW48" s="360"/>
      <c r="DX48" s="360"/>
      <c r="DY48" s="360"/>
      <c r="DZ48" s="360"/>
      <c r="EA48" s="360"/>
      <c r="EB48" s="360"/>
      <c r="EC48" s="360"/>
      <c r="ED48" s="360"/>
      <c r="EE48" s="360"/>
      <c r="EF48" s="360"/>
      <c r="EG48" s="360"/>
      <c r="EH48" s="360"/>
      <c r="EI48" s="360"/>
      <c r="EJ48" s="360"/>
      <c r="EK48" s="360"/>
      <c r="EL48" s="360"/>
      <c r="EM48" s="360"/>
      <c r="EN48" s="360"/>
      <c r="EO48" s="360"/>
      <c r="EP48" s="360"/>
      <c r="EQ48" s="360"/>
    </row>
    <row r="49" spans="1:147" x14ac:dyDescent="0.35">
      <c r="A49" s="5" t="s">
        <v>775</v>
      </c>
      <c r="B49" s="5" t="s">
        <v>740</v>
      </c>
      <c r="C49" s="5" t="s">
        <v>655</v>
      </c>
      <c r="D49" s="5" t="s">
        <v>741</v>
      </c>
      <c r="E49" s="5" t="s">
        <v>742</v>
      </c>
      <c r="F49" s="5" t="s">
        <v>331</v>
      </c>
      <c r="G49" s="47" t="s">
        <v>776</v>
      </c>
      <c r="H49" s="47" t="s">
        <v>744</v>
      </c>
      <c r="I49" s="101">
        <f t="shared" si="21"/>
        <v>472.654</v>
      </c>
      <c r="J49" s="101">
        <f t="shared" si="17"/>
        <v>472.654</v>
      </c>
      <c r="K49" s="101">
        <f t="shared" si="17"/>
        <v>472.654</v>
      </c>
      <c r="L49" s="101">
        <f t="shared" si="17"/>
        <v>472.654</v>
      </c>
      <c r="M49" s="101">
        <f t="shared" si="17"/>
        <v>472.654</v>
      </c>
      <c r="N49" s="101">
        <f t="shared" si="17"/>
        <v>472.654</v>
      </c>
      <c r="O49" s="101">
        <f t="shared" si="17"/>
        <v>472.654</v>
      </c>
      <c r="P49" s="93">
        <v>0</v>
      </c>
      <c r="Q49" s="101">
        <f t="shared" si="22"/>
        <v>40.513199999999998</v>
      </c>
      <c r="R49" s="101">
        <f t="shared" si="18"/>
        <v>40.513199999999998</v>
      </c>
      <c r="S49" s="101">
        <f t="shared" si="18"/>
        <v>40.513199999999998</v>
      </c>
      <c r="T49" s="101">
        <f t="shared" si="18"/>
        <v>40.513199999999998</v>
      </c>
      <c r="U49" s="101">
        <f t="shared" si="18"/>
        <v>40.513199999999998</v>
      </c>
      <c r="V49" s="101">
        <f t="shared" si="18"/>
        <v>40.513199999999998</v>
      </c>
      <c r="W49" s="101">
        <f t="shared" si="18"/>
        <v>40.513199999999998</v>
      </c>
      <c r="X49" s="101">
        <f t="shared" si="24"/>
        <v>204</v>
      </c>
      <c r="Y49" s="101">
        <f t="shared" si="24"/>
        <v>204</v>
      </c>
      <c r="Z49" s="101">
        <f t="shared" si="24"/>
        <v>204</v>
      </c>
      <c r="AA49" s="101">
        <f t="shared" si="24"/>
        <v>204</v>
      </c>
      <c r="AB49" s="101">
        <f t="shared" si="24"/>
        <v>204</v>
      </c>
      <c r="AC49" s="101">
        <f t="shared" si="24"/>
        <v>204</v>
      </c>
      <c r="AD49" s="101">
        <f t="shared" si="24"/>
        <v>204</v>
      </c>
      <c r="AE49" s="186">
        <v>0.08</v>
      </c>
      <c r="AF49" s="93">
        <v>0</v>
      </c>
      <c r="AG49" s="93">
        <v>20</v>
      </c>
      <c r="AH49" s="93">
        <v>20</v>
      </c>
      <c r="AI49" s="16">
        <v>1</v>
      </c>
      <c r="AJ49" s="16" t="s">
        <v>660</v>
      </c>
      <c r="AK49" s="16" t="s">
        <v>745</v>
      </c>
      <c r="AL49" s="16"/>
      <c r="AM49" s="60"/>
      <c r="AN49" s="60"/>
      <c r="AO49" s="60"/>
      <c r="AP49" s="60"/>
      <c r="AQ49" s="60"/>
      <c r="AR49" s="60"/>
      <c r="AS49" s="63"/>
      <c r="AT49" s="63"/>
      <c r="AU49" s="63"/>
      <c r="AV49" s="131"/>
      <c r="AW49" s="131"/>
      <c r="AX49" s="131"/>
      <c r="AY49" s="27" t="s">
        <v>662</v>
      </c>
      <c r="AZ49" s="27"/>
      <c r="BA49" s="27"/>
      <c r="BB49" s="30"/>
      <c r="BC49" s="30"/>
      <c r="BD49" s="30"/>
      <c r="BE49" s="30"/>
      <c r="BF49" s="30"/>
      <c r="BG49" s="30"/>
      <c r="BH49" s="107"/>
      <c r="BI49" s="107"/>
      <c r="BJ49" s="107"/>
      <c r="BK49" s="107"/>
      <c r="BL49" s="136"/>
      <c r="BM49" s="122"/>
      <c r="BN49" s="138">
        <v>0</v>
      </c>
      <c r="BO49" s="93"/>
      <c r="BP49" s="93"/>
      <c r="BQ49" s="93"/>
      <c r="BR49" s="93"/>
      <c r="BS49" s="93"/>
      <c r="BT49" s="93"/>
      <c r="BU49" s="27"/>
      <c r="BV49" s="27"/>
      <c r="BW49" s="27"/>
      <c r="BX49" s="27"/>
      <c r="BY49" s="27"/>
      <c r="BZ49" s="27"/>
      <c r="CA49" s="27"/>
      <c r="CB49" s="97"/>
      <c r="CC49" s="97">
        <v>4</v>
      </c>
      <c r="CD49" s="97">
        <f t="shared" si="20"/>
        <v>6.1429999999999998</v>
      </c>
      <c r="CE49" s="97">
        <f t="shared" si="20"/>
        <v>6.1429999999999998</v>
      </c>
      <c r="CF49" s="97">
        <f t="shared" si="16"/>
        <v>6.1429999999999998</v>
      </c>
      <c r="CG49" s="97">
        <f t="shared" si="15"/>
        <v>6.1429999999999998</v>
      </c>
      <c r="CH49" s="97">
        <f t="shared" si="15"/>
        <v>6.1429999999999998</v>
      </c>
      <c r="CI49" s="173"/>
      <c r="CJ49" s="173"/>
      <c r="CK49" s="173"/>
      <c r="CL49" s="173"/>
      <c r="CM49" s="173"/>
      <c r="CN49" s="173"/>
      <c r="CO49" s="173"/>
      <c r="CP49" s="174"/>
      <c r="CQ49" s="174"/>
      <c r="CR49" s="174"/>
      <c r="CS49" s="174"/>
      <c r="CT49" s="174"/>
      <c r="CU49" s="174"/>
      <c r="CV49" s="174"/>
      <c r="CW49" s="165"/>
      <c r="CX49" s="166"/>
      <c r="CY49" s="166"/>
      <c r="CZ49" s="166"/>
      <c r="DA49" s="166"/>
      <c r="DB49" s="166"/>
      <c r="DC49" s="166"/>
      <c r="DD49" s="171"/>
      <c r="DE49" s="171"/>
      <c r="DF49" s="171"/>
      <c r="DG49" s="171"/>
      <c r="DH49" s="171"/>
      <c r="DI49" s="171"/>
      <c r="DJ49" s="171"/>
      <c r="DK49" s="79"/>
      <c r="DL49" s="128">
        <f>VLOOKUP($F49,Activities!$A$9:$I$180,3,FALSE)/$AI49</f>
        <v>6.1429999999999998</v>
      </c>
      <c r="DM49" s="128">
        <f>VLOOKUP($F49,Activities!$A$9:$I$180,4,FALSE)/$AI49</f>
        <v>6.1429999999999998</v>
      </c>
      <c r="DN49" s="128">
        <f>VLOOKUP($F49,Activities!$A$9:$I$180,5,FALSE)/$AI49</f>
        <v>6.1429999999999998</v>
      </c>
      <c r="DO49" s="128">
        <f>VLOOKUP($F49,Activities!$A$9:$I$180,6,FALSE)/$AI49</f>
        <v>6.1429999999999998</v>
      </c>
      <c r="DP49" s="128">
        <f>VLOOKUP($F49,Activities!$A$9:$I$180,7,FALSE)/$AI49</f>
        <v>6.1429999999999998</v>
      </c>
      <c r="DQ49" s="128">
        <f>VLOOKUP($F49,Activities!$A$9:$I$180,8,FALSE)/$AI49</f>
        <v>6.1429999999999998</v>
      </c>
      <c r="DR49" s="128">
        <f>VLOOKUP($F49,Activities!$A$9:$I$180,9,FALSE)/$AI49</f>
        <v>6.1429999999999998</v>
      </c>
      <c r="DS49" s="218"/>
      <c r="DT49" s="360"/>
      <c r="DU49" s="360"/>
      <c r="DV49" s="360"/>
      <c r="DW49" s="360"/>
      <c r="DX49" s="360"/>
      <c r="DY49" s="360"/>
      <c r="DZ49" s="360"/>
      <c r="EA49" s="360"/>
      <c r="EB49" s="360"/>
      <c r="EC49" s="360"/>
      <c r="ED49" s="360"/>
      <c r="EE49" s="360"/>
      <c r="EF49" s="360"/>
      <c r="EG49" s="360"/>
      <c r="EH49" s="360"/>
      <c r="EI49" s="360"/>
      <c r="EJ49" s="360"/>
      <c r="EK49" s="360"/>
      <c r="EL49" s="360"/>
      <c r="EM49" s="360"/>
      <c r="EN49" s="360"/>
      <c r="EO49" s="360"/>
      <c r="EP49" s="360"/>
      <c r="EQ49" s="360"/>
    </row>
    <row r="50" spans="1:147" x14ac:dyDescent="0.35">
      <c r="A50" s="6" t="s">
        <v>777</v>
      </c>
      <c r="B50" s="6" t="s">
        <v>740</v>
      </c>
      <c r="C50" s="6" t="s">
        <v>655</v>
      </c>
      <c r="D50" s="6" t="s">
        <v>741</v>
      </c>
      <c r="E50" s="6" t="s">
        <v>742</v>
      </c>
      <c r="F50" s="6" t="s">
        <v>331</v>
      </c>
      <c r="G50" s="48" t="s">
        <v>778</v>
      </c>
      <c r="H50" s="48" t="s">
        <v>744</v>
      </c>
      <c r="I50" s="102">
        <f t="shared" si="21"/>
        <v>472.654</v>
      </c>
      <c r="J50" s="102">
        <f t="shared" si="17"/>
        <v>472.654</v>
      </c>
      <c r="K50" s="102">
        <f t="shared" si="17"/>
        <v>472.654</v>
      </c>
      <c r="L50" s="102">
        <f t="shared" si="17"/>
        <v>472.654</v>
      </c>
      <c r="M50" s="102">
        <f t="shared" si="17"/>
        <v>472.654</v>
      </c>
      <c r="N50" s="102">
        <f t="shared" si="17"/>
        <v>472.654</v>
      </c>
      <c r="O50" s="102">
        <f t="shared" si="17"/>
        <v>472.654</v>
      </c>
      <c r="P50" s="94">
        <v>0</v>
      </c>
      <c r="Q50" s="102">
        <f t="shared" si="22"/>
        <v>40.513199999999998</v>
      </c>
      <c r="R50" s="102">
        <f t="shared" si="18"/>
        <v>40.513199999999998</v>
      </c>
      <c r="S50" s="102">
        <f t="shared" si="18"/>
        <v>40.513199999999998</v>
      </c>
      <c r="T50" s="102">
        <f t="shared" si="18"/>
        <v>40.513199999999998</v>
      </c>
      <c r="U50" s="102">
        <f t="shared" si="18"/>
        <v>40.513199999999998</v>
      </c>
      <c r="V50" s="102">
        <f t="shared" si="18"/>
        <v>40.513199999999998</v>
      </c>
      <c r="W50" s="102">
        <f t="shared" si="18"/>
        <v>40.513199999999998</v>
      </c>
      <c r="X50" s="102">
        <f t="shared" si="24"/>
        <v>204</v>
      </c>
      <c r="Y50" s="102">
        <f t="shared" si="24"/>
        <v>204</v>
      </c>
      <c r="Z50" s="102">
        <f t="shared" si="24"/>
        <v>204</v>
      </c>
      <c r="AA50" s="102">
        <f t="shared" si="24"/>
        <v>204</v>
      </c>
      <c r="AB50" s="102">
        <f t="shared" si="24"/>
        <v>204</v>
      </c>
      <c r="AC50" s="102">
        <f t="shared" si="24"/>
        <v>204</v>
      </c>
      <c r="AD50" s="102">
        <f t="shared" si="24"/>
        <v>204</v>
      </c>
      <c r="AE50" s="186">
        <v>0.08</v>
      </c>
      <c r="AF50" s="94">
        <v>0</v>
      </c>
      <c r="AG50" s="94">
        <v>20</v>
      </c>
      <c r="AH50" s="94">
        <v>20</v>
      </c>
      <c r="AI50" s="17">
        <v>1</v>
      </c>
      <c r="AJ50" s="17" t="s">
        <v>660</v>
      </c>
      <c r="AK50" s="17" t="s">
        <v>745</v>
      </c>
      <c r="AL50" s="17"/>
      <c r="AM50" s="61"/>
      <c r="AN50" s="61"/>
      <c r="AO50" s="61"/>
      <c r="AP50" s="61"/>
      <c r="AQ50" s="61"/>
      <c r="AR50" s="61"/>
      <c r="AS50" s="64"/>
      <c r="AT50" s="64"/>
      <c r="AU50" s="64"/>
      <c r="AV50" s="132"/>
      <c r="AW50" s="132"/>
      <c r="AX50" s="132"/>
      <c r="AY50" s="28" t="s">
        <v>662</v>
      </c>
      <c r="AZ50" s="28"/>
      <c r="BA50" s="28"/>
      <c r="BB50" s="28"/>
      <c r="BC50" s="28"/>
      <c r="BD50" s="28"/>
      <c r="BE50" s="28"/>
      <c r="BF50" s="28"/>
      <c r="BG50" s="28"/>
      <c r="BH50" s="106"/>
      <c r="BI50" s="106"/>
      <c r="BJ50" s="106"/>
      <c r="BK50" s="106"/>
      <c r="BL50" s="137"/>
      <c r="BM50" s="123"/>
      <c r="BN50" s="139">
        <v>0</v>
      </c>
      <c r="BO50" s="94"/>
      <c r="BP50" s="94"/>
      <c r="BQ50" s="94"/>
      <c r="BR50" s="94"/>
      <c r="BS50" s="94"/>
      <c r="BT50" s="94"/>
      <c r="BU50" s="28"/>
      <c r="BV50" s="28"/>
      <c r="BW50" s="28"/>
      <c r="BX50" s="28"/>
      <c r="BY50" s="28"/>
      <c r="BZ50" s="28"/>
      <c r="CA50" s="28"/>
      <c r="CB50" s="99"/>
      <c r="CC50" s="99">
        <v>4</v>
      </c>
      <c r="CD50" s="97">
        <f t="shared" si="20"/>
        <v>6.1429999999999998</v>
      </c>
      <c r="CE50" s="97">
        <f t="shared" si="20"/>
        <v>6.1429999999999998</v>
      </c>
      <c r="CF50" s="97">
        <f t="shared" si="16"/>
        <v>6.1429999999999998</v>
      </c>
      <c r="CG50" s="97">
        <f t="shared" si="15"/>
        <v>6.1429999999999998</v>
      </c>
      <c r="CH50" s="97">
        <f t="shared" si="15"/>
        <v>6.1429999999999998</v>
      </c>
      <c r="CI50" s="175"/>
      <c r="CJ50" s="175"/>
      <c r="CK50" s="175"/>
      <c r="CL50" s="175"/>
      <c r="CM50" s="175"/>
      <c r="CN50" s="175"/>
      <c r="CO50" s="175"/>
      <c r="CP50" s="176"/>
      <c r="CQ50" s="176"/>
      <c r="CR50" s="176"/>
      <c r="CS50" s="176"/>
      <c r="CT50" s="176"/>
      <c r="CU50" s="176"/>
      <c r="CV50" s="176"/>
      <c r="CW50" s="167"/>
      <c r="CX50" s="168"/>
      <c r="CY50" s="168"/>
      <c r="CZ50" s="168"/>
      <c r="DA50" s="168"/>
      <c r="DB50" s="168"/>
      <c r="DC50" s="168"/>
      <c r="DD50" s="172"/>
      <c r="DE50" s="172"/>
      <c r="DF50" s="172"/>
      <c r="DG50" s="172"/>
      <c r="DH50" s="172"/>
      <c r="DI50" s="172"/>
      <c r="DJ50" s="172"/>
      <c r="DK50" s="80"/>
      <c r="DL50" s="128">
        <f>VLOOKUP($F50,Activities!$A$9:$I$180,3,FALSE)/$AI50</f>
        <v>6.1429999999999998</v>
      </c>
      <c r="DM50" s="128">
        <f>VLOOKUP($F50,Activities!$A$9:$I$180,4,FALSE)/$AI50</f>
        <v>6.1429999999999998</v>
      </c>
      <c r="DN50" s="128">
        <f>VLOOKUP($F50,Activities!$A$9:$I$180,5,FALSE)/$AI50</f>
        <v>6.1429999999999998</v>
      </c>
      <c r="DO50" s="128">
        <f>VLOOKUP($F50,Activities!$A$9:$I$180,6,FALSE)/$AI50</f>
        <v>6.1429999999999998</v>
      </c>
      <c r="DP50" s="128">
        <f>VLOOKUP($F50,Activities!$A$9:$I$180,7,FALSE)/$AI50</f>
        <v>6.1429999999999998</v>
      </c>
      <c r="DQ50" s="128">
        <f>VLOOKUP($F50,Activities!$A$9:$I$180,8,FALSE)/$AI50</f>
        <v>6.1429999999999998</v>
      </c>
      <c r="DR50" s="128">
        <f>VLOOKUP($F50,Activities!$A$9:$I$180,9,FALSE)/$AI50</f>
        <v>6.1429999999999998</v>
      </c>
      <c r="DS50" s="218"/>
      <c r="DT50" s="360"/>
      <c r="DU50" s="360"/>
      <c r="DV50" s="360"/>
      <c r="DW50" s="360"/>
      <c r="DX50" s="360"/>
      <c r="DY50" s="360"/>
      <c r="DZ50" s="360"/>
      <c r="EA50" s="360"/>
      <c r="EB50" s="360"/>
      <c r="EC50" s="360"/>
      <c r="ED50" s="360"/>
      <c r="EE50" s="360"/>
      <c r="EF50" s="360"/>
      <c r="EG50" s="360"/>
      <c r="EH50" s="360"/>
      <c r="EI50" s="360"/>
      <c r="EJ50" s="360"/>
      <c r="EK50" s="360"/>
      <c r="EL50" s="360"/>
      <c r="EM50" s="360"/>
      <c r="EN50" s="360"/>
      <c r="EO50" s="360"/>
      <c r="EP50" s="360"/>
      <c r="EQ50" s="360"/>
    </row>
    <row r="51" spans="1:147" x14ac:dyDescent="0.35">
      <c r="A51" s="5" t="s">
        <v>779</v>
      </c>
      <c r="B51" s="5" t="s">
        <v>740</v>
      </c>
      <c r="C51" s="5" t="s">
        <v>655</v>
      </c>
      <c r="D51" s="5" t="s">
        <v>741</v>
      </c>
      <c r="E51" s="5" t="s">
        <v>780</v>
      </c>
      <c r="F51" s="5" t="s">
        <v>333</v>
      </c>
      <c r="G51" s="47" t="s">
        <v>781</v>
      </c>
      <c r="H51" s="47" t="s">
        <v>334</v>
      </c>
      <c r="I51" s="101">
        <v>130</v>
      </c>
      <c r="J51" s="101">
        <v>130</v>
      </c>
      <c r="K51" s="101">
        <v>130</v>
      </c>
      <c r="L51" s="101">
        <v>130</v>
      </c>
      <c r="M51" s="101">
        <v>130</v>
      </c>
      <c r="N51" s="101">
        <v>130</v>
      </c>
      <c r="O51" s="101">
        <v>130</v>
      </c>
      <c r="P51" s="93">
        <v>0</v>
      </c>
      <c r="Q51" s="101">
        <v>3.9</v>
      </c>
      <c r="R51" s="101">
        <v>3.9</v>
      </c>
      <c r="S51" s="101">
        <v>3.9</v>
      </c>
      <c r="T51" s="101">
        <v>3.9</v>
      </c>
      <c r="U51" s="101">
        <v>3.9</v>
      </c>
      <c r="V51" s="101">
        <v>3.9</v>
      </c>
      <c r="W51" s="101">
        <v>3.9</v>
      </c>
      <c r="X51" s="101">
        <v>0</v>
      </c>
      <c r="Y51" s="101">
        <v>0</v>
      </c>
      <c r="Z51" s="101">
        <v>0</v>
      </c>
      <c r="AA51" s="101">
        <v>0</v>
      </c>
      <c r="AB51" s="101">
        <v>0</v>
      </c>
      <c r="AC51" s="101">
        <v>0</v>
      </c>
      <c r="AD51" s="101">
        <v>0</v>
      </c>
      <c r="AE51" s="186">
        <v>0.08</v>
      </c>
      <c r="AF51" s="93">
        <v>0</v>
      </c>
      <c r="AG51" s="93">
        <v>30</v>
      </c>
      <c r="AH51" s="93">
        <v>30</v>
      </c>
      <c r="AI51" s="16">
        <v>1</v>
      </c>
      <c r="AJ51" s="16" t="s">
        <v>660</v>
      </c>
      <c r="AK51" s="16" t="s">
        <v>745</v>
      </c>
      <c r="AL51" s="16"/>
      <c r="AM51" s="60"/>
      <c r="AN51" s="60"/>
      <c r="AO51" s="60"/>
      <c r="AP51" s="60"/>
      <c r="AQ51" s="60"/>
      <c r="AR51" s="60"/>
      <c r="AS51" s="63"/>
      <c r="AT51" s="63"/>
      <c r="AU51" s="63"/>
      <c r="AV51" s="131"/>
      <c r="AW51" s="131"/>
      <c r="AX51" s="131"/>
      <c r="AY51" s="27" t="s">
        <v>662</v>
      </c>
      <c r="AZ51" s="27"/>
      <c r="BA51" s="27"/>
      <c r="BB51" s="30"/>
      <c r="BC51" s="30"/>
      <c r="BD51" s="30"/>
      <c r="BE51" s="30"/>
      <c r="BF51" s="30"/>
      <c r="BG51" s="30"/>
      <c r="BH51" s="107"/>
      <c r="BI51" s="107"/>
      <c r="BJ51" s="107"/>
      <c r="BK51" s="107"/>
      <c r="BL51" s="136"/>
      <c r="BM51" s="122"/>
      <c r="BN51" s="138">
        <f>CB51</f>
        <v>2.4</v>
      </c>
      <c r="BO51" s="93">
        <f>$BN$51/4</f>
        <v>0.6</v>
      </c>
      <c r="BP51" s="93">
        <f t="shared" ref="BP51:BR51" si="25">$BN$51/4</f>
        <v>0.6</v>
      </c>
      <c r="BQ51" s="93">
        <f t="shared" si="25"/>
        <v>0.6</v>
      </c>
      <c r="BR51" s="93">
        <f t="shared" si="25"/>
        <v>0.6</v>
      </c>
      <c r="BS51" s="93"/>
      <c r="BT51" s="93"/>
      <c r="BU51" s="27">
        <f t="shared" si="1"/>
        <v>0</v>
      </c>
      <c r="BV51" s="27"/>
      <c r="BW51" s="27"/>
      <c r="BX51" s="27"/>
      <c r="BY51" s="27"/>
      <c r="BZ51" s="27"/>
      <c r="CA51" s="27"/>
      <c r="CB51" s="97">
        <f>DL51</f>
        <v>2.4</v>
      </c>
      <c r="CC51" s="97">
        <f t="shared" ref="CC51:CH52" si="26">DM51</f>
        <v>2.4</v>
      </c>
      <c r="CD51" s="97">
        <f t="shared" si="26"/>
        <v>2.4</v>
      </c>
      <c r="CE51" s="97">
        <f t="shared" si="26"/>
        <v>2.4</v>
      </c>
      <c r="CF51" s="97">
        <f t="shared" si="26"/>
        <v>2.4</v>
      </c>
      <c r="CG51" s="97">
        <f t="shared" si="26"/>
        <v>2.4</v>
      </c>
      <c r="CH51" s="97">
        <f t="shared" si="26"/>
        <v>2.4</v>
      </c>
      <c r="CI51" s="173"/>
      <c r="CJ51" s="173"/>
      <c r="CK51" s="173"/>
      <c r="CL51" s="173"/>
      <c r="CM51" s="173"/>
      <c r="CN51" s="173"/>
      <c r="CO51" s="173"/>
      <c r="CP51" s="174"/>
      <c r="CQ51" s="174"/>
      <c r="CR51" s="174"/>
      <c r="CS51" s="174"/>
      <c r="CT51" s="174"/>
      <c r="CU51" s="174"/>
      <c r="CV51" s="174"/>
      <c r="CW51" s="165"/>
      <c r="CX51" s="166"/>
      <c r="CY51" s="166"/>
      <c r="CZ51" s="166"/>
      <c r="DA51" s="166"/>
      <c r="DB51" s="166"/>
      <c r="DC51" s="166"/>
      <c r="DD51" s="171"/>
      <c r="DE51" s="171"/>
      <c r="DF51" s="171"/>
      <c r="DG51" s="171"/>
      <c r="DH51" s="171"/>
      <c r="DI51" s="171"/>
      <c r="DJ51" s="171"/>
      <c r="DK51" s="79" t="s">
        <v>782</v>
      </c>
      <c r="DL51" s="128">
        <f>VLOOKUP($F51,Activities!$A$9:$I$180,3,FALSE)/$AI51</f>
        <v>2.4</v>
      </c>
      <c r="DM51" s="128">
        <f>VLOOKUP($F51,Activities!$A$9:$I$180,4,FALSE)/$AI51</f>
        <v>2.4</v>
      </c>
      <c r="DN51" s="128">
        <f>VLOOKUP($F51,Activities!$A$9:$I$180,5,FALSE)/$AI51</f>
        <v>2.4</v>
      </c>
      <c r="DO51" s="128">
        <f>VLOOKUP($F51,Activities!$A$9:$I$180,6,FALSE)/$AI51</f>
        <v>2.4</v>
      </c>
      <c r="DP51" s="128">
        <f>VLOOKUP($F51,Activities!$A$9:$I$180,7,FALSE)/$AI51</f>
        <v>2.4</v>
      </c>
      <c r="DQ51" s="128">
        <f>VLOOKUP($F51,Activities!$A$9:$I$180,8,FALSE)/$AI51</f>
        <v>2.4</v>
      </c>
      <c r="DR51" s="128">
        <f>VLOOKUP($F51,Activities!$A$9:$I$180,9,FALSE)/$AI51</f>
        <v>2.4</v>
      </c>
      <c r="DS51" s="218"/>
      <c r="DT51" s="360"/>
      <c r="DU51" s="360"/>
      <c r="DV51" s="360"/>
      <c r="DW51" s="360"/>
      <c r="DX51" s="360"/>
      <c r="DY51" s="360"/>
      <c r="DZ51" s="360"/>
      <c r="EA51" s="360"/>
      <c r="EB51" s="360"/>
      <c r="EC51" s="360"/>
      <c r="ED51" s="360"/>
      <c r="EE51" s="360"/>
      <c r="EF51" s="360"/>
      <c r="EG51" s="360"/>
      <c r="EH51" s="360"/>
      <c r="EI51" s="360"/>
      <c r="EJ51" s="360"/>
      <c r="EK51" s="360"/>
      <c r="EL51" s="360"/>
      <c r="EM51" s="360"/>
      <c r="EN51" s="360"/>
      <c r="EO51" s="360"/>
      <c r="EP51" s="360"/>
      <c r="EQ51" s="360"/>
    </row>
    <row r="52" spans="1:147" x14ac:dyDescent="0.35">
      <c r="A52" s="5" t="s">
        <v>783</v>
      </c>
      <c r="B52" s="5" t="s">
        <v>740</v>
      </c>
      <c r="C52" s="5" t="s">
        <v>655</v>
      </c>
      <c r="D52" s="5" t="s">
        <v>741</v>
      </c>
      <c r="E52" s="5" t="s">
        <v>780</v>
      </c>
      <c r="F52" s="5" t="s">
        <v>335</v>
      </c>
      <c r="G52" s="47" t="s">
        <v>784</v>
      </c>
      <c r="H52" s="47" t="s">
        <v>336</v>
      </c>
      <c r="I52" s="101">
        <v>185</v>
      </c>
      <c r="J52" s="101">
        <v>185</v>
      </c>
      <c r="K52" s="101">
        <v>185</v>
      </c>
      <c r="L52" s="101">
        <v>185</v>
      </c>
      <c r="M52" s="101">
        <v>185</v>
      </c>
      <c r="N52" s="101">
        <v>185</v>
      </c>
      <c r="O52" s="101">
        <v>185</v>
      </c>
      <c r="P52" s="93">
        <v>0</v>
      </c>
      <c r="Q52" s="101">
        <v>6</v>
      </c>
      <c r="R52" s="101">
        <v>6</v>
      </c>
      <c r="S52" s="101">
        <v>6</v>
      </c>
      <c r="T52" s="101">
        <v>6</v>
      </c>
      <c r="U52" s="101">
        <v>6</v>
      </c>
      <c r="V52" s="101">
        <v>6</v>
      </c>
      <c r="W52" s="101">
        <v>6</v>
      </c>
      <c r="X52" s="101">
        <v>0</v>
      </c>
      <c r="Y52" s="101">
        <v>0</v>
      </c>
      <c r="Z52" s="101">
        <v>0</v>
      </c>
      <c r="AA52" s="101">
        <v>0</v>
      </c>
      <c r="AB52" s="101">
        <v>0</v>
      </c>
      <c r="AC52" s="101">
        <v>0</v>
      </c>
      <c r="AD52" s="101">
        <v>0</v>
      </c>
      <c r="AE52" s="186">
        <v>0.08</v>
      </c>
      <c r="AF52" s="93">
        <v>0</v>
      </c>
      <c r="AG52" s="93">
        <v>30</v>
      </c>
      <c r="AH52" s="93">
        <v>30</v>
      </c>
      <c r="AI52" s="16">
        <v>1</v>
      </c>
      <c r="AJ52" s="16" t="s">
        <v>660</v>
      </c>
      <c r="AK52" s="16" t="s">
        <v>745</v>
      </c>
      <c r="AL52" s="16"/>
      <c r="AM52" s="60"/>
      <c r="AN52" s="60"/>
      <c r="AO52" s="60"/>
      <c r="AP52" s="60"/>
      <c r="AQ52" s="60"/>
      <c r="AR52" s="60"/>
      <c r="AS52" s="63"/>
      <c r="AT52" s="63"/>
      <c r="AU52" s="63"/>
      <c r="AV52" s="131"/>
      <c r="AW52" s="131"/>
      <c r="AX52" s="131"/>
      <c r="AY52" s="27" t="s">
        <v>662</v>
      </c>
      <c r="AZ52" s="27"/>
      <c r="BA52" s="27"/>
      <c r="BB52" s="30"/>
      <c r="BC52" s="30"/>
      <c r="BD52" s="30"/>
      <c r="BE52" s="30"/>
      <c r="BF52" s="30"/>
      <c r="BG52" s="30"/>
      <c r="BH52" s="107"/>
      <c r="BI52" s="107"/>
      <c r="BJ52" s="107"/>
      <c r="BK52" s="107"/>
      <c r="BL52" s="136"/>
      <c r="BM52" s="122"/>
      <c r="BN52" s="138">
        <v>0</v>
      </c>
      <c r="BO52" s="93"/>
      <c r="BP52" s="93"/>
      <c r="BQ52" s="93"/>
      <c r="BR52" s="93"/>
      <c r="BS52" s="93"/>
      <c r="BT52" s="93"/>
      <c r="BU52" s="27">
        <f t="shared" si="1"/>
        <v>0</v>
      </c>
      <c r="BV52" s="27"/>
      <c r="BW52" s="27"/>
      <c r="BX52" s="27"/>
      <c r="BY52" s="27"/>
      <c r="BZ52" s="27"/>
      <c r="CA52" s="27"/>
      <c r="CB52" s="97">
        <f t="shared" ref="CB52" si="27">DL52</f>
        <v>1.8</v>
      </c>
      <c r="CC52" s="97">
        <f t="shared" si="26"/>
        <v>1.8</v>
      </c>
      <c r="CD52" s="97">
        <f>DN52</f>
        <v>1.8</v>
      </c>
      <c r="CE52" s="97">
        <f>DO52</f>
        <v>1.8</v>
      </c>
      <c r="CF52" s="97">
        <f>DP52</f>
        <v>1.8</v>
      </c>
      <c r="CG52" s="97">
        <f>DQ52</f>
        <v>1.8</v>
      </c>
      <c r="CH52" s="97">
        <f>DR52</f>
        <v>1.8</v>
      </c>
      <c r="CI52" s="173"/>
      <c r="CJ52" s="173"/>
      <c r="CK52" s="173"/>
      <c r="CL52" s="173"/>
      <c r="CM52" s="173"/>
      <c r="CN52" s="173"/>
      <c r="CO52" s="173"/>
      <c r="CP52" s="174"/>
      <c r="CQ52" s="174"/>
      <c r="CR52" s="174"/>
      <c r="CS52" s="174"/>
      <c r="CT52" s="174"/>
      <c r="CU52" s="174"/>
      <c r="CV52" s="174"/>
      <c r="CW52" s="165"/>
      <c r="CX52" s="166"/>
      <c r="CY52" s="166"/>
      <c r="CZ52" s="166"/>
      <c r="DA52" s="166"/>
      <c r="DB52" s="166"/>
      <c r="DC52" s="166"/>
      <c r="DD52" s="171"/>
      <c r="DE52" s="171"/>
      <c r="DF52" s="171"/>
      <c r="DG52" s="171"/>
      <c r="DH52" s="171"/>
      <c r="DI52" s="171"/>
      <c r="DJ52" s="171"/>
      <c r="DK52" s="79" t="s">
        <v>782</v>
      </c>
      <c r="DL52" s="128">
        <f>VLOOKUP($F52,Activities!$A$9:$I$180,3,FALSE)/$AI52</f>
        <v>1.8</v>
      </c>
      <c r="DM52" s="128">
        <f>VLOOKUP($F52,Activities!$A$9:$I$180,4,FALSE)/$AI52</f>
        <v>1.8</v>
      </c>
      <c r="DN52" s="128">
        <f>VLOOKUP($F52,Activities!$A$9:$I$180,5,FALSE)/$AI52</f>
        <v>1.8</v>
      </c>
      <c r="DO52" s="128">
        <f>VLOOKUP($F52,Activities!$A$9:$I$180,6,FALSE)/$AI52</f>
        <v>1.8</v>
      </c>
      <c r="DP52" s="128">
        <f>VLOOKUP($F52,Activities!$A$9:$I$180,7,FALSE)/$AI52</f>
        <v>1.8</v>
      </c>
      <c r="DQ52" s="128">
        <f>VLOOKUP($F52,Activities!$A$9:$I$180,8,FALSE)/$AI52</f>
        <v>1.8</v>
      </c>
      <c r="DR52" s="128">
        <f>VLOOKUP($F52,Activities!$A$9:$I$180,9,FALSE)/$AI52</f>
        <v>1.8</v>
      </c>
      <c r="DS52" s="218"/>
      <c r="DT52" s="360"/>
      <c r="DU52" s="360"/>
      <c r="DV52" s="360"/>
      <c r="DW52" s="360"/>
      <c r="DX52" s="360"/>
      <c r="DY52" s="360"/>
      <c r="DZ52" s="360"/>
      <c r="EA52" s="360"/>
      <c r="EB52" s="360"/>
      <c r="EC52" s="360"/>
      <c r="ED52" s="360"/>
      <c r="EE52" s="360"/>
      <c r="EF52" s="360"/>
      <c r="EG52" s="360"/>
      <c r="EH52" s="360"/>
      <c r="EI52" s="360"/>
      <c r="EJ52" s="360"/>
      <c r="EK52" s="360"/>
      <c r="EL52" s="360"/>
      <c r="EM52" s="360"/>
      <c r="EN52" s="360"/>
      <c r="EO52" s="360"/>
      <c r="EP52" s="360"/>
      <c r="EQ52" s="360"/>
    </row>
    <row r="53" spans="1:147" x14ac:dyDescent="0.35">
      <c r="A53" s="6" t="s">
        <v>785</v>
      </c>
      <c r="B53" s="6" t="s">
        <v>740</v>
      </c>
      <c r="C53" s="6" t="s">
        <v>655</v>
      </c>
      <c r="D53" s="6" t="s">
        <v>741</v>
      </c>
      <c r="E53" s="6" t="s">
        <v>780</v>
      </c>
      <c r="F53" s="6" t="s">
        <v>337</v>
      </c>
      <c r="G53" s="48" t="s">
        <v>786</v>
      </c>
      <c r="H53" s="48" t="s">
        <v>338</v>
      </c>
      <c r="I53" s="102">
        <v>0</v>
      </c>
      <c r="J53" s="102">
        <v>0</v>
      </c>
      <c r="K53" s="102">
        <v>0</v>
      </c>
      <c r="L53" s="102">
        <v>0</v>
      </c>
      <c r="M53" s="102">
        <v>0</v>
      </c>
      <c r="N53" s="102">
        <v>0</v>
      </c>
      <c r="O53" s="102">
        <v>0</v>
      </c>
      <c r="P53" s="94">
        <v>0</v>
      </c>
      <c r="Q53" s="102">
        <v>0</v>
      </c>
      <c r="R53" s="102">
        <v>0</v>
      </c>
      <c r="S53" s="102">
        <v>0</v>
      </c>
      <c r="T53" s="102">
        <v>0</v>
      </c>
      <c r="U53" s="102">
        <v>0</v>
      </c>
      <c r="V53" s="102">
        <v>0</v>
      </c>
      <c r="W53" s="102">
        <v>0</v>
      </c>
      <c r="X53" s="102">
        <v>0</v>
      </c>
      <c r="Y53" s="102">
        <v>0</v>
      </c>
      <c r="Z53" s="102">
        <v>0</v>
      </c>
      <c r="AA53" s="102">
        <v>0</v>
      </c>
      <c r="AB53" s="102">
        <v>0</v>
      </c>
      <c r="AC53" s="102">
        <v>0</v>
      </c>
      <c r="AD53" s="102">
        <v>0</v>
      </c>
      <c r="AE53" s="186">
        <v>0.08</v>
      </c>
      <c r="AF53" s="94">
        <v>0</v>
      </c>
      <c r="AG53" s="94">
        <v>1</v>
      </c>
      <c r="AH53" s="94">
        <v>1</v>
      </c>
      <c r="AI53" s="17">
        <v>1</v>
      </c>
      <c r="AJ53" s="17" t="s">
        <v>660</v>
      </c>
      <c r="AK53" s="17" t="s">
        <v>745</v>
      </c>
      <c r="AL53" s="17"/>
      <c r="AM53" s="61"/>
      <c r="AN53" s="61"/>
      <c r="AO53" s="61"/>
      <c r="AP53" s="61"/>
      <c r="AQ53" s="61"/>
      <c r="AR53" s="61"/>
      <c r="AS53" s="64"/>
      <c r="AT53" s="64"/>
      <c r="AU53" s="64"/>
      <c r="AV53" s="132"/>
      <c r="AW53" s="132"/>
      <c r="AX53" s="132"/>
      <c r="AY53" s="28" t="s">
        <v>662</v>
      </c>
      <c r="AZ53" s="28"/>
      <c r="BA53" s="28"/>
      <c r="BB53" s="28"/>
      <c r="BC53" s="28"/>
      <c r="BD53" s="28"/>
      <c r="BE53" s="28"/>
      <c r="BF53" s="28"/>
      <c r="BG53" s="28"/>
      <c r="BH53" s="106"/>
      <c r="BI53" s="106"/>
      <c r="BJ53" s="106"/>
      <c r="BK53" s="106"/>
      <c r="BL53" s="137"/>
      <c r="BM53" s="123"/>
      <c r="BN53" s="139">
        <f>CB53</f>
        <v>1.2</v>
      </c>
      <c r="BO53" s="94"/>
      <c r="BP53" s="94"/>
      <c r="BQ53" s="94"/>
      <c r="BR53" s="94"/>
      <c r="BS53" s="94"/>
      <c r="BT53" s="94"/>
      <c r="BU53" s="28">
        <f t="shared" si="1"/>
        <v>0</v>
      </c>
      <c r="BV53" s="28"/>
      <c r="BW53" s="28"/>
      <c r="BX53" s="28"/>
      <c r="BY53" s="28"/>
      <c r="BZ53" s="28"/>
      <c r="CA53" s="28"/>
      <c r="CB53" s="99">
        <f>DL53</f>
        <v>1.2</v>
      </c>
      <c r="CC53" s="99">
        <f t="shared" ref="CC53:CH53" si="28">DM53</f>
        <v>1.2</v>
      </c>
      <c r="CD53" s="99">
        <f t="shared" si="28"/>
        <v>1.2</v>
      </c>
      <c r="CE53" s="99">
        <f t="shared" si="28"/>
        <v>1.2</v>
      </c>
      <c r="CF53" s="99">
        <f t="shared" si="28"/>
        <v>1.2</v>
      </c>
      <c r="CG53" s="99">
        <f t="shared" si="28"/>
        <v>1.2</v>
      </c>
      <c r="CH53" s="99">
        <f t="shared" si="28"/>
        <v>1.2</v>
      </c>
      <c r="CI53" s="175"/>
      <c r="CJ53" s="175"/>
      <c r="CK53" s="175"/>
      <c r="CL53" s="175"/>
      <c r="CM53" s="175"/>
      <c r="CN53" s="175"/>
      <c r="CO53" s="175"/>
      <c r="CP53" s="176"/>
      <c r="CQ53" s="176"/>
      <c r="CR53" s="176"/>
      <c r="CS53" s="176"/>
      <c r="CT53" s="176"/>
      <c r="CU53" s="176"/>
      <c r="CV53" s="176"/>
      <c r="CW53" s="167"/>
      <c r="CX53" s="168"/>
      <c r="CY53" s="168"/>
      <c r="CZ53" s="168"/>
      <c r="DA53" s="168"/>
      <c r="DB53" s="168"/>
      <c r="DC53" s="168"/>
      <c r="DD53" s="172"/>
      <c r="DE53" s="172"/>
      <c r="DF53" s="172"/>
      <c r="DG53" s="172"/>
      <c r="DH53" s="172"/>
      <c r="DI53" s="172"/>
      <c r="DJ53" s="172"/>
      <c r="DK53" s="80" t="s">
        <v>782</v>
      </c>
      <c r="DL53" s="128">
        <f>VLOOKUP($F53,Activities!$A$9:$I$180,3,FALSE)/$AI53</f>
        <v>1.2</v>
      </c>
      <c r="DM53" s="128">
        <f>VLOOKUP($F53,Activities!$A$9:$I$180,4,FALSE)/$AI53</f>
        <v>1.2</v>
      </c>
      <c r="DN53" s="128">
        <f>VLOOKUP($F53,Activities!$A$9:$I$180,5,FALSE)/$AI53</f>
        <v>1.2</v>
      </c>
      <c r="DO53" s="128">
        <f>VLOOKUP($F53,Activities!$A$9:$I$180,6,FALSE)/$AI53</f>
        <v>1.2</v>
      </c>
      <c r="DP53" s="128">
        <f>VLOOKUP($F53,Activities!$A$9:$I$180,7,FALSE)/$AI53</f>
        <v>1.2</v>
      </c>
      <c r="DQ53" s="128">
        <f>VLOOKUP($F53,Activities!$A$9:$I$180,8,FALSE)/$AI53</f>
        <v>1.2</v>
      </c>
      <c r="DR53" s="128">
        <f>VLOOKUP($F53,Activities!$A$9:$I$180,9,FALSE)/$AI53</f>
        <v>1.2</v>
      </c>
      <c r="DS53" s="218"/>
      <c r="DT53" s="360"/>
      <c r="DU53" s="360"/>
      <c r="DV53" s="360"/>
      <c r="DW53" s="360"/>
      <c r="DX53" s="360"/>
      <c r="DY53" s="360"/>
      <c r="DZ53" s="360"/>
      <c r="EA53" s="360"/>
      <c r="EB53" s="360"/>
      <c r="EC53" s="360"/>
      <c r="ED53" s="360"/>
      <c r="EE53" s="360"/>
      <c r="EF53" s="360"/>
      <c r="EG53" s="360"/>
      <c r="EH53" s="360"/>
      <c r="EI53" s="360"/>
      <c r="EJ53" s="360"/>
      <c r="EK53" s="360"/>
      <c r="EL53" s="360"/>
      <c r="EM53" s="360"/>
      <c r="EN53" s="360"/>
      <c r="EO53" s="360"/>
      <c r="EP53" s="360"/>
      <c r="EQ53" s="360"/>
    </row>
    <row r="54" spans="1:147" x14ac:dyDescent="0.35">
      <c r="A54" s="5" t="s">
        <v>787</v>
      </c>
      <c r="B54" s="5" t="s">
        <v>740</v>
      </c>
      <c r="C54" s="5" t="s">
        <v>788</v>
      </c>
      <c r="D54" s="5" t="s">
        <v>741</v>
      </c>
      <c r="E54" s="5" t="s">
        <v>789</v>
      </c>
      <c r="F54" s="5" t="s">
        <v>426</v>
      </c>
      <c r="G54" s="47" t="s">
        <v>790</v>
      </c>
      <c r="H54" s="47" t="s">
        <v>791</v>
      </c>
      <c r="I54" s="101">
        <v>1939.5430284857327</v>
      </c>
      <c r="J54" s="101">
        <v>1939.5430284857327</v>
      </c>
      <c r="K54" s="101">
        <v>1939.5430284857327</v>
      </c>
      <c r="L54" s="101">
        <v>1939.5430284857327</v>
      </c>
      <c r="M54" s="101">
        <v>1939.5430284857327</v>
      </c>
      <c r="N54" s="101">
        <v>1939.5430284857327</v>
      </c>
      <c r="O54" s="101">
        <v>1939.5430284857327</v>
      </c>
      <c r="P54" s="94">
        <v>0</v>
      </c>
      <c r="Q54" s="101">
        <v>77.581721139429305</v>
      </c>
      <c r="R54" s="101">
        <v>77.581721139429305</v>
      </c>
      <c r="S54" s="101">
        <v>77.581721139429305</v>
      </c>
      <c r="T54" s="101">
        <v>77.581721139429305</v>
      </c>
      <c r="U54" s="101">
        <v>77.581721139429305</v>
      </c>
      <c r="V54" s="101">
        <v>77.581721139429305</v>
      </c>
      <c r="W54" s="101">
        <v>77.581721139429305</v>
      </c>
      <c r="X54" s="101">
        <v>0</v>
      </c>
      <c r="Y54" s="101">
        <v>0</v>
      </c>
      <c r="Z54" s="101">
        <v>0</v>
      </c>
      <c r="AA54" s="101">
        <v>0</v>
      </c>
      <c r="AB54" s="101">
        <v>0</v>
      </c>
      <c r="AC54" s="101">
        <v>0</v>
      </c>
      <c r="AD54" s="101">
        <v>0</v>
      </c>
      <c r="AE54" s="186">
        <v>0.08</v>
      </c>
      <c r="AF54" s="93">
        <v>0</v>
      </c>
      <c r="AG54" s="93">
        <v>25</v>
      </c>
      <c r="AH54" s="93">
        <v>25</v>
      </c>
      <c r="AI54" s="16">
        <v>1</v>
      </c>
      <c r="AJ54" s="16" t="s">
        <v>660</v>
      </c>
      <c r="AK54" s="16" t="s">
        <v>745</v>
      </c>
      <c r="AL54" s="16"/>
      <c r="AM54" s="60"/>
      <c r="AN54" s="60"/>
      <c r="AO54" s="60"/>
      <c r="AP54" s="60"/>
      <c r="AQ54" s="60"/>
      <c r="AR54" s="60"/>
      <c r="AS54" s="63"/>
      <c r="AT54" s="63"/>
      <c r="AU54" s="63"/>
      <c r="AV54" s="131"/>
      <c r="AW54" s="131"/>
      <c r="AX54" s="131"/>
      <c r="AY54" s="27" t="s">
        <v>662</v>
      </c>
      <c r="AZ54" s="27"/>
      <c r="BA54" s="29"/>
      <c r="BB54" s="30"/>
      <c r="BC54" s="30"/>
      <c r="BD54" s="30"/>
      <c r="BE54" s="30"/>
      <c r="BF54" s="30"/>
      <c r="BG54" s="30"/>
      <c r="BH54" s="107"/>
      <c r="BI54" s="107"/>
      <c r="BJ54" s="107"/>
      <c r="BK54" s="107"/>
      <c r="BL54" s="136"/>
      <c r="BM54" s="122"/>
      <c r="BN54" s="138">
        <v>4</v>
      </c>
      <c r="BO54" s="93"/>
      <c r="BP54" s="93"/>
      <c r="BQ54" s="93">
        <v>1.3</v>
      </c>
      <c r="BR54" s="93">
        <v>1.3</v>
      </c>
      <c r="BS54" s="93">
        <v>1.28</v>
      </c>
      <c r="BT54" s="93"/>
      <c r="BU54" s="27">
        <f t="shared" si="1"/>
        <v>0</v>
      </c>
      <c r="BV54" s="27"/>
      <c r="BW54" s="27"/>
      <c r="BX54" s="27"/>
      <c r="BY54" s="27"/>
      <c r="BZ54" s="27"/>
      <c r="CA54" s="27"/>
      <c r="CB54" s="97">
        <v>10</v>
      </c>
      <c r="CC54" s="97">
        <v>4</v>
      </c>
      <c r="CD54" s="97">
        <v>4</v>
      </c>
      <c r="CE54" s="97">
        <v>4</v>
      </c>
      <c r="CF54" s="97">
        <v>4</v>
      </c>
      <c r="CG54" s="97">
        <v>4</v>
      </c>
      <c r="CH54" s="97">
        <v>4</v>
      </c>
      <c r="CI54" s="173"/>
      <c r="CJ54" s="173"/>
      <c r="CK54" s="173"/>
      <c r="CL54" s="173"/>
      <c r="CM54" s="173"/>
      <c r="CN54" s="173"/>
      <c r="CO54" s="173"/>
      <c r="CP54" s="174"/>
      <c r="CQ54" s="174"/>
      <c r="CR54" s="174"/>
      <c r="CS54" s="174"/>
      <c r="CT54" s="174"/>
      <c r="CU54" s="174"/>
      <c r="CV54" s="174"/>
      <c r="CW54" s="165"/>
      <c r="CX54" s="166"/>
      <c r="CY54" s="166"/>
      <c r="CZ54" s="199">
        <v>1</v>
      </c>
      <c r="DA54" s="199">
        <v>1</v>
      </c>
      <c r="DB54" s="199">
        <v>1</v>
      </c>
      <c r="DC54" s="199">
        <v>1</v>
      </c>
      <c r="DD54" s="171"/>
      <c r="DE54" s="171"/>
      <c r="DF54" s="171"/>
      <c r="DG54" s="171"/>
      <c r="DH54" s="171"/>
      <c r="DI54" s="171"/>
      <c r="DJ54" s="171"/>
      <c r="DK54" s="79" t="s">
        <v>792</v>
      </c>
      <c r="DL54" s="128">
        <f>VLOOKUP($F54,Activities!$A$9:$I$180,3,FALSE)/$AI54</f>
        <v>0</v>
      </c>
      <c r="DM54" s="128">
        <f>VLOOKUP($F54,Activities!$A$9:$I$180,4,FALSE)/$AI54</f>
        <v>0</v>
      </c>
      <c r="DN54" s="128">
        <f>VLOOKUP($F54,Activities!$A$9:$I$180,5,FALSE)/$AI54</f>
        <v>0</v>
      </c>
      <c r="DO54" s="128">
        <f>VLOOKUP($F54,Activities!$A$9:$I$180,6,FALSE)/$AI54</f>
        <v>0</v>
      </c>
      <c r="DP54" s="128">
        <f>VLOOKUP($F54,Activities!$A$9:$I$180,7,FALSE)/$AI54</f>
        <v>0</v>
      </c>
      <c r="DQ54" s="128">
        <f>VLOOKUP($F54,Activities!$A$9:$I$180,8,FALSE)/$AI54</f>
        <v>0</v>
      </c>
      <c r="DR54" s="128">
        <f>VLOOKUP($F54,Activities!$A$9:$I$180,9,FALSE)/$AI54</f>
        <v>0</v>
      </c>
      <c r="DS54" s="218"/>
      <c r="DT54" s="360"/>
      <c r="DU54" s="360"/>
      <c r="DV54" s="360"/>
      <c r="DW54" s="360"/>
      <c r="DX54" s="360"/>
      <c r="DY54" s="360"/>
      <c r="DZ54" s="360"/>
      <c r="EA54" s="360"/>
      <c r="EB54" s="360"/>
      <c r="EC54" s="360"/>
      <c r="ED54" s="360"/>
      <c r="EE54" s="360"/>
      <c r="EF54" s="360"/>
      <c r="EG54" s="360"/>
      <c r="EH54" s="360"/>
      <c r="EI54" s="360"/>
      <c r="EJ54" s="360"/>
      <c r="EK54" s="360"/>
      <c r="EL54" s="360"/>
      <c r="EM54" s="360"/>
      <c r="EN54" s="360"/>
      <c r="EO54" s="360"/>
      <c r="EP54" s="360"/>
      <c r="EQ54" s="360"/>
    </row>
    <row r="55" spans="1:147" x14ac:dyDescent="0.35">
      <c r="A55" s="6" t="s">
        <v>793</v>
      </c>
      <c r="B55" s="6" t="s">
        <v>740</v>
      </c>
      <c r="C55" s="6" t="s">
        <v>788</v>
      </c>
      <c r="D55" s="6" t="s">
        <v>741</v>
      </c>
      <c r="E55" s="6" t="s">
        <v>789</v>
      </c>
      <c r="F55" s="6" t="s">
        <v>426</v>
      </c>
      <c r="G55" s="48" t="s">
        <v>794</v>
      </c>
      <c r="H55" s="48" t="s">
        <v>791</v>
      </c>
      <c r="I55" s="102">
        <v>2160.0087096996676</v>
      </c>
      <c r="J55" s="102">
        <v>2160.0087096996676</v>
      </c>
      <c r="K55" s="102">
        <v>2160.0087096996676</v>
      </c>
      <c r="L55" s="102">
        <v>2160.0087096996676</v>
      </c>
      <c r="M55" s="102">
        <v>2160.0087096996676</v>
      </c>
      <c r="N55" s="102">
        <v>2160.0087096996676</v>
      </c>
      <c r="O55" s="102">
        <v>2160.0087096996676</v>
      </c>
      <c r="P55" s="94">
        <v>0</v>
      </c>
      <c r="Q55" s="102">
        <v>86.40034838798671</v>
      </c>
      <c r="R55" s="102">
        <v>86.40034838798671</v>
      </c>
      <c r="S55" s="102">
        <v>86.40034838798671</v>
      </c>
      <c r="T55" s="102">
        <v>86.40034838798671</v>
      </c>
      <c r="U55" s="102">
        <v>86.40034838798671</v>
      </c>
      <c r="V55" s="102">
        <v>86.40034838798671</v>
      </c>
      <c r="W55" s="102">
        <v>86.40034838798671</v>
      </c>
      <c r="X55" s="102">
        <v>0</v>
      </c>
      <c r="Y55" s="102">
        <v>0</v>
      </c>
      <c r="Z55" s="102">
        <v>0</v>
      </c>
      <c r="AA55" s="102">
        <v>0</v>
      </c>
      <c r="AB55" s="102">
        <v>0</v>
      </c>
      <c r="AC55" s="102">
        <v>0</v>
      </c>
      <c r="AD55" s="102">
        <v>0</v>
      </c>
      <c r="AE55" s="186">
        <v>0.08</v>
      </c>
      <c r="AF55" s="94">
        <v>0</v>
      </c>
      <c r="AG55" s="93">
        <v>25</v>
      </c>
      <c r="AH55" s="93">
        <v>25</v>
      </c>
      <c r="AI55" s="17">
        <v>1</v>
      </c>
      <c r="AJ55" s="17" t="s">
        <v>660</v>
      </c>
      <c r="AK55" s="17" t="s">
        <v>745</v>
      </c>
      <c r="AL55" s="17"/>
      <c r="AM55" s="61"/>
      <c r="AN55" s="61"/>
      <c r="AO55" s="61"/>
      <c r="AP55" s="61"/>
      <c r="AQ55" s="61"/>
      <c r="AR55" s="61"/>
      <c r="AS55" s="64"/>
      <c r="AT55" s="64"/>
      <c r="AU55" s="64"/>
      <c r="AV55" s="132"/>
      <c r="AW55" s="132"/>
      <c r="AX55" s="132"/>
      <c r="AY55" s="28" t="s">
        <v>662</v>
      </c>
      <c r="AZ55" s="28"/>
      <c r="BA55" s="354"/>
      <c r="BB55" s="28"/>
      <c r="BC55" s="28"/>
      <c r="BD55" s="28"/>
      <c r="BE55" s="28"/>
      <c r="BF55" s="28"/>
      <c r="BG55" s="28"/>
      <c r="BH55" s="106"/>
      <c r="BI55" s="106"/>
      <c r="BJ55" s="106"/>
      <c r="BK55" s="106"/>
      <c r="BL55" s="137"/>
      <c r="BM55" s="123"/>
      <c r="BN55" s="139">
        <v>0</v>
      </c>
      <c r="BO55" s="94"/>
      <c r="BP55" s="94"/>
      <c r="BQ55" s="94"/>
      <c r="BR55" s="94"/>
      <c r="BS55" s="94"/>
      <c r="BT55" s="94"/>
      <c r="BU55" s="28">
        <f t="shared" si="1"/>
        <v>0</v>
      </c>
      <c r="BV55" s="28"/>
      <c r="BW55" s="28"/>
      <c r="BX55" s="28"/>
      <c r="BY55" s="28"/>
      <c r="BZ55" s="28"/>
      <c r="CA55" s="28"/>
      <c r="CB55" s="99"/>
      <c r="CC55" s="185">
        <v>2</v>
      </c>
      <c r="CD55" s="185">
        <v>4</v>
      </c>
      <c r="CE55" s="99">
        <f>CE54</f>
        <v>4</v>
      </c>
      <c r="CF55" s="99">
        <f t="shared" ref="CF55:CH55" si="29">CF54</f>
        <v>4</v>
      </c>
      <c r="CG55" s="99">
        <f t="shared" si="29"/>
        <v>4</v>
      </c>
      <c r="CH55" s="99">
        <f t="shared" si="29"/>
        <v>4</v>
      </c>
      <c r="CI55" s="175"/>
      <c r="CJ55" s="175"/>
      <c r="CK55" s="175"/>
      <c r="CL55" s="175"/>
      <c r="CM55" s="175"/>
      <c r="CN55" s="175"/>
      <c r="CO55" s="175"/>
      <c r="CP55" s="176"/>
      <c r="CQ55" s="176"/>
      <c r="CR55" s="176"/>
      <c r="CS55" s="176"/>
      <c r="CT55" s="176"/>
      <c r="CU55" s="176"/>
      <c r="CV55" s="176"/>
      <c r="CW55" s="167"/>
      <c r="CX55" s="168"/>
      <c r="CY55" s="168"/>
      <c r="CZ55" s="168"/>
      <c r="DA55" s="168"/>
      <c r="DB55" s="199"/>
      <c r="DC55" s="199"/>
      <c r="DD55" s="172"/>
      <c r="DE55" s="172"/>
      <c r="DF55" s="172"/>
      <c r="DG55" s="172"/>
      <c r="DH55" s="172"/>
      <c r="DI55" s="172"/>
      <c r="DJ55" s="172"/>
      <c r="DK55" s="79" t="s">
        <v>792</v>
      </c>
      <c r="DL55" s="128">
        <f>VLOOKUP($F55,Activities!$A$9:$I$180,3,FALSE)/$AI55</f>
        <v>0</v>
      </c>
      <c r="DM55" s="128">
        <f>VLOOKUP($F55,Activities!$A$9:$I$180,4,FALSE)/$AI55</f>
        <v>0</v>
      </c>
      <c r="DN55" s="128">
        <f>VLOOKUP($F55,Activities!$A$9:$I$180,5,FALSE)/$AI55</f>
        <v>0</v>
      </c>
      <c r="DO55" s="128">
        <f>VLOOKUP($F55,Activities!$A$9:$I$180,6,FALSE)/$AI55</f>
        <v>0</v>
      </c>
      <c r="DP55" s="128">
        <f>VLOOKUP($F55,Activities!$A$9:$I$180,7,FALSE)/$AI55</f>
        <v>0</v>
      </c>
      <c r="DQ55" s="128">
        <f>VLOOKUP($F55,Activities!$A$9:$I$180,8,FALSE)/$AI55</f>
        <v>0</v>
      </c>
      <c r="DR55" s="128">
        <f>VLOOKUP($F55,Activities!$A$9:$I$180,9,FALSE)/$AI55</f>
        <v>0</v>
      </c>
      <c r="DS55" s="218"/>
      <c r="DT55" s="360"/>
      <c r="DU55" s="360"/>
      <c r="DV55" s="360"/>
      <c r="DW55" s="360"/>
      <c r="DX55" s="360"/>
      <c r="DY55" s="360"/>
      <c r="DZ55" s="360"/>
      <c r="EA55" s="360"/>
      <c r="EB55" s="360"/>
      <c r="EC55" s="360"/>
      <c r="ED55" s="360"/>
      <c r="EE55" s="360"/>
      <c r="EF55" s="360"/>
      <c r="EG55" s="360"/>
      <c r="EH55" s="360"/>
      <c r="EI55" s="360"/>
      <c r="EJ55" s="360"/>
      <c r="EK55" s="360"/>
      <c r="EL55" s="360"/>
      <c r="EM55" s="360"/>
      <c r="EN55" s="360"/>
      <c r="EO55" s="360"/>
      <c r="EP55" s="360"/>
      <c r="EQ55" s="360"/>
    </row>
    <row r="56" spans="1:147" x14ac:dyDescent="0.35">
      <c r="A56" s="5" t="s">
        <v>795</v>
      </c>
      <c r="B56" s="5" t="s">
        <v>740</v>
      </c>
      <c r="C56" s="5" t="s">
        <v>788</v>
      </c>
      <c r="D56" s="5" t="s">
        <v>741</v>
      </c>
      <c r="E56" s="5" t="s">
        <v>789</v>
      </c>
      <c r="F56" s="5" t="s">
        <v>426</v>
      </c>
      <c r="G56" s="47" t="s">
        <v>796</v>
      </c>
      <c r="H56" s="47" t="s">
        <v>791</v>
      </c>
      <c r="I56" s="101">
        <v>2181.6087967966641</v>
      </c>
      <c r="J56" s="101">
        <v>2181.6087967966641</v>
      </c>
      <c r="K56" s="101">
        <v>2181.6087967966641</v>
      </c>
      <c r="L56" s="101">
        <v>2181.6087967966641</v>
      </c>
      <c r="M56" s="101">
        <v>2181.6087967966641</v>
      </c>
      <c r="N56" s="101">
        <v>2181.6087967966641</v>
      </c>
      <c r="O56" s="101">
        <v>2181.6087967966641</v>
      </c>
      <c r="P56" s="94">
        <v>0</v>
      </c>
      <c r="Q56" s="101">
        <f>Q55*1.01</f>
        <v>87.26435187186658</v>
      </c>
      <c r="R56" s="101">
        <f t="shared" ref="R56:W56" si="30">R55*1.01</f>
        <v>87.26435187186658</v>
      </c>
      <c r="S56" s="101">
        <f t="shared" si="30"/>
        <v>87.26435187186658</v>
      </c>
      <c r="T56" s="101">
        <f t="shared" si="30"/>
        <v>87.26435187186658</v>
      </c>
      <c r="U56" s="101">
        <f t="shared" si="30"/>
        <v>87.26435187186658</v>
      </c>
      <c r="V56" s="101">
        <f t="shared" si="30"/>
        <v>87.26435187186658</v>
      </c>
      <c r="W56" s="101">
        <f t="shared" si="30"/>
        <v>87.26435187186658</v>
      </c>
      <c r="X56" s="101">
        <v>0</v>
      </c>
      <c r="Y56" s="101">
        <v>0</v>
      </c>
      <c r="Z56" s="101">
        <v>0</v>
      </c>
      <c r="AA56" s="101">
        <v>0</v>
      </c>
      <c r="AB56" s="101">
        <v>0</v>
      </c>
      <c r="AC56" s="101">
        <v>0</v>
      </c>
      <c r="AD56" s="101">
        <v>0</v>
      </c>
      <c r="AE56" s="186">
        <v>0.08</v>
      </c>
      <c r="AF56" s="93">
        <v>0</v>
      </c>
      <c r="AG56" s="93">
        <v>25</v>
      </c>
      <c r="AH56" s="93">
        <v>25</v>
      </c>
      <c r="AI56" s="16">
        <v>1</v>
      </c>
      <c r="AJ56" s="16" t="s">
        <v>660</v>
      </c>
      <c r="AK56" s="16" t="s">
        <v>745</v>
      </c>
      <c r="AL56" s="16"/>
      <c r="AM56" s="60"/>
      <c r="AN56" s="60"/>
      <c r="AO56" s="60"/>
      <c r="AP56" s="60"/>
      <c r="AQ56" s="60"/>
      <c r="AR56" s="60"/>
      <c r="AS56" s="63"/>
      <c r="AT56" s="63"/>
      <c r="AU56" s="63"/>
      <c r="AV56" s="131"/>
      <c r="AW56" s="131"/>
      <c r="AX56" s="131"/>
      <c r="AY56" s="27" t="s">
        <v>662</v>
      </c>
      <c r="AZ56" s="27"/>
      <c r="BA56" s="29"/>
      <c r="BB56" s="30"/>
      <c r="BC56" s="30"/>
      <c r="BD56" s="30"/>
      <c r="BE56" s="30"/>
      <c r="BF56" s="30"/>
      <c r="BG56" s="30"/>
      <c r="BH56" s="107"/>
      <c r="BI56" s="107"/>
      <c r="BJ56" s="107"/>
      <c r="BK56" s="107"/>
      <c r="BL56" s="136"/>
      <c r="BM56" s="122"/>
      <c r="BN56" s="138">
        <v>0</v>
      </c>
      <c r="BO56" s="93"/>
      <c r="BP56" s="93"/>
      <c r="BQ56" s="93"/>
      <c r="BR56" s="93"/>
      <c r="BS56" s="93"/>
      <c r="BT56" s="93"/>
      <c r="BU56" s="27">
        <f t="shared" si="1"/>
        <v>0</v>
      </c>
      <c r="BV56" s="27"/>
      <c r="BW56" s="27"/>
      <c r="BX56" s="27"/>
      <c r="BY56" s="27"/>
      <c r="BZ56" s="27"/>
      <c r="CA56" s="27"/>
      <c r="CB56" s="97"/>
      <c r="CC56" s="185">
        <v>2</v>
      </c>
      <c r="CD56" s="185">
        <v>4</v>
      </c>
      <c r="CE56" s="97">
        <v>4</v>
      </c>
      <c r="CF56" s="97">
        <v>4</v>
      </c>
      <c r="CG56" s="97">
        <v>4</v>
      </c>
      <c r="CH56" s="97">
        <v>4</v>
      </c>
      <c r="CI56" s="173"/>
      <c r="CJ56" s="173"/>
      <c r="CK56" s="173"/>
      <c r="CL56" s="173"/>
      <c r="CM56" s="173"/>
      <c r="CN56" s="173"/>
      <c r="CO56" s="173"/>
      <c r="CP56" s="174"/>
      <c r="CQ56" s="174"/>
      <c r="CR56" s="174"/>
      <c r="CS56" s="174"/>
      <c r="CT56" s="174"/>
      <c r="CU56" s="174"/>
      <c r="CV56" s="174"/>
      <c r="CW56" s="165"/>
      <c r="CX56" s="166"/>
      <c r="CY56" s="166"/>
      <c r="CZ56" s="166"/>
      <c r="DA56" s="166"/>
      <c r="DB56" s="166"/>
      <c r="DC56" s="166"/>
      <c r="DD56" s="171"/>
      <c r="DE56" s="171"/>
      <c r="DF56" s="171"/>
      <c r="DG56" s="171"/>
      <c r="DH56" s="171"/>
      <c r="DI56" s="171"/>
      <c r="DJ56" s="171"/>
      <c r="DK56" s="79" t="s">
        <v>792</v>
      </c>
      <c r="DL56" s="128">
        <f>VLOOKUP($F56,Activities!$A$9:$I$180,3,FALSE)/$AI56</f>
        <v>0</v>
      </c>
      <c r="DM56" s="128">
        <f>VLOOKUP($F56,Activities!$A$9:$I$180,4,FALSE)/$AI56</f>
        <v>0</v>
      </c>
      <c r="DN56" s="128">
        <f>VLOOKUP($F56,Activities!$A$9:$I$180,5,FALSE)/$AI56</f>
        <v>0</v>
      </c>
      <c r="DO56" s="128">
        <f>VLOOKUP($F56,Activities!$A$9:$I$180,6,FALSE)/$AI56</f>
        <v>0</v>
      </c>
      <c r="DP56" s="128">
        <f>VLOOKUP($F56,Activities!$A$9:$I$180,7,FALSE)/$AI56</f>
        <v>0</v>
      </c>
      <c r="DQ56" s="128">
        <f>VLOOKUP($F56,Activities!$A$9:$I$180,8,FALSE)/$AI56</f>
        <v>0</v>
      </c>
      <c r="DR56" s="128">
        <f>VLOOKUP($F56,Activities!$A$9:$I$180,9,FALSE)/$AI56</f>
        <v>0</v>
      </c>
      <c r="DS56" s="218"/>
      <c r="DT56" s="360"/>
      <c r="DU56" s="360"/>
      <c r="DV56" s="360"/>
      <c r="DW56" s="360"/>
      <c r="DX56" s="360"/>
      <c r="DY56" s="360"/>
      <c r="DZ56" s="360"/>
      <c r="EA56" s="360"/>
      <c r="EB56" s="360"/>
      <c r="EC56" s="360"/>
      <c r="ED56" s="360"/>
      <c r="EE56" s="360"/>
      <c r="EF56" s="360"/>
      <c r="EG56" s="360"/>
      <c r="EH56" s="360"/>
      <c r="EI56" s="360"/>
      <c r="EJ56" s="360"/>
      <c r="EK56" s="360"/>
      <c r="EL56" s="360"/>
      <c r="EM56" s="360"/>
      <c r="EN56" s="360"/>
      <c r="EO56" s="360"/>
      <c r="EP56" s="360"/>
      <c r="EQ56" s="360"/>
    </row>
    <row r="57" spans="1:147" x14ac:dyDescent="0.35">
      <c r="A57" s="6" t="s">
        <v>797</v>
      </c>
      <c r="B57" s="6" t="s">
        <v>740</v>
      </c>
      <c r="C57" s="6" t="s">
        <v>788</v>
      </c>
      <c r="D57" s="6" t="s">
        <v>741</v>
      </c>
      <c r="E57" s="6" t="s">
        <v>789</v>
      </c>
      <c r="F57" s="6" t="s">
        <v>426</v>
      </c>
      <c r="G57" s="48" t="s">
        <v>798</v>
      </c>
      <c r="H57" s="48" t="s">
        <v>791</v>
      </c>
      <c r="I57" s="102">
        <v>2160.0087096996676</v>
      </c>
      <c r="J57" s="102">
        <v>2160.0087096996676</v>
      </c>
      <c r="K57" s="102">
        <v>2160.0087096996676</v>
      </c>
      <c r="L57" s="102">
        <v>2160.0087096996676</v>
      </c>
      <c r="M57" s="102">
        <v>2160.0087096996676</v>
      </c>
      <c r="N57" s="102">
        <v>2160.0087096996676</v>
      </c>
      <c r="O57" s="102">
        <v>2160.0087096996676</v>
      </c>
      <c r="P57" s="94">
        <v>0</v>
      </c>
      <c r="Q57" s="102">
        <f>Q55</f>
        <v>86.40034838798671</v>
      </c>
      <c r="R57" s="102">
        <f t="shared" ref="R57:W57" si="31">R55</f>
        <v>86.40034838798671</v>
      </c>
      <c r="S57" s="102">
        <f t="shared" si="31"/>
        <v>86.40034838798671</v>
      </c>
      <c r="T57" s="102">
        <f t="shared" si="31"/>
        <v>86.40034838798671</v>
      </c>
      <c r="U57" s="102">
        <f t="shared" si="31"/>
        <v>86.40034838798671</v>
      </c>
      <c r="V57" s="102">
        <f t="shared" si="31"/>
        <v>86.40034838798671</v>
      </c>
      <c r="W57" s="102">
        <f t="shared" si="31"/>
        <v>86.40034838798671</v>
      </c>
      <c r="X57" s="102">
        <v>0</v>
      </c>
      <c r="Y57" s="102">
        <v>0</v>
      </c>
      <c r="Z57" s="102">
        <v>0</v>
      </c>
      <c r="AA57" s="102">
        <v>0</v>
      </c>
      <c r="AB57" s="102">
        <v>0</v>
      </c>
      <c r="AC57" s="102">
        <v>0</v>
      </c>
      <c r="AD57" s="102">
        <v>0</v>
      </c>
      <c r="AE57" s="186">
        <v>0.08</v>
      </c>
      <c r="AF57" s="94">
        <v>0</v>
      </c>
      <c r="AG57" s="93">
        <v>25</v>
      </c>
      <c r="AH57" s="93">
        <v>25</v>
      </c>
      <c r="AI57" s="17">
        <v>1</v>
      </c>
      <c r="AJ57" s="17" t="s">
        <v>660</v>
      </c>
      <c r="AK57" s="17" t="s">
        <v>745</v>
      </c>
      <c r="AL57" s="17"/>
      <c r="AM57" s="61"/>
      <c r="AN57" s="61"/>
      <c r="AO57" s="61"/>
      <c r="AP57" s="61"/>
      <c r="AQ57" s="61"/>
      <c r="AR57" s="61"/>
      <c r="AS57" s="64"/>
      <c r="AT57" s="64"/>
      <c r="AU57" s="64"/>
      <c r="AV57" s="132"/>
      <c r="AW57" s="132"/>
      <c r="AX57" s="132"/>
      <c r="AY57" s="28" t="s">
        <v>662</v>
      </c>
      <c r="AZ57" s="28"/>
      <c r="BA57" s="354"/>
      <c r="BB57" s="28"/>
      <c r="BC57" s="28"/>
      <c r="BD57" s="28"/>
      <c r="BE57" s="28"/>
      <c r="BF57" s="28"/>
      <c r="BG57" s="28"/>
      <c r="BH57" s="106"/>
      <c r="BI57" s="106"/>
      <c r="BJ57" s="106"/>
      <c r="BK57" s="106"/>
      <c r="BL57" s="137"/>
      <c r="BM57" s="123"/>
      <c r="BN57" s="139">
        <v>0</v>
      </c>
      <c r="BO57" s="94"/>
      <c r="BP57" s="94"/>
      <c r="BQ57" s="94"/>
      <c r="BR57" s="94"/>
      <c r="BS57" s="94"/>
      <c r="BT57" s="94"/>
      <c r="BU57" s="28">
        <f t="shared" si="1"/>
        <v>0</v>
      </c>
      <c r="BV57" s="28"/>
      <c r="BW57" s="28"/>
      <c r="BX57" s="28"/>
      <c r="BY57" s="28"/>
      <c r="BZ57" s="28"/>
      <c r="CA57" s="28"/>
      <c r="CB57" s="99"/>
      <c r="CC57" s="185">
        <v>2</v>
      </c>
      <c r="CD57" s="185">
        <v>4</v>
      </c>
      <c r="CE57" s="99">
        <v>4</v>
      </c>
      <c r="CF57" s="99">
        <v>4</v>
      </c>
      <c r="CG57" s="99">
        <v>4</v>
      </c>
      <c r="CH57" s="99">
        <v>4</v>
      </c>
      <c r="CI57" s="175"/>
      <c r="CJ57" s="175"/>
      <c r="CK57" s="175"/>
      <c r="CL57" s="175"/>
      <c r="CM57" s="175"/>
      <c r="CN57" s="175"/>
      <c r="CO57" s="175"/>
      <c r="CP57" s="176"/>
      <c r="CQ57" s="176"/>
      <c r="CR57" s="176"/>
      <c r="CS57" s="176"/>
      <c r="CT57" s="176"/>
      <c r="CU57" s="176"/>
      <c r="CV57" s="176"/>
      <c r="CW57" s="167"/>
      <c r="CX57" s="168"/>
      <c r="CY57" s="168"/>
      <c r="CZ57" s="168"/>
      <c r="DA57" s="168"/>
      <c r="DB57" s="168"/>
      <c r="DC57" s="168"/>
      <c r="DD57" s="172"/>
      <c r="DE57" s="172"/>
      <c r="DF57" s="172"/>
      <c r="DG57" s="172"/>
      <c r="DH57" s="172"/>
      <c r="DI57" s="172"/>
      <c r="DJ57" s="172"/>
      <c r="DK57" s="79" t="s">
        <v>792</v>
      </c>
      <c r="DL57" s="128">
        <f>VLOOKUP($F57,Activities!$A$9:$I$180,3,FALSE)/$AI57</f>
        <v>0</v>
      </c>
      <c r="DM57" s="128">
        <f>VLOOKUP($F57,Activities!$A$9:$I$180,4,FALSE)/$AI57</f>
        <v>0</v>
      </c>
      <c r="DN57" s="128">
        <f>VLOOKUP($F57,Activities!$A$9:$I$180,5,FALSE)/$AI57</f>
        <v>0</v>
      </c>
      <c r="DO57" s="128">
        <f>VLOOKUP($F57,Activities!$A$9:$I$180,6,FALSE)/$AI57</f>
        <v>0</v>
      </c>
      <c r="DP57" s="128">
        <f>VLOOKUP($F57,Activities!$A$9:$I$180,7,FALSE)/$AI57</f>
        <v>0</v>
      </c>
      <c r="DQ57" s="128">
        <f>VLOOKUP($F57,Activities!$A$9:$I$180,8,FALSE)/$AI57</f>
        <v>0</v>
      </c>
      <c r="DR57" s="128">
        <f>VLOOKUP($F57,Activities!$A$9:$I$180,9,FALSE)/$AI57</f>
        <v>0</v>
      </c>
      <c r="DS57" s="218"/>
      <c r="DT57" s="360"/>
      <c r="DU57" s="360"/>
      <c r="DV57" s="360"/>
      <c r="DW57" s="360"/>
      <c r="DX57" s="360"/>
      <c r="DY57" s="360"/>
      <c r="DZ57" s="360"/>
      <c r="EA57" s="360"/>
      <c r="EB57" s="360"/>
      <c r="EC57" s="360"/>
      <c r="ED57" s="360"/>
      <c r="EE57" s="360"/>
      <c r="EF57" s="360"/>
      <c r="EG57" s="360"/>
      <c r="EH57" s="360"/>
      <c r="EI57" s="360"/>
      <c r="EJ57" s="360"/>
      <c r="EK57" s="360"/>
      <c r="EL57" s="360"/>
      <c r="EM57" s="360"/>
      <c r="EN57" s="360"/>
      <c r="EO57" s="360"/>
      <c r="EP57" s="360"/>
      <c r="EQ57" s="360"/>
    </row>
    <row r="58" spans="1:147" x14ac:dyDescent="0.35">
      <c r="A58" s="5" t="s">
        <v>799</v>
      </c>
      <c r="B58" s="5" t="s">
        <v>740</v>
      </c>
      <c r="C58" s="5" t="s">
        <v>788</v>
      </c>
      <c r="D58" s="5" t="s">
        <v>741</v>
      </c>
      <c r="E58" s="5" t="s">
        <v>789</v>
      </c>
      <c r="F58" s="5" t="s">
        <v>426</v>
      </c>
      <c r="G58" s="47" t="s">
        <v>800</v>
      </c>
      <c r="H58" s="47" t="s">
        <v>791</v>
      </c>
      <c r="I58" s="101">
        <v>1939.5430284857327</v>
      </c>
      <c r="J58" s="101">
        <v>1939.5430284857327</v>
      </c>
      <c r="K58" s="101">
        <v>1939.5430284857327</v>
      </c>
      <c r="L58" s="101">
        <v>1939.5430284857327</v>
      </c>
      <c r="M58" s="101">
        <v>1939.5430284857327</v>
      </c>
      <c r="N58" s="101">
        <v>1939.5430284857327</v>
      </c>
      <c r="O58" s="101">
        <v>1939.5430284857327</v>
      </c>
      <c r="P58" s="94">
        <v>0</v>
      </c>
      <c r="Q58" s="101">
        <f>Q54</f>
        <v>77.581721139429305</v>
      </c>
      <c r="R58" s="101">
        <f t="shared" ref="R58:W58" si="32">R54</f>
        <v>77.581721139429305</v>
      </c>
      <c r="S58" s="101">
        <f t="shared" si="32"/>
        <v>77.581721139429305</v>
      </c>
      <c r="T58" s="101">
        <f t="shared" si="32"/>
        <v>77.581721139429305</v>
      </c>
      <c r="U58" s="101">
        <f t="shared" si="32"/>
        <v>77.581721139429305</v>
      </c>
      <c r="V58" s="101">
        <f t="shared" si="32"/>
        <v>77.581721139429305</v>
      </c>
      <c r="W58" s="101">
        <f t="shared" si="32"/>
        <v>77.581721139429305</v>
      </c>
      <c r="X58" s="101">
        <v>0</v>
      </c>
      <c r="Y58" s="101">
        <v>0</v>
      </c>
      <c r="Z58" s="101">
        <v>0</v>
      </c>
      <c r="AA58" s="101">
        <v>0</v>
      </c>
      <c r="AB58" s="101">
        <v>0</v>
      </c>
      <c r="AC58" s="101">
        <v>0</v>
      </c>
      <c r="AD58" s="101">
        <v>0</v>
      </c>
      <c r="AE58" s="186">
        <v>0.08</v>
      </c>
      <c r="AF58" s="93">
        <v>0</v>
      </c>
      <c r="AG58" s="93">
        <v>25</v>
      </c>
      <c r="AH58" s="93">
        <v>25</v>
      </c>
      <c r="AI58" s="16">
        <v>1</v>
      </c>
      <c r="AJ58" s="384" t="s">
        <v>660</v>
      </c>
      <c r="AK58" s="17" t="s">
        <v>745</v>
      </c>
      <c r="AL58" s="16"/>
      <c r="AM58" s="60"/>
      <c r="AN58" s="60"/>
      <c r="AO58" s="60"/>
      <c r="AP58" s="60"/>
      <c r="AQ58" s="60"/>
      <c r="AR58" s="60"/>
      <c r="AS58" s="63"/>
      <c r="AT58" s="63"/>
      <c r="AU58" s="63"/>
      <c r="AV58" s="131"/>
      <c r="AW58" s="131"/>
      <c r="AX58" s="131"/>
      <c r="AY58" s="28" t="s">
        <v>662</v>
      </c>
      <c r="AZ58" s="28"/>
      <c r="BA58" s="354"/>
      <c r="BB58" s="28"/>
      <c r="BC58" s="28"/>
      <c r="BD58" s="28"/>
      <c r="BE58" s="28"/>
      <c r="BF58" s="30"/>
      <c r="BG58" s="30"/>
      <c r="BH58" s="107"/>
      <c r="BI58" s="107"/>
      <c r="BJ58" s="107"/>
      <c r="BK58" s="107"/>
      <c r="BL58" s="136"/>
      <c r="BM58" s="122"/>
      <c r="BN58" s="138">
        <v>0</v>
      </c>
      <c r="BO58" s="93"/>
      <c r="BP58" s="93"/>
      <c r="BQ58" s="93"/>
      <c r="BR58" s="93"/>
      <c r="BS58" s="93"/>
      <c r="BT58" s="93"/>
      <c r="BU58" s="27">
        <v>0</v>
      </c>
      <c r="BV58" s="27"/>
      <c r="BW58" s="27"/>
      <c r="BX58" s="27"/>
      <c r="BY58" s="27"/>
      <c r="BZ58" s="27"/>
      <c r="CA58" s="27"/>
      <c r="CB58" s="97">
        <v>0</v>
      </c>
      <c r="CC58" s="97">
        <v>0.1</v>
      </c>
      <c r="CD58" s="185">
        <v>2</v>
      </c>
      <c r="CE58" s="97">
        <v>4</v>
      </c>
      <c r="CF58" s="97">
        <v>4</v>
      </c>
      <c r="CG58" s="97">
        <v>4</v>
      </c>
      <c r="CH58" s="97"/>
      <c r="CI58" s="173"/>
      <c r="CJ58" s="173"/>
      <c r="CK58" s="173"/>
      <c r="CL58" s="173"/>
      <c r="CM58" s="173"/>
      <c r="CN58" s="173"/>
      <c r="CO58" s="173"/>
      <c r="CP58" s="174"/>
      <c r="CQ58" s="174"/>
      <c r="CR58" s="174"/>
      <c r="CS58" s="174"/>
      <c r="CT58" s="174"/>
      <c r="CU58" s="174"/>
      <c r="CV58" s="174"/>
      <c r="CW58" s="165"/>
      <c r="CX58" s="166"/>
      <c r="CY58" s="166"/>
      <c r="CZ58" s="166"/>
      <c r="DA58" s="166"/>
      <c r="DB58" s="166"/>
      <c r="DC58" s="166"/>
      <c r="DD58" s="171"/>
      <c r="DE58" s="171"/>
      <c r="DF58" s="171"/>
      <c r="DG58" s="171"/>
      <c r="DH58" s="171"/>
      <c r="DI58" s="171"/>
      <c r="DJ58" s="171"/>
      <c r="DK58" s="79" t="s">
        <v>792</v>
      </c>
      <c r="DL58" s="128">
        <f>VLOOKUP($F58,Activities!$A$9:$I$180,3,FALSE)/$AI58</f>
        <v>0</v>
      </c>
      <c r="DM58" s="128">
        <f>VLOOKUP($F58,Activities!$A$9:$I$180,4,FALSE)/$AI58</f>
        <v>0</v>
      </c>
      <c r="DN58" s="128">
        <f>VLOOKUP($F58,Activities!$A$9:$I$180,5,FALSE)/$AI58</f>
        <v>0</v>
      </c>
      <c r="DO58" s="128">
        <f>VLOOKUP($F58,Activities!$A$9:$I$180,6,FALSE)/$AI58</f>
        <v>0</v>
      </c>
      <c r="DP58" s="128">
        <f>VLOOKUP($F58,Activities!$A$9:$I$180,7,FALSE)/$AI58</f>
        <v>0</v>
      </c>
      <c r="DQ58" s="128">
        <f>VLOOKUP($F58,Activities!$A$9:$I$180,8,FALSE)/$AI58</f>
        <v>0</v>
      </c>
      <c r="DR58" s="128">
        <f>VLOOKUP($F58,Activities!$A$9:$I$180,9,FALSE)/$AI58</f>
        <v>0</v>
      </c>
      <c r="DS58" s="218"/>
      <c r="DT58" s="360"/>
      <c r="DU58" s="360"/>
      <c r="DV58" s="360"/>
      <c r="DW58" s="360"/>
      <c r="DX58" s="360"/>
      <c r="DY58" s="360"/>
      <c r="DZ58" s="360"/>
      <c r="EA58" s="360"/>
      <c r="EB58" s="360"/>
      <c r="EC58" s="360"/>
      <c r="ED58" s="360"/>
      <c r="EE58" s="360"/>
      <c r="EF58" s="360"/>
      <c r="EG58" s="360"/>
      <c r="EH58" s="360"/>
      <c r="EI58" s="360"/>
      <c r="EJ58" s="360"/>
      <c r="EK58" s="360"/>
      <c r="EL58" s="360"/>
      <c r="EM58" s="360"/>
      <c r="EN58" s="360"/>
      <c r="EO58" s="360"/>
      <c r="EP58" s="360"/>
      <c r="EQ58" s="360"/>
    </row>
    <row r="59" spans="1:147" x14ac:dyDescent="0.35">
      <c r="A59" s="6" t="s">
        <v>801</v>
      </c>
      <c r="B59" s="6" t="s">
        <v>740</v>
      </c>
      <c r="C59" s="6" t="s">
        <v>788</v>
      </c>
      <c r="D59" s="6" t="s">
        <v>741</v>
      </c>
      <c r="E59" s="6" t="s">
        <v>789</v>
      </c>
      <c r="F59" s="6" t="s">
        <v>426</v>
      </c>
      <c r="G59" s="48" t="s">
        <v>802</v>
      </c>
      <c r="H59" s="48" t="s">
        <v>791</v>
      </c>
      <c r="I59" s="102">
        <f>I58*1.01</f>
        <v>1958.9384587705902</v>
      </c>
      <c r="J59" s="102">
        <f t="shared" ref="J59:O59" si="33">J58*1.01</f>
        <v>1958.9384587705902</v>
      </c>
      <c r="K59" s="102">
        <f t="shared" si="33"/>
        <v>1958.9384587705902</v>
      </c>
      <c r="L59" s="102">
        <f t="shared" si="33"/>
        <v>1958.9384587705902</v>
      </c>
      <c r="M59" s="102">
        <f t="shared" si="33"/>
        <v>1958.9384587705902</v>
      </c>
      <c r="N59" s="102">
        <f t="shared" si="33"/>
        <v>1958.9384587705902</v>
      </c>
      <c r="O59" s="102">
        <f t="shared" si="33"/>
        <v>1958.9384587705902</v>
      </c>
      <c r="P59" s="94">
        <v>0</v>
      </c>
      <c r="Q59" s="102">
        <f>Q54*1.01</f>
        <v>78.357538350823603</v>
      </c>
      <c r="R59" s="102">
        <f t="shared" ref="R59:W59" si="34">R54*1.01</f>
        <v>78.357538350823603</v>
      </c>
      <c r="S59" s="102">
        <f t="shared" si="34"/>
        <v>78.357538350823603</v>
      </c>
      <c r="T59" s="102">
        <f t="shared" si="34"/>
        <v>78.357538350823603</v>
      </c>
      <c r="U59" s="102">
        <f t="shared" si="34"/>
        <v>78.357538350823603</v>
      </c>
      <c r="V59" s="102">
        <f t="shared" si="34"/>
        <v>78.357538350823603</v>
      </c>
      <c r="W59" s="102">
        <f t="shared" si="34"/>
        <v>78.357538350823603</v>
      </c>
      <c r="X59" s="102">
        <v>0</v>
      </c>
      <c r="Y59" s="102">
        <v>0</v>
      </c>
      <c r="Z59" s="102">
        <v>0</v>
      </c>
      <c r="AA59" s="102">
        <v>0</v>
      </c>
      <c r="AB59" s="102">
        <v>0</v>
      </c>
      <c r="AC59" s="102">
        <v>0</v>
      </c>
      <c r="AD59" s="102">
        <v>0</v>
      </c>
      <c r="AE59" s="186">
        <v>0.08</v>
      </c>
      <c r="AF59" s="94">
        <v>0</v>
      </c>
      <c r="AG59" s="93">
        <v>25</v>
      </c>
      <c r="AH59" s="93">
        <v>25</v>
      </c>
      <c r="AI59" s="17">
        <v>1</v>
      </c>
      <c r="AJ59" s="384" t="s">
        <v>660</v>
      </c>
      <c r="AK59" s="17" t="s">
        <v>745</v>
      </c>
      <c r="AL59" s="17"/>
      <c r="AM59" s="61"/>
      <c r="AN59" s="61"/>
      <c r="AO59" s="61"/>
      <c r="AP59" s="61"/>
      <c r="AQ59" s="61"/>
      <c r="AR59" s="61"/>
      <c r="AS59" s="64"/>
      <c r="AT59" s="64"/>
      <c r="AU59" s="64"/>
      <c r="AV59" s="132"/>
      <c r="AW59" s="132"/>
      <c r="AX59" s="132"/>
      <c r="AY59" s="28" t="s">
        <v>662</v>
      </c>
      <c r="AZ59" s="28"/>
      <c r="BA59" s="354"/>
      <c r="BB59" s="28"/>
      <c r="BC59" s="28"/>
      <c r="BD59" s="28"/>
      <c r="BE59" s="28"/>
      <c r="BF59" s="28"/>
      <c r="BG59" s="28"/>
      <c r="BH59" s="106"/>
      <c r="BI59" s="106"/>
      <c r="BJ59" s="106"/>
      <c r="BK59" s="106"/>
      <c r="BL59" s="137"/>
      <c r="BM59" s="123"/>
      <c r="BN59" s="139">
        <v>0</v>
      </c>
      <c r="BO59" s="94"/>
      <c r="BP59" s="94"/>
      <c r="BQ59" s="94"/>
      <c r="BR59" s="94"/>
      <c r="BS59" s="94"/>
      <c r="BT59" s="94"/>
      <c r="BU59" s="28">
        <f t="shared" ref="BU59:BU60" si="35">IF(BL59=1,BN59,0)</f>
        <v>0</v>
      </c>
      <c r="BV59" s="28"/>
      <c r="BW59" s="28"/>
      <c r="BX59" s="28"/>
      <c r="BY59" s="28"/>
      <c r="BZ59" s="28"/>
      <c r="CA59" s="28"/>
      <c r="CB59" s="99">
        <v>0</v>
      </c>
      <c r="CC59" s="185">
        <v>0.1</v>
      </c>
      <c r="CD59" s="185">
        <v>2</v>
      </c>
      <c r="CE59" s="99">
        <v>4</v>
      </c>
      <c r="CF59" s="99">
        <v>4</v>
      </c>
      <c r="CG59" s="99">
        <v>4</v>
      </c>
      <c r="CH59" s="99">
        <v>4</v>
      </c>
      <c r="CI59" s="175"/>
      <c r="CJ59" s="175"/>
      <c r="CK59" s="175"/>
      <c r="CL59" s="175"/>
      <c r="CM59" s="175"/>
      <c r="CN59" s="175"/>
      <c r="CO59" s="175"/>
      <c r="CP59" s="176"/>
      <c r="CQ59" s="176"/>
      <c r="CR59" s="176"/>
      <c r="CS59" s="176"/>
      <c r="CT59" s="176"/>
      <c r="CU59" s="176"/>
      <c r="CV59" s="176"/>
      <c r="CW59" s="167"/>
      <c r="CX59" s="168"/>
      <c r="CY59" s="168"/>
      <c r="CZ59" s="168"/>
      <c r="DA59" s="168"/>
      <c r="DB59" s="168"/>
      <c r="DC59" s="168"/>
      <c r="DD59" s="172"/>
      <c r="DE59" s="172"/>
      <c r="DF59" s="172"/>
      <c r="DG59" s="172"/>
      <c r="DH59" s="172"/>
      <c r="DI59" s="172"/>
      <c r="DJ59" s="172"/>
      <c r="DK59" s="79" t="s">
        <v>792</v>
      </c>
      <c r="DL59" s="128">
        <f>VLOOKUP($F59,Activities!$A$9:$I$180,3,FALSE)/$AI59</f>
        <v>0</v>
      </c>
      <c r="DM59" s="128">
        <f>VLOOKUP($F59,Activities!$A$9:$I$180,4,FALSE)/$AI59</f>
        <v>0</v>
      </c>
      <c r="DN59" s="128">
        <f>VLOOKUP($F59,Activities!$A$9:$I$180,5,FALSE)/$AI59</f>
        <v>0</v>
      </c>
      <c r="DO59" s="128">
        <f>VLOOKUP($F59,Activities!$A$9:$I$180,6,FALSE)/$AI59</f>
        <v>0</v>
      </c>
      <c r="DP59" s="128">
        <f>VLOOKUP($F59,Activities!$A$9:$I$180,7,FALSE)/$AI59</f>
        <v>0</v>
      </c>
      <c r="DQ59" s="128">
        <f>VLOOKUP($F59,Activities!$A$9:$I$180,8,FALSE)/$AI59</f>
        <v>0</v>
      </c>
      <c r="DR59" s="128">
        <f>VLOOKUP($F59,Activities!$A$9:$I$180,9,FALSE)/$AI59</f>
        <v>0</v>
      </c>
      <c r="DS59" s="218"/>
      <c r="DT59" s="360"/>
      <c r="DU59" s="360"/>
      <c r="DV59" s="360"/>
      <c r="DW59" s="360"/>
      <c r="DX59" s="360"/>
      <c r="DY59" s="360"/>
      <c r="DZ59" s="360"/>
      <c r="EA59" s="360"/>
      <c r="EB59" s="360"/>
      <c r="EC59" s="360"/>
      <c r="ED59" s="360"/>
      <c r="EE59" s="360"/>
      <c r="EF59" s="360"/>
      <c r="EG59" s="360"/>
      <c r="EH59" s="360"/>
      <c r="EI59" s="360"/>
      <c r="EJ59" s="360"/>
      <c r="EK59" s="360"/>
      <c r="EL59" s="360"/>
      <c r="EM59" s="360"/>
      <c r="EN59" s="360"/>
      <c r="EO59" s="360"/>
      <c r="EP59" s="360"/>
      <c r="EQ59" s="360"/>
    </row>
    <row r="60" spans="1:147" x14ac:dyDescent="0.35">
      <c r="A60" s="5" t="s">
        <v>803</v>
      </c>
      <c r="B60" s="5" t="s">
        <v>740</v>
      </c>
      <c r="C60" s="5" t="s">
        <v>788</v>
      </c>
      <c r="D60" s="5" t="s">
        <v>741</v>
      </c>
      <c r="E60" s="5" t="s">
        <v>789</v>
      </c>
      <c r="F60" s="5" t="s">
        <v>426</v>
      </c>
      <c r="G60" s="47" t="s">
        <v>804</v>
      </c>
      <c r="H60" s="47" t="s">
        <v>791</v>
      </c>
      <c r="I60" s="101">
        <f>I59</f>
        <v>1958.9384587705902</v>
      </c>
      <c r="J60" s="101">
        <f t="shared" ref="J60:O60" si="36">J59</f>
        <v>1958.9384587705902</v>
      </c>
      <c r="K60" s="101">
        <f t="shared" si="36"/>
        <v>1958.9384587705902</v>
      </c>
      <c r="L60" s="101">
        <f t="shared" si="36"/>
        <v>1958.9384587705902</v>
      </c>
      <c r="M60" s="101">
        <f t="shared" si="36"/>
        <v>1958.9384587705902</v>
      </c>
      <c r="N60" s="101">
        <f t="shared" si="36"/>
        <v>1958.9384587705902</v>
      </c>
      <c r="O60" s="101">
        <f t="shared" si="36"/>
        <v>1958.9384587705902</v>
      </c>
      <c r="P60" s="94">
        <v>0</v>
      </c>
      <c r="Q60" s="101">
        <f>Q54</f>
        <v>77.581721139429305</v>
      </c>
      <c r="R60" s="101">
        <f t="shared" ref="R60:W60" si="37">R54</f>
        <v>77.581721139429305</v>
      </c>
      <c r="S60" s="101">
        <f t="shared" si="37"/>
        <v>77.581721139429305</v>
      </c>
      <c r="T60" s="101">
        <f t="shared" si="37"/>
        <v>77.581721139429305</v>
      </c>
      <c r="U60" s="101">
        <f t="shared" si="37"/>
        <v>77.581721139429305</v>
      </c>
      <c r="V60" s="101">
        <f t="shared" si="37"/>
        <v>77.581721139429305</v>
      </c>
      <c r="W60" s="101">
        <f t="shared" si="37"/>
        <v>77.581721139429305</v>
      </c>
      <c r="X60" s="101">
        <v>0</v>
      </c>
      <c r="Y60" s="101">
        <v>0</v>
      </c>
      <c r="Z60" s="101">
        <v>0</v>
      </c>
      <c r="AA60" s="101">
        <v>0</v>
      </c>
      <c r="AB60" s="101">
        <v>0</v>
      </c>
      <c r="AC60" s="101">
        <v>0</v>
      </c>
      <c r="AD60" s="101">
        <v>0</v>
      </c>
      <c r="AE60" s="186">
        <v>0.08</v>
      </c>
      <c r="AF60" s="93">
        <v>0</v>
      </c>
      <c r="AG60" s="93">
        <v>25</v>
      </c>
      <c r="AH60" s="93">
        <v>25</v>
      </c>
      <c r="AI60" s="16">
        <v>1</v>
      </c>
      <c r="AJ60" s="384" t="s">
        <v>660</v>
      </c>
      <c r="AK60" s="17" t="s">
        <v>745</v>
      </c>
      <c r="AL60" s="16"/>
      <c r="AM60" s="60"/>
      <c r="AN60" s="60"/>
      <c r="AO60" s="60"/>
      <c r="AP60" s="60"/>
      <c r="AQ60" s="60"/>
      <c r="AR60" s="60"/>
      <c r="AS60" s="63"/>
      <c r="AT60" s="63"/>
      <c r="AU60" s="63"/>
      <c r="AV60" s="131"/>
      <c r="AW60" s="131"/>
      <c r="AX60" s="131"/>
      <c r="AY60" s="27" t="s">
        <v>662</v>
      </c>
      <c r="AZ60" s="27"/>
      <c r="BA60" s="29"/>
      <c r="BB60" s="30"/>
      <c r="BC60" s="30"/>
      <c r="BD60" s="30"/>
      <c r="BE60" s="30"/>
      <c r="BF60" s="30"/>
      <c r="BG60" s="30"/>
      <c r="BH60" s="107"/>
      <c r="BI60" s="107"/>
      <c r="BJ60" s="107"/>
      <c r="BK60" s="107"/>
      <c r="BL60" s="136"/>
      <c r="BM60" s="122"/>
      <c r="BN60" s="138">
        <v>0</v>
      </c>
      <c r="BO60" s="93"/>
      <c r="BP60" s="93"/>
      <c r="BQ60" s="93"/>
      <c r="BR60" s="93"/>
      <c r="BS60" s="93"/>
      <c r="BT60" s="93"/>
      <c r="BU60" s="27">
        <f t="shared" si="35"/>
        <v>0</v>
      </c>
      <c r="BV60" s="27"/>
      <c r="BW60" s="27"/>
      <c r="BX60" s="27"/>
      <c r="BY60" s="27"/>
      <c r="BZ60" s="27"/>
      <c r="CA60" s="27"/>
      <c r="CB60" s="97"/>
      <c r="CC60" s="185">
        <v>0.1</v>
      </c>
      <c r="CD60" s="185">
        <v>2</v>
      </c>
      <c r="CE60" s="97">
        <v>4</v>
      </c>
      <c r="CF60" s="97">
        <v>4</v>
      </c>
      <c r="CG60" s="97">
        <v>4</v>
      </c>
      <c r="CH60" s="97">
        <v>4</v>
      </c>
      <c r="CI60" s="173"/>
      <c r="CJ60" s="173"/>
      <c r="CK60" s="173"/>
      <c r="CL60" s="173"/>
      <c r="CM60" s="173"/>
      <c r="CN60" s="173"/>
      <c r="CO60" s="173"/>
      <c r="CP60" s="174"/>
      <c r="CQ60" s="174"/>
      <c r="CR60" s="174"/>
      <c r="CS60" s="174"/>
      <c r="CT60" s="174"/>
      <c r="CU60" s="174"/>
      <c r="CV60" s="174"/>
      <c r="CW60" s="165"/>
      <c r="CX60" s="166"/>
      <c r="CY60" s="166"/>
      <c r="CZ60" s="166"/>
      <c r="DA60" s="166"/>
      <c r="DB60" s="166"/>
      <c r="DC60" s="166"/>
      <c r="DD60" s="171"/>
      <c r="DE60" s="171"/>
      <c r="DF60" s="171"/>
      <c r="DG60" s="171"/>
      <c r="DH60" s="171"/>
      <c r="DI60" s="171"/>
      <c r="DJ60" s="171"/>
      <c r="DK60" s="79" t="s">
        <v>792</v>
      </c>
      <c r="DL60" s="128">
        <f>VLOOKUP($F60,Activities!$A$9:$I$180,3,FALSE)/$AI60</f>
        <v>0</v>
      </c>
      <c r="DM60" s="128">
        <f>VLOOKUP($F60,Activities!$A$9:$I$180,4,FALSE)/$AI60</f>
        <v>0</v>
      </c>
      <c r="DN60" s="128">
        <f>VLOOKUP($F60,Activities!$A$9:$I$180,5,FALSE)/$AI60</f>
        <v>0</v>
      </c>
      <c r="DO60" s="128">
        <f>VLOOKUP($F60,Activities!$A$9:$I$180,6,FALSE)/$AI60</f>
        <v>0</v>
      </c>
      <c r="DP60" s="128">
        <f>VLOOKUP($F60,Activities!$A$9:$I$180,7,FALSE)/$AI60</f>
        <v>0</v>
      </c>
      <c r="DQ60" s="128">
        <f>VLOOKUP($F60,Activities!$A$9:$I$180,8,FALSE)/$AI60</f>
        <v>0</v>
      </c>
      <c r="DR60" s="128">
        <f>VLOOKUP($F60,Activities!$A$9:$I$180,9,FALSE)/$AI60</f>
        <v>0</v>
      </c>
      <c r="DS60" s="218"/>
      <c r="DT60" s="360"/>
      <c r="DU60" s="360"/>
      <c r="DV60" s="360"/>
      <c r="DW60" s="360"/>
      <c r="DX60" s="360"/>
      <c r="DY60" s="360"/>
      <c r="DZ60" s="360"/>
      <c r="EA60" s="360"/>
      <c r="EB60" s="360"/>
      <c r="EC60" s="360"/>
      <c r="ED60" s="360"/>
      <c r="EE60" s="360"/>
      <c r="EF60" s="360"/>
      <c r="EG60" s="360"/>
      <c r="EH60" s="360"/>
      <c r="EI60" s="360"/>
      <c r="EJ60" s="360"/>
      <c r="EK60" s="360"/>
      <c r="EL60" s="360"/>
      <c r="EM60" s="360"/>
      <c r="EN60" s="360"/>
      <c r="EO60" s="360"/>
      <c r="EP60" s="360"/>
      <c r="EQ60" s="360"/>
    </row>
    <row r="61" spans="1:147" x14ac:dyDescent="0.35">
      <c r="A61" s="6" t="s">
        <v>805</v>
      </c>
      <c r="B61" s="6" t="s">
        <v>740</v>
      </c>
      <c r="C61" s="6" t="s">
        <v>788</v>
      </c>
      <c r="D61" s="6" t="s">
        <v>741</v>
      </c>
      <c r="E61" s="6" t="s">
        <v>789</v>
      </c>
      <c r="F61" s="6" t="s">
        <v>426</v>
      </c>
      <c r="G61" s="48" t="s">
        <v>806</v>
      </c>
      <c r="H61" s="48" t="s">
        <v>791</v>
      </c>
      <c r="I61" s="102">
        <f>I54</f>
        <v>1939.5430284857327</v>
      </c>
      <c r="J61" s="102">
        <f t="shared" ref="J61:O61" si="38">J54</f>
        <v>1939.5430284857327</v>
      </c>
      <c r="K61" s="102">
        <f t="shared" si="38"/>
        <v>1939.5430284857327</v>
      </c>
      <c r="L61" s="102">
        <f t="shared" si="38"/>
        <v>1939.5430284857327</v>
      </c>
      <c r="M61" s="102">
        <f t="shared" si="38"/>
        <v>1939.5430284857327</v>
      </c>
      <c r="N61" s="102">
        <f t="shared" si="38"/>
        <v>1939.5430284857327</v>
      </c>
      <c r="O61" s="102">
        <f t="shared" si="38"/>
        <v>1939.5430284857327</v>
      </c>
      <c r="P61" s="94">
        <v>0</v>
      </c>
      <c r="Q61" s="102">
        <f>Q54</f>
        <v>77.581721139429305</v>
      </c>
      <c r="R61" s="102">
        <f t="shared" ref="R61:W61" si="39">R54</f>
        <v>77.581721139429305</v>
      </c>
      <c r="S61" s="102">
        <f t="shared" si="39"/>
        <v>77.581721139429305</v>
      </c>
      <c r="T61" s="102">
        <f t="shared" si="39"/>
        <v>77.581721139429305</v>
      </c>
      <c r="U61" s="102">
        <f t="shared" si="39"/>
        <v>77.581721139429305</v>
      </c>
      <c r="V61" s="102">
        <f t="shared" si="39"/>
        <v>77.581721139429305</v>
      </c>
      <c r="W61" s="102">
        <f t="shared" si="39"/>
        <v>77.581721139429305</v>
      </c>
      <c r="X61" s="102">
        <v>0</v>
      </c>
      <c r="Y61" s="102">
        <v>0</v>
      </c>
      <c r="Z61" s="102">
        <v>0</v>
      </c>
      <c r="AA61" s="102">
        <v>0</v>
      </c>
      <c r="AB61" s="102">
        <v>0</v>
      </c>
      <c r="AC61" s="102">
        <v>0</v>
      </c>
      <c r="AD61" s="102">
        <v>0</v>
      </c>
      <c r="AE61" s="186">
        <v>0.08</v>
      </c>
      <c r="AF61" s="94">
        <v>0</v>
      </c>
      <c r="AG61" s="93">
        <v>25</v>
      </c>
      <c r="AH61" s="93">
        <v>25</v>
      </c>
      <c r="AI61" s="17">
        <v>1</v>
      </c>
      <c r="AJ61" s="17" t="s">
        <v>660</v>
      </c>
      <c r="AK61" s="17" t="s">
        <v>745</v>
      </c>
      <c r="AL61" s="17"/>
      <c r="AM61" s="61"/>
      <c r="AN61" s="61"/>
      <c r="AO61" s="61"/>
      <c r="AP61" s="61"/>
      <c r="AQ61" s="61"/>
      <c r="AR61" s="61"/>
      <c r="AS61" s="64"/>
      <c r="AT61" s="64"/>
      <c r="AU61" s="64"/>
      <c r="AV61" s="132"/>
      <c r="AW61" s="132"/>
      <c r="AX61" s="132"/>
      <c r="AY61" s="28" t="s">
        <v>662</v>
      </c>
      <c r="AZ61" s="28"/>
      <c r="BA61" s="354"/>
      <c r="BB61" s="28"/>
      <c r="BC61" s="28"/>
      <c r="BD61" s="28"/>
      <c r="BE61" s="28"/>
      <c r="BF61" s="28"/>
      <c r="BG61" s="28"/>
      <c r="BH61" s="106"/>
      <c r="BI61" s="106"/>
      <c r="BJ61" s="106"/>
      <c r="BK61" s="106"/>
      <c r="BL61" s="137"/>
      <c r="BM61" s="123"/>
      <c r="BN61" s="139">
        <v>0</v>
      </c>
      <c r="BO61" s="94"/>
      <c r="BP61" s="94"/>
      <c r="BQ61" s="94"/>
      <c r="BR61" s="94"/>
      <c r="BS61" s="94"/>
      <c r="BT61" s="94"/>
      <c r="BU61" s="28">
        <v>0</v>
      </c>
      <c r="BV61" s="28"/>
      <c r="BW61" s="28"/>
      <c r="BX61" s="28"/>
      <c r="BY61" s="28"/>
      <c r="BZ61" s="28"/>
      <c r="CA61" s="28"/>
      <c r="CB61" s="99">
        <v>0</v>
      </c>
      <c r="CC61" s="185">
        <v>0.1</v>
      </c>
      <c r="CD61" s="185">
        <v>2</v>
      </c>
      <c r="CE61" s="97">
        <v>4</v>
      </c>
      <c r="CF61" s="97">
        <v>4</v>
      </c>
      <c r="CG61" s="97">
        <v>4</v>
      </c>
      <c r="CH61" s="97">
        <v>4</v>
      </c>
      <c r="CI61" s="175"/>
      <c r="CJ61" s="175"/>
      <c r="CK61" s="175"/>
      <c r="CL61" s="175"/>
      <c r="CM61" s="175"/>
      <c r="CN61" s="175"/>
      <c r="CO61" s="175"/>
      <c r="CP61" s="176"/>
      <c r="CQ61" s="176"/>
      <c r="CR61" s="176"/>
      <c r="CS61" s="176"/>
      <c r="CT61" s="176"/>
      <c r="CU61" s="176"/>
      <c r="CV61" s="176"/>
      <c r="CW61" s="167"/>
      <c r="CX61" s="168"/>
      <c r="CY61" s="168"/>
      <c r="CZ61" s="168"/>
      <c r="DA61" s="168"/>
      <c r="DB61" s="168"/>
      <c r="DC61" s="168"/>
      <c r="DD61" s="172"/>
      <c r="DE61" s="172"/>
      <c r="DF61" s="172"/>
      <c r="DG61" s="172"/>
      <c r="DH61" s="172"/>
      <c r="DI61" s="172"/>
      <c r="DJ61" s="172"/>
      <c r="DK61" s="79" t="s">
        <v>792</v>
      </c>
      <c r="DL61" s="128">
        <f>VLOOKUP($F61,Activities!$A$9:$I$180,3,FALSE)/$AI61</f>
        <v>0</v>
      </c>
      <c r="DM61" s="128">
        <f>VLOOKUP($F61,Activities!$A$9:$I$180,4,FALSE)/$AI61</f>
        <v>0</v>
      </c>
      <c r="DN61" s="128">
        <f>VLOOKUP($F61,Activities!$A$9:$I$180,5,FALSE)/$AI61</f>
        <v>0</v>
      </c>
      <c r="DO61" s="128">
        <f>VLOOKUP($F61,Activities!$A$9:$I$180,6,FALSE)/$AI61</f>
        <v>0</v>
      </c>
      <c r="DP61" s="128">
        <f>VLOOKUP($F61,Activities!$A$9:$I$180,7,FALSE)/$AI61</f>
        <v>0</v>
      </c>
      <c r="DQ61" s="128">
        <f>VLOOKUP($F61,Activities!$A$9:$I$180,8,FALSE)/$AI61</f>
        <v>0</v>
      </c>
      <c r="DR61" s="128">
        <f>VLOOKUP($F61,Activities!$A$9:$I$180,9,FALSE)/$AI61</f>
        <v>0</v>
      </c>
      <c r="DS61" s="218"/>
      <c r="DT61" s="360"/>
      <c r="DU61" s="360"/>
      <c r="DV61" s="360"/>
      <c r="DW61" s="360"/>
      <c r="DX61" s="360"/>
      <c r="DY61" s="360"/>
      <c r="DZ61" s="360"/>
      <c r="EA61" s="360"/>
      <c r="EB61" s="360"/>
      <c r="EC61" s="360"/>
      <c r="ED61" s="360"/>
      <c r="EE61" s="360"/>
      <c r="EF61" s="360"/>
      <c r="EG61" s="360"/>
      <c r="EH61" s="360"/>
      <c r="EI61" s="360"/>
      <c r="EJ61" s="360"/>
      <c r="EK61" s="360"/>
      <c r="EL61" s="360"/>
      <c r="EM61" s="360"/>
      <c r="EN61" s="360"/>
      <c r="EO61" s="360"/>
      <c r="EP61" s="360"/>
      <c r="EQ61" s="360"/>
    </row>
    <row r="62" spans="1:147" x14ac:dyDescent="0.35">
      <c r="A62" s="5" t="s">
        <v>807</v>
      </c>
      <c r="B62" s="5" t="s">
        <v>740</v>
      </c>
      <c r="C62" s="5" t="s">
        <v>788</v>
      </c>
      <c r="D62" s="5" t="s">
        <v>741</v>
      </c>
      <c r="E62" s="5" t="s">
        <v>789</v>
      </c>
      <c r="F62" s="5" t="s">
        <v>426</v>
      </c>
      <c r="G62" s="47" t="s">
        <v>808</v>
      </c>
      <c r="H62" s="47" t="s">
        <v>791</v>
      </c>
      <c r="I62" s="101">
        <f>I61</f>
        <v>1939.5430284857327</v>
      </c>
      <c r="J62" s="101">
        <f t="shared" ref="J62:O63" si="40">J61</f>
        <v>1939.5430284857327</v>
      </c>
      <c r="K62" s="101">
        <f t="shared" si="40"/>
        <v>1939.5430284857327</v>
      </c>
      <c r="L62" s="101">
        <f t="shared" si="40"/>
        <v>1939.5430284857327</v>
      </c>
      <c r="M62" s="101">
        <f t="shared" si="40"/>
        <v>1939.5430284857327</v>
      </c>
      <c r="N62" s="101">
        <f t="shared" si="40"/>
        <v>1939.5430284857327</v>
      </c>
      <c r="O62" s="101">
        <f t="shared" si="40"/>
        <v>1939.5430284857327</v>
      </c>
      <c r="P62" s="94">
        <v>0</v>
      </c>
      <c r="Q62" s="101">
        <f>Q54</f>
        <v>77.581721139429305</v>
      </c>
      <c r="R62" s="101">
        <f t="shared" ref="R62:W62" si="41">R54</f>
        <v>77.581721139429305</v>
      </c>
      <c r="S62" s="101">
        <f t="shared" si="41"/>
        <v>77.581721139429305</v>
      </c>
      <c r="T62" s="101">
        <f t="shared" si="41"/>
        <v>77.581721139429305</v>
      </c>
      <c r="U62" s="101">
        <f t="shared" si="41"/>
        <v>77.581721139429305</v>
      </c>
      <c r="V62" s="101">
        <f t="shared" si="41"/>
        <v>77.581721139429305</v>
      </c>
      <c r="W62" s="101">
        <f t="shared" si="41"/>
        <v>77.581721139429305</v>
      </c>
      <c r="X62" s="101">
        <v>0</v>
      </c>
      <c r="Y62" s="101">
        <v>0</v>
      </c>
      <c r="Z62" s="101">
        <v>0</v>
      </c>
      <c r="AA62" s="101">
        <v>0</v>
      </c>
      <c r="AB62" s="101">
        <v>0</v>
      </c>
      <c r="AC62" s="101">
        <v>0</v>
      </c>
      <c r="AD62" s="101">
        <v>0</v>
      </c>
      <c r="AE62" s="186">
        <v>0.08</v>
      </c>
      <c r="AF62" s="93">
        <v>0</v>
      </c>
      <c r="AG62" s="93">
        <v>25</v>
      </c>
      <c r="AH62" s="93">
        <v>25</v>
      </c>
      <c r="AI62" s="16">
        <v>1</v>
      </c>
      <c r="AJ62" s="16" t="s">
        <v>660</v>
      </c>
      <c r="AK62" s="16" t="s">
        <v>745</v>
      </c>
      <c r="AL62" s="16"/>
      <c r="AM62" s="60"/>
      <c r="AN62" s="60"/>
      <c r="AO62" s="60"/>
      <c r="AP62" s="60"/>
      <c r="AQ62" s="60"/>
      <c r="AR62" s="60"/>
      <c r="AS62" s="63"/>
      <c r="AT62" s="63"/>
      <c r="AU62" s="63"/>
      <c r="AV62" s="131"/>
      <c r="AW62" s="131"/>
      <c r="AX62" s="131"/>
      <c r="AY62" s="27" t="s">
        <v>662</v>
      </c>
      <c r="AZ62" s="27"/>
      <c r="BA62" s="29"/>
      <c r="BB62" s="30"/>
      <c r="BC62" s="30"/>
      <c r="BD62" s="30"/>
      <c r="BE62" s="30"/>
      <c r="BF62" s="30"/>
      <c r="BG62" s="30"/>
      <c r="BH62" s="107"/>
      <c r="BI62" s="107"/>
      <c r="BJ62" s="107"/>
      <c r="BK62" s="107"/>
      <c r="BL62" s="136"/>
      <c r="BM62" s="122"/>
      <c r="BN62" s="138">
        <v>0</v>
      </c>
      <c r="BO62" s="93"/>
      <c r="BP62" s="93"/>
      <c r="BQ62" s="93"/>
      <c r="BR62" s="93"/>
      <c r="BS62" s="93"/>
      <c r="BT62" s="93"/>
      <c r="BU62" s="27">
        <f t="shared" ref="BU62:BU63" si="42">IF(BL62=1,BN62,0)</f>
        <v>0</v>
      </c>
      <c r="BV62" s="27"/>
      <c r="BW62" s="27"/>
      <c r="BX62" s="27"/>
      <c r="BY62" s="27"/>
      <c r="BZ62" s="27"/>
      <c r="CA62" s="27"/>
      <c r="CB62" s="97"/>
      <c r="CC62" s="185">
        <v>0.1</v>
      </c>
      <c r="CD62" s="185">
        <v>2</v>
      </c>
      <c r="CE62" s="97">
        <v>4</v>
      </c>
      <c r="CF62" s="97">
        <v>4</v>
      </c>
      <c r="CG62" s="97">
        <v>4</v>
      </c>
      <c r="CH62" s="97">
        <v>4</v>
      </c>
      <c r="CI62" s="173"/>
      <c r="CJ62" s="173"/>
      <c r="CK62" s="173"/>
      <c r="CL62" s="173"/>
      <c r="CM62" s="173"/>
      <c r="CN62" s="173"/>
      <c r="CO62" s="173"/>
      <c r="CP62" s="174"/>
      <c r="CQ62" s="174"/>
      <c r="CR62" s="174"/>
      <c r="CS62" s="174"/>
      <c r="CT62" s="174"/>
      <c r="CU62" s="174"/>
      <c r="CV62" s="174"/>
      <c r="CW62" s="165"/>
      <c r="CX62" s="166"/>
      <c r="CY62" s="166"/>
      <c r="CZ62" s="166"/>
      <c r="DA62" s="166"/>
      <c r="DB62" s="166"/>
      <c r="DC62" s="166"/>
      <c r="DD62" s="171"/>
      <c r="DE62" s="171"/>
      <c r="DF62" s="171"/>
      <c r="DG62" s="171"/>
      <c r="DH62" s="171"/>
      <c r="DI62" s="171"/>
      <c r="DJ62" s="171"/>
      <c r="DK62" s="79" t="s">
        <v>792</v>
      </c>
      <c r="DL62" s="128">
        <f>VLOOKUP($F62,Activities!$A$9:$I$180,3,FALSE)/$AI62</f>
        <v>0</v>
      </c>
      <c r="DM62" s="128">
        <f>VLOOKUP($F62,Activities!$A$9:$I$180,4,FALSE)/$AI62</f>
        <v>0</v>
      </c>
      <c r="DN62" s="128">
        <f>VLOOKUP($F62,Activities!$A$9:$I$180,5,FALSE)/$AI62</f>
        <v>0</v>
      </c>
      <c r="DO62" s="128">
        <f>VLOOKUP($F62,Activities!$A$9:$I$180,6,FALSE)/$AI62</f>
        <v>0</v>
      </c>
      <c r="DP62" s="128">
        <f>VLOOKUP($F62,Activities!$A$9:$I$180,7,FALSE)/$AI62</f>
        <v>0</v>
      </c>
      <c r="DQ62" s="128">
        <f>VLOOKUP($F62,Activities!$A$9:$I$180,8,FALSE)/$AI62</f>
        <v>0</v>
      </c>
      <c r="DR62" s="128">
        <f>VLOOKUP($F62,Activities!$A$9:$I$180,9,FALSE)/$AI62</f>
        <v>0</v>
      </c>
      <c r="DS62" s="218"/>
      <c r="DT62" s="360"/>
      <c r="DU62" s="360"/>
      <c r="DV62" s="360"/>
      <c r="DW62" s="360"/>
      <c r="DX62" s="360"/>
      <c r="DY62" s="360"/>
      <c r="DZ62" s="360"/>
      <c r="EA62" s="360"/>
      <c r="EB62" s="360"/>
      <c r="EC62" s="360"/>
      <c r="ED62" s="360"/>
      <c r="EE62" s="360"/>
      <c r="EF62" s="360"/>
      <c r="EG62" s="360"/>
      <c r="EH62" s="360"/>
      <c r="EI62" s="360"/>
      <c r="EJ62" s="360"/>
      <c r="EK62" s="360"/>
      <c r="EL62" s="360"/>
      <c r="EM62" s="360"/>
      <c r="EN62" s="360"/>
      <c r="EO62" s="360"/>
      <c r="EP62" s="360"/>
      <c r="EQ62" s="360"/>
    </row>
    <row r="63" spans="1:147" x14ac:dyDescent="0.35">
      <c r="A63" s="6" t="s">
        <v>809</v>
      </c>
      <c r="B63" s="6" t="s">
        <v>740</v>
      </c>
      <c r="C63" s="6" t="s">
        <v>788</v>
      </c>
      <c r="D63" s="6" t="s">
        <v>741</v>
      </c>
      <c r="E63" s="6" t="s">
        <v>789</v>
      </c>
      <c r="F63" s="6" t="s">
        <v>426</v>
      </c>
      <c r="G63" s="48" t="s">
        <v>810</v>
      </c>
      <c r="H63" s="48" t="s">
        <v>791</v>
      </c>
      <c r="I63" s="101">
        <f>I62</f>
        <v>1939.5430284857327</v>
      </c>
      <c r="J63" s="101">
        <f t="shared" si="40"/>
        <v>1939.5430284857327</v>
      </c>
      <c r="K63" s="101">
        <f t="shared" si="40"/>
        <v>1939.5430284857327</v>
      </c>
      <c r="L63" s="101">
        <f t="shared" si="40"/>
        <v>1939.5430284857327</v>
      </c>
      <c r="M63" s="101">
        <f t="shared" si="40"/>
        <v>1939.5430284857327</v>
      </c>
      <c r="N63" s="101">
        <f t="shared" si="40"/>
        <v>1939.5430284857327</v>
      </c>
      <c r="O63" s="101">
        <f t="shared" si="40"/>
        <v>1939.5430284857327</v>
      </c>
      <c r="P63" s="94">
        <v>0</v>
      </c>
      <c r="Q63" s="102">
        <f>Q54</f>
        <v>77.581721139429305</v>
      </c>
      <c r="R63" s="102">
        <f t="shared" ref="R63:W63" si="43">R54</f>
        <v>77.581721139429305</v>
      </c>
      <c r="S63" s="102">
        <f t="shared" si="43"/>
        <v>77.581721139429305</v>
      </c>
      <c r="T63" s="102">
        <f t="shared" si="43"/>
        <v>77.581721139429305</v>
      </c>
      <c r="U63" s="102">
        <f t="shared" si="43"/>
        <v>77.581721139429305</v>
      </c>
      <c r="V63" s="102">
        <f t="shared" si="43"/>
        <v>77.581721139429305</v>
      </c>
      <c r="W63" s="102">
        <f t="shared" si="43"/>
        <v>77.581721139429305</v>
      </c>
      <c r="X63" s="102">
        <v>0</v>
      </c>
      <c r="Y63" s="102">
        <v>0</v>
      </c>
      <c r="Z63" s="102">
        <v>0</v>
      </c>
      <c r="AA63" s="102">
        <v>0</v>
      </c>
      <c r="AB63" s="102">
        <v>0</v>
      </c>
      <c r="AC63" s="102">
        <v>0</v>
      </c>
      <c r="AD63" s="102">
        <v>0</v>
      </c>
      <c r="AE63" s="186">
        <v>0.08</v>
      </c>
      <c r="AF63" s="94">
        <v>0</v>
      </c>
      <c r="AG63" s="93">
        <v>25</v>
      </c>
      <c r="AH63" s="93">
        <v>25</v>
      </c>
      <c r="AI63" s="17">
        <v>1</v>
      </c>
      <c r="AJ63" s="17" t="s">
        <v>660</v>
      </c>
      <c r="AK63" s="17" t="s">
        <v>745</v>
      </c>
      <c r="AL63" s="17"/>
      <c r="AM63" s="61"/>
      <c r="AN63" s="61"/>
      <c r="AO63" s="61"/>
      <c r="AP63" s="61"/>
      <c r="AQ63" s="61"/>
      <c r="AR63" s="61"/>
      <c r="AS63" s="64"/>
      <c r="AT63" s="64"/>
      <c r="AU63" s="64"/>
      <c r="AV63" s="132"/>
      <c r="AW63" s="132"/>
      <c r="AX63" s="132"/>
      <c r="AY63" s="28" t="s">
        <v>662</v>
      </c>
      <c r="AZ63" s="28"/>
      <c r="BA63" s="354"/>
      <c r="BB63" s="28"/>
      <c r="BC63" s="28"/>
      <c r="BD63" s="28"/>
      <c r="BE63" s="28"/>
      <c r="BF63" s="28"/>
      <c r="BG63" s="28"/>
      <c r="BH63" s="106"/>
      <c r="BI63" s="106"/>
      <c r="BJ63" s="106"/>
      <c r="BK63" s="106"/>
      <c r="BL63" s="137"/>
      <c r="BM63" s="123"/>
      <c r="BN63" s="139">
        <v>0</v>
      </c>
      <c r="BO63" s="94"/>
      <c r="BP63" s="94"/>
      <c r="BQ63" s="94"/>
      <c r="BR63" s="94"/>
      <c r="BS63" s="94"/>
      <c r="BT63" s="94"/>
      <c r="BU63" s="28">
        <f t="shared" si="42"/>
        <v>0</v>
      </c>
      <c r="BV63" s="28"/>
      <c r="BW63" s="28"/>
      <c r="BX63" s="28"/>
      <c r="BY63" s="28"/>
      <c r="BZ63" s="28"/>
      <c r="CA63" s="28"/>
      <c r="CB63" s="99"/>
      <c r="CC63" s="185">
        <v>0.1</v>
      </c>
      <c r="CD63" s="185">
        <v>2</v>
      </c>
      <c r="CE63" s="97">
        <v>4</v>
      </c>
      <c r="CF63" s="97">
        <v>4</v>
      </c>
      <c r="CG63" s="97">
        <v>4</v>
      </c>
      <c r="CH63" s="97">
        <v>4</v>
      </c>
      <c r="CI63" s="175"/>
      <c r="CJ63" s="175"/>
      <c r="CK63" s="175"/>
      <c r="CL63" s="175"/>
      <c r="CM63" s="175"/>
      <c r="CN63" s="175"/>
      <c r="CO63" s="175"/>
      <c r="CP63" s="176"/>
      <c r="CQ63" s="176"/>
      <c r="CR63" s="176"/>
      <c r="CS63" s="176"/>
      <c r="CT63" s="176"/>
      <c r="CU63" s="176"/>
      <c r="CV63" s="176"/>
      <c r="CW63" s="167"/>
      <c r="CX63" s="168"/>
      <c r="CY63" s="168"/>
      <c r="CZ63" s="168"/>
      <c r="DA63" s="168"/>
      <c r="DB63" s="168"/>
      <c r="DC63" s="168"/>
      <c r="DD63" s="172"/>
      <c r="DE63" s="172"/>
      <c r="DF63" s="172"/>
      <c r="DG63" s="172"/>
      <c r="DH63" s="172"/>
      <c r="DI63" s="172"/>
      <c r="DJ63" s="172"/>
      <c r="DK63" s="79" t="s">
        <v>792</v>
      </c>
      <c r="DL63" s="128">
        <f>VLOOKUP($F63,Activities!$A$9:$I$180,3,FALSE)/$AI63</f>
        <v>0</v>
      </c>
      <c r="DM63" s="128">
        <f>VLOOKUP($F63,Activities!$A$9:$I$180,4,FALSE)/$AI63</f>
        <v>0</v>
      </c>
      <c r="DN63" s="128">
        <f>VLOOKUP($F63,Activities!$A$9:$I$180,5,FALSE)/$AI63</f>
        <v>0</v>
      </c>
      <c r="DO63" s="128">
        <f>VLOOKUP($F63,Activities!$A$9:$I$180,6,FALSE)/$AI63</f>
        <v>0</v>
      </c>
      <c r="DP63" s="128">
        <f>VLOOKUP($F63,Activities!$A$9:$I$180,7,FALSE)/$AI63</f>
        <v>0</v>
      </c>
      <c r="DQ63" s="128">
        <f>VLOOKUP($F63,Activities!$A$9:$I$180,8,FALSE)/$AI63</f>
        <v>0</v>
      </c>
      <c r="DR63" s="128">
        <f>VLOOKUP($F63,Activities!$A$9:$I$180,9,FALSE)/$AI63</f>
        <v>0</v>
      </c>
      <c r="DS63" s="218"/>
      <c r="DT63" s="360"/>
      <c r="DU63" s="360"/>
      <c r="DV63" s="360"/>
      <c r="DW63" s="360"/>
      <c r="DX63" s="360"/>
      <c r="DY63" s="360"/>
      <c r="DZ63" s="360"/>
      <c r="EA63" s="360"/>
      <c r="EB63" s="360"/>
      <c r="EC63" s="360"/>
      <c r="ED63" s="360"/>
      <c r="EE63" s="360"/>
      <c r="EF63" s="360"/>
      <c r="EG63" s="360"/>
      <c r="EH63" s="360"/>
      <c r="EI63" s="360"/>
      <c r="EJ63" s="360"/>
      <c r="EK63" s="360"/>
      <c r="EL63" s="360"/>
      <c r="EM63" s="360"/>
      <c r="EN63" s="360"/>
      <c r="EO63" s="360"/>
      <c r="EP63" s="360"/>
      <c r="EQ63" s="360"/>
    </row>
    <row r="64" spans="1:147" x14ac:dyDescent="0.35">
      <c r="A64" s="5" t="s">
        <v>811</v>
      </c>
      <c r="B64" s="5" t="s">
        <v>740</v>
      </c>
      <c r="C64" s="5" t="s">
        <v>788</v>
      </c>
      <c r="D64" s="5" t="s">
        <v>741</v>
      </c>
      <c r="E64" s="5" t="s">
        <v>789</v>
      </c>
      <c r="F64" s="5" t="s">
        <v>426</v>
      </c>
      <c r="G64" s="47" t="s">
        <v>812</v>
      </c>
      <c r="H64" s="47" t="s">
        <v>791</v>
      </c>
      <c r="I64" s="101">
        <v>188.69347682801771</v>
      </c>
      <c r="J64" s="101">
        <v>188.69347682801771</v>
      </c>
      <c r="K64" s="101">
        <v>188.69347682801771</v>
      </c>
      <c r="L64" s="101">
        <v>188.69347682801771</v>
      </c>
      <c r="M64" s="101">
        <v>188.69347682801771</v>
      </c>
      <c r="N64" s="101">
        <v>188.69347682801771</v>
      </c>
      <c r="O64" s="101">
        <v>188.69347682801771</v>
      </c>
      <c r="P64" s="94">
        <v>0</v>
      </c>
      <c r="Q64" s="101">
        <v>7.5477390731207086</v>
      </c>
      <c r="R64" s="101">
        <v>7.5477390731207086</v>
      </c>
      <c r="S64" s="101">
        <v>7.5477390731207086</v>
      </c>
      <c r="T64" s="101">
        <v>7.5477390731207086</v>
      </c>
      <c r="U64" s="101">
        <v>7.5477390731207086</v>
      </c>
      <c r="V64" s="101">
        <v>7.5477390731207086</v>
      </c>
      <c r="W64" s="101">
        <v>7.5477390731207086</v>
      </c>
      <c r="X64" s="101">
        <v>0</v>
      </c>
      <c r="Y64" s="101">
        <v>0</v>
      </c>
      <c r="Z64" s="101">
        <v>0</v>
      </c>
      <c r="AA64" s="101">
        <v>0</v>
      </c>
      <c r="AB64" s="101">
        <v>0</v>
      </c>
      <c r="AC64" s="101">
        <v>0</v>
      </c>
      <c r="AD64" s="101">
        <v>0</v>
      </c>
      <c r="AE64" s="186">
        <v>0.08</v>
      </c>
      <c r="AF64" s="93">
        <v>0</v>
      </c>
      <c r="AG64" s="93">
        <v>25</v>
      </c>
      <c r="AH64" s="93">
        <v>25</v>
      </c>
      <c r="AI64" s="16">
        <v>1</v>
      </c>
      <c r="AJ64" s="16" t="s">
        <v>660</v>
      </c>
      <c r="AK64" s="16" t="s">
        <v>745</v>
      </c>
      <c r="AL64" s="16"/>
      <c r="AM64" s="60"/>
      <c r="AN64" s="60"/>
      <c r="AO64" s="60"/>
      <c r="AP64" s="60"/>
      <c r="AQ64" s="60"/>
      <c r="AR64" s="60"/>
      <c r="AS64" s="63"/>
      <c r="AT64" s="63"/>
      <c r="AU64" s="63"/>
      <c r="AV64" s="131"/>
      <c r="AW64" s="131"/>
      <c r="AX64" s="131"/>
      <c r="AY64" s="27" t="s">
        <v>662</v>
      </c>
      <c r="AZ64" s="27"/>
      <c r="BA64" s="29"/>
      <c r="BB64" s="30"/>
      <c r="BC64" s="30"/>
      <c r="BD64" s="30"/>
      <c r="BE64" s="30"/>
      <c r="BF64" s="30"/>
      <c r="BG64" s="30"/>
      <c r="BH64" s="107"/>
      <c r="BI64" s="107"/>
      <c r="BJ64" s="107"/>
      <c r="BK64" s="107"/>
      <c r="BL64" s="136"/>
      <c r="BM64" s="122"/>
      <c r="BN64" s="138">
        <v>0</v>
      </c>
      <c r="BO64" s="93"/>
      <c r="BP64" s="93"/>
      <c r="BQ64" s="93"/>
      <c r="BR64" s="93"/>
      <c r="BS64" s="93"/>
      <c r="BT64" s="93"/>
      <c r="BU64" s="27">
        <f t="shared" si="1"/>
        <v>0</v>
      </c>
      <c r="BV64" s="27"/>
      <c r="BW64" s="27"/>
      <c r="BX64" s="27"/>
      <c r="BY64" s="27"/>
      <c r="BZ64" s="27"/>
      <c r="CA64" s="27"/>
      <c r="CB64" s="97"/>
      <c r="CC64" s="185">
        <v>4</v>
      </c>
      <c r="CD64" s="185">
        <v>4</v>
      </c>
      <c r="CE64" s="97">
        <v>4</v>
      </c>
      <c r="CF64" s="97">
        <v>4</v>
      </c>
      <c r="CG64" s="97">
        <v>4</v>
      </c>
      <c r="CH64" s="97">
        <v>4</v>
      </c>
      <c r="CI64" s="173"/>
      <c r="CJ64" s="173"/>
      <c r="CK64" s="173"/>
      <c r="CL64" s="173"/>
      <c r="CM64" s="173"/>
      <c r="CN64" s="173"/>
      <c r="CO64" s="173"/>
      <c r="CP64" s="174"/>
      <c r="CQ64" s="174"/>
      <c r="CR64" s="174"/>
      <c r="CS64" s="174"/>
      <c r="CT64" s="174"/>
      <c r="CU64" s="174"/>
      <c r="CV64" s="174"/>
      <c r="CW64" s="165"/>
      <c r="CX64" s="166"/>
      <c r="CY64" s="166"/>
      <c r="CZ64" s="166"/>
      <c r="DA64" s="166"/>
      <c r="DB64" s="166"/>
      <c r="DC64" s="166"/>
      <c r="DD64" s="171"/>
      <c r="DE64" s="171"/>
      <c r="DF64" s="171"/>
      <c r="DG64" s="171"/>
      <c r="DH64" s="171"/>
      <c r="DI64" s="171"/>
      <c r="DJ64" s="171"/>
      <c r="DK64" s="79" t="s">
        <v>792</v>
      </c>
      <c r="DL64" s="128">
        <f>VLOOKUP($F64,Activities!$A$9:$I$180,3,FALSE)/$AI64</f>
        <v>0</v>
      </c>
      <c r="DM64" s="128">
        <f>VLOOKUP($F64,Activities!$A$9:$I$180,4,FALSE)/$AI64</f>
        <v>0</v>
      </c>
      <c r="DN64" s="128">
        <f>VLOOKUP($F64,Activities!$A$9:$I$180,5,FALSE)/$AI64</f>
        <v>0</v>
      </c>
      <c r="DO64" s="128">
        <f>VLOOKUP($F64,Activities!$A$9:$I$180,6,FALSE)/$AI64</f>
        <v>0</v>
      </c>
      <c r="DP64" s="128">
        <f>VLOOKUP($F64,Activities!$A$9:$I$180,7,FALSE)/$AI64</f>
        <v>0</v>
      </c>
      <c r="DQ64" s="128">
        <f>VLOOKUP($F64,Activities!$A$9:$I$180,8,FALSE)/$AI64</f>
        <v>0</v>
      </c>
      <c r="DR64" s="128">
        <f>VLOOKUP($F64,Activities!$A$9:$I$180,9,FALSE)/$AI64</f>
        <v>0</v>
      </c>
      <c r="DS64" s="218"/>
      <c r="DT64" s="360"/>
      <c r="DU64" s="360"/>
      <c r="DV64" s="360"/>
      <c r="DW64" s="360"/>
      <c r="DX64" s="360"/>
      <c r="DY64" s="360"/>
      <c r="DZ64" s="360"/>
      <c r="EA64" s="360"/>
      <c r="EB64" s="360"/>
      <c r="EC64" s="360"/>
      <c r="ED64" s="360"/>
      <c r="EE64" s="360"/>
      <c r="EF64" s="360"/>
      <c r="EG64" s="360"/>
      <c r="EH64" s="360"/>
      <c r="EI64" s="360"/>
      <c r="EJ64" s="360"/>
      <c r="EK64" s="360"/>
      <c r="EL64" s="360"/>
      <c r="EM64" s="360"/>
      <c r="EN64" s="360"/>
      <c r="EO64" s="360"/>
      <c r="EP64" s="360"/>
      <c r="EQ64" s="360"/>
    </row>
    <row r="65" spans="1:147" x14ac:dyDescent="0.35">
      <c r="A65" s="6" t="s">
        <v>813</v>
      </c>
      <c r="B65" s="6" t="s">
        <v>740</v>
      </c>
      <c r="C65" s="6" t="s">
        <v>788</v>
      </c>
      <c r="D65" s="6" t="s">
        <v>741</v>
      </c>
      <c r="E65" s="6" t="s">
        <v>789</v>
      </c>
      <c r="F65" s="6" t="s">
        <v>427</v>
      </c>
      <c r="G65" s="48" t="s">
        <v>814</v>
      </c>
      <c r="H65" s="48" t="s">
        <v>815</v>
      </c>
      <c r="I65" s="102">
        <v>629.02087507337171</v>
      </c>
      <c r="J65" s="102">
        <v>629.02087507337171</v>
      </c>
      <c r="K65" s="102">
        <v>629.02087507337171</v>
      </c>
      <c r="L65" s="102">
        <v>629.02087507337171</v>
      </c>
      <c r="M65" s="102">
        <v>629.02087507337171</v>
      </c>
      <c r="N65" s="102">
        <v>629.02087507337171</v>
      </c>
      <c r="O65" s="102">
        <v>629.02087507337171</v>
      </c>
      <c r="P65" s="94">
        <v>0</v>
      </c>
      <c r="Q65" s="102">
        <v>15.725521876834293</v>
      </c>
      <c r="R65" s="102">
        <v>15.725521876834293</v>
      </c>
      <c r="S65" s="102">
        <v>15.725521876834293</v>
      </c>
      <c r="T65" s="102">
        <v>15.725521876834293</v>
      </c>
      <c r="U65" s="102">
        <v>15.725521876834293</v>
      </c>
      <c r="V65" s="102">
        <v>15.725521876834293</v>
      </c>
      <c r="W65" s="102">
        <v>15.725521876834293</v>
      </c>
      <c r="X65" s="102">
        <v>0</v>
      </c>
      <c r="Y65" s="102">
        <v>0</v>
      </c>
      <c r="Z65" s="102">
        <v>0</v>
      </c>
      <c r="AA65" s="102">
        <v>0</v>
      </c>
      <c r="AB65" s="102">
        <v>0</v>
      </c>
      <c r="AC65" s="102">
        <v>0</v>
      </c>
      <c r="AD65" s="102">
        <v>0</v>
      </c>
      <c r="AE65" s="186">
        <v>0.08</v>
      </c>
      <c r="AF65" s="94">
        <v>0</v>
      </c>
      <c r="AG65" s="93">
        <v>25</v>
      </c>
      <c r="AH65" s="93">
        <v>25</v>
      </c>
      <c r="AI65" s="17">
        <v>1</v>
      </c>
      <c r="AJ65" s="17" t="s">
        <v>660</v>
      </c>
      <c r="AK65" s="17" t="s">
        <v>745</v>
      </c>
      <c r="AL65" s="17"/>
      <c r="AM65" s="61"/>
      <c r="AN65" s="61"/>
      <c r="AO65" s="61"/>
      <c r="AP65" s="61"/>
      <c r="AQ65" s="61"/>
      <c r="AR65" s="61"/>
      <c r="AS65" s="64"/>
      <c r="AT65" s="64"/>
      <c r="AU65" s="64"/>
      <c r="AV65" s="132"/>
      <c r="AW65" s="132"/>
      <c r="AX65" s="132"/>
      <c r="AY65" s="28" t="s">
        <v>662</v>
      </c>
      <c r="AZ65" s="28"/>
      <c r="BA65" s="354"/>
      <c r="BB65" s="28"/>
      <c r="BC65" s="28"/>
      <c r="BD65" s="28"/>
      <c r="BE65" s="28"/>
      <c r="BF65" s="28"/>
      <c r="BG65" s="28"/>
      <c r="BH65" s="106"/>
      <c r="BI65" s="106"/>
      <c r="BJ65" s="106"/>
      <c r="BK65" s="106"/>
      <c r="BL65" s="137"/>
      <c r="BM65" s="123"/>
      <c r="BN65" s="139">
        <v>0</v>
      </c>
      <c r="BO65" s="94"/>
      <c r="BP65" s="94"/>
      <c r="BQ65" s="94"/>
      <c r="BR65" s="94"/>
      <c r="BS65" s="94"/>
      <c r="BT65" s="94"/>
      <c r="BU65" s="28">
        <f t="shared" si="1"/>
        <v>0</v>
      </c>
      <c r="BV65" s="28"/>
      <c r="BW65" s="28"/>
      <c r="BX65" s="28"/>
      <c r="BY65" s="28"/>
      <c r="BZ65" s="28"/>
      <c r="CA65" s="28"/>
      <c r="CB65" s="99"/>
      <c r="CC65" s="99">
        <v>1</v>
      </c>
      <c r="CD65" s="185">
        <v>4</v>
      </c>
      <c r="CE65" s="99">
        <v>4</v>
      </c>
      <c r="CF65" s="99">
        <v>4</v>
      </c>
      <c r="CG65" s="99">
        <v>4</v>
      </c>
      <c r="CH65" s="99">
        <v>4</v>
      </c>
      <c r="CI65" s="175"/>
      <c r="CJ65" s="175"/>
      <c r="CK65" s="175"/>
      <c r="CL65" s="175"/>
      <c r="CM65" s="175"/>
      <c r="CN65" s="175"/>
      <c r="CO65" s="175"/>
      <c r="CP65" s="176"/>
      <c r="CQ65" s="176"/>
      <c r="CR65" s="176"/>
      <c r="CS65" s="176"/>
      <c r="CT65" s="176"/>
      <c r="CU65" s="176"/>
      <c r="CV65" s="176"/>
      <c r="CW65" s="167"/>
      <c r="CX65" s="168"/>
      <c r="CY65" s="168"/>
      <c r="CZ65" s="168"/>
      <c r="DA65" s="168"/>
      <c r="DB65" s="168"/>
      <c r="DC65" s="168"/>
      <c r="DD65" s="172"/>
      <c r="DE65" s="172"/>
      <c r="DF65" s="172"/>
      <c r="DG65" s="172"/>
      <c r="DH65" s="172"/>
      <c r="DI65" s="172"/>
      <c r="DJ65" s="172"/>
      <c r="DK65" s="79" t="s">
        <v>792</v>
      </c>
      <c r="DL65" s="128">
        <f>VLOOKUP($F65,Activities!$A$9:$I$180,3,FALSE)/$AI65</f>
        <v>0</v>
      </c>
      <c r="DM65" s="128">
        <f>VLOOKUP($F65,Activities!$A$9:$I$180,4,FALSE)/$AI65</f>
        <v>0</v>
      </c>
      <c r="DN65" s="128">
        <f>VLOOKUP($F65,Activities!$A$9:$I$180,5,FALSE)/$AI65</f>
        <v>0</v>
      </c>
      <c r="DO65" s="128">
        <f>VLOOKUP($F65,Activities!$A$9:$I$180,6,FALSE)/$AI65</f>
        <v>0</v>
      </c>
      <c r="DP65" s="128">
        <f>VLOOKUP($F65,Activities!$A$9:$I$180,7,FALSE)/$AI65</f>
        <v>0</v>
      </c>
      <c r="DQ65" s="128">
        <f>VLOOKUP($F65,Activities!$A$9:$I$180,8,FALSE)/$AI65</f>
        <v>0</v>
      </c>
      <c r="DR65" s="128">
        <f>VLOOKUP($F65,Activities!$A$9:$I$180,9,FALSE)/$AI65</f>
        <v>0</v>
      </c>
      <c r="DS65" s="218"/>
      <c r="DT65" s="360"/>
      <c r="DU65" s="360"/>
      <c r="DV65" s="360"/>
      <c r="DW65" s="360"/>
      <c r="DX65" s="360"/>
      <c r="DY65" s="360"/>
      <c r="DZ65" s="360"/>
      <c r="EA65" s="360"/>
      <c r="EB65" s="360"/>
      <c r="EC65" s="360"/>
      <c r="ED65" s="360"/>
      <c r="EE65" s="360"/>
      <c r="EF65" s="360"/>
      <c r="EG65" s="360"/>
      <c r="EH65" s="360"/>
      <c r="EI65" s="360"/>
      <c r="EJ65" s="360"/>
      <c r="EK65" s="360"/>
      <c r="EL65" s="360"/>
      <c r="EM65" s="360"/>
      <c r="EN65" s="360"/>
      <c r="EO65" s="360"/>
      <c r="EP65" s="360"/>
      <c r="EQ65" s="360"/>
    </row>
    <row r="66" spans="1:147" x14ac:dyDescent="0.35">
      <c r="A66" s="5" t="s">
        <v>816</v>
      </c>
      <c r="B66" s="5" t="s">
        <v>740</v>
      </c>
      <c r="C66" s="243" t="s">
        <v>817</v>
      </c>
      <c r="D66" s="243" t="s">
        <v>419</v>
      </c>
      <c r="E66" s="5" t="s">
        <v>789</v>
      </c>
      <c r="F66" s="5" t="s">
        <v>426</v>
      </c>
      <c r="G66" s="47" t="s">
        <v>818</v>
      </c>
      <c r="H66" s="47" t="s">
        <v>791</v>
      </c>
      <c r="I66" s="101">
        <v>0</v>
      </c>
      <c r="J66" s="101">
        <v>0</v>
      </c>
      <c r="K66" s="101">
        <v>0</v>
      </c>
      <c r="L66" s="101">
        <v>0</v>
      </c>
      <c r="M66" s="101">
        <v>0</v>
      </c>
      <c r="N66" s="101">
        <v>0</v>
      </c>
      <c r="O66" s="101">
        <v>0</v>
      </c>
      <c r="P66" s="94">
        <v>0</v>
      </c>
      <c r="Q66" s="101">
        <v>0</v>
      </c>
      <c r="R66" s="101">
        <v>0</v>
      </c>
      <c r="S66" s="101">
        <v>0</v>
      </c>
      <c r="T66" s="101">
        <v>0</v>
      </c>
      <c r="U66" s="101">
        <v>0</v>
      </c>
      <c r="V66" s="101">
        <v>0</v>
      </c>
      <c r="W66" s="101">
        <v>0</v>
      </c>
      <c r="X66" s="101">
        <v>1049.6175787265377</v>
      </c>
      <c r="Y66" s="101">
        <v>1049.6175787265377</v>
      </c>
      <c r="Z66" s="101">
        <v>1049.6175787265377</v>
      </c>
      <c r="AA66" s="101">
        <v>1049.6175787265377</v>
      </c>
      <c r="AB66" s="101">
        <v>1049.6175787265377</v>
      </c>
      <c r="AC66" s="101">
        <v>1049.6175787265377</v>
      </c>
      <c r="AD66" s="101">
        <v>1049.6175787265377</v>
      </c>
      <c r="AE66" s="186">
        <v>0.08</v>
      </c>
      <c r="AF66" s="93">
        <v>0</v>
      </c>
      <c r="AG66" s="93">
        <v>1</v>
      </c>
      <c r="AH66" s="93">
        <v>1</v>
      </c>
      <c r="AI66" s="16">
        <v>1</v>
      </c>
      <c r="AJ66" s="16" t="s">
        <v>660</v>
      </c>
      <c r="AK66" s="16" t="s">
        <v>745</v>
      </c>
      <c r="AL66" s="16"/>
      <c r="AM66" s="60"/>
      <c r="AN66" s="60"/>
      <c r="AO66" s="60"/>
      <c r="AP66" s="60"/>
      <c r="AQ66" s="60"/>
      <c r="AR66" s="60"/>
      <c r="AS66" s="63"/>
      <c r="AT66" s="63"/>
      <c r="AU66" s="63"/>
      <c r="AV66" s="131"/>
      <c r="AW66" s="131"/>
      <c r="AX66" s="131"/>
      <c r="AY66" s="27" t="s">
        <v>662</v>
      </c>
      <c r="AZ66" s="27"/>
      <c r="BA66" s="29"/>
      <c r="BB66" s="30"/>
      <c r="BC66" s="30"/>
      <c r="BD66" s="30"/>
      <c r="BE66" s="30"/>
      <c r="BF66" s="30"/>
      <c r="BG66" s="30"/>
      <c r="BH66" s="107"/>
      <c r="BI66" s="107"/>
      <c r="BJ66" s="107"/>
      <c r="BK66" s="107"/>
      <c r="BL66" s="136"/>
      <c r="BM66" s="122"/>
      <c r="BN66" s="138">
        <v>0</v>
      </c>
      <c r="BO66" s="93"/>
      <c r="BP66" s="93"/>
      <c r="BQ66" s="93"/>
      <c r="BR66" s="93"/>
      <c r="BS66" s="93"/>
      <c r="BT66" s="93"/>
      <c r="BU66" s="27">
        <f t="shared" si="1"/>
        <v>0</v>
      </c>
      <c r="BV66" s="27"/>
      <c r="BW66" s="27"/>
      <c r="BX66" s="27"/>
      <c r="BY66" s="27"/>
      <c r="BZ66" s="27"/>
      <c r="CA66" s="27"/>
      <c r="CB66" s="99">
        <v>0</v>
      </c>
      <c r="CC66" s="99">
        <v>0</v>
      </c>
      <c r="CD66" s="99">
        <v>0</v>
      </c>
      <c r="CE66" s="99">
        <v>0</v>
      </c>
      <c r="CF66" s="99">
        <v>0</v>
      </c>
      <c r="CG66" s="99">
        <v>0</v>
      </c>
      <c r="CH66" s="99">
        <v>0</v>
      </c>
      <c r="CI66" s="173"/>
      <c r="CJ66" s="173"/>
      <c r="CK66" s="173"/>
      <c r="CL66" s="173"/>
      <c r="CM66" s="173"/>
      <c r="CN66" s="173"/>
      <c r="CO66" s="173"/>
      <c r="CP66" s="174"/>
      <c r="CQ66" s="174"/>
      <c r="CR66" s="174"/>
      <c r="CS66" s="174"/>
      <c r="CT66" s="174"/>
      <c r="CU66" s="174"/>
      <c r="CV66" s="174"/>
      <c r="CW66" s="165"/>
      <c r="CX66" s="166"/>
      <c r="CY66" s="166"/>
      <c r="CZ66" s="166"/>
      <c r="DA66" s="166"/>
      <c r="DB66" s="166"/>
      <c r="DC66" s="166"/>
      <c r="DD66" s="171"/>
      <c r="DE66" s="171"/>
      <c r="DF66" s="171"/>
      <c r="DG66" s="171"/>
      <c r="DH66" s="171"/>
      <c r="DI66" s="171"/>
      <c r="DJ66" s="171"/>
      <c r="DK66" s="79" t="s">
        <v>819</v>
      </c>
      <c r="DL66" s="128">
        <f>VLOOKUP($F66,Activities!$A$9:$I$180,3,FALSE)/$AI66</f>
        <v>0</v>
      </c>
      <c r="DM66" s="128">
        <f>VLOOKUP($F66,Activities!$A$9:$I$180,4,FALSE)/$AI66</f>
        <v>0</v>
      </c>
      <c r="DN66" s="128">
        <f>VLOOKUP($F66,Activities!$A$9:$I$180,5,FALSE)/$AI66</f>
        <v>0</v>
      </c>
      <c r="DO66" s="128">
        <f>VLOOKUP($F66,Activities!$A$9:$I$180,6,FALSE)/$AI66</f>
        <v>0</v>
      </c>
      <c r="DP66" s="128">
        <f>VLOOKUP($F66,Activities!$A$9:$I$180,7,FALSE)/$AI66</f>
        <v>0</v>
      </c>
      <c r="DQ66" s="128">
        <f>VLOOKUP($F66,Activities!$A$9:$I$180,8,FALSE)/$AI66</f>
        <v>0</v>
      </c>
      <c r="DR66" s="128">
        <f>VLOOKUP($F66,Activities!$A$9:$I$180,9,FALSE)/$AI66</f>
        <v>0</v>
      </c>
      <c r="DS66" s="218"/>
      <c r="DT66" s="360"/>
      <c r="DU66" s="360"/>
      <c r="DV66" s="360"/>
      <c r="DW66" s="360"/>
      <c r="DX66" s="360"/>
      <c r="DY66" s="360"/>
      <c r="DZ66" s="360"/>
      <c r="EA66" s="360"/>
      <c r="EB66" s="360"/>
      <c r="EC66" s="360"/>
      <c r="ED66" s="360"/>
      <c r="EE66" s="360"/>
      <c r="EF66" s="360"/>
      <c r="EG66" s="360"/>
      <c r="EH66" s="360"/>
      <c r="EI66" s="360"/>
      <c r="EJ66" s="360"/>
      <c r="EK66" s="360"/>
      <c r="EL66" s="360"/>
      <c r="EM66" s="360"/>
      <c r="EN66" s="360"/>
      <c r="EO66" s="360"/>
      <c r="EP66" s="360"/>
      <c r="EQ66" s="360"/>
    </row>
    <row r="67" spans="1:147" x14ac:dyDescent="0.35">
      <c r="A67" s="6" t="s">
        <v>820</v>
      </c>
      <c r="B67" s="6" t="s">
        <v>740</v>
      </c>
      <c r="C67" s="6" t="s">
        <v>788</v>
      </c>
      <c r="D67" s="6" t="s">
        <v>741</v>
      </c>
      <c r="E67" s="6" t="s">
        <v>789</v>
      </c>
      <c r="F67" s="6" t="s">
        <v>427</v>
      </c>
      <c r="G67" s="48" t="s">
        <v>821</v>
      </c>
      <c r="H67" s="48" t="s">
        <v>815</v>
      </c>
      <c r="I67" s="102">
        <v>1180.5315376863866</v>
      </c>
      <c r="J67" s="102">
        <v>1180.5315376863866</v>
      </c>
      <c r="K67" s="102">
        <v>1180.5315376863866</v>
      </c>
      <c r="L67" s="102">
        <v>1180.5315376863866</v>
      </c>
      <c r="M67" s="102">
        <v>1180.5315376863866</v>
      </c>
      <c r="N67" s="102">
        <v>1180.5315376863866</v>
      </c>
      <c r="O67" s="102">
        <v>1180.5315376863866</v>
      </c>
      <c r="P67" s="94">
        <v>0</v>
      </c>
      <c r="Q67" s="102">
        <v>53.123919195887396</v>
      </c>
      <c r="R67" s="102">
        <v>53.123919195887396</v>
      </c>
      <c r="S67" s="102">
        <v>53.123919195887396</v>
      </c>
      <c r="T67" s="102">
        <v>53.123919195887396</v>
      </c>
      <c r="U67" s="102">
        <v>53.123919195887396</v>
      </c>
      <c r="V67" s="102">
        <v>53.123919195887396</v>
      </c>
      <c r="W67" s="102">
        <v>53.123919195887396</v>
      </c>
      <c r="X67" s="102">
        <v>0</v>
      </c>
      <c r="Y67" s="102">
        <v>0</v>
      </c>
      <c r="Z67" s="102">
        <v>0</v>
      </c>
      <c r="AA67" s="102">
        <v>0</v>
      </c>
      <c r="AB67" s="102">
        <v>0</v>
      </c>
      <c r="AC67" s="102">
        <v>0</v>
      </c>
      <c r="AD67" s="102">
        <v>0</v>
      </c>
      <c r="AE67" s="186">
        <v>0.08</v>
      </c>
      <c r="AF67" s="94"/>
      <c r="AG67" s="93">
        <v>25</v>
      </c>
      <c r="AH67" s="93">
        <v>25</v>
      </c>
      <c r="AI67" s="17">
        <v>1</v>
      </c>
      <c r="AJ67" s="17" t="s">
        <v>660</v>
      </c>
      <c r="AK67" s="17" t="s">
        <v>745</v>
      </c>
      <c r="AL67" s="17"/>
      <c r="AM67" s="61"/>
      <c r="AN67" s="61"/>
      <c r="AO67" s="61"/>
      <c r="AP67" s="61"/>
      <c r="AQ67" s="61"/>
      <c r="AR67" s="61"/>
      <c r="AS67" s="64"/>
      <c r="AT67" s="64"/>
      <c r="AU67" s="64"/>
      <c r="AV67" s="132"/>
      <c r="AW67" s="132"/>
      <c r="AX67" s="132"/>
      <c r="AY67" s="28" t="s">
        <v>662</v>
      </c>
      <c r="AZ67" s="28"/>
      <c r="BA67" s="354"/>
      <c r="BB67" s="28"/>
      <c r="BC67" s="28"/>
      <c r="BD67" s="28"/>
      <c r="BE67" s="28"/>
      <c r="BF67" s="28"/>
      <c r="BG67" s="28"/>
      <c r="BH67" s="106"/>
      <c r="BI67" s="106"/>
      <c r="BJ67" s="106"/>
      <c r="BK67" s="106"/>
      <c r="BL67" s="137"/>
      <c r="BM67" s="123"/>
      <c r="BN67" s="139">
        <v>0.12</v>
      </c>
      <c r="BO67" s="94"/>
      <c r="BP67" s="94">
        <v>0.12</v>
      </c>
      <c r="BQ67" s="94"/>
      <c r="BR67" s="94"/>
      <c r="BS67" s="94"/>
      <c r="BT67" s="94"/>
      <c r="BU67" s="28">
        <f t="shared" si="1"/>
        <v>0</v>
      </c>
      <c r="BV67" s="28"/>
      <c r="BW67" s="28"/>
      <c r="BX67" s="28"/>
      <c r="BY67" s="28"/>
      <c r="BZ67" s="28"/>
      <c r="CA67" s="28"/>
      <c r="CB67" s="99">
        <v>1</v>
      </c>
      <c r="CC67" s="99">
        <v>1</v>
      </c>
      <c r="CD67" s="99">
        <v>1</v>
      </c>
      <c r="CE67" s="99">
        <v>1</v>
      </c>
      <c r="CF67" s="99">
        <v>1</v>
      </c>
      <c r="CG67" s="99">
        <v>1</v>
      </c>
      <c r="CH67" s="99">
        <v>1</v>
      </c>
      <c r="CI67" s="175"/>
      <c r="CJ67" s="175"/>
      <c r="CK67" s="175"/>
      <c r="CL67" s="175"/>
      <c r="CM67" s="175"/>
      <c r="CN67" s="175"/>
      <c r="CO67" s="175"/>
      <c r="CP67" s="176"/>
      <c r="CQ67" s="176"/>
      <c r="CR67" s="176"/>
      <c r="CS67" s="176"/>
      <c r="CT67" s="176"/>
      <c r="CU67" s="176"/>
      <c r="CV67" s="176"/>
      <c r="CW67" s="167"/>
      <c r="CX67" s="168"/>
      <c r="CY67" s="168"/>
      <c r="CZ67" s="168"/>
      <c r="DA67" s="168"/>
      <c r="DB67" s="168"/>
      <c r="DC67" s="168"/>
      <c r="DD67" s="172"/>
      <c r="DE67" s="172"/>
      <c r="DF67" s="172"/>
      <c r="DG67" s="172"/>
      <c r="DH67" s="172"/>
      <c r="DI67" s="172"/>
      <c r="DJ67" s="172"/>
      <c r="DK67" s="79" t="s">
        <v>792</v>
      </c>
      <c r="DL67" s="128">
        <f>VLOOKUP($F67,Activities!$A$9:$I$180,3,FALSE)/$AI67</f>
        <v>0</v>
      </c>
      <c r="DM67" s="128">
        <f>VLOOKUP($F67,Activities!$A$9:$I$180,4,FALSE)/$AI67</f>
        <v>0</v>
      </c>
      <c r="DN67" s="128">
        <f>VLOOKUP($F67,Activities!$A$9:$I$180,5,FALSE)/$AI67</f>
        <v>0</v>
      </c>
      <c r="DO67" s="128">
        <f>VLOOKUP($F67,Activities!$A$9:$I$180,6,FALSE)/$AI67</f>
        <v>0</v>
      </c>
      <c r="DP67" s="128">
        <f>VLOOKUP($F67,Activities!$A$9:$I$180,7,FALSE)/$AI67</f>
        <v>0</v>
      </c>
      <c r="DQ67" s="128">
        <f>VLOOKUP($F67,Activities!$A$9:$I$180,8,FALSE)/$AI67</f>
        <v>0</v>
      </c>
      <c r="DR67" s="128">
        <f>VLOOKUP($F67,Activities!$A$9:$I$180,9,FALSE)/$AI67</f>
        <v>0</v>
      </c>
      <c r="DS67" s="218"/>
      <c r="DT67" s="360"/>
      <c r="DU67" s="360"/>
      <c r="DV67" s="360"/>
      <c r="DW67" s="360"/>
      <c r="DX67" s="360"/>
      <c r="DY67" s="360"/>
      <c r="DZ67" s="360"/>
      <c r="EA67" s="360"/>
      <c r="EB67" s="360"/>
      <c r="EC67" s="360"/>
      <c r="ED67" s="360"/>
      <c r="EE67" s="360"/>
      <c r="EF67" s="360"/>
      <c r="EG67" s="360"/>
      <c r="EH67" s="360"/>
      <c r="EI67" s="360"/>
      <c r="EJ67" s="360"/>
      <c r="EK67" s="360"/>
      <c r="EL67" s="360"/>
      <c r="EM67" s="360"/>
      <c r="EN67" s="360"/>
      <c r="EO67" s="360"/>
      <c r="EP67" s="360"/>
      <c r="EQ67" s="360"/>
    </row>
    <row r="68" spans="1:147" x14ac:dyDescent="0.35">
      <c r="A68" s="5" t="s">
        <v>822</v>
      </c>
      <c r="B68" s="5" t="s">
        <v>740</v>
      </c>
      <c r="C68" s="6" t="s">
        <v>788</v>
      </c>
      <c r="D68" s="5" t="s">
        <v>741</v>
      </c>
      <c r="E68" s="5" t="s">
        <v>789</v>
      </c>
      <c r="F68" s="6" t="s">
        <v>427</v>
      </c>
      <c r="G68" s="47" t="s">
        <v>823</v>
      </c>
      <c r="H68" s="47" t="s">
        <v>815</v>
      </c>
      <c r="I68" s="101">
        <f>193.4/0.027*(103.328/124.163)/1.1195</f>
        <v>5324.6912890090316</v>
      </c>
      <c r="J68" s="101">
        <f>I68</f>
        <v>5324.6912890090316</v>
      </c>
      <c r="K68" s="101">
        <f t="shared" ref="K68:O68" si="44">J68</f>
        <v>5324.6912890090316</v>
      </c>
      <c r="L68" s="101">
        <f t="shared" si="44"/>
        <v>5324.6912890090316</v>
      </c>
      <c r="M68" s="101">
        <f t="shared" si="44"/>
        <v>5324.6912890090316</v>
      </c>
      <c r="N68" s="101">
        <f t="shared" si="44"/>
        <v>5324.6912890090316</v>
      </c>
      <c r="O68" s="101">
        <f t="shared" si="44"/>
        <v>5324.6912890090316</v>
      </c>
      <c r="P68" s="94">
        <v>0</v>
      </c>
      <c r="Q68" s="101">
        <f>(1.2+3.2)/(25.4*0.27*8760/10^6)*(103.328/124.163)/1.1195</f>
        <v>54.444350046240032</v>
      </c>
      <c r="R68" s="101">
        <f t="shared" ref="R68:W68" si="45">(1.2+3.2)/(25.4*0.27*8760/10^6)*(103.328/124.163)/1.1195</f>
        <v>54.444350046240032</v>
      </c>
      <c r="S68" s="101">
        <f t="shared" si="45"/>
        <v>54.444350046240032</v>
      </c>
      <c r="T68" s="101">
        <f t="shared" si="45"/>
        <v>54.444350046240032</v>
      </c>
      <c r="U68" s="101">
        <f t="shared" si="45"/>
        <v>54.444350046240032</v>
      </c>
      <c r="V68" s="101">
        <f t="shared" si="45"/>
        <v>54.444350046240032</v>
      </c>
      <c r="W68" s="101">
        <f t="shared" si="45"/>
        <v>54.444350046240032</v>
      </c>
      <c r="X68" s="101">
        <f>(48.3)/(25.4*0.27*8760/10^6)*(103.328/124.163)/1.1195</f>
        <v>597.65047891668041</v>
      </c>
      <c r="Y68" s="101">
        <f t="shared" ref="Y68:AD68" si="46">(48.3)/(25.4*0.27*8760/10^6)*(103.328/124.163)/1.1195</f>
        <v>597.65047891668041</v>
      </c>
      <c r="Z68" s="101">
        <f t="shared" si="46"/>
        <v>597.65047891668041</v>
      </c>
      <c r="AA68" s="101">
        <f t="shared" si="46"/>
        <v>597.65047891668041</v>
      </c>
      <c r="AB68" s="101">
        <f t="shared" si="46"/>
        <v>597.65047891668041</v>
      </c>
      <c r="AC68" s="101">
        <f t="shared" si="46"/>
        <v>597.65047891668041</v>
      </c>
      <c r="AD68" s="101">
        <f t="shared" si="46"/>
        <v>597.65047891668041</v>
      </c>
      <c r="AE68" s="186">
        <v>0.08</v>
      </c>
      <c r="AF68" s="93"/>
      <c r="AG68" s="93">
        <v>25</v>
      </c>
      <c r="AH68" s="93">
        <v>25</v>
      </c>
      <c r="AI68" s="16">
        <v>1</v>
      </c>
      <c r="AJ68" s="16" t="s">
        <v>660</v>
      </c>
      <c r="AK68" s="16" t="s">
        <v>745</v>
      </c>
      <c r="AL68" s="16"/>
      <c r="AM68" s="60"/>
      <c r="AN68" s="60"/>
      <c r="AO68" s="60"/>
      <c r="AP68" s="60"/>
      <c r="AQ68" s="60"/>
      <c r="AR68" s="60"/>
      <c r="AS68" s="63"/>
      <c r="AT68" s="63"/>
      <c r="AU68" s="63"/>
      <c r="AV68" s="131"/>
      <c r="AW68" s="131"/>
      <c r="AX68" s="131"/>
      <c r="AY68" s="27" t="s">
        <v>662</v>
      </c>
      <c r="AZ68" s="27"/>
      <c r="BA68" s="29"/>
      <c r="BB68" s="30"/>
      <c r="BC68" s="30"/>
      <c r="BD68" s="30"/>
      <c r="BE68" s="30"/>
      <c r="BF68" s="30"/>
      <c r="BG68" s="30"/>
      <c r="BH68" s="107"/>
      <c r="BI68" s="107"/>
      <c r="BJ68" s="107"/>
      <c r="BK68" s="107"/>
      <c r="BL68" s="136"/>
      <c r="BM68" s="122"/>
      <c r="BN68" s="138">
        <v>0</v>
      </c>
      <c r="BO68" s="93"/>
      <c r="BP68" s="93"/>
      <c r="BQ68" s="93"/>
      <c r="BR68" s="93"/>
      <c r="BS68" s="93"/>
      <c r="BT68" s="93"/>
      <c r="BU68" s="27">
        <f t="shared" si="1"/>
        <v>0</v>
      </c>
      <c r="BV68" s="27"/>
      <c r="BW68" s="27"/>
      <c r="BX68" s="27"/>
      <c r="BY68" s="27"/>
      <c r="BZ68" s="27"/>
      <c r="CA68" s="27"/>
      <c r="CB68" s="97">
        <v>0</v>
      </c>
      <c r="CC68" s="97">
        <v>0</v>
      </c>
      <c r="CD68" s="97">
        <v>0</v>
      </c>
      <c r="CE68" s="97">
        <v>0</v>
      </c>
      <c r="CF68" s="97">
        <v>0</v>
      </c>
      <c r="CG68" s="97">
        <v>0</v>
      </c>
      <c r="CH68" s="97">
        <v>0</v>
      </c>
      <c r="CI68" s="173"/>
      <c r="CJ68" s="173"/>
      <c r="CK68" s="173"/>
      <c r="CL68" s="173"/>
      <c r="CM68" s="173"/>
      <c r="CN68" s="173"/>
      <c r="CO68" s="173"/>
      <c r="CP68" s="174"/>
      <c r="CQ68" s="174"/>
      <c r="CR68" s="174"/>
      <c r="CS68" s="174"/>
      <c r="CT68" s="174"/>
      <c r="CU68" s="174"/>
      <c r="CV68" s="174"/>
      <c r="CW68" s="165"/>
      <c r="CX68" s="166"/>
      <c r="CY68" s="166"/>
      <c r="CZ68" s="166"/>
      <c r="DA68" s="166"/>
      <c r="DB68" s="166"/>
      <c r="DC68" s="166"/>
      <c r="DD68" s="171"/>
      <c r="DE68" s="171"/>
      <c r="DF68" s="171"/>
      <c r="DG68" s="171"/>
      <c r="DH68" s="171"/>
      <c r="DI68" s="171"/>
      <c r="DJ68" s="171"/>
      <c r="DK68" s="79" t="s">
        <v>824</v>
      </c>
      <c r="DL68" s="128">
        <f>VLOOKUP($F68,Activities!$A$9:$I$180,3,FALSE)/$AI68</f>
        <v>0</v>
      </c>
      <c r="DM68" s="128">
        <f>VLOOKUP($F68,Activities!$A$9:$I$180,4,FALSE)/$AI68</f>
        <v>0</v>
      </c>
      <c r="DN68" s="128">
        <f>VLOOKUP($F68,Activities!$A$9:$I$180,5,FALSE)/$AI68</f>
        <v>0</v>
      </c>
      <c r="DO68" s="128">
        <f>VLOOKUP($F68,Activities!$A$9:$I$180,6,FALSE)/$AI68</f>
        <v>0</v>
      </c>
      <c r="DP68" s="128">
        <f>VLOOKUP($F68,Activities!$A$9:$I$180,7,FALSE)/$AI68</f>
        <v>0</v>
      </c>
      <c r="DQ68" s="128">
        <f>VLOOKUP($F68,Activities!$A$9:$I$180,8,FALSE)/$AI68</f>
        <v>0</v>
      </c>
      <c r="DR68" s="128">
        <f>VLOOKUP($F68,Activities!$A$9:$I$180,9,FALSE)/$AI68</f>
        <v>0</v>
      </c>
      <c r="DS68" s="218"/>
      <c r="DT68" s="360"/>
      <c r="DU68" s="360"/>
      <c r="DV68" s="360"/>
      <c r="DW68" s="360"/>
      <c r="DX68" s="360"/>
      <c r="DY68" s="360"/>
      <c r="DZ68" s="360"/>
      <c r="EA68" s="360"/>
      <c r="EB68" s="360"/>
      <c r="EC68" s="360"/>
      <c r="ED68" s="360"/>
      <c r="EE68" s="360"/>
      <c r="EF68" s="360"/>
      <c r="EG68" s="360"/>
      <c r="EH68" s="360"/>
      <c r="EI68" s="360"/>
      <c r="EJ68" s="360"/>
      <c r="EK68" s="360"/>
      <c r="EL68" s="360"/>
      <c r="EM68" s="360"/>
      <c r="EN68" s="360"/>
      <c r="EO68" s="360"/>
      <c r="EP68" s="360"/>
      <c r="EQ68" s="360"/>
    </row>
    <row r="69" spans="1:147" x14ac:dyDescent="0.35">
      <c r="A69" s="6" t="s">
        <v>825</v>
      </c>
      <c r="B69" s="6" t="s">
        <v>740</v>
      </c>
      <c r="C69" s="243" t="s">
        <v>817</v>
      </c>
      <c r="D69" s="243" t="s">
        <v>419</v>
      </c>
      <c r="E69" s="6" t="s">
        <v>789</v>
      </c>
      <c r="F69" s="6" t="s">
        <v>427</v>
      </c>
      <c r="G69" s="48" t="s">
        <v>826</v>
      </c>
      <c r="H69" s="48" t="s">
        <v>815</v>
      </c>
      <c r="I69" s="102">
        <v>0</v>
      </c>
      <c r="J69" s="102">
        <v>0</v>
      </c>
      <c r="K69" s="102">
        <v>0</v>
      </c>
      <c r="L69" s="102">
        <v>0</v>
      </c>
      <c r="M69" s="102">
        <v>0</v>
      </c>
      <c r="N69" s="102">
        <v>0</v>
      </c>
      <c r="O69" s="102">
        <v>0</v>
      </c>
      <c r="P69" s="94">
        <v>0</v>
      </c>
      <c r="Q69" s="102">
        <v>0</v>
      </c>
      <c r="R69" s="102">
        <v>0</v>
      </c>
      <c r="S69" s="102">
        <v>0</v>
      </c>
      <c r="T69" s="102">
        <v>0</v>
      </c>
      <c r="U69" s="102">
        <v>0</v>
      </c>
      <c r="V69" s="102">
        <v>0</v>
      </c>
      <c r="W69" s="102">
        <v>0</v>
      </c>
      <c r="X69" s="102">
        <v>1042.0866733727448</v>
      </c>
      <c r="Y69" s="102">
        <v>1042.0866733727448</v>
      </c>
      <c r="Z69" s="102">
        <v>1042.0866733727448</v>
      </c>
      <c r="AA69" s="102">
        <v>1042.0866733727448</v>
      </c>
      <c r="AB69" s="102">
        <v>1042.0866733727448</v>
      </c>
      <c r="AC69" s="102">
        <v>1042.0866733727448</v>
      </c>
      <c r="AD69" s="102">
        <v>1042.0866733727448</v>
      </c>
      <c r="AE69" s="186">
        <v>0.08</v>
      </c>
      <c r="AF69" s="94">
        <v>0</v>
      </c>
      <c r="AG69" s="94">
        <v>1</v>
      </c>
      <c r="AH69" s="94">
        <v>1</v>
      </c>
      <c r="AI69" s="17">
        <v>1</v>
      </c>
      <c r="AJ69" s="17" t="s">
        <v>660</v>
      </c>
      <c r="AK69" s="17" t="s">
        <v>745</v>
      </c>
      <c r="AL69" s="17"/>
      <c r="AM69" s="61"/>
      <c r="AN69" s="61"/>
      <c r="AO69" s="61"/>
      <c r="AP69" s="61"/>
      <c r="AQ69" s="61"/>
      <c r="AR69" s="61"/>
      <c r="AS69" s="64"/>
      <c r="AT69" s="64"/>
      <c r="AU69" s="64"/>
      <c r="AV69" s="132"/>
      <c r="AW69" s="132"/>
      <c r="AX69" s="132"/>
      <c r="AY69" s="28" t="s">
        <v>662</v>
      </c>
      <c r="AZ69" s="28"/>
      <c r="BA69" s="354"/>
      <c r="BB69" s="28"/>
      <c r="BC69" s="28"/>
      <c r="BD69" s="28"/>
      <c r="BE69" s="28"/>
      <c r="BF69" s="28"/>
      <c r="BG69" s="28"/>
      <c r="BH69" s="106"/>
      <c r="BI69" s="106"/>
      <c r="BJ69" s="106"/>
      <c r="BK69" s="106"/>
      <c r="BL69" s="137"/>
      <c r="BM69" s="123"/>
      <c r="BN69" s="139"/>
      <c r="BO69" s="94"/>
      <c r="BP69" s="94"/>
      <c r="BQ69" s="94"/>
      <c r="BR69" s="94"/>
      <c r="BS69" s="94"/>
      <c r="BT69" s="94"/>
      <c r="BU69" s="28">
        <f t="shared" si="1"/>
        <v>0</v>
      </c>
      <c r="BV69" s="28"/>
      <c r="BW69" s="28"/>
      <c r="BX69" s="28"/>
      <c r="BY69" s="28"/>
      <c r="BZ69" s="28"/>
      <c r="CA69" s="28"/>
      <c r="CB69" s="185">
        <v>0.1</v>
      </c>
      <c r="CC69" s="185">
        <v>0.1</v>
      </c>
      <c r="CD69" s="185">
        <v>0.1</v>
      </c>
      <c r="CE69" s="185">
        <v>0.1</v>
      </c>
      <c r="CF69" s="185">
        <v>0.1</v>
      </c>
      <c r="CG69" s="185">
        <v>0.1</v>
      </c>
      <c r="CH69" s="185">
        <v>0.1</v>
      </c>
      <c r="CI69" s="175"/>
      <c r="CJ69" s="175"/>
      <c r="CK69" s="175"/>
      <c r="CL69" s="175"/>
      <c r="CM69" s="175"/>
      <c r="CN69" s="175"/>
      <c r="CO69" s="175"/>
      <c r="CP69" s="176"/>
      <c r="CQ69" s="176"/>
      <c r="CR69" s="176"/>
      <c r="CS69" s="176"/>
      <c r="CT69" s="176"/>
      <c r="CU69" s="176"/>
      <c r="CV69" s="176"/>
      <c r="CW69" s="167"/>
      <c r="CX69" s="168"/>
      <c r="CY69" s="168"/>
      <c r="CZ69" s="168"/>
      <c r="DA69" s="168"/>
      <c r="DB69" s="168"/>
      <c r="DC69" s="168"/>
      <c r="DD69" s="172"/>
      <c r="DE69" s="172"/>
      <c r="DF69" s="172"/>
      <c r="DG69" s="172"/>
      <c r="DH69" s="172"/>
      <c r="DI69" s="172"/>
      <c r="DJ69" s="172"/>
      <c r="DK69" s="80" t="s">
        <v>819</v>
      </c>
      <c r="DL69" s="128">
        <f>VLOOKUP($F69,Activities!$A$9:$I$180,3,FALSE)/$AI69</f>
        <v>0</v>
      </c>
      <c r="DM69" s="128">
        <f>VLOOKUP($F69,Activities!$A$9:$I$180,4,FALSE)/$AI69</f>
        <v>0</v>
      </c>
      <c r="DN69" s="128">
        <f>VLOOKUP($F69,Activities!$A$9:$I$180,5,FALSE)/$AI69</f>
        <v>0</v>
      </c>
      <c r="DO69" s="128">
        <f>VLOOKUP($F69,Activities!$A$9:$I$180,6,FALSE)/$AI69</f>
        <v>0</v>
      </c>
      <c r="DP69" s="128">
        <f>VLOOKUP($F69,Activities!$A$9:$I$180,7,FALSE)/$AI69</f>
        <v>0</v>
      </c>
      <c r="DQ69" s="128">
        <f>VLOOKUP($F69,Activities!$A$9:$I$180,8,FALSE)/$AI69</f>
        <v>0</v>
      </c>
      <c r="DR69" s="128">
        <f>VLOOKUP($F69,Activities!$A$9:$I$180,9,FALSE)/$AI69</f>
        <v>0</v>
      </c>
      <c r="DS69" s="218"/>
      <c r="DT69" s="360"/>
      <c r="DU69" s="360"/>
      <c r="DV69" s="360"/>
      <c r="DW69" s="360"/>
      <c r="DX69" s="360"/>
      <c r="DY69" s="360"/>
      <c r="DZ69" s="360"/>
      <c r="EA69" s="360"/>
      <c r="EB69" s="360"/>
      <c r="EC69" s="360"/>
      <c r="ED69" s="360"/>
      <c r="EE69" s="360"/>
      <c r="EF69" s="360"/>
      <c r="EG69" s="360"/>
      <c r="EH69" s="360"/>
      <c r="EI69" s="360"/>
      <c r="EJ69" s="360"/>
      <c r="EK69" s="360"/>
      <c r="EL69" s="360"/>
      <c r="EM69" s="360"/>
      <c r="EN69" s="360"/>
      <c r="EO69" s="360"/>
      <c r="EP69" s="360"/>
      <c r="EQ69" s="360"/>
    </row>
    <row r="70" spans="1:147" x14ac:dyDescent="0.35">
      <c r="A70" s="6" t="s">
        <v>827</v>
      </c>
      <c r="B70" s="5" t="s">
        <v>740</v>
      </c>
      <c r="C70" s="243" t="s">
        <v>817</v>
      </c>
      <c r="D70" s="243" t="s">
        <v>419</v>
      </c>
      <c r="E70" s="5" t="s">
        <v>789</v>
      </c>
      <c r="F70" s="182" t="s">
        <v>343</v>
      </c>
      <c r="G70" s="183" t="s">
        <v>828</v>
      </c>
      <c r="H70" s="183" t="s">
        <v>829</v>
      </c>
      <c r="I70" s="184">
        <v>0</v>
      </c>
      <c r="J70" s="184">
        <v>0</v>
      </c>
      <c r="K70" s="184">
        <v>0</v>
      </c>
      <c r="L70" s="184">
        <v>0</v>
      </c>
      <c r="M70" s="184">
        <v>0</v>
      </c>
      <c r="N70" s="184">
        <v>0</v>
      </c>
      <c r="O70" s="184">
        <v>0</v>
      </c>
      <c r="P70" s="94">
        <v>0</v>
      </c>
      <c r="Q70" s="184">
        <v>0</v>
      </c>
      <c r="R70" s="184">
        <v>0</v>
      </c>
      <c r="S70" s="184">
        <v>0</v>
      </c>
      <c r="T70" s="184">
        <v>0</v>
      </c>
      <c r="U70" s="184">
        <v>0</v>
      </c>
      <c r="V70" s="184">
        <v>0</v>
      </c>
      <c r="W70" s="184">
        <v>0</v>
      </c>
      <c r="X70" s="184">
        <v>938.3435436972668</v>
      </c>
      <c r="Y70" s="184">
        <v>938.3435436972668</v>
      </c>
      <c r="Z70" s="184">
        <v>938.3435436972668</v>
      </c>
      <c r="AA70" s="184">
        <v>938.3435436972668</v>
      </c>
      <c r="AB70" s="184">
        <v>938.3435436972668</v>
      </c>
      <c r="AC70" s="184">
        <v>938.3435436972668</v>
      </c>
      <c r="AD70" s="184">
        <v>938.3435436972668</v>
      </c>
      <c r="AE70" s="186">
        <v>0.08</v>
      </c>
      <c r="AF70" s="93">
        <v>0</v>
      </c>
      <c r="AG70" s="93">
        <v>1</v>
      </c>
      <c r="AH70" s="93">
        <v>1</v>
      </c>
      <c r="AI70" s="16">
        <v>1</v>
      </c>
      <c r="AJ70" s="16" t="s">
        <v>660</v>
      </c>
      <c r="AK70" s="16" t="s">
        <v>745</v>
      </c>
      <c r="AL70" s="16"/>
      <c r="AM70" s="60"/>
      <c r="AN70" s="60"/>
      <c r="AO70" s="60"/>
      <c r="AP70" s="60"/>
      <c r="AQ70" s="60"/>
      <c r="AR70" s="60"/>
      <c r="AS70" s="63"/>
      <c r="AT70" s="63"/>
      <c r="AU70" s="63"/>
      <c r="AV70" s="131"/>
      <c r="AW70" s="131"/>
      <c r="AX70" s="131"/>
      <c r="AY70" s="27" t="s">
        <v>662</v>
      </c>
      <c r="AZ70" s="27"/>
      <c r="BA70" s="29"/>
      <c r="BB70" s="30"/>
      <c r="BC70" s="30"/>
      <c r="BD70" s="30"/>
      <c r="BE70" s="30"/>
      <c r="BF70" s="30"/>
      <c r="BG70" s="30"/>
      <c r="BH70" s="107"/>
      <c r="BI70" s="107"/>
      <c r="BJ70" s="107"/>
      <c r="BK70" s="107"/>
      <c r="BL70" s="136"/>
      <c r="BM70" s="122"/>
      <c r="BN70" s="138">
        <v>0</v>
      </c>
      <c r="BO70" s="93"/>
      <c r="BP70" s="93"/>
      <c r="BQ70" s="93"/>
      <c r="BR70" s="93"/>
      <c r="BS70" s="93"/>
      <c r="BT70" s="93"/>
      <c r="BU70" s="29">
        <f t="shared" si="1"/>
        <v>0</v>
      </c>
      <c r="BV70" s="27"/>
      <c r="BW70" s="27"/>
      <c r="BX70" s="27"/>
      <c r="BY70" s="27"/>
      <c r="BZ70" s="27"/>
      <c r="CA70" s="27"/>
      <c r="CB70" s="99">
        <f>DL70</f>
        <v>0.34400000000000003</v>
      </c>
      <c r="CC70" s="185">
        <f t="shared" ref="CC70:CH74" si="47">DM70</f>
        <v>0.34400000000000003</v>
      </c>
      <c r="CD70" s="185">
        <f t="shared" si="47"/>
        <v>0.34400000000000003</v>
      </c>
      <c r="CE70" s="185">
        <f t="shared" si="47"/>
        <v>0.34400000000000003</v>
      </c>
      <c r="CF70" s="185">
        <f t="shared" si="47"/>
        <v>0.34400000000000003</v>
      </c>
      <c r="CG70" s="185">
        <f t="shared" si="47"/>
        <v>0.34400000000000003</v>
      </c>
      <c r="CH70" s="185">
        <f t="shared" si="47"/>
        <v>0.34400000000000003</v>
      </c>
      <c r="CI70" s="173"/>
      <c r="CJ70" s="173"/>
      <c r="CK70" s="173"/>
      <c r="CL70" s="173"/>
      <c r="CM70" s="173"/>
      <c r="CN70" s="173"/>
      <c r="CO70" s="173"/>
      <c r="CP70" s="174"/>
      <c r="CQ70" s="174"/>
      <c r="CR70" s="174"/>
      <c r="CS70" s="174"/>
      <c r="CT70" s="174"/>
      <c r="CU70" s="174"/>
      <c r="CV70" s="174"/>
      <c r="CW70" s="165"/>
      <c r="CX70" s="166"/>
      <c r="CY70" s="166"/>
      <c r="CZ70" s="166"/>
      <c r="DA70" s="166"/>
      <c r="DB70" s="166"/>
      <c r="DC70" s="166"/>
      <c r="DD70" s="171"/>
      <c r="DE70" s="171"/>
      <c r="DF70" s="171"/>
      <c r="DG70" s="171"/>
      <c r="DH70" s="171"/>
      <c r="DI70" s="171"/>
      <c r="DJ70" s="171"/>
      <c r="DK70" s="79" t="s">
        <v>819</v>
      </c>
      <c r="DL70" s="128">
        <f>VLOOKUP($F70,Activities!$A$9:$I$180,3,FALSE)/$AI70</f>
        <v>0.34400000000000003</v>
      </c>
      <c r="DM70" s="128">
        <f>VLOOKUP($F70,Activities!$A$9:$I$180,4,FALSE)/$AI70</f>
        <v>0.34400000000000003</v>
      </c>
      <c r="DN70" s="128">
        <f>VLOOKUP($F70,Activities!$A$9:$I$180,5,FALSE)/$AI70</f>
        <v>0.34400000000000003</v>
      </c>
      <c r="DO70" s="128">
        <f>VLOOKUP($F70,Activities!$A$9:$I$180,6,FALSE)/$AI70</f>
        <v>0.34400000000000003</v>
      </c>
      <c r="DP70" s="128">
        <f>VLOOKUP($F70,Activities!$A$9:$I$180,7,FALSE)/$AI70</f>
        <v>0.34400000000000003</v>
      </c>
      <c r="DQ70" s="128">
        <f>VLOOKUP($F70,Activities!$A$9:$I$180,8,FALSE)/$AI70</f>
        <v>0.34400000000000003</v>
      </c>
      <c r="DR70" s="128">
        <f>VLOOKUP($F70,Activities!$A$9:$I$180,9,FALSE)/$AI70</f>
        <v>0.34400000000000003</v>
      </c>
      <c r="DS70" s="218"/>
      <c r="DT70" s="360"/>
      <c r="DU70" s="360"/>
      <c r="DV70" s="360"/>
      <c r="DW70" s="360"/>
      <c r="DX70" s="360"/>
      <c r="DY70" s="360"/>
      <c r="DZ70" s="360"/>
      <c r="EA70" s="360"/>
      <c r="EB70" s="360"/>
      <c r="EC70" s="360"/>
      <c r="ED70" s="360"/>
      <c r="EE70" s="360"/>
      <c r="EF70" s="360"/>
      <c r="EG70" s="360"/>
      <c r="EH70" s="360"/>
      <c r="EI70" s="360"/>
      <c r="EJ70" s="360"/>
      <c r="EK70" s="360"/>
      <c r="EL70" s="360"/>
      <c r="EM70" s="360"/>
      <c r="EN70" s="360"/>
      <c r="EO70" s="360"/>
      <c r="EP70" s="360"/>
      <c r="EQ70" s="360"/>
    </row>
    <row r="71" spans="1:147" x14ac:dyDescent="0.35">
      <c r="A71" s="6" t="s">
        <v>830</v>
      </c>
      <c r="B71" s="6" t="s">
        <v>740</v>
      </c>
      <c r="C71" s="6" t="s">
        <v>655</v>
      </c>
      <c r="D71" s="6" t="s">
        <v>741</v>
      </c>
      <c r="E71" s="6" t="s">
        <v>789</v>
      </c>
      <c r="F71" s="6" t="s">
        <v>347</v>
      </c>
      <c r="G71" s="48" t="s">
        <v>831</v>
      </c>
      <c r="H71" s="48" t="s">
        <v>832</v>
      </c>
      <c r="I71" s="102">
        <f>(141*1.0658)/0.3</f>
        <v>500.92600000000004</v>
      </c>
      <c r="J71" s="102">
        <f t="shared" ref="J71:O71" si="48">(141*1.0658)/0.3</f>
        <v>500.92600000000004</v>
      </c>
      <c r="K71" s="102">
        <f t="shared" si="48"/>
        <v>500.92600000000004</v>
      </c>
      <c r="L71" s="102">
        <f t="shared" si="48"/>
        <v>500.92600000000004</v>
      </c>
      <c r="M71" s="102">
        <f t="shared" si="48"/>
        <v>500.92600000000004</v>
      </c>
      <c r="N71" s="102">
        <f t="shared" si="48"/>
        <v>500.92600000000004</v>
      </c>
      <c r="O71" s="102">
        <f t="shared" si="48"/>
        <v>500.92600000000004</v>
      </c>
      <c r="P71" s="94">
        <v>0</v>
      </c>
      <c r="Q71" s="102">
        <f>I71*0.05</f>
        <v>25.046300000000002</v>
      </c>
      <c r="R71" s="102">
        <f t="shared" ref="R71:W74" si="49">J71*0.05</f>
        <v>25.046300000000002</v>
      </c>
      <c r="S71" s="102">
        <f t="shared" si="49"/>
        <v>25.046300000000002</v>
      </c>
      <c r="T71" s="102">
        <f t="shared" si="49"/>
        <v>25.046300000000002</v>
      </c>
      <c r="U71" s="102">
        <f t="shared" si="49"/>
        <v>25.046300000000002</v>
      </c>
      <c r="V71" s="102">
        <f t="shared" si="49"/>
        <v>25.046300000000002</v>
      </c>
      <c r="W71" s="102">
        <f t="shared" si="49"/>
        <v>25.046300000000002</v>
      </c>
      <c r="X71" s="102">
        <f>(18*1.0658)</f>
        <v>19.1844</v>
      </c>
      <c r="Y71" s="102">
        <f t="shared" ref="Y71:AD71" si="50">(18*1.0658)</f>
        <v>19.1844</v>
      </c>
      <c r="Z71" s="102">
        <f t="shared" si="50"/>
        <v>19.1844</v>
      </c>
      <c r="AA71" s="102">
        <f t="shared" si="50"/>
        <v>19.1844</v>
      </c>
      <c r="AB71" s="102">
        <f t="shared" si="50"/>
        <v>19.1844</v>
      </c>
      <c r="AC71" s="102">
        <f t="shared" si="50"/>
        <v>19.1844</v>
      </c>
      <c r="AD71" s="102">
        <f t="shared" si="50"/>
        <v>19.1844</v>
      </c>
      <c r="AE71" s="186">
        <v>0.08</v>
      </c>
      <c r="AF71" s="94"/>
      <c r="AG71" s="94">
        <v>25</v>
      </c>
      <c r="AH71" s="94">
        <v>25</v>
      </c>
      <c r="AI71" s="17">
        <v>1</v>
      </c>
      <c r="AJ71" s="17" t="s">
        <v>660</v>
      </c>
      <c r="AK71" s="17" t="s">
        <v>745</v>
      </c>
      <c r="AL71" s="17"/>
      <c r="AM71" s="61"/>
      <c r="AN71" s="61"/>
      <c r="AO71" s="61"/>
      <c r="AP71" s="61"/>
      <c r="AQ71" s="61"/>
      <c r="AR71" s="61"/>
      <c r="AS71" s="64"/>
      <c r="AT71" s="64"/>
      <c r="AU71" s="64"/>
      <c r="AV71" s="132"/>
      <c r="AW71" s="132"/>
      <c r="AX71" s="132"/>
      <c r="AY71" s="28" t="s">
        <v>662</v>
      </c>
      <c r="AZ71" s="28"/>
      <c r="BA71" s="354"/>
      <c r="BB71" s="28"/>
      <c r="BC71" s="28"/>
      <c r="BD71" s="28"/>
      <c r="BE71" s="28"/>
      <c r="BF71" s="28"/>
      <c r="BG71" s="28"/>
      <c r="BH71" s="106"/>
      <c r="BI71" s="106"/>
      <c r="BJ71" s="106"/>
      <c r="BK71" s="106"/>
      <c r="BL71" s="137"/>
      <c r="BM71" s="123"/>
      <c r="BN71" s="139">
        <f t="shared" ref="BN71:BN77" si="51">DL71</f>
        <v>0.58399999999999996</v>
      </c>
      <c r="BO71" s="94"/>
      <c r="BP71" s="94"/>
      <c r="BQ71" s="94"/>
      <c r="BR71" s="94">
        <f t="shared" ref="BR71" si="52">BQ71</f>
        <v>0</v>
      </c>
      <c r="BS71" s="94"/>
      <c r="BT71" s="94"/>
      <c r="BU71" s="28">
        <f t="shared" si="1"/>
        <v>0</v>
      </c>
      <c r="BV71" s="28"/>
      <c r="BW71" s="28"/>
      <c r="BX71" s="28"/>
      <c r="BY71" s="28"/>
      <c r="BZ71" s="28"/>
      <c r="CA71" s="28"/>
      <c r="CB71" s="99">
        <v>5</v>
      </c>
      <c r="CC71" s="185">
        <f t="shared" si="47"/>
        <v>0.58399999999999996</v>
      </c>
      <c r="CD71" s="185">
        <f t="shared" si="47"/>
        <v>0.58399999999999996</v>
      </c>
      <c r="CE71" s="185">
        <f t="shared" si="47"/>
        <v>0.58399999999999996</v>
      </c>
      <c r="CF71" s="185">
        <f t="shared" si="47"/>
        <v>0.58399999999999996</v>
      </c>
      <c r="CG71" s="185">
        <f t="shared" si="47"/>
        <v>0.58399999999999996</v>
      </c>
      <c r="CH71" s="185">
        <f t="shared" si="47"/>
        <v>0.58399999999999996</v>
      </c>
      <c r="CI71" s="175"/>
      <c r="CJ71" s="175"/>
      <c r="CK71" s="175"/>
      <c r="CL71" s="175"/>
      <c r="CM71" s="175"/>
      <c r="CN71" s="175"/>
      <c r="CO71" s="175"/>
      <c r="CP71" s="176"/>
      <c r="CQ71" s="176"/>
      <c r="CR71" s="176"/>
      <c r="CS71" s="176"/>
      <c r="CT71" s="176"/>
      <c r="CU71" s="176"/>
      <c r="CV71" s="176"/>
      <c r="CW71" s="167"/>
      <c r="CX71" s="168"/>
      <c r="CY71" s="168"/>
      <c r="CZ71" s="168"/>
      <c r="DA71" s="168"/>
      <c r="DB71" s="168"/>
      <c r="DC71" s="168"/>
      <c r="DD71" s="172"/>
      <c r="DE71" s="172"/>
      <c r="DF71" s="172"/>
      <c r="DG71" s="172"/>
      <c r="DH71" s="172"/>
      <c r="DI71" s="172"/>
      <c r="DJ71" s="172"/>
      <c r="DK71" s="80" t="s">
        <v>502</v>
      </c>
      <c r="DL71" s="128">
        <f>VLOOKUP($F71,Activities!$A$9:$I$180,3,FALSE)/$AI71</f>
        <v>0.58399999999999996</v>
      </c>
      <c r="DM71" s="128">
        <f>VLOOKUP($F71,Activities!$A$9:$I$180,4,FALSE)/$AI71</f>
        <v>0.58399999999999996</v>
      </c>
      <c r="DN71" s="128">
        <f>VLOOKUP($F71,Activities!$A$9:$I$180,5,FALSE)/$AI71</f>
        <v>0.58399999999999996</v>
      </c>
      <c r="DO71" s="128">
        <f>VLOOKUP($F71,Activities!$A$9:$I$180,6,FALSE)/$AI71</f>
        <v>0.58399999999999996</v>
      </c>
      <c r="DP71" s="128">
        <f>VLOOKUP($F71,Activities!$A$9:$I$180,7,FALSE)/$AI71</f>
        <v>0.58399999999999996</v>
      </c>
      <c r="DQ71" s="128">
        <f>VLOOKUP($F71,Activities!$A$9:$I$180,8,FALSE)/$AI71</f>
        <v>0.58399999999999996</v>
      </c>
      <c r="DR71" s="128">
        <f>VLOOKUP($F71,Activities!$A$9:$I$180,9,FALSE)/$AI71</f>
        <v>0.58399999999999996</v>
      </c>
      <c r="DS71" s="218"/>
      <c r="DT71" s="360"/>
      <c r="DU71" s="360"/>
      <c r="DV71" s="360"/>
      <c r="DW71" s="360"/>
      <c r="DX71" s="360"/>
      <c r="DY71" s="360"/>
      <c r="DZ71" s="360"/>
      <c r="EA71" s="360"/>
      <c r="EB71" s="360"/>
      <c r="EC71" s="360"/>
      <c r="ED71" s="360"/>
      <c r="EE71" s="360"/>
      <c r="EF71" s="360"/>
      <c r="EG71" s="360"/>
      <c r="EH71" s="360"/>
      <c r="EI71" s="360"/>
      <c r="EJ71" s="360"/>
      <c r="EK71" s="360"/>
      <c r="EL71" s="360"/>
      <c r="EM71" s="360"/>
      <c r="EN71" s="360"/>
      <c r="EO71" s="360"/>
      <c r="EP71" s="360"/>
      <c r="EQ71" s="360"/>
    </row>
    <row r="72" spans="1:147" x14ac:dyDescent="0.35">
      <c r="A72" s="5" t="s">
        <v>833</v>
      </c>
      <c r="B72" s="5" t="s">
        <v>740</v>
      </c>
      <c r="C72" s="5" t="s">
        <v>655</v>
      </c>
      <c r="D72" s="5" t="s">
        <v>741</v>
      </c>
      <c r="E72" s="5" t="s">
        <v>789</v>
      </c>
      <c r="F72" s="5" t="s">
        <v>349</v>
      </c>
      <c r="G72" s="47" t="s">
        <v>834</v>
      </c>
      <c r="H72" s="47" t="s">
        <v>835</v>
      </c>
      <c r="I72" s="101">
        <f>(154*1.0658)/0.25</f>
        <v>656.53280000000007</v>
      </c>
      <c r="J72" s="101">
        <f t="shared" ref="J72:O72" si="53">(154*1.0658)/0.25</f>
        <v>656.53280000000007</v>
      </c>
      <c r="K72" s="101">
        <f t="shared" si="53"/>
        <v>656.53280000000007</v>
      </c>
      <c r="L72" s="101">
        <f t="shared" si="53"/>
        <v>656.53280000000007</v>
      </c>
      <c r="M72" s="101">
        <f t="shared" si="53"/>
        <v>656.53280000000007</v>
      </c>
      <c r="N72" s="101">
        <f t="shared" si="53"/>
        <v>656.53280000000007</v>
      </c>
      <c r="O72" s="101">
        <f t="shared" si="53"/>
        <v>656.53280000000007</v>
      </c>
      <c r="P72" s="94">
        <v>0</v>
      </c>
      <c r="Q72" s="101">
        <f t="shared" ref="Q72:Q74" si="54">I72*0.05</f>
        <v>32.826640000000005</v>
      </c>
      <c r="R72" s="101">
        <f t="shared" si="49"/>
        <v>32.826640000000005</v>
      </c>
      <c r="S72" s="101">
        <f t="shared" si="49"/>
        <v>32.826640000000005</v>
      </c>
      <c r="T72" s="101">
        <f t="shared" si="49"/>
        <v>32.826640000000005</v>
      </c>
      <c r="U72" s="101">
        <f t="shared" si="49"/>
        <v>32.826640000000005</v>
      </c>
      <c r="V72" s="101">
        <f t="shared" si="49"/>
        <v>32.826640000000005</v>
      </c>
      <c r="W72" s="101">
        <f t="shared" si="49"/>
        <v>32.826640000000005</v>
      </c>
      <c r="X72" s="101">
        <f>(36*1.0658)</f>
        <v>38.3688</v>
      </c>
      <c r="Y72" s="101">
        <f t="shared" ref="Y72:AD72" si="55">(36*1.0658)</f>
        <v>38.3688</v>
      </c>
      <c r="Z72" s="101">
        <f t="shared" si="55"/>
        <v>38.3688</v>
      </c>
      <c r="AA72" s="101">
        <f t="shared" si="55"/>
        <v>38.3688</v>
      </c>
      <c r="AB72" s="101">
        <f t="shared" si="55"/>
        <v>38.3688</v>
      </c>
      <c r="AC72" s="101">
        <f t="shared" si="55"/>
        <v>38.3688</v>
      </c>
      <c r="AD72" s="101">
        <f t="shared" si="55"/>
        <v>38.3688</v>
      </c>
      <c r="AE72" s="186">
        <v>0.08</v>
      </c>
      <c r="AF72" s="93"/>
      <c r="AG72" s="93">
        <v>25</v>
      </c>
      <c r="AH72" s="93">
        <v>25</v>
      </c>
      <c r="AI72" s="16">
        <v>1</v>
      </c>
      <c r="AJ72" s="16" t="s">
        <v>660</v>
      </c>
      <c r="AK72" s="16" t="s">
        <v>745</v>
      </c>
      <c r="AL72" s="16"/>
      <c r="AM72" s="60"/>
      <c r="AN72" s="60"/>
      <c r="AO72" s="60"/>
      <c r="AP72" s="60"/>
      <c r="AQ72" s="60"/>
      <c r="AR72" s="60"/>
      <c r="AS72" s="63"/>
      <c r="AT72" s="63"/>
      <c r="AU72" s="63"/>
      <c r="AV72" s="131"/>
      <c r="AW72" s="131"/>
      <c r="AX72" s="131"/>
      <c r="AY72" s="27" t="s">
        <v>662</v>
      </c>
      <c r="AZ72" s="27"/>
      <c r="BA72" s="29"/>
      <c r="BB72" s="30"/>
      <c r="BC72" s="30"/>
      <c r="BD72" s="30"/>
      <c r="BE72" s="30"/>
      <c r="BF72" s="30"/>
      <c r="BG72" s="30"/>
      <c r="BH72" s="107"/>
      <c r="BI72" s="107"/>
      <c r="BJ72" s="107"/>
      <c r="BK72" s="107"/>
      <c r="BL72" s="136"/>
      <c r="BM72" s="122"/>
      <c r="BN72" s="138">
        <f t="shared" si="51"/>
        <v>0.64</v>
      </c>
      <c r="BO72" s="93"/>
      <c r="BP72" s="93"/>
      <c r="BQ72" s="93"/>
      <c r="BR72" s="93">
        <f>BN72</f>
        <v>0.64</v>
      </c>
      <c r="BS72" s="93"/>
      <c r="BT72" s="93"/>
      <c r="BU72" s="27">
        <f t="shared" si="1"/>
        <v>0</v>
      </c>
      <c r="BV72" s="27"/>
      <c r="BW72" s="27"/>
      <c r="BX72" s="27"/>
      <c r="BY72" s="27"/>
      <c r="BZ72" s="27"/>
      <c r="CA72" s="27"/>
      <c r="CB72" s="97">
        <v>5</v>
      </c>
      <c r="CC72" s="185">
        <f t="shared" si="47"/>
        <v>0.64</v>
      </c>
      <c r="CD72" s="185">
        <f t="shared" si="47"/>
        <v>0.64</v>
      </c>
      <c r="CE72" s="185">
        <f t="shared" si="47"/>
        <v>0.64</v>
      </c>
      <c r="CF72" s="185">
        <f t="shared" si="47"/>
        <v>0.64</v>
      </c>
      <c r="CG72" s="185">
        <f t="shared" si="47"/>
        <v>0.64</v>
      </c>
      <c r="CH72" s="185">
        <f t="shared" si="47"/>
        <v>0.64</v>
      </c>
      <c r="CI72" s="173"/>
      <c r="CJ72" s="173"/>
      <c r="CK72" s="173"/>
      <c r="CL72" s="173"/>
      <c r="CM72" s="173"/>
      <c r="CN72" s="173"/>
      <c r="CO72" s="173"/>
      <c r="CP72" s="174"/>
      <c r="CQ72" s="174"/>
      <c r="CR72" s="174"/>
      <c r="CS72" s="174"/>
      <c r="CT72" s="174"/>
      <c r="CU72" s="174"/>
      <c r="CV72" s="174"/>
      <c r="CW72" s="165"/>
      <c r="CX72" s="166"/>
      <c r="CY72" s="166"/>
      <c r="CZ72" s="166"/>
      <c r="DA72" s="166"/>
      <c r="DB72" s="166"/>
      <c r="DC72" s="166"/>
      <c r="DD72" s="171"/>
      <c r="DE72" s="171"/>
      <c r="DF72" s="171"/>
      <c r="DG72" s="171"/>
      <c r="DH72" s="171"/>
      <c r="DI72" s="171"/>
      <c r="DJ72" s="171"/>
      <c r="DK72" s="79" t="s">
        <v>502</v>
      </c>
      <c r="DL72" s="128">
        <f>VLOOKUP($F72,Activities!$A$9:$I$180,3,FALSE)/$AI72</f>
        <v>0.64</v>
      </c>
      <c r="DM72" s="128">
        <f>VLOOKUP($F72,Activities!$A$9:$I$180,4,FALSE)/$AI72</f>
        <v>0.64</v>
      </c>
      <c r="DN72" s="128">
        <f>VLOOKUP($F72,Activities!$A$9:$I$180,5,FALSE)/$AI72</f>
        <v>0.64</v>
      </c>
      <c r="DO72" s="128">
        <f>VLOOKUP($F72,Activities!$A$9:$I$180,6,FALSE)/$AI72</f>
        <v>0.64</v>
      </c>
      <c r="DP72" s="128">
        <f>VLOOKUP($F72,Activities!$A$9:$I$180,7,FALSE)/$AI72</f>
        <v>0.64</v>
      </c>
      <c r="DQ72" s="128">
        <f>VLOOKUP($F72,Activities!$A$9:$I$180,8,FALSE)/$AI72</f>
        <v>0.64</v>
      </c>
      <c r="DR72" s="128">
        <f>VLOOKUP($F72,Activities!$A$9:$I$180,9,FALSE)/$AI72</f>
        <v>0.64</v>
      </c>
      <c r="DS72" s="218"/>
      <c r="DT72" s="360"/>
      <c r="DU72" s="360"/>
      <c r="DV72" s="360"/>
      <c r="DW72" s="360"/>
      <c r="DX72" s="360"/>
      <c r="DY72" s="360"/>
      <c r="DZ72" s="360"/>
      <c r="EA72" s="360"/>
      <c r="EB72" s="360"/>
      <c r="EC72" s="360"/>
      <c r="ED72" s="360"/>
      <c r="EE72" s="360"/>
      <c r="EF72" s="360"/>
      <c r="EG72" s="360"/>
      <c r="EH72" s="360"/>
      <c r="EI72" s="360"/>
      <c r="EJ72" s="360"/>
      <c r="EK72" s="360"/>
      <c r="EL72" s="360"/>
      <c r="EM72" s="360"/>
      <c r="EN72" s="360"/>
      <c r="EO72" s="360"/>
      <c r="EP72" s="360"/>
      <c r="EQ72" s="360"/>
    </row>
    <row r="73" spans="1:147" x14ac:dyDescent="0.35">
      <c r="A73" s="6" t="s">
        <v>836</v>
      </c>
      <c r="B73" s="6" t="s">
        <v>740</v>
      </c>
      <c r="C73" s="6" t="s">
        <v>655</v>
      </c>
      <c r="D73" s="6" t="s">
        <v>741</v>
      </c>
      <c r="E73" s="6" t="s">
        <v>789</v>
      </c>
      <c r="F73" s="6" t="s">
        <v>351</v>
      </c>
      <c r="G73" s="48" t="s">
        <v>837</v>
      </c>
      <c r="H73" s="48" t="s">
        <v>838</v>
      </c>
      <c r="I73" s="102">
        <f>(AVERAGE(108,138)*1.0658)/0.2</f>
        <v>655.46699999999998</v>
      </c>
      <c r="J73" s="102">
        <f t="shared" ref="J73:O73" si="56">(AVERAGE(108,138)*1.0658)/0.2</f>
        <v>655.46699999999998</v>
      </c>
      <c r="K73" s="102">
        <f t="shared" si="56"/>
        <v>655.46699999999998</v>
      </c>
      <c r="L73" s="102">
        <f t="shared" si="56"/>
        <v>655.46699999999998</v>
      </c>
      <c r="M73" s="102">
        <f t="shared" si="56"/>
        <v>655.46699999999998</v>
      </c>
      <c r="N73" s="102">
        <f t="shared" si="56"/>
        <v>655.46699999999998</v>
      </c>
      <c r="O73" s="102">
        <f t="shared" si="56"/>
        <v>655.46699999999998</v>
      </c>
      <c r="P73" s="94">
        <v>0</v>
      </c>
      <c r="Q73" s="102">
        <f t="shared" si="54"/>
        <v>32.773350000000001</v>
      </c>
      <c r="R73" s="102">
        <f t="shared" si="49"/>
        <v>32.773350000000001</v>
      </c>
      <c r="S73" s="102">
        <f t="shared" si="49"/>
        <v>32.773350000000001</v>
      </c>
      <c r="T73" s="102">
        <f t="shared" si="49"/>
        <v>32.773350000000001</v>
      </c>
      <c r="U73" s="102">
        <f t="shared" si="49"/>
        <v>32.773350000000001</v>
      </c>
      <c r="V73" s="102">
        <f t="shared" si="49"/>
        <v>32.773350000000001</v>
      </c>
      <c r="W73" s="102">
        <f t="shared" si="49"/>
        <v>32.773350000000001</v>
      </c>
      <c r="X73" s="102">
        <f>(AVERAGE(30,30)*1.0658)</f>
        <v>31.974000000000004</v>
      </c>
      <c r="Y73" s="102">
        <f t="shared" ref="Y73:AD73" si="57">(AVERAGE(30,30)*1.0658)</f>
        <v>31.974000000000004</v>
      </c>
      <c r="Z73" s="102">
        <f t="shared" si="57"/>
        <v>31.974000000000004</v>
      </c>
      <c r="AA73" s="102">
        <f t="shared" si="57"/>
        <v>31.974000000000004</v>
      </c>
      <c r="AB73" s="102">
        <f t="shared" si="57"/>
        <v>31.974000000000004</v>
      </c>
      <c r="AC73" s="102">
        <f t="shared" si="57"/>
        <v>31.974000000000004</v>
      </c>
      <c r="AD73" s="102">
        <f t="shared" si="57"/>
        <v>31.974000000000004</v>
      </c>
      <c r="AE73" s="186">
        <v>0.08</v>
      </c>
      <c r="AF73" s="94"/>
      <c r="AG73" s="94">
        <v>25</v>
      </c>
      <c r="AH73" s="94">
        <v>25</v>
      </c>
      <c r="AI73" s="17">
        <v>1</v>
      </c>
      <c r="AJ73" s="17" t="s">
        <v>660</v>
      </c>
      <c r="AK73" s="17" t="s">
        <v>745</v>
      </c>
      <c r="AL73" s="17"/>
      <c r="AM73" s="61"/>
      <c r="AN73" s="61"/>
      <c r="AO73" s="61"/>
      <c r="AP73" s="61"/>
      <c r="AQ73" s="61"/>
      <c r="AR73" s="61"/>
      <c r="AS73" s="64"/>
      <c r="AT73" s="64"/>
      <c r="AU73" s="64"/>
      <c r="AV73" s="132"/>
      <c r="AW73" s="132"/>
      <c r="AX73" s="132"/>
      <c r="AY73" s="28" t="s">
        <v>662</v>
      </c>
      <c r="AZ73" s="28"/>
      <c r="BA73" s="354"/>
      <c r="BB73" s="28"/>
      <c r="BC73" s="28"/>
      <c r="BD73" s="28"/>
      <c r="BE73" s="28"/>
      <c r="BF73" s="28"/>
      <c r="BG73" s="28"/>
      <c r="BH73" s="106"/>
      <c r="BI73" s="106"/>
      <c r="BJ73" s="106"/>
      <c r="BK73" s="106"/>
      <c r="BL73" s="137"/>
      <c r="BM73" s="123"/>
      <c r="BN73" s="139">
        <f t="shared" si="51"/>
        <v>0.248</v>
      </c>
      <c r="BO73" s="94"/>
      <c r="BP73" s="94"/>
      <c r="BQ73" s="94"/>
      <c r="BR73" s="93">
        <f t="shared" ref="BR73:BR79" si="58">BN73</f>
        <v>0.248</v>
      </c>
      <c r="BS73" s="94"/>
      <c r="BT73" s="94"/>
      <c r="BU73" s="28">
        <f t="shared" si="1"/>
        <v>0</v>
      </c>
      <c r="BV73" s="28"/>
      <c r="BW73" s="28"/>
      <c r="BX73" s="28"/>
      <c r="BY73" s="28"/>
      <c r="BZ73" s="28"/>
      <c r="CA73" s="28"/>
      <c r="CB73" s="99">
        <v>5</v>
      </c>
      <c r="CC73" s="185">
        <f t="shared" si="47"/>
        <v>0.248</v>
      </c>
      <c r="CD73" s="185">
        <f t="shared" si="47"/>
        <v>0.248</v>
      </c>
      <c r="CE73" s="185">
        <f t="shared" si="47"/>
        <v>0.248</v>
      </c>
      <c r="CF73" s="185">
        <f t="shared" si="47"/>
        <v>0.248</v>
      </c>
      <c r="CG73" s="185">
        <f t="shared" si="47"/>
        <v>0.248</v>
      </c>
      <c r="CH73" s="185">
        <f t="shared" si="47"/>
        <v>0.248</v>
      </c>
      <c r="CI73" s="175"/>
      <c r="CJ73" s="175"/>
      <c r="CK73" s="175"/>
      <c r="CL73" s="175"/>
      <c r="CM73" s="175"/>
      <c r="CN73" s="175"/>
      <c r="CO73" s="175"/>
      <c r="CP73" s="176"/>
      <c r="CQ73" s="176"/>
      <c r="CR73" s="176"/>
      <c r="CS73" s="176"/>
      <c r="CT73" s="176"/>
      <c r="CU73" s="176"/>
      <c r="CV73" s="176"/>
      <c r="CW73" s="167"/>
      <c r="CX73" s="168"/>
      <c r="CY73" s="168"/>
      <c r="CZ73" s="168"/>
      <c r="DA73" s="168"/>
      <c r="DB73" s="168"/>
      <c r="DC73" s="168"/>
      <c r="DD73" s="172"/>
      <c r="DE73" s="172"/>
      <c r="DF73" s="172"/>
      <c r="DG73" s="172"/>
      <c r="DH73" s="172"/>
      <c r="DI73" s="172"/>
      <c r="DJ73" s="172"/>
      <c r="DK73" s="80" t="s">
        <v>502</v>
      </c>
      <c r="DL73" s="128">
        <f>VLOOKUP($F73,Activities!$A$9:$I$180,3,FALSE)/$AI73</f>
        <v>0.248</v>
      </c>
      <c r="DM73" s="128">
        <f>VLOOKUP($F73,Activities!$A$9:$I$180,4,FALSE)/$AI73</f>
        <v>0.248</v>
      </c>
      <c r="DN73" s="128">
        <f>VLOOKUP($F73,Activities!$A$9:$I$180,5,FALSE)/$AI73</f>
        <v>0.248</v>
      </c>
      <c r="DO73" s="128">
        <f>VLOOKUP($F73,Activities!$A$9:$I$180,6,FALSE)/$AI73</f>
        <v>0.248</v>
      </c>
      <c r="DP73" s="128">
        <f>VLOOKUP($F73,Activities!$A$9:$I$180,7,FALSE)/$AI73</f>
        <v>0.248</v>
      </c>
      <c r="DQ73" s="128">
        <f>VLOOKUP($F73,Activities!$A$9:$I$180,8,FALSE)/$AI73</f>
        <v>0.248</v>
      </c>
      <c r="DR73" s="128">
        <f>VLOOKUP($F73,Activities!$A$9:$I$180,9,FALSE)/$AI73</f>
        <v>0.248</v>
      </c>
      <c r="DS73" s="218"/>
      <c r="DT73" s="360"/>
      <c r="DU73" s="360"/>
      <c r="DV73" s="360"/>
      <c r="DW73" s="360"/>
      <c r="DX73" s="360"/>
      <c r="DY73" s="360"/>
      <c r="DZ73" s="360"/>
      <c r="EA73" s="360"/>
      <c r="EB73" s="360"/>
      <c r="EC73" s="360"/>
      <c r="ED73" s="360"/>
      <c r="EE73" s="360"/>
      <c r="EF73" s="360"/>
      <c r="EG73" s="360"/>
      <c r="EH73" s="360"/>
      <c r="EI73" s="360"/>
      <c r="EJ73" s="360"/>
      <c r="EK73" s="360"/>
      <c r="EL73" s="360"/>
      <c r="EM73" s="360"/>
      <c r="EN73" s="360"/>
      <c r="EO73" s="360"/>
      <c r="EP73" s="360"/>
      <c r="EQ73" s="360"/>
    </row>
    <row r="74" spans="1:147" x14ac:dyDescent="0.35">
      <c r="A74" s="5" t="s">
        <v>839</v>
      </c>
      <c r="B74" s="5" t="s">
        <v>740</v>
      </c>
      <c r="C74" s="5" t="s">
        <v>655</v>
      </c>
      <c r="D74" s="5" t="s">
        <v>741</v>
      </c>
      <c r="E74" s="5" t="s">
        <v>789</v>
      </c>
      <c r="F74" s="5" t="s">
        <v>353</v>
      </c>
      <c r="G74" s="47" t="s">
        <v>840</v>
      </c>
      <c r="H74" s="47" t="s">
        <v>841</v>
      </c>
      <c r="I74" s="101">
        <f>(AVERAGE(90/0.2,114/0.25)*1.0658)</f>
        <v>482.80740000000003</v>
      </c>
      <c r="J74" s="101">
        <f t="shared" ref="J74:O74" si="59">(AVERAGE(90/0.2,114/0.25)*1.0658)</f>
        <v>482.80740000000003</v>
      </c>
      <c r="K74" s="101">
        <f t="shared" si="59"/>
        <v>482.80740000000003</v>
      </c>
      <c r="L74" s="101">
        <f t="shared" si="59"/>
        <v>482.80740000000003</v>
      </c>
      <c r="M74" s="101">
        <f t="shared" si="59"/>
        <v>482.80740000000003</v>
      </c>
      <c r="N74" s="101">
        <f t="shared" si="59"/>
        <v>482.80740000000003</v>
      </c>
      <c r="O74" s="101">
        <f t="shared" si="59"/>
        <v>482.80740000000003</v>
      </c>
      <c r="P74" s="94">
        <v>0</v>
      </c>
      <c r="Q74" s="101">
        <f t="shared" si="54"/>
        <v>24.140370000000004</v>
      </c>
      <c r="R74" s="101">
        <f t="shared" si="49"/>
        <v>24.140370000000004</v>
      </c>
      <c r="S74" s="101">
        <f t="shared" si="49"/>
        <v>24.140370000000004</v>
      </c>
      <c r="T74" s="101">
        <f t="shared" si="49"/>
        <v>24.140370000000004</v>
      </c>
      <c r="U74" s="101">
        <f t="shared" si="49"/>
        <v>24.140370000000004</v>
      </c>
      <c r="V74" s="101">
        <f t="shared" si="49"/>
        <v>24.140370000000004</v>
      </c>
      <c r="W74" s="101">
        <f t="shared" si="49"/>
        <v>24.140370000000004</v>
      </c>
      <c r="X74" s="101">
        <f>(AVERAGE(36,30)*1.0658)</f>
        <v>35.171400000000006</v>
      </c>
      <c r="Y74" s="101">
        <f t="shared" ref="Y74:AD74" si="60">(AVERAGE(36,30)*1.0658)</f>
        <v>35.171400000000006</v>
      </c>
      <c r="Z74" s="101">
        <f t="shared" si="60"/>
        <v>35.171400000000006</v>
      </c>
      <c r="AA74" s="101">
        <f t="shared" si="60"/>
        <v>35.171400000000006</v>
      </c>
      <c r="AB74" s="101">
        <f t="shared" si="60"/>
        <v>35.171400000000006</v>
      </c>
      <c r="AC74" s="101">
        <f t="shared" si="60"/>
        <v>35.171400000000006</v>
      </c>
      <c r="AD74" s="101">
        <f t="shared" si="60"/>
        <v>35.171400000000006</v>
      </c>
      <c r="AE74" s="186">
        <v>0.08</v>
      </c>
      <c r="AF74" s="93"/>
      <c r="AG74" s="93">
        <v>25</v>
      </c>
      <c r="AH74" s="93">
        <v>25</v>
      </c>
      <c r="AI74" s="16">
        <v>1</v>
      </c>
      <c r="AJ74" s="16" t="s">
        <v>660</v>
      </c>
      <c r="AK74" s="16" t="s">
        <v>745</v>
      </c>
      <c r="AL74" s="16"/>
      <c r="AM74" s="60"/>
      <c r="AN74" s="60"/>
      <c r="AO74" s="60"/>
      <c r="AP74" s="60"/>
      <c r="AQ74" s="60"/>
      <c r="AR74" s="60"/>
      <c r="AS74" s="63"/>
      <c r="AT74" s="63"/>
      <c r="AU74" s="63"/>
      <c r="AV74" s="131"/>
      <c r="AW74" s="131"/>
      <c r="AX74" s="131"/>
      <c r="AY74" s="27" t="s">
        <v>662</v>
      </c>
      <c r="AZ74" s="27"/>
      <c r="BA74" s="29"/>
      <c r="BB74" s="30"/>
      <c r="BC74" s="30"/>
      <c r="BD74" s="30"/>
      <c r="BE74" s="30"/>
      <c r="BF74" s="30"/>
      <c r="BG74" s="30"/>
      <c r="BH74" s="107"/>
      <c r="BI74" s="107"/>
      <c r="BJ74" s="107"/>
      <c r="BK74" s="107"/>
      <c r="BL74" s="136"/>
      <c r="BM74" s="122"/>
      <c r="BN74" s="138">
        <f t="shared" si="51"/>
        <v>0.6</v>
      </c>
      <c r="BO74" s="93"/>
      <c r="BP74" s="93"/>
      <c r="BQ74" s="93"/>
      <c r="BR74" s="93">
        <f t="shared" si="58"/>
        <v>0.6</v>
      </c>
      <c r="BS74" s="93"/>
      <c r="BT74" s="93"/>
      <c r="BU74" s="27">
        <f t="shared" si="1"/>
        <v>0</v>
      </c>
      <c r="BV74" s="27"/>
      <c r="BW74" s="27"/>
      <c r="BX74" s="27"/>
      <c r="BY74" s="27"/>
      <c r="BZ74" s="27"/>
      <c r="CA74" s="27"/>
      <c r="CB74" s="97">
        <v>5</v>
      </c>
      <c r="CC74" s="185">
        <f t="shared" si="47"/>
        <v>0.6</v>
      </c>
      <c r="CD74" s="185">
        <f t="shared" si="47"/>
        <v>0.6</v>
      </c>
      <c r="CE74" s="185">
        <f t="shared" si="47"/>
        <v>0.6</v>
      </c>
      <c r="CF74" s="185">
        <f t="shared" si="47"/>
        <v>0.6</v>
      </c>
      <c r="CG74" s="185">
        <f t="shared" si="47"/>
        <v>0.6</v>
      </c>
      <c r="CH74" s="185">
        <f t="shared" si="47"/>
        <v>0.6</v>
      </c>
      <c r="CI74" s="173"/>
      <c r="CJ74" s="173"/>
      <c r="CK74" s="173"/>
      <c r="CL74" s="173"/>
      <c r="CM74" s="173"/>
      <c r="CN74" s="173"/>
      <c r="CO74" s="173"/>
      <c r="CP74" s="174"/>
      <c r="CQ74" s="174"/>
      <c r="CR74" s="174"/>
      <c r="CS74" s="174"/>
      <c r="CT74" s="174"/>
      <c r="CU74" s="174"/>
      <c r="CV74" s="174"/>
      <c r="CW74" s="165"/>
      <c r="CX74" s="166"/>
      <c r="CY74" s="166"/>
      <c r="CZ74" s="166"/>
      <c r="DA74" s="166"/>
      <c r="DB74" s="166"/>
      <c r="DC74" s="166"/>
      <c r="DD74" s="171"/>
      <c r="DE74" s="171"/>
      <c r="DF74" s="171"/>
      <c r="DG74" s="171"/>
      <c r="DH74" s="171"/>
      <c r="DI74" s="171"/>
      <c r="DJ74" s="171"/>
      <c r="DK74" s="79" t="s">
        <v>502</v>
      </c>
      <c r="DL74" s="128">
        <f>VLOOKUP($F74,Activities!$A$9:$I$180,3,FALSE)/$AI74</f>
        <v>0.6</v>
      </c>
      <c r="DM74" s="128">
        <f>VLOOKUP($F74,Activities!$A$9:$I$180,4,FALSE)/$AI74</f>
        <v>0.6</v>
      </c>
      <c r="DN74" s="128">
        <f>VLOOKUP($F74,Activities!$A$9:$I$180,5,FALSE)/$AI74</f>
        <v>0.6</v>
      </c>
      <c r="DO74" s="128">
        <f>VLOOKUP($F74,Activities!$A$9:$I$180,6,FALSE)/$AI74</f>
        <v>0.6</v>
      </c>
      <c r="DP74" s="128">
        <f>VLOOKUP($F74,Activities!$A$9:$I$180,7,FALSE)/$AI74</f>
        <v>0.6</v>
      </c>
      <c r="DQ74" s="128">
        <f>VLOOKUP($F74,Activities!$A$9:$I$180,8,FALSE)/$AI74</f>
        <v>0.6</v>
      </c>
      <c r="DR74" s="128">
        <f>VLOOKUP($F74,Activities!$A$9:$I$180,9,FALSE)/$AI74</f>
        <v>0.6</v>
      </c>
      <c r="DS74" s="218"/>
      <c r="DT74" s="360"/>
      <c r="DU74" s="360"/>
      <c r="DV74" s="360"/>
      <c r="DW74" s="360"/>
      <c r="DX74" s="360"/>
      <c r="DY74" s="360"/>
      <c r="DZ74" s="360"/>
      <c r="EA74" s="360"/>
      <c r="EB74" s="360"/>
      <c r="EC74" s="360"/>
      <c r="ED74" s="360"/>
      <c r="EE74" s="360"/>
      <c r="EF74" s="360"/>
      <c r="EG74" s="360"/>
      <c r="EH74" s="360"/>
      <c r="EI74" s="360"/>
      <c r="EJ74" s="360"/>
      <c r="EK74" s="360"/>
      <c r="EL74" s="360"/>
      <c r="EM74" s="360"/>
      <c r="EN74" s="360"/>
      <c r="EO74" s="360"/>
      <c r="EP74" s="360"/>
      <c r="EQ74" s="360"/>
    </row>
    <row r="75" spans="1:147" x14ac:dyDescent="0.35">
      <c r="A75" s="6" t="s">
        <v>842</v>
      </c>
      <c r="B75" s="6" t="s">
        <v>740</v>
      </c>
      <c r="C75" s="6" t="s">
        <v>655</v>
      </c>
      <c r="D75" s="6" t="s">
        <v>741</v>
      </c>
      <c r="E75" s="6" t="s">
        <v>789</v>
      </c>
      <c r="F75" s="6" t="s">
        <v>843</v>
      </c>
      <c r="G75" s="48" t="s">
        <v>844</v>
      </c>
      <c r="H75" s="48" t="s">
        <v>815</v>
      </c>
      <c r="I75" s="102">
        <v>0</v>
      </c>
      <c r="J75" s="102">
        <v>0</v>
      </c>
      <c r="K75" s="102">
        <v>0</v>
      </c>
      <c r="L75" s="102">
        <v>0</v>
      </c>
      <c r="M75" s="102">
        <v>0</v>
      </c>
      <c r="N75" s="102">
        <v>0</v>
      </c>
      <c r="O75" s="102">
        <v>0</v>
      </c>
      <c r="P75" s="94">
        <v>0</v>
      </c>
      <c r="Q75" s="102">
        <v>0</v>
      </c>
      <c r="R75" s="102">
        <v>0</v>
      </c>
      <c r="S75" s="102">
        <v>0</v>
      </c>
      <c r="T75" s="102">
        <v>0</v>
      </c>
      <c r="U75" s="102">
        <v>0</v>
      </c>
      <c r="V75" s="102">
        <v>0</v>
      </c>
      <c r="W75" s="102">
        <v>0</v>
      </c>
      <c r="X75" s="102">
        <v>0</v>
      </c>
      <c r="Y75" s="102">
        <v>0</v>
      </c>
      <c r="Z75" s="102">
        <v>0</v>
      </c>
      <c r="AA75" s="102">
        <v>0</v>
      </c>
      <c r="AB75" s="102">
        <v>0</v>
      </c>
      <c r="AC75" s="102">
        <v>0</v>
      </c>
      <c r="AD75" s="102">
        <v>0</v>
      </c>
      <c r="AE75" s="186">
        <v>0.08</v>
      </c>
      <c r="AF75" s="94"/>
      <c r="AG75" s="94">
        <v>25</v>
      </c>
      <c r="AH75" s="94">
        <v>25</v>
      </c>
      <c r="AI75" s="17">
        <v>1</v>
      </c>
      <c r="AJ75" s="17" t="s">
        <v>660</v>
      </c>
      <c r="AK75" s="17" t="s">
        <v>745</v>
      </c>
      <c r="AL75" s="17"/>
      <c r="AM75" s="61"/>
      <c r="AN75" s="61"/>
      <c r="AO75" s="61"/>
      <c r="AP75" s="61"/>
      <c r="AQ75" s="61"/>
      <c r="AR75" s="61"/>
      <c r="AS75" s="64"/>
      <c r="AT75" s="64"/>
      <c r="AU75" s="64"/>
      <c r="AV75" s="132"/>
      <c r="AW75" s="132"/>
      <c r="AX75" s="132"/>
      <c r="AY75" s="28" t="s">
        <v>662</v>
      </c>
      <c r="AZ75" s="28"/>
      <c r="BA75" s="354"/>
      <c r="BB75" s="28"/>
      <c r="BC75" s="28"/>
      <c r="BD75" s="28"/>
      <c r="BE75" s="28"/>
      <c r="BF75" s="28"/>
      <c r="BG75" s="28"/>
      <c r="BH75" s="106"/>
      <c r="BI75" s="106"/>
      <c r="BJ75" s="106"/>
      <c r="BK75" s="106"/>
      <c r="BL75" s="137"/>
      <c r="BM75" s="123"/>
      <c r="BN75" s="139">
        <f t="shared" si="51"/>
        <v>0.96522772277227731</v>
      </c>
      <c r="BO75" s="94"/>
      <c r="BP75" s="94"/>
      <c r="BQ75" s="94"/>
      <c r="BR75" s="93"/>
      <c r="BS75" s="94"/>
      <c r="BT75" s="94"/>
      <c r="BU75" s="28">
        <v>0</v>
      </c>
      <c r="BV75" s="28"/>
      <c r="BW75" s="28"/>
      <c r="BX75" s="28"/>
      <c r="BY75" s="28"/>
      <c r="BZ75" s="28"/>
      <c r="CA75" s="28"/>
      <c r="CB75" s="99">
        <v>10</v>
      </c>
      <c r="CC75" s="99">
        <v>10</v>
      </c>
      <c r="CD75" s="99">
        <v>10</v>
      </c>
      <c r="CE75" s="99">
        <v>10</v>
      </c>
      <c r="CF75" s="99">
        <v>10</v>
      </c>
      <c r="CG75" s="99">
        <v>10</v>
      </c>
      <c r="CH75" s="99">
        <v>10</v>
      </c>
      <c r="CI75" s="175"/>
      <c r="CJ75" s="175"/>
      <c r="CK75" s="175"/>
      <c r="CL75" s="175"/>
      <c r="CM75" s="175"/>
      <c r="CN75" s="175"/>
      <c r="CO75" s="175"/>
      <c r="CP75" s="176"/>
      <c r="CQ75" s="176"/>
      <c r="CR75" s="176"/>
      <c r="CS75" s="176"/>
      <c r="CT75" s="176"/>
      <c r="CU75" s="176"/>
      <c r="CV75" s="176"/>
      <c r="CW75" s="167"/>
      <c r="CX75" s="168"/>
      <c r="CY75" s="168"/>
      <c r="CZ75" s="168"/>
      <c r="DA75" s="168"/>
      <c r="DB75" s="168"/>
      <c r="DC75" s="168"/>
      <c r="DD75" s="172"/>
      <c r="DE75" s="172"/>
      <c r="DF75" s="172"/>
      <c r="DG75" s="172"/>
      <c r="DH75" s="172"/>
      <c r="DI75" s="172"/>
      <c r="DJ75" s="172"/>
      <c r="DK75" s="80" t="s">
        <v>502</v>
      </c>
      <c r="DL75" s="128">
        <f>VLOOKUP($F75,Activities!$A$9:$I$180,3,FALSE)/$AI75</f>
        <v>0.96522772277227731</v>
      </c>
      <c r="DM75" s="128">
        <f>VLOOKUP($F75,Activities!$A$9:$I$180,4,FALSE)/$AI75</f>
        <v>0.96522772277227731</v>
      </c>
      <c r="DN75" s="128">
        <f>VLOOKUP($F75,Activities!$A$9:$I$180,5,FALSE)/$AI75</f>
        <v>0.96522772277227731</v>
      </c>
      <c r="DO75" s="128">
        <f>VLOOKUP($F75,Activities!$A$9:$I$180,6,FALSE)/$AI75</f>
        <v>0.96522772277227731</v>
      </c>
      <c r="DP75" s="128">
        <f>VLOOKUP($F75,Activities!$A$9:$I$180,7,FALSE)/$AI75</f>
        <v>0.96522772277227731</v>
      </c>
      <c r="DQ75" s="128">
        <f>VLOOKUP($F75,Activities!$A$9:$I$180,8,FALSE)/$AI75</f>
        <v>0.96522772277227731</v>
      </c>
      <c r="DR75" s="128">
        <f>VLOOKUP($F75,Activities!$A$9:$I$180,9,FALSE)/$AI75</f>
        <v>0.96522772277227731</v>
      </c>
      <c r="DS75" s="218"/>
      <c r="DT75" s="360"/>
      <c r="DU75" s="360"/>
      <c r="DV75" s="360"/>
      <c r="DW75" s="360"/>
      <c r="DX75" s="360"/>
      <c r="DY75" s="360"/>
      <c r="DZ75" s="360"/>
      <c r="EA75" s="360"/>
      <c r="EB75" s="360"/>
      <c r="EC75" s="360"/>
      <c r="ED75" s="360"/>
      <c r="EE75" s="360"/>
      <c r="EF75" s="360"/>
      <c r="EG75" s="360"/>
      <c r="EH75" s="360"/>
      <c r="EI75" s="360"/>
      <c r="EJ75" s="360"/>
      <c r="EK75" s="360"/>
      <c r="EL75" s="360"/>
      <c r="EM75" s="360"/>
      <c r="EN75" s="360"/>
      <c r="EO75" s="360"/>
      <c r="EP75" s="360"/>
      <c r="EQ75" s="360"/>
    </row>
    <row r="76" spans="1:147" x14ac:dyDescent="0.35">
      <c r="A76" s="5" t="s">
        <v>845</v>
      </c>
      <c r="B76" s="5" t="s">
        <v>740</v>
      </c>
      <c r="C76" s="5" t="s">
        <v>655</v>
      </c>
      <c r="D76" s="5" t="s">
        <v>741</v>
      </c>
      <c r="E76" s="5" t="s">
        <v>789</v>
      </c>
      <c r="F76" s="5" t="s">
        <v>846</v>
      </c>
      <c r="G76" s="47" t="s">
        <v>847</v>
      </c>
      <c r="H76" s="47" t="s">
        <v>791</v>
      </c>
      <c r="I76" s="101">
        <v>0</v>
      </c>
      <c r="J76" s="101">
        <v>0</v>
      </c>
      <c r="K76" s="101">
        <v>0</v>
      </c>
      <c r="L76" s="101">
        <v>0</v>
      </c>
      <c r="M76" s="101">
        <v>0</v>
      </c>
      <c r="N76" s="101">
        <v>0</v>
      </c>
      <c r="O76" s="101">
        <v>0</v>
      </c>
      <c r="P76" s="94">
        <v>0</v>
      </c>
      <c r="Q76" s="101">
        <v>0</v>
      </c>
      <c r="R76" s="101">
        <v>0</v>
      </c>
      <c r="S76" s="101">
        <v>0</v>
      </c>
      <c r="T76" s="101">
        <v>0</v>
      </c>
      <c r="U76" s="101">
        <v>0</v>
      </c>
      <c r="V76" s="101">
        <v>0</v>
      </c>
      <c r="W76" s="101">
        <v>0</v>
      </c>
      <c r="X76" s="101">
        <v>0</v>
      </c>
      <c r="Y76" s="101">
        <v>0</v>
      </c>
      <c r="Z76" s="101">
        <v>0</v>
      </c>
      <c r="AA76" s="101">
        <v>0</v>
      </c>
      <c r="AB76" s="101">
        <v>0</v>
      </c>
      <c r="AC76" s="101">
        <v>0</v>
      </c>
      <c r="AD76" s="101">
        <v>0</v>
      </c>
      <c r="AE76" s="186">
        <v>0.08</v>
      </c>
      <c r="AF76" s="93"/>
      <c r="AG76" s="93">
        <v>25</v>
      </c>
      <c r="AH76" s="93">
        <v>25</v>
      </c>
      <c r="AI76" s="16">
        <v>1</v>
      </c>
      <c r="AJ76" s="16" t="s">
        <v>660</v>
      </c>
      <c r="AK76" s="16" t="s">
        <v>745</v>
      </c>
      <c r="AL76" s="16"/>
      <c r="AM76" s="60"/>
      <c r="AN76" s="60"/>
      <c r="AO76" s="60"/>
      <c r="AP76" s="60"/>
      <c r="AQ76" s="60"/>
      <c r="AR76" s="60"/>
      <c r="AS76" s="63"/>
      <c r="AT76" s="63"/>
      <c r="AU76" s="63"/>
      <c r="AV76" s="131"/>
      <c r="AW76" s="131"/>
      <c r="AX76" s="131"/>
      <c r="AY76" s="27" t="s">
        <v>662</v>
      </c>
      <c r="AZ76" s="27"/>
      <c r="BA76" s="29"/>
      <c r="BB76" s="30"/>
      <c r="BC76" s="30"/>
      <c r="BD76" s="30"/>
      <c r="BE76" s="30"/>
      <c r="BF76" s="30"/>
      <c r="BG76" s="30"/>
      <c r="BH76" s="107"/>
      <c r="BI76" s="107"/>
      <c r="BJ76" s="107"/>
      <c r="BK76" s="107"/>
      <c r="BL76" s="136"/>
      <c r="BM76" s="122"/>
      <c r="BN76" s="138">
        <f t="shared" si="51"/>
        <v>0.40030929773114754</v>
      </c>
      <c r="BO76" s="93"/>
      <c r="BP76" s="93"/>
      <c r="BQ76" s="93"/>
      <c r="BR76" s="93"/>
      <c r="BS76" s="93"/>
      <c r="BT76" s="93"/>
      <c r="BU76" s="27">
        <v>0</v>
      </c>
      <c r="BV76" s="27"/>
      <c r="BW76" s="27"/>
      <c r="BX76" s="27"/>
      <c r="BY76" s="27"/>
      <c r="BZ76" s="27"/>
      <c r="CA76" s="27"/>
      <c r="CB76" s="97">
        <v>10</v>
      </c>
      <c r="CC76" s="97">
        <v>10</v>
      </c>
      <c r="CD76" s="97">
        <v>10</v>
      </c>
      <c r="CE76" s="97">
        <v>10</v>
      </c>
      <c r="CF76" s="97">
        <v>10</v>
      </c>
      <c r="CG76" s="97">
        <v>10</v>
      </c>
      <c r="CH76" s="97">
        <v>10</v>
      </c>
      <c r="CI76" s="173"/>
      <c r="CJ76" s="173"/>
      <c r="CK76" s="173"/>
      <c r="CL76" s="173"/>
      <c r="CM76" s="173"/>
      <c r="CN76" s="173"/>
      <c r="CO76" s="173"/>
      <c r="CP76" s="174"/>
      <c r="CQ76" s="174"/>
      <c r="CR76" s="174"/>
      <c r="CS76" s="174"/>
      <c r="CT76" s="174"/>
      <c r="CU76" s="174"/>
      <c r="CV76" s="174"/>
      <c r="CW76" s="165"/>
      <c r="CX76" s="166"/>
      <c r="CY76" s="166"/>
      <c r="CZ76" s="166"/>
      <c r="DA76" s="166"/>
      <c r="DB76" s="166"/>
      <c r="DC76" s="166"/>
      <c r="DD76" s="171"/>
      <c r="DE76" s="171"/>
      <c r="DF76" s="171"/>
      <c r="DG76" s="171"/>
      <c r="DH76" s="171"/>
      <c r="DI76" s="171"/>
      <c r="DJ76" s="171"/>
      <c r="DK76" s="79" t="s">
        <v>502</v>
      </c>
      <c r="DL76" s="128">
        <f>VLOOKUP($F76,Activities!$A$9:$I$180,3,FALSE)/$AI76</f>
        <v>0.40030929773114754</v>
      </c>
      <c r="DM76" s="128">
        <f>VLOOKUP($F76,Activities!$A$9:$I$180,4,FALSE)/$AI76</f>
        <v>0.40030929773114754</v>
      </c>
      <c r="DN76" s="128">
        <f>VLOOKUP($F76,Activities!$A$9:$I$180,5,FALSE)/$AI76</f>
        <v>0.40030929773114754</v>
      </c>
      <c r="DO76" s="128">
        <f>VLOOKUP($F76,Activities!$A$9:$I$180,6,FALSE)/$AI76</f>
        <v>0.40030929773114754</v>
      </c>
      <c r="DP76" s="128">
        <f>VLOOKUP($F76,Activities!$A$9:$I$180,7,FALSE)/$AI76</f>
        <v>0.40030929773114754</v>
      </c>
      <c r="DQ76" s="128">
        <f>VLOOKUP($F76,Activities!$A$9:$I$180,8,FALSE)/$AI76</f>
        <v>0.40030929773114754</v>
      </c>
      <c r="DR76" s="128">
        <f>VLOOKUP($F76,Activities!$A$9:$I$180,9,FALSE)/$AI76</f>
        <v>0.40030929773114754</v>
      </c>
      <c r="DS76" s="218"/>
      <c r="DT76" s="360"/>
      <c r="DU76" s="360"/>
      <c r="DV76" s="360"/>
      <c r="DW76" s="360"/>
      <c r="DX76" s="360"/>
      <c r="DY76" s="360"/>
      <c r="DZ76" s="360"/>
      <c r="EA76" s="360"/>
      <c r="EB76" s="360"/>
      <c r="EC76" s="360"/>
      <c r="ED76" s="360"/>
      <c r="EE76" s="360"/>
      <c r="EF76" s="360"/>
      <c r="EG76" s="360"/>
      <c r="EH76" s="360"/>
      <c r="EI76" s="360"/>
      <c r="EJ76" s="360"/>
      <c r="EK76" s="360"/>
      <c r="EL76" s="360"/>
      <c r="EM76" s="360"/>
      <c r="EN76" s="360"/>
      <c r="EO76" s="360"/>
      <c r="EP76" s="360"/>
      <c r="EQ76" s="360"/>
    </row>
    <row r="77" spans="1:147" x14ac:dyDescent="0.35">
      <c r="A77" s="6" t="s">
        <v>848</v>
      </c>
      <c r="B77" s="6" t="s">
        <v>740</v>
      </c>
      <c r="C77" s="6" t="s">
        <v>655</v>
      </c>
      <c r="D77" s="6" t="s">
        <v>741</v>
      </c>
      <c r="E77" s="6" t="s">
        <v>789</v>
      </c>
      <c r="F77" s="6" t="s">
        <v>355</v>
      </c>
      <c r="G77" s="48" t="s">
        <v>849</v>
      </c>
      <c r="H77" s="48" t="s">
        <v>850</v>
      </c>
      <c r="I77" s="102">
        <v>0</v>
      </c>
      <c r="J77" s="102">
        <v>0</v>
      </c>
      <c r="K77" s="102">
        <v>0</v>
      </c>
      <c r="L77" s="102">
        <v>0</v>
      </c>
      <c r="M77" s="102">
        <v>0</v>
      </c>
      <c r="N77" s="102">
        <v>0</v>
      </c>
      <c r="O77" s="102">
        <v>0</v>
      </c>
      <c r="P77" s="94">
        <v>0</v>
      </c>
      <c r="Q77" s="102">
        <v>0</v>
      </c>
      <c r="R77" s="102">
        <v>0</v>
      </c>
      <c r="S77" s="102">
        <v>0</v>
      </c>
      <c r="T77" s="102">
        <v>0</v>
      </c>
      <c r="U77" s="102">
        <v>0</v>
      </c>
      <c r="V77" s="102">
        <v>0</v>
      </c>
      <c r="W77" s="102">
        <v>0</v>
      </c>
      <c r="X77" s="102">
        <v>0</v>
      </c>
      <c r="Y77" s="102">
        <v>0</v>
      </c>
      <c r="Z77" s="102">
        <v>0</v>
      </c>
      <c r="AA77" s="102">
        <v>0</v>
      </c>
      <c r="AB77" s="102">
        <v>0</v>
      </c>
      <c r="AC77" s="102">
        <v>0</v>
      </c>
      <c r="AD77" s="102">
        <v>0</v>
      </c>
      <c r="AE77" s="186">
        <v>0.08</v>
      </c>
      <c r="AF77" s="94"/>
      <c r="AG77" s="94">
        <v>25</v>
      </c>
      <c r="AH77" s="94">
        <v>25</v>
      </c>
      <c r="AI77" s="17">
        <v>1</v>
      </c>
      <c r="AJ77" s="17" t="s">
        <v>660</v>
      </c>
      <c r="AK77" s="17" t="s">
        <v>745</v>
      </c>
      <c r="AL77" s="17"/>
      <c r="AM77" s="61"/>
      <c r="AN77" s="61"/>
      <c r="AO77" s="61"/>
      <c r="AP77" s="61"/>
      <c r="AQ77" s="61"/>
      <c r="AR77" s="61"/>
      <c r="AS77" s="64"/>
      <c r="AT77" s="64"/>
      <c r="AU77" s="64"/>
      <c r="AV77" s="132"/>
      <c r="AW77" s="132"/>
      <c r="AX77" s="132"/>
      <c r="AY77" s="28" t="s">
        <v>662</v>
      </c>
      <c r="AZ77" s="28"/>
      <c r="BA77" s="354"/>
      <c r="BB77" s="28"/>
      <c r="BC77" s="28"/>
      <c r="BD77" s="28"/>
      <c r="BE77" s="28"/>
      <c r="BF77" s="28"/>
      <c r="BG77" s="28"/>
      <c r="BH77" s="106"/>
      <c r="BI77" s="106"/>
      <c r="BJ77" s="106"/>
      <c r="BK77" s="106"/>
      <c r="BL77" s="137"/>
      <c r="BM77" s="123"/>
      <c r="BN77" s="139">
        <f t="shared" si="51"/>
        <v>0.27360000000000001</v>
      </c>
      <c r="BO77" s="94"/>
      <c r="BP77" s="94"/>
      <c r="BQ77" s="94"/>
      <c r="BR77" s="93"/>
      <c r="BS77" s="94"/>
      <c r="BT77" s="94"/>
      <c r="BU77" s="28">
        <v>0</v>
      </c>
      <c r="BV77" s="28"/>
      <c r="BW77" s="28"/>
      <c r="BX77" s="28"/>
      <c r="BY77" s="28"/>
      <c r="BZ77" s="28"/>
      <c r="CA77" s="28"/>
      <c r="CB77" s="99">
        <v>10</v>
      </c>
      <c r="CC77" s="99">
        <v>10</v>
      </c>
      <c r="CD77" s="99">
        <v>10</v>
      </c>
      <c r="CE77" s="99">
        <v>10</v>
      </c>
      <c r="CF77" s="99">
        <v>10</v>
      </c>
      <c r="CG77" s="99">
        <v>10</v>
      </c>
      <c r="CH77" s="99">
        <v>10</v>
      </c>
      <c r="CI77" s="175"/>
      <c r="CJ77" s="175"/>
      <c r="CK77" s="175"/>
      <c r="CL77" s="175"/>
      <c r="CM77" s="175"/>
      <c r="CN77" s="175"/>
      <c r="CO77" s="175"/>
      <c r="CP77" s="176"/>
      <c r="CQ77" s="176"/>
      <c r="CR77" s="176"/>
      <c r="CS77" s="176"/>
      <c r="CT77" s="176"/>
      <c r="CU77" s="176"/>
      <c r="CV77" s="176"/>
      <c r="CW77" s="167"/>
      <c r="CX77" s="168"/>
      <c r="CY77" s="168"/>
      <c r="CZ77" s="168"/>
      <c r="DA77" s="168"/>
      <c r="DB77" s="168"/>
      <c r="DC77" s="168"/>
      <c r="DD77" s="172"/>
      <c r="DE77" s="172"/>
      <c r="DF77" s="172"/>
      <c r="DG77" s="172"/>
      <c r="DH77" s="172"/>
      <c r="DI77" s="172"/>
      <c r="DJ77" s="172"/>
      <c r="DK77" s="80" t="s">
        <v>502</v>
      </c>
      <c r="DL77" s="128">
        <f>VLOOKUP($F77,Activities!$A$9:$I$180,3,FALSE)/$AI77</f>
        <v>0.27360000000000001</v>
      </c>
      <c r="DM77" s="128">
        <f>VLOOKUP($F77,Activities!$A$9:$I$180,4,FALSE)/$AI77</f>
        <v>0.27360000000000001</v>
      </c>
      <c r="DN77" s="128">
        <f>VLOOKUP($F77,Activities!$A$9:$I$180,5,FALSE)/$AI77</f>
        <v>0.27360000000000001</v>
      </c>
      <c r="DO77" s="128">
        <f>VLOOKUP($F77,Activities!$A$9:$I$180,6,FALSE)/$AI77</f>
        <v>0.27360000000000001</v>
      </c>
      <c r="DP77" s="128">
        <f>VLOOKUP($F77,Activities!$A$9:$I$180,7,FALSE)/$AI77</f>
        <v>0.27360000000000001</v>
      </c>
      <c r="DQ77" s="128">
        <f>VLOOKUP($F77,Activities!$A$9:$I$180,8,FALSE)/$AI77</f>
        <v>0.27360000000000001</v>
      </c>
      <c r="DR77" s="128">
        <f>VLOOKUP($F77,Activities!$A$9:$I$180,9,FALSE)/$AI77</f>
        <v>0.27360000000000001</v>
      </c>
      <c r="DS77" s="218"/>
      <c r="DT77" s="360"/>
      <c r="DU77" s="360"/>
      <c r="DV77" s="360"/>
      <c r="DW77" s="360"/>
      <c r="DX77" s="360"/>
      <c r="DY77" s="360"/>
      <c r="DZ77" s="360"/>
      <c r="EA77" s="360"/>
      <c r="EB77" s="360"/>
      <c r="EC77" s="360"/>
      <c r="ED77" s="360"/>
      <c r="EE77" s="360"/>
      <c r="EF77" s="360"/>
      <c r="EG77" s="360"/>
      <c r="EH77" s="360"/>
      <c r="EI77" s="360"/>
      <c r="EJ77" s="360"/>
      <c r="EK77" s="360"/>
      <c r="EL77" s="360"/>
      <c r="EM77" s="360"/>
      <c r="EN77" s="360"/>
      <c r="EO77" s="360"/>
      <c r="EP77" s="360"/>
      <c r="EQ77" s="360"/>
    </row>
    <row r="78" spans="1:147" x14ac:dyDescent="0.35">
      <c r="A78" s="5" t="s">
        <v>851</v>
      </c>
      <c r="B78" s="5" t="s">
        <v>740</v>
      </c>
      <c r="C78" s="5" t="s">
        <v>788</v>
      </c>
      <c r="D78" s="5" t="s">
        <v>741</v>
      </c>
      <c r="E78" s="5" t="s">
        <v>789</v>
      </c>
      <c r="F78" s="5" t="s">
        <v>428</v>
      </c>
      <c r="G78" s="47" t="s">
        <v>852</v>
      </c>
      <c r="H78" s="47" t="s">
        <v>850</v>
      </c>
      <c r="I78" s="101">
        <f>I73</f>
        <v>655.46699999999998</v>
      </c>
      <c r="J78" s="101">
        <f t="shared" ref="J78:O78" si="61">J73</f>
        <v>655.46699999999998</v>
      </c>
      <c r="K78" s="101">
        <f t="shared" si="61"/>
        <v>655.46699999999998</v>
      </c>
      <c r="L78" s="101">
        <f t="shared" si="61"/>
        <v>655.46699999999998</v>
      </c>
      <c r="M78" s="101">
        <f t="shared" si="61"/>
        <v>655.46699999999998</v>
      </c>
      <c r="N78" s="101">
        <f t="shared" si="61"/>
        <v>655.46699999999998</v>
      </c>
      <c r="O78" s="101">
        <f t="shared" si="61"/>
        <v>655.46699999999998</v>
      </c>
      <c r="P78" s="94">
        <v>0</v>
      </c>
      <c r="Q78" s="101">
        <f>I78*0.05</f>
        <v>32.773350000000001</v>
      </c>
      <c r="R78" s="101">
        <f t="shared" ref="R78:W80" si="62">J78*0.05</f>
        <v>32.773350000000001</v>
      </c>
      <c r="S78" s="101">
        <f t="shared" si="62"/>
        <v>32.773350000000001</v>
      </c>
      <c r="T78" s="101">
        <f t="shared" si="62"/>
        <v>32.773350000000001</v>
      </c>
      <c r="U78" s="101">
        <f t="shared" si="62"/>
        <v>32.773350000000001</v>
      </c>
      <c r="V78" s="101">
        <f t="shared" si="62"/>
        <v>32.773350000000001</v>
      </c>
      <c r="W78" s="101">
        <f>O78*0.05</f>
        <v>32.773350000000001</v>
      </c>
      <c r="X78" s="101">
        <f>X73</f>
        <v>31.974000000000004</v>
      </c>
      <c r="Y78" s="101">
        <f t="shared" ref="Y78:AD78" si="63">Y73</f>
        <v>31.974000000000004</v>
      </c>
      <c r="Z78" s="101">
        <f t="shared" si="63"/>
        <v>31.974000000000004</v>
      </c>
      <c r="AA78" s="101">
        <f t="shared" si="63"/>
        <v>31.974000000000004</v>
      </c>
      <c r="AB78" s="101">
        <f t="shared" si="63"/>
        <v>31.974000000000004</v>
      </c>
      <c r="AC78" s="101">
        <f t="shared" si="63"/>
        <v>31.974000000000004</v>
      </c>
      <c r="AD78" s="101">
        <f t="shared" si="63"/>
        <v>31.974000000000004</v>
      </c>
      <c r="AE78" s="186">
        <v>0.08</v>
      </c>
      <c r="AF78" s="93"/>
      <c r="AG78" s="93">
        <v>25</v>
      </c>
      <c r="AH78" s="93">
        <v>25</v>
      </c>
      <c r="AI78" s="16">
        <v>1</v>
      </c>
      <c r="AJ78" s="16" t="s">
        <v>660</v>
      </c>
      <c r="AK78" s="16" t="s">
        <v>745</v>
      </c>
      <c r="AL78" s="16"/>
      <c r="AM78" s="60"/>
      <c r="AN78" s="60"/>
      <c r="AO78" s="60"/>
      <c r="AP78" s="60"/>
      <c r="AQ78" s="60"/>
      <c r="AR78" s="60"/>
      <c r="AS78" s="63"/>
      <c r="AT78" s="63"/>
      <c r="AU78" s="63"/>
      <c r="AV78" s="131"/>
      <c r="AW78" s="131"/>
      <c r="AX78" s="131"/>
      <c r="AY78" s="27" t="s">
        <v>662</v>
      </c>
      <c r="AZ78" s="27"/>
      <c r="BA78" s="29"/>
      <c r="BB78" s="30"/>
      <c r="BC78" s="30"/>
      <c r="BD78" s="30"/>
      <c r="BE78" s="30"/>
      <c r="BF78" s="30"/>
      <c r="BG78" s="30"/>
      <c r="BH78" s="107"/>
      <c r="BI78" s="107"/>
      <c r="BJ78" s="107"/>
      <c r="BK78" s="107"/>
      <c r="BL78" s="136"/>
      <c r="BM78" s="122"/>
      <c r="BN78" s="138">
        <f>BN77+0.84*Activities!C32</f>
        <v>0.55987199999999993</v>
      </c>
      <c r="BO78" s="93"/>
      <c r="BP78" s="93"/>
      <c r="BQ78" s="93"/>
      <c r="BR78" s="93">
        <f t="shared" si="58"/>
        <v>0.55987199999999993</v>
      </c>
      <c r="BS78" s="93"/>
      <c r="BT78" s="93"/>
      <c r="BU78" s="27">
        <v>0</v>
      </c>
      <c r="BV78" s="27"/>
      <c r="BW78" s="27"/>
      <c r="BX78" s="27"/>
      <c r="BY78" s="27"/>
      <c r="BZ78" s="27"/>
      <c r="CA78" s="27"/>
      <c r="CB78" s="97">
        <v>10</v>
      </c>
      <c r="CC78" s="97">
        <v>10</v>
      </c>
      <c r="CD78" s="97">
        <v>10</v>
      </c>
      <c r="CE78" s="97">
        <v>10</v>
      </c>
      <c r="CF78" s="97">
        <v>10</v>
      </c>
      <c r="CG78" s="97">
        <v>10</v>
      </c>
      <c r="CH78" s="97">
        <v>10</v>
      </c>
      <c r="CI78" s="173"/>
      <c r="CJ78" s="173"/>
      <c r="CK78" s="173"/>
      <c r="CL78" s="173"/>
      <c r="CM78" s="173"/>
      <c r="CN78" s="173"/>
      <c r="CO78" s="173"/>
      <c r="CP78" s="174"/>
      <c r="CQ78" s="174"/>
      <c r="CR78" s="174"/>
      <c r="CS78" s="174"/>
      <c r="CT78" s="174"/>
      <c r="CU78" s="174"/>
      <c r="CV78" s="174"/>
      <c r="CW78" s="165"/>
      <c r="CX78" s="166"/>
      <c r="CY78" s="166"/>
      <c r="CZ78" s="166"/>
      <c r="DA78" s="166"/>
      <c r="DB78" s="166"/>
      <c r="DC78" s="166"/>
      <c r="DD78" s="171"/>
      <c r="DE78" s="171"/>
      <c r="DF78" s="171"/>
      <c r="DG78" s="171"/>
      <c r="DH78" s="171"/>
      <c r="DI78" s="171"/>
      <c r="DJ78" s="171"/>
      <c r="DK78" s="79" t="s">
        <v>502</v>
      </c>
      <c r="DL78" s="128">
        <f>VLOOKUP($F78,Activities!$A$9:$I$180,3,FALSE)/$AI78</f>
        <v>0</v>
      </c>
      <c r="DM78" s="128">
        <f>VLOOKUP($F78,Activities!$A$9:$I$180,4,FALSE)/$AI78</f>
        <v>0</v>
      </c>
      <c r="DN78" s="128">
        <f>VLOOKUP($F78,Activities!$A$9:$I$180,5,FALSE)/$AI78</f>
        <v>0</v>
      </c>
      <c r="DO78" s="128">
        <f>VLOOKUP($F78,Activities!$A$9:$I$180,6,FALSE)/$AI78</f>
        <v>0</v>
      </c>
      <c r="DP78" s="128">
        <f>VLOOKUP($F78,Activities!$A$9:$I$180,7,FALSE)/$AI78</f>
        <v>0</v>
      </c>
      <c r="DQ78" s="128">
        <f>VLOOKUP($F78,Activities!$A$9:$I$180,8,FALSE)/$AI78</f>
        <v>0</v>
      </c>
      <c r="DR78" s="128">
        <f>VLOOKUP($F78,Activities!$A$9:$I$180,9,FALSE)/$AI78</f>
        <v>0</v>
      </c>
      <c r="DS78" s="218"/>
      <c r="DT78" s="360"/>
      <c r="DU78" s="360"/>
      <c r="DV78" s="360"/>
      <c r="DW78" s="360"/>
      <c r="DX78" s="360"/>
      <c r="DY78" s="360"/>
      <c r="DZ78" s="360"/>
      <c r="EA78" s="360"/>
      <c r="EB78" s="360"/>
      <c r="EC78" s="360"/>
      <c r="ED78" s="360"/>
      <c r="EE78" s="360"/>
      <c r="EF78" s="360"/>
      <c r="EG78" s="360"/>
      <c r="EH78" s="360"/>
      <c r="EI78" s="360"/>
      <c r="EJ78" s="360"/>
      <c r="EK78" s="360"/>
      <c r="EL78" s="360"/>
      <c r="EM78" s="360"/>
      <c r="EN78" s="360"/>
      <c r="EO78" s="360"/>
      <c r="EP78" s="360"/>
      <c r="EQ78" s="360"/>
    </row>
    <row r="79" spans="1:147" x14ac:dyDescent="0.35">
      <c r="A79" s="6" t="s">
        <v>853</v>
      </c>
      <c r="B79" s="6" t="s">
        <v>740</v>
      </c>
      <c r="C79" s="6" t="s">
        <v>788</v>
      </c>
      <c r="D79" s="6" t="s">
        <v>741</v>
      </c>
      <c r="E79" s="6" t="s">
        <v>789</v>
      </c>
      <c r="F79" s="6" t="s">
        <v>432</v>
      </c>
      <c r="G79" s="48" t="s">
        <v>854</v>
      </c>
      <c r="H79" s="48" t="s">
        <v>855</v>
      </c>
      <c r="I79" s="102">
        <f>(141*1.0658)/0.3</f>
        <v>500.92600000000004</v>
      </c>
      <c r="J79" s="102">
        <f t="shared" ref="J79:O79" si="64">(141*1.0658)/0.3</f>
        <v>500.92600000000004</v>
      </c>
      <c r="K79" s="102">
        <f t="shared" si="64"/>
        <v>500.92600000000004</v>
      </c>
      <c r="L79" s="102">
        <f t="shared" si="64"/>
        <v>500.92600000000004</v>
      </c>
      <c r="M79" s="102">
        <f t="shared" si="64"/>
        <v>500.92600000000004</v>
      </c>
      <c r="N79" s="102">
        <f t="shared" si="64"/>
        <v>500.92600000000004</v>
      </c>
      <c r="O79" s="102">
        <f t="shared" si="64"/>
        <v>500.92600000000004</v>
      </c>
      <c r="P79" s="94">
        <v>0</v>
      </c>
      <c r="Q79" s="102">
        <f>I79*0.05</f>
        <v>25.046300000000002</v>
      </c>
      <c r="R79" s="102">
        <f t="shared" si="62"/>
        <v>25.046300000000002</v>
      </c>
      <c r="S79" s="102">
        <f t="shared" si="62"/>
        <v>25.046300000000002</v>
      </c>
      <c r="T79" s="102">
        <f t="shared" si="62"/>
        <v>25.046300000000002</v>
      </c>
      <c r="U79" s="102">
        <f t="shared" si="62"/>
        <v>25.046300000000002</v>
      </c>
      <c r="V79" s="102">
        <f t="shared" si="62"/>
        <v>25.046300000000002</v>
      </c>
      <c r="W79" s="102">
        <f t="shared" si="62"/>
        <v>25.046300000000002</v>
      </c>
      <c r="X79" s="102">
        <f>(18*1.0658)</f>
        <v>19.1844</v>
      </c>
      <c r="Y79" s="102">
        <f t="shared" ref="Y79:AD79" si="65">(18*1.0658)</f>
        <v>19.1844</v>
      </c>
      <c r="Z79" s="102">
        <f t="shared" si="65"/>
        <v>19.1844</v>
      </c>
      <c r="AA79" s="102">
        <f t="shared" si="65"/>
        <v>19.1844</v>
      </c>
      <c r="AB79" s="102">
        <f t="shared" si="65"/>
        <v>19.1844</v>
      </c>
      <c r="AC79" s="102">
        <f t="shared" si="65"/>
        <v>19.1844</v>
      </c>
      <c r="AD79" s="102">
        <f t="shared" si="65"/>
        <v>19.1844</v>
      </c>
      <c r="AE79" s="186">
        <v>0.08</v>
      </c>
      <c r="AF79" s="94"/>
      <c r="AG79" s="94">
        <v>25</v>
      </c>
      <c r="AH79" s="94">
        <v>25</v>
      </c>
      <c r="AI79" s="17">
        <v>1</v>
      </c>
      <c r="AJ79" s="17" t="s">
        <v>660</v>
      </c>
      <c r="AK79" s="17" t="s">
        <v>745</v>
      </c>
      <c r="AL79" s="17"/>
      <c r="AM79" s="61"/>
      <c r="AN79" s="61"/>
      <c r="AO79" s="61"/>
      <c r="AP79" s="61"/>
      <c r="AQ79" s="61"/>
      <c r="AR79" s="61"/>
      <c r="AS79" s="64"/>
      <c r="AT79" s="64"/>
      <c r="AU79" s="64"/>
      <c r="AV79" s="132"/>
      <c r="AW79" s="132"/>
      <c r="AX79" s="132"/>
      <c r="AY79" s="28" t="s">
        <v>662</v>
      </c>
      <c r="AZ79" s="28"/>
      <c r="BA79" s="354"/>
      <c r="BB79" s="28"/>
      <c r="BC79" s="28"/>
      <c r="BD79" s="28"/>
      <c r="BE79" s="28"/>
      <c r="BF79" s="28"/>
      <c r="BG79" s="28"/>
      <c r="BH79" s="106"/>
      <c r="BI79" s="106"/>
      <c r="BJ79" s="106"/>
      <c r="BK79" s="106"/>
      <c r="BL79" s="137"/>
      <c r="BM79" s="123"/>
      <c r="BN79" s="139">
        <f>Activities!C32</f>
        <v>0.34079999999999994</v>
      </c>
      <c r="BO79" s="94"/>
      <c r="BP79" s="94"/>
      <c r="BQ79" s="94"/>
      <c r="BR79" s="93">
        <f t="shared" si="58"/>
        <v>0.34079999999999994</v>
      </c>
      <c r="BS79" s="94"/>
      <c r="BT79" s="94"/>
      <c r="BU79" s="28">
        <v>0</v>
      </c>
      <c r="BV79" s="28"/>
      <c r="BW79" s="28"/>
      <c r="BX79" s="28"/>
      <c r="BY79" s="28"/>
      <c r="BZ79" s="28"/>
      <c r="CA79" s="28"/>
      <c r="CB79" s="99">
        <v>5</v>
      </c>
      <c r="CC79" s="99">
        <v>5</v>
      </c>
      <c r="CD79" s="99">
        <v>5</v>
      </c>
      <c r="CE79" s="99">
        <v>5</v>
      </c>
      <c r="CF79" s="99">
        <v>5</v>
      </c>
      <c r="CG79" s="99">
        <v>5</v>
      </c>
      <c r="CH79" s="99">
        <v>5</v>
      </c>
      <c r="CI79" s="175"/>
      <c r="CJ79" s="175"/>
      <c r="CK79" s="175"/>
      <c r="CL79" s="175"/>
      <c r="CM79" s="175"/>
      <c r="CN79" s="175"/>
      <c r="CO79" s="175"/>
      <c r="CP79" s="176"/>
      <c r="CQ79" s="176"/>
      <c r="CR79" s="176"/>
      <c r="CS79" s="176"/>
      <c r="CT79" s="176"/>
      <c r="CU79" s="176"/>
      <c r="CV79" s="176"/>
      <c r="CW79" s="167"/>
      <c r="CX79" s="168"/>
      <c r="CY79" s="168"/>
      <c r="CZ79" s="168"/>
      <c r="DA79" s="168"/>
      <c r="DB79" s="168"/>
      <c r="DC79" s="168"/>
      <c r="DD79" s="172"/>
      <c r="DE79" s="172"/>
      <c r="DF79" s="172"/>
      <c r="DG79" s="172"/>
      <c r="DH79" s="172"/>
      <c r="DI79" s="172"/>
      <c r="DJ79" s="172"/>
      <c r="DK79" s="80" t="s">
        <v>502</v>
      </c>
      <c r="DL79" s="128">
        <f>VLOOKUP($F79,Activities!$A$9:$I$180,3,FALSE)/$AI79</f>
        <v>0</v>
      </c>
      <c r="DM79" s="128">
        <f>VLOOKUP($F79,Activities!$A$9:$I$180,4,FALSE)/$AI79</f>
        <v>0</v>
      </c>
      <c r="DN79" s="128">
        <f>VLOOKUP($F79,Activities!$A$9:$I$180,5,FALSE)/$AI79</f>
        <v>0</v>
      </c>
      <c r="DO79" s="128">
        <f>VLOOKUP($F79,Activities!$A$9:$I$180,6,FALSE)/$AI79</f>
        <v>0</v>
      </c>
      <c r="DP79" s="128">
        <f>VLOOKUP($F79,Activities!$A$9:$I$180,7,FALSE)/$AI79</f>
        <v>0</v>
      </c>
      <c r="DQ79" s="128">
        <f>VLOOKUP($F79,Activities!$A$9:$I$180,8,FALSE)/$AI79</f>
        <v>0</v>
      </c>
      <c r="DR79" s="128">
        <f>VLOOKUP($F79,Activities!$A$9:$I$180,9,FALSE)/$AI79</f>
        <v>0</v>
      </c>
      <c r="DS79" s="218"/>
      <c r="DT79" s="360"/>
      <c r="DU79" s="360"/>
      <c r="DV79" s="360"/>
      <c r="DW79" s="360"/>
      <c r="DX79" s="360"/>
      <c r="DY79" s="360"/>
      <c r="DZ79" s="360"/>
      <c r="EA79" s="360"/>
      <c r="EB79" s="360"/>
      <c r="EC79" s="360"/>
      <c r="ED79" s="360"/>
      <c r="EE79" s="360"/>
      <c r="EF79" s="360"/>
      <c r="EG79" s="360"/>
      <c r="EH79" s="360"/>
      <c r="EI79" s="360"/>
      <c r="EJ79" s="360"/>
      <c r="EK79" s="360"/>
      <c r="EL79" s="360"/>
      <c r="EM79" s="360"/>
      <c r="EN79" s="360"/>
      <c r="EO79" s="360"/>
      <c r="EP79" s="360"/>
      <c r="EQ79" s="360"/>
    </row>
    <row r="80" spans="1:147" x14ac:dyDescent="0.35">
      <c r="A80" s="5" t="s">
        <v>856</v>
      </c>
      <c r="B80" s="5" t="s">
        <v>740</v>
      </c>
      <c r="C80" s="5" t="s">
        <v>655</v>
      </c>
      <c r="D80" s="5" t="s">
        <v>741</v>
      </c>
      <c r="E80" s="5" t="s">
        <v>789</v>
      </c>
      <c r="F80" s="5" t="s">
        <v>357</v>
      </c>
      <c r="G80" s="47" t="s">
        <v>857</v>
      </c>
      <c r="H80" s="47" t="s">
        <v>858</v>
      </c>
      <c r="I80" s="101">
        <f>(AVERAGE(108,138)*1.0658)/0.2</f>
        <v>655.46699999999998</v>
      </c>
      <c r="J80" s="101">
        <f t="shared" ref="J80:O80" si="66">(AVERAGE(108,138)*1.0658)/0.2</f>
        <v>655.46699999999998</v>
      </c>
      <c r="K80" s="101">
        <f t="shared" si="66"/>
        <v>655.46699999999998</v>
      </c>
      <c r="L80" s="101">
        <f t="shared" si="66"/>
        <v>655.46699999999998</v>
      </c>
      <c r="M80" s="101">
        <f t="shared" si="66"/>
        <v>655.46699999999998</v>
      </c>
      <c r="N80" s="101">
        <f t="shared" si="66"/>
        <v>655.46699999999998</v>
      </c>
      <c r="O80" s="101">
        <f t="shared" si="66"/>
        <v>655.46699999999998</v>
      </c>
      <c r="P80" s="94">
        <v>0</v>
      </c>
      <c r="Q80" s="101">
        <f>I80*0.05</f>
        <v>32.773350000000001</v>
      </c>
      <c r="R80" s="101">
        <f t="shared" si="62"/>
        <v>32.773350000000001</v>
      </c>
      <c r="S80" s="101">
        <f t="shared" si="62"/>
        <v>32.773350000000001</v>
      </c>
      <c r="T80" s="101">
        <f t="shared" si="62"/>
        <v>32.773350000000001</v>
      </c>
      <c r="U80" s="101">
        <f t="shared" si="62"/>
        <v>32.773350000000001</v>
      </c>
      <c r="V80" s="101">
        <f t="shared" si="62"/>
        <v>32.773350000000001</v>
      </c>
      <c r="W80" s="101">
        <f t="shared" si="62"/>
        <v>32.773350000000001</v>
      </c>
      <c r="X80" s="101">
        <f>(AVERAGE(30,30)*1.0658)</f>
        <v>31.974000000000004</v>
      </c>
      <c r="Y80" s="101">
        <f t="shared" ref="Y80:AD81" si="67">(AVERAGE(30,30)*1.0658)</f>
        <v>31.974000000000004</v>
      </c>
      <c r="Z80" s="101">
        <f t="shared" si="67"/>
        <v>31.974000000000004</v>
      </c>
      <c r="AA80" s="101">
        <f t="shared" si="67"/>
        <v>31.974000000000004</v>
      </c>
      <c r="AB80" s="101">
        <f t="shared" si="67"/>
        <v>31.974000000000004</v>
      </c>
      <c r="AC80" s="101">
        <f t="shared" si="67"/>
        <v>31.974000000000004</v>
      </c>
      <c r="AD80" s="101">
        <f t="shared" si="67"/>
        <v>31.974000000000004</v>
      </c>
      <c r="AE80" s="186">
        <v>0.08</v>
      </c>
      <c r="AF80" s="93"/>
      <c r="AG80" s="93">
        <v>25</v>
      </c>
      <c r="AH80" s="93">
        <v>25</v>
      </c>
      <c r="AI80" s="16">
        <v>1</v>
      </c>
      <c r="AJ80" s="16" t="s">
        <v>660</v>
      </c>
      <c r="AK80" s="16" t="s">
        <v>745</v>
      </c>
      <c r="AL80" s="16"/>
      <c r="AM80" s="60"/>
      <c r="AN80" s="60"/>
      <c r="AO80" s="60"/>
      <c r="AP80" s="60"/>
      <c r="AQ80" s="60"/>
      <c r="AR80" s="60"/>
      <c r="AS80" s="63"/>
      <c r="AT80" s="63"/>
      <c r="AU80" s="63"/>
      <c r="AV80" s="131"/>
      <c r="AW80" s="131"/>
      <c r="AX80" s="131"/>
      <c r="AY80" s="27" t="s">
        <v>662</v>
      </c>
      <c r="AZ80" s="27"/>
      <c r="BA80" s="29"/>
      <c r="BB80" s="30"/>
      <c r="BC80" s="30"/>
      <c r="BD80" s="30"/>
      <c r="BE80" s="30"/>
      <c r="BF80" s="30"/>
      <c r="BG80" s="30"/>
      <c r="BH80" s="107"/>
      <c r="BI80" s="107"/>
      <c r="BJ80" s="107"/>
      <c r="BK80" s="107"/>
      <c r="BL80" s="136"/>
      <c r="BM80" s="122"/>
      <c r="BN80" s="138">
        <f>DL80</f>
        <v>0.6</v>
      </c>
      <c r="BO80" s="93"/>
      <c r="BP80" s="93"/>
      <c r="BQ80" s="93"/>
      <c r="BR80" s="93">
        <f>BN80</f>
        <v>0.6</v>
      </c>
      <c r="BS80" s="93"/>
      <c r="BT80" s="93"/>
      <c r="BU80" s="27">
        <f t="shared" si="1"/>
        <v>0</v>
      </c>
      <c r="BV80" s="27"/>
      <c r="BW80" s="27"/>
      <c r="BX80" s="27"/>
      <c r="BY80" s="27"/>
      <c r="BZ80" s="27"/>
      <c r="CA80" s="27"/>
      <c r="CB80" s="97">
        <v>5</v>
      </c>
      <c r="CC80" s="97">
        <v>5</v>
      </c>
      <c r="CD80" s="97">
        <v>5</v>
      </c>
      <c r="CE80" s="97">
        <v>5</v>
      </c>
      <c r="CF80" s="97">
        <v>5</v>
      </c>
      <c r="CG80" s="97">
        <v>5</v>
      </c>
      <c r="CH80" s="97">
        <v>5</v>
      </c>
      <c r="CI80" s="173"/>
      <c r="CJ80" s="173"/>
      <c r="CK80" s="173"/>
      <c r="CL80" s="173"/>
      <c r="CM80" s="173"/>
      <c r="CN80" s="173"/>
      <c r="CO80" s="173"/>
      <c r="CP80" s="174"/>
      <c r="CQ80" s="174"/>
      <c r="CR80" s="174"/>
      <c r="CS80" s="174"/>
      <c r="CT80" s="174"/>
      <c r="CU80" s="174"/>
      <c r="CV80" s="174"/>
      <c r="CW80" s="165"/>
      <c r="CX80" s="166"/>
      <c r="CY80" s="166"/>
      <c r="CZ80" s="166"/>
      <c r="DA80" s="166"/>
      <c r="DB80" s="166"/>
      <c r="DC80" s="166"/>
      <c r="DD80" s="171"/>
      <c r="DE80" s="171"/>
      <c r="DF80" s="171"/>
      <c r="DG80" s="171"/>
      <c r="DH80" s="171"/>
      <c r="DI80" s="171"/>
      <c r="DJ80" s="171"/>
      <c r="DK80" s="79" t="s">
        <v>502</v>
      </c>
      <c r="DL80" s="128">
        <f>VLOOKUP($F80,Activities!$A$9:$I$180,3,FALSE)/$AI80</f>
        <v>0.6</v>
      </c>
      <c r="DM80" s="128">
        <f>VLOOKUP($F80,Activities!$A$9:$I$180,4,FALSE)/$AI80</f>
        <v>0.6</v>
      </c>
      <c r="DN80" s="128">
        <f>VLOOKUP($F80,Activities!$A$9:$I$180,5,FALSE)/$AI80</f>
        <v>0.6</v>
      </c>
      <c r="DO80" s="128">
        <f>VLOOKUP($F80,Activities!$A$9:$I$180,6,FALSE)/$AI80</f>
        <v>0.6</v>
      </c>
      <c r="DP80" s="128">
        <f>VLOOKUP($F80,Activities!$A$9:$I$180,7,FALSE)/$AI80</f>
        <v>0.6</v>
      </c>
      <c r="DQ80" s="128">
        <f>VLOOKUP($F80,Activities!$A$9:$I$180,8,FALSE)/$AI80</f>
        <v>0.6</v>
      </c>
      <c r="DR80" s="128">
        <f>VLOOKUP($F80,Activities!$A$9:$I$180,9,FALSE)/$AI80</f>
        <v>0.6</v>
      </c>
      <c r="DS80" s="218"/>
      <c r="DT80" s="360"/>
      <c r="DU80" s="360"/>
      <c r="DV80" s="360"/>
      <c r="DW80" s="360"/>
      <c r="DX80" s="360"/>
      <c r="DY80" s="360"/>
      <c r="DZ80" s="360"/>
      <c r="EA80" s="360"/>
      <c r="EB80" s="360"/>
      <c r="EC80" s="360"/>
      <c r="ED80" s="360"/>
      <c r="EE80" s="360"/>
      <c r="EF80" s="360"/>
      <c r="EG80" s="360"/>
      <c r="EH80" s="360"/>
      <c r="EI80" s="360"/>
      <c r="EJ80" s="360"/>
      <c r="EK80" s="360"/>
      <c r="EL80" s="360"/>
      <c r="EM80" s="360"/>
      <c r="EN80" s="360"/>
      <c r="EO80" s="360"/>
      <c r="EP80" s="360"/>
      <c r="EQ80" s="360"/>
    </row>
    <row r="81" spans="1:147" x14ac:dyDescent="0.35">
      <c r="A81" s="6" t="s">
        <v>859</v>
      </c>
      <c r="B81" s="6" t="s">
        <v>740</v>
      </c>
      <c r="C81" s="6" t="s">
        <v>655</v>
      </c>
      <c r="D81" s="6" t="s">
        <v>741</v>
      </c>
      <c r="E81" s="6" t="s">
        <v>789</v>
      </c>
      <c r="F81" s="6" t="s">
        <v>357</v>
      </c>
      <c r="G81" s="48" t="s">
        <v>860</v>
      </c>
      <c r="H81" s="48" t="s">
        <v>858</v>
      </c>
      <c r="I81" s="102">
        <f>AVERAGE(35,50)+I80</f>
        <v>697.96699999999998</v>
      </c>
      <c r="J81" s="102">
        <f t="shared" ref="J81:O81" si="68">AVERAGE(35,50)+J80</f>
        <v>697.96699999999998</v>
      </c>
      <c r="K81" s="102">
        <f t="shared" si="68"/>
        <v>697.96699999999998</v>
      </c>
      <c r="L81" s="102">
        <f t="shared" si="68"/>
        <v>697.96699999999998</v>
      </c>
      <c r="M81" s="102">
        <f t="shared" si="68"/>
        <v>697.96699999999998</v>
      </c>
      <c r="N81" s="102">
        <f t="shared" si="68"/>
        <v>697.96699999999998</v>
      </c>
      <c r="O81" s="102">
        <f t="shared" si="68"/>
        <v>697.96699999999998</v>
      </c>
      <c r="P81" s="94">
        <v>0</v>
      </c>
      <c r="Q81" s="102">
        <f>0.02*I81</f>
        <v>13.959339999999999</v>
      </c>
      <c r="R81" s="102">
        <f t="shared" ref="R81:W81" si="69">0.02*J81</f>
        <v>13.959339999999999</v>
      </c>
      <c r="S81" s="102">
        <f t="shared" si="69"/>
        <v>13.959339999999999</v>
      </c>
      <c r="T81" s="102">
        <f t="shared" si="69"/>
        <v>13.959339999999999</v>
      </c>
      <c r="U81" s="102">
        <f t="shared" si="69"/>
        <v>13.959339999999999</v>
      </c>
      <c r="V81" s="102">
        <f t="shared" si="69"/>
        <v>13.959339999999999</v>
      </c>
      <c r="W81" s="102">
        <f t="shared" si="69"/>
        <v>13.959339999999999</v>
      </c>
      <c r="X81" s="102">
        <f>(AVERAGE(30,30)*1.0658)</f>
        <v>31.974000000000004</v>
      </c>
      <c r="Y81" s="102">
        <f t="shared" si="67"/>
        <v>31.974000000000004</v>
      </c>
      <c r="Z81" s="102">
        <f t="shared" si="67"/>
        <v>31.974000000000004</v>
      </c>
      <c r="AA81" s="102">
        <f t="shared" si="67"/>
        <v>31.974000000000004</v>
      </c>
      <c r="AB81" s="102">
        <f t="shared" si="67"/>
        <v>31.974000000000004</v>
      </c>
      <c r="AC81" s="102">
        <f t="shared" si="67"/>
        <v>31.974000000000004</v>
      </c>
      <c r="AD81" s="102">
        <f t="shared" si="67"/>
        <v>31.974000000000004</v>
      </c>
      <c r="AE81" s="186">
        <v>0.08</v>
      </c>
      <c r="AF81" s="94"/>
      <c r="AG81" s="94">
        <v>25</v>
      </c>
      <c r="AH81" s="94">
        <v>25</v>
      </c>
      <c r="AI81" s="17">
        <v>1</v>
      </c>
      <c r="AJ81" s="17" t="s">
        <v>660</v>
      </c>
      <c r="AK81" s="17" t="s">
        <v>745</v>
      </c>
      <c r="AL81" s="17"/>
      <c r="AM81" s="61"/>
      <c r="AN81" s="61"/>
      <c r="AO81" s="61"/>
      <c r="AP81" s="61"/>
      <c r="AQ81" s="61"/>
      <c r="AR81" s="61"/>
      <c r="AS81" s="64"/>
      <c r="AT81" s="64"/>
      <c r="AU81" s="64"/>
      <c r="AV81" s="132"/>
      <c r="AW81" s="132"/>
      <c r="AX81" s="132"/>
      <c r="AY81" s="28" t="s">
        <v>662</v>
      </c>
      <c r="AZ81" s="28"/>
      <c r="BA81" s="354"/>
      <c r="BB81" s="28"/>
      <c r="BC81" s="28"/>
      <c r="BD81" s="28"/>
      <c r="BE81" s="28"/>
      <c r="BF81" s="28"/>
      <c r="BG81" s="28"/>
      <c r="BH81" s="106"/>
      <c r="BI81" s="106"/>
      <c r="BJ81" s="106"/>
      <c r="BK81" s="106"/>
      <c r="BL81" s="137"/>
      <c r="BM81" s="123"/>
      <c r="BN81" s="139"/>
      <c r="BO81" s="94"/>
      <c r="BP81" s="94"/>
      <c r="BQ81" s="94"/>
      <c r="BR81" s="94"/>
      <c r="BS81" s="94"/>
      <c r="BT81" s="94"/>
      <c r="BU81" s="28">
        <f t="shared" si="1"/>
        <v>0</v>
      </c>
      <c r="BV81" s="28"/>
      <c r="BW81" s="28"/>
      <c r="BX81" s="28"/>
      <c r="BY81" s="28"/>
      <c r="BZ81" s="28"/>
      <c r="CA81" s="28"/>
      <c r="CB81" s="99">
        <v>5</v>
      </c>
      <c r="CC81" s="99">
        <v>5</v>
      </c>
      <c r="CD81" s="99">
        <v>5</v>
      </c>
      <c r="CE81" s="99">
        <v>5</v>
      </c>
      <c r="CF81" s="99">
        <v>5</v>
      </c>
      <c r="CG81" s="99">
        <v>5</v>
      </c>
      <c r="CH81" s="99">
        <v>5</v>
      </c>
      <c r="CI81" s="175"/>
      <c r="CJ81" s="175"/>
      <c r="CK81" s="175"/>
      <c r="CL81" s="175"/>
      <c r="CM81" s="175"/>
      <c r="CN81" s="175"/>
      <c r="CO81" s="175"/>
      <c r="CP81" s="176"/>
      <c r="CQ81" s="176"/>
      <c r="CR81" s="176"/>
      <c r="CS81" s="176"/>
      <c r="CT81" s="176"/>
      <c r="CU81" s="176"/>
      <c r="CV81" s="176"/>
      <c r="CW81" s="167"/>
      <c r="CX81" s="168"/>
      <c r="CY81" s="168"/>
      <c r="CZ81" s="168"/>
      <c r="DA81" s="168"/>
      <c r="DB81" s="168"/>
      <c r="DC81" s="168"/>
      <c r="DD81" s="172"/>
      <c r="DE81" s="172"/>
      <c r="DF81" s="172"/>
      <c r="DG81" s="172"/>
      <c r="DH81" s="172"/>
      <c r="DI81" s="172"/>
      <c r="DJ81" s="172"/>
      <c r="DK81" s="80" t="s">
        <v>502</v>
      </c>
      <c r="DL81" s="128">
        <f>VLOOKUP($F81,Activities!$A$9:$I$180,3,FALSE)/$AI81</f>
        <v>0.6</v>
      </c>
      <c r="DM81" s="128">
        <f>VLOOKUP($F81,Activities!$A$9:$I$180,4,FALSE)/$AI81</f>
        <v>0.6</v>
      </c>
      <c r="DN81" s="128">
        <f>VLOOKUP($F81,Activities!$A$9:$I$180,5,FALSE)/$AI81</f>
        <v>0.6</v>
      </c>
      <c r="DO81" s="128">
        <f>VLOOKUP($F81,Activities!$A$9:$I$180,6,FALSE)/$AI81</f>
        <v>0.6</v>
      </c>
      <c r="DP81" s="128">
        <f>VLOOKUP($F81,Activities!$A$9:$I$180,7,FALSE)/$AI81</f>
        <v>0.6</v>
      </c>
      <c r="DQ81" s="128">
        <f>VLOOKUP($F81,Activities!$A$9:$I$180,8,FALSE)/$AI81</f>
        <v>0.6</v>
      </c>
      <c r="DR81" s="128">
        <f>VLOOKUP($F81,Activities!$A$9:$I$180,9,FALSE)/$AI81</f>
        <v>0.6</v>
      </c>
      <c r="DS81" s="218"/>
      <c r="DT81" s="360"/>
      <c r="DU81" s="360"/>
      <c r="DV81" s="360"/>
      <c r="DW81" s="360"/>
      <c r="DX81" s="360"/>
      <c r="DY81" s="360"/>
      <c r="DZ81" s="360"/>
      <c r="EA81" s="360"/>
      <c r="EB81" s="360"/>
      <c r="EC81" s="360"/>
      <c r="ED81" s="360"/>
      <c r="EE81" s="360"/>
      <c r="EF81" s="360"/>
      <c r="EG81" s="360"/>
      <c r="EH81" s="360"/>
      <c r="EI81" s="360"/>
      <c r="EJ81" s="360"/>
      <c r="EK81" s="360"/>
      <c r="EL81" s="360"/>
      <c r="EM81" s="360"/>
      <c r="EN81" s="360"/>
      <c r="EO81" s="360"/>
      <c r="EP81" s="360"/>
      <c r="EQ81" s="360"/>
    </row>
    <row r="82" spans="1:147" x14ac:dyDescent="0.35">
      <c r="A82" s="5" t="s">
        <v>861</v>
      </c>
      <c r="B82" s="5" t="s">
        <v>740</v>
      </c>
      <c r="C82" s="5" t="s">
        <v>788</v>
      </c>
      <c r="D82" s="5" t="s">
        <v>741</v>
      </c>
      <c r="E82" s="5" t="s">
        <v>789</v>
      </c>
      <c r="F82" s="5" t="s">
        <v>426</v>
      </c>
      <c r="G82" s="47" t="s">
        <v>862</v>
      </c>
      <c r="H82" s="47" t="s">
        <v>791</v>
      </c>
      <c r="I82" s="101">
        <f t="shared" ref="I82:AH83" si="70">I60</f>
        <v>1958.9384587705902</v>
      </c>
      <c r="J82" s="101">
        <f t="shared" si="70"/>
        <v>1958.9384587705902</v>
      </c>
      <c r="K82" s="101">
        <f t="shared" si="70"/>
        <v>1958.9384587705902</v>
      </c>
      <c r="L82" s="101">
        <f t="shared" si="70"/>
        <v>1958.9384587705902</v>
      </c>
      <c r="M82" s="101">
        <f t="shared" si="70"/>
        <v>1958.9384587705902</v>
      </c>
      <c r="N82" s="101">
        <f t="shared" si="70"/>
        <v>1958.9384587705902</v>
      </c>
      <c r="O82" s="101">
        <f t="shared" si="70"/>
        <v>1958.9384587705902</v>
      </c>
      <c r="P82" s="94">
        <v>0</v>
      </c>
      <c r="Q82" s="101">
        <f>Q54</f>
        <v>77.581721139429305</v>
      </c>
      <c r="R82" s="101">
        <f t="shared" ref="R82:W82" si="71">R54</f>
        <v>77.581721139429305</v>
      </c>
      <c r="S82" s="101">
        <f t="shared" si="71"/>
        <v>77.581721139429305</v>
      </c>
      <c r="T82" s="101">
        <f t="shared" si="71"/>
        <v>77.581721139429305</v>
      </c>
      <c r="U82" s="101">
        <f t="shared" si="71"/>
        <v>77.581721139429305</v>
      </c>
      <c r="V82" s="101">
        <f t="shared" si="71"/>
        <v>77.581721139429305</v>
      </c>
      <c r="W82" s="101">
        <f t="shared" si="71"/>
        <v>77.581721139429305</v>
      </c>
      <c r="X82" s="101">
        <f t="shared" si="70"/>
        <v>0</v>
      </c>
      <c r="Y82" s="101">
        <f t="shared" si="70"/>
        <v>0</v>
      </c>
      <c r="Z82" s="101">
        <f t="shared" si="70"/>
        <v>0</v>
      </c>
      <c r="AA82" s="101">
        <f t="shared" si="70"/>
        <v>0</v>
      </c>
      <c r="AB82" s="101">
        <f t="shared" si="70"/>
        <v>0</v>
      </c>
      <c r="AC82" s="101">
        <f t="shared" si="70"/>
        <v>0</v>
      </c>
      <c r="AD82" s="101">
        <f t="shared" si="70"/>
        <v>0</v>
      </c>
      <c r="AE82" s="186">
        <v>0.08</v>
      </c>
      <c r="AF82" s="93">
        <f t="shared" si="70"/>
        <v>0</v>
      </c>
      <c r="AG82" s="93">
        <f t="shared" si="70"/>
        <v>25</v>
      </c>
      <c r="AH82" s="93">
        <f t="shared" si="70"/>
        <v>25</v>
      </c>
      <c r="AI82" s="16">
        <v>1</v>
      </c>
      <c r="AJ82" s="16" t="s">
        <v>660</v>
      </c>
      <c r="AK82" s="16" t="s">
        <v>745</v>
      </c>
      <c r="AL82" s="16"/>
      <c r="AM82" s="60"/>
      <c r="AN82" s="60"/>
      <c r="AO82" s="60"/>
      <c r="AP82" s="60"/>
      <c r="AQ82" s="60"/>
      <c r="AR82" s="60"/>
      <c r="AS82" s="63"/>
      <c r="AT82" s="63"/>
      <c r="AU82" s="63"/>
      <c r="AV82" s="131"/>
      <c r="AW82" s="131"/>
      <c r="AX82" s="131"/>
      <c r="AY82" s="27" t="s">
        <v>662</v>
      </c>
      <c r="AZ82" s="27"/>
      <c r="BA82" s="29"/>
      <c r="BB82" s="30"/>
      <c r="BC82" s="30"/>
      <c r="BD82" s="30"/>
      <c r="BE82" s="30"/>
      <c r="BF82" s="30"/>
      <c r="BG82" s="30"/>
      <c r="BH82" s="107"/>
      <c r="BI82" s="107"/>
      <c r="BJ82" s="107"/>
      <c r="BK82" s="107"/>
      <c r="BL82" s="136"/>
      <c r="BM82" s="122"/>
      <c r="BN82" s="138">
        <v>0</v>
      </c>
      <c r="BO82" s="93"/>
      <c r="BP82" s="93"/>
      <c r="BQ82" s="93"/>
      <c r="BR82" s="93"/>
      <c r="BS82" s="93"/>
      <c r="BT82" s="93"/>
      <c r="BU82" s="27">
        <f t="shared" si="1"/>
        <v>0</v>
      </c>
      <c r="BV82" s="27"/>
      <c r="BW82" s="27"/>
      <c r="BX82" s="27"/>
      <c r="BY82" s="27"/>
      <c r="BZ82" s="27"/>
      <c r="CA82" s="27"/>
      <c r="CB82" s="97"/>
      <c r="CC82" s="185">
        <f>CC54</f>
        <v>4</v>
      </c>
      <c r="CD82" s="185">
        <f t="shared" ref="CD82:CH83" si="72">CD54</f>
        <v>4</v>
      </c>
      <c r="CE82" s="185">
        <f t="shared" si="72"/>
        <v>4</v>
      </c>
      <c r="CF82" s="185">
        <f t="shared" si="72"/>
        <v>4</v>
      </c>
      <c r="CG82" s="185">
        <f t="shared" si="72"/>
        <v>4</v>
      </c>
      <c r="CH82" s="185">
        <f t="shared" si="72"/>
        <v>4</v>
      </c>
      <c r="CI82" s="173"/>
      <c r="CJ82" s="173"/>
      <c r="CK82" s="173"/>
      <c r="CL82" s="173"/>
      <c r="CM82" s="173"/>
      <c r="CN82" s="173"/>
      <c r="CO82" s="173"/>
      <c r="CP82" s="174"/>
      <c r="CQ82" s="174"/>
      <c r="CR82" s="174"/>
      <c r="CS82" s="174"/>
      <c r="CT82" s="174"/>
      <c r="CU82" s="174"/>
      <c r="CV82" s="174"/>
      <c r="CW82" s="165"/>
      <c r="CX82" s="166"/>
      <c r="CY82" s="166"/>
      <c r="CZ82" s="166"/>
      <c r="DA82" s="166"/>
      <c r="DB82" s="166"/>
      <c r="DC82" s="166"/>
      <c r="DD82" s="171"/>
      <c r="DE82" s="171"/>
      <c r="DF82" s="171"/>
      <c r="DG82" s="171"/>
      <c r="DH82" s="171"/>
      <c r="DI82" s="171"/>
      <c r="DJ82" s="171"/>
      <c r="DK82" s="79" t="s">
        <v>792</v>
      </c>
      <c r="DL82" s="128">
        <f>VLOOKUP($F82,Activities!$A$9:$I$180,3,FALSE)/$AI82</f>
        <v>0</v>
      </c>
      <c r="DM82" s="128">
        <f>VLOOKUP($F82,Activities!$A$9:$I$180,4,FALSE)/$AI82</f>
        <v>0</v>
      </c>
      <c r="DN82" s="128">
        <f>VLOOKUP($F82,Activities!$A$9:$I$180,5,FALSE)/$AI82</f>
        <v>0</v>
      </c>
      <c r="DO82" s="128">
        <f>VLOOKUP($F82,Activities!$A$9:$I$180,6,FALSE)/$AI82</f>
        <v>0</v>
      </c>
      <c r="DP82" s="128">
        <f>VLOOKUP($F82,Activities!$A$9:$I$180,7,FALSE)/$AI82</f>
        <v>0</v>
      </c>
      <c r="DQ82" s="128">
        <f>VLOOKUP($F82,Activities!$A$9:$I$180,8,FALSE)/$AI82</f>
        <v>0</v>
      </c>
      <c r="DR82" s="128">
        <f>VLOOKUP($F82,Activities!$A$9:$I$180,9,FALSE)/$AI82</f>
        <v>0</v>
      </c>
      <c r="DS82" s="218"/>
      <c r="DT82" s="360"/>
      <c r="DU82" s="360"/>
      <c r="DV82" s="360"/>
      <c r="DW82" s="360"/>
      <c r="DX82" s="360"/>
      <c r="DY82" s="360"/>
      <c r="DZ82" s="360"/>
      <c r="EA82" s="360"/>
      <c r="EB82" s="360"/>
      <c r="EC82" s="360"/>
      <c r="ED82" s="360"/>
      <c r="EE82" s="360"/>
      <c r="EF82" s="360"/>
      <c r="EG82" s="360"/>
      <c r="EH82" s="360"/>
      <c r="EI82" s="360"/>
      <c r="EJ82" s="360"/>
      <c r="EK82" s="360"/>
      <c r="EL82" s="360"/>
      <c r="EM82" s="360"/>
      <c r="EN82" s="360"/>
      <c r="EO82" s="360"/>
      <c r="EP82" s="360"/>
      <c r="EQ82" s="360"/>
    </row>
    <row r="83" spans="1:147" x14ac:dyDescent="0.35">
      <c r="A83" s="6" t="s">
        <v>863</v>
      </c>
      <c r="B83" s="6" t="s">
        <v>740</v>
      </c>
      <c r="C83" s="6" t="s">
        <v>788</v>
      </c>
      <c r="D83" s="6" t="s">
        <v>741</v>
      </c>
      <c r="E83" s="6" t="s">
        <v>789</v>
      </c>
      <c r="F83" s="6" t="s">
        <v>426</v>
      </c>
      <c r="G83" s="48" t="s">
        <v>864</v>
      </c>
      <c r="H83" s="48" t="s">
        <v>791</v>
      </c>
      <c r="I83" s="102">
        <f t="shared" si="70"/>
        <v>1939.5430284857327</v>
      </c>
      <c r="J83" s="102">
        <f t="shared" si="70"/>
        <v>1939.5430284857327</v>
      </c>
      <c r="K83" s="102">
        <f t="shared" si="70"/>
        <v>1939.5430284857327</v>
      </c>
      <c r="L83" s="102">
        <f t="shared" si="70"/>
        <v>1939.5430284857327</v>
      </c>
      <c r="M83" s="102">
        <f t="shared" si="70"/>
        <v>1939.5430284857327</v>
      </c>
      <c r="N83" s="102">
        <f t="shared" si="70"/>
        <v>1939.5430284857327</v>
      </c>
      <c r="O83" s="102">
        <f t="shared" si="70"/>
        <v>1939.5430284857327</v>
      </c>
      <c r="P83" s="94">
        <v>0</v>
      </c>
      <c r="Q83" s="102">
        <f>Q55</f>
        <v>86.40034838798671</v>
      </c>
      <c r="R83" s="102">
        <f t="shared" ref="R83:W83" si="73">R55</f>
        <v>86.40034838798671</v>
      </c>
      <c r="S83" s="102">
        <f t="shared" si="73"/>
        <v>86.40034838798671</v>
      </c>
      <c r="T83" s="102">
        <f t="shared" si="73"/>
        <v>86.40034838798671</v>
      </c>
      <c r="U83" s="102">
        <f t="shared" si="73"/>
        <v>86.40034838798671</v>
      </c>
      <c r="V83" s="102">
        <f t="shared" si="73"/>
        <v>86.40034838798671</v>
      </c>
      <c r="W83" s="102">
        <f t="shared" si="73"/>
        <v>86.40034838798671</v>
      </c>
      <c r="X83" s="102">
        <f t="shared" si="70"/>
        <v>0</v>
      </c>
      <c r="Y83" s="102">
        <f t="shared" si="70"/>
        <v>0</v>
      </c>
      <c r="Z83" s="102">
        <f t="shared" si="70"/>
        <v>0</v>
      </c>
      <c r="AA83" s="102">
        <f t="shared" si="70"/>
        <v>0</v>
      </c>
      <c r="AB83" s="102">
        <f t="shared" si="70"/>
        <v>0</v>
      </c>
      <c r="AC83" s="102">
        <f t="shared" si="70"/>
        <v>0</v>
      </c>
      <c r="AD83" s="102">
        <f t="shared" si="70"/>
        <v>0</v>
      </c>
      <c r="AE83" s="186">
        <v>0.08</v>
      </c>
      <c r="AF83" s="94">
        <f t="shared" si="70"/>
        <v>0</v>
      </c>
      <c r="AG83" s="94">
        <f t="shared" si="70"/>
        <v>25</v>
      </c>
      <c r="AH83" s="94">
        <f t="shared" si="70"/>
        <v>25</v>
      </c>
      <c r="AI83" s="17">
        <v>1</v>
      </c>
      <c r="AJ83" s="17" t="s">
        <v>660</v>
      </c>
      <c r="AK83" s="17" t="s">
        <v>745</v>
      </c>
      <c r="AL83" s="17"/>
      <c r="AM83" s="61"/>
      <c r="AN83" s="61"/>
      <c r="AO83" s="61"/>
      <c r="AP83" s="61"/>
      <c r="AQ83" s="61"/>
      <c r="AR83" s="61"/>
      <c r="AS83" s="64"/>
      <c r="AT83" s="64"/>
      <c r="AU83" s="64"/>
      <c r="AV83" s="132"/>
      <c r="AW83" s="132"/>
      <c r="AX83" s="132"/>
      <c r="AY83" s="28" t="s">
        <v>662</v>
      </c>
      <c r="AZ83" s="28"/>
      <c r="BA83" s="354"/>
      <c r="BB83" s="28"/>
      <c r="BC83" s="28"/>
      <c r="BD83" s="28"/>
      <c r="BE83" s="28"/>
      <c r="BF83" s="28"/>
      <c r="BG83" s="28"/>
      <c r="BH83" s="106"/>
      <c r="BI83" s="106"/>
      <c r="BJ83" s="106"/>
      <c r="BK83" s="106"/>
      <c r="BL83" s="137"/>
      <c r="BM83" s="123"/>
      <c r="BN83" s="139">
        <v>0</v>
      </c>
      <c r="BO83" s="94"/>
      <c r="BP83" s="94"/>
      <c r="BQ83" s="94"/>
      <c r="BR83" s="94"/>
      <c r="BS83" s="94"/>
      <c r="BT83" s="94"/>
      <c r="BU83" s="28">
        <f t="shared" si="1"/>
        <v>0</v>
      </c>
      <c r="BV83" s="28"/>
      <c r="BW83" s="28"/>
      <c r="BX83" s="28"/>
      <c r="BY83" s="28"/>
      <c r="BZ83" s="28"/>
      <c r="CA83" s="28"/>
      <c r="CB83" s="99"/>
      <c r="CC83" s="185">
        <f>CC55</f>
        <v>2</v>
      </c>
      <c r="CD83" s="185">
        <f t="shared" si="72"/>
        <v>4</v>
      </c>
      <c r="CE83" s="185">
        <f t="shared" si="72"/>
        <v>4</v>
      </c>
      <c r="CF83" s="185">
        <f t="shared" si="72"/>
        <v>4</v>
      </c>
      <c r="CG83" s="185">
        <f t="shared" si="72"/>
        <v>4</v>
      </c>
      <c r="CH83" s="185">
        <f t="shared" si="72"/>
        <v>4</v>
      </c>
      <c r="CI83" s="175"/>
      <c r="CJ83" s="175"/>
      <c r="CK83" s="175"/>
      <c r="CL83" s="175"/>
      <c r="CM83" s="175"/>
      <c r="CN83" s="175"/>
      <c r="CO83" s="175"/>
      <c r="CP83" s="176"/>
      <c r="CQ83" s="176"/>
      <c r="CR83" s="176"/>
      <c r="CS83" s="176"/>
      <c r="CT83" s="176"/>
      <c r="CU83" s="176"/>
      <c r="CV83" s="176"/>
      <c r="CW83" s="167"/>
      <c r="CX83" s="168"/>
      <c r="CY83" s="168"/>
      <c r="CZ83" s="168"/>
      <c r="DA83" s="168"/>
      <c r="DB83" s="168"/>
      <c r="DC83" s="168"/>
      <c r="DD83" s="172"/>
      <c r="DE83" s="172"/>
      <c r="DF83" s="172"/>
      <c r="DG83" s="172"/>
      <c r="DH83" s="172"/>
      <c r="DI83" s="172"/>
      <c r="DJ83" s="172"/>
      <c r="DK83" s="79" t="s">
        <v>792</v>
      </c>
      <c r="DL83" s="128">
        <f>VLOOKUP($F83,Activities!$A$9:$I$180,3,FALSE)/$AI83</f>
        <v>0</v>
      </c>
      <c r="DM83" s="128">
        <f>VLOOKUP($F83,Activities!$A$9:$I$180,4,FALSE)/$AI83</f>
        <v>0</v>
      </c>
      <c r="DN83" s="128">
        <f>VLOOKUP($F83,Activities!$A$9:$I$180,5,FALSE)/$AI83</f>
        <v>0</v>
      </c>
      <c r="DO83" s="128">
        <f>VLOOKUP($F83,Activities!$A$9:$I$180,6,FALSE)/$AI83</f>
        <v>0</v>
      </c>
      <c r="DP83" s="128">
        <f>VLOOKUP($F83,Activities!$A$9:$I$180,7,FALSE)/$AI83</f>
        <v>0</v>
      </c>
      <c r="DQ83" s="128">
        <f>VLOOKUP($F83,Activities!$A$9:$I$180,8,FALSE)/$AI83</f>
        <v>0</v>
      </c>
      <c r="DR83" s="128">
        <f>VLOOKUP($F83,Activities!$A$9:$I$180,9,FALSE)/$AI83</f>
        <v>0</v>
      </c>
      <c r="DS83" s="218"/>
      <c r="DT83" s="360"/>
      <c r="DU83" s="360"/>
      <c r="DV83" s="360"/>
      <c r="DW83" s="360"/>
      <c r="DX83" s="360"/>
      <c r="DY83" s="360"/>
      <c r="DZ83" s="360"/>
      <c r="EA83" s="360"/>
      <c r="EB83" s="360"/>
      <c r="EC83" s="360"/>
      <c r="ED83" s="360"/>
      <c r="EE83" s="360"/>
      <c r="EF83" s="360"/>
      <c r="EG83" s="360"/>
      <c r="EH83" s="360"/>
      <c r="EI83" s="360"/>
      <c r="EJ83" s="360"/>
      <c r="EK83" s="360"/>
      <c r="EL83" s="360"/>
      <c r="EM83" s="360"/>
      <c r="EN83" s="360"/>
      <c r="EO83" s="360"/>
      <c r="EP83" s="360"/>
      <c r="EQ83" s="360"/>
    </row>
    <row r="84" spans="1:147" x14ac:dyDescent="0.35">
      <c r="A84" s="5" t="s">
        <v>865</v>
      </c>
      <c r="B84" s="5" t="s">
        <v>740</v>
      </c>
      <c r="C84" s="5" t="s">
        <v>655</v>
      </c>
      <c r="D84" s="5" t="s">
        <v>741</v>
      </c>
      <c r="E84" s="5" t="s">
        <v>789</v>
      </c>
      <c r="F84" s="5" t="s">
        <v>432</v>
      </c>
      <c r="G84" s="47" t="s">
        <v>866</v>
      </c>
      <c r="H84" s="47" t="s">
        <v>855</v>
      </c>
      <c r="I84" s="101">
        <f t="shared" ref="I84:AK84" si="74">I79</f>
        <v>500.92600000000004</v>
      </c>
      <c r="J84" s="101">
        <f t="shared" si="74"/>
        <v>500.92600000000004</v>
      </c>
      <c r="K84" s="101">
        <f t="shared" si="74"/>
        <v>500.92600000000004</v>
      </c>
      <c r="L84" s="101">
        <f t="shared" si="74"/>
        <v>500.92600000000004</v>
      </c>
      <c r="M84" s="101">
        <f t="shared" si="74"/>
        <v>500.92600000000004</v>
      </c>
      <c r="N84" s="101">
        <f t="shared" si="74"/>
        <v>500.92600000000004</v>
      </c>
      <c r="O84" s="101">
        <f t="shared" si="74"/>
        <v>500.92600000000004</v>
      </c>
      <c r="P84" s="94">
        <v>0</v>
      </c>
      <c r="Q84" s="101">
        <f t="shared" si="74"/>
        <v>25.046300000000002</v>
      </c>
      <c r="R84" s="101">
        <f t="shared" si="74"/>
        <v>25.046300000000002</v>
      </c>
      <c r="S84" s="101">
        <f t="shared" si="74"/>
        <v>25.046300000000002</v>
      </c>
      <c r="T84" s="101">
        <f t="shared" si="74"/>
        <v>25.046300000000002</v>
      </c>
      <c r="U84" s="101">
        <f t="shared" si="74"/>
        <v>25.046300000000002</v>
      </c>
      <c r="V84" s="101">
        <f t="shared" si="74"/>
        <v>25.046300000000002</v>
      </c>
      <c r="W84" s="101">
        <f t="shared" si="74"/>
        <v>25.046300000000002</v>
      </c>
      <c r="X84" s="101">
        <f t="shared" si="74"/>
        <v>19.1844</v>
      </c>
      <c r="Y84" s="101">
        <f t="shared" si="74"/>
        <v>19.1844</v>
      </c>
      <c r="Z84" s="101">
        <f t="shared" si="74"/>
        <v>19.1844</v>
      </c>
      <c r="AA84" s="101">
        <f t="shared" si="74"/>
        <v>19.1844</v>
      </c>
      <c r="AB84" s="101">
        <f t="shared" si="74"/>
        <v>19.1844</v>
      </c>
      <c r="AC84" s="101">
        <f t="shared" si="74"/>
        <v>19.1844</v>
      </c>
      <c r="AD84" s="101">
        <f t="shared" si="74"/>
        <v>19.1844</v>
      </c>
      <c r="AE84" s="186">
        <v>0.08</v>
      </c>
      <c r="AF84" s="93">
        <f t="shared" si="74"/>
        <v>0</v>
      </c>
      <c r="AG84" s="93">
        <f t="shared" si="74"/>
        <v>25</v>
      </c>
      <c r="AH84" s="93">
        <f t="shared" si="74"/>
        <v>25</v>
      </c>
      <c r="AI84" s="16">
        <f t="shared" si="74"/>
        <v>1</v>
      </c>
      <c r="AJ84" s="16" t="str">
        <f t="shared" si="74"/>
        <v>Operation</v>
      </c>
      <c r="AK84" s="16" t="str">
        <f t="shared" si="74"/>
        <v>Flat</v>
      </c>
      <c r="AL84" s="16"/>
      <c r="AM84" s="60"/>
      <c r="AN84" s="60"/>
      <c r="AO84" s="60"/>
      <c r="AP84" s="60"/>
      <c r="AQ84" s="60"/>
      <c r="AR84" s="60"/>
      <c r="AS84" s="63"/>
      <c r="AT84" s="63"/>
      <c r="AU84" s="63"/>
      <c r="AV84" s="131"/>
      <c r="AW84" s="131"/>
      <c r="AX84" s="131"/>
      <c r="AY84" s="27" t="str">
        <f>AY79</f>
        <v>none</v>
      </c>
      <c r="AZ84" s="27"/>
      <c r="BA84" s="29"/>
      <c r="BB84" s="30"/>
      <c r="BC84" s="30"/>
      <c r="BD84" s="30"/>
      <c r="BE84" s="30"/>
      <c r="BF84" s="30"/>
      <c r="BG84" s="30"/>
      <c r="BH84" s="107"/>
      <c r="BI84" s="107"/>
      <c r="BJ84" s="107"/>
      <c r="BK84" s="107"/>
      <c r="BL84" s="136"/>
      <c r="BM84" s="122"/>
      <c r="BN84" s="138">
        <f t="shared" ref="BN84:BT84" si="75">BN79</f>
        <v>0.34079999999999994</v>
      </c>
      <c r="BO84" s="93">
        <f t="shared" si="75"/>
        <v>0</v>
      </c>
      <c r="BP84" s="93">
        <f t="shared" si="75"/>
        <v>0</v>
      </c>
      <c r="BQ84" s="93">
        <f t="shared" si="75"/>
        <v>0</v>
      </c>
      <c r="BR84" s="93">
        <f t="shared" si="75"/>
        <v>0.34079999999999994</v>
      </c>
      <c r="BS84" s="93">
        <f t="shared" si="75"/>
        <v>0</v>
      </c>
      <c r="BT84" s="93">
        <f t="shared" si="75"/>
        <v>0</v>
      </c>
      <c r="BU84" s="27">
        <v>0</v>
      </c>
      <c r="BV84" s="27"/>
      <c r="BW84" s="27"/>
      <c r="BX84" s="27"/>
      <c r="BY84" s="27"/>
      <c r="BZ84" s="27"/>
      <c r="CA84" s="27"/>
      <c r="CB84" s="97">
        <f t="shared" ref="CB84:CH84" si="76">CB79</f>
        <v>5</v>
      </c>
      <c r="CC84" s="97">
        <f t="shared" si="76"/>
        <v>5</v>
      </c>
      <c r="CD84" s="97">
        <f t="shared" si="76"/>
        <v>5</v>
      </c>
      <c r="CE84" s="97">
        <f t="shared" si="76"/>
        <v>5</v>
      </c>
      <c r="CF84" s="97">
        <f t="shared" si="76"/>
        <v>5</v>
      </c>
      <c r="CG84" s="97">
        <f t="shared" si="76"/>
        <v>5</v>
      </c>
      <c r="CH84" s="97">
        <f t="shared" si="76"/>
        <v>5</v>
      </c>
      <c r="CI84" s="173"/>
      <c r="CJ84" s="173"/>
      <c r="CK84" s="173"/>
      <c r="CL84" s="173"/>
      <c r="CM84" s="173"/>
      <c r="CN84" s="173"/>
      <c r="CO84" s="173"/>
      <c r="CP84" s="174"/>
      <c r="CQ84" s="174"/>
      <c r="CR84" s="174"/>
      <c r="CS84" s="174"/>
      <c r="CT84" s="174"/>
      <c r="CU84" s="174"/>
      <c r="CV84" s="174"/>
      <c r="CW84" s="165"/>
      <c r="CX84" s="166"/>
      <c r="CY84" s="166"/>
      <c r="CZ84" s="166"/>
      <c r="DA84" s="166"/>
      <c r="DB84" s="166"/>
      <c r="DC84" s="166"/>
      <c r="DD84" s="171"/>
      <c r="DE84" s="171"/>
      <c r="DF84" s="171"/>
      <c r="DG84" s="171"/>
      <c r="DH84" s="171"/>
      <c r="DI84" s="171"/>
      <c r="DJ84" s="171"/>
      <c r="DK84" s="79" t="str">
        <f>DK79</f>
        <v>[D]</v>
      </c>
      <c r="DL84" s="128">
        <f>VLOOKUP($F84,Activities!$A$9:$I$180,3,FALSE)/$AI84</f>
        <v>0</v>
      </c>
      <c r="DM84" s="128">
        <f>VLOOKUP($F84,Activities!$A$9:$I$180,4,FALSE)/$AI84</f>
        <v>0</v>
      </c>
      <c r="DN84" s="128">
        <f>VLOOKUP($F84,Activities!$A$9:$I$180,5,FALSE)/$AI84</f>
        <v>0</v>
      </c>
      <c r="DO84" s="128">
        <f>VLOOKUP($F84,Activities!$A$9:$I$180,6,FALSE)/$AI84</f>
        <v>0</v>
      </c>
      <c r="DP84" s="128">
        <f>VLOOKUP($F84,Activities!$A$9:$I$180,7,FALSE)/$AI84</f>
        <v>0</v>
      </c>
      <c r="DQ84" s="128">
        <f>VLOOKUP($F84,Activities!$A$9:$I$180,8,FALSE)/$AI84</f>
        <v>0</v>
      </c>
      <c r="DR84" s="128">
        <f>VLOOKUP($F84,Activities!$A$9:$I$180,9,FALSE)/$AI84</f>
        <v>0</v>
      </c>
      <c r="DS84" s="218"/>
      <c r="DT84" s="360"/>
      <c r="DU84" s="360"/>
      <c r="DV84" s="360"/>
      <c r="DW84" s="360"/>
      <c r="DX84" s="360"/>
      <c r="DY84" s="360"/>
      <c r="DZ84" s="360"/>
      <c r="EA84" s="360"/>
      <c r="EB84" s="360"/>
      <c r="EC84" s="360"/>
      <c r="ED84" s="360"/>
      <c r="EE84" s="360"/>
      <c r="EF84" s="360"/>
      <c r="EG84" s="360"/>
      <c r="EH84" s="360"/>
      <c r="EI84" s="360"/>
      <c r="EJ84" s="360"/>
      <c r="EK84" s="360"/>
      <c r="EL84" s="360"/>
      <c r="EM84" s="360"/>
      <c r="EN84" s="360"/>
      <c r="EO84" s="360"/>
      <c r="EP84" s="360"/>
      <c r="EQ84" s="360"/>
    </row>
    <row r="85" spans="1:147" x14ac:dyDescent="0.35">
      <c r="A85" s="6" t="s">
        <v>867</v>
      </c>
      <c r="B85" s="6" t="s">
        <v>740</v>
      </c>
      <c r="C85" s="6" t="s">
        <v>655</v>
      </c>
      <c r="D85" s="6" t="s">
        <v>741</v>
      </c>
      <c r="E85" s="6" t="s">
        <v>789</v>
      </c>
      <c r="F85" s="6" t="s">
        <v>359</v>
      </c>
      <c r="G85" s="48" t="s">
        <v>868</v>
      </c>
      <c r="H85" s="48" t="s">
        <v>869</v>
      </c>
      <c r="I85" s="102">
        <v>0</v>
      </c>
      <c r="J85" s="102">
        <v>0</v>
      </c>
      <c r="K85" s="102">
        <v>0</v>
      </c>
      <c r="L85" s="102">
        <v>0</v>
      </c>
      <c r="M85" s="102">
        <v>0</v>
      </c>
      <c r="N85" s="102">
        <v>0</v>
      </c>
      <c r="O85" s="102">
        <v>0</v>
      </c>
      <c r="P85" s="94">
        <v>0</v>
      </c>
      <c r="Q85" s="102">
        <v>0</v>
      </c>
      <c r="R85" s="102">
        <v>0</v>
      </c>
      <c r="S85" s="102">
        <v>0</v>
      </c>
      <c r="T85" s="102">
        <v>0</v>
      </c>
      <c r="U85" s="102">
        <v>0</v>
      </c>
      <c r="V85" s="102">
        <v>0</v>
      </c>
      <c r="W85" s="102">
        <v>0</v>
      </c>
      <c r="X85" s="102">
        <v>0</v>
      </c>
      <c r="Y85" s="102">
        <v>0</v>
      </c>
      <c r="Z85" s="102">
        <v>0</v>
      </c>
      <c r="AA85" s="102">
        <v>0</v>
      </c>
      <c r="AB85" s="102">
        <v>0</v>
      </c>
      <c r="AC85" s="102">
        <v>0</v>
      </c>
      <c r="AD85" s="102">
        <v>0</v>
      </c>
      <c r="AE85" s="186">
        <v>0.08</v>
      </c>
      <c r="AF85" s="94"/>
      <c r="AG85" s="94">
        <v>25</v>
      </c>
      <c r="AH85" s="94">
        <v>25</v>
      </c>
      <c r="AI85" s="17">
        <v>1</v>
      </c>
      <c r="AJ85" s="17" t="s">
        <v>660</v>
      </c>
      <c r="AK85" s="17" t="s">
        <v>745</v>
      </c>
      <c r="AL85" s="17"/>
      <c r="AM85" s="61"/>
      <c r="AN85" s="61"/>
      <c r="AO85" s="61"/>
      <c r="AP85" s="61"/>
      <c r="AQ85" s="61"/>
      <c r="AR85" s="61"/>
      <c r="AS85" s="64"/>
      <c r="AT85" s="64"/>
      <c r="AU85" s="64"/>
      <c r="AV85" s="132"/>
      <c r="AW85" s="132"/>
      <c r="AX85" s="132"/>
      <c r="AY85" s="28" t="s">
        <v>662</v>
      </c>
      <c r="AZ85" s="28"/>
      <c r="BA85" s="354"/>
      <c r="BB85" s="28"/>
      <c r="BC85" s="28"/>
      <c r="BD85" s="28"/>
      <c r="BE85" s="28"/>
      <c r="BF85" s="28"/>
      <c r="BG85" s="28"/>
      <c r="BH85" s="106"/>
      <c r="BI85" s="106"/>
      <c r="BJ85" s="106"/>
      <c r="BK85" s="106"/>
      <c r="BL85" s="137"/>
      <c r="BM85" s="123"/>
      <c r="BN85" s="139"/>
      <c r="BO85" s="94"/>
      <c r="BP85" s="94"/>
      <c r="BQ85" s="94"/>
      <c r="BR85" s="94"/>
      <c r="BS85" s="94"/>
      <c r="BT85" s="94"/>
      <c r="BU85" s="28">
        <v>0</v>
      </c>
      <c r="BV85" s="28"/>
      <c r="BW85" s="28"/>
      <c r="BX85" s="28"/>
      <c r="BY85" s="28"/>
      <c r="BZ85" s="28"/>
      <c r="CA85" s="28"/>
      <c r="CB85" s="99">
        <v>10</v>
      </c>
      <c r="CC85" s="99">
        <v>10</v>
      </c>
      <c r="CD85" s="99">
        <v>10</v>
      </c>
      <c r="CE85" s="99">
        <v>10</v>
      </c>
      <c r="CF85" s="99">
        <v>10</v>
      </c>
      <c r="CG85" s="99">
        <v>10</v>
      </c>
      <c r="CH85" s="99">
        <v>10</v>
      </c>
      <c r="CI85" s="175"/>
      <c r="CJ85" s="175"/>
      <c r="CK85" s="175"/>
      <c r="CL85" s="175"/>
      <c r="CM85" s="175"/>
      <c r="CN85" s="175"/>
      <c r="CO85" s="175"/>
      <c r="CP85" s="176"/>
      <c r="CQ85" s="176"/>
      <c r="CR85" s="176"/>
      <c r="CS85" s="176"/>
      <c r="CT85" s="176"/>
      <c r="CU85" s="176"/>
      <c r="CV85" s="176"/>
      <c r="CW85" s="167"/>
      <c r="CX85" s="168"/>
      <c r="CY85" s="168"/>
      <c r="CZ85" s="168"/>
      <c r="DA85" s="168"/>
      <c r="DB85" s="168"/>
      <c r="DC85" s="168"/>
      <c r="DD85" s="172"/>
      <c r="DE85" s="172"/>
      <c r="DF85" s="172"/>
      <c r="DG85" s="172"/>
      <c r="DH85" s="172"/>
      <c r="DI85" s="172"/>
      <c r="DJ85" s="172"/>
      <c r="DK85" s="80" t="s">
        <v>502</v>
      </c>
      <c r="DL85" s="128">
        <f>VLOOKUP($F85,Activities!$A$9:$I$180,3,FALSE)/$AI85</f>
        <v>0.34079999999999994</v>
      </c>
      <c r="DM85" s="128">
        <f>VLOOKUP($F85,Activities!$A$9:$I$180,4,FALSE)/$AI85</f>
        <v>0.34079999999999994</v>
      </c>
      <c r="DN85" s="128">
        <f>VLOOKUP($F85,Activities!$A$9:$I$180,5,FALSE)/$AI85</f>
        <v>0.34079999999999994</v>
      </c>
      <c r="DO85" s="128">
        <f>VLOOKUP($F85,Activities!$A$9:$I$180,6,FALSE)/$AI85</f>
        <v>0.34079999999999994</v>
      </c>
      <c r="DP85" s="128">
        <f>VLOOKUP($F85,Activities!$A$9:$I$180,7,FALSE)/$AI85</f>
        <v>0.34079999999999994</v>
      </c>
      <c r="DQ85" s="128">
        <f>VLOOKUP($F85,Activities!$A$9:$I$180,8,FALSE)/$AI85</f>
        <v>0.34079999999999994</v>
      </c>
      <c r="DR85" s="128">
        <f>VLOOKUP($F85,Activities!$A$9:$I$180,9,FALSE)/$AI85</f>
        <v>0.34079999999999994</v>
      </c>
      <c r="DS85" s="218"/>
      <c r="DT85" s="360"/>
      <c r="DU85" s="360"/>
      <c r="DV85" s="360"/>
      <c r="DW85" s="360"/>
      <c r="DX85" s="360"/>
      <c r="DY85" s="360"/>
      <c r="DZ85" s="360"/>
      <c r="EA85" s="360"/>
      <c r="EB85" s="360"/>
      <c r="EC85" s="360"/>
      <c r="ED85" s="360"/>
      <c r="EE85" s="360"/>
      <c r="EF85" s="360"/>
      <c r="EG85" s="360"/>
      <c r="EH85" s="360"/>
      <c r="EI85" s="360"/>
      <c r="EJ85" s="360"/>
      <c r="EK85" s="360"/>
      <c r="EL85" s="360"/>
      <c r="EM85" s="360"/>
      <c r="EN85" s="360"/>
      <c r="EO85" s="360"/>
      <c r="EP85" s="360"/>
      <c r="EQ85" s="360"/>
    </row>
    <row r="86" spans="1:147" x14ac:dyDescent="0.35">
      <c r="A86" s="5" t="s">
        <v>870</v>
      </c>
      <c r="B86" s="5" t="s">
        <v>740</v>
      </c>
      <c r="C86" s="5" t="s">
        <v>655</v>
      </c>
      <c r="D86" s="5" t="s">
        <v>741</v>
      </c>
      <c r="E86" s="5" t="s">
        <v>789</v>
      </c>
      <c r="F86" s="5" t="s">
        <v>359</v>
      </c>
      <c r="G86" s="47" t="s">
        <v>871</v>
      </c>
      <c r="H86" s="47" t="s">
        <v>869</v>
      </c>
      <c r="I86" s="101">
        <v>0</v>
      </c>
      <c r="J86" s="101">
        <v>0</v>
      </c>
      <c r="K86" s="101">
        <v>0</v>
      </c>
      <c r="L86" s="101">
        <v>0</v>
      </c>
      <c r="M86" s="101">
        <v>0</v>
      </c>
      <c r="N86" s="101">
        <v>0</v>
      </c>
      <c r="O86" s="101">
        <v>0</v>
      </c>
      <c r="P86" s="94">
        <v>0</v>
      </c>
      <c r="Q86" s="101">
        <v>0</v>
      </c>
      <c r="R86" s="101">
        <v>0</v>
      </c>
      <c r="S86" s="101">
        <v>0</v>
      </c>
      <c r="T86" s="101">
        <v>0</v>
      </c>
      <c r="U86" s="101">
        <v>0</v>
      </c>
      <c r="V86" s="101">
        <v>0</v>
      </c>
      <c r="W86" s="101">
        <v>0</v>
      </c>
      <c r="X86" s="101">
        <v>0</v>
      </c>
      <c r="Y86" s="101">
        <v>0</v>
      </c>
      <c r="Z86" s="101">
        <v>0</v>
      </c>
      <c r="AA86" s="101">
        <v>0</v>
      </c>
      <c r="AB86" s="101">
        <v>0</v>
      </c>
      <c r="AC86" s="101">
        <v>0</v>
      </c>
      <c r="AD86" s="101">
        <v>0</v>
      </c>
      <c r="AE86" s="186">
        <v>0.08</v>
      </c>
      <c r="AF86" s="93"/>
      <c r="AG86" s="93">
        <v>25</v>
      </c>
      <c r="AH86" s="93">
        <v>25</v>
      </c>
      <c r="AI86" s="16">
        <v>1</v>
      </c>
      <c r="AJ86" s="16" t="s">
        <v>660</v>
      </c>
      <c r="AK86" s="16" t="s">
        <v>745</v>
      </c>
      <c r="AL86" s="16"/>
      <c r="AM86" s="60"/>
      <c r="AN86" s="60"/>
      <c r="AO86" s="60"/>
      <c r="AP86" s="60"/>
      <c r="AQ86" s="60"/>
      <c r="AR86" s="60"/>
      <c r="AS86" s="63"/>
      <c r="AT86" s="63"/>
      <c r="AU86" s="63"/>
      <c r="AV86" s="131"/>
      <c r="AW86" s="131"/>
      <c r="AX86" s="131"/>
      <c r="AY86" s="27" t="s">
        <v>662</v>
      </c>
      <c r="AZ86" s="27"/>
      <c r="BA86" s="29"/>
      <c r="BB86" s="30"/>
      <c r="BC86" s="30"/>
      <c r="BD86" s="30"/>
      <c r="BE86" s="30"/>
      <c r="BF86" s="30"/>
      <c r="BG86" s="30"/>
      <c r="BH86" s="107"/>
      <c r="BI86" s="107"/>
      <c r="BJ86" s="107"/>
      <c r="BK86" s="107"/>
      <c r="BL86" s="136"/>
      <c r="BM86" s="122"/>
      <c r="BN86" s="138"/>
      <c r="BO86" s="93"/>
      <c r="BP86" s="93"/>
      <c r="BQ86" s="93"/>
      <c r="BR86" s="93"/>
      <c r="BS86" s="93"/>
      <c r="BT86" s="93"/>
      <c r="BU86" s="27">
        <v>0</v>
      </c>
      <c r="BV86" s="27"/>
      <c r="BW86" s="27"/>
      <c r="BX86" s="27"/>
      <c r="BY86" s="27"/>
      <c r="BZ86" s="27"/>
      <c r="CA86" s="27"/>
      <c r="CB86" s="97">
        <v>10</v>
      </c>
      <c r="CC86" s="97">
        <v>10</v>
      </c>
      <c r="CD86" s="97">
        <v>10</v>
      </c>
      <c r="CE86" s="97">
        <v>10</v>
      </c>
      <c r="CF86" s="97">
        <v>10</v>
      </c>
      <c r="CG86" s="97">
        <v>10</v>
      </c>
      <c r="CH86" s="97">
        <v>10</v>
      </c>
      <c r="CI86" s="173"/>
      <c r="CJ86" s="173"/>
      <c r="CK86" s="173"/>
      <c r="CL86" s="173"/>
      <c r="CM86" s="173"/>
      <c r="CN86" s="173"/>
      <c r="CO86" s="173"/>
      <c r="CP86" s="174"/>
      <c r="CQ86" s="174"/>
      <c r="CR86" s="174"/>
      <c r="CS86" s="174"/>
      <c r="CT86" s="174"/>
      <c r="CU86" s="174"/>
      <c r="CV86" s="174"/>
      <c r="CW86" s="165"/>
      <c r="CX86" s="166"/>
      <c r="CY86" s="166"/>
      <c r="CZ86" s="166"/>
      <c r="DA86" s="166"/>
      <c r="DB86" s="166"/>
      <c r="DC86" s="166"/>
      <c r="DD86" s="171"/>
      <c r="DE86" s="171"/>
      <c r="DF86" s="171"/>
      <c r="DG86" s="171"/>
      <c r="DH86" s="171"/>
      <c r="DI86" s="171"/>
      <c r="DJ86" s="171"/>
      <c r="DK86" s="79" t="s">
        <v>502</v>
      </c>
      <c r="DL86" s="128">
        <f>VLOOKUP($F86,Activities!$A$9:$I$180,3,FALSE)/$AI86</f>
        <v>0.34079999999999994</v>
      </c>
      <c r="DM86" s="128">
        <f>VLOOKUP($F86,Activities!$A$9:$I$180,4,FALSE)/$AI86</f>
        <v>0.34079999999999994</v>
      </c>
      <c r="DN86" s="128">
        <f>VLOOKUP($F86,Activities!$A$9:$I$180,5,FALSE)/$AI86</f>
        <v>0.34079999999999994</v>
      </c>
      <c r="DO86" s="128">
        <f>VLOOKUP($F86,Activities!$A$9:$I$180,6,FALSE)/$AI86</f>
        <v>0.34079999999999994</v>
      </c>
      <c r="DP86" s="128">
        <f>VLOOKUP($F86,Activities!$A$9:$I$180,7,FALSE)/$AI86</f>
        <v>0.34079999999999994</v>
      </c>
      <c r="DQ86" s="128">
        <f>VLOOKUP($F86,Activities!$A$9:$I$180,8,FALSE)/$AI86</f>
        <v>0.34079999999999994</v>
      </c>
      <c r="DR86" s="128">
        <f>VLOOKUP($F86,Activities!$A$9:$I$180,9,FALSE)/$AI86</f>
        <v>0.34079999999999994</v>
      </c>
      <c r="DS86" s="218"/>
      <c r="DT86" s="360"/>
      <c r="DU86" s="360"/>
      <c r="DV86" s="360"/>
      <c r="DW86" s="360"/>
      <c r="DX86" s="360"/>
      <c r="DY86" s="360"/>
      <c r="DZ86" s="360"/>
      <c r="EA86" s="360"/>
      <c r="EB86" s="360"/>
      <c r="EC86" s="360"/>
      <c r="ED86" s="360"/>
      <c r="EE86" s="360"/>
      <c r="EF86" s="360"/>
      <c r="EG86" s="360"/>
      <c r="EH86" s="360"/>
      <c r="EI86" s="360"/>
      <c r="EJ86" s="360"/>
      <c r="EK86" s="360"/>
      <c r="EL86" s="360"/>
      <c r="EM86" s="360"/>
      <c r="EN86" s="360"/>
      <c r="EO86" s="360"/>
      <c r="EP86" s="360"/>
      <c r="EQ86" s="360"/>
    </row>
    <row r="87" spans="1:147" x14ac:dyDescent="0.35">
      <c r="A87" s="6" t="s">
        <v>872</v>
      </c>
      <c r="B87" s="6" t="s">
        <v>740</v>
      </c>
      <c r="C87" s="6" t="s">
        <v>788</v>
      </c>
      <c r="D87" s="6" t="s">
        <v>741</v>
      </c>
      <c r="E87" s="6" t="s">
        <v>789</v>
      </c>
      <c r="F87" s="6" t="s">
        <v>436</v>
      </c>
      <c r="G87" s="48" t="s">
        <v>873</v>
      </c>
      <c r="H87" s="48" t="s">
        <v>874</v>
      </c>
      <c r="I87" s="102">
        <f>(75.9/0.305)/'Data Sources'!$I$7</f>
        <v>261.25220434318584</v>
      </c>
      <c r="J87" s="102">
        <f>(75.9/0.305)/'Data Sources'!$I$7</f>
        <v>261.25220434318584</v>
      </c>
      <c r="K87" s="102">
        <f>(75.9/0.305)/'Data Sources'!$I$7</f>
        <v>261.25220434318584</v>
      </c>
      <c r="L87" s="102">
        <f>(75.9/0.305)/'Data Sources'!$I$7</f>
        <v>261.25220434318584</v>
      </c>
      <c r="M87" s="102">
        <f>(75.9/0.305)/'Data Sources'!$I$7</f>
        <v>261.25220434318584</v>
      </c>
      <c r="N87" s="102">
        <f>(75.9/0.305)/'Data Sources'!$I$7</f>
        <v>261.25220434318584</v>
      </c>
      <c r="O87" s="102">
        <f>(75.9/0.305)/'Data Sources'!$I$7</f>
        <v>261.25220434318584</v>
      </c>
      <c r="P87" s="94">
        <v>0</v>
      </c>
      <c r="Q87" s="102">
        <f>I87*0.05</f>
        <v>13.062610217159293</v>
      </c>
      <c r="R87" s="102">
        <f t="shared" ref="R87:W88" si="77">J87*0.05</f>
        <v>13.062610217159293</v>
      </c>
      <c r="S87" s="102">
        <f t="shared" si="77"/>
        <v>13.062610217159293</v>
      </c>
      <c r="T87" s="102">
        <f t="shared" si="77"/>
        <v>13.062610217159293</v>
      </c>
      <c r="U87" s="102">
        <f t="shared" si="77"/>
        <v>13.062610217159293</v>
      </c>
      <c r="V87" s="102">
        <f t="shared" si="77"/>
        <v>13.062610217159293</v>
      </c>
      <c r="W87" s="102">
        <f t="shared" si="77"/>
        <v>13.062610217159293</v>
      </c>
      <c r="X87" s="102">
        <v>0</v>
      </c>
      <c r="Y87" s="102">
        <v>0</v>
      </c>
      <c r="Z87" s="102">
        <v>0</v>
      </c>
      <c r="AA87" s="102">
        <v>0</v>
      </c>
      <c r="AB87" s="102">
        <v>0</v>
      </c>
      <c r="AC87" s="102">
        <v>0</v>
      </c>
      <c r="AD87" s="102">
        <v>0</v>
      </c>
      <c r="AE87" s="186">
        <v>0.08</v>
      </c>
      <c r="AF87" s="94"/>
      <c r="AG87" s="94">
        <v>25</v>
      </c>
      <c r="AH87" s="94">
        <v>25</v>
      </c>
      <c r="AI87" s="17">
        <v>1</v>
      </c>
      <c r="AJ87" s="17" t="s">
        <v>660</v>
      </c>
      <c r="AK87" s="17" t="s">
        <v>745</v>
      </c>
      <c r="AL87" s="17"/>
      <c r="AM87" s="61"/>
      <c r="AN87" s="61"/>
      <c r="AO87" s="61"/>
      <c r="AP87" s="61"/>
      <c r="AQ87" s="61"/>
      <c r="AR87" s="61"/>
      <c r="AS87" s="64"/>
      <c r="AT87" s="64"/>
      <c r="AU87" s="64"/>
      <c r="AV87" s="132"/>
      <c r="AW87" s="132"/>
      <c r="AX87" s="132"/>
      <c r="AY87" s="28" t="s">
        <v>662</v>
      </c>
      <c r="AZ87" s="28"/>
      <c r="BA87" s="354"/>
      <c r="BB87" s="28"/>
      <c r="BC87" s="28"/>
      <c r="BD87" s="28"/>
      <c r="BE87" s="28"/>
      <c r="BF87" s="28"/>
      <c r="BG87" s="28"/>
      <c r="BH87" s="106"/>
      <c r="BI87" s="106"/>
      <c r="BJ87" s="106"/>
      <c r="BK87" s="106"/>
      <c r="BL87" s="137"/>
      <c r="BM87" s="123"/>
      <c r="BN87" s="139">
        <f>DL87</f>
        <v>0</v>
      </c>
      <c r="BO87" s="94"/>
      <c r="BP87" s="94"/>
      <c r="BQ87" s="94"/>
      <c r="BR87" s="94">
        <f>BN87</f>
        <v>0</v>
      </c>
      <c r="BS87" s="94"/>
      <c r="BT87" s="94"/>
      <c r="BU87" s="28">
        <v>0</v>
      </c>
      <c r="BV87" s="28"/>
      <c r="BW87" s="28"/>
      <c r="BX87" s="28"/>
      <c r="BY87" s="28"/>
      <c r="BZ87" s="28"/>
      <c r="CA87" s="28"/>
      <c r="CB87" s="99">
        <v>10</v>
      </c>
      <c r="CC87" s="99">
        <v>10</v>
      </c>
      <c r="CD87" s="99">
        <v>10</v>
      </c>
      <c r="CE87" s="99">
        <v>10</v>
      </c>
      <c r="CF87" s="99">
        <v>10</v>
      </c>
      <c r="CG87" s="99">
        <v>10</v>
      </c>
      <c r="CH87" s="99">
        <v>10</v>
      </c>
      <c r="CI87" s="175"/>
      <c r="CJ87" s="175"/>
      <c r="CK87" s="175"/>
      <c r="CL87" s="175"/>
      <c r="CM87" s="175"/>
      <c r="CN87" s="175"/>
      <c r="CO87" s="175"/>
      <c r="CP87" s="176"/>
      <c r="CQ87" s="176"/>
      <c r="CR87" s="176"/>
      <c r="CS87" s="176"/>
      <c r="CT87" s="176"/>
      <c r="CU87" s="176"/>
      <c r="CV87" s="176"/>
      <c r="CW87" s="167"/>
      <c r="CX87" s="168"/>
      <c r="CY87" s="168"/>
      <c r="CZ87" s="168"/>
      <c r="DA87" s="168"/>
      <c r="DB87" s="168"/>
      <c r="DC87" s="168"/>
      <c r="DD87" s="172"/>
      <c r="DE87" s="172"/>
      <c r="DF87" s="172"/>
      <c r="DG87" s="172"/>
      <c r="DH87" s="172"/>
      <c r="DI87" s="172"/>
      <c r="DJ87" s="172"/>
      <c r="DK87" s="80"/>
      <c r="DL87" s="128">
        <f>VLOOKUP($F87,Activities!$A$9:$I$180,3,FALSE)/$AI87</f>
        <v>0</v>
      </c>
      <c r="DM87" s="128">
        <f>VLOOKUP($F87,Activities!$A$9:$I$180,4,FALSE)/$AI87</f>
        <v>0</v>
      </c>
      <c r="DN87" s="128">
        <f>VLOOKUP($F87,Activities!$A$9:$I$180,5,FALSE)/$AI87</f>
        <v>0</v>
      </c>
      <c r="DO87" s="128">
        <f>VLOOKUP($F87,Activities!$A$9:$I$180,6,FALSE)/$AI87</f>
        <v>0</v>
      </c>
      <c r="DP87" s="128">
        <f>VLOOKUP($F87,Activities!$A$9:$I$180,7,FALSE)/$AI87</f>
        <v>0</v>
      </c>
      <c r="DQ87" s="128">
        <f>VLOOKUP($F87,Activities!$A$9:$I$180,8,FALSE)/$AI87</f>
        <v>0</v>
      </c>
      <c r="DR87" s="128">
        <f>VLOOKUP($F87,Activities!$A$9:$I$180,9,FALSE)/$AI87</f>
        <v>0</v>
      </c>
      <c r="DS87" s="218"/>
      <c r="DT87" s="360"/>
      <c r="DU87" s="360"/>
      <c r="DV87" s="360"/>
      <c r="DW87" s="360"/>
      <c r="DX87" s="360"/>
      <c r="DY87" s="360"/>
      <c r="DZ87" s="360"/>
      <c r="EA87" s="360"/>
      <c r="EB87" s="360"/>
      <c r="EC87" s="360"/>
      <c r="ED87" s="360"/>
      <c r="EE87" s="360"/>
      <c r="EF87" s="360"/>
      <c r="EG87" s="360"/>
      <c r="EH87" s="360"/>
      <c r="EI87" s="360"/>
      <c r="EJ87" s="360"/>
      <c r="EK87" s="360"/>
      <c r="EL87" s="360"/>
      <c r="EM87" s="360"/>
      <c r="EN87" s="360"/>
      <c r="EO87" s="360"/>
      <c r="EP87" s="360"/>
      <c r="EQ87" s="360"/>
    </row>
    <row r="88" spans="1:147" x14ac:dyDescent="0.35">
      <c r="A88" s="5" t="s">
        <v>875</v>
      </c>
      <c r="B88" s="5" t="s">
        <v>740</v>
      </c>
      <c r="C88" s="5" t="s">
        <v>788</v>
      </c>
      <c r="D88" s="5" t="s">
        <v>741</v>
      </c>
      <c r="E88" s="5" t="s">
        <v>789</v>
      </c>
      <c r="F88" s="5" t="s">
        <v>437</v>
      </c>
      <c r="G88" s="47" t="s">
        <v>876</v>
      </c>
      <c r="H88" s="47" t="s">
        <v>877</v>
      </c>
      <c r="I88" s="101">
        <f>(120.2/0.155)/'Data Sources'!$I$7</f>
        <v>814.12444756900311</v>
      </c>
      <c r="J88" s="101">
        <f>(120.2/0.155)/'Data Sources'!$I$7</f>
        <v>814.12444756900311</v>
      </c>
      <c r="K88" s="101">
        <f>(120.2/0.155)/'Data Sources'!$I$7</f>
        <v>814.12444756900311</v>
      </c>
      <c r="L88" s="101">
        <f>(120.2/0.155)/'Data Sources'!$I$7</f>
        <v>814.12444756900311</v>
      </c>
      <c r="M88" s="101">
        <f>(120.2/0.155)/'Data Sources'!$I$7</f>
        <v>814.12444756900311</v>
      </c>
      <c r="N88" s="101">
        <f>(120.2/0.155)/'Data Sources'!$I$7</f>
        <v>814.12444756900311</v>
      </c>
      <c r="O88" s="101">
        <f>(120.2/0.155)/'Data Sources'!$I$7</f>
        <v>814.12444756900311</v>
      </c>
      <c r="P88" s="94">
        <v>0</v>
      </c>
      <c r="Q88" s="101">
        <f>I88*0.05</f>
        <v>40.706222378450157</v>
      </c>
      <c r="R88" s="101">
        <f t="shared" si="77"/>
        <v>40.706222378450157</v>
      </c>
      <c r="S88" s="101">
        <f t="shared" si="77"/>
        <v>40.706222378450157</v>
      </c>
      <c r="T88" s="101">
        <f t="shared" si="77"/>
        <v>40.706222378450157</v>
      </c>
      <c r="U88" s="101">
        <f t="shared" si="77"/>
        <v>40.706222378450157</v>
      </c>
      <c r="V88" s="101">
        <f t="shared" si="77"/>
        <v>40.706222378450157</v>
      </c>
      <c r="W88" s="101">
        <f t="shared" si="77"/>
        <v>40.706222378450157</v>
      </c>
      <c r="X88" s="101">
        <v>0</v>
      </c>
      <c r="Y88" s="101">
        <v>0</v>
      </c>
      <c r="Z88" s="101">
        <v>0</v>
      </c>
      <c r="AA88" s="101">
        <v>0</v>
      </c>
      <c r="AB88" s="101">
        <v>0</v>
      </c>
      <c r="AC88" s="101">
        <v>0</v>
      </c>
      <c r="AD88" s="101">
        <v>0</v>
      </c>
      <c r="AE88" s="186">
        <v>0.08</v>
      </c>
      <c r="AF88" s="93"/>
      <c r="AG88" s="93">
        <v>25</v>
      </c>
      <c r="AH88" s="93">
        <v>25</v>
      </c>
      <c r="AI88" s="16">
        <v>1</v>
      </c>
      <c r="AJ88" s="16" t="s">
        <v>660</v>
      </c>
      <c r="AK88" s="16" t="s">
        <v>745</v>
      </c>
      <c r="AL88" s="16"/>
      <c r="AM88" s="60"/>
      <c r="AN88" s="60"/>
      <c r="AO88" s="60"/>
      <c r="AP88" s="60"/>
      <c r="AQ88" s="60"/>
      <c r="AR88" s="60"/>
      <c r="AS88" s="63"/>
      <c r="AT88" s="63"/>
      <c r="AU88" s="63"/>
      <c r="AV88" s="131"/>
      <c r="AW88" s="131"/>
      <c r="AX88" s="131"/>
      <c r="AY88" s="27" t="s">
        <v>662</v>
      </c>
      <c r="AZ88" s="27"/>
      <c r="BA88" s="29"/>
      <c r="BB88" s="30"/>
      <c r="BC88" s="30"/>
      <c r="BD88" s="30"/>
      <c r="BE88" s="30"/>
      <c r="BF88" s="30"/>
      <c r="BG88" s="30"/>
      <c r="BH88" s="107"/>
      <c r="BI88" s="107"/>
      <c r="BJ88" s="107"/>
      <c r="BK88" s="107"/>
      <c r="BL88" s="136"/>
      <c r="BM88" s="122"/>
      <c r="BN88" s="138">
        <f>DL88</f>
        <v>0.155</v>
      </c>
      <c r="BO88" s="93"/>
      <c r="BP88" s="93"/>
      <c r="BQ88" s="93"/>
      <c r="BR88" s="93">
        <f>BN88</f>
        <v>0.155</v>
      </c>
      <c r="BS88" s="93"/>
      <c r="BT88" s="93"/>
      <c r="BU88" s="27">
        <v>0</v>
      </c>
      <c r="BV88" s="27"/>
      <c r="BW88" s="27"/>
      <c r="BX88" s="27"/>
      <c r="BY88" s="27"/>
      <c r="BZ88" s="27"/>
      <c r="CA88" s="27"/>
      <c r="CB88" s="97">
        <v>10</v>
      </c>
      <c r="CC88" s="97">
        <v>10</v>
      </c>
      <c r="CD88" s="97">
        <v>10</v>
      </c>
      <c r="CE88" s="97">
        <v>10</v>
      </c>
      <c r="CF88" s="97">
        <v>10</v>
      </c>
      <c r="CG88" s="97">
        <v>10</v>
      </c>
      <c r="CH88" s="97">
        <v>10</v>
      </c>
      <c r="CI88" s="173"/>
      <c r="CJ88" s="173"/>
      <c r="CK88" s="173"/>
      <c r="CL88" s="173"/>
      <c r="CM88" s="173"/>
      <c r="CN88" s="173"/>
      <c r="CO88" s="173"/>
      <c r="CP88" s="174"/>
      <c r="CQ88" s="174"/>
      <c r="CR88" s="174"/>
      <c r="CS88" s="174"/>
      <c r="CT88" s="174"/>
      <c r="CU88" s="174"/>
      <c r="CV88" s="174"/>
      <c r="CW88" s="165"/>
      <c r="CX88" s="166"/>
      <c r="CY88" s="166"/>
      <c r="CZ88" s="166"/>
      <c r="DA88" s="166"/>
      <c r="DB88" s="166"/>
      <c r="DC88" s="166"/>
      <c r="DD88" s="171"/>
      <c r="DE88" s="171"/>
      <c r="DF88" s="171"/>
      <c r="DG88" s="171"/>
      <c r="DH88" s="171"/>
      <c r="DI88" s="171"/>
      <c r="DJ88" s="171"/>
      <c r="DK88" s="79"/>
      <c r="DL88" s="128">
        <v>0.155</v>
      </c>
      <c r="DM88" s="128">
        <v>0.155</v>
      </c>
      <c r="DN88" s="128">
        <v>0.155</v>
      </c>
      <c r="DO88" s="128">
        <v>0.155</v>
      </c>
      <c r="DP88" s="128">
        <v>0.155</v>
      </c>
      <c r="DQ88" s="128">
        <v>0.155</v>
      </c>
      <c r="DR88" s="128">
        <v>0.155</v>
      </c>
      <c r="DS88" s="218"/>
      <c r="DT88" s="360"/>
      <c r="DU88" s="360"/>
      <c r="DV88" s="360"/>
      <c r="DW88" s="360"/>
      <c r="DX88" s="360"/>
      <c r="DY88" s="360"/>
      <c r="DZ88" s="360"/>
      <c r="EA88" s="360"/>
      <c r="EB88" s="360"/>
      <c r="EC88" s="360"/>
      <c r="ED88" s="360"/>
      <c r="EE88" s="360"/>
      <c r="EF88" s="360"/>
      <c r="EG88" s="360"/>
      <c r="EH88" s="360"/>
      <c r="EI88" s="360"/>
      <c r="EJ88" s="360"/>
      <c r="EK88" s="360"/>
      <c r="EL88" s="360"/>
      <c r="EM88" s="360"/>
      <c r="EN88" s="360"/>
      <c r="EO88" s="360"/>
      <c r="EP88" s="360"/>
      <c r="EQ88" s="360"/>
    </row>
    <row r="89" spans="1:147" x14ac:dyDescent="0.35">
      <c r="A89" s="6" t="s">
        <v>878</v>
      </c>
      <c r="B89" s="6" t="s">
        <v>740</v>
      </c>
      <c r="C89" s="6" t="s">
        <v>655</v>
      </c>
      <c r="D89" s="6" t="s">
        <v>741</v>
      </c>
      <c r="E89" s="6" t="s">
        <v>789</v>
      </c>
      <c r="F89" s="6" t="s">
        <v>361</v>
      </c>
      <c r="G89" s="48" t="s">
        <v>879</v>
      </c>
      <c r="H89" s="48" t="s">
        <v>874</v>
      </c>
      <c r="I89" s="102">
        <v>0</v>
      </c>
      <c r="J89" s="102">
        <v>0</v>
      </c>
      <c r="K89" s="102">
        <v>0</v>
      </c>
      <c r="L89" s="102">
        <v>0</v>
      </c>
      <c r="M89" s="102">
        <v>0</v>
      </c>
      <c r="N89" s="102">
        <v>0</v>
      </c>
      <c r="O89" s="102">
        <v>0</v>
      </c>
      <c r="P89" s="94">
        <v>0</v>
      </c>
      <c r="Q89" s="102">
        <v>0</v>
      </c>
      <c r="R89" s="102">
        <v>0</v>
      </c>
      <c r="S89" s="102">
        <v>0</v>
      </c>
      <c r="T89" s="102">
        <v>0</v>
      </c>
      <c r="U89" s="102">
        <v>0</v>
      </c>
      <c r="V89" s="102">
        <v>0</v>
      </c>
      <c r="W89" s="102">
        <v>0</v>
      </c>
      <c r="X89" s="102">
        <v>0</v>
      </c>
      <c r="Y89" s="102">
        <v>0</v>
      </c>
      <c r="Z89" s="102">
        <v>0</v>
      </c>
      <c r="AA89" s="102">
        <v>0</v>
      </c>
      <c r="AB89" s="102">
        <v>0</v>
      </c>
      <c r="AC89" s="102">
        <v>0</v>
      </c>
      <c r="AD89" s="102">
        <v>0</v>
      </c>
      <c r="AE89" s="186">
        <v>0.08</v>
      </c>
      <c r="AF89" s="94"/>
      <c r="AG89" s="94">
        <v>25</v>
      </c>
      <c r="AH89" s="94">
        <v>25</v>
      </c>
      <c r="AI89" s="17">
        <v>1</v>
      </c>
      <c r="AJ89" s="17" t="s">
        <v>660</v>
      </c>
      <c r="AK89" s="17" t="s">
        <v>745</v>
      </c>
      <c r="AL89" s="17"/>
      <c r="AM89" s="61"/>
      <c r="AN89" s="61"/>
      <c r="AO89" s="61"/>
      <c r="AP89" s="61"/>
      <c r="AQ89" s="61"/>
      <c r="AR89" s="61"/>
      <c r="AS89" s="64"/>
      <c r="AT89" s="64"/>
      <c r="AU89" s="64"/>
      <c r="AV89" s="132"/>
      <c r="AW89" s="132"/>
      <c r="AX89" s="132"/>
      <c r="AY89" s="28" t="s">
        <v>662</v>
      </c>
      <c r="AZ89" s="28"/>
      <c r="BA89" s="354"/>
      <c r="BB89" s="28"/>
      <c r="BC89" s="28"/>
      <c r="BD89" s="28"/>
      <c r="BE89" s="28"/>
      <c r="BF89" s="28"/>
      <c r="BG89" s="28"/>
      <c r="BH89" s="106"/>
      <c r="BI89" s="106"/>
      <c r="BJ89" s="106"/>
      <c r="BK89" s="106"/>
      <c r="BL89" s="137"/>
      <c r="BM89" s="123"/>
      <c r="BN89" s="139">
        <f>DL89</f>
        <v>0.1464</v>
      </c>
      <c r="BO89" s="94"/>
      <c r="BP89" s="94"/>
      <c r="BQ89" s="94"/>
      <c r="BR89" s="94"/>
      <c r="BS89" s="94"/>
      <c r="BT89" s="94"/>
      <c r="BU89" s="28">
        <v>0</v>
      </c>
      <c r="BV89" s="28"/>
      <c r="BW89" s="28"/>
      <c r="BX89" s="28"/>
      <c r="BY89" s="28"/>
      <c r="BZ89" s="28"/>
      <c r="CA89" s="28"/>
      <c r="CB89" s="99">
        <v>10</v>
      </c>
      <c r="CC89" s="99">
        <v>10</v>
      </c>
      <c r="CD89" s="99">
        <v>10</v>
      </c>
      <c r="CE89" s="99">
        <v>10</v>
      </c>
      <c r="CF89" s="99">
        <v>10</v>
      </c>
      <c r="CG89" s="99">
        <v>10</v>
      </c>
      <c r="CH89" s="99">
        <v>10</v>
      </c>
      <c r="CI89" s="175"/>
      <c r="CJ89" s="175"/>
      <c r="CK89" s="175"/>
      <c r="CL89" s="175"/>
      <c r="CM89" s="175"/>
      <c r="CN89" s="175"/>
      <c r="CO89" s="175"/>
      <c r="CP89" s="176"/>
      <c r="CQ89" s="176"/>
      <c r="CR89" s="176"/>
      <c r="CS89" s="176"/>
      <c r="CT89" s="176"/>
      <c r="CU89" s="176"/>
      <c r="CV89" s="176"/>
      <c r="CW89" s="167"/>
      <c r="CX89" s="168"/>
      <c r="CY89" s="168"/>
      <c r="CZ89" s="168"/>
      <c r="DA89" s="168"/>
      <c r="DB89" s="168"/>
      <c r="DC89" s="168"/>
      <c r="DD89" s="172"/>
      <c r="DE89" s="172"/>
      <c r="DF89" s="172"/>
      <c r="DG89" s="172"/>
      <c r="DH89" s="172"/>
      <c r="DI89" s="172"/>
      <c r="DJ89" s="172"/>
      <c r="DK89" s="80" t="s">
        <v>502</v>
      </c>
      <c r="DL89" s="128">
        <f>VLOOKUP($F89,Activities!$A$9:$I$180,3,FALSE)/$AI89</f>
        <v>0.1464</v>
      </c>
      <c r="DM89" s="128">
        <f>VLOOKUP($F89,Activities!$A$9:$I$180,4,FALSE)/$AI89</f>
        <v>0.1464</v>
      </c>
      <c r="DN89" s="128">
        <f>VLOOKUP($F89,Activities!$A$9:$I$180,5,FALSE)/$AI89</f>
        <v>0.1464</v>
      </c>
      <c r="DO89" s="128">
        <f>VLOOKUP($F89,Activities!$A$9:$I$180,6,FALSE)/$AI89</f>
        <v>0.1464</v>
      </c>
      <c r="DP89" s="128">
        <f>VLOOKUP($F89,Activities!$A$9:$I$180,7,FALSE)/$AI89</f>
        <v>0.1464</v>
      </c>
      <c r="DQ89" s="128">
        <f>VLOOKUP($F89,Activities!$A$9:$I$180,8,FALSE)/$AI89</f>
        <v>0.1464</v>
      </c>
      <c r="DR89" s="128">
        <f>VLOOKUP($F89,Activities!$A$9:$I$180,9,FALSE)/$AI89</f>
        <v>0.1464</v>
      </c>
      <c r="DS89" s="218"/>
      <c r="DT89" s="360"/>
      <c r="DU89" s="360"/>
      <c r="DV89" s="360"/>
      <c r="DW89" s="360"/>
      <c r="DX89" s="360"/>
      <c r="DY89" s="360"/>
      <c r="DZ89" s="360"/>
      <c r="EA89" s="360"/>
      <c r="EB89" s="360"/>
      <c r="EC89" s="360"/>
      <c r="ED89" s="360"/>
      <c r="EE89" s="360"/>
      <c r="EF89" s="360"/>
      <c r="EG89" s="360"/>
      <c r="EH89" s="360"/>
      <c r="EI89" s="360"/>
      <c r="EJ89" s="360"/>
      <c r="EK89" s="360"/>
      <c r="EL89" s="360"/>
      <c r="EM89" s="360"/>
      <c r="EN89" s="360"/>
      <c r="EO89" s="360"/>
      <c r="EP89" s="360"/>
      <c r="EQ89" s="360"/>
    </row>
    <row r="90" spans="1:147" x14ac:dyDescent="0.35">
      <c r="A90" s="5" t="s">
        <v>880</v>
      </c>
      <c r="B90" s="6" t="s">
        <v>740</v>
      </c>
      <c r="C90" s="182" t="s">
        <v>655</v>
      </c>
      <c r="D90" s="182" t="s">
        <v>741</v>
      </c>
      <c r="E90" s="182" t="s">
        <v>789</v>
      </c>
      <c r="F90" s="182" t="s">
        <v>345</v>
      </c>
      <c r="G90" s="183" t="s">
        <v>881</v>
      </c>
      <c r="H90" s="183" t="s">
        <v>882</v>
      </c>
      <c r="I90" s="184">
        <f>2.5*1.152</f>
        <v>2.88</v>
      </c>
      <c r="J90" s="184">
        <f t="shared" ref="J90:O90" si="78">2.5*1.152</f>
        <v>2.88</v>
      </c>
      <c r="K90" s="184">
        <f t="shared" si="78"/>
        <v>2.88</v>
      </c>
      <c r="L90" s="184">
        <f t="shared" si="78"/>
        <v>2.88</v>
      </c>
      <c r="M90" s="184">
        <f t="shared" si="78"/>
        <v>2.88</v>
      </c>
      <c r="N90" s="184">
        <f t="shared" si="78"/>
        <v>2.88</v>
      </c>
      <c r="O90" s="184">
        <f t="shared" si="78"/>
        <v>2.88</v>
      </c>
      <c r="P90" s="94">
        <v>0</v>
      </c>
      <c r="Q90" s="184">
        <f>0.12*41.8</f>
        <v>5.0159999999999991</v>
      </c>
      <c r="R90" s="184">
        <f t="shared" ref="R90:W90" si="79">0.12*41.8</f>
        <v>5.0159999999999991</v>
      </c>
      <c r="S90" s="184">
        <f t="shared" si="79"/>
        <v>5.0159999999999991</v>
      </c>
      <c r="T90" s="184">
        <f t="shared" si="79"/>
        <v>5.0159999999999991</v>
      </c>
      <c r="U90" s="184">
        <f t="shared" si="79"/>
        <v>5.0159999999999991</v>
      </c>
      <c r="V90" s="184">
        <f t="shared" si="79"/>
        <v>5.0159999999999991</v>
      </c>
      <c r="W90" s="184">
        <f t="shared" si="79"/>
        <v>5.0159999999999991</v>
      </c>
      <c r="X90" s="101">
        <v>0</v>
      </c>
      <c r="Y90" s="101">
        <v>0</v>
      </c>
      <c r="Z90" s="101">
        <v>0</v>
      </c>
      <c r="AA90" s="101">
        <v>0</v>
      </c>
      <c r="AB90" s="101">
        <v>0</v>
      </c>
      <c r="AC90" s="101">
        <v>0</v>
      </c>
      <c r="AD90" s="101">
        <v>0</v>
      </c>
      <c r="AE90" s="186">
        <v>0.08</v>
      </c>
      <c r="AF90" s="186">
        <v>0</v>
      </c>
      <c r="AG90" s="93">
        <v>25</v>
      </c>
      <c r="AH90" s="93">
        <v>25</v>
      </c>
      <c r="AI90" s="187">
        <v>1</v>
      </c>
      <c r="AJ90" s="187" t="s">
        <v>660</v>
      </c>
      <c r="AK90" s="187" t="s">
        <v>745</v>
      </c>
      <c r="AL90" s="187"/>
      <c r="AM90" s="188"/>
      <c r="AN90" s="188"/>
      <c r="AO90" s="188"/>
      <c r="AP90" s="188"/>
      <c r="AQ90" s="188"/>
      <c r="AR90" s="188"/>
      <c r="AS90" s="189"/>
      <c r="AT90" s="189"/>
      <c r="AU90" s="189"/>
      <c r="AV90" s="190"/>
      <c r="AW90" s="190"/>
      <c r="AX90" s="190"/>
      <c r="AY90" s="191" t="s">
        <v>662</v>
      </c>
      <c r="AZ90" s="191"/>
      <c r="BA90" s="355"/>
      <c r="BB90" s="192"/>
      <c r="BC90" s="192"/>
      <c r="BD90" s="192"/>
      <c r="BE90" s="192"/>
      <c r="BF90" s="192"/>
      <c r="BG90" s="192"/>
      <c r="BH90" s="193"/>
      <c r="BI90" s="193"/>
      <c r="BJ90" s="193"/>
      <c r="BK90" s="193"/>
      <c r="BL90" s="194"/>
      <c r="BM90" s="195"/>
      <c r="BN90" s="196">
        <v>0</v>
      </c>
      <c r="BO90" s="186"/>
      <c r="BP90" s="186"/>
      <c r="BQ90" s="186"/>
      <c r="BR90" s="186"/>
      <c r="BS90" s="186"/>
      <c r="BT90" s="186"/>
      <c r="BU90" s="191">
        <f t="shared" ref="BU90:BU97" si="80">IF(BL90=1,BN90,0)</f>
        <v>0</v>
      </c>
      <c r="BV90" s="191"/>
      <c r="BW90" s="191"/>
      <c r="BX90" s="191"/>
      <c r="BY90" s="191"/>
      <c r="BZ90" s="191"/>
      <c r="CA90" s="191"/>
      <c r="CB90" s="185">
        <v>1</v>
      </c>
      <c r="CC90" s="185">
        <v>1</v>
      </c>
      <c r="CD90" s="185">
        <v>5</v>
      </c>
      <c r="CE90" s="185">
        <v>5</v>
      </c>
      <c r="CF90" s="185">
        <v>5</v>
      </c>
      <c r="CG90" s="185">
        <v>5</v>
      </c>
      <c r="CH90" s="185">
        <v>5</v>
      </c>
      <c r="CI90" s="191"/>
      <c r="CJ90" s="191"/>
      <c r="CK90" s="191"/>
      <c r="CL90" s="191"/>
      <c r="CM90" s="191"/>
      <c r="CN90" s="191"/>
      <c r="CO90" s="191"/>
      <c r="CP90" s="197"/>
      <c r="CQ90" s="197"/>
      <c r="CR90" s="197"/>
      <c r="CS90" s="197"/>
      <c r="CT90" s="197"/>
      <c r="CU90" s="197"/>
      <c r="CV90" s="197"/>
      <c r="CW90" s="198"/>
      <c r="CX90" s="199"/>
      <c r="CY90" s="199"/>
      <c r="CZ90" s="199"/>
      <c r="DA90" s="199"/>
      <c r="DB90" s="199"/>
      <c r="DC90" s="199"/>
      <c r="DD90" s="199"/>
      <c r="DE90" s="199"/>
      <c r="DF90" s="199"/>
      <c r="DG90" s="199"/>
      <c r="DH90" s="199"/>
      <c r="DI90" s="199"/>
      <c r="DJ90" s="199"/>
      <c r="DK90" s="200" t="s">
        <v>883</v>
      </c>
      <c r="DL90" s="128">
        <f>VLOOKUP($F90,Activities!$A$9:$I$180,3,FALSE)/$AI90</f>
        <v>3</v>
      </c>
      <c r="DM90" s="128">
        <f>VLOOKUP($F90,Activities!$A$9:$I$180,4,FALSE)/$AI90</f>
        <v>3</v>
      </c>
      <c r="DN90" s="128">
        <f>VLOOKUP($F90,Activities!$A$9:$I$180,5,FALSE)/$AI90</f>
        <v>3</v>
      </c>
      <c r="DO90" s="128">
        <f>VLOOKUP($F90,Activities!$A$9:$I$180,6,FALSE)/$AI90</f>
        <v>3</v>
      </c>
      <c r="DP90" s="128">
        <f>VLOOKUP($F90,Activities!$A$9:$I$180,7,FALSE)/$AI90</f>
        <v>3</v>
      </c>
      <c r="DQ90" s="128">
        <f>VLOOKUP($F90,Activities!$A$9:$I$180,8,FALSE)/$AI90</f>
        <v>3</v>
      </c>
      <c r="DR90" s="128">
        <f>VLOOKUP($F90,Activities!$A$9:$I$180,9,FALSE)/$AI90</f>
        <v>3</v>
      </c>
      <c r="DS90" s="218"/>
      <c r="DT90" s="360"/>
      <c r="DU90" s="360"/>
      <c r="DV90" s="360"/>
      <c r="DW90" s="360"/>
      <c r="DX90" s="360"/>
      <c r="DY90" s="360"/>
      <c r="DZ90" s="360"/>
      <c r="EA90" s="360"/>
      <c r="EB90" s="360"/>
      <c r="EC90" s="360"/>
      <c r="ED90" s="360"/>
      <c r="EE90" s="360"/>
      <c r="EF90" s="360"/>
      <c r="EG90" s="360"/>
      <c r="EH90" s="360"/>
      <c r="EI90" s="360"/>
      <c r="EJ90" s="360"/>
      <c r="EK90" s="360"/>
      <c r="EL90" s="360"/>
      <c r="EM90" s="360"/>
      <c r="EN90" s="360"/>
      <c r="EO90" s="360"/>
      <c r="EP90" s="360"/>
      <c r="EQ90" s="360"/>
    </row>
    <row r="91" spans="1:147" x14ac:dyDescent="0.35">
      <c r="A91" s="5" t="s">
        <v>884</v>
      </c>
      <c r="B91" s="6" t="s">
        <v>740</v>
      </c>
      <c r="C91" s="182" t="s">
        <v>655</v>
      </c>
      <c r="D91" s="182" t="s">
        <v>741</v>
      </c>
      <c r="E91" s="182" t="s">
        <v>789</v>
      </c>
      <c r="F91" s="201" t="s">
        <v>345</v>
      </c>
      <c r="G91" s="183" t="s">
        <v>885</v>
      </c>
      <c r="H91" s="183" t="s">
        <v>882</v>
      </c>
      <c r="I91" s="184">
        <v>17.5</v>
      </c>
      <c r="J91" s="184">
        <v>17.5</v>
      </c>
      <c r="K91" s="184">
        <v>17.5</v>
      </c>
      <c r="L91" s="184">
        <v>17.5</v>
      </c>
      <c r="M91" s="184">
        <v>17.5</v>
      </c>
      <c r="N91" s="184">
        <v>17.5</v>
      </c>
      <c r="O91" s="184">
        <v>17.5</v>
      </c>
      <c r="P91" s="94">
        <v>0</v>
      </c>
      <c r="Q91" s="184">
        <v>0.88</v>
      </c>
      <c r="R91" s="184">
        <v>0.88</v>
      </c>
      <c r="S91" s="184">
        <v>0.88</v>
      </c>
      <c r="T91" s="184">
        <v>0.88</v>
      </c>
      <c r="U91" s="184">
        <v>0.88</v>
      </c>
      <c r="V91" s="184">
        <v>0.88</v>
      </c>
      <c r="W91" s="184">
        <v>0.88</v>
      </c>
      <c r="X91" s="102">
        <v>0</v>
      </c>
      <c r="Y91" s="102">
        <v>0</v>
      </c>
      <c r="Z91" s="102">
        <v>0</v>
      </c>
      <c r="AA91" s="102">
        <v>0</v>
      </c>
      <c r="AB91" s="102">
        <v>0</v>
      </c>
      <c r="AC91" s="102">
        <v>0</v>
      </c>
      <c r="AD91" s="102">
        <v>0</v>
      </c>
      <c r="AE91" s="186">
        <v>0.08</v>
      </c>
      <c r="AF91" s="186">
        <v>0</v>
      </c>
      <c r="AG91" s="93">
        <v>25</v>
      </c>
      <c r="AH91" s="93">
        <v>25</v>
      </c>
      <c r="AI91" s="187">
        <v>1</v>
      </c>
      <c r="AJ91" s="187" t="s">
        <v>660</v>
      </c>
      <c r="AK91" s="187" t="s">
        <v>745</v>
      </c>
      <c r="AL91" s="187"/>
      <c r="AM91" s="188"/>
      <c r="AN91" s="188"/>
      <c r="AO91" s="188"/>
      <c r="AP91" s="188"/>
      <c r="AQ91" s="188"/>
      <c r="AR91" s="188"/>
      <c r="AS91" s="189"/>
      <c r="AT91" s="189"/>
      <c r="AU91" s="189"/>
      <c r="AV91" s="190"/>
      <c r="AW91" s="190"/>
      <c r="AX91" s="190"/>
      <c r="AY91" s="191" t="s">
        <v>662</v>
      </c>
      <c r="AZ91" s="191"/>
      <c r="BA91" s="355"/>
      <c r="BB91" s="192"/>
      <c r="BC91" s="192"/>
      <c r="BD91" s="192"/>
      <c r="BE91" s="192"/>
      <c r="BF91" s="192"/>
      <c r="BG91" s="192"/>
      <c r="BH91" s="193"/>
      <c r="BI91" s="193"/>
      <c r="BJ91" s="193"/>
      <c r="BK91" s="193"/>
      <c r="BL91" s="194"/>
      <c r="BM91" s="195"/>
      <c r="BN91" s="196">
        <v>0</v>
      </c>
      <c r="BO91" s="186"/>
      <c r="BP91" s="186"/>
      <c r="BQ91" s="186"/>
      <c r="BR91" s="186"/>
      <c r="BS91" s="186"/>
      <c r="BT91" s="186"/>
      <c r="BU91" s="191">
        <f t="shared" si="80"/>
        <v>0</v>
      </c>
      <c r="BV91" s="191"/>
      <c r="BW91" s="191"/>
      <c r="BX91" s="191"/>
      <c r="BY91" s="191"/>
      <c r="BZ91" s="191"/>
      <c r="CA91" s="191"/>
      <c r="CB91" s="185">
        <v>1</v>
      </c>
      <c r="CC91" s="185">
        <v>1</v>
      </c>
      <c r="CD91" s="185">
        <v>5</v>
      </c>
      <c r="CE91" s="185">
        <v>5</v>
      </c>
      <c r="CF91" s="185">
        <v>5</v>
      </c>
      <c r="CG91" s="185">
        <v>5</v>
      </c>
      <c r="CH91" s="185">
        <v>5</v>
      </c>
      <c r="CI91" s="191"/>
      <c r="CJ91" s="191"/>
      <c r="CK91" s="191"/>
      <c r="CL91" s="191"/>
      <c r="CM91" s="191"/>
      <c r="CN91" s="191"/>
      <c r="CO91" s="191"/>
      <c r="CP91" s="197"/>
      <c r="CQ91" s="197"/>
      <c r="CR91" s="197"/>
      <c r="CS91" s="197"/>
      <c r="CT91" s="197"/>
      <c r="CU91" s="197"/>
      <c r="CV91" s="197"/>
      <c r="CW91" s="198"/>
      <c r="CX91" s="199"/>
      <c r="CY91" s="199"/>
      <c r="CZ91" s="199"/>
      <c r="DA91" s="199"/>
      <c r="DB91" s="199"/>
      <c r="DC91" s="199"/>
      <c r="DD91" s="199"/>
      <c r="DE91" s="199"/>
      <c r="DF91" s="199"/>
      <c r="DG91" s="199"/>
      <c r="DH91" s="199"/>
      <c r="DI91" s="199"/>
      <c r="DJ91" s="199"/>
      <c r="DK91" s="200" t="s">
        <v>883</v>
      </c>
      <c r="DL91" s="128">
        <f>VLOOKUP($F91,Activities!$A$9:$I$180,3,FALSE)/$AI91</f>
        <v>3</v>
      </c>
      <c r="DM91" s="128">
        <f>VLOOKUP($F91,Activities!$A$9:$I$180,4,FALSE)/$AI91</f>
        <v>3</v>
      </c>
      <c r="DN91" s="128">
        <f>VLOOKUP($F91,Activities!$A$9:$I$180,5,FALSE)/$AI91</f>
        <v>3</v>
      </c>
      <c r="DO91" s="128">
        <f>VLOOKUP($F91,Activities!$A$9:$I$180,6,FALSE)/$AI91</f>
        <v>3</v>
      </c>
      <c r="DP91" s="128">
        <f>VLOOKUP($F91,Activities!$A$9:$I$180,7,FALSE)/$AI91</f>
        <v>3</v>
      </c>
      <c r="DQ91" s="128">
        <f>VLOOKUP($F91,Activities!$A$9:$I$180,8,FALSE)/$AI91</f>
        <v>3</v>
      </c>
      <c r="DR91" s="128">
        <f>VLOOKUP($F91,Activities!$A$9:$I$180,9,FALSE)/$AI91</f>
        <v>3</v>
      </c>
      <c r="DS91" s="218"/>
      <c r="DT91" s="360"/>
      <c r="DU91" s="360"/>
      <c r="DV91" s="360"/>
      <c r="DW91" s="360"/>
      <c r="DX91" s="360"/>
      <c r="DY91" s="360"/>
      <c r="DZ91" s="360"/>
      <c r="EA91" s="360"/>
      <c r="EB91" s="360"/>
      <c r="EC91" s="360"/>
      <c r="ED91" s="360"/>
      <c r="EE91" s="360"/>
      <c r="EF91" s="360"/>
      <c r="EG91" s="360"/>
      <c r="EH91" s="360"/>
      <c r="EI91" s="360"/>
      <c r="EJ91" s="360"/>
      <c r="EK91" s="360"/>
      <c r="EL91" s="360"/>
      <c r="EM91" s="360"/>
      <c r="EN91" s="360"/>
      <c r="EO91" s="360"/>
      <c r="EP91" s="360"/>
      <c r="EQ91" s="360"/>
    </row>
    <row r="92" spans="1:147" x14ac:dyDescent="0.35">
      <c r="A92" s="5" t="s">
        <v>886</v>
      </c>
      <c r="B92" s="6" t="s">
        <v>740</v>
      </c>
      <c r="C92" s="243" t="s">
        <v>817</v>
      </c>
      <c r="D92" s="243" t="s">
        <v>419</v>
      </c>
      <c r="E92" s="182" t="s">
        <v>789</v>
      </c>
      <c r="F92" s="201" t="s">
        <v>345</v>
      </c>
      <c r="G92" s="183" t="s">
        <v>887</v>
      </c>
      <c r="H92" s="183" t="s">
        <v>882</v>
      </c>
      <c r="I92" s="184">
        <v>0</v>
      </c>
      <c r="J92" s="184">
        <v>0</v>
      </c>
      <c r="K92" s="184">
        <v>0</v>
      </c>
      <c r="L92" s="184">
        <v>0</v>
      </c>
      <c r="M92" s="184">
        <v>0</v>
      </c>
      <c r="N92" s="184">
        <v>0</v>
      </c>
      <c r="O92" s="184">
        <v>0</v>
      </c>
      <c r="P92" s="94">
        <v>0</v>
      </c>
      <c r="Q92" s="184">
        <v>0</v>
      </c>
      <c r="R92" s="184">
        <v>0</v>
      </c>
      <c r="S92" s="184">
        <v>0</v>
      </c>
      <c r="T92" s="184">
        <v>0</v>
      </c>
      <c r="U92" s="184">
        <v>0</v>
      </c>
      <c r="V92" s="184">
        <v>0</v>
      </c>
      <c r="W92" s="184">
        <v>0</v>
      </c>
      <c r="X92" s="184">
        <v>645.23538199476218</v>
      </c>
      <c r="Y92" s="184">
        <v>599.06439590212517</v>
      </c>
      <c r="Z92" s="184">
        <v>553.05889885265299</v>
      </c>
      <c r="AA92" s="184">
        <v>553.05889885265299</v>
      </c>
      <c r="AB92" s="184">
        <v>414.79417413948983</v>
      </c>
      <c r="AC92" s="184">
        <v>398.49851390412431</v>
      </c>
      <c r="AD92" s="184">
        <v>381.87400158873669</v>
      </c>
      <c r="AE92" s="186">
        <v>0.08</v>
      </c>
      <c r="AF92" s="186">
        <v>0</v>
      </c>
      <c r="AG92" s="93">
        <v>25</v>
      </c>
      <c r="AH92" s="93">
        <v>25</v>
      </c>
      <c r="AI92" s="187">
        <v>1</v>
      </c>
      <c r="AJ92" s="187" t="s">
        <v>660</v>
      </c>
      <c r="AK92" s="187" t="s">
        <v>745</v>
      </c>
      <c r="AL92" s="187"/>
      <c r="AM92" s="188"/>
      <c r="AN92" s="188"/>
      <c r="AO92" s="188"/>
      <c r="AP92" s="188"/>
      <c r="AQ92" s="188"/>
      <c r="AR92" s="188"/>
      <c r="AS92" s="189"/>
      <c r="AT92" s="189"/>
      <c r="AU92" s="189"/>
      <c r="AV92" s="190"/>
      <c r="AW92" s="190"/>
      <c r="AX92" s="190"/>
      <c r="AY92" s="191" t="s">
        <v>662</v>
      </c>
      <c r="AZ92" s="191"/>
      <c r="BA92" s="355"/>
      <c r="BB92" s="192"/>
      <c r="BC92" s="192"/>
      <c r="BD92" s="192"/>
      <c r="BE92" s="192"/>
      <c r="BF92" s="192"/>
      <c r="BG92" s="192"/>
      <c r="BH92" s="193"/>
      <c r="BI92" s="193"/>
      <c r="BJ92" s="193"/>
      <c r="BK92" s="193"/>
      <c r="BL92" s="194"/>
      <c r="BM92" s="195"/>
      <c r="BN92" s="196">
        <v>0</v>
      </c>
      <c r="BO92" s="186"/>
      <c r="BP92" s="186"/>
      <c r="BQ92" s="186"/>
      <c r="BR92" s="186"/>
      <c r="BS92" s="186"/>
      <c r="BT92" s="186"/>
      <c r="BU92" s="191">
        <f t="shared" si="80"/>
        <v>0</v>
      </c>
      <c r="BV92" s="191"/>
      <c r="BW92" s="191"/>
      <c r="BX92" s="191"/>
      <c r="BY92" s="191"/>
      <c r="BZ92" s="191"/>
      <c r="CA92" s="191"/>
      <c r="CB92" s="185">
        <v>6</v>
      </c>
      <c r="CC92" s="185">
        <f>CB92</f>
        <v>6</v>
      </c>
      <c r="CD92" s="185">
        <f t="shared" ref="CD92:CH92" si="81">CC92</f>
        <v>6</v>
      </c>
      <c r="CE92" s="185">
        <f t="shared" si="81"/>
        <v>6</v>
      </c>
      <c r="CF92" s="185">
        <f t="shared" si="81"/>
        <v>6</v>
      </c>
      <c r="CG92" s="185">
        <f t="shared" si="81"/>
        <v>6</v>
      </c>
      <c r="CH92" s="185">
        <f t="shared" si="81"/>
        <v>6</v>
      </c>
      <c r="CI92" s="191"/>
      <c r="CJ92" s="191"/>
      <c r="CK92" s="191"/>
      <c r="CL92" s="191"/>
      <c r="CM92" s="191"/>
      <c r="CN92" s="191"/>
      <c r="CO92" s="191"/>
      <c r="CP92" s="197"/>
      <c r="CQ92" s="197"/>
      <c r="CR92" s="197"/>
      <c r="CS92" s="197"/>
      <c r="CT92" s="197"/>
      <c r="CU92" s="197"/>
      <c r="CV92" s="197"/>
      <c r="CW92" s="198"/>
      <c r="CX92" s="199"/>
      <c r="CY92" s="199"/>
      <c r="CZ92" s="199"/>
      <c r="DA92" s="199"/>
      <c r="DB92" s="199"/>
      <c r="DC92" s="199"/>
      <c r="DD92" s="199"/>
      <c r="DE92" s="199"/>
      <c r="DF92" s="199"/>
      <c r="DG92" s="199"/>
      <c r="DH92" s="199"/>
      <c r="DI92" s="199"/>
      <c r="DJ92" s="199"/>
      <c r="DK92" s="200" t="s">
        <v>502</v>
      </c>
      <c r="DL92" s="128">
        <f>VLOOKUP($F92,Activities!$A$9:$I$180,3,FALSE)/$AI92</f>
        <v>3</v>
      </c>
      <c r="DM92" s="128">
        <f>VLOOKUP($F92,Activities!$A$9:$I$180,4,FALSE)/$AI92</f>
        <v>3</v>
      </c>
      <c r="DN92" s="128">
        <f>VLOOKUP($F92,Activities!$A$9:$I$180,5,FALSE)/$AI92</f>
        <v>3</v>
      </c>
      <c r="DO92" s="128">
        <f>VLOOKUP($F92,Activities!$A$9:$I$180,6,FALSE)/$AI92</f>
        <v>3</v>
      </c>
      <c r="DP92" s="128">
        <f>VLOOKUP($F92,Activities!$A$9:$I$180,7,FALSE)/$AI92</f>
        <v>3</v>
      </c>
      <c r="DQ92" s="128">
        <f>VLOOKUP($F92,Activities!$A$9:$I$180,8,FALSE)/$AI92</f>
        <v>3</v>
      </c>
      <c r="DR92" s="128">
        <f>VLOOKUP($F92,Activities!$A$9:$I$180,9,FALSE)/$AI92</f>
        <v>3</v>
      </c>
      <c r="DS92" s="218"/>
      <c r="DT92" s="360"/>
      <c r="DU92" s="360"/>
      <c r="DV92" s="360"/>
      <c r="DW92" s="360"/>
      <c r="DX92" s="360"/>
      <c r="DY92" s="360"/>
      <c r="DZ92" s="360"/>
      <c r="EA92" s="360"/>
      <c r="EB92" s="360"/>
      <c r="EC92" s="360"/>
      <c r="ED92" s="360"/>
      <c r="EE92" s="360"/>
      <c r="EF92" s="360"/>
      <c r="EG92" s="360"/>
      <c r="EH92" s="360"/>
      <c r="EI92" s="360"/>
      <c r="EJ92" s="360"/>
      <c r="EK92" s="360"/>
      <c r="EL92" s="360"/>
      <c r="EM92" s="360"/>
      <c r="EN92" s="360"/>
      <c r="EO92" s="360"/>
      <c r="EP92" s="360"/>
      <c r="EQ92" s="360"/>
    </row>
    <row r="93" spans="1:147" x14ac:dyDescent="0.35">
      <c r="A93" s="5" t="s">
        <v>888</v>
      </c>
      <c r="B93" s="6" t="s">
        <v>740</v>
      </c>
      <c r="C93" s="6" t="s">
        <v>788</v>
      </c>
      <c r="D93" s="6" t="s">
        <v>741</v>
      </c>
      <c r="E93" s="6" t="s">
        <v>789</v>
      </c>
      <c r="F93" s="6" t="s">
        <v>426</v>
      </c>
      <c r="G93" s="183" t="s">
        <v>889</v>
      </c>
      <c r="H93" s="183" t="s">
        <v>791</v>
      </c>
      <c r="I93" s="362">
        <v>1335.686413585735</v>
      </c>
      <c r="J93" s="362">
        <v>1335.686413585735</v>
      </c>
      <c r="K93" s="362">
        <v>1335.686413585735</v>
      </c>
      <c r="L93" s="362">
        <v>1335.686413585735</v>
      </c>
      <c r="M93" s="362">
        <v>1335.686413585735</v>
      </c>
      <c r="N93" s="362">
        <v>1335.686413585735</v>
      </c>
      <c r="O93" s="362">
        <v>1335.686413585735</v>
      </c>
      <c r="P93" s="94"/>
      <c r="Q93" s="362">
        <v>26.7137282717147</v>
      </c>
      <c r="R93" s="362">
        <v>26.7137282717147</v>
      </c>
      <c r="S93" s="362">
        <v>26.7137282717147</v>
      </c>
      <c r="T93" s="362">
        <v>26.7137282717147</v>
      </c>
      <c r="U93" s="362">
        <v>26.7137282717147</v>
      </c>
      <c r="V93" s="362">
        <v>26.7137282717147</v>
      </c>
      <c r="W93" s="362">
        <v>26.7137282717147</v>
      </c>
      <c r="X93" s="184">
        <v>0</v>
      </c>
      <c r="Y93" s="184">
        <v>0</v>
      </c>
      <c r="Z93" s="184">
        <v>0</v>
      </c>
      <c r="AA93" s="184">
        <v>0</v>
      </c>
      <c r="AB93" s="184">
        <v>0</v>
      </c>
      <c r="AC93" s="184">
        <v>0</v>
      </c>
      <c r="AD93" s="184">
        <v>0</v>
      </c>
      <c r="AE93" s="186">
        <v>0.08</v>
      </c>
      <c r="AF93" s="186"/>
      <c r="AG93" s="93">
        <v>25</v>
      </c>
      <c r="AH93" s="93">
        <v>25</v>
      </c>
      <c r="AI93" s="187">
        <v>1</v>
      </c>
      <c r="AJ93" s="187" t="s">
        <v>660</v>
      </c>
      <c r="AK93" s="17" t="s">
        <v>745</v>
      </c>
      <c r="AL93" s="187"/>
      <c r="AM93" s="188"/>
      <c r="AN93" s="188"/>
      <c r="AO93" s="188"/>
      <c r="AP93" s="188"/>
      <c r="AQ93" s="188"/>
      <c r="AR93" s="188"/>
      <c r="AS93" s="189"/>
      <c r="AT93" s="189"/>
      <c r="AU93" s="189"/>
      <c r="AV93" s="190"/>
      <c r="AW93" s="190"/>
      <c r="AX93" s="190"/>
      <c r="AY93" s="191" t="s">
        <v>662</v>
      </c>
      <c r="AZ93" s="191"/>
      <c r="BA93" s="355"/>
      <c r="BB93" s="192"/>
      <c r="BC93" s="192"/>
      <c r="BD93" s="192"/>
      <c r="BE93" s="192"/>
      <c r="BF93" s="192"/>
      <c r="BG93" s="192"/>
      <c r="BH93" s="193"/>
      <c r="BI93" s="193"/>
      <c r="BJ93" s="193"/>
      <c r="BK93" s="193"/>
      <c r="BL93" s="194"/>
      <c r="BM93" s="195"/>
      <c r="BN93" s="196"/>
      <c r="BO93" s="186"/>
      <c r="BP93" s="186"/>
      <c r="BQ93" s="186"/>
      <c r="BR93" s="186"/>
      <c r="BS93" s="186"/>
      <c r="BT93" s="186"/>
      <c r="BU93" s="191">
        <v>0</v>
      </c>
      <c r="BV93" s="191"/>
      <c r="BW93" s="191"/>
      <c r="BX93" s="191"/>
      <c r="BY93" s="191"/>
      <c r="BZ93" s="191"/>
      <c r="CA93" s="191"/>
      <c r="CB93" s="185">
        <v>0</v>
      </c>
      <c r="CC93" s="185">
        <v>0</v>
      </c>
      <c r="CD93" s="185"/>
      <c r="CE93" s="185"/>
      <c r="CF93" s="185">
        <f t="shared" ref="CF93:CH93" si="82">CF65</f>
        <v>4</v>
      </c>
      <c r="CG93" s="185">
        <f t="shared" si="82"/>
        <v>4</v>
      </c>
      <c r="CH93" s="185">
        <f t="shared" si="82"/>
        <v>4</v>
      </c>
      <c r="CI93" s="191"/>
      <c r="CJ93" s="191"/>
      <c r="CK93" s="191"/>
      <c r="CL93" s="191"/>
      <c r="CM93" s="408"/>
      <c r="CN93" s="408"/>
      <c r="CO93" s="408"/>
      <c r="CP93" s="197"/>
      <c r="CQ93" s="197"/>
      <c r="CR93" s="197"/>
      <c r="CS93" s="197"/>
      <c r="CT93" s="197"/>
      <c r="CU93" s="197"/>
      <c r="CV93" s="197"/>
      <c r="CW93" s="198"/>
      <c r="CX93" s="199"/>
      <c r="CY93" s="199"/>
      <c r="CZ93" s="199"/>
      <c r="DA93" s="199"/>
      <c r="DB93" s="199"/>
      <c r="DC93" s="199"/>
      <c r="DD93" s="199"/>
      <c r="DE93" s="199"/>
      <c r="DF93" s="199"/>
      <c r="DG93" s="199"/>
      <c r="DH93" s="199"/>
      <c r="DI93" s="199"/>
      <c r="DJ93" s="199"/>
      <c r="DK93" s="79" t="s">
        <v>792</v>
      </c>
      <c r="DL93" s="128"/>
      <c r="DM93" s="128"/>
      <c r="DN93" s="128"/>
      <c r="DO93" s="128"/>
      <c r="DP93" s="128"/>
      <c r="DQ93" s="128"/>
      <c r="DR93" s="128"/>
      <c r="DS93" s="218"/>
      <c r="DT93" s="360"/>
      <c r="DU93" s="360"/>
      <c r="DV93" s="360"/>
      <c r="DW93" s="360"/>
      <c r="DX93" s="360"/>
      <c r="DY93" s="360"/>
      <c r="DZ93" s="360"/>
      <c r="EA93" s="360"/>
      <c r="EB93" s="360"/>
      <c r="EC93" s="360"/>
      <c r="ED93" s="360"/>
      <c r="EE93" s="360"/>
      <c r="EF93" s="360"/>
      <c r="EG93" s="360"/>
      <c r="EH93" s="360"/>
      <c r="EI93" s="360"/>
      <c r="EJ93" s="360"/>
      <c r="EK93" s="360"/>
      <c r="EL93" s="360"/>
      <c r="EM93" s="360"/>
      <c r="EN93" s="360"/>
      <c r="EO93" s="360"/>
      <c r="EP93" s="360"/>
      <c r="EQ93" s="360"/>
    </row>
    <row r="94" spans="1:147" x14ac:dyDescent="0.35">
      <c r="A94" s="5" t="s">
        <v>890</v>
      </c>
      <c r="B94" s="6" t="s">
        <v>740</v>
      </c>
      <c r="C94" s="6" t="s">
        <v>788</v>
      </c>
      <c r="D94" s="6" t="s">
        <v>741</v>
      </c>
      <c r="E94" s="6" t="s">
        <v>789</v>
      </c>
      <c r="F94" s="6" t="s">
        <v>427</v>
      </c>
      <c r="G94" s="48" t="s">
        <v>891</v>
      </c>
      <c r="H94" s="48" t="s">
        <v>815</v>
      </c>
      <c r="I94" s="102">
        <v>1180.5315376863866</v>
      </c>
      <c r="J94" s="102">
        <v>1180.5315376863866</v>
      </c>
      <c r="K94" s="102">
        <v>1180.5315376863866</v>
      </c>
      <c r="L94" s="102">
        <v>1180.5315376863866</v>
      </c>
      <c r="M94" s="102">
        <v>1180.5315376863866</v>
      </c>
      <c r="N94" s="102">
        <v>1180.5315376863866</v>
      </c>
      <c r="O94" s="102">
        <v>1180.5315376863866</v>
      </c>
      <c r="P94" s="94">
        <v>0</v>
      </c>
      <c r="Q94" s="102">
        <v>53.123919195887396</v>
      </c>
      <c r="R94" s="102">
        <v>53.123919195887396</v>
      </c>
      <c r="S94" s="102">
        <v>53.123919195887396</v>
      </c>
      <c r="T94" s="102">
        <v>53.123919195887396</v>
      </c>
      <c r="U94" s="102">
        <v>53.123919195887396</v>
      </c>
      <c r="V94" s="102">
        <v>53.123919195887396</v>
      </c>
      <c r="W94" s="102">
        <v>53.123919195887396</v>
      </c>
      <c r="X94" s="102">
        <v>0</v>
      </c>
      <c r="Y94" s="102">
        <v>0</v>
      </c>
      <c r="Z94" s="102">
        <v>0</v>
      </c>
      <c r="AA94" s="102">
        <v>0</v>
      </c>
      <c r="AB94" s="102">
        <v>0</v>
      </c>
      <c r="AC94" s="102">
        <v>0</v>
      </c>
      <c r="AD94" s="102">
        <v>0</v>
      </c>
      <c r="AE94" s="186">
        <v>0.08</v>
      </c>
      <c r="AF94" s="94"/>
      <c r="AG94" s="93">
        <v>25</v>
      </c>
      <c r="AH94" s="93">
        <v>25</v>
      </c>
      <c r="AI94" s="17">
        <v>1</v>
      </c>
      <c r="AJ94" s="17" t="s">
        <v>660</v>
      </c>
      <c r="AK94" s="17" t="s">
        <v>745</v>
      </c>
      <c r="AL94" s="17"/>
      <c r="AM94" s="61"/>
      <c r="AN94" s="61"/>
      <c r="AO94" s="61"/>
      <c r="AP94" s="61"/>
      <c r="AQ94" s="61"/>
      <c r="AR94" s="61"/>
      <c r="AS94" s="64"/>
      <c r="AT94" s="64"/>
      <c r="AU94" s="64"/>
      <c r="AV94" s="132"/>
      <c r="AW94" s="132"/>
      <c r="AX94" s="132"/>
      <c r="AY94" s="28" t="s">
        <v>662</v>
      </c>
      <c r="AZ94" s="28"/>
      <c r="BA94" s="354"/>
      <c r="BB94" s="28"/>
      <c r="BC94" s="28"/>
      <c r="BD94" s="28"/>
      <c r="BE94" s="28"/>
      <c r="BF94" s="28"/>
      <c r="BG94" s="28"/>
      <c r="BH94" s="106"/>
      <c r="BI94" s="106"/>
      <c r="BJ94" s="106"/>
      <c r="BK94" s="106"/>
      <c r="BL94" s="137"/>
      <c r="BM94" s="123"/>
      <c r="BN94" s="139">
        <v>0.12</v>
      </c>
      <c r="BO94" s="94"/>
      <c r="BP94" s="94">
        <v>0.12</v>
      </c>
      <c r="BQ94" s="94"/>
      <c r="BR94" s="94"/>
      <c r="BS94" s="94"/>
      <c r="BT94" s="94"/>
      <c r="BU94" s="28">
        <f t="shared" ref="BU94" si="83">IF(BL94=1,BN94,0)</f>
        <v>0</v>
      </c>
      <c r="BV94" s="28"/>
      <c r="BW94" s="28"/>
      <c r="BX94" s="28"/>
      <c r="BY94" s="28"/>
      <c r="BZ94" s="28"/>
      <c r="CA94" s="28"/>
      <c r="CB94" s="99">
        <v>1</v>
      </c>
      <c r="CC94" s="99">
        <v>1</v>
      </c>
      <c r="CD94" s="99">
        <v>1</v>
      </c>
      <c r="CE94" s="99">
        <v>1</v>
      </c>
      <c r="CF94" s="99">
        <v>1</v>
      </c>
      <c r="CG94" s="99">
        <v>1</v>
      </c>
      <c r="CH94" s="99">
        <v>1</v>
      </c>
      <c r="CI94" s="175"/>
      <c r="CJ94" s="175"/>
      <c r="CK94" s="175"/>
      <c r="CL94" s="175"/>
      <c r="CM94" s="175"/>
      <c r="CN94" s="175"/>
      <c r="CO94" s="175"/>
      <c r="CP94" s="176"/>
      <c r="CQ94" s="176"/>
      <c r="CR94" s="176"/>
      <c r="CS94" s="176"/>
      <c r="CT94" s="176"/>
      <c r="CU94" s="176"/>
      <c r="CV94" s="176"/>
      <c r="CW94" s="167"/>
      <c r="CX94" s="168"/>
      <c r="CY94" s="168"/>
      <c r="CZ94" s="168"/>
      <c r="DA94" s="168"/>
      <c r="DB94" s="168"/>
      <c r="DC94" s="168"/>
      <c r="DD94" s="172"/>
      <c r="DE94" s="172"/>
      <c r="DF94" s="172"/>
      <c r="DG94" s="172"/>
      <c r="DH94" s="172"/>
      <c r="DI94" s="172"/>
      <c r="DJ94" s="172"/>
      <c r="DK94" s="79" t="s">
        <v>792</v>
      </c>
      <c r="DL94" s="128">
        <f>VLOOKUP($F94,Activities!$A$9:$I$180,3,FALSE)/$AI94</f>
        <v>0</v>
      </c>
      <c r="DM94" s="128">
        <f>VLOOKUP($F94,Activities!$A$9:$I$180,4,FALSE)/$AI94</f>
        <v>0</v>
      </c>
      <c r="DN94" s="128">
        <f>VLOOKUP($F94,Activities!$A$9:$I$180,5,FALSE)/$AI94</f>
        <v>0</v>
      </c>
      <c r="DO94" s="128">
        <f>VLOOKUP($F94,Activities!$A$9:$I$180,6,FALSE)/$AI94</f>
        <v>0</v>
      </c>
      <c r="DP94" s="128">
        <f>VLOOKUP($F94,Activities!$A$9:$I$180,7,FALSE)/$AI94</f>
        <v>0</v>
      </c>
      <c r="DQ94" s="128">
        <f>VLOOKUP($F94,Activities!$A$9:$I$180,8,FALSE)/$AI94</f>
        <v>0</v>
      </c>
      <c r="DR94" s="128">
        <f>VLOOKUP($F94,Activities!$A$9:$I$180,9,FALSE)/$AI94</f>
        <v>0</v>
      </c>
      <c r="DS94" s="218"/>
      <c r="DT94" s="360"/>
      <c r="DU94" s="360"/>
      <c r="DV94" s="360"/>
      <c r="DW94" s="360"/>
      <c r="DX94" s="360"/>
      <c r="DY94" s="360"/>
      <c r="DZ94" s="360"/>
      <c r="EA94" s="360"/>
      <c r="EB94" s="360"/>
      <c r="EC94" s="360"/>
      <c r="ED94" s="360"/>
      <c r="EE94" s="360"/>
      <c r="EF94" s="360"/>
      <c r="EG94" s="360"/>
      <c r="EH94" s="360"/>
      <c r="EI94" s="360"/>
      <c r="EJ94" s="360"/>
      <c r="EK94" s="360"/>
      <c r="EL94" s="360"/>
      <c r="EM94" s="360"/>
      <c r="EN94" s="360"/>
      <c r="EO94" s="360"/>
      <c r="EP94" s="360"/>
      <c r="EQ94" s="360"/>
    </row>
    <row r="95" spans="1:147" x14ac:dyDescent="0.35">
      <c r="A95" s="5" t="s">
        <v>892</v>
      </c>
      <c r="B95" s="6" t="s">
        <v>740</v>
      </c>
      <c r="C95" s="6" t="s">
        <v>788</v>
      </c>
      <c r="D95" s="6" t="s">
        <v>741</v>
      </c>
      <c r="E95" s="6" t="s">
        <v>789</v>
      </c>
      <c r="F95" s="6" t="s">
        <v>426</v>
      </c>
      <c r="G95" s="47" t="s">
        <v>893</v>
      </c>
      <c r="H95" s="47" t="s">
        <v>791</v>
      </c>
      <c r="I95" s="101">
        <v>1939.5430284857327</v>
      </c>
      <c r="J95" s="101">
        <v>1939.5430284857327</v>
      </c>
      <c r="K95" s="101">
        <v>1939.5430284857327</v>
      </c>
      <c r="L95" s="101">
        <v>1939.5430284857327</v>
      </c>
      <c r="M95" s="101">
        <v>1939.5430284857327</v>
      </c>
      <c r="N95" s="101">
        <v>1939.5430284857327</v>
      </c>
      <c r="O95" s="101">
        <v>1939.5430284857327</v>
      </c>
      <c r="P95" s="94">
        <v>0</v>
      </c>
      <c r="Q95" s="101">
        <v>77.581721139429305</v>
      </c>
      <c r="R95" s="101">
        <v>77.581721139429305</v>
      </c>
      <c r="S95" s="101">
        <v>77.581721139429305</v>
      </c>
      <c r="T95" s="101">
        <v>77.581721139429305</v>
      </c>
      <c r="U95" s="101">
        <v>77.581721139429305</v>
      </c>
      <c r="V95" s="101">
        <v>77.581721139429305</v>
      </c>
      <c r="W95" s="101">
        <v>77.581721139429305</v>
      </c>
      <c r="X95" s="101">
        <v>0</v>
      </c>
      <c r="Y95" s="101">
        <v>0</v>
      </c>
      <c r="Z95" s="101">
        <v>0</v>
      </c>
      <c r="AA95" s="101">
        <v>0</v>
      </c>
      <c r="AB95" s="101">
        <v>0</v>
      </c>
      <c r="AC95" s="101">
        <v>0</v>
      </c>
      <c r="AD95" s="101">
        <v>0</v>
      </c>
      <c r="AE95" s="186">
        <v>0.08</v>
      </c>
      <c r="AF95" s="93">
        <v>0</v>
      </c>
      <c r="AG95" s="93">
        <v>25</v>
      </c>
      <c r="AH95" s="93">
        <v>25</v>
      </c>
      <c r="AI95" s="16">
        <v>1</v>
      </c>
      <c r="AJ95" s="16" t="s">
        <v>660</v>
      </c>
      <c r="AK95" s="16" t="s">
        <v>745</v>
      </c>
      <c r="AL95" s="16"/>
      <c r="AM95" s="61"/>
      <c r="AN95" s="61"/>
      <c r="AO95" s="61"/>
      <c r="AP95" s="61"/>
      <c r="AQ95" s="61"/>
      <c r="AR95" s="61"/>
      <c r="AS95" s="64"/>
      <c r="AT95" s="64"/>
      <c r="AU95" s="64"/>
      <c r="AV95" s="132"/>
      <c r="AW95" s="132"/>
      <c r="AX95" s="132"/>
      <c r="AY95" s="28" t="s">
        <v>662</v>
      </c>
      <c r="AZ95" s="28"/>
      <c r="BA95" s="354"/>
      <c r="BB95" s="28"/>
      <c r="BC95" s="28"/>
      <c r="BD95" s="28"/>
      <c r="BE95" s="28"/>
      <c r="BF95" s="28"/>
      <c r="BG95" s="28"/>
      <c r="BH95" s="106"/>
      <c r="BI95" s="106"/>
      <c r="BJ95" s="106"/>
      <c r="BK95" s="106"/>
      <c r="BL95" s="137"/>
      <c r="BM95" s="123"/>
      <c r="BN95" s="139"/>
      <c r="BO95" s="94"/>
      <c r="BP95" s="94"/>
      <c r="BQ95" s="94"/>
      <c r="BR95" s="94"/>
      <c r="BS95" s="94"/>
      <c r="BT95" s="94"/>
      <c r="BU95" s="28"/>
      <c r="BV95" s="28"/>
      <c r="BW95" s="28"/>
      <c r="BX95" s="28"/>
      <c r="BY95" s="28"/>
      <c r="BZ95" s="28"/>
      <c r="CA95" s="28"/>
      <c r="CB95" s="99"/>
      <c r="CC95" s="97">
        <v>4</v>
      </c>
      <c r="CD95" s="97">
        <v>4</v>
      </c>
      <c r="CE95" s="97">
        <v>4</v>
      </c>
      <c r="CF95" s="97">
        <v>4</v>
      </c>
      <c r="CG95" s="97">
        <v>4</v>
      </c>
      <c r="CH95" s="97">
        <v>4</v>
      </c>
      <c r="CI95" s="175"/>
      <c r="CJ95" s="175"/>
      <c r="CK95" s="175"/>
      <c r="CL95" s="175"/>
      <c r="CM95" s="175"/>
      <c r="CN95" s="175"/>
      <c r="CO95" s="175"/>
      <c r="CP95" s="176"/>
      <c r="CQ95" s="176"/>
      <c r="CR95" s="176"/>
      <c r="CS95" s="176"/>
      <c r="CT95" s="176"/>
      <c r="CU95" s="176"/>
      <c r="CV95" s="176"/>
      <c r="CW95" s="167"/>
      <c r="CX95" s="168"/>
      <c r="CY95" s="168"/>
      <c r="CZ95" s="168"/>
      <c r="DA95" s="168"/>
      <c r="DB95" s="168"/>
      <c r="DC95" s="168"/>
      <c r="DD95" s="172"/>
      <c r="DE95" s="172"/>
      <c r="DF95" s="172"/>
      <c r="DG95" s="172"/>
      <c r="DH95" s="172"/>
      <c r="DI95" s="172"/>
      <c r="DJ95" s="172"/>
      <c r="DK95" s="79"/>
      <c r="DL95" s="128"/>
      <c r="DM95" s="128"/>
      <c r="DN95" s="128"/>
      <c r="DO95" s="128"/>
      <c r="DP95" s="128"/>
      <c r="DQ95" s="128"/>
      <c r="DR95" s="128"/>
      <c r="DS95" s="218"/>
      <c r="DT95" s="360"/>
      <c r="DU95" s="360"/>
      <c r="DV95" s="360"/>
      <c r="DW95" s="360"/>
      <c r="DX95" s="360"/>
      <c r="DY95" s="360"/>
      <c r="DZ95" s="360"/>
      <c r="EA95" s="360"/>
      <c r="EB95" s="360"/>
      <c r="EC95" s="360"/>
      <c r="ED95" s="360"/>
      <c r="EE95" s="360"/>
      <c r="EF95" s="360"/>
      <c r="EG95" s="360"/>
      <c r="EH95" s="360"/>
      <c r="EI95" s="360"/>
      <c r="EJ95" s="360"/>
      <c r="EK95" s="360"/>
      <c r="EL95" s="360"/>
      <c r="EM95" s="360"/>
      <c r="EN95" s="360"/>
      <c r="EO95" s="360"/>
      <c r="EP95" s="360"/>
      <c r="EQ95" s="360"/>
    </row>
    <row r="96" spans="1:147" x14ac:dyDescent="0.35">
      <c r="A96" s="5" t="s">
        <v>894</v>
      </c>
      <c r="B96" s="5" t="s">
        <v>740</v>
      </c>
      <c r="C96" s="5" t="s">
        <v>788</v>
      </c>
      <c r="D96" s="5" t="s">
        <v>741</v>
      </c>
      <c r="E96" s="5" t="s">
        <v>789</v>
      </c>
      <c r="F96" s="5" t="s">
        <v>430</v>
      </c>
      <c r="G96" s="47" t="s">
        <v>895</v>
      </c>
      <c r="H96" s="47" t="s">
        <v>896</v>
      </c>
      <c r="I96" s="101">
        <f>(844+3558)/2</f>
        <v>2201</v>
      </c>
      <c r="J96" s="101">
        <f>I96</f>
        <v>2201</v>
      </c>
      <c r="K96" s="101">
        <f t="shared" ref="K96:O96" si="84">J96</f>
        <v>2201</v>
      </c>
      <c r="L96" s="101">
        <f t="shared" si="84"/>
        <v>2201</v>
      </c>
      <c r="M96" s="101">
        <f t="shared" si="84"/>
        <v>2201</v>
      </c>
      <c r="N96" s="101">
        <f t="shared" si="84"/>
        <v>2201</v>
      </c>
      <c r="O96" s="101">
        <f t="shared" si="84"/>
        <v>2201</v>
      </c>
      <c r="P96" s="94">
        <v>0</v>
      </c>
      <c r="Q96" s="101">
        <f>I96*0.05</f>
        <v>110.05000000000001</v>
      </c>
      <c r="R96" s="101">
        <f t="shared" ref="R96:W96" si="85">J96*0.05</f>
        <v>110.05000000000001</v>
      </c>
      <c r="S96" s="101">
        <f t="shared" si="85"/>
        <v>110.05000000000001</v>
      </c>
      <c r="T96" s="101">
        <f t="shared" si="85"/>
        <v>110.05000000000001</v>
      </c>
      <c r="U96" s="101">
        <f t="shared" si="85"/>
        <v>110.05000000000001</v>
      </c>
      <c r="V96" s="101">
        <f t="shared" si="85"/>
        <v>110.05000000000001</v>
      </c>
      <c r="W96" s="101">
        <f t="shared" si="85"/>
        <v>110.05000000000001</v>
      </c>
      <c r="X96" s="101">
        <v>0</v>
      </c>
      <c r="Y96" s="101">
        <v>0</v>
      </c>
      <c r="Z96" s="101">
        <v>0</v>
      </c>
      <c r="AA96" s="101">
        <v>0</v>
      </c>
      <c r="AB96" s="101">
        <v>0</v>
      </c>
      <c r="AC96" s="101">
        <v>0</v>
      </c>
      <c r="AD96" s="101">
        <v>0</v>
      </c>
      <c r="AE96" s="186">
        <v>0.08</v>
      </c>
      <c r="AF96" s="93"/>
      <c r="AG96" s="93">
        <v>30</v>
      </c>
      <c r="AH96" s="93">
        <v>30</v>
      </c>
      <c r="AI96" s="16">
        <v>1</v>
      </c>
      <c r="AJ96" s="16" t="s">
        <v>660</v>
      </c>
      <c r="AK96" s="16" t="s">
        <v>745</v>
      </c>
      <c r="AL96" s="16"/>
      <c r="AM96" s="60"/>
      <c r="AN96" s="60"/>
      <c r="AO96" s="60"/>
      <c r="AP96" s="60"/>
      <c r="AQ96" s="60"/>
      <c r="AR96" s="60"/>
      <c r="AS96" s="63"/>
      <c r="AT96" s="63"/>
      <c r="AU96" s="63"/>
      <c r="AV96" s="131"/>
      <c r="AW96" s="131"/>
      <c r="AX96" s="131"/>
      <c r="AY96" s="27" t="s">
        <v>662</v>
      </c>
      <c r="AZ96" s="27"/>
      <c r="BA96" s="29"/>
      <c r="BB96" s="30"/>
      <c r="BC96" s="30"/>
      <c r="BD96" s="30"/>
      <c r="BE96" s="30"/>
      <c r="BF96" s="30"/>
      <c r="BG96" s="30"/>
      <c r="BH96" s="107"/>
      <c r="BI96" s="107"/>
      <c r="BJ96" s="107"/>
      <c r="BK96" s="107"/>
      <c r="BL96" s="136"/>
      <c r="BM96" s="122"/>
      <c r="BN96" s="138">
        <v>0</v>
      </c>
      <c r="BO96" s="93"/>
      <c r="BP96" s="93"/>
      <c r="BQ96" s="93"/>
      <c r="BR96" s="93"/>
      <c r="BS96" s="93"/>
      <c r="BT96" s="93"/>
      <c r="BU96" s="27">
        <f t="shared" si="80"/>
        <v>0</v>
      </c>
      <c r="BV96" s="27"/>
      <c r="BW96" s="27"/>
      <c r="BX96" s="27"/>
      <c r="BY96" s="27"/>
      <c r="BZ96" s="27"/>
      <c r="CA96" s="27"/>
      <c r="CB96" s="97">
        <v>5</v>
      </c>
      <c r="CC96" s="97">
        <v>5</v>
      </c>
      <c r="CD96" s="97">
        <v>5</v>
      </c>
      <c r="CE96" s="97">
        <v>5</v>
      </c>
      <c r="CF96" s="97">
        <v>5</v>
      </c>
      <c r="CG96" s="97">
        <v>5</v>
      </c>
      <c r="CH96" s="97">
        <v>5</v>
      </c>
      <c r="CI96" s="173"/>
      <c r="CJ96" s="173"/>
      <c r="CK96" s="173"/>
      <c r="CL96" s="173"/>
      <c r="CM96" s="173"/>
      <c r="CN96" s="173"/>
      <c r="CO96" s="173"/>
      <c r="CP96" s="174"/>
      <c r="CQ96" s="174"/>
      <c r="CR96" s="174"/>
      <c r="CS96" s="174"/>
      <c r="CT96" s="174"/>
      <c r="CU96" s="174"/>
      <c r="CV96" s="174"/>
      <c r="CW96" s="165"/>
      <c r="CX96" s="166"/>
      <c r="CY96" s="166"/>
      <c r="CZ96" s="166"/>
      <c r="DA96" s="166"/>
      <c r="DB96" s="166"/>
      <c r="DC96" s="166"/>
      <c r="DD96" s="171"/>
      <c r="DE96" s="171"/>
      <c r="DF96" s="171"/>
      <c r="DG96" s="171"/>
      <c r="DH96" s="171"/>
      <c r="DI96" s="171"/>
      <c r="DJ96" s="171"/>
      <c r="DK96" s="79" t="s">
        <v>897</v>
      </c>
      <c r="DL96" s="128">
        <f>VLOOKUP($F96,Activities!$A$9:$I$180,3,FALSE)/$AI96</f>
        <v>0</v>
      </c>
      <c r="DM96" s="128">
        <f>VLOOKUP($F96,Activities!$A$9:$I$180,4,FALSE)/$AI96</f>
        <v>0</v>
      </c>
      <c r="DN96" s="128">
        <f>VLOOKUP($F96,Activities!$A$9:$I$180,5,FALSE)/$AI96</f>
        <v>0</v>
      </c>
      <c r="DO96" s="128">
        <f>VLOOKUP($F96,Activities!$A$9:$I$180,6,FALSE)/$AI96</f>
        <v>0</v>
      </c>
      <c r="DP96" s="128">
        <f>VLOOKUP($F96,Activities!$A$9:$I$180,7,FALSE)/$AI96</f>
        <v>0</v>
      </c>
      <c r="DQ96" s="128">
        <f>VLOOKUP($F96,Activities!$A$9:$I$180,8,FALSE)/$AI96</f>
        <v>0</v>
      </c>
      <c r="DR96" s="128">
        <f>VLOOKUP($F96,Activities!$A$9:$I$180,9,FALSE)/$AI96</f>
        <v>0</v>
      </c>
      <c r="DS96" s="218"/>
      <c r="DT96" s="360"/>
      <c r="DU96" s="360"/>
      <c r="DV96" s="360"/>
      <c r="DW96" s="360"/>
      <c r="DX96" s="360"/>
      <c r="DY96" s="360"/>
      <c r="DZ96" s="360"/>
      <c r="EA96" s="360"/>
      <c r="EB96" s="360"/>
      <c r="EC96" s="360"/>
      <c r="ED96" s="360"/>
      <c r="EE96" s="360"/>
      <c r="EF96" s="360"/>
      <c r="EG96" s="360"/>
      <c r="EH96" s="360"/>
      <c r="EI96" s="360"/>
      <c r="EJ96" s="360"/>
      <c r="EK96" s="360"/>
      <c r="EL96" s="360"/>
      <c r="EM96" s="360"/>
      <c r="EN96" s="360"/>
      <c r="EO96" s="360"/>
      <c r="EP96" s="360"/>
      <c r="EQ96" s="360"/>
    </row>
    <row r="97" spans="1:147" x14ac:dyDescent="0.35">
      <c r="A97" s="6" t="s">
        <v>898</v>
      </c>
      <c r="B97" s="6" t="s">
        <v>740</v>
      </c>
      <c r="C97" s="6" t="s">
        <v>788</v>
      </c>
      <c r="D97" s="6" t="s">
        <v>741</v>
      </c>
      <c r="E97" s="6" t="s">
        <v>789</v>
      </c>
      <c r="F97" s="6" t="s">
        <v>429</v>
      </c>
      <c r="G97" s="48" t="s">
        <v>899</v>
      </c>
      <c r="H97" s="48" t="s">
        <v>900</v>
      </c>
      <c r="I97" s="102">
        <f>411.1/0.8</f>
        <v>513.875</v>
      </c>
      <c r="J97" s="102">
        <f t="shared" ref="J97:O97" si="86">411.1/0.8</f>
        <v>513.875</v>
      </c>
      <c r="K97" s="102">
        <f t="shared" si="86"/>
        <v>513.875</v>
      </c>
      <c r="L97" s="102">
        <f t="shared" si="86"/>
        <v>513.875</v>
      </c>
      <c r="M97" s="102">
        <f t="shared" si="86"/>
        <v>513.875</v>
      </c>
      <c r="N97" s="102">
        <f t="shared" si="86"/>
        <v>513.875</v>
      </c>
      <c r="O97" s="102">
        <f t="shared" si="86"/>
        <v>513.875</v>
      </c>
      <c r="P97" s="94">
        <v>0</v>
      </c>
      <c r="Q97" s="102">
        <f>I97*0.05</f>
        <v>25.693750000000001</v>
      </c>
      <c r="R97" s="102">
        <f t="shared" ref="R97:W97" si="87">J97*0.05</f>
        <v>25.693750000000001</v>
      </c>
      <c r="S97" s="102">
        <f t="shared" si="87"/>
        <v>25.693750000000001</v>
      </c>
      <c r="T97" s="102">
        <f t="shared" si="87"/>
        <v>25.693750000000001</v>
      </c>
      <c r="U97" s="102">
        <f t="shared" si="87"/>
        <v>25.693750000000001</v>
      </c>
      <c r="V97" s="102">
        <f t="shared" si="87"/>
        <v>25.693750000000001</v>
      </c>
      <c r="W97" s="102">
        <f t="shared" si="87"/>
        <v>25.693750000000001</v>
      </c>
      <c r="X97" s="102"/>
      <c r="Y97" s="102"/>
      <c r="Z97" s="102"/>
      <c r="AA97" s="102"/>
      <c r="AB97" s="102"/>
      <c r="AC97" s="102"/>
      <c r="AD97" s="102"/>
      <c r="AE97" s="186">
        <v>0.08</v>
      </c>
      <c r="AF97" s="94">
        <v>0</v>
      </c>
      <c r="AG97" s="94">
        <v>30</v>
      </c>
      <c r="AH97" s="94">
        <v>30</v>
      </c>
      <c r="AI97" s="17">
        <v>1</v>
      </c>
      <c r="AJ97" s="17" t="s">
        <v>765</v>
      </c>
      <c r="AK97" s="17" t="s">
        <v>745</v>
      </c>
      <c r="AL97" s="17"/>
      <c r="AM97" s="61"/>
      <c r="AN97" s="61"/>
      <c r="AO97" s="61"/>
      <c r="AP97" s="61"/>
      <c r="AQ97" s="61"/>
      <c r="AR97" s="61"/>
      <c r="AS97" s="407">
        <v>0.2</v>
      </c>
      <c r="AT97" s="64">
        <v>0.2</v>
      </c>
      <c r="AU97" s="64" t="s">
        <v>766</v>
      </c>
      <c r="AV97" s="132"/>
      <c r="AW97" s="132"/>
      <c r="AX97" s="132"/>
      <c r="AY97" s="28" t="s">
        <v>662</v>
      </c>
      <c r="AZ97" s="28"/>
      <c r="BA97" s="354"/>
      <c r="BB97" s="28"/>
      <c r="BC97" s="28"/>
      <c r="BD97" s="28"/>
      <c r="BE97" s="28"/>
      <c r="BF97" s="28"/>
      <c r="BG97" s="28"/>
      <c r="BH97" s="106"/>
      <c r="BI97" s="106"/>
      <c r="BJ97" s="106"/>
      <c r="BK97" s="106"/>
      <c r="BL97" s="137"/>
      <c r="BM97" s="123"/>
      <c r="BN97" s="139">
        <v>2</v>
      </c>
      <c r="BO97" s="94"/>
      <c r="BP97" s="94">
        <v>1</v>
      </c>
      <c r="BQ97" s="94"/>
      <c r="BR97" s="94"/>
      <c r="BS97" s="94"/>
      <c r="BT97" s="94"/>
      <c r="BU97" s="28">
        <f t="shared" si="80"/>
        <v>0</v>
      </c>
      <c r="BV97" s="28"/>
      <c r="BW97" s="28"/>
      <c r="BX97" s="28"/>
      <c r="BY97" s="28"/>
      <c r="BZ97" s="28"/>
      <c r="CA97" s="28"/>
      <c r="CB97" s="99">
        <v>5</v>
      </c>
      <c r="CC97" s="99">
        <v>5</v>
      </c>
      <c r="CD97" s="99">
        <v>5</v>
      </c>
      <c r="CE97" s="99">
        <v>5</v>
      </c>
      <c r="CF97" s="99">
        <v>5</v>
      </c>
      <c r="CG97" s="99">
        <v>5</v>
      </c>
      <c r="CH97" s="99">
        <v>5</v>
      </c>
      <c r="CI97" s="175"/>
      <c r="CJ97" s="175"/>
      <c r="CK97" s="175"/>
      <c r="CL97" s="175"/>
      <c r="CM97" s="175"/>
      <c r="CN97" s="175"/>
      <c r="CO97" s="175"/>
      <c r="CP97" s="176"/>
      <c r="CQ97" s="176"/>
      <c r="CR97" s="176"/>
      <c r="CS97" s="176"/>
      <c r="CT97" s="176"/>
      <c r="CU97" s="176"/>
      <c r="CV97" s="176"/>
      <c r="CW97" s="167"/>
      <c r="CX97" s="168"/>
      <c r="CY97" s="168"/>
      <c r="CZ97" s="168"/>
      <c r="DA97" s="168"/>
      <c r="DB97" s="168"/>
      <c r="DC97" s="168"/>
      <c r="DD97" s="172"/>
      <c r="DE97" s="172"/>
      <c r="DF97" s="172"/>
      <c r="DG97" s="172"/>
      <c r="DH97" s="172"/>
      <c r="DI97" s="172"/>
      <c r="DJ97" s="172"/>
      <c r="DK97" s="80" t="s">
        <v>901</v>
      </c>
      <c r="DL97" s="128">
        <f>VLOOKUP($F97,Activities!$A$9:$I$180,3,FALSE)/$AI97</f>
        <v>0</v>
      </c>
      <c r="DM97" s="128">
        <f>VLOOKUP($F97,Activities!$A$9:$I$180,4,FALSE)/$AI97</f>
        <v>0</v>
      </c>
      <c r="DN97" s="128">
        <f>VLOOKUP($F97,Activities!$A$9:$I$180,5,FALSE)/$AI97</f>
        <v>0</v>
      </c>
      <c r="DO97" s="128">
        <f>VLOOKUP($F97,Activities!$A$9:$I$180,6,FALSE)/$AI97</f>
        <v>0</v>
      </c>
      <c r="DP97" s="128">
        <f>VLOOKUP($F97,Activities!$A$9:$I$180,7,FALSE)/$AI97</f>
        <v>0</v>
      </c>
      <c r="DQ97" s="128">
        <f>VLOOKUP($F97,Activities!$A$9:$I$180,8,FALSE)/$AI97</f>
        <v>0</v>
      </c>
      <c r="DR97" s="128">
        <f>VLOOKUP($F97,Activities!$A$9:$I$180,9,FALSE)/$AI97</f>
        <v>0</v>
      </c>
      <c r="DS97" s="218"/>
      <c r="DT97" s="360"/>
      <c r="DU97" s="360"/>
      <c r="DV97" s="360"/>
      <c r="DW97" s="360"/>
      <c r="DX97" s="360"/>
      <c r="DY97" s="360"/>
      <c r="DZ97" s="360"/>
      <c r="EA97" s="360"/>
      <c r="EB97" s="360"/>
      <c r="EC97" s="360"/>
      <c r="ED97" s="360"/>
      <c r="EE97" s="360"/>
      <c r="EF97" s="360"/>
      <c r="EG97" s="360"/>
      <c r="EH97" s="360"/>
      <c r="EI97" s="360"/>
      <c r="EJ97" s="360"/>
      <c r="EK97" s="360"/>
      <c r="EL97" s="360"/>
      <c r="EM97" s="360"/>
      <c r="EN97" s="360"/>
      <c r="EO97" s="360"/>
      <c r="EP97" s="360"/>
      <c r="EQ97" s="360"/>
    </row>
    <row r="98" spans="1:147" x14ac:dyDescent="0.35">
      <c r="A98" s="5" t="s">
        <v>902</v>
      </c>
      <c r="B98" s="5" t="s">
        <v>740</v>
      </c>
      <c r="C98" s="5" t="s">
        <v>655</v>
      </c>
      <c r="D98" s="5" t="s">
        <v>741</v>
      </c>
      <c r="E98" s="5" t="s">
        <v>789</v>
      </c>
      <c r="F98" s="5" t="s">
        <v>363</v>
      </c>
      <c r="G98" s="47" t="s">
        <v>903</v>
      </c>
      <c r="H98" s="47" t="s">
        <v>900</v>
      </c>
      <c r="I98" s="101">
        <v>0</v>
      </c>
      <c r="J98" s="101">
        <v>0</v>
      </c>
      <c r="K98" s="101">
        <v>0</v>
      </c>
      <c r="L98" s="101">
        <v>0</v>
      </c>
      <c r="M98" s="101">
        <v>0</v>
      </c>
      <c r="N98" s="101">
        <v>0</v>
      </c>
      <c r="O98" s="101">
        <v>0</v>
      </c>
      <c r="P98" s="94">
        <v>0</v>
      </c>
      <c r="Q98" s="101">
        <v>0</v>
      </c>
      <c r="R98" s="101">
        <v>0</v>
      </c>
      <c r="S98" s="101">
        <v>0</v>
      </c>
      <c r="T98" s="101">
        <v>0</v>
      </c>
      <c r="U98" s="101">
        <v>0</v>
      </c>
      <c r="V98" s="101">
        <v>0</v>
      </c>
      <c r="W98" s="101">
        <v>0</v>
      </c>
      <c r="X98" s="101">
        <v>0</v>
      </c>
      <c r="Y98" s="101">
        <v>0</v>
      </c>
      <c r="Z98" s="101">
        <v>0</v>
      </c>
      <c r="AA98" s="101">
        <v>0</v>
      </c>
      <c r="AB98" s="101">
        <v>0</v>
      </c>
      <c r="AC98" s="101">
        <v>0</v>
      </c>
      <c r="AD98" s="101">
        <v>0</v>
      </c>
      <c r="AE98" s="186">
        <v>0.08</v>
      </c>
      <c r="AF98" s="93"/>
      <c r="AG98" s="93">
        <v>25</v>
      </c>
      <c r="AH98" s="93">
        <v>25</v>
      </c>
      <c r="AI98" s="16">
        <v>1</v>
      </c>
      <c r="AJ98" s="16" t="s">
        <v>660</v>
      </c>
      <c r="AK98" s="16" t="s">
        <v>745</v>
      </c>
      <c r="AL98" s="16"/>
      <c r="AM98" s="60"/>
      <c r="AN98" s="60"/>
      <c r="AO98" s="60"/>
      <c r="AP98" s="60"/>
      <c r="AQ98" s="60"/>
      <c r="AR98" s="60"/>
      <c r="AS98" s="63"/>
      <c r="AT98" s="63"/>
      <c r="AU98" s="63"/>
      <c r="AV98" s="131"/>
      <c r="AW98" s="131"/>
      <c r="AX98" s="131"/>
      <c r="AY98" s="27" t="s">
        <v>662</v>
      </c>
      <c r="AZ98" s="27"/>
      <c r="BA98" s="29"/>
      <c r="BB98" s="30"/>
      <c r="BC98" s="30"/>
      <c r="BD98" s="30"/>
      <c r="BE98" s="30"/>
      <c r="BF98" s="30"/>
      <c r="BG98" s="30"/>
      <c r="BH98" s="107"/>
      <c r="BI98" s="107"/>
      <c r="BJ98" s="107"/>
      <c r="BK98" s="107"/>
      <c r="BL98" s="136"/>
      <c r="BM98" s="122"/>
      <c r="BN98" s="138">
        <f>DL98</f>
        <v>1</v>
      </c>
      <c r="BO98" s="93"/>
      <c r="BP98" s="93">
        <v>1</v>
      </c>
      <c r="BQ98" s="93"/>
      <c r="BR98" s="93"/>
      <c r="BS98" s="93"/>
      <c r="BT98" s="93"/>
      <c r="BU98" s="27">
        <v>0</v>
      </c>
      <c r="BV98" s="27"/>
      <c r="BW98" s="27"/>
      <c r="BX98" s="27"/>
      <c r="BY98" s="27"/>
      <c r="BZ98" s="27"/>
      <c r="CA98" s="27"/>
      <c r="CB98" s="97">
        <v>10</v>
      </c>
      <c r="CC98" s="185">
        <f t="shared" ref="CC98:CH98" si="88">DM98</f>
        <v>1</v>
      </c>
      <c r="CD98" s="185">
        <f t="shared" si="88"/>
        <v>1</v>
      </c>
      <c r="CE98" s="185">
        <f t="shared" si="88"/>
        <v>1</v>
      </c>
      <c r="CF98" s="185">
        <f t="shared" si="88"/>
        <v>1</v>
      </c>
      <c r="CG98" s="185">
        <f t="shared" si="88"/>
        <v>1</v>
      </c>
      <c r="CH98" s="185">
        <f t="shared" si="88"/>
        <v>1</v>
      </c>
      <c r="CI98" s="173"/>
      <c r="CJ98" s="173"/>
      <c r="CK98" s="173"/>
      <c r="CL98" s="173"/>
      <c r="CM98" s="173"/>
      <c r="CN98" s="173"/>
      <c r="CO98" s="173"/>
      <c r="CP98" s="174"/>
      <c r="CQ98" s="174"/>
      <c r="CR98" s="174"/>
      <c r="CS98" s="174"/>
      <c r="CT98" s="174"/>
      <c r="CU98" s="174"/>
      <c r="CV98" s="174"/>
      <c r="CW98" s="165"/>
      <c r="CX98" s="166"/>
      <c r="CY98" s="166"/>
      <c r="CZ98" s="166"/>
      <c r="DA98" s="166"/>
      <c r="DB98" s="166"/>
      <c r="DC98" s="166"/>
      <c r="DD98" s="171"/>
      <c r="DE98" s="171"/>
      <c r="DF98" s="171"/>
      <c r="DG98" s="171"/>
      <c r="DH98" s="171"/>
      <c r="DI98" s="171"/>
      <c r="DJ98" s="171"/>
      <c r="DK98" s="79" t="s">
        <v>502</v>
      </c>
      <c r="DL98" s="128">
        <f>VLOOKUP($F98,Activities!$A$9:$I$180,3,FALSE)/$AI98</f>
        <v>1</v>
      </c>
      <c r="DM98" s="128">
        <f>VLOOKUP($F98,Activities!$A$9:$I$180,4,FALSE)/$AI98</f>
        <v>1</v>
      </c>
      <c r="DN98" s="128">
        <f>VLOOKUP($F98,Activities!$A$9:$I$180,5,FALSE)/$AI98</f>
        <v>1</v>
      </c>
      <c r="DO98" s="128">
        <f>VLOOKUP($F98,Activities!$A$9:$I$180,6,FALSE)/$AI98</f>
        <v>1</v>
      </c>
      <c r="DP98" s="128">
        <f>VLOOKUP($F98,Activities!$A$9:$I$180,7,FALSE)/$AI98</f>
        <v>1</v>
      </c>
      <c r="DQ98" s="128">
        <f>VLOOKUP($F98,Activities!$A$9:$I$180,8,FALSE)/$AI98</f>
        <v>1</v>
      </c>
      <c r="DR98" s="128">
        <f>VLOOKUP($F98,Activities!$A$9:$I$180,9,FALSE)/$AI98</f>
        <v>1</v>
      </c>
      <c r="DS98" s="218"/>
      <c r="DT98" s="360"/>
      <c r="DU98" s="360"/>
      <c r="DV98" s="360"/>
      <c r="DW98" s="360"/>
      <c r="DX98" s="360"/>
      <c r="DY98" s="360"/>
      <c r="DZ98" s="360"/>
      <c r="EA98" s="360"/>
      <c r="EB98" s="360"/>
      <c r="EC98" s="360"/>
      <c r="ED98" s="360"/>
      <c r="EE98" s="360"/>
      <c r="EF98" s="360"/>
      <c r="EG98" s="360"/>
      <c r="EH98" s="360"/>
      <c r="EI98" s="360"/>
      <c r="EJ98" s="360"/>
      <c r="EK98" s="360"/>
      <c r="EL98" s="360"/>
      <c r="EM98" s="360"/>
      <c r="EN98" s="360"/>
      <c r="EO98" s="360"/>
      <c r="EP98" s="360"/>
      <c r="EQ98" s="360"/>
    </row>
    <row r="99" spans="1:147" x14ac:dyDescent="0.35">
      <c r="A99" s="6" t="s">
        <v>904</v>
      </c>
      <c r="B99" s="6" t="s">
        <v>740</v>
      </c>
      <c r="C99" s="6" t="s">
        <v>788</v>
      </c>
      <c r="D99" s="6" t="s">
        <v>741</v>
      </c>
      <c r="E99" s="6" t="s">
        <v>789</v>
      </c>
      <c r="F99" s="6" t="s">
        <v>429</v>
      </c>
      <c r="G99" s="48" t="s">
        <v>905</v>
      </c>
      <c r="H99" s="48" t="s">
        <v>900</v>
      </c>
      <c r="I99" s="101">
        <f>I97</f>
        <v>513.875</v>
      </c>
      <c r="J99" s="101">
        <f t="shared" ref="J99:AH99" si="89">J97</f>
        <v>513.875</v>
      </c>
      <c r="K99" s="101">
        <f t="shared" si="89"/>
        <v>513.875</v>
      </c>
      <c r="L99" s="101">
        <f t="shared" si="89"/>
        <v>513.875</v>
      </c>
      <c r="M99" s="101">
        <f t="shared" si="89"/>
        <v>513.875</v>
      </c>
      <c r="N99" s="101">
        <f t="shared" si="89"/>
        <v>513.875</v>
      </c>
      <c r="O99" s="101">
        <f t="shared" si="89"/>
        <v>513.875</v>
      </c>
      <c r="P99" s="101">
        <f t="shared" si="89"/>
        <v>0</v>
      </c>
      <c r="Q99" s="101">
        <f t="shared" si="89"/>
        <v>25.693750000000001</v>
      </c>
      <c r="R99" s="101">
        <f t="shared" si="89"/>
        <v>25.693750000000001</v>
      </c>
      <c r="S99" s="101">
        <f t="shared" si="89"/>
        <v>25.693750000000001</v>
      </c>
      <c r="T99" s="101">
        <f t="shared" si="89"/>
        <v>25.693750000000001</v>
      </c>
      <c r="U99" s="101">
        <f t="shared" si="89"/>
        <v>25.693750000000001</v>
      </c>
      <c r="V99" s="101">
        <f t="shared" si="89"/>
        <v>25.693750000000001</v>
      </c>
      <c r="W99" s="101">
        <f t="shared" si="89"/>
        <v>25.693750000000001</v>
      </c>
      <c r="X99" s="101">
        <f t="shared" si="89"/>
        <v>0</v>
      </c>
      <c r="Y99" s="101">
        <f t="shared" si="89"/>
        <v>0</v>
      </c>
      <c r="Z99" s="101">
        <f t="shared" si="89"/>
        <v>0</v>
      </c>
      <c r="AA99" s="101">
        <f t="shared" si="89"/>
        <v>0</v>
      </c>
      <c r="AB99" s="101">
        <f t="shared" si="89"/>
        <v>0</v>
      </c>
      <c r="AC99" s="101">
        <f t="shared" si="89"/>
        <v>0</v>
      </c>
      <c r="AD99" s="101">
        <f t="shared" si="89"/>
        <v>0</v>
      </c>
      <c r="AE99" s="101">
        <f t="shared" si="89"/>
        <v>0.08</v>
      </c>
      <c r="AF99" s="101">
        <f t="shared" si="89"/>
        <v>0</v>
      </c>
      <c r="AG99" s="101">
        <f t="shared" si="89"/>
        <v>30</v>
      </c>
      <c r="AH99" s="101">
        <f t="shared" si="89"/>
        <v>30</v>
      </c>
      <c r="AI99" s="17">
        <v>1</v>
      </c>
      <c r="AJ99" s="17" t="s">
        <v>765</v>
      </c>
      <c r="AK99" s="17" t="s">
        <v>745</v>
      </c>
      <c r="AL99" s="16"/>
      <c r="AM99" s="60"/>
      <c r="AN99" s="60"/>
      <c r="AO99" s="60"/>
      <c r="AP99" s="60"/>
      <c r="AQ99" s="60"/>
      <c r="AR99" s="60"/>
      <c r="AS99" s="407">
        <v>0.2</v>
      </c>
      <c r="AT99" s="64">
        <v>0.2</v>
      </c>
      <c r="AU99" s="64" t="s">
        <v>766</v>
      </c>
      <c r="AV99" s="131"/>
      <c r="AW99" s="131"/>
      <c r="AX99" s="131"/>
      <c r="AY99" s="28" t="s">
        <v>662</v>
      </c>
      <c r="AZ99" s="27"/>
      <c r="BA99" s="29"/>
      <c r="BB99" s="30"/>
      <c r="BC99" s="30"/>
      <c r="BD99" s="30"/>
      <c r="BE99" s="30"/>
      <c r="BF99" s="30"/>
      <c r="BG99" s="30"/>
      <c r="BH99" s="107"/>
      <c r="BI99" s="107"/>
      <c r="BJ99" s="107"/>
      <c r="BK99" s="107"/>
      <c r="BL99" s="136"/>
      <c r="BM99" s="122"/>
      <c r="BN99" s="138"/>
      <c r="BO99" s="93"/>
      <c r="BP99" s="93"/>
      <c r="BQ99" s="93"/>
      <c r="BR99" s="93"/>
      <c r="BS99" s="93"/>
      <c r="BT99" s="93"/>
      <c r="BU99" s="27">
        <v>0</v>
      </c>
      <c r="BV99" s="27"/>
      <c r="BW99" s="27"/>
      <c r="BX99" s="27"/>
      <c r="BY99" s="27"/>
      <c r="BZ99" s="27"/>
      <c r="CA99" s="27"/>
      <c r="CB99" s="97"/>
      <c r="CC99" s="185">
        <v>5</v>
      </c>
      <c r="CD99" s="185">
        <v>5</v>
      </c>
      <c r="CE99" s="185">
        <v>5</v>
      </c>
      <c r="CF99" s="185">
        <v>5</v>
      </c>
      <c r="CG99" s="185">
        <v>5</v>
      </c>
      <c r="CH99" s="185">
        <v>5</v>
      </c>
      <c r="CI99" s="173"/>
      <c r="CJ99" s="173"/>
      <c r="CK99" s="173"/>
      <c r="CL99" s="173"/>
      <c r="CM99" s="173"/>
      <c r="CN99" s="173"/>
      <c r="CO99" s="173"/>
      <c r="CP99" s="174"/>
      <c r="CQ99" s="174"/>
      <c r="CR99" s="174"/>
      <c r="CS99" s="174"/>
      <c r="CT99" s="174"/>
      <c r="CU99" s="174"/>
      <c r="CV99" s="174"/>
      <c r="CW99" s="165"/>
      <c r="CX99" s="166"/>
      <c r="CY99" s="166"/>
      <c r="CZ99" s="166"/>
      <c r="DA99" s="166"/>
      <c r="DB99" s="166"/>
      <c r="DC99" s="166"/>
      <c r="DD99" s="171"/>
      <c r="DE99" s="171"/>
      <c r="DF99" s="171"/>
      <c r="DG99" s="171"/>
      <c r="DH99" s="171"/>
      <c r="DI99" s="171"/>
      <c r="DJ99" s="171"/>
      <c r="DK99" s="80" t="s">
        <v>901</v>
      </c>
      <c r="DL99" s="128"/>
      <c r="DM99" s="128"/>
      <c r="DN99" s="128"/>
      <c r="DO99" s="128"/>
      <c r="DP99" s="128"/>
      <c r="DQ99" s="128"/>
      <c r="DR99" s="128"/>
      <c r="DS99" s="218"/>
      <c r="DT99" s="360"/>
      <c r="DU99" s="360"/>
      <c r="DV99" s="360"/>
      <c r="DW99" s="360"/>
      <c r="DX99" s="360"/>
      <c r="DY99" s="360"/>
      <c r="DZ99" s="360"/>
      <c r="EA99" s="360"/>
      <c r="EB99" s="360"/>
      <c r="EC99" s="360"/>
      <c r="ED99" s="360"/>
      <c r="EE99" s="360"/>
      <c r="EF99" s="360"/>
      <c r="EG99" s="360"/>
      <c r="EH99" s="360"/>
      <c r="EI99" s="360"/>
      <c r="EJ99" s="360"/>
      <c r="EK99" s="360"/>
      <c r="EL99" s="360"/>
      <c r="EM99" s="360"/>
      <c r="EN99" s="360"/>
      <c r="EO99" s="360"/>
      <c r="EP99" s="360"/>
      <c r="EQ99" s="360"/>
    </row>
    <row r="100" spans="1:147" x14ac:dyDescent="0.35">
      <c r="A100" s="6" t="s">
        <v>906</v>
      </c>
      <c r="B100" s="6" t="s">
        <v>740</v>
      </c>
      <c r="C100" s="6" t="s">
        <v>655</v>
      </c>
      <c r="D100" s="6" t="s">
        <v>741</v>
      </c>
      <c r="E100" s="6" t="s">
        <v>789</v>
      </c>
      <c r="F100" s="6" t="s">
        <v>365</v>
      </c>
      <c r="G100" s="48" t="s">
        <v>907</v>
      </c>
      <c r="H100" s="48" t="s">
        <v>908</v>
      </c>
      <c r="I100" s="102">
        <f>5360-SUM(I71*Activities!C26,Technologies!I72*Activities!C27,Technologies!I73*Activities!C28,Technologies!I74*Activities!C29,Technologies!I78*Activities!C30,Technologies!I79*Activities!C32,Technologies!I80*Activities!C31)</f>
        <v>3451.706416</v>
      </c>
      <c r="J100" s="102">
        <f>5360-SUM(J71*Activities!D26,Technologies!J72*Activities!D27,Technologies!J73*Activities!D28,Technologies!J74*Activities!D29,Technologies!J78*Activities!D30,Technologies!J79*Activities!D32,Technologies!J80*Activities!D31)</f>
        <v>3451.706416</v>
      </c>
      <c r="K100" s="102">
        <f>5360-SUM(K71*Activities!E26,Technologies!K72*Activities!E27,Technologies!K73*Activities!E28,Technologies!K74*Activities!E29,Technologies!K78*Activities!E30,Technologies!K79*Activities!E32,Technologies!K80*Activities!E31)</f>
        <v>3451.706416</v>
      </c>
      <c r="L100" s="102">
        <f>5360-SUM(L71*Activities!F26,Technologies!L72*Activities!F27,Technologies!L73*Activities!F28,Technologies!L74*Activities!F29,Technologies!L78*Activities!F30,Technologies!L79*Activities!F32,Technologies!L80*Activities!F31)</f>
        <v>3451.706416</v>
      </c>
      <c r="M100" s="102">
        <f>5360-SUM(M71*Activities!G26,Technologies!M72*Activities!G27,Technologies!M73*Activities!G28,Technologies!M74*Activities!G29,Technologies!M78*Activities!G30,Technologies!M79*Activities!G32,Technologies!M80*Activities!G31)</f>
        <v>3451.706416</v>
      </c>
      <c r="N100" s="102">
        <f>5360-SUM(N71*Activities!H26,Technologies!N72*Activities!H27,Technologies!N73*Activities!H28,Technologies!N74*Activities!H29,Technologies!N78*Activities!H30,Technologies!N79*Activities!H32,Technologies!N80*Activities!H31)</f>
        <v>3451.706416</v>
      </c>
      <c r="O100" s="102">
        <f>5360-SUM(O71*Activities!I26,Technologies!O72*Activities!I27,Technologies!O73*Activities!I28,Technologies!O74*Activities!I29,Technologies!O78*Activities!I30,Technologies!O79*Activities!I32,Technologies!O80*Activities!I31)</f>
        <v>3451.706416</v>
      </c>
      <c r="P100" s="94">
        <v>0</v>
      </c>
      <c r="Q100" s="102">
        <v>161</v>
      </c>
      <c r="R100" s="102">
        <v>161</v>
      </c>
      <c r="S100" s="102">
        <v>161</v>
      </c>
      <c r="T100" s="102">
        <v>161</v>
      </c>
      <c r="U100" s="102">
        <v>161</v>
      </c>
      <c r="V100" s="102">
        <v>161</v>
      </c>
      <c r="W100" s="102">
        <v>161</v>
      </c>
      <c r="X100" s="102">
        <v>0</v>
      </c>
      <c r="Y100" s="102">
        <v>0</v>
      </c>
      <c r="Z100" s="102">
        <v>0</v>
      </c>
      <c r="AA100" s="102">
        <v>0</v>
      </c>
      <c r="AB100" s="102">
        <v>0</v>
      </c>
      <c r="AC100" s="102">
        <v>0</v>
      </c>
      <c r="AD100" s="102">
        <v>0</v>
      </c>
      <c r="AE100" s="186">
        <v>0.08</v>
      </c>
      <c r="AF100" s="94">
        <v>0</v>
      </c>
      <c r="AG100" s="94">
        <v>30</v>
      </c>
      <c r="AH100" s="94">
        <v>30</v>
      </c>
      <c r="AI100" s="17">
        <v>1</v>
      </c>
      <c r="AJ100" s="17" t="s">
        <v>660</v>
      </c>
      <c r="AK100" s="17" t="s">
        <v>745</v>
      </c>
      <c r="AL100" s="17"/>
      <c r="AM100" s="61"/>
      <c r="AN100" s="61"/>
      <c r="AO100" s="61"/>
      <c r="AP100" s="61"/>
      <c r="AQ100" s="61"/>
      <c r="AR100" s="61"/>
      <c r="AS100" s="64"/>
      <c r="AT100" s="64"/>
      <c r="AU100" s="64"/>
      <c r="AV100" s="132"/>
      <c r="AW100" s="132"/>
      <c r="AX100" s="132"/>
      <c r="AY100" s="28" t="s">
        <v>662</v>
      </c>
      <c r="AZ100" s="28"/>
      <c r="BA100" s="354"/>
      <c r="BB100" s="28"/>
      <c r="BC100" s="28"/>
      <c r="BD100" s="28"/>
      <c r="BE100" s="28"/>
      <c r="BF100" s="28"/>
      <c r="BG100" s="28"/>
      <c r="BH100" s="106"/>
      <c r="BI100" s="106"/>
      <c r="BJ100" s="106"/>
      <c r="BK100" s="106"/>
      <c r="BL100" s="137"/>
      <c r="BM100" s="123"/>
      <c r="BN100" s="139">
        <f>DL100</f>
        <v>1</v>
      </c>
      <c r="BO100" s="94">
        <v>0.25</v>
      </c>
      <c r="BP100" s="94">
        <v>0.25</v>
      </c>
      <c r="BQ100" s="94">
        <v>0.25</v>
      </c>
      <c r="BR100" s="94">
        <v>0.25</v>
      </c>
      <c r="BS100" s="94"/>
      <c r="BT100" s="94"/>
      <c r="BU100" s="28">
        <f>IF(BL100=1,BN100,0)</f>
        <v>0</v>
      </c>
      <c r="BV100" s="28"/>
      <c r="BW100" s="28"/>
      <c r="BX100" s="28"/>
      <c r="BY100" s="28"/>
      <c r="BZ100" s="28"/>
      <c r="CA100" s="28"/>
      <c r="CB100" s="99">
        <f t="shared" ref="CB100:CH102" si="90">DL100</f>
        <v>1</v>
      </c>
      <c r="CC100" s="99">
        <f t="shared" si="90"/>
        <v>1</v>
      </c>
      <c r="CD100" s="99">
        <f t="shared" si="90"/>
        <v>1</v>
      </c>
      <c r="CE100" s="99">
        <f t="shared" si="90"/>
        <v>1</v>
      </c>
      <c r="CF100" s="99">
        <f t="shared" si="90"/>
        <v>1</v>
      </c>
      <c r="CG100" s="99">
        <f t="shared" si="90"/>
        <v>1</v>
      </c>
      <c r="CH100" s="99">
        <v>1</v>
      </c>
      <c r="CI100" s="175"/>
      <c r="CJ100" s="175"/>
      <c r="CK100" s="175"/>
      <c r="CL100" s="175"/>
      <c r="CM100" s="175"/>
      <c r="CN100" s="175"/>
      <c r="CO100" s="175"/>
      <c r="CP100" s="176"/>
      <c r="CQ100" s="176"/>
      <c r="CR100" s="176"/>
      <c r="CS100" s="176"/>
      <c r="CT100" s="176"/>
      <c r="CU100" s="176"/>
      <c r="CV100" s="176"/>
      <c r="CW100" s="167"/>
      <c r="CX100" s="168"/>
      <c r="CY100" s="168"/>
      <c r="CZ100" s="168"/>
      <c r="DA100" s="168"/>
      <c r="DB100" s="168"/>
      <c r="DC100" s="168"/>
      <c r="DD100" s="172"/>
      <c r="DE100" s="172"/>
      <c r="DF100" s="172"/>
      <c r="DG100" s="172"/>
      <c r="DH100" s="172"/>
      <c r="DI100" s="172"/>
      <c r="DJ100" s="172"/>
      <c r="DK100" s="80" t="s">
        <v>909</v>
      </c>
      <c r="DL100" s="128">
        <f>VLOOKUP($F100,Activities!$A$9:$I$180,3,FALSE)/$AI100</f>
        <v>1</v>
      </c>
      <c r="DM100" s="128">
        <f>VLOOKUP($F100,Activities!$A$9:$I$180,4,FALSE)/$AI100</f>
        <v>1</v>
      </c>
      <c r="DN100" s="128">
        <f>VLOOKUP($F100,Activities!$A$9:$I$180,5,FALSE)/$AI100</f>
        <v>1</v>
      </c>
      <c r="DO100" s="128">
        <f>VLOOKUP($F100,Activities!$A$9:$I$180,6,FALSE)/$AI100</f>
        <v>1</v>
      </c>
      <c r="DP100" s="128">
        <f>VLOOKUP($F100,Activities!$A$9:$I$180,7,FALSE)/$AI100</f>
        <v>1</v>
      </c>
      <c r="DQ100" s="128">
        <f>VLOOKUP($F100,Activities!$A$9:$I$180,8,FALSE)/$AI100</f>
        <v>1</v>
      </c>
      <c r="DR100" s="128">
        <f>VLOOKUP($F100,Activities!$A$9:$I$180,9,FALSE)/$AI100</f>
        <v>1</v>
      </c>
      <c r="DS100" s="218"/>
      <c r="DT100" s="360"/>
      <c r="DU100" s="360"/>
      <c r="DV100" s="360"/>
      <c r="DW100" s="360"/>
      <c r="DX100" s="360"/>
      <c r="DY100" s="360"/>
      <c r="DZ100" s="360"/>
      <c r="EA100" s="360"/>
      <c r="EB100" s="360"/>
      <c r="EC100" s="360"/>
      <c r="ED100" s="360"/>
      <c r="EE100" s="360"/>
      <c r="EF100" s="360"/>
      <c r="EG100" s="360"/>
      <c r="EH100" s="360"/>
      <c r="EI100" s="360"/>
      <c r="EJ100" s="360"/>
      <c r="EK100" s="360"/>
      <c r="EL100" s="360"/>
      <c r="EM100" s="360"/>
      <c r="EN100" s="360"/>
      <c r="EO100" s="360"/>
      <c r="EP100" s="360"/>
      <c r="EQ100" s="360"/>
    </row>
    <row r="101" spans="1:147" x14ac:dyDescent="0.35">
      <c r="A101" s="5" t="s">
        <v>910</v>
      </c>
      <c r="B101" s="5" t="s">
        <v>740</v>
      </c>
      <c r="C101" s="5" t="s">
        <v>655</v>
      </c>
      <c r="D101" s="5" t="s">
        <v>741</v>
      </c>
      <c r="E101" s="5" t="s">
        <v>789</v>
      </c>
      <c r="F101" s="5" t="s">
        <v>365</v>
      </c>
      <c r="G101" s="47" t="s">
        <v>911</v>
      </c>
      <c r="H101" s="47" t="s">
        <v>908</v>
      </c>
      <c r="I101" s="101">
        <f>I100/5360*7360</f>
        <v>4739.6565712238807</v>
      </c>
      <c r="J101" s="101">
        <f t="shared" ref="J101:O101" si="91">J100/5360*7360</f>
        <v>4739.6565712238807</v>
      </c>
      <c r="K101" s="101">
        <f t="shared" si="91"/>
        <v>4739.6565712238807</v>
      </c>
      <c r="L101" s="101">
        <f t="shared" si="91"/>
        <v>4739.6565712238807</v>
      </c>
      <c r="M101" s="101">
        <f t="shared" si="91"/>
        <v>4739.6565712238807</v>
      </c>
      <c r="N101" s="101">
        <f t="shared" si="91"/>
        <v>4739.6565712238807</v>
      </c>
      <c r="O101" s="101">
        <f t="shared" si="91"/>
        <v>4739.6565712238807</v>
      </c>
      <c r="P101" s="94">
        <v>0</v>
      </c>
      <c r="Q101" s="101">
        <v>221</v>
      </c>
      <c r="R101" s="101">
        <v>221</v>
      </c>
      <c r="S101" s="101">
        <v>221</v>
      </c>
      <c r="T101" s="101">
        <v>221</v>
      </c>
      <c r="U101" s="101">
        <v>221</v>
      </c>
      <c r="V101" s="101">
        <v>221</v>
      </c>
      <c r="W101" s="101">
        <v>221</v>
      </c>
      <c r="X101" s="101">
        <v>0</v>
      </c>
      <c r="Y101" s="101">
        <v>0</v>
      </c>
      <c r="Z101" s="101">
        <v>0</v>
      </c>
      <c r="AA101" s="101">
        <v>0</v>
      </c>
      <c r="AB101" s="101">
        <v>0</v>
      </c>
      <c r="AC101" s="101">
        <v>0</v>
      </c>
      <c r="AD101" s="101">
        <v>0</v>
      </c>
      <c r="AE101" s="186">
        <v>0.08</v>
      </c>
      <c r="AF101" s="93">
        <v>0</v>
      </c>
      <c r="AG101" s="93">
        <v>30</v>
      </c>
      <c r="AH101" s="93">
        <v>30</v>
      </c>
      <c r="AI101" s="16">
        <v>1</v>
      </c>
      <c r="AJ101" s="16" t="s">
        <v>660</v>
      </c>
      <c r="AK101" s="16" t="s">
        <v>745</v>
      </c>
      <c r="AL101" s="16"/>
      <c r="AM101" s="60"/>
      <c r="AN101" s="60"/>
      <c r="AO101" s="60"/>
      <c r="AP101" s="60"/>
      <c r="AQ101" s="60"/>
      <c r="AR101" s="60"/>
      <c r="AS101" s="63"/>
      <c r="AT101" s="63"/>
      <c r="AU101" s="63"/>
      <c r="AV101" s="131"/>
      <c r="AW101" s="131"/>
      <c r="AX101" s="131"/>
      <c r="AY101" s="27" t="s">
        <v>662</v>
      </c>
      <c r="AZ101" s="27"/>
      <c r="BA101" s="29"/>
      <c r="BB101" s="30"/>
      <c r="BC101" s="30"/>
      <c r="BD101" s="30"/>
      <c r="BE101" s="30"/>
      <c r="BF101" s="30"/>
      <c r="BG101" s="30"/>
      <c r="BH101" s="107"/>
      <c r="BI101" s="107"/>
      <c r="BJ101" s="107"/>
      <c r="BK101" s="107"/>
      <c r="BL101" s="136"/>
      <c r="BM101" s="122"/>
      <c r="BN101" s="138">
        <v>0</v>
      </c>
      <c r="BO101" s="93"/>
      <c r="BP101" s="93"/>
      <c r="BQ101" s="93"/>
      <c r="BR101" s="93"/>
      <c r="BS101" s="93"/>
      <c r="BT101" s="93"/>
      <c r="BU101" s="27">
        <f>IF(BL101=1,BN101,0)</f>
        <v>0</v>
      </c>
      <c r="BV101" s="27"/>
      <c r="BW101" s="27"/>
      <c r="BX101" s="27"/>
      <c r="BY101" s="27"/>
      <c r="BZ101" s="27"/>
      <c r="CA101" s="27"/>
      <c r="CB101" s="97"/>
      <c r="CC101" s="97">
        <f t="shared" si="90"/>
        <v>1</v>
      </c>
      <c r="CD101" s="97">
        <f t="shared" si="90"/>
        <v>1</v>
      </c>
      <c r="CE101" s="97">
        <f t="shared" si="90"/>
        <v>1</v>
      </c>
      <c r="CF101" s="97">
        <f t="shared" si="90"/>
        <v>1</v>
      </c>
      <c r="CG101" s="97">
        <f t="shared" si="90"/>
        <v>1</v>
      </c>
      <c r="CH101" s="97">
        <f t="shared" si="90"/>
        <v>1</v>
      </c>
      <c r="CI101" s="173"/>
      <c r="CJ101" s="173"/>
      <c r="CK101" s="173"/>
      <c r="CL101" s="173"/>
      <c r="CM101" s="173"/>
      <c r="CN101" s="173"/>
      <c r="CO101" s="173"/>
      <c r="CP101" s="174"/>
      <c r="CQ101" s="174"/>
      <c r="CR101" s="174"/>
      <c r="CS101" s="174"/>
      <c r="CT101" s="174"/>
      <c r="CU101" s="174"/>
      <c r="CV101" s="174"/>
      <c r="CW101" s="165"/>
      <c r="CX101" s="166"/>
      <c r="CY101" s="166"/>
      <c r="CZ101" s="166"/>
      <c r="DA101" s="166"/>
      <c r="DB101" s="166"/>
      <c r="DC101" s="166"/>
      <c r="DD101" s="171"/>
      <c r="DE101" s="171"/>
      <c r="DF101" s="171"/>
      <c r="DG101" s="171"/>
      <c r="DH101" s="171"/>
      <c r="DI101" s="171"/>
      <c r="DJ101" s="171"/>
      <c r="DK101" s="79" t="s">
        <v>699</v>
      </c>
      <c r="DL101" s="128">
        <f>VLOOKUP($F101,Activities!$A$9:$I$180,3,FALSE)/$AI101</f>
        <v>1</v>
      </c>
      <c r="DM101" s="128">
        <f>VLOOKUP($F101,Activities!$A$9:$I$180,4,FALSE)/$AI101</f>
        <v>1</v>
      </c>
      <c r="DN101" s="128">
        <f>VLOOKUP($F101,Activities!$A$9:$I$180,5,FALSE)/$AI101</f>
        <v>1</v>
      </c>
      <c r="DO101" s="128">
        <f>VLOOKUP($F101,Activities!$A$9:$I$180,6,FALSE)/$AI101</f>
        <v>1</v>
      </c>
      <c r="DP101" s="128">
        <f>VLOOKUP($F101,Activities!$A$9:$I$180,7,FALSE)/$AI101</f>
        <v>1</v>
      </c>
      <c r="DQ101" s="128">
        <f>VLOOKUP($F101,Activities!$A$9:$I$180,8,FALSE)/$AI101</f>
        <v>1</v>
      </c>
      <c r="DR101" s="128">
        <f>VLOOKUP($F101,Activities!$A$9:$I$180,9,FALSE)/$AI101</f>
        <v>1</v>
      </c>
      <c r="DS101" s="218"/>
      <c r="DT101" s="360"/>
      <c r="DU101" s="360"/>
      <c r="DV101" s="360"/>
      <c r="DW101" s="360"/>
      <c r="DX101" s="360"/>
      <c r="DY101" s="360"/>
      <c r="DZ101" s="360"/>
      <c r="EA101" s="360"/>
      <c r="EB101" s="360"/>
      <c r="EC101" s="360"/>
      <c r="ED101" s="360"/>
      <c r="EE101" s="360"/>
      <c r="EF101" s="360"/>
      <c r="EG101" s="360"/>
      <c r="EH101" s="360"/>
      <c r="EI101" s="360"/>
      <c r="EJ101" s="360"/>
      <c r="EK101" s="360"/>
      <c r="EL101" s="360"/>
      <c r="EM101" s="360"/>
      <c r="EN101" s="360"/>
      <c r="EO101" s="360"/>
      <c r="EP101" s="360"/>
      <c r="EQ101" s="360"/>
    </row>
    <row r="102" spans="1:147" x14ac:dyDescent="0.35">
      <c r="A102" s="6" t="s">
        <v>912</v>
      </c>
      <c r="B102" s="6" t="s">
        <v>740</v>
      </c>
      <c r="C102" s="6" t="s">
        <v>655</v>
      </c>
      <c r="D102" s="6" t="s">
        <v>741</v>
      </c>
      <c r="E102" s="6" t="s">
        <v>789</v>
      </c>
      <c r="F102" s="6" t="s">
        <v>365</v>
      </c>
      <c r="G102" s="48" t="s">
        <v>913</v>
      </c>
      <c r="H102" s="48" t="s">
        <v>908</v>
      </c>
      <c r="I102" s="102">
        <f>I100/5360*7360</f>
        <v>4739.6565712238807</v>
      </c>
      <c r="J102" s="102">
        <f t="shared" ref="J102:O102" si="92">J100/5360*7360</f>
        <v>4739.6565712238807</v>
      </c>
      <c r="K102" s="102">
        <f t="shared" si="92"/>
        <v>4739.6565712238807</v>
      </c>
      <c r="L102" s="102">
        <f t="shared" si="92"/>
        <v>4739.6565712238807</v>
      </c>
      <c r="M102" s="102">
        <f t="shared" si="92"/>
        <v>4739.6565712238807</v>
      </c>
      <c r="N102" s="102">
        <f t="shared" si="92"/>
        <v>4739.6565712238807</v>
      </c>
      <c r="O102" s="102">
        <f t="shared" si="92"/>
        <v>4739.6565712238807</v>
      </c>
      <c r="P102" s="94">
        <v>0</v>
      </c>
      <c r="Q102" s="102">
        <v>221</v>
      </c>
      <c r="R102" s="102">
        <v>221</v>
      </c>
      <c r="S102" s="102">
        <v>221</v>
      </c>
      <c r="T102" s="102">
        <v>221</v>
      </c>
      <c r="U102" s="102">
        <v>221</v>
      </c>
      <c r="V102" s="102">
        <v>221</v>
      </c>
      <c r="W102" s="102">
        <v>221</v>
      </c>
      <c r="X102" s="102">
        <v>0</v>
      </c>
      <c r="Y102" s="102">
        <v>0</v>
      </c>
      <c r="Z102" s="102">
        <v>0</v>
      </c>
      <c r="AA102" s="102">
        <v>0</v>
      </c>
      <c r="AB102" s="102">
        <v>0</v>
      </c>
      <c r="AC102" s="102">
        <v>0</v>
      </c>
      <c r="AD102" s="102">
        <v>0</v>
      </c>
      <c r="AE102" s="186">
        <v>0.08</v>
      </c>
      <c r="AF102" s="94">
        <v>0</v>
      </c>
      <c r="AG102" s="94">
        <v>30</v>
      </c>
      <c r="AH102" s="94">
        <v>30</v>
      </c>
      <c r="AI102" s="17">
        <v>1</v>
      </c>
      <c r="AJ102" s="17" t="s">
        <v>660</v>
      </c>
      <c r="AK102" s="17" t="s">
        <v>745</v>
      </c>
      <c r="AL102" s="17"/>
      <c r="AM102" s="61"/>
      <c r="AN102" s="61"/>
      <c r="AO102" s="61"/>
      <c r="AP102" s="61"/>
      <c r="AQ102" s="61"/>
      <c r="AR102" s="61"/>
      <c r="AS102" s="64"/>
      <c r="AT102" s="64"/>
      <c r="AU102" s="64"/>
      <c r="AV102" s="132"/>
      <c r="AW102" s="132"/>
      <c r="AX102" s="132"/>
      <c r="AY102" s="28" t="s">
        <v>662</v>
      </c>
      <c r="AZ102" s="28"/>
      <c r="BA102" s="354"/>
      <c r="BB102" s="28"/>
      <c r="BC102" s="28"/>
      <c r="BD102" s="28"/>
      <c r="BE102" s="28"/>
      <c r="BF102" s="28"/>
      <c r="BG102" s="28"/>
      <c r="BH102" s="106"/>
      <c r="BI102" s="106"/>
      <c r="BJ102" s="106"/>
      <c r="BK102" s="106"/>
      <c r="BL102" s="137"/>
      <c r="BM102" s="123"/>
      <c r="BN102" s="139">
        <v>0</v>
      </c>
      <c r="BO102" s="94"/>
      <c r="BP102" s="94"/>
      <c r="BQ102" s="94"/>
      <c r="BR102" s="94"/>
      <c r="BS102" s="94"/>
      <c r="BT102" s="94"/>
      <c r="BU102" s="28">
        <f t="shared" ref="BU102" si="93">IF(BL102=1,BN102,0)</f>
        <v>0</v>
      </c>
      <c r="BV102" s="28"/>
      <c r="BW102" s="28"/>
      <c r="BX102" s="28"/>
      <c r="BY102" s="28"/>
      <c r="BZ102" s="28"/>
      <c r="CA102" s="28"/>
      <c r="CB102" s="99"/>
      <c r="CC102" s="99">
        <f t="shared" si="90"/>
        <v>1</v>
      </c>
      <c r="CD102" s="99">
        <f t="shared" si="90"/>
        <v>1</v>
      </c>
      <c r="CE102" s="99">
        <f t="shared" si="90"/>
        <v>1</v>
      </c>
      <c r="CF102" s="99">
        <f t="shared" si="90"/>
        <v>1</v>
      </c>
      <c r="CG102" s="99">
        <f t="shared" si="90"/>
        <v>1</v>
      </c>
      <c r="CH102" s="99">
        <f t="shared" si="90"/>
        <v>1</v>
      </c>
      <c r="CI102" s="175"/>
      <c r="CJ102" s="175"/>
      <c r="CK102" s="175"/>
      <c r="CL102" s="175"/>
      <c r="CM102" s="175"/>
      <c r="CN102" s="175"/>
      <c r="CO102" s="175"/>
      <c r="CP102" s="176"/>
      <c r="CQ102" s="176"/>
      <c r="CR102" s="176"/>
      <c r="CS102" s="176"/>
      <c r="CT102" s="176"/>
      <c r="CU102" s="176"/>
      <c r="CV102" s="176"/>
      <c r="CW102" s="167"/>
      <c r="CX102" s="168"/>
      <c r="CY102" s="168"/>
      <c r="CZ102" s="168"/>
      <c r="DA102" s="168"/>
      <c r="DB102" s="168"/>
      <c r="DC102" s="168"/>
      <c r="DD102" s="172"/>
      <c r="DE102" s="172"/>
      <c r="DF102" s="172"/>
      <c r="DG102" s="172"/>
      <c r="DH102" s="172"/>
      <c r="DI102" s="172"/>
      <c r="DJ102" s="172"/>
      <c r="DK102" s="80" t="s">
        <v>699</v>
      </c>
      <c r="DL102" s="128">
        <f>VLOOKUP($F102,Activities!$A$9:$I$180,3,FALSE)/$AI102</f>
        <v>1</v>
      </c>
      <c r="DM102" s="128">
        <f>VLOOKUP($F102,Activities!$A$9:$I$180,4,FALSE)/$AI102</f>
        <v>1</v>
      </c>
      <c r="DN102" s="128">
        <f>VLOOKUP($F102,Activities!$A$9:$I$180,5,FALSE)/$AI102</f>
        <v>1</v>
      </c>
      <c r="DO102" s="128">
        <f>VLOOKUP($F102,Activities!$A$9:$I$180,6,FALSE)/$AI102</f>
        <v>1</v>
      </c>
      <c r="DP102" s="128">
        <f>VLOOKUP($F102,Activities!$A$9:$I$180,7,FALSE)/$AI102</f>
        <v>1</v>
      </c>
      <c r="DQ102" s="128">
        <f>VLOOKUP($F102,Activities!$A$9:$I$180,8,FALSE)/$AI102</f>
        <v>1</v>
      </c>
      <c r="DR102" s="128">
        <f>VLOOKUP($F102,Activities!$A$9:$I$180,9,FALSE)/$AI102</f>
        <v>1</v>
      </c>
      <c r="DS102" s="218"/>
      <c r="DT102" s="360"/>
      <c r="DU102" s="360"/>
      <c r="DV102" s="360"/>
      <c r="DW102" s="360"/>
      <c r="DX102" s="360"/>
      <c r="DY102" s="360"/>
      <c r="DZ102" s="360"/>
      <c r="EA102" s="360"/>
      <c r="EB102" s="360"/>
      <c r="EC102" s="360"/>
      <c r="ED102" s="360"/>
      <c r="EE102" s="360"/>
      <c r="EF102" s="360"/>
      <c r="EG102" s="360"/>
      <c r="EH102" s="360"/>
      <c r="EI102" s="360"/>
      <c r="EJ102" s="360"/>
      <c r="EK102" s="360"/>
      <c r="EL102" s="360"/>
      <c r="EM102" s="360"/>
      <c r="EN102" s="360"/>
      <c r="EO102" s="360"/>
      <c r="EP102" s="360"/>
      <c r="EQ102" s="360"/>
    </row>
    <row r="103" spans="1:147" x14ac:dyDescent="0.35">
      <c r="A103" s="5" t="s">
        <v>914</v>
      </c>
      <c r="B103" s="5" t="s">
        <v>740</v>
      </c>
      <c r="C103" s="5" t="s">
        <v>655</v>
      </c>
      <c r="D103" s="5" t="s">
        <v>741</v>
      </c>
      <c r="E103" s="5" t="s">
        <v>915</v>
      </c>
      <c r="F103" s="5" t="s">
        <v>367</v>
      </c>
      <c r="G103" s="47" t="s">
        <v>916</v>
      </c>
      <c r="H103" s="47" t="s">
        <v>917</v>
      </c>
      <c r="I103" s="101">
        <v>181</v>
      </c>
      <c r="J103" s="101">
        <v>181</v>
      </c>
      <c r="K103" s="101">
        <v>181</v>
      </c>
      <c r="L103" s="101">
        <v>181</v>
      </c>
      <c r="M103" s="101">
        <v>181</v>
      </c>
      <c r="N103" s="101">
        <v>181</v>
      </c>
      <c r="O103" s="101">
        <v>181</v>
      </c>
      <c r="P103" s="94">
        <v>0</v>
      </c>
      <c r="Q103" s="101">
        <v>6</v>
      </c>
      <c r="R103" s="101">
        <v>6</v>
      </c>
      <c r="S103" s="101">
        <v>6</v>
      </c>
      <c r="T103" s="101">
        <v>6</v>
      </c>
      <c r="U103" s="101">
        <v>6</v>
      </c>
      <c r="V103" s="101">
        <v>6</v>
      </c>
      <c r="W103" s="101">
        <v>6</v>
      </c>
      <c r="X103" s="101">
        <v>0</v>
      </c>
      <c r="Y103" s="101">
        <v>0</v>
      </c>
      <c r="Z103" s="101">
        <v>0</v>
      </c>
      <c r="AA103" s="101">
        <v>0</v>
      </c>
      <c r="AB103" s="101">
        <v>0</v>
      </c>
      <c r="AC103" s="101">
        <v>0</v>
      </c>
      <c r="AD103" s="101">
        <v>0</v>
      </c>
      <c r="AE103" s="186">
        <v>0.08</v>
      </c>
      <c r="AF103" s="93">
        <v>0</v>
      </c>
      <c r="AG103" s="93">
        <v>30</v>
      </c>
      <c r="AH103" s="93">
        <v>30</v>
      </c>
      <c r="AI103" s="16">
        <v>1</v>
      </c>
      <c r="AJ103" s="16" t="s">
        <v>660</v>
      </c>
      <c r="AK103" s="16" t="s">
        <v>745</v>
      </c>
      <c r="AL103" s="16"/>
      <c r="AM103" s="60"/>
      <c r="AN103" s="60"/>
      <c r="AO103" s="60"/>
      <c r="AP103" s="60"/>
      <c r="AQ103" s="60"/>
      <c r="AR103" s="60"/>
      <c r="AS103" s="63"/>
      <c r="AT103" s="63"/>
      <c r="AU103" s="63"/>
      <c r="AV103" s="131"/>
      <c r="AW103" s="131"/>
      <c r="AX103" s="131"/>
      <c r="AY103" s="27" t="s">
        <v>662</v>
      </c>
      <c r="AZ103" s="27"/>
      <c r="BA103" s="27"/>
      <c r="BB103" s="30"/>
      <c r="BC103" s="30"/>
      <c r="BD103" s="30"/>
      <c r="BE103" s="30"/>
      <c r="BF103" s="30"/>
      <c r="BG103" s="30"/>
      <c r="BH103" s="107"/>
      <c r="BI103" s="107"/>
      <c r="BJ103" s="107"/>
      <c r="BK103" s="107"/>
      <c r="BL103" s="136"/>
      <c r="BM103" s="122"/>
      <c r="BN103" s="138">
        <f>DL103</f>
        <v>0.92</v>
      </c>
      <c r="BO103" s="93">
        <v>0.22500000000000001</v>
      </c>
      <c r="BP103" s="93">
        <v>0.22500000000000001</v>
      </c>
      <c r="BQ103" s="93">
        <v>0.22500000000000001</v>
      </c>
      <c r="BR103" s="93">
        <v>0.22500000000000001</v>
      </c>
      <c r="BS103" s="93"/>
      <c r="BT103" s="93"/>
      <c r="BU103" s="27">
        <f t="shared" si="1"/>
        <v>0</v>
      </c>
      <c r="BV103" s="27"/>
      <c r="BW103" s="27"/>
      <c r="BX103" s="27"/>
      <c r="BY103" s="27"/>
      <c r="BZ103" s="27"/>
      <c r="CA103" s="27"/>
      <c r="CB103" s="97">
        <f t="shared" ref="CB103:CH115" si="94">DL103</f>
        <v>0.92</v>
      </c>
      <c r="CC103" s="97">
        <f t="shared" si="94"/>
        <v>0.92</v>
      </c>
      <c r="CD103" s="97">
        <f t="shared" si="94"/>
        <v>0.92</v>
      </c>
      <c r="CE103" s="97">
        <f t="shared" si="94"/>
        <v>0.92</v>
      </c>
      <c r="CF103" s="97">
        <f t="shared" si="94"/>
        <v>0.92</v>
      </c>
      <c r="CG103" s="97">
        <f t="shared" si="94"/>
        <v>0.92</v>
      </c>
      <c r="CH103" s="97">
        <f>DR103</f>
        <v>0.92</v>
      </c>
      <c r="CI103" s="173"/>
      <c r="CJ103" s="173"/>
      <c r="CK103" s="173"/>
      <c r="CL103" s="173"/>
      <c r="CM103" s="173"/>
      <c r="CN103" s="173"/>
      <c r="CO103" s="173"/>
      <c r="CP103" s="174"/>
      <c r="CQ103" s="174"/>
      <c r="CR103" s="174"/>
      <c r="CS103" s="174"/>
      <c r="CT103" s="174"/>
      <c r="CU103" s="174"/>
      <c r="CV103" s="174"/>
      <c r="CW103" s="165"/>
      <c r="CX103" s="166"/>
      <c r="CY103" s="166"/>
      <c r="CZ103" s="166"/>
      <c r="DA103" s="166"/>
      <c r="DB103" s="166"/>
      <c r="DC103" s="166"/>
      <c r="DD103" s="171"/>
      <c r="DE103" s="171"/>
      <c r="DF103" s="171"/>
      <c r="DG103" s="171"/>
      <c r="DH103" s="171"/>
      <c r="DI103" s="171"/>
      <c r="DJ103" s="171"/>
      <c r="DK103" s="79" t="s">
        <v>918</v>
      </c>
      <c r="DL103" s="128">
        <f>VLOOKUP($F103,Activities!$A$9:$I$180,3,FALSE)/$AI103</f>
        <v>0.92</v>
      </c>
      <c r="DM103" s="128">
        <f>VLOOKUP($F103,Activities!$A$9:$I$180,4,FALSE)/$AI103</f>
        <v>0.92</v>
      </c>
      <c r="DN103" s="128">
        <f>VLOOKUP($F103,Activities!$A$9:$I$180,5,FALSE)/$AI103</f>
        <v>0.92</v>
      </c>
      <c r="DO103" s="128">
        <f>VLOOKUP($F103,Activities!$A$9:$I$180,6,FALSE)/$AI103</f>
        <v>0.92</v>
      </c>
      <c r="DP103" s="128">
        <f>VLOOKUP($F103,Activities!$A$9:$I$180,7,FALSE)/$AI103</f>
        <v>0.92</v>
      </c>
      <c r="DQ103" s="128">
        <f>VLOOKUP($F103,Activities!$A$9:$I$180,8,FALSE)/$AI103</f>
        <v>0.92</v>
      </c>
      <c r="DR103" s="128">
        <f>VLOOKUP($F103,Activities!$A$9:$I$180,9,FALSE)/$AI103</f>
        <v>0.92</v>
      </c>
      <c r="DS103" s="218"/>
      <c r="DT103" s="360"/>
      <c r="DU103" s="360"/>
      <c r="DV103" s="360"/>
      <c r="DW103" s="360"/>
      <c r="DX103" s="360"/>
      <c r="DY103" s="360"/>
      <c r="DZ103" s="360"/>
      <c r="EA103" s="360"/>
      <c r="EB103" s="360"/>
      <c r="EC103" s="360"/>
      <c r="ED103" s="360"/>
      <c r="EE103" s="360"/>
      <c r="EF103" s="360"/>
      <c r="EG103" s="360"/>
      <c r="EH103" s="360"/>
      <c r="EI103" s="360"/>
      <c r="EJ103" s="360"/>
      <c r="EK103" s="360"/>
      <c r="EL103" s="360"/>
      <c r="EM103" s="360"/>
      <c r="EN103" s="360"/>
      <c r="EO103" s="360"/>
      <c r="EP103" s="360"/>
      <c r="EQ103" s="360"/>
    </row>
    <row r="104" spans="1:147" x14ac:dyDescent="0.35">
      <c r="A104" s="6" t="s">
        <v>919</v>
      </c>
      <c r="B104" s="6" t="s">
        <v>740</v>
      </c>
      <c r="C104" s="6" t="s">
        <v>655</v>
      </c>
      <c r="D104" s="6" t="s">
        <v>741</v>
      </c>
      <c r="E104" s="6" t="s">
        <v>915</v>
      </c>
      <c r="F104" s="6" t="s">
        <v>367</v>
      </c>
      <c r="G104" s="48" t="s">
        <v>920</v>
      </c>
      <c r="H104" s="48" t="s">
        <v>917</v>
      </c>
      <c r="I104" s="102">
        <v>211</v>
      </c>
      <c r="J104" s="102">
        <v>211</v>
      </c>
      <c r="K104" s="102">
        <v>211</v>
      </c>
      <c r="L104" s="102">
        <v>211</v>
      </c>
      <c r="M104" s="102">
        <v>211</v>
      </c>
      <c r="N104" s="102">
        <v>211</v>
      </c>
      <c r="O104" s="102">
        <v>211</v>
      </c>
      <c r="P104" s="94">
        <v>0</v>
      </c>
      <c r="Q104" s="102">
        <v>6</v>
      </c>
      <c r="R104" s="102">
        <v>6</v>
      </c>
      <c r="S104" s="102">
        <v>6</v>
      </c>
      <c r="T104" s="102">
        <v>6</v>
      </c>
      <c r="U104" s="102">
        <v>6</v>
      </c>
      <c r="V104" s="102">
        <v>6</v>
      </c>
      <c r="W104" s="102">
        <v>6</v>
      </c>
      <c r="X104" s="102">
        <v>0</v>
      </c>
      <c r="Y104" s="102">
        <v>0</v>
      </c>
      <c r="Z104" s="102">
        <v>0</v>
      </c>
      <c r="AA104" s="102">
        <v>0</v>
      </c>
      <c r="AB104" s="102">
        <v>0</v>
      </c>
      <c r="AC104" s="102">
        <v>0</v>
      </c>
      <c r="AD104" s="102">
        <v>0</v>
      </c>
      <c r="AE104" s="186">
        <v>0.08</v>
      </c>
      <c r="AF104" s="94">
        <v>0</v>
      </c>
      <c r="AG104" s="94">
        <v>30</v>
      </c>
      <c r="AH104" s="94">
        <v>30</v>
      </c>
      <c r="AI104" s="17">
        <v>1</v>
      </c>
      <c r="AJ104" s="17" t="s">
        <v>660</v>
      </c>
      <c r="AK104" s="17" t="s">
        <v>745</v>
      </c>
      <c r="AL104" s="17"/>
      <c r="AM104" s="61"/>
      <c r="AN104" s="61"/>
      <c r="AO104" s="61"/>
      <c r="AP104" s="61"/>
      <c r="AQ104" s="61"/>
      <c r="AR104" s="61"/>
      <c r="AS104" s="64"/>
      <c r="AT104" s="64"/>
      <c r="AU104" s="64"/>
      <c r="AV104" s="132"/>
      <c r="AW104" s="132"/>
      <c r="AX104" s="132"/>
      <c r="AY104" s="28" t="s">
        <v>662</v>
      </c>
      <c r="AZ104" s="28"/>
      <c r="BA104" s="28"/>
      <c r="BB104" s="28"/>
      <c r="BC104" s="28"/>
      <c r="BD104" s="28"/>
      <c r="BE104" s="28"/>
      <c r="BF104" s="28"/>
      <c r="BG104" s="28"/>
      <c r="BH104" s="106"/>
      <c r="BI104" s="106"/>
      <c r="BJ104" s="106"/>
      <c r="BK104" s="106"/>
      <c r="BL104" s="137"/>
      <c r="BM104" s="123"/>
      <c r="BN104" s="139">
        <v>0</v>
      </c>
      <c r="BO104" s="94"/>
      <c r="BP104" s="94"/>
      <c r="BQ104" s="94"/>
      <c r="BR104" s="94"/>
      <c r="BS104" s="94"/>
      <c r="BT104" s="94"/>
      <c r="BU104" s="28">
        <f t="shared" ref="BU104:BU182" si="95">IF(BL104=1,BN104,0)</f>
        <v>0</v>
      </c>
      <c r="BV104" s="28"/>
      <c r="BW104" s="28"/>
      <c r="BX104" s="28"/>
      <c r="BY104" s="28"/>
      <c r="BZ104" s="28"/>
      <c r="CA104" s="28"/>
      <c r="CB104" s="99"/>
      <c r="CC104" s="185">
        <v>0.6</v>
      </c>
      <c r="CD104" s="99">
        <v>0.6</v>
      </c>
      <c r="CE104" s="99">
        <f t="shared" si="94"/>
        <v>0.92</v>
      </c>
      <c r="CF104" s="99">
        <f t="shared" si="94"/>
        <v>0.92</v>
      </c>
      <c r="CG104" s="99">
        <f t="shared" si="94"/>
        <v>0.92</v>
      </c>
      <c r="CH104" s="99">
        <f>DR104</f>
        <v>0.92</v>
      </c>
      <c r="CI104" s="175"/>
      <c r="CJ104" s="175"/>
      <c r="CK104" s="175"/>
      <c r="CL104" s="175"/>
      <c r="CM104" s="175"/>
      <c r="CN104" s="175"/>
      <c r="CO104" s="175"/>
      <c r="CP104" s="176"/>
      <c r="CQ104" s="176"/>
      <c r="CR104" s="176"/>
      <c r="CS104" s="176"/>
      <c r="CT104" s="176"/>
      <c r="CU104" s="176"/>
      <c r="CV104" s="176"/>
      <c r="CW104" s="167"/>
      <c r="CX104" s="168"/>
      <c r="CY104" s="168"/>
      <c r="CZ104" s="168"/>
      <c r="DA104" s="168"/>
      <c r="DB104" s="168"/>
      <c r="DC104" s="168"/>
      <c r="DD104" s="172"/>
      <c r="DE104" s="172"/>
      <c r="DF104" s="172"/>
      <c r="DG104" s="172"/>
      <c r="DH104" s="172"/>
      <c r="DI104" s="172"/>
      <c r="DJ104" s="172"/>
      <c r="DK104" s="80" t="s">
        <v>918</v>
      </c>
      <c r="DL104" s="129">
        <f>VLOOKUP($F104,Activities!$A$9:$I$180,3,FALSE)/$AI104</f>
        <v>0.92</v>
      </c>
      <c r="DM104" s="129">
        <f>VLOOKUP($F104,Activities!$A$9:$I$180,4,FALSE)/$AI104</f>
        <v>0.92</v>
      </c>
      <c r="DN104" s="129">
        <f>VLOOKUP($F104,Activities!$A$9:$I$180,5,FALSE)/$AI104</f>
        <v>0.92</v>
      </c>
      <c r="DO104" s="129">
        <f>VLOOKUP($F104,Activities!$A$9:$I$180,6,FALSE)/$AI104</f>
        <v>0.92</v>
      </c>
      <c r="DP104" s="129">
        <f>VLOOKUP($F104,Activities!$A$9:$I$180,7,FALSE)/$AI104</f>
        <v>0.92</v>
      </c>
      <c r="DQ104" s="129">
        <f>VLOOKUP($F104,Activities!$A$9:$I$180,8,FALSE)/$AI104</f>
        <v>0.92</v>
      </c>
      <c r="DR104" s="129">
        <f>VLOOKUP($F104,Activities!$A$9:$I$180,9,FALSE)/$AI104</f>
        <v>0.92</v>
      </c>
      <c r="DS104" s="218"/>
      <c r="DT104" s="360"/>
      <c r="DU104" s="360"/>
      <c r="DV104" s="360"/>
      <c r="DW104" s="360"/>
      <c r="DX104" s="360"/>
      <c r="DY104" s="360"/>
      <c r="DZ104" s="360"/>
      <c r="EA104" s="360"/>
      <c r="EB104" s="360"/>
      <c r="EC104" s="360"/>
      <c r="ED104" s="360"/>
      <c r="EE104" s="360"/>
      <c r="EF104" s="360"/>
      <c r="EG104" s="360"/>
      <c r="EH104" s="360"/>
      <c r="EI104" s="360"/>
      <c r="EJ104" s="360"/>
      <c r="EK104" s="360"/>
      <c r="EL104" s="360"/>
      <c r="EM104" s="360"/>
      <c r="EN104" s="360"/>
      <c r="EO104" s="360"/>
      <c r="EP104" s="360"/>
      <c r="EQ104" s="360"/>
    </row>
    <row r="105" spans="1:147" x14ac:dyDescent="0.35">
      <c r="A105" s="5" t="s">
        <v>921</v>
      </c>
      <c r="B105" s="5" t="s">
        <v>740</v>
      </c>
      <c r="C105" s="5" t="s">
        <v>655</v>
      </c>
      <c r="D105" s="5" t="s">
        <v>741</v>
      </c>
      <c r="E105" s="5" t="s">
        <v>915</v>
      </c>
      <c r="F105" s="5" t="s">
        <v>367</v>
      </c>
      <c r="G105" s="47" t="s">
        <v>922</v>
      </c>
      <c r="H105" s="47" t="s">
        <v>917</v>
      </c>
      <c r="I105" s="101">
        <v>389</v>
      </c>
      <c r="J105" s="101">
        <v>389</v>
      </c>
      <c r="K105" s="101">
        <v>389</v>
      </c>
      <c r="L105" s="101">
        <v>389</v>
      </c>
      <c r="M105" s="101">
        <v>389</v>
      </c>
      <c r="N105" s="101">
        <v>389</v>
      </c>
      <c r="O105" s="101">
        <v>389</v>
      </c>
      <c r="P105" s="93">
        <v>0</v>
      </c>
      <c r="Q105" s="101">
        <v>12</v>
      </c>
      <c r="R105" s="101">
        <v>12</v>
      </c>
      <c r="S105" s="101">
        <v>12</v>
      </c>
      <c r="T105" s="101">
        <v>12</v>
      </c>
      <c r="U105" s="101">
        <v>12</v>
      </c>
      <c r="V105" s="101">
        <v>12</v>
      </c>
      <c r="W105" s="101">
        <v>12</v>
      </c>
      <c r="X105" s="101">
        <v>0</v>
      </c>
      <c r="Y105" s="101">
        <v>0</v>
      </c>
      <c r="Z105" s="101">
        <v>0</v>
      </c>
      <c r="AA105" s="101">
        <v>0</v>
      </c>
      <c r="AB105" s="101">
        <v>0</v>
      </c>
      <c r="AC105" s="101">
        <v>0</v>
      </c>
      <c r="AD105" s="101">
        <v>0</v>
      </c>
      <c r="AE105" s="186">
        <v>0.08</v>
      </c>
      <c r="AF105" s="93">
        <v>0</v>
      </c>
      <c r="AG105" s="93">
        <v>30</v>
      </c>
      <c r="AH105" s="93">
        <v>30</v>
      </c>
      <c r="AI105" s="16">
        <v>1</v>
      </c>
      <c r="AJ105" s="16" t="s">
        <v>660</v>
      </c>
      <c r="AK105" s="16" t="s">
        <v>745</v>
      </c>
      <c r="AL105" s="16"/>
      <c r="AM105" s="60"/>
      <c r="AN105" s="60"/>
      <c r="AO105" s="60"/>
      <c r="AP105" s="60"/>
      <c r="AQ105" s="60"/>
      <c r="AR105" s="60"/>
      <c r="AS105" s="63"/>
      <c r="AT105" s="63"/>
      <c r="AU105" s="63"/>
      <c r="AV105" s="131"/>
      <c r="AW105" s="131"/>
      <c r="AX105" s="131"/>
      <c r="AY105" s="27" t="s">
        <v>662</v>
      </c>
      <c r="AZ105" s="27"/>
      <c r="BA105" s="27"/>
      <c r="BB105" s="30"/>
      <c r="BC105" s="30"/>
      <c r="BD105" s="30"/>
      <c r="BE105" s="30"/>
      <c r="BF105" s="30"/>
      <c r="BG105" s="30"/>
      <c r="BH105" s="107"/>
      <c r="BI105" s="107"/>
      <c r="BJ105" s="107"/>
      <c r="BK105" s="107"/>
      <c r="BL105" s="136"/>
      <c r="BM105" s="122"/>
      <c r="BN105" s="138">
        <v>0</v>
      </c>
      <c r="BO105" s="93"/>
      <c r="BP105" s="93"/>
      <c r="BQ105" s="93"/>
      <c r="BR105" s="93"/>
      <c r="BS105" s="93"/>
      <c r="BT105" s="93"/>
      <c r="BU105" s="27">
        <f t="shared" si="95"/>
        <v>0</v>
      </c>
      <c r="BV105" s="27"/>
      <c r="BW105" s="27"/>
      <c r="BX105" s="27"/>
      <c r="BY105" s="27"/>
      <c r="BZ105" s="27"/>
      <c r="CA105" s="27"/>
      <c r="CB105" s="97"/>
      <c r="CC105" s="97"/>
      <c r="CD105" s="97">
        <v>0.6</v>
      </c>
      <c r="CE105" s="97">
        <f t="shared" si="94"/>
        <v>0.92</v>
      </c>
      <c r="CF105" s="97">
        <f t="shared" si="94"/>
        <v>0.92</v>
      </c>
      <c r="CG105" s="97">
        <f t="shared" si="94"/>
        <v>0.92</v>
      </c>
      <c r="CH105" s="97">
        <f t="shared" si="94"/>
        <v>0.92</v>
      </c>
      <c r="CI105" s="173"/>
      <c r="CJ105" s="173"/>
      <c r="CK105" s="173"/>
      <c r="CL105" s="173"/>
      <c r="CM105" s="173"/>
      <c r="CN105" s="173"/>
      <c r="CO105" s="173"/>
      <c r="CP105" s="174"/>
      <c r="CQ105" s="174"/>
      <c r="CR105" s="174"/>
      <c r="CS105" s="174"/>
      <c r="CT105" s="174"/>
      <c r="CU105" s="174"/>
      <c r="CV105" s="174"/>
      <c r="CW105" s="165"/>
      <c r="CX105" s="166"/>
      <c r="CY105" s="166"/>
      <c r="CZ105" s="166"/>
      <c r="DA105" s="166"/>
      <c r="DB105" s="166"/>
      <c r="DC105" s="166"/>
      <c r="DD105" s="171"/>
      <c r="DE105" s="171"/>
      <c r="DF105" s="171"/>
      <c r="DG105" s="171"/>
      <c r="DH105" s="171"/>
      <c r="DI105" s="171"/>
      <c r="DJ105" s="171"/>
      <c r="DK105" s="79" t="s">
        <v>918</v>
      </c>
      <c r="DL105" s="128">
        <f>VLOOKUP($F105,Activities!$A$9:$I$180,3,FALSE)/$AI105</f>
        <v>0.92</v>
      </c>
      <c r="DM105" s="128">
        <f>VLOOKUP($F105,Activities!$A$9:$I$180,4,FALSE)/$AI105</f>
        <v>0.92</v>
      </c>
      <c r="DN105" s="128">
        <f>VLOOKUP($F105,Activities!$A$9:$I$180,5,FALSE)/$AI105</f>
        <v>0.92</v>
      </c>
      <c r="DO105" s="128">
        <f>VLOOKUP($F105,Activities!$A$9:$I$180,6,FALSE)/$AI105</f>
        <v>0.92</v>
      </c>
      <c r="DP105" s="128">
        <f>VLOOKUP($F105,Activities!$A$9:$I$180,7,FALSE)/$AI105</f>
        <v>0.92</v>
      </c>
      <c r="DQ105" s="128">
        <f>VLOOKUP($F105,Activities!$A$9:$I$180,8,FALSE)/$AI105</f>
        <v>0.92</v>
      </c>
      <c r="DR105" s="128">
        <f>VLOOKUP($F105,Activities!$A$9:$I$180,9,FALSE)/$AI105</f>
        <v>0.92</v>
      </c>
      <c r="DS105" s="218"/>
      <c r="DT105" s="360"/>
      <c r="DU105" s="360"/>
      <c r="DV105" s="360"/>
      <c r="DW105" s="360"/>
      <c r="DX105" s="360"/>
      <c r="DY105" s="360"/>
      <c r="DZ105" s="360"/>
      <c r="EA105" s="360"/>
      <c r="EB105" s="360"/>
      <c r="EC105" s="360"/>
      <c r="ED105" s="360"/>
      <c r="EE105" s="360"/>
      <c r="EF105" s="360"/>
      <c r="EG105" s="360"/>
      <c r="EH105" s="360"/>
      <c r="EI105" s="360"/>
      <c r="EJ105" s="360"/>
      <c r="EK105" s="360"/>
      <c r="EL105" s="360"/>
      <c r="EM105" s="360"/>
      <c r="EN105" s="360"/>
      <c r="EO105" s="360"/>
      <c r="EP105" s="360"/>
      <c r="EQ105" s="360"/>
    </row>
    <row r="106" spans="1:147" x14ac:dyDescent="0.35">
      <c r="A106" s="6" t="s">
        <v>923</v>
      </c>
      <c r="B106" s="6" t="s">
        <v>740</v>
      </c>
      <c r="C106" s="6" t="s">
        <v>655</v>
      </c>
      <c r="D106" s="6" t="s">
        <v>741</v>
      </c>
      <c r="E106" s="6" t="s">
        <v>915</v>
      </c>
      <c r="F106" s="6" t="s">
        <v>369</v>
      </c>
      <c r="G106" s="48" t="s">
        <v>924</v>
      </c>
      <c r="H106" s="48" t="s">
        <v>925</v>
      </c>
      <c r="I106" s="102">
        <v>150</v>
      </c>
      <c r="J106" s="102">
        <v>150</v>
      </c>
      <c r="K106" s="102">
        <v>150</v>
      </c>
      <c r="L106" s="102">
        <v>150</v>
      </c>
      <c r="M106" s="102">
        <v>150</v>
      </c>
      <c r="N106" s="102">
        <v>150</v>
      </c>
      <c r="O106" s="102">
        <v>150</v>
      </c>
      <c r="P106" s="94">
        <v>0</v>
      </c>
      <c r="Q106" s="102">
        <v>8</v>
      </c>
      <c r="R106" s="102">
        <v>8</v>
      </c>
      <c r="S106" s="102">
        <v>8</v>
      </c>
      <c r="T106" s="102">
        <v>8</v>
      </c>
      <c r="U106" s="102">
        <v>8</v>
      </c>
      <c r="V106" s="102">
        <v>8</v>
      </c>
      <c r="W106" s="102">
        <v>8</v>
      </c>
      <c r="X106" s="102">
        <v>0</v>
      </c>
      <c r="Y106" s="102">
        <v>0</v>
      </c>
      <c r="Z106" s="102">
        <v>0</v>
      </c>
      <c r="AA106" s="102">
        <v>0</v>
      </c>
      <c r="AB106" s="102">
        <v>0</v>
      </c>
      <c r="AC106" s="102">
        <v>0</v>
      </c>
      <c r="AD106" s="102">
        <v>0</v>
      </c>
      <c r="AE106" s="186">
        <v>0.08</v>
      </c>
      <c r="AF106" s="94">
        <v>0</v>
      </c>
      <c r="AG106" s="94">
        <v>30</v>
      </c>
      <c r="AH106" s="94">
        <v>30</v>
      </c>
      <c r="AI106" s="17">
        <v>1</v>
      </c>
      <c r="AJ106" s="17" t="s">
        <v>660</v>
      </c>
      <c r="AK106" s="17" t="s">
        <v>745</v>
      </c>
      <c r="AL106" s="17"/>
      <c r="AM106" s="61"/>
      <c r="AN106" s="61"/>
      <c r="AO106" s="61"/>
      <c r="AP106" s="61"/>
      <c r="AQ106" s="61"/>
      <c r="AR106" s="61"/>
      <c r="AS106" s="64"/>
      <c r="AT106" s="64"/>
      <c r="AU106" s="64"/>
      <c r="AV106" s="132"/>
      <c r="AW106" s="132"/>
      <c r="AX106" s="132"/>
      <c r="AY106" s="28" t="s">
        <v>662</v>
      </c>
      <c r="AZ106" s="28"/>
      <c r="BA106" s="28"/>
      <c r="BB106" s="28"/>
      <c r="BC106" s="28"/>
      <c r="BD106" s="28"/>
      <c r="BE106" s="28"/>
      <c r="BF106" s="28"/>
      <c r="BG106" s="28"/>
      <c r="BH106" s="106"/>
      <c r="BI106" s="106"/>
      <c r="BJ106" s="106"/>
      <c r="BK106" s="106"/>
      <c r="BL106" s="137"/>
      <c r="BM106" s="123"/>
      <c r="BN106" s="139">
        <f>DL106</f>
        <v>2.665</v>
      </c>
      <c r="BO106" s="94">
        <v>0.7</v>
      </c>
      <c r="BP106" s="94">
        <v>0.7</v>
      </c>
      <c r="BQ106" s="94"/>
      <c r="BR106" s="94"/>
      <c r="BS106" s="94"/>
      <c r="BT106" s="94"/>
      <c r="BU106" s="28">
        <f t="shared" si="95"/>
        <v>0</v>
      </c>
      <c r="BV106" s="28"/>
      <c r="BW106" s="28"/>
      <c r="BX106" s="28"/>
      <c r="BY106" s="28"/>
      <c r="BZ106" s="28"/>
      <c r="CA106" s="28"/>
      <c r="CB106" s="99">
        <f t="shared" ref="CB106:CD106" si="96">DL106</f>
        <v>2.665</v>
      </c>
      <c r="CC106" s="99">
        <f t="shared" si="96"/>
        <v>2.665</v>
      </c>
      <c r="CD106" s="99">
        <f t="shared" si="96"/>
        <v>2.665</v>
      </c>
      <c r="CE106" s="99">
        <f t="shared" si="94"/>
        <v>2.665</v>
      </c>
      <c r="CF106" s="99">
        <f t="shared" si="94"/>
        <v>2.665</v>
      </c>
      <c r="CG106" s="99">
        <f t="shared" si="94"/>
        <v>2.665</v>
      </c>
      <c r="CH106" s="99">
        <f>DR106</f>
        <v>2.665</v>
      </c>
      <c r="CI106" s="175"/>
      <c r="CJ106" s="175"/>
      <c r="CK106" s="175"/>
      <c r="CL106" s="175"/>
      <c r="CM106" s="175"/>
      <c r="CN106" s="175"/>
      <c r="CO106" s="175"/>
      <c r="CP106" s="176"/>
      <c r="CQ106" s="176"/>
      <c r="CR106" s="176"/>
      <c r="CS106" s="176"/>
      <c r="CT106" s="176"/>
      <c r="CU106" s="176"/>
      <c r="CV106" s="176"/>
      <c r="CW106" s="167"/>
      <c r="CX106" s="168"/>
      <c r="CY106" s="168"/>
      <c r="CZ106" s="168"/>
      <c r="DA106" s="168"/>
      <c r="DB106" s="168"/>
      <c r="DC106" s="168"/>
      <c r="DD106" s="172"/>
      <c r="DE106" s="172"/>
      <c r="DF106" s="172"/>
      <c r="DG106" s="172"/>
      <c r="DH106" s="172"/>
      <c r="DI106" s="172"/>
      <c r="DJ106" s="172"/>
      <c r="DK106" s="80" t="s">
        <v>926</v>
      </c>
      <c r="DL106" s="129">
        <f>VLOOKUP($F106,Activities!$A$9:$I$180,3,FALSE)/$AI106</f>
        <v>2.665</v>
      </c>
      <c r="DM106" s="129">
        <f>VLOOKUP($F106,Activities!$A$9:$I$180,4,FALSE)/$AI106</f>
        <v>2.665</v>
      </c>
      <c r="DN106" s="129">
        <f>VLOOKUP($F106,Activities!$A$9:$I$180,5,FALSE)/$AI106</f>
        <v>2.665</v>
      </c>
      <c r="DO106" s="129">
        <f>VLOOKUP($F106,Activities!$A$9:$I$180,6,FALSE)/$AI106</f>
        <v>2.665</v>
      </c>
      <c r="DP106" s="129">
        <f>VLOOKUP($F106,Activities!$A$9:$I$180,7,FALSE)/$AI106</f>
        <v>2.665</v>
      </c>
      <c r="DQ106" s="129">
        <f>VLOOKUP($F106,Activities!$A$9:$I$180,8,FALSE)/$AI106</f>
        <v>2.665</v>
      </c>
      <c r="DR106" s="129">
        <f>VLOOKUP($F106,Activities!$A$9:$I$180,9,FALSE)/$AI106</f>
        <v>2.665</v>
      </c>
      <c r="DS106" s="218"/>
      <c r="DT106" s="360"/>
      <c r="DU106" s="360"/>
      <c r="DV106" s="360"/>
      <c r="DW106" s="360"/>
      <c r="DX106" s="360"/>
      <c r="DY106" s="360"/>
      <c r="DZ106" s="360"/>
      <c r="EA106" s="360"/>
      <c r="EB106" s="360"/>
      <c r="EC106" s="360"/>
      <c r="ED106" s="360"/>
      <c r="EE106" s="360"/>
      <c r="EF106" s="360"/>
      <c r="EG106" s="360"/>
      <c r="EH106" s="360"/>
      <c r="EI106" s="360"/>
      <c r="EJ106" s="360"/>
      <c r="EK106" s="360"/>
      <c r="EL106" s="360"/>
      <c r="EM106" s="360"/>
      <c r="EN106" s="360"/>
      <c r="EO106" s="360"/>
      <c r="EP106" s="360"/>
      <c r="EQ106" s="360"/>
    </row>
    <row r="107" spans="1:147" x14ac:dyDescent="0.35">
      <c r="A107" s="5" t="s">
        <v>927</v>
      </c>
      <c r="B107" s="5" t="s">
        <v>740</v>
      </c>
      <c r="C107" s="5" t="s">
        <v>655</v>
      </c>
      <c r="D107" s="5" t="s">
        <v>741</v>
      </c>
      <c r="E107" s="5" t="s">
        <v>915</v>
      </c>
      <c r="F107" s="5" t="s">
        <v>369</v>
      </c>
      <c r="G107" s="47" t="s">
        <v>928</v>
      </c>
      <c r="H107" s="47" t="s">
        <v>925</v>
      </c>
      <c r="I107" s="101">
        <v>275</v>
      </c>
      <c r="J107" s="101">
        <v>275</v>
      </c>
      <c r="K107" s="101">
        <v>275</v>
      </c>
      <c r="L107" s="101">
        <v>275</v>
      </c>
      <c r="M107" s="101">
        <v>275</v>
      </c>
      <c r="N107" s="101">
        <v>275</v>
      </c>
      <c r="O107" s="101">
        <v>275</v>
      </c>
      <c r="P107" s="93">
        <v>0</v>
      </c>
      <c r="Q107" s="101">
        <v>14</v>
      </c>
      <c r="R107" s="101">
        <v>14</v>
      </c>
      <c r="S107" s="101">
        <v>14</v>
      </c>
      <c r="T107" s="101">
        <v>14</v>
      </c>
      <c r="U107" s="101">
        <v>14</v>
      </c>
      <c r="V107" s="101">
        <v>14</v>
      </c>
      <c r="W107" s="101">
        <v>14</v>
      </c>
      <c r="X107" s="101">
        <v>0</v>
      </c>
      <c r="Y107" s="101">
        <v>0</v>
      </c>
      <c r="Z107" s="101">
        <v>0</v>
      </c>
      <c r="AA107" s="101">
        <v>0</v>
      </c>
      <c r="AB107" s="101">
        <v>0</v>
      </c>
      <c r="AC107" s="101">
        <v>0</v>
      </c>
      <c r="AD107" s="101">
        <v>0</v>
      </c>
      <c r="AE107" s="186">
        <v>0.08</v>
      </c>
      <c r="AF107" s="93">
        <v>0</v>
      </c>
      <c r="AG107" s="93">
        <v>30</v>
      </c>
      <c r="AH107" s="93">
        <v>30</v>
      </c>
      <c r="AI107" s="16">
        <v>1</v>
      </c>
      <c r="AJ107" s="16" t="s">
        <v>660</v>
      </c>
      <c r="AK107" s="16" t="s">
        <v>745</v>
      </c>
      <c r="AL107" s="16"/>
      <c r="AM107" s="60"/>
      <c r="AN107" s="60"/>
      <c r="AO107" s="60"/>
      <c r="AP107" s="60"/>
      <c r="AQ107" s="60"/>
      <c r="AR107" s="60"/>
      <c r="AS107" s="63"/>
      <c r="AT107" s="63"/>
      <c r="AU107" s="63"/>
      <c r="AV107" s="131"/>
      <c r="AW107" s="131"/>
      <c r="AX107" s="131"/>
      <c r="AY107" s="27" t="s">
        <v>662</v>
      </c>
      <c r="AZ107" s="27"/>
      <c r="BA107" s="27"/>
      <c r="BB107" s="30"/>
      <c r="BC107" s="30"/>
      <c r="BD107" s="30"/>
      <c r="BE107" s="30"/>
      <c r="BF107" s="30"/>
      <c r="BG107" s="30"/>
      <c r="BH107" s="107"/>
      <c r="BI107" s="107"/>
      <c r="BJ107" s="107"/>
      <c r="BK107" s="107"/>
      <c r="BL107" s="136"/>
      <c r="BM107" s="122"/>
      <c r="BN107" s="138">
        <v>0</v>
      </c>
      <c r="BO107" s="93"/>
      <c r="BP107" s="93"/>
      <c r="BQ107" s="93"/>
      <c r="BR107" s="93"/>
      <c r="BS107" s="93"/>
      <c r="BT107" s="93"/>
      <c r="BU107" s="27">
        <f t="shared" si="95"/>
        <v>0</v>
      </c>
      <c r="BV107" s="27"/>
      <c r="BW107" s="27"/>
      <c r="BX107" s="27"/>
      <c r="BY107" s="27"/>
      <c r="BZ107" s="27"/>
      <c r="CA107" s="27"/>
      <c r="CB107" s="97"/>
      <c r="CC107" s="97"/>
      <c r="CD107" s="97">
        <v>1.4</v>
      </c>
      <c r="CE107" s="97">
        <f t="shared" si="94"/>
        <v>2.665</v>
      </c>
      <c r="CF107" s="97">
        <f t="shared" si="94"/>
        <v>2.665</v>
      </c>
      <c r="CG107" s="97">
        <f t="shared" si="94"/>
        <v>2.665</v>
      </c>
      <c r="CH107" s="97">
        <f t="shared" si="94"/>
        <v>2.665</v>
      </c>
      <c r="CI107" s="173"/>
      <c r="CJ107" s="173"/>
      <c r="CK107" s="173"/>
      <c r="CL107" s="173"/>
      <c r="CM107" s="173"/>
      <c r="CN107" s="173"/>
      <c r="CO107" s="173"/>
      <c r="CP107" s="174"/>
      <c r="CQ107" s="174"/>
      <c r="CR107" s="174"/>
      <c r="CS107" s="174"/>
      <c r="CT107" s="174"/>
      <c r="CU107" s="174"/>
      <c r="CV107" s="174"/>
      <c r="CW107" s="165"/>
      <c r="CX107" s="166"/>
      <c r="CY107" s="166"/>
      <c r="CZ107" s="166"/>
      <c r="DA107" s="166"/>
      <c r="DB107" s="166"/>
      <c r="DC107" s="166"/>
      <c r="DD107" s="171"/>
      <c r="DE107" s="171"/>
      <c r="DF107" s="171"/>
      <c r="DG107" s="171"/>
      <c r="DH107" s="171"/>
      <c r="DI107" s="171"/>
      <c r="DJ107" s="171"/>
      <c r="DK107" s="79" t="s">
        <v>926</v>
      </c>
      <c r="DL107" s="128">
        <f>VLOOKUP($F107,Activities!$A$9:$I$180,3,FALSE)/$AI107</f>
        <v>2.665</v>
      </c>
      <c r="DM107" s="128">
        <f>VLOOKUP($F107,Activities!$A$9:$I$180,4,FALSE)/$AI107</f>
        <v>2.665</v>
      </c>
      <c r="DN107" s="128">
        <f>VLOOKUP($F107,Activities!$A$9:$I$180,5,FALSE)/$AI107</f>
        <v>2.665</v>
      </c>
      <c r="DO107" s="128">
        <f>VLOOKUP($F107,Activities!$A$9:$I$180,6,FALSE)/$AI107</f>
        <v>2.665</v>
      </c>
      <c r="DP107" s="128">
        <f>VLOOKUP($F107,Activities!$A$9:$I$180,7,FALSE)/$AI107</f>
        <v>2.665</v>
      </c>
      <c r="DQ107" s="128">
        <f>VLOOKUP($F107,Activities!$A$9:$I$180,8,FALSE)/$AI107</f>
        <v>2.665</v>
      </c>
      <c r="DR107" s="128">
        <f>VLOOKUP($F107,Activities!$A$9:$I$180,9,FALSE)/$AI107</f>
        <v>2.665</v>
      </c>
      <c r="DS107" s="218"/>
      <c r="DT107" s="360"/>
      <c r="DU107" s="360"/>
      <c r="DV107" s="360"/>
      <c r="DW107" s="360"/>
      <c r="DX107" s="360"/>
      <c r="DY107" s="360"/>
      <c r="DZ107" s="360"/>
      <c r="EA107" s="360"/>
      <c r="EB107" s="360"/>
      <c r="EC107" s="360"/>
      <c r="ED107" s="360"/>
      <c r="EE107" s="360"/>
      <c r="EF107" s="360"/>
      <c r="EG107" s="360"/>
      <c r="EH107" s="360"/>
      <c r="EI107" s="360"/>
      <c r="EJ107" s="360"/>
      <c r="EK107" s="360"/>
      <c r="EL107" s="360"/>
      <c r="EM107" s="360"/>
      <c r="EN107" s="360"/>
      <c r="EO107" s="360"/>
      <c r="EP107" s="360"/>
      <c r="EQ107" s="360"/>
    </row>
    <row r="108" spans="1:147" x14ac:dyDescent="0.35">
      <c r="A108" s="6" t="s">
        <v>929</v>
      </c>
      <c r="B108" s="6" t="s">
        <v>740</v>
      </c>
      <c r="C108" s="6" t="s">
        <v>655</v>
      </c>
      <c r="D108" s="6" t="s">
        <v>741</v>
      </c>
      <c r="E108" s="6" t="s">
        <v>915</v>
      </c>
      <c r="F108" s="6" t="s">
        <v>371</v>
      </c>
      <c r="G108" s="48" t="s">
        <v>930</v>
      </c>
      <c r="H108" s="48" t="s">
        <v>931</v>
      </c>
      <c r="I108" s="102">
        <v>1250</v>
      </c>
      <c r="J108" s="102">
        <v>1250</v>
      </c>
      <c r="K108" s="102">
        <v>1250</v>
      </c>
      <c r="L108" s="102">
        <v>1250</v>
      </c>
      <c r="M108" s="102">
        <v>1250</v>
      </c>
      <c r="N108" s="102">
        <v>1250</v>
      </c>
      <c r="O108" s="102">
        <v>1250</v>
      </c>
      <c r="P108" s="94">
        <v>0</v>
      </c>
      <c r="Q108" s="102">
        <f>I108*0.05</f>
        <v>62.5</v>
      </c>
      <c r="R108" s="102">
        <f t="shared" ref="R108:W109" si="97">J108*0.05</f>
        <v>62.5</v>
      </c>
      <c r="S108" s="102">
        <f t="shared" si="97"/>
        <v>62.5</v>
      </c>
      <c r="T108" s="102">
        <f t="shared" si="97"/>
        <v>62.5</v>
      </c>
      <c r="U108" s="102">
        <f t="shared" si="97"/>
        <v>62.5</v>
      </c>
      <c r="V108" s="102">
        <f t="shared" si="97"/>
        <v>62.5</v>
      </c>
      <c r="W108" s="102">
        <f t="shared" si="97"/>
        <v>62.5</v>
      </c>
      <c r="X108" s="102">
        <v>0</v>
      </c>
      <c r="Y108" s="102">
        <v>0</v>
      </c>
      <c r="Z108" s="102">
        <v>0</v>
      </c>
      <c r="AA108" s="102">
        <v>0</v>
      </c>
      <c r="AB108" s="102">
        <v>0</v>
      </c>
      <c r="AC108" s="102">
        <v>0</v>
      </c>
      <c r="AD108" s="102">
        <v>0</v>
      </c>
      <c r="AE108" s="186">
        <v>0.08</v>
      </c>
      <c r="AF108" s="94">
        <v>0</v>
      </c>
      <c r="AG108" s="94">
        <v>20</v>
      </c>
      <c r="AH108" s="94">
        <v>20</v>
      </c>
      <c r="AI108" s="17">
        <v>1</v>
      </c>
      <c r="AJ108" s="17" t="s">
        <v>660</v>
      </c>
      <c r="AK108" s="17" t="s">
        <v>745</v>
      </c>
      <c r="AL108" s="17"/>
      <c r="AM108" s="61"/>
      <c r="AN108" s="61"/>
      <c r="AO108" s="61"/>
      <c r="AP108" s="61"/>
      <c r="AQ108" s="61"/>
      <c r="AR108" s="61"/>
      <c r="AS108" s="64"/>
      <c r="AT108" s="64"/>
      <c r="AU108" s="64"/>
      <c r="AV108" s="132"/>
      <c r="AW108" s="132"/>
      <c r="AX108" s="132"/>
      <c r="AY108" s="28" t="s">
        <v>666</v>
      </c>
      <c r="AZ108" s="28" t="s">
        <v>455</v>
      </c>
      <c r="BA108" s="28">
        <v>1</v>
      </c>
      <c r="BB108" s="28"/>
      <c r="BC108" s="28" t="s">
        <v>932</v>
      </c>
      <c r="BD108" s="28">
        <v>0.05</v>
      </c>
      <c r="BE108" s="28">
        <v>0.2</v>
      </c>
      <c r="BF108" s="28"/>
      <c r="BG108" s="28"/>
      <c r="BH108" s="106"/>
      <c r="BI108" s="106"/>
      <c r="BJ108" s="106"/>
      <c r="BK108" s="106"/>
      <c r="BL108" s="137"/>
      <c r="BM108" s="123"/>
      <c r="BN108" s="139">
        <f>DL108</f>
        <v>1.0149999999999999</v>
      </c>
      <c r="BO108" s="94"/>
      <c r="BP108" s="94"/>
      <c r="BQ108" s="94"/>
      <c r="BR108" s="94">
        <f>BN108</f>
        <v>1.0149999999999999</v>
      </c>
      <c r="BS108" s="94"/>
      <c r="BT108" s="94"/>
      <c r="BU108" s="28">
        <f t="shared" si="95"/>
        <v>0</v>
      </c>
      <c r="BV108" s="28"/>
      <c r="BW108" s="28"/>
      <c r="BX108" s="28"/>
      <c r="BY108" s="28"/>
      <c r="BZ108" s="28"/>
      <c r="CA108" s="28"/>
      <c r="CB108" s="99">
        <f t="shared" ref="CB108:CD108" si="98">DL108</f>
        <v>1.0149999999999999</v>
      </c>
      <c r="CC108" s="99">
        <f t="shared" si="98"/>
        <v>1.0149999999999999</v>
      </c>
      <c r="CD108" s="99">
        <f t="shared" si="98"/>
        <v>1.0149999999999999</v>
      </c>
      <c r="CE108" s="99">
        <f t="shared" si="94"/>
        <v>1.0149999999999999</v>
      </c>
      <c r="CF108" s="99">
        <f t="shared" si="94"/>
        <v>1.0149999999999999</v>
      </c>
      <c r="CG108" s="99">
        <f t="shared" si="94"/>
        <v>1.0149999999999999</v>
      </c>
      <c r="CH108" s="99">
        <f t="shared" si="94"/>
        <v>1.0149999999999999</v>
      </c>
      <c r="CI108" s="175"/>
      <c r="CJ108" s="175"/>
      <c r="CK108" s="175"/>
      <c r="CL108" s="175"/>
      <c r="CM108" s="175"/>
      <c r="CN108" s="175"/>
      <c r="CO108" s="175"/>
      <c r="CP108" s="176"/>
      <c r="CQ108" s="176"/>
      <c r="CR108" s="176"/>
      <c r="CS108" s="176"/>
      <c r="CT108" s="176"/>
      <c r="CU108" s="176"/>
      <c r="CV108" s="176"/>
      <c r="CW108" s="167"/>
      <c r="CX108" s="168"/>
      <c r="CY108" s="168"/>
      <c r="CZ108" s="168"/>
      <c r="DA108" s="168"/>
      <c r="DB108" s="168"/>
      <c r="DC108" s="168"/>
      <c r="DD108" s="172"/>
      <c r="DE108" s="172"/>
      <c r="DF108" s="172"/>
      <c r="DG108" s="172"/>
      <c r="DH108" s="172"/>
      <c r="DI108" s="172"/>
      <c r="DJ108" s="172"/>
      <c r="DK108" s="80" t="s">
        <v>933</v>
      </c>
      <c r="DL108" s="129">
        <f>VLOOKUP($F108,Activities!$A$9:$I$268,3,FALSE)/$AI108</f>
        <v>1.0149999999999999</v>
      </c>
      <c r="DM108" s="129">
        <f>VLOOKUP($F108,Activities!$A$9:$I$268,4,FALSE)/$AI108</f>
        <v>1.0149999999999999</v>
      </c>
      <c r="DN108" s="129">
        <f>VLOOKUP($F108,Activities!$A$9:$I$268,5,FALSE)/$AI108</f>
        <v>1.0149999999999999</v>
      </c>
      <c r="DO108" s="129">
        <f>VLOOKUP($F108,Activities!$A$9:$I$268,6,FALSE)/$AI108</f>
        <v>1.0149999999999999</v>
      </c>
      <c r="DP108" s="129">
        <f>VLOOKUP($F108,Activities!$A$9:$I$268,7,FALSE)/$AI108</f>
        <v>1.0149999999999999</v>
      </c>
      <c r="DQ108" s="129">
        <f>VLOOKUP($F108,Activities!$A$9:$I$268,8,FALSE)/$AI108</f>
        <v>1.0149999999999999</v>
      </c>
      <c r="DR108" s="129">
        <f>VLOOKUP($F108,Activities!$A$9:$I$268,9,FALSE)/$AI108</f>
        <v>1.0149999999999999</v>
      </c>
      <c r="DS108" s="218"/>
      <c r="DT108" s="360"/>
      <c r="DU108" s="360"/>
      <c r="DV108" s="360"/>
      <c r="DW108" s="360"/>
      <c r="DX108" s="360"/>
      <c r="DY108" s="360"/>
      <c r="DZ108" s="360"/>
      <c r="EA108" s="360"/>
      <c r="EB108" s="360"/>
      <c r="EC108" s="360"/>
      <c r="ED108" s="360"/>
      <c r="EE108" s="360"/>
      <c r="EF108" s="360"/>
      <c r="EG108" s="360"/>
      <c r="EH108" s="360"/>
      <c r="EI108" s="360"/>
      <c r="EJ108" s="360"/>
      <c r="EK108" s="360"/>
      <c r="EL108" s="360"/>
      <c r="EM108" s="360"/>
      <c r="EN108" s="360"/>
      <c r="EO108" s="360"/>
      <c r="EP108" s="360"/>
      <c r="EQ108" s="360"/>
    </row>
    <row r="109" spans="1:147" x14ac:dyDescent="0.35">
      <c r="A109" s="5" t="s">
        <v>934</v>
      </c>
      <c r="B109" s="5" t="s">
        <v>740</v>
      </c>
      <c r="C109" s="5" t="s">
        <v>655</v>
      </c>
      <c r="D109" s="5" t="s">
        <v>741</v>
      </c>
      <c r="E109" s="5" t="s">
        <v>915</v>
      </c>
      <c r="F109" s="5" t="s">
        <v>371</v>
      </c>
      <c r="G109" s="47" t="s">
        <v>935</v>
      </c>
      <c r="H109" s="47" t="s">
        <v>931</v>
      </c>
      <c r="I109" s="101">
        <v>1380</v>
      </c>
      <c r="J109" s="101">
        <v>1380</v>
      </c>
      <c r="K109" s="101">
        <v>1380</v>
      </c>
      <c r="L109" s="101">
        <v>1380</v>
      </c>
      <c r="M109" s="101">
        <v>1380</v>
      </c>
      <c r="N109" s="101">
        <v>1380</v>
      </c>
      <c r="O109" s="101">
        <v>1380</v>
      </c>
      <c r="P109" s="93">
        <v>0</v>
      </c>
      <c r="Q109" s="101">
        <f>I109*0.05</f>
        <v>69</v>
      </c>
      <c r="R109" s="101">
        <f t="shared" si="97"/>
        <v>69</v>
      </c>
      <c r="S109" s="101">
        <f t="shared" si="97"/>
        <v>69</v>
      </c>
      <c r="T109" s="101">
        <f t="shared" si="97"/>
        <v>69</v>
      </c>
      <c r="U109" s="101">
        <f t="shared" si="97"/>
        <v>69</v>
      </c>
      <c r="V109" s="101">
        <f t="shared" si="97"/>
        <v>69</v>
      </c>
      <c r="W109" s="101">
        <f t="shared" si="97"/>
        <v>69</v>
      </c>
      <c r="X109" s="101">
        <v>0</v>
      </c>
      <c r="Y109" s="101">
        <v>0</v>
      </c>
      <c r="Z109" s="101">
        <v>0</v>
      </c>
      <c r="AA109" s="101">
        <v>0</v>
      </c>
      <c r="AB109" s="101">
        <v>0</v>
      </c>
      <c r="AC109" s="101">
        <v>0</v>
      </c>
      <c r="AD109" s="101">
        <v>0</v>
      </c>
      <c r="AE109" s="186">
        <v>0.08</v>
      </c>
      <c r="AF109" s="93">
        <v>0</v>
      </c>
      <c r="AG109" s="93">
        <v>20</v>
      </c>
      <c r="AH109" s="93">
        <v>20</v>
      </c>
      <c r="AI109" s="16">
        <v>1</v>
      </c>
      <c r="AJ109" s="16" t="s">
        <v>660</v>
      </c>
      <c r="AK109" s="16" t="s">
        <v>745</v>
      </c>
      <c r="AL109" s="16"/>
      <c r="AM109" s="60"/>
      <c r="AN109" s="60"/>
      <c r="AO109" s="60"/>
      <c r="AP109" s="60"/>
      <c r="AQ109" s="60"/>
      <c r="AR109" s="60"/>
      <c r="AS109" s="63"/>
      <c r="AT109" s="63"/>
      <c r="AU109" s="63"/>
      <c r="AV109" s="131"/>
      <c r="AW109" s="131"/>
      <c r="AX109" s="131"/>
      <c r="AY109" s="27" t="s">
        <v>666</v>
      </c>
      <c r="AZ109" s="27" t="s">
        <v>455</v>
      </c>
      <c r="BA109" s="27">
        <v>1</v>
      </c>
      <c r="BB109" s="30"/>
      <c r="BC109" s="30" t="s">
        <v>932</v>
      </c>
      <c r="BD109" s="30">
        <v>0.05</v>
      </c>
      <c r="BE109" s="30">
        <v>0.2</v>
      </c>
      <c r="BF109" s="30"/>
      <c r="BG109" s="30"/>
      <c r="BH109" s="107"/>
      <c r="BI109" s="107"/>
      <c r="BJ109" s="107"/>
      <c r="BK109" s="107"/>
      <c r="BL109" s="136"/>
      <c r="BM109" s="122"/>
      <c r="BN109" s="138">
        <v>0</v>
      </c>
      <c r="BO109" s="93"/>
      <c r="BP109" s="93"/>
      <c r="BQ109" s="93"/>
      <c r="BR109" s="93"/>
      <c r="BS109" s="93"/>
      <c r="BT109" s="93"/>
      <c r="BU109" s="27">
        <f t="shared" si="95"/>
        <v>0</v>
      </c>
      <c r="BV109" s="27"/>
      <c r="BW109" s="27"/>
      <c r="BX109" s="27"/>
      <c r="BY109" s="27"/>
      <c r="BZ109" s="27"/>
      <c r="CA109" s="27"/>
      <c r="CB109" s="97"/>
      <c r="CC109" s="97"/>
      <c r="CD109" s="97">
        <f>CD108/3</f>
        <v>0.33833333333333332</v>
      </c>
      <c r="CE109" s="97">
        <f t="shared" ref="CE109:CH109" si="99">CE108/3</f>
        <v>0.33833333333333332</v>
      </c>
      <c r="CF109" s="97">
        <f t="shared" si="99"/>
        <v>0.33833333333333332</v>
      </c>
      <c r="CG109" s="97">
        <f t="shared" si="99"/>
        <v>0.33833333333333332</v>
      </c>
      <c r="CH109" s="97">
        <f t="shared" si="99"/>
        <v>0.33833333333333332</v>
      </c>
      <c r="CI109" s="173"/>
      <c r="CJ109" s="173"/>
      <c r="CK109" s="173"/>
      <c r="CL109" s="173"/>
      <c r="CM109" s="173"/>
      <c r="CN109" s="173"/>
      <c r="CO109" s="173"/>
      <c r="CP109" s="174"/>
      <c r="CQ109" s="174"/>
      <c r="CR109" s="174"/>
      <c r="CS109" s="174"/>
      <c r="CT109" s="174"/>
      <c r="CU109" s="174"/>
      <c r="CV109" s="174"/>
      <c r="CW109" s="165"/>
      <c r="CX109" s="166"/>
      <c r="CY109" s="166"/>
      <c r="CZ109" s="166"/>
      <c r="DA109" s="166"/>
      <c r="DB109" s="166"/>
      <c r="DC109" s="166"/>
      <c r="DD109" s="171"/>
      <c r="DE109" s="171"/>
      <c r="DF109" s="171"/>
      <c r="DG109" s="171"/>
      <c r="DH109" s="171"/>
      <c r="DI109" s="171"/>
      <c r="DJ109" s="171"/>
      <c r="DK109" s="79" t="s">
        <v>936</v>
      </c>
      <c r="DL109" s="128">
        <f>VLOOKUP($F109,Activities!$A$9:$I$268,3,FALSE)/$AI109</f>
        <v>1.0149999999999999</v>
      </c>
      <c r="DM109" s="128">
        <f>VLOOKUP($F109,Activities!$A$9:$I$268,4,FALSE)/$AI109</f>
        <v>1.0149999999999999</v>
      </c>
      <c r="DN109" s="128">
        <f>VLOOKUP($F109,Activities!$A$9:$I$268,5,FALSE)/$AI109</f>
        <v>1.0149999999999999</v>
      </c>
      <c r="DO109" s="128">
        <f>VLOOKUP($F109,Activities!$A$9:$I$268,6,FALSE)/$AI109</f>
        <v>1.0149999999999999</v>
      </c>
      <c r="DP109" s="128">
        <f>VLOOKUP($F109,Activities!$A$9:$I$268,7,FALSE)/$AI109</f>
        <v>1.0149999999999999</v>
      </c>
      <c r="DQ109" s="128">
        <f>VLOOKUP($F109,Activities!$A$9:$I$268,8,FALSE)/$AI109</f>
        <v>1.0149999999999999</v>
      </c>
      <c r="DR109" s="128">
        <f>VLOOKUP($F109,Activities!$A$9:$I$268,9,FALSE)/$AI109</f>
        <v>1.0149999999999999</v>
      </c>
      <c r="DS109" s="218"/>
      <c r="DT109" s="360"/>
      <c r="DU109" s="360"/>
      <c r="DV109" s="360"/>
      <c r="DW109" s="360"/>
      <c r="DX109" s="360"/>
      <c r="DY109" s="360"/>
      <c r="DZ109" s="360"/>
      <c r="EA109" s="360"/>
      <c r="EB109" s="360"/>
      <c r="EC109" s="360"/>
      <c r="ED109" s="360"/>
      <c r="EE109" s="360"/>
      <c r="EF109" s="360"/>
      <c r="EG109" s="360"/>
      <c r="EH109" s="360"/>
      <c r="EI109" s="360"/>
      <c r="EJ109" s="360"/>
      <c r="EK109" s="360"/>
      <c r="EL109" s="360"/>
      <c r="EM109" s="360"/>
      <c r="EN109" s="360"/>
      <c r="EO109" s="360"/>
      <c r="EP109" s="360"/>
      <c r="EQ109" s="360"/>
    </row>
    <row r="110" spans="1:147" x14ac:dyDescent="0.35">
      <c r="A110" s="6" t="s">
        <v>937</v>
      </c>
      <c r="B110" s="6" t="s">
        <v>740</v>
      </c>
      <c r="C110" s="6" t="s">
        <v>655</v>
      </c>
      <c r="D110" s="6" t="s">
        <v>741</v>
      </c>
      <c r="E110" s="6" t="s">
        <v>915</v>
      </c>
      <c r="F110" s="6" t="s">
        <v>371</v>
      </c>
      <c r="G110" s="48" t="s">
        <v>938</v>
      </c>
      <c r="H110" s="48" t="s">
        <v>931</v>
      </c>
      <c r="I110" s="102">
        <v>510</v>
      </c>
      <c r="J110" s="102">
        <v>510</v>
      </c>
      <c r="K110" s="102">
        <v>510</v>
      </c>
      <c r="L110" s="102">
        <v>510</v>
      </c>
      <c r="M110" s="102">
        <v>510</v>
      </c>
      <c r="N110" s="102">
        <v>510</v>
      </c>
      <c r="O110" s="102">
        <v>510</v>
      </c>
      <c r="P110" s="94">
        <v>0</v>
      </c>
      <c r="Q110" s="102">
        <f>I110*(Q108/I108)</f>
        <v>25.5</v>
      </c>
      <c r="R110" s="102">
        <f t="shared" ref="R110:W110" si="100">J110*0.0625</f>
        <v>31.875</v>
      </c>
      <c r="S110" s="102">
        <f t="shared" si="100"/>
        <v>31.875</v>
      </c>
      <c r="T110" s="102">
        <f t="shared" si="100"/>
        <v>31.875</v>
      </c>
      <c r="U110" s="102">
        <f t="shared" si="100"/>
        <v>31.875</v>
      </c>
      <c r="V110" s="102">
        <f t="shared" si="100"/>
        <v>31.875</v>
      </c>
      <c r="W110" s="102">
        <f t="shared" si="100"/>
        <v>31.875</v>
      </c>
      <c r="X110" s="102">
        <v>0</v>
      </c>
      <c r="Y110" s="102">
        <v>0</v>
      </c>
      <c r="Z110" s="102">
        <v>0</v>
      </c>
      <c r="AA110" s="102">
        <v>0</v>
      </c>
      <c r="AB110" s="102">
        <v>0</v>
      </c>
      <c r="AC110" s="102">
        <v>0</v>
      </c>
      <c r="AD110" s="102">
        <v>0</v>
      </c>
      <c r="AE110" s="186">
        <v>0.08</v>
      </c>
      <c r="AF110" s="94">
        <v>0</v>
      </c>
      <c r="AG110" s="94">
        <v>20</v>
      </c>
      <c r="AH110" s="94">
        <v>20</v>
      </c>
      <c r="AI110" s="17">
        <v>1</v>
      </c>
      <c r="AJ110" s="17" t="s">
        <v>660</v>
      </c>
      <c r="AK110" s="17" t="s">
        <v>745</v>
      </c>
      <c r="AL110" s="17"/>
      <c r="AM110" s="61"/>
      <c r="AN110" s="61"/>
      <c r="AO110" s="61"/>
      <c r="AP110" s="61"/>
      <c r="AQ110" s="61"/>
      <c r="AR110" s="61"/>
      <c r="AS110" s="64"/>
      <c r="AT110" s="64"/>
      <c r="AU110" s="64"/>
      <c r="AV110" s="132"/>
      <c r="AW110" s="132"/>
      <c r="AX110" s="132"/>
      <c r="AY110" s="28" t="s">
        <v>666</v>
      </c>
      <c r="AZ110" s="28" t="s">
        <v>455</v>
      </c>
      <c r="BA110" s="28">
        <v>1</v>
      </c>
      <c r="BB110" s="28"/>
      <c r="BC110" s="28" t="s">
        <v>932</v>
      </c>
      <c r="BD110" s="28">
        <v>0.05</v>
      </c>
      <c r="BE110" s="28">
        <v>0.2</v>
      </c>
      <c r="BF110" s="28"/>
      <c r="BG110" s="28"/>
      <c r="BH110" s="106"/>
      <c r="BI110" s="106"/>
      <c r="BJ110" s="106"/>
      <c r="BK110" s="106"/>
      <c r="BL110" s="137"/>
      <c r="BM110" s="123"/>
      <c r="BN110" s="139">
        <v>0</v>
      </c>
      <c r="BO110" s="94"/>
      <c r="BP110" s="94"/>
      <c r="BQ110" s="94"/>
      <c r="BR110" s="94"/>
      <c r="BS110" s="94"/>
      <c r="BT110" s="94"/>
      <c r="BU110" s="28">
        <f t="shared" si="95"/>
        <v>0</v>
      </c>
      <c r="BV110" s="28"/>
      <c r="BW110" s="28"/>
      <c r="BX110" s="28"/>
      <c r="BY110" s="28"/>
      <c r="BZ110" s="28"/>
      <c r="CA110" s="28"/>
      <c r="CB110" s="99"/>
      <c r="CC110" s="99"/>
      <c r="CD110" s="99">
        <f t="shared" ref="CD110:CH113" si="101">DN110</f>
        <v>1.0149999999999999</v>
      </c>
      <c r="CE110" s="99">
        <f t="shared" si="101"/>
        <v>1.0149999999999999</v>
      </c>
      <c r="CF110" s="99">
        <f t="shared" si="101"/>
        <v>1.0149999999999999</v>
      </c>
      <c r="CG110" s="99">
        <f t="shared" si="101"/>
        <v>1.0149999999999999</v>
      </c>
      <c r="CH110" s="99">
        <f t="shared" si="101"/>
        <v>1.0149999999999999</v>
      </c>
      <c r="CI110" s="175"/>
      <c r="CJ110" s="175"/>
      <c r="CK110" s="175"/>
      <c r="CL110" s="175"/>
      <c r="CM110" s="175"/>
      <c r="CN110" s="175"/>
      <c r="CO110" s="175"/>
      <c r="CP110" s="176"/>
      <c r="CQ110" s="176"/>
      <c r="CR110" s="176"/>
      <c r="CS110" s="176"/>
      <c r="CT110" s="176"/>
      <c r="CU110" s="176"/>
      <c r="CV110" s="176"/>
      <c r="CW110" s="167"/>
      <c r="CX110" s="168"/>
      <c r="CY110" s="168"/>
      <c r="CZ110" s="168"/>
      <c r="DA110" s="168"/>
      <c r="DB110" s="168"/>
      <c r="DC110" s="168"/>
      <c r="DD110" s="172"/>
      <c r="DE110" s="172"/>
      <c r="DF110" s="172"/>
      <c r="DG110" s="172"/>
      <c r="DH110" s="172"/>
      <c r="DI110" s="172"/>
      <c r="DJ110" s="172"/>
      <c r="DK110" s="80" t="s">
        <v>936</v>
      </c>
      <c r="DL110" s="129">
        <f>VLOOKUP($F110,Activities!$A$9:$I$268,3,FALSE)/$AI110</f>
        <v>1.0149999999999999</v>
      </c>
      <c r="DM110" s="129">
        <f>VLOOKUP($F110,Activities!$A$9:$I$268,4,FALSE)/$AI110</f>
        <v>1.0149999999999999</v>
      </c>
      <c r="DN110" s="129">
        <f>VLOOKUP($F110,Activities!$A$9:$I$268,5,FALSE)/$AI110</f>
        <v>1.0149999999999999</v>
      </c>
      <c r="DO110" s="129">
        <f>VLOOKUP($F110,Activities!$A$9:$I$268,6,FALSE)/$AI110</f>
        <v>1.0149999999999999</v>
      </c>
      <c r="DP110" s="129">
        <f>VLOOKUP($F110,Activities!$A$9:$I$268,7,FALSE)/$AI110</f>
        <v>1.0149999999999999</v>
      </c>
      <c r="DQ110" s="129">
        <f>VLOOKUP($F110,Activities!$A$9:$I$268,8,FALSE)/$AI110</f>
        <v>1.0149999999999999</v>
      </c>
      <c r="DR110" s="129">
        <f>VLOOKUP($F110,Activities!$A$9:$I$268,9,FALSE)/$AI110</f>
        <v>1.0149999999999999</v>
      </c>
      <c r="DS110" s="218"/>
      <c r="DT110" s="360"/>
      <c r="DU110" s="360"/>
      <c r="DV110" s="360"/>
      <c r="DW110" s="360"/>
      <c r="DX110" s="360"/>
      <c r="DY110" s="360"/>
      <c r="DZ110" s="360"/>
      <c r="EA110" s="360"/>
      <c r="EB110" s="360"/>
      <c r="EC110" s="360"/>
      <c r="ED110" s="360"/>
      <c r="EE110" s="360"/>
      <c r="EF110" s="360"/>
      <c r="EG110" s="360"/>
      <c r="EH110" s="360"/>
      <c r="EI110" s="360"/>
      <c r="EJ110" s="360"/>
      <c r="EK110" s="360"/>
      <c r="EL110" s="360"/>
      <c r="EM110" s="360"/>
      <c r="EN110" s="360"/>
      <c r="EO110" s="360"/>
      <c r="EP110" s="360"/>
      <c r="EQ110" s="360"/>
    </row>
    <row r="111" spans="1:147" x14ac:dyDescent="0.35">
      <c r="A111" s="5" t="s">
        <v>939</v>
      </c>
      <c r="B111" s="5" t="s">
        <v>740</v>
      </c>
      <c r="C111" s="5" t="s">
        <v>655</v>
      </c>
      <c r="D111" s="5" t="s">
        <v>741</v>
      </c>
      <c r="E111" s="5" t="s">
        <v>915</v>
      </c>
      <c r="F111" s="5" t="s">
        <v>373</v>
      </c>
      <c r="G111" s="47" t="s">
        <v>940</v>
      </c>
      <c r="H111" s="47" t="s">
        <v>941</v>
      </c>
      <c r="I111" s="101">
        <f>I108+45</f>
        <v>1295</v>
      </c>
      <c r="J111" s="101">
        <f t="shared" ref="J111:O111" si="102">J108+45</f>
        <v>1295</v>
      </c>
      <c r="K111" s="101">
        <f t="shared" si="102"/>
        <v>1295</v>
      </c>
      <c r="L111" s="101">
        <f t="shared" si="102"/>
        <v>1295</v>
      </c>
      <c r="M111" s="101">
        <f t="shared" si="102"/>
        <v>1295</v>
      </c>
      <c r="N111" s="101">
        <f t="shared" si="102"/>
        <v>1295</v>
      </c>
      <c r="O111" s="101">
        <f t="shared" si="102"/>
        <v>1295</v>
      </c>
      <c r="P111" s="93">
        <v>0</v>
      </c>
      <c r="Q111" s="101">
        <f>I111*(Q108/I108)</f>
        <v>64.75</v>
      </c>
      <c r="R111" s="101">
        <f t="shared" ref="R111:W111" si="103">J111*(R108/J108)</f>
        <v>64.75</v>
      </c>
      <c r="S111" s="101">
        <f t="shared" si="103"/>
        <v>64.75</v>
      </c>
      <c r="T111" s="101">
        <f t="shared" si="103"/>
        <v>64.75</v>
      </c>
      <c r="U111" s="101">
        <f t="shared" si="103"/>
        <v>64.75</v>
      </c>
      <c r="V111" s="101">
        <f t="shared" si="103"/>
        <v>64.75</v>
      </c>
      <c r="W111" s="101">
        <f t="shared" si="103"/>
        <v>64.75</v>
      </c>
      <c r="X111" s="101">
        <v>0</v>
      </c>
      <c r="Y111" s="101">
        <v>0</v>
      </c>
      <c r="Z111" s="101">
        <v>0</v>
      </c>
      <c r="AA111" s="101">
        <v>0</v>
      </c>
      <c r="AB111" s="101">
        <v>0</v>
      </c>
      <c r="AC111" s="101">
        <v>0</v>
      </c>
      <c r="AD111" s="101">
        <v>0</v>
      </c>
      <c r="AE111" s="186">
        <v>0.08</v>
      </c>
      <c r="AF111" s="93">
        <v>0</v>
      </c>
      <c r="AG111" s="93">
        <v>20</v>
      </c>
      <c r="AH111" s="93">
        <v>20</v>
      </c>
      <c r="AI111" s="16">
        <v>1</v>
      </c>
      <c r="AJ111" s="16" t="s">
        <v>660</v>
      </c>
      <c r="AK111" s="16" t="s">
        <v>745</v>
      </c>
      <c r="AL111" s="16"/>
      <c r="AM111" s="60"/>
      <c r="AN111" s="60"/>
      <c r="AO111" s="60"/>
      <c r="AP111" s="60"/>
      <c r="AQ111" s="60"/>
      <c r="AR111" s="60"/>
      <c r="AS111" s="63"/>
      <c r="AT111" s="63"/>
      <c r="AU111" s="63"/>
      <c r="AV111" s="131"/>
      <c r="AW111" s="131"/>
      <c r="AX111" s="131"/>
      <c r="AY111" s="27" t="s">
        <v>666</v>
      </c>
      <c r="AZ111" s="27" t="s">
        <v>455</v>
      </c>
      <c r="BA111" s="27">
        <v>1</v>
      </c>
      <c r="BB111" s="30"/>
      <c r="BC111" s="30" t="s">
        <v>932</v>
      </c>
      <c r="BD111" s="30">
        <v>0.05</v>
      </c>
      <c r="BE111" s="30">
        <v>0.2</v>
      </c>
      <c r="BF111" s="30"/>
      <c r="BG111" s="30"/>
      <c r="BH111" s="107"/>
      <c r="BI111" s="107"/>
      <c r="BJ111" s="107"/>
      <c r="BK111" s="107"/>
      <c r="BL111" s="136"/>
      <c r="BM111" s="122"/>
      <c r="BN111" s="139">
        <v>0</v>
      </c>
      <c r="BO111" s="93"/>
      <c r="BP111" s="93"/>
      <c r="BQ111" s="93"/>
      <c r="BR111" s="93"/>
      <c r="BS111" s="93"/>
      <c r="BT111" s="93"/>
      <c r="BU111" s="27"/>
      <c r="BV111" s="27"/>
      <c r="BW111" s="27"/>
      <c r="BX111" s="27"/>
      <c r="BY111" s="27"/>
      <c r="BZ111" s="27"/>
      <c r="CA111" s="27"/>
      <c r="CB111" s="97"/>
      <c r="CC111" s="97"/>
      <c r="CD111" s="97">
        <f t="shared" si="101"/>
        <v>1.855</v>
      </c>
      <c r="CE111" s="97">
        <f t="shared" si="101"/>
        <v>1.855</v>
      </c>
      <c r="CF111" s="97">
        <f t="shared" si="101"/>
        <v>1.855</v>
      </c>
      <c r="CG111" s="97">
        <f t="shared" si="101"/>
        <v>1.855</v>
      </c>
      <c r="CH111" s="97">
        <f t="shared" si="101"/>
        <v>1.855</v>
      </c>
      <c r="CI111" s="173"/>
      <c r="CJ111" s="173"/>
      <c r="CK111" s="173"/>
      <c r="CL111" s="173"/>
      <c r="CM111" s="173"/>
      <c r="CN111" s="173"/>
      <c r="CO111" s="173"/>
      <c r="CP111" s="174"/>
      <c r="CQ111" s="174"/>
      <c r="CR111" s="174"/>
      <c r="CS111" s="174"/>
      <c r="CT111" s="174"/>
      <c r="CU111" s="174"/>
      <c r="CV111" s="174"/>
      <c r="CW111" s="165"/>
      <c r="CX111" s="166"/>
      <c r="CY111" s="166"/>
      <c r="CZ111" s="166"/>
      <c r="DA111" s="166"/>
      <c r="DB111" s="166"/>
      <c r="DC111" s="166"/>
      <c r="DD111" s="171"/>
      <c r="DE111" s="171"/>
      <c r="DF111" s="171"/>
      <c r="DG111" s="171"/>
      <c r="DH111" s="171"/>
      <c r="DI111" s="171"/>
      <c r="DJ111" s="171"/>
      <c r="DK111" s="79"/>
      <c r="DL111" s="128">
        <f>VLOOKUP($F111,Activities!$A$9:$I$268,3,FALSE)/$AI111</f>
        <v>1.855</v>
      </c>
      <c r="DM111" s="128">
        <f>VLOOKUP($F111,Activities!$A$9:$I$268,4,FALSE)/$AI111</f>
        <v>1.855</v>
      </c>
      <c r="DN111" s="128">
        <f>VLOOKUP($F111,Activities!$A$9:$I$268,5,FALSE)/$AI111</f>
        <v>1.855</v>
      </c>
      <c r="DO111" s="128">
        <f>VLOOKUP($F111,Activities!$A$9:$I$268,6,FALSE)/$AI111</f>
        <v>1.855</v>
      </c>
      <c r="DP111" s="128">
        <f>VLOOKUP($F111,Activities!$A$9:$I$268,7,FALSE)/$AI111</f>
        <v>1.855</v>
      </c>
      <c r="DQ111" s="128">
        <f>VLOOKUP($F111,Activities!$A$9:$I$268,8,FALSE)/$AI111</f>
        <v>1.855</v>
      </c>
      <c r="DR111" s="128">
        <f>VLOOKUP($F111,Activities!$A$9:$I$268,9,FALSE)/$AI111</f>
        <v>1.855</v>
      </c>
      <c r="DS111" s="218"/>
      <c r="DT111" s="360"/>
      <c r="DU111" s="360"/>
      <c r="DV111" s="360"/>
      <c r="DW111" s="360"/>
      <c r="DX111" s="360"/>
      <c r="DY111" s="360"/>
      <c r="DZ111" s="360"/>
      <c r="EA111" s="360"/>
      <c r="EB111" s="360"/>
      <c r="EC111" s="360"/>
      <c r="ED111" s="360"/>
      <c r="EE111" s="360"/>
      <c r="EF111" s="360"/>
      <c r="EG111" s="360"/>
      <c r="EH111" s="360"/>
      <c r="EI111" s="360"/>
      <c r="EJ111" s="360"/>
      <c r="EK111" s="360"/>
      <c r="EL111" s="360"/>
      <c r="EM111" s="360"/>
      <c r="EN111" s="360"/>
      <c r="EO111" s="360"/>
      <c r="EP111" s="360"/>
      <c r="EQ111" s="360"/>
    </row>
    <row r="112" spans="1:147" x14ac:dyDescent="0.35">
      <c r="A112" s="6" t="s">
        <v>942</v>
      </c>
      <c r="B112" s="6" t="s">
        <v>740</v>
      </c>
      <c r="C112" s="6" t="s">
        <v>655</v>
      </c>
      <c r="D112" s="6" t="s">
        <v>741</v>
      </c>
      <c r="E112" s="6" t="s">
        <v>915</v>
      </c>
      <c r="F112" s="6" t="s">
        <v>373</v>
      </c>
      <c r="G112" s="48" t="s">
        <v>943</v>
      </c>
      <c r="H112" s="48" t="s">
        <v>941</v>
      </c>
      <c r="I112" s="102">
        <v>1250</v>
      </c>
      <c r="J112" s="102">
        <v>1250</v>
      </c>
      <c r="K112" s="102">
        <v>1250</v>
      </c>
      <c r="L112" s="102">
        <v>1250</v>
      </c>
      <c r="M112" s="102">
        <v>1250</v>
      </c>
      <c r="N112" s="102">
        <v>1250</v>
      </c>
      <c r="O112" s="102">
        <v>1250</v>
      </c>
      <c r="P112" s="94">
        <v>0</v>
      </c>
      <c r="Q112" s="102">
        <f>I112*0.05</f>
        <v>62.5</v>
      </c>
      <c r="R112" s="102">
        <f t="shared" ref="R112:W112" si="104">J112*0.05</f>
        <v>62.5</v>
      </c>
      <c r="S112" s="102">
        <f t="shared" si="104"/>
        <v>62.5</v>
      </c>
      <c r="T112" s="102">
        <f t="shared" si="104"/>
        <v>62.5</v>
      </c>
      <c r="U112" s="102">
        <f t="shared" si="104"/>
        <v>62.5</v>
      </c>
      <c r="V112" s="102">
        <f t="shared" si="104"/>
        <v>62.5</v>
      </c>
      <c r="W112" s="102">
        <f t="shared" si="104"/>
        <v>62.5</v>
      </c>
      <c r="X112" s="102">
        <v>0</v>
      </c>
      <c r="Y112" s="102">
        <v>0</v>
      </c>
      <c r="Z112" s="102">
        <v>0</v>
      </c>
      <c r="AA112" s="102">
        <v>0</v>
      </c>
      <c r="AB112" s="102">
        <v>0</v>
      </c>
      <c r="AC112" s="102">
        <v>0</v>
      </c>
      <c r="AD112" s="102">
        <v>0</v>
      </c>
      <c r="AE112" s="186">
        <v>0.08</v>
      </c>
      <c r="AF112" s="94">
        <v>0</v>
      </c>
      <c r="AG112" s="94">
        <v>20</v>
      </c>
      <c r="AH112" s="94">
        <v>20</v>
      </c>
      <c r="AI112" s="17">
        <v>1</v>
      </c>
      <c r="AJ112" s="17" t="s">
        <v>660</v>
      </c>
      <c r="AK112" s="17" t="s">
        <v>745</v>
      </c>
      <c r="AL112" s="17"/>
      <c r="AM112" s="61"/>
      <c r="AN112" s="61"/>
      <c r="AO112" s="61"/>
      <c r="AP112" s="61"/>
      <c r="AQ112" s="61"/>
      <c r="AR112" s="61"/>
      <c r="AS112" s="64"/>
      <c r="AT112" s="64"/>
      <c r="AU112" s="64"/>
      <c r="AV112" s="132"/>
      <c r="AW112" s="132"/>
      <c r="AX112" s="132"/>
      <c r="AY112" s="28" t="s">
        <v>666</v>
      </c>
      <c r="AZ112" s="28" t="s">
        <v>455</v>
      </c>
      <c r="BA112" s="28">
        <v>1</v>
      </c>
      <c r="BB112" s="28"/>
      <c r="BC112" s="28" t="s">
        <v>932</v>
      </c>
      <c r="BD112" s="28">
        <v>0.05</v>
      </c>
      <c r="BE112" s="28">
        <v>0.2</v>
      </c>
      <c r="BF112" s="28"/>
      <c r="BG112" s="28"/>
      <c r="BH112" s="106"/>
      <c r="BI112" s="106"/>
      <c r="BJ112" s="106"/>
      <c r="BK112" s="106"/>
      <c r="BL112" s="137"/>
      <c r="BM112" s="123"/>
      <c r="BN112" s="139">
        <f>DL112</f>
        <v>1.855</v>
      </c>
      <c r="BO112" s="94"/>
      <c r="BP112" s="94"/>
      <c r="BQ112" s="94"/>
      <c r="BR112" s="94">
        <f>BN112</f>
        <v>1.855</v>
      </c>
      <c r="BS112" s="94"/>
      <c r="BT112" s="94"/>
      <c r="BU112" s="28">
        <f t="shared" ref="BU112" si="105">IF(BL112=1,BN112,0)</f>
        <v>0</v>
      </c>
      <c r="BV112" s="28"/>
      <c r="BW112" s="28"/>
      <c r="BX112" s="28"/>
      <c r="BY112" s="28"/>
      <c r="BZ112" s="28"/>
      <c r="CA112" s="28"/>
      <c r="CB112" s="99">
        <f t="shared" ref="CB112:CC113" si="106">DL112</f>
        <v>1.855</v>
      </c>
      <c r="CC112" s="99">
        <f t="shared" si="106"/>
        <v>1.855</v>
      </c>
      <c r="CD112" s="99">
        <f t="shared" si="101"/>
        <v>1.855</v>
      </c>
      <c r="CE112" s="99">
        <f t="shared" si="101"/>
        <v>1.855</v>
      </c>
      <c r="CF112" s="99">
        <f t="shared" si="101"/>
        <v>1.855</v>
      </c>
      <c r="CG112" s="99">
        <f t="shared" si="101"/>
        <v>1.855</v>
      </c>
      <c r="CH112" s="99">
        <f t="shared" si="101"/>
        <v>1.855</v>
      </c>
      <c r="CI112" s="175"/>
      <c r="CJ112" s="175"/>
      <c r="CK112" s="175"/>
      <c r="CL112" s="175"/>
      <c r="CM112" s="175"/>
      <c r="CN112" s="175"/>
      <c r="CO112" s="175"/>
      <c r="CP112" s="176"/>
      <c r="CQ112" s="176"/>
      <c r="CR112" s="176"/>
      <c r="CS112" s="176"/>
      <c r="CT112" s="176"/>
      <c r="CU112" s="176"/>
      <c r="CV112" s="176"/>
      <c r="CW112" s="167"/>
      <c r="CX112" s="168"/>
      <c r="CY112" s="168"/>
      <c r="CZ112" s="168"/>
      <c r="DA112" s="168"/>
      <c r="DB112" s="168"/>
      <c r="DC112" s="168"/>
      <c r="DD112" s="172"/>
      <c r="DE112" s="172"/>
      <c r="DF112" s="172"/>
      <c r="DG112" s="172"/>
      <c r="DH112" s="172"/>
      <c r="DI112" s="172"/>
      <c r="DJ112" s="172"/>
      <c r="DK112" s="80" t="s">
        <v>933</v>
      </c>
      <c r="DL112" s="129">
        <f>VLOOKUP($F112,Activities!$A$9:$I$268,3,FALSE)/$AI112</f>
        <v>1.855</v>
      </c>
      <c r="DM112" s="129">
        <f>VLOOKUP($F112,Activities!$A$9:$I$268,4,FALSE)/$AI112</f>
        <v>1.855</v>
      </c>
      <c r="DN112" s="129">
        <f>VLOOKUP($F112,Activities!$A$9:$I$268,5,FALSE)/$AI112</f>
        <v>1.855</v>
      </c>
      <c r="DO112" s="129">
        <f>VLOOKUP($F112,Activities!$A$9:$I$268,6,FALSE)/$AI112</f>
        <v>1.855</v>
      </c>
      <c r="DP112" s="129">
        <f>VLOOKUP($F112,Activities!$A$9:$I$268,7,FALSE)/$AI112</f>
        <v>1.855</v>
      </c>
      <c r="DQ112" s="129">
        <f>VLOOKUP($F112,Activities!$A$9:$I$268,8,FALSE)/$AI112</f>
        <v>1.855</v>
      </c>
      <c r="DR112" s="129">
        <f>VLOOKUP($F112,Activities!$A$9:$I$268,9,FALSE)/$AI112</f>
        <v>1.855</v>
      </c>
      <c r="DS112" s="218"/>
      <c r="DT112" s="360"/>
      <c r="DU112" s="360"/>
      <c r="DV112" s="360"/>
      <c r="DW112" s="360"/>
      <c r="DX112" s="360"/>
      <c r="DY112" s="360"/>
      <c r="DZ112" s="360"/>
      <c r="EA112" s="360"/>
      <c r="EB112" s="360"/>
      <c r="EC112" s="360"/>
      <c r="ED112" s="360"/>
      <c r="EE112" s="360"/>
      <c r="EF112" s="360"/>
      <c r="EG112" s="360"/>
      <c r="EH112" s="360"/>
      <c r="EI112" s="360"/>
      <c r="EJ112" s="360"/>
      <c r="EK112" s="360"/>
      <c r="EL112" s="360"/>
      <c r="EM112" s="360"/>
      <c r="EN112" s="360"/>
      <c r="EO112" s="360"/>
      <c r="EP112" s="360"/>
      <c r="EQ112" s="360"/>
    </row>
    <row r="113" spans="1:147" x14ac:dyDescent="0.35">
      <c r="A113" s="5" t="s">
        <v>944</v>
      </c>
      <c r="B113" s="5" t="s">
        <v>740</v>
      </c>
      <c r="C113" s="5" t="s">
        <v>655</v>
      </c>
      <c r="D113" s="5" t="s">
        <v>741</v>
      </c>
      <c r="E113" s="5" t="s">
        <v>945</v>
      </c>
      <c r="F113" s="5" t="s">
        <v>375</v>
      </c>
      <c r="G113" s="47" t="s">
        <v>946</v>
      </c>
      <c r="H113" s="47" t="s">
        <v>908</v>
      </c>
      <c r="I113" s="101">
        <v>3160</v>
      </c>
      <c r="J113" s="101">
        <v>3160</v>
      </c>
      <c r="K113" s="101">
        <v>3160</v>
      </c>
      <c r="L113" s="101">
        <v>3160</v>
      </c>
      <c r="M113" s="101">
        <v>3160</v>
      </c>
      <c r="N113" s="101">
        <v>3160</v>
      </c>
      <c r="O113" s="101">
        <v>3160</v>
      </c>
      <c r="P113" s="93">
        <v>0</v>
      </c>
      <c r="Q113" s="101">
        <v>95</v>
      </c>
      <c r="R113" s="101">
        <v>95</v>
      </c>
      <c r="S113" s="101">
        <v>95</v>
      </c>
      <c r="T113" s="101">
        <v>95</v>
      </c>
      <c r="U113" s="101">
        <v>95</v>
      </c>
      <c r="V113" s="101">
        <v>95</v>
      </c>
      <c r="W113" s="101">
        <v>95</v>
      </c>
      <c r="X113" s="101">
        <v>0</v>
      </c>
      <c r="Y113" s="101">
        <v>0</v>
      </c>
      <c r="Z113" s="101">
        <v>0</v>
      </c>
      <c r="AA113" s="101">
        <v>0</v>
      </c>
      <c r="AB113" s="101">
        <v>0</v>
      </c>
      <c r="AC113" s="101">
        <v>0</v>
      </c>
      <c r="AD113" s="101">
        <v>0</v>
      </c>
      <c r="AE113" s="186">
        <v>0.08</v>
      </c>
      <c r="AF113" s="93">
        <v>0</v>
      </c>
      <c r="AG113" s="93">
        <v>30</v>
      </c>
      <c r="AH113" s="93">
        <v>30</v>
      </c>
      <c r="AI113" s="16">
        <v>1</v>
      </c>
      <c r="AJ113" s="16" t="s">
        <v>660</v>
      </c>
      <c r="AK113" s="16" t="s">
        <v>745</v>
      </c>
      <c r="AL113" s="16"/>
      <c r="AM113" s="60"/>
      <c r="AN113" s="60"/>
      <c r="AO113" s="60"/>
      <c r="AP113" s="60"/>
      <c r="AQ113" s="60"/>
      <c r="AR113" s="60"/>
      <c r="AS113" s="63"/>
      <c r="AT113" s="63"/>
      <c r="AU113" s="63"/>
      <c r="AV113" s="131"/>
      <c r="AW113" s="131"/>
      <c r="AX113" s="131"/>
      <c r="AY113" s="27" t="s">
        <v>662</v>
      </c>
      <c r="AZ113" s="27"/>
      <c r="BA113" s="27"/>
      <c r="BB113" s="30"/>
      <c r="BC113" s="30"/>
      <c r="BD113" s="30"/>
      <c r="BE113" s="30"/>
      <c r="BF113" s="30"/>
      <c r="BG113" s="30"/>
      <c r="BH113" s="107"/>
      <c r="BI113" s="107"/>
      <c r="BJ113" s="107"/>
      <c r="BK113" s="107"/>
      <c r="BL113" s="136"/>
      <c r="BM113" s="122"/>
      <c r="BN113" s="138">
        <f>DL113</f>
        <v>1</v>
      </c>
      <c r="BO113" s="93">
        <v>0.25</v>
      </c>
      <c r="BP113" s="93">
        <v>0.25</v>
      </c>
      <c r="BQ113" s="93">
        <v>0.25</v>
      </c>
      <c r="BR113" s="93">
        <v>0.25</v>
      </c>
      <c r="BS113" s="93"/>
      <c r="BT113" s="93"/>
      <c r="BU113" s="27">
        <f t="shared" si="95"/>
        <v>0</v>
      </c>
      <c r="BV113" s="27"/>
      <c r="BW113" s="27"/>
      <c r="BX113" s="27"/>
      <c r="BY113" s="27"/>
      <c r="BZ113" s="27"/>
      <c r="CA113" s="27"/>
      <c r="CB113" s="97">
        <f t="shared" si="106"/>
        <v>1</v>
      </c>
      <c r="CC113" s="97">
        <f t="shared" si="106"/>
        <v>1</v>
      </c>
      <c r="CD113" s="97">
        <f t="shared" si="101"/>
        <v>1</v>
      </c>
      <c r="CE113" s="97">
        <f t="shared" si="94"/>
        <v>1</v>
      </c>
      <c r="CF113" s="97">
        <f t="shared" si="94"/>
        <v>1</v>
      </c>
      <c r="CG113" s="97">
        <f t="shared" si="94"/>
        <v>1</v>
      </c>
      <c r="CH113" s="97">
        <f t="shared" si="94"/>
        <v>1</v>
      </c>
      <c r="CI113" s="173"/>
      <c r="CJ113" s="173"/>
      <c r="CK113" s="173"/>
      <c r="CL113" s="173"/>
      <c r="CM113" s="173"/>
      <c r="CN113" s="173"/>
      <c r="CO113" s="173"/>
      <c r="CP113" s="174"/>
      <c r="CQ113" s="174"/>
      <c r="CR113" s="174"/>
      <c r="CS113" s="174"/>
      <c r="CT113" s="174"/>
      <c r="CU113" s="174"/>
      <c r="CV113" s="174"/>
      <c r="CW113" s="165"/>
      <c r="CX113" s="166"/>
      <c r="CY113" s="166"/>
      <c r="CZ113" s="166"/>
      <c r="DA113" s="166"/>
      <c r="DB113" s="166"/>
      <c r="DC113" s="166"/>
      <c r="DD113" s="171"/>
      <c r="DE113" s="171"/>
      <c r="DF113" s="171"/>
      <c r="DG113" s="171"/>
      <c r="DH113" s="171"/>
      <c r="DI113" s="171"/>
      <c r="DJ113" s="171"/>
      <c r="DK113" s="79" t="s">
        <v>411</v>
      </c>
      <c r="DL113" s="128">
        <f>VLOOKUP($F113,Activities!$A$9:$I$180,3,FALSE)/$AI113</f>
        <v>1</v>
      </c>
      <c r="DM113" s="128">
        <f>VLOOKUP($F113,Activities!$A$9:$I$180,4,FALSE)/$AI113</f>
        <v>1</v>
      </c>
      <c r="DN113" s="128">
        <f>VLOOKUP($F113,Activities!$A$9:$I$180,5,FALSE)/$AI113</f>
        <v>1</v>
      </c>
      <c r="DO113" s="128">
        <f>VLOOKUP($F113,Activities!$A$9:$I$180,6,FALSE)/$AI113</f>
        <v>1</v>
      </c>
      <c r="DP113" s="128">
        <f>VLOOKUP($F113,Activities!$A$9:$I$180,7,FALSE)/$AI113</f>
        <v>1</v>
      </c>
      <c r="DQ113" s="128">
        <f>VLOOKUP($F113,Activities!$A$9:$I$180,8,FALSE)/$AI113</f>
        <v>1</v>
      </c>
      <c r="DR113" s="128">
        <f>VLOOKUP($F113,Activities!$A$9:$I$180,9,FALSE)/$AI113</f>
        <v>1</v>
      </c>
      <c r="DS113" s="218"/>
      <c r="DT113" s="360"/>
      <c r="DU113" s="360"/>
      <c r="DV113" s="360"/>
      <c r="DW113" s="360"/>
      <c r="DX113" s="360"/>
      <c r="DY113" s="360"/>
      <c r="DZ113" s="360"/>
      <c r="EA113" s="360"/>
      <c r="EB113" s="360"/>
      <c r="EC113" s="360"/>
      <c r="ED113" s="360"/>
      <c r="EE113" s="360"/>
      <c r="EF113" s="360"/>
      <c r="EG113" s="360"/>
      <c r="EH113" s="360"/>
      <c r="EI113" s="360"/>
      <c r="EJ113" s="360"/>
      <c r="EK113" s="360"/>
      <c r="EL113" s="360"/>
      <c r="EM113" s="360"/>
      <c r="EN113" s="360"/>
      <c r="EO113" s="360"/>
      <c r="EP113" s="360"/>
      <c r="EQ113" s="360"/>
    </row>
    <row r="114" spans="1:147" x14ac:dyDescent="0.35">
      <c r="A114" s="6" t="s">
        <v>947</v>
      </c>
      <c r="B114" s="6" t="s">
        <v>740</v>
      </c>
      <c r="C114" s="6" t="s">
        <v>655</v>
      </c>
      <c r="D114" s="6" t="s">
        <v>741</v>
      </c>
      <c r="E114" s="6" t="s">
        <v>945</v>
      </c>
      <c r="F114" s="6" t="s">
        <v>375</v>
      </c>
      <c r="G114" s="48" t="s">
        <v>948</v>
      </c>
      <c r="H114" s="48" t="s">
        <v>908</v>
      </c>
      <c r="I114" s="102">
        <v>5060</v>
      </c>
      <c r="J114" s="102">
        <v>5060</v>
      </c>
      <c r="K114" s="102">
        <v>5060</v>
      </c>
      <c r="L114" s="102">
        <v>5060</v>
      </c>
      <c r="M114" s="102">
        <v>5060</v>
      </c>
      <c r="N114" s="102">
        <v>5060</v>
      </c>
      <c r="O114" s="102">
        <v>5060</v>
      </c>
      <c r="P114" s="94">
        <v>0</v>
      </c>
      <c r="Q114" s="102">
        <v>152</v>
      </c>
      <c r="R114" s="102">
        <v>152</v>
      </c>
      <c r="S114" s="102">
        <v>152</v>
      </c>
      <c r="T114" s="102">
        <v>152</v>
      </c>
      <c r="U114" s="102">
        <v>152</v>
      </c>
      <c r="V114" s="102">
        <v>152</v>
      </c>
      <c r="W114" s="102">
        <v>152</v>
      </c>
      <c r="X114" s="102">
        <v>0</v>
      </c>
      <c r="Y114" s="102">
        <v>0</v>
      </c>
      <c r="Z114" s="102">
        <v>0</v>
      </c>
      <c r="AA114" s="102">
        <v>0</v>
      </c>
      <c r="AB114" s="102">
        <v>0</v>
      </c>
      <c r="AC114" s="102">
        <v>0</v>
      </c>
      <c r="AD114" s="102">
        <v>0</v>
      </c>
      <c r="AE114" s="186">
        <v>0.08</v>
      </c>
      <c r="AF114" s="94">
        <v>0</v>
      </c>
      <c r="AG114" s="94">
        <v>30</v>
      </c>
      <c r="AH114" s="94">
        <v>30</v>
      </c>
      <c r="AI114" s="17">
        <v>1</v>
      </c>
      <c r="AJ114" s="17" t="s">
        <v>660</v>
      </c>
      <c r="AK114" s="17" t="s">
        <v>745</v>
      </c>
      <c r="AL114" s="17"/>
      <c r="AM114" s="61"/>
      <c r="AN114" s="61"/>
      <c r="AO114" s="61"/>
      <c r="AP114" s="61"/>
      <c r="AQ114" s="61"/>
      <c r="AR114" s="61"/>
      <c r="AS114" s="64"/>
      <c r="AT114" s="64"/>
      <c r="AU114" s="64"/>
      <c r="AV114" s="132"/>
      <c r="AW114" s="132"/>
      <c r="AX114" s="132"/>
      <c r="AY114" s="28" t="s">
        <v>662</v>
      </c>
      <c r="AZ114" s="28"/>
      <c r="BA114" s="28"/>
      <c r="BB114" s="28"/>
      <c r="BC114" s="28"/>
      <c r="BD114" s="28"/>
      <c r="BE114" s="28"/>
      <c r="BF114" s="28"/>
      <c r="BG114" s="28"/>
      <c r="BH114" s="106"/>
      <c r="BI114" s="106"/>
      <c r="BJ114" s="106"/>
      <c r="BK114" s="106"/>
      <c r="BL114" s="137"/>
      <c r="BM114" s="123"/>
      <c r="BN114" s="139">
        <v>0</v>
      </c>
      <c r="BO114" s="94"/>
      <c r="BP114" s="94"/>
      <c r="BQ114" s="94"/>
      <c r="BR114" s="94"/>
      <c r="BS114" s="94"/>
      <c r="BT114" s="94"/>
      <c r="BU114" s="28">
        <f t="shared" si="95"/>
        <v>0</v>
      </c>
      <c r="BV114" s="28"/>
      <c r="BW114" s="28"/>
      <c r="BX114" s="28"/>
      <c r="BY114" s="28"/>
      <c r="BZ114" s="28"/>
      <c r="CA114" s="28"/>
      <c r="CB114" s="99"/>
      <c r="CC114" s="185">
        <v>0.25</v>
      </c>
      <c r="CD114" s="99">
        <v>0.5</v>
      </c>
      <c r="CE114" s="99">
        <f t="shared" si="94"/>
        <v>1</v>
      </c>
      <c r="CF114" s="99">
        <f t="shared" si="94"/>
        <v>1</v>
      </c>
      <c r="CG114" s="99">
        <f t="shared" si="94"/>
        <v>1</v>
      </c>
      <c r="CH114" s="99">
        <f t="shared" si="94"/>
        <v>1</v>
      </c>
      <c r="CI114" s="175"/>
      <c r="CJ114" s="175"/>
      <c r="CK114" s="175"/>
      <c r="CL114" s="175"/>
      <c r="CM114" s="175"/>
      <c r="CN114" s="175"/>
      <c r="CO114" s="175"/>
      <c r="CP114" s="176"/>
      <c r="CQ114" s="176"/>
      <c r="CR114" s="176"/>
      <c r="CS114" s="176"/>
      <c r="CT114" s="176"/>
      <c r="CU114" s="176"/>
      <c r="CV114" s="176"/>
      <c r="CW114" s="167"/>
      <c r="CX114" s="168"/>
      <c r="CY114" s="168"/>
      <c r="CZ114" s="168"/>
      <c r="DA114" s="168"/>
      <c r="DB114" s="168"/>
      <c r="DC114" s="168"/>
      <c r="DD114" s="172"/>
      <c r="DE114" s="172"/>
      <c r="DF114" s="172"/>
      <c r="DG114" s="172"/>
      <c r="DH114" s="172"/>
      <c r="DI114" s="172"/>
      <c r="DJ114" s="172"/>
      <c r="DK114" s="80" t="s">
        <v>502</v>
      </c>
      <c r="DL114" s="129">
        <f>VLOOKUP($F114,Activities!$A$9:$I$180,3,FALSE)/$AI114</f>
        <v>1</v>
      </c>
      <c r="DM114" s="129">
        <f>VLOOKUP($F114,Activities!$A$9:$I$180,4,FALSE)/$AI114</f>
        <v>1</v>
      </c>
      <c r="DN114" s="129">
        <f>VLOOKUP($F114,Activities!$A$9:$I$180,5,FALSE)/$AI114</f>
        <v>1</v>
      </c>
      <c r="DO114" s="129">
        <f>VLOOKUP($F114,Activities!$A$9:$I$180,6,FALSE)/$AI114</f>
        <v>1</v>
      </c>
      <c r="DP114" s="129">
        <f>VLOOKUP($F114,Activities!$A$9:$I$180,7,FALSE)/$AI114</f>
        <v>1</v>
      </c>
      <c r="DQ114" s="129">
        <f>VLOOKUP($F114,Activities!$A$9:$I$180,8,FALSE)/$AI114</f>
        <v>1</v>
      </c>
      <c r="DR114" s="129">
        <f>VLOOKUP($F114,Activities!$A$9:$I$180,9,FALSE)/$AI114</f>
        <v>1</v>
      </c>
      <c r="DS114" s="218"/>
      <c r="DT114" s="360"/>
      <c r="DU114" s="360"/>
      <c r="DV114" s="360"/>
      <c r="DW114" s="360"/>
      <c r="DX114" s="360"/>
      <c r="DY114" s="360"/>
      <c r="DZ114" s="360"/>
      <c r="EA114" s="360"/>
      <c r="EB114" s="360"/>
      <c r="EC114" s="360"/>
      <c r="ED114" s="360"/>
      <c r="EE114" s="360"/>
      <c r="EF114" s="360"/>
      <c r="EG114" s="360"/>
      <c r="EH114" s="360"/>
      <c r="EI114" s="360"/>
      <c r="EJ114" s="360"/>
      <c r="EK114" s="360"/>
      <c r="EL114" s="360"/>
      <c r="EM114" s="360"/>
      <c r="EN114" s="360"/>
      <c r="EO114" s="360"/>
      <c r="EP114" s="360"/>
      <c r="EQ114" s="360"/>
    </row>
    <row r="115" spans="1:147" x14ac:dyDescent="0.35">
      <c r="A115" s="5" t="s">
        <v>949</v>
      </c>
      <c r="B115" s="5" t="s">
        <v>740</v>
      </c>
      <c r="C115" s="5" t="s">
        <v>655</v>
      </c>
      <c r="D115" s="5" t="s">
        <v>741</v>
      </c>
      <c r="E115" s="5" t="s">
        <v>915</v>
      </c>
      <c r="F115" s="5" t="s">
        <v>376</v>
      </c>
      <c r="G115" s="47" t="s">
        <v>950</v>
      </c>
      <c r="H115" s="47" t="s">
        <v>908</v>
      </c>
      <c r="I115" s="101">
        <f>8.7*40</f>
        <v>348</v>
      </c>
      <c r="J115" s="101">
        <f t="shared" ref="J115:O115" si="107">8.7*40</f>
        <v>348</v>
      </c>
      <c r="K115" s="101">
        <f t="shared" si="107"/>
        <v>348</v>
      </c>
      <c r="L115" s="101">
        <f t="shared" si="107"/>
        <v>348</v>
      </c>
      <c r="M115" s="101">
        <f t="shared" si="107"/>
        <v>348</v>
      </c>
      <c r="N115" s="101">
        <f t="shared" si="107"/>
        <v>348</v>
      </c>
      <c r="O115" s="101">
        <f t="shared" si="107"/>
        <v>348</v>
      </c>
      <c r="P115" s="93">
        <v>0</v>
      </c>
      <c r="Q115" s="101">
        <v>10.5</v>
      </c>
      <c r="R115" s="101">
        <v>10.5</v>
      </c>
      <c r="S115" s="101">
        <v>10.5</v>
      </c>
      <c r="T115" s="101">
        <v>10.5</v>
      </c>
      <c r="U115" s="101">
        <v>10.5</v>
      </c>
      <c r="V115" s="101">
        <v>10.5</v>
      </c>
      <c r="W115" s="101">
        <v>10.5</v>
      </c>
      <c r="X115" s="101">
        <v>0</v>
      </c>
      <c r="Y115" s="101">
        <v>0</v>
      </c>
      <c r="Z115" s="101">
        <v>0</v>
      </c>
      <c r="AA115" s="101">
        <v>0</v>
      </c>
      <c r="AB115" s="101">
        <v>0</v>
      </c>
      <c r="AC115" s="101">
        <v>0</v>
      </c>
      <c r="AD115" s="101">
        <v>0</v>
      </c>
      <c r="AE115" s="186">
        <v>0.08</v>
      </c>
      <c r="AF115" s="93">
        <v>0</v>
      </c>
      <c r="AG115" s="93">
        <v>30</v>
      </c>
      <c r="AH115" s="93">
        <v>30</v>
      </c>
      <c r="AI115" s="16">
        <v>1</v>
      </c>
      <c r="AJ115" s="16" t="s">
        <v>660</v>
      </c>
      <c r="AK115" s="16" t="s">
        <v>745</v>
      </c>
      <c r="AL115" s="16"/>
      <c r="AM115" s="60"/>
      <c r="AN115" s="60"/>
      <c r="AO115" s="60"/>
      <c r="AP115" s="60"/>
      <c r="AQ115" s="60"/>
      <c r="AR115" s="60"/>
      <c r="AS115" s="63"/>
      <c r="AT115" s="63"/>
      <c r="AU115" s="63"/>
      <c r="AV115" s="131"/>
      <c r="AW115" s="131"/>
      <c r="AX115" s="131"/>
      <c r="AY115" s="27" t="s">
        <v>662</v>
      </c>
      <c r="AZ115" s="27"/>
      <c r="BA115" s="27"/>
      <c r="BB115" s="30"/>
      <c r="BC115" s="30"/>
      <c r="BD115" s="30"/>
      <c r="BE115" s="30"/>
      <c r="BF115" s="30"/>
      <c r="BG115" s="30"/>
      <c r="BH115" s="107"/>
      <c r="BI115" s="107"/>
      <c r="BJ115" s="107"/>
      <c r="BK115" s="107"/>
      <c r="BL115" s="136"/>
      <c r="BM115" s="122"/>
      <c r="BN115" s="138">
        <f>DL115</f>
        <v>1</v>
      </c>
      <c r="BO115" s="93">
        <v>0.25</v>
      </c>
      <c r="BP115" s="93">
        <v>0.25</v>
      </c>
      <c r="BQ115" s="93">
        <v>0.25</v>
      </c>
      <c r="BR115" s="93">
        <v>0.25</v>
      </c>
      <c r="BS115" s="93"/>
      <c r="BT115" s="93"/>
      <c r="BU115" s="27">
        <f t="shared" si="95"/>
        <v>0</v>
      </c>
      <c r="BV115" s="27"/>
      <c r="BW115" s="27"/>
      <c r="BX115" s="27"/>
      <c r="BY115" s="27"/>
      <c r="BZ115" s="27"/>
      <c r="CA115" s="27"/>
      <c r="CB115" s="97">
        <f t="shared" ref="CB115" si="108">DL115</f>
        <v>1</v>
      </c>
      <c r="CC115" s="97">
        <f t="shared" ref="CC115:CH125" si="109">DM115</f>
        <v>1</v>
      </c>
      <c r="CD115" s="97">
        <f t="shared" si="109"/>
        <v>1</v>
      </c>
      <c r="CE115" s="97">
        <f t="shared" si="94"/>
        <v>1</v>
      </c>
      <c r="CF115" s="97">
        <f t="shared" si="94"/>
        <v>1</v>
      </c>
      <c r="CG115" s="97">
        <f t="shared" si="94"/>
        <v>1</v>
      </c>
      <c r="CH115" s="97">
        <f t="shared" si="94"/>
        <v>1</v>
      </c>
      <c r="CI115" s="173"/>
      <c r="CJ115" s="173"/>
      <c r="CK115" s="173"/>
      <c r="CL115" s="173"/>
      <c r="CM115" s="173"/>
      <c r="CN115" s="173"/>
      <c r="CO115" s="173"/>
      <c r="CP115" s="174"/>
      <c r="CQ115" s="174"/>
      <c r="CR115" s="174"/>
      <c r="CS115" s="174"/>
      <c r="CT115" s="174"/>
      <c r="CU115" s="174"/>
      <c r="CV115" s="174"/>
      <c r="CW115" s="165"/>
      <c r="CX115" s="166"/>
      <c r="CY115" s="166"/>
      <c r="CZ115" s="166"/>
      <c r="DA115" s="166"/>
      <c r="DB115" s="166"/>
      <c r="DC115" s="166"/>
      <c r="DD115" s="171"/>
      <c r="DE115" s="171"/>
      <c r="DF115" s="171"/>
      <c r="DG115" s="171"/>
      <c r="DH115" s="171"/>
      <c r="DI115" s="171"/>
      <c r="DJ115" s="171"/>
      <c r="DK115" s="79" t="s">
        <v>951</v>
      </c>
      <c r="DL115" s="128">
        <f>VLOOKUP($F115,Activities!$A$9:$I$180,3,FALSE)/$AI115</f>
        <v>1</v>
      </c>
      <c r="DM115" s="128">
        <f>VLOOKUP($F115,Activities!$A$9:$I$180,4,FALSE)/$AI115</f>
        <v>1</v>
      </c>
      <c r="DN115" s="128">
        <f>VLOOKUP($F115,Activities!$A$9:$I$180,5,FALSE)/$AI115</f>
        <v>1</v>
      </c>
      <c r="DO115" s="128">
        <f>VLOOKUP($F115,Activities!$A$9:$I$180,6,FALSE)/$AI115</f>
        <v>1</v>
      </c>
      <c r="DP115" s="128">
        <f>VLOOKUP($F115,Activities!$A$9:$I$180,7,FALSE)/$AI115</f>
        <v>1</v>
      </c>
      <c r="DQ115" s="128">
        <f>VLOOKUP($F115,Activities!$A$9:$I$180,8,FALSE)/$AI115</f>
        <v>1</v>
      </c>
      <c r="DR115" s="128">
        <f>VLOOKUP($F115,Activities!$A$9:$I$180,9,FALSE)/$AI115</f>
        <v>1</v>
      </c>
      <c r="DS115" s="218"/>
      <c r="DT115" s="360"/>
      <c r="DU115" s="360"/>
      <c r="DV115" s="360"/>
      <c r="DW115" s="360"/>
      <c r="DX115" s="360"/>
      <c r="DY115" s="360"/>
      <c r="DZ115" s="360"/>
      <c r="EA115" s="360"/>
      <c r="EB115" s="360"/>
      <c r="EC115" s="360"/>
      <c r="ED115" s="360"/>
      <c r="EE115" s="360"/>
      <c r="EF115" s="360"/>
      <c r="EG115" s="360"/>
      <c r="EH115" s="360"/>
      <c r="EI115" s="360"/>
      <c r="EJ115" s="360"/>
      <c r="EK115" s="360"/>
      <c r="EL115" s="360"/>
      <c r="EM115" s="360"/>
      <c r="EN115" s="360"/>
      <c r="EO115" s="360"/>
      <c r="EP115" s="360"/>
      <c r="EQ115" s="360"/>
    </row>
    <row r="116" spans="1:147" x14ac:dyDescent="0.35">
      <c r="A116" s="6" t="s">
        <v>952</v>
      </c>
      <c r="B116" s="6" t="s">
        <v>740</v>
      </c>
      <c r="C116" s="6" t="s">
        <v>655</v>
      </c>
      <c r="D116" s="6" t="s">
        <v>741</v>
      </c>
      <c r="E116" s="6" t="s">
        <v>915</v>
      </c>
      <c r="F116" s="6" t="s">
        <v>376</v>
      </c>
      <c r="G116" s="48" t="s">
        <v>953</v>
      </c>
      <c r="H116" s="48" t="s">
        <v>908</v>
      </c>
      <c r="I116" s="102">
        <v>450</v>
      </c>
      <c r="J116" s="102">
        <v>451</v>
      </c>
      <c r="K116" s="102">
        <v>452</v>
      </c>
      <c r="L116" s="102">
        <v>453</v>
      </c>
      <c r="M116" s="102">
        <v>454</v>
      </c>
      <c r="N116" s="102">
        <v>455</v>
      </c>
      <c r="O116" s="102">
        <v>456</v>
      </c>
      <c r="P116" s="94">
        <v>0</v>
      </c>
      <c r="Q116" s="102">
        <v>13.5</v>
      </c>
      <c r="R116" s="102">
        <v>13.5</v>
      </c>
      <c r="S116" s="102">
        <v>13.5</v>
      </c>
      <c r="T116" s="102">
        <v>13.5</v>
      </c>
      <c r="U116" s="102">
        <v>13.5</v>
      </c>
      <c r="V116" s="102">
        <v>13.5</v>
      </c>
      <c r="W116" s="102">
        <v>13.5</v>
      </c>
      <c r="X116" s="102">
        <v>0</v>
      </c>
      <c r="Y116" s="102">
        <v>0</v>
      </c>
      <c r="Z116" s="102">
        <v>0</v>
      </c>
      <c r="AA116" s="102">
        <v>0</v>
      </c>
      <c r="AB116" s="102">
        <v>0</v>
      </c>
      <c r="AC116" s="102">
        <v>0</v>
      </c>
      <c r="AD116" s="102">
        <v>0</v>
      </c>
      <c r="AE116" s="186">
        <v>0.08</v>
      </c>
      <c r="AF116" s="94">
        <v>0</v>
      </c>
      <c r="AG116" s="94">
        <v>30</v>
      </c>
      <c r="AH116" s="94">
        <v>30</v>
      </c>
      <c r="AI116" s="17">
        <v>1</v>
      </c>
      <c r="AJ116" s="17" t="s">
        <v>660</v>
      </c>
      <c r="AK116" s="17" t="s">
        <v>745</v>
      </c>
      <c r="AL116" s="17"/>
      <c r="AM116" s="61"/>
      <c r="AN116" s="61"/>
      <c r="AO116" s="61"/>
      <c r="AP116" s="61"/>
      <c r="AQ116" s="61"/>
      <c r="AR116" s="61"/>
      <c r="AS116" s="64"/>
      <c r="AT116" s="64"/>
      <c r="AU116" s="64"/>
      <c r="AV116" s="132"/>
      <c r="AW116" s="132"/>
      <c r="AX116" s="132"/>
      <c r="AY116" s="28" t="s">
        <v>662</v>
      </c>
      <c r="AZ116" s="28"/>
      <c r="BA116" s="28"/>
      <c r="BB116" s="28"/>
      <c r="BC116" s="28"/>
      <c r="BD116" s="28"/>
      <c r="BE116" s="28"/>
      <c r="BF116" s="28"/>
      <c r="BG116" s="28"/>
      <c r="BH116" s="106"/>
      <c r="BI116" s="106"/>
      <c r="BJ116" s="106"/>
      <c r="BK116" s="106"/>
      <c r="BL116" s="137"/>
      <c r="BM116" s="123"/>
      <c r="BN116" s="139">
        <v>0</v>
      </c>
      <c r="BO116" s="94"/>
      <c r="BP116" s="94"/>
      <c r="BQ116" s="94"/>
      <c r="BR116" s="94"/>
      <c r="BS116" s="94"/>
      <c r="BT116" s="94"/>
      <c r="BU116" s="28">
        <f t="shared" si="95"/>
        <v>0</v>
      </c>
      <c r="BV116" s="28"/>
      <c r="BW116" s="28"/>
      <c r="BX116" s="28"/>
      <c r="BY116" s="28"/>
      <c r="BZ116" s="28"/>
      <c r="CA116" s="28"/>
      <c r="CB116" s="99"/>
      <c r="CC116" s="99">
        <f t="shared" si="109"/>
        <v>1</v>
      </c>
      <c r="CD116" s="99">
        <f t="shared" si="109"/>
        <v>1</v>
      </c>
      <c r="CE116" s="99">
        <f t="shared" si="109"/>
        <v>1</v>
      </c>
      <c r="CF116" s="99">
        <f t="shared" si="109"/>
        <v>1</v>
      </c>
      <c r="CG116" s="99">
        <f t="shared" si="109"/>
        <v>1</v>
      </c>
      <c r="CH116" s="99">
        <f t="shared" si="109"/>
        <v>1</v>
      </c>
      <c r="CI116" s="175"/>
      <c r="CJ116" s="175"/>
      <c r="CK116" s="175"/>
      <c r="CL116" s="175"/>
      <c r="CM116" s="175"/>
      <c r="CN116" s="175"/>
      <c r="CO116" s="175"/>
      <c r="CP116" s="176"/>
      <c r="CQ116" s="176"/>
      <c r="CR116" s="176"/>
      <c r="CS116" s="176"/>
      <c r="CT116" s="176"/>
      <c r="CU116" s="176"/>
      <c r="CV116" s="176"/>
      <c r="CW116" s="167"/>
      <c r="CX116" s="168"/>
      <c r="CY116" s="168"/>
      <c r="CZ116" s="168"/>
      <c r="DA116" s="168"/>
      <c r="DB116" s="168"/>
      <c r="DC116" s="168"/>
      <c r="DD116" s="172"/>
      <c r="DE116" s="172"/>
      <c r="DF116" s="172"/>
      <c r="DG116" s="172"/>
      <c r="DH116" s="172"/>
      <c r="DI116" s="172"/>
      <c r="DJ116" s="172"/>
      <c r="DK116" s="80" t="s">
        <v>954</v>
      </c>
      <c r="DL116" s="129">
        <f>VLOOKUP($F116,Activities!$A$9:$I$180,3,FALSE)/$AI116</f>
        <v>1</v>
      </c>
      <c r="DM116" s="129">
        <f>VLOOKUP($F116,Activities!$A$9:$I$180,4,FALSE)/$AI116</f>
        <v>1</v>
      </c>
      <c r="DN116" s="129">
        <f>VLOOKUP($F116,Activities!$A$9:$I$180,5,FALSE)/$AI116</f>
        <v>1</v>
      </c>
      <c r="DO116" s="129">
        <f>VLOOKUP($F116,Activities!$A$9:$I$180,6,FALSE)/$AI116</f>
        <v>1</v>
      </c>
      <c r="DP116" s="129">
        <f>VLOOKUP($F116,Activities!$A$9:$I$180,7,FALSE)/$AI116</f>
        <v>1</v>
      </c>
      <c r="DQ116" s="129">
        <f>VLOOKUP($F116,Activities!$A$9:$I$180,8,FALSE)/$AI116</f>
        <v>1</v>
      </c>
      <c r="DR116" s="129">
        <f>VLOOKUP($F116,Activities!$A$9:$I$180,9,FALSE)/$AI116</f>
        <v>1</v>
      </c>
      <c r="DS116" s="218"/>
      <c r="DT116" s="360"/>
      <c r="DU116" s="360"/>
      <c r="DV116" s="360"/>
      <c r="DW116" s="360"/>
      <c r="DX116" s="360"/>
      <c r="DY116" s="360"/>
      <c r="DZ116" s="360"/>
      <c r="EA116" s="360"/>
      <c r="EB116" s="360"/>
      <c r="EC116" s="360"/>
      <c r="ED116" s="360"/>
      <c r="EE116" s="360"/>
      <c r="EF116" s="360"/>
      <c r="EG116" s="360"/>
      <c r="EH116" s="360"/>
      <c r="EI116" s="360"/>
      <c r="EJ116" s="360"/>
      <c r="EK116" s="360"/>
      <c r="EL116" s="360"/>
      <c r="EM116" s="360"/>
      <c r="EN116" s="360"/>
      <c r="EO116" s="360"/>
      <c r="EP116" s="360"/>
      <c r="EQ116" s="360"/>
    </row>
    <row r="117" spans="1:147" x14ac:dyDescent="0.35">
      <c r="A117" s="5" t="s">
        <v>955</v>
      </c>
      <c r="B117" s="5" t="s">
        <v>740</v>
      </c>
      <c r="C117" s="5" t="s">
        <v>655</v>
      </c>
      <c r="D117" s="5" t="s">
        <v>741</v>
      </c>
      <c r="E117" s="5" t="s">
        <v>945</v>
      </c>
      <c r="F117" s="5" t="s">
        <v>377</v>
      </c>
      <c r="G117" s="47" t="s">
        <v>956</v>
      </c>
      <c r="H117" s="47" t="s">
        <v>908</v>
      </c>
      <c r="I117" s="101">
        <f>83.2*50</f>
        <v>4160</v>
      </c>
      <c r="J117" s="101">
        <f t="shared" ref="J117:O117" si="110">83.2*50</f>
        <v>4160</v>
      </c>
      <c r="K117" s="101">
        <f t="shared" si="110"/>
        <v>4160</v>
      </c>
      <c r="L117" s="101">
        <f t="shared" si="110"/>
        <v>4160</v>
      </c>
      <c r="M117" s="101">
        <f t="shared" si="110"/>
        <v>4160</v>
      </c>
      <c r="N117" s="101">
        <f t="shared" si="110"/>
        <v>4160</v>
      </c>
      <c r="O117" s="101">
        <f t="shared" si="110"/>
        <v>4160</v>
      </c>
      <c r="P117" s="93">
        <v>0</v>
      </c>
      <c r="Q117" s="101">
        <v>125</v>
      </c>
      <c r="R117" s="101">
        <v>125</v>
      </c>
      <c r="S117" s="101">
        <v>125</v>
      </c>
      <c r="T117" s="101">
        <v>125</v>
      </c>
      <c r="U117" s="101">
        <v>125</v>
      </c>
      <c r="V117" s="101">
        <v>125</v>
      </c>
      <c r="W117" s="101">
        <v>125</v>
      </c>
      <c r="X117" s="101">
        <v>0</v>
      </c>
      <c r="Y117" s="101">
        <v>0</v>
      </c>
      <c r="Z117" s="101">
        <v>0</v>
      </c>
      <c r="AA117" s="101">
        <v>0</v>
      </c>
      <c r="AB117" s="101">
        <v>0</v>
      </c>
      <c r="AC117" s="101">
        <v>0</v>
      </c>
      <c r="AD117" s="101">
        <v>0</v>
      </c>
      <c r="AE117" s="186">
        <v>0.08</v>
      </c>
      <c r="AF117" s="93">
        <v>0</v>
      </c>
      <c r="AG117" s="93">
        <v>30</v>
      </c>
      <c r="AH117" s="93">
        <v>30</v>
      </c>
      <c r="AI117" s="16">
        <v>1</v>
      </c>
      <c r="AJ117" s="16" t="s">
        <v>660</v>
      </c>
      <c r="AK117" s="16" t="s">
        <v>745</v>
      </c>
      <c r="AL117" s="16"/>
      <c r="AM117" s="60"/>
      <c r="AN117" s="60"/>
      <c r="AO117" s="60"/>
      <c r="AP117" s="60"/>
      <c r="AQ117" s="60"/>
      <c r="AR117" s="60"/>
      <c r="AS117" s="63"/>
      <c r="AT117" s="63"/>
      <c r="AU117" s="63"/>
      <c r="AV117" s="131"/>
      <c r="AW117" s="131"/>
      <c r="AX117" s="131"/>
      <c r="AY117" s="27" t="s">
        <v>662</v>
      </c>
      <c r="AZ117" s="27"/>
      <c r="BA117" s="27"/>
      <c r="BB117" s="30"/>
      <c r="BC117" s="30"/>
      <c r="BD117" s="30"/>
      <c r="BE117" s="30"/>
      <c r="BF117" s="30"/>
      <c r="BG117" s="30"/>
      <c r="BH117" s="107"/>
      <c r="BI117" s="107"/>
      <c r="BJ117" s="107"/>
      <c r="BK117" s="107"/>
      <c r="BL117" s="136"/>
      <c r="BM117" s="122"/>
      <c r="BN117" s="138">
        <f>DL117</f>
        <v>1</v>
      </c>
      <c r="BO117" s="93">
        <v>0.25</v>
      </c>
      <c r="BP117" s="93">
        <v>0.25</v>
      </c>
      <c r="BQ117" s="93">
        <v>0.25</v>
      </c>
      <c r="BR117" s="93">
        <v>0.25</v>
      </c>
      <c r="BS117" s="93"/>
      <c r="BT117" s="93"/>
      <c r="BU117" s="27">
        <f t="shared" si="95"/>
        <v>0</v>
      </c>
      <c r="BV117" s="27"/>
      <c r="BW117" s="27"/>
      <c r="BX117" s="27"/>
      <c r="BY117" s="27"/>
      <c r="BZ117" s="27"/>
      <c r="CA117" s="27"/>
      <c r="CB117" s="97">
        <f t="shared" ref="CB117" si="111">DL117</f>
        <v>1</v>
      </c>
      <c r="CC117" s="97">
        <f t="shared" si="109"/>
        <v>1</v>
      </c>
      <c r="CD117" s="97">
        <f t="shared" si="109"/>
        <v>1</v>
      </c>
      <c r="CE117" s="97">
        <f t="shared" si="109"/>
        <v>1</v>
      </c>
      <c r="CF117" s="97">
        <f t="shared" si="109"/>
        <v>1</v>
      </c>
      <c r="CG117" s="97">
        <f t="shared" si="109"/>
        <v>1</v>
      </c>
      <c r="CH117" s="97">
        <v>1</v>
      </c>
      <c r="CI117" s="173"/>
      <c r="CJ117" s="173"/>
      <c r="CK117" s="173"/>
      <c r="CL117" s="173"/>
      <c r="CM117" s="173"/>
      <c r="CN117" s="173"/>
      <c r="CO117" s="173"/>
      <c r="CP117" s="174"/>
      <c r="CQ117" s="174"/>
      <c r="CR117" s="174"/>
      <c r="CS117" s="174"/>
      <c r="CT117" s="174"/>
      <c r="CU117" s="174"/>
      <c r="CV117" s="174"/>
      <c r="CW117" s="165"/>
      <c r="CX117" s="166"/>
      <c r="CY117" s="166"/>
      <c r="CZ117" s="166"/>
      <c r="DA117" s="166"/>
      <c r="DB117" s="166"/>
      <c r="DC117" s="166"/>
      <c r="DD117" s="171"/>
      <c r="DE117" s="171"/>
      <c r="DF117" s="171"/>
      <c r="DG117" s="171"/>
      <c r="DH117" s="171"/>
      <c r="DI117" s="171"/>
      <c r="DJ117" s="171"/>
      <c r="DK117" s="79" t="s">
        <v>951</v>
      </c>
      <c r="DL117" s="128">
        <f>VLOOKUP($F117,Activities!$A$9:$I$180,3,FALSE)/$AI117</f>
        <v>1</v>
      </c>
      <c r="DM117" s="128">
        <f>VLOOKUP($F117,Activities!$A$9:$I$180,4,FALSE)/$AI117</f>
        <v>1</v>
      </c>
      <c r="DN117" s="128">
        <f>VLOOKUP($F117,Activities!$A$9:$I$180,5,FALSE)/$AI117</f>
        <v>1</v>
      </c>
      <c r="DO117" s="128">
        <f>VLOOKUP($F117,Activities!$A$9:$I$180,6,FALSE)/$AI117</f>
        <v>1</v>
      </c>
      <c r="DP117" s="128">
        <f>VLOOKUP($F117,Activities!$A$9:$I$180,7,FALSE)/$AI117</f>
        <v>1</v>
      </c>
      <c r="DQ117" s="128">
        <f>VLOOKUP($F117,Activities!$A$9:$I$180,8,FALSE)/$AI117</f>
        <v>1</v>
      </c>
      <c r="DR117" s="128">
        <f>VLOOKUP($F117,Activities!$A$9:$I$180,9,FALSE)/$AI117</f>
        <v>1</v>
      </c>
      <c r="DS117" s="218"/>
      <c r="DT117" s="360"/>
      <c r="DU117" s="360"/>
      <c r="DV117" s="360"/>
      <c r="DW117" s="360"/>
      <c r="DX117" s="360"/>
      <c r="DY117" s="360"/>
      <c r="DZ117" s="360"/>
      <c r="EA117" s="360"/>
      <c r="EB117" s="360"/>
      <c r="EC117" s="360"/>
      <c r="ED117" s="360"/>
      <c r="EE117" s="360"/>
      <c r="EF117" s="360"/>
      <c r="EG117" s="360"/>
      <c r="EH117" s="360"/>
      <c r="EI117" s="360"/>
      <c r="EJ117" s="360"/>
      <c r="EK117" s="360"/>
      <c r="EL117" s="360"/>
      <c r="EM117" s="360"/>
      <c r="EN117" s="360"/>
      <c r="EO117" s="360"/>
      <c r="EP117" s="360"/>
      <c r="EQ117" s="360"/>
    </row>
    <row r="118" spans="1:147" x14ac:dyDescent="0.35">
      <c r="A118" s="6" t="s">
        <v>957</v>
      </c>
      <c r="B118" s="6" t="s">
        <v>740</v>
      </c>
      <c r="C118" s="6" t="s">
        <v>655</v>
      </c>
      <c r="D118" s="6" t="s">
        <v>741</v>
      </c>
      <c r="E118" s="6" t="s">
        <v>945</v>
      </c>
      <c r="F118" s="6" t="s">
        <v>377</v>
      </c>
      <c r="G118" s="48" t="s">
        <v>958</v>
      </c>
      <c r="H118" s="48" t="s">
        <v>908</v>
      </c>
      <c r="I118" s="102">
        <v>5660</v>
      </c>
      <c r="J118" s="102">
        <v>5661</v>
      </c>
      <c r="K118" s="102">
        <v>5662</v>
      </c>
      <c r="L118" s="102">
        <v>5663</v>
      </c>
      <c r="M118" s="102">
        <v>5664</v>
      </c>
      <c r="N118" s="102">
        <v>5665</v>
      </c>
      <c r="O118" s="102">
        <v>5666</v>
      </c>
      <c r="P118" s="94">
        <v>0</v>
      </c>
      <c r="Q118" s="102">
        <v>169</v>
      </c>
      <c r="R118" s="102">
        <v>169</v>
      </c>
      <c r="S118" s="102">
        <v>169</v>
      </c>
      <c r="T118" s="102">
        <v>169</v>
      </c>
      <c r="U118" s="102">
        <v>169</v>
      </c>
      <c r="V118" s="102">
        <v>169</v>
      </c>
      <c r="W118" s="102">
        <v>169</v>
      </c>
      <c r="X118" s="102">
        <v>0</v>
      </c>
      <c r="Y118" s="102">
        <v>0</v>
      </c>
      <c r="Z118" s="102">
        <v>0</v>
      </c>
      <c r="AA118" s="102">
        <v>0</v>
      </c>
      <c r="AB118" s="102">
        <v>0</v>
      </c>
      <c r="AC118" s="102">
        <v>0</v>
      </c>
      <c r="AD118" s="102">
        <v>0</v>
      </c>
      <c r="AE118" s="186">
        <v>0.08</v>
      </c>
      <c r="AF118" s="94">
        <v>0</v>
      </c>
      <c r="AG118" s="94">
        <v>30</v>
      </c>
      <c r="AH118" s="94">
        <v>30</v>
      </c>
      <c r="AI118" s="17">
        <v>1</v>
      </c>
      <c r="AJ118" s="17" t="s">
        <v>660</v>
      </c>
      <c r="AK118" s="17" t="s">
        <v>745</v>
      </c>
      <c r="AL118" s="17"/>
      <c r="AM118" s="61"/>
      <c r="AN118" s="61"/>
      <c r="AO118" s="61"/>
      <c r="AP118" s="61"/>
      <c r="AQ118" s="61"/>
      <c r="AR118" s="61"/>
      <c r="AS118" s="64"/>
      <c r="AT118" s="64"/>
      <c r="AU118" s="64"/>
      <c r="AV118" s="132"/>
      <c r="AW118" s="132"/>
      <c r="AX118" s="132"/>
      <c r="AY118" s="28" t="s">
        <v>662</v>
      </c>
      <c r="AZ118" s="28"/>
      <c r="BA118" s="28"/>
      <c r="BB118" s="28"/>
      <c r="BC118" s="28"/>
      <c r="BD118" s="28"/>
      <c r="BE118" s="28"/>
      <c r="BF118" s="28"/>
      <c r="BG118" s="28"/>
      <c r="BH118" s="106"/>
      <c r="BI118" s="106"/>
      <c r="BJ118" s="106"/>
      <c r="BK118" s="106"/>
      <c r="BL118" s="137"/>
      <c r="BM118" s="123"/>
      <c r="BN118" s="139">
        <v>0</v>
      </c>
      <c r="BO118" s="94"/>
      <c r="BP118" s="94"/>
      <c r="BQ118" s="94"/>
      <c r="BR118" s="94"/>
      <c r="BS118" s="94"/>
      <c r="BT118" s="94"/>
      <c r="BU118" s="28">
        <f t="shared" si="95"/>
        <v>0</v>
      </c>
      <c r="BV118" s="28"/>
      <c r="BW118" s="28"/>
      <c r="BX118" s="28"/>
      <c r="BY118" s="28"/>
      <c r="BZ118" s="28"/>
      <c r="CA118" s="28"/>
      <c r="CB118" s="99"/>
      <c r="CC118" s="99">
        <f t="shared" si="109"/>
        <v>1</v>
      </c>
      <c r="CD118" s="99">
        <f t="shared" si="109"/>
        <v>1</v>
      </c>
      <c r="CE118" s="99">
        <f t="shared" si="109"/>
        <v>1</v>
      </c>
      <c r="CF118" s="99">
        <f t="shared" si="109"/>
        <v>1</v>
      </c>
      <c r="CG118" s="99">
        <f t="shared" si="109"/>
        <v>1</v>
      </c>
      <c r="CH118" s="99">
        <f t="shared" si="109"/>
        <v>1</v>
      </c>
      <c r="CI118" s="175"/>
      <c r="CJ118" s="175"/>
      <c r="CK118" s="175"/>
      <c r="CL118" s="175"/>
      <c r="CM118" s="175"/>
      <c r="CN118" s="175"/>
      <c r="CO118" s="175"/>
      <c r="CP118" s="176"/>
      <c r="CQ118" s="176"/>
      <c r="CR118" s="176"/>
      <c r="CS118" s="176"/>
      <c r="CT118" s="176"/>
      <c r="CU118" s="176"/>
      <c r="CV118" s="176"/>
      <c r="CW118" s="167"/>
      <c r="CX118" s="168"/>
      <c r="CY118" s="168"/>
      <c r="CZ118" s="168"/>
      <c r="DA118" s="168"/>
      <c r="DB118" s="168"/>
      <c r="DC118" s="168"/>
      <c r="DD118" s="172"/>
      <c r="DE118" s="172"/>
      <c r="DF118" s="172"/>
      <c r="DG118" s="172"/>
      <c r="DH118" s="172"/>
      <c r="DI118" s="172"/>
      <c r="DJ118" s="172"/>
      <c r="DK118" s="80" t="s">
        <v>954</v>
      </c>
      <c r="DL118" s="129">
        <f>VLOOKUP($F118,Activities!$A$9:$I$180,3,FALSE)/$AI118</f>
        <v>1</v>
      </c>
      <c r="DM118" s="129">
        <f>VLOOKUP($F118,Activities!$A$9:$I$180,4,FALSE)/$AI118</f>
        <v>1</v>
      </c>
      <c r="DN118" s="129">
        <f>VLOOKUP($F118,Activities!$A$9:$I$180,5,FALSE)/$AI118</f>
        <v>1</v>
      </c>
      <c r="DO118" s="129">
        <f>VLOOKUP($F118,Activities!$A$9:$I$180,6,FALSE)/$AI118</f>
        <v>1</v>
      </c>
      <c r="DP118" s="129">
        <f>VLOOKUP($F118,Activities!$A$9:$I$180,7,FALSE)/$AI118</f>
        <v>1</v>
      </c>
      <c r="DQ118" s="129">
        <f>VLOOKUP($F118,Activities!$A$9:$I$180,8,FALSE)/$AI118</f>
        <v>1</v>
      </c>
      <c r="DR118" s="129">
        <f>VLOOKUP($F118,Activities!$A$9:$I$180,9,FALSE)/$AI118</f>
        <v>1</v>
      </c>
      <c r="DS118" s="218"/>
      <c r="DT118" s="360"/>
      <c r="DU118" s="360"/>
      <c r="DV118" s="360"/>
      <c r="DW118" s="360"/>
      <c r="DX118" s="360"/>
      <c r="DY118" s="360"/>
      <c r="DZ118" s="360"/>
      <c r="EA118" s="360"/>
      <c r="EB118" s="360"/>
      <c r="EC118" s="360"/>
      <c r="ED118" s="360"/>
      <c r="EE118" s="360"/>
      <c r="EF118" s="360"/>
      <c r="EG118" s="360"/>
      <c r="EH118" s="360"/>
      <c r="EI118" s="360"/>
      <c r="EJ118" s="360"/>
      <c r="EK118" s="360"/>
      <c r="EL118" s="360"/>
      <c r="EM118" s="360"/>
      <c r="EN118" s="360"/>
      <c r="EO118" s="360"/>
      <c r="EP118" s="360"/>
      <c r="EQ118" s="360"/>
    </row>
    <row r="119" spans="1:147" x14ac:dyDescent="0.35">
      <c r="A119" s="5" t="s">
        <v>959</v>
      </c>
      <c r="B119" s="5" t="s">
        <v>740</v>
      </c>
      <c r="C119" s="5" t="s">
        <v>655</v>
      </c>
      <c r="D119" s="5" t="s">
        <v>741</v>
      </c>
      <c r="E119" s="5" t="s">
        <v>945</v>
      </c>
      <c r="F119" s="5" t="s">
        <v>377</v>
      </c>
      <c r="G119" s="47" t="s">
        <v>960</v>
      </c>
      <c r="H119" s="47" t="s">
        <v>908</v>
      </c>
      <c r="I119" s="101">
        <v>5660</v>
      </c>
      <c r="J119" s="101">
        <v>5661</v>
      </c>
      <c r="K119" s="101">
        <v>5662</v>
      </c>
      <c r="L119" s="101">
        <v>5663</v>
      </c>
      <c r="M119" s="101">
        <v>5664</v>
      </c>
      <c r="N119" s="101">
        <v>5665</v>
      </c>
      <c r="O119" s="101">
        <v>5666</v>
      </c>
      <c r="P119" s="93">
        <v>0</v>
      </c>
      <c r="Q119" s="101">
        <v>169</v>
      </c>
      <c r="R119" s="101">
        <v>169</v>
      </c>
      <c r="S119" s="101">
        <v>169</v>
      </c>
      <c r="T119" s="101">
        <v>169</v>
      </c>
      <c r="U119" s="101">
        <v>169</v>
      </c>
      <c r="V119" s="101">
        <v>169</v>
      </c>
      <c r="W119" s="101">
        <v>169</v>
      </c>
      <c r="X119" s="101">
        <v>0</v>
      </c>
      <c r="Y119" s="101">
        <v>0</v>
      </c>
      <c r="Z119" s="101">
        <v>0</v>
      </c>
      <c r="AA119" s="101">
        <v>0</v>
      </c>
      <c r="AB119" s="101">
        <v>0</v>
      </c>
      <c r="AC119" s="101">
        <v>0</v>
      </c>
      <c r="AD119" s="101">
        <v>0</v>
      </c>
      <c r="AE119" s="186">
        <v>0.08</v>
      </c>
      <c r="AF119" s="93">
        <v>0</v>
      </c>
      <c r="AG119" s="93">
        <v>30</v>
      </c>
      <c r="AH119" s="93">
        <v>30</v>
      </c>
      <c r="AI119" s="16">
        <v>1</v>
      </c>
      <c r="AJ119" s="16" t="s">
        <v>660</v>
      </c>
      <c r="AK119" s="16" t="s">
        <v>745</v>
      </c>
      <c r="AL119" s="16"/>
      <c r="AM119" s="60"/>
      <c r="AN119" s="60"/>
      <c r="AO119" s="60"/>
      <c r="AP119" s="60"/>
      <c r="AQ119" s="60"/>
      <c r="AR119" s="60"/>
      <c r="AS119" s="63"/>
      <c r="AT119" s="63"/>
      <c r="AU119" s="63"/>
      <c r="AV119" s="131"/>
      <c r="AW119" s="131"/>
      <c r="AX119" s="131"/>
      <c r="AY119" s="27" t="s">
        <v>662</v>
      </c>
      <c r="AZ119" s="27"/>
      <c r="BA119" s="27"/>
      <c r="BB119" s="30"/>
      <c r="BC119" s="30"/>
      <c r="BD119" s="30"/>
      <c r="BE119" s="30"/>
      <c r="BF119" s="30"/>
      <c r="BG119" s="30"/>
      <c r="BH119" s="107"/>
      <c r="BI119" s="107"/>
      <c r="BJ119" s="107"/>
      <c r="BK119" s="107"/>
      <c r="BL119" s="136"/>
      <c r="BM119" s="122"/>
      <c r="BN119" s="138">
        <v>0</v>
      </c>
      <c r="BO119" s="93"/>
      <c r="BP119" s="93"/>
      <c r="BQ119" s="93"/>
      <c r="BR119" s="93"/>
      <c r="BS119" s="93"/>
      <c r="BT119" s="93"/>
      <c r="BU119" s="27">
        <f t="shared" ref="BU119" si="112">IF(BL119=1,BN119,0)</f>
        <v>0</v>
      </c>
      <c r="BV119" s="27"/>
      <c r="BW119" s="27"/>
      <c r="BX119" s="27"/>
      <c r="BY119" s="27"/>
      <c r="BZ119" s="27"/>
      <c r="CA119" s="27"/>
      <c r="CB119" s="97"/>
      <c r="CC119" s="97">
        <f t="shared" si="109"/>
        <v>1</v>
      </c>
      <c r="CD119" s="97">
        <f t="shared" si="109"/>
        <v>1</v>
      </c>
      <c r="CE119" s="97">
        <f t="shared" si="109"/>
        <v>1</v>
      </c>
      <c r="CF119" s="97">
        <f t="shared" si="109"/>
        <v>1</v>
      </c>
      <c r="CG119" s="97">
        <f t="shared" si="109"/>
        <v>1</v>
      </c>
      <c r="CH119" s="97">
        <f t="shared" si="109"/>
        <v>1</v>
      </c>
      <c r="CI119" s="173"/>
      <c r="CJ119" s="173"/>
      <c r="CK119" s="173"/>
      <c r="CL119" s="173"/>
      <c r="CM119" s="173"/>
      <c r="CN119" s="173"/>
      <c r="CO119" s="173"/>
      <c r="CP119" s="174"/>
      <c r="CQ119" s="174"/>
      <c r="CR119" s="174"/>
      <c r="CS119" s="174"/>
      <c r="CT119" s="174"/>
      <c r="CU119" s="174"/>
      <c r="CV119" s="174"/>
      <c r="CW119" s="165"/>
      <c r="CX119" s="166"/>
      <c r="CY119" s="166"/>
      <c r="CZ119" s="166"/>
      <c r="DA119" s="166"/>
      <c r="DB119" s="166"/>
      <c r="DC119" s="166"/>
      <c r="DD119" s="171"/>
      <c r="DE119" s="171"/>
      <c r="DF119" s="171"/>
      <c r="DG119" s="171"/>
      <c r="DH119" s="171"/>
      <c r="DI119" s="171"/>
      <c r="DJ119" s="171"/>
      <c r="DK119" s="79" t="s">
        <v>954</v>
      </c>
      <c r="DL119" s="128">
        <f>VLOOKUP($F119,Activities!$A$9:$I$180,3,FALSE)/$AI119</f>
        <v>1</v>
      </c>
      <c r="DM119" s="128">
        <f>VLOOKUP($F119,Activities!$A$9:$I$180,4,FALSE)/$AI119</f>
        <v>1</v>
      </c>
      <c r="DN119" s="128">
        <f>VLOOKUP($F119,Activities!$A$9:$I$180,5,FALSE)/$AI119</f>
        <v>1</v>
      </c>
      <c r="DO119" s="128">
        <f>VLOOKUP($F119,Activities!$A$9:$I$180,6,FALSE)/$AI119</f>
        <v>1</v>
      </c>
      <c r="DP119" s="128">
        <f>VLOOKUP($F119,Activities!$A$9:$I$180,7,FALSE)/$AI119</f>
        <v>1</v>
      </c>
      <c r="DQ119" s="128">
        <f>VLOOKUP($F119,Activities!$A$9:$I$180,8,FALSE)/$AI119</f>
        <v>1</v>
      </c>
      <c r="DR119" s="128">
        <f>VLOOKUP($F119,Activities!$A$9:$I$180,9,FALSE)/$AI119</f>
        <v>1</v>
      </c>
      <c r="DS119" s="218"/>
      <c r="DT119" s="360"/>
      <c r="DU119" s="360"/>
      <c r="DV119" s="360"/>
      <c r="DW119" s="360"/>
      <c r="DX119" s="360"/>
      <c r="DY119" s="360"/>
      <c r="DZ119" s="360"/>
      <c r="EA119" s="360"/>
      <c r="EB119" s="360"/>
      <c r="EC119" s="360"/>
      <c r="ED119" s="360"/>
      <c r="EE119" s="360"/>
      <c r="EF119" s="360"/>
      <c r="EG119" s="360"/>
      <c r="EH119" s="360"/>
      <c r="EI119" s="360"/>
      <c r="EJ119" s="360"/>
      <c r="EK119" s="360"/>
      <c r="EL119" s="360"/>
      <c r="EM119" s="360"/>
      <c r="EN119" s="360"/>
      <c r="EO119" s="360"/>
      <c r="EP119" s="360"/>
      <c r="EQ119" s="360"/>
    </row>
    <row r="120" spans="1:147" x14ac:dyDescent="0.35">
      <c r="A120" s="5" t="s">
        <v>961</v>
      </c>
      <c r="B120" s="5" t="s">
        <v>740</v>
      </c>
      <c r="C120" s="5" t="s">
        <v>655</v>
      </c>
      <c r="D120" s="5" t="s">
        <v>741</v>
      </c>
      <c r="E120" s="5" t="s">
        <v>376</v>
      </c>
      <c r="F120" s="327" t="s">
        <v>499</v>
      </c>
      <c r="G120" s="5" t="s">
        <v>962</v>
      </c>
      <c r="H120" s="47" t="s">
        <v>659</v>
      </c>
      <c r="I120" s="329">
        <v>0</v>
      </c>
      <c r="J120" s="329">
        <v>0</v>
      </c>
      <c r="K120" s="329">
        <v>0</v>
      </c>
      <c r="L120" s="329">
        <v>0</v>
      </c>
      <c r="M120" s="329">
        <v>0</v>
      </c>
      <c r="N120" s="329">
        <v>0</v>
      </c>
      <c r="O120" s="329">
        <v>0</v>
      </c>
      <c r="P120" s="330"/>
      <c r="Q120" s="329">
        <v>0</v>
      </c>
      <c r="R120" s="329">
        <v>0</v>
      </c>
      <c r="S120" s="329">
        <v>0</v>
      </c>
      <c r="T120" s="329">
        <v>0</v>
      </c>
      <c r="U120" s="329">
        <v>0</v>
      </c>
      <c r="V120" s="329">
        <v>0</v>
      </c>
      <c r="W120" s="329">
        <v>0</v>
      </c>
      <c r="X120" s="329">
        <v>0</v>
      </c>
      <c r="Y120" s="329">
        <v>0</v>
      </c>
      <c r="Z120" s="329">
        <v>0</v>
      </c>
      <c r="AA120" s="329">
        <v>0</v>
      </c>
      <c r="AB120" s="329">
        <v>0</v>
      </c>
      <c r="AC120" s="329">
        <v>0</v>
      </c>
      <c r="AD120" s="329">
        <v>0</v>
      </c>
      <c r="AE120" s="186">
        <v>0.08</v>
      </c>
      <c r="AF120" s="330">
        <v>0</v>
      </c>
      <c r="AG120" s="330">
        <v>30</v>
      </c>
      <c r="AH120" s="330">
        <v>30</v>
      </c>
      <c r="AI120" s="331">
        <v>1</v>
      </c>
      <c r="AJ120" s="331" t="s">
        <v>660</v>
      </c>
      <c r="AK120" s="331" t="s">
        <v>745</v>
      </c>
      <c r="AL120" s="331"/>
      <c r="AM120" s="332"/>
      <c r="AN120" s="332"/>
      <c r="AO120" s="332"/>
      <c r="AP120" s="332"/>
      <c r="AQ120" s="332"/>
      <c r="AR120" s="332"/>
      <c r="AS120" s="333"/>
      <c r="AT120" s="333"/>
      <c r="AU120" s="333"/>
      <c r="AV120" s="334"/>
      <c r="AW120" s="334"/>
      <c r="AX120" s="334"/>
      <c r="AY120" s="335" t="s">
        <v>662</v>
      </c>
      <c r="AZ120" s="335"/>
      <c r="BA120" s="336"/>
      <c r="BB120" s="337"/>
      <c r="BC120" s="337"/>
      <c r="BD120" s="337"/>
      <c r="BE120" s="337"/>
      <c r="BF120" s="337"/>
      <c r="BG120" s="337"/>
      <c r="BH120" s="338"/>
      <c r="BI120" s="338"/>
      <c r="BJ120" s="338"/>
      <c r="BK120" s="338"/>
      <c r="BL120" s="339"/>
      <c r="BM120" s="340"/>
      <c r="BN120" s="341">
        <v>0</v>
      </c>
      <c r="BO120" s="330"/>
      <c r="BP120" s="330"/>
      <c r="BQ120" s="330"/>
      <c r="BR120" s="330"/>
      <c r="BS120" s="330"/>
      <c r="BT120" s="330"/>
      <c r="BU120" s="335">
        <v>0</v>
      </c>
      <c r="BV120" s="335"/>
      <c r="BW120" s="335"/>
      <c r="BX120" s="335"/>
      <c r="BY120" s="335"/>
      <c r="BZ120" s="335"/>
      <c r="CA120" s="335"/>
      <c r="CB120" s="342">
        <v>1000</v>
      </c>
      <c r="CC120" s="342">
        <v>1000</v>
      </c>
      <c r="CD120" s="342">
        <v>1000</v>
      </c>
      <c r="CE120" s="342">
        <v>1000</v>
      </c>
      <c r="CF120" s="342">
        <v>1000</v>
      </c>
      <c r="CG120" s="342">
        <v>1000</v>
      </c>
      <c r="CH120" s="342">
        <v>1000</v>
      </c>
      <c r="CI120" s="335"/>
      <c r="CJ120" s="335"/>
      <c r="CK120" s="335"/>
      <c r="CL120" s="335"/>
      <c r="CM120" s="335"/>
      <c r="CN120" s="335"/>
      <c r="CO120" s="335"/>
      <c r="CP120" s="343"/>
      <c r="CQ120" s="343"/>
      <c r="CR120" s="343"/>
      <c r="CS120" s="343"/>
      <c r="CT120" s="343"/>
      <c r="CU120" s="343"/>
      <c r="CV120" s="343"/>
      <c r="CW120" s="344"/>
      <c r="CX120" s="345"/>
      <c r="CY120" s="345"/>
      <c r="CZ120" s="345"/>
      <c r="DA120" s="345"/>
      <c r="DB120" s="345"/>
      <c r="DC120" s="345"/>
      <c r="DD120" s="345"/>
      <c r="DE120" s="345"/>
      <c r="DF120" s="345"/>
      <c r="DG120" s="345"/>
      <c r="DH120" s="345"/>
      <c r="DI120" s="345"/>
      <c r="DJ120" s="345"/>
      <c r="DK120" s="289" t="s">
        <v>452</v>
      </c>
      <c r="DL120" s="344">
        <v>0</v>
      </c>
      <c r="DM120" s="344">
        <v>0</v>
      </c>
      <c r="DN120" s="344">
        <v>0</v>
      </c>
      <c r="DO120" s="344">
        <v>0</v>
      </c>
      <c r="DP120" s="344">
        <v>0</v>
      </c>
      <c r="DQ120" s="344">
        <v>0</v>
      </c>
      <c r="DR120" s="344">
        <v>0</v>
      </c>
      <c r="DS120" s="346"/>
      <c r="DT120" s="360"/>
      <c r="DU120" s="360"/>
      <c r="DV120" s="360"/>
      <c r="DW120" s="360"/>
      <c r="DX120" s="360"/>
      <c r="DY120" s="360"/>
      <c r="DZ120" s="360"/>
      <c r="EA120" s="360"/>
      <c r="EB120" s="360"/>
      <c r="EC120" s="360"/>
      <c r="ED120" s="360"/>
      <c r="EE120" s="360"/>
      <c r="EF120" s="360"/>
      <c r="EG120" s="360"/>
      <c r="EH120" s="360"/>
      <c r="EI120" s="360"/>
      <c r="EJ120" s="360"/>
      <c r="EK120" s="360"/>
      <c r="EL120" s="360"/>
      <c r="EM120" s="360"/>
      <c r="EN120" s="360"/>
      <c r="EO120" s="360"/>
      <c r="EP120" s="360"/>
      <c r="EQ120" s="360"/>
    </row>
    <row r="121" spans="1:147" x14ac:dyDescent="0.35">
      <c r="A121" s="6" t="s">
        <v>963</v>
      </c>
      <c r="B121" s="6" t="s">
        <v>734</v>
      </c>
      <c r="C121" s="6" t="s">
        <v>655</v>
      </c>
      <c r="D121" s="6" t="s">
        <v>741</v>
      </c>
      <c r="E121" s="6" t="s">
        <v>735</v>
      </c>
      <c r="F121" s="6" t="s">
        <v>378</v>
      </c>
      <c r="G121" s="48" t="s">
        <v>964</v>
      </c>
      <c r="H121" s="48" t="s">
        <v>659</v>
      </c>
      <c r="I121" s="102">
        <v>265</v>
      </c>
      <c r="J121" s="102">
        <v>265</v>
      </c>
      <c r="K121" s="102">
        <v>265</v>
      </c>
      <c r="L121" s="102">
        <v>265</v>
      </c>
      <c r="M121" s="102">
        <v>265</v>
      </c>
      <c r="N121" s="102">
        <v>265</v>
      </c>
      <c r="O121" s="102">
        <v>265</v>
      </c>
      <c r="P121" s="94">
        <v>0</v>
      </c>
      <c r="Q121" s="102">
        <v>0</v>
      </c>
      <c r="R121" s="102">
        <v>0</v>
      </c>
      <c r="S121" s="102">
        <v>0</v>
      </c>
      <c r="T121" s="102">
        <v>0</v>
      </c>
      <c r="U121" s="102">
        <v>0</v>
      </c>
      <c r="V121" s="102">
        <v>0</v>
      </c>
      <c r="W121" s="102">
        <v>0</v>
      </c>
      <c r="X121" s="102">
        <v>0</v>
      </c>
      <c r="Y121" s="102">
        <v>0</v>
      </c>
      <c r="Z121" s="102">
        <v>0</v>
      </c>
      <c r="AA121" s="102">
        <v>0</v>
      </c>
      <c r="AB121" s="102">
        <v>0</v>
      </c>
      <c r="AC121" s="102">
        <v>0</v>
      </c>
      <c r="AD121" s="102">
        <v>0</v>
      </c>
      <c r="AE121" s="186">
        <v>0.08</v>
      </c>
      <c r="AF121" s="94">
        <v>0</v>
      </c>
      <c r="AG121" s="94">
        <v>15</v>
      </c>
      <c r="AH121" s="94">
        <v>15</v>
      </c>
      <c r="AI121" s="17">
        <v>1</v>
      </c>
      <c r="AJ121" s="17" t="s">
        <v>660</v>
      </c>
      <c r="AK121" s="17" t="s">
        <v>965</v>
      </c>
      <c r="AL121" s="17"/>
      <c r="AM121" s="61"/>
      <c r="AN121" s="61"/>
      <c r="AO121" s="61"/>
      <c r="AP121" s="61"/>
      <c r="AQ121" s="61"/>
      <c r="AR121" s="61"/>
      <c r="AS121" s="64"/>
      <c r="AT121" s="64"/>
      <c r="AU121" s="64"/>
      <c r="AV121" s="132"/>
      <c r="AW121" s="132"/>
      <c r="AX121" s="132"/>
      <c r="AY121" s="28" t="s">
        <v>662</v>
      </c>
      <c r="AZ121" s="28"/>
      <c r="BA121" s="28"/>
      <c r="BB121" s="28"/>
      <c r="BC121" s="28"/>
      <c r="BD121" s="28"/>
      <c r="BE121" s="28"/>
      <c r="BF121" s="28"/>
      <c r="BG121" s="28"/>
      <c r="BH121" s="106"/>
      <c r="BI121" s="106"/>
      <c r="BJ121" s="106"/>
      <c r="BK121" s="106"/>
      <c r="BL121" s="137"/>
      <c r="BM121" s="123"/>
      <c r="BN121" s="139">
        <f>DL121</f>
        <v>25.4</v>
      </c>
      <c r="BO121" s="94">
        <v>10</v>
      </c>
      <c r="BP121" s="94">
        <v>10</v>
      </c>
      <c r="BQ121" s="94">
        <v>5</v>
      </c>
      <c r="BR121" s="94"/>
      <c r="BS121" s="94"/>
      <c r="BT121" s="94"/>
      <c r="BU121" s="28">
        <f t="shared" si="95"/>
        <v>0</v>
      </c>
      <c r="BV121" s="28"/>
      <c r="BW121" s="28"/>
      <c r="BX121" s="28"/>
      <c r="BY121" s="28"/>
      <c r="BZ121" s="28"/>
      <c r="CA121" s="28"/>
      <c r="CB121" s="99">
        <f t="shared" ref="CB121" si="113">DL121</f>
        <v>25.4</v>
      </c>
      <c r="CC121" s="99">
        <f t="shared" si="109"/>
        <v>25.4</v>
      </c>
      <c r="CD121" s="99">
        <f t="shared" si="109"/>
        <v>25.4</v>
      </c>
      <c r="CE121" s="99">
        <f t="shared" si="109"/>
        <v>25.4</v>
      </c>
      <c r="CF121" s="99">
        <f t="shared" si="109"/>
        <v>25.4</v>
      </c>
      <c r="CG121" s="99">
        <f t="shared" si="109"/>
        <v>25.4</v>
      </c>
      <c r="CH121" s="99">
        <f t="shared" si="109"/>
        <v>25.4</v>
      </c>
      <c r="CI121" s="175"/>
      <c r="CJ121" s="175"/>
      <c r="CK121" s="175"/>
      <c r="CL121" s="175"/>
      <c r="CM121" s="175"/>
      <c r="CN121" s="175"/>
      <c r="CO121" s="175"/>
      <c r="CP121" s="176"/>
      <c r="CQ121" s="176"/>
      <c r="CR121" s="176"/>
      <c r="CS121" s="176"/>
      <c r="CT121" s="176"/>
      <c r="CU121" s="176"/>
      <c r="CV121" s="176"/>
      <c r="CW121" s="167"/>
      <c r="CX121" s="168"/>
      <c r="CY121" s="168"/>
      <c r="CZ121" s="168"/>
      <c r="DA121" s="168"/>
      <c r="DB121" s="168"/>
      <c r="DC121" s="168"/>
      <c r="DD121" s="172"/>
      <c r="DE121" s="172"/>
      <c r="DF121" s="172"/>
      <c r="DG121" s="172"/>
      <c r="DH121" s="172"/>
      <c r="DI121" s="172"/>
      <c r="DJ121" s="172"/>
      <c r="DK121" s="80" t="s">
        <v>951</v>
      </c>
      <c r="DL121" s="129">
        <f>VLOOKUP($F121,Activities!$A$9:$I$180,3,FALSE)/$AI121</f>
        <v>25.4</v>
      </c>
      <c r="DM121" s="129">
        <f>VLOOKUP($F121,Activities!$A$9:$I$180,4,FALSE)/$AI121</f>
        <v>25.4</v>
      </c>
      <c r="DN121" s="129">
        <f>VLOOKUP($F121,Activities!$A$9:$I$180,5,FALSE)/$AI121</f>
        <v>25.4</v>
      </c>
      <c r="DO121" s="129">
        <f>VLOOKUP($F121,Activities!$A$9:$I$180,6,FALSE)/$AI121</f>
        <v>25.4</v>
      </c>
      <c r="DP121" s="129">
        <f>VLOOKUP($F121,Activities!$A$9:$I$180,7,FALSE)/$AI121</f>
        <v>25.4</v>
      </c>
      <c r="DQ121" s="129">
        <f>VLOOKUP($F121,Activities!$A$9:$I$180,8,FALSE)/$AI121</f>
        <v>25.4</v>
      </c>
      <c r="DR121" s="129">
        <f>VLOOKUP($F121,Activities!$A$9:$I$180,9,FALSE)/$AI121</f>
        <v>25.4</v>
      </c>
      <c r="DS121" s="218"/>
      <c r="DT121" s="360"/>
      <c r="DU121" s="360"/>
      <c r="DV121" s="360"/>
      <c r="DW121" s="360"/>
      <c r="DX121" s="360"/>
      <c r="DY121" s="360"/>
      <c r="DZ121" s="360"/>
      <c r="EA121" s="360"/>
      <c r="EB121" s="360"/>
      <c r="EC121" s="360"/>
      <c r="ED121" s="360"/>
      <c r="EE121" s="360"/>
      <c r="EF121" s="360"/>
      <c r="EG121" s="360"/>
      <c r="EH121" s="360"/>
      <c r="EI121" s="360"/>
      <c r="EJ121" s="360"/>
      <c r="EK121" s="360"/>
      <c r="EL121" s="360"/>
      <c r="EM121" s="360"/>
      <c r="EN121" s="360"/>
      <c r="EO121" s="360"/>
      <c r="EP121" s="360"/>
      <c r="EQ121" s="360"/>
    </row>
    <row r="122" spans="1:147" x14ac:dyDescent="0.35">
      <c r="A122" s="5" t="s">
        <v>966</v>
      </c>
      <c r="B122" s="5" t="s">
        <v>734</v>
      </c>
      <c r="C122" s="5" t="s">
        <v>655</v>
      </c>
      <c r="D122" s="5" t="s">
        <v>741</v>
      </c>
      <c r="E122" s="5" t="s">
        <v>735</v>
      </c>
      <c r="F122" s="5" t="s">
        <v>378</v>
      </c>
      <c r="G122" s="47" t="s">
        <v>967</v>
      </c>
      <c r="H122" s="47" t="s">
        <v>659</v>
      </c>
      <c r="I122" s="101">
        <v>570</v>
      </c>
      <c r="J122" s="101">
        <v>541.5</v>
      </c>
      <c r="K122" s="101">
        <v>514.42999999999995</v>
      </c>
      <c r="L122" s="101">
        <v>488.7</v>
      </c>
      <c r="M122" s="101">
        <v>464.27</v>
      </c>
      <c r="N122" s="101">
        <v>441.06</v>
      </c>
      <c r="O122" s="101">
        <v>419</v>
      </c>
      <c r="P122" s="93">
        <v>0</v>
      </c>
      <c r="Q122" s="101">
        <v>0</v>
      </c>
      <c r="R122" s="101">
        <v>0</v>
      </c>
      <c r="S122" s="101">
        <v>0</v>
      </c>
      <c r="T122" s="101">
        <v>0</v>
      </c>
      <c r="U122" s="101">
        <v>0</v>
      </c>
      <c r="V122" s="101">
        <v>0</v>
      </c>
      <c r="W122" s="101">
        <v>0</v>
      </c>
      <c r="X122" s="101">
        <v>0</v>
      </c>
      <c r="Y122" s="101">
        <v>0</v>
      </c>
      <c r="Z122" s="101">
        <v>0</v>
      </c>
      <c r="AA122" s="101">
        <v>0</v>
      </c>
      <c r="AB122" s="101">
        <v>0</v>
      </c>
      <c r="AC122" s="101">
        <v>0</v>
      </c>
      <c r="AD122" s="101">
        <v>0</v>
      </c>
      <c r="AE122" s="186">
        <v>0.08</v>
      </c>
      <c r="AF122" s="93">
        <v>0</v>
      </c>
      <c r="AG122" s="93">
        <v>15</v>
      </c>
      <c r="AH122" s="93">
        <v>15</v>
      </c>
      <c r="AI122" s="16">
        <v>1</v>
      </c>
      <c r="AJ122" s="16" t="s">
        <v>660</v>
      </c>
      <c r="AK122" s="16" t="s">
        <v>965</v>
      </c>
      <c r="AL122" s="16"/>
      <c r="AM122" s="60"/>
      <c r="AN122" s="60"/>
      <c r="AO122" s="60"/>
      <c r="AP122" s="60"/>
      <c r="AQ122" s="60"/>
      <c r="AR122" s="60"/>
      <c r="AS122" s="63"/>
      <c r="AT122" s="63"/>
      <c r="AU122" s="63"/>
      <c r="AV122" s="131"/>
      <c r="AW122" s="131"/>
      <c r="AX122" s="131"/>
      <c r="AY122" s="27" t="s">
        <v>662</v>
      </c>
      <c r="AZ122" s="27"/>
      <c r="BA122" s="27"/>
      <c r="BB122" s="30"/>
      <c r="BC122" s="30"/>
      <c r="BD122" s="30"/>
      <c r="BE122" s="30"/>
      <c r="BF122" s="30"/>
      <c r="BG122" s="30"/>
      <c r="BH122" s="107"/>
      <c r="BI122" s="107"/>
      <c r="BJ122" s="107"/>
      <c r="BK122" s="107"/>
      <c r="BL122" s="136"/>
      <c r="BM122" s="122"/>
      <c r="BN122" s="138">
        <v>0</v>
      </c>
      <c r="BO122" s="93"/>
      <c r="BP122" s="93"/>
      <c r="BQ122" s="93"/>
      <c r="BR122" s="93"/>
      <c r="BS122" s="93"/>
      <c r="BT122" s="93"/>
      <c r="BU122" s="27">
        <f t="shared" si="95"/>
        <v>0</v>
      </c>
      <c r="BV122" s="27"/>
      <c r="BW122" s="27"/>
      <c r="BX122" s="27"/>
      <c r="BY122" s="27"/>
      <c r="BZ122" s="27"/>
      <c r="CA122" s="27"/>
      <c r="CB122" s="97"/>
      <c r="CC122" s="97">
        <f t="shared" si="109"/>
        <v>25.4</v>
      </c>
      <c r="CD122" s="97">
        <f t="shared" si="109"/>
        <v>25.4</v>
      </c>
      <c r="CE122" s="97">
        <f t="shared" si="109"/>
        <v>25.4</v>
      </c>
      <c r="CF122" s="97">
        <f t="shared" si="109"/>
        <v>25.4</v>
      </c>
      <c r="CG122" s="97">
        <f t="shared" si="109"/>
        <v>25.4</v>
      </c>
      <c r="CH122" s="97">
        <f t="shared" si="109"/>
        <v>25.4</v>
      </c>
      <c r="CI122" s="173"/>
      <c r="CJ122" s="173"/>
      <c r="CK122" s="173"/>
      <c r="CL122" s="173"/>
      <c r="CM122" s="173"/>
      <c r="CN122" s="173"/>
      <c r="CO122" s="173"/>
      <c r="CP122" s="174"/>
      <c r="CQ122" s="174"/>
      <c r="CR122" s="174"/>
      <c r="CS122" s="174"/>
      <c r="CT122" s="174"/>
      <c r="CU122" s="174"/>
      <c r="CV122" s="174"/>
      <c r="CW122" s="165"/>
      <c r="CX122" s="166"/>
      <c r="CY122" s="166"/>
      <c r="CZ122" s="166"/>
      <c r="DA122" s="166"/>
      <c r="DB122" s="166"/>
      <c r="DC122" s="166"/>
      <c r="DD122" s="171"/>
      <c r="DE122" s="171"/>
      <c r="DF122" s="171"/>
      <c r="DG122" s="171"/>
      <c r="DH122" s="171"/>
      <c r="DI122" s="171"/>
      <c r="DJ122" s="171"/>
      <c r="DK122" s="79" t="s">
        <v>954</v>
      </c>
      <c r="DL122" s="128">
        <f>VLOOKUP($F122,Activities!$A$9:$I$180,3,FALSE)/$AI122</f>
        <v>25.4</v>
      </c>
      <c r="DM122" s="128">
        <f>VLOOKUP($F122,Activities!$A$9:$I$180,4,FALSE)/$AI122</f>
        <v>25.4</v>
      </c>
      <c r="DN122" s="128">
        <f>VLOOKUP($F122,Activities!$A$9:$I$180,5,FALSE)/$AI122</f>
        <v>25.4</v>
      </c>
      <c r="DO122" s="128">
        <f>VLOOKUP($F122,Activities!$A$9:$I$180,6,FALSE)/$AI122</f>
        <v>25.4</v>
      </c>
      <c r="DP122" s="128">
        <f>VLOOKUP($F122,Activities!$A$9:$I$180,7,FALSE)/$AI122</f>
        <v>25.4</v>
      </c>
      <c r="DQ122" s="128">
        <f>VLOOKUP($F122,Activities!$A$9:$I$180,8,FALSE)/$AI122</f>
        <v>25.4</v>
      </c>
      <c r="DR122" s="128">
        <f>VLOOKUP($F122,Activities!$A$9:$I$180,9,FALSE)/$AI122</f>
        <v>25.4</v>
      </c>
      <c r="DS122" s="218"/>
      <c r="DT122" s="360"/>
      <c r="DU122" s="360"/>
      <c r="DV122" s="360"/>
      <c r="DW122" s="360"/>
      <c r="DX122" s="360"/>
      <c r="DY122" s="360"/>
      <c r="DZ122" s="360"/>
      <c r="EA122" s="360"/>
      <c r="EB122" s="360"/>
      <c r="EC122" s="360"/>
      <c r="ED122" s="360"/>
      <c r="EE122" s="360"/>
      <c r="EF122" s="360"/>
      <c r="EG122" s="360"/>
      <c r="EH122" s="360"/>
      <c r="EI122" s="360"/>
      <c r="EJ122" s="360"/>
      <c r="EK122" s="360"/>
      <c r="EL122" s="360"/>
      <c r="EM122" s="360"/>
      <c r="EN122" s="360"/>
      <c r="EO122" s="360"/>
      <c r="EP122" s="360"/>
      <c r="EQ122" s="360"/>
    </row>
    <row r="123" spans="1:147" x14ac:dyDescent="0.35">
      <c r="A123" s="6" t="s">
        <v>968</v>
      </c>
      <c r="B123" s="6" t="s">
        <v>734</v>
      </c>
      <c r="C123" s="6" t="s">
        <v>655</v>
      </c>
      <c r="D123" s="6" t="s">
        <v>741</v>
      </c>
      <c r="E123" s="6" t="s">
        <v>735</v>
      </c>
      <c r="F123" s="6" t="s">
        <v>378</v>
      </c>
      <c r="G123" s="48" t="s">
        <v>969</v>
      </c>
      <c r="H123" s="48" t="s">
        <v>659</v>
      </c>
      <c r="I123" s="102">
        <v>570</v>
      </c>
      <c r="J123" s="102">
        <v>541.5</v>
      </c>
      <c r="K123" s="102">
        <v>514.42999999999995</v>
      </c>
      <c r="L123" s="102">
        <v>488.7</v>
      </c>
      <c r="M123" s="102">
        <v>464.27</v>
      </c>
      <c r="N123" s="102">
        <v>441.06</v>
      </c>
      <c r="O123" s="102">
        <v>419</v>
      </c>
      <c r="P123" s="94">
        <v>0</v>
      </c>
      <c r="Q123" s="102">
        <v>0</v>
      </c>
      <c r="R123" s="102">
        <v>0</v>
      </c>
      <c r="S123" s="102">
        <v>0</v>
      </c>
      <c r="T123" s="102">
        <v>0</v>
      </c>
      <c r="U123" s="102">
        <v>0</v>
      </c>
      <c r="V123" s="102">
        <v>0</v>
      </c>
      <c r="W123" s="102">
        <v>0</v>
      </c>
      <c r="X123" s="102">
        <v>0</v>
      </c>
      <c r="Y123" s="102">
        <v>0</v>
      </c>
      <c r="Z123" s="102">
        <v>0</v>
      </c>
      <c r="AA123" s="102">
        <v>0</v>
      </c>
      <c r="AB123" s="102">
        <v>0</v>
      </c>
      <c r="AC123" s="102">
        <v>0</v>
      </c>
      <c r="AD123" s="102">
        <v>0</v>
      </c>
      <c r="AE123" s="186">
        <v>0.08</v>
      </c>
      <c r="AF123" s="94">
        <v>0</v>
      </c>
      <c r="AG123" s="94">
        <v>15</v>
      </c>
      <c r="AH123" s="94">
        <v>15</v>
      </c>
      <c r="AI123" s="17">
        <v>1</v>
      </c>
      <c r="AJ123" s="17" t="s">
        <v>660</v>
      </c>
      <c r="AK123" s="17" t="s">
        <v>965</v>
      </c>
      <c r="AL123" s="17"/>
      <c r="AM123" s="61"/>
      <c r="AN123" s="61"/>
      <c r="AO123" s="61"/>
      <c r="AP123" s="61"/>
      <c r="AQ123" s="61"/>
      <c r="AR123" s="61"/>
      <c r="AS123" s="64"/>
      <c r="AT123" s="64"/>
      <c r="AU123" s="64"/>
      <c r="AV123" s="132"/>
      <c r="AW123" s="132"/>
      <c r="AX123" s="132"/>
      <c r="AY123" s="28" t="s">
        <v>662</v>
      </c>
      <c r="AZ123" s="28"/>
      <c r="BA123" s="28"/>
      <c r="BB123" s="28"/>
      <c r="BC123" s="28"/>
      <c r="BD123" s="28"/>
      <c r="BE123" s="28"/>
      <c r="BF123" s="28"/>
      <c r="BG123" s="28"/>
      <c r="BH123" s="106"/>
      <c r="BI123" s="106"/>
      <c r="BJ123" s="106"/>
      <c r="BK123" s="106"/>
      <c r="BL123" s="137"/>
      <c r="BM123" s="123"/>
      <c r="BN123" s="139">
        <v>0</v>
      </c>
      <c r="BO123" s="94"/>
      <c r="BP123" s="94"/>
      <c r="BQ123" s="94"/>
      <c r="BR123" s="94"/>
      <c r="BS123" s="94"/>
      <c r="BT123" s="94"/>
      <c r="BU123" s="28">
        <f t="shared" si="95"/>
        <v>0</v>
      </c>
      <c r="BV123" s="28"/>
      <c r="BW123" s="28"/>
      <c r="BX123" s="28"/>
      <c r="BY123" s="28"/>
      <c r="BZ123" s="28"/>
      <c r="CA123" s="28"/>
      <c r="CB123" s="99"/>
      <c r="CC123" s="99">
        <f t="shared" si="109"/>
        <v>25.4</v>
      </c>
      <c r="CD123" s="99">
        <f t="shared" si="109"/>
        <v>25.4</v>
      </c>
      <c r="CE123" s="99">
        <f t="shared" si="109"/>
        <v>25.4</v>
      </c>
      <c r="CF123" s="99">
        <f t="shared" si="109"/>
        <v>25.4</v>
      </c>
      <c r="CG123" s="99">
        <f t="shared" si="109"/>
        <v>25.4</v>
      </c>
      <c r="CH123" s="99">
        <f t="shared" si="109"/>
        <v>25.4</v>
      </c>
      <c r="CI123" s="175"/>
      <c r="CJ123" s="175"/>
      <c r="CK123" s="175"/>
      <c r="CL123" s="175"/>
      <c r="CM123" s="175"/>
      <c r="CN123" s="175"/>
      <c r="CO123" s="175"/>
      <c r="CP123" s="176"/>
      <c r="CQ123" s="176"/>
      <c r="CR123" s="176"/>
      <c r="CS123" s="176"/>
      <c r="CT123" s="176"/>
      <c r="CU123" s="176"/>
      <c r="CV123" s="176"/>
      <c r="CW123" s="167"/>
      <c r="CX123" s="168"/>
      <c r="CY123" s="168"/>
      <c r="CZ123" s="168"/>
      <c r="DA123" s="168"/>
      <c r="DB123" s="168"/>
      <c r="DC123" s="168"/>
      <c r="DD123" s="172"/>
      <c r="DE123" s="172"/>
      <c r="DF123" s="172"/>
      <c r="DG123" s="172"/>
      <c r="DH123" s="172"/>
      <c r="DI123" s="172"/>
      <c r="DJ123" s="172"/>
      <c r="DK123" s="80" t="s">
        <v>699</v>
      </c>
      <c r="DL123" s="129">
        <f>VLOOKUP($F123,Activities!$A$9:$I$180,3,FALSE)/$AI123</f>
        <v>25.4</v>
      </c>
      <c r="DM123" s="129">
        <f>VLOOKUP($F123,Activities!$A$9:$I$180,4,FALSE)/$AI123</f>
        <v>25.4</v>
      </c>
      <c r="DN123" s="129">
        <f>VLOOKUP($F123,Activities!$A$9:$I$180,5,FALSE)/$AI123</f>
        <v>25.4</v>
      </c>
      <c r="DO123" s="129">
        <f>VLOOKUP($F123,Activities!$A$9:$I$180,6,FALSE)/$AI123</f>
        <v>25.4</v>
      </c>
      <c r="DP123" s="129">
        <f>VLOOKUP($F123,Activities!$A$9:$I$180,7,FALSE)/$AI123</f>
        <v>25.4</v>
      </c>
      <c r="DQ123" s="129">
        <f>VLOOKUP($F123,Activities!$A$9:$I$180,8,FALSE)/$AI123</f>
        <v>25.4</v>
      </c>
      <c r="DR123" s="129">
        <f>VLOOKUP($F123,Activities!$A$9:$I$180,9,FALSE)/$AI123</f>
        <v>25.4</v>
      </c>
      <c r="DS123" s="218"/>
      <c r="DT123" s="360"/>
      <c r="DU123" s="360"/>
      <c r="DV123" s="360"/>
      <c r="DW123" s="360"/>
      <c r="DX123" s="360"/>
      <c r="DY123" s="360"/>
      <c r="DZ123" s="360"/>
      <c r="EA123" s="360"/>
      <c r="EB123" s="360"/>
      <c r="EC123" s="360"/>
      <c r="ED123" s="360"/>
      <c r="EE123" s="360"/>
      <c r="EF123" s="360"/>
      <c r="EG123" s="360"/>
      <c r="EH123" s="360"/>
      <c r="EI123" s="360"/>
      <c r="EJ123" s="360"/>
      <c r="EK123" s="360"/>
      <c r="EL123" s="360"/>
      <c r="EM123" s="360"/>
      <c r="EN123" s="360"/>
      <c r="EO123" s="360"/>
      <c r="EP123" s="360"/>
      <c r="EQ123" s="360"/>
    </row>
    <row r="124" spans="1:147" x14ac:dyDescent="0.35">
      <c r="A124" s="5" t="s">
        <v>970</v>
      </c>
      <c r="B124" s="5" t="s">
        <v>740</v>
      </c>
      <c r="C124" s="5" t="s">
        <v>655</v>
      </c>
      <c r="D124" s="5" t="s">
        <v>741</v>
      </c>
      <c r="E124" s="5" t="s">
        <v>971</v>
      </c>
      <c r="F124" s="5" t="s">
        <v>379</v>
      </c>
      <c r="G124" s="47" t="s">
        <v>972</v>
      </c>
      <c r="H124" s="47" t="s">
        <v>973</v>
      </c>
      <c r="I124" s="101">
        <v>0</v>
      </c>
      <c r="J124" s="101">
        <v>0</v>
      </c>
      <c r="K124" s="101">
        <v>0</v>
      </c>
      <c r="L124" s="101">
        <v>0</v>
      </c>
      <c r="M124" s="101">
        <v>0</v>
      </c>
      <c r="N124" s="101">
        <v>0</v>
      </c>
      <c r="O124" s="101">
        <v>0</v>
      </c>
      <c r="P124" s="94">
        <v>0</v>
      </c>
      <c r="Q124" s="101">
        <v>0</v>
      </c>
      <c r="R124" s="101">
        <v>0</v>
      </c>
      <c r="S124" s="101">
        <v>0</v>
      </c>
      <c r="T124" s="101">
        <v>0</v>
      </c>
      <c r="U124" s="101">
        <v>0</v>
      </c>
      <c r="V124" s="101">
        <v>0</v>
      </c>
      <c r="W124" s="101">
        <v>0</v>
      </c>
      <c r="X124" s="101">
        <v>0</v>
      </c>
      <c r="Y124" s="101">
        <v>0</v>
      </c>
      <c r="Z124" s="101">
        <v>0</v>
      </c>
      <c r="AA124" s="101">
        <v>0</v>
      </c>
      <c r="AB124" s="101">
        <v>0</v>
      </c>
      <c r="AC124" s="101">
        <v>0</v>
      </c>
      <c r="AD124" s="101">
        <v>0</v>
      </c>
      <c r="AE124" s="186">
        <v>0.08</v>
      </c>
      <c r="AF124" s="93">
        <v>0</v>
      </c>
      <c r="AG124" s="93">
        <v>30</v>
      </c>
      <c r="AH124" s="93">
        <v>30</v>
      </c>
      <c r="AI124" s="16">
        <v>1</v>
      </c>
      <c r="AJ124" s="16" t="s">
        <v>660</v>
      </c>
      <c r="AK124" s="16" t="s">
        <v>974</v>
      </c>
      <c r="AL124" s="16"/>
      <c r="AM124" s="60"/>
      <c r="AN124" s="60"/>
      <c r="AO124" s="60"/>
      <c r="AP124" s="60"/>
      <c r="AQ124" s="60"/>
      <c r="AR124" s="60"/>
      <c r="AS124" s="63"/>
      <c r="AT124" s="63"/>
      <c r="AU124" s="63"/>
      <c r="AV124" s="131"/>
      <c r="AW124" s="131"/>
      <c r="AX124" s="131"/>
      <c r="AY124" s="27" t="s">
        <v>662</v>
      </c>
      <c r="AZ124" s="27"/>
      <c r="BA124" s="29"/>
      <c r="BB124" s="30"/>
      <c r="BC124" s="30"/>
      <c r="BD124" s="30"/>
      <c r="BE124" s="30"/>
      <c r="BF124" s="30"/>
      <c r="BG124" s="30"/>
      <c r="BH124" s="107"/>
      <c r="BI124" s="107"/>
      <c r="BJ124" s="107"/>
      <c r="BK124" s="107"/>
      <c r="BL124" s="136"/>
      <c r="BM124" s="122"/>
      <c r="BN124" s="138">
        <f>DL124</f>
        <v>8.34</v>
      </c>
      <c r="BO124" s="93"/>
      <c r="BP124" s="93"/>
      <c r="BQ124" s="93"/>
      <c r="BR124" s="93"/>
      <c r="BS124" s="93"/>
      <c r="BT124" s="93"/>
      <c r="BU124" s="27">
        <f t="shared" si="95"/>
        <v>0</v>
      </c>
      <c r="BV124" s="27"/>
      <c r="BW124" s="27"/>
      <c r="BX124" s="27"/>
      <c r="BY124" s="27"/>
      <c r="BZ124" s="27"/>
      <c r="CA124" s="27"/>
      <c r="CB124" s="97">
        <v>10</v>
      </c>
      <c r="CC124" s="97">
        <f t="shared" si="109"/>
        <v>8.34</v>
      </c>
      <c r="CD124" s="97">
        <f t="shared" si="109"/>
        <v>8.34</v>
      </c>
      <c r="CE124" s="97">
        <f t="shared" si="109"/>
        <v>8.34</v>
      </c>
      <c r="CF124" s="97">
        <f t="shared" si="109"/>
        <v>8.34</v>
      </c>
      <c r="CG124" s="97">
        <f t="shared" si="109"/>
        <v>8.34</v>
      </c>
      <c r="CH124" s="97">
        <f t="shared" si="109"/>
        <v>8.34</v>
      </c>
      <c r="CI124" s="173"/>
      <c r="CJ124" s="173"/>
      <c r="CK124" s="173"/>
      <c r="CL124" s="173"/>
      <c r="CM124" s="173"/>
      <c r="CN124" s="173"/>
      <c r="CO124" s="173"/>
      <c r="CP124" s="174"/>
      <c r="CQ124" s="174"/>
      <c r="CR124" s="174"/>
      <c r="CS124" s="174"/>
      <c r="CT124" s="174"/>
      <c r="CU124" s="174"/>
      <c r="CV124" s="174"/>
      <c r="CW124" s="165"/>
      <c r="CX124" s="166"/>
      <c r="CY124" s="166"/>
      <c r="CZ124" s="166"/>
      <c r="DA124" s="166"/>
      <c r="DB124" s="166"/>
      <c r="DC124" s="166"/>
      <c r="DD124" s="171"/>
      <c r="DE124" s="171"/>
      <c r="DF124" s="171"/>
      <c r="DG124" s="171"/>
      <c r="DH124" s="171"/>
      <c r="DI124" s="171"/>
      <c r="DJ124" s="171"/>
      <c r="DK124" s="79" t="s">
        <v>502</v>
      </c>
      <c r="DL124" s="128">
        <f>VLOOKUP($F124,Activities!$A$9:$I$227,3,FALSE)/$AI124</f>
        <v>8.34</v>
      </c>
      <c r="DM124" s="128">
        <f>VLOOKUP($F124,Activities!$A$9:$I$227,4,FALSE)/$AI124</f>
        <v>8.34</v>
      </c>
      <c r="DN124" s="128">
        <f>VLOOKUP($F124,Activities!$A$9:$I$227,5,FALSE)/$AI124</f>
        <v>8.34</v>
      </c>
      <c r="DO124" s="128">
        <f>VLOOKUP($F124,Activities!$A$9:$I$227,6,FALSE)/$AI124</f>
        <v>8.34</v>
      </c>
      <c r="DP124" s="128">
        <f>VLOOKUP($F124,Activities!$A$9:$I$227,7,FALSE)/$AI124</f>
        <v>8.34</v>
      </c>
      <c r="DQ124" s="128">
        <f>VLOOKUP($F124,Activities!$A$9:$I$227,8,FALSE)/$AI124</f>
        <v>8.34</v>
      </c>
      <c r="DR124" s="128">
        <f>VLOOKUP($F124,Activities!$A$9:$I$227,9,FALSE)/$AI124</f>
        <v>8.34</v>
      </c>
      <c r="DS124" s="218"/>
      <c r="DT124" s="360"/>
      <c r="DU124" s="360"/>
      <c r="DV124" s="360"/>
      <c r="DW124" s="360"/>
      <c r="DX124" s="360"/>
      <c r="DY124" s="360"/>
      <c r="DZ124" s="360"/>
      <c r="EA124" s="360"/>
      <c r="EB124" s="360"/>
      <c r="EC124" s="360"/>
      <c r="ED124" s="360"/>
      <c r="EE124" s="360"/>
      <c r="EF124" s="360"/>
      <c r="EG124" s="360"/>
      <c r="EH124" s="360"/>
      <c r="EI124" s="360"/>
      <c r="EJ124" s="360"/>
      <c r="EK124" s="360"/>
      <c r="EL124" s="360"/>
      <c r="EM124" s="360"/>
      <c r="EN124" s="360"/>
      <c r="EO124" s="360"/>
      <c r="EP124" s="360"/>
      <c r="EQ124" s="360"/>
    </row>
    <row r="125" spans="1:147" x14ac:dyDescent="0.35">
      <c r="A125" s="6" t="s">
        <v>975</v>
      </c>
      <c r="B125" s="6" t="s">
        <v>740</v>
      </c>
      <c r="C125" s="6" t="s">
        <v>655</v>
      </c>
      <c r="D125" s="6" t="s">
        <v>741</v>
      </c>
      <c r="E125" s="6" t="s">
        <v>971</v>
      </c>
      <c r="F125" s="6" t="s">
        <v>379</v>
      </c>
      <c r="G125" s="48" t="s">
        <v>976</v>
      </c>
      <c r="H125" s="48" t="s">
        <v>973</v>
      </c>
      <c r="I125" s="102">
        <v>82</v>
      </c>
      <c r="J125" s="102">
        <v>82</v>
      </c>
      <c r="K125" s="102">
        <v>82</v>
      </c>
      <c r="L125" s="102">
        <v>82</v>
      </c>
      <c r="M125" s="102">
        <v>82</v>
      </c>
      <c r="N125" s="102">
        <v>82</v>
      </c>
      <c r="O125" s="102">
        <v>82</v>
      </c>
      <c r="P125" s="94">
        <v>0</v>
      </c>
      <c r="Q125" s="102">
        <f>I125*0.05</f>
        <v>4.1000000000000005</v>
      </c>
      <c r="R125" s="102">
        <f t="shared" ref="R125:W126" si="114">J125*0.05</f>
        <v>4.1000000000000005</v>
      </c>
      <c r="S125" s="102">
        <f t="shared" si="114"/>
        <v>4.1000000000000005</v>
      </c>
      <c r="T125" s="102">
        <f t="shared" si="114"/>
        <v>4.1000000000000005</v>
      </c>
      <c r="U125" s="102">
        <f t="shared" si="114"/>
        <v>4.1000000000000005</v>
      </c>
      <c r="V125" s="102">
        <f t="shared" si="114"/>
        <v>4.1000000000000005</v>
      </c>
      <c r="W125" s="102">
        <f t="shared" si="114"/>
        <v>4.1000000000000005</v>
      </c>
      <c r="X125" s="102">
        <v>0</v>
      </c>
      <c r="Y125" s="102">
        <v>0</v>
      </c>
      <c r="Z125" s="102">
        <v>0</v>
      </c>
      <c r="AA125" s="102">
        <v>0</v>
      </c>
      <c r="AB125" s="102">
        <v>0</v>
      </c>
      <c r="AC125" s="102">
        <v>0</v>
      </c>
      <c r="AD125" s="102">
        <v>0</v>
      </c>
      <c r="AE125" s="186">
        <v>0.08</v>
      </c>
      <c r="AF125" s="94">
        <v>0</v>
      </c>
      <c r="AG125" s="94">
        <v>30</v>
      </c>
      <c r="AH125" s="94">
        <v>30</v>
      </c>
      <c r="AI125" s="17">
        <v>1</v>
      </c>
      <c r="AJ125" s="17" t="s">
        <v>660</v>
      </c>
      <c r="AK125" s="17" t="s">
        <v>974</v>
      </c>
      <c r="AL125" s="17"/>
      <c r="AM125" s="61"/>
      <c r="AN125" s="61"/>
      <c r="AO125" s="61"/>
      <c r="AP125" s="61"/>
      <c r="AQ125" s="61"/>
      <c r="AR125" s="61"/>
      <c r="AS125" s="64"/>
      <c r="AT125" s="64"/>
      <c r="AU125" s="64"/>
      <c r="AV125" s="132"/>
      <c r="AW125" s="132"/>
      <c r="AX125" s="132"/>
      <c r="AY125" s="28" t="s">
        <v>662</v>
      </c>
      <c r="AZ125" s="28"/>
      <c r="BA125" s="354"/>
      <c r="BB125" s="28"/>
      <c r="BC125" s="28"/>
      <c r="BD125" s="28"/>
      <c r="BE125" s="28"/>
      <c r="BF125" s="28"/>
      <c r="BG125" s="28"/>
      <c r="BH125" s="106"/>
      <c r="BI125" s="106"/>
      <c r="BJ125" s="106"/>
      <c r="BK125" s="106"/>
      <c r="BL125" s="137"/>
      <c r="BM125" s="123"/>
      <c r="BN125" s="139">
        <v>0</v>
      </c>
      <c r="BO125" s="94"/>
      <c r="BP125" s="94"/>
      <c r="BQ125" s="94"/>
      <c r="BR125" s="94"/>
      <c r="BS125" s="94"/>
      <c r="BT125" s="94"/>
      <c r="BU125" s="28">
        <f t="shared" si="95"/>
        <v>0</v>
      </c>
      <c r="BV125" s="28"/>
      <c r="BW125" s="28"/>
      <c r="BX125" s="28"/>
      <c r="BY125" s="28"/>
      <c r="BZ125" s="28"/>
      <c r="CA125" s="28"/>
      <c r="CB125" s="99">
        <v>0</v>
      </c>
      <c r="CC125" s="97">
        <f t="shared" si="109"/>
        <v>8.34</v>
      </c>
      <c r="CD125" s="97">
        <f t="shared" si="109"/>
        <v>8.34</v>
      </c>
      <c r="CE125" s="97">
        <f t="shared" si="109"/>
        <v>8.34</v>
      </c>
      <c r="CF125" s="97">
        <f t="shared" si="109"/>
        <v>8.34</v>
      </c>
      <c r="CG125" s="97">
        <f t="shared" si="109"/>
        <v>8.34</v>
      </c>
      <c r="CH125" s="97">
        <f t="shared" si="109"/>
        <v>8.34</v>
      </c>
      <c r="CI125" s="175"/>
      <c r="CJ125" s="175"/>
      <c r="CK125" s="175"/>
      <c r="CL125" s="175"/>
      <c r="CM125" s="175"/>
      <c r="CN125" s="175"/>
      <c r="CO125" s="175"/>
      <c r="CP125" s="176"/>
      <c r="CQ125" s="176"/>
      <c r="CR125" s="176"/>
      <c r="CS125" s="176"/>
      <c r="CT125" s="176"/>
      <c r="CU125" s="176"/>
      <c r="CV125" s="176"/>
      <c r="CW125" s="167"/>
      <c r="CX125" s="168"/>
      <c r="CY125" s="168"/>
      <c r="CZ125" s="168"/>
      <c r="DA125" s="168"/>
      <c r="DB125" s="168"/>
      <c r="DC125" s="168"/>
      <c r="DD125" s="172"/>
      <c r="DE125" s="172"/>
      <c r="DF125" s="172"/>
      <c r="DG125" s="172"/>
      <c r="DH125" s="172"/>
      <c r="DI125" s="172"/>
      <c r="DJ125" s="172"/>
      <c r="DK125" s="80" t="s">
        <v>502</v>
      </c>
      <c r="DL125" s="129">
        <f>VLOOKUP($F125,Activities!$A$9:$I$227,3,FALSE)/$AI125</f>
        <v>8.34</v>
      </c>
      <c r="DM125" s="129">
        <f>VLOOKUP($F125,Activities!$A$9:$I$227,4,FALSE)/$AI125</f>
        <v>8.34</v>
      </c>
      <c r="DN125" s="129">
        <f>VLOOKUP($F125,Activities!$A$9:$I$227,5,FALSE)/$AI125</f>
        <v>8.34</v>
      </c>
      <c r="DO125" s="129">
        <f>VLOOKUP($F125,Activities!$A$9:$I$227,6,FALSE)/$AI125</f>
        <v>8.34</v>
      </c>
      <c r="DP125" s="129">
        <f>VLOOKUP($F125,Activities!$A$9:$I$227,7,FALSE)/$AI125</f>
        <v>8.34</v>
      </c>
      <c r="DQ125" s="129">
        <f>VLOOKUP($F125,Activities!$A$9:$I$227,8,FALSE)/$AI125</f>
        <v>8.34</v>
      </c>
      <c r="DR125" s="129">
        <f>VLOOKUP($F125,Activities!$A$9:$I$227,9,FALSE)/$AI125</f>
        <v>8.34</v>
      </c>
      <c r="DS125" s="218"/>
      <c r="DT125" s="360"/>
      <c r="DU125" s="360"/>
      <c r="DV125" s="360"/>
      <c r="DW125" s="360"/>
      <c r="DX125" s="360"/>
      <c r="DY125" s="360"/>
      <c r="DZ125" s="360"/>
      <c r="EA125" s="360"/>
      <c r="EB125" s="360"/>
      <c r="EC125" s="360"/>
      <c r="ED125" s="360"/>
      <c r="EE125" s="360"/>
      <c r="EF125" s="360"/>
      <c r="EG125" s="360"/>
      <c r="EH125" s="360"/>
      <c r="EI125" s="360"/>
      <c r="EJ125" s="360"/>
      <c r="EK125" s="360"/>
      <c r="EL125" s="360"/>
      <c r="EM125" s="360"/>
      <c r="EN125" s="360"/>
      <c r="EO125" s="360"/>
      <c r="EP125" s="360"/>
      <c r="EQ125" s="360"/>
    </row>
    <row r="126" spans="1:147" x14ac:dyDescent="0.35">
      <c r="A126" s="5" t="s">
        <v>977</v>
      </c>
      <c r="B126" s="5" t="s">
        <v>740</v>
      </c>
      <c r="C126" s="5" t="s">
        <v>788</v>
      </c>
      <c r="D126" s="5" t="s">
        <v>741</v>
      </c>
      <c r="E126" s="5" t="s">
        <v>971</v>
      </c>
      <c r="F126" s="5" t="s">
        <v>512</v>
      </c>
      <c r="G126" s="47" t="s">
        <v>978</v>
      </c>
      <c r="H126" s="47" t="s">
        <v>973</v>
      </c>
      <c r="I126" s="101">
        <f>1963000/(2*8760)</f>
        <v>112.04337899543378</v>
      </c>
      <c r="J126" s="101">
        <f t="shared" ref="J126:O126" si="115">1963000/(2*8760)</f>
        <v>112.04337899543378</v>
      </c>
      <c r="K126" s="101">
        <f t="shared" si="115"/>
        <v>112.04337899543378</v>
      </c>
      <c r="L126" s="101">
        <f t="shared" si="115"/>
        <v>112.04337899543378</v>
      </c>
      <c r="M126" s="101">
        <f t="shared" si="115"/>
        <v>112.04337899543378</v>
      </c>
      <c r="N126" s="101">
        <f t="shared" si="115"/>
        <v>112.04337899543378</v>
      </c>
      <c r="O126" s="101">
        <f t="shared" si="115"/>
        <v>112.04337899543378</v>
      </c>
      <c r="P126" s="94">
        <v>0</v>
      </c>
      <c r="Q126" s="101">
        <f>I126*0.05</f>
        <v>5.6021689497716896</v>
      </c>
      <c r="R126" s="101">
        <f t="shared" si="114"/>
        <v>5.6021689497716896</v>
      </c>
      <c r="S126" s="101">
        <f t="shared" si="114"/>
        <v>5.6021689497716896</v>
      </c>
      <c r="T126" s="101">
        <f t="shared" si="114"/>
        <v>5.6021689497716896</v>
      </c>
      <c r="U126" s="101">
        <f t="shared" si="114"/>
        <v>5.6021689497716896</v>
      </c>
      <c r="V126" s="101">
        <f t="shared" si="114"/>
        <v>5.6021689497716896</v>
      </c>
      <c r="W126" s="101">
        <f t="shared" si="114"/>
        <v>5.6021689497716896</v>
      </c>
      <c r="X126" s="101">
        <v>0</v>
      </c>
      <c r="Y126" s="101">
        <v>0</v>
      </c>
      <c r="Z126" s="101">
        <v>0</v>
      </c>
      <c r="AA126" s="101">
        <v>0</v>
      </c>
      <c r="AB126" s="101">
        <v>0</v>
      </c>
      <c r="AC126" s="101">
        <v>0</v>
      </c>
      <c r="AD126" s="101">
        <v>0</v>
      </c>
      <c r="AE126" s="186">
        <v>0.08</v>
      </c>
      <c r="AF126" s="93">
        <v>0</v>
      </c>
      <c r="AG126" s="93">
        <v>30</v>
      </c>
      <c r="AH126" s="93">
        <v>30</v>
      </c>
      <c r="AI126" s="16">
        <v>1</v>
      </c>
      <c r="AJ126" s="16" t="s">
        <v>660</v>
      </c>
      <c r="AK126" s="16" t="s">
        <v>974</v>
      </c>
      <c r="AL126" s="16"/>
      <c r="AM126" s="60"/>
      <c r="AN126" s="60"/>
      <c r="AO126" s="60"/>
      <c r="AP126" s="60"/>
      <c r="AQ126" s="60"/>
      <c r="AR126" s="60"/>
      <c r="AS126" s="63"/>
      <c r="AT126" s="63"/>
      <c r="AU126" s="63"/>
      <c r="AV126" s="131"/>
      <c r="AW126" s="131"/>
      <c r="AX126" s="131"/>
      <c r="AY126" s="27" t="s">
        <v>662</v>
      </c>
      <c r="AZ126" s="27"/>
      <c r="BA126" s="29"/>
      <c r="BB126" s="30"/>
      <c r="BC126" s="30"/>
      <c r="BD126" s="30"/>
      <c r="BE126" s="30"/>
      <c r="BF126" s="30"/>
      <c r="BG126" s="30"/>
      <c r="BH126" s="107"/>
      <c r="BI126" s="107"/>
      <c r="BJ126" s="107"/>
      <c r="BK126" s="107"/>
      <c r="BL126" s="136"/>
      <c r="BM126" s="122"/>
      <c r="BN126" s="138"/>
      <c r="BO126" s="93"/>
      <c r="BP126" s="93"/>
      <c r="BQ126" s="93"/>
      <c r="BR126" s="93"/>
      <c r="BS126" s="93"/>
      <c r="BT126" s="93"/>
      <c r="BU126" s="27">
        <v>0</v>
      </c>
      <c r="BV126" s="27"/>
      <c r="BW126" s="27"/>
      <c r="BX126" s="27"/>
      <c r="BY126" s="27"/>
      <c r="BZ126" s="27"/>
      <c r="CA126" s="27"/>
      <c r="CB126" s="97">
        <v>5</v>
      </c>
      <c r="CC126" s="97">
        <v>5</v>
      </c>
      <c r="CD126" s="97">
        <v>5</v>
      </c>
      <c r="CE126" s="97">
        <v>5</v>
      </c>
      <c r="CF126" s="97">
        <v>5</v>
      </c>
      <c r="CG126" s="97">
        <v>10</v>
      </c>
      <c r="CH126" s="97">
        <v>10</v>
      </c>
      <c r="CI126" s="173"/>
      <c r="CJ126" s="173"/>
      <c r="CK126" s="173"/>
      <c r="CL126" s="173"/>
      <c r="CM126" s="173"/>
      <c r="CN126" s="173"/>
      <c r="CO126" s="173"/>
      <c r="CP126" s="174"/>
      <c r="CQ126" s="174"/>
      <c r="CR126" s="174"/>
      <c r="CS126" s="174"/>
      <c r="CT126" s="174"/>
      <c r="CU126" s="174"/>
      <c r="CV126" s="174"/>
      <c r="CW126" s="165"/>
      <c r="CX126" s="166"/>
      <c r="CY126" s="166"/>
      <c r="CZ126" s="166"/>
      <c r="DA126" s="166"/>
      <c r="DB126" s="166"/>
      <c r="DC126" s="166"/>
      <c r="DD126" s="171"/>
      <c r="DE126" s="171"/>
      <c r="DF126" s="171"/>
      <c r="DG126" s="171"/>
      <c r="DH126" s="171"/>
      <c r="DI126" s="171"/>
      <c r="DJ126" s="171"/>
      <c r="DK126" s="79" t="s">
        <v>502</v>
      </c>
      <c r="DL126" s="129">
        <f>VLOOKUP($F126,Activities!$A$9:$I$227,3,FALSE)/$AI126</f>
        <v>0</v>
      </c>
      <c r="DM126" s="129">
        <f>VLOOKUP($F126,Activities!$A$9:$I$227,4,FALSE)/$AI126</f>
        <v>0</v>
      </c>
      <c r="DN126" s="129">
        <f>VLOOKUP($F126,Activities!$A$9:$I$227,5,FALSE)/$AI126</f>
        <v>0</v>
      </c>
      <c r="DO126" s="129">
        <f>VLOOKUP($F126,Activities!$A$9:$I$227,6,FALSE)/$AI126</f>
        <v>0</v>
      </c>
      <c r="DP126" s="129">
        <f>VLOOKUP($F126,Activities!$A$9:$I$227,7,FALSE)/$AI126</f>
        <v>0</v>
      </c>
      <c r="DQ126" s="129">
        <f>VLOOKUP($F126,Activities!$A$9:$I$227,8,FALSE)/$AI126</f>
        <v>0</v>
      </c>
      <c r="DR126" s="129">
        <f>VLOOKUP($F126,Activities!$A$9:$I$227,9,FALSE)/$AI126</f>
        <v>0</v>
      </c>
      <c r="DS126" s="218"/>
      <c r="DT126" s="360"/>
      <c r="DU126" s="360"/>
      <c r="DV126" s="360"/>
      <c r="DW126" s="360"/>
      <c r="DX126" s="360"/>
      <c r="DY126" s="360"/>
      <c r="DZ126" s="360"/>
      <c r="EA126" s="360"/>
      <c r="EB126" s="360"/>
      <c r="EC126" s="360"/>
      <c r="ED126" s="360"/>
      <c r="EE126" s="360"/>
      <c r="EF126" s="360"/>
      <c r="EG126" s="360"/>
      <c r="EH126" s="360"/>
      <c r="EI126" s="360"/>
      <c r="EJ126" s="360"/>
      <c r="EK126" s="360"/>
      <c r="EL126" s="360"/>
      <c r="EM126" s="360"/>
      <c r="EN126" s="360"/>
      <c r="EO126" s="360"/>
      <c r="EP126" s="360"/>
      <c r="EQ126" s="360"/>
    </row>
    <row r="127" spans="1:147" x14ac:dyDescent="0.35">
      <c r="A127" s="6" t="s">
        <v>979</v>
      </c>
      <c r="B127" s="6" t="s">
        <v>740</v>
      </c>
      <c r="C127" s="6" t="s">
        <v>788</v>
      </c>
      <c r="D127" s="6" t="s">
        <v>741</v>
      </c>
      <c r="E127" s="6" t="s">
        <v>971</v>
      </c>
      <c r="F127" s="6" t="s">
        <v>464</v>
      </c>
      <c r="G127" s="48" t="s">
        <v>980</v>
      </c>
      <c r="H127" s="48" t="s">
        <v>981</v>
      </c>
      <c r="I127" s="102">
        <v>2254.4</v>
      </c>
      <c r="J127" s="102">
        <v>2254.4</v>
      </c>
      <c r="K127" s="102">
        <v>2254.4</v>
      </c>
      <c r="L127" s="102">
        <v>2254.4</v>
      </c>
      <c r="M127" s="102">
        <v>2254.4</v>
      </c>
      <c r="N127" s="102">
        <v>2254.4</v>
      </c>
      <c r="O127" s="102">
        <v>2254.4</v>
      </c>
      <c r="P127" s="94">
        <v>0</v>
      </c>
      <c r="Q127" s="102">
        <v>112.72</v>
      </c>
      <c r="R127" s="102">
        <v>112.72</v>
      </c>
      <c r="S127" s="102">
        <v>112.72</v>
      </c>
      <c r="T127" s="102">
        <v>112.72</v>
      </c>
      <c r="U127" s="102">
        <v>112.72</v>
      </c>
      <c r="V127" s="102">
        <v>112.72</v>
      </c>
      <c r="W127" s="102">
        <v>112.72</v>
      </c>
      <c r="X127" s="102">
        <v>10.029999999999999</v>
      </c>
      <c r="Y127" s="102">
        <v>10.029999999999999</v>
      </c>
      <c r="Z127" s="102">
        <v>10.029999999999999</v>
      </c>
      <c r="AA127" s="102">
        <v>10.029999999999999</v>
      </c>
      <c r="AB127" s="102">
        <v>10.029999999999999</v>
      </c>
      <c r="AC127" s="102">
        <v>10.029999999999999</v>
      </c>
      <c r="AD127" s="102">
        <v>10.029999999999999</v>
      </c>
      <c r="AE127" s="186">
        <v>0.08</v>
      </c>
      <c r="AF127" s="94">
        <v>0</v>
      </c>
      <c r="AG127" s="94">
        <v>30</v>
      </c>
      <c r="AH127" s="94">
        <v>30</v>
      </c>
      <c r="AI127" s="17">
        <v>31.536000000000001</v>
      </c>
      <c r="AJ127" s="17" t="s">
        <v>982</v>
      </c>
      <c r="AK127" s="16" t="s">
        <v>745</v>
      </c>
      <c r="AL127" s="17"/>
      <c r="AM127" s="61" t="s">
        <v>464</v>
      </c>
      <c r="AN127" s="61" t="s">
        <v>514</v>
      </c>
      <c r="AO127" s="61">
        <v>0.95</v>
      </c>
      <c r="AP127" s="61" t="s">
        <v>766</v>
      </c>
      <c r="AQ127" s="61">
        <v>0.2</v>
      </c>
      <c r="AR127" s="61">
        <v>0.15</v>
      </c>
      <c r="AS127" s="64"/>
      <c r="AT127" s="64"/>
      <c r="AU127" s="64"/>
      <c r="AV127" s="132"/>
      <c r="AW127" s="132"/>
      <c r="AX127" s="132"/>
      <c r="AY127" s="28" t="s">
        <v>662</v>
      </c>
      <c r="AZ127" s="28"/>
      <c r="BA127" s="354"/>
      <c r="BB127" s="28"/>
      <c r="BC127" s="28"/>
      <c r="BD127" s="28"/>
      <c r="BE127" s="28"/>
      <c r="BF127" s="28"/>
      <c r="BG127" s="28"/>
      <c r="BH127" s="106"/>
      <c r="BI127" s="106"/>
      <c r="BJ127" s="106"/>
      <c r="BK127" s="106"/>
      <c r="BL127" s="137"/>
      <c r="BM127" s="123"/>
      <c r="BN127" s="139">
        <v>0.6</v>
      </c>
      <c r="BO127" s="94">
        <v>0.15</v>
      </c>
      <c r="BP127" s="94">
        <v>0.15</v>
      </c>
      <c r="BQ127" s="94">
        <v>0.15</v>
      </c>
      <c r="BR127" s="94">
        <v>0.15</v>
      </c>
      <c r="BS127" s="94"/>
      <c r="BT127" s="94"/>
      <c r="BU127" s="28">
        <f t="shared" ref="BU127:BU134" si="116">IF(BL127=1,BN127,0)</f>
        <v>0</v>
      </c>
      <c r="BV127" s="28"/>
      <c r="BW127" s="28"/>
      <c r="BX127" s="28"/>
      <c r="BY127" s="28"/>
      <c r="BZ127" s="28"/>
      <c r="CA127" s="28"/>
      <c r="CB127" s="99">
        <v>5</v>
      </c>
      <c r="CC127" s="185">
        <v>5</v>
      </c>
      <c r="CD127" s="99">
        <v>1.1000000000000001</v>
      </c>
      <c r="CE127" s="99">
        <v>1.1000000000000001</v>
      </c>
      <c r="CF127" s="99">
        <v>1.1000000000000001</v>
      </c>
      <c r="CG127" s="99">
        <v>1.1000000000000001</v>
      </c>
      <c r="CH127" s="99">
        <v>1.1000000000000001</v>
      </c>
      <c r="CI127" s="175"/>
      <c r="CJ127" s="175"/>
      <c r="CK127" s="175"/>
      <c r="CL127" s="175"/>
      <c r="CM127" s="175"/>
      <c r="CN127" s="175"/>
      <c r="CO127" s="175"/>
      <c r="CP127" s="176"/>
      <c r="CQ127" s="176"/>
      <c r="CR127" s="176"/>
      <c r="CS127" s="176"/>
      <c r="CT127" s="176"/>
      <c r="CU127" s="176"/>
      <c r="CV127" s="176"/>
      <c r="CW127" s="167"/>
      <c r="CX127" s="168"/>
      <c r="CY127" s="168"/>
      <c r="CZ127" s="168"/>
      <c r="DA127" s="168"/>
      <c r="DB127" s="168"/>
      <c r="DC127" s="168"/>
      <c r="DD127" s="172"/>
      <c r="DE127" s="172"/>
      <c r="DF127" s="172"/>
      <c r="DG127" s="172"/>
      <c r="DH127" s="172"/>
      <c r="DI127" s="172"/>
      <c r="DJ127" s="172"/>
      <c r="DK127" s="80" t="s">
        <v>699</v>
      </c>
      <c r="DL127" s="129">
        <f>VLOOKUP($F127,Activities!$A$9:$I$227,3,FALSE)/$AI127</f>
        <v>0</v>
      </c>
      <c r="DM127" s="129">
        <f>VLOOKUP($F127,Activities!$A$9:$I$227,4,FALSE)/$AI127</f>
        <v>0</v>
      </c>
      <c r="DN127" s="129">
        <f>VLOOKUP($F127,Activities!$A$9:$I$227,5,FALSE)/$AI127</f>
        <v>0</v>
      </c>
      <c r="DO127" s="129">
        <f>VLOOKUP($F127,Activities!$A$9:$I$227,6,FALSE)/$AI127</f>
        <v>0</v>
      </c>
      <c r="DP127" s="129">
        <f>VLOOKUP($F127,Activities!$A$9:$I$227,7,FALSE)/$AI127</f>
        <v>0</v>
      </c>
      <c r="DQ127" s="129">
        <f>VLOOKUP($F127,Activities!$A$9:$I$227,8,FALSE)/$AI127</f>
        <v>0</v>
      </c>
      <c r="DR127" s="129">
        <f>VLOOKUP($F127,Activities!$A$9:$I$227,9,FALSE)/$AI127</f>
        <v>0</v>
      </c>
      <c r="DS127" s="218"/>
      <c r="DT127" s="360"/>
      <c r="DU127" s="360"/>
      <c r="DV127" s="360"/>
      <c r="DW127" s="360"/>
      <c r="DX127" s="360"/>
      <c r="DY127" s="360"/>
      <c r="DZ127" s="360"/>
      <c r="EA127" s="360"/>
      <c r="EB127" s="360"/>
      <c r="EC127" s="360"/>
      <c r="ED127" s="360"/>
      <c r="EE127" s="360"/>
      <c r="EF127" s="360"/>
      <c r="EG127" s="360"/>
      <c r="EH127" s="360"/>
      <c r="EI127" s="360"/>
      <c r="EJ127" s="360"/>
      <c r="EK127" s="360"/>
      <c r="EL127" s="360"/>
      <c r="EM127" s="360"/>
      <c r="EN127" s="360"/>
      <c r="EO127" s="360"/>
      <c r="EP127" s="360"/>
      <c r="EQ127" s="360"/>
    </row>
    <row r="128" spans="1:147" x14ac:dyDescent="0.35">
      <c r="A128" s="5" t="s">
        <v>983</v>
      </c>
      <c r="B128" s="5" t="s">
        <v>740</v>
      </c>
      <c r="C128" s="5" t="s">
        <v>788</v>
      </c>
      <c r="D128" s="5" t="s">
        <v>741</v>
      </c>
      <c r="E128" s="5" t="s">
        <v>971</v>
      </c>
      <c r="F128" s="5" t="s">
        <v>464</v>
      </c>
      <c r="G128" s="47" t="s">
        <v>984</v>
      </c>
      <c r="H128" s="47" t="s">
        <v>981</v>
      </c>
      <c r="I128" s="101">
        <v>4711.96</v>
      </c>
      <c r="J128" s="101">
        <v>4491.5</v>
      </c>
      <c r="K128" s="101">
        <v>4271.05</v>
      </c>
      <c r="L128" s="101">
        <v>4043.38</v>
      </c>
      <c r="M128" s="101">
        <v>3815.71</v>
      </c>
      <c r="N128" s="101">
        <v>3713.22</v>
      </c>
      <c r="O128" s="101">
        <v>3610.72</v>
      </c>
      <c r="P128" s="94">
        <v>0</v>
      </c>
      <c r="Q128" s="101">
        <v>169.08</v>
      </c>
      <c r="R128" s="101">
        <v>169.08</v>
      </c>
      <c r="S128" s="101">
        <v>169.08</v>
      </c>
      <c r="T128" s="101">
        <v>169.08</v>
      </c>
      <c r="U128" s="101">
        <v>169.08</v>
      </c>
      <c r="V128" s="101">
        <v>169.08</v>
      </c>
      <c r="W128" s="101">
        <v>169.08</v>
      </c>
      <c r="X128" s="101">
        <v>14.99</v>
      </c>
      <c r="Y128" s="101">
        <v>14.99</v>
      </c>
      <c r="Z128" s="101">
        <v>14.99</v>
      </c>
      <c r="AA128" s="101">
        <v>14.99</v>
      </c>
      <c r="AB128" s="101">
        <v>14.99</v>
      </c>
      <c r="AC128" s="101">
        <v>14.99</v>
      </c>
      <c r="AD128" s="101">
        <v>14.99</v>
      </c>
      <c r="AE128" s="186">
        <v>0.08</v>
      </c>
      <c r="AF128" s="93">
        <v>0</v>
      </c>
      <c r="AG128" s="93">
        <v>30</v>
      </c>
      <c r="AH128" s="93">
        <v>30</v>
      </c>
      <c r="AI128" s="16">
        <v>31.536000000000001</v>
      </c>
      <c r="AJ128" s="16" t="s">
        <v>982</v>
      </c>
      <c r="AK128" s="16" t="s">
        <v>745</v>
      </c>
      <c r="AL128" s="16"/>
      <c r="AM128" s="60" t="s">
        <v>464</v>
      </c>
      <c r="AN128" s="60" t="s">
        <v>514</v>
      </c>
      <c r="AO128" s="60">
        <v>0.95</v>
      </c>
      <c r="AP128" s="60" t="s">
        <v>766</v>
      </c>
      <c r="AQ128" s="60">
        <v>0.2</v>
      </c>
      <c r="AR128" s="60">
        <v>0.15</v>
      </c>
      <c r="AS128" s="63"/>
      <c r="AT128" s="63"/>
      <c r="AU128" s="63"/>
      <c r="AV128" s="131"/>
      <c r="AW128" s="131"/>
      <c r="AX128" s="131"/>
      <c r="AY128" s="27" t="s">
        <v>662</v>
      </c>
      <c r="AZ128" s="27"/>
      <c r="BA128" s="29"/>
      <c r="BB128" s="30"/>
      <c r="BC128" s="30"/>
      <c r="BD128" s="30"/>
      <c r="BE128" s="30"/>
      <c r="BF128" s="30"/>
      <c r="BG128" s="30"/>
      <c r="BH128" s="107"/>
      <c r="BI128" s="107"/>
      <c r="BJ128" s="107"/>
      <c r="BK128" s="107"/>
      <c r="BL128" s="136"/>
      <c r="BM128" s="122"/>
      <c r="BN128" s="138">
        <v>0</v>
      </c>
      <c r="BO128" s="93"/>
      <c r="BP128" s="93"/>
      <c r="BQ128" s="93"/>
      <c r="BR128" s="93"/>
      <c r="BS128" s="93"/>
      <c r="BT128" s="93"/>
      <c r="BU128" s="27">
        <f t="shared" si="116"/>
        <v>0</v>
      </c>
      <c r="BV128" s="27"/>
      <c r="BW128" s="27"/>
      <c r="BX128" s="27"/>
      <c r="BY128" s="27"/>
      <c r="BZ128" s="27"/>
      <c r="CA128" s="27"/>
      <c r="CB128" s="97"/>
      <c r="CC128" s="185"/>
      <c r="CD128" s="97">
        <v>0.5</v>
      </c>
      <c r="CE128" s="97">
        <v>1.1000000000000001</v>
      </c>
      <c r="CF128" s="97">
        <v>1.1000000000000001</v>
      </c>
      <c r="CG128" s="97">
        <v>1.1000000000000001</v>
      </c>
      <c r="CH128" s="97">
        <v>1.1000000000000001</v>
      </c>
      <c r="CI128" s="173"/>
      <c r="CJ128" s="173"/>
      <c r="CK128" s="173"/>
      <c r="CL128" s="173"/>
      <c r="CM128" s="173"/>
      <c r="CN128" s="173"/>
      <c r="CO128" s="173"/>
      <c r="CP128" s="174"/>
      <c r="CQ128" s="174"/>
      <c r="CR128" s="174"/>
      <c r="CS128" s="174"/>
      <c r="CT128" s="174"/>
      <c r="CU128" s="174"/>
      <c r="CV128" s="174"/>
      <c r="CW128" s="165"/>
      <c r="CX128" s="166"/>
      <c r="CY128" s="166"/>
      <c r="CZ128" s="166"/>
      <c r="DA128" s="166"/>
      <c r="DB128" s="166"/>
      <c r="DC128" s="166"/>
      <c r="DD128" s="171"/>
      <c r="DE128" s="171"/>
      <c r="DF128" s="171"/>
      <c r="DG128" s="171"/>
      <c r="DH128" s="171"/>
      <c r="DI128" s="171"/>
      <c r="DJ128" s="171"/>
      <c r="DK128" s="79" t="s">
        <v>699</v>
      </c>
      <c r="DL128" s="129">
        <f>VLOOKUP($F128,Activities!$A$9:$I$227,3,FALSE)/$AI128</f>
        <v>0</v>
      </c>
      <c r="DM128" s="129">
        <f>VLOOKUP($F128,Activities!$A$9:$I$227,4,FALSE)/$AI128</f>
        <v>0</v>
      </c>
      <c r="DN128" s="129">
        <f>VLOOKUP($F128,Activities!$A$9:$I$227,5,FALSE)/$AI128</f>
        <v>0</v>
      </c>
      <c r="DO128" s="129">
        <f>VLOOKUP($F128,Activities!$A$9:$I$227,6,FALSE)/$AI128</f>
        <v>0</v>
      </c>
      <c r="DP128" s="129">
        <f>VLOOKUP($F128,Activities!$A$9:$I$227,7,FALSE)/$AI128</f>
        <v>0</v>
      </c>
      <c r="DQ128" s="129">
        <f>VLOOKUP($F128,Activities!$A$9:$I$227,8,FALSE)/$AI128</f>
        <v>0</v>
      </c>
      <c r="DR128" s="129">
        <f>VLOOKUP($F128,Activities!$A$9:$I$227,9,FALSE)/$AI128</f>
        <v>0</v>
      </c>
      <c r="DS128" s="218"/>
      <c r="DT128" s="360"/>
      <c r="DU128" s="360"/>
      <c r="DV128" s="360"/>
      <c r="DW128" s="360"/>
      <c r="DX128" s="360"/>
      <c r="DY128" s="360"/>
      <c r="DZ128" s="360"/>
      <c r="EA128" s="360"/>
      <c r="EB128" s="360"/>
      <c r="EC128" s="360"/>
      <c r="ED128" s="360"/>
      <c r="EE128" s="360"/>
      <c r="EF128" s="360"/>
      <c r="EG128" s="360"/>
      <c r="EH128" s="360"/>
      <c r="EI128" s="360"/>
      <c r="EJ128" s="360"/>
      <c r="EK128" s="360"/>
      <c r="EL128" s="360"/>
      <c r="EM128" s="360"/>
      <c r="EN128" s="360"/>
      <c r="EO128" s="360"/>
      <c r="EP128" s="360"/>
      <c r="EQ128" s="360"/>
    </row>
    <row r="129" spans="1:147" x14ac:dyDescent="0.35">
      <c r="A129" s="6" t="s">
        <v>985</v>
      </c>
      <c r="B129" s="6" t="s">
        <v>740</v>
      </c>
      <c r="C129" s="6" t="s">
        <v>788</v>
      </c>
      <c r="D129" s="6" t="s">
        <v>741</v>
      </c>
      <c r="E129" s="6" t="s">
        <v>971</v>
      </c>
      <c r="F129" s="6" t="s">
        <v>444</v>
      </c>
      <c r="G129" s="48" t="s">
        <v>986</v>
      </c>
      <c r="H129" s="48" t="s">
        <v>987</v>
      </c>
      <c r="I129" s="102">
        <v>56.068637702666742</v>
      </c>
      <c r="J129" s="102">
        <v>56.068637702666742</v>
      </c>
      <c r="K129" s="102">
        <v>56.068637702666742</v>
      </c>
      <c r="L129" s="102">
        <v>56.068637702666742</v>
      </c>
      <c r="M129" s="102">
        <v>56.068637702666742</v>
      </c>
      <c r="N129" s="102">
        <v>56.068637702666742</v>
      </c>
      <c r="O129" s="102">
        <v>56.068637702666742</v>
      </c>
      <c r="P129" s="94">
        <v>0</v>
      </c>
      <c r="Q129" s="102">
        <f>I129*0.05</f>
        <v>2.8034318851333371</v>
      </c>
      <c r="R129" s="102">
        <f t="shared" ref="R129:W132" si="117">J129*0.05</f>
        <v>2.8034318851333371</v>
      </c>
      <c r="S129" s="102">
        <f t="shared" si="117"/>
        <v>2.8034318851333371</v>
      </c>
      <c r="T129" s="102">
        <f t="shared" si="117"/>
        <v>2.8034318851333371</v>
      </c>
      <c r="U129" s="102">
        <f t="shared" si="117"/>
        <v>2.8034318851333371</v>
      </c>
      <c r="V129" s="102">
        <f t="shared" si="117"/>
        <v>2.8034318851333371</v>
      </c>
      <c r="W129" s="102">
        <f t="shared" si="117"/>
        <v>2.8034318851333371</v>
      </c>
      <c r="X129" s="102">
        <v>0</v>
      </c>
      <c r="Y129" s="102">
        <v>0</v>
      </c>
      <c r="Z129" s="102">
        <v>0</v>
      </c>
      <c r="AA129" s="102">
        <v>0</v>
      </c>
      <c r="AB129" s="102">
        <v>0</v>
      </c>
      <c r="AC129" s="102">
        <v>0</v>
      </c>
      <c r="AD129" s="102">
        <v>0</v>
      </c>
      <c r="AE129" s="186">
        <v>0.08</v>
      </c>
      <c r="AF129" s="94">
        <v>0</v>
      </c>
      <c r="AG129" s="94">
        <v>30</v>
      </c>
      <c r="AH129" s="94">
        <v>30</v>
      </c>
      <c r="AI129" s="17">
        <v>1</v>
      </c>
      <c r="AJ129" s="17" t="s">
        <v>660</v>
      </c>
      <c r="AK129" s="16" t="s">
        <v>745</v>
      </c>
      <c r="AL129" s="17"/>
      <c r="AM129" s="61"/>
      <c r="AN129" s="61"/>
      <c r="AO129" s="61"/>
      <c r="AP129" s="61"/>
      <c r="AQ129" s="61"/>
      <c r="AR129" s="61"/>
      <c r="AS129" s="64"/>
      <c r="AT129" s="64"/>
      <c r="AU129" s="64"/>
      <c r="AV129" s="132"/>
      <c r="AW129" s="132"/>
      <c r="AX129" s="132"/>
      <c r="AY129" s="28" t="s">
        <v>662</v>
      </c>
      <c r="AZ129" s="28"/>
      <c r="BA129" s="354"/>
      <c r="BB129" s="28"/>
      <c r="BC129" s="28"/>
      <c r="BD129" s="28"/>
      <c r="BE129" s="28"/>
      <c r="BF129" s="28"/>
      <c r="BG129" s="28"/>
      <c r="BH129" s="106"/>
      <c r="BI129" s="106"/>
      <c r="BJ129" s="106"/>
      <c r="BK129" s="106"/>
      <c r="BL129" s="137"/>
      <c r="BM129" s="123"/>
      <c r="BN129" s="99"/>
      <c r="BO129" s="94"/>
      <c r="BP129" s="94"/>
      <c r="BQ129" s="94"/>
      <c r="BR129" s="94"/>
      <c r="BS129" s="94"/>
      <c r="BT129" s="94"/>
      <c r="BU129" s="28">
        <f t="shared" si="116"/>
        <v>0</v>
      </c>
      <c r="BV129" s="28"/>
      <c r="BW129" s="28"/>
      <c r="BX129" s="28"/>
      <c r="BY129" s="28"/>
      <c r="BZ129" s="28"/>
      <c r="CA129" s="28"/>
      <c r="CB129" s="99">
        <v>2</v>
      </c>
      <c r="CC129" s="99">
        <v>2</v>
      </c>
      <c r="CD129" s="99">
        <v>2</v>
      </c>
      <c r="CE129" s="99">
        <v>2</v>
      </c>
      <c r="CF129" s="99">
        <v>2</v>
      </c>
      <c r="CG129" s="99">
        <v>2</v>
      </c>
      <c r="CH129" s="99">
        <v>2</v>
      </c>
      <c r="CI129" s="175"/>
      <c r="CJ129" s="175"/>
      <c r="CK129" s="175"/>
      <c r="CL129" s="175"/>
      <c r="CM129" s="175"/>
      <c r="CN129" s="175"/>
      <c r="CO129" s="175"/>
      <c r="CP129" s="176"/>
      <c r="CQ129" s="176"/>
      <c r="CR129" s="176"/>
      <c r="CS129" s="176"/>
      <c r="CT129" s="176"/>
      <c r="CU129" s="176"/>
      <c r="CV129" s="176"/>
      <c r="CW129" s="167"/>
      <c r="CX129" s="168"/>
      <c r="CY129" s="168"/>
      <c r="CZ129" s="168"/>
      <c r="DA129" s="168"/>
      <c r="DB129" s="168"/>
      <c r="DC129" s="168"/>
      <c r="DD129" s="172"/>
      <c r="DE129" s="172"/>
      <c r="DF129" s="172"/>
      <c r="DG129" s="172"/>
      <c r="DH129" s="172"/>
      <c r="DI129" s="172"/>
      <c r="DJ129" s="172"/>
      <c r="DK129" s="80" t="s">
        <v>988</v>
      </c>
      <c r="DL129" s="129">
        <f>VLOOKUP($F129,Activities!$A$9:$I$237,3,FALSE)/$AI129</f>
        <v>0</v>
      </c>
      <c r="DM129" s="129">
        <f>VLOOKUP($F129,Activities!$A$9:$I$237,4,FALSE)/$AI129</f>
        <v>0</v>
      </c>
      <c r="DN129" s="129">
        <f>VLOOKUP($F129,Activities!$A$9:$I$237,5,FALSE)/$AI129</f>
        <v>0</v>
      </c>
      <c r="DO129" s="129">
        <f>VLOOKUP($F129,Activities!$A$9:$I$237,6,FALSE)/$AI129</f>
        <v>0</v>
      </c>
      <c r="DP129" s="129">
        <f>VLOOKUP($F129,Activities!$A$9:$I$237,7,FALSE)/$AI129</f>
        <v>0</v>
      </c>
      <c r="DQ129" s="129">
        <f>VLOOKUP($F129,Activities!$A$9:$I$237,8,FALSE)/$AI129</f>
        <v>0</v>
      </c>
      <c r="DR129" s="129">
        <f>VLOOKUP($F129,Activities!$A$9:$I$237,9,FALSE)/$AI129</f>
        <v>0</v>
      </c>
      <c r="DS129" s="218"/>
      <c r="DT129" s="360"/>
      <c r="DU129" s="360"/>
      <c r="DV129" s="360"/>
      <c r="DW129" s="360"/>
      <c r="DX129" s="360"/>
      <c r="DY129" s="360"/>
      <c r="DZ129" s="360"/>
      <c r="EA129" s="360"/>
      <c r="EB129" s="360"/>
      <c r="EC129" s="360"/>
      <c r="ED129" s="360"/>
      <c r="EE129" s="360"/>
      <c r="EF129" s="360"/>
      <c r="EG129" s="360"/>
      <c r="EH129" s="360"/>
      <c r="EI129" s="360"/>
      <c r="EJ129" s="360"/>
      <c r="EK129" s="360"/>
      <c r="EL129" s="360"/>
      <c r="EM129" s="360"/>
      <c r="EN129" s="360"/>
      <c r="EO129" s="360"/>
      <c r="EP129" s="360"/>
      <c r="EQ129" s="360"/>
    </row>
    <row r="130" spans="1:147" x14ac:dyDescent="0.35">
      <c r="A130" s="5" t="s">
        <v>989</v>
      </c>
      <c r="B130" s="5" t="s">
        <v>740</v>
      </c>
      <c r="C130" s="5" t="s">
        <v>655</v>
      </c>
      <c r="D130" s="5" t="s">
        <v>741</v>
      </c>
      <c r="E130" s="5" t="s">
        <v>971</v>
      </c>
      <c r="F130" s="5" t="s">
        <v>439</v>
      </c>
      <c r="G130" s="47" t="s">
        <v>990</v>
      </c>
      <c r="H130" s="47" t="s">
        <v>991</v>
      </c>
      <c r="I130" s="101">
        <v>93.422803648357856</v>
      </c>
      <c r="J130" s="101">
        <v>93.422803648357856</v>
      </c>
      <c r="K130" s="101">
        <v>93.422803648357856</v>
      </c>
      <c r="L130" s="101">
        <v>93.422803648357856</v>
      </c>
      <c r="M130" s="101">
        <v>93.422803648357856</v>
      </c>
      <c r="N130" s="101">
        <v>93.422803648357856</v>
      </c>
      <c r="O130" s="101">
        <v>93.422803648357856</v>
      </c>
      <c r="P130" s="94">
        <v>0</v>
      </c>
      <c r="Q130" s="101">
        <f t="shared" ref="Q130:Q132" si="118">I130*0.05</f>
        <v>4.6711401824178926</v>
      </c>
      <c r="R130" s="101">
        <f t="shared" si="117"/>
        <v>4.6711401824178926</v>
      </c>
      <c r="S130" s="101">
        <f t="shared" si="117"/>
        <v>4.6711401824178926</v>
      </c>
      <c r="T130" s="101">
        <f t="shared" si="117"/>
        <v>4.6711401824178926</v>
      </c>
      <c r="U130" s="101">
        <f t="shared" si="117"/>
        <v>4.6711401824178926</v>
      </c>
      <c r="V130" s="101">
        <f t="shared" si="117"/>
        <v>4.6711401824178926</v>
      </c>
      <c r="W130" s="101">
        <f t="shared" si="117"/>
        <v>4.6711401824178926</v>
      </c>
      <c r="X130" s="101">
        <v>0</v>
      </c>
      <c r="Y130" s="101">
        <v>0</v>
      </c>
      <c r="Z130" s="101">
        <v>0</v>
      </c>
      <c r="AA130" s="101">
        <v>0</v>
      </c>
      <c r="AB130" s="101">
        <v>0</v>
      </c>
      <c r="AC130" s="101">
        <v>0</v>
      </c>
      <c r="AD130" s="101">
        <v>0</v>
      </c>
      <c r="AE130" s="186">
        <v>0.08</v>
      </c>
      <c r="AF130" s="93">
        <v>0</v>
      </c>
      <c r="AG130" s="93">
        <v>30</v>
      </c>
      <c r="AH130" s="93">
        <v>30</v>
      </c>
      <c r="AI130" s="16">
        <v>1</v>
      </c>
      <c r="AJ130" s="16" t="s">
        <v>660</v>
      </c>
      <c r="AK130" s="16" t="s">
        <v>745</v>
      </c>
      <c r="AL130" s="16"/>
      <c r="AM130" s="60"/>
      <c r="AN130" s="60"/>
      <c r="AO130" s="60"/>
      <c r="AP130" s="60"/>
      <c r="AQ130" s="60"/>
      <c r="AR130" s="60"/>
      <c r="AS130" s="63"/>
      <c r="AT130" s="63"/>
      <c r="AU130" s="63"/>
      <c r="AV130" s="131"/>
      <c r="AW130" s="131"/>
      <c r="AX130" s="131"/>
      <c r="AY130" s="27" t="s">
        <v>662</v>
      </c>
      <c r="AZ130" s="27"/>
      <c r="BA130" s="29"/>
      <c r="BB130" s="30"/>
      <c r="BC130" s="30"/>
      <c r="BD130" s="30"/>
      <c r="BE130" s="30"/>
      <c r="BF130" s="30"/>
      <c r="BG130" s="30"/>
      <c r="BH130" s="107"/>
      <c r="BI130" s="107"/>
      <c r="BJ130" s="107"/>
      <c r="BK130" s="107"/>
      <c r="BL130" s="136"/>
      <c r="BM130" s="122"/>
      <c r="BN130" s="97"/>
      <c r="BO130" s="93"/>
      <c r="BP130" s="93"/>
      <c r="BQ130" s="93"/>
      <c r="BR130" s="93"/>
      <c r="BS130" s="93"/>
      <c r="BT130" s="93"/>
      <c r="BU130" s="27">
        <f t="shared" si="116"/>
        <v>0</v>
      </c>
      <c r="BV130" s="27"/>
      <c r="BW130" s="27"/>
      <c r="BX130" s="27"/>
      <c r="BY130" s="27"/>
      <c r="BZ130" s="27"/>
      <c r="CA130" s="27"/>
      <c r="CB130" s="97">
        <v>2</v>
      </c>
      <c r="CC130" s="97">
        <v>2</v>
      </c>
      <c r="CD130" s="97">
        <v>2</v>
      </c>
      <c r="CE130" s="97">
        <v>2</v>
      </c>
      <c r="CF130" s="97">
        <v>2</v>
      </c>
      <c r="CG130" s="97">
        <v>2</v>
      </c>
      <c r="CH130" s="97">
        <v>2</v>
      </c>
      <c r="CI130" s="173"/>
      <c r="CJ130" s="173"/>
      <c r="CK130" s="173"/>
      <c r="CL130" s="173"/>
      <c r="CM130" s="173"/>
      <c r="CN130" s="173"/>
      <c r="CO130" s="173"/>
      <c r="CP130" s="174"/>
      <c r="CQ130" s="174"/>
      <c r="CR130" s="174"/>
      <c r="CS130" s="174"/>
      <c r="CT130" s="174"/>
      <c r="CU130" s="174"/>
      <c r="CV130" s="174"/>
      <c r="CW130" s="165"/>
      <c r="CX130" s="166"/>
      <c r="CY130" s="166"/>
      <c r="CZ130" s="166"/>
      <c r="DA130" s="166"/>
      <c r="DB130" s="166"/>
      <c r="DC130" s="166"/>
      <c r="DD130" s="171"/>
      <c r="DE130" s="171"/>
      <c r="DF130" s="171"/>
      <c r="DG130" s="171"/>
      <c r="DH130" s="171"/>
      <c r="DI130" s="171"/>
      <c r="DJ130" s="171"/>
      <c r="DK130" s="80" t="s">
        <v>988</v>
      </c>
      <c r="DL130" s="129">
        <f>VLOOKUP($F130,Activities!$A$9:$I$237,3,FALSE)/$AI130</f>
        <v>0</v>
      </c>
      <c r="DM130" s="129">
        <f>VLOOKUP($F130,Activities!$A$9:$I$237,4,FALSE)/$AI130</f>
        <v>0</v>
      </c>
      <c r="DN130" s="129">
        <f>VLOOKUP($F130,Activities!$A$9:$I$237,5,FALSE)/$AI130</f>
        <v>0</v>
      </c>
      <c r="DO130" s="129">
        <f>VLOOKUP($F130,Activities!$A$9:$I$237,6,FALSE)/$AI130</f>
        <v>0</v>
      </c>
      <c r="DP130" s="129">
        <f>VLOOKUP($F130,Activities!$A$9:$I$237,7,FALSE)/$AI130</f>
        <v>0</v>
      </c>
      <c r="DQ130" s="129">
        <f>VLOOKUP($F130,Activities!$A$9:$I$237,8,FALSE)/$AI130</f>
        <v>0</v>
      </c>
      <c r="DR130" s="129">
        <f>VLOOKUP($F130,Activities!$A$9:$I$237,9,FALSE)/$AI130</f>
        <v>0</v>
      </c>
      <c r="DS130" s="218"/>
      <c r="DT130" s="360"/>
      <c r="DU130" s="360"/>
      <c r="DV130" s="360"/>
      <c r="DW130" s="360"/>
      <c r="DX130" s="360"/>
      <c r="DY130" s="360"/>
      <c r="DZ130" s="360"/>
      <c r="EA130" s="360"/>
      <c r="EB130" s="360"/>
      <c r="EC130" s="360"/>
      <c r="ED130" s="360"/>
      <c r="EE130" s="360"/>
      <c r="EF130" s="360"/>
      <c r="EG130" s="360"/>
      <c r="EH130" s="360"/>
      <c r="EI130" s="360"/>
      <c r="EJ130" s="360"/>
      <c r="EK130" s="360"/>
      <c r="EL130" s="360"/>
      <c r="EM130" s="360"/>
      <c r="EN130" s="360"/>
      <c r="EO130" s="360"/>
      <c r="EP130" s="360"/>
      <c r="EQ130" s="360"/>
    </row>
    <row r="131" spans="1:147" x14ac:dyDescent="0.35">
      <c r="A131" s="6" t="s">
        <v>992</v>
      </c>
      <c r="B131" s="6" t="s">
        <v>740</v>
      </c>
      <c r="C131" s="6" t="s">
        <v>655</v>
      </c>
      <c r="D131" s="6" t="s">
        <v>741</v>
      </c>
      <c r="E131" s="6" t="s">
        <v>971</v>
      </c>
      <c r="F131" s="6" t="s">
        <v>442</v>
      </c>
      <c r="G131" s="48" t="s">
        <v>993</v>
      </c>
      <c r="H131" s="48" t="s">
        <v>994</v>
      </c>
      <c r="I131" s="102">
        <v>93.334108576576114</v>
      </c>
      <c r="J131" s="102">
        <v>93.334108576576114</v>
      </c>
      <c r="K131" s="102">
        <v>93.334108576576114</v>
      </c>
      <c r="L131" s="102">
        <v>93.334108576576114</v>
      </c>
      <c r="M131" s="102">
        <v>93.334108576576114</v>
      </c>
      <c r="N131" s="102">
        <v>93.334108576576114</v>
      </c>
      <c r="O131" s="102">
        <v>93.334108576576114</v>
      </c>
      <c r="P131" s="94">
        <v>0</v>
      </c>
      <c r="Q131" s="102">
        <f t="shared" si="118"/>
        <v>4.6667054288288057</v>
      </c>
      <c r="R131" s="102">
        <f t="shared" si="117"/>
        <v>4.6667054288288057</v>
      </c>
      <c r="S131" s="102">
        <f t="shared" si="117"/>
        <v>4.6667054288288057</v>
      </c>
      <c r="T131" s="102">
        <f t="shared" si="117"/>
        <v>4.6667054288288057</v>
      </c>
      <c r="U131" s="102">
        <f t="shared" si="117"/>
        <v>4.6667054288288057</v>
      </c>
      <c r="V131" s="102">
        <f t="shared" si="117"/>
        <v>4.6667054288288057</v>
      </c>
      <c r="W131" s="102">
        <f t="shared" si="117"/>
        <v>4.6667054288288057</v>
      </c>
      <c r="X131" s="102">
        <v>0</v>
      </c>
      <c r="Y131" s="102">
        <v>0</v>
      </c>
      <c r="Z131" s="102">
        <v>0</v>
      </c>
      <c r="AA131" s="102">
        <v>0</v>
      </c>
      <c r="AB131" s="102">
        <v>0</v>
      </c>
      <c r="AC131" s="102">
        <v>0</v>
      </c>
      <c r="AD131" s="102">
        <v>0</v>
      </c>
      <c r="AE131" s="186">
        <v>0.08</v>
      </c>
      <c r="AF131" s="94">
        <v>0</v>
      </c>
      <c r="AG131" s="94">
        <v>30</v>
      </c>
      <c r="AH131" s="94">
        <v>30</v>
      </c>
      <c r="AI131" s="17">
        <v>1</v>
      </c>
      <c r="AJ131" s="17" t="s">
        <v>660</v>
      </c>
      <c r="AK131" s="16" t="s">
        <v>745</v>
      </c>
      <c r="AL131" s="17"/>
      <c r="AM131" s="61"/>
      <c r="AN131" s="61"/>
      <c r="AO131" s="61"/>
      <c r="AP131" s="61"/>
      <c r="AQ131" s="61"/>
      <c r="AR131" s="61"/>
      <c r="AS131" s="64"/>
      <c r="AT131" s="64"/>
      <c r="AU131" s="64"/>
      <c r="AV131" s="132"/>
      <c r="AW131" s="132"/>
      <c r="AX131" s="132"/>
      <c r="AY131" s="28" t="s">
        <v>662</v>
      </c>
      <c r="AZ131" s="28"/>
      <c r="BA131" s="354"/>
      <c r="BB131" s="28"/>
      <c r="BC131" s="28"/>
      <c r="BD131" s="28"/>
      <c r="BE131" s="28"/>
      <c r="BF131" s="28"/>
      <c r="BG131" s="28"/>
      <c r="BH131" s="106"/>
      <c r="BI131" s="106"/>
      <c r="BJ131" s="106"/>
      <c r="BK131" s="106"/>
      <c r="BL131" s="137"/>
      <c r="BM131" s="123"/>
      <c r="BN131" s="99"/>
      <c r="BO131" s="94"/>
      <c r="BP131" s="94"/>
      <c r="BQ131" s="94"/>
      <c r="BR131" s="94"/>
      <c r="BS131" s="94"/>
      <c r="BT131" s="94"/>
      <c r="BU131" s="28">
        <f t="shared" si="116"/>
        <v>0</v>
      </c>
      <c r="BV131" s="28"/>
      <c r="BW131" s="28"/>
      <c r="BX131" s="28"/>
      <c r="BY131" s="28"/>
      <c r="BZ131" s="28"/>
      <c r="CA131" s="28"/>
      <c r="CB131" s="99">
        <v>2</v>
      </c>
      <c r="CC131" s="99">
        <v>2</v>
      </c>
      <c r="CD131" s="99">
        <v>2</v>
      </c>
      <c r="CE131" s="99">
        <v>2</v>
      </c>
      <c r="CF131" s="99">
        <v>2</v>
      </c>
      <c r="CG131" s="99">
        <v>2</v>
      </c>
      <c r="CH131" s="99">
        <v>2</v>
      </c>
      <c r="CI131" s="175"/>
      <c r="CJ131" s="175"/>
      <c r="CK131" s="175"/>
      <c r="CL131" s="175"/>
      <c r="CM131" s="175"/>
      <c r="CN131" s="175"/>
      <c r="CO131" s="175"/>
      <c r="CP131" s="176"/>
      <c r="CQ131" s="176"/>
      <c r="CR131" s="176"/>
      <c r="CS131" s="176"/>
      <c r="CT131" s="176"/>
      <c r="CU131" s="176"/>
      <c r="CV131" s="176"/>
      <c r="CW131" s="167"/>
      <c r="CX131" s="168"/>
      <c r="CY131" s="168"/>
      <c r="CZ131" s="168"/>
      <c r="DA131" s="168"/>
      <c r="DB131" s="168"/>
      <c r="DC131" s="168"/>
      <c r="DD131" s="172"/>
      <c r="DE131" s="172"/>
      <c r="DF131" s="172"/>
      <c r="DG131" s="172"/>
      <c r="DH131" s="172"/>
      <c r="DI131" s="172"/>
      <c r="DJ131" s="172"/>
      <c r="DK131" s="80" t="s">
        <v>988</v>
      </c>
      <c r="DL131" s="129">
        <f>VLOOKUP($F131,Activities!$A$9:$I$237,3,FALSE)/$AI131</f>
        <v>0</v>
      </c>
      <c r="DM131" s="129">
        <f>VLOOKUP($F131,Activities!$A$9:$I$237,4,FALSE)/$AI131</f>
        <v>0</v>
      </c>
      <c r="DN131" s="129">
        <f>VLOOKUP($F131,Activities!$A$9:$I$237,5,FALSE)/$AI131</f>
        <v>0</v>
      </c>
      <c r="DO131" s="129">
        <f>VLOOKUP($F131,Activities!$A$9:$I$237,6,FALSE)/$AI131</f>
        <v>0</v>
      </c>
      <c r="DP131" s="129">
        <f>VLOOKUP($F131,Activities!$A$9:$I$237,7,FALSE)/$AI131</f>
        <v>0</v>
      </c>
      <c r="DQ131" s="129">
        <f>VLOOKUP($F131,Activities!$A$9:$I$237,8,FALSE)/$AI131</f>
        <v>0</v>
      </c>
      <c r="DR131" s="129">
        <f>VLOOKUP($F131,Activities!$A$9:$I$237,9,FALSE)/$AI131</f>
        <v>0</v>
      </c>
      <c r="DS131" s="218"/>
      <c r="DT131" s="360"/>
      <c r="DU131" s="360"/>
      <c r="DV131" s="360"/>
      <c r="DW131" s="360"/>
      <c r="DX131" s="360"/>
      <c r="DY131" s="360"/>
      <c r="DZ131" s="360"/>
      <c r="EA131" s="360"/>
      <c r="EB131" s="360"/>
      <c r="EC131" s="360"/>
      <c r="ED131" s="360"/>
      <c r="EE131" s="360"/>
      <c r="EF131" s="360"/>
      <c r="EG131" s="360"/>
      <c r="EH131" s="360"/>
      <c r="EI131" s="360"/>
      <c r="EJ131" s="360"/>
      <c r="EK131" s="360"/>
      <c r="EL131" s="360"/>
      <c r="EM131" s="360"/>
      <c r="EN131" s="360"/>
      <c r="EO131" s="360"/>
      <c r="EP131" s="360"/>
      <c r="EQ131" s="360"/>
    </row>
    <row r="132" spans="1:147" x14ac:dyDescent="0.35">
      <c r="A132" s="5" t="s">
        <v>995</v>
      </c>
      <c r="B132" s="5" t="s">
        <v>740</v>
      </c>
      <c r="C132" s="5" t="s">
        <v>655</v>
      </c>
      <c r="D132" s="5" t="s">
        <v>741</v>
      </c>
      <c r="E132" s="5" t="s">
        <v>971</v>
      </c>
      <c r="F132" s="5" t="s">
        <v>446</v>
      </c>
      <c r="G132" s="47" t="s">
        <v>996</v>
      </c>
      <c r="H132" s="47" t="s">
        <v>997</v>
      </c>
      <c r="I132" s="101">
        <v>93.214616347413696</v>
      </c>
      <c r="J132" s="101">
        <v>93.214616347413696</v>
      </c>
      <c r="K132" s="101">
        <v>93.214616347413696</v>
      </c>
      <c r="L132" s="101">
        <v>93.214616347413696</v>
      </c>
      <c r="M132" s="101">
        <v>93.214616347413696</v>
      </c>
      <c r="N132" s="101">
        <v>93.214616347413696</v>
      </c>
      <c r="O132" s="101">
        <v>93.214616347413696</v>
      </c>
      <c r="P132" s="94">
        <v>0</v>
      </c>
      <c r="Q132" s="101">
        <f t="shared" si="118"/>
        <v>4.660730817370685</v>
      </c>
      <c r="R132" s="101">
        <f t="shared" si="117"/>
        <v>4.660730817370685</v>
      </c>
      <c r="S132" s="101">
        <f t="shared" si="117"/>
        <v>4.660730817370685</v>
      </c>
      <c r="T132" s="101">
        <f t="shared" si="117"/>
        <v>4.660730817370685</v>
      </c>
      <c r="U132" s="101">
        <f t="shared" si="117"/>
        <v>4.660730817370685</v>
      </c>
      <c r="V132" s="101">
        <f t="shared" si="117"/>
        <v>4.660730817370685</v>
      </c>
      <c r="W132" s="101">
        <f t="shared" si="117"/>
        <v>4.660730817370685</v>
      </c>
      <c r="X132" s="101">
        <v>0</v>
      </c>
      <c r="Y132" s="101">
        <v>0</v>
      </c>
      <c r="Z132" s="101">
        <v>0</v>
      </c>
      <c r="AA132" s="101">
        <v>0</v>
      </c>
      <c r="AB132" s="101">
        <v>0</v>
      </c>
      <c r="AC132" s="101">
        <v>0</v>
      </c>
      <c r="AD132" s="101">
        <v>0</v>
      </c>
      <c r="AE132" s="186">
        <v>0.08</v>
      </c>
      <c r="AF132" s="93">
        <v>0</v>
      </c>
      <c r="AG132" s="93">
        <v>30</v>
      </c>
      <c r="AH132" s="93">
        <v>30</v>
      </c>
      <c r="AI132" s="16">
        <v>1</v>
      </c>
      <c r="AJ132" s="16" t="s">
        <v>660</v>
      </c>
      <c r="AK132" s="16" t="s">
        <v>745</v>
      </c>
      <c r="AL132" s="16"/>
      <c r="AM132" s="60"/>
      <c r="AN132" s="60"/>
      <c r="AO132" s="60"/>
      <c r="AP132" s="60"/>
      <c r="AQ132" s="60"/>
      <c r="AR132" s="60"/>
      <c r="AS132" s="63"/>
      <c r="AT132" s="63"/>
      <c r="AU132" s="63"/>
      <c r="AV132" s="131"/>
      <c r="AW132" s="131"/>
      <c r="AX132" s="131"/>
      <c r="AY132" s="27" t="s">
        <v>662</v>
      </c>
      <c r="AZ132" s="27"/>
      <c r="BA132" s="29"/>
      <c r="BB132" s="30"/>
      <c r="BC132" s="30"/>
      <c r="BD132" s="30"/>
      <c r="BE132" s="30"/>
      <c r="BF132" s="30"/>
      <c r="BG132" s="30"/>
      <c r="BH132" s="107"/>
      <c r="BI132" s="107"/>
      <c r="BJ132" s="107"/>
      <c r="BK132" s="107"/>
      <c r="BL132" s="136"/>
      <c r="BM132" s="122"/>
      <c r="BN132" s="97"/>
      <c r="BO132" s="93"/>
      <c r="BP132" s="93"/>
      <c r="BQ132" s="93"/>
      <c r="BR132" s="93"/>
      <c r="BS132" s="93"/>
      <c r="BT132" s="93"/>
      <c r="BU132" s="27">
        <f t="shared" si="116"/>
        <v>0</v>
      </c>
      <c r="BV132" s="27"/>
      <c r="BW132" s="27"/>
      <c r="BX132" s="27"/>
      <c r="BY132" s="27"/>
      <c r="BZ132" s="27"/>
      <c r="CA132" s="27"/>
      <c r="CB132" s="97">
        <v>2</v>
      </c>
      <c r="CC132" s="97">
        <v>2</v>
      </c>
      <c r="CD132" s="97">
        <v>2</v>
      </c>
      <c r="CE132" s="97">
        <v>2</v>
      </c>
      <c r="CF132" s="97">
        <v>2</v>
      </c>
      <c r="CG132" s="97">
        <v>2</v>
      </c>
      <c r="CH132" s="97">
        <v>2</v>
      </c>
      <c r="CI132" s="173"/>
      <c r="CJ132" s="173"/>
      <c r="CK132" s="173"/>
      <c r="CL132" s="173"/>
      <c r="CM132" s="173"/>
      <c r="CN132" s="173"/>
      <c r="CO132" s="173"/>
      <c r="CP132" s="174"/>
      <c r="CQ132" s="174"/>
      <c r="CR132" s="174"/>
      <c r="CS132" s="174"/>
      <c r="CT132" s="174"/>
      <c r="CU132" s="174"/>
      <c r="CV132" s="174"/>
      <c r="CW132" s="165"/>
      <c r="CX132" s="166"/>
      <c r="CY132" s="166"/>
      <c r="CZ132" s="166"/>
      <c r="DA132" s="166"/>
      <c r="DB132" s="166"/>
      <c r="DC132" s="166"/>
      <c r="DD132" s="171"/>
      <c r="DE132" s="171"/>
      <c r="DF132" s="171"/>
      <c r="DG132" s="171"/>
      <c r="DH132" s="171"/>
      <c r="DI132" s="171"/>
      <c r="DJ132" s="171"/>
      <c r="DK132" s="80" t="s">
        <v>988</v>
      </c>
      <c r="DL132" s="129">
        <f>VLOOKUP($F132,Activities!$A$9:$I$237,3,FALSE)/$AI132</f>
        <v>0</v>
      </c>
      <c r="DM132" s="129">
        <f>VLOOKUP($F132,Activities!$A$9:$I$237,4,FALSE)/$AI132</f>
        <v>0</v>
      </c>
      <c r="DN132" s="129">
        <f>VLOOKUP($F132,Activities!$A$9:$I$237,5,FALSE)/$AI132</f>
        <v>0</v>
      </c>
      <c r="DO132" s="129">
        <f>VLOOKUP($F132,Activities!$A$9:$I$237,6,FALSE)/$AI132</f>
        <v>0</v>
      </c>
      <c r="DP132" s="129">
        <f>VLOOKUP($F132,Activities!$A$9:$I$237,7,FALSE)/$AI132</f>
        <v>0</v>
      </c>
      <c r="DQ132" s="129">
        <f>VLOOKUP($F132,Activities!$A$9:$I$237,8,FALSE)/$AI132</f>
        <v>0</v>
      </c>
      <c r="DR132" s="129">
        <f>VLOOKUP($F132,Activities!$A$9:$I$237,9,FALSE)/$AI132</f>
        <v>0</v>
      </c>
      <c r="DS132" s="218"/>
      <c r="DT132" s="360"/>
      <c r="DU132" s="360"/>
      <c r="DV132" s="360"/>
      <c r="DW132" s="360"/>
      <c r="DX132" s="360"/>
      <c r="DY132" s="360"/>
      <c r="DZ132" s="360"/>
      <c r="EA132" s="360"/>
      <c r="EB132" s="360"/>
      <c r="EC132" s="360"/>
      <c r="ED132" s="360"/>
      <c r="EE132" s="360"/>
      <c r="EF132" s="360"/>
      <c r="EG132" s="360"/>
      <c r="EH132" s="360"/>
      <c r="EI132" s="360"/>
      <c r="EJ132" s="360"/>
      <c r="EK132" s="360"/>
      <c r="EL132" s="360"/>
      <c r="EM132" s="360"/>
      <c r="EN132" s="360"/>
      <c r="EO132" s="360"/>
      <c r="EP132" s="360"/>
      <c r="EQ132" s="360"/>
    </row>
    <row r="133" spans="1:147" x14ac:dyDescent="0.35">
      <c r="A133" s="6" t="s">
        <v>998</v>
      </c>
      <c r="B133" s="6" t="s">
        <v>740</v>
      </c>
      <c r="C133" s="6" t="s">
        <v>788</v>
      </c>
      <c r="D133" s="6" t="s">
        <v>741</v>
      </c>
      <c r="E133" s="6" t="s">
        <v>971</v>
      </c>
      <c r="F133" s="6" t="s">
        <v>489</v>
      </c>
      <c r="G133" s="48" t="s">
        <v>999</v>
      </c>
      <c r="H133" s="48" t="s">
        <v>659</v>
      </c>
      <c r="I133" s="102">
        <v>4.6677849781323326</v>
      </c>
      <c r="J133" s="102">
        <v>4.6677849781323326</v>
      </c>
      <c r="K133" s="102">
        <v>4.6677849781323326</v>
      </c>
      <c r="L133" s="102">
        <v>4.6677849781323326</v>
      </c>
      <c r="M133" s="102">
        <v>4.6677849781323326</v>
      </c>
      <c r="N133" s="102">
        <v>4.6677849781323326</v>
      </c>
      <c r="O133" s="102">
        <v>4.6677849781323326</v>
      </c>
      <c r="P133" s="94">
        <v>0</v>
      </c>
      <c r="Q133" s="102">
        <f>I133*0.05</f>
        <v>0.23338924890661664</v>
      </c>
      <c r="R133" s="102">
        <f t="shared" ref="R133:W134" si="119">J133*0.05</f>
        <v>0.23338924890661664</v>
      </c>
      <c r="S133" s="102">
        <f t="shared" si="119"/>
        <v>0.23338924890661664</v>
      </c>
      <c r="T133" s="102">
        <f t="shared" si="119"/>
        <v>0.23338924890661664</v>
      </c>
      <c r="U133" s="102">
        <f t="shared" si="119"/>
        <v>0.23338924890661664</v>
      </c>
      <c r="V133" s="102">
        <f t="shared" si="119"/>
        <v>0.23338924890661664</v>
      </c>
      <c r="W133" s="102">
        <f t="shared" si="119"/>
        <v>0.23338924890661664</v>
      </c>
      <c r="X133" s="102">
        <v>0</v>
      </c>
      <c r="Y133" s="102">
        <v>0</v>
      </c>
      <c r="Z133" s="102">
        <v>0</v>
      </c>
      <c r="AA133" s="102">
        <v>0</v>
      </c>
      <c r="AB133" s="102">
        <v>0</v>
      </c>
      <c r="AC133" s="102">
        <v>0</v>
      </c>
      <c r="AD133" s="102">
        <v>0</v>
      </c>
      <c r="AE133" s="186">
        <v>0.08</v>
      </c>
      <c r="AF133" s="94">
        <v>0</v>
      </c>
      <c r="AG133" s="94">
        <v>30</v>
      </c>
      <c r="AH133" s="94">
        <v>30</v>
      </c>
      <c r="AI133" s="17">
        <v>1</v>
      </c>
      <c r="AJ133" s="17" t="s">
        <v>660</v>
      </c>
      <c r="AK133" s="16" t="s">
        <v>745</v>
      </c>
      <c r="AL133" s="17"/>
      <c r="AM133" s="61"/>
      <c r="AN133" s="61"/>
      <c r="AO133" s="61"/>
      <c r="AP133" s="61"/>
      <c r="AQ133" s="61"/>
      <c r="AR133" s="61"/>
      <c r="AS133" s="64"/>
      <c r="AT133" s="64"/>
      <c r="AU133" s="64"/>
      <c r="AV133" s="132"/>
      <c r="AW133" s="132"/>
      <c r="AX133" s="132"/>
      <c r="AY133" s="28" t="s">
        <v>662</v>
      </c>
      <c r="AZ133" s="28"/>
      <c r="BA133" s="354"/>
      <c r="BB133" s="28"/>
      <c r="BC133" s="28"/>
      <c r="BD133" s="28"/>
      <c r="BE133" s="28"/>
      <c r="BF133" s="28"/>
      <c r="BG133" s="28"/>
      <c r="BH133" s="106"/>
      <c r="BI133" s="106"/>
      <c r="BJ133" s="106"/>
      <c r="BK133" s="106"/>
      <c r="BL133" s="137"/>
      <c r="BM133" s="123"/>
      <c r="BN133" s="139">
        <v>0</v>
      </c>
      <c r="BO133" s="94"/>
      <c r="BP133" s="94"/>
      <c r="BQ133" s="94"/>
      <c r="BR133" s="94"/>
      <c r="BS133" s="94"/>
      <c r="BT133" s="94"/>
      <c r="BU133" s="28">
        <f t="shared" si="116"/>
        <v>0</v>
      </c>
      <c r="BV133" s="28"/>
      <c r="BW133" s="28"/>
      <c r="BX133" s="28"/>
      <c r="BY133" s="28"/>
      <c r="BZ133" s="28"/>
      <c r="CA133" s="28"/>
      <c r="CB133" s="99">
        <v>0</v>
      </c>
      <c r="CC133" s="99">
        <v>50</v>
      </c>
      <c r="CD133" s="99">
        <v>50</v>
      </c>
      <c r="CE133" s="99">
        <v>50</v>
      </c>
      <c r="CF133" s="99">
        <v>50</v>
      </c>
      <c r="CG133" s="99">
        <v>50</v>
      </c>
      <c r="CH133" s="99">
        <v>50</v>
      </c>
      <c r="CI133" s="175"/>
      <c r="CJ133" s="175"/>
      <c r="CK133" s="175"/>
      <c r="CL133" s="175"/>
      <c r="CM133" s="175"/>
      <c r="CN133" s="175"/>
      <c r="CO133" s="175"/>
      <c r="CP133" s="176"/>
      <c r="CQ133" s="176"/>
      <c r="CR133" s="176"/>
      <c r="CS133" s="176"/>
      <c r="CT133" s="176"/>
      <c r="CU133" s="176"/>
      <c r="CV133" s="176"/>
      <c r="CW133" s="167"/>
      <c r="CX133" s="168"/>
      <c r="CY133" s="168"/>
      <c r="CZ133" s="168"/>
      <c r="DA133" s="168"/>
      <c r="DB133" s="168"/>
      <c r="DC133" s="168"/>
      <c r="DD133" s="172"/>
      <c r="DE133" s="172"/>
      <c r="DF133" s="172"/>
      <c r="DG133" s="172"/>
      <c r="DH133" s="172"/>
      <c r="DI133" s="172"/>
      <c r="DJ133" s="172"/>
      <c r="DK133" s="80" t="s">
        <v>1000</v>
      </c>
      <c r="DL133" s="129">
        <f>VLOOKUP($F133,Activities!$A$9:$I$227,3,FALSE)/$AI133</f>
        <v>0</v>
      </c>
      <c r="DM133" s="129">
        <f>VLOOKUP($F133,Activities!$A$9:$I$227,4,FALSE)/$AI133</f>
        <v>0</v>
      </c>
      <c r="DN133" s="129">
        <f>VLOOKUP($F133,Activities!$A$9:$I$227,5,FALSE)/$AI133</f>
        <v>0</v>
      </c>
      <c r="DO133" s="129">
        <f>VLOOKUP($F133,Activities!$A$9:$I$227,6,FALSE)/$AI133</f>
        <v>0</v>
      </c>
      <c r="DP133" s="129">
        <f>VLOOKUP($F133,Activities!$A$9:$I$227,7,FALSE)/$AI133</f>
        <v>0</v>
      </c>
      <c r="DQ133" s="129">
        <f>VLOOKUP($F133,Activities!$A$9:$I$227,8,FALSE)/$AI133</f>
        <v>0</v>
      </c>
      <c r="DR133" s="129">
        <f>VLOOKUP($F133,Activities!$A$9:$I$227,9,FALSE)/$AI133</f>
        <v>0</v>
      </c>
      <c r="DS133" s="218"/>
      <c r="DT133" s="360"/>
      <c r="DU133" s="360"/>
      <c r="DV133" s="360"/>
      <c r="DW133" s="360"/>
      <c r="DX133" s="360"/>
      <c r="DY133" s="360"/>
      <c r="DZ133" s="360"/>
      <c r="EA133" s="360"/>
      <c r="EB133" s="360"/>
      <c r="EC133" s="360"/>
      <c r="ED133" s="360"/>
      <c r="EE133" s="360"/>
      <c r="EF133" s="360"/>
      <c r="EG133" s="360"/>
      <c r="EH133" s="360"/>
      <c r="EI133" s="360"/>
      <c r="EJ133" s="360"/>
      <c r="EK133" s="360"/>
      <c r="EL133" s="360"/>
      <c r="EM133" s="360"/>
      <c r="EN133" s="360"/>
      <c r="EO133" s="360"/>
      <c r="EP133" s="360"/>
      <c r="EQ133" s="360"/>
    </row>
    <row r="134" spans="1:147" x14ac:dyDescent="0.35">
      <c r="A134" s="5" t="s">
        <v>1001</v>
      </c>
      <c r="B134" s="5" t="s">
        <v>740</v>
      </c>
      <c r="C134" s="5" t="s">
        <v>788</v>
      </c>
      <c r="D134" s="5" t="s">
        <v>741</v>
      </c>
      <c r="E134" s="5" t="s">
        <v>971</v>
      </c>
      <c r="F134" s="6" t="s">
        <v>489</v>
      </c>
      <c r="G134" s="47" t="s">
        <v>1002</v>
      </c>
      <c r="H134" s="47" t="s">
        <v>659</v>
      </c>
      <c r="I134" s="101">
        <v>7.4732075686877479</v>
      </c>
      <c r="J134" s="101">
        <v>7.4732075686877479</v>
      </c>
      <c r="K134" s="101">
        <v>7.4732075686877479</v>
      </c>
      <c r="L134" s="101">
        <v>7.4732075686877479</v>
      </c>
      <c r="M134" s="101">
        <v>7.4732075686877479</v>
      </c>
      <c r="N134" s="101">
        <v>7.4732075686877479</v>
      </c>
      <c r="O134" s="101">
        <v>7.4732075686877479</v>
      </c>
      <c r="P134" s="94">
        <v>0</v>
      </c>
      <c r="Q134" s="101">
        <f>I134*0.05</f>
        <v>0.37366037843438743</v>
      </c>
      <c r="R134" s="101">
        <f t="shared" si="119"/>
        <v>0.37366037843438743</v>
      </c>
      <c r="S134" s="101">
        <f t="shared" si="119"/>
        <v>0.37366037843438743</v>
      </c>
      <c r="T134" s="101">
        <f t="shared" si="119"/>
        <v>0.37366037843438743</v>
      </c>
      <c r="U134" s="101">
        <f t="shared" si="119"/>
        <v>0.37366037843438743</v>
      </c>
      <c r="V134" s="101">
        <f t="shared" si="119"/>
        <v>0.37366037843438743</v>
      </c>
      <c r="W134" s="101">
        <f t="shared" si="119"/>
        <v>0.37366037843438743</v>
      </c>
      <c r="X134" s="101">
        <v>0</v>
      </c>
      <c r="Y134" s="101">
        <v>0</v>
      </c>
      <c r="Z134" s="101">
        <v>0</v>
      </c>
      <c r="AA134" s="101">
        <v>0</v>
      </c>
      <c r="AB134" s="101">
        <v>0</v>
      </c>
      <c r="AC134" s="101">
        <v>0</v>
      </c>
      <c r="AD134" s="101">
        <v>0</v>
      </c>
      <c r="AE134" s="186">
        <v>0.08</v>
      </c>
      <c r="AF134" s="93">
        <v>0</v>
      </c>
      <c r="AG134" s="93">
        <v>30</v>
      </c>
      <c r="AH134" s="93">
        <v>30</v>
      </c>
      <c r="AI134" s="16">
        <v>1</v>
      </c>
      <c r="AJ134" s="16" t="s">
        <v>660</v>
      </c>
      <c r="AK134" s="16" t="s">
        <v>745</v>
      </c>
      <c r="AL134" s="16"/>
      <c r="AM134" s="60"/>
      <c r="AN134" s="60"/>
      <c r="AO134" s="60"/>
      <c r="AP134" s="60"/>
      <c r="AQ134" s="60"/>
      <c r="AR134" s="60"/>
      <c r="AS134" s="63"/>
      <c r="AT134" s="63"/>
      <c r="AU134" s="63"/>
      <c r="AV134" s="131"/>
      <c r="AW134" s="131"/>
      <c r="AX134" s="131"/>
      <c r="AY134" s="27" t="s">
        <v>662</v>
      </c>
      <c r="AZ134" s="27"/>
      <c r="BA134" s="29"/>
      <c r="BB134" s="30"/>
      <c r="BC134" s="30"/>
      <c r="BD134" s="30"/>
      <c r="BE134" s="30"/>
      <c r="BF134" s="30"/>
      <c r="BG134" s="30"/>
      <c r="BH134" s="107"/>
      <c r="BI134" s="107"/>
      <c r="BJ134" s="107"/>
      <c r="BK134" s="107"/>
      <c r="BL134" s="136"/>
      <c r="BM134" s="122"/>
      <c r="BN134" s="138">
        <v>0</v>
      </c>
      <c r="BO134" s="93"/>
      <c r="BP134" s="93"/>
      <c r="BQ134" s="93"/>
      <c r="BR134" s="93"/>
      <c r="BS134" s="93"/>
      <c r="BT134" s="93"/>
      <c r="BU134" s="27">
        <f t="shared" si="116"/>
        <v>0</v>
      </c>
      <c r="BV134" s="27"/>
      <c r="BW134" s="27"/>
      <c r="BX134" s="27"/>
      <c r="BY134" s="27"/>
      <c r="BZ134" s="27"/>
      <c r="CA134" s="27"/>
      <c r="CB134" s="97">
        <v>0</v>
      </c>
      <c r="CC134" s="99">
        <v>50</v>
      </c>
      <c r="CD134" s="99">
        <v>50</v>
      </c>
      <c r="CE134" s="99">
        <v>50</v>
      </c>
      <c r="CF134" s="99">
        <v>50</v>
      </c>
      <c r="CG134" s="99">
        <v>50</v>
      </c>
      <c r="CH134" s="99">
        <v>50</v>
      </c>
      <c r="CI134" s="173"/>
      <c r="CJ134" s="173"/>
      <c r="CK134" s="173"/>
      <c r="CL134" s="173"/>
      <c r="CM134" s="173"/>
      <c r="CN134" s="173"/>
      <c r="CO134" s="173"/>
      <c r="CP134" s="174"/>
      <c r="CQ134" s="174"/>
      <c r="CR134" s="174"/>
      <c r="CS134" s="174"/>
      <c r="CT134" s="174"/>
      <c r="CU134" s="174"/>
      <c r="CV134" s="174"/>
      <c r="CW134" s="165"/>
      <c r="CX134" s="166"/>
      <c r="CY134" s="166"/>
      <c r="CZ134" s="166"/>
      <c r="DA134" s="166"/>
      <c r="DB134" s="166"/>
      <c r="DC134" s="166"/>
      <c r="DD134" s="171"/>
      <c r="DE134" s="171"/>
      <c r="DF134" s="171"/>
      <c r="DG134" s="171"/>
      <c r="DH134" s="171"/>
      <c r="DI134" s="171"/>
      <c r="DJ134" s="171"/>
      <c r="DK134" s="80" t="s">
        <v>1000</v>
      </c>
      <c r="DL134" s="129">
        <f>VLOOKUP($F134,Activities!$A$9:$I$227,3,FALSE)/$AI134</f>
        <v>0</v>
      </c>
      <c r="DM134" s="129">
        <f>VLOOKUP($F134,Activities!$A$9:$I$227,4,FALSE)/$AI134</f>
        <v>0</v>
      </c>
      <c r="DN134" s="129">
        <f>VLOOKUP($F134,Activities!$A$9:$I$227,5,FALSE)/$AI134</f>
        <v>0</v>
      </c>
      <c r="DO134" s="129">
        <f>VLOOKUP($F134,Activities!$A$9:$I$227,6,FALSE)/$AI134</f>
        <v>0</v>
      </c>
      <c r="DP134" s="129">
        <f>VLOOKUP($F134,Activities!$A$9:$I$227,7,FALSE)/$AI134</f>
        <v>0</v>
      </c>
      <c r="DQ134" s="129">
        <f>VLOOKUP($F134,Activities!$A$9:$I$227,8,FALSE)/$AI134</f>
        <v>0</v>
      </c>
      <c r="DR134" s="129">
        <f>VLOOKUP($F134,Activities!$A$9:$I$227,9,FALSE)/$AI134</f>
        <v>0</v>
      </c>
      <c r="DS134" s="218"/>
      <c r="DT134" s="360"/>
      <c r="DU134" s="360"/>
      <c r="DV134" s="360"/>
      <c r="DW134" s="360"/>
      <c r="DX134" s="360"/>
      <c r="DY134" s="360"/>
      <c r="DZ134" s="360"/>
      <c r="EA134" s="360"/>
      <c r="EB134" s="360"/>
      <c r="EC134" s="360"/>
      <c r="ED134" s="360"/>
      <c r="EE134" s="360"/>
      <c r="EF134" s="360"/>
      <c r="EG134" s="360"/>
      <c r="EH134" s="360"/>
      <c r="EI134" s="360"/>
      <c r="EJ134" s="360"/>
      <c r="EK134" s="360"/>
      <c r="EL134" s="360"/>
      <c r="EM134" s="360"/>
      <c r="EN134" s="360"/>
      <c r="EO134" s="360"/>
      <c r="EP134" s="360"/>
      <c r="EQ134" s="360"/>
    </row>
    <row r="135" spans="1:147" x14ac:dyDescent="0.35">
      <c r="A135" s="6" t="s">
        <v>1003</v>
      </c>
      <c r="B135" s="6" t="s">
        <v>740</v>
      </c>
      <c r="C135" s="6" t="s">
        <v>788</v>
      </c>
      <c r="D135" s="6" t="s">
        <v>741</v>
      </c>
      <c r="E135" s="6" t="s">
        <v>971</v>
      </c>
      <c r="F135" s="6" t="s">
        <v>501</v>
      </c>
      <c r="G135" s="48" t="s">
        <v>1004</v>
      </c>
      <c r="H135" s="48" t="s">
        <v>659</v>
      </c>
      <c r="I135" s="102">
        <f>9.4</f>
        <v>9.4</v>
      </c>
      <c r="J135" s="102">
        <f>SUM(I135,K135)/2</f>
        <v>9.2149999999999999</v>
      </c>
      <c r="K135" s="102">
        <v>9.0299999999999994</v>
      </c>
      <c r="L135" s="102">
        <f>($O135-$K135)/4+K135</f>
        <v>8.8550000000000004</v>
      </c>
      <c r="M135" s="102">
        <f>($O135-$K135)/4+L135</f>
        <v>8.68</v>
      </c>
      <c r="N135" s="102">
        <f>($O135-$K135)/4+M135</f>
        <v>8.504999999999999</v>
      </c>
      <c r="O135" s="102">
        <v>8.33</v>
      </c>
      <c r="P135" s="94">
        <v>0</v>
      </c>
      <c r="Q135" s="102">
        <v>2.74</v>
      </c>
      <c r="R135" s="102">
        <f>SUM(Q135,S135)/2</f>
        <v>2.67</v>
      </c>
      <c r="S135" s="102">
        <v>2.6</v>
      </c>
      <c r="T135" s="102">
        <f>($W135-$S135)/4+S135</f>
        <v>2.5325000000000002</v>
      </c>
      <c r="U135" s="102">
        <f>($W135-$S135)/4+T135</f>
        <v>2.4650000000000003</v>
      </c>
      <c r="V135" s="102">
        <f>($W135-$S135)/4+U135</f>
        <v>2.3975000000000004</v>
      </c>
      <c r="W135" s="102">
        <v>2.33</v>
      </c>
      <c r="X135" s="102">
        <v>0</v>
      </c>
      <c r="Y135" s="102">
        <v>0</v>
      </c>
      <c r="Z135" s="102">
        <v>0</v>
      </c>
      <c r="AA135" s="102">
        <v>0</v>
      </c>
      <c r="AB135" s="102">
        <v>0</v>
      </c>
      <c r="AC135" s="102">
        <v>0</v>
      </c>
      <c r="AD135" s="102">
        <v>0</v>
      </c>
      <c r="AE135" s="186">
        <v>0.08</v>
      </c>
      <c r="AF135" s="94">
        <v>0</v>
      </c>
      <c r="AG135" s="94">
        <v>30</v>
      </c>
      <c r="AH135" s="94">
        <v>30</v>
      </c>
      <c r="AI135" s="17">
        <v>1</v>
      </c>
      <c r="AJ135" s="17" t="s">
        <v>660</v>
      </c>
      <c r="AK135" s="16" t="s">
        <v>745</v>
      </c>
      <c r="AL135" s="17"/>
      <c r="AM135" s="61"/>
      <c r="AN135" s="61"/>
      <c r="AO135" s="61"/>
      <c r="AP135" s="61"/>
      <c r="AQ135" s="61"/>
      <c r="AR135" s="61"/>
      <c r="AS135" s="64"/>
      <c r="AT135" s="64"/>
      <c r="AU135" s="64"/>
      <c r="AV135" s="132"/>
      <c r="AW135" s="132"/>
      <c r="AX135" s="132"/>
      <c r="AY135" s="28" t="s">
        <v>662</v>
      </c>
      <c r="AZ135" s="28"/>
      <c r="BA135" s="354"/>
      <c r="BB135" s="28"/>
      <c r="BC135" s="28"/>
      <c r="BD135" s="28"/>
      <c r="BE135" s="28"/>
      <c r="BF135" s="28"/>
      <c r="BG135" s="28"/>
      <c r="BH135" s="106"/>
      <c r="BI135" s="106"/>
      <c r="BJ135" s="106"/>
      <c r="BK135" s="106"/>
      <c r="BL135" s="137"/>
      <c r="BM135" s="123"/>
      <c r="BN135" s="139">
        <v>0</v>
      </c>
      <c r="BO135" s="94"/>
      <c r="BP135" s="94"/>
      <c r="BQ135" s="94"/>
      <c r="BR135" s="94"/>
      <c r="BS135" s="94"/>
      <c r="BT135" s="94"/>
      <c r="BU135" s="28">
        <v>0</v>
      </c>
      <c r="BV135" s="191"/>
      <c r="BW135" s="191"/>
      <c r="BX135" s="28"/>
      <c r="BY135" s="28"/>
      <c r="BZ135" s="28"/>
      <c r="CA135" s="28"/>
      <c r="CB135" s="99">
        <v>0</v>
      </c>
      <c r="CC135" s="99">
        <v>50</v>
      </c>
      <c r="CD135" s="99">
        <v>50</v>
      </c>
      <c r="CE135" s="99">
        <v>50</v>
      </c>
      <c r="CF135" s="99">
        <v>50</v>
      </c>
      <c r="CG135" s="99">
        <v>50</v>
      </c>
      <c r="CH135" s="99">
        <v>50</v>
      </c>
      <c r="CI135" s="175"/>
      <c r="CJ135" s="175"/>
      <c r="CK135" s="175"/>
      <c r="CL135" s="175"/>
      <c r="CM135" s="175"/>
      <c r="CN135" s="175"/>
      <c r="CO135" s="175"/>
      <c r="CP135" s="176"/>
      <c r="CQ135" s="176"/>
      <c r="CR135" s="176"/>
      <c r="CS135" s="176"/>
      <c r="CT135" s="176"/>
      <c r="CU135" s="176"/>
      <c r="CV135" s="176"/>
      <c r="CW135" s="167"/>
      <c r="CX135" s="168"/>
      <c r="CY135" s="168"/>
      <c r="CZ135" s="168"/>
      <c r="DA135" s="168"/>
      <c r="DB135" s="168"/>
      <c r="DC135" s="168"/>
      <c r="DD135" s="172"/>
      <c r="DE135" s="172"/>
      <c r="DF135" s="172"/>
      <c r="DG135" s="172"/>
      <c r="DH135" s="172"/>
      <c r="DI135" s="172"/>
      <c r="DJ135" s="172"/>
      <c r="DK135" s="79" t="s">
        <v>1005</v>
      </c>
      <c r="DL135" s="129">
        <f>VLOOKUP($F135,Activities!$A$9:$I$227,3,FALSE)/$AI135</f>
        <v>0</v>
      </c>
      <c r="DM135" s="129">
        <f>VLOOKUP($F135,Activities!$A$9:$I$227,4,FALSE)/$AI135</f>
        <v>0</v>
      </c>
      <c r="DN135" s="129">
        <f>VLOOKUP($F135,Activities!$A$9:$I$227,5,FALSE)/$AI135</f>
        <v>0</v>
      </c>
      <c r="DO135" s="129">
        <f>VLOOKUP($F135,Activities!$A$9:$I$227,6,FALSE)/$AI135</f>
        <v>0</v>
      </c>
      <c r="DP135" s="129">
        <f>VLOOKUP($F135,Activities!$A$9:$I$227,7,FALSE)/$AI135</f>
        <v>0</v>
      </c>
      <c r="DQ135" s="129">
        <f>VLOOKUP($F135,Activities!$A$9:$I$227,8,FALSE)/$AI135</f>
        <v>0</v>
      </c>
      <c r="DR135" s="129">
        <f>VLOOKUP($F135,Activities!$A$9:$I$227,9,FALSE)/$AI135</f>
        <v>0</v>
      </c>
      <c r="DS135" s="218"/>
      <c r="DT135" s="360"/>
      <c r="DU135" s="360"/>
      <c r="DV135" s="360"/>
      <c r="DW135" s="360"/>
      <c r="DX135" s="360"/>
      <c r="DY135" s="360"/>
      <c r="DZ135" s="360"/>
      <c r="EA135" s="360"/>
      <c r="EB135" s="360"/>
      <c r="EC135" s="360"/>
      <c r="ED135" s="360"/>
      <c r="EE135" s="360"/>
      <c r="EF135" s="360"/>
      <c r="EG135" s="360"/>
      <c r="EH135" s="360"/>
      <c r="EI135" s="360"/>
      <c r="EJ135" s="360"/>
      <c r="EK135" s="360"/>
      <c r="EL135" s="360"/>
      <c r="EM135" s="360"/>
      <c r="EN135" s="360"/>
      <c r="EO135" s="360"/>
      <c r="EP135" s="360"/>
      <c r="EQ135" s="360"/>
    </row>
    <row r="136" spans="1:147" x14ac:dyDescent="0.35">
      <c r="A136" s="5" t="s">
        <v>1006</v>
      </c>
      <c r="B136" s="5" t="s">
        <v>740</v>
      </c>
      <c r="C136" s="5" t="s">
        <v>788</v>
      </c>
      <c r="D136" s="5" t="s">
        <v>741</v>
      </c>
      <c r="E136" s="5" t="s">
        <v>971</v>
      </c>
      <c r="F136" s="5" t="s">
        <v>434</v>
      </c>
      <c r="G136" s="47" t="s">
        <v>1007</v>
      </c>
      <c r="H136" s="47" t="s">
        <v>1008</v>
      </c>
      <c r="I136" s="101">
        <f>710*(40/50)</f>
        <v>568</v>
      </c>
      <c r="J136" s="101">
        <f t="shared" ref="J136:O136" si="120">710*(40/50)</f>
        <v>568</v>
      </c>
      <c r="K136" s="101">
        <f t="shared" si="120"/>
        <v>568</v>
      </c>
      <c r="L136" s="101">
        <f t="shared" si="120"/>
        <v>568</v>
      </c>
      <c r="M136" s="101">
        <f t="shared" si="120"/>
        <v>568</v>
      </c>
      <c r="N136" s="101">
        <f t="shared" si="120"/>
        <v>568</v>
      </c>
      <c r="O136" s="101">
        <f t="shared" si="120"/>
        <v>568</v>
      </c>
      <c r="P136" s="94">
        <v>0</v>
      </c>
      <c r="Q136" s="101">
        <f>0.05*I136</f>
        <v>28.400000000000002</v>
      </c>
      <c r="R136" s="101">
        <f t="shared" ref="R136:W136" si="121">0.05*J136</f>
        <v>28.400000000000002</v>
      </c>
      <c r="S136" s="101">
        <f t="shared" si="121"/>
        <v>28.400000000000002</v>
      </c>
      <c r="T136" s="101">
        <f t="shared" si="121"/>
        <v>28.400000000000002</v>
      </c>
      <c r="U136" s="101">
        <f t="shared" si="121"/>
        <v>28.400000000000002</v>
      </c>
      <c r="V136" s="101">
        <f t="shared" si="121"/>
        <v>28.400000000000002</v>
      </c>
      <c r="W136" s="101">
        <f t="shared" si="121"/>
        <v>28.400000000000002</v>
      </c>
      <c r="X136" s="101">
        <v>0</v>
      </c>
      <c r="Y136" s="101">
        <v>0</v>
      </c>
      <c r="Z136" s="101">
        <v>0</v>
      </c>
      <c r="AA136" s="101">
        <v>0</v>
      </c>
      <c r="AB136" s="101">
        <v>0</v>
      </c>
      <c r="AC136" s="101">
        <v>0</v>
      </c>
      <c r="AD136" s="101">
        <v>0</v>
      </c>
      <c r="AE136" s="186">
        <v>0.08</v>
      </c>
      <c r="AF136" s="93">
        <v>0</v>
      </c>
      <c r="AG136" s="93">
        <v>30</v>
      </c>
      <c r="AH136" s="93">
        <v>30</v>
      </c>
      <c r="AI136" s="16">
        <v>1</v>
      </c>
      <c r="AJ136" s="16" t="s">
        <v>660</v>
      </c>
      <c r="AK136" s="16" t="s">
        <v>745</v>
      </c>
      <c r="AL136" s="16"/>
      <c r="AM136" s="60"/>
      <c r="AN136" s="60"/>
      <c r="AO136" s="60"/>
      <c r="AP136" s="60"/>
      <c r="AQ136" s="60"/>
      <c r="AR136" s="60"/>
      <c r="AS136" s="63"/>
      <c r="AT136" s="63"/>
      <c r="AU136" s="63"/>
      <c r="AV136" s="131"/>
      <c r="AW136" s="131"/>
      <c r="AX136" s="131"/>
      <c r="AY136" s="27" t="s">
        <v>662</v>
      </c>
      <c r="AZ136" s="27"/>
      <c r="BA136" s="29"/>
      <c r="BB136" s="30"/>
      <c r="BC136" s="30"/>
      <c r="BD136" s="30"/>
      <c r="BE136" s="30"/>
      <c r="BF136" s="30"/>
      <c r="BG136" s="30"/>
      <c r="BH136" s="107"/>
      <c r="BI136" s="107"/>
      <c r="BJ136" s="107"/>
      <c r="BK136" s="107"/>
      <c r="BL136" s="136"/>
      <c r="BM136" s="122"/>
      <c r="BN136" s="138">
        <v>0</v>
      </c>
      <c r="BO136" s="93"/>
      <c r="BP136" s="93"/>
      <c r="BQ136" s="93"/>
      <c r="BR136" s="93"/>
      <c r="BS136" s="93"/>
      <c r="BT136" s="93"/>
      <c r="BU136" s="27">
        <v>0</v>
      </c>
      <c r="BV136" s="27"/>
      <c r="BW136" s="27"/>
      <c r="BX136" s="27"/>
      <c r="BY136" s="27"/>
      <c r="BZ136" s="27"/>
      <c r="CA136" s="27"/>
      <c r="CB136" s="97">
        <v>0</v>
      </c>
      <c r="CC136" s="99">
        <v>50</v>
      </c>
      <c r="CD136" s="99">
        <v>50</v>
      </c>
      <c r="CE136" s="99">
        <v>50</v>
      </c>
      <c r="CF136" s="99">
        <v>50</v>
      </c>
      <c r="CG136" s="99">
        <v>50</v>
      </c>
      <c r="CH136" s="99">
        <v>50</v>
      </c>
      <c r="CI136" s="173"/>
      <c r="CJ136" s="173"/>
      <c r="CK136" s="173"/>
      <c r="CL136" s="173"/>
      <c r="CM136" s="173"/>
      <c r="CN136" s="173"/>
      <c r="CO136" s="173"/>
      <c r="CP136" s="174"/>
      <c r="CQ136" s="174"/>
      <c r="CR136" s="174"/>
      <c r="CS136" s="174"/>
      <c r="CT136" s="174"/>
      <c r="CU136" s="174"/>
      <c r="CV136" s="174"/>
      <c r="CW136" s="165"/>
      <c r="CX136" s="166"/>
      <c r="CY136" s="166"/>
      <c r="CZ136" s="166"/>
      <c r="DA136" s="166"/>
      <c r="DB136" s="166"/>
      <c r="DC136" s="166"/>
      <c r="DD136" s="171"/>
      <c r="DE136" s="171"/>
      <c r="DF136" s="171"/>
      <c r="DG136" s="171"/>
      <c r="DH136" s="171"/>
      <c r="DI136" s="171"/>
      <c r="DJ136" s="171"/>
      <c r="DK136" s="79" t="s">
        <v>1009</v>
      </c>
      <c r="DL136" s="129">
        <f>VLOOKUP($F136,Activities!$A$9:$I$227,3,FALSE)/$AI136</f>
        <v>0</v>
      </c>
      <c r="DM136" s="129">
        <f>VLOOKUP($F136,Activities!$A$9:$I$227,4,FALSE)/$AI136</f>
        <v>0</v>
      </c>
      <c r="DN136" s="129">
        <f>VLOOKUP($F136,Activities!$A$9:$I$227,5,FALSE)/$AI136</f>
        <v>0</v>
      </c>
      <c r="DO136" s="129">
        <f>VLOOKUP($F136,Activities!$A$9:$I$227,6,FALSE)/$AI136</f>
        <v>0</v>
      </c>
      <c r="DP136" s="129">
        <f>VLOOKUP($F136,Activities!$A$9:$I$227,7,FALSE)/$AI136</f>
        <v>0</v>
      </c>
      <c r="DQ136" s="129">
        <f>VLOOKUP($F136,Activities!$A$9:$I$227,8,FALSE)/$AI136</f>
        <v>0</v>
      </c>
      <c r="DR136" s="129">
        <f>VLOOKUP($F136,Activities!$A$9:$I$227,9,FALSE)/$AI136</f>
        <v>0</v>
      </c>
      <c r="DS136" s="218"/>
      <c r="DT136" s="360"/>
      <c r="DU136" s="360"/>
      <c r="DV136" s="360"/>
      <c r="DW136" s="360"/>
      <c r="DX136" s="360"/>
      <c r="DY136" s="360"/>
      <c r="DZ136" s="360"/>
      <c r="EA136" s="360"/>
      <c r="EB136" s="360"/>
      <c r="EC136" s="360"/>
      <c r="ED136" s="360"/>
      <c r="EE136" s="360"/>
      <c r="EF136" s="360"/>
      <c r="EG136" s="360"/>
      <c r="EH136" s="360"/>
      <c r="EI136" s="360"/>
      <c r="EJ136" s="360"/>
      <c r="EK136" s="360"/>
      <c r="EL136" s="360"/>
      <c r="EM136" s="360"/>
      <c r="EN136" s="360"/>
      <c r="EO136" s="360"/>
      <c r="EP136" s="360"/>
      <c r="EQ136" s="360"/>
    </row>
    <row r="137" spans="1:147" x14ac:dyDescent="0.35">
      <c r="A137" s="6" t="s">
        <v>1010</v>
      </c>
      <c r="B137" s="6" t="s">
        <v>740</v>
      </c>
      <c r="C137" s="6" t="s">
        <v>788</v>
      </c>
      <c r="D137" s="6" t="s">
        <v>741</v>
      </c>
      <c r="E137" s="6" t="s">
        <v>971</v>
      </c>
      <c r="F137" s="6" t="s">
        <v>434</v>
      </c>
      <c r="G137" s="48" t="s">
        <v>1011</v>
      </c>
      <c r="H137" s="48" t="s">
        <v>1008</v>
      </c>
      <c r="I137" s="102">
        <f>18.7/(0.02*0.95)</f>
        <v>984.21052631578948</v>
      </c>
      <c r="J137" s="102">
        <f t="shared" ref="J137:O137" si="122">18.7/(0.02*0.95)</f>
        <v>984.21052631578948</v>
      </c>
      <c r="K137" s="102">
        <f t="shared" si="122"/>
        <v>984.21052631578948</v>
      </c>
      <c r="L137" s="102">
        <f t="shared" si="122"/>
        <v>984.21052631578948</v>
      </c>
      <c r="M137" s="102">
        <f t="shared" si="122"/>
        <v>984.21052631578948</v>
      </c>
      <c r="N137" s="102">
        <f t="shared" si="122"/>
        <v>984.21052631578948</v>
      </c>
      <c r="O137" s="102">
        <f t="shared" si="122"/>
        <v>984.21052631578948</v>
      </c>
      <c r="P137" s="94">
        <v>0</v>
      </c>
      <c r="Q137" s="102">
        <v>11.2</v>
      </c>
      <c r="R137" s="102">
        <v>11.2</v>
      </c>
      <c r="S137" s="102">
        <v>11.2</v>
      </c>
      <c r="T137" s="102">
        <v>11.2</v>
      </c>
      <c r="U137" s="102">
        <v>11.2</v>
      </c>
      <c r="V137" s="102">
        <v>11.2</v>
      </c>
      <c r="W137" s="102">
        <v>11.2</v>
      </c>
      <c r="X137" s="102">
        <v>0</v>
      </c>
      <c r="Y137" s="102">
        <v>0</v>
      </c>
      <c r="Z137" s="102">
        <v>0</v>
      </c>
      <c r="AA137" s="102">
        <v>0</v>
      </c>
      <c r="AB137" s="102">
        <v>0</v>
      </c>
      <c r="AC137" s="102">
        <v>0</v>
      </c>
      <c r="AD137" s="102">
        <v>0</v>
      </c>
      <c r="AE137" s="186">
        <v>0.08</v>
      </c>
      <c r="AF137" s="94">
        <v>0</v>
      </c>
      <c r="AG137" s="94">
        <v>30</v>
      </c>
      <c r="AH137" s="94">
        <v>30</v>
      </c>
      <c r="AI137" s="17">
        <v>1</v>
      </c>
      <c r="AJ137" s="17" t="s">
        <v>660</v>
      </c>
      <c r="AK137" s="16" t="s">
        <v>745</v>
      </c>
      <c r="AL137" s="17"/>
      <c r="AM137" s="61"/>
      <c r="AN137" s="61"/>
      <c r="AO137" s="61"/>
      <c r="AP137" s="61"/>
      <c r="AQ137" s="61"/>
      <c r="AR137" s="61"/>
      <c r="AS137" s="64"/>
      <c r="AT137" s="64"/>
      <c r="AU137" s="64"/>
      <c r="AV137" s="132"/>
      <c r="AW137" s="132"/>
      <c r="AX137" s="132"/>
      <c r="AY137" s="28" t="s">
        <v>662</v>
      </c>
      <c r="AZ137" s="28"/>
      <c r="BA137" s="354"/>
      <c r="BB137" s="28"/>
      <c r="BC137" s="28"/>
      <c r="BD137" s="28"/>
      <c r="BE137" s="28"/>
      <c r="BF137" s="28"/>
      <c r="BG137" s="28"/>
      <c r="BH137" s="106"/>
      <c r="BI137" s="106"/>
      <c r="BJ137" s="106"/>
      <c r="BK137" s="106"/>
      <c r="BL137" s="137"/>
      <c r="BM137" s="123"/>
      <c r="BN137" s="139">
        <v>0</v>
      </c>
      <c r="BO137" s="94"/>
      <c r="BP137" s="94"/>
      <c r="BQ137" s="94"/>
      <c r="BR137" s="94"/>
      <c r="BS137" s="94"/>
      <c r="BT137" s="94"/>
      <c r="BU137" s="28">
        <f t="shared" ref="BU137:BU139" si="123">IF(BL137=1,BN137,0)</f>
        <v>0</v>
      </c>
      <c r="BV137" s="28"/>
      <c r="BW137" s="28"/>
      <c r="BX137" s="28"/>
      <c r="BY137" s="28"/>
      <c r="BZ137" s="28"/>
      <c r="CA137" s="28"/>
      <c r="CB137" s="99">
        <v>0</v>
      </c>
      <c r="CC137" s="99">
        <v>50</v>
      </c>
      <c r="CD137" s="99">
        <v>50</v>
      </c>
      <c r="CE137" s="99">
        <v>50</v>
      </c>
      <c r="CF137" s="99">
        <v>50</v>
      </c>
      <c r="CG137" s="99">
        <v>50</v>
      </c>
      <c r="CH137" s="99">
        <v>50</v>
      </c>
      <c r="CI137" s="175"/>
      <c r="CJ137" s="175"/>
      <c r="CK137" s="175"/>
      <c r="CL137" s="175"/>
      <c r="CM137" s="175"/>
      <c r="CN137" s="175"/>
      <c r="CO137" s="175"/>
      <c r="CP137" s="176"/>
      <c r="CQ137" s="176"/>
      <c r="CR137" s="176"/>
      <c r="CS137" s="176"/>
      <c r="CT137" s="176"/>
      <c r="CU137" s="176"/>
      <c r="CV137" s="176"/>
      <c r="CW137" s="167"/>
      <c r="CX137" s="168"/>
      <c r="CY137" s="168"/>
      <c r="CZ137" s="168"/>
      <c r="DA137" s="168"/>
      <c r="DB137" s="168"/>
      <c r="DC137" s="168"/>
      <c r="DD137" s="172"/>
      <c r="DE137" s="172"/>
      <c r="DF137" s="172"/>
      <c r="DG137" s="172"/>
      <c r="DH137" s="172"/>
      <c r="DI137" s="172"/>
      <c r="DJ137" s="172"/>
      <c r="DK137" s="80" t="s">
        <v>1012</v>
      </c>
      <c r="DL137" s="129">
        <f>VLOOKUP($F137,Activities!$A$9:$I$227,3,FALSE)/$AI137</f>
        <v>0</v>
      </c>
      <c r="DM137" s="129">
        <f>VLOOKUP($F137,Activities!$A$9:$I$227,4,FALSE)/$AI137</f>
        <v>0</v>
      </c>
      <c r="DN137" s="129">
        <f>VLOOKUP($F137,Activities!$A$9:$I$227,5,FALSE)/$AI137</f>
        <v>0</v>
      </c>
      <c r="DO137" s="129">
        <f>VLOOKUP($F137,Activities!$A$9:$I$227,6,FALSE)/$AI137</f>
        <v>0</v>
      </c>
      <c r="DP137" s="129">
        <f>VLOOKUP($F137,Activities!$A$9:$I$227,7,FALSE)/$AI137</f>
        <v>0</v>
      </c>
      <c r="DQ137" s="129">
        <f>VLOOKUP($F137,Activities!$A$9:$I$227,8,FALSE)/$AI137</f>
        <v>0</v>
      </c>
      <c r="DR137" s="129">
        <f>VLOOKUP($F137,Activities!$A$9:$I$227,9,FALSE)/$AI137</f>
        <v>0</v>
      </c>
      <c r="DS137" s="218"/>
      <c r="DT137" s="360"/>
      <c r="DU137" s="360"/>
      <c r="DV137" s="360"/>
      <c r="DW137" s="360"/>
      <c r="DX137" s="360"/>
      <c r="DY137" s="360"/>
      <c r="DZ137" s="360"/>
      <c r="EA137" s="360"/>
      <c r="EB137" s="360"/>
      <c r="EC137" s="360"/>
      <c r="ED137" s="360"/>
      <c r="EE137" s="360"/>
      <c r="EF137" s="360"/>
      <c r="EG137" s="360"/>
      <c r="EH137" s="360"/>
      <c r="EI137" s="360"/>
      <c r="EJ137" s="360"/>
      <c r="EK137" s="360"/>
      <c r="EL137" s="360"/>
      <c r="EM137" s="360"/>
      <c r="EN137" s="360"/>
      <c r="EO137" s="360"/>
      <c r="EP137" s="360"/>
      <c r="EQ137" s="360"/>
    </row>
    <row r="138" spans="1:147" x14ac:dyDescent="0.35">
      <c r="A138" s="6" t="s">
        <v>1013</v>
      </c>
      <c r="B138" s="6" t="s">
        <v>740</v>
      </c>
      <c r="C138" s="6" t="s">
        <v>655</v>
      </c>
      <c r="D138" s="6" t="s">
        <v>741</v>
      </c>
      <c r="E138" s="6" t="s">
        <v>971</v>
      </c>
      <c r="F138" s="6" t="s">
        <v>442</v>
      </c>
      <c r="G138" s="48" t="s">
        <v>1014</v>
      </c>
      <c r="H138" s="48" t="s">
        <v>994</v>
      </c>
      <c r="I138" s="102">
        <f>I140</f>
        <v>742.19033123142719</v>
      </c>
      <c r="J138" s="102">
        <f>I138</f>
        <v>742.19033123142719</v>
      </c>
      <c r="K138" s="102">
        <f t="shared" ref="K138:O138" si="124">J138</f>
        <v>742.19033123142719</v>
      </c>
      <c r="L138" s="102">
        <f t="shared" si="124"/>
        <v>742.19033123142719</v>
      </c>
      <c r="M138" s="102">
        <f t="shared" si="124"/>
        <v>742.19033123142719</v>
      </c>
      <c r="N138" s="102">
        <f t="shared" si="124"/>
        <v>742.19033123142719</v>
      </c>
      <c r="O138" s="102">
        <f t="shared" si="124"/>
        <v>742.19033123142719</v>
      </c>
      <c r="P138" s="94">
        <v>0</v>
      </c>
      <c r="Q138" s="102">
        <f t="shared" ref="Q138:W140" si="125">I138*0.05</f>
        <v>37.109516561571361</v>
      </c>
      <c r="R138" s="102">
        <f t="shared" si="125"/>
        <v>37.109516561571361</v>
      </c>
      <c r="S138" s="102">
        <f t="shared" si="125"/>
        <v>37.109516561571361</v>
      </c>
      <c r="T138" s="102">
        <f t="shared" si="125"/>
        <v>37.109516561571361</v>
      </c>
      <c r="U138" s="102">
        <f t="shared" si="125"/>
        <v>37.109516561571361</v>
      </c>
      <c r="V138" s="102">
        <f t="shared" si="125"/>
        <v>37.109516561571361</v>
      </c>
      <c r="W138" s="102">
        <f t="shared" si="125"/>
        <v>37.109516561571361</v>
      </c>
      <c r="X138" s="102">
        <v>0</v>
      </c>
      <c r="Y138" s="102">
        <v>0</v>
      </c>
      <c r="Z138" s="102">
        <v>0</v>
      </c>
      <c r="AA138" s="102">
        <v>0</v>
      </c>
      <c r="AB138" s="102">
        <v>0</v>
      </c>
      <c r="AC138" s="102">
        <v>0</v>
      </c>
      <c r="AD138" s="102">
        <v>0</v>
      </c>
      <c r="AE138" s="186">
        <v>0.08</v>
      </c>
      <c r="AF138" s="94">
        <v>0</v>
      </c>
      <c r="AG138" s="94">
        <v>30</v>
      </c>
      <c r="AH138" s="94">
        <v>30</v>
      </c>
      <c r="AI138" s="17">
        <v>1</v>
      </c>
      <c r="AJ138" s="17" t="s">
        <v>660</v>
      </c>
      <c r="AK138" s="16" t="s">
        <v>745</v>
      </c>
      <c r="AL138" s="17"/>
      <c r="AM138" s="61"/>
      <c r="AN138" s="61"/>
      <c r="AO138" s="61"/>
      <c r="AP138" s="61"/>
      <c r="AQ138" s="61"/>
      <c r="AR138" s="61"/>
      <c r="AS138" s="64"/>
      <c r="AT138" s="64"/>
      <c r="AU138" s="64"/>
      <c r="AV138" s="132"/>
      <c r="AW138" s="132"/>
      <c r="AX138" s="132"/>
      <c r="AY138" s="28" t="s">
        <v>662</v>
      </c>
      <c r="AZ138" s="28"/>
      <c r="BA138" s="354"/>
      <c r="BB138" s="28"/>
      <c r="BC138" s="28"/>
      <c r="BD138" s="28"/>
      <c r="BE138" s="28"/>
      <c r="BF138" s="28"/>
      <c r="BG138" s="28"/>
      <c r="BH138" s="106"/>
      <c r="BI138" s="106"/>
      <c r="BJ138" s="106"/>
      <c r="BK138" s="106"/>
      <c r="BL138" s="137"/>
      <c r="BM138" s="123"/>
      <c r="BN138" s="139">
        <v>0</v>
      </c>
      <c r="BO138" s="94"/>
      <c r="BP138" s="94"/>
      <c r="BQ138" s="94"/>
      <c r="BR138" s="94"/>
      <c r="BS138" s="94"/>
      <c r="BT138" s="94"/>
      <c r="BU138" s="28">
        <f t="shared" si="123"/>
        <v>0</v>
      </c>
      <c r="BV138" s="28"/>
      <c r="BW138" s="28"/>
      <c r="BX138" s="28"/>
      <c r="BY138" s="28"/>
      <c r="BZ138" s="28"/>
      <c r="CA138" s="28"/>
      <c r="CB138" s="99">
        <v>0</v>
      </c>
      <c r="CC138" s="99"/>
      <c r="CD138" s="99"/>
      <c r="CE138" s="99"/>
      <c r="CF138" s="99"/>
      <c r="CG138" s="99"/>
      <c r="CH138" s="99"/>
      <c r="CI138" s="175"/>
      <c r="CJ138" s="175"/>
      <c r="CK138" s="175"/>
      <c r="CL138" s="175"/>
      <c r="CM138" s="175"/>
      <c r="CN138" s="175"/>
      <c r="CO138" s="175"/>
      <c r="CP138" s="176"/>
      <c r="CQ138" s="176"/>
      <c r="CR138" s="176"/>
      <c r="CS138" s="176"/>
      <c r="CT138" s="176"/>
      <c r="CU138" s="176"/>
      <c r="CV138" s="176"/>
      <c r="CW138" s="167"/>
      <c r="CX138" s="168"/>
      <c r="CY138" s="168"/>
      <c r="CZ138" s="168"/>
      <c r="DA138" s="168"/>
      <c r="DB138" s="168"/>
      <c r="DC138" s="168"/>
      <c r="DD138" s="172"/>
      <c r="DE138" s="172"/>
      <c r="DF138" s="172"/>
      <c r="DG138" s="172"/>
      <c r="DH138" s="172"/>
      <c r="DI138" s="172"/>
      <c r="DJ138" s="172"/>
      <c r="DK138" s="80" t="s">
        <v>1012</v>
      </c>
      <c r="DL138" s="129">
        <f>VLOOKUP($F138,Activities!$A$9:$I$227,3,FALSE)/$AI138</f>
        <v>0</v>
      </c>
      <c r="DM138" s="129">
        <f>VLOOKUP($F138,Activities!$A$9:$I$227,4,FALSE)/$AI138</f>
        <v>0</v>
      </c>
      <c r="DN138" s="129">
        <f>VLOOKUP($F138,Activities!$A$9:$I$227,5,FALSE)/$AI138</f>
        <v>0</v>
      </c>
      <c r="DO138" s="129">
        <f>VLOOKUP($F138,Activities!$A$9:$I$227,6,FALSE)/$AI138</f>
        <v>0</v>
      </c>
      <c r="DP138" s="129">
        <f>VLOOKUP($F138,Activities!$A$9:$I$227,7,FALSE)/$AI138</f>
        <v>0</v>
      </c>
      <c r="DQ138" s="129">
        <f>VLOOKUP($F138,Activities!$A$9:$I$227,8,FALSE)/$AI138</f>
        <v>0</v>
      </c>
      <c r="DR138" s="129">
        <f>VLOOKUP($F138,Activities!$A$9:$I$227,9,FALSE)/$AI138</f>
        <v>0</v>
      </c>
      <c r="DS138" s="218"/>
      <c r="DT138" s="360"/>
      <c r="DU138" s="360"/>
      <c r="DV138" s="360"/>
      <c r="DW138" s="360"/>
      <c r="DX138" s="360"/>
      <c r="DY138" s="360"/>
      <c r="DZ138" s="360"/>
      <c r="EA138" s="360"/>
      <c r="EB138" s="360"/>
      <c r="EC138" s="360"/>
      <c r="ED138" s="360"/>
      <c r="EE138" s="360"/>
      <c r="EF138" s="360"/>
      <c r="EG138" s="360"/>
      <c r="EH138" s="360"/>
      <c r="EI138" s="360"/>
      <c r="EJ138" s="360"/>
      <c r="EK138" s="360"/>
      <c r="EL138" s="360"/>
      <c r="EM138" s="360"/>
      <c r="EN138" s="360"/>
      <c r="EO138" s="360"/>
      <c r="EP138" s="360"/>
      <c r="EQ138" s="360"/>
    </row>
    <row r="139" spans="1:147" x14ac:dyDescent="0.35">
      <c r="A139" s="5" t="s">
        <v>1015</v>
      </c>
      <c r="B139" s="5" t="s">
        <v>740</v>
      </c>
      <c r="C139" s="5" t="s">
        <v>655</v>
      </c>
      <c r="D139" s="5" t="s">
        <v>741</v>
      </c>
      <c r="E139" s="5" t="s">
        <v>971</v>
      </c>
      <c r="F139" s="5" t="s">
        <v>446</v>
      </c>
      <c r="G139" s="47" t="s">
        <v>1016</v>
      </c>
      <c r="H139" s="47" t="s">
        <v>997</v>
      </c>
      <c r="I139" s="101" t="e">
        <f>#REF!</f>
        <v>#REF!</v>
      </c>
      <c r="J139" s="101" t="e">
        <f>I139</f>
        <v>#REF!</v>
      </c>
      <c r="K139" s="101" t="e">
        <f t="shared" ref="K139:O139" si="126">J139</f>
        <v>#REF!</v>
      </c>
      <c r="L139" s="101" t="e">
        <f t="shared" si="126"/>
        <v>#REF!</v>
      </c>
      <c r="M139" s="101" t="e">
        <f t="shared" si="126"/>
        <v>#REF!</v>
      </c>
      <c r="N139" s="101" t="e">
        <f t="shared" si="126"/>
        <v>#REF!</v>
      </c>
      <c r="O139" s="101" t="e">
        <f t="shared" si="126"/>
        <v>#REF!</v>
      </c>
      <c r="P139" s="94">
        <v>0</v>
      </c>
      <c r="Q139" s="101" t="e">
        <f t="shared" si="125"/>
        <v>#REF!</v>
      </c>
      <c r="R139" s="101" t="e">
        <f t="shared" si="125"/>
        <v>#REF!</v>
      </c>
      <c r="S139" s="101" t="e">
        <f t="shared" si="125"/>
        <v>#REF!</v>
      </c>
      <c r="T139" s="101" t="e">
        <f t="shared" si="125"/>
        <v>#REF!</v>
      </c>
      <c r="U139" s="101" t="e">
        <f t="shared" si="125"/>
        <v>#REF!</v>
      </c>
      <c r="V139" s="101" t="e">
        <f t="shared" si="125"/>
        <v>#REF!</v>
      </c>
      <c r="W139" s="101" t="e">
        <f t="shared" si="125"/>
        <v>#REF!</v>
      </c>
      <c r="X139" s="101">
        <v>0</v>
      </c>
      <c r="Y139" s="101">
        <v>0</v>
      </c>
      <c r="Z139" s="101">
        <v>0</v>
      </c>
      <c r="AA139" s="101">
        <v>0</v>
      </c>
      <c r="AB139" s="101">
        <v>0</v>
      </c>
      <c r="AC139" s="101">
        <v>0</v>
      </c>
      <c r="AD139" s="101">
        <v>0</v>
      </c>
      <c r="AE139" s="186">
        <v>0.08</v>
      </c>
      <c r="AF139" s="93">
        <v>0</v>
      </c>
      <c r="AG139" s="93">
        <v>30</v>
      </c>
      <c r="AH139" s="93">
        <v>30</v>
      </c>
      <c r="AI139" s="16">
        <v>1</v>
      </c>
      <c r="AJ139" s="16" t="s">
        <v>660</v>
      </c>
      <c r="AK139" s="16" t="s">
        <v>745</v>
      </c>
      <c r="AL139" s="16"/>
      <c r="AM139" s="60"/>
      <c r="AN139" s="60"/>
      <c r="AO139" s="60"/>
      <c r="AP139" s="60"/>
      <c r="AQ139" s="60"/>
      <c r="AR139" s="60"/>
      <c r="AS139" s="63"/>
      <c r="AT139" s="63"/>
      <c r="AU139" s="63"/>
      <c r="AV139" s="131"/>
      <c r="AW139" s="131"/>
      <c r="AX139" s="131"/>
      <c r="AY139" s="27" t="s">
        <v>662</v>
      </c>
      <c r="AZ139" s="27"/>
      <c r="BA139" s="29"/>
      <c r="BB139" s="30"/>
      <c r="BC139" s="30"/>
      <c r="BD139" s="30"/>
      <c r="BE139" s="30"/>
      <c r="BF139" s="30"/>
      <c r="BG139" s="30"/>
      <c r="BH139" s="107"/>
      <c r="BI139" s="107"/>
      <c r="BJ139" s="107"/>
      <c r="BK139" s="107"/>
      <c r="BL139" s="136"/>
      <c r="BM139" s="122"/>
      <c r="BN139" s="138">
        <v>0</v>
      </c>
      <c r="BO139" s="93"/>
      <c r="BP139" s="93"/>
      <c r="BQ139" s="93"/>
      <c r="BR139" s="93"/>
      <c r="BS139" s="93"/>
      <c r="BT139" s="93"/>
      <c r="BU139" s="27">
        <f t="shared" si="123"/>
        <v>0</v>
      </c>
      <c r="BV139" s="27"/>
      <c r="BW139" s="27"/>
      <c r="BX139" s="27"/>
      <c r="BY139" s="27"/>
      <c r="BZ139" s="27"/>
      <c r="CA139" s="27"/>
      <c r="CB139" s="97">
        <v>0</v>
      </c>
      <c r="CC139" s="99"/>
      <c r="CD139" s="99"/>
      <c r="CE139" s="99"/>
      <c r="CF139" s="99"/>
      <c r="CG139" s="99"/>
      <c r="CH139" s="99"/>
      <c r="CI139" s="173"/>
      <c r="CJ139" s="173"/>
      <c r="CK139" s="173"/>
      <c r="CL139" s="173"/>
      <c r="CM139" s="173"/>
      <c r="CN139" s="173"/>
      <c r="CO139" s="173"/>
      <c r="CP139" s="174"/>
      <c r="CQ139" s="174"/>
      <c r="CR139" s="174"/>
      <c r="CS139" s="174"/>
      <c r="CT139" s="174"/>
      <c r="CU139" s="174"/>
      <c r="CV139" s="174"/>
      <c r="CW139" s="165"/>
      <c r="CX139" s="166"/>
      <c r="CY139" s="166"/>
      <c r="CZ139" s="166"/>
      <c r="DA139" s="166"/>
      <c r="DB139" s="166"/>
      <c r="DC139" s="166"/>
      <c r="DD139" s="171"/>
      <c r="DE139" s="171"/>
      <c r="DF139" s="171"/>
      <c r="DG139" s="171"/>
      <c r="DH139" s="171"/>
      <c r="DI139" s="171"/>
      <c r="DJ139" s="171"/>
      <c r="DK139" s="80" t="s">
        <v>1012</v>
      </c>
      <c r="DL139" s="129">
        <f>VLOOKUP($F139,Activities!$A$9:$I$227,3,FALSE)/$AI139</f>
        <v>0</v>
      </c>
      <c r="DM139" s="129">
        <f>VLOOKUP($F139,Activities!$A$9:$I$227,4,FALSE)/$AI139</f>
        <v>0</v>
      </c>
      <c r="DN139" s="129">
        <f>VLOOKUP($F139,Activities!$A$9:$I$227,5,FALSE)/$AI139</f>
        <v>0</v>
      </c>
      <c r="DO139" s="129">
        <f>VLOOKUP($F139,Activities!$A$9:$I$227,6,FALSE)/$AI139</f>
        <v>0</v>
      </c>
      <c r="DP139" s="129">
        <f>VLOOKUP($F139,Activities!$A$9:$I$227,7,FALSE)/$AI139</f>
        <v>0</v>
      </c>
      <c r="DQ139" s="129">
        <f>VLOOKUP($F139,Activities!$A$9:$I$227,8,FALSE)/$AI139</f>
        <v>0</v>
      </c>
      <c r="DR139" s="129">
        <f>VLOOKUP($F139,Activities!$A$9:$I$227,9,FALSE)/$AI139</f>
        <v>0</v>
      </c>
      <c r="DS139" s="218"/>
      <c r="DT139" s="360"/>
      <c r="DU139" s="360"/>
      <c r="DV139" s="360"/>
      <c r="DW139" s="360"/>
      <c r="DX139" s="360"/>
      <c r="DY139" s="360"/>
      <c r="DZ139" s="360"/>
      <c r="EA139" s="360"/>
      <c r="EB139" s="360"/>
      <c r="EC139" s="360"/>
      <c r="ED139" s="360"/>
      <c r="EE139" s="360"/>
      <c r="EF139" s="360"/>
      <c r="EG139" s="360"/>
      <c r="EH139" s="360"/>
      <c r="EI139" s="360"/>
      <c r="EJ139" s="360"/>
      <c r="EK139" s="360"/>
      <c r="EL139" s="360"/>
      <c r="EM139" s="360"/>
      <c r="EN139" s="360"/>
      <c r="EO139" s="360"/>
      <c r="EP139" s="360"/>
      <c r="EQ139" s="360"/>
    </row>
    <row r="140" spans="1:147" x14ac:dyDescent="0.35">
      <c r="A140" s="6" t="s">
        <v>1017</v>
      </c>
      <c r="B140" s="6" t="s">
        <v>740</v>
      </c>
      <c r="C140" s="6" t="s">
        <v>655</v>
      </c>
      <c r="D140" s="6" t="s">
        <v>741</v>
      </c>
      <c r="E140" s="6" t="s">
        <v>971</v>
      </c>
      <c r="F140" s="6" t="s">
        <v>439</v>
      </c>
      <c r="G140" s="48" t="s">
        <v>1018</v>
      </c>
      <c r="H140" s="48" t="s">
        <v>991</v>
      </c>
      <c r="I140" s="102">
        <f>12.8/(50*365*0.9/10^6)/1.05</f>
        <v>742.19033123142719</v>
      </c>
      <c r="J140" s="102">
        <f t="shared" ref="J140:O140" si="127">12.8/(50*365*0.9/10^6)/1.05</f>
        <v>742.19033123142719</v>
      </c>
      <c r="K140" s="102">
        <f t="shared" si="127"/>
        <v>742.19033123142719</v>
      </c>
      <c r="L140" s="102">
        <f t="shared" si="127"/>
        <v>742.19033123142719</v>
      </c>
      <c r="M140" s="102">
        <f t="shared" si="127"/>
        <v>742.19033123142719</v>
      </c>
      <c r="N140" s="102">
        <f t="shared" si="127"/>
        <v>742.19033123142719</v>
      </c>
      <c r="O140" s="102">
        <f t="shared" si="127"/>
        <v>742.19033123142719</v>
      </c>
      <c r="P140" s="94">
        <v>0</v>
      </c>
      <c r="Q140" s="102">
        <f t="shared" si="125"/>
        <v>37.109516561571361</v>
      </c>
      <c r="R140" s="102">
        <f t="shared" si="125"/>
        <v>37.109516561571361</v>
      </c>
      <c r="S140" s="102">
        <f t="shared" si="125"/>
        <v>37.109516561571361</v>
      </c>
      <c r="T140" s="102">
        <f t="shared" si="125"/>
        <v>37.109516561571361</v>
      </c>
      <c r="U140" s="102">
        <f t="shared" si="125"/>
        <v>37.109516561571361</v>
      </c>
      <c r="V140" s="102">
        <f t="shared" si="125"/>
        <v>37.109516561571361</v>
      </c>
      <c r="W140" s="102">
        <f t="shared" si="125"/>
        <v>37.109516561571361</v>
      </c>
      <c r="X140" s="102">
        <v>0</v>
      </c>
      <c r="Y140" s="102">
        <v>0</v>
      </c>
      <c r="Z140" s="102">
        <v>0</v>
      </c>
      <c r="AA140" s="102">
        <v>0</v>
      </c>
      <c r="AB140" s="102">
        <v>0</v>
      </c>
      <c r="AC140" s="102">
        <v>0</v>
      </c>
      <c r="AD140" s="102">
        <v>0</v>
      </c>
      <c r="AE140" s="186">
        <v>0.08</v>
      </c>
      <c r="AF140" s="94">
        <v>0</v>
      </c>
      <c r="AG140" s="94">
        <v>30</v>
      </c>
      <c r="AH140" s="94">
        <v>30</v>
      </c>
      <c r="AI140" s="17">
        <v>1</v>
      </c>
      <c r="AJ140" s="17" t="s">
        <v>660</v>
      </c>
      <c r="AK140" s="16" t="s">
        <v>745</v>
      </c>
      <c r="AL140" s="17"/>
      <c r="AM140" s="61"/>
      <c r="AN140" s="61"/>
      <c r="AO140" s="61"/>
      <c r="AP140" s="61"/>
      <c r="AQ140" s="61"/>
      <c r="AR140" s="61"/>
      <c r="AS140" s="64"/>
      <c r="AT140" s="64"/>
      <c r="AU140" s="64"/>
      <c r="AV140" s="132"/>
      <c r="AW140" s="132"/>
      <c r="AX140" s="132"/>
      <c r="AY140" s="28" t="s">
        <v>662</v>
      </c>
      <c r="AZ140" s="28"/>
      <c r="BA140" s="354"/>
      <c r="BB140" s="28"/>
      <c r="BC140" s="28"/>
      <c r="BD140" s="28"/>
      <c r="BE140" s="28"/>
      <c r="BF140" s="28"/>
      <c r="BG140" s="28"/>
      <c r="BH140" s="106"/>
      <c r="BI140" s="106"/>
      <c r="BJ140" s="106"/>
      <c r="BK140" s="106"/>
      <c r="BL140" s="137"/>
      <c r="BM140" s="123"/>
      <c r="BN140" s="139">
        <v>0</v>
      </c>
      <c r="BO140" s="94"/>
      <c r="BP140" s="94"/>
      <c r="BQ140" s="94"/>
      <c r="BR140" s="94"/>
      <c r="BS140" s="94"/>
      <c r="BT140" s="94"/>
      <c r="BU140" s="28">
        <v>0</v>
      </c>
      <c r="BV140" s="28"/>
      <c r="BW140" s="28"/>
      <c r="BX140" s="28"/>
      <c r="BY140" s="28"/>
      <c r="BZ140" s="28"/>
      <c r="CA140" s="28"/>
      <c r="CB140" s="99">
        <v>0</v>
      </c>
      <c r="CC140" s="99">
        <v>50</v>
      </c>
      <c r="CD140" s="99">
        <v>50</v>
      </c>
      <c r="CE140" s="99">
        <v>50</v>
      </c>
      <c r="CF140" s="99">
        <v>50</v>
      </c>
      <c r="CG140" s="99">
        <v>50</v>
      </c>
      <c r="CH140" s="99">
        <v>50</v>
      </c>
      <c r="CI140" s="175"/>
      <c r="CJ140" s="175"/>
      <c r="CK140" s="175"/>
      <c r="CL140" s="175"/>
      <c r="CM140" s="175"/>
      <c r="CN140" s="175"/>
      <c r="CO140" s="175"/>
      <c r="CP140" s="176"/>
      <c r="CQ140" s="176"/>
      <c r="CR140" s="176"/>
      <c r="CS140" s="176"/>
      <c r="CT140" s="176"/>
      <c r="CU140" s="176"/>
      <c r="CV140" s="176"/>
      <c r="CW140" s="167"/>
      <c r="CX140" s="168"/>
      <c r="CY140" s="168"/>
      <c r="CZ140" s="168"/>
      <c r="DA140" s="168"/>
      <c r="DB140" s="168"/>
      <c r="DC140" s="168"/>
      <c r="DD140" s="172"/>
      <c r="DE140" s="172"/>
      <c r="DF140" s="172"/>
      <c r="DG140" s="172"/>
      <c r="DH140" s="172"/>
      <c r="DI140" s="172"/>
      <c r="DJ140" s="172"/>
      <c r="DK140" s="79" t="s">
        <v>1019</v>
      </c>
      <c r="DL140" s="129">
        <f>VLOOKUP($F140,Activities!$A$9:$I$238,3,FALSE)/$AI140</f>
        <v>0</v>
      </c>
      <c r="DM140" s="129">
        <f>VLOOKUP($F140,Activities!$A$9:$I$238,4,FALSE)/$AI140</f>
        <v>0</v>
      </c>
      <c r="DN140" s="129">
        <f>VLOOKUP($F140,Activities!$A$9:$I$238,5,FALSE)/$AI140</f>
        <v>0</v>
      </c>
      <c r="DO140" s="129">
        <f>VLOOKUP($F140,Activities!$A$9:$I$238,6,FALSE)/$AI140</f>
        <v>0</v>
      </c>
      <c r="DP140" s="129">
        <f>VLOOKUP($F140,Activities!$A$9:$I$238,7,FALSE)/$AI140</f>
        <v>0</v>
      </c>
      <c r="DQ140" s="129">
        <f>VLOOKUP($F140,Activities!$A$9:$I$238,8,FALSE)/$AI140</f>
        <v>0</v>
      </c>
      <c r="DR140" s="129">
        <f>VLOOKUP($F140,Activities!$A$9:$I$238,9,FALSE)/$AI140</f>
        <v>0</v>
      </c>
      <c r="DS140" s="218"/>
      <c r="DT140" s="360"/>
      <c r="DU140" s="360"/>
      <c r="DV140" s="360"/>
      <c r="DW140" s="360"/>
      <c r="DX140" s="360"/>
      <c r="DY140" s="360"/>
      <c r="DZ140" s="360"/>
      <c r="EA140" s="360"/>
      <c r="EB140" s="360"/>
      <c r="EC140" s="360"/>
      <c r="ED140" s="360"/>
      <c r="EE140" s="360"/>
      <c r="EF140" s="360"/>
      <c r="EG140" s="360"/>
      <c r="EH140" s="360"/>
      <c r="EI140" s="360"/>
      <c r="EJ140" s="360"/>
      <c r="EK140" s="360"/>
      <c r="EL140" s="360"/>
      <c r="EM140" s="360"/>
      <c r="EN140" s="360"/>
      <c r="EO140" s="360"/>
      <c r="EP140" s="360"/>
      <c r="EQ140" s="360"/>
    </row>
    <row r="141" spans="1:147" x14ac:dyDescent="0.35">
      <c r="A141" s="5" t="s">
        <v>1020</v>
      </c>
      <c r="B141" s="5" t="s">
        <v>740</v>
      </c>
      <c r="C141" s="5" t="s">
        <v>788</v>
      </c>
      <c r="D141" s="5" t="s">
        <v>741</v>
      </c>
      <c r="E141" s="5" t="s">
        <v>971</v>
      </c>
      <c r="F141" s="5" t="s">
        <v>514</v>
      </c>
      <c r="G141" s="47" t="s">
        <v>1021</v>
      </c>
      <c r="H141" s="47" t="s">
        <v>659</v>
      </c>
      <c r="I141" s="101">
        <v>1E-4</v>
      </c>
      <c r="J141" s="101">
        <v>1E-4</v>
      </c>
      <c r="K141" s="101">
        <v>1E-4</v>
      </c>
      <c r="L141" s="101">
        <v>1E-4</v>
      </c>
      <c r="M141" s="101">
        <v>1E-4</v>
      </c>
      <c r="N141" s="101">
        <v>1E-4</v>
      </c>
      <c r="O141" s="101">
        <v>1E-4</v>
      </c>
      <c r="P141" s="94">
        <v>0</v>
      </c>
      <c r="Q141" s="101">
        <v>0</v>
      </c>
      <c r="R141" s="101">
        <v>0</v>
      </c>
      <c r="S141" s="101">
        <v>0</v>
      </c>
      <c r="T141" s="101">
        <v>0</v>
      </c>
      <c r="U141" s="101">
        <v>0</v>
      </c>
      <c r="V141" s="101">
        <v>0</v>
      </c>
      <c r="W141" s="101">
        <v>0</v>
      </c>
      <c r="X141" s="101">
        <v>0</v>
      </c>
      <c r="Y141" s="101">
        <v>0</v>
      </c>
      <c r="Z141" s="101">
        <v>0</v>
      </c>
      <c r="AA141" s="101">
        <v>0</v>
      </c>
      <c r="AB141" s="101">
        <v>0</v>
      </c>
      <c r="AC141" s="101">
        <v>0</v>
      </c>
      <c r="AD141" s="101">
        <v>0</v>
      </c>
      <c r="AE141" s="186">
        <v>0.08</v>
      </c>
      <c r="AF141" s="93"/>
      <c r="AG141" s="93">
        <v>25</v>
      </c>
      <c r="AH141" s="93">
        <v>50</v>
      </c>
      <c r="AI141" s="16">
        <v>1</v>
      </c>
      <c r="AJ141" s="16" t="s">
        <v>660</v>
      </c>
      <c r="AK141" s="16" t="s">
        <v>745</v>
      </c>
      <c r="AL141" s="16"/>
      <c r="AM141" s="60"/>
      <c r="AN141" s="60"/>
      <c r="AO141" s="60"/>
      <c r="AP141" s="60"/>
      <c r="AQ141" s="60"/>
      <c r="AR141" s="60"/>
      <c r="AS141" s="63"/>
      <c r="AT141" s="63"/>
      <c r="AU141" s="63"/>
      <c r="AV141" s="131"/>
      <c r="AW141" s="131"/>
      <c r="AX141" s="131"/>
      <c r="AY141" s="27" t="s">
        <v>662</v>
      </c>
      <c r="AZ141" s="27"/>
      <c r="BA141" s="29"/>
      <c r="BB141" s="30"/>
      <c r="BC141" s="30"/>
      <c r="BD141" s="30"/>
      <c r="BE141" s="30"/>
      <c r="BF141" s="30"/>
      <c r="BG141" s="30"/>
      <c r="BH141" s="107"/>
      <c r="BI141" s="107"/>
      <c r="BJ141" s="107"/>
      <c r="BK141" s="107"/>
      <c r="BL141" s="136"/>
      <c r="BM141" s="122"/>
      <c r="BN141" s="138"/>
      <c r="BO141" s="93"/>
      <c r="BP141" s="93"/>
      <c r="BQ141" s="93"/>
      <c r="BR141" s="93"/>
      <c r="BS141" s="93"/>
      <c r="BT141" s="93"/>
      <c r="BU141" s="27">
        <v>0</v>
      </c>
      <c r="BV141" s="27"/>
      <c r="BW141" s="27"/>
      <c r="BX141" s="27"/>
      <c r="BY141" s="27"/>
      <c r="BZ141" s="27"/>
      <c r="CA141" s="27"/>
      <c r="CB141" s="97">
        <v>500</v>
      </c>
      <c r="CC141" s="97">
        <v>500</v>
      </c>
      <c r="CD141" s="97">
        <v>500</v>
      </c>
      <c r="CE141" s="97">
        <v>500</v>
      </c>
      <c r="CF141" s="97">
        <v>500</v>
      </c>
      <c r="CG141" s="97">
        <v>500</v>
      </c>
      <c r="CH141" s="97">
        <v>500</v>
      </c>
      <c r="CI141" s="173"/>
      <c r="CJ141" s="173"/>
      <c r="CK141" s="173"/>
      <c r="CL141" s="173"/>
      <c r="CM141" s="173"/>
      <c r="CN141" s="173"/>
      <c r="CO141" s="173"/>
      <c r="CP141" s="174"/>
      <c r="CQ141" s="174"/>
      <c r="CR141" s="174"/>
      <c r="CS141" s="174"/>
      <c r="CT141" s="174"/>
      <c r="CU141" s="174"/>
      <c r="CV141" s="174"/>
      <c r="CW141" s="165"/>
      <c r="CX141" s="166"/>
      <c r="CY141" s="166"/>
      <c r="CZ141" s="166"/>
      <c r="DA141" s="166"/>
      <c r="DB141" s="166"/>
      <c r="DC141" s="166"/>
      <c r="DD141" s="171"/>
      <c r="DE141" s="171"/>
      <c r="DF141" s="171"/>
      <c r="DG141" s="171"/>
      <c r="DH141" s="171"/>
      <c r="DI141" s="171"/>
      <c r="DJ141" s="171"/>
      <c r="DK141" s="79" t="s">
        <v>502</v>
      </c>
      <c r="DL141" s="129">
        <f>VLOOKUP($F141,Activities!$A$9:$I$227,3,FALSE)/$AI141</f>
        <v>0</v>
      </c>
      <c r="DM141" s="129">
        <f>VLOOKUP($F141,Activities!$A$9:$I$227,4,FALSE)/$AI141</f>
        <v>0</v>
      </c>
      <c r="DN141" s="129">
        <f>VLOOKUP($F141,Activities!$A$9:$I$227,5,FALSE)/$AI141</f>
        <v>0</v>
      </c>
      <c r="DO141" s="129">
        <f>VLOOKUP($F141,Activities!$A$9:$I$227,6,FALSE)/$AI141</f>
        <v>0</v>
      </c>
      <c r="DP141" s="129">
        <f>VLOOKUP($F141,Activities!$A$9:$I$227,7,FALSE)/$AI141</f>
        <v>0</v>
      </c>
      <c r="DQ141" s="129">
        <f>VLOOKUP($F141,Activities!$A$9:$I$227,8,FALSE)/$AI141</f>
        <v>0</v>
      </c>
      <c r="DR141" s="129">
        <f>VLOOKUP($F141,Activities!$A$9:$I$227,9,FALSE)/$AI141</f>
        <v>0</v>
      </c>
      <c r="DS141" s="218"/>
      <c r="DT141" s="360"/>
      <c r="DU141" s="360"/>
      <c r="DV141" s="360"/>
      <c r="DW141" s="360"/>
      <c r="DX141" s="360"/>
      <c r="DY141" s="360"/>
      <c r="DZ141" s="360"/>
      <c r="EA141" s="360"/>
      <c r="EB141" s="360"/>
      <c r="EC141" s="360"/>
      <c r="ED141" s="360"/>
      <c r="EE141" s="360"/>
      <c r="EF141" s="360"/>
      <c r="EG141" s="360"/>
      <c r="EH141" s="360"/>
      <c r="EI141" s="360"/>
      <c r="EJ141" s="360"/>
      <c r="EK141" s="360"/>
      <c r="EL141" s="360"/>
      <c r="EM141" s="360"/>
      <c r="EN141" s="360"/>
      <c r="EO141" s="360"/>
      <c r="EP141" s="360"/>
      <c r="EQ141" s="360"/>
    </row>
    <row r="142" spans="1:147" x14ac:dyDescent="0.35">
      <c r="A142" s="6" t="s">
        <v>1022</v>
      </c>
      <c r="B142" s="6" t="s">
        <v>740</v>
      </c>
      <c r="C142" s="6" t="s">
        <v>788</v>
      </c>
      <c r="D142" s="6" t="s">
        <v>741</v>
      </c>
      <c r="E142" s="6" t="s">
        <v>971</v>
      </c>
      <c r="F142" s="6" t="s">
        <v>514</v>
      </c>
      <c r="G142" s="48" t="s">
        <v>1023</v>
      </c>
      <c r="H142" s="48" t="s">
        <v>659</v>
      </c>
      <c r="I142" s="102">
        <v>1E-4</v>
      </c>
      <c r="J142" s="102">
        <v>1E-4</v>
      </c>
      <c r="K142" s="102">
        <v>1E-4</v>
      </c>
      <c r="L142" s="102">
        <v>1E-4</v>
      </c>
      <c r="M142" s="102">
        <v>1E-4</v>
      </c>
      <c r="N142" s="102">
        <v>1E-4</v>
      </c>
      <c r="O142" s="102">
        <v>1E-4</v>
      </c>
      <c r="P142" s="94">
        <v>0</v>
      </c>
      <c r="Q142" s="102">
        <v>0</v>
      </c>
      <c r="R142" s="102">
        <v>0</v>
      </c>
      <c r="S142" s="102">
        <v>0</v>
      </c>
      <c r="T142" s="102">
        <v>0</v>
      </c>
      <c r="U142" s="102">
        <v>0</v>
      </c>
      <c r="V142" s="102">
        <v>0</v>
      </c>
      <c r="W142" s="102">
        <v>0</v>
      </c>
      <c r="X142" s="102">
        <v>0</v>
      </c>
      <c r="Y142" s="102">
        <v>0</v>
      </c>
      <c r="Z142" s="102">
        <v>0</v>
      </c>
      <c r="AA142" s="102">
        <v>0</v>
      </c>
      <c r="AB142" s="102">
        <v>0</v>
      </c>
      <c r="AC142" s="102">
        <v>0</v>
      </c>
      <c r="AD142" s="102">
        <v>0</v>
      </c>
      <c r="AE142" s="186">
        <v>0.08</v>
      </c>
      <c r="AF142" s="94"/>
      <c r="AG142" s="94">
        <v>25</v>
      </c>
      <c r="AH142" s="94">
        <v>50</v>
      </c>
      <c r="AI142" s="17">
        <v>1</v>
      </c>
      <c r="AJ142" s="17" t="s">
        <v>660</v>
      </c>
      <c r="AK142" s="17" t="s">
        <v>745</v>
      </c>
      <c r="AL142" s="17"/>
      <c r="AM142" s="61"/>
      <c r="AN142" s="61"/>
      <c r="AO142" s="61"/>
      <c r="AP142" s="61"/>
      <c r="AQ142" s="61"/>
      <c r="AR142" s="61"/>
      <c r="AS142" s="64"/>
      <c r="AT142" s="64"/>
      <c r="AU142" s="64"/>
      <c r="AV142" s="132"/>
      <c r="AW142" s="132"/>
      <c r="AX142" s="132"/>
      <c r="AY142" s="28" t="s">
        <v>662</v>
      </c>
      <c r="AZ142" s="28"/>
      <c r="BA142" s="354"/>
      <c r="BB142" s="28"/>
      <c r="BC142" s="28"/>
      <c r="BD142" s="28"/>
      <c r="BE142" s="28"/>
      <c r="BF142" s="28"/>
      <c r="BG142" s="28"/>
      <c r="BH142" s="106"/>
      <c r="BI142" s="106"/>
      <c r="BJ142" s="106"/>
      <c r="BK142" s="106"/>
      <c r="BL142" s="137"/>
      <c r="BM142" s="123"/>
      <c r="BN142" s="139"/>
      <c r="BO142" s="94"/>
      <c r="BP142" s="94"/>
      <c r="BQ142" s="94"/>
      <c r="BR142" s="94"/>
      <c r="BS142" s="94"/>
      <c r="BT142" s="94"/>
      <c r="BU142" s="28">
        <v>0</v>
      </c>
      <c r="BV142" s="28"/>
      <c r="BW142" s="28"/>
      <c r="BX142" s="28"/>
      <c r="BY142" s="28"/>
      <c r="BZ142" s="28"/>
      <c r="CA142" s="28"/>
      <c r="CB142" s="99">
        <v>500</v>
      </c>
      <c r="CC142" s="99">
        <v>500</v>
      </c>
      <c r="CD142" s="99">
        <v>500</v>
      </c>
      <c r="CE142" s="99">
        <v>500</v>
      </c>
      <c r="CF142" s="99">
        <v>500</v>
      </c>
      <c r="CG142" s="99">
        <v>500</v>
      </c>
      <c r="CH142" s="99">
        <v>500</v>
      </c>
      <c r="CI142" s="175"/>
      <c r="CJ142" s="175"/>
      <c r="CK142" s="175"/>
      <c r="CL142" s="175"/>
      <c r="CM142" s="175"/>
      <c r="CN142" s="175"/>
      <c r="CO142" s="175"/>
      <c r="CP142" s="176"/>
      <c r="CQ142" s="176"/>
      <c r="CR142" s="176"/>
      <c r="CS142" s="176"/>
      <c r="CT142" s="176"/>
      <c r="CU142" s="176"/>
      <c r="CV142" s="176"/>
      <c r="CW142" s="167"/>
      <c r="CX142" s="168"/>
      <c r="CY142" s="168"/>
      <c r="CZ142" s="168"/>
      <c r="DA142" s="168"/>
      <c r="DB142" s="168"/>
      <c r="DC142" s="168"/>
      <c r="DD142" s="172"/>
      <c r="DE142" s="172"/>
      <c r="DF142" s="172"/>
      <c r="DG142" s="172"/>
      <c r="DH142" s="172"/>
      <c r="DI142" s="172"/>
      <c r="DJ142" s="172"/>
      <c r="DK142" s="80" t="s">
        <v>502</v>
      </c>
      <c r="DL142" s="129">
        <f>VLOOKUP($F142,Activities!$A$9:$I$227,3,FALSE)/$AI142</f>
        <v>0</v>
      </c>
      <c r="DM142" s="129">
        <f>VLOOKUP($F142,Activities!$A$9:$I$227,4,FALSE)/$AI142</f>
        <v>0</v>
      </c>
      <c r="DN142" s="129">
        <f>VLOOKUP($F142,Activities!$A$9:$I$227,5,FALSE)/$AI142</f>
        <v>0</v>
      </c>
      <c r="DO142" s="129">
        <f>VLOOKUP($F142,Activities!$A$9:$I$227,6,FALSE)/$AI142</f>
        <v>0</v>
      </c>
      <c r="DP142" s="129">
        <f>VLOOKUP($F142,Activities!$A$9:$I$227,7,FALSE)/$AI142</f>
        <v>0</v>
      </c>
      <c r="DQ142" s="129">
        <f>VLOOKUP($F142,Activities!$A$9:$I$227,8,FALSE)/$AI142</f>
        <v>0</v>
      </c>
      <c r="DR142" s="129">
        <f>VLOOKUP($F142,Activities!$A$9:$I$227,9,FALSE)/$AI142</f>
        <v>0</v>
      </c>
      <c r="DS142" s="218"/>
      <c r="DT142" s="360"/>
      <c r="DU142" s="360"/>
      <c r="DV142" s="360"/>
      <c r="DW142" s="360"/>
      <c r="DX142" s="360"/>
      <c r="DY142" s="360"/>
      <c r="DZ142" s="360"/>
      <c r="EA142" s="360"/>
      <c r="EB142" s="360"/>
      <c r="EC142" s="360"/>
      <c r="ED142" s="360"/>
      <c r="EE142" s="360"/>
      <c r="EF142" s="360"/>
      <c r="EG142" s="360"/>
      <c r="EH142" s="360"/>
      <c r="EI142" s="360"/>
      <c r="EJ142" s="360"/>
      <c r="EK142" s="360"/>
      <c r="EL142" s="360"/>
      <c r="EM142" s="360"/>
      <c r="EN142" s="360"/>
      <c r="EO142" s="360"/>
      <c r="EP142" s="360"/>
      <c r="EQ142" s="360"/>
    </row>
    <row r="143" spans="1:147" x14ac:dyDescent="0.35">
      <c r="A143" s="5" t="s">
        <v>1024</v>
      </c>
      <c r="B143" s="5" t="s">
        <v>740</v>
      </c>
      <c r="C143" s="5" t="s">
        <v>788</v>
      </c>
      <c r="D143" s="5" t="s">
        <v>741</v>
      </c>
      <c r="E143" s="5" t="s">
        <v>971</v>
      </c>
      <c r="F143" s="5" t="s">
        <v>514</v>
      </c>
      <c r="G143" s="47" t="s">
        <v>1025</v>
      </c>
      <c r="H143" s="47" t="s">
        <v>659</v>
      </c>
      <c r="I143" s="101">
        <v>1E-4</v>
      </c>
      <c r="J143" s="101">
        <v>1E-4</v>
      </c>
      <c r="K143" s="101">
        <v>1E-4</v>
      </c>
      <c r="L143" s="101">
        <v>1E-4</v>
      </c>
      <c r="M143" s="101">
        <v>1E-4</v>
      </c>
      <c r="N143" s="101">
        <v>1E-4</v>
      </c>
      <c r="O143" s="101">
        <v>1E-4</v>
      </c>
      <c r="P143" s="93">
        <v>0</v>
      </c>
      <c r="Q143" s="101">
        <v>0</v>
      </c>
      <c r="R143" s="101">
        <v>0</v>
      </c>
      <c r="S143" s="101">
        <v>0</v>
      </c>
      <c r="T143" s="101">
        <v>0</v>
      </c>
      <c r="U143" s="101">
        <v>0</v>
      </c>
      <c r="V143" s="101">
        <v>0</v>
      </c>
      <c r="W143" s="101">
        <v>0</v>
      </c>
      <c r="X143" s="101">
        <v>0</v>
      </c>
      <c r="Y143" s="101">
        <v>0</v>
      </c>
      <c r="Z143" s="101">
        <v>0</v>
      </c>
      <c r="AA143" s="101">
        <v>0</v>
      </c>
      <c r="AB143" s="101">
        <v>0</v>
      </c>
      <c r="AC143" s="101">
        <v>0</v>
      </c>
      <c r="AD143" s="101">
        <v>0</v>
      </c>
      <c r="AE143" s="186">
        <v>0.08</v>
      </c>
      <c r="AF143" s="93"/>
      <c r="AG143" s="93">
        <v>25</v>
      </c>
      <c r="AH143" s="93">
        <v>50</v>
      </c>
      <c r="AI143" s="16">
        <v>1</v>
      </c>
      <c r="AJ143" s="16" t="s">
        <v>660</v>
      </c>
      <c r="AK143" s="16" t="s">
        <v>745</v>
      </c>
      <c r="AL143" s="16"/>
      <c r="AM143" s="60"/>
      <c r="AN143" s="60"/>
      <c r="AO143" s="60"/>
      <c r="AP143" s="60"/>
      <c r="AQ143" s="60"/>
      <c r="AR143" s="60"/>
      <c r="AS143" s="63"/>
      <c r="AT143" s="63"/>
      <c r="AU143" s="63"/>
      <c r="AV143" s="131"/>
      <c r="AW143" s="131"/>
      <c r="AX143" s="131"/>
      <c r="AY143" s="27" t="s">
        <v>662</v>
      </c>
      <c r="AZ143" s="27"/>
      <c r="BA143" s="29"/>
      <c r="BB143" s="30"/>
      <c r="BC143" s="30"/>
      <c r="BD143" s="30"/>
      <c r="BE143" s="30"/>
      <c r="BF143" s="30"/>
      <c r="BG143" s="30"/>
      <c r="BH143" s="107"/>
      <c r="BI143" s="107"/>
      <c r="BJ143" s="107"/>
      <c r="BK143" s="107"/>
      <c r="BL143" s="136"/>
      <c r="BM143" s="122"/>
      <c r="BN143" s="138"/>
      <c r="BO143" s="93"/>
      <c r="BP143" s="93"/>
      <c r="BQ143" s="93"/>
      <c r="BR143" s="93"/>
      <c r="BS143" s="93"/>
      <c r="BT143" s="93"/>
      <c r="BU143" s="27">
        <v>0</v>
      </c>
      <c r="BV143" s="27"/>
      <c r="BW143" s="27"/>
      <c r="BX143" s="27"/>
      <c r="BY143" s="27"/>
      <c r="BZ143" s="27"/>
      <c r="CA143" s="27"/>
      <c r="CB143" s="97">
        <v>500</v>
      </c>
      <c r="CC143" s="97">
        <v>500</v>
      </c>
      <c r="CD143" s="97">
        <v>500</v>
      </c>
      <c r="CE143" s="97">
        <v>500</v>
      </c>
      <c r="CF143" s="97">
        <v>500</v>
      </c>
      <c r="CG143" s="97">
        <v>500</v>
      </c>
      <c r="CH143" s="185"/>
      <c r="CI143" s="173"/>
      <c r="CJ143" s="173"/>
      <c r="CK143" s="173"/>
      <c r="CL143" s="173"/>
      <c r="CM143" s="173"/>
      <c r="CN143" s="173"/>
      <c r="CO143" s="173"/>
      <c r="CP143" s="174"/>
      <c r="CQ143" s="174"/>
      <c r="CR143" s="174"/>
      <c r="CS143" s="174"/>
      <c r="CT143" s="174"/>
      <c r="CU143" s="174"/>
      <c r="CV143" s="174"/>
      <c r="CW143" s="165"/>
      <c r="CX143" s="166"/>
      <c r="CY143" s="166"/>
      <c r="CZ143" s="166"/>
      <c r="DA143" s="166"/>
      <c r="DB143" s="166"/>
      <c r="DC143" s="166"/>
      <c r="DD143" s="171"/>
      <c r="DE143" s="171"/>
      <c r="DF143" s="171"/>
      <c r="DG143" s="171"/>
      <c r="DH143" s="171"/>
      <c r="DI143" s="171"/>
      <c r="DJ143" s="171"/>
      <c r="DK143" s="79" t="s">
        <v>502</v>
      </c>
      <c r="DL143" s="129">
        <f>VLOOKUP($F143,Activities!$A$9:$I$227,3,FALSE)/$AI143</f>
        <v>0</v>
      </c>
      <c r="DM143" s="129">
        <f>VLOOKUP($F143,Activities!$A$9:$I$227,4,FALSE)/$AI143</f>
        <v>0</v>
      </c>
      <c r="DN143" s="129">
        <f>VLOOKUP($F143,Activities!$A$9:$I$227,5,FALSE)/$AI143</f>
        <v>0</v>
      </c>
      <c r="DO143" s="129">
        <f>VLOOKUP($F143,Activities!$A$9:$I$227,6,FALSE)/$AI143</f>
        <v>0</v>
      </c>
      <c r="DP143" s="129">
        <f>VLOOKUP($F143,Activities!$A$9:$I$227,7,FALSE)/$AI143</f>
        <v>0</v>
      </c>
      <c r="DQ143" s="129">
        <f>VLOOKUP($F143,Activities!$A$9:$I$227,8,FALSE)/$AI143</f>
        <v>0</v>
      </c>
      <c r="DR143" s="129">
        <f>VLOOKUP($F143,Activities!$A$9:$I$227,9,FALSE)/$AI143</f>
        <v>0</v>
      </c>
      <c r="DS143" s="218"/>
      <c r="DT143" s="360"/>
      <c r="DU143" s="360"/>
      <c r="DV143" s="360"/>
      <c r="DW143" s="360"/>
      <c r="DX143" s="360"/>
      <c r="DY143" s="360"/>
      <c r="DZ143" s="360"/>
      <c r="EA143" s="360"/>
      <c r="EB143" s="360"/>
      <c r="EC143" s="360"/>
      <c r="ED143" s="360"/>
      <c r="EE143" s="360"/>
      <c r="EF143" s="360"/>
      <c r="EG143" s="360"/>
      <c r="EH143" s="360"/>
      <c r="EI143" s="360"/>
      <c r="EJ143" s="360"/>
      <c r="EK143" s="360"/>
      <c r="EL143" s="360"/>
      <c r="EM143" s="360"/>
      <c r="EN143" s="360"/>
      <c r="EO143" s="360"/>
      <c r="EP143" s="360"/>
      <c r="EQ143" s="360"/>
    </row>
    <row r="144" spans="1:147" x14ac:dyDescent="0.35">
      <c r="A144" s="5" t="s">
        <v>1026</v>
      </c>
      <c r="B144" s="5" t="s">
        <v>740</v>
      </c>
      <c r="C144" s="5" t="s">
        <v>655</v>
      </c>
      <c r="D144" s="5" t="s">
        <v>741</v>
      </c>
      <c r="E144" s="5" t="s">
        <v>971</v>
      </c>
      <c r="F144" s="5" t="s">
        <v>442</v>
      </c>
      <c r="G144" s="47" t="s">
        <v>1027</v>
      </c>
      <c r="H144" s="48" t="s">
        <v>994</v>
      </c>
      <c r="I144" s="101">
        <f>I137</f>
        <v>984.21052631578948</v>
      </c>
      <c r="J144" s="101">
        <f>J137</f>
        <v>984.21052631578948</v>
      </c>
      <c r="K144" s="101">
        <f>K137</f>
        <v>984.21052631578948</v>
      </c>
      <c r="L144" s="101">
        <f>L137</f>
        <v>984.21052631578948</v>
      </c>
      <c r="M144" s="101">
        <f>M137</f>
        <v>984.21052631578948</v>
      </c>
      <c r="N144" s="101">
        <f>N137</f>
        <v>984.21052631578948</v>
      </c>
      <c r="O144" s="101">
        <f>O137</f>
        <v>984.21052631578948</v>
      </c>
      <c r="P144" s="93"/>
      <c r="Q144" s="101">
        <f t="shared" ref="Q144" si="128">I144*0.05</f>
        <v>49.21052631578948</v>
      </c>
      <c r="R144" s="101">
        <f t="shared" ref="R144" si="129">J144*0.05</f>
        <v>49.21052631578948</v>
      </c>
      <c r="S144" s="101">
        <f t="shared" ref="S144" si="130">K144*0.05</f>
        <v>49.21052631578948</v>
      </c>
      <c r="T144" s="101">
        <f t="shared" ref="T144" si="131">L144*0.05</f>
        <v>49.21052631578948</v>
      </c>
      <c r="U144" s="101">
        <f t="shared" ref="U144" si="132">M144*0.05</f>
        <v>49.21052631578948</v>
      </c>
      <c r="V144" s="101">
        <f t="shared" ref="V144" si="133">N144*0.05</f>
        <v>49.21052631578948</v>
      </c>
      <c r="W144" s="101">
        <f t="shared" ref="W144" si="134">O144*0.05</f>
        <v>49.21052631578948</v>
      </c>
      <c r="X144" s="101">
        <v>0</v>
      </c>
      <c r="Y144" s="101">
        <v>0</v>
      </c>
      <c r="Z144" s="101">
        <v>0</v>
      </c>
      <c r="AA144" s="101">
        <v>0</v>
      </c>
      <c r="AB144" s="101">
        <v>0</v>
      </c>
      <c r="AC144" s="101">
        <v>0</v>
      </c>
      <c r="AD144" s="101">
        <v>0</v>
      </c>
      <c r="AE144" s="186">
        <v>0.08</v>
      </c>
      <c r="AF144" s="93">
        <v>0</v>
      </c>
      <c r="AG144" s="93">
        <v>30</v>
      </c>
      <c r="AH144" s="93">
        <v>30</v>
      </c>
      <c r="AI144" s="16">
        <v>1</v>
      </c>
      <c r="AJ144" s="16" t="s">
        <v>660</v>
      </c>
      <c r="AK144" s="16" t="s">
        <v>745</v>
      </c>
      <c r="AL144" s="16"/>
      <c r="AM144" s="60"/>
      <c r="AN144" s="60"/>
      <c r="AO144" s="60"/>
      <c r="AP144" s="60"/>
      <c r="AQ144" s="60"/>
      <c r="AR144" s="60"/>
      <c r="AS144" s="63"/>
      <c r="AT144" s="63"/>
      <c r="AU144" s="63"/>
      <c r="AV144" s="131"/>
      <c r="AW144" s="131"/>
      <c r="AX144" s="131"/>
      <c r="AY144" s="27" t="s">
        <v>662</v>
      </c>
      <c r="AZ144" s="27"/>
      <c r="BA144" s="29"/>
      <c r="BB144" s="30"/>
      <c r="BC144" s="30"/>
      <c r="BD144" s="30"/>
      <c r="BE144" s="30"/>
      <c r="BF144" s="30"/>
      <c r="BG144" s="30"/>
      <c r="BH144" s="107"/>
      <c r="BI144" s="107"/>
      <c r="BJ144" s="107"/>
      <c r="BK144" s="107"/>
      <c r="BL144" s="136"/>
      <c r="BM144" s="122"/>
      <c r="BN144" s="138"/>
      <c r="BO144" s="93"/>
      <c r="BP144" s="93"/>
      <c r="BQ144" s="93"/>
      <c r="BR144" s="93"/>
      <c r="BS144" s="93"/>
      <c r="BT144" s="93"/>
      <c r="BU144" s="27"/>
      <c r="BV144" s="27"/>
      <c r="BW144" s="27"/>
      <c r="BX144" s="27"/>
      <c r="BY144" s="27"/>
      <c r="BZ144" s="27"/>
      <c r="CA144" s="27"/>
      <c r="CB144" s="97"/>
      <c r="CC144" s="97"/>
      <c r="CD144" s="97"/>
      <c r="CE144" s="97"/>
      <c r="CF144" s="97"/>
      <c r="CG144" s="97"/>
      <c r="CH144" s="97"/>
      <c r="CI144" s="173"/>
      <c r="CJ144" s="173"/>
      <c r="CK144" s="173"/>
      <c r="CL144" s="173"/>
      <c r="CM144" s="173"/>
      <c r="CN144" s="173"/>
      <c r="CO144" s="173"/>
      <c r="CP144" s="174"/>
      <c r="CQ144" s="174"/>
      <c r="CR144" s="174"/>
      <c r="CS144" s="174"/>
      <c r="CT144" s="174"/>
      <c r="CU144" s="174"/>
      <c r="CV144" s="174"/>
      <c r="CW144" s="165"/>
      <c r="CX144" s="166"/>
      <c r="CY144" s="166"/>
      <c r="CZ144" s="166"/>
      <c r="DA144" s="166"/>
      <c r="DB144" s="166"/>
      <c r="DC144" s="166"/>
      <c r="DD144" s="171"/>
      <c r="DE144" s="171"/>
      <c r="DF144" s="171"/>
      <c r="DG144" s="171"/>
      <c r="DH144" s="171"/>
      <c r="DI144" s="171"/>
      <c r="DJ144" s="171"/>
      <c r="DK144" s="80" t="s">
        <v>1012</v>
      </c>
      <c r="DL144" s="129"/>
      <c r="DM144" s="129"/>
      <c r="DN144" s="129"/>
      <c r="DO144" s="129"/>
      <c r="DP144" s="129"/>
      <c r="DQ144" s="129"/>
      <c r="DR144" s="129"/>
      <c r="DS144" s="218"/>
      <c r="DT144" s="360"/>
      <c r="DU144" s="360"/>
      <c r="DV144" s="360"/>
      <c r="DW144" s="360"/>
      <c r="DX144" s="360"/>
      <c r="DY144" s="360"/>
      <c r="DZ144" s="360"/>
      <c r="EA144" s="360"/>
      <c r="EB144" s="360"/>
      <c r="EC144" s="360"/>
      <c r="ED144" s="360"/>
      <c r="EE144" s="360"/>
      <c r="EF144" s="360"/>
      <c r="EG144" s="360"/>
      <c r="EH144" s="360"/>
      <c r="EI144" s="360"/>
      <c r="EJ144" s="360"/>
      <c r="EK144" s="360"/>
      <c r="EL144" s="360"/>
      <c r="EM144" s="360"/>
      <c r="EN144" s="360"/>
      <c r="EO144" s="360"/>
      <c r="EP144" s="360"/>
      <c r="EQ144" s="360"/>
    </row>
    <row r="145" spans="1:147" x14ac:dyDescent="0.35">
      <c r="A145" s="6" t="s">
        <v>1028</v>
      </c>
      <c r="B145" s="6" t="s">
        <v>734</v>
      </c>
      <c r="C145" s="6" t="s">
        <v>655</v>
      </c>
      <c r="D145" s="6" t="s">
        <v>1029</v>
      </c>
      <c r="E145" s="6" t="s">
        <v>1030</v>
      </c>
      <c r="F145" s="6" t="s">
        <v>381</v>
      </c>
      <c r="G145" s="48" t="s">
        <v>1031</v>
      </c>
      <c r="H145" s="48" t="s">
        <v>1032</v>
      </c>
      <c r="I145" s="102">
        <v>3487.65</v>
      </c>
      <c r="J145" s="102">
        <v>3487.65</v>
      </c>
      <c r="K145" s="102">
        <v>3487.65</v>
      </c>
      <c r="L145" s="102">
        <v>3487.65</v>
      </c>
      <c r="M145" s="102">
        <v>3487.65</v>
      </c>
      <c r="N145" s="102">
        <v>3487.65</v>
      </c>
      <c r="O145" s="102">
        <v>3487.65</v>
      </c>
      <c r="P145" s="94">
        <v>0</v>
      </c>
      <c r="Q145" s="102">
        <v>209.26</v>
      </c>
      <c r="R145" s="102">
        <v>209.26</v>
      </c>
      <c r="S145" s="102">
        <v>209.26</v>
      </c>
      <c r="T145" s="102">
        <v>209.26</v>
      </c>
      <c r="U145" s="102">
        <v>209.26</v>
      </c>
      <c r="V145" s="102">
        <v>209.26</v>
      </c>
      <c r="W145" s="102">
        <v>209.26</v>
      </c>
      <c r="X145" s="102">
        <v>0</v>
      </c>
      <c r="Y145" s="102">
        <v>0</v>
      </c>
      <c r="Z145" s="102">
        <v>0</v>
      </c>
      <c r="AA145" s="102">
        <v>0</v>
      </c>
      <c r="AB145" s="102">
        <v>0</v>
      </c>
      <c r="AC145" s="102">
        <v>0</v>
      </c>
      <c r="AD145" s="102">
        <v>0</v>
      </c>
      <c r="AE145" s="186">
        <v>0.08</v>
      </c>
      <c r="AF145" s="94">
        <v>0</v>
      </c>
      <c r="AG145" s="94">
        <v>15</v>
      </c>
      <c r="AH145" s="94">
        <v>15</v>
      </c>
      <c r="AI145" s="17">
        <v>2.5</v>
      </c>
      <c r="AJ145" s="17" t="s">
        <v>660</v>
      </c>
      <c r="AK145" s="17" t="s">
        <v>745</v>
      </c>
      <c r="AL145" s="17"/>
      <c r="AM145" s="61"/>
      <c r="AN145" s="61"/>
      <c r="AO145" s="61"/>
      <c r="AP145" s="61"/>
      <c r="AQ145" s="61"/>
      <c r="AR145" s="61"/>
      <c r="AS145" s="64"/>
      <c r="AT145" s="64"/>
      <c r="AU145" s="64"/>
      <c r="AV145" s="132"/>
      <c r="AW145" s="132"/>
      <c r="AX145" s="132"/>
      <c r="AY145" s="28" t="s">
        <v>662</v>
      </c>
      <c r="AZ145" s="28"/>
      <c r="BA145" s="28"/>
      <c r="BB145" s="28"/>
      <c r="BC145" s="28"/>
      <c r="BD145" s="28"/>
      <c r="BE145" s="28"/>
      <c r="BF145" s="28"/>
      <c r="BG145" s="28"/>
      <c r="BH145" s="106"/>
      <c r="BI145" s="106"/>
      <c r="BJ145" s="106"/>
      <c r="BK145" s="106"/>
      <c r="BL145" s="137"/>
      <c r="BM145" s="123"/>
      <c r="BN145" s="139">
        <f>DL145-BN146</f>
        <v>1.9899999999999998</v>
      </c>
      <c r="BO145" s="94">
        <v>0.64666666666666661</v>
      </c>
      <c r="BP145" s="94">
        <v>0.64666666666666661</v>
      </c>
      <c r="BQ145" s="94">
        <f>BN145-SUM(BO145:BP145)</f>
        <v>0.69666666666666655</v>
      </c>
      <c r="BR145" s="94"/>
      <c r="BS145" s="94"/>
      <c r="BT145" s="94"/>
      <c r="BU145" s="28">
        <f t="shared" si="95"/>
        <v>0</v>
      </c>
      <c r="BV145" s="28"/>
      <c r="BW145" s="28"/>
      <c r="BX145" s="28"/>
      <c r="BY145" s="28"/>
      <c r="BZ145" s="28"/>
      <c r="CA145" s="28"/>
      <c r="CB145" s="99">
        <f t="shared" ref="CB145:CH151" si="135">DL145</f>
        <v>2.1199999999999997</v>
      </c>
      <c r="CC145" s="99">
        <f t="shared" si="135"/>
        <v>2.21</v>
      </c>
      <c r="CD145" s="99">
        <f t="shared" si="135"/>
        <v>2.2599999999999998</v>
      </c>
      <c r="CE145" s="99">
        <f t="shared" si="135"/>
        <v>2.2799999999999998</v>
      </c>
      <c r="CF145" s="99">
        <f t="shared" si="135"/>
        <v>2.2899999999999996</v>
      </c>
      <c r="CG145" s="99">
        <f t="shared" si="135"/>
        <v>2.2899999999999996</v>
      </c>
      <c r="CH145" s="99">
        <f>DR145</f>
        <v>2.2799999999999998</v>
      </c>
      <c r="CI145" s="175"/>
      <c r="CJ145" s="175"/>
      <c r="CK145" s="175"/>
      <c r="CL145" s="175"/>
      <c r="CM145" s="175"/>
      <c r="CN145" s="175"/>
      <c r="CO145" s="175"/>
      <c r="CP145" s="176"/>
      <c r="CQ145" s="176"/>
      <c r="CR145" s="176"/>
      <c r="CS145" s="176"/>
      <c r="CT145" s="176"/>
      <c r="CU145" s="176"/>
      <c r="CV145" s="176"/>
      <c r="CW145" s="167"/>
      <c r="CX145" s="168"/>
      <c r="CY145" s="168"/>
      <c r="CZ145" s="168"/>
      <c r="DA145" s="168"/>
      <c r="DB145" s="168"/>
      <c r="DC145" s="168"/>
      <c r="DD145" s="172"/>
      <c r="DE145" s="172"/>
      <c r="DF145" s="172"/>
      <c r="DG145" s="172"/>
      <c r="DH145" s="172"/>
      <c r="DI145" s="172"/>
      <c r="DJ145" s="172"/>
      <c r="DK145" s="80" t="s">
        <v>699</v>
      </c>
      <c r="DL145" s="129">
        <f>ROUNDUP(VLOOKUP($F145,Activities!$A$9:$I$180,3,FALSE)/$AI145,2)</f>
        <v>2.1199999999999997</v>
      </c>
      <c r="DM145" s="129">
        <f>ROUNDUP(VLOOKUP($F145,Activities!$A$9:$I$180,4,FALSE)/$AI145,2)</f>
        <v>2.21</v>
      </c>
      <c r="DN145" s="129">
        <f>ROUNDUP(VLOOKUP($F145,Activities!$A$9:$I$180,5,FALSE)/$AI145,2)</f>
        <v>2.2599999999999998</v>
      </c>
      <c r="DO145" s="129">
        <f>ROUNDUP(VLOOKUP($F145,Activities!$A$9:$I$180,6,FALSE)/$AI145,2)</f>
        <v>2.2799999999999998</v>
      </c>
      <c r="DP145" s="129">
        <f>ROUNDUP(VLOOKUP($F145,Activities!$A$9:$I$180,7,FALSE)/$AI145,2)</f>
        <v>2.2899999999999996</v>
      </c>
      <c r="DQ145" s="129">
        <f>ROUNDUP(VLOOKUP($F145,Activities!$A$9:$I$180,8,FALSE)/$AI145,2)</f>
        <v>2.2899999999999996</v>
      </c>
      <c r="DR145" s="129">
        <f>ROUNDUP(VLOOKUP($F145,Activities!$A$9:$I$180,9,FALSE)/$AI145,2)</f>
        <v>2.2799999999999998</v>
      </c>
      <c r="DS145" s="218"/>
      <c r="DT145" s="360"/>
      <c r="DU145" s="360"/>
      <c r="DV145" s="360"/>
      <c r="DW145" s="360"/>
      <c r="DX145" s="360"/>
      <c r="DY145" s="360"/>
      <c r="DZ145" s="360"/>
      <c r="EA145" s="360"/>
      <c r="EB145" s="360"/>
      <c r="EC145" s="360"/>
      <c r="ED145" s="360"/>
      <c r="EE145" s="360"/>
      <c r="EF145" s="360"/>
      <c r="EG145" s="360"/>
      <c r="EH145" s="360"/>
      <c r="EI145" s="360"/>
      <c r="EJ145" s="360"/>
      <c r="EK145" s="360"/>
      <c r="EL145" s="360"/>
      <c r="EM145" s="360"/>
      <c r="EN145" s="360"/>
      <c r="EO145" s="360"/>
      <c r="EP145" s="360"/>
      <c r="EQ145" s="360"/>
    </row>
    <row r="146" spans="1:147" x14ac:dyDescent="0.35">
      <c r="A146" s="5" t="s">
        <v>1033</v>
      </c>
      <c r="B146" s="5" t="s">
        <v>734</v>
      </c>
      <c r="C146" s="5" t="s">
        <v>655</v>
      </c>
      <c r="D146" s="5" t="s">
        <v>1029</v>
      </c>
      <c r="E146" s="5" t="s">
        <v>1030</v>
      </c>
      <c r="F146" s="5" t="s">
        <v>381</v>
      </c>
      <c r="G146" s="47" t="s">
        <v>1034</v>
      </c>
      <c r="H146" s="47" t="s">
        <v>1032</v>
      </c>
      <c r="I146" s="101">
        <v>8745.33</v>
      </c>
      <c r="J146" s="101">
        <v>8308.06</v>
      </c>
      <c r="K146" s="101">
        <v>7892.66</v>
      </c>
      <c r="L146" s="101">
        <v>7498.03</v>
      </c>
      <c r="M146" s="101">
        <v>7123.13</v>
      </c>
      <c r="N146" s="101">
        <v>6766.97</v>
      </c>
      <c r="O146" s="101">
        <v>6428.62</v>
      </c>
      <c r="P146" s="93">
        <v>0</v>
      </c>
      <c r="Q146" s="101">
        <v>146.47999999999999</v>
      </c>
      <c r="R146" s="101">
        <v>146.47999999999999</v>
      </c>
      <c r="S146" s="101">
        <v>146.47999999999999</v>
      </c>
      <c r="T146" s="101">
        <v>146.47999999999999</v>
      </c>
      <c r="U146" s="101">
        <v>146.47999999999999</v>
      </c>
      <c r="V146" s="101">
        <v>146.47999999999999</v>
      </c>
      <c r="W146" s="101">
        <v>146.47999999999999</v>
      </c>
      <c r="X146" s="101">
        <v>0</v>
      </c>
      <c r="Y146" s="101">
        <v>0</v>
      </c>
      <c r="Z146" s="101">
        <v>0</v>
      </c>
      <c r="AA146" s="101">
        <v>0</v>
      </c>
      <c r="AB146" s="101">
        <v>0</v>
      </c>
      <c r="AC146" s="101">
        <v>0</v>
      </c>
      <c r="AD146" s="101">
        <v>0</v>
      </c>
      <c r="AE146" s="186">
        <v>0.08</v>
      </c>
      <c r="AF146" s="93">
        <v>0</v>
      </c>
      <c r="AG146" s="93">
        <v>15</v>
      </c>
      <c r="AH146" s="93">
        <v>15</v>
      </c>
      <c r="AI146" s="16">
        <v>2.5</v>
      </c>
      <c r="AJ146" s="16" t="s">
        <v>660</v>
      </c>
      <c r="AK146" s="16" t="s">
        <v>1035</v>
      </c>
      <c r="AL146" s="16"/>
      <c r="AM146" s="60"/>
      <c r="AN146" s="60"/>
      <c r="AO146" s="60"/>
      <c r="AP146" s="60"/>
      <c r="AQ146" s="60"/>
      <c r="AR146" s="60"/>
      <c r="AS146" s="63"/>
      <c r="AT146" s="63"/>
      <c r="AU146" s="63"/>
      <c r="AV146" s="131"/>
      <c r="AW146" s="131"/>
      <c r="AX146" s="131"/>
      <c r="AY146" s="27" t="s">
        <v>662</v>
      </c>
      <c r="AZ146" s="27"/>
      <c r="BA146" s="27"/>
      <c r="BB146" s="30"/>
      <c r="BC146" s="30"/>
      <c r="BD146" s="30"/>
      <c r="BE146" s="30"/>
      <c r="BF146" s="30"/>
      <c r="BG146" s="30"/>
      <c r="BH146" s="107"/>
      <c r="BI146" s="107"/>
      <c r="BJ146" s="107"/>
      <c r="BK146" s="107"/>
      <c r="BL146" s="136"/>
      <c r="BM146" s="122"/>
      <c r="BN146" s="138">
        <v>0.13</v>
      </c>
      <c r="BO146" s="93">
        <v>2.1666666666666667E-2</v>
      </c>
      <c r="BP146" s="93">
        <v>4.3333333333333335E-2</v>
      </c>
      <c r="BQ146" s="93">
        <v>6.5000000000000002E-2</v>
      </c>
      <c r="BR146" s="93"/>
      <c r="BS146" s="93"/>
      <c r="BT146" s="93"/>
      <c r="BU146" s="27">
        <f t="shared" si="95"/>
        <v>0</v>
      </c>
      <c r="BV146" s="27"/>
      <c r="BW146" s="27"/>
      <c r="BX146" s="27"/>
      <c r="BY146" s="27"/>
      <c r="BZ146" s="27"/>
      <c r="CA146" s="27"/>
      <c r="CB146" s="97">
        <v>0.5</v>
      </c>
      <c r="CC146" s="97">
        <v>1</v>
      </c>
      <c r="CD146" s="97">
        <f t="shared" si="135"/>
        <v>2.2599999999999998</v>
      </c>
      <c r="CE146" s="97">
        <f t="shared" si="135"/>
        <v>2.2799999999999998</v>
      </c>
      <c r="CF146" s="97">
        <f t="shared" si="135"/>
        <v>2.2899999999999996</v>
      </c>
      <c r="CG146" s="97">
        <f t="shared" si="135"/>
        <v>2.2899999999999996</v>
      </c>
      <c r="CH146" s="97">
        <f t="shared" si="135"/>
        <v>2.2799999999999998</v>
      </c>
      <c r="CI146" s="173"/>
      <c r="CJ146" s="173"/>
      <c r="CK146" s="173"/>
      <c r="CL146" s="173"/>
      <c r="CM146" s="173"/>
      <c r="CN146" s="173"/>
      <c r="CO146" s="173"/>
      <c r="CP146" s="174"/>
      <c r="CQ146" s="174"/>
      <c r="CR146" s="174"/>
      <c r="CS146" s="174"/>
      <c r="CT146" s="174"/>
      <c r="CU146" s="174"/>
      <c r="CV146" s="174"/>
      <c r="CW146" s="165"/>
      <c r="CX146" s="166"/>
      <c r="CY146" s="166"/>
      <c r="CZ146" s="166"/>
      <c r="DA146" s="166"/>
      <c r="DB146" s="166"/>
      <c r="DC146" s="166"/>
      <c r="DD146" s="171"/>
      <c r="DE146" s="171"/>
      <c r="DF146" s="171"/>
      <c r="DG146" s="171"/>
      <c r="DH146" s="171"/>
      <c r="DI146" s="171"/>
      <c r="DJ146" s="171"/>
      <c r="DK146" s="79" t="s">
        <v>699</v>
      </c>
      <c r="DL146" s="128">
        <f>ROUNDUP(VLOOKUP($F146,Activities!$A$9:$I$180,3,FALSE)/$AI146,2)</f>
        <v>2.1199999999999997</v>
      </c>
      <c r="DM146" s="128">
        <f>ROUNDUP(VLOOKUP($F146,Activities!$A$9:$I$180,4,FALSE)/$AI146,2)</f>
        <v>2.21</v>
      </c>
      <c r="DN146" s="128">
        <f>ROUNDUP(VLOOKUP($F146,Activities!$A$9:$I$180,5,FALSE)/$AI146,2)</f>
        <v>2.2599999999999998</v>
      </c>
      <c r="DO146" s="128">
        <f>ROUNDUP(VLOOKUP($F146,Activities!$A$9:$I$180,6,FALSE)/$AI146,2)</f>
        <v>2.2799999999999998</v>
      </c>
      <c r="DP146" s="128">
        <f>ROUNDUP(VLOOKUP($F146,Activities!$A$9:$I$180,7,FALSE)/$AI146,2)</f>
        <v>2.2899999999999996</v>
      </c>
      <c r="DQ146" s="128">
        <f>ROUNDUP(VLOOKUP($F146,Activities!$A$9:$I$180,8,FALSE)/$AI146,2)</f>
        <v>2.2899999999999996</v>
      </c>
      <c r="DR146" s="128">
        <f>ROUNDUP(VLOOKUP($F146,Activities!$A$9:$I$180,9,FALSE)/$AI146,2)</f>
        <v>2.2799999999999998</v>
      </c>
      <c r="DS146" s="218"/>
      <c r="DT146" s="360"/>
      <c r="DU146" s="360"/>
      <c r="DV146" s="360"/>
      <c r="DW146" s="360"/>
      <c r="DX146" s="360"/>
      <c r="DY146" s="360"/>
      <c r="DZ146" s="360"/>
      <c r="EA146" s="360"/>
      <c r="EB146" s="360"/>
      <c r="EC146" s="360"/>
      <c r="ED146" s="360"/>
      <c r="EE146" s="360"/>
      <c r="EF146" s="360"/>
      <c r="EG146" s="360"/>
      <c r="EH146" s="360"/>
      <c r="EI146" s="360"/>
      <c r="EJ146" s="360"/>
      <c r="EK146" s="360"/>
      <c r="EL146" s="360"/>
      <c r="EM146" s="360"/>
      <c r="EN146" s="360"/>
      <c r="EO146" s="360"/>
      <c r="EP146" s="360"/>
      <c r="EQ146" s="360"/>
    </row>
    <row r="147" spans="1:147" x14ac:dyDescent="0.35">
      <c r="A147" s="6" t="s">
        <v>1036</v>
      </c>
      <c r="B147" s="6" t="s">
        <v>734</v>
      </c>
      <c r="C147" s="6" t="s">
        <v>655</v>
      </c>
      <c r="D147" s="6" t="s">
        <v>1029</v>
      </c>
      <c r="E147" s="6" t="s">
        <v>1030</v>
      </c>
      <c r="F147" s="6" t="s">
        <v>383</v>
      </c>
      <c r="G147" s="48" t="s">
        <v>1037</v>
      </c>
      <c r="H147" s="48" t="s">
        <v>1032</v>
      </c>
      <c r="I147" s="102">
        <v>5833.12</v>
      </c>
      <c r="J147" s="102">
        <v>5833.12</v>
      </c>
      <c r="K147" s="102">
        <v>5833.12</v>
      </c>
      <c r="L147" s="102">
        <v>5833.12</v>
      </c>
      <c r="M147" s="102">
        <v>5833.12</v>
      </c>
      <c r="N147" s="102">
        <v>5833.12</v>
      </c>
      <c r="O147" s="102">
        <v>5833.12</v>
      </c>
      <c r="P147" s="94">
        <v>0</v>
      </c>
      <c r="Q147" s="102">
        <v>1946.65</v>
      </c>
      <c r="R147" s="102">
        <v>1946.65</v>
      </c>
      <c r="S147" s="102">
        <v>1946.65</v>
      </c>
      <c r="T147" s="102">
        <v>1946.65</v>
      </c>
      <c r="U147" s="102">
        <v>1946.65</v>
      </c>
      <c r="V147" s="102">
        <v>1946.65</v>
      </c>
      <c r="W147" s="102">
        <v>1946.65</v>
      </c>
      <c r="X147" s="102">
        <v>0</v>
      </c>
      <c r="Y147" s="102">
        <v>0</v>
      </c>
      <c r="Z147" s="102">
        <v>0</v>
      </c>
      <c r="AA147" s="102">
        <v>0</v>
      </c>
      <c r="AB147" s="102">
        <v>0</v>
      </c>
      <c r="AC147" s="102">
        <v>0</v>
      </c>
      <c r="AD147" s="102">
        <v>0</v>
      </c>
      <c r="AE147" s="186">
        <v>0.08</v>
      </c>
      <c r="AF147" s="94">
        <v>0</v>
      </c>
      <c r="AG147" s="94">
        <v>15</v>
      </c>
      <c r="AH147" s="94">
        <v>15</v>
      </c>
      <c r="AI147" s="17">
        <v>11.1</v>
      </c>
      <c r="AJ147" s="17" t="s">
        <v>660</v>
      </c>
      <c r="AK147" s="17" t="s">
        <v>745</v>
      </c>
      <c r="AL147" s="17"/>
      <c r="AM147" s="61"/>
      <c r="AN147" s="61"/>
      <c r="AO147" s="61"/>
      <c r="AP147" s="61"/>
      <c r="AQ147" s="61"/>
      <c r="AR147" s="61"/>
      <c r="AS147" s="64"/>
      <c r="AT147" s="64"/>
      <c r="AU147" s="64"/>
      <c r="AV147" s="132"/>
      <c r="AW147" s="132"/>
      <c r="AX147" s="132"/>
      <c r="AY147" s="28" t="s">
        <v>662</v>
      </c>
      <c r="AZ147" s="28"/>
      <c r="BA147" s="28"/>
      <c r="BB147" s="28"/>
      <c r="BC147" s="28"/>
      <c r="BD147" s="28"/>
      <c r="BE147" s="28"/>
      <c r="BF147" s="28"/>
      <c r="BG147" s="28"/>
      <c r="BH147" s="106"/>
      <c r="BI147" s="106"/>
      <c r="BJ147" s="106"/>
      <c r="BK147" s="106"/>
      <c r="BL147" s="137"/>
      <c r="BM147" s="123"/>
      <c r="BN147" s="196">
        <f>DL147-SUM(BN148:BN157)</f>
        <v>5.6199999999999992</v>
      </c>
      <c r="BO147" s="94">
        <v>0.65</v>
      </c>
      <c r="BP147" s="94">
        <v>0.35</v>
      </c>
      <c r="BQ147" s="94"/>
      <c r="BR147" s="94"/>
      <c r="BS147" s="94"/>
      <c r="BT147" s="94"/>
      <c r="BU147" s="28">
        <f t="shared" si="95"/>
        <v>0</v>
      </c>
      <c r="BV147" s="28"/>
      <c r="BW147" s="28"/>
      <c r="BX147" s="28"/>
      <c r="BY147" s="28"/>
      <c r="BZ147" s="28"/>
      <c r="CA147" s="28"/>
      <c r="CB147" s="99">
        <f t="shared" ref="CB147:CC151" si="136">DL147</f>
        <v>9.26</v>
      </c>
      <c r="CC147" s="99">
        <f t="shared" si="136"/>
        <v>9.66</v>
      </c>
      <c r="CD147" s="99">
        <f t="shared" si="135"/>
        <v>9.8699999999999992</v>
      </c>
      <c r="CE147" s="99">
        <f t="shared" si="135"/>
        <v>9.99</v>
      </c>
      <c r="CF147" s="99">
        <f t="shared" si="135"/>
        <v>10.029999999999999</v>
      </c>
      <c r="CG147" s="99">
        <f t="shared" si="135"/>
        <v>10.02</v>
      </c>
      <c r="CH147" s="99">
        <f t="shared" si="135"/>
        <v>9.98</v>
      </c>
      <c r="CI147" s="175"/>
      <c r="CJ147" s="175"/>
      <c r="CK147" s="175"/>
      <c r="CL147" s="175"/>
      <c r="CM147" s="175"/>
      <c r="CN147" s="175"/>
      <c r="CO147" s="175"/>
      <c r="CP147" s="176"/>
      <c r="CQ147" s="176"/>
      <c r="CR147" s="176"/>
      <c r="CS147" s="176"/>
      <c r="CT147" s="176"/>
      <c r="CU147" s="176"/>
      <c r="CV147" s="176"/>
      <c r="CW147" s="167"/>
      <c r="CX147" s="168"/>
      <c r="CY147" s="168"/>
      <c r="CZ147" s="168"/>
      <c r="DA147" s="168"/>
      <c r="DB147" s="168"/>
      <c r="DC147" s="168"/>
      <c r="DD147" s="172"/>
      <c r="DE147" s="172"/>
      <c r="DF147" s="172"/>
      <c r="DG147" s="172"/>
      <c r="DH147" s="172"/>
      <c r="DI147" s="172"/>
      <c r="DJ147" s="172"/>
      <c r="DK147" s="80" t="s">
        <v>699</v>
      </c>
      <c r="DL147" s="129">
        <f>ROUNDUP(VLOOKUP($F147,Activities!$A$9:$I$180,3,FALSE)/$AI147,2)</f>
        <v>9.26</v>
      </c>
      <c r="DM147" s="129">
        <f>ROUNDUP(VLOOKUP($F147,Activities!$A$9:$I$180,4,FALSE)/$AI147,2)</f>
        <v>9.66</v>
      </c>
      <c r="DN147" s="129">
        <f>ROUNDUP(VLOOKUP($F147,Activities!$A$9:$I$180,5,FALSE)/$AI147,2)</f>
        <v>9.8699999999999992</v>
      </c>
      <c r="DO147" s="129">
        <f>ROUNDUP(VLOOKUP($F147,Activities!$A$9:$I$180,6,FALSE)/$AI147,2)</f>
        <v>9.99</v>
      </c>
      <c r="DP147" s="129">
        <f>ROUNDUP(VLOOKUP($F147,Activities!$A$9:$I$180,7,FALSE)/$AI147,2)</f>
        <v>10.029999999999999</v>
      </c>
      <c r="DQ147" s="129">
        <f>ROUNDUP(VLOOKUP($F147,Activities!$A$9:$I$180,8,FALSE)/$AI147,2)</f>
        <v>10.02</v>
      </c>
      <c r="DR147" s="129">
        <f>ROUNDUP(VLOOKUP($F147,Activities!$A$9:$I$180,9,FALSE)/$AI147,2)</f>
        <v>9.98</v>
      </c>
      <c r="DS147" s="218"/>
      <c r="DT147" s="360"/>
      <c r="DU147" s="360"/>
      <c r="DV147" s="360"/>
      <c r="DW147" s="360"/>
      <c r="DX147" s="360"/>
      <c r="DY147" s="360"/>
      <c r="DZ147" s="360"/>
      <c r="EA147" s="360"/>
      <c r="EB147" s="360"/>
      <c r="EC147" s="360"/>
      <c r="ED147" s="360"/>
      <c r="EE147" s="360"/>
      <c r="EF147" s="360"/>
      <c r="EG147" s="360"/>
      <c r="EH147" s="360"/>
      <c r="EI147" s="360"/>
      <c r="EJ147" s="360"/>
      <c r="EK147" s="360"/>
      <c r="EL147" s="360"/>
      <c r="EM147" s="360"/>
      <c r="EN147" s="360"/>
      <c r="EO147" s="360"/>
      <c r="EP147" s="360"/>
      <c r="EQ147" s="360"/>
    </row>
    <row r="148" spans="1:147" x14ac:dyDescent="0.35">
      <c r="A148" s="5" t="s">
        <v>1038</v>
      </c>
      <c r="B148" s="5" t="s">
        <v>734</v>
      </c>
      <c r="C148" s="5" t="s">
        <v>655</v>
      </c>
      <c r="D148" s="5" t="s">
        <v>1029</v>
      </c>
      <c r="E148" s="5" t="s">
        <v>1030</v>
      </c>
      <c r="F148" s="5" t="s">
        <v>383</v>
      </c>
      <c r="G148" s="47" t="s">
        <v>1039</v>
      </c>
      <c r="H148" s="47" t="s">
        <v>1032</v>
      </c>
      <c r="I148" s="101">
        <v>9880.9500000000007</v>
      </c>
      <c r="J148" s="101">
        <v>8461.91</v>
      </c>
      <c r="K148" s="101">
        <v>7113.81</v>
      </c>
      <c r="L148" s="101">
        <v>5833.12</v>
      </c>
      <c r="M148" s="101">
        <v>5833.12</v>
      </c>
      <c r="N148" s="101">
        <v>5833.12</v>
      </c>
      <c r="O148" s="101">
        <v>5833.12</v>
      </c>
      <c r="P148" s="93">
        <v>0</v>
      </c>
      <c r="Q148" s="101">
        <v>1946.65</v>
      </c>
      <c r="R148" s="101">
        <v>1946.65</v>
      </c>
      <c r="S148" s="101">
        <v>1946.65</v>
      </c>
      <c r="T148" s="101">
        <v>1946.65</v>
      </c>
      <c r="U148" s="101">
        <v>1946.65</v>
      </c>
      <c r="V148" s="101">
        <v>1946.65</v>
      </c>
      <c r="W148" s="101">
        <v>1946.65</v>
      </c>
      <c r="X148" s="101">
        <v>0</v>
      </c>
      <c r="Y148" s="101">
        <v>0</v>
      </c>
      <c r="Z148" s="101">
        <v>0</v>
      </c>
      <c r="AA148" s="101">
        <v>0</v>
      </c>
      <c r="AB148" s="101">
        <v>0</v>
      </c>
      <c r="AC148" s="101">
        <v>0</v>
      </c>
      <c r="AD148" s="101">
        <v>0</v>
      </c>
      <c r="AE148" s="186">
        <v>0.08</v>
      </c>
      <c r="AF148" s="93">
        <v>0</v>
      </c>
      <c r="AG148" s="93">
        <v>15</v>
      </c>
      <c r="AH148" s="93">
        <v>15</v>
      </c>
      <c r="AI148" s="16">
        <v>11.1</v>
      </c>
      <c r="AJ148" s="16" t="s">
        <v>660</v>
      </c>
      <c r="AK148" s="16" t="s">
        <v>745</v>
      </c>
      <c r="AL148" s="16"/>
      <c r="AM148" s="60"/>
      <c r="AN148" s="60"/>
      <c r="AO148" s="60"/>
      <c r="AP148" s="60"/>
      <c r="AQ148" s="60"/>
      <c r="AR148" s="60"/>
      <c r="AS148" s="63"/>
      <c r="AT148" s="63"/>
      <c r="AU148" s="63"/>
      <c r="AV148" s="131"/>
      <c r="AW148" s="131"/>
      <c r="AX148" s="131"/>
      <c r="AY148" s="27" t="s">
        <v>662</v>
      </c>
      <c r="AZ148" s="27"/>
      <c r="BA148" s="27"/>
      <c r="BB148" s="30"/>
      <c r="BC148" s="30"/>
      <c r="BD148" s="30"/>
      <c r="BE148" s="30"/>
      <c r="BF148" s="30"/>
      <c r="BG148" s="30"/>
      <c r="BH148" s="107"/>
      <c r="BI148" s="107"/>
      <c r="BJ148" s="107"/>
      <c r="BK148" s="107"/>
      <c r="BL148" s="136"/>
      <c r="BM148" s="122"/>
      <c r="BN148" s="138">
        <v>1.7</v>
      </c>
      <c r="BO148" s="93">
        <v>0.3</v>
      </c>
      <c r="BP148" s="93">
        <v>0.6</v>
      </c>
      <c r="BQ148" s="93">
        <v>0.8</v>
      </c>
      <c r="BR148" s="93"/>
      <c r="BS148" s="93"/>
      <c r="BT148" s="93"/>
      <c r="BU148" s="27">
        <f t="shared" si="95"/>
        <v>0</v>
      </c>
      <c r="BV148" s="27"/>
      <c r="BW148" s="27"/>
      <c r="BX148" s="27"/>
      <c r="BY148" s="27"/>
      <c r="BZ148" s="27"/>
      <c r="CA148" s="27"/>
      <c r="CB148" s="97">
        <f t="shared" si="136"/>
        <v>9.26</v>
      </c>
      <c r="CC148" s="97">
        <f t="shared" si="136"/>
        <v>9.66</v>
      </c>
      <c r="CD148" s="97">
        <f t="shared" si="135"/>
        <v>9.8699999999999992</v>
      </c>
      <c r="CE148" s="97">
        <f t="shared" si="135"/>
        <v>9.99</v>
      </c>
      <c r="CF148" s="97">
        <f t="shared" si="135"/>
        <v>10.029999999999999</v>
      </c>
      <c r="CG148" s="97">
        <f t="shared" si="135"/>
        <v>10.02</v>
      </c>
      <c r="CH148" s="97">
        <f t="shared" si="135"/>
        <v>9.98</v>
      </c>
      <c r="CI148" s="173"/>
      <c r="CJ148" s="173"/>
      <c r="CK148" s="173"/>
      <c r="CL148" s="173"/>
      <c r="CM148" s="173"/>
      <c r="CN148" s="173"/>
      <c r="CO148" s="173"/>
      <c r="CP148" s="174"/>
      <c r="CQ148" s="174"/>
      <c r="CR148" s="174"/>
      <c r="CS148" s="174"/>
      <c r="CT148" s="174"/>
      <c r="CU148" s="174"/>
      <c r="CV148" s="174"/>
      <c r="CW148" s="165"/>
      <c r="CX148" s="166"/>
      <c r="CY148" s="166"/>
      <c r="CZ148" s="166"/>
      <c r="DA148" s="166"/>
      <c r="DB148" s="166"/>
      <c r="DC148" s="166"/>
      <c r="DD148" s="171"/>
      <c r="DE148" s="171"/>
      <c r="DF148" s="171"/>
      <c r="DG148" s="171"/>
      <c r="DH148" s="171"/>
      <c r="DI148" s="171"/>
      <c r="DJ148" s="171"/>
      <c r="DK148" s="79" t="s">
        <v>1040</v>
      </c>
      <c r="DL148" s="128">
        <f>ROUNDUP(VLOOKUP($F148,Activities!$A$9:$I$180,3,FALSE)/$AI148,2)</f>
        <v>9.26</v>
      </c>
      <c r="DM148" s="128">
        <f>ROUNDUP(VLOOKUP($F148,Activities!$A$9:$I$180,4,FALSE)/$AI148,2)</f>
        <v>9.66</v>
      </c>
      <c r="DN148" s="128">
        <f>ROUNDUP(VLOOKUP($F148,Activities!$A$9:$I$180,5,FALSE)/$AI148,2)</f>
        <v>9.8699999999999992</v>
      </c>
      <c r="DO148" s="128">
        <f>ROUNDUP(VLOOKUP($F148,Activities!$A$9:$I$180,6,FALSE)/$AI148,2)</f>
        <v>9.99</v>
      </c>
      <c r="DP148" s="128">
        <f>ROUNDUP(VLOOKUP($F148,Activities!$A$9:$I$180,7,FALSE)/$AI148,2)</f>
        <v>10.029999999999999</v>
      </c>
      <c r="DQ148" s="128">
        <f>ROUNDUP(VLOOKUP($F148,Activities!$A$9:$I$180,8,FALSE)/$AI148,2)</f>
        <v>10.02</v>
      </c>
      <c r="DR148" s="128">
        <f>ROUNDUP(VLOOKUP($F148,Activities!$A$9:$I$180,9,FALSE)/$AI148,2)</f>
        <v>9.98</v>
      </c>
      <c r="DS148" s="218"/>
      <c r="DT148" s="360"/>
      <c r="DU148" s="360"/>
      <c r="DV148" s="360"/>
      <c r="DW148" s="360"/>
      <c r="DX148" s="360"/>
      <c r="DY148" s="360"/>
      <c r="DZ148" s="360"/>
      <c r="EA148" s="360"/>
      <c r="EB148" s="360"/>
      <c r="EC148" s="360"/>
      <c r="ED148" s="360"/>
      <c r="EE148" s="360"/>
      <c r="EF148" s="360"/>
      <c r="EG148" s="360"/>
      <c r="EH148" s="360"/>
      <c r="EI148" s="360"/>
      <c r="EJ148" s="360"/>
      <c r="EK148" s="360"/>
      <c r="EL148" s="360"/>
      <c r="EM148" s="360"/>
      <c r="EN148" s="360"/>
      <c r="EO148" s="360"/>
      <c r="EP148" s="360"/>
      <c r="EQ148" s="360"/>
    </row>
    <row r="149" spans="1:147" x14ac:dyDescent="0.35">
      <c r="A149" s="5" t="s">
        <v>1041</v>
      </c>
      <c r="B149" s="5" t="s">
        <v>734</v>
      </c>
      <c r="C149" s="5" t="s">
        <v>655</v>
      </c>
      <c r="D149" s="5" t="s">
        <v>1029</v>
      </c>
      <c r="E149" s="5" t="s">
        <v>1030</v>
      </c>
      <c r="F149" s="5" t="s">
        <v>383</v>
      </c>
      <c r="G149" s="47" t="s">
        <v>1042</v>
      </c>
      <c r="H149" s="47" t="s">
        <v>1032</v>
      </c>
      <c r="I149" s="101">
        <v>9880.9500000000007</v>
      </c>
      <c r="J149" s="101">
        <v>8461.91</v>
      </c>
      <c r="K149" s="101">
        <v>7113.81</v>
      </c>
      <c r="L149" s="101">
        <v>5833.12</v>
      </c>
      <c r="M149" s="101">
        <v>5833.12</v>
      </c>
      <c r="N149" s="101">
        <v>5833.12</v>
      </c>
      <c r="O149" s="101">
        <v>5833.12</v>
      </c>
      <c r="P149" s="93">
        <v>0</v>
      </c>
      <c r="Q149" s="101">
        <v>1946.65</v>
      </c>
      <c r="R149" s="101">
        <v>1946.65</v>
      </c>
      <c r="S149" s="101">
        <v>1946.65</v>
      </c>
      <c r="T149" s="101">
        <v>1946.65</v>
      </c>
      <c r="U149" s="101">
        <v>1946.65</v>
      </c>
      <c r="V149" s="101">
        <v>1946.65</v>
      </c>
      <c r="W149" s="101">
        <v>1946.65</v>
      </c>
      <c r="X149" s="101">
        <v>0</v>
      </c>
      <c r="Y149" s="101">
        <v>0</v>
      </c>
      <c r="Z149" s="101">
        <v>0</v>
      </c>
      <c r="AA149" s="101">
        <v>0</v>
      </c>
      <c r="AB149" s="101">
        <v>0</v>
      </c>
      <c r="AC149" s="101">
        <v>0</v>
      </c>
      <c r="AD149" s="101">
        <v>0</v>
      </c>
      <c r="AE149" s="186">
        <v>0.08</v>
      </c>
      <c r="AF149" s="93">
        <v>0</v>
      </c>
      <c r="AG149" s="93">
        <v>15</v>
      </c>
      <c r="AH149" s="93">
        <v>15</v>
      </c>
      <c r="AI149" s="16">
        <v>11.1</v>
      </c>
      <c r="AJ149" s="16" t="s">
        <v>660</v>
      </c>
      <c r="AK149" s="16" t="s">
        <v>745</v>
      </c>
      <c r="AL149" s="16"/>
      <c r="AM149" s="60"/>
      <c r="AN149" s="60"/>
      <c r="AO149" s="60"/>
      <c r="AP149" s="60"/>
      <c r="AQ149" s="60"/>
      <c r="AR149" s="60"/>
      <c r="AS149" s="63"/>
      <c r="AT149" s="63"/>
      <c r="AU149" s="63"/>
      <c r="AV149" s="131"/>
      <c r="AW149" s="131"/>
      <c r="AX149" s="131"/>
      <c r="AY149" s="27" t="s">
        <v>662</v>
      </c>
      <c r="AZ149" s="27"/>
      <c r="BA149" s="27"/>
      <c r="BB149" s="30"/>
      <c r="BC149" s="30"/>
      <c r="BD149" s="30"/>
      <c r="BE149" s="30"/>
      <c r="BF149" s="30"/>
      <c r="BG149" s="30"/>
      <c r="BH149" s="107"/>
      <c r="BI149" s="107"/>
      <c r="BJ149" s="107"/>
      <c r="BK149" s="107"/>
      <c r="BL149" s="194"/>
      <c r="BM149" s="122"/>
      <c r="BN149" s="138">
        <v>1.7</v>
      </c>
      <c r="BO149" s="93">
        <v>0.3</v>
      </c>
      <c r="BP149" s="93">
        <v>0.6</v>
      </c>
      <c r="BQ149" s="93">
        <v>0.8</v>
      </c>
      <c r="BR149" s="93"/>
      <c r="BS149" s="93"/>
      <c r="BT149" s="93"/>
      <c r="BU149" s="27">
        <f t="shared" ref="BU149" si="137">IF(BL149=1,BN149,0)</f>
        <v>0</v>
      </c>
      <c r="BV149" s="27"/>
      <c r="BW149" s="27"/>
      <c r="BX149" s="27"/>
      <c r="BY149" s="27"/>
      <c r="BZ149" s="27"/>
      <c r="CA149" s="27"/>
      <c r="CB149" s="97">
        <f t="shared" ref="CB149" si="138">DL149</f>
        <v>9.26</v>
      </c>
      <c r="CC149" s="97">
        <f t="shared" ref="CC149" si="139">DM149</f>
        <v>9.66</v>
      </c>
      <c r="CD149" s="97">
        <f t="shared" ref="CD149" si="140">DN149</f>
        <v>9.8699999999999992</v>
      </c>
      <c r="CE149" s="97">
        <f t="shared" ref="CE149" si="141">DO149</f>
        <v>9.99</v>
      </c>
      <c r="CF149" s="97">
        <f t="shared" ref="CF149" si="142">DP149</f>
        <v>10.029999999999999</v>
      </c>
      <c r="CG149" s="97">
        <f t="shared" ref="CG149" si="143">DQ149</f>
        <v>10.02</v>
      </c>
      <c r="CH149" s="97">
        <f t="shared" ref="CH149" si="144">DR149</f>
        <v>9.98</v>
      </c>
      <c r="CI149" s="173"/>
      <c r="CJ149" s="173"/>
      <c r="CK149" s="173"/>
      <c r="CL149" s="173"/>
      <c r="CM149" s="173"/>
      <c r="CN149" s="173"/>
      <c r="CO149" s="173"/>
      <c r="CP149" s="174"/>
      <c r="CQ149" s="174"/>
      <c r="CR149" s="174"/>
      <c r="CS149" s="174"/>
      <c r="CT149" s="174"/>
      <c r="CU149" s="174"/>
      <c r="CV149" s="174"/>
      <c r="CW149" s="165"/>
      <c r="CX149" s="166"/>
      <c r="CY149" s="166"/>
      <c r="CZ149" s="166"/>
      <c r="DA149" s="166"/>
      <c r="DB149" s="166"/>
      <c r="DC149" s="166"/>
      <c r="DD149" s="171"/>
      <c r="DE149" s="171"/>
      <c r="DF149" s="171"/>
      <c r="DG149" s="171"/>
      <c r="DH149" s="171"/>
      <c r="DI149" s="171"/>
      <c r="DJ149" s="171"/>
      <c r="DK149" s="79" t="s">
        <v>1040</v>
      </c>
      <c r="DL149" s="128">
        <f>ROUNDUP(VLOOKUP($F149,Activities!$A$9:$I$180,3,FALSE)/$AI149,2)</f>
        <v>9.26</v>
      </c>
      <c r="DM149" s="128">
        <f>ROUNDUP(VLOOKUP($F149,Activities!$A$9:$I$180,4,FALSE)/$AI149,2)</f>
        <v>9.66</v>
      </c>
      <c r="DN149" s="128">
        <f>ROUNDUP(VLOOKUP($F149,Activities!$A$9:$I$180,5,FALSE)/$AI149,2)</f>
        <v>9.8699999999999992</v>
      </c>
      <c r="DO149" s="128">
        <f>ROUNDUP(VLOOKUP($F149,Activities!$A$9:$I$180,6,FALSE)/$AI149,2)</f>
        <v>9.99</v>
      </c>
      <c r="DP149" s="128">
        <f>ROUNDUP(VLOOKUP($F149,Activities!$A$9:$I$180,7,FALSE)/$AI149,2)</f>
        <v>10.029999999999999</v>
      </c>
      <c r="DQ149" s="128">
        <f>ROUNDUP(VLOOKUP($F149,Activities!$A$9:$I$180,8,FALSE)/$AI149,2)</f>
        <v>10.02</v>
      </c>
      <c r="DR149" s="128">
        <f>ROUNDUP(VLOOKUP($F149,Activities!$A$9:$I$180,9,FALSE)/$AI149,2)</f>
        <v>9.98</v>
      </c>
      <c r="DS149" s="218"/>
      <c r="DT149" s="360"/>
      <c r="DU149" s="360"/>
      <c r="DV149" s="360"/>
      <c r="DW149" s="360"/>
      <c r="DX149" s="360"/>
      <c r="DY149" s="360"/>
      <c r="DZ149" s="360"/>
      <c r="EA149" s="360"/>
      <c r="EB149" s="360"/>
      <c r="EC149" s="360"/>
      <c r="ED149" s="360"/>
      <c r="EE149" s="360"/>
      <c r="EF149" s="360"/>
      <c r="EG149" s="360"/>
      <c r="EH149" s="360"/>
      <c r="EI149" s="360"/>
      <c r="EJ149" s="360"/>
      <c r="EK149" s="360"/>
      <c r="EL149" s="360"/>
      <c r="EM149" s="360"/>
      <c r="EN149" s="360"/>
      <c r="EO149" s="360"/>
      <c r="EP149" s="360"/>
      <c r="EQ149" s="360"/>
    </row>
    <row r="150" spans="1:147" x14ac:dyDescent="0.35">
      <c r="A150" s="5" t="s">
        <v>1043</v>
      </c>
      <c r="B150" s="5" t="s">
        <v>734</v>
      </c>
      <c r="C150" s="5" t="s">
        <v>655</v>
      </c>
      <c r="D150" s="5" t="s">
        <v>1029</v>
      </c>
      <c r="E150" s="5" t="s">
        <v>1030</v>
      </c>
      <c r="F150" s="5" t="s">
        <v>383</v>
      </c>
      <c r="G150" s="47" t="s">
        <v>1044</v>
      </c>
      <c r="H150" s="47" t="s">
        <v>1032</v>
      </c>
      <c r="I150" s="101">
        <v>9880.9500000000007</v>
      </c>
      <c r="J150" s="101">
        <v>8461.91</v>
      </c>
      <c r="K150" s="101">
        <v>7113.81</v>
      </c>
      <c r="L150" s="101">
        <v>5833.12</v>
      </c>
      <c r="M150" s="101">
        <v>5833.12</v>
      </c>
      <c r="N150" s="101">
        <v>5833.12</v>
      </c>
      <c r="O150" s="101">
        <v>5833.12</v>
      </c>
      <c r="P150" s="93">
        <v>0</v>
      </c>
      <c r="Q150" s="101">
        <v>1946.65</v>
      </c>
      <c r="R150" s="101">
        <v>1946.65</v>
      </c>
      <c r="S150" s="101">
        <v>1946.65</v>
      </c>
      <c r="T150" s="101">
        <v>1946.65</v>
      </c>
      <c r="U150" s="101">
        <v>1946.65</v>
      </c>
      <c r="V150" s="101">
        <v>1946.65</v>
      </c>
      <c r="W150" s="101">
        <v>1946.65</v>
      </c>
      <c r="X150" s="101">
        <v>0</v>
      </c>
      <c r="Y150" s="101">
        <v>0</v>
      </c>
      <c r="Z150" s="101">
        <v>0</v>
      </c>
      <c r="AA150" s="101">
        <v>0</v>
      </c>
      <c r="AB150" s="101">
        <v>0</v>
      </c>
      <c r="AC150" s="101">
        <v>0</v>
      </c>
      <c r="AD150" s="101">
        <v>0</v>
      </c>
      <c r="AE150" s="186">
        <v>0.08</v>
      </c>
      <c r="AF150" s="93">
        <v>0</v>
      </c>
      <c r="AG150" s="93">
        <v>15</v>
      </c>
      <c r="AH150" s="93">
        <v>15</v>
      </c>
      <c r="AI150" s="16">
        <v>11.1</v>
      </c>
      <c r="AJ150" s="16" t="s">
        <v>660</v>
      </c>
      <c r="AK150" s="16" t="s">
        <v>745</v>
      </c>
      <c r="AL150" s="16"/>
      <c r="AM150" s="60"/>
      <c r="AN150" s="60"/>
      <c r="AO150" s="60"/>
      <c r="AP150" s="60"/>
      <c r="AQ150" s="60"/>
      <c r="AR150" s="60"/>
      <c r="AS150" s="63"/>
      <c r="AT150" s="63"/>
      <c r="AU150" s="63"/>
      <c r="AV150" s="131"/>
      <c r="AW150" s="131"/>
      <c r="AX150" s="131"/>
      <c r="AY150" s="27" t="s">
        <v>662</v>
      </c>
      <c r="AZ150" s="27"/>
      <c r="BA150" s="27"/>
      <c r="BB150" s="30"/>
      <c r="BC150" s="30"/>
      <c r="BD150" s="30"/>
      <c r="BE150" s="30"/>
      <c r="BF150" s="30"/>
      <c r="BG150" s="30"/>
      <c r="BH150" s="107"/>
      <c r="BI150" s="107"/>
      <c r="BJ150" s="107"/>
      <c r="BK150" s="107"/>
      <c r="BL150" s="194"/>
      <c r="BM150" s="122"/>
      <c r="BN150" s="138">
        <v>0</v>
      </c>
      <c r="BO150" s="138">
        <v>0</v>
      </c>
      <c r="BP150" s="138">
        <v>0</v>
      </c>
      <c r="BQ150" s="138">
        <v>0</v>
      </c>
      <c r="BR150" s="93"/>
      <c r="BS150" s="93"/>
      <c r="BT150" s="93"/>
      <c r="BU150" s="27">
        <f t="shared" ref="BU150" si="145">IF(BL150=1,BN150,0)</f>
        <v>0</v>
      </c>
      <c r="BV150" s="27"/>
      <c r="BW150" s="27"/>
      <c r="BX150" s="27"/>
      <c r="BY150" s="27"/>
      <c r="BZ150" s="27"/>
      <c r="CA150" s="27"/>
      <c r="CB150" s="97">
        <f t="shared" ref="CB150" si="146">DL150</f>
        <v>9.26</v>
      </c>
      <c r="CC150" s="97">
        <f t="shared" ref="CC150" si="147">DM150</f>
        <v>9.66</v>
      </c>
      <c r="CD150" s="97">
        <f t="shared" ref="CD150" si="148">DN150</f>
        <v>9.8699999999999992</v>
      </c>
      <c r="CE150" s="97">
        <f t="shared" ref="CE150" si="149">DO150</f>
        <v>9.99</v>
      </c>
      <c r="CF150" s="97">
        <f t="shared" ref="CF150" si="150">DP150</f>
        <v>10.029999999999999</v>
      </c>
      <c r="CG150" s="97">
        <f t="shared" ref="CG150" si="151">DQ150</f>
        <v>10.02</v>
      </c>
      <c r="CH150" s="97">
        <f t="shared" ref="CH150" si="152">DR150</f>
        <v>9.98</v>
      </c>
      <c r="CI150" s="173"/>
      <c r="CJ150" s="173"/>
      <c r="CK150" s="173"/>
      <c r="CL150" s="173"/>
      <c r="CM150" s="173"/>
      <c r="CN150" s="173"/>
      <c r="CO150" s="173"/>
      <c r="CP150" s="174"/>
      <c r="CQ150" s="174"/>
      <c r="CR150" s="174"/>
      <c r="CS150" s="174"/>
      <c r="CT150" s="174"/>
      <c r="CU150" s="174"/>
      <c r="CV150" s="174"/>
      <c r="CW150" s="165"/>
      <c r="CX150" s="166"/>
      <c r="CY150" s="166"/>
      <c r="CZ150" s="166"/>
      <c r="DA150" s="166"/>
      <c r="DB150" s="166"/>
      <c r="DC150" s="166"/>
      <c r="DD150" s="171"/>
      <c r="DE150" s="171"/>
      <c r="DF150" s="171"/>
      <c r="DG150" s="171"/>
      <c r="DH150" s="171"/>
      <c r="DI150" s="171"/>
      <c r="DJ150" s="171"/>
      <c r="DK150" s="79" t="s">
        <v>1040</v>
      </c>
      <c r="DL150" s="128">
        <f>ROUNDUP(VLOOKUP($F150,Activities!$A$9:$I$180,3,FALSE)/$AI150,2)</f>
        <v>9.26</v>
      </c>
      <c r="DM150" s="128">
        <f>ROUNDUP(VLOOKUP($F150,Activities!$A$9:$I$180,4,FALSE)/$AI150,2)</f>
        <v>9.66</v>
      </c>
      <c r="DN150" s="128">
        <f>ROUNDUP(VLOOKUP($F150,Activities!$A$9:$I$180,5,FALSE)/$AI150,2)</f>
        <v>9.8699999999999992</v>
      </c>
      <c r="DO150" s="128">
        <f>ROUNDUP(VLOOKUP($F150,Activities!$A$9:$I$180,6,FALSE)/$AI150,2)</f>
        <v>9.99</v>
      </c>
      <c r="DP150" s="128">
        <f>ROUNDUP(VLOOKUP($F150,Activities!$A$9:$I$180,7,FALSE)/$AI150,2)</f>
        <v>10.029999999999999</v>
      </c>
      <c r="DQ150" s="128">
        <f>ROUNDUP(VLOOKUP($F150,Activities!$A$9:$I$180,8,FALSE)/$AI150,2)</f>
        <v>10.02</v>
      </c>
      <c r="DR150" s="128">
        <f>ROUNDUP(VLOOKUP($F150,Activities!$A$9:$I$180,9,FALSE)/$AI150,2)</f>
        <v>9.98</v>
      </c>
      <c r="DS150" s="218"/>
      <c r="DT150" s="360"/>
      <c r="DU150" s="360"/>
      <c r="DV150" s="360"/>
      <c r="DW150" s="360"/>
      <c r="DX150" s="360"/>
      <c r="DY150" s="360"/>
      <c r="DZ150" s="360"/>
      <c r="EA150" s="360"/>
      <c r="EB150" s="360"/>
      <c r="EC150" s="360"/>
      <c r="ED150" s="360"/>
      <c r="EE150" s="360"/>
      <c r="EF150" s="360"/>
      <c r="EG150" s="360"/>
      <c r="EH150" s="360"/>
      <c r="EI150" s="360"/>
      <c r="EJ150" s="360"/>
      <c r="EK150" s="360"/>
      <c r="EL150" s="360"/>
      <c r="EM150" s="360"/>
      <c r="EN150" s="360"/>
      <c r="EO150" s="360"/>
      <c r="EP150" s="360"/>
      <c r="EQ150" s="360"/>
    </row>
    <row r="151" spans="1:147" x14ac:dyDescent="0.35">
      <c r="A151" s="6" t="s">
        <v>1045</v>
      </c>
      <c r="B151" s="6" t="s">
        <v>734</v>
      </c>
      <c r="C151" s="6" t="s">
        <v>655</v>
      </c>
      <c r="D151" s="6" t="s">
        <v>1029</v>
      </c>
      <c r="E151" s="6" t="s">
        <v>1030</v>
      </c>
      <c r="F151" s="6" t="s">
        <v>383</v>
      </c>
      <c r="G151" s="48" t="s">
        <v>1046</v>
      </c>
      <c r="H151" s="48" t="s">
        <v>1032</v>
      </c>
      <c r="I151" s="102">
        <v>12180.12</v>
      </c>
      <c r="J151" s="102">
        <v>10646.11</v>
      </c>
      <c r="K151" s="102">
        <v>9188.81</v>
      </c>
      <c r="L151" s="102">
        <v>7804.37</v>
      </c>
      <c r="M151" s="102">
        <v>6489.15</v>
      </c>
      <c r="N151" s="102">
        <v>5239.6899999999996</v>
      </c>
      <c r="O151" s="102">
        <v>4052.71</v>
      </c>
      <c r="P151" s="94">
        <v>0</v>
      </c>
      <c r="Q151" s="102">
        <v>1946.65</v>
      </c>
      <c r="R151" s="102">
        <v>1946.65</v>
      </c>
      <c r="S151" s="102">
        <v>1946.65</v>
      </c>
      <c r="T151" s="102">
        <v>1946.65</v>
      </c>
      <c r="U151" s="102">
        <v>1946.65</v>
      </c>
      <c r="V151" s="102">
        <v>1946.65</v>
      </c>
      <c r="W151" s="102">
        <v>1946.65</v>
      </c>
      <c r="X151" s="102">
        <v>0</v>
      </c>
      <c r="Y151" s="102">
        <v>0</v>
      </c>
      <c r="Z151" s="102">
        <v>0</v>
      </c>
      <c r="AA151" s="102">
        <v>0</v>
      </c>
      <c r="AB151" s="102">
        <v>0</v>
      </c>
      <c r="AC151" s="102">
        <v>0</v>
      </c>
      <c r="AD151" s="102">
        <v>0</v>
      </c>
      <c r="AE151" s="186">
        <v>0.08</v>
      </c>
      <c r="AF151" s="94">
        <v>0</v>
      </c>
      <c r="AG151" s="94">
        <v>15</v>
      </c>
      <c r="AH151" s="94">
        <v>15</v>
      </c>
      <c r="AI151" s="17">
        <v>11.1</v>
      </c>
      <c r="AJ151" s="17" t="s">
        <v>660</v>
      </c>
      <c r="AK151" s="17" t="s">
        <v>745</v>
      </c>
      <c r="AL151" s="17"/>
      <c r="AM151" s="61"/>
      <c r="AN151" s="61"/>
      <c r="AO151" s="61"/>
      <c r="AP151" s="61"/>
      <c r="AQ151" s="61"/>
      <c r="AR151" s="61"/>
      <c r="AS151" s="64"/>
      <c r="AT151" s="64"/>
      <c r="AU151" s="64"/>
      <c r="AV151" s="132"/>
      <c r="AW151" s="132"/>
      <c r="AX151" s="132"/>
      <c r="AY151" s="28" t="s">
        <v>662</v>
      </c>
      <c r="AZ151" s="28"/>
      <c r="BA151" s="28"/>
      <c r="BB151" s="28"/>
      <c r="BC151" s="28"/>
      <c r="BD151" s="28"/>
      <c r="BE151" s="28"/>
      <c r="BF151" s="28"/>
      <c r="BG151" s="28"/>
      <c r="BH151" s="106"/>
      <c r="BI151" s="106"/>
      <c r="BJ151" s="106"/>
      <c r="BK151" s="106"/>
      <c r="BL151" s="194"/>
      <c r="BM151" s="123"/>
      <c r="BN151" s="139">
        <v>0.04</v>
      </c>
      <c r="BO151" s="94">
        <v>0.01</v>
      </c>
      <c r="BP151" s="94">
        <v>0.01</v>
      </c>
      <c r="BQ151" s="94">
        <v>0.02</v>
      </c>
      <c r="BR151" s="94"/>
      <c r="BS151" s="94"/>
      <c r="BT151" s="94"/>
      <c r="BU151" s="28">
        <f t="shared" si="95"/>
        <v>0</v>
      </c>
      <c r="BV151" s="28"/>
      <c r="BW151" s="28"/>
      <c r="BX151" s="28"/>
      <c r="BY151" s="28"/>
      <c r="BZ151" s="28"/>
      <c r="CA151" s="28"/>
      <c r="CB151" s="99">
        <f t="shared" si="136"/>
        <v>9.26</v>
      </c>
      <c r="CC151" s="99">
        <f t="shared" si="136"/>
        <v>9.66</v>
      </c>
      <c r="CD151" s="99">
        <f t="shared" si="135"/>
        <v>9.8699999999999992</v>
      </c>
      <c r="CE151" s="99">
        <f t="shared" si="135"/>
        <v>9.99</v>
      </c>
      <c r="CF151" s="99">
        <f t="shared" si="135"/>
        <v>10.029999999999999</v>
      </c>
      <c r="CG151" s="99">
        <f t="shared" si="135"/>
        <v>10.02</v>
      </c>
      <c r="CH151" s="99">
        <f t="shared" si="135"/>
        <v>9.98</v>
      </c>
      <c r="CI151" s="175"/>
      <c r="CJ151" s="175"/>
      <c r="CK151" s="175"/>
      <c r="CL151" s="175"/>
      <c r="CM151" s="175"/>
      <c r="CN151" s="175"/>
      <c r="CO151" s="175"/>
      <c r="CP151" s="176"/>
      <c r="CQ151" s="176"/>
      <c r="CR151" s="176"/>
      <c r="CS151" s="176"/>
      <c r="CT151" s="176"/>
      <c r="CU151" s="176"/>
      <c r="CV151" s="176"/>
      <c r="CW151" s="167"/>
      <c r="CX151" s="168"/>
      <c r="CY151" s="168"/>
      <c r="CZ151" s="168"/>
      <c r="DA151" s="168"/>
      <c r="DB151" s="168"/>
      <c r="DC151" s="168"/>
      <c r="DD151" s="172"/>
      <c r="DE151" s="172"/>
      <c r="DF151" s="172"/>
      <c r="DG151" s="172"/>
      <c r="DH151" s="172"/>
      <c r="DI151" s="172"/>
      <c r="DJ151" s="172"/>
      <c r="DK151" s="80" t="s">
        <v>1040</v>
      </c>
      <c r="DL151" s="129">
        <f>ROUNDUP(VLOOKUP($F151,Activities!$A$9:$I$180,3,FALSE)/$AI151,2)</f>
        <v>9.26</v>
      </c>
      <c r="DM151" s="129">
        <f>ROUNDUP(VLOOKUP($F151,Activities!$A$9:$I$180,4,FALSE)/$AI151,2)</f>
        <v>9.66</v>
      </c>
      <c r="DN151" s="129">
        <f>ROUNDUP(VLOOKUP($F151,Activities!$A$9:$I$180,5,FALSE)/$AI151,2)</f>
        <v>9.8699999999999992</v>
      </c>
      <c r="DO151" s="129">
        <f>ROUNDUP(VLOOKUP($F151,Activities!$A$9:$I$180,6,FALSE)/$AI151,2)</f>
        <v>9.99</v>
      </c>
      <c r="DP151" s="129">
        <f>ROUNDUP(VLOOKUP($F151,Activities!$A$9:$I$180,7,FALSE)/$AI151,2)</f>
        <v>10.029999999999999</v>
      </c>
      <c r="DQ151" s="129">
        <f>ROUNDUP(VLOOKUP($F151,Activities!$A$9:$I$180,8,FALSE)/$AI151,2)</f>
        <v>10.02</v>
      </c>
      <c r="DR151" s="129">
        <f>ROUNDUP(VLOOKUP($F151,Activities!$A$9:$I$180,9,FALSE)/$AI151,2)</f>
        <v>9.98</v>
      </c>
      <c r="DS151" s="218"/>
      <c r="DT151" s="360"/>
      <c r="DU151" s="360"/>
      <c r="DV151" s="360"/>
      <c r="DW151" s="360"/>
      <c r="DX151" s="360"/>
      <c r="DY151" s="360"/>
      <c r="DZ151" s="360"/>
      <c r="EA151" s="360"/>
      <c r="EB151" s="360"/>
      <c r="EC151" s="360"/>
      <c r="ED151" s="360"/>
      <c r="EE151" s="360"/>
      <c r="EF151" s="360"/>
      <c r="EG151" s="360"/>
      <c r="EH151" s="360"/>
      <c r="EI151" s="360"/>
      <c r="EJ151" s="360"/>
      <c r="EK151" s="360"/>
      <c r="EL151" s="360"/>
      <c r="EM151" s="360"/>
      <c r="EN151" s="360"/>
      <c r="EO151" s="360"/>
      <c r="EP151" s="360"/>
      <c r="EQ151" s="360"/>
    </row>
    <row r="152" spans="1:147" x14ac:dyDescent="0.35">
      <c r="A152" s="5" t="s">
        <v>1047</v>
      </c>
      <c r="B152" s="5" t="s">
        <v>734</v>
      </c>
      <c r="C152" s="5" t="s">
        <v>655</v>
      </c>
      <c r="D152" s="5" t="s">
        <v>1029</v>
      </c>
      <c r="E152" s="5" t="s">
        <v>1030</v>
      </c>
      <c r="F152" s="5" t="s">
        <v>383</v>
      </c>
      <c r="G152" s="47" t="s">
        <v>1048</v>
      </c>
      <c r="H152" s="47" t="s">
        <v>1032</v>
      </c>
      <c r="I152" s="101">
        <v>10788.11</v>
      </c>
      <c r="J152" s="101">
        <v>9909.4699999999993</v>
      </c>
      <c r="K152" s="101">
        <v>9057.18</v>
      </c>
      <c r="L152" s="101">
        <v>8230.4699999999993</v>
      </c>
      <c r="M152" s="101">
        <v>7428.55</v>
      </c>
      <c r="N152" s="101">
        <v>6650.7</v>
      </c>
      <c r="O152" s="101">
        <v>5896.18</v>
      </c>
      <c r="P152" s="93">
        <v>0</v>
      </c>
      <c r="Q152" s="101">
        <v>1654.65</v>
      </c>
      <c r="R152" s="101">
        <v>1654.65</v>
      </c>
      <c r="S152" s="101">
        <v>1654.65</v>
      </c>
      <c r="T152" s="101">
        <v>1654.65</v>
      </c>
      <c r="U152" s="101">
        <v>1654.65</v>
      </c>
      <c r="V152" s="101">
        <v>1654.65</v>
      </c>
      <c r="W152" s="101">
        <v>1654.65</v>
      </c>
      <c r="X152" s="101">
        <v>0</v>
      </c>
      <c r="Y152" s="101">
        <v>0</v>
      </c>
      <c r="Z152" s="101">
        <v>0</v>
      </c>
      <c r="AA152" s="101">
        <v>0</v>
      </c>
      <c r="AB152" s="101">
        <v>0</v>
      </c>
      <c r="AC152" s="101">
        <v>0</v>
      </c>
      <c r="AD152" s="101">
        <v>0</v>
      </c>
      <c r="AE152" s="186">
        <v>0.08</v>
      </c>
      <c r="AF152" s="93">
        <v>0</v>
      </c>
      <c r="AG152" s="93">
        <v>15</v>
      </c>
      <c r="AH152" s="93">
        <v>15</v>
      </c>
      <c r="AI152" s="16">
        <v>11.1</v>
      </c>
      <c r="AJ152" s="16" t="s">
        <v>660</v>
      </c>
      <c r="AK152" s="16" t="s">
        <v>1035</v>
      </c>
      <c r="AL152" s="16"/>
      <c r="AM152" s="60"/>
      <c r="AN152" s="60"/>
      <c r="AO152" s="60"/>
      <c r="AP152" s="60"/>
      <c r="AQ152" s="60"/>
      <c r="AR152" s="60"/>
      <c r="AS152" s="63"/>
      <c r="AT152" s="63"/>
      <c r="AU152" s="63"/>
      <c r="AV152" s="131"/>
      <c r="AW152" s="131"/>
      <c r="AX152" s="131"/>
      <c r="AY152" s="27" t="s">
        <v>662</v>
      </c>
      <c r="AZ152" s="27"/>
      <c r="BA152" s="27"/>
      <c r="BB152" s="30"/>
      <c r="BC152" s="30"/>
      <c r="BD152" s="30"/>
      <c r="BE152" s="30"/>
      <c r="BF152" s="30"/>
      <c r="BG152" s="30"/>
      <c r="BH152" s="107"/>
      <c r="BI152" s="107"/>
      <c r="BJ152" s="107"/>
      <c r="BK152" s="107"/>
      <c r="BL152" s="194"/>
      <c r="BM152" s="122"/>
      <c r="BN152" s="138">
        <v>0</v>
      </c>
      <c r="BO152" s="93"/>
      <c r="BP152" s="93"/>
      <c r="BQ152" s="93"/>
      <c r="BR152" s="93"/>
      <c r="BS152" s="93"/>
      <c r="BT152" s="93"/>
      <c r="BU152" s="27">
        <f t="shared" si="95"/>
        <v>0</v>
      </c>
      <c r="BV152" s="27"/>
      <c r="BW152" s="27"/>
      <c r="BX152" s="27"/>
      <c r="BY152" s="27"/>
      <c r="BZ152" s="27"/>
      <c r="CA152" s="27"/>
      <c r="CB152" s="97">
        <v>0.01</v>
      </c>
      <c r="CC152" s="97">
        <v>0.01</v>
      </c>
      <c r="CD152" s="97">
        <f>0.1*CD147</f>
        <v>0.98699999999999999</v>
      </c>
      <c r="CE152" s="97">
        <f>0.15*CE147</f>
        <v>1.4984999999999999</v>
      </c>
      <c r="CF152" s="97">
        <f>0.2*CF147</f>
        <v>2.0059999999999998</v>
      </c>
      <c r="CG152" s="97">
        <f>0.25*CG147</f>
        <v>2.5049999999999999</v>
      </c>
      <c r="CH152" s="97">
        <f>0.3*CH147</f>
        <v>2.9940000000000002</v>
      </c>
      <c r="CI152" s="173"/>
      <c r="CJ152" s="173"/>
      <c r="CK152" s="173"/>
      <c r="CL152" s="173"/>
      <c r="CM152" s="173"/>
      <c r="CN152" s="173"/>
      <c r="CO152" s="173"/>
      <c r="CP152" s="174"/>
      <c r="CQ152" s="174"/>
      <c r="CR152" s="174"/>
      <c r="CS152" s="174"/>
      <c r="CT152" s="174"/>
      <c r="CU152" s="174"/>
      <c r="CV152" s="174"/>
      <c r="CW152" s="165"/>
      <c r="CX152" s="166"/>
      <c r="CY152" s="166"/>
      <c r="CZ152" s="166"/>
      <c r="DA152" s="166"/>
      <c r="DB152" s="166"/>
      <c r="DC152" s="166"/>
      <c r="DD152" s="171"/>
      <c r="DE152" s="171"/>
      <c r="DF152" s="171"/>
      <c r="DG152" s="171"/>
      <c r="DH152" s="171"/>
      <c r="DI152" s="171"/>
      <c r="DJ152" s="171"/>
      <c r="DK152" s="79" t="s">
        <v>1040</v>
      </c>
      <c r="DL152" s="128">
        <f>ROUNDUP(VLOOKUP($F152,Activities!$A$9:$I$180,3,FALSE)/$AI152,2)</f>
        <v>9.26</v>
      </c>
      <c r="DM152" s="128">
        <f>ROUNDUP(VLOOKUP($F152,Activities!$A$9:$I$180,4,FALSE)/$AI152,2)</f>
        <v>9.66</v>
      </c>
      <c r="DN152" s="128">
        <f>ROUNDUP(VLOOKUP($F152,Activities!$A$9:$I$180,5,FALSE)/$AI152,2)</f>
        <v>9.8699999999999992</v>
      </c>
      <c r="DO152" s="128">
        <f>ROUNDUP(VLOOKUP($F152,Activities!$A$9:$I$180,6,FALSE)/$AI152,2)</f>
        <v>9.99</v>
      </c>
      <c r="DP152" s="128">
        <f>ROUNDUP(VLOOKUP($F152,Activities!$A$9:$I$180,7,FALSE)/$AI152,2)</f>
        <v>10.029999999999999</v>
      </c>
      <c r="DQ152" s="128">
        <f>ROUNDUP(VLOOKUP($F152,Activities!$A$9:$I$180,8,FALSE)/$AI152,2)</f>
        <v>10.02</v>
      </c>
      <c r="DR152" s="128">
        <f>ROUNDUP(VLOOKUP($F152,Activities!$A$9:$I$180,9,FALSE)/$AI152,2)</f>
        <v>9.98</v>
      </c>
      <c r="DS152" s="218"/>
      <c r="DT152" s="360"/>
      <c r="DU152" s="360"/>
      <c r="DV152" s="360"/>
      <c r="DW152" s="360"/>
      <c r="DX152" s="360"/>
      <c r="DY152" s="360"/>
      <c r="DZ152" s="360"/>
      <c r="EA152" s="360"/>
      <c r="EB152" s="360"/>
      <c r="EC152" s="360"/>
      <c r="ED152" s="360"/>
      <c r="EE152" s="360"/>
      <c r="EF152" s="360"/>
      <c r="EG152" s="360"/>
      <c r="EH152" s="360"/>
      <c r="EI152" s="360"/>
      <c r="EJ152" s="360"/>
      <c r="EK152" s="360"/>
      <c r="EL152" s="360"/>
      <c r="EM152" s="360"/>
      <c r="EN152" s="360"/>
      <c r="EO152" s="360"/>
      <c r="EP152" s="360"/>
      <c r="EQ152" s="360"/>
    </row>
    <row r="153" spans="1:147" x14ac:dyDescent="0.35">
      <c r="A153" s="6" t="s">
        <v>1049</v>
      </c>
      <c r="B153" s="6" t="s">
        <v>734</v>
      </c>
      <c r="C153" s="6" t="s">
        <v>655</v>
      </c>
      <c r="D153" s="6" t="s">
        <v>1029</v>
      </c>
      <c r="E153" s="6" t="s">
        <v>1030</v>
      </c>
      <c r="F153" s="6" t="s">
        <v>383</v>
      </c>
      <c r="G153" s="48" t="s">
        <v>1050</v>
      </c>
      <c r="H153" s="48" t="s">
        <v>1032</v>
      </c>
      <c r="I153" s="102">
        <v>16833.21</v>
      </c>
      <c r="J153" s="102">
        <v>15243.22</v>
      </c>
      <c r="K153" s="102">
        <v>13724.77</v>
      </c>
      <c r="L153" s="102">
        <v>12274.66</v>
      </c>
      <c r="M153" s="102">
        <v>10889.8</v>
      </c>
      <c r="N153" s="102">
        <v>9567.26</v>
      </c>
      <c r="O153" s="102">
        <v>8304.23</v>
      </c>
      <c r="P153" s="94">
        <v>0</v>
      </c>
      <c r="Q153" s="102">
        <v>1946.65</v>
      </c>
      <c r="R153" s="102">
        <v>1946.65</v>
      </c>
      <c r="S153" s="102">
        <v>1946.65</v>
      </c>
      <c r="T153" s="102">
        <v>1946.65</v>
      </c>
      <c r="U153" s="102">
        <v>1946.65</v>
      </c>
      <c r="V153" s="102">
        <v>1946.65</v>
      </c>
      <c r="W153" s="102">
        <v>1946.65</v>
      </c>
      <c r="X153" s="102">
        <v>0</v>
      </c>
      <c r="Y153" s="102">
        <v>0</v>
      </c>
      <c r="Z153" s="102">
        <v>0</v>
      </c>
      <c r="AA153" s="102">
        <v>0</v>
      </c>
      <c r="AB153" s="102">
        <v>0</v>
      </c>
      <c r="AC153" s="102">
        <v>0</v>
      </c>
      <c r="AD153" s="102">
        <v>0</v>
      </c>
      <c r="AE153" s="186">
        <v>0.08</v>
      </c>
      <c r="AF153" s="94">
        <v>0</v>
      </c>
      <c r="AG153" s="94">
        <v>15</v>
      </c>
      <c r="AH153" s="94">
        <v>15</v>
      </c>
      <c r="AI153" s="17">
        <v>11.1</v>
      </c>
      <c r="AJ153" s="17" t="s">
        <v>660</v>
      </c>
      <c r="AK153" s="17" t="s">
        <v>1035</v>
      </c>
      <c r="AL153" s="17"/>
      <c r="AM153" s="61"/>
      <c r="AN153" s="61"/>
      <c r="AO153" s="61"/>
      <c r="AP153" s="61"/>
      <c r="AQ153" s="61"/>
      <c r="AR153" s="61"/>
      <c r="AS153" s="64"/>
      <c r="AT153" s="64"/>
      <c r="AU153" s="64"/>
      <c r="AV153" s="132"/>
      <c r="AW153" s="132"/>
      <c r="AX153" s="132"/>
      <c r="AY153" s="28" t="s">
        <v>662</v>
      </c>
      <c r="AZ153" s="28"/>
      <c r="BA153" s="28"/>
      <c r="BB153" s="28"/>
      <c r="BC153" s="28"/>
      <c r="BD153" s="28"/>
      <c r="BE153" s="28"/>
      <c r="BF153" s="28"/>
      <c r="BG153" s="28"/>
      <c r="BH153" s="106"/>
      <c r="BI153" s="106"/>
      <c r="BJ153" s="106"/>
      <c r="BK153" s="106"/>
      <c r="BL153" s="137"/>
      <c r="BM153" s="123"/>
      <c r="BN153" s="139">
        <v>0.1</v>
      </c>
      <c r="BO153" s="94">
        <v>2.5000000000000001E-2</v>
      </c>
      <c r="BP153" s="94">
        <v>0.05</v>
      </c>
      <c r="BQ153" s="94">
        <v>2.5000000000000001E-2</v>
      </c>
      <c r="BR153" s="94"/>
      <c r="BS153" s="94"/>
      <c r="BT153" s="94"/>
      <c r="BU153" s="28">
        <f t="shared" si="95"/>
        <v>0</v>
      </c>
      <c r="BV153" s="28"/>
      <c r="BW153" s="28"/>
      <c r="BX153" s="28"/>
      <c r="BY153" s="28"/>
      <c r="BZ153" s="28"/>
      <c r="CA153" s="28"/>
      <c r="CB153" s="99">
        <v>0.1</v>
      </c>
      <c r="CC153" s="99">
        <v>1</v>
      </c>
      <c r="CD153" s="99">
        <v>10</v>
      </c>
      <c r="CE153" s="99">
        <v>12</v>
      </c>
      <c r="CF153" s="99">
        <v>12</v>
      </c>
      <c r="CG153" s="99">
        <f t="shared" ref="CF153:CH182" si="153">DQ153</f>
        <v>10.02</v>
      </c>
      <c r="CH153" s="99">
        <f>DR153</f>
        <v>9.98</v>
      </c>
      <c r="CI153" s="175"/>
      <c r="CJ153" s="175"/>
      <c r="CK153" s="175"/>
      <c r="CL153" s="175"/>
      <c r="CM153" s="175"/>
      <c r="CN153" s="175"/>
      <c r="CO153" s="175"/>
      <c r="CP153" s="176"/>
      <c r="CQ153" s="176"/>
      <c r="CR153" s="176"/>
      <c r="CS153" s="176"/>
      <c r="CT153" s="176"/>
      <c r="CU153" s="176"/>
      <c r="CV153" s="176"/>
      <c r="CW153" s="167"/>
      <c r="CX153" s="168"/>
      <c r="CY153" s="168"/>
      <c r="CZ153" s="168"/>
      <c r="DA153" s="168"/>
      <c r="DB153" s="168"/>
      <c r="DC153" s="168"/>
      <c r="DD153" s="172"/>
      <c r="DE153" s="172"/>
      <c r="DF153" s="172"/>
      <c r="DG153" s="172"/>
      <c r="DH153" s="172"/>
      <c r="DI153" s="172"/>
      <c r="DJ153" s="172"/>
      <c r="DK153" s="80" t="s">
        <v>663</v>
      </c>
      <c r="DL153" s="129">
        <f>ROUNDUP(VLOOKUP($F153,Activities!$A$9:$I$180,3,FALSE)/$AI153,2)</f>
        <v>9.26</v>
      </c>
      <c r="DM153" s="129">
        <f>ROUNDUP(VLOOKUP($F153,Activities!$A$9:$I$180,4,FALSE)/$AI153,2)</f>
        <v>9.66</v>
      </c>
      <c r="DN153" s="129">
        <f>ROUNDUP(VLOOKUP($F153,Activities!$A$9:$I$180,5,FALSE)/$AI153,2)</f>
        <v>9.8699999999999992</v>
      </c>
      <c r="DO153" s="129">
        <f>ROUNDUP(VLOOKUP($F153,Activities!$A$9:$I$180,6,FALSE)/$AI153,2)</f>
        <v>9.99</v>
      </c>
      <c r="DP153" s="129">
        <f>ROUNDUP(VLOOKUP($F153,Activities!$A$9:$I$180,7,FALSE)/$AI153,2)</f>
        <v>10.029999999999999</v>
      </c>
      <c r="DQ153" s="129">
        <f>ROUNDUP(VLOOKUP($F153,Activities!$A$9:$I$180,8,FALSE)/$AI153,2)</f>
        <v>10.02</v>
      </c>
      <c r="DR153" s="129">
        <f>ROUNDUP(VLOOKUP($F153,Activities!$A$9:$I$180,9,FALSE)/$AI153,2)</f>
        <v>9.98</v>
      </c>
      <c r="DS153" s="218"/>
      <c r="DT153" s="360"/>
      <c r="DU153" s="360"/>
      <c r="DV153" s="360"/>
      <c r="DW153" s="360"/>
      <c r="DX153" s="360"/>
      <c r="DY153" s="360"/>
      <c r="DZ153" s="360"/>
      <c r="EA153" s="360"/>
      <c r="EB153" s="360"/>
      <c r="EC153" s="360"/>
      <c r="ED153" s="360"/>
      <c r="EE153" s="360"/>
      <c r="EF153" s="360"/>
      <c r="EG153" s="360"/>
      <c r="EH153" s="360"/>
      <c r="EI153" s="360"/>
      <c r="EJ153" s="360"/>
      <c r="EK153" s="360"/>
      <c r="EL153" s="360"/>
      <c r="EM153" s="360"/>
      <c r="EN153" s="360"/>
      <c r="EO153" s="360"/>
      <c r="EP153" s="360"/>
      <c r="EQ153" s="360"/>
    </row>
    <row r="154" spans="1:147" x14ac:dyDescent="0.35">
      <c r="A154" s="5" t="s">
        <v>1051</v>
      </c>
      <c r="B154" s="5" t="s">
        <v>734</v>
      </c>
      <c r="C154" s="5" t="s">
        <v>655</v>
      </c>
      <c r="D154" s="5" t="s">
        <v>1029</v>
      </c>
      <c r="E154" s="5" t="s">
        <v>1030</v>
      </c>
      <c r="F154" s="5" t="s">
        <v>383</v>
      </c>
      <c r="G154" s="47" t="s">
        <v>1052</v>
      </c>
      <c r="H154" s="47" t="s">
        <v>1032</v>
      </c>
      <c r="I154" s="101">
        <v>26935.77</v>
      </c>
      <c r="J154" s="101">
        <v>23300.91</v>
      </c>
      <c r="K154" s="101">
        <v>19956.84</v>
      </c>
      <c r="L154" s="101">
        <v>16880.29</v>
      </c>
      <c r="M154" s="101">
        <v>14049.87</v>
      </c>
      <c r="N154" s="101">
        <v>11445.88</v>
      </c>
      <c r="O154" s="101">
        <v>9050.2099999999991</v>
      </c>
      <c r="P154" s="93">
        <v>0</v>
      </c>
      <c r="Q154" s="101">
        <v>1297.77</v>
      </c>
      <c r="R154" s="101">
        <v>1297.77</v>
      </c>
      <c r="S154" s="101">
        <v>1297.77</v>
      </c>
      <c r="T154" s="101">
        <v>1297.77</v>
      </c>
      <c r="U154" s="101">
        <v>1297.77</v>
      </c>
      <c r="V154" s="101">
        <v>1297.77</v>
      </c>
      <c r="W154" s="101">
        <v>1297.77</v>
      </c>
      <c r="X154" s="101">
        <v>0</v>
      </c>
      <c r="Y154" s="101">
        <v>0</v>
      </c>
      <c r="Z154" s="101">
        <v>0</v>
      </c>
      <c r="AA154" s="101">
        <v>0</v>
      </c>
      <c r="AB154" s="101">
        <v>0</v>
      </c>
      <c r="AC154" s="101">
        <v>0</v>
      </c>
      <c r="AD154" s="101">
        <v>0</v>
      </c>
      <c r="AE154" s="186">
        <v>0.08</v>
      </c>
      <c r="AF154" s="93">
        <v>0</v>
      </c>
      <c r="AG154" s="93">
        <v>15</v>
      </c>
      <c r="AH154" s="93">
        <v>15</v>
      </c>
      <c r="AI154" s="16">
        <v>11.1</v>
      </c>
      <c r="AJ154" s="16" t="s">
        <v>660</v>
      </c>
      <c r="AK154" s="16" t="s">
        <v>1035</v>
      </c>
      <c r="AL154" s="16"/>
      <c r="AM154" s="60"/>
      <c r="AN154" s="60"/>
      <c r="AO154" s="60"/>
      <c r="AP154" s="60"/>
      <c r="AQ154" s="60"/>
      <c r="AR154" s="60"/>
      <c r="AS154" s="63"/>
      <c r="AT154" s="63"/>
      <c r="AU154" s="63"/>
      <c r="AV154" s="131"/>
      <c r="AW154" s="131"/>
      <c r="AX154" s="131"/>
      <c r="AY154" s="27" t="s">
        <v>662</v>
      </c>
      <c r="AZ154" s="27"/>
      <c r="BA154" s="27"/>
      <c r="BB154" s="30"/>
      <c r="BC154" s="30"/>
      <c r="BD154" s="30"/>
      <c r="BE154" s="30"/>
      <c r="BF154" s="30"/>
      <c r="BG154" s="30"/>
      <c r="BH154" s="107"/>
      <c r="BI154" s="107"/>
      <c r="BJ154" s="107"/>
      <c r="BK154" s="107"/>
      <c r="BL154" s="136"/>
      <c r="BM154" s="122"/>
      <c r="BN154" s="138">
        <v>0.1</v>
      </c>
      <c r="BO154" s="93">
        <v>0.02</v>
      </c>
      <c r="BP154" s="93">
        <v>0.03</v>
      </c>
      <c r="BQ154" s="93">
        <v>0.05</v>
      </c>
      <c r="BR154" s="93"/>
      <c r="BS154" s="93"/>
      <c r="BT154" s="93"/>
      <c r="BU154" s="27">
        <f t="shared" si="95"/>
        <v>0</v>
      </c>
      <c r="BV154" s="27"/>
      <c r="BW154" s="27"/>
      <c r="BX154" s="27"/>
      <c r="BY154" s="27"/>
      <c r="BZ154" s="27"/>
      <c r="CA154" s="27"/>
      <c r="CB154" s="97">
        <v>0.1</v>
      </c>
      <c r="CC154" s="97">
        <v>1</v>
      </c>
      <c r="CD154" s="97">
        <v>10</v>
      </c>
      <c r="CE154" s="97">
        <v>12</v>
      </c>
      <c r="CF154" s="97">
        <v>12</v>
      </c>
      <c r="CG154" s="97">
        <f t="shared" si="153"/>
        <v>10.02</v>
      </c>
      <c r="CH154" s="97">
        <f t="shared" si="153"/>
        <v>9.98</v>
      </c>
      <c r="CI154" s="173"/>
      <c r="CJ154" s="173"/>
      <c r="CK154" s="173"/>
      <c r="CL154" s="173"/>
      <c r="CM154" s="173"/>
      <c r="CN154" s="173"/>
      <c r="CO154" s="173"/>
      <c r="CP154" s="174"/>
      <c r="CQ154" s="174"/>
      <c r="CR154" s="174"/>
      <c r="CS154" s="174"/>
      <c r="CT154" s="174"/>
      <c r="CU154" s="174"/>
      <c r="CV154" s="174"/>
      <c r="CW154" s="165"/>
      <c r="CX154" s="166"/>
      <c r="CY154" s="166"/>
      <c r="CZ154" s="166"/>
      <c r="DA154" s="166"/>
      <c r="DB154" s="166"/>
      <c r="DC154" s="166"/>
      <c r="DD154" s="171"/>
      <c r="DE154" s="171"/>
      <c r="DF154" s="171"/>
      <c r="DG154" s="171"/>
      <c r="DH154" s="171"/>
      <c r="DI154" s="171"/>
      <c r="DJ154" s="171"/>
      <c r="DK154" s="79" t="s">
        <v>663</v>
      </c>
      <c r="DL154" s="128">
        <f>ROUNDUP(VLOOKUP($F154,Activities!$A$9:$I$180,3,FALSE)/$AI154,2)</f>
        <v>9.26</v>
      </c>
      <c r="DM154" s="128">
        <f>ROUNDUP(VLOOKUP($F154,Activities!$A$9:$I$180,4,FALSE)/$AI154,2)</f>
        <v>9.66</v>
      </c>
      <c r="DN154" s="128">
        <f>ROUNDUP(VLOOKUP($F154,Activities!$A$9:$I$180,5,FALSE)/$AI154,2)</f>
        <v>9.8699999999999992</v>
      </c>
      <c r="DO154" s="128">
        <f>ROUNDUP(VLOOKUP($F154,Activities!$A$9:$I$180,6,FALSE)/$AI154,2)</f>
        <v>9.99</v>
      </c>
      <c r="DP154" s="128">
        <f>ROUNDUP(VLOOKUP($F154,Activities!$A$9:$I$180,7,FALSE)/$AI154,2)</f>
        <v>10.029999999999999</v>
      </c>
      <c r="DQ154" s="128">
        <f>ROUNDUP(VLOOKUP($F154,Activities!$A$9:$I$180,8,FALSE)/$AI154,2)</f>
        <v>10.02</v>
      </c>
      <c r="DR154" s="128">
        <f>ROUNDUP(VLOOKUP($F154,Activities!$A$9:$I$180,9,FALSE)/$AI154,2)</f>
        <v>9.98</v>
      </c>
      <c r="DS154" s="218"/>
      <c r="DT154" s="360"/>
      <c r="DU154" s="360"/>
      <c r="DV154" s="360"/>
      <c r="DW154" s="360"/>
      <c r="DX154" s="360"/>
      <c r="DY154" s="360"/>
      <c r="DZ154" s="360"/>
      <c r="EA154" s="360"/>
      <c r="EB154" s="360"/>
      <c r="EC154" s="360"/>
      <c r="ED154" s="360"/>
      <c r="EE154" s="360"/>
      <c r="EF154" s="360"/>
      <c r="EG154" s="360"/>
      <c r="EH154" s="360"/>
      <c r="EI154" s="360"/>
      <c r="EJ154" s="360"/>
      <c r="EK154" s="360"/>
      <c r="EL154" s="360"/>
      <c r="EM154" s="360"/>
      <c r="EN154" s="360"/>
      <c r="EO154" s="360"/>
      <c r="EP154" s="360"/>
      <c r="EQ154" s="360"/>
    </row>
    <row r="155" spans="1:147" x14ac:dyDescent="0.35">
      <c r="A155" s="6" t="s">
        <v>1053</v>
      </c>
      <c r="B155" s="6" t="s">
        <v>734</v>
      </c>
      <c r="C155" s="6" t="s">
        <v>655</v>
      </c>
      <c r="D155" s="6" t="s">
        <v>1029</v>
      </c>
      <c r="E155" s="6" t="s">
        <v>1030</v>
      </c>
      <c r="F155" s="6" t="s">
        <v>383</v>
      </c>
      <c r="G155" s="48" t="s">
        <v>1054</v>
      </c>
      <c r="H155" s="48" t="s">
        <v>1032</v>
      </c>
      <c r="I155" s="102">
        <v>26935.77</v>
      </c>
      <c r="J155" s="102">
        <v>23300.91</v>
      </c>
      <c r="K155" s="102">
        <v>19956.84</v>
      </c>
      <c r="L155" s="102">
        <v>16880.29</v>
      </c>
      <c r="M155" s="102">
        <v>14049.87</v>
      </c>
      <c r="N155" s="102">
        <v>11445.88</v>
      </c>
      <c r="O155" s="102">
        <v>9050.2099999999991</v>
      </c>
      <c r="P155" s="94">
        <v>0</v>
      </c>
      <c r="Q155" s="102">
        <v>1297.77</v>
      </c>
      <c r="R155" s="102">
        <v>1297.77</v>
      </c>
      <c r="S155" s="102">
        <v>1297.77</v>
      </c>
      <c r="T155" s="102">
        <v>1297.77</v>
      </c>
      <c r="U155" s="102">
        <v>1297.77</v>
      </c>
      <c r="V155" s="102">
        <v>1297.77</v>
      </c>
      <c r="W155" s="102">
        <v>1297.77</v>
      </c>
      <c r="X155" s="102">
        <v>0</v>
      </c>
      <c r="Y155" s="102">
        <v>0</v>
      </c>
      <c r="Z155" s="102">
        <v>0</v>
      </c>
      <c r="AA155" s="102">
        <v>0</v>
      </c>
      <c r="AB155" s="102">
        <v>0</v>
      </c>
      <c r="AC155" s="102">
        <v>0</v>
      </c>
      <c r="AD155" s="102">
        <v>0</v>
      </c>
      <c r="AE155" s="186">
        <v>0.08</v>
      </c>
      <c r="AF155" s="94">
        <v>0</v>
      </c>
      <c r="AG155" s="94">
        <v>15</v>
      </c>
      <c r="AH155" s="94">
        <v>15</v>
      </c>
      <c r="AI155" s="17">
        <v>11.1</v>
      </c>
      <c r="AJ155" s="17" t="s">
        <v>660</v>
      </c>
      <c r="AK155" s="17" t="s">
        <v>1035</v>
      </c>
      <c r="AL155" s="17"/>
      <c r="AM155" s="61"/>
      <c r="AN155" s="61"/>
      <c r="AO155" s="61"/>
      <c r="AP155" s="61"/>
      <c r="AQ155" s="61"/>
      <c r="AR155" s="61"/>
      <c r="AS155" s="64"/>
      <c r="AT155" s="64"/>
      <c r="AU155" s="64"/>
      <c r="AV155" s="132"/>
      <c r="AW155" s="132"/>
      <c r="AX155" s="132"/>
      <c r="AY155" s="28" t="s">
        <v>1055</v>
      </c>
      <c r="AZ155" s="28" t="s">
        <v>456</v>
      </c>
      <c r="BA155" s="28">
        <v>1</v>
      </c>
      <c r="BB155" s="28">
        <v>6</v>
      </c>
      <c r="BC155" s="28" t="s">
        <v>932</v>
      </c>
      <c r="BD155" s="28">
        <v>0</v>
      </c>
      <c r="BE155" s="28">
        <v>0.25</v>
      </c>
      <c r="BF155" s="28">
        <v>1</v>
      </c>
      <c r="BG155" s="28">
        <v>5.0000000000000001E-3</v>
      </c>
      <c r="BH155" s="106"/>
      <c r="BI155" s="106"/>
      <c r="BJ155" s="106"/>
      <c r="BK155" s="106"/>
      <c r="BL155" s="194"/>
      <c r="BM155" s="123"/>
      <c r="BN155" s="139">
        <v>0</v>
      </c>
      <c r="BO155" s="94">
        <v>0</v>
      </c>
      <c r="BP155" s="94">
        <v>0</v>
      </c>
      <c r="BQ155" s="94">
        <v>0</v>
      </c>
      <c r="BR155" s="94"/>
      <c r="BS155" s="94"/>
      <c r="BT155" s="94"/>
      <c r="BU155" s="28">
        <f t="shared" si="95"/>
        <v>0</v>
      </c>
      <c r="BV155" s="28"/>
      <c r="BW155" s="28"/>
      <c r="BX155" s="28"/>
      <c r="BY155" s="28"/>
      <c r="BZ155" s="28"/>
      <c r="CA155" s="28"/>
      <c r="CB155" s="99">
        <v>0</v>
      </c>
      <c r="CC155" s="99">
        <v>1</v>
      </c>
      <c r="CD155" s="99">
        <v>10</v>
      </c>
      <c r="CE155" s="99">
        <v>12</v>
      </c>
      <c r="CF155" s="99">
        <v>12</v>
      </c>
      <c r="CG155" s="99">
        <f t="shared" si="153"/>
        <v>10.02</v>
      </c>
      <c r="CH155" s="99">
        <f t="shared" si="153"/>
        <v>9.98</v>
      </c>
      <c r="CI155" s="175"/>
      <c r="CJ155" s="175"/>
      <c r="CK155" s="175"/>
      <c r="CL155" s="175"/>
      <c r="CM155" s="175"/>
      <c r="CN155" s="175"/>
      <c r="CO155" s="175"/>
      <c r="CP155" s="176"/>
      <c r="CQ155" s="176"/>
      <c r="CR155" s="176"/>
      <c r="CS155" s="176"/>
      <c r="CT155" s="176"/>
      <c r="CU155" s="176"/>
      <c r="CV155" s="176"/>
      <c r="CW155" s="167"/>
      <c r="CX155" s="168"/>
      <c r="CY155" s="168"/>
      <c r="CZ155" s="168"/>
      <c r="DA155" s="168"/>
      <c r="DB155" s="168"/>
      <c r="DC155" s="168"/>
      <c r="DD155" s="172"/>
      <c r="DE155" s="172"/>
      <c r="DF155" s="172"/>
      <c r="DG155" s="172"/>
      <c r="DH155" s="172"/>
      <c r="DI155" s="172"/>
      <c r="DJ155" s="172"/>
      <c r="DK155" s="80" t="s">
        <v>663</v>
      </c>
      <c r="DL155" s="129">
        <f>ROUNDUP(VLOOKUP($F155,Activities!$A$9:$I$180,3,FALSE)/$AI155,2)</f>
        <v>9.26</v>
      </c>
      <c r="DM155" s="129">
        <f>ROUNDUP(VLOOKUP($F155,Activities!$A$9:$I$180,4,FALSE)/$AI155,2)</f>
        <v>9.66</v>
      </c>
      <c r="DN155" s="129">
        <f>ROUNDUP(VLOOKUP($F155,Activities!$A$9:$I$180,5,FALSE)/$AI155,2)</f>
        <v>9.8699999999999992</v>
      </c>
      <c r="DO155" s="129">
        <f>ROUNDUP(VLOOKUP($F155,Activities!$A$9:$I$180,6,FALSE)/$AI155,2)</f>
        <v>9.99</v>
      </c>
      <c r="DP155" s="129">
        <f>ROUNDUP(VLOOKUP($F155,Activities!$A$9:$I$180,7,FALSE)/$AI155,2)</f>
        <v>10.029999999999999</v>
      </c>
      <c r="DQ155" s="129">
        <f>ROUNDUP(VLOOKUP($F155,Activities!$A$9:$I$180,8,FALSE)/$AI155,2)</f>
        <v>10.02</v>
      </c>
      <c r="DR155" s="129">
        <f>ROUNDUP(VLOOKUP($F155,Activities!$A$9:$I$180,9,FALSE)/$AI155,2)</f>
        <v>9.98</v>
      </c>
      <c r="DS155" s="218"/>
      <c r="DT155" s="360"/>
      <c r="DU155" s="360"/>
      <c r="DV155" s="360"/>
      <c r="DW155" s="360"/>
      <c r="DX155" s="360"/>
      <c r="DY155" s="360"/>
      <c r="DZ155" s="360"/>
      <c r="EA155" s="360"/>
      <c r="EB155" s="360"/>
      <c r="EC155" s="360"/>
      <c r="ED155" s="360"/>
      <c r="EE155" s="360"/>
      <c r="EF155" s="360"/>
      <c r="EG155" s="360"/>
      <c r="EH155" s="360"/>
      <c r="EI155" s="360"/>
      <c r="EJ155" s="360"/>
      <c r="EK155" s="360"/>
      <c r="EL155" s="360"/>
      <c r="EM155" s="360"/>
      <c r="EN155" s="360"/>
      <c r="EO155" s="360"/>
      <c r="EP155" s="360"/>
      <c r="EQ155" s="360"/>
    </row>
    <row r="156" spans="1:147" x14ac:dyDescent="0.35">
      <c r="A156" s="5" t="s">
        <v>1056</v>
      </c>
      <c r="B156" s="5" t="s">
        <v>734</v>
      </c>
      <c r="C156" s="5" t="s">
        <v>655</v>
      </c>
      <c r="D156" s="5" t="s">
        <v>1029</v>
      </c>
      <c r="E156" s="5" t="s">
        <v>1030</v>
      </c>
      <c r="F156" s="5" t="s">
        <v>383</v>
      </c>
      <c r="G156" s="47" t="s">
        <v>1057</v>
      </c>
      <c r="H156" s="47" t="s">
        <v>1032</v>
      </c>
      <c r="I156" s="101">
        <v>26935.77</v>
      </c>
      <c r="J156" s="101">
        <v>23300.91</v>
      </c>
      <c r="K156" s="101">
        <v>19956.84</v>
      </c>
      <c r="L156" s="101">
        <v>16880.29</v>
      </c>
      <c r="M156" s="101">
        <v>14049.87</v>
      </c>
      <c r="N156" s="101">
        <v>11445.88</v>
      </c>
      <c r="O156" s="101">
        <v>9050.2099999999991</v>
      </c>
      <c r="P156" s="93">
        <v>0</v>
      </c>
      <c r="Q156" s="101">
        <v>1297.77</v>
      </c>
      <c r="R156" s="101">
        <v>1297.77</v>
      </c>
      <c r="S156" s="101">
        <v>1297.77</v>
      </c>
      <c r="T156" s="101">
        <v>1297.77</v>
      </c>
      <c r="U156" s="101">
        <v>1297.77</v>
      </c>
      <c r="V156" s="101">
        <v>1297.77</v>
      </c>
      <c r="W156" s="101">
        <v>1297.77</v>
      </c>
      <c r="X156" s="101">
        <v>0</v>
      </c>
      <c r="Y156" s="101">
        <v>0</v>
      </c>
      <c r="Z156" s="101">
        <v>0</v>
      </c>
      <c r="AA156" s="101">
        <v>0</v>
      </c>
      <c r="AB156" s="101">
        <v>0</v>
      </c>
      <c r="AC156" s="101">
        <v>0</v>
      </c>
      <c r="AD156" s="101">
        <v>0</v>
      </c>
      <c r="AE156" s="186">
        <v>0.08</v>
      </c>
      <c r="AF156" s="93">
        <v>0</v>
      </c>
      <c r="AG156" s="93">
        <v>10</v>
      </c>
      <c r="AH156" s="93">
        <v>10</v>
      </c>
      <c r="AI156" s="16">
        <v>11.1</v>
      </c>
      <c r="AJ156" s="16" t="s">
        <v>660</v>
      </c>
      <c r="AK156" s="16" t="s">
        <v>1035</v>
      </c>
      <c r="AL156" s="16"/>
      <c r="AM156" s="60"/>
      <c r="AN156" s="60"/>
      <c r="AO156" s="60"/>
      <c r="AP156" s="60"/>
      <c r="AQ156" s="60"/>
      <c r="AR156" s="60"/>
      <c r="AS156" s="63"/>
      <c r="AT156" s="63"/>
      <c r="AU156" s="63"/>
      <c r="AV156" s="131"/>
      <c r="AW156" s="131"/>
      <c r="AX156" s="131"/>
      <c r="AY156" s="27" t="s">
        <v>1058</v>
      </c>
      <c r="AZ156" s="27" t="s">
        <v>456</v>
      </c>
      <c r="BA156" s="27">
        <v>1</v>
      </c>
      <c r="BB156" s="30">
        <v>6</v>
      </c>
      <c r="BC156" s="30" t="s">
        <v>932</v>
      </c>
      <c r="BD156" s="30">
        <v>0.35</v>
      </c>
      <c r="BE156" s="30">
        <v>0.1</v>
      </c>
      <c r="BF156" s="30">
        <v>1</v>
      </c>
      <c r="BG156" s="30">
        <v>5.0000000000000001E-3</v>
      </c>
      <c r="BH156" s="107"/>
      <c r="BI156" s="107"/>
      <c r="BJ156" s="107"/>
      <c r="BK156" s="107"/>
      <c r="BL156" s="194"/>
      <c r="BM156" s="122"/>
      <c r="BN156" s="138">
        <v>0</v>
      </c>
      <c r="BO156" s="93"/>
      <c r="BP156" s="93"/>
      <c r="BQ156" s="93"/>
      <c r="BR156" s="93"/>
      <c r="BS156" s="93"/>
      <c r="BT156" s="93"/>
      <c r="BU156" s="27">
        <f t="shared" si="95"/>
        <v>0</v>
      </c>
      <c r="BV156" s="27"/>
      <c r="BW156" s="27"/>
      <c r="BX156" s="27"/>
      <c r="BY156" s="27"/>
      <c r="BZ156" s="27"/>
      <c r="CA156" s="27"/>
      <c r="CB156" s="97">
        <v>0</v>
      </c>
      <c r="CC156" s="97">
        <v>1</v>
      </c>
      <c r="CD156" s="97">
        <v>10</v>
      </c>
      <c r="CE156" s="97">
        <v>12</v>
      </c>
      <c r="CF156" s="97">
        <v>12</v>
      </c>
      <c r="CG156" s="97">
        <f t="shared" si="153"/>
        <v>10.02</v>
      </c>
      <c r="CH156" s="97">
        <f t="shared" si="153"/>
        <v>9.98</v>
      </c>
      <c r="CI156" s="173"/>
      <c r="CJ156" s="173"/>
      <c r="CK156" s="173"/>
      <c r="CL156" s="173"/>
      <c r="CM156" s="173"/>
      <c r="CN156" s="173"/>
      <c r="CO156" s="173"/>
      <c r="CP156" s="174"/>
      <c r="CQ156" s="174"/>
      <c r="CR156" s="174"/>
      <c r="CS156" s="174"/>
      <c r="CT156" s="174"/>
      <c r="CU156" s="174"/>
      <c r="CV156" s="174"/>
      <c r="CW156" s="165"/>
      <c r="CX156" s="166"/>
      <c r="CY156" s="166"/>
      <c r="CZ156" s="166"/>
      <c r="DA156" s="166"/>
      <c r="DB156" s="166"/>
      <c r="DC156" s="166"/>
      <c r="DD156" s="171"/>
      <c r="DE156" s="171"/>
      <c r="DF156" s="171"/>
      <c r="DG156" s="171"/>
      <c r="DH156" s="171"/>
      <c r="DI156" s="171"/>
      <c r="DJ156" s="171"/>
      <c r="DK156" s="79" t="s">
        <v>663</v>
      </c>
      <c r="DL156" s="128">
        <f>ROUNDUP(VLOOKUP($F156,Activities!$A$9:$I$180,3,FALSE)/$AI156,2)</f>
        <v>9.26</v>
      </c>
      <c r="DM156" s="128">
        <f>ROUNDUP(VLOOKUP($F156,Activities!$A$9:$I$180,4,FALSE)/$AI156,2)</f>
        <v>9.66</v>
      </c>
      <c r="DN156" s="128">
        <f>ROUNDUP(VLOOKUP($F156,Activities!$A$9:$I$180,5,FALSE)/$AI156,2)</f>
        <v>9.8699999999999992</v>
      </c>
      <c r="DO156" s="128">
        <f>ROUNDUP(VLOOKUP($F156,Activities!$A$9:$I$180,6,FALSE)/$AI156,2)</f>
        <v>9.99</v>
      </c>
      <c r="DP156" s="128">
        <f>ROUNDUP(VLOOKUP($F156,Activities!$A$9:$I$180,7,FALSE)/$AI156,2)</f>
        <v>10.029999999999999</v>
      </c>
      <c r="DQ156" s="128">
        <f>ROUNDUP(VLOOKUP($F156,Activities!$A$9:$I$180,8,FALSE)/$AI156,2)</f>
        <v>10.02</v>
      </c>
      <c r="DR156" s="128">
        <f>ROUNDUP(VLOOKUP($F156,Activities!$A$9:$I$180,9,FALSE)/$AI156,2)</f>
        <v>9.98</v>
      </c>
      <c r="DS156" s="218"/>
      <c r="DT156" s="360"/>
      <c r="DU156" s="360"/>
      <c r="DV156" s="360"/>
      <c r="DW156" s="360"/>
      <c r="DX156" s="360"/>
      <c r="DY156" s="360"/>
      <c r="DZ156" s="360"/>
      <c r="EA156" s="360"/>
      <c r="EB156" s="360"/>
      <c r="EC156" s="360"/>
      <c r="ED156" s="360"/>
      <c r="EE156" s="360"/>
      <c r="EF156" s="360"/>
      <c r="EG156" s="360"/>
      <c r="EH156" s="360"/>
      <c r="EI156" s="360"/>
      <c r="EJ156" s="360"/>
      <c r="EK156" s="360"/>
      <c r="EL156" s="360"/>
      <c r="EM156" s="360"/>
      <c r="EN156" s="360"/>
      <c r="EO156" s="360"/>
      <c r="EP156" s="360"/>
      <c r="EQ156" s="360"/>
    </row>
    <row r="157" spans="1:147" x14ac:dyDescent="0.35">
      <c r="A157" s="6" t="s">
        <v>1059</v>
      </c>
      <c r="B157" s="6" t="s">
        <v>734</v>
      </c>
      <c r="C157" s="6" t="s">
        <v>655</v>
      </c>
      <c r="D157" s="6" t="s">
        <v>1029</v>
      </c>
      <c r="E157" s="6" t="s">
        <v>1030</v>
      </c>
      <c r="F157" s="6" t="s">
        <v>383</v>
      </c>
      <c r="G157" s="48" t="s">
        <v>1060</v>
      </c>
      <c r="H157" s="48" t="s">
        <v>1032</v>
      </c>
      <c r="I157" s="102">
        <v>51688.4</v>
      </c>
      <c r="J157" s="102">
        <v>50284.63</v>
      </c>
      <c r="K157" s="102">
        <v>48908.94</v>
      </c>
      <c r="L157" s="102">
        <v>42168.05</v>
      </c>
      <c r="M157" s="102">
        <v>36101.24</v>
      </c>
      <c r="N157" s="102">
        <v>30641.119999999999</v>
      </c>
      <c r="O157" s="102">
        <v>25727.01</v>
      </c>
      <c r="P157" s="94">
        <v>0</v>
      </c>
      <c r="Q157" s="102">
        <v>3509.42</v>
      </c>
      <c r="R157" s="102">
        <v>3439.23</v>
      </c>
      <c r="S157" s="102">
        <v>3370.45</v>
      </c>
      <c r="T157" s="102">
        <v>3033.4</v>
      </c>
      <c r="U157" s="102">
        <v>2730.06</v>
      </c>
      <c r="V157" s="102">
        <v>2457.06</v>
      </c>
      <c r="W157" s="102">
        <v>2211.35</v>
      </c>
      <c r="X157" s="102">
        <v>0</v>
      </c>
      <c r="Y157" s="102">
        <v>0</v>
      </c>
      <c r="Z157" s="102">
        <v>0</v>
      </c>
      <c r="AA157" s="102">
        <v>0</v>
      </c>
      <c r="AB157" s="102">
        <v>0</v>
      </c>
      <c r="AC157" s="102">
        <v>0</v>
      </c>
      <c r="AD157" s="102">
        <v>0</v>
      </c>
      <c r="AE157" s="186">
        <v>0.08</v>
      </c>
      <c r="AF157" s="94">
        <v>0</v>
      </c>
      <c r="AG157" s="94">
        <v>15</v>
      </c>
      <c r="AH157" s="94">
        <v>15</v>
      </c>
      <c r="AI157" s="17">
        <v>11.1</v>
      </c>
      <c r="AJ157" s="17" t="s">
        <v>660</v>
      </c>
      <c r="AK157" s="17" t="s">
        <v>1035</v>
      </c>
      <c r="AL157" s="17"/>
      <c r="AM157" s="61"/>
      <c r="AN157" s="61"/>
      <c r="AO157" s="61"/>
      <c r="AP157" s="61"/>
      <c r="AQ157" s="61"/>
      <c r="AR157" s="61"/>
      <c r="AS157" s="64"/>
      <c r="AT157" s="64"/>
      <c r="AU157" s="64"/>
      <c r="AV157" s="132"/>
      <c r="AW157" s="132"/>
      <c r="AX157" s="132"/>
      <c r="AY157" s="28" t="s">
        <v>662</v>
      </c>
      <c r="AZ157" s="28"/>
      <c r="BA157" s="28"/>
      <c r="BB157" s="28"/>
      <c r="BC157" s="28"/>
      <c r="BD157" s="28"/>
      <c r="BE157" s="28"/>
      <c r="BF157" s="28"/>
      <c r="BG157" s="28"/>
      <c r="BH157" s="106"/>
      <c r="BI157" s="106"/>
      <c r="BJ157" s="106"/>
      <c r="BK157" s="106"/>
      <c r="BL157" s="194"/>
      <c r="BM157" s="123"/>
      <c r="BN157" s="139">
        <v>0</v>
      </c>
      <c r="BO157" s="94"/>
      <c r="BP157" s="94"/>
      <c r="BQ157" s="94"/>
      <c r="BR157" s="94"/>
      <c r="BS157" s="94"/>
      <c r="BT157" s="94"/>
      <c r="BU157" s="28">
        <f t="shared" si="95"/>
        <v>0</v>
      </c>
      <c r="BV157" s="28"/>
      <c r="BW157" s="28"/>
      <c r="BX157" s="28"/>
      <c r="BY157" s="28"/>
      <c r="BZ157" s="28"/>
      <c r="CA157" s="28"/>
      <c r="CB157" s="99">
        <v>5.0000000000000001E-3</v>
      </c>
      <c r="CC157" s="99">
        <v>0.1</v>
      </c>
      <c r="CD157" s="99">
        <v>1</v>
      </c>
      <c r="CE157" s="99">
        <v>5</v>
      </c>
      <c r="CF157" s="99">
        <v>12</v>
      </c>
      <c r="CG157" s="99">
        <f t="shared" si="153"/>
        <v>10.02</v>
      </c>
      <c r="CH157" s="99">
        <f t="shared" si="153"/>
        <v>9.98</v>
      </c>
      <c r="CI157" s="175"/>
      <c r="CJ157" s="175"/>
      <c r="CK157" s="175"/>
      <c r="CL157" s="175"/>
      <c r="CM157" s="175"/>
      <c r="CN157" s="175"/>
      <c r="CO157" s="175"/>
      <c r="CP157" s="176"/>
      <c r="CQ157" s="176"/>
      <c r="CR157" s="176"/>
      <c r="CS157" s="176"/>
      <c r="CT157" s="176"/>
      <c r="CU157" s="176"/>
      <c r="CV157" s="176"/>
      <c r="CW157" s="167"/>
      <c r="CX157" s="168"/>
      <c r="CY157" s="168"/>
      <c r="CZ157" s="168"/>
      <c r="DA157" s="168"/>
      <c r="DB157" s="168"/>
      <c r="DC157" s="168"/>
      <c r="DD157" s="172"/>
      <c r="DE157" s="172"/>
      <c r="DF157" s="172"/>
      <c r="DG157" s="172"/>
      <c r="DH157" s="172"/>
      <c r="DI157" s="172"/>
      <c r="DJ157" s="172"/>
      <c r="DK157" s="80" t="s">
        <v>663</v>
      </c>
      <c r="DL157" s="129">
        <f>ROUNDUP(VLOOKUP($F157,Activities!$A$9:$I$180,3,FALSE)/$AI157,2)</f>
        <v>9.26</v>
      </c>
      <c r="DM157" s="129">
        <f>ROUNDUP(VLOOKUP($F157,Activities!$A$9:$I$180,4,FALSE)/$AI157,2)</f>
        <v>9.66</v>
      </c>
      <c r="DN157" s="129">
        <f>ROUNDUP(VLOOKUP($F157,Activities!$A$9:$I$180,5,FALSE)/$AI157,2)</f>
        <v>9.8699999999999992</v>
      </c>
      <c r="DO157" s="129">
        <f>ROUNDUP(VLOOKUP($F157,Activities!$A$9:$I$180,6,FALSE)/$AI157,2)</f>
        <v>9.99</v>
      </c>
      <c r="DP157" s="129">
        <f>ROUNDUP(VLOOKUP($F157,Activities!$A$9:$I$180,7,FALSE)/$AI157,2)</f>
        <v>10.029999999999999</v>
      </c>
      <c r="DQ157" s="129">
        <f>ROUNDUP(VLOOKUP($F157,Activities!$A$9:$I$180,8,FALSE)/$AI157,2)</f>
        <v>10.02</v>
      </c>
      <c r="DR157" s="129">
        <f>ROUNDUP(VLOOKUP($F157,Activities!$A$9:$I$180,9,FALSE)/$AI157,2)</f>
        <v>9.98</v>
      </c>
      <c r="DS157" s="218"/>
      <c r="DT157" s="360"/>
      <c r="DU157" s="360"/>
      <c r="DV157" s="360"/>
      <c r="DW157" s="360"/>
      <c r="DX157" s="360"/>
      <c r="DY157" s="360"/>
      <c r="DZ157" s="360"/>
      <c r="EA157" s="360"/>
      <c r="EB157" s="360"/>
      <c r="EC157" s="360"/>
      <c r="ED157" s="360"/>
      <c r="EE157" s="360"/>
      <c r="EF157" s="360"/>
      <c r="EG157" s="360"/>
      <c r="EH157" s="360"/>
      <c r="EI157" s="360"/>
      <c r="EJ157" s="360"/>
      <c r="EK157" s="360"/>
      <c r="EL157" s="360"/>
      <c r="EM157" s="360"/>
      <c r="EN157" s="360"/>
      <c r="EO157" s="360"/>
      <c r="EP157" s="360"/>
      <c r="EQ157" s="360"/>
    </row>
    <row r="158" spans="1:147" x14ac:dyDescent="0.35">
      <c r="A158" s="5" t="s">
        <v>1061</v>
      </c>
      <c r="B158" s="5" t="s">
        <v>734</v>
      </c>
      <c r="C158" s="5" t="s">
        <v>655</v>
      </c>
      <c r="D158" s="5" t="s">
        <v>1029</v>
      </c>
      <c r="E158" s="5" t="s">
        <v>1030</v>
      </c>
      <c r="F158" s="5" t="s">
        <v>384</v>
      </c>
      <c r="G158" s="47" t="s">
        <v>1062</v>
      </c>
      <c r="H158" s="47" t="s">
        <v>1032</v>
      </c>
      <c r="I158" s="101">
        <v>2866.37</v>
      </c>
      <c r="J158" s="101">
        <v>2866.37</v>
      </c>
      <c r="K158" s="101">
        <v>2866.37</v>
      </c>
      <c r="L158" s="101">
        <v>2866.37</v>
      </c>
      <c r="M158" s="101">
        <v>2866.37</v>
      </c>
      <c r="N158" s="101">
        <v>2866.37</v>
      </c>
      <c r="O158" s="101">
        <v>2866.37</v>
      </c>
      <c r="P158" s="93">
        <v>0</v>
      </c>
      <c r="Q158" s="101">
        <v>3406.64</v>
      </c>
      <c r="R158" s="101">
        <v>3406.64</v>
      </c>
      <c r="S158" s="101">
        <v>3406.64</v>
      </c>
      <c r="T158" s="101">
        <v>3406.64</v>
      </c>
      <c r="U158" s="101">
        <v>3406.64</v>
      </c>
      <c r="V158" s="101">
        <v>3406.64</v>
      </c>
      <c r="W158" s="101">
        <v>3406.64</v>
      </c>
      <c r="X158" s="101">
        <v>0</v>
      </c>
      <c r="Y158" s="101">
        <v>0</v>
      </c>
      <c r="Z158" s="101">
        <v>0</v>
      </c>
      <c r="AA158" s="101">
        <v>0</v>
      </c>
      <c r="AB158" s="101">
        <v>0</v>
      </c>
      <c r="AC158" s="101">
        <v>0</v>
      </c>
      <c r="AD158" s="101">
        <v>0</v>
      </c>
      <c r="AE158" s="186">
        <v>0.08</v>
      </c>
      <c r="AF158" s="93">
        <v>0</v>
      </c>
      <c r="AG158" s="93">
        <v>15</v>
      </c>
      <c r="AH158" s="93">
        <v>15</v>
      </c>
      <c r="AI158" s="16">
        <v>20.8</v>
      </c>
      <c r="AJ158" s="16" t="s">
        <v>660</v>
      </c>
      <c r="AK158" s="16" t="s">
        <v>745</v>
      </c>
      <c r="AL158" s="16"/>
      <c r="AM158" s="60"/>
      <c r="AN158" s="60"/>
      <c r="AO158" s="60"/>
      <c r="AP158" s="60"/>
      <c r="AQ158" s="60"/>
      <c r="AR158" s="60"/>
      <c r="AS158" s="63"/>
      <c r="AT158" s="63"/>
      <c r="AU158" s="63"/>
      <c r="AV158" s="131"/>
      <c r="AW158" s="131"/>
      <c r="AX158" s="131"/>
      <c r="AY158" s="27" t="s">
        <v>662</v>
      </c>
      <c r="AZ158" s="27"/>
      <c r="BA158" s="27"/>
      <c r="BB158" s="30"/>
      <c r="BC158" s="30"/>
      <c r="BD158" s="30"/>
      <c r="BE158" s="30"/>
      <c r="BF158" s="30"/>
      <c r="BG158" s="30"/>
      <c r="BH158" s="107"/>
      <c r="BI158" s="107"/>
      <c r="BJ158" s="107"/>
      <c r="BK158" s="107"/>
      <c r="BL158" s="136"/>
      <c r="BM158" s="122"/>
      <c r="BN158" s="196">
        <f>DL158-SUM(BN159:BN165)</f>
        <v>0.29999999999999993</v>
      </c>
      <c r="BO158" s="93">
        <v>7.0000000000000007E-2</v>
      </c>
      <c r="BP158" s="93">
        <v>0.03</v>
      </c>
      <c r="BQ158" s="93"/>
      <c r="BR158" s="93"/>
      <c r="BS158" s="93"/>
      <c r="BT158" s="93"/>
      <c r="BU158" s="27">
        <f t="shared" si="95"/>
        <v>0</v>
      </c>
      <c r="BV158" s="27"/>
      <c r="BW158" s="27"/>
      <c r="BX158" s="27"/>
      <c r="BY158" s="27"/>
      <c r="BZ158" s="27"/>
      <c r="CA158" s="27"/>
      <c r="CB158" s="97">
        <f t="shared" ref="CB158:CF161" si="154">DL158</f>
        <v>0.92</v>
      </c>
      <c r="CC158" s="97">
        <f t="shared" si="154"/>
        <v>0.95</v>
      </c>
      <c r="CD158" s="97">
        <f t="shared" si="154"/>
        <v>0.98</v>
      </c>
      <c r="CE158" s="97">
        <f t="shared" si="154"/>
        <v>0.99</v>
      </c>
      <c r="CF158" s="97">
        <f t="shared" si="154"/>
        <v>0.99</v>
      </c>
      <c r="CG158" s="97">
        <f t="shared" si="153"/>
        <v>0.99</v>
      </c>
      <c r="CH158" s="97">
        <f t="shared" si="153"/>
        <v>0.99</v>
      </c>
      <c r="CI158" s="173"/>
      <c r="CJ158" s="173"/>
      <c r="CK158" s="173"/>
      <c r="CL158" s="173"/>
      <c r="CM158" s="173"/>
      <c r="CN158" s="173"/>
      <c r="CO158" s="173"/>
      <c r="CP158" s="174"/>
      <c r="CQ158" s="174"/>
      <c r="CR158" s="174"/>
      <c r="CS158" s="174"/>
      <c r="CT158" s="174"/>
      <c r="CU158" s="174"/>
      <c r="CV158" s="174"/>
      <c r="CW158" s="165"/>
      <c r="CX158" s="166"/>
      <c r="CY158" s="166"/>
      <c r="CZ158" s="166"/>
      <c r="DA158" s="166"/>
      <c r="DB158" s="166"/>
      <c r="DC158" s="166"/>
      <c r="DD158" s="171"/>
      <c r="DE158" s="171"/>
      <c r="DF158" s="171"/>
      <c r="DG158" s="171"/>
      <c r="DH158" s="171"/>
      <c r="DI158" s="171"/>
      <c r="DJ158" s="171"/>
      <c r="DK158" s="79" t="s">
        <v>663</v>
      </c>
      <c r="DL158" s="128">
        <f>ROUNDUP(VLOOKUP($F158,Activities!$A$9:$I$180,3,FALSE)/$AI158,2)</f>
        <v>0.92</v>
      </c>
      <c r="DM158" s="128">
        <f>ROUNDUP(VLOOKUP($F158,Activities!$A$9:$I$180,4,FALSE)/$AI158,2)</f>
        <v>0.95</v>
      </c>
      <c r="DN158" s="128">
        <f>ROUNDUP(VLOOKUP($F158,Activities!$A$9:$I$180,5,FALSE)/$AI158,2)</f>
        <v>0.98</v>
      </c>
      <c r="DO158" s="128">
        <f>ROUNDUP(VLOOKUP($F158,Activities!$A$9:$I$180,6,FALSE)/$AI158,2)</f>
        <v>0.99</v>
      </c>
      <c r="DP158" s="128">
        <f>ROUNDUP(VLOOKUP($F158,Activities!$A$9:$I$180,7,FALSE)/$AI158,2)</f>
        <v>0.99</v>
      </c>
      <c r="DQ158" s="128">
        <f>ROUNDUP(VLOOKUP($F158,Activities!$A$9:$I$180,8,FALSE)/$AI158,2)</f>
        <v>0.99</v>
      </c>
      <c r="DR158" s="128">
        <f>ROUNDUP(VLOOKUP($F158,Activities!$A$9:$I$180,9,FALSE)/$AI158,2)</f>
        <v>0.99</v>
      </c>
      <c r="DS158" s="218"/>
      <c r="DT158" s="360"/>
      <c r="DU158" s="360"/>
      <c r="DV158" s="360"/>
      <c r="DW158" s="360"/>
      <c r="DX158" s="360"/>
      <c r="DY158" s="360"/>
      <c r="DZ158" s="360"/>
      <c r="EA158" s="360"/>
      <c r="EB158" s="360"/>
      <c r="EC158" s="360"/>
      <c r="ED158" s="360"/>
      <c r="EE158" s="360"/>
      <c r="EF158" s="360"/>
      <c r="EG158" s="360"/>
      <c r="EH158" s="360"/>
      <c r="EI158" s="360"/>
      <c r="EJ158" s="360"/>
      <c r="EK158" s="360"/>
      <c r="EL158" s="360"/>
      <c r="EM158" s="360"/>
      <c r="EN158" s="360"/>
      <c r="EO158" s="360"/>
      <c r="EP158" s="360"/>
      <c r="EQ158" s="360"/>
    </row>
    <row r="159" spans="1:147" x14ac:dyDescent="0.35">
      <c r="A159" s="6" t="s">
        <v>1063</v>
      </c>
      <c r="B159" s="6" t="s">
        <v>734</v>
      </c>
      <c r="C159" s="6" t="s">
        <v>655</v>
      </c>
      <c r="D159" s="6" t="s">
        <v>1029</v>
      </c>
      <c r="E159" s="6" t="s">
        <v>1030</v>
      </c>
      <c r="F159" s="6" t="s">
        <v>384</v>
      </c>
      <c r="G159" s="48" t="s">
        <v>1064</v>
      </c>
      <c r="H159" s="48" t="s">
        <v>1032</v>
      </c>
      <c r="I159" s="102">
        <v>4224.8500000000004</v>
      </c>
      <c r="J159" s="102">
        <v>3748.61</v>
      </c>
      <c r="K159" s="102">
        <v>3296.18</v>
      </c>
      <c r="L159" s="102">
        <v>2866.37</v>
      </c>
      <c r="M159" s="102">
        <v>2866.37</v>
      </c>
      <c r="N159" s="102">
        <v>2866.37</v>
      </c>
      <c r="O159" s="102">
        <v>2866.37</v>
      </c>
      <c r="P159" s="94">
        <v>0</v>
      </c>
      <c r="Q159" s="102">
        <v>3406.64</v>
      </c>
      <c r="R159" s="102">
        <v>3406.64</v>
      </c>
      <c r="S159" s="102">
        <v>3406.64</v>
      </c>
      <c r="T159" s="102">
        <v>3406.64</v>
      </c>
      <c r="U159" s="102">
        <v>3406.64</v>
      </c>
      <c r="V159" s="102">
        <v>3406.64</v>
      </c>
      <c r="W159" s="102">
        <v>3406.64</v>
      </c>
      <c r="X159" s="102">
        <v>0</v>
      </c>
      <c r="Y159" s="102">
        <v>0</v>
      </c>
      <c r="Z159" s="102">
        <v>0</v>
      </c>
      <c r="AA159" s="102">
        <v>0</v>
      </c>
      <c r="AB159" s="102">
        <v>0</v>
      </c>
      <c r="AC159" s="102">
        <v>0</v>
      </c>
      <c r="AD159" s="102">
        <v>0</v>
      </c>
      <c r="AE159" s="186">
        <v>0.08</v>
      </c>
      <c r="AF159" s="94">
        <v>0</v>
      </c>
      <c r="AG159" s="94">
        <v>15</v>
      </c>
      <c r="AH159" s="94">
        <v>15</v>
      </c>
      <c r="AI159" s="17">
        <v>20.8</v>
      </c>
      <c r="AJ159" s="17" t="s">
        <v>660</v>
      </c>
      <c r="AK159" s="17" t="s">
        <v>745</v>
      </c>
      <c r="AL159" s="17"/>
      <c r="AM159" s="61"/>
      <c r="AN159" s="61"/>
      <c r="AO159" s="61"/>
      <c r="AP159" s="61"/>
      <c r="AQ159" s="61"/>
      <c r="AR159" s="61"/>
      <c r="AS159" s="64"/>
      <c r="AT159" s="64"/>
      <c r="AU159" s="64"/>
      <c r="AV159" s="132"/>
      <c r="AW159" s="132"/>
      <c r="AX159" s="132"/>
      <c r="AY159" s="28" t="s">
        <v>662</v>
      </c>
      <c r="AZ159" s="28"/>
      <c r="BA159" s="28"/>
      <c r="BB159" s="28"/>
      <c r="BC159" s="28"/>
      <c r="BD159" s="28"/>
      <c r="BE159" s="28"/>
      <c r="BF159" s="28"/>
      <c r="BG159" s="28"/>
      <c r="BH159" s="106"/>
      <c r="BI159" s="106"/>
      <c r="BJ159" s="106"/>
      <c r="BK159" s="106"/>
      <c r="BL159" s="137"/>
      <c r="BM159" s="123"/>
      <c r="BN159" s="139">
        <v>0.2</v>
      </c>
      <c r="BO159" s="94">
        <v>0.03</v>
      </c>
      <c r="BP159" s="94">
        <v>7.0000000000000007E-2</v>
      </c>
      <c r="BQ159" s="94">
        <v>0.1</v>
      </c>
      <c r="BR159" s="94"/>
      <c r="BS159" s="94"/>
      <c r="BT159" s="94"/>
      <c r="BU159" s="28">
        <f t="shared" ref="BU159" si="155">IF(BL159=1,BN159,0)</f>
        <v>0</v>
      </c>
      <c r="BV159" s="28"/>
      <c r="BW159" s="28"/>
      <c r="BX159" s="28"/>
      <c r="BY159" s="28"/>
      <c r="BZ159" s="28"/>
      <c r="CA159" s="28"/>
      <c r="CB159" s="99">
        <f t="shared" ref="CB159" si="156">DL159</f>
        <v>0.92</v>
      </c>
      <c r="CC159" s="99">
        <f t="shared" ref="CC159" si="157">DM159</f>
        <v>0.95</v>
      </c>
      <c r="CD159" s="99">
        <f t="shared" ref="CD159" si="158">DN159</f>
        <v>0.98</v>
      </c>
      <c r="CE159" s="99">
        <f t="shared" ref="CE159" si="159">DO159</f>
        <v>0.99</v>
      </c>
      <c r="CF159" s="99">
        <f t="shared" ref="CF159" si="160">DP159</f>
        <v>0.99</v>
      </c>
      <c r="CG159" s="99">
        <f t="shared" ref="CG159" si="161">DQ159</f>
        <v>0.99</v>
      </c>
      <c r="CH159" s="99">
        <f t="shared" ref="CH159" si="162">DR159</f>
        <v>0.99</v>
      </c>
      <c r="CI159" s="175"/>
      <c r="CJ159" s="175"/>
      <c r="CK159" s="175"/>
      <c r="CL159" s="175"/>
      <c r="CM159" s="175"/>
      <c r="CN159" s="175"/>
      <c r="CO159" s="175"/>
      <c r="CP159" s="176"/>
      <c r="CQ159" s="176"/>
      <c r="CR159" s="176"/>
      <c r="CS159" s="176"/>
      <c r="CT159" s="176"/>
      <c r="CU159" s="176"/>
      <c r="CV159" s="176"/>
      <c r="CW159" s="167"/>
      <c r="CX159" s="168"/>
      <c r="CY159" s="168"/>
      <c r="CZ159" s="168"/>
      <c r="DA159" s="168"/>
      <c r="DB159" s="168"/>
      <c r="DC159" s="168"/>
      <c r="DD159" s="172"/>
      <c r="DE159" s="172"/>
      <c r="DF159" s="172"/>
      <c r="DG159" s="172"/>
      <c r="DH159" s="172"/>
      <c r="DI159" s="172"/>
      <c r="DJ159" s="172"/>
      <c r="DK159" s="80" t="s">
        <v>687</v>
      </c>
      <c r="DL159" s="129">
        <f>ROUNDUP(VLOOKUP($F159,Activities!$A$9:$I$180,3,FALSE)/$AI159,2)</f>
        <v>0.92</v>
      </c>
      <c r="DM159" s="129">
        <f>ROUNDUP(VLOOKUP($F159,Activities!$A$9:$I$180,4,FALSE)/$AI159,2)</f>
        <v>0.95</v>
      </c>
      <c r="DN159" s="129">
        <f>ROUNDUP(VLOOKUP($F159,Activities!$A$9:$I$180,5,FALSE)/$AI159,2)</f>
        <v>0.98</v>
      </c>
      <c r="DO159" s="129">
        <f>ROUNDUP(VLOOKUP($F159,Activities!$A$9:$I$180,6,FALSE)/$AI159,2)</f>
        <v>0.99</v>
      </c>
      <c r="DP159" s="129">
        <f>ROUNDUP(VLOOKUP($F159,Activities!$A$9:$I$180,7,FALSE)/$AI159,2)</f>
        <v>0.99</v>
      </c>
      <c r="DQ159" s="129">
        <f>ROUNDUP(VLOOKUP($F159,Activities!$A$9:$I$180,8,FALSE)/$AI159,2)</f>
        <v>0.99</v>
      </c>
      <c r="DR159" s="129">
        <f>ROUNDUP(VLOOKUP($F159,Activities!$A$9:$I$180,9,FALSE)/$AI159,2)</f>
        <v>0.99</v>
      </c>
      <c r="DS159" s="218"/>
      <c r="DT159" s="360"/>
      <c r="DU159" s="360"/>
      <c r="DV159" s="360"/>
      <c r="DW159" s="360"/>
      <c r="DX159" s="360"/>
      <c r="DY159" s="360"/>
      <c r="DZ159" s="360"/>
      <c r="EA159" s="360"/>
      <c r="EB159" s="360"/>
      <c r="EC159" s="360"/>
      <c r="ED159" s="360"/>
      <c r="EE159" s="360"/>
      <c r="EF159" s="360"/>
      <c r="EG159" s="360"/>
      <c r="EH159" s="360"/>
      <c r="EI159" s="360"/>
      <c r="EJ159" s="360"/>
      <c r="EK159" s="360"/>
      <c r="EL159" s="360"/>
      <c r="EM159" s="360"/>
      <c r="EN159" s="360"/>
      <c r="EO159" s="360"/>
      <c r="EP159" s="360"/>
      <c r="EQ159" s="360"/>
    </row>
    <row r="160" spans="1:147" x14ac:dyDescent="0.35">
      <c r="A160" s="6" t="s">
        <v>1065</v>
      </c>
      <c r="B160" s="6" t="s">
        <v>734</v>
      </c>
      <c r="C160" s="6" t="s">
        <v>655</v>
      </c>
      <c r="D160" s="6" t="s">
        <v>1029</v>
      </c>
      <c r="E160" s="6" t="s">
        <v>1030</v>
      </c>
      <c r="F160" s="6" t="s">
        <v>384</v>
      </c>
      <c r="G160" s="48" t="s">
        <v>1066</v>
      </c>
      <c r="H160" s="48" t="s">
        <v>1032</v>
      </c>
      <c r="I160" s="102">
        <v>4224.8500000000004</v>
      </c>
      <c r="J160" s="102">
        <v>3748.61</v>
      </c>
      <c r="K160" s="102">
        <v>3296.18</v>
      </c>
      <c r="L160" s="102">
        <v>2866.37</v>
      </c>
      <c r="M160" s="102">
        <v>2866.37</v>
      </c>
      <c r="N160" s="102">
        <v>2866.37</v>
      </c>
      <c r="O160" s="102">
        <v>2866.37</v>
      </c>
      <c r="P160" s="94">
        <v>0</v>
      </c>
      <c r="Q160" s="102">
        <v>3406.64</v>
      </c>
      <c r="R160" s="102">
        <v>3406.64</v>
      </c>
      <c r="S160" s="102">
        <v>3406.64</v>
      </c>
      <c r="T160" s="102">
        <v>3406.64</v>
      </c>
      <c r="U160" s="102">
        <v>3406.64</v>
      </c>
      <c r="V160" s="102">
        <v>3406.64</v>
      </c>
      <c r="W160" s="102">
        <v>3406.64</v>
      </c>
      <c r="X160" s="102">
        <v>0</v>
      </c>
      <c r="Y160" s="102">
        <v>0</v>
      </c>
      <c r="Z160" s="102">
        <v>0</v>
      </c>
      <c r="AA160" s="102">
        <v>0</v>
      </c>
      <c r="AB160" s="102">
        <v>0</v>
      </c>
      <c r="AC160" s="102">
        <v>0</v>
      </c>
      <c r="AD160" s="102">
        <v>0</v>
      </c>
      <c r="AE160" s="186">
        <v>0.08</v>
      </c>
      <c r="AF160" s="94">
        <v>0</v>
      </c>
      <c r="AG160" s="94">
        <v>15</v>
      </c>
      <c r="AH160" s="94">
        <v>15</v>
      </c>
      <c r="AI160" s="17">
        <v>20.8</v>
      </c>
      <c r="AJ160" s="17" t="s">
        <v>660</v>
      </c>
      <c r="AK160" s="17" t="s">
        <v>745</v>
      </c>
      <c r="AL160" s="17"/>
      <c r="AM160" s="61"/>
      <c r="AN160" s="61"/>
      <c r="AO160" s="61"/>
      <c r="AP160" s="61"/>
      <c r="AQ160" s="61"/>
      <c r="AR160" s="61"/>
      <c r="AS160" s="64"/>
      <c r="AT160" s="64"/>
      <c r="AU160" s="64"/>
      <c r="AV160" s="132"/>
      <c r="AW160" s="132"/>
      <c r="AX160" s="132"/>
      <c r="AY160" s="28" t="s">
        <v>662</v>
      </c>
      <c r="AZ160" s="28"/>
      <c r="BA160" s="28"/>
      <c r="BB160" s="28"/>
      <c r="BC160" s="28"/>
      <c r="BD160" s="28"/>
      <c r="BE160" s="28"/>
      <c r="BF160" s="28"/>
      <c r="BG160" s="28"/>
      <c r="BH160" s="106"/>
      <c r="BI160" s="106"/>
      <c r="BJ160" s="106"/>
      <c r="BK160" s="106"/>
      <c r="BL160" s="137"/>
      <c r="BM160" s="123"/>
      <c r="BN160" s="139">
        <v>0.2</v>
      </c>
      <c r="BO160" s="94">
        <v>0.03</v>
      </c>
      <c r="BP160" s="94">
        <v>7.0000000000000007E-2</v>
      </c>
      <c r="BQ160" s="94">
        <v>0.1</v>
      </c>
      <c r="BR160" s="94"/>
      <c r="BS160" s="94"/>
      <c r="BT160" s="94"/>
      <c r="BU160" s="28">
        <f t="shared" si="95"/>
        <v>0</v>
      </c>
      <c r="BV160" s="28"/>
      <c r="BW160" s="28"/>
      <c r="BX160" s="28"/>
      <c r="BY160" s="28"/>
      <c r="BZ160" s="28"/>
      <c r="CA160" s="28"/>
      <c r="CB160" s="99">
        <f t="shared" si="154"/>
        <v>0.92</v>
      </c>
      <c r="CC160" s="99">
        <f t="shared" si="154"/>
        <v>0.95</v>
      </c>
      <c r="CD160" s="99">
        <f t="shared" si="154"/>
        <v>0.98</v>
      </c>
      <c r="CE160" s="99">
        <f t="shared" si="154"/>
        <v>0.99</v>
      </c>
      <c r="CF160" s="99">
        <f t="shared" si="154"/>
        <v>0.99</v>
      </c>
      <c r="CG160" s="99">
        <f t="shared" si="153"/>
        <v>0.99</v>
      </c>
      <c r="CH160" s="99">
        <f t="shared" si="153"/>
        <v>0.99</v>
      </c>
      <c r="CI160" s="175"/>
      <c r="CJ160" s="175"/>
      <c r="CK160" s="175"/>
      <c r="CL160" s="175"/>
      <c r="CM160" s="175"/>
      <c r="CN160" s="175"/>
      <c r="CO160" s="175"/>
      <c r="CP160" s="176"/>
      <c r="CQ160" s="176"/>
      <c r="CR160" s="176"/>
      <c r="CS160" s="176"/>
      <c r="CT160" s="176"/>
      <c r="CU160" s="176"/>
      <c r="CV160" s="176"/>
      <c r="CW160" s="167"/>
      <c r="CX160" s="168"/>
      <c r="CY160" s="168"/>
      <c r="CZ160" s="168"/>
      <c r="DA160" s="168"/>
      <c r="DB160" s="168"/>
      <c r="DC160" s="168"/>
      <c r="DD160" s="172"/>
      <c r="DE160" s="172"/>
      <c r="DF160" s="172"/>
      <c r="DG160" s="172"/>
      <c r="DH160" s="172"/>
      <c r="DI160" s="172"/>
      <c r="DJ160" s="172"/>
      <c r="DK160" s="80" t="s">
        <v>687</v>
      </c>
      <c r="DL160" s="129">
        <f>ROUNDUP(VLOOKUP($F160,Activities!$A$9:$I$180,3,FALSE)/$AI160,2)</f>
        <v>0.92</v>
      </c>
      <c r="DM160" s="129">
        <f>ROUNDUP(VLOOKUP($F160,Activities!$A$9:$I$180,4,FALSE)/$AI160,2)</f>
        <v>0.95</v>
      </c>
      <c r="DN160" s="129">
        <f>ROUNDUP(VLOOKUP($F160,Activities!$A$9:$I$180,5,FALSE)/$AI160,2)</f>
        <v>0.98</v>
      </c>
      <c r="DO160" s="129">
        <f>ROUNDUP(VLOOKUP($F160,Activities!$A$9:$I$180,6,FALSE)/$AI160,2)</f>
        <v>0.99</v>
      </c>
      <c r="DP160" s="129">
        <f>ROUNDUP(VLOOKUP($F160,Activities!$A$9:$I$180,7,FALSE)/$AI160,2)</f>
        <v>0.99</v>
      </c>
      <c r="DQ160" s="129">
        <f>ROUNDUP(VLOOKUP($F160,Activities!$A$9:$I$180,8,FALSE)/$AI160,2)</f>
        <v>0.99</v>
      </c>
      <c r="DR160" s="129">
        <f>ROUNDUP(VLOOKUP($F160,Activities!$A$9:$I$180,9,FALSE)/$AI160,2)</f>
        <v>0.99</v>
      </c>
      <c r="DS160" s="218"/>
      <c r="DT160" s="360"/>
      <c r="DU160" s="360"/>
      <c r="DV160" s="360"/>
      <c r="DW160" s="360"/>
      <c r="DX160" s="360"/>
      <c r="DY160" s="360"/>
      <c r="DZ160" s="360"/>
      <c r="EA160" s="360"/>
      <c r="EB160" s="360"/>
      <c r="EC160" s="360"/>
      <c r="ED160" s="360"/>
      <c r="EE160" s="360"/>
      <c r="EF160" s="360"/>
      <c r="EG160" s="360"/>
      <c r="EH160" s="360"/>
      <c r="EI160" s="360"/>
      <c r="EJ160" s="360"/>
      <c r="EK160" s="360"/>
      <c r="EL160" s="360"/>
      <c r="EM160" s="360"/>
      <c r="EN160" s="360"/>
      <c r="EO160" s="360"/>
      <c r="EP160" s="360"/>
      <c r="EQ160" s="360"/>
    </row>
    <row r="161" spans="1:147" x14ac:dyDescent="0.35">
      <c r="A161" s="6" t="s">
        <v>1067</v>
      </c>
      <c r="B161" s="6" t="s">
        <v>734</v>
      </c>
      <c r="C161" s="6" t="s">
        <v>655</v>
      </c>
      <c r="D161" s="6" t="s">
        <v>1029</v>
      </c>
      <c r="E161" s="6" t="s">
        <v>1030</v>
      </c>
      <c r="F161" s="6" t="s">
        <v>384</v>
      </c>
      <c r="G161" s="48" t="s">
        <v>1068</v>
      </c>
      <c r="H161" s="48" t="s">
        <v>1032</v>
      </c>
      <c r="I161" s="102">
        <v>4224.8500000000004</v>
      </c>
      <c r="J161" s="102">
        <v>3748.61</v>
      </c>
      <c r="K161" s="102">
        <v>3296.18</v>
      </c>
      <c r="L161" s="102">
        <v>2866.37</v>
      </c>
      <c r="M161" s="102">
        <v>2866.37</v>
      </c>
      <c r="N161" s="102">
        <v>2866.37</v>
      </c>
      <c r="O161" s="102">
        <v>2866.37</v>
      </c>
      <c r="P161" s="94">
        <v>0</v>
      </c>
      <c r="Q161" s="102">
        <v>3406.64</v>
      </c>
      <c r="R161" s="102">
        <v>3406.64</v>
      </c>
      <c r="S161" s="102">
        <v>3406.64</v>
      </c>
      <c r="T161" s="102">
        <v>3406.64</v>
      </c>
      <c r="U161" s="102">
        <v>3406.64</v>
      </c>
      <c r="V161" s="102">
        <v>3406.64</v>
      </c>
      <c r="W161" s="102">
        <v>3406.64</v>
      </c>
      <c r="X161" s="102">
        <v>0</v>
      </c>
      <c r="Y161" s="102">
        <v>0</v>
      </c>
      <c r="Z161" s="102">
        <v>0</v>
      </c>
      <c r="AA161" s="102">
        <v>0</v>
      </c>
      <c r="AB161" s="102">
        <v>0</v>
      </c>
      <c r="AC161" s="102">
        <v>0</v>
      </c>
      <c r="AD161" s="102">
        <v>0</v>
      </c>
      <c r="AE161" s="186">
        <v>0.08</v>
      </c>
      <c r="AF161" s="94">
        <v>0</v>
      </c>
      <c r="AG161" s="94">
        <v>15</v>
      </c>
      <c r="AH161" s="94">
        <v>15</v>
      </c>
      <c r="AI161" s="17">
        <v>20.8</v>
      </c>
      <c r="AJ161" s="17" t="s">
        <v>660</v>
      </c>
      <c r="AK161" s="17" t="s">
        <v>745</v>
      </c>
      <c r="AL161" s="17"/>
      <c r="AM161" s="61"/>
      <c r="AN161" s="61"/>
      <c r="AO161" s="61"/>
      <c r="AP161" s="61"/>
      <c r="AQ161" s="61"/>
      <c r="AR161" s="61"/>
      <c r="AS161" s="64"/>
      <c r="AT161" s="64"/>
      <c r="AU161" s="64"/>
      <c r="AV161" s="132"/>
      <c r="AW161" s="132"/>
      <c r="AX161" s="132"/>
      <c r="AY161" s="28" t="s">
        <v>662</v>
      </c>
      <c r="AZ161" s="28"/>
      <c r="BA161" s="28"/>
      <c r="BB161" s="28"/>
      <c r="BC161" s="28"/>
      <c r="BD161" s="28"/>
      <c r="BE161" s="28"/>
      <c r="BF161" s="28"/>
      <c r="BG161" s="28"/>
      <c r="BH161" s="106"/>
      <c r="BI161" s="106"/>
      <c r="BJ161" s="106"/>
      <c r="BK161" s="106"/>
      <c r="BL161" s="194"/>
      <c r="BM161" s="123"/>
      <c r="BN161" s="139">
        <v>0.2</v>
      </c>
      <c r="BO161" s="94">
        <v>0.03</v>
      </c>
      <c r="BP161" s="94">
        <v>7.0000000000000007E-2</v>
      </c>
      <c r="BQ161" s="94">
        <v>0.1</v>
      </c>
      <c r="BR161" s="94"/>
      <c r="BS161" s="94"/>
      <c r="BT161" s="94"/>
      <c r="BU161" s="28">
        <f t="shared" si="95"/>
        <v>0</v>
      </c>
      <c r="BV161" s="28"/>
      <c r="BW161" s="28"/>
      <c r="BX161" s="28"/>
      <c r="BY161" s="28"/>
      <c r="BZ161" s="28"/>
      <c r="CA161" s="28"/>
      <c r="CB161" s="99">
        <f t="shared" si="154"/>
        <v>0.92</v>
      </c>
      <c r="CC161" s="99">
        <f t="shared" si="154"/>
        <v>0.95</v>
      </c>
      <c r="CD161" s="99">
        <f t="shared" si="154"/>
        <v>0.98</v>
      </c>
      <c r="CE161" s="99">
        <f t="shared" si="154"/>
        <v>0.99</v>
      </c>
      <c r="CF161" s="99">
        <f t="shared" si="154"/>
        <v>0.99</v>
      </c>
      <c r="CG161" s="99">
        <f t="shared" si="153"/>
        <v>0.99</v>
      </c>
      <c r="CH161" s="99">
        <f t="shared" si="153"/>
        <v>0.99</v>
      </c>
      <c r="CI161" s="175"/>
      <c r="CJ161" s="175"/>
      <c r="CK161" s="175"/>
      <c r="CL161" s="175"/>
      <c r="CM161" s="175"/>
      <c r="CN161" s="175"/>
      <c r="CO161" s="175"/>
      <c r="CP161" s="176"/>
      <c r="CQ161" s="176"/>
      <c r="CR161" s="176"/>
      <c r="CS161" s="176"/>
      <c r="CT161" s="176"/>
      <c r="CU161" s="176"/>
      <c r="CV161" s="176"/>
      <c r="CW161" s="167"/>
      <c r="CX161" s="168"/>
      <c r="CY161" s="168"/>
      <c r="CZ161" s="168"/>
      <c r="DA161" s="168"/>
      <c r="DB161" s="168"/>
      <c r="DC161" s="168"/>
      <c r="DD161" s="172"/>
      <c r="DE161" s="172"/>
      <c r="DF161" s="172"/>
      <c r="DG161" s="172"/>
      <c r="DH161" s="172"/>
      <c r="DI161" s="172"/>
      <c r="DJ161" s="172"/>
      <c r="DK161" s="80" t="s">
        <v>687</v>
      </c>
      <c r="DL161" s="129">
        <f>ROUNDUP(VLOOKUP($F161,Activities!$A$9:$I$180,3,FALSE)/$AI161,2)</f>
        <v>0.92</v>
      </c>
      <c r="DM161" s="129">
        <f>ROUNDUP(VLOOKUP($F161,Activities!$A$9:$I$180,4,FALSE)/$AI161,2)</f>
        <v>0.95</v>
      </c>
      <c r="DN161" s="129">
        <f>ROUNDUP(VLOOKUP($F161,Activities!$A$9:$I$180,5,FALSE)/$AI161,2)</f>
        <v>0.98</v>
      </c>
      <c r="DO161" s="129">
        <f>ROUNDUP(VLOOKUP($F161,Activities!$A$9:$I$180,6,FALSE)/$AI161,2)</f>
        <v>0.99</v>
      </c>
      <c r="DP161" s="129">
        <f>ROUNDUP(VLOOKUP($F161,Activities!$A$9:$I$180,7,FALSE)/$AI161,2)</f>
        <v>0.99</v>
      </c>
      <c r="DQ161" s="129">
        <f>ROUNDUP(VLOOKUP($F161,Activities!$A$9:$I$180,8,FALSE)/$AI161,2)</f>
        <v>0.99</v>
      </c>
      <c r="DR161" s="129">
        <f>ROUNDUP(VLOOKUP($F161,Activities!$A$9:$I$180,9,FALSE)/$AI161,2)</f>
        <v>0.99</v>
      </c>
      <c r="DS161" s="218"/>
      <c r="DT161" s="360"/>
      <c r="DU161" s="360"/>
      <c r="DV161" s="360"/>
      <c r="DW161" s="360"/>
      <c r="DX161" s="360"/>
      <c r="DY161" s="360"/>
      <c r="DZ161" s="360"/>
      <c r="EA161" s="360"/>
      <c r="EB161" s="360"/>
      <c r="EC161" s="360"/>
      <c r="ED161" s="360"/>
      <c r="EE161" s="360"/>
      <c r="EF161" s="360"/>
      <c r="EG161" s="360"/>
      <c r="EH161" s="360"/>
      <c r="EI161" s="360"/>
      <c r="EJ161" s="360"/>
      <c r="EK161" s="360"/>
      <c r="EL161" s="360"/>
      <c r="EM161" s="360"/>
      <c r="EN161" s="360"/>
      <c r="EO161" s="360"/>
      <c r="EP161" s="360"/>
      <c r="EQ161" s="360"/>
    </row>
    <row r="162" spans="1:147" x14ac:dyDescent="0.35">
      <c r="A162" s="5" t="s">
        <v>1069</v>
      </c>
      <c r="B162" s="5" t="s">
        <v>734</v>
      </c>
      <c r="C162" s="5" t="s">
        <v>655</v>
      </c>
      <c r="D162" s="5" t="s">
        <v>1029</v>
      </c>
      <c r="E162" s="5" t="s">
        <v>1030</v>
      </c>
      <c r="F162" s="5" t="s">
        <v>384</v>
      </c>
      <c r="G162" s="47" t="s">
        <v>1070</v>
      </c>
      <c r="H162" s="47" t="s">
        <v>1032</v>
      </c>
      <c r="I162" s="101">
        <v>10926.55</v>
      </c>
      <c r="J162" s="101">
        <v>10196.36</v>
      </c>
      <c r="K162" s="101">
        <v>9499.02</v>
      </c>
      <c r="L162" s="101">
        <v>8833.06</v>
      </c>
      <c r="M162" s="101">
        <v>8197.08</v>
      </c>
      <c r="N162" s="101">
        <v>7589.71</v>
      </c>
      <c r="O162" s="101">
        <v>7009.67</v>
      </c>
      <c r="P162" s="93">
        <v>0</v>
      </c>
      <c r="Q162" s="101">
        <v>3406.64</v>
      </c>
      <c r="R162" s="101">
        <v>3406.64</v>
      </c>
      <c r="S162" s="101">
        <v>3406.64</v>
      </c>
      <c r="T162" s="101">
        <v>3406.64</v>
      </c>
      <c r="U162" s="101">
        <v>3406.64</v>
      </c>
      <c r="V162" s="101">
        <v>3406.64</v>
      </c>
      <c r="W162" s="101">
        <v>3406.64</v>
      </c>
      <c r="X162" s="101">
        <v>0</v>
      </c>
      <c r="Y162" s="101">
        <v>0</v>
      </c>
      <c r="Z162" s="101">
        <v>0</v>
      </c>
      <c r="AA162" s="101">
        <v>0</v>
      </c>
      <c r="AB162" s="101">
        <v>0</v>
      </c>
      <c r="AC162" s="101">
        <v>0</v>
      </c>
      <c r="AD162" s="101">
        <v>0</v>
      </c>
      <c r="AE162" s="186">
        <v>0.08</v>
      </c>
      <c r="AF162" s="93">
        <v>0</v>
      </c>
      <c r="AG162" s="93">
        <v>15</v>
      </c>
      <c r="AH162" s="93">
        <v>15</v>
      </c>
      <c r="AI162" s="16">
        <v>20.8</v>
      </c>
      <c r="AJ162" s="16" t="s">
        <v>660</v>
      </c>
      <c r="AK162" s="16" t="s">
        <v>1071</v>
      </c>
      <c r="AL162" s="16"/>
      <c r="AM162" s="60"/>
      <c r="AN162" s="60"/>
      <c r="AO162" s="60"/>
      <c r="AP162" s="60"/>
      <c r="AQ162" s="60"/>
      <c r="AR162" s="60"/>
      <c r="AS162" s="63"/>
      <c r="AT162" s="63"/>
      <c r="AU162" s="63"/>
      <c r="AV162" s="131"/>
      <c r="AW162" s="131"/>
      <c r="AX162" s="131"/>
      <c r="AY162" s="27" t="s">
        <v>662</v>
      </c>
      <c r="AZ162" s="27"/>
      <c r="BA162" s="27"/>
      <c r="BB162" s="30"/>
      <c r="BC162" s="30"/>
      <c r="BD162" s="30"/>
      <c r="BE162" s="30"/>
      <c r="BF162" s="30"/>
      <c r="BG162" s="30"/>
      <c r="BH162" s="107"/>
      <c r="BI162" s="107"/>
      <c r="BJ162" s="107"/>
      <c r="BK162" s="107"/>
      <c r="BL162" s="194"/>
      <c r="BM162" s="122"/>
      <c r="BN162" s="138">
        <v>0.01</v>
      </c>
      <c r="BO162" s="93"/>
      <c r="BP162" s="93"/>
      <c r="BQ162" s="93">
        <v>0.01</v>
      </c>
      <c r="BR162" s="93"/>
      <c r="BS162" s="93"/>
      <c r="BT162" s="93"/>
      <c r="BU162" s="27">
        <f t="shared" si="95"/>
        <v>0</v>
      </c>
      <c r="BV162" s="27"/>
      <c r="BW162" s="27"/>
      <c r="BX162" s="27"/>
      <c r="BY162" s="27"/>
      <c r="BZ162" s="27"/>
      <c r="CA162" s="27"/>
      <c r="CB162" s="97">
        <v>0.01</v>
      </c>
      <c r="CC162" s="97">
        <v>0.1</v>
      </c>
      <c r="CD162" s="97">
        <v>0.5</v>
      </c>
      <c r="CE162" s="97">
        <v>1</v>
      </c>
      <c r="CF162" s="97">
        <v>1</v>
      </c>
      <c r="CG162" s="97">
        <f t="shared" si="153"/>
        <v>0.99</v>
      </c>
      <c r="CH162" s="97">
        <f t="shared" si="153"/>
        <v>0.99</v>
      </c>
      <c r="CI162" s="173"/>
      <c r="CJ162" s="173"/>
      <c r="CK162" s="173"/>
      <c r="CL162" s="173"/>
      <c r="CM162" s="173"/>
      <c r="CN162" s="173"/>
      <c r="CO162" s="173"/>
      <c r="CP162" s="174"/>
      <c r="CQ162" s="174"/>
      <c r="CR162" s="174"/>
      <c r="CS162" s="174"/>
      <c r="CT162" s="174"/>
      <c r="CU162" s="174"/>
      <c r="CV162" s="174"/>
      <c r="CW162" s="165"/>
      <c r="CX162" s="166"/>
      <c r="CY162" s="166"/>
      <c r="CZ162" s="166"/>
      <c r="DA162" s="166"/>
      <c r="DB162" s="166"/>
      <c r="DC162" s="166"/>
      <c r="DD162" s="171"/>
      <c r="DE162" s="171"/>
      <c r="DF162" s="171"/>
      <c r="DG162" s="171"/>
      <c r="DH162" s="171"/>
      <c r="DI162" s="171"/>
      <c r="DJ162" s="171"/>
      <c r="DK162" s="79" t="s">
        <v>687</v>
      </c>
      <c r="DL162" s="128">
        <f>ROUNDUP(VLOOKUP($F162,Activities!$A$9:$I$180,3,FALSE)/$AI162,2)</f>
        <v>0.92</v>
      </c>
      <c r="DM162" s="128">
        <f>ROUNDUP(VLOOKUP($F162,Activities!$A$9:$I$180,4,FALSE)/$AI162,2)</f>
        <v>0.95</v>
      </c>
      <c r="DN162" s="128">
        <f>ROUNDUP(VLOOKUP($F162,Activities!$A$9:$I$180,5,FALSE)/$AI162,2)</f>
        <v>0.98</v>
      </c>
      <c r="DO162" s="128">
        <f>ROUNDUP(VLOOKUP($F162,Activities!$A$9:$I$180,6,FALSE)/$AI162,2)</f>
        <v>0.99</v>
      </c>
      <c r="DP162" s="128">
        <f>ROUNDUP(VLOOKUP($F162,Activities!$A$9:$I$180,7,FALSE)/$AI162,2)</f>
        <v>0.99</v>
      </c>
      <c r="DQ162" s="128">
        <f>ROUNDUP(VLOOKUP($F162,Activities!$A$9:$I$180,8,FALSE)/$AI162,2)</f>
        <v>0.99</v>
      </c>
      <c r="DR162" s="128">
        <f>ROUNDUP(VLOOKUP($F162,Activities!$A$9:$I$180,9,FALSE)/$AI162,2)</f>
        <v>0.99</v>
      </c>
      <c r="DS162" s="218"/>
      <c r="DT162" s="360"/>
      <c r="DU162" s="360"/>
      <c r="DV162" s="360"/>
      <c r="DW162" s="360"/>
      <c r="DX162" s="360"/>
      <c r="DY162" s="360"/>
      <c r="DZ162" s="360"/>
      <c r="EA162" s="360"/>
      <c r="EB162" s="360"/>
      <c r="EC162" s="360"/>
      <c r="ED162" s="360"/>
      <c r="EE162" s="360"/>
      <c r="EF162" s="360"/>
      <c r="EG162" s="360"/>
      <c r="EH162" s="360"/>
      <c r="EI162" s="360"/>
      <c r="EJ162" s="360"/>
      <c r="EK162" s="360"/>
      <c r="EL162" s="360"/>
      <c r="EM162" s="360"/>
      <c r="EN162" s="360"/>
      <c r="EO162" s="360"/>
      <c r="EP162" s="360"/>
      <c r="EQ162" s="360"/>
    </row>
    <row r="163" spans="1:147" x14ac:dyDescent="0.35">
      <c r="A163" s="6" t="s">
        <v>1072</v>
      </c>
      <c r="B163" s="6" t="s">
        <v>734</v>
      </c>
      <c r="C163" s="6" t="s">
        <v>655</v>
      </c>
      <c r="D163" s="6" t="s">
        <v>1029</v>
      </c>
      <c r="E163" s="6" t="s">
        <v>1030</v>
      </c>
      <c r="F163" s="6" t="s">
        <v>384</v>
      </c>
      <c r="G163" s="48" t="s">
        <v>1073</v>
      </c>
      <c r="H163" s="48" t="s">
        <v>1032</v>
      </c>
      <c r="I163" s="102">
        <v>20665.02</v>
      </c>
      <c r="J163" s="102">
        <v>18587.82</v>
      </c>
      <c r="K163" s="102">
        <v>16676.79</v>
      </c>
      <c r="L163" s="102">
        <v>14918.65</v>
      </c>
      <c r="M163" s="102">
        <v>13301.16</v>
      </c>
      <c r="N163" s="102">
        <v>11813.07</v>
      </c>
      <c r="O163" s="102">
        <v>10444.02</v>
      </c>
      <c r="P163" s="94">
        <v>0</v>
      </c>
      <c r="Q163" s="102">
        <v>2271.09</v>
      </c>
      <c r="R163" s="102">
        <v>2271.09</v>
      </c>
      <c r="S163" s="102">
        <v>2271.09</v>
      </c>
      <c r="T163" s="102">
        <v>2271.09</v>
      </c>
      <c r="U163" s="102">
        <v>2271.09</v>
      </c>
      <c r="V163" s="102">
        <v>2271.09</v>
      </c>
      <c r="W163" s="102">
        <v>2271.09</v>
      </c>
      <c r="X163" s="102">
        <v>0</v>
      </c>
      <c r="Y163" s="102">
        <v>0</v>
      </c>
      <c r="Z163" s="102">
        <v>0</v>
      </c>
      <c r="AA163" s="102">
        <v>0</v>
      </c>
      <c r="AB163" s="102">
        <v>0</v>
      </c>
      <c r="AC163" s="102">
        <v>0</v>
      </c>
      <c r="AD163" s="102">
        <v>0</v>
      </c>
      <c r="AE163" s="186">
        <v>0.08</v>
      </c>
      <c r="AF163" s="94">
        <v>0</v>
      </c>
      <c r="AG163" s="94">
        <v>15</v>
      </c>
      <c r="AH163" s="94">
        <v>15</v>
      </c>
      <c r="AI163" s="17">
        <v>20.8</v>
      </c>
      <c r="AJ163" s="17" t="s">
        <v>660</v>
      </c>
      <c r="AK163" s="17" t="s">
        <v>1071</v>
      </c>
      <c r="AL163" s="17"/>
      <c r="AM163" s="61"/>
      <c r="AN163" s="61"/>
      <c r="AO163" s="61"/>
      <c r="AP163" s="61"/>
      <c r="AQ163" s="61"/>
      <c r="AR163" s="61"/>
      <c r="AS163" s="64"/>
      <c r="AT163" s="64"/>
      <c r="AU163" s="64"/>
      <c r="AV163" s="132"/>
      <c r="AW163" s="132"/>
      <c r="AX163" s="132"/>
      <c r="AY163" s="28" t="s">
        <v>662</v>
      </c>
      <c r="AZ163" s="28"/>
      <c r="BA163" s="28"/>
      <c r="BB163" s="28"/>
      <c r="BC163" s="28"/>
      <c r="BD163" s="28"/>
      <c r="BE163" s="28"/>
      <c r="BF163" s="28"/>
      <c r="BG163" s="28"/>
      <c r="BH163" s="106"/>
      <c r="BI163" s="106"/>
      <c r="BJ163" s="106"/>
      <c r="BK163" s="106"/>
      <c r="BL163" s="194"/>
      <c r="BM163" s="123"/>
      <c r="BN163" s="139">
        <v>0.01</v>
      </c>
      <c r="BO163" s="94"/>
      <c r="BP163" s="94"/>
      <c r="BQ163" s="94">
        <v>0.01</v>
      </c>
      <c r="BR163" s="94"/>
      <c r="BS163" s="94"/>
      <c r="BT163" s="94"/>
      <c r="BU163" s="28">
        <f t="shared" si="95"/>
        <v>0</v>
      </c>
      <c r="BV163" s="28"/>
      <c r="BW163" s="28"/>
      <c r="BX163" s="28"/>
      <c r="BY163" s="28"/>
      <c r="BZ163" s="28"/>
      <c r="CA163" s="28"/>
      <c r="CB163" s="99">
        <v>0.01</v>
      </c>
      <c r="CC163" s="99">
        <v>0.1</v>
      </c>
      <c r="CD163" s="99">
        <v>0.5</v>
      </c>
      <c r="CE163" s="99">
        <v>1</v>
      </c>
      <c r="CF163" s="99">
        <v>2</v>
      </c>
      <c r="CG163" s="99">
        <f t="shared" si="153"/>
        <v>0.99</v>
      </c>
      <c r="CH163" s="99">
        <f t="shared" si="153"/>
        <v>0.99</v>
      </c>
      <c r="CI163" s="175"/>
      <c r="CJ163" s="175"/>
      <c r="CK163" s="175"/>
      <c r="CL163" s="175"/>
      <c r="CM163" s="175"/>
      <c r="CN163" s="175"/>
      <c r="CO163" s="175"/>
      <c r="CP163" s="176"/>
      <c r="CQ163" s="176"/>
      <c r="CR163" s="176"/>
      <c r="CS163" s="176"/>
      <c r="CT163" s="176"/>
      <c r="CU163" s="176"/>
      <c r="CV163" s="176"/>
      <c r="CW163" s="167"/>
      <c r="CX163" s="168"/>
      <c r="CY163" s="168"/>
      <c r="CZ163" s="168"/>
      <c r="DA163" s="168"/>
      <c r="DB163" s="168"/>
      <c r="DC163" s="168"/>
      <c r="DD163" s="172"/>
      <c r="DE163" s="172"/>
      <c r="DF163" s="172"/>
      <c r="DG163" s="172"/>
      <c r="DH163" s="172"/>
      <c r="DI163" s="172"/>
      <c r="DJ163" s="172"/>
      <c r="DK163" s="80" t="s">
        <v>687</v>
      </c>
      <c r="DL163" s="129">
        <f>ROUNDUP(VLOOKUP($F163,Activities!$A$9:$I$180,3,FALSE)/$AI163,2)</f>
        <v>0.92</v>
      </c>
      <c r="DM163" s="129">
        <f>ROUNDUP(VLOOKUP($F163,Activities!$A$9:$I$180,4,FALSE)/$AI163,2)</f>
        <v>0.95</v>
      </c>
      <c r="DN163" s="129">
        <f>ROUNDUP(VLOOKUP($F163,Activities!$A$9:$I$180,5,FALSE)/$AI163,2)</f>
        <v>0.98</v>
      </c>
      <c r="DO163" s="129">
        <f>ROUNDUP(VLOOKUP($F163,Activities!$A$9:$I$180,6,FALSE)/$AI163,2)</f>
        <v>0.99</v>
      </c>
      <c r="DP163" s="129">
        <f>ROUNDUP(VLOOKUP($F163,Activities!$A$9:$I$180,7,FALSE)/$AI163,2)</f>
        <v>0.99</v>
      </c>
      <c r="DQ163" s="129">
        <f>ROUNDUP(VLOOKUP($F163,Activities!$A$9:$I$180,8,FALSE)/$AI163,2)</f>
        <v>0.99</v>
      </c>
      <c r="DR163" s="129">
        <f>ROUNDUP(VLOOKUP($F163,Activities!$A$9:$I$180,9,FALSE)/$AI163,2)</f>
        <v>0.99</v>
      </c>
      <c r="DS163" s="218"/>
      <c r="DT163" s="360"/>
      <c r="DU163" s="360"/>
      <c r="DV163" s="360"/>
      <c r="DW163" s="360"/>
      <c r="DX163" s="360"/>
      <c r="DY163" s="360"/>
      <c r="DZ163" s="360"/>
      <c r="EA163" s="360"/>
      <c r="EB163" s="360"/>
      <c r="EC163" s="360"/>
      <c r="ED163" s="360"/>
      <c r="EE163" s="360"/>
      <c r="EF163" s="360"/>
      <c r="EG163" s="360"/>
      <c r="EH163" s="360"/>
      <c r="EI163" s="360"/>
      <c r="EJ163" s="360"/>
      <c r="EK163" s="360"/>
      <c r="EL163" s="360"/>
      <c r="EM163" s="360"/>
      <c r="EN163" s="360"/>
      <c r="EO163" s="360"/>
      <c r="EP163" s="360"/>
      <c r="EQ163" s="360"/>
    </row>
    <row r="164" spans="1:147" x14ac:dyDescent="0.35">
      <c r="A164" s="5" t="s">
        <v>1074</v>
      </c>
      <c r="B164" s="5" t="s">
        <v>734</v>
      </c>
      <c r="C164" s="5" t="s">
        <v>655</v>
      </c>
      <c r="D164" s="5" t="s">
        <v>1029</v>
      </c>
      <c r="E164" s="5" t="s">
        <v>1030</v>
      </c>
      <c r="F164" s="5" t="s">
        <v>384</v>
      </c>
      <c r="G164" s="47" t="s">
        <v>1075</v>
      </c>
      <c r="H164" s="47" t="s">
        <v>1032</v>
      </c>
      <c r="I164" s="101">
        <v>20665.02</v>
      </c>
      <c r="J164" s="101">
        <v>18587.82</v>
      </c>
      <c r="K164" s="101">
        <v>16676.79</v>
      </c>
      <c r="L164" s="101">
        <v>14918.65</v>
      </c>
      <c r="M164" s="101">
        <v>13301.16</v>
      </c>
      <c r="N164" s="101">
        <v>11813.07</v>
      </c>
      <c r="O164" s="101">
        <v>10444.02</v>
      </c>
      <c r="P164" s="93">
        <v>0</v>
      </c>
      <c r="Q164" s="101">
        <v>2271.09</v>
      </c>
      <c r="R164" s="101">
        <v>2271.09</v>
      </c>
      <c r="S164" s="101">
        <v>2271.09</v>
      </c>
      <c r="T164" s="101">
        <v>2271.09</v>
      </c>
      <c r="U164" s="101">
        <v>2271.09</v>
      </c>
      <c r="V164" s="101">
        <v>2271.09</v>
      </c>
      <c r="W164" s="101">
        <v>2271.09</v>
      </c>
      <c r="X164" s="101">
        <v>0</v>
      </c>
      <c r="Y164" s="101">
        <v>0</v>
      </c>
      <c r="Z164" s="101">
        <v>0</v>
      </c>
      <c r="AA164" s="101">
        <v>0</v>
      </c>
      <c r="AB164" s="101">
        <v>0</v>
      </c>
      <c r="AC164" s="101">
        <v>0</v>
      </c>
      <c r="AD164" s="101">
        <v>0</v>
      </c>
      <c r="AE164" s="186">
        <v>0.08</v>
      </c>
      <c r="AF164" s="93">
        <v>0</v>
      </c>
      <c r="AG164" s="93">
        <v>15</v>
      </c>
      <c r="AH164" s="93">
        <v>15</v>
      </c>
      <c r="AI164" s="16">
        <v>20.8</v>
      </c>
      <c r="AJ164" s="16" t="s">
        <v>660</v>
      </c>
      <c r="AK164" s="16" t="s">
        <v>1071</v>
      </c>
      <c r="AL164" s="16"/>
      <c r="AM164" s="60"/>
      <c r="AN164" s="60"/>
      <c r="AO164" s="60"/>
      <c r="AP164" s="60"/>
      <c r="AQ164" s="60"/>
      <c r="AR164" s="60"/>
      <c r="AS164" s="63"/>
      <c r="AT164" s="63"/>
      <c r="AU164" s="63"/>
      <c r="AV164" s="131"/>
      <c r="AW164" s="131"/>
      <c r="AX164" s="131"/>
      <c r="AY164" s="27" t="s">
        <v>1055</v>
      </c>
      <c r="AZ164" s="27" t="s">
        <v>456</v>
      </c>
      <c r="BA164" s="27">
        <v>1</v>
      </c>
      <c r="BB164" s="30">
        <v>9</v>
      </c>
      <c r="BC164" s="30" t="s">
        <v>667</v>
      </c>
      <c r="BD164" s="30">
        <v>0</v>
      </c>
      <c r="BE164" s="30">
        <v>0.8</v>
      </c>
      <c r="BF164" s="30">
        <v>2</v>
      </c>
      <c r="BG164" s="30">
        <v>5.0000000000000001E-3</v>
      </c>
      <c r="BH164" s="107"/>
      <c r="BI164" s="107"/>
      <c r="BJ164" s="107"/>
      <c r="BK164" s="107"/>
      <c r="BL164" s="194"/>
      <c r="BM164" s="122"/>
      <c r="BN164" s="138">
        <v>0</v>
      </c>
      <c r="BO164" s="93"/>
      <c r="BP164" s="93"/>
      <c r="BQ164" s="93"/>
      <c r="BR164" s="93"/>
      <c r="BS164" s="93"/>
      <c r="BT164" s="93"/>
      <c r="BU164" s="27">
        <f t="shared" si="95"/>
        <v>0</v>
      </c>
      <c r="BV164" s="27"/>
      <c r="BW164" s="27"/>
      <c r="BX164" s="27"/>
      <c r="BY164" s="27"/>
      <c r="BZ164" s="27"/>
      <c r="CA164" s="27"/>
      <c r="CB164" s="97"/>
      <c r="CC164" s="97">
        <v>0.1</v>
      </c>
      <c r="CD164" s="97">
        <v>0.5</v>
      </c>
      <c r="CE164" s="97">
        <v>1</v>
      </c>
      <c r="CF164" s="97">
        <f t="shared" si="153"/>
        <v>0.99</v>
      </c>
      <c r="CG164" s="97">
        <f t="shared" si="153"/>
        <v>0.99</v>
      </c>
      <c r="CH164" s="97">
        <f t="shared" si="153"/>
        <v>0.99</v>
      </c>
      <c r="CI164" s="173"/>
      <c r="CJ164" s="173"/>
      <c r="CK164" s="173"/>
      <c r="CL164" s="173"/>
      <c r="CM164" s="173"/>
      <c r="CN164" s="173"/>
      <c r="CO164" s="173"/>
      <c r="CP164" s="174"/>
      <c r="CQ164" s="174"/>
      <c r="CR164" s="174"/>
      <c r="CS164" s="174"/>
      <c r="CT164" s="174"/>
      <c r="CU164" s="174"/>
      <c r="CV164" s="174"/>
      <c r="CW164" s="165"/>
      <c r="CX164" s="166"/>
      <c r="CY164" s="166"/>
      <c r="CZ164" s="166"/>
      <c r="DA164" s="166"/>
      <c r="DB164" s="166"/>
      <c r="DC164" s="166"/>
      <c r="DD164" s="171"/>
      <c r="DE164" s="171"/>
      <c r="DF164" s="171"/>
      <c r="DG164" s="171"/>
      <c r="DH164" s="171"/>
      <c r="DI164" s="171"/>
      <c r="DJ164" s="171"/>
      <c r="DK164" s="79" t="s">
        <v>687</v>
      </c>
      <c r="DL164" s="128">
        <f>ROUNDUP(VLOOKUP($F164,Activities!$A$9:$I$180,3,FALSE)/$AI164,2)</f>
        <v>0.92</v>
      </c>
      <c r="DM164" s="128">
        <f>ROUNDUP(VLOOKUP($F164,Activities!$A$9:$I$180,4,FALSE)/$AI164,2)</f>
        <v>0.95</v>
      </c>
      <c r="DN164" s="128">
        <f>ROUNDUP(VLOOKUP($F164,Activities!$A$9:$I$180,5,FALSE)/$AI164,2)</f>
        <v>0.98</v>
      </c>
      <c r="DO164" s="128">
        <f>ROUNDUP(VLOOKUP($F164,Activities!$A$9:$I$180,6,FALSE)/$AI164,2)</f>
        <v>0.99</v>
      </c>
      <c r="DP164" s="128">
        <f>ROUNDUP(VLOOKUP($F164,Activities!$A$9:$I$180,7,FALSE)/$AI164,2)</f>
        <v>0.99</v>
      </c>
      <c r="DQ164" s="128">
        <f>ROUNDUP(VLOOKUP($F164,Activities!$A$9:$I$180,8,FALSE)/$AI164,2)</f>
        <v>0.99</v>
      </c>
      <c r="DR164" s="128">
        <f>ROUNDUP(VLOOKUP($F164,Activities!$A$9:$I$180,9,FALSE)/$AI164,2)</f>
        <v>0.99</v>
      </c>
      <c r="DS164" s="218"/>
      <c r="DT164" s="360"/>
      <c r="DU164" s="360"/>
      <c r="DV164" s="360"/>
      <c r="DW164" s="360"/>
      <c r="DX164" s="360"/>
      <c r="DY164" s="360"/>
      <c r="DZ164" s="360"/>
      <c r="EA164" s="360"/>
      <c r="EB164" s="360"/>
      <c r="EC164" s="360"/>
      <c r="ED164" s="360"/>
      <c r="EE164" s="360"/>
      <c r="EF164" s="360"/>
      <c r="EG164" s="360"/>
      <c r="EH164" s="360"/>
      <c r="EI164" s="360"/>
      <c r="EJ164" s="360"/>
      <c r="EK164" s="360"/>
      <c r="EL164" s="360"/>
      <c r="EM164" s="360"/>
      <c r="EN164" s="360"/>
      <c r="EO164" s="360"/>
      <c r="EP164" s="360"/>
      <c r="EQ164" s="360"/>
    </row>
    <row r="165" spans="1:147" x14ac:dyDescent="0.35">
      <c r="A165" s="6" t="s">
        <v>1076</v>
      </c>
      <c r="B165" s="6" t="s">
        <v>734</v>
      </c>
      <c r="C165" s="6" t="s">
        <v>655</v>
      </c>
      <c r="D165" s="6" t="s">
        <v>1029</v>
      </c>
      <c r="E165" s="6" t="s">
        <v>1030</v>
      </c>
      <c r="F165" s="6" t="s">
        <v>384</v>
      </c>
      <c r="G165" s="48" t="s">
        <v>1077</v>
      </c>
      <c r="H165" s="48" t="s">
        <v>1032</v>
      </c>
      <c r="I165" s="102">
        <v>44525.58</v>
      </c>
      <c r="J165" s="102">
        <v>43529.07</v>
      </c>
      <c r="K165" s="102">
        <v>42552.49</v>
      </c>
      <c r="L165" s="102">
        <v>37767.24</v>
      </c>
      <c r="M165" s="102">
        <v>33460.51</v>
      </c>
      <c r="N165" s="102">
        <v>29584.46</v>
      </c>
      <c r="O165" s="102">
        <v>26096.02</v>
      </c>
      <c r="P165" s="94">
        <v>0</v>
      </c>
      <c r="Q165" s="102">
        <v>5895.83</v>
      </c>
      <c r="R165" s="102">
        <v>5777.91</v>
      </c>
      <c r="S165" s="102">
        <v>5662.35</v>
      </c>
      <c r="T165" s="102">
        <v>5096.12</v>
      </c>
      <c r="U165" s="102">
        <v>4586.5</v>
      </c>
      <c r="V165" s="102">
        <v>4127.8500000000004</v>
      </c>
      <c r="W165" s="102">
        <v>3715.07</v>
      </c>
      <c r="X165" s="102">
        <v>0</v>
      </c>
      <c r="Y165" s="102">
        <v>0</v>
      </c>
      <c r="Z165" s="102">
        <v>0</v>
      </c>
      <c r="AA165" s="102">
        <v>0</v>
      </c>
      <c r="AB165" s="102">
        <v>0</v>
      </c>
      <c r="AC165" s="102">
        <v>0</v>
      </c>
      <c r="AD165" s="102">
        <v>0</v>
      </c>
      <c r="AE165" s="186">
        <v>0.08</v>
      </c>
      <c r="AF165" s="94">
        <v>0</v>
      </c>
      <c r="AG165" s="94">
        <v>15</v>
      </c>
      <c r="AH165" s="94">
        <v>15</v>
      </c>
      <c r="AI165" s="17">
        <v>20.8</v>
      </c>
      <c r="AJ165" s="17" t="s">
        <v>660</v>
      </c>
      <c r="AK165" s="17" t="s">
        <v>1071</v>
      </c>
      <c r="AL165" s="17"/>
      <c r="AM165" s="61"/>
      <c r="AN165" s="61"/>
      <c r="AO165" s="61"/>
      <c r="AP165" s="61"/>
      <c r="AQ165" s="61"/>
      <c r="AR165" s="61"/>
      <c r="AS165" s="64"/>
      <c r="AT165" s="64"/>
      <c r="AU165" s="64"/>
      <c r="AV165" s="132"/>
      <c r="AW165" s="132"/>
      <c r="AX165" s="132"/>
      <c r="AY165" s="28" t="s">
        <v>662</v>
      </c>
      <c r="AZ165" s="28"/>
      <c r="BA165" s="28"/>
      <c r="BB165" s="28"/>
      <c r="BC165" s="28"/>
      <c r="BD165" s="28"/>
      <c r="BE165" s="28"/>
      <c r="BF165" s="28"/>
      <c r="BG165" s="28"/>
      <c r="BH165" s="106"/>
      <c r="BI165" s="106"/>
      <c r="BJ165" s="106"/>
      <c r="BK165" s="106"/>
      <c r="BL165" s="194"/>
      <c r="BM165" s="123"/>
      <c r="BN165" s="139">
        <v>0</v>
      </c>
      <c r="BO165" s="94"/>
      <c r="BP165" s="94"/>
      <c r="BQ165" s="94"/>
      <c r="BR165" s="94"/>
      <c r="BS165" s="94"/>
      <c r="BT165" s="94"/>
      <c r="BU165" s="28">
        <f t="shared" si="95"/>
        <v>0</v>
      </c>
      <c r="BV165" s="28"/>
      <c r="BW165" s="28"/>
      <c r="BX165" s="28"/>
      <c r="BY165" s="28"/>
      <c r="BZ165" s="28"/>
      <c r="CA165" s="28"/>
      <c r="CB165" s="99">
        <v>1E-3</v>
      </c>
      <c r="CC165" s="99">
        <v>0.01</v>
      </c>
      <c r="CD165" s="99">
        <v>0.1</v>
      </c>
      <c r="CE165" s="99">
        <v>0.5</v>
      </c>
      <c r="CF165" s="99">
        <v>1</v>
      </c>
      <c r="CG165" s="99">
        <f t="shared" si="153"/>
        <v>0.99</v>
      </c>
      <c r="CH165" s="99">
        <f t="shared" si="153"/>
        <v>0.99</v>
      </c>
      <c r="CI165" s="175"/>
      <c r="CJ165" s="175"/>
      <c r="CK165" s="175"/>
      <c r="CL165" s="175"/>
      <c r="CM165" s="175"/>
      <c r="CN165" s="175"/>
      <c r="CO165" s="175"/>
      <c r="CP165" s="176"/>
      <c r="CQ165" s="176"/>
      <c r="CR165" s="176"/>
      <c r="CS165" s="176"/>
      <c r="CT165" s="176"/>
      <c r="CU165" s="176"/>
      <c r="CV165" s="176"/>
      <c r="CW165" s="167"/>
      <c r="CX165" s="168"/>
      <c r="CY165" s="168"/>
      <c r="CZ165" s="168"/>
      <c r="DA165" s="168"/>
      <c r="DB165" s="168"/>
      <c r="DC165" s="168"/>
      <c r="DD165" s="172"/>
      <c r="DE165" s="172"/>
      <c r="DF165" s="172"/>
      <c r="DG165" s="172"/>
      <c r="DH165" s="172"/>
      <c r="DI165" s="172"/>
      <c r="DJ165" s="172"/>
      <c r="DK165" s="80" t="s">
        <v>687</v>
      </c>
      <c r="DL165" s="129">
        <f>ROUNDUP(VLOOKUP($F165,Activities!$A$9:$I$180,3,FALSE)/$AI165,2)</f>
        <v>0.92</v>
      </c>
      <c r="DM165" s="129">
        <f>ROUNDUP(VLOOKUP($F165,Activities!$A$9:$I$180,4,FALSE)/$AI165,2)</f>
        <v>0.95</v>
      </c>
      <c r="DN165" s="129">
        <f>ROUNDUP(VLOOKUP($F165,Activities!$A$9:$I$180,5,FALSE)/$AI165,2)</f>
        <v>0.98</v>
      </c>
      <c r="DO165" s="129">
        <f>ROUNDUP(VLOOKUP($F165,Activities!$A$9:$I$180,6,FALSE)/$AI165,2)</f>
        <v>0.99</v>
      </c>
      <c r="DP165" s="129">
        <f>ROUNDUP(VLOOKUP($F165,Activities!$A$9:$I$180,7,FALSE)/$AI165,2)</f>
        <v>0.99</v>
      </c>
      <c r="DQ165" s="129">
        <f>ROUNDUP(VLOOKUP($F165,Activities!$A$9:$I$180,8,FALSE)/$AI165,2)</f>
        <v>0.99</v>
      </c>
      <c r="DR165" s="129">
        <f>ROUNDUP(VLOOKUP($F165,Activities!$A$9:$I$180,9,FALSE)/$AI165,2)</f>
        <v>0.99</v>
      </c>
      <c r="DS165" s="218"/>
      <c r="DT165" s="360"/>
      <c r="DU165" s="360"/>
      <c r="DV165" s="360"/>
      <c r="DW165" s="360"/>
      <c r="DX165" s="360"/>
      <c r="DY165" s="360"/>
      <c r="DZ165" s="360"/>
      <c r="EA165" s="360"/>
      <c r="EB165" s="360"/>
      <c r="EC165" s="360"/>
      <c r="ED165" s="360"/>
      <c r="EE165" s="360"/>
      <c r="EF165" s="360"/>
      <c r="EG165" s="360"/>
      <c r="EH165" s="360"/>
      <c r="EI165" s="360"/>
      <c r="EJ165" s="360"/>
      <c r="EK165" s="360"/>
      <c r="EL165" s="360"/>
      <c r="EM165" s="360"/>
      <c r="EN165" s="360"/>
      <c r="EO165" s="360"/>
      <c r="EP165" s="360"/>
      <c r="EQ165" s="360"/>
    </row>
    <row r="166" spans="1:147" x14ac:dyDescent="0.35">
      <c r="A166" s="5" t="s">
        <v>1078</v>
      </c>
      <c r="B166" s="5" t="s">
        <v>734</v>
      </c>
      <c r="C166" s="5" t="s">
        <v>655</v>
      </c>
      <c r="D166" s="5" t="s">
        <v>1029</v>
      </c>
      <c r="E166" s="5" t="s">
        <v>1030</v>
      </c>
      <c r="F166" s="5" t="s">
        <v>385</v>
      </c>
      <c r="G166" s="47" t="s">
        <v>1079</v>
      </c>
      <c r="H166" s="47" t="s">
        <v>1080</v>
      </c>
      <c r="I166" s="101">
        <v>53.11</v>
      </c>
      <c r="J166" s="101">
        <v>53.11</v>
      </c>
      <c r="K166" s="101">
        <v>53.11</v>
      </c>
      <c r="L166" s="101">
        <v>53.11</v>
      </c>
      <c r="M166" s="101">
        <v>53.11</v>
      </c>
      <c r="N166" s="101">
        <v>53.11</v>
      </c>
      <c r="O166" s="101">
        <v>53.11</v>
      </c>
      <c r="P166" s="93">
        <v>0</v>
      </c>
      <c r="Q166" s="101">
        <v>14.17</v>
      </c>
      <c r="R166" s="101">
        <v>14.17</v>
      </c>
      <c r="S166" s="101">
        <v>14.17</v>
      </c>
      <c r="T166" s="101">
        <v>14.17</v>
      </c>
      <c r="U166" s="101">
        <v>14.17</v>
      </c>
      <c r="V166" s="101">
        <v>14.17</v>
      </c>
      <c r="W166" s="101">
        <v>14.17</v>
      </c>
      <c r="X166" s="101">
        <v>0</v>
      </c>
      <c r="Y166" s="101">
        <v>0</v>
      </c>
      <c r="Z166" s="101">
        <v>0</v>
      </c>
      <c r="AA166" s="101">
        <v>0</v>
      </c>
      <c r="AB166" s="101">
        <v>0</v>
      </c>
      <c r="AC166" s="101">
        <v>0</v>
      </c>
      <c r="AD166" s="101">
        <v>0</v>
      </c>
      <c r="AE166" s="186">
        <v>0.08</v>
      </c>
      <c r="AF166" s="93">
        <v>0</v>
      </c>
      <c r="AG166" s="93">
        <v>15</v>
      </c>
      <c r="AH166" s="93">
        <v>15</v>
      </c>
      <c r="AI166" s="16">
        <v>5.7500000000000002E-2</v>
      </c>
      <c r="AJ166" s="16" t="s">
        <v>660</v>
      </c>
      <c r="AK166" s="16" t="s">
        <v>745</v>
      </c>
      <c r="AL166" s="16"/>
      <c r="AM166" s="60"/>
      <c r="AN166" s="60"/>
      <c r="AO166" s="60"/>
      <c r="AP166" s="60"/>
      <c r="AQ166" s="60"/>
      <c r="AR166" s="60"/>
      <c r="AS166" s="63"/>
      <c r="AT166" s="63"/>
      <c r="AU166" s="63"/>
      <c r="AV166" s="131"/>
      <c r="AW166" s="131"/>
      <c r="AX166" s="131"/>
      <c r="AY166" s="27" t="s">
        <v>662</v>
      </c>
      <c r="AZ166" s="27"/>
      <c r="BA166" s="27"/>
      <c r="BB166" s="30"/>
      <c r="BC166" s="30"/>
      <c r="BD166" s="30"/>
      <c r="BE166" s="30"/>
      <c r="BF166" s="30"/>
      <c r="BG166" s="30"/>
      <c r="BH166" s="107"/>
      <c r="BI166" s="107"/>
      <c r="BJ166" s="107"/>
      <c r="BK166" s="107"/>
      <c r="BL166" s="136"/>
      <c r="BM166" s="122"/>
      <c r="BN166" s="138">
        <f>DL166-SUM(BN167:BN172)</f>
        <v>51.679999999999978</v>
      </c>
      <c r="BO166" s="93">
        <v>30</v>
      </c>
      <c r="BP166" s="93">
        <v>20</v>
      </c>
      <c r="BQ166" s="93"/>
      <c r="BR166" s="93"/>
      <c r="BS166" s="93"/>
      <c r="BT166" s="93"/>
      <c r="BU166" s="27">
        <f t="shared" si="95"/>
        <v>0</v>
      </c>
      <c r="BV166" s="27"/>
      <c r="BW166" s="27"/>
      <c r="BX166" s="27"/>
      <c r="BY166" s="27"/>
      <c r="BZ166" s="27"/>
      <c r="CA166" s="27"/>
      <c r="CB166" s="97">
        <f t="shared" ref="CB166:CF167" si="163">DL166</f>
        <v>132.67999999999998</v>
      </c>
      <c r="CC166" s="97">
        <f t="shared" si="163"/>
        <v>138.38999999999999</v>
      </c>
      <c r="CD166" s="97">
        <f t="shared" si="163"/>
        <v>141.48999999999998</v>
      </c>
      <c r="CE166" s="97">
        <f t="shared" si="163"/>
        <v>143.14999999999998</v>
      </c>
      <c r="CF166" s="97">
        <f t="shared" si="163"/>
        <v>143.79</v>
      </c>
      <c r="CG166" s="97">
        <f t="shared" si="153"/>
        <v>143.63999999999999</v>
      </c>
      <c r="CH166" s="97">
        <f t="shared" si="153"/>
        <v>143</v>
      </c>
      <c r="CI166" s="173"/>
      <c r="CJ166" s="173"/>
      <c r="CK166" s="173"/>
      <c r="CL166" s="173"/>
      <c r="CM166" s="173"/>
      <c r="CN166" s="173"/>
      <c r="CO166" s="173"/>
      <c r="CP166" s="174"/>
      <c r="CQ166" s="174"/>
      <c r="CR166" s="174"/>
      <c r="CS166" s="174"/>
      <c r="CT166" s="174"/>
      <c r="CU166" s="174"/>
      <c r="CV166" s="174"/>
      <c r="CW166" s="165"/>
      <c r="CX166" s="166"/>
      <c r="CY166" s="166"/>
      <c r="CZ166" s="166"/>
      <c r="DA166" s="166"/>
      <c r="DB166" s="166"/>
      <c r="DC166" s="166"/>
      <c r="DD166" s="171"/>
      <c r="DE166" s="171"/>
      <c r="DF166" s="171"/>
      <c r="DG166" s="171"/>
      <c r="DH166" s="171"/>
      <c r="DI166" s="171"/>
      <c r="DJ166" s="171"/>
      <c r="DK166" s="79" t="s">
        <v>699</v>
      </c>
      <c r="DL166" s="128">
        <f>ROUNDUP(VLOOKUP($F166,Activities!$A$9:$I$180,3,FALSE)/$AI166,2)</f>
        <v>132.67999999999998</v>
      </c>
      <c r="DM166" s="128">
        <f>ROUNDUP(VLOOKUP($F166,Activities!$A$9:$I$180,4,FALSE)/$AI166,2)</f>
        <v>138.38999999999999</v>
      </c>
      <c r="DN166" s="128">
        <f>ROUNDUP(VLOOKUP($F166,Activities!$A$9:$I$180,5,FALSE)/$AI166,2)</f>
        <v>141.48999999999998</v>
      </c>
      <c r="DO166" s="128">
        <f>ROUNDUP(VLOOKUP($F166,Activities!$A$9:$I$180,6,FALSE)/$AI166,2)</f>
        <v>143.14999999999998</v>
      </c>
      <c r="DP166" s="128">
        <f>ROUNDUP(VLOOKUP($F166,Activities!$A$9:$I$180,7,FALSE)/$AI166,2)</f>
        <v>143.79</v>
      </c>
      <c r="DQ166" s="128">
        <f>ROUNDUP(VLOOKUP($F166,Activities!$A$9:$I$180,8,FALSE)/$AI166,2)</f>
        <v>143.63999999999999</v>
      </c>
      <c r="DR166" s="128">
        <f>ROUNDUP(VLOOKUP($F166,Activities!$A$9:$I$180,9,FALSE)/$AI166,2)</f>
        <v>143</v>
      </c>
      <c r="DS166" s="218"/>
      <c r="DT166" s="360"/>
      <c r="DU166" s="360"/>
      <c r="DV166" s="360"/>
      <c r="DW166" s="360"/>
      <c r="DX166" s="360"/>
      <c r="DY166" s="360"/>
      <c r="DZ166" s="360"/>
      <c r="EA166" s="360"/>
      <c r="EB166" s="360"/>
      <c r="EC166" s="360"/>
      <c r="ED166" s="360"/>
      <c r="EE166" s="360"/>
      <c r="EF166" s="360"/>
      <c r="EG166" s="360"/>
      <c r="EH166" s="360"/>
      <c r="EI166" s="360"/>
      <c r="EJ166" s="360"/>
      <c r="EK166" s="360"/>
      <c r="EL166" s="360"/>
      <c r="EM166" s="360"/>
      <c r="EN166" s="360"/>
      <c r="EO166" s="360"/>
      <c r="EP166" s="360"/>
      <c r="EQ166" s="360"/>
    </row>
    <row r="167" spans="1:147" x14ac:dyDescent="0.35">
      <c r="A167" s="6" t="s">
        <v>1081</v>
      </c>
      <c r="B167" s="6" t="s">
        <v>734</v>
      </c>
      <c r="C167" s="6" t="s">
        <v>655</v>
      </c>
      <c r="D167" s="6" t="s">
        <v>1029</v>
      </c>
      <c r="E167" s="6" t="s">
        <v>1030</v>
      </c>
      <c r="F167" s="6" t="s">
        <v>385</v>
      </c>
      <c r="G167" s="48" t="s">
        <v>1082</v>
      </c>
      <c r="H167" s="48" t="s">
        <v>1080</v>
      </c>
      <c r="I167" s="102">
        <v>65.87</v>
      </c>
      <c r="J167" s="102">
        <v>59.33</v>
      </c>
      <c r="K167" s="102">
        <v>53.11</v>
      </c>
      <c r="L167" s="102">
        <v>53.11</v>
      </c>
      <c r="M167" s="102">
        <v>53.11</v>
      </c>
      <c r="N167" s="102">
        <v>53.11</v>
      </c>
      <c r="O167" s="102">
        <v>53.11</v>
      </c>
      <c r="P167" s="94">
        <v>0</v>
      </c>
      <c r="Q167" s="102">
        <v>14.17</v>
      </c>
      <c r="R167" s="102">
        <v>14.17</v>
      </c>
      <c r="S167" s="102">
        <v>14.17</v>
      </c>
      <c r="T167" s="102">
        <v>14.17</v>
      </c>
      <c r="U167" s="102">
        <v>14.17</v>
      </c>
      <c r="V167" s="102">
        <v>14.17</v>
      </c>
      <c r="W167" s="102">
        <v>14.17</v>
      </c>
      <c r="X167" s="102">
        <v>0</v>
      </c>
      <c r="Y167" s="102">
        <v>0</v>
      </c>
      <c r="Z167" s="102">
        <v>0</v>
      </c>
      <c r="AA167" s="102">
        <v>0</v>
      </c>
      <c r="AB167" s="102">
        <v>0</v>
      </c>
      <c r="AC167" s="102">
        <v>0</v>
      </c>
      <c r="AD167" s="102">
        <v>0</v>
      </c>
      <c r="AE167" s="186">
        <v>0.08</v>
      </c>
      <c r="AF167" s="94">
        <v>0</v>
      </c>
      <c r="AG167" s="94">
        <v>15</v>
      </c>
      <c r="AH167" s="94">
        <v>15</v>
      </c>
      <c r="AI167" s="17">
        <v>5.7500000000000002E-2</v>
      </c>
      <c r="AJ167" s="17" t="s">
        <v>660</v>
      </c>
      <c r="AK167" s="17" t="s">
        <v>745</v>
      </c>
      <c r="AL167" s="17"/>
      <c r="AM167" s="61"/>
      <c r="AN167" s="61"/>
      <c r="AO167" s="61"/>
      <c r="AP167" s="61"/>
      <c r="AQ167" s="61"/>
      <c r="AR167" s="61"/>
      <c r="AS167" s="64"/>
      <c r="AT167" s="64"/>
      <c r="AU167" s="64"/>
      <c r="AV167" s="132"/>
      <c r="AW167" s="132"/>
      <c r="AX167" s="132"/>
      <c r="AY167" s="28" t="s">
        <v>662</v>
      </c>
      <c r="AZ167" s="28"/>
      <c r="BA167" s="28"/>
      <c r="BB167" s="28"/>
      <c r="BC167" s="28"/>
      <c r="BD167" s="28"/>
      <c r="BE167" s="28"/>
      <c r="BF167" s="28"/>
      <c r="BG167" s="28"/>
      <c r="BH167" s="106"/>
      <c r="BI167" s="106"/>
      <c r="BJ167" s="106"/>
      <c r="BK167" s="106"/>
      <c r="BL167" s="194"/>
      <c r="BM167" s="123"/>
      <c r="BN167" s="139">
        <v>40</v>
      </c>
      <c r="BO167" s="94">
        <v>25</v>
      </c>
      <c r="BP167" s="94">
        <v>15</v>
      </c>
      <c r="BQ167" s="94"/>
      <c r="BR167" s="94"/>
      <c r="BS167" s="94"/>
      <c r="BT167" s="94"/>
      <c r="BU167" s="28">
        <f t="shared" si="95"/>
        <v>0</v>
      </c>
      <c r="BV167" s="28"/>
      <c r="BW167" s="28"/>
      <c r="BX167" s="28"/>
      <c r="BY167" s="28"/>
      <c r="BZ167" s="28"/>
      <c r="CA167" s="28"/>
      <c r="CB167" s="99">
        <f t="shared" si="163"/>
        <v>132.67999999999998</v>
      </c>
      <c r="CC167" s="99">
        <f t="shared" si="163"/>
        <v>138.38999999999999</v>
      </c>
      <c r="CD167" s="99">
        <f t="shared" si="163"/>
        <v>141.48999999999998</v>
      </c>
      <c r="CE167" s="99">
        <f t="shared" si="163"/>
        <v>143.14999999999998</v>
      </c>
      <c r="CF167" s="99">
        <f t="shared" si="163"/>
        <v>143.79</v>
      </c>
      <c r="CG167" s="99">
        <f t="shared" si="153"/>
        <v>143.63999999999999</v>
      </c>
      <c r="CH167" s="99">
        <f t="shared" si="153"/>
        <v>143</v>
      </c>
      <c r="CI167" s="175"/>
      <c r="CJ167" s="175"/>
      <c r="CK167" s="175"/>
      <c r="CL167" s="175"/>
      <c r="CM167" s="175"/>
      <c r="CN167" s="175"/>
      <c r="CO167" s="175"/>
      <c r="CP167" s="176"/>
      <c r="CQ167" s="176"/>
      <c r="CR167" s="176"/>
      <c r="CS167" s="176"/>
      <c r="CT167" s="176"/>
      <c r="CU167" s="176"/>
      <c r="CV167" s="176"/>
      <c r="CW167" s="167"/>
      <c r="CX167" s="168"/>
      <c r="CY167" s="168"/>
      <c r="CZ167" s="168"/>
      <c r="DA167" s="168"/>
      <c r="DB167" s="168"/>
      <c r="DC167" s="168"/>
      <c r="DD167" s="172"/>
      <c r="DE167" s="172"/>
      <c r="DF167" s="172"/>
      <c r="DG167" s="172"/>
      <c r="DH167" s="172"/>
      <c r="DI167" s="172"/>
      <c r="DJ167" s="172"/>
      <c r="DK167" s="80" t="s">
        <v>663</v>
      </c>
      <c r="DL167" s="129">
        <f>ROUNDUP(VLOOKUP($F167,Activities!$A$9:$I$180,3,FALSE)/$AI167,2)</f>
        <v>132.67999999999998</v>
      </c>
      <c r="DM167" s="129">
        <f>ROUNDUP(VLOOKUP($F167,Activities!$A$9:$I$180,4,FALSE)/$AI167,2)</f>
        <v>138.38999999999999</v>
      </c>
      <c r="DN167" s="129">
        <f>ROUNDUP(VLOOKUP($F167,Activities!$A$9:$I$180,5,FALSE)/$AI167,2)</f>
        <v>141.48999999999998</v>
      </c>
      <c r="DO167" s="129">
        <f>ROUNDUP(VLOOKUP($F167,Activities!$A$9:$I$180,6,FALSE)/$AI167,2)</f>
        <v>143.14999999999998</v>
      </c>
      <c r="DP167" s="129">
        <f>ROUNDUP(VLOOKUP($F167,Activities!$A$9:$I$180,7,FALSE)/$AI167,2)</f>
        <v>143.79</v>
      </c>
      <c r="DQ167" s="129">
        <f>ROUNDUP(VLOOKUP($F167,Activities!$A$9:$I$180,8,FALSE)/$AI167,2)</f>
        <v>143.63999999999999</v>
      </c>
      <c r="DR167" s="129">
        <f>ROUNDUP(VLOOKUP($F167,Activities!$A$9:$I$180,9,FALSE)/$AI167,2)</f>
        <v>143</v>
      </c>
      <c r="DS167" s="218"/>
      <c r="DT167" s="360"/>
      <c r="DU167" s="360"/>
      <c r="DV167" s="360"/>
      <c r="DW167" s="360"/>
      <c r="DX167" s="360"/>
      <c r="DY167" s="360"/>
      <c r="DZ167" s="360"/>
      <c r="EA167" s="360"/>
      <c r="EB167" s="360"/>
      <c r="EC167" s="360"/>
      <c r="ED167" s="360"/>
      <c r="EE167" s="360"/>
      <c r="EF167" s="360"/>
      <c r="EG167" s="360"/>
      <c r="EH167" s="360"/>
      <c r="EI167" s="360"/>
      <c r="EJ167" s="360"/>
      <c r="EK167" s="360"/>
      <c r="EL167" s="360"/>
      <c r="EM167" s="360"/>
      <c r="EN167" s="360"/>
      <c r="EO167" s="360"/>
      <c r="EP167" s="360"/>
      <c r="EQ167" s="360"/>
    </row>
    <row r="168" spans="1:147" x14ac:dyDescent="0.35">
      <c r="A168" s="6" t="s">
        <v>1083</v>
      </c>
      <c r="B168" s="6" t="s">
        <v>734</v>
      </c>
      <c r="C168" s="6" t="s">
        <v>655</v>
      </c>
      <c r="D168" s="6" t="s">
        <v>1029</v>
      </c>
      <c r="E168" s="6" t="s">
        <v>1030</v>
      </c>
      <c r="F168" s="6" t="s">
        <v>385</v>
      </c>
      <c r="G168" s="48" t="s">
        <v>1084</v>
      </c>
      <c r="H168" s="48" t="s">
        <v>1080</v>
      </c>
      <c r="I168" s="102">
        <v>65.87</v>
      </c>
      <c r="J168" s="102">
        <v>59.33</v>
      </c>
      <c r="K168" s="102">
        <v>53.11</v>
      </c>
      <c r="L168" s="102">
        <v>53.11</v>
      </c>
      <c r="M168" s="102">
        <v>53.11</v>
      </c>
      <c r="N168" s="102">
        <v>53.11</v>
      </c>
      <c r="O168" s="102">
        <v>53.11</v>
      </c>
      <c r="P168" s="94">
        <v>0</v>
      </c>
      <c r="Q168" s="102">
        <v>14.17</v>
      </c>
      <c r="R168" s="102">
        <v>14.17</v>
      </c>
      <c r="S168" s="102">
        <v>14.17</v>
      </c>
      <c r="T168" s="102">
        <v>14.17</v>
      </c>
      <c r="U168" s="102">
        <v>14.17</v>
      </c>
      <c r="V168" s="102">
        <v>14.17</v>
      </c>
      <c r="W168" s="102">
        <v>14.17</v>
      </c>
      <c r="X168" s="102">
        <v>0</v>
      </c>
      <c r="Y168" s="102">
        <v>0</v>
      </c>
      <c r="Z168" s="102">
        <v>0</v>
      </c>
      <c r="AA168" s="102">
        <v>0</v>
      </c>
      <c r="AB168" s="102">
        <v>0</v>
      </c>
      <c r="AC168" s="102">
        <v>0</v>
      </c>
      <c r="AD168" s="102">
        <v>0</v>
      </c>
      <c r="AE168" s="186">
        <v>0.08</v>
      </c>
      <c r="AF168" s="94">
        <v>0</v>
      </c>
      <c r="AG168" s="94">
        <v>15</v>
      </c>
      <c r="AH168" s="94">
        <v>15</v>
      </c>
      <c r="AI168" s="17">
        <v>5.7500000000000002E-2</v>
      </c>
      <c r="AJ168" s="17" t="s">
        <v>660</v>
      </c>
      <c r="AK168" s="17" t="s">
        <v>745</v>
      </c>
      <c r="AL168" s="17"/>
      <c r="AM168" s="61"/>
      <c r="AN168" s="61"/>
      <c r="AO168" s="61"/>
      <c r="AP168" s="61"/>
      <c r="AQ168" s="61"/>
      <c r="AR168" s="61"/>
      <c r="AS168" s="64"/>
      <c r="AT168" s="64"/>
      <c r="AU168" s="64"/>
      <c r="AV168" s="132"/>
      <c r="AW168" s="132"/>
      <c r="AX168" s="132"/>
      <c r="AY168" s="28" t="s">
        <v>662</v>
      </c>
      <c r="AZ168" s="28"/>
      <c r="BA168" s="28"/>
      <c r="BB168" s="28"/>
      <c r="BC168" s="28"/>
      <c r="BD168" s="28"/>
      <c r="BE168" s="28"/>
      <c r="BF168" s="28"/>
      <c r="BG168" s="28"/>
      <c r="BH168" s="106"/>
      <c r="BI168" s="106"/>
      <c r="BJ168" s="106"/>
      <c r="BK168" s="106"/>
      <c r="BL168" s="194"/>
      <c r="BM168" s="123"/>
      <c r="BN168" s="139">
        <v>40</v>
      </c>
      <c r="BO168" s="94">
        <v>25</v>
      </c>
      <c r="BP168" s="94">
        <v>15</v>
      </c>
      <c r="BQ168" s="94"/>
      <c r="BR168" s="94"/>
      <c r="BS168" s="94"/>
      <c r="BT168" s="94"/>
      <c r="BU168" s="28">
        <f t="shared" ref="BU168" si="164">IF(BL168=1,BN168,0)</f>
        <v>0</v>
      </c>
      <c r="BV168" s="28"/>
      <c r="BW168" s="28"/>
      <c r="BX168" s="28"/>
      <c r="BY168" s="28"/>
      <c r="BZ168" s="28"/>
      <c r="CA168" s="28"/>
      <c r="CB168" s="99">
        <f t="shared" ref="CB168" si="165">DL168</f>
        <v>132.67999999999998</v>
      </c>
      <c r="CC168" s="99">
        <f t="shared" ref="CC168" si="166">DM168</f>
        <v>138.38999999999999</v>
      </c>
      <c r="CD168" s="99">
        <f t="shared" ref="CD168" si="167">DN168</f>
        <v>141.48999999999998</v>
      </c>
      <c r="CE168" s="99">
        <f t="shared" ref="CE168" si="168">DO168</f>
        <v>143.14999999999998</v>
      </c>
      <c r="CF168" s="99">
        <f t="shared" ref="CF168" si="169">DP168</f>
        <v>143.79</v>
      </c>
      <c r="CG168" s="99">
        <f t="shared" ref="CG168" si="170">DQ168</f>
        <v>143.63999999999999</v>
      </c>
      <c r="CH168" s="99">
        <f t="shared" ref="CH168" si="171">DR168</f>
        <v>143</v>
      </c>
      <c r="CI168" s="175"/>
      <c r="CJ168" s="175"/>
      <c r="CK168" s="175"/>
      <c r="CL168" s="175"/>
      <c r="CM168" s="175"/>
      <c r="CN168" s="175"/>
      <c r="CO168" s="175"/>
      <c r="CP168" s="176"/>
      <c r="CQ168" s="176"/>
      <c r="CR168" s="176"/>
      <c r="CS168" s="176"/>
      <c r="CT168" s="176"/>
      <c r="CU168" s="176"/>
      <c r="CV168" s="176"/>
      <c r="CW168" s="167"/>
      <c r="CX168" s="168"/>
      <c r="CY168" s="168"/>
      <c r="CZ168" s="168"/>
      <c r="DA168" s="168"/>
      <c r="DB168" s="168"/>
      <c r="DC168" s="168"/>
      <c r="DD168" s="172"/>
      <c r="DE168" s="172"/>
      <c r="DF168" s="172"/>
      <c r="DG168" s="172"/>
      <c r="DH168" s="172"/>
      <c r="DI168" s="172"/>
      <c r="DJ168" s="172"/>
      <c r="DK168" s="80" t="s">
        <v>663</v>
      </c>
      <c r="DL168" s="129">
        <f>ROUNDUP(VLOOKUP($F168,Activities!$A$9:$I$180,3,FALSE)/$AI168,2)</f>
        <v>132.67999999999998</v>
      </c>
      <c r="DM168" s="129">
        <f>ROUNDUP(VLOOKUP($F168,Activities!$A$9:$I$180,4,FALSE)/$AI168,2)</f>
        <v>138.38999999999999</v>
      </c>
      <c r="DN168" s="129">
        <f>ROUNDUP(VLOOKUP($F168,Activities!$A$9:$I$180,5,FALSE)/$AI168,2)</f>
        <v>141.48999999999998</v>
      </c>
      <c r="DO168" s="129">
        <f>ROUNDUP(VLOOKUP($F168,Activities!$A$9:$I$180,6,FALSE)/$AI168,2)</f>
        <v>143.14999999999998</v>
      </c>
      <c r="DP168" s="129">
        <f>ROUNDUP(VLOOKUP($F168,Activities!$A$9:$I$180,7,FALSE)/$AI168,2)</f>
        <v>143.79</v>
      </c>
      <c r="DQ168" s="129">
        <f>ROUNDUP(VLOOKUP($F168,Activities!$A$9:$I$180,8,FALSE)/$AI168,2)</f>
        <v>143.63999999999999</v>
      </c>
      <c r="DR168" s="129">
        <f>ROUNDUP(VLOOKUP($F168,Activities!$A$9:$I$180,9,FALSE)/$AI168,2)</f>
        <v>143</v>
      </c>
      <c r="DS168" s="218"/>
      <c r="DT168" s="360"/>
      <c r="DU168" s="360"/>
      <c r="DV168" s="360"/>
      <c r="DW168" s="360"/>
      <c r="DX168" s="360"/>
      <c r="DY168" s="360"/>
      <c r="DZ168" s="360"/>
      <c r="EA168" s="360"/>
      <c r="EB168" s="360"/>
      <c r="EC168" s="360"/>
      <c r="ED168" s="360"/>
      <c r="EE168" s="360"/>
      <c r="EF168" s="360"/>
      <c r="EG168" s="360"/>
      <c r="EH168" s="360"/>
      <c r="EI168" s="360"/>
      <c r="EJ168" s="360"/>
      <c r="EK168" s="360"/>
      <c r="EL168" s="360"/>
      <c r="EM168" s="360"/>
      <c r="EN168" s="360"/>
      <c r="EO168" s="360"/>
      <c r="EP168" s="360"/>
      <c r="EQ168" s="360"/>
    </row>
    <row r="169" spans="1:147" x14ac:dyDescent="0.35">
      <c r="A169" s="6" t="s">
        <v>1085</v>
      </c>
      <c r="B169" s="6" t="s">
        <v>734</v>
      </c>
      <c r="C169" s="6" t="s">
        <v>655</v>
      </c>
      <c r="D169" s="6" t="s">
        <v>1029</v>
      </c>
      <c r="E169" s="6" t="s">
        <v>1030</v>
      </c>
      <c r="F169" s="6" t="s">
        <v>385</v>
      </c>
      <c r="G169" s="48" t="s">
        <v>1086</v>
      </c>
      <c r="H169" s="48" t="s">
        <v>1080</v>
      </c>
      <c r="I169" s="102">
        <v>65.87</v>
      </c>
      <c r="J169" s="102">
        <v>59.33</v>
      </c>
      <c r="K169" s="102">
        <v>53.11</v>
      </c>
      <c r="L169" s="102">
        <v>53.11</v>
      </c>
      <c r="M169" s="102">
        <v>53.11</v>
      </c>
      <c r="N169" s="102">
        <v>53.11</v>
      </c>
      <c r="O169" s="102">
        <v>53.11</v>
      </c>
      <c r="P169" s="94">
        <v>0</v>
      </c>
      <c r="Q169" s="102">
        <v>14.17</v>
      </c>
      <c r="R169" s="102">
        <v>14.17</v>
      </c>
      <c r="S169" s="102">
        <v>14.17</v>
      </c>
      <c r="T169" s="102">
        <v>14.17</v>
      </c>
      <c r="U169" s="102">
        <v>14.17</v>
      </c>
      <c r="V169" s="102">
        <v>14.17</v>
      </c>
      <c r="W169" s="102">
        <v>14.17</v>
      </c>
      <c r="X169" s="102">
        <v>0</v>
      </c>
      <c r="Y169" s="102">
        <v>0</v>
      </c>
      <c r="Z169" s="102">
        <v>0</v>
      </c>
      <c r="AA169" s="102">
        <v>0</v>
      </c>
      <c r="AB169" s="102">
        <v>0</v>
      </c>
      <c r="AC169" s="102">
        <v>0</v>
      </c>
      <c r="AD169" s="102">
        <v>0</v>
      </c>
      <c r="AE169" s="186">
        <v>0.08</v>
      </c>
      <c r="AF169" s="94">
        <v>0</v>
      </c>
      <c r="AG169" s="94">
        <v>15</v>
      </c>
      <c r="AH169" s="94">
        <v>15</v>
      </c>
      <c r="AI169" s="17">
        <v>5.7500000000000002E-2</v>
      </c>
      <c r="AJ169" s="17" t="s">
        <v>660</v>
      </c>
      <c r="AK169" s="17" t="s">
        <v>745</v>
      </c>
      <c r="AL169" s="17"/>
      <c r="AM169" s="61"/>
      <c r="AN169" s="61"/>
      <c r="AO169" s="61"/>
      <c r="AP169" s="61"/>
      <c r="AQ169" s="61"/>
      <c r="AR169" s="61"/>
      <c r="AS169" s="64"/>
      <c r="AT169" s="64"/>
      <c r="AU169" s="64"/>
      <c r="AV169" s="132"/>
      <c r="AW169" s="132"/>
      <c r="AX169" s="132"/>
      <c r="AY169" s="28" t="s">
        <v>662</v>
      </c>
      <c r="AZ169" s="28"/>
      <c r="BA169" s="28"/>
      <c r="BB169" s="28"/>
      <c r="BC169" s="28"/>
      <c r="BD169" s="28"/>
      <c r="BE169" s="28"/>
      <c r="BF169" s="28"/>
      <c r="BG169" s="28"/>
      <c r="BH169" s="106"/>
      <c r="BI169" s="106"/>
      <c r="BJ169" s="106"/>
      <c r="BK169" s="106"/>
      <c r="BL169" s="194"/>
      <c r="BM169" s="123"/>
      <c r="BN169" s="139">
        <v>0</v>
      </c>
      <c r="BO169" s="94">
        <v>0</v>
      </c>
      <c r="BP169" s="94">
        <v>0</v>
      </c>
      <c r="BQ169" s="94">
        <v>0</v>
      </c>
      <c r="BR169" s="94"/>
      <c r="BS169" s="94"/>
      <c r="BT169" s="94"/>
      <c r="BU169" s="28">
        <f t="shared" ref="BU169" si="172">IF(BL169=1,BN169,0)</f>
        <v>0</v>
      </c>
      <c r="BV169" s="28"/>
      <c r="BW169" s="28"/>
      <c r="BX169" s="28"/>
      <c r="BY169" s="28"/>
      <c r="BZ169" s="28"/>
      <c r="CA169" s="28"/>
      <c r="CB169" s="99">
        <f t="shared" ref="CB169" si="173">DL169</f>
        <v>132.67999999999998</v>
      </c>
      <c r="CC169" s="99">
        <f t="shared" ref="CC169" si="174">DM169</f>
        <v>138.38999999999999</v>
      </c>
      <c r="CD169" s="99">
        <f t="shared" ref="CD169" si="175">DN169</f>
        <v>141.48999999999998</v>
      </c>
      <c r="CE169" s="99">
        <f t="shared" ref="CE169" si="176">DO169</f>
        <v>143.14999999999998</v>
      </c>
      <c r="CF169" s="99">
        <f t="shared" ref="CF169" si="177">DP169</f>
        <v>143.79</v>
      </c>
      <c r="CG169" s="99">
        <f t="shared" ref="CG169" si="178">DQ169</f>
        <v>143.63999999999999</v>
      </c>
      <c r="CH169" s="99">
        <f t="shared" ref="CH169" si="179">DR169</f>
        <v>143</v>
      </c>
      <c r="CI169" s="175"/>
      <c r="CJ169" s="175"/>
      <c r="CK169" s="175"/>
      <c r="CL169" s="175"/>
      <c r="CM169" s="175"/>
      <c r="CN169" s="175"/>
      <c r="CO169" s="175"/>
      <c r="CP169" s="176"/>
      <c r="CQ169" s="176"/>
      <c r="CR169" s="176"/>
      <c r="CS169" s="176"/>
      <c r="CT169" s="176"/>
      <c r="CU169" s="176"/>
      <c r="CV169" s="176"/>
      <c r="CW169" s="167"/>
      <c r="CX169" s="168"/>
      <c r="CY169" s="168"/>
      <c r="CZ169" s="168"/>
      <c r="DA169" s="168"/>
      <c r="DB169" s="168"/>
      <c r="DC169" s="168"/>
      <c r="DD169" s="172"/>
      <c r="DE169" s="172"/>
      <c r="DF169" s="172"/>
      <c r="DG169" s="172"/>
      <c r="DH169" s="172"/>
      <c r="DI169" s="172"/>
      <c r="DJ169" s="172"/>
      <c r="DK169" s="80" t="s">
        <v>663</v>
      </c>
      <c r="DL169" s="129">
        <f>ROUNDUP(VLOOKUP($F169,Activities!$A$9:$I$180,3,FALSE)/$AI169,2)</f>
        <v>132.67999999999998</v>
      </c>
      <c r="DM169" s="129">
        <f>ROUNDUP(VLOOKUP($F169,Activities!$A$9:$I$180,4,FALSE)/$AI169,2)</f>
        <v>138.38999999999999</v>
      </c>
      <c r="DN169" s="129">
        <f>ROUNDUP(VLOOKUP($F169,Activities!$A$9:$I$180,5,FALSE)/$AI169,2)</f>
        <v>141.48999999999998</v>
      </c>
      <c r="DO169" s="129">
        <f>ROUNDUP(VLOOKUP($F169,Activities!$A$9:$I$180,6,FALSE)/$AI169,2)</f>
        <v>143.14999999999998</v>
      </c>
      <c r="DP169" s="129">
        <f>ROUNDUP(VLOOKUP($F169,Activities!$A$9:$I$180,7,FALSE)/$AI169,2)</f>
        <v>143.79</v>
      </c>
      <c r="DQ169" s="129">
        <f>ROUNDUP(VLOOKUP($F169,Activities!$A$9:$I$180,8,FALSE)/$AI169,2)</f>
        <v>143.63999999999999</v>
      </c>
      <c r="DR169" s="129">
        <f>ROUNDUP(VLOOKUP($F169,Activities!$A$9:$I$180,9,FALSE)/$AI169,2)</f>
        <v>143</v>
      </c>
      <c r="DS169" s="218"/>
      <c r="DT169" s="360"/>
      <c r="DU169" s="360"/>
      <c r="DV169" s="360"/>
      <c r="DW169" s="360"/>
      <c r="DX169" s="360"/>
      <c r="DY169" s="360"/>
      <c r="DZ169" s="360"/>
      <c r="EA169" s="360"/>
      <c r="EB169" s="360"/>
      <c r="EC169" s="360"/>
      <c r="ED169" s="360"/>
      <c r="EE169" s="360"/>
      <c r="EF169" s="360"/>
      <c r="EG169" s="360"/>
      <c r="EH169" s="360"/>
      <c r="EI169" s="360"/>
      <c r="EJ169" s="360"/>
      <c r="EK169" s="360"/>
      <c r="EL169" s="360"/>
      <c r="EM169" s="360"/>
      <c r="EN169" s="360"/>
      <c r="EO169" s="360"/>
      <c r="EP169" s="360"/>
      <c r="EQ169" s="360"/>
    </row>
    <row r="170" spans="1:147" x14ac:dyDescent="0.35">
      <c r="A170" s="5" t="s">
        <v>1087</v>
      </c>
      <c r="B170" s="5" t="s">
        <v>734</v>
      </c>
      <c r="C170" s="5" t="s">
        <v>655</v>
      </c>
      <c r="D170" s="5" t="s">
        <v>1029</v>
      </c>
      <c r="E170" s="5" t="s">
        <v>1030</v>
      </c>
      <c r="F170" s="5" t="s">
        <v>385</v>
      </c>
      <c r="G170" s="47" t="s">
        <v>1088</v>
      </c>
      <c r="H170" s="47" t="s">
        <v>1080</v>
      </c>
      <c r="I170" s="101">
        <v>70.06</v>
      </c>
      <c r="J170" s="101">
        <v>67.349999999999994</v>
      </c>
      <c r="K170" s="101">
        <v>64.709999999999994</v>
      </c>
      <c r="L170" s="101">
        <v>62.11</v>
      </c>
      <c r="M170" s="101">
        <v>59.57</v>
      </c>
      <c r="N170" s="101">
        <v>57.08</v>
      </c>
      <c r="O170" s="101">
        <v>54.64</v>
      </c>
      <c r="P170" s="93">
        <v>0</v>
      </c>
      <c r="Q170" s="101">
        <v>12.05</v>
      </c>
      <c r="R170" s="101">
        <v>12.05</v>
      </c>
      <c r="S170" s="101">
        <v>12.05</v>
      </c>
      <c r="T170" s="101">
        <v>12.05</v>
      </c>
      <c r="U170" s="101">
        <v>12.05</v>
      </c>
      <c r="V170" s="101">
        <v>12.05</v>
      </c>
      <c r="W170" s="101">
        <v>12.05</v>
      </c>
      <c r="X170" s="101">
        <v>0</v>
      </c>
      <c r="Y170" s="101">
        <v>0</v>
      </c>
      <c r="Z170" s="101">
        <v>0</v>
      </c>
      <c r="AA170" s="101">
        <v>0</v>
      </c>
      <c r="AB170" s="101">
        <v>0</v>
      </c>
      <c r="AC170" s="101">
        <v>0</v>
      </c>
      <c r="AD170" s="101">
        <v>0</v>
      </c>
      <c r="AE170" s="186">
        <v>0.08</v>
      </c>
      <c r="AF170" s="93">
        <v>0</v>
      </c>
      <c r="AG170" s="93">
        <v>15</v>
      </c>
      <c r="AH170" s="93">
        <v>15</v>
      </c>
      <c r="AI170" s="16">
        <v>5.7500000000000002E-2</v>
      </c>
      <c r="AJ170" s="16" t="s">
        <v>660</v>
      </c>
      <c r="AK170" s="16" t="s">
        <v>745</v>
      </c>
      <c r="AL170" s="16"/>
      <c r="AM170" s="60"/>
      <c r="AN170" s="60"/>
      <c r="AO170" s="60"/>
      <c r="AP170" s="60"/>
      <c r="AQ170" s="60"/>
      <c r="AR170" s="60"/>
      <c r="AS170" s="63"/>
      <c r="AT170" s="63"/>
      <c r="AU170" s="63"/>
      <c r="AV170" s="131"/>
      <c r="AW170" s="131"/>
      <c r="AX170" s="131"/>
      <c r="AY170" s="27" t="s">
        <v>662</v>
      </c>
      <c r="AZ170" s="27"/>
      <c r="BA170" s="27"/>
      <c r="BB170" s="30"/>
      <c r="BC170" s="30"/>
      <c r="BD170" s="30"/>
      <c r="BE170" s="30"/>
      <c r="BF170" s="30"/>
      <c r="BG170" s="30"/>
      <c r="BH170" s="107"/>
      <c r="BI170" s="107"/>
      <c r="BJ170" s="107"/>
      <c r="BK170" s="107"/>
      <c r="BL170" s="136"/>
      <c r="BM170" s="122"/>
      <c r="BN170" s="138">
        <v>1</v>
      </c>
      <c r="BO170" s="93">
        <v>0.2</v>
      </c>
      <c r="BP170" s="93">
        <v>0.3</v>
      </c>
      <c r="BQ170" s="93">
        <v>0.5</v>
      </c>
      <c r="BR170" s="93"/>
      <c r="BS170" s="93"/>
      <c r="BT170" s="93"/>
      <c r="BU170" s="27">
        <f t="shared" si="95"/>
        <v>0</v>
      </c>
      <c r="BV170" s="27"/>
      <c r="BW170" s="27"/>
      <c r="BX170" s="27"/>
      <c r="BY170" s="27"/>
      <c r="BZ170" s="27"/>
      <c r="CA170" s="27"/>
      <c r="CB170" s="97">
        <v>1</v>
      </c>
      <c r="CC170" s="97">
        <v>5</v>
      </c>
      <c r="CD170" s="97">
        <v>10</v>
      </c>
      <c r="CE170" s="97">
        <v>50</v>
      </c>
      <c r="CF170" s="97">
        <v>150</v>
      </c>
      <c r="CG170" s="97">
        <f t="shared" si="153"/>
        <v>143.63999999999999</v>
      </c>
      <c r="CH170" s="97">
        <f t="shared" si="153"/>
        <v>143</v>
      </c>
      <c r="CI170" s="173"/>
      <c r="CJ170" s="173"/>
      <c r="CK170" s="173"/>
      <c r="CL170" s="173"/>
      <c r="CM170" s="173"/>
      <c r="CN170" s="173"/>
      <c r="CO170" s="173"/>
      <c r="CP170" s="174"/>
      <c r="CQ170" s="174"/>
      <c r="CR170" s="174"/>
      <c r="CS170" s="174"/>
      <c r="CT170" s="174"/>
      <c r="CU170" s="174"/>
      <c r="CV170" s="174"/>
      <c r="CW170" s="165"/>
      <c r="CX170" s="166"/>
      <c r="CY170" s="166"/>
      <c r="CZ170" s="166"/>
      <c r="DA170" s="166"/>
      <c r="DB170" s="166"/>
      <c r="DC170" s="166"/>
      <c r="DD170" s="171"/>
      <c r="DE170" s="171"/>
      <c r="DF170" s="171"/>
      <c r="DG170" s="171"/>
      <c r="DH170" s="171"/>
      <c r="DI170" s="171"/>
      <c r="DJ170" s="171"/>
      <c r="DK170" s="79" t="s">
        <v>663</v>
      </c>
      <c r="DL170" s="128">
        <f>ROUNDUP(VLOOKUP($F170,Activities!$A$9:$I$180,3,FALSE)/$AI170,2)</f>
        <v>132.67999999999998</v>
      </c>
      <c r="DM170" s="128">
        <f>ROUNDUP(VLOOKUP($F170,Activities!$A$9:$I$180,4,FALSE)/$AI170,2)</f>
        <v>138.38999999999999</v>
      </c>
      <c r="DN170" s="128">
        <f>ROUNDUP(VLOOKUP($F170,Activities!$A$9:$I$180,5,FALSE)/$AI170,2)</f>
        <v>141.48999999999998</v>
      </c>
      <c r="DO170" s="128">
        <f>ROUNDUP(VLOOKUP($F170,Activities!$A$9:$I$180,6,FALSE)/$AI170,2)</f>
        <v>143.14999999999998</v>
      </c>
      <c r="DP170" s="128">
        <f>ROUNDUP(VLOOKUP($F170,Activities!$A$9:$I$180,7,FALSE)/$AI170,2)</f>
        <v>143.79</v>
      </c>
      <c r="DQ170" s="128">
        <f>ROUNDUP(VLOOKUP($F170,Activities!$A$9:$I$180,8,FALSE)/$AI170,2)</f>
        <v>143.63999999999999</v>
      </c>
      <c r="DR170" s="128">
        <f>ROUNDUP(VLOOKUP($F170,Activities!$A$9:$I$180,9,FALSE)/$AI170,2)</f>
        <v>143</v>
      </c>
      <c r="DS170" s="218"/>
      <c r="DT170" s="360"/>
      <c r="DU170" s="360"/>
      <c r="DV170" s="360"/>
      <c r="DW170" s="360"/>
      <c r="DX170" s="360"/>
      <c r="DY170" s="360"/>
      <c r="DZ170" s="360"/>
      <c r="EA170" s="360"/>
      <c r="EB170" s="360"/>
      <c r="EC170" s="360"/>
      <c r="ED170" s="360"/>
      <c r="EE170" s="360"/>
      <c r="EF170" s="360"/>
      <c r="EG170" s="360"/>
      <c r="EH170" s="360"/>
      <c r="EI170" s="360"/>
      <c r="EJ170" s="360"/>
      <c r="EK170" s="360"/>
      <c r="EL170" s="360"/>
      <c r="EM170" s="360"/>
      <c r="EN170" s="360"/>
      <c r="EO170" s="360"/>
      <c r="EP170" s="360"/>
      <c r="EQ170" s="360"/>
    </row>
    <row r="171" spans="1:147" x14ac:dyDescent="0.35">
      <c r="A171" s="6" t="s">
        <v>1089</v>
      </c>
      <c r="B171" s="6" t="s">
        <v>734</v>
      </c>
      <c r="C171" s="6" t="s">
        <v>655</v>
      </c>
      <c r="D171" s="6" t="s">
        <v>1029</v>
      </c>
      <c r="E171" s="6" t="s">
        <v>1030</v>
      </c>
      <c r="F171" s="6" t="s">
        <v>385</v>
      </c>
      <c r="G171" s="48" t="s">
        <v>1090</v>
      </c>
      <c r="H171" s="48" t="s">
        <v>1080</v>
      </c>
      <c r="I171" s="102">
        <v>144.52000000000001</v>
      </c>
      <c r="J171" s="102">
        <v>127.76</v>
      </c>
      <c r="K171" s="102">
        <v>112.34</v>
      </c>
      <c r="L171" s="102">
        <v>98.15</v>
      </c>
      <c r="M171" s="102">
        <v>85.1</v>
      </c>
      <c r="N171" s="102">
        <v>73.09</v>
      </c>
      <c r="O171" s="102">
        <v>62.04</v>
      </c>
      <c r="P171" s="94">
        <v>0</v>
      </c>
      <c r="Q171" s="102">
        <v>9.4499999999999993</v>
      </c>
      <c r="R171" s="102">
        <v>9.4499999999999993</v>
      </c>
      <c r="S171" s="102">
        <v>9.4499999999999993</v>
      </c>
      <c r="T171" s="102">
        <v>9.4499999999999993</v>
      </c>
      <c r="U171" s="102">
        <v>9.4499999999999993</v>
      </c>
      <c r="V171" s="102">
        <v>9.4499999999999993</v>
      </c>
      <c r="W171" s="102">
        <v>9.4499999999999993</v>
      </c>
      <c r="X171" s="102">
        <v>0</v>
      </c>
      <c r="Y171" s="102">
        <v>0</v>
      </c>
      <c r="Z171" s="102">
        <v>0</v>
      </c>
      <c r="AA171" s="102">
        <v>0</v>
      </c>
      <c r="AB171" s="102">
        <v>0</v>
      </c>
      <c r="AC171" s="102">
        <v>0</v>
      </c>
      <c r="AD171" s="102">
        <v>0</v>
      </c>
      <c r="AE171" s="186">
        <v>0.08</v>
      </c>
      <c r="AF171" s="94">
        <v>0</v>
      </c>
      <c r="AG171" s="94">
        <v>15</v>
      </c>
      <c r="AH171" s="94">
        <v>15</v>
      </c>
      <c r="AI171" s="17">
        <v>5.7500000000000002E-2</v>
      </c>
      <c r="AJ171" s="17" t="s">
        <v>660</v>
      </c>
      <c r="AK171" s="17" t="s">
        <v>1091</v>
      </c>
      <c r="AL171" s="17"/>
      <c r="AM171" s="61"/>
      <c r="AN171" s="61"/>
      <c r="AO171" s="61"/>
      <c r="AP171" s="61"/>
      <c r="AQ171" s="61"/>
      <c r="AR171" s="61"/>
      <c r="AS171" s="64"/>
      <c r="AT171" s="64"/>
      <c r="AU171" s="64"/>
      <c r="AV171" s="132"/>
      <c r="AW171" s="132"/>
      <c r="AX171" s="132"/>
      <c r="AY171" s="28" t="s">
        <v>662</v>
      </c>
      <c r="AZ171" s="28"/>
      <c r="BA171" s="28"/>
      <c r="BB171" s="28"/>
      <c r="BC171" s="28"/>
      <c r="BD171" s="28"/>
      <c r="BE171" s="28"/>
      <c r="BF171" s="28"/>
      <c r="BG171" s="28"/>
      <c r="BH171" s="106"/>
      <c r="BI171" s="106"/>
      <c r="BJ171" s="106"/>
      <c r="BK171" s="106"/>
      <c r="BL171" s="137"/>
      <c r="BM171" s="123"/>
      <c r="BN171" s="139">
        <v>0</v>
      </c>
      <c r="BO171" s="94"/>
      <c r="BP171" s="94"/>
      <c r="BQ171" s="94"/>
      <c r="BR171" s="94"/>
      <c r="BS171" s="94"/>
      <c r="BT171" s="94"/>
      <c r="BU171" s="28">
        <f t="shared" si="95"/>
        <v>0</v>
      </c>
      <c r="BV171" s="28"/>
      <c r="BW171" s="28"/>
      <c r="BX171" s="28"/>
      <c r="BY171" s="28"/>
      <c r="BZ171" s="28"/>
      <c r="CA171" s="28"/>
      <c r="CB171" s="99"/>
      <c r="CC171" s="99">
        <v>1</v>
      </c>
      <c r="CD171" s="99">
        <v>2</v>
      </c>
      <c r="CE171" s="99">
        <v>40</v>
      </c>
      <c r="CF171" s="99">
        <v>80</v>
      </c>
      <c r="CG171" s="99">
        <v>120</v>
      </c>
      <c r="CH171" s="99">
        <f t="shared" si="153"/>
        <v>143</v>
      </c>
      <c r="CI171" s="175"/>
      <c r="CJ171" s="175"/>
      <c r="CK171" s="175"/>
      <c r="CL171" s="175"/>
      <c r="CM171" s="175"/>
      <c r="CN171" s="175"/>
      <c r="CO171" s="175"/>
      <c r="CP171" s="176"/>
      <c r="CQ171" s="176"/>
      <c r="CR171" s="176"/>
      <c r="CS171" s="176"/>
      <c r="CT171" s="176"/>
      <c r="CU171" s="176"/>
      <c r="CV171" s="176"/>
      <c r="CW171" s="167"/>
      <c r="CX171" s="168"/>
      <c r="CY171" s="168"/>
      <c r="CZ171" s="168"/>
      <c r="DA171" s="168"/>
      <c r="DB171" s="168"/>
      <c r="DC171" s="168"/>
      <c r="DD171" s="172"/>
      <c r="DE171" s="172"/>
      <c r="DF171" s="172"/>
      <c r="DG171" s="172"/>
      <c r="DH171" s="172"/>
      <c r="DI171" s="172"/>
      <c r="DJ171" s="172"/>
      <c r="DK171" s="80" t="s">
        <v>706</v>
      </c>
      <c r="DL171" s="129">
        <f>ROUNDUP(VLOOKUP($F171,Activities!$A$9:$I$180,3,FALSE)/$AI171,2)</f>
        <v>132.67999999999998</v>
      </c>
      <c r="DM171" s="129">
        <f>ROUNDUP(VLOOKUP($F171,Activities!$A$9:$I$180,4,FALSE)/$AI171,2)</f>
        <v>138.38999999999999</v>
      </c>
      <c r="DN171" s="129">
        <f>ROUNDUP(VLOOKUP($F171,Activities!$A$9:$I$180,5,FALSE)/$AI171,2)</f>
        <v>141.48999999999998</v>
      </c>
      <c r="DO171" s="129">
        <f>ROUNDUP(VLOOKUP($F171,Activities!$A$9:$I$180,6,FALSE)/$AI171,2)</f>
        <v>143.14999999999998</v>
      </c>
      <c r="DP171" s="129">
        <f>ROUNDUP(VLOOKUP($F171,Activities!$A$9:$I$180,7,FALSE)/$AI171,2)</f>
        <v>143.79</v>
      </c>
      <c r="DQ171" s="129">
        <f>ROUNDUP(VLOOKUP($F171,Activities!$A$9:$I$180,8,FALSE)/$AI171,2)</f>
        <v>143.63999999999999</v>
      </c>
      <c r="DR171" s="129">
        <f>ROUNDUP(VLOOKUP($F171,Activities!$A$9:$I$180,9,FALSE)/$AI171,2)</f>
        <v>143</v>
      </c>
      <c r="DS171" s="218"/>
      <c r="DT171" s="360"/>
      <c r="DU171" s="360"/>
      <c r="DV171" s="360"/>
      <c r="DW171" s="360"/>
      <c r="DX171" s="360"/>
      <c r="DY171" s="360"/>
      <c r="DZ171" s="360"/>
      <c r="EA171" s="360"/>
      <c r="EB171" s="360"/>
      <c r="EC171" s="360"/>
      <c r="ED171" s="360"/>
      <c r="EE171" s="360"/>
      <c r="EF171" s="360"/>
      <c r="EG171" s="360"/>
      <c r="EH171" s="360"/>
      <c r="EI171" s="360"/>
      <c r="EJ171" s="360"/>
      <c r="EK171" s="360"/>
      <c r="EL171" s="360"/>
      <c r="EM171" s="360"/>
      <c r="EN171" s="360"/>
      <c r="EO171" s="360"/>
      <c r="EP171" s="360"/>
      <c r="EQ171" s="360"/>
    </row>
    <row r="172" spans="1:147" x14ac:dyDescent="0.35">
      <c r="A172" s="5" t="s">
        <v>1092</v>
      </c>
      <c r="B172" s="5" t="s">
        <v>734</v>
      </c>
      <c r="C172" s="5" t="s">
        <v>655</v>
      </c>
      <c r="D172" s="5" t="s">
        <v>1029</v>
      </c>
      <c r="E172" s="5" t="s">
        <v>1030</v>
      </c>
      <c r="F172" s="5" t="s">
        <v>385</v>
      </c>
      <c r="G172" s="47" t="s">
        <v>1093</v>
      </c>
      <c r="H172" s="47" t="s">
        <v>1080</v>
      </c>
      <c r="I172" s="101">
        <v>144.52000000000001</v>
      </c>
      <c r="J172" s="101">
        <v>127.76</v>
      </c>
      <c r="K172" s="101">
        <v>112.34</v>
      </c>
      <c r="L172" s="101">
        <v>98.15</v>
      </c>
      <c r="M172" s="101">
        <v>85.1</v>
      </c>
      <c r="N172" s="101">
        <v>73.09</v>
      </c>
      <c r="O172" s="101">
        <v>62.04</v>
      </c>
      <c r="P172" s="93">
        <v>0</v>
      </c>
      <c r="Q172" s="101">
        <v>9.4499999999999993</v>
      </c>
      <c r="R172" s="101">
        <v>9.4499999999999993</v>
      </c>
      <c r="S172" s="101">
        <v>9.4499999999999993</v>
      </c>
      <c r="T172" s="101">
        <v>9.4499999999999993</v>
      </c>
      <c r="U172" s="101">
        <v>9.4499999999999993</v>
      </c>
      <c r="V172" s="101">
        <v>9.4499999999999993</v>
      </c>
      <c r="W172" s="101">
        <v>9.4499999999999993</v>
      </c>
      <c r="X172" s="101">
        <v>0</v>
      </c>
      <c r="Y172" s="101">
        <v>0</v>
      </c>
      <c r="Z172" s="101">
        <v>0</v>
      </c>
      <c r="AA172" s="101">
        <v>0</v>
      </c>
      <c r="AB172" s="101">
        <v>0</v>
      </c>
      <c r="AC172" s="101">
        <v>0</v>
      </c>
      <c r="AD172" s="101">
        <v>0</v>
      </c>
      <c r="AE172" s="186">
        <v>0.08</v>
      </c>
      <c r="AF172" s="93">
        <v>0</v>
      </c>
      <c r="AG172" s="93">
        <v>15</v>
      </c>
      <c r="AH172" s="93">
        <v>15</v>
      </c>
      <c r="AI172" s="16">
        <v>5.7500000000000002E-2</v>
      </c>
      <c r="AJ172" s="16" t="s">
        <v>660</v>
      </c>
      <c r="AK172" s="16" t="s">
        <v>1091</v>
      </c>
      <c r="AL172" s="16"/>
      <c r="AM172" s="60"/>
      <c r="AN172" s="60"/>
      <c r="AO172" s="60"/>
      <c r="AP172" s="60"/>
      <c r="AQ172" s="60"/>
      <c r="AR172" s="60"/>
      <c r="AS172" s="63"/>
      <c r="AT172" s="63"/>
      <c r="AU172" s="63"/>
      <c r="AV172" s="131"/>
      <c r="AW172" s="131"/>
      <c r="AX172" s="131"/>
      <c r="AY172" s="27" t="s">
        <v>1055</v>
      </c>
      <c r="AZ172" s="27" t="s">
        <v>456</v>
      </c>
      <c r="BA172" s="27">
        <v>1</v>
      </c>
      <c r="BB172" s="30">
        <v>12</v>
      </c>
      <c r="BC172" s="30" t="s">
        <v>667</v>
      </c>
      <c r="BD172" s="30">
        <v>0</v>
      </c>
      <c r="BE172" s="30">
        <v>0.9</v>
      </c>
      <c r="BF172" s="30">
        <v>5</v>
      </c>
      <c r="BG172" s="30">
        <v>5.0000000000000001E-3</v>
      </c>
      <c r="BH172" s="107"/>
      <c r="BI172" s="107"/>
      <c r="BJ172" s="107"/>
      <c r="BK172" s="107"/>
      <c r="BL172" s="136"/>
      <c r="BM172" s="122"/>
      <c r="BN172" s="138">
        <v>0</v>
      </c>
      <c r="BO172" s="93"/>
      <c r="BP172" s="93"/>
      <c r="BQ172" s="93"/>
      <c r="BR172" s="93"/>
      <c r="BS172" s="93"/>
      <c r="BT172" s="93"/>
      <c r="BU172" s="27">
        <f t="shared" si="95"/>
        <v>0</v>
      </c>
      <c r="BV172" s="27"/>
      <c r="BW172" s="27"/>
      <c r="BX172" s="27"/>
      <c r="BY172" s="27"/>
      <c r="BZ172" s="27"/>
      <c r="CA172" s="27"/>
      <c r="CB172" s="97"/>
      <c r="CC172" s="97">
        <v>5</v>
      </c>
      <c r="CD172" s="97">
        <v>10</v>
      </c>
      <c r="CE172" s="97">
        <v>50</v>
      </c>
      <c r="CF172" s="97">
        <v>150</v>
      </c>
      <c r="CG172" s="97">
        <f t="shared" si="153"/>
        <v>143.63999999999999</v>
      </c>
      <c r="CH172" s="97">
        <f t="shared" si="153"/>
        <v>143</v>
      </c>
      <c r="CI172" s="173"/>
      <c r="CJ172" s="173"/>
      <c r="CK172" s="173"/>
      <c r="CL172" s="173"/>
      <c r="CM172" s="173"/>
      <c r="CN172" s="173"/>
      <c r="CO172" s="173"/>
      <c r="CP172" s="174"/>
      <c r="CQ172" s="174"/>
      <c r="CR172" s="174"/>
      <c r="CS172" s="174"/>
      <c r="CT172" s="174"/>
      <c r="CU172" s="174"/>
      <c r="CV172" s="174"/>
      <c r="CW172" s="165"/>
      <c r="CX172" s="166"/>
      <c r="CY172" s="166"/>
      <c r="CZ172" s="166"/>
      <c r="DA172" s="166"/>
      <c r="DB172" s="166"/>
      <c r="DC172" s="166"/>
      <c r="DD172" s="171"/>
      <c r="DE172" s="171"/>
      <c r="DF172" s="171"/>
      <c r="DG172" s="171"/>
      <c r="DH172" s="171"/>
      <c r="DI172" s="171"/>
      <c r="DJ172" s="171"/>
      <c r="DK172" s="79" t="s">
        <v>710</v>
      </c>
      <c r="DL172" s="128">
        <f>ROUNDUP(VLOOKUP($F172,Activities!$A$9:$I$180,3,FALSE)/$AI172,2)</f>
        <v>132.67999999999998</v>
      </c>
      <c r="DM172" s="128">
        <f>ROUNDUP(VLOOKUP($F172,Activities!$A$9:$I$180,4,FALSE)/$AI172,2)</f>
        <v>138.38999999999999</v>
      </c>
      <c r="DN172" s="128">
        <f>ROUNDUP(VLOOKUP($F172,Activities!$A$9:$I$180,5,FALSE)/$AI172,2)</f>
        <v>141.48999999999998</v>
      </c>
      <c r="DO172" s="128">
        <f>ROUNDUP(VLOOKUP($F172,Activities!$A$9:$I$180,6,FALSE)/$AI172,2)</f>
        <v>143.14999999999998</v>
      </c>
      <c r="DP172" s="128">
        <f>ROUNDUP(VLOOKUP($F172,Activities!$A$9:$I$180,7,FALSE)/$AI172,2)</f>
        <v>143.79</v>
      </c>
      <c r="DQ172" s="128">
        <f>ROUNDUP(VLOOKUP($F172,Activities!$A$9:$I$180,8,FALSE)/$AI172,2)</f>
        <v>143.63999999999999</v>
      </c>
      <c r="DR172" s="128">
        <f>ROUNDUP(VLOOKUP($F172,Activities!$A$9:$I$180,9,FALSE)/$AI172,2)</f>
        <v>143</v>
      </c>
      <c r="DS172" s="218"/>
      <c r="DT172" s="360"/>
      <c r="DU172" s="360"/>
      <c r="DV172" s="360"/>
      <c r="DW172" s="360"/>
      <c r="DX172" s="360"/>
      <c r="DY172" s="360"/>
      <c r="DZ172" s="360"/>
      <c r="EA172" s="360"/>
      <c r="EB172" s="360"/>
      <c r="EC172" s="360"/>
      <c r="ED172" s="360"/>
      <c r="EE172" s="360"/>
      <c r="EF172" s="360"/>
      <c r="EG172" s="360"/>
      <c r="EH172" s="360"/>
      <c r="EI172" s="360"/>
      <c r="EJ172" s="360"/>
      <c r="EK172" s="360"/>
      <c r="EL172" s="360"/>
      <c r="EM172" s="360"/>
      <c r="EN172" s="360"/>
      <c r="EO172" s="360"/>
      <c r="EP172" s="360"/>
      <c r="EQ172" s="360"/>
    </row>
    <row r="173" spans="1:147" x14ac:dyDescent="0.35">
      <c r="A173" s="6" t="s">
        <v>1094</v>
      </c>
      <c r="B173" s="6" t="s">
        <v>734</v>
      </c>
      <c r="C173" s="6" t="s">
        <v>655</v>
      </c>
      <c r="D173" s="6" t="s">
        <v>1029</v>
      </c>
      <c r="E173" s="6" t="s">
        <v>1030</v>
      </c>
      <c r="F173" s="6" t="s">
        <v>385</v>
      </c>
      <c r="G173" s="48" t="s">
        <v>1095</v>
      </c>
      <c r="H173" s="48" t="s">
        <v>1080</v>
      </c>
      <c r="I173" s="102">
        <v>169.66</v>
      </c>
      <c r="J173" s="102">
        <v>157.93</v>
      </c>
      <c r="K173" s="102">
        <v>146.78</v>
      </c>
      <c r="L173" s="102">
        <v>136.19</v>
      </c>
      <c r="M173" s="102">
        <v>116.07</v>
      </c>
      <c r="N173" s="102">
        <v>97.97</v>
      </c>
      <c r="O173" s="102">
        <v>81.67</v>
      </c>
      <c r="P173" s="94">
        <v>0</v>
      </c>
      <c r="Q173" s="102">
        <v>21.12</v>
      </c>
      <c r="R173" s="102">
        <v>20.059999999999999</v>
      </c>
      <c r="S173" s="102">
        <v>19.059999999999999</v>
      </c>
      <c r="T173" s="102">
        <v>18.11</v>
      </c>
      <c r="U173" s="102">
        <v>16.3</v>
      </c>
      <c r="V173" s="102">
        <v>14.67</v>
      </c>
      <c r="W173" s="102">
        <v>13.2</v>
      </c>
      <c r="X173" s="102">
        <v>0</v>
      </c>
      <c r="Y173" s="102">
        <v>0</v>
      </c>
      <c r="Z173" s="102">
        <v>0</v>
      </c>
      <c r="AA173" s="102">
        <v>0</v>
      </c>
      <c r="AB173" s="102">
        <v>0</v>
      </c>
      <c r="AC173" s="102">
        <v>0</v>
      </c>
      <c r="AD173" s="102">
        <v>0</v>
      </c>
      <c r="AE173" s="186">
        <v>0.08</v>
      </c>
      <c r="AF173" s="94">
        <v>0</v>
      </c>
      <c r="AG173" s="94">
        <v>15</v>
      </c>
      <c r="AH173" s="94">
        <v>15</v>
      </c>
      <c r="AI173" s="17">
        <v>5.7500000000000002E-2</v>
      </c>
      <c r="AJ173" s="17" t="s">
        <v>660</v>
      </c>
      <c r="AK173" s="17" t="s">
        <v>745</v>
      </c>
      <c r="AL173" s="17"/>
      <c r="AM173" s="61"/>
      <c r="AN173" s="61"/>
      <c r="AO173" s="61"/>
      <c r="AP173" s="61"/>
      <c r="AQ173" s="61"/>
      <c r="AR173" s="61"/>
      <c r="AS173" s="64"/>
      <c r="AT173" s="64"/>
      <c r="AU173" s="64"/>
      <c r="AV173" s="132"/>
      <c r="AW173" s="132"/>
      <c r="AX173" s="132"/>
      <c r="AY173" s="28" t="s">
        <v>662</v>
      </c>
      <c r="AZ173" s="28"/>
      <c r="BA173" s="28"/>
      <c r="BB173" s="28"/>
      <c r="BC173" s="28"/>
      <c r="BD173" s="28"/>
      <c r="BE173" s="28"/>
      <c r="BF173" s="28"/>
      <c r="BG173" s="28"/>
      <c r="BH173" s="106"/>
      <c r="BI173" s="106"/>
      <c r="BJ173" s="106"/>
      <c r="BK173" s="106"/>
      <c r="BL173" s="137"/>
      <c r="BM173" s="123"/>
      <c r="BN173" s="139">
        <v>0.01</v>
      </c>
      <c r="BO173" s="94"/>
      <c r="BP173" s="94"/>
      <c r="BQ173" s="94">
        <v>0.01</v>
      </c>
      <c r="BR173" s="94"/>
      <c r="BS173" s="94"/>
      <c r="BT173" s="94"/>
      <c r="BU173" s="28">
        <f t="shared" si="95"/>
        <v>0</v>
      </c>
      <c r="BV173" s="28"/>
      <c r="BW173" s="28"/>
      <c r="BX173" s="28"/>
      <c r="BY173" s="28"/>
      <c r="BZ173" s="28"/>
      <c r="CA173" s="28"/>
      <c r="CB173" s="185">
        <v>1</v>
      </c>
      <c r="CC173" s="99">
        <v>5</v>
      </c>
      <c r="CD173" s="99">
        <v>10</v>
      </c>
      <c r="CE173" s="99">
        <v>50</v>
      </c>
      <c r="CF173" s="99">
        <v>150</v>
      </c>
      <c r="CG173" s="99">
        <f t="shared" si="153"/>
        <v>143.63999999999999</v>
      </c>
      <c r="CH173" s="99">
        <f t="shared" si="153"/>
        <v>143</v>
      </c>
      <c r="CI173" s="175"/>
      <c r="CJ173" s="175"/>
      <c r="CK173" s="175"/>
      <c r="CL173" s="175"/>
      <c r="CM173" s="175"/>
      <c r="CN173" s="175"/>
      <c r="CO173" s="175"/>
      <c r="CP173" s="176"/>
      <c r="CQ173" s="176"/>
      <c r="CR173" s="176"/>
      <c r="CS173" s="176"/>
      <c r="CT173" s="176"/>
      <c r="CU173" s="176"/>
      <c r="CV173" s="176"/>
      <c r="CW173" s="167"/>
      <c r="CX173" s="168"/>
      <c r="CY173" s="168"/>
      <c r="CZ173" s="168"/>
      <c r="DA173" s="168"/>
      <c r="DB173" s="168"/>
      <c r="DC173" s="168"/>
      <c r="DD173" s="172"/>
      <c r="DE173" s="172"/>
      <c r="DF173" s="172"/>
      <c r="DG173" s="172"/>
      <c r="DH173" s="172"/>
      <c r="DI173" s="172"/>
      <c r="DJ173" s="172"/>
      <c r="DK173" s="80" t="s">
        <v>710</v>
      </c>
      <c r="DL173" s="129">
        <f>ROUNDUP(VLOOKUP($F173,Activities!$A$9:$I$180,3,FALSE)/$AI173,2)</f>
        <v>132.67999999999998</v>
      </c>
      <c r="DM173" s="129">
        <f>ROUNDUP(VLOOKUP($F173,Activities!$A$9:$I$180,4,FALSE)/$AI173,2)</f>
        <v>138.38999999999999</v>
      </c>
      <c r="DN173" s="129">
        <f>ROUNDUP(VLOOKUP($F173,Activities!$A$9:$I$180,5,FALSE)/$AI173,2)</f>
        <v>141.48999999999998</v>
      </c>
      <c r="DO173" s="129">
        <f>ROUNDUP(VLOOKUP($F173,Activities!$A$9:$I$180,6,FALSE)/$AI173,2)</f>
        <v>143.14999999999998</v>
      </c>
      <c r="DP173" s="129">
        <f>ROUNDUP(VLOOKUP($F173,Activities!$A$9:$I$180,7,FALSE)/$AI173,2)</f>
        <v>143.79</v>
      </c>
      <c r="DQ173" s="129">
        <f>ROUNDUP(VLOOKUP($F173,Activities!$A$9:$I$180,8,FALSE)/$AI173,2)</f>
        <v>143.63999999999999</v>
      </c>
      <c r="DR173" s="129">
        <f>ROUNDUP(VLOOKUP($F173,Activities!$A$9:$I$180,9,FALSE)/$AI173,2)</f>
        <v>143</v>
      </c>
      <c r="DS173" s="218"/>
      <c r="DT173" s="360"/>
      <c r="DU173" s="360"/>
      <c r="DV173" s="360"/>
      <c r="DW173" s="360"/>
      <c r="DX173" s="360"/>
      <c r="DY173" s="360"/>
      <c r="DZ173" s="360"/>
      <c r="EA173" s="360"/>
      <c r="EB173" s="360"/>
      <c r="EC173" s="360"/>
      <c r="ED173" s="360"/>
      <c r="EE173" s="360"/>
      <c r="EF173" s="360"/>
      <c r="EG173" s="360"/>
      <c r="EH173" s="360"/>
      <c r="EI173" s="360"/>
      <c r="EJ173" s="360"/>
      <c r="EK173" s="360"/>
      <c r="EL173" s="360"/>
      <c r="EM173" s="360"/>
      <c r="EN173" s="360"/>
      <c r="EO173" s="360"/>
      <c r="EP173" s="360"/>
      <c r="EQ173" s="360"/>
    </row>
    <row r="174" spans="1:147" x14ac:dyDescent="0.35">
      <c r="A174" s="5" t="s">
        <v>1096</v>
      </c>
      <c r="B174" s="5" t="s">
        <v>734</v>
      </c>
      <c r="C174" s="5" t="s">
        <v>655</v>
      </c>
      <c r="D174" s="5" t="s">
        <v>1029</v>
      </c>
      <c r="E174" s="5" t="s">
        <v>1030</v>
      </c>
      <c r="F174" s="5" t="s">
        <v>386</v>
      </c>
      <c r="G174" s="47" t="s">
        <v>1097</v>
      </c>
      <c r="H174" s="47" t="s">
        <v>1080</v>
      </c>
      <c r="I174" s="101">
        <v>44.68</v>
      </c>
      <c r="J174" s="101">
        <v>44.68</v>
      </c>
      <c r="K174" s="101">
        <v>44.68</v>
      </c>
      <c r="L174" s="101">
        <v>44.68</v>
      </c>
      <c r="M174" s="101">
        <v>44.68</v>
      </c>
      <c r="N174" s="101">
        <v>44.68</v>
      </c>
      <c r="O174" s="101">
        <v>44.68</v>
      </c>
      <c r="P174" s="93">
        <v>0</v>
      </c>
      <c r="Q174" s="101">
        <v>20.22</v>
      </c>
      <c r="R174" s="101">
        <v>20.22</v>
      </c>
      <c r="S174" s="101">
        <v>20.22</v>
      </c>
      <c r="T174" s="101">
        <v>20.22</v>
      </c>
      <c r="U174" s="101">
        <v>20.22</v>
      </c>
      <c r="V174" s="101">
        <v>20.22</v>
      </c>
      <c r="W174" s="101">
        <v>20.22</v>
      </c>
      <c r="X174" s="101">
        <v>0</v>
      </c>
      <c r="Y174" s="101">
        <v>0</v>
      </c>
      <c r="Z174" s="101">
        <v>0</v>
      </c>
      <c r="AA174" s="101">
        <v>0</v>
      </c>
      <c r="AB174" s="101">
        <v>0</v>
      </c>
      <c r="AC174" s="101">
        <v>0</v>
      </c>
      <c r="AD174" s="101">
        <v>0</v>
      </c>
      <c r="AE174" s="186">
        <v>0.08</v>
      </c>
      <c r="AF174" s="93">
        <v>0</v>
      </c>
      <c r="AG174" s="93">
        <v>15</v>
      </c>
      <c r="AH174" s="93">
        <v>15</v>
      </c>
      <c r="AI174" s="16">
        <v>61</v>
      </c>
      <c r="AJ174" s="16" t="s">
        <v>660</v>
      </c>
      <c r="AK174" s="16" t="s">
        <v>745</v>
      </c>
      <c r="AL174" s="16"/>
      <c r="AM174" s="60"/>
      <c r="AN174" s="60"/>
      <c r="AO174" s="60"/>
      <c r="AP174" s="60"/>
      <c r="AQ174" s="60"/>
      <c r="AR174" s="60"/>
      <c r="AS174" s="63"/>
      <c r="AT174" s="63"/>
      <c r="AU174" s="63"/>
      <c r="AV174" s="131"/>
      <c r="AW174" s="131"/>
      <c r="AX174" s="131"/>
      <c r="AY174" s="27" t="s">
        <v>662</v>
      </c>
      <c r="AZ174" s="27"/>
      <c r="BA174" s="27"/>
      <c r="BB174" s="30"/>
      <c r="BC174" s="30"/>
      <c r="BD174" s="30"/>
      <c r="BE174" s="30"/>
      <c r="BF174" s="30"/>
      <c r="BG174" s="30"/>
      <c r="BH174" s="107"/>
      <c r="BI174" s="107"/>
      <c r="BJ174" s="107"/>
      <c r="BK174" s="107"/>
      <c r="BL174" s="136"/>
      <c r="BM174" s="122"/>
      <c r="BN174" s="138">
        <f>DL174-SUM(BN175:BN180)</f>
        <v>3.9999999999999991</v>
      </c>
      <c r="BO174" s="93">
        <v>2.5</v>
      </c>
      <c r="BP174" s="93">
        <v>1.5</v>
      </c>
      <c r="BQ174" s="93"/>
      <c r="BR174" s="93">
        <v>0</v>
      </c>
      <c r="BS174" s="93">
        <v>0</v>
      </c>
      <c r="BT174" s="93">
        <v>0</v>
      </c>
      <c r="BU174" s="27">
        <f t="shared" si="95"/>
        <v>0</v>
      </c>
      <c r="BV174" s="27"/>
      <c r="BW174" s="27"/>
      <c r="BX174" s="27"/>
      <c r="BY174" s="27"/>
      <c r="BZ174" s="27"/>
      <c r="CA174" s="27"/>
      <c r="CB174" s="97">
        <f t="shared" ref="CB174:CF174" si="180">DL174</f>
        <v>8.0399999999999991</v>
      </c>
      <c r="CC174" s="97">
        <f t="shared" si="180"/>
        <v>8.379999999999999</v>
      </c>
      <c r="CD174" s="97">
        <f t="shared" si="180"/>
        <v>8.57</v>
      </c>
      <c r="CE174" s="97">
        <f t="shared" si="180"/>
        <v>8.67</v>
      </c>
      <c r="CF174" s="97">
        <f t="shared" si="180"/>
        <v>8.7099999999999991</v>
      </c>
      <c r="CG174" s="97">
        <f t="shared" si="153"/>
        <v>8.6999999999999993</v>
      </c>
      <c r="CH174" s="97">
        <f t="shared" si="153"/>
        <v>8.66</v>
      </c>
      <c r="CI174" s="173"/>
      <c r="CJ174" s="173"/>
      <c r="CK174" s="173"/>
      <c r="CL174" s="173"/>
      <c r="CM174" s="173"/>
      <c r="CN174" s="173"/>
      <c r="CO174" s="173"/>
      <c r="CP174" s="174"/>
      <c r="CQ174" s="174"/>
      <c r="CR174" s="174"/>
      <c r="CS174" s="174"/>
      <c r="CT174" s="174"/>
      <c r="CU174" s="174"/>
      <c r="CV174" s="174"/>
      <c r="CW174" s="165"/>
      <c r="CX174" s="166"/>
      <c r="CY174" s="166"/>
      <c r="CZ174" s="166"/>
      <c r="DA174" s="166"/>
      <c r="DB174" s="166"/>
      <c r="DC174" s="166"/>
      <c r="DD174" s="171"/>
      <c r="DE174" s="171"/>
      <c r="DF174" s="171"/>
      <c r="DG174" s="171"/>
      <c r="DH174" s="171"/>
      <c r="DI174" s="171"/>
      <c r="DJ174" s="171"/>
      <c r="DK174" s="79" t="s">
        <v>452</v>
      </c>
      <c r="DL174" s="128">
        <f>ROUNDUP(VLOOKUP($F174,Activities!$A$9:$I$180,3,FALSE)/$AI174,2)</f>
        <v>8.0399999999999991</v>
      </c>
      <c r="DM174" s="128">
        <f>ROUNDUP(VLOOKUP($F174,Activities!$A$9:$I$180,4,FALSE)/$AI174,2)</f>
        <v>8.379999999999999</v>
      </c>
      <c r="DN174" s="128">
        <f>ROUNDUP(VLOOKUP($F174,Activities!$A$9:$I$180,5,FALSE)/$AI174,2)</f>
        <v>8.57</v>
      </c>
      <c r="DO174" s="128">
        <f>ROUNDUP(VLOOKUP($F174,Activities!$A$9:$I$180,6,FALSE)/$AI174,2)</f>
        <v>8.67</v>
      </c>
      <c r="DP174" s="128">
        <f>ROUNDUP(VLOOKUP($F174,Activities!$A$9:$I$180,7,FALSE)/$AI174,2)</f>
        <v>8.7099999999999991</v>
      </c>
      <c r="DQ174" s="128">
        <f>ROUNDUP(VLOOKUP($F174,Activities!$A$9:$I$180,8,FALSE)/$AI174,2)</f>
        <v>8.6999999999999993</v>
      </c>
      <c r="DR174" s="128">
        <f>ROUNDUP(VLOOKUP($F174,Activities!$A$9:$I$180,9,FALSE)/$AI174,2)</f>
        <v>8.66</v>
      </c>
      <c r="DS174" s="218"/>
      <c r="DT174" s="360"/>
      <c r="DU174" s="360"/>
      <c r="DV174" s="360"/>
      <c r="DW174" s="360"/>
      <c r="DX174" s="360"/>
      <c r="DY174" s="360"/>
      <c r="DZ174" s="360"/>
      <c r="EA174" s="360"/>
      <c r="EB174" s="360"/>
      <c r="EC174" s="360"/>
      <c r="ED174" s="360"/>
      <c r="EE174" s="360"/>
      <c r="EF174" s="360"/>
      <c r="EG174" s="360"/>
      <c r="EH174" s="360"/>
      <c r="EI174" s="360"/>
      <c r="EJ174" s="360"/>
      <c r="EK174" s="360"/>
      <c r="EL174" s="360"/>
      <c r="EM174" s="360"/>
      <c r="EN174" s="360"/>
      <c r="EO174" s="360"/>
      <c r="EP174" s="360"/>
      <c r="EQ174" s="360"/>
    </row>
    <row r="175" spans="1:147" x14ac:dyDescent="0.35">
      <c r="A175" s="5" t="s">
        <v>1098</v>
      </c>
      <c r="B175" s="5" t="s">
        <v>734</v>
      </c>
      <c r="C175" s="5" t="s">
        <v>655</v>
      </c>
      <c r="D175" s="5" t="s">
        <v>1029</v>
      </c>
      <c r="E175" s="5" t="s">
        <v>1030</v>
      </c>
      <c r="F175" s="5" t="s">
        <v>386</v>
      </c>
      <c r="G175" s="47" t="s">
        <v>1099</v>
      </c>
      <c r="H175" s="47" t="s">
        <v>1080</v>
      </c>
      <c r="I175" s="101">
        <v>44.68</v>
      </c>
      <c r="J175" s="101">
        <v>44.68</v>
      </c>
      <c r="K175" s="101">
        <v>44.68</v>
      </c>
      <c r="L175" s="101">
        <v>44.68</v>
      </c>
      <c r="M175" s="101">
        <v>44.68</v>
      </c>
      <c r="N175" s="101">
        <v>44.68</v>
      </c>
      <c r="O175" s="101">
        <v>44.68</v>
      </c>
      <c r="P175" s="93">
        <v>0</v>
      </c>
      <c r="Q175" s="101">
        <v>20.22</v>
      </c>
      <c r="R175" s="101">
        <v>20.22</v>
      </c>
      <c r="S175" s="101">
        <v>20.22</v>
      </c>
      <c r="T175" s="101">
        <v>20.22</v>
      </c>
      <c r="U175" s="101">
        <v>20.22</v>
      </c>
      <c r="V175" s="101">
        <v>20.22</v>
      </c>
      <c r="W175" s="101">
        <v>20.22</v>
      </c>
      <c r="X175" s="101">
        <v>0</v>
      </c>
      <c r="Y175" s="101">
        <v>0</v>
      </c>
      <c r="Z175" s="101">
        <v>0</v>
      </c>
      <c r="AA175" s="101">
        <v>0</v>
      </c>
      <c r="AB175" s="101">
        <v>0</v>
      </c>
      <c r="AC175" s="101">
        <v>0</v>
      </c>
      <c r="AD175" s="101">
        <v>0</v>
      </c>
      <c r="AE175" s="186">
        <v>0.08</v>
      </c>
      <c r="AF175" s="93">
        <v>0</v>
      </c>
      <c r="AG175" s="93">
        <v>15</v>
      </c>
      <c r="AH175" s="93">
        <v>15</v>
      </c>
      <c r="AI175" s="16">
        <v>61</v>
      </c>
      <c r="AJ175" s="16" t="s">
        <v>660</v>
      </c>
      <c r="AK175" s="16" t="s">
        <v>745</v>
      </c>
      <c r="AL175" s="16"/>
      <c r="AM175" s="60"/>
      <c r="AN175" s="60"/>
      <c r="AO175" s="60"/>
      <c r="AP175" s="60"/>
      <c r="AQ175" s="60"/>
      <c r="AR175" s="60"/>
      <c r="AS175" s="63"/>
      <c r="AT175" s="63"/>
      <c r="AU175" s="63"/>
      <c r="AV175" s="131"/>
      <c r="AW175" s="131"/>
      <c r="AX175" s="131"/>
      <c r="AY175" s="27" t="s">
        <v>662</v>
      </c>
      <c r="AZ175" s="27"/>
      <c r="BA175" s="27"/>
      <c r="BB175" s="30"/>
      <c r="BC175" s="30"/>
      <c r="BD175" s="30"/>
      <c r="BE175" s="30"/>
      <c r="BF175" s="30"/>
      <c r="BG175" s="30"/>
      <c r="BH175" s="107"/>
      <c r="BI175" s="107"/>
      <c r="BJ175" s="107"/>
      <c r="BK175" s="107"/>
      <c r="BL175" s="136"/>
      <c r="BM175" s="122"/>
      <c r="BN175" s="138">
        <v>2</v>
      </c>
      <c r="BO175" s="93">
        <v>2</v>
      </c>
      <c r="BP175" s="93"/>
      <c r="BQ175" s="93"/>
      <c r="BR175" s="93">
        <v>0</v>
      </c>
      <c r="BS175" s="93">
        <v>0</v>
      </c>
      <c r="BT175" s="93">
        <v>0</v>
      </c>
      <c r="BU175" s="27">
        <f t="shared" ref="BU175" si="181">IF(BL175=1,BN175,0)</f>
        <v>0</v>
      </c>
      <c r="BV175" s="27"/>
      <c r="BW175" s="27"/>
      <c r="BX175" s="27"/>
      <c r="BY175" s="27"/>
      <c r="BZ175" s="27"/>
      <c r="CA175" s="27"/>
      <c r="CB175" s="97">
        <f t="shared" ref="CB175" si="182">DL175</f>
        <v>8.0399999999999991</v>
      </c>
      <c r="CC175" s="97">
        <f t="shared" ref="CC175" si="183">DM175</f>
        <v>8.379999999999999</v>
      </c>
      <c r="CD175" s="97">
        <f t="shared" ref="CD175" si="184">DN175</f>
        <v>8.57</v>
      </c>
      <c r="CE175" s="97">
        <f t="shared" ref="CE175" si="185">DO175</f>
        <v>8.67</v>
      </c>
      <c r="CF175" s="97">
        <f t="shared" ref="CF175" si="186">DP175</f>
        <v>8.7099999999999991</v>
      </c>
      <c r="CG175" s="97">
        <f t="shared" ref="CG175" si="187">DQ175</f>
        <v>8.6999999999999993</v>
      </c>
      <c r="CH175" s="97">
        <f t="shared" ref="CH175" si="188">DR175</f>
        <v>8.66</v>
      </c>
      <c r="CI175" s="173"/>
      <c r="CJ175" s="173"/>
      <c r="CK175" s="173"/>
      <c r="CL175" s="173"/>
      <c r="CM175" s="173"/>
      <c r="CN175" s="173"/>
      <c r="CO175" s="173"/>
      <c r="CP175" s="174"/>
      <c r="CQ175" s="174"/>
      <c r="CR175" s="174"/>
      <c r="CS175" s="174"/>
      <c r="CT175" s="174"/>
      <c r="CU175" s="174"/>
      <c r="CV175" s="174"/>
      <c r="CW175" s="165"/>
      <c r="CX175" s="166"/>
      <c r="CY175" s="166"/>
      <c r="CZ175" s="166"/>
      <c r="DA175" s="166"/>
      <c r="DB175" s="166"/>
      <c r="DC175" s="166"/>
      <c r="DD175" s="171"/>
      <c r="DE175" s="171"/>
      <c r="DF175" s="171"/>
      <c r="DG175" s="171"/>
      <c r="DH175" s="171"/>
      <c r="DI175" s="171"/>
      <c r="DJ175" s="171"/>
      <c r="DK175" s="79" t="s">
        <v>452</v>
      </c>
      <c r="DL175" s="128">
        <f>ROUNDUP(VLOOKUP($F175,Activities!$A$9:$I$180,3,FALSE)/$AI175,2)</f>
        <v>8.0399999999999991</v>
      </c>
      <c r="DM175" s="128">
        <f>ROUNDUP(VLOOKUP($F175,Activities!$A$9:$I$180,4,FALSE)/$AI175,2)</f>
        <v>8.379999999999999</v>
      </c>
      <c r="DN175" s="128">
        <f>ROUNDUP(VLOOKUP($F175,Activities!$A$9:$I$180,5,FALSE)/$AI175,2)</f>
        <v>8.57</v>
      </c>
      <c r="DO175" s="128">
        <f>ROUNDUP(VLOOKUP($F175,Activities!$A$9:$I$180,6,FALSE)/$AI175,2)</f>
        <v>8.67</v>
      </c>
      <c r="DP175" s="128">
        <f>ROUNDUP(VLOOKUP($F175,Activities!$A$9:$I$180,7,FALSE)/$AI175,2)</f>
        <v>8.7099999999999991</v>
      </c>
      <c r="DQ175" s="128">
        <f>ROUNDUP(VLOOKUP($F175,Activities!$A$9:$I$180,8,FALSE)/$AI175,2)</f>
        <v>8.6999999999999993</v>
      </c>
      <c r="DR175" s="128">
        <f>ROUNDUP(VLOOKUP($F175,Activities!$A$9:$I$180,9,FALSE)/$AI175,2)</f>
        <v>8.66</v>
      </c>
      <c r="DS175" s="218"/>
      <c r="DT175" s="360"/>
      <c r="DU175" s="360"/>
      <c r="DV175" s="360"/>
      <c r="DW175" s="360"/>
      <c r="DX175" s="360"/>
      <c r="DY175" s="360"/>
      <c r="DZ175" s="360"/>
      <c r="EA175" s="360"/>
      <c r="EB175" s="360"/>
      <c r="EC175" s="360"/>
      <c r="ED175" s="360"/>
      <c r="EE175" s="360"/>
      <c r="EF175" s="360"/>
      <c r="EG175" s="360"/>
      <c r="EH175" s="360"/>
      <c r="EI175" s="360"/>
      <c r="EJ175" s="360"/>
      <c r="EK175" s="360"/>
      <c r="EL175" s="360"/>
      <c r="EM175" s="360"/>
      <c r="EN175" s="360"/>
      <c r="EO175" s="360"/>
      <c r="EP175" s="360"/>
      <c r="EQ175" s="360"/>
    </row>
    <row r="176" spans="1:147" x14ac:dyDescent="0.35">
      <c r="A176" s="5" t="s">
        <v>1100</v>
      </c>
      <c r="B176" s="5" t="s">
        <v>734</v>
      </c>
      <c r="C176" s="5" t="s">
        <v>655</v>
      </c>
      <c r="D176" s="5" t="s">
        <v>1029</v>
      </c>
      <c r="E176" s="5" t="s">
        <v>1030</v>
      </c>
      <c r="F176" s="5" t="s">
        <v>386</v>
      </c>
      <c r="G176" s="47" t="s">
        <v>1101</v>
      </c>
      <c r="H176" s="47" t="s">
        <v>1080</v>
      </c>
      <c r="I176" s="101">
        <v>44.68</v>
      </c>
      <c r="J176" s="101">
        <v>44.68</v>
      </c>
      <c r="K176" s="101">
        <v>44.68</v>
      </c>
      <c r="L176" s="101">
        <v>44.68</v>
      </c>
      <c r="M176" s="101">
        <v>44.68</v>
      </c>
      <c r="N176" s="101">
        <v>44.68</v>
      </c>
      <c r="O176" s="101">
        <v>44.68</v>
      </c>
      <c r="P176" s="93">
        <v>0</v>
      </c>
      <c r="Q176" s="101">
        <v>20.22</v>
      </c>
      <c r="R176" s="101">
        <v>20.22</v>
      </c>
      <c r="S176" s="101">
        <v>20.22</v>
      </c>
      <c r="T176" s="101">
        <v>20.22</v>
      </c>
      <c r="U176" s="101">
        <v>20.22</v>
      </c>
      <c r="V176" s="101">
        <v>20.22</v>
      </c>
      <c r="W176" s="101">
        <v>20.22</v>
      </c>
      <c r="X176" s="101">
        <v>0</v>
      </c>
      <c r="Y176" s="101">
        <v>0</v>
      </c>
      <c r="Z176" s="101">
        <v>0</v>
      </c>
      <c r="AA176" s="101">
        <v>0</v>
      </c>
      <c r="AB176" s="101">
        <v>0</v>
      </c>
      <c r="AC176" s="101">
        <v>0</v>
      </c>
      <c r="AD176" s="101">
        <v>0</v>
      </c>
      <c r="AE176" s="186">
        <v>0.08</v>
      </c>
      <c r="AF176" s="93">
        <v>0</v>
      </c>
      <c r="AG176" s="93">
        <v>15</v>
      </c>
      <c r="AH176" s="93">
        <v>15</v>
      </c>
      <c r="AI176" s="16">
        <v>61</v>
      </c>
      <c r="AJ176" s="16" t="s">
        <v>660</v>
      </c>
      <c r="AK176" s="16" t="s">
        <v>745</v>
      </c>
      <c r="AL176" s="16"/>
      <c r="AM176" s="60"/>
      <c r="AN176" s="60"/>
      <c r="AO176" s="60"/>
      <c r="AP176" s="60"/>
      <c r="AQ176" s="60"/>
      <c r="AR176" s="60"/>
      <c r="AS176" s="63"/>
      <c r="AT176" s="63"/>
      <c r="AU176" s="63"/>
      <c r="AV176" s="131"/>
      <c r="AW176" s="131"/>
      <c r="AX176" s="131"/>
      <c r="AY176" s="27" t="s">
        <v>662</v>
      </c>
      <c r="AZ176" s="27"/>
      <c r="BA176" s="27"/>
      <c r="BB176" s="30"/>
      <c r="BC176" s="30"/>
      <c r="BD176" s="30"/>
      <c r="BE176" s="30"/>
      <c r="BF176" s="30"/>
      <c r="BG176" s="30"/>
      <c r="BH176" s="107"/>
      <c r="BI176" s="107"/>
      <c r="BJ176" s="107"/>
      <c r="BK176" s="107"/>
      <c r="BL176" s="136"/>
      <c r="BM176" s="122"/>
      <c r="BN176" s="138">
        <v>0</v>
      </c>
      <c r="BO176" s="93">
        <v>0</v>
      </c>
      <c r="BP176" s="93">
        <v>0</v>
      </c>
      <c r="BQ176" s="93">
        <v>0</v>
      </c>
      <c r="BR176" s="93">
        <v>0</v>
      </c>
      <c r="BS176" s="93">
        <v>0</v>
      </c>
      <c r="BT176" s="93">
        <v>0</v>
      </c>
      <c r="BU176" s="27">
        <f t="shared" ref="BU176" si="189">IF(BL176=1,BN176,0)</f>
        <v>0</v>
      </c>
      <c r="BV176" s="27"/>
      <c r="BW176" s="27"/>
      <c r="BX176" s="27"/>
      <c r="BY176" s="27"/>
      <c r="BZ176" s="27"/>
      <c r="CA176" s="27"/>
      <c r="CB176" s="97">
        <f t="shared" ref="CB176" si="190">DL176</f>
        <v>8.0399999999999991</v>
      </c>
      <c r="CC176" s="97">
        <f t="shared" ref="CC176" si="191">DM176</f>
        <v>8.379999999999999</v>
      </c>
      <c r="CD176" s="97">
        <f t="shared" ref="CD176" si="192">DN176</f>
        <v>8.57</v>
      </c>
      <c r="CE176" s="97">
        <f t="shared" ref="CE176" si="193">DO176</f>
        <v>8.67</v>
      </c>
      <c r="CF176" s="97">
        <f t="shared" ref="CF176" si="194">DP176</f>
        <v>8.7099999999999991</v>
      </c>
      <c r="CG176" s="97">
        <f t="shared" ref="CG176" si="195">DQ176</f>
        <v>8.6999999999999993</v>
      </c>
      <c r="CH176" s="97">
        <f t="shared" ref="CH176" si="196">DR176</f>
        <v>8.66</v>
      </c>
      <c r="CI176" s="173"/>
      <c r="CJ176" s="173"/>
      <c r="CK176" s="173"/>
      <c r="CL176" s="173"/>
      <c r="CM176" s="173"/>
      <c r="CN176" s="173"/>
      <c r="CO176" s="173"/>
      <c r="CP176" s="174"/>
      <c r="CQ176" s="174"/>
      <c r="CR176" s="174"/>
      <c r="CS176" s="174"/>
      <c r="CT176" s="174"/>
      <c r="CU176" s="174"/>
      <c r="CV176" s="174"/>
      <c r="CW176" s="165"/>
      <c r="CX176" s="166"/>
      <c r="CY176" s="166"/>
      <c r="CZ176" s="166"/>
      <c r="DA176" s="166"/>
      <c r="DB176" s="166"/>
      <c r="DC176" s="166"/>
      <c r="DD176" s="171"/>
      <c r="DE176" s="171"/>
      <c r="DF176" s="171"/>
      <c r="DG176" s="171"/>
      <c r="DH176" s="171"/>
      <c r="DI176" s="171"/>
      <c r="DJ176" s="171"/>
      <c r="DK176" s="79" t="s">
        <v>452</v>
      </c>
      <c r="DL176" s="128">
        <f>ROUNDUP(VLOOKUP($F176,Activities!$A$9:$I$180,3,FALSE)/$AI176,2)</f>
        <v>8.0399999999999991</v>
      </c>
      <c r="DM176" s="128">
        <f>ROUNDUP(VLOOKUP($F176,Activities!$A$9:$I$180,4,FALSE)/$AI176,2)</f>
        <v>8.379999999999999</v>
      </c>
      <c r="DN176" s="128">
        <f>ROUNDUP(VLOOKUP($F176,Activities!$A$9:$I$180,5,FALSE)/$AI176,2)</f>
        <v>8.57</v>
      </c>
      <c r="DO176" s="128">
        <f>ROUNDUP(VLOOKUP($F176,Activities!$A$9:$I$180,6,FALSE)/$AI176,2)</f>
        <v>8.67</v>
      </c>
      <c r="DP176" s="128">
        <f>ROUNDUP(VLOOKUP($F176,Activities!$A$9:$I$180,7,FALSE)/$AI176,2)</f>
        <v>8.7099999999999991</v>
      </c>
      <c r="DQ176" s="128">
        <f>ROUNDUP(VLOOKUP($F176,Activities!$A$9:$I$180,8,FALSE)/$AI176,2)</f>
        <v>8.6999999999999993</v>
      </c>
      <c r="DR176" s="128">
        <f>ROUNDUP(VLOOKUP($F176,Activities!$A$9:$I$180,9,FALSE)/$AI176,2)</f>
        <v>8.66</v>
      </c>
      <c r="DS176" s="218"/>
      <c r="DT176" s="360"/>
      <c r="DU176" s="360"/>
      <c r="DV176" s="360"/>
      <c r="DW176" s="360"/>
      <c r="DX176" s="360"/>
      <c r="DY176" s="360"/>
      <c r="DZ176" s="360"/>
      <c r="EA176" s="360"/>
      <c r="EB176" s="360"/>
      <c r="EC176" s="360"/>
      <c r="ED176" s="360"/>
      <c r="EE176" s="360"/>
      <c r="EF176" s="360"/>
      <c r="EG176" s="360"/>
      <c r="EH176" s="360"/>
      <c r="EI176" s="360"/>
      <c r="EJ176" s="360"/>
      <c r="EK176" s="360"/>
      <c r="EL176" s="360"/>
      <c r="EM176" s="360"/>
      <c r="EN176" s="360"/>
      <c r="EO176" s="360"/>
      <c r="EP176" s="360"/>
      <c r="EQ176" s="360"/>
    </row>
    <row r="177" spans="1:147" x14ac:dyDescent="0.35">
      <c r="A177" s="5" t="s">
        <v>1102</v>
      </c>
      <c r="B177" s="6" t="s">
        <v>734</v>
      </c>
      <c r="C177" s="6" t="s">
        <v>655</v>
      </c>
      <c r="D177" s="6" t="s">
        <v>1029</v>
      </c>
      <c r="E177" s="6" t="s">
        <v>1030</v>
      </c>
      <c r="F177" s="6" t="s">
        <v>386</v>
      </c>
      <c r="G177" s="48" t="s">
        <v>1103</v>
      </c>
      <c r="H177" s="48" t="s">
        <v>1080</v>
      </c>
      <c r="I177" s="102">
        <v>71.77</v>
      </c>
      <c r="J177" s="102">
        <v>66.73</v>
      </c>
      <c r="K177" s="102">
        <v>61.8</v>
      </c>
      <c r="L177" s="102">
        <v>56.96</v>
      </c>
      <c r="M177" s="102">
        <v>52.22</v>
      </c>
      <c r="N177" s="102">
        <v>47.58</v>
      </c>
      <c r="O177" s="102">
        <v>43.03</v>
      </c>
      <c r="P177" s="94">
        <v>0</v>
      </c>
      <c r="Q177" s="102">
        <v>20.22</v>
      </c>
      <c r="R177" s="102">
        <v>20.22</v>
      </c>
      <c r="S177" s="102">
        <v>20.22</v>
      </c>
      <c r="T177" s="102">
        <v>20.22</v>
      </c>
      <c r="U177" s="102">
        <v>20.22</v>
      </c>
      <c r="V177" s="102">
        <v>20.22</v>
      </c>
      <c r="W177" s="102">
        <v>20.22</v>
      </c>
      <c r="X177" s="102">
        <v>0</v>
      </c>
      <c r="Y177" s="102">
        <v>0</v>
      </c>
      <c r="Z177" s="102">
        <v>0</v>
      </c>
      <c r="AA177" s="102">
        <v>0</v>
      </c>
      <c r="AB177" s="102">
        <v>0</v>
      </c>
      <c r="AC177" s="102">
        <v>0</v>
      </c>
      <c r="AD177" s="102">
        <v>0</v>
      </c>
      <c r="AE177" s="186">
        <v>0.08</v>
      </c>
      <c r="AF177" s="94">
        <v>0</v>
      </c>
      <c r="AG177" s="94">
        <v>15</v>
      </c>
      <c r="AH177" s="94">
        <v>15</v>
      </c>
      <c r="AI177" s="17">
        <v>61</v>
      </c>
      <c r="AJ177" s="17" t="s">
        <v>660</v>
      </c>
      <c r="AK177" s="17" t="s">
        <v>1035</v>
      </c>
      <c r="AL177" s="17"/>
      <c r="AM177" s="61"/>
      <c r="AN177" s="61"/>
      <c r="AO177" s="61"/>
      <c r="AP177" s="61"/>
      <c r="AQ177" s="61"/>
      <c r="AR177" s="61"/>
      <c r="AS177" s="64"/>
      <c r="AT177" s="64"/>
      <c r="AU177" s="64"/>
      <c r="AV177" s="132"/>
      <c r="AW177" s="132"/>
      <c r="AX177" s="132"/>
      <c r="AY177" s="28" t="s">
        <v>662</v>
      </c>
      <c r="AZ177" s="28"/>
      <c r="BA177" s="28"/>
      <c r="BB177" s="28"/>
      <c r="BC177" s="28"/>
      <c r="BD177" s="28"/>
      <c r="BE177" s="28"/>
      <c r="BF177" s="28"/>
      <c r="BG177" s="28"/>
      <c r="BH177" s="106"/>
      <c r="BI177" s="106"/>
      <c r="BJ177" s="106"/>
      <c r="BK177" s="106"/>
      <c r="BL177" s="137"/>
      <c r="BM177" s="123"/>
      <c r="BN177" s="139">
        <v>1.8</v>
      </c>
      <c r="BO177" s="94">
        <v>0.6</v>
      </c>
      <c r="BP177" s="94">
        <v>0.6</v>
      </c>
      <c r="BQ177" s="94">
        <v>0.6</v>
      </c>
      <c r="BR177" s="94">
        <v>0</v>
      </c>
      <c r="BS177" s="94">
        <v>0</v>
      </c>
      <c r="BT177" s="94">
        <v>0</v>
      </c>
      <c r="BU177" s="28">
        <f t="shared" si="95"/>
        <v>0</v>
      </c>
      <c r="BV177" s="28"/>
      <c r="BW177" s="28"/>
      <c r="BX177" s="28"/>
      <c r="BY177" s="28"/>
      <c r="BZ177" s="28"/>
      <c r="CA177" s="28"/>
      <c r="CB177" s="99">
        <v>5</v>
      </c>
      <c r="CC177" s="99">
        <v>5</v>
      </c>
      <c r="CD177" s="99">
        <v>10</v>
      </c>
      <c r="CE177" s="99">
        <v>10</v>
      </c>
      <c r="CF177" s="99">
        <v>15</v>
      </c>
      <c r="CG177" s="99">
        <f t="shared" si="153"/>
        <v>8.6999999999999993</v>
      </c>
      <c r="CH177" s="99">
        <f t="shared" si="153"/>
        <v>8.66</v>
      </c>
      <c r="CI177" s="175"/>
      <c r="CJ177" s="175"/>
      <c r="CK177" s="175"/>
      <c r="CL177" s="175"/>
      <c r="CM177" s="175"/>
      <c r="CN177" s="175"/>
      <c r="CO177" s="175"/>
      <c r="CP177" s="176"/>
      <c r="CQ177" s="176"/>
      <c r="CR177" s="176"/>
      <c r="CS177" s="176"/>
      <c r="CT177" s="176"/>
      <c r="CU177" s="176"/>
      <c r="CV177" s="176"/>
      <c r="CW177" s="167"/>
      <c r="CX177" s="168"/>
      <c r="CY177" s="168"/>
      <c r="CZ177" s="168"/>
      <c r="DA177" s="168"/>
      <c r="DB177" s="168"/>
      <c r="DC177" s="168"/>
      <c r="DD177" s="172"/>
      <c r="DE177" s="172"/>
      <c r="DF177" s="172"/>
      <c r="DG177" s="172"/>
      <c r="DH177" s="172"/>
      <c r="DI177" s="172"/>
      <c r="DJ177" s="172"/>
      <c r="DK177" s="80" t="s">
        <v>663</v>
      </c>
      <c r="DL177" s="129">
        <f>ROUNDUP(VLOOKUP($F177,Activities!$A$9:$I$180,3,FALSE)/$AI177,2)</f>
        <v>8.0399999999999991</v>
      </c>
      <c r="DM177" s="129">
        <f>ROUNDUP(VLOOKUP($F177,Activities!$A$9:$I$180,4,FALSE)/$AI177,2)</f>
        <v>8.379999999999999</v>
      </c>
      <c r="DN177" s="129">
        <f>ROUNDUP(VLOOKUP($F177,Activities!$A$9:$I$180,5,FALSE)/$AI177,2)</f>
        <v>8.57</v>
      </c>
      <c r="DO177" s="129">
        <f>ROUNDUP(VLOOKUP($F177,Activities!$A$9:$I$180,6,FALSE)/$AI177,2)</f>
        <v>8.67</v>
      </c>
      <c r="DP177" s="129">
        <f>ROUNDUP(VLOOKUP($F177,Activities!$A$9:$I$180,7,FALSE)/$AI177,2)</f>
        <v>8.7099999999999991</v>
      </c>
      <c r="DQ177" s="129">
        <f>ROUNDUP(VLOOKUP($F177,Activities!$A$9:$I$180,8,FALSE)/$AI177,2)</f>
        <v>8.6999999999999993</v>
      </c>
      <c r="DR177" s="129">
        <f>ROUNDUP(VLOOKUP($F177,Activities!$A$9:$I$180,9,FALSE)/$AI177,2)</f>
        <v>8.66</v>
      </c>
      <c r="DS177" s="218"/>
      <c r="DT177" s="360"/>
      <c r="DU177" s="360"/>
      <c r="DV177" s="360"/>
      <c r="DW177" s="360"/>
      <c r="DX177" s="360"/>
      <c r="DY177" s="360"/>
      <c r="DZ177" s="360"/>
      <c r="EA177" s="360"/>
      <c r="EB177" s="360"/>
      <c r="EC177" s="360"/>
      <c r="ED177" s="360"/>
      <c r="EE177" s="360"/>
      <c r="EF177" s="360"/>
      <c r="EG177" s="360"/>
      <c r="EH177" s="360"/>
      <c r="EI177" s="360"/>
      <c r="EJ177" s="360"/>
      <c r="EK177" s="360"/>
      <c r="EL177" s="360"/>
      <c r="EM177" s="360"/>
      <c r="EN177" s="360"/>
      <c r="EO177" s="360"/>
      <c r="EP177" s="360"/>
      <c r="EQ177" s="360"/>
    </row>
    <row r="178" spans="1:147" x14ac:dyDescent="0.35">
      <c r="A178" s="5" t="s">
        <v>1104</v>
      </c>
      <c r="B178" s="5" t="s">
        <v>734</v>
      </c>
      <c r="C178" s="5" t="s">
        <v>655</v>
      </c>
      <c r="D178" s="5" t="s">
        <v>1029</v>
      </c>
      <c r="E178" s="5" t="s">
        <v>1030</v>
      </c>
      <c r="F178" s="5" t="s">
        <v>386</v>
      </c>
      <c r="G178" s="47" t="s">
        <v>1105</v>
      </c>
      <c r="H178" s="47" t="s">
        <v>1080</v>
      </c>
      <c r="I178" s="101">
        <v>146.25</v>
      </c>
      <c r="J178" s="101">
        <v>131.56</v>
      </c>
      <c r="K178" s="101">
        <v>117.54</v>
      </c>
      <c r="L178" s="101">
        <v>104.15</v>
      </c>
      <c r="M178" s="101">
        <v>91.37</v>
      </c>
      <c r="N178" s="101">
        <v>79.16</v>
      </c>
      <c r="O178" s="101">
        <v>67.489999999999995</v>
      </c>
      <c r="P178" s="93">
        <v>0</v>
      </c>
      <c r="Q178" s="101">
        <v>17.190000000000001</v>
      </c>
      <c r="R178" s="101">
        <v>17.190000000000001</v>
      </c>
      <c r="S178" s="101">
        <v>17.190000000000001</v>
      </c>
      <c r="T178" s="101">
        <v>17.190000000000001</v>
      </c>
      <c r="U178" s="101">
        <v>17.190000000000001</v>
      </c>
      <c r="V178" s="101">
        <v>17.190000000000001</v>
      </c>
      <c r="W178" s="101">
        <v>17.190000000000001</v>
      </c>
      <c r="X178" s="101">
        <v>0</v>
      </c>
      <c r="Y178" s="101">
        <v>0</v>
      </c>
      <c r="Z178" s="101">
        <v>0</v>
      </c>
      <c r="AA178" s="101">
        <v>0</v>
      </c>
      <c r="AB178" s="101">
        <v>0</v>
      </c>
      <c r="AC178" s="101">
        <v>0</v>
      </c>
      <c r="AD178" s="101">
        <v>0</v>
      </c>
      <c r="AE178" s="186">
        <v>0.08</v>
      </c>
      <c r="AF178" s="93">
        <v>0</v>
      </c>
      <c r="AG178" s="93">
        <v>15</v>
      </c>
      <c r="AH178" s="93">
        <v>15</v>
      </c>
      <c r="AI178" s="16">
        <v>61</v>
      </c>
      <c r="AJ178" s="16" t="s">
        <v>660</v>
      </c>
      <c r="AK178" s="16" t="s">
        <v>1035</v>
      </c>
      <c r="AL178" s="16"/>
      <c r="AM178" s="60"/>
      <c r="AN178" s="60"/>
      <c r="AO178" s="60"/>
      <c r="AP178" s="60"/>
      <c r="AQ178" s="60"/>
      <c r="AR178" s="60"/>
      <c r="AS178" s="63"/>
      <c r="AT178" s="63"/>
      <c r="AU178" s="63"/>
      <c r="AV178" s="131"/>
      <c r="AW178" s="131"/>
      <c r="AX178" s="131"/>
      <c r="AY178" s="27" t="s">
        <v>662</v>
      </c>
      <c r="AZ178" s="27"/>
      <c r="BA178" s="27"/>
      <c r="BB178" s="30"/>
      <c r="BC178" s="30"/>
      <c r="BD178" s="30"/>
      <c r="BE178" s="30"/>
      <c r="BF178" s="30"/>
      <c r="BG178" s="30"/>
      <c r="BH178" s="107"/>
      <c r="BI178" s="107"/>
      <c r="BJ178" s="107"/>
      <c r="BK178" s="107"/>
      <c r="BL178" s="136"/>
      <c r="BM178" s="122"/>
      <c r="BN178" s="138">
        <v>0.04</v>
      </c>
      <c r="BO178" s="93"/>
      <c r="BP178" s="93">
        <v>0.02</v>
      </c>
      <c r="BQ178" s="93">
        <v>0.02</v>
      </c>
      <c r="BR178" s="93">
        <v>0</v>
      </c>
      <c r="BS178" s="93">
        <v>0</v>
      </c>
      <c r="BT178" s="93">
        <v>0</v>
      </c>
      <c r="BU178" s="27">
        <f t="shared" si="95"/>
        <v>0</v>
      </c>
      <c r="BV178" s="27"/>
      <c r="BW178" s="27"/>
      <c r="BX178" s="27"/>
      <c r="BY178" s="27"/>
      <c r="BZ178" s="27"/>
      <c r="CA178" s="27"/>
      <c r="CB178" s="97">
        <v>0.04</v>
      </c>
      <c r="CC178" s="97">
        <v>1.5</v>
      </c>
      <c r="CD178" s="97">
        <v>2</v>
      </c>
      <c r="CE178" s="97">
        <v>3.5</v>
      </c>
      <c r="CF178" s="97">
        <v>5</v>
      </c>
      <c r="CG178" s="97">
        <f t="shared" si="153"/>
        <v>8.6999999999999993</v>
      </c>
      <c r="CH178" s="97">
        <f t="shared" si="153"/>
        <v>8.66</v>
      </c>
      <c r="CI178" s="173"/>
      <c r="CJ178" s="173"/>
      <c r="CK178" s="173"/>
      <c r="CL178" s="173"/>
      <c r="CM178" s="173"/>
      <c r="CN178" s="173"/>
      <c r="CO178" s="173"/>
      <c r="CP178" s="174"/>
      <c r="CQ178" s="174"/>
      <c r="CR178" s="174"/>
      <c r="CS178" s="174"/>
      <c r="CT178" s="174"/>
      <c r="CU178" s="174"/>
      <c r="CV178" s="174"/>
      <c r="CW178" s="165"/>
      <c r="CX178" s="166"/>
      <c r="CY178" s="166"/>
      <c r="CZ178" s="166"/>
      <c r="DA178" s="166"/>
      <c r="DB178" s="166"/>
      <c r="DC178" s="166"/>
      <c r="DD178" s="171"/>
      <c r="DE178" s="171"/>
      <c r="DF178" s="171"/>
      <c r="DG178" s="171"/>
      <c r="DH178" s="171"/>
      <c r="DI178" s="171"/>
      <c r="DJ178" s="171"/>
      <c r="DK178" s="79" t="s">
        <v>699</v>
      </c>
      <c r="DL178" s="128">
        <f>ROUNDUP(VLOOKUP($F178,Activities!$A$9:$I$180,3,FALSE)/$AI178,2)</f>
        <v>8.0399999999999991</v>
      </c>
      <c r="DM178" s="128">
        <f>ROUNDUP(VLOOKUP($F178,Activities!$A$9:$I$180,4,FALSE)/$AI178,2)</f>
        <v>8.379999999999999</v>
      </c>
      <c r="DN178" s="128">
        <f>ROUNDUP(VLOOKUP($F178,Activities!$A$9:$I$180,5,FALSE)/$AI178,2)</f>
        <v>8.57</v>
      </c>
      <c r="DO178" s="128">
        <f>ROUNDUP(VLOOKUP($F178,Activities!$A$9:$I$180,6,FALSE)/$AI178,2)</f>
        <v>8.67</v>
      </c>
      <c r="DP178" s="128">
        <f>ROUNDUP(VLOOKUP($F178,Activities!$A$9:$I$180,7,FALSE)/$AI178,2)</f>
        <v>8.7099999999999991</v>
      </c>
      <c r="DQ178" s="128">
        <f>ROUNDUP(VLOOKUP($F178,Activities!$A$9:$I$180,8,FALSE)/$AI178,2)</f>
        <v>8.6999999999999993</v>
      </c>
      <c r="DR178" s="128">
        <f>ROUNDUP(VLOOKUP($F178,Activities!$A$9:$I$180,9,FALSE)/$AI178,2)</f>
        <v>8.66</v>
      </c>
      <c r="DS178" s="218"/>
      <c r="DT178" s="360"/>
      <c r="DU178" s="360"/>
      <c r="DV178" s="360"/>
      <c r="DW178" s="360"/>
      <c r="DX178" s="360"/>
      <c r="DY178" s="360"/>
      <c r="DZ178" s="360"/>
      <c r="EA178" s="360"/>
      <c r="EB178" s="360"/>
      <c r="EC178" s="360"/>
      <c r="ED178" s="360"/>
      <c r="EE178" s="360"/>
      <c r="EF178" s="360"/>
      <c r="EG178" s="360"/>
      <c r="EH178" s="360"/>
      <c r="EI178" s="360"/>
      <c r="EJ178" s="360"/>
      <c r="EK178" s="360"/>
      <c r="EL178" s="360"/>
      <c r="EM178" s="360"/>
      <c r="EN178" s="360"/>
      <c r="EO178" s="360"/>
      <c r="EP178" s="360"/>
      <c r="EQ178" s="360"/>
    </row>
    <row r="179" spans="1:147" x14ac:dyDescent="0.35">
      <c r="A179" s="5" t="s">
        <v>1106</v>
      </c>
      <c r="B179" s="6" t="s">
        <v>734</v>
      </c>
      <c r="C179" s="6" t="s">
        <v>655</v>
      </c>
      <c r="D179" s="6" t="s">
        <v>1029</v>
      </c>
      <c r="E179" s="6" t="s">
        <v>1030</v>
      </c>
      <c r="F179" s="6" t="s">
        <v>386</v>
      </c>
      <c r="G179" s="48" t="s">
        <v>1107</v>
      </c>
      <c r="H179" s="48" t="s">
        <v>1080</v>
      </c>
      <c r="I179" s="102">
        <v>239.53</v>
      </c>
      <c r="J179" s="102">
        <v>205.96</v>
      </c>
      <c r="K179" s="102">
        <v>175.09</v>
      </c>
      <c r="L179" s="102">
        <v>146.68</v>
      </c>
      <c r="M179" s="102">
        <v>120.55</v>
      </c>
      <c r="N179" s="102">
        <v>96.5</v>
      </c>
      <c r="O179" s="102">
        <v>74.38</v>
      </c>
      <c r="P179" s="94">
        <v>0</v>
      </c>
      <c r="Q179" s="102">
        <v>15.17</v>
      </c>
      <c r="R179" s="102">
        <v>15.17</v>
      </c>
      <c r="S179" s="102">
        <v>15.17</v>
      </c>
      <c r="T179" s="102">
        <v>15.17</v>
      </c>
      <c r="U179" s="102">
        <v>15.17</v>
      </c>
      <c r="V179" s="102">
        <v>15.17</v>
      </c>
      <c r="W179" s="102">
        <v>15.17</v>
      </c>
      <c r="X179" s="102">
        <v>0</v>
      </c>
      <c r="Y179" s="102">
        <v>0</v>
      </c>
      <c r="Z179" s="102">
        <v>0</v>
      </c>
      <c r="AA179" s="102">
        <v>0</v>
      </c>
      <c r="AB179" s="102">
        <v>0</v>
      </c>
      <c r="AC179" s="102">
        <v>0</v>
      </c>
      <c r="AD179" s="102">
        <v>0</v>
      </c>
      <c r="AE179" s="186">
        <v>0.08</v>
      </c>
      <c r="AF179" s="94">
        <v>0</v>
      </c>
      <c r="AG179" s="94">
        <v>15</v>
      </c>
      <c r="AH179" s="94">
        <v>15</v>
      </c>
      <c r="AI179" s="17">
        <v>61</v>
      </c>
      <c r="AJ179" s="17" t="s">
        <v>660</v>
      </c>
      <c r="AK179" s="17" t="s">
        <v>1035</v>
      </c>
      <c r="AL179" s="17"/>
      <c r="AM179" s="61"/>
      <c r="AN179" s="61"/>
      <c r="AO179" s="61"/>
      <c r="AP179" s="61"/>
      <c r="AQ179" s="61"/>
      <c r="AR179" s="61"/>
      <c r="AS179" s="64"/>
      <c r="AT179" s="64"/>
      <c r="AU179" s="64"/>
      <c r="AV179" s="132"/>
      <c r="AW179" s="132"/>
      <c r="AX179" s="132"/>
      <c r="AY179" s="28" t="s">
        <v>662</v>
      </c>
      <c r="AZ179" s="28"/>
      <c r="BA179" s="28"/>
      <c r="BB179" s="28"/>
      <c r="BC179" s="28"/>
      <c r="BD179" s="28"/>
      <c r="BE179" s="28"/>
      <c r="BF179" s="28"/>
      <c r="BG179" s="28"/>
      <c r="BH179" s="106"/>
      <c r="BI179" s="106"/>
      <c r="BJ179" s="106"/>
      <c r="BK179" s="106"/>
      <c r="BL179" s="137"/>
      <c r="BM179" s="123"/>
      <c r="BN179" s="139">
        <v>0.2</v>
      </c>
      <c r="BO179" s="94"/>
      <c r="BP179" s="94">
        <v>0.1</v>
      </c>
      <c r="BQ179" s="94">
        <v>0.1</v>
      </c>
      <c r="BR179" s="94">
        <v>0</v>
      </c>
      <c r="BS179" s="94">
        <v>0</v>
      </c>
      <c r="BT179" s="94">
        <v>0</v>
      </c>
      <c r="BU179" s="28">
        <f t="shared" si="95"/>
        <v>0</v>
      </c>
      <c r="BV179" s="28"/>
      <c r="BW179" s="28"/>
      <c r="BX179" s="28"/>
      <c r="BY179" s="28"/>
      <c r="BZ179" s="28"/>
      <c r="CA179" s="28"/>
      <c r="CB179" s="99">
        <v>0.2</v>
      </c>
      <c r="CC179" s="99">
        <v>1.5</v>
      </c>
      <c r="CD179" s="99">
        <v>2</v>
      </c>
      <c r="CE179" s="99">
        <v>3.5</v>
      </c>
      <c r="CF179" s="99">
        <v>5</v>
      </c>
      <c r="CG179" s="99">
        <f t="shared" si="153"/>
        <v>8.6999999999999993</v>
      </c>
      <c r="CH179" s="99">
        <f t="shared" si="153"/>
        <v>8.66</v>
      </c>
      <c r="CI179" s="175"/>
      <c r="CJ179" s="175"/>
      <c r="CK179" s="175"/>
      <c r="CL179" s="175"/>
      <c r="CM179" s="175"/>
      <c r="CN179" s="175"/>
      <c r="CO179" s="175"/>
      <c r="CP179" s="176"/>
      <c r="CQ179" s="176"/>
      <c r="CR179" s="176"/>
      <c r="CS179" s="176"/>
      <c r="CT179" s="176"/>
      <c r="CU179" s="176"/>
      <c r="CV179" s="176"/>
      <c r="CW179" s="167"/>
      <c r="CX179" s="168"/>
      <c r="CY179" s="168"/>
      <c r="CZ179" s="168"/>
      <c r="DA179" s="168"/>
      <c r="DB179" s="168"/>
      <c r="DC179" s="168"/>
      <c r="DD179" s="172"/>
      <c r="DE179" s="172"/>
      <c r="DF179" s="172"/>
      <c r="DG179" s="172"/>
      <c r="DH179" s="172"/>
      <c r="DI179" s="172"/>
      <c r="DJ179" s="172"/>
      <c r="DK179" s="80" t="s">
        <v>699</v>
      </c>
      <c r="DL179" s="129">
        <f>ROUNDUP(VLOOKUP($F179,Activities!$A$9:$I$180,3,FALSE)/$AI179,2)</f>
        <v>8.0399999999999991</v>
      </c>
      <c r="DM179" s="129">
        <f>ROUNDUP(VLOOKUP($F179,Activities!$A$9:$I$180,4,FALSE)/$AI179,2)</f>
        <v>8.379999999999999</v>
      </c>
      <c r="DN179" s="129">
        <f>ROUNDUP(VLOOKUP($F179,Activities!$A$9:$I$180,5,FALSE)/$AI179,2)</f>
        <v>8.57</v>
      </c>
      <c r="DO179" s="129">
        <f>ROUNDUP(VLOOKUP($F179,Activities!$A$9:$I$180,6,FALSE)/$AI179,2)</f>
        <v>8.67</v>
      </c>
      <c r="DP179" s="129">
        <f>ROUNDUP(VLOOKUP($F179,Activities!$A$9:$I$180,7,FALSE)/$AI179,2)</f>
        <v>8.7099999999999991</v>
      </c>
      <c r="DQ179" s="129">
        <f>ROUNDUP(VLOOKUP($F179,Activities!$A$9:$I$180,8,FALSE)/$AI179,2)</f>
        <v>8.6999999999999993</v>
      </c>
      <c r="DR179" s="129">
        <f>ROUNDUP(VLOOKUP($F179,Activities!$A$9:$I$180,9,FALSE)/$AI179,2)</f>
        <v>8.66</v>
      </c>
      <c r="DS179" s="218"/>
      <c r="DT179" s="360"/>
      <c r="DU179" s="360"/>
      <c r="DV179" s="360"/>
      <c r="DW179" s="360"/>
      <c r="DX179" s="360"/>
      <c r="DY179" s="360"/>
      <c r="DZ179" s="360"/>
      <c r="EA179" s="360"/>
      <c r="EB179" s="360"/>
      <c r="EC179" s="360"/>
      <c r="ED179" s="360"/>
      <c r="EE179" s="360"/>
      <c r="EF179" s="360"/>
      <c r="EG179" s="360"/>
      <c r="EH179" s="360"/>
      <c r="EI179" s="360"/>
      <c r="EJ179" s="360"/>
      <c r="EK179" s="360"/>
      <c r="EL179" s="360"/>
      <c r="EM179" s="360"/>
      <c r="EN179" s="360"/>
      <c r="EO179" s="360"/>
      <c r="EP179" s="360"/>
      <c r="EQ179" s="360"/>
    </row>
    <row r="180" spans="1:147" x14ac:dyDescent="0.35">
      <c r="A180" s="5" t="s">
        <v>1108</v>
      </c>
      <c r="B180" s="5" t="s">
        <v>734</v>
      </c>
      <c r="C180" s="5" t="s">
        <v>655</v>
      </c>
      <c r="D180" s="5" t="s">
        <v>1029</v>
      </c>
      <c r="E180" s="5" t="s">
        <v>1030</v>
      </c>
      <c r="F180" s="5" t="s">
        <v>386</v>
      </c>
      <c r="G180" s="47" t="s">
        <v>1109</v>
      </c>
      <c r="H180" s="47" t="s">
        <v>1080</v>
      </c>
      <c r="I180" s="101">
        <v>275.77</v>
      </c>
      <c r="J180" s="101">
        <v>239.31</v>
      </c>
      <c r="K180" s="101">
        <v>205.77</v>
      </c>
      <c r="L180" s="101">
        <v>174.91</v>
      </c>
      <c r="M180" s="101">
        <v>146.51</v>
      </c>
      <c r="N180" s="101">
        <v>120.39</v>
      </c>
      <c r="O180" s="101">
        <v>96.36</v>
      </c>
      <c r="P180" s="93">
        <v>0</v>
      </c>
      <c r="Q180" s="101">
        <v>31.9</v>
      </c>
      <c r="R180" s="101">
        <v>29.35</v>
      </c>
      <c r="S180" s="101">
        <v>27</v>
      </c>
      <c r="T180" s="101">
        <v>24.84</v>
      </c>
      <c r="U180" s="101">
        <v>22.86</v>
      </c>
      <c r="V180" s="101">
        <v>21.03</v>
      </c>
      <c r="W180" s="101">
        <v>19.350000000000001</v>
      </c>
      <c r="X180" s="101">
        <v>0</v>
      </c>
      <c r="Y180" s="101">
        <v>0</v>
      </c>
      <c r="Z180" s="101">
        <v>0</v>
      </c>
      <c r="AA180" s="101">
        <v>0</v>
      </c>
      <c r="AB180" s="101">
        <v>0</v>
      </c>
      <c r="AC180" s="101">
        <v>0</v>
      </c>
      <c r="AD180" s="101">
        <v>0</v>
      </c>
      <c r="AE180" s="186">
        <v>0.08</v>
      </c>
      <c r="AF180" s="93">
        <v>0</v>
      </c>
      <c r="AG180" s="93">
        <v>15</v>
      </c>
      <c r="AH180" s="93">
        <v>15</v>
      </c>
      <c r="AI180" s="16">
        <v>61</v>
      </c>
      <c r="AJ180" s="16" t="s">
        <v>660</v>
      </c>
      <c r="AK180" s="16" t="s">
        <v>1035</v>
      </c>
      <c r="AL180" s="16"/>
      <c r="AM180" s="60"/>
      <c r="AN180" s="60"/>
      <c r="AO180" s="60"/>
      <c r="AP180" s="60"/>
      <c r="AQ180" s="60"/>
      <c r="AR180" s="60"/>
      <c r="AS180" s="63"/>
      <c r="AT180" s="63"/>
      <c r="AU180" s="63"/>
      <c r="AV180" s="131"/>
      <c r="AW180" s="131"/>
      <c r="AX180" s="131"/>
      <c r="AY180" s="27" t="s">
        <v>662</v>
      </c>
      <c r="AZ180" s="27"/>
      <c r="BA180" s="27"/>
      <c r="BB180" s="30"/>
      <c r="BC180" s="30"/>
      <c r="BD180" s="30"/>
      <c r="BE180" s="30"/>
      <c r="BF180" s="30"/>
      <c r="BG180" s="30"/>
      <c r="BH180" s="107"/>
      <c r="BI180" s="107"/>
      <c r="BJ180" s="107"/>
      <c r="BK180" s="107"/>
      <c r="BL180" s="136"/>
      <c r="BM180" s="122"/>
      <c r="BN180" s="138">
        <v>0</v>
      </c>
      <c r="BO180" s="93">
        <v>0</v>
      </c>
      <c r="BP180" s="93">
        <v>0</v>
      </c>
      <c r="BQ180" s="93">
        <v>0</v>
      </c>
      <c r="BR180" s="93">
        <v>0</v>
      </c>
      <c r="BS180" s="93">
        <v>0</v>
      </c>
      <c r="BT180" s="93">
        <v>0</v>
      </c>
      <c r="BU180" s="27">
        <f t="shared" si="95"/>
        <v>0</v>
      </c>
      <c r="BV180" s="27"/>
      <c r="BW180" s="27"/>
      <c r="BX180" s="27"/>
      <c r="BY180" s="27"/>
      <c r="BZ180" s="27"/>
      <c r="CA180" s="27"/>
      <c r="CB180" s="97">
        <v>0.1</v>
      </c>
      <c r="CC180" s="97">
        <v>1.5</v>
      </c>
      <c r="CD180" s="97">
        <v>2</v>
      </c>
      <c r="CE180" s="97">
        <v>3.5</v>
      </c>
      <c r="CF180" s="97">
        <v>5</v>
      </c>
      <c r="CG180" s="97">
        <f t="shared" si="153"/>
        <v>8.6999999999999993</v>
      </c>
      <c r="CH180" s="97">
        <f t="shared" si="153"/>
        <v>8.66</v>
      </c>
      <c r="CI180" s="173"/>
      <c r="CJ180" s="173"/>
      <c r="CK180" s="173"/>
      <c r="CL180" s="173"/>
      <c r="CM180" s="173"/>
      <c r="CN180" s="173"/>
      <c r="CO180" s="173"/>
      <c r="CP180" s="174"/>
      <c r="CQ180" s="174"/>
      <c r="CR180" s="174"/>
      <c r="CS180" s="174"/>
      <c r="CT180" s="174"/>
      <c r="CU180" s="174"/>
      <c r="CV180" s="174"/>
      <c r="CW180" s="165"/>
      <c r="CX180" s="166"/>
      <c r="CY180" s="166"/>
      <c r="CZ180" s="166"/>
      <c r="DA180" s="166"/>
      <c r="DB180" s="166"/>
      <c r="DC180" s="166"/>
      <c r="DD180" s="171"/>
      <c r="DE180" s="171"/>
      <c r="DF180" s="171"/>
      <c r="DG180" s="171"/>
      <c r="DH180" s="171"/>
      <c r="DI180" s="171"/>
      <c r="DJ180" s="171"/>
      <c r="DK180" s="79" t="s">
        <v>681</v>
      </c>
      <c r="DL180" s="128">
        <f>ROUNDUP(VLOOKUP($F180,Activities!$A$9:$I$180,3,FALSE)/$AI180,2)</f>
        <v>8.0399999999999991</v>
      </c>
      <c r="DM180" s="128">
        <f>ROUNDUP(VLOOKUP($F180,Activities!$A$9:$I$180,4,FALSE)/$AI180,2)</f>
        <v>8.379999999999999</v>
      </c>
      <c r="DN180" s="128">
        <f>ROUNDUP(VLOOKUP($F180,Activities!$A$9:$I$180,5,FALSE)/$AI180,2)</f>
        <v>8.57</v>
      </c>
      <c r="DO180" s="128">
        <f>ROUNDUP(VLOOKUP($F180,Activities!$A$9:$I$180,6,FALSE)/$AI180,2)</f>
        <v>8.67</v>
      </c>
      <c r="DP180" s="128">
        <f>ROUNDUP(VLOOKUP($F180,Activities!$A$9:$I$180,7,FALSE)/$AI180,2)</f>
        <v>8.7099999999999991</v>
      </c>
      <c r="DQ180" s="128">
        <f>ROUNDUP(VLOOKUP($F180,Activities!$A$9:$I$180,8,FALSE)/$AI180,2)</f>
        <v>8.6999999999999993</v>
      </c>
      <c r="DR180" s="128">
        <f>ROUNDUP(VLOOKUP($F180,Activities!$A$9:$I$180,9,FALSE)/$AI180,2)</f>
        <v>8.66</v>
      </c>
      <c r="DS180" s="218"/>
      <c r="DT180" s="360"/>
      <c r="DU180" s="360"/>
      <c r="DV180" s="360"/>
      <c r="DW180" s="360"/>
      <c r="DX180" s="360"/>
      <c r="DY180" s="360"/>
      <c r="DZ180" s="360"/>
      <c r="EA180" s="360"/>
      <c r="EB180" s="360"/>
      <c r="EC180" s="360"/>
      <c r="ED180" s="360"/>
      <c r="EE180" s="360"/>
      <c r="EF180" s="360"/>
      <c r="EG180" s="360"/>
      <c r="EH180" s="360"/>
      <c r="EI180" s="360"/>
      <c r="EJ180" s="360"/>
      <c r="EK180" s="360"/>
      <c r="EL180" s="360"/>
      <c r="EM180" s="360"/>
      <c r="EN180" s="360"/>
      <c r="EO180" s="360"/>
      <c r="EP180" s="360"/>
      <c r="EQ180" s="360"/>
    </row>
    <row r="181" spans="1:147" x14ac:dyDescent="0.35">
      <c r="A181" s="6" t="s">
        <v>1110</v>
      </c>
      <c r="B181" s="6" t="s">
        <v>734</v>
      </c>
      <c r="C181" s="6" t="s">
        <v>655</v>
      </c>
      <c r="D181" s="6" t="s">
        <v>1029</v>
      </c>
      <c r="E181" s="6" t="s">
        <v>388</v>
      </c>
      <c r="F181" s="6" t="s">
        <v>388</v>
      </c>
      <c r="G181" s="48" t="s">
        <v>1111</v>
      </c>
      <c r="H181" s="48" t="s">
        <v>1112</v>
      </c>
      <c r="I181" s="102">
        <v>4.9400000000000004</v>
      </c>
      <c r="J181" s="102">
        <v>4.9400000000000004</v>
      </c>
      <c r="K181" s="102">
        <v>4.9400000000000004</v>
      </c>
      <c r="L181" s="102">
        <v>4.9400000000000004</v>
      </c>
      <c r="M181" s="102">
        <v>4.9400000000000004</v>
      </c>
      <c r="N181" s="102">
        <v>4.9400000000000004</v>
      </c>
      <c r="O181" s="102">
        <v>4.9400000000000004</v>
      </c>
      <c r="P181" s="94">
        <v>0</v>
      </c>
      <c r="Q181" s="102">
        <v>0.35</v>
      </c>
      <c r="R181" s="102">
        <v>0.35</v>
      </c>
      <c r="S181" s="102">
        <v>0.35</v>
      </c>
      <c r="T181" s="102">
        <v>0.35</v>
      </c>
      <c r="U181" s="102">
        <v>0.35</v>
      </c>
      <c r="V181" s="102">
        <v>0.35</v>
      </c>
      <c r="W181" s="102">
        <v>0.35</v>
      </c>
      <c r="X181" s="102">
        <v>0</v>
      </c>
      <c r="Y181" s="102">
        <v>0</v>
      </c>
      <c r="Z181" s="102">
        <v>0</v>
      </c>
      <c r="AA181" s="102">
        <v>0</v>
      </c>
      <c r="AB181" s="102">
        <v>0</v>
      </c>
      <c r="AC181" s="102">
        <v>0</v>
      </c>
      <c r="AD181" s="102">
        <v>0</v>
      </c>
      <c r="AE181" s="186">
        <v>0.08</v>
      </c>
      <c r="AF181" s="94">
        <v>0</v>
      </c>
      <c r="AG181" s="94">
        <v>30</v>
      </c>
      <c r="AH181" s="94">
        <v>30</v>
      </c>
      <c r="AI181" s="17">
        <v>0.24260000000000001</v>
      </c>
      <c r="AJ181" s="17" t="s">
        <v>660</v>
      </c>
      <c r="AK181" s="17" t="s">
        <v>745</v>
      </c>
      <c r="AL181" s="17"/>
      <c r="AM181" s="61"/>
      <c r="AN181" s="61"/>
      <c r="AO181" s="61"/>
      <c r="AP181" s="61"/>
      <c r="AQ181" s="61"/>
      <c r="AR181" s="61"/>
      <c r="AS181" s="64"/>
      <c r="AT181" s="64"/>
      <c r="AU181" s="64"/>
      <c r="AV181" s="132"/>
      <c r="AW181" s="132"/>
      <c r="AX181" s="132"/>
      <c r="AY181" s="28" t="s">
        <v>662</v>
      </c>
      <c r="AZ181" s="28"/>
      <c r="BA181" s="28"/>
      <c r="BB181" s="28"/>
      <c r="BC181" s="28"/>
      <c r="BD181" s="28"/>
      <c r="BE181" s="28"/>
      <c r="BF181" s="28"/>
      <c r="BG181" s="28"/>
      <c r="BH181" s="106"/>
      <c r="BI181" s="106"/>
      <c r="BJ181" s="106"/>
      <c r="BK181" s="106"/>
      <c r="BL181" s="137"/>
      <c r="BM181" s="123"/>
      <c r="BN181" s="139">
        <v>70</v>
      </c>
      <c r="BO181" s="94">
        <v>35</v>
      </c>
      <c r="BP181" s="94">
        <v>20</v>
      </c>
      <c r="BQ181" s="94">
        <v>8</v>
      </c>
      <c r="BR181" s="94">
        <v>4</v>
      </c>
      <c r="BS181" s="94">
        <v>2</v>
      </c>
      <c r="BT181" s="94">
        <v>1</v>
      </c>
      <c r="BU181" s="28">
        <f t="shared" si="95"/>
        <v>0</v>
      </c>
      <c r="BV181" s="28"/>
      <c r="BW181" s="28"/>
      <c r="BX181" s="28"/>
      <c r="BY181" s="28"/>
      <c r="BZ181" s="28"/>
      <c r="CA181" s="28"/>
      <c r="CB181" s="99">
        <v>200</v>
      </c>
      <c r="CC181" s="99">
        <v>200</v>
      </c>
      <c r="CD181" s="99">
        <v>200</v>
      </c>
      <c r="CE181" s="99">
        <v>200</v>
      </c>
      <c r="CF181" s="99">
        <v>200</v>
      </c>
      <c r="CG181" s="99">
        <v>200</v>
      </c>
      <c r="CH181" s="99">
        <v>200</v>
      </c>
      <c r="CI181" s="175"/>
      <c r="CJ181" s="175"/>
      <c r="CK181" s="175"/>
      <c r="CL181" s="175"/>
      <c r="CM181" s="175"/>
      <c r="CN181" s="175"/>
      <c r="CO181" s="175"/>
      <c r="CP181" s="176"/>
      <c r="CQ181" s="176"/>
      <c r="CR181" s="176"/>
      <c r="CS181" s="176"/>
      <c r="CT181" s="176"/>
      <c r="CU181" s="176"/>
      <c r="CV181" s="176"/>
      <c r="CW181" s="167"/>
      <c r="CX181" s="168"/>
      <c r="CY181" s="168"/>
      <c r="CZ181" s="168"/>
      <c r="DA181" s="168"/>
      <c r="DB181" s="168"/>
      <c r="DC181" s="168"/>
      <c r="DD181" s="172"/>
      <c r="DE181" s="172"/>
      <c r="DF181" s="172"/>
      <c r="DG181" s="172"/>
      <c r="DH181" s="172"/>
      <c r="DI181" s="172"/>
      <c r="DJ181" s="172"/>
      <c r="DK181" s="80" t="s">
        <v>681</v>
      </c>
      <c r="DL181" s="129">
        <f>ROUNDUP(VLOOKUP($F181,Activities!$A$9:$I$180,3,FALSE)/$AI181,2)</f>
        <v>700.75</v>
      </c>
      <c r="DM181" s="129">
        <f>ROUNDUP(VLOOKUP($F181,Activities!$A$9:$I$180,4,FALSE)/$AI181,2)</f>
        <v>730.9</v>
      </c>
      <c r="DN181" s="129">
        <f>ROUNDUP(VLOOKUP($F181,Activities!$A$9:$I$180,5,FALSE)/$AI181,2)</f>
        <v>747.24</v>
      </c>
      <c r="DO181" s="129">
        <f>ROUNDUP(VLOOKUP($F181,Activities!$A$9:$I$180,6,FALSE)/$AI181,2)</f>
        <v>756</v>
      </c>
      <c r="DP181" s="129">
        <f>ROUNDUP(VLOOKUP($F181,Activities!$A$9:$I$180,7,FALSE)/$AI181,2)</f>
        <v>759.43</v>
      </c>
      <c r="DQ181" s="129">
        <f>ROUNDUP(VLOOKUP($F181,Activities!$A$9:$I$180,8,FALSE)/$AI181,2)</f>
        <v>758.59</v>
      </c>
      <c r="DR181" s="129">
        <f>ROUNDUP(VLOOKUP($F181,Activities!$A$9:$I$180,9,FALSE)/$AI181,2)</f>
        <v>755.24</v>
      </c>
      <c r="DS181" s="218"/>
      <c r="DT181" s="360"/>
      <c r="DU181" s="360"/>
      <c r="DV181" s="360"/>
      <c r="DW181" s="360"/>
      <c r="DX181" s="360"/>
      <c r="DY181" s="360"/>
      <c r="DZ181" s="360"/>
      <c r="EA181" s="360"/>
      <c r="EB181" s="360"/>
      <c r="EC181" s="360"/>
      <c r="ED181" s="360"/>
      <c r="EE181" s="360"/>
      <c r="EF181" s="360"/>
      <c r="EG181" s="360"/>
      <c r="EH181" s="360"/>
      <c r="EI181" s="360"/>
      <c r="EJ181" s="360"/>
      <c r="EK181" s="360"/>
      <c r="EL181" s="360"/>
      <c r="EM181" s="360"/>
      <c r="EN181" s="360"/>
      <c r="EO181" s="360"/>
      <c r="EP181" s="360"/>
      <c r="EQ181" s="360"/>
    </row>
    <row r="182" spans="1:147" x14ac:dyDescent="0.35">
      <c r="A182" s="5" t="s">
        <v>1113</v>
      </c>
      <c r="B182" s="5" t="s">
        <v>734</v>
      </c>
      <c r="C182" s="5" t="s">
        <v>655</v>
      </c>
      <c r="D182" s="5" t="s">
        <v>1029</v>
      </c>
      <c r="E182" s="5" t="s">
        <v>388</v>
      </c>
      <c r="F182" s="5" t="s">
        <v>388</v>
      </c>
      <c r="G182" s="47" t="s">
        <v>1114</v>
      </c>
      <c r="H182" s="47" t="s">
        <v>1112</v>
      </c>
      <c r="I182" s="101">
        <v>5.19</v>
      </c>
      <c r="J182" s="101">
        <v>5.19</v>
      </c>
      <c r="K182" s="101">
        <v>5.19</v>
      </c>
      <c r="L182" s="101">
        <v>5.19</v>
      </c>
      <c r="M182" s="101">
        <v>5.19</v>
      </c>
      <c r="N182" s="101">
        <v>5.19</v>
      </c>
      <c r="O182" s="101">
        <v>5.19</v>
      </c>
      <c r="P182" s="93">
        <v>0</v>
      </c>
      <c r="Q182" s="101">
        <v>0.28000000000000003</v>
      </c>
      <c r="R182" s="101">
        <v>0.28000000000000003</v>
      </c>
      <c r="S182" s="101">
        <v>0.28000000000000003</v>
      </c>
      <c r="T182" s="101">
        <v>0.28000000000000003</v>
      </c>
      <c r="U182" s="101">
        <v>0.28000000000000003</v>
      </c>
      <c r="V182" s="101">
        <v>0.28000000000000003</v>
      </c>
      <c r="W182" s="101">
        <v>0.28000000000000003</v>
      </c>
      <c r="X182" s="101">
        <v>0</v>
      </c>
      <c r="Y182" s="101">
        <v>0</v>
      </c>
      <c r="Z182" s="101">
        <v>0</v>
      </c>
      <c r="AA182" s="101">
        <v>0</v>
      </c>
      <c r="AB182" s="101">
        <v>0</v>
      </c>
      <c r="AC182" s="101">
        <v>0</v>
      </c>
      <c r="AD182" s="101">
        <v>0</v>
      </c>
      <c r="AE182" s="186">
        <v>0.08</v>
      </c>
      <c r="AF182" s="93">
        <v>0</v>
      </c>
      <c r="AG182" s="93">
        <v>30</v>
      </c>
      <c r="AH182" s="93">
        <v>30</v>
      </c>
      <c r="AI182" s="16">
        <v>0.24260000000000001</v>
      </c>
      <c r="AJ182" s="16" t="s">
        <v>660</v>
      </c>
      <c r="AK182" s="16" t="s">
        <v>745</v>
      </c>
      <c r="AL182" s="16"/>
      <c r="AM182" s="60"/>
      <c r="AN182" s="60"/>
      <c r="AO182" s="60"/>
      <c r="AP182" s="60"/>
      <c r="AQ182" s="60"/>
      <c r="AR182" s="60"/>
      <c r="AS182" s="63"/>
      <c r="AT182" s="63"/>
      <c r="AU182" s="63"/>
      <c r="AV182" s="131"/>
      <c r="AW182" s="131"/>
      <c r="AX182" s="131"/>
      <c r="AY182" s="27" t="s">
        <v>662</v>
      </c>
      <c r="AZ182" s="27"/>
      <c r="BA182" s="27"/>
      <c r="BB182" s="30"/>
      <c r="BC182" s="30"/>
      <c r="BD182" s="30"/>
      <c r="BE182" s="30"/>
      <c r="BF182" s="30"/>
      <c r="BG182" s="30"/>
      <c r="BH182" s="107"/>
      <c r="BI182" s="107"/>
      <c r="BJ182" s="107"/>
      <c r="BK182" s="107"/>
      <c r="BL182" s="136"/>
      <c r="BM182" s="122"/>
      <c r="BN182" s="138">
        <f>DL182-BN181</f>
        <v>630.75</v>
      </c>
      <c r="BO182" s="93">
        <v>105</v>
      </c>
      <c r="BP182" s="93">
        <v>105</v>
      </c>
      <c r="BQ182" s="93">
        <v>105</v>
      </c>
      <c r="BR182" s="93">
        <v>105</v>
      </c>
      <c r="BS182" s="93">
        <v>105</v>
      </c>
      <c r="BT182" s="93">
        <v>105</v>
      </c>
      <c r="BU182" s="27">
        <f t="shared" si="95"/>
        <v>0</v>
      </c>
      <c r="BV182" s="27"/>
      <c r="BW182" s="27"/>
      <c r="BX182" s="27"/>
      <c r="BY182" s="27"/>
      <c r="BZ182" s="27"/>
      <c r="CA182" s="27"/>
      <c r="CB182" s="97">
        <f>DL182</f>
        <v>700.75</v>
      </c>
      <c r="CC182" s="97">
        <f t="shared" ref="CC182:CG185" si="197">DM182</f>
        <v>730.9</v>
      </c>
      <c r="CD182" s="97">
        <f t="shared" si="197"/>
        <v>747.24</v>
      </c>
      <c r="CE182" s="97">
        <f t="shared" si="197"/>
        <v>756</v>
      </c>
      <c r="CF182" s="97">
        <f t="shared" si="197"/>
        <v>759.43</v>
      </c>
      <c r="CG182" s="97">
        <f t="shared" si="197"/>
        <v>758.59</v>
      </c>
      <c r="CH182" s="97">
        <f t="shared" si="153"/>
        <v>755.24</v>
      </c>
      <c r="CI182" s="173"/>
      <c r="CJ182" s="173"/>
      <c r="CK182" s="173"/>
      <c r="CL182" s="173"/>
      <c r="CM182" s="173"/>
      <c r="CN182" s="173"/>
      <c r="CO182" s="173"/>
      <c r="CP182" s="174"/>
      <c r="CQ182" s="174"/>
      <c r="CR182" s="174"/>
      <c r="CS182" s="174"/>
      <c r="CT182" s="174"/>
      <c r="CU182" s="174"/>
      <c r="CV182" s="174"/>
      <c r="CW182" s="165"/>
      <c r="CX182" s="166"/>
      <c r="CY182" s="166"/>
      <c r="CZ182" s="166"/>
      <c r="DA182" s="166"/>
      <c r="DB182" s="166"/>
      <c r="DC182" s="166"/>
      <c r="DD182" s="171"/>
      <c r="DE182" s="171"/>
      <c r="DF182" s="171"/>
      <c r="DG182" s="171"/>
      <c r="DH182" s="171"/>
      <c r="DI182" s="171"/>
      <c r="DJ182" s="171"/>
      <c r="DK182" s="79" t="s">
        <v>681</v>
      </c>
      <c r="DL182" s="128">
        <f>ROUNDUP(VLOOKUP($F182,Activities!$A$9:$I$180,3,FALSE)/$AI182,2)</f>
        <v>700.75</v>
      </c>
      <c r="DM182" s="128">
        <f>ROUNDUP(VLOOKUP($F182,Activities!$A$9:$I$180,4,FALSE)/$AI182,2)</f>
        <v>730.9</v>
      </c>
      <c r="DN182" s="128">
        <f>ROUNDUP(VLOOKUP($F182,Activities!$A$9:$I$180,5,FALSE)/$AI182,2)</f>
        <v>747.24</v>
      </c>
      <c r="DO182" s="128">
        <f>ROUNDUP(VLOOKUP($F182,Activities!$A$9:$I$180,6,FALSE)/$AI182,2)</f>
        <v>756</v>
      </c>
      <c r="DP182" s="128">
        <f>ROUNDUP(VLOOKUP($F182,Activities!$A$9:$I$180,7,FALSE)/$AI182,2)</f>
        <v>759.43</v>
      </c>
      <c r="DQ182" s="128">
        <f>ROUNDUP(VLOOKUP($F182,Activities!$A$9:$I$180,8,FALSE)/$AI182,2)</f>
        <v>758.59</v>
      </c>
      <c r="DR182" s="128">
        <f>ROUNDUP(VLOOKUP($F182,Activities!$A$9:$I$180,9,FALSE)/$AI182,2)</f>
        <v>755.24</v>
      </c>
      <c r="DS182" s="218"/>
      <c r="DT182" s="360"/>
      <c r="DU182" s="360"/>
      <c r="DV182" s="360"/>
      <c r="DW182" s="360"/>
      <c r="DX182" s="360"/>
      <c r="DY182" s="360"/>
      <c r="DZ182" s="360"/>
      <c r="EA182" s="360"/>
      <c r="EB182" s="360"/>
      <c r="EC182" s="360"/>
      <c r="ED182" s="360"/>
      <c r="EE182" s="360"/>
      <c r="EF182" s="360"/>
      <c r="EG182" s="360"/>
      <c r="EH182" s="360"/>
      <c r="EI182" s="360"/>
      <c r="EJ182" s="360"/>
      <c r="EK182" s="360"/>
      <c r="EL182" s="360"/>
      <c r="EM182" s="360"/>
      <c r="EN182" s="360"/>
      <c r="EO182" s="360"/>
      <c r="EP182" s="360"/>
      <c r="EQ182" s="360"/>
    </row>
    <row r="183" spans="1:147" x14ac:dyDescent="0.35">
      <c r="A183" s="6" t="s">
        <v>1115</v>
      </c>
      <c r="B183" s="6" t="s">
        <v>734</v>
      </c>
      <c r="C183" s="6" t="s">
        <v>655</v>
      </c>
      <c r="D183" s="6" t="s">
        <v>1029</v>
      </c>
      <c r="E183" s="6" t="s">
        <v>1116</v>
      </c>
      <c r="F183" s="6" t="s">
        <v>389</v>
      </c>
      <c r="G183" s="48" t="s">
        <v>1117</v>
      </c>
      <c r="H183" s="48" t="s">
        <v>1118</v>
      </c>
      <c r="I183" s="102">
        <v>0.44</v>
      </c>
      <c r="J183" s="102">
        <v>0.44</v>
      </c>
      <c r="K183" s="102">
        <v>0.44</v>
      </c>
      <c r="L183" s="102">
        <v>0.44</v>
      </c>
      <c r="M183" s="102">
        <v>0.44</v>
      </c>
      <c r="N183" s="102">
        <v>0.44</v>
      </c>
      <c r="O183" s="102">
        <v>0.44</v>
      </c>
      <c r="P183" s="94">
        <v>0</v>
      </c>
      <c r="Q183" s="102">
        <v>0.09</v>
      </c>
      <c r="R183" s="102">
        <v>0.09</v>
      </c>
      <c r="S183" s="102">
        <v>0.09</v>
      </c>
      <c r="T183" s="102">
        <v>0.09</v>
      </c>
      <c r="U183" s="102">
        <v>0.09</v>
      </c>
      <c r="V183" s="102">
        <v>0.09</v>
      </c>
      <c r="W183" s="102">
        <v>0.09</v>
      </c>
      <c r="X183" s="102">
        <v>0</v>
      </c>
      <c r="Y183" s="102">
        <v>0</v>
      </c>
      <c r="Z183" s="102">
        <v>0</v>
      </c>
      <c r="AA183" s="102">
        <v>0</v>
      </c>
      <c r="AB183" s="102">
        <v>0</v>
      </c>
      <c r="AC183" s="102">
        <v>0</v>
      </c>
      <c r="AD183" s="102">
        <v>0</v>
      </c>
      <c r="AE183" s="186">
        <v>0.08</v>
      </c>
      <c r="AF183" s="94">
        <v>0</v>
      </c>
      <c r="AG183" s="94">
        <v>30</v>
      </c>
      <c r="AH183" s="94">
        <v>30</v>
      </c>
      <c r="AI183" s="17">
        <v>0.19700000000000001</v>
      </c>
      <c r="AJ183" s="17" t="s">
        <v>660</v>
      </c>
      <c r="AK183" s="17" t="s">
        <v>745</v>
      </c>
      <c r="AL183" s="17"/>
      <c r="AM183" s="61"/>
      <c r="AN183" s="61"/>
      <c r="AO183" s="61"/>
      <c r="AP183" s="61"/>
      <c r="AQ183" s="61"/>
      <c r="AR183" s="61"/>
      <c r="AS183" s="64"/>
      <c r="AT183" s="64"/>
      <c r="AU183" s="64"/>
      <c r="AV183" s="132"/>
      <c r="AW183" s="132"/>
      <c r="AX183" s="132"/>
      <c r="AY183" s="28" t="s">
        <v>662</v>
      </c>
      <c r="AZ183" s="28"/>
      <c r="BA183" s="28"/>
      <c r="BB183" s="28"/>
      <c r="BC183" s="28"/>
      <c r="BD183" s="28"/>
      <c r="BE183" s="28"/>
      <c r="BF183" s="28"/>
      <c r="BG183" s="28"/>
      <c r="BH183" s="106"/>
      <c r="BI183" s="106"/>
      <c r="BJ183" s="106"/>
      <c r="BK183" s="106"/>
      <c r="BL183" s="137"/>
      <c r="BM183" s="123"/>
      <c r="BN183" s="139">
        <f>DL183-SUM(BN184:BN189)</f>
        <v>194.19</v>
      </c>
      <c r="BO183" s="94">
        <v>30</v>
      </c>
      <c r="BP183" s="94">
        <v>30</v>
      </c>
      <c r="BQ183" s="94">
        <v>15</v>
      </c>
      <c r="BR183" s="94">
        <v>15</v>
      </c>
      <c r="BS183" s="94">
        <v>5</v>
      </c>
      <c r="BT183" s="94">
        <v>5</v>
      </c>
      <c r="BU183" s="28">
        <f t="shared" ref="BU183:BU190" si="198">IF(BL183=1,BN183,0)</f>
        <v>0</v>
      </c>
      <c r="BV183" s="28"/>
      <c r="BW183" s="28"/>
      <c r="BX183" s="28"/>
      <c r="BY183" s="28"/>
      <c r="BZ183" s="28"/>
      <c r="CA183" s="28"/>
      <c r="CB183" s="99">
        <f>DL183</f>
        <v>279.19</v>
      </c>
      <c r="CC183" s="99">
        <f t="shared" ref="CC183:CE183" si="199">DM183</f>
        <v>291.20999999999998</v>
      </c>
      <c r="CD183" s="99">
        <f t="shared" si="199"/>
        <v>297.71999999999997</v>
      </c>
      <c r="CE183" s="99">
        <f t="shared" si="199"/>
        <v>301.20999999999998</v>
      </c>
      <c r="CF183" s="99">
        <f t="shared" si="197"/>
        <v>302.57</v>
      </c>
      <c r="CG183" s="99">
        <f t="shared" si="197"/>
        <v>302.24</v>
      </c>
      <c r="CH183" s="99">
        <f t="shared" ref="CH183:CH185" si="200">DR183</f>
        <v>300.90999999999997</v>
      </c>
      <c r="CI183" s="175"/>
      <c r="CJ183" s="175"/>
      <c r="CK183" s="175"/>
      <c r="CL183" s="175"/>
      <c r="CM183" s="175"/>
      <c r="CN183" s="175"/>
      <c r="CO183" s="175"/>
      <c r="CP183" s="176"/>
      <c r="CQ183" s="176"/>
      <c r="CR183" s="176"/>
      <c r="CS183" s="176"/>
      <c r="CT183" s="176"/>
      <c r="CU183" s="176"/>
      <c r="CV183" s="176"/>
      <c r="CW183" s="167"/>
      <c r="CX183" s="168"/>
      <c r="CY183" s="168"/>
      <c r="CZ183" s="168"/>
      <c r="DA183" s="168"/>
      <c r="DB183" s="168"/>
      <c r="DC183" s="168"/>
      <c r="DD183" s="172"/>
      <c r="DE183" s="172"/>
      <c r="DF183" s="172"/>
      <c r="DG183" s="172"/>
      <c r="DH183" s="172"/>
      <c r="DI183" s="172"/>
      <c r="DJ183" s="172"/>
      <c r="DK183" s="80" t="s">
        <v>699</v>
      </c>
      <c r="DL183" s="129">
        <f>ROUNDUP(VLOOKUP($F183,Activities!$A$9:$I$180,3,FALSE)/$AI183,2)</f>
        <v>279.19</v>
      </c>
      <c r="DM183" s="129">
        <f>ROUNDUP(VLOOKUP($F183,Activities!$A$9:$I$180,4,FALSE)/$AI183,2)</f>
        <v>291.20999999999998</v>
      </c>
      <c r="DN183" s="129">
        <f>ROUNDUP(VLOOKUP($F183,Activities!$A$9:$I$180,5,FALSE)/$AI183,2)</f>
        <v>297.71999999999997</v>
      </c>
      <c r="DO183" s="129">
        <f>ROUNDUP(VLOOKUP($F183,Activities!$A$9:$I$180,6,FALSE)/$AI183,2)</f>
        <v>301.20999999999998</v>
      </c>
      <c r="DP183" s="129">
        <f>ROUNDUP(VLOOKUP($F183,Activities!$A$9:$I$180,7,FALSE)/$AI183,2)</f>
        <v>302.57</v>
      </c>
      <c r="DQ183" s="129">
        <f>ROUNDUP(VLOOKUP($F183,Activities!$A$9:$I$180,8,FALSE)/$AI183,2)</f>
        <v>302.24</v>
      </c>
      <c r="DR183" s="129">
        <f>ROUNDUP(VLOOKUP($F183,Activities!$A$9:$I$180,9,FALSE)/$AI183,2)</f>
        <v>300.90999999999997</v>
      </c>
      <c r="DS183" s="218"/>
      <c r="DT183" s="360"/>
      <c r="DU183" s="360"/>
      <c r="DV183" s="360"/>
      <c r="DW183" s="360"/>
      <c r="DX183" s="360"/>
      <c r="DY183" s="360"/>
      <c r="DZ183" s="360"/>
      <c r="EA183" s="360"/>
      <c r="EB183" s="360"/>
      <c r="EC183" s="360"/>
      <c r="ED183" s="360"/>
      <c r="EE183" s="360"/>
      <c r="EF183" s="360"/>
      <c r="EG183" s="360"/>
      <c r="EH183" s="360"/>
      <c r="EI183" s="360"/>
      <c r="EJ183" s="360"/>
      <c r="EK183" s="360"/>
      <c r="EL183" s="360"/>
      <c r="EM183" s="360"/>
      <c r="EN183" s="360"/>
      <c r="EO183" s="360"/>
      <c r="EP183" s="360"/>
      <c r="EQ183" s="360"/>
    </row>
    <row r="184" spans="1:147" x14ac:dyDescent="0.35">
      <c r="A184" s="5" t="s">
        <v>1119</v>
      </c>
      <c r="B184" s="5" t="s">
        <v>734</v>
      </c>
      <c r="C184" s="5" t="s">
        <v>655</v>
      </c>
      <c r="D184" s="5" t="s">
        <v>1029</v>
      </c>
      <c r="E184" s="5" t="s">
        <v>1116</v>
      </c>
      <c r="F184" s="5" t="s">
        <v>389</v>
      </c>
      <c r="G184" s="47" t="s">
        <v>1120</v>
      </c>
      <c r="H184" s="47" t="s">
        <v>1118</v>
      </c>
      <c r="I184" s="101">
        <v>0.44</v>
      </c>
      <c r="J184" s="101">
        <v>0.44</v>
      </c>
      <c r="K184" s="101">
        <v>0.44</v>
      </c>
      <c r="L184" s="101">
        <v>0.44</v>
      </c>
      <c r="M184" s="101">
        <v>0.44</v>
      </c>
      <c r="N184" s="101">
        <v>0.44</v>
      </c>
      <c r="O184" s="101">
        <v>0.44</v>
      </c>
      <c r="P184" s="93">
        <v>0</v>
      </c>
      <c r="Q184" s="101">
        <v>0.09</v>
      </c>
      <c r="R184" s="101">
        <v>0.09</v>
      </c>
      <c r="S184" s="101">
        <v>0.09</v>
      </c>
      <c r="T184" s="101">
        <v>0.09</v>
      </c>
      <c r="U184" s="101">
        <v>0.09</v>
      </c>
      <c r="V184" s="101">
        <v>0.09</v>
      </c>
      <c r="W184" s="101">
        <v>0.09</v>
      </c>
      <c r="X184" s="101">
        <v>0</v>
      </c>
      <c r="Y184" s="101">
        <v>0</v>
      </c>
      <c r="Z184" s="101">
        <v>0</v>
      </c>
      <c r="AA184" s="101">
        <v>0</v>
      </c>
      <c r="AB184" s="101">
        <v>0</v>
      </c>
      <c r="AC184" s="101">
        <v>0</v>
      </c>
      <c r="AD184" s="101">
        <v>0</v>
      </c>
      <c r="AE184" s="186">
        <v>0.08</v>
      </c>
      <c r="AF184" s="93">
        <v>0</v>
      </c>
      <c r="AG184" s="93">
        <v>30</v>
      </c>
      <c r="AH184" s="93">
        <v>30</v>
      </c>
      <c r="AI184" s="16">
        <v>0.19700000000000001</v>
      </c>
      <c r="AJ184" s="16" t="s">
        <v>660</v>
      </c>
      <c r="AK184" s="16" t="s">
        <v>745</v>
      </c>
      <c r="AL184" s="16"/>
      <c r="AM184" s="60"/>
      <c r="AN184" s="60"/>
      <c r="AO184" s="60"/>
      <c r="AP184" s="60"/>
      <c r="AQ184" s="60"/>
      <c r="AR184" s="60"/>
      <c r="AS184" s="63"/>
      <c r="AT184" s="63"/>
      <c r="AU184" s="63"/>
      <c r="AV184" s="131"/>
      <c r="AW184" s="131"/>
      <c r="AX184" s="131"/>
      <c r="AY184" s="27" t="s">
        <v>662</v>
      </c>
      <c r="AZ184" s="27"/>
      <c r="BA184" s="27"/>
      <c r="BB184" s="30"/>
      <c r="BC184" s="30"/>
      <c r="BD184" s="30"/>
      <c r="BE184" s="30"/>
      <c r="BF184" s="30"/>
      <c r="BG184" s="30"/>
      <c r="BH184" s="107"/>
      <c r="BI184" s="107"/>
      <c r="BJ184" s="107"/>
      <c r="BK184" s="107"/>
      <c r="BL184" s="136"/>
      <c r="BM184" s="122"/>
      <c r="BN184" s="138">
        <v>0</v>
      </c>
      <c r="BO184" s="93"/>
      <c r="BP184" s="93"/>
      <c r="BQ184" s="93"/>
      <c r="BR184" s="93"/>
      <c r="BS184" s="93"/>
      <c r="BT184" s="93"/>
      <c r="BU184" s="27">
        <f t="shared" si="198"/>
        <v>0</v>
      </c>
      <c r="BV184" s="27"/>
      <c r="BW184" s="27"/>
      <c r="BX184" s="27"/>
      <c r="BY184" s="27"/>
      <c r="BZ184" s="27"/>
      <c r="CA184" s="27"/>
      <c r="CB184" s="97"/>
      <c r="CC184" s="97">
        <v>210</v>
      </c>
      <c r="CD184" s="97">
        <f t="shared" ref="CD184:CH187" si="201">DN184</f>
        <v>297.71999999999997</v>
      </c>
      <c r="CE184" s="97">
        <f t="shared" si="201"/>
        <v>301.20999999999998</v>
      </c>
      <c r="CF184" s="97">
        <f t="shared" si="197"/>
        <v>302.57</v>
      </c>
      <c r="CG184" s="97">
        <f t="shared" si="197"/>
        <v>302.24</v>
      </c>
      <c r="CH184" s="97">
        <f t="shared" si="200"/>
        <v>300.90999999999997</v>
      </c>
      <c r="CI184" s="173"/>
      <c r="CJ184" s="173"/>
      <c r="CK184" s="173"/>
      <c r="CL184" s="173"/>
      <c r="CM184" s="173"/>
      <c r="CN184" s="173"/>
      <c r="CO184" s="173"/>
      <c r="CP184" s="174"/>
      <c r="CQ184" s="174"/>
      <c r="CR184" s="174"/>
      <c r="CS184" s="174"/>
      <c r="CT184" s="174"/>
      <c r="CU184" s="174"/>
      <c r="CV184" s="174"/>
      <c r="CW184" s="165"/>
      <c r="CX184" s="166"/>
      <c r="CY184" s="166"/>
      <c r="CZ184" s="166"/>
      <c r="DA184" s="166"/>
      <c r="DB184" s="166"/>
      <c r="DC184" s="166"/>
      <c r="DD184" s="171"/>
      <c r="DE184" s="171"/>
      <c r="DF184" s="171"/>
      <c r="DG184" s="171"/>
      <c r="DH184" s="171"/>
      <c r="DI184" s="171"/>
      <c r="DJ184" s="171"/>
      <c r="DK184" s="79" t="s">
        <v>1121</v>
      </c>
      <c r="DL184" s="128">
        <f>ROUNDUP(VLOOKUP($F184,Activities!$A$9:$I$180,3,FALSE)/$AI184,2)</f>
        <v>279.19</v>
      </c>
      <c r="DM184" s="128">
        <f>ROUNDUP(VLOOKUP($F184,Activities!$A$9:$I$180,4,FALSE)/$AI184,2)</f>
        <v>291.20999999999998</v>
      </c>
      <c r="DN184" s="128">
        <f>ROUNDUP(VLOOKUP($F184,Activities!$A$9:$I$180,5,FALSE)/$AI184,2)</f>
        <v>297.71999999999997</v>
      </c>
      <c r="DO184" s="128">
        <f>ROUNDUP(VLOOKUP($F184,Activities!$A$9:$I$180,6,FALSE)/$AI184,2)</f>
        <v>301.20999999999998</v>
      </c>
      <c r="DP184" s="128">
        <f>ROUNDUP(VLOOKUP($F184,Activities!$A$9:$I$180,7,FALSE)/$AI184,2)</f>
        <v>302.57</v>
      </c>
      <c r="DQ184" s="128">
        <f>ROUNDUP(VLOOKUP($F184,Activities!$A$9:$I$180,8,FALSE)/$AI184,2)</f>
        <v>302.24</v>
      </c>
      <c r="DR184" s="128">
        <f>ROUNDUP(VLOOKUP($F184,Activities!$A$9:$I$180,9,FALSE)/$AI184,2)</f>
        <v>300.90999999999997</v>
      </c>
      <c r="DS184" s="218"/>
      <c r="DT184" s="360"/>
      <c r="DU184" s="360"/>
      <c r="DV184" s="360"/>
      <c r="DW184" s="360"/>
      <c r="DX184" s="360"/>
      <c r="DY184" s="360"/>
      <c r="DZ184" s="360"/>
      <c r="EA184" s="360"/>
      <c r="EB184" s="360"/>
      <c r="EC184" s="360"/>
      <c r="ED184" s="360"/>
      <c r="EE184" s="360"/>
      <c r="EF184" s="360"/>
      <c r="EG184" s="360"/>
      <c r="EH184" s="360"/>
      <c r="EI184" s="360"/>
      <c r="EJ184" s="360"/>
      <c r="EK184" s="360"/>
      <c r="EL184" s="360"/>
      <c r="EM184" s="360"/>
      <c r="EN184" s="360"/>
      <c r="EO184" s="360"/>
      <c r="EP184" s="360"/>
      <c r="EQ184" s="360"/>
    </row>
    <row r="185" spans="1:147" x14ac:dyDescent="0.35">
      <c r="A185" s="6" t="s">
        <v>1122</v>
      </c>
      <c r="B185" s="6" t="s">
        <v>734</v>
      </c>
      <c r="C185" s="6" t="s">
        <v>655</v>
      </c>
      <c r="D185" s="6" t="s">
        <v>1029</v>
      </c>
      <c r="E185" s="6" t="s">
        <v>1116</v>
      </c>
      <c r="F185" s="6" t="s">
        <v>389</v>
      </c>
      <c r="G185" s="48" t="s">
        <v>1123</v>
      </c>
      <c r="H185" s="48" t="s">
        <v>1118</v>
      </c>
      <c r="I185" s="102">
        <v>0.55000000000000004</v>
      </c>
      <c r="J185" s="102">
        <v>0.44</v>
      </c>
      <c r="K185" s="102">
        <v>0.44</v>
      </c>
      <c r="L185" s="102">
        <v>0.44</v>
      </c>
      <c r="M185" s="102">
        <v>0.44</v>
      </c>
      <c r="N185" s="102">
        <v>0.44</v>
      </c>
      <c r="O185" s="102">
        <v>0.44</v>
      </c>
      <c r="P185" s="94">
        <v>0</v>
      </c>
      <c r="Q185" s="102">
        <v>0.09</v>
      </c>
      <c r="R185" s="102">
        <v>0.09</v>
      </c>
      <c r="S185" s="102">
        <v>0.09</v>
      </c>
      <c r="T185" s="102">
        <v>0.09</v>
      </c>
      <c r="U185" s="102">
        <v>0.09</v>
      </c>
      <c r="V185" s="102">
        <v>0.09</v>
      </c>
      <c r="W185" s="102">
        <v>0.09</v>
      </c>
      <c r="X185" s="102">
        <v>0</v>
      </c>
      <c r="Y185" s="102">
        <v>0</v>
      </c>
      <c r="Z185" s="102">
        <v>0</v>
      </c>
      <c r="AA185" s="102">
        <v>0</v>
      </c>
      <c r="AB185" s="102">
        <v>0</v>
      </c>
      <c r="AC185" s="102">
        <v>0</v>
      </c>
      <c r="AD185" s="102">
        <v>0</v>
      </c>
      <c r="AE185" s="186">
        <v>0.08</v>
      </c>
      <c r="AF185" s="94">
        <v>0</v>
      </c>
      <c r="AG185" s="94">
        <v>30</v>
      </c>
      <c r="AH185" s="94">
        <v>30</v>
      </c>
      <c r="AI185" s="17">
        <v>0.19700000000000001</v>
      </c>
      <c r="AJ185" s="17" t="s">
        <v>660</v>
      </c>
      <c r="AK185" s="17" t="s">
        <v>745</v>
      </c>
      <c r="AL185" s="17"/>
      <c r="AM185" s="61"/>
      <c r="AN185" s="61"/>
      <c r="AO185" s="61"/>
      <c r="AP185" s="61"/>
      <c r="AQ185" s="61"/>
      <c r="AR185" s="61"/>
      <c r="AS185" s="64"/>
      <c r="AT185" s="64"/>
      <c r="AU185" s="64"/>
      <c r="AV185" s="132"/>
      <c r="AW185" s="132"/>
      <c r="AX185" s="132"/>
      <c r="AY185" s="28" t="s">
        <v>662</v>
      </c>
      <c r="AZ185" s="28"/>
      <c r="BA185" s="28"/>
      <c r="BB185" s="28"/>
      <c r="BC185" s="28"/>
      <c r="BD185" s="28"/>
      <c r="BE185" s="28"/>
      <c r="BF185" s="28"/>
      <c r="BG185" s="28"/>
      <c r="BH185" s="106"/>
      <c r="BI185" s="106"/>
      <c r="BJ185" s="106"/>
      <c r="BK185" s="106"/>
      <c r="BL185" s="137"/>
      <c r="BM185" s="123"/>
      <c r="BN185" s="139">
        <v>30</v>
      </c>
      <c r="BO185" s="94">
        <v>10</v>
      </c>
      <c r="BP185" s="94">
        <v>10</v>
      </c>
      <c r="BQ185" s="94">
        <v>10</v>
      </c>
      <c r="BR185" s="94"/>
      <c r="BS185" s="94"/>
      <c r="BT185" s="94"/>
      <c r="BU185" s="28">
        <f t="shared" si="198"/>
        <v>0</v>
      </c>
      <c r="BV185" s="28"/>
      <c r="BW185" s="28"/>
      <c r="BX185" s="28"/>
      <c r="BY185" s="28"/>
      <c r="BZ185" s="28"/>
      <c r="CA185" s="28"/>
      <c r="CB185" s="99">
        <v>120</v>
      </c>
      <c r="CC185" s="99">
        <v>210</v>
      </c>
      <c r="CD185" s="99">
        <f t="shared" si="201"/>
        <v>297.71999999999997</v>
      </c>
      <c r="CE185" s="99">
        <f t="shared" si="201"/>
        <v>301.20999999999998</v>
      </c>
      <c r="CF185" s="99">
        <f t="shared" si="197"/>
        <v>302.57</v>
      </c>
      <c r="CG185" s="99">
        <f t="shared" si="197"/>
        <v>302.24</v>
      </c>
      <c r="CH185" s="99">
        <f t="shared" si="200"/>
        <v>300.90999999999997</v>
      </c>
      <c r="CI185" s="175"/>
      <c r="CJ185" s="175"/>
      <c r="CK185" s="175"/>
      <c r="CL185" s="175"/>
      <c r="CM185" s="175"/>
      <c r="CN185" s="175"/>
      <c r="CO185" s="175"/>
      <c r="CP185" s="176"/>
      <c r="CQ185" s="176"/>
      <c r="CR185" s="176"/>
      <c r="CS185" s="176"/>
      <c r="CT185" s="176"/>
      <c r="CU185" s="176"/>
      <c r="CV185" s="176"/>
      <c r="CW185" s="167"/>
      <c r="CX185" s="168"/>
      <c r="CY185" s="168"/>
      <c r="CZ185" s="168"/>
      <c r="DA185" s="168"/>
      <c r="DB185" s="168"/>
      <c r="DC185" s="168"/>
      <c r="DD185" s="172"/>
      <c r="DE185" s="172"/>
      <c r="DF185" s="172"/>
      <c r="DG185" s="172"/>
      <c r="DH185" s="172"/>
      <c r="DI185" s="172"/>
      <c r="DJ185" s="172"/>
      <c r="DK185" s="80" t="s">
        <v>1121</v>
      </c>
      <c r="DL185" s="129">
        <f>ROUNDUP(VLOOKUP($F185,Activities!$A$9:$I$180,3,FALSE)/$AI185,2)</f>
        <v>279.19</v>
      </c>
      <c r="DM185" s="129">
        <f>ROUNDUP(VLOOKUP($F185,Activities!$A$9:$I$180,4,FALSE)/$AI185,2)</f>
        <v>291.20999999999998</v>
      </c>
      <c r="DN185" s="129">
        <f>ROUNDUP(VLOOKUP($F185,Activities!$A$9:$I$180,5,FALSE)/$AI185,2)</f>
        <v>297.71999999999997</v>
      </c>
      <c r="DO185" s="129">
        <f>ROUNDUP(VLOOKUP($F185,Activities!$A$9:$I$180,6,FALSE)/$AI185,2)</f>
        <v>301.20999999999998</v>
      </c>
      <c r="DP185" s="129">
        <f>ROUNDUP(VLOOKUP($F185,Activities!$A$9:$I$180,7,FALSE)/$AI185,2)</f>
        <v>302.57</v>
      </c>
      <c r="DQ185" s="129">
        <f>ROUNDUP(VLOOKUP($F185,Activities!$A$9:$I$180,8,FALSE)/$AI185,2)</f>
        <v>302.24</v>
      </c>
      <c r="DR185" s="129">
        <f>ROUNDUP(VLOOKUP($F185,Activities!$A$9:$I$180,9,FALSE)/$AI185,2)</f>
        <v>300.90999999999997</v>
      </c>
      <c r="DS185" s="218"/>
      <c r="DT185" s="360"/>
      <c r="DU185" s="360"/>
      <c r="DV185" s="360"/>
      <c r="DW185" s="360"/>
      <c r="DX185" s="360"/>
      <c r="DY185" s="360"/>
      <c r="DZ185" s="360"/>
      <c r="EA185" s="360"/>
      <c r="EB185" s="360"/>
      <c r="EC185" s="360"/>
      <c r="ED185" s="360"/>
      <c r="EE185" s="360"/>
      <c r="EF185" s="360"/>
      <c r="EG185" s="360"/>
      <c r="EH185" s="360"/>
      <c r="EI185" s="360"/>
      <c r="EJ185" s="360"/>
      <c r="EK185" s="360"/>
      <c r="EL185" s="360"/>
      <c r="EM185" s="360"/>
      <c r="EN185" s="360"/>
      <c r="EO185" s="360"/>
      <c r="EP185" s="360"/>
      <c r="EQ185" s="360"/>
    </row>
    <row r="186" spans="1:147" x14ac:dyDescent="0.35">
      <c r="A186" s="5" t="s">
        <v>1124</v>
      </c>
      <c r="B186" s="5" t="s">
        <v>734</v>
      </c>
      <c r="C186" s="5" t="s">
        <v>655</v>
      </c>
      <c r="D186" s="5" t="s">
        <v>1029</v>
      </c>
      <c r="E186" s="5" t="s">
        <v>1116</v>
      </c>
      <c r="F186" s="5" t="s">
        <v>389</v>
      </c>
      <c r="G186" s="47" t="s">
        <v>1125</v>
      </c>
      <c r="H186" s="47" t="s">
        <v>1118</v>
      </c>
      <c r="I186" s="101">
        <v>0.55000000000000004</v>
      </c>
      <c r="J186" s="101">
        <v>0.44</v>
      </c>
      <c r="K186" s="101">
        <v>0.44</v>
      </c>
      <c r="L186" s="101">
        <v>0.44</v>
      </c>
      <c r="M186" s="101">
        <v>0.44</v>
      </c>
      <c r="N186" s="101">
        <v>0.44</v>
      </c>
      <c r="O186" s="101">
        <v>0.44</v>
      </c>
      <c r="P186" s="93">
        <v>0</v>
      </c>
      <c r="Q186" s="101">
        <v>0.09</v>
      </c>
      <c r="R186" s="101">
        <v>0.09</v>
      </c>
      <c r="S186" s="101">
        <v>0.09</v>
      </c>
      <c r="T186" s="101">
        <v>0.09</v>
      </c>
      <c r="U186" s="101">
        <v>0.09</v>
      </c>
      <c r="V186" s="101">
        <v>0.09</v>
      </c>
      <c r="W186" s="101">
        <v>0.09</v>
      </c>
      <c r="X186" s="101">
        <v>0</v>
      </c>
      <c r="Y186" s="101">
        <v>0</v>
      </c>
      <c r="Z186" s="101">
        <v>0</v>
      </c>
      <c r="AA186" s="101">
        <v>0</v>
      </c>
      <c r="AB186" s="101">
        <v>0</v>
      </c>
      <c r="AC186" s="101">
        <v>0</v>
      </c>
      <c r="AD186" s="101">
        <v>0</v>
      </c>
      <c r="AE186" s="186">
        <v>0.08</v>
      </c>
      <c r="AF186" s="93">
        <v>0</v>
      </c>
      <c r="AG186" s="93">
        <v>30</v>
      </c>
      <c r="AH186" s="93">
        <v>30</v>
      </c>
      <c r="AI186" s="16">
        <v>0.19700000000000001</v>
      </c>
      <c r="AJ186" s="16" t="s">
        <v>660</v>
      </c>
      <c r="AK186" s="16" t="s">
        <v>745</v>
      </c>
      <c r="AL186" s="16"/>
      <c r="AM186" s="60"/>
      <c r="AN186" s="60"/>
      <c r="AO186" s="60"/>
      <c r="AP186" s="60"/>
      <c r="AQ186" s="60"/>
      <c r="AR186" s="60"/>
      <c r="AS186" s="63"/>
      <c r="AT186" s="63"/>
      <c r="AU186" s="63"/>
      <c r="AV186" s="131"/>
      <c r="AW186" s="131"/>
      <c r="AX186" s="131"/>
      <c r="AY186" s="27" t="s">
        <v>662</v>
      </c>
      <c r="AZ186" s="27"/>
      <c r="BA186" s="27"/>
      <c r="BB186" s="30"/>
      <c r="BC186" s="30"/>
      <c r="BD186" s="30"/>
      <c r="BE186" s="30"/>
      <c r="BF186" s="30"/>
      <c r="BG186" s="30"/>
      <c r="BH186" s="107"/>
      <c r="BI186" s="107"/>
      <c r="BJ186" s="107"/>
      <c r="BK186" s="107"/>
      <c r="BL186" s="136"/>
      <c r="BM186" s="122"/>
      <c r="BN186" s="138">
        <v>0</v>
      </c>
      <c r="BO186" s="93"/>
      <c r="BP186" s="93"/>
      <c r="BQ186" s="93"/>
      <c r="BR186" s="93"/>
      <c r="BS186" s="93"/>
      <c r="BT186" s="93"/>
      <c r="BU186" s="27">
        <f t="shared" si="198"/>
        <v>0</v>
      </c>
      <c r="BV186" s="27"/>
      <c r="BW186" s="27"/>
      <c r="BX186" s="27"/>
      <c r="BY186" s="27"/>
      <c r="BZ186" s="27"/>
      <c r="CA186" s="27"/>
      <c r="CB186" s="97"/>
      <c r="CC186" s="97">
        <v>210</v>
      </c>
      <c r="CD186" s="97">
        <f t="shared" si="201"/>
        <v>297.71999999999997</v>
      </c>
      <c r="CE186" s="97">
        <f t="shared" si="201"/>
        <v>301.20999999999998</v>
      </c>
      <c r="CF186" s="97">
        <f t="shared" si="201"/>
        <v>302.57</v>
      </c>
      <c r="CG186" s="97">
        <f t="shared" si="201"/>
        <v>302.24</v>
      </c>
      <c r="CH186" s="97">
        <f t="shared" si="201"/>
        <v>300.90999999999997</v>
      </c>
      <c r="CI186" s="173"/>
      <c r="CJ186" s="173"/>
      <c r="CK186" s="173"/>
      <c r="CL186" s="173"/>
      <c r="CM186" s="173"/>
      <c r="CN186" s="173"/>
      <c r="CO186" s="173"/>
      <c r="CP186" s="174"/>
      <c r="CQ186" s="174"/>
      <c r="CR186" s="174"/>
      <c r="CS186" s="174"/>
      <c r="CT186" s="174"/>
      <c r="CU186" s="174"/>
      <c r="CV186" s="174"/>
      <c r="CW186" s="165"/>
      <c r="CX186" s="166"/>
      <c r="CY186" s="166"/>
      <c r="CZ186" s="166"/>
      <c r="DA186" s="166"/>
      <c r="DB186" s="166"/>
      <c r="DC186" s="166"/>
      <c r="DD186" s="171"/>
      <c r="DE186" s="171"/>
      <c r="DF186" s="171"/>
      <c r="DG186" s="171"/>
      <c r="DH186" s="171"/>
      <c r="DI186" s="171"/>
      <c r="DJ186" s="171"/>
      <c r="DK186" s="79" t="s">
        <v>1121</v>
      </c>
      <c r="DL186" s="128">
        <f>ROUNDUP(VLOOKUP($F186,Activities!$A$9:$I$180,3,FALSE)/$AI186,2)</f>
        <v>279.19</v>
      </c>
      <c r="DM186" s="128">
        <f>ROUNDUP(VLOOKUP($F186,Activities!$A$9:$I$180,4,FALSE)/$AI186,2)</f>
        <v>291.20999999999998</v>
      </c>
      <c r="DN186" s="128">
        <f>ROUNDUP(VLOOKUP($F186,Activities!$A$9:$I$180,5,FALSE)/$AI186,2)</f>
        <v>297.71999999999997</v>
      </c>
      <c r="DO186" s="128">
        <f>ROUNDUP(VLOOKUP($F186,Activities!$A$9:$I$180,6,FALSE)/$AI186,2)</f>
        <v>301.20999999999998</v>
      </c>
      <c r="DP186" s="128">
        <f>ROUNDUP(VLOOKUP($F186,Activities!$A$9:$I$180,7,FALSE)/$AI186,2)</f>
        <v>302.57</v>
      </c>
      <c r="DQ186" s="128">
        <f>ROUNDUP(VLOOKUP($F186,Activities!$A$9:$I$180,8,FALSE)/$AI186,2)</f>
        <v>302.24</v>
      </c>
      <c r="DR186" s="128">
        <f>ROUNDUP(VLOOKUP($F186,Activities!$A$9:$I$180,9,FALSE)/$AI186,2)</f>
        <v>300.90999999999997</v>
      </c>
      <c r="DS186" s="218"/>
      <c r="DT186" s="360"/>
      <c r="DU186" s="360"/>
      <c r="DV186" s="360"/>
      <c r="DW186" s="360"/>
      <c r="DX186" s="360"/>
      <c r="DY186" s="360"/>
      <c r="DZ186" s="360"/>
      <c r="EA186" s="360"/>
      <c r="EB186" s="360"/>
      <c r="EC186" s="360"/>
      <c r="ED186" s="360"/>
      <c r="EE186" s="360"/>
      <c r="EF186" s="360"/>
      <c r="EG186" s="360"/>
      <c r="EH186" s="360"/>
      <c r="EI186" s="360"/>
      <c r="EJ186" s="360"/>
      <c r="EK186" s="360"/>
      <c r="EL186" s="360"/>
      <c r="EM186" s="360"/>
      <c r="EN186" s="360"/>
      <c r="EO186" s="360"/>
      <c r="EP186" s="360"/>
      <c r="EQ186" s="360"/>
    </row>
    <row r="187" spans="1:147" x14ac:dyDescent="0.35">
      <c r="A187" s="6" t="s">
        <v>1126</v>
      </c>
      <c r="B187" s="6" t="s">
        <v>734</v>
      </c>
      <c r="C187" s="6" t="s">
        <v>655</v>
      </c>
      <c r="D187" s="6" t="s">
        <v>1029</v>
      </c>
      <c r="E187" s="6" t="s">
        <v>1116</v>
      </c>
      <c r="F187" s="6" t="s">
        <v>389</v>
      </c>
      <c r="G187" s="48" t="s">
        <v>1127</v>
      </c>
      <c r="H187" s="48" t="s">
        <v>1118</v>
      </c>
      <c r="I187" s="102">
        <v>0.55000000000000004</v>
      </c>
      <c r="J187" s="102">
        <v>0.44</v>
      </c>
      <c r="K187" s="102">
        <v>0.44</v>
      </c>
      <c r="L187" s="102">
        <v>0.44</v>
      </c>
      <c r="M187" s="102">
        <v>0.44</v>
      </c>
      <c r="N187" s="102">
        <v>0.44</v>
      </c>
      <c r="O187" s="102">
        <v>0.44</v>
      </c>
      <c r="P187" s="94">
        <v>0</v>
      </c>
      <c r="Q187" s="102">
        <v>0.09</v>
      </c>
      <c r="R187" s="102">
        <v>0.09</v>
      </c>
      <c r="S187" s="102">
        <v>0.09</v>
      </c>
      <c r="T187" s="102">
        <v>0.09</v>
      </c>
      <c r="U187" s="102">
        <v>0.09</v>
      </c>
      <c r="V187" s="102">
        <v>0.09</v>
      </c>
      <c r="W187" s="102">
        <v>0.09</v>
      </c>
      <c r="X187" s="102">
        <v>0</v>
      </c>
      <c r="Y187" s="102">
        <v>0</v>
      </c>
      <c r="Z187" s="102">
        <v>0</v>
      </c>
      <c r="AA187" s="102">
        <v>0</v>
      </c>
      <c r="AB187" s="102">
        <v>0</v>
      </c>
      <c r="AC187" s="102">
        <v>0</v>
      </c>
      <c r="AD187" s="102">
        <v>0</v>
      </c>
      <c r="AE187" s="186">
        <v>0.08</v>
      </c>
      <c r="AF187" s="94">
        <v>0</v>
      </c>
      <c r="AG187" s="94">
        <v>30</v>
      </c>
      <c r="AH187" s="94">
        <v>30</v>
      </c>
      <c r="AI187" s="17">
        <v>0.19700000000000001</v>
      </c>
      <c r="AJ187" s="17" t="s">
        <v>660</v>
      </c>
      <c r="AK187" s="17" t="s">
        <v>745</v>
      </c>
      <c r="AL187" s="17"/>
      <c r="AM187" s="61"/>
      <c r="AN187" s="61"/>
      <c r="AO187" s="61"/>
      <c r="AP187" s="61"/>
      <c r="AQ187" s="61"/>
      <c r="AR187" s="61"/>
      <c r="AS187" s="64"/>
      <c r="AT187" s="64"/>
      <c r="AU187" s="64"/>
      <c r="AV187" s="132"/>
      <c r="AW187" s="132"/>
      <c r="AX187" s="132"/>
      <c r="AY187" s="28" t="s">
        <v>662</v>
      </c>
      <c r="AZ187" s="28"/>
      <c r="BA187" s="28"/>
      <c r="BB187" s="28"/>
      <c r="BC187" s="28"/>
      <c r="BD187" s="28"/>
      <c r="BE187" s="28"/>
      <c r="BF187" s="28"/>
      <c r="BG187" s="28"/>
      <c r="BH187" s="106"/>
      <c r="BI187" s="106"/>
      <c r="BJ187" s="106"/>
      <c r="BK187" s="106"/>
      <c r="BL187" s="137"/>
      <c r="BM187" s="123"/>
      <c r="BN187" s="139">
        <v>0</v>
      </c>
      <c r="BO187" s="94"/>
      <c r="BP187" s="94"/>
      <c r="BQ187" s="94"/>
      <c r="BR187" s="94"/>
      <c r="BS187" s="94"/>
      <c r="BT187" s="94"/>
      <c r="BU187" s="28">
        <f t="shared" si="198"/>
        <v>0</v>
      </c>
      <c r="BV187" s="28"/>
      <c r="BW187" s="28"/>
      <c r="BX187" s="28"/>
      <c r="BY187" s="28"/>
      <c r="BZ187" s="28"/>
      <c r="CA187" s="28"/>
      <c r="CB187" s="99"/>
      <c r="CC187" s="99">
        <v>210</v>
      </c>
      <c r="CD187" s="99">
        <f t="shared" si="201"/>
        <v>297.71999999999997</v>
      </c>
      <c r="CE187" s="99">
        <f t="shared" si="201"/>
        <v>301.20999999999998</v>
      </c>
      <c r="CF187" s="99">
        <f t="shared" si="201"/>
        <v>302.57</v>
      </c>
      <c r="CG187" s="99">
        <f t="shared" si="201"/>
        <v>302.24</v>
      </c>
      <c r="CH187" s="99">
        <f t="shared" si="201"/>
        <v>300.90999999999997</v>
      </c>
      <c r="CI187" s="175"/>
      <c r="CJ187" s="175"/>
      <c r="CK187" s="175"/>
      <c r="CL187" s="175"/>
      <c r="CM187" s="175"/>
      <c r="CN187" s="175"/>
      <c r="CO187" s="175"/>
      <c r="CP187" s="176"/>
      <c r="CQ187" s="176"/>
      <c r="CR187" s="176"/>
      <c r="CS187" s="176"/>
      <c r="CT187" s="176"/>
      <c r="CU187" s="176"/>
      <c r="CV187" s="176"/>
      <c r="CW187" s="167"/>
      <c r="CX187" s="168"/>
      <c r="CY187" s="168"/>
      <c r="CZ187" s="168"/>
      <c r="DA187" s="168"/>
      <c r="DB187" s="168"/>
      <c r="DC187" s="168"/>
      <c r="DD187" s="172"/>
      <c r="DE187" s="172"/>
      <c r="DF187" s="172"/>
      <c r="DG187" s="172"/>
      <c r="DH187" s="172"/>
      <c r="DI187" s="172"/>
      <c r="DJ187" s="172"/>
      <c r="DK187" s="80" t="s">
        <v>1121</v>
      </c>
      <c r="DL187" s="129">
        <f>ROUNDUP(VLOOKUP($F187,Activities!$A$9:$I$180,3,FALSE)/$AI187,2)</f>
        <v>279.19</v>
      </c>
      <c r="DM187" s="129">
        <f>ROUNDUP(VLOOKUP($F187,Activities!$A$9:$I$180,4,FALSE)/$AI187,2)</f>
        <v>291.20999999999998</v>
      </c>
      <c r="DN187" s="129">
        <f>ROUNDUP(VLOOKUP($F187,Activities!$A$9:$I$180,5,FALSE)/$AI187,2)</f>
        <v>297.71999999999997</v>
      </c>
      <c r="DO187" s="129">
        <f>ROUNDUP(VLOOKUP($F187,Activities!$A$9:$I$180,6,FALSE)/$AI187,2)</f>
        <v>301.20999999999998</v>
      </c>
      <c r="DP187" s="129">
        <f>ROUNDUP(VLOOKUP($F187,Activities!$A$9:$I$180,7,FALSE)/$AI187,2)</f>
        <v>302.57</v>
      </c>
      <c r="DQ187" s="129">
        <f>ROUNDUP(VLOOKUP($F187,Activities!$A$9:$I$180,8,FALSE)/$AI187,2)</f>
        <v>302.24</v>
      </c>
      <c r="DR187" s="129">
        <f>ROUNDUP(VLOOKUP($F187,Activities!$A$9:$I$180,9,FALSE)/$AI187,2)</f>
        <v>300.90999999999997</v>
      </c>
      <c r="DS187" s="218"/>
      <c r="DT187" s="360"/>
      <c r="DU187" s="360"/>
      <c r="DV187" s="360"/>
      <c r="DW187" s="360"/>
      <c r="DX187" s="360"/>
      <c r="DY187" s="360"/>
      <c r="DZ187" s="360"/>
      <c r="EA187" s="360"/>
      <c r="EB187" s="360"/>
      <c r="EC187" s="360"/>
      <c r="ED187" s="360"/>
      <c r="EE187" s="360"/>
      <c r="EF187" s="360"/>
      <c r="EG187" s="360"/>
      <c r="EH187" s="360"/>
      <c r="EI187" s="360"/>
      <c r="EJ187" s="360"/>
      <c r="EK187" s="360"/>
      <c r="EL187" s="360"/>
      <c r="EM187" s="360"/>
      <c r="EN187" s="360"/>
      <c r="EO187" s="360"/>
      <c r="EP187" s="360"/>
      <c r="EQ187" s="360"/>
    </row>
    <row r="188" spans="1:147" x14ac:dyDescent="0.35">
      <c r="A188" s="5" t="s">
        <v>1128</v>
      </c>
      <c r="B188" s="5" t="s">
        <v>734</v>
      </c>
      <c r="C188" s="5" t="s">
        <v>655</v>
      </c>
      <c r="D188" s="5" t="s">
        <v>1029</v>
      </c>
      <c r="E188" s="5" t="s">
        <v>1116</v>
      </c>
      <c r="F188" s="5" t="s">
        <v>389</v>
      </c>
      <c r="G188" s="47" t="s">
        <v>1129</v>
      </c>
      <c r="H188" s="47" t="s">
        <v>1118</v>
      </c>
      <c r="I188" s="101">
        <v>0.67</v>
      </c>
      <c r="J188" s="101">
        <v>0.55000000000000004</v>
      </c>
      <c r="K188" s="101">
        <v>0.44</v>
      </c>
      <c r="L188" s="101">
        <v>0.44</v>
      </c>
      <c r="M188" s="101">
        <v>0.44</v>
      </c>
      <c r="N188" s="101">
        <v>0.44</v>
      </c>
      <c r="O188" s="101">
        <v>0.44</v>
      </c>
      <c r="P188" s="93">
        <v>0</v>
      </c>
      <c r="Q188" s="101">
        <v>0.09</v>
      </c>
      <c r="R188" s="101">
        <v>0.09</v>
      </c>
      <c r="S188" s="101">
        <v>0.09</v>
      </c>
      <c r="T188" s="101">
        <v>0.09</v>
      </c>
      <c r="U188" s="101">
        <v>0.09</v>
      </c>
      <c r="V188" s="101">
        <v>0.09</v>
      </c>
      <c r="W188" s="101">
        <v>0.09</v>
      </c>
      <c r="X188" s="101">
        <v>0</v>
      </c>
      <c r="Y188" s="101">
        <v>0</v>
      </c>
      <c r="Z188" s="101">
        <v>0</v>
      </c>
      <c r="AA188" s="101">
        <v>0</v>
      </c>
      <c r="AB188" s="101">
        <v>0</v>
      </c>
      <c r="AC188" s="101">
        <v>0</v>
      </c>
      <c r="AD188" s="101">
        <v>0</v>
      </c>
      <c r="AE188" s="186">
        <v>0.08</v>
      </c>
      <c r="AF188" s="93">
        <v>0</v>
      </c>
      <c r="AG188" s="93">
        <v>30</v>
      </c>
      <c r="AH188" s="93">
        <v>30</v>
      </c>
      <c r="AI188" s="16">
        <v>0.19700000000000001</v>
      </c>
      <c r="AJ188" s="16" t="s">
        <v>660</v>
      </c>
      <c r="AK188" s="16" t="s">
        <v>745</v>
      </c>
      <c r="AL188" s="16"/>
      <c r="AM188" s="60"/>
      <c r="AN188" s="60"/>
      <c r="AO188" s="60"/>
      <c r="AP188" s="60"/>
      <c r="AQ188" s="60"/>
      <c r="AR188" s="60"/>
      <c r="AS188" s="63"/>
      <c r="AT188" s="63"/>
      <c r="AU188" s="63"/>
      <c r="AV188" s="131"/>
      <c r="AW188" s="131"/>
      <c r="AX188" s="131"/>
      <c r="AY188" s="27" t="s">
        <v>662</v>
      </c>
      <c r="AZ188" s="27"/>
      <c r="BA188" s="27"/>
      <c r="BB188" s="30"/>
      <c r="BC188" s="30"/>
      <c r="BD188" s="30"/>
      <c r="BE188" s="30"/>
      <c r="BF188" s="30"/>
      <c r="BG188" s="30"/>
      <c r="BH188" s="107"/>
      <c r="BI188" s="107"/>
      <c r="BJ188" s="107"/>
      <c r="BK188" s="107"/>
      <c r="BL188" s="136"/>
      <c r="BM188" s="122"/>
      <c r="BN188" s="138">
        <v>55</v>
      </c>
      <c r="BO188" s="93">
        <v>5</v>
      </c>
      <c r="BP188" s="93">
        <v>10</v>
      </c>
      <c r="BQ188" s="93">
        <v>10</v>
      </c>
      <c r="BR188" s="93">
        <v>10</v>
      </c>
      <c r="BS188" s="93">
        <v>10</v>
      </c>
      <c r="BT188" s="93">
        <v>10</v>
      </c>
      <c r="BU188" s="27">
        <f t="shared" si="198"/>
        <v>0</v>
      </c>
      <c r="BV188" s="27"/>
      <c r="BW188" s="27"/>
      <c r="BX188" s="27"/>
      <c r="BY188" s="27"/>
      <c r="BZ188" s="27"/>
      <c r="CA188" s="27"/>
      <c r="CB188" s="97">
        <v>55</v>
      </c>
      <c r="CC188" s="97">
        <v>210</v>
      </c>
      <c r="CD188" s="97">
        <f>0.3*CD183</f>
        <v>89.315999999999988</v>
      </c>
      <c r="CE188" s="97">
        <f>0.4*CE183</f>
        <v>120.48399999999999</v>
      </c>
      <c r="CF188" s="97">
        <f>CE188</f>
        <v>120.48399999999999</v>
      </c>
      <c r="CG188" s="97">
        <f t="shared" ref="CG188:CH188" si="202">CF188</f>
        <v>120.48399999999999</v>
      </c>
      <c r="CH188" s="97">
        <f t="shared" si="202"/>
        <v>120.48399999999999</v>
      </c>
      <c r="CI188" s="173"/>
      <c r="CJ188" s="173"/>
      <c r="CK188" s="173"/>
      <c r="CL188" s="173"/>
      <c r="CM188" s="173"/>
      <c r="CN188" s="173"/>
      <c r="CO188" s="173"/>
      <c r="CP188" s="174"/>
      <c r="CQ188" s="174"/>
      <c r="CR188" s="174"/>
      <c r="CS188" s="174"/>
      <c r="CT188" s="174"/>
      <c r="CU188" s="174"/>
      <c r="CV188" s="174"/>
      <c r="CW188" s="165"/>
      <c r="CX188" s="166"/>
      <c r="CY188" s="166"/>
      <c r="CZ188" s="166"/>
      <c r="DA188" s="166"/>
      <c r="DB188" s="166"/>
      <c r="DC188" s="166"/>
      <c r="DD188" s="171"/>
      <c r="DE188" s="171"/>
      <c r="DF188" s="171"/>
      <c r="DG188" s="171"/>
      <c r="DH188" s="171"/>
      <c r="DI188" s="171"/>
      <c r="DJ188" s="171"/>
      <c r="DK188" s="79" t="s">
        <v>1121</v>
      </c>
      <c r="DL188" s="128">
        <f>ROUNDUP(VLOOKUP($F188,Activities!$A$9:$I$180,3,FALSE)/$AI188,2)</f>
        <v>279.19</v>
      </c>
      <c r="DM188" s="128">
        <f>ROUNDUP(VLOOKUP($F188,Activities!$A$9:$I$180,4,FALSE)/$AI188,2)</f>
        <v>291.20999999999998</v>
      </c>
      <c r="DN188" s="128">
        <f>ROUNDUP(VLOOKUP($F188,Activities!$A$9:$I$180,5,FALSE)/$AI188,2)</f>
        <v>297.71999999999997</v>
      </c>
      <c r="DO188" s="128">
        <f>ROUNDUP(VLOOKUP($F188,Activities!$A$9:$I$180,6,FALSE)/$AI188,2)</f>
        <v>301.20999999999998</v>
      </c>
      <c r="DP188" s="128">
        <f>ROUNDUP(VLOOKUP($F188,Activities!$A$9:$I$180,7,FALSE)/$AI188,2)</f>
        <v>302.57</v>
      </c>
      <c r="DQ188" s="128">
        <f>ROUNDUP(VLOOKUP($F188,Activities!$A$9:$I$180,8,FALSE)/$AI188,2)</f>
        <v>302.24</v>
      </c>
      <c r="DR188" s="128">
        <f>ROUNDUP(VLOOKUP($F188,Activities!$A$9:$I$180,9,FALSE)/$AI188,2)</f>
        <v>300.90999999999997</v>
      </c>
      <c r="DS188" s="218"/>
      <c r="DT188" s="360"/>
      <c r="DU188" s="360"/>
      <c r="DV188" s="360"/>
      <c r="DW188" s="360"/>
      <c r="DX188" s="360"/>
      <c r="DY188" s="360"/>
      <c r="DZ188" s="360"/>
      <c r="EA188" s="360"/>
      <c r="EB188" s="360"/>
      <c r="EC188" s="360"/>
      <c r="ED188" s="360"/>
      <c r="EE188" s="360"/>
      <c r="EF188" s="360"/>
      <c r="EG188" s="360"/>
      <c r="EH188" s="360"/>
      <c r="EI188" s="360"/>
      <c r="EJ188" s="360"/>
      <c r="EK188" s="360"/>
      <c r="EL188" s="360"/>
      <c r="EM188" s="360"/>
      <c r="EN188" s="360"/>
      <c r="EO188" s="360"/>
      <c r="EP188" s="360"/>
      <c r="EQ188" s="360"/>
    </row>
    <row r="189" spans="1:147" x14ac:dyDescent="0.35">
      <c r="A189" s="6" t="s">
        <v>1130</v>
      </c>
      <c r="B189" s="6" t="s">
        <v>734</v>
      </c>
      <c r="C189" s="6" t="s">
        <v>655</v>
      </c>
      <c r="D189" s="6" t="s">
        <v>1029</v>
      </c>
      <c r="E189" s="6" t="s">
        <v>1116</v>
      </c>
      <c r="F189" s="6" t="s">
        <v>389</v>
      </c>
      <c r="G189" s="48" t="s">
        <v>1131</v>
      </c>
      <c r="H189" s="48" t="s">
        <v>1118</v>
      </c>
      <c r="I189" s="102">
        <v>1.21</v>
      </c>
      <c r="J189" s="102">
        <v>0.94</v>
      </c>
      <c r="K189" s="102">
        <v>0.92</v>
      </c>
      <c r="L189" s="102">
        <v>0.79</v>
      </c>
      <c r="M189" s="102">
        <v>0.68</v>
      </c>
      <c r="N189" s="102">
        <v>0.57999999999999996</v>
      </c>
      <c r="O189" s="102">
        <v>0.54</v>
      </c>
      <c r="P189" s="94">
        <v>0</v>
      </c>
      <c r="Q189" s="102">
        <v>0.15</v>
      </c>
      <c r="R189" s="102">
        <v>0.15</v>
      </c>
      <c r="S189" s="102">
        <v>0.15</v>
      </c>
      <c r="T189" s="102">
        <v>0.15</v>
      </c>
      <c r="U189" s="102">
        <v>0.15</v>
      </c>
      <c r="V189" s="102">
        <v>0.15</v>
      </c>
      <c r="W189" s="102">
        <v>0.15</v>
      </c>
      <c r="X189" s="102">
        <v>0</v>
      </c>
      <c r="Y189" s="102">
        <v>0</v>
      </c>
      <c r="Z189" s="102">
        <v>0</v>
      </c>
      <c r="AA189" s="102">
        <v>0</v>
      </c>
      <c r="AB189" s="102">
        <v>0</v>
      </c>
      <c r="AC189" s="102">
        <v>0</v>
      </c>
      <c r="AD189" s="102">
        <v>0</v>
      </c>
      <c r="AE189" s="186">
        <v>0.08</v>
      </c>
      <c r="AF189" s="94">
        <v>0</v>
      </c>
      <c r="AG189" s="94">
        <v>30</v>
      </c>
      <c r="AH189" s="94">
        <v>30</v>
      </c>
      <c r="AI189" s="17">
        <v>0.19700000000000001</v>
      </c>
      <c r="AJ189" s="17" t="s">
        <v>660</v>
      </c>
      <c r="AK189" s="17" t="s">
        <v>745</v>
      </c>
      <c r="AL189" s="17"/>
      <c r="AM189" s="61"/>
      <c r="AN189" s="61"/>
      <c r="AO189" s="61"/>
      <c r="AP189" s="61"/>
      <c r="AQ189" s="61"/>
      <c r="AR189" s="61"/>
      <c r="AS189" s="64"/>
      <c r="AT189" s="64"/>
      <c r="AU189" s="64"/>
      <c r="AV189" s="132"/>
      <c r="AW189" s="132"/>
      <c r="AX189" s="132"/>
      <c r="AY189" s="28" t="s">
        <v>662</v>
      </c>
      <c r="AZ189" s="28"/>
      <c r="BA189" s="28"/>
      <c r="BB189" s="28"/>
      <c r="BC189" s="28"/>
      <c r="BD189" s="28"/>
      <c r="BE189" s="28"/>
      <c r="BF189" s="28"/>
      <c r="BG189" s="28"/>
      <c r="BH189" s="106"/>
      <c r="BI189" s="106"/>
      <c r="BJ189" s="106"/>
      <c r="BK189" s="106"/>
      <c r="BL189" s="137"/>
      <c r="BM189" s="123"/>
      <c r="BN189" s="139">
        <v>0</v>
      </c>
      <c r="BO189" s="94"/>
      <c r="BP189" s="94"/>
      <c r="BQ189" s="94"/>
      <c r="BR189" s="94"/>
      <c r="BS189" s="94"/>
      <c r="BT189" s="94"/>
      <c r="BU189" s="28">
        <f t="shared" si="198"/>
        <v>0</v>
      </c>
      <c r="BV189" s="28"/>
      <c r="BW189" s="28"/>
      <c r="BX189" s="28"/>
      <c r="BY189" s="28"/>
      <c r="BZ189" s="28"/>
      <c r="CA189" s="28"/>
      <c r="CB189" s="99"/>
      <c r="CC189" s="99"/>
      <c r="CD189" s="99">
        <v>50</v>
      </c>
      <c r="CE189" s="99">
        <f t="shared" ref="CE189" si="203">DO189</f>
        <v>301.20999999999998</v>
      </c>
      <c r="CF189" s="99">
        <v>400</v>
      </c>
      <c r="CG189" s="99">
        <v>800</v>
      </c>
      <c r="CH189" s="99">
        <v>1000</v>
      </c>
      <c r="CI189" s="175"/>
      <c r="CJ189" s="175"/>
      <c r="CK189" s="175"/>
      <c r="CL189" s="175"/>
      <c r="CM189" s="175"/>
      <c r="CN189" s="175"/>
      <c r="CO189" s="175"/>
      <c r="CP189" s="176"/>
      <c r="CQ189" s="176"/>
      <c r="CR189" s="176"/>
      <c r="CS189" s="176"/>
      <c r="CT189" s="176"/>
      <c r="CU189" s="176"/>
      <c r="CV189" s="176"/>
      <c r="CW189" s="167"/>
      <c r="CX189" s="168"/>
      <c r="CY189" s="168"/>
      <c r="CZ189" s="168"/>
      <c r="DA189" s="168"/>
      <c r="DB189" s="168"/>
      <c r="DC189" s="168"/>
      <c r="DD189" s="172"/>
      <c r="DE189" s="172"/>
      <c r="DF189" s="172"/>
      <c r="DG189" s="172"/>
      <c r="DH189" s="172"/>
      <c r="DI189" s="172"/>
      <c r="DJ189" s="172"/>
      <c r="DK189" s="80" t="s">
        <v>1121</v>
      </c>
      <c r="DL189" s="129">
        <f>ROUNDUP(VLOOKUP($F189,Activities!$A$9:$I$180,3,FALSE)/$AI189,2)</f>
        <v>279.19</v>
      </c>
      <c r="DM189" s="129">
        <f>ROUNDUP(VLOOKUP($F189,Activities!$A$9:$I$180,4,FALSE)/$AI189,2)</f>
        <v>291.20999999999998</v>
      </c>
      <c r="DN189" s="129">
        <f>ROUNDUP(VLOOKUP($F189,Activities!$A$9:$I$180,5,FALSE)/$AI189,2)</f>
        <v>297.71999999999997</v>
      </c>
      <c r="DO189" s="129">
        <f>ROUNDUP(VLOOKUP($F189,Activities!$A$9:$I$180,6,FALSE)/$AI189,2)</f>
        <v>301.20999999999998</v>
      </c>
      <c r="DP189" s="129">
        <f>ROUNDUP(VLOOKUP($F189,Activities!$A$9:$I$180,7,FALSE)/$AI189,2)</f>
        <v>302.57</v>
      </c>
      <c r="DQ189" s="129">
        <f>ROUNDUP(VLOOKUP($F189,Activities!$A$9:$I$180,8,FALSE)/$AI189,2)</f>
        <v>302.24</v>
      </c>
      <c r="DR189" s="129">
        <f>ROUNDUP(VLOOKUP($F189,Activities!$A$9:$I$180,9,FALSE)/$AI189,2)</f>
        <v>300.90999999999997</v>
      </c>
      <c r="DS189" s="218"/>
      <c r="DT189" s="360"/>
      <c r="DU189" s="360"/>
      <c r="DV189" s="360"/>
      <c r="DW189" s="360"/>
      <c r="DX189" s="360"/>
      <c r="DY189" s="360"/>
      <c r="DZ189" s="360"/>
      <c r="EA189" s="360"/>
      <c r="EB189" s="360"/>
      <c r="EC189" s="360"/>
      <c r="ED189" s="360"/>
      <c r="EE189" s="360"/>
      <c r="EF189" s="360"/>
      <c r="EG189" s="360"/>
      <c r="EH189" s="360"/>
      <c r="EI189" s="360"/>
      <c r="EJ189" s="360"/>
      <c r="EK189" s="360"/>
      <c r="EL189" s="360"/>
      <c r="EM189" s="360"/>
      <c r="EN189" s="360"/>
      <c r="EO189" s="360"/>
      <c r="EP189" s="360"/>
      <c r="EQ189" s="360"/>
    </row>
    <row r="190" spans="1:147" x14ac:dyDescent="0.35">
      <c r="A190" s="5" t="s">
        <v>1132</v>
      </c>
      <c r="B190" s="5" t="s">
        <v>734</v>
      </c>
      <c r="C190" s="5" t="s">
        <v>655</v>
      </c>
      <c r="D190" s="5" t="s">
        <v>1029</v>
      </c>
      <c r="E190" s="5" t="s">
        <v>1133</v>
      </c>
      <c r="F190" s="5" t="s">
        <v>1134</v>
      </c>
      <c r="G190" s="47" t="s">
        <v>1135</v>
      </c>
      <c r="H190" s="47" t="s">
        <v>659</v>
      </c>
      <c r="I190" s="101">
        <v>0</v>
      </c>
      <c r="J190" s="101">
        <v>0</v>
      </c>
      <c r="K190" s="101">
        <v>0</v>
      </c>
      <c r="L190" s="101">
        <v>0</v>
      </c>
      <c r="M190" s="101">
        <v>0</v>
      </c>
      <c r="N190" s="101">
        <v>0</v>
      </c>
      <c r="O190" s="101">
        <v>0</v>
      </c>
      <c r="P190" s="93">
        <v>0</v>
      </c>
      <c r="Q190" s="101">
        <v>0</v>
      </c>
      <c r="R190" s="101">
        <v>0</v>
      </c>
      <c r="S190" s="101">
        <v>0</v>
      </c>
      <c r="T190" s="101">
        <v>0</v>
      </c>
      <c r="U190" s="101">
        <v>0</v>
      </c>
      <c r="V190" s="101">
        <v>0</v>
      </c>
      <c r="W190" s="101">
        <v>0</v>
      </c>
      <c r="X190" s="101">
        <v>0</v>
      </c>
      <c r="Y190" s="101">
        <v>0</v>
      </c>
      <c r="Z190" s="101">
        <v>0</v>
      </c>
      <c r="AA190" s="101">
        <v>0</v>
      </c>
      <c r="AB190" s="101">
        <v>0</v>
      </c>
      <c r="AC190" s="101">
        <v>0</v>
      </c>
      <c r="AD190" s="101">
        <v>0</v>
      </c>
      <c r="AE190" s="186">
        <v>0.08</v>
      </c>
      <c r="AF190" s="93">
        <v>0</v>
      </c>
      <c r="AG190" s="93">
        <v>1</v>
      </c>
      <c r="AH190" s="93">
        <v>1</v>
      </c>
      <c r="AI190" s="16">
        <v>1</v>
      </c>
      <c r="AJ190" s="16" t="s">
        <v>660</v>
      </c>
      <c r="AK190" s="16" t="s">
        <v>745</v>
      </c>
      <c r="AL190" s="16"/>
      <c r="AM190" s="60"/>
      <c r="AN190" s="60"/>
      <c r="AO190" s="60"/>
      <c r="AP190" s="60"/>
      <c r="AQ190" s="60"/>
      <c r="AR190" s="60"/>
      <c r="AS190" s="63"/>
      <c r="AT190" s="63"/>
      <c r="AU190" s="63"/>
      <c r="AV190" s="131"/>
      <c r="AW190" s="131"/>
      <c r="AX190" s="131"/>
      <c r="AY190" s="27" t="s">
        <v>662</v>
      </c>
      <c r="AZ190" s="27"/>
      <c r="BA190" s="27"/>
      <c r="BB190" s="30"/>
      <c r="BC190" s="30"/>
      <c r="BD190" s="30"/>
      <c r="BE190" s="30"/>
      <c r="BF190" s="30"/>
      <c r="BG190" s="30"/>
      <c r="BH190" s="107"/>
      <c r="BI190" s="107"/>
      <c r="BJ190" s="107"/>
      <c r="BK190" s="107"/>
      <c r="BL190" s="136"/>
      <c r="BM190" s="122"/>
      <c r="BN190" s="138">
        <f>DL190</f>
        <v>0.4</v>
      </c>
      <c r="BO190" s="93"/>
      <c r="BP190" s="93"/>
      <c r="BQ190" s="93"/>
      <c r="BR190" s="93"/>
      <c r="BS190" s="93"/>
      <c r="BT190" s="93"/>
      <c r="BU190" s="27">
        <f t="shared" si="198"/>
        <v>0</v>
      </c>
      <c r="BV190" s="27"/>
      <c r="BW190" s="27"/>
      <c r="BX190" s="27"/>
      <c r="BY190" s="27"/>
      <c r="BZ190" s="27"/>
      <c r="CA190" s="27"/>
      <c r="CB190" s="97">
        <f t="shared" ref="CB190:CE190" si="204">DL190</f>
        <v>0.4</v>
      </c>
      <c r="CC190" s="97">
        <f t="shared" si="204"/>
        <v>0.42</v>
      </c>
      <c r="CD190" s="97">
        <f t="shared" si="204"/>
        <v>0.43</v>
      </c>
      <c r="CE190" s="97">
        <f t="shared" si="204"/>
        <v>0.44</v>
      </c>
      <c r="CF190" s="97">
        <v>400</v>
      </c>
      <c r="CG190" s="97">
        <v>800</v>
      </c>
      <c r="CH190" s="97">
        <v>1000</v>
      </c>
      <c r="CI190" s="173"/>
      <c r="CJ190" s="173"/>
      <c r="CK190" s="173"/>
      <c r="CL190" s="173"/>
      <c r="CM190" s="173"/>
      <c r="CN190" s="173"/>
      <c r="CO190" s="173"/>
      <c r="CP190" s="174"/>
      <c r="CQ190" s="174"/>
      <c r="CR190" s="174"/>
      <c r="CS190" s="174"/>
      <c r="CT190" s="174"/>
      <c r="CU190" s="174"/>
      <c r="CV190" s="174"/>
      <c r="CW190" s="165"/>
      <c r="CX190" s="166"/>
      <c r="CY190" s="166"/>
      <c r="CZ190" s="166"/>
      <c r="DA190" s="166"/>
      <c r="DB190" s="166"/>
      <c r="DC190" s="166"/>
      <c r="DD190" s="171"/>
      <c r="DE190" s="171"/>
      <c r="DF190" s="171"/>
      <c r="DG190" s="171"/>
      <c r="DH190" s="171"/>
      <c r="DI190" s="171"/>
      <c r="DJ190" s="171"/>
      <c r="DK190" s="79" t="s">
        <v>663</v>
      </c>
      <c r="DL190" s="128">
        <f>ROUNDUP(VLOOKUP($F190,Activities!$A$9:$I$180,3,FALSE)/$AI190,2)</f>
        <v>0.4</v>
      </c>
      <c r="DM190" s="128">
        <f>ROUNDUP(VLOOKUP($F190,Activities!$A$9:$I$180,4,FALSE)/$AI190,2)</f>
        <v>0.42</v>
      </c>
      <c r="DN190" s="128">
        <f>ROUNDUP(VLOOKUP($F190,Activities!$A$9:$I$180,5,FALSE)/$AI190,2)</f>
        <v>0.43</v>
      </c>
      <c r="DO190" s="128">
        <f>ROUNDUP(VLOOKUP($F190,Activities!$A$9:$I$180,6,FALSE)/$AI190,2)</f>
        <v>0.44</v>
      </c>
      <c r="DP190" s="128">
        <f>ROUNDUP(VLOOKUP($F190,Activities!$A$9:$I$180,7,FALSE)/$AI190,2)</f>
        <v>0.44</v>
      </c>
      <c r="DQ190" s="128">
        <f>ROUNDUP(VLOOKUP($F190,Activities!$A$9:$I$180,8,FALSE)/$AI190,2)</f>
        <v>0.44</v>
      </c>
      <c r="DR190" s="128">
        <f>ROUNDUP(VLOOKUP($F190,Activities!$A$9:$I$180,9,FALSE)/$AI190,2)</f>
        <v>0.44</v>
      </c>
      <c r="DS190" s="218"/>
      <c r="DT190" s="360"/>
      <c r="DU190" s="360"/>
      <c r="DV190" s="360"/>
      <c r="DW190" s="360"/>
      <c r="DX190" s="360"/>
      <c r="DY190" s="360"/>
      <c r="DZ190" s="360"/>
      <c r="EA190" s="360"/>
      <c r="EB190" s="360"/>
      <c r="EC190" s="360"/>
      <c r="ED190" s="360"/>
      <c r="EE190" s="360"/>
      <c r="EF190" s="360"/>
      <c r="EG190" s="360"/>
      <c r="EH190" s="360"/>
      <c r="EI190" s="360"/>
      <c r="EJ190" s="360"/>
      <c r="EK190" s="360"/>
      <c r="EL190" s="360"/>
      <c r="EM190" s="360"/>
      <c r="EN190" s="360"/>
      <c r="EO190" s="360"/>
      <c r="EP190" s="360"/>
      <c r="EQ190" s="360"/>
    </row>
    <row r="191" spans="1:147" x14ac:dyDescent="0.35">
      <c r="A191" s="5" t="s">
        <v>1136</v>
      </c>
      <c r="B191" s="5" t="s">
        <v>734</v>
      </c>
      <c r="C191" s="5" t="s">
        <v>655</v>
      </c>
      <c r="D191" s="5" t="s">
        <v>1029</v>
      </c>
      <c r="E191" s="5" t="s">
        <v>1133</v>
      </c>
      <c r="F191" s="5" t="s">
        <v>1134</v>
      </c>
      <c r="G191" s="47" t="s">
        <v>1137</v>
      </c>
      <c r="H191" s="47" t="s">
        <v>659</v>
      </c>
      <c r="I191" s="101">
        <v>0</v>
      </c>
      <c r="J191" s="101">
        <v>0</v>
      </c>
      <c r="K191" s="101">
        <v>0</v>
      </c>
      <c r="L191" s="101">
        <v>0</v>
      </c>
      <c r="M191" s="101">
        <v>0</v>
      </c>
      <c r="N191" s="101">
        <v>0</v>
      </c>
      <c r="O191" s="101">
        <v>0</v>
      </c>
      <c r="P191" s="93">
        <v>0</v>
      </c>
      <c r="Q191" s="101">
        <v>0</v>
      </c>
      <c r="R191" s="101">
        <v>0</v>
      </c>
      <c r="S191" s="101">
        <v>0</v>
      </c>
      <c r="T191" s="101">
        <v>0</v>
      </c>
      <c r="U191" s="101">
        <v>0</v>
      </c>
      <c r="V191" s="101">
        <v>0</v>
      </c>
      <c r="W191" s="101">
        <v>0</v>
      </c>
      <c r="X191" s="101">
        <v>0</v>
      </c>
      <c r="Y191" s="101">
        <v>0</v>
      </c>
      <c r="Z191" s="101">
        <v>0</v>
      </c>
      <c r="AA191" s="101">
        <v>0</v>
      </c>
      <c r="AB191" s="101">
        <v>0</v>
      </c>
      <c r="AC191" s="101">
        <v>0</v>
      </c>
      <c r="AD191" s="101">
        <v>0</v>
      </c>
      <c r="AE191" s="186">
        <v>0.08</v>
      </c>
      <c r="AF191" s="93">
        <v>0</v>
      </c>
      <c r="AG191" s="93">
        <v>1</v>
      </c>
      <c r="AH191" s="93">
        <v>1</v>
      </c>
      <c r="AI191" s="16">
        <v>1</v>
      </c>
      <c r="AJ191" s="16" t="s">
        <v>660</v>
      </c>
      <c r="AK191" s="16" t="s">
        <v>745</v>
      </c>
      <c r="AL191" s="16"/>
      <c r="AM191" s="60"/>
      <c r="AN191" s="60"/>
      <c r="AO191" s="60"/>
      <c r="AP191" s="60"/>
      <c r="AQ191" s="60"/>
      <c r="AR191" s="60"/>
      <c r="AS191" s="63"/>
      <c r="AT191" s="63"/>
      <c r="AU191" s="63"/>
      <c r="AV191" s="131"/>
      <c r="AW191" s="131"/>
      <c r="AX191" s="131"/>
      <c r="AY191" s="27" t="s">
        <v>662</v>
      </c>
      <c r="AZ191" s="27"/>
      <c r="BA191" s="27"/>
      <c r="BB191" s="30"/>
      <c r="BC191" s="30"/>
      <c r="BD191" s="30"/>
      <c r="BE191" s="30"/>
      <c r="BF191" s="30"/>
      <c r="BG191" s="30"/>
      <c r="BH191" s="107"/>
      <c r="BI191" s="107"/>
      <c r="BJ191" s="107"/>
      <c r="BK191" s="107"/>
      <c r="BL191" s="136"/>
      <c r="BM191" s="122"/>
      <c r="BN191" s="138"/>
      <c r="BO191" s="93"/>
      <c r="BP191" s="93"/>
      <c r="BQ191" s="93"/>
      <c r="BR191" s="93"/>
      <c r="BS191" s="93"/>
      <c r="BT191" s="93"/>
      <c r="BU191" s="27">
        <f t="shared" ref="BU191" si="205">IF(BL191=1,BN191,0)</f>
        <v>0</v>
      </c>
      <c r="BV191" s="27"/>
      <c r="BW191" s="27"/>
      <c r="BX191" s="27"/>
      <c r="BY191" s="27"/>
      <c r="BZ191" s="27"/>
      <c r="CA191" s="27"/>
      <c r="CB191" s="97"/>
      <c r="CC191" s="97"/>
      <c r="CD191" s="97">
        <f>0.1*DN191</f>
        <v>4.3000000000000003E-2</v>
      </c>
      <c r="CE191" s="97">
        <f>0.2*DO191</f>
        <v>8.8000000000000009E-2</v>
      </c>
      <c r="CF191" s="342"/>
      <c r="CG191" s="342"/>
      <c r="CH191" s="342"/>
      <c r="CI191" s="173"/>
      <c r="CJ191" s="173"/>
      <c r="CK191" s="173"/>
      <c r="CL191" s="173"/>
      <c r="CM191" s="173"/>
      <c r="CN191" s="173"/>
      <c r="CO191" s="173"/>
      <c r="CP191" s="174"/>
      <c r="CQ191" s="174"/>
      <c r="CR191" s="174"/>
      <c r="CS191" s="174"/>
      <c r="CT191" s="174"/>
      <c r="CU191" s="174"/>
      <c r="CV191" s="174"/>
      <c r="CW191" s="165"/>
      <c r="CX191" s="166"/>
      <c r="CY191" s="166"/>
      <c r="CZ191" s="166"/>
      <c r="DA191" s="166"/>
      <c r="DB191" s="166"/>
      <c r="DC191" s="166"/>
      <c r="DD191" s="171"/>
      <c r="DE191" s="171"/>
      <c r="DF191" s="171"/>
      <c r="DG191" s="171"/>
      <c r="DH191" s="171"/>
      <c r="DI191" s="171"/>
      <c r="DJ191" s="171"/>
      <c r="DK191" s="79" t="s">
        <v>663</v>
      </c>
      <c r="DL191" s="128">
        <f>ROUNDUP(VLOOKUP($F191,Activities!$A$9:$I$180,3,FALSE)/$AI191,2)</f>
        <v>0.4</v>
      </c>
      <c r="DM191" s="128">
        <f>ROUNDUP(VLOOKUP($F191,Activities!$A$9:$I$180,4,FALSE)/$AI191,2)</f>
        <v>0.42</v>
      </c>
      <c r="DN191" s="128">
        <f>ROUNDUP(VLOOKUP($F191,Activities!$A$9:$I$180,5,FALSE)/$AI191,2)</f>
        <v>0.43</v>
      </c>
      <c r="DO191" s="128">
        <f>ROUNDUP(VLOOKUP($F191,Activities!$A$9:$I$180,6,FALSE)/$AI191,2)</f>
        <v>0.44</v>
      </c>
      <c r="DP191" s="128">
        <f>ROUNDUP(VLOOKUP($F191,Activities!$A$9:$I$180,7,FALSE)/$AI191,2)</f>
        <v>0.44</v>
      </c>
      <c r="DQ191" s="128">
        <f>ROUNDUP(VLOOKUP($F191,Activities!$A$9:$I$180,8,FALSE)/$AI191,2)</f>
        <v>0.44</v>
      </c>
      <c r="DR191" s="128">
        <f>ROUNDUP(VLOOKUP($F191,Activities!$A$9:$I$180,9,FALSE)/$AI191,2)</f>
        <v>0.44</v>
      </c>
      <c r="DS191" s="218"/>
      <c r="DT191" s="360"/>
      <c r="DU191" s="360"/>
      <c r="DV191" s="360"/>
      <c r="DW191" s="360"/>
      <c r="DX191" s="360"/>
      <c r="DY191" s="360"/>
      <c r="DZ191" s="360"/>
      <c r="EA191" s="360"/>
      <c r="EB191" s="360"/>
      <c r="EC191" s="360"/>
      <c r="ED191" s="360"/>
      <c r="EE191" s="360"/>
      <c r="EF191" s="360"/>
      <c r="EG191" s="360"/>
      <c r="EH191" s="360"/>
      <c r="EI191" s="360"/>
      <c r="EJ191" s="360"/>
      <c r="EK191" s="360"/>
      <c r="EL191" s="360"/>
      <c r="EM191" s="360"/>
      <c r="EN191" s="360"/>
      <c r="EO191" s="360"/>
      <c r="EP191" s="360"/>
      <c r="EQ191" s="360"/>
    </row>
    <row r="192" spans="1:147" x14ac:dyDescent="0.35">
      <c r="A192" s="5" t="s">
        <v>1138</v>
      </c>
      <c r="B192" s="5" t="s">
        <v>734</v>
      </c>
      <c r="C192" s="5" t="s">
        <v>655</v>
      </c>
      <c r="D192" s="5" t="s">
        <v>1029</v>
      </c>
      <c r="E192" s="5" t="s">
        <v>1133</v>
      </c>
      <c r="F192" s="327" t="s">
        <v>499</v>
      </c>
      <c r="G192" s="47" t="s">
        <v>1139</v>
      </c>
      <c r="H192" s="47" t="s">
        <v>659</v>
      </c>
      <c r="I192" s="329">
        <v>0</v>
      </c>
      <c r="J192" s="329">
        <v>0</v>
      </c>
      <c r="K192" s="329">
        <v>0</v>
      </c>
      <c r="L192" s="329">
        <v>0</v>
      </c>
      <c r="M192" s="329">
        <v>0</v>
      </c>
      <c r="N192" s="329">
        <v>0</v>
      </c>
      <c r="O192" s="329">
        <v>0</v>
      </c>
      <c r="P192" s="330"/>
      <c r="Q192" s="329">
        <v>0</v>
      </c>
      <c r="R192" s="329">
        <v>0</v>
      </c>
      <c r="S192" s="329">
        <v>0</v>
      </c>
      <c r="T192" s="329">
        <v>0</v>
      </c>
      <c r="U192" s="329">
        <v>0</v>
      </c>
      <c r="V192" s="329">
        <v>0</v>
      </c>
      <c r="W192" s="329">
        <v>0</v>
      </c>
      <c r="X192" s="329">
        <v>0</v>
      </c>
      <c r="Y192" s="329">
        <v>0</v>
      </c>
      <c r="Z192" s="329">
        <v>0</v>
      </c>
      <c r="AA192" s="329">
        <v>0</v>
      </c>
      <c r="AB192" s="329">
        <v>0</v>
      </c>
      <c r="AC192" s="329">
        <v>0</v>
      </c>
      <c r="AD192" s="329">
        <v>0</v>
      </c>
      <c r="AE192" s="186">
        <v>0.08</v>
      </c>
      <c r="AF192" s="330">
        <v>0</v>
      </c>
      <c r="AG192" s="330">
        <v>30</v>
      </c>
      <c r="AH192" s="330">
        <v>30</v>
      </c>
      <c r="AI192" s="331">
        <v>1</v>
      </c>
      <c r="AJ192" s="331" t="s">
        <v>660</v>
      </c>
      <c r="AK192" s="331" t="s">
        <v>745</v>
      </c>
      <c r="AL192" s="331"/>
      <c r="AM192" s="332"/>
      <c r="AN192" s="332"/>
      <c r="AO192" s="332"/>
      <c r="AP192" s="332"/>
      <c r="AQ192" s="332"/>
      <c r="AR192" s="332"/>
      <c r="AS192" s="333"/>
      <c r="AT192" s="333"/>
      <c r="AU192" s="333"/>
      <c r="AV192" s="334"/>
      <c r="AW192" s="334"/>
      <c r="AX192" s="334"/>
      <c r="AY192" s="335" t="s">
        <v>662</v>
      </c>
      <c r="AZ192" s="335"/>
      <c r="BA192" s="336"/>
      <c r="BB192" s="337"/>
      <c r="BC192" s="337"/>
      <c r="BD192" s="337"/>
      <c r="BE192" s="337"/>
      <c r="BF192" s="337"/>
      <c r="BG192" s="337"/>
      <c r="BH192" s="338"/>
      <c r="BI192" s="338"/>
      <c r="BJ192" s="338"/>
      <c r="BK192" s="338"/>
      <c r="BL192" s="339"/>
      <c r="BM192" s="340"/>
      <c r="BN192" s="341">
        <v>0</v>
      </c>
      <c r="BO192" s="330"/>
      <c r="BP192" s="330"/>
      <c r="BQ192" s="330"/>
      <c r="BR192" s="330"/>
      <c r="BS192" s="330"/>
      <c r="BT192" s="330"/>
      <c r="BU192" s="335">
        <v>0</v>
      </c>
      <c r="BV192" s="335"/>
      <c r="BW192" s="335"/>
      <c r="BX192" s="335"/>
      <c r="BY192" s="335"/>
      <c r="BZ192" s="335"/>
      <c r="CA192" s="335"/>
      <c r="CB192" s="342"/>
      <c r="CC192" s="342"/>
      <c r="CD192" s="342"/>
      <c r="CE192" s="342"/>
      <c r="CF192" s="342"/>
      <c r="CG192" s="342"/>
      <c r="CH192" s="342"/>
      <c r="CI192" s="335"/>
      <c r="CJ192" s="335"/>
      <c r="CK192" s="335"/>
      <c r="CL192" s="335"/>
      <c r="CM192" s="335"/>
      <c r="CN192" s="335"/>
      <c r="CO192" s="335"/>
      <c r="CP192" s="343"/>
      <c r="CQ192" s="343"/>
      <c r="CR192" s="343"/>
      <c r="CS192" s="343"/>
      <c r="CT192" s="343"/>
      <c r="CU192" s="343"/>
      <c r="CV192" s="343"/>
      <c r="CW192" s="344"/>
      <c r="CX192" s="345"/>
      <c r="CY192" s="345"/>
      <c r="CZ192" s="345"/>
      <c r="DA192" s="345"/>
      <c r="DB192" s="345"/>
      <c r="DC192" s="345"/>
      <c r="DD192" s="345"/>
      <c r="DE192" s="345"/>
      <c r="DF192" s="345"/>
      <c r="DG192" s="345"/>
      <c r="DH192" s="345"/>
      <c r="DI192" s="345"/>
      <c r="DJ192" s="345"/>
      <c r="DK192" s="289" t="s">
        <v>452</v>
      </c>
      <c r="DL192" s="344">
        <v>0</v>
      </c>
      <c r="DM192" s="344">
        <v>0</v>
      </c>
      <c r="DN192" s="344">
        <v>0</v>
      </c>
      <c r="DO192" s="344">
        <v>0</v>
      </c>
      <c r="DP192" s="344">
        <v>0</v>
      </c>
      <c r="DQ192" s="344">
        <v>0</v>
      </c>
      <c r="DR192" s="344">
        <v>0</v>
      </c>
      <c r="DS192" s="346"/>
      <c r="DT192" s="360"/>
      <c r="DU192" s="360"/>
      <c r="DV192" s="360"/>
      <c r="DW192" s="360"/>
      <c r="DX192" s="360"/>
      <c r="DY192" s="360"/>
      <c r="DZ192" s="360"/>
      <c r="EA192" s="360"/>
      <c r="EB192" s="360"/>
      <c r="EC192" s="360"/>
      <c r="ED192" s="360"/>
      <c r="EE192" s="360"/>
      <c r="EF192" s="360"/>
      <c r="EG192" s="360"/>
      <c r="EH192" s="360"/>
      <c r="EI192" s="360"/>
      <c r="EJ192" s="360"/>
      <c r="EK192" s="360"/>
      <c r="EL192" s="360"/>
      <c r="EM192" s="360"/>
      <c r="EN192" s="360"/>
      <c r="EO192" s="360"/>
      <c r="EP192" s="360"/>
      <c r="EQ192" s="360"/>
    </row>
    <row r="193" spans="1:244" x14ac:dyDescent="0.35">
      <c r="A193" s="6" t="s">
        <v>1140</v>
      </c>
      <c r="B193" s="6" t="s">
        <v>1141</v>
      </c>
      <c r="C193" s="6" t="s">
        <v>655</v>
      </c>
      <c r="D193" s="6" t="s">
        <v>1029</v>
      </c>
      <c r="E193" s="6" t="s">
        <v>1142</v>
      </c>
      <c r="F193" s="6" t="s">
        <v>392</v>
      </c>
      <c r="G193" s="48" t="s">
        <v>1143</v>
      </c>
      <c r="H193" s="48" t="s">
        <v>1118</v>
      </c>
      <c r="I193" s="102">
        <v>9.39</v>
      </c>
      <c r="J193" s="102">
        <v>10.39</v>
      </c>
      <c r="K193" s="102">
        <v>11.39</v>
      </c>
      <c r="L193" s="102">
        <v>12.39</v>
      </c>
      <c r="M193" s="102">
        <v>13.39</v>
      </c>
      <c r="N193" s="102">
        <v>14.39</v>
      </c>
      <c r="O193" s="102">
        <v>15.39</v>
      </c>
      <c r="P193" s="269">
        <v>0</v>
      </c>
      <c r="Q193" s="253">
        <f>0.2*I193</f>
        <v>1.8780000000000001</v>
      </c>
      <c r="R193" s="253">
        <f t="shared" ref="R193:W200" si="206">0.2*J193</f>
        <v>2.0780000000000003</v>
      </c>
      <c r="S193" s="253">
        <f t="shared" si="206"/>
        <v>2.278</v>
      </c>
      <c r="T193" s="253">
        <f t="shared" si="206"/>
        <v>2.4780000000000002</v>
      </c>
      <c r="U193" s="253">
        <f t="shared" si="206"/>
        <v>2.6780000000000004</v>
      </c>
      <c r="V193" s="253">
        <f t="shared" si="206"/>
        <v>2.8780000000000001</v>
      </c>
      <c r="W193" s="253">
        <f t="shared" si="206"/>
        <v>3.0780000000000003</v>
      </c>
      <c r="X193" s="102">
        <v>0</v>
      </c>
      <c r="Y193" s="102">
        <v>0</v>
      </c>
      <c r="Z193" s="102">
        <v>0</v>
      </c>
      <c r="AA193" s="102">
        <v>0</v>
      </c>
      <c r="AB193" s="102">
        <v>0</v>
      </c>
      <c r="AC193" s="102">
        <v>0</v>
      </c>
      <c r="AD193" s="102">
        <v>0</v>
      </c>
      <c r="AE193" s="186">
        <v>0.08</v>
      </c>
      <c r="AF193" s="94">
        <v>0</v>
      </c>
      <c r="AG193" s="94">
        <v>30</v>
      </c>
      <c r="AH193" s="94">
        <v>30</v>
      </c>
      <c r="AI193" s="17">
        <v>0.19400000000000001</v>
      </c>
      <c r="AJ193" s="17" t="s">
        <v>660</v>
      </c>
      <c r="AK193" s="17" t="s">
        <v>745</v>
      </c>
      <c r="AL193" s="17"/>
      <c r="AM193" s="61"/>
      <c r="AN193" s="61"/>
      <c r="AO193" s="61"/>
      <c r="AP193" s="61"/>
      <c r="AQ193" s="61"/>
      <c r="AR193" s="61"/>
      <c r="AS193" s="64"/>
      <c r="AT193" s="64"/>
      <c r="AU193" s="64"/>
      <c r="AV193" s="132"/>
      <c r="AW193" s="132"/>
      <c r="AX193" s="132"/>
      <c r="AY193" s="28" t="s">
        <v>662</v>
      </c>
      <c r="AZ193" s="28"/>
      <c r="BA193" s="28"/>
      <c r="BB193" s="28"/>
      <c r="BC193" s="28"/>
      <c r="BD193" s="28"/>
      <c r="BE193" s="28"/>
      <c r="BF193" s="28"/>
      <c r="BG193" s="28"/>
      <c r="BH193" s="106"/>
      <c r="BI193" s="106"/>
      <c r="BJ193" s="106"/>
      <c r="BK193" s="106"/>
      <c r="BL193" s="137"/>
      <c r="BM193" s="123"/>
      <c r="BN193" s="139">
        <f>CB193</f>
        <v>567.02</v>
      </c>
      <c r="BO193" s="94">
        <v>120</v>
      </c>
      <c r="BP193" s="94">
        <v>120</v>
      </c>
      <c r="BQ193" s="94">
        <v>90</v>
      </c>
      <c r="BR193" s="94">
        <v>90</v>
      </c>
      <c r="BS193" s="94">
        <v>60</v>
      </c>
      <c r="BT193" s="94">
        <v>50</v>
      </c>
      <c r="BU193" s="28">
        <f t="shared" ref="BU193:BU224" si="207">IF(BL193=1,BN193,0)</f>
        <v>0</v>
      </c>
      <c r="BV193" s="28"/>
      <c r="BW193" s="28"/>
      <c r="BX193" s="28"/>
      <c r="BY193" s="28"/>
      <c r="BZ193" s="28"/>
      <c r="CA193" s="28"/>
      <c r="CB193" s="99">
        <f t="shared" ref="CB193:CH197" si="208">DL193</f>
        <v>567.02</v>
      </c>
      <c r="CC193" s="99">
        <f t="shared" si="208"/>
        <v>567.02</v>
      </c>
      <c r="CD193" s="99">
        <f t="shared" si="208"/>
        <v>567.02</v>
      </c>
      <c r="CE193" s="99">
        <f t="shared" si="208"/>
        <v>567.02</v>
      </c>
      <c r="CF193" s="389">
        <f>(CE193+CH193)/2</f>
        <v>296.15454599999998</v>
      </c>
      <c r="CG193" s="389">
        <f>DQ193*0.5</f>
        <v>283.51</v>
      </c>
      <c r="CH193" s="389">
        <f>(CE193-(DR193-(DR193*0.01))*(0.92))/2</f>
        <v>25.289091999999982</v>
      </c>
      <c r="CI193" s="175"/>
      <c r="CJ193" s="175"/>
      <c r="CK193" s="175"/>
      <c r="CL193" s="175"/>
      <c r="CM193" s="175"/>
      <c r="CN193" s="175"/>
      <c r="CO193" s="175"/>
      <c r="CP193" s="176"/>
      <c r="CQ193" s="176"/>
      <c r="CR193" s="176"/>
      <c r="CS193" s="176"/>
      <c r="CT193" s="176"/>
      <c r="CU193" s="176"/>
      <c r="CV193" s="176"/>
      <c r="CW193" s="167"/>
      <c r="CX193" s="168"/>
      <c r="CY193" s="168"/>
      <c r="CZ193" s="168"/>
      <c r="DA193" s="168"/>
      <c r="DB193" s="168"/>
      <c r="DC193" s="168"/>
      <c r="DD193" s="172"/>
      <c r="DE193" s="172"/>
      <c r="DF193" s="172"/>
      <c r="DG193" s="172"/>
      <c r="DH193" s="172"/>
      <c r="DI193" s="172"/>
      <c r="DJ193" s="172"/>
      <c r="DK193" s="80" t="s">
        <v>663</v>
      </c>
      <c r="DL193" s="129">
        <f>ROUNDUP(VLOOKUP($F193,Activities!$A$9:$I$180,3,FALSE)/$AI193,2)</f>
        <v>567.02</v>
      </c>
      <c r="DM193" s="129">
        <f>ROUNDUP(VLOOKUP($F193,Activities!$A$9:$I$180,4,FALSE)/$AI193,2)</f>
        <v>567.02</v>
      </c>
      <c r="DN193" s="129">
        <f>ROUNDUP(VLOOKUP($F193,Activities!$A$9:$I$180,5,FALSE)/$AI193,2)</f>
        <v>567.02</v>
      </c>
      <c r="DO193" s="129">
        <f>ROUNDUP(VLOOKUP($F193,Activities!$A$9:$I$180,6,FALSE)/$AI193,2)</f>
        <v>567.02</v>
      </c>
      <c r="DP193" s="129">
        <f>ROUNDUP(VLOOKUP($F193,Activities!$A$9:$I$180,7,FALSE)/$AI193,2)</f>
        <v>567.02</v>
      </c>
      <c r="DQ193" s="129">
        <f>ROUNDUP(VLOOKUP($F193,Activities!$A$9:$I$180,8,FALSE)/$AI193,2)</f>
        <v>567.02</v>
      </c>
      <c r="DR193" s="129">
        <f>ROUNDUP(VLOOKUP($F193,Activities!$A$9:$I$180,9,FALSE)/$AI193,2)</f>
        <v>567.02</v>
      </c>
      <c r="DS193" s="218"/>
      <c r="DT193" s="360"/>
      <c r="DU193" s="360"/>
      <c r="DV193" s="360"/>
      <c r="DW193" s="360"/>
      <c r="DX193" s="360"/>
      <c r="DY193" s="360"/>
      <c r="DZ193" s="360"/>
      <c r="EA193" s="360"/>
      <c r="EB193" s="360"/>
      <c r="EC193" s="360"/>
      <c r="ED193" s="360"/>
      <c r="EE193" s="360"/>
      <c r="EF193" s="360"/>
      <c r="EG193" s="360"/>
      <c r="EH193" s="360"/>
      <c r="EI193" s="360"/>
      <c r="EJ193" s="360"/>
      <c r="EK193" s="360"/>
      <c r="EL193" s="360"/>
      <c r="EM193" s="360"/>
      <c r="EN193" s="360"/>
      <c r="EO193" s="360"/>
      <c r="EP193" s="360"/>
      <c r="EQ193" s="360"/>
    </row>
    <row r="194" spans="1:244" x14ac:dyDescent="0.35">
      <c r="A194" s="5" t="s">
        <v>1144</v>
      </c>
      <c r="B194" s="5" t="s">
        <v>1141</v>
      </c>
      <c r="C194" s="5" t="s">
        <v>655</v>
      </c>
      <c r="D194" s="5" t="s">
        <v>1029</v>
      </c>
      <c r="E194" s="5" t="s">
        <v>1142</v>
      </c>
      <c r="F194" s="5" t="s">
        <v>392</v>
      </c>
      <c r="G194" s="47" t="s">
        <v>1145</v>
      </c>
      <c r="H194" s="47" t="s">
        <v>1118</v>
      </c>
      <c r="I194" s="101">
        <f>I193*1.05</f>
        <v>9.8595000000000006</v>
      </c>
      <c r="J194" s="101">
        <f t="shared" ref="J194:O194" si="209">J193*1.05</f>
        <v>10.909500000000001</v>
      </c>
      <c r="K194" s="101">
        <f t="shared" si="209"/>
        <v>11.9595</v>
      </c>
      <c r="L194" s="101">
        <f t="shared" si="209"/>
        <v>13.009500000000001</v>
      </c>
      <c r="M194" s="101">
        <f t="shared" si="209"/>
        <v>14.059500000000002</v>
      </c>
      <c r="N194" s="101">
        <f t="shared" si="209"/>
        <v>15.109500000000001</v>
      </c>
      <c r="O194" s="101">
        <f t="shared" si="209"/>
        <v>16.159500000000001</v>
      </c>
      <c r="P194" s="269">
        <v>0</v>
      </c>
      <c r="Q194" s="253">
        <f t="shared" ref="Q194:Q200" si="210">0.2*I194</f>
        <v>1.9719000000000002</v>
      </c>
      <c r="R194" s="253">
        <f t="shared" si="206"/>
        <v>2.1819000000000002</v>
      </c>
      <c r="S194" s="253">
        <f t="shared" si="206"/>
        <v>2.3919000000000001</v>
      </c>
      <c r="T194" s="253">
        <f t="shared" si="206"/>
        <v>2.6019000000000005</v>
      </c>
      <c r="U194" s="253">
        <f t="shared" si="206"/>
        <v>2.8119000000000005</v>
      </c>
      <c r="V194" s="253">
        <f t="shared" si="206"/>
        <v>3.0219000000000005</v>
      </c>
      <c r="W194" s="253">
        <f t="shared" si="206"/>
        <v>3.2319000000000004</v>
      </c>
      <c r="X194" s="101">
        <v>0</v>
      </c>
      <c r="Y194" s="101">
        <v>0</v>
      </c>
      <c r="Z194" s="101">
        <v>0</v>
      </c>
      <c r="AA194" s="101">
        <v>0</v>
      </c>
      <c r="AB194" s="101">
        <v>0</v>
      </c>
      <c r="AC194" s="101">
        <v>0</v>
      </c>
      <c r="AD194" s="101">
        <v>0</v>
      </c>
      <c r="AE194" s="186">
        <v>0.08</v>
      </c>
      <c r="AF194" s="93">
        <v>0</v>
      </c>
      <c r="AG194" s="93">
        <v>30</v>
      </c>
      <c r="AH194" s="93">
        <v>30</v>
      </c>
      <c r="AI194" s="16">
        <v>0.19400000000000001</v>
      </c>
      <c r="AJ194" s="16" t="s">
        <v>660</v>
      </c>
      <c r="AK194" s="16" t="s">
        <v>745</v>
      </c>
      <c r="AL194" s="16"/>
      <c r="AM194" s="60"/>
      <c r="AN194" s="60"/>
      <c r="AO194" s="60"/>
      <c r="AP194" s="60"/>
      <c r="AQ194" s="60"/>
      <c r="AR194" s="60"/>
      <c r="AS194" s="63"/>
      <c r="AT194" s="63"/>
      <c r="AU194" s="63"/>
      <c r="AV194" s="131"/>
      <c r="AW194" s="131"/>
      <c r="AX194" s="131"/>
      <c r="AY194" s="27" t="s">
        <v>662</v>
      </c>
      <c r="AZ194" s="27"/>
      <c r="BA194" s="27"/>
      <c r="BB194" s="30"/>
      <c r="BC194" s="30"/>
      <c r="BD194" s="30"/>
      <c r="BE194" s="30"/>
      <c r="BF194" s="30"/>
      <c r="BG194" s="30"/>
      <c r="BH194" s="107"/>
      <c r="BI194" s="107"/>
      <c r="BJ194" s="107"/>
      <c r="BK194" s="107"/>
      <c r="BL194" s="136"/>
      <c r="BM194" s="122"/>
      <c r="BN194" s="138">
        <v>0</v>
      </c>
      <c r="BO194" s="93"/>
      <c r="BP194" s="93"/>
      <c r="BQ194" s="93"/>
      <c r="BR194" s="93"/>
      <c r="BS194" s="93"/>
      <c r="BT194" s="93"/>
      <c r="BU194" s="27">
        <f t="shared" si="207"/>
        <v>0</v>
      </c>
      <c r="BV194" s="27"/>
      <c r="BW194" s="27"/>
      <c r="BX194" s="27"/>
      <c r="BY194" s="27"/>
      <c r="BZ194" s="27"/>
      <c r="CA194" s="27"/>
      <c r="CB194" s="97"/>
      <c r="CC194" s="185">
        <f t="shared" si="208"/>
        <v>567.02</v>
      </c>
      <c r="CD194" s="97">
        <f t="shared" si="208"/>
        <v>567.02</v>
      </c>
      <c r="CE194" s="97">
        <f t="shared" si="208"/>
        <v>567.02</v>
      </c>
      <c r="CF194" s="97">
        <f t="shared" si="208"/>
        <v>567.02</v>
      </c>
      <c r="CG194" s="97">
        <f t="shared" si="208"/>
        <v>567.02</v>
      </c>
      <c r="CH194" s="97">
        <f t="shared" si="208"/>
        <v>567.02</v>
      </c>
      <c r="CI194" s="173"/>
      <c r="CJ194" s="173"/>
      <c r="CK194" s="173"/>
      <c r="CL194" s="173"/>
      <c r="CM194" s="173"/>
      <c r="CN194" s="173"/>
      <c r="CO194" s="173"/>
      <c r="CP194" s="174"/>
      <c r="CQ194" s="174"/>
      <c r="CR194" s="174"/>
      <c r="CS194" s="174"/>
      <c r="CT194" s="174"/>
      <c r="CU194" s="174"/>
      <c r="CV194" s="174"/>
      <c r="CW194" s="165"/>
      <c r="CX194" s="166"/>
      <c r="CY194" s="166"/>
      <c r="CZ194" s="166"/>
      <c r="DA194" s="166"/>
      <c r="DB194" s="166"/>
      <c r="DC194" s="166"/>
      <c r="DD194" s="171"/>
      <c r="DE194" s="171"/>
      <c r="DF194" s="171"/>
      <c r="DG194" s="171"/>
      <c r="DH194" s="171"/>
      <c r="DI194" s="171"/>
      <c r="DJ194" s="171"/>
      <c r="DK194" s="79" t="s">
        <v>663</v>
      </c>
      <c r="DL194" s="128">
        <f>ROUNDUP(VLOOKUP($F194,Activities!$A$9:$I$180,3,FALSE)/$AI194,2)</f>
        <v>567.02</v>
      </c>
      <c r="DM194" s="128">
        <f>ROUNDUP(VLOOKUP($F194,Activities!$A$9:$I$180,4,FALSE)/$AI194,2)</f>
        <v>567.02</v>
      </c>
      <c r="DN194" s="128">
        <f>ROUNDUP(VLOOKUP($F194,Activities!$A$9:$I$180,5,FALSE)/$AI194,2)</f>
        <v>567.02</v>
      </c>
      <c r="DO194" s="128">
        <f>ROUNDUP(VLOOKUP($F194,Activities!$A$9:$I$180,6,FALSE)/$AI194,2)</f>
        <v>567.02</v>
      </c>
      <c r="DP194" s="128">
        <f>ROUNDUP(VLOOKUP($F194,Activities!$A$9:$I$180,7,FALSE)/$AI194,2)</f>
        <v>567.02</v>
      </c>
      <c r="DQ194" s="128">
        <f>ROUNDUP(VLOOKUP($F194,Activities!$A$9:$I$180,8,FALSE)/$AI194,2)</f>
        <v>567.02</v>
      </c>
      <c r="DR194" s="128">
        <f>ROUNDUP(VLOOKUP($F194,Activities!$A$9:$I$180,9,FALSE)/$AI194,2)</f>
        <v>567.02</v>
      </c>
      <c r="DS194" s="218"/>
      <c r="DT194" s="360"/>
      <c r="DU194" s="360"/>
      <c r="DV194" s="360"/>
      <c r="DW194" s="360"/>
      <c r="DX194" s="360"/>
      <c r="DY194" s="360"/>
      <c r="DZ194" s="360"/>
      <c r="EA194" s="360"/>
      <c r="EB194" s="360"/>
      <c r="EC194" s="360"/>
      <c r="ED194" s="360"/>
      <c r="EE194" s="360"/>
      <c r="EF194" s="360"/>
      <c r="EG194" s="360"/>
      <c r="EH194" s="360"/>
      <c r="EI194" s="360"/>
      <c r="EJ194" s="360"/>
      <c r="EK194" s="360"/>
      <c r="EL194" s="360"/>
      <c r="EM194" s="360"/>
      <c r="EN194" s="360"/>
      <c r="EO194" s="360"/>
      <c r="EP194" s="360"/>
      <c r="EQ194" s="360"/>
    </row>
    <row r="195" spans="1:244" x14ac:dyDescent="0.35">
      <c r="A195" s="6" t="s">
        <v>1146</v>
      </c>
      <c r="B195" s="6" t="s">
        <v>1141</v>
      </c>
      <c r="C195" s="6" t="s">
        <v>655</v>
      </c>
      <c r="D195" s="6" t="s">
        <v>1029</v>
      </c>
      <c r="E195" s="6" t="s">
        <v>1142</v>
      </c>
      <c r="F195" s="6" t="s">
        <v>392</v>
      </c>
      <c r="G195" s="48" t="s">
        <v>1147</v>
      </c>
      <c r="H195" s="48" t="s">
        <v>1118</v>
      </c>
      <c r="I195" s="102">
        <v>11.78</v>
      </c>
      <c r="J195" s="102">
        <v>12.78</v>
      </c>
      <c r="K195" s="102">
        <v>13.78</v>
      </c>
      <c r="L195" s="102">
        <v>14.78</v>
      </c>
      <c r="M195" s="102">
        <v>15.78</v>
      </c>
      <c r="N195" s="102">
        <v>16.78</v>
      </c>
      <c r="O195" s="102">
        <v>17.78</v>
      </c>
      <c r="P195" s="269">
        <v>0</v>
      </c>
      <c r="Q195" s="253">
        <f t="shared" si="210"/>
        <v>2.3559999999999999</v>
      </c>
      <c r="R195" s="253">
        <f t="shared" si="206"/>
        <v>2.556</v>
      </c>
      <c r="S195" s="253">
        <f t="shared" si="206"/>
        <v>2.7560000000000002</v>
      </c>
      <c r="T195" s="253">
        <f t="shared" si="206"/>
        <v>2.956</v>
      </c>
      <c r="U195" s="253">
        <f t="shared" si="206"/>
        <v>3.1560000000000001</v>
      </c>
      <c r="V195" s="253">
        <f t="shared" si="206"/>
        <v>3.3560000000000003</v>
      </c>
      <c r="W195" s="253">
        <f t="shared" si="206"/>
        <v>3.5560000000000005</v>
      </c>
      <c r="X195" s="102">
        <v>0</v>
      </c>
      <c r="Y195" s="102">
        <v>0</v>
      </c>
      <c r="Z195" s="102">
        <v>0</v>
      </c>
      <c r="AA195" s="102">
        <v>0</v>
      </c>
      <c r="AB195" s="102">
        <v>0</v>
      </c>
      <c r="AC195" s="102">
        <v>0</v>
      </c>
      <c r="AD195" s="102">
        <v>0</v>
      </c>
      <c r="AE195" s="186">
        <v>0.08</v>
      </c>
      <c r="AF195" s="94">
        <v>0</v>
      </c>
      <c r="AG195" s="94">
        <v>30</v>
      </c>
      <c r="AH195" s="94">
        <v>30</v>
      </c>
      <c r="AI195" s="17">
        <v>0.19400000000000001</v>
      </c>
      <c r="AJ195" s="17" t="s">
        <v>660</v>
      </c>
      <c r="AK195" s="17" t="s">
        <v>745</v>
      </c>
      <c r="AL195" s="17"/>
      <c r="AM195" s="61"/>
      <c r="AN195" s="61"/>
      <c r="AO195" s="61"/>
      <c r="AP195" s="61"/>
      <c r="AQ195" s="61"/>
      <c r="AR195" s="61"/>
      <c r="AS195" s="64"/>
      <c r="AT195" s="64"/>
      <c r="AU195" s="64"/>
      <c r="AV195" s="132"/>
      <c r="AW195" s="132"/>
      <c r="AX195" s="132"/>
      <c r="AY195" s="28" t="s">
        <v>662</v>
      </c>
      <c r="AZ195" s="28"/>
      <c r="BA195" s="28"/>
      <c r="BB195" s="28"/>
      <c r="BC195" s="28"/>
      <c r="BD195" s="28"/>
      <c r="BE195" s="28"/>
      <c r="BF195" s="28"/>
      <c r="BG195" s="28"/>
      <c r="BH195" s="106"/>
      <c r="BI195" s="106"/>
      <c r="BJ195" s="106"/>
      <c r="BK195" s="106"/>
      <c r="BL195" s="137"/>
      <c r="BM195" s="123"/>
      <c r="BN195" s="139">
        <v>0</v>
      </c>
      <c r="BO195" s="94"/>
      <c r="BP195" s="94"/>
      <c r="BQ195" s="94"/>
      <c r="BR195" s="94"/>
      <c r="BS195" s="94"/>
      <c r="BT195" s="94"/>
      <c r="BU195" s="28">
        <f t="shared" si="207"/>
        <v>0</v>
      </c>
      <c r="BV195" s="28"/>
      <c r="BW195" s="28"/>
      <c r="BX195" s="28"/>
      <c r="BY195" s="28"/>
      <c r="BZ195" s="28"/>
      <c r="CA195" s="28"/>
      <c r="CB195" s="99"/>
      <c r="CC195" s="185">
        <f t="shared" si="208"/>
        <v>567.02</v>
      </c>
      <c r="CD195" s="185">
        <f t="shared" ref="CD195" si="211">DN195</f>
        <v>567.02</v>
      </c>
      <c r="CE195" s="185">
        <f t="shared" ref="CE195" si="212">DO195</f>
        <v>567.02</v>
      </c>
      <c r="CF195" s="185">
        <f t="shared" si="208"/>
        <v>567.02</v>
      </c>
      <c r="CG195" s="185">
        <f t="shared" si="208"/>
        <v>567.02</v>
      </c>
      <c r="CH195" s="389">
        <f>(CE195-(DR195-(DR195*0.01))*(0.92))/2</f>
        <v>25.289091999999982</v>
      </c>
      <c r="CI195" s="175"/>
      <c r="CJ195" s="175"/>
      <c r="CK195" s="175"/>
      <c r="CL195" s="175"/>
      <c r="CM195" s="175"/>
      <c r="CN195" s="175"/>
      <c r="CO195" s="175"/>
      <c r="CP195" s="176"/>
      <c r="CQ195" s="176"/>
      <c r="CR195" s="176"/>
      <c r="CS195" s="176"/>
      <c r="CT195" s="176"/>
      <c r="CU195" s="176"/>
      <c r="CV195" s="176"/>
      <c r="CW195" s="167"/>
      <c r="CX195" s="168"/>
      <c r="CY195" s="168"/>
      <c r="CZ195" s="168"/>
      <c r="DA195" s="168"/>
      <c r="DB195" s="168"/>
      <c r="DC195" s="168"/>
      <c r="DD195" s="172"/>
      <c r="DE195" s="172"/>
      <c r="DF195" s="172"/>
      <c r="DG195" s="172"/>
      <c r="DH195" s="172"/>
      <c r="DI195" s="172"/>
      <c r="DJ195" s="172"/>
      <c r="DK195" s="80" t="s">
        <v>663</v>
      </c>
      <c r="DL195" s="129">
        <f>ROUNDUP(VLOOKUP($F195,Activities!$A$9:$I$180,3,FALSE)/$AI195,2)</f>
        <v>567.02</v>
      </c>
      <c r="DM195" s="129">
        <f>ROUNDUP(VLOOKUP($F195,Activities!$A$9:$I$180,4,FALSE)/$AI195,2)</f>
        <v>567.02</v>
      </c>
      <c r="DN195" s="129">
        <f>ROUNDUP(VLOOKUP($F195,Activities!$A$9:$I$180,5,FALSE)/$AI195,2)</f>
        <v>567.02</v>
      </c>
      <c r="DO195" s="129">
        <f>ROUNDUP(VLOOKUP($F195,Activities!$A$9:$I$180,6,FALSE)/$AI195,2)</f>
        <v>567.02</v>
      </c>
      <c r="DP195" s="129">
        <f>ROUNDUP(VLOOKUP($F195,Activities!$A$9:$I$180,7,FALSE)/$AI195,2)</f>
        <v>567.02</v>
      </c>
      <c r="DQ195" s="129">
        <f>ROUNDUP(VLOOKUP($F195,Activities!$A$9:$I$180,8,FALSE)/$AI195,2)</f>
        <v>567.02</v>
      </c>
      <c r="DR195" s="129">
        <f>ROUNDUP(VLOOKUP($F195,Activities!$A$9:$I$180,9,FALSE)/$AI195,2)</f>
        <v>567.02</v>
      </c>
      <c r="DS195" s="218"/>
      <c r="DT195" s="360"/>
      <c r="DU195" s="360"/>
      <c r="DV195" s="360"/>
      <c r="DW195" s="360"/>
      <c r="DX195" s="360"/>
      <c r="DY195" s="360"/>
      <c r="DZ195" s="360"/>
      <c r="EA195" s="360"/>
      <c r="EB195" s="360"/>
      <c r="EC195" s="360"/>
      <c r="ED195" s="360"/>
      <c r="EE195" s="360"/>
      <c r="EF195" s="360"/>
      <c r="EG195" s="360"/>
      <c r="EH195" s="360"/>
      <c r="EI195" s="360"/>
      <c r="EJ195" s="360"/>
      <c r="EK195" s="360"/>
      <c r="EL195" s="360"/>
      <c r="EM195" s="360"/>
      <c r="EN195" s="360"/>
      <c r="EO195" s="360"/>
      <c r="EP195" s="360"/>
      <c r="EQ195" s="360"/>
    </row>
    <row r="196" spans="1:244" x14ac:dyDescent="0.35">
      <c r="A196" s="5" t="s">
        <v>1148</v>
      </c>
      <c r="B196" s="5" t="s">
        <v>1141</v>
      </c>
      <c r="C196" s="5" t="s">
        <v>655</v>
      </c>
      <c r="D196" s="5" t="s">
        <v>1029</v>
      </c>
      <c r="E196" s="5" t="s">
        <v>1142</v>
      </c>
      <c r="F196" s="5" t="s">
        <v>392</v>
      </c>
      <c r="G196" s="47" t="s">
        <v>1149</v>
      </c>
      <c r="H196" s="47" t="s">
        <v>1118</v>
      </c>
      <c r="I196" s="101">
        <f>I195*1.05</f>
        <v>12.369</v>
      </c>
      <c r="J196" s="101">
        <f t="shared" ref="J196:O196" si="213">J195*1.05</f>
        <v>13.419</v>
      </c>
      <c r="K196" s="101">
        <f t="shared" si="213"/>
        <v>14.468999999999999</v>
      </c>
      <c r="L196" s="101">
        <f t="shared" si="213"/>
        <v>15.519</v>
      </c>
      <c r="M196" s="101">
        <f t="shared" si="213"/>
        <v>16.568999999999999</v>
      </c>
      <c r="N196" s="101">
        <f t="shared" si="213"/>
        <v>17.619000000000003</v>
      </c>
      <c r="O196" s="101">
        <f t="shared" si="213"/>
        <v>18.669</v>
      </c>
      <c r="P196" s="269">
        <v>0</v>
      </c>
      <c r="Q196" s="253">
        <f t="shared" si="210"/>
        <v>2.4738000000000002</v>
      </c>
      <c r="R196" s="253">
        <f t="shared" si="206"/>
        <v>2.6838000000000002</v>
      </c>
      <c r="S196" s="253">
        <f t="shared" si="206"/>
        <v>2.8938000000000001</v>
      </c>
      <c r="T196" s="253">
        <f t="shared" si="206"/>
        <v>3.1038000000000001</v>
      </c>
      <c r="U196" s="253">
        <f t="shared" si="206"/>
        <v>3.3138000000000001</v>
      </c>
      <c r="V196" s="253">
        <f t="shared" si="206"/>
        <v>3.5238000000000009</v>
      </c>
      <c r="W196" s="253">
        <f t="shared" si="206"/>
        <v>3.7338000000000005</v>
      </c>
      <c r="X196" s="101">
        <v>0</v>
      </c>
      <c r="Y196" s="101">
        <v>0</v>
      </c>
      <c r="Z196" s="101">
        <v>0</v>
      </c>
      <c r="AA196" s="101">
        <v>0</v>
      </c>
      <c r="AB196" s="101">
        <v>0</v>
      </c>
      <c r="AC196" s="101">
        <v>0</v>
      </c>
      <c r="AD196" s="101">
        <v>0</v>
      </c>
      <c r="AE196" s="186">
        <v>0.08</v>
      </c>
      <c r="AF196" s="93">
        <v>0</v>
      </c>
      <c r="AG196" s="93">
        <v>30</v>
      </c>
      <c r="AH196" s="93">
        <v>30</v>
      </c>
      <c r="AI196" s="16">
        <v>0.19400000000000001</v>
      </c>
      <c r="AJ196" s="16" t="s">
        <v>660</v>
      </c>
      <c r="AK196" s="16" t="s">
        <v>745</v>
      </c>
      <c r="AL196" s="16"/>
      <c r="AM196" s="60"/>
      <c r="AN196" s="60"/>
      <c r="AO196" s="60"/>
      <c r="AP196" s="60"/>
      <c r="AQ196" s="60"/>
      <c r="AR196" s="60"/>
      <c r="AS196" s="63"/>
      <c r="AT196" s="63"/>
      <c r="AU196" s="63"/>
      <c r="AV196" s="131"/>
      <c r="AW196" s="131"/>
      <c r="AX196" s="131"/>
      <c r="AY196" s="27" t="s">
        <v>662</v>
      </c>
      <c r="AZ196" s="27"/>
      <c r="BA196" s="27"/>
      <c r="BB196" s="30"/>
      <c r="BC196" s="30"/>
      <c r="BD196" s="30"/>
      <c r="BE196" s="30"/>
      <c r="BF196" s="30"/>
      <c r="BG196" s="30"/>
      <c r="BH196" s="107"/>
      <c r="BI196" s="107"/>
      <c r="BJ196" s="107"/>
      <c r="BK196" s="107"/>
      <c r="BL196" s="136"/>
      <c r="BM196" s="122"/>
      <c r="BN196" s="138">
        <v>0</v>
      </c>
      <c r="BO196" s="93"/>
      <c r="BP196" s="93"/>
      <c r="BQ196" s="93"/>
      <c r="BR196" s="93"/>
      <c r="BS196" s="93"/>
      <c r="BT196" s="93"/>
      <c r="BU196" s="27">
        <f t="shared" si="207"/>
        <v>0</v>
      </c>
      <c r="BV196" s="27"/>
      <c r="BW196" s="27"/>
      <c r="BX196" s="27"/>
      <c r="BY196" s="27"/>
      <c r="BZ196" s="27"/>
      <c r="CA196" s="27"/>
      <c r="CB196" s="97"/>
      <c r="CC196" s="185">
        <f t="shared" si="208"/>
        <v>567.02</v>
      </c>
      <c r="CD196" s="97">
        <f t="shared" si="208"/>
        <v>567.02</v>
      </c>
      <c r="CE196" s="97">
        <f t="shared" si="208"/>
        <v>567.02</v>
      </c>
      <c r="CF196" s="97">
        <f t="shared" si="208"/>
        <v>567.02</v>
      </c>
      <c r="CG196" s="97">
        <f t="shared" si="208"/>
        <v>567.02</v>
      </c>
      <c r="CH196" s="97">
        <f t="shared" si="208"/>
        <v>567.02</v>
      </c>
      <c r="CI196" s="173"/>
      <c r="CJ196" s="173"/>
      <c r="CK196" s="173"/>
      <c r="CL196" s="173"/>
      <c r="CM196" s="173"/>
      <c r="CN196" s="173"/>
      <c r="CO196" s="173"/>
      <c r="CP196" s="174"/>
      <c r="CQ196" s="174"/>
      <c r="CR196" s="174"/>
      <c r="CS196" s="174"/>
      <c r="CT196" s="174"/>
      <c r="CU196" s="174"/>
      <c r="CV196" s="174"/>
      <c r="CW196" s="165"/>
      <c r="CX196" s="166"/>
      <c r="CY196" s="166"/>
      <c r="CZ196" s="166"/>
      <c r="DA196" s="166"/>
      <c r="DB196" s="166"/>
      <c r="DC196" s="166"/>
      <c r="DD196" s="171"/>
      <c r="DE196" s="171"/>
      <c r="DF196" s="171"/>
      <c r="DG196" s="171"/>
      <c r="DH196" s="171"/>
      <c r="DI196" s="171"/>
      <c r="DJ196" s="171"/>
      <c r="DK196" s="79" t="s">
        <v>663</v>
      </c>
      <c r="DL196" s="128">
        <f>ROUNDUP(VLOOKUP($F196,Activities!$A$9:$I$180,3,FALSE)/$AI196,2)</f>
        <v>567.02</v>
      </c>
      <c r="DM196" s="128">
        <f>ROUNDUP(VLOOKUP($F196,Activities!$A$9:$I$180,4,FALSE)/$AI196,2)</f>
        <v>567.02</v>
      </c>
      <c r="DN196" s="128">
        <f>ROUNDUP(VLOOKUP($F196,Activities!$A$9:$I$180,5,FALSE)/$AI196,2)</f>
        <v>567.02</v>
      </c>
      <c r="DO196" s="128">
        <f>ROUNDUP(VLOOKUP($F196,Activities!$A$9:$I$180,6,FALSE)/$AI196,2)</f>
        <v>567.02</v>
      </c>
      <c r="DP196" s="128">
        <f>ROUNDUP(VLOOKUP($F196,Activities!$A$9:$I$180,7,FALSE)/$AI196,2)</f>
        <v>567.02</v>
      </c>
      <c r="DQ196" s="128">
        <f>ROUNDUP(VLOOKUP($F196,Activities!$A$9:$I$180,8,FALSE)/$AI196,2)</f>
        <v>567.02</v>
      </c>
      <c r="DR196" s="128">
        <f>ROUNDUP(VLOOKUP($F196,Activities!$A$9:$I$180,9,FALSE)/$AI196,2)</f>
        <v>567.02</v>
      </c>
      <c r="DS196" s="218"/>
      <c r="DT196" s="360"/>
      <c r="DU196" s="360"/>
      <c r="DV196" s="360"/>
      <c r="DW196" s="360"/>
      <c r="DX196" s="360"/>
      <c r="DY196" s="360"/>
      <c r="DZ196" s="360"/>
      <c r="EA196" s="360"/>
      <c r="EB196" s="360"/>
      <c r="EC196" s="360"/>
      <c r="ED196" s="360"/>
      <c r="EE196" s="360"/>
      <c r="EF196" s="360"/>
      <c r="EG196" s="360"/>
      <c r="EH196" s="360"/>
      <c r="EI196" s="360"/>
      <c r="EJ196" s="360"/>
      <c r="EK196" s="360"/>
      <c r="EL196" s="360"/>
      <c r="EM196" s="360"/>
      <c r="EN196" s="360"/>
      <c r="EO196" s="360"/>
      <c r="EP196" s="360"/>
      <c r="EQ196" s="360"/>
    </row>
    <row r="197" spans="1:244" x14ac:dyDescent="0.35">
      <c r="A197" s="6" t="s">
        <v>1150</v>
      </c>
      <c r="B197" s="6" t="s">
        <v>1141</v>
      </c>
      <c r="C197" s="6" t="s">
        <v>655</v>
      </c>
      <c r="D197" s="6" t="s">
        <v>1029</v>
      </c>
      <c r="E197" s="6" t="s">
        <v>1142</v>
      </c>
      <c r="F197" s="6" t="s">
        <v>392</v>
      </c>
      <c r="G197" s="48" t="s">
        <v>1151</v>
      </c>
      <c r="H197" s="48" t="s">
        <v>1118</v>
      </c>
      <c r="I197" s="102">
        <f>I195*1.01</f>
        <v>11.8978</v>
      </c>
      <c r="J197" s="102">
        <f t="shared" ref="J197:O197" si="214">J195*1.01</f>
        <v>12.9078</v>
      </c>
      <c r="K197" s="102">
        <f t="shared" si="214"/>
        <v>13.9178</v>
      </c>
      <c r="L197" s="102">
        <f t="shared" si="214"/>
        <v>14.9278</v>
      </c>
      <c r="M197" s="102">
        <f t="shared" si="214"/>
        <v>15.937799999999999</v>
      </c>
      <c r="N197" s="102">
        <f t="shared" si="214"/>
        <v>16.947800000000001</v>
      </c>
      <c r="O197" s="102">
        <f t="shared" si="214"/>
        <v>17.957800000000002</v>
      </c>
      <c r="P197" s="269">
        <v>0</v>
      </c>
      <c r="Q197" s="253">
        <f t="shared" si="210"/>
        <v>2.3795600000000001</v>
      </c>
      <c r="R197" s="253">
        <f t="shared" si="206"/>
        <v>2.5815600000000001</v>
      </c>
      <c r="S197" s="253">
        <f t="shared" si="206"/>
        <v>2.78356</v>
      </c>
      <c r="T197" s="253">
        <f t="shared" si="206"/>
        <v>2.98556</v>
      </c>
      <c r="U197" s="253">
        <f t="shared" si="206"/>
        <v>3.1875599999999999</v>
      </c>
      <c r="V197" s="253">
        <f t="shared" si="206"/>
        <v>3.3895600000000004</v>
      </c>
      <c r="W197" s="253">
        <f t="shared" si="206"/>
        <v>3.5915600000000008</v>
      </c>
      <c r="X197" s="102">
        <v>0</v>
      </c>
      <c r="Y197" s="102">
        <v>0</v>
      </c>
      <c r="Z197" s="102">
        <v>0</v>
      </c>
      <c r="AA197" s="102">
        <v>0</v>
      </c>
      <c r="AB197" s="102">
        <v>0</v>
      </c>
      <c r="AC197" s="102">
        <v>0</v>
      </c>
      <c r="AD197" s="102">
        <v>0</v>
      </c>
      <c r="AE197" s="186">
        <v>0.08</v>
      </c>
      <c r="AF197" s="94">
        <v>0</v>
      </c>
      <c r="AG197" s="94">
        <v>30</v>
      </c>
      <c r="AH197" s="94">
        <v>30</v>
      </c>
      <c r="AI197" s="17">
        <v>0.19400000000000001</v>
      </c>
      <c r="AJ197" s="17" t="s">
        <v>660</v>
      </c>
      <c r="AK197" s="17" t="s">
        <v>745</v>
      </c>
      <c r="AL197" s="17"/>
      <c r="AM197" s="61"/>
      <c r="AN197" s="61"/>
      <c r="AO197" s="61"/>
      <c r="AP197" s="61"/>
      <c r="AQ197" s="61"/>
      <c r="AR197" s="61"/>
      <c r="AS197" s="64"/>
      <c r="AT197" s="64"/>
      <c r="AU197" s="64"/>
      <c r="AV197" s="132"/>
      <c r="AW197" s="132"/>
      <c r="AX197" s="132"/>
      <c r="AY197" s="28" t="s">
        <v>662</v>
      </c>
      <c r="AZ197" s="28"/>
      <c r="BA197" s="28"/>
      <c r="BB197" s="28"/>
      <c r="BC197" s="28"/>
      <c r="BD197" s="28"/>
      <c r="BE197" s="28"/>
      <c r="BF197" s="28"/>
      <c r="BG197" s="28"/>
      <c r="BH197" s="106"/>
      <c r="BI197" s="106"/>
      <c r="BJ197" s="106"/>
      <c r="BK197" s="106"/>
      <c r="BL197" s="137"/>
      <c r="BM197" s="123"/>
      <c r="BN197" s="139">
        <v>0</v>
      </c>
      <c r="BO197" s="94"/>
      <c r="BP197" s="94"/>
      <c r="BQ197" s="94"/>
      <c r="BR197" s="94"/>
      <c r="BS197" s="94"/>
      <c r="BT197" s="94"/>
      <c r="BU197" s="28">
        <f t="shared" si="207"/>
        <v>0</v>
      </c>
      <c r="BV197" s="28"/>
      <c r="BW197" s="28"/>
      <c r="BX197" s="28"/>
      <c r="BY197" s="28"/>
      <c r="BZ197" s="28"/>
      <c r="CA197" s="28"/>
      <c r="CB197" s="99"/>
      <c r="CC197" s="185">
        <f t="shared" si="208"/>
        <v>567.02</v>
      </c>
      <c r="CD197" s="99">
        <f t="shared" si="208"/>
        <v>567.02</v>
      </c>
      <c r="CE197" s="99">
        <f t="shared" si="208"/>
        <v>567.02</v>
      </c>
      <c r="CF197" s="99">
        <f t="shared" si="208"/>
        <v>567.02</v>
      </c>
      <c r="CG197" s="99">
        <f t="shared" si="208"/>
        <v>567.02</v>
      </c>
      <c r="CH197" s="99">
        <f t="shared" si="208"/>
        <v>567.02</v>
      </c>
      <c r="CI197" s="175"/>
      <c r="CJ197" s="175"/>
      <c r="CK197" s="175"/>
      <c r="CL197" s="175"/>
      <c r="CM197" s="175"/>
      <c r="CN197" s="175"/>
      <c r="CO197" s="175"/>
      <c r="CP197" s="176"/>
      <c r="CQ197" s="176"/>
      <c r="CR197" s="176"/>
      <c r="CS197" s="176"/>
      <c r="CT197" s="176"/>
      <c r="CU197" s="176"/>
      <c r="CV197" s="176"/>
      <c r="CW197" s="167"/>
      <c r="CX197" s="168"/>
      <c r="CY197" s="168"/>
      <c r="CZ197" s="168"/>
      <c r="DA197" s="168"/>
      <c r="DB197" s="168"/>
      <c r="DC197" s="168"/>
      <c r="DD197" s="172"/>
      <c r="DE197" s="172"/>
      <c r="DF197" s="172"/>
      <c r="DG197" s="172"/>
      <c r="DH197" s="172"/>
      <c r="DI197" s="172"/>
      <c r="DJ197" s="172"/>
      <c r="DK197" s="80" t="s">
        <v>663</v>
      </c>
      <c r="DL197" s="129">
        <f>ROUNDUP(VLOOKUP($F197,Activities!$A$9:$I$180,3,FALSE)/$AI197,2)</f>
        <v>567.02</v>
      </c>
      <c r="DM197" s="129">
        <f>ROUNDUP(VLOOKUP($F197,Activities!$A$9:$I$180,4,FALSE)/$AI197,2)</f>
        <v>567.02</v>
      </c>
      <c r="DN197" s="129">
        <f>ROUNDUP(VLOOKUP($F197,Activities!$A$9:$I$180,5,FALSE)/$AI197,2)</f>
        <v>567.02</v>
      </c>
      <c r="DO197" s="129">
        <f>ROUNDUP(VLOOKUP($F197,Activities!$A$9:$I$180,6,FALSE)/$AI197,2)</f>
        <v>567.02</v>
      </c>
      <c r="DP197" s="129">
        <f>ROUNDUP(VLOOKUP($F197,Activities!$A$9:$I$180,7,FALSE)/$AI197,2)</f>
        <v>567.02</v>
      </c>
      <c r="DQ197" s="129">
        <f>ROUNDUP(VLOOKUP($F197,Activities!$A$9:$I$180,8,FALSE)/$AI197,2)</f>
        <v>567.02</v>
      </c>
      <c r="DR197" s="129">
        <f>ROUNDUP(VLOOKUP($F197,Activities!$A$9:$I$180,9,FALSE)/$AI197,2)</f>
        <v>567.02</v>
      </c>
      <c r="DS197" s="218"/>
      <c r="DT197" s="360"/>
      <c r="DU197" s="360"/>
      <c r="DV197" s="360"/>
      <c r="DW197" s="360"/>
      <c r="DX197" s="360"/>
      <c r="DY197" s="360"/>
      <c r="DZ197" s="360"/>
      <c r="EA197" s="360"/>
      <c r="EB197" s="360"/>
      <c r="EC197" s="360"/>
      <c r="ED197" s="360"/>
      <c r="EE197" s="360"/>
      <c r="EF197" s="360"/>
      <c r="EG197" s="360"/>
      <c r="EH197" s="360"/>
      <c r="EI197" s="360"/>
      <c r="EJ197" s="360"/>
      <c r="EK197" s="360"/>
      <c r="EL197" s="360"/>
      <c r="EM197" s="360"/>
      <c r="EN197" s="360"/>
      <c r="EO197" s="360"/>
      <c r="EP197" s="360"/>
      <c r="EQ197" s="360"/>
    </row>
    <row r="198" spans="1:244" x14ac:dyDescent="0.35">
      <c r="A198" s="5" t="s">
        <v>1152</v>
      </c>
      <c r="B198" s="5" t="s">
        <v>1141</v>
      </c>
      <c r="C198" s="5" t="s">
        <v>655</v>
      </c>
      <c r="D198" s="5" t="s">
        <v>1029</v>
      </c>
      <c r="E198" s="5" t="s">
        <v>1142</v>
      </c>
      <c r="F198" s="5" t="s">
        <v>392</v>
      </c>
      <c r="G198" s="47" t="s">
        <v>1153</v>
      </c>
      <c r="H198" s="47" t="s">
        <v>1118</v>
      </c>
      <c r="I198" s="101">
        <v>14.29</v>
      </c>
      <c r="J198" s="101">
        <v>14.29</v>
      </c>
      <c r="K198" s="101">
        <v>14.29</v>
      </c>
      <c r="L198" s="101">
        <v>14.29</v>
      </c>
      <c r="M198" s="101">
        <v>14.29</v>
      </c>
      <c r="N198" s="101">
        <v>14.29</v>
      </c>
      <c r="O198" s="101">
        <v>14.29</v>
      </c>
      <c r="P198" s="269">
        <v>0</v>
      </c>
      <c r="Q198" s="253">
        <f t="shared" si="210"/>
        <v>2.8580000000000001</v>
      </c>
      <c r="R198" s="253">
        <f t="shared" si="206"/>
        <v>2.8580000000000001</v>
      </c>
      <c r="S198" s="253">
        <f t="shared" si="206"/>
        <v>2.8580000000000001</v>
      </c>
      <c r="T198" s="253">
        <f t="shared" si="206"/>
        <v>2.8580000000000001</v>
      </c>
      <c r="U198" s="253">
        <f t="shared" si="206"/>
        <v>2.8580000000000001</v>
      </c>
      <c r="V198" s="253">
        <f t="shared" si="206"/>
        <v>2.8580000000000001</v>
      </c>
      <c r="W198" s="253">
        <f t="shared" si="206"/>
        <v>2.8580000000000001</v>
      </c>
      <c r="X198" s="101">
        <v>0</v>
      </c>
      <c r="Y198" s="101">
        <v>0</v>
      </c>
      <c r="Z198" s="101">
        <v>0</v>
      </c>
      <c r="AA198" s="101">
        <v>0</v>
      </c>
      <c r="AB198" s="101">
        <v>0</v>
      </c>
      <c r="AC198" s="101">
        <v>0</v>
      </c>
      <c r="AD198" s="101">
        <v>0</v>
      </c>
      <c r="AE198" s="186">
        <v>0.08</v>
      </c>
      <c r="AF198" s="93">
        <v>0</v>
      </c>
      <c r="AG198" s="93">
        <v>30</v>
      </c>
      <c r="AH198" s="93">
        <v>30</v>
      </c>
      <c r="AI198" s="16">
        <v>0.19400000000000001</v>
      </c>
      <c r="AJ198" s="16" t="s">
        <v>660</v>
      </c>
      <c r="AK198" s="16" t="s">
        <v>745</v>
      </c>
      <c r="AL198" s="16"/>
      <c r="AM198" s="60"/>
      <c r="AN198" s="60"/>
      <c r="AO198" s="60"/>
      <c r="AP198" s="60"/>
      <c r="AQ198" s="60"/>
      <c r="AR198" s="60"/>
      <c r="AS198" s="63"/>
      <c r="AT198" s="63"/>
      <c r="AU198" s="63"/>
      <c r="AV198" s="131"/>
      <c r="AW198" s="131"/>
      <c r="AX198" s="131"/>
      <c r="AY198" s="27" t="s">
        <v>662</v>
      </c>
      <c r="AZ198" s="27"/>
      <c r="BA198" s="27"/>
      <c r="BB198" s="30"/>
      <c r="BC198" s="30"/>
      <c r="BD198" s="30"/>
      <c r="BE198" s="30"/>
      <c r="BF198" s="30"/>
      <c r="BG198" s="30"/>
      <c r="BH198" s="107"/>
      <c r="BI198" s="107"/>
      <c r="BJ198" s="107"/>
      <c r="BK198" s="107"/>
      <c r="BL198" s="136"/>
      <c r="BM198" s="122"/>
      <c r="BN198" s="138">
        <v>30</v>
      </c>
      <c r="BO198" s="93">
        <v>5</v>
      </c>
      <c r="BP198" s="93">
        <v>5</v>
      </c>
      <c r="BQ198" s="93">
        <v>5</v>
      </c>
      <c r="BR198" s="93">
        <v>5</v>
      </c>
      <c r="BS198" s="93">
        <v>5</v>
      </c>
      <c r="BT198" s="93">
        <v>5</v>
      </c>
      <c r="BU198" s="27">
        <f t="shared" si="207"/>
        <v>0</v>
      </c>
      <c r="BV198" s="27"/>
      <c r="BW198" s="27"/>
      <c r="BX198" s="27"/>
      <c r="BY198" s="27"/>
      <c r="BZ198" s="27"/>
      <c r="CA198" s="27"/>
      <c r="CB198" s="97">
        <v>30</v>
      </c>
      <c r="CC198" s="97">
        <v>150</v>
      </c>
      <c r="CD198" s="97">
        <f>0.2*CD193</f>
        <v>113.404</v>
      </c>
      <c r="CE198" s="97">
        <f>0.3*CE193</f>
        <v>170.10599999999999</v>
      </c>
      <c r="CF198" s="97">
        <f t="shared" ref="CF198:CH198" si="215">0.3*CF193</f>
        <v>88.846363799999992</v>
      </c>
      <c r="CG198" s="97">
        <f t="shared" si="215"/>
        <v>85.052999999999997</v>
      </c>
      <c r="CH198" s="97">
        <f t="shared" si="215"/>
        <v>7.5867275999999944</v>
      </c>
      <c r="CI198" s="173">
        <f>CB198*AI198*0.9</f>
        <v>5.2380000000000004</v>
      </c>
      <c r="CJ198" s="173"/>
      <c r="CK198" s="173"/>
      <c r="CL198" s="173"/>
      <c r="CM198" s="173"/>
      <c r="CN198" s="173"/>
      <c r="CO198" s="173"/>
      <c r="CP198" s="174"/>
      <c r="CQ198" s="174"/>
      <c r="CR198" s="174"/>
      <c r="CS198" s="174"/>
      <c r="CT198" s="174"/>
      <c r="CU198" s="174"/>
      <c r="CV198" s="174"/>
      <c r="CW198" s="165"/>
      <c r="CX198" s="166"/>
      <c r="CY198" s="166"/>
      <c r="CZ198" s="166"/>
      <c r="DA198" s="166"/>
      <c r="DB198" s="166"/>
      <c r="DC198" s="166"/>
      <c r="DD198" s="171"/>
      <c r="DE198" s="171"/>
      <c r="DF198" s="171"/>
      <c r="DG198" s="171"/>
      <c r="DH198" s="171"/>
      <c r="DI198" s="171"/>
      <c r="DJ198" s="171"/>
      <c r="DK198" s="79" t="s">
        <v>663</v>
      </c>
      <c r="DL198" s="128">
        <f>ROUNDUP(VLOOKUP($F198,Activities!$A$9:$I$180,3,FALSE)/$AI198,2)</f>
        <v>567.02</v>
      </c>
      <c r="DM198" s="128">
        <f>ROUNDUP(VLOOKUP($F198,Activities!$A$9:$I$180,4,FALSE)/$AI198,2)</f>
        <v>567.02</v>
      </c>
      <c r="DN198" s="128">
        <f>ROUNDUP(VLOOKUP($F198,Activities!$A$9:$I$180,5,FALSE)/$AI198,2)</f>
        <v>567.02</v>
      </c>
      <c r="DO198" s="128">
        <f>ROUNDUP(VLOOKUP($F198,Activities!$A$9:$I$180,6,FALSE)/$AI198,2)</f>
        <v>567.02</v>
      </c>
      <c r="DP198" s="128">
        <f>ROUNDUP(VLOOKUP($F198,Activities!$A$9:$I$180,7,FALSE)/$AI198,2)</f>
        <v>567.02</v>
      </c>
      <c r="DQ198" s="128">
        <f>ROUNDUP(VLOOKUP($F198,Activities!$A$9:$I$180,8,FALSE)/$AI198,2)</f>
        <v>567.02</v>
      </c>
      <c r="DR198" s="128">
        <f>ROUNDUP(VLOOKUP($F198,Activities!$A$9:$I$180,9,FALSE)/$AI198,2)</f>
        <v>567.02</v>
      </c>
      <c r="DS198" s="218"/>
      <c r="DT198" s="360"/>
      <c r="DU198" s="360"/>
      <c r="DV198" s="360"/>
      <c r="DW198" s="360"/>
      <c r="DX198" s="360"/>
      <c r="DY198" s="360"/>
      <c r="DZ198" s="360"/>
      <c r="EA198" s="360"/>
      <c r="EB198" s="360"/>
      <c r="EC198" s="360"/>
      <c r="ED198" s="360"/>
      <c r="EE198" s="360"/>
      <c r="EF198" s="360"/>
      <c r="EG198" s="360"/>
      <c r="EH198" s="360"/>
      <c r="EI198" s="360"/>
      <c r="EJ198" s="360"/>
      <c r="EK198" s="360"/>
      <c r="EL198" s="360"/>
      <c r="EM198" s="360"/>
      <c r="EN198" s="360"/>
      <c r="EO198" s="360"/>
      <c r="EP198" s="360"/>
      <c r="EQ198" s="360"/>
    </row>
    <row r="199" spans="1:244" x14ac:dyDescent="0.35">
      <c r="A199" s="6" t="s">
        <v>1154</v>
      </c>
      <c r="B199" s="6" t="s">
        <v>1141</v>
      </c>
      <c r="C199" s="6" t="s">
        <v>655</v>
      </c>
      <c r="D199" s="6" t="s">
        <v>1029</v>
      </c>
      <c r="E199" s="6" t="s">
        <v>1142</v>
      </c>
      <c r="F199" s="6" t="s">
        <v>392</v>
      </c>
      <c r="G199" s="48" t="s">
        <v>1155</v>
      </c>
      <c r="H199" s="48" t="s">
        <v>1118</v>
      </c>
      <c r="I199" s="102">
        <f>I200*1.05</f>
        <v>27.552</v>
      </c>
      <c r="J199" s="102">
        <f t="shared" ref="J199:O199" si="216">J200*1.05</f>
        <v>28.602</v>
      </c>
      <c r="K199" s="102">
        <f t="shared" si="216"/>
        <v>29.652000000000001</v>
      </c>
      <c r="L199" s="102">
        <f t="shared" si="216"/>
        <v>30.701999999999998</v>
      </c>
      <c r="M199" s="102">
        <f t="shared" si="216"/>
        <v>31.751999999999999</v>
      </c>
      <c r="N199" s="102">
        <f t="shared" si="216"/>
        <v>32.802</v>
      </c>
      <c r="O199" s="102">
        <f t="shared" si="216"/>
        <v>33.852000000000004</v>
      </c>
      <c r="P199" s="269">
        <v>0</v>
      </c>
      <c r="Q199" s="253">
        <f t="shared" si="210"/>
        <v>5.5104000000000006</v>
      </c>
      <c r="R199" s="253">
        <f t="shared" si="206"/>
        <v>5.7204000000000006</v>
      </c>
      <c r="S199" s="253">
        <f t="shared" si="206"/>
        <v>5.9304000000000006</v>
      </c>
      <c r="T199" s="253">
        <f t="shared" si="206"/>
        <v>6.1403999999999996</v>
      </c>
      <c r="U199" s="253">
        <f t="shared" si="206"/>
        <v>6.3504000000000005</v>
      </c>
      <c r="V199" s="253">
        <f t="shared" si="206"/>
        <v>6.5604000000000005</v>
      </c>
      <c r="W199" s="253">
        <f t="shared" si="206"/>
        <v>6.7704000000000013</v>
      </c>
      <c r="X199" s="102">
        <v>0</v>
      </c>
      <c r="Y199" s="102">
        <v>0</v>
      </c>
      <c r="Z199" s="102">
        <v>0</v>
      </c>
      <c r="AA199" s="102">
        <v>0</v>
      </c>
      <c r="AB199" s="102">
        <v>0</v>
      </c>
      <c r="AC199" s="102">
        <v>0</v>
      </c>
      <c r="AD199" s="102">
        <v>0</v>
      </c>
      <c r="AE199" s="186">
        <v>0.08</v>
      </c>
      <c r="AF199" s="94">
        <v>0</v>
      </c>
      <c r="AG199" s="94">
        <v>30</v>
      </c>
      <c r="AH199" s="94">
        <v>30</v>
      </c>
      <c r="AI199" s="17">
        <v>0.19400000000000001</v>
      </c>
      <c r="AJ199" s="17" t="s">
        <v>660</v>
      </c>
      <c r="AK199" s="17" t="s">
        <v>745</v>
      </c>
      <c r="AL199" s="17"/>
      <c r="AM199" s="61"/>
      <c r="AN199" s="61"/>
      <c r="AO199" s="61"/>
      <c r="AP199" s="61"/>
      <c r="AQ199" s="61"/>
      <c r="AR199" s="61"/>
      <c r="AS199" s="64"/>
      <c r="AT199" s="64"/>
      <c r="AU199" s="64"/>
      <c r="AV199" s="132"/>
      <c r="AW199" s="132"/>
      <c r="AX199" s="132"/>
      <c r="AY199" s="28" t="s">
        <v>662</v>
      </c>
      <c r="AZ199" s="28"/>
      <c r="BA199" s="28"/>
      <c r="BB199" s="28"/>
      <c r="BC199" s="28"/>
      <c r="BD199" s="28"/>
      <c r="BE199" s="28"/>
      <c r="BF199" s="28"/>
      <c r="BG199" s="28"/>
      <c r="BH199" s="106"/>
      <c r="BI199" s="106"/>
      <c r="BJ199" s="106"/>
      <c r="BK199" s="106"/>
      <c r="BL199" s="137"/>
      <c r="BM199" s="123"/>
      <c r="BN199" s="139">
        <v>0</v>
      </c>
      <c r="BO199" s="94"/>
      <c r="BP199" s="94"/>
      <c r="BQ199" s="94"/>
      <c r="BR199" s="94"/>
      <c r="BS199" s="94"/>
      <c r="BT199" s="94"/>
      <c r="BU199" s="28">
        <f t="shared" si="207"/>
        <v>0</v>
      </c>
      <c r="BV199" s="28"/>
      <c r="BW199" s="28"/>
      <c r="BX199" s="28"/>
      <c r="BY199" s="28"/>
      <c r="BZ199" s="28"/>
      <c r="CA199" s="28"/>
      <c r="CB199" s="99"/>
      <c r="CC199" s="99"/>
      <c r="CD199" s="99">
        <v>100</v>
      </c>
      <c r="CE199" s="99">
        <v>200</v>
      </c>
      <c r="CF199" s="99">
        <v>200</v>
      </c>
      <c r="CG199" s="99">
        <v>200</v>
      </c>
      <c r="CH199" s="99">
        <v>200</v>
      </c>
      <c r="CI199" s="175"/>
      <c r="CJ199" s="175"/>
      <c r="CK199" s="175"/>
      <c r="CL199" s="175"/>
      <c r="CM199" s="175"/>
      <c r="CN199" s="175"/>
      <c r="CO199" s="175"/>
      <c r="CP199" s="176"/>
      <c r="CQ199" s="176"/>
      <c r="CR199" s="176"/>
      <c r="CS199" s="176"/>
      <c r="CT199" s="176"/>
      <c r="CU199" s="176"/>
      <c r="CV199" s="176"/>
      <c r="CW199" s="167"/>
      <c r="CX199" s="168"/>
      <c r="CY199" s="168"/>
      <c r="CZ199" s="168"/>
      <c r="DA199" s="168"/>
      <c r="DB199" s="168"/>
      <c r="DC199" s="168"/>
      <c r="DD199" s="172"/>
      <c r="DE199" s="172"/>
      <c r="DF199" s="172"/>
      <c r="DG199" s="172"/>
      <c r="DH199" s="172"/>
      <c r="DI199" s="172"/>
      <c r="DJ199" s="172"/>
      <c r="DK199" s="80" t="s">
        <v>663</v>
      </c>
      <c r="DL199" s="129">
        <f>ROUNDUP(VLOOKUP($F199,Activities!$A$9:$I$180,3,FALSE)/$AI199,2)</f>
        <v>567.02</v>
      </c>
      <c r="DM199" s="129">
        <f>ROUNDUP(VLOOKUP($F199,Activities!$A$9:$I$180,4,FALSE)/$AI199,2)</f>
        <v>567.02</v>
      </c>
      <c r="DN199" s="129">
        <f>ROUNDUP(VLOOKUP($F199,Activities!$A$9:$I$180,5,FALSE)/$AI199,2)</f>
        <v>567.02</v>
      </c>
      <c r="DO199" s="129">
        <f>ROUNDUP(VLOOKUP($F199,Activities!$A$9:$I$180,6,FALSE)/$AI199,2)</f>
        <v>567.02</v>
      </c>
      <c r="DP199" s="129">
        <f>ROUNDUP(VLOOKUP($F199,Activities!$A$9:$I$180,7,FALSE)/$AI199,2)</f>
        <v>567.02</v>
      </c>
      <c r="DQ199" s="129">
        <f>ROUNDUP(VLOOKUP($F199,Activities!$A$9:$I$180,8,FALSE)/$AI199,2)</f>
        <v>567.02</v>
      </c>
      <c r="DR199" s="129">
        <f>ROUNDUP(VLOOKUP($F199,Activities!$A$9:$I$180,9,FALSE)/$AI199,2)</f>
        <v>567.02</v>
      </c>
      <c r="DS199" s="218"/>
      <c r="DT199" s="360"/>
      <c r="DU199" s="360"/>
      <c r="DV199" s="360"/>
      <c r="DW199" s="360"/>
      <c r="DX199" s="360"/>
      <c r="DY199" s="360"/>
      <c r="DZ199" s="360"/>
      <c r="EA199" s="360"/>
      <c r="EB199" s="360"/>
      <c r="EC199" s="360"/>
      <c r="ED199" s="360"/>
      <c r="EE199" s="360"/>
      <c r="EF199" s="360"/>
      <c r="EG199" s="360"/>
      <c r="EH199" s="360"/>
      <c r="EI199" s="360"/>
      <c r="EJ199" s="360"/>
      <c r="EK199" s="360"/>
      <c r="EL199" s="360"/>
      <c r="EM199" s="360"/>
      <c r="EN199" s="360"/>
      <c r="EO199" s="360"/>
      <c r="EP199" s="360"/>
      <c r="EQ199" s="360"/>
    </row>
    <row r="200" spans="1:244" x14ac:dyDescent="0.35">
      <c r="A200" s="5" t="s">
        <v>1156</v>
      </c>
      <c r="B200" s="5" t="s">
        <v>1141</v>
      </c>
      <c r="C200" s="5" t="s">
        <v>655</v>
      </c>
      <c r="D200" s="5" t="s">
        <v>1029</v>
      </c>
      <c r="E200" s="5" t="s">
        <v>1142</v>
      </c>
      <c r="F200" s="5" t="s">
        <v>392</v>
      </c>
      <c r="G200" s="47" t="s">
        <v>1157</v>
      </c>
      <c r="H200" s="47" t="s">
        <v>1118</v>
      </c>
      <c r="I200" s="102">
        <v>26.24</v>
      </c>
      <c r="J200" s="102">
        <v>27.24</v>
      </c>
      <c r="K200" s="102">
        <v>28.24</v>
      </c>
      <c r="L200" s="102">
        <v>29.24</v>
      </c>
      <c r="M200" s="102">
        <v>30.24</v>
      </c>
      <c r="N200" s="102">
        <v>31.24</v>
      </c>
      <c r="O200" s="102">
        <v>32.24</v>
      </c>
      <c r="P200" s="269">
        <v>0</v>
      </c>
      <c r="Q200" s="253">
        <f t="shared" si="210"/>
        <v>5.2480000000000002</v>
      </c>
      <c r="R200" s="253">
        <f t="shared" si="206"/>
        <v>5.4480000000000004</v>
      </c>
      <c r="S200" s="253">
        <f t="shared" si="206"/>
        <v>5.6479999999999997</v>
      </c>
      <c r="T200" s="253">
        <f t="shared" si="206"/>
        <v>5.8479999999999999</v>
      </c>
      <c r="U200" s="253">
        <f t="shared" si="206"/>
        <v>6.048</v>
      </c>
      <c r="V200" s="253">
        <f t="shared" si="206"/>
        <v>6.2480000000000002</v>
      </c>
      <c r="W200" s="253">
        <f t="shared" si="206"/>
        <v>6.4480000000000004</v>
      </c>
      <c r="X200" s="101">
        <v>0</v>
      </c>
      <c r="Y200" s="101">
        <v>0</v>
      </c>
      <c r="Z200" s="101">
        <v>0</v>
      </c>
      <c r="AA200" s="101">
        <v>0</v>
      </c>
      <c r="AB200" s="101">
        <v>0</v>
      </c>
      <c r="AC200" s="101">
        <v>0</v>
      </c>
      <c r="AD200" s="101">
        <v>0</v>
      </c>
      <c r="AE200" s="186">
        <v>0.08</v>
      </c>
      <c r="AF200" s="93">
        <v>0</v>
      </c>
      <c r="AG200" s="93">
        <v>30</v>
      </c>
      <c r="AH200" s="93">
        <v>30</v>
      </c>
      <c r="AI200" s="16">
        <v>0.19400000000000001</v>
      </c>
      <c r="AJ200" s="16" t="s">
        <v>660</v>
      </c>
      <c r="AK200" s="16" t="s">
        <v>745</v>
      </c>
      <c r="AL200" s="16"/>
      <c r="AM200" s="60"/>
      <c r="AN200" s="60"/>
      <c r="AO200" s="60"/>
      <c r="AP200" s="60"/>
      <c r="AQ200" s="60"/>
      <c r="AR200" s="60"/>
      <c r="AS200" s="63"/>
      <c r="AT200" s="63"/>
      <c r="AU200" s="63"/>
      <c r="AV200" s="131"/>
      <c r="AW200" s="131"/>
      <c r="AX200" s="131"/>
      <c r="AY200" s="27" t="s">
        <v>662</v>
      </c>
      <c r="AZ200" s="27"/>
      <c r="BA200" s="27"/>
      <c r="BB200" s="30"/>
      <c r="BC200" s="30"/>
      <c r="BD200" s="30"/>
      <c r="BE200" s="30"/>
      <c r="BF200" s="30"/>
      <c r="BG200" s="30"/>
      <c r="BH200" s="107"/>
      <c r="BI200" s="107"/>
      <c r="BJ200" s="107"/>
      <c r="BK200" s="107"/>
      <c r="BL200" s="136"/>
      <c r="BM200" s="122"/>
      <c r="BN200" s="138">
        <v>0</v>
      </c>
      <c r="BO200" s="93"/>
      <c r="BP200" s="93"/>
      <c r="BQ200" s="93"/>
      <c r="BR200" s="93"/>
      <c r="BS200" s="93"/>
      <c r="BT200" s="93"/>
      <c r="BU200" s="27">
        <f t="shared" ref="BU200" si="217">IF(BL200=1,BN200,0)</f>
        <v>0</v>
      </c>
      <c r="BV200" s="27"/>
      <c r="BW200" s="27"/>
      <c r="BX200" s="27"/>
      <c r="BY200" s="27"/>
      <c r="BZ200" s="27"/>
      <c r="CA200" s="27"/>
      <c r="CB200" s="97"/>
      <c r="CC200" s="97"/>
      <c r="CD200" s="97">
        <v>100</v>
      </c>
      <c r="CE200" s="97">
        <v>200</v>
      </c>
      <c r="CF200" s="97">
        <v>200</v>
      </c>
      <c r="CG200" s="97">
        <v>200</v>
      </c>
      <c r="CH200" s="97">
        <v>200</v>
      </c>
      <c r="CI200" s="173"/>
      <c r="CJ200" s="173"/>
      <c r="CK200" s="173"/>
      <c r="CL200" s="173"/>
      <c r="CM200" s="173"/>
      <c r="CN200" s="173"/>
      <c r="CO200" s="173"/>
      <c r="CP200" s="174"/>
      <c r="CQ200" s="174"/>
      <c r="CR200" s="174"/>
      <c r="CS200" s="174"/>
      <c r="CT200" s="174"/>
      <c r="CU200" s="174"/>
      <c r="CV200" s="174"/>
      <c r="CW200" s="165"/>
      <c r="CX200" s="166"/>
      <c r="CY200" s="166"/>
      <c r="CZ200" s="166"/>
      <c r="DA200" s="166"/>
      <c r="DB200" s="166"/>
      <c r="DC200" s="166"/>
      <c r="DD200" s="171"/>
      <c r="DE200" s="171"/>
      <c r="DF200" s="171"/>
      <c r="DG200" s="171"/>
      <c r="DH200" s="171"/>
      <c r="DI200" s="171"/>
      <c r="DJ200" s="171"/>
      <c r="DK200" s="79" t="s">
        <v>663</v>
      </c>
      <c r="DL200" s="128">
        <f>ROUNDUP(VLOOKUP($F200,Activities!$A$9:$I$180,3,FALSE)/$AI200,2)</f>
        <v>567.02</v>
      </c>
      <c r="DM200" s="128">
        <f>ROUNDUP(VLOOKUP($F200,Activities!$A$9:$I$180,4,FALSE)/$AI200,2)</f>
        <v>567.02</v>
      </c>
      <c r="DN200" s="128">
        <f>ROUNDUP(VLOOKUP($F200,Activities!$A$9:$I$180,5,FALSE)/$AI200,2)</f>
        <v>567.02</v>
      </c>
      <c r="DO200" s="128">
        <f>ROUNDUP(VLOOKUP($F200,Activities!$A$9:$I$180,6,FALSE)/$AI200,2)</f>
        <v>567.02</v>
      </c>
      <c r="DP200" s="128">
        <f>ROUNDUP(VLOOKUP($F200,Activities!$A$9:$I$180,7,FALSE)/$AI200,2)</f>
        <v>567.02</v>
      </c>
      <c r="DQ200" s="128">
        <f>ROUNDUP(VLOOKUP($F200,Activities!$A$9:$I$180,8,FALSE)/$AI200,2)</f>
        <v>567.02</v>
      </c>
      <c r="DR200" s="128">
        <f>ROUNDUP(VLOOKUP($F200,Activities!$A$9:$I$180,9,FALSE)/$AI200,2)</f>
        <v>567.02</v>
      </c>
      <c r="DS200" s="218"/>
      <c r="DT200" s="360"/>
      <c r="DU200" s="360"/>
      <c r="DV200" s="360"/>
      <c r="DW200" s="360"/>
      <c r="DX200" s="360"/>
      <c r="DY200" s="360"/>
      <c r="DZ200" s="360"/>
      <c r="EA200" s="360"/>
      <c r="EB200" s="360"/>
      <c r="EC200" s="360"/>
      <c r="ED200" s="360"/>
      <c r="EE200" s="360"/>
      <c r="EF200" s="360"/>
      <c r="EG200" s="360"/>
      <c r="EH200" s="360"/>
      <c r="EI200" s="360"/>
      <c r="EJ200" s="360"/>
      <c r="EK200" s="360"/>
      <c r="EL200" s="360"/>
      <c r="EM200" s="360"/>
      <c r="EN200" s="360"/>
      <c r="EO200" s="360"/>
      <c r="EP200" s="360"/>
      <c r="EQ200" s="360"/>
    </row>
    <row r="201" spans="1:244" s="347" customFormat="1" x14ac:dyDescent="0.35">
      <c r="A201" s="327" t="s">
        <v>1158</v>
      </c>
      <c r="B201" s="327" t="s">
        <v>1141</v>
      </c>
      <c r="C201" s="327" t="s">
        <v>655</v>
      </c>
      <c r="D201" s="327" t="s">
        <v>1029</v>
      </c>
      <c r="E201" s="327" t="s">
        <v>1142</v>
      </c>
      <c r="F201" s="327" t="s">
        <v>499</v>
      </c>
      <c r="G201" s="328" t="s">
        <v>1159</v>
      </c>
      <c r="H201" s="328" t="s">
        <v>659</v>
      </c>
      <c r="I201" s="329">
        <v>0</v>
      </c>
      <c r="J201" s="329">
        <v>0</v>
      </c>
      <c r="K201" s="329">
        <v>0</v>
      </c>
      <c r="L201" s="329">
        <v>0</v>
      </c>
      <c r="M201" s="329">
        <v>0</v>
      </c>
      <c r="N201" s="329">
        <v>0</v>
      </c>
      <c r="O201" s="329">
        <v>0</v>
      </c>
      <c r="P201" s="330"/>
      <c r="Q201" s="329">
        <v>0</v>
      </c>
      <c r="R201" s="329">
        <v>0</v>
      </c>
      <c r="S201" s="329">
        <v>0</v>
      </c>
      <c r="T201" s="329">
        <v>0</v>
      </c>
      <c r="U201" s="329">
        <v>0</v>
      </c>
      <c r="V201" s="329">
        <v>0</v>
      </c>
      <c r="W201" s="329">
        <v>0</v>
      </c>
      <c r="X201" s="329">
        <v>0</v>
      </c>
      <c r="Y201" s="329">
        <v>0</v>
      </c>
      <c r="Z201" s="329">
        <v>0</v>
      </c>
      <c r="AA201" s="329">
        <v>0</v>
      </c>
      <c r="AB201" s="329">
        <v>0</v>
      </c>
      <c r="AC201" s="329">
        <v>0</v>
      </c>
      <c r="AD201" s="329">
        <v>0</v>
      </c>
      <c r="AE201" s="186">
        <v>0.08</v>
      </c>
      <c r="AF201" s="330">
        <v>0</v>
      </c>
      <c r="AG201" s="330">
        <v>30</v>
      </c>
      <c r="AH201" s="330">
        <v>30</v>
      </c>
      <c r="AI201" s="331">
        <v>1</v>
      </c>
      <c r="AJ201" s="331" t="s">
        <v>660</v>
      </c>
      <c r="AK201" s="331" t="s">
        <v>745</v>
      </c>
      <c r="AL201" s="331"/>
      <c r="AM201" s="332"/>
      <c r="AN201" s="332"/>
      <c r="AO201" s="332"/>
      <c r="AP201" s="332"/>
      <c r="AQ201" s="332"/>
      <c r="AR201" s="332"/>
      <c r="AS201" s="333"/>
      <c r="AT201" s="333"/>
      <c r="AU201" s="333"/>
      <c r="AV201" s="334"/>
      <c r="AW201" s="334"/>
      <c r="AX201" s="334"/>
      <c r="AY201" s="335" t="s">
        <v>662</v>
      </c>
      <c r="AZ201" s="335"/>
      <c r="BA201" s="336"/>
      <c r="BB201" s="337"/>
      <c r="BC201" s="337"/>
      <c r="BD201" s="337"/>
      <c r="BE201" s="337"/>
      <c r="BF201" s="337"/>
      <c r="BG201" s="337"/>
      <c r="BH201" s="338"/>
      <c r="BI201" s="338"/>
      <c r="BJ201" s="338"/>
      <c r="BK201" s="338"/>
      <c r="BL201" s="339"/>
      <c r="BM201" s="340"/>
      <c r="BN201" s="341">
        <v>0</v>
      </c>
      <c r="BO201" s="330"/>
      <c r="BP201" s="330"/>
      <c r="BQ201" s="330"/>
      <c r="BR201" s="330"/>
      <c r="BS201" s="330"/>
      <c r="BT201" s="330"/>
      <c r="BU201" s="335">
        <v>0</v>
      </c>
      <c r="BV201" s="335"/>
      <c r="BW201" s="335"/>
      <c r="BX201" s="335"/>
      <c r="BY201" s="335"/>
      <c r="BZ201" s="335"/>
      <c r="CA201" s="335"/>
      <c r="CB201" s="342">
        <v>0</v>
      </c>
      <c r="CC201" s="342">
        <v>0</v>
      </c>
      <c r="CD201" s="342"/>
      <c r="CE201" s="342"/>
      <c r="CF201" s="342"/>
      <c r="CG201" s="342"/>
      <c r="CH201" s="342"/>
      <c r="CI201" s="335"/>
      <c r="CJ201" s="335"/>
      <c r="CK201" s="335"/>
      <c r="CL201" s="335"/>
      <c r="CM201" s="335"/>
      <c r="CN201" s="335"/>
      <c r="CO201" s="335"/>
      <c r="CP201" s="343">
        <v>0</v>
      </c>
      <c r="CQ201" s="343">
        <v>0</v>
      </c>
      <c r="CR201" s="343">
        <v>0</v>
      </c>
      <c r="CS201" s="343">
        <v>0</v>
      </c>
      <c r="CT201" s="343">
        <v>0</v>
      </c>
      <c r="CU201" s="343">
        <v>0</v>
      </c>
      <c r="CV201" s="343">
        <v>0</v>
      </c>
      <c r="CW201" s="344"/>
      <c r="CX201" s="345"/>
      <c r="CY201" s="345"/>
      <c r="CZ201" s="345"/>
      <c r="DA201" s="345"/>
      <c r="DB201" s="345"/>
      <c r="DC201" s="345"/>
      <c r="DD201" s="345"/>
      <c r="DE201" s="345"/>
      <c r="DF201" s="345"/>
      <c r="DG201" s="345"/>
      <c r="DH201" s="345"/>
      <c r="DI201" s="345"/>
      <c r="DJ201" s="345"/>
      <c r="DK201" s="289" t="s">
        <v>452</v>
      </c>
      <c r="DL201" s="344">
        <v>0</v>
      </c>
      <c r="DM201" s="344">
        <v>0</v>
      </c>
      <c r="DN201" s="344">
        <v>0</v>
      </c>
      <c r="DO201" s="344">
        <v>0</v>
      </c>
      <c r="DP201" s="344">
        <v>0</v>
      </c>
      <c r="DQ201" s="344">
        <v>0</v>
      </c>
      <c r="DR201" s="344">
        <v>0</v>
      </c>
      <c r="DS201" s="346"/>
      <c r="DT201" s="360"/>
      <c r="DU201" s="360"/>
      <c r="DV201" s="360"/>
      <c r="DW201" s="360"/>
      <c r="DX201" s="360"/>
      <c r="DY201" s="360"/>
      <c r="DZ201" s="360"/>
      <c r="EA201" s="360"/>
      <c r="EB201" s="360"/>
      <c r="EC201" s="360"/>
      <c r="ED201" s="360"/>
      <c r="EE201" s="360"/>
      <c r="EF201" s="360"/>
      <c r="EG201" s="360"/>
      <c r="EH201" s="360"/>
      <c r="EI201" s="360"/>
      <c r="EJ201" s="360"/>
      <c r="EK201" s="360"/>
      <c r="EL201" s="360"/>
      <c r="EM201" s="360"/>
      <c r="EN201" s="360"/>
      <c r="EO201" s="360"/>
      <c r="EP201" s="360"/>
      <c r="EQ201" s="360"/>
      <c r="ER201" s="1"/>
      <c r="ES201" s="1"/>
      <c r="ET201" s="1"/>
      <c r="EU201" s="1"/>
      <c r="EV201" s="1"/>
      <c r="EW201" s="1"/>
      <c r="EX201" s="1"/>
      <c r="EY201" s="1"/>
      <c r="EZ201" s="1"/>
      <c r="FA201" s="1"/>
      <c r="FB201" s="1"/>
      <c r="FC201" s="1"/>
      <c r="FD201" s="1"/>
      <c r="FE201" s="1"/>
      <c r="FF201" s="1"/>
      <c r="FG201" s="1"/>
      <c r="FH201" s="1"/>
      <c r="FI201" s="1"/>
      <c r="FJ201" s="1"/>
      <c r="FK201" s="1"/>
      <c r="FL201" s="1"/>
      <c r="FM201" s="1"/>
      <c r="FN201" s="1"/>
      <c r="FO201" s="1"/>
      <c r="FP201" s="1"/>
      <c r="FQ201" s="1"/>
      <c r="FR201" s="1"/>
      <c r="FS201" s="1"/>
      <c r="FT201" s="1"/>
      <c r="FU201" s="1"/>
      <c r="FV201" s="1"/>
      <c r="FW201" s="1"/>
      <c r="FX201" s="1"/>
      <c r="FY201" s="1"/>
      <c r="FZ201" s="1"/>
      <c r="GA201" s="1"/>
      <c r="GB201" s="1"/>
      <c r="GC201" s="1"/>
      <c r="GD201" s="1"/>
      <c r="GE201" s="1"/>
      <c r="GF201" s="1"/>
      <c r="GG201" s="1"/>
      <c r="GH201" s="1"/>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row>
    <row r="202" spans="1:244" s="347" customFormat="1" x14ac:dyDescent="0.35">
      <c r="A202" s="327" t="s">
        <v>1160</v>
      </c>
      <c r="B202" s="327" t="s">
        <v>1141</v>
      </c>
      <c r="C202" s="327" t="s">
        <v>655</v>
      </c>
      <c r="D202" s="327" t="s">
        <v>1029</v>
      </c>
      <c r="E202" s="327" t="s">
        <v>1142</v>
      </c>
      <c r="F202" s="327" t="s">
        <v>547</v>
      </c>
      <c r="G202" s="328" t="s">
        <v>1161</v>
      </c>
      <c r="H202" s="328" t="s">
        <v>1162</v>
      </c>
      <c r="I202" s="329">
        <v>0</v>
      </c>
      <c r="J202" s="329">
        <v>0</v>
      </c>
      <c r="K202" s="329">
        <v>0</v>
      </c>
      <c r="L202" s="329">
        <v>0</v>
      </c>
      <c r="M202" s="329">
        <v>0</v>
      </c>
      <c r="N202" s="329">
        <v>0</v>
      </c>
      <c r="O202" s="329">
        <v>0</v>
      </c>
      <c r="P202" s="330"/>
      <c r="Q202" s="329">
        <v>0</v>
      </c>
      <c r="R202" s="329">
        <v>0</v>
      </c>
      <c r="S202" s="329">
        <v>0</v>
      </c>
      <c r="T202" s="329">
        <v>0</v>
      </c>
      <c r="U202" s="329">
        <v>0</v>
      </c>
      <c r="V202" s="329">
        <v>0</v>
      </c>
      <c r="W202" s="329">
        <v>0</v>
      </c>
      <c r="X202" s="329">
        <v>0</v>
      </c>
      <c r="Y202" s="329">
        <v>0</v>
      </c>
      <c r="Z202" s="329">
        <v>0</v>
      </c>
      <c r="AA202" s="329">
        <v>0</v>
      </c>
      <c r="AB202" s="329">
        <v>0</v>
      </c>
      <c r="AC202" s="329">
        <v>0</v>
      </c>
      <c r="AD202" s="329">
        <v>0</v>
      </c>
      <c r="AE202" s="186">
        <v>0.08</v>
      </c>
      <c r="AF202" s="330">
        <v>0</v>
      </c>
      <c r="AG202" s="330">
        <v>30</v>
      </c>
      <c r="AH202" s="330">
        <v>30</v>
      </c>
      <c r="AI202" s="331">
        <v>1</v>
      </c>
      <c r="AJ202" s="331" t="s">
        <v>660</v>
      </c>
      <c r="AK202" s="331" t="s">
        <v>745</v>
      </c>
      <c r="AL202" s="331"/>
      <c r="AM202" s="332"/>
      <c r="AN202" s="332"/>
      <c r="AO202" s="332"/>
      <c r="AP202" s="332"/>
      <c r="AQ202" s="332"/>
      <c r="AR202" s="332"/>
      <c r="AS202" s="333"/>
      <c r="AT202" s="333"/>
      <c r="AU202" s="333"/>
      <c r="AV202" s="334"/>
      <c r="AW202" s="334"/>
      <c r="AX202" s="334"/>
      <c r="AY202" s="335" t="s">
        <v>662</v>
      </c>
      <c r="AZ202" s="335"/>
      <c r="BA202" s="336"/>
      <c r="BB202" s="337"/>
      <c r="BC202" s="337"/>
      <c r="BD202" s="337"/>
      <c r="BE202" s="337"/>
      <c r="BF202" s="337"/>
      <c r="BG202" s="337"/>
      <c r="BH202" s="338"/>
      <c r="BI202" s="338"/>
      <c r="BJ202" s="338"/>
      <c r="BK202" s="338"/>
      <c r="BL202" s="339"/>
      <c r="BM202" s="340"/>
      <c r="BN202" s="341">
        <v>0</v>
      </c>
      <c r="BO202" s="330"/>
      <c r="BP202" s="330"/>
      <c r="BQ202" s="330"/>
      <c r="BR202" s="330"/>
      <c r="BS202" s="330"/>
      <c r="BT202" s="330"/>
      <c r="BU202" s="335">
        <v>0</v>
      </c>
      <c r="BV202" s="335"/>
      <c r="BW202" s="335"/>
      <c r="BX202" s="335"/>
      <c r="BY202" s="335"/>
      <c r="BZ202" s="335"/>
      <c r="CA202" s="335"/>
      <c r="CB202" s="342">
        <v>0</v>
      </c>
      <c r="CC202" s="342">
        <v>0</v>
      </c>
      <c r="CD202" s="342"/>
      <c r="CE202" s="342"/>
      <c r="CF202" s="342"/>
      <c r="CG202" s="342"/>
      <c r="CH202" s="342"/>
      <c r="CI202" s="335"/>
      <c r="CJ202" s="335"/>
      <c r="CK202" s="335"/>
      <c r="CL202" s="335"/>
      <c r="CM202" s="335"/>
      <c r="CN202" s="335"/>
      <c r="CO202" s="335"/>
      <c r="CP202" s="343">
        <v>0</v>
      </c>
      <c r="CQ202" s="343">
        <v>0</v>
      </c>
      <c r="CR202" s="343">
        <v>0</v>
      </c>
      <c r="CS202" s="343">
        <v>0</v>
      </c>
      <c r="CT202" s="343">
        <v>0</v>
      </c>
      <c r="CU202" s="343">
        <v>0</v>
      </c>
      <c r="CV202" s="343">
        <v>0</v>
      </c>
      <c r="CW202" s="344"/>
      <c r="CX202" s="345"/>
      <c r="CY202" s="345"/>
      <c r="CZ202" s="345"/>
      <c r="DA202" s="345"/>
      <c r="DB202" s="345"/>
      <c r="DC202" s="345"/>
      <c r="DD202" s="345"/>
      <c r="DE202" s="345"/>
      <c r="DF202" s="345"/>
      <c r="DG202" s="345"/>
      <c r="DH202" s="345"/>
      <c r="DI202" s="345"/>
      <c r="DJ202" s="345"/>
      <c r="DK202" s="289" t="s">
        <v>452</v>
      </c>
      <c r="DL202" s="344">
        <v>0</v>
      </c>
      <c r="DM202" s="344">
        <v>0</v>
      </c>
      <c r="DN202" s="344">
        <v>0</v>
      </c>
      <c r="DO202" s="344">
        <v>0</v>
      </c>
      <c r="DP202" s="344">
        <v>0</v>
      </c>
      <c r="DQ202" s="344">
        <v>0</v>
      </c>
      <c r="DR202" s="344">
        <v>0</v>
      </c>
      <c r="DS202" s="346"/>
      <c r="DT202" s="360"/>
      <c r="DU202" s="360"/>
      <c r="DV202" s="360"/>
      <c r="DW202" s="360"/>
      <c r="DX202" s="360"/>
      <c r="DY202" s="360"/>
      <c r="DZ202" s="360"/>
      <c r="EA202" s="360"/>
      <c r="EB202" s="360"/>
      <c r="EC202" s="360"/>
      <c r="ED202" s="360"/>
      <c r="EE202" s="360"/>
      <c r="EF202" s="360"/>
      <c r="EG202" s="360"/>
      <c r="EH202" s="360"/>
      <c r="EI202" s="360"/>
      <c r="EJ202" s="360"/>
      <c r="EK202" s="360"/>
      <c r="EL202" s="360"/>
      <c r="EM202" s="360"/>
      <c r="EN202" s="360"/>
      <c r="EO202" s="360"/>
      <c r="EP202" s="360"/>
      <c r="EQ202" s="360"/>
      <c r="ER202" s="1"/>
      <c r="ES202" s="1"/>
      <c r="ET202" s="1"/>
      <c r="EU202" s="1"/>
      <c r="EV202" s="1"/>
      <c r="EW202" s="1"/>
      <c r="EX202" s="1"/>
      <c r="EY202" s="1"/>
      <c r="EZ202" s="1"/>
      <c r="FA202" s="1"/>
      <c r="FB202" s="1"/>
      <c r="FC202" s="1"/>
      <c r="FD202" s="1"/>
      <c r="FE202" s="1"/>
      <c r="FF202" s="1"/>
      <c r="FG202" s="1"/>
      <c r="FH202" s="1"/>
      <c r="FI202" s="1"/>
      <c r="FJ202" s="1"/>
      <c r="FK202" s="1"/>
      <c r="FL202" s="1"/>
      <c r="FM202" s="1"/>
      <c r="FN202" s="1"/>
      <c r="FO202" s="1"/>
      <c r="FP202" s="1"/>
      <c r="FQ202" s="1"/>
      <c r="FR202" s="1"/>
      <c r="FS202" s="1"/>
      <c r="FT202" s="1"/>
      <c r="FU202" s="1"/>
      <c r="FV202" s="1"/>
      <c r="FW202" s="1"/>
      <c r="FX202" s="1"/>
      <c r="FY202" s="1"/>
      <c r="FZ202" s="1"/>
      <c r="GA202" s="1"/>
      <c r="GB202" s="1"/>
      <c r="GC202" s="1"/>
      <c r="GD202" s="1"/>
      <c r="GE202" s="1"/>
      <c r="GF202" s="1"/>
      <c r="GG202" s="1"/>
      <c r="GH202" s="1"/>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row>
    <row r="203" spans="1:244" x14ac:dyDescent="0.35">
      <c r="A203" s="6" t="s">
        <v>1163</v>
      </c>
      <c r="B203" s="6" t="s">
        <v>1141</v>
      </c>
      <c r="C203" s="6" t="s">
        <v>655</v>
      </c>
      <c r="D203" s="6" t="s">
        <v>1029</v>
      </c>
      <c r="E203" s="6" t="s">
        <v>1142</v>
      </c>
      <c r="F203" s="6" t="s">
        <v>391</v>
      </c>
      <c r="G203" s="48" t="s">
        <v>1164</v>
      </c>
      <c r="H203" s="48" t="s">
        <v>1165</v>
      </c>
      <c r="I203" s="102">
        <v>65.489999999999995</v>
      </c>
      <c r="J203" s="102">
        <v>66.489999999999995</v>
      </c>
      <c r="K203" s="102">
        <v>67.489999999999995</v>
      </c>
      <c r="L203" s="102">
        <v>68.489999999999995</v>
      </c>
      <c r="M203" s="102">
        <v>69.489999999999995</v>
      </c>
      <c r="N203" s="102">
        <v>70.489999999999995</v>
      </c>
      <c r="O203" s="102">
        <v>71.489999999999995</v>
      </c>
      <c r="P203" s="94">
        <v>0</v>
      </c>
      <c r="Q203" s="102">
        <v>1.28</v>
      </c>
      <c r="R203" s="102">
        <v>1.28</v>
      </c>
      <c r="S203" s="102">
        <v>1.28</v>
      </c>
      <c r="T203" s="102">
        <v>1.28</v>
      </c>
      <c r="U203" s="102">
        <v>1.28</v>
      </c>
      <c r="V203" s="102">
        <v>1.28</v>
      </c>
      <c r="W203" s="102">
        <v>1.28</v>
      </c>
      <c r="X203" s="102">
        <v>0</v>
      </c>
      <c r="Y203" s="102">
        <v>0</v>
      </c>
      <c r="Z203" s="102">
        <v>0</v>
      </c>
      <c r="AA203" s="102">
        <v>0</v>
      </c>
      <c r="AB203" s="102">
        <v>0</v>
      </c>
      <c r="AC203" s="102">
        <v>0</v>
      </c>
      <c r="AD203" s="102">
        <v>0</v>
      </c>
      <c r="AE203" s="186">
        <v>0.08</v>
      </c>
      <c r="AF203" s="94">
        <v>0</v>
      </c>
      <c r="AG203" s="94">
        <v>30</v>
      </c>
      <c r="AH203" s="94">
        <v>30</v>
      </c>
      <c r="AI203" s="17">
        <v>0.57599999999999996</v>
      </c>
      <c r="AJ203" s="17" t="s">
        <v>660</v>
      </c>
      <c r="AK203" s="17" t="s">
        <v>745</v>
      </c>
      <c r="AL203" s="17"/>
      <c r="AM203" s="61"/>
      <c r="AN203" s="61"/>
      <c r="AO203" s="61"/>
      <c r="AP203" s="61"/>
      <c r="AQ203" s="61"/>
      <c r="AR203" s="61"/>
      <c r="AS203" s="64"/>
      <c r="AT203" s="64"/>
      <c r="AU203" s="64"/>
      <c r="AV203" s="132"/>
      <c r="AW203" s="132"/>
      <c r="AX203" s="132"/>
      <c r="AY203" s="28" t="s">
        <v>662</v>
      </c>
      <c r="AZ203" s="28"/>
      <c r="BA203" s="28"/>
      <c r="BB203" s="28"/>
      <c r="BC203" s="28"/>
      <c r="BD203" s="28"/>
      <c r="BE203" s="28"/>
      <c r="BF203" s="28"/>
      <c r="BG203" s="28"/>
      <c r="BH203" s="106"/>
      <c r="BI203" s="106"/>
      <c r="BJ203" s="106"/>
      <c r="BK203" s="106"/>
      <c r="BL203" s="137"/>
      <c r="BM203" s="123"/>
      <c r="BN203" s="139">
        <f>DL203-SUM(BN204:BN206)</f>
        <v>1006.95</v>
      </c>
      <c r="BO203" s="94">
        <f>BN203/3</f>
        <v>335.65000000000003</v>
      </c>
      <c r="BP203" s="94">
        <f>BO203/3</f>
        <v>111.88333333333334</v>
      </c>
      <c r="BQ203" s="94">
        <f>BP203/3</f>
        <v>37.294444444444444</v>
      </c>
      <c r="BR203" s="94">
        <f>BQ203/3</f>
        <v>12.431481481481482</v>
      </c>
      <c r="BS203" s="94"/>
      <c r="BT203" s="94"/>
      <c r="BU203" s="28">
        <f t="shared" ref="BU203:BU220" si="218">IF(BL203=1,BN203,0)</f>
        <v>0</v>
      </c>
      <c r="BV203" s="28"/>
      <c r="BW203" s="28"/>
      <c r="BX203" s="28"/>
      <c r="BY203" s="28"/>
      <c r="BZ203" s="28"/>
      <c r="CA203" s="28"/>
      <c r="CB203" s="99">
        <f t="shared" ref="CB203" si="219">DL203</f>
        <v>1006.95</v>
      </c>
      <c r="CC203" s="99">
        <f t="shared" ref="CC203:CE203" si="220">DM203</f>
        <v>1006.95</v>
      </c>
      <c r="CD203" s="99">
        <f t="shared" si="220"/>
        <v>1006.95</v>
      </c>
      <c r="CE203" s="99">
        <f t="shared" si="220"/>
        <v>1006.95</v>
      </c>
      <c r="CF203" s="389">
        <f>(CE203+CH203)/2</f>
        <v>566.91284999999993</v>
      </c>
      <c r="CG203" s="389">
        <f>DQ203*0.375</f>
        <v>377.60625000000005</v>
      </c>
      <c r="CH203" s="389">
        <f>CE203-(CE203-(CE203*0.05))*(0.92)</f>
        <v>126.87569999999994</v>
      </c>
      <c r="CI203" s="175"/>
      <c r="CJ203" s="175"/>
      <c r="CK203" s="175"/>
      <c r="CL203" s="175"/>
      <c r="CM203" s="175"/>
      <c r="CN203" s="175"/>
      <c r="CO203" s="175"/>
      <c r="CP203" s="176"/>
      <c r="CQ203" s="176"/>
      <c r="CR203" s="176"/>
      <c r="CS203" s="176"/>
      <c r="CT203" s="176"/>
      <c r="CU203" s="176"/>
      <c r="CV203" s="176"/>
      <c r="CW203" s="167"/>
      <c r="CX203" s="168"/>
      <c r="CY203" s="168"/>
      <c r="CZ203" s="168"/>
      <c r="DA203" s="168"/>
      <c r="DB203" s="168"/>
      <c r="DC203" s="168"/>
      <c r="DD203" s="172"/>
      <c r="DE203" s="172"/>
      <c r="DF203" s="172"/>
      <c r="DG203" s="172"/>
      <c r="DH203" s="172"/>
      <c r="DI203" s="172"/>
      <c r="DJ203" s="172"/>
      <c r="DK203" s="80" t="s">
        <v>699</v>
      </c>
      <c r="DL203" s="129">
        <f>ROUNDUP(VLOOKUP($F203,Activities!$A$9:$I$180,3,FALSE)/$AI203,2)</f>
        <v>1006.95</v>
      </c>
      <c r="DM203" s="129">
        <f>ROUNDUP(VLOOKUP($F203,Activities!$A$9:$I$180,4,FALSE)/$AI203,2)</f>
        <v>1006.95</v>
      </c>
      <c r="DN203" s="129">
        <f>ROUNDUP(VLOOKUP($F203,Activities!$A$9:$I$180,5,FALSE)/$AI203,2)</f>
        <v>1006.95</v>
      </c>
      <c r="DO203" s="129">
        <f>ROUNDUP(VLOOKUP($F203,Activities!$A$9:$I$180,6,FALSE)/$AI203,2)</f>
        <v>1006.95</v>
      </c>
      <c r="DP203" s="129">
        <f>ROUNDUP(VLOOKUP($F203,Activities!$A$9:$I$180,7,FALSE)/$AI203,2)</f>
        <v>1006.95</v>
      </c>
      <c r="DQ203" s="129">
        <f>ROUNDUP(VLOOKUP($F203,Activities!$A$9:$I$180,8,FALSE)/$AI203,2)</f>
        <v>1006.95</v>
      </c>
      <c r="DR203" s="129">
        <f>ROUNDUP(VLOOKUP($F203,Activities!$A$9:$I$180,9,FALSE)/$AI203,2)</f>
        <v>1006.95</v>
      </c>
      <c r="DS203" s="218"/>
      <c r="DT203" s="360"/>
      <c r="DU203" s="360"/>
      <c r="DV203" s="360"/>
      <c r="DW203" s="360"/>
      <c r="DX203" s="360"/>
      <c r="DY203" s="360"/>
      <c r="DZ203" s="360"/>
      <c r="EA203" s="360"/>
      <c r="EB203" s="360"/>
      <c r="EC203" s="360"/>
      <c r="ED203" s="360"/>
      <c r="EE203" s="360"/>
      <c r="EF203" s="360"/>
      <c r="EG203" s="360"/>
      <c r="EH203" s="360"/>
      <c r="EI203" s="360"/>
      <c r="EJ203" s="360"/>
      <c r="EK203" s="360"/>
      <c r="EL203" s="360"/>
      <c r="EM203" s="360"/>
      <c r="EN203" s="360"/>
      <c r="EO203" s="360"/>
      <c r="EP203" s="360"/>
      <c r="EQ203" s="360"/>
    </row>
    <row r="204" spans="1:244" x14ac:dyDescent="0.35">
      <c r="A204" s="5" t="s">
        <v>1166</v>
      </c>
      <c r="B204" s="5" t="s">
        <v>1141</v>
      </c>
      <c r="C204" s="5" t="s">
        <v>655</v>
      </c>
      <c r="D204" s="5" t="s">
        <v>1029</v>
      </c>
      <c r="E204" s="5" t="s">
        <v>1142</v>
      </c>
      <c r="F204" s="5" t="s">
        <v>391</v>
      </c>
      <c r="G204" s="47" t="s">
        <v>1167</v>
      </c>
      <c r="H204" s="47" t="s">
        <v>1165</v>
      </c>
      <c r="I204" s="101">
        <f>I203*1.05</f>
        <v>68.764499999999998</v>
      </c>
      <c r="J204" s="101">
        <f t="shared" ref="J204:O204" si="221">J203*1.05</f>
        <v>69.814499999999995</v>
      </c>
      <c r="K204" s="101">
        <f t="shared" si="221"/>
        <v>70.864499999999992</v>
      </c>
      <c r="L204" s="101">
        <f t="shared" si="221"/>
        <v>71.914500000000004</v>
      </c>
      <c r="M204" s="101">
        <f t="shared" si="221"/>
        <v>72.964500000000001</v>
      </c>
      <c r="N204" s="101">
        <f t="shared" si="221"/>
        <v>74.014499999999998</v>
      </c>
      <c r="O204" s="101">
        <f t="shared" si="221"/>
        <v>75.064499999999995</v>
      </c>
      <c r="P204" s="93">
        <v>0</v>
      </c>
      <c r="Q204" s="101">
        <v>1.28</v>
      </c>
      <c r="R204" s="101">
        <v>1.28</v>
      </c>
      <c r="S204" s="101">
        <v>1.28</v>
      </c>
      <c r="T204" s="101">
        <v>1.28</v>
      </c>
      <c r="U204" s="101">
        <v>1.28</v>
      </c>
      <c r="V204" s="101">
        <v>1.28</v>
      </c>
      <c r="W204" s="101">
        <v>1.28</v>
      </c>
      <c r="X204" s="101">
        <v>0</v>
      </c>
      <c r="Y204" s="101">
        <v>0</v>
      </c>
      <c r="Z204" s="101">
        <v>0</v>
      </c>
      <c r="AA204" s="101">
        <v>0</v>
      </c>
      <c r="AB204" s="101">
        <v>0</v>
      </c>
      <c r="AC204" s="101">
        <v>0</v>
      </c>
      <c r="AD204" s="101">
        <v>0</v>
      </c>
      <c r="AE204" s="186">
        <v>0.08</v>
      </c>
      <c r="AF204" s="93">
        <v>0</v>
      </c>
      <c r="AG204" s="93">
        <v>30</v>
      </c>
      <c r="AH204" s="93">
        <v>30</v>
      </c>
      <c r="AI204" s="16">
        <v>0.57599999999999996</v>
      </c>
      <c r="AJ204" s="16" t="s">
        <v>660</v>
      </c>
      <c r="AK204" s="16" t="s">
        <v>745</v>
      </c>
      <c r="AL204" s="16"/>
      <c r="AM204" s="60"/>
      <c r="AN204" s="60"/>
      <c r="AO204" s="60"/>
      <c r="AP204" s="60"/>
      <c r="AQ204" s="60"/>
      <c r="AR204" s="60"/>
      <c r="AS204" s="63"/>
      <c r="AT204" s="63"/>
      <c r="AU204" s="63"/>
      <c r="AV204" s="131"/>
      <c r="AW204" s="131"/>
      <c r="AX204" s="131"/>
      <c r="AY204" s="27" t="s">
        <v>662</v>
      </c>
      <c r="AZ204" s="27"/>
      <c r="BA204" s="27"/>
      <c r="BB204" s="30"/>
      <c r="BC204" s="30"/>
      <c r="BD204" s="30"/>
      <c r="BE204" s="30"/>
      <c r="BF204" s="30"/>
      <c r="BG204" s="30"/>
      <c r="BH204" s="107"/>
      <c r="BI204" s="107"/>
      <c r="BJ204" s="107"/>
      <c r="BK204" s="107"/>
      <c r="BL204" s="136"/>
      <c r="BM204" s="122"/>
      <c r="BN204" s="138">
        <v>0</v>
      </c>
      <c r="BO204" s="93"/>
      <c r="BP204" s="93"/>
      <c r="BQ204" s="93"/>
      <c r="BR204" s="93"/>
      <c r="BS204" s="93"/>
      <c r="BT204" s="93"/>
      <c r="BU204" s="27">
        <f t="shared" si="218"/>
        <v>0</v>
      </c>
      <c r="BV204" s="27"/>
      <c r="BW204" s="27"/>
      <c r="BX204" s="27"/>
      <c r="BY204" s="27"/>
      <c r="BZ204" s="27"/>
      <c r="CA204" s="27"/>
      <c r="CB204" s="97"/>
      <c r="CC204" s="97">
        <v>50</v>
      </c>
      <c r="CD204" s="97">
        <v>200</v>
      </c>
      <c r="CE204" s="97">
        <v>250</v>
      </c>
      <c r="CF204" s="97">
        <f t="shared" ref="CF204:CH205" si="222">DP204</f>
        <v>1006.95</v>
      </c>
      <c r="CG204" s="97">
        <f t="shared" si="222"/>
        <v>1006.95</v>
      </c>
      <c r="CH204" s="97">
        <f t="shared" si="222"/>
        <v>1006.95</v>
      </c>
      <c r="CI204" s="173"/>
      <c r="CJ204" s="173"/>
      <c r="CK204" s="173"/>
      <c r="CL204" s="173"/>
      <c r="CM204" s="173"/>
      <c r="CN204" s="173"/>
      <c r="CO204" s="173"/>
      <c r="CP204" s="174"/>
      <c r="CQ204" s="174"/>
      <c r="CR204" s="174"/>
      <c r="CS204" s="174"/>
      <c r="CT204" s="174"/>
      <c r="CU204" s="174"/>
      <c r="CV204" s="174"/>
      <c r="CW204" s="165"/>
      <c r="CX204" s="166"/>
      <c r="CY204" s="166"/>
      <c r="CZ204" s="166"/>
      <c r="DA204" s="166"/>
      <c r="DB204" s="166"/>
      <c r="DC204" s="166"/>
      <c r="DD204" s="171"/>
      <c r="DE204" s="171"/>
      <c r="DF204" s="171"/>
      <c r="DG204" s="171"/>
      <c r="DH204" s="171"/>
      <c r="DI204" s="171"/>
      <c r="DJ204" s="171"/>
      <c r="DK204" s="79" t="s">
        <v>452</v>
      </c>
      <c r="DL204" s="128">
        <f>ROUNDUP(VLOOKUP($F204,Activities!$A$9:$I$180,3,FALSE)/$AI204,2)</f>
        <v>1006.95</v>
      </c>
      <c r="DM204" s="128">
        <f>ROUNDUP(VLOOKUP($F204,Activities!$A$9:$I$180,4,FALSE)/$AI204,2)</f>
        <v>1006.95</v>
      </c>
      <c r="DN204" s="128">
        <f>ROUNDUP(VLOOKUP($F204,Activities!$A$9:$I$180,5,FALSE)/$AI204,2)</f>
        <v>1006.95</v>
      </c>
      <c r="DO204" s="128">
        <f>ROUNDUP(VLOOKUP($F204,Activities!$A$9:$I$180,6,FALSE)/$AI204,2)</f>
        <v>1006.95</v>
      </c>
      <c r="DP204" s="128">
        <f>ROUNDUP(VLOOKUP($F204,Activities!$A$9:$I$180,7,FALSE)/$AI204,2)</f>
        <v>1006.95</v>
      </c>
      <c r="DQ204" s="128">
        <f>ROUNDUP(VLOOKUP($F204,Activities!$A$9:$I$180,8,FALSE)/$AI204,2)</f>
        <v>1006.95</v>
      </c>
      <c r="DR204" s="128">
        <f>ROUNDUP(VLOOKUP($F204,Activities!$A$9:$I$180,9,FALSE)/$AI204,2)</f>
        <v>1006.95</v>
      </c>
      <c r="DS204" s="218"/>
      <c r="DT204" s="360"/>
      <c r="DU204" s="360"/>
      <c r="DV204" s="360"/>
      <c r="DW204" s="360"/>
      <c r="DX204" s="360"/>
      <c r="DY204" s="360"/>
      <c r="DZ204" s="360"/>
      <c r="EA204" s="360"/>
      <c r="EB204" s="360"/>
      <c r="EC204" s="360"/>
      <c r="ED204" s="360"/>
      <c r="EE204" s="360"/>
      <c r="EF204" s="360"/>
      <c r="EG204" s="360"/>
      <c r="EH204" s="360"/>
      <c r="EI204" s="360"/>
      <c r="EJ204" s="360"/>
      <c r="EK204" s="360"/>
      <c r="EL204" s="360"/>
      <c r="EM204" s="360"/>
      <c r="EN204" s="360"/>
      <c r="EO204" s="360"/>
      <c r="EP204" s="360"/>
      <c r="EQ204" s="360"/>
    </row>
    <row r="205" spans="1:244" x14ac:dyDescent="0.35">
      <c r="A205" s="6" t="s">
        <v>1168</v>
      </c>
      <c r="B205" s="6" t="s">
        <v>1141</v>
      </c>
      <c r="C205" s="6" t="s">
        <v>655</v>
      </c>
      <c r="D205" s="6" t="s">
        <v>1029</v>
      </c>
      <c r="E205" s="6" t="s">
        <v>1142</v>
      </c>
      <c r="F205" s="6" t="s">
        <v>391</v>
      </c>
      <c r="G205" s="48" t="s">
        <v>1169</v>
      </c>
      <c r="H205" s="48" t="s">
        <v>1165</v>
      </c>
      <c r="I205" s="102">
        <f>I203*1.01</f>
        <v>66.144899999999993</v>
      </c>
      <c r="J205" s="102">
        <f t="shared" ref="J205:O205" si="223">J203*1.01</f>
        <v>67.154899999999998</v>
      </c>
      <c r="K205" s="102">
        <f t="shared" si="223"/>
        <v>68.164899999999989</v>
      </c>
      <c r="L205" s="102">
        <f t="shared" si="223"/>
        <v>69.174899999999994</v>
      </c>
      <c r="M205" s="102">
        <f t="shared" si="223"/>
        <v>70.184899999999999</v>
      </c>
      <c r="N205" s="102">
        <f t="shared" si="223"/>
        <v>71.19489999999999</v>
      </c>
      <c r="O205" s="102">
        <f t="shared" si="223"/>
        <v>72.204899999999995</v>
      </c>
      <c r="P205" s="94">
        <v>0</v>
      </c>
      <c r="Q205" s="102">
        <v>1.28</v>
      </c>
      <c r="R205" s="102">
        <v>1.28</v>
      </c>
      <c r="S205" s="102">
        <v>1.28</v>
      </c>
      <c r="T205" s="102">
        <v>1.28</v>
      </c>
      <c r="U205" s="102">
        <v>1.28</v>
      </c>
      <c r="V205" s="102">
        <v>1.28</v>
      </c>
      <c r="W205" s="102">
        <v>1.28</v>
      </c>
      <c r="X205" s="102">
        <v>0</v>
      </c>
      <c r="Y205" s="102">
        <v>0</v>
      </c>
      <c r="Z205" s="102">
        <v>0</v>
      </c>
      <c r="AA205" s="102">
        <v>0</v>
      </c>
      <c r="AB205" s="102">
        <v>0</v>
      </c>
      <c r="AC205" s="102">
        <v>0</v>
      </c>
      <c r="AD205" s="102">
        <v>0</v>
      </c>
      <c r="AE205" s="186">
        <v>0.08</v>
      </c>
      <c r="AF205" s="94">
        <v>0</v>
      </c>
      <c r="AG205" s="94">
        <v>30</v>
      </c>
      <c r="AH205" s="94">
        <v>30</v>
      </c>
      <c r="AI205" s="17">
        <v>0.57599999999999996</v>
      </c>
      <c r="AJ205" s="17" t="s">
        <v>660</v>
      </c>
      <c r="AK205" s="17" t="s">
        <v>745</v>
      </c>
      <c r="AL205" s="17"/>
      <c r="AM205" s="61"/>
      <c r="AN205" s="61"/>
      <c r="AO205" s="61"/>
      <c r="AP205" s="61"/>
      <c r="AQ205" s="61"/>
      <c r="AR205" s="61"/>
      <c r="AS205" s="64"/>
      <c r="AT205" s="64"/>
      <c r="AU205" s="64"/>
      <c r="AV205" s="132"/>
      <c r="AW205" s="132"/>
      <c r="AX205" s="132"/>
      <c r="AY205" s="28" t="s">
        <v>662</v>
      </c>
      <c r="AZ205" s="28"/>
      <c r="BA205" s="28"/>
      <c r="BB205" s="28"/>
      <c r="BC205" s="28"/>
      <c r="BD205" s="28"/>
      <c r="BE205" s="28"/>
      <c r="BF205" s="28"/>
      <c r="BG205" s="28"/>
      <c r="BH205" s="106"/>
      <c r="BI205" s="106"/>
      <c r="BJ205" s="106"/>
      <c r="BK205" s="106"/>
      <c r="BL205" s="137"/>
      <c r="BM205" s="123"/>
      <c r="BN205" s="139">
        <v>0</v>
      </c>
      <c r="BO205" s="94"/>
      <c r="BP205" s="94"/>
      <c r="BQ205" s="94"/>
      <c r="BR205" s="94"/>
      <c r="BS205" s="94"/>
      <c r="BT205" s="94"/>
      <c r="BU205" s="28">
        <f t="shared" si="218"/>
        <v>0</v>
      </c>
      <c r="BV205" s="28"/>
      <c r="BW205" s="28"/>
      <c r="BX205" s="28"/>
      <c r="BY205" s="28"/>
      <c r="BZ205" s="28"/>
      <c r="CA205" s="28"/>
      <c r="CB205" s="99"/>
      <c r="CC205" s="99">
        <v>50</v>
      </c>
      <c r="CD205" s="99">
        <v>200</v>
      </c>
      <c r="CE205" s="99">
        <v>250</v>
      </c>
      <c r="CF205" s="99">
        <f t="shared" si="222"/>
        <v>1006.95</v>
      </c>
      <c r="CG205" s="99">
        <f t="shared" si="222"/>
        <v>1006.95</v>
      </c>
      <c r="CH205" s="99">
        <f t="shared" si="222"/>
        <v>1006.95</v>
      </c>
      <c r="CI205" s="175"/>
      <c r="CJ205" s="175"/>
      <c r="CK205" s="175"/>
      <c r="CL205" s="175"/>
      <c r="CM205" s="175"/>
      <c r="CN205" s="175"/>
      <c r="CO205" s="175"/>
      <c r="CP205" s="176"/>
      <c r="CQ205" s="176"/>
      <c r="CR205" s="176"/>
      <c r="CS205" s="176"/>
      <c r="CT205" s="176"/>
      <c r="CU205" s="176"/>
      <c r="CV205" s="176"/>
      <c r="CW205" s="167"/>
      <c r="CX205" s="168"/>
      <c r="CY205" s="168"/>
      <c r="CZ205" s="168"/>
      <c r="DA205" s="168"/>
      <c r="DB205" s="168"/>
      <c r="DC205" s="168"/>
      <c r="DD205" s="172"/>
      <c r="DE205" s="172"/>
      <c r="DF205" s="172"/>
      <c r="DG205" s="172"/>
      <c r="DH205" s="172"/>
      <c r="DI205" s="172"/>
      <c r="DJ205" s="172"/>
      <c r="DK205" s="80" t="s">
        <v>452</v>
      </c>
      <c r="DL205" s="129">
        <f>ROUNDUP(VLOOKUP($F205,Activities!$A$9:$I$180,3,FALSE)/$AI205,2)</f>
        <v>1006.95</v>
      </c>
      <c r="DM205" s="129">
        <f>ROUNDUP(VLOOKUP($F205,Activities!$A$9:$I$180,4,FALSE)/$AI205,2)</f>
        <v>1006.95</v>
      </c>
      <c r="DN205" s="129">
        <f>ROUNDUP(VLOOKUP($F205,Activities!$A$9:$I$180,5,FALSE)/$AI205,2)</f>
        <v>1006.95</v>
      </c>
      <c r="DO205" s="129">
        <f>ROUNDUP(VLOOKUP($F205,Activities!$A$9:$I$180,6,FALSE)/$AI205,2)</f>
        <v>1006.95</v>
      </c>
      <c r="DP205" s="129">
        <f>ROUNDUP(VLOOKUP($F205,Activities!$A$9:$I$180,7,FALSE)/$AI205,2)</f>
        <v>1006.95</v>
      </c>
      <c r="DQ205" s="129">
        <f>ROUNDUP(VLOOKUP($F205,Activities!$A$9:$I$180,8,FALSE)/$AI205,2)</f>
        <v>1006.95</v>
      </c>
      <c r="DR205" s="129">
        <f>ROUNDUP(VLOOKUP($F205,Activities!$A$9:$I$180,9,FALSE)/$AI205,2)</f>
        <v>1006.95</v>
      </c>
      <c r="DS205" s="218"/>
      <c r="DT205" s="360"/>
      <c r="DU205" s="360"/>
      <c r="DV205" s="360"/>
      <c r="DW205" s="360"/>
      <c r="DX205" s="360"/>
      <c r="DY205" s="360"/>
      <c r="DZ205" s="360"/>
      <c r="EA205" s="360"/>
      <c r="EB205" s="360"/>
      <c r="EC205" s="360"/>
      <c r="ED205" s="360"/>
      <c r="EE205" s="360"/>
      <c r="EF205" s="360"/>
      <c r="EG205" s="360"/>
      <c r="EH205" s="360"/>
      <c r="EI205" s="360"/>
      <c r="EJ205" s="360"/>
      <c r="EK205" s="360"/>
      <c r="EL205" s="360"/>
      <c r="EM205" s="360"/>
      <c r="EN205" s="360"/>
      <c r="EO205" s="360"/>
      <c r="EP205" s="360"/>
      <c r="EQ205" s="360"/>
    </row>
    <row r="206" spans="1:244" x14ac:dyDescent="0.35">
      <c r="A206" s="5" t="s">
        <v>1170</v>
      </c>
      <c r="B206" s="5" t="s">
        <v>1141</v>
      </c>
      <c r="C206" s="5" t="s">
        <v>655</v>
      </c>
      <c r="D206" s="5" t="s">
        <v>1029</v>
      </c>
      <c r="E206" s="5" t="s">
        <v>1142</v>
      </c>
      <c r="F206" s="5" t="s">
        <v>391</v>
      </c>
      <c r="G206" s="47" t="s">
        <v>1171</v>
      </c>
      <c r="H206" s="47" t="s">
        <v>1165</v>
      </c>
      <c r="I206" s="101">
        <v>144.56</v>
      </c>
      <c r="J206" s="101">
        <v>140.63399356141801</v>
      </c>
      <c r="K206" s="101">
        <v>136.78652011669928</v>
      </c>
      <c r="L206" s="101">
        <v>117.93387506674611</v>
      </c>
      <c r="M206" s="101">
        <v>100.96646935095687</v>
      </c>
      <c r="N206" s="101">
        <v>85.695829377577937</v>
      </c>
      <c r="O206" s="101">
        <v>79.97</v>
      </c>
      <c r="P206" s="93">
        <v>0</v>
      </c>
      <c r="Q206" s="101">
        <v>2.2400000000000002</v>
      </c>
      <c r="R206" s="101">
        <v>2.2400000000000002</v>
      </c>
      <c r="S206" s="101">
        <v>2.2400000000000002</v>
      </c>
      <c r="T206" s="101">
        <v>2.2400000000000002</v>
      </c>
      <c r="U206" s="101">
        <v>2.2400000000000002</v>
      </c>
      <c r="V206" s="101">
        <v>2.2400000000000002</v>
      </c>
      <c r="W206" s="101">
        <v>2.2400000000000002</v>
      </c>
      <c r="X206" s="101">
        <v>0</v>
      </c>
      <c r="Y206" s="101">
        <v>0</v>
      </c>
      <c r="Z206" s="101">
        <v>0</v>
      </c>
      <c r="AA206" s="101">
        <v>0</v>
      </c>
      <c r="AB206" s="101">
        <v>0</v>
      </c>
      <c r="AC206" s="101">
        <v>0</v>
      </c>
      <c r="AD206" s="101">
        <v>0</v>
      </c>
      <c r="AE206" s="186">
        <v>0.08</v>
      </c>
      <c r="AF206" s="93">
        <v>0</v>
      </c>
      <c r="AG206" s="93">
        <v>30</v>
      </c>
      <c r="AH206" s="93">
        <v>30</v>
      </c>
      <c r="AI206" s="16">
        <v>0.57599999999999996</v>
      </c>
      <c r="AJ206" s="16" t="s">
        <v>660</v>
      </c>
      <c r="AK206" s="16" t="s">
        <v>745</v>
      </c>
      <c r="AL206" s="16"/>
      <c r="AM206" s="60"/>
      <c r="AN206" s="60"/>
      <c r="AO206" s="60"/>
      <c r="AP206" s="60"/>
      <c r="AQ206" s="60"/>
      <c r="AR206" s="60"/>
      <c r="AS206" s="63"/>
      <c r="AT206" s="63"/>
      <c r="AU206" s="63"/>
      <c r="AV206" s="131"/>
      <c r="AW206" s="131"/>
      <c r="AX206" s="131"/>
      <c r="AY206" s="27" t="s">
        <v>662</v>
      </c>
      <c r="AZ206" s="27"/>
      <c r="BA206" s="27"/>
      <c r="BB206" s="30"/>
      <c r="BC206" s="30"/>
      <c r="BD206" s="30"/>
      <c r="BE206" s="30"/>
      <c r="BF206" s="30"/>
      <c r="BG206" s="30"/>
      <c r="BH206" s="107"/>
      <c r="BI206" s="107"/>
      <c r="BJ206" s="107"/>
      <c r="BK206" s="107"/>
      <c r="BL206" s="136"/>
      <c r="BM206" s="122"/>
      <c r="BN206" s="138">
        <v>0</v>
      </c>
      <c r="BO206" s="93"/>
      <c r="BP206" s="93"/>
      <c r="BQ206" s="93"/>
      <c r="BR206" s="93"/>
      <c r="BS206" s="93"/>
      <c r="BT206" s="93"/>
      <c r="BU206" s="27">
        <f t="shared" si="218"/>
        <v>0</v>
      </c>
      <c r="BV206" s="27"/>
      <c r="BW206" s="27"/>
      <c r="BX206" s="27"/>
      <c r="BY206" s="27"/>
      <c r="BZ206" s="27"/>
      <c r="CA206" s="27"/>
      <c r="CB206" s="185">
        <v>0</v>
      </c>
      <c r="CC206" s="185">
        <v>0</v>
      </c>
      <c r="CD206" s="185">
        <v>0</v>
      </c>
      <c r="CE206" s="185">
        <v>0</v>
      </c>
      <c r="CF206" s="185">
        <v>0</v>
      </c>
      <c r="CG206" s="185">
        <v>0</v>
      </c>
      <c r="CH206" s="185">
        <v>0</v>
      </c>
      <c r="CI206" s="173"/>
      <c r="CJ206" s="173"/>
      <c r="CK206" s="173"/>
      <c r="CL206" s="173"/>
      <c r="CM206" s="173"/>
      <c r="CN206" s="173"/>
      <c r="CO206" s="173"/>
      <c r="CP206" s="174"/>
      <c r="CQ206" s="174"/>
      <c r="CR206" s="174"/>
      <c r="CS206" s="174"/>
      <c r="CT206" s="174"/>
      <c r="CU206" s="174"/>
      <c r="CV206" s="174"/>
      <c r="CW206" s="165"/>
      <c r="CX206" s="166"/>
      <c r="CY206" s="166"/>
      <c r="CZ206" s="166"/>
      <c r="DA206" s="166"/>
      <c r="DB206" s="166"/>
      <c r="DC206" s="166"/>
      <c r="DD206" s="171"/>
      <c r="DE206" s="171"/>
      <c r="DF206" s="171"/>
      <c r="DG206" s="171"/>
      <c r="DH206" s="171"/>
      <c r="DI206" s="171"/>
      <c r="DJ206" s="171"/>
      <c r="DK206" s="79" t="s">
        <v>502</v>
      </c>
      <c r="DL206" s="128">
        <f>ROUNDUP(VLOOKUP($F206,Activities!$A$9:$I$180,3,FALSE)/$AI206,2)</f>
        <v>1006.95</v>
      </c>
      <c r="DM206" s="128">
        <f>ROUNDUP(VLOOKUP($F206,Activities!$A$9:$I$180,4,FALSE)/$AI206,2)</f>
        <v>1006.95</v>
      </c>
      <c r="DN206" s="128">
        <f>ROUNDUP(VLOOKUP($F206,Activities!$A$9:$I$180,5,FALSE)/$AI206,2)</f>
        <v>1006.95</v>
      </c>
      <c r="DO206" s="128">
        <f>ROUNDUP(VLOOKUP($F206,Activities!$A$9:$I$180,6,FALSE)/$AI206,2)</f>
        <v>1006.95</v>
      </c>
      <c r="DP206" s="128">
        <f>ROUNDUP(VLOOKUP($F206,Activities!$A$9:$I$180,7,FALSE)/$AI206,2)</f>
        <v>1006.95</v>
      </c>
      <c r="DQ206" s="128">
        <f>ROUNDUP(VLOOKUP($F206,Activities!$A$9:$I$180,8,FALSE)/$AI206,2)</f>
        <v>1006.95</v>
      </c>
      <c r="DR206" s="128">
        <f>ROUNDUP(VLOOKUP($F206,Activities!$A$9:$I$180,9,FALSE)/$AI206,2)</f>
        <v>1006.95</v>
      </c>
      <c r="DS206" s="218"/>
      <c r="DT206" s="360"/>
      <c r="DU206" s="360"/>
      <c r="DV206" s="360"/>
      <c r="DW206" s="360"/>
      <c r="DX206" s="360"/>
      <c r="DY206" s="360"/>
      <c r="DZ206" s="360"/>
      <c r="EA206" s="360"/>
      <c r="EB206" s="360"/>
      <c r="EC206" s="360"/>
      <c r="ED206" s="360"/>
      <c r="EE206" s="360"/>
      <c r="EF206" s="360"/>
      <c r="EG206" s="360"/>
      <c r="EH206" s="360"/>
      <c r="EI206" s="360"/>
      <c r="EJ206" s="360"/>
      <c r="EK206" s="360"/>
      <c r="EL206" s="360"/>
      <c r="EM206" s="360"/>
      <c r="EN206" s="360"/>
      <c r="EO206" s="360"/>
      <c r="EP206" s="360"/>
      <c r="EQ206" s="360"/>
    </row>
    <row r="207" spans="1:244" s="310" customFormat="1" x14ac:dyDescent="0.35">
      <c r="A207" s="290" t="s">
        <v>1172</v>
      </c>
      <c r="B207" s="290" t="s">
        <v>1141</v>
      </c>
      <c r="C207" s="290" t="s">
        <v>655</v>
      </c>
      <c r="D207" s="290" t="s">
        <v>1029</v>
      </c>
      <c r="E207" s="290" t="s">
        <v>1142</v>
      </c>
      <c r="F207" s="290" t="s">
        <v>391</v>
      </c>
      <c r="G207" s="291" t="s">
        <v>1173</v>
      </c>
      <c r="H207" s="291" t="s">
        <v>1165</v>
      </c>
      <c r="I207" s="292">
        <v>65.489999999999995</v>
      </c>
      <c r="J207" s="292">
        <v>65.489999999999995</v>
      </c>
      <c r="K207" s="292">
        <v>65.489999999999995</v>
      </c>
      <c r="L207" s="292">
        <v>65.489999999999995</v>
      </c>
      <c r="M207" s="292">
        <v>65.489999999999995</v>
      </c>
      <c r="N207" s="292">
        <v>65.489999999999995</v>
      </c>
      <c r="O207" s="292">
        <v>65.489999999999995</v>
      </c>
      <c r="P207" s="293">
        <v>0</v>
      </c>
      <c r="Q207" s="292">
        <v>1.28</v>
      </c>
      <c r="R207" s="292">
        <v>1.28</v>
      </c>
      <c r="S207" s="292">
        <v>1.28</v>
      </c>
      <c r="T207" s="292">
        <v>1.28</v>
      </c>
      <c r="U207" s="292">
        <v>1.28</v>
      </c>
      <c r="V207" s="292">
        <v>1.28</v>
      </c>
      <c r="W207" s="292">
        <v>1.28</v>
      </c>
      <c r="X207" s="292">
        <v>0</v>
      </c>
      <c r="Y207" s="292">
        <v>0</v>
      </c>
      <c r="Z207" s="292">
        <v>0</v>
      </c>
      <c r="AA207" s="292">
        <v>0</v>
      </c>
      <c r="AB207" s="292">
        <v>0</v>
      </c>
      <c r="AC207" s="292">
        <v>0</v>
      </c>
      <c r="AD207" s="292">
        <v>0</v>
      </c>
      <c r="AE207" s="186">
        <v>0.08</v>
      </c>
      <c r="AF207" s="293">
        <v>0</v>
      </c>
      <c r="AG207" s="293">
        <v>30</v>
      </c>
      <c r="AH207" s="293">
        <v>30</v>
      </c>
      <c r="AI207" s="294">
        <v>0.57599999999999996</v>
      </c>
      <c r="AJ207" s="294" t="s">
        <v>660</v>
      </c>
      <c r="AK207" s="294" t="s">
        <v>745</v>
      </c>
      <c r="AL207" s="294"/>
      <c r="AM207" s="295"/>
      <c r="AN207" s="295"/>
      <c r="AO207" s="295"/>
      <c r="AP207" s="295"/>
      <c r="AQ207" s="295"/>
      <c r="AR207" s="295"/>
      <c r="AS207" s="296"/>
      <c r="AT207" s="296"/>
      <c r="AU207" s="296"/>
      <c r="AV207" s="297"/>
      <c r="AW207" s="297"/>
      <c r="AX207" s="297"/>
      <c r="AY207" s="298" t="s">
        <v>662</v>
      </c>
      <c r="AZ207" s="298"/>
      <c r="BA207" s="298"/>
      <c r="BB207" s="298"/>
      <c r="BC207" s="298"/>
      <c r="BD207" s="298"/>
      <c r="BE207" s="298"/>
      <c r="BF207" s="298"/>
      <c r="BG207" s="298"/>
      <c r="BH207" s="317"/>
      <c r="BI207" s="317"/>
      <c r="BJ207" s="317"/>
      <c r="BK207" s="317"/>
      <c r="BL207" s="301"/>
      <c r="BM207" s="302"/>
      <c r="BN207" s="303">
        <v>0</v>
      </c>
      <c r="BO207" s="293"/>
      <c r="BP207" s="293"/>
      <c r="BQ207" s="293"/>
      <c r="BR207" s="293"/>
      <c r="BS207" s="293"/>
      <c r="BT207" s="293"/>
      <c r="BU207" s="298">
        <f t="shared" ref="BU207:BU209" si="224">IF(BL207=1,BN207,0)</f>
        <v>0</v>
      </c>
      <c r="BV207" s="298"/>
      <c r="BW207" s="298"/>
      <c r="BX207" s="298"/>
      <c r="BY207" s="298"/>
      <c r="BZ207" s="298"/>
      <c r="CA207" s="298"/>
      <c r="CB207" s="304"/>
      <c r="CC207" s="99"/>
      <c r="CD207" s="99"/>
      <c r="CE207" s="99"/>
      <c r="CF207" s="99"/>
      <c r="CG207" s="99"/>
      <c r="CH207" s="99"/>
      <c r="CI207" s="298"/>
      <c r="CJ207" s="298"/>
      <c r="CK207" s="298"/>
      <c r="CL207" s="298"/>
      <c r="CM207" s="298"/>
      <c r="CN207" s="298"/>
      <c r="CO207" s="298"/>
      <c r="CP207" s="305"/>
      <c r="CQ207" s="305"/>
      <c r="CR207" s="305"/>
      <c r="CS207" s="305"/>
      <c r="CT207" s="305"/>
      <c r="CU207" s="305"/>
      <c r="CV207" s="305"/>
      <c r="CW207" s="306"/>
      <c r="CX207" s="307"/>
      <c r="CY207" s="307"/>
      <c r="CZ207" s="307"/>
      <c r="DA207" s="307"/>
      <c r="DB207" s="307"/>
      <c r="DC207" s="307"/>
      <c r="DD207" s="307"/>
      <c r="DE207" s="307"/>
      <c r="DF207" s="307"/>
      <c r="DG207" s="307"/>
      <c r="DH207" s="307"/>
      <c r="DI207" s="307"/>
      <c r="DJ207" s="307"/>
      <c r="DK207" s="308" t="s">
        <v>452</v>
      </c>
      <c r="DL207" s="306">
        <f>ROUNDUP(VLOOKUP($F207,Activities!$A$9:$I$180,3,FALSE)/$AI207,2)</f>
        <v>1006.95</v>
      </c>
      <c r="DM207" s="306">
        <f>ROUNDUP(VLOOKUP($F207,Activities!$A$9:$I$180,4,FALSE)/$AI207,2)</f>
        <v>1006.95</v>
      </c>
      <c r="DN207" s="306">
        <f>ROUNDUP(VLOOKUP($F207,Activities!$A$9:$I$180,5,FALSE)/$AI207,2)</f>
        <v>1006.95</v>
      </c>
      <c r="DO207" s="306">
        <f>ROUNDUP(VLOOKUP($F207,Activities!$A$9:$I$180,6,FALSE)/$AI207,2)</f>
        <v>1006.95</v>
      </c>
      <c r="DP207" s="306">
        <f>ROUNDUP(VLOOKUP($F207,Activities!$A$9:$I$180,7,FALSE)/$AI207,2)</f>
        <v>1006.95</v>
      </c>
      <c r="DQ207" s="306">
        <f>ROUNDUP(VLOOKUP($F207,Activities!$A$9:$I$180,8,FALSE)/$AI207,2)</f>
        <v>1006.95</v>
      </c>
      <c r="DR207" s="306">
        <f>ROUNDUP(VLOOKUP($F207,Activities!$A$9:$I$180,9,FALSE)/$AI207,2)</f>
        <v>1006.95</v>
      </c>
      <c r="DS207" s="309"/>
      <c r="DT207" s="360"/>
      <c r="DU207" s="360"/>
      <c r="DV207" s="360"/>
      <c r="DW207" s="360"/>
      <c r="DX207" s="360"/>
      <c r="DY207" s="360"/>
      <c r="DZ207" s="360"/>
      <c r="EA207" s="360"/>
      <c r="EB207" s="360"/>
      <c r="EC207" s="360"/>
      <c r="ED207" s="360"/>
      <c r="EE207" s="360"/>
      <c r="EF207" s="360"/>
      <c r="EG207" s="360"/>
      <c r="EH207" s="360"/>
      <c r="EI207" s="360"/>
      <c r="EJ207" s="360"/>
      <c r="EK207" s="360"/>
      <c r="EL207" s="360"/>
      <c r="EM207" s="360"/>
      <c r="EN207" s="360"/>
      <c r="EO207" s="360"/>
      <c r="EP207" s="360"/>
      <c r="EQ207" s="360"/>
      <c r="ER207" s="1"/>
      <c r="ES207" s="1"/>
      <c r="ET207" s="1"/>
      <c r="EU207" s="1"/>
      <c r="EV207" s="1"/>
      <c r="EW207" s="1"/>
      <c r="EX207" s="1"/>
      <c r="EY207" s="1"/>
      <c r="EZ207" s="1"/>
      <c r="FA207" s="1"/>
      <c r="FB207" s="1"/>
      <c r="FC207" s="1"/>
      <c r="FD207" s="1"/>
      <c r="FE207" s="1"/>
      <c r="FF207" s="1"/>
      <c r="FG207" s="1"/>
      <c r="FH207" s="1"/>
      <c r="FI207" s="1"/>
      <c r="FJ207" s="1"/>
      <c r="FK207" s="1"/>
      <c r="FL207" s="1"/>
      <c r="FM207" s="1"/>
      <c r="FN207" s="1"/>
      <c r="FO207" s="1"/>
      <c r="FP207" s="1"/>
      <c r="FQ207" s="1"/>
      <c r="FR207" s="1"/>
      <c r="FS207" s="1"/>
      <c r="FT207" s="1"/>
      <c r="FU207" s="1"/>
      <c r="FV207" s="1"/>
      <c r="FW207" s="1"/>
      <c r="FX207" s="1"/>
      <c r="FY207" s="1"/>
      <c r="FZ207" s="1"/>
      <c r="GA207" s="1"/>
      <c r="GB207" s="1"/>
      <c r="GC207" s="1"/>
      <c r="GD207" s="1"/>
      <c r="GE207" s="1"/>
      <c r="GF207" s="1"/>
      <c r="GG207" s="1"/>
      <c r="GH207" s="1"/>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row>
    <row r="208" spans="1:244" s="347" customFormat="1" x14ac:dyDescent="0.35">
      <c r="A208" s="327" t="s">
        <v>1174</v>
      </c>
      <c r="B208" s="327" t="s">
        <v>1141</v>
      </c>
      <c r="C208" s="327" t="s">
        <v>655</v>
      </c>
      <c r="D208" s="327" t="s">
        <v>1029</v>
      </c>
      <c r="E208" s="327" t="s">
        <v>1142</v>
      </c>
      <c r="F208" s="327" t="s">
        <v>499</v>
      </c>
      <c r="G208" s="328" t="s">
        <v>1175</v>
      </c>
      <c r="H208" s="328" t="s">
        <v>659</v>
      </c>
      <c r="I208" s="329">
        <v>0</v>
      </c>
      <c r="J208" s="329">
        <v>0</v>
      </c>
      <c r="K208" s="329">
        <v>0</v>
      </c>
      <c r="L208" s="329">
        <v>0</v>
      </c>
      <c r="M208" s="329">
        <v>0</v>
      </c>
      <c r="N208" s="329">
        <v>0</v>
      </c>
      <c r="O208" s="329">
        <v>0</v>
      </c>
      <c r="P208" s="330"/>
      <c r="Q208" s="329">
        <v>0</v>
      </c>
      <c r="R208" s="329">
        <v>0</v>
      </c>
      <c r="S208" s="329">
        <v>0</v>
      </c>
      <c r="T208" s="329">
        <v>0</v>
      </c>
      <c r="U208" s="329">
        <v>0</v>
      </c>
      <c r="V208" s="329">
        <v>0</v>
      </c>
      <c r="W208" s="329">
        <v>0</v>
      </c>
      <c r="X208" s="329">
        <v>0</v>
      </c>
      <c r="Y208" s="329">
        <v>0</v>
      </c>
      <c r="Z208" s="329">
        <v>0</v>
      </c>
      <c r="AA208" s="329">
        <v>0</v>
      </c>
      <c r="AB208" s="329">
        <v>0</v>
      </c>
      <c r="AC208" s="329">
        <v>0</v>
      </c>
      <c r="AD208" s="329">
        <v>0</v>
      </c>
      <c r="AE208" s="186">
        <v>0.08</v>
      </c>
      <c r="AF208" s="330">
        <v>0</v>
      </c>
      <c r="AG208" s="330">
        <v>30</v>
      </c>
      <c r="AH208" s="330">
        <v>30</v>
      </c>
      <c r="AI208" s="331">
        <v>1</v>
      </c>
      <c r="AJ208" s="331" t="s">
        <v>660</v>
      </c>
      <c r="AK208" s="331" t="s">
        <v>745</v>
      </c>
      <c r="AL208" s="331"/>
      <c r="AM208" s="332"/>
      <c r="AN208" s="332"/>
      <c r="AO208" s="332"/>
      <c r="AP208" s="332"/>
      <c r="AQ208" s="332"/>
      <c r="AR208" s="332"/>
      <c r="AS208" s="333"/>
      <c r="AT208" s="333"/>
      <c r="AU208" s="333"/>
      <c r="AV208" s="334"/>
      <c r="AW208" s="334"/>
      <c r="AX208" s="334"/>
      <c r="AY208" s="335" t="s">
        <v>662</v>
      </c>
      <c r="AZ208" s="335"/>
      <c r="BA208" s="348"/>
      <c r="BB208" s="335"/>
      <c r="BC208" s="335"/>
      <c r="BD208" s="335"/>
      <c r="BE208" s="335"/>
      <c r="BF208" s="335"/>
      <c r="BG208" s="335"/>
      <c r="BH208" s="349"/>
      <c r="BI208" s="349"/>
      <c r="BJ208" s="349"/>
      <c r="BK208" s="349"/>
      <c r="BL208" s="339"/>
      <c r="BM208" s="340"/>
      <c r="BN208" s="341">
        <v>0</v>
      </c>
      <c r="BO208" s="330"/>
      <c r="BP208" s="330"/>
      <c r="BQ208" s="330"/>
      <c r="BR208" s="330"/>
      <c r="BS208" s="330"/>
      <c r="BT208" s="330"/>
      <c r="BU208" s="335">
        <f t="shared" si="224"/>
        <v>0</v>
      </c>
      <c r="BV208" s="335"/>
      <c r="BW208" s="335"/>
      <c r="BX208" s="335"/>
      <c r="BY208" s="335"/>
      <c r="BZ208" s="335"/>
      <c r="CA208" s="335"/>
      <c r="CB208" s="342">
        <v>0</v>
      </c>
      <c r="CC208" s="342">
        <v>0</v>
      </c>
      <c r="CD208" s="342"/>
      <c r="CE208" s="342"/>
      <c r="CF208" s="342"/>
      <c r="CG208" s="342"/>
      <c r="CH208" s="342"/>
      <c r="CI208" s="335"/>
      <c r="CJ208" s="335"/>
      <c r="CK208" s="335"/>
      <c r="CL208" s="335"/>
      <c r="CM208" s="335"/>
      <c r="CN208" s="335"/>
      <c r="CO208" s="335"/>
      <c r="CP208" s="343"/>
      <c r="CQ208" s="343"/>
      <c r="CR208" s="343"/>
      <c r="CS208" s="343"/>
      <c r="CT208" s="343"/>
      <c r="CU208" s="343"/>
      <c r="CV208" s="343"/>
      <c r="CW208" s="344"/>
      <c r="CX208" s="345"/>
      <c r="CY208" s="345"/>
      <c r="CZ208" s="345"/>
      <c r="DA208" s="345"/>
      <c r="DB208" s="345"/>
      <c r="DC208" s="345"/>
      <c r="DD208" s="345"/>
      <c r="DE208" s="345"/>
      <c r="DF208" s="345"/>
      <c r="DG208" s="345"/>
      <c r="DH208" s="345"/>
      <c r="DI208" s="345"/>
      <c r="DJ208" s="345"/>
      <c r="DK208" s="289" t="s">
        <v>452</v>
      </c>
      <c r="DL208" s="306">
        <f>ROUNDUP(VLOOKUP($F208,Activities!$A$9:$I$180,3,FALSE)/$AI208,2)</f>
        <v>0</v>
      </c>
      <c r="DM208" s="306">
        <f>ROUNDUP(VLOOKUP($F208,Activities!$A$9:$I$180,4,FALSE)/$AI208,2)</f>
        <v>0</v>
      </c>
      <c r="DN208" s="306">
        <f>ROUNDUP(VLOOKUP($F208,Activities!$A$9:$I$180,5,FALSE)/$AI208,2)</f>
        <v>0</v>
      </c>
      <c r="DO208" s="306">
        <f>ROUNDUP(VLOOKUP($F208,Activities!$A$9:$I$180,6,FALSE)/$AI208,2)</f>
        <v>0</v>
      </c>
      <c r="DP208" s="306">
        <f>ROUNDUP(VLOOKUP($F208,Activities!$A$9:$I$180,7,FALSE)/$AI208,2)</f>
        <v>0</v>
      </c>
      <c r="DQ208" s="306">
        <f>ROUNDUP(VLOOKUP($F208,Activities!$A$9:$I$180,8,FALSE)/$AI208,2)</f>
        <v>0</v>
      </c>
      <c r="DR208" s="306">
        <f>ROUNDUP(VLOOKUP($F208,Activities!$A$9:$I$180,9,FALSE)/$AI208,2)</f>
        <v>0</v>
      </c>
      <c r="DS208" s="346"/>
      <c r="DT208" s="360"/>
      <c r="DU208" s="360"/>
      <c r="DV208" s="360"/>
      <c r="DW208" s="360"/>
      <c r="DX208" s="360"/>
      <c r="DY208" s="360"/>
      <c r="DZ208" s="360"/>
      <c r="EA208" s="360"/>
      <c r="EB208" s="360"/>
      <c r="EC208" s="360"/>
      <c r="ED208" s="360"/>
      <c r="EE208" s="360"/>
      <c r="EF208" s="360"/>
      <c r="EG208" s="360"/>
      <c r="EH208" s="360"/>
      <c r="EI208" s="360"/>
      <c r="EJ208" s="360"/>
      <c r="EK208" s="360"/>
      <c r="EL208" s="360"/>
      <c r="EM208" s="360"/>
      <c r="EN208" s="360"/>
      <c r="EO208" s="360"/>
      <c r="EP208" s="360"/>
      <c r="EQ208" s="360"/>
      <c r="ER208" s="1"/>
      <c r="ES208" s="1"/>
      <c r="ET208" s="1"/>
      <c r="EU208" s="1"/>
      <c r="EV208" s="1"/>
      <c r="EW208" s="1"/>
      <c r="EX208" s="1"/>
      <c r="EY208" s="1"/>
      <c r="EZ208" s="1"/>
      <c r="FA208" s="1"/>
      <c r="FB208" s="1"/>
      <c r="FC208" s="1"/>
      <c r="FD208" s="1"/>
      <c r="FE208" s="1"/>
      <c r="FF208" s="1"/>
      <c r="FG208" s="1"/>
      <c r="FH208" s="1"/>
      <c r="FI208" s="1"/>
      <c r="FJ208" s="1"/>
      <c r="FK208" s="1"/>
      <c r="FL208" s="1"/>
      <c r="FM208" s="1"/>
      <c r="FN208" s="1"/>
      <c r="FO208" s="1"/>
      <c r="FP208" s="1"/>
      <c r="FQ208" s="1"/>
      <c r="FR208" s="1"/>
      <c r="FS208" s="1"/>
      <c r="FT208" s="1"/>
      <c r="FU208" s="1"/>
      <c r="FV208" s="1"/>
      <c r="FW208" s="1"/>
      <c r="FX208" s="1"/>
      <c r="FY208" s="1"/>
      <c r="FZ208" s="1"/>
      <c r="GA208" s="1"/>
      <c r="GB208" s="1"/>
      <c r="GC208" s="1"/>
      <c r="GD208" s="1"/>
      <c r="GE208" s="1"/>
      <c r="GF208" s="1"/>
      <c r="GG208" s="1"/>
      <c r="GH208" s="1"/>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row>
    <row r="209" spans="1:244" s="347" customFormat="1" x14ac:dyDescent="0.35">
      <c r="A209" s="327" t="s">
        <v>1176</v>
      </c>
      <c r="B209" s="327" t="s">
        <v>1141</v>
      </c>
      <c r="C209" s="327" t="s">
        <v>655</v>
      </c>
      <c r="D209" s="327" t="s">
        <v>1029</v>
      </c>
      <c r="E209" s="327" t="s">
        <v>1142</v>
      </c>
      <c r="F209" s="327" t="s">
        <v>547</v>
      </c>
      <c r="G209" s="328" t="s">
        <v>1177</v>
      </c>
      <c r="H209" s="328" t="s">
        <v>1162</v>
      </c>
      <c r="I209" s="329">
        <v>0</v>
      </c>
      <c r="J209" s="329">
        <v>0</v>
      </c>
      <c r="K209" s="329">
        <v>0</v>
      </c>
      <c r="L209" s="329">
        <v>0</v>
      </c>
      <c r="M209" s="329">
        <v>0</v>
      </c>
      <c r="N209" s="329">
        <v>0</v>
      </c>
      <c r="O209" s="329">
        <v>0</v>
      </c>
      <c r="P209" s="330"/>
      <c r="Q209" s="329">
        <v>0</v>
      </c>
      <c r="R209" s="329">
        <v>0</v>
      </c>
      <c r="S209" s="329">
        <v>0</v>
      </c>
      <c r="T209" s="329">
        <v>0</v>
      </c>
      <c r="U209" s="329">
        <v>0</v>
      </c>
      <c r="V209" s="329">
        <v>0</v>
      </c>
      <c r="W209" s="329">
        <v>0</v>
      </c>
      <c r="X209" s="329">
        <v>0</v>
      </c>
      <c r="Y209" s="329">
        <v>0</v>
      </c>
      <c r="Z209" s="329">
        <v>0</v>
      </c>
      <c r="AA209" s="329">
        <v>0</v>
      </c>
      <c r="AB209" s="329">
        <v>0</v>
      </c>
      <c r="AC209" s="329">
        <v>0</v>
      </c>
      <c r="AD209" s="329">
        <v>0</v>
      </c>
      <c r="AE209" s="186">
        <v>0.08</v>
      </c>
      <c r="AF209" s="330">
        <v>0</v>
      </c>
      <c r="AG209" s="330">
        <v>30</v>
      </c>
      <c r="AH209" s="330">
        <v>30</v>
      </c>
      <c r="AI209" s="331">
        <v>1</v>
      </c>
      <c r="AJ209" s="331" t="s">
        <v>660</v>
      </c>
      <c r="AK209" s="331" t="s">
        <v>745</v>
      </c>
      <c r="AL209" s="331"/>
      <c r="AM209" s="332"/>
      <c r="AN209" s="332"/>
      <c r="AO209" s="332"/>
      <c r="AP209" s="332"/>
      <c r="AQ209" s="332"/>
      <c r="AR209" s="332"/>
      <c r="AS209" s="333"/>
      <c r="AT209" s="333"/>
      <c r="AU209" s="333"/>
      <c r="AV209" s="334"/>
      <c r="AW209" s="334"/>
      <c r="AX209" s="334"/>
      <c r="AY209" s="335" t="s">
        <v>662</v>
      </c>
      <c r="AZ209" s="335"/>
      <c r="BA209" s="348"/>
      <c r="BB209" s="335"/>
      <c r="BC209" s="335"/>
      <c r="BD209" s="335"/>
      <c r="BE209" s="335"/>
      <c r="BF209" s="335"/>
      <c r="BG209" s="335"/>
      <c r="BH209" s="349"/>
      <c r="BI209" s="349"/>
      <c r="BJ209" s="349"/>
      <c r="BK209" s="349"/>
      <c r="BL209" s="339"/>
      <c r="BM209" s="340"/>
      <c r="BN209" s="341">
        <v>0</v>
      </c>
      <c r="BO209" s="330"/>
      <c r="BP209" s="330"/>
      <c r="BQ209" s="330"/>
      <c r="BR209" s="330"/>
      <c r="BS209" s="330"/>
      <c r="BT209" s="330"/>
      <c r="BU209" s="335">
        <f t="shared" si="224"/>
        <v>0</v>
      </c>
      <c r="BV209" s="335"/>
      <c r="BW209" s="335"/>
      <c r="BX209" s="335"/>
      <c r="BY209" s="335"/>
      <c r="BZ209" s="335"/>
      <c r="CA209" s="335"/>
      <c r="CB209" s="342">
        <v>0</v>
      </c>
      <c r="CC209" s="342">
        <v>0</v>
      </c>
      <c r="CD209" s="342"/>
      <c r="CE209" s="342"/>
      <c r="CF209" s="342"/>
      <c r="CG209" s="342"/>
      <c r="CH209" s="342"/>
      <c r="CI209" s="335"/>
      <c r="CJ209" s="335"/>
      <c r="CK209" s="335"/>
      <c r="CL209" s="335"/>
      <c r="CM209" s="335"/>
      <c r="CN209" s="335"/>
      <c r="CO209" s="335"/>
      <c r="CP209" s="343"/>
      <c r="CQ209" s="343"/>
      <c r="CR209" s="343"/>
      <c r="CS209" s="343"/>
      <c r="CT209" s="343"/>
      <c r="CU209" s="343"/>
      <c r="CV209" s="343"/>
      <c r="CW209" s="344"/>
      <c r="CX209" s="345"/>
      <c r="CY209" s="345"/>
      <c r="CZ209" s="345"/>
      <c r="DA209" s="345"/>
      <c r="DB209" s="345"/>
      <c r="DC209" s="345"/>
      <c r="DD209" s="345"/>
      <c r="DE209" s="345"/>
      <c r="DF209" s="345"/>
      <c r="DG209" s="345"/>
      <c r="DH209" s="345"/>
      <c r="DI209" s="345"/>
      <c r="DJ209" s="345"/>
      <c r="DK209" s="289" t="s">
        <v>452</v>
      </c>
      <c r="DL209" s="306">
        <f>ROUNDUP(VLOOKUP($F209,Activities!$A$9:$I$180,3,FALSE)/$AI209,2)</f>
        <v>0</v>
      </c>
      <c r="DM209" s="306">
        <f>ROUNDUP(VLOOKUP($F209,Activities!$A$9:$I$180,4,FALSE)/$AI209,2)</f>
        <v>0</v>
      </c>
      <c r="DN209" s="306">
        <f>ROUNDUP(VLOOKUP($F209,Activities!$A$9:$I$180,5,FALSE)/$AI209,2)</f>
        <v>0</v>
      </c>
      <c r="DO209" s="306">
        <f>ROUNDUP(VLOOKUP($F209,Activities!$A$9:$I$180,6,FALSE)/$AI209,2)</f>
        <v>0</v>
      </c>
      <c r="DP209" s="306">
        <f>ROUNDUP(VLOOKUP($F209,Activities!$A$9:$I$180,7,FALSE)/$AI209,2)</f>
        <v>0</v>
      </c>
      <c r="DQ209" s="306">
        <f>ROUNDUP(VLOOKUP($F209,Activities!$A$9:$I$180,8,FALSE)/$AI209,2)</f>
        <v>0</v>
      </c>
      <c r="DR209" s="306">
        <f>ROUNDUP(VLOOKUP($F209,Activities!$A$9:$I$180,9,FALSE)/$AI209,2)</f>
        <v>0</v>
      </c>
      <c r="DS209" s="346"/>
      <c r="DT209" s="360"/>
      <c r="DU209" s="360"/>
      <c r="DV209" s="360"/>
      <c r="DW209" s="360"/>
      <c r="DX209" s="360"/>
      <c r="DY209" s="360"/>
      <c r="DZ209" s="360"/>
      <c r="EA209" s="360"/>
      <c r="EB209" s="360"/>
      <c r="EC209" s="360"/>
      <c r="ED209" s="360"/>
      <c r="EE209" s="360"/>
      <c r="EF209" s="360"/>
      <c r="EG209" s="360"/>
      <c r="EH209" s="360"/>
      <c r="EI209" s="360"/>
      <c r="EJ209" s="360"/>
      <c r="EK209" s="360"/>
      <c r="EL209" s="360"/>
      <c r="EM209" s="360"/>
      <c r="EN209" s="360"/>
      <c r="EO209" s="360"/>
      <c r="EP209" s="360"/>
      <c r="EQ209" s="360"/>
      <c r="ER209" s="1"/>
      <c r="ES209" s="1"/>
      <c r="ET209" s="1"/>
      <c r="EU209" s="1"/>
      <c r="EV209" s="1"/>
      <c r="EW209" s="1"/>
      <c r="EX209" s="1"/>
      <c r="EY209" s="1"/>
      <c r="EZ209" s="1"/>
      <c r="FA209" s="1"/>
      <c r="FB209" s="1"/>
      <c r="FC209" s="1"/>
      <c r="FD209" s="1"/>
      <c r="FE209" s="1"/>
      <c r="FF209" s="1"/>
      <c r="FG209" s="1"/>
      <c r="FH209" s="1"/>
      <c r="FI209" s="1"/>
      <c r="FJ209" s="1"/>
      <c r="FK209" s="1"/>
      <c r="FL209" s="1"/>
      <c r="FM209" s="1"/>
      <c r="FN209" s="1"/>
      <c r="FO209" s="1"/>
      <c r="FP209" s="1"/>
      <c r="FQ209" s="1"/>
      <c r="FR209" s="1"/>
      <c r="FS209" s="1"/>
      <c r="FT209" s="1"/>
      <c r="FU209" s="1"/>
      <c r="FV209" s="1"/>
      <c r="FW209" s="1"/>
      <c r="FX209" s="1"/>
      <c r="FY209" s="1"/>
      <c r="FZ209" s="1"/>
      <c r="GA209" s="1"/>
      <c r="GB209" s="1"/>
      <c r="GC209" s="1"/>
      <c r="GD209" s="1"/>
      <c r="GE209" s="1"/>
      <c r="GF209" s="1"/>
      <c r="GG209" s="1"/>
      <c r="GH209" s="1"/>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row>
    <row r="210" spans="1:244" x14ac:dyDescent="0.35">
      <c r="A210" s="6" t="s">
        <v>1178</v>
      </c>
      <c r="B210" s="6" t="s">
        <v>654</v>
      </c>
      <c r="C210" s="6" t="s">
        <v>534</v>
      </c>
      <c r="D210" s="6" t="s">
        <v>656</v>
      </c>
      <c r="E210" s="6" t="s">
        <v>656</v>
      </c>
      <c r="F210" s="6" t="s">
        <v>393</v>
      </c>
      <c r="G210" s="48" t="s">
        <v>1179</v>
      </c>
      <c r="H210" s="48" t="s">
        <v>1162</v>
      </c>
      <c r="I210" s="102">
        <v>0</v>
      </c>
      <c r="J210" s="102">
        <v>0</v>
      </c>
      <c r="K210" s="102">
        <v>0</v>
      </c>
      <c r="L210" s="102">
        <v>0</v>
      </c>
      <c r="M210" s="102">
        <v>0</v>
      </c>
      <c r="N210" s="102">
        <v>0</v>
      </c>
      <c r="O210" s="102">
        <v>0</v>
      </c>
      <c r="P210" s="94">
        <v>0</v>
      </c>
      <c r="Q210" s="102">
        <v>0</v>
      </c>
      <c r="R210" s="102">
        <v>0</v>
      </c>
      <c r="S210" s="102">
        <v>0</v>
      </c>
      <c r="T210" s="102">
        <v>0</v>
      </c>
      <c r="U210" s="102">
        <v>0</v>
      </c>
      <c r="V210" s="102">
        <v>0</v>
      </c>
      <c r="W210" s="102">
        <v>0</v>
      </c>
      <c r="X210" s="102">
        <v>0</v>
      </c>
      <c r="Y210" s="102">
        <v>0</v>
      </c>
      <c r="Z210" s="102">
        <v>0</v>
      </c>
      <c r="AA210" s="102">
        <v>0</v>
      </c>
      <c r="AB210" s="102">
        <v>0</v>
      </c>
      <c r="AC210" s="102">
        <v>0</v>
      </c>
      <c r="AD210" s="102">
        <v>0</v>
      </c>
      <c r="AE210" s="186">
        <v>0.08</v>
      </c>
      <c r="AF210" s="94">
        <v>0</v>
      </c>
      <c r="AG210" s="94">
        <v>1</v>
      </c>
      <c r="AH210" s="94">
        <v>1</v>
      </c>
      <c r="AI210" s="17">
        <v>1</v>
      </c>
      <c r="AJ210" s="17" t="s">
        <v>660</v>
      </c>
      <c r="AK210" s="17" t="s">
        <v>745</v>
      </c>
      <c r="AL210" s="17"/>
      <c r="AM210" s="61"/>
      <c r="AN210" s="61"/>
      <c r="AO210" s="61"/>
      <c r="AP210" s="61"/>
      <c r="AQ210" s="61"/>
      <c r="AR210" s="61"/>
      <c r="AS210" s="64"/>
      <c r="AT210" s="64"/>
      <c r="AU210" s="64"/>
      <c r="AV210" s="132"/>
      <c r="AW210" s="132"/>
      <c r="AX210" s="132"/>
      <c r="AY210" s="28" t="s">
        <v>662</v>
      </c>
      <c r="AZ210" s="28"/>
      <c r="BA210" s="28"/>
      <c r="BB210" s="28"/>
      <c r="BC210" s="28"/>
      <c r="BD210" s="28"/>
      <c r="BE210" s="28"/>
      <c r="BF210" s="28"/>
      <c r="BG210" s="28"/>
      <c r="BH210" s="106"/>
      <c r="BI210" s="106"/>
      <c r="BJ210" s="106"/>
      <c r="BK210" s="106"/>
      <c r="BL210" s="137"/>
      <c r="BM210" s="123"/>
      <c r="BN210" s="139"/>
      <c r="BO210" s="94"/>
      <c r="BP210" s="94"/>
      <c r="BQ210" s="94"/>
      <c r="BR210" s="94"/>
      <c r="BS210" s="94"/>
      <c r="BT210" s="94"/>
      <c r="BU210" s="28">
        <f t="shared" si="218"/>
        <v>0</v>
      </c>
      <c r="BV210" s="28"/>
      <c r="BW210" s="28"/>
      <c r="BX210" s="28"/>
      <c r="BY210" s="28"/>
      <c r="BZ210" s="28"/>
      <c r="CA210" s="28"/>
      <c r="CB210" s="99">
        <f t="shared" ref="CB210:CB223" si="225">DL210</f>
        <v>0.4</v>
      </c>
      <c r="CC210" s="99">
        <f t="shared" ref="CC210:CC223" si="226">DM210</f>
        <v>0.35</v>
      </c>
      <c r="CD210" s="99">
        <f t="shared" ref="CD210:CD223" si="227">DN210</f>
        <v>0.3</v>
      </c>
      <c r="CE210" s="99">
        <f t="shared" ref="CE210:CH224" si="228">DO210</f>
        <v>0.3</v>
      </c>
      <c r="CF210" s="99">
        <f t="shared" si="228"/>
        <v>0.3</v>
      </c>
      <c r="CG210" s="99">
        <f t="shared" si="228"/>
        <v>0.3</v>
      </c>
      <c r="CH210" s="99">
        <f t="shared" si="228"/>
        <v>0.31</v>
      </c>
      <c r="CI210" s="175"/>
      <c r="CJ210" s="175"/>
      <c r="CK210" s="175"/>
      <c r="CL210" s="175"/>
      <c r="CM210" s="175"/>
      <c r="CN210" s="175"/>
      <c r="CO210" s="175"/>
      <c r="CP210" s="176"/>
      <c r="CQ210" s="176"/>
      <c r="CR210" s="176"/>
      <c r="CS210" s="176"/>
      <c r="CT210" s="176"/>
      <c r="CU210" s="176"/>
      <c r="CV210" s="176"/>
      <c r="CW210" s="167"/>
      <c r="CX210" s="168"/>
      <c r="CY210" s="168"/>
      <c r="CZ210" s="168"/>
      <c r="DA210" s="168"/>
      <c r="DB210" s="168"/>
      <c r="DC210" s="168"/>
      <c r="DD210" s="172"/>
      <c r="DE210" s="172"/>
      <c r="DF210" s="172"/>
      <c r="DG210" s="172"/>
      <c r="DH210" s="172"/>
      <c r="DI210" s="172"/>
      <c r="DJ210" s="172"/>
      <c r="DK210" s="80" t="s">
        <v>663</v>
      </c>
      <c r="DL210" s="306">
        <f>ROUNDUP(VLOOKUP($F210,Activities!$A$9:$I$180,3,FALSE)/$AI210,2)</f>
        <v>0.4</v>
      </c>
      <c r="DM210" s="306">
        <f>ROUNDUP(VLOOKUP($F210,Activities!$A$9:$I$180,4,FALSE)/$AI210,2)</f>
        <v>0.35</v>
      </c>
      <c r="DN210" s="306">
        <f>ROUNDUP(VLOOKUP($F210,Activities!$A$9:$I$180,5,FALSE)/$AI210,2)</f>
        <v>0.3</v>
      </c>
      <c r="DO210" s="306">
        <f>ROUNDUP(VLOOKUP($F210,Activities!$A$9:$I$180,6,FALSE)/$AI210,2)</f>
        <v>0.3</v>
      </c>
      <c r="DP210" s="306">
        <f>ROUNDUP(VLOOKUP($F210,Activities!$A$9:$I$180,7,FALSE)/$AI210,2)</f>
        <v>0.3</v>
      </c>
      <c r="DQ210" s="306">
        <f>ROUNDUP(VLOOKUP($F210,Activities!$A$9:$I$180,8,FALSE)/$AI210,2)</f>
        <v>0.3</v>
      </c>
      <c r="DR210" s="306">
        <f>ROUNDUP(VLOOKUP($F210,Activities!$A$9:$I$180,9,FALSE)/$AI210,2)</f>
        <v>0.31</v>
      </c>
      <c r="DS210" s="218"/>
      <c r="DT210" s="360"/>
      <c r="DU210" s="360"/>
      <c r="DV210" s="360"/>
      <c r="DW210" s="360"/>
      <c r="DX210" s="360"/>
      <c r="DY210" s="360"/>
      <c r="DZ210" s="360"/>
      <c r="EA210" s="360"/>
      <c r="EB210" s="360"/>
      <c r="EC210" s="360"/>
      <c r="ED210" s="360"/>
      <c r="EE210" s="360"/>
      <c r="EF210" s="360"/>
      <c r="EG210" s="360"/>
      <c r="EH210" s="360"/>
      <c r="EI210" s="360"/>
      <c r="EJ210" s="360"/>
      <c r="EK210" s="360"/>
      <c r="EL210" s="360"/>
      <c r="EM210" s="360"/>
      <c r="EN210" s="360"/>
      <c r="EO210" s="360"/>
      <c r="EP210" s="360"/>
      <c r="EQ210" s="360"/>
    </row>
    <row r="211" spans="1:244" x14ac:dyDescent="0.35">
      <c r="A211" s="5" t="s">
        <v>1180</v>
      </c>
      <c r="B211" s="5" t="s">
        <v>654</v>
      </c>
      <c r="C211" s="5" t="s">
        <v>534</v>
      </c>
      <c r="D211" s="5" t="s">
        <v>708</v>
      </c>
      <c r="E211" s="5" t="s">
        <v>708</v>
      </c>
      <c r="F211" s="5" t="s">
        <v>395</v>
      </c>
      <c r="G211" s="47" t="s">
        <v>1181</v>
      </c>
      <c r="H211" s="47" t="s">
        <v>1162</v>
      </c>
      <c r="I211" s="101">
        <v>0</v>
      </c>
      <c r="J211" s="101">
        <v>0</v>
      </c>
      <c r="K211" s="101">
        <v>0</v>
      </c>
      <c r="L211" s="101">
        <v>0</v>
      </c>
      <c r="M211" s="101">
        <v>0</v>
      </c>
      <c r="N211" s="101">
        <v>0</v>
      </c>
      <c r="O211" s="101">
        <v>0</v>
      </c>
      <c r="P211" s="93">
        <v>0</v>
      </c>
      <c r="Q211" s="101">
        <v>0</v>
      </c>
      <c r="R211" s="101">
        <v>0</v>
      </c>
      <c r="S211" s="101">
        <v>0</v>
      </c>
      <c r="T211" s="101">
        <v>0</v>
      </c>
      <c r="U211" s="101">
        <v>0</v>
      </c>
      <c r="V211" s="101">
        <v>0</v>
      </c>
      <c r="W211" s="101">
        <v>0</v>
      </c>
      <c r="X211" s="101">
        <v>0</v>
      </c>
      <c r="Y211" s="101">
        <v>0</v>
      </c>
      <c r="Z211" s="101">
        <v>0</v>
      </c>
      <c r="AA211" s="101">
        <v>0</v>
      </c>
      <c r="AB211" s="101">
        <v>0</v>
      </c>
      <c r="AC211" s="101">
        <v>0</v>
      </c>
      <c r="AD211" s="101">
        <v>0</v>
      </c>
      <c r="AE211" s="186">
        <v>0.08</v>
      </c>
      <c r="AF211" s="93">
        <v>0</v>
      </c>
      <c r="AG211" s="93">
        <v>1</v>
      </c>
      <c r="AH211" s="93">
        <v>1</v>
      </c>
      <c r="AI211" s="16">
        <v>1</v>
      </c>
      <c r="AJ211" s="16" t="s">
        <v>660</v>
      </c>
      <c r="AK211" s="16" t="s">
        <v>745</v>
      </c>
      <c r="AL211" s="16"/>
      <c r="AM211" s="60"/>
      <c r="AN211" s="60"/>
      <c r="AO211" s="60"/>
      <c r="AP211" s="60"/>
      <c r="AQ211" s="60"/>
      <c r="AR211" s="60"/>
      <c r="AS211" s="63"/>
      <c r="AT211" s="63"/>
      <c r="AU211" s="63"/>
      <c r="AV211" s="131"/>
      <c r="AW211" s="131"/>
      <c r="AX211" s="131"/>
      <c r="AY211" s="27" t="s">
        <v>662</v>
      </c>
      <c r="AZ211" s="27"/>
      <c r="BA211" s="27"/>
      <c r="BB211" s="30"/>
      <c r="BC211" s="30"/>
      <c r="BD211" s="30"/>
      <c r="BE211" s="30"/>
      <c r="BF211" s="30"/>
      <c r="BG211" s="30"/>
      <c r="BH211" s="107"/>
      <c r="BI211" s="107"/>
      <c r="BJ211" s="107"/>
      <c r="BK211" s="107"/>
      <c r="BL211" s="136"/>
      <c r="BM211" s="122"/>
      <c r="BN211" s="138"/>
      <c r="BO211" s="93"/>
      <c r="BP211" s="93"/>
      <c r="BQ211" s="93"/>
      <c r="BR211" s="93"/>
      <c r="BS211" s="93"/>
      <c r="BT211" s="93"/>
      <c r="BU211" s="27">
        <f t="shared" si="218"/>
        <v>0</v>
      </c>
      <c r="BV211" s="27"/>
      <c r="BW211" s="27"/>
      <c r="BX211" s="27"/>
      <c r="BY211" s="27"/>
      <c r="BZ211" s="27"/>
      <c r="CA211" s="27"/>
      <c r="CB211" s="97">
        <f t="shared" si="225"/>
        <v>0.3</v>
      </c>
      <c r="CC211" s="97">
        <f t="shared" si="226"/>
        <v>0.34</v>
      </c>
      <c r="CD211" s="97">
        <f t="shared" si="227"/>
        <v>0.38800000000000001</v>
      </c>
      <c r="CE211" s="97">
        <f t="shared" si="228"/>
        <v>0.37</v>
      </c>
      <c r="CF211" s="97">
        <f t="shared" si="228"/>
        <v>0.35</v>
      </c>
      <c r="CG211" s="97">
        <f t="shared" si="228"/>
        <v>0.34</v>
      </c>
      <c r="CH211" s="97">
        <f t="shared" si="228"/>
        <v>0.32100000000000001</v>
      </c>
      <c r="CI211" s="173"/>
      <c r="CJ211" s="173"/>
      <c r="CK211" s="173"/>
      <c r="CL211" s="173"/>
      <c r="CM211" s="173"/>
      <c r="CN211" s="173"/>
      <c r="CO211" s="173"/>
      <c r="CP211" s="174"/>
      <c r="CQ211" s="174"/>
      <c r="CR211" s="174"/>
      <c r="CS211" s="174"/>
      <c r="CT211" s="174"/>
      <c r="CU211" s="174"/>
      <c r="CV211" s="174"/>
      <c r="CW211" s="165"/>
      <c r="CX211" s="166"/>
      <c r="CY211" s="166"/>
      <c r="CZ211" s="166"/>
      <c r="DA211" s="166"/>
      <c r="DB211" s="166"/>
      <c r="DC211" s="166"/>
      <c r="DD211" s="171"/>
      <c r="DE211" s="171"/>
      <c r="DF211" s="171"/>
      <c r="DG211" s="171"/>
      <c r="DH211" s="171"/>
      <c r="DI211" s="171"/>
      <c r="DJ211" s="171"/>
      <c r="DK211" s="79" t="s">
        <v>699</v>
      </c>
      <c r="DL211" s="128">
        <f>VLOOKUP($F211,Activities!$A$9:$I$180,3,FALSE)/$AI211</f>
        <v>0.3</v>
      </c>
      <c r="DM211" s="128">
        <f>VLOOKUP($F211,Activities!$A$9:$I$180,4,FALSE)/$AI211</f>
        <v>0.34</v>
      </c>
      <c r="DN211" s="128">
        <f>VLOOKUP($F211,Activities!$A$9:$I$180,5,FALSE)/$AI211</f>
        <v>0.38800000000000001</v>
      </c>
      <c r="DO211" s="128">
        <f>VLOOKUP($F211,Activities!$A$9:$I$180,6,FALSE)/$AI211</f>
        <v>0.37</v>
      </c>
      <c r="DP211" s="128">
        <f>VLOOKUP($F211,Activities!$A$9:$I$180,7,FALSE)/$AI211</f>
        <v>0.35</v>
      </c>
      <c r="DQ211" s="128">
        <f>VLOOKUP($F211,Activities!$A$9:$I$180,8,FALSE)/$AI211</f>
        <v>0.34</v>
      </c>
      <c r="DR211" s="128">
        <f>VLOOKUP($F211,Activities!$A$9:$I$180,9,FALSE)/$AI211</f>
        <v>0.32100000000000001</v>
      </c>
      <c r="DS211" s="218"/>
      <c r="DT211" s="360"/>
      <c r="DU211" s="360"/>
      <c r="DV211" s="360"/>
      <c r="DW211" s="360"/>
      <c r="DX211" s="360"/>
      <c r="DY211" s="360"/>
      <c r="DZ211" s="360"/>
      <c r="EA211" s="360"/>
      <c r="EB211" s="360"/>
      <c r="EC211" s="360"/>
      <c r="ED211" s="360"/>
      <c r="EE211" s="360"/>
      <c r="EF211" s="360"/>
      <c r="EG211" s="360"/>
      <c r="EH211" s="360"/>
      <c r="EI211" s="360"/>
      <c r="EJ211" s="360"/>
      <c r="EK211" s="360"/>
      <c r="EL211" s="360"/>
      <c r="EM211" s="360"/>
      <c r="EN211" s="360"/>
      <c r="EO211" s="360"/>
      <c r="EP211" s="360"/>
      <c r="EQ211" s="360"/>
    </row>
    <row r="212" spans="1:244" x14ac:dyDescent="0.35">
      <c r="A212" s="6" t="s">
        <v>1182</v>
      </c>
      <c r="B212" s="6" t="s">
        <v>726</v>
      </c>
      <c r="C212" s="6" t="s">
        <v>534</v>
      </c>
      <c r="D212" s="6" t="s">
        <v>727</v>
      </c>
      <c r="E212" s="6" t="s">
        <v>727</v>
      </c>
      <c r="F212" s="6" t="s">
        <v>396</v>
      </c>
      <c r="G212" s="48" t="s">
        <v>1183</v>
      </c>
      <c r="H212" s="48" t="s">
        <v>1162</v>
      </c>
      <c r="I212" s="102">
        <v>0</v>
      </c>
      <c r="J212" s="102">
        <v>0</v>
      </c>
      <c r="K212" s="102">
        <v>0</v>
      </c>
      <c r="L212" s="102">
        <v>0</v>
      </c>
      <c r="M212" s="102">
        <v>0</v>
      </c>
      <c r="N212" s="102">
        <v>0</v>
      </c>
      <c r="O212" s="102">
        <v>0</v>
      </c>
      <c r="P212" s="94">
        <v>0</v>
      </c>
      <c r="Q212" s="102">
        <v>0</v>
      </c>
      <c r="R212" s="102">
        <v>0</v>
      </c>
      <c r="S212" s="102">
        <v>0</v>
      </c>
      <c r="T212" s="102">
        <v>0</v>
      </c>
      <c r="U212" s="102">
        <v>0</v>
      </c>
      <c r="V212" s="102">
        <v>0</v>
      </c>
      <c r="W212" s="102">
        <v>0</v>
      </c>
      <c r="X212" s="102">
        <v>0</v>
      </c>
      <c r="Y212" s="102">
        <v>0</v>
      </c>
      <c r="Z212" s="102">
        <v>0</v>
      </c>
      <c r="AA212" s="102">
        <v>0</v>
      </c>
      <c r="AB212" s="102">
        <v>0</v>
      </c>
      <c r="AC212" s="102">
        <v>0</v>
      </c>
      <c r="AD212" s="102">
        <v>0</v>
      </c>
      <c r="AE212" s="186">
        <v>0.08</v>
      </c>
      <c r="AF212" s="94">
        <v>0</v>
      </c>
      <c r="AG212" s="94">
        <v>1</v>
      </c>
      <c r="AH212" s="94">
        <v>1</v>
      </c>
      <c r="AI212" s="17">
        <v>1</v>
      </c>
      <c r="AJ212" s="17" t="s">
        <v>660</v>
      </c>
      <c r="AK212" s="17" t="s">
        <v>745</v>
      </c>
      <c r="AL212" s="17"/>
      <c r="AM212" s="61"/>
      <c r="AN212" s="61"/>
      <c r="AO212" s="61"/>
      <c r="AP212" s="61"/>
      <c r="AQ212" s="61"/>
      <c r="AR212" s="61"/>
      <c r="AS212" s="64"/>
      <c r="AT212" s="64"/>
      <c r="AU212" s="64"/>
      <c r="AV212" s="132"/>
      <c r="AW212" s="132"/>
      <c r="AX212" s="132"/>
      <c r="AY212" s="28" t="s">
        <v>662</v>
      </c>
      <c r="AZ212" s="28"/>
      <c r="BA212" s="28"/>
      <c r="BB212" s="28"/>
      <c r="BC212" s="28"/>
      <c r="BD212" s="28"/>
      <c r="BE212" s="28"/>
      <c r="BF212" s="28"/>
      <c r="BG212" s="28"/>
      <c r="BH212" s="106"/>
      <c r="BI212" s="106"/>
      <c r="BJ212" s="106"/>
      <c r="BK212" s="106"/>
      <c r="BL212" s="137"/>
      <c r="BM212" s="123"/>
      <c r="BN212" s="139"/>
      <c r="BO212" s="94"/>
      <c r="BP212" s="94"/>
      <c r="BQ212" s="94"/>
      <c r="BR212" s="94"/>
      <c r="BS212" s="94"/>
      <c r="BT212" s="94"/>
      <c r="BU212" s="28">
        <f t="shared" si="218"/>
        <v>0</v>
      </c>
      <c r="BV212" s="28"/>
      <c r="BW212" s="28"/>
      <c r="BX212" s="28"/>
      <c r="BY212" s="28"/>
      <c r="BZ212" s="28"/>
      <c r="CA212" s="28"/>
      <c r="CB212" s="99">
        <f t="shared" si="225"/>
        <v>0.3</v>
      </c>
      <c r="CC212" s="99">
        <f t="shared" si="226"/>
        <v>0.26</v>
      </c>
      <c r="CD212" s="99">
        <f t="shared" si="227"/>
        <v>0.21299999999999999</v>
      </c>
      <c r="CE212" s="99">
        <f t="shared" si="228"/>
        <v>0.2</v>
      </c>
      <c r="CF212" s="99">
        <f t="shared" si="228"/>
        <v>0.19</v>
      </c>
      <c r="CG212" s="99">
        <f t="shared" si="228"/>
        <v>0.18</v>
      </c>
      <c r="CH212" s="99">
        <f t="shared" si="228"/>
        <v>0.16600000000000001</v>
      </c>
      <c r="CI212" s="175"/>
      <c r="CJ212" s="175"/>
      <c r="CK212" s="175"/>
      <c r="CL212" s="175"/>
      <c r="CM212" s="175"/>
      <c r="CN212" s="175"/>
      <c r="CO212" s="175"/>
      <c r="CP212" s="176"/>
      <c r="CQ212" s="176"/>
      <c r="CR212" s="176"/>
      <c r="CS212" s="176"/>
      <c r="CT212" s="176"/>
      <c r="CU212" s="176"/>
      <c r="CV212" s="176"/>
      <c r="CW212" s="167"/>
      <c r="CX212" s="168"/>
      <c r="CY212" s="168"/>
      <c r="CZ212" s="168"/>
      <c r="DA212" s="168"/>
      <c r="DB212" s="168"/>
      <c r="DC212" s="168"/>
      <c r="DD212" s="172"/>
      <c r="DE212" s="172"/>
      <c r="DF212" s="172"/>
      <c r="DG212" s="172"/>
      <c r="DH212" s="172"/>
      <c r="DI212" s="172"/>
      <c r="DJ212" s="172"/>
      <c r="DK212" s="80" t="s">
        <v>699</v>
      </c>
      <c r="DL212" s="129">
        <f>VLOOKUP($F212,Activities!$A$9:$I$180,3,FALSE)/$AI212</f>
        <v>0.3</v>
      </c>
      <c r="DM212" s="129">
        <f>VLOOKUP($F212,Activities!$A$9:$I$180,4,FALSE)/$AI212</f>
        <v>0.26</v>
      </c>
      <c r="DN212" s="129">
        <f>VLOOKUP($F212,Activities!$A$9:$I$180,5,FALSE)/$AI212</f>
        <v>0.21299999999999999</v>
      </c>
      <c r="DO212" s="129">
        <f>VLOOKUP($F212,Activities!$A$9:$I$180,6,FALSE)/$AI212</f>
        <v>0.2</v>
      </c>
      <c r="DP212" s="129">
        <f>VLOOKUP($F212,Activities!$A$9:$I$180,7,FALSE)/$AI212</f>
        <v>0.19</v>
      </c>
      <c r="DQ212" s="129">
        <f>VLOOKUP($F212,Activities!$A$9:$I$180,8,FALSE)/$AI212</f>
        <v>0.18</v>
      </c>
      <c r="DR212" s="129">
        <f>VLOOKUP($F212,Activities!$A$9:$I$180,9,FALSE)/$AI212</f>
        <v>0.16600000000000001</v>
      </c>
      <c r="DS212" s="218"/>
      <c r="DT212" s="360"/>
      <c r="DU212" s="360"/>
      <c r="DV212" s="360"/>
      <c r="DW212" s="360"/>
      <c r="DX212" s="360"/>
      <c r="DY212" s="360"/>
      <c r="DZ212" s="360"/>
      <c r="EA212" s="360"/>
      <c r="EB212" s="360"/>
      <c r="EC212" s="360"/>
      <c r="ED212" s="360"/>
      <c r="EE212" s="360"/>
      <c r="EF212" s="360"/>
      <c r="EG212" s="360"/>
      <c r="EH212" s="360"/>
      <c r="EI212" s="360"/>
      <c r="EJ212" s="360"/>
      <c r="EK212" s="360"/>
      <c r="EL212" s="360"/>
      <c r="EM212" s="360"/>
      <c r="EN212" s="360"/>
      <c r="EO212" s="360"/>
      <c r="EP212" s="360"/>
      <c r="EQ212" s="360"/>
    </row>
    <row r="213" spans="1:244" x14ac:dyDescent="0.35">
      <c r="A213" s="5" t="s">
        <v>1184</v>
      </c>
      <c r="B213" s="5" t="s">
        <v>726</v>
      </c>
      <c r="C213" s="5" t="s">
        <v>534</v>
      </c>
      <c r="D213" s="5" t="s">
        <v>727</v>
      </c>
      <c r="E213" s="5" t="s">
        <v>727</v>
      </c>
      <c r="F213" s="5" t="s">
        <v>397</v>
      </c>
      <c r="G213" s="47" t="s">
        <v>1185</v>
      </c>
      <c r="H213" s="47" t="s">
        <v>1162</v>
      </c>
      <c r="I213" s="101">
        <v>0</v>
      </c>
      <c r="J213" s="101">
        <v>0</v>
      </c>
      <c r="K213" s="101">
        <v>0</v>
      </c>
      <c r="L213" s="101">
        <v>0</v>
      </c>
      <c r="M213" s="101">
        <v>0</v>
      </c>
      <c r="N213" s="101">
        <v>0</v>
      </c>
      <c r="O213" s="101">
        <v>0</v>
      </c>
      <c r="P213" s="93">
        <v>0</v>
      </c>
      <c r="Q213" s="101">
        <v>0</v>
      </c>
      <c r="R213" s="101">
        <v>0</v>
      </c>
      <c r="S213" s="101">
        <v>0</v>
      </c>
      <c r="T213" s="101">
        <v>0</v>
      </c>
      <c r="U213" s="101">
        <v>0</v>
      </c>
      <c r="V213" s="101">
        <v>0</v>
      </c>
      <c r="W213" s="101">
        <v>0</v>
      </c>
      <c r="X213" s="101">
        <v>0</v>
      </c>
      <c r="Y213" s="101">
        <v>0</v>
      </c>
      <c r="Z213" s="101">
        <v>0</v>
      </c>
      <c r="AA213" s="101">
        <v>0</v>
      </c>
      <c r="AB213" s="101">
        <v>0</v>
      </c>
      <c r="AC213" s="101">
        <v>0</v>
      </c>
      <c r="AD213" s="101">
        <v>0</v>
      </c>
      <c r="AE213" s="186">
        <v>0.08</v>
      </c>
      <c r="AF213" s="93">
        <v>0</v>
      </c>
      <c r="AG213" s="93">
        <v>1</v>
      </c>
      <c r="AH213" s="93">
        <v>1</v>
      </c>
      <c r="AI213" s="16">
        <v>1</v>
      </c>
      <c r="AJ213" s="16" t="s">
        <v>660</v>
      </c>
      <c r="AK213" s="16" t="s">
        <v>745</v>
      </c>
      <c r="AL213" s="16"/>
      <c r="AM213" s="60"/>
      <c r="AN213" s="60"/>
      <c r="AO213" s="60"/>
      <c r="AP213" s="60"/>
      <c r="AQ213" s="60"/>
      <c r="AR213" s="60"/>
      <c r="AS213" s="63"/>
      <c r="AT213" s="63"/>
      <c r="AU213" s="63"/>
      <c r="AV213" s="131"/>
      <c r="AW213" s="131"/>
      <c r="AX213" s="131"/>
      <c r="AY213" s="27" t="s">
        <v>662</v>
      </c>
      <c r="AZ213" s="27"/>
      <c r="BA213" s="27"/>
      <c r="BB213" s="30"/>
      <c r="BC213" s="30"/>
      <c r="BD213" s="30"/>
      <c r="BE213" s="30"/>
      <c r="BF213" s="30"/>
      <c r="BG213" s="30"/>
      <c r="BH213" s="107"/>
      <c r="BI213" s="107"/>
      <c r="BJ213" s="107"/>
      <c r="BK213" s="107"/>
      <c r="BL213" s="136"/>
      <c r="BM213" s="122"/>
      <c r="BN213" s="138"/>
      <c r="BO213" s="93"/>
      <c r="BP213" s="93"/>
      <c r="BQ213" s="93"/>
      <c r="BR213" s="93"/>
      <c r="BS213" s="93"/>
      <c r="BT213" s="93"/>
      <c r="BU213" s="27">
        <f t="shared" si="218"/>
        <v>0</v>
      </c>
      <c r="BV213" s="27"/>
      <c r="BW213" s="27"/>
      <c r="BX213" s="27"/>
      <c r="BY213" s="27"/>
      <c r="BZ213" s="27"/>
      <c r="CA213" s="27"/>
      <c r="CB213" s="97">
        <f t="shared" si="225"/>
        <v>12.6</v>
      </c>
      <c r="CC213" s="97">
        <f t="shared" si="226"/>
        <v>10.24</v>
      </c>
      <c r="CD213" s="97">
        <f t="shared" si="227"/>
        <v>7.87</v>
      </c>
      <c r="CE213" s="97">
        <f t="shared" si="228"/>
        <v>7.43</v>
      </c>
      <c r="CF213" s="97">
        <f t="shared" si="228"/>
        <v>6.99</v>
      </c>
      <c r="CG213" s="97">
        <f t="shared" si="228"/>
        <v>6.55</v>
      </c>
      <c r="CH213" s="97">
        <f t="shared" si="228"/>
        <v>6.11</v>
      </c>
      <c r="CI213" s="173"/>
      <c r="CJ213" s="173"/>
      <c r="CK213" s="173"/>
      <c r="CL213" s="173"/>
      <c r="CM213" s="173"/>
      <c r="CN213" s="173"/>
      <c r="CO213" s="173"/>
      <c r="CP213" s="174"/>
      <c r="CQ213" s="174"/>
      <c r="CR213" s="174"/>
      <c r="CS213" s="174"/>
      <c r="CT213" s="174"/>
      <c r="CU213" s="174"/>
      <c r="CV213" s="174"/>
      <c r="CW213" s="165"/>
      <c r="CX213" s="166"/>
      <c r="CY213" s="166"/>
      <c r="CZ213" s="166"/>
      <c r="DA213" s="166"/>
      <c r="DB213" s="166"/>
      <c r="DC213" s="166"/>
      <c r="DD213" s="171"/>
      <c r="DE213" s="171"/>
      <c r="DF213" s="171"/>
      <c r="DG213" s="171"/>
      <c r="DH213" s="171"/>
      <c r="DI213" s="171"/>
      <c r="DJ213" s="171"/>
      <c r="DK213" s="79" t="s">
        <v>699</v>
      </c>
      <c r="DL213" s="128">
        <f>VLOOKUP($F213,Activities!$A$9:$I$180,3,FALSE)/$AI213</f>
        <v>12.6</v>
      </c>
      <c r="DM213" s="128">
        <f>VLOOKUP($F213,Activities!$A$9:$I$180,4,FALSE)/$AI213</f>
        <v>10.24</v>
      </c>
      <c r="DN213" s="128">
        <f>VLOOKUP($F213,Activities!$A$9:$I$180,5,FALSE)/$AI213</f>
        <v>7.87</v>
      </c>
      <c r="DO213" s="128">
        <f>VLOOKUP($F213,Activities!$A$9:$I$180,6,FALSE)/$AI213</f>
        <v>7.43</v>
      </c>
      <c r="DP213" s="128">
        <f>VLOOKUP($F213,Activities!$A$9:$I$180,7,FALSE)/$AI213</f>
        <v>6.99</v>
      </c>
      <c r="DQ213" s="128">
        <f>VLOOKUP($F213,Activities!$A$9:$I$180,8,FALSE)/$AI213</f>
        <v>6.55</v>
      </c>
      <c r="DR213" s="128">
        <f>VLOOKUP($F213,Activities!$A$9:$I$180,9,FALSE)/$AI213</f>
        <v>6.11</v>
      </c>
      <c r="DS213" s="218"/>
      <c r="DT213" s="360"/>
      <c r="DU213" s="360"/>
      <c r="DV213" s="360"/>
      <c r="DW213" s="360"/>
      <c r="DX213" s="360"/>
      <c r="DY213" s="360"/>
      <c r="DZ213" s="360"/>
      <c r="EA213" s="360"/>
      <c r="EB213" s="360"/>
      <c r="EC213" s="360"/>
      <c r="ED213" s="360"/>
      <c r="EE213" s="360"/>
      <c r="EF213" s="360"/>
      <c r="EG213" s="360"/>
      <c r="EH213" s="360"/>
      <c r="EI213" s="360"/>
      <c r="EJ213" s="360"/>
      <c r="EK213" s="360"/>
      <c r="EL213" s="360"/>
      <c r="EM213" s="360"/>
      <c r="EN213" s="360"/>
      <c r="EO213" s="360"/>
      <c r="EP213" s="360"/>
      <c r="EQ213" s="360"/>
    </row>
    <row r="214" spans="1:244" x14ac:dyDescent="0.35">
      <c r="A214" s="6" t="s">
        <v>1186</v>
      </c>
      <c r="B214" s="6" t="s">
        <v>726</v>
      </c>
      <c r="C214" s="6" t="s">
        <v>534</v>
      </c>
      <c r="D214" s="6" t="s">
        <v>727</v>
      </c>
      <c r="E214" s="6" t="s">
        <v>727</v>
      </c>
      <c r="F214" s="6" t="s">
        <v>398</v>
      </c>
      <c r="G214" s="48" t="s">
        <v>1187</v>
      </c>
      <c r="H214" s="48" t="s">
        <v>1162</v>
      </c>
      <c r="I214" s="102">
        <v>0</v>
      </c>
      <c r="J214" s="102">
        <v>0</v>
      </c>
      <c r="K214" s="102">
        <v>0</v>
      </c>
      <c r="L214" s="102">
        <v>0</v>
      </c>
      <c r="M214" s="102">
        <v>0</v>
      </c>
      <c r="N214" s="102">
        <v>0</v>
      </c>
      <c r="O214" s="102">
        <v>0</v>
      </c>
      <c r="P214" s="94">
        <v>0</v>
      </c>
      <c r="Q214" s="102">
        <v>0</v>
      </c>
      <c r="R214" s="102">
        <v>0</v>
      </c>
      <c r="S214" s="102">
        <v>0</v>
      </c>
      <c r="T214" s="102">
        <v>0</v>
      </c>
      <c r="U214" s="102">
        <v>0</v>
      </c>
      <c r="V214" s="102">
        <v>0</v>
      </c>
      <c r="W214" s="102">
        <v>0</v>
      </c>
      <c r="X214" s="102">
        <v>0</v>
      </c>
      <c r="Y214" s="102">
        <v>0</v>
      </c>
      <c r="Z214" s="102">
        <v>0</v>
      </c>
      <c r="AA214" s="102">
        <v>0</v>
      </c>
      <c r="AB214" s="102">
        <v>0</v>
      </c>
      <c r="AC214" s="102">
        <v>0</v>
      </c>
      <c r="AD214" s="102">
        <v>0</v>
      </c>
      <c r="AE214" s="186">
        <v>0.08</v>
      </c>
      <c r="AF214" s="94">
        <v>0</v>
      </c>
      <c r="AG214" s="94">
        <v>1</v>
      </c>
      <c r="AH214" s="94">
        <v>1</v>
      </c>
      <c r="AI214" s="17">
        <v>1</v>
      </c>
      <c r="AJ214" s="17" t="s">
        <v>660</v>
      </c>
      <c r="AK214" s="17" t="s">
        <v>745</v>
      </c>
      <c r="AL214" s="17"/>
      <c r="AM214" s="61"/>
      <c r="AN214" s="61"/>
      <c r="AO214" s="61"/>
      <c r="AP214" s="61"/>
      <c r="AQ214" s="61"/>
      <c r="AR214" s="61"/>
      <c r="AS214" s="64"/>
      <c r="AT214" s="64"/>
      <c r="AU214" s="64"/>
      <c r="AV214" s="132"/>
      <c r="AW214" s="132"/>
      <c r="AX214" s="132"/>
      <c r="AY214" s="28" t="s">
        <v>662</v>
      </c>
      <c r="AZ214" s="28"/>
      <c r="BA214" s="28"/>
      <c r="BB214" s="28"/>
      <c r="BC214" s="28"/>
      <c r="BD214" s="28"/>
      <c r="BE214" s="28"/>
      <c r="BF214" s="28"/>
      <c r="BG214" s="28"/>
      <c r="BH214" s="106"/>
      <c r="BI214" s="106"/>
      <c r="BJ214" s="106"/>
      <c r="BK214" s="106"/>
      <c r="BL214" s="137"/>
      <c r="BM214" s="123"/>
      <c r="BN214" s="139"/>
      <c r="BO214" s="94"/>
      <c r="BP214" s="94"/>
      <c r="BQ214" s="94"/>
      <c r="BR214" s="94"/>
      <c r="BS214" s="94"/>
      <c r="BT214" s="94"/>
      <c r="BU214" s="28">
        <f t="shared" si="218"/>
        <v>0</v>
      </c>
      <c r="BV214" s="28"/>
      <c r="BW214" s="28"/>
      <c r="BX214" s="28"/>
      <c r="BY214" s="28"/>
      <c r="BZ214" s="28"/>
      <c r="CA214" s="28"/>
      <c r="CB214" s="99">
        <f t="shared" si="225"/>
        <v>4.5</v>
      </c>
      <c r="CC214" s="99">
        <f t="shared" si="226"/>
        <v>4.03</v>
      </c>
      <c r="CD214" s="99">
        <f t="shared" si="227"/>
        <v>3.56</v>
      </c>
      <c r="CE214" s="99">
        <f t="shared" si="228"/>
        <v>3.32</v>
      </c>
      <c r="CF214" s="99">
        <f t="shared" si="228"/>
        <v>3.07</v>
      </c>
      <c r="CG214" s="99">
        <f t="shared" si="228"/>
        <v>2.83</v>
      </c>
      <c r="CH214" s="99">
        <f t="shared" si="228"/>
        <v>2.58</v>
      </c>
      <c r="CI214" s="175"/>
      <c r="CJ214" s="175"/>
      <c r="CK214" s="175"/>
      <c r="CL214" s="175"/>
      <c r="CM214" s="175"/>
      <c r="CN214" s="175"/>
      <c r="CO214" s="175"/>
      <c r="CP214" s="176"/>
      <c r="CQ214" s="176"/>
      <c r="CR214" s="176"/>
      <c r="CS214" s="176"/>
      <c r="CT214" s="176"/>
      <c r="CU214" s="176"/>
      <c r="CV214" s="176"/>
      <c r="CW214" s="167"/>
      <c r="CX214" s="168"/>
      <c r="CY214" s="168"/>
      <c r="CZ214" s="168"/>
      <c r="DA214" s="168"/>
      <c r="DB214" s="168"/>
      <c r="DC214" s="168"/>
      <c r="DD214" s="172"/>
      <c r="DE214" s="172"/>
      <c r="DF214" s="172"/>
      <c r="DG214" s="172"/>
      <c r="DH214" s="172"/>
      <c r="DI214" s="172"/>
      <c r="DJ214" s="172"/>
      <c r="DK214" s="80" t="s">
        <v>699</v>
      </c>
      <c r="DL214" s="129">
        <f>VLOOKUP($F214,Activities!$A$9:$I$180,3,FALSE)/$AI214</f>
        <v>4.5</v>
      </c>
      <c r="DM214" s="129">
        <f>VLOOKUP($F214,Activities!$A$9:$I$180,4,FALSE)/$AI214</f>
        <v>4.03</v>
      </c>
      <c r="DN214" s="129">
        <f>VLOOKUP($F214,Activities!$A$9:$I$180,5,FALSE)/$AI214</f>
        <v>3.56</v>
      </c>
      <c r="DO214" s="129">
        <f>VLOOKUP($F214,Activities!$A$9:$I$180,6,FALSE)/$AI214</f>
        <v>3.32</v>
      </c>
      <c r="DP214" s="129">
        <f>VLOOKUP($F214,Activities!$A$9:$I$180,7,FALSE)/$AI214</f>
        <v>3.07</v>
      </c>
      <c r="DQ214" s="129">
        <f>VLOOKUP($F214,Activities!$A$9:$I$180,8,FALSE)/$AI214</f>
        <v>2.83</v>
      </c>
      <c r="DR214" s="129">
        <f>VLOOKUP($F214,Activities!$A$9:$I$180,9,FALSE)/$AI214</f>
        <v>2.58</v>
      </c>
      <c r="DS214" s="218"/>
      <c r="DT214" s="360"/>
      <c r="DU214" s="360"/>
      <c r="DV214" s="360"/>
      <c r="DW214" s="360"/>
      <c r="DX214" s="360"/>
      <c r="DY214" s="360"/>
      <c r="DZ214" s="360"/>
      <c r="EA214" s="360"/>
      <c r="EB214" s="360"/>
      <c r="EC214" s="360"/>
      <c r="ED214" s="360"/>
      <c r="EE214" s="360"/>
      <c r="EF214" s="360"/>
      <c r="EG214" s="360"/>
      <c r="EH214" s="360"/>
      <c r="EI214" s="360"/>
      <c r="EJ214" s="360"/>
      <c r="EK214" s="360"/>
      <c r="EL214" s="360"/>
      <c r="EM214" s="360"/>
      <c r="EN214" s="360"/>
      <c r="EO214" s="360"/>
      <c r="EP214" s="360"/>
      <c r="EQ214" s="360"/>
    </row>
    <row r="215" spans="1:244" x14ac:dyDescent="0.35">
      <c r="A215" s="5" t="s">
        <v>1188</v>
      </c>
      <c r="B215" s="5" t="s">
        <v>740</v>
      </c>
      <c r="C215" s="5" t="s">
        <v>534</v>
      </c>
      <c r="D215" s="5" t="s">
        <v>741</v>
      </c>
      <c r="E215" s="5" t="s">
        <v>789</v>
      </c>
      <c r="F215" s="5" t="s">
        <v>399</v>
      </c>
      <c r="G215" s="47" t="s">
        <v>1189</v>
      </c>
      <c r="H215" s="47" t="s">
        <v>1162</v>
      </c>
      <c r="I215" s="101">
        <v>0</v>
      </c>
      <c r="J215" s="101">
        <v>0</v>
      </c>
      <c r="K215" s="101">
        <v>0</v>
      </c>
      <c r="L215" s="101">
        <v>0</v>
      </c>
      <c r="M215" s="101">
        <v>0</v>
      </c>
      <c r="N215" s="101">
        <v>0</v>
      </c>
      <c r="O215" s="101">
        <v>0</v>
      </c>
      <c r="P215" s="93">
        <v>0</v>
      </c>
      <c r="Q215" s="101">
        <v>0</v>
      </c>
      <c r="R215" s="101">
        <v>0</v>
      </c>
      <c r="S215" s="101">
        <v>0</v>
      </c>
      <c r="T215" s="101">
        <v>0</v>
      </c>
      <c r="U215" s="101">
        <v>0</v>
      </c>
      <c r="V215" s="101">
        <v>0</v>
      </c>
      <c r="W215" s="101">
        <v>0</v>
      </c>
      <c r="X215" s="101">
        <v>0</v>
      </c>
      <c r="Y215" s="101">
        <v>0</v>
      </c>
      <c r="Z215" s="101">
        <v>0</v>
      </c>
      <c r="AA215" s="101">
        <v>0</v>
      </c>
      <c r="AB215" s="101">
        <v>0</v>
      </c>
      <c r="AC215" s="101">
        <v>0</v>
      </c>
      <c r="AD215" s="101">
        <v>0</v>
      </c>
      <c r="AE215" s="186">
        <v>0.08</v>
      </c>
      <c r="AF215" s="93">
        <v>0</v>
      </c>
      <c r="AG215" s="93">
        <v>1</v>
      </c>
      <c r="AH215" s="93">
        <v>1</v>
      </c>
      <c r="AI215" s="16">
        <v>1</v>
      </c>
      <c r="AJ215" s="16" t="s">
        <v>660</v>
      </c>
      <c r="AK215" s="16" t="s">
        <v>745</v>
      </c>
      <c r="AL215" s="16"/>
      <c r="AM215" s="60"/>
      <c r="AN215" s="60"/>
      <c r="AO215" s="60"/>
      <c r="AP215" s="60"/>
      <c r="AQ215" s="60"/>
      <c r="AR215" s="60"/>
      <c r="AS215" s="63"/>
      <c r="AT215" s="63"/>
      <c r="AU215" s="63"/>
      <c r="AV215" s="131"/>
      <c r="AW215" s="131"/>
      <c r="AX215" s="131"/>
      <c r="AY215" s="27" t="s">
        <v>662</v>
      </c>
      <c r="AZ215" s="27"/>
      <c r="BA215" s="27"/>
      <c r="BB215" s="30"/>
      <c r="BC215" s="30"/>
      <c r="BD215" s="30"/>
      <c r="BE215" s="30"/>
      <c r="BF215" s="30"/>
      <c r="BG215" s="30"/>
      <c r="BH215" s="107"/>
      <c r="BI215" s="107"/>
      <c r="BJ215" s="107"/>
      <c r="BK215" s="107"/>
      <c r="BL215" s="136"/>
      <c r="BM215" s="122"/>
      <c r="BN215" s="138"/>
      <c r="BO215" s="93"/>
      <c r="BP215" s="93"/>
      <c r="BQ215" s="93"/>
      <c r="BR215" s="93"/>
      <c r="BS215" s="93"/>
      <c r="BT215" s="93"/>
      <c r="BU215" s="27">
        <f t="shared" si="218"/>
        <v>0</v>
      </c>
      <c r="BV215" s="27"/>
      <c r="BW215" s="27"/>
      <c r="BX215" s="27"/>
      <c r="BY215" s="27"/>
      <c r="BZ215" s="27"/>
      <c r="CA215" s="27"/>
      <c r="CB215" s="97">
        <f t="shared" si="225"/>
        <v>0.9</v>
      </c>
      <c r="CC215" s="97">
        <f t="shared" si="226"/>
        <v>0.85</v>
      </c>
      <c r="CD215" s="97">
        <f t="shared" si="227"/>
        <v>0.80200000000000005</v>
      </c>
      <c r="CE215" s="97">
        <f t="shared" si="228"/>
        <v>0.75</v>
      </c>
      <c r="CF215" s="97">
        <f t="shared" si="228"/>
        <v>0.7</v>
      </c>
      <c r="CG215" s="97">
        <f t="shared" si="228"/>
        <v>0.65</v>
      </c>
      <c r="CH215" s="97">
        <f t="shared" si="228"/>
        <v>0.60199999999999998</v>
      </c>
      <c r="CI215" s="173"/>
      <c r="CJ215" s="173"/>
      <c r="CK215" s="173"/>
      <c r="CL215" s="173"/>
      <c r="CM215" s="173"/>
      <c r="CN215" s="173"/>
      <c r="CO215" s="173"/>
      <c r="CP215" s="174"/>
      <c r="CQ215" s="174"/>
      <c r="CR215" s="174"/>
      <c r="CS215" s="174"/>
      <c r="CT215" s="174"/>
      <c r="CU215" s="174"/>
      <c r="CV215" s="174"/>
      <c r="CW215" s="165"/>
      <c r="CX215" s="166"/>
      <c r="CY215" s="166"/>
      <c r="CZ215" s="166"/>
      <c r="DA215" s="166"/>
      <c r="DB215" s="166"/>
      <c r="DC215" s="166"/>
      <c r="DD215" s="171"/>
      <c r="DE215" s="171"/>
      <c r="DF215" s="171"/>
      <c r="DG215" s="171"/>
      <c r="DH215" s="171"/>
      <c r="DI215" s="171"/>
      <c r="DJ215" s="171"/>
      <c r="DK215" s="79" t="s">
        <v>699</v>
      </c>
      <c r="DL215" s="128">
        <f>VLOOKUP($F215,Activities!$A$9:$I$180,3,FALSE)/$AI215</f>
        <v>0.9</v>
      </c>
      <c r="DM215" s="128">
        <f>VLOOKUP($F215,Activities!$A$9:$I$180,4,FALSE)/$AI215</f>
        <v>0.85</v>
      </c>
      <c r="DN215" s="128">
        <f>VLOOKUP($F215,Activities!$A$9:$I$180,5,FALSE)/$AI215</f>
        <v>0.80200000000000005</v>
      </c>
      <c r="DO215" s="128">
        <f>VLOOKUP($F215,Activities!$A$9:$I$180,6,FALSE)/$AI215</f>
        <v>0.75</v>
      </c>
      <c r="DP215" s="128">
        <f>VLOOKUP($F215,Activities!$A$9:$I$180,7,FALSE)/$AI215</f>
        <v>0.7</v>
      </c>
      <c r="DQ215" s="128">
        <f>VLOOKUP($F215,Activities!$A$9:$I$180,8,FALSE)/$AI215</f>
        <v>0.65</v>
      </c>
      <c r="DR215" s="128">
        <f>VLOOKUP($F215,Activities!$A$9:$I$180,9,FALSE)/$AI215</f>
        <v>0.60199999999999998</v>
      </c>
      <c r="DS215" s="218"/>
      <c r="DT215" s="360"/>
      <c r="DU215" s="360"/>
      <c r="DV215" s="360"/>
      <c r="DW215" s="360"/>
      <c r="DX215" s="360"/>
      <c r="DY215" s="360"/>
      <c r="DZ215" s="360"/>
      <c r="EA215" s="360"/>
      <c r="EB215" s="360"/>
      <c r="EC215" s="360"/>
      <c r="ED215" s="360"/>
      <c r="EE215" s="360"/>
      <c r="EF215" s="360"/>
      <c r="EG215" s="360"/>
      <c r="EH215" s="360"/>
      <c r="EI215" s="360"/>
      <c r="EJ215" s="360"/>
      <c r="EK215" s="360"/>
      <c r="EL215" s="360"/>
      <c r="EM215" s="360"/>
      <c r="EN215" s="360"/>
      <c r="EO215" s="360"/>
      <c r="EP215" s="360"/>
      <c r="EQ215" s="360"/>
    </row>
    <row r="216" spans="1:244" x14ac:dyDescent="0.35">
      <c r="A216" s="6" t="s">
        <v>1190</v>
      </c>
      <c r="B216" s="6" t="s">
        <v>740</v>
      </c>
      <c r="C216" s="6" t="s">
        <v>534</v>
      </c>
      <c r="D216" s="6" t="s">
        <v>741</v>
      </c>
      <c r="E216" s="6" t="s">
        <v>1133</v>
      </c>
      <c r="F216" s="6" t="s">
        <v>400</v>
      </c>
      <c r="G216" s="48" t="s">
        <v>1191</v>
      </c>
      <c r="H216" s="48" t="s">
        <v>1162</v>
      </c>
      <c r="I216" s="102">
        <v>0</v>
      </c>
      <c r="J216" s="102">
        <v>0</v>
      </c>
      <c r="K216" s="102">
        <v>0</v>
      </c>
      <c r="L216" s="102">
        <v>0</v>
      </c>
      <c r="M216" s="102">
        <v>0</v>
      </c>
      <c r="N216" s="102">
        <v>0</v>
      </c>
      <c r="O216" s="102">
        <v>0</v>
      </c>
      <c r="P216" s="94">
        <v>0</v>
      </c>
      <c r="Q216" s="102">
        <v>0</v>
      </c>
      <c r="R216" s="102">
        <v>0</v>
      </c>
      <c r="S216" s="102">
        <v>0</v>
      </c>
      <c r="T216" s="102">
        <v>0</v>
      </c>
      <c r="U216" s="102">
        <v>0</v>
      </c>
      <c r="V216" s="102">
        <v>0</v>
      </c>
      <c r="W216" s="102">
        <v>0</v>
      </c>
      <c r="X216" s="102">
        <v>0</v>
      </c>
      <c r="Y216" s="102">
        <v>0</v>
      </c>
      <c r="Z216" s="102">
        <v>0</v>
      </c>
      <c r="AA216" s="102">
        <v>0</v>
      </c>
      <c r="AB216" s="102">
        <v>0</v>
      </c>
      <c r="AC216" s="102">
        <v>0</v>
      </c>
      <c r="AD216" s="102">
        <v>0</v>
      </c>
      <c r="AE216" s="186">
        <v>0.08</v>
      </c>
      <c r="AF216" s="94">
        <v>0</v>
      </c>
      <c r="AG216" s="94">
        <v>1</v>
      </c>
      <c r="AH216" s="94">
        <v>1</v>
      </c>
      <c r="AI216" s="17">
        <v>1</v>
      </c>
      <c r="AJ216" s="17" t="s">
        <v>660</v>
      </c>
      <c r="AK216" s="17" t="s">
        <v>745</v>
      </c>
      <c r="AL216" s="17"/>
      <c r="AM216" s="61"/>
      <c r="AN216" s="61"/>
      <c r="AO216" s="61"/>
      <c r="AP216" s="61"/>
      <c r="AQ216" s="61"/>
      <c r="AR216" s="61"/>
      <c r="AS216" s="64"/>
      <c r="AT216" s="64"/>
      <c r="AU216" s="64"/>
      <c r="AV216" s="132"/>
      <c r="AW216" s="132"/>
      <c r="AX216" s="132"/>
      <c r="AY216" s="28" t="s">
        <v>662</v>
      </c>
      <c r="AZ216" s="28"/>
      <c r="BA216" s="28"/>
      <c r="BB216" s="28"/>
      <c r="BC216" s="28"/>
      <c r="BD216" s="28"/>
      <c r="BE216" s="28"/>
      <c r="BF216" s="28"/>
      <c r="BG216" s="28"/>
      <c r="BH216" s="106"/>
      <c r="BI216" s="106"/>
      <c r="BJ216" s="106"/>
      <c r="BK216" s="106"/>
      <c r="BL216" s="137"/>
      <c r="BM216" s="123"/>
      <c r="BN216" s="139"/>
      <c r="BO216" s="94"/>
      <c r="BP216" s="94"/>
      <c r="BQ216" s="94"/>
      <c r="BR216" s="94"/>
      <c r="BS216" s="94"/>
      <c r="BT216" s="94"/>
      <c r="BU216" s="28">
        <f t="shared" si="218"/>
        <v>0</v>
      </c>
      <c r="BV216" s="28"/>
      <c r="BW216" s="28"/>
      <c r="BX216" s="28"/>
      <c r="BY216" s="28"/>
      <c r="BZ216" s="28"/>
      <c r="CA216" s="28"/>
      <c r="CB216" s="99">
        <f t="shared" si="225"/>
        <v>0.9</v>
      </c>
      <c r="CC216" s="99">
        <f t="shared" si="226"/>
        <v>0.78</v>
      </c>
      <c r="CD216" s="99">
        <f t="shared" si="227"/>
        <v>0.66900000000000004</v>
      </c>
      <c r="CE216" s="99">
        <f t="shared" si="228"/>
        <v>0.67</v>
      </c>
      <c r="CF216" s="99">
        <f t="shared" si="228"/>
        <v>0.68</v>
      </c>
      <c r="CG216" s="99">
        <f t="shared" si="228"/>
        <v>0.69</v>
      </c>
      <c r="CH216" s="99">
        <f t="shared" si="228"/>
        <v>0.69599999999999995</v>
      </c>
      <c r="CI216" s="175"/>
      <c r="CJ216" s="175"/>
      <c r="CK216" s="175"/>
      <c r="CL216" s="175"/>
      <c r="CM216" s="175"/>
      <c r="CN216" s="175"/>
      <c r="CO216" s="175"/>
      <c r="CP216" s="176"/>
      <c r="CQ216" s="176"/>
      <c r="CR216" s="176"/>
      <c r="CS216" s="176"/>
      <c r="CT216" s="176"/>
      <c r="CU216" s="176"/>
      <c r="CV216" s="176"/>
      <c r="CW216" s="167"/>
      <c r="CX216" s="168"/>
      <c r="CY216" s="168"/>
      <c r="CZ216" s="168"/>
      <c r="DA216" s="168"/>
      <c r="DB216" s="168"/>
      <c r="DC216" s="168"/>
      <c r="DD216" s="172"/>
      <c r="DE216" s="172"/>
      <c r="DF216" s="172"/>
      <c r="DG216" s="172"/>
      <c r="DH216" s="172"/>
      <c r="DI216" s="172"/>
      <c r="DJ216" s="172"/>
      <c r="DK216" s="80" t="s">
        <v>699</v>
      </c>
      <c r="DL216" s="129">
        <f>VLOOKUP($F216,Activities!$A$9:$I$180,3,FALSE)/$AI216</f>
        <v>0.9</v>
      </c>
      <c r="DM216" s="129">
        <f>VLOOKUP($F216,Activities!$A$9:$I$180,4,FALSE)/$AI216</f>
        <v>0.78</v>
      </c>
      <c r="DN216" s="129">
        <f>VLOOKUP($F216,Activities!$A$9:$I$180,5,FALSE)/$AI216</f>
        <v>0.66900000000000004</v>
      </c>
      <c r="DO216" s="129">
        <f>VLOOKUP($F216,Activities!$A$9:$I$180,6,FALSE)/$AI216</f>
        <v>0.67</v>
      </c>
      <c r="DP216" s="129">
        <f>VLOOKUP($F216,Activities!$A$9:$I$180,7,FALSE)/$AI216</f>
        <v>0.68</v>
      </c>
      <c r="DQ216" s="129">
        <f>VLOOKUP($F216,Activities!$A$9:$I$180,8,FALSE)/$AI216</f>
        <v>0.69</v>
      </c>
      <c r="DR216" s="129">
        <f>VLOOKUP($F216,Activities!$A$9:$I$180,9,FALSE)/$AI216</f>
        <v>0.69599999999999995</v>
      </c>
      <c r="DS216" s="218"/>
      <c r="DT216" s="360"/>
      <c r="DU216" s="360"/>
      <c r="DV216" s="360"/>
      <c r="DW216" s="360"/>
      <c r="DX216" s="360"/>
      <c r="DY216" s="360"/>
      <c r="DZ216" s="360"/>
      <c r="EA216" s="360"/>
      <c r="EB216" s="360"/>
      <c r="EC216" s="360"/>
      <c r="ED216" s="360"/>
      <c r="EE216" s="360"/>
      <c r="EF216" s="360"/>
      <c r="EG216" s="360"/>
      <c r="EH216" s="360"/>
      <c r="EI216" s="360"/>
      <c r="EJ216" s="360"/>
      <c r="EK216" s="360"/>
      <c r="EL216" s="360"/>
      <c r="EM216" s="360"/>
      <c r="EN216" s="360"/>
      <c r="EO216" s="360"/>
      <c r="EP216" s="360"/>
      <c r="EQ216" s="360"/>
    </row>
    <row r="217" spans="1:244" x14ac:dyDescent="0.35">
      <c r="A217" s="5" t="s">
        <v>1192</v>
      </c>
      <c r="B217" s="5" t="s">
        <v>740</v>
      </c>
      <c r="C217" s="5" t="s">
        <v>534</v>
      </c>
      <c r="D217" s="5" t="s">
        <v>741</v>
      </c>
      <c r="E217" s="5" t="s">
        <v>741</v>
      </c>
      <c r="F217" s="5" t="s">
        <v>401</v>
      </c>
      <c r="G217" s="47" t="s">
        <v>1193</v>
      </c>
      <c r="H217" s="47" t="s">
        <v>1162</v>
      </c>
      <c r="I217" s="101">
        <v>0</v>
      </c>
      <c r="J217" s="101">
        <v>0</v>
      </c>
      <c r="K217" s="101">
        <v>0</v>
      </c>
      <c r="L217" s="101">
        <v>0</v>
      </c>
      <c r="M217" s="101">
        <v>0</v>
      </c>
      <c r="N217" s="101">
        <v>0</v>
      </c>
      <c r="O217" s="101">
        <v>0</v>
      </c>
      <c r="P217" s="93">
        <v>0</v>
      </c>
      <c r="Q217" s="101">
        <v>0</v>
      </c>
      <c r="R217" s="101">
        <v>0</v>
      </c>
      <c r="S217" s="101">
        <v>0</v>
      </c>
      <c r="T217" s="101">
        <v>0</v>
      </c>
      <c r="U217" s="101">
        <v>0</v>
      </c>
      <c r="V217" s="101">
        <v>0</v>
      </c>
      <c r="W217" s="101">
        <v>0</v>
      </c>
      <c r="X217" s="101">
        <v>0</v>
      </c>
      <c r="Y217" s="101">
        <v>0</v>
      </c>
      <c r="Z217" s="101">
        <v>0</v>
      </c>
      <c r="AA217" s="101">
        <v>0</v>
      </c>
      <c r="AB217" s="101">
        <v>0</v>
      </c>
      <c r="AC217" s="101">
        <v>0</v>
      </c>
      <c r="AD217" s="101">
        <v>0</v>
      </c>
      <c r="AE217" s="186">
        <v>0.08</v>
      </c>
      <c r="AF217" s="93">
        <v>0</v>
      </c>
      <c r="AG217" s="93">
        <v>1</v>
      </c>
      <c r="AH217" s="93">
        <v>1</v>
      </c>
      <c r="AI217" s="16">
        <v>1</v>
      </c>
      <c r="AJ217" s="16" t="s">
        <v>660</v>
      </c>
      <c r="AK217" s="16" t="s">
        <v>745</v>
      </c>
      <c r="AL217" s="16"/>
      <c r="AM217" s="60"/>
      <c r="AN217" s="60"/>
      <c r="AO217" s="60"/>
      <c r="AP217" s="60"/>
      <c r="AQ217" s="60"/>
      <c r="AR217" s="60"/>
      <c r="AS217" s="63"/>
      <c r="AT217" s="63"/>
      <c r="AU217" s="63"/>
      <c r="AV217" s="131"/>
      <c r="AW217" s="131"/>
      <c r="AX217" s="131"/>
      <c r="AY217" s="27" t="s">
        <v>662</v>
      </c>
      <c r="AZ217" s="27"/>
      <c r="BA217" s="27"/>
      <c r="BB217" s="30"/>
      <c r="BC217" s="30"/>
      <c r="BD217" s="30"/>
      <c r="BE217" s="30"/>
      <c r="BF217" s="30"/>
      <c r="BG217" s="30"/>
      <c r="BH217" s="107"/>
      <c r="BI217" s="107"/>
      <c r="BJ217" s="107"/>
      <c r="BK217" s="107"/>
      <c r="BL217" s="136"/>
      <c r="BM217" s="122"/>
      <c r="BN217" s="138"/>
      <c r="BO217" s="93"/>
      <c r="BP217" s="93"/>
      <c r="BQ217" s="93"/>
      <c r="BR217" s="93"/>
      <c r="BS217" s="93"/>
      <c r="BT217" s="93"/>
      <c r="BU217" s="27">
        <f t="shared" si="218"/>
        <v>0</v>
      </c>
      <c r="BV217" s="27"/>
      <c r="BW217" s="27"/>
      <c r="BX217" s="27"/>
      <c r="BY217" s="27"/>
      <c r="BZ217" s="27"/>
      <c r="CA217" s="27"/>
      <c r="CB217" s="97">
        <f t="shared" si="225"/>
        <v>2.6</v>
      </c>
      <c r="CC217" s="97">
        <f t="shared" si="226"/>
        <v>2.62</v>
      </c>
      <c r="CD217" s="97">
        <f t="shared" si="227"/>
        <v>2.64</v>
      </c>
      <c r="CE217" s="97">
        <f t="shared" si="228"/>
        <v>2.3199999999999998</v>
      </c>
      <c r="CF217" s="97">
        <f t="shared" si="228"/>
        <v>2</v>
      </c>
      <c r="CG217" s="97">
        <f t="shared" si="228"/>
        <v>1.68</v>
      </c>
      <c r="CH217" s="97">
        <f t="shared" si="228"/>
        <v>1.35</v>
      </c>
      <c r="CI217" s="173"/>
      <c r="CJ217" s="173"/>
      <c r="CK217" s="173"/>
      <c r="CL217" s="173"/>
      <c r="CM217" s="173"/>
      <c r="CN217" s="173"/>
      <c r="CO217" s="173"/>
      <c r="CP217" s="174"/>
      <c r="CQ217" s="174"/>
      <c r="CR217" s="174"/>
      <c r="CS217" s="174"/>
      <c r="CT217" s="174"/>
      <c r="CU217" s="174"/>
      <c r="CV217" s="174"/>
      <c r="CW217" s="165"/>
      <c r="CX217" s="166"/>
      <c r="CY217" s="166"/>
      <c r="CZ217" s="166"/>
      <c r="DA217" s="166"/>
      <c r="DB217" s="166"/>
      <c r="DC217" s="166"/>
      <c r="DD217" s="171"/>
      <c r="DE217" s="171"/>
      <c r="DF217" s="171"/>
      <c r="DG217" s="171"/>
      <c r="DH217" s="171"/>
      <c r="DI217" s="171"/>
      <c r="DJ217" s="171"/>
      <c r="DK217" s="79" t="s">
        <v>699</v>
      </c>
      <c r="DL217" s="128">
        <f>VLOOKUP($F217,Activities!$A$9:$I$180,3,FALSE)/$AI217</f>
        <v>2.6</v>
      </c>
      <c r="DM217" s="128">
        <f>VLOOKUP($F217,Activities!$A$9:$I$180,4,FALSE)/$AI217</f>
        <v>2.62</v>
      </c>
      <c r="DN217" s="128">
        <f>VLOOKUP($F217,Activities!$A$9:$I$180,5,FALSE)/$AI217</f>
        <v>2.64</v>
      </c>
      <c r="DO217" s="128">
        <f>VLOOKUP($F217,Activities!$A$9:$I$180,6,FALSE)/$AI217</f>
        <v>2.3199999999999998</v>
      </c>
      <c r="DP217" s="128">
        <f>VLOOKUP($F217,Activities!$A$9:$I$180,7,FALSE)/$AI217</f>
        <v>2</v>
      </c>
      <c r="DQ217" s="128">
        <f>VLOOKUP($F217,Activities!$A$9:$I$180,8,FALSE)/$AI217</f>
        <v>1.68</v>
      </c>
      <c r="DR217" s="128">
        <f>VLOOKUP($F217,Activities!$A$9:$I$180,9,FALSE)/$AI217</f>
        <v>1.35</v>
      </c>
      <c r="DS217" s="218"/>
      <c r="DT217" s="360"/>
      <c r="DU217" s="360"/>
      <c r="DV217" s="360"/>
      <c r="DW217" s="360"/>
      <c r="DX217" s="360"/>
      <c r="DY217" s="360"/>
      <c r="DZ217" s="360"/>
      <c r="EA217" s="360"/>
      <c r="EB217" s="360"/>
      <c r="EC217" s="360"/>
      <c r="ED217" s="360"/>
      <c r="EE217" s="360"/>
      <c r="EF217" s="360"/>
      <c r="EG217" s="360"/>
      <c r="EH217" s="360"/>
      <c r="EI217" s="360"/>
      <c r="EJ217" s="360"/>
      <c r="EK217" s="360"/>
      <c r="EL217" s="360"/>
      <c r="EM217" s="360"/>
      <c r="EN217" s="360"/>
      <c r="EO217" s="360"/>
      <c r="EP217" s="360"/>
      <c r="EQ217" s="360"/>
    </row>
    <row r="218" spans="1:244" x14ac:dyDescent="0.35">
      <c r="A218" s="6" t="s">
        <v>1194</v>
      </c>
      <c r="B218" s="6" t="s">
        <v>740</v>
      </c>
      <c r="C218" s="6" t="s">
        <v>534</v>
      </c>
      <c r="D218" s="6" t="s">
        <v>741</v>
      </c>
      <c r="E218" s="6" t="s">
        <v>741</v>
      </c>
      <c r="F218" s="6" t="s">
        <v>402</v>
      </c>
      <c r="G218" s="48" t="s">
        <v>1195</v>
      </c>
      <c r="H218" s="48" t="s">
        <v>1162</v>
      </c>
      <c r="I218" s="102">
        <v>0</v>
      </c>
      <c r="J218" s="102">
        <v>0</v>
      </c>
      <c r="K218" s="102">
        <v>0</v>
      </c>
      <c r="L218" s="102">
        <v>0</v>
      </c>
      <c r="M218" s="102">
        <v>0</v>
      </c>
      <c r="N218" s="102">
        <v>0</v>
      </c>
      <c r="O218" s="102">
        <v>0</v>
      </c>
      <c r="P218" s="94">
        <v>0</v>
      </c>
      <c r="Q218" s="102">
        <v>0</v>
      </c>
      <c r="R218" s="102">
        <v>0</v>
      </c>
      <c r="S218" s="102">
        <v>0</v>
      </c>
      <c r="T218" s="102">
        <v>0</v>
      </c>
      <c r="U218" s="102">
        <v>0</v>
      </c>
      <c r="V218" s="102">
        <v>0</v>
      </c>
      <c r="W218" s="102">
        <v>0</v>
      </c>
      <c r="X218" s="102">
        <v>0</v>
      </c>
      <c r="Y218" s="102">
        <v>0</v>
      </c>
      <c r="Z218" s="102">
        <v>0</v>
      </c>
      <c r="AA218" s="102">
        <v>0</v>
      </c>
      <c r="AB218" s="102">
        <v>0</v>
      </c>
      <c r="AC218" s="102">
        <v>0</v>
      </c>
      <c r="AD218" s="102">
        <v>0</v>
      </c>
      <c r="AE218" s="186">
        <v>0.08</v>
      </c>
      <c r="AF218" s="94">
        <v>0</v>
      </c>
      <c r="AG218" s="94">
        <v>1</v>
      </c>
      <c r="AH218" s="94">
        <v>1</v>
      </c>
      <c r="AI218" s="17">
        <v>1</v>
      </c>
      <c r="AJ218" s="17" t="s">
        <v>660</v>
      </c>
      <c r="AK218" s="17" t="s">
        <v>745</v>
      </c>
      <c r="AL218" s="17"/>
      <c r="AM218" s="61"/>
      <c r="AN218" s="61"/>
      <c r="AO218" s="61"/>
      <c r="AP218" s="61"/>
      <c r="AQ218" s="61"/>
      <c r="AR218" s="61"/>
      <c r="AS218" s="64"/>
      <c r="AT218" s="64"/>
      <c r="AU218" s="64"/>
      <c r="AV218" s="132"/>
      <c r="AW218" s="132"/>
      <c r="AX218" s="132"/>
      <c r="AY218" s="28" t="s">
        <v>662</v>
      </c>
      <c r="AZ218" s="28"/>
      <c r="BA218" s="28"/>
      <c r="BB218" s="28"/>
      <c r="BC218" s="28"/>
      <c r="BD218" s="28"/>
      <c r="BE218" s="28"/>
      <c r="BF218" s="28"/>
      <c r="BG218" s="28"/>
      <c r="BH218" s="106"/>
      <c r="BI218" s="106"/>
      <c r="BJ218" s="106"/>
      <c r="BK218" s="106"/>
      <c r="BL218" s="137"/>
      <c r="BM218" s="123"/>
      <c r="BN218" s="139"/>
      <c r="BO218" s="94"/>
      <c r="BP218" s="94"/>
      <c r="BQ218" s="94"/>
      <c r="BR218" s="94"/>
      <c r="BS218" s="94"/>
      <c r="BT218" s="94"/>
      <c r="BU218" s="28">
        <f t="shared" si="218"/>
        <v>0</v>
      </c>
      <c r="BV218" s="28"/>
      <c r="BW218" s="28"/>
      <c r="BX218" s="28"/>
      <c r="BY218" s="28"/>
      <c r="BZ218" s="28"/>
      <c r="CA218" s="28"/>
      <c r="CB218" s="99">
        <f t="shared" si="225"/>
        <v>1</v>
      </c>
      <c r="CC218" s="99">
        <f t="shared" si="226"/>
        <v>0.69</v>
      </c>
      <c r="CD218" s="99">
        <f t="shared" si="227"/>
        <v>0.38100000000000001</v>
      </c>
      <c r="CE218" s="99">
        <f t="shared" si="228"/>
        <v>0.38</v>
      </c>
      <c r="CF218" s="99">
        <f t="shared" si="228"/>
        <v>0.37</v>
      </c>
      <c r="CG218" s="99">
        <f t="shared" si="228"/>
        <v>0.36</v>
      </c>
      <c r="CH218" s="99">
        <f t="shared" si="228"/>
        <v>0.35899999999999999</v>
      </c>
      <c r="CI218" s="175"/>
      <c r="CJ218" s="175"/>
      <c r="CK218" s="175"/>
      <c r="CL218" s="175"/>
      <c r="CM218" s="175"/>
      <c r="CN218" s="175"/>
      <c r="CO218" s="175"/>
      <c r="CP218" s="176"/>
      <c r="CQ218" s="176"/>
      <c r="CR218" s="176"/>
      <c r="CS218" s="176"/>
      <c r="CT218" s="176"/>
      <c r="CU218" s="176"/>
      <c r="CV218" s="176"/>
      <c r="CW218" s="167"/>
      <c r="CX218" s="168"/>
      <c r="CY218" s="168"/>
      <c r="CZ218" s="168"/>
      <c r="DA218" s="168"/>
      <c r="DB218" s="168"/>
      <c r="DC218" s="168"/>
      <c r="DD218" s="172"/>
      <c r="DE218" s="172"/>
      <c r="DF218" s="172"/>
      <c r="DG218" s="172"/>
      <c r="DH218" s="172"/>
      <c r="DI218" s="172"/>
      <c r="DJ218" s="172"/>
      <c r="DK218" s="80" t="s">
        <v>699</v>
      </c>
      <c r="DL218" s="129">
        <f>VLOOKUP($F218,Activities!$A$9:$I$180,3,FALSE)/$AI218</f>
        <v>1</v>
      </c>
      <c r="DM218" s="129">
        <f>VLOOKUP($F218,Activities!$A$9:$I$180,4,FALSE)/$AI218</f>
        <v>0.69</v>
      </c>
      <c r="DN218" s="129">
        <f>VLOOKUP($F218,Activities!$A$9:$I$180,5,FALSE)/$AI218</f>
        <v>0.38100000000000001</v>
      </c>
      <c r="DO218" s="129">
        <f>VLOOKUP($F218,Activities!$A$9:$I$180,6,FALSE)/$AI218</f>
        <v>0.38</v>
      </c>
      <c r="DP218" s="129">
        <f>VLOOKUP($F218,Activities!$A$9:$I$180,7,FALSE)/$AI218</f>
        <v>0.37</v>
      </c>
      <c r="DQ218" s="129">
        <f>VLOOKUP($F218,Activities!$A$9:$I$180,8,FALSE)/$AI218</f>
        <v>0.36</v>
      </c>
      <c r="DR218" s="129">
        <f>VLOOKUP($F218,Activities!$A$9:$I$180,9,FALSE)/$AI218</f>
        <v>0.35899999999999999</v>
      </c>
      <c r="DS218" s="218"/>
      <c r="DT218" s="360"/>
      <c r="DU218" s="360"/>
      <c r="DV218" s="360"/>
      <c r="DW218" s="360"/>
      <c r="DX218" s="360"/>
      <c r="DY218" s="360"/>
      <c r="DZ218" s="360"/>
      <c r="EA218" s="360"/>
      <c r="EB218" s="360"/>
      <c r="EC218" s="360"/>
      <c r="ED218" s="360"/>
      <c r="EE218" s="360"/>
      <c r="EF218" s="360"/>
      <c r="EG218" s="360"/>
      <c r="EH218" s="360"/>
      <c r="EI218" s="360"/>
      <c r="EJ218" s="360"/>
      <c r="EK218" s="360"/>
      <c r="EL218" s="360"/>
      <c r="EM218" s="360"/>
      <c r="EN218" s="360"/>
      <c r="EO218" s="360"/>
      <c r="EP218" s="360"/>
      <c r="EQ218" s="360"/>
    </row>
    <row r="219" spans="1:244" x14ac:dyDescent="0.35">
      <c r="A219" s="5" t="s">
        <v>1196</v>
      </c>
      <c r="B219" s="5" t="s">
        <v>740</v>
      </c>
      <c r="C219" s="5" t="s">
        <v>534</v>
      </c>
      <c r="D219" s="5" t="s">
        <v>741</v>
      </c>
      <c r="E219" s="5" t="s">
        <v>741</v>
      </c>
      <c r="F219" s="5" t="s">
        <v>403</v>
      </c>
      <c r="G219" s="47" t="s">
        <v>1197</v>
      </c>
      <c r="H219" s="47" t="s">
        <v>1162</v>
      </c>
      <c r="I219" s="101">
        <v>0</v>
      </c>
      <c r="J219" s="101">
        <v>0</v>
      </c>
      <c r="K219" s="101">
        <v>0</v>
      </c>
      <c r="L219" s="101">
        <v>0</v>
      </c>
      <c r="M219" s="101">
        <v>0</v>
      </c>
      <c r="N219" s="101">
        <v>0</v>
      </c>
      <c r="O219" s="101">
        <v>0</v>
      </c>
      <c r="P219" s="93">
        <v>0</v>
      </c>
      <c r="Q219" s="101">
        <v>0</v>
      </c>
      <c r="R219" s="101">
        <v>0</v>
      </c>
      <c r="S219" s="101">
        <v>0</v>
      </c>
      <c r="T219" s="101">
        <v>0</v>
      </c>
      <c r="U219" s="101">
        <v>0</v>
      </c>
      <c r="V219" s="101">
        <v>0</v>
      </c>
      <c r="W219" s="101">
        <v>0</v>
      </c>
      <c r="X219" s="101">
        <v>0</v>
      </c>
      <c r="Y219" s="101">
        <v>0</v>
      </c>
      <c r="Z219" s="101">
        <v>0</v>
      </c>
      <c r="AA219" s="101">
        <v>0</v>
      </c>
      <c r="AB219" s="101">
        <v>0</v>
      </c>
      <c r="AC219" s="101">
        <v>0</v>
      </c>
      <c r="AD219" s="101">
        <v>0</v>
      </c>
      <c r="AE219" s="186">
        <v>0.08</v>
      </c>
      <c r="AF219" s="93">
        <v>0</v>
      </c>
      <c r="AG219" s="93">
        <v>1</v>
      </c>
      <c r="AH219" s="93">
        <v>1</v>
      </c>
      <c r="AI219" s="16">
        <v>1</v>
      </c>
      <c r="AJ219" s="16" t="s">
        <v>660</v>
      </c>
      <c r="AK219" s="16" t="s">
        <v>745</v>
      </c>
      <c r="AL219" s="16"/>
      <c r="AM219" s="60"/>
      <c r="AN219" s="60"/>
      <c r="AO219" s="60"/>
      <c r="AP219" s="60"/>
      <c r="AQ219" s="60"/>
      <c r="AR219" s="60"/>
      <c r="AS219" s="63"/>
      <c r="AT219" s="63"/>
      <c r="AU219" s="63"/>
      <c r="AV219" s="131"/>
      <c r="AW219" s="131"/>
      <c r="AX219" s="131"/>
      <c r="AY219" s="27" t="s">
        <v>662</v>
      </c>
      <c r="AZ219" s="27"/>
      <c r="BA219" s="27"/>
      <c r="BB219" s="30"/>
      <c r="BC219" s="30"/>
      <c r="BD219" s="30"/>
      <c r="BE219" s="30"/>
      <c r="BF219" s="30"/>
      <c r="BG219" s="30"/>
      <c r="BH219" s="107"/>
      <c r="BI219" s="107"/>
      <c r="BJ219" s="107"/>
      <c r="BK219" s="107"/>
      <c r="BL219" s="136"/>
      <c r="BM219" s="122"/>
      <c r="BN219" s="138"/>
      <c r="BO219" s="93"/>
      <c r="BP219" s="93"/>
      <c r="BQ219" s="93"/>
      <c r="BR219" s="93"/>
      <c r="BS219" s="93"/>
      <c r="BT219" s="93"/>
      <c r="BU219" s="27">
        <f t="shared" si="218"/>
        <v>0</v>
      </c>
      <c r="BV219" s="27"/>
      <c r="BW219" s="27"/>
      <c r="BX219" s="27"/>
      <c r="BY219" s="27"/>
      <c r="BZ219" s="27"/>
      <c r="CA219" s="27"/>
      <c r="CB219" s="97">
        <f t="shared" si="225"/>
        <v>1.5</v>
      </c>
      <c r="CC219" s="97">
        <f t="shared" si="226"/>
        <v>1.1299999999999999</v>
      </c>
      <c r="CD219" s="97">
        <f t="shared" si="227"/>
        <v>0.76700000000000002</v>
      </c>
      <c r="CE219" s="97">
        <f t="shared" si="228"/>
        <v>0.71</v>
      </c>
      <c r="CF219" s="97">
        <f t="shared" si="228"/>
        <v>0.65</v>
      </c>
      <c r="CG219" s="97">
        <f t="shared" si="228"/>
        <v>0.6</v>
      </c>
      <c r="CH219" s="97">
        <f t="shared" si="228"/>
        <v>0.54100000000000004</v>
      </c>
      <c r="CI219" s="173"/>
      <c r="CJ219" s="173"/>
      <c r="CK219" s="173"/>
      <c r="CL219" s="173"/>
      <c r="CM219" s="173"/>
      <c r="CN219" s="173"/>
      <c r="CO219" s="173"/>
      <c r="CP219" s="174"/>
      <c r="CQ219" s="174"/>
      <c r="CR219" s="174"/>
      <c r="CS219" s="174"/>
      <c r="CT219" s="174"/>
      <c r="CU219" s="174"/>
      <c r="CV219" s="174"/>
      <c r="CW219" s="165"/>
      <c r="CX219" s="166"/>
      <c r="CY219" s="166"/>
      <c r="CZ219" s="166"/>
      <c r="DA219" s="166"/>
      <c r="DB219" s="166"/>
      <c r="DC219" s="166"/>
      <c r="DD219" s="171"/>
      <c r="DE219" s="171"/>
      <c r="DF219" s="171"/>
      <c r="DG219" s="171"/>
      <c r="DH219" s="171"/>
      <c r="DI219" s="171"/>
      <c r="DJ219" s="171"/>
      <c r="DK219" s="79" t="s">
        <v>699</v>
      </c>
      <c r="DL219" s="128">
        <f>VLOOKUP($F219,Activities!$A$9:$I$180,3,FALSE)/$AI219</f>
        <v>1.5</v>
      </c>
      <c r="DM219" s="128">
        <f>VLOOKUP($F219,Activities!$A$9:$I$180,4,FALSE)/$AI219</f>
        <v>1.1299999999999999</v>
      </c>
      <c r="DN219" s="128">
        <f>VLOOKUP($F219,Activities!$A$9:$I$180,5,FALSE)/$AI219</f>
        <v>0.76700000000000002</v>
      </c>
      <c r="DO219" s="128">
        <f>VLOOKUP($F219,Activities!$A$9:$I$180,6,FALSE)/$AI219</f>
        <v>0.71</v>
      </c>
      <c r="DP219" s="128">
        <f>VLOOKUP($F219,Activities!$A$9:$I$180,7,FALSE)/$AI219</f>
        <v>0.65</v>
      </c>
      <c r="DQ219" s="128">
        <f>VLOOKUP($F219,Activities!$A$9:$I$180,8,FALSE)/$AI219</f>
        <v>0.6</v>
      </c>
      <c r="DR219" s="128">
        <f>VLOOKUP($F219,Activities!$A$9:$I$180,9,FALSE)/$AI219</f>
        <v>0.54100000000000004</v>
      </c>
      <c r="DS219" s="218"/>
      <c r="DT219" s="360"/>
      <c r="DU219" s="360"/>
      <c r="DV219" s="360"/>
      <c r="DW219" s="360"/>
      <c r="DX219" s="360"/>
      <c r="DY219" s="360"/>
      <c r="DZ219" s="360"/>
      <c r="EA219" s="360"/>
      <c r="EB219" s="360"/>
      <c r="EC219" s="360"/>
      <c r="ED219" s="360"/>
      <c r="EE219" s="360"/>
      <c r="EF219" s="360"/>
      <c r="EG219" s="360"/>
      <c r="EH219" s="360"/>
      <c r="EI219" s="360"/>
      <c r="EJ219" s="360"/>
      <c r="EK219" s="360"/>
      <c r="EL219" s="360"/>
      <c r="EM219" s="360"/>
      <c r="EN219" s="360"/>
      <c r="EO219" s="360"/>
      <c r="EP219" s="360"/>
      <c r="EQ219" s="360"/>
    </row>
    <row r="220" spans="1:244" x14ac:dyDescent="0.35">
      <c r="A220" s="6" t="s">
        <v>1198</v>
      </c>
      <c r="B220" s="6" t="s">
        <v>734</v>
      </c>
      <c r="C220" s="6" t="s">
        <v>534</v>
      </c>
      <c r="D220" s="6" t="s">
        <v>1029</v>
      </c>
      <c r="E220" s="6" t="s">
        <v>1029</v>
      </c>
      <c r="F220" s="6" t="s">
        <v>404</v>
      </c>
      <c r="G220" s="48" t="s">
        <v>1199</v>
      </c>
      <c r="H220" s="48" t="s">
        <v>1162</v>
      </c>
      <c r="I220" s="102">
        <v>0</v>
      </c>
      <c r="J220" s="102">
        <v>0</v>
      </c>
      <c r="K220" s="102">
        <v>0</v>
      </c>
      <c r="L220" s="102">
        <v>0</v>
      </c>
      <c r="M220" s="102">
        <v>0</v>
      </c>
      <c r="N220" s="102">
        <v>0</v>
      </c>
      <c r="O220" s="102">
        <v>0</v>
      </c>
      <c r="P220" s="94">
        <v>0</v>
      </c>
      <c r="Q220" s="102">
        <v>0</v>
      </c>
      <c r="R220" s="102">
        <v>0</v>
      </c>
      <c r="S220" s="102">
        <v>0</v>
      </c>
      <c r="T220" s="102">
        <v>0</v>
      </c>
      <c r="U220" s="102">
        <v>0</v>
      </c>
      <c r="V220" s="102">
        <v>0</v>
      </c>
      <c r="W220" s="102">
        <v>0</v>
      </c>
      <c r="X220" s="102">
        <v>0</v>
      </c>
      <c r="Y220" s="102">
        <v>0</v>
      </c>
      <c r="Z220" s="102">
        <v>0</v>
      </c>
      <c r="AA220" s="102">
        <v>0</v>
      </c>
      <c r="AB220" s="102">
        <v>0</v>
      </c>
      <c r="AC220" s="102">
        <v>0</v>
      </c>
      <c r="AD220" s="102">
        <v>0</v>
      </c>
      <c r="AE220" s="186">
        <v>0.08</v>
      </c>
      <c r="AF220" s="94">
        <v>0</v>
      </c>
      <c r="AG220" s="94">
        <v>1</v>
      </c>
      <c r="AH220" s="94">
        <v>1</v>
      </c>
      <c r="AI220" s="17">
        <v>1</v>
      </c>
      <c r="AJ220" s="17" t="s">
        <v>660</v>
      </c>
      <c r="AK220" s="17" t="s">
        <v>745</v>
      </c>
      <c r="AL220" s="17"/>
      <c r="AM220" s="61"/>
      <c r="AN220" s="61"/>
      <c r="AO220" s="61"/>
      <c r="AP220" s="61"/>
      <c r="AQ220" s="61"/>
      <c r="AR220" s="61"/>
      <c r="AS220" s="64"/>
      <c r="AT220" s="64"/>
      <c r="AU220" s="64"/>
      <c r="AV220" s="132"/>
      <c r="AW220" s="132"/>
      <c r="AX220" s="132"/>
      <c r="AY220" s="28" t="s">
        <v>662</v>
      </c>
      <c r="AZ220" s="28"/>
      <c r="BA220" s="28"/>
      <c r="BB220" s="28"/>
      <c r="BC220" s="28"/>
      <c r="BD220" s="28"/>
      <c r="BE220" s="28"/>
      <c r="BF220" s="28"/>
      <c r="BG220" s="28"/>
      <c r="BH220" s="106"/>
      <c r="BI220" s="106"/>
      <c r="BJ220" s="106"/>
      <c r="BK220" s="106"/>
      <c r="BL220" s="137"/>
      <c r="BM220" s="123"/>
      <c r="BN220" s="139"/>
      <c r="BO220" s="94"/>
      <c r="BP220" s="94"/>
      <c r="BQ220" s="94"/>
      <c r="BR220" s="94"/>
      <c r="BS220" s="94"/>
      <c r="BT220" s="94"/>
      <c r="BU220" s="28">
        <f t="shared" si="218"/>
        <v>0</v>
      </c>
      <c r="BV220" s="28"/>
      <c r="BW220" s="28"/>
      <c r="BX220" s="28"/>
      <c r="BY220" s="28"/>
      <c r="BZ220" s="28"/>
      <c r="CA220" s="28"/>
      <c r="CB220" s="99">
        <f t="shared" si="225"/>
        <v>0.08</v>
      </c>
      <c r="CC220" s="99">
        <f t="shared" si="226"/>
        <v>7.0000000000000007E-2</v>
      </c>
      <c r="CD220" s="99">
        <f t="shared" si="227"/>
        <v>0.06</v>
      </c>
      <c r="CE220" s="99">
        <f t="shared" si="228"/>
        <v>0.05</v>
      </c>
      <c r="CF220" s="99">
        <f t="shared" si="228"/>
        <v>0.04</v>
      </c>
      <c r="CG220" s="99">
        <f t="shared" si="228"/>
        <v>0.03</v>
      </c>
      <c r="CH220" s="99">
        <f t="shared" si="228"/>
        <v>1.0999999999999999E-2</v>
      </c>
      <c r="CI220" s="175"/>
      <c r="CJ220" s="175"/>
      <c r="CK220" s="175"/>
      <c r="CL220" s="175"/>
      <c r="CM220" s="175"/>
      <c r="CN220" s="175"/>
      <c r="CO220" s="175"/>
      <c r="CP220" s="176"/>
      <c r="CQ220" s="176"/>
      <c r="CR220" s="176"/>
      <c r="CS220" s="176"/>
      <c r="CT220" s="176"/>
      <c r="CU220" s="176"/>
      <c r="CV220" s="176"/>
      <c r="CW220" s="167"/>
      <c r="CX220" s="168"/>
      <c r="CY220" s="168"/>
      <c r="CZ220" s="168"/>
      <c r="DA220" s="168"/>
      <c r="DB220" s="168"/>
      <c r="DC220" s="168"/>
      <c r="DD220" s="172"/>
      <c r="DE220" s="172"/>
      <c r="DF220" s="172"/>
      <c r="DG220" s="172"/>
      <c r="DH220" s="172"/>
      <c r="DI220" s="172"/>
      <c r="DJ220" s="172"/>
      <c r="DK220" s="80" t="s">
        <v>699</v>
      </c>
      <c r="DL220" s="129">
        <f>VLOOKUP($F220,Activities!$A$9:$I$180,3,FALSE)/$AI220</f>
        <v>0.08</v>
      </c>
      <c r="DM220" s="129">
        <f>VLOOKUP($F220,Activities!$A$9:$I$180,4,FALSE)/$AI220</f>
        <v>7.0000000000000007E-2</v>
      </c>
      <c r="DN220" s="129">
        <f>VLOOKUP($F220,Activities!$A$9:$I$180,5,FALSE)/$AI220</f>
        <v>0.06</v>
      </c>
      <c r="DO220" s="129">
        <f>VLOOKUP($F220,Activities!$A$9:$I$180,6,FALSE)/$AI220</f>
        <v>0.05</v>
      </c>
      <c r="DP220" s="129">
        <f>VLOOKUP($F220,Activities!$A$9:$I$180,7,FALSE)/$AI220</f>
        <v>0.04</v>
      </c>
      <c r="DQ220" s="129">
        <f>VLOOKUP($F220,Activities!$A$9:$I$180,8,FALSE)/$AI220</f>
        <v>0.03</v>
      </c>
      <c r="DR220" s="129">
        <f>VLOOKUP($F220,Activities!$A$9:$I$180,9,FALSE)/$AI220</f>
        <v>1.0999999999999999E-2</v>
      </c>
      <c r="DS220" s="218"/>
      <c r="DT220" s="360"/>
      <c r="DU220" s="360"/>
      <c r="DV220" s="360"/>
      <c r="DW220" s="360"/>
      <c r="DX220" s="360"/>
      <c r="DY220" s="360"/>
      <c r="DZ220" s="360"/>
      <c r="EA220" s="360"/>
      <c r="EB220" s="360"/>
      <c r="EC220" s="360"/>
      <c r="ED220" s="360"/>
      <c r="EE220" s="360"/>
      <c r="EF220" s="360"/>
      <c r="EG220" s="360"/>
      <c r="EH220" s="360"/>
      <c r="EI220" s="360"/>
      <c r="EJ220" s="360"/>
      <c r="EK220" s="360"/>
      <c r="EL220" s="360"/>
      <c r="EM220" s="360"/>
      <c r="EN220" s="360"/>
      <c r="EO220" s="360"/>
      <c r="EP220" s="360"/>
      <c r="EQ220" s="360"/>
    </row>
    <row r="221" spans="1:244" x14ac:dyDescent="0.35">
      <c r="A221" s="5" t="s">
        <v>1200</v>
      </c>
      <c r="B221" s="5" t="s">
        <v>734</v>
      </c>
      <c r="C221" s="5" t="s">
        <v>534</v>
      </c>
      <c r="D221" s="5" t="s">
        <v>1029</v>
      </c>
      <c r="E221" s="5" t="s">
        <v>1029</v>
      </c>
      <c r="F221" s="5" t="s">
        <v>405</v>
      </c>
      <c r="G221" s="47" t="s">
        <v>1201</v>
      </c>
      <c r="H221" s="47" t="s">
        <v>1162</v>
      </c>
      <c r="I221" s="101">
        <v>0</v>
      </c>
      <c r="J221" s="101">
        <v>0</v>
      </c>
      <c r="K221" s="101">
        <v>0</v>
      </c>
      <c r="L221" s="101">
        <v>0</v>
      </c>
      <c r="M221" s="101">
        <v>0</v>
      </c>
      <c r="N221" s="101">
        <v>0</v>
      </c>
      <c r="O221" s="101">
        <v>0</v>
      </c>
      <c r="P221" s="93">
        <v>0</v>
      </c>
      <c r="Q221" s="101">
        <v>0</v>
      </c>
      <c r="R221" s="101">
        <v>0</v>
      </c>
      <c r="S221" s="101">
        <v>0</v>
      </c>
      <c r="T221" s="101">
        <v>0</v>
      </c>
      <c r="U221" s="101">
        <v>0</v>
      </c>
      <c r="V221" s="101">
        <v>0</v>
      </c>
      <c r="W221" s="101">
        <v>0</v>
      </c>
      <c r="X221" s="101">
        <v>0</v>
      </c>
      <c r="Y221" s="101">
        <v>0</v>
      </c>
      <c r="Z221" s="101">
        <v>0</v>
      </c>
      <c r="AA221" s="101">
        <v>0</v>
      </c>
      <c r="AB221" s="101">
        <v>0</v>
      </c>
      <c r="AC221" s="101">
        <v>0</v>
      </c>
      <c r="AD221" s="101">
        <v>0</v>
      </c>
      <c r="AE221" s="186">
        <v>0.08</v>
      </c>
      <c r="AF221" s="93">
        <v>0</v>
      </c>
      <c r="AG221" s="93">
        <v>1</v>
      </c>
      <c r="AH221" s="93">
        <v>1</v>
      </c>
      <c r="AI221" s="16">
        <v>1</v>
      </c>
      <c r="AJ221" s="16" t="s">
        <v>660</v>
      </c>
      <c r="AK221" s="16" t="s">
        <v>745</v>
      </c>
      <c r="AL221" s="16"/>
      <c r="AM221" s="60"/>
      <c r="AN221" s="60"/>
      <c r="AO221" s="60"/>
      <c r="AP221" s="60"/>
      <c r="AQ221" s="60"/>
      <c r="AR221" s="60"/>
      <c r="AS221" s="63"/>
      <c r="AT221" s="63"/>
      <c r="AU221" s="63"/>
      <c r="AV221" s="131"/>
      <c r="AW221" s="131"/>
      <c r="AX221" s="131"/>
      <c r="AY221" s="27" t="s">
        <v>662</v>
      </c>
      <c r="AZ221" s="27"/>
      <c r="BA221" s="27"/>
      <c r="BB221" s="30"/>
      <c r="BC221" s="30"/>
      <c r="BD221" s="30"/>
      <c r="BE221" s="30"/>
      <c r="BF221" s="30"/>
      <c r="BG221" s="30"/>
      <c r="BH221" s="107"/>
      <c r="BI221" s="107"/>
      <c r="BJ221" s="107"/>
      <c r="BK221" s="107"/>
      <c r="BL221" s="136"/>
      <c r="BM221" s="122"/>
      <c r="BN221" s="138"/>
      <c r="BO221" s="93"/>
      <c r="BP221" s="93"/>
      <c r="BQ221" s="93"/>
      <c r="BR221" s="93"/>
      <c r="BS221" s="93"/>
      <c r="BT221" s="93"/>
      <c r="BU221" s="27">
        <f t="shared" ref="BU221" si="229">IF(BL221=1,BN221,0)</f>
        <v>0</v>
      </c>
      <c r="BV221" s="27"/>
      <c r="BW221" s="27"/>
      <c r="BX221" s="27"/>
      <c r="BY221" s="27"/>
      <c r="BZ221" s="27"/>
      <c r="CA221" s="27"/>
      <c r="CB221" s="97">
        <f t="shared" si="225"/>
        <v>1.1000000000000001</v>
      </c>
      <c r="CC221" s="97">
        <f t="shared" si="226"/>
        <v>0.64</v>
      </c>
      <c r="CD221" s="97">
        <f t="shared" si="227"/>
        <v>0.17499999999999999</v>
      </c>
      <c r="CE221" s="97">
        <f t="shared" si="228"/>
        <v>0.15</v>
      </c>
      <c r="CF221" s="97">
        <f t="shared" si="228"/>
        <v>0.13</v>
      </c>
      <c r="CG221" s="97">
        <f t="shared" si="228"/>
        <v>0.11</v>
      </c>
      <c r="CH221" s="97">
        <f t="shared" si="228"/>
        <v>8.4000000000000005E-2</v>
      </c>
      <c r="CI221" s="173"/>
      <c r="CJ221" s="173"/>
      <c r="CK221" s="173"/>
      <c r="CL221" s="173"/>
      <c r="CM221" s="173"/>
      <c r="CN221" s="173"/>
      <c r="CO221" s="173"/>
      <c r="CP221" s="174"/>
      <c r="CQ221" s="174"/>
      <c r="CR221" s="174"/>
      <c r="CS221" s="174"/>
      <c r="CT221" s="174"/>
      <c r="CU221" s="174"/>
      <c r="CV221" s="174"/>
      <c r="CW221" s="165"/>
      <c r="CX221" s="166"/>
      <c r="CY221" s="166"/>
      <c r="CZ221" s="166"/>
      <c r="DA221" s="166"/>
      <c r="DB221" s="166"/>
      <c r="DC221" s="166"/>
      <c r="DD221" s="171"/>
      <c r="DE221" s="171"/>
      <c r="DF221" s="171"/>
      <c r="DG221" s="171"/>
      <c r="DH221" s="171"/>
      <c r="DI221" s="171"/>
      <c r="DJ221" s="171"/>
      <c r="DK221" s="79" t="s">
        <v>699</v>
      </c>
      <c r="DL221" s="128">
        <f>VLOOKUP($F221,Activities!$A$9:$I$180,3,FALSE)/$AI221</f>
        <v>1.1000000000000001</v>
      </c>
      <c r="DM221" s="128">
        <f>VLOOKUP($F221,Activities!$A$9:$I$180,4,FALSE)/$AI221</f>
        <v>0.64</v>
      </c>
      <c r="DN221" s="128">
        <f>VLOOKUP($F221,Activities!$A$9:$I$180,5,FALSE)/$AI221</f>
        <v>0.17499999999999999</v>
      </c>
      <c r="DO221" s="128">
        <f>VLOOKUP($F221,Activities!$A$9:$I$180,6,FALSE)/$AI221</f>
        <v>0.15</v>
      </c>
      <c r="DP221" s="128">
        <f>VLOOKUP($F221,Activities!$A$9:$I$180,7,FALSE)/$AI221</f>
        <v>0.13</v>
      </c>
      <c r="DQ221" s="128">
        <f>VLOOKUP($F221,Activities!$A$9:$I$180,8,FALSE)/$AI221</f>
        <v>0.11</v>
      </c>
      <c r="DR221" s="128">
        <f>VLOOKUP($F221,Activities!$A$9:$I$180,9,FALSE)/$AI221</f>
        <v>8.4000000000000005E-2</v>
      </c>
      <c r="DS221" s="218"/>
      <c r="DT221" s="360"/>
      <c r="DU221" s="360"/>
      <c r="DV221" s="360"/>
      <c r="DW221" s="360"/>
      <c r="DX221" s="360"/>
      <c r="DY221" s="360"/>
      <c r="DZ221" s="360"/>
      <c r="EA221" s="360"/>
      <c r="EB221" s="360"/>
      <c r="EC221" s="360"/>
      <c r="ED221" s="360"/>
      <c r="EE221" s="360"/>
      <c r="EF221" s="360"/>
      <c r="EG221" s="360"/>
      <c r="EH221" s="360"/>
      <c r="EI221" s="360"/>
      <c r="EJ221" s="360"/>
      <c r="EK221" s="360"/>
      <c r="EL221" s="360"/>
      <c r="EM221" s="360"/>
      <c r="EN221" s="360"/>
      <c r="EO221" s="360"/>
      <c r="EP221" s="360"/>
      <c r="EQ221" s="360"/>
    </row>
    <row r="222" spans="1:244" x14ac:dyDescent="0.35">
      <c r="A222" s="6" t="s">
        <v>1202</v>
      </c>
      <c r="B222" s="6" t="s">
        <v>734</v>
      </c>
      <c r="C222" s="6" t="s">
        <v>534</v>
      </c>
      <c r="D222" s="6" t="s">
        <v>1029</v>
      </c>
      <c r="E222" s="6" t="s">
        <v>1029</v>
      </c>
      <c r="F222" s="6" t="s">
        <v>406</v>
      </c>
      <c r="G222" s="48" t="s">
        <v>1203</v>
      </c>
      <c r="H222" s="48" t="s">
        <v>1162</v>
      </c>
      <c r="I222" s="102">
        <v>0</v>
      </c>
      <c r="J222" s="102">
        <v>0</v>
      </c>
      <c r="K222" s="102">
        <v>0</v>
      </c>
      <c r="L222" s="102">
        <v>0</v>
      </c>
      <c r="M222" s="102">
        <v>0</v>
      </c>
      <c r="N222" s="102">
        <v>0</v>
      </c>
      <c r="O222" s="102">
        <v>0</v>
      </c>
      <c r="P222" s="94">
        <v>0</v>
      </c>
      <c r="Q222" s="102">
        <v>0</v>
      </c>
      <c r="R222" s="102">
        <v>0</v>
      </c>
      <c r="S222" s="102">
        <v>0</v>
      </c>
      <c r="T222" s="102">
        <v>0</v>
      </c>
      <c r="U222" s="102">
        <v>0</v>
      </c>
      <c r="V222" s="102">
        <v>0</v>
      </c>
      <c r="W222" s="102">
        <v>0</v>
      </c>
      <c r="X222" s="102">
        <v>0</v>
      </c>
      <c r="Y222" s="102">
        <v>0</v>
      </c>
      <c r="Z222" s="102">
        <v>0</v>
      </c>
      <c r="AA222" s="102">
        <v>0</v>
      </c>
      <c r="AB222" s="102">
        <v>0</v>
      </c>
      <c r="AC222" s="102">
        <v>0</v>
      </c>
      <c r="AD222" s="102">
        <v>0</v>
      </c>
      <c r="AE222" s="186">
        <v>0.08</v>
      </c>
      <c r="AF222" s="94">
        <v>0</v>
      </c>
      <c r="AG222" s="94">
        <v>1</v>
      </c>
      <c r="AH222" s="94">
        <v>1</v>
      </c>
      <c r="AI222" s="17">
        <v>1</v>
      </c>
      <c r="AJ222" s="17" t="s">
        <v>660</v>
      </c>
      <c r="AK222" s="17" t="s">
        <v>745</v>
      </c>
      <c r="AL222" s="17"/>
      <c r="AM222" s="61"/>
      <c r="AN222" s="61"/>
      <c r="AO222" s="61"/>
      <c r="AP222" s="61"/>
      <c r="AQ222" s="61"/>
      <c r="AR222" s="61"/>
      <c r="AS222" s="64"/>
      <c r="AT222" s="64"/>
      <c r="AU222" s="64"/>
      <c r="AV222" s="132"/>
      <c r="AW222" s="132"/>
      <c r="AX222" s="132"/>
      <c r="AY222" s="28" t="s">
        <v>662</v>
      </c>
      <c r="AZ222" s="28"/>
      <c r="BA222" s="28"/>
      <c r="BB222" s="28"/>
      <c r="BC222" s="28"/>
      <c r="BD222" s="28"/>
      <c r="BE222" s="28"/>
      <c r="BF222" s="28"/>
      <c r="BG222" s="28"/>
      <c r="BH222" s="106"/>
      <c r="BI222" s="106"/>
      <c r="BJ222" s="106"/>
      <c r="BK222" s="106"/>
      <c r="BL222" s="137"/>
      <c r="BM222" s="123"/>
      <c r="BN222" s="139"/>
      <c r="BO222" s="94"/>
      <c r="BP222" s="94"/>
      <c r="BQ222" s="94"/>
      <c r="BR222" s="94"/>
      <c r="BS222" s="94"/>
      <c r="BT222" s="94"/>
      <c r="BU222" s="28">
        <f t="shared" ref="BU222" si="230">IF(BL222=1,BN222,0)</f>
        <v>0</v>
      </c>
      <c r="BV222" s="28"/>
      <c r="BW222" s="28"/>
      <c r="BX222" s="28"/>
      <c r="BY222" s="28"/>
      <c r="BZ222" s="28"/>
      <c r="CA222" s="28"/>
      <c r="CB222" s="99">
        <f t="shared" si="225"/>
        <v>0.4</v>
      </c>
      <c r="CC222" s="99">
        <f t="shared" si="226"/>
        <v>0.26</v>
      </c>
      <c r="CD222" s="99">
        <f t="shared" si="227"/>
        <v>0.11</v>
      </c>
      <c r="CE222" s="99">
        <f t="shared" si="228"/>
        <v>0.09</v>
      </c>
      <c r="CF222" s="99">
        <f t="shared" si="228"/>
        <v>0.06</v>
      </c>
      <c r="CG222" s="99">
        <f t="shared" si="228"/>
        <v>0.03</v>
      </c>
      <c r="CH222" s="99">
        <f t="shared" si="228"/>
        <v>0</v>
      </c>
      <c r="CI222" s="175"/>
      <c r="CJ222" s="175"/>
      <c r="CK222" s="175"/>
      <c r="CL222" s="175"/>
      <c r="CM222" s="175"/>
      <c r="CN222" s="175"/>
      <c r="CO222" s="175"/>
      <c r="CP222" s="176"/>
      <c r="CQ222" s="176"/>
      <c r="CR222" s="176"/>
      <c r="CS222" s="176"/>
      <c r="CT222" s="176"/>
      <c r="CU222" s="176"/>
      <c r="CV222" s="176"/>
      <c r="CW222" s="167"/>
      <c r="CX222" s="168"/>
      <c r="CY222" s="168"/>
      <c r="CZ222" s="168"/>
      <c r="DA222" s="168"/>
      <c r="DB222" s="168"/>
      <c r="DC222" s="168"/>
      <c r="DD222" s="172"/>
      <c r="DE222" s="172"/>
      <c r="DF222" s="172"/>
      <c r="DG222" s="172"/>
      <c r="DH222" s="172"/>
      <c r="DI222" s="172"/>
      <c r="DJ222" s="172"/>
      <c r="DK222" s="80" t="s">
        <v>699</v>
      </c>
      <c r="DL222" s="129">
        <f>VLOOKUP($F222,Activities!$A$9:$I$180,3,FALSE)/$AI222</f>
        <v>0.4</v>
      </c>
      <c r="DM222" s="129">
        <f>VLOOKUP($F222,Activities!$A$9:$I$180,4,FALSE)/$AI222</f>
        <v>0.26</v>
      </c>
      <c r="DN222" s="129">
        <f>VLOOKUP($F222,Activities!$A$9:$I$180,5,FALSE)/$AI222</f>
        <v>0.11</v>
      </c>
      <c r="DO222" s="129">
        <f>VLOOKUP($F222,Activities!$A$9:$I$180,6,FALSE)/$AI222</f>
        <v>0.09</v>
      </c>
      <c r="DP222" s="129">
        <f>VLOOKUP($F222,Activities!$A$9:$I$180,7,FALSE)/$AI222</f>
        <v>0.06</v>
      </c>
      <c r="DQ222" s="129">
        <f>VLOOKUP($F222,Activities!$A$9:$I$180,8,FALSE)/$AI222</f>
        <v>0.03</v>
      </c>
      <c r="DR222" s="129">
        <f>VLOOKUP($F222,Activities!$A$9:$I$180,9,FALSE)/$AI222</f>
        <v>0</v>
      </c>
      <c r="DS222" s="218"/>
      <c r="DT222" s="360"/>
      <c r="DU222" s="360"/>
      <c r="DV222" s="360"/>
      <c r="DW222" s="360"/>
      <c r="DX222" s="360"/>
      <c r="DY222" s="360"/>
      <c r="DZ222" s="360"/>
      <c r="EA222" s="360"/>
      <c r="EB222" s="360"/>
      <c r="EC222" s="360"/>
      <c r="ED222" s="360"/>
      <c r="EE222" s="360"/>
      <c r="EF222" s="360"/>
      <c r="EG222" s="360"/>
      <c r="EH222" s="360"/>
      <c r="EI222" s="360"/>
      <c r="EJ222" s="360"/>
      <c r="EK222" s="360"/>
      <c r="EL222" s="360"/>
      <c r="EM222" s="360"/>
      <c r="EN222" s="360"/>
      <c r="EO222" s="360"/>
      <c r="EP222" s="360"/>
      <c r="EQ222" s="360"/>
    </row>
    <row r="223" spans="1:244" x14ac:dyDescent="0.35">
      <c r="A223" s="5" t="s">
        <v>1204</v>
      </c>
      <c r="B223" s="5" t="s">
        <v>1205</v>
      </c>
      <c r="C223" s="5" t="s">
        <v>534</v>
      </c>
      <c r="D223" s="5" t="s">
        <v>1206</v>
      </c>
      <c r="E223" s="5" t="s">
        <v>1133</v>
      </c>
      <c r="F223" s="5" t="s">
        <v>407</v>
      </c>
      <c r="G223" s="47" t="s">
        <v>1206</v>
      </c>
      <c r="H223" s="47" t="s">
        <v>1162</v>
      </c>
      <c r="I223" s="101">
        <v>0</v>
      </c>
      <c r="J223" s="101">
        <v>0</v>
      </c>
      <c r="K223" s="101">
        <v>0</v>
      </c>
      <c r="L223" s="101">
        <v>0</v>
      </c>
      <c r="M223" s="101">
        <v>0</v>
      </c>
      <c r="N223" s="101">
        <v>0</v>
      </c>
      <c r="O223" s="101">
        <v>0</v>
      </c>
      <c r="P223" s="93">
        <v>0</v>
      </c>
      <c r="Q223" s="101">
        <v>0</v>
      </c>
      <c r="R223" s="101">
        <v>0</v>
      </c>
      <c r="S223" s="101">
        <v>0</v>
      </c>
      <c r="T223" s="101">
        <v>0</v>
      </c>
      <c r="U223" s="101">
        <v>0</v>
      </c>
      <c r="V223" s="101">
        <v>0</v>
      </c>
      <c r="W223" s="101">
        <v>0</v>
      </c>
      <c r="X223" s="101">
        <v>0</v>
      </c>
      <c r="Y223" s="101">
        <v>0</v>
      </c>
      <c r="Z223" s="101">
        <v>0</v>
      </c>
      <c r="AA223" s="101">
        <v>0</v>
      </c>
      <c r="AB223" s="101">
        <v>0</v>
      </c>
      <c r="AC223" s="101">
        <v>0</v>
      </c>
      <c r="AD223" s="101">
        <v>0</v>
      </c>
      <c r="AE223" s="186">
        <v>0.08</v>
      </c>
      <c r="AF223" s="93">
        <v>0</v>
      </c>
      <c r="AG223" s="93">
        <v>1</v>
      </c>
      <c r="AH223" s="93">
        <v>1</v>
      </c>
      <c r="AI223" s="16">
        <v>1</v>
      </c>
      <c r="AJ223" s="16" t="s">
        <v>660</v>
      </c>
      <c r="AK223" s="16" t="s">
        <v>745</v>
      </c>
      <c r="AL223" s="16"/>
      <c r="AM223" s="60"/>
      <c r="AN223" s="60"/>
      <c r="AO223" s="60"/>
      <c r="AP223" s="60"/>
      <c r="AQ223" s="60"/>
      <c r="AR223" s="60"/>
      <c r="AS223" s="63"/>
      <c r="AT223" s="63"/>
      <c r="AU223" s="63"/>
      <c r="AV223" s="131"/>
      <c r="AW223" s="131"/>
      <c r="AX223" s="131"/>
      <c r="AY223" s="27" t="s">
        <v>662</v>
      </c>
      <c r="AZ223" s="27"/>
      <c r="BA223" s="27"/>
      <c r="BB223" s="30"/>
      <c r="BC223" s="30"/>
      <c r="BD223" s="30"/>
      <c r="BE223" s="30"/>
      <c r="BF223" s="30"/>
      <c r="BG223" s="30"/>
      <c r="BH223" s="107"/>
      <c r="BI223" s="107"/>
      <c r="BJ223" s="107"/>
      <c r="BK223" s="107"/>
      <c r="BL223" s="136"/>
      <c r="BM223" s="122"/>
      <c r="BN223" s="138"/>
      <c r="BO223" s="93"/>
      <c r="BP223" s="93"/>
      <c r="BQ223" s="93"/>
      <c r="BR223" s="93"/>
      <c r="BS223" s="93"/>
      <c r="BT223" s="93"/>
      <c r="BU223" s="27">
        <f>IF(BL223=1,BN223,0)</f>
        <v>0</v>
      </c>
      <c r="BV223" s="27"/>
      <c r="BW223" s="27"/>
      <c r="BX223" s="27"/>
      <c r="BY223" s="27"/>
      <c r="BZ223" s="27"/>
      <c r="CA223" s="27"/>
      <c r="CB223" s="97">
        <f t="shared" si="225"/>
        <v>2.5</v>
      </c>
      <c r="CC223" s="97">
        <f t="shared" si="226"/>
        <v>3.08</v>
      </c>
      <c r="CD223" s="97">
        <f t="shared" si="227"/>
        <v>3.66</v>
      </c>
      <c r="CE223" s="97">
        <f t="shared" si="228"/>
        <v>3.41</v>
      </c>
      <c r="CF223" s="97">
        <f t="shared" si="228"/>
        <v>3.16</v>
      </c>
      <c r="CG223" s="97">
        <f t="shared" si="228"/>
        <v>2.91</v>
      </c>
      <c r="CH223" s="97">
        <f t="shared" si="228"/>
        <v>2.66</v>
      </c>
      <c r="CI223" s="173"/>
      <c r="CJ223" s="173"/>
      <c r="CK223" s="173"/>
      <c r="CL223" s="173"/>
      <c r="CM223" s="173"/>
      <c r="CN223" s="173"/>
      <c r="CO223" s="173"/>
      <c r="CP223" s="174"/>
      <c r="CQ223" s="174"/>
      <c r="CR223" s="174"/>
      <c r="CS223" s="174"/>
      <c r="CT223" s="174"/>
      <c r="CU223" s="174"/>
      <c r="CV223" s="174"/>
      <c r="CW223" s="165"/>
      <c r="CX223" s="166"/>
      <c r="CY223" s="166"/>
      <c r="CZ223" s="166"/>
      <c r="DA223" s="166"/>
      <c r="DB223" s="166"/>
      <c r="DC223" s="166"/>
      <c r="DD223" s="171"/>
      <c r="DE223" s="171"/>
      <c r="DF223" s="171"/>
      <c r="DG223" s="171"/>
      <c r="DH223" s="171"/>
      <c r="DI223" s="171"/>
      <c r="DJ223" s="171"/>
      <c r="DK223" s="79" t="s">
        <v>663</v>
      </c>
      <c r="DL223" s="128">
        <f>VLOOKUP($F223,Activities!$A$9:$I$180,3,FALSE)/$AI223</f>
        <v>2.5</v>
      </c>
      <c r="DM223" s="128">
        <f>VLOOKUP($F223,Activities!$A$9:$I$180,4,FALSE)/$AI223</f>
        <v>3.08</v>
      </c>
      <c r="DN223" s="128">
        <f>VLOOKUP($F223,Activities!$A$9:$I$180,5,FALSE)/$AI223</f>
        <v>3.66</v>
      </c>
      <c r="DO223" s="128">
        <f>VLOOKUP($F223,Activities!$A$9:$I$180,6,FALSE)/$AI223</f>
        <v>3.41</v>
      </c>
      <c r="DP223" s="128">
        <f>VLOOKUP($F223,Activities!$A$9:$I$180,7,FALSE)/$AI223</f>
        <v>3.16</v>
      </c>
      <c r="DQ223" s="128">
        <f>VLOOKUP($F223,Activities!$A$9:$I$180,8,FALSE)/$AI223</f>
        <v>2.91</v>
      </c>
      <c r="DR223" s="128">
        <f>VLOOKUP($F223,Activities!$A$9:$I$180,9,FALSE)/$AI223</f>
        <v>2.66</v>
      </c>
      <c r="DS223" s="218"/>
      <c r="DT223" s="360"/>
      <c r="DU223" s="360"/>
      <c r="DV223" s="360"/>
      <c r="DW223" s="360"/>
      <c r="DX223" s="360"/>
      <c r="DY223" s="360"/>
      <c r="DZ223" s="360"/>
      <c r="EA223" s="360"/>
      <c r="EB223" s="360"/>
      <c r="EC223" s="360"/>
      <c r="ED223" s="360"/>
      <c r="EE223" s="360"/>
      <c r="EF223" s="360"/>
      <c r="EG223" s="360"/>
      <c r="EH223" s="360"/>
      <c r="EI223" s="360"/>
      <c r="EJ223" s="360"/>
      <c r="EK223" s="360"/>
      <c r="EL223" s="360"/>
      <c r="EM223" s="360"/>
      <c r="EN223" s="360"/>
      <c r="EO223" s="360"/>
      <c r="EP223" s="360"/>
      <c r="EQ223" s="360"/>
    </row>
    <row r="224" spans="1:244" x14ac:dyDescent="0.35">
      <c r="A224" s="6" t="s">
        <v>1207</v>
      </c>
      <c r="B224" s="6" t="s">
        <v>740</v>
      </c>
      <c r="C224" s="6" t="s">
        <v>1208</v>
      </c>
      <c r="D224" s="6" t="s">
        <v>1209</v>
      </c>
      <c r="E224" s="6" t="s">
        <v>1210</v>
      </c>
      <c r="F224" s="6" t="s">
        <v>408</v>
      </c>
      <c r="G224" s="48" t="s">
        <v>1211</v>
      </c>
      <c r="H224" s="48" t="s">
        <v>659</v>
      </c>
      <c r="I224" s="102">
        <v>0</v>
      </c>
      <c r="J224" s="102">
        <v>0</v>
      </c>
      <c r="K224" s="102">
        <v>0</v>
      </c>
      <c r="L224" s="102">
        <v>0</v>
      </c>
      <c r="M224" s="102">
        <v>0</v>
      </c>
      <c r="N224" s="102">
        <v>0</v>
      </c>
      <c r="O224" s="102">
        <v>0</v>
      </c>
      <c r="P224" s="94">
        <v>0</v>
      </c>
      <c r="Q224" s="102">
        <v>0</v>
      </c>
      <c r="R224" s="102">
        <v>0</v>
      </c>
      <c r="S224" s="102">
        <v>0</v>
      </c>
      <c r="T224" s="102">
        <v>0</v>
      </c>
      <c r="U224" s="102">
        <v>0</v>
      </c>
      <c r="V224" s="102">
        <v>0</v>
      </c>
      <c r="W224" s="102">
        <v>0</v>
      </c>
      <c r="X224" s="102">
        <v>0</v>
      </c>
      <c r="Y224" s="102">
        <v>0</v>
      </c>
      <c r="Z224" s="102">
        <v>0</v>
      </c>
      <c r="AA224" s="102">
        <v>0</v>
      </c>
      <c r="AB224" s="102">
        <v>0</v>
      </c>
      <c r="AC224" s="102">
        <v>0</v>
      </c>
      <c r="AD224" s="102">
        <v>0</v>
      </c>
      <c r="AE224" s="186">
        <v>0.08</v>
      </c>
      <c r="AF224" s="94">
        <v>0</v>
      </c>
      <c r="AG224" s="94">
        <v>1</v>
      </c>
      <c r="AH224" s="94">
        <v>1</v>
      </c>
      <c r="AI224" s="17">
        <v>1</v>
      </c>
      <c r="AJ224" s="17" t="s">
        <v>660</v>
      </c>
      <c r="AK224" s="17" t="s">
        <v>745</v>
      </c>
      <c r="AL224" s="17"/>
      <c r="AM224" s="61"/>
      <c r="AN224" s="61"/>
      <c r="AO224" s="61"/>
      <c r="AP224" s="61"/>
      <c r="AQ224" s="61"/>
      <c r="AR224" s="61"/>
      <c r="AS224" s="64"/>
      <c r="AT224" s="64"/>
      <c r="AU224" s="64"/>
      <c r="AV224" s="132"/>
      <c r="AW224" s="132"/>
      <c r="AX224" s="132"/>
      <c r="AY224" s="28" t="s">
        <v>662</v>
      </c>
      <c r="AZ224" s="28"/>
      <c r="BA224" s="28"/>
      <c r="BB224" s="28"/>
      <c r="BC224" s="28"/>
      <c r="BD224" s="28"/>
      <c r="BE224" s="28"/>
      <c r="BF224" s="28"/>
      <c r="BG224" s="28"/>
      <c r="BH224" s="106"/>
      <c r="BI224" s="106"/>
      <c r="BJ224" s="106"/>
      <c r="BK224" s="106"/>
      <c r="BL224" s="137"/>
      <c r="BM224" s="123"/>
      <c r="BN224" s="139"/>
      <c r="BO224" s="94"/>
      <c r="BP224" s="94"/>
      <c r="BQ224" s="94"/>
      <c r="BR224" s="94"/>
      <c r="BS224" s="94"/>
      <c r="BT224" s="94"/>
      <c r="BU224" s="28">
        <f t="shared" si="207"/>
        <v>0</v>
      </c>
      <c r="BV224" s="28"/>
      <c r="BW224" s="28"/>
      <c r="BX224" s="28"/>
      <c r="BY224" s="28"/>
      <c r="BZ224" s="28"/>
      <c r="CA224" s="28"/>
      <c r="CB224" s="99">
        <f t="shared" ref="CB224:CH231" si="231">DL224</f>
        <v>1198</v>
      </c>
      <c r="CC224" s="99">
        <f t="shared" ref="CC224:CE225" si="232">DM224</f>
        <v>1198</v>
      </c>
      <c r="CD224" s="99">
        <f t="shared" si="232"/>
        <v>1198</v>
      </c>
      <c r="CE224" s="99">
        <f t="shared" si="232"/>
        <v>898.5</v>
      </c>
      <c r="CF224" s="99">
        <f t="shared" si="228"/>
        <v>599</v>
      </c>
      <c r="CG224" s="99">
        <f t="shared" si="228"/>
        <v>299.5</v>
      </c>
      <c r="CH224" s="99">
        <f t="shared" si="228"/>
        <v>0</v>
      </c>
      <c r="CI224" s="175"/>
      <c r="CJ224" s="175"/>
      <c r="CK224" s="175"/>
      <c r="CL224" s="175"/>
      <c r="CM224" s="175"/>
      <c r="CN224" s="175"/>
      <c r="CO224" s="175"/>
      <c r="CP224" s="176"/>
      <c r="CQ224" s="176"/>
      <c r="CR224" s="176"/>
      <c r="CS224" s="176"/>
      <c r="CT224" s="176"/>
      <c r="CU224" s="176"/>
      <c r="CV224" s="176"/>
      <c r="CW224" s="167"/>
      <c r="CX224" s="168"/>
      <c r="CY224" s="168"/>
      <c r="CZ224" s="168"/>
      <c r="DA224" s="168"/>
      <c r="DB224" s="168"/>
      <c r="DC224" s="168"/>
      <c r="DD224" s="172"/>
      <c r="DE224" s="172"/>
      <c r="DF224" s="172"/>
      <c r="DG224" s="172"/>
      <c r="DH224" s="172"/>
      <c r="DI224" s="172"/>
      <c r="DJ224" s="172"/>
      <c r="DK224" s="80" t="s">
        <v>954</v>
      </c>
      <c r="DL224" s="129">
        <f>VLOOKUP($F224,Activities!$A$9:$I$180,3,FALSE)/$AI224</f>
        <v>1198</v>
      </c>
      <c r="DM224" s="129">
        <f>VLOOKUP($F224,Activities!$A$9:$I$180,4,FALSE)/$AI224</f>
        <v>1198</v>
      </c>
      <c r="DN224" s="129">
        <f>VLOOKUP($F224,Activities!$A$9:$I$180,5,FALSE)/$AI224</f>
        <v>1198</v>
      </c>
      <c r="DO224" s="129">
        <f>VLOOKUP($F224,Activities!$A$9:$I$180,6,FALSE)/$AI224</f>
        <v>898.5</v>
      </c>
      <c r="DP224" s="129">
        <f>VLOOKUP($F224,Activities!$A$9:$I$180,7,FALSE)/$AI224</f>
        <v>599</v>
      </c>
      <c r="DQ224" s="129">
        <f>VLOOKUP($F224,Activities!$A$9:$I$180,8,FALSE)/$AI224</f>
        <v>299.5</v>
      </c>
      <c r="DR224" s="129">
        <f>VLOOKUP($F224,Activities!$A$9:$I$180,9,FALSE)/$AI224</f>
        <v>0</v>
      </c>
      <c r="DS224" s="218"/>
      <c r="DT224" s="360"/>
      <c r="DU224" s="360"/>
      <c r="DV224" s="360"/>
      <c r="DW224" s="360"/>
      <c r="DX224" s="360"/>
      <c r="DY224" s="360"/>
      <c r="DZ224" s="360"/>
      <c r="EA224" s="360"/>
      <c r="EB224" s="360"/>
      <c r="EC224" s="360"/>
      <c r="ED224" s="360"/>
      <c r="EE224" s="360"/>
      <c r="EF224" s="360"/>
      <c r="EG224" s="360"/>
      <c r="EH224" s="360"/>
      <c r="EI224" s="360"/>
      <c r="EJ224" s="360"/>
      <c r="EK224" s="360"/>
      <c r="EL224" s="360"/>
      <c r="EM224" s="360"/>
      <c r="EN224" s="360"/>
      <c r="EO224" s="360"/>
      <c r="EP224" s="360"/>
      <c r="EQ224" s="360"/>
    </row>
    <row r="225" spans="1:147" x14ac:dyDescent="0.35">
      <c r="A225" s="5" t="s">
        <v>1212</v>
      </c>
      <c r="B225" s="5" t="s">
        <v>740</v>
      </c>
      <c r="C225" s="5" t="s">
        <v>1208</v>
      </c>
      <c r="D225" s="5" t="s">
        <v>1213</v>
      </c>
      <c r="E225" s="5" t="s">
        <v>1214</v>
      </c>
      <c r="F225" s="5" t="s">
        <v>410</v>
      </c>
      <c r="G225" s="47" t="s">
        <v>1215</v>
      </c>
      <c r="H225" s="47" t="s">
        <v>659</v>
      </c>
      <c r="I225" s="101">
        <v>10</v>
      </c>
      <c r="J225" s="101">
        <v>10</v>
      </c>
      <c r="K225" s="101">
        <v>10</v>
      </c>
      <c r="L225" s="101">
        <v>10</v>
      </c>
      <c r="M225" s="101">
        <v>10</v>
      </c>
      <c r="N225" s="101">
        <v>10</v>
      </c>
      <c r="O225" s="101">
        <v>10</v>
      </c>
      <c r="P225" s="93">
        <v>0</v>
      </c>
      <c r="Q225" s="101">
        <v>0</v>
      </c>
      <c r="R225" s="101">
        <v>0</v>
      </c>
      <c r="S225" s="101">
        <v>0</v>
      </c>
      <c r="T225" s="101">
        <v>0</v>
      </c>
      <c r="U225" s="101">
        <v>0</v>
      </c>
      <c r="V225" s="101">
        <v>0</v>
      </c>
      <c r="W225" s="101">
        <v>0</v>
      </c>
      <c r="X225" s="101">
        <v>0</v>
      </c>
      <c r="Y225" s="101">
        <v>0</v>
      </c>
      <c r="Z225" s="101">
        <v>0</v>
      </c>
      <c r="AA225" s="101">
        <v>0</v>
      </c>
      <c r="AB225" s="101">
        <v>0</v>
      </c>
      <c r="AC225" s="101">
        <v>0</v>
      </c>
      <c r="AD225" s="101">
        <v>0</v>
      </c>
      <c r="AE225" s="186">
        <v>0.08</v>
      </c>
      <c r="AF225" s="93">
        <v>0</v>
      </c>
      <c r="AG225" s="93">
        <v>1</v>
      </c>
      <c r="AH225" s="93">
        <v>1</v>
      </c>
      <c r="AI225" s="16">
        <v>1</v>
      </c>
      <c r="AJ225" s="16" t="s">
        <v>660</v>
      </c>
      <c r="AK225" s="16" t="s">
        <v>745</v>
      </c>
      <c r="AL225" s="16"/>
      <c r="AM225" s="60"/>
      <c r="AN225" s="60"/>
      <c r="AO225" s="60"/>
      <c r="AP225" s="60"/>
      <c r="AQ225" s="60"/>
      <c r="AR225" s="60"/>
      <c r="AS225" s="63"/>
      <c r="AT225" s="63"/>
      <c r="AU225" s="63"/>
      <c r="AV225" s="131"/>
      <c r="AW225" s="131"/>
      <c r="AX225" s="131"/>
      <c r="AY225" s="27" t="s">
        <v>662</v>
      </c>
      <c r="AZ225" s="27"/>
      <c r="BA225" s="27"/>
      <c r="BB225" s="30"/>
      <c r="BC225" s="30"/>
      <c r="BD225" s="30"/>
      <c r="BE225" s="30"/>
      <c r="BF225" s="30"/>
      <c r="BG225" s="30"/>
      <c r="BH225" s="107"/>
      <c r="BI225" s="107"/>
      <c r="BJ225" s="107"/>
      <c r="BK225" s="107"/>
      <c r="BL225" s="136"/>
      <c r="BM225" s="122"/>
      <c r="BN225" s="138"/>
      <c r="BO225" s="93"/>
      <c r="BP225" s="93"/>
      <c r="BQ225" s="93"/>
      <c r="BR225" s="93"/>
      <c r="BS225" s="93"/>
      <c r="BT225" s="93"/>
      <c r="BU225" s="27">
        <f t="shared" ref="BU225" si="233">IF(BL225=1,BN225,0)</f>
        <v>0</v>
      </c>
      <c r="BV225" s="27"/>
      <c r="BW225" s="27"/>
      <c r="BX225" s="27"/>
      <c r="BY225" s="27"/>
      <c r="BZ225" s="27"/>
      <c r="CA225" s="27"/>
      <c r="CB225" s="97">
        <f t="shared" si="231"/>
        <v>556</v>
      </c>
      <c r="CC225" s="97">
        <f t="shared" si="231"/>
        <v>556</v>
      </c>
      <c r="CD225" s="97">
        <f t="shared" si="232"/>
        <v>556</v>
      </c>
      <c r="CE225" s="97">
        <f t="shared" si="232"/>
        <v>451.75</v>
      </c>
      <c r="CF225" s="389">
        <f>(CE225+CH225)/2</f>
        <v>254.33524999999997</v>
      </c>
      <c r="CG225" s="389">
        <f>DQ225*0.5</f>
        <v>121.625</v>
      </c>
      <c r="CH225" s="389">
        <f>CE225-(CE225-(CE225*0.05))*(0.92)</f>
        <v>56.920499999999947</v>
      </c>
      <c r="CI225" s="173"/>
      <c r="CJ225" s="173"/>
      <c r="CK225" s="173"/>
      <c r="CL225" s="173"/>
      <c r="CM225" s="173"/>
      <c r="CN225" s="173"/>
      <c r="CO225" s="173"/>
      <c r="CP225" s="174"/>
      <c r="CQ225" s="174"/>
      <c r="CR225" s="174"/>
      <c r="CS225" s="174"/>
      <c r="CT225" s="174"/>
      <c r="CU225" s="174"/>
      <c r="CV225" s="174"/>
      <c r="CW225" s="165"/>
      <c r="CX225" s="166"/>
      <c r="CY225" s="166"/>
      <c r="CZ225" s="166"/>
      <c r="DA225" s="166"/>
      <c r="DB225" s="166"/>
      <c r="DC225" s="166"/>
      <c r="DD225" s="171"/>
      <c r="DE225" s="171"/>
      <c r="DF225" s="171"/>
      <c r="DG225" s="171"/>
      <c r="DH225" s="171"/>
      <c r="DI225" s="171"/>
      <c r="DJ225" s="171"/>
      <c r="DK225" s="79" t="s">
        <v>954</v>
      </c>
      <c r="DL225" s="128">
        <f>VLOOKUP($F225,Activities!$A$9:$I$180,3,FALSE)/$AI225</f>
        <v>556</v>
      </c>
      <c r="DM225" s="128">
        <f>VLOOKUP($F225,Activities!$A$9:$I$180,4,FALSE)/$AI225</f>
        <v>556</v>
      </c>
      <c r="DN225" s="128">
        <f>VLOOKUP($F225,Activities!$A$9:$I$180,5,FALSE)/$AI225</f>
        <v>556</v>
      </c>
      <c r="DO225" s="128">
        <f>VLOOKUP($F225,Activities!$A$9:$I$180,6,FALSE)/$AI225</f>
        <v>451.75</v>
      </c>
      <c r="DP225" s="128">
        <f>VLOOKUP($F225,Activities!$A$9:$I$180,7,FALSE)/$AI225</f>
        <v>347.5</v>
      </c>
      <c r="DQ225" s="128">
        <f>VLOOKUP($F225,Activities!$A$9:$I$180,8,FALSE)/$AI225</f>
        <v>243.25</v>
      </c>
      <c r="DR225" s="128">
        <f>VLOOKUP($F225,Activities!$A$9:$I$180,9,FALSE)/$AI225</f>
        <v>139</v>
      </c>
      <c r="DS225" s="218"/>
      <c r="DT225" s="360"/>
      <c r="DU225" s="360"/>
      <c r="DV225" s="360"/>
      <c r="DW225" s="360"/>
      <c r="DX225" s="360"/>
      <c r="DY225" s="360"/>
      <c r="DZ225" s="360"/>
      <c r="EA225" s="360"/>
      <c r="EB225" s="360"/>
      <c r="EC225" s="360"/>
      <c r="ED225" s="360"/>
      <c r="EE225" s="360"/>
      <c r="EF225" s="360"/>
      <c r="EG225" s="360"/>
      <c r="EH225" s="360"/>
      <c r="EI225" s="360"/>
      <c r="EJ225" s="360"/>
      <c r="EK225" s="360"/>
      <c r="EL225" s="360"/>
      <c r="EM225" s="360"/>
      <c r="EN225" s="360"/>
      <c r="EO225" s="360"/>
      <c r="EP225" s="360"/>
      <c r="EQ225" s="360"/>
    </row>
    <row r="226" spans="1:147" x14ac:dyDescent="0.35">
      <c r="A226" s="6" t="s">
        <v>1216</v>
      </c>
      <c r="B226" s="6" t="s">
        <v>740</v>
      </c>
      <c r="C226" s="6" t="s">
        <v>1208</v>
      </c>
      <c r="D226" s="6" t="s">
        <v>1213</v>
      </c>
      <c r="E226" s="6" t="s">
        <v>1214</v>
      </c>
      <c r="F226" s="6" t="s">
        <v>410</v>
      </c>
      <c r="G226" s="48" t="s">
        <v>1217</v>
      </c>
      <c r="H226" s="48" t="s">
        <v>659</v>
      </c>
      <c r="I226" s="102">
        <v>20</v>
      </c>
      <c r="J226" s="102">
        <v>20</v>
      </c>
      <c r="K226" s="102">
        <v>20</v>
      </c>
      <c r="L226" s="102">
        <v>20</v>
      </c>
      <c r="M226" s="102">
        <v>20</v>
      </c>
      <c r="N226" s="102">
        <v>20</v>
      </c>
      <c r="O226" s="102">
        <v>20</v>
      </c>
      <c r="P226" s="94">
        <v>0</v>
      </c>
      <c r="Q226" s="102">
        <v>0</v>
      </c>
      <c r="R226" s="102">
        <v>0</v>
      </c>
      <c r="S226" s="102">
        <v>0</v>
      </c>
      <c r="T226" s="102">
        <v>0</v>
      </c>
      <c r="U226" s="102">
        <v>0</v>
      </c>
      <c r="V226" s="102">
        <v>0</v>
      </c>
      <c r="W226" s="102">
        <v>0</v>
      </c>
      <c r="X226" s="102">
        <v>0</v>
      </c>
      <c r="Y226" s="102">
        <v>0</v>
      </c>
      <c r="Z226" s="102">
        <v>0</v>
      </c>
      <c r="AA226" s="102">
        <v>0</v>
      </c>
      <c r="AB226" s="102">
        <v>0</v>
      </c>
      <c r="AC226" s="102">
        <v>0</v>
      </c>
      <c r="AD226" s="102">
        <v>0</v>
      </c>
      <c r="AE226" s="186">
        <v>0.08</v>
      </c>
      <c r="AF226" s="94">
        <v>0</v>
      </c>
      <c r="AG226" s="94">
        <v>1</v>
      </c>
      <c r="AH226" s="94">
        <v>1</v>
      </c>
      <c r="AI226" s="17">
        <v>1</v>
      </c>
      <c r="AJ226" s="17" t="s">
        <v>660</v>
      </c>
      <c r="AK226" s="17" t="s">
        <v>745</v>
      </c>
      <c r="AL226" s="17"/>
      <c r="AM226" s="61"/>
      <c r="AN226" s="61"/>
      <c r="AO226" s="61"/>
      <c r="AP226" s="61"/>
      <c r="AQ226" s="61"/>
      <c r="AR226" s="61"/>
      <c r="AS226" s="64"/>
      <c r="AT226" s="64"/>
      <c r="AU226" s="64"/>
      <c r="AV226" s="132"/>
      <c r="AW226" s="132"/>
      <c r="AX226" s="132"/>
      <c r="AY226" s="28" t="s">
        <v>662</v>
      </c>
      <c r="AZ226" s="28"/>
      <c r="BA226" s="28"/>
      <c r="BB226" s="28"/>
      <c r="BC226" s="28"/>
      <c r="BD226" s="28"/>
      <c r="BE226" s="28"/>
      <c r="BF226" s="28"/>
      <c r="BG226" s="28"/>
      <c r="BH226" s="106"/>
      <c r="BI226" s="106"/>
      <c r="BJ226" s="106"/>
      <c r="BK226" s="106"/>
      <c r="BL226" s="137"/>
      <c r="BM226" s="123"/>
      <c r="BN226" s="139"/>
      <c r="BO226" s="94"/>
      <c r="BP226" s="94"/>
      <c r="BQ226" s="94"/>
      <c r="BR226" s="94"/>
      <c r="BS226" s="94"/>
      <c r="BT226" s="94"/>
      <c r="BU226" s="28">
        <f t="shared" ref="BU226" si="234">IF(BL226=1,BN226,0)</f>
        <v>0</v>
      </c>
      <c r="BV226" s="28"/>
      <c r="BW226" s="28"/>
      <c r="BX226" s="28"/>
      <c r="BY226" s="28"/>
      <c r="BZ226" s="28"/>
      <c r="CA226" s="28"/>
      <c r="CB226" s="99">
        <f t="shared" si="231"/>
        <v>556</v>
      </c>
      <c r="CC226" s="99">
        <f t="shared" si="231"/>
        <v>556</v>
      </c>
      <c r="CD226" s="99">
        <f t="shared" si="231"/>
        <v>556</v>
      </c>
      <c r="CE226" s="99">
        <f t="shared" si="231"/>
        <v>451.75</v>
      </c>
      <c r="CF226" s="99">
        <f t="shared" si="231"/>
        <v>347.5</v>
      </c>
      <c r="CG226" s="99">
        <f t="shared" si="231"/>
        <v>243.25</v>
      </c>
      <c r="CH226" s="99">
        <f t="shared" si="231"/>
        <v>139</v>
      </c>
      <c r="CI226" s="175"/>
      <c r="CJ226" s="175"/>
      <c r="CK226" s="175"/>
      <c r="CL226" s="175"/>
      <c r="CM226" s="175"/>
      <c r="CN226" s="175"/>
      <c r="CO226" s="175"/>
      <c r="CP226" s="176"/>
      <c r="CQ226" s="176"/>
      <c r="CR226" s="176"/>
      <c r="CS226" s="176"/>
      <c r="CT226" s="176"/>
      <c r="CU226" s="176"/>
      <c r="CV226" s="176"/>
      <c r="CW226" s="167"/>
      <c r="CX226" s="168"/>
      <c r="CY226" s="168"/>
      <c r="CZ226" s="168"/>
      <c r="DA226" s="168"/>
      <c r="DB226" s="168"/>
      <c r="DC226" s="168"/>
      <c r="DD226" s="172"/>
      <c r="DE226" s="172"/>
      <c r="DF226" s="172"/>
      <c r="DG226" s="172"/>
      <c r="DH226" s="172"/>
      <c r="DI226" s="172"/>
      <c r="DJ226" s="172"/>
      <c r="DK226" s="80" t="s">
        <v>954</v>
      </c>
      <c r="DL226" s="129">
        <f>VLOOKUP($F226,Activities!$A$9:$I$180,3,FALSE)/$AI226</f>
        <v>556</v>
      </c>
      <c r="DM226" s="129">
        <f>VLOOKUP($F226,Activities!$A$9:$I$180,4,FALSE)/$AI226</f>
        <v>556</v>
      </c>
      <c r="DN226" s="129">
        <f>VLOOKUP($F226,Activities!$A$9:$I$180,5,FALSE)/$AI226</f>
        <v>556</v>
      </c>
      <c r="DO226" s="129">
        <f>VLOOKUP($F226,Activities!$A$9:$I$180,6,FALSE)/$AI226</f>
        <v>451.75</v>
      </c>
      <c r="DP226" s="129">
        <f>VLOOKUP($F226,Activities!$A$9:$I$180,7,FALSE)/$AI226</f>
        <v>347.5</v>
      </c>
      <c r="DQ226" s="129">
        <f>VLOOKUP($F226,Activities!$A$9:$I$180,8,FALSE)/$AI226</f>
        <v>243.25</v>
      </c>
      <c r="DR226" s="129">
        <f>VLOOKUP($F226,Activities!$A$9:$I$180,9,FALSE)/$AI226</f>
        <v>139</v>
      </c>
      <c r="DS226" s="218"/>
      <c r="DT226" s="360"/>
      <c r="DU226" s="360"/>
      <c r="DV226" s="360"/>
      <c r="DW226" s="360"/>
      <c r="DX226" s="360"/>
      <c r="DY226" s="360"/>
      <c r="DZ226" s="360"/>
      <c r="EA226" s="360"/>
      <c r="EB226" s="360"/>
      <c r="EC226" s="360"/>
      <c r="ED226" s="360"/>
      <c r="EE226" s="360"/>
      <c r="EF226" s="360"/>
      <c r="EG226" s="360"/>
      <c r="EH226" s="360"/>
      <c r="EI226" s="360"/>
      <c r="EJ226" s="360"/>
      <c r="EK226" s="360"/>
      <c r="EL226" s="360"/>
      <c r="EM226" s="360"/>
      <c r="EN226" s="360"/>
      <c r="EO226" s="360"/>
      <c r="EP226" s="360"/>
      <c r="EQ226" s="360"/>
    </row>
    <row r="227" spans="1:147" x14ac:dyDescent="0.35">
      <c r="A227" s="5" t="s">
        <v>1218</v>
      </c>
      <c r="B227" s="5" t="s">
        <v>740</v>
      </c>
      <c r="C227" s="5" t="s">
        <v>1208</v>
      </c>
      <c r="D227" s="5" t="s">
        <v>1213</v>
      </c>
      <c r="E227" s="5" t="s">
        <v>1214</v>
      </c>
      <c r="F227" s="5" t="s">
        <v>410</v>
      </c>
      <c r="G227" s="47" t="s">
        <v>1219</v>
      </c>
      <c r="H227" s="47" t="s">
        <v>659</v>
      </c>
      <c r="I227" s="101">
        <v>30</v>
      </c>
      <c r="J227" s="101">
        <v>30</v>
      </c>
      <c r="K227" s="101">
        <v>30</v>
      </c>
      <c r="L227" s="101">
        <v>30</v>
      </c>
      <c r="M227" s="101">
        <v>30</v>
      </c>
      <c r="N227" s="101">
        <v>30</v>
      </c>
      <c r="O227" s="101">
        <v>30</v>
      </c>
      <c r="P227" s="93">
        <v>0</v>
      </c>
      <c r="Q227" s="101">
        <v>0</v>
      </c>
      <c r="R227" s="101">
        <v>0</v>
      </c>
      <c r="S227" s="101">
        <v>0</v>
      </c>
      <c r="T227" s="101">
        <v>0</v>
      </c>
      <c r="U227" s="101">
        <v>0</v>
      </c>
      <c r="V227" s="101">
        <v>0</v>
      </c>
      <c r="W227" s="101">
        <v>0</v>
      </c>
      <c r="X227" s="101">
        <v>0</v>
      </c>
      <c r="Y227" s="101">
        <v>0</v>
      </c>
      <c r="Z227" s="101">
        <v>0</v>
      </c>
      <c r="AA227" s="101">
        <v>0</v>
      </c>
      <c r="AB227" s="101">
        <v>0</v>
      </c>
      <c r="AC227" s="101">
        <v>0</v>
      </c>
      <c r="AD227" s="101">
        <v>0</v>
      </c>
      <c r="AE227" s="186">
        <v>0.08</v>
      </c>
      <c r="AF227" s="93">
        <v>0</v>
      </c>
      <c r="AG227" s="93">
        <v>1</v>
      </c>
      <c r="AH227" s="93">
        <v>1</v>
      </c>
      <c r="AI227" s="16">
        <v>1</v>
      </c>
      <c r="AJ227" s="16" t="s">
        <v>660</v>
      </c>
      <c r="AK227" s="16" t="s">
        <v>745</v>
      </c>
      <c r="AL227" s="16"/>
      <c r="AM227" s="60"/>
      <c r="AN227" s="60"/>
      <c r="AO227" s="60"/>
      <c r="AP227" s="60"/>
      <c r="AQ227" s="60"/>
      <c r="AR227" s="60"/>
      <c r="AS227" s="63"/>
      <c r="AT227" s="63"/>
      <c r="AU227" s="63"/>
      <c r="AV227" s="131"/>
      <c r="AW227" s="131"/>
      <c r="AX227" s="131"/>
      <c r="AY227" s="27" t="s">
        <v>662</v>
      </c>
      <c r="AZ227" s="27"/>
      <c r="BA227" s="27"/>
      <c r="BB227" s="30"/>
      <c r="BC227" s="30"/>
      <c r="BD227" s="30"/>
      <c r="BE227" s="30"/>
      <c r="BF227" s="30"/>
      <c r="BG227" s="30"/>
      <c r="BH227" s="107"/>
      <c r="BI227" s="107"/>
      <c r="BJ227" s="107"/>
      <c r="BK227" s="107"/>
      <c r="BL227" s="136"/>
      <c r="BM227" s="122"/>
      <c r="BN227" s="138"/>
      <c r="BO227" s="93"/>
      <c r="BP227" s="93"/>
      <c r="BQ227" s="93"/>
      <c r="BR227" s="93"/>
      <c r="BS227" s="93"/>
      <c r="BT227" s="93"/>
      <c r="BU227" s="27">
        <f t="shared" ref="BU227:BU229" si="235">IF(BL227=1,BN227,0)</f>
        <v>0</v>
      </c>
      <c r="BV227" s="27"/>
      <c r="BW227" s="27"/>
      <c r="BX227" s="27"/>
      <c r="BY227" s="27"/>
      <c r="BZ227" s="27"/>
      <c r="CA227" s="27"/>
      <c r="CB227" s="97">
        <f t="shared" ref="CB227:CH234" si="236">DL227</f>
        <v>556</v>
      </c>
      <c r="CC227" s="97">
        <f t="shared" si="236"/>
        <v>556</v>
      </c>
      <c r="CD227" s="97">
        <f t="shared" si="231"/>
        <v>556</v>
      </c>
      <c r="CE227" s="97">
        <f t="shared" si="231"/>
        <v>451.75</v>
      </c>
      <c r="CF227" s="97">
        <f t="shared" si="231"/>
        <v>347.5</v>
      </c>
      <c r="CG227" s="97">
        <f t="shared" si="231"/>
        <v>243.25</v>
      </c>
      <c r="CH227" s="97">
        <f t="shared" si="231"/>
        <v>139</v>
      </c>
      <c r="CI227" s="173"/>
      <c r="CJ227" s="173"/>
      <c r="CK227" s="173"/>
      <c r="CL227" s="173"/>
      <c r="CM227" s="173"/>
      <c r="CN227" s="173"/>
      <c r="CO227" s="173"/>
      <c r="CP227" s="174"/>
      <c r="CQ227" s="174"/>
      <c r="CR227" s="174"/>
      <c r="CS227" s="174"/>
      <c r="CT227" s="174"/>
      <c r="CU227" s="174"/>
      <c r="CV227" s="174"/>
      <c r="CW227" s="165"/>
      <c r="CX227" s="166"/>
      <c r="CY227" s="166"/>
      <c r="CZ227" s="166"/>
      <c r="DA227" s="166"/>
      <c r="DB227" s="166"/>
      <c r="DC227" s="166"/>
      <c r="DD227" s="171"/>
      <c r="DE227" s="171"/>
      <c r="DF227" s="171"/>
      <c r="DG227" s="171"/>
      <c r="DH227" s="171"/>
      <c r="DI227" s="171"/>
      <c r="DJ227" s="171"/>
      <c r="DK227" s="79" t="s">
        <v>954</v>
      </c>
      <c r="DL227" s="128">
        <f>VLOOKUP($F227,Activities!$A$9:$I$180,3,FALSE)/$AI227</f>
        <v>556</v>
      </c>
      <c r="DM227" s="128">
        <f>VLOOKUP($F227,Activities!$A$9:$I$180,4,FALSE)/$AI227</f>
        <v>556</v>
      </c>
      <c r="DN227" s="128">
        <f>VLOOKUP($F227,Activities!$A$9:$I$180,5,FALSE)/$AI227</f>
        <v>556</v>
      </c>
      <c r="DO227" s="128">
        <f>VLOOKUP($F227,Activities!$A$9:$I$180,6,FALSE)/$AI227</f>
        <v>451.75</v>
      </c>
      <c r="DP227" s="128">
        <f>VLOOKUP($F227,Activities!$A$9:$I$180,7,FALSE)/$AI227</f>
        <v>347.5</v>
      </c>
      <c r="DQ227" s="128">
        <f>VLOOKUP($F227,Activities!$A$9:$I$180,8,FALSE)/$AI227</f>
        <v>243.25</v>
      </c>
      <c r="DR227" s="128">
        <f>VLOOKUP($F227,Activities!$A$9:$I$180,9,FALSE)/$AI227</f>
        <v>139</v>
      </c>
      <c r="DS227" s="218"/>
      <c r="DT227" s="360"/>
      <c r="DU227" s="360"/>
      <c r="DV227" s="360"/>
      <c r="DW227" s="360"/>
      <c r="DX227" s="360"/>
      <c r="DY227" s="360"/>
      <c r="DZ227" s="360"/>
      <c r="EA227" s="360"/>
      <c r="EB227" s="360"/>
      <c r="EC227" s="360"/>
      <c r="ED227" s="360"/>
      <c r="EE227" s="360"/>
      <c r="EF227" s="360"/>
      <c r="EG227" s="360"/>
      <c r="EH227" s="360"/>
      <c r="EI227" s="360"/>
      <c r="EJ227" s="360"/>
      <c r="EK227" s="360"/>
      <c r="EL227" s="360"/>
      <c r="EM227" s="360"/>
      <c r="EN227" s="360"/>
      <c r="EO227" s="360"/>
      <c r="EP227" s="360"/>
      <c r="EQ227" s="360"/>
    </row>
    <row r="228" spans="1:147" x14ac:dyDescent="0.35">
      <c r="A228" s="6" t="s">
        <v>1220</v>
      </c>
      <c r="B228" s="6" t="s">
        <v>740</v>
      </c>
      <c r="C228" s="6" t="s">
        <v>1208</v>
      </c>
      <c r="D228" s="6" t="s">
        <v>1213</v>
      </c>
      <c r="E228" s="6" t="s">
        <v>1214</v>
      </c>
      <c r="F228" s="6" t="s">
        <v>412</v>
      </c>
      <c r="G228" s="48" t="s">
        <v>1221</v>
      </c>
      <c r="H228" s="48" t="s">
        <v>659</v>
      </c>
      <c r="I228" s="101">
        <v>10</v>
      </c>
      <c r="J228" s="101">
        <v>10</v>
      </c>
      <c r="K228" s="101">
        <v>10</v>
      </c>
      <c r="L228" s="101">
        <v>10</v>
      </c>
      <c r="M228" s="101">
        <v>10</v>
      </c>
      <c r="N228" s="101">
        <v>10</v>
      </c>
      <c r="O228" s="101">
        <v>10</v>
      </c>
      <c r="P228" s="94">
        <v>0</v>
      </c>
      <c r="Q228" s="102">
        <v>0</v>
      </c>
      <c r="R228" s="102">
        <v>0</v>
      </c>
      <c r="S228" s="102">
        <v>0</v>
      </c>
      <c r="T228" s="102">
        <v>0</v>
      </c>
      <c r="U228" s="102">
        <v>0</v>
      </c>
      <c r="V228" s="102">
        <v>0</v>
      </c>
      <c r="W228" s="102">
        <v>0</v>
      </c>
      <c r="X228" s="102">
        <v>0</v>
      </c>
      <c r="Y228" s="102">
        <v>0</v>
      </c>
      <c r="Z228" s="102">
        <v>0</v>
      </c>
      <c r="AA228" s="102">
        <v>0</v>
      </c>
      <c r="AB228" s="102">
        <v>0</v>
      </c>
      <c r="AC228" s="102">
        <v>0</v>
      </c>
      <c r="AD228" s="102">
        <v>0</v>
      </c>
      <c r="AE228" s="186">
        <v>0.08</v>
      </c>
      <c r="AF228" s="94">
        <v>0</v>
      </c>
      <c r="AG228" s="94">
        <v>1</v>
      </c>
      <c r="AH228" s="94">
        <v>1</v>
      </c>
      <c r="AI228" s="17">
        <v>1</v>
      </c>
      <c r="AJ228" s="17" t="s">
        <v>660</v>
      </c>
      <c r="AK228" s="17" t="s">
        <v>745</v>
      </c>
      <c r="AL228" s="17"/>
      <c r="AM228" s="61"/>
      <c r="AN228" s="61"/>
      <c r="AO228" s="61"/>
      <c r="AP228" s="61"/>
      <c r="AQ228" s="61"/>
      <c r="AR228" s="61"/>
      <c r="AS228" s="64"/>
      <c r="AT228" s="64"/>
      <c r="AU228" s="64"/>
      <c r="AV228" s="132"/>
      <c r="AW228" s="132"/>
      <c r="AX228" s="132"/>
      <c r="AY228" s="28" t="s">
        <v>662</v>
      </c>
      <c r="AZ228" s="28"/>
      <c r="BA228" s="28"/>
      <c r="BB228" s="28"/>
      <c r="BC228" s="28"/>
      <c r="BD228" s="28"/>
      <c r="BE228" s="28"/>
      <c r="BF228" s="28"/>
      <c r="BG228" s="28"/>
      <c r="BH228" s="106"/>
      <c r="BI228" s="106"/>
      <c r="BJ228" s="106"/>
      <c r="BK228" s="106"/>
      <c r="BL228" s="137"/>
      <c r="BM228" s="123"/>
      <c r="BN228" s="139"/>
      <c r="BO228" s="94"/>
      <c r="BP228" s="94"/>
      <c r="BQ228" s="94"/>
      <c r="BR228" s="94"/>
      <c r="BS228" s="94"/>
      <c r="BT228" s="94"/>
      <c r="BU228" s="28">
        <f t="shared" si="235"/>
        <v>0</v>
      </c>
      <c r="BV228" s="28"/>
      <c r="BW228" s="28"/>
      <c r="BX228" s="28"/>
      <c r="BY228" s="28"/>
      <c r="BZ228" s="28"/>
      <c r="CA228" s="28"/>
      <c r="CB228" s="99">
        <f t="shared" si="236"/>
        <v>846</v>
      </c>
      <c r="CC228" s="99">
        <f t="shared" si="236"/>
        <v>846</v>
      </c>
      <c r="CD228" s="99">
        <f t="shared" si="231"/>
        <v>846</v>
      </c>
      <c r="CE228" s="99">
        <f t="shared" si="231"/>
        <v>687.38</v>
      </c>
      <c r="CF228" s="389">
        <f>(CE228+CH228)/2</f>
        <v>386.99493999999999</v>
      </c>
      <c r="CG228" s="389">
        <f>DQ228*0.5</f>
        <v>185.065</v>
      </c>
      <c r="CH228" s="389">
        <f>CE228-(CE228-(CE228*0.05))*(0.92)</f>
        <v>86.609879999999976</v>
      </c>
      <c r="CI228" s="175"/>
      <c r="CJ228" s="175"/>
      <c r="CK228" s="175"/>
      <c r="CL228" s="175"/>
      <c r="CM228" s="175"/>
      <c r="CN228" s="175"/>
      <c r="CO228" s="175"/>
      <c r="CP228" s="176"/>
      <c r="CQ228" s="176"/>
      <c r="CR228" s="176"/>
      <c r="CS228" s="176"/>
      <c r="CT228" s="176"/>
      <c r="CU228" s="176"/>
      <c r="CV228" s="176"/>
      <c r="CW228" s="167"/>
      <c r="CX228" s="168"/>
      <c r="CY228" s="168"/>
      <c r="CZ228" s="168"/>
      <c r="DA228" s="168"/>
      <c r="DB228" s="168"/>
      <c r="DC228" s="168"/>
      <c r="DD228" s="172"/>
      <c r="DE228" s="172"/>
      <c r="DF228" s="172"/>
      <c r="DG228" s="172"/>
      <c r="DH228" s="172"/>
      <c r="DI228" s="172"/>
      <c r="DJ228" s="172"/>
      <c r="DK228" s="80" t="s">
        <v>954</v>
      </c>
      <c r="DL228" s="129">
        <f>VLOOKUP($F228,Activities!$A$9:$I$180,3,FALSE)/$AI228</f>
        <v>846</v>
      </c>
      <c r="DM228" s="129">
        <f>VLOOKUP($F228,Activities!$A$9:$I$180,4,FALSE)/$AI228</f>
        <v>846</v>
      </c>
      <c r="DN228" s="129">
        <f>VLOOKUP($F228,Activities!$A$9:$I$180,5,FALSE)/$AI228</f>
        <v>846</v>
      </c>
      <c r="DO228" s="129">
        <f>VLOOKUP($F228,Activities!$A$9:$I$180,6,FALSE)/$AI228</f>
        <v>687.38</v>
      </c>
      <c r="DP228" s="129">
        <f>VLOOKUP($F228,Activities!$A$9:$I$180,7,FALSE)/$AI228</f>
        <v>528.75</v>
      </c>
      <c r="DQ228" s="129">
        <f>VLOOKUP($F228,Activities!$A$9:$I$180,8,FALSE)/$AI228</f>
        <v>370.13</v>
      </c>
      <c r="DR228" s="129">
        <f>VLOOKUP($F228,Activities!$A$9:$I$180,9,FALSE)/$AI228</f>
        <v>211.5</v>
      </c>
      <c r="DS228" s="218"/>
      <c r="DT228" s="360"/>
      <c r="DU228" s="360"/>
      <c r="DV228" s="360"/>
      <c r="DW228" s="360"/>
      <c r="DX228" s="360"/>
      <c r="DY228" s="360"/>
      <c r="DZ228" s="360"/>
      <c r="EA228" s="360"/>
      <c r="EB228" s="360"/>
      <c r="EC228" s="360"/>
      <c r="ED228" s="360"/>
      <c r="EE228" s="360"/>
      <c r="EF228" s="360"/>
      <c r="EG228" s="360"/>
      <c r="EH228" s="360"/>
      <c r="EI228" s="360"/>
      <c r="EJ228" s="360"/>
      <c r="EK228" s="360"/>
      <c r="EL228" s="360"/>
      <c r="EM228" s="360"/>
      <c r="EN228" s="360"/>
      <c r="EO228" s="360"/>
      <c r="EP228" s="360"/>
      <c r="EQ228" s="360"/>
    </row>
    <row r="229" spans="1:147" x14ac:dyDescent="0.35">
      <c r="A229" s="5" t="s">
        <v>1222</v>
      </c>
      <c r="B229" s="5" t="s">
        <v>740</v>
      </c>
      <c r="C229" s="5" t="s">
        <v>1208</v>
      </c>
      <c r="D229" s="5" t="s">
        <v>1213</v>
      </c>
      <c r="E229" s="5" t="s">
        <v>1214</v>
      </c>
      <c r="F229" s="5" t="s">
        <v>412</v>
      </c>
      <c r="G229" s="47" t="s">
        <v>1223</v>
      </c>
      <c r="H229" s="47" t="s">
        <v>659</v>
      </c>
      <c r="I229" s="102">
        <v>20</v>
      </c>
      <c r="J229" s="102">
        <v>20</v>
      </c>
      <c r="K229" s="102">
        <v>20</v>
      </c>
      <c r="L229" s="102">
        <v>20</v>
      </c>
      <c r="M229" s="102">
        <v>20</v>
      </c>
      <c r="N229" s="102">
        <v>20</v>
      </c>
      <c r="O229" s="102">
        <v>20</v>
      </c>
      <c r="P229" s="93">
        <v>0</v>
      </c>
      <c r="Q229" s="101">
        <v>0</v>
      </c>
      <c r="R229" s="101">
        <v>0</v>
      </c>
      <c r="S229" s="101">
        <v>0</v>
      </c>
      <c r="T229" s="101">
        <v>0</v>
      </c>
      <c r="U229" s="101">
        <v>0</v>
      </c>
      <c r="V229" s="101">
        <v>0</v>
      </c>
      <c r="W229" s="101">
        <v>0</v>
      </c>
      <c r="X229" s="101">
        <v>0</v>
      </c>
      <c r="Y229" s="101">
        <v>0</v>
      </c>
      <c r="Z229" s="101">
        <v>0</v>
      </c>
      <c r="AA229" s="101">
        <v>0</v>
      </c>
      <c r="AB229" s="101">
        <v>0</v>
      </c>
      <c r="AC229" s="101">
        <v>0</v>
      </c>
      <c r="AD229" s="101">
        <v>0</v>
      </c>
      <c r="AE229" s="186">
        <v>0.08</v>
      </c>
      <c r="AF229" s="93">
        <v>0</v>
      </c>
      <c r="AG229" s="93">
        <v>1</v>
      </c>
      <c r="AH229" s="93">
        <v>1</v>
      </c>
      <c r="AI229" s="16">
        <v>1</v>
      </c>
      <c r="AJ229" s="16" t="s">
        <v>660</v>
      </c>
      <c r="AK229" s="16" t="s">
        <v>745</v>
      </c>
      <c r="AL229" s="16"/>
      <c r="AM229" s="60"/>
      <c r="AN229" s="60"/>
      <c r="AO229" s="60"/>
      <c r="AP229" s="60"/>
      <c r="AQ229" s="60"/>
      <c r="AR229" s="60"/>
      <c r="AS229" s="63"/>
      <c r="AT229" s="63"/>
      <c r="AU229" s="63"/>
      <c r="AV229" s="131"/>
      <c r="AW229" s="131"/>
      <c r="AX229" s="131"/>
      <c r="AY229" s="27" t="s">
        <v>662</v>
      </c>
      <c r="AZ229" s="27"/>
      <c r="BA229" s="27"/>
      <c r="BB229" s="30"/>
      <c r="BC229" s="30"/>
      <c r="BD229" s="30"/>
      <c r="BE229" s="30"/>
      <c r="BF229" s="30"/>
      <c r="BG229" s="30"/>
      <c r="BH229" s="107"/>
      <c r="BI229" s="107"/>
      <c r="BJ229" s="107"/>
      <c r="BK229" s="107"/>
      <c r="BL229" s="136"/>
      <c r="BM229" s="122"/>
      <c r="BN229" s="138"/>
      <c r="BO229" s="93"/>
      <c r="BP229" s="93"/>
      <c r="BQ229" s="93"/>
      <c r="BR229" s="93"/>
      <c r="BS229" s="93"/>
      <c r="BT229" s="93"/>
      <c r="BU229" s="27">
        <f t="shared" si="235"/>
        <v>0</v>
      </c>
      <c r="BV229" s="27"/>
      <c r="BW229" s="27"/>
      <c r="BX229" s="27"/>
      <c r="BY229" s="27"/>
      <c r="BZ229" s="27"/>
      <c r="CA229" s="27"/>
      <c r="CB229" s="97">
        <f t="shared" si="236"/>
        <v>846</v>
      </c>
      <c r="CC229" s="97">
        <f t="shared" si="236"/>
        <v>846</v>
      </c>
      <c r="CD229" s="97">
        <f t="shared" si="231"/>
        <v>846</v>
      </c>
      <c r="CE229" s="97">
        <f t="shared" si="231"/>
        <v>687.38</v>
      </c>
      <c r="CF229" s="97">
        <f t="shared" si="231"/>
        <v>528.75</v>
      </c>
      <c r="CG229" s="97">
        <f t="shared" si="231"/>
        <v>370.13</v>
      </c>
      <c r="CH229" s="97">
        <f t="shared" si="231"/>
        <v>211.5</v>
      </c>
      <c r="CI229" s="173"/>
      <c r="CJ229" s="173"/>
      <c r="CK229" s="173"/>
      <c r="CL229" s="173"/>
      <c r="CM229" s="173"/>
      <c r="CN229" s="173"/>
      <c r="CO229" s="173"/>
      <c r="CP229" s="174"/>
      <c r="CQ229" s="174"/>
      <c r="CR229" s="174"/>
      <c r="CS229" s="174"/>
      <c r="CT229" s="174"/>
      <c r="CU229" s="174"/>
      <c r="CV229" s="174"/>
      <c r="CW229" s="165"/>
      <c r="CX229" s="166"/>
      <c r="CY229" s="166"/>
      <c r="CZ229" s="166"/>
      <c r="DA229" s="166"/>
      <c r="DB229" s="166"/>
      <c r="DC229" s="166"/>
      <c r="DD229" s="171"/>
      <c r="DE229" s="171"/>
      <c r="DF229" s="171"/>
      <c r="DG229" s="171"/>
      <c r="DH229" s="171"/>
      <c r="DI229" s="171"/>
      <c r="DJ229" s="171"/>
      <c r="DK229" s="79" t="s">
        <v>954</v>
      </c>
      <c r="DL229" s="128">
        <f>VLOOKUP($F229,Activities!$A$9:$I$180,3,FALSE)/$AI229</f>
        <v>846</v>
      </c>
      <c r="DM229" s="128">
        <f>VLOOKUP($F229,Activities!$A$9:$I$180,4,FALSE)/$AI229</f>
        <v>846</v>
      </c>
      <c r="DN229" s="128">
        <f>VLOOKUP($F229,Activities!$A$9:$I$180,5,FALSE)/$AI229</f>
        <v>846</v>
      </c>
      <c r="DO229" s="128">
        <f>VLOOKUP($F229,Activities!$A$9:$I$180,6,FALSE)/$AI229</f>
        <v>687.38</v>
      </c>
      <c r="DP229" s="128">
        <f>VLOOKUP($F229,Activities!$A$9:$I$180,7,FALSE)/$AI229</f>
        <v>528.75</v>
      </c>
      <c r="DQ229" s="128">
        <f>VLOOKUP($F229,Activities!$A$9:$I$180,8,FALSE)/$AI229</f>
        <v>370.13</v>
      </c>
      <c r="DR229" s="128">
        <f>VLOOKUP($F229,Activities!$A$9:$I$180,9,FALSE)/$AI229</f>
        <v>211.5</v>
      </c>
      <c r="DS229" s="218"/>
      <c r="DT229" s="360"/>
      <c r="DU229" s="360"/>
      <c r="DV229" s="360"/>
      <c r="DW229" s="360"/>
      <c r="DX229" s="360"/>
      <c r="DY229" s="360"/>
      <c r="DZ229" s="360"/>
      <c r="EA229" s="360"/>
      <c r="EB229" s="360"/>
      <c r="EC229" s="360"/>
      <c r="ED229" s="360"/>
      <c r="EE229" s="360"/>
      <c r="EF229" s="360"/>
      <c r="EG229" s="360"/>
      <c r="EH229" s="360"/>
      <c r="EI229" s="360"/>
      <c r="EJ229" s="360"/>
      <c r="EK229" s="360"/>
      <c r="EL229" s="360"/>
      <c r="EM229" s="360"/>
      <c r="EN229" s="360"/>
      <c r="EO229" s="360"/>
      <c r="EP229" s="360"/>
      <c r="EQ229" s="360"/>
    </row>
    <row r="230" spans="1:147" x14ac:dyDescent="0.35">
      <c r="A230" s="6" t="s">
        <v>1224</v>
      </c>
      <c r="B230" s="6" t="s">
        <v>740</v>
      </c>
      <c r="C230" s="6" t="s">
        <v>1208</v>
      </c>
      <c r="D230" s="6" t="s">
        <v>1213</v>
      </c>
      <c r="E230" s="6" t="s">
        <v>1214</v>
      </c>
      <c r="F230" s="6" t="s">
        <v>412</v>
      </c>
      <c r="G230" s="48" t="s">
        <v>1225</v>
      </c>
      <c r="H230" s="48" t="s">
        <v>659</v>
      </c>
      <c r="I230" s="101">
        <v>30</v>
      </c>
      <c r="J230" s="101">
        <v>30</v>
      </c>
      <c r="K230" s="101">
        <v>30</v>
      </c>
      <c r="L230" s="101">
        <v>30</v>
      </c>
      <c r="M230" s="101">
        <v>30</v>
      </c>
      <c r="N230" s="101">
        <v>30</v>
      </c>
      <c r="O230" s="101">
        <v>30</v>
      </c>
      <c r="P230" s="94">
        <v>0</v>
      </c>
      <c r="Q230" s="102">
        <v>0</v>
      </c>
      <c r="R230" s="102">
        <v>0</v>
      </c>
      <c r="S230" s="102">
        <v>0</v>
      </c>
      <c r="T230" s="102">
        <v>0</v>
      </c>
      <c r="U230" s="102">
        <v>0</v>
      </c>
      <c r="V230" s="102">
        <v>0</v>
      </c>
      <c r="W230" s="102">
        <v>0</v>
      </c>
      <c r="X230" s="102">
        <v>0</v>
      </c>
      <c r="Y230" s="102">
        <v>0</v>
      </c>
      <c r="Z230" s="102">
        <v>0</v>
      </c>
      <c r="AA230" s="102">
        <v>0</v>
      </c>
      <c r="AB230" s="102">
        <v>0</v>
      </c>
      <c r="AC230" s="102">
        <v>0</v>
      </c>
      <c r="AD230" s="102">
        <v>0</v>
      </c>
      <c r="AE230" s="186">
        <v>0.08</v>
      </c>
      <c r="AF230" s="94">
        <v>0</v>
      </c>
      <c r="AG230" s="94">
        <v>1</v>
      </c>
      <c r="AH230" s="94">
        <v>1</v>
      </c>
      <c r="AI230" s="17">
        <v>1</v>
      </c>
      <c r="AJ230" s="17" t="s">
        <v>660</v>
      </c>
      <c r="AK230" s="17" t="s">
        <v>745</v>
      </c>
      <c r="AL230" s="17"/>
      <c r="AM230" s="61"/>
      <c r="AN230" s="61"/>
      <c r="AO230" s="61"/>
      <c r="AP230" s="61"/>
      <c r="AQ230" s="61"/>
      <c r="AR230" s="61"/>
      <c r="AS230" s="64"/>
      <c r="AT230" s="64"/>
      <c r="AU230" s="64"/>
      <c r="AV230" s="132"/>
      <c r="AW230" s="132"/>
      <c r="AX230" s="132"/>
      <c r="AY230" s="28" t="s">
        <v>662</v>
      </c>
      <c r="AZ230" s="28"/>
      <c r="BA230" s="28"/>
      <c r="BB230" s="28"/>
      <c r="BC230" s="28"/>
      <c r="BD230" s="28"/>
      <c r="BE230" s="28"/>
      <c r="BF230" s="28"/>
      <c r="BG230" s="28"/>
      <c r="BH230" s="106"/>
      <c r="BI230" s="106"/>
      <c r="BJ230" s="106"/>
      <c r="BK230" s="106"/>
      <c r="BL230" s="137"/>
      <c r="BM230" s="123"/>
      <c r="BN230" s="139"/>
      <c r="BO230" s="94"/>
      <c r="BP230" s="94"/>
      <c r="BQ230" s="94"/>
      <c r="BR230" s="94"/>
      <c r="BS230" s="94"/>
      <c r="BT230" s="94"/>
      <c r="BU230" s="28">
        <f t="shared" ref="BU230:BU233" si="237">IF(BL230=1,BN230,0)</f>
        <v>0</v>
      </c>
      <c r="BV230" s="28"/>
      <c r="BW230" s="28"/>
      <c r="BX230" s="28"/>
      <c r="BY230" s="28"/>
      <c r="BZ230" s="28"/>
      <c r="CA230" s="28"/>
      <c r="CB230" s="99">
        <f t="shared" si="236"/>
        <v>846</v>
      </c>
      <c r="CC230" s="99">
        <f t="shared" si="236"/>
        <v>846</v>
      </c>
      <c r="CD230" s="99">
        <f t="shared" si="231"/>
        <v>846</v>
      </c>
      <c r="CE230" s="99">
        <f t="shared" si="231"/>
        <v>687.38</v>
      </c>
      <c r="CF230" s="99">
        <f t="shared" si="231"/>
        <v>528.75</v>
      </c>
      <c r="CG230" s="99">
        <f t="shared" si="231"/>
        <v>370.13</v>
      </c>
      <c r="CH230" s="99">
        <f t="shared" si="231"/>
        <v>211.5</v>
      </c>
      <c r="CI230" s="175"/>
      <c r="CJ230" s="175"/>
      <c r="CK230" s="175"/>
      <c r="CL230" s="175"/>
      <c r="CM230" s="175"/>
      <c r="CN230" s="175"/>
      <c r="CO230" s="175"/>
      <c r="CP230" s="176"/>
      <c r="CQ230" s="176"/>
      <c r="CR230" s="176"/>
      <c r="CS230" s="176"/>
      <c r="CT230" s="176"/>
      <c r="CU230" s="176"/>
      <c r="CV230" s="176"/>
      <c r="CW230" s="167"/>
      <c r="CX230" s="168"/>
      <c r="CY230" s="168"/>
      <c r="CZ230" s="168"/>
      <c r="DA230" s="168"/>
      <c r="DB230" s="168"/>
      <c r="DC230" s="168"/>
      <c r="DD230" s="172"/>
      <c r="DE230" s="172"/>
      <c r="DF230" s="172"/>
      <c r="DG230" s="172"/>
      <c r="DH230" s="172"/>
      <c r="DI230" s="172"/>
      <c r="DJ230" s="172"/>
      <c r="DK230" s="80" t="s">
        <v>954</v>
      </c>
      <c r="DL230" s="129">
        <f>VLOOKUP($F230,Activities!$A$9:$I$180,3,FALSE)/$AI230</f>
        <v>846</v>
      </c>
      <c r="DM230" s="129">
        <f>VLOOKUP($F230,Activities!$A$9:$I$180,4,FALSE)/$AI230</f>
        <v>846</v>
      </c>
      <c r="DN230" s="129">
        <f>VLOOKUP($F230,Activities!$A$9:$I$180,5,FALSE)/$AI230</f>
        <v>846</v>
      </c>
      <c r="DO230" s="129">
        <f>VLOOKUP($F230,Activities!$A$9:$I$180,6,FALSE)/$AI230</f>
        <v>687.38</v>
      </c>
      <c r="DP230" s="129">
        <f>VLOOKUP($F230,Activities!$A$9:$I$180,7,FALSE)/$AI230</f>
        <v>528.75</v>
      </c>
      <c r="DQ230" s="129">
        <f>VLOOKUP($F230,Activities!$A$9:$I$180,8,FALSE)/$AI230</f>
        <v>370.13</v>
      </c>
      <c r="DR230" s="129">
        <f>VLOOKUP($F230,Activities!$A$9:$I$180,9,FALSE)/$AI230</f>
        <v>211.5</v>
      </c>
      <c r="DS230" s="218"/>
      <c r="DT230" s="360"/>
      <c r="DU230" s="360"/>
      <c r="DV230" s="360"/>
      <c r="DW230" s="360"/>
      <c r="DX230" s="360"/>
      <c r="DY230" s="360"/>
      <c r="DZ230" s="360"/>
      <c r="EA230" s="360"/>
      <c r="EB230" s="360"/>
      <c r="EC230" s="360"/>
      <c r="ED230" s="360"/>
      <c r="EE230" s="360"/>
      <c r="EF230" s="360"/>
      <c r="EG230" s="360"/>
      <c r="EH230" s="360"/>
      <c r="EI230" s="360"/>
      <c r="EJ230" s="360"/>
      <c r="EK230" s="360"/>
      <c r="EL230" s="360"/>
      <c r="EM230" s="360"/>
      <c r="EN230" s="360"/>
      <c r="EO230" s="360"/>
      <c r="EP230" s="360"/>
      <c r="EQ230" s="360"/>
    </row>
    <row r="231" spans="1:147" x14ac:dyDescent="0.35">
      <c r="A231" s="5" t="s">
        <v>1226</v>
      </c>
      <c r="B231" s="5" t="s">
        <v>740</v>
      </c>
      <c r="C231" s="5" t="s">
        <v>1208</v>
      </c>
      <c r="D231" s="5" t="s">
        <v>1213</v>
      </c>
      <c r="E231" s="5" t="s">
        <v>1214</v>
      </c>
      <c r="F231" s="5" t="s">
        <v>413</v>
      </c>
      <c r="G231" s="47" t="s">
        <v>1227</v>
      </c>
      <c r="H231" s="47" t="s">
        <v>659</v>
      </c>
      <c r="I231" s="101">
        <v>10</v>
      </c>
      <c r="J231" s="101">
        <v>10</v>
      </c>
      <c r="K231" s="101">
        <v>10</v>
      </c>
      <c r="L231" s="101">
        <v>10</v>
      </c>
      <c r="M231" s="101">
        <v>10</v>
      </c>
      <c r="N231" s="101">
        <v>10</v>
      </c>
      <c r="O231" s="101">
        <v>10</v>
      </c>
      <c r="P231" s="93">
        <v>0</v>
      </c>
      <c r="Q231" s="101">
        <v>0</v>
      </c>
      <c r="R231" s="101">
        <v>0</v>
      </c>
      <c r="S231" s="101">
        <v>0</v>
      </c>
      <c r="T231" s="101">
        <v>0</v>
      </c>
      <c r="U231" s="101">
        <v>0</v>
      </c>
      <c r="V231" s="101">
        <v>0</v>
      </c>
      <c r="W231" s="101">
        <v>0</v>
      </c>
      <c r="X231" s="101">
        <v>0</v>
      </c>
      <c r="Y231" s="101">
        <v>0</v>
      </c>
      <c r="Z231" s="101">
        <v>0</v>
      </c>
      <c r="AA231" s="101">
        <v>0</v>
      </c>
      <c r="AB231" s="101">
        <v>0</v>
      </c>
      <c r="AC231" s="101">
        <v>0</v>
      </c>
      <c r="AD231" s="101">
        <v>0</v>
      </c>
      <c r="AE231" s="186">
        <v>0.08</v>
      </c>
      <c r="AF231" s="93">
        <v>0</v>
      </c>
      <c r="AG231" s="93">
        <v>1</v>
      </c>
      <c r="AH231" s="93">
        <v>1</v>
      </c>
      <c r="AI231" s="16">
        <v>1</v>
      </c>
      <c r="AJ231" s="16" t="s">
        <v>660</v>
      </c>
      <c r="AK231" s="16" t="s">
        <v>745</v>
      </c>
      <c r="AL231" s="16"/>
      <c r="AM231" s="60"/>
      <c r="AN231" s="60"/>
      <c r="AO231" s="60"/>
      <c r="AP231" s="60"/>
      <c r="AQ231" s="60"/>
      <c r="AR231" s="60"/>
      <c r="AS231" s="63"/>
      <c r="AT231" s="63"/>
      <c r="AU231" s="63"/>
      <c r="AV231" s="131"/>
      <c r="AW231" s="131"/>
      <c r="AX231" s="131"/>
      <c r="AY231" s="27" t="s">
        <v>662</v>
      </c>
      <c r="AZ231" s="27"/>
      <c r="BA231" s="27"/>
      <c r="BB231" s="30"/>
      <c r="BC231" s="30"/>
      <c r="BD231" s="30"/>
      <c r="BE231" s="30"/>
      <c r="BF231" s="30"/>
      <c r="BG231" s="30"/>
      <c r="BH231" s="107"/>
      <c r="BI231" s="107"/>
      <c r="BJ231" s="107"/>
      <c r="BK231" s="107"/>
      <c r="BL231" s="136"/>
      <c r="BM231" s="122"/>
      <c r="BN231" s="138"/>
      <c r="BO231" s="93"/>
      <c r="BP231" s="93"/>
      <c r="BQ231" s="93"/>
      <c r="BR231" s="93"/>
      <c r="BS231" s="93"/>
      <c r="BT231" s="93"/>
      <c r="BU231" s="27">
        <f t="shared" si="237"/>
        <v>0</v>
      </c>
      <c r="BV231" s="27"/>
      <c r="BW231" s="27"/>
      <c r="BX231" s="27"/>
      <c r="BY231" s="27"/>
      <c r="BZ231" s="27"/>
      <c r="CA231" s="27"/>
      <c r="CB231" s="97">
        <f t="shared" si="236"/>
        <v>353</v>
      </c>
      <c r="CC231" s="97">
        <f t="shared" si="236"/>
        <v>353</v>
      </c>
      <c r="CD231" s="97">
        <f t="shared" si="231"/>
        <v>353</v>
      </c>
      <c r="CE231" s="97">
        <f t="shared" si="231"/>
        <v>286.82</v>
      </c>
      <c r="CF231" s="389">
        <f>(CE231+CH231)/2</f>
        <v>161.47966</v>
      </c>
      <c r="CG231" s="389">
        <f>DQ231*0.5</f>
        <v>77.22</v>
      </c>
      <c r="CH231" s="389">
        <f>CE231-(CE231-(CE231*0.05))*(0.92)</f>
        <v>36.139319999999998</v>
      </c>
      <c r="CI231" s="173"/>
      <c r="CJ231" s="173"/>
      <c r="CK231" s="173"/>
      <c r="CL231" s="173"/>
      <c r="CM231" s="173"/>
      <c r="CN231" s="173"/>
      <c r="CO231" s="173"/>
      <c r="CP231" s="174"/>
      <c r="CQ231" s="174"/>
      <c r="CR231" s="174"/>
      <c r="CS231" s="174"/>
      <c r="CT231" s="174"/>
      <c r="CU231" s="174"/>
      <c r="CV231" s="174"/>
      <c r="CW231" s="165"/>
      <c r="CX231" s="166"/>
      <c r="CY231" s="166"/>
      <c r="CZ231" s="166"/>
      <c r="DA231" s="166"/>
      <c r="DB231" s="166"/>
      <c r="DC231" s="166"/>
      <c r="DD231" s="171"/>
      <c r="DE231" s="171"/>
      <c r="DF231" s="171"/>
      <c r="DG231" s="171"/>
      <c r="DH231" s="171"/>
      <c r="DI231" s="171"/>
      <c r="DJ231" s="171"/>
      <c r="DK231" s="79" t="s">
        <v>954</v>
      </c>
      <c r="DL231" s="128">
        <f>VLOOKUP($F231,Activities!$A$9:$I$180,3,FALSE)/$AI231</f>
        <v>353</v>
      </c>
      <c r="DM231" s="128">
        <f>VLOOKUP($F231,Activities!$A$9:$I$180,4,FALSE)/$AI231</f>
        <v>353</v>
      </c>
      <c r="DN231" s="128">
        <f>VLOOKUP($F231,Activities!$A$9:$I$180,5,FALSE)/$AI231</f>
        <v>353</v>
      </c>
      <c r="DO231" s="128">
        <f>VLOOKUP($F231,Activities!$A$9:$I$180,6,FALSE)/$AI231</f>
        <v>286.82</v>
      </c>
      <c r="DP231" s="128">
        <f>VLOOKUP($F231,Activities!$A$9:$I$180,7,FALSE)/$AI231</f>
        <v>220.63</v>
      </c>
      <c r="DQ231" s="128">
        <f>VLOOKUP($F231,Activities!$A$9:$I$180,8,FALSE)/$AI231</f>
        <v>154.44</v>
      </c>
      <c r="DR231" s="128">
        <f>VLOOKUP($F231,Activities!$A$9:$I$180,9,FALSE)/$AI231</f>
        <v>88.25</v>
      </c>
      <c r="DS231" s="218"/>
      <c r="DT231" s="360"/>
      <c r="DU231" s="360"/>
      <c r="DV231" s="360"/>
      <c r="DW231" s="360"/>
      <c r="DX231" s="360"/>
      <c r="DY231" s="360"/>
      <c r="DZ231" s="360"/>
      <c r="EA231" s="360"/>
      <c r="EB231" s="360"/>
      <c r="EC231" s="360"/>
      <c r="ED231" s="360"/>
      <c r="EE231" s="360"/>
      <c r="EF231" s="360"/>
      <c r="EG231" s="360"/>
      <c r="EH231" s="360"/>
      <c r="EI231" s="360"/>
      <c r="EJ231" s="360"/>
      <c r="EK231" s="360"/>
      <c r="EL231" s="360"/>
      <c r="EM231" s="360"/>
      <c r="EN231" s="360"/>
      <c r="EO231" s="360"/>
      <c r="EP231" s="360"/>
      <c r="EQ231" s="360"/>
    </row>
    <row r="232" spans="1:147" x14ac:dyDescent="0.35">
      <c r="A232" s="6" t="s">
        <v>1228</v>
      </c>
      <c r="B232" s="6" t="s">
        <v>740</v>
      </c>
      <c r="C232" s="6" t="s">
        <v>1208</v>
      </c>
      <c r="D232" s="6" t="s">
        <v>1213</v>
      </c>
      <c r="E232" s="6" t="s">
        <v>1214</v>
      </c>
      <c r="F232" s="6" t="s">
        <v>413</v>
      </c>
      <c r="G232" s="48" t="s">
        <v>1229</v>
      </c>
      <c r="H232" s="48" t="s">
        <v>659</v>
      </c>
      <c r="I232" s="102">
        <v>20</v>
      </c>
      <c r="J232" s="102">
        <v>20</v>
      </c>
      <c r="K232" s="102">
        <v>20</v>
      </c>
      <c r="L232" s="102">
        <v>20</v>
      </c>
      <c r="M232" s="102">
        <v>20</v>
      </c>
      <c r="N232" s="102">
        <v>20</v>
      </c>
      <c r="O232" s="102">
        <v>20</v>
      </c>
      <c r="P232" s="94">
        <v>0</v>
      </c>
      <c r="Q232" s="102">
        <v>0</v>
      </c>
      <c r="R232" s="102">
        <v>0</v>
      </c>
      <c r="S232" s="102">
        <v>0</v>
      </c>
      <c r="T232" s="102">
        <v>0</v>
      </c>
      <c r="U232" s="102">
        <v>0</v>
      </c>
      <c r="V232" s="102">
        <v>0</v>
      </c>
      <c r="W232" s="102">
        <v>0</v>
      </c>
      <c r="X232" s="102">
        <v>0</v>
      </c>
      <c r="Y232" s="102">
        <v>0</v>
      </c>
      <c r="Z232" s="102">
        <v>0</v>
      </c>
      <c r="AA232" s="102">
        <v>0</v>
      </c>
      <c r="AB232" s="102">
        <v>0</v>
      </c>
      <c r="AC232" s="102">
        <v>0</v>
      </c>
      <c r="AD232" s="102">
        <v>0</v>
      </c>
      <c r="AE232" s="186">
        <v>0.08</v>
      </c>
      <c r="AF232" s="94">
        <v>0</v>
      </c>
      <c r="AG232" s="94">
        <v>1</v>
      </c>
      <c r="AH232" s="94">
        <v>1</v>
      </c>
      <c r="AI232" s="17">
        <v>1</v>
      </c>
      <c r="AJ232" s="17" t="s">
        <v>660</v>
      </c>
      <c r="AK232" s="17" t="s">
        <v>745</v>
      </c>
      <c r="AL232" s="17"/>
      <c r="AM232" s="61"/>
      <c r="AN232" s="61"/>
      <c r="AO232" s="61"/>
      <c r="AP232" s="61"/>
      <c r="AQ232" s="61"/>
      <c r="AR232" s="61"/>
      <c r="AS232" s="64"/>
      <c r="AT232" s="64"/>
      <c r="AU232" s="64"/>
      <c r="AV232" s="132"/>
      <c r="AW232" s="132"/>
      <c r="AX232" s="132"/>
      <c r="AY232" s="28" t="s">
        <v>662</v>
      </c>
      <c r="AZ232" s="28"/>
      <c r="BA232" s="28"/>
      <c r="BB232" s="28"/>
      <c r="BC232" s="28"/>
      <c r="BD232" s="28"/>
      <c r="BE232" s="28"/>
      <c r="BF232" s="28"/>
      <c r="BG232" s="28"/>
      <c r="BH232" s="106"/>
      <c r="BI232" s="106"/>
      <c r="BJ232" s="106"/>
      <c r="BK232" s="106"/>
      <c r="BL232" s="137"/>
      <c r="BM232" s="123"/>
      <c r="BN232" s="139"/>
      <c r="BO232" s="94"/>
      <c r="BP232" s="94"/>
      <c r="BQ232" s="94"/>
      <c r="BR232" s="94"/>
      <c r="BS232" s="94"/>
      <c r="BT232" s="94"/>
      <c r="BU232" s="28">
        <f t="shared" si="237"/>
        <v>0</v>
      </c>
      <c r="BV232" s="28"/>
      <c r="BW232" s="28"/>
      <c r="BX232" s="28"/>
      <c r="BY232" s="28"/>
      <c r="BZ232" s="28"/>
      <c r="CA232" s="28"/>
      <c r="CB232" s="99">
        <f t="shared" si="236"/>
        <v>353</v>
      </c>
      <c r="CC232" s="99">
        <f t="shared" si="236"/>
        <v>353</v>
      </c>
      <c r="CD232" s="99">
        <f t="shared" si="236"/>
        <v>353</v>
      </c>
      <c r="CE232" s="99">
        <f t="shared" si="236"/>
        <v>286.82</v>
      </c>
      <c r="CF232" s="99">
        <f t="shared" si="236"/>
        <v>220.63</v>
      </c>
      <c r="CG232" s="99">
        <f t="shared" si="236"/>
        <v>154.44</v>
      </c>
      <c r="CH232" s="99">
        <f t="shared" si="236"/>
        <v>88.25</v>
      </c>
      <c r="CI232" s="175"/>
      <c r="CJ232" s="175"/>
      <c r="CK232" s="175"/>
      <c r="CL232" s="175"/>
      <c r="CM232" s="175"/>
      <c r="CN232" s="175"/>
      <c r="CO232" s="175"/>
      <c r="CP232" s="176"/>
      <c r="CQ232" s="176"/>
      <c r="CR232" s="176"/>
      <c r="CS232" s="176"/>
      <c r="CT232" s="176"/>
      <c r="CU232" s="176"/>
      <c r="CV232" s="176"/>
      <c r="CW232" s="167"/>
      <c r="CX232" s="168"/>
      <c r="CY232" s="168"/>
      <c r="CZ232" s="168"/>
      <c r="DA232" s="168"/>
      <c r="DB232" s="168"/>
      <c r="DC232" s="168"/>
      <c r="DD232" s="172"/>
      <c r="DE232" s="172"/>
      <c r="DF232" s="172"/>
      <c r="DG232" s="172"/>
      <c r="DH232" s="172"/>
      <c r="DI232" s="172"/>
      <c r="DJ232" s="172"/>
      <c r="DK232" s="80" t="s">
        <v>954</v>
      </c>
      <c r="DL232" s="129">
        <f>VLOOKUP($F232,Activities!$A$9:$I$180,3,FALSE)/$AI232</f>
        <v>353</v>
      </c>
      <c r="DM232" s="129">
        <f>VLOOKUP($F232,Activities!$A$9:$I$180,4,FALSE)/$AI232</f>
        <v>353</v>
      </c>
      <c r="DN232" s="129">
        <f>VLOOKUP($F232,Activities!$A$9:$I$180,5,FALSE)/$AI232</f>
        <v>353</v>
      </c>
      <c r="DO232" s="129">
        <f>VLOOKUP($F232,Activities!$A$9:$I$180,6,FALSE)/$AI232</f>
        <v>286.82</v>
      </c>
      <c r="DP232" s="129">
        <f>VLOOKUP($F232,Activities!$A$9:$I$180,7,FALSE)/$AI232</f>
        <v>220.63</v>
      </c>
      <c r="DQ232" s="129">
        <f>VLOOKUP($F232,Activities!$A$9:$I$180,8,FALSE)/$AI232</f>
        <v>154.44</v>
      </c>
      <c r="DR232" s="129">
        <f>VLOOKUP($F232,Activities!$A$9:$I$180,9,FALSE)/$AI232</f>
        <v>88.25</v>
      </c>
      <c r="DS232" s="218"/>
      <c r="DT232" s="360"/>
      <c r="DU232" s="360"/>
      <c r="DV232" s="360"/>
      <c r="DW232" s="360"/>
      <c r="DX232" s="360"/>
      <c r="DY232" s="360"/>
      <c r="DZ232" s="360"/>
      <c r="EA232" s="360"/>
      <c r="EB232" s="360"/>
      <c r="EC232" s="360"/>
      <c r="ED232" s="360"/>
      <c r="EE232" s="360"/>
      <c r="EF232" s="360"/>
      <c r="EG232" s="360"/>
      <c r="EH232" s="360"/>
      <c r="EI232" s="360"/>
      <c r="EJ232" s="360"/>
      <c r="EK232" s="360"/>
      <c r="EL232" s="360"/>
      <c r="EM232" s="360"/>
      <c r="EN232" s="360"/>
      <c r="EO232" s="360"/>
      <c r="EP232" s="360"/>
      <c r="EQ232" s="360"/>
    </row>
    <row r="233" spans="1:147" x14ac:dyDescent="0.35">
      <c r="A233" s="5" t="s">
        <v>1230</v>
      </c>
      <c r="B233" s="5" t="s">
        <v>740</v>
      </c>
      <c r="C233" s="5" t="s">
        <v>1208</v>
      </c>
      <c r="D233" s="5" t="s">
        <v>1213</v>
      </c>
      <c r="E233" s="5" t="s">
        <v>1214</v>
      </c>
      <c r="F233" s="5" t="s">
        <v>413</v>
      </c>
      <c r="G233" s="47" t="s">
        <v>1231</v>
      </c>
      <c r="H233" s="47" t="s">
        <v>659</v>
      </c>
      <c r="I233" s="101">
        <v>30</v>
      </c>
      <c r="J233" s="101">
        <v>30</v>
      </c>
      <c r="K233" s="101">
        <v>30</v>
      </c>
      <c r="L233" s="101">
        <v>30</v>
      </c>
      <c r="M233" s="101">
        <v>30</v>
      </c>
      <c r="N233" s="101">
        <v>30</v>
      </c>
      <c r="O233" s="101">
        <v>30</v>
      </c>
      <c r="P233" s="93">
        <v>0</v>
      </c>
      <c r="Q233" s="101">
        <v>0</v>
      </c>
      <c r="R233" s="101">
        <v>0</v>
      </c>
      <c r="S233" s="101">
        <v>0</v>
      </c>
      <c r="T233" s="101">
        <v>0</v>
      </c>
      <c r="U233" s="101">
        <v>0</v>
      </c>
      <c r="V233" s="101">
        <v>0</v>
      </c>
      <c r="W233" s="101">
        <v>0</v>
      </c>
      <c r="X233" s="101">
        <v>0</v>
      </c>
      <c r="Y233" s="101">
        <v>0</v>
      </c>
      <c r="Z233" s="101">
        <v>0</v>
      </c>
      <c r="AA233" s="101">
        <v>0</v>
      </c>
      <c r="AB233" s="101">
        <v>0</v>
      </c>
      <c r="AC233" s="101">
        <v>0</v>
      </c>
      <c r="AD233" s="101">
        <v>0</v>
      </c>
      <c r="AE233" s="186">
        <v>0.08</v>
      </c>
      <c r="AF233" s="93">
        <v>0</v>
      </c>
      <c r="AG233" s="93">
        <v>1</v>
      </c>
      <c r="AH233" s="93">
        <v>1</v>
      </c>
      <c r="AI233" s="16">
        <v>1</v>
      </c>
      <c r="AJ233" s="16" t="s">
        <v>660</v>
      </c>
      <c r="AK233" s="16" t="s">
        <v>745</v>
      </c>
      <c r="AL233" s="16"/>
      <c r="AM233" s="60"/>
      <c r="AN233" s="60"/>
      <c r="AO233" s="60"/>
      <c r="AP233" s="60"/>
      <c r="AQ233" s="60"/>
      <c r="AR233" s="60"/>
      <c r="AS233" s="63"/>
      <c r="AT233" s="63"/>
      <c r="AU233" s="63"/>
      <c r="AV233" s="131"/>
      <c r="AW233" s="131"/>
      <c r="AX233" s="131"/>
      <c r="AY233" s="27" t="s">
        <v>662</v>
      </c>
      <c r="AZ233" s="27"/>
      <c r="BA233" s="27"/>
      <c r="BB233" s="30"/>
      <c r="BC233" s="30"/>
      <c r="BD233" s="30"/>
      <c r="BE233" s="30"/>
      <c r="BF233" s="30"/>
      <c r="BG233" s="30"/>
      <c r="BH233" s="107"/>
      <c r="BI233" s="107"/>
      <c r="BJ233" s="107"/>
      <c r="BK233" s="107"/>
      <c r="BL233" s="136"/>
      <c r="BM233" s="122"/>
      <c r="BN233" s="138"/>
      <c r="BO233" s="93"/>
      <c r="BP233" s="93"/>
      <c r="BQ233" s="93"/>
      <c r="BR233" s="93"/>
      <c r="BS233" s="93"/>
      <c r="BT233" s="93"/>
      <c r="BU233" s="27">
        <f t="shared" si="237"/>
        <v>0</v>
      </c>
      <c r="BV233" s="27"/>
      <c r="BW233" s="27"/>
      <c r="BX233" s="27"/>
      <c r="BY233" s="27"/>
      <c r="BZ233" s="27"/>
      <c r="CA233" s="27"/>
      <c r="CB233" s="97">
        <f t="shared" si="236"/>
        <v>353</v>
      </c>
      <c r="CC233" s="97">
        <f t="shared" si="236"/>
        <v>353</v>
      </c>
      <c r="CD233" s="97">
        <f t="shared" si="236"/>
        <v>353</v>
      </c>
      <c r="CE233" s="97">
        <f t="shared" si="236"/>
        <v>286.82</v>
      </c>
      <c r="CF233" s="97">
        <f t="shared" si="236"/>
        <v>220.63</v>
      </c>
      <c r="CG233" s="97">
        <f t="shared" si="236"/>
        <v>154.44</v>
      </c>
      <c r="CH233" s="97">
        <f t="shared" si="236"/>
        <v>88.25</v>
      </c>
      <c r="CI233" s="173"/>
      <c r="CJ233" s="173"/>
      <c r="CK233" s="173"/>
      <c r="CL233" s="173"/>
      <c r="CM233" s="173"/>
      <c r="CN233" s="173"/>
      <c r="CO233" s="173"/>
      <c r="CP233" s="174"/>
      <c r="CQ233" s="174"/>
      <c r="CR233" s="174"/>
      <c r="CS233" s="174"/>
      <c r="CT233" s="174"/>
      <c r="CU233" s="174"/>
      <c r="CV233" s="174"/>
      <c r="CW233" s="165"/>
      <c r="CX233" s="166"/>
      <c r="CY233" s="166"/>
      <c r="CZ233" s="166"/>
      <c r="DA233" s="166"/>
      <c r="DB233" s="166"/>
      <c r="DC233" s="166"/>
      <c r="DD233" s="171"/>
      <c r="DE233" s="171"/>
      <c r="DF233" s="171"/>
      <c r="DG233" s="171"/>
      <c r="DH233" s="171"/>
      <c r="DI233" s="171"/>
      <c r="DJ233" s="171"/>
      <c r="DK233" s="79" t="s">
        <v>954</v>
      </c>
      <c r="DL233" s="128">
        <f>VLOOKUP($F233,Activities!$A$9:$I$180,3,FALSE)/$AI233</f>
        <v>353</v>
      </c>
      <c r="DM233" s="128">
        <f>VLOOKUP($F233,Activities!$A$9:$I$180,4,FALSE)/$AI233</f>
        <v>353</v>
      </c>
      <c r="DN233" s="128">
        <f>VLOOKUP($F233,Activities!$A$9:$I$180,5,FALSE)/$AI233</f>
        <v>353</v>
      </c>
      <c r="DO233" s="128">
        <f>VLOOKUP($F233,Activities!$A$9:$I$180,6,FALSE)/$AI233</f>
        <v>286.82</v>
      </c>
      <c r="DP233" s="128">
        <f>VLOOKUP($F233,Activities!$A$9:$I$180,7,FALSE)/$AI233</f>
        <v>220.63</v>
      </c>
      <c r="DQ233" s="128">
        <f>VLOOKUP($F233,Activities!$A$9:$I$180,8,FALSE)/$AI233</f>
        <v>154.44</v>
      </c>
      <c r="DR233" s="128">
        <f>VLOOKUP($F233,Activities!$A$9:$I$180,9,FALSE)/$AI233</f>
        <v>88.25</v>
      </c>
      <c r="DS233" s="218"/>
      <c r="DT233" s="360"/>
      <c r="DU233" s="360"/>
      <c r="DV233" s="360"/>
      <c r="DW233" s="360"/>
      <c r="DX233" s="360"/>
      <c r="DY233" s="360"/>
      <c r="DZ233" s="360"/>
      <c r="EA233" s="360"/>
      <c r="EB233" s="360"/>
      <c r="EC233" s="360"/>
      <c r="ED233" s="360"/>
      <c r="EE233" s="360"/>
      <c r="EF233" s="360"/>
      <c r="EG233" s="360"/>
      <c r="EH233" s="360"/>
      <c r="EI233" s="360"/>
      <c r="EJ233" s="360"/>
      <c r="EK233" s="360"/>
      <c r="EL233" s="360"/>
      <c r="EM233" s="360"/>
      <c r="EN233" s="360"/>
      <c r="EO233" s="360"/>
      <c r="EP233" s="360"/>
      <c r="EQ233" s="360"/>
    </row>
    <row r="234" spans="1:147" x14ac:dyDescent="0.35">
      <c r="A234" s="6" t="s">
        <v>1232</v>
      </c>
      <c r="B234" s="6"/>
      <c r="C234" s="6" t="s">
        <v>1233</v>
      </c>
      <c r="D234" s="6" t="s">
        <v>1234</v>
      </c>
      <c r="E234" s="6" t="s">
        <v>1235</v>
      </c>
      <c r="F234" s="6" t="s">
        <v>414</v>
      </c>
      <c r="G234" s="48" t="s">
        <v>1236</v>
      </c>
      <c r="H234" s="48" t="s">
        <v>659</v>
      </c>
      <c r="I234" s="102">
        <v>0</v>
      </c>
      <c r="J234" s="102">
        <v>0</v>
      </c>
      <c r="K234" s="102">
        <v>0</v>
      </c>
      <c r="L234" s="102">
        <v>0</v>
      </c>
      <c r="M234" s="102">
        <v>0</v>
      </c>
      <c r="N234" s="102">
        <v>0</v>
      </c>
      <c r="O234" s="102">
        <v>0</v>
      </c>
      <c r="P234" s="94">
        <v>0</v>
      </c>
      <c r="Q234" s="102">
        <v>0</v>
      </c>
      <c r="R234" s="102">
        <v>0</v>
      </c>
      <c r="S234" s="102">
        <v>0</v>
      </c>
      <c r="T234" s="102">
        <v>0</v>
      </c>
      <c r="U234" s="102">
        <v>0</v>
      </c>
      <c r="V234" s="102">
        <v>0</v>
      </c>
      <c r="W234" s="102">
        <v>0</v>
      </c>
      <c r="X234" s="102">
        <v>0</v>
      </c>
      <c r="Y234" s="102">
        <v>0</v>
      </c>
      <c r="Z234" s="102">
        <v>0</v>
      </c>
      <c r="AA234" s="102">
        <v>0</v>
      </c>
      <c r="AB234" s="102">
        <v>0</v>
      </c>
      <c r="AC234" s="102">
        <v>0</v>
      </c>
      <c r="AD234" s="102">
        <v>0</v>
      </c>
      <c r="AE234" s="186">
        <v>0.08</v>
      </c>
      <c r="AF234" s="94">
        <v>0</v>
      </c>
      <c r="AG234" s="94">
        <v>1</v>
      </c>
      <c r="AH234" s="94">
        <v>1</v>
      </c>
      <c r="AI234" s="17">
        <v>1</v>
      </c>
      <c r="AJ234" s="17" t="s">
        <v>660</v>
      </c>
      <c r="AK234" s="17" t="s">
        <v>1237</v>
      </c>
      <c r="AL234" s="17"/>
      <c r="AM234" s="61"/>
      <c r="AN234" s="61"/>
      <c r="AO234" s="61"/>
      <c r="AP234" s="61"/>
      <c r="AQ234" s="61"/>
      <c r="AR234" s="61"/>
      <c r="AS234" s="64"/>
      <c r="AT234" s="64"/>
      <c r="AU234" s="64"/>
      <c r="AV234" s="132"/>
      <c r="AW234" s="132"/>
      <c r="AX234" s="132"/>
      <c r="AY234" s="28" t="s">
        <v>662</v>
      </c>
      <c r="AZ234" s="28"/>
      <c r="BA234" s="28"/>
      <c r="BB234" s="28"/>
      <c r="BC234" s="28"/>
      <c r="BD234" s="28"/>
      <c r="BE234" s="28"/>
      <c r="BF234" s="28"/>
      <c r="BG234" s="28"/>
      <c r="BH234" s="106"/>
      <c r="BI234" s="106"/>
      <c r="BJ234" s="106"/>
      <c r="BK234" s="106"/>
      <c r="BL234" s="137"/>
      <c r="BM234" s="123"/>
      <c r="BN234" s="139">
        <f>DL234</f>
        <v>4260</v>
      </c>
      <c r="BO234" s="94"/>
      <c r="BP234" s="94"/>
      <c r="BQ234" s="94"/>
      <c r="BR234" s="94"/>
      <c r="BS234" s="94"/>
      <c r="BT234" s="94"/>
      <c r="BU234" s="28">
        <f t="shared" ref="BU234:CA234" si="238">CB234</f>
        <v>4260</v>
      </c>
      <c r="BV234" s="28">
        <f t="shared" si="238"/>
        <v>4560</v>
      </c>
      <c r="BW234" s="28">
        <f t="shared" si="238"/>
        <v>4860</v>
      </c>
      <c r="BX234" s="28">
        <f t="shared" si="238"/>
        <v>5163.75</v>
      </c>
      <c r="BY234" s="28">
        <f t="shared" si="238"/>
        <v>5467.5</v>
      </c>
      <c r="BZ234" s="28">
        <f t="shared" si="238"/>
        <v>5771.25</v>
      </c>
      <c r="CA234" s="28">
        <f t="shared" si="238"/>
        <v>6075</v>
      </c>
      <c r="CB234" s="99">
        <f>DL234</f>
        <v>4260</v>
      </c>
      <c r="CC234" s="99">
        <f t="shared" si="236"/>
        <v>4560</v>
      </c>
      <c r="CD234" s="99">
        <f t="shared" si="236"/>
        <v>4860</v>
      </c>
      <c r="CE234" s="99">
        <f t="shared" si="236"/>
        <v>5163.75</v>
      </c>
      <c r="CF234" s="99">
        <f t="shared" si="236"/>
        <v>5467.5</v>
      </c>
      <c r="CG234" s="99">
        <f t="shared" si="236"/>
        <v>5771.25</v>
      </c>
      <c r="CH234" s="99">
        <f t="shared" si="236"/>
        <v>6075</v>
      </c>
      <c r="CI234" s="175"/>
      <c r="CJ234" s="175"/>
      <c r="CK234" s="175"/>
      <c r="CL234" s="175"/>
      <c r="CM234" s="175"/>
      <c r="CN234" s="175"/>
      <c r="CO234" s="175"/>
      <c r="CP234" s="176"/>
      <c r="CQ234" s="176"/>
      <c r="CR234" s="176"/>
      <c r="CS234" s="176"/>
      <c r="CT234" s="176"/>
      <c r="CU234" s="176"/>
      <c r="CV234" s="176"/>
      <c r="CW234" s="167"/>
      <c r="CX234" s="168"/>
      <c r="CY234" s="168"/>
      <c r="CZ234" s="168"/>
      <c r="DA234" s="168"/>
      <c r="DB234" s="168"/>
      <c r="DC234" s="168"/>
      <c r="DD234" s="172"/>
      <c r="DE234" s="172"/>
      <c r="DF234" s="172"/>
      <c r="DG234" s="172"/>
      <c r="DH234" s="172"/>
      <c r="DI234" s="172"/>
      <c r="DJ234" s="172"/>
      <c r="DK234" s="80" t="s">
        <v>1040</v>
      </c>
      <c r="DL234" s="129">
        <f>VLOOKUP($F234,Activities!$A$9:$I$180,3,FALSE)/$AI234</f>
        <v>4260</v>
      </c>
      <c r="DM234" s="129">
        <f>VLOOKUP($F234,Activities!$A$9:$I$180,4,FALSE)/$AI234</f>
        <v>4560</v>
      </c>
      <c r="DN234" s="129">
        <f>VLOOKUP($F234,Activities!$A$9:$I$180,5,FALSE)/$AI234</f>
        <v>4860</v>
      </c>
      <c r="DO234" s="129">
        <f>VLOOKUP($F234,Activities!$A$9:$I$180,6,FALSE)/$AI234</f>
        <v>5163.75</v>
      </c>
      <c r="DP234" s="129">
        <f>VLOOKUP($F234,Activities!$A$9:$I$180,7,FALSE)/$AI234</f>
        <v>5467.5</v>
      </c>
      <c r="DQ234" s="129">
        <f>VLOOKUP($F234,Activities!$A$9:$I$180,8,FALSE)/$AI234</f>
        <v>5771.25</v>
      </c>
      <c r="DR234" s="129">
        <f>VLOOKUP($F234,Activities!$A$9:$I$180,9,FALSE)/$AI234</f>
        <v>6075</v>
      </c>
      <c r="DS234" s="218"/>
      <c r="DT234" s="360"/>
      <c r="DU234" s="360"/>
      <c r="DV234" s="360"/>
      <c r="DW234" s="360"/>
      <c r="DX234" s="360"/>
      <c r="DY234" s="360"/>
      <c r="DZ234" s="360"/>
      <c r="EA234" s="360"/>
      <c r="EB234" s="360"/>
      <c r="EC234" s="360"/>
      <c r="ED234" s="360"/>
      <c r="EE234" s="360"/>
      <c r="EF234" s="360"/>
      <c r="EG234" s="360"/>
      <c r="EH234" s="360"/>
      <c r="EI234" s="360"/>
      <c r="EJ234" s="360"/>
      <c r="EK234" s="360"/>
      <c r="EL234" s="360"/>
      <c r="EM234" s="360"/>
      <c r="EN234" s="360"/>
      <c r="EO234" s="360"/>
      <c r="EP234" s="360"/>
      <c r="EQ234" s="360"/>
    </row>
    <row r="235" spans="1:147" x14ac:dyDescent="0.35">
      <c r="A235" s="5" t="s">
        <v>1238</v>
      </c>
      <c r="B235" s="5"/>
      <c r="C235" s="5" t="s">
        <v>1233</v>
      </c>
      <c r="D235" s="5" t="s">
        <v>1234</v>
      </c>
      <c r="E235" s="5" t="s">
        <v>1239</v>
      </c>
      <c r="F235" s="5" t="s">
        <v>448</v>
      </c>
      <c r="G235" s="47" t="s">
        <v>1240</v>
      </c>
      <c r="H235" s="47" t="s">
        <v>981</v>
      </c>
      <c r="I235" s="101">
        <v>0</v>
      </c>
      <c r="J235" s="101">
        <v>0</v>
      </c>
      <c r="K235" s="101">
        <v>0</v>
      </c>
      <c r="L235" s="101">
        <v>0</v>
      </c>
      <c r="M235" s="101">
        <v>0</v>
      </c>
      <c r="N235" s="101">
        <v>0</v>
      </c>
      <c r="O235" s="101">
        <v>0</v>
      </c>
      <c r="P235" s="93">
        <v>0</v>
      </c>
      <c r="Q235" s="101">
        <v>0</v>
      </c>
      <c r="R235" s="101">
        <v>0</v>
      </c>
      <c r="S235" s="101">
        <v>0</v>
      </c>
      <c r="T235" s="101">
        <v>0</v>
      </c>
      <c r="U235" s="101">
        <v>0</v>
      </c>
      <c r="V235" s="101">
        <v>0</v>
      </c>
      <c r="W235" s="101">
        <v>0</v>
      </c>
      <c r="X235" s="101">
        <v>0</v>
      </c>
      <c r="Y235" s="101">
        <v>0</v>
      </c>
      <c r="Z235" s="101">
        <v>0</v>
      </c>
      <c r="AA235" s="101">
        <v>0</v>
      </c>
      <c r="AB235" s="101">
        <v>0</v>
      </c>
      <c r="AC235" s="101">
        <v>0</v>
      </c>
      <c r="AD235" s="101">
        <v>0</v>
      </c>
      <c r="AE235" s="186">
        <v>0.08</v>
      </c>
      <c r="AF235" s="93">
        <v>0</v>
      </c>
      <c r="AG235" s="93">
        <v>1</v>
      </c>
      <c r="AH235" s="93">
        <v>1</v>
      </c>
      <c r="AI235" s="16">
        <v>31.536000000000001</v>
      </c>
      <c r="AJ235" s="16" t="s">
        <v>1241</v>
      </c>
      <c r="AK235" s="16" t="s">
        <v>745</v>
      </c>
      <c r="AL235" s="16"/>
      <c r="AM235" s="60"/>
      <c r="AN235" s="60"/>
      <c r="AO235" s="60"/>
      <c r="AP235" s="60"/>
      <c r="AQ235" s="60"/>
      <c r="AR235" s="60"/>
      <c r="AS235" s="63"/>
      <c r="AT235" s="63"/>
      <c r="AU235" s="63"/>
      <c r="AV235" s="131"/>
      <c r="AW235" s="131"/>
      <c r="AX235" s="131"/>
      <c r="AY235" s="27" t="s">
        <v>662</v>
      </c>
      <c r="AZ235" s="27"/>
      <c r="BA235" s="27"/>
      <c r="BB235" s="30"/>
      <c r="BC235" s="30"/>
      <c r="BD235" s="30"/>
      <c r="BE235" s="30"/>
      <c r="BF235" s="30"/>
      <c r="BG235" s="30"/>
      <c r="BH235" s="107"/>
      <c r="BI235" s="107"/>
      <c r="BJ235" s="107"/>
      <c r="BK235" s="107"/>
      <c r="BL235" s="136"/>
      <c r="BM235" s="122"/>
      <c r="BN235" s="138">
        <f t="shared" ref="BN235" si="239">BU235</f>
        <v>0</v>
      </c>
      <c r="BO235" s="93"/>
      <c r="BP235" s="93"/>
      <c r="BQ235" s="93"/>
      <c r="BR235" s="93"/>
      <c r="BS235" s="93"/>
      <c r="BT235" s="93"/>
      <c r="BU235" s="27"/>
      <c r="BV235" s="27"/>
      <c r="BW235" s="27"/>
      <c r="BX235" s="27"/>
      <c r="BY235" s="27"/>
      <c r="BZ235" s="27"/>
      <c r="CA235" s="27"/>
      <c r="CB235" s="185">
        <v>500</v>
      </c>
      <c r="CC235" s="185">
        <v>500</v>
      </c>
      <c r="CD235" s="185">
        <v>500</v>
      </c>
      <c r="CE235" s="185">
        <v>500</v>
      </c>
      <c r="CF235" s="185">
        <v>500</v>
      </c>
      <c r="CG235" s="185">
        <v>500</v>
      </c>
      <c r="CH235" s="185">
        <v>500</v>
      </c>
      <c r="CI235" s="173"/>
      <c r="CJ235" s="173"/>
      <c r="CK235" s="173"/>
      <c r="CL235" s="173"/>
      <c r="CM235" s="173"/>
      <c r="CN235" s="173"/>
      <c r="CO235" s="173"/>
      <c r="CP235" s="174"/>
      <c r="CQ235" s="174"/>
      <c r="CR235" s="174"/>
      <c r="CS235" s="174"/>
      <c r="CT235" s="174"/>
      <c r="CU235" s="174"/>
      <c r="CV235" s="174"/>
      <c r="CW235" s="165"/>
      <c r="CX235" s="166"/>
      <c r="CY235" s="166"/>
      <c r="CZ235" s="166"/>
      <c r="DA235" s="166"/>
      <c r="DB235" s="166"/>
      <c r="DC235" s="166"/>
      <c r="DD235" s="171"/>
      <c r="DE235" s="171"/>
      <c r="DF235" s="171"/>
      <c r="DG235" s="171"/>
      <c r="DH235" s="171"/>
      <c r="DI235" s="171"/>
      <c r="DJ235" s="171"/>
      <c r="DK235" s="79" t="s">
        <v>699</v>
      </c>
      <c r="DL235" s="128">
        <v>30</v>
      </c>
      <c r="DM235" s="128">
        <v>30</v>
      </c>
      <c r="DN235" s="128">
        <v>30</v>
      </c>
      <c r="DO235" s="128">
        <v>30</v>
      </c>
      <c r="DP235" s="128">
        <v>30</v>
      </c>
      <c r="DQ235" s="128">
        <v>30</v>
      </c>
      <c r="DR235" s="128">
        <v>30</v>
      </c>
      <c r="DS235" s="218"/>
      <c r="DT235" s="360"/>
      <c r="DU235" s="360"/>
      <c r="DV235" s="360"/>
      <c r="DW235" s="360"/>
      <c r="DX235" s="360"/>
      <c r="DY235" s="360"/>
      <c r="DZ235" s="360"/>
      <c r="EA235" s="360"/>
      <c r="EB235" s="360"/>
      <c r="EC235" s="360"/>
      <c r="ED235" s="360"/>
      <c r="EE235" s="360"/>
      <c r="EF235" s="360"/>
      <c r="EG235" s="360"/>
      <c r="EH235" s="360"/>
      <c r="EI235" s="360"/>
      <c r="EJ235" s="360"/>
      <c r="EK235" s="360"/>
      <c r="EL235" s="360"/>
      <c r="EM235" s="360"/>
      <c r="EN235" s="360"/>
      <c r="EO235" s="360"/>
      <c r="EP235" s="360"/>
      <c r="EQ235" s="360"/>
    </row>
    <row r="236" spans="1:147" ht="15" thickBot="1" x14ac:dyDescent="0.4">
      <c r="A236" s="256" t="s">
        <v>1242</v>
      </c>
      <c r="B236" s="6" t="s">
        <v>1243</v>
      </c>
      <c r="C236" s="6" t="s">
        <v>1233</v>
      </c>
      <c r="D236" s="6" t="s">
        <v>1234</v>
      </c>
      <c r="E236" s="6" t="s">
        <v>1244</v>
      </c>
      <c r="F236" s="6" t="s">
        <v>448</v>
      </c>
      <c r="G236" s="48" t="s">
        <v>1245</v>
      </c>
      <c r="H236" s="48" t="s">
        <v>981</v>
      </c>
      <c r="I236" s="102">
        <v>0</v>
      </c>
      <c r="J236" s="102">
        <v>0</v>
      </c>
      <c r="K236" s="102">
        <v>0</v>
      </c>
      <c r="L236" s="102">
        <v>0</v>
      </c>
      <c r="M236" s="102">
        <v>0</v>
      </c>
      <c r="N236" s="102">
        <v>0</v>
      </c>
      <c r="O236" s="102">
        <v>0</v>
      </c>
      <c r="P236" s="94">
        <v>0</v>
      </c>
      <c r="Q236" s="102">
        <v>0</v>
      </c>
      <c r="R236" s="102">
        <v>0</v>
      </c>
      <c r="S236" s="102">
        <v>0</v>
      </c>
      <c r="T236" s="102">
        <v>0</v>
      </c>
      <c r="U236" s="102">
        <v>0</v>
      </c>
      <c r="V236" s="102">
        <v>0</v>
      </c>
      <c r="W236" s="102">
        <v>0</v>
      </c>
      <c r="X236" s="102">
        <v>0</v>
      </c>
      <c r="Y236" s="102">
        <v>0</v>
      </c>
      <c r="Z236" s="102">
        <v>0</v>
      </c>
      <c r="AA236" s="102">
        <v>0</v>
      </c>
      <c r="AB236" s="102">
        <v>0</v>
      </c>
      <c r="AC236" s="102">
        <v>0</v>
      </c>
      <c r="AD236" s="102">
        <v>0</v>
      </c>
      <c r="AE236" s="186">
        <v>0.08</v>
      </c>
      <c r="AF236" s="94">
        <v>0</v>
      </c>
      <c r="AG236" s="94">
        <v>1</v>
      </c>
      <c r="AH236" s="94">
        <v>1</v>
      </c>
      <c r="AI236" s="17">
        <v>31.536000000000001</v>
      </c>
      <c r="AJ236" s="17" t="s">
        <v>1241</v>
      </c>
      <c r="AK236" s="17" t="s">
        <v>745</v>
      </c>
      <c r="AL236" s="17"/>
      <c r="AM236" s="61"/>
      <c r="AN236" s="61"/>
      <c r="AO236" s="61"/>
      <c r="AP236" s="61"/>
      <c r="AQ236" s="61"/>
      <c r="AR236" s="61"/>
      <c r="AS236" s="64"/>
      <c r="AT236" s="64"/>
      <c r="AU236" s="64"/>
      <c r="AV236" s="132"/>
      <c r="AW236" s="132"/>
      <c r="AX236" s="132"/>
      <c r="AY236" s="28" t="s">
        <v>662</v>
      </c>
      <c r="AZ236" s="28"/>
      <c r="BA236" s="28"/>
      <c r="BB236" s="28"/>
      <c r="BC236" s="28"/>
      <c r="BD236" s="28"/>
      <c r="BE236" s="28"/>
      <c r="BF236" s="28"/>
      <c r="BG236" s="28"/>
      <c r="BH236" s="106"/>
      <c r="BI236" s="106"/>
      <c r="BJ236" s="106"/>
      <c r="BK236" s="106"/>
      <c r="BL236" s="137">
        <v>2</v>
      </c>
      <c r="BM236" s="123"/>
      <c r="BN236" s="259">
        <v>8.0500000000000007</v>
      </c>
      <c r="BO236" s="260"/>
      <c r="BP236" s="260"/>
      <c r="BQ236" s="260"/>
      <c r="BR236" s="260"/>
      <c r="BS236" s="260"/>
      <c r="BT236" s="260"/>
      <c r="BU236" s="28">
        <f>0</f>
        <v>0</v>
      </c>
      <c r="BV236" s="28">
        <f>0</f>
        <v>0</v>
      </c>
      <c r="BW236" s="28">
        <f>0</f>
        <v>0</v>
      </c>
      <c r="BX236" s="28">
        <f>0</f>
        <v>0</v>
      </c>
      <c r="BY236" s="28">
        <f>0</f>
        <v>0</v>
      </c>
      <c r="BZ236" s="28">
        <f>0</f>
        <v>0</v>
      </c>
      <c r="CA236" s="28">
        <f>0</f>
        <v>0</v>
      </c>
      <c r="CB236" s="99">
        <v>8.0500000000000007</v>
      </c>
      <c r="CC236" s="99">
        <v>10.799999999999999</v>
      </c>
      <c r="CD236" s="99">
        <v>20</v>
      </c>
      <c r="CE236" s="99">
        <v>20</v>
      </c>
      <c r="CF236" s="99">
        <v>20</v>
      </c>
      <c r="CG236" s="99">
        <v>20</v>
      </c>
      <c r="CH236" s="99">
        <v>20</v>
      </c>
      <c r="CI236" s="257">
        <f>82.1</f>
        <v>82.1</v>
      </c>
      <c r="CJ236" s="257">
        <f>$CI$236*0.8</f>
        <v>65.679999999999993</v>
      </c>
      <c r="CK236" s="257">
        <f t="shared" ref="CK236:CO236" si="240">$CI$236*0.8</f>
        <v>65.679999999999993</v>
      </c>
      <c r="CL236" s="257">
        <f t="shared" si="240"/>
        <v>65.679999999999993</v>
      </c>
      <c r="CM236" s="257">
        <f t="shared" si="240"/>
        <v>65.679999999999993</v>
      </c>
      <c r="CN236" s="257">
        <f t="shared" si="240"/>
        <v>65.679999999999993</v>
      </c>
      <c r="CO236" s="257">
        <f t="shared" si="240"/>
        <v>65.679999999999993</v>
      </c>
      <c r="CP236" s="388">
        <f>$CI$236*1.2</f>
        <v>98.52</v>
      </c>
      <c r="CQ236" s="388">
        <f t="shared" ref="CQ236:CV236" si="241">$CI$236*1.2</f>
        <v>98.52</v>
      </c>
      <c r="CR236" s="388">
        <f t="shared" si="241"/>
        <v>98.52</v>
      </c>
      <c r="CS236" s="388">
        <f t="shared" si="241"/>
        <v>98.52</v>
      </c>
      <c r="CT236" s="388">
        <f t="shared" si="241"/>
        <v>98.52</v>
      </c>
      <c r="CU236" s="388">
        <f t="shared" si="241"/>
        <v>98.52</v>
      </c>
      <c r="CV236" s="388">
        <f t="shared" si="241"/>
        <v>98.52</v>
      </c>
      <c r="CW236" s="167"/>
      <c r="CX236" s="168"/>
      <c r="CY236" s="168"/>
      <c r="CZ236" s="168"/>
      <c r="DA236" s="168"/>
      <c r="DB236" s="168"/>
      <c r="DC236" s="168"/>
      <c r="DD236" s="172"/>
      <c r="DE236" s="172"/>
      <c r="DF236" s="172"/>
      <c r="DG236" s="172"/>
      <c r="DH236" s="172"/>
      <c r="DI236" s="172"/>
      <c r="DJ236" s="172"/>
      <c r="DK236" s="80" t="s">
        <v>699</v>
      </c>
      <c r="DL236" s="129">
        <v>1.4</v>
      </c>
      <c r="DM236" s="129">
        <v>3.4</v>
      </c>
      <c r="DN236" s="129">
        <v>3.4</v>
      </c>
      <c r="DO236" s="129">
        <v>3.4</v>
      </c>
      <c r="DP236" s="129">
        <v>3.4</v>
      </c>
      <c r="DQ236" s="129">
        <v>7</v>
      </c>
      <c r="DR236" s="129">
        <v>7</v>
      </c>
      <c r="DS236" s="218"/>
      <c r="DT236" s="360"/>
      <c r="DU236" s="360"/>
      <c r="DV236" s="360"/>
      <c r="DW236" s="360"/>
      <c r="DX236" s="360"/>
      <c r="DY236" s="360"/>
      <c r="DZ236" s="360"/>
      <c r="EA236" s="360"/>
      <c r="EB236" s="360"/>
      <c r="EC236" s="360"/>
      <c r="ED236" s="360"/>
      <c r="EE236" s="360"/>
      <c r="EF236" s="360"/>
      <c r="EG236" s="360"/>
      <c r="EH236" s="360"/>
      <c r="EI236" s="360"/>
      <c r="EJ236" s="360"/>
      <c r="EK236" s="360"/>
      <c r="EL236" s="360"/>
      <c r="EM236" s="360"/>
      <c r="EN236" s="360"/>
      <c r="EO236" s="360"/>
      <c r="EP236" s="360"/>
      <c r="EQ236" s="360"/>
    </row>
    <row r="237" spans="1:147" x14ac:dyDescent="0.35">
      <c r="A237" s="230" t="s">
        <v>1246</v>
      </c>
      <c r="B237" s="231" t="s">
        <v>1243</v>
      </c>
      <c r="C237" s="231" t="s">
        <v>788</v>
      </c>
      <c r="D237" s="231" t="s">
        <v>1247</v>
      </c>
      <c r="E237" s="231" t="s">
        <v>1248</v>
      </c>
      <c r="F237" s="231" t="s">
        <v>453</v>
      </c>
      <c r="G237" s="232" t="s">
        <v>1249</v>
      </c>
      <c r="H237" s="233" t="s">
        <v>981</v>
      </c>
      <c r="I237" s="101">
        <v>3200</v>
      </c>
      <c r="J237" s="101">
        <f>(K237+I237)/2</f>
        <v>2800</v>
      </c>
      <c r="K237" s="101">
        <v>2400</v>
      </c>
      <c r="L237" s="101">
        <f t="shared" ref="L237:L246" si="242">(M237+K237)/2</f>
        <v>2350</v>
      </c>
      <c r="M237" s="101">
        <f t="shared" ref="M237:M246" si="243">(K237+O237)/2</f>
        <v>2300</v>
      </c>
      <c r="N237" s="101">
        <f t="shared" ref="N237:N246" si="244">(O237+M237)/2</f>
        <v>2250</v>
      </c>
      <c r="O237" s="101">
        <v>2200</v>
      </c>
      <c r="P237" s="93">
        <v>0</v>
      </c>
      <c r="Q237" s="101">
        <v>54.750234643862761</v>
      </c>
      <c r="R237" s="101">
        <v>54.750234643862761</v>
      </c>
      <c r="S237" s="101">
        <v>47.345917196787987</v>
      </c>
      <c r="T237" s="101">
        <v>47.345917196787987</v>
      </c>
      <c r="U237" s="101">
        <v>47.345917196787987</v>
      </c>
      <c r="V237" s="101">
        <v>47.345917196787987</v>
      </c>
      <c r="W237" s="101">
        <v>47.345917196787987</v>
      </c>
      <c r="X237" s="101">
        <v>0.1</v>
      </c>
      <c r="Y237" s="101">
        <v>0.1</v>
      </c>
      <c r="Z237" s="101">
        <v>0.1</v>
      </c>
      <c r="AA237" s="101">
        <v>0.1</v>
      </c>
      <c r="AB237" s="101">
        <v>0.1</v>
      </c>
      <c r="AC237" s="101">
        <v>0.1</v>
      </c>
      <c r="AD237" s="101">
        <v>0.1</v>
      </c>
      <c r="AE237" s="186">
        <v>0.08</v>
      </c>
      <c r="AF237" s="93">
        <v>0</v>
      </c>
      <c r="AG237" s="93">
        <v>30</v>
      </c>
      <c r="AH237" s="93">
        <v>30</v>
      </c>
      <c r="AI237" s="16">
        <v>19</v>
      </c>
      <c r="AJ237" s="16" t="s">
        <v>1241</v>
      </c>
      <c r="AK237" s="16" t="s">
        <v>1250</v>
      </c>
      <c r="AL237" s="16"/>
      <c r="AM237" s="60"/>
      <c r="AN237" s="60"/>
      <c r="AO237" s="60"/>
      <c r="AP237" s="60"/>
      <c r="AQ237" s="60"/>
      <c r="AR237" s="60"/>
      <c r="AS237" s="63"/>
      <c r="AT237" s="63"/>
      <c r="AU237" s="63"/>
      <c r="AV237" s="131"/>
      <c r="AW237" s="131"/>
      <c r="AX237" s="131"/>
      <c r="AY237" s="27" t="s">
        <v>662</v>
      </c>
      <c r="AZ237" s="27"/>
      <c r="BA237" s="27"/>
      <c r="BB237" s="30"/>
      <c r="BC237" s="30"/>
      <c r="BD237" s="30"/>
      <c r="BE237" s="30"/>
      <c r="BF237" s="30"/>
      <c r="BG237" s="30"/>
      <c r="BH237" s="107"/>
      <c r="BI237" s="107"/>
      <c r="BJ237" s="107"/>
      <c r="BK237" s="107"/>
      <c r="BL237" s="136"/>
      <c r="BM237" s="122"/>
      <c r="BN237" s="138">
        <v>0</v>
      </c>
      <c r="BO237" s="93"/>
      <c r="BP237" s="93"/>
      <c r="BQ237" s="93"/>
      <c r="BR237" s="93"/>
      <c r="BS237" s="93"/>
      <c r="BT237" s="93"/>
      <c r="BU237" s="27">
        <f>IF(BL237=1,BN237,0)</f>
        <v>0</v>
      </c>
      <c r="BV237" s="27"/>
      <c r="BW237" s="27"/>
      <c r="BX237" s="27"/>
      <c r="BY237" s="27"/>
      <c r="BZ237" s="27"/>
      <c r="CA237" s="27"/>
      <c r="CB237" s="244"/>
      <c r="CC237" s="244">
        <f t="shared" ref="CC237:CC244" si="245">ROUND((CB237+CD237)/2,2)</f>
        <v>5</v>
      </c>
      <c r="CD237" s="244">
        <v>10</v>
      </c>
      <c r="CE237" s="244">
        <f t="shared" ref="CE237" si="246">ROUND((CD237+CF237)/2,2)</f>
        <v>18.25</v>
      </c>
      <c r="CF237" s="244">
        <v>26.5</v>
      </c>
      <c r="CG237" s="244">
        <f t="shared" ref="CG237" si="247">ROUND((CF237+CH237)/2,2)</f>
        <v>41.75</v>
      </c>
      <c r="CH237" s="389">
        <f>70-13</f>
        <v>57</v>
      </c>
      <c r="CI237" s="173"/>
      <c r="CJ237" s="173"/>
      <c r="CK237" s="173"/>
      <c r="CL237" s="173"/>
      <c r="CM237" s="173"/>
      <c r="CN237" s="173"/>
      <c r="CO237" s="173"/>
      <c r="CP237" s="174"/>
      <c r="CQ237" s="174"/>
      <c r="CR237" s="174"/>
      <c r="CS237" s="174"/>
      <c r="CT237" s="174"/>
      <c r="CU237" s="174"/>
      <c r="CV237" s="174"/>
      <c r="CW237" s="165"/>
      <c r="CX237" s="166"/>
      <c r="CY237" s="166"/>
      <c r="CZ237" s="166"/>
      <c r="DA237" s="166"/>
      <c r="DB237" s="166"/>
      <c r="DC237" s="166"/>
      <c r="DD237" s="171"/>
      <c r="DE237" s="171"/>
      <c r="DF237" s="171"/>
      <c r="DG237" s="171"/>
      <c r="DH237" s="171"/>
      <c r="DI237" s="171"/>
      <c r="DJ237" s="171"/>
      <c r="DK237" s="79" t="s">
        <v>1251</v>
      </c>
      <c r="DL237" s="128"/>
      <c r="DM237" s="128"/>
      <c r="DN237" s="128"/>
      <c r="DO237" s="128"/>
      <c r="DP237" s="128"/>
      <c r="DQ237" s="128"/>
      <c r="DR237" s="128"/>
      <c r="DS237" s="218"/>
      <c r="DT237" s="360"/>
      <c r="DU237" s="360"/>
      <c r="DV237" s="360"/>
      <c r="DW237" s="360"/>
      <c r="DX237" s="360"/>
      <c r="DY237" s="360"/>
      <c r="DZ237" s="360"/>
      <c r="EA237" s="360"/>
      <c r="EB237" s="360"/>
      <c r="EC237" s="360"/>
      <c r="ED237" s="360"/>
      <c r="EE237" s="360"/>
      <c r="EF237" s="360"/>
      <c r="EG237" s="360"/>
      <c r="EH237" s="360"/>
      <c r="EI237" s="360"/>
      <c r="EJ237" s="360"/>
      <c r="EK237" s="360"/>
      <c r="EL237" s="360"/>
      <c r="EM237" s="360"/>
      <c r="EN237" s="360"/>
      <c r="EO237" s="360"/>
      <c r="EP237" s="360"/>
      <c r="EQ237" s="360"/>
    </row>
    <row r="238" spans="1:147" x14ac:dyDescent="0.35">
      <c r="A238" s="234" t="s">
        <v>1252</v>
      </c>
      <c r="B238" s="6" t="s">
        <v>1243</v>
      </c>
      <c r="C238" s="6" t="s">
        <v>788</v>
      </c>
      <c r="D238" s="6" t="s">
        <v>1247</v>
      </c>
      <c r="E238" s="6" t="s">
        <v>1248</v>
      </c>
      <c r="F238" s="6" t="s">
        <v>455</v>
      </c>
      <c r="G238" s="48" t="s">
        <v>1253</v>
      </c>
      <c r="H238" s="235" t="s">
        <v>981</v>
      </c>
      <c r="I238" s="102">
        <v>1823.76</v>
      </c>
      <c r="J238" s="102">
        <v>1821.35</v>
      </c>
      <c r="K238" s="102">
        <v>1818.94</v>
      </c>
      <c r="L238" s="101">
        <f t="shared" si="242"/>
        <v>1816.5450000000001</v>
      </c>
      <c r="M238" s="101">
        <f t="shared" si="243"/>
        <v>1814.15</v>
      </c>
      <c r="N238" s="101">
        <f t="shared" si="244"/>
        <v>1811.7550000000001</v>
      </c>
      <c r="O238" s="102">
        <v>1809.36</v>
      </c>
      <c r="P238" s="94">
        <v>0</v>
      </c>
      <c r="Q238" s="102">
        <v>18.260000000000002</v>
      </c>
      <c r="R238" s="102">
        <v>18.260000000000002</v>
      </c>
      <c r="S238" s="102">
        <v>18.260000000000002</v>
      </c>
      <c r="T238" s="102">
        <v>18.260000000000002</v>
      </c>
      <c r="U238" s="102">
        <v>18.260000000000002</v>
      </c>
      <c r="V238" s="102">
        <v>18.260000000000002</v>
      </c>
      <c r="W238" s="102">
        <v>18.260000000000002</v>
      </c>
      <c r="X238" s="102">
        <v>0.73</v>
      </c>
      <c r="Y238" s="102">
        <v>0.73</v>
      </c>
      <c r="Z238" s="102">
        <v>0.73</v>
      </c>
      <c r="AA238" s="102">
        <v>0.73</v>
      </c>
      <c r="AB238" s="102">
        <v>0.73</v>
      </c>
      <c r="AC238" s="102">
        <v>0.73</v>
      </c>
      <c r="AD238" s="102">
        <v>0.73</v>
      </c>
      <c r="AE238" s="186">
        <v>0.08</v>
      </c>
      <c r="AF238" s="94">
        <v>0</v>
      </c>
      <c r="AG238" s="94">
        <v>30</v>
      </c>
      <c r="AH238" s="94">
        <v>30</v>
      </c>
      <c r="AI238" s="17">
        <v>29</v>
      </c>
      <c r="AJ238" s="17" t="s">
        <v>1241</v>
      </c>
      <c r="AK238" s="17" t="s">
        <v>745</v>
      </c>
      <c r="AL238" s="17">
        <v>0.5</v>
      </c>
      <c r="AM238" s="61"/>
      <c r="AN238" s="61"/>
      <c r="AO238" s="61"/>
      <c r="AP238" s="61"/>
      <c r="AQ238" s="61"/>
      <c r="AR238" s="61"/>
      <c r="AS238" s="64"/>
      <c r="AT238" s="64"/>
      <c r="AU238" s="64"/>
      <c r="AV238" s="132"/>
      <c r="AW238" s="132"/>
      <c r="AX238" s="132"/>
      <c r="AY238" s="28" t="s">
        <v>662</v>
      </c>
      <c r="AZ238" s="28"/>
      <c r="BA238" s="28"/>
      <c r="BB238" s="28"/>
      <c r="BC238" s="28"/>
      <c r="BD238" s="28"/>
      <c r="BE238" s="28"/>
      <c r="BF238" s="28"/>
      <c r="BG238" s="28"/>
      <c r="BH238" s="106"/>
      <c r="BI238" s="106"/>
      <c r="BJ238" s="106"/>
      <c r="BK238" s="106"/>
      <c r="BL238" s="137"/>
      <c r="BM238" s="123"/>
      <c r="BN238" s="196">
        <v>0</v>
      </c>
      <c r="BO238" s="186">
        <v>0</v>
      </c>
      <c r="BP238" s="94"/>
      <c r="BQ238" s="94"/>
      <c r="BR238" s="94"/>
      <c r="BS238" s="94"/>
      <c r="BT238" s="94"/>
      <c r="BU238" s="28">
        <f t="shared" ref="BU238:BU291" si="248">IF(BL238=1,BN238,0)</f>
        <v>0</v>
      </c>
      <c r="BV238" s="28"/>
      <c r="BW238" s="28"/>
      <c r="BX238" s="28"/>
      <c r="BY238" s="28"/>
      <c r="BZ238" s="28"/>
      <c r="CA238" s="28"/>
      <c r="CB238" s="99">
        <v>1.895</v>
      </c>
      <c r="CC238" s="99">
        <f t="shared" si="245"/>
        <v>0.95</v>
      </c>
      <c r="CD238" s="99"/>
      <c r="CE238" s="99">
        <v>0</v>
      </c>
      <c r="CF238" s="99">
        <v>0</v>
      </c>
      <c r="CG238" s="99">
        <v>0</v>
      </c>
      <c r="CH238" s="99">
        <v>0</v>
      </c>
      <c r="CI238" s="175"/>
      <c r="CJ238" s="175"/>
      <c r="CK238" s="175"/>
      <c r="CL238" s="175"/>
      <c r="CM238" s="175"/>
      <c r="CN238" s="175"/>
      <c r="CO238" s="175"/>
      <c r="CP238" s="176"/>
      <c r="CQ238" s="176"/>
      <c r="CR238" s="176"/>
      <c r="CS238" s="176"/>
      <c r="CT238" s="176"/>
      <c r="CU238" s="176"/>
      <c r="CV238" s="176"/>
      <c r="CW238" s="167"/>
      <c r="CX238" s="168"/>
      <c r="CY238" s="168">
        <v>1</v>
      </c>
      <c r="CZ238" s="168">
        <v>1</v>
      </c>
      <c r="DA238" s="168">
        <v>1</v>
      </c>
      <c r="DB238" s="168">
        <v>1</v>
      </c>
      <c r="DC238" s="168">
        <v>1</v>
      </c>
      <c r="DD238" s="172"/>
      <c r="DE238" s="172"/>
      <c r="DF238" s="172"/>
      <c r="DG238" s="172"/>
      <c r="DH238" s="172"/>
      <c r="DI238" s="172"/>
      <c r="DJ238" s="172"/>
      <c r="DK238" s="80" t="s">
        <v>415</v>
      </c>
      <c r="DL238" s="129"/>
      <c r="DM238" s="129"/>
      <c r="DN238" s="129"/>
      <c r="DO238" s="129"/>
      <c r="DP238" s="129"/>
      <c r="DQ238" s="129"/>
      <c r="DR238" s="129"/>
      <c r="DS238" s="218"/>
      <c r="DT238" s="360"/>
      <c r="DU238" s="360"/>
      <c r="DV238" s="360"/>
      <c r="DW238" s="360"/>
      <c r="DX238" s="360"/>
      <c r="DY238" s="360"/>
      <c r="DZ238" s="360"/>
      <c r="EA238" s="360"/>
      <c r="EB238" s="360"/>
      <c r="EC238" s="360"/>
      <c r="ED238" s="360"/>
      <c r="EE238" s="360"/>
      <c r="EF238" s="360"/>
      <c r="EG238" s="360"/>
      <c r="EH238" s="360"/>
      <c r="EI238" s="360"/>
      <c r="EJ238" s="360"/>
      <c r="EK238" s="360"/>
      <c r="EL238" s="360"/>
      <c r="EM238" s="360"/>
      <c r="EN238" s="360"/>
      <c r="EO238" s="360"/>
      <c r="EP238" s="360"/>
      <c r="EQ238" s="360"/>
    </row>
    <row r="239" spans="1:147" x14ac:dyDescent="0.35">
      <c r="A239" s="236" t="s">
        <v>1254</v>
      </c>
      <c r="B239" s="5" t="s">
        <v>1243</v>
      </c>
      <c r="C239" s="5" t="s">
        <v>788</v>
      </c>
      <c r="D239" s="5" t="s">
        <v>1247</v>
      </c>
      <c r="E239" s="5" t="s">
        <v>1248</v>
      </c>
      <c r="F239" s="5" t="s">
        <v>455</v>
      </c>
      <c r="G239" s="47" t="s">
        <v>1255</v>
      </c>
      <c r="H239" s="237" t="s">
        <v>981</v>
      </c>
      <c r="I239" s="101">
        <v>1823.76</v>
      </c>
      <c r="J239" s="101">
        <v>1821.35</v>
      </c>
      <c r="K239" s="101">
        <v>1818.94</v>
      </c>
      <c r="L239" s="101">
        <f t="shared" si="242"/>
        <v>1816.5450000000001</v>
      </c>
      <c r="M239" s="101">
        <f t="shared" si="243"/>
        <v>1814.15</v>
      </c>
      <c r="N239" s="101">
        <f t="shared" si="244"/>
        <v>1811.7550000000001</v>
      </c>
      <c r="O239" s="101">
        <v>1809.36</v>
      </c>
      <c r="P239" s="93">
        <v>0</v>
      </c>
      <c r="Q239" s="101">
        <v>18.260000000000002</v>
      </c>
      <c r="R239" s="101">
        <v>18.260000000000002</v>
      </c>
      <c r="S239" s="101">
        <v>18.260000000000002</v>
      </c>
      <c r="T239" s="101">
        <v>18.260000000000002</v>
      </c>
      <c r="U239" s="101">
        <v>18.260000000000002</v>
      </c>
      <c r="V239" s="101">
        <v>18.260000000000002</v>
      </c>
      <c r="W239" s="101">
        <v>18.260000000000002</v>
      </c>
      <c r="X239" s="101">
        <v>0.63</v>
      </c>
      <c r="Y239" s="101">
        <v>0.63</v>
      </c>
      <c r="Z239" s="101">
        <v>0.63</v>
      </c>
      <c r="AA239" s="101">
        <v>0.63</v>
      </c>
      <c r="AB239" s="101">
        <v>0.63</v>
      </c>
      <c r="AC239" s="101">
        <v>0.63</v>
      </c>
      <c r="AD239" s="101">
        <v>0.63</v>
      </c>
      <c r="AE239" s="186">
        <v>0.08</v>
      </c>
      <c r="AF239" s="93">
        <v>0</v>
      </c>
      <c r="AG239" s="93">
        <v>30</v>
      </c>
      <c r="AH239" s="93">
        <v>30</v>
      </c>
      <c r="AI239" s="16">
        <v>29</v>
      </c>
      <c r="AJ239" s="16" t="s">
        <v>1241</v>
      </c>
      <c r="AK239" s="16" t="s">
        <v>745</v>
      </c>
      <c r="AL239" s="16">
        <v>0.5</v>
      </c>
      <c r="AM239" s="60"/>
      <c r="AN239" s="60"/>
      <c r="AO239" s="60"/>
      <c r="AP239" s="60"/>
      <c r="AQ239" s="60"/>
      <c r="AR239" s="60"/>
      <c r="AS239" s="63"/>
      <c r="AT239" s="63"/>
      <c r="AU239" s="63"/>
      <c r="AV239" s="131"/>
      <c r="AW239" s="131"/>
      <c r="AX239" s="131"/>
      <c r="AY239" s="27" t="s">
        <v>662</v>
      </c>
      <c r="AZ239" s="27"/>
      <c r="BA239" s="27"/>
      <c r="BB239" s="30"/>
      <c r="BC239" s="30"/>
      <c r="BD239" s="30"/>
      <c r="BE239" s="30"/>
      <c r="BF239" s="30"/>
      <c r="BG239" s="30"/>
      <c r="BH239" s="107"/>
      <c r="BI239" s="107"/>
      <c r="BJ239" s="107"/>
      <c r="BK239" s="107"/>
      <c r="BL239" s="136">
        <v>1</v>
      </c>
      <c r="BM239" s="122"/>
      <c r="BN239" s="196">
        <v>3.9</v>
      </c>
      <c r="BO239" s="186">
        <v>3.9</v>
      </c>
      <c r="BP239" s="93"/>
      <c r="BQ239" s="93"/>
      <c r="BR239" s="93"/>
      <c r="BS239" s="93"/>
      <c r="BT239" s="93"/>
      <c r="BU239" s="27">
        <f t="shared" si="248"/>
        <v>3.9</v>
      </c>
      <c r="BV239" s="27"/>
      <c r="BW239" s="27"/>
      <c r="BX239" s="27"/>
      <c r="BY239" s="27"/>
      <c r="BZ239" s="27"/>
      <c r="CA239" s="27"/>
      <c r="CB239" s="97">
        <f>BN239</f>
        <v>3.9</v>
      </c>
      <c r="CC239" s="97">
        <f t="shared" si="245"/>
        <v>1.95</v>
      </c>
      <c r="CD239" s="97"/>
      <c r="CE239" s="97">
        <v>0</v>
      </c>
      <c r="CF239" s="97">
        <v>0</v>
      </c>
      <c r="CG239" s="97">
        <v>0</v>
      </c>
      <c r="CH239" s="97">
        <v>0</v>
      </c>
      <c r="CI239" s="173"/>
      <c r="CJ239" s="173"/>
      <c r="CK239" s="173"/>
      <c r="CL239" s="173"/>
      <c r="CM239" s="173"/>
      <c r="CN239" s="173"/>
      <c r="CO239" s="173"/>
      <c r="CP239" s="174"/>
      <c r="CQ239" s="174"/>
      <c r="CR239" s="174"/>
      <c r="CS239" s="174"/>
      <c r="CT239" s="174"/>
      <c r="CU239" s="174"/>
      <c r="CV239" s="174"/>
      <c r="CW239" s="165"/>
      <c r="CX239" s="166"/>
      <c r="CY239" s="166">
        <v>1</v>
      </c>
      <c r="CZ239" s="166">
        <v>1</v>
      </c>
      <c r="DA239" s="166">
        <v>1</v>
      </c>
      <c r="DB239" s="166">
        <v>1</v>
      </c>
      <c r="DC239" s="166">
        <v>1</v>
      </c>
      <c r="DD239" s="171"/>
      <c r="DE239" s="171"/>
      <c r="DF239" s="171"/>
      <c r="DG239" s="171"/>
      <c r="DH239" s="171"/>
      <c r="DI239" s="171"/>
      <c r="DJ239" s="171"/>
      <c r="DK239" s="79" t="s">
        <v>415</v>
      </c>
      <c r="DL239" s="128"/>
      <c r="DM239" s="128"/>
      <c r="DN239" s="128"/>
      <c r="DO239" s="128"/>
      <c r="DP239" s="128"/>
      <c r="DQ239" s="128"/>
      <c r="DR239" s="128"/>
      <c r="DS239" s="218"/>
      <c r="DT239" s="360"/>
      <c r="DU239" s="360"/>
      <c r="DV239" s="360"/>
      <c r="DW239" s="360"/>
      <c r="DX239" s="360"/>
      <c r="DY239" s="360"/>
      <c r="DZ239" s="360"/>
      <c r="EA239" s="360"/>
      <c r="EB239" s="360"/>
      <c r="EC239" s="360"/>
      <c r="ED239" s="360"/>
      <c r="EE239" s="360"/>
      <c r="EF239" s="360"/>
      <c r="EG239" s="360"/>
      <c r="EH239" s="360"/>
      <c r="EI239" s="360"/>
      <c r="EJ239" s="360"/>
      <c r="EK239" s="360"/>
      <c r="EL239" s="360"/>
      <c r="EM239" s="360"/>
      <c r="EN239" s="360"/>
      <c r="EO239" s="360"/>
      <c r="EP239" s="360"/>
      <c r="EQ239" s="360"/>
    </row>
    <row r="240" spans="1:147" x14ac:dyDescent="0.35">
      <c r="A240" s="234" t="s">
        <v>1256</v>
      </c>
      <c r="B240" s="6" t="s">
        <v>1243</v>
      </c>
      <c r="C240" s="6" t="s">
        <v>788</v>
      </c>
      <c r="D240" s="6" t="s">
        <v>1247</v>
      </c>
      <c r="E240" s="6" t="s">
        <v>1248</v>
      </c>
      <c r="F240" s="6" t="s">
        <v>455</v>
      </c>
      <c r="G240" s="48" t="s">
        <v>1257</v>
      </c>
      <c r="H240" s="235" t="s">
        <v>981</v>
      </c>
      <c r="I240" s="102">
        <v>2345.9899999999998</v>
      </c>
      <c r="J240" s="102">
        <v>2296.7399999999998</v>
      </c>
      <c r="K240" s="102">
        <v>2247.48</v>
      </c>
      <c r="L240" s="101">
        <f t="shared" si="242"/>
        <v>2210.0050000000001</v>
      </c>
      <c r="M240" s="101">
        <f t="shared" si="243"/>
        <v>2172.5299999999997</v>
      </c>
      <c r="N240" s="101">
        <f t="shared" si="244"/>
        <v>2135.0549999999998</v>
      </c>
      <c r="O240" s="102">
        <v>2097.58</v>
      </c>
      <c r="P240" s="94">
        <v>0</v>
      </c>
      <c r="Q240" s="102">
        <v>55.68</v>
      </c>
      <c r="R240" s="102">
        <v>55.68</v>
      </c>
      <c r="S240" s="102">
        <v>55.68</v>
      </c>
      <c r="T240" s="102">
        <v>55.68</v>
      </c>
      <c r="U240" s="102">
        <v>55.68</v>
      </c>
      <c r="V240" s="102">
        <v>55.68</v>
      </c>
      <c r="W240" s="102">
        <v>55.68</v>
      </c>
      <c r="X240" s="102">
        <v>1.77</v>
      </c>
      <c r="Y240" s="102">
        <v>1.77</v>
      </c>
      <c r="Z240" s="102">
        <v>1.77</v>
      </c>
      <c r="AA240" s="102">
        <v>1.77</v>
      </c>
      <c r="AB240" s="102">
        <v>1.77</v>
      </c>
      <c r="AC240" s="102">
        <v>1.77</v>
      </c>
      <c r="AD240" s="102">
        <v>1.77</v>
      </c>
      <c r="AE240" s="186">
        <v>0.08</v>
      </c>
      <c r="AF240" s="94">
        <v>0</v>
      </c>
      <c r="AG240" s="94">
        <v>30</v>
      </c>
      <c r="AH240" s="94">
        <v>30</v>
      </c>
      <c r="AI240" s="17">
        <v>28</v>
      </c>
      <c r="AJ240" s="17" t="s">
        <v>1241</v>
      </c>
      <c r="AK240" s="17" t="s">
        <v>745</v>
      </c>
      <c r="AL240" s="17">
        <v>0.45</v>
      </c>
      <c r="AM240" s="61"/>
      <c r="AN240" s="61"/>
      <c r="AO240" s="61"/>
      <c r="AP240" s="61"/>
      <c r="AQ240" s="61"/>
      <c r="AR240" s="61"/>
      <c r="AS240" s="64"/>
      <c r="AT240" s="64"/>
      <c r="AU240" s="64"/>
      <c r="AV240" s="132"/>
      <c r="AW240" s="132"/>
      <c r="AX240" s="132"/>
      <c r="AY240" s="28" t="s">
        <v>662</v>
      </c>
      <c r="AZ240" s="28"/>
      <c r="BA240" s="28"/>
      <c r="BB240" s="28"/>
      <c r="BC240" s="28"/>
      <c r="BD240" s="28"/>
      <c r="BE240" s="28"/>
      <c r="BF240" s="28"/>
      <c r="BG240" s="28"/>
      <c r="BH240" s="106"/>
      <c r="BI240" s="106"/>
      <c r="BJ240" s="106"/>
      <c r="BK240" s="106"/>
      <c r="BL240" s="137"/>
      <c r="BM240" s="123"/>
      <c r="BN240" s="139">
        <v>0</v>
      </c>
      <c r="BO240" s="94"/>
      <c r="BP240" s="94"/>
      <c r="BQ240" s="94"/>
      <c r="BR240" s="94"/>
      <c r="BS240" s="94"/>
      <c r="BT240" s="94"/>
      <c r="BU240" s="28">
        <f t="shared" si="248"/>
        <v>0</v>
      </c>
      <c r="BV240" s="28"/>
      <c r="BW240" s="28"/>
      <c r="BX240" s="28"/>
      <c r="BY240" s="28"/>
      <c r="BZ240" s="28"/>
      <c r="CA240" s="28"/>
      <c r="CB240" s="99">
        <v>0</v>
      </c>
      <c r="CC240" s="99">
        <f t="shared" si="245"/>
        <v>0</v>
      </c>
      <c r="CD240" s="99"/>
      <c r="CE240" s="99">
        <v>0</v>
      </c>
      <c r="CF240" s="99">
        <v>0</v>
      </c>
      <c r="CG240" s="99">
        <v>0</v>
      </c>
      <c r="CH240" s="99">
        <v>0</v>
      </c>
      <c r="CI240" s="175"/>
      <c r="CJ240" s="175"/>
      <c r="CK240" s="175"/>
      <c r="CL240" s="175"/>
      <c r="CM240" s="175"/>
      <c r="CN240" s="175"/>
      <c r="CO240" s="175"/>
      <c r="CP240" s="176"/>
      <c r="CQ240" s="176"/>
      <c r="CR240" s="176"/>
      <c r="CS240" s="176"/>
      <c r="CT240" s="176"/>
      <c r="CU240" s="176"/>
      <c r="CV240" s="176"/>
      <c r="CW240" s="167"/>
      <c r="CX240" s="168"/>
      <c r="CY240" s="168">
        <v>1</v>
      </c>
      <c r="CZ240" s="168">
        <v>1</v>
      </c>
      <c r="DA240" s="168">
        <v>1</v>
      </c>
      <c r="DB240" s="168">
        <v>1</v>
      </c>
      <c r="DC240" s="168">
        <v>1</v>
      </c>
      <c r="DD240" s="172"/>
      <c r="DE240" s="172"/>
      <c r="DF240" s="172"/>
      <c r="DG240" s="172"/>
      <c r="DH240" s="172"/>
      <c r="DI240" s="172"/>
      <c r="DJ240" s="172"/>
      <c r="DK240" s="80" t="s">
        <v>415</v>
      </c>
      <c r="DL240" s="129"/>
      <c r="DM240" s="129"/>
      <c r="DN240" s="129"/>
      <c r="DO240" s="129"/>
      <c r="DP240" s="129"/>
      <c r="DQ240" s="129"/>
      <c r="DR240" s="129"/>
      <c r="DS240" s="218"/>
      <c r="DT240" s="360"/>
      <c r="DU240" s="360"/>
      <c r="DV240" s="360"/>
      <c r="DW240" s="360"/>
      <c r="DX240" s="360"/>
      <c r="DY240" s="360"/>
      <c r="DZ240" s="360"/>
      <c r="EA240" s="360"/>
      <c r="EB240" s="360"/>
      <c r="EC240" s="360"/>
      <c r="ED240" s="360"/>
      <c r="EE240" s="360"/>
      <c r="EF240" s="360"/>
      <c r="EG240" s="360"/>
      <c r="EH240" s="360"/>
      <c r="EI240" s="360"/>
      <c r="EJ240" s="360"/>
      <c r="EK240" s="360"/>
      <c r="EL240" s="360"/>
      <c r="EM240" s="360"/>
      <c r="EN240" s="360"/>
      <c r="EO240" s="360"/>
      <c r="EP240" s="360"/>
      <c r="EQ240" s="360"/>
    </row>
    <row r="241" spans="1:147" x14ac:dyDescent="0.35">
      <c r="A241" s="236" t="s">
        <v>1258</v>
      </c>
      <c r="B241" s="5" t="s">
        <v>1243</v>
      </c>
      <c r="C241" s="5" t="s">
        <v>788</v>
      </c>
      <c r="D241" s="5" t="s">
        <v>1247</v>
      </c>
      <c r="E241" s="5" t="s">
        <v>1248</v>
      </c>
      <c r="F241" s="5" t="s">
        <v>455</v>
      </c>
      <c r="G241" s="47" t="s">
        <v>1259</v>
      </c>
      <c r="H241" s="237" t="s">
        <v>981</v>
      </c>
      <c r="I241" s="101">
        <v>899.15</v>
      </c>
      <c r="J241" s="101">
        <v>897.97</v>
      </c>
      <c r="K241" s="101">
        <v>896.78</v>
      </c>
      <c r="L241" s="101">
        <f t="shared" si="242"/>
        <v>895.59749999999997</v>
      </c>
      <c r="M241" s="101">
        <f t="shared" si="243"/>
        <v>894.41499999999996</v>
      </c>
      <c r="N241" s="101">
        <f t="shared" si="244"/>
        <v>893.23249999999996</v>
      </c>
      <c r="O241" s="101">
        <v>892.05</v>
      </c>
      <c r="P241" s="93">
        <v>0</v>
      </c>
      <c r="Q241" s="101">
        <v>11.27</v>
      </c>
      <c r="R241" s="101">
        <v>11.27</v>
      </c>
      <c r="S241" s="101">
        <v>11.27</v>
      </c>
      <c r="T241" s="101">
        <v>11.27</v>
      </c>
      <c r="U241" s="101">
        <v>11.27</v>
      </c>
      <c r="V241" s="101">
        <v>11.27</v>
      </c>
      <c r="W241" s="101">
        <v>11.27</v>
      </c>
      <c r="X241" s="101">
        <v>0.45</v>
      </c>
      <c r="Y241" s="101">
        <v>0.45</v>
      </c>
      <c r="Z241" s="101">
        <v>0.45</v>
      </c>
      <c r="AA241" s="101">
        <v>0.45</v>
      </c>
      <c r="AB241" s="101">
        <v>0.45</v>
      </c>
      <c r="AC241" s="101">
        <v>0.45</v>
      </c>
      <c r="AD241" s="101">
        <v>0.45</v>
      </c>
      <c r="AE241" s="186">
        <v>0.08</v>
      </c>
      <c r="AF241" s="93">
        <v>0</v>
      </c>
      <c r="AG241" s="93">
        <v>25</v>
      </c>
      <c r="AH241" s="93">
        <v>25</v>
      </c>
      <c r="AI241" s="16">
        <v>29</v>
      </c>
      <c r="AJ241" s="16" t="s">
        <v>1241</v>
      </c>
      <c r="AK241" s="16" t="s">
        <v>745</v>
      </c>
      <c r="AL241" s="16">
        <v>0.8</v>
      </c>
      <c r="AM241" s="60"/>
      <c r="AN241" s="60"/>
      <c r="AO241" s="60"/>
      <c r="AP241" s="60"/>
      <c r="AQ241" s="60"/>
      <c r="AR241" s="60"/>
      <c r="AS241" s="63"/>
      <c r="AT241" s="63"/>
      <c r="AU241" s="63"/>
      <c r="AV241" s="131"/>
      <c r="AW241" s="131"/>
      <c r="AX241" s="131"/>
      <c r="AY241" s="27" t="s">
        <v>662</v>
      </c>
      <c r="AZ241" s="27"/>
      <c r="BA241" s="27"/>
      <c r="BB241" s="30"/>
      <c r="BC241" s="30"/>
      <c r="BD241" s="30"/>
      <c r="BE241" s="30"/>
      <c r="BF241" s="30"/>
      <c r="BG241" s="30"/>
      <c r="BH241" s="107"/>
      <c r="BI241" s="107"/>
      <c r="BJ241" s="107"/>
      <c r="BK241" s="107"/>
      <c r="BL241" s="136"/>
      <c r="BM241" s="122"/>
      <c r="BN241" s="138">
        <v>7.6</v>
      </c>
      <c r="BO241" s="93">
        <v>1.3</v>
      </c>
      <c r="BP241" s="93">
        <v>2.1</v>
      </c>
      <c r="BQ241" s="93">
        <v>2.1</v>
      </c>
      <c r="BR241" s="93">
        <v>2.1</v>
      </c>
      <c r="BS241" s="93"/>
      <c r="BT241" s="93"/>
      <c r="BU241" s="27">
        <f t="shared" si="248"/>
        <v>0</v>
      </c>
      <c r="BV241" s="27"/>
      <c r="BW241" s="27"/>
      <c r="BX241" s="27"/>
      <c r="BY241" s="27"/>
      <c r="BZ241" s="27"/>
      <c r="CA241" s="27"/>
      <c r="CB241" s="97">
        <v>8.23</v>
      </c>
      <c r="CC241" s="97">
        <f t="shared" si="245"/>
        <v>19.12</v>
      </c>
      <c r="CD241" s="97">
        <v>30</v>
      </c>
      <c r="CE241" s="97">
        <f t="shared" ref="CE241:CE260" si="249">ROUND((CD241+CF241)/2,2)</f>
        <v>30</v>
      </c>
      <c r="CF241" s="97">
        <f t="shared" ref="CF241:CF260" si="250">ROUND((CD241+CH241)/2,2)</f>
        <v>30</v>
      </c>
      <c r="CG241" s="97">
        <f t="shared" ref="CG241:CG260" si="251">ROUND((CF241+CH241)/2,2)</f>
        <v>30</v>
      </c>
      <c r="CH241" s="97">
        <v>30</v>
      </c>
      <c r="CI241" s="173"/>
      <c r="CJ241" s="173"/>
      <c r="CK241" s="173"/>
      <c r="CL241" s="173"/>
      <c r="CM241" s="173"/>
      <c r="CN241" s="173"/>
      <c r="CO241" s="173"/>
      <c r="CP241" s="174"/>
      <c r="CQ241" s="174"/>
      <c r="CR241" s="174"/>
      <c r="CS241" s="174"/>
      <c r="CT241" s="174"/>
      <c r="CU241" s="174"/>
      <c r="CV241" s="174"/>
      <c r="CW241" s="165"/>
      <c r="CX241" s="166"/>
      <c r="CY241" s="166"/>
      <c r="CZ241" s="166"/>
      <c r="DA241" s="166"/>
      <c r="DB241" s="166"/>
      <c r="DC241" s="166"/>
      <c r="DD241" s="171"/>
      <c r="DE241" s="171"/>
      <c r="DF241" s="171"/>
      <c r="DG241" s="171"/>
      <c r="DH241" s="171"/>
      <c r="DI241" s="171"/>
      <c r="DJ241" s="171"/>
      <c r="DK241" s="79" t="s">
        <v>415</v>
      </c>
      <c r="DL241" s="128"/>
      <c r="DM241" s="128"/>
      <c r="DN241" s="128"/>
      <c r="DO241" s="128"/>
      <c r="DP241" s="128"/>
      <c r="DQ241" s="128"/>
      <c r="DR241" s="128"/>
      <c r="DS241" s="218"/>
      <c r="DT241" s="360"/>
      <c r="DU241" s="360"/>
      <c r="DV241" s="360"/>
      <c r="DW241" s="360"/>
      <c r="DX241" s="360"/>
      <c r="DY241" s="360"/>
      <c r="DZ241" s="360"/>
      <c r="EA241" s="360"/>
      <c r="EB241" s="360"/>
      <c r="EC241" s="360"/>
      <c r="ED241" s="360"/>
      <c r="EE241" s="360"/>
      <c r="EF241" s="360"/>
      <c r="EG241" s="360"/>
      <c r="EH241" s="360"/>
      <c r="EI241" s="360"/>
      <c r="EJ241" s="360"/>
      <c r="EK241" s="360"/>
      <c r="EL241" s="360"/>
      <c r="EM241" s="360"/>
      <c r="EN241" s="360"/>
      <c r="EO241" s="360"/>
      <c r="EP241" s="360"/>
      <c r="EQ241" s="360"/>
    </row>
    <row r="242" spans="1:147" x14ac:dyDescent="0.35">
      <c r="A242" s="234" t="s">
        <v>1260</v>
      </c>
      <c r="B242" s="6" t="s">
        <v>1243</v>
      </c>
      <c r="C242" s="6" t="s">
        <v>788</v>
      </c>
      <c r="D242" s="6" t="s">
        <v>1247</v>
      </c>
      <c r="E242" s="6" t="s">
        <v>1248</v>
      </c>
      <c r="F242" s="6" t="s">
        <v>455</v>
      </c>
      <c r="G242" s="48" t="s">
        <v>1261</v>
      </c>
      <c r="H242" s="235" t="s">
        <v>981</v>
      </c>
      <c r="I242" s="102">
        <v>1400</v>
      </c>
      <c r="J242" s="102">
        <f>(K242+I242)/2</f>
        <v>1395</v>
      </c>
      <c r="K242" s="102">
        <v>1390</v>
      </c>
      <c r="L242" s="102">
        <f t="shared" si="242"/>
        <v>1362.5</v>
      </c>
      <c r="M242" s="102">
        <f t="shared" si="243"/>
        <v>1335</v>
      </c>
      <c r="N242" s="102">
        <f t="shared" si="244"/>
        <v>1307.5</v>
      </c>
      <c r="O242" s="102">
        <v>1280</v>
      </c>
      <c r="P242" s="94">
        <v>0</v>
      </c>
      <c r="Q242" s="102">
        <v>30.43</v>
      </c>
      <c r="R242" s="102">
        <v>30.43</v>
      </c>
      <c r="S242" s="102">
        <v>30.43</v>
      </c>
      <c r="T242" s="102">
        <v>30.43</v>
      </c>
      <c r="U242" s="102">
        <v>30.43</v>
      </c>
      <c r="V242" s="102">
        <v>30.43</v>
      </c>
      <c r="W242" s="102">
        <v>30.43</v>
      </c>
      <c r="X242" s="102">
        <v>1.2</v>
      </c>
      <c r="Y242" s="102">
        <v>1.2</v>
      </c>
      <c r="Z242" s="102">
        <v>1.2</v>
      </c>
      <c r="AA242" s="102">
        <v>1.2</v>
      </c>
      <c r="AB242" s="102">
        <v>1.2</v>
      </c>
      <c r="AC242" s="102">
        <v>1.2</v>
      </c>
      <c r="AD242" s="102">
        <v>1.2</v>
      </c>
      <c r="AE242" s="186">
        <v>0.08</v>
      </c>
      <c r="AF242" s="94">
        <v>0</v>
      </c>
      <c r="AG242" s="94">
        <v>25</v>
      </c>
      <c r="AH242" s="94">
        <v>25</v>
      </c>
      <c r="AI242" s="17">
        <v>28</v>
      </c>
      <c r="AJ242" s="17" t="s">
        <v>1241</v>
      </c>
      <c r="AK242" s="17" t="s">
        <v>745</v>
      </c>
      <c r="AL242" s="17">
        <v>0.7</v>
      </c>
      <c r="AM242" s="61"/>
      <c r="AN242" s="61"/>
      <c r="AO242" s="61"/>
      <c r="AP242" s="61"/>
      <c r="AQ242" s="61"/>
      <c r="AR242" s="61"/>
      <c r="AS242" s="64"/>
      <c r="AT242" s="64"/>
      <c r="AU242" s="64"/>
      <c r="AV242" s="132"/>
      <c r="AW242" s="132"/>
      <c r="AX242" s="132"/>
      <c r="AY242" s="28" t="s">
        <v>662</v>
      </c>
      <c r="AZ242" s="28"/>
      <c r="BA242" s="28"/>
      <c r="BB242" s="28"/>
      <c r="BC242" s="28"/>
      <c r="BD242" s="28"/>
      <c r="BE242" s="28"/>
      <c r="BF242" s="28"/>
      <c r="BG242" s="28"/>
      <c r="BH242" s="106"/>
      <c r="BI242" s="106"/>
      <c r="BJ242" s="106"/>
      <c r="BK242" s="106"/>
      <c r="BL242" s="137"/>
      <c r="BM242" s="123"/>
      <c r="BN242" s="139">
        <v>0</v>
      </c>
      <c r="BO242" s="94"/>
      <c r="BP242" s="94"/>
      <c r="BQ242" s="94"/>
      <c r="BR242" s="94"/>
      <c r="BS242" s="94"/>
      <c r="BT242" s="94"/>
      <c r="BU242" s="28">
        <f t="shared" si="248"/>
        <v>0</v>
      </c>
      <c r="BV242" s="28"/>
      <c r="BW242" s="28"/>
      <c r="BX242" s="28"/>
      <c r="BY242" s="28"/>
      <c r="BZ242" s="28"/>
      <c r="CA242" s="28"/>
      <c r="CB242" s="99">
        <v>0</v>
      </c>
      <c r="CC242" s="99">
        <f t="shared" si="245"/>
        <v>15</v>
      </c>
      <c r="CD242" s="99">
        <v>30</v>
      </c>
      <c r="CE242" s="99">
        <f t="shared" si="249"/>
        <v>30</v>
      </c>
      <c r="CF242" s="99">
        <f t="shared" si="250"/>
        <v>30</v>
      </c>
      <c r="CG242" s="99">
        <f t="shared" si="251"/>
        <v>30</v>
      </c>
      <c r="CH242" s="99">
        <v>30</v>
      </c>
      <c r="CI242" s="175"/>
      <c r="CJ242" s="175"/>
      <c r="CK242" s="175"/>
      <c r="CL242" s="175"/>
      <c r="CM242" s="175"/>
      <c r="CN242" s="175"/>
      <c r="CO242" s="175"/>
      <c r="CP242" s="176"/>
      <c r="CQ242" s="176"/>
      <c r="CR242" s="176"/>
      <c r="CS242" s="176"/>
      <c r="CT242" s="176"/>
      <c r="CU242" s="176"/>
      <c r="CV242" s="176"/>
      <c r="CW242" s="167"/>
      <c r="CX242" s="168"/>
      <c r="CY242" s="168"/>
      <c r="CZ242" s="168"/>
      <c r="DA242" s="168"/>
      <c r="DB242" s="168"/>
      <c r="DC242" s="168"/>
      <c r="DD242" s="172"/>
      <c r="DE242" s="172"/>
      <c r="DF242" s="172"/>
      <c r="DG242" s="172"/>
      <c r="DH242" s="172"/>
      <c r="DI242" s="172"/>
      <c r="DJ242" s="172"/>
      <c r="DK242" s="80" t="s">
        <v>415</v>
      </c>
      <c r="DL242" s="129"/>
      <c r="DM242" s="129"/>
      <c r="DN242" s="129"/>
      <c r="DO242" s="129"/>
      <c r="DP242" s="129"/>
      <c r="DQ242" s="129"/>
      <c r="DR242" s="129"/>
      <c r="DS242" s="218"/>
      <c r="DT242" s="360"/>
      <c r="DU242" s="360"/>
      <c r="DV242" s="360"/>
      <c r="DW242" s="360"/>
      <c r="DX242" s="360"/>
      <c r="DY242" s="360"/>
      <c r="DZ242" s="360"/>
      <c r="EA242" s="360"/>
      <c r="EB242" s="360"/>
      <c r="EC242" s="360"/>
      <c r="ED242" s="360"/>
      <c r="EE242" s="360"/>
      <c r="EF242" s="360"/>
      <c r="EG242" s="360"/>
      <c r="EH242" s="360"/>
      <c r="EI242" s="360"/>
      <c r="EJ242" s="360"/>
      <c r="EK242" s="360"/>
      <c r="EL242" s="360"/>
      <c r="EM242" s="360"/>
      <c r="EN242" s="360"/>
      <c r="EO242" s="360"/>
      <c r="EP242" s="360"/>
      <c r="EQ242" s="360"/>
    </row>
    <row r="243" spans="1:147" x14ac:dyDescent="0.35">
      <c r="A243" s="236" t="s">
        <v>1262</v>
      </c>
      <c r="B243" s="5" t="s">
        <v>1243</v>
      </c>
      <c r="C243" s="5" t="s">
        <v>788</v>
      </c>
      <c r="D243" s="5" t="s">
        <v>1247</v>
      </c>
      <c r="E243" s="5" t="s">
        <v>1248</v>
      </c>
      <c r="F243" s="5" t="s">
        <v>455</v>
      </c>
      <c r="G243" s="47" t="s">
        <v>1263</v>
      </c>
      <c r="H243" s="237" t="s">
        <v>981</v>
      </c>
      <c r="I243" s="101">
        <v>899.15</v>
      </c>
      <c r="J243" s="101">
        <v>897.97</v>
      </c>
      <c r="K243" s="101">
        <v>896.78</v>
      </c>
      <c r="L243" s="101">
        <f t="shared" si="242"/>
        <v>895.59749999999997</v>
      </c>
      <c r="M243" s="101">
        <f t="shared" si="243"/>
        <v>894.41499999999996</v>
      </c>
      <c r="N243" s="101">
        <f t="shared" si="244"/>
        <v>893.23249999999996</v>
      </c>
      <c r="O243" s="101">
        <v>892.05</v>
      </c>
      <c r="P243" s="93">
        <v>0</v>
      </c>
      <c r="Q243" s="101">
        <v>11.27</v>
      </c>
      <c r="R243" s="101">
        <v>11.27</v>
      </c>
      <c r="S243" s="101">
        <v>11.27</v>
      </c>
      <c r="T243" s="101">
        <v>11.27</v>
      </c>
      <c r="U243" s="101">
        <v>11.27</v>
      </c>
      <c r="V243" s="101">
        <v>11.27</v>
      </c>
      <c r="W243" s="101">
        <v>11.27</v>
      </c>
      <c r="X243" s="101">
        <v>0.45</v>
      </c>
      <c r="Y243" s="101">
        <v>0.45</v>
      </c>
      <c r="Z243" s="101">
        <v>0.45</v>
      </c>
      <c r="AA243" s="101">
        <v>0.45</v>
      </c>
      <c r="AB243" s="101">
        <v>0.45</v>
      </c>
      <c r="AC243" s="101">
        <v>0.45</v>
      </c>
      <c r="AD243" s="101">
        <v>0.45</v>
      </c>
      <c r="AE243" s="186">
        <v>0.08</v>
      </c>
      <c r="AF243" s="93">
        <v>0</v>
      </c>
      <c r="AG243" s="93">
        <v>25</v>
      </c>
      <c r="AH243" s="93">
        <v>25</v>
      </c>
      <c r="AI243" s="16">
        <v>29</v>
      </c>
      <c r="AJ243" s="16" t="s">
        <v>1241</v>
      </c>
      <c r="AK243" s="16" t="s">
        <v>745</v>
      </c>
      <c r="AL243" s="16">
        <v>0.8</v>
      </c>
      <c r="AM243" s="60"/>
      <c r="AN243" s="60"/>
      <c r="AO243" s="60"/>
      <c r="AP243" s="60"/>
      <c r="AQ243" s="60"/>
      <c r="AR243" s="60"/>
      <c r="AS243" s="63"/>
      <c r="AT243" s="63"/>
      <c r="AU243" s="63"/>
      <c r="AV243" s="131"/>
      <c r="AW243" s="131"/>
      <c r="AX243" s="131"/>
      <c r="AY243" s="27" t="s">
        <v>662</v>
      </c>
      <c r="AZ243" s="27"/>
      <c r="BA243" s="27"/>
      <c r="BB243" s="30"/>
      <c r="BC243" s="30"/>
      <c r="BD243" s="30"/>
      <c r="BE243" s="30"/>
      <c r="BF243" s="30"/>
      <c r="BG243" s="30"/>
      <c r="BH243" s="107"/>
      <c r="BI243" s="107"/>
      <c r="BJ243" s="107"/>
      <c r="BK243" s="107"/>
      <c r="BL243" s="136"/>
      <c r="BM243" s="122"/>
      <c r="BN243" s="138">
        <v>0.84</v>
      </c>
      <c r="BO243" s="93"/>
      <c r="BP243" s="93">
        <v>0.42</v>
      </c>
      <c r="BQ243" s="93"/>
      <c r="BR243" s="93">
        <v>0.42</v>
      </c>
      <c r="BS243" s="93"/>
      <c r="BT243" s="93"/>
      <c r="BU243" s="27">
        <f t="shared" si="248"/>
        <v>0</v>
      </c>
      <c r="BV243" s="27"/>
      <c r="BW243" s="27"/>
      <c r="BX243" s="27"/>
      <c r="BY243" s="27"/>
      <c r="BZ243" s="27"/>
      <c r="CA243" s="27"/>
      <c r="CB243" s="97">
        <v>0.84</v>
      </c>
      <c r="CC243" s="97">
        <f t="shared" si="245"/>
        <v>2.92</v>
      </c>
      <c r="CD243" s="97">
        <v>5</v>
      </c>
      <c r="CE243" s="97">
        <f t="shared" si="249"/>
        <v>5</v>
      </c>
      <c r="CF243" s="97">
        <f t="shared" si="250"/>
        <v>5</v>
      </c>
      <c r="CG243" s="97">
        <f t="shared" si="251"/>
        <v>5</v>
      </c>
      <c r="CH243" s="97">
        <v>5</v>
      </c>
      <c r="CI243" s="173"/>
      <c r="CJ243" s="173"/>
      <c r="CK243" s="173"/>
      <c r="CL243" s="173"/>
      <c r="CM243" s="173"/>
      <c r="CN243" s="173"/>
      <c r="CO243" s="173"/>
      <c r="CP243" s="174"/>
      <c r="CQ243" s="174"/>
      <c r="CR243" s="174"/>
      <c r="CS243" s="174"/>
      <c r="CT243" s="174"/>
      <c r="CU243" s="174"/>
      <c r="CV243" s="174"/>
      <c r="CW243" s="165"/>
      <c r="CX243" s="166"/>
      <c r="CY243" s="166"/>
      <c r="CZ243" s="166"/>
      <c r="DA243" s="166"/>
      <c r="DB243" s="166"/>
      <c r="DC243" s="166"/>
      <c r="DD243" s="171"/>
      <c r="DE243" s="171"/>
      <c r="DF243" s="171"/>
      <c r="DG243" s="171"/>
      <c r="DH243" s="171"/>
      <c r="DI243" s="171"/>
      <c r="DJ243" s="171"/>
      <c r="DK243" s="79" t="s">
        <v>415</v>
      </c>
      <c r="DL243" s="128"/>
      <c r="DM243" s="128"/>
      <c r="DN243" s="128"/>
      <c r="DO243" s="128"/>
      <c r="DP243" s="128"/>
      <c r="DQ243" s="128"/>
      <c r="DR243" s="128"/>
      <c r="DS243" s="218"/>
      <c r="DT243" s="360"/>
      <c r="DU243" s="360"/>
      <c r="DV243" s="360"/>
      <c r="DW243" s="360"/>
      <c r="DX243" s="360"/>
      <c r="DY243" s="360"/>
      <c r="DZ243" s="360"/>
      <c r="EA243" s="360"/>
      <c r="EB243" s="360"/>
      <c r="EC243" s="360"/>
      <c r="ED243" s="360"/>
      <c r="EE243" s="360"/>
      <c r="EF243" s="360"/>
      <c r="EG243" s="360"/>
      <c r="EH243" s="360"/>
      <c r="EI243" s="360"/>
      <c r="EJ243" s="360"/>
      <c r="EK243" s="360"/>
      <c r="EL243" s="360"/>
      <c r="EM243" s="360"/>
      <c r="EN243" s="360"/>
      <c r="EO243" s="360"/>
      <c r="EP243" s="360"/>
      <c r="EQ243" s="360"/>
    </row>
    <row r="244" spans="1:147" x14ac:dyDescent="0.35">
      <c r="A244" s="234" t="s">
        <v>1264</v>
      </c>
      <c r="B244" s="6" t="s">
        <v>1243</v>
      </c>
      <c r="C244" s="6" t="s">
        <v>788</v>
      </c>
      <c r="D244" s="6" t="s">
        <v>1247</v>
      </c>
      <c r="E244" s="6" t="s">
        <v>1248</v>
      </c>
      <c r="F244" s="6" t="s">
        <v>455</v>
      </c>
      <c r="G244" s="48" t="s">
        <v>1265</v>
      </c>
      <c r="H244" s="235" t="s">
        <v>981</v>
      </c>
      <c r="I244" s="102">
        <v>561.97</v>
      </c>
      <c r="J244" s="102">
        <v>561.23</v>
      </c>
      <c r="K244" s="102">
        <v>560.49</v>
      </c>
      <c r="L244" s="101">
        <f t="shared" si="242"/>
        <v>559.75</v>
      </c>
      <c r="M244" s="101">
        <f t="shared" si="243"/>
        <v>559.01</v>
      </c>
      <c r="N244" s="101">
        <f t="shared" si="244"/>
        <v>558.27</v>
      </c>
      <c r="O244" s="102">
        <v>557.53</v>
      </c>
      <c r="P244" s="94">
        <v>0</v>
      </c>
      <c r="Q244" s="102">
        <v>7.05</v>
      </c>
      <c r="R244" s="102">
        <v>7.05</v>
      </c>
      <c r="S244" s="102">
        <v>7.05</v>
      </c>
      <c r="T244" s="102">
        <v>7.05</v>
      </c>
      <c r="U244" s="102">
        <v>7.05</v>
      </c>
      <c r="V244" s="102">
        <v>7.05</v>
      </c>
      <c r="W244" s="102">
        <v>7.05</v>
      </c>
      <c r="X244" s="102">
        <v>0.28000000000000003</v>
      </c>
      <c r="Y244" s="102">
        <v>0.28000000000000003</v>
      </c>
      <c r="Z244" s="102">
        <v>0.28000000000000003</v>
      </c>
      <c r="AA244" s="102">
        <v>0.28000000000000003</v>
      </c>
      <c r="AB244" s="102">
        <v>0.28000000000000003</v>
      </c>
      <c r="AC244" s="102">
        <v>0.28000000000000003</v>
      </c>
      <c r="AD244" s="102">
        <v>0.28000000000000003</v>
      </c>
      <c r="AE244" s="186">
        <v>0.08</v>
      </c>
      <c r="AF244" s="94">
        <v>0</v>
      </c>
      <c r="AG244" s="94">
        <v>20</v>
      </c>
      <c r="AH244" s="94">
        <v>20</v>
      </c>
      <c r="AI244" s="17">
        <v>29</v>
      </c>
      <c r="AJ244" s="17" t="s">
        <v>1241</v>
      </c>
      <c r="AK244" s="17" t="s">
        <v>745</v>
      </c>
      <c r="AL244" s="17"/>
      <c r="AM244" s="61"/>
      <c r="AN244" s="61"/>
      <c r="AO244" s="61"/>
      <c r="AP244" s="61"/>
      <c r="AQ244" s="61"/>
      <c r="AR244" s="61"/>
      <c r="AS244" s="64"/>
      <c r="AT244" s="64"/>
      <c r="AU244" s="64"/>
      <c r="AV244" s="132"/>
      <c r="AW244" s="132"/>
      <c r="AX244" s="132"/>
      <c r="AY244" s="28" t="s">
        <v>662</v>
      </c>
      <c r="AZ244" s="28"/>
      <c r="BA244" s="28"/>
      <c r="BB244" s="28"/>
      <c r="BC244" s="28"/>
      <c r="BD244" s="28"/>
      <c r="BE244" s="28"/>
      <c r="BF244" s="28"/>
      <c r="BG244" s="28"/>
      <c r="BH244" s="106"/>
      <c r="BI244" s="106"/>
      <c r="BJ244" s="106"/>
      <c r="BK244" s="106"/>
      <c r="BL244" s="137"/>
      <c r="BM244" s="123"/>
      <c r="BN244" s="139"/>
      <c r="BO244" s="94"/>
      <c r="BP244" s="94"/>
      <c r="BQ244" s="94"/>
      <c r="BR244" s="94"/>
      <c r="BS244" s="94"/>
      <c r="BT244" s="94"/>
      <c r="BU244" s="28">
        <f t="shared" si="248"/>
        <v>0</v>
      </c>
      <c r="BV244" s="28"/>
      <c r="BW244" s="28"/>
      <c r="BX244" s="28"/>
      <c r="BY244" s="28"/>
      <c r="BZ244" s="28"/>
      <c r="CA244" s="28"/>
      <c r="CB244" s="99"/>
      <c r="CC244" s="99">
        <f t="shared" si="245"/>
        <v>1</v>
      </c>
      <c r="CD244" s="99">
        <v>2</v>
      </c>
      <c r="CE244" s="99">
        <f t="shared" si="249"/>
        <v>2</v>
      </c>
      <c r="CF244" s="99">
        <f t="shared" si="250"/>
        <v>2</v>
      </c>
      <c r="CG244" s="99">
        <f t="shared" si="251"/>
        <v>2</v>
      </c>
      <c r="CH244" s="99">
        <v>2</v>
      </c>
      <c r="CI244" s="175"/>
      <c r="CJ244" s="175"/>
      <c r="CK244" s="175"/>
      <c r="CL244" s="175"/>
      <c r="CM244" s="175"/>
      <c r="CN244" s="175"/>
      <c r="CO244" s="175"/>
      <c r="CP244" s="176"/>
      <c r="CQ244" s="176"/>
      <c r="CR244" s="176"/>
      <c r="CS244" s="176"/>
      <c r="CT244" s="176"/>
      <c r="CU244" s="176"/>
      <c r="CV244" s="176"/>
      <c r="CW244" s="167"/>
      <c r="CX244" s="168"/>
      <c r="CY244" s="168"/>
      <c r="CZ244" s="168"/>
      <c r="DA244" s="168"/>
      <c r="DB244" s="168"/>
      <c r="DC244" s="168"/>
      <c r="DD244" s="172"/>
      <c r="DE244" s="172"/>
      <c r="DF244" s="172"/>
      <c r="DG244" s="172"/>
      <c r="DH244" s="172"/>
      <c r="DI244" s="172"/>
      <c r="DJ244" s="172"/>
      <c r="DK244" s="80" t="s">
        <v>415</v>
      </c>
      <c r="DL244" s="129"/>
      <c r="DM244" s="129"/>
      <c r="DN244" s="129"/>
      <c r="DO244" s="129"/>
      <c r="DP244" s="129"/>
      <c r="DQ244" s="129"/>
      <c r="DR244" s="129"/>
      <c r="DS244" s="218"/>
      <c r="DT244" s="360"/>
      <c r="DU244" s="360"/>
      <c r="DV244" s="360"/>
      <c r="DW244" s="360"/>
      <c r="DX244" s="360"/>
      <c r="DY244" s="360"/>
      <c r="DZ244" s="360"/>
      <c r="EA244" s="360"/>
      <c r="EB244" s="360"/>
      <c r="EC244" s="360"/>
      <c r="ED244" s="360"/>
      <c r="EE244" s="360"/>
      <c r="EF244" s="360"/>
      <c r="EG244" s="360"/>
      <c r="EH244" s="360"/>
      <c r="EI244" s="360"/>
      <c r="EJ244" s="360"/>
      <c r="EK244" s="360"/>
      <c r="EL244" s="360"/>
      <c r="EM244" s="360"/>
      <c r="EN244" s="360"/>
      <c r="EO244" s="360"/>
      <c r="EP244" s="360"/>
      <c r="EQ244" s="360"/>
    </row>
    <row r="245" spans="1:147" x14ac:dyDescent="0.35">
      <c r="A245" s="236" t="s">
        <v>1266</v>
      </c>
      <c r="B245" s="5" t="s">
        <v>1243</v>
      </c>
      <c r="C245" s="5" t="s">
        <v>788</v>
      </c>
      <c r="D245" s="5" t="s">
        <v>1247</v>
      </c>
      <c r="E245" s="5" t="s">
        <v>1248</v>
      </c>
      <c r="F245" s="5" t="s">
        <v>455</v>
      </c>
      <c r="G245" s="47" t="s">
        <v>1267</v>
      </c>
      <c r="H245" s="237" t="s">
        <v>981</v>
      </c>
      <c r="I245" s="101">
        <v>2200</v>
      </c>
      <c r="J245" s="101">
        <v>2200</v>
      </c>
      <c r="K245" s="101">
        <v>2000</v>
      </c>
      <c r="L245" s="101">
        <f t="shared" si="242"/>
        <v>1800</v>
      </c>
      <c r="M245" s="101">
        <f t="shared" si="243"/>
        <v>1600</v>
      </c>
      <c r="N245" s="101">
        <f t="shared" si="244"/>
        <v>1400</v>
      </c>
      <c r="O245" s="101">
        <v>1200</v>
      </c>
      <c r="P245" s="93">
        <v>0</v>
      </c>
      <c r="Q245" s="101">
        <v>25</v>
      </c>
      <c r="R245" s="101">
        <v>25</v>
      </c>
      <c r="S245" s="101">
        <v>25</v>
      </c>
      <c r="T245" s="101">
        <v>25</v>
      </c>
      <c r="U245" s="101">
        <v>25</v>
      </c>
      <c r="V245" s="101">
        <v>25</v>
      </c>
      <c r="W245" s="101">
        <v>25</v>
      </c>
      <c r="X245" s="101">
        <v>0.12</v>
      </c>
      <c r="Y245" s="101">
        <v>0.12</v>
      </c>
      <c r="Z245" s="101">
        <v>0.12</v>
      </c>
      <c r="AA245" s="101">
        <v>0.12</v>
      </c>
      <c r="AB245" s="101">
        <v>0.12</v>
      </c>
      <c r="AC245" s="101">
        <v>0.12</v>
      </c>
      <c r="AD245" s="101">
        <v>0.12</v>
      </c>
      <c r="AE245" s="186">
        <v>0.08</v>
      </c>
      <c r="AF245" s="93">
        <v>0</v>
      </c>
      <c r="AG245" s="93">
        <v>20</v>
      </c>
      <c r="AH245" s="93">
        <v>20</v>
      </c>
      <c r="AI245" s="16">
        <v>29</v>
      </c>
      <c r="AJ245" s="16" t="s">
        <v>1241</v>
      </c>
      <c r="AK245" s="16" t="s">
        <v>745</v>
      </c>
      <c r="AL245" s="16"/>
      <c r="AM245" s="60"/>
      <c r="AN245" s="60"/>
      <c r="AO245" s="60"/>
      <c r="AP245" s="60"/>
      <c r="AQ245" s="60"/>
      <c r="AR245" s="60"/>
      <c r="AS245" s="63"/>
      <c r="AT245" s="63"/>
      <c r="AU245" s="63"/>
      <c r="AV245" s="131"/>
      <c r="AW245" s="131"/>
      <c r="AX245" s="131"/>
      <c r="AY245" s="27" t="s">
        <v>662</v>
      </c>
      <c r="AZ245" s="27"/>
      <c r="BA245" s="27"/>
      <c r="BB245" s="30"/>
      <c r="BC245" s="30"/>
      <c r="BD245" s="30"/>
      <c r="BE245" s="30"/>
      <c r="BF245" s="30"/>
      <c r="BG245" s="30"/>
      <c r="BH245" s="107"/>
      <c r="BI245" s="107"/>
      <c r="BJ245" s="107"/>
      <c r="BK245" s="107"/>
      <c r="BL245" s="136"/>
      <c r="BM245" s="122"/>
      <c r="BN245" s="138">
        <v>0</v>
      </c>
      <c r="BO245" s="93"/>
      <c r="BP245" s="93"/>
      <c r="BQ245" s="93"/>
      <c r="BR245" s="93"/>
      <c r="BS245" s="93"/>
      <c r="BT245" s="93"/>
      <c r="BU245" s="27">
        <f t="shared" si="248"/>
        <v>0</v>
      </c>
      <c r="BV245" s="27"/>
      <c r="BW245" s="27"/>
      <c r="BX245" s="27"/>
      <c r="BY245" s="27"/>
      <c r="BZ245" s="27"/>
      <c r="CA245" s="27"/>
      <c r="CB245" s="97"/>
      <c r="CC245" s="97"/>
      <c r="CD245" s="97">
        <v>1</v>
      </c>
      <c r="CE245" s="97">
        <f t="shared" si="249"/>
        <v>3.25</v>
      </c>
      <c r="CF245" s="97">
        <f t="shared" si="250"/>
        <v>5.5</v>
      </c>
      <c r="CG245" s="97">
        <f t="shared" si="251"/>
        <v>7.75</v>
      </c>
      <c r="CH245" s="97">
        <v>10</v>
      </c>
      <c r="CI245" s="173"/>
      <c r="CJ245" s="173"/>
      <c r="CK245" s="173"/>
      <c r="CL245" s="173"/>
      <c r="CM245" s="173"/>
      <c r="CN245" s="173"/>
      <c r="CO245" s="173"/>
      <c r="CP245" s="174"/>
      <c r="CQ245" s="174"/>
      <c r="CR245" s="174"/>
      <c r="CS245" s="174"/>
      <c r="CT245" s="174"/>
      <c r="CU245" s="174"/>
      <c r="CV245" s="174"/>
      <c r="CW245" s="165"/>
      <c r="CX245" s="166"/>
      <c r="CY245" s="166"/>
      <c r="CZ245" s="166"/>
      <c r="DA245" s="166"/>
      <c r="DB245" s="166"/>
      <c r="DC245" s="166"/>
      <c r="DD245" s="171"/>
      <c r="DE245" s="171"/>
      <c r="DF245" s="171"/>
      <c r="DG245" s="171"/>
      <c r="DH245" s="171"/>
      <c r="DI245" s="171"/>
      <c r="DJ245" s="171"/>
      <c r="DK245" s="79" t="s">
        <v>1268</v>
      </c>
      <c r="DL245" s="128"/>
      <c r="DM245" s="128"/>
      <c r="DN245" s="128"/>
      <c r="DO245" s="128"/>
      <c r="DP245" s="128"/>
      <c r="DQ245" s="128"/>
      <c r="DR245" s="128"/>
      <c r="DS245" s="218"/>
      <c r="DT245" s="360"/>
      <c r="DU245" s="360"/>
      <c r="DV245" s="360"/>
      <c r="DW245" s="360"/>
      <c r="DX245" s="360"/>
      <c r="DY245" s="360"/>
      <c r="DZ245" s="360"/>
      <c r="EA245" s="360"/>
      <c r="EB245" s="360"/>
      <c r="EC245" s="360"/>
      <c r="ED245" s="360"/>
      <c r="EE245" s="360"/>
      <c r="EF245" s="360"/>
      <c r="EG245" s="360"/>
      <c r="EH245" s="360"/>
      <c r="EI245" s="360"/>
      <c r="EJ245" s="360"/>
      <c r="EK245" s="360"/>
      <c r="EL245" s="360"/>
      <c r="EM245" s="360"/>
      <c r="EN245" s="360"/>
      <c r="EO245" s="360"/>
      <c r="EP245" s="360"/>
      <c r="EQ245" s="360"/>
    </row>
    <row r="246" spans="1:147" x14ac:dyDescent="0.35">
      <c r="A246" s="234" t="s">
        <v>1269</v>
      </c>
      <c r="B246" s="5" t="s">
        <v>1243</v>
      </c>
      <c r="C246" s="5" t="s">
        <v>788</v>
      </c>
      <c r="D246" s="5" t="s">
        <v>1247</v>
      </c>
      <c r="E246" s="5" t="s">
        <v>1248</v>
      </c>
      <c r="F246" s="5" t="s">
        <v>455</v>
      </c>
      <c r="G246" s="47" t="s">
        <v>1270</v>
      </c>
      <c r="H246" s="237" t="s">
        <v>981</v>
      </c>
      <c r="I246" s="101">
        <v>2200</v>
      </c>
      <c r="J246" s="101">
        <v>2200</v>
      </c>
      <c r="K246" s="101">
        <v>700</v>
      </c>
      <c r="L246" s="101">
        <f t="shared" si="242"/>
        <v>645</v>
      </c>
      <c r="M246" s="101">
        <f t="shared" si="243"/>
        <v>590</v>
      </c>
      <c r="N246" s="101">
        <f t="shared" si="244"/>
        <v>535</v>
      </c>
      <c r="O246" s="101">
        <v>480</v>
      </c>
      <c r="P246" s="93">
        <v>0</v>
      </c>
      <c r="Q246" s="101">
        <v>11</v>
      </c>
      <c r="R246" s="101">
        <v>11</v>
      </c>
      <c r="S246" s="101">
        <v>11</v>
      </c>
      <c r="T246" s="101">
        <v>11</v>
      </c>
      <c r="U246" s="101">
        <v>11</v>
      </c>
      <c r="V246" s="101">
        <v>11</v>
      </c>
      <c r="W246" s="101">
        <v>11</v>
      </c>
      <c r="X246" s="101">
        <v>0.56000000000000005</v>
      </c>
      <c r="Y246" s="101">
        <v>0.56000000000000005</v>
      </c>
      <c r="Z246" s="101">
        <v>0.56000000000000005</v>
      </c>
      <c r="AA246" s="101">
        <v>0.56000000000000005</v>
      </c>
      <c r="AB246" s="101">
        <v>0.56000000000000005</v>
      </c>
      <c r="AC246" s="101">
        <v>0.56000000000000005</v>
      </c>
      <c r="AD246" s="101">
        <v>0.56000000000000005</v>
      </c>
      <c r="AE246" s="186">
        <v>0.08</v>
      </c>
      <c r="AF246" s="93">
        <v>0</v>
      </c>
      <c r="AG246" s="93">
        <v>20</v>
      </c>
      <c r="AH246" s="93">
        <v>20</v>
      </c>
      <c r="AI246" s="16">
        <v>29</v>
      </c>
      <c r="AJ246" s="16" t="s">
        <v>1241</v>
      </c>
      <c r="AK246" s="16" t="s">
        <v>745</v>
      </c>
      <c r="AL246" s="16"/>
      <c r="AM246" s="60"/>
      <c r="AN246" s="60"/>
      <c r="AO246" s="60"/>
      <c r="AP246" s="60"/>
      <c r="AQ246" s="60"/>
      <c r="AR246" s="60"/>
      <c r="AS246" s="63"/>
      <c r="AT246" s="63"/>
      <c r="AU246" s="63"/>
      <c r="AV246" s="131"/>
      <c r="AW246" s="131"/>
      <c r="AX246" s="131"/>
      <c r="AY246" s="27" t="s">
        <v>662</v>
      </c>
      <c r="AZ246" s="27"/>
      <c r="BA246" s="27"/>
      <c r="BB246" s="30"/>
      <c r="BC246" s="30"/>
      <c r="BD246" s="30"/>
      <c r="BE246" s="30"/>
      <c r="BF246" s="30"/>
      <c r="BG246" s="30"/>
      <c r="BH246" s="107"/>
      <c r="BI246" s="107"/>
      <c r="BJ246" s="107"/>
      <c r="BK246" s="107"/>
      <c r="BL246" s="136"/>
      <c r="BM246" s="122"/>
      <c r="BN246" s="138">
        <v>0</v>
      </c>
      <c r="BO246" s="93"/>
      <c r="BP246" s="93"/>
      <c r="BQ246" s="93"/>
      <c r="BR246" s="93"/>
      <c r="BS246" s="93"/>
      <c r="BT246" s="93"/>
      <c r="BU246" s="27">
        <f t="shared" ref="BU246" si="252">IF(BL246=1,BN246,0)</f>
        <v>0</v>
      </c>
      <c r="BV246" s="27"/>
      <c r="BW246" s="27"/>
      <c r="BX246" s="27"/>
      <c r="BY246" s="27"/>
      <c r="BZ246" s="27"/>
      <c r="CA246" s="27"/>
      <c r="CB246" s="97"/>
      <c r="CC246" s="97"/>
      <c r="CD246" s="97">
        <v>1</v>
      </c>
      <c r="CE246" s="97">
        <f t="shared" ref="CE246" si="253">ROUND((CD246+CF246)/2,2)</f>
        <v>8.25</v>
      </c>
      <c r="CF246" s="97">
        <f t="shared" ref="CF246" si="254">ROUND((CD246+CH246)/2,2)</f>
        <v>15.5</v>
      </c>
      <c r="CG246" s="97">
        <f t="shared" ref="CG246" si="255">ROUND((CF246+CH246)/2,2)</f>
        <v>22.75</v>
      </c>
      <c r="CH246" s="97">
        <v>30</v>
      </c>
      <c r="CI246" s="173"/>
      <c r="CJ246" s="173"/>
      <c r="CK246" s="173"/>
      <c r="CL246" s="173"/>
      <c r="CM246" s="173"/>
      <c r="CN246" s="173"/>
      <c r="CO246" s="173"/>
      <c r="CP246" s="174"/>
      <c r="CQ246" s="174"/>
      <c r="CR246" s="174"/>
      <c r="CS246" s="174"/>
      <c r="CT246" s="174"/>
      <c r="CU246" s="174"/>
      <c r="CV246" s="174"/>
      <c r="CW246" s="165"/>
      <c r="CX246" s="166"/>
      <c r="CY246" s="166"/>
      <c r="CZ246" s="166"/>
      <c r="DA246" s="166"/>
      <c r="DB246" s="166"/>
      <c r="DC246" s="166"/>
      <c r="DD246" s="171"/>
      <c r="DE246" s="171"/>
      <c r="DF246" s="171"/>
      <c r="DG246" s="171"/>
      <c r="DH246" s="171"/>
      <c r="DI246" s="171"/>
      <c r="DJ246" s="171"/>
      <c r="DK246" s="79" t="s">
        <v>1268</v>
      </c>
      <c r="DL246" s="128"/>
      <c r="DM246" s="128"/>
      <c r="DN246" s="128"/>
      <c r="DO246" s="128"/>
      <c r="DP246" s="128"/>
      <c r="DQ246" s="128"/>
      <c r="DR246" s="128"/>
      <c r="DS246" s="218"/>
      <c r="DT246" s="360"/>
      <c r="DU246" s="360"/>
      <c r="DV246" s="360"/>
      <c r="DW246" s="360"/>
      <c r="DX246" s="360"/>
      <c r="DY246" s="360"/>
      <c r="DZ246" s="360"/>
      <c r="EA246" s="360"/>
      <c r="EB246" s="360"/>
      <c r="EC246" s="360"/>
      <c r="ED246" s="360"/>
      <c r="EE246" s="360"/>
      <c r="EF246" s="360"/>
      <c r="EG246" s="360"/>
      <c r="EH246" s="360"/>
      <c r="EI246" s="360"/>
      <c r="EJ246" s="360"/>
      <c r="EK246" s="360"/>
      <c r="EL246" s="360"/>
      <c r="EM246" s="360"/>
      <c r="EN246" s="360"/>
      <c r="EO246" s="360"/>
      <c r="EP246" s="360"/>
      <c r="EQ246" s="360"/>
    </row>
    <row r="247" spans="1:147" x14ac:dyDescent="0.35">
      <c r="A247" s="236" t="s">
        <v>1271</v>
      </c>
      <c r="B247" s="6" t="s">
        <v>1243</v>
      </c>
      <c r="C247" s="6" t="s">
        <v>788</v>
      </c>
      <c r="D247" s="6" t="s">
        <v>1247</v>
      </c>
      <c r="E247" s="6" t="s">
        <v>1248</v>
      </c>
      <c r="F247" s="6" t="s">
        <v>455</v>
      </c>
      <c r="G247" s="48" t="s">
        <v>1272</v>
      </c>
      <c r="H247" s="235" t="s">
        <v>981</v>
      </c>
      <c r="I247" s="102">
        <v>7200</v>
      </c>
      <c r="J247" s="102">
        <v>7100</v>
      </c>
      <c r="K247" s="102">
        <v>7097</v>
      </c>
      <c r="L247" s="102">
        <v>6600</v>
      </c>
      <c r="M247" s="102">
        <v>6400</v>
      </c>
      <c r="N247" s="102">
        <v>6200</v>
      </c>
      <c r="O247" s="102">
        <v>6104</v>
      </c>
      <c r="P247" s="94">
        <v>0</v>
      </c>
      <c r="Q247" s="102">
        <v>100.4</v>
      </c>
      <c r="R247" s="102">
        <v>100.4</v>
      </c>
      <c r="S247" s="102">
        <v>100.4</v>
      </c>
      <c r="T247" s="102">
        <v>100.4</v>
      </c>
      <c r="U247" s="102">
        <v>100.4</v>
      </c>
      <c r="V247" s="102">
        <v>100.4</v>
      </c>
      <c r="W247" s="102">
        <v>100.4</v>
      </c>
      <c r="X247" s="102">
        <v>4.9400000000000004</v>
      </c>
      <c r="Y247" s="102">
        <v>4.9400000000000004</v>
      </c>
      <c r="Z247" s="102">
        <v>4.9400000000000004</v>
      </c>
      <c r="AA247" s="102">
        <v>4.9400000000000004</v>
      </c>
      <c r="AB247" s="102">
        <v>4.9400000000000004</v>
      </c>
      <c r="AC247" s="102">
        <v>4.9400000000000004</v>
      </c>
      <c r="AD247" s="102">
        <v>4.9400000000000004</v>
      </c>
      <c r="AE247" s="186">
        <v>0.08</v>
      </c>
      <c r="AF247" s="94">
        <v>0</v>
      </c>
      <c r="AG247" s="94">
        <v>60</v>
      </c>
      <c r="AH247" s="94">
        <v>60</v>
      </c>
      <c r="AI247" s="17">
        <v>28.4</v>
      </c>
      <c r="AJ247" s="17" t="s">
        <v>1241</v>
      </c>
      <c r="AK247" s="17" t="s">
        <v>745</v>
      </c>
      <c r="AL247" s="17">
        <v>1E-4</v>
      </c>
      <c r="AM247" s="61"/>
      <c r="AN247" s="61"/>
      <c r="AO247" s="61"/>
      <c r="AP247" s="61"/>
      <c r="AQ247" s="61"/>
      <c r="AR247" s="61"/>
      <c r="AS247" s="64"/>
      <c r="AT247" s="64"/>
      <c r="AU247" s="64"/>
      <c r="AV247" s="132"/>
      <c r="AW247" s="132"/>
      <c r="AX247" s="132"/>
      <c r="AY247" s="28" t="s">
        <v>662</v>
      </c>
      <c r="AZ247" s="28"/>
      <c r="BA247" s="28"/>
      <c r="BB247" s="28"/>
      <c r="BC247" s="28"/>
      <c r="BD247" s="28"/>
      <c r="BE247" s="28"/>
      <c r="BF247" s="28"/>
      <c r="BG247" s="28"/>
      <c r="BH247" s="106"/>
      <c r="BI247" s="106"/>
      <c r="BJ247" s="106"/>
      <c r="BK247" s="106"/>
      <c r="BL247" s="137"/>
      <c r="BM247" s="123"/>
      <c r="BN247" s="99">
        <v>0.497</v>
      </c>
      <c r="BO247" s="94"/>
      <c r="BP247" s="94"/>
      <c r="BQ247" s="94"/>
      <c r="BR247" s="94"/>
      <c r="BS247" s="94"/>
      <c r="BT247" s="94"/>
      <c r="BU247" s="28">
        <f t="shared" si="248"/>
        <v>0</v>
      </c>
      <c r="BV247" s="99">
        <v>0.497</v>
      </c>
      <c r="BW247" s="99">
        <v>0.497</v>
      </c>
      <c r="BX247" s="28"/>
      <c r="BY247" s="28"/>
      <c r="BZ247" s="28"/>
      <c r="CA247" s="28"/>
      <c r="CB247" s="99">
        <v>0.497</v>
      </c>
      <c r="CC247" s="99">
        <v>0.497</v>
      </c>
      <c r="CD247" s="99">
        <v>0.497</v>
      </c>
      <c r="CE247" s="99">
        <v>0.497</v>
      </c>
      <c r="CF247" s="99">
        <v>0.497</v>
      </c>
      <c r="CG247" s="244">
        <v>0</v>
      </c>
      <c r="CH247" s="244">
        <v>0</v>
      </c>
      <c r="CI247" s="175"/>
      <c r="CJ247" s="175"/>
      <c r="CK247" s="175"/>
      <c r="CL247" s="175"/>
      <c r="CM247" s="175"/>
      <c r="CN247" s="175"/>
      <c r="CO247" s="175"/>
      <c r="CP247" s="176"/>
      <c r="CQ247" s="176"/>
      <c r="CR247" s="176"/>
      <c r="CS247" s="176"/>
      <c r="CT247" s="176"/>
      <c r="CU247" s="176"/>
      <c r="CV247" s="176"/>
      <c r="CW247" s="167"/>
      <c r="CX247" s="168"/>
      <c r="CY247" s="168"/>
      <c r="CZ247" s="168"/>
      <c r="DA247" s="168"/>
      <c r="DB247" s="168"/>
      <c r="DC247" s="168"/>
      <c r="DD247" s="172"/>
      <c r="DE247" s="172"/>
      <c r="DF247" s="172"/>
      <c r="DG247" s="172"/>
      <c r="DH247" s="172"/>
      <c r="DI247" s="172"/>
      <c r="DJ247" s="172"/>
      <c r="DK247" s="80" t="s">
        <v>1273</v>
      </c>
      <c r="DL247" s="129"/>
      <c r="DM247" s="129"/>
      <c r="DN247" s="129"/>
      <c r="DO247" s="129"/>
      <c r="DP247" s="129"/>
      <c r="DQ247" s="129"/>
      <c r="DR247" s="129"/>
      <c r="DS247" s="218"/>
      <c r="DT247" s="360"/>
      <c r="DU247" s="360"/>
      <c r="DV247" s="360"/>
      <c r="DW247" s="360"/>
      <c r="DX247" s="360"/>
      <c r="DY247" s="360"/>
      <c r="DZ247" s="360"/>
      <c r="EA247" s="360"/>
      <c r="EB247" s="360"/>
      <c r="EC247" s="360"/>
      <c r="ED247" s="360"/>
      <c r="EE247" s="360"/>
      <c r="EF247" s="360"/>
      <c r="EG247" s="360"/>
      <c r="EH247" s="360"/>
      <c r="EI247" s="360"/>
      <c r="EJ247" s="360"/>
      <c r="EK247" s="360"/>
      <c r="EL247" s="360"/>
      <c r="EM247" s="360"/>
      <c r="EN247" s="360"/>
      <c r="EO247" s="360"/>
      <c r="EP247" s="360"/>
      <c r="EQ247" s="360"/>
    </row>
    <row r="248" spans="1:147" x14ac:dyDescent="0.35">
      <c r="A248" s="234" t="s">
        <v>1274</v>
      </c>
      <c r="B248" s="5" t="s">
        <v>1243</v>
      </c>
      <c r="C248" s="5" t="s">
        <v>788</v>
      </c>
      <c r="D248" s="5" t="s">
        <v>1247</v>
      </c>
      <c r="E248" s="5" t="s">
        <v>1248</v>
      </c>
      <c r="F248" s="5" t="s">
        <v>455</v>
      </c>
      <c r="G248" s="47" t="s">
        <v>1275</v>
      </c>
      <c r="H248" s="237" t="s">
        <v>981</v>
      </c>
      <c r="I248" s="101">
        <v>7200</v>
      </c>
      <c r="J248" s="101">
        <v>7100</v>
      </c>
      <c r="K248" s="101">
        <v>7097</v>
      </c>
      <c r="L248" s="102">
        <v>6600</v>
      </c>
      <c r="M248" s="102">
        <v>6400</v>
      </c>
      <c r="N248" s="102">
        <v>6200</v>
      </c>
      <c r="O248" s="101">
        <v>6104</v>
      </c>
      <c r="P248" s="93">
        <v>0</v>
      </c>
      <c r="Q248" s="101">
        <v>100.4</v>
      </c>
      <c r="R248" s="101">
        <v>100.4</v>
      </c>
      <c r="S248" s="101">
        <v>100.4</v>
      </c>
      <c r="T248" s="101">
        <v>100.4</v>
      </c>
      <c r="U248" s="101">
        <v>100.4</v>
      </c>
      <c r="V248" s="101">
        <v>100.4</v>
      </c>
      <c r="W248" s="101">
        <v>100.4</v>
      </c>
      <c r="X248" s="101">
        <v>4.9400000000000004</v>
      </c>
      <c r="Y248" s="101">
        <v>4.9400000000000004</v>
      </c>
      <c r="Z248" s="101">
        <v>4.9400000000000004</v>
      </c>
      <c r="AA248" s="101">
        <v>4.9400000000000004</v>
      </c>
      <c r="AB248" s="101">
        <v>4.9400000000000004</v>
      </c>
      <c r="AC248" s="101">
        <v>4.9400000000000004</v>
      </c>
      <c r="AD248" s="101">
        <v>4.9400000000000004</v>
      </c>
      <c r="AE248" s="186">
        <v>0.08</v>
      </c>
      <c r="AF248" s="93">
        <v>0</v>
      </c>
      <c r="AG248" s="93">
        <v>60</v>
      </c>
      <c r="AH248" s="93">
        <v>60</v>
      </c>
      <c r="AI248" s="16">
        <v>28.4</v>
      </c>
      <c r="AJ248" s="16" t="s">
        <v>1241</v>
      </c>
      <c r="AK248" s="16" t="s">
        <v>745</v>
      </c>
      <c r="AL248" s="16">
        <v>1E-4</v>
      </c>
      <c r="AM248" s="60"/>
      <c r="AN248" s="60"/>
      <c r="AO248" s="60"/>
      <c r="AP248" s="60"/>
      <c r="AQ248" s="60"/>
      <c r="AR248" s="60"/>
      <c r="AS248" s="63"/>
      <c r="AT248" s="63"/>
      <c r="AU248" s="63"/>
      <c r="AV248" s="131"/>
      <c r="AW248" s="131"/>
      <c r="AX248" s="131"/>
      <c r="AY248" s="27" t="s">
        <v>662</v>
      </c>
      <c r="AZ248" s="27"/>
      <c r="BA248" s="27"/>
      <c r="BB248" s="30"/>
      <c r="BC248" s="30"/>
      <c r="BD248" s="30"/>
      <c r="BE248" s="30"/>
      <c r="BF248" s="30"/>
      <c r="BG248" s="30"/>
      <c r="BH248" s="107"/>
      <c r="BI248" s="107"/>
      <c r="BJ248" s="107"/>
      <c r="BK248" s="107"/>
      <c r="BL248" s="136"/>
      <c r="BM248" s="122"/>
      <c r="BN248" s="138">
        <v>0</v>
      </c>
      <c r="BO248" s="93"/>
      <c r="BP248" s="93"/>
      <c r="BQ248" s="93"/>
      <c r="BR248" s="93"/>
      <c r="BS248" s="93"/>
      <c r="BT248" s="93"/>
      <c r="BU248" s="27"/>
      <c r="BV248" s="27"/>
      <c r="BW248" s="27"/>
      <c r="BX248" s="27"/>
      <c r="BY248" s="27"/>
      <c r="BZ248" s="27"/>
      <c r="CA248" s="27"/>
      <c r="CB248" s="97"/>
      <c r="CC248" s="97"/>
      <c r="CD248" s="97"/>
      <c r="CE248" s="97">
        <v>1.5</v>
      </c>
      <c r="CF248" s="97">
        <v>3</v>
      </c>
      <c r="CG248" s="97">
        <v>3</v>
      </c>
      <c r="CH248" s="97">
        <v>3</v>
      </c>
      <c r="CI248" s="173"/>
      <c r="CJ248" s="173"/>
      <c r="CK248" s="173"/>
      <c r="CL248" s="173"/>
      <c r="CM248" s="173"/>
      <c r="CN248" s="173"/>
      <c r="CO248" s="173"/>
      <c r="CP248" s="174"/>
      <c r="CQ248" s="174"/>
      <c r="CR248" s="174"/>
      <c r="CS248" s="174"/>
      <c r="CT248" s="174"/>
      <c r="CU248" s="174"/>
      <c r="CV248" s="174"/>
      <c r="CW248" s="165"/>
      <c r="CX248" s="166"/>
      <c r="CY248" s="166"/>
      <c r="CZ248" s="166"/>
      <c r="DA248" s="166"/>
      <c r="DB248" s="166"/>
      <c r="DC248" s="166"/>
      <c r="DD248" s="171"/>
      <c r="DE248" s="171"/>
      <c r="DF248" s="171"/>
      <c r="DG248" s="171"/>
      <c r="DH248" s="171"/>
      <c r="DI248" s="171"/>
      <c r="DJ248" s="171"/>
      <c r="DK248" s="79" t="s">
        <v>1273</v>
      </c>
      <c r="DL248" s="128"/>
      <c r="DM248" s="128"/>
      <c r="DN248" s="128"/>
      <c r="DO248" s="128"/>
      <c r="DP248" s="128"/>
      <c r="DQ248" s="128"/>
      <c r="DR248" s="128"/>
      <c r="DS248" s="218"/>
      <c r="DT248" s="360"/>
      <c r="DU248" s="360"/>
      <c r="DV248" s="360"/>
      <c r="DW248" s="360"/>
      <c r="DX248" s="360"/>
      <c r="DY248" s="360"/>
      <c r="DZ248" s="360"/>
      <c r="EA248" s="360"/>
      <c r="EB248" s="360"/>
      <c r="EC248" s="360"/>
      <c r="ED248" s="360"/>
      <c r="EE248" s="360"/>
      <c r="EF248" s="360"/>
      <c r="EG248" s="360"/>
      <c r="EH248" s="360"/>
      <c r="EI248" s="360"/>
      <c r="EJ248" s="360"/>
      <c r="EK248" s="360"/>
      <c r="EL248" s="360"/>
      <c r="EM248" s="360"/>
      <c r="EN248" s="360"/>
      <c r="EO248" s="360"/>
      <c r="EP248" s="360"/>
      <c r="EQ248" s="360"/>
    </row>
    <row r="249" spans="1:147" x14ac:dyDescent="0.35">
      <c r="A249" s="238" t="s">
        <v>1276</v>
      </c>
      <c r="B249" s="5" t="s">
        <v>1243</v>
      </c>
      <c r="C249" s="5" t="s">
        <v>788</v>
      </c>
      <c r="D249" s="5" t="s">
        <v>1247</v>
      </c>
      <c r="E249" s="5" t="s">
        <v>1248</v>
      </c>
      <c r="F249" s="5" t="s">
        <v>455</v>
      </c>
      <c r="G249" s="47" t="s">
        <v>1277</v>
      </c>
      <c r="H249" s="237" t="s">
        <v>981</v>
      </c>
      <c r="I249" s="101">
        <v>9867</v>
      </c>
      <c r="J249" s="101">
        <v>8745.75</v>
      </c>
      <c r="K249" s="101">
        <v>7097</v>
      </c>
      <c r="L249" s="102">
        <v>6600</v>
      </c>
      <c r="M249" s="102">
        <v>6400</v>
      </c>
      <c r="N249" s="102">
        <v>6200</v>
      </c>
      <c r="O249" s="101">
        <v>6104</v>
      </c>
      <c r="P249" s="93">
        <v>0</v>
      </c>
      <c r="Q249" s="101">
        <v>100.4</v>
      </c>
      <c r="R249" s="101">
        <v>100.4</v>
      </c>
      <c r="S249" s="101">
        <v>100.4</v>
      </c>
      <c r="T249" s="101">
        <v>100.4</v>
      </c>
      <c r="U249" s="101">
        <v>100.4</v>
      </c>
      <c r="V249" s="101">
        <v>100.4</v>
      </c>
      <c r="W249" s="101">
        <v>100.4</v>
      </c>
      <c r="X249" s="101">
        <v>4.9400000000000004</v>
      </c>
      <c r="Y249" s="101">
        <v>4.9400000000000004</v>
      </c>
      <c r="Z249" s="101">
        <v>4.9400000000000004</v>
      </c>
      <c r="AA249" s="101">
        <v>4.9400000000000004</v>
      </c>
      <c r="AB249" s="101">
        <v>4.9400000000000004</v>
      </c>
      <c r="AC249" s="101">
        <v>4.9400000000000004</v>
      </c>
      <c r="AD249" s="101">
        <v>4.9400000000000004</v>
      </c>
      <c r="AE249" s="186">
        <v>0.08</v>
      </c>
      <c r="AF249" s="93">
        <v>0</v>
      </c>
      <c r="AG249" s="93">
        <v>60</v>
      </c>
      <c r="AH249" s="93">
        <v>60</v>
      </c>
      <c r="AI249" s="16">
        <v>28.4</v>
      </c>
      <c r="AJ249" s="16" t="s">
        <v>1241</v>
      </c>
      <c r="AK249" s="16" t="s">
        <v>745</v>
      </c>
      <c r="AL249" s="16"/>
      <c r="AM249" s="60"/>
      <c r="AN249" s="60"/>
      <c r="AO249" s="60"/>
      <c r="AP249" s="60"/>
      <c r="AQ249" s="60"/>
      <c r="AR249" s="60"/>
      <c r="AS249" s="63"/>
      <c r="AT249" s="63"/>
      <c r="AU249" s="63"/>
      <c r="AV249" s="131"/>
      <c r="AW249" s="131"/>
      <c r="AX249" s="131"/>
      <c r="AY249" s="27" t="s">
        <v>662</v>
      </c>
      <c r="AZ249" s="27"/>
      <c r="BA249" s="27"/>
      <c r="BB249" s="30"/>
      <c r="BC249" s="30"/>
      <c r="BD249" s="30"/>
      <c r="BE249" s="30"/>
      <c r="BF249" s="30"/>
      <c r="BG249" s="30"/>
      <c r="BH249" s="107"/>
      <c r="BI249" s="107"/>
      <c r="BJ249" s="107"/>
      <c r="BK249" s="107"/>
      <c r="BL249" s="136"/>
      <c r="BM249" s="122"/>
      <c r="BN249" s="138">
        <v>0</v>
      </c>
      <c r="BO249" s="93"/>
      <c r="BP249" s="93"/>
      <c r="BQ249" s="93"/>
      <c r="BR249" s="93"/>
      <c r="BS249" s="93"/>
      <c r="BT249" s="93"/>
      <c r="BU249" s="27">
        <f t="shared" si="248"/>
        <v>0</v>
      </c>
      <c r="BV249" s="27"/>
      <c r="BW249" s="27"/>
      <c r="BX249" s="27"/>
      <c r="BY249" s="27"/>
      <c r="BZ249" s="27"/>
      <c r="CA249" s="27"/>
      <c r="CB249" s="244"/>
      <c r="CC249" s="244"/>
      <c r="CD249" s="244"/>
      <c r="CE249" s="244"/>
      <c r="CF249" s="244">
        <v>0.45</v>
      </c>
      <c r="CG249" s="244">
        <v>0.9</v>
      </c>
      <c r="CH249" s="244">
        <v>2</v>
      </c>
      <c r="CI249" s="173"/>
      <c r="CJ249" s="173"/>
      <c r="CK249" s="173"/>
      <c r="CL249" s="173"/>
      <c r="CM249" s="173"/>
      <c r="CN249" s="173"/>
      <c r="CO249" s="173"/>
      <c r="CP249" s="174"/>
      <c r="CQ249" s="174"/>
      <c r="CR249" s="174"/>
      <c r="CS249" s="174"/>
      <c r="CT249" s="174"/>
      <c r="CU249" s="174"/>
      <c r="CV249" s="174"/>
      <c r="CW249" s="165"/>
      <c r="CX249" s="166"/>
      <c r="CY249" s="166"/>
      <c r="CZ249" s="166"/>
      <c r="DA249" s="166"/>
      <c r="DB249" s="166"/>
      <c r="DC249" s="166"/>
      <c r="DD249" s="171"/>
      <c r="DE249" s="171"/>
      <c r="DF249" s="171"/>
      <c r="DG249" s="171"/>
      <c r="DH249" s="171"/>
      <c r="DI249" s="171"/>
      <c r="DJ249" s="171"/>
      <c r="DK249" s="79" t="s">
        <v>1278</v>
      </c>
      <c r="DL249" s="128"/>
      <c r="DM249" s="128"/>
      <c r="DN249" s="128"/>
      <c r="DO249" s="128"/>
      <c r="DP249" s="128"/>
      <c r="DQ249" s="128"/>
      <c r="DR249" s="128"/>
      <c r="DS249" s="218"/>
      <c r="DT249" s="360"/>
      <c r="DU249" s="360"/>
      <c r="DV249" s="360"/>
      <c r="DW249" s="360"/>
      <c r="DX249" s="360"/>
      <c r="DY249" s="360"/>
      <c r="DZ249" s="360"/>
      <c r="EA249" s="360"/>
      <c r="EB249" s="360"/>
      <c r="EC249" s="360"/>
      <c r="ED249" s="360"/>
      <c r="EE249" s="360"/>
      <c r="EF249" s="360"/>
      <c r="EG249" s="360"/>
      <c r="EH249" s="360"/>
      <c r="EI249" s="360"/>
      <c r="EJ249" s="360"/>
      <c r="EK249" s="360"/>
      <c r="EL249" s="360"/>
      <c r="EM249" s="360"/>
      <c r="EN249" s="360"/>
      <c r="EO249" s="360"/>
      <c r="EP249" s="360"/>
      <c r="EQ249" s="360"/>
    </row>
    <row r="250" spans="1:147" x14ac:dyDescent="0.35">
      <c r="A250" s="234" t="s">
        <v>1279</v>
      </c>
      <c r="B250" s="6" t="s">
        <v>1243</v>
      </c>
      <c r="C250" s="6" t="s">
        <v>788</v>
      </c>
      <c r="D250" s="6" t="s">
        <v>1247</v>
      </c>
      <c r="E250" s="6" t="s">
        <v>1248</v>
      </c>
      <c r="F250" s="6" t="s">
        <v>455</v>
      </c>
      <c r="G250" s="48" t="s">
        <v>1280</v>
      </c>
      <c r="H250" s="235" t="s">
        <v>981</v>
      </c>
      <c r="I250" s="102">
        <v>2657.36</v>
      </c>
      <c r="J250" s="102">
        <f>(K250+I250)/2</f>
        <v>2278.6800000000003</v>
      </c>
      <c r="K250" s="102">
        <v>1900</v>
      </c>
      <c r="L250" s="102">
        <f t="shared" ref="L250:L254" si="256">(M250+K250)/2</f>
        <v>1787.5</v>
      </c>
      <c r="M250" s="102">
        <f t="shared" ref="M250:M254" si="257">(K250+O250)/2</f>
        <v>1675</v>
      </c>
      <c r="N250" s="102">
        <f t="shared" ref="N250:N254" si="258">(O250+M250)/2</f>
        <v>1562.5</v>
      </c>
      <c r="O250" s="102">
        <v>1450</v>
      </c>
      <c r="P250" s="94">
        <v>0</v>
      </c>
      <c r="Q250" s="102">
        <v>42.27</v>
      </c>
      <c r="R250" s="102">
        <v>42.27</v>
      </c>
      <c r="S250" s="102">
        <v>42.27</v>
      </c>
      <c r="T250" s="102">
        <v>42.27</v>
      </c>
      <c r="U250" s="102">
        <v>42.27</v>
      </c>
      <c r="V250" s="102">
        <v>42.27</v>
      </c>
      <c r="W250" s="102">
        <v>42.27</v>
      </c>
      <c r="X250" s="102">
        <v>0.73</v>
      </c>
      <c r="Y250" s="102">
        <v>0.73</v>
      </c>
      <c r="Z250" s="102">
        <v>0.73</v>
      </c>
      <c r="AA250" s="102">
        <v>0.73</v>
      </c>
      <c r="AB250" s="102">
        <v>0.73</v>
      </c>
      <c r="AC250" s="102">
        <v>0.73</v>
      </c>
      <c r="AD250" s="102">
        <v>0.73</v>
      </c>
      <c r="AE250" s="186">
        <v>0.08</v>
      </c>
      <c r="AF250" s="94">
        <v>0</v>
      </c>
      <c r="AG250" s="94">
        <v>30</v>
      </c>
      <c r="AH250" s="94">
        <v>30</v>
      </c>
      <c r="AI250" s="17">
        <v>30</v>
      </c>
      <c r="AJ250" s="17" t="s">
        <v>1241</v>
      </c>
      <c r="AK250" s="17" t="s">
        <v>745</v>
      </c>
      <c r="AL250" s="17">
        <v>0.5</v>
      </c>
      <c r="AM250" s="61"/>
      <c r="AN250" s="61"/>
      <c r="AO250" s="61"/>
      <c r="AP250" s="61"/>
      <c r="AQ250" s="61"/>
      <c r="AR250" s="61"/>
      <c r="AS250" s="64"/>
      <c r="AT250" s="64"/>
      <c r="AU250" s="64"/>
      <c r="AV250" s="132"/>
      <c r="AW250" s="132"/>
      <c r="AX250" s="132"/>
      <c r="AY250" s="28" t="s">
        <v>662</v>
      </c>
      <c r="AZ250" s="28"/>
      <c r="BA250" s="28"/>
      <c r="BB250" s="28"/>
      <c r="BC250" s="28"/>
      <c r="BD250" s="28"/>
      <c r="BE250" s="28"/>
      <c r="BF250" s="28"/>
      <c r="BG250" s="28"/>
      <c r="BH250" s="106"/>
      <c r="BI250" s="106"/>
      <c r="BJ250" s="106"/>
      <c r="BK250" s="106"/>
      <c r="BL250" s="137"/>
      <c r="BM250" s="123"/>
      <c r="BN250" s="139">
        <v>0.05</v>
      </c>
      <c r="BO250" s="94"/>
      <c r="BP250" s="94"/>
      <c r="BQ250" s="94"/>
      <c r="BR250" s="94"/>
      <c r="BS250" s="94"/>
      <c r="BT250" s="94">
        <v>0.05</v>
      </c>
      <c r="BU250" s="28">
        <f t="shared" si="248"/>
        <v>0</v>
      </c>
      <c r="BV250" s="28"/>
      <c r="BW250" s="28"/>
      <c r="BX250" s="28"/>
      <c r="BY250" s="28"/>
      <c r="BZ250" s="28"/>
      <c r="CA250" s="28"/>
      <c r="CB250" s="99">
        <v>0.05</v>
      </c>
      <c r="CC250" s="99">
        <f t="shared" ref="CC250" si="259">ROUND((CB250+CD250)/2,2)</f>
        <v>2.5299999999999998</v>
      </c>
      <c r="CD250" s="99">
        <v>5</v>
      </c>
      <c r="CE250" s="99">
        <f t="shared" si="249"/>
        <v>5</v>
      </c>
      <c r="CF250" s="99">
        <f t="shared" si="250"/>
        <v>5</v>
      </c>
      <c r="CG250" s="99">
        <f t="shared" si="251"/>
        <v>5</v>
      </c>
      <c r="CH250" s="99">
        <v>5</v>
      </c>
      <c r="CI250" s="175"/>
      <c r="CJ250" s="175"/>
      <c r="CK250" s="175"/>
      <c r="CL250" s="175"/>
      <c r="CM250" s="175"/>
      <c r="CN250" s="175"/>
      <c r="CO250" s="175"/>
      <c r="CP250" s="176"/>
      <c r="CQ250" s="176"/>
      <c r="CR250" s="176"/>
      <c r="CS250" s="176"/>
      <c r="CT250" s="176"/>
      <c r="CU250" s="176"/>
      <c r="CV250" s="176"/>
      <c r="CW250" s="167"/>
      <c r="CX250" s="168"/>
      <c r="CY250" s="168"/>
      <c r="CZ250" s="168"/>
      <c r="DA250" s="168"/>
      <c r="DB250" s="168"/>
      <c r="DC250" s="168"/>
      <c r="DD250" s="172"/>
      <c r="DE250" s="172"/>
      <c r="DF250" s="172"/>
      <c r="DG250" s="172"/>
      <c r="DH250" s="172"/>
      <c r="DI250" s="172"/>
      <c r="DJ250" s="172"/>
      <c r="DK250" s="80" t="s">
        <v>415</v>
      </c>
      <c r="DL250" s="129"/>
      <c r="DM250" s="129"/>
      <c r="DN250" s="129"/>
      <c r="DO250" s="129"/>
      <c r="DP250" s="129"/>
      <c r="DQ250" s="129"/>
      <c r="DR250" s="129"/>
      <c r="DS250" s="218"/>
      <c r="DT250" s="360"/>
      <c r="DU250" s="360"/>
      <c r="DV250" s="360"/>
      <c r="DW250" s="360"/>
      <c r="DX250" s="360"/>
      <c r="DY250" s="360"/>
      <c r="DZ250" s="360"/>
      <c r="EA250" s="360"/>
      <c r="EB250" s="360"/>
      <c r="EC250" s="360"/>
      <c r="ED250" s="360"/>
      <c r="EE250" s="360"/>
      <c r="EF250" s="360"/>
      <c r="EG250" s="360"/>
      <c r="EH250" s="360"/>
      <c r="EI250" s="360"/>
      <c r="EJ250" s="360"/>
      <c r="EK250" s="360"/>
      <c r="EL250" s="360"/>
      <c r="EM250" s="360"/>
      <c r="EN250" s="360"/>
      <c r="EO250" s="360"/>
      <c r="EP250" s="360"/>
      <c r="EQ250" s="360"/>
    </row>
    <row r="251" spans="1:147" x14ac:dyDescent="0.35">
      <c r="A251" s="236" t="s">
        <v>1281</v>
      </c>
      <c r="B251" s="5" t="s">
        <v>1243</v>
      </c>
      <c r="C251" s="5" t="s">
        <v>788</v>
      </c>
      <c r="D251" s="5" t="s">
        <v>1247</v>
      </c>
      <c r="E251" s="5" t="s">
        <v>1248</v>
      </c>
      <c r="F251" s="5" t="s">
        <v>455</v>
      </c>
      <c r="G251" s="47" t="s">
        <v>1282</v>
      </c>
      <c r="H251" s="237" t="s">
        <v>981</v>
      </c>
      <c r="I251" s="101">
        <v>3179.59</v>
      </c>
      <c r="J251" s="101">
        <v>3056.2099999999996</v>
      </c>
      <c r="K251" s="101">
        <v>5380</v>
      </c>
      <c r="L251" s="101">
        <f t="shared" si="256"/>
        <v>4995</v>
      </c>
      <c r="M251" s="101">
        <f t="shared" si="257"/>
        <v>4610</v>
      </c>
      <c r="N251" s="101">
        <f t="shared" si="258"/>
        <v>4225</v>
      </c>
      <c r="O251" s="101">
        <v>3840</v>
      </c>
      <c r="P251" s="93">
        <v>0</v>
      </c>
      <c r="Q251" s="101">
        <v>79.69</v>
      </c>
      <c r="R251" s="101">
        <v>79.69</v>
      </c>
      <c r="S251" s="101">
        <v>79.69</v>
      </c>
      <c r="T251" s="101">
        <v>79.69</v>
      </c>
      <c r="U251" s="101">
        <v>79.69</v>
      </c>
      <c r="V251" s="101">
        <v>79.69</v>
      </c>
      <c r="W251" s="101">
        <v>79.69</v>
      </c>
      <c r="X251" s="101">
        <v>0.56000000000000005</v>
      </c>
      <c r="Y251" s="101">
        <v>0.56000000000000005</v>
      </c>
      <c r="Z251" s="101">
        <v>0.56000000000000005</v>
      </c>
      <c r="AA251" s="101">
        <v>0.56000000000000005</v>
      </c>
      <c r="AB251" s="101">
        <v>0.56000000000000005</v>
      </c>
      <c r="AC251" s="101">
        <v>0.56000000000000005</v>
      </c>
      <c r="AD251" s="101">
        <v>0.56000000000000005</v>
      </c>
      <c r="AE251" s="186">
        <v>0.08</v>
      </c>
      <c r="AF251" s="93">
        <v>0</v>
      </c>
      <c r="AG251" s="93">
        <v>40</v>
      </c>
      <c r="AH251" s="93">
        <v>40</v>
      </c>
      <c r="AI251" s="16">
        <v>30</v>
      </c>
      <c r="AJ251" s="16" t="s">
        <v>1241</v>
      </c>
      <c r="AK251" s="16" t="s">
        <v>745</v>
      </c>
      <c r="AL251" s="16">
        <v>0.5</v>
      </c>
      <c r="AM251" s="60"/>
      <c r="AN251" s="60"/>
      <c r="AO251" s="60"/>
      <c r="AP251" s="60"/>
      <c r="AQ251" s="60"/>
      <c r="AR251" s="60"/>
      <c r="AS251" s="63"/>
      <c r="AT251" s="63"/>
      <c r="AU251" s="63"/>
      <c r="AV251" s="131"/>
      <c r="AW251" s="131"/>
      <c r="AX251" s="131"/>
      <c r="AY251" s="27" t="s">
        <v>662</v>
      </c>
      <c r="AZ251" s="27"/>
      <c r="BA251" s="27"/>
      <c r="BB251" s="30"/>
      <c r="BC251" s="30"/>
      <c r="BD251" s="30"/>
      <c r="BE251" s="30"/>
      <c r="BF251" s="30"/>
      <c r="BG251" s="30"/>
      <c r="BH251" s="107"/>
      <c r="BI251" s="107"/>
      <c r="BJ251" s="107"/>
      <c r="BK251" s="107"/>
      <c r="BL251" s="136"/>
      <c r="BM251" s="122"/>
      <c r="BN251" s="138">
        <v>0</v>
      </c>
      <c r="BO251" s="93"/>
      <c r="BP251" s="93"/>
      <c r="BQ251" s="93"/>
      <c r="BR251" s="93"/>
      <c r="BS251" s="93"/>
      <c r="BT251" s="93"/>
      <c r="BU251" s="27">
        <f t="shared" si="248"/>
        <v>0</v>
      </c>
      <c r="BV251" s="27"/>
      <c r="BW251" s="27"/>
      <c r="BX251" s="27"/>
      <c r="BY251" s="27"/>
      <c r="BZ251" s="27"/>
      <c r="CA251" s="27"/>
      <c r="CB251" s="97"/>
      <c r="CC251" s="97"/>
      <c r="CD251" s="97">
        <v>5</v>
      </c>
      <c r="CE251" s="97">
        <f t="shared" si="249"/>
        <v>5</v>
      </c>
      <c r="CF251" s="97">
        <f t="shared" si="250"/>
        <v>5</v>
      </c>
      <c r="CG251" s="97">
        <f t="shared" si="251"/>
        <v>5</v>
      </c>
      <c r="CH251" s="97">
        <v>5</v>
      </c>
      <c r="CI251" s="173"/>
      <c r="CJ251" s="173"/>
      <c r="CK251" s="173"/>
      <c r="CL251" s="173"/>
      <c r="CM251" s="173"/>
      <c r="CN251" s="173"/>
      <c r="CO251" s="173"/>
      <c r="CP251" s="174"/>
      <c r="CQ251" s="174"/>
      <c r="CR251" s="174"/>
      <c r="CS251" s="174"/>
      <c r="CT251" s="174"/>
      <c r="CU251" s="174"/>
      <c r="CV251" s="174"/>
      <c r="CW251" s="165"/>
      <c r="CX251" s="166"/>
      <c r="CY251" s="166"/>
      <c r="CZ251" s="166"/>
      <c r="DA251" s="166"/>
      <c r="DB251" s="166"/>
      <c r="DC251" s="166"/>
      <c r="DD251" s="171"/>
      <c r="DE251" s="171"/>
      <c r="DF251" s="171"/>
      <c r="DG251" s="171"/>
      <c r="DH251" s="171"/>
      <c r="DI251" s="171"/>
      <c r="DJ251" s="171"/>
      <c r="DK251" s="79" t="s">
        <v>415</v>
      </c>
      <c r="DL251" s="128"/>
      <c r="DM251" s="128"/>
      <c r="DN251" s="128"/>
      <c r="DO251" s="128"/>
      <c r="DP251" s="128"/>
      <c r="DQ251" s="128"/>
      <c r="DR251" s="128"/>
      <c r="DS251" s="218"/>
      <c r="DT251" s="360"/>
      <c r="DU251" s="360"/>
      <c r="DV251" s="360"/>
      <c r="DW251" s="360"/>
      <c r="DX251" s="360"/>
      <c r="DY251" s="360"/>
      <c r="DZ251" s="360"/>
      <c r="EA251" s="360"/>
      <c r="EB251" s="360"/>
      <c r="EC251" s="360"/>
      <c r="ED251" s="360"/>
      <c r="EE251" s="360"/>
      <c r="EF251" s="360"/>
      <c r="EG251" s="360"/>
      <c r="EH251" s="360"/>
      <c r="EI251" s="360"/>
      <c r="EJ251" s="360"/>
      <c r="EK251" s="360"/>
      <c r="EL251" s="360"/>
      <c r="EM251" s="360"/>
      <c r="EN251" s="360"/>
      <c r="EO251" s="360"/>
      <c r="EP251" s="360"/>
      <c r="EQ251" s="360"/>
    </row>
    <row r="252" spans="1:147" x14ac:dyDescent="0.35">
      <c r="A252" s="238" t="s">
        <v>1283</v>
      </c>
      <c r="B252" s="6" t="s">
        <v>1243</v>
      </c>
      <c r="C252" s="6" t="s">
        <v>788</v>
      </c>
      <c r="D252" s="6" t="s">
        <v>1247</v>
      </c>
      <c r="E252" s="6" t="s">
        <v>1248</v>
      </c>
      <c r="F252" s="6" t="s">
        <v>455</v>
      </c>
      <c r="G252" s="48" t="s">
        <v>1284</v>
      </c>
      <c r="H252" s="235" t="s">
        <v>981</v>
      </c>
      <c r="I252" s="102">
        <v>1260</v>
      </c>
      <c r="J252" s="102">
        <f>(K252+I252)/2</f>
        <v>1175</v>
      </c>
      <c r="K252" s="102">
        <v>1090</v>
      </c>
      <c r="L252" s="102">
        <f t="shared" si="256"/>
        <v>1062.5</v>
      </c>
      <c r="M252" s="102">
        <f t="shared" si="257"/>
        <v>1035</v>
      </c>
      <c r="N252" s="102">
        <f t="shared" si="258"/>
        <v>1007.5</v>
      </c>
      <c r="O252" s="102">
        <v>980</v>
      </c>
      <c r="P252" s="94">
        <v>0</v>
      </c>
      <c r="Q252" s="102">
        <v>17.25</v>
      </c>
      <c r="R252" s="102">
        <v>17.25</v>
      </c>
      <c r="S252" s="102">
        <v>17.25</v>
      </c>
      <c r="T252" s="102">
        <v>17.25</v>
      </c>
      <c r="U252" s="102">
        <v>17.25</v>
      </c>
      <c r="V252" s="102">
        <v>17.25</v>
      </c>
      <c r="W252" s="102">
        <v>17.25</v>
      </c>
      <c r="X252" s="102">
        <v>0.44</v>
      </c>
      <c r="Y252" s="102">
        <v>0.44</v>
      </c>
      <c r="Z252" s="102">
        <v>0.44</v>
      </c>
      <c r="AA252" s="102">
        <v>0.44</v>
      </c>
      <c r="AB252" s="102">
        <v>0.44</v>
      </c>
      <c r="AC252" s="102">
        <v>0.44</v>
      </c>
      <c r="AD252" s="102">
        <v>0.44</v>
      </c>
      <c r="AE252" s="186">
        <v>0.08</v>
      </c>
      <c r="AF252" s="94">
        <v>0</v>
      </c>
      <c r="AG252" s="94">
        <v>25</v>
      </c>
      <c r="AH252" s="94">
        <v>25</v>
      </c>
      <c r="AI252" s="17">
        <v>17</v>
      </c>
      <c r="AJ252" s="17" t="s">
        <v>1241</v>
      </c>
      <c r="AK252" s="17" t="s">
        <v>1285</v>
      </c>
      <c r="AL252" s="17"/>
      <c r="AM252" s="61"/>
      <c r="AN252" s="61"/>
      <c r="AO252" s="61"/>
      <c r="AP252" s="61"/>
      <c r="AQ252" s="61"/>
      <c r="AR252" s="61"/>
      <c r="AS252" s="64"/>
      <c r="AT252" s="64"/>
      <c r="AU252" s="64"/>
      <c r="AV252" s="132"/>
      <c r="AW252" s="132"/>
      <c r="AX252" s="132"/>
      <c r="AY252" s="28" t="s">
        <v>662</v>
      </c>
      <c r="AZ252" s="28"/>
      <c r="BA252" s="28"/>
      <c r="BB252" s="28"/>
      <c r="BC252" s="28"/>
      <c r="BD252" s="28"/>
      <c r="BE252" s="28"/>
      <c r="BF252" s="28"/>
      <c r="BG252" s="28"/>
      <c r="BH252" s="106"/>
      <c r="BI252" s="106"/>
      <c r="BJ252" s="106"/>
      <c r="BK252" s="106"/>
      <c r="BL252" s="137"/>
      <c r="BM252" s="123"/>
      <c r="BN252" s="139">
        <v>3.1</v>
      </c>
      <c r="BO252" s="94"/>
      <c r="BP252" s="94"/>
      <c r="BQ252" s="94"/>
      <c r="BR252" s="94"/>
      <c r="BS252" s="94"/>
      <c r="BT252" s="94"/>
      <c r="BU252" s="28">
        <f t="shared" si="248"/>
        <v>0</v>
      </c>
      <c r="BV252" s="28"/>
      <c r="BW252" s="28"/>
      <c r="BX252" s="28"/>
      <c r="BY252" s="28"/>
      <c r="BZ252" s="28"/>
      <c r="CA252" s="28"/>
      <c r="CB252" s="244">
        <v>3.1</v>
      </c>
      <c r="CC252" s="244">
        <f t="shared" ref="CC252:CC260" si="260">ROUND((CB252+CD252)/2,2)</f>
        <v>5.46</v>
      </c>
      <c r="CD252" s="244">
        <v>7.82</v>
      </c>
      <c r="CE252" s="244">
        <v>7.82</v>
      </c>
      <c r="CF252" s="244">
        <v>7.82</v>
      </c>
      <c r="CG252" s="244">
        <v>7.82</v>
      </c>
      <c r="CH252" s="244">
        <v>7.82</v>
      </c>
      <c r="CI252" s="175"/>
      <c r="CJ252" s="175"/>
      <c r="CK252" s="175"/>
      <c r="CL252" s="175"/>
      <c r="CM252" s="175"/>
      <c r="CN252" s="175"/>
      <c r="CO252" s="175"/>
      <c r="CP252" s="176"/>
      <c r="CQ252" s="176"/>
      <c r="CR252" s="176"/>
      <c r="CS252" s="176"/>
      <c r="CT252" s="176"/>
      <c r="CU252" s="176"/>
      <c r="CV252" s="176"/>
      <c r="CW252" s="167"/>
      <c r="CX252" s="168"/>
      <c r="CY252" s="168"/>
      <c r="CZ252" s="168"/>
      <c r="DA252" s="168"/>
      <c r="DB252" s="168"/>
      <c r="DC252" s="168"/>
      <c r="DD252" s="172"/>
      <c r="DE252" s="172"/>
      <c r="DF252" s="172"/>
      <c r="DG252" s="172"/>
      <c r="DH252" s="172"/>
      <c r="DI252" s="172"/>
      <c r="DJ252" s="172"/>
      <c r="DK252" s="80" t="s">
        <v>1251</v>
      </c>
      <c r="DL252" s="129"/>
      <c r="DM252" s="129"/>
      <c r="DN252" s="129"/>
      <c r="DO252" s="129"/>
      <c r="DP252" s="129"/>
      <c r="DQ252" s="129"/>
      <c r="DR252" s="129"/>
      <c r="DS252" s="218"/>
      <c r="DT252" s="360"/>
      <c r="DU252" s="360"/>
      <c r="DV252" s="360"/>
      <c r="DW252" s="360"/>
      <c r="DX252" s="360"/>
      <c r="DY252" s="360"/>
      <c r="DZ252" s="360"/>
      <c r="EA252" s="360"/>
      <c r="EB252" s="360"/>
      <c r="EC252" s="360"/>
      <c r="ED252" s="360"/>
      <c r="EE252" s="360"/>
      <c r="EF252" s="360"/>
      <c r="EG252" s="360"/>
      <c r="EH252" s="360"/>
      <c r="EI252" s="360"/>
      <c r="EJ252" s="360"/>
      <c r="EK252" s="360"/>
      <c r="EL252" s="360"/>
      <c r="EM252" s="360"/>
      <c r="EN252" s="360"/>
      <c r="EO252" s="360"/>
      <c r="EP252" s="360"/>
      <c r="EQ252" s="360"/>
    </row>
    <row r="253" spans="1:147" ht="15" thickBot="1" x14ac:dyDescent="0.4">
      <c r="A253" s="238" t="s">
        <v>1286</v>
      </c>
      <c r="B253" s="5" t="s">
        <v>1243</v>
      </c>
      <c r="C253" s="5" t="s">
        <v>788</v>
      </c>
      <c r="D253" s="5" t="s">
        <v>1247</v>
      </c>
      <c r="E253" s="5" t="s">
        <v>1248</v>
      </c>
      <c r="F253" s="5" t="s">
        <v>455</v>
      </c>
      <c r="G253" s="47" t="s">
        <v>1287</v>
      </c>
      <c r="H253" s="237" t="s">
        <v>981</v>
      </c>
      <c r="I253" s="101">
        <v>3000</v>
      </c>
      <c r="J253" s="101">
        <f>(K253+I253)/2</f>
        <v>2600</v>
      </c>
      <c r="K253" s="101">
        <v>2200</v>
      </c>
      <c r="L253" s="101">
        <f t="shared" si="256"/>
        <v>2150</v>
      </c>
      <c r="M253" s="101">
        <f t="shared" si="257"/>
        <v>2100</v>
      </c>
      <c r="N253" s="101">
        <f t="shared" si="258"/>
        <v>2050</v>
      </c>
      <c r="O253" s="101">
        <v>2000</v>
      </c>
      <c r="P253" s="93">
        <v>0</v>
      </c>
      <c r="Q253" s="101">
        <v>54.750234643862761</v>
      </c>
      <c r="R253" s="101">
        <v>54.750234643862761</v>
      </c>
      <c r="S253" s="101">
        <v>47.345917196787987</v>
      </c>
      <c r="T253" s="101">
        <v>47.345917196787987</v>
      </c>
      <c r="U253" s="101">
        <v>47.345917196787987</v>
      </c>
      <c r="V253" s="101">
        <v>47.345917196787987</v>
      </c>
      <c r="W253" s="101">
        <v>47.345917196787987</v>
      </c>
      <c r="X253" s="101">
        <v>0.1</v>
      </c>
      <c r="Y253" s="101">
        <v>0.1</v>
      </c>
      <c r="Z253" s="101">
        <v>0.1</v>
      </c>
      <c r="AA253" s="101">
        <v>0.1</v>
      </c>
      <c r="AB253" s="101">
        <v>0.1</v>
      </c>
      <c r="AC253" s="101">
        <v>0.1</v>
      </c>
      <c r="AD253" s="101">
        <v>0.1</v>
      </c>
      <c r="AE253" s="186">
        <v>0.08</v>
      </c>
      <c r="AF253" s="93">
        <v>0</v>
      </c>
      <c r="AG253" s="93">
        <v>20</v>
      </c>
      <c r="AH253" s="93">
        <v>20</v>
      </c>
      <c r="AI253" s="16">
        <v>18</v>
      </c>
      <c r="AJ253" s="16" t="s">
        <v>1241</v>
      </c>
      <c r="AK253" s="16" t="s">
        <v>1250</v>
      </c>
      <c r="AL253" s="16"/>
      <c r="AM253" s="60"/>
      <c r="AN253" s="60"/>
      <c r="AO253" s="60"/>
      <c r="AP253" s="60"/>
      <c r="AQ253" s="60"/>
      <c r="AR253" s="60"/>
      <c r="AS253" s="63"/>
      <c r="AT253" s="63"/>
      <c r="AU253" s="63"/>
      <c r="AV253" s="131"/>
      <c r="AW253" s="131"/>
      <c r="AX253" s="131"/>
      <c r="AY253" s="27" t="s">
        <v>662</v>
      </c>
      <c r="AZ253" s="27"/>
      <c r="BA253" s="27"/>
      <c r="BB253" s="30"/>
      <c r="BC253" s="30"/>
      <c r="BD253" s="30"/>
      <c r="BE253" s="30"/>
      <c r="BF253" s="30"/>
      <c r="BG253" s="30"/>
      <c r="BH253" s="107"/>
      <c r="BI253" s="107"/>
      <c r="BJ253" s="107"/>
      <c r="BK253" s="107"/>
      <c r="BL253" s="136"/>
      <c r="BM253" s="122"/>
      <c r="BN253" s="138">
        <v>1</v>
      </c>
      <c r="BO253" s="93"/>
      <c r="BP253" s="93"/>
      <c r="BQ253" s="93"/>
      <c r="BR253" s="93"/>
      <c r="BS253" s="93"/>
      <c r="BT253" s="93"/>
      <c r="BU253" s="27">
        <f t="shared" si="248"/>
        <v>0</v>
      </c>
      <c r="BV253" s="27"/>
      <c r="BW253" s="27"/>
      <c r="BX253" s="27"/>
      <c r="BY253" s="27"/>
      <c r="BZ253" s="27"/>
      <c r="CA253" s="27"/>
      <c r="CB253" s="244">
        <v>1</v>
      </c>
      <c r="CC253" s="244">
        <f t="shared" si="260"/>
        <v>3.5</v>
      </c>
      <c r="CD253" s="244">
        <v>6</v>
      </c>
      <c r="CE253" s="244">
        <f t="shared" si="249"/>
        <v>7.75</v>
      </c>
      <c r="CF253" s="244">
        <f t="shared" si="250"/>
        <v>9.5</v>
      </c>
      <c r="CG253" s="244">
        <f t="shared" si="251"/>
        <v>11.25</v>
      </c>
      <c r="CH253" s="244">
        <v>13</v>
      </c>
      <c r="CI253" s="173"/>
      <c r="CJ253" s="173"/>
      <c r="CK253" s="173"/>
      <c r="CL253" s="173"/>
      <c r="CM253" s="173"/>
      <c r="CN253" s="173"/>
      <c r="CO253" s="173"/>
      <c r="CP253" s="174"/>
      <c r="CQ253" s="174"/>
      <c r="CR253" s="174"/>
      <c r="CS253" s="174"/>
      <c r="CT253" s="174"/>
      <c r="CU253" s="174"/>
      <c r="CV253" s="174"/>
      <c r="CW253" s="165"/>
      <c r="CX253" s="166"/>
      <c r="CY253" s="166"/>
      <c r="CZ253" s="166"/>
      <c r="DA253" s="166"/>
      <c r="DB253" s="166"/>
      <c r="DC253" s="166"/>
      <c r="DD253" s="171"/>
      <c r="DE253" s="171"/>
      <c r="DF253" s="171"/>
      <c r="DG253" s="171"/>
      <c r="DH253" s="171"/>
      <c r="DI253" s="171"/>
      <c r="DJ253" s="171"/>
      <c r="DK253" s="79" t="s">
        <v>1251</v>
      </c>
      <c r="DL253" s="128"/>
      <c r="DM253" s="128"/>
      <c r="DN253" s="128"/>
      <c r="DO253" s="128"/>
      <c r="DP253" s="128"/>
      <c r="DQ253" s="128"/>
      <c r="DR253" s="128"/>
      <c r="DS253" s="218"/>
      <c r="DT253" s="360"/>
      <c r="DU253" s="360"/>
      <c r="DV253" s="360"/>
      <c r="DW253" s="360"/>
      <c r="DX253" s="360"/>
      <c r="DY253" s="360"/>
      <c r="DZ253" s="360"/>
      <c r="EA253" s="360"/>
      <c r="EB253" s="360"/>
      <c r="EC253" s="360"/>
      <c r="ED253" s="360"/>
      <c r="EE253" s="360"/>
      <c r="EF253" s="360"/>
      <c r="EG253" s="360"/>
      <c r="EH253" s="360"/>
      <c r="EI253" s="360"/>
      <c r="EJ253" s="360"/>
      <c r="EK253" s="360"/>
      <c r="EL253" s="360"/>
      <c r="EM253" s="360"/>
      <c r="EN253" s="360"/>
      <c r="EO253" s="360"/>
      <c r="EP253" s="360"/>
      <c r="EQ253" s="360"/>
    </row>
    <row r="254" spans="1:147" x14ac:dyDescent="0.35">
      <c r="A254" s="238" t="s">
        <v>1288</v>
      </c>
      <c r="B254" s="6" t="s">
        <v>654</v>
      </c>
      <c r="C254" s="6" t="s">
        <v>788</v>
      </c>
      <c r="D254" s="6" t="s">
        <v>1247</v>
      </c>
      <c r="E254" s="6" t="s">
        <v>1248</v>
      </c>
      <c r="F254" s="6" t="s">
        <v>456</v>
      </c>
      <c r="G254" s="48" t="s">
        <v>1289</v>
      </c>
      <c r="H254" s="235" t="s">
        <v>981</v>
      </c>
      <c r="I254" s="102">
        <v>770</v>
      </c>
      <c r="J254" s="102">
        <f>(K254+I254)/2</f>
        <v>617</v>
      </c>
      <c r="K254" s="102">
        <v>464</v>
      </c>
      <c r="L254" s="102">
        <f t="shared" si="256"/>
        <v>425.75</v>
      </c>
      <c r="M254" s="102">
        <f t="shared" si="257"/>
        <v>387.5</v>
      </c>
      <c r="N254" s="102">
        <f t="shared" si="258"/>
        <v>349.25</v>
      </c>
      <c r="O254" s="102">
        <v>311</v>
      </c>
      <c r="P254" s="94">
        <v>0</v>
      </c>
      <c r="Q254" s="102">
        <v>2.0299999999999998</v>
      </c>
      <c r="R254" s="102">
        <v>2.0299999999999998</v>
      </c>
      <c r="S254" s="102">
        <v>2.0299999999999998</v>
      </c>
      <c r="T254" s="102">
        <v>2.0299999999999998</v>
      </c>
      <c r="U254" s="102">
        <v>2.0299999999999998</v>
      </c>
      <c r="V254" s="102">
        <v>2.0299999999999998</v>
      </c>
      <c r="W254" s="102">
        <v>2.0299999999999998</v>
      </c>
      <c r="X254" s="102">
        <v>0.1</v>
      </c>
      <c r="Y254" s="102">
        <v>0.1</v>
      </c>
      <c r="Z254" s="102">
        <v>0.1</v>
      </c>
      <c r="AA254" s="102">
        <v>0.1</v>
      </c>
      <c r="AB254" s="102">
        <v>0.1</v>
      </c>
      <c r="AC254" s="102">
        <v>0.1</v>
      </c>
      <c r="AD254" s="102">
        <v>0.1</v>
      </c>
      <c r="AE254" s="186">
        <v>0.08</v>
      </c>
      <c r="AF254" s="94">
        <v>0</v>
      </c>
      <c r="AG254" s="94">
        <v>25</v>
      </c>
      <c r="AH254" s="94">
        <v>15</v>
      </c>
      <c r="AI254" s="17">
        <v>3.5</v>
      </c>
      <c r="AJ254" s="17" t="s">
        <v>1241</v>
      </c>
      <c r="AK254" s="17" t="s">
        <v>1290</v>
      </c>
      <c r="AL254" s="17"/>
      <c r="AM254" s="61"/>
      <c r="AN254" s="61"/>
      <c r="AO254" s="61"/>
      <c r="AP254" s="61"/>
      <c r="AQ254" s="61"/>
      <c r="AR254" s="61"/>
      <c r="AS254" s="64"/>
      <c r="AT254" s="64"/>
      <c r="AU254" s="64"/>
      <c r="AV254" s="132"/>
      <c r="AW254" s="132"/>
      <c r="AX254" s="132"/>
      <c r="AY254" s="28" t="s">
        <v>662</v>
      </c>
      <c r="AZ254" s="28"/>
      <c r="BA254" s="28"/>
      <c r="BB254" s="28"/>
      <c r="BC254" s="28"/>
      <c r="BD254" s="28"/>
      <c r="BE254" s="28"/>
      <c r="BF254" s="28"/>
      <c r="BG254" s="28"/>
      <c r="BH254" s="106"/>
      <c r="BI254" s="106"/>
      <c r="BJ254" s="106"/>
      <c r="BK254" s="106"/>
      <c r="BL254" s="137">
        <v>1</v>
      </c>
      <c r="BM254" s="123"/>
      <c r="BN254" s="196">
        <v>8</v>
      </c>
      <c r="BO254" s="94"/>
      <c r="BP254" s="94"/>
      <c r="BQ254" s="94"/>
      <c r="BR254" s="94"/>
      <c r="BS254" s="94"/>
      <c r="BT254" s="94"/>
      <c r="BU254" s="28">
        <f t="shared" si="248"/>
        <v>8</v>
      </c>
      <c r="BV254" s="28"/>
      <c r="BW254" s="28"/>
      <c r="BX254" s="28"/>
      <c r="BY254" s="28"/>
      <c r="BZ254" s="28"/>
      <c r="CA254" s="28"/>
      <c r="CB254" s="245">
        <f>BU254</f>
        <v>8</v>
      </c>
      <c r="CC254" s="246">
        <f t="shared" si="260"/>
        <v>9.25</v>
      </c>
      <c r="CD254" s="246">
        <v>10.49</v>
      </c>
      <c r="CE254" s="246">
        <f t="shared" si="249"/>
        <v>10.83</v>
      </c>
      <c r="CF254" s="246">
        <v>11.17</v>
      </c>
      <c r="CG254" s="246">
        <f t="shared" si="251"/>
        <v>12.15</v>
      </c>
      <c r="CH254" s="247">
        <v>13.12</v>
      </c>
      <c r="CI254" s="191">
        <f>25*0.5</f>
        <v>12.5</v>
      </c>
      <c r="CJ254" s="175"/>
      <c r="CK254" s="175"/>
      <c r="CL254" s="175"/>
      <c r="CM254" s="175"/>
      <c r="CN254" s="175"/>
      <c r="CO254" s="175"/>
      <c r="CP254" s="176"/>
      <c r="CQ254" s="176"/>
      <c r="CR254" s="176"/>
      <c r="CS254" s="176"/>
      <c r="CT254" s="176"/>
      <c r="CU254" s="176"/>
      <c r="CV254" s="176"/>
      <c r="CW254" s="167"/>
      <c r="CX254" s="168"/>
      <c r="CY254" s="168"/>
      <c r="CZ254" s="168"/>
      <c r="DA254" s="168"/>
      <c r="DB254" s="168"/>
      <c r="DC254" s="168"/>
      <c r="DD254" s="172"/>
      <c r="DE254" s="172"/>
      <c r="DF254" s="172"/>
      <c r="DG254" s="172"/>
      <c r="DH254" s="172"/>
      <c r="DI254" s="172"/>
      <c r="DJ254" s="172"/>
      <c r="DK254" s="80" t="s">
        <v>415</v>
      </c>
      <c r="DL254" s="129"/>
      <c r="DM254" s="129"/>
      <c r="DN254" s="129"/>
      <c r="DO254" s="129"/>
      <c r="DP254" s="129"/>
      <c r="DQ254" s="129"/>
      <c r="DR254" s="129"/>
      <c r="DS254" s="218"/>
      <c r="DT254" s="360"/>
      <c r="DU254" s="360"/>
      <c r="DV254" s="360"/>
      <c r="DW254" s="360"/>
      <c r="DX254" s="360"/>
      <c r="DY254" s="360"/>
      <c r="DZ254" s="360"/>
      <c r="EA254" s="360"/>
      <c r="EB254" s="360"/>
      <c r="EC254" s="360"/>
      <c r="ED254" s="360"/>
      <c r="EE254" s="360"/>
      <c r="EF254" s="360"/>
      <c r="EG254" s="360"/>
      <c r="EH254" s="360"/>
      <c r="EI254" s="360"/>
      <c r="EJ254" s="360"/>
      <c r="EK254" s="360"/>
      <c r="EL254" s="360"/>
      <c r="EM254" s="360"/>
      <c r="EN254" s="360"/>
      <c r="EO254" s="360"/>
      <c r="EP254" s="360"/>
      <c r="EQ254" s="360"/>
    </row>
    <row r="255" spans="1:147" x14ac:dyDescent="0.35">
      <c r="A255" s="238" t="s">
        <v>1291</v>
      </c>
      <c r="B255" s="5" t="s">
        <v>654</v>
      </c>
      <c r="C255" s="5" t="s">
        <v>788</v>
      </c>
      <c r="D255" s="5" t="s">
        <v>1247</v>
      </c>
      <c r="E255" s="5" t="s">
        <v>1248</v>
      </c>
      <c r="F255" s="5" t="s">
        <v>456</v>
      </c>
      <c r="G255" s="47" t="s">
        <v>1292</v>
      </c>
      <c r="H255" s="237" t="s">
        <v>981</v>
      </c>
      <c r="I255" s="101">
        <v>770</v>
      </c>
      <c r="J255" s="101">
        <f t="shared" ref="J255:J259" si="261">(K255+I255)/2</f>
        <v>617</v>
      </c>
      <c r="K255" s="101">
        <v>464</v>
      </c>
      <c r="L255" s="101">
        <f t="shared" ref="L255:L259" si="262">(M255+K255)/2</f>
        <v>425.75</v>
      </c>
      <c r="M255" s="101">
        <f t="shared" ref="M255:M259" si="263">(K255+O255)/2</f>
        <v>387.5</v>
      </c>
      <c r="N255" s="101">
        <f t="shared" ref="N255:N259" si="264">(O255+M255)/2</f>
        <v>349.25</v>
      </c>
      <c r="O255" s="101">
        <v>311</v>
      </c>
      <c r="P255" s="93">
        <v>0</v>
      </c>
      <c r="Q255" s="292">
        <v>2.04</v>
      </c>
      <c r="R255" s="292">
        <v>2.04</v>
      </c>
      <c r="S255" s="292">
        <v>2.04</v>
      </c>
      <c r="T255" s="292">
        <v>2.04</v>
      </c>
      <c r="U255" s="292">
        <v>2.04</v>
      </c>
      <c r="V255" s="292">
        <v>2.04</v>
      </c>
      <c r="W255" s="292">
        <v>2.04</v>
      </c>
      <c r="X255" s="101">
        <v>0.1</v>
      </c>
      <c r="Y255" s="101">
        <v>0.1</v>
      </c>
      <c r="Z255" s="101">
        <v>0.1</v>
      </c>
      <c r="AA255" s="101">
        <v>0.1</v>
      </c>
      <c r="AB255" s="101">
        <v>0.1</v>
      </c>
      <c r="AC255" s="101">
        <v>0.1</v>
      </c>
      <c r="AD255" s="101">
        <v>0.1</v>
      </c>
      <c r="AE255" s="186">
        <v>0.08</v>
      </c>
      <c r="AF255" s="93">
        <v>0</v>
      </c>
      <c r="AG255" s="93">
        <v>25</v>
      </c>
      <c r="AH255" s="93">
        <v>15</v>
      </c>
      <c r="AI255" s="16">
        <v>3.5</v>
      </c>
      <c r="AJ255" s="16" t="s">
        <v>1241</v>
      </c>
      <c r="AK255" s="16" t="s">
        <v>1290</v>
      </c>
      <c r="AL255" s="16"/>
      <c r="AM255" s="60"/>
      <c r="AN255" s="60"/>
      <c r="AO255" s="60"/>
      <c r="AP255" s="60"/>
      <c r="AQ255" s="60"/>
      <c r="AR255" s="60"/>
      <c r="AS255" s="63"/>
      <c r="AT255" s="63"/>
      <c r="AU255" s="63"/>
      <c r="AV255" s="131"/>
      <c r="AW255" s="131"/>
      <c r="AX255" s="131"/>
      <c r="AY255" s="27" t="s">
        <v>662</v>
      </c>
      <c r="AZ255" s="27"/>
      <c r="BA255" s="27"/>
      <c r="BB255" s="30"/>
      <c r="BC255" s="30"/>
      <c r="BD255" s="30"/>
      <c r="BE255" s="30"/>
      <c r="BF255" s="30"/>
      <c r="BG255" s="30"/>
      <c r="BH255" s="107"/>
      <c r="BI255" s="107"/>
      <c r="BJ255" s="107"/>
      <c r="BK255" s="107"/>
      <c r="BL255" s="136"/>
      <c r="BM255" s="122"/>
      <c r="BN255" s="138">
        <v>2.7</v>
      </c>
      <c r="BO255" s="93"/>
      <c r="BP255" s="93"/>
      <c r="BQ255" s="93"/>
      <c r="BR255" s="93"/>
      <c r="BS255" s="93"/>
      <c r="BT255" s="93"/>
      <c r="BU255" s="27">
        <f t="shared" ref="BU255" si="265">IF(BL255=1,BN255,0)</f>
        <v>0</v>
      </c>
      <c r="BV255" s="27"/>
      <c r="BW255" s="27"/>
      <c r="BX255" s="27"/>
      <c r="BY255" s="27"/>
      <c r="BZ255" s="27"/>
      <c r="CA255" s="27"/>
      <c r="CB255" s="248">
        <v>2.8</v>
      </c>
      <c r="CC255" s="244">
        <f t="shared" si="260"/>
        <v>5.47</v>
      </c>
      <c r="CD255" s="244">
        <v>8.1300000000000008</v>
      </c>
      <c r="CE255" s="244">
        <f t="shared" si="249"/>
        <v>15.23</v>
      </c>
      <c r="CF255" s="244">
        <v>22.32</v>
      </c>
      <c r="CG255" s="244">
        <f t="shared" si="251"/>
        <v>30.83</v>
      </c>
      <c r="CH255" s="249">
        <v>39.33</v>
      </c>
      <c r="CI255" s="173"/>
      <c r="CJ255" s="173"/>
      <c r="CK255" s="173"/>
      <c r="CL255" s="173"/>
      <c r="CM255" s="173"/>
      <c r="CN255" s="173"/>
      <c r="CO255" s="173"/>
      <c r="CP255" s="174"/>
      <c r="CQ255" s="174"/>
      <c r="CR255" s="174"/>
      <c r="CS255" s="174"/>
      <c r="CT255" s="174"/>
      <c r="CU255" s="174"/>
      <c r="CV255" s="174"/>
      <c r="CW255" s="165"/>
      <c r="CX255" s="166"/>
      <c r="CY255" s="166"/>
      <c r="CZ255" s="166"/>
      <c r="DA255" s="166"/>
      <c r="DB255" s="166"/>
      <c r="DC255" s="166"/>
      <c r="DD255" s="171"/>
      <c r="DE255" s="171"/>
      <c r="DF255" s="171"/>
      <c r="DG255" s="171"/>
      <c r="DH255" s="171"/>
      <c r="DI255" s="171"/>
      <c r="DJ255" s="171"/>
      <c r="DK255" s="79" t="s">
        <v>415</v>
      </c>
      <c r="DL255" s="128"/>
      <c r="DM255" s="128"/>
      <c r="DN255" s="128"/>
      <c r="DO255" s="128"/>
      <c r="DP255" s="128"/>
      <c r="DQ255" s="128"/>
      <c r="DR255" s="128"/>
      <c r="DS255" s="218"/>
      <c r="DT255" s="360"/>
      <c r="DU255" s="360"/>
      <c r="DV255" s="360"/>
      <c r="DW255" s="360"/>
      <c r="DX255" s="360"/>
      <c r="DY255" s="360"/>
      <c r="DZ255" s="360"/>
      <c r="EA255" s="360"/>
      <c r="EB255" s="360"/>
      <c r="EC255" s="360"/>
      <c r="ED255" s="360"/>
      <c r="EE255" s="360"/>
      <c r="EF255" s="360"/>
      <c r="EG255" s="360"/>
      <c r="EH255" s="360"/>
      <c r="EI255" s="360"/>
      <c r="EJ255" s="360"/>
      <c r="EK255" s="360"/>
      <c r="EL255" s="360"/>
      <c r="EM255" s="360"/>
      <c r="EN255" s="360"/>
      <c r="EO255" s="360"/>
      <c r="EP255" s="360"/>
      <c r="EQ255" s="360"/>
    </row>
    <row r="256" spans="1:147" x14ac:dyDescent="0.35">
      <c r="A256" s="238" t="s">
        <v>1293</v>
      </c>
      <c r="B256" s="6" t="s">
        <v>726</v>
      </c>
      <c r="C256" s="6" t="s">
        <v>788</v>
      </c>
      <c r="D256" s="6" t="s">
        <v>1247</v>
      </c>
      <c r="E256" s="6" t="s">
        <v>1248</v>
      </c>
      <c r="F256" s="6" t="s">
        <v>456</v>
      </c>
      <c r="G256" s="48" t="s">
        <v>1294</v>
      </c>
      <c r="H256" s="235" t="s">
        <v>981</v>
      </c>
      <c r="I256" s="102">
        <v>770</v>
      </c>
      <c r="J256" s="102">
        <f t="shared" si="261"/>
        <v>617</v>
      </c>
      <c r="K256" s="102">
        <v>464</v>
      </c>
      <c r="L256" s="102">
        <f t="shared" si="262"/>
        <v>425.75</v>
      </c>
      <c r="M256" s="102">
        <f t="shared" si="263"/>
        <v>387.5</v>
      </c>
      <c r="N256" s="102">
        <f t="shared" si="264"/>
        <v>349.25</v>
      </c>
      <c r="O256" s="102">
        <v>311</v>
      </c>
      <c r="P256" s="94">
        <v>0</v>
      </c>
      <c r="Q256" s="292">
        <v>1.89</v>
      </c>
      <c r="R256" s="292">
        <v>1.89</v>
      </c>
      <c r="S256" s="292">
        <v>1.89</v>
      </c>
      <c r="T256" s="292">
        <v>1.89</v>
      </c>
      <c r="U256" s="292">
        <v>1.89</v>
      </c>
      <c r="V256" s="292">
        <v>1.89</v>
      </c>
      <c r="W256" s="292">
        <v>1.89</v>
      </c>
      <c r="X256" s="102">
        <v>0.52</v>
      </c>
      <c r="Y256" s="102">
        <v>0.52</v>
      </c>
      <c r="Z256" s="102">
        <v>0.52</v>
      </c>
      <c r="AA256" s="102">
        <v>0.52</v>
      </c>
      <c r="AB256" s="102">
        <v>0.52</v>
      </c>
      <c r="AC256" s="102">
        <v>0.52</v>
      </c>
      <c r="AD256" s="102">
        <v>0.52</v>
      </c>
      <c r="AE256" s="186">
        <v>0.08</v>
      </c>
      <c r="AF256" s="94">
        <v>0</v>
      </c>
      <c r="AG256" s="94">
        <v>15</v>
      </c>
      <c r="AH256" s="94">
        <v>15</v>
      </c>
      <c r="AI256" s="17">
        <v>3.5</v>
      </c>
      <c r="AJ256" s="17" t="s">
        <v>1241</v>
      </c>
      <c r="AK256" s="17" t="s">
        <v>1290</v>
      </c>
      <c r="AL256" s="17"/>
      <c r="AM256" s="61"/>
      <c r="AN256" s="61"/>
      <c r="AO256" s="61"/>
      <c r="AP256" s="61"/>
      <c r="AQ256" s="61"/>
      <c r="AR256" s="61"/>
      <c r="AS256" s="64"/>
      <c r="AT256" s="64"/>
      <c r="AU256" s="64"/>
      <c r="AV256" s="132"/>
      <c r="AW256" s="132"/>
      <c r="AX256" s="132"/>
      <c r="AY256" s="28" t="s">
        <v>662</v>
      </c>
      <c r="AZ256" s="28"/>
      <c r="BA256" s="28"/>
      <c r="BB256" s="28"/>
      <c r="BC256" s="28"/>
      <c r="BD256" s="28"/>
      <c r="BE256" s="28"/>
      <c r="BF256" s="28"/>
      <c r="BG256" s="28"/>
      <c r="BH256" s="106"/>
      <c r="BI256" s="106"/>
      <c r="BJ256" s="106"/>
      <c r="BK256" s="106"/>
      <c r="BL256" s="137">
        <v>1</v>
      </c>
      <c r="BM256" s="123"/>
      <c r="BN256" s="196">
        <v>2</v>
      </c>
      <c r="BO256" s="94"/>
      <c r="BP256" s="94"/>
      <c r="BQ256" s="94"/>
      <c r="BR256" s="94"/>
      <c r="BS256" s="94"/>
      <c r="BT256" s="94"/>
      <c r="BU256" s="28">
        <f>IF(BL256=1,BN256,0)</f>
        <v>2</v>
      </c>
      <c r="BV256" s="28"/>
      <c r="BW256" s="28"/>
      <c r="BX256" s="28"/>
      <c r="BY256" s="28"/>
      <c r="BZ256" s="28"/>
      <c r="CA256" s="28"/>
      <c r="CB256" s="248">
        <v>3.5</v>
      </c>
      <c r="CC256" s="244">
        <f t="shared" si="260"/>
        <v>6.47</v>
      </c>
      <c r="CD256" s="244">
        <v>9.44</v>
      </c>
      <c r="CE256" s="244">
        <f t="shared" si="249"/>
        <v>15.47</v>
      </c>
      <c r="CF256" s="244">
        <v>21.5</v>
      </c>
      <c r="CG256" s="244">
        <f t="shared" si="251"/>
        <v>28.87</v>
      </c>
      <c r="CH256" s="249">
        <v>36.229999999999997</v>
      </c>
      <c r="CI256" s="191">
        <f>6*0.5</f>
        <v>3</v>
      </c>
      <c r="CJ256" s="175"/>
      <c r="CK256" s="175"/>
      <c r="CL256" s="175"/>
      <c r="CM256" s="175"/>
      <c r="CN256" s="175"/>
      <c r="CO256" s="175"/>
      <c r="CP256" s="176"/>
      <c r="CQ256" s="176"/>
      <c r="CR256" s="176"/>
      <c r="CS256" s="176"/>
      <c r="CT256" s="176"/>
      <c r="CU256" s="176"/>
      <c r="CV256" s="176"/>
      <c r="CW256" s="167"/>
      <c r="CX256" s="168"/>
      <c r="CY256" s="168"/>
      <c r="CZ256" s="168"/>
      <c r="DA256" s="168"/>
      <c r="DB256" s="168"/>
      <c r="DC256" s="168"/>
      <c r="DD256" s="172"/>
      <c r="DE256" s="172"/>
      <c r="DF256" s="172"/>
      <c r="DG256" s="172"/>
      <c r="DH256" s="172"/>
      <c r="DI256" s="172"/>
      <c r="DJ256" s="172"/>
      <c r="DK256" s="80" t="s">
        <v>1251</v>
      </c>
      <c r="DL256" s="129"/>
      <c r="DM256" s="129"/>
      <c r="DN256" s="129"/>
      <c r="DO256" s="129"/>
      <c r="DP256" s="129"/>
      <c r="DQ256" s="129"/>
      <c r="DR256" s="129"/>
      <c r="DS256" s="218"/>
      <c r="DT256" s="360"/>
      <c r="DU256" s="360"/>
      <c r="DV256" s="360"/>
      <c r="DW256" s="360"/>
      <c r="DX256" s="360"/>
      <c r="DY256" s="360"/>
      <c r="DZ256" s="360"/>
      <c r="EA256" s="360"/>
      <c r="EB256" s="360"/>
      <c r="EC256" s="360"/>
      <c r="ED256" s="360"/>
      <c r="EE256" s="360"/>
      <c r="EF256" s="360"/>
      <c r="EG256" s="360"/>
      <c r="EH256" s="360"/>
      <c r="EI256" s="360"/>
      <c r="EJ256" s="360"/>
      <c r="EK256" s="360"/>
      <c r="EL256" s="360"/>
      <c r="EM256" s="360"/>
      <c r="EN256" s="360"/>
      <c r="EO256" s="360"/>
      <c r="EP256" s="360"/>
      <c r="EQ256" s="360"/>
    </row>
    <row r="257" spans="1:147" x14ac:dyDescent="0.35">
      <c r="A257" s="238" t="s">
        <v>1295</v>
      </c>
      <c r="B257" s="5" t="s">
        <v>740</v>
      </c>
      <c r="C257" s="5" t="s">
        <v>788</v>
      </c>
      <c r="D257" s="5" t="s">
        <v>1247</v>
      </c>
      <c r="E257" s="5" t="s">
        <v>1248</v>
      </c>
      <c r="F257" s="5" t="s">
        <v>455</v>
      </c>
      <c r="G257" s="47" t="s">
        <v>1296</v>
      </c>
      <c r="H257" s="237" t="s">
        <v>981</v>
      </c>
      <c r="I257" s="101">
        <v>770</v>
      </c>
      <c r="J257" s="101">
        <f t="shared" si="261"/>
        <v>617</v>
      </c>
      <c r="K257" s="101">
        <v>464</v>
      </c>
      <c r="L257" s="101">
        <f t="shared" si="262"/>
        <v>425.75</v>
      </c>
      <c r="M257" s="101">
        <f t="shared" si="263"/>
        <v>387.5</v>
      </c>
      <c r="N257" s="101">
        <f t="shared" si="264"/>
        <v>349.25</v>
      </c>
      <c r="O257" s="101">
        <v>311</v>
      </c>
      <c r="P257" s="93">
        <v>0</v>
      </c>
      <c r="Q257" s="292">
        <v>2.06</v>
      </c>
      <c r="R257" s="292">
        <v>2.06</v>
      </c>
      <c r="S257" s="292">
        <v>2.06</v>
      </c>
      <c r="T257" s="292">
        <v>2.06</v>
      </c>
      <c r="U257" s="292">
        <v>2.06</v>
      </c>
      <c r="V257" s="292">
        <v>2.06</v>
      </c>
      <c r="W257" s="292">
        <v>2.06</v>
      </c>
      <c r="X257" s="101">
        <v>0.1</v>
      </c>
      <c r="Y257" s="101">
        <v>0.1</v>
      </c>
      <c r="Z257" s="101">
        <v>0.1</v>
      </c>
      <c r="AA257" s="101">
        <v>0.1</v>
      </c>
      <c r="AB257" s="101">
        <v>0.1</v>
      </c>
      <c r="AC257" s="101">
        <v>0.1</v>
      </c>
      <c r="AD257" s="101">
        <v>0.1</v>
      </c>
      <c r="AE257" s="186">
        <v>0.08</v>
      </c>
      <c r="AF257" s="93">
        <v>0</v>
      </c>
      <c r="AG257" s="93">
        <v>25</v>
      </c>
      <c r="AH257" s="93">
        <v>25</v>
      </c>
      <c r="AI257" s="16">
        <v>3.5</v>
      </c>
      <c r="AJ257" s="16" t="s">
        <v>1241</v>
      </c>
      <c r="AK257" s="16" t="s">
        <v>1290</v>
      </c>
      <c r="AL257" s="16"/>
      <c r="AM257" s="60"/>
      <c r="AN257" s="60"/>
      <c r="AO257" s="60"/>
      <c r="AP257" s="60"/>
      <c r="AQ257" s="60"/>
      <c r="AR257" s="60"/>
      <c r="AS257" s="63"/>
      <c r="AT257" s="63"/>
      <c r="AU257" s="63"/>
      <c r="AV257" s="131"/>
      <c r="AW257" s="131"/>
      <c r="AX257" s="131"/>
      <c r="AY257" s="27" t="s">
        <v>662</v>
      </c>
      <c r="AZ257" s="27"/>
      <c r="BA257" s="27"/>
      <c r="BB257" s="30"/>
      <c r="BC257" s="30"/>
      <c r="BD257" s="30"/>
      <c r="BE257" s="30"/>
      <c r="BF257" s="30"/>
      <c r="BG257" s="30"/>
      <c r="BH257" s="107"/>
      <c r="BI257" s="107"/>
      <c r="BJ257" s="107"/>
      <c r="BK257" s="107"/>
      <c r="BL257" s="136">
        <v>1</v>
      </c>
      <c r="BM257" s="122"/>
      <c r="BN257" s="138">
        <v>0.1</v>
      </c>
      <c r="BO257" s="93"/>
      <c r="BP257" s="93"/>
      <c r="BQ257" s="93"/>
      <c r="BR257" s="93"/>
      <c r="BS257" s="93"/>
      <c r="BT257" s="93"/>
      <c r="BU257" s="27">
        <f t="shared" ref="BU257:BU258" si="266">IF(BL257=1,BN257,0)</f>
        <v>0.1</v>
      </c>
      <c r="BV257" s="27"/>
      <c r="BW257" s="27"/>
      <c r="BX257" s="27"/>
      <c r="BY257" s="27"/>
      <c r="BZ257" s="27"/>
      <c r="CA257" s="27"/>
      <c r="CB257" s="248">
        <v>1.1000000000000001</v>
      </c>
      <c r="CC257" s="244">
        <f t="shared" si="260"/>
        <v>1.44</v>
      </c>
      <c r="CD257" s="244">
        <v>1.77</v>
      </c>
      <c r="CE257" s="244">
        <f t="shared" si="249"/>
        <v>1.91</v>
      </c>
      <c r="CF257" s="244">
        <v>2.0499999999999998</v>
      </c>
      <c r="CG257" s="244">
        <f t="shared" si="251"/>
        <v>2.2999999999999998</v>
      </c>
      <c r="CH257" s="249">
        <v>2.5499999999999998</v>
      </c>
      <c r="CI257" s="173"/>
      <c r="CJ257" s="173"/>
      <c r="CK257" s="173"/>
      <c r="CL257" s="173"/>
      <c r="CM257" s="173"/>
      <c r="CN257" s="173"/>
      <c r="CO257" s="173"/>
      <c r="CP257" s="174"/>
      <c r="CQ257" s="174"/>
      <c r="CR257" s="174"/>
      <c r="CS257" s="174"/>
      <c r="CT257" s="174"/>
      <c r="CU257" s="174"/>
      <c r="CV257" s="174"/>
      <c r="CW257" s="165"/>
      <c r="CX257" s="166"/>
      <c r="CY257" s="166"/>
      <c r="CZ257" s="166"/>
      <c r="DA257" s="166"/>
      <c r="DB257" s="166"/>
      <c r="DC257" s="166"/>
      <c r="DD257" s="171"/>
      <c r="DE257" s="171"/>
      <c r="DF257" s="171"/>
      <c r="DG257" s="171"/>
      <c r="DH257" s="171"/>
      <c r="DI257" s="171"/>
      <c r="DJ257" s="171"/>
      <c r="DK257" s="79" t="s">
        <v>415</v>
      </c>
      <c r="DL257" s="128"/>
      <c r="DM257" s="128"/>
      <c r="DN257" s="128"/>
      <c r="DO257" s="128"/>
      <c r="DP257" s="128"/>
      <c r="DQ257" s="128"/>
      <c r="DR257" s="128"/>
      <c r="DS257" s="218"/>
      <c r="DT257" s="360"/>
      <c r="DU257" s="360"/>
      <c r="DV257" s="360"/>
      <c r="DW257" s="360"/>
      <c r="DX257" s="360"/>
      <c r="DY257" s="360"/>
      <c r="DZ257" s="360"/>
      <c r="EA257" s="360"/>
      <c r="EB257" s="360"/>
      <c r="EC257" s="360"/>
      <c r="ED257" s="360"/>
      <c r="EE257" s="360"/>
      <c r="EF257" s="360"/>
      <c r="EG257" s="360"/>
      <c r="EH257" s="360"/>
      <c r="EI257" s="360"/>
      <c r="EJ257" s="360"/>
      <c r="EK257" s="360"/>
      <c r="EL257" s="360"/>
      <c r="EM257" s="360"/>
      <c r="EN257" s="360"/>
      <c r="EO257" s="360"/>
      <c r="EP257" s="360"/>
      <c r="EQ257" s="360"/>
    </row>
    <row r="258" spans="1:147" x14ac:dyDescent="0.35">
      <c r="A258" s="238" t="s">
        <v>1297</v>
      </c>
      <c r="B258" s="6" t="s">
        <v>1243</v>
      </c>
      <c r="C258" s="6" t="s">
        <v>788</v>
      </c>
      <c r="D258" s="6" t="s">
        <v>1247</v>
      </c>
      <c r="E258" s="6" t="s">
        <v>1248</v>
      </c>
      <c r="F258" s="6" t="s">
        <v>455</v>
      </c>
      <c r="G258" s="48" t="s">
        <v>1298</v>
      </c>
      <c r="H258" s="235" t="s">
        <v>981</v>
      </c>
      <c r="I258" s="102">
        <v>770</v>
      </c>
      <c r="J258" s="102">
        <f t="shared" si="261"/>
        <v>617</v>
      </c>
      <c r="K258" s="102">
        <v>464</v>
      </c>
      <c r="L258" s="102">
        <f t="shared" si="262"/>
        <v>425.75</v>
      </c>
      <c r="M258" s="102">
        <f t="shared" si="263"/>
        <v>387.5</v>
      </c>
      <c r="N258" s="102">
        <f t="shared" si="264"/>
        <v>349.25</v>
      </c>
      <c r="O258" s="102">
        <v>311</v>
      </c>
      <c r="P258" s="94">
        <v>0</v>
      </c>
      <c r="Q258" s="292">
        <v>2.0499999999999998</v>
      </c>
      <c r="R258" s="292">
        <v>2.0499999999999998</v>
      </c>
      <c r="S258" s="292">
        <v>2.0499999999999998</v>
      </c>
      <c r="T258" s="292">
        <v>2.0499999999999998</v>
      </c>
      <c r="U258" s="292">
        <v>2.0499999999999998</v>
      </c>
      <c r="V258" s="292">
        <v>2.0499999999999998</v>
      </c>
      <c r="W258" s="292">
        <v>2.0499999999999998</v>
      </c>
      <c r="X258" s="102">
        <v>0.1</v>
      </c>
      <c r="Y258" s="102">
        <v>0.1</v>
      </c>
      <c r="Z258" s="102">
        <v>0.1</v>
      </c>
      <c r="AA258" s="102">
        <v>0.1</v>
      </c>
      <c r="AB258" s="102">
        <v>0.1</v>
      </c>
      <c r="AC258" s="102">
        <v>0.1</v>
      </c>
      <c r="AD258" s="102">
        <v>0.1</v>
      </c>
      <c r="AE258" s="186">
        <v>0.08</v>
      </c>
      <c r="AF258" s="94">
        <v>0</v>
      </c>
      <c r="AG258" s="94">
        <v>25</v>
      </c>
      <c r="AH258" s="94">
        <v>25</v>
      </c>
      <c r="AI258" s="17">
        <v>3.7</v>
      </c>
      <c r="AJ258" s="17" t="s">
        <v>1241</v>
      </c>
      <c r="AK258" s="17" t="s">
        <v>1290</v>
      </c>
      <c r="AL258" s="17"/>
      <c r="AM258" s="61"/>
      <c r="AN258" s="61"/>
      <c r="AO258" s="61"/>
      <c r="AP258" s="61"/>
      <c r="AQ258" s="61"/>
      <c r="AR258" s="61"/>
      <c r="AS258" s="64"/>
      <c r="AT258" s="64"/>
      <c r="AU258" s="64"/>
      <c r="AV258" s="132"/>
      <c r="AW258" s="132"/>
      <c r="AX258" s="132"/>
      <c r="AY258" s="28" t="s">
        <v>662</v>
      </c>
      <c r="AZ258" s="28"/>
      <c r="BA258" s="28"/>
      <c r="BB258" s="28"/>
      <c r="BC258" s="28"/>
      <c r="BD258" s="28"/>
      <c r="BE258" s="28"/>
      <c r="BF258" s="28"/>
      <c r="BG258" s="28"/>
      <c r="BH258" s="106"/>
      <c r="BI258" s="106"/>
      <c r="BJ258" s="106"/>
      <c r="BK258" s="106"/>
      <c r="BL258" s="137"/>
      <c r="BM258" s="123"/>
      <c r="BN258" s="139">
        <v>0</v>
      </c>
      <c r="BO258" s="94"/>
      <c r="BP258" s="94"/>
      <c r="BQ258" s="94"/>
      <c r="BR258" s="94"/>
      <c r="BS258" s="94"/>
      <c r="BT258" s="94"/>
      <c r="BU258" s="28">
        <f t="shared" si="266"/>
        <v>0</v>
      </c>
      <c r="BV258" s="28"/>
      <c r="BW258" s="28"/>
      <c r="BX258" s="28"/>
      <c r="BY258" s="28"/>
      <c r="BZ258" s="28"/>
      <c r="CA258" s="28"/>
      <c r="CB258" s="248">
        <v>1.1000000000000001</v>
      </c>
      <c r="CC258" s="244">
        <f t="shared" si="260"/>
        <v>1.06</v>
      </c>
      <c r="CD258" s="244">
        <v>1.01</v>
      </c>
      <c r="CE258" s="244">
        <f t="shared" si="249"/>
        <v>1.05</v>
      </c>
      <c r="CF258" s="244">
        <v>1.08</v>
      </c>
      <c r="CG258" s="244">
        <f t="shared" si="251"/>
        <v>1.18</v>
      </c>
      <c r="CH258" s="249">
        <v>1.28</v>
      </c>
      <c r="CI258" s="175"/>
      <c r="CJ258" s="175"/>
      <c r="CK258" s="175"/>
      <c r="CL258" s="175"/>
      <c r="CM258" s="175"/>
      <c r="CN258" s="175"/>
      <c r="CO258" s="175"/>
      <c r="CP258" s="176"/>
      <c r="CQ258" s="176"/>
      <c r="CR258" s="176"/>
      <c r="CS258" s="176"/>
      <c r="CT258" s="176"/>
      <c r="CU258" s="176"/>
      <c r="CV258" s="176"/>
      <c r="CW258" s="167"/>
      <c r="CX258" s="168"/>
      <c r="CY258" s="168"/>
      <c r="CZ258" s="168"/>
      <c r="DA258" s="168"/>
      <c r="DB258" s="168"/>
      <c r="DC258" s="168"/>
      <c r="DD258" s="172"/>
      <c r="DE258" s="172"/>
      <c r="DF258" s="172"/>
      <c r="DG258" s="172"/>
      <c r="DH258" s="172"/>
      <c r="DI258" s="172"/>
      <c r="DJ258" s="172"/>
      <c r="DK258" s="80" t="s">
        <v>415</v>
      </c>
      <c r="DL258" s="129"/>
      <c r="DM258" s="129"/>
      <c r="DN258" s="129"/>
      <c r="DO258" s="129"/>
      <c r="DP258" s="129"/>
      <c r="DQ258" s="129"/>
      <c r="DR258" s="129"/>
      <c r="DS258" s="218"/>
      <c r="DT258" s="360"/>
      <c r="DU258" s="360"/>
      <c r="DV258" s="360"/>
      <c r="DW258" s="360"/>
      <c r="DX258" s="360"/>
      <c r="DY258" s="360"/>
      <c r="DZ258" s="360"/>
      <c r="EA258" s="360"/>
      <c r="EB258" s="360"/>
      <c r="EC258" s="360"/>
      <c r="ED258" s="360"/>
      <c r="EE258" s="360"/>
      <c r="EF258" s="360"/>
      <c r="EG258" s="360"/>
      <c r="EH258" s="360"/>
      <c r="EI258" s="360"/>
      <c r="EJ258" s="360"/>
      <c r="EK258" s="360"/>
      <c r="EL258" s="360"/>
      <c r="EM258" s="360"/>
      <c r="EN258" s="360"/>
      <c r="EO258" s="360"/>
      <c r="EP258" s="360"/>
      <c r="EQ258" s="360"/>
    </row>
    <row r="259" spans="1:147" ht="15" thickBot="1" x14ac:dyDescent="0.4">
      <c r="A259" s="238" t="s">
        <v>1299</v>
      </c>
      <c r="B259" s="5" t="s">
        <v>1243</v>
      </c>
      <c r="C259" s="5" t="s">
        <v>788</v>
      </c>
      <c r="D259" s="5" t="s">
        <v>1247</v>
      </c>
      <c r="E259" s="5" t="s">
        <v>1248</v>
      </c>
      <c r="F259" s="5" t="s">
        <v>455</v>
      </c>
      <c r="G259" s="47" t="s">
        <v>1300</v>
      </c>
      <c r="H259" s="237" t="s">
        <v>981</v>
      </c>
      <c r="I259" s="101">
        <v>770</v>
      </c>
      <c r="J259" s="101">
        <f t="shared" si="261"/>
        <v>617</v>
      </c>
      <c r="K259" s="101">
        <v>464</v>
      </c>
      <c r="L259" s="101">
        <f t="shared" si="262"/>
        <v>425.75</v>
      </c>
      <c r="M259" s="101">
        <f t="shared" si="263"/>
        <v>387.5</v>
      </c>
      <c r="N259" s="101">
        <f t="shared" si="264"/>
        <v>349.25</v>
      </c>
      <c r="O259" s="101">
        <v>311</v>
      </c>
      <c r="P259" s="93">
        <v>0</v>
      </c>
      <c r="Q259" s="101">
        <v>1.88</v>
      </c>
      <c r="R259" s="101">
        <v>1.88</v>
      </c>
      <c r="S259" s="101">
        <v>1.88</v>
      </c>
      <c r="T259" s="101">
        <v>1.88</v>
      </c>
      <c r="U259" s="101">
        <v>1.88</v>
      </c>
      <c r="V259" s="101">
        <v>1.88</v>
      </c>
      <c r="W259" s="101">
        <v>1.88</v>
      </c>
      <c r="X259" s="101">
        <v>0.52</v>
      </c>
      <c r="Y259" s="101">
        <v>0.52</v>
      </c>
      <c r="Z259" s="101">
        <v>0.52</v>
      </c>
      <c r="AA259" s="101">
        <v>0.52</v>
      </c>
      <c r="AB259" s="101">
        <v>0.52</v>
      </c>
      <c r="AC259" s="101">
        <v>0.52</v>
      </c>
      <c r="AD259" s="101">
        <v>0.52</v>
      </c>
      <c r="AE259" s="186">
        <v>0.08</v>
      </c>
      <c r="AF259" s="93">
        <v>0</v>
      </c>
      <c r="AG259" s="93">
        <v>15</v>
      </c>
      <c r="AH259" s="93">
        <v>25</v>
      </c>
      <c r="AI259" s="16">
        <v>3.7</v>
      </c>
      <c r="AJ259" s="16" t="s">
        <v>1241</v>
      </c>
      <c r="AK259" s="16" t="s">
        <v>1290</v>
      </c>
      <c r="AL259" s="16"/>
      <c r="AM259" s="60"/>
      <c r="AN259" s="60"/>
      <c r="AO259" s="60"/>
      <c r="AP259" s="60"/>
      <c r="AQ259" s="60"/>
      <c r="AR259" s="60"/>
      <c r="AS259" s="63"/>
      <c r="AT259" s="63"/>
      <c r="AU259" s="63"/>
      <c r="AV259" s="131"/>
      <c r="AW259" s="131"/>
      <c r="AX259" s="131"/>
      <c r="AY259" s="27" t="s">
        <v>662</v>
      </c>
      <c r="AZ259" s="27"/>
      <c r="BA259" s="27"/>
      <c r="BB259" s="30"/>
      <c r="BC259" s="30"/>
      <c r="BD259" s="30"/>
      <c r="BE259" s="30"/>
      <c r="BF259" s="30"/>
      <c r="BG259" s="30"/>
      <c r="BH259" s="107"/>
      <c r="BI259" s="107"/>
      <c r="BJ259" s="107"/>
      <c r="BK259" s="107"/>
      <c r="BL259" s="136">
        <v>1</v>
      </c>
      <c r="BM259" s="122"/>
      <c r="BN259" s="196">
        <v>3.5</v>
      </c>
      <c r="BO259" s="93"/>
      <c r="BP259" s="93"/>
      <c r="BQ259" s="93"/>
      <c r="BR259" s="93"/>
      <c r="BS259" s="93"/>
      <c r="BT259" s="93"/>
      <c r="BU259" s="27">
        <f>IF(BL259=1,BN259,0)</f>
        <v>3.5</v>
      </c>
      <c r="BV259" s="27"/>
      <c r="BW259" s="27"/>
      <c r="BX259" s="27"/>
      <c r="BY259" s="27"/>
      <c r="BZ259" s="27"/>
      <c r="CA259" s="27"/>
      <c r="CB259" s="250">
        <v>3.5</v>
      </c>
      <c r="CC259" s="251">
        <f t="shared" si="260"/>
        <v>4.63</v>
      </c>
      <c r="CD259" s="251">
        <v>5.76</v>
      </c>
      <c r="CE259" s="251">
        <f t="shared" si="249"/>
        <v>8.1199999999999992</v>
      </c>
      <c r="CF259" s="251">
        <v>10.48</v>
      </c>
      <c r="CG259" s="251">
        <f t="shared" si="251"/>
        <v>13.48</v>
      </c>
      <c r="CH259" s="252">
        <v>16.48</v>
      </c>
      <c r="CI259" s="191">
        <f>12*0.5</f>
        <v>6</v>
      </c>
      <c r="CJ259" s="173"/>
      <c r="CK259" s="173"/>
      <c r="CL259" s="173"/>
      <c r="CM259" s="173"/>
      <c r="CN259" s="173"/>
      <c r="CO259" s="173"/>
      <c r="CP259" s="174"/>
      <c r="CQ259" s="174"/>
      <c r="CR259" s="174"/>
      <c r="CS259" s="174"/>
      <c r="CT259" s="174"/>
      <c r="CU259" s="174"/>
      <c r="CV259" s="174"/>
      <c r="CW259" s="165"/>
      <c r="CX259" s="166"/>
      <c r="CY259" s="166"/>
      <c r="CZ259" s="166"/>
      <c r="DA259" s="166"/>
      <c r="DB259" s="166"/>
      <c r="DC259" s="166"/>
      <c r="DD259" s="171"/>
      <c r="DE259" s="171"/>
      <c r="DF259" s="171"/>
      <c r="DG259" s="171"/>
      <c r="DH259" s="171"/>
      <c r="DI259" s="171"/>
      <c r="DJ259" s="171"/>
      <c r="DK259" s="79" t="s">
        <v>1251</v>
      </c>
      <c r="DL259" s="128"/>
      <c r="DM259" s="128"/>
      <c r="DN259" s="128"/>
      <c r="DO259" s="128"/>
      <c r="DP259" s="128"/>
      <c r="DQ259" s="128"/>
      <c r="DR259" s="128"/>
      <c r="DS259" s="218"/>
      <c r="DT259" s="360"/>
      <c r="DU259" s="360"/>
      <c r="DV259" s="360"/>
      <c r="DW259" s="360"/>
      <c r="DX259" s="360"/>
      <c r="DY259" s="360"/>
      <c r="DZ259" s="360"/>
      <c r="EA259" s="360"/>
      <c r="EB259" s="360"/>
      <c r="EC259" s="360"/>
      <c r="ED259" s="360"/>
      <c r="EE259" s="360"/>
      <c r="EF259" s="360"/>
      <c r="EG259" s="360"/>
      <c r="EH259" s="360"/>
      <c r="EI259" s="360"/>
      <c r="EJ259" s="360"/>
      <c r="EK259" s="360"/>
      <c r="EL259" s="360"/>
      <c r="EM259" s="360"/>
      <c r="EN259" s="360"/>
      <c r="EO259" s="360"/>
      <c r="EP259" s="360"/>
      <c r="EQ259" s="360"/>
    </row>
    <row r="260" spans="1:147" x14ac:dyDescent="0.35">
      <c r="A260" s="234" t="s">
        <v>1301</v>
      </c>
      <c r="B260" s="6" t="s">
        <v>1243</v>
      </c>
      <c r="C260" s="6" t="s">
        <v>788</v>
      </c>
      <c r="D260" s="6" t="s">
        <v>1247</v>
      </c>
      <c r="E260" s="6" t="s">
        <v>1248</v>
      </c>
      <c r="F260" s="6" t="s">
        <v>455</v>
      </c>
      <c r="G260" s="48" t="s">
        <v>1302</v>
      </c>
      <c r="H260" s="235" t="s">
        <v>981</v>
      </c>
      <c r="I260" s="102">
        <v>4283.99</v>
      </c>
      <c r="J260" s="102">
        <v>4270.37</v>
      </c>
      <c r="K260" s="102">
        <v>4256.76</v>
      </c>
      <c r="L260" s="101">
        <f>(M260+K260)/2</f>
        <v>4243.8325000000004</v>
      </c>
      <c r="M260" s="101">
        <f>(K260+O260)/2</f>
        <v>4230.9050000000007</v>
      </c>
      <c r="N260" s="101">
        <f>(O260+M260)/2</f>
        <v>4217.9775000000009</v>
      </c>
      <c r="O260" s="102">
        <v>4205.05</v>
      </c>
      <c r="P260" s="94">
        <v>0</v>
      </c>
      <c r="Q260" s="102">
        <v>10.76</v>
      </c>
      <c r="R260" s="102">
        <v>10.76</v>
      </c>
      <c r="S260" s="102">
        <v>10.76</v>
      </c>
      <c r="T260" s="102">
        <v>10.76</v>
      </c>
      <c r="U260" s="102">
        <v>10.76</v>
      </c>
      <c r="V260" s="102">
        <v>10.76</v>
      </c>
      <c r="W260" s="102">
        <v>10.76</v>
      </c>
      <c r="X260" s="102">
        <v>0.15</v>
      </c>
      <c r="Y260" s="102">
        <v>0.15</v>
      </c>
      <c r="Z260" s="102">
        <v>0.15</v>
      </c>
      <c r="AA260" s="102">
        <v>0.15</v>
      </c>
      <c r="AB260" s="102">
        <v>0.15</v>
      </c>
      <c r="AC260" s="102">
        <v>0.15</v>
      </c>
      <c r="AD260" s="102">
        <v>0.15</v>
      </c>
      <c r="AE260" s="186">
        <v>0.08</v>
      </c>
      <c r="AF260" s="94">
        <v>0</v>
      </c>
      <c r="AG260" s="94">
        <v>30</v>
      </c>
      <c r="AH260" s="94">
        <v>30</v>
      </c>
      <c r="AI260" s="17">
        <v>9.1</v>
      </c>
      <c r="AJ260" s="17" t="s">
        <v>1241</v>
      </c>
      <c r="AK260" s="17" t="s">
        <v>1303</v>
      </c>
      <c r="AL260" s="17"/>
      <c r="AM260" s="61"/>
      <c r="AN260" s="61"/>
      <c r="AO260" s="61"/>
      <c r="AP260" s="61"/>
      <c r="AQ260" s="61"/>
      <c r="AR260" s="61"/>
      <c r="AS260" s="64"/>
      <c r="AT260" s="64"/>
      <c r="AU260" s="64"/>
      <c r="AV260" s="132"/>
      <c r="AW260" s="132"/>
      <c r="AX260" s="132"/>
      <c r="AY260" s="28" t="s">
        <v>662</v>
      </c>
      <c r="AZ260" s="28"/>
      <c r="BA260" s="28"/>
      <c r="BB260" s="28"/>
      <c r="BC260" s="28"/>
      <c r="BD260" s="28"/>
      <c r="BE260" s="28"/>
      <c r="BF260" s="28"/>
      <c r="BG260" s="28"/>
      <c r="BH260" s="106"/>
      <c r="BI260" s="106"/>
      <c r="BJ260" s="106"/>
      <c r="BK260" s="106"/>
      <c r="BL260" s="137"/>
      <c r="BM260" s="123"/>
      <c r="BN260" s="139">
        <v>0.04</v>
      </c>
      <c r="BO260" s="94"/>
      <c r="BP260" s="94"/>
      <c r="BQ260" s="94"/>
      <c r="BR260" s="94"/>
      <c r="BS260" s="94"/>
      <c r="BT260" s="94">
        <v>0.04</v>
      </c>
      <c r="BU260" s="28">
        <f>IF(BL260=1,BN260,0)</f>
        <v>0</v>
      </c>
      <c r="BV260" s="28">
        <v>0.04</v>
      </c>
      <c r="BW260" s="28">
        <v>0.04</v>
      </c>
      <c r="BX260" s="28"/>
      <c r="BY260" s="28"/>
      <c r="BZ260" s="28"/>
      <c r="CA260" s="28"/>
      <c r="CB260" s="244">
        <v>0.04</v>
      </c>
      <c r="CC260" s="244">
        <f t="shared" si="260"/>
        <v>0.04</v>
      </c>
      <c r="CD260" s="244">
        <v>0.04</v>
      </c>
      <c r="CE260" s="244">
        <f t="shared" si="249"/>
        <v>0.04</v>
      </c>
      <c r="CF260" s="244">
        <f t="shared" si="250"/>
        <v>0.04</v>
      </c>
      <c r="CG260" s="244">
        <f t="shared" si="251"/>
        <v>0.04</v>
      </c>
      <c r="CH260" s="244">
        <v>0.04</v>
      </c>
      <c r="CI260" s="175"/>
      <c r="CJ260" s="175"/>
      <c r="CK260" s="175"/>
      <c r="CL260" s="175"/>
      <c r="CM260" s="175"/>
      <c r="CN260" s="175"/>
      <c r="CO260" s="175"/>
      <c r="CP260" s="176"/>
      <c r="CQ260" s="176"/>
      <c r="CR260" s="176"/>
      <c r="CS260" s="176"/>
      <c r="CT260" s="176"/>
      <c r="CU260" s="176"/>
      <c r="CV260" s="176"/>
      <c r="CW260" s="167"/>
      <c r="CX260" s="168"/>
      <c r="CY260" s="168"/>
      <c r="CZ260" s="168"/>
      <c r="DA260" s="168"/>
      <c r="DB260" s="168"/>
      <c r="DC260" s="168"/>
      <c r="DD260" s="172"/>
      <c r="DE260" s="172"/>
      <c r="DF260" s="172"/>
      <c r="DG260" s="172"/>
      <c r="DH260" s="172"/>
      <c r="DI260" s="172"/>
      <c r="DJ260" s="172"/>
      <c r="DK260" s="80" t="s">
        <v>1304</v>
      </c>
      <c r="DL260" s="129"/>
      <c r="DM260" s="129"/>
      <c r="DN260" s="129"/>
      <c r="DO260" s="129"/>
      <c r="DP260" s="129"/>
      <c r="DQ260" s="129"/>
      <c r="DR260" s="129"/>
      <c r="DS260" s="218"/>
      <c r="DT260" s="360"/>
      <c r="DU260" s="360"/>
      <c r="DV260" s="360"/>
      <c r="DW260" s="360"/>
      <c r="DX260" s="360"/>
      <c r="DY260" s="360"/>
      <c r="DZ260" s="360"/>
      <c r="EA260" s="360"/>
      <c r="EB260" s="360"/>
      <c r="EC260" s="360"/>
      <c r="ED260" s="360"/>
      <c r="EE260" s="360"/>
      <c r="EF260" s="360"/>
      <c r="EG260" s="360"/>
      <c r="EH260" s="360"/>
      <c r="EI260" s="360"/>
      <c r="EJ260" s="360"/>
      <c r="EK260" s="360"/>
      <c r="EL260" s="360"/>
      <c r="EM260" s="360"/>
      <c r="EN260" s="360"/>
      <c r="EO260" s="360"/>
      <c r="EP260" s="360"/>
      <c r="EQ260" s="360"/>
    </row>
    <row r="261" spans="1:147" x14ac:dyDescent="0.35">
      <c r="A261" s="236" t="s">
        <v>1305</v>
      </c>
      <c r="B261" s="5" t="s">
        <v>1243</v>
      </c>
      <c r="C261" s="5" t="s">
        <v>788</v>
      </c>
      <c r="D261" s="5" t="s">
        <v>1247</v>
      </c>
      <c r="E261" s="5" t="s">
        <v>1306</v>
      </c>
      <c r="F261" s="5" t="s">
        <v>455</v>
      </c>
      <c r="G261" s="47" t="s">
        <v>1307</v>
      </c>
      <c r="H261" s="237" t="s">
        <v>981</v>
      </c>
      <c r="I261" s="101">
        <v>0</v>
      </c>
      <c r="J261" s="101">
        <v>0</v>
      </c>
      <c r="K261" s="101">
        <v>0</v>
      </c>
      <c r="L261" s="101">
        <v>0</v>
      </c>
      <c r="M261" s="101">
        <v>0</v>
      </c>
      <c r="N261" s="101">
        <v>0</v>
      </c>
      <c r="O261" s="101">
        <v>0</v>
      </c>
      <c r="P261" s="93">
        <v>0</v>
      </c>
      <c r="Q261" s="101">
        <v>0</v>
      </c>
      <c r="R261" s="101">
        <v>0</v>
      </c>
      <c r="S261" s="101">
        <v>0</v>
      </c>
      <c r="T261" s="101">
        <v>0</v>
      </c>
      <c r="U261" s="101">
        <v>0</v>
      </c>
      <c r="V261" s="101">
        <v>0</v>
      </c>
      <c r="W261" s="101">
        <v>0</v>
      </c>
      <c r="X261" s="101">
        <v>869.03</v>
      </c>
      <c r="Y261" s="101">
        <v>869.03</v>
      </c>
      <c r="Z261" s="101">
        <v>869.03</v>
      </c>
      <c r="AA261" s="101">
        <v>869.03</v>
      </c>
      <c r="AB261" s="101">
        <v>869.03</v>
      </c>
      <c r="AC261" s="101">
        <v>869.03</v>
      </c>
      <c r="AD261" s="101">
        <v>869.03</v>
      </c>
      <c r="AE261" s="186">
        <v>0.08</v>
      </c>
      <c r="AF261" s="93">
        <v>0</v>
      </c>
      <c r="AG261" s="93">
        <v>1</v>
      </c>
      <c r="AH261" s="93">
        <v>1</v>
      </c>
      <c r="AI261" s="16">
        <v>31.536000000000001</v>
      </c>
      <c r="AJ261" s="16" t="s">
        <v>1241</v>
      </c>
      <c r="AK261" s="16" t="s">
        <v>745</v>
      </c>
      <c r="AL261" s="16"/>
      <c r="AM261" s="60"/>
      <c r="AN261" s="60"/>
      <c r="AO261" s="60"/>
      <c r="AP261" s="60"/>
      <c r="AQ261" s="60"/>
      <c r="AR261" s="60"/>
      <c r="AS261" s="63"/>
      <c r="AT261" s="63"/>
      <c r="AU261" s="63"/>
      <c r="AV261" s="131"/>
      <c r="AW261" s="131"/>
      <c r="AX261" s="131"/>
      <c r="AY261" s="27" t="s">
        <v>662</v>
      </c>
      <c r="AZ261" s="27"/>
      <c r="BA261" s="27"/>
      <c r="BB261" s="30"/>
      <c r="BC261" s="30"/>
      <c r="BD261" s="30"/>
      <c r="BE261" s="30"/>
      <c r="BF261" s="30"/>
      <c r="BG261" s="30"/>
      <c r="BH261" s="107"/>
      <c r="BI261" s="107"/>
      <c r="BJ261" s="107"/>
      <c r="BK261" s="107"/>
      <c r="BL261" s="136"/>
      <c r="BM261" s="122"/>
      <c r="BN261" s="138"/>
      <c r="BO261" s="93"/>
      <c r="BP261" s="93"/>
      <c r="BQ261" s="93"/>
      <c r="BR261" s="93"/>
      <c r="BS261" s="93"/>
      <c r="BT261" s="93"/>
      <c r="BU261" s="27">
        <f>IF(BL261=1,BN261,0)</f>
        <v>0</v>
      </c>
      <c r="BV261" s="408">
        <v>10</v>
      </c>
      <c r="BW261" s="408">
        <v>10</v>
      </c>
      <c r="BX261" s="408">
        <v>10</v>
      </c>
      <c r="BY261" s="408">
        <v>10</v>
      </c>
      <c r="BZ261" s="408">
        <v>10</v>
      </c>
      <c r="CA261" s="408">
        <v>10</v>
      </c>
      <c r="CB261" s="408">
        <v>10</v>
      </c>
      <c r="CC261" s="408">
        <v>10</v>
      </c>
      <c r="CD261" s="408">
        <v>10</v>
      </c>
      <c r="CE261" s="408">
        <v>10</v>
      </c>
      <c r="CF261" s="408">
        <v>10</v>
      </c>
      <c r="CG261" s="408">
        <v>10</v>
      </c>
      <c r="CH261" s="408">
        <v>10</v>
      </c>
      <c r="CI261" s="173"/>
      <c r="CJ261" s="173"/>
      <c r="CK261" s="173"/>
      <c r="CL261" s="173"/>
      <c r="CM261" s="173"/>
      <c r="CN261" s="173"/>
      <c r="CO261" s="173"/>
      <c r="CP261" s="174"/>
      <c r="CQ261" s="174"/>
      <c r="CR261" s="174"/>
      <c r="CS261" s="174"/>
      <c r="CT261" s="174"/>
      <c r="CU261" s="174"/>
      <c r="CV261" s="174"/>
      <c r="CW261" s="165"/>
      <c r="CX261" s="166"/>
      <c r="CY261" s="166"/>
      <c r="CZ261" s="166"/>
      <c r="DA261" s="166"/>
      <c r="DB261" s="166"/>
      <c r="DC261" s="166"/>
      <c r="DD261" s="171"/>
      <c r="DE261" s="171"/>
      <c r="DF261" s="171"/>
      <c r="DG261" s="171"/>
      <c r="DH261" s="171"/>
      <c r="DI261" s="171"/>
      <c r="DJ261" s="171"/>
      <c r="DK261" s="79" t="s">
        <v>415</v>
      </c>
      <c r="DL261" s="128"/>
      <c r="DM261" s="128"/>
      <c r="DN261" s="128"/>
      <c r="DO261" s="128"/>
      <c r="DP261" s="128"/>
      <c r="DQ261" s="128"/>
      <c r="DR261" s="128"/>
      <c r="DS261" s="218"/>
      <c r="DT261" s="360"/>
      <c r="DU261" s="360"/>
      <c r="DV261" s="360"/>
      <c r="DW261" s="360"/>
      <c r="DX261" s="360"/>
      <c r="DY261" s="360"/>
      <c r="DZ261" s="360"/>
      <c r="EA261" s="360"/>
      <c r="EB261" s="360"/>
      <c r="EC261" s="360"/>
      <c r="ED261" s="360"/>
      <c r="EE261" s="360"/>
      <c r="EF261" s="360"/>
      <c r="EG261" s="360"/>
      <c r="EH261" s="360"/>
      <c r="EI261" s="360"/>
      <c r="EJ261" s="360"/>
      <c r="EK261" s="360"/>
      <c r="EL261" s="360"/>
      <c r="EM261" s="360"/>
      <c r="EN261" s="360"/>
      <c r="EO261" s="360"/>
      <c r="EP261" s="360"/>
      <c r="EQ261" s="360"/>
    </row>
    <row r="262" spans="1:147" x14ac:dyDescent="0.35">
      <c r="A262" s="234" t="s">
        <v>1308</v>
      </c>
      <c r="B262" s="6" t="s">
        <v>1243</v>
      </c>
      <c r="C262" s="6" t="s">
        <v>788</v>
      </c>
      <c r="D262" s="6" t="s">
        <v>1247</v>
      </c>
      <c r="E262" s="6" t="s">
        <v>1309</v>
      </c>
      <c r="F262" s="6" t="s">
        <v>455</v>
      </c>
      <c r="G262" s="48" t="s">
        <v>1310</v>
      </c>
      <c r="H262" s="235" t="s">
        <v>981</v>
      </c>
      <c r="I262" s="102">
        <v>1345.88</v>
      </c>
      <c r="J262" s="102">
        <v>1345.88</v>
      </c>
      <c r="K262" s="102">
        <v>1000</v>
      </c>
      <c r="L262" s="101">
        <f>(M262+K262)/2</f>
        <v>975</v>
      </c>
      <c r="M262" s="101">
        <f>(K262+O262)/2</f>
        <v>950</v>
      </c>
      <c r="N262" s="101">
        <f>(O262+M262)/2</f>
        <v>925</v>
      </c>
      <c r="O262" s="102">
        <v>900</v>
      </c>
      <c r="P262" s="94">
        <v>0</v>
      </c>
      <c r="Q262" s="102">
        <v>12</v>
      </c>
      <c r="R262" s="102">
        <v>12</v>
      </c>
      <c r="S262" s="102">
        <v>12</v>
      </c>
      <c r="T262" s="102">
        <v>12</v>
      </c>
      <c r="U262" s="102">
        <v>12</v>
      </c>
      <c r="V262" s="102">
        <v>12</v>
      </c>
      <c r="W262" s="102">
        <v>12</v>
      </c>
      <c r="X262" s="102">
        <v>0.56000000000000005</v>
      </c>
      <c r="Y262" s="102">
        <v>0.56000000000000005</v>
      </c>
      <c r="Z262" s="102">
        <v>0.56000000000000005</v>
      </c>
      <c r="AA262" s="102">
        <v>0.56000000000000005</v>
      </c>
      <c r="AB262" s="102">
        <v>0.56000000000000005</v>
      </c>
      <c r="AC262" s="102">
        <v>0.56000000000000005</v>
      </c>
      <c r="AD262" s="102">
        <v>0.56000000000000005</v>
      </c>
      <c r="AE262" s="186">
        <v>0.08</v>
      </c>
      <c r="AF262" s="94">
        <v>0</v>
      </c>
      <c r="AG262" s="94">
        <v>40</v>
      </c>
      <c r="AH262" s="94">
        <v>40</v>
      </c>
      <c r="AI262" s="16">
        <v>31.536000000000001</v>
      </c>
      <c r="AJ262" s="17" t="s">
        <v>660</v>
      </c>
      <c r="AK262" s="17" t="s">
        <v>745</v>
      </c>
      <c r="AL262" s="17"/>
      <c r="AM262" s="61"/>
      <c r="AN262" s="61"/>
      <c r="AO262" s="61"/>
      <c r="AP262" s="61"/>
      <c r="AQ262" s="61"/>
      <c r="AR262" s="61"/>
      <c r="AS262" s="64"/>
      <c r="AT262" s="64"/>
      <c r="AU262" s="64"/>
      <c r="AV262" s="132"/>
      <c r="AW262" s="132"/>
      <c r="AX262" s="132"/>
      <c r="AY262" s="28" t="s">
        <v>1309</v>
      </c>
      <c r="AZ262" s="28" t="s">
        <v>455</v>
      </c>
      <c r="BA262" s="28">
        <v>1</v>
      </c>
      <c r="BB262" s="28">
        <v>5</v>
      </c>
      <c r="BC262" s="28" t="s">
        <v>667</v>
      </c>
      <c r="BD262" s="28">
        <v>0.2</v>
      </c>
      <c r="BE262" s="28"/>
      <c r="BF262" s="28"/>
      <c r="BG262" s="28"/>
      <c r="BH262" s="106"/>
      <c r="BI262" s="106"/>
      <c r="BJ262" s="106"/>
      <c r="BK262" s="106"/>
      <c r="BL262" s="137"/>
      <c r="BM262" s="123"/>
      <c r="BN262" s="139">
        <v>0</v>
      </c>
      <c r="BO262" s="94"/>
      <c r="BP262" s="94"/>
      <c r="BQ262" s="94"/>
      <c r="BR262" s="94"/>
      <c r="BS262" s="94"/>
      <c r="BT262" s="94"/>
      <c r="BU262" s="28">
        <f t="shared" si="248"/>
        <v>0</v>
      </c>
      <c r="BV262" s="28"/>
      <c r="BW262" s="28"/>
      <c r="BX262" s="28"/>
      <c r="BY262" s="28"/>
      <c r="BZ262" s="28"/>
      <c r="CA262" s="28"/>
      <c r="CB262" s="99"/>
      <c r="CC262" s="185"/>
      <c r="CD262" s="185"/>
      <c r="CE262" s="185"/>
      <c r="CF262" s="185"/>
      <c r="CG262" s="185"/>
      <c r="CH262" s="185"/>
      <c r="CI262" s="175"/>
      <c r="CJ262" s="175"/>
      <c r="CK262" s="175"/>
      <c r="CL262" s="175"/>
      <c r="CM262" s="175"/>
      <c r="CN262" s="175"/>
      <c r="CO262" s="175"/>
      <c r="CP262" s="176"/>
      <c r="CQ262" s="176"/>
      <c r="CR262" s="176"/>
      <c r="CS262" s="176"/>
      <c r="CT262" s="176"/>
      <c r="CU262" s="176"/>
      <c r="CV262" s="176"/>
      <c r="CW262" s="167"/>
      <c r="CX262" s="168"/>
      <c r="CY262" s="168"/>
      <c r="CZ262" s="168"/>
      <c r="DA262" s="168"/>
      <c r="DB262" s="168"/>
      <c r="DC262" s="168"/>
      <c r="DD262" s="172"/>
      <c r="DE262" s="172"/>
      <c r="DF262" s="172"/>
      <c r="DG262" s="172"/>
      <c r="DH262" s="172"/>
      <c r="DI262" s="172"/>
      <c r="DJ262" s="172"/>
      <c r="DK262" s="80" t="s">
        <v>415</v>
      </c>
      <c r="DL262" s="129"/>
      <c r="DM262" s="129"/>
      <c r="DN262" s="129"/>
      <c r="DO262" s="129"/>
      <c r="DP262" s="129"/>
      <c r="DQ262" s="129"/>
      <c r="DR262" s="129"/>
      <c r="DS262" s="218"/>
      <c r="DT262" s="360"/>
      <c r="DU262" s="360"/>
      <c r="DV262" s="360"/>
      <c r="DW262" s="360"/>
      <c r="DX262" s="360"/>
      <c r="DY262" s="360"/>
      <c r="DZ262" s="360"/>
      <c r="EA262" s="360"/>
      <c r="EB262" s="360"/>
      <c r="EC262" s="360"/>
      <c r="ED262" s="360"/>
      <c r="EE262" s="360"/>
      <c r="EF262" s="360"/>
      <c r="EG262" s="360"/>
      <c r="EH262" s="360"/>
      <c r="EI262" s="360"/>
      <c r="EJ262" s="360"/>
      <c r="EK262" s="360"/>
      <c r="EL262" s="360"/>
      <c r="EM262" s="360"/>
      <c r="EN262" s="360"/>
      <c r="EO262" s="360"/>
      <c r="EP262" s="360"/>
      <c r="EQ262" s="360"/>
    </row>
    <row r="263" spans="1:147" x14ac:dyDescent="0.35">
      <c r="A263" s="236" t="s">
        <v>1311</v>
      </c>
      <c r="B263" s="5" t="s">
        <v>1243</v>
      </c>
      <c r="C263" s="5" t="s">
        <v>788</v>
      </c>
      <c r="D263" s="5" t="s">
        <v>1247</v>
      </c>
      <c r="E263" s="5" t="s">
        <v>1309</v>
      </c>
      <c r="F263" s="5" t="s">
        <v>455</v>
      </c>
      <c r="G263" s="47" t="s">
        <v>1312</v>
      </c>
      <c r="H263" s="237" t="s">
        <v>981</v>
      </c>
      <c r="I263" s="101">
        <v>1724.87</v>
      </c>
      <c r="J263" s="101">
        <v>1724.87</v>
      </c>
      <c r="K263" s="101">
        <v>1300</v>
      </c>
      <c r="L263" s="101">
        <f>(M263+K263)/2</f>
        <v>1275</v>
      </c>
      <c r="M263" s="101">
        <f>(K263+O263)/2</f>
        <v>1250</v>
      </c>
      <c r="N263" s="101">
        <f>(O263+M263)/2</f>
        <v>1225</v>
      </c>
      <c r="O263" s="101">
        <v>1200</v>
      </c>
      <c r="P263" s="93">
        <v>0</v>
      </c>
      <c r="Q263" s="101">
        <v>16</v>
      </c>
      <c r="R263" s="101">
        <v>16</v>
      </c>
      <c r="S263" s="101">
        <v>16</v>
      </c>
      <c r="T263" s="101">
        <v>16</v>
      </c>
      <c r="U263" s="101">
        <v>16</v>
      </c>
      <c r="V263" s="101">
        <v>16</v>
      </c>
      <c r="W263" s="101">
        <v>16</v>
      </c>
      <c r="X263" s="101">
        <v>0.56000000000000005</v>
      </c>
      <c r="Y263" s="101">
        <v>0.56000000000000005</v>
      </c>
      <c r="Z263" s="101">
        <v>0.56000000000000005</v>
      </c>
      <c r="AA263" s="101">
        <v>0.56000000000000005</v>
      </c>
      <c r="AB263" s="101">
        <v>0.56000000000000005</v>
      </c>
      <c r="AC263" s="101">
        <v>0.56000000000000005</v>
      </c>
      <c r="AD263" s="101">
        <v>0.56000000000000005</v>
      </c>
      <c r="AE263" s="186">
        <v>0.08</v>
      </c>
      <c r="AF263" s="93">
        <v>0</v>
      </c>
      <c r="AG263" s="93">
        <v>40</v>
      </c>
      <c r="AH263" s="93">
        <v>40</v>
      </c>
      <c r="AI263" s="16">
        <v>31.536000000000001</v>
      </c>
      <c r="AJ263" s="16" t="s">
        <v>660</v>
      </c>
      <c r="AK263" s="16" t="s">
        <v>745</v>
      </c>
      <c r="AL263" s="16"/>
      <c r="AM263" s="60"/>
      <c r="AN263" s="60"/>
      <c r="AO263" s="60"/>
      <c r="AP263" s="60"/>
      <c r="AQ263" s="60"/>
      <c r="AR263" s="60"/>
      <c r="AS263" s="63"/>
      <c r="AT263" s="63"/>
      <c r="AU263" s="63"/>
      <c r="AV263" s="131"/>
      <c r="AW263" s="131"/>
      <c r="AX263" s="131"/>
      <c r="AY263" s="27" t="s">
        <v>1309</v>
      </c>
      <c r="AZ263" s="27" t="s">
        <v>455</v>
      </c>
      <c r="BA263" s="27">
        <v>1</v>
      </c>
      <c r="BB263" s="30">
        <v>12</v>
      </c>
      <c r="BC263" s="30" t="s">
        <v>1313</v>
      </c>
      <c r="BD263" s="30">
        <v>0.24</v>
      </c>
      <c r="BE263" s="30"/>
      <c r="BF263" s="30"/>
      <c r="BG263" s="30"/>
      <c r="BH263" s="107"/>
      <c r="BI263" s="107"/>
      <c r="BJ263" s="107"/>
      <c r="BK263" s="107"/>
      <c r="BL263" s="136"/>
      <c r="BM263" s="122"/>
      <c r="BN263" s="138">
        <v>0</v>
      </c>
      <c r="BO263" s="93"/>
      <c r="BP263" s="93"/>
      <c r="BQ263" s="93"/>
      <c r="BR263" s="93"/>
      <c r="BS263" s="93"/>
      <c r="BT263" s="93"/>
      <c r="BU263" s="27">
        <f t="shared" si="248"/>
        <v>0</v>
      </c>
      <c r="BV263" s="27"/>
      <c r="BW263" s="27"/>
      <c r="BX263" s="27"/>
      <c r="BY263" s="27"/>
      <c r="BZ263" s="27"/>
      <c r="CA263" s="27"/>
      <c r="CB263" s="97"/>
      <c r="CC263" s="185"/>
      <c r="CD263" s="185"/>
      <c r="CE263" s="185"/>
      <c r="CF263" s="185"/>
      <c r="CG263" s="185"/>
      <c r="CH263" s="185"/>
      <c r="CI263" s="173"/>
      <c r="CJ263" s="173"/>
      <c r="CK263" s="173"/>
      <c r="CL263" s="173"/>
      <c r="CM263" s="173"/>
      <c r="CN263" s="173"/>
      <c r="CO263" s="173"/>
      <c r="CP263" s="174"/>
      <c r="CQ263" s="174"/>
      <c r="CR263" s="174"/>
      <c r="CS263" s="174"/>
      <c r="CT263" s="174"/>
      <c r="CU263" s="174"/>
      <c r="CV263" s="174"/>
      <c r="CW263" s="165"/>
      <c r="CX263" s="166"/>
      <c r="CY263" s="166"/>
      <c r="CZ263" s="166"/>
      <c r="DA263" s="166"/>
      <c r="DB263" s="166"/>
      <c r="DC263" s="166"/>
      <c r="DD263" s="171"/>
      <c r="DE263" s="171"/>
      <c r="DF263" s="171"/>
      <c r="DG263" s="171"/>
      <c r="DH263" s="171"/>
      <c r="DI263" s="171"/>
      <c r="DJ263" s="171"/>
      <c r="DK263" s="79" t="s">
        <v>415</v>
      </c>
      <c r="DL263" s="128"/>
      <c r="DM263" s="128"/>
      <c r="DN263" s="128"/>
      <c r="DO263" s="128"/>
      <c r="DP263" s="128"/>
      <c r="DQ263" s="128"/>
      <c r="DR263" s="128"/>
      <c r="DS263" s="218"/>
      <c r="DT263" s="360"/>
      <c r="DU263" s="360"/>
      <c r="DV263" s="360"/>
      <c r="DW263" s="360"/>
      <c r="DX263" s="360"/>
      <c r="DY263" s="360"/>
      <c r="DZ263" s="360"/>
      <c r="EA263" s="360"/>
      <c r="EB263" s="360"/>
      <c r="EC263" s="360"/>
      <c r="ED263" s="360"/>
      <c r="EE263" s="360"/>
      <c r="EF263" s="360"/>
      <c r="EG263" s="360"/>
      <c r="EH263" s="360"/>
      <c r="EI263" s="360"/>
      <c r="EJ263" s="360"/>
      <c r="EK263" s="360"/>
      <c r="EL263" s="360"/>
      <c r="EM263" s="360"/>
      <c r="EN263" s="360"/>
      <c r="EO263" s="360"/>
      <c r="EP263" s="360"/>
      <c r="EQ263" s="360"/>
    </row>
    <row r="264" spans="1:147" x14ac:dyDescent="0.35">
      <c r="A264" s="234" t="s">
        <v>1314</v>
      </c>
      <c r="B264" s="6" t="s">
        <v>1243</v>
      </c>
      <c r="C264" s="6" t="s">
        <v>788</v>
      </c>
      <c r="D264" s="6" t="s">
        <v>1247</v>
      </c>
      <c r="E264" s="6" t="s">
        <v>1309</v>
      </c>
      <c r="F264" s="6" t="s">
        <v>455</v>
      </c>
      <c r="G264" s="48" t="s">
        <v>1315</v>
      </c>
      <c r="H264" s="235" t="s">
        <v>981</v>
      </c>
      <c r="I264" s="102">
        <v>900</v>
      </c>
      <c r="J264" s="102">
        <v>800</v>
      </c>
      <c r="K264" s="102">
        <v>704</v>
      </c>
      <c r="L264" s="101">
        <f>(M264+K264)/2</f>
        <v>660</v>
      </c>
      <c r="M264" s="101">
        <f>(K264+O264)/2</f>
        <v>616</v>
      </c>
      <c r="N264" s="101">
        <f>(O264+M264)/2</f>
        <v>572</v>
      </c>
      <c r="O264" s="102">
        <v>528</v>
      </c>
      <c r="P264" s="94">
        <v>0</v>
      </c>
      <c r="Q264" s="102">
        <v>10</v>
      </c>
      <c r="R264" s="102">
        <v>10</v>
      </c>
      <c r="S264" s="102">
        <v>10</v>
      </c>
      <c r="T264" s="102">
        <v>10</v>
      </c>
      <c r="U264" s="102">
        <v>10</v>
      </c>
      <c r="V264" s="102">
        <v>10</v>
      </c>
      <c r="W264" s="102">
        <v>9</v>
      </c>
      <c r="X264" s="102">
        <v>0.44</v>
      </c>
      <c r="Y264" s="102">
        <v>0.44</v>
      </c>
      <c r="Z264" s="102">
        <v>0.44</v>
      </c>
      <c r="AA264" s="102">
        <v>0.44</v>
      </c>
      <c r="AB264" s="102">
        <v>0.44</v>
      </c>
      <c r="AC264" s="102">
        <v>0.44</v>
      </c>
      <c r="AD264" s="102">
        <v>0.44</v>
      </c>
      <c r="AE264" s="186">
        <v>0.08</v>
      </c>
      <c r="AF264" s="94">
        <v>0</v>
      </c>
      <c r="AG264" s="94">
        <v>25</v>
      </c>
      <c r="AH264" s="94">
        <v>25</v>
      </c>
      <c r="AI264" s="16">
        <v>31.536000000000001</v>
      </c>
      <c r="AJ264" s="17" t="s">
        <v>660</v>
      </c>
      <c r="AK264" s="17" t="s">
        <v>745</v>
      </c>
      <c r="AL264" s="17"/>
      <c r="AM264" s="61"/>
      <c r="AN264" s="61"/>
      <c r="AO264" s="61"/>
      <c r="AP264" s="61"/>
      <c r="AQ264" s="61"/>
      <c r="AR264" s="61"/>
      <c r="AS264" s="64"/>
      <c r="AT264" s="64"/>
      <c r="AU264" s="64"/>
      <c r="AV264" s="132"/>
      <c r="AW264" s="132"/>
      <c r="AX264" s="132"/>
      <c r="AY264" s="28" t="s">
        <v>1309</v>
      </c>
      <c r="AZ264" s="28" t="s">
        <v>455</v>
      </c>
      <c r="BA264" s="28">
        <v>1</v>
      </c>
      <c r="BB264" s="28">
        <v>4</v>
      </c>
      <c r="BC264" s="28" t="s">
        <v>667</v>
      </c>
      <c r="BD264" s="28">
        <v>7.0000000000000007E-2</v>
      </c>
      <c r="BE264" s="28"/>
      <c r="BF264" s="28"/>
      <c r="BG264" s="28"/>
      <c r="BH264" s="106"/>
      <c r="BI264" s="106"/>
      <c r="BJ264" s="106"/>
      <c r="BK264" s="106"/>
      <c r="BL264" s="137"/>
      <c r="BM264" s="123"/>
      <c r="BN264" s="139">
        <v>0</v>
      </c>
      <c r="BO264" s="94"/>
      <c r="BP264" s="94"/>
      <c r="BQ264" s="94"/>
      <c r="BR264" s="94"/>
      <c r="BS264" s="94"/>
      <c r="BT264" s="94"/>
      <c r="BU264" s="28">
        <f t="shared" ref="BU264" si="267">IF(BL264=1,BN264,0)</f>
        <v>0</v>
      </c>
      <c r="BV264" s="28"/>
      <c r="BW264" s="28"/>
      <c r="BX264" s="28"/>
      <c r="BY264" s="28"/>
      <c r="BZ264" s="28"/>
      <c r="CA264" s="28"/>
      <c r="CB264" s="99"/>
      <c r="CC264" s="99">
        <v>0.25</v>
      </c>
      <c r="CD264" s="99">
        <v>0.3</v>
      </c>
      <c r="CE264" s="99">
        <v>0.5</v>
      </c>
      <c r="CF264" s="99">
        <f t="shared" ref="CF264" si="268">ROUND((CD264+CH264)/2,2)</f>
        <v>15.15</v>
      </c>
      <c r="CG264" s="99">
        <f t="shared" ref="CG264" si="269">ROUND((CF264+CH264)/2,2)</f>
        <v>22.58</v>
      </c>
      <c r="CH264" s="99">
        <v>30</v>
      </c>
      <c r="CI264" s="175"/>
      <c r="CJ264" s="175"/>
      <c r="CK264" s="175"/>
      <c r="CL264" s="175"/>
      <c r="CM264" s="175"/>
      <c r="CN264" s="175"/>
      <c r="CO264" s="175"/>
      <c r="CP264" s="176"/>
      <c r="CQ264" s="176"/>
      <c r="CR264" s="176"/>
      <c r="CS264" s="176"/>
      <c r="CT264" s="176"/>
      <c r="CU264" s="176"/>
      <c r="CV264" s="176"/>
      <c r="CW264" s="167"/>
      <c r="CX264" s="168"/>
      <c r="CY264" s="168"/>
      <c r="CZ264" s="168"/>
      <c r="DA264" s="168"/>
      <c r="DB264" s="168"/>
      <c r="DC264" s="168"/>
      <c r="DD264" s="172"/>
      <c r="DE264" s="172"/>
      <c r="DF264" s="172"/>
      <c r="DG264" s="172"/>
      <c r="DH264" s="172"/>
      <c r="DI264" s="172"/>
      <c r="DJ264" s="172"/>
      <c r="DK264" s="80" t="s">
        <v>415</v>
      </c>
      <c r="DL264" s="129"/>
      <c r="DM264" s="129"/>
      <c r="DN264" s="129"/>
      <c r="DO264" s="129"/>
      <c r="DP264" s="129"/>
      <c r="DQ264" s="129"/>
      <c r="DR264" s="129"/>
      <c r="DS264" s="218"/>
      <c r="DT264" s="360"/>
      <c r="DU264" s="360"/>
      <c r="DV264" s="360"/>
      <c r="DW264" s="360"/>
      <c r="DX264" s="360"/>
      <c r="DY264" s="360"/>
      <c r="DZ264" s="360"/>
      <c r="EA264" s="360"/>
      <c r="EB264" s="360"/>
      <c r="EC264" s="360"/>
      <c r="ED264" s="360"/>
      <c r="EE264" s="360"/>
      <c r="EF264" s="360"/>
      <c r="EG264" s="360"/>
      <c r="EH264" s="360"/>
      <c r="EI264" s="360"/>
      <c r="EJ264" s="360"/>
      <c r="EK264" s="360"/>
      <c r="EL264" s="360"/>
      <c r="EM264" s="360"/>
      <c r="EN264" s="360"/>
      <c r="EO264" s="360"/>
      <c r="EP264" s="360"/>
      <c r="EQ264" s="360"/>
    </row>
    <row r="265" spans="1:147" x14ac:dyDescent="0.35">
      <c r="A265" s="255" t="s">
        <v>1316</v>
      </c>
      <c r="B265" s="6" t="s">
        <v>1243</v>
      </c>
      <c r="C265" s="6" t="s">
        <v>817</v>
      </c>
      <c r="D265" s="6" t="s">
        <v>1247</v>
      </c>
      <c r="E265" s="6" t="s">
        <v>1244</v>
      </c>
      <c r="F265" s="6" t="s">
        <v>455</v>
      </c>
      <c r="G265" s="48" t="s">
        <v>1317</v>
      </c>
      <c r="H265" s="235" t="s">
        <v>981</v>
      </c>
      <c r="I265" s="102">
        <v>220</v>
      </c>
      <c r="J265" s="102">
        <v>220</v>
      </c>
      <c r="K265" s="102">
        <v>220</v>
      </c>
      <c r="L265" s="102">
        <v>220</v>
      </c>
      <c r="M265" s="102">
        <v>220</v>
      </c>
      <c r="N265" s="102">
        <v>220</v>
      </c>
      <c r="O265" s="102">
        <v>220</v>
      </c>
      <c r="P265" s="94">
        <v>0</v>
      </c>
      <c r="Q265" s="102">
        <v>5.5</v>
      </c>
      <c r="R265" s="102">
        <v>5.5</v>
      </c>
      <c r="S265" s="102">
        <v>5.5</v>
      </c>
      <c r="T265" s="102">
        <v>5.5</v>
      </c>
      <c r="U265" s="102">
        <v>5.5</v>
      </c>
      <c r="V265" s="102">
        <v>5.5</v>
      </c>
      <c r="W265" s="102">
        <v>5.5</v>
      </c>
      <c r="X265" s="102">
        <v>0</v>
      </c>
      <c r="Y265" s="102">
        <v>0</v>
      </c>
      <c r="Z265" s="102">
        <v>0</v>
      </c>
      <c r="AA265" s="102">
        <v>0</v>
      </c>
      <c r="AB265" s="102">
        <v>0</v>
      </c>
      <c r="AC265" s="102">
        <v>0</v>
      </c>
      <c r="AD265" s="102">
        <v>0</v>
      </c>
      <c r="AE265" s="186">
        <v>0.08</v>
      </c>
      <c r="AF265" s="94">
        <v>0</v>
      </c>
      <c r="AG265" s="94">
        <v>30</v>
      </c>
      <c r="AH265" s="94">
        <v>30</v>
      </c>
      <c r="AI265" s="17">
        <v>31.536000000000001</v>
      </c>
      <c r="AJ265" s="17" t="s">
        <v>1241</v>
      </c>
      <c r="AK265" s="17" t="s">
        <v>745</v>
      </c>
      <c r="AL265" s="17"/>
      <c r="AM265" s="61"/>
      <c r="AN265" s="61"/>
      <c r="AO265" s="61"/>
      <c r="AP265" s="61"/>
      <c r="AQ265" s="61"/>
      <c r="AR265" s="61"/>
      <c r="AS265" s="64"/>
      <c r="AT265" s="64"/>
      <c r="AU265" s="64"/>
      <c r="AV265" s="132"/>
      <c r="AW265" s="132"/>
      <c r="AX265" s="132"/>
      <c r="AY265" s="28" t="s">
        <v>662</v>
      </c>
      <c r="AZ265" s="28"/>
      <c r="BA265" s="28"/>
      <c r="BB265" s="28"/>
      <c r="BC265" s="28"/>
      <c r="BD265" s="28"/>
      <c r="BE265" s="28"/>
      <c r="BF265" s="28"/>
      <c r="BG265" s="28"/>
      <c r="BH265" s="106"/>
      <c r="BI265" s="106"/>
      <c r="BJ265" s="106"/>
      <c r="BK265" s="106"/>
      <c r="BL265" s="137">
        <v>1</v>
      </c>
      <c r="BM265" s="123"/>
      <c r="BN265" s="139">
        <v>1.4</v>
      </c>
      <c r="BO265" s="94">
        <v>0.2</v>
      </c>
      <c r="BP265" s="94">
        <v>0.2</v>
      </c>
      <c r="BQ265" s="94">
        <v>0.2</v>
      </c>
      <c r="BR265" s="94">
        <v>0.2</v>
      </c>
      <c r="BS265" s="94">
        <v>0.3</v>
      </c>
      <c r="BT265" s="94">
        <v>0.3</v>
      </c>
      <c r="BU265" s="380">
        <v>0</v>
      </c>
      <c r="BV265" s="380">
        <v>0</v>
      </c>
      <c r="BW265" s="380">
        <v>0</v>
      </c>
      <c r="BX265" s="380">
        <v>0</v>
      </c>
      <c r="BY265" s="380">
        <v>0</v>
      </c>
      <c r="BZ265" s="380">
        <v>0</v>
      </c>
      <c r="CA265" s="380">
        <v>0</v>
      </c>
      <c r="CB265" s="381">
        <v>8.0500000000000007</v>
      </c>
      <c r="CC265" s="99">
        <v>10.799999999999999</v>
      </c>
      <c r="CD265" s="99">
        <f>CD236</f>
        <v>20</v>
      </c>
      <c r="CE265" s="99">
        <f t="shared" ref="CE265:CH265" si="270">CE236</f>
        <v>20</v>
      </c>
      <c r="CF265" s="99">
        <f t="shared" si="270"/>
        <v>20</v>
      </c>
      <c r="CG265" s="99">
        <f t="shared" si="270"/>
        <v>20</v>
      </c>
      <c r="CH265" s="99">
        <f t="shared" si="270"/>
        <v>20</v>
      </c>
      <c r="CI265" s="257">
        <v>66.8</v>
      </c>
      <c r="CJ265" s="257">
        <f>$CI$265*0.8</f>
        <v>53.44</v>
      </c>
      <c r="CK265" s="257">
        <f t="shared" ref="CK265:CO265" si="271">$CI$265*0.8</f>
        <v>53.44</v>
      </c>
      <c r="CL265" s="257">
        <f t="shared" si="271"/>
        <v>53.44</v>
      </c>
      <c r="CM265" s="257">
        <f t="shared" si="271"/>
        <v>53.44</v>
      </c>
      <c r="CN265" s="257">
        <f t="shared" si="271"/>
        <v>53.44</v>
      </c>
      <c r="CO265" s="257">
        <f t="shared" si="271"/>
        <v>53.44</v>
      </c>
      <c r="CP265" s="176">
        <f>CI265*1.2</f>
        <v>80.16</v>
      </c>
      <c r="CQ265" s="176">
        <f>$CP$265</f>
        <v>80.16</v>
      </c>
      <c r="CR265" s="176">
        <f t="shared" ref="CR265:CV265" si="272">$CP$265</f>
        <v>80.16</v>
      </c>
      <c r="CS265" s="176">
        <f t="shared" si="272"/>
        <v>80.16</v>
      </c>
      <c r="CT265" s="176">
        <f t="shared" si="272"/>
        <v>80.16</v>
      </c>
      <c r="CU265" s="176">
        <f t="shared" si="272"/>
        <v>80.16</v>
      </c>
      <c r="CV265" s="176">
        <f t="shared" si="272"/>
        <v>80.16</v>
      </c>
      <c r="CW265" s="167"/>
      <c r="CX265" s="168"/>
      <c r="CY265" s="168"/>
      <c r="CZ265" s="168"/>
      <c r="DA265" s="168"/>
      <c r="DB265" s="168"/>
      <c r="DC265" s="168"/>
      <c r="DD265" s="172"/>
      <c r="DE265" s="172"/>
      <c r="DF265" s="172"/>
      <c r="DG265" s="172"/>
      <c r="DH265" s="172"/>
      <c r="DI265" s="172"/>
      <c r="DJ265" s="172"/>
      <c r="DK265" s="80" t="s">
        <v>415</v>
      </c>
      <c r="DL265" s="129"/>
      <c r="DM265" s="129"/>
      <c r="DN265" s="129"/>
      <c r="DO265" s="129"/>
      <c r="DP265" s="129"/>
      <c r="DQ265" s="129"/>
      <c r="DR265" s="129"/>
      <c r="DT265" s="360"/>
      <c r="DU265" s="360"/>
      <c r="DV265" s="360"/>
      <c r="DW265" s="360"/>
      <c r="DX265" s="360"/>
      <c r="DY265" s="360"/>
      <c r="DZ265" s="360"/>
      <c r="EA265" s="360"/>
      <c r="EB265" s="360"/>
      <c r="EC265" s="360"/>
      <c r="ED265" s="360"/>
      <c r="EE265" s="360"/>
      <c r="EF265" s="360"/>
      <c r="EG265" s="360"/>
      <c r="EH265" s="360"/>
      <c r="EI265" s="360"/>
      <c r="EJ265" s="360"/>
      <c r="EK265" s="360"/>
      <c r="EL265" s="360"/>
      <c r="EM265" s="360"/>
      <c r="EN265" s="360"/>
      <c r="EO265" s="360"/>
      <c r="EP265" s="360"/>
      <c r="EQ265" s="360"/>
    </row>
    <row r="266" spans="1:147" x14ac:dyDescent="0.35">
      <c r="A266" s="236" t="s">
        <v>1318</v>
      </c>
      <c r="B266" s="5" t="s">
        <v>1243</v>
      </c>
      <c r="C266" s="5" t="s">
        <v>788</v>
      </c>
      <c r="D266" s="5" t="s">
        <v>1247</v>
      </c>
      <c r="E266" s="5" t="s">
        <v>1244</v>
      </c>
      <c r="F266" s="5" t="s">
        <v>455</v>
      </c>
      <c r="G266" s="47" t="s">
        <v>1319</v>
      </c>
      <c r="H266" s="237" t="s">
        <v>981</v>
      </c>
      <c r="I266" s="101">
        <v>380</v>
      </c>
      <c r="J266" s="101">
        <v>380</v>
      </c>
      <c r="K266" s="101">
        <v>380</v>
      </c>
      <c r="L266" s="101">
        <v>380</v>
      </c>
      <c r="M266" s="101">
        <v>380</v>
      </c>
      <c r="N266" s="101">
        <v>380</v>
      </c>
      <c r="O266" s="101">
        <v>380</v>
      </c>
      <c r="P266" s="93">
        <v>0</v>
      </c>
      <c r="Q266" s="101">
        <v>9.5</v>
      </c>
      <c r="R266" s="101">
        <v>9.5</v>
      </c>
      <c r="S266" s="101">
        <v>9.5</v>
      </c>
      <c r="T266" s="101">
        <v>9.5</v>
      </c>
      <c r="U266" s="101">
        <v>9.5</v>
      </c>
      <c r="V266" s="101">
        <v>9.5</v>
      </c>
      <c r="W266" s="101">
        <v>9.5</v>
      </c>
      <c r="X266" s="101">
        <v>0</v>
      </c>
      <c r="Y266" s="101">
        <v>0</v>
      </c>
      <c r="Z266" s="101">
        <v>0</v>
      </c>
      <c r="AA266" s="101">
        <v>0</v>
      </c>
      <c r="AB266" s="101">
        <v>0</v>
      </c>
      <c r="AC266" s="101">
        <v>0</v>
      </c>
      <c r="AD266" s="101">
        <v>0</v>
      </c>
      <c r="AE266" s="186">
        <v>0.08</v>
      </c>
      <c r="AF266" s="93">
        <v>0</v>
      </c>
      <c r="AG266" s="93">
        <v>30</v>
      </c>
      <c r="AH266" s="93">
        <v>30</v>
      </c>
      <c r="AI266" s="16">
        <v>31.536000000000001</v>
      </c>
      <c r="AJ266" s="16" t="s">
        <v>1241</v>
      </c>
      <c r="AK266" s="16" t="s">
        <v>745</v>
      </c>
      <c r="AL266" s="16"/>
      <c r="AM266" s="60"/>
      <c r="AN266" s="60"/>
      <c r="AO266" s="60"/>
      <c r="AP266" s="60"/>
      <c r="AQ266" s="60"/>
      <c r="AR266" s="60"/>
      <c r="AS266" s="63"/>
      <c r="AT266" s="63"/>
      <c r="AU266" s="63"/>
      <c r="AV266" s="131"/>
      <c r="AW266" s="131"/>
      <c r="AX266" s="131"/>
      <c r="AY266" s="27" t="s">
        <v>662</v>
      </c>
      <c r="AZ266" s="27"/>
      <c r="BA266" s="27"/>
      <c r="BB266" s="30"/>
      <c r="BC266" s="30"/>
      <c r="BD266" s="30"/>
      <c r="BE266" s="30"/>
      <c r="BF266" s="30"/>
      <c r="BG266" s="30"/>
      <c r="BH266" s="107"/>
      <c r="BI266" s="107"/>
      <c r="BJ266" s="107"/>
      <c r="BK266" s="107"/>
      <c r="BL266" s="136"/>
      <c r="BM266" s="122"/>
      <c r="BN266" s="138">
        <v>0</v>
      </c>
      <c r="BO266" s="93"/>
      <c r="BP266" s="93"/>
      <c r="BQ266" s="93"/>
      <c r="BR266" s="93"/>
      <c r="BS266" s="93"/>
      <c r="BT266" s="93"/>
      <c r="BU266" s="27">
        <f t="shared" si="248"/>
        <v>0</v>
      </c>
      <c r="BV266" s="27"/>
      <c r="BW266" s="27"/>
      <c r="BX266" s="27"/>
      <c r="BY266" s="27"/>
      <c r="BZ266" s="27"/>
      <c r="CA266" s="27"/>
      <c r="CB266" s="97"/>
      <c r="CC266" s="97">
        <v>50</v>
      </c>
      <c r="CD266" s="97">
        <v>50</v>
      </c>
      <c r="CE266" s="97">
        <v>50</v>
      </c>
      <c r="CF266" s="97">
        <v>75</v>
      </c>
      <c r="CG266" s="97">
        <v>100</v>
      </c>
      <c r="CH266" s="97">
        <v>100</v>
      </c>
      <c r="CI266" s="173"/>
      <c r="CJ266" s="173"/>
      <c r="CK266" s="173"/>
      <c r="CL266" s="173"/>
      <c r="CM266" s="173"/>
      <c r="CN266" s="173"/>
      <c r="CO266" s="173"/>
      <c r="CP266" s="174"/>
      <c r="CQ266" s="174"/>
      <c r="CR266" s="174"/>
      <c r="CS266" s="174"/>
      <c r="CT266" s="174"/>
      <c r="CU266" s="174"/>
      <c r="CV266" s="174"/>
      <c r="CW266" s="165"/>
      <c r="CX266" s="166"/>
      <c r="CY266" s="166"/>
      <c r="CZ266" s="166"/>
      <c r="DA266" s="166"/>
      <c r="DB266" s="166"/>
      <c r="DC266" s="166"/>
      <c r="DD266" s="171"/>
      <c r="DE266" s="171"/>
      <c r="DF266" s="171"/>
      <c r="DG266" s="171"/>
      <c r="DH266" s="171"/>
      <c r="DI266" s="171"/>
      <c r="DJ266" s="171"/>
      <c r="DK266" s="79" t="s">
        <v>415</v>
      </c>
      <c r="DL266" s="128"/>
      <c r="DM266" s="128"/>
      <c r="DN266" s="128"/>
      <c r="DO266" s="128"/>
      <c r="DP266" s="128"/>
      <c r="DQ266" s="128"/>
      <c r="DR266" s="128"/>
      <c r="DS266" s="218"/>
      <c r="DT266" s="360"/>
      <c r="DU266" s="360"/>
      <c r="DV266" s="360"/>
      <c r="DW266" s="360"/>
      <c r="DX266" s="360"/>
      <c r="DY266" s="360"/>
      <c r="DZ266" s="360"/>
      <c r="EA266" s="360"/>
      <c r="EB266" s="360"/>
      <c r="EC266" s="360"/>
      <c r="ED266" s="360"/>
      <c r="EE266" s="360"/>
      <c r="EF266" s="360"/>
      <c r="EG266" s="360"/>
      <c r="EH266" s="360"/>
      <c r="EI266" s="360"/>
      <c r="EJ266" s="360"/>
      <c r="EK266" s="360"/>
      <c r="EL266" s="360"/>
      <c r="EM266" s="360"/>
      <c r="EN266" s="360"/>
      <c r="EO266" s="360"/>
      <c r="EP266" s="360"/>
      <c r="EQ266" s="360"/>
    </row>
    <row r="267" spans="1:147" x14ac:dyDescent="0.35">
      <c r="A267" s="234" t="s">
        <v>1320</v>
      </c>
      <c r="B267" s="6" t="s">
        <v>1243</v>
      </c>
      <c r="C267" s="6" t="s">
        <v>788</v>
      </c>
      <c r="D267" s="6" t="s">
        <v>1247</v>
      </c>
      <c r="E267" s="6" t="s">
        <v>1244</v>
      </c>
      <c r="F267" s="6" t="s">
        <v>455</v>
      </c>
      <c r="G267" s="48" t="s">
        <v>1321</v>
      </c>
      <c r="H267" s="235" t="s">
        <v>981</v>
      </c>
      <c r="I267" s="102">
        <v>135.57</v>
      </c>
      <c r="J267" s="102">
        <v>135.57</v>
      </c>
      <c r="K267" s="102">
        <v>135.57</v>
      </c>
      <c r="L267" s="102">
        <v>135.57</v>
      </c>
      <c r="M267" s="102">
        <v>135.57</v>
      </c>
      <c r="N267" s="102">
        <v>135.57</v>
      </c>
      <c r="O267" s="102">
        <v>135.57</v>
      </c>
      <c r="P267" s="94">
        <v>0</v>
      </c>
      <c r="Q267" s="102">
        <v>5.42</v>
      </c>
      <c r="R267" s="102">
        <v>5.42</v>
      </c>
      <c r="S267" s="102">
        <v>5.42</v>
      </c>
      <c r="T267" s="102">
        <v>5.42</v>
      </c>
      <c r="U267" s="102">
        <v>5.42</v>
      </c>
      <c r="V267" s="102">
        <v>5.42</v>
      </c>
      <c r="W267" s="102">
        <v>5.42</v>
      </c>
      <c r="X267" s="102">
        <v>0.01</v>
      </c>
      <c r="Y267" s="102">
        <v>0.01</v>
      </c>
      <c r="Z267" s="102">
        <v>0.01</v>
      </c>
      <c r="AA267" s="102">
        <v>0.01</v>
      </c>
      <c r="AB267" s="102">
        <v>0.01</v>
      </c>
      <c r="AC267" s="102">
        <v>0.01</v>
      </c>
      <c r="AD267" s="102">
        <v>0.01</v>
      </c>
      <c r="AE267" s="186">
        <v>0.08</v>
      </c>
      <c r="AF267" s="94">
        <v>0</v>
      </c>
      <c r="AG267" s="94">
        <v>20</v>
      </c>
      <c r="AH267" s="94">
        <v>20</v>
      </c>
      <c r="AI267" s="17">
        <v>31.536000000000001</v>
      </c>
      <c r="AJ267" s="17" t="s">
        <v>1241</v>
      </c>
      <c r="AK267" s="17" t="s">
        <v>745</v>
      </c>
      <c r="AL267" s="17"/>
      <c r="AM267" s="61"/>
      <c r="AN267" s="61"/>
      <c r="AO267" s="61"/>
      <c r="AP267" s="61"/>
      <c r="AQ267" s="61"/>
      <c r="AR267" s="61"/>
      <c r="AS267" s="64"/>
      <c r="AT267" s="64"/>
      <c r="AU267" s="64"/>
      <c r="AV267" s="132"/>
      <c r="AW267" s="132"/>
      <c r="AX267" s="132"/>
      <c r="AY267" s="28" t="s">
        <v>662</v>
      </c>
      <c r="AZ267" s="28"/>
      <c r="BA267" s="28"/>
      <c r="BB267" s="28"/>
      <c r="BC267" s="28"/>
      <c r="BD267" s="28"/>
      <c r="BE267" s="28"/>
      <c r="BF267" s="28"/>
      <c r="BG267" s="28"/>
      <c r="BH267" s="106"/>
      <c r="BI267" s="106"/>
      <c r="BJ267" s="106"/>
      <c r="BK267" s="106"/>
      <c r="BL267" s="137"/>
      <c r="BM267" s="123"/>
      <c r="BN267" s="139">
        <v>0</v>
      </c>
      <c r="BO267" s="94"/>
      <c r="BP267" s="94"/>
      <c r="BQ267" s="94"/>
      <c r="BR267" s="94"/>
      <c r="BS267" s="94"/>
      <c r="BT267" s="94"/>
      <c r="BU267" s="28">
        <f t="shared" si="248"/>
        <v>0</v>
      </c>
      <c r="BV267" s="28"/>
      <c r="BW267" s="28"/>
      <c r="BX267" s="28"/>
      <c r="BY267" s="28"/>
      <c r="BZ267" s="28"/>
      <c r="CA267" s="28"/>
      <c r="CB267" s="99">
        <v>100</v>
      </c>
      <c r="CC267" s="99">
        <v>100</v>
      </c>
      <c r="CD267" s="99">
        <v>100</v>
      </c>
      <c r="CE267" s="99">
        <v>100</v>
      </c>
      <c r="CF267" s="99">
        <v>100</v>
      </c>
      <c r="CG267" s="99">
        <v>100</v>
      </c>
      <c r="CH267" s="99">
        <v>100</v>
      </c>
      <c r="CI267" s="175"/>
      <c r="CJ267" s="175"/>
      <c r="CK267" s="175"/>
      <c r="CL267" s="175"/>
      <c r="CM267" s="175"/>
      <c r="CN267" s="175"/>
      <c r="CO267" s="175"/>
      <c r="CP267" s="176"/>
      <c r="CQ267" s="176"/>
      <c r="CR267" s="176"/>
      <c r="CS267" s="176"/>
      <c r="CT267" s="176"/>
      <c r="CU267" s="176"/>
      <c r="CV267" s="176"/>
      <c r="CW267" s="167"/>
      <c r="CX267" s="168"/>
      <c r="CY267" s="168"/>
      <c r="CZ267" s="168"/>
      <c r="DA267" s="168"/>
      <c r="DB267" s="168"/>
      <c r="DC267" s="168"/>
      <c r="DD267" s="172"/>
      <c r="DE267" s="172"/>
      <c r="DF267" s="172"/>
      <c r="DG267" s="172"/>
      <c r="DH267" s="172"/>
      <c r="DI267" s="172"/>
      <c r="DJ267" s="172"/>
      <c r="DK267" s="80" t="s">
        <v>415</v>
      </c>
      <c r="DL267" s="129"/>
      <c r="DM267" s="129"/>
      <c r="DN267" s="129"/>
      <c r="DO267" s="129"/>
      <c r="DP267" s="129"/>
      <c r="DQ267" s="129"/>
      <c r="DR267" s="129"/>
      <c r="DS267" s="218"/>
      <c r="DT267" s="360"/>
      <c r="DU267" s="360"/>
      <c r="DV267" s="360"/>
      <c r="DW267" s="360"/>
      <c r="DX267" s="360"/>
      <c r="DY267" s="360"/>
      <c r="DZ267" s="360"/>
      <c r="EA267" s="360"/>
      <c r="EB267" s="360"/>
      <c r="EC267" s="360"/>
      <c r="ED267" s="360"/>
      <c r="EE267" s="360"/>
      <c r="EF267" s="360"/>
      <c r="EG267" s="360"/>
      <c r="EH267" s="360"/>
      <c r="EI267" s="360"/>
      <c r="EJ267" s="360"/>
      <c r="EK267" s="360"/>
      <c r="EL267" s="360"/>
      <c r="EM267" s="360"/>
      <c r="EN267" s="360"/>
      <c r="EO267" s="360"/>
      <c r="EP267" s="360"/>
      <c r="EQ267" s="360"/>
    </row>
    <row r="268" spans="1:147" ht="15" thickBot="1" x14ac:dyDescent="0.4">
      <c r="A268" s="239" t="s">
        <v>1322</v>
      </c>
      <c r="B268" s="240" t="s">
        <v>1243</v>
      </c>
      <c r="C268" s="240" t="s">
        <v>788</v>
      </c>
      <c r="D268" s="240" t="s">
        <v>1247</v>
      </c>
      <c r="E268" s="240" t="s">
        <v>1244</v>
      </c>
      <c r="F268" s="240" t="s">
        <v>456</v>
      </c>
      <c r="G268" s="241" t="s">
        <v>1323</v>
      </c>
      <c r="H268" s="242" t="s">
        <v>981</v>
      </c>
      <c r="I268" s="101">
        <v>135.57</v>
      </c>
      <c r="J268" s="101">
        <v>135.57</v>
      </c>
      <c r="K268" s="101">
        <v>135.57</v>
      </c>
      <c r="L268" s="101">
        <v>135.57</v>
      </c>
      <c r="M268" s="101">
        <v>135.57</v>
      </c>
      <c r="N268" s="101">
        <v>135.57</v>
      </c>
      <c r="O268" s="101">
        <v>135.57</v>
      </c>
      <c r="P268" s="93">
        <v>0</v>
      </c>
      <c r="Q268" s="101">
        <v>5.42</v>
      </c>
      <c r="R268" s="101">
        <v>5.42</v>
      </c>
      <c r="S268" s="101">
        <v>5.42</v>
      </c>
      <c r="T268" s="101">
        <v>5.42</v>
      </c>
      <c r="U268" s="101">
        <v>5.42</v>
      </c>
      <c r="V268" s="101">
        <v>5.42</v>
      </c>
      <c r="W268" s="101">
        <v>5.42</v>
      </c>
      <c r="X268" s="101">
        <v>0.01</v>
      </c>
      <c r="Y268" s="101">
        <v>0.01</v>
      </c>
      <c r="Z268" s="101">
        <v>0.01</v>
      </c>
      <c r="AA268" s="101">
        <v>0.01</v>
      </c>
      <c r="AB268" s="101">
        <v>0.01</v>
      </c>
      <c r="AC268" s="101">
        <v>0.01</v>
      </c>
      <c r="AD268" s="101">
        <v>0.01</v>
      </c>
      <c r="AE268" s="186">
        <v>0.08</v>
      </c>
      <c r="AF268" s="93">
        <v>0</v>
      </c>
      <c r="AG268" s="93">
        <v>20</v>
      </c>
      <c r="AH268" s="93">
        <v>20</v>
      </c>
      <c r="AI268" s="16">
        <v>31.536000000000001</v>
      </c>
      <c r="AJ268" s="16" t="s">
        <v>1241</v>
      </c>
      <c r="AK268" s="16" t="s">
        <v>745</v>
      </c>
      <c r="AL268" s="16"/>
      <c r="AM268" s="60"/>
      <c r="AN268" s="60"/>
      <c r="AO268" s="60"/>
      <c r="AP268" s="60"/>
      <c r="AQ268" s="60"/>
      <c r="AR268" s="60"/>
      <c r="AS268" s="63"/>
      <c r="AT268" s="63"/>
      <c r="AU268" s="63"/>
      <c r="AV268" s="131"/>
      <c r="AW268" s="131"/>
      <c r="AX268" s="131"/>
      <c r="AY268" s="27" t="s">
        <v>662</v>
      </c>
      <c r="AZ268" s="27"/>
      <c r="BA268" s="27"/>
      <c r="BB268" s="30"/>
      <c r="BC268" s="30"/>
      <c r="BD268" s="30"/>
      <c r="BE268" s="30"/>
      <c r="BF268" s="30"/>
      <c r="BG268" s="30"/>
      <c r="BH268" s="107"/>
      <c r="BI268" s="107"/>
      <c r="BJ268" s="107"/>
      <c r="BK268" s="107"/>
      <c r="BL268" s="136"/>
      <c r="BM268" s="122"/>
      <c r="BN268" s="138">
        <v>9</v>
      </c>
      <c r="BO268" s="93">
        <v>2.25</v>
      </c>
      <c r="BP268" s="93">
        <v>2.25</v>
      </c>
      <c r="BQ268" s="93">
        <v>2.25</v>
      </c>
      <c r="BR268" s="93">
        <v>2.25</v>
      </c>
      <c r="BS268" s="93"/>
      <c r="BT268" s="93"/>
      <c r="BU268" s="27">
        <f t="shared" si="248"/>
        <v>0</v>
      </c>
      <c r="BV268" s="27"/>
      <c r="BW268" s="27"/>
      <c r="BX268" s="27"/>
      <c r="BY268" s="27"/>
      <c r="BZ268" s="27"/>
      <c r="CA268" s="27"/>
      <c r="CB268" s="97">
        <v>100</v>
      </c>
      <c r="CC268" s="97">
        <v>100</v>
      </c>
      <c r="CD268" s="97">
        <v>100</v>
      </c>
      <c r="CE268" s="97">
        <v>100</v>
      </c>
      <c r="CF268" s="97">
        <v>100</v>
      </c>
      <c r="CG268" s="97">
        <v>100</v>
      </c>
      <c r="CH268" s="97">
        <v>100</v>
      </c>
      <c r="CI268" s="173"/>
      <c r="CJ268" s="173"/>
      <c r="CK268" s="173"/>
      <c r="CL268" s="173"/>
      <c r="CM268" s="173"/>
      <c r="CN268" s="173"/>
      <c r="CO268" s="173"/>
      <c r="CP268" s="174"/>
      <c r="CQ268" s="174"/>
      <c r="CR268" s="174"/>
      <c r="CS268" s="174"/>
      <c r="CT268" s="174"/>
      <c r="CU268" s="174"/>
      <c r="CV268" s="174"/>
      <c r="CW268" s="165"/>
      <c r="CX268" s="166"/>
      <c r="CY268" s="166"/>
      <c r="CZ268" s="166"/>
      <c r="DA268" s="166"/>
      <c r="DB268" s="166"/>
      <c r="DC268" s="166"/>
      <c r="DD268" s="171"/>
      <c r="DE268" s="171"/>
      <c r="DF268" s="171"/>
      <c r="DG268" s="171"/>
      <c r="DH268" s="171"/>
      <c r="DI268" s="171"/>
      <c r="DJ268" s="171"/>
      <c r="DK268" s="79" t="s">
        <v>415</v>
      </c>
      <c r="DL268" s="128"/>
      <c r="DM268" s="128"/>
      <c r="DN268" s="128"/>
      <c r="DO268" s="128"/>
      <c r="DP268" s="128"/>
      <c r="DQ268" s="128"/>
      <c r="DR268" s="128"/>
      <c r="DS268" s="218"/>
      <c r="DT268" s="360"/>
      <c r="DU268" s="360"/>
      <c r="DV268" s="360"/>
      <c r="DW268" s="360"/>
      <c r="DX268" s="360"/>
      <c r="DY268" s="360"/>
      <c r="DZ268" s="360"/>
      <c r="EA268" s="360"/>
      <c r="EB268" s="360"/>
      <c r="EC268" s="360"/>
      <c r="ED268" s="360"/>
      <c r="EE268" s="360"/>
      <c r="EF268" s="360"/>
      <c r="EG268" s="360"/>
      <c r="EH268" s="360"/>
      <c r="EI268" s="360"/>
      <c r="EJ268" s="360"/>
      <c r="EK268" s="360"/>
      <c r="EL268" s="360"/>
      <c r="EM268" s="360"/>
      <c r="EN268" s="360"/>
      <c r="EO268" s="360"/>
      <c r="EP268" s="360"/>
      <c r="EQ268" s="360"/>
    </row>
    <row r="269" spans="1:147" x14ac:dyDescent="0.35">
      <c r="A269" s="6" t="s">
        <v>1324</v>
      </c>
      <c r="B269" s="6" t="s">
        <v>654</v>
      </c>
      <c r="C269" s="6" t="s">
        <v>788</v>
      </c>
      <c r="D269" s="6" t="s">
        <v>656</v>
      </c>
      <c r="E269" s="6" t="s">
        <v>459</v>
      </c>
      <c r="F269" s="6" t="s">
        <v>457</v>
      </c>
      <c r="G269" s="48" t="s">
        <v>1325</v>
      </c>
      <c r="H269" s="48" t="s">
        <v>981</v>
      </c>
      <c r="I269" s="102">
        <v>50</v>
      </c>
      <c r="J269" s="102">
        <v>50</v>
      </c>
      <c r="K269" s="102">
        <v>50</v>
      </c>
      <c r="L269" s="102">
        <v>50</v>
      </c>
      <c r="M269" s="102">
        <v>50</v>
      </c>
      <c r="N269" s="102">
        <v>50</v>
      </c>
      <c r="O269" s="102">
        <v>50</v>
      </c>
      <c r="P269" s="94">
        <v>0</v>
      </c>
      <c r="Q269" s="102">
        <v>1</v>
      </c>
      <c r="R269" s="102">
        <v>1</v>
      </c>
      <c r="S269" s="102">
        <v>1</v>
      </c>
      <c r="T269" s="102">
        <v>1</v>
      </c>
      <c r="U269" s="102">
        <v>1</v>
      </c>
      <c r="V269" s="102">
        <v>1</v>
      </c>
      <c r="W269" s="102">
        <v>1</v>
      </c>
      <c r="X269" s="102">
        <v>0</v>
      </c>
      <c r="Y269" s="102">
        <v>0</v>
      </c>
      <c r="Z269" s="102">
        <v>0</v>
      </c>
      <c r="AA269" s="102">
        <v>0</v>
      </c>
      <c r="AB269" s="102">
        <v>0</v>
      </c>
      <c r="AC269" s="102">
        <v>0</v>
      </c>
      <c r="AD269" s="102">
        <v>0</v>
      </c>
      <c r="AE269" s="186">
        <v>0.08</v>
      </c>
      <c r="AF269" s="94">
        <v>0</v>
      </c>
      <c r="AG269" s="94">
        <v>12</v>
      </c>
      <c r="AH269" s="94">
        <v>12</v>
      </c>
      <c r="AI269" s="17">
        <f>1.5*3.6</f>
        <v>5.4</v>
      </c>
      <c r="AJ269" s="17" t="s">
        <v>660</v>
      </c>
      <c r="AK269" s="17" t="s">
        <v>672</v>
      </c>
      <c r="AL269" s="17"/>
      <c r="AM269" s="61"/>
      <c r="AN269" s="61"/>
      <c r="AO269" s="61"/>
      <c r="AP269" s="61"/>
      <c r="AQ269" s="61"/>
      <c r="AR269" s="61"/>
      <c r="AS269" s="64"/>
      <c r="AT269" s="64"/>
      <c r="AU269" s="64"/>
      <c r="AV269" s="132"/>
      <c r="AW269" s="132"/>
      <c r="AX269" s="132"/>
      <c r="AY269" s="28" t="s">
        <v>662</v>
      </c>
      <c r="AZ269" s="28"/>
      <c r="BA269" s="28"/>
      <c r="BB269" s="28"/>
      <c r="BC269" s="28"/>
      <c r="BD269" s="28"/>
      <c r="BE269" s="28"/>
      <c r="BF269" s="28"/>
      <c r="BG269" s="28"/>
      <c r="BH269" s="106"/>
      <c r="BI269" s="106"/>
      <c r="BJ269" s="106"/>
      <c r="BK269" s="106"/>
      <c r="BL269" s="137"/>
      <c r="BM269" s="123"/>
      <c r="BN269" s="139">
        <v>45</v>
      </c>
      <c r="BO269" s="94">
        <v>20</v>
      </c>
      <c r="BP269" s="94">
        <v>15</v>
      </c>
      <c r="BQ269" s="94">
        <v>10</v>
      </c>
      <c r="BR269" s="94"/>
      <c r="BS269" s="94"/>
      <c r="BT269" s="94"/>
      <c r="BU269" s="28">
        <f t="shared" si="248"/>
        <v>0</v>
      </c>
      <c r="BV269" s="28"/>
      <c r="BW269" s="28"/>
      <c r="BX269" s="28"/>
      <c r="BY269" s="28"/>
      <c r="BZ269" s="28"/>
      <c r="CA269" s="28"/>
      <c r="CB269" s="185">
        <v>100</v>
      </c>
      <c r="CC269" s="99">
        <v>100</v>
      </c>
      <c r="CD269" s="99">
        <v>100</v>
      </c>
      <c r="CE269" s="99">
        <v>100</v>
      </c>
      <c r="CF269" s="99">
        <v>100</v>
      </c>
      <c r="CG269" s="99">
        <v>100</v>
      </c>
      <c r="CH269" s="99">
        <v>100</v>
      </c>
      <c r="CI269" s="175"/>
      <c r="CJ269" s="175"/>
      <c r="CK269" s="175"/>
      <c r="CL269" s="175"/>
      <c r="CM269" s="175"/>
      <c r="CN269" s="175"/>
      <c r="CO269" s="175"/>
      <c r="CP269" s="176"/>
      <c r="CQ269" s="176"/>
      <c r="CR269" s="176"/>
      <c r="CS269" s="176"/>
      <c r="CT269" s="176"/>
      <c r="CU269" s="176"/>
      <c r="CV269" s="176"/>
      <c r="CW269" s="167"/>
      <c r="CX269" s="168"/>
      <c r="CY269" s="168"/>
      <c r="CZ269" s="168"/>
      <c r="DA269" s="168"/>
      <c r="DB269" s="168"/>
      <c r="DC269" s="168"/>
      <c r="DD269" s="172"/>
      <c r="DE269" s="172"/>
      <c r="DF269" s="172"/>
      <c r="DG269" s="172"/>
      <c r="DH269" s="172"/>
      <c r="DI269" s="172"/>
      <c r="DJ269" s="172"/>
      <c r="DK269" s="80" t="s">
        <v>452</v>
      </c>
      <c r="DL269" s="129">
        <v>500</v>
      </c>
      <c r="DM269" s="129">
        <v>500</v>
      </c>
      <c r="DN269" s="129">
        <v>500</v>
      </c>
      <c r="DO269" s="129">
        <v>500</v>
      </c>
      <c r="DP269" s="129">
        <v>500</v>
      </c>
      <c r="DQ269" s="129">
        <v>500</v>
      </c>
      <c r="DR269" s="129">
        <v>500</v>
      </c>
      <c r="DS269" s="218"/>
      <c r="DT269" s="360"/>
      <c r="DU269" s="360"/>
      <c r="DV269" s="360"/>
      <c r="DW269" s="360"/>
      <c r="DX269" s="360"/>
      <c r="DY269" s="360"/>
      <c r="DZ269" s="360"/>
      <c r="EA269" s="360"/>
      <c r="EB269" s="360"/>
      <c r="EC269" s="360"/>
      <c r="ED269" s="360"/>
      <c r="EE269" s="360"/>
      <c r="EF269" s="360"/>
      <c r="EG269" s="360"/>
      <c r="EH269" s="360"/>
      <c r="EI269" s="360"/>
      <c r="EJ269" s="360"/>
      <c r="EK269" s="360"/>
      <c r="EL269" s="360"/>
      <c r="EM269" s="360"/>
      <c r="EN269" s="360"/>
      <c r="EO269" s="360"/>
      <c r="EP269" s="360"/>
      <c r="EQ269" s="360"/>
    </row>
    <row r="270" spans="1:147" x14ac:dyDescent="0.35">
      <c r="A270" s="5" t="s">
        <v>1326</v>
      </c>
      <c r="B270" s="5" t="s">
        <v>654</v>
      </c>
      <c r="C270" s="5" t="s">
        <v>788</v>
      </c>
      <c r="D270" s="5" t="s">
        <v>656</v>
      </c>
      <c r="E270" s="5" t="s">
        <v>459</v>
      </c>
      <c r="F270" s="5" t="s">
        <v>457</v>
      </c>
      <c r="G270" s="47" t="s">
        <v>1327</v>
      </c>
      <c r="H270" s="47" t="s">
        <v>981</v>
      </c>
      <c r="I270" s="101">
        <v>85</v>
      </c>
      <c r="J270" s="101">
        <v>85</v>
      </c>
      <c r="K270" s="101">
        <v>85</v>
      </c>
      <c r="L270" s="101">
        <v>85</v>
      </c>
      <c r="M270" s="101">
        <v>85</v>
      </c>
      <c r="N270" s="101">
        <v>85</v>
      </c>
      <c r="O270" s="101">
        <v>85</v>
      </c>
      <c r="P270" s="93">
        <v>0</v>
      </c>
      <c r="Q270" s="101">
        <v>7</v>
      </c>
      <c r="R270" s="101">
        <v>7</v>
      </c>
      <c r="S270" s="101">
        <v>7</v>
      </c>
      <c r="T270" s="101">
        <v>7</v>
      </c>
      <c r="U270" s="101">
        <v>7</v>
      </c>
      <c r="V270" s="101">
        <v>7</v>
      </c>
      <c r="W270" s="101">
        <v>7</v>
      </c>
      <c r="X270" s="101">
        <v>0</v>
      </c>
      <c r="Y270" s="101">
        <v>0</v>
      </c>
      <c r="Z270" s="101">
        <v>0</v>
      </c>
      <c r="AA270" s="101">
        <v>0</v>
      </c>
      <c r="AB270" s="101">
        <v>0</v>
      </c>
      <c r="AC270" s="101">
        <v>0</v>
      </c>
      <c r="AD270" s="101">
        <v>0</v>
      </c>
      <c r="AE270" s="186">
        <v>0.08</v>
      </c>
      <c r="AF270" s="93">
        <v>0</v>
      </c>
      <c r="AG270" s="93">
        <v>12</v>
      </c>
      <c r="AH270" s="93">
        <v>12</v>
      </c>
      <c r="AI270" s="16">
        <f t="shared" ref="AI270:AI289" si="273">1.5*3.6</f>
        <v>5.4</v>
      </c>
      <c r="AJ270" s="16" t="s">
        <v>660</v>
      </c>
      <c r="AK270" s="16" t="s">
        <v>672</v>
      </c>
      <c r="AL270" s="16"/>
      <c r="AM270" s="60"/>
      <c r="AN270" s="60"/>
      <c r="AO270" s="60"/>
      <c r="AP270" s="60"/>
      <c r="AQ270" s="60"/>
      <c r="AR270" s="60"/>
      <c r="AS270" s="63"/>
      <c r="AT270" s="63"/>
      <c r="AU270" s="63"/>
      <c r="AV270" s="131"/>
      <c r="AW270" s="131"/>
      <c r="AX270" s="131"/>
      <c r="AY270" s="27" t="s">
        <v>662</v>
      </c>
      <c r="AZ270" s="27"/>
      <c r="BA270" s="27"/>
      <c r="BB270" s="30"/>
      <c r="BC270" s="30"/>
      <c r="BD270" s="30"/>
      <c r="BE270" s="30"/>
      <c r="BF270" s="30"/>
      <c r="BG270" s="30"/>
      <c r="BH270" s="107"/>
      <c r="BI270" s="107"/>
      <c r="BJ270" s="107"/>
      <c r="BK270" s="107"/>
      <c r="BL270" s="136"/>
      <c r="BM270" s="122"/>
      <c r="BN270" s="138">
        <v>9</v>
      </c>
      <c r="BO270" s="93">
        <v>5</v>
      </c>
      <c r="BP270" s="93">
        <v>3</v>
      </c>
      <c r="BQ270" s="93">
        <v>1</v>
      </c>
      <c r="BR270" s="93"/>
      <c r="BS270" s="93"/>
      <c r="BT270" s="93"/>
      <c r="BU270" s="27">
        <f t="shared" si="248"/>
        <v>0</v>
      </c>
      <c r="BV270" s="27"/>
      <c r="BW270" s="27"/>
      <c r="BX270" s="27"/>
      <c r="BY270" s="27"/>
      <c r="BZ270" s="27"/>
      <c r="CA270" s="27"/>
      <c r="CB270" s="97">
        <v>9</v>
      </c>
      <c r="CC270" s="97">
        <v>100</v>
      </c>
      <c r="CD270" s="97">
        <v>100</v>
      </c>
      <c r="CE270" s="97">
        <v>100</v>
      </c>
      <c r="CF270" s="97">
        <v>100</v>
      </c>
      <c r="CG270" s="97">
        <v>100</v>
      </c>
      <c r="CH270" s="97">
        <v>100</v>
      </c>
      <c r="CI270" s="173"/>
      <c r="CJ270" s="173"/>
      <c r="CK270" s="173"/>
      <c r="CL270" s="173"/>
      <c r="CM270" s="173"/>
      <c r="CN270" s="173"/>
      <c r="CO270" s="173"/>
      <c r="CP270" s="174"/>
      <c r="CQ270" s="174"/>
      <c r="CR270" s="174"/>
      <c r="CS270" s="174"/>
      <c r="CT270" s="174"/>
      <c r="CU270" s="174"/>
      <c r="CV270" s="174"/>
      <c r="CW270" s="165"/>
      <c r="CX270" s="166"/>
      <c r="CY270" s="166"/>
      <c r="CZ270" s="166"/>
      <c r="DA270" s="166"/>
      <c r="DB270" s="166"/>
      <c r="DC270" s="166"/>
      <c r="DD270" s="171"/>
      <c r="DE270" s="171"/>
      <c r="DF270" s="171"/>
      <c r="DG270" s="171"/>
      <c r="DH270" s="171"/>
      <c r="DI270" s="171"/>
      <c r="DJ270" s="171"/>
      <c r="DK270" s="79" t="s">
        <v>452</v>
      </c>
      <c r="DL270" s="128">
        <v>500</v>
      </c>
      <c r="DM270" s="128">
        <v>500</v>
      </c>
      <c r="DN270" s="128">
        <v>500</v>
      </c>
      <c r="DO270" s="128">
        <v>500</v>
      </c>
      <c r="DP270" s="128">
        <v>500</v>
      </c>
      <c r="DQ270" s="128">
        <v>500</v>
      </c>
      <c r="DR270" s="128">
        <v>500</v>
      </c>
      <c r="DS270" s="218"/>
      <c r="DT270" s="360"/>
      <c r="DU270" s="360"/>
      <c r="DV270" s="360"/>
      <c r="DW270" s="360"/>
      <c r="DX270" s="360"/>
      <c r="DY270" s="360"/>
      <c r="DZ270" s="360"/>
      <c r="EA270" s="360"/>
      <c r="EB270" s="360"/>
      <c r="EC270" s="360"/>
      <c r="ED270" s="360"/>
      <c r="EE270" s="360"/>
      <c r="EF270" s="360"/>
      <c r="EG270" s="360"/>
      <c r="EH270" s="360"/>
      <c r="EI270" s="360"/>
      <c r="EJ270" s="360"/>
      <c r="EK270" s="360"/>
      <c r="EL270" s="360"/>
      <c r="EM270" s="360"/>
      <c r="EN270" s="360"/>
      <c r="EO270" s="360"/>
      <c r="EP270" s="360"/>
      <c r="EQ270" s="360"/>
    </row>
    <row r="271" spans="1:147" x14ac:dyDescent="0.35">
      <c r="A271" s="6" t="s">
        <v>1328</v>
      </c>
      <c r="B271" s="6" t="s">
        <v>654</v>
      </c>
      <c r="C271" s="6" t="s">
        <v>788</v>
      </c>
      <c r="D271" s="6" t="s">
        <v>656</v>
      </c>
      <c r="E271" s="6" t="s">
        <v>459</v>
      </c>
      <c r="F271" s="6" t="s">
        <v>457</v>
      </c>
      <c r="G271" s="48" t="s">
        <v>1329</v>
      </c>
      <c r="H271" s="48" t="s">
        <v>981</v>
      </c>
      <c r="I271" s="102">
        <v>0</v>
      </c>
      <c r="J271" s="102">
        <v>0</v>
      </c>
      <c r="K271" s="102">
        <v>0</v>
      </c>
      <c r="L271" s="102">
        <v>0</v>
      </c>
      <c r="M271" s="102">
        <v>0</v>
      </c>
      <c r="N271" s="102">
        <v>0</v>
      </c>
      <c r="O271" s="102">
        <v>0</v>
      </c>
      <c r="P271" s="94">
        <v>0</v>
      </c>
      <c r="Q271" s="102">
        <v>10</v>
      </c>
      <c r="R271" s="102">
        <v>10</v>
      </c>
      <c r="S271" s="102">
        <v>10</v>
      </c>
      <c r="T271" s="102">
        <v>10</v>
      </c>
      <c r="U271" s="102">
        <v>10</v>
      </c>
      <c r="V271" s="102">
        <v>10</v>
      </c>
      <c r="W271" s="102">
        <v>10</v>
      </c>
      <c r="X271" s="102">
        <v>0</v>
      </c>
      <c r="Y271" s="102">
        <v>0</v>
      </c>
      <c r="Z271" s="102">
        <v>0</v>
      </c>
      <c r="AA271" s="102">
        <v>0</v>
      </c>
      <c r="AB271" s="102">
        <v>0</v>
      </c>
      <c r="AC271" s="102">
        <v>0</v>
      </c>
      <c r="AD271" s="102">
        <v>0</v>
      </c>
      <c r="AE271" s="186">
        <v>0.08</v>
      </c>
      <c r="AF271" s="94">
        <v>0</v>
      </c>
      <c r="AG271" s="94">
        <v>40</v>
      </c>
      <c r="AH271" s="94">
        <v>40</v>
      </c>
      <c r="AI271" s="17">
        <f t="shared" si="273"/>
        <v>5.4</v>
      </c>
      <c r="AJ271" s="17" t="s">
        <v>660</v>
      </c>
      <c r="AK271" s="17" t="s">
        <v>672</v>
      </c>
      <c r="AL271" s="17"/>
      <c r="AM271" s="61"/>
      <c r="AN271" s="61"/>
      <c r="AO271" s="61"/>
      <c r="AP271" s="61"/>
      <c r="AQ271" s="61"/>
      <c r="AR271" s="61"/>
      <c r="AS271" s="64"/>
      <c r="AT271" s="64"/>
      <c r="AU271" s="64"/>
      <c r="AV271" s="132"/>
      <c r="AW271" s="132"/>
      <c r="AX271" s="132"/>
      <c r="AY271" s="28" t="s">
        <v>662</v>
      </c>
      <c r="AZ271" s="28"/>
      <c r="BA271" s="28"/>
      <c r="BB271" s="28"/>
      <c r="BC271" s="28"/>
      <c r="BD271" s="28"/>
      <c r="BE271" s="28"/>
      <c r="BF271" s="28"/>
      <c r="BG271" s="28"/>
      <c r="BH271" s="106"/>
      <c r="BI271" s="106"/>
      <c r="BJ271" s="106"/>
      <c r="BK271" s="106"/>
      <c r="BL271" s="137"/>
      <c r="BM271" s="123"/>
      <c r="BN271" s="139">
        <v>2.5</v>
      </c>
      <c r="BO271" s="94"/>
      <c r="BP271" s="94"/>
      <c r="BQ271" s="94"/>
      <c r="BR271" s="94">
        <v>0.5</v>
      </c>
      <c r="BS271" s="94">
        <v>1</v>
      </c>
      <c r="BT271" s="94">
        <v>1</v>
      </c>
      <c r="BU271" s="28">
        <f t="shared" si="248"/>
        <v>0</v>
      </c>
      <c r="BV271" s="28"/>
      <c r="BW271" s="28"/>
      <c r="BX271" s="28"/>
      <c r="BY271" s="28"/>
      <c r="BZ271" s="28"/>
      <c r="CA271" s="28"/>
      <c r="CB271" s="99">
        <v>2.5</v>
      </c>
      <c r="CC271" s="99">
        <v>100</v>
      </c>
      <c r="CD271" s="99">
        <v>100</v>
      </c>
      <c r="CE271" s="99">
        <v>100</v>
      </c>
      <c r="CF271" s="99">
        <v>100</v>
      </c>
      <c r="CG271" s="99">
        <v>100</v>
      </c>
      <c r="CH271" s="99">
        <v>100</v>
      </c>
      <c r="CI271" s="175"/>
      <c r="CJ271" s="175"/>
      <c r="CK271" s="175"/>
      <c r="CL271" s="175"/>
      <c r="CM271" s="175"/>
      <c r="CN271" s="175"/>
      <c r="CO271" s="175"/>
      <c r="CP271" s="176"/>
      <c r="CQ271" s="176"/>
      <c r="CR271" s="176"/>
      <c r="CS271" s="176"/>
      <c r="CT271" s="176"/>
      <c r="CU271" s="176"/>
      <c r="CV271" s="176"/>
      <c r="CW271" s="167"/>
      <c r="CX271" s="168"/>
      <c r="CY271" s="168"/>
      <c r="CZ271" s="168"/>
      <c r="DA271" s="168"/>
      <c r="DB271" s="168"/>
      <c r="DC271" s="168"/>
      <c r="DD271" s="172"/>
      <c r="DE271" s="172"/>
      <c r="DF271" s="172"/>
      <c r="DG271" s="172"/>
      <c r="DH271" s="172"/>
      <c r="DI271" s="172"/>
      <c r="DJ271" s="172"/>
      <c r="DK271" s="80" t="s">
        <v>452</v>
      </c>
      <c r="DL271" s="129">
        <v>500</v>
      </c>
      <c r="DM271" s="129">
        <v>500</v>
      </c>
      <c r="DN271" s="129">
        <v>500</v>
      </c>
      <c r="DO271" s="129">
        <v>500</v>
      </c>
      <c r="DP271" s="129">
        <v>500</v>
      </c>
      <c r="DQ271" s="129">
        <v>500</v>
      </c>
      <c r="DR271" s="129">
        <v>500</v>
      </c>
      <c r="DS271" s="218"/>
      <c r="DT271" s="360"/>
      <c r="DU271" s="360"/>
      <c r="DV271" s="360"/>
      <c r="DW271" s="360"/>
      <c r="DX271" s="360"/>
      <c r="DY271" s="360"/>
      <c r="DZ271" s="360"/>
      <c r="EA271" s="360"/>
      <c r="EB271" s="360"/>
      <c r="EC271" s="360"/>
      <c r="ED271" s="360"/>
      <c r="EE271" s="360"/>
      <c r="EF271" s="360"/>
      <c r="EG271" s="360"/>
      <c r="EH271" s="360"/>
      <c r="EI271" s="360"/>
      <c r="EJ271" s="360"/>
      <c r="EK271" s="360"/>
      <c r="EL271" s="360"/>
      <c r="EM271" s="360"/>
      <c r="EN271" s="360"/>
      <c r="EO271" s="360"/>
      <c r="EP271" s="360"/>
      <c r="EQ271" s="360"/>
    </row>
    <row r="272" spans="1:147" x14ac:dyDescent="0.35">
      <c r="A272" s="5" t="s">
        <v>1330</v>
      </c>
      <c r="B272" s="5" t="s">
        <v>654</v>
      </c>
      <c r="C272" s="5" t="s">
        <v>788</v>
      </c>
      <c r="D272" s="5" t="s">
        <v>656</v>
      </c>
      <c r="E272" s="5" t="s">
        <v>459</v>
      </c>
      <c r="F272" s="5" t="s">
        <v>457</v>
      </c>
      <c r="G272" s="47" t="s">
        <v>1331</v>
      </c>
      <c r="H272" s="47" t="s">
        <v>981</v>
      </c>
      <c r="I272" s="101">
        <v>600</v>
      </c>
      <c r="J272" s="101">
        <v>550</v>
      </c>
      <c r="K272" s="101">
        <v>500</v>
      </c>
      <c r="L272" s="101">
        <v>450</v>
      </c>
      <c r="M272" s="101">
        <v>400</v>
      </c>
      <c r="N272" s="101">
        <v>350</v>
      </c>
      <c r="O272" s="101">
        <v>300</v>
      </c>
      <c r="P272" s="93">
        <v>0</v>
      </c>
      <c r="Q272" s="101">
        <v>30</v>
      </c>
      <c r="R272" s="101">
        <v>30</v>
      </c>
      <c r="S272" s="101">
        <v>30</v>
      </c>
      <c r="T272" s="101">
        <v>30</v>
      </c>
      <c r="U272" s="101">
        <v>30</v>
      </c>
      <c r="V272" s="101">
        <v>30</v>
      </c>
      <c r="W272" s="101">
        <v>30</v>
      </c>
      <c r="X272" s="101">
        <v>0</v>
      </c>
      <c r="Y272" s="101">
        <v>0</v>
      </c>
      <c r="Z272" s="101">
        <v>0</v>
      </c>
      <c r="AA272" s="101">
        <v>0</v>
      </c>
      <c r="AB272" s="101">
        <v>0</v>
      </c>
      <c r="AC272" s="101">
        <v>0</v>
      </c>
      <c r="AD272" s="101">
        <v>0</v>
      </c>
      <c r="AE272" s="186">
        <v>0.08</v>
      </c>
      <c r="AF272" s="93">
        <v>0</v>
      </c>
      <c r="AG272" s="93">
        <v>12</v>
      </c>
      <c r="AH272" s="93">
        <v>12</v>
      </c>
      <c r="AI272" s="16">
        <f t="shared" si="273"/>
        <v>5.4</v>
      </c>
      <c r="AJ272" s="16" t="s">
        <v>660</v>
      </c>
      <c r="AK272" s="16" t="s">
        <v>672</v>
      </c>
      <c r="AL272" s="16"/>
      <c r="AM272" s="60"/>
      <c r="AN272" s="60"/>
      <c r="AO272" s="60"/>
      <c r="AP272" s="60"/>
      <c r="AQ272" s="60"/>
      <c r="AR272" s="60"/>
      <c r="AS272" s="63"/>
      <c r="AT272" s="63"/>
      <c r="AU272" s="63"/>
      <c r="AV272" s="131"/>
      <c r="AW272" s="131"/>
      <c r="AX272" s="131"/>
      <c r="AY272" s="27" t="s">
        <v>662</v>
      </c>
      <c r="AZ272" s="27"/>
      <c r="BA272" s="27"/>
      <c r="BB272" s="30"/>
      <c r="BC272" s="30"/>
      <c r="BD272" s="30"/>
      <c r="BE272" s="30"/>
      <c r="BF272" s="30"/>
      <c r="BG272" s="30"/>
      <c r="BH272" s="107"/>
      <c r="BI272" s="107"/>
      <c r="BJ272" s="107"/>
      <c r="BK272" s="107"/>
      <c r="BL272" s="136"/>
      <c r="BM272" s="122"/>
      <c r="BN272" s="138">
        <v>1.5</v>
      </c>
      <c r="BO272" s="93"/>
      <c r="BP272" s="93"/>
      <c r="BQ272" s="93">
        <v>1.5</v>
      </c>
      <c r="BR272" s="93"/>
      <c r="BS272" s="93"/>
      <c r="BT272" s="93"/>
      <c r="BU272" s="27">
        <f t="shared" si="248"/>
        <v>0</v>
      </c>
      <c r="BV272" s="27"/>
      <c r="BW272" s="27"/>
      <c r="BX272" s="27"/>
      <c r="BY272" s="27"/>
      <c r="BZ272" s="27"/>
      <c r="CA272" s="27"/>
      <c r="CB272" s="97">
        <v>1.5</v>
      </c>
      <c r="CC272" s="97">
        <v>100</v>
      </c>
      <c r="CD272" s="97">
        <v>100</v>
      </c>
      <c r="CE272" s="97">
        <v>100</v>
      </c>
      <c r="CF272" s="97">
        <v>100</v>
      </c>
      <c r="CG272" s="97">
        <v>100</v>
      </c>
      <c r="CH272" s="97">
        <v>100</v>
      </c>
      <c r="CI272" s="173"/>
      <c r="CJ272" s="173"/>
      <c r="CK272" s="173"/>
      <c r="CL272" s="173"/>
      <c r="CM272" s="173"/>
      <c r="CN272" s="173"/>
      <c r="CO272" s="173"/>
      <c r="CP272" s="174"/>
      <c r="CQ272" s="174"/>
      <c r="CR272" s="174"/>
      <c r="CS272" s="174"/>
      <c r="CT272" s="174"/>
      <c r="CU272" s="174"/>
      <c r="CV272" s="174"/>
      <c r="CW272" s="165"/>
      <c r="CX272" s="166"/>
      <c r="CY272" s="166"/>
      <c r="CZ272" s="166"/>
      <c r="DA272" s="166"/>
      <c r="DB272" s="166"/>
      <c r="DC272" s="166"/>
      <c r="DD272" s="171"/>
      <c r="DE272" s="171"/>
      <c r="DF272" s="171"/>
      <c r="DG272" s="171"/>
      <c r="DH272" s="171"/>
      <c r="DI272" s="171"/>
      <c r="DJ272" s="171"/>
      <c r="DK272" s="79" t="s">
        <v>1332</v>
      </c>
      <c r="DL272" s="128">
        <v>200</v>
      </c>
      <c r="DM272" s="128">
        <v>200</v>
      </c>
      <c r="DN272" s="128">
        <v>200</v>
      </c>
      <c r="DO272" s="128">
        <v>200</v>
      </c>
      <c r="DP272" s="128">
        <v>200</v>
      </c>
      <c r="DQ272" s="128">
        <v>200</v>
      </c>
      <c r="DR272" s="128">
        <v>200</v>
      </c>
      <c r="DS272" s="218"/>
      <c r="DT272" s="360"/>
      <c r="DU272" s="360"/>
      <c r="DV272" s="360"/>
      <c r="DW272" s="360"/>
      <c r="DX272" s="360"/>
      <c r="DY272" s="360"/>
      <c r="DZ272" s="360"/>
      <c r="EA272" s="360"/>
      <c r="EB272" s="360"/>
      <c r="EC272" s="360"/>
      <c r="ED272" s="360"/>
      <c r="EE272" s="360"/>
      <c r="EF272" s="360"/>
      <c r="EG272" s="360"/>
      <c r="EH272" s="360"/>
      <c r="EI272" s="360"/>
      <c r="EJ272" s="360"/>
      <c r="EK272" s="360"/>
      <c r="EL272" s="360"/>
      <c r="EM272" s="360"/>
      <c r="EN272" s="360"/>
      <c r="EO272" s="360"/>
      <c r="EP272" s="360"/>
      <c r="EQ272" s="360"/>
    </row>
    <row r="273" spans="1:147" x14ac:dyDescent="0.35">
      <c r="A273" s="6" t="s">
        <v>1333</v>
      </c>
      <c r="B273" s="6" t="s">
        <v>654</v>
      </c>
      <c r="C273" s="6" t="s">
        <v>788</v>
      </c>
      <c r="D273" s="6" t="s">
        <v>656</v>
      </c>
      <c r="E273" s="6" t="s">
        <v>459</v>
      </c>
      <c r="F273" s="6" t="s">
        <v>457</v>
      </c>
      <c r="G273" s="221" t="s">
        <v>1334</v>
      </c>
      <c r="H273" s="48" t="s">
        <v>981</v>
      </c>
      <c r="I273" s="102">
        <v>150</v>
      </c>
      <c r="J273" s="102">
        <v>150</v>
      </c>
      <c r="K273" s="102">
        <v>150</v>
      </c>
      <c r="L273" s="102">
        <v>150</v>
      </c>
      <c r="M273" s="102">
        <v>150</v>
      </c>
      <c r="N273" s="102">
        <v>150</v>
      </c>
      <c r="O273" s="102">
        <v>150</v>
      </c>
      <c r="P273" s="94">
        <v>0</v>
      </c>
      <c r="Q273" s="102">
        <v>2</v>
      </c>
      <c r="R273" s="102">
        <v>2</v>
      </c>
      <c r="S273" s="102">
        <v>2</v>
      </c>
      <c r="T273" s="102">
        <v>2</v>
      </c>
      <c r="U273" s="102">
        <v>2</v>
      </c>
      <c r="V273" s="102">
        <v>2</v>
      </c>
      <c r="W273" s="102">
        <v>2</v>
      </c>
      <c r="X273" s="102">
        <v>0</v>
      </c>
      <c r="Y273" s="102">
        <v>0</v>
      </c>
      <c r="Z273" s="102">
        <v>0</v>
      </c>
      <c r="AA273" s="102">
        <v>0</v>
      </c>
      <c r="AB273" s="102">
        <v>0</v>
      </c>
      <c r="AC273" s="102">
        <v>0</v>
      </c>
      <c r="AD273" s="102">
        <v>0</v>
      </c>
      <c r="AE273" s="186">
        <v>0.08</v>
      </c>
      <c r="AF273" s="94">
        <v>0</v>
      </c>
      <c r="AG273" s="94">
        <v>12</v>
      </c>
      <c r="AH273" s="94">
        <v>12</v>
      </c>
      <c r="AI273" s="17">
        <f t="shared" si="273"/>
        <v>5.4</v>
      </c>
      <c r="AJ273" s="17" t="s">
        <v>660</v>
      </c>
      <c r="AK273" s="17" t="s">
        <v>672</v>
      </c>
      <c r="AL273" s="17"/>
      <c r="AM273" s="61"/>
      <c r="AN273" s="61"/>
      <c r="AO273" s="61"/>
      <c r="AP273" s="61"/>
      <c r="AQ273" s="61"/>
      <c r="AR273" s="61"/>
      <c r="AS273" s="64"/>
      <c r="AT273" s="64"/>
      <c r="AU273" s="64"/>
      <c r="AV273" s="132"/>
      <c r="AW273" s="132"/>
      <c r="AX273" s="132"/>
      <c r="AY273" s="28" t="s">
        <v>662</v>
      </c>
      <c r="AZ273" s="28"/>
      <c r="BA273" s="28"/>
      <c r="BB273" s="28"/>
      <c r="BC273" s="28"/>
      <c r="BD273" s="28"/>
      <c r="BE273" s="28"/>
      <c r="BF273" s="28"/>
      <c r="BG273" s="28"/>
      <c r="BH273" s="106"/>
      <c r="BI273" s="106"/>
      <c r="BJ273" s="106"/>
      <c r="BK273" s="106"/>
      <c r="BL273" s="137"/>
      <c r="BM273" s="123"/>
      <c r="BN273" s="139">
        <v>0</v>
      </c>
      <c r="BO273" s="94"/>
      <c r="BP273" s="94"/>
      <c r="BQ273" s="94"/>
      <c r="BR273" s="94"/>
      <c r="BS273" s="94"/>
      <c r="BT273" s="94"/>
      <c r="BU273" s="28">
        <f t="shared" si="248"/>
        <v>0</v>
      </c>
      <c r="BV273" s="28"/>
      <c r="BW273" s="28"/>
      <c r="BX273" s="28"/>
      <c r="BY273" s="28"/>
      <c r="BZ273" s="28"/>
      <c r="CA273" s="28"/>
      <c r="CB273" s="99"/>
      <c r="CC273" s="99">
        <v>100</v>
      </c>
      <c r="CD273" s="99">
        <v>100</v>
      </c>
      <c r="CE273" s="99">
        <v>100</v>
      </c>
      <c r="CF273" s="99">
        <v>100</v>
      </c>
      <c r="CG273" s="99">
        <v>100</v>
      </c>
      <c r="CH273" s="99">
        <v>100</v>
      </c>
      <c r="CI273" s="175"/>
      <c r="CJ273" s="175"/>
      <c r="CK273" s="175"/>
      <c r="CL273" s="175"/>
      <c r="CM273" s="175"/>
      <c r="CN273" s="175"/>
      <c r="CO273" s="175"/>
      <c r="CP273" s="176"/>
      <c r="CQ273" s="176"/>
      <c r="CR273" s="176"/>
      <c r="CS273" s="176"/>
      <c r="CT273" s="176"/>
      <c r="CU273" s="176"/>
      <c r="CV273" s="176"/>
      <c r="CW273" s="167"/>
      <c r="CX273" s="168"/>
      <c r="CY273" s="168"/>
      <c r="CZ273" s="168"/>
      <c r="DA273" s="168"/>
      <c r="DB273" s="168"/>
      <c r="DC273" s="168"/>
      <c r="DD273" s="172"/>
      <c r="DE273" s="172"/>
      <c r="DF273" s="172"/>
      <c r="DG273" s="172"/>
      <c r="DH273" s="172"/>
      <c r="DI273" s="172"/>
      <c r="DJ273" s="172"/>
      <c r="DK273" s="80" t="s">
        <v>1335</v>
      </c>
      <c r="DL273" s="129">
        <v>200</v>
      </c>
      <c r="DM273" s="129">
        <v>200</v>
      </c>
      <c r="DN273" s="129">
        <v>200</v>
      </c>
      <c r="DO273" s="129">
        <v>200</v>
      </c>
      <c r="DP273" s="129">
        <v>200</v>
      </c>
      <c r="DQ273" s="129">
        <v>200</v>
      </c>
      <c r="DR273" s="129">
        <v>200</v>
      </c>
      <c r="DS273" s="218"/>
      <c r="DT273" s="360"/>
      <c r="DU273" s="360"/>
      <c r="DV273" s="360"/>
      <c r="DW273" s="360"/>
      <c r="DX273" s="360"/>
      <c r="DY273" s="360"/>
      <c r="DZ273" s="360"/>
      <c r="EA273" s="360"/>
      <c r="EB273" s="360"/>
      <c r="EC273" s="360"/>
      <c r="ED273" s="360"/>
      <c r="EE273" s="360"/>
      <c r="EF273" s="360"/>
      <c r="EG273" s="360"/>
      <c r="EH273" s="360"/>
      <c r="EI273" s="360"/>
      <c r="EJ273" s="360"/>
      <c r="EK273" s="360"/>
      <c r="EL273" s="360"/>
      <c r="EM273" s="360"/>
      <c r="EN273" s="360"/>
      <c r="EO273" s="360"/>
      <c r="EP273" s="360"/>
      <c r="EQ273" s="360"/>
    </row>
    <row r="274" spans="1:147" x14ac:dyDescent="0.35">
      <c r="A274" s="5" t="s">
        <v>1336</v>
      </c>
      <c r="B274" s="5" t="s">
        <v>654</v>
      </c>
      <c r="C274" s="5" t="s">
        <v>788</v>
      </c>
      <c r="D274" s="5" t="s">
        <v>656</v>
      </c>
      <c r="E274" s="5" t="s">
        <v>459</v>
      </c>
      <c r="F274" s="5" t="s">
        <v>457</v>
      </c>
      <c r="G274" s="47" t="s">
        <v>1337</v>
      </c>
      <c r="H274" s="47" t="s">
        <v>981</v>
      </c>
      <c r="I274" s="101">
        <v>100</v>
      </c>
      <c r="J274" s="101">
        <v>95</v>
      </c>
      <c r="K274" s="101">
        <v>90</v>
      </c>
      <c r="L274" s="101">
        <v>85</v>
      </c>
      <c r="M274" s="101">
        <v>80</v>
      </c>
      <c r="N274" s="101">
        <v>75</v>
      </c>
      <c r="O274" s="101">
        <v>70</v>
      </c>
      <c r="P274" s="93">
        <v>0</v>
      </c>
      <c r="Q274" s="101">
        <v>5</v>
      </c>
      <c r="R274" s="101">
        <v>5</v>
      </c>
      <c r="S274" s="101">
        <v>5</v>
      </c>
      <c r="T274" s="101">
        <v>5</v>
      </c>
      <c r="U274" s="101">
        <v>5</v>
      </c>
      <c r="V274" s="101">
        <v>5</v>
      </c>
      <c r="W274" s="101">
        <v>5</v>
      </c>
      <c r="X274" s="101">
        <v>0</v>
      </c>
      <c r="Y274" s="101">
        <v>0</v>
      </c>
      <c r="Z274" s="101">
        <v>0</v>
      </c>
      <c r="AA274" s="101">
        <v>0</v>
      </c>
      <c r="AB274" s="101">
        <v>0</v>
      </c>
      <c r="AC274" s="101">
        <v>0</v>
      </c>
      <c r="AD274" s="101">
        <v>0</v>
      </c>
      <c r="AE274" s="186">
        <v>0.08</v>
      </c>
      <c r="AF274" s="93">
        <v>0</v>
      </c>
      <c r="AG274" s="93">
        <v>12</v>
      </c>
      <c r="AH274" s="93">
        <v>12</v>
      </c>
      <c r="AI274" s="16">
        <f t="shared" si="273"/>
        <v>5.4</v>
      </c>
      <c r="AJ274" s="16" t="s">
        <v>660</v>
      </c>
      <c r="AK274" s="16" t="s">
        <v>672</v>
      </c>
      <c r="AL274" s="16"/>
      <c r="AM274" s="60"/>
      <c r="AN274" s="60"/>
      <c r="AO274" s="60"/>
      <c r="AP274" s="60"/>
      <c r="AQ274" s="60"/>
      <c r="AR274" s="60"/>
      <c r="AS274" s="63"/>
      <c r="AT274" s="63"/>
      <c r="AU274" s="63"/>
      <c r="AV274" s="131"/>
      <c r="AW274" s="131"/>
      <c r="AX274" s="131"/>
      <c r="AY274" s="27" t="s">
        <v>662</v>
      </c>
      <c r="AZ274" s="27"/>
      <c r="BA274" s="27"/>
      <c r="BB274" s="30"/>
      <c r="BC274" s="30"/>
      <c r="BD274" s="30"/>
      <c r="BE274" s="30"/>
      <c r="BF274" s="30"/>
      <c r="BG274" s="30"/>
      <c r="BH274" s="107"/>
      <c r="BI274" s="107"/>
      <c r="BJ274" s="107"/>
      <c r="BK274" s="107"/>
      <c r="BL274" s="136"/>
      <c r="BM274" s="122"/>
      <c r="BN274" s="138">
        <v>0</v>
      </c>
      <c r="BO274" s="93"/>
      <c r="BP274" s="93"/>
      <c r="BQ274" s="93"/>
      <c r="BR274" s="93"/>
      <c r="BS274" s="93"/>
      <c r="BT274" s="93"/>
      <c r="BU274" s="27">
        <f t="shared" ref="BU274" si="274">IF(BL274=1,BN274,0)</f>
        <v>0</v>
      </c>
      <c r="BV274" s="27"/>
      <c r="BW274" s="27"/>
      <c r="BX274" s="27"/>
      <c r="BY274" s="27"/>
      <c r="BZ274" s="27"/>
      <c r="CA274" s="27"/>
      <c r="CB274" s="97"/>
      <c r="CC274" s="97">
        <v>5</v>
      </c>
      <c r="CD274" s="97">
        <v>10</v>
      </c>
      <c r="CE274" s="97">
        <v>50</v>
      </c>
      <c r="CF274" s="97">
        <v>100</v>
      </c>
      <c r="CG274" s="97">
        <v>100</v>
      </c>
      <c r="CH274" s="97">
        <v>100</v>
      </c>
      <c r="CI274" s="173"/>
      <c r="CJ274" s="173"/>
      <c r="CK274" s="173"/>
      <c r="CL274" s="173"/>
      <c r="CM274" s="173"/>
      <c r="CN274" s="173"/>
      <c r="CO274" s="173"/>
      <c r="CP274" s="174"/>
      <c r="CQ274" s="174"/>
      <c r="CR274" s="174"/>
      <c r="CS274" s="174"/>
      <c r="CT274" s="174"/>
      <c r="CU274" s="174"/>
      <c r="CV274" s="174"/>
      <c r="CW274" s="165"/>
      <c r="CX274" s="166"/>
      <c r="CY274" s="166"/>
      <c r="CZ274" s="166"/>
      <c r="DA274" s="166"/>
      <c r="DB274" s="166"/>
      <c r="DC274" s="166"/>
      <c r="DD274" s="171"/>
      <c r="DE274" s="171"/>
      <c r="DF274" s="171"/>
      <c r="DG274" s="171"/>
      <c r="DH274" s="171"/>
      <c r="DI274" s="171"/>
      <c r="DJ274" s="171"/>
      <c r="DK274" s="79" t="s">
        <v>1338</v>
      </c>
      <c r="DL274" s="128">
        <v>500</v>
      </c>
      <c r="DM274" s="128">
        <v>500</v>
      </c>
      <c r="DN274" s="128">
        <v>500</v>
      </c>
      <c r="DO274" s="128">
        <v>500</v>
      </c>
      <c r="DP274" s="128">
        <v>500</v>
      </c>
      <c r="DQ274" s="128">
        <v>500</v>
      </c>
      <c r="DR274" s="128">
        <v>500</v>
      </c>
      <c r="DS274" s="218"/>
      <c r="DT274" s="360"/>
      <c r="DU274" s="360"/>
      <c r="DV274" s="360"/>
      <c r="DW274" s="360"/>
      <c r="DX274" s="360"/>
      <c r="DY274" s="360"/>
      <c r="DZ274" s="360"/>
      <c r="EA274" s="360"/>
      <c r="EB274" s="360"/>
      <c r="EC274" s="360"/>
      <c r="ED274" s="360"/>
      <c r="EE274" s="360"/>
      <c r="EF274" s="360"/>
      <c r="EG274" s="360"/>
      <c r="EH274" s="360"/>
      <c r="EI274" s="360"/>
      <c r="EJ274" s="360"/>
      <c r="EK274" s="360"/>
      <c r="EL274" s="360"/>
      <c r="EM274" s="360"/>
      <c r="EN274" s="360"/>
      <c r="EO274" s="360"/>
      <c r="EP274" s="360"/>
      <c r="EQ274" s="360"/>
    </row>
    <row r="275" spans="1:147" x14ac:dyDescent="0.35">
      <c r="A275" s="6" t="s">
        <v>1339</v>
      </c>
      <c r="B275" s="6" t="s">
        <v>654</v>
      </c>
      <c r="C275" s="6" t="s">
        <v>788</v>
      </c>
      <c r="D275" s="6" t="s">
        <v>656</v>
      </c>
      <c r="E275" s="6" t="s">
        <v>459</v>
      </c>
      <c r="F275" s="6" t="s">
        <v>460</v>
      </c>
      <c r="G275" s="48" t="s">
        <v>1340</v>
      </c>
      <c r="H275" s="48" t="s">
        <v>981</v>
      </c>
      <c r="I275" s="102">
        <v>0</v>
      </c>
      <c r="J275" s="102">
        <v>0</v>
      </c>
      <c r="K275" s="102">
        <v>0</v>
      </c>
      <c r="L275" s="102">
        <v>0</v>
      </c>
      <c r="M275" s="102">
        <v>0</v>
      </c>
      <c r="N275" s="102">
        <v>0</v>
      </c>
      <c r="O275" s="102">
        <v>0</v>
      </c>
      <c r="P275" s="94">
        <v>0</v>
      </c>
      <c r="Q275" s="102">
        <v>0</v>
      </c>
      <c r="R275" s="102">
        <v>0</v>
      </c>
      <c r="S275" s="102">
        <v>0</v>
      </c>
      <c r="T275" s="102">
        <v>0</v>
      </c>
      <c r="U275" s="102">
        <v>0</v>
      </c>
      <c r="V275" s="102">
        <v>0</v>
      </c>
      <c r="W275" s="102">
        <v>0</v>
      </c>
      <c r="X275" s="102">
        <v>0</v>
      </c>
      <c r="Y275" s="102">
        <v>0</v>
      </c>
      <c r="Z275" s="102">
        <v>0</v>
      </c>
      <c r="AA275" s="102">
        <v>0</v>
      </c>
      <c r="AB275" s="102">
        <v>0</v>
      </c>
      <c r="AC275" s="102">
        <v>0</v>
      </c>
      <c r="AD275" s="102">
        <v>0</v>
      </c>
      <c r="AE275" s="186">
        <v>0.08</v>
      </c>
      <c r="AF275" s="94"/>
      <c r="AG275" s="94">
        <v>1</v>
      </c>
      <c r="AH275" s="94">
        <v>1</v>
      </c>
      <c r="AI275" s="17">
        <f t="shared" si="273"/>
        <v>5.4</v>
      </c>
      <c r="AJ275" s="17" t="s">
        <v>660</v>
      </c>
      <c r="AK275" s="17" t="s">
        <v>672</v>
      </c>
      <c r="AL275" s="17"/>
      <c r="AM275" s="61"/>
      <c r="AN275" s="61"/>
      <c r="AO275" s="61"/>
      <c r="AP275" s="61"/>
      <c r="AQ275" s="61"/>
      <c r="AR275" s="61"/>
      <c r="AS275" s="64"/>
      <c r="AT275" s="64"/>
      <c r="AU275" s="64"/>
      <c r="AV275" s="132"/>
      <c r="AW275" s="132"/>
      <c r="AX275" s="132"/>
      <c r="AY275" s="28" t="s">
        <v>662</v>
      </c>
      <c r="AZ275" s="28"/>
      <c r="BA275" s="28"/>
      <c r="BB275" s="28"/>
      <c r="BC275" s="28"/>
      <c r="BD275" s="28"/>
      <c r="BE275" s="28"/>
      <c r="BF275" s="28"/>
      <c r="BG275" s="28"/>
      <c r="BH275" s="106"/>
      <c r="BI275" s="106"/>
      <c r="BJ275" s="106"/>
      <c r="BK275" s="106"/>
      <c r="BL275" s="137"/>
      <c r="BM275" s="123"/>
      <c r="BN275" s="139"/>
      <c r="BO275" s="94"/>
      <c r="BP275" s="94"/>
      <c r="BQ275" s="94"/>
      <c r="BR275" s="94"/>
      <c r="BS275" s="94"/>
      <c r="BT275" s="94"/>
      <c r="BU275" s="28">
        <f t="shared" si="248"/>
        <v>0</v>
      </c>
      <c r="BV275" s="28"/>
      <c r="BW275" s="28"/>
      <c r="BX275" s="28"/>
      <c r="BY275" s="28"/>
      <c r="BZ275" s="28"/>
      <c r="CA275" s="28"/>
      <c r="CB275" s="185">
        <v>250</v>
      </c>
      <c r="CC275" s="99">
        <v>100</v>
      </c>
      <c r="CD275" s="99">
        <v>100</v>
      </c>
      <c r="CE275" s="99">
        <v>100</v>
      </c>
      <c r="CF275" s="99">
        <v>100</v>
      </c>
      <c r="CG275" s="99">
        <v>100</v>
      </c>
      <c r="CH275" s="99">
        <v>100</v>
      </c>
      <c r="CI275" s="175"/>
      <c r="CJ275" s="175"/>
      <c r="CK275" s="175"/>
      <c r="CL275" s="175"/>
      <c r="CM275" s="175"/>
      <c r="CN275" s="175"/>
      <c r="CO275" s="175"/>
      <c r="CP275" s="176"/>
      <c r="CQ275" s="176"/>
      <c r="CR275" s="176"/>
      <c r="CS275" s="176"/>
      <c r="CT275" s="176"/>
      <c r="CU275" s="176"/>
      <c r="CV275" s="176"/>
      <c r="CW275" s="167"/>
      <c r="CX275" s="168"/>
      <c r="CY275" s="168"/>
      <c r="CZ275" s="168"/>
      <c r="DA275" s="168"/>
      <c r="DB275" s="168"/>
      <c r="DC275" s="168"/>
      <c r="DD275" s="172"/>
      <c r="DE275" s="172"/>
      <c r="DF275" s="172"/>
      <c r="DG275" s="172"/>
      <c r="DH275" s="172"/>
      <c r="DI275" s="172"/>
      <c r="DJ275" s="172"/>
      <c r="DK275" s="80" t="s">
        <v>502</v>
      </c>
      <c r="DL275" s="129">
        <v>500</v>
      </c>
      <c r="DM275" s="129">
        <v>500</v>
      </c>
      <c r="DN275" s="129">
        <v>500</v>
      </c>
      <c r="DO275" s="129">
        <v>500</v>
      </c>
      <c r="DP275" s="129">
        <v>500</v>
      </c>
      <c r="DQ275" s="129">
        <v>500</v>
      </c>
      <c r="DR275" s="129">
        <v>500</v>
      </c>
      <c r="DS275" s="218"/>
      <c r="DT275" s="360"/>
      <c r="DU275" s="360"/>
      <c r="DV275" s="360"/>
      <c r="DW275" s="360"/>
      <c r="DX275" s="360"/>
      <c r="DY275" s="360"/>
      <c r="DZ275" s="360"/>
      <c r="EA275" s="360"/>
      <c r="EB275" s="360"/>
      <c r="EC275" s="360"/>
      <c r="ED275" s="360"/>
      <c r="EE275" s="360"/>
      <c r="EF275" s="360"/>
      <c r="EG275" s="360"/>
      <c r="EH275" s="360"/>
      <c r="EI275" s="360"/>
      <c r="EJ275" s="360"/>
      <c r="EK275" s="360"/>
      <c r="EL275" s="360"/>
      <c r="EM275" s="360"/>
      <c r="EN275" s="360"/>
      <c r="EO275" s="360"/>
      <c r="EP275" s="360"/>
      <c r="EQ275" s="360"/>
    </row>
    <row r="276" spans="1:147" x14ac:dyDescent="0.35">
      <c r="A276" s="5" t="s">
        <v>1341</v>
      </c>
      <c r="B276" s="5" t="s">
        <v>654</v>
      </c>
      <c r="C276" s="5" t="s">
        <v>788</v>
      </c>
      <c r="D276" s="5" t="s">
        <v>656</v>
      </c>
      <c r="E276" s="5" t="s">
        <v>459</v>
      </c>
      <c r="F276" s="5" t="s">
        <v>460</v>
      </c>
      <c r="G276" s="47" t="s">
        <v>1342</v>
      </c>
      <c r="H276" s="47" t="s">
        <v>981</v>
      </c>
      <c r="I276" s="101">
        <v>350</v>
      </c>
      <c r="J276" s="101">
        <v>350</v>
      </c>
      <c r="K276" s="101">
        <v>350</v>
      </c>
      <c r="L276" s="101">
        <v>350</v>
      </c>
      <c r="M276" s="101">
        <v>350</v>
      </c>
      <c r="N276" s="101">
        <v>350</v>
      </c>
      <c r="O276" s="101">
        <v>350</v>
      </c>
      <c r="P276" s="93">
        <v>0</v>
      </c>
      <c r="Q276" s="101">
        <v>15</v>
      </c>
      <c r="R276" s="101">
        <v>15</v>
      </c>
      <c r="S276" s="101">
        <v>15</v>
      </c>
      <c r="T276" s="101">
        <v>15</v>
      </c>
      <c r="U276" s="101">
        <v>15</v>
      </c>
      <c r="V276" s="101">
        <v>15</v>
      </c>
      <c r="W276" s="101">
        <v>15</v>
      </c>
      <c r="X276" s="101">
        <v>0</v>
      </c>
      <c r="Y276" s="101">
        <v>0</v>
      </c>
      <c r="Z276" s="101">
        <v>0</v>
      </c>
      <c r="AA276" s="101">
        <v>0</v>
      </c>
      <c r="AB276" s="101">
        <v>0</v>
      </c>
      <c r="AC276" s="101">
        <v>0</v>
      </c>
      <c r="AD276" s="101">
        <v>0</v>
      </c>
      <c r="AE276" s="186">
        <v>0.08</v>
      </c>
      <c r="AF276" s="93">
        <v>0</v>
      </c>
      <c r="AG276" s="93">
        <v>12</v>
      </c>
      <c r="AH276" s="93">
        <v>12</v>
      </c>
      <c r="AI276" s="16">
        <f t="shared" si="273"/>
        <v>5.4</v>
      </c>
      <c r="AJ276" s="16" t="s">
        <v>660</v>
      </c>
      <c r="AK276" s="16" t="s">
        <v>672</v>
      </c>
      <c r="AL276" s="16"/>
      <c r="AM276" s="60"/>
      <c r="AN276" s="60"/>
      <c r="AO276" s="60"/>
      <c r="AP276" s="60"/>
      <c r="AQ276" s="60"/>
      <c r="AR276" s="60"/>
      <c r="AS276" s="63"/>
      <c r="AT276" s="63"/>
      <c r="AU276" s="63"/>
      <c r="AV276" s="131"/>
      <c r="AW276" s="131"/>
      <c r="AX276" s="131"/>
      <c r="AY276" s="27" t="s">
        <v>662</v>
      </c>
      <c r="AZ276" s="27"/>
      <c r="BA276" s="27"/>
      <c r="BB276" s="30"/>
      <c r="BC276" s="30"/>
      <c r="BD276" s="30"/>
      <c r="BE276" s="30"/>
      <c r="BF276" s="30"/>
      <c r="BG276" s="30"/>
      <c r="BH276" s="107"/>
      <c r="BI276" s="107"/>
      <c r="BJ276" s="107"/>
      <c r="BK276" s="107"/>
      <c r="BL276" s="136"/>
      <c r="BM276" s="122"/>
      <c r="BN276" s="138">
        <v>0.2</v>
      </c>
      <c r="BO276" s="93"/>
      <c r="BP276" s="93"/>
      <c r="BQ276" s="93"/>
      <c r="BR276" s="93">
        <f>BN276</f>
        <v>0.2</v>
      </c>
      <c r="BS276" s="93"/>
      <c r="BT276" s="93"/>
      <c r="BU276" s="27">
        <f t="shared" si="248"/>
        <v>0</v>
      </c>
      <c r="BV276" s="27"/>
      <c r="BW276" s="27"/>
      <c r="BX276" s="27"/>
      <c r="BY276" s="27"/>
      <c r="BZ276" s="27"/>
      <c r="CA276" s="27"/>
      <c r="CB276" s="97">
        <v>0.2</v>
      </c>
      <c r="CC276" s="97">
        <v>5</v>
      </c>
      <c r="CD276" s="97">
        <v>25</v>
      </c>
      <c r="CE276" s="97">
        <v>50</v>
      </c>
      <c r="CF276" s="97">
        <v>100</v>
      </c>
      <c r="CG276" s="97">
        <v>100</v>
      </c>
      <c r="CH276" s="97">
        <v>100</v>
      </c>
      <c r="CI276" s="173"/>
      <c r="CJ276" s="173"/>
      <c r="CK276" s="173"/>
      <c r="CL276" s="173"/>
      <c r="CM276" s="173"/>
      <c r="CN276" s="173"/>
      <c r="CO276" s="173"/>
      <c r="CP276" s="174"/>
      <c r="CQ276" s="174"/>
      <c r="CR276" s="174"/>
      <c r="CS276" s="174"/>
      <c r="CT276" s="174"/>
      <c r="CU276" s="174"/>
      <c r="CV276" s="174"/>
      <c r="CW276" s="165"/>
      <c r="CX276" s="166"/>
      <c r="CY276" s="166"/>
      <c r="CZ276" s="166"/>
      <c r="DA276" s="166"/>
      <c r="DB276" s="166"/>
      <c r="DC276" s="166"/>
      <c r="DD276" s="171"/>
      <c r="DE276" s="171"/>
      <c r="DF276" s="171"/>
      <c r="DG276" s="171"/>
      <c r="DH276" s="171"/>
      <c r="DI276" s="171"/>
      <c r="DJ276" s="171"/>
      <c r="DK276" s="79" t="s">
        <v>452</v>
      </c>
      <c r="DL276" s="128">
        <v>200</v>
      </c>
      <c r="DM276" s="128">
        <v>200</v>
      </c>
      <c r="DN276" s="128">
        <v>200</v>
      </c>
      <c r="DO276" s="128">
        <v>200</v>
      </c>
      <c r="DP276" s="128">
        <v>200</v>
      </c>
      <c r="DQ276" s="128">
        <v>200</v>
      </c>
      <c r="DR276" s="128">
        <v>200</v>
      </c>
      <c r="DS276" s="218"/>
      <c r="DT276" s="360"/>
      <c r="DU276" s="360"/>
      <c r="DV276" s="360"/>
      <c r="DW276" s="360"/>
      <c r="DX276" s="360"/>
      <c r="DY276" s="360"/>
      <c r="DZ276" s="360"/>
      <c r="EA276" s="360"/>
      <c r="EB276" s="360"/>
      <c r="EC276" s="360"/>
      <c r="ED276" s="360"/>
      <c r="EE276" s="360"/>
      <c r="EF276" s="360"/>
      <c r="EG276" s="360"/>
      <c r="EH276" s="360"/>
      <c r="EI276" s="360"/>
      <c r="EJ276" s="360"/>
      <c r="EK276" s="360"/>
      <c r="EL276" s="360"/>
      <c r="EM276" s="360"/>
      <c r="EN276" s="360"/>
      <c r="EO276" s="360"/>
      <c r="EP276" s="360"/>
      <c r="EQ276" s="360"/>
    </row>
    <row r="277" spans="1:147" x14ac:dyDescent="0.35">
      <c r="A277" s="6" t="s">
        <v>1343</v>
      </c>
      <c r="B277" s="6" t="s">
        <v>654</v>
      </c>
      <c r="C277" s="6" t="s">
        <v>788</v>
      </c>
      <c r="D277" s="6" t="s">
        <v>656</v>
      </c>
      <c r="E277" s="6" t="s">
        <v>459</v>
      </c>
      <c r="F277" s="6" t="s">
        <v>460</v>
      </c>
      <c r="G277" s="48" t="s">
        <v>1344</v>
      </c>
      <c r="H277" s="48" t="s">
        <v>981</v>
      </c>
      <c r="I277" s="102">
        <v>450</v>
      </c>
      <c r="J277" s="102">
        <v>450</v>
      </c>
      <c r="K277" s="102">
        <v>450</v>
      </c>
      <c r="L277" s="102">
        <v>450</v>
      </c>
      <c r="M277" s="102">
        <v>450</v>
      </c>
      <c r="N277" s="102">
        <v>450</v>
      </c>
      <c r="O277" s="102">
        <v>450</v>
      </c>
      <c r="P277" s="94">
        <v>0</v>
      </c>
      <c r="Q277" s="102">
        <v>16</v>
      </c>
      <c r="R277" s="102">
        <v>16</v>
      </c>
      <c r="S277" s="102">
        <v>16</v>
      </c>
      <c r="T277" s="102">
        <v>16</v>
      </c>
      <c r="U277" s="102">
        <v>16</v>
      </c>
      <c r="V277" s="102">
        <v>16</v>
      </c>
      <c r="W277" s="102">
        <v>16</v>
      </c>
      <c r="X277" s="102">
        <v>0</v>
      </c>
      <c r="Y277" s="102">
        <v>0</v>
      </c>
      <c r="Z277" s="102">
        <v>0</v>
      </c>
      <c r="AA277" s="102">
        <v>0</v>
      </c>
      <c r="AB277" s="102">
        <v>0</v>
      </c>
      <c r="AC277" s="102">
        <v>0</v>
      </c>
      <c r="AD277" s="102">
        <v>0</v>
      </c>
      <c r="AE277" s="186">
        <v>0.08</v>
      </c>
      <c r="AF277" s="94">
        <v>0</v>
      </c>
      <c r="AG277" s="94">
        <v>12</v>
      </c>
      <c r="AH277" s="94">
        <v>12</v>
      </c>
      <c r="AI277" s="17">
        <f t="shared" si="273"/>
        <v>5.4</v>
      </c>
      <c r="AJ277" s="17" t="s">
        <v>660</v>
      </c>
      <c r="AK277" s="17" t="s">
        <v>672</v>
      </c>
      <c r="AL277" s="17"/>
      <c r="AM277" s="61"/>
      <c r="AN277" s="61"/>
      <c r="AO277" s="61"/>
      <c r="AP277" s="61"/>
      <c r="AQ277" s="61"/>
      <c r="AR277" s="61"/>
      <c r="AS277" s="64"/>
      <c r="AT277" s="64"/>
      <c r="AU277" s="64"/>
      <c r="AV277" s="132"/>
      <c r="AW277" s="132"/>
      <c r="AX277" s="132"/>
      <c r="AY277" s="28" t="s">
        <v>662</v>
      </c>
      <c r="AZ277" s="28"/>
      <c r="BA277" s="28"/>
      <c r="BB277" s="28"/>
      <c r="BC277" s="28"/>
      <c r="BD277" s="28"/>
      <c r="BE277" s="28"/>
      <c r="BF277" s="28"/>
      <c r="BG277" s="28"/>
      <c r="BH277" s="106"/>
      <c r="BI277" s="106"/>
      <c r="BJ277" s="106"/>
      <c r="BK277" s="106"/>
      <c r="BL277" s="137"/>
      <c r="BM277" s="123"/>
      <c r="BN277" s="139">
        <v>0.1</v>
      </c>
      <c r="BO277" s="94"/>
      <c r="BP277" s="94"/>
      <c r="BQ277" s="94"/>
      <c r="BR277" s="94">
        <f>BN277</f>
        <v>0.1</v>
      </c>
      <c r="BS277" s="94"/>
      <c r="BT277" s="94"/>
      <c r="BU277" s="28">
        <f t="shared" si="248"/>
        <v>0</v>
      </c>
      <c r="BV277" s="28"/>
      <c r="BW277" s="28"/>
      <c r="BX277" s="28"/>
      <c r="BY277" s="28"/>
      <c r="BZ277" s="28"/>
      <c r="CA277" s="28"/>
      <c r="CB277" s="99">
        <v>0.1</v>
      </c>
      <c r="CC277" s="99">
        <v>5</v>
      </c>
      <c r="CD277" s="99">
        <v>25</v>
      </c>
      <c r="CE277" s="99">
        <v>50</v>
      </c>
      <c r="CF277" s="99">
        <v>100</v>
      </c>
      <c r="CG277" s="99">
        <v>100</v>
      </c>
      <c r="CH277" s="99">
        <v>100</v>
      </c>
      <c r="CI277" s="175"/>
      <c r="CJ277" s="175"/>
      <c r="CK277" s="175"/>
      <c r="CL277" s="175"/>
      <c r="CM277" s="175"/>
      <c r="CN277" s="175"/>
      <c r="CO277" s="175"/>
      <c r="CP277" s="176"/>
      <c r="CQ277" s="176"/>
      <c r="CR277" s="176"/>
      <c r="CS277" s="176"/>
      <c r="CT277" s="176"/>
      <c r="CU277" s="176"/>
      <c r="CV277" s="176"/>
      <c r="CW277" s="167"/>
      <c r="CX277" s="168"/>
      <c r="CY277" s="168"/>
      <c r="CZ277" s="168"/>
      <c r="DA277" s="168"/>
      <c r="DB277" s="168"/>
      <c r="DC277" s="168"/>
      <c r="DD277" s="172"/>
      <c r="DE277" s="172"/>
      <c r="DF277" s="172"/>
      <c r="DG277" s="172"/>
      <c r="DH277" s="172"/>
      <c r="DI277" s="172"/>
      <c r="DJ277" s="172"/>
      <c r="DK277" s="80" t="s">
        <v>452</v>
      </c>
      <c r="DL277" s="129">
        <v>200</v>
      </c>
      <c r="DM277" s="129">
        <v>200</v>
      </c>
      <c r="DN277" s="129">
        <v>200</v>
      </c>
      <c r="DO277" s="129">
        <v>200</v>
      </c>
      <c r="DP277" s="129">
        <v>200</v>
      </c>
      <c r="DQ277" s="129">
        <v>200</v>
      </c>
      <c r="DR277" s="129">
        <v>200</v>
      </c>
      <c r="DS277" s="218"/>
      <c r="DT277" s="360"/>
      <c r="DU277" s="360"/>
      <c r="DV277" s="360"/>
      <c r="DW277" s="360"/>
      <c r="DX277" s="360"/>
      <c r="DY277" s="360"/>
      <c r="DZ277" s="360"/>
      <c r="EA277" s="360"/>
      <c r="EB277" s="360"/>
      <c r="EC277" s="360"/>
      <c r="ED277" s="360"/>
      <c r="EE277" s="360"/>
      <c r="EF277" s="360"/>
      <c r="EG277" s="360"/>
      <c r="EH277" s="360"/>
      <c r="EI277" s="360"/>
      <c r="EJ277" s="360"/>
      <c r="EK277" s="360"/>
      <c r="EL277" s="360"/>
      <c r="EM277" s="360"/>
      <c r="EN277" s="360"/>
      <c r="EO277" s="360"/>
      <c r="EP277" s="360"/>
      <c r="EQ277" s="360"/>
    </row>
    <row r="278" spans="1:147" x14ac:dyDescent="0.35">
      <c r="A278" s="5" t="s">
        <v>1345</v>
      </c>
      <c r="B278" s="5" t="s">
        <v>654</v>
      </c>
      <c r="C278" s="5" t="s">
        <v>788</v>
      </c>
      <c r="D278" s="5" t="s">
        <v>656</v>
      </c>
      <c r="E278" s="5" t="s">
        <v>459</v>
      </c>
      <c r="F278" s="5" t="s">
        <v>460</v>
      </c>
      <c r="G278" s="47" t="s">
        <v>1346</v>
      </c>
      <c r="H278" s="47" t="s">
        <v>981</v>
      </c>
      <c r="I278" s="101">
        <v>1300</v>
      </c>
      <c r="J278" s="101">
        <v>1200</v>
      </c>
      <c r="K278" s="101">
        <v>1100</v>
      </c>
      <c r="L278" s="101">
        <v>1000</v>
      </c>
      <c r="M278" s="101">
        <v>900</v>
      </c>
      <c r="N278" s="101">
        <v>800</v>
      </c>
      <c r="O278" s="101">
        <v>700</v>
      </c>
      <c r="P278" s="93">
        <v>0</v>
      </c>
      <c r="Q278" s="101">
        <v>22</v>
      </c>
      <c r="R278" s="101">
        <v>22</v>
      </c>
      <c r="S278" s="101">
        <v>22</v>
      </c>
      <c r="T278" s="101">
        <v>22</v>
      </c>
      <c r="U278" s="101">
        <v>22</v>
      </c>
      <c r="V278" s="101">
        <v>22</v>
      </c>
      <c r="W278" s="101">
        <v>22</v>
      </c>
      <c r="X278" s="101">
        <v>0</v>
      </c>
      <c r="Y278" s="101">
        <v>0</v>
      </c>
      <c r="Z278" s="101">
        <v>0</v>
      </c>
      <c r="AA278" s="101">
        <v>0</v>
      </c>
      <c r="AB278" s="101">
        <v>0</v>
      </c>
      <c r="AC278" s="101">
        <v>0</v>
      </c>
      <c r="AD278" s="101">
        <v>0</v>
      </c>
      <c r="AE278" s="186">
        <v>0.08</v>
      </c>
      <c r="AF278" s="93">
        <v>0</v>
      </c>
      <c r="AG278" s="93">
        <v>12</v>
      </c>
      <c r="AH278" s="93">
        <v>12</v>
      </c>
      <c r="AI278" s="16">
        <f t="shared" si="273"/>
        <v>5.4</v>
      </c>
      <c r="AJ278" s="16" t="s">
        <v>660</v>
      </c>
      <c r="AK278" s="16" t="s">
        <v>672</v>
      </c>
      <c r="AL278" s="16"/>
      <c r="AM278" s="60"/>
      <c r="AN278" s="60"/>
      <c r="AO278" s="60"/>
      <c r="AP278" s="60"/>
      <c r="AQ278" s="60"/>
      <c r="AR278" s="60"/>
      <c r="AS278" s="63"/>
      <c r="AT278" s="63"/>
      <c r="AU278" s="63"/>
      <c r="AV278" s="131"/>
      <c r="AW278" s="131"/>
      <c r="AX278" s="131"/>
      <c r="AY278" s="27" t="s">
        <v>1347</v>
      </c>
      <c r="AZ278" s="27" t="s">
        <v>456</v>
      </c>
      <c r="BA278" s="27">
        <v>1</v>
      </c>
      <c r="BB278" s="30"/>
      <c r="BC278" s="30" t="s">
        <v>1348</v>
      </c>
      <c r="BD278" s="30">
        <v>5.0000000000000001E-3</v>
      </c>
      <c r="BE278" s="30">
        <v>0.7</v>
      </c>
      <c r="BF278" s="30"/>
      <c r="BG278" s="30"/>
      <c r="BH278" s="107"/>
      <c r="BI278" s="107"/>
      <c r="BJ278" s="107"/>
      <c r="BK278" s="107"/>
      <c r="BL278" s="136"/>
      <c r="BM278" s="122"/>
      <c r="BN278" s="138">
        <v>0.2</v>
      </c>
      <c r="BO278" s="93"/>
      <c r="BP278" s="93"/>
      <c r="BQ278" s="93"/>
      <c r="BR278" s="93">
        <f>BN278</f>
        <v>0.2</v>
      </c>
      <c r="BS278" s="93"/>
      <c r="BT278" s="93"/>
      <c r="BU278" s="27">
        <f t="shared" si="248"/>
        <v>0</v>
      </c>
      <c r="BV278" s="27"/>
      <c r="BW278" s="27"/>
      <c r="BX278" s="27"/>
      <c r="BY278" s="27"/>
      <c r="BZ278" s="27"/>
      <c r="CA278" s="27"/>
      <c r="CB278" s="97">
        <v>0.2</v>
      </c>
      <c r="CC278" s="97">
        <v>5</v>
      </c>
      <c r="CD278" s="97">
        <v>25</v>
      </c>
      <c r="CE278" s="97">
        <v>50</v>
      </c>
      <c r="CF278" s="97">
        <v>100</v>
      </c>
      <c r="CG278" s="97">
        <v>100</v>
      </c>
      <c r="CH278" s="97">
        <v>100</v>
      </c>
      <c r="CI278" s="173"/>
      <c r="CJ278" s="173"/>
      <c r="CK278" s="173"/>
      <c r="CL278" s="173"/>
      <c r="CM278" s="173"/>
      <c r="CN278" s="173"/>
      <c r="CO278" s="173"/>
      <c r="CP278" s="174"/>
      <c r="CQ278" s="174"/>
      <c r="CR278" s="174"/>
      <c r="CS278" s="174"/>
      <c r="CT278" s="174"/>
      <c r="CU278" s="174"/>
      <c r="CV278" s="174"/>
      <c r="CW278" s="165"/>
      <c r="CX278" s="166"/>
      <c r="CY278" s="166"/>
      <c r="CZ278" s="166"/>
      <c r="DA278" s="166"/>
      <c r="DB278" s="166"/>
      <c r="DC278" s="166"/>
      <c r="DD278" s="171"/>
      <c r="DE278" s="171"/>
      <c r="DF278" s="171"/>
      <c r="DG278" s="171"/>
      <c r="DH278" s="171"/>
      <c r="DI278" s="171"/>
      <c r="DJ278" s="171"/>
      <c r="DK278" s="79" t="s">
        <v>1349</v>
      </c>
      <c r="DL278" s="128">
        <v>200</v>
      </c>
      <c r="DM278" s="128">
        <v>200</v>
      </c>
      <c r="DN278" s="128">
        <v>200</v>
      </c>
      <c r="DO278" s="128">
        <v>200</v>
      </c>
      <c r="DP278" s="128">
        <v>200</v>
      </c>
      <c r="DQ278" s="128">
        <v>200</v>
      </c>
      <c r="DR278" s="128">
        <v>200</v>
      </c>
      <c r="DS278" s="218"/>
      <c r="DT278" s="360"/>
      <c r="DU278" s="360"/>
      <c r="DV278" s="360"/>
      <c r="DW278" s="360"/>
      <c r="DX278" s="360"/>
      <c r="DY278" s="360"/>
      <c r="DZ278" s="360"/>
      <c r="EA278" s="360"/>
      <c r="EB278" s="360"/>
      <c r="EC278" s="360"/>
      <c r="ED278" s="360"/>
      <c r="EE278" s="360"/>
      <c r="EF278" s="360"/>
      <c r="EG278" s="360"/>
      <c r="EH278" s="360"/>
      <c r="EI278" s="360"/>
      <c r="EJ278" s="360"/>
      <c r="EK278" s="360"/>
      <c r="EL278" s="360"/>
      <c r="EM278" s="360"/>
      <c r="EN278" s="360"/>
      <c r="EO278" s="360"/>
      <c r="EP278" s="360"/>
      <c r="EQ278" s="360"/>
    </row>
    <row r="279" spans="1:147" x14ac:dyDescent="0.35">
      <c r="A279" s="6" t="s">
        <v>1350</v>
      </c>
      <c r="B279" s="6" t="s">
        <v>654</v>
      </c>
      <c r="C279" s="6" t="s">
        <v>788</v>
      </c>
      <c r="D279" s="6" t="s">
        <v>656</v>
      </c>
      <c r="E279" s="6" t="s">
        <v>459</v>
      </c>
      <c r="F279" s="6" t="s">
        <v>460</v>
      </c>
      <c r="G279" s="48" t="s">
        <v>1351</v>
      </c>
      <c r="H279" s="48" t="s">
        <v>981</v>
      </c>
      <c r="I279" s="102">
        <v>2000</v>
      </c>
      <c r="J279" s="102">
        <v>1900</v>
      </c>
      <c r="K279" s="102">
        <v>1800</v>
      </c>
      <c r="L279" s="102">
        <v>1700</v>
      </c>
      <c r="M279" s="102">
        <v>1600</v>
      </c>
      <c r="N279" s="102">
        <v>1500</v>
      </c>
      <c r="O279" s="102">
        <v>1400</v>
      </c>
      <c r="P279" s="94">
        <v>0</v>
      </c>
      <c r="Q279" s="102">
        <v>50</v>
      </c>
      <c r="R279" s="102">
        <v>50</v>
      </c>
      <c r="S279" s="102">
        <v>50</v>
      </c>
      <c r="T279" s="102">
        <v>50</v>
      </c>
      <c r="U279" s="102">
        <v>50</v>
      </c>
      <c r="V279" s="102">
        <v>50</v>
      </c>
      <c r="W279" s="102">
        <v>50</v>
      </c>
      <c r="X279" s="102">
        <v>0</v>
      </c>
      <c r="Y279" s="102">
        <v>0</v>
      </c>
      <c r="Z279" s="102">
        <v>0</v>
      </c>
      <c r="AA279" s="102">
        <v>0</v>
      </c>
      <c r="AB279" s="102">
        <v>0</v>
      </c>
      <c r="AC279" s="102">
        <v>0</v>
      </c>
      <c r="AD279" s="102">
        <v>0</v>
      </c>
      <c r="AE279" s="186">
        <v>0.08</v>
      </c>
      <c r="AF279" s="94">
        <v>0</v>
      </c>
      <c r="AG279" s="94">
        <v>12</v>
      </c>
      <c r="AH279" s="94">
        <v>12</v>
      </c>
      <c r="AI279" s="17">
        <f t="shared" si="273"/>
        <v>5.4</v>
      </c>
      <c r="AJ279" s="17" t="s">
        <v>660</v>
      </c>
      <c r="AK279" s="17" t="s">
        <v>672</v>
      </c>
      <c r="AL279" s="17"/>
      <c r="AM279" s="61"/>
      <c r="AN279" s="61"/>
      <c r="AO279" s="61"/>
      <c r="AP279" s="61"/>
      <c r="AQ279" s="61"/>
      <c r="AR279" s="61"/>
      <c r="AS279" s="64"/>
      <c r="AT279" s="64"/>
      <c r="AU279" s="64"/>
      <c r="AV279" s="132"/>
      <c r="AW279" s="132"/>
      <c r="AX279" s="132"/>
      <c r="AY279" s="28" t="s">
        <v>666</v>
      </c>
      <c r="AZ279" s="28" t="s">
        <v>456</v>
      </c>
      <c r="BA279" s="28">
        <v>1</v>
      </c>
      <c r="BB279" s="28"/>
      <c r="BC279" s="28" t="s">
        <v>1313</v>
      </c>
      <c r="BD279" s="28">
        <v>0.1</v>
      </c>
      <c r="BE279" s="28">
        <v>0</v>
      </c>
      <c r="BF279" s="28"/>
      <c r="BG279" s="28"/>
      <c r="BH279" s="106"/>
      <c r="BI279" s="106"/>
      <c r="BJ279" s="106"/>
      <c r="BK279" s="106"/>
      <c r="BL279" s="137"/>
      <c r="BM279" s="123"/>
      <c r="BN279" s="139">
        <v>0</v>
      </c>
      <c r="BO279" s="94"/>
      <c r="BP279" s="94"/>
      <c r="BQ279" s="94"/>
      <c r="BR279" s="94"/>
      <c r="BS279" s="94"/>
      <c r="BT279" s="94"/>
      <c r="BU279" s="28">
        <f t="shared" si="248"/>
        <v>0</v>
      </c>
      <c r="BV279" s="28"/>
      <c r="BW279" s="28"/>
      <c r="BX279" s="28"/>
      <c r="BY279" s="28"/>
      <c r="BZ279" s="28"/>
      <c r="CA279" s="28"/>
      <c r="CB279" s="99"/>
      <c r="CC279" s="99">
        <v>5</v>
      </c>
      <c r="CD279" s="99">
        <v>25</v>
      </c>
      <c r="CE279" s="99">
        <v>50</v>
      </c>
      <c r="CF279" s="99">
        <v>100</v>
      </c>
      <c r="CG279" s="99">
        <v>100</v>
      </c>
      <c r="CH279" s="99">
        <v>100</v>
      </c>
      <c r="CI279" s="175"/>
      <c r="CJ279" s="175"/>
      <c r="CK279" s="175"/>
      <c r="CL279" s="175"/>
      <c r="CM279" s="175"/>
      <c r="CN279" s="175"/>
      <c r="CO279" s="175"/>
      <c r="CP279" s="176"/>
      <c r="CQ279" s="176"/>
      <c r="CR279" s="176"/>
      <c r="CS279" s="176"/>
      <c r="CT279" s="176"/>
      <c r="CU279" s="176"/>
      <c r="CV279" s="176"/>
      <c r="CW279" s="167"/>
      <c r="CX279" s="168"/>
      <c r="CY279" s="168"/>
      <c r="CZ279" s="168"/>
      <c r="DA279" s="168"/>
      <c r="DB279" s="168"/>
      <c r="DC279" s="168"/>
      <c r="DD279" s="172"/>
      <c r="DE279" s="172"/>
      <c r="DF279" s="172"/>
      <c r="DG279" s="172"/>
      <c r="DH279" s="172"/>
      <c r="DI279" s="172"/>
      <c r="DJ279" s="172"/>
      <c r="DK279" s="80" t="s">
        <v>1352</v>
      </c>
      <c r="DL279" s="129">
        <v>200</v>
      </c>
      <c r="DM279" s="129">
        <v>200</v>
      </c>
      <c r="DN279" s="129">
        <v>200</v>
      </c>
      <c r="DO279" s="129">
        <v>200</v>
      </c>
      <c r="DP279" s="129">
        <v>200</v>
      </c>
      <c r="DQ279" s="129">
        <v>200</v>
      </c>
      <c r="DR279" s="129">
        <v>200</v>
      </c>
      <c r="DS279" s="218"/>
      <c r="DT279" s="360"/>
      <c r="DU279" s="360"/>
      <c r="DV279" s="360"/>
      <c r="DW279" s="360"/>
      <c r="DX279" s="360"/>
      <c r="DY279" s="360"/>
      <c r="DZ279" s="360"/>
      <c r="EA279" s="360"/>
      <c r="EB279" s="360"/>
      <c r="EC279" s="360"/>
      <c r="ED279" s="360"/>
      <c r="EE279" s="360"/>
      <c r="EF279" s="360"/>
      <c r="EG279" s="360"/>
      <c r="EH279" s="360"/>
      <c r="EI279" s="360"/>
      <c r="EJ279" s="360"/>
      <c r="EK279" s="360"/>
      <c r="EL279" s="360"/>
      <c r="EM279" s="360"/>
      <c r="EN279" s="360"/>
      <c r="EO279" s="360"/>
      <c r="EP279" s="360"/>
      <c r="EQ279" s="360"/>
    </row>
    <row r="280" spans="1:147" x14ac:dyDescent="0.35">
      <c r="A280" s="5" t="s">
        <v>1353</v>
      </c>
      <c r="B280" s="5" t="s">
        <v>654</v>
      </c>
      <c r="C280" s="5" t="s">
        <v>788</v>
      </c>
      <c r="D280" s="5" t="s">
        <v>708</v>
      </c>
      <c r="E280" s="5" t="s">
        <v>459</v>
      </c>
      <c r="F280" s="5" t="s">
        <v>461</v>
      </c>
      <c r="G280" s="47" t="s">
        <v>1354</v>
      </c>
      <c r="H280" s="47" t="s">
        <v>981</v>
      </c>
      <c r="I280" s="101">
        <v>50</v>
      </c>
      <c r="J280" s="101">
        <v>50</v>
      </c>
      <c r="K280" s="101">
        <v>50</v>
      </c>
      <c r="L280" s="101">
        <v>50</v>
      </c>
      <c r="M280" s="101">
        <v>50</v>
      </c>
      <c r="N280" s="101">
        <v>50</v>
      </c>
      <c r="O280" s="101">
        <v>50</v>
      </c>
      <c r="P280" s="93">
        <v>0</v>
      </c>
      <c r="Q280" s="101">
        <v>1</v>
      </c>
      <c r="R280" s="101">
        <v>1</v>
      </c>
      <c r="S280" s="101">
        <v>1</v>
      </c>
      <c r="T280" s="101">
        <v>1</v>
      </c>
      <c r="U280" s="101">
        <v>1</v>
      </c>
      <c r="V280" s="101">
        <v>1</v>
      </c>
      <c r="W280" s="101">
        <v>1</v>
      </c>
      <c r="X280" s="101">
        <v>0</v>
      </c>
      <c r="Y280" s="101">
        <v>0</v>
      </c>
      <c r="Z280" s="101">
        <v>0</v>
      </c>
      <c r="AA280" s="101">
        <v>0</v>
      </c>
      <c r="AB280" s="101">
        <v>0</v>
      </c>
      <c r="AC280" s="101">
        <v>0</v>
      </c>
      <c r="AD280" s="101">
        <v>0</v>
      </c>
      <c r="AE280" s="186">
        <v>0.08</v>
      </c>
      <c r="AF280" s="93">
        <v>0</v>
      </c>
      <c r="AG280" s="93">
        <v>10</v>
      </c>
      <c r="AH280" s="93">
        <v>10</v>
      </c>
      <c r="AI280" s="16">
        <f t="shared" si="273"/>
        <v>5.4</v>
      </c>
      <c r="AJ280" s="16" t="s">
        <v>660</v>
      </c>
      <c r="AK280" s="16" t="s">
        <v>672</v>
      </c>
      <c r="AL280" s="16"/>
      <c r="AM280" s="60"/>
      <c r="AN280" s="60"/>
      <c r="AO280" s="60"/>
      <c r="AP280" s="60"/>
      <c r="AQ280" s="60"/>
      <c r="AR280" s="60"/>
      <c r="AS280" s="63"/>
      <c r="AT280" s="63"/>
      <c r="AU280" s="63"/>
      <c r="AV280" s="131"/>
      <c r="AW280" s="131"/>
      <c r="AX280" s="131"/>
      <c r="AY280" s="27" t="s">
        <v>662</v>
      </c>
      <c r="AZ280" s="27"/>
      <c r="BA280" s="27"/>
      <c r="BB280" s="30"/>
      <c r="BC280" s="30"/>
      <c r="BD280" s="30"/>
      <c r="BE280" s="30"/>
      <c r="BF280" s="30"/>
      <c r="BG280" s="30"/>
      <c r="BH280" s="107"/>
      <c r="BI280" s="107"/>
      <c r="BJ280" s="107"/>
      <c r="BK280" s="107"/>
      <c r="BL280" s="136"/>
      <c r="BM280" s="122"/>
      <c r="BN280" s="138">
        <v>23</v>
      </c>
      <c r="BO280" s="93">
        <v>13</v>
      </c>
      <c r="BP280" s="93">
        <v>10</v>
      </c>
      <c r="BQ280" s="93"/>
      <c r="BR280" s="93"/>
      <c r="BS280" s="93"/>
      <c r="BT280" s="93"/>
      <c r="BU280" s="27">
        <f t="shared" si="248"/>
        <v>0</v>
      </c>
      <c r="BV280" s="27"/>
      <c r="BW280" s="27"/>
      <c r="BX280" s="27"/>
      <c r="BY280" s="27"/>
      <c r="BZ280" s="27"/>
      <c r="CA280" s="27"/>
      <c r="CB280" s="97">
        <v>23</v>
      </c>
      <c r="CC280" s="97">
        <v>23</v>
      </c>
      <c r="CD280" s="97">
        <v>23</v>
      </c>
      <c r="CE280" s="97">
        <v>23</v>
      </c>
      <c r="CF280" s="97">
        <v>23</v>
      </c>
      <c r="CG280" s="97">
        <v>23</v>
      </c>
      <c r="CH280" s="97">
        <v>23</v>
      </c>
      <c r="CI280" s="173"/>
      <c r="CJ280" s="173"/>
      <c r="CK280" s="173"/>
      <c r="CL280" s="173"/>
      <c r="CM280" s="173"/>
      <c r="CN280" s="173"/>
      <c r="CO280" s="173"/>
      <c r="CP280" s="174"/>
      <c r="CQ280" s="174"/>
      <c r="CR280" s="174"/>
      <c r="CS280" s="174"/>
      <c r="CT280" s="174"/>
      <c r="CU280" s="174"/>
      <c r="CV280" s="174"/>
      <c r="CW280" s="165"/>
      <c r="CX280" s="166"/>
      <c r="CY280" s="166"/>
      <c r="CZ280" s="166"/>
      <c r="DA280" s="166"/>
      <c r="DB280" s="166"/>
      <c r="DC280" s="166"/>
      <c r="DD280" s="171"/>
      <c r="DE280" s="171"/>
      <c r="DF280" s="171"/>
      <c r="DG280" s="171"/>
      <c r="DH280" s="171"/>
      <c r="DI280" s="171"/>
      <c r="DJ280" s="171"/>
      <c r="DK280" s="79" t="s">
        <v>452</v>
      </c>
      <c r="DL280" s="128">
        <v>500</v>
      </c>
      <c r="DM280" s="128">
        <v>500</v>
      </c>
      <c r="DN280" s="128">
        <v>500</v>
      </c>
      <c r="DO280" s="128">
        <v>500</v>
      </c>
      <c r="DP280" s="128">
        <v>500</v>
      </c>
      <c r="DQ280" s="128">
        <v>500</v>
      </c>
      <c r="DR280" s="128">
        <v>500</v>
      </c>
      <c r="DS280" s="218"/>
      <c r="DT280" s="360"/>
      <c r="DU280" s="360"/>
      <c r="DV280" s="360"/>
      <c r="DW280" s="360"/>
      <c r="DX280" s="360"/>
      <c r="DY280" s="360"/>
      <c r="DZ280" s="360"/>
      <c r="EA280" s="360"/>
      <c r="EB280" s="360"/>
      <c r="EC280" s="360"/>
      <c r="ED280" s="360"/>
      <c r="EE280" s="360"/>
      <c r="EF280" s="360"/>
      <c r="EG280" s="360"/>
      <c r="EH280" s="360"/>
      <c r="EI280" s="360"/>
      <c r="EJ280" s="360"/>
      <c r="EK280" s="360"/>
      <c r="EL280" s="360"/>
      <c r="EM280" s="360"/>
      <c r="EN280" s="360"/>
      <c r="EO280" s="360"/>
      <c r="EP280" s="360"/>
      <c r="EQ280" s="360"/>
    </row>
    <row r="281" spans="1:147" x14ac:dyDescent="0.35">
      <c r="A281" s="6" t="s">
        <v>1355</v>
      </c>
      <c r="B281" s="6" t="s">
        <v>654</v>
      </c>
      <c r="C281" s="6" t="s">
        <v>788</v>
      </c>
      <c r="D281" s="6" t="s">
        <v>708</v>
      </c>
      <c r="E281" s="6" t="s">
        <v>459</v>
      </c>
      <c r="F281" s="6" t="s">
        <v>461</v>
      </c>
      <c r="G281" s="48" t="s">
        <v>1356</v>
      </c>
      <c r="H281" s="48" t="s">
        <v>981</v>
      </c>
      <c r="I281" s="102">
        <v>50</v>
      </c>
      <c r="J281" s="102">
        <v>50</v>
      </c>
      <c r="K281" s="102">
        <v>50</v>
      </c>
      <c r="L281" s="102">
        <v>50</v>
      </c>
      <c r="M281" s="102">
        <v>50</v>
      </c>
      <c r="N281" s="102">
        <v>50</v>
      </c>
      <c r="O281" s="102">
        <v>50</v>
      </c>
      <c r="P281" s="94">
        <v>0</v>
      </c>
      <c r="Q281" s="102">
        <v>1</v>
      </c>
      <c r="R281" s="102">
        <v>1</v>
      </c>
      <c r="S281" s="102">
        <v>1</v>
      </c>
      <c r="T281" s="102">
        <v>1</v>
      </c>
      <c r="U281" s="102">
        <v>1</v>
      </c>
      <c r="V281" s="102">
        <v>1</v>
      </c>
      <c r="W281" s="102">
        <v>1</v>
      </c>
      <c r="X281" s="102">
        <v>0</v>
      </c>
      <c r="Y281" s="102">
        <v>0</v>
      </c>
      <c r="Z281" s="102">
        <v>0</v>
      </c>
      <c r="AA281" s="102">
        <v>0</v>
      </c>
      <c r="AB281" s="102">
        <v>0</v>
      </c>
      <c r="AC281" s="102">
        <v>0</v>
      </c>
      <c r="AD281" s="102">
        <v>0</v>
      </c>
      <c r="AE281" s="186">
        <v>0.08</v>
      </c>
      <c r="AF281" s="94">
        <v>0</v>
      </c>
      <c r="AG281" s="94">
        <v>10</v>
      </c>
      <c r="AH281" s="94">
        <v>10</v>
      </c>
      <c r="AI281" s="17">
        <f t="shared" si="273"/>
        <v>5.4</v>
      </c>
      <c r="AJ281" s="17" t="s">
        <v>660</v>
      </c>
      <c r="AK281" s="17" t="s">
        <v>672</v>
      </c>
      <c r="AL281" s="17"/>
      <c r="AM281" s="61"/>
      <c r="AN281" s="61"/>
      <c r="AO281" s="61"/>
      <c r="AP281" s="61"/>
      <c r="AQ281" s="61"/>
      <c r="AR281" s="61"/>
      <c r="AS281" s="64"/>
      <c r="AT281" s="64"/>
      <c r="AU281" s="64"/>
      <c r="AV281" s="132"/>
      <c r="AW281" s="132"/>
      <c r="AX281" s="132"/>
      <c r="AY281" s="28" t="s">
        <v>662</v>
      </c>
      <c r="AZ281" s="28"/>
      <c r="BA281" s="28"/>
      <c r="BB281" s="28"/>
      <c r="BC281" s="28"/>
      <c r="BD281" s="28"/>
      <c r="BE281" s="28"/>
      <c r="BF281" s="28"/>
      <c r="BG281" s="28"/>
      <c r="BH281" s="106"/>
      <c r="BI281" s="106"/>
      <c r="BJ281" s="106"/>
      <c r="BK281" s="106"/>
      <c r="BL281" s="137"/>
      <c r="BM281" s="123"/>
      <c r="BN281" s="139">
        <v>0.9</v>
      </c>
      <c r="BO281" s="94">
        <v>0.6</v>
      </c>
      <c r="BP281" s="94">
        <v>0.3</v>
      </c>
      <c r="BQ281" s="94"/>
      <c r="BR281" s="94"/>
      <c r="BS281" s="94"/>
      <c r="BT281" s="94"/>
      <c r="BU281" s="28">
        <f t="shared" si="248"/>
        <v>0</v>
      </c>
      <c r="BV281" s="28"/>
      <c r="BW281" s="28"/>
      <c r="BX281" s="28"/>
      <c r="BY281" s="28"/>
      <c r="BZ281" s="28"/>
      <c r="CA281" s="28"/>
      <c r="CB281" s="99">
        <v>2</v>
      </c>
      <c r="CC281" s="99">
        <v>5</v>
      </c>
      <c r="CD281" s="99">
        <v>25</v>
      </c>
      <c r="CE281" s="99">
        <v>100</v>
      </c>
      <c r="CF281" s="99">
        <v>100</v>
      </c>
      <c r="CG281" s="99">
        <v>100</v>
      </c>
      <c r="CH281" s="99">
        <v>100</v>
      </c>
      <c r="CI281" s="175"/>
      <c r="CJ281" s="175"/>
      <c r="CK281" s="175"/>
      <c r="CL281" s="175"/>
      <c r="CM281" s="175"/>
      <c r="CN281" s="175"/>
      <c r="CO281" s="175"/>
      <c r="CP281" s="176"/>
      <c r="CQ281" s="176"/>
      <c r="CR281" s="176"/>
      <c r="CS281" s="176"/>
      <c r="CT281" s="176"/>
      <c r="CU281" s="176"/>
      <c r="CV281" s="176"/>
      <c r="CW281" s="167"/>
      <c r="CX281" s="168"/>
      <c r="CY281" s="168"/>
      <c r="CZ281" s="168"/>
      <c r="DA281" s="168"/>
      <c r="DB281" s="168"/>
      <c r="DC281" s="168"/>
      <c r="DD281" s="172"/>
      <c r="DE281" s="172"/>
      <c r="DF281" s="172"/>
      <c r="DG281" s="172"/>
      <c r="DH281" s="172"/>
      <c r="DI281" s="172"/>
      <c r="DJ281" s="172"/>
      <c r="DK281" s="80" t="s">
        <v>452</v>
      </c>
      <c r="DL281" s="129">
        <v>500</v>
      </c>
      <c r="DM281" s="129">
        <v>500</v>
      </c>
      <c r="DN281" s="129">
        <v>500</v>
      </c>
      <c r="DO281" s="129">
        <v>500</v>
      </c>
      <c r="DP281" s="129">
        <v>500</v>
      </c>
      <c r="DQ281" s="129">
        <v>500</v>
      </c>
      <c r="DR281" s="129">
        <v>500</v>
      </c>
      <c r="DS281" s="218"/>
      <c r="DT281" s="360"/>
      <c r="DU281" s="360"/>
      <c r="DV281" s="360"/>
      <c r="DW281" s="360"/>
      <c r="DX281" s="360"/>
      <c r="DY281" s="360"/>
      <c r="DZ281" s="360"/>
      <c r="EA281" s="360"/>
      <c r="EB281" s="360"/>
      <c r="EC281" s="360"/>
      <c r="ED281" s="360"/>
      <c r="EE281" s="360"/>
      <c r="EF281" s="360"/>
      <c r="EG281" s="360"/>
      <c r="EH281" s="360"/>
      <c r="EI281" s="360"/>
      <c r="EJ281" s="360"/>
      <c r="EK281" s="360"/>
      <c r="EL281" s="360"/>
      <c r="EM281" s="360"/>
      <c r="EN281" s="360"/>
      <c r="EO281" s="360"/>
      <c r="EP281" s="360"/>
      <c r="EQ281" s="360"/>
    </row>
    <row r="282" spans="1:147" x14ac:dyDescent="0.35">
      <c r="A282" s="5" t="s">
        <v>1357</v>
      </c>
      <c r="B282" s="5" t="s">
        <v>654</v>
      </c>
      <c r="C282" s="5" t="s">
        <v>788</v>
      </c>
      <c r="D282" s="5" t="s">
        <v>708</v>
      </c>
      <c r="E282" s="5" t="s">
        <v>459</v>
      </c>
      <c r="F282" s="5" t="s">
        <v>461</v>
      </c>
      <c r="G282" s="47" t="s">
        <v>1358</v>
      </c>
      <c r="H282" s="47" t="s">
        <v>981</v>
      </c>
      <c r="I282" s="101">
        <v>0</v>
      </c>
      <c r="J282" s="101">
        <v>0</v>
      </c>
      <c r="K282" s="101">
        <v>0</v>
      </c>
      <c r="L282" s="101">
        <v>0</v>
      </c>
      <c r="M282" s="101">
        <v>0</v>
      </c>
      <c r="N282" s="101">
        <v>0</v>
      </c>
      <c r="O282" s="101">
        <v>0</v>
      </c>
      <c r="P282" s="93">
        <v>0</v>
      </c>
      <c r="Q282" s="101">
        <v>15</v>
      </c>
      <c r="R282" s="101">
        <v>15</v>
      </c>
      <c r="S282" s="101">
        <v>15</v>
      </c>
      <c r="T282" s="101">
        <v>15</v>
      </c>
      <c r="U282" s="101">
        <v>15</v>
      </c>
      <c r="V282" s="101">
        <v>15</v>
      </c>
      <c r="W282" s="101">
        <v>15</v>
      </c>
      <c r="X282" s="101">
        <v>0</v>
      </c>
      <c r="Y282" s="101">
        <v>0</v>
      </c>
      <c r="Z282" s="101">
        <v>0</v>
      </c>
      <c r="AA282" s="101">
        <v>0</v>
      </c>
      <c r="AB282" s="101">
        <v>0</v>
      </c>
      <c r="AC282" s="101">
        <v>0</v>
      </c>
      <c r="AD282" s="101">
        <v>0</v>
      </c>
      <c r="AE282" s="186">
        <v>0.08</v>
      </c>
      <c r="AF282" s="93">
        <v>0</v>
      </c>
      <c r="AG282" s="93">
        <v>40</v>
      </c>
      <c r="AH282" s="93">
        <v>40</v>
      </c>
      <c r="AI282" s="16">
        <f t="shared" si="273"/>
        <v>5.4</v>
      </c>
      <c r="AJ282" s="16" t="s">
        <v>660</v>
      </c>
      <c r="AK282" s="16" t="s">
        <v>672</v>
      </c>
      <c r="AL282" s="16"/>
      <c r="AM282" s="60"/>
      <c r="AN282" s="60"/>
      <c r="AO282" s="60"/>
      <c r="AP282" s="60"/>
      <c r="AQ282" s="60"/>
      <c r="AR282" s="60"/>
      <c r="AS282" s="63"/>
      <c r="AT282" s="63"/>
      <c r="AU282" s="63"/>
      <c r="AV282" s="131"/>
      <c r="AW282" s="131"/>
      <c r="AX282" s="131"/>
      <c r="AY282" s="27" t="s">
        <v>662</v>
      </c>
      <c r="AZ282" s="27"/>
      <c r="BA282" s="27"/>
      <c r="BB282" s="30"/>
      <c r="BC282" s="30"/>
      <c r="BD282" s="30"/>
      <c r="BE282" s="30"/>
      <c r="BF282" s="30"/>
      <c r="BG282" s="30"/>
      <c r="BH282" s="107"/>
      <c r="BI282" s="107"/>
      <c r="BJ282" s="107"/>
      <c r="BK282" s="107"/>
      <c r="BL282" s="136"/>
      <c r="BM282" s="122"/>
      <c r="BN282" s="138">
        <v>1.85</v>
      </c>
      <c r="BO282" s="93"/>
      <c r="BP282" s="93"/>
      <c r="BQ282" s="93"/>
      <c r="BR282" s="93">
        <v>0.5</v>
      </c>
      <c r="BS282" s="93">
        <v>0.5</v>
      </c>
      <c r="BT282" s="93">
        <v>0.85</v>
      </c>
      <c r="BU282" s="27">
        <f t="shared" si="248"/>
        <v>0</v>
      </c>
      <c r="BV282" s="27"/>
      <c r="BW282" s="27"/>
      <c r="BX282" s="27"/>
      <c r="BY282" s="27"/>
      <c r="BZ282" s="27"/>
      <c r="CA282" s="27"/>
      <c r="CB282" s="97">
        <v>1.85</v>
      </c>
      <c r="CC282" s="97">
        <v>5</v>
      </c>
      <c r="CD282" s="97">
        <v>25</v>
      </c>
      <c r="CE282" s="97">
        <v>50</v>
      </c>
      <c r="CF282" s="97">
        <v>100</v>
      </c>
      <c r="CG282" s="97">
        <v>100</v>
      </c>
      <c r="CH282" s="97">
        <v>100</v>
      </c>
      <c r="CI282" s="173"/>
      <c r="CJ282" s="173"/>
      <c r="CK282" s="173"/>
      <c r="CL282" s="173"/>
      <c r="CM282" s="173"/>
      <c r="CN282" s="173"/>
      <c r="CO282" s="173"/>
      <c r="CP282" s="174"/>
      <c r="CQ282" s="174"/>
      <c r="CR282" s="174"/>
      <c r="CS282" s="174"/>
      <c r="CT282" s="174"/>
      <c r="CU282" s="174"/>
      <c r="CV282" s="174"/>
      <c r="CW282" s="165"/>
      <c r="CX282" s="166"/>
      <c r="CY282" s="166"/>
      <c r="CZ282" s="166"/>
      <c r="DA282" s="166"/>
      <c r="DB282" s="166"/>
      <c r="DC282" s="166"/>
      <c r="DD282" s="171"/>
      <c r="DE282" s="171"/>
      <c r="DF282" s="171"/>
      <c r="DG282" s="171"/>
      <c r="DH282" s="171"/>
      <c r="DI282" s="171"/>
      <c r="DJ282" s="171"/>
      <c r="DK282" s="79" t="s">
        <v>452</v>
      </c>
      <c r="DL282" s="128">
        <v>500</v>
      </c>
      <c r="DM282" s="128">
        <v>500</v>
      </c>
      <c r="DN282" s="128">
        <v>500</v>
      </c>
      <c r="DO282" s="128">
        <v>500</v>
      </c>
      <c r="DP282" s="128">
        <v>500</v>
      </c>
      <c r="DQ282" s="128">
        <v>500</v>
      </c>
      <c r="DR282" s="128">
        <v>500</v>
      </c>
      <c r="DS282" s="218"/>
      <c r="DT282" s="360"/>
      <c r="DU282" s="360"/>
      <c r="DV282" s="360"/>
      <c r="DW282" s="360"/>
      <c r="DX282" s="360"/>
      <c r="DY282" s="360"/>
      <c r="DZ282" s="360"/>
      <c r="EA282" s="360"/>
      <c r="EB282" s="360"/>
      <c r="EC282" s="360"/>
      <c r="ED282" s="360"/>
      <c r="EE282" s="360"/>
      <c r="EF282" s="360"/>
      <c r="EG282" s="360"/>
      <c r="EH282" s="360"/>
      <c r="EI282" s="360"/>
      <c r="EJ282" s="360"/>
      <c r="EK282" s="360"/>
      <c r="EL282" s="360"/>
      <c r="EM282" s="360"/>
      <c r="EN282" s="360"/>
      <c r="EO282" s="360"/>
      <c r="EP282" s="360"/>
      <c r="EQ282" s="360"/>
    </row>
    <row r="283" spans="1:147" x14ac:dyDescent="0.35">
      <c r="A283" s="6" t="s">
        <v>1359</v>
      </c>
      <c r="B283" s="6" t="s">
        <v>654</v>
      </c>
      <c r="C283" s="6" t="s">
        <v>788</v>
      </c>
      <c r="D283" s="6" t="s">
        <v>708</v>
      </c>
      <c r="E283" s="6" t="s">
        <v>459</v>
      </c>
      <c r="F283" s="6" t="s">
        <v>461</v>
      </c>
      <c r="G283" s="48" t="s">
        <v>1360</v>
      </c>
      <c r="H283" s="48" t="s">
        <v>981</v>
      </c>
      <c r="I283" s="102">
        <v>600</v>
      </c>
      <c r="J283" s="102">
        <v>550</v>
      </c>
      <c r="K283" s="102">
        <v>500</v>
      </c>
      <c r="L283" s="102">
        <v>450</v>
      </c>
      <c r="M283" s="102">
        <v>400</v>
      </c>
      <c r="N283" s="102">
        <v>350</v>
      </c>
      <c r="O283" s="102">
        <v>300</v>
      </c>
      <c r="P283" s="94">
        <v>0</v>
      </c>
      <c r="Q283" s="102">
        <v>30</v>
      </c>
      <c r="R283" s="102">
        <v>30</v>
      </c>
      <c r="S283" s="102">
        <v>30</v>
      </c>
      <c r="T283" s="102">
        <v>30</v>
      </c>
      <c r="U283" s="102">
        <v>30</v>
      </c>
      <c r="V283" s="102">
        <v>30</v>
      </c>
      <c r="W283" s="102">
        <v>30</v>
      </c>
      <c r="X283" s="102">
        <v>0</v>
      </c>
      <c r="Y283" s="102">
        <v>0</v>
      </c>
      <c r="Z283" s="102">
        <v>0</v>
      </c>
      <c r="AA283" s="102">
        <v>0</v>
      </c>
      <c r="AB283" s="102">
        <v>0</v>
      </c>
      <c r="AC283" s="102">
        <v>0</v>
      </c>
      <c r="AD283" s="102">
        <v>0</v>
      </c>
      <c r="AE283" s="186">
        <v>0.08</v>
      </c>
      <c r="AF283" s="94">
        <v>0</v>
      </c>
      <c r="AG283" s="94">
        <v>10</v>
      </c>
      <c r="AH283" s="94">
        <v>10</v>
      </c>
      <c r="AI283" s="17">
        <f t="shared" si="273"/>
        <v>5.4</v>
      </c>
      <c r="AJ283" s="17" t="s">
        <v>660</v>
      </c>
      <c r="AK283" s="17" t="s">
        <v>672</v>
      </c>
      <c r="AL283" s="17"/>
      <c r="AM283" s="61"/>
      <c r="AN283" s="61"/>
      <c r="AO283" s="61"/>
      <c r="AP283" s="61"/>
      <c r="AQ283" s="61"/>
      <c r="AR283" s="61"/>
      <c r="AS283" s="64"/>
      <c r="AT283" s="64"/>
      <c r="AU283" s="64"/>
      <c r="AV283" s="132"/>
      <c r="AW283" s="132"/>
      <c r="AX283" s="132"/>
      <c r="AY283" s="28" t="s">
        <v>662</v>
      </c>
      <c r="AZ283" s="28"/>
      <c r="BA283" s="28"/>
      <c r="BB283" s="28"/>
      <c r="BC283" s="28"/>
      <c r="BD283" s="28"/>
      <c r="BE283" s="28"/>
      <c r="BF283" s="28"/>
      <c r="BG283" s="28"/>
      <c r="BH283" s="106"/>
      <c r="BI283" s="106"/>
      <c r="BJ283" s="106"/>
      <c r="BK283" s="106"/>
      <c r="BL283" s="137"/>
      <c r="BM283" s="123"/>
      <c r="BN283" s="139">
        <v>0.55000000000000004</v>
      </c>
      <c r="BO283" s="94">
        <v>0.15</v>
      </c>
      <c r="BP283" s="94">
        <v>0.4</v>
      </c>
      <c r="BQ283" s="94"/>
      <c r="BR283" s="94"/>
      <c r="BS283" s="94"/>
      <c r="BT283" s="94"/>
      <c r="BU283" s="28">
        <f t="shared" si="248"/>
        <v>0</v>
      </c>
      <c r="BV283" s="28"/>
      <c r="BW283" s="28"/>
      <c r="BX283" s="28"/>
      <c r="BY283" s="28"/>
      <c r="BZ283" s="28"/>
      <c r="CA283" s="28"/>
      <c r="CB283" s="99">
        <v>0.55000000000000004</v>
      </c>
      <c r="CC283" s="99">
        <v>5</v>
      </c>
      <c r="CD283" s="99">
        <v>25</v>
      </c>
      <c r="CE283" s="99">
        <v>50</v>
      </c>
      <c r="CF283" s="99">
        <v>100</v>
      </c>
      <c r="CG283" s="99">
        <v>100</v>
      </c>
      <c r="CH283" s="99">
        <v>100</v>
      </c>
      <c r="CI283" s="175"/>
      <c r="CJ283" s="175"/>
      <c r="CK283" s="175"/>
      <c r="CL283" s="175"/>
      <c r="CM283" s="175"/>
      <c r="CN283" s="175"/>
      <c r="CO283" s="175"/>
      <c r="CP283" s="176"/>
      <c r="CQ283" s="176"/>
      <c r="CR283" s="176"/>
      <c r="CS283" s="176"/>
      <c r="CT283" s="176"/>
      <c r="CU283" s="176"/>
      <c r="CV283" s="176"/>
      <c r="CW283" s="167"/>
      <c r="CX283" s="168"/>
      <c r="CY283" s="168"/>
      <c r="CZ283" s="168"/>
      <c r="DA283" s="168"/>
      <c r="DB283" s="168"/>
      <c r="DC283" s="168"/>
      <c r="DD283" s="172"/>
      <c r="DE283" s="172"/>
      <c r="DF283" s="172"/>
      <c r="DG283" s="172"/>
      <c r="DH283" s="172"/>
      <c r="DI283" s="172"/>
      <c r="DJ283" s="172"/>
      <c r="DK283" s="80" t="s">
        <v>452</v>
      </c>
      <c r="DL283" s="129">
        <v>500</v>
      </c>
      <c r="DM283" s="129">
        <v>500</v>
      </c>
      <c r="DN283" s="129">
        <v>500</v>
      </c>
      <c r="DO283" s="129">
        <v>500</v>
      </c>
      <c r="DP283" s="129">
        <v>500</v>
      </c>
      <c r="DQ283" s="129">
        <v>500</v>
      </c>
      <c r="DR283" s="129">
        <v>500</v>
      </c>
      <c r="DS283" s="218"/>
      <c r="DT283" s="360"/>
      <c r="DU283" s="360"/>
      <c r="DV283" s="360"/>
      <c r="DW283" s="360"/>
      <c r="DX283" s="360"/>
      <c r="DY283" s="360"/>
      <c r="DZ283" s="360"/>
      <c r="EA283" s="360"/>
      <c r="EB283" s="360"/>
      <c r="EC283" s="360"/>
      <c r="ED283" s="360"/>
      <c r="EE283" s="360"/>
      <c r="EF283" s="360"/>
      <c r="EG283" s="360"/>
      <c r="EH283" s="360"/>
      <c r="EI283" s="360"/>
      <c r="EJ283" s="360"/>
      <c r="EK283" s="360"/>
      <c r="EL283" s="360"/>
      <c r="EM283" s="360"/>
      <c r="EN283" s="360"/>
      <c r="EO283" s="360"/>
      <c r="EP283" s="360"/>
      <c r="EQ283" s="360"/>
    </row>
    <row r="284" spans="1:147" x14ac:dyDescent="0.35">
      <c r="A284" s="5" t="s">
        <v>1361</v>
      </c>
      <c r="B284" s="5" t="s">
        <v>654</v>
      </c>
      <c r="C284" s="5" t="s">
        <v>788</v>
      </c>
      <c r="D284" s="5" t="s">
        <v>708</v>
      </c>
      <c r="E284" s="5" t="s">
        <v>459</v>
      </c>
      <c r="F284" s="5" t="s">
        <v>461</v>
      </c>
      <c r="G284" s="221" t="s">
        <v>1362</v>
      </c>
      <c r="H284" s="47" t="s">
        <v>981</v>
      </c>
      <c r="I284" s="101">
        <v>150</v>
      </c>
      <c r="J284" s="101">
        <v>150</v>
      </c>
      <c r="K284" s="101">
        <v>150</v>
      </c>
      <c r="L284" s="101">
        <v>150</v>
      </c>
      <c r="M284" s="101">
        <v>150</v>
      </c>
      <c r="N284" s="101">
        <v>150</v>
      </c>
      <c r="O284" s="101">
        <v>150</v>
      </c>
      <c r="P284" s="93">
        <v>0</v>
      </c>
      <c r="Q284" s="101">
        <v>2</v>
      </c>
      <c r="R284" s="101">
        <v>2</v>
      </c>
      <c r="S284" s="101">
        <v>2</v>
      </c>
      <c r="T284" s="101">
        <v>2</v>
      </c>
      <c r="U284" s="101">
        <v>2</v>
      </c>
      <c r="V284" s="101">
        <v>2</v>
      </c>
      <c r="W284" s="101">
        <v>2</v>
      </c>
      <c r="X284" s="101">
        <v>0</v>
      </c>
      <c r="Y284" s="101">
        <v>0</v>
      </c>
      <c r="Z284" s="101">
        <v>0</v>
      </c>
      <c r="AA284" s="101">
        <v>0</v>
      </c>
      <c r="AB284" s="101">
        <v>0</v>
      </c>
      <c r="AC284" s="101">
        <v>0</v>
      </c>
      <c r="AD284" s="101">
        <v>0</v>
      </c>
      <c r="AE284" s="186">
        <v>0.08</v>
      </c>
      <c r="AF284" s="93">
        <v>0</v>
      </c>
      <c r="AG284" s="93">
        <v>12</v>
      </c>
      <c r="AH284" s="93">
        <v>12</v>
      </c>
      <c r="AI284" s="16">
        <f t="shared" si="273"/>
        <v>5.4</v>
      </c>
      <c r="AJ284" s="16" t="s">
        <v>660</v>
      </c>
      <c r="AK284" s="16" t="s">
        <v>672</v>
      </c>
      <c r="AL284" s="16"/>
      <c r="AM284" s="60"/>
      <c r="AN284" s="60"/>
      <c r="AO284" s="60"/>
      <c r="AP284" s="60"/>
      <c r="AQ284" s="60"/>
      <c r="AR284" s="60"/>
      <c r="AS284" s="63"/>
      <c r="AT284" s="63"/>
      <c r="AU284" s="63"/>
      <c r="AV284" s="131"/>
      <c r="AW284" s="131"/>
      <c r="AX284" s="131"/>
      <c r="AY284" s="27" t="s">
        <v>662</v>
      </c>
      <c r="AZ284" s="27"/>
      <c r="BA284" s="27"/>
      <c r="BB284" s="30"/>
      <c r="BC284" s="30"/>
      <c r="BD284" s="30"/>
      <c r="BE284" s="30"/>
      <c r="BF284" s="30"/>
      <c r="BG284" s="30"/>
      <c r="BH284" s="107"/>
      <c r="BI284" s="107"/>
      <c r="BJ284" s="107"/>
      <c r="BK284" s="107"/>
      <c r="BL284" s="136"/>
      <c r="BM284" s="122"/>
      <c r="BN284" s="138">
        <v>0</v>
      </c>
      <c r="BO284" s="93"/>
      <c r="BP284" s="93"/>
      <c r="BQ284" s="93"/>
      <c r="BR284" s="93"/>
      <c r="BS284" s="93"/>
      <c r="BT284" s="93"/>
      <c r="BU284" s="27">
        <f t="shared" ref="BU284" si="275">IF(BL284=1,BN284,0)</f>
        <v>0</v>
      </c>
      <c r="BV284" s="27"/>
      <c r="BW284" s="27"/>
      <c r="BX284" s="27"/>
      <c r="BY284" s="27"/>
      <c r="BZ284" s="27"/>
      <c r="CA284" s="27"/>
      <c r="CB284" s="97"/>
      <c r="CC284" s="97">
        <v>5</v>
      </c>
      <c r="CD284" s="97">
        <v>25</v>
      </c>
      <c r="CE284" s="97">
        <v>50</v>
      </c>
      <c r="CF284" s="97">
        <v>100</v>
      </c>
      <c r="CG284" s="97">
        <v>100</v>
      </c>
      <c r="CH284" s="97">
        <v>100</v>
      </c>
      <c r="CI284" s="173"/>
      <c r="CJ284" s="173"/>
      <c r="CK284" s="173"/>
      <c r="CL284" s="173"/>
      <c r="CM284" s="173"/>
      <c r="CN284" s="173"/>
      <c r="CO284" s="173"/>
      <c r="CP284" s="174"/>
      <c r="CQ284" s="174"/>
      <c r="CR284" s="174"/>
      <c r="CS284" s="174"/>
      <c r="CT284" s="174"/>
      <c r="CU284" s="174"/>
      <c r="CV284" s="174"/>
      <c r="CW284" s="165"/>
      <c r="CX284" s="166"/>
      <c r="CY284" s="166"/>
      <c r="CZ284" s="166"/>
      <c r="DA284" s="166"/>
      <c r="DB284" s="166"/>
      <c r="DC284" s="166"/>
      <c r="DD284" s="171"/>
      <c r="DE284" s="171"/>
      <c r="DF284" s="171"/>
      <c r="DG284" s="171"/>
      <c r="DH284" s="171"/>
      <c r="DI284" s="171"/>
      <c r="DJ284" s="171"/>
      <c r="DK284" s="79" t="s">
        <v>1335</v>
      </c>
      <c r="DL284" s="128">
        <v>200</v>
      </c>
      <c r="DM284" s="128">
        <v>200</v>
      </c>
      <c r="DN284" s="128">
        <v>200</v>
      </c>
      <c r="DO284" s="128">
        <v>200</v>
      </c>
      <c r="DP284" s="128">
        <v>200</v>
      </c>
      <c r="DQ284" s="128">
        <v>200</v>
      </c>
      <c r="DR284" s="128">
        <v>200</v>
      </c>
      <c r="DS284" s="218"/>
      <c r="DT284" s="360"/>
      <c r="DU284" s="360"/>
      <c r="DV284" s="360"/>
      <c r="DW284" s="360"/>
      <c r="DX284" s="360"/>
      <c r="DY284" s="360"/>
      <c r="DZ284" s="360"/>
      <c r="EA284" s="360"/>
      <c r="EB284" s="360"/>
      <c r="EC284" s="360"/>
      <c r="ED284" s="360"/>
      <c r="EE284" s="360"/>
      <c r="EF284" s="360"/>
      <c r="EG284" s="360"/>
      <c r="EH284" s="360"/>
      <c r="EI284" s="360"/>
      <c r="EJ284" s="360"/>
      <c r="EK284" s="360"/>
      <c r="EL284" s="360"/>
      <c r="EM284" s="360"/>
      <c r="EN284" s="360"/>
      <c r="EO284" s="360"/>
      <c r="EP284" s="360"/>
      <c r="EQ284" s="360"/>
    </row>
    <row r="285" spans="1:147" x14ac:dyDescent="0.35">
      <c r="A285" s="6" t="s">
        <v>1363</v>
      </c>
      <c r="B285" s="6" t="s">
        <v>654</v>
      </c>
      <c r="C285" s="6" t="s">
        <v>788</v>
      </c>
      <c r="D285" s="6" t="s">
        <v>708</v>
      </c>
      <c r="E285" s="6" t="s">
        <v>459</v>
      </c>
      <c r="F285" s="6" t="s">
        <v>461</v>
      </c>
      <c r="G285" s="48" t="s">
        <v>1364</v>
      </c>
      <c r="H285" s="48" t="s">
        <v>981</v>
      </c>
      <c r="I285" s="102">
        <v>1300</v>
      </c>
      <c r="J285" s="102">
        <v>1200</v>
      </c>
      <c r="K285" s="102">
        <v>1100</v>
      </c>
      <c r="L285" s="102">
        <v>1000</v>
      </c>
      <c r="M285" s="102">
        <v>900</v>
      </c>
      <c r="N285" s="102">
        <v>800</v>
      </c>
      <c r="O285" s="102">
        <v>700</v>
      </c>
      <c r="P285" s="94">
        <v>0</v>
      </c>
      <c r="Q285" s="102">
        <v>22</v>
      </c>
      <c r="R285" s="102">
        <v>22</v>
      </c>
      <c r="S285" s="102">
        <v>22</v>
      </c>
      <c r="T285" s="102">
        <v>22</v>
      </c>
      <c r="U285" s="102">
        <v>22</v>
      </c>
      <c r="V285" s="102">
        <v>22</v>
      </c>
      <c r="W285" s="102">
        <v>22</v>
      </c>
      <c r="X285" s="102">
        <v>0</v>
      </c>
      <c r="Y285" s="102">
        <v>0</v>
      </c>
      <c r="Z285" s="102">
        <v>0</v>
      </c>
      <c r="AA285" s="102">
        <v>0</v>
      </c>
      <c r="AB285" s="102">
        <v>0</v>
      </c>
      <c r="AC285" s="102">
        <v>0</v>
      </c>
      <c r="AD285" s="102">
        <v>0</v>
      </c>
      <c r="AE285" s="186">
        <v>0.08</v>
      </c>
      <c r="AF285" s="94">
        <v>0</v>
      </c>
      <c r="AG285" s="94">
        <v>10</v>
      </c>
      <c r="AH285" s="94">
        <v>10</v>
      </c>
      <c r="AI285" s="17">
        <f t="shared" si="273"/>
        <v>5.4</v>
      </c>
      <c r="AJ285" s="17" t="s">
        <v>660</v>
      </c>
      <c r="AK285" s="17" t="s">
        <v>672</v>
      </c>
      <c r="AL285" s="17"/>
      <c r="AM285" s="61"/>
      <c r="AN285" s="61"/>
      <c r="AO285" s="61"/>
      <c r="AP285" s="61"/>
      <c r="AQ285" s="61"/>
      <c r="AR285" s="61"/>
      <c r="AS285" s="64"/>
      <c r="AT285" s="64"/>
      <c r="AU285" s="64"/>
      <c r="AV285" s="132"/>
      <c r="AW285" s="132"/>
      <c r="AX285" s="132"/>
      <c r="AY285" s="28" t="s">
        <v>662</v>
      </c>
      <c r="AZ285" s="28"/>
      <c r="BA285" s="28"/>
      <c r="BB285" s="28"/>
      <c r="BC285" s="28"/>
      <c r="BD285" s="28"/>
      <c r="BE285" s="28"/>
      <c r="BF285" s="28"/>
      <c r="BG285" s="28"/>
      <c r="BH285" s="106"/>
      <c r="BI285" s="106"/>
      <c r="BJ285" s="106"/>
      <c r="BK285" s="106"/>
      <c r="BL285" s="137"/>
      <c r="BM285" s="123"/>
      <c r="BN285" s="139">
        <v>0.2</v>
      </c>
      <c r="BO285" s="94"/>
      <c r="BP285" s="94">
        <v>0.2</v>
      </c>
      <c r="BQ285" s="94"/>
      <c r="BR285" s="94"/>
      <c r="BS285" s="94"/>
      <c r="BT285" s="94"/>
      <c r="BU285" s="28">
        <f t="shared" si="248"/>
        <v>0</v>
      </c>
      <c r="BV285" s="28"/>
      <c r="BW285" s="28"/>
      <c r="BX285" s="28"/>
      <c r="BY285" s="28"/>
      <c r="BZ285" s="28"/>
      <c r="CA285" s="28"/>
      <c r="CB285" s="99">
        <v>0.2</v>
      </c>
      <c r="CC285" s="99">
        <v>5</v>
      </c>
      <c r="CD285" s="99">
        <v>25</v>
      </c>
      <c r="CE285" s="99">
        <v>50</v>
      </c>
      <c r="CF285" s="99">
        <v>100</v>
      </c>
      <c r="CG285" s="99">
        <v>100</v>
      </c>
      <c r="CH285" s="99">
        <v>100</v>
      </c>
      <c r="CI285" s="175"/>
      <c r="CJ285" s="175"/>
      <c r="CK285" s="175"/>
      <c r="CL285" s="175"/>
      <c r="CM285" s="175"/>
      <c r="CN285" s="175"/>
      <c r="CO285" s="175"/>
      <c r="CP285" s="176"/>
      <c r="CQ285" s="176"/>
      <c r="CR285" s="176"/>
      <c r="CS285" s="176"/>
      <c r="CT285" s="176"/>
      <c r="CU285" s="176"/>
      <c r="CV285" s="176"/>
      <c r="CW285" s="167"/>
      <c r="CX285" s="168"/>
      <c r="CY285" s="168"/>
      <c r="CZ285" s="168"/>
      <c r="DA285" s="168"/>
      <c r="DB285" s="168"/>
      <c r="DC285" s="168"/>
      <c r="DD285" s="172"/>
      <c r="DE285" s="172"/>
      <c r="DF285" s="172"/>
      <c r="DG285" s="172"/>
      <c r="DH285" s="172"/>
      <c r="DI285" s="172"/>
      <c r="DJ285" s="172"/>
      <c r="DK285" s="80" t="s">
        <v>1365</v>
      </c>
      <c r="DL285" s="129">
        <v>500</v>
      </c>
      <c r="DM285" s="129">
        <v>500</v>
      </c>
      <c r="DN285" s="129">
        <v>500</v>
      </c>
      <c r="DO285" s="129">
        <v>500</v>
      </c>
      <c r="DP285" s="129">
        <v>500</v>
      </c>
      <c r="DQ285" s="129">
        <v>500</v>
      </c>
      <c r="DR285" s="129">
        <v>500</v>
      </c>
      <c r="DS285" s="218"/>
      <c r="DT285" s="360"/>
      <c r="DU285" s="360"/>
      <c r="DV285" s="360"/>
      <c r="DW285" s="360"/>
      <c r="DX285" s="360"/>
      <c r="DY285" s="360"/>
      <c r="DZ285" s="360"/>
      <c r="EA285" s="360"/>
      <c r="EB285" s="360"/>
      <c r="EC285" s="360"/>
      <c r="ED285" s="360"/>
      <c r="EE285" s="360"/>
      <c r="EF285" s="360"/>
      <c r="EG285" s="360"/>
      <c r="EH285" s="360"/>
      <c r="EI285" s="360"/>
      <c r="EJ285" s="360"/>
      <c r="EK285" s="360"/>
      <c r="EL285" s="360"/>
      <c r="EM285" s="360"/>
      <c r="EN285" s="360"/>
      <c r="EO285" s="360"/>
      <c r="EP285" s="360"/>
      <c r="EQ285" s="360"/>
    </row>
    <row r="286" spans="1:147" x14ac:dyDescent="0.35">
      <c r="A286" s="5" t="s">
        <v>1366</v>
      </c>
      <c r="B286" s="5" t="s">
        <v>654</v>
      </c>
      <c r="C286" s="5" t="s">
        <v>788</v>
      </c>
      <c r="D286" s="5" t="s">
        <v>708</v>
      </c>
      <c r="E286" s="5" t="s">
        <v>459</v>
      </c>
      <c r="F286" s="5" t="s">
        <v>461</v>
      </c>
      <c r="G286" s="47" t="s">
        <v>1367</v>
      </c>
      <c r="H286" s="47" t="s">
        <v>981</v>
      </c>
      <c r="I286" s="101">
        <v>2000</v>
      </c>
      <c r="J286" s="101">
        <v>1900</v>
      </c>
      <c r="K286" s="101">
        <v>1800</v>
      </c>
      <c r="L286" s="101">
        <v>1700</v>
      </c>
      <c r="M286" s="101">
        <v>1600</v>
      </c>
      <c r="N286" s="101">
        <v>1500</v>
      </c>
      <c r="O286" s="101">
        <v>1400</v>
      </c>
      <c r="P286" s="93">
        <v>0</v>
      </c>
      <c r="Q286" s="101">
        <v>50</v>
      </c>
      <c r="R286" s="101">
        <v>50</v>
      </c>
      <c r="S286" s="101">
        <v>50</v>
      </c>
      <c r="T286" s="101">
        <v>50</v>
      </c>
      <c r="U286" s="101">
        <v>50</v>
      </c>
      <c r="V286" s="101">
        <v>50</v>
      </c>
      <c r="W286" s="101">
        <v>50</v>
      </c>
      <c r="X286" s="101">
        <v>0</v>
      </c>
      <c r="Y286" s="101">
        <v>0</v>
      </c>
      <c r="Z286" s="101">
        <v>0</v>
      </c>
      <c r="AA286" s="101">
        <v>0</v>
      </c>
      <c r="AB286" s="101">
        <v>0</v>
      </c>
      <c r="AC286" s="101">
        <v>0</v>
      </c>
      <c r="AD286" s="101">
        <v>0</v>
      </c>
      <c r="AE286" s="186">
        <v>0.08</v>
      </c>
      <c r="AF286" s="93">
        <v>0</v>
      </c>
      <c r="AG286" s="93">
        <v>10</v>
      </c>
      <c r="AH286" s="93">
        <v>10</v>
      </c>
      <c r="AI286" s="16">
        <f t="shared" si="273"/>
        <v>5.4</v>
      </c>
      <c r="AJ286" s="16" t="s">
        <v>660</v>
      </c>
      <c r="AK286" s="16" t="s">
        <v>672</v>
      </c>
      <c r="AL286" s="16"/>
      <c r="AM286" s="60"/>
      <c r="AN286" s="60"/>
      <c r="AO286" s="60"/>
      <c r="AP286" s="60"/>
      <c r="AQ286" s="60"/>
      <c r="AR286" s="60"/>
      <c r="AS286" s="63"/>
      <c r="AT286" s="63"/>
      <c r="AU286" s="63"/>
      <c r="AV286" s="131"/>
      <c r="AW286" s="131"/>
      <c r="AX286" s="131"/>
      <c r="AY286" s="27" t="s">
        <v>662</v>
      </c>
      <c r="AZ286" s="27"/>
      <c r="BA286" s="27"/>
      <c r="BB286" s="30"/>
      <c r="BC286" s="30"/>
      <c r="BD286" s="30"/>
      <c r="BE286" s="30"/>
      <c r="BF286" s="30"/>
      <c r="BG286" s="30"/>
      <c r="BH286" s="107"/>
      <c r="BI286" s="107"/>
      <c r="BJ286" s="107"/>
      <c r="BK286" s="107"/>
      <c r="BL286" s="136"/>
      <c r="BM286" s="122"/>
      <c r="BN286" s="138">
        <v>0</v>
      </c>
      <c r="BO286" s="93"/>
      <c r="BP286" s="93"/>
      <c r="BQ286" s="93"/>
      <c r="BR286" s="93"/>
      <c r="BS286" s="93"/>
      <c r="BT286" s="93"/>
      <c r="BU286" s="27">
        <f t="shared" si="248"/>
        <v>0</v>
      </c>
      <c r="BV286" s="27"/>
      <c r="BW286" s="27"/>
      <c r="BX286" s="27"/>
      <c r="BY286" s="27"/>
      <c r="BZ286" s="27"/>
      <c r="CA286" s="27"/>
      <c r="CB286" s="97"/>
      <c r="CC286" s="97">
        <v>5</v>
      </c>
      <c r="CD286" s="97">
        <v>25</v>
      </c>
      <c r="CE286" s="97">
        <v>50</v>
      </c>
      <c r="CF286" s="97">
        <v>100</v>
      </c>
      <c r="CG286" s="97">
        <v>100</v>
      </c>
      <c r="CH286" s="97">
        <v>100</v>
      </c>
      <c r="CI286" s="173"/>
      <c r="CJ286" s="173"/>
      <c r="CK286" s="173"/>
      <c r="CL286" s="173"/>
      <c r="CM286" s="173"/>
      <c r="CN286" s="173"/>
      <c r="CO286" s="173"/>
      <c r="CP286" s="174"/>
      <c r="CQ286" s="174"/>
      <c r="CR286" s="174"/>
      <c r="CS286" s="174"/>
      <c r="CT286" s="174"/>
      <c r="CU286" s="174"/>
      <c r="CV286" s="174"/>
      <c r="CW286" s="165"/>
      <c r="CX286" s="166"/>
      <c r="CY286" s="166"/>
      <c r="CZ286" s="166"/>
      <c r="DA286" s="166"/>
      <c r="DB286" s="166"/>
      <c r="DC286" s="166"/>
      <c r="DD286" s="171"/>
      <c r="DE286" s="171"/>
      <c r="DF286" s="171"/>
      <c r="DG286" s="171"/>
      <c r="DH286" s="171"/>
      <c r="DI286" s="171"/>
      <c r="DJ286" s="171"/>
      <c r="DK286" s="79" t="s">
        <v>1352</v>
      </c>
      <c r="DL286" s="128">
        <v>500</v>
      </c>
      <c r="DM286" s="128">
        <v>500</v>
      </c>
      <c r="DN286" s="128">
        <v>500</v>
      </c>
      <c r="DO286" s="128">
        <v>500</v>
      </c>
      <c r="DP286" s="128">
        <v>500</v>
      </c>
      <c r="DQ286" s="128">
        <v>500</v>
      </c>
      <c r="DR286" s="128">
        <v>500</v>
      </c>
      <c r="DS286" s="218"/>
      <c r="DT286" s="360"/>
      <c r="DU286" s="360"/>
      <c r="DV286" s="360"/>
      <c r="DW286" s="360"/>
      <c r="DX286" s="360"/>
      <c r="DY286" s="360"/>
      <c r="DZ286" s="360"/>
      <c r="EA286" s="360"/>
      <c r="EB286" s="360"/>
      <c r="EC286" s="360"/>
      <c r="ED286" s="360"/>
      <c r="EE286" s="360"/>
      <c r="EF286" s="360"/>
      <c r="EG286" s="360"/>
      <c r="EH286" s="360"/>
      <c r="EI286" s="360"/>
      <c r="EJ286" s="360"/>
      <c r="EK286" s="360"/>
      <c r="EL286" s="360"/>
      <c r="EM286" s="360"/>
      <c r="EN286" s="360"/>
      <c r="EO286" s="360"/>
      <c r="EP286" s="360"/>
      <c r="EQ286" s="360"/>
    </row>
    <row r="287" spans="1:147" x14ac:dyDescent="0.35">
      <c r="A287" s="6" t="s">
        <v>1368</v>
      </c>
      <c r="B287" s="6" t="s">
        <v>654</v>
      </c>
      <c r="C287" s="6" t="s">
        <v>788</v>
      </c>
      <c r="D287" s="6" t="s">
        <v>708</v>
      </c>
      <c r="E287" s="6" t="s">
        <v>459</v>
      </c>
      <c r="F287" s="6" t="s">
        <v>461</v>
      </c>
      <c r="G287" s="48" t="s">
        <v>1369</v>
      </c>
      <c r="H287" s="48" t="s">
        <v>981</v>
      </c>
      <c r="I287" s="102">
        <v>600</v>
      </c>
      <c r="J287" s="102">
        <v>600</v>
      </c>
      <c r="K287" s="102">
        <v>600</v>
      </c>
      <c r="L287" s="102">
        <v>600</v>
      </c>
      <c r="M287" s="102">
        <v>600</v>
      </c>
      <c r="N287" s="102">
        <v>600</v>
      </c>
      <c r="O287" s="102">
        <v>600</v>
      </c>
      <c r="P287" s="94">
        <v>0</v>
      </c>
      <c r="Q287" s="102">
        <v>60</v>
      </c>
      <c r="R287" s="102">
        <v>60</v>
      </c>
      <c r="S287" s="102">
        <v>60</v>
      </c>
      <c r="T287" s="102">
        <v>60</v>
      </c>
      <c r="U287" s="102">
        <v>60</v>
      </c>
      <c r="V287" s="102">
        <v>60</v>
      </c>
      <c r="W287" s="102">
        <v>60</v>
      </c>
      <c r="X287" s="102">
        <v>0</v>
      </c>
      <c r="Y287" s="102">
        <v>0</v>
      </c>
      <c r="Z287" s="102">
        <v>0</v>
      </c>
      <c r="AA287" s="102">
        <v>0</v>
      </c>
      <c r="AB287" s="102">
        <v>0</v>
      </c>
      <c r="AC287" s="102">
        <v>0</v>
      </c>
      <c r="AD287" s="102">
        <v>0</v>
      </c>
      <c r="AE287" s="186">
        <v>0.08</v>
      </c>
      <c r="AF287" s="94">
        <v>0</v>
      </c>
      <c r="AG287" s="94">
        <v>10</v>
      </c>
      <c r="AH287" s="94">
        <v>10</v>
      </c>
      <c r="AI287" s="17">
        <f t="shared" si="273"/>
        <v>5.4</v>
      </c>
      <c r="AJ287" s="17" t="s">
        <v>982</v>
      </c>
      <c r="AK287" s="17" t="s">
        <v>672</v>
      </c>
      <c r="AL287" s="17"/>
      <c r="AM287" s="61" t="s">
        <v>461</v>
      </c>
      <c r="AN287" s="61" t="s">
        <v>494</v>
      </c>
      <c r="AO287" s="61">
        <v>0.95</v>
      </c>
      <c r="AP287" s="61" t="s">
        <v>766</v>
      </c>
      <c r="AQ287" s="61">
        <v>0.2</v>
      </c>
      <c r="AR287" s="61">
        <v>0.15</v>
      </c>
      <c r="AS287" s="64"/>
      <c r="AT287" s="64"/>
      <c r="AU287" s="64"/>
      <c r="AV287" s="132"/>
      <c r="AW287" s="132"/>
      <c r="AX287" s="132"/>
      <c r="AY287" s="28" t="s">
        <v>662</v>
      </c>
      <c r="AZ287" s="28"/>
      <c r="BA287" s="28"/>
      <c r="BB287" s="28"/>
      <c r="BC287" s="28"/>
      <c r="BD287" s="28"/>
      <c r="BE287" s="28"/>
      <c r="BF287" s="28"/>
      <c r="BG287" s="28"/>
      <c r="BH287" s="106"/>
      <c r="BI287" s="106"/>
      <c r="BJ287" s="106"/>
      <c r="BK287" s="106"/>
      <c r="BL287" s="137"/>
      <c r="BM287" s="123"/>
      <c r="BN287" s="139">
        <v>0.9</v>
      </c>
      <c r="BO287" s="94">
        <v>0.5</v>
      </c>
      <c r="BP287" s="94">
        <v>0.4</v>
      </c>
      <c r="BQ287" s="94"/>
      <c r="BR287" s="94"/>
      <c r="BS287" s="94"/>
      <c r="BT287" s="94"/>
      <c r="BU287" s="28">
        <f t="shared" si="248"/>
        <v>0</v>
      </c>
      <c r="BV287" s="28"/>
      <c r="BW287" s="28"/>
      <c r="BX287" s="28"/>
      <c r="BY287" s="28"/>
      <c r="BZ287" s="28"/>
      <c r="CA287" s="28"/>
      <c r="CB287" s="99">
        <v>0.9</v>
      </c>
      <c r="CC287" s="99">
        <v>5</v>
      </c>
      <c r="CD287" s="99">
        <v>25</v>
      </c>
      <c r="CE287" s="99">
        <v>50</v>
      </c>
      <c r="CF287" s="99">
        <v>100</v>
      </c>
      <c r="CG287" s="99">
        <v>100</v>
      </c>
      <c r="CH287" s="99">
        <v>100</v>
      </c>
      <c r="CI287" s="175"/>
      <c r="CJ287" s="175"/>
      <c r="CK287" s="175"/>
      <c r="CL287" s="175"/>
      <c r="CM287" s="175"/>
      <c r="CN287" s="175"/>
      <c r="CO287" s="175"/>
      <c r="CP287" s="176"/>
      <c r="CQ287" s="176"/>
      <c r="CR287" s="176"/>
      <c r="CS287" s="176"/>
      <c r="CT287" s="176"/>
      <c r="CU287" s="176"/>
      <c r="CV287" s="176"/>
      <c r="CW287" s="167"/>
      <c r="CX287" s="168"/>
      <c r="CY287" s="168"/>
      <c r="CZ287" s="168"/>
      <c r="DA287" s="168"/>
      <c r="DB287" s="168"/>
      <c r="DC287" s="168"/>
      <c r="DD287" s="172"/>
      <c r="DE287" s="172"/>
      <c r="DF287" s="172"/>
      <c r="DG287" s="172"/>
      <c r="DH287" s="172"/>
      <c r="DI287" s="172"/>
      <c r="DJ287" s="172"/>
      <c r="DK287" s="80" t="s">
        <v>452</v>
      </c>
      <c r="DL287" s="129">
        <v>500</v>
      </c>
      <c r="DM287" s="129">
        <v>500</v>
      </c>
      <c r="DN287" s="129">
        <v>500</v>
      </c>
      <c r="DO287" s="129">
        <v>500</v>
      </c>
      <c r="DP287" s="129">
        <v>500</v>
      </c>
      <c r="DQ287" s="129">
        <v>500</v>
      </c>
      <c r="DR287" s="129">
        <v>500</v>
      </c>
      <c r="DS287" s="218"/>
      <c r="DT287" s="360"/>
      <c r="DU287" s="360"/>
      <c r="DV287" s="360"/>
      <c r="DW287" s="360"/>
      <c r="DX287" s="360"/>
      <c r="DY287" s="360"/>
      <c r="DZ287" s="360"/>
      <c r="EA287" s="360"/>
      <c r="EB287" s="360"/>
      <c r="EC287" s="360"/>
      <c r="ED287" s="360"/>
      <c r="EE287" s="360"/>
      <c r="EF287" s="360"/>
      <c r="EG287" s="360"/>
      <c r="EH287" s="360"/>
      <c r="EI287" s="360"/>
      <c r="EJ287" s="360"/>
      <c r="EK287" s="360"/>
      <c r="EL287" s="360"/>
      <c r="EM287" s="360"/>
      <c r="EN287" s="360"/>
      <c r="EO287" s="360"/>
      <c r="EP287" s="360"/>
      <c r="EQ287" s="360"/>
    </row>
    <row r="288" spans="1:147" x14ac:dyDescent="0.35">
      <c r="A288" s="5" t="s">
        <v>1370</v>
      </c>
      <c r="B288" s="5" t="s">
        <v>654</v>
      </c>
      <c r="C288" s="5" t="s">
        <v>788</v>
      </c>
      <c r="D288" s="5" t="s">
        <v>708</v>
      </c>
      <c r="E288" s="5" t="s">
        <v>459</v>
      </c>
      <c r="F288" s="5" t="s">
        <v>461</v>
      </c>
      <c r="G288" s="47" t="s">
        <v>1371</v>
      </c>
      <c r="H288" s="47" t="s">
        <v>981</v>
      </c>
      <c r="I288" s="101">
        <v>1100</v>
      </c>
      <c r="J288" s="101">
        <v>1050</v>
      </c>
      <c r="K288" s="101">
        <v>1000</v>
      </c>
      <c r="L288" s="101">
        <v>950</v>
      </c>
      <c r="M288" s="101">
        <v>900</v>
      </c>
      <c r="N288" s="101">
        <v>850</v>
      </c>
      <c r="O288" s="101">
        <v>800</v>
      </c>
      <c r="P288" s="93">
        <v>0</v>
      </c>
      <c r="Q288" s="101">
        <v>100</v>
      </c>
      <c r="R288" s="101">
        <v>100</v>
      </c>
      <c r="S288" s="101">
        <v>100</v>
      </c>
      <c r="T288" s="101">
        <v>100</v>
      </c>
      <c r="U288" s="101">
        <v>100</v>
      </c>
      <c r="V288" s="101">
        <v>100</v>
      </c>
      <c r="W288" s="101">
        <v>100</v>
      </c>
      <c r="X288" s="101">
        <v>0</v>
      </c>
      <c r="Y288" s="101">
        <v>0</v>
      </c>
      <c r="Z288" s="101">
        <v>0</v>
      </c>
      <c r="AA288" s="101">
        <v>0</v>
      </c>
      <c r="AB288" s="101">
        <v>0</v>
      </c>
      <c r="AC288" s="101">
        <v>0</v>
      </c>
      <c r="AD288" s="101">
        <v>0</v>
      </c>
      <c r="AE288" s="186">
        <v>0.08</v>
      </c>
      <c r="AF288" s="93">
        <v>0</v>
      </c>
      <c r="AG288" s="93">
        <v>10</v>
      </c>
      <c r="AH288" s="93">
        <v>10</v>
      </c>
      <c r="AI288" s="16">
        <f t="shared" si="273"/>
        <v>5.4</v>
      </c>
      <c r="AJ288" s="16" t="s">
        <v>982</v>
      </c>
      <c r="AK288" s="16" t="s">
        <v>672</v>
      </c>
      <c r="AL288" s="16"/>
      <c r="AM288" s="60" t="s">
        <v>461</v>
      </c>
      <c r="AN288" s="60" t="s">
        <v>498</v>
      </c>
      <c r="AO288" s="60">
        <v>0.95</v>
      </c>
      <c r="AP288" s="60" t="s">
        <v>766</v>
      </c>
      <c r="AQ288" s="60">
        <v>0.2</v>
      </c>
      <c r="AR288" s="60">
        <v>0.15</v>
      </c>
      <c r="AS288" s="63"/>
      <c r="AT288" s="63"/>
      <c r="AU288" s="63"/>
      <c r="AV288" s="131"/>
      <c r="AW288" s="131"/>
      <c r="AX288" s="131"/>
      <c r="AY288" s="27" t="s">
        <v>662</v>
      </c>
      <c r="AZ288" s="27"/>
      <c r="BA288" s="27"/>
      <c r="BB288" s="30"/>
      <c r="BC288" s="30"/>
      <c r="BD288" s="30"/>
      <c r="BE288" s="30"/>
      <c r="BF288" s="30"/>
      <c r="BG288" s="30"/>
      <c r="BH288" s="107"/>
      <c r="BI288" s="107"/>
      <c r="BJ288" s="107"/>
      <c r="BK288" s="107"/>
      <c r="BL288" s="136"/>
      <c r="BM288" s="122"/>
      <c r="BN288" s="138">
        <v>0</v>
      </c>
      <c r="BO288" s="93"/>
      <c r="BP288" s="93"/>
      <c r="BQ288" s="93"/>
      <c r="BR288" s="93"/>
      <c r="BS288" s="93"/>
      <c r="BT288" s="93"/>
      <c r="BU288" s="27">
        <f t="shared" si="248"/>
        <v>0</v>
      </c>
      <c r="BV288" s="27"/>
      <c r="BW288" s="27"/>
      <c r="BX288" s="27"/>
      <c r="BY288" s="27"/>
      <c r="BZ288" s="27"/>
      <c r="CA288" s="27"/>
      <c r="CB288" s="97"/>
      <c r="CC288" s="97">
        <v>5</v>
      </c>
      <c r="CD288" s="97">
        <v>25</v>
      </c>
      <c r="CE288" s="97">
        <v>50</v>
      </c>
      <c r="CF288" s="97">
        <v>100</v>
      </c>
      <c r="CG288" s="97">
        <v>100</v>
      </c>
      <c r="CH288" s="97">
        <v>100</v>
      </c>
      <c r="CI288" s="173"/>
      <c r="CJ288" s="173"/>
      <c r="CK288" s="173"/>
      <c r="CL288" s="173"/>
      <c r="CM288" s="173"/>
      <c r="CN288" s="173"/>
      <c r="CO288" s="173"/>
      <c r="CP288" s="174"/>
      <c r="CQ288" s="174"/>
      <c r="CR288" s="174"/>
      <c r="CS288" s="174"/>
      <c r="CT288" s="174"/>
      <c r="CU288" s="174"/>
      <c r="CV288" s="174"/>
      <c r="CW288" s="165"/>
      <c r="CX288" s="166"/>
      <c r="CY288" s="166"/>
      <c r="CZ288" s="166"/>
      <c r="DA288" s="166"/>
      <c r="DB288" s="166"/>
      <c r="DC288" s="166"/>
      <c r="DD288" s="171"/>
      <c r="DE288" s="171"/>
      <c r="DF288" s="171"/>
      <c r="DG288" s="171"/>
      <c r="DH288" s="171"/>
      <c r="DI288" s="171"/>
      <c r="DJ288" s="171"/>
      <c r="DK288" s="79" t="s">
        <v>452</v>
      </c>
      <c r="DL288" s="128">
        <v>500</v>
      </c>
      <c r="DM288" s="128">
        <v>500</v>
      </c>
      <c r="DN288" s="128">
        <v>500</v>
      </c>
      <c r="DO288" s="128">
        <v>500</v>
      </c>
      <c r="DP288" s="128">
        <v>500</v>
      </c>
      <c r="DQ288" s="128">
        <v>500</v>
      </c>
      <c r="DR288" s="128">
        <v>500</v>
      </c>
      <c r="DS288" s="218"/>
      <c r="DT288" s="360"/>
      <c r="DU288" s="360"/>
      <c r="DV288" s="360"/>
      <c r="DW288" s="360"/>
      <c r="DX288" s="360"/>
      <c r="DY288" s="360"/>
      <c r="DZ288" s="360"/>
      <c r="EA288" s="360"/>
      <c r="EB288" s="360"/>
      <c r="EC288" s="360"/>
      <c r="ED288" s="360"/>
      <c r="EE288" s="360"/>
      <c r="EF288" s="360"/>
      <c r="EG288" s="360"/>
      <c r="EH288" s="360"/>
      <c r="EI288" s="360"/>
      <c r="EJ288" s="360"/>
      <c r="EK288" s="360"/>
      <c r="EL288" s="360"/>
      <c r="EM288" s="360"/>
      <c r="EN288" s="360"/>
      <c r="EO288" s="360"/>
      <c r="EP288" s="360"/>
      <c r="EQ288" s="360"/>
    </row>
    <row r="289" spans="1:147" x14ac:dyDescent="0.35">
      <c r="A289" s="6" t="s">
        <v>1372</v>
      </c>
      <c r="B289" s="6" t="s">
        <v>654</v>
      </c>
      <c r="C289" s="6" t="s">
        <v>788</v>
      </c>
      <c r="D289" s="6" t="s">
        <v>708</v>
      </c>
      <c r="E289" s="6" t="s">
        <v>459</v>
      </c>
      <c r="F289" s="6" t="s">
        <v>461</v>
      </c>
      <c r="G289" s="48" t="s">
        <v>1373</v>
      </c>
      <c r="H289" s="48" t="s">
        <v>981</v>
      </c>
      <c r="I289" s="102">
        <v>100</v>
      </c>
      <c r="J289" s="102">
        <v>110</v>
      </c>
      <c r="K289" s="102">
        <v>100</v>
      </c>
      <c r="L289" s="102">
        <v>90</v>
      </c>
      <c r="M289" s="102">
        <v>80</v>
      </c>
      <c r="N289" s="102">
        <v>70</v>
      </c>
      <c r="O289" s="102">
        <v>60</v>
      </c>
      <c r="P289" s="94">
        <v>0</v>
      </c>
      <c r="Q289" s="102">
        <v>5</v>
      </c>
      <c r="R289" s="102">
        <v>5</v>
      </c>
      <c r="S289" s="102">
        <v>5</v>
      </c>
      <c r="T289" s="102">
        <v>5</v>
      </c>
      <c r="U289" s="102">
        <v>5</v>
      </c>
      <c r="V289" s="102">
        <v>5</v>
      </c>
      <c r="W289" s="102">
        <v>5</v>
      </c>
      <c r="X289" s="102">
        <v>0</v>
      </c>
      <c r="Y289" s="102">
        <v>0</v>
      </c>
      <c r="Z289" s="102">
        <v>0</v>
      </c>
      <c r="AA289" s="102">
        <v>0</v>
      </c>
      <c r="AB289" s="102">
        <v>0</v>
      </c>
      <c r="AC289" s="102">
        <v>0</v>
      </c>
      <c r="AD289" s="102">
        <v>0</v>
      </c>
      <c r="AE289" s="186">
        <v>0.08</v>
      </c>
      <c r="AF289" s="94">
        <v>0</v>
      </c>
      <c r="AG289" s="94">
        <v>10</v>
      </c>
      <c r="AH289" s="94">
        <v>10</v>
      </c>
      <c r="AI289" s="17">
        <f t="shared" si="273"/>
        <v>5.4</v>
      </c>
      <c r="AJ289" s="17" t="s">
        <v>660</v>
      </c>
      <c r="AK289" s="17" t="s">
        <v>672</v>
      </c>
      <c r="AL289" s="17"/>
      <c r="AM289" s="61"/>
      <c r="AN289" s="61"/>
      <c r="AO289" s="61"/>
      <c r="AP289" s="61"/>
      <c r="AQ289" s="61"/>
      <c r="AR289" s="61"/>
      <c r="AS289" s="64"/>
      <c r="AT289" s="64"/>
      <c r="AU289" s="64"/>
      <c r="AV289" s="132"/>
      <c r="AW289" s="132"/>
      <c r="AX289" s="132"/>
      <c r="AY289" s="28" t="s">
        <v>662</v>
      </c>
      <c r="AZ289" s="28"/>
      <c r="BA289" s="28"/>
      <c r="BB289" s="28"/>
      <c r="BC289" s="28"/>
      <c r="BD289" s="28"/>
      <c r="BE289" s="28"/>
      <c r="BF289" s="28"/>
      <c r="BG289" s="28"/>
      <c r="BH289" s="106"/>
      <c r="BI289" s="106"/>
      <c r="BJ289" s="106"/>
      <c r="BK289" s="106"/>
      <c r="BL289" s="137"/>
      <c r="BM289" s="123"/>
      <c r="BN289" s="139">
        <v>0</v>
      </c>
      <c r="BO289" s="94"/>
      <c r="BP289" s="94"/>
      <c r="BQ289" s="94"/>
      <c r="BR289" s="94"/>
      <c r="BS289" s="94"/>
      <c r="BT289" s="94"/>
      <c r="BU289" s="28">
        <f t="shared" ref="BU289" si="276">IF(BL289=1,BN289,0)</f>
        <v>0</v>
      </c>
      <c r="BV289" s="28"/>
      <c r="BW289" s="28"/>
      <c r="BX289" s="28"/>
      <c r="BY289" s="28"/>
      <c r="BZ289" s="28"/>
      <c r="CA289" s="28"/>
      <c r="CB289" s="99"/>
      <c r="CC289" s="99">
        <v>5</v>
      </c>
      <c r="CD289" s="99">
        <v>25</v>
      </c>
      <c r="CE289" s="99">
        <v>50</v>
      </c>
      <c r="CF289" s="99">
        <v>100</v>
      </c>
      <c r="CG289" s="99">
        <v>100</v>
      </c>
      <c r="CH289" s="99">
        <v>100</v>
      </c>
      <c r="CI289" s="175"/>
      <c r="CJ289" s="175"/>
      <c r="CK289" s="175"/>
      <c r="CL289" s="175"/>
      <c r="CM289" s="175"/>
      <c r="CN289" s="175"/>
      <c r="CO289" s="175"/>
      <c r="CP289" s="176"/>
      <c r="CQ289" s="176"/>
      <c r="CR289" s="176"/>
      <c r="CS289" s="176"/>
      <c r="CT289" s="176"/>
      <c r="CU289" s="176"/>
      <c r="CV289" s="176"/>
      <c r="CW289" s="167"/>
      <c r="CX289" s="168"/>
      <c r="CY289" s="168"/>
      <c r="CZ289" s="168"/>
      <c r="DA289" s="168"/>
      <c r="DB289" s="168"/>
      <c r="DC289" s="168"/>
      <c r="DD289" s="172"/>
      <c r="DE289" s="172"/>
      <c r="DF289" s="172"/>
      <c r="DG289" s="172"/>
      <c r="DH289" s="172"/>
      <c r="DI289" s="172"/>
      <c r="DJ289" s="172"/>
      <c r="DK289" s="80" t="s">
        <v>1374</v>
      </c>
      <c r="DL289" s="129">
        <v>500</v>
      </c>
      <c r="DM289" s="129">
        <v>500</v>
      </c>
      <c r="DN289" s="129">
        <v>500</v>
      </c>
      <c r="DO289" s="129">
        <v>500</v>
      </c>
      <c r="DP289" s="129">
        <v>500</v>
      </c>
      <c r="DQ289" s="129">
        <v>500</v>
      </c>
      <c r="DR289" s="129">
        <v>500</v>
      </c>
      <c r="DS289" s="218"/>
      <c r="DT289" s="360"/>
      <c r="DU289" s="360"/>
      <c r="DV289" s="360"/>
      <c r="DW289" s="360"/>
      <c r="DX289" s="360"/>
      <c r="DY289" s="360"/>
      <c r="DZ289" s="360"/>
      <c r="EA289" s="360"/>
      <c r="EB289" s="360"/>
      <c r="EC289" s="360"/>
      <c r="ED289" s="360"/>
      <c r="EE289" s="360"/>
      <c r="EF289" s="360"/>
      <c r="EG289" s="360"/>
      <c r="EH289" s="360"/>
      <c r="EI289" s="360"/>
      <c r="EJ289" s="360"/>
      <c r="EK289" s="360"/>
      <c r="EL289" s="360"/>
      <c r="EM289" s="360"/>
      <c r="EN289" s="360"/>
      <c r="EO289" s="360"/>
      <c r="EP289" s="360"/>
      <c r="EQ289" s="360"/>
    </row>
    <row r="290" spans="1:147" x14ac:dyDescent="0.35">
      <c r="A290" s="5" t="s">
        <v>1375</v>
      </c>
      <c r="B290" s="5" t="s">
        <v>1243</v>
      </c>
      <c r="C290" s="5" t="s">
        <v>788</v>
      </c>
      <c r="D290" s="5" t="s">
        <v>1376</v>
      </c>
      <c r="E290" s="5" t="s">
        <v>459</v>
      </c>
      <c r="F290" s="5" t="s">
        <v>462</v>
      </c>
      <c r="G290" s="47" t="s">
        <v>1377</v>
      </c>
      <c r="H290" s="47" t="s">
        <v>981</v>
      </c>
      <c r="I290" s="101">
        <v>35</v>
      </c>
      <c r="J290" s="101">
        <v>35</v>
      </c>
      <c r="K290" s="101">
        <v>35</v>
      </c>
      <c r="L290" s="101">
        <v>35</v>
      </c>
      <c r="M290" s="101">
        <v>35</v>
      </c>
      <c r="N290" s="101">
        <v>35</v>
      </c>
      <c r="O290" s="101">
        <v>35</v>
      </c>
      <c r="P290" s="93">
        <v>0</v>
      </c>
      <c r="Q290" s="101">
        <v>1</v>
      </c>
      <c r="R290" s="101">
        <v>1</v>
      </c>
      <c r="S290" s="101">
        <v>1</v>
      </c>
      <c r="T290" s="101">
        <v>1</v>
      </c>
      <c r="U290" s="101">
        <v>1</v>
      </c>
      <c r="V290" s="101">
        <v>1</v>
      </c>
      <c r="W290" s="101">
        <v>1</v>
      </c>
      <c r="X290" s="101">
        <v>0</v>
      </c>
      <c r="Y290" s="101">
        <v>0</v>
      </c>
      <c r="Z290" s="101">
        <v>0</v>
      </c>
      <c r="AA290" s="101">
        <v>0</v>
      </c>
      <c r="AB290" s="101">
        <v>0</v>
      </c>
      <c r="AC290" s="101">
        <v>0</v>
      </c>
      <c r="AD290" s="101">
        <v>0</v>
      </c>
      <c r="AE290" s="186">
        <v>0.08</v>
      </c>
      <c r="AF290" s="93">
        <v>0</v>
      </c>
      <c r="AG290" s="93">
        <v>20</v>
      </c>
      <c r="AH290" s="93">
        <v>20</v>
      </c>
      <c r="AI290" s="16">
        <v>31.536000000000001</v>
      </c>
      <c r="AJ290" s="16" t="s">
        <v>1241</v>
      </c>
      <c r="AK290" s="16" t="s">
        <v>745</v>
      </c>
      <c r="AL290" s="16"/>
      <c r="AM290" s="60"/>
      <c r="AN290" s="60"/>
      <c r="AO290" s="60"/>
      <c r="AP290" s="60"/>
      <c r="AQ290" s="60"/>
      <c r="AR290" s="60"/>
      <c r="AS290" s="63"/>
      <c r="AT290" s="63"/>
      <c r="AU290" s="63"/>
      <c r="AV290" s="131"/>
      <c r="AW290" s="131"/>
      <c r="AX290" s="131"/>
      <c r="AY290" s="27" t="s">
        <v>662</v>
      </c>
      <c r="AZ290" s="27"/>
      <c r="BA290" s="27"/>
      <c r="BB290" s="30"/>
      <c r="BC290" s="30"/>
      <c r="BD290" s="30"/>
      <c r="BE290" s="30"/>
      <c r="BF290" s="30"/>
      <c r="BG290" s="30"/>
      <c r="BH290" s="107"/>
      <c r="BI290" s="107"/>
      <c r="BJ290" s="107"/>
      <c r="BK290" s="107"/>
      <c r="BL290" s="136"/>
      <c r="BM290" s="122"/>
      <c r="BN290" s="138">
        <v>4</v>
      </c>
      <c r="BO290" s="93">
        <v>1</v>
      </c>
      <c r="BP290" s="93">
        <v>1</v>
      </c>
      <c r="BQ290" s="93">
        <v>1</v>
      </c>
      <c r="BR290" s="93">
        <v>1</v>
      </c>
      <c r="BS290" s="93"/>
      <c r="BT290" s="93"/>
      <c r="BU290" s="27">
        <f t="shared" si="248"/>
        <v>0</v>
      </c>
      <c r="BV290" s="27"/>
      <c r="BW290" s="27"/>
      <c r="BX290" s="27"/>
      <c r="BY290" s="27"/>
      <c r="BZ290" s="27"/>
      <c r="CA290" s="27"/>
      <c r="CB290" s="97">
        <v>4</v>
      </c>
      <c r="CC290" s="97">
        <v>5</v>
      </c>
      <c r="CD290" s="97">
        <v>25</v>
      </c>
      <c r="CE290" s="97">
        <v>50</v>
      </c>
      <c r="CF290" s="97">
        <v>100</v>
      </c>
      <c r="CG290" s="97">
        <v>100</v>
      </c>
      <c r="CH290" s="97">
        <v>100</v>
      </c>
      <c r="CI290" s="173"/>
      <c r="CJ290" s="173"/>
      <c r="CK290" s="173"/>
      <c r="CL290" s="173"/>
      <c r="CM290" s="173"/>
      <c r="CN290" s="173"/>
      <c r="CO290" s="173"/>
      <c r="CP290" s="174"/>
      <c r="CQ290" s="174"/>
      <c r="CR290" s="174"/>
      <c r="CS290" s="174"/>
      <c r="CT290" s="174"/>
      <c r="CU290" s="174"/>
      <c r="CV290" s="174"/>
      <c r="CW290" s="165"/>
      <c r="CX290" s="166"/>
      <c r="CY290" s="166"/>
      <c r="CZ290" s="166"/>
      <c r="DA290" s="166"/>
      <c r="DB290" s="166"/>
      <c r="DC290" s="166"/>
      <c r="DD290" s="171"/>
      <c r="DE290" s="171"/>
      <c r="DF290" s="171"/>
      <c r="DG290" s="171"/>
      <c r="DH290" s="171"/>
      <c r="DI290" s="171"/>
      <c r="DJ290" s="171"/>
      <c r="DK290" s="79" t="s">
        <v>452</v>
      </c>
      <c r="DL290" s="128">
        <v>500</v>
      </c>
      <c r="DM290" s="128">
        <v>500</v>
      </c>
      <c r="DN290" s="128">
        <v>500</v>
      </c>
      <c r="DO290" s="128">
        <v>500</v>
      </c>
      <c r="DP290" s="128">
        <v>500</v>
      </c>
      <c r="DQ290" s="128">
        <v>500</v>
      </c>
      <c r="DR290" s="128">
        <v>500</v>
      </c>
      <c r="DS290" s="218"/>
      <c r="DT290" s="360"/>
      <c r="DU290" s="360"/>
      <c r="DV290" s="360"/>
      <c r="DW290" s="360"/>
      <c r="DX290" s="360"/>
      <c r="DY290" s="360"/>
      <c r="DZ290" s="360"/>
      <c r="EA290" s="360"/>
      <c r="EB290" s="360"/>
      <c r="EC290" s="360"/>
      <c r="ED290" s="360"/>
      <c r="EE290" s="360"/>
      <c r="EF290" s="360"/>
      <c r="EG290" s="360"/>
      <c r="EH290" s="360"/>
      <c r="EI290" s="360"/>
      <c r="EJ290" s="360"/>
      <c r="EK290" s="360"/>
      <c r="EL290" s="360"/>
      <c r="EM290" s="360"/>
      <c r="EN290" s="360"/>
      <c r="EO290" s="360"/>
      <c r="EP290" s="360"/>
      <c r="EQ290" s="360"/>
    </row>
    <row r="291" spans="1:147" x14ac:dyDescent="0.35">
      <c r="A291" s="6" t="s">
        <v>1378</v>
      </c>
      <c r="B291" s="6" t="s">
        <v>1243</v>
      </c>
      <c r="C291" s="6" t="s">
        <v>788</v>
      </c>
      <c r="D291" s="6" t="s">
        <v>1376</v>
      </c>
      <c r="E291" s="6" t="s">
        <v>459</v>
      </c>
      <c r="F291" s="6" t="s">
        <v>462</v>
      </c>
      <c r="G291" s="48" t="s">
        <v>1379</v>
      </c>
      <c r="H291" s="48" t="s">
        <v>981</v>
      </c>
      <c r="I291" s="102">
        <v>50</v>
      </c>
      <c r="J291" s="102">
        <v>50</v>
      </c>
      <c r="K291" s="102">
        <v>50</v>
      </c>
      <c r="L291" s="102">
        <v>50</v>
      </c>
      <c r="M291" s="102">
        <v>50</v>
      </c>
      <c r="N291" s="102">
        <v>50</v>
      </c>
      <c r="O291" s="102">
        <v>50</v>
      </c>
      <c r="P291" s="94">
        <v>0</v>
      </c>
      <c r="Q291" s="102">
        <v>5</v>
      </c>
      <c r="R291" s="102">
        <v>5</v>
      </c>
      <c r="S291" s="102">
        <v>5</v>
      </c>
      <c r="T291" s="102">
        <v>5</v>
      </c>
      <c r="U291" s="102">
        <v>5</v>
      </c>
      <c r="V291" s="102">
        <v>5</v>
      </c>
      <c r="W291" s="102">
        <v>5</v>
      </c>
      <c r="X291" s="102">
        <v>0</v>
      </c>
      <c r="Y291" s="102">
        <v>0</v>
      </c>
      <c r="Z291" s="102">
        <v>0</v>
      </c>
      <c r="AA291" s="102">
        <v>0</v>
      </c>
      <c r="AB291" s="102">
        <v>0</v>
      </c>
      <c r="AC291" s="102">
        <v>0</v>
      </c>
      <c r="AD291" s="102">
        <v>0</v>
      </c>
      <c r="AE291" s="186">
        <v>0.08</v>
      </c>
      <c r="AF291" s="94">
        <v>0</v>
      </c>
      <c r="AG291" s="94">
        <v>20</v>
      </c>
      <c r="AH291" s="94">
        <v>20</v>
      </c>
      <c r="AI291" s="17">
        <v>31.536000000000001</v>
      </c>
      <c r="AJ291" s="17" t="s">
        <v>1241</v>
      </c>
      <c r="AK291" s="17" t="s">
        <v>745</v>
      </c>
      <c r="AL291" s="17"/>
      <c r="AM291" s="61"/>
      <c r="AN291" s="61"/>
      <c r="AO291" s="61"/>
      <c r="AP291" s="61"/>
      <c r="AQ291" s="61"/>
      <c r="AR291" s="61"/>
      <c r="AS291" s="64"/>
      <c r="AT291" s="64"/>
      <c r="AU291" s="64"/>
      <c r="AV291" s="132"/>
      <c r="AW291" s="132"/>
      <c r="AX291" s="132"/>
      <c r="AY291" s="28" t="s">
        <v>662</v>
      </c>
      <c r="AZ291" s="28"/>
      <c r="BA291" s="28"/>
      <c r="BB291" s="28"/>
      <c r="BC291" s="28"/>
      <c r="BD291" s="28"/>
      <c r="BE291" s="28"/>
      <c r="BF291" s="28"/>
      <c r="BG291" s="28"/>
      <c r="BH291" s="106"/>
      <c r="BI291" s="106"/>
      <c r="BJ291" s="106"/>
      <c r="BK291" s="106"/>
      <c r="BL291" s="137"/>
      <c r="BM291" s="123"/>
      <c r="BN291" s="139">
        <v>0</v>
      </c>
      <c r="BO291" s="94"/>
      <c r="BP291" s="94"/>
      <c r="BQ291" s="94"/>
      <c r="BR291" s="94"/>
      <c r="BS291" s="94"/>
      <c r="BT291" s="94"/>
      <c r="BU291" s="28">
        <f t="shared" si="248"/>
        <v>0</v>
      </c>
      <c r="BV291" s="28"/>
      <c r="BW291" s="28"/>
      <c r="BX291" s="28"/>
      <c r="BY291" s="28"/>
      <c r="BZ291" s="28"/>
      <c r="CA291" s="28"/>
      <c r="CB291" s="99"/>
      <c r="CC291" s="99">
        <v>5</v>
      </c>
      <c r="CD291" s="99">
        <v>25</v>
      </c>
      <c r="CE291" s="99">
        <v>50</v>
      </c>
      <c r="CF291" s="99">
        <v>100</v>
      </c>
      <c r="CG291" s="99">
        <v>100</v>
      </c>
      <c r="CH291" s="99">
        <v>100</v>
      </c>
      <c r="CI291" s="175"/>
      <c r="CJ291" s="175"/>
      <c r="CK291" s="175"/>
      <c r="CL291" s="175"/>
      <c r="CM291" s="175"/>
      <c r="CN291" s="175"/>
      <c r="CO291" s="175"/>
      <c r="CP291" s="176"/>
      <c r="CQ291" s="176"/>
      <c r="CR291" s="176"/>
      <c r="CS291" s="176"/>
      <c r="CT291" s="176"/>
      <c r="CU291" s="176"/>
      <c r="CV291" s="176"/>
      <c r="CW291" s="167"/>
      <c r="CX291" s="168"/>
      <c r="CY291" s="168"/>
      <c r="CZ291" s="168"/>
      <c r="DA291" s="168"/>
      <c r="DB291" s="168"/>
      <c r="DC291" s="168"/>
      <c r="DD291" s="172"/>
      <c r="DE291" s="172"/>
      <c r="DF291" s="172"/>
      <c r="DG291" s="172"/>
      <c r="DH291" s="172"/>
      <c r="DI291" s="172"/>
      <c r="DJ291" s="172"/>
      <c r="DK291" s="80" t="s">
        <v>452</v>
      </c>
      <c r="DL291" s="129">
        <v>500</v>
      </c>
      <c r="DM291" s="129">
        <v>500</v>
      </c>
      <c r="DN291" s="129">
        <v>500</v>
      </c>
      <c r="DO291" s="129">
        <v>500</v>
      </c>
      <c r="DP291" s="129">
        <v>500</v>
      </c>
      <c r="DQ291" s="129">
        <v>500</v>
      </c>
      <c r="DR291" s="129">
        <v>500</v>
      </c>
      <c r="DS291" s="218"/>
      <c r="DT291" s="360"/>
      <c r="DU291" s="360"/>
      <c r="DV291" s="360"/>
      <c r="DW291" s="360"/>
      <c r="DX291" s="360"/>
      <c r="DY291" s="360"/>
      <c r="DZ291" s="360"/>
      <c r="EA291" s="360"/>
      <c r="EB291" s="360"/>
      <c r="EC291" s="360"/>
      <c r="ED291" s="360"/>
      <c r="EE291" s="360"/>
      <c r="EF291" s="360"/>
      <c r="EG291" s="360"/>
      <c r="EH291" s="360"/>
      <c r="EI291" s="360"/>
      <c r="EJ291" s="360"/>
      <c r="EK291" s="360"/>
      <c r="EL291" s="360"/>
      <c r="EM291" s="360"/>
      <c r="EN291" s="360"/>
      <c r="EO291" s="360"/>
      <c r="EP291" s="360"/>
      <c r="EQ291" s="360"/>
    </row>
    <row r="292" spans="1:147" x14ac:dyDescent="0.35">
      <c r="A292" s="5" t="s">
        <v>1380</v>
      </c>
      <c r="B292" s="5" t="s">
        <v>1243</v>
      </c>
      <c r="C292" s="5" t="s">
        <v>788</v>
      </c>
      <c r="D292" s="5" t="s">
        <v>1376</v>
      </c>
      <c r="E292" s="5" t="s">
        <v>459</v>
      </c>
      <c r="F292" s="5" t="s">
        <v>462</v>
      </c>
      <c r="G292" s="47" t="s">
        <v>1381</v>
      </c>
      <c r="H292" s="47" t="s">
        <v>981</v>
      </c>
      <c r="I292" s="101">
        <v>500</v>
      </c>
      <c r="J292" s="101">
        <v>500</v>
      </c>
      <c r="K292" s="101">
        <v>500</v>
      </c>
      <c r="L292" s="101">
        <v>500</v>
      </c>
      <c r="M292" s="101">
        <v>500</v>
      </c>
      <c r="N292" s="101">
        <v>500</v>
      </c>
      <c r="O292" s="101">
        <v>500</v>
      </c>
      <c r="P292" s="93">
        <v>0</v>
      </c>
      <c r="Q292" s="101">
        <v>20</v>
      </c>
      <c r="R292" s="101">
        <v>20</v>
      </c>
      <c r="S292" s="101">
        <v>20</v>
      </c>
      <c r="T292" s="101">
        <v>20</v>
      </c>
      <c r="U292" s="101">
        <v>20</v>
      </c>
      <c r="V292" s="101">
        <v>20</v>
      </c>
      <c r="W292" s="101">
        <v>20</v>
      </c>
      <c r="X292" s="101">
        <v>0</v>
      </c>
      <c r="Y292" s="101">
        <v>0</v>
      </c>
      <c r="Z292" s="101">
        <v>0</v>
      </c>
      <c r="AA292" s="101">
        <v>0</v>
      </c>
      <c r="AB292" s="101">
        <v>0</v>
      </c>
      <c r="AC292" s="101">
        <v>0</v>
      </c>
      <c r="AD292" s="101">
        <v>0</v>
      </c>
      <c r="AE292" s="186">
        <v>0.08</v>
      </c>
      <c r="AF292" s="93">
        <v>0</v>
      </c>
      <c r="AG292" s="93">
        <v>20</v>
      </c>
      <c r="AH292" s="93">
        <v>20</v>
      </c>
      <c r="AI292" s="16">
        <v>31.536000000000001</v>
      </c>
      <c r="AJ292" s="16" t="s">
        <v>1241</v>
      </c>
      <c r="AK292" s="16" t="s">
        <v>745</v>
      </c>
      <c r="AL292" s="16"/>
      <c r="AM292" s="60"/>
      <c r="AN292" s="60"/>
      <c r="AO292" s="60"/>
      <c r="AP292" s="60"/>
      <c r="AQ292" s="60"/>
      <c r="AR292" s="60"/>
      <c r="AS292" s="63"/>
      <c r="AT292" s="63"/>
      <c r="AU292" s="63"/>
      <c r="AV292" s="131"/>
      <c r="AW292" s="131"/>
      <c r="AX292" s="131"/>
      <c r="AY292" s="27" t="s">
        <v>662</v>
      </c>
      <c r="AZ292" s="27"/>
      <c r="BA292" s="27"/>
      <c r="BB292" s="30"/>
      <c r="BC292" s="30"/>
      <c r="BD292" s="30"/>
      <c r="BE292" s="30"/>
      <c r="BF292" s="30"/>
      <c r="BG292" s="30"/>
      <c r="BH292" s="107"/>
      <c r="BI292" s="107"/>
      <c r="BJ292" s="107"/>
      <c r="BK292" s="107"/>
      <c r="BL292" s="136"/>
      <c r="BM292" s="122"/>
      <c r="BN292" s="138">
        <v>0.5</v>
      </c>
      <c r="BO292" s="93"/>
      <c r="BP292" s="93"/>
      <c r="BQ292" s="93"/>
      <c r="BR292" s="93">
        <v>0.5</v>
      </c>
      <c r="BS292" s="93"/>
      <c r="BT292" s="93"/>
      <c r="BU292" s="27">
        <f t="shared" ref="BU292:BU342" si="277">IF(BL292=1,BN292,0)</f>
        <v>0</v>
      </c>
      <c r="BV292" s="27"/>
      <c r="BW292" s="27"/>
      <c r="BX292" s="27"/>
      <c r="BY292" s="27"/>
      <c r="BZ292" s="27"/>
      <c r="CA292" s="27"/>
      <c r="CB292" s="97">
        <v>0.5</v>
      </c>
      <c r="CC292" s="97">
        <v>5</v>
      </c>
      <c r="CD292" s="97">
        <v>25</v>
      </c>
      <c r="CE292" s="97">
        <v>50</v>
      </c>
      <c r="CF292" s="97">
        <v>100</v>
      </c>
      <c r="CG292" s="97">
        <v>100</v>
      </c>
      <c r="CH292" s="97">
        <v>100</v>
      </c>
      <c r="CI292" s="173"/>
      <c r="CJ292" s="173"/>
      <c r="CK292" s="173"/>
      <c r="CL292" s="173"/>
      <c r="CM292" s="173"/>
      <c r="CN292" s="173"/>
      <c r="CO292" s="173"/>
      <c r="CP292" s="174"/>
      <c r="CQ292" s="174"/>
      <c r="CR292" s="174"/>
      <c r="CS292" s="174"/>
      <c r="CT292" s="174"/>
      <c r="CU292" s="174"/>
      <c r="CV292" s="174"/>
      <c r="CW292" s="165"/>
      <c r="CX292" s="166"/>
      <c r="CY292" s="166"/>
      <c r="CZ292" s="166"/>
      <c r="DA292" s="166"/>
      <c r="DB292" s="166"/>
      <c r="DC292" s="166"/>
      <c r="DD292" s="171"/>
      <c r="DE292" s="171"/>
      <c r="DF292" s="171"/>
      <c r="DG292" s="171"/>
      <c r="DH292" s="171"/>
      <c r="DI292" s="171"/>
      <c r="DJ292" s="171"/>
      <c r="DK292" s="79" t="s">
        <v>452</v>
      </c>
      <c r="DL292" s="128">
        <v>500</v>
      </c>
      <c r="DM292" s="128">
        <v>500</v>
      </c>
      <c r="DN292" s="128">
        <v>500</v>
      </c>
      <c r="DO292" s="128">
        <v>500</v>
      </c>
      <c r="DP292" s="128">
        <v>500</v>
      </c>
      <c r="DQ292" s="128">
        <v>500</v>
      </c>
      <c r="DR292" s="128">
        <v>500</v>
      </c>
      <c r="DS292" s="218"/>
      <c r="DT292" s="360"/>
      <c r="DU292" s="360"/>
      <c r="DV292" s="360"/>
      <c r="DW292" s="360"/>
      <c r="DX292" s="360"/>
      <c r="DY292" s="360"/>
      <c r="DZ292" s="360"/>
      <c r="EA292" s="360"/>
      <c r="EB292" s="360"/>
      <c r="EC292" s="360"/>
      <c r="ED292" s="360"/>
      <c r="EE292" s="360"/>
      <c r="EF292" s="360"/>
      <c r="EG292" s="360"/>
      <c r="EH292" s="360"/>
      <c r="EI292" s="360"/>
      <c r="EJ292" s="360"/>
      <c r="EK292" s="360"/>
      <c r="EL292" s="360"/>
      <c r="EM292" s="360"/>
      <c r="EN292" s="360"/>
      <c r="EO292" s="360"/>
      <c r="EP292" s="360"/>
      <c r="EQ292" s="360"/>
    </row>
    <row r="293" spans="1:147" x14ac:dyDescent="0.35">
      <c r="A293" s="6" t="s">
        <v>1382</v>
      </c>
      <c r="B293" s="6" t="s">
        <v>1243</v>
      </c>
      <c r="C293" s="6" t="s">
        <v>788</v>
      </c>
      <c r="D293" s="6" t="s">
        <v>1376</v>
      </c>
      <c r="E293" s="6" t="s">
        <v>459</v>
      </c>
      <c r="F293" s="6" t="s">
        <v>462</v>
      </c>
      <c r="G293" s="48" t="s">
        <v>1383</v>
      </c>
      <c r="H293" s="48" t="s">
        <v>981</v>
      </c>
      <c r="I293" s="102">
        <v>600</v>
      </c>
      <c r="J293" s="102">
        <v>600</v>
      </c>
      <c r="K293" s="102">
        <v>600</v>
      </c>
      <c r="L293" s="102">
        <v>600</v>
      </c>
      <c r="M293" s="102">
        <v>600</v>
      </c>
      <c r="N293" s="102">
        <v>600</v>
      </c>
      <c r="O293" s="102">
        <v>600</v>
      </c>
      <c r="P293" s="94">
        <v>0</v>
      </c>
      <c r="Q293" s="102">
        <v>50</v>
      </c>
      <c r="R293" s="102">
        <v>50</v>
      </c>
      <c r="S293" s="102">
        <v>50</v>
      </c>
      <c r="T293" s="102">
        <v>50</v>
      </c>
      <c r="U293" s="102">
        <v>50</v>
      </c>
      <c r="V293" s="102">
        <v>50</v>
      </c>
      <c r="W293" s="102">
        <v>50</v>
      </c>
      <c r="X293" s="102">
        <v>0</v>
      </c>
      <c r="Y293" s="102">
        <v>0</v>
      </c>
      <c r="Z293" s="102">
        <v>0</v>
      </c>
      <c r="AA293" s="102">
        <v>0</v>
      </c>
      <c r="AB293" s="102">
        <v>0</v>
      </c>
      <c r="AC293" s="102">
        <v>0</v>
      </c>
      <c r="AD293" s="102">
        <v>0</v>
      </c>
      <c r="AE293" s="186">
        <v>0.08</v>
      </c>
      <c r="AF293" s="94">
        <v>0</v>
      </c>
      <c r="AG293" s="94">
        <v>20</v>
      </c>
      <c r="AH293" s="94">
        <v>20</v>
      </c>
      <c r="AI293" s="17">
        <v>31.536000000000001</v>
      </c>
      <c r="AJ293" s="17" t="s">
        <v>1241</v>
      </c>
      <c r="AK293" s="17" t="s">
        <v>745</v>
      </c>
      <c r="AL293" s="17"/>
      <c r="AM293" s="61"/>
      <c r="AN293" s="61"/>
      <c r="AO293" s="61"/>
      <c r="AP293" s="61"/>
      <c r="AQ293" s="61"/>
      <c r="AR293" s="61"/>
      <c r="AS293" s="64"/>
      <c r="AT293" s="64"/>
      <c r="AU293" s="64"/>
      <c r="AV293" s="132"/>
      <c r="AW293" s="132"/>
      <c r="AX293" s="132"/>
      <c r="AY293" s="28" t="s">
        <v>662</v>
      </c>
      <c r="AZ293" s="28"/>
      <c r="BA293" s="28"/>
      <c r="BB293" s="28"/>
      <c r="BC293" s="28"/>
      <c r="BD293" s="28"/>
      <c r="BE293" s="28"/>
      <c r="BF293" s="28"/>
      <c r="BG293" s="28"/>
      <c r="BH293" s="106"/>
      <c r="BI293" s="106"/>
      <c r="BJ293" s="106"/>
      <c r="BK293" s="106"/>
      <c r="BL293" s="137"/>
      <c r="BM293" s="123"/>
      <c r="BN293" s="139">
        <v>0</v>
      </c>
      <c r="BO293" s="94"/>
      <c r="BP293" s="94"/>
      <c r="BQ293" s="94"/>
      <c r="BR293" s="94"/>
      <c r="BS293" s="94"/>
      <c r="BT293" s="94"/>
      <c r="BU293" s="28">
        <f t="shared" si="277"/>
        <v>0</v>
      </c>
      <c r="BV293" s="28"/>
      <c r="BW293" s="28"/>
      <c r="BX293" s="28"/>
      <c r="BY293" s="28"/>
      <c r="BZ293" s="28"/>
      <c r="CA293" s="28"/>
      <c r="CB293" s="99"/>
      <c r="CC293" s="99">
        <v>5</v>
      </c>
      <c r="CD293" s="99">
        <v>25</v>
      </c>
      <c r="CE293" s="99">
        <v>50</v>
      </c>
      <c r="CF293" s="99">
        <v>100</v>
      </c>
      <c r="CG293" s="99">
        <v>100</v>
      </c>
      <c r="CH293" s="99">
        <v>100</v>
      </c>
      <c r="CI293" s="175"/>
      <c r="CJ293" s="175"/>
      <c r="CK293" s="175"/>
      <c r="CL293" s="175"/>
      <c r="CM293" s="175"/>
      <c r="CN293" s="175"/>
      <c r="CO293" s="175"/>
      <c r="CP293" s="176"/>
      <c r="CQ293" s="176"/>
      <c r="CR293" s="176"/>
      <c r="CS293" s="176"/>
      <c r="CT293" s="176"/>
      <c r="CU293" s="176"/>
      <c r="CV293" s="176"/>
      <c r="CW293" s="167"/>
      <c r="CX293" s="168"/>
      <c r="CY293" s="168"/>
      <c r="CZ293" s="168"/>
      <c r="DA293" s="168"/>
      <c r="DB293" s="168"/>
      <c r="DC293" s="168"/>
      <c r="DD293" s="172"/>
      <c r="DE293" s="172"/>
      <c r="DF293" s="172"/>
      <c r="DG293" s="172"/>
      <c r="DH293" s="172"/>
      <c r="DI293" s="172"/>
      <c r="DJ293" s="172"/>
      <c r="DK293" s="80" t="s">
        <v>452</v>
      </c>
      <c r="DL293" s="129">
        <v>500</v>
      </c>
      <c r="DM293" s="129">
        <v>500</v>
      </c>
      <c r="DN293" s="129">
        <v>500</v>
      </c>
      <c r="DO293" s="129">
        <v>500</v>
      </c>
      <c r="DP293" s="129">
        <v>500</v>
      </c>
      <c r="DQ293" s="129">
        <v>500</v>
      </c>
      <c r="DR293" s="129">
        <v>500</v>
      </c>
      <c r="DS293" s="218"/>
      <c r="DT293" s="360"/>
      <c r="DU293" s="360"/>
      <c r="DV293" s="360"/>
      <c r="DW293" s="360"/>
      <c r="DX293" s="360"/>
      <c r="DY293" s="360"/>
      <c r="DZ293" s="360"/>
      <c r="EA293" s="360"/>
      <c r="EB293" s="360"/>
      <c r="EC293" s="360"/>
      <c r="ED293" s="360"/>
      <c r="EE293" s="360"/>
      <c r="EF293" s="360"/>
      <c r="EG293" s="360"/>
      <c r="EH293" s="360"/>
      <c r="EI293" s="360"/>
      <c r="EJ293" s="360"/>
      <c r="EK293" s="360"/>
      <c r="EL293" s="360"/>
      <c r="EM293" s="360"/>
      <c r="EN293" s="360"/>
      <c r="EO293" s="360"/>
      <c r="EP293" s="360"/>
      <c r="EQ293" s="360"/>
    </row>
    <row r="294" spans="1:147" x14ac:dyDescent="0.35">
      <c r="A294" s="5" t="s">
        <v>1384</v>
      </c>
      <c r="B294" s="5" t="s">
        <v>1243</v>
      </c>
      <c r="C294" s="5" t="s">
        <v>788</v>
      </c>
      <c r="D294" s="5" t="s">
        <v>1376</v>
      </c>
      <c r="E294" s="5" t="s">
        <v>459</v>
      </c>
      <c r="F294" s="5" t="s">
        <v>462</v>
      </c>
      <c r="G294" s="47" t="s">
        <v>1385</v>
      </c>
      <c r="H294" s="47" t="s">
        <v>981</v>
      </c>
      <c r="I294" s="101">
        <v>1000</v>
      </c>
      <c r="J294" s="101">
        <v>1000</v>
      </c>
      <c r="K294" s="101">
        <v>1000</v>
      </c>
      <c r="L294" s="101">
        <v>1000</v>
      </c>
      <c r="M294" s="101">
        <v>1000</v>
      </c>
      <c r="N294" s="101">
        <v>1000</v>
      </c>
      <c r="O294" s="101">
        <v>1000</v>
      </c>
      <c r="P294" s="93">
        <v>0</v>
      </c>
      <c r="Q294" s="101">
        <v>30</v>
      </c>
      <c r="R294" s="101">
        <v>30</v>
      </c>
      <c r="S294" s="101">
        <v>30</v>
      </c>
      <c r="T294" s="101">
        <v>30</v>
      </c>
      <c r="U294" s="101">
        <v>30</v>
      </c>
      <c r="V294" s="101">
        <v>30</v>
      </c>
      <c r="W294" s="101">
        <v>30</v>
      </c>
      <c r="X294" s="101">
        <v>0</v>
      </c>
      <c r="Y294" s="101">
        <v>0</v>
      </c>
      <c r="Z294" s="101">
        <v>0</v>
      </c>
      <c r="AA294" s="101">
        <v>0</v>
      </c>
      <c r="AB294" s="101">
        <v>0</v>
      </c>
      <c r="AC294" s="101">
        <v>0</v>
      </c>
      <c r="AD294" s="101">
        <v>0</v>
      </c>
      <c r="AE294" s="186">
        <v>0.08</v>
      </c>
      <c r="AF294" s="93">
        <v>0</v>
      </c>
      <c r="AG294" s="93">
        <v>15</v>
      </c>
      <c r="AH294" s="93">
        <v>15</v>
      </c>
      <c r="AI294" s="16">
        <v>31.536000000000001</v>
      </c>
      <c r="AJ294" s="16" t="s">
        <v>1241</v>
      </c>
      <c r="AK294" s="16" t="s">
        <v>745</v>
      </c>
      <c r="AL294" s="16"/>
      <c r="AM294" s="60"/>
      <c r="AN294" s="60"/>
      <c r="AO294" s="60"/>
      <c r="AP294" s="60"/>
      <c r="AQ294" s="60"/>
      <c r="AR294" s="60"/>
      <c r="AS294" s="63"/>
      <c r="AT294" s="63"/>
      <c r="AU294" s="63"/>
      <c r="AV294" s="131"/>
      <c r="AW294" s="131"/>
      <c r="AX294" s="131"/>
      <c r="AY294" s="27" t="s">
        <v>662</v>
      </c>
      <c r="AZ294" s="27"/>
      <c r="BA294" s="27"/>
      <c r="BB294" s="30"/>
      <c r="BC294" s="30"/>
      <c r="BD294" s="30"/>
      <c r="BE294" s="30"/>
      <c r="BF294" s="30"/>
      <c r="BG294" s="30"/>
      <c r="BH294" s="107"/>
      <c r="BI294" s="107"/>
      <c r="BJ294" s="107"/>
      <c r="BK294" s="107"/>
      <c r="BL294" s="136"/>
      <c r="BM294" s="122"/>
      <c r="BN294" s="138">
        <v>0</v>
      </c>
      <c r="BO294" s="93"/>
      <c r="BP294" s="93"/>
      <c r="BQ294" s="93"/>
      <c r="BR294" s="93"/>
      <c r="BS294" s="93"/>
      <c r="BT294" s="93"/>
      <c r="BU294" s="27">
        <f t="shared" si="277"/>
        <v>0</v>
      </c>
      <c r="BV294" s="27"/>
      <c r="BW294" s="27"/>
      <c r="BX294" s="27"/>
      <c r="BY294" s="27"/>
      <c r="BZ294" s="27"/>
      <c r="CA294" s="27"/>
      <c r="CB294" s="97"/>
      <c r="CC294" s="97">
        <v>5</v>
      </c>
      <c r="CD294" s="97">
        <v>25</v>
      </c>
      <c r="CE294" s="97">
        <v>50</v>
      </c>
      <c r="CF294" s="97">
        <v>100</v>
      </c>
      <c r="CG294" s="97">
        <v>100</v>
      </c>
      <c r="CH294" s="97">
        <v>100</v>
      </c>
      <c r="CI294" s="173"/>
      <c r="CJ294" s="173"/>
      <c r="CK294" s="173"/>
      <c r="CL294" s="173"/>
      <c r="CM294" s="173"/>
      <c r="CN294" s="173"/>
      <c r="CO294" s="173"/>
      <c r="CP294" s="174"/>
      <c r="CQ294" s="174"/>
      <c r="CR294" s="174"/>
      <c r="CS294" s="174"/>
      <c r="CT294" s="174"/>
      <c r="CU294" s="174"/>
      <c r="CV294" s="174"/>
      <c r="CW294" s="165"/>
      <c r="CX294" s="166"/>
      <c r="CY294" s="166"/>
      <c r="CZ294" s="166"/>
      <c r="DA294" s="166"/>
      <c r="DB294" s="166"/>
      <c r="DC294" s="166"/>
      <c r="DD294" s="171"/>
      <c r="DE294" s="171"/>
      <c r="DF294" s="171"/>
      <c r="DG294" s="171"/>
      <c r="DH294" s="171"/>
      <c r="DI294" s="171"/>
      <c r="DJ294" s="171"/>
      <c r="DK294" s="79" t="s">
        <v>452</v>
      </c>
      <c r="DL294" s="128">
        <v>500</v>
      </c>
      <c r="DM294" s="128">
        <v>500</v>
      </c>
      <c r="DN294" s="128">
        <v>500</v>
      </c>
      <c r="DO294" s="128">
        <v>500</v>
      </c>
      <c r="DP294" s="128">
        <v>500</v>
      </c>
      <c r="DQ294" s="128">
        <v>500</v>
      </c>
      <c r="DR294" s="128">
        <v>500</v>
      </c>
      <c r="DS294" s="218"/>
      <c r="DT294" s="360"/>
      <c r="DU294" s="360"/>
      <c r="DV294" s="360"/>
      <c r="DW294" s="360"/>
      <c r="DX294" s="360"/>
      <c r="DY294" s="360"/>
      <c r="DZ294" s="360"/>
      <c r="EA294" s="360"/>
      <c r="EB294" s="360"/>
      <c r="EC294" s="360"/>
      <c r="ED294" s="360"/>
      <c r="EE294" s="360"/>
      <c r="EF294" s="360"/>
      <c r="EG294" s="360"/>
      <c r="EH294" s="360"/>
      <c r="EI294" s="360"/>
      <c r="EJ294" s="360"/>
      <c r="EK294" s="360"/>
      <c r="EL294" s="360"/>
      <c r="EM294" s="360"/>
      <c r="EN294" s="360"/>
      <c r="EO294" s="360"/>
      <c r="EP294" s="360"/>
      <c r="EQ294" s="360"/>
    </row>
    <row r="295" spans="1:147" x14ac:dyDescent="0.35">
      <c r="A295" s="6" t="s">
        <v>1386</v>
      </c>
      <c r="B295" s="6" t="s">
        <v>1243</v>
      </c>
      <c r="C295" s="6" t="s">
        <v>788</v>
      </c>
      <c r="D295" s="6" t="s">
        <v>1376</v>
      </c>
      <c r="E295" s="6" t="s">
        <v>459</v>
      </c>
      <c r="F295" s="6" t="s">
        <v>462</v>
      </c>
      <c r="G295" s="48" t="s">
        <v>1387</v>
      </c>
      <c r="H295" s="48" t="s">
        <v>659</v>
      </c>
      <c r="I295" s="102">
        <v>100</v>
      </c>
      <c r="J295" s="102">
        <v>100</v>
      </c>
      <c r="K295" s="102">
        <v>100</v>
      </c>
      <c r="L295" s="102">
        <v>100</v>
      </c>
      <c r="M295" s="102">
        <v>100</v>
      </c>
      <c r="N295" s="102">
        <v>100</v>
      </c>
      <c r="O295" s="102">
        <v>100</v>
      </c>
      <c r="P295" s="94">
        <v>0</v>
      </c>
      <c r="Q295" s="102">
        <v>1.5</v>
      </c>
      <c r="R295" s="102">
        <v>1.5</v>
      </c>
      <c r="S295" s="102">
        <v>1.5</v>
      </c>
      <c r="T295" s="102">
        <v>1.5</v>
      </c>
      <c r="U295" s="102">
        <v>1.5</v>
      </c>
      <c r="V295" s="102">
        <v>1.5</v>
      </c>
      <c r="W295" s="102">
        <v>1.5</v>
      </c>
      <c r="X295" s="102">
        <v>0</v>
      </c>
      <c r="Y295" s="102">
        <v>0</v>
      </c>
      <c r="Z295" s="102">
        <v>0</v>
      </c>
      <c r="AA295" s="102">
        <v>0</v>
      </c>
      <c r="AB295" s="102">
        <v>0</v>
      </c>
      <c r="AC295" s="102">
        <v>0</v>
      </c>
      <c r="AD295" s="102">
        <v>0</v>
      </c>
      <c r="AE295" s="186">
        <v>0.08</v>
      </c>
      <c r="AF295" s="94">
        <v>0</v>
      </c>
      <c r="AG295" s="94">
        <v>30</v>
      </c>
      <c r="AH295" s="94">
        <v>30</v>
      </c>
      <c r="AI295" s="17">
        <v>1</v>
      </c>
      <c r="AJ295" s="17" t="s">
        <v>660</v>
      </c>
      <c r="AK295" s="17" t="s">
        <v>745</v>
      </c>
      <c r="AL295" s="17"/>
      <c r="AM295" s="61"/>
      <c r="AN295" s="61"/>
      <c r="AO295" s="61"/>
      <c r="AP295" s="61"/>
      <c r="AQ295" s="61"/>
      <c r="AR295" s="61"/>
      <c r="AS295" s="64"/>
      <c r="AT295" s="64"/>
      <c r="AU295" s="64"/>
      <c r="AV295" s="132"/>
      <c r="AW295" s="132"/>
      <c r="AX295" s="132"/>
      <c r="AY295" s="28" t="s">
        <v>1309</v>
      </c>
      <c r="AZ295" s="28" t="s">
        <v>462</v>
      </c>
      <c r="BA295" s="28">
        <v>1</v>
      </c>
      <c r="BB295" s="28">
        <v>1500</v>
      </c>
      <c r="BC295" s="28" t="s">
        <v>1388</v>
      </c>
      <c r="BD295" s="28">
        <v>0.1</v>
      </c>
      <c r="BE295" s="28"/>
      <c r="BF295" s="28"/>
      <c r="BG295" s="28"/>
      <c r="BH295" s="106"/>
      <c r="BI295" s="106"/>
      <c r="BJ295" s="106"/>
      <c r="BK295" s="106"/>
      <c r="BL295" s="137"/>
      <c r="BM295" s="123"/>
      <c r="BN295" s="139">
        <v>0</v>
      </c>
      <c r="BO295" s="94"/>
      <c r="BP295" s="94"/>
      <c r="BQ295" s="94"/>
      <c r="BR295" s="94"/>
      <c r="BS295" s="94"/>
      <c r="BT295" s="94"/>
      <c r="BU295" s="28">
        <f t="shared" si="277"/>
        <v>0</v>
      </c>
      <c r="BV295" s="28"/>
      <c r="BW295" s="28"/>
      <c r="BX295" s="28"/>
      <c r="BY295" s="28"/>
      <c r="BZ295" s="28"/>
      <c r="CA295" s="28"/>
      <c r="CB295" s="99">
        <v>0.5</v>
      </c>
      <c r="CC295" s="99">
        <v>1.25</v>
      </c>
      <c r="CD295" s="99">
        <v>2</v>
      </c>
      <c r="CE295" s="99">
        <v>5</v>
      </c>
      <c r="CF295" s="99">
        <v>100</v>
      </c>
      <c r="CG295" s="99">
        <v>100</v>
      </c>
      <c r="CH295" s="99">
        <v>100</v>
      </c>
      <c r="CI295" s="175"/>
      <c r="CJ295" s="175"/>
      <c r="CK295" s="175"/>
      <c r="CL295" s="175"/>
      <c r="CM295" s="175"/>
      <c r="CN295" s="175"/>
      <c r="CO295" s="175"/>
      <c r="CP295" s="176"/>
      <c r="CQ295" s="176"/>
      <c r="CR295" s="176"/>
      <c r="CS295" s="176"/>
      <c r="CT295" s="176"/>
      <c r="CU295" s="176"/>
      <c r="CV295" s="176"/>
      <c r="CW295" s="167"/>
      <c r="CX295" s="168"/>
      <c r="CY295" s="168"/>
      <c r="CZ295" s="168"/>
      <c r="DA295" s="168"/>
      <c r="DB295" s="168"/>
      <c r="DC295" s="168"/>
      <c r="DD295" s="172"/>
      <c r="DE295" s="172"/>
      <c r="DF295" s="172"/>
      <c r="DG295" s="172"/>
      <c r="DH295" s="172"/>
      <c r="DI295" s="172"/>
      <c r="DJ295" s="172"/>
      <c r="DK295" s="80" t="s">
        <v>452</v>
      </c>
      <c r="DL295" s="129">
        <v>50</v>
      </c>
      <c r="DM295" s="129">
        <v>50</v>
      </c>
      <c r="DN295" s="129">
        <v>50</v>
      </c>
      <c r="DO295" s="129">
        <v>50</v>
      </c>
      <c r="DP295" s="129">
        <v>50</v>
      </c>
      <c r="DQ295" s="129">
        <v>50</v>
      </c>
      <c r="DR295" s="129">
        <v>50</v>
      </c>
      <c r="DS295" s="218"/>
      <c r="DT295" s="360"/>
      <c r="DU295" s="360"/>
      <c r="DV295" s="360"/>
      <c r="DW295" s="360"/>
      <c r="DX295" s="360"/>
      <c r="DY295" s="360"/>
      <c r="DZ295" s="360"/>
      <c r="EA295" s="360"/>
      <c r="EB295" s="360"/>
      <c r="EC295" s="360"/>
      <c r="ED295" s="360"/>
      <c r="EE295" s="360"/>
      <c r="EF295" s="360"/>
      <c r="EG295" s="360"/>
      <c r="EH295" s="360"/>
      <c r="EI295" s="360"/>
      <c r="EJ295" s="360"/>
      <c r="EK295" s="360"/>
      <c r="EL295" s="360"/>
      <c r="EM295" s="360"/>
      <c r="EN295" s="360"/>
      <c r="EO295" s="360"/>
      <c r="EP295" s="360"/>
      <c r="EQ295" s="360"/>
    </row>
    <row r="296" spans="1:147" x14ac:dyDescent="0.35">
      <c r="A296" s="5" t="s">
        <v>1389</v>
      </c>
      <c r="B296" s="5" t="s">
        <v>1243</v>
      </c>
      <c r="C296" s="5" t="s">
        <v>788</v>
      </c>
      <c r="D296" s="5" t="s">
        <v>1376</v>
      </c>
      <c r="E296" s="5" t="s">
        <v>459</v>
      </c>
      <c r="F296" s="5" t="s">
        <v>462</v>
      </c>
      <c r="G296" s="47" t="s">
        <v>1390</v>
      </c>
      <c r="H296" s="47" t="s">
        <v>981</v>
      </c>
      <c r="I296" s="101">
        <v>80</v>
      </c>
      <c r="J296" s="101">
        <v>75</v>
      </c>
      <c r="K296" s="101">
        <v>70</v>
      </c>
      <c r="L296" s="101">
        <v>65</v>
      </c>
      <c r="M296" s="101">
        <v>60</v>
      </c>
      <c r="N296" s="101">
        <v>55</v>
      </c>
      <c r="O296" s="101">
        <v>50</v>
      </c>
      <c r="P296" s="93">
        <v>0</v>
      </c>
      <c r="Q296" s="101">
        <v>5</v>
      </c>
      <c r="R296" s="101">
        <v>5</v>
      </c>
      <c r="S296" s="101">
        <v>5</v>
      </c>
      <c r="T296" s="101">
        <v>5</v>
      </c>
      <c r="U296" s="101">
        <v>5</v>
      </c>
      <c r="V296" s="101">
        <v>5</v>
      </c>
      <c r="W296" s="101">
        <v>5</v>
      </c>
      <c r="X296" s="101">
        <v>0</v>
      </c>
      <c r="Y296" s="101">
        <v>0</v>
      </c>
      <c r="Z296" s="101">
        <v>0</v>
      </c>
      <c r="AA296" s="101">
        <v>0</v>
      </c>
      <c r="AB296" s="101">
        <v>0</v>
      </c>
      <c r="AC296" s="101">
        <v>0</v>
      </c>
      <c r="AD296" s="101">
        <v>0</v>
      </c>
      <c r="AE296" s="186">
        <v>0.08</v>
      </c>
      <c r="AF296" s="93">
        <v>0</v>
      </c>
      <c r="AG296" s="93">
        <v>20</v>
      </c>
      <c r="AH296" s="93">
        <v>20</v>
      </c>
      <c r="AI296" s="16">
        <v>31.536000000000001</v>
      </c>
      <c r="AJ296" s="16" t="s">
        <v>1241</v>
      </c>
      <c r="AK296" s="16" t="s">
        <v>745</v>
      </c>
      <c r="AL296" s="16"/>
      <c r="AM296" s="60"/>
      <c r="AN296" s="60"/>
      <c r="AO296" s="60"/>
      <c r="AP296" s="60"/>
      <c r="AQ296" s="60"/>
      <c r="AR296" s="60"/>
      <c r="AS296" s="63"/>
      <c r="AT296" s="63"/>
      <c r="AU296" s="63"/>
      <c r="AV296" s="131"/>
      <c r="AW296" s="131"/>
      <c r="AX296" s="131"/>
      <c r="AY296" s="27" t="s">
        <v>662</v>
      </c>
      <c r="AZ296" s="27"/>
      <c r="BA296" s="27"/>
      <c r="BB296" s="30"/>
      <c r="BC296" s="30"/>
      <c r="BD296" s="30"/>
      <c r="BE296" s="30"/>
      <c r="BF296" s="30"/>
      <c r="BG296" s="30"/>
      <c r="BH296" s="107"/>
      <c r="BI296" s="107"/>
      <c r="BJ296" s="107"/>
      <c r="BK296" s="107"/>
      <c r="BL296" s="136"/>
      <c r="BM296" s="122"/>
      <c r="BN296" s="138">
        <v>0</v>
      </c>
      <c r="BO296" s="93"/>
      <c r="BP296" s="93"/>
      <c r="BQ296" s="93"/>
      <c r="BR296" s="93"/>
      <c r="BS296" s="93"/>
      <c r="BT296" s="93"/>
      <c r="BU296" s="27">
        <f t="shared" si="277"/>
        <v>0</v>
      </c>
      <c r="BV296" s="27"/>
      <c r="BW296" s="27"/>
      <c r="BX296" s="27"/>
      <c r="BY296" s="27"/>
      <c r="BZ296" s="27"/>
      <c r="CA296" s="27"/>
      <c r="CB296" s="97"/>
      <c r="CC296" s="97">
        <v>5</v>
      </c>
      <c r="CD296" s="97">
        <v>25</v>
      </c>
      <c r="CE296" s="97">
        <v>50</v>
      </c>
      <c r="CF296" s="97">
        <v>100</v>
      </c>
      <c r="CG296" s="97">
        <v>100</v>
      </c>
      <c r="CH296" s="97">
        <v>100</v>
      </c>
      <c r="CI296" s="173"/>
      <c r="CJ296" s="173"/>
      <c r="CK296" s="173"/>
      <c r="CL296" s="173"/>
      <c r="CM296" s="173"/>
      <c r="CN296" s="173"/>
      <c r="CO296" s="173"/>
      <c r="CP296" s="174"/>
      <c r="CQ296" s="174"/>
      <c r="CR296" s="174"/>
      <c r="CS296" s="174"/>
      <c r="CT296" s="174"/>
      <c r="CU296" s="174"/>
      <c r="CV296" s="174"/>
      <c r="CW296" s="165"/>
      <c r="CX296" s="166"/>
      <c r="CY296" s="166"/>
      <c r="CZ296" s="166"/>
      <c r="DA296" s="166"/>
      <c r="DB296" s="166"/>
      <c r="DC296" s="166"/>
      <c r="DD296" s="171"/>
      <c r="DE296" s="171"/>
      <c r="DF296" s="171"/>
      <c r="DG296" s="171"/>
      <c r="DH296" s="171"/>
      <c r="DI296" s="171"/>
      <c r="DJ296" s="171"/>
      <c r="DK296" s="79" t="s">
        <v>452</v>
      </c>
      <c r="DL296" s="128">
        <v>500</v>
      </c>
      <c r="DM296" s="128">
        <v>500</v>
      </c>
      <c r="DN296" s="128">
        <v>500</v>
      </c>
      <c r="DO296" s="128">
        <v>500</v>
      </c>
      <c r="DP296" s="128">
        <v>500</v>
      </c>
      <c r="DQ296" s="128">
        <v>500</v>
      </c>
      <c r="DR296" s="128">
        <v>500</v>
      </c>
      <c r="DS296" s="218"/>
      <c r="DT296" s="360"/>
      <c r="DU296" s="360"/>
      <c r="DV296" s="360"/>
      <c r="DW296" s="360"/>
      <c r="DX296" s="360"/>
      <c r="DY296" s="360"/>
      <c r="DZ296" s="360"/>
      <c r="EA296" s="360"/>
      <c r="EB296" s="360"/>
      <c r="EC296" s="360"/>
      <c r="ED296" s="360"/>
      <c r="EE296" s="360"/>
      <c r="EF296" s="360"/>
      <c r="EG296" s="360"/>
      <c r="EH296" s="360"/>
      <c r="EI296" s="360"/>
      <c r="EJ296" s="360"/>
      <c r="EK296" s="360"/>
      <c r="EL296" s="360"/>
      <c r="EM296" s="360"/>
      <c r="EN296" s="360"/>
      <c r="EO296" s="360"/>
      <c r="EP296" s="360"/>
      <c r="EQ296" s="360"/>
    </row>
    <row r="297" spans="1:147" x14ac:dyDescent="0.35">
      <c r="A297" s="5" t="s">
        <v>1391</v>
      </c>
      <c r="B297" s="5" t="s">
        <v>1243</v>
      </c>
      <c r="C297" s="5" t="s">
        <v>788</v>
      </c>
      <c r="D297" s="5" t="s">
        <v>1376</v>
      </c>
      <c r="E297" s="5" t="s">
        <v>459</v>
      </c>
      <c r="F297" s="5" t="s">
        <v>462</v>
      </c>
      <c r="G297" s="221" t="s">
        <v>1392</v>
      </c>
      <c r="H297" s="47" t="s">
        <v>981</v>
      </c>
      <c r="I297" s="101">
        <v>150</v>
      </c>
      <c r="J297" s="101">
        <v>150</v>
      </c>
      <c r="K297" s="101">
        <v>150</v>
      </c>
      <c r="L297" s="101">
        <v>150</v>
      </c>
      <c r="M297" s="101">
        <v>150</v>
      </c>
      <c r="N297" s="101">
        <v>150</v>
      </c>
      <c r="O297" s="101">
        <v>150</v>
      </c>
      <c r="P297" s="93">
        <v>0</v>
      </c>
      <c r="Q297" s="101">
        <v>2</v>
      </c>
      <c r="R297" s="101">
        <v>2</v>
      </c>
      <c r="S297" s="101">
        <v>2</v>
      </c>
      <c r="T297" s="101">
        <v>2</v>
      </c>
      <c r="U297" s="101">
        <v>2</v>
      </c>
      <c r="V297" s="101">
        <v>2</v>
      </c>
      <c r="W297" s="101">
        <v>2</v>
      </c>
      <c r="X297" s="101">
        <v>0</v>
      </c>
      <c r="Y297" s="101">
        <v>0</v>
      </c>
      <c r="Z297" s="101">
        <v>0</v>
      </c>
      <c r="AA297" s="101">
        <v>0</v>
      </c>
      <c r="AB297" s="101">
        <v>0</v>
      </c>
      <c r="AC297" s="101">
        <v>0</v>
      </c>
      <c r="AD297" s="101">
        <v>0</v>
      </c>
      <c r="AE297" s="186">
        <v>0.08</v>
      </c>
      <c r="AF297" s="93">
        <v>0</v>
      </c>
      <c r="AG297" s="93">
        <v>12</v>
      </c>
      <c r="AH297" s="93">
        <v>12</v>
      </c>
      <c r="AI297" s="16">
        <f t="shared" ref="AI297" si="278">1.5*3.6</f>
        <v>5.4</v>
      </c>
      <c r="AJ297" s="16" t="s">
        <v>660</v>
      </c>
      <c r="AK297" s="16" t="s">
        <v>672</v>
      </c>
      <c r="AL297" s="16"/>
      <c r="AM297" s="60"/>
      <c r="AN297" s="60"/>
      <c r="AO297" s="60"/>
      <c r="AP297" s="60"/>
      <c r="AQ297" s="60"/>
      <c r="AR297" s="60"/>
      <c r="AS297" s="63"/>
      <c r="AT297" s="63"/>
      <c r="AU297" s="63"/>
      <c r="AV297" s="131"/>
      <c r="AW297" s="131"/>
      <c r="AX297" s="131"/>
      <c r="AY297" s="27" t="s">
        <v>662</v>
      </c>
      <c r="AZ297" s="27"/>
      <c r="BA297" s="27"/>
      <c r="BB297" s="30"/>
      <c r="BC297" s="30"/>
      <c r="BD297" s="30"/>
      <c r="BE297" s="30"/>
      <c r="BF297" s="30"/>
      <c r="BG297" s="30"/>
      <c r="BH297" s="107"/>
      <c r="BI297" s="107"/>
      <c r="BJ297" s="107"/>
      <c r="BK297" s="107"/>
      <c r="BL297" s="136"/>
      <c r="BM297" s="122"/>
      <c r="BN297" s="138">
        <v>0</v>
      </c>
      <c r="BO297" s="93"/>
      <c r="BP297" s="93"/>
      <c r="BQ297" s="93"/>
      <c r="BR297" s="93"/>
      <c r="BS297" s="93"/>
      <c r="BT297" s="93"/>
      <c r="BU297" s="27">
        <f t="shared" si="277"/>
        <v>0</v>
      </c>
      <c r="BV297" s="27"/>
      <c r="BW297" s="27"/>
      <c r="BX297" s="27"/>
      <c r="BY297" s="27"/>
      <c r="BZ297" s="27"/>
      <c r="CA297" s="27"/>
      <c r="CB297" s="97"/>
      <c r="CC297" s="97">
        <v>5</v>
      </c>
      <c r="CD297" s="97">
        <v>25</v>
      </c>
      <c r="CE297" s="97">
        <v>50</v>
      </c>
      <c r="CF297" s="97">
        <v>100</v>
      </c>
      <c r="CG297" s="97">
        <v>100</v>
      </c>
      <c r="CH297" s="97">
        <v>100</v>
      </c>
      <c r="CI297" s="173"/>
      <c r="CJ297" s="173"/>
      <c r="CK297" s="173"/>
      <c r="CL297" s="173"/>
      <c r="CM297" s="173"/>
      <c r="CN297" s="173"/>
      <c r="CO297" s="173"/>
      <c r="CP297" s="174"/>
      <c r="CQ297" s="174"/>
      <c r="CR297" s="174"/>
      <c r="CS297" s="174"/>
      <c r="CT297" s="174"/>
      <c r="CU297" s="174"/>
      <c r="CV297" s="174"/>
      <c r="CW297" s="165"/>
      <c r="CX297" s="166"/>
      <c r="CY297" s="166"/>
      <c r="CZ297" s="166"/>
      <c r="DA297" s="166"/>
      <c r="DB297" s="166"/>
      <c r="DC297" s="166"/>
      <c r="DD297" s="171"/>
      <c r="DE297" s="171"/>
      <c r="DF297" s="171"/>
      <c r="DG297" s="171"/>
      <c r="DH297" s="171"/>
      <c r="DI297" s="171"/>
      <c r="DJ297" s="171"/>
      <c r="DK297" s="79" t="s">
        <v>1335</v>
      </c>
      <c r="DL297" s="128">
        <v>200</v>
      </c>
      <c r="DM297" s="128">
        <v>200</v>
      </c>
      <c r="DN297" s="128">
        <v>200</v>
      </c>
      <c r="DO297" s="128">
        <v>200</v>
      </c>
      <c r="DP297" s="128">
        <v>200</v>
      </c>
      <c r="DQ297" s="128">
        <v>200</v>
      </c>
      <c r="DR297" s="128">
        <v>200</v>
      </c>
      <c r="DS297" s="218"/>
      <c r="DT297" s="360"/>
      <c r="DU297" s="360"/>
      <c r="DV297" s="360"/>
      <c r="DW297" s="360"/>
      <c r="DX297" s="360"/>
      <c r="DY297" s="360"/>
      <c r="DZ297" s="360"/>
      <c r="EA297" s="360"/>
      <c r="EB297" s="360"/>
      <c r="EC297" s="360"/>
      <c r="ED297" s="360"/>
      <c r="EE297" s="360"/>
      <c r="EF297" s="360"/>
      <c r="EG297" s="360"/>
      <c r="EH297" s="360"/>
      <c r="EI297" s="360"/>
      <c r="EJ297" s="360"/>
      <c r="EK297" s="360"/>
      <c r="EL297" s="360"/>
      <c r="EM297" s="360"/>
      <c r="EN297" s="360"/>
      <c r="EO297" s="360"/>
      <c r="EP297" s="360"/>
      <c r="EQ297" s="360"/>
    </row>
    <row r="298" spans="1:147" x14ac:dyDescent="0.35">
      <c r="A298" s="6" t="s">
        <v>1393</v>
      </c>
      <c r="B298" s="6" t="s">
        <v>726</v>
      </c>
      <c r="C298" s="6" t="s">
        <v>788</v>
      </c>
      <c r="D298" s="6" t="s">
        <v>727</v>
      </c>
      <c r="E298" s="6" t="s">
        <v>459</v>
      </c>
      <c r="F298" s="6" t="s">
        <v>463</v>
      </c>
      <c r="G298" s="48" t="s">
        <v>1394</v>
      </c>
      <c r="H298" s="48" t="s">
        <v>981</v>
      </c>
      <c r="I298" s="102">
        <v>600</v>
      </c>
      <c r="J298" s="102">
        <v>600</v>
      </c>
      <c r="K298" s="102">
        <v>600</v>
      </c>
      <c r="L298" s="102">
        <v>600</v>
      </c>
      <c r="M298" s="102">
        <v>600</v>
      </c>
      <c r="N298" s="102">
        <v>600</v>
      </c>
      <c r="O298" s="102">
        <v>600</v>
      </c>
      <c r="P298" s="94">
        <v>0</v>
      </c>
      <c r="Q298" s="102">
        <v>60</v>
      </c>
      <c r="R298" s="102">
        <v>60</v>
      </c>
      <c r="S298" s="102">
        <v>60</v>
      </c>
      <c r="T298" s="102">
        <v>60</v>
      </c>
      <c r="U298" s="102">
        <v>60</v>
      </c>
      <c r="V298" s="102">
        <v>60</v>
      </c>
      <c r="W298" s="102">
        <v>60</v>
      </c>
      <c r="X298" s="102">
        <v>0</v>
      </c>
      <c r="Y298" s="102">
        <v>0</v>
      </c>
      <c r="Z298" s="102">
        <v>0</v>
      </c>
      <c r="AA298" s="102">
        <v>0</v>
      </c>
      <c r="AB298" s="102">
        <v>0</v>
      </c>
      <c r="AC298" s="102">
        <v>0</v>
      </c>
      <c r="AD298" s="102">
        <v>0</v>
      </c>
      <c r="AE298" s="186">
        <v>0.08</v>
      </c>
      <c r="AF298" s="94">
        <v>0</v>
      </c>
      <c r="AG298" s="94">
        <v>10</v>
      </c>
      <c r="AH298" s="94">
        <v>10</v>
      </c>
      <c r="AI298" s="17">
        <v>31.536000000000001</v>
      </c>
      <c r="AJ298" s="17" t="s">
        <v>982</v>
      </c>
      <c r="AK298" s="17" t="s">
        <v>732</v>
      </c>
      <c r="AL298" s="17"/>
      <c r="AM298" s="61" t="s">
        <v>463</v>
      </c>
      <c r="AN298" s="61" t="s">
        <v>494</v>
      </c>
      <c r="AO298" s="61">
        <v>0.95</v>
      </c>
      <c r="AP298" s="61" t="s">
        <v>766</v>
      </c>
      <c r="AQ298" s="61">
        <v>0.2</v>
      </c>
      <c r="AR298" s="61">
        <v>0.15</v>
      </c>
      <c r="AS298" s="64"/>
      <c r="AT298" s="64"/>
      <c r="AU298" s="64"/>
      <c r="AV298" s="132"/>
      <c r="AW298" s="132"/>
      <c r="AX298" s="132"/>
      <c r="AY298" s="28" t="s">
        <v>662</v>
      </c>
      <c r="AZ298" s="28"/>
      <c r="BA298" s="28"/>
      <c r="BB298" s="28"/>
      <c r="BC298" s="28"/>
      <c r="BD298" s="28"/>
      <c r="BE298" s="28"/>
      <c r="BF298" s="28"/>
      <c r="BG298" s="28"/>
      <c r="BH298" s="106"/>
      <c r="BI298" s="106"/>
      <c r="BJ298" s="106"/>
      <c r="BK298" s="106"/>
      <c r="BL298" s="137"/>
      <c r="BM298" s="123"/>
      <c r="BN298" s="139">
        <v>1.6</v>
      </c>
      <c r="BO298" s="94">
        <v>1</v>
      </c>
      <c r="BP298" s="94">
        <v>0.6</v>
      </c>
      <c r="BQ298" s="94"/>
      <c r="BR298" s="94"/>
      <c r="BS298" s="94"/>
      <c r="BT298" s="94"/>
      <c r="BU298" s="28">
        <f t="shared" si="277"/>
        <v>0</v>
      </c>
      <c r="BV298" s="28"/>
      <c r="BW298" s="28"/>
      <c r="BX298" s="28"/>
      <c r="BY298" s="28"/>
      <c r="BZ298" s="28"/>
      <c r="CA298" s="28"/>
      <c r="CB298" s="99">
        <v>1.7</v>
      </c>
      <c r="CC298" s="99">
        <v>3</v>
      </c>
      <c r="CD298" s="99">
        <v>3</v>
      </c>
      <c r="CE298" s="99">
        <v>3</v>
      </c>
      <c r="CF298" s="99">
        <v>3</v>
      </c>
      <c r="CG298" s="99">
        <v>3</v>
      </c>
      <c r="CH298" s="99">
        <v>3</v>
      </c>
      <c r="CI298" s="175"/>
      <c r="CJ298" s="175"/>
      <c r="CK298" s="175"/>
      <c r="CL298" s="175"/>
      <c r="CM298" s="175"/>
      <c r="CN298" s="175"/>
      <c r="CO298" s="175"/>
      <c r="CP298" s="176"/>
      <c r="CQ298" s="176"/>
      <c r="CR298" s="176"/>
      <c r="CS298" s="176"/>
      <c r="CT298" s="176"/>
      <c r="CU298" s="176"/>
      <c r="CV298" s="176"/>
      <c r="CW298" s="167"/>
      <c r="CX298" s="168"/>
      <c r="CY298" s="168"/>
      <c r="CZ298" s="168"/>
      <c r="DA298" s="168"/>
      <c r="DB298" s="168"/>
      <c r="DC298" s="168"/>
      <c r="DD298" s="172"/>
      <c r="DE298" s="172"/>
      <c r="DF298" s="172"/>
      <c r="DG298" s="172"/>
      <c r="DH298" s="172"/>
      <c r="DI298" s="172"/>
      <c r="DJ298" s="172"/>
      <c r="DK298" s="80" t="s">
        <v>452</v>
      </c>
      <c r="DL298" s="129">
        <v>100</v>
      </c>
      <c r="DM298" s="129">
        <v>100</v>
      </c>
      <c r="DN298" s="129">
        <v>100</v>
      </c>
      <c r="DO298" s="129">
        <v>100</v>
      </c>
      <c r="DP298" s="129">
        <v>100</v>
      </c>
      <c r="DQ298" s="129">
        <v>100</v>
      </c>
      <c r="DR298" s="129">
        <v>100</v>
      </c>
      <c r="DS298" s="218"/>
      <c r="DT298" s="360"/>
      <c r="DU298" s="360"/>
      <c r="DV298" s="360"/>
      <c r="DW298" s="360"/>
      <c r="DX298" s="360"/>
      <c r="DY298" s="360"/>
      <c r="DZ298" s="360"/>
      <c r="EA298" s="360"/>
      <c r="EB298" s="360"/>
      <c r="EC298" s="360"/>
      <c r="ED298" s="360"/>
      <c r="EE298" s="360"/>
      <c r="EF298" s="360"/>
      <c r="EG298" s="360"/>
      <c r="EH298" s="360"/>
      <c r="EI298" s="360"/>
      <c r="EJ298" s="360"/>
      <c r="EK298" s="360"/>
      <c r="EL298" s="360"/>
      <c r="EM298" s="360"/>
      <c r="EN298" s="360"/>
      <c r="EO298" s="360"/>
      <c r="EP298" s="360"/>
      <c r="EQ298" s="360"/>
    </row>
    <row r="299" spans="1:147" x14ac:dyDescent="0.35">
      <c r="A299" s="5" t="s">
        <v>1395</v>
      </c>
      <c r="B299" s="5" t="s">
        <v>726</v>
      </c>
      <c r="C299" s="5" t="s">
        <v>788</v>
      </c>
      <c r="D299" s="5" t="s">
        <v>727</v>
      </c>
      <c r="E299" s="5" t="s">
        <v>459</v>
      </c>
      <c r="F299" s="5" t="s">
        <v>463</v>
      </c>
      <c r="G299" s="47" t="s">
        <v>1396</v>
      </c>
      <c r="H299" s="47" t="s">
        <v>981</v>
      </c>
      <c r="I299" s="101">
        <v>40</v>
      </c>
      <c r="J299" s="101">
        <v>40</v>
      </c>
      <c r="K299" s="101">
        <v>40</v>
      </c>
      <c r="L299" s="101">
        <v>40</v>
      </c>
      <c r="M299" s="101">
        <v>40</v>
      </c>
      <c r="N299" s="101">
        <v>40</v>
      </c>
      <c r="O299" s="101">
        <v>40</v>
      </c>
      <c r="P299" s="93">
        <v>0</v>
      </c>
      <c r="Q299" s="101">
        <v>2</v>
      </c>
      <c r="R299" s="101">
        <v>2</v>
      </c>
      <c r="S299" s="101">
        <v>2</v>
      </c>
      <c r="T299" s="101">
        <v>2</v>
      </c>
      <c r="U299" s="101">
        <v>2</v>
      </c>
      <c r="V299" s="101">
        <v>2</v>
      </c>
      <c r="W299" s="101">
        <v>2</v>
      </c>
      <c r="X299" s="101">
        <v>0</v>
      </c>
      <c r="Y299" s="101">
        <v>0</v>
      </c>
      <c r="Z299" s="101">
        <v>0</v>
      </c>
      <c r="AA299" s="101">
        <v>0</v>
      </c>
      <c r="AB299" s="101">
        <v>0</v>
      </c>
      <c r="AC299" s="101">
        <v>0</v>
      </c>
      <c r="AD299" s="101">
        <v>0</v>
      </c>
      <c r="AE299" s="186">
        <v>0.08</v>
      </c>
      <c r="AF299" s="93">
        <v>0</v>
      </c>
      <c r="AG299" s="93">
        <v>10</v>
      </c>
      <c r="AH299" s="93">
        <v>10</v>
      </c>
      <c r="AI299" s="16">
        <v>31.536000000000001</v>
      </c>
      <c r="AJ299" s="16" t="s">
        <v>660</v>
      </c>
      <c r="AK299" s="16" t="s">
        <v>732</v>
      </c>
      <c r="AL299" s="16"/>
      <c r="AM299" s="60"/>
      <c r="AN299" s="60"/>
      <c r="AO299" s="60"/>
      <c r="AP299" s="60"/>
      <c r="AQ299" s="60"/>
      <c r="AR299" s="60"/>
      <c r="AS299" s="63"/>
      <c r="AT299" s="63"/>
      <c r="AU299" s="63"/>
      <c r="AV299" s="131"/>
      <c r="AW299" s="131"/>
      <c r="AX299" s="131"/>
      <c r="AY299" s="27" t="s">
        <v>662</v>
      </c>
      <c r="AZ299" s="27"/>
      <c r="BA299" s="27"/>
      <c r="BB299" s="30"/>
      <c r="BC299" s="30"/>
      <c r="BD299" s="30"/>
      <c r="BE299" s="30"/>
      <c r="BF299" s="30"/>
      <c r="BG299" s="30"/>
      <c r="BH299" s="107"/>
      <c r="BI299" s="107"/>
      <c r="BJ299" s="107"/>
      <c r="BK299" s="107"/>
      <c r="BL299" s="136"/>
      <c r="BM299" s="122"/>
      <c r="BN299" s="138">
        <v>1</v>
      </c>
      <c r="BO299" s="93">
        <v>0.5</v>
      </c>
      <c r="BP299" s="93">
        <v>0.5</v>
      </c>
      <c r="BQ299" s="93"/>
      <c r="BR299" s="93"/>
      <c r="BS299" s="93"/>
      <c r="BT299" s="93"/>
      <c r="BU299" s="27">
        <f t="shared" si="277"/>
        <v>0</v>
      </c>
      <c r="BV299" s="27"/>
      <c r="BW299" s="27"/>
      <c r="BX299" s="27"/>
      <c r="BY299" s="27"/>
      <c r="BZ299" s="27"/>
      <c r="CA299" s="27"/>
      <c r="CB299" s="97">
        <v>1</v>
      </c>
      <c r="CC299" s="97">
        <v>1.5</v>
      </c>
      <c r="CD299" s="97">
        <v>3</v>
      </c>
      <c r="CE299" s="97">
        <v>3</v>
      </c>
      <c r="CF299" s="97">
        <v>3</v>
      </c>
      <c r="CG299" s="97">
        <v>3</v>
      </c>
      <c r="CH299" s="97">
        <v>3</v>
      </c>
      <c r="CI299" s="173"/>
      <c r="CJ299" s="173"/>
      <c r="CK299" s="173"/>
      <c r="CL299" s="173"/>
      <c r="CM299" s="173"/>
      <c r="CN299" s="173"/>
      <c r="CO299" s="173"/>
      <c r="CP299" s="174"/>
      <c r="CQ299" s="174"/>
      <c r="CR299" s="174"/>
      <c r="CS299" s="174"/>
      <c r="CT299" s="174"/>
      <c r="CU299" s="174"/>
      <c r="CV299" s="174"/>
      <c r="CW299" s="165"/>
      <c r="CX299" s="166"/>
      <c r="CY299" s="166"/>
      <c r="CZ299" s="166"/>
      <c r="DA299" s="166"/>
      <c r="DB299" s="166"/>
      <c r="DC299" s="166"/>
      <c r="DD299" s="171"/>
      <c r="DE299" s="171"/>
      <c r="DF299" s="171"/>
      <c r="DG299" s="171"/>
      <c r="DH299" s="171"/>
      <c r="DI299" s="171"/>
      <c r="DJ299" s="171"/>
      <c r="DK299" s="79" t="s">
        <v>452</v>
      </c>
      <c r="DL299" s="128">
        <v>100</v>
      </c>
      <c r="DM299" s="128">
        <v>100</v>
      </c>
      <c r="DN299" s="128">
        <v>100</v>
      </c>
      <c r="DO299" s="128">
        <v>100</v>
      </c>
      <c r="DP299" s="128">
        <v>100</v>
      </c>
      <c r="DQ299" s="128">
        <v>100</v>
      </c>
      <c r="DR299" s="128">
        <v>100</v>
      </c>
      <c r="DS299" s="218"/>
      <c r="DT299" s="360"/>
      <c r="DU299" s="360"/>
      <c r="DV299" s="360"/>
      <c r="DW299" s="360"/>
      <c r="DX299" s="360"/>
      <c r="DY299" s="360"/>
      <c r="DZ299" s="360"/>
      <c r="EA299" s="360"/>
      <c r="EB299" s="360"/>
      <c r="EC299" s="360"/>
      <c r="ED299" s="360"/>
      <c r="EE299" s="360"/>
      <c r="EF299" s="360"/>
      <c r="EG299" s="360"/>
      <c r="EH299" s="360"/>
      <c r="EI299" s="360"/>
      <c r="EJ299" s="360"/>
      <c r="EK299" s="360"/>
      <c r="EL299" s="360"/>
      <c r="EM299" s="360"/>
      <c r="EN299" s="360"/>
      <c r="EO299" s="360"/>
      <c r="EP299" s="360"/>
      <c r="EQ299" s="360"/>
    </row>
    <row r="300" spans="1:147" x14ac:dyDescent="0.35">
      <c r="A300" s="6" t="s">
        <v>1397</v>
      </c>
      <c r="B300" s="6" t="s">
        <v>726</v>
      </c>
      <c r="C300" s="6" t="s">
        <v>788</v>
      </c>
      <c r="D300" s="6" t="s">
        <v>727</v>
      </c>
      <c r="E300" s="6" t="s">
        <v>459</v>
      </c>
      <c r="F300" s="6" t="s">
        <v>463</v>
      </c>
      <c r="G300" s="48" t="s">
        <v>1398</v>
      </c>
      <c r="H300" s="48" t="s">
        <v>981</v>
      </c>
      <c r="I300" s="102">
        <v>1100</v>
      </c>
      <c r="J300" s="102">
        <v>1100</v>
      </c>
      <c r="K300" s="102">
        <v>1100</v>
      </c>
      <c r="L300" s="102">
        <v>1100</v>
      </c>
      <c r="M300" s="102">
        <v>1100</v>
      </c>
      <c r="N300" s="102">
        <v>1100</v>
      </c>
      <c r="O300" s="102">
        <v>1100</v>
      </c>
      <c r="P300" s="94">
        <v>0</v>
      </c>
      <c r="Q300" s="102">
        <v>30</v>
      </c>
      <c r="R300" s="102">
        <v>30</v>
      </c>
      <c r="S300" s="102">
        <v>30</v>
      </c>
      <c r="T300" s="102">
        <v>30</v>
      </c>
      <c r="U300" s="102">
        <v>30</v>
      </c>
      <c r="V300" s="102">
        <v>30</v>
      </c>
      <c r="W300" s="102">
        <v>30</v>
      </c>
      <c r="X300" s="102">
        <v>0</v>
      </c>
      <c r="Y300" s="102">
        <v>0</v>
      </c>
      <c r="Z300" s="102">
        <v>0</v>
      </c>
      <c r="AA300" s="102">
        <v>0</v>
      </c>
      <c r="AB300" s="102">
        <v>0</v>
      </c>
      <c r="AC300" s="102">
        <v>0</v>
      </c>
      <c r="AD300" s="102">
        <v>0</v>
      </c>
      <c r="AE300" s="186">
        <v>0.08</v>
      </c>
      <c r="AF300" s="94">
        <v>0</v>
      </c>
      <c r="AG300" s="94">
        <v>35</v>
      </c>
      <c r="AH300" s="94">
        <v>35</v>
      </c>
      <c r="AI300" s="17">
        <v>31.536000000000001</v>
      </c>
      <c r="AJ300" s="17" t="s">
        <v>660</v>
      </c>
      <c r="AK300" s="17" t="s">
        <v>732</v>
      </c>
      <c r="AL300" s="17"/>
      <c r="AM300" s="61"/>
      <c r="AN300" s="61"/>
      <c r="AO300" s="61"/>
      <c r="AP300" s="61"/>
      <c r="AQ300" s="61"/>
      <c r="AR300" s="61"/>
      <c r="AS300" s="64"/>
      <c r="AT300" s="64"/>
      <c r="AU300" s="64"/>
      <c r="AV300" s="132"/>
      <c r="AW300" s="132"/>
      <c r="AX300" s="132"/>
      <c r="AY300" s="28" t="s">
        <v>662</v>
      </c>
      <c r="AZ300" s="28"/>
      <c r="BA300" s="28"/>
      <c r="BB300" s="28"/>
      <c r="BC300" s="28"/>
      <c r="BD300" s="28"/>
      <c r="BE300" s="28"/>
      <c r="BF300" s="28"/>
      <c r="BG300" s="28"/>
      <c r="BH300" s="106"/>
      <c r="BI300" s="106"/>
      <c r="BJ300" s="106"/>
      <c r="BK300" s="106"/>
      <c r="BL300" s="137"/>
      <c r="BM300" s="123"/>
      <c r="BN300" s="139">
        <v>0.2</v>
      </c>
      <c r="BO300" s="94"/>
      <c r="BP300" s="94"/>
      <c r="BQ300" s="94"/>
      <c r="BR300" s="94"/>
      <c r="BS300" s="94"/>
      <c r="BT300" s="94">
        <v>0.2</v>
      </c>
      <c r="BU300" s="28">
        <f t="shared" si="277"/>
        <v>0</v>
      </c>
      <c r="BV300" s="28"/>
      <c r="BW300" s="28"/>
      <c r="BX300" s="28"/>
      <c r="BY300" s="28"/>
      <c r="BZ300" s="28"/>
      <c r="CA300" s="28"/>
      <c r="CB300" s="99">
        <v>0.2</v>
      </c>
      <c r="CC300" s="99">
        <v>1.5</v>
      </c>
      <c r="CD300" s="99">
        <v>3</v>
      </c>
      <c r="CE300" s="99">
        <v>3</v>
      </c>
      <c r="CF300" s="99">
        <v>3</v>
      </c>
      <c r="CG300" s="99">
        <v>3</v>
      </c>
      <c r="CH300" s="99">
        <v>3</v>
      </c>
      <c r="CI300" s="175"/>
      <c r="CJ300" s="175"/>
      <c r="CK300" s="175"/>
      <c r="CL300" s="175"/>
      <c r="CM300" s="175"/>
      <c r="CN300" s="175"/>
      <c r="CO300" s="175"/>
      <c r="CP300" s="176"/>
      <c r="CQ300" s="176"/>
      <c r="CR300" s="176"/>
      <c r="CS300" s="176"/>
      <c r="CT300" s="176"/>
      <c r="CU300" s="176"/>
      <c r="CV300" s="176"/>
      <c r="CW300" s="167"/>
      <c r="CX300" s="168"/>
      <c r="CY300" s="168"/>
      <c r="CZ300" s="168"/>
      <c r="DA300" s="168"/>
      <c r="DB300" s="168"/>
      <c r="DC300" s="168"/>
      <c r="DD300" s="172"/>
      <c r="DE300" s="172"/>
      <c r="DF300" s="172"/>
      <c r="DG300" s="172"/>
      <c r="DH300" s="172"/>
      <c r="DI300" s="172"/>
      <c r="DJ300" s="172"/>
      <c r="DK300" s="80" t="s">
        <v>452</v>
      </c>
      <c r="DL300" s="129">
        <v>100</v>
      </c>
      <c r="DM300" s="129">
        <v>100</v>
      </c>
      <c r="DN300" s="129">
        <v>100</v>
      </c>
      <c r="DO300" s="129">
        <v>100</v>
      </c>
      <c r="DP300" s="129">
        <v>100</v>
      </c>
      <c r="DQ300" s="129">
        <v>100</v>
      </c>
      <c r="DR300" s="129">
        <v>100</v>
      </c>
      <c r="DS300" s="218"/>
      <c r="DT300" s="360"/>
      <c r="DU300" s="360"/>
      <c r="DV300" s="360"/>
      <c r="DW300" s="360"/>
      <c r="DX300" s="360"/>
      <c r="DY300" s="360"/>
      <c r="DZ300" s="360"/>
      <c r="EA300" s="360"/>
      <c r="EB300" s="360"/>
      <c r="EC300" s="360"/>
      <c r="ED300" s="360"/>
      <c r="EE300" s="360"/>
      <c r="EF300" s="360"/>
      <c r="EG300" s="360"/>
      <c r="EH300" s="360"/>
      <c r="EI300" s="360"/>
      <c r="EJ300" s="360"/>
      <c r="EK300" s="360"/>
      <c r="EL300" s="360"/>
      <c r="EM300" s="360"/>
      <c r="EN300" s="360"/>
      <c r="EO300" s="360"/>
      <c r="EP300" s="360"/>
      <c r="EQ300" s="360"/>
    </row>
    <row r="301" spans="1:147" x14ac:dyDescent="0.35">
      <c r="A301" s="5" t="s">
        <v>1399</v>
      </c>
      <c r="B301" s="5" t="s">
        <v>726</v>
      </c>
      <c r="C301" s="5" t="s">
        <v>788</v>
      </c>
      <c r="D301" s="5" t="s">
        <v>727</v>
      </c>
      <c r="E301" s="5" t="s">
        <v>459</v>
      </c>
      <c r="F301" s="5" t="s">
        <v>463</v>
      </c>
      <c r="G301" s="47" t="s">
        <v>1400</v>
      </c>
      <c r="H301" s="47" t="s">
        <v>981</v>
      </c>
      <c r="I301" s="101">
        <v>900</v>
      </c>
      <c r="J301" s="101">
        <v>900</v>
      </c>
      <c r="K301" s="101">
        <v>900</v>
      </c>
      <c r="L301" s="101">
        <v>900</v>
      </c>
      <c r="M301" s="101">
        <v>900</v>
      </c>
      <c r="N301" s="101">
        <v>900</v>
      </c>
      <c r="O301" s="101">
        <v>900</v>
      </c>
      <c r="P301" s="93">
        <v>0</v>
      </c>
      <c r="Q301" s="101">
        <v>30</v>
      </c>
      <c r="R301" s="101">
        <v>30</v>
      </c>
      <c r="S301" s="101">
        <v>30</v>
      </c>
      <c r="T301" s="101">
        <v>30</v>
      </c>
      <c r="U301" s="101">
        <v>30</v>
      </c>
      <c r="V301" s="101">
        <v>30</v>
      </c>
      <c r="W301" s="101">
        <v>30</v>
      </c>
      <c r="X301" s="101">
        <v>0</v>
      </c>
      <c r="Y301" s="101">
        <v>0</v>
      </c>
      <c r="Z301" s="101">
        <v>0</v>
      </c>
      <c r="AA301" s="101">
        <v>0</v>
      </c>
      <c r="AB301" s="101">
        <v>0</v>
      </c>
      <c r="AC301" s="101">
        <v>0</v>
      </c>
      <c r="AD301" s="101">
        <v>0</v>
      </c>
      <c r="AE301" s="186">
        <v>0.08</v>
      </c>
      <c r="AF301" s="93">
        <v>0</v>
      </c>
      <c r="AG301" s="93">
        <v>20</v>
      </c>
      <c r="AH301" s="93">
        <v>20</v>
      </c>
      <c r="AI301" s="16">
        <v>31.536000000000001</v>
      </c>
      <c r="AJ301" s="16" t="s">
        <v>660</v>
      </c>
      <c r="AK301" s="16" t="s">
        <v>732</v>
      </c>
      <c r="AL301" s="16"/>
      <c r="AM301" s="60"/>
      <c r="AN301" s="60"/>
      <c r="AO301" s="60"/>
      <c r="AP301" s="60"/>
      <c r="AQ301" s="60"/>
      <c r="AR301" s="60"/>
      <c r="AS301" s="63"/>
      <c r="AT301" s="63"/>
      <c r="AU301" s="63"/>
      <c r="AV301" s="131"/>
      <c r="AW301" s="131"/>
      <c r="AX301" s="131"/>
      <c r="AY301" s="27" t="s">
        <v>662</v>
      </c>
      <c r="AZ301" s="27"/>
      <c r="BA301" s="27"/>
      <c r="BB301" s="30"/>
      <c r="BC301" s="30"/>
      <c r="BD301" s="30"/>
      <c r="BE301" s="30"/>
      <c r="BF301" s="30"/>
      <c r="BG301" s="30"/>
      <c r="BH301" s="107"/>
      <c r="BI301" s="107"/>
      <c r="BJ301" s="107"/>
      <c r="BK301" s="107"/>
      <c r="BL301" s="136"/>
      <c r="BM301" s="122"/>
      <c r="BN301" s="138">
        <v>0.01</v>
      </c>
      <c r="BO301" s="93"/>
      <c r="BP301" s="93"/>
      <c r="BQ301" s="93"/>
      <c r="BR301" s="93">
        <v>0.01</v>
      </c>
      <c r="BS301" s="93"/>
      <c r="BT301" s="93"/>
      <c r="BU301" s="27">
        <f t="shared" si="277"/>
        <v>0</v>
      </c>
      <c r="BV301" s="27"/>
      <c r="BW301" s="27"/>
      <c r="BX301" s="27"/>
      <c r="BY301" s="27"/>
      <c r="BZ301" s="27"/>
      <c r="CA301" s="27"/>
      <c r="CB301" s="97">
        <v>0.01</v>
      </c>
      <c r="CC301" s="97">
        <v>1.5</v>
      </c>
      <c r="CD301" s="97">
        <v>3</v>
      </c>
      <c r="CE301" s="97">
        <v>3</v>
      </c>
      <c r="CF301" s="97">
        <v>3</v>
      </c>
      <c r="CG301" s="97">
        <v>3</v>
      </c>
      <c r="CH301" s="97">
        <v>3</v>
      </c>
      <c r="CI301" s="173"/>
      <c r="CJ301" s="173"/>
      <c r="CK301" s="173"/>
      <c r="CL301" s="173"/>
      <c r="CM301" s="173"/>
      <c r="CN301" s="173"/>
      <c r="CO301" s="173"/>
      <c r="CP301" s="174"/>
      <c r="CQ301" s="174"/>
      <c r="CR301" s="174"/>
      <c r="CS301" s="174"/>
      <c r="CT301" s="174"/>
      <c r="CU301" s="174"/>
      <c r="CV301" s="174"/>
      <c r="CW301" s="165"/>
      <c r="CX301" s="166"/>
      <c r="CY301" s="166"/>
      <c r="CZ301" s="166"/>
      <c r="DA301" s="166"/>
      <c r="DB301" s="166"/>
      <c r="DC301" s="166"/>
      <c r="DD301" s="171"/>
      <c r="DE301" s="171"/>
      <c r="DF301" s="171"/>
      <c r="DG301" s="171"/>
      <c r="DH301" s="171"/>
      <c r="DI301" s="171"/>
      <c r="DJ301" s="171"/>
      <c r="DK301" s="79" t="s">
        <v>452</v>
      </c>
      <c r="DL301" s="128">
        <v>100</v>
      </c>
      <c r="DM301" s="128">
        <v>100</v>
      </c>
      <c r="DN301" s="128">
        <v>100</v>
      </c>
      <c r="DO301" s="128">
        <v>100</v>
      </c>
      <c r="DP301" s="128">
        <v>100</v>
      </c>
      <c r="DQ301" s="128">
        <v>100</v>
      </c>
      <c r="DR301" s="128">
        <v>100</v>
      </c>
      <c r="DS301" s="218"/>
      <c r="DT301" s="360"/>
      <c r="DU301" s="360"/>
      <c r="DV301" s="360"/>
      <c r="DW301" s="360"/>
      <c r="DX301" s="360"/>
      <c r="DY301" s="360"/>
      <c r="DZ301" s="360"/>
      <c r="EA301" s="360"/>
      <c r="EB301" s="360"/>
      <c r="EC301" s="360"/>
      <c r="ED301" s="360"/>
      <c r="EE301" s="360"/>
      <c r="EF301" s="360"/>
      <c r="EG301" s="360"/>
      <c r="EH301" s="360"/>
      <c r="EI301" s="360"/>
      <c r="EJ301" s="360"/>
      <c r="EK301" s="360"/>
      <c r="EL301" s="360"/>
      <c r="EM301" s="360"/>
      <c r="EN301" s="360"/>
      <c r="EO301" s="360"/>
      <c r="EP301" s="360"/>
      <c r="EQ301" s="360"/>
    </row>
    <row r="302" spans="1:147" x14ac:dyDescent="0.35">
      <c r="A302" s="6" t="s">
        <v>1401</v>
      </c>
      <c r="B302" s="6" t="s">
        <v>726</v>
      </c>
      <c r="C302" s="6" t="s">
        <v>788</v>
      </c>
      <c r="D302" s="6" t="s">
        <v>727</v>
      </c>
      <c r="E302" s="6" t="s">
        <v>459</v>
      </c>
      <c r="F302" s="6" t="s">
        <v>463</v>
      </c>
      <c r="G302" s="48" t="s">
        <v>1402</v>
      </c>
      <c r="H302" s="48" t="s">
        <v>981</v>
      </c>
      <c r="I302" s="102">
        <v>500</v>
      </c>
      <c r="J302" s="102">
        <v>500</v>
      </c>
      <c r="K302" s="102">
        <v>500</v>
      </c>
      <c r="L302" s="102">
        <v>500</v>
      </c>
      <c r="M302" s="102">
        <v>500</v>
      </c>
      <c r="N302" s="102">
        <v>500</v>
      </c>
      <c r="O302" s="102">
        <v>500</v>
      </c>
      <c r="P302" s="94">
        <v>0</v>
      </c>
      <c r="Q302" s="102">
        <v>20</v>
      </c>
      <c r="R302" s="102">
        <v>20</v>
      </c>
      <c r="S302" s="102">
        <v>20</v>
      </c>
      <c r="T302" s="102">
        <v>20</v>
      </c>
      <c r="U302" s="102">
        <v>20</v>
      </c>
      <c r="V302" s="102">
        <v>20</v>
      </c>
      <c r="W302" s="102">
        <v>20</v>
      </c>
      <c r="X302" s="102">
        <v>0</v>
      </c>
      <c r="Y302" s="102">
        <v>0</v>
      </c>
      <c r="Z302" s="102">
        <v>0</v>
      </c>
      <c r="AA302" s="102">
        <v>0</v>
      </c>
      <c r="AB302" s="102">
        <v>0</v>
      </c>
      <c r="AC302" s="102">
        <v>0</v>
      </c>
      <c r="AD302" s="102">
        <v>0</v>
      </c>
      <c r="AE302" s="186">
        <v>0.08</v>
      </c>
      <c r="AF302" s="94">
        <v>0</v>
      </c>
      <c r="AG302" s="94">
        <v>10</v>
      </c>
      <c r="AH302" s="94">
        <v>10</v>
      </c>
      <c r="AI302" s="17">
        <v>31.536000000000001</v>
      </c>
      <c r="AJ302" s="17" t="s">
        <v>660</v>
      </c>
      <c r="AK302" s="17" t="s">
        <v>732</v>
      </c>
      <c r="AL302" s="17"/>
      <c r="AM302" s="61"/>
      <c r="AN302" s="61"/>
      <c r="AO302" s="61"/>
      <c r="AP302" s="61"/>
      <c r="AQ302" s="61"/>
      <c r="AR302" s="61"/>
      <c r="AS302" s="64"/>
      <c r="AT302" s="64"/>
      <c r="AU302" s="64"/>
      <c r="AV302" s="132"/>
      <c r="AW302" s="132"/>
      <c r="AX302" s="132"/>
      <c r="AY302" s="28" t="s">
        <v>662</v>
      </c>
      <c r="AZ302" s="28"/>
      <c r="BA302" s="28"/>
      <c r="BB302" s="28"/>
      <c r="BC302" s="28"/>
      <c r="BD302" s="28"/>
      <c r="BE302" s="28"/>
      <c r="BF302" s="28"/>
      <c r="BG302" s="28"/>
      <c r="BH302" s="106"/>
      <c r="BI302" s="106"/>
      <c r="BJ302" s="106"/>
      <c r="BK302" s="106"/>
      <c r="BL302" s="137"/>
      <c r="BM302" s="123"/>
      <c r="BN302" s="139">
        <v>0.2</v>
      </c>
      <c r="BO302" s="94">
        <v>0.1</v>
      </c>
      <c r="BP302" s="94">
        <v>0.1</v>
      </c>
      <c r="BQ302" s="94"/>
      <c r="BR302" s="94"/>
      <c r="BS302" s="94"/>
      <c r="BT302" s="94"/>
      <c r="BU302" s="28">
        <f t="shared" si="277"/>
        <v>0</v>
      </c>
      <c r="BV302" s="28"/>
      <c r="BW302" s="28"/>
      <c r="BX302" s="28"/>
      <c r="BY302" s="28"/>
      <c r="BZ302" s="28"/>
      <c r="CA302" s="28"/>
      <c r="CB302" s="99">
        <v>0.2</v>
      </c>
      <c r="CC302" s="99">
        <v>1.5</v>
      </c>
      <c r="CD302" s="99">
        <v>3</v>
      </c>
      <c r="CE302" s="99">
        <v>3</v>
      </c>
      <c r="CF302" s="99">
        <v>3</v>
      </c>
      <c r="CG302" s="99">
        <v>3</v>
      </c>
      <c r="CH302" s="99">
        <v>3</v>
      </c>
      <c r="CI302" s="175"/>
      <c r="CJ302" s="175"/>
      <c r="CK302" s="175"/>
      <c r="CL302" s="175"/>
      <c r="CM302" s="175"/>
      <c r="CN302" s="175"/>
      <c r="CO302" s="175"/>
      <c r="CP302" s="176"/>
      <c r="CQ302" s="176"/>
      <c r="CR302" s="176"/>
      <c r="CS302" s="176"/>
      <c r="CT302" s="176"/>
      <c r="CU302" s="176"/>
      <c r="CV302" s="176"/>
      <c r="CW302" s="167"/>
      <c r="CX302" s="168"/>
      <c r="CY302" s="168"/>
      <c r="CZ302" s="168"/>
      <c r="DA302" s="168"/>
      <c r="DB302" s="168"/>
      <c r="DC302" s="168"/>
      <c r="DD302" s="172"/>
      <c r="DE302" s="172"/>
      <c r="DF302" s="172"/>
      <c r="DG302" s="172"/>
      <c r="DH302" s="172"/>
      <c r="DI302" s="172"/>
      <c r="DJ302" s="172"/>
      <c r="DK302" s="80" t="s">
        <v>452</v>
      </c>
      <c r="DL302" s="129">
        <v>100</v>
      </c>
      <c r="DM302" s="129">
        <v>100</v>
      </c>
      <c r="DN302" s="129">
        <v>100</v>
      </c>
      <c r="DO302" s="129">
        <v>100</v>
      </c>
      <c r="DP302" s="129">
        <v>100</v>
      </c>
      <c r="DQ302" s="129">
        <v>100</v>
      </c>
      <c r="DR302" s="129">
        <v>100</v>
      </c>
      <c r="DS302" s="218"/>
      <c r="DT302" s="360"/>
      <c r="DU302" s="360"/>
      <c r="DV302" s="360"/>
      <c r="DW302" s="360"/>
      <c r="DX302" s="360"/>
      <c r="DY302" s="360"/>
      <c r="DZ302" s="360"/>
      <c r="EA302" s="360"/>
      <c r="EB302" s="360"/>
      <c r="EC302" s="360"/>
      <c r="ED302" s="360"/>
      <c r="EE302" s="360"/>
      <c r="EF302" s="360"/>
      <c r="EG302" s="360"/>
      <c r="EH302" s="360"/>
      <c r="EI302" s="360"/>
      <c r="EJ302" s="360"/>
      <c r="EK302" s="360"/>
      <c r="EL302" s="360"/>
      <c r="EM302" s="360"/>
      <c r="EN302" s="360"/>
      <c r="EO302" s="360"/>
      <c r="EP302" s="360"/>
      <c r="EQ302" s="360"/>
    </row>
    <row r="303" spans="1:147" x14ac:dyDescent="0.35">
      <c r="A303" s="5" t="s">
        <v>1403</v>
      </c>
      <c r="B303" s="5" t="s">
        <v>726</v>
      </c>
      <c r="C303" s="5" t="s">
        <v>788</v>
      </c>
      <c r="D303" s="5" t="s">
        <v>727</v>
      </c>
      <c r="E303" s="5" t="s">
        <v>459</v>
      </c>
      <c r="F303" s="5" t="s">
        <v>463</v>
      </c>
      <c r="G303" s="47" t="s">
        <v>1404</v>
      </c>
      <c r="H303" s="47" t="s">
        <v>981</v>
      </c>
      <c r="I303" s="101">
        <v>90</v>
      </c>
      <c r="J303" s="101">
        <v>85</v>
      </c>
      <c r="K303" s="101">
        <v>80</v>
      </c>
      <c r="L303" s="101">
        <v>75</v>
      </c>
      <c r="M303" s="101">
        <v>70</v>
      </c>
      <c r="N303" s="101">
        <v>65</v>
      </c>
      <c r="O303" s="101">
        <v>60</v>
      </c>
      <c r="P303" s="93">
        <v>0</v>
      </c>
      <c r="Q303" s="101">
        <v>5</v>
      </c>
      <c r="R303" s="101">
        <v>5</v>
      </c>
      <c r="S303" s="101">
        <v>5</v>
      </c>
      <c r="T303" s="101">
        <v>5</v>
      </c>
      <c r="U303" s="101">
        <v>5</v>
      </c>
      <c r="V303" s="101">
        <v>5</v>
      </c>
      <c r="W303" s="101">
        <v>5</v>
      </c>
      <c r="X303" s="101">
        <v>0</v>
      </c>
      <c r="Y303" s="101">
        <v>0</v>
      </c>
      <c r="Z303" s="101">
        <v>0</v>
      </c>
      <c r="AA303" s="101">
        <v>0</v>
      </c>
      <c r="AB303" s="101">
        <v>0</v>
      </c>
      <c r="AC303" s="101">
        <v>0</v>
      </c>
      <c r="AD303" s="101">
        <v>0</v>
      </c>
      <c r="AE303" s="186">
        <v>0.08</v>
      </c>
      <c r="AF303" s="93">
        <v>0</v>
      </c>
      <c r="AG303" s="93">
        <v>10</v>
      </c>
      <c r="AH303" s="93">
        <v>10</v>
      </c>
      <c r="AI303" s="16">
        <v>31.536000000000001</v>
      </c>
      <c r="AJ303" s="16" t="s">
        <v>660</v>
      </c>
      <c r="AK303" s="16" t="s">
        <v>732</v>
      </c>
      <c r="AL303" s="16"/>
      <c r="AM303" s="60"/>
      <c r="AN303" s="60"/>
      <c r="AO303" s="60"/>
      <c r="AP303" s="60"/>
      <c r="AQ303" s="60"/>
      <c r="AR303" s="60"/>
      <c r="AS303" s="63"/>
      <c r="AT303" s="63"/>
      <c r="AU303" s="63"/>
      <c r="AV303" s="131"/>
      <c r="AW303" s="131"/>
      <c r="AX303" s="131"/>
      <c r="AY303" s="27" t="s">
        <v>662</v>
      </c>
      <c r="AZ303" s="27"/>
      <c r="BA303" s="27"/>
      <c r="BB303" s="30"/>
      <c r="BC303" s="30"/>
      <c r="BD303" s="30"/>
      <c r="BE303" s="30"/>
      <c r="BF303" s="30"/>
      <c r="BG303" s="30"/>
      <c r="BH303" s="107"/>
      <c r="BI303" s="107"/>
      <c r="BJ303" s="107"/>
      <c r="BK303" s="107"/>
      <c r="BL303" s="136"/>
      <c r="BM303" s="122"/>
      <c r="BN303" s="138">
        <v>0</v>
      </c>
      <c r="BO303" s="93"/>
      <c r="BP303" s="93"/>
      <c r="BQ303" s="93"/>
      <c r="BR303" s="93"/>
      <c r="BS303" s="93"/>
      <c r="BT303" s="93"/>
      <c r="BU303" s="27">
        <f t="shared" ref="BU303:BU304" si="279">IF(BL303=1,BN303,0)</f>
        <v>0</v>
      </c>
      <c r="BV303" s="27"/>
      <c r="BW303" s="27"/>
      <c r="BX303" s="27"/>
      <c r="BY303" s="27"/>
      <c r="BZ303" s="27"/>
      <c r="CA303" s="27"/>
      <c r="CB303" s="97"/>
      <c r="CC303" s="97">
        <v>1.5</v>
      </c>
      <c r="CD303" s="97">
        <v>3</v>
      </c>
      <c r="CE303" s="97">
        <v>3</v>
      </c>
      <c r="CF303" s="97">
        <v>3</v>
      </c>
      <c r="CG303" s="97">
        <v>3</v>
      </c>
      <c r="CH303" s="97">
        <v>3</v>
      </c>
      <c r="CI303" s="173"/>
      <c r="CJ303" s="173"/>
      <c r="CK303" s="173"/>
      <c r="CL303" s="173"/>
      <c r="CM303" s="173"/>
      <c r="CN303" s="173"/>
      <c r="CO303" s="173"/>
      <c r="CP303" s="174"/>
      <c r="CQ303" s="174"/>
      <c r="CR303" s="174"/>
      <c r="CS303" s="174"/>
      <c r="CT303" s="174"/>
      <c r="CU303" s="174"/>
      <c r="CV303" s="174"/>
      <c r="CW303" s="165"/>
      <c r="CX303" s="166"/>
      <c r="CY303" s="166"/>
      <c r="CZ303" s="166"/>
      <c r="DA303" s="166"/>
      <c r="DB303" s="166"/>
      <c r="DC303" s="166"/>
      <c r="DD303" s="171"/>
      <c r="DE303" s="171"/>
      <c r="DF303" s="171"/>
      <c r="DG303" s="171"/>
      <c r="DH303" s="171"/>
      <c r="DI303" s="171"/>
      <c r="DJ303" s="171"/>
      <c r="DK303" s="79" t="s">
        <v>452</v>
      </c>
      <c r="DL303" s="128">
        <v>100</v>
      </c>
      <c r="DM303" s="128">
        <v>100</v>
      </c>
      <c r="DN303" s="128">
        <v>100</v>
      </c>
      <c r="DO303" s="128">
        <v>100</v>
      </c>
      <c r="DP303" s="128">
        <v>100</v>
      </c>
      <c r="DQ303" s="128">
        <v>100</v>
      </c>
      <c r="DR303" s="128">
        <v>100</v>
      </c>
      <c r="DS303" s="218"/>
      <c r="DT303" s="360"/>
      <c r="DU303" s="360"/>
      <c r="DV303" s="360"/>
      <c r="DW303" s="360"/>
      <c r="DX303" s="360"/>
      <c r="DY303" s="360"/>
      <c r="DZ303" s="360"/>
      <c r="EA303" s="360"/>
      <c r="EB303" s="360"/>
      <c r="EC303" s="360"/>
      <c r="ED303" s="360"/>
      <c r="EE303" s="360"/>
      <c r="EF303" s="360"/>
      <c r="EG303" s="360"/>
      <c r="EH303" s="360"/>
      <c r="EI303" s="360"/>
      <c r="EJ303" s="360"/>
      <c r="EK303" s="360"/>
      <c r="EL303" s="360"/>
      <c r="EM303" s="360"/>
      <c r="EN303" s="360"/>
      <c r="EO303" s="360"/>
      <c r="EP303" s="360"/>
      <c r="EQ303" s="360"/>
    </row>
    <row r="304" spans="1:147" x14ac:dyDescent="0.35">
      <c r="A304" s="5" t="s">
        <v>1405</v>
      </c>
      <c r="B304" s="5" t="s">
        <v>726</v>
      </c>
      <c r="C304" s="5" t="s">
        <v>788</v>
      </c>
      <c r="D304" s="5" t="s">
        <v>727</v>
      </c>
      <c r="E304" s="5" t="s">
        <v>459</v>
      </c>
      <c r="F304" s="5" t="s">
        <v>463</v>
      </c>
      <c r="G304" s="221" t="s">
        <v>1406</v>
      </c>
      <c r="H304" s="47" t="s">
        <v>981</v>
      </c>
      <c r="I304" s="101">
        <v>150</v>
      </c>
      <c r="J304" s="101">
        <v>150</v>
      </c>
      <c r="K304" s="101">
        <v>150</v>
      </c>
      <c r="L304" s="101">
        <v>150</v>
      </c>
      <c r="M304" s="101">
        <v>150</v>
      </c>
      <c r="N304" s="101">
        <v>150</v>
      </c>
      <c r="O304" s="101">
        <v>150</v>
      </c>
      <c r="P304" s="93">
        <v>0</v>
      </c>
      <c r="Q304" s="101">
        <v>2</v>
      </c>
      <c r="R304" s="101">
        <v>2</v>
      </c>
      <c r="S304" s="101">
        <v>2</v>
      </c>
      <c r="T304" s="101">
        <v>2</v>
      </c>
      <c r="U304" s="101">
        <v>2</v>
      </c>
      <c r="V304" s="101">
        <v>2</v>
      </c>
      <c r="W304" s="101">
        <v>2</v>
      </c>
      <c r="X304" s="101">
        <v>0</v>
      </c>
      <c r="Y304" s="101">
        <v>0</v>
      </c>
      <c r="Z304" s="101">
        <v>0</v>
      </c>
      <c r="AA304" s="101">
        <v>0</v>
      </c>
      <c r="AB304" s="101">
        <v>0</v>
      </c>
      <c r="AC304" s="101">
        <v>0</v>
      </c>
      <c r="AD304" s="101">
        <v>0</v>
      </c>
      <c r="AE304" s="186">
        <v>0.08</v>
      </c>
      <c r="AF304" s="93">
        <v>0</v>
      </c>
      <c r="AG304" s="93">
        <v>12</v>
      </c>
      <c r="AH304" s="93">
        <v>12</v>
      </c>
      <c r="AI304" s="16">
        <f t="shared" ref="AI304" si="280">1.5*3.6</f>
        <v>5.4</v>
      </c>
      <c r="AJ304" s="16" t="s">
        <v>660</v>
      </c>
      <c r="AK304" s="16" t="s">
        <v>672</v>
      </c>
      <c r="AL304" s="16"/>
      <c r="AM304" s="60"/>
      <c r="AN304" s="60"/>
      <c r="AO304" s="60"/>
      <c r="AP304" s="60"/>
      <c r="AQ304" s="60"/>
      <c r="AR304" s="60"/>
      <c r="AS304" s="63"/>
      <c r="AT304" s="63"/>
      <c r="AU304" s="63"/>
      <c r="AV304" s="131"/>
      <c r="AW304" s="131"/>
      <c r="AX304" s="131"/>
      <c r="AY304" s="27" t="s">
        <v>662</v>
      </c>
      <c r="AZ304" s="27"/>
      <c r="BA304" s="27"/>
      <c r="BB304" s="30"/>
      <c r="BC304" s="30"/>
      <c r="BD304" s="30"/>
      <c r="BE304" s="30"/>
      <c r="BF304" s="30"/>
      <c r="BG304" s="30"/>
      <c r="BH304" s="107"/>
      <c r="BI304" s="107"/>
      <c r="BJ304" s="107"/>
      <c r="BK304" s="107"/>
      <c r="BL304" s="136"/>
      <c r="BM304" s="122"/>
      <c r="BN304" s="138">
        <v>0</v>
      </c>
      <c r="BO304" s="93"/>
      <c r="BP304" s="93"/>
      <c r="BQ304" s="93"/>
      <c r="BR304" s="93"/>
      <c r="BS304" s="93"/>
      <c r="BT304" s="93"/>
      <c r="BU304" s="27">
        <f t="shared" si="279"/>
        <v>0</v>
      </c>
      <c r="BV304" s="27"/>
      <c r="BW304" s="27"/>
      <c r="BX304" s="27"/>
      <c r="BY304" s="27"/>
      <c r="BZ304" s="27"/>
      <c r="CA304" s="27"/>
      <c r="CB304" s="97"/>
      <c r="CC304" s="97">
        <v>5</v>
      </c>
      <c r="CD304" s="97">
        <v>25</v>
      </c>
      <c r="CE304" s="97">
        <v>50</v>
      </c>
      <c r="CF304" s="97">
        <v>100</v>
      </c>
      <c r="CG304" s="97">
        <v>100</v>
      </c>
      <c r="CH304" s="97">
        <v>100</v>
      </c>
      <c r="CI304" s="173"/>
      <c r="CJ304" s="173"/>
      <c r="CK304" s="173"/>
      <c r="CL304" s="173"/>
      <c r="CM304" s="173"/>
      <c r="CN304" s="173"/>
      <c r="CO304" s="173"/>
      <c r="CP304" s="174"/>
      <c r="CQ304" s="174"/>
      <c r="CR304" s="174"/>
      <c r="CS304" s="174"/>
      <c r="CT304" s="174"/>
      <c r="CU304" s="174"/>
      <c r="CV304" s="174"/>
      <c r="CW304" s="165"/>
      <c r="CX304" s="166"/>
      <c r="CY304" s="166"/>
      <c r="CZ304" s="166"/>
      <c r="DA304" s="166"/>
      <c r="DB304" s="166"/>
      <c r="DC304" s="166"/>
      <c r="DD304" s="171"/>
      <c r="DE304" s="171"/>
      <c r="DF304" s="171"/>
      <c r="DG304" s="171"/>
      <c r="DH304" s="171"/>
      <c r="DI304" s="171"/>
      <c r="DJ304" s="171"/>
      <c r="DK304" s="79" t="s">
        <v>1335</v>
      </c>
      <c r="DL304" s="128">
        <v>200</v>
      </c>
      <c r="DM304" s="128">
        <v>200</v>
      </c>
      <c r="DN304" s="128">
        <v>200</v>
      </c>
      <c r="DO304" s="128">
        <v>200</v>
      </c>
      <c r="DP304" s="128">
        <v>200</v>
      </c>
      <c r="DQ304" s="128">
        <v>200</v>
      </c>
      <c r="DR304" s="128">
        <v>200</v>
      </c>
      <c r="DS304" s="218"/>
      <c r="DT304" s="360"/>
      <c r="DU304" s="360"/>
      <c r="DV304" s="360"/>
      <c r="DW304" s="360"/>
      <c r="DX304" s="360"/>
      <c r="DY304" s="360"/>
      <c r="DZ304" s="360"/>
      <c r="EA304" s="360"/>
      <c r="EB304" s="360"/>
      <c r="EC304" s="360"/>
      <c r="ED304" s="360"/>
      <c r="EE304" s="360"/>
      <c r="EF304" s="360"/>
      <c r="EG304" s="360"/>
      <c r="EH304" s="360"/>
      <c r="EI304" s="360"/>
      <c r="EJ304" s="360"/>
      <c r="EK304" s="360"/>
      <c r="EL304" s="360"/>
      <c r="EM304" s="360"/>
      <c r="EN304" s="360"/>
      <c r="EO304" s="360"/>
      <c r="EP304" s="360"/>
      <c r="EQ304" s="360"/>
    </row>
    <row r="305" spans="1:147" x14ac:dyDescent="0.35">
      <c r="A305" s="6" t="s">
        <v>1407</v>
      </c>
      <c r="B305" s="6" t="s">
        <v>740</v>
      </c>
      <c r="C305" s="6" t="s">
        <v>788</v>
      </c>
      <c r="D305" s="6" t="s">
        <v>741</v>
      </c>
      <c r="E305" s="6" t="s">
        <v>459</v>
      </c>
      <c r="F305" s="6" t="s">
        <v>464</v>
      </c>
      <c r="G305" s="48" t="s">
        <v>1408</v>
      </c>
      <c r="H305" s="48" t="s">
        <v>981</v>
      </c>
      <c r="I305" s="102">
        <v>20</v>
      </c>
      <c r="J305" s="102">
        <v>20</v>
      </c>
      <c r="K305" s="102">
        <v>20</v>
      </c>
      <c r="L305" s="102">
        <v>20</v>
      </c>
      <c r="M305" s="102">
        <v>20</v>
      </c>
      <c r="N305" s="102">
        <v>20</v>
      </c>
      <c r="O305" s="102">
        <v>20</v>
      </c>
      <c r="P305" s="94">
        <v>0</v>
      </c>
      <c r="Q305" s="102">
        <v>1</v>
      </c>
      <c r="R305" s="102">
        <v>1</v>
      </c>
      <c r="S305" s="102">
        <v>1</v>
      </c>
      <c r="T305" s="102">
        <v>1</v>
      </c>
      <c r="U305" s="102">
        <v>1</v>
      </c>
      <c r="V305" s="102">
        <v>1</v>
      </c>
      <c r="W305" s="102">
        <v>1</v>
      </c>
      <c r="X305" s="102">
        <v>0</v>
      </c>
      <c r="Y305" s="102">
        <v>0</v>
      </c>
      <c r="Z305" s="102">
        <v>0</v>
      </c>
      <c r="AA305" s="102">
        <v>0</v>
      </c>
      <c r="AB305" s="102">
        <v>0</v>
      </c>
      <c r="AC305" s="102">
        <v>0</v>
      </c>
      <c r="AD305" s="102">
        <v>0</v>
      </c>
      <c r="AE305" s="186">
        <v>0.08</v>
      </c>
      <c r="AF305" s="94">
        <v>0</v>
      </c>
      <c r="AG305" s="94">
        <v>20</v>
      </c>
      <c r="AH305" s="94">
        <v>20</v>
      </c>
      <c r="AI305" s="17">
        <v>31.536000000000001</v>
      </c>
      <c r="AJ305" s="17" t="s">
        <v>660</v>
      </c>
      <c r="AK305" s="17" t="s">
        <v>745</v>
      </c>
      <c r="AL305" s="17"/>
      <c r="AM305" s="61"/>
      <c r="AN305" s="61"/>
      <c r="AO305" s="61"/>
      <c r="AP305" s="61"/>
      <c r="AQ305" s="61"/>
      <c r="AR305" s="61"/>
      <c r="AS305" s="64"/>
      <c r="AT305" s="64"/>
      <c r="AU305" s="64"/>
      <c r="AV305" s="132"/>
      <c r="AW305" s="132"/>
      <c r="AX305" s="132"/>
      <c r="AY305" s="28" t="s">
        <v>662</v>
      </c>
      <c r="AZ305" s="28"/>
      <c r="BA305" s="28"/>
      <c r="BB305" s="28"/>
      <c r="BC305" s="28"/>
      <c r="BD305" s="28"/>
      <c r="BE305" s="28"/>
      <c r="BF305" s="28"/>
      <c r="BG305" s="28"/>
      <c r="BH305" s="106"/>
      <c r="BI305" s="106"/>
      <c r="BJ305" s="106"/>
      <c r="BK305" s="106"/>
      <c r="BL305" s="137"/>
      <c r="BM305" s="123"/>
      <c r="BN305" s="139">
        <v>1.9</v>
      </c>
      <c r="BO305" s="94">
        <v>0.5</v>
      </c>
      <c r="BP305" s="94">
        <v>0.5</v>
      </c>
      <c r="BQ305" s="94">
        <v>0.5</v>
      </c>
      <c r="BR305" s="94">
        <v>0.4</v>
      </c>
      <c r="BS305" s="94"/>
      <c r="BT305" s="94"/>
      <c r="BU305" s="28">
        <f t="shared" si="277"/>
        <v>0</v>
      </c>
      <c r="BV305" s="28"/>
      <c r="BW305" s="28"/>
      <c r="BX305" s="28"/>
      <c r="BY305" s="28"/>
      <c r="BZ305" s="28"/>
      <c r="CA305" s="28"/>
      <c r="CB305" s="99">
        <v>2</v>
      </c>
      <c r="CC305" s="99">
        <v>2</v>
      </c>
      <c r="CD305" s="99">
        <v>2</v>
      </c>
      <c r="CE305" s="99">
        <v>5</v>
      </c>
      <c r="CF305" s="99">
        <v>10</v>
      </c>
      <c r="CG305" s="99">
        <v>10</v>
      </c>
      <c r="CH305" s="99">
        <v>10</v>
      </c>
      <c r="CI305" s="175"/>
      <c r="CJ305" s="175"/>
      <c r="CK305" s="175"/>
      <c r="CL305" s="175"/>
      <c r="CM305" s="175"/>
      <c r="CN305" s="175"/>
      <c r="CO305" s="175"/>
      <c r="CP305" s="176"/>
      <c r="CQ305" s="176"/>
      <c r="CR305" s="176"/>
      <c r="CS305" s="176"/>
      <c r="CT305" s="176"/>
      <c r="CU305" s="176"/>
      <c r="CV305" s="176"/>
      <c r="CW305" s="167"/>
      <c r="CX305" s="168"/>
      <c r="CY305" s="168"/>
      <c r="CZ305" s="168"/>
      <c r="DA305" s="168"/>
      <c r="DB305" s="168"/>
      <c r="DC305" s="168"/>
      <c r="DD305" s="172"/>
      <c r="DE305" s="172"/>
      <c r="DF305" s="172"/>
      <c r="DG305" s="172"/>
      <c r="DH305" s="172"/>
      <c r="DI305" s="172"/>
      <c r="DJ305" s="172"/>
      <c r="DK305" s="80" t="s">
        <v>1409</v>
      </c>
      <c r="DL305" s="129">
        <v>100</v>
      </c>
      <c r="DM305" s="129">
        <v>100</v>
      </c>
      <c r="DN305" s="129">
        <v>100</v>
      </c>
      <c r="DO305" s="129">
        <v>100</v>
      </c>
      <c r="DP305" s="129">
        <v>100</v>
      </c>
      <c r="DQ305" s="129">
        <v>100</v>
      </c>
      <c r="DR305" s="129">
        <v>100</v>
      </c>
      <c r="DS305" s="218"/>
      <c r="DT305" s="360"/>
      <c r="DU305" s="360"/>
      <c r="DV305" s="360"/>
      <c r="DW305" s="360"/>
      <c r="DX305" s="360"/>
      <c r="DY305" s="360"/>
      <c r="DZ305" s="360"/>
      <c r="EA305" s="360"/>
      <c r="EB305" s="360"/>
      <c r="EC305" s="360"/>
      <c r="ED305" s="360"/>
      <c r="EE305" s="360"/>
      <c r="EF305" s="360"/>
      <c r="EG305" s="360"/>
      <c r="EH305" s="360"/>
      <c r="EI305" s="360"/>
      <c r="EJ305" s="360"/>
      <c r="EK305" s="360"/>
      <c r="EL305" s="360"/>
      <c r="EM305" s="360"/>
      <c r="EN305" s="360"/>
      <c r="EO305" s="360"/>
      <c r="EP305" s="360"/>
      <c r="EQ305" s="360"/>
    </row>
    <row r="306" spans="1:147" x14ac:dyDescent="0.35">
      <c r="A306" s="5" t="s">
        <v>1410</v>
      </c>
      <c r="B306" s="5" t="s">
        <v>740</v>
      </c>
      <c r="C306" s="5" t="s">
        <v>788</v>
      </c>
      <c r="D306" s="5" t="s">
        <v>741</v>
      </c>
      <c r="E306" s="5" t="s">
        <v>459</v>
      </c>
      <c r="F306" s="5" t="s">
        <v>464</v>
      </c>
      <c r="G306" s="47" t="s">
        <v>1411</v>
      </c>
      <c r="H306" s="47" t="s">
        <v>981</v>
      </c>
      <c r="I306" s="101">
        <v>30</v>
      </c>
      <c r="J306" s="101">
        <v>30</v>
      </c>
      <c r="K306" s="101">
        <v>30</v>
      </c>
      <c r="L306" s="101">
        <v>30</v>
      </c>
      <c r="M306" s="101">
        <v>30</v>
      </c>
      <c r="N306" s="101">
        <v>30</v>
      </c>
      <c r="O306" s="101">
        <v>30</v>
      </c>
      <c r="P306" s="93">
        <v>0</v>
      </c>
      <c r="Q306" s="101">
        <v>5</v>
      </c>
      <c r="R306" s="101">
        <v>5</v>
      </c>
      <c r="S306" s="101">
        <v>5</v>
      </c>
      <c r="T306" s="101">
        <v>5</v>
      </c>
      <c r="U306" s="101">
        <v>5</v>
      </c>
      <c r="V306" s="101">
        <v>5</v>
      </c>
      <c r="W306" s="101">
        <v>5</v>
      </c>
      <c r="X306" s="101">
        <v>0</v>
      </c>
      <c r="Y306" s="101">
        <v>0</v>
      </c>
      <c r="Z306" s="101">
        <v>0</v>
      </c>
      <c r="AA306" s="101">
        <v>0</v>
      </c>
      <c r="AB306" s="101">
        <v>0</v>
      </c>
      <c r="AC306" s="101">
        <v>0</v>
      </c>
      <c r="AD306" s="101">
        <v>0</v>
      </c>
      <c r="AE306" s="186">
        <v>0.08</v>
      </c>
      <c r="AF306" s="93">
        <v>0</v>
      </c>
      <c r="AG306" s="93">
        <v>20</v>
      </c>
      <c r="AH306" s="93">
        <v>20</v>
      </c>
      <c r="AI306" s="16">
        <v>31.536000000000001</v>
      </c>
      <c r="AJ306" s="16" t="s">
        <v>660</v>
      </c>
      <c r="AK306" s="16" t="s">
        <v>745</v>
      </c>
      <c r="AL306" s="16"/>
      <c r="AM306" s="60"/>
      <c r="AN306" s="60"/>
      <c r="AO306" s="60"/>
      <c r="AP306" s="60"/>
      <c r="AQ306" s="60"/>
      <c r="AR306" s="60"/>
      <c r="AS306" s="63"/>
      <c r="AT306" s="63"/>
      <c r="AU306" s="63"/>
      <c r="AV306" s="131"/>
      <c r="AW306" s="131"/>
      <c r="AX306" s="131"/>
      <c r="AY306" s="27" t="s">
        <v>662</v>
      </c>
      <c r="AZ306" s="27"/>
      <c r="BA306" s="27"/>
      <c r="BB306" s="30"/>
      <c r="BC306" s="30"/>
      <c r="BD306" s="30"/>
      <c r="BE306" s="30"/>
      <c r="BF306" s="30"/>
      <c r="BG306" s="30"/>
      <c r="BH306" s="107"/>
      <c r="BI306" s="107"/>
      <c r="BJ306" s="107"/>
      <c r="BK306" s="107"/>
      <c r="BL306" s="136"/>
      <c r="BM306" s="122"/>
      <c r="BN306" s="138">
        <v>0</v>
      </c>
      <c r="BO306" s="93"/>
      <c r="BP306" s="93"/>
      <c r="BQ306" s="93"/>
      <c r="BR306" s="93"/>
      <c r="BS306" s="93"/>
      <c r="BT306" s="93"/>
      <c r="BU306" s="27">
        <f t="shared" si="277"/>
        <v>0</v>
      </c>
      <c r="BV306" s="27"/>
      <c r="BW306" s="27"/>
      <c r="BX306" s="27"/>
      <c r="BY306" s="27"/>
      <c r="BZ306" s="27"/>
      <c r="CA306" s="27"/>
      <c r="CB306" s="97"/>
      <c r="CC306" s="97">
        <v>1</v>
      </c>
      <c r="CD306" s="97">
        <v>2</v>
      </c>
      <c r="CE306" s="97">
        <v>5</v>
      </c>
      <c r="CF306" s="97">
        <v>10</v>
      </c>
      <c r="CG306" s="97">
        <v>10</v>
      </c>
      <c r="CH306" s="97">
        <v>10</v>
      </c>
      <c r="CI306" s="173"/>
      <c r="CJ306" s="173"/>
      <c r="CK306" s="173"/>
      <c r="CL306" s="173"/>
      <c r="CM306" s="173"/>
      <c r="CN306" s="173"/>
      <c r="CO306" s="173"/>
      <c r="CP306" s="174"/>
      <c r="CQ306" s="174"/>
      <c r="CR306" s="174"/>
      <c r="CS306" s="174"/>
      <c r="CT306" s="174"/>
      <c r="CU306" s="174"/>
      <c r="CV306" s="174"/>
      <c r="CW306" s="165"/>
      <c r="CX306" s="166"/>
      <c r="CY306" s="166"/>
      <c r="CZ306" s="166"/>
      <c r="DA306" s="166"/>
      <c r="DB306" s="166"/>
      <c r="DC306" s="166"/>
      <c r="DD306" s="171"/>
      <c r="DE306" s="171"/>
      <c r="DF306" s="171"/>
      <c r="DG306" s="171"/>
      <c r="DH306" s="171"/>
      <c r="DI306" s="171"/>
      <c r="DJ306" s="171"/>
      <c r="DK306" s="79" t="s">
        <v>1409</v>
      </c>
      <c r="DL306" s="128">
        <v>100</v>
      </c>
      <c r="DM306" s="128">
        <v>100</v>
      </c>
      <c r="DN306" s="128">
        <v>100</v>
      </c>
      <c r="DO306" s="128">
        <v>100</v>
      </c>
      <c r="DP306" s="128">
        <v>100</v>
      </c>
      <c r="DQ306" s="128">
        <v>100</v>
      </c>
      <c r="DR306" s="128">
        <v>100</v>
      </c>
      <c r="DS306" s="218"/>
      <c r="DT306" s="360"/>
      <c r="DU306" s="360"/>
      <c r="DV306" s="360"/>
      <c r="DW306" s="360"/>
      <c r="DX306" s="360"/>
      <c r="DY306" s="360"/>
      <c r="DZ306" s="360"/>
      <c r="EA306" s="360"/>
      <c r="EB306" s="360"/>
      <c r="EC306" s="360"/>
      <c r="ED306" s="360"/>
      <c r="EE306" s="360"/>
      <c r="EF306" s="360"/>
      <c r="EG306" s="360"/>
      <c r="EH306" s="360"/>
      <c r="EI306" s="360"/>
      <c r="EJ306" s="360"/>
      <c r="EK306" s="360"/>
      <c r="EL306" s="360"/>
      <c r="EM306" s="360"/>
      <c r="EN306" s="360"/>
      <c r="EO306" s="360"/>
      <c r="EP306" s="360"/>
      <c r="EQ306" s="360"/>
    </row>
    <row r="307" spans="1:147" x14ac:dyDescent="0.35">
      <c r="A307" s="6" t="s">
        <v>1412</v>
      </c>
      <c r="B307" s="6" t="s">
        <v>740</v>
      </c>
      <c r="C307" s="6" t="s">
        <v>788</v>
      </c>
      <c r="D307" s="6" t="s">
        <v>741</v>
      </c>
      <c r="E307" s="6" t="s">
        <v>459</v>
      </c>
      <c r="F307" s="6" t="s">
        <v>464</v>
      </c>
      <c r="G307" s="48" t="s">
        <v>1413</v>
      </c>
      <c r="H307" s="48" t="s">
        <v>981</v>
      </c>
      <c r="I307" s="102">
        <v>180</v>
      </c>
      <c r="J307" s="102">
        <v>180</v>
      </c>
      <c r="K307" s="102">
        <v>180</v>
      </c>
      <c r="L307" s="102">
        <v>180</v>
      </c>
      <c r="M307" s="102">
        <v>180</v>
      </c>
      <c r="N307" s="102">
        <v>180</v>
      </c>
      <c r="O307" s="102">
        <v>180</v>
      </c>
      <c r="P307" s="94">
        <v>0</v>
      </c>
      <c r="Q307" s="102">
        <v>15</v>
      </c>
      <c r="R307" s="102">
        <v>15</v>
      </c>
      <c r="S307" s="102">
        <v>15</v>
      </c>
      <c r="T307" s="102">
        <v>15</v>
      </c>
      <c r="U307" s="102">
        <v>15</v>
      </c>
      <c r="V307" s="102">
        <v>15</v>
      </c>
      <c r="W307" s="102">
        <v>15</v>
      </c>
      <c r="X307" s="102">
        <v>0</v>
      </c>
      <c r="Y307" s="102">
        <v>0</v>
      </c>
      <c r="Z307" s="102">
        <v>0</v>
      </c>
      <c r="AA307" s="102">
        <v>0</v>
      </c>
      <c r="AB307" s="102">
        <v>0</v>
      </c>
      <c r="AC307" s="102">
        <v>0</v>
      </c>
      <c r="AD307" s="102">
        <v>0</v>
      </c>
      <c r="AE307" s="186">
        <v>0.08</v>
      </c>
      <c r="AF307" s="94">
        <v>0</v>
      </c>
      <c r="AG307" s="94">
        <v>20</v>
      </c>
      <c r="AH307" s="94">
        <v>20</v>
      </c>
      <c r="AI307" s="17">
        <v>31.536000000000001</v>
      </c>
      <c r="AJ307" s="17" t="s">
        <v>660</v>
      </c>
      <c r="AK307" s="17" t="s">
        <v>745</v>
      </c>
      <c r="AL307" s="17"/>
      <c r="AM307" s="61"/>
      <c r="AN307" s="61"/>
      <c r="AO307" s="61"/>
      <c r="AP307" s="61"/>
      <c r="AQ307" s="61"/>
      <c r="AR307" s="61"/>
      <c r="AS307" s="64"/>
      <c r="AT307" s="64"/>
      <c r="AU307" s="64"/>
      <c r="AV307" s="132"/>
      <c r="AW307" s="132"/>
      <c r="AX307" s="132"/>
      <c r="AY307" s="28" t="s">
        <v>662</v>
      </c>
      <c r="AZ307" s="28"/>
      <c r="BA307" s="28"/>
      <c r="BB307" s="28"/>
      <c r="BC307" s="28"/>
      <c r="BD307" s="28"/>
      <c r="BE307" s="28"/>
      <c r="BF307" s="28"/>
      <c r="BG307" s="28"/>
      <c r="BH307" s="106"/>
      <c r="BI307" s="106"/>
      <c r="BJ307" s="106"/>
      <c r="BK307" s="106"/>
      <c r="BL307" s="137"/>
      <c r="BM307" s="123"/>
      <c r="BN307" s="139">
        <v>0</v>
      </c>
      <c r="BO307" s="94"/>
      <c r="BP307" s="94"/>
      <c r="BQ307" s="94"/>
      <c r="BR307" s="94"/>
      <c r="BS307" s="94"/>
      <c r="BT307" s="94"/>
      <c r="BU307" s="28">
        <f t="shared" si="277"/>
        <v>0</v>
      </c>
      <c r="BV307" s="28"/>
      <c r="BW307" s="28"/>
      <c r="BX307" s="28"/>
      <c r="BY307" s="28"/>
      <c r="BZ307" s="28"/>
      <c r="CA307" s="28"/>
      <c r="CB307" s="99"/>
      <c r="CC307" s="99">
        <v>1</v>
      </c>
      <c r="CD307" s="99">
        <v>2</v>
      </c>
      <c r="CE307" s="99">
        <v>5</v>
      </c>
      <c r="CF307" s="99">
        <v>10</v>
      </c>
      <c r="CG307" s="99">
        <v>10</v>
      </c>
      <c r="CH307" s="99">
        <v>10</v>
      </c>
      <c r="CI307" s="175"/>
      <c r="CJ307" s="175"/>
      <c r="CK307" s="175"/>
      <c r="CL307" s="175"/>
      <c r="CM307" s="175"/>
      <c r="CN307" s="175"/>
      <c r="CO307" s="175"/>
      <c r="CP307" s="176"/>
      <c r="CQ307" s="176"/>
      <c r="CR307" s="176"/>
      <c r="CS307" s="176"/>
      <c r="CT307" s="176"/>
      <c r="CU307" s="176"/>
      <c r="CV307" s="176"/>
      <c r="CW307" s="167"/>
      <c r="CX307" s="168"/>
      <c r="CY307" s="168"/>
      <c r="CZ307" s="168"/>
      <c r="DA307" s="168"/>
      <c r="DB307" s="168"/>
      <c r="DC307" s="168"/>
      <c r="DD307" s="172"/>
      <c r="DE307" s="172"/>
      <c r="DF307" s="172"/>
      <c r="DG307" s="172"/>
      <c r="DH307" s="172"/>
      <c r="DI307" s="172"/>
      <c r="DJ307" s="172"/>
      <c r="DK307" s="80" t="s">
        <v>1409</v>
      </c>
      <c r="DL307" s="129">
        <v>100</v>
      </c>
      <c r="DM307" s="129">
        <v>100</v>
      </c>
      <c r="DN307" s="129">
        <v>100</v>
      </c>
      <c r="DO307" s="129">
        <v>100</v>
      </c>
      <c r="DP307" s="129">
        <v>100</v>
      </c>
      <c r="DQ307" s="129">
        <v>100</v>
      </c>
      <c r="DR307" s="129">
        <v>100</v>
      </c>
      <c r="DS307" s="218"/>
      <c r="DT307" s="360"/>
      <c r="DU307" s="360"/>
      <c r="DV307" s="360"/>
      <c r="DW307" s="360"/>
      <c r="DX307" s="360"/>
      <c r="DY307" s="360"/>
      <c r="DZ307" s="360"/>
      <c r="EA307" s="360"/>
      <c r="EB307" s="360"/>
      <c r="EC307" s="360"/>
      <c r="ED307" s="360"/>
      <c r="EE307" s="360"/>
      <c r="EF307" s="360"/>
      <c r="EG307" s="360"/>
      <c r="EH307" s="360"/>
      <c r="EI307" s="360"/>
      <c r="EJ307" s="360"/>
      <c r="EK307" s="360"/>
      <c r="EL307" s="360"/>
      <c r="EM307" s="360"/>
      <c r="EN307" s="360"/>
      <c r="EO307" s="360"/>
      <c r="EP307" s="360"/>
      <c r="EQ307" s="360"/>
    </row>
    <row r="308" spans="1:147" x14ac:dyDescent="0.35">
      <c r="A308" s="5" t="s">
        <v>1414</v>
      </c>
      <c r="B308" s="5" t="s">
        <v>740</v>
      </c>
      <c r="C308" s="5" t="s">
        <v>788</v>
      </c>
      <c r="D308" s="5" t="s">
        <v>741</v>
      </c>
      <c r="E308" s="5" t="s">
        <v>459</v>
      </c>
      <c r="F308" s="5" t="s">
        <v>464</v>
      </c>
      <c r="G308" s="47" t="s">
        <v>1415</v>
      </c>
      <c r="H308" s="47" t="s">
        <v>981</v>
      </c>
      <c r="I308" s="101">
        <v>220</v>
      </c>
      <c r="J308" s="101">
        <v>220</v>
      </c>
      <c r="K308" s="101">
        <v>220</v>
      </c>
      <c r="L308" s="101">
        <v>220</v>
      </c>
      <c r="M308" s="101">
        <v>220</v>
      </c>
      <c r="N308" s="101">
        <v>220</v>
      </c>
      <c r="O308" s="101">
        <v>220</v>
      </c>
      <c r="P308" s="93">
        <v>0</v>
      </c>
      <c r="Q308" s="101">
        <v>25</v>
      </c>
      <c r="R308" s="101">
        <v>25</v>
      </c>
      <c r="S308" s="101">
        <v>25</v>
      </c>
      <c r="T308" s="101">
        <v>25</v>
      </c>
      <c r="U308" s="101">
        <v>25</v>
      </c>
      <c r="V308" s="101">
        <v>25</v>
      </c>
      <c r="W308" s="101">
        <v>25</v>
      </c>
      <c r="X308" s="101">
        <v>0</v>
      </c>
      <c r="Y308" s="101">
        <v>0</v>
      </c>
      <c r="Z308" s="101">
        <v>0</v>
      </c>
      <c r="AA308" s="101">
        <v>0</v>
      </c>
      <c r="AB308" s="101">
        <v>0</v>
      </c>
      <c r="AC308" s="101">
        <v>0</v>
      </c>
      <c r="AD308" s="101">
        <v>0</v>
      </c>
      <c r="AE308" s="186">
        <v>0.08</v>
      </c>
      <c r="AF308" s="93">
        <v>0</v>
      </c>
      <c r="AG308" s="93">
        <v>20</v>
      </c>
      <c r="AH308" s="93">
        <v>20</v>
      </c>
      <c r="AI308" s="16">
        <v>31.536000000000001</v>
      </c>
      <c r="AJ308" s="16" t="s">
        <v>660</v>
      </c>
      <c r="AK308" s="16" t="s">
        <v>745</v>
      </c>
      <c r="AL308" s="16"/>
      <c r="AM308" s="60"/>
      <c r="AN308" s="60"/>
      <c r="AO308" s="60"/>
      <c r="AP308" s="60"/>
      <c r="AQ308" s="60"/>
      <c r="AR308" s="60"/>
      <c r="AS308" s="63"/>
      <c r="AT308" s="63"/>
      <c r="AU308" s="63"/>
      <c r="AV308" s="131"/>
      <c r="AW308" s="131"/>
      <c r="AX308" s="131"/>
      <c r="AY308" s="27" t="s">
        <v>662</v>
      </c>
      <c r="AZ308" s="27"/>
      <c r="BA308" s="27"/>
      <c r="BB308" s="30"/>
      <c r="BC308" s="30"/>
      <c r="BD308" s="30"/>
      <c r="BE308" s="30"/>
      <c r="BF308" s="30"/>
      <c r="BG308" s="30"/>
      <c r="BH308" s="107"/>
      <c r="BI308" s="107"/>
      <c r="BJ308" s="107"/>
      <c r="BK308" s="107"/>
      <c r="BL308" s="136"/>
      <c r="BM308" s="122"/>
      <c r="BN308" s="138">
        <v>0</v>
      </c>
      <c r="BO308" s="93"/>
      <c r="BP308" s="93"/>
      <c r="BQ308" s="93"/>
      <c r="BR308" s="93"/>
      <c r="BS308" s="93"/>
      <c r="BT308" s="93"/>
      <c r="BU308" s="27">
        <f t="shared" si="277"/>
        <v>0</v>
      </c>
      <c r="BV308" s="27"/>
      <c r="BW308" s="27"/>
      <c r="BX308" s="27"/>
      <c r="BY308" s="27"/>
      <c r="BZ308" s="27"/>
      <c r="CA308" s="27"/>
      <c r="CB308" s="97"/>
      <c r="CC308" s="97">
        <v>1</v>
      </c>
      <c r="CD308" s="97">
        <v>2</v>
      </c>
      <c r="CE308" s="97">
        <v>5</v>
      </c>
      <c r="CF308" s="97">
        <v>10</v>
      </c>
      <c r="CG308" s="97">
        <v>10</v>
      </c>
      <c r="CH308" s="97">
        <v>10</v>
      </c>
      <c r="CI308" s="173"/>
      <c r="CJ308" s="173"/>
      <c r="CK308" s="173"/>
      <c r="CL308" s="173"/>
      <c r="CM308" s="173"/>
      <c r="CN308" s="173"/>
      <c r="CO308" s="173"/>
      <c r="CP308" s="174"/>
      <c r="CQ308" s="174"/>
      <c r="CR308" s="174"/>
      <c r="CS308" s="174"/>
      <c r="CT308" s="174"/>
      <c r="CU308" s="174"/>
      <c r="CV308" s="174"/>
      <c r="CW308" s="165"/>
      <c r="CX308" s="166"/>
      <c r="CY308" s="166"/>
      <c r="CZ308" s="166"/>
      <c r="DA308" s="166"/>
      <c r="DB308" s="166"/>
      <c r="DC308" s="166"/>
      <c r="DD308" s="171"/>
      <c r="DE308" s="171"/>
      <c r="DF308" s="171"/>
      <c r="DG308" s="171"/>
      <c r="DH308" s="171"/>
      <c r="DI308" s="171"/>
      <c r="DJ308" s="171"/>
      <c r="DK308" s="79" t="s">
        <v>1409</v>
      </c>
      <c r="DL308" s="128">
        <v>100</v>
      </c>
      <c r="DM308" s="128">
        <v>100</v>
      </c>
      <c r="DN308" s="128">
        <v>100</v>
      </c>
      <c r="DO308" s="128">
        <v>100</v>
      </c>
      <c r="DP308" s="128">
        <v>100</v>
      </c>
      <c r="DQ308" s="128">
        <v>100</v>
      </c>
      <c r="DR308" s="128">
        <v>100</v>
      </c>
      <c r="DS308" s="218"/>
      <c r="DT308" s="360"/>
      <c r="DU308" s="360"/>
      <c r="DV308" s="360"/>
      <c r="DW308" s="360"/>
      <c r="DX308" s="360"/>
      <c r="DY308" s="360"/>
      <c r="DZ308" s="360"/>
      <c r="EA308" s="360"/>
      <c r="EB308" s="360"/>
      <c r="EC308" s="360"/>
      <c r="ED308" s="360"/>
      <c r="EE308" s="360"/>
      <c r="EF308" s="360"/>
      <c r="EG308" s="360"/>
      <c r="EH308" s="360"/>
      <c r="EI308" s="360"/>
      <c r="EJ308" s="360"/>
      <c r="EK308" s="360"/>
      <c r="EL308" s="360"/>
      <c r="EM308" s="360"/>
      <c r="EN308" s="360"/>
      <c r="EO308" s="360"/>
      <c r="EP308" s="360"/>
      <c r="EQ308" s="360"/>
    </row>
    <row r="309" spans="1:147" x14ac:dyDescent="0.35">
      <c r="A309" s="6" t="s">
        <v>1416</v>
      </c>
      <c r="B309" s="6" t="s">
        <v>740</v>
      </c>
      <c r="C309" s="6" t="s">
        <v>788</v>
      </c>
      <c r="D309" s="6" t="s">
        <v>741</v>
      </c>
      <c r="E309" s="6" t="s">
        <v>459</v>
      </c>
      <c r="F309" s="6" t="s">
        <v>464</v>
      </c>
      <c r="G309" s="48" t="s">
        <v>1417</v>
      </c>
      <c r="H309" s="48" t="s">
        <v>981</v>
      </c>
      <c r="I309" s="102">
        <v>30</v>
      </c>
      <c r="J309" s="102">
        <v>30</v>
      </c>
      <c r="K309" s="102">
        <v>30</v>
      </c>
      <c r="L309" s="102">
        <v>30</v>
      </c>
      <c r="M309" s="102">
        <v>30</v>
      </c>
      <c r="N309" s="102">
        <v>30</v>
      </c>
      <c r="O309" s="102">
        <v>30</v>
      </c>
      <c r="P309" s="94">
        <v>0</v>
      </c>
      <c r="Q309" s="102">
        <v>1</v>
      </c>
      <c r="R309" s="102">
        <v>1</v>
      </c>
      <c r="S309" s="102">
        <v>1</v>
      </c>
      <c r="T309" s="102">
        <v>1</v>
      </c>
      <c r="U309" s="102">
        <v>1</v>
      </c>
      <c r="V309" s="102">
        <v>1</v>
      </c>
      <c r="W309" s="102">
        <v>1</v>
      </c>
      <c r="X309" s="102">
        <v>0</v>
      </c>
      <c r="Y309" s="102">
        <v>0</v>
      </c>
      <c r="Z309" s="102">
        <v>0</v>
      </c>
      <c r="AA309" s="102">
        <v>0</v>
      </c>
      <c r="AB309" s="102">
        <v>0</v>
      </c>
      <c r="AC309" s="102">
        <v>0</v>
      </c>
      <c r="AD309" s="102">
        <v>0</v>
      </c>
      <c r="AE309" s="186">
        <v>0.08</v>
      </c>
      <c r="AF309" s="94">
        <v>0</v>
      </c>
      <c r="AG309" s="94">
        <v>20</v>
      </c>
      <c r="AH309" s="94">
        <v>20</v>
      </c>
      <c r="AI309" s="17">
        <v>31.536000000000001</v>
      </c>
      <c r="AJ309" s="17" t="s">
        <v>660</v>
      </c>
      <c r="AK309" s="17" t="s">
        <v>745</v>
      </c>
      <c r="AL309" s="17"/>
      <c r="AM309" s="61"/>
      <c r="AN309" s="61"/>
      <c r="AO309" s="61"/>
      <c r="AP309" s="61"/>
      <c r="AQ309" s="61"/>
      <c r="AR309" s="61"/>
      <c r="AS309" s="64"/>
      <c r="AT309" s="64"/>
      <c r="AU309" s="64"/>
      <c r="AV309" s="132"/>
      <c r="AW309" s="132"/>
      <c r="AX309" s="132"/>
      <c r="AY309" s="28" t="s">
        <v>662</v>
      </c>
      <c r="AZ309" s="28"/>
      <c r="BA309" s="28"/>
      <c r="BB309" s="28"/>
      <c r="BC309" s="28"/>
      <c r="BD309" s="28"/>
      <c r="BE309" s="28"/>
      <c r="BF309" s="28"/>
      <c r="BG309" s="28"/>
      <c r="BH309" s="106"/>
      <c r="BI309" s="106"/>
      <c r="BJ309" s="106"/>
      <c r="BK309" s="106"/>
      <c r="BL309" s="137"/>
      <c r="BM309" s="123"/>
      <c r="BN309" s="139">
        <v>0</v>
      </c>
      <c r="BO309" s="94"/>
      <c r="BP309" s="94"/>
      <c r="BQ309" s="94"/>
      <c r="BR309" s="94"/>
      <c r="BS309" s="94"/>
      <c r="BT309" s="94"/>
      <c r="BU309" s="28">
        <f t="shared" si="277"/>
        <v>0</v>
      </c>
      <c r="BV309" s="28"/>
      <c r="BW309" s="28"/>
      <c r="BX309" s="28"/>
      <c r="BY309" s="28"/>
      <c r="BZ309" s="28"/>
      <c r="CA309" s="28"/>
      <c r="CB309" s="99"/>
      <c r="CC309" s="99"/>
      <c r="CD309" s="99"/>
      <c r="CE309" s="99"/>
      <c r="CF309" s="99"/>
      <c r="CG309" s="99"/>
      <c r="CH309" s="99"/>
      <c r="CI309" s="175"/>
      <c r="CJ309" s="175"/>
      <c r="CK309" s="175"/>
      <c r="CL309" s="175"/>
      <c r="CM309" s="175"/>
      <c r="CN309" s="175"/>
      <c r="CO309" s="175"/>
      <c r="CP309" s="176"/>
      <c r="CQ309" s="176"/>
      <c r="CR309" s="176"/>
      <c r="CS309" s="176"/>
      <c r="CT309" s="176"/>
      <c r="CU309" s="176"/>
      <c r="CV309" s="176"/>
      <c r="CW309" s="167"/>
      <c r="CX309" s="168"/>
      <c r="CY309" s="168"/>
      <c r="CZ309" s="168"/>
      <c r="DA309" s="168"/>
      <c r="DB309" s="168"/>
      <c r="DC309" s="168"/>
      <c r="DD309" s="172"/>
      <c r="DE309" s="172"/>
      <c r="DF309" s="172"/>
      <c r="DG309" s="172"/>
      <c r="DH309" s="172"/>
      <c r="DI309" s="172"/>
      <c r="DJ309" s="172"/>
      <c r="DK309" s="80" t="s">
        <v>1409</v>
      </c>
      <c r="DL309" s="129">
        <v>0</v>
      </c>
      <c r="DM309" s="129">
        <v>0</v>
      </c>
      <c r="DN309" s="129">
        <v>0</v>
      </c>
      <c r="DO309" s="129">
        <v>0</v>
      </c>
      <c r="DP309" s="129">
        <v>0</v>
      </c>
      <c r="DQ309" s="129">
        <v>0</v>
      </c>
      <c r="DR309" s="129">
        <v>0</v>
      </c>
      <c r="DS309" s="218"/>
      <c r="DT309" s="360"/>
      <c r="DU309" s="360"/>
      <c r="DV309" s="360"/>
      <c r="DW309" s="360"/>
      <c r="DX309" s="360"/>
      <c r="DY309" s="360"/>
      <c r="DZ309" s="360"/>
      <c r="EA309" s="360"/>
      <c r="EB309" s="360"/>
      <c r="EC309" s="360"/>
      <c r="ED309" s="360"/>
      <c r="EE309" s="360"/>
      <c r="EF309" s="360"/>
      <c r="EG309" s="360"/>
      <c r="EH309" s="360"/>
      <c r="EI309" s="360"/>
      <c r="EJ309" s="360"/>
      <c r="EK309" s="360"/>
      <c r="EL309" s="360"/>
      <c r="EM309" s="360"/>
      <c r="EN309" s="360"/>
      <c r="EO309" s="360"/>
      <c r="EP309" s="360"/>
      <c r="EQ309" s="360"/>
    </row>
    <row r="310" spans="1:147" x14ac:dyDescent="0.35">
      <c r="A310" s="5" t="s">
        <v>1418</v>
      </c>
      <c r="B310" s="5" t="s">
        <v>740</v>
      </c>
      <c r="C310" s="5" t="s">
        <v>788</v>
      </c>
      <c r="D310" s="5" t="s">
        <v>741</v>
      </c>
      <c r="E310" s="5" t="s">
        <v>459</v>
      </c>
      <c r="F310" s="5" t="s">
        <v>464</v>
      </c>
      <c r="G310" s="47" t="s">
        <v>1419</v>
      </c>
      <c r="H310" s="47" t="s">
        <v>981</v>
      </c>
      <c r="I310" s="101">
        <v>40</v>
      </c>
      <c r="J310" s="101">
        <v>40</v>
      </c>
      <c r="K310" s="101">
        <v>40</v>
      </c>
      <c r="L310" s="101">
        <v>40</v>
      </c>
      <c r="M310" s="101">
        <v>40</v>
      </c>
      <c r="N310" s="101">
        <v>40</v>
      </c>
      <c r="O310" s="101">
        <v>40</v>
      </c>
      <c r="P310" s="93">
        <v>0</v>
      </c>
      <c r="Q310" s="101">
        <v>5</v>
      </c>
      <c r="R310" s="101">
        <v>5</v>
      </c>
      <c r="S310" s="101">
        <v>5</v>
      </c>
      <c r="T310" s="101">
        <v>5</v>
      </c>
      <c r="U310" s="101">
        <v>5</v>
      </c>
      <c r="V310" s="101">
        <v>5</v>
      </c>
      <c r="W310" s="101">
        <v>5</v>
      </c>
      <c r="X310" s="101">
        <v>0</v>
      </c>
      <c r="Y310" s="101">
        <v>0</v>
      </c>
      <c r="Z310" s="101">
        <v>0</v>
      </c>
      <c r="AA310" s="101">
        <v>0</v>
      </c>
      <c r="AB310" s="101">
        <v>0</v>
      </c>
      <c r="AC310" s="101">
        <v>0</v>
      </c>
      <c r="AD310" s="101">
        <v>0</v>
      </c>
      <c r="AE310" s="186">
        <v>0.08</v>
      </c>
      <c r="AF310" s="93">
        <v>0</v>
      </c>
      <c r="AG310" s="93">
        <v>20</v>
      </c>
      <c r="AH310" s="93">
        <v>20</v>
      </c>
      <c r="AI310" s="16">
        <v>31.536000000000001</v>
      </c>
      <c r="AJ310" s="16" t="s">
        <v>660</v>
      </c>
      <c r="AK310" s="16" t="s">
        <v>745</v>
      </c>
      <c r="AL310" s="16"/>
      <c r="AM310" s="60"/>
      <c r="AN310" s="60"/>
      <c r="AO310" s="60"/>
      <c r="AP310" s="60"/>
      <c r="AQ310" s="60"/>
      <c r="AR310" s="60"/>
      <c r="AS310" s="63"/>
      <c r="AT310" s="63"/>
      <c r="AU310" s="63"/>
      <c r="AV310" s="131"/>
      <c r="AW310" s="131"/>
      <c r="AX310" s="131"/>
      <c r="AY310" s="27" t="s">
        <v>662</v>
      </c>
      <c r="AZ310" s="27"/>
      <c r="BA310" s="27"/>
      <c r="BB310" s="30"/>
      <c r="BC310" s="30"/>
      <c r="BD310" s="30"/>
      <c r="BE310" s="30"/>
      <c r="BF310" s="30"/>
      <c r="BG310" s="30"/>
      <c r="BH310" s="107"/>
      <c r="BI310" s="107"/>
      <c r="BJ310" s="107"/>
      <c r="BK310" s="107"/>
      <c r="BL310" s="136"/>
      <c r="BM310" s="122"/>
      <c r="BN310" s="138">
        <v>0</v>
      </c>
      <c r="BO310" s="93"/>
      <c r="BP310" s="93"/>
      <c r="BQ310" s="93"/>
      <c r="BR310" s="93"/>
      <c r="BS310" s="93"/>
      <c r="BT310" s="93"/>
      <c r="BU310" s="27">
        <f t="shared" si="277"/>
        <v>0</v>
      </c>
      <c r="BV310" s="27"/>
      <c r="BW310" s="27"/>
      <c r="BX310" s="27"/>
      <c r="BY310" s="27"/>
      <c r="BZ310" s="27"/>
      <c r="CA310" s="27"/>
      <c r="CB310" s="97"/>
      <c r="CC310" s="97"/>
      <c r="CD310" s="97"/>
      <c r="CE310" s="97"/>
      <c r="CF310" s="97"/>
      <c r="CG310" s="97"/>
      <c r="CH310" s="97"/>
      <c r="CI310" s="173"/>
      <c r="CJ310" s="173"/>
      <c r="CK310" s="173"/>
      <c r="CL310" s="173"/>
      <c r="CM310" s="173"/>
      <c r="CN310" s="173"/>
      <c r="CO310" s="173"/>
      <c r="CP310" s="174"/>
      <c r="CQ310" s="174"/>
      <c r="CR310" s="174"/>
      <c r="CS310" s="174"/>
      <c r="CT310" s="174"/>
      <c r="CU310" s="174"/>
      <c r="CV310" s="174"/>
      <c r="CW310" s="165"/>
      <c r="CX310" s="166"/>
      <c r="CY310" s="166"/>
      <c r="CZ310" s="166"/>
      <c r="DA310" s="166"/>
      <c r="DB310" s="166"/>
      <c r="DC310" s="166"/>
      <c r="DD310" s="171"/>
      <c r="DE310" s="171"/>
      <c r="DF310" s="171"/>
      <c r="DG310" s="171"/>
      <c r="DH310" s="171"/>
      <c r="DI310" s="171"/>
      <c r="DJ310" s="171"/>
      <c r="DK310" s="79" t="s">
        <v>1409</v>
      </c>
      <c r="DL310" s="128">
        <v>100</v>
      </c>
      <c r="DM310" s="128">
        <v>100</v>
      </c>
      <c r="DN310" s="128">
        <v>100</v>
      </c>
      <c r="DO310" s="128">
        <v>100</v>
      </c>
      <c r="DP310" s="128">
        <v>100</v>
      </c>
      <c r="DQ310" s="128">
        <v>100</v>
      </c>
      <c r="DR310" s="128">
        <v>100</v>
      </c>
      <c r="DS310" s="218"/>
      <c r="DT310" s="360"/>
      <c r="DU310" s="360"/>
      <c r="DV310" s="360"/>
      <c r="DW310" s="360"/>
      <c r="DX310" s="360"/>
      <c r="DY310" s="360"/>
      <c r="DZ310" s="360"/>
      <c r="EA310" s="360"/>
      <c r="EB310" s="360"/>
      <c r="EC310" s="360"/>
      <c r="ED310" s="360"/>
      <c r="EE310" s="360"/>
      <c r="EF310" s="360"/>
      <c r="EG310" s="360"/>
      <c r="EH310" s="360"/>
      <c r="EI310" s="360"/>
      <c r="EJ310" s="360"/>
      <c r="EK310" s="360"/>
      <c r="EL310" s="360"/>
      <c r="EM310" s="360"/>
      <c r="EN310" s="360"/>
      <c r="EO310" s="360"/>
      <c r="EP310" s="360"/>
      <c r="EQ310" s="360"/>
    </row>
    <row r="311" spans="1:147" x14ac:dyDescent="0.35">
      <c r="A311" s="6" t="s">
        <v>1420</v>
      </c>
      <c r="B311" s="6" t="s">
        <v>740</v>
      </c>
      <c r="C311" s="6" t="s">
        <v>788</v>
      </c>
      <c r="D311" s="6" t="s">
        <v>741</v>
      </c>
      <c r="E311" s="6" t="s">
        <v>459</v>
      </c>
      <c r="F311" s="6" t="s">
        <v>464</v>
      </c>
      <c r="G311" s="48" t="s">
        <v>1421</v>
      </c>
      <c r="H311" s="48" t="s">
        <v>981</v>
      </c>
      <c r="I311" s="102">
        <v>400</v>
      </c>
      <c r="J311" s="102">
        <v>400</v>
      </c>
      <c r="K311" s="102">
        <v>400</v>
      </c>
      <c r="L311" s="102">
        <v>400</v>
      </c>
      <c r="M311" s="102">
        <v>400</v>
      </c>
      <c r="N311" s="102">
        <v>400</v>
      </c>
      <c r="O311" s="102">
        <v>400</v>
      </c>
      <c r="P311" s="94">
        <v>0</v>
      </c>
      <c r="Q311" s="102">
        <v>5</v>
      </c>
      <c r="R311" s="102">
        <v>5</v>
      </c>
      <c r="S311" s="102">
        <v>5</v>
      </c>
      <c r="T311" s="102">
        <v>5</v>
      </c>
      <c r="U311" s="102">
        <v>5</v>
      </c>
      <c r="V311" s="102">
        <v>5</v>
      </c>
      <c r="W311" s="102">
        <v>5</v>
      </c>
      <c r="X311" s="102">
        <v>0</v>
      </c>
      <c r="Y311" s="102">
        <v>0</v>
      </c>
      <c r="Z311" s="102">
        <v>0</v>
      </c>
      <c r="AA311" s="102">
        <v>0</v>
      </c>
      <c r="AB311" s="102">
        <v>0</v>
      </c>
      <c r="AC311" s="102">
        <v>0</v>
      </c>
      <c r="AD311" s="102">
        <v>0</v>
      </c>
      <c r="AE311" s="186">
        <v>0.08</v>
      </c>
      <c r="AF311" s="94">
        <v>0</v>
      </c>
      <c r="AG311" s="94">
        <v>20</v>
      </c>
      <c r="AH311" s="94">
        <v>20</v>
      </c>
      <c r="AI311" s="17">
        <v>31.536000000000001</v>
      </c>
      <c r="AJ311" s="17" t="s">
        <v>660</v>
      </c>
      <c r="AK311" s="17" t="s">
        <v>745</v>
      </c>
      <c r="AL311" s="17"/>
      <c r="AM311" s="61"/>
      <c r="AN311" s="61"/>
      <c r="AO311" s="61"/>
      <c r="AP311" s="61"/>
      <c r="AQ311" s="61"/>
      <c r="AR311" s="61"/>
      <c r="AS311" s="64"/>
      <c r="AT311" s="64"/>
      <c r="AU311" s="64"/>
      <c r="AV311" s="132"/>
      <c r="AW311" s="132"/>
      <c r="AX311" s="132"/>
      <c r="AY311" s="28" t="s">
        <v>662</v>
      </c>
      <c r="AZ311" s="28"/>
      <c r="BA311" s="28"/>
      <c r="BB311" s="28"/>
      <c r="BC311" s="28"/>
      <c r="BD311" s="28"/>
      <c r="BE311" s="28"/>
      <c r="BF311" s="28"/>
      <c r="BG311" s="28"/>
      <c r="BH311" s="106"/>
      <c r="BI311" s="106"/>
      <c r="BJ311" s="106"/>
      <c r="BK311" s="106"/>
      <c r="BL311" s="137"/>
      <c r="BM311" s="123"/>
      <c r="BN311" s="139">
        <v>0.5</v>
      </c>
      <c r="BO311" s="94">
        <v>0.1</v>
      </c>
      <c r="BP311" s="94">
        <v>0.1</v>
      </c>
      <c r="BQ311" s="94">
        <v>0.15</v>
      </c>
      <c r="BR311" s="94">
        <v>0.15</v>
      </c>
      <c r="BS311" s="94"/>
      <c r="BT311" s="94"/>
      <c r="BU311" s="28">
        <f t="shared" si="277"/>
        <v>0</v>
      </c>
      <c r="BV311" s="28"/>
      <c r="BW311" s="28"/>
      <c r="BX311" s="28"/>
      <c r="BY311" s="28"/>
      <c r="BZ311" s="28"/>
      <c r="CA311" s="28"/>
      <c r="CB311" s="99">
        <v>0.5</v>
      </c>
      <c r="CC311" s="99">
        <v>1</v>
      </c>
      <c r="CD311" s="99">
        <v>2</v>
      </c>
      <c r="CE311" s="99">
        <v>5</v>
      </c>
      <c r="CF311" s="99">
        <v>10</v>
      </c>
      <c r="CG311" s="99">
        <v>10</v>
      </c>
      <c r="CH311" s="99">
        <v>10</v>
      </c>
      <c r="CI311" s="175"/>
      <c r="CJ311" s="175"/>
      <c r="CK311" s="175"/>
      <c r="CL311" s="175"/>
      <c r="CM311" s="175"/>
      <c r="CN311" s="175"/>
      <c r="CO311" s="175"/>
      <c r="CP311" s="176"/>
      <c r="CQ311" s="176"/>
      <c r="CR311" s="176"/>
      <c r="CS311" s="176"/>
      <c r="CT311" s="176"/>
      <c r="CU311" s="176"/>
      <c r="CV311" s="176"/>
      <c r="CW311" s="167"/>
      <c r="CX311" s="168"/>
      <c r="CY311" s="168"/>
      <c r="CZ311" s="168"/>
      <c r="DA311" s="168"/>
      <c r="DB311" s="168"/>
      <c r="DC311" s="168"/>
      <c r="DD311" s="172"/>
      <c r="DE311" s="172"/>
      <c r="DF311" s="172"/>
      <c r="DG311" s="172"/>
      <c r="DH311" s="172"/>
      <c r="DI311" s="172"/>
      <c r="DJ311" s="172"/>
      <c r="DK311" s="80" t="s">
        <v>1409</v>
      </c>
      <c r="DL311" s="129">
        <v>100</v>
      </c>
      <c r="DM311" s="129">
        <v>100</v>
      </c>
      <c r="DN311" s="129">
        <v>100</v>
      </c>
      <c r="DO311" s="129">
        <v>100</v>
      </c>
      <c r="DP311" s="129">
        <v>100</v>
      </c>
      <c r="DQ311" s="129">
        <v>100</v>
      </c>
      <c r="DR311" s="129">
        <v>100</v>
      </c>
      <c r="DS311" s="218"/>
      <c r="DT311" s="360"/>
      <c r="DU311" s="360"/>
      <c r="DV311" s="360"/>
      <c r="DW311" s="360"/>
      <c r="DX311" s="360"/>
      <c r="DY311" s="360"/>
      <c r="DZ311" s="360"/>
      <c r="EA311" s="360"/>
      <c r="EB311" s="360"/>
      <c r="EC311" s="360"/>
      <c r="ED311" s="360"/>
      <c r="EE311" s="360"/>
      <c r="EF311" s="360"/>
      <c r="EG311" s="360"/>
      <c r="EH311" s="360"/>
      <c r="EI311" s="360"/>
      <c r="EJ311" s="360"/>
      <c r="EK311" s="360"/>
      <c r="EL311" s="360"/>
      <c r="EM311" s="360"/>
      <c r="EN311" s="360"/>
      <c r="EO311" s="360"/>
      <c r="EP311" s="360"/>
      <c r="EQ311" s="360"/>
    </row>
    <row r="312" spans="1:147" x14ac:dyDescent="0.35">
      <c r="A312" s="5" t="s">
        <v>1422</v>
      </c>
      <c r="B312" s="5" t="s">
        <v>740</v>
      </c>
      <c r="C312" s="5" t="s">
        <v>788</v>
      </c>
      <c r="D312" s="5" t="s">
        <v>741</v>
      </c>
      <c r="E312" s="5" t="s">
        <v>459</v>
      </c>
      <c r="F312" s="5" t="s">
        <v>464</v>
      </c>
      <c r="G312" s="47" t="s">
        <v>1423</v>
      </c>
      <c r="H312" s="47" t="s">
        <v>981</v>
      </c>
      <c r="I312" s="101">
        <v>500</v>
      </c>
      <c r="J312" s="101">
        <v>500</v>
      </c>
      <c r="K312" s="101">
        <v>500</v>
      </c>
      <c r="L312" s="101">
        <v>500</v>
      </c>
      <c r="M312" s="101">
        <v>500</v>
      </c>
      <c r="N312" s="101">
        <v>500</v>
      </c>
      <c r="O312" s="101">
        <v>500</v>
      </c>
      <c r="P312" s="93">
        <v>0</v>
      </c>
      <c r="Q312" s="101">
        <v>15</v>
      </c>
      <c r="R312" s="101">
        <v>15</v>
      </c>
      <c r="S312" s="101">
        <v>15</v>
      </c>
      <c r="T312" s="101">
        <v>15</v>
      </c>
      <c r="U312" s="101">
        <v>15</v>
      </c>
      <c r="V312" s="101">
        <v>15</v>
      </c>
      <c r="W312" s="101">
        <v>15</v>
      </c>
      <c r="X312" s="101">
        <v>0</v>
      </c>
      <c r="Y312" s="101">
        <v>0</v>
      </c>
      <c r="Z312" s="101">
        <v>0</v>
      </c>
      <c r="AA312" s="101">
        <v>0</v>
      </c>
      <c r="AB312" s="101">
        <v>0</v>
      </c>
      <c r="AC312" s="101">
        <v>0</v>
      </c>
      <c r="AD312" s="101">
        <v>0</v>
      </c>
      <c r="AE312" s="186">
        <v>0.08</v>
      </c>
      <c r="AF312" s="93">
        <v>0</v>
      </c>
      <c r="AG312" s="93">
        <v>20</v>
      </c>
      <c r="AH312" s="93">
        <v>20</v>
      </c>
      <c r="AI312" s="16">
        <v>31.536000000000001</v>
      </c>
      <c r="AJ312" s="16" t="s">
        <v>660</v>
      </c>
      <c r="AK312" s="16" t="s">
        <v>745</v>
      </c>
      <c r="AL312" s="16"/>
      <c r="AM312" s="60"/>
      <c r="AN312" s="60"/>
      <c r="AO312" s="60"/>
      <c r="AP312" s="60"/>
      <c r="AQ312" s="60"/>
      <c r="AR312" s="60"/>
      <c r="AS312" s="63"/>
      <c r="AT312" s="63"/>
      <c r="AU312" s="63"/>
      <c r="AV312" s="131"/>
      <c r="AW312" s="131"/>
      <c r="AX312" s="131"/>
      <c r="AY312" s="27" t="s">
        <v>662</v>
      </c>
      <c r="AZ312" s="27"/>
      <c r="BA312" s="27"/>
      <c r="BB312" s="30"/>
      <c r="BC312" s="30"/>
      <c r="BD312" s="30"/>
      <c r="BE312" s="30"/>
      <c r="BF312" s="30"/>
      <c r="BG312" s="30"/>
      <c r="BH312" s="107"/>
      <c r="BI312" s="107"/>
      <c r="BJ312" s="107"/>
      <c r="BK312" s="107"/>
      <c r="BL312" s="136"/>
      <c r="BM312" s="122"/>
      <c r="BN312" s="138">
        <v>0</v>
      </c>
      <c r="BO312" s="93"/>
      <c r="BP312" s="93"/>
      <c r="BQ312" s="93"/>
      <c r="BR312" s="93"/>
      <c r="BS312" s="93"/>
      <c r="BT312" s="93"/>
      <c r="BU312" s="27">
        <f t="shared" si="277"/>
        <v>0</v>
      </c>
      <c r="BV312" s="27"/>
      <c r="BW312" s="27"/>
      <c r="BX312" s="27"/>
      <c r="BY312" s="27"/>
      <c r="BZ312" s="27"/>
      <c r="CA312" s="27"/>
      <c r="CB312" s="97"/>
      <c r="CC312" s="97">
        <v>0.5</v>
      </c>
      <c r="CD312" s="97">
        <v>0.75</v>
      </c>
      <c r="CE312" s="97">
        <v>1</v>
      </c>
      <c r="CF312" s="97">
        <v>1.25</v>
      </c>
      <c r="CG312" s="97">
        <v>1.5</v>
      </c>
      <c r="CH312" s="97">
        <v>3</v>
      </c>
      <c r="CI312" s="173"/>
      <c r="CJ312" s="173"/>
      <c r="CK312" s="173"/>
      <c r="CL312" s="173"/>
      <c r="CM312" s="173"/>
      <c r="CN312" s="173"/>
      <c r="CO312" s="173"/>
      <c r="CP312" s="174"/>
      <c r="CQ312" s="174"/>
      <c r="CR312" s="174"/>
      <c r="CS312" s="174"/>
      <c r="CT312" s="174"/>
      <c r="CU312" s="174"/>
      <c r="CV312" s="174"/>
      <c r="CW312" s="165"/>
      <c r="CX312" s="166"/>
      <c r="CY312" s="166"/>
      <c r="CZ312" s="166"/>
      <c r="DA312" s="166"/>
      <c r="DB312" s="166"/>
      <c r="DC312" s="166"/>
      <c r="DD312" s="171"/>
      <c r="DE312" s="171"/>
      <c r="DF312" s="171"/>
      <c r="DG312" s="171"/>
      <c r="DH312" s="171"/>
      <c r="DI312" s="171"/>
      <c r="DJ312" s="171"/>
      <c r="DK312" s="79" t="s">
        <v>1409</v>
      </c>
      <c r="DL312" s="128">
        <v>100</v>
      </c>
      <c r="DM312" s="128">
        <v>100</v>
      </c>
      <c r="DN312" s="128">
        <v>100</v>
      </c>
      <c r="DO312" s="128">
        <v>100</v>
      </c>
      <c r="DP312" s="128">
        <v>100</v>
      </c>
      <c r="DQ312" s="128">
        <v>100</v>
      </c>
      <c r="DR312" s="128">
        <v>100</v>
      </c>
      <c r="DS312" s="218"/>
      <c r="DT312" s="360"/>
      <c r="DU312" s="360"/>
      <c r="DV312" s="360"/>
      <c r="DW312" s="360"/>
      <c r="DX312" s="360"/>
      <c r="DY312" s="360"/>
      <c r="DZ312" s="360"/>
      <c r="EA312" s="360"/>
      <c r="EB312" s="360"/>
      <c r="EC312" s="360"/>
      <c r="ED312" s="360"/>
      <c r="EE312" s="360"/>
      <c r="EF312" s="360"/>
      <c r="EG312" s="360"/>
      <c r="EH312" s="360"/>
      <c r="EI312" s="360"/>
      <c r="EJ312" s="360"/>
      <c r="EK312" s="360"/>
      <c r="EL312" s="360"/>
      <c r="EM312" s="360"/>
      <c r="EN312" s="360"/>
      <c r="EO312" s="360"/>
      <c r="EP312" s="360"/>
      <c r="EQ312" s="360"/>
    </row>
    <row r="313" spans="1:147" x14ac:dyDescent="0.35">
      <c r="A313" s="6" t="s">
        <v>1424</v>
      </c>
      <c r="B313" s="6" t="s">
        <v>740</v>
      </c>
      <c r="C313" s="6" t="s">
        <v>788</v>
      </c>
      <c r="D313" s="6" t="s">
        <v>741</v>
      </c>
      <c r="E313" s="6" t="s">
        <v>459</v>
      </c>
      <c r="F313" s="6" t="s">
        <v>464</v>
      </c>
      <c r="G313" s="48" t="s">
        <v>1425</v>
      </c>
      <c r="H313" s="48" t="s">
        <v>981</v>
      </c>
      <c r="I313" s="102">
        <v>450</v>
      </c>
      <c r="J313" s="102">
        <v>450</v>
      </c>
      <c r="K313" s="102">
        <v>450</v>
      </c>
      <c r="L313" s="102">
        <v>450</v>
      </c>
      <c r="M313" s="102">
        <v>450</v>
      </c>
      <c r="N313" s="102">
        <v>450</v>
      </c>
      <c r="O313" s="102">
        <v>450</v>
      </c>
      <c r="P313" s="94">
        <v>0</v>
      </c>
      <c r="Q313" s="102">
        <v>30</v>
      </c>
      <c r="R313" s="102">
        <v>30</v>
      </c>
      <c r="S313" s="102">
        <v>30</v>
      </c>
      <c r="T313" s="102">
        <v>30</v>
      </c>
      <c r="U313" s="102">
        <v>30</v>
      </c>
      <c r="V313" s="102">
        <v>30</v>
      </c>
      <c r="W313" s="102">
        <v>30</v>
      </c>
      <c r="X313" s="102">
        <v>0</v>
      </c>
      <c r="Y313" s="102">
        <v>0</v>
      </c>
      <c r="Z313" s="102">
        <v>0</v>
      </c>
      <c r="AA313" s="102">
        <v>0</v>
      </c>
      <c r="AB313" s="102">
        <v>0</v>
      </c>
      <c r="AC313" s="102">
        <v>0</v>
      </c>
      <c r="AD313" s="102">
        <v>0</v>
      </c>
      <c r="AE313" s="186">
        <v>0.08</v>
      </c>
      <c r="AF313" s="94">
        <v>0</v>
      </c>
      <c r="AG313" s="94">
        <v>20</v>
      </c>
      <c r="AH313" s="94">
        <v>20</v>
      </c>
      <c r="AI313" s="17">
        <v>31.536000000000001</v>
      </c>
      <c r="AJ313" s="17" t="s">
        <v>982</v>
      </c>
      <c r="AK313" s="17" t="s">
        <v>745</v>
      </c>
      <c r="AL313" s="17"/>
      <c r="AM313" s="61" t="s">
        <v>464</v>
      </c>
      <c r="AN313" s="61" t="s">
        <v>491</v>
      </c>
      <c r="AO313" s="61">
        <v>0.95</v>
      </c>
      <c r="AP313" s="61" t="s">
        <v>766</v>
      </c>
      <c r="AQ313" s="61">
        <v>0.2</v>
      </c>
      <c r="AR313" s="61">
        <v>0.15</v>
      </c>
      <c r="AS313" s="64"/>
      <c r="AT313" s="64"/>
      <c r="AU313" s="64"/>
      <c r="AV313" s="132"/>
      <c r="AW313" s="132"/>
      <c r="AX313" s="132"/>
      <c r="AY313" s="28" t="s">
        <v>662</v>
      </c>
      <c r="AZ313" s="28"/>
      <c r="BA313" s="28"/>
      <c r="BB313" s="28"/>
      <c r="BC313" s="28"/>
      <c r="BD313" s="28"/>
      <c r="BE313" s="28"/>
      <c r="BF313" s="28"/>
      <c r="BG313" s="28"/>
      <c r="BH313" s="106"/>
      <c r="BI313" s="106"/>
      <c r="BJ313" s="106"/>
      <c r="BK313" s="106"/>
      <c r="BL313" s="137"/>
      <c r="BM313" s="123"/>
      <c r="BN313" s="139">
        <v>2.2000000000000002</v>
      </c>
      <c r="BO313" s="94">
        <v>0.55000000000000004</v>
      </c>
      <c r="BP313" s="94">
        <v>0.55000000000000004</v>
      </c>
      <c r="BQ313" s="94">
        <v>0.55000000000000004</v>
      </c>
      <c r="BR313" s="94">
        <v>0.55000000000000004</v>
      </c>
      <c r="BS313" s="94"/>
      <c r="BT313" s="94"/>
      <c r="BU313" s="28">
        <f t="shared" si="277"/>
        <v>0</v>
      </c>
      <c r="BV313" s="28"/>
      <c r="BW313" s="28"/>
      <c r="BX313" s="28"/>
      <c r="BY313" s="28"/>
      <c r="BZ313" s="28"/>
      <c r="CA313" s="28"/>
      <c r="CB313" s="99">
        <v>2.2000000000000002</v>
      </c>
      <c r="CC313" s="99">
        <v>5</v>
      </c>
      <c r="CD313" s="99">
        <v>5</v>
      </c>
      <c r="CE313" s="99">
        <v>5</v>
      </c>
      <c r="CF313" s="99">
        <v>10</v>
      </c>
      <c r="CG313" s="99">
        <v>10</v>
      </c>
      <c r="CH313" s="99">
        <v>10</v>
      </c>
      <c r="CI313" s="175"/>
      <c r="CJ313" s="175"/>
      <c r="CK313" s="175"/>
      <c r="CL313" s="175"/>
      <c r="CM313" s="175"/>
      <c r="CN313" s="175"/>
      <c r="CO313" s="175"/>
      <c r="CP313" s="176"/>
      <c r="CQ313" s="176"/>
      <c r="CR313" s="176"/>
      <c r="CS313" s="176"/>
      <c r="CT313" s="176"/>
      <c r="CU313" s="176"/>
      <c r="CV313" s="176"/>
      <c r="CW313" s="167"/>
      <c r="CX313" s="168"/>
      <c r="CY313" s="168"/>
      <c r="CZ313" s="168"/>
      <c r="DA313" s="168"/>
      <c r="DB313" s="168"/>
      <c r="DC313" s="168"/>
      <c r="DD313" s="172"/>
      <c r="DE313" s="172"/>
      <c r="DF313" s="172"/>
      <c r="DG313" s="172"/>
      <c r="DH313" s="172"/>
      <c r="DI313" s="172"/>
      <c r="DJ313" s="172"/>
      <c r="DK313" s="80" t="s">
        <v>1409</v>
      </c>
      <c r="DL313" s="129">
        <v>100</v>
      </c>
      <c r="DM313" s="129">
        <v>100</v>
      </c>
      <c r="DN313" s="129">
        <v>100</v>
      </c>
      <c r="DO313" s="129">
        <v>100</v>
      </c>
      <c r="DP313" s="129">
        <v>100</v>
      </c>
      <c r="DQ313" s="129">
        <v>100</v>
      </c>
      <c r="DR313" s="129">
        <v>100</v>
      </c>
      <c r="DS313" s="218"/>
      <c r="DT313" s="360"/>
      <c r="DU313" s="360"/>
      <c r="DV313" s="360"/>
      <c r="DW313" s="360"/>
      <c r="DX313" s="360"/>
      <c r="DY313" s="360"/>
      <c r="DZ313" s="360"/>
      <c r="EA313" s="360"/>
      <c r="EB313" s="360"/>
      <c r="EC313" s="360"/>
      <c r="ED313" s="360"/>
      <c r="EE313" s="360"/>
      <c r="EF313" s="360"/>
      <c r="EG313" s="360"/>
      <c r="EH313" s="360"/>
      <c r="EI313" s="360"/>
      <c r="EJ313" s="360"/>
      <c r="EK313" s="360"/>
      <c r="EL313" s="360"/>
      <c r="EM313" s="360"/>
      <c r="EN313" s="360"/>
      <c r="EO313" s="360"/>
      <c r="EP313" s="360"/>
      <c r="EQ313" s="360"/>
    </row>
    <row r="314" spans="1:147" x14ac:dyDescent="0.35">
      <c r="A314" s="5" t="s">
        <v>1426</v>
      </c>
      <c r="B314" s="5" t="s">
        <v>740</v>
      </c>
      <c r="C314" s="5" t="s">
        <v>788</v>
      </c>
      <c r="D314" s="5" t="s">
        <v>741</v>
      </c>
      <c r="E314" s="5" t="s">
        <v>459</v>
      </c>
      <c r="F314" s="5" t="s">
        <v>464</v>
      </c>
      <c r="G314" s="47" t="s">
        <v>1427</v>
      </c>
      <c r="H314" s="47" t="s">
        <v>981</v>
      </c>
      <c r="I314" s="101">
        <v>550</v>
      </c>
      <c r="J314" s="101">
        <v>550</v>
      </c>
      <c r="K314" s="101">
        <v>550</v>
      </c>
      <c r="L314" s="101">
        <v>550</v>
      </c>
      <c r="M314" s="101">
        <v>550</v>
      </c>
      <c r="N314" s="101">
        <v>550</v>
      </c>
      <c r="O314" s="101">
        <v>550</v>
      </c>
      <c r="P314" s="93">
        <v>0</v>
      </c>
      <c r="Q314" s="101">
        <v>50</v>
      </c>
      <c r="R314" s="101">
        <v>50</v>
      </c>
      <c r="S314" s="101">
        <v>50</v>
      </c>
      <c r="T314" s="101">
        <v>50</v>
      </c>
      <c r="U314" s="101">
        <v>50</v>
      </c>
      <c r="V314" s="101">
        <v>50</v>
      </c>
      <c r="W314" s="101">
        <v>50</v>
      </c>
      <c r="X314" s="101">
        <v>0</v>
      </c>
      <c r="Y314" s="101">
        <v>0</v>
      </c>
      <c r="Z314" s="101">
        <v>0</v>
      </c>
      <c r="AA314" s="101">
        <v>0</v>
      </c>
      <c r="AB314" s="101">
        <v>0</v>
      </c>
      <c r="AC314" s="101">
        <v>0</v>
      </c>
      <c r="AD314" s="101">
        <v>0</v>
      </c>
      <c r="AE314" s="186">
        <v>0.08</v>
      </c>
      <c r="AF314" s="93">
        <v>0</v>
      </c>
      <c r="AG314" s="93">
        <v>20</v>
      </c>
      <c r="AH314" s="93">
        <v>20</v>
      </c>
      <c r="AI314" s="16">
        <v>31.536000000000001</v>
      </c>
      <c r="AJ314" s="16" t="s">
        <v>982</v>
      </c>
      <c r="AK314" s="16" t="s">
        <v>745</v>
      </c>
      <c r="AL314" s="16"/>
      <c r="AM314" s="60" t="s">
        <v>464</v>
      </c>
      <c r="AN314" s="60" t="s">
        <v>491</v>
      </c>
      <c r="AO314" s="60">
        <v>0.95</v>
      </c>
      <c r="AP314" s="60" t="s">
        <v>766</v>
      </c>
      <c r="AQ314" s="60">
        <v>0.2</v>
      </c>
      <c r="AR314" s="60">
        <v>0.15</v>
      </c>
      <c r="AS314" s="63"/>
      <c r="AT314" s="63"/>
      <c r="AU314" s="63"/>
      <c r="AV314" s="131"/>
      <c r="AW314" s="131"/>
      <c r="AX314" s="131"/>
      <c r="AY314" s="27" t="s">
        <v>662</v>
      </c>
      <c r="AZ314" s="27"/>
      <c r="BA314" s="27"/>
      <c r="BB314" s="30"/>
      <c r="BC314" s="30"/>
      <c r="BD314" s="30"/>
      <c r="BE314" s="30"/>
      <c r="BF314" s="30"/>
      <c r="BG314" s="30"/>
      <c r="BH314" s="107"/>
      <c r="BI314" s="107"/>
      <c r="BJ314" s="107"/>
      <c r="BK314" s="107"/>
      <c r="BL314" s="136"/>
      <c r="BM314" s="122"/>
      <c r="BN314" s="138">
        <v>0</v>
      </c>
      <c r="BO314" s="93"/>
      <c r="BP314" s="93"/>
      <c r="BQ314" s="93"/>
      <c r="BR314" s="93"/>
      <c r="BS314" s="93"/>
      <c r="BT314" s="93"/>
      <c r="BU314" s="27">
        <f t="shared" si="277"/>
        <v>0</v>
      </c>
      <c r="BV314" s="27"/>
      <c r="BW314" s="27"/>
      <c r="BX314" s="27"/>
      <c r="BY314" s="27"/>
      <c r="BZ314" s="27"/>
      <c r="CA314" s="27"/>
      <c r="CB314" s="97"/>
      <c r="CC314" s="97">
        <v>1</v>
      </c>
      <c r="CD314" s="97">
        <v>2</v>
      </c>
      <c r="CE314" s="97">
        <v>5</v>
      </c>
      <c r="CF314" s="97">
        <v>10</v>
      </c>
      <c r="CG314" s="97">
        <v>10</v>
      </c>
      <c r="CH314" s="97">
        <v>10</v>
      </c>
      <c r="CI314" s="173"/>
      <c r="CJ314" s="173"/>
      <c r="CK314" s="173"/>
      <c r="CL314" s="173"/>
      <c r="CM314" s="173"/>
      <c r="CN314" s="173"/>
      <c r="CO314" s="173"/>
      <c r="CP314" s="174"/>
      <c r="CQ314" s="174"/>
      <c r="CR314" s="174"/>
      <c r="CS314" s="174"/>
      <c r="CT314" s="174"/>
      <c r="CU314" s="174"/>
      <c r="CV314" s="174"/>
      <c r="CW314" s="165"/>
      <c r="CX314" s="166"/>
      <c r="CY314" s="166"/>
      <c r="CZ314" s="166"/>
      <c r="DA314" s="166"/>
      <c r="DB314" s="166"/>
      <c r="DC314" s="166"/>
      <c r="DD314" s="171"/>
      <c r="DE314" s="171"/>
      <c r="DF314" s="171"/>
      <c r="DG314" s="171"/>
      <c r="DH314" s="171"/>
      <c r="DI314" s="171"/>
      <c r="DJ314" s="171"/>
      <c r="DK314" s="79" t="s">
        <v>1409</v>
      </c>
      <c r="DL314" s="128">
        <v>100</v>
      </c>
      <c r="DM314" s="128">
        <v>100</v>
      </c>
      <c r="DN314" s="128">
        <v>100</v>
      </c>
      <c r="DO314" s="128">
        <v>100</v>
      </c>
      <c r="DP314" s="128">
        <v>100</v>
      </c>
      <c r="DQ314" s="128">
        <v>100</v>
      </c>
      <c r="DR314" s="128">
        <v>100</v>
      </c>
      <c r="DS314" s="218"/>
      <c r="DT314" s="360"/>
      <c r="DU314" s="360"/>
      <c r="DV314" s="360"/>
      <c r="DW314" s="360"/>
      <c r="DX314" s="360"/>
      <c r="DY314" s="360"/>
      <c r="DZ314" s="360"/>
      <c r="EA314" s="360"/>
      <c r="EB314" s="360"/>
      <c r="EC314" s="360"/>
      <c r="ED314" s="360"/>
      <c r="EE314" s="360"/>
      <c r="EF314" s="360"/>
      <c r="EG314" s="360"/>
      <c r="EH314" s="360"/>
      <c r="EI314" s="360"/>
      <c r="EJ314" s="360"/>
      <c r="EK314" s="360"/>
      <c r="EL314" s="360"/>
      <c r="EM314" s="360"/>
      <c r="EN314" s="360"/>
      <c r="EO314" s="360"/>
      <c r="EP314" s="360"/>
      <c r="EQ314" s="360"/>
    </row>
    <row r="315" spans="1:147" x14ac:dyDescent="0.35">
      <c r="A315" s="6" t="s">
        <v>1428</v>
      </c>
      <c r="B315" s="6" t="s">
        <v>740</v>
      </c>
      <c r="C315" s="6" t="s">
        <v>788</v>
      </c>
      <c r="D315" s="6" t="s">
        <v>741</v>
      </c>
      <c r="E315" s="6" t="s">
        <v>459</v>
      </c>
      <c r="F315" s="6" t="s">
        <v>464</v>
      </c>
      <c r="G315" s="48" t="s">
        <v>1429</v>
      </c>
      <c r="H315" s="48" t="s">
        <v>981</v>
      </c>
      <c r="I315" s="102">
        <v>500</v>
      </c>
      <c r="J315" s="102">
        <v>500</v>
      </c>
      <c r="K315" s="102">
        <v>500</v>
      </c>
      <c r="L315" s="102">
        <v>500</v>
      </c>
      <c r="M315" s="102">
        <v>500</v>
      </c>
      <c r="N315" s="102">
        <v>500</v>
      </c>
      <c r="O315" s="102">
        <v>500</v>
      </c>
      <c r="P315" s="94">
        <v>0</v>
      </c>
      <c r="Q315" s="102">
        <v>30</v>
      </c>
      <c r="R315" s="102">
        <v>30</v>
      </c>
      <c r="S315" s="102">
        <v>30</v>
      </c>
      <c r="T315" s="102">
        <v>30</v>
      </c>
      <c r="U315" s="102">
        <v>30</v>
      </c>
      <c r="V315" s="102">
        <v>30</v>
      </c>
      <c r="W315" s="102">
        <v>30</v>
      </c>
      <c r="X315" s="102">
        <v>0</v>
      </c>
      <c r="Y315" s="102">
        <v>0</v>
      </c>
      <c r="Z315" s="102">
        <v>0</v>
      </c>
      <c r="AA315" s="102">
        <v>0</v>
      </c>
      <c r="AB315" s="102">
        <v>0</v>
      </c>
      <c r="AC315" s="102">
        <v>0</v>
      </c>
      <c r="AD315" s="102">
        <v>0</v>
      </c>
      <c r="AE315" s="186">
        <v>0.08</v>
      </c>
      <c r="AF315" s="94">
        <v>0</v>
      </c>
      <c r="AG315" s="94">
        <v>20</v>
      </c>
      <c r="AH315" s="94">
        <v>20</v>
      </c>
      <c r="AI315" s="17">
        <v>31.536000000000001</v>
      </c>
      <c r="AJ315" s="17" t="s">
        <v>982</v>
      </c>
      <c r="AK315" s="17" t="s">
        <v>745</v>
      </c>
      <c r="AL315" s="17"/>
      <c r="AM315" s="61" t="s">
        <v>464</v>
      </c>
      <c r="AN315" s="61" t="s">
        <v>468</v>
      </c>
      <c r="AO315" s="61">
        <v>0.95</v>
      </c>
      <c r="AP315" s="61" t="s">
        <v>766</v>
      </c>
      <c r="AQ315" s="61">
        <v>0.2</v>
      </c>
      <c r="AR315" s="61">
        <v>0.15</v>
      </c>
      <c r="AS315" s="64"/>
      <c r="AT315" s="64"/>
      <c r="AU315" s="64"/>
      <c r="AV315" s="132"/>
      <c r="AW315" s="132"/>
      <c r="AX315" s="132"/>
      <c r="AY315" s="28" t="s">
        <v>662</v>
      </c>
      <c r="AZ315" s="28"/>
      <c r="BA315" s="28"/>
      <c r="BB315" s="28"/>
      <c r="BC315" s="28"/>
      <c r="BD315" s="28"/>
      <c r="BE315" s="28"/>
      <c r="BF315" s="28"/>
      <c r="BG315" s="28"/>
      <c r="BH315" s="106"/>
      <c r="BI315" s="106"/>
      <c r="BJ315" s="106"/>
      <c r="BK315" s="106"/>
      <c r="BL315" s="137"/>
      <c r="BM315" s="123"/>
      <c r="BN315" s="139">
        <v>0.1</v>
      </c>
      <c r="BO315" s="94">
        <v>0.04</v>
      </c>
      <c r="BP315" s="94">
        <v>0.03</v>
      </c>
      <c r="BQ315" s="94">
        <v>0.03</v>
      </c>
      <c r="BR315" s="94"/>
      <c r="BS315" s="94"/>
      <c r="BT315" s="94"/>
      <c r="BU315" s="28">
        <f t="shared" ref="BU315:BU316" si="281">IF(BL315=1,BN315,0)</f>
        <v>0</v>
      </c>
      <c r="BV315" s="28"/>
      <c r="BW315" s="28"/>
      <c r="BX315" s="28"/>
      <c r="BY315" s="28"/>
      <c r="BZ315" s="28"/>
      <c r="CA315" s="28"/>
      <c r="CB315" s="99">
        <v>0.1</v>
      </c>
      <c r="CC315" s="99">
        <v>0.1</v>
      </c>
      <c r="CD315" s="99">
        <v>0.1</v>
      </c>
      <c r="CE315" s="99"/>
      <c r="CF315" s="99"/>
      <c r="CG315" s="99"/>
      <c r="CH315" s="99"/>
      <c r="CI315" s="175"/>
      <c r="CJ315" s="175"/>
      <c r="CK315" s="175"/>
      <c r="CL315" s="175"/>
      <c r="CM315" s="175"/>
      <c r="CN315" s="175"/>
      <c r="CO315" s="175"/>
      <c r="CP315" s="176"/>
      <c r="CQ315" s="176"/>
      <c r="CR315" s="176"/>
      <c r="CS315" s="176"/>
      <c r="CT315" s="176"/>
      <c r="CU315" s="176"/>
      <c r="CV315" s="176"/>
      <c r="CW315" s="167"/>
      <c r="CX315" s="168"/>
      <c r="CY315" s="168"/>
      <c r="CZ315" s="168"/>
      <c r="DA315" s="168"/>
      <c r="DB315" s="168"/>
      <c r="DC315" s="168"/>
      <c r="DD315" s="172"/>
      <c r="DE315" s="172"/>
      <c r="DF315" s="172"/>
      <c r="DG315" s="172"/>
      <c r="DH315" s="172"/>
      <c r="DI315" s="172"/>
      <c r="DJ315" s="172"/>
      <c r="DK315" s="80" t="s">
        <v>1409</v>
      </c>
      <c r="DL315" s="129">
        <v>100</v>
      </c>
      <c r="DM315" s="129">
        <v>100</v>
      </c>
      <c r="DN315" s="129">
        <v>100</v>
      </c>
      <c r="DO315" s="129">
        <v>100</v>
      </c>
      <c r="DP315" s="129">
        <v>100</v>
      </c>
      <c r="DQ315" s="129">
        <v>100</v>
      </c>
      <c r="DR315" s="129">
        <v>100</v>
      </c>
      <c r="DS315" s="218"/>
      <c r="DT315" s="360"/>
      <c r="DU315" s="360"/>
      <c r="DV315" s="360"/>
      <c r="DW315" s="360"/>
      <c r="DX315" s="360"/>
      <c r="DY315" s="360"/>
      <c r="DZ315" s="360"/>
      <c r="EA315" s="360"/>
      <c r="EB315" s="360"/>
      <c r="EC315" s="360"/>
      <c r="ED315" s="360"/>
      <c r="EE315" s="360"/>
      <c r="EF315" s="360"/>
      <c r="EG315" s="360"/>
      <c r="EH315" s="360"/>
      <c r="EI315" s="360"/>
      <c r="EJ315" s="360"/>
      <c r="EK315" s="360"/>
      <c r="EL315" s="360"/>
      <c r="EM315" s="360"/>
      <c r="EN315" s="360"/>
      <c r="EO315" s="360"/>
      <c r="EP315" s="360"/>
      <c r="EQ315" s="360"/>
    </row>
    <row r="316" spans="1:147" x14ac:dyDescent="0.35">
      <c r="A316" s="5" t="s">
        <v>1430</v>
      </c>
      <c r="B316" s="5" t="s">
        <v>740</v>
      </c>
      <c r="C316" s="5" t="s">
        <v>788</v>
      </c>
      <c r="D316" s="5" t="s">
        <v>741</v>
      </c>
      <c r="E316" s="5" t="s">
        <v>459</v>
      </c>
      <c r="F316" s="5" t="s">
        <v>464</v>
      </c>
      <c r="G316" s="47" t="s">
        <v>1431</v>
      </c>
      <c r="H316" s="47" t="s">
        <v>981</v>
      </c>
      <c r="I316" s="101">
        <v>600</v>
      </c>
      <c r="J316" s="101">
        <v>600</v>
      </c>
      <c r="K316" s="101">
        <v>600</v>
      </c>
      <c r="L316" s="101">
        <v>600</v>
      </c>
      <c r="M316" s="101">
        <v>600</v>
      </c>
      <c r="N316" s="101">
        <v>600</v>
      </c>
      <c r="O316" s="101">
        <v>600</v>
      </c>
      <c r="P316" s="93">
        <v>0</v>
      </c>
      <c r="Q316" s="101">
        <v>50</v>
      </c>
      <c r="R316" s="101">
        <v>50</v>
      </c>
      <c r="S316" s="101">
        <v>50</v>
      </c>
      <c r="T316" s="101">
        <v>50</v>
      </c>
      <c r="U316" s="101">
        <v>50</v>
      </c>
      <c r="V316" s="101">
        <v>50</v>
      </c>
      <c r="W316" s="101">
        <v>50</v>
      </c>
      <c r="X316" s="101">
        <v>0</v>
      </c>
      <c r="Y316" s="101">
        <v>0</v>
      </c>
      <c r="Z316" s="101">
        <v>0</v>
      </c>
      <c r="AA316" s="101">
        <v>0</v>
      </c>
      <c r="AB316" s="101">
        <v>0</v>
      </c>
      <c r="AC316" s="101">
        <v>0</v>
      </c>
      <c r="AD316" s="101">
        <v>0</v>
      </c>
      <c r="AE316" s="186">
        <v>0.08</v>
      </c>
      <c r="AF316" s="93">
        <v>0</v>
      </c>
      <c r="AG316" s="93">
        <v>20</v>
      </c>
      <c r="AH316" s="93">
        <v>20</v>
      </c>
      <c r="AI316" s="16">
        <v>31.536000000000001</v>
      </c>
      <c r="AJ316" s="16" t="s">
        <v>982</v>
      </c>
      <c r="AK316" s="16" t="s">
        <v>745</v>
      </c>
      <c r="AL316" s="16"/>
      <c r="AM316" s="60" t="s">
        <v>464</v>
      </c>
      <c r="AN316" s="60" t="s">
        <v>491</v>
      </c>
      <c r="AO316" s="60">
        <v>0.95</v>
      </c>
      <c r="AP316" s="60" t="s">
        <v>766</v>
      </c>
      <c r="AQ316" s="60">
        <v>0.2</v>
      </c>
      <c r="AR316" s="60">
        <v>0.15</v>
      </c>
      <c r="AS316" s="63"/>
      <c r="AT316" s="63"/>
      <c r="AU316" s="63"/>
      <c r="AV316" s="131"/>
      <c r="AW316" s="131"/>
      <c r="AX316" s="131"/>
      <c r="AY316" s="27" t="s">
        <v>662</v>
      </c>
      <c r="AZ316" s="27"/>
      <c r="BA316" s="27"/>
      <c r="BB316" s="30"/>
      <c r="BC316" s="30"/>
      <c r="BD316" s="30"/>
      <c r="BE316" s="30"/>
      <c r="BF316" s="30"/>
      <c r="BG316" s="30"/>
      <c r="BH316" s="107"/>
      <c r="BI316" s="107"/>
      <c r="BJ316" s="107"/>
      <c r="BK316" s="107"/>
      <c r="BL316" s="136"/>
      <c r="BM316" s="122"/>
      <c r="BN316" s="138">
        <v>0</v>
      </c>
      <c r="BO316" s="93"/>
      <c r="BP316" s="93"/>
      <c r="BQ316" s="93"/>
      <c r="BR316" s="93"/>
      <c r="BS316" s="93"/>
      <c r="BT316" s="93"/>
      <c r="BU316" s="27">
        <f t="shared" si="281"/>
        <v>0</v>
      </c>
      <c r="BV316" s="27"/>
      <c r="BW316" s="27"/>
      <c r="BX316" s="27"/>
      <c r="BY316" s="27"/>
      <c r="BZ316" s="27"/>
      <c r="CA316" s="27"/>
      <c r="CB316" s="97"/>
      <c r="CC316" s="97">
        <v>0.1</v>
      </c>
      <c r="CD316" s="97">
        <v>0.1</v>
      </c>
      <c r="CE316" s="97"/>
      <c r="CF316" s="97"/>
      <c r="CG316" s="97"/>
      <c r="CH316" s="97"/>
      <c r="CI316" s="173"/>
      <c r="CJ316" s="173"/>
      <c r="CK316" s="173"/>
      <c r="CL316" s="173"/>
      <c r="CM316" s="173"/>
      <c r="CN316" s="173"/>
      <c r="CO316" s="173"/>
      <c r="CP316" s="174"/>
      <c r="CQ316" s="174"/>
      <c r="CR316" s="174"/>
      <c r="CS316" s="174"/>
      <c r="CT316" s="174"/>
      <c r="CU316" s="174"/>
      <c r="CV316" s="174"/>
      <c r="CW316" s="165"/>
      <c r="CX316" s="166"/>
      <c r="CY316" s="166"/>
      <c r="CZ316" s="166"/>
      <c r="DA316" s="166"/>
      <c r="DB316" s="166"/>
      <c r="DC316" s="166"/>
      <c r="DD316" s="171"/>
      <c r="DE316" s="171"/>
      <c r="DF316" s="171"/>
      <c r="DG316" s="171"/>
      <c r="DH316" s="171"/>
      <c r="DI316" s="171"/>
      <c r="DJ316" s="171"/>
      <c r="DK316" s="79" t="s">
        <v>1409</v>
      </c>
      <c r="DL316" s="128">
        <v>100</v>
      </c>
      <c r="DM316" s="128">
        <v>100</v>
      </c>
      <c r="DN316" s="128">
        <v>100</v>
      </c>
      <c r="DO316" s="128">
        <v>100</v>
      </c>
      <c r="DP316" s="128">
        <v>100</v>
      </c>
      <c r="DQ316" s="128">
        <v>100</v>
      </c>
      <c r="DR316" s="128">
        <v>100</v>
      </c>
      <c r="DS316" s="218"/>
      <c r="DT316" s="360"/>
      <c r="DU316" s="360"/>
      <c r="DV316" s="360"/>
      <c r="DW316" s="360"/>
      <c r="DX316" s="360"/>
      <c r="DY316" s="360"/>
      <c r="DZ316" s="360"/>
      <c r="EA316" s="360"/>
      <c r="EB316" s="360"/>
      <c r="EC316" s="360"/>
      <c r="ED316" s="360"/>
      <c r="EE316" s="360"/>
      <c r="EF316" s="360"/>
      <c r="EG316" s="360"/>
      <c r="EH316" s="360"/>
      <c r="EI316" s="360"/>
      <c r="EJ316" s="360"/>
      <c r="EK316" s="360"/>
      <c r="EL316" s="360"/>
      <c r="EM316" s="360"/>
      <c r="EN316" s="360"/>
      <c r="EO316" s="360"/>
      <c r="EP316" s="360"/>
      <c r="EQ316" s="360"/>
    </row>
    <row r="317" spans="1:147" x14ac:dyDescent="0.35">
      <c r="A317" s="6" t="s">
        <v>1432</v>
      </c>
      <c r="B317" s="6" t="s">
        <v>740</v>
      </c>
      <c r="C317" s="6" t="s">
        <v>788</v>
      </c>
      <c r="D317" s="6" t="s">
        <v>741</v>
      </c>
      <c r="E317" s="6" t="s">
        <v>459</v>
      </c>
      <c r="F317" s="6" t="s">
        <v>464</v>
      </c>
      <c r="G317" s="48" t="s">
        <v>1433</v>
      </c>
      <c r="H317" s="48" t="s">
        <v>981</v>
      </c>
      <c r="I317" s="102">
        <v>700</v>
      </c>
      <c r="J317" s="102">
        <v>700</v>
      </c>
      <c r="K317" s="102">
        <v>700</v>
      </c>
      <c r="L317" s="102">
        <v>700</v>
      </c>
      <c r="M317" s="102">
        <v>700</v>
      </c>
      <c r="N317" s="102">
        <v>700</v>
      </c>
      <c r="O317" s="102">
        <v>700</v>
      </c>
      <c r="P317" s="94">
        <v>0</v>
      </c>
      <c r="Q317" s="102">
        <v>40</v>
      </c>
      <c r="R317" s="102">
        <v>40</v>
      </c>
      <c r="S317" s="102">
        <v>40</v>
      </c>
      <c r="T317" s="102">
        <v>40</v>
      </c>
      <c r="U317" s="102">
        <v>40</v>
      </c>
      <c r="V317" s="102">
        <v>40</v>
      </c>
      <c r="W317" s="102">
        <v>40</v>
      </c>
      <c r="X317" s="102">
        <v>0</v>
      </c>
      <c r="Y317" s="102">
        <v>0</v>
      </c>
      <c r="Z317" s="102">
        <v>0</v>
      </c>
      <c r="AA317" s="102">
        <v>0</v>
      </c>
      <c r="AB317" s="102">
        <v>0</v>
      </c>
      <c r="AC317" s="102">
        <v>0</v>
      </c>
      <c r="AD317" s="102">
        <v>0</v>
      </c>
      <c r="AE317" s="186">
        <v>0.08</v>
      </c>
      <c r="AF317" s="94">
        <v>0</v>
      </c>
      <c r="AG317" s="94">
        <v>20</v>
      </c>
      <c r="AH317" s="94">
        <v>20</v>
      </c>
      <c r="AI317" s="17">
        <v>31.536000000000001</v>
      </c>
      <c r="AJ317" s="17" t="s">
        <v>982</v>
      </c>
      <c r="AK317" s="17" t="s">
        <v>745</v>
      </c>
      <c r="AL317" s="17"/>
      <c r="AM317" s="61" t="s">
        <v>464</v>
      </c>
      <c r="AN317" s="61" t="s">
        <v>467</v>
      </c>
      <c r="AO317" s="61">
        <v>0.95</v>
      </c>
      <c r="AP317" s="61" t="s">
        <v>766</v>
      </c>
      <c r="AQ317" s="61">
        <v>0.2</v>
      </c>
      <c r="AR317" s="61">
        <v>0.15</v>
      </c>
      <c r="AS317" s="64"/>
      <c r="AT317" s="64"/>
      <c r="AU317" s="64"/>
      <c r="AV317" s="132"/>
      <c r="AW317" s="132"/>
      <c r="AX317" s="132"/>
      <c r="AY317" s="28" t="s">
        <v>662</v>
      </c>
      <c r="AZ317" s="28"/>
      <c r="BA317" s="28"/>
      <c r="BB317" s="28"/>
      <c r="BC317" s="28"/>
      <c r="BD317" s="28"/>
      <c r="BE317" s="28"/>
      <c r="BF317" s="28"/>
      <c r="BG317" s="28"/>
      <c r="BH317" s="106"/>
      <c r="BI317" s="106"/>
      <c r="BJ317" s="106"/>
      <c r="BK317" s="106"/>
      <c r="BL317" s="137"/>
      <c r="BM317" s="123"/>
      <c r="BN317" s="139">
        <v>0.15</v>
      </c>
      <c r="BO317" s="94"/>
      <c r="BP317" s="94"/>
      <c r="BQ317" s="94"/>
      <c r="BR317" s="94">
        <v>0.15</v>
      </c>
      <c r="BS317" s="94"/>
      <c r="BT317" s="94"/>
      <c r="BU317" s="28">
        <f>IF(BL317=1,BN317,0)</f>
        <v>0</v>
      </c>
      <c r="BV317" s="28"/>
      <c r="BW317" s="28"/>
      <c r="BX317" s="28"/>
      <c r="BY317" s="28"/>
      <c r="BZ317" s="28"/>
      <c r="CA317" s="28"/>
      <c r="CB317" s="99">
        <v>0.15</v>
      </c>
      <c r="CC317" s="99">
        <v>0.15</v>
      </c>
      <c r="CD317" s="99">
        <v>0.15</v>
      </c>
      <c r="CE317" s="99">
        <v>0.15</v>
      </c>
      <c r="CF317" s="99">
        <v>0.15</v>
      </c>
      <c r="CG317" s="99">
        <v>0.15</v>
      </c>
      <c r="CH317" s="99">
        <v>0.15</v>
      </c>
      <c r="CI317" s="175"/>
      <c r="CJ317" s="175"/>
      <c r="CK317" s="175"/>
      <c r="CL317" s="175"/>
      <c r="CM317" s="175"/>
      <c r="CN317" s="175"/>
      <c r="CO317" s="175"/>
      <c r="CP317" s="176"/>
      <c r="CQ317" s="176"/>
      <c r="CR317" s="176"/>
      <c r="CS317" s="176"/>
      <c r="CT317" s="176"/>
      <c r="CU317" s="176"/>
      <c r="CV317" s="176"/>
      <c r="CW317" s="167"/>
      <c r="CX317" s="168"/>
      <c r="CY317" s="168"/>
      <c r="CZ317" s="168"/>
      <c r="DA317" s="168"/>
      <c r="DB317" s="168"/>
      <c r="DC317" s="168"/>
      <c r="DD317" s="172"/>
      <c r="DE317" s="172"/>
      <c r="DF317" s="172"/>
      <c r="DG317" s="172"/>
      <c r="DH317" s="172"/>
      <c r="DI317" s="172"/>
      <c r="DJ317" s="172"/>
      <c r="DK317" s="80" t="s">
        <v>1409</v>
      </c>
      <c r="DL317" s="129">
        <v>15</v>
      </c>
      <c r="DM317" s="129">
        <v>15</v>
      </c>
      <c r="DN317" s="129">
        <v>15</v>
      </c>
      <c r="DO317" s="129">
        <v>15</v>
      </c>
      <c r="DP317" s="129">
        <v>15</v>
      </c>
      <c r="DQ317" s="129">
        <v>15</v>
      </c>
      <c r="DR317" s="129">
        <v>15</v>
      </c>
      <c r="DS317" s="218"/>
      <c r="DT317" s="360"/>
      <c r="DU317" s="360"/>
      <c r="DV317" s="360"/>
      <c r="DW317" s="360"/>
      <c r="DX317" s="360"/>
      <c r="DY317" s="360"/>
      <c r="DZ317" s="360"/>
      <c r="EA317" s="360"/>
      <c r="EB317" s="360"/>
      <c r="EC317" s="360"/>
      <c r="ED317" s="360"/>
      <c r="EE317" s="360"/>
      <c r="EF317" s="360"/>
      <c r="EG317" s="360"/>
      <c r="EH317" s="360"/>
      <c r="EI317" s="360"/>
      <c r="EJ317" s="360"/>
      <c r="EK317" s="360"/>
      <c r="EL317" s="360"/>
      <c r="EM317" s="360"/>
      <c r="EN317" s="360"/>
      <c r="EO317" s="360"/>
      <c r="EP317" s="360"/>
      <c r="EQ317" s="360"/>
    </row>
    <row r="318" spans="1:147" x14ac:dyDescent="0.35">
      <c r="A318" s="5" t="s">
        <v>1434</v>
      </c>
      <c r="B318" s="5" t="s">
        <v>740</v>
      </c>
      <c r="C318" s="5" t="s">
        <v>788</v>
      </c>
      <c r="D318" s="5" t="s">
        <v>741</v>
      </c>
      <c r="E318" s="5" t="s">
        <v>459</v>
      </c>
      <c r="F318" s="5" t="s">
        <v>464</v>
      </c>
      <c r="G318" s="47" t="s">
        <v>1435</v>
      </c>
      <c r="H318" s="47" t="s">
        <v>981</v>
      </c>
      <c r="I318" s="101">
        <v>1200</v>
      </c>
      <c r="J318" s="101">
        <v>1200</v>
      </c>
      <c r="K318" s="101">
        <v>1200</v>
      </c>
      <c r="L318" s="101">
        <v>1200</v>
      </c>
      <c r="M318" s="101">
        <v>1200</v>
      </c>
      <c r="N318" s="101">
        <v>1200</v>
      </c>
      <c r="O318" s="101">
        <v>1200</v>
      </c>
      <c r="P318" s="93">
        <v>0</v>
      </c>
      <c r="Q318" s="101">
        <v>60</v>
      </c>
      <c r="R318" s="101">
        <v>60</v>
      </c>
      <c r="S318" s="101">
        <v>60</v>
      </c>
      <c r="T318" s="101">
        <v>60</v>
      </c>
      <c r="U318" s="101">
        <v>60</v>
      </c>
      <c r="V318" s="101">
        <v>60</v>
      </c>
      <c r="W318" s="101">
        <v>60</v>
      </c>
      <c r="X318" s="101">
        <v>0</v>
      </c>
      <c r="Y318" s="101">
        <v>0</v>
      </c>
      <c r="Z318" s="101">
        <v>0</v>
      </c>
      <c r="AA318" s="101">
        <v>0</v>
      </c>
      <c r="AB318" s="101">
        <v>0</v>
      </c>
      <c r="AC318" s="101">
        <v>0</v>
      </c>
      <c r="AD318" s="101">
        <v>0</v>
      </c>
      <c r="AE318" s="186">
        <v>0.08</v>
      </c>
      <c r="AF318" s="93">
        <v>0</v>
      </c>
      <c r="AG318" s="93">
        <v>20</v>
      </c>
      <c r="AH318" s="93">
        <v>20</v>
      </c>
      <c r="AI318" s="16">
        <v>31.536000000000001</v>
      </c>
      <c r="AJ318" s="16" t="s">
        <v>982</v>
      </c>
      <c r="AK318" s="16" t="s">
        <v>745</v>
      </c>
      <c r="AL318" s="16"/>
      <c r="AM318" s="60" t="s">
        <v>464</v>
      </c>
      <c r="AN318" s="60" t="s">
        <v>504</v>
      </c>
      <c r="AO318" s="60">
        <v>0.95</v>
      </c>
      <c r="AP318" s="60" t="s">
        <v>766</v>
      </c>
      <c r="AQ318" s="60">
        <v>0.2</v>
      </c>
      <c r="AR318" s="60">
        <v>0.15</v>
      </c>
      <c r="AS318" s="63"/>
      <c r="AT318" s="63"/>
      <c r="AU318" s="63"/>
      <c r="AV318" s="131"/>
      <c r="AW318" s="131"/>
      <c r="AX318" s="131"/>
      <c r="AY318" s="27" t="s">
        <v>662</v>
      </c>
      <c r="AZ318" s="27"/>
      <c r="BA318" s="27"/>
      <c r="BB318" s="30"/>
      <c r="BC318" s="30"/>
      <c r="BD318" s="30"/>
      <c r="BE318" s="30"/>
      <c r="BF318" s="30"/>
      <c r="BG318" s="30"/>
      <c r="BH318" s="107"/>
      <c r="BI318" s="107"/>
      <c r="BJ318" s="107"/>
      <c r="BK318" s="107"/>
      <c r="BL318" s="136"/>
      <c r="BM318" s="122"/>
      <c r="BN318" s="138">
        <v>0.6</v>
      </c>
      <c r="BO318" s="93">
        <v>0.15</v>
      </c>
      <c r="BP318" s="93">
        <v>0.15</v>
      </c>
      <c r="BQ318" s="93">
        <v>0.15</v>
      </c>
      <c r="BR318" s="93">
        <v>0.15</v>
      </c>
      <c r="BS318" s="93"/>
      <c r="BT318" s="93"/>
      <c r="BU318" s="27">
        <f t="shared" si="277"/>
        <v>0</v>
      </c>
      <c r="BV318" s="27"/>
      <c r="BW318" s="27"/>
      <c r="BX318" s="27"/>
      <c r="BY318" s="27"/>
      <c r="BZ318" s="27"/>
      <c r="CA318" s="27"/>
      <c r="CB318" s="97">
        <v>0.6</v>
      </c>
      <c r="CC318" s="97">
        <v>1</v>
      </c>
      <c r="CD318" s="97">
        <v>2</v>
      </c>
      <c r="CE318" s="97">
        <v>5</v>
      </c>
      <c r="CF318" s="97">
        <v>10</v>
      </c>
      <c r="CG318" s="97">
        <v>10</v>
      </c>
      <c r="CH318" s="97">
        <v>10</v>
      </c>
      <c r="CI318" s="173"/>
      <c r="CJ318" s="173"/>
      <c r="CK318" s="173"/>
      <c r="CL318" s="173"/>
      <c r="CM318" s="173"/>
      <c r="CN318" s="173"/>
      <c r="CO318" s="173"/>
      <c r="CP318" s="174"/>
      <c r="CQ318" s="174"/>
      <c r="CR318" s="174"/>
      <c r="CS318" s="174"/>
      <c r="CT318" s="174"/>
      <c r="CU318" s="174"/>
      <c r="CV318" s="174"/>
      <c r="CW318" s="165"/>
      <c r="CX318" s="166"/>
      <c r="CY318" s="166"/>
      <c r="CZ318" s="166"/>
      <c r="DA318" s="166"/>
      <c r="DB318" s="166"/>
      <c r="DC318" s="166"/>
      <c r="DD318" s="171"/>
      <c r="DE318" s="171"/>
      <c r="DF318" s="171"/>
      <c r="DG318" s="171"/>
      <c r="DH318" s="171"/>
      <c r="DI318" s="171"/>
      <c r="DJ318" s="171"/>
      <c r="DK318" s="79" t="s">
        <v>1409</v>
      </c>
      <c r="DL318" s="128">
        <v>100</v>
      </c>
      <c r="DM318" s="128">
        <v>100</v>
      </c>
      <c r="DN318" s="128">
        <v>100</v>
      </c>
      <c r="DO318" s="128">
        <v>100</v>
      </c>
      <c r="DP318" s="128">
        <v>100</v>
      </c>
      <c r="DQ318" s="128">
        <v>100</v>
      </c>
      <c r="DR318" s="128">
        <v>100</v>
      </c>
      <c r="DS318" s="218"/>
      <c r="DT318" s="360"/>
      <c r="DU318" s="360"/>
      <c r="DV318" s="360"/>
      <c r="DW318" s="360"/>
      <c r="DX318" s="360"/>
      <c r="DY318" s="360"/>
      <c r="DZ318" s="360"/>
      <c r="EA318" s="360"/>
      <c r="EB318" s="360"/>
      <c r="EC318" s="360"/>
      <c r="ED318" s="360"/>
      <c r="EE318" s="360"/>
      <c r="EF318" s="360"/>
      <c r="EG318" s="360"/>
      <c r="EH318" s="360"/>
      <c r="EI318" s="360"/>
      <c r="EJ318" s="360"/>
      <c r="EK318" s="360"/>
      <c r="EL318" s="360"/>
      <c r="EM318" s="360"/>
      <c r="EN318" s="360"/>
      <c r="EO318" s="360"/>
      <c r="EP318" s="360"/>
      <c r="EQ318" s="360"/>
    </row>
    <row r="319" spans="1:147" x14ac:dyDescent="0.35">
      <c r="A319" s="6" t="s">
        <v>1436</v>
      </c>
      <c r="B319" s="6" t="s">
        <v>740</v>
      </c>
      <c r="C319" s="6" t="s">
        <v>788</v>
      </c>
      <c r="D319" s="6" t="s">
        <v>741</v>
      </c>
      <c r="E319" s="6" t="s">
        <v>459</v>
      </c>
      <c r="F319" s="6" t="s">
        <v>464</v>
      </c>
      <c r="G319" s="48" t="s">
        <v>1437</v>
      </c>
      <c r="H319" s="48" t="s">
        <v>981</v>
      </c>
      <c r="I319" s="102">
        <v>1400</v>
      </c>
      <c r="J319" s="102">
        <v>1400</v>
      </c>
      <c r="K319" s="102">
        <v>1400</v>
      </c>
      <c r="L319" s="102">
        <v>1400</v>
      </c>
      <c r="M319" s="102">
        <v>1400</v>
      </c>
      <c r="N319" s="102">
        <v>1400</v>
      </c>
      <c r="O319" s="102">
        <v>1400</v>
      </c>
      <c r="P319" s="94">
        <v>0</v>
      </c>
      <c r="Q319" s="102">
        <v>75</v>
      </c>
      <c r="R319" s="102">
        <v>75</v>
      </c>
      <c r="S319" s="102">
        <v>75</v>
      </c>
      <c r="T319" s="102">
        <v>75</v>
      </c>
      <c r="U319" s="102">
        <v>75</v>
      </c>
      <c r="V319" s="102">
        <v>75</v>
      </c>
      <c r="W319" s="102">
        <v>75</v>
      </c>
      <c r="X319" s="102">
        <v>0</v>
      </c>
      <c r="Y319" s="102">
        <v>0</v>
      </c>
      <c r="Z319" s="102">
        <v>0</v>
      </c>
      <c r="AA319" s="102">
        <v>0</v>
      </c>
      <c r="AB319" s="102">
        <v>0</v>
      </c>
      <c r="AC319" s="102">
        <v>0</v>
      </c>
      <c r="AD319" s="102">
        <v>0</v>
      </c>
      <c r="AE319" s="186">
        <v>0.08</v>
      </c>
      <c r="AF319" s="94">
        <v>0</v>
      </c>
      <c r="AG319" s="94">
        <v>20</v>
      </c>
      <c r="AH319" s="94">
        <v>20</v>
      </c>
      <c r="AI319" s="17">
        <v>31.536000000000001</v>
      </c>
      <c r="AJ319" s="17" t="s">
        <v>982</v>
      </c>
      <c r="AK319" s="17" t="s">
        <v>745</v>
      </c>
      <c r="AL319" s="17"/>
      <c r="AM319" s="61" t="s">
        <v>464</v>
      </c>
      <c r="AN319" s="61" t="s">
        <v>504</v>
      </c>
      <c r="AO319" s="61">
        <v>0.95</v>
      </c>
      <c r="AP319" s="61" t="s">
        <v>766</v>
      </c>
      <c r="AQ319" s="61">
        <v>0.2</v>
      </c>
      <c r="AR319" s="61">
        <v>0.15</v>
      </c>
      <c r="AS319" s="64"/>
      <c r="AT319" s="64"/>
      <c r="AU319" s="64"/>
      <c r="AV319" s="132"/>
      <c r="AW319" s="132"/>
      <c r="AX319" s="132"/>
      <c r="AY319" s="28" t="s">
        <v>662</v>
      </c>
      <c r="AZ319" s="28"/>
      <c r="BA319" s="28"/>
      <c r="BB319" s="28"/>
      <c r="BC319" s="28"/>
      <c r="BD319" s="28"/>
      <c r="BE319" s="28"/>
      <c r="BF319" s="28"/>
      <c r="BG319" s="28"/>
      <c r="BH319" s="106"/>
      <c r="BI319" s="106"/>
      <c r="BJ319" s="106"/>
      <c r="BK319" s="106"/>
      <c r="BL319" s="137"/>
      <c r="BM319" s="123"/>
      <c r="BN319" s="139">
        <v>0</v>
      </c>
      <c r="BO319" s="94"/>
      <c r="BP319" s="94"/>
      <c r="BQ319" s="94"/>
      <c r="BR319" s="94"/>
      <c r="BS319" s="94"/>
      <c r="BT319" s="94"/>
      <c r="BU319" s="28">
        <f t="shared" si="277"/>
        <v>0</v>
      </c>
      <c r="BV319" s="28"/>
      <c r="BW319" s="28"/>
      <c r="BX319" s="28"/>
      <c r="BY319" s="28"/>
      <c r="BZ319" s="28"/>
      <c r="CA319" s="28"/>
      <c r="CB319" s="99"/>
      <c r="CC319" s="99">
        <v>1</v>
      </c>
      <c r="CD319" s="99">
        <v>2</v>
      </c>
      <c r="CE319" s="99">
        <v>5</v>
      </c>
      <c r="CF319" s="99">
        <v>10</v>
      </c>
      <c r="CG319" s="99">
        <v>10</v>
      </c>
      <c r="CH319" s="99">
        <v>10</v>
      </c>
      <c r="CI319" s="175"/>
      <c r="CJ319" s="175"/>
      <c r="CK319" s="175"/>
      <c r="CL319" s="175"/>
      <c r="CM319" s="175"/>
      <c r="CN319" s="175"/>
      <c r="CO319" s="175"/>
      <c r="CP319" s="176"/>
      <c r="CQ319" s="176"/>
      <c r="CR319" s="176"/>
      <c r="CS319" s="176"/>
      <c r="CT319" s="176"/>
      <c r="CU319" s="176"/>
      <c r="CV319" s="176"/>
      <c r="CW319" s="167"/>
      <c r="CX319" s="168"/>
      <c r="CY319" s="168"/>
      <c r="CZ319" s="168"/>
      <c r="DA319" s="168"/>
      <c r="DB319" s="168"/>
      <c r="DC319" s="168"/>
      <c r="DD319" s="172"/>
      <c r="DE319" s="172"/>
      <c r="DF319" s="172"/>
      <c r="DG319" s="172"/>
      <c r="DH319" s="172"/>
      <c r="DI319" s="172"/>
      <c r="DJ319" s="172"/>
      <c r="DK319" s="80" t="s">
        <v>1409</v>
      </c>
      <c r="DL319" s="129">
        <v>100</v>
      </c>
      <c r="DM319" s="129">
        <v>100</v>
      </c>
      <c r="DN319" s="129">
        <v>100</v>
      </c>
      <c r="DO319" s="129">
        <v>100</v>
      </c>
      <c r="DP319" s="129">
        <v>100</v>
      </c>
      <c r="DQ319" s="129">
        <v>100</v>
      </c>
      <c r="DR319" s="129">
        <v>100</v>
      </c>
      <c r="DS319" s="218"/>
      <c r="DT319" s="360"/>
      <c r="DU319" s="360"/>
      <c r="DV319" s="360"/>
      <c r="DW319" s="360"/>
      <c r="DX319" s="360"/>
      <c r="DY319" s="360"/>
      <c r="DZ319" s="360"/>
      <c r="EA319" s="360"/>
      <c r="EB319" s="360"/>
      <c r="EC319" s="360"/>
      <c r="ED319" s="360"/>
      <c r="EE319" s="360"/>
      <c r="EF319" s="360"/>
      <c r="EG319" s="360"/>
      <c r="EH319" s="360"/>
      <c r="EI319" s="360"/>
      <c r="EJ319" s="360"/>
      <c r="EK319" s="360"/>
      <c r="EL319" s="360"/>
      <c r="EM319" s="360"/>
      <c r="EN319" s="360"/>
      <c r="EO319" s="360"/>
      <c r="EP319" s="360"/>
      <c r="EQ319" s="360"/>
    </row>
    <row r="320" spans="1:147" x14ac:dyDescent="0.35">
      <c r="A320" s="5" t="s">
        <v>1438</v>
      </c>
      <c r="B320" s="5" t="s">
        <v>740</v>
      </c>
      <c r="C320" s="5" t="s">
        <v>788</v>
      </c>
      <c r="D320" s="5" t="s">
        <v>741</v>
      </c>
      <c r="E320" s="5" t="s">
        <v>459</v>
      </c>
      <c r="F320" s="5" t="s">
        <v>464</v>
      </c>
      <c r="G320" s="221" t="s">
        <v>1439</v>
      </c>
      <c r="H320" s="47" t="s">
        <v>981</v>
      </c>
      <c r="I320" s="101">
        <v>150</v>
      </c>
      <c r="J320" s="101">
        <v>150</v>
      </c>
      <c r="K320" s="101">
        <v>150</v>
      </c>
      <c r="L320" s="101">
        <v>150</v>
      </c>
      <c r="M320" s="101">
        <v>150</v>
      </c>
      <c r="N320" s="101">
        <v>150</v>
      </c>
      <c r="O320" s="101">
        <v>150</v>
      </c>
      <c r="P320" s="93">
        <v>0</v>
      </c>
      <c r="Q320" s="101">
        <v>2</v>
      </c>
      <c r="R320" s="101">
        <v>2</v>
      </c>
      <c r="S320" s="101">
        <v>2</v>
      </c>
      <c r="T320" s="101">
        <v>2</v>
      </c>
      <c r="U320" s="101">
        <v>2</v>
      </c>
      <c r="V320" s="101">
        <v>2</v>
      </c>
      <c r="W320" s="101">
        <v>2</v>
      </c>
      <c r="X320" s="101">
        <v>0</v>
      </c>
      <c r="Y320" s="101">
        <v>0</v>
      </c>
      <c r="Z320" s="101">
        <v>0</v>
      </c>
      <c r="AA320" s="101">
        <v>0</v>
      </c>
      <c r="AB320" s="101">
        <v>0</v>
      </c>
      <c r="AC320" s="101">
        <v>0</v>
      </c>
      <c r="AD320" s="101">
        <v>0</v>
      </c>
      <c r="AE320" s="186">
        <v>0.08</v>
      </c>
      <c r="AF320" s="93">
        <v>0</v>
      </c>
      <c r="AG320" s="93">
        <v>12</v>
      </c>
      <c r="AH320" s="93">
        <v>12</v>
      </c>
      <c r="AI320" s="16">
        <f t="shared" ref="AI320" si="282">1.5*3.6</f>
        <v>5.4</v>
      </c>
      <c r="AJ320" s="16" t="s">
        <v>660</v>
      </c>
      <c r="AK320" s="16" t="s">
        <v>672</v>
      </c>
      <c r="AL320" s="16"/>
      <c r="AM320" s="60"/>
      <c r="AN320" s="60"/>
      <c r="AO320" s="60"/>
      <c r="AP320" s="60"/>
      <c r="AQ320" s="60"/>
      <c r="AR320" s="60"/>
      <c r="AS320" s="63"/>
      <c r="AT320" s="63"/>
      <c r="AU320" s="63"/>
      <c r="AV320" s="131"/>
      <c r="AW320" s="131"/>
      <c r="AX320" s="131"/>
      <c r="AY320" s="27" t="s">
        <v>662</v>
      </c>
      <c r="AZ320" s="27"/>
      <c r="BA320" s="27"/>
      <c r="BB320" s="30"/>
      <c r="BC320" s="30"/>
      <c r="BD320" s="30"/>
      <c r="BE320" s="30"/>
      <c r="BF320" s="30"/>
      <c r="BG320" s="30"/>
      <c r="BH320" s="107"/>
      <c r="BI320" s="107"/>
      <c r="BJ320" s="107"/>
      <c r="BK320" s="107"/>
      <c r="BL320" s="136"/>
      <c r="BM320" s="122"/>
      <c r="BN320" s="138">
        <v>0</v>
      </c>
      <c r="BO320" s="93"/>
      <c r="BP320" s="93"/>
      <c r="BQ320" s="93"/>
      <c r="BR320" s="93"/>
      <c r="BS320" s="93"/>
      <c r="BT320" s="93"/>
      <c r="BU320" s="27">
        <f t="shared" si="277"/>
        <v>0</v>
      </c>
      <c r="BV320" s="27"/>
      <c r="BW320" s="27"/>
      <c r="BX320" s="27"/>
      <c r="BY320" s="27"/>
      <c r="BZ320" s="27"/>
      <c r="CA320" s="27"/>
      <c r="CB320" s="97"/>
      <c r="CC320" s="97">
        <v>5</v>
      </c>
      <c r="CD320" s="97">
        <v>25</v>
      </c>
      <c r="CE320" s="97">
        <v>50</v>
      </c>
      <c r="CF320" s="97">
        <v>100</v>
      </c>
      <c r="CG320" s="97">
        <v>100</v>
      </c>
      <c r="CH320" s="97">
        <v>100</v>
      </c>
      <c r="CI320" s="173"/>
      <c r="CJ320" s="173"/>
      <c r="CK320" s="173"/>
      <c r="CL320" s="173"/>
      <c r="CM320" s="173"/>
      <c r="CN320" s="173"/>
      <c r="CO320" s="173"/>
      <c r="CP320" s="174"/>
      <c r="CQ320" s="174"/>
      <c r="CR320" s="174"/>
      <c r="CS320" s="174"/>
      <c r="CT320" s="174"/>
      <c r="CU320" s="174"/>
      <c r="CV320" s="174"/>
      <c r="CW320" s="165"/>
      <c r="CX320" s="166"/>
      <c r="CY320" s="166"/>
      <c r="CZ320" s="166"/>
      <c r="DA320" s="166"/>
      <c r="DB320" s="166"/>
      <c r="DC320" s="166"/>
      <c r="DD320" s="171"/>
      <c r="DE320" s="171"/>
      <c r="DF320" s="171"/>
      <c r="DG320" s="171"/>
      <c r="DH320" s="171"/>
      <c r="DI320" s="171"/>
      <c r="DJ320" s="171"/>
      <c r="DK320" s="79" t="s">
        <v>1335</v>
      </c>
      <c r="DL320" s="128">
        <v>200</v>
      </c>
      <c r="DM320" s="128">
        <v>200</v>
      </c>
      <c r="DN320" s="128">
        <v>200</v>
      </c>
      <c r="DO320" s="128">
        <v>200</v>
      </c>
      <c r="DP320" s="128">
        <v>200</v>
      </c>
      <c r="DQ320" s="128">
        <v>200</v>
      </c>
      <c r="DR320" s="128">
        <v>200</v>
      </c>
      <c r="DS320" s="218"/>
      <c r="DT320" s="360"/>
      <c r="DU320" s="360"/>
      <c r="DV320" s="360"/>
      <c r="DW320" s="360"/>
      <c r="DX320" s="360"/>
      <c r="DY320" s="360"/>
      <c r="DZ320" s="360"/>
      <c r="EA320" s="360"/>
      <c r="EB320" s="360"/>
      <c r="EC320" s="360"/>
      <c r="ED320" s="360"/>
      <c r="EE320" s="360"/>
      <c r="EF320" s="360"/>
      <c r="EG320" s="360"/>
      <c r="EH320" s="360"/>
      <c r="EI320" s="360"/>
      <c r="EJ320" s="360"/>
      <c r="EK320" s="360"/>
      <c r="EL320" s="360"/>
      <c r="EM320" s="360"/>
      <c r="EN320" s="360"/>
      <c r="EO320" s="360"/>
      <c r="EP320" s="360"/>
      <c r="EQ320" s="360"/>
    </row>
    <row r="321" spans="1:147" x14ac:dyDescent="0.35">
      <c r="A321" s="6" t="s">
        <v>1440</v>
      </c>
      <c r="B321" s="6" t="s">
        <v>740</v>
      </c>
      <c r="C321" s="6" t="s">
        <v>788</v>
      </c>
      <c r="D321" s="6" t="s">
        <v>741</v>
      </c>
      <c r="E321" s="6" t="s">
        <v>459</v>
      </c>
      <c r="F321" s="6" t="s">
        <v>464</v>
      </c>
      <c r="G321" s="48" t="s">
        <v>1441</v>
      </c>
      <c r="H321" s="48" t="s">
        <v>981</v>
      </c>
      <c r="I321" s="102">
        <v>100</v>
      </c>
      <c r="J321" s="102">
        <v>100</v>
      </c>
      <c r="K321" s="102">
        <v>100</v>
      </c>
      <c r="L321" s="102">
        <v>100</v>
      </c>
      <c r="M321" s="102">
        <v>100</v>
      </c>
      <c r="N321" s="102">
        <v>100</v>
      </c>
      <c r="O321" s="102">
        <v>100</v>
      </c>
      <c r="P321" s="94">
        <v>0</v>
      </c>
      <c r="Q321" s="102">
        <v>3</v>
      </c>
      <c r="R321" s="102">
        <v>3</v>
      </c>
      <c r="S321" s="102">
        <v>3</v>
      </c>
      <c r="T321" s="102">
        <v>3</v>
      </c>
      <c r="U321" s="102">
        <v>3</v>
      </c>
      <c r="V321" s="102">
        <v>3</v>
      </c>
      <c r="W321" s="102">
        <v>3</v>
      </c>
      <c r="X321" s="102">
        <v>0</v>
      </c>
      <c r="Y321" s="102">
        <v>0</v>
      </c>
      <c r="Z321" s="102">
        <v>0</v>
      </c>
      <c r="AA321" s="102">
        <v>0</v>
      </c>
      <c r="AB321" s="102">
        <v>0</v>
      </c>
      <c r="AC321" s="102">
        <v>0</v>
      </c>
      <c r="AD321" s="102">
        <v>0</v>
      </c>
      <c r="AE321" s="186">
        <v>0.08</v>
      </c>
      <c r="AF321" s="94">
        <v>0</v>
      </c>
      <c r="AG321" s="94">
        <v>20</v>
      </c>
      <c r="AH321" s="94">
        <v>20</v>
      </c>
      <c r="AI321" s="17">
        <v>31.536000000000001</v>
      </c>
      <c r="AJ321" s="17" t="s">
        <v>660</v>
      </c>
      <c r="AK321" s="17" t="s">
        <v>745</v>
      </c>
      <c r="AL321" s="17"/>
      <c r="AM321" s="61"/>
      <c r="AN321" s="61"/>
      <c r="AO321" s="61"/>
      <c r="AP321" s="61"/>
      <c r="AQ321" s="61"/>
      <c r="AR321" s="61"/>
      <c r="AS321" s="64"/>
      <c r="AT321" s="64"/>
      <c r="AU321" s="64"/>
      <c r="AV321" s="132"/>
      <c r="AW321" s="132"/>
      <c r="AX321" s="132"/>
      <c r="AY321" s="28" t="s">
        <v>662</v>
      </c>
      <c r="AZ321" s="28"/>
      <c r="BA321" s="28"/>
      <c r="BB321" s="28"/>
      <c r="BC321" s="28"/>
      <c r="BD321" s="28"/>
      <c r="BE321" s="28"/>
      <c r="BF321" s="28"/>
      <c r="BG321" s="28"/>
      <c r="BH321" s="106"/>
      <c r="BI321" s="106"/>
      <c r="BJ321" s="106"/>
      <c r="BK321" s="106"/>
      <c r="BL321" s="137"/>
      <c r="BM321" s="123"/>
      <c r="BN321" s="139">
        <v>0</v>
      </c>
      <c r="BO321" s="94"/>
      <c r="BP321" s="94"/>
      <c r="BQ321" s="94"/>
      <c r="BR321" s="94"/>
      <c r="BS321" s="94"/>
      <c r="BT321" s="94"/>
      <c r="BU321" s="28">
        <f t="shared" si="277"/>
        <v>0</v>
      </c>
      <c r="BV321" s="28"/>
      <c r="BW321" s="28"/>
      <c r="BX321" s="28"/>
      <c r="BY321" s="28"/>
      <c r="BZ321" s="28"/>
      <c r="CA321" s="28"/>
      <c r="CB321" s="99"/>
      <c r="CC321" s="99">
        <v>1</v>
      </c>
      <c r="CD321" s="99">
        <v>2</v>
      </c>
      <c r="CE321" s="99">
        <v>5</v>
      </c>
      <c r="CF321" s="99">
        <v>10</v>
      </c>
      <c r="CG321" s="99">
        <v>10</v>
      </c>
      <c r="CH321" s="99">
        <v>10</v>
      </c>
      <c r="CI321" s="175"/>
      <c r="CJ321" s="175"/>
      <c r="CK321" s="175"/>
      <c r="CL321" s="175"/>
      <c r="CM321" s="175"/>
      <c r="CN321" s="175"/>
      <c r="CO321" s="175"/>
      <c r="CP321" s="176"/>
      <c r="CQ321" s="176"/>
      <c r="CR321" s="176"/>
      <c r="CS321" s="176"/>
      <c r="CT321" s="176"/>
      <c r="CU321" s="176"/>
      <c r="CV321" s="176"/>
      <c r="CW321" s="167"/>
      <c r="CX321" s="168"/>
      <c r="CY321" s="168"/>
      <c r="CZ321" s="168"/>
      <c r="DA321" s="168"/>
      <c r="DB321" s="168"/>
      <c r="DC321" s="168"/>
      <c r="DD321" s="172"/>
      <c r="DE321" s="172"/>
      <c r="DF321" s="172"/>
      <c r="DG321" s="172"/>
      <c r="DH321" s="172"/>
      <c r="DI321" s="172"/>
      <c r="DJ321" s="172"/>
      <c r="DK321" s="80" t="s">
        <v>1409</v>
      </c>
      <c r="DL321" s="129">
        <v>100</v>
      </c>
      <c r="DM321" s="129">
        <v>100</v>
      </c>
      <c r="DN321" s="129">
        <v>100</v>
      </c>
      <c r="DO321" s="129">
        <v>100</v>
      </c>
      <c r="DP321" s="129">
        <v>100</v>
      </c>
      <c r="DQ321" s="129">
        <v>100</v>
      </c>
      <c r="DR321" s="129">
        <v>100</v>
      </c>
      <c r="DS321" s="218"/>
      <c r="DT321" s="360"/>
      <c r="DU321" s="360"/>
      <c r="DV321" s="360"/>
      <c r="DW321" s="360"/>
      <c r="DX321" s="360"/>
      <c r="DY321" s="360"/>
      <c r="DZ321" s="360"/>
      <c r="EA321" s="360"/>
      <c r="EB321" s="360"/>
      <c r="EC321" s="360"/>
      <c r="ED321" s="360"/>
      <c r="EE321" s="360"/>
      <c r="EF321" s="360"/>
      <c r="EG321" s="360"/>
      <c r="EH321" s="360"/>
      <c r="EI321" s="360"/>
      <c r="EJ321" s="360"/>
      <c r="EK321" s="360"/>
      <c r="EL321" s="360"/>
      <c r="EM321" s="360"/>
      <c r="EN321" s="360"/>
      <c r="EO321" s="360"/>
      <c r="EP321" s="360"/>
      <c r="EQ321" s="360"/>
    </row>
    <row r="322" spans="1:147" x14ac:dyDescent="0.35">
      <c r="A322" s="6" t="s">
        <v>1442</v>
      </c>
      <c r="B322" s="6" t="s">
        <v>740</v>
      </c>
      <c r="C322" s="6" t="s">
        <v>788</v>
      </c>
      <c r="D322" s="6" t="s">
        <v>741</v>
      </c>
      <c r="E322" s="6" t="s">
        <v>459</v>
      </c>
      <c r="F322" s="6" t="s">
        <v>464</v>
      </c>
      <c r="G322" s="48" t="s">
        <v>1443</v>
      </c>
      <c r="H322" s="48" t="str">
        <f>H249</f>
        <v>[GW]</v>
      </c>
      <c r="I322" s="102">
        <f t="shared" ref="I322:AH322" si="283">I249</f>
        <v>9867</v>
      </c>
      <c r="J322" s="102">
        <f t="shared" si="283"/>
        <v>8745.75</v>
      </c>
      <c r="K322" s="102">
        <f t="shared" si="283"/>
        <v>7097</v>
      </c>
      <c r="L322" s="102">
        <f t="shared" si="283"/>
        <v>6600</v>
      </c>
      <c r="M322" s="102">
        <f t="shared" si="283"/>
        <v>6400</v>
      </c>
      <c r="N322" s="102">
        <f t="shared" si="283"/>
        <v>6200</v>
      </c>
      <c r="O322" s="102">
        <f t="shared" si="283"/>
        <v>6104</v>
      </c>
      <c r="P322" s="94">
        <v>0</v>
      </c>
      <c r="Q322" s="102">
        <f t="shared" si="283"/>
        <v>100.4</v>
      </c>
      <c r="R322" s="102">
        <f t="shared" si="283"/>
        <v>100.4</v>
      </c>
      <c r="S322" s="102">
        <f t="shared" si="283"/>
        <v>100.4</v>
      </c>
      <c r="T322" s="102">
        <f t="shared" si="283"/>
        <v>100.4</v>
      </c>
      <c r="U322" s="102">
        <f t="shared" si="283"/>
        <v>100.4</v>
      </c>
      <c r="V322" s="102">
        <f t="shared" si="283"/>
        <v>100.4</v>
      </c>
      <c r="W322" s="102">
        <f t="shared" si="283"/>
        <v>100.4</v>
      </c>
      <c r="X322" s="102">
        <f t="shared" si="283"/>
        <v>4.9400000000000004</v>
      </c>
      <c r="Y322" s="102">
        <f t="shared" si="283"/>
        <v>4.9400000000000004</v>
      </c>
      <c r="Z322" s="102">
        <f t="shared" si="283"/>
        <v>4.9400000000000004</v>
      </c>
      <c r="AA322" s="102">
        <f t="shared" si="283"/>
        <v>4.9400000000000004</v>
      </c>
      <c r="AB322" s="102">
        <f t="shared" si="283"/>
        <v>4.9400000000000004</v>
      </c>
      <c r="AC322" s="102">
        <f t="shared" si="283"/>
        <v>4.9400000000000004</v>
      </c>
      <c r="AD322" s="102">
        <f t="shared" si="283"/>
        <v>4.9400000000000004</v>
      </c>
      <c r="AE322" s="186">
        <v>0.08</v>
      </c>
      <c r="AF322" s="94">
        <f t="shared" si="283"/>
        <v>0</v>
      </c>
      <c r="AG322" s="94">
        <f t="shared" si="283"/>
        <v>60</v>
      </c>
      <c r="AH322" s="94">
        <f t="shared" si="283"/>
        <v>60</v>
      </c>
      <c r="AI322" s="17">
        <f>AI249</f>
        <v>28.4</v>
      </c>
      <c r="AJ322" s="17" t="s">
        <v>1241</v>
      </c>
      <c r="AK322" s="17" t="s">
        <v>745</v>
      </c>
      <c r="AL322" s="17"/>
      <c r="AM322" s="61"/>
      <c r="AN322" s="61"/>
      <c r="AO322" s="61"/>
      <c r="AP322" s="61"/>
      <c r="AQ322" s="61"/>
      <c r="AR322" s="61"/>
      <c r="AS322" s="64"/>
      <c r="AT322" s="64"/>
      <c r="AU322" s="64"/>
      <c r="AV322" s="132"/>
      <c r="AW322" s="132"/>
      <c r="AX322" s="132"/>
      <c r="AY322" s="28" t="s">
        <v>662</v>
      </c>
      <c r="AZ322" s="28"/>
      <c r="BA322" s="28"/>
      <c r="BB322" s="28"/>
      <c r="BC322" s="28"/>
      <c r="BD322" s="28"/>
      <c r="BE322" s="28"/>
      <c r="BF322" s="28"/>
      <c r="BG322" s="28"/>
      <c r="BH322" s="106"/>
      <c r="BI322" s="106"/>
      <c r="BJ322" s="106"/>
      <c r="BK322" s="106"/>
      <c r="BL322" s="137"/>
      <c r="BM322" s="123"/>
      <c r="BN322" s="139">
        <v>0</v>
      </c>
      <c r="BO322" s="94"/>
      <c r="BP322" s="94"/>
      <c r="BQ322" s="94"/>
      <c r="BR322" s="94"/>
      <c r="BS322" s="94"/>
      <c r="BT322" s="94"/>
      <c r="BU322" s="28">
        <f t="shared" ref="BU322" si="284">IF(BL322=1,BN322,0)</f>
        <v>0</v>
      </c>
      <c r="BV322" s="28"/>
      <c r="BW322" s="28"/>
      <c r="BX322" s="28"/>
      <c r="BY322" s="28"/>
      <c r="BZ322" s="28"/>
      <c r="CA322" s="28"/>
      <c r="CB322" s="99"/>
      <c r="CC322" s="99">
        <f t="shared" ref="CC322:CD322" si="285">CC249</f>
        <v>0</v>
      </c>
      <c r="CD322" s="99">
        <f t="shared" si="285"/>
        <v>0</v>
      </c>
      <c r="CE322" s="99"/>
      <c r="CF322" s="99"/>
      <c r="CG322" s="99"/>
      <c r="CH322" s="99"/>
      <c r="CI322" s="175"/>
      <c r="CJ322" s="175"/>
      <c r="CK322" s="175"/>
      <c r="CL322" s="175"/>
      <c r="CM322" s="175"/>
      <c r="CN322" s="175"/>
      <c r="CO322" s="175"/>
      <c r="CP322" s="176"/>
      <c r="CQ322" s="176"/>
      <c r="CR322" s="176"/>
      <c r="CS322" s="176"/>
      <c r="CT322" s="176"/>
      <c r="CU322" s="176"/>
      <c r="CV322" s="176"/>
      <c r="CW322" s="167"/>
      <c r="CX322" s="168"/>
      <c r="CY322" s="168"/>
      <c r="CZ322" s="168"/>
      <c r="DA322" s="168"/>
      <c r="DB322" s="168"/>
      <c r="DC322" s="168"/>
      <c r="DD322" s="172"/>
      <c r="DE322" s="172"/>
      <c r="DF322" s="172"/>
      <c r="DG322" s="172"/>
      <c r="DH322" s="172"/>
      <c r="DI322" s="172"/>
      <c r="DJ322" s="172"/>
      <c r="DK322" s="80" t="s">
        <v>1409</v>
      </c>
      <c r="DL322" s="129">
        <v>100</v>
      </c>
      <c r="DM322" s="129">
        <v>100</v>
      </c>
      <c r="DN322" s="129">
        <v>100</v>
      </c>
      <c r="DO322" s="129">
        <v>100</v>
      </c>
      <c r="DP322" s="129">
        <v>100</v>
      </c>
      <c r="DQ322" s="129">
        <v>100</v>
      </c>
      <c r="DR322" s="129">
        <v>100</v>
      </c>
      <c r="DS322" s="218"/>
      <c r="DT322" s="360"/>
      <c r="DU322" s="360"/>
      <c r="DV322" s="360"/>
      <c r="DW322" s="360"/>
      <c r="DX322" s="360"/>
      <c r="DY322" s="360"/>
      <c r="DZ322" s="360"/>
      <c r="EA322" s="360"/>
      <c r="EB322" s="360"/>
      <c r="EC322" s="360"/>
      <c r="ED322" s="360"/>
      <c r="EE322" s="360"/>
      <c r="EF322" s="360"/>
      <c r="EG322" s="360"/>
      <c r="EH322" s="360"/>
      <c r="EI322" s="360"/>
      <c r="EJ322" s="360"/>
      <c r="EK322" s="360"/>
      <c r="EL322" s="360"/>
      <c r="EM322" s="360"/>
      <c r="EN322" s="360"/>
      <c r="EO322" s="360"/>
      <c r="EP322" s="360"/>
      <c r="EQ322" s="360"/>
    </row>
    <row r="323" spans="1:147" x14ac:dyDescent="0.35">
      <c r="A323" s="6" t="s">
        <v>1444</v>
      </c>
      <c r="B323" s="6" t="s">
        <v>740</v>
      </c>
      <c r="C323" s="6" t="s">
        <v>788</v>
      </c>
      <c r="D323" s="6" t="s">
        <v>741</v>
      </c>
      <c r="E323" s="6" t="s">
        <v>459</v>
      </c>
      <c r="F323" s="6" t="s">
        <v>464</v>
      </c>
      <c r="G323" s="48" t="s">
        <v>1445</v>
      </c>
      <c r="H323" s="48" t="str">
        <f>H250</f>
        <v>[GW]</v>
      </c>
      <c r="I323" s="102">
        <f>I322</f>
        <v>9867</v>
      </c>
      <c r="J323" s="102">
        <f t="shared" ref="J323:AI323" si="286">J322</f>
        <v>8745.75</v>
      </c>
      <c r="K323" s="102">
        <f t="shared" si="286"/>
        <v>7097</v>
      </c>
      <c r="L323" s="102">
        <f t="shared" si="286"/>
        <v>6600</v>
      </c>
      <c r="M323" s="102">
        <f t="shared" si="286"/>
        <v>6400</v>
      </c>
      <c r="N323" s="102">
        <f t="shared" si="286"/>
        <v>6200</v>
      </c>
      <c r="O323" s="102">
        <f t="shared" si="286"/>
        <v>6104</v>
      </c>
      <c r="P323" s="94">
        <v>0</v>
      </c>
      <c r="Q323" s="102">
        <f t="shared" si="286"/>
        <v>100.4</v>
      </c>
      <c r="R323" s="102">
        <f t="shared" si="286"/>
        <v>100.4</v>
      </c>
      <c r="S323" s="102">
        <f t="shared" si="286"/>
        <v>100.4</v>
      </c>
      <c r="T323" s="102">
        <f t="shared" si="286"/>
        <v>100.4</v>
      </c>
      <c r="U323" s="102">
        <f t="shared" si="286"/>
        <v>100.4</v>
      </c>
      <c r="V323" s="102">
        <f t="shared" si="286"/>
        <v>100.4</v>
      </c>
      <c r="W323" s="102">
        <f t="shared" si="286"/>
        <v>100.4</v>
      </c>
      <c r="X323" s="102">
        <f t="shared" si="286"/>
        <v>4.9400000000000004</v>
      </c>
      <c r="Y323" s="102">
        <f t="shared" si="286"/>
        <v>4.9400000000000004</v>
      </c>
      <c r="Z323" s="102">
        <f t="shared" si="286"/>
        <v>4.9400000000000004</v>
      </c>
      <c r="AA323" s="102">
        <f t="shared" si="286"/>
        <v>4.9400000000000004</v>
      </c>
      <c r="AB323" s="102">
        <f t="shared" si="286"/>
        <v>4.9400000000000004</v>
      </c>
      <c r="AC323" s="102">
        <f t="shared" si="286"/>
        <v>4.9400000000000004</v>
      </c>
      <c r="AD323" s="102">
        <f t="shared" si="286"/>
        <v>4.9400000000000004</v>
      </c>
      <c r="AE323" s="186">
        <v>0.08</v>
      </c>
      <c r="AF323" s="94">
        <f t="shared" si="286"/>
        <v>0</v>
      </c>
      <c r="AG323" s="94">
        <f t="shared" si="286"/>
        <v>60</v>
      </c>
      <c r="AH323" s="94">
        <f t="shared" si="286"/>
        <v>60</v>
      </c>
      <c r="AI323" s="17">
        <f t="shared" si="286"/>
        <v>28.4</v>
      </c>
      <c r="AJ323" s="17" t="s">
        <v>982</v>
      </c>
      <c r="AK323" s="17" t="s">
        <v>745</v>
      </c>
      <c r="AL323" s="17"/>
      <c r="AM323" s="61" t="s">
        <v>464</v>
      </c>
      <c r="AN323" s="61" t="s">
        <v>508</v>
      </c>
      <c r="AO323" s="61">
        <v>1</v>
      </c>
      <c r="AP323" s="61" t="s">
        <v>667</v>
      </c>
      <c r="AQ323" s="61">
        <v>0.2</v>
      </c>
      <c r="AR323" s="61">
        <v>0.5</v>
      </c>
      <c r="AS323" s="64"/>
      <c r="AT323" s="64"/>
      <c r="AU323" s="64"/>
      <c r="AV323" s="132"/>
      <c r="AW323" s="132"/>
      <c r="AX323" s="132"/>
      <c r="AY323" s="28" t="s">
        <v>662</v>
      </c>
      <c r="AZ323" s="28"/>
      <c r="BA323" s="28"/>
      <c r="BB323" s="28"/>
      <c r="BC323" s="28"/>
      <c r="BD323" s="28"/>
      <c r="BE323" s="28"/>
      <c r="BF323" s="28"/>
      <c r="BG323" s="28"/>
      <c r="BH323" s="106"/>
      <c r="BI323" s="106"/>
      <c r="BJ323" s="106"/>
      <c r="BK323" s="106"/>
      <c r="BL323" s="137"/>
      <c r="BM323" s="123"/>
      <c r="BN323" s="139">
        <v>0</v>
      </c>
      <c r="BO323" s="94"/>
      <c r="BP323" s="94"/>
      <c r="BQ323" s="94"/>
      <c r="BR323" s="94"/>
      <c r="BS323" s="94"/>
      <c r="BT323" s="94"/>
      <c r="BU323" s="28">
        <f t="shared" ref="BU323" si="287">IF(BL323=1,BN323,0)</f>
        <v>0</v>
      </c>
      <c r="BV323" s="28"/>
      <c r="BW323" s="28"/>
      <c r="BX323" s="28"/>
      <c r="BY323" s="28"/>
      <c r="BZ323" s="28"/>
      <c r="CA323" s="28"/>
      <c r="CB323" s="99">
        <f t="shared" ref="CB323:CE323" si="288">CB322</f>
        <v>0</v>
      </c>
      <c r="CC323" s="99">
        <f t="shared" si="288"/>
        <v>0</v>
      </c>
      <c r="CD323" s="99">
        <f t="shared" si="288"/>
        <v>0</v>
      </c>
      <c r="CE323" s="99">
        <f t="shared" si="288"/>
        <v>0</v>
      </c>
      <c r="CF323" s="99"/>
      <c r="CG323" s="99"/>
      <c r="CH323" s="99"/>
      <c r="CI323" s="175"/>
      <c r="CJ323" s="175"/>
      <c r="CK323" s="175"/>
      <c r="CL323" s="175"/>
      <c r="CM323" s="175"/>
      <c r="CN323" s="175"/>
      <c r="CO323" s="175"/>
      <c r="CP323" s="176"/>
      <c r="CQ323" s="176"/>
      <c r="CR323" s="176"/>
      <c r="CS323" s="176"/>
      <c r="CT323" s="176"/>
      <c r="CU323" s="176"/>
      <c r="CV323" s="176"/>
      <c r="CW323" s="167"/>
      <c r="CX323" s="168"/>
      <c r="CY323" s="168"/>
      <c r="CZ323" s="168"/>
      <c r="DA323" s="168"/>
      <c r="DB323" s="168"/>
      <c r="DC323" s="168"/>
      <c r="DD323" s="172"/>
      <c r="DE323" s="172"/>
      <c r="DF323" s="172"/>
      <c r="DG323" s="172"/>
      <c r="DH323" s="172"/>
      <c r="DI323" s="172"/>
      <c r="DJ323" s="172"/>
      <c r="DK323" s="80" t="s">
        <v>1409</v>
      </c>
      <c r="DL323" s="129">
        <v>100</v>
      </c>
      <c r="DM323" s="129">
        <v>100</v>
      </c>
      <c r="DN323" s="129">
        <v>100</v>
      </c>
      <c r="DO323" s="129">
        <v>100</v>
      </c>
      <c r="DP323" s="129">
        <v>100</v>
      </c>
      <c r="DQ323" s="129">
        <v>100</v>
      </c>
      <c r="DR323" s="129">
        <v>100</v>
      </c>
      <c r="DS323" s="218"/>
      <c r="DT323" s="360"/>
      <c r="DU323" s="360"/>
      <c r="DV323" s="360"/>
      <c r="DW323" s="360"/>
      <c r="DX323" s="360"/>
      <c r="DY323" s="360"/>
      <c r="DZ323" s="360"/>
      <c r="EA323" s="360"/>
      <c r="EB323" s="360"/>
      <c r="EC323" s="360"/>
      <c r="ED323" s="360"/>
      <c r="EE323" s="360"/>
      <c r="EF323" s="360"/>
      <c r="EG323" s="360"/>
      <c r="EH323" s="360"/>
      <c r="EI323" s="360"/>
      <c r="EJ323" s="360"/>
      <c r="EK323" s="360"/>
      <c r="EL323" s="360"/>
      <c r="EM323" s="360"/>
      <c r="EN323" s="360"/>
      <c r="EO323" s="360"/>
      <c r="EP323" s="360"/>
      <c r="EQ323" s="360"/>
    </row>
    <row r="324" spans="1:147" x14ac:dyDescent="0.35">
      <c r="A324" s="5" t="s">
        <v>1446</v>
      </c>
      <c r="B324" s="5" t="s">
        <v>740</v>
      </c>
      <c r="C324" s="5" t="s">
        <v>788</v>
      </c>
      <c r="D324" s="5" t="s">
        <v>741</v>
      </c>
      <c r="E324" s="5" t="s">
        <v>459</v>
      </c>
      <c r="F324" s="5" t="s">
        <v>465</v>
      </c>
      <c r="G324" s="47" t="s">
        <v>1447</v>
      </c>
      <c r="H324" s="47" t="s">
        <v>981</v>
      </c>
      <c r="I324" s="101">
        <v>0</v>
      </c>
      <c r="J324" s="101">
        <v>0</v>
      </c>
      <c r="K324" s="101">
        <v>0</v>
      </c>
      <c r="L324" s="101">
        <v>0</v>
      </c>
      <c r="M324" s="101">
        <v>0</v>
      </c>
      <c r="N324" s="101">
        <v>0</v>
      </c>
      <c r="O324" s="101">
        <v>0</v>
      </c>
      <c r="P324" s="93">
        <v>0</v>
      </c>
      <c r="Q324" s="101">
        <v>0</v>
      </c>
      <c r="R324" s="101">
        <v>0</v>
      </c>
      <c r="S324" s="101">
        <v>0</v>
      </c>
      <c r="T324" s="101">
        <v>0</v>
      </c>
      <c r="U324" s="101">
        <v>0</v>
      </c>
      <c r="V324" s="101">
        <v>0</v>
      </c>
      <c r="W324" s="101">
        <v>0</v>
      </c>
      <c r="X324" s="101">
        <v>0</v>
      </c>
      <c r="Y324" s="101">
        <v>0</v>
      </c>
      <c r="Z324" s="101">
        <v>0</v>
      </c>
      <c r="AA324" s="101">
        <v>0</v>
      </c>
      <c r="AB324" s="101">
        <v>0</v>
      </c>
      <c r="AC324" s="101">
        <v>0</v>
      </c>
      <c r="AD324" s="101">
        <v>0</v>
      </c>
      <c r="AE324" s="186">
        <v>0.08</v>
      </c>
      <c r="AF324" s="93"/>
      <c r="AG324" s="93">
        <v>1</v>
      </c>
      <c r="AH324" s="93">
        <v>1</v>
      </c>
      <c r="AI324" s="16">
        <v>31.536000000000001</v>
      </c>
      <c r="AJ324" s="16" t="s">
        <v>660</v>
      </c>
      <c r="AK324" s="16" t="s">
        <v>745</v>
      </c>
      <c r="AL324" s="16"/>
      <c r="AM324" s="60"/>
      <c r="AN324" s="60"/>
      <c r="AO324" s="60"/>
      <c r="AP324" s="60"/>
      <c r="AQ324" s="60"/>
      <c r="AR324" s="60"/>
      <c r="AS324" s="63"/>
      <c r="AT324" s="63"/>
      <c r="AU324" s="63"/>
      <c r="AV324" s="131"/>
      <c r="AW324" s="131"/>
      <c r="AX324" s="131"/>
      <c r="AY324" s="27" t="s">
        <v>662</v>
      </c>
      <c r="AZ324" s="27"/>
      <c r="BA324" s="27"/>
      <c r="BB324" s="30"/>
      <c r="BC324" s="30"/>
      <c r="BD324" s="30"/>
      <c r="BE324" s="30"/>
      <c r="BF324" s="30"/>
      <c r="BG324" s="30"/>
      <c r="BH324" s="107"/>
      <c r="BI324" s="107"/>
      <c r="BJ324" s="107"/>
      <c r="BK324" s="107"/>
      <c r="BL324" s="136"/>
      <c r="BM324" s="122"/>
      <c r="BN324" s="138">
        <v>5</v>
      </c>
      <c r="BO324" s="93"/>
      <c r="BP324" s="93"/>
      <c r="BQ324" s="93"/>
      <c r="BR324" s="93"/>
      <c r="BS324" s="93"/>
      <c r="BT324" s="93"/>
      <c r="BU324" s="27"/>
      <c r="BV324" s="27"/>
      <c r="BW324" s="27"/>
      <c r="BX324" s="27"/>
      <c r="BY324" s="27"/>
      <c r="BZ324" s="27"/>
      <c r="CA324" s="27"/>
      <c r="CB324" s="185">
        <v>10</v>
      </c>
      <c r="CC324" s="185">
        <v>10</v>
      </c>
      <c r="CD324" s="185">
        <v>10</v>
      </c>
      <c r="CE324" s="97">
        <v>0.5</v>
      </c>
      <c r="CF324" s="97">
        <v>0.5</v>
      </c>
      <c r="CG324" s="97">
        <v>0.5</v>
      </c>
      <c r="CH324" s="97">
        <v>0.5</v>
      </c>
      <c r="CI324" s="173"/>
      <c r="CJ324" s="173"/>
      <c r="CK324" s="173"/>
      <c r="CL324" s="173"/>
      <c r="CM324" s="173"/>
      <c r="CN324" s="173"/>
      <c r="CO324" s="173"/>
      <c r="CP324" s="174"/>
      <c r="CQ324" s="174"/>
      <c r="CR324" s="174"/>
      <c r="CS324" s="174"/>
      <c r="CT324" s="174"/>
      <c r="CU324" s="174"/>
      <c r="CV324" s="174"/>
      <c r="CW324" s="165"/>
      <c r="CX324" s="166"/>
      <c r="CY324" s="166"/>
      <c r="CZ324" s="166"/>
      <c r="DA324" s="166"/>
      <c r="DB324" s="166"/>
      <c r="DC324" s="166"/>
      <c r="DD324" s="171"/>
      <c r="DE324" s="171"/>
      <c r="DF324" s="171"/>
      <c r="DG324" s="171"/>
      <c r="DH324" s="171"/>
      <c r="DI324" s="171"/>
      <c r="DJ324" s="171"/>
      <c r="DK324" s="79" t="s">
        <v>1409</v>
      </c>
      <c r="DL324" s="128">
        <v>500</v>
      </c>
      <c r="DM324" s="128">
        <v>500</v>
      </c>
      <c r="DN324" s="128">
        <v>500</v>
      </c>
      <c r="DO324" s="128">
        <v>500</v>
      </c>
      <c r="DP324" s="128">
        <v>500</v>
      </c>
      <c r="DQ324" s="128">
        <v>500</v>
      </c>
      <c r="DR324" s="128">
        <v>500</v>
      </c>
      <c r="DS324" s="218"/>
      <c r="DT324" s="360"/>
      <c r="DU324" s="360"/>
      <c r="DV324" s="360"/>
      <c r="DW324" s="360"/>
      <c r="DX324" s="360"/>
      <c r="DY324" s="360"/>
      <c r="DZ324" s="360"/>
      <c r="EA324" s="360"/>
      <c r="EB324" s="360"/>
      <c r="EC324" s="360"/>
      <c r="ED324" s="360"/>
      <c r="EE324" s="360"/>
      <c r="EF324" s="360"/>
      <c r="EG324" s="360"/>
      <c r="EH324" s="360"/>
      <c r="EI324" s="360"/>
      <c r="EJ324" s="360"/>
      <c r="EK324" s="360"/>
      <c r="EL324" s="360"/>
      <c r="EM324" s="360"/>
      <c r="EN324" s="360"/>
      <c r="EO324" s="360"/>
      <c r="EP324" s="360"/>
      <c r="EQ324" s="360"/>
    </row>
    <row r="325" spans="1:147" x14ac:dyDescent="0.35">
      <c r="A325" s="6" t="s">
        <v>1448</v>
      </c>
      <c r="B325" s="6" t="s">
        <v>740</v>
      </c>
      <c r="C325" s="6" t="s">
        <v>788</v>
      </c>
      <c r="D325" s="6" t="s">
        <v>741</v>
      </c>
      <c r="E325" s="6" t="s">
        <v>459</v>
      </c>
      <c r="F325" s="6" t="s">
        <v>465</v>
      </c>
      <c r="G325" s="48" t="s">
        <v>1449</v>
      </c>
      <c r="H325" s="48" t="s">
        <v>981</v>
      </c>
      <c r="I325" s="102">
        <v>550</v>
      </c>
      <c r="J325" s="102">
        <v>550</v>
      </c>
      <c r="K325" s="102">
        <v>550</v>
      </c>
      <c r="L325" s="102">
        <v>550</v>
      </c>
      <c r="M325" s="102">
        <v>550</v>
      </c>
      <c r="N325" s="102">
        <v>550</v>
      </c>
      <c r="O325" s="102">
        <v>550</v>
      </c>
      <c r="P325" s="94">
        <v>0</v>
      </c>
      <c r="Q325" s="102">
        <v>8</v>
      </c>
      <c r="R325" s="102">
        <v>8</v>
      </c>
      <c r="S325" s="102">
        <v>8</v>
      </c>
      <c r="T325" s="102">
        <v>8</v>
      </c>
      <c r="U325" s="102">
        <v>8</v>
      </c>
      <c r="V325" s="102">
        <v>8</v>
      </c>
      <c r="W325" s="102">
        <v>8</v>
      </c>
      <c r="X325" s="102">
        <v>0</v>
      </c>
      <c r="Y325" s="102">
        <v>0</v>
      </c>
      <c r="Z325" s="102">
        <v>0</v>
      </c>
      <c r="AA325" s="102">
        <v>0</v>
      </c>
      <c r="AB325" s="102">
        <v>0</v>
      </c>
      <c r="AC325" s="102">
        <v>0</v>
      </c>
      <c r="AD325" s="102">
        <v>0</v>
      </c>
      <c r="AE325" s="186">
        <v>0.08</v>
      </c>
      <c r="AF325" s="94">
        <v>0</v>
      </c>
      <c r="AG325" s="94">
        <v>20</v>
      </c>
      <c r="AH325" s="94">
        <v>20</v>
      </c>
      <c r="AI325" s="17">
        <v>31.536000000000001</v>
      </c>
      <c r="AJ325" s="17" t="s">
        <v>660</v>
      </c>
      <c r="AK325" s="17" t="s">
        <v>745</v>
      </c>
      <c r="AL325" s="17"/>
      <c r="AM325" s="61"/>
      <c r="AN325" s="61"/>
      <c r="AO325" s="61"/>
      <c r="AP325" s="61"/>
      <c r="AQ325" s="61"/>
      <c r="AR325" s="61"/>
      <c r="AS325" s="64"/>
      <c r="AT325" s="64"/>
      <c r="AU325" s="64"/>
      <c r="AV325" s="132"/>
      <c r="AW325" s="132"/>
      <c r="AX325" s="132"/>
      <c r="AY325" s="28" t="s">
        <v>662</v>
      </c>
      <c r="AZ325" s="28"/>
      <c r="BA325" s="28"/>
      <c r="BB325" s="28"/>
      <c r="BC325" s="28"/>
      <c r="BD325" s="28"/>
      <c r="BE325" s="28"/>
      <c r="BF325" s="28"/>
      <c r="BG325" s="28"/>
      <c r="BH325" s="106"/>
      <c r="BI325" s="106"/>
      <c r="BJ325" s="106"/>
      <c r="BK325" s="106"/>
      <c r="BL325" s="137"/>
      <c r="BM325" s="123"/>
      <c r="BN325" s="139">
        <v>0</v>
      </c>
      <c r="BO325" s="94"/>
      <c r="BP325" s="94"/>
      <c r="BQ325" s="94"/>
      <c r="BR325" s="94"/>
      <c r="BS325" s="94"/>
      <c r="BT325" s="94"/>
      <c r="BU325" s="28">
        <f t="shared" si="277"/>
        <v>0</v>
      </c>
      <c r="BV325" s="28"/>
      <c r="BW325" s="28"/>
      <c r="BX325" s="28"/>
      <c r="BY325" s="28"/>
      <c r="BZ325" s="28"/>
      <c r="CA325" s="28"/>
      <c r="CB325" s="99"/>
      <c r="CC325" s="99">
        <v>1</v>
      </c>
      <c r="CD325" s="99">
        <v>2</v>
      </c>
      <c r="CE325" s="99">
        <v>5</v>
      </c>
      <c r="CF325" s="99">
        <v>10</v>
      </c>
      <c r="CG325" s="99">
        <v>10</v>
      </c>
      <c r="CH325" s="99">
        <v>10</v>
      </c>
      <c r="CI325" s="175"/>
      <c r="CJ325" s="175"/>
      <c r="CK325" s="175"/>
      <c r="CL325" s="175"/>
      <c r="CM325" s="175"/>
      <c r="CN325" s="175"/>
      <c r="CO325" s="175"/>
      <c r="CP325" s="176"/>
      <c r="CQ325" s="176"/>
      <c r="CR325" s="176"/>
      <c r="CS325" s="176"/>
      <c r="CT325" s="176"/>
      <c r="CU325" s="176"/>
      <c r="CV325" s="176"/>
      <c r="CW325" s="167"/>
      <c r="CX325" s="168"/>
      <c r="CY325" s="168"/>
      <c r="CZ325" s="168"/>
      <c r="DA325" s="168"/>
      <c r="DB325" s="168"/>
      <c r="DC325" s="168"/>
      <c r="DD325" s="172"/>
      <c r="DE325" s="172"/>
      <c r="DF325" s="172"/>
      <c r="DG325" s="172"/>
      <c r="DH325" s="172"/>
      <c r="DI325" s="172"/>
      <c r="DJ325" s="172"/>
      <c r="DK325" s="80" t="s">
        <v>1409</v>
      </c>
      <c r="DL325" s="129">
        <v>150</v>
      </c>
      <c r="DM325" s="129">
        <v>150</v>
      </c>
      <c r="DN325" s="129">
        <v>150</v>
      </c>
      <c r="DO325" s="129">
        <v>150</v>
      </c>
      <c r="DP325" s="129">
        <v>150</v>
      </c>
      <c r="DQ325" s="129">
        <v>150</v>
      </c>
      <c r="DR325" s="129">
        <v>150</v>
      </c>
      <c r="DS325" s="218"/>
      <c r="DT325" s="360"/>
      <c r="DU325" s="360"/>
      <c r="DV325" s="360"/>
      <c r="DW325" s="360"/>
      <c r="DX325" s="360"/>
      <c r="DY325" s="360"/>
      <c r="DZ325" s="360"/>
      <c r="EA325" s="360"/>
      <c r="EB325" s="360"/>
      <c r="EC325" s="360"/>
      <c r="ED325" s="360"/>
      <c r="EE325" s="360"/>
      <c r="EF325" s="360"/>
      <c r="EG325" s="360"/>
      <c r="EH325" s="360"/>
      <c r="EI325" s="360"/>
      <c r="EJ325" s="360"/>
      <c r="EK325" s="360"/>
      <c r="EL325" s="360"/>
      <c r="EM325" s="360"/>
      <c r="EN325" s="360"/>
      <c r="EO325" s="360"/>
      <c r="EP325" s="360"/>
      <c r="EQ325" s="360"/>
    </row>
    <row r="326" spans="1:147" x14ac:dyDescent="0.35">
      <c r="A326" s="5" t="s">
        <v>1450</v>
      </c>
      <c r="B326" s="5" t="s">
        <v>740</v>
      </c>
      <c r="C326" s="5" t="s">
        <v>788</v>
      </c>
      <c r="D326" s="5" t="s">
        <v>741</v>
      </c>
      <c r="E326" s="5" t="s">
        <v>459</v>
      </c>
      <c r="F326" s="5" t="s">
        <v>465</v>
      </c>
      <c r="G326" s="47" t="s">
        <v>1451</v>
      </c>
      <c r="H326" s="47" t="s">
        <v>981</v>
      </c>
      <c r="I326" s="101">
        <v>1200</v>
      </c>
      <c r="J326" s="101">
        <v>1100</v>
      </c>
      <c r="K326" s="101">
        <v>1000</v>
      </c>
      <c r="L326" s="101">
        <v>950</v>
      </c>
      <c r="M326" s="101">
        <v>900</v>
      </c>
      <c r="N326" s="101">
        <v>850</v>
      </c>
      <c r="O326" s="101">
        <v>800</v>
      </c>
      <c r="P326" s="93">
        <v>0</v>
      </c>
      <c r="Q326" s="101">
        <v>15</v>
      </c>
      <c r="R326" s="101">
        <v>15</v>
      </c>
      <c r="S326" s="101">
        <v>15</v>
      </c>
      <c r="T326" s="101">
        <v>15</v>
      </c>
      <c r="U326" s="101">
        <v>15</v>
      </c>
      <c r="V326" s="101">
        <v>15</v>
      </c>
      <c r="W326" s="101">
        <v>15</v>
      </c>
      <c r="X326" s="101">
        <v>0</v>
      </c>
      <c r="Y326" s="101">
        <v>0</v>
      </c>
      <c r="Z326" s="101">
        <v>0</v>
      </c>
      <c r="AA326" s="101">
        <v>0</v>
      </c>
      <c r="AB326" s="101">
        <v>0</v>
      </c>
      <c r="AC326" s="101">
        <v>0</v>
      </c>
      <c r="AD326" s="101">
        <v>0</v>
      </c>
      <c r="AE326" s="186">
        <v>0.08</v>
      </c>
      <c r="AF326" s="93">
        <v>0</v>
      </c>
      <c r="AG326" s="93">
        <v>20</v>
      </c>
      <c r="AH326" s="93">
        <v>20</v>
      </c>
      <c r="AI326" s="16">
        <v>31.536000000000001</v>
      </c>
      <c r="AJ326" s="16" t="s">
        <v>660</v>
      </c>
      <c r="AK326" s="16" t="s">
        <v>745</v>
      </c>
      <c r="AL326" s="16"/>
      <c r="AM326" s="60"/>
      <c r="AN326" s="60"/>
      <c r="AO326" s="60"/>
      <c r="AP326" s="60"/>
      <c r="AQ326" s="60"/>
      <c r="AR326" s="60"/>
      <c r="AS326" s="63"/>
      <c r="AT326" s="63"/>
      <c r="AU326" s="63"/>
      <c r="AV326" s="131"/>
      <c r="AW326" s="131"/>
      <c r="AX326" s="131"/>
      <c r="AY326" s="27" t="s">
        <v>662</v>
      </c>
      <c r="AZ326" s="27"/>
      <c r="BA326" s="27"/>
      <c r="BB326" s="30"/>
      <c r="BC326" s="30"/>
      <c r="BD326" s="30"/>
      <c r="BE326" s="30"/>
      <c r="BF326" s="30"/>
      <c r="BG326" s="30"/>
      <c r="BH326" s="107"/>
      <c r="BI326" s="107"/>
      <c r="BJ326" s="107"/>
      <c r="BK326" s="107"/>
      <c r="BL326" s="136"/>
      <c r="BM326" s="122"/>
      <c r="BN326" s="138">
        <v>0</v>
      </c>
      <c r="BO326" s="93"/>
      <c r="BP326" s="93"/>
      <c r="BQ326" s="93"/>
      <c r="BR326" s="93"/>
      <c r="BS326" s="93"/>
      <c r="BT326" s="93"/>
      <c r="BU326" s="27">
        <f t="shared" si="277"/>
        <v>0</v>
      </c>
      <c r="BV326" s="27"/>
      <c r="BW326" s="27"/>
      <c r="BX326" s="27"/>
      <c r="BY326" s="27"/>
      <c r="BZ326" s="27"/>
      <c r="CA326" s="27"/>
      <c r="CB326" s="97"/>
      <c r="CC326" s="97">
        <v>1</v>
      </c>
      <c r="CD326" s="97">
        <v>2</v>
      </c>
      <c r="CE326" s="97">
        <v>5</v>
      </c>
      <c r="CF326" s="97">
        <v>10</v>
      </c>
      <c r="CG326" s="97">
        <v>10</v>
      </c>
      <c r="CH326" s="97">
        <v>10</v>
      </c>
      <c r="CI326" s="173"/>
      <c r="CJ326" s="173"/>
      <c r="CK326" s="173"/>
      <c r="CL326" s="173"/>
      <c r="CM326" s="173"/>
      <c r="CN326" s="173"/>
      <c r="CO326" s="173"/>
      <c r="CP326" s="174"/>
      <c r="CQ326" s="174"/>
      <c r="CR326" s="174"/>
      <c r="CS326" s="174"/>
      <c r="CT326" s="174"/>
      <c r="CU326" s="174"/>
      <c r="CV326" s="174"/>
      <c r="CW326" s="165"/>
      <c r="CX326" s="166"/>
      <c r="CY326" s="166"/>
      <c r="CZ326" s="166"/>
      <c r="DA326" s="166"/>
      <c r="DB326" s="166"/>
      <c r="DC326" s="166"/>
      <c r="DD326" s="171"/>
      <c r="DE326" s="171"/>
      <c r="DF326" s="171"/>
      <c r="DG326" s="171"/>
      <c r="DH326" s="171"/>
      <c r="DI326" s="171"/>
      <c r="DJ326" s="171"/>
      <c r="DK326" s="79" t="s">
        <v>1409</v>
      </c>
      <c r="DL326" s="128">
        <v>150</v>
      </c>
      <c r="DM326" s="128">
        <v>150</v>
      </c>
      <c r="DN326" s="128">
        <v>150</v>
      </c>
      <c r="DO326" s="128">
        <v>150</v>
      </c>
      <c r="DP326" s="128">
        <v>150</v>
      </c>
      <c r="DQ326" s="128">
        <v>150</v>
      </c>
      <c r="DR326" s="128">
        <v>150</v>
      </c>
      <c r="DS326" s="218"/>
      <c r="DT326" s="360"/>
      <c r="DU326" s="360"/>
      <c r="DV326" s="360"/>
      <c r="DW326" s="360"/>
      <c r="DX326" s="360"/>
      <c r="DY326" s="360"/>
      <c r="DZ326" s="360"/>
      <c r="EA326" s="360"/>
      <c r="EB326" s="360"/>
      <c r="EC326" s="360"/>
      <c r="ED326" s="360"/>
      <c r="EE326" s="360"/>
      <c r="EF326" s="360"/>
      <c r="EG326" s="360"/>
      <c r="EH326" s="360"/>
      <c r="EI326" s="360"/>
      <c r="EJ326" s="360"/>
      <c r="EK326" s="360"/>
      <c r="EL326" s="360"/>
      <c r="EM326" s="360"/>
      <c r="EN326" s="360"/>
      <c r="EO326" s="360"/>
      <c r="EP326" s="360"/>
      <c r="EQ326" s="360"/>
    </row>
    <row r="327" spans="1:147" x14ac:dyDescent="0.35">
      <c r="A327" s="6" t="s">
        <v>1452</v>
      </c>
      <c r="B327" s="6" t="s">
        <v>740</v>
      </c>
      <c r="C327" s="6" t="s">
        <v>788</v>
      </c>
      <c r="D327" s="6" t="s">
        <v>741</v>
      </c>
      <c r="E327" s="6" t="s">
        <v>459</v>
      </c>
      <c r="F327" s="6" t="s">
        <v>465</v>
      </c>
      <c r="G327" s="48" t="s">
        <v>1453</v>
      </c>
      <c r="H327" s="48" t="s">
        <v>981</v>
      </c>
      <c r="I327" s="102">
        <v>900</v>
      </c>
      <c r="J327" s="102">
        <v>900</v>
      </c>
      <c r="K327" s="102">
        <v>900</v>
      </c>
      <c r="L327" s="102">
        <v>900</v>
      </c>
      <c r="M327" s="102">
        <v>900</v>
      </c>
      <c r="N327" s="102">
        <v>900</v>
      </c>
      <c r="O327" s="102">
        <v>900</v>
      </c>
      <c r="P327" s="94">
        <v>0</v>
      </c>
      <c r="Q327" s="102">
        <v>20</v>
      </c>
      <c r="R327" s="102">
        <v>20</v>
      </c>
      <c r="S327" s="102">
        <v>20</v>
      </c>
      <c r="T327" s="102">
        <v>20</v>
      </c>
      <c r="U327" s="102">
        <v>20</v>
      </c>
      <c r="V327" s="102">
        <v>20</v>
      </c>
      <c r="W327" s="102">
        <v>20</v>
      </c>
      <c r="X327" s="102">
        <v>0</v>
      </c>
      <c r="Y327" s="102">
        <v>0</v>
      </c>
      <c r="Z327" s="102">
        <v>0</v>
      </c>
      <c r="AA327" s="102">
        <v>0</v>
      </c>
      <c r="AB327" s="102">
        <v>0</v>
      </c>
      <c r="AC327" s="102">
        <v>0</v>
      </c>
      <c r="AD327" s="102">
        <v>0</v>
      </c>
      <c r="AE327" s="186">
        <v>0.08</v>
      </c>
      <c r="AF327" s="94">
        <v>0</v>
      </c>
      <c r="AG327" s="94">
        <v>20</v>
      </c>
      <c r="AH327" s="94">
        <v>20</v>
      </c>
      <c r="AI327" s="17">
        <v>31.536000000000001</v>
      </c>
      <c r="AJ327" s="17" t="s">
        <v>660</v>
      </c>
      <c r="AK327" s="17" t="s">
        <v>745</v>
      </c>
      <c r="AL327" s="17"/>
      <c r="AM327" s="61"/>
      <c r="AN327" s="61"/>
      <c r="AO327" s="61"/>
      <c r="AP327" s="61"/>
      <c r="AQ327" s="61"/>
      <c r="AR327" s="61"/>
      <c r="AS327" s="64"/>
      <c r="AT327" s="64"/>
      <c r="AU327" s="64"/>
      <c r="AV327" s="132"/>
      <c r="AW327" s="132"/>
      <c r="AX327" s="132"/>
      <c r="AY327" s="28" t="s">
        <v>662</v>
      </c>
      <c r="AZ327" s="28"/>
      <c r="BA327" s="28"/>
      <c r="BB327" s="28"/>
      <c r="BC327" s="28"/>
      <c r="BD327" s="28"/>
      <c r="BE327" s="28"/>
      <c r="BF327" s="28"/>
      <c r="BG327" s="28"/>
      <c r="BH327" s="106"/>
      <c r="BI327" s="106"/>
      <c r="BJ327" s="106"/>
      <c r="BK327" s="106"/>
      <c r="BL327" s="137"/>
      <c r="BM327" s="123"/>
      <c r="BN327" s="139">
        <v>0</v>
      </c>
      <c r="BO327" s="94"/>
      <c r="BP327" s="94"/>
      <c r="BQ327" s="94"/>
      <c r="BR327" s="94"/>
      <c r="BS327" s="94"/>
      <c r="BT327" s="94"/>
      <c r="BU327" s="28">
        <f t="shared" si="277"/>
        <v>0</v>
      </c>
      <c r="BV327" s="28"/>
      <c r="BW327" s="28"/>
      <c r="BX327" s="28"/>
      <c r="BY327" s="28"/>
      <c r="BZ327" s="28"/>
      <c r="CA327" s="28"/>
      <c r="CB327" s="99"/>
      <c r="CC327" s="99">
        <v>1</v>
      </c>
      <c r="CD327" s="99">
        <v>2</v>
      </c>
      <c r="CE327" s="99">
        <v>5</v>
      </c>
      <c r="CF327" s="99">
        <v>10</v>
      </c>
      <c r="CG327" s="99">
        <v>10</v>
      </c>
      <c r="CH327" s="99">
        <v>10</v>
      </c>
      <c r="CI327" s="175"/>
      <c r="CJ327" s="175"/>
      <c r="CK327" s="175"/>
      <c r="CL327" s="175"/>
      <c r="CM327" s="175"/>
      <c r="CN327" s="175"/>
      <c r="CO327" s="175"/>
      <c r="CP327" s="176"/>
      <c r="CQ327" s="176"/>
      <c r="CR327" s="176"/>
      <c r="CS327" s="176"/>
      <c r="CT327" s="176"/>
      <c r="CU327" s="176"/>
      <c r="CV327" s="176"/>
      <c r="CW327" s="167"/>
      <c r="CX327" s="168"/>
      <c r="CY327" s="168"/>
      <c r="CZ327" s="168"/>
      <c r="DA327" s="168"/>
      <c r="DB327" s="168"/>
      <c r="DC327" s="168"/>
      <c r="DD327" s="172"/>
      <c r="DE327" s="172"/>
      <c r="DF327" s="172"/>
      <c r="DG327" s="172"/>
      <c r="DH327" s="172"/>
      <c r="DI327" s="172"/>
      <c r="DJ327" s="172"/>
      <c r="DK327" s="80" t="s">
        <v>1409</v>
      </c>
      <c r="DL327" s="129">
        <v>150</v>
      </c>
      <c r="DM327" s="129">
        <v>150</v>
      </c>
      <c r="DN327" s="129">
        <v>150</v>
      </c>
      <c r="DO327" s="129">
        <v>150</v>
      </c>
      <c r="DP327" s="129">
        <v>150</v>
      </c>
      <c r="DQ327" s="129">
        <v>150</v>
      </c>
      <c r="DR327" s="129">
        <v>150</v>
      </c>
      <c r="DS327" s="218"/>
      <c r="DT327" s="360"/>
      <c r="DU327" s="360"/>
      <c r="DV327" s="360"/>
      <c r="DW327" s="360"/>
      <c r="DX327" s="360"/>
      <c r="DY327" s="360"/>
      <c r="DZ327" s="360"/>
      <c r="EA327" s="360"/>
      <c r="EB327" s="360"/>
      <c r="EC327" s="360"/>
      <c r="ED327" s="360"/>
      <c r="EE327" s="360"/>
      <c r="EF327" s="360"/>
      <c r="EG327" s="360"/>
      <c r="EH327" s="360"/>
      <c r="EI327" s="360"/>
      <c r="EJ327" s="360"/>
      <c r="EK327" s="360"/>
      <c r="EL327" s="360"/>
      <c r="EM327" s="360"/>
      <c r="EN327" s="360"/>
      <c r="EO327" s="360"/>
      <c r="EP327" s="360"/>
      <c r="EQ327" s="360"/>
    </row>
    <row r="328" spans="1:147" x14ac:dyDescent="0.35">
      <c r="A328" s="5" t="s">
        <v>1454</v>
      </c>
      <c r="B328" s="5" t="s">
        <v>740</v>
      </c>
      <c r="C328" s="5" t="s">
        <v>788</v>
      </c>
      <c r="D328" s="5" t="s">
        <v>741</v>
      </c>
      <c r="E328" s="5" t="s">
        <v>459</v>
      </c>
      <c r="F328" s="5" t="s">
        <v>465</v>
      </c>
      <c r="G328" s="47" t="s">
        <v>1455</v>
      </c>
      <c r="H328" s="47" t="s">
        <v>981</v>
      </c>
      <c r="I328" s="101">
        <v>700</v>
      </c>
      <c r="J328" s="101">
        <v>700</v>
      </c>
      <c r="K328" s="101">
        <v>700</v>
      </c>
      <c r="L328" s="101">
        <v>700</v>
      </c>
      <c r="M328" s="101">
        <v>700</v>
      </c>
      <c r="N328" s="101">
        <v>700</v>
      </c>
      <c r="O328" s="101">
        <v>700</v>
      </c>
      <c r="P328" s="93">
        <v>0</v>
      </c>
      <c r="Q328" s="101">
        <v>40</v>
      </c>
      <c r="R328" s="101">
        <v>40</v>
      </c>
      <c r="S328" s="101">
        <v>40</v>
      </c>
      <c r="T328" s="101">
        <v>40</v>
      </c>
      <c r="U328" s="101">
        <v>40</v>
      </c>
      <c r="V328" s="101">
        <v>40</v>
      </c>
      <c r="W328" s="101">
        <v>40</v>
      </c>
      <c r="X328" s="101">
        <v>10</v>
      </c>
      <c r="Y328" s="101">
        <v>10</v>
      </c>
      <c r="Z328" s="101">
        <v>10</v>
      </c>
      <c r="AA328" s="101">
        <v>10</v>
      </c>
      <c r="AB328" s="101">
        <v>10</v>
      </c>
      <c r="AC328" s="101">
        <v>10</v>
      </c>
      <c r="AD328" s="101">
        <v>10</v>
      </c>
      <c r="AE328" s="186">
        <v>0.08</v>
      </c>
      <c r="AF328" s="93">
        <v>0</v>
      </c>
      <c r="AG328" s="93">
        <v>20</v>
      </c>
      <c r="AH328" s="93">
        <v>20</v>
      </c>
      <c r="AI328" s="16">
        <v>31.536000000000001</v>
      </c>
      <c r="AJ328" s="16" t="s">
        <v>660</v>
      </c>
      <c r="AK328" s="16" t="s">
        <v>745</v>
      </c>
      <c r="AL328" s="16"/>
      <c r="AM328" s="60"/>
      <c r="AN328" s="60"/>
      <c r="AO328" s="60"/>
      <c r="AP328" s="60"/>
      <c r="AQ328" s="60"/>
      <c r="AR328" s="60"/>
      <c r="AS328" s="63"/>
      <c r="AT328" s="63"/>
      <c r="AU328" s="63"/>
      <c r="AV328" s="131"/>
      <c r="AW328" s="131"/>
      <c r="AX328" s="131"/>
      <c r="AY328" s="27" t="s">
        <v>662</v>
      </c>
      <c r="AZ328" s="27"/>
      <c r="BA328" s="27"/>
      <c r="BB328" s="30"/>
      <c r="BC328" s="30"/>
      <c r="BD328" s="30"/>
      <c r="BE328" s="30"/>
      <c r="BF328" s="30"/>
      <c r="BG328" s="30"/>
      <c r="BH328" s="107"/>
      <c r="BI328" s="107"/>
      <c r="BJ328" s="107"/>
      <c r="BK328" s="107"/>
      <c r="BL328" s="136"/>
      <c r="BM328" s="122"/>
      <c r="BN328" s="138">
        <v>0</v>
      </c>
      <c r="BO328" s="93"/>
      <c r="BP328" s="93"/>
      <c r="BQ328" s="93"/>
      <c r="BR328" s="93"/>
      <c r="BS328" s="93"/>
      <c r="BT328" s="93"/>
      <c r="BU328" s="27">
        <f t="shared" si="277"/>
        <v>0</v>
      </c>
      <c r="BV328" s="27"/>
      <c r="BW328" s="27"/>
      <c r="BX328" s="27"/>
      <c r="BY328" s="27"/>
      <c r="BZ328" s="27"/>
      <c r="CA328" s="27"/>
      <c r="CB328" s="97"/>
      <c r="CC328" s="97">
        <v>1</v>
      </c>
      <c r="CD328" s="97">
        <v>2</v>
      </c>
      <c r="CE328" s="97">
        <v>5</v>
      </c>
      <c r="CF328" s="97">
        <v>10</v>
      </c>
      <c r="CG328" s="97">
        <v>10</v>
      </c>
      <c r="CH328" s="97">
        <v>10</v>
      </c>
      <c r="CI328" s="173"/>
      <c r="CJ328" s="173"/>
      <c r="CK328" s="173"/>
      <c r="CL328" s="173"/>
      <c r="CM328" s="173"/>
      <c r="CN328" s="173"/>
      <c r="CO328" s="173"/>
      <c r="CP328" s="174"/>
      <c r="CQ328" s="174"/>
      <c r="CR328" s="174"/>
      <c r="CS328" s="174"/>
      <c r="CT328" s="174"/>
      <c r="CU328" s="174"/>
      <c r="CV328" s="174"/>
      <c r="CW328" s="165"/>
      <c r="CX328" s="166"/>
      <c r="CY328" s="166"/>
      <c r="CZ328" s="166"/>
      <c r="DA328" s="166"/>
      <c r="DB328" s="166"/>
      <c r="DC328" s="166"/>
      <c r="DD328" s="171"/>
      <c r="DE328" s="171"/>
      <c r="DF328" s="171"/>
      <c r="DG328" s="171"/>
      <c r="DH328" s="171"/>
      <c r="DI328" s="171"/>
      <c r="DJ328" s="171"/>
      <c r="DK328" s="79" t="s">
        <v>1409</v>
      </c>
      <c r="DL328" s="128">
        <v>150</v>
      </c>
      <c r="DM328" s="128">
        <v>150</v>
      </c>
      <c r="DN328" s="128">
        <v>150</v>
      </c>
      <c r="DO328" s="128">
        <v>150</v>
      </c>
      <c r="DP328" s="128">
        <v>150</v>
      </c>
      <c r="DQ328" s="128">
        <v>150</v>
      </c>
      <c r="DR328" s="128">
        <v>150</v>
      </c>
      <c r="DS328" s="218"/>
      <c r="DT328" s="360"/>
      <c r="DU328" s="360"/>
      <c r="DV328" s="360"/>
      <c r="DW328" s="360"/>
      <c r="DX328" s="360"/>
      <c r="DY328" s="360"/>
      <c r="DZ328" s="360"/>
      <c r="EA328" s="360"/>
      <c r="EB328" s="360"/>
      <c r="EC328" s="360"/>
      <c r="ED328" s="360"/>
      <c r="EE328" s="360"/>
      <c r="EF328" s="360"/>
      <c r="EG328" s="360"/>
      <c r="EH328" s="360"/>
      <c r="EI328" s="360"/>
      <c r="EJ328" s="360"/>
      <c r="EK328" s="360"/>
      <c r="EL328" s="360"/>
      <c r="EM328" s="360"/>
      <c r="EN328" s="360"/>
      <c r="EO328" s="360"/>
      <c r="EP328" s="360"/>
      <c r="EQ328" s="360"/>
    </row>
    <row r="329" spans="1:147" x14ac:dyDescent="0.35">
      <c r="A329" s="6" t="s">
        <v>1456</v>
      </c>
      <c r="B329" s="6" t="s">
        <v>740</v>
      </c>
      <c r="C329" s="6" t="s">
        <v>788</v>
      </c>
      <c r="D329" s="6" t="s">
        <v>741</v>
      </c>
      <c r="E329" s="6" t="s">
        <v>459</v>
      </c>
      <c r="F329" s="6" t="s">
        <v>466</v>
      </c>
      <c r="G329" s="48" t="s">
        <v>1457</v>
      </c>
      <c r="H329" s="48" t="s">
        <v>659</v>
      </c>
      <c r="I329" s="102">
        <v>20</v>
      </c>
      <c r="J329" s="102">
        <v>20</v>
      </c>
      <c r="K329" s="102">
        <v>20</v>
      </c>
      <c r="L329" s="102">
        <v>20</v>
      </c>
      <c r="M329" s="102">
        <v>20</v>
      </c>
      <c r="N329" s="102">
        <v>20</v>
      </c>
      <c r="O329" s="102">
        <v>20</v>
      </c>
      <c r="P329" s="94">
        <v>0</v>
      </c>
      <c r="Q329" s="102">
        <v>0.6</v>
      </c>
      <c r="R329" s="102">
        <v>0.6</v>
      </c>
      <c r="S329" s="102">
        <v>0.6</v>
      </c>
      <c r="T329" s="102">
        <v>0.6</v>
      </c>
      <c r="U329" s="102">
        <v>0.6</v>
      </c>
      <c r="V329" s="102">
        <v>0.6</v>
      </c>
      <c r="W329" s="102">
        <v>0.6</v>
      </c>
      <c r="X329" s="102">
        <v>0</v>
      </c>
      <c r="Y329" s="102">
        <v>0</v>
      </c>
      <c r="Z329" s="102">
        <v>0</v>
      </c>
      <c r="AA329" s="102">
        <v>0</v>
      </c>
      <c r="AB329" s="102">
        <v>0</v>
      </c>
      <c r="AC329" s="102">
        <v>0</v>
      </c>
      <c r="AD329" s="102">
        <v>0</v>
      </c>
      <c r="AE329" s="186">
        <v>0.08</v>
      </c>
      <c r="AF329" s="94">
        <v>0</v>
      </c>
      <c r="AG329" s="94">
        <v>20</v>
      </c>
      <c r="AH329" s="94">
        <v>20</v>
      </c>
      <c r="AI329" s="17">
        <v>1</v>
      </c>
      <c r="AJ329" s="17" t="s">
        <v>660</v>
      </c>
      <c r="AK329" s="17" t="s">
        <v>745</v>
      </c>
      <c r="AL329" s="17"/>
      <c r="AM329" s="61"/>
      <c r="AN329" s="61"/>
      <c r="AO329" s="61"/>
      <c r="AP329" s="61"/>
      <c r="AQ329" s="61"/>
      <c r="AR329" s="61"/>
      <c r="AS329" s="64"/>
      <c r="AT329" s="64"/>
      <c r="AU329" s="64"/>
      <c r="AV329" s="132"/>
      <c r="AW329" s="132"/>
      <c r="AX329" s="132"/>
      <c r="AY329" s="28" t="s">
        <v>662</v>
      </c>
      <c r="AZ329" s="28"/>
      <c r="BA329" s="28"/>
      <c r="BB329" s="28"/>
      <c r="BC329" s="28"/>
      <c r="BD329" s="28"/>
      <c r="BE329" s="28"/>
      <c r="BF329" s="28"/>
      <c r="BG329" s="28"/>
      <c r="BH329" s="106"/>
      <c r="BI329" s="106"/>
      <c r="BJ329" s="106"/>
      <c r="BK329" s="106"/>
      <c r="BL329" s="137"/>
      <c r="BM329" s="123"/>
      <c r="BN329" s="139">
        <v>10</v>
      </c>
      <c r="BO329" s="94">
        <v>5</v>
      </c>
      <c r="BP329" s="94">
        <v>5</v>
      </c>
      <c r="BQ329" s="94"/>
      <c r="BR329" s="94"/>
      <c r="BS329" s="94"/>
      <c r="BT329" s="94"/>
      <c r="BU329" s="28">
        <f t="shared" si="277"/>
        <v>0</v>
      </c>
      <c r="BV329" s="28"/>
      <c r="BW329" s="28"/>
      <c r="BX329" s="28"/>
      <c r="BY329" s="28"/>
      <c r="BZ329" s="28"/>
      <c r="CA329" s="28"/>
      <c r="CB329" s="99">
        <v>30</v>
      </c>
      <c r="CC329" s="99">
        <v>30</v>
      </c>
      <c r="CD329" s="99">
        <v>30</v>
      </c>
      <c r="CE329" s="99">
        <v>30</v>
      </c>
      <c r="CF329" s="99">
        <v>30</v>
      </c>
      <c r="CG329" s="99">
        <v>30</v>
      </c>
      <c r="CH329" s="99">
        <v>30</v>
      </c>
      <c r="CI329" s="175"/>
      <c r="CJ329" s="175"/>
      <c r="CK329" s="175"/>
      <c r="CL329" s="175"/>
      <c r="CM329" s="175"/>
      <c r="CN329" s="175"/>
      <c r="CO329" s="175"/>
      <c r="CP329" s="176"/>
      <c r="CQ329" s="176"/>
      <c r="CR329" s="176"/>
      <c r="CS329" s="176"/>
      <c r="CT329" s="176"/>
      <c r="CU329" s="176"/>
      <c r="CV329" s="176"/>
      <c r="CW329" s="167"/>
      <c r="CX329" s="168"/>
      <c r="CY329" s="168"/>
      <c r="CZ329" s="168"/>
      <c r="DA329" s="168"/>
      <c r="DB329" s="168"/>
      <c r="DC329" s="168"/>
      <c r="DD329" s="172"/>
      <c r="DE329" s="172"/>
      <c r="DF329" s="172"/>
      <c r="DG329" s="172"/>
      <c r="DH329" s="172"/>
      <c r="DI329" s="172"/>
      <c r="DJ329" s="172"/>
      <c r="DK329" s="80"/>
      <c r="DL329" s="129"/>
      <c r="DM329" s="129"/>
      <c r="DN329" s="129"/>
      <c r="DO329" s="129"/>
      <c r="DP329" s="129"/>
      <c r="DQ329" s="129"/>
      <c r="DR329" s="129"/>
      <c r="DS329" s="218"/>
      <c r="DT329" s="360"/>
      <c r="DU329" s="360"/>
      <c r="DV329" s="360"/>
      <c r="DW329" s="360"/>
      <c r="DX329" s="360"/>
      <c r="DY329" s="360"/>
      <c r="DZ329" s="360"/>
      <c r="EA329" s="360"/>
      <c r="EB329" s="360"/>
      <c r="EC329" s="360"/>
      <c r="ED329" s="360"/>
      <c r="EE329" s="360"/>
      <c r="EF329" s="360"/>
      <c r="EG329" s="360"/>
      <c r="EH329" s="360"/>
      <c r="EI329" s="360"/>
      <c r="EJ329" s="360"/>
      <c r="EK329" s="360"/>
      <c r="EL329" s="360"/>
      <c r="EM329" s="360"/>
      <c r="EN329" s="360"/>
      <c r="EO329" s="360"/>
      <c r="EP329" s="360"/>
      <c r="EQ329" s="360"/>
    </row>
    <row r="330" spans="1:147" x14ac:dyDescent="0.35">
      <c r="A330" s="5" t="s">
        <v>1458</v>
      </c>
      <c r="B330" s="5" t="s">
        <v>740</v>
      </c>
      <c r="C330" s="5" t="s">
        <v>788</v>
      </c>
      <c r="D330" s="5" t="s">
        <v>741</v>
      </c>
      <c r="E330" s="5" t="s">
        <v>459</v>
      </c>
      <c r="F330" s="5" t="s">
        <v>466</v>
      </c>
      <c r="G330" s="47" t="s">
        <v>1459</v>
      </c>
      <c r="H330" s="47" t="s">
        <v>659</v>
      </c>
      <c r="I330" s="101">
        <v>25</v>
      </c>
      <c r="J330" s="101">
        <v>25</v>
      </c>
      <c r="K330" s="101">
        <v>25</v>
      </c>
      <c r="L330" s="101">
        <v>25</v>
      </c>
      <c r="M330" s="101">
        <v>25</v>
      </c>
      <c r="N330" s="101">
        <v>25</v>
      </c>
      <c r="O330" s="101">
        <v>25</v>
      </c>
      <c r="P330" s="93">
        <v>0</v>
      </c>
      <c r="Q330" s="101">
        <v>0.65999999999999992</v>
      </c>
      <c r="R330" s="101">
        <v>0.65999999999999992</v>
      </c>
      <c r="S330" s="101">
        <v>0.65999999999999992</v>
      </c>
      <c r="T330" s="101">
        <v>0.65999999999999992</v>
      </c>
      <c r="U330" s="101">
        <v>0.65999999999999992</v>
      </c>
      <c r="V330" s="101">
        <v>0.65999999999999992</v>
      </c>
      <c r="W330" s="101">
        <v>0.65999999999999992</v>
      </c>
      <c r="X330" s="101">
        <v>0</v>
      </c>
      <c r="Y330" s="101">
        <v>0</v>
      </c>
      <c r="Z330" s="101">
        <v>0</v>
      </c>
      <c r="AA330" s="101">
        <v>0</v>
      </c>
      <c r="AB330" s="101">
        <v>0</v>
      </c>
      <c r="AC330" s="101">
        <v>0</v>
      </c>
      <c r="AD330" s="101">
        <v>0</v>
      </c>
      <c r="AE330" s="186">
        <v>0.08</v>
      </c>
      <c r="AF330" s="93">
        <v>0</v>
      </c>
      <c r="AG330" s="93">
        <v>20</v>
      </c>
      <c r="AH330" s="93">
        <v>20</v>
      </c>
      <c r="AI330" s="16">
        <v>1</v>
      </c>
      <c r="AJ330" s="16" t="s">
        <v>660</v>
      </c>
      <c r="AK330" s="16" t="s">
        <v>745</v>
      </c>
      <c r="AL330" s="16"/>
      <c r="AM330" s="60"/>
      <c r="AN330" s="60"/>
      <c r="AO330" s="60"/>
      <c r="AP330" s="60"/>
      <c r="AQ330" s="60"/>
      <c r="AR330" s="60"/>
      <c r="AS330" s="63"/>
      <c r="AT330" s="63"/>
      <c r="AU330" s="63"/>
      <c r="AV330" s="131"/>
      <c r="AW330" s="131"/>
      <c r="AX330" s="131"/>
      <c r="AY330" s="27" t="s">
        <v>662</v>
      </c>
      <c r="AZ330" s="27"/>
      <c r="BA330" s="27"/>
      <c r="BB330" s="30"/>
      <c r="BC330" s="30"/>
      <c r="BD330" s="30"/>
      <c r="BE330" s="30"/>
      <c r="BF330" s="30"/>
      <c r="BG330" s="30"/>
      <c r="BH330" s="107"/>
      <c r="BI330" s="107"/>
      <c r="BJ330" s="107"/>
      <c r="BK330" s="107"/>
      <c r="BL330" s="136"/>
      <c r="BM330" s="122"/>
      <c r="BN330" s="138">
        <v>0</v>
      </c>
      <c r="BO330" s="93"/>
      <c r="BP330" s="93"/>
      <c r="BQ330" s="93"/>
      <c r="BR330" s="93"/>
      <c r="BS330" s="93"/>
      <c r="BT330" s="93"/>
      <c r="BU330" s="27">
        <f t="shared" si="277"/>
        <v>0</v>
      </c>
      <c r="BV330" s="27"/>
      <c r="BW330" s="27"/>
      <c r="BX330" s="27"/>
      <c r="BY330" s="27"/>
      <c r="BZ330" s="27"/>
      <c r="CA330" s="27"/>
      <c r="CB330" s="97"/>
      <c r="CC330" s="97">
        <v>15</v>
      </c>
      <c r="CD330" s="97">
        <v>30</v>
      </c>
      <c r="CE330" s="97">
        <v>30</v>
      </c>
      <c r="CF330" s="97">
        <v>30</v>
      </c>
      <c r="CG330" s="97">
        <v>30</v>
      </c>
      <c r="CH330" s="97">
        <v>30</v>
      </c>
      <c r="CI330" s="173"/>
      <c r="CJ330" s="173"/>
      <c r="CK330" s="173"/>
      <c r="CL330" s="173"/>
      <c r="CM330" s="173"/>
      <c r="CN330" s="173"/>
      <c r="CO330" s="173"/>
      <c r="CP330" s="174"/>
      <c r="CQ330" s="174"/>
      <c r="CR330" s="174"/>
      <c r="CS330" s="174"/>
      <c r="CT330" s="174"/>
      <c r="CU330" s="174"/>
      <c r="CV330" s="174"/>
      <c r="CW330" s="165"/>
      <c r="CX330" s="166"/>
      <c r="CY330" s="166"/>
      <c r="CZ330" s="166"/>
      <c r="DA330" s="166"/>
      <c r="DB330" s="166"/>
      <c r="DC330" s="166"/>
      <c r="DD330" s="171"/>
      <c r="DE330" s="171"/>
      <c r="DF330" s="171"/>
      <c r="DG330" s="171"/>
      <c r="DH330" s="171"/>
      <c r="DI330" s="171"/>
      <c r="DJ330" s="171"/>
      <c r="DK330" s="79"/>
      <c r="DL330" s="128"/>
      <c r="DM330" s="128"/>
      <c r="DN330" s="128"/>
      <c r="DO330" s="128"/>
      <c r="DP330" s="128"/>
      <c r="DQ330" s="128"/>
      <c r="DR330" s="128"/>
      <c r="DS330" s="218"/>
      <c r="DT330" s="360"/>
      <c r="DU330" s="360"/>
      <c r="DV330" s="360"/>
      <c r="DW330" s="360"/>
      <c r="DX330" s="360"/>
      <c r="DY330" s="360"/>
      <c r="DZ330" s="360"/>
      <c r="EA330" s="360"/>
      <c r="EB330" s="360"/>
      <c r="EC330" s="360"/>
      <c r="ED330" s="360"/>
      <c r="EE330" s="360"/>
      <c r="EF330" s="360"/>
      <c r="EG330" s="360"/>
      <c r="EH330" s="360"/>
      <c r="EI330" s="360"/>
      <c r="EJ330" s="360"/>
      <c r="EK330" s="360"/>
      <c r="EL330" s="360"/>
      <c r="EM330" s="360"/>
      <c r="EN330" s="360"/>
      <c r="EO330" s="360"/>
      <c r="EP330" s="360"/>
      <c r="EQ330" s="360"/>
    </row>
    <row r="331" spans="1:147" x14ac:dyDescent="0.35">
      <c r="A331" s="6" t="s">
        <v>1460</v>
      </c>
      <c r="B331" s="6" t="s">
        <v>740</v>
      </c>
      <c r="C331" s="6" t="s">
        <v>788</v>
      </c>
      <c r="D331" s="6" t="s">
        <v>741</v>
      </c>
      <c r="E331" s="6" t="s">
        <v>459</v>
      </c>
      <c r="F331" s="6" t="s">
        <v>466</v>
      </c>
      <c r="G331" s="48" t="s">
        <v>1461</v>
      </c>
      <c r="H331" s="48" t="s">
        <v>659</v>
      </c>
      <c r="I331" s="102">
        <v>100</v>
      </c>
      <c r="J331" s="102">
        <v>100</v>
      </c>
      <c r="K331" s="102">
        <v>100</v>
      </c>
      <c r="L331" s="102">
        <v>100</v>
      </c>
      <c r="M331" s="102">
        <v>100</v>
      </c>
      <c r="N331" s="102">
        <v>100</v>
      </c>
      <c r="O331" s="102">
        <v>100</v>
      </c>
      <c r="P331" s="94">
        <v>0</v>
      </c>
      <c r="Q331" s="102">
        <v>3</v>
      </c>
      <c r="R331" s="102">
        <v>3</v>
      </c>
      <c r="S331" s="102">
        <v>3</v>
      </c>
      <c r="T331" s="102">
        <v>3</v>
      </c>
      <c r="U331" s="102">
        <v>3</v>
      </c>
      <c r="V331" s="102">
        <v>3</v>
      </c>
      <c r="W331" s="102">
        <v>3</v>
      </c>
      <c r="X331" s="102">
        <v>0</v>
      </c>
      <c r="Y331" s="102">
        <v>0</v>
      </c>
      <c r="Z331" s="102">
        <v>0</v>
      </c>
      <c r="AA331" s="102">
        <v>0</v>
      </c>
      <c r="AB331" s="102">
        <v>0</v>
      </c>
      <c r="AC331" s="102">
        <v>0</v>
      </c>
      <c r="AD331" s="102">
        <v>0</v>
      </c>
      <c r="AE331" s="186">
        <v>0.08</v>
      </c>
      <c r="AF331" s="94">
        <v>0</v>
      </c>
      <c r="AG331" s="94">
        <v>20</v>
      </c>
      <c r="AH331" s="94">
        <v>20</v>
      </c>
      <c r="AI331" s="17">
        <v>1</v>
      </c>
      <c r="AJ331" s="17" t="s">
        <v>660</v>
      </c>
      <c r="AK331" s="17" t="s">
        <v>745</v>
      </c>
      <c r="AL331" s="17"/>
      <c r="AM331" s="61"/>
      <c r="AN331" s="61"/>
      <c r="AO331" s="61"/>
      <c r="AP331" s="61"/>
      <c r="AQ331" s="61"/>
      <c r="AR331" s="61"/>
      <c r="AS331" s="64"/>
      <c r="AT331" s="64"/>
      <c r="AU331" s="64"/>
      <c r="AV331" s="132"/>
      <c r="AW331" s="132"/>
      <c r="AX331" s="132"/>
      <c r="AY331" s="28" t="s">
        <v>662</v>
      </c>
      <c r="AZ331" s="28"/>
      <c r="BA331" s="28"/>
      <c r="BB331" s="28"/>
      <c r="BC331" s="28"/>
      <c r="BD331" s="28"/>
      <c r="BE331" s="28"/>
      <c r="BF331" s="28"/>
      <c r="BG331" s="28"/>
      <c r="BH331" s="106"/>
      <c r="BI331" s="106"/>
      <c r="BJ331" s="106"/>
      <c r="BK331" s="106"/>
      <c r="BL331" s="137"/>
      <c r="BM331" s="123"/>
      <c r="BN331" s="139">
        <v>0</v>
      </c>
      <c r="BO331" s="94"/>
      <c r="BP331" s="94"/>
      <c r="BQ331" s="94"/>
      <c r="BR331" s="94"/>
      <c r="BS331" s="94"/>
      <c r="BT331" s="94"/>
      <c r="BU331" s="28">
        <f t="shared" si="277"/>
        <v>0</v>
      </c>
      <c r="BV331" s="28"/>
      <c r="BW331" s="28"/>
      <c r="BX331" s="28"/>
      <c r="BY331" s="28"/>
      <c r="BZ331" s="28"/>
      <c r="CA331" s="28"/>
      <c r="CB331" s="99"/>
      <c r="CC331" s="99">
        <v>15</v>
      </c>
      <c r="CD331" s="99">
        <v>30</v>
      </c>
      <c r="CE331" s="99">
        <v>30</v>
      </c>
      <c r="CF331" s="99">
        <v>30</v>
      </c>
      <c r="CG331" s="99">
        <v>30</v>
      </c>
      <c r="CH331" s="99">
        <v>30</v>
      </c>
      <c r="CI331" s="175"/>
      <c r="CJ331" s="175"/>
      <c r="CK331" s="175"/>
      <c r="CL331" s="175"/>
      <c r="CM331" s="175"/>
      <c r="CN331" s="175"/>
      <c r="CO331" s="175"/>
      <c r="CP331" s="176"/>
      <c r="CQ331" s="176"/>
      <c r="CR331" s="176"/>
      <c r="CS331" s="176"/>
      <c r="CT331" s="176"/>
      <c r="CU331" s="176"/>
      <c r="CV331" s="176"/>
      <c r="CW331" s="167"/>
      <c r="CX331" s="168"/>
      <c r="CY331" s="168"/>
      <c r="CZ331" s="168"/>
      <c r="DA331" s="168"/>
      <c r="DB331" s="168"/>
      <c r="DC331" s="168"/>
      <c r="DD331" s="172"/>
      <c r="DE331" s="172"/>
      <c r="DF331" s="172"/>
      <c r="DG331" s="172"/>
      <c r="DH331" s="172"/>
      <c r="DI331" s="172"/>
      <c r="DJ331" s="172"/>
      <c r="DK331" s="80"/>
      <c r="DL331" s="129"/>
      <c r="DM331" s="129"/>
      <c r="DN331" s="129"/>
      <c r="DO331" s="129"/>
      <c r="DP331" s="129"/>
      <c r="DQ331" s="129"/>
      <c r="DR331" s="129"/>
      <c r="DS331" s="218"/>
      <c r="DT331" s="360"/>
      <c r="DU331" s="360"/>
      <c r="DV331" s="360"/>
      <c r="DW331" s="360"/>
      <c r="DX331" s="360"/>
      <c r="DY331" s="360"/>
      <c r="DZ331" s="360"/>
      <c r="EA331" s="360"/>
      <c r="EB331" s="360"/>
      <c r="EC331" s="360"/>
      <c r="ED331" s="360"/>
      <c r="EE331" s="360"/>
      <c r="EF331" s="360"/>
      <c r="EG331" s="360"/>
      <c r="EH331" s="360"/>
      <c r="EI331" s="360"/>
      <c r="EJ331" s="360"/>
      <c r="EK331" s="360"/>
      <c r="EL331" s="360"/>
      <c r="EM331" s="360"/>
      <c r="EN331" s="360"/>
      <c r="EO331" s="360"/>
      <c r="EP331" s="360"/>
      <c r="EQ331" s="360"/>
    </row>
    <row r="332" spans="1:147" x14ac:dyDescent="0.35">
      <c r="A332" s="5" t="s">
        <v>1462</v>
      </c>
      <c r="B332" s="5" t="s">
        <v>740</v>
      </c>
      <c r="C332" s="5" t="s">
        <v>788</v>
      </c>
      <c r="D332" s="5" t="s">
        <v>741</v>
      </c>
      <c r="E332" s="5" t="s">
        <v>459</v>
      </c>
      <c r="F332" s="5" t="s">
        <v>466</v>
      </c>
      <c r="G332" s="47" t="s">
        <v>1463</v>
      </c>
      <c r="H332" s="47" t="s">
        <v>659</v>
      </c>
      <c r="I332" s="101">
        <v>120</v>
      </c>
      <c r="J332" s="101">
        <v>120</v>
      </c>
      <c r="K332" s="101">
        <v>120</v>
      </c>
      <c r="L332" s="101">
        <v>120</v>
      </c>
      <c r="M332" s="101">
        <v>120</v>
      </c>
      <c r="N332" s="101">
        <v>120</v>
      </c>
      <c r="O332" s="101">
        <v>120</v>
      </c>
      <c r="P332" s="93">
        <v>0</v>
      </c>
      <c r="Q332" s="101">
        <v>4</v>
      </c>
      <c r="R332" s="101">
        <v>4</v>
      </c>
      <c r="S332" s="101">
        <v>4</v>
      </c>
      <c r="T332" s="101">
        <v>4</v>
      </c>
      <c r="U332" s="101">
        <v>4</v>
      </c>
      <c r="V332" s="101">
        <v>4</v>
      </c>
      <c r="W332" s="101">
        <v>4</v>
      </c>
      <c r="X332" s="101">
        <v>0</v>
      </c>
      <c r="Y332" s="101">
        <v>0</v>
      </c>
      <c r="Z332" s="101">
        <v>0</v>
      </c>
      <c r="AA332" s="101">
        <v>0</v>
      </c>
      <c r="AB332" s="101">
        <v>0</v>
      </c>
      <c r="AC332" s="101">
        <v>0</v>
      </c>
      <c r="AD332" s="101">
        <v>0</v>
      </c>
      <c r="AE332" s="186">
        <v>0.08</v>
      </c>
      <c r="AF332" s="93">
        <v>0</v>
      </c>
      <c r="AG332" s="93">
        <v>20</v>
      </c>
      <c r="AH332" s="93">
        <v>20</v>
      </c>
      <c r="AI332" s="16">
        <v>1</v>
      </c>
      <c r="AJ332" s="16" t="s">
        <v>660</v>
      </c>
      <c r="AK332" s="16" t="s">
        <v>745</v>
      </c>
      <c r="AL332" s="16"/>
      <c r="AM332" s="60"/>
      <c r="AN332" s="60"/>
      <c r="AO332" s="60"/>
      <c r="AP332" s="60"/>
      <c r="AQ332" s="60"/>
      <c r="AR332" s="60"/>
      <c r="AS332" s="63"/>
      <c r="AT332" s="63"/>
      <c r="AU332" s="63"/>
      <c r="AV332" s="131"/>
      <c r="AW332" s="131"/>
      <c r="AX332" s="131"/>
      <c r="AY332" s="27" t="s">
        <v>662</v>
      </c>
      <c r="AZ332" s="27"/>
      <c r="BA332" s="27"/>
      <c r="BB332" s="30"/>
      <c r="BC332" s="30"/>
      <c r="BD332" s="30"/>
      <c r="BE332" s="30"/>
      <c r="BF332" s="30"/>
      <c r="BG332" s="30"/>
      <c r="BH332" s="107"/>
      <c r="BI332" s="107"/>
      <c r="BJ332" s="107"/>
      <c r="BK332" s="107"/>
      <c r="BL332" s="136"/>
      <c r="BM332" s="122"/>
      <c r="BN332" s="138">
        <v>0</v>
      </c>
      <c r="BO332" s="93"/>
      <c r="BP332" s="93"/>
      <c r="BQ332" s="93"/>
      <c r="BR332" s="93"/>
      <c r="BS332" s="93"/>
      <c r="BT332" s="93"/>
      <c r="BU332" s="27">
        <f t="shared" si="277"/>
        <v>0</v>
      </c>
      <c r="BV332" s="27"/>
      <c r="BW332" s="27"/>
      <c r="BX332" s="27"/>
      <c r="BY332" s="27"/>
      <c r="BZ332" s="27"/>
      <c r="CA332" s="27"/>
      <c r="CB332" s="97"/>
      <c r="CC332" s="97">
        <v>15</v>
      </c>
      <c r="CD332" s="97">
        <v>30</v>
      </c>
      <c r="CE332" s="97">
        <v>30</v>
      </c>
      <c r="CF332" s="97">
        <v>30</v>
      </c>
      <c r="CG332" s="97">
        <v>30</v>
      </c>
      <c r="CH332" s="97">
        <v>30</v>
      </c>
      <c r="CI332" s="173"/>
      <c r="CJ332" s="173"/>
      <c r="CK332" s="173"/>
      <c r="CL332" s="173"/>
      <c r="CM332" s="173"/>
      <c r="CN332" s="173"/>
      <c r="CO332" s="173"/>
      <c r="CP332" s="174"/>
      <c r="CQ332" s="174"/>
      <c r="CR332" s="174"/>
      <c r="CS332" s="174"/>
      <c r="CT332" s="174"/>
      <c r="CU332" s="174"/>
      <c r="CV332" s="174"/>
      <c r="CW332" s="165"/>
      <c r="CX332" s="166"/>
      <c r="CY332" s="166"/>
      <c r="CZ332" s="166"/>
      <c r="DA332" s="166"/>
      <c r="DB332" s="166"/>
      <c r="DC332" s="166"/>
      <c r="DD332" s="171"/>
      <c r="DE332" s="171"/>
      <c r="DF332" s="171"/>
      <c r="DG332" s="171"/>
      <c r="DH332" s="171"/>
      <c r="DI332" s="171"/>
      <c r="DJ332" s="171"/>
      <c r="DK332" s="79"/>
      <c r="DL332" s="128"/>
      <c r="DM332" s="128"/>
      <c r="DN332" s="128"/>
      <c r="DO332" s="128"/>
      <c r="DP332" s="128"/>
      <c r="DQ332" s="128"/>
      <c r="DR332" s="128"/>
      <c r="DS332" s="218"/>
      <c r="DT332" s="360"/>
      <c r="DU332" s="360"/>
      <c r="DV332" s="360"/>
      <c r="DW332" s="360"/>
      <c r="DX332" s="360"/>
      <c r="DY332" s="360"/>
      <c r="DZ332" s="360"/>
      <c r="EA332" s="360"/>
      <c r="EB332" s="360"/>
      <c r="EC332" s="360"/>
      <c r="ED332" s="360"/>
      <c r="EE332" s="360"/>
      <c r="EF332" s="360"/>
      <c r="EG332" s="360"/>
      <c r="EH332" s="360"/>
      <c r="EI332" s="360"/>
      <c r="EJ332" s="360"/>
      <c r="EK332" s="360"/>
      <c r="EL332" s="360"/>
      <c r="EM332" s="360"/>
      <c r="EN332" s="360"/>
      <c r="EO332" s="360"/>
      <c r="EP332" s="360"/>
      <c r="EQ332" s="360"/>
    </row>
    <row r="333" spans="1:147" x14ac:dyDescent="0.35">
      <c r="A333" s="6" t="s">
        <v>1464</v>
      </c>
      <c r="B333" s="6" t="s">
        <v>740</v>
      </c>
      <c r="C333" s="6" t="s">
        <v>788</v>
      </c>
      <c r="D333" s="6" t="s">
        <v>741</v>
      </c>
      <c r="E333" s="6" t="s">
        <v>459</v>
      </c>
      <c r="F333" s="6" t="s">
        <v>466</v>
      </c>
      <c r="G333" s="48" t="s">
        <v>1465</v>
      </c>
      <c r="H333" s="48" t="s">
        <v>659</v>
      </c>
      <c r="I333" s="102">
        <v>50</v>
      </c>
      <c r="J333" s="102">
        <v>47</v>
      </c>
      <c r="K333" s="102">
        <v>44</v>
      </c>
      <c r="L333" s="102">
        <v>41</v>
      </c>
      <c r="M333" s="102">
        <v>38</v>
      </c>
      <c r="N333" s="102">
        <v>35</v>
      </c>
      <c r="O333" s="102">
        <v>32</v>
      </c>
      <c r="P333" s="94">
        <v>0</v>
      </c>
      <c r="Q333" s="102">
        <v>0.65999999999999992</v>
      </c>
      <c r="R333" s="102">
        <v>0.65999999999999992</v>
      </c>
      <c r="S333" s="102">
        <v>0.65999999999999992</v>
      </c>
      <c r="T333" s="102">
        <v>0.65999999999999992</v>
      </c>
      <c r="U333" s="102">
        <v>0.65999999999999992</v>
      </c>
      <c r="V333" s="102">
        <v>0.65999999999999992</v>
      </c>
      <c r="W333" s="102">
        <v>0.65999999999999992</v>
      </c>
      <c r="X333" s="102">
        <v>0</v>
      </c>
      <c r="Y333" s="102">
        <v>0</v>
      </c>
      <c r="Z333" s="102">
        <v>0</v>
      </c>
      <c r="AA333" s="102">
        <v>0</v>
      </c>
      <c r="AB333" s="102">
        <v>0</v>
      </c>
      <c r="AC333" s="102">
        <v>0</v>
      </c>
      <c r="AD333" s="102">
        <v>0</v>
      </c>
      <c r="AE333" s="186">
        <v>0.08</v>
      </c>
      <c r="AF333" s="94">
        <v>0</v>
      </c>
      <c r="AG333" s="94">
        <v>20</v>
      </c>
      <c r="AH333" s="94">
        <v>20</v>
      </c>
      <c r="AI333" s="17">
        <v>1</v>
      </c>
      <c r="AJ333" s="17" t="s">
        <v>660</v>
      </c>
      <c r="AK333" s="17" t="s">
        <v>745</v>
      </c>
      <c r="AL333" s="17"/>
      <c r="AM333" s="61"/>
      <c r="AN333" s="61"/>
      <c r="AO333" s="61"/>
      <c r="AP333" s="61"/>
      <c r="AQ333" s="61"/>
      <c r="AR333" s="61"/>
      <c r="AS333" s="64"/>
      <c r="AT333" s="64"/>
      <c r="AU333" s="64"/>
      <c r="AV333" s="132"/>
      <c r="AW333" s="132"/>
      <c r="AX333" s="132"/>
      <c r="AY333" s="28" t="s">
        <v>662</v>
      </c>
      <c r="AZ333" s="28"/>
      <c r="BA333" s="28"/>
      <c r="BB333" s="28"/>
      <c r="BC333" s="28"/>
      <c r="BD333" s="28"/>
      <c r="BE333" s="28"/>
      <c r="BF333" s="28"/>
      <c r="BG333" s="28"/>
      <c r="BH333" s="106"/>
      <c r="BI333" s="106"/>
      <c r="BJ333" s="106"/>
      <c r="BK333" s="106"/>
      <c r="BL333" s="137"/>
      <c r="BM333" s="123"/>
      <c r="BN333" s="139">
        <v>0</v>
      </c>
      <c r="BO333" s="94"/>
      <c r="BP333" s="94"/>
      <c r="BQ333" s="94"/>
      <c r="BR333" s="94"/>
      <c r="BS333" s="94"/>
      <c r="BT333" s="94"/>
      <c r="BU333" s="28">
        <f t="shared" si="277"/>
        <v>0</v>
      </c>
      <c r="BV333" s="28"/>
      <c r="BW333" s="28"/>
      <c r="BX333" s="28"/>
      <c r="BY333" s="28"/>
      <c r="BZ333" s="28"/>
      <c r="CA333" s="28"/>
      <c r="CB333" s="185">
        <v>15</v>
      </c>
      <c r="CC333" s="99">
        <v>15</v>
      </c>
      <c r="CD333" s="99">
        <v>30</v>
      </c>
      <c r="CE333" s="99">
        <v>30</v>
      </c>
      <c r="CF333" s="99">
        <v>30</v>
      </c>
      <c r="CG333" s="99">
        <v>30</v>
      </c>
      <c r="CH333" s="99">
        <v>30</v>
      </c>
      <c r="CI333" s="175"/>
      <c r="CJ333" s="175"/>
      <c r="CK333" s="175"/>
      <c r="CL333" s="175"/>
      <c r="CM333" s="175"/>
      <c r="CN333" s="175"/>
      <c r="CO333" s="175"/>
      <c r="CP333" s="176"/>
      <c r="CQ333" s="176"/>
      <c r="CR333" s="176"/>
      <c r="CS333" s="176"/>
      <c r="CT333" s="176"/>
      <c r="CU333" s="176"/>
      <c r="CV333" s="176"/>
      <c r="CW333" s="167"/>
      <c r="CX333" s="168"/>
      <c r="CY333" s="168"/>
      <c r="CZ333" s="168"/>
      <c r="DA333" s="168"/>
      <c r="DB333" s="168"/>
      <c r="DC333" s="168"/>
      <c r="DD333" s="172"/>
      <c r="DE333" s="172"/>
      <c r="DF333" s="172"/>
      <c r="DG333" s="172"/>
      <c r="DH333" s="172"/>
      <c r="DI333" s="172"/>
      <c r="DJ333" s="172"/>
      <c r="DK333" s="80"/>
      <c r="DL333" s="129"/>
      <c r="DM333" s="129"/>
      <c r="DN333" s="129"/>
      <c r="DO333" s="129"/>
      <c r="DP333" s="129"/>
      <c r="DQ333" s="129"/>
      <c r="DR333" s="129"/>
      <c r="DS333" s="218"/>
      <c r="DT333" s="360"/>
      <c r="DU333" s="360"/>
      <c r="DV333" s="360"/>
      <c r="DW333" s="360"/>
      <c r="DX333" s="360"/>
      <c r="DY333" s="360"/>
      <c r="DZ333" s="360"/>
      <c r="EA333" s="360"/>
      <c r="EB333" s="360"/>
      <c r="EC333" s="360"/>
      <c r="ED333" s="360"/>
      <c r="EE333" s="360"/>
      <c r="EF333" s="360"/>
      <c r="EG333" s="360"/>
      <c r="EH333" s="360"/>
      <c r="EI333" s="360"/>
      <c r="EJ333" s="360"/>
      <c r="EK333" s="360"/>
      <c r="EL333" s="360"/>
      <c r="EM333" s="360"/>
      <c r="EN333" s="360"/>
      <c r="EO333" s="360"/>
      <c r="EP333" s="360"/>
      <c r="EQ333" s="360"/>
    </row>
    <row r="334" spans="1:147" x14ac:dyDescent="0.35">
      <c r="A334" s="5" t="s">
        <v>1466</v>
      </c>
      <c r="B334" s="5" t="s">
        <v>740</v>
      </c>
      <c r="C334" s="5" t="s">
        <v>788</v>
      </c>
      <c r="D334" s="5" t="s">
        <v>741</v>
      </c>
      <c r="E334" s="5" t="s">
        <v>459</v>
      </c>
      <c r="F334" s="5" t="s">
        <v>466</v>
      </c>
      <c r="G334" s="47" t="s">
        <v>1467</v>
      </c>
      <c r="H334" s="47" t="s">
        <v>659</v>
      </c>
      <c r="I334" s="101">
        <v>35</v>
      </c>
      <c r="J334" s="101">
        <v>35</v>
      </c>
      <c r="K334" s="101">
        <v>35</v>
      </c>
      <c r="L334" s="101">
        <v>35</v>
      </c>
      <c r="M334" s="101">
        <v>35</v>
      </c>
      <c r="N334" s="101">
        <v>35</v>
      </c>
      <c r="O334" s="101">
        <v>35</v>
      </c>
      <c r="P334" s="93">
        <v>0</v>
      </c>
      <c r="Q334" s="101">
        <v>1.05</v>
      </c>
      <c r="R334" s="101">
        <v>1.05</v>
      </c>
      <c r="S334" s="101">
        <v>1.05</v>
      </c>
      <c r="T334" s="101">
        <v>1.05</v>
      </c>
      <c r="U334" s="101">
        <v>1.05</v>
      </c>
      <c r="V334" s="101">
        <v>1.05</v>
      </c>
      <c r="W334" s="101">
        <v>1.05</v>
      </c>
      <c r="X334" s="101">
        <v>0</v>
      </c>
      <c r="Y334" s="101">
        <v>0</v>
      </c>
      <c r="Z334" s="101">
        <v>0</v>
      </c>
      <c r="AA334" s="101">
        <v>0</v>
      </c>
      <c r="AB334" s="101">
        <v>0</v>
      </c>
      <c r="AC334" s="101">
        <v>0</v>
      </c>
      <c r="AD334" s="101">
        <v>0</v>
      </c>
      <c r="AE334" s="186">
        <v>0.08</v>
      </c>
      <c r="AF334" s="93">
        <v>0</v>
      </c>
      <c r="AG334" s="93">
        <v>20</v>
      </c>
      <c r="AH334" s="93">
        <v>20</v>
      </c>
      <c r="AI334" s="16">
        <v>1</v>
      </c>
      <c r="AJ334" s="16" t="s">
        <v>660</v>
      </c>
      <c r="AK334" s="16" t="s">
        <v>745</v>
      </c>
      <c r="AL334" s="16"/>
      <c r="AM334" s="60"/>
      <c r="AN334" s="60"/>
      <c r="AO334" s="60"/>
      <c r="AP334" s="60"/>
      <c r="AQ334" s="60"/>
      <c r="AR334" s="60"/>
      <c r="AS334" s="63"/>
      <c r="AT334" s="63"/>
      <c r="AU334" s="63"/>
      <c r="AV334" s="131"/>
      <c r="AW334" s="131"/>
      <c r="AX334" s="131"/>
      <c r="AY334" s="27" t="s">
        <v>662</v>
      </c>
      <c r="AZ334" s="27"/>
      <c r="BA334" s="27"/>
      <c r="BB334" s="30"/>
      <c r="BC334" s="30"/>
      <c r="BD334" s="30"/>
      <c r="BE334" s="30"/>
      <c r="BF334" s="30"/>
      <c r="BG334" s="30"/>
      <c r="BH334" s="107"/>
      <c r="BI334" s="107"/>
      <c r="BJ334" s="107"/>
      <c r="BK334" s="107"/>
      <c r="BL334" s="136"/>
      <c r="BM334" s="122"/>
      <c r="BN334" s="138">
        <v>0</v>
      </c>
      <c r="BO334" s="93"/>
      <c r="BP334" s="93"/>
      <c r="BQ334" s="93"/>
      <c r="BR334" s="93"/>
      <c r="BS334" s="93"/>
      <c r="BT334" s="93"/>
      <c r="BU334" s="27">
        <f t="shared" si="277"/>
        <v>0</v>
      </c>
      <c r="BV334" s="27"/>
      <c r="BW334" s="27"/>
      <c r="BX334" s="27"/>
      <c r="BY334" s="27"/>
      <c r="BZ334" s="27"/>
      <c r="CA334" s="27"/>
      <c r="CB334" s="97"/>
      <c r="CC334" s="97">
        <v>15</v>
      </c>
      <c r="CD334" s="97">
        <v>30</v>
      </c>
      <c r="CE334" s="97">
        <v>30</v>
      </c>
      <c r="CF334" s="97">
        <v>30</v>
      </c>
      <c r="CG334" s="97">
        <v>30</v>
      </c>
      <c r="CH334" s="97">
        <v>30</v>
      </c>
      <c r="CI334" s="173"/>
      <c r="CJ334" s="173"/>
      <c r="CK334" s="173"/>
      <c r="CL334" s="173"/>
      <c r="CM334" s="173"/>
      <c r="CN334" s="173"/>
      <c r="CO334" s="173"/>
      <c r="CP334" s="174"/>
      <c r="CQ334" s="174"/>
      <c r="CR334" s="174"/>
      <c r="CS334" s="174"/>
      <c r="CT334" s="174"/>
      <c r="CU334" s="174"/>
      <c r="CV334" s="174"/>
      <c r="CW334" s="165"/>
      <c r="CX334" s="166"/>
      <c r="CY334" s="166"/>
      <c r="CZ334" s="166"/>
      <c r="DA334" s="166"/>
      <c r="DB334" s="166"/>
      <c r="DC334" s="166"/>
      <c r="DD334" s="171"/>
      <c r="DE334" s="171"/>
      <c r="DF334" s="171"/>
      <c r="DG334" s="171"/>
      <c r="DH334" s="171"/>
      <c r="DI334" s="171"/>
      <c r="DJ334" s="171"/>
      <c r="DK334" s="79"/>
      <c r="DL334" s="128"/>
      <c r="DM334" s="128"/>
      <c r="DN334" s="128"/>
      <c r="DO334" s="128"/>
      <c r="DP334" s="128"/>
      <c r="DQ334" s="128"/>
      <c r="DR334" s="128"/>
      <c r="DS334" s="218"/>
      <c r="DT334" s="360"/>
      <c r="DU334" s="360"/>
      <c r="DV334" s="360"/>
      <c r="DW334" s="360"/>
      <c r="DX334" s="360"/>
      <c r="DY334" s="360"/>
      <c r="DZ334" s="360"/>
      <c r="EA334" s="360"/>
      <c r="EB334" s="360"/>
      <c r="EC334" s="360"/>
      <c r="ED334" s="360"/>
      <c r="EE334" s="360"/>
      <c r="EF334" s="360"/>
      <c r="EG334" s="360"/>
      <c r="EH334" s="360"/>
      <c r="EI334" s="360"/>
      <c r="EJ334" s="360"/>
      <c r="EK334" s="360"/>
      <c r="EL334" s="360"/>
      <c r="EM334" s="360"/>
      <c r="EN334" s="360"/>
      <c r="EO334" s="360"/>
      <c r="EP334" s="360"/>
      <c r="EQ334" s="360"/>
    </row>
    <row r="335" spans="1:147" x14ac:dyDescent="0.35">
      <c r="A335" s="225" t="s">
        <v>1468</v>
      </c>
      <c r="B335" s="225" t="s">
        <v>740</v>
      </c>
      <c r="C335" s="225" t="s">
        <v>817</v>
      </c>
      <c r="D335" s="225" t="s">
        <v>1469</v>
      </c>
      <c r="E335" s="225" t="s">
        <v>1470</v>
      </c>
      <c r="F335" s="225" t="s">
        <v>470</v>
      </c>
      <c r="G335" s="229" t="s">
        <v>1471</v>
      </c>
      <c r="H335" s="226" t="s">
        <v>659</v>
      </c>
      <c r="I335" s="102">
        <v>0</v>
      </c>
      <c r="J335" s="102">
        <v>0</v>
      </c>
      <c r="K335" s="102">
        <v>0</v>
      </c>
      <c r="L335" s="102">
        <v>0</v>
      </c>
      <c r="M335" s="102">
        <v>0</v>
      </c>
      <c r="N335" s="102">
        <v>0</v>
      </c>
      <c r="O335" s="102">
        <v>0</v>
      </c>
      <c r="P335" s="94">
        <v>0</v>
      </c>
      <c r="Q335" s="102">
        <v>0</v>
      </c>
      <c r="R335" s="102">
        <v>0</v>
      </c>
      <c r="S335" s="102">
        <v>0</v>
      </c>
      <c r="T335" s="102">
        <v>0</v>
      </c>
      <c r="U335" s="102">
        <v>0</v>
      </c>
      <c r="V335" s="102">
        <v>0</v>
      </c>
      <c r="W335" s="102">
        <v>0</v>
      </c>
      <c r="X335" s="254">
        <v>23.181827346496107</v>
      </c>
      <c r="Y335" s="254">
        <v>21.523009715156622</v>
      </c>
      <c r="Z335" s="254">
        <v>19.870137725568085</v>
      </c>
      <c r="AA335" s="254">
        <v>19.870137725568085</v>
      </c>
      <c r="AB335" s="254">
        <v>14.902603294176066</v>
      </c>
      <c r="AC335" s="254">
        <v>14.317137598067553</v>
      </c>
      <c r="AD335" s="254">
        <v>13.719857000987489</v>
      </c>
      <c r="AE335" s="186">
        <v>0.08</v>
      </c>
      <c r="AF335" s="94">
        <v>0</v>
      </c>
      <c r="AG335" s="94">
        <v>1</v>
      </c>
      <c r="AH335" s="94">
        <v>1</v>
      </c>
      <c r="AI335" s="17">
        <v>1</v>
      </c>
      <c r="AJ335" s="17" t="s">
        <v>660</v>
      </c>
      <c r="AK335" s="17" t="s">
        <v>745</v>
      </c>
      <c r="AL335" s="17"/>
      <c r="AM335" s="61"/>
      <c r="AN335" s="61"/>
      <c r="AO335" s="61"/>
      <c r="AP335" s="61"/>
      <c r="AQ335" s="61"/>
      <c r="AR335" s="61"/>
      <c r="AS335" s="64"/>
      <c r="AT335" s="64"/>
      <c r="AU335" s="64"/>
      <c r="AV335" s="132"/>
      <c r="AW335" s="132"/>
      <c r="AX335" s="132"/>
      <c r="AY335" s="28" t="s">
        <v>662</v>
      </c>
      <c r="AZ335" s="28"/>
      <c r="BA335" s="28"/>
      <c r="BB335" s="28"/>
      <c r="BC335" s="28"/>
      <c r="BD335" s="28"/>
      <c r="BE335" s="28"/>
      <c r="BF335" s="28"/>
      <c r="BG335" s="28"/>
      <c r="BH335" s="106"/>
      <c r="BI335" s="106"/>
      <c r="BJ335" s="106"/>
      <c r="BK335" s="106"/>
      <c r="BL335" s="137"/>
      <c r="BM335" s="123"/>
      <c r="BN335" s="139"/>
      <c r="BO335" s="94"/>
      <c r="BP335" s="94"/>
      <c r="BQ335" s="94"/>
      <c r="BR335" s="94"/>
      <c r="BS335" s="94"/>
      <c r="BT335" s="94"/>
      <c r="BU335" s="28">
        <f t="shared" si="277"/>
        <v>0</v>
      </c>
      <c r="BV335" s="28"/>
      <c r="BW335" s="28"/>
      <c r="BX335" s="28"/>
      <c r="BY335" s="28"/>
      <c r="BZ335" s="28"/>
      <c r="CA335" s="28"/>
      <c r="CB335" s="99">
        <v>300</v>
      </c>
      <c r="CC335" s="99">
        <v>300</v>
      </c>
      <c r="CD335" s="99">
        <v>300</v>
      </c>
      <c r="CE335" s="99">
        <v>300</v>
      </c>
      <c r="CF335" s="99">
        <v>300</v>
      </c>
      <c r="CG335" s="99">
        <v>300</v>
      </c>
      <c r="CH335" s="99">
        <v>300</v>
      </c>
      <c r="CI335" s="175"/>
      <c r="CJ335" s="175"/>
      <c r="CK335" s="175"/>
      <c r="CL335" s="175"/>
      <c r="CM335" s="175"/>
      <c r="CN335" s="175"/>
      <c r="CO335" s="175"/>
      <c r="CP335" s="176"/>
      <c r="CQ335" s="176"/>
      <c r="CR335" s="176"/>
      <c r="CS335" s="176"/>
      <c r="CT335" s="176"/>
      <c r="CU335" s="176"/>
      <c r="CV335" s="176"/>
      <c r="CW335" s="167"/>
      <c r="CX335" s="168"/>
      <c r="CY335" s="168"/>
      <c r="CZ335" s="168"/>
      <c r="DA335" s="168"/>
      <c r="DB335" s="168"/>
      <c r="DC335" s="168"/>
      <c r="DD335" s="172"/>
      <c r="DE335" s="172"/>
      <c r="DF335" s="172"/>
      <c r="DG335" s="172"/>
      <c r="DH335" s="172"/>
      <c r="DI335" s="172"/>
      <c r="DJ335" s="172"/>
      <c r="DK335" s="80" t="s">
        <v>415</v>
      </c>
      <c r="DL335" s="129">
        <v>300</v>
      </c>
      <c r="DM335" s="129">
        <v>300</v>
      </c>
      <c r="DN335" s="129">
        <v>300</v>
      </c>
      <c r="DO335" s="129">
        <v>300</v>
      </c>
      <c r="DP335" s="129">
        <v>300</v>
      </c>
      <c r="DQ335" s="129">
        <v>300</v>
      </c>
      <c r="DR335" s="129">
        <v>300</v>
      </c>
      <c r="DS335" s="218"/>
      <c r="DT335" s="360"/>
      <c r="DU335" s="360"/>
      <c r="DV335" s="360"/>
      <c r="DW335" s="360"/>
      <c r="DX335" s="360"/>
      <c r="DY335" s="360"/>
      <c r="DZ335" s="360"/>
      <c r="EA335" s="360"/>
      <c r="EB335" s="360"/>
      <c r="EC335" s="360"/>
      <c r="ED335" s="360"/>
      <c r="EE335" s="360"/>
      <c r="EF335" s="360"/>
      <c r="EG335" s="360"/>
      <c r="EH335" s="360"/>
      <c r="EI335" s="360"/>
      <c r="EJ335" s="360"/>
      <c r="EK335" s="360"/>
      <c r="EL335" s="360"/>
      <c r="EM335" s="360"/>
      <c r="EN335" s="360"/>
      <c r="EO335" s="360"/>
      <c r="EP335" s="360"/>
      <c r="EQ335" s="360"/>
    </row>
    <row r="336" spans="1:147" x14ac:dyDescent="0.35">
      <c r="A336" s="223" t="s">
        <v>1472</v>
      </c>
      <c r="B336" s="223" t="s">
        <v>740</v>
      </c>
      <c r="C336" s="223" t="s">
        <v>817</v>
      </c>
      <c r="D336" s="223" t="s">
        <v>1469</v>
      </c>
      <c r="E336" s="223" t="s">
        <v>1470</v>
      </c>
      <c r="F336" s="223" t="s">
        <v>472</v>
      </c>
      <c r="G336" s="229" t="s">
        <v>1473</v>
      </c>
      <c r="H336" s="224" t="s">
        <v>659</v>
      </c>
      <c r="I336" s="101">
        <v>0</v>
      </c>
      <c r="J336" s="101">
        <v>0</v>
      </c>
      <c r="K336" s="101">
        <v>0</v>
      </c>
      <c r="L336" s="101">
        <v>0</v>
      </c>
      <c r="M336" s="101">
        <v>0</v>
      </c>
      <c r="N336" s="101">
        <v>0</v>
      </c>
      <c r="O336" s="101">
        <v>0</v>
      </c>
      <c r="P336" s="93">
        <v>0</v>
      </c>
      <c r="Q336" s="101">
        <v>0</v>
      </c>
      <c r="R336" s="101">
        <v>0</v>
      </c>
      <c r="S336" s="101">
        <v>0</v>
      </c>
      <c r="T336" s="101">
        <v>0</v>
      </c>
      <c r="U336" s="101">
        <v>0</v>
      </c>
      <c r="V336" s="101">
        <v>0</v>
      </c>
      <c r="W336" s="101">
        <v>0</v>
      </c>
      <c r="X336" s="254">
        <v>15.208573393610196</v>
      </c>
      <c r="Y336" s="254">
        <v>14.120296386118188</v>
      </c>
      <c r="Z336" s="254">
        <v>13.035920051665881</v>
      </c>
      <c r="AA336" s="254">
        <v>13.035920051665881</v>
      </c>
      <c r="AB336" s="254">
        <v>9.7769400387494105</v>
      </c>
      <c r="AC336" s="254">
        <v>9.3928418451247726</v>
      </c>
      <c r="AD336" s="254">
        <v>9.0009924166264419</v>
      </c>
      <c r="AE336" s="186">
        <v>0.08</v>
      </c>
      <c r="AF336" s="93">
        <v>0</v>
      </c>
      <c r="AG336" s="93">
        <v>1</v>
      </c>
      <c r="AH336" s="93">
        <v>1</v>
      </c>
      <c r="AI336" s="16">
        <v>1</v>
      </c>
      <c r="AJ336" s="16" t="s">
        <v>660</v>
      </c>
      <c r="AK336" s="16" t="s">
        <v>745</v>
      </c>
      <c r="AL336" s="16"/>
      <c r="AM336" s="60"/>
      <c r="AN336" s="60"/>
      <c r="AO336" s="60"/>
      <c r="AP336" s="60"/>
      <c r="AQ336" s="60"/>
      <c r="AR336" s="60"/>
      <c r="AS336" s="63"/>
      <c r="AT336" s="63"/>
      <c r="AU336" s="63"/>
      <c r="AV336" s="131"/>
      <c r="AW336" s="131"/>
      <c r="AX336" s="131"/>
      <c r="AY336" s="27" t="s">
        <v>662</v>
      </c>
      <c r="AZ336" s="27"/>
      <c r="BA336" s="27"/>
      <c r="BB336" s="30"/>
      <c r="BC336" s="30"/>
      <c r="BD336" s="30"/>
      <c r="BE336" s="30"/>
      <c r="BF336" s="30"/>
      <c r="BG336" s="30"/>
      <c r="BH336" s="107"/>
      <c r="BI336" s="107"/>
      <c r="BJ336" s="107"/>
      <c r="BK336" s="107"/>
      <c r="BL336" s="136"/>
      <c r="BM336" s="122"/>
      <c r="BN336" s="138"/>
      <c r="BO336" s="93"/>
      <c r="BP336" s="93"/>
      <c r="BQ336" s="93"/>
      <c r="BR336" s="93"/>
      <c r="BS336" s="93"/>
      <c r="BT336" s="93"/>
      <c r="BU336" s="27">
        <f t="shared" si="277"/>
        <v>0</v>
      </c>
      <c r="BV336" s="27"/>
      <c r="BW336" s="27"/>
      <c r="BX336" s="27"/>
      <c r="BY336" s="27"/>
      <c r="BZ336" s="27"/>
      <c r="CA336" s="27"/>
      <c r="CB336" s="185">
        <v>779</v>
      </c>
      <c r="CC336" s="185">
        <v>779</v>
      </c>
      <c r="CD336" s="97">
        <v>100</v>
      </c>
      <c r="CE336" s="97">
        <v>100</v>
      </c>
      <c r="CF336" s="97">
        <v>100</v>
      </c>
      <c r="CG336" s="97">
        <v>100</v>
      </c>
      <c r="CH336" s="97">
        <v>100</v>
      </c>
      <c r="CI336" s="173"/>
      <c r="CJ336" s="173"/>
      <c r="CK336" s="173"/>
      <c r="CL336" s="173"/>
      <c r="CM336" s="173"/>
      <c r="CN336" s="173"/>
      <c r="CO336" s="173"/>
      <c r="CP336" s="174"/>
      <c r="CQ336" s="174"/>
      <c r="CR336" s="174"/>
      <c r="CS336" s="174"/>
      <c r="CT336" s="174"/>
      <c r="CU336" s="174"/>
      <c r="CV336" s="174"/>
      <c r="CW336" s="165"/>
      <c r="CX336" s="166"/>
      <c r="CY336" s="166"/>
      <c r="CZ336" s="166"/>
      <c r="DA336" s="166"/>
      <c r="DB336" s="166"/>
      <c r="DC336" s="166"/>
      <c r="DD336" s="171"/>
      <c r="DE336" s="171"/>
      <c r="DF336" s="171"/>
      <c r="DG336" s="171"/>
      <c r="DH336" s="171"/>
      <c r="DI336" s="171"/>
      <c r="DJ336" s="171"/>
      <c r="DK336" s="79" t="s">
        <v>415</v>
      </c>
      <c r="DL336" s="128">
        <v>2000</v>
      </c>
      <c r="DM336" s="128">
        <v>2000</v>
      </c>
      <c r="DN336" s="128">
        <v>2000</v>
      </c>
      <c r="DO336" s="128">
        <v>2000</v>
      </c>
      <c r="DP336" s="128">
        <v>2000</v>
      </c>
      <c r="DQ336" s="128">
        <v>2000</v>
      </c>
      <c r="DR336" s="128">
        <v>2000</v>
      </c>
      <c r="DS336" s="218"/>
      <c r="DT336" s="360"/>
      <c r="DU336" s="360"/>
      <c r="DV336" s="360"/>
      <c r="DW336" s="360"/>
      <c r="DX336" s="360"/>
      <c r="DY336" s="360"/>
      <c r="DZ336" s="360"/>
      <c r="EA336" s="360"/>
      <c r="EB336" s="360"/>
      <c r="EC336" s="360"/>
      <c r="ED336" s="360"/>
      <c r="EE336" s="360"/>
      <c r="EF336" s="360"/>
      <c r="EG336" s="360"/>
      <c r="EH336" s="360"/>
      <c r="EI336" s="360"/>
      <c r="EJ336" s="360"/>
      <c r="EK336" s="360"/>
      <c r="EL336" s="360"/>
      <c r="EM336" s="360"/>
      <c r="EN336" s="360"/>
      <c r="EO336" s="360"/>
      <c r="EP336" s="360"/>
      <c r="EQ336" s="360"/>
    </row>
    <row r="337" spans="1:147" x14ac:dyDescent="0.35">
      <c r="A337" s="6" t="s">
        <v>1474</v>
      </c>
      <c r="B337" s="6" t="s">
        <v>740</v>
      </c>
      <c r="C337" s="6" t="s">
        <v>788</v>
      </c>
      <c r="D337" s="6" t="s">
        <v>1213</v>
      </c>
      <c r="E337" s="6" t="s">
        <v>1475</v>
      </c>
      <c r="F337" s="6" t="s">
        <v>473</v>
      </c>
      <c r="G337" s="48" t="s">
        <v>1476</v>
      </c>
      <c r="H337" s="48" t="s">
        <v>659</v>
      </c>
      <c r="I337" s="102">
        <v>33</v>
      </c>
      <c r="J337" s="102">
        <v>33</v>
      </c>
      <c r="K337" s="102">
        <v>33</v>
      </c>
      <c r="L337" s="102">
        <v>33</v>
      </c>
      <c r="M337" s="102">
        <v>33</v>
      </c>
      <c r="N337" s="102">
        <v>33</v>
      </c>
      <c r="O337" s="102">
        <v>33</v>
      </c>
      <c r="P337" s="94">
        <v>0</v>
      </c>
      <c r="Q337" s="102">
        <v>0.8</v>
      </c>
      <c r="R337" s="102">
        <v>0.8</v>
      </c>
      <c r="S337" s="102">
        <v>0.8</v>
      </c>
      <c r="T337" s="102">
        <v>0.8</v>
      </c>
      <c r="U337" s="102">
        <v>0.8</v>
      </c>
      <c r="V337" s="102">
        <v>0.8</v>
      </c>
      <c r="W337" s="102">
        <v>0.8</v>
      </c>
      <c r="X337" s="102">
        <v>0</v>
      </c>
      <c r="Y337" s="102">
        <v>0</v>
      </c>
      <c r="Z337" s="102">
        <v>0</v>
      </c>
      <c r="AA337" s="102">
        <v>0</v>
      </c>
      <c r="AB337" s="102">
        <v>0</v>
      </c>
      <c r="AC337" s="102">
        <v>0</v>
      </c>
      <c r="AD337" s="102">
        <v>0</v>
      </c>
      <c r="AE337" s="186">
        <v>0.08</v>
      </c>
      <c r="AF337" s="94">
        <v>0</v>
      </c>
      <c r="AG337" s="94">
        <v>30</v>
      </c>
      <c r="AH337" s="94">
        <v>30</v>
      </c>
      <c r="AI337" s="17">
        <v>1</v>
      </c>
      <c r="AJ337" s="17" t="s">
        <v>660</v>
      </c>
      <c r="AK337" s="17" t="s">
        <v>745</v>
      </c>
      <c r="AL337" s="17"/>
      <c r="AM337" s="61"/>
      <c r="AN337" s="61"/>
      <c r="AO337" s="61"/>
      <c r="AP337" s="61"/>
      <c r="AQ337" s="61"/>
      <c r="AR337" s="61"/>
      <c r="AS337" s="64"/>
      <c r="AT337" s="64"/>
      <c r="AU337" s="64"/>
      <c r="AV337" s="132"/>
      <c r="AW337" s="132"/>
      <c r="AX337" s="132"/>
      <c r="AY337" s="28" t="s">
        <v>662</v>
      </c>
      <c r="AZ337" s="28"/>
      <c r="BA337" s="28"/>
      <c r="BB337" s="28"/>
      <c r="BC337" s="28"/>
      <c r="BD337" s="28"/>
      <c r="BE337" s="28"/>
      <c r="BF337" s="28"/>
      <c r="BG337" s="28"/>
      <c r="BH337" s="106"/>
      <c r="BI337" s="106"/>
      <c r="BJ337" s="106"/>
      <c r="BK337" s="106"/>
      <c r="BL337" s="137"/>
      <c r="BM337" s="123"/>
      <c r="BN337" s="139">
        <v>450</v>
      </c>
      <c r="BO337" s="94"/>
      <c r="BP337" s="94">
        <v>90</v>
      </c>
      <c r="BQ337" s="94"/>
      <c r="BR337" s="94"/>
      <c r="BS337" s="94"/>
      <c r="BT337" s="94"/>
      <c r="BU337" s="28">
        <f t="shared" si="277"/>
        <v>0</v>
      </c>
      <c r="BV337" s="28"/>
      <c r="BW337" s="28"/>
      <c r="BX337" s="28"/>
      <c r="BY337" s="28"/>
      <c r="BZ337" s="28"/>
      <c r="CA337" s="28"/>
      <c r="CB337" s="99">
        <v>450</v>
      </c>
      <c r="CC337" s="99">
        <v>450</v>
      </c>
      <c r="CD337" s="99">
        <v>450</v>
      </c>
      <c r="CE337" s="99">
        <v>450</v>
      </c>
      <c r="CF337" s="99">
        <v>450</v>
      </c>
      <c r="CG337" s="99">
        <v>450</v>
      </c>
      <c r="CH337" s="99">
        <v>450</v>
      </c>
      <c r="CI337" s="175"/>
      <c r="CJ337" s="175"/>
      <c r="CK337" s="175"/>
      <c r="CL337" s="175"/>
      <c r="CM337" s="175"/>
      <c r="CN337" s="175"/>
      <c r="CO337" s="175"/>
      <c r="CP337" s="176"/>
      <c r="CQ337" s="176"/>
      <c r="CR337" s="176"/>
      <c r="CS337" s="176"/>
      <c r="CT337" s="176"/>
      <c r="CU337" s="176"/>
      <c r="CV337" s="176"/>
      <c r="CW337" s="167"/>
      <c r="CX337" s="168"/>
      <c r="CY337" s="168"/>
      <c r="CZ337" s="168"/>
      <c r="DA337" s="168"/>
      <c r="DB337" s="168"/>
      <c r="DC337" s="168"/>
      <c r="DD337" s="172"/>
      <c r="DE337" s="172"/>
      <c r="DF337" s="172"/>
      <c r="DG337" s="172"/>
      <c r="DH337" s="172"/>
      <c r="DI337" s="172"/>
      <c r="DJ337" s="172"/>
      <c r="DK337" s="80" t="s">
        <v>415</v>
      </c>
      <c r="DL337" s="129">
        <v>2000</v>
      </c>
      <c r="DM337" s="129">
        <v>2000</v>
      </c>
      <c r="DN337" s="129">
        <v>2000</v>
      </c>
      <c r="DO337" s="129">
        <v>2000</v>
      </c>
      <c r="DP337" s="129">
        <v>2000</v>
      </c>
      <c r="DQ337" s="129">
        <v>2000</v>
      </c>
      <c r="DR337" s="129">
        <v>2000</v>
      </c>
      <c r="DS337" s="218"/>
      <c r="DT337" s="360"/>
      <c r="DU337" s="360"/>
      <c r="DV337" s="360"/>
      <c r="DW337" s="360"/>
      <c r="DX337" s="360"/>
      <c r="DY337" s="360"/>
      <c r="DZ337" s="360"/>
      <c r="EA337" s="360"/>
      <c r="EB337" s="360"/>
      <c r="EC337" s="360"/>
      <c r="ED337" s="360"/>
      <c r="EE337" s="360"/>
      <c r="EF337" s="360"/>
      <c r="EG337" s="360"/>
      <c r="EH337" s="360"/>
      <c r="EI337" s="360"/>
      <c r="EJ337" s="360"/>
      <c r="EK337" s="360"/>
      <c r="EL337" s="360"/>
      <c r="EM337" s="360"/>
      <c r="EN337" s="360"/>
      <c r="EO337" s="360"/>
      <c r="EP337" s="360"/>
      <c r="EQ337" s="360"/>
    </row>
    <row r="338" spans="1:147" x14ac:dyDescent="0.35">
      <c r="A338" s="5" t="s">
        <v>1477</v>
      </c>
      <c r="B338" s="5" t="s">
        <v>740</v>
      </c>
      <c r="C338" s="5" t="s">
        <v>788</v>
      </c>
      <c r="D338" s="5" t="s">
        <v>1213</v>
      </c>
      <c r="E338" s="5" t="s">
        <v>1475</v>
      </c>
      <c r="F338" s="5" t="s">
        <v>473</v>
      </c>
      <c r="G338" s="47" t="s">
        <v>1478</v>
      </c>
      <c r="H338" s="47" t="s">
        <v>659</v>
      </c>
      <c r="I338" s="101">
        <v>35</v>
      </c>
      <c r="J338" s="101">
        <v>35</v>
      </c>
      <c r="K338" s="101">
        <v>35</v>
      </c>
      <c r="L338" s="101">
        <v>35</v>
      </c>
      <c r="M338" s="101">
        <v>35</v>
      </c>
      <c r="N338" s="101">
        <v>35</v>
      </c>
      <c r="O338" s="101">
        <v>35</v>
      </c>
      <c r="P338" s="93">
        <v>0</v>
      </c>
      <c r="Q338" s="101">
        <v>0.95</v>
      </c>
      <c r="R338" s="101">
        <v>0.95</v>
      </c>
      <c r="S338" s="101">
        <v>0.95</v>
      </c>
      <c r="T338" s="101">
        <v>0.95</v>
      </c>
      <c r="U338" s="101">
        <v>0.95</v>
      </c>
      <c r="V338" s="101">
        <v>0.95</v>
      </c>
      <c r="W338" s="101">
        <v>0.95</v>
      </c>
      <c r="X338" s="101">
        <v>0</v>
      </c>
      <c r="Y338" s="101">
        <v>0</v>
      </c>
      <c r="Z338" s="101">
        <v>0</v>
      </c>
      <c r="AA338" s="101">
        <v>0</v>
      </c>
      <c r="AB338" s="101">
        <v>0</v>
      </c>
      <c r="AC338" s="101">
        <v>0</v>
      </c>
      <c r="AD338" s="101">
        <v>0</v>
      </c>
      <c r="AE338" s="186">
        <v>0.08</v>
      </c>
      <c r="AF338" s="93">
        <v>0</v>
      </c>
      <c r="AG338" s="93">
        <v>30</v>
      </c>
      <c r="AH338" s="93">
        <v>30</v>
      </c>
      <c r="AI338" s="16">
        <v>1</v>
      </c>
      <c r="AJ338" s="16" t="s">
        <v>660</v>
      </c>
      <c r="AK338" s="16" t="s">
        <v>745</v>
      </c>
      <c r="AL338" s="16"/>
      <c r="AM338" s="60"/>
      <c r="AN338" s="60"/>
      <c r="AO338" s="60"/>
      <c r="AP338" s="60"/>
      <c r="AQ338" s="60"/>
      <c r="AR338" s="60"/>
      <c r="AS338" s="63"/>
      <c r="AT338" s="63"/>
      <c r="AU338" s="63"/>
      <c r="AV338" s="131"/>
      <c r="AW338" s="131"/>
      <c r="AX338" s="131"/>
      <c r="AY338" s="27" t="s">
        <v>662</v>
      </c>
      <c r="AZ338" s="27"/>
      <c r="BA338" s="27"/>
      <c r="BB338" s="30"/>
      <c r="BC338" s="30"/>
      <c r="BD338" s="30"/>
      <c r="BE338" s="30"/>
      <c r="BF338" s="30"/>
      <c r="BG338" s="30"/>
      <c r="BH338" s="107"/>
      <c r="BI338" s="107"/>
      <c r="BJ338" s="107"/>
      <c r="BK338" s="107"/>
      <c r="BL338" s="136"/>
      <c r="BM338" s="122"/>
      <c r="BN338" s="138">
        <v>0</v>
      </c>
      <c r="BO338" s="93"/>
      <c r="BP338" s="93"/>
      <c r="BQ338" s="93"/>
      <c r="BR338" s="93"/>
      <c r="BS338" s="93"/>
      <c r="BT338" s="93"/>
      <c r="BU338" s="27">
        <f t="shared" si="277"/>
        <v>0</v>
      </c>
      <c r="BV338" s="27"/>
      <c r="BW338" s="27"/>
      <c r="BX338" s="27"/>
      <c r="BY338" s="27"/>
      <c r="BZ338" s="27"/>
      <c r="CA338" s="27"/>
      <c r="CB338" s="97">
        <v>0</v>
      </c>
      <c r="CC338" s="97"/>
      <c r="CD338" s="97">
        <v>450</v>
      </c>
      <c r="CE338" s="97">
        <v>500</v>
      </c>
      <c r="CF338" s="97">
        <v>500</v>
      </c>
      <c r="CG338" s="97">
        <v>500</v>
      </c>
      <c r="CH338" s="97">
        <v>500</v>
      </c>
      <c r="CI338" s="173"/>
      <c r="CJ338" s="173"/>
      <c r="CK338" s="173"/>
      <c r="CL338" s="173"/>
      <c r="CM338" s="173"/>
      <c r="CN338" s="173"/>
      <c r="CO338" s="173"/>
      <c r="CP338" s="174"/>
      <c r="CQ338" s="174"/>
      <c r="CR338" s="174"/>
      <c r="CS338" s="174"/>
      <c r="CT338" s="174"/>
      <c r="CU338" s="174"/>
      <c r="CV338" s="174"/>
      <c r="CW338" s="165"/>
      <c r="CX338" s="166"/>
      <c r="CY338" s="166"/>
      <c r="CZ338" s="166"/>
      <c r="DA338" s="166"/>
      <c r="DB338" s="166"/>
      <c r="DC338" s="166"/>
      <c r="DD338" s="171"/>
      <c r="DE338" s="171"/>
      <c r="DF338" s="171"/>
      <c r="DG338" s="171"/>
      <c r="DH338" s="171"/>
      <c r="DI338" s="171"/>
      <c r="DJ338" s="171"/>
      <c r="DK338" s="79" t="s">
        <v>415</v>
      </c>
      <c r="DL338" s="128">
        <v>2000</v>
      </c>
      <c r="DM338" s="128">
        <v>2000</v>
      </c>
      <c r="DN338" s="128">
        <v>2000</v>
      </c>
      <c r="DO338" s="128">
        <v>2000</v>
      </c>
      <c r="DP338" s="128">
        <v>2000</v>
      </c>
      <c r="DQ338" s="128">
        <v>2000</v>
      </c>
      <c r="DR338" s="128">
        <v>2000</v>
      </c>
      <c r="DS338" s="218"/>
      <c r="DT338" s="360"/>
      <c r="DU338" s="360"/>
      <c r="DV338" s="360"/>
      <c r="DW338" s="360"/>
      <c r="DX338" s="360"/>
      <c r="DY338" s="360"/>
      <c r="DZ338" s="360"/>
      <c r="EA338" s="360"/>
      <c r="EB338" s="360"/>
      <c r="EC338" s="360"/>
      <c r="ED338" s="360"/>
      <c r="EE338" s="360"/>
      <c r="EF338" s="360"/>
      <c r="EG338" s="360"/>
      <c r="EH338" s="360"/>
      <c r="EI338" s="360"/>
      <c r="EJ338" s="360"/>
      <c r="EK338" s="360"/>
      <c r="EL338" s="360"/>
      <c r="EM338" s="360"/>
      <c r="EN338" s="360"/>
      <c r="EO338" s="360"/>
      <c r="EP338" s="360"/>
      <c r="EQ338" s="360"/>
    </row>
    <row r="339" spans="1:147" x14ac:dyDescent="0.35">
      <c r="A339" s="6" t="s">
        <v>1479</v>
      </c>
      <c r="B339" s="6" t="s">
        <v>740</v>
      </c>
      <c r="C339" s="6" t="s">
        <v>788</v>
      </c>
      <c r="D339" s="6" t="s">
        <v>1213</v>
      </c>
      <c r="E339" s="6" t="s">
        <v>1475</v>
      </c>
      <c r="F339" s="6" t="s">
        <v>473</v>
      </c>
      <c r="G339" s="48" t="s">
        <v>1480</v>
      </c>
      <c r="H339" s="48" t="s">
        <v>659</v>
      </c>
      <c r="I339" s="102">
        <v>33</v>
      </c>
      <c r="J339" s="102">
        <v>33</v>
      </c>
      <c r="K339" s="102">
        <v>33</v>
      </c>
      <c r="L339" s="102">
        <v>33</v>
      </c>
      <c r="M339" s="102">
        <v>33</v>
      </c>
      <c r="N339" s="102">
        <v>33</v>
      </c>
      <c r="O339" s="102">
        <v>33</v>
      </c>
      <c r="P339" s="94">
        <v>0</v>
      </c>
      <c r="Q339" s="102">
        <v>0.75</v>
      </c>
      <c r="R339" s="102">
        <v>0.75</v>
      </c>
      <c r="S339" s="102">
        <v>0.75</v>
      </c>
      <c r="T339" s="102">
        <v>0.75</v>
      </c>
      <c r="U339" s="102">
        <v>0.75</v>
      </c>
      <c r="V339" s="102">
        <v>0.75</v>
      </c>
      <c r="W339" s="102">
        <v>0.75</v>
      </c>
      <c r="X339" s="102">
        <v>0</v>
      </c>
      <c r="Y339" s="102">
        <v>0</v>
      </c>
      <c r="Z339" s="102">
        <v>0</v>
      </c>
      <c r="AA339" s="102">
        <v>0</v>
      </c>
      <c r="AB339" s="102">
        <v>0</v>
      </c>
      <c r="AC339" s="102">
        <v>0</v>
      </c>
      <c r="AD339" s="102">
        <v>0</v>
      </c>
      <c r="AE339" s="186">
        <v>0.08</v>
      </c>
      <c r="AF339" s="94">
        <v>0</v>
      </c>
      <c r="AG339" s="94">
        <v>30</v>
      </c>
      <c r="AH339" s="94">
        <v>30</v>
      </c>
      <c r="AI339" s="17">
        <v>1</v>
      </c>
      <c r="AJ339" s="17" t="s">
        <v>660</v>
      </c>
      <c r="AK339" s="17" t="s">
        <v>745</v>
      </c>
      <c r="AL339" s="17"/>
      <c r="AM339" s="61"/>
      <c r="AN339" s="61"/>
      <c r="AO339" s="61"/>
      <c r="AP339" s="61"/>
      <c r="AQ339" s="61"/>
      <c r="AR339" s="61"/>
      <c r="AS339" s="64"/>
      <c r="AT339" s="64"/>
      <c r="AU339" s="64"/>
      <c r="AV339" s="132"/>
      <c r="AW339" s="132"/>
      <c r="AX339" s="132"/>
      <c r="AY339" s="28" t="s">
        <v>662</v>
      </c>
      <c r="AZ339" s="28"/>
      <c r="BA339" s="28"/>
      <c r="BB339" s="28"/>
      <c r="BC339" s="28"/>
      <c r="BD339" s="28"/>
      <c r="BE339" s="28"/>
      <c r="BF339" s="28"/>
      <c r="BG339" s="28"/>
      <c r="BH339" s="106"/>
      <c r="BI339" s="106"/>
      <c r="BJ339" s="106"/>
      <c r="BK339" s="106"/>
      <c r="BL339" s="137"/>
      <c r="BM339" s="123"/>
      <c r="BN339" s="139">
        <v>550</v>
      </c>
      <c r="BO339" s="94"/>
      <c r="BP339" s="94">
        <v>110</v>
      </c>
      <c r="BQ339" s="94"/>
      <c r="BR339" s="94"/>
      <c r="BS339" s="94"/>
      <c r="BT339" s="94"/>
      <c r="BU339" s="28">
        <f t="shared" si="277"/>
        <v>0</v>
      </c>
      <c r="BV339" s="28"/>
      <c r="BW339" s="28"/>
      <c r="BX339" s="28"/>
      <c r="BY339" s="28"/>
      <c r="BZ339" s="28"/>
      <c r="CA339" s="28"/>
      <c r="CB339" s="99">
        <v>550</v>
      </c>
      <c r="CC339" s="99">
        <v>550</v>
      </c>
      <c r="CD339" s="99">
        <v>550</v>
      </c>
      <c r="CE339" s="99">
        <v>550</v>
      </c>
      <c r="CF339" s="99">
        <v>550</v>
      </c>
      <c r="CG339" s="99">
        <v>550</v>
      </c>
      <c r="CH339" s="99">
        <v>550</v>
      </c>
      <c r="CI339" s="175"/>
      <c r="CJ339" s="175"/>
      <c r="CK339" s="175"/>
      <c r="CL339" s="175"/>
      <c r="CM339" s="175"/>
      <c r="CN339" s="175"/>
      <c r="CO339" s="175"/>
      <c r="CP339" s="176"/>
      <c r="CQ339" s="176"/>
      <c r="CR339" s="176"/>
      <c r="CS339" s="176"/>
      <c r="CT339" s="176"/>
      <c r="CU339" s="176"/>
      <c r="CV339" s="176"/>
      <c r="CW339" s="167"/>
      <c r="CX339" s="168"/>
      <c r="CY339" s="168"/>
      <c r="CZ339" s="168"/>
      <c r="DA339" s="168"/>
      <c r="DB339" s="168"/>
      <c r="DC339" s="168"/>
      <c r="DD339" s="172"/>
      <c r="DE339" s="172"/>
      <c r="DF339" s="172"/>
      <c r="DG339" s="172"/>
      <c r="DH339" s="172"/>
      <c r="DI339" s="172"/>
      <c r="DJ339" s="172"/>
      <c r="DK339" s="80" t="s">
        <v>415</v>
      </c>
      <c r="DL339" s="129">
        <v>2000</v>
      </c>
      <c r="DM339" s="129">
        <v>2000</v>
      </c>
      <c r="DN339" s="129">
        <v>2000</v>
      </c>
      <c r="DO339" s="129">
        <v>2000</v>
      </c>
      <c r="DP339" s="129">
        <v>2000</v>
      </c>
      <c r="DQ339" s="129">
        <v>2000</v>
      </c>
      <c r="DR339" s="129">
        <v>2000</v>
      </c>
      <c r="DS339" s="218"/>
      <c r="DT339" s="360"/>
      <c r="DU339" s="360"/>
      <c r="DV339" s="360"/>
      <c r="DW339" s="360"/>
      <c r="DX339" s="360"/>
      <c r="DY339" s="360"/>
      <c r="DZ339" s="360"/>
      <c r="EA339" s="360"/>
      <c r="EB339" s="360"/>
      <c r="EC339" s="360"/>
      <c r="ED339" s="360"/>
      <c r="EE339" s="360"/>
      <c r="EF339" s="360"/>
      <c r="EG339" s="360"/>
      <c r="EH339" s="360"/>
      <c r="EI339" s="360"/>
      <c r="EJ339" s="360"/>
      <c r="EK339" s="360"/>
      <c r="EL339" s="360"/>
      <c r="EM339" s="360"/>
      <c r="EN339" s="360"/>
      <c r="EO339" s="360"/>
      <c r="EP339" s="360"/>
      <c r="EQ339" s="360"/>
    </row>
    <row r="340" spans="1:147" x14ac:dyDescent="0.35">
      <c r="A340" s="5" t="s">
        <v>1481</v>
      </c>
      <c r="B340" s="5" t="s">
        <v>740</v>
      </c>
      <c r="C340" s="5" t="s">
        <v>788</v>
      </c>
      <c r="D340" s="5" t="s">
        <v>1213</v>
      </c>
      <c r="E340" s="5" t="s">
        <v>1475</v>
      </c>
      <c r="F340" s="5" t="s">
        <v>473</v>
      </c>
      <c r="G340" s="47" t="s">
        <v>1482</v>
      </c>
      <c r="H340" s="47" t="s">
        <v>659</v>
      </c>
      <c r="I340" s="101">
        <v>35</v>
      </c>
      <c r="J340" s="101">
        <v>35</v>
      </c>
      <c r="K340" s="101">
        <v>35</v>
      </c>
      <c r="L340" s="101">
        <v>35</v>
      </c>
      <c r="M340" s="101">
        <v>35</v>
      </c>
      <c r="N340" s="101">
        <v>35</v>
      </c>
      <c r="O340" s="101">
        <v>35</v>
      </c>
      <c r="P340" s="93">
        <v>0</v>
      </c>
      <c r="Q340" s="101">
        <v>0.9</v>
      </c>
      <c r="R340" s="101">
        <v>0.9</v>
      </c>
      <c r="S340" s="101">
        <v>0.9</v>
      </c>
      <c r="T340" s="101">
        <v>0.9</v>
      </c>
      <c r="U340" s="101">
        <v>0.9</v>
      </c>
      <c r="V340" s="101">
        <v>0.9</v>
      </c>
      <c r="W340" s="101">
        <v>0.9</v>
      </c>
      <c r="X340" s="101">
        <v>0</v>
      </c>
      <c r="Y340" s="101">
        <v>0</v>
      </c>
      <c r="Z340" s="101">
        <v>0</v>
      </c>
      <c r="AA340" s="101">
        <v>0</v>
      </c>
      <c r="AB340" s="101">
        <v>0</v>
      </c>
      <c r="AC340" s="101">
        <v>0</v>
      </c>
      <c r="AD340" s="101">
        <v>0</v>
      </c>
      <c r="AE340" s="186">
        <v>0.08</v>
      </c>
      <c r="AF340" s="93">
        <v>0</v>
      </c>
      <c r="AG340" s="93">
        <v>30</v>
      </c>
      <c r="AH340" s="93">
        <v>30</v>
      </c>
      <c r="AI340" s="16">
        <v>1</v>
      </c>
      <c r="AJ340" s="16" t="s">
        <v>660</v>
      </c>
      <c r="AK340" s="16" t="s">
        <v>745</v>
      </c>
      <c r="AL340" s="16"/>
      <c r="AM340" s="60"/>
      <c r="AN340" s="60"/>
      <c r="AO340" s="60"/>
      <c r="AP340" s="60"/>
      <c r="AQ340" s="60"/>
      <c r="AR340" s="60"/>
      <c r="AS340" s="63"/>
      <c r="AT340" s="63"/>
      <c r="AU340" s="63"/>
      <c r="AV340" s="131"/>
      <c r="AW340" s="131"/>
      <c r="AX340" s="131"/>
      <c r="AY340" s="27" t="s">
        <v>662</v>
      </c>
      <c r="AZ340" s="27"/>
      <c r="BA340" s="27"/>
      <c r="BB340" s="30"/>
      <c r="BC340" s="30"/>
      <c r="BD340" s="30"/>
      <c r="BE340" s="30"/>
      <c r="BF340" s="30"/>
      <c r="BG340" s="30"/>
      <c r="BH340" s="107"/>
      <c r="BI340" s="107"/>
      <c r="BJ340" s="107"/>
      <c r="BK340" s="107"/>
      <c r="BL340" s="136"/>
      <c r="BM340" s="122"/>
      <c r="BN340" s="138">
        <v>0</v>
      </c>
      <c r="BO340" s="93"/>
      <c r="BP340" s="93"/>
      <c r="BQ340" s="93"/>
      <c r="BR340" s="93"/>
      <c r="BS340" s="93"/>
      <c r="BT340" s="93"/>
      <c r="BU340" s="27">
        <f t="shared" si="277"/>
        <v>0</v>
      </c>
      <c r="BV340" s="27"/>
      <c r="BW340" s="27"/>
      <c r="BX340" s="27"/>
      <c r="BY340" s="27"/>
      <c r="BZ340" s="27"/>
      <c r="CA340" s="27"/>
      <c r="CB340" s="97"/>
      <c r="CC340" s="97"/>
      <c r="CD340" s="97">
        <v>550</v>
      </c>
      <c r="CE340" s="97">
        <v>550</v>
      </c>
      <c r="CF340" s="97">
        <v>550</v>
      </c>
      <c r="CG340" s="97">
        <v>550</v>
      </c>
      <c r="CH340" s="97">
        <v>550</v>
      </c>
      <c r="CI340" s="173"/>
      <c r="CJ340" s="173"/>
      <c r="CK340" s="173"/>
      <c r="CL340" s="173"/>
      <c r="CM340" s="173"/>
      <c r="CN340" s="173"/>
      <c r="CO340" s="173"/>
      <c r="CP340" s="174"/>
      <c r="CQ340" s="174"/>
      <c r="CR340" s="174"/>
      <c r="CS340" s="174"/>
      <c r="CT340" s="174"/>
      <c r="CU340" s="174"/>
      <c r="CV340" s="174"/>
      <c r="CW340" s="165"/>
      <c r="CX340" s="166"/>
      <c r="CY340" s="166"/>
      <c r="CZ340" s="166"/>
      <c r="DA340" s="166"/>
      <c r="DB340" s="166"/>
      <c r="DC340" s="166"/>
      <c r="DD340" s="171"/>
      <c r="DE340" s="171"/>
      <c r="DF340" s="171"/>
      <c r="DG340" s="171"/>
      <c r="DH340" s="171"/>
      <c r="DI340" s="171"/>
      <c r="DJ340" s="171"/>
      <c r="DK340" s="79" t="s">
        <v>415</v>
      </c>
      <c r="DL340" s="128">
        <v>2000</v>
      </c>
      <c r="DM340" s="128">
        <v>2000</v>
      </c>
      <c r="DN340" s="128">
        <v>2000</v>
      </c>
      <c r="DO340" s="128">
        <v>2000</v>
      </c>
      <c r="DP340" s="128">
        <v>2000</v>
      </c>
      <c r="DQ340" s="128">
        <v>2000</v>
      </c>
      <c r="DR340" s="128">
        <v>2000</v>
      </c>
      <c r="DS340" s="218"/>
      <c r="DT340" s="360"/>
      <c r="DU340" s="360"/>
      <c r="DV340" s="360"/>
      <c r="DW340" s="360"/>
      <c r="DX340" s="360"/>
      <c r="DY340" s="360"/>
      <c r="DZ340" s="360"/>
      <c r="EA340" s="360"/>
      <c r="EB340" s="360"/>
      <c r="EC340" s="360"/>
      <c r="ED340" s="360"/>
      <c r="EE340" s="360"/>
      <c r="EF340" s="360"/>
      <c r="EG340" s="360"/>
      <c r="EH340" s="360"/>
      <c r="EI340" s="360"/>
      <c r="EJ340" s="360"/>
      <c r="EK340" s="360"/>
      <c r="EL340" s="360"/>
      <c r="EM340" s="360"/>
      <c r="EN340" s="360"/>
      <c r="EO340" s="360"/>
      <c r="EP340" s="360"/>
      <c r="EQ340" s="360"/>
    </row>
    <row r="341" spans="1:147" x14ac:dyDescent="0.35">
      <c r="A341" s="6" t="s">
        <v>1483</v>
      </c>
      <c r="B341" s="6" t="s">
        <v>740</v>
      </c>
      <c r="C341" s="6" t="s">
        <v>788</v>
      </c>
      <c r="D341" s="6" t="s">
        <v>1213</v>
      </c>
      <c r="E341" s="6" t="s">
        <v>1475</v>
      </c>
      <c r="F341" s="6" t="s">
        <v>473</v>
      </c>
      <c r="G341" s="48" t="s">
        <v>1484</v>
      </c>
      <c r="H341" s="48" t="s">
        <v>659</v>
      </c>
      <c r="I341" s="102">
        <v>55</v>
      </c>
      <c r="J341" s="102">
        <v>55</v>
      </c>
      <c r="K341" s="102">
        <v>55</v>
      </c>
      <c r="L341" s="102">
        <v>55</v>
      </c>
      <c r="M341" s="102">
        <v>55</v>
      </c>
      <c r="N341" s="102">
        <v>55</v>
      </c>
      <c r="O341" s="102">
        <v>55</v>
      </c>
      <c r="P341" s="94">
        <v>0</v>
      </c>
      <c r="Q341" s="102">
        <v>1.5</v>
      </c>
      <c r="R341" s="102">
        <v>1.5</v>
      </c>
      <c r="S341" s="102">
        <v>1.5</v>
      </c>
      <c r="T341" s="102">
        <v>1.5</v>
      </c>
      <c r="U341" s="102">
        <v>1.5</v>
      </c>
      <c r="V341" s="102">
        <v>1.5</v>
      </c>
      <c r="W341" s="102">
        <v>1.5</v>
      </c>
      <c r="X341" s="102">
        <v>0</v>
      </c>
      <c r="Y341" s="102">
        <v>0</v>
      </c>
      <c r="Z341" s="102">
        <v>0</v>
      </c>
      <c r="AA341" s="102">
        <v>0</v>
      </c>
      <c r="AB341" s="102">
        <v>0</v>
      </c>
      <c r="AC341" s="102">
        <v>0</v>
      </c>
      <c r="AD341" s="102">
        <v>0</v>
      </c>
      <c r="AE341" s="186">
        <v>0.08</v>
      </c>
      <c r="AF341" s="94">
        <v>0</v>
      </c>
      <c r="AG341" s="94">
        <v>30</v>
      </c>
      <c r="AH341" s="94">
        <v>30</v>
      </c>
      <c r="AI341" s="17">
        <v>1</v>
      </c>
      <c r="AJ341" s="17" t="s">
        <v>660</v>
      </c>
      <c r="AK341" s="17" t="s">
        <v>745</v>
      </c>
      <c r="AL341" s="17"/>
      <c r="AM341" s="61"/>
      <c r="AN341" s="61"/>
      <c r="AO341" s="61"/>
      <c r="AP341" s="61"/>
      <c r="AQ341" s="61"/>
      <c r="AR341" s="61"/>
      <c r="AS341" s="64"/>
      <c r="AT341" s="64"/>
      <c r="AU341" s="64"/>
      <c r="AV341" s="132"/>
      <c r="AW341" s="132"/>
      <c r="AX341" s="132"/>
      <c r="AY341" s="28" t="s">
        <v>662</v>
      </c>
      <c r="AZ341" s="28"/>
      <c r="BA341" s="28"/>
      <c r="BB341" s="28"/>
      <c r="BC341" s="28"/>
      <c r="BD341" s="28"/>
      <c r="BE341" s="28"/>
      <c r="BF341" s="28"/>
      <c r="BG341" s="28"/>
      <c r="BH341" s="106"/>
      <c r="BI341" s="106"/>
      <c r="BJ341" s="106"/>
      <c r="BK341" s="106"/>
      <c r="BL341" s="137"/>
      <c r="BM341" s="123"/>
      <c r="BN341" s="139">
        <v>20</v>
      </c>
      <c r="BO341" s="94"/>
      <c r="BP341" s="94">
        <v>5</v>
      </c>
      <c r="BQ341" s="94"/>
      <c r="BR341" s="94"/>
      <c r="BS341" s="94"/>
      <c r="BT341" s="94"/>
      <c r="BU341" s="28">
        <f t="shared" si="277"/>
        <v>0</v>
      </c>
      <c r="BV341" s="28"/>
      <c r="BW341" s="28"/>
      <c r="BX341" s="28"/>
      <c r="BY341" s="28"/>
      <c r="BZ341" s="28"/>
      <c r="CA341" s="28"/>
      <c r="CB341" s="99">
        <v>20</v>
      </c>
      <c r="CC341" s="99">
        <v>20</v>
      </c>
      <c r="CD341" s="99">
        <v>20</v>
      </c>
      <c r="CE341" s="99">
        <v>20</v>
      </c>
      <c r="CF341" s="99">
        <v>20</v>
      </c>
      <c r="CG341" s="99">
        <v>20</v>
      </c>
      <c r="CH341" s="99">
        <v>20</v>
      </c>
      <c r="CI341" s="175"/>
      <c r="CJ341" s="175"/>
      <c r="CK341" s="175"/>
      <c r="CL341" s="175"/>
      <c r="CM341" s="175"/>
      <c r="CN341" s="175"/>
      <c r="CO341" s="175"/>
      <c r="CP341" s="176"/>
      <c r="CQ341" s="176"/>
      <c r="CR341" s="176"/>
      <c r="CS341" s="176"/>
      <c r="CT341" s="176"/>
      <c r="CU341" s="176"/>
      <c r="CV341" s="176"/>
      <c r="CW341" s="167"/>
      <c r="CX341" s="168"/>
      <c r="CY341" s="168"/>
      <c r="CZ341" s="168"/>
      <c r="DA341" s="168"/>
      <c r="DB341" s="168"/>
      <c r="DC341" s="168"/>
      <c r="DD341" s="172"/>
      <c r="DE341" s="172"/>
      <c r="DF341" s="172"/>
      <c r="DG341" s="172"/>
      <c r="DH341" s="172"/>
      <c r="DI341" s="172"/>
      <c r="DJ341" s="172"/>
      <c r="DK341" s="80" t="s">
        <v>415</v>
      </c>
      <c r="DL341" s="129">
        <v>2000</v>
      </c>
      <c r="DM341" s="129">
        <v>2000</v>
      </c>
      <c r="DN341" s="129">
        <v>2000</v>
      </c>
      <c r="DO341" s="129">
        <v>2000</v>
      </c>
      <c r="DP341" s="129">
        <v>2000</v>
      </c>
      <c r="DQ341" s="129">
        <v>2000</v>
      </c>
      <c r="DR341" s="129">
        <v>2000</v>
      </c>
      <c r="DS341" s="218"/>
      <c r="DT341" s="360"/>
      <c r="DU341" s="360"/>
      <c r="DV341" s="360"/>
      <c r="DW341" s="360"/>
      <c r="DX341" s="360"/>
      <c r="DY341" s="360"/>
      <c r="DZ341" s="360"/>
      <c r="EA341" s="360"/>
      <c r="EB341" s="360"/>
      <c r="EC341" s="360"/>
      <c r="ED341" s="360"/>
      <c r="EE341" s="360"/>
      <c r="EF341" s="360"/>
      <c r="EG341" s="360"/>
      <c r="EH341" s="360"/>
      <c r="EI341" s="360"/>
      <c r="EJ341" s="360"/>
      <c r="EK341" s="360"/>
      <c r="EL341" s="360"/>
      <c r="EM341" s="360"/>
      <c r="EN341" s="360"/>
      <c r="EO341" s="360"/>
      <c r="EP341" s="360"/>
      <c r="EQ341" s="360"/>
    </row>
    <row r="342" spans="1:147" x14ac:dyDescent="0.35">
      <c r="A342" s="5" t="s">
        <v>1485</v>
      </c>
      <c r="B342" s="5" t="s">
        <v>740</v>
      </c>
      <c r="C342" s="5" t="s">
        <v>788</v>
      </c>
      <c r="D342" s="5" t="s">
        <v>1213</v>
      </c>
      <c r="E342" s="5" t="s">
        <v>1475</v>
      </c>
      <c r="F342" s="5" t="s">
        <v>473</v>
      </c>
      <c r="G342" s="47" t="s">
        <v>1486</v>
      </c>
      <c r="H342" s="47" t="s">
        <v>659</v>
      </c>
      <c r="I342" s="101">
        <v>60</v>
      </c>
      <c r="J342" s="101">
        <v>60</v>
      </c>
      <c r="K342" s="101">
        <v>60</v>
      </c>
      <c r="L342" s="101">
        <v>60</v>
      </c>
      <c r="M342" s="101">
        <v>60</v>
      </c>
      <c r="N342" s="101">
        <v>60</v>
      </c>
      <c r="O342" s="101">
        <v>60</v>
      </c>
      <c r="P342" s="93">
        <v>0</v>
      </c>
      <c r="Q342" s="101">
        <v>1.8</v>
      </c>
      <c r="R342" s="101">
        <v>1.8</v>
      </c>
      <c r="S342" s="101">
        <v>1.8</v>
      </c>
      <c r="T342" s="101">
        <v>1.8</v>
      </c>
      <c r="U342" s="101">
        <v>1.8</v>
      </c>
      <c r="V342" s="101">
        <v>1.8</v>
      </c>
      <c r="W342" s="101">
        <v>1.8</v>
      </c>
      <c r="X342" s="101">
        <v>0</v>
      </c>
      <c r="Y342" s="101">
        <v>0</v>
      </c>
      <c r="Z342" s="101">
        <v>0</v>
      </c>
      <c r="AA342" s="101">
        <v>0</v>
      </c>
      <c r="AB342" s="101">
        <v>0</v>
      </c>
      <c r="AC342" s="101">
        <v>0</v>
      </c>
      <c r="AD342" s="101">
        <v>0</v>
      </c>
      <c r="AE342" s="186">
        <v>0.08</v>
      </c>
      <c r="AF342" s="93">
        <v>0</v>
      </c>
      <c r="AG342" s="93">
        <v>30</v>
      </c>
      <c r="AH342" s="93">
        <v>30</v>
      </c>
      <c r="AI342" s="16">
        <v>1</v>
      </c>
      <c r="AJ342" s="16" t="s">
        <v>660</v>
      </c>
      <c r="AK342" s="16" t="s">
        <v>745</v>
      </c>
      <c r="AL342" s="16"/>
      <c r="AM342" s="60"/>
      <c r="AN342" s="60"/>
      <c r="AO342" s="60"/>
      <c r="AP342" s="60"/>
      <c r="AQ342" s="60"/>
      <c r="AR342" s="60"/>
      <c r="AS342" s="63"/>
      <c r="AT342" s="63"/>
      <c r="AU342" s="63"/>
      <c r="AV342" s="131"/>
      <c r="AW342" s="131"/>
      <c r="AX342" s="131"/>
      <c r="AY342" s="27" t="s">
        <v>662</v>
      </c>
      <c r="AZ342" s="27"/>
      <c r="BA342" s="27"/>
      <c r="BB342" s="30"/>
      <c r="BC342" s="30"/>
      <c r="BD342" s="30"/>
      <c r="BE342" s="30"/>
      <c r="BF342" s="30"/>
      <c r="BG342" s="30"/>
      <c r="BH342" s="107"/>
      <c r="BI342" s="107"/>
      <c r="BJ342" s="107"/>
      <c r="BK342" s="107"/>
      <c r="BL342" s="136"/>
      <c r="BM342" s="122"/>
      <c r="BN342" s="138">
        <v>0</v>
      </c>
      <c r="BO342" s="93"/>
      <c r="BP342" s="93"/>
      <c r="BQ342" s="93"/>
      <c r="BR342" s="93"/>
      <c r="BS342" s="93"/>
      <c r="BT342" s="93"/>
      <c r="BU342" s="27">
        <f t="shared" si="277"/>
        <v>0</v>
      </c>
      <c r="BV342" s="27"/>
      <c r="BW342" s="27"/>
      <c r="BX342" s="27"/>
      <c r="BY342" s="27"/>
      <c r="BZ342" s="27"/>
      <c r="CA342" s="27"/>
      <c r="CB342" s="97">
        <v>0</v>
      </c>
      <c r="CC342" s="97"/>
      <c r="CD342" s="97">
        <v>20</v>
      </c>
      <c r="CE342" s="97">
        <v>20</v>
      </c>
      <c r="CF342" s="97">
        <v>20</v>
      </c>
      <c r="CG342" s="97">
        <v>20</v>
      </c>
      <c r="CH342" s="97">
        <v>20</v>
      </c>
      <c r="CI342" s="173"/>
      <c r="CJ342" s="173"/>
      <c r="CK342" s="173"/>
      <c r="CL342" s="173"/>
      <c r="CM342" s="173"/>
      <c r="CN342" s="173"/>
      <c r="CO342" s="173"/>
      <c r="CP342" s="174"/>
      <c r="CQ342" s="174"/>
      <c r="CR342" s="174"/>
      <c r="CS342" s="174"/>
      <c r="CT342" s="174"/>
      <c r="CU342" s="174"/>
      <c r="CV342" s="174"/>
      <c r="CW342" s="165"/>
      <c r="CX342" s="166"/>
      <c r="CY342" s="166"/>
      <c r="CZ342" s="166"/>
      <c r="DA342" s="166"/>
      <c r="DB342" s="166"/>
      <c r="DC342" s="166"/>
      <c r="DD342" s="171"/>
      <c r="DE342" s="171"/>
      <c r="DF342" s="171"/>
      <c r="DG342" s="171"/>
      <c r="DH342" s="171"/>
      <c r="DI342" s="171"/>
      <c r="DJ342" s="171"/>
      <c r="DK342" s="79" t="s">
        <v>415</v>
      </c>
      <c r="DL342" s="128">
        <v>2000</v>
      </c>
      <c r="DM342" s="128">
        <v>2000</v>
      </c>
      <c r="DN342" s="128">
        <v>2000</v>
      </c>
      <c r="DO342" s="128">
        <v>2000</v>
      </c>
      <c r="DP342" s="128">
        <v>2000</v>
      </c>
      <c r="DQ342" s="128">
        <v>2000</v>
      </c>
      <c r="DR342" s="128">
        <v>2000</v>
      </c>
      <c r="DS342" s="218"/>
      <c r="DT342" s="360"/>
      <c r="DU342" s="360"/>
      <c r="DV342" s="360"/>
      <c r="DW342" s="360"/>
      <c r="DX342" s="360"/>
      <c r="DY342" s="360"/>
      <c r="DZ342" s="360"/>
      <c r="EA342" s="360"/>
      <c r="EB342" s="360"/>
      <c r="EC342" s="360"/>
      <c r="ED342" s="360"/>
      <c r="EE342" s="360"/>
      <c r="EF342" s="360"/>
      <c r="EG342" s="360"/>
      <c r="EH342" s="360"/>
      <c r="EI342" s="360"/>
      <c r="EJ342" s="360"/>
      <c r="EK342" s="360"/>
      <c r="EL342" s="360"/>
      <c r="EM342" s="360"/>
      <c r="EN342" s="360"/>
      <c r="EO342" s="360"/>
      <c r="EP342" s="360"/>
      <c r="EQ342" s="360"/>
    </row>
    <row r="343" spans="1:147" x14ac:dyDescent="0.35">
      <c r="A343" s="223" t="s">
        <v>1487</v>
      </c>
      <c r="B343" s="223" t="s">
        <v>740</v>
      </c>
      <c r="C343" s="223" t="s">
        <v>817</v>
      </c>
      <c r="D343" s="223" t="s">
        <v>1469</v>
      </c>
      <c r="E343" s="223" t="s">
        <v>1470</v>
      </c>
      <c r="F343" s="223" t="s">
        <v>473</v>
      </c>
      <c r="G343" s="229" t="s">
        <v>1488</v>
      </c>
      <c r="H343" s="224" t="s">
        <v>659</v>
      </c>
      <c r="I343" s="101">
        <v>0</v>
      </c>
      <c r="J343" s="101">
        <v>0</v>
      </c>
      <c r="K343" s="101">
        <v>0</v>
      </c>
      <c r="L343" s="101">
        <v>0</v>
      </c>
      <c r="M343" s="101">
        <v>0</v>
      </c>
      <c r="N343" s="101">
        <v>0</v>
      </c>
      <c r="O343" s="101">
        <v>0</v>
      </c>
      <c r="P343" s="93">
        <v>0</v>
      </c>
      <c r="Q343" s="101">
        <v>0</v>
      </c>
      <c r="R343" s="101">
        <v>0</v>
      </c>
      <c r="S343" s="101">
        <v>0</v>
      </c>
      <c r="T343" s="101">
        <v>0</v>
      </c>
      <c r="U343" s="101">
        <v>0</v>
      </c>
      <c r="V343" s="101">
        <v>0</v>
      </c>
      <c r="W343" s="101">
        <v>0</v>
      </c>
      <c r="X343" s="101">
        <v>28.849345423849826</v>
      </c>
      <c r="Y343" s="101">
        <v>26.784978274255014</v>
      </c>
      <c r="Z343" s="101">
        <v>24.728010363299841</v>
      </c>
      <c r="AA343" s="101">
        <v>24.728010363299841</v>
      </c>
      <c r="AB343" s="101">
        <v>18.546007772474884</v>
      </c>
      <c r="AC343" s="101">
        <v>17.817406793423846</v>
      </c>
      <c r="AD343" s="101">
        <v>17.074102393707037</v>
      </c>
      <c r="AE343" s="186">
        <v>0.08</v>
      </c>
      <c r="AF343" s="93">
        <v>0</v>
      </c>
      <c r="AG343" s="93">
        <v>1</v>
      </c>
      <c r="AH343" s="93">
        <v>1</v>
      </c>
      <c r="AI343" s="16">
        <v>1</v>
      </c>
      <c r="AJ343" s="16" t="s">
        <v>660</v>
      </c>
      <c r="AK343" s="16" t="s">
        <v>745</v>
      </c>
      <c r="AL343" s="16"/>
      <c r="AM343" s="60"/>
      <c r="AN343" s="60"/>
      <c r="AO343" s="60"/>
      <c r="AP343" s="60"/>
      <c r="AQ343" s="60"/>
      <c r="AR343" s="60"/>
      <c r="AS343" s="63"/>
      <c r="AT343" s="63"/>
      <c r="AU343" s="63"/>
      <c r="AV343" s="131"/>
      <c r="AW343" s="131"/>
      <c r="AX343" s="131"/>
      <c r="AY343" s="27" t="s">
        <v>662</v>
      </c>
      <c r="AZ343" s="27"/>
      <c r="BA343" s="27"/>
      <c r="BB343" s="30"/>
      <c r="BC343" s="30"/>
      <c r="BD343" s="30"/>
      <c r="BE343" s="30"/>
      <c r="BF343" s="30"/>
      <c r="BG343" s="30"/>
      <c r="BH343" s="107"/>
      <c r="BI343" s="107"/>
      <c r="BJ343" s="107"/>
      <c r="BK343" s="107"/>
      <c r="BL343" s="136"/>
      <c r="BM343" s="122"/>
      <c r="BN343" s="138"/>
      <c r="BO343" s="93"/>
      <c r="BP343" s="93"/>
      <c r="BQ343" s="93"/>
      <c r="BR343" s="93"/>
      <c r="BS343" s="93"/>
      <c r="BT343" s="93"/>
      <c r="BU343" s="27">
        <f t="shared" ref="BU343:BU414" si="289">IF(BL343=1,BN343,0)</f>
        <v>0</v>
      </c>
      <c r="BV343" s="27"/>
      <c r="BW343" s="27"/>
      <c r="BX343" s="27"/>
      <c r="BY343" s="27"/>
      <c r="BZ343" s="27"/>
      <c r="CA343" s="27"/>
      <c r="CB343" s="185">
        <v>1000</v>
      </c>
      <c r="CC343" s="185">
        <v>1000</v>
      </c>
      <c r="CD343" s="185">
        <v>1000</v>
      </c>
      <c r="CE343" s="185">
        <v>1000</v>
      </c>
      <c r="CF343" s="185">
        <v>1000</v>
      </c>
      <c r="CG343" s="185">
        <v>1000</v>
      </c>
      <c r="CH343" s="185">
        <v>1000</v>
      </c>
      <c r="CI343" s="173"/>
      <c r="CJ343" s="173"/>
      <c r="CK343" s="173"/>
      <c r="CL343" s="173"/>
      <c r="CM343" s="173"/>
      <c r="CN343" s="173"/>
      <c r="CO343" s="173"/>
      <c r="CP343" s="174"/>
      <c r="CQ343" s="174"/>
      <c r="CR343" s="174"/>
      <c r="CS343" s="174"/>
      <c r="CT343" s="174"/>
      <c r="CU343" s="174"/>
      <c r="CV343" s="174"/>
      <c r="CW343" s="165"/>
      <c r="CX343" s="166"/>
      <c r="CY343" s="166"/>
      <c r="CZ343" s="166"/>
      <c r="DA343" s="166"/>
      <c r="DB343" s="166"/>
      <c r="DC343" s="166"/>
      <c r="DD343" s="171"/>
      <c r="DE343" s="171"/>
      <c r="DF343" s="171"/>
      <c r="DG343" s="171"/>
      <c r="DH343" s="171"/>
      <c r="DI343" s="171"/>
      <c r="DJ343" s="171"/>
      <c r="DK343" s="79" t="s">
        <v>415</v>
      </c>
      <c r="DL343" s="128">
        <v>2300</v>
      </c>
      <c r="DM343" s="128">
        <v>2300</v>
      </c>
      <c r="DN343" s="128">
        <v>2300</v>
      </c>
      <c r="DO343" s="128">
        <v>2300</v>
      </c>
      <c r="DP343" s="128">
        <v>2300</v>
      </c>
      <c r="DQ343" s="128">
        <v>2300</v>
      </c>
      <c r="DR343" s="128">
        <v>2300</v>
      </c>
      <c r="DS343" s="218"/>
      <c r="DT343" s="360"/>
      <c r="DU343" s="360"/>
      <c r="DV343" s="360"/>
      <c r="DW343" s="360"/>
      <c r="DX343" s="360"/>
      <c r="DY343" s="360"/>
      <c r="DZ343" s="360"/>
      <c r="EA343" s="360"/>
      <c r="EB343" s="360"/>
      <c r="EC343" s="360"/>
      <c r="ED343" s="360"/>
      <c r="EE343" s="360"/>
      <c r="EF343" s="360"/>
      <c r="EG343" s="360"/>
      <c r="EH343" s="360"/>
      <c r="EI343" s="360"/>
      <c r="EJ343" s="360"/>
      <c r="EK343" s="360"/>
      <c r="EL343" s="360"/>
      <c r="EM343" s="360"/>
      <c r="EN343" s="360"/>
      <c r="EO343" s="360"/>
      <c r="EP343" s="360"/>
      <c r="EQ343" s="360"/>
    </row>
    <row r="344" spans="1:147" x14ac:dyDescent="0.35">
      <c r="A344" s="225" t="s">
        <v>1489</v>
      </c>
      <c r="B344" s="225" t="s">
        <v>740</v>
      </c>
      <c r="C344" s="225" t="s">
        <v>817</v>
      </c>
      <c r="D344" s="225" t="s">
        <v>1469</v>
      </c>
      <c r="E344" s="225" t="s">
        <v>1470</v>
      </c>
      <c r="F344" s="225" t="s">
        <v>474</v>
      </c>
      <c r="G344" s="229" t="s">
        <v>1490</v>
      </c>
      <c r="H344" s="226" t="s">
        <v>659</v>
      </c>
      <c r="I344" s="102">
        <v>0</v>
      </c>
      <c r="J344" s="102">
        <v>0</v>
      </c>
      <c r="K344" s="102">
        <v>0</v>
      </c>
      <c r="L344" s="102">
        <v>0</v>
      </c>
      <c r="M344" s="102">
        <v>0</v>
      </c>
      <c r="N344" s="102">
        <v>0</v>
      </c>
      <c r="O344" s="102">
        <v>0</v>
      </c>
      <c r="P344" s="94">
        <v>0</v>
      </c>
      <c r="Q344" s="102">
        <v>0</v>
      </c>
      <c r="R344" s="102">
        <v>0</v>
      </c>
      <c r="S344" s="102">
        <v>0</v>
      </c>
      <c r="T344" s="102">
        <v>0</v>
      </c>
      <c r="U344" s="102">
        <v>0</v>
      </c>
      <c r="V344" s="102">
        <v>0</v>
      </c>
      <c r="W344" s="102">
        <v>0</v>
      </c>
      <c r="X344" s="101">
        <v>27.795977605943776</v>
      </c>
      <c r="Y344" s="101">
        <v>25.806986097902616</v>
      </c>
      <c r="Z344" s="101">
        <v>23.825123662237516</v>
      </c>
      <c r="AA344" s="101">
        <v>23.825123662237516</v>
      </c>
      <c r="AB344" s="101">
        <v>17.868842746678137</v>
      </c>
      <c r="AC344" s="101">
        <v>17.166844964758663</v>
      </c>
      <c r="AD344" s="101">
        <v>16.450680623925905</v>
      </c>
      <c r="AE344" s="186">
        <v>0.08</v>
      </c>
      <c r="AF344" s="94">
        <v>0</v>
      </c>
      <c r="AG344" s="94">
        <v>1</v>
      </c>
      <c r="AH344" s="94">
        <v>1</v>
      </c>
      <c r="AI344" s="17">
        <v>1</v>
      </c>
      <c r="AJ344" s="17" t="s">
        <v>660</v>
      </c>
      <c r="AK344" s="17" t="s">
        <v>745</v>
      </c>
      <c r="AL344" s="17"/>
      <c r="AM344" s="61"/>
      <c r="AN344" s="61"/>
      <c r="AO344" s="61"/>
      <c r="AP344" s="61"/>
      <c r="AQ344" s="61"/>
      <c r="AR344" s="61"/>
      <c r="AS344" s="64"/>
      <c r="AT344" s="64"/>
      <c r="AU344" s="64"/>
      <c r="AV344" s="132"/>
      <c r="AW344" s="132"/>
      <c r="AX344" s="132"/>
      <c r="AY344" s="28" t="s">
        <v>662</v>
      </c>
      <c r="AZ344" s="28"/>
      <c r="BA344" s="28"/>
      <c r="BB344" s="28"/>
      <c r="BC344" s="28"/>
      <c r="BD344" s="28"/>
      <c r="BE344" s="28"/>
      <c r="BF344" s="28"/>
      <c r="BG344" s="28"/>
      <c r="BH344" s="106"/>
      <c r="BI344" s="106"/>
      <c r="BJ344" s="106"/>
      <c r="BK344" s="106"/>
      <c r="BL344" s="137"/>
      <c r="BM344" s="123"/>
      <c r="BN344" s="139"/>
      <c r="BO344" s="94"/>
      <c r="BP344" s="94"/>
      <c r="BQ344" s="94"/>
      <c r="BR344" s="94"/>
      <c r="BS344" s="94"/>
      <c r="BT344" s="94"/>
      <c r="BU344" s="28">
        <f t="shared" si="289"/>
        <v>0</v>
      </c>
      <c r="BV344" s="28"/>
      <c r="BW344" s="28"/>
      <c r="BX344" s="28"/>
      <c r="BY344" s="28"/>
      <c r="BZ344" s="28"/>
      <c r="CA344" s="28"/>
      <c r="CB344" s="99">
        <v>2000</v>
      </c>
      <c r="CC344" s="99">
        <v>1000</v>
      </c>
      <c r="CD344" s="185">
        <v>1000</v>
      </c>
      <c r="CE344" s="185">
        <v>1000</v>
      </c>
      <c r="CF344" s="185">
        <v>1000</v>
      </c>
      <c r="CG344" s="185">
        <v>1000</v>
      </c>
      <c r="CH344" s="185">
        <v>1000</v>
      </c>
      <c r="CI344" s="175"/>
      <c r="CJ344" s="175"/>
      <c r="CK344" s="175"/>
      <c r="CL344" s="175"/>
      <c r="CM344" s="175"/>
      <c r="CN344" s="175"/>
      <c r="CO344" s="175"/>
      <c r="CP344" s="176"/>
      <c r="CQ344" s="176"/>
      <c r="CR344" s="176"/>
      <c r="CS344" s="176"/>
      <c r="CT344" s="176"/>
      <c r="CU344" s="176"/>
      <c r="CV344" s="176"/>
      <c r="CW344" s="167"/>
      <c r="CX344" s="168"/>
      <c r="CY344" s="168"/>
      <c r="CZ344" s="168"/>
      <c r="DA344" s="168"/>
      <c r="DB344" s="168"/>
      <c r="DC344" s="168"/>
      <c r="DD344" s="172"/>
      <c r="DE344" s="172"/>
      <c r="DF344" s="172"/>
      <c r="DG344" s="172"/>
      <c r="DH344" s="172"/>
      <c r="DI344" s="172"/>
      <c r="DJ344" s="172"/>
      <c r="DK344" s="80" t="s">
        <v>415</v>
      </c>
      <c r="DL344" s="129">
        <v>1000</v>
      </c>
      <c r="DM344" s="129">
        <v>1000</v>
      </c>
      <c r="DN344" s="129">
        <v>1000</v>
      </c>
      <c r="DO344" s="129">
        <v>1000</v>
      </c>
      <c r="DP344" s="129">
        <v>1000</v>
      </c>
      <c r="DQ344" s="129">
        <v>1000</v>
      </c>
      <c r="DR344" s="129">
        <v>1000</v>
      </c>
      <c r="DS344" s="218"/>
      <c r="DT344" s="360"/>
      <c r="DU344" s="360"/>
      <c r="DV344" s="360"/>
      <c r="DW344" s="360"/>
      <c r="DX344" s="360"/>
      <c r="DY344" s="360"/>
      <c r="DZ344" s="360"/>
      <c r="EA344" s="360"/>
      <c r="EB344" s="360"/>
      <c r="EC344" s="360"/>
      <c r="ED344" s="360"/>
      <c r="EE344" s="360"/>
      <c r="EF344" s="360"/>
      <c r="EG344" s="360"/>
      <c r="EH344" s="360"/>
      <c r="EI344" s="360"/>
      <c r="EJ344" s="360"/>
      <c r="EK344" s="360"/>
      <c r="EL344" s="360"/>
      <c r="EM344" s="360"/>
      <c r="EN344" s="360"/>
      <c r="EO344" s="360"/>
      <c r="EP344" s="360"/>
      <c r="EQ344" s="360"/>
    </row>
    <row r="345" spans="1:147" x14ac:dyDescent="0.35">
      <c r="A345" s="223" t="s">
        <v>1491</v>
      </c>
      <c r="B345" s="223" t="s">
        <v>740</v>
      </c>
      <c r="C345" s="223" t="s">
        <v>817</v>
      </c>
      <c r="D345" s="223" t="s">
        <v>1469</v>
      </c>
      <c r="E345" s="223" t="s">
        <v>1470</v>
      </c>
      <c r="F345" s="223" t="s">
        <v>475</v>
      </c>
      <c r="G345" s="229" t="s">
        <v>1492</v>
      </c>
      <c r="H345" s="224" t="s">
        <v>659</v>
      </c>
      <c r="I345" s="101">
        <v>0</v>
      </c>
      <c r="J345" s="101">
        <v>0</v>
      </c>
      <c r="K345" s="101">
        <v>0</v>
      </c>
      <c r="L345" s="101">
        <v>0</v>
      </c>
      <c r="M345" s="101">
        <v>0</v>
      </c>
      <c r="N345" s="101">
        <v>0</v>
      </c>
      <c r="O345" s="101">
        <v>0</v>
      </c>
      <c r="P345" s="93">
        <v>0</v>
      </c>
      <c r="Q345" s="101">
        <v>0</v>
      </c>
      <c r="R345" s="101">
        <v>0</v>
      </c>
      <c r="S345" s="101">
        <v>0</v>
      </c>
      <c r="T345" s="101">
        <v>0</v>
      </c>
      <c r="U345" s="101">
        <v>0</v>
      </c>
      <c r="V345" s="101">
        <v>0</v>
      </c>
      <c r="W345" s="101">
        <v>0</v>
      </c>
      <c r="X345" s="101">
        <v>16.130884549869052</v>
      </c>
      <c r="Y345" s="101">
        <v>14.976609897553132</v>
      </c>
      <c r="Z345" s="101">
        <v>13.826472471316325</v>
      </c>
      <c r="AA345" s="101">
        <v>13.826472471316325</v>
      </c>
      <c r="AB345" s="101">
        <v>10.369854353487245</v>
      </c>
      <c r="AC345" s="101">
        <v>9.9624628476031081</v>
      </c>
      <c r="AD345" s="101">
        <v>9.5468500397184179</v>
      </c>
      <c r="AE345" s="186">
        <v>0.08</v>
      </c>
      <c r="AF345" s="93">
        <v>0</v>
      </c>
      <c r="AG345" s="93">
        <v>1</v>
      </c>
      <c r="AH345" s="93">
        <v>1</v>
      </c>
      <c r="AI345" s="16">
        <v>1</v>
      </c>
      <c r="AJ345" s="16" t="s">
        <v>660</v>
      </c>
      <c r="AK345" s="16" t="s">
        <v>745</v>
      </c>
      <c r="AL345" s="16"/>
      <c r="AM345" s="60"/>
      <c r="AN345" s="60"/>
      <c r="AO345" s="60"/>
      <c r="AP345" s="60"/>
      <c r="AQ345" s="60"/>
      <c r="AR345" s="60"/>
      <c r="AS345" s="63"/>
      <c r="AT345" s="63"/>
      <c r="AU345" s="63"/>
      <c r="AV345" s="131"/>
      <c r="AW345" s="131"/>
      <c r="AX345" s="131"/>
      <c r="AY345" s="27" t="s">
        <v>662</v>
      </c>
      <c r="AZ345" s="27"/>
      <c r="BA345" s="27"/>
      <c r="BB345" s="30"/>
      <c r="BC345" s="30"/>
      <c r="BD345" s="30"/>
      <c r="BE345" s="30"/>
      <c r="BF345" s="30"/>
      <c r="BG345" s="30"/>
      <c r="BH345" s="107"/>
      <c r="BI345" s="107"/>
      <c r="BJ345" s="107"/>
      <c r="BK345" s="107"/>
      <c r="BL345" s="136"/>
      <c r="BM345" s="122"/>
      <c r="BN345" s="138"/>
      <c r="BO345" s="93"/>
      <c r="BP345" s="93"/>
      <c r="BQ345" s="93"/>
      <c r="BR345" s="93"/>
      <c r="BS345" s="93"/>
      <c r="BT345" s="93"/>
      <c r="BU345" s="27">
        <f t="shared" si="289"/>
        <v>0</v>
      </c>
      <c r="BV345" s="27"/>
      <c r="BW345" s="27"/>
      <c r="BX345" s="27"/>
      <c r="BY345" s="27"/>
      <c r="BZ345" s="27"/>
      <c r="CA345" s="27"/>
      <c r="CB345" s="185">
        <v>2000</v>
      </c>
      <c r="CC345" s="185">
        <v>2000</v>
      </c>
      <c r="CD345" s="185">
        <v>2000</v>
      </c>
      <c r="CE345" s="185">
        <v>2000</v>
      </c>
      <c r="CF345" s="185">
        <v>2000</v>
      </c>
      <c r="CG345" s="185">
        <v>2000</v>
      </c>
      <c r="CH345" s="185">
        <v>2000</v>
      </c>
      <c r="CI345" s="173"/>
      <c r="CJ345" s="173"/>
      <c r="CK345" s="173"/>
      <c r="CL345" s="173"/>
      <c r="CM345" s="173"/>
      <c r="CN345" s="173"/>
      <c r="CO345" s="173"/>
      <c r="CP345" s="174"/>
      <c r="CQ345" s="174"/>
      <c r="CR345" s="174"/>
      <c r="CS345" s="174"/>
      <c r="CT345" s="174"/>
      <c r="CU345" s="174"/>
      <c r="CV345" s="174"/>
      <c r="CW345" s="165"/>
      <c r="CX345" s="166"/>
      <c r="CY345" s="166"/>
      <c r="CZ345" s="166"/>
      <c r="DA345" s="166"/>
      <c r="DB345" s="166"/>
      <c r="DC345" s="166"/>
      <c r="DD345" s="171"/>
      <c r="DE345" s="171"/>
      <c r="DF345" s="171"/>
      <c r="DG345" s="171"/>
      <c r="DH345" s="171"/>
      <c r="DI345" s="171"/>
      <c r="DJ345" s="171"/>
      <c r="DK345" s="79" t="s">
        <v>415</v>
      </c>
      <c r="DL345" s="128">
        <v>2000</v>
      </c>
      <c r="DM345" s="128">
        <v>2000</v>
      </c>
      <c r="DN345" s="128">
        <v>2000</v>
      </c>
      <c r="DO345" s="128">
        <v>2000</v>
      </c>
      <c r="DP345" s="128">
        <v>2000</v>
      </c>
      <c r="DQ345" s="128">
        <v>2000</v>
      </c>
      <c r="DR345" s="128">
        <v>2000</v>
      </c>
      <c r="DS345" s="218"/>
      <c r="DT345" s="360"/>
      <c r="DU345" s="360"/>
      <c r="DV345" s="360"/>
      <c r="DW345" s="360"/>
      <c r="DX345" s="360"/>
      <c r="DY345" s="360"/>
      <c r="DZ345" s="360"/>
      <c r="EA345" s="360"/>
      <c r="EB345" s="360"/>
      <c r="EC345" s="360"/>
      <c r="ED345" s="360"/>
      <c r="EE345" s="360"/>
      <c r="EF345" s="360"/>
      <c r="EG345" s="360"/>
      <c r="EH345" s="360"/>
      <c r="EI345" s="360"/>
      <c r="EJ345" s="360"/>
      <c r="EK345" s="360"/>
      <c r="EL345" s="360"/>
      <c r="EM345" s="360"/>
      <c r="EN345" s="360"/>
      <c r="EO345" s="360"/>
      <c r="EP345" s="360"/>
      <c r="EQ345" s="360"/>
    </row>
    <row r="346" spans="1:147" x14ac:dyDescent="0.35">
      <c r="A346" s="225" t="s">
        <v>1493</v>
      </c>
      <c r="B346" s="225" t="s">
        <v>740</v>
      </c>
      <c r="C346" s="225" t="s">
        <v>817</v>
      </c>
      <c r="D346" s="225" t="s">
        <v>1469</v>
      </c>
      <c r="E346" s="225" t="s">
        <v>1470</v>
      </c>
      <c r="F346" s="225" t="s">
        <v>476</v>
      </c>
      <c r="G346" s="229" t="s">
        <v>1494</v>
      </c>
      <c r="H346" s="226" t="s">
        <v>659</v>
      </c>
      <c r="I346" s="102">
        <v>0</v>
      </c>
      <c r="J346" s="102">
        <v>0</v>
      </c>
      <c r="K346" s="102">
        <v>0</v>
      </c>
      <c r="L346" s="102">
        <v>0</v>
      </c>
      <c r="M346" s="102">
        <v>0</v>
      </c>
      <c r="N346" s="102">
        <v>0</v>
      </c>
      <c r="O346" s="102">
        <v>0</v>
      </c>
      <c r="P346" s="94">
        <v>0</v>
      </c>
      <c r="Q346" s="102">
        <v>0</v>
      </c>
      <c r="R346" s="102">
        <v>0</v>
      </c>
      <c r="S346" s="102">
        <v>0</v>
      </c>
      <c r="T346" s="102">
        <v>0</v>
      </c>
      <c r="U346" s="102">
        <v>0</v>
      </c>
      <c r="V346" s="102">
        <v>0</v>
      </c>
      <c r="W346" s="102">
        <v>0</v>
      </c>
      <c r="X346" s="101">
        <v>16.130884549869052</v>
      </c>
      <c r="Y346" s="101">
        <v>14.976609897553132</v>
      </c>
      <c r="Z346" s="101">
        <v>13.826472471316325</v>
      </c>
      <c r="AA346" s="101">
        <v>13.826472471316325</v>
      </c>
      <c r="AB346" s="101">
        <v>10.369854353487245</v>
      </c>
      <c r="AC346" s="101">
        <v>9.9624628476031081</v>
      </c>
      <c r="AD346" s="101">
        <v>9.5468500397184179</v>
      </c>
      <c r="AE346" s="186">
        <v>0.08</v>
      </c>
      <c r="AF346" s="94">
        <v>0</v>
      </c>
      <c r="AG346" s="94">
        <v>1</v>
      </c>
      <c r="AH346" s="94">
        <v>1</v>
      </c>
      <c r="AI346" s="17">
        <v>1</v>
      </c>
      <c r="AJ346" s="17" t="s">
        <v>660</v>
      </c>
      <c r="AK346" s="17" t="s">
        <v>745</v>
      </c>
      <c r="AL346" s="17"/>
      <c r="AM346" s="61"/>
      <c r="AN346" s="61"/>
      <c r="AO346" s="61"/>
      <c r="AP346" s="61"/>
      <c r="AQ346" s="61"/>
      <c r="AR346" s="61"/>
      <c r="AS346" s="64"/>
      <c r="AT346" s="64"/>
      <c r="AU346" s="64"/>
      <c r="AV346" s="132"/>
      <c r="AW346" s="132"/>
      <c r="AX346" s="132"/>
      <c r="AY346" s="28" t="s">
        <v>662</v>
      </c>
      <c r="AZ346" s="28"/>
      <c r="BA346" s="28"/>
      <c r="BB346" s="28"/>
      <c r="BC346" s="28"/>
      <c r="BD346" s="28"/>
      <c r="BE346" s="28"/>
      <c r="BF346" s="28"/>
      <c r="BG346" s="28"/>
      <c r="BH346" s="106"/>
      <c r="BI346" s="106"/>
      <c r="BJ346" s="106"/>
      <c r="BK346" s="106"/>
      <c r="BL346" s="137"/>
      <c r="BM346" s="123"/>
      <c r="BN346" s="139"/>
      <c r="BO346" s="94"/>
      <c r="BP346" s="94"/>
      <c r="BQ346" s="94"/>
      <c r="BR346" s="94"/>
      <c r="BS346" s="94"/>
      <c r="BT346" s="94"/>
      <c r="BU346" s="28">
        <f t="shared" si="289"/>
        <v>0</v>
      </c>
      <c r="BV346" s="28"/>
      <c r="BW346" s="28"/>
      <c r="BX346" s="28"/>
      <c r="BY346" s="28"/>
      <c r="BZ346" s="28"/>
      <c r="CA346" s="28"/>
      <c r="CB346" s="185">
        <v>500</v>
      </c>
      <c r="CC346" s="185">
        <v>500</v>
      </c>
      <c r="CD346" s="185">
        <v>500</v>
      </c>
      <c r="CE346" s="185">
        <v>500</v>
      </c>
      <c r="CF346" s="185">
        <v>500</v>
      </c>
      <c r="CG346" s="185">
        <v>500</v>
      </c>
      <c r="CH346" s="185">
        <v>500</v>
      </c>
      <c r="CI346" s="175"/>
      <c r="CJ346" s="175"/>
      <c r="CK346" s="175"/>
      <c r="CL346" s="175"/>
      <c r="CM346" s="175"/>
      <c r="CN346" s="175"/>
      <c r="CO346" s="175"/>
      <c r="CP346" s="176"/>
      <c r="CQ346" s="176"/>
      <c r="CR346" s="176"/>
      <c r="CS346" s="176"/>
      <c r="CT346" s="176"/>
      <c r="CU346" s="176"/>
      <c r="CV346" s="176"/>
      <c r="CW346" s="167"/>
      <c r="CX346" s="168"/>
      <c r="CY346" s="168"/>
      <c r="CZ346" s="168"/>
      <c r="DA346" s="168"/>
      <c r="DB346" s="168"/>
      <c r="DC346" s="168"/>
      <c r="DD346" s="172"/>
      <c r="DE346" s="172"/>
      <c r="DF346" s="172"/>
      <c r="DG346" s="172"/>
      <c r="DH346" s="172"/>
      <c r="DI346" s="172"/>
      <c r="DJ346" s="172"/>
      <c r="DK346" s="80" t="s">
        <v>415</v>
      </c>
      <c r="DL346" s="129">
        <v>2000</v>
      </c>
      <c r="DM346" s="129">
        <v>2000</v>
      </c>
      <c r="DN346" s="129">
        <v>2000</v>
      </c>
      <c r="DO346" s="129">
        <v>2000</v>
      </c>
      <c r="DP346" s="129">
        <v>2000</v>
      </c>
      <c r="DQ346" s="129">
        <v>2000</v>
      </c>
      <c r="DR346" s="129">
        <v>2000</v>
      </c>
      <c r="DS346" s="218"/>
      <c r="DT346" s="360"/>
      <c r="DU346" s="360"/>
      <c r="DV346" s="360"/>
      <c r="DW346" s="360"/>
      <c r="DX346" s="360"/>
      <c r="DY346" s="360"/>
      <c r="DZ346" s="360"/>
      <c r="EA346" s="360"/>
      <c r="EB346" s="360"/>
      <c r="EC346" s="360"/>
      <c r="ED346" s="360"/>
      <c r="EE346" s="360"/>
      <c r="EF346" s="360"/>
      <c r="EG346" s="360"/>
      <c r="EH346" s="360"/>
      <c r="EI346" s="360"/>
      <c r="EJ346" s="360"/>
      <c r="EK346" s="360"/>
      <c r="EL346" s="360"/>
      <c r="EM346" s="360"/>
      <c r="EN346" s="360"/>
      <c r="EO346" s="360"/>
      <c r="EP346" s="360"/>
      <c r="EQ346" s="360"/>
    </row>
    <row r="347" spans="1:147" x14ac:dyDescent="0.35">
      <c r="A347" s="223" t="s">
        <v>1495</v>
      </c>
      <c r="B347" s="223" t="s">
        <v>740</v>
      </c>
      <c r="C347" s="223" t="s">
        <v>817</v>
      </c>
      <c r="D347" s="223" t="s">
        <v>1496</v>
      </c>
      <c r="E347" s="223" t="s">
        <v>1497</v>
      </c>
      <c r="F347" s="223" t="s">
        <v>477</v>
      </c>
      <c r="G347" s="229" t="s">
        <v>1498</v>
      </c>
      <c r="H347" s="47" t="s">
        <v>659</v>
      </c>
      <c r="I347" s="101">
        <v>0</v>
      </c>
      <c r="J347" s="101">
        <v>0</v>
      </c>
      <c r="K347" s="101">
        <v>0</v>
      </c>
      <c r="L347" s="101">
        <v>0</v>
      </c>
      <c r="M347" s="101">
        <v>0</v>
      </c>
      <c r="N347" s="101">
        <v>0</v>
      </c>
      <c r="O347" s="101">
        <v>0</v>
      </c>
      <c r="P347" s="93">
        <v>0</v>
      </c>
      <c r="Q347" s="101">
        <v>0</v>
      </c>
      <c r="R347" s="101">
        <v>0</v>
      </c>
      <c r="S347" s="101">
        <v>0</v>
      </c>
      <c r="T347" s="101">
        <v>0</v>
      </c>
      <c r="U347" s="101">
        <v>0</v>
      </c>
      <c r="V347" s="101">
        <v>0</v>
      </c>
      <c r="W347" s="101">
        <v>0</v>
      </c>
      <c r="X347" s="101">
        <v>30.417146787220393</v>
      </c>
      <c r="Y347" s="101">
        <v>29.113554782053804</v>
      </c>
      <c r="Z347" s="101">
        <v>26.940901440109492</v>
      </c>
      <c r="AA347" s="101">
        <v>24.768248098165177</v>
      </c>
      <c r="AB347" s="101">
        <v>22.595594756220866</v>
      </c>
      <c r="AC347" s="101">
        <v>20.422941414276554</v>
      </c>
      <c r="AD347" s="101">
        <v>18.250288072332236</v>
      </c>
      <c r="AE347" s="186">
        <v>0.08</v>
      </c>
      <c r="AF347" s="93">
        <v>0</v>
      </c>
      <c r="AG347" s="93">
        <v>1</v>
      </c>
      <c r="AH347" s="93">
        <v>1</v>
      </c>
      <c r="AI347" s="16">
        <v>1</v>
      </c>
      <c r="AJ347" s="16" t="s">
        <v>660</v>
      </c>
      <c r="AK347" s="16" t="s">
        <v>745</v>
      </c>
      <c r="AL347" s="16"/>
      <c r="AM347" s="60"/>
      <c r="AN347" s="60"/>
      <c r="AO347" s="60"/>
      <c r="AP347" s="60"/>
      <c r="AQ347" s="60"/>
      <c r="AR347" s="60"/>
      <c r="AS347" s="63"/>
      <c r="AT347" s="63"/>
      <c r="AU347" s="63"/>
      <c r="AV347" s="131"/>
      <c r="AW347" s="131"/>
      <c r="AX347" s="131"/>
      <c r="AY347" s="27" t="s">
        <v>662</v>
      </c>
      <c r="AZ347" s="27"/>
      <c r="BA347" s="27"/>
      <c r="BB347" s="30"/>
      <c r="BC347" s="30"/>
      <c r="BD347" s="30"/>
      <c r="BE347" s="30"/>
      <c r="BF347" s="30"/>
      <c r="BG347" s="30"/>
      <c r="BH347" s="107"/>
      <c r="BI347" s="107"/>
      <c r="BJ347" s="107"/>
      <c r="BK347" s="107"/>
      <c r="BL347" s="136"/>
      <c r="BM347" s="122"/>
      <c r="BN347" s="138"/>
      <c r="BO347" s="93"/>
      <c r="BP347" s="93"/>
      <c r="BQ347" s="93"/>
      <c r="BR347" s="93"/>
      <c r="BS347" s="93"/>
      <c r="BT347" s="93"/>
      <c r="BU347" s="27">
        <f t="shared" ref="BU347" si="290">IF(BL347=1,BN347,0)</f>
        <v>0</v>
      </c>
      <c r="BV347" s="27"/>
      <c r="BW347" s="27"/>
      <c r="BX347" s="27"/>
      <c r="BY347" s="27"/>
      <c r="BZ347" s="27"/>
      <c r="CA347" s="27"/>
      <c r="CB347" s="244">
        <v>0</v>
      </c>
      <c r="CC347" s="244">
        <v>0</v>
      </c>
      <c r="CD347" s="244">
        <v>0</v>
      </c>
      <c r="CE347" s="244">
        <v>0</v>
      </c>
      <c r="CF347" s="244">
        <v>0</v>
      </c>
      <c r="CG347" s="244">
        <v>0</v>
      </c>
      <c r="CH347" s="244">
        <v>0</v>
      </c>
      <c r="CI347" s="173"/>
      <c r="CJ347" s="173"/>
      <c r="CK347" s="173"/>
      <c r="CL347" s="173"/>
      <c r="CM347" s="173"/>
      <c r="CN347" s="173"/>
      <c r="CO347" s="173"/>
      <c r="CP347" s="174"/>
      <c r="CQ347" s="174"/>
      <c r="CR347" s="174"/>
      <c r="CS347" s="174"/>
      <c r="CT347" s="174"/>
      <c r="CU347" s="174"/>
      <c r="CV347" s="174"/>
      <c r="CW347" s="165"/>
      <c r="CX347" s="166"/>
      <c r="CY347" s="166"/>
      <c r="CZ347" s="166"/>
      <c r="DA347" s="166"/>
      <c r="DB347" s="166"/>
      <c r="DC347" s="166"/>
      <c r="DD347" s="171"/>
      <c r="DE347" s="171"/>
      <c r="DF347" s="171"/>
      <c r="DG347" s="171"/>
      <c r="DH347" s="171"/>
      <c r="DI347" s="171"/>
      <c r="DJ347" s="171"/>
      <c r="DK347" s="79" t="s">
        <v>415</v>
      </c>
      <c r="DL347" s="128">
        <v>200</v>
      </c>
      <c r="DM347" s="128">
        <v>200</v>
      </c>
      <c r="DN347" s="128">
        <v>200</v>
      </c>
      <c r="DO347" s="128">
        <v>200</v>
      </c>
      <c r="DP347" s="128">
        <v>200</v>
      </c>
      <c r="DQ347" s="128">
        <v>200</v>
      </c>
      <c r="DR347" s="128">
        <v>200</v>
      </c>
      <c r="DS347" s="218"/>
      <c r="DT347" s="360"/>
      <c r="DU347" s="360"/>
      <c r="DV347" s="360"/>
      <c r="DW347" s="360"/>
      <c r="DX347" s="360"/>
      <c r="DY347" s="360"/>
      <c r="DZ347" s="360"/>
      <c r="EA347" s="360"/>
      <c r="EB347" s="360"/>
      <c r="EC347" s="360"/>
      <c r="ED347" s="360"/>
      <c r="EE347" s="360"/>
      <c r="EF347" s="360"/>
      <c r="EG347" s="360"/>
      <c r="EH347" s="360"/>
      <c r="EI347" s="360"/>
      <c r="EJ347" s="360"/>
      <c r="EK347" s="360"/>
      <c r="EL347" s="360"/>
      <c r="EM347" s="360"/>
      <c r="EN347" s="360"/>
      <c r="EO347" s="360"/>
      <c r="EP347" s="360"/>
      <c r="EQ347" s="360"/>
    </row>
    <row r="348" spans="1:147" x14ac:dyDescent="0.35">
      <c r="A348" s="6" t="s">
        <v>1499</v>
      </c>
      <c r="B348" s="6" t="s">
        <v>740</v>
      </c>
      <c r="C348" s="6" t="s">
        <v>788</v>
      </c>
      <c r="D348" s="6" t="s">
        <v>1213</v>
      </c>
      <c r="E348" s="6" t="s">
        <v>1500</v>
      </c>
      <c r="F348" s="6" t="s">
        <v>479</v>
      </c>
      <c r="G348" s="48" t="s">
        <v>1501</v>
      </c>
      <c r="H348" s="48" t="s">
        <v>659</v>
      </c>
      <c r="I348" s="102">
        <v>32.049999999999997</v>
      </c>
      <c r="J348" s="102">
        <v>32.049999999999997</v>
      </c>
      <c r="K348" s="102">
        <v>32.049999999999997</v>
      </c>
      <c r="L348" s="102">
        <v>32.049999999999997</v>
      </c>
      <c r="M348" s="102">
        <v>32.049999999999997</v>
      </c>
      <c r="N348" s="102">
        <v>32.049999999999997</v>
      </c>
      <c r="O348" s="102">
        <v>32.049999999999997</v>
      </c>
      <c r="P348" s="94">
        <v>0</v>
      </c>
      <c r="Q348" s="102">
        <v>3.94</v>
      </c>
      <c r="R348" s="102">
        <v>3.94</v>
      </c>
      <c r="S348" s="102">
        <v>3.94</v>
      </c>
      <c r="T348" s="102">
        <v>3.94</v>
      </c>
      <c r="U348" s="102">
        <v>3.94</v>
      </c>
      <c r="V348" s="102">
        <v>3.94</v>
      </c>
      <c r="W348" s="102">
        <v>3.94</v>
      </c>
      <c r="X348" s="102">
        <v>39.487493296149303</v>
      </c>
      <c r="Y348" s="102">
        <v>39.487493296149303</v>
      </c>
      <c r="Z348" s="102">
        <v>39.487493296149303</v>
      </c>
      <c r="AA348" s="102">
        <v>63.83</v>
      </c>
      <c r="AB348" s="102">
        <v>88.18</v>
      </c>
      <c r="AC348" s="102">
        <v>112.53</v>
      </c>
      <c r="AD348" s="102">
        <v>136.88230183417355</v>
      </c>
      <c r="AE348" s="186">
        <v>0.08</v>
      </c>
      <c r="AF348" s="94">
        <v>0</v>
      </c>
      <c r="AG348" s="94">
        <v>30</v>
      </c>
      <c r="AH348" s="94">
        <v>30</v>
      </c>
      <c r="AI348" s="17">
        <v>1</v>
      </c>
      <c r="AJ348" s="17" t="s">
        <v>660</v>
      </c>
      <c r="AK348" s="17" t="s">
        <v>745</v>
      </c>
      <c r="AL348" s="17"/>
      <c r="AM348" s="61"/>
      <c r="AN348" s="61"/>
      <c r="AO348" s="61"/>
      <c r="AP348" s="61"/>
      <c r="AQ348" s="61"/>
      <c r="AR348" s="61"/>
      <c r="AS348" s="64"/>
      <c r="AT348" s="64"/>
      <c r="AU348" s="64"/>
      <c r="AV348" s="132"/>
      <c r="AW348" s="132"/>
      <c r="AX348" s="132"/>
      <c r="AY348" s="28" t="s">
        <v>662</v>
      </c>
      <c r="AZ348" s="28"/>
      <c r="BA348" s="28"/>
      <c r="BB348" s="28"/>
      <c r="BC348" s="28"/>
      <c r="BD348" s="28"/>
      <c r="BE348" s="28"/>
      <c r="BF348" s="28"/>
      <c r="BG348" s="28"/>
      <c r="BH348" s="106"/>
      <c r="BI348" s="106"/>
      <c r="BJ348" s="106"/>
      <c r="BK348" s="106"/>
      <c r="BL348" s="137">
        <v>1</v>
      </c>
      <c r="BM348" s="123"/>
      <c r="BN348" s="196">
        <v>2.5</v>
      </c>
      <c r="BO348" s="94"/>
      <c r="BP348" s="94"/>
      <c r="BQ348" s="94"/>
      <c r="BR348" s="94">
        <v>2.5</v>
      </c>
      <c r="BS348" s="94"/>
      <c r="BT348" s="94"/>
      <c r="BU348" s="28">
        <f t="shared" si="289"/>
        <v>2.5</v>
      </c>
      <c r="BV348" s="28"/>
      <c r="BW348" s="28"/>
      <c r="BX348" s="28"/>
      <c r="BY348" s="28"/>
      <c r="BZ348" s="28"/>
      <c r="CA348" s="28"/>
      <c r="CB348" s="185">
        <v>2.5</v>
      </c>
      <c r="CC348" s="99">
        <v>50</v>
      </c>
      <c r="CD348" s="99">
        <v>500</v>
      </c>
      <c r="CE348" s="99">
        <v>500</v>
      </c>
      <c r="CF348" s="99">
        <v>500</v>
      </c>
      <c r="CG348" s="99">
        <v>500</v>
      </c>
      <c r="CH348" s="99">
        <v>500</v>
      </c>
      <c r="CI348" s="175"/>
      <c r="CJ348" s="175"/>
      <c r="CK348" s="175"/>
      <c r="CL348" s="175"/>
      <c r="CM348" s="175"/>
      <c r="CN348" s="175"/>
      <c r="CO348" s="175"/>
      <c r="CP348" s="176"/>
      <c r="CQ348" s="176"/>
      <c r="CR348" s="176"/>
      <c r="CS348" s="176"/>
      <c r="CT348" s="176"/>
      <c r="CU348" s="176"/>
      <c r="CV348" s="176"/>
      <c r="CW348" s="167"/>
      <c r="CX348" s="168"/>
      <c r="CY348" s="168"/>
      <c r="CZ348" s="168"/>
      <c r="DA348" s="168"/>
      <c r="DB348" s="168"/>
      <c r="DC348" s="168"/>
      <c r="DD348" s="172"/>
      <c r="DE348" s="172"/>
      <c r="DF348" s="172"/>
      <c r="DG348" s="172"/>
      <c r="DH348" s="172"/>
      <c r="DI348" s="172"/>
      <c r="DJ348" s="172"/>
      <c r="DK348" s="80" t="s">
        <v>415</v>
      </c>
      <c r="DL348" s="129">
        <v>500</v>
      </c>
      <c r="DM348" s="129">
        <v>500</v>
      </c>
      <c r="DN348" s="129">
        <v>500</v>
      </c>
      <c r="DO348" s="129">
        <v>500</v>
      </c>
      <c r="DP348" s="129">
        <v>500</v>
      </c>
      <c r="DQ348" s="129">
        <v>500</v>
      </c>
      <c r="DR348" s="129">
        <v>500</v>
      </c>
      <c r="DS348" s="218"/>
      <c r="DT348" s="360"/>
      <c r="DU348" s="360"/>
      <c r="DV348" s="360"/>
      <c r="DW348" s="360"/>
      <c r="DX348" s="360"/>
      <c r="DY348" s="360"/>
      <c r="DZ348" s="360"/>
      <c r="EA348" s="360"/>
      <c r="EB348" s="360"/>
      <c r="EC348" s="360"/>
      <c r="ED348" s="360"/>
      <c r="EE348" s="360"/>
      <c r="EF348" s="360"/>
      <c r="EG348" s="360"/>
      <c r="EH348" s="360"/>
      <c r="EI348" s="360"/>
      <c r="EJ348" s="360"/>
      <c r="EK348" s="360"/>
      <c r="EL348" s="360"/>
      <c r="EM348" s="360"/>
      <c r="EN348" s="360"/>
      <c r="EO348" s="360"/>
      <c r="EP348" s="360"/>
      <c r="EQ348" s="360"/>
    </row>
    <row r="349" spans="1:147" x14ac:dyDescent="0.35">
      <c r="A349" s="5" t="s">
        <v>1502</v>
      </c>
      <c r="B349" s="5" t="s">
        <v>740</v>
      </c>
      <c r="C349" s="5" t="s">
        <v>788</v>
      </c>
      <c r="D349" s="5" t="s">
        <v>1213</v>
      </c>
      <c r="E349" s="5" t="s">
        <v>1500</v>
      </c>
      <c r="F349" s="5" t="s">
        <v>479</v>
      </c>
      <c r="G349" s="47" t="s">
        <v>1503</v>
      </c>
      <c r="H349" s="47" t="s">
        <v>659</v>
      </c>
      <c r="I349" s="101">
        <v>43.33</v>
      </c>
      <c r="J349" s="101">
        <v>43.33</v>
      </c>
      <c r="K349" s="101">
        <v>43.33</v>
      </c>
      <c r="L349" s="101">
        <v>43.33</v>
      </c>
      <c r="M349" s="101">
        <v>43.33</v>
      </c>
      <c r="N349" s="101">
        <v>43.33</v>
      </c>
      <c r="O349" s="101">
        <v>43.33</v>
      </c>
      <c r="P349" s="93">
        <v>0</v>
      </c>
      <c r="Q349" s="101">
        <v>4.49</v>
      </c>
      <c r="R349" s="101">
        <v>4.49</v>
      </c>
      <c r="S349" s="101">
        <v>4.49</v>
      </c>
      <c r="T349" s="101">
        <v>4.49</v>
      </c>
      <c r="U349" s="101">
        <v>4.49</v>
      </c>
      <c r="V349" s="101">
        <v>4.49</v>
      </c>
      <c r="W349" s="101">
        <v>4.49</v>
      </c>
      <c r="X349" s="101">
        <v>17.627039693926342</v>
      </c>
      <c r="Y349" s="101">
        <v>23.335913177066974</v>
      </c>
      <c r="Z349" s="101">
        <v>29.047375270272983</v>
      </c>
      <c r="AA349" s="101">
        <v>29.046874676630328</v>
      </c>
      <c r="AB349" s="101">
        <v>29.046874676630328</v>
      </c>
      <c r="AC349" s="101">
        <v>29.046874676630328</v>
      </c>
      <c r="AD349" s="101">
        <v>29.047375270272983</v>
      </c>
      <c r="AE349" s="186">
        <v>0.08</v>
      </c>
      <c r="AF349" s="93">
        <v>0</v>
      </c>
      <c r="AG349" s="93">
        <v>30</v>
      </c>
      <c r="AH349" s="93">
        <v>30</v>
      </c>
      <c r="AI349" s="16">
        <v>1</v>
      </c>
      <c r="AJ349" s="16" t="s">
        <v>660</v>
      </c>
      <c r="AK349" s="16" t="s">
        <v>745</v>
      </c>
      <c r="AL349" s="16"/>
      <c r="AM349" s="60"/>
      <c r="AN349" s="60"/>
      <c r="AO349" s="60"/>
      <c r="AP349" s="60"/>
      <c r="AQ349" s="60"/>
      <c r="AR349" s="60"/>
      <c r="AS349" s="63"/>
      <c r="AT349" s="63"/>
      <c r="AU349" s="63"/>
      <c r="AV349" s="131"/>
      <c r="AW349" s="131"/>
      <c r="AX349" s="131"/>
      <c r="AY349" s="27" t="s">
        <v>662</v>
      </c>
      <c r="AZ349" s="27"/>
      <c r="BA349" s="27"/>
      <c r="BB349" s="30"/>
      <c r="BC349" s="30"/>
      <c r="BD349" s="30"/>
      <c r="BE349" s="30"/>
      <c r="BF349" s="30"/>
      <c r="BG349" s="30"/>
      <c r="BH349" s="107"/>
      <c r="BI349" s="107"/>
      <c r="BJ349" s="107"/>
      <c r="BK349" s="107"/>
      <c r="BL349" s="136"/>
      <c r="BM349" s="122"/>
      <c r="BN349" s="138">
        <v>0</v>
      </c>
      <c r="BO349" s="93"/>
      <c r="BP349" s="93"/>
      <c r="BQ349" s="93"/>
      <c r="BR349" s="93"/>
      <c r="BS349" s="93"/>
      <c r="BT349" s="93"/>
      <c r="BU349" s="27">
        <f t="shared" si="289"/>
        <v>0</v>
      </c>
      <c r="BV349" s="27"/>
      <c r="BW349" s="27"/>
      <c r="BX349" s="27"/>
      <c r="BY349" s="27"/>
      <c r="BZ349" s="27"/>
      <c r="CA349" s="27"/>
      <c r="CB349" s="97">
        <v>0</v>
      </c>
      <c r="CC349" s="97">
        <v>50</v>
      </c>
      <c r="CD349" s="97">
        <v>500</v>
      </c>
      <c r="CE349" s="97">
        <v>500</v>
      </c>
      <c r="CF349" s="97">
        <v>500</v>
      </c>
      <c r="CG349" s="97">
        <v>500</v>
      </c>
      <c r="CH349" s="97">
        <v>500</v>
      </c>
      <c r="CI349" s="173"/>
      <c r="CJ349" s="173"/>
      <c r="CK349" s="173"/>
      <c r="CL349" s="173"/>
      <c r="CM349" s="173"/>
      <c r="CN349" s="173"/>
      <c r="CO349" s="173"/>
      <c r="CP349" s="174"/>
      <c r="CQ349" s="174"/>
      <c r="CR349" s="174"/>
      <c r="CS349" s="174"/>
      <c r="CT349" s="174"/>
      <c r="CU349" s="174"/>
      <c r="CV349" s="174"/>
      <c r="CW349" s="165"/>
      <c r="CX349" s="166"/>
      <c r="CY349" s="166"/>
      <c r="CZ349" s="166"/>
      <c r="DA349" s="166"/>
      <c r="DB349" s="166"/>
      <c r="DC349" s="166"/>
      <c r="DD349" s="171"/>
      <c r="DE349" s="171"/>
      <c r="DF349" s="171"/>
      <c r="DG349" s="171"/>
      <c r="DH349" s="171"/>
      <c r="DI349" s="171"/>
      <c r="DJ349" s="171"/>
      <c r="DK349" s="79" t="s">
        <v>415</v>
      </c>
      <c r="DL349" s="128">
        <v>500</v>
      </c>
      <c r="DM349" s="128">
        <v>500</v>
      </c>
      <c r="DN349" s="128">
        <v>500</v>
      </c>
      <c r="DO349" s="128">
        <v>500</v>
      </c>
      <c r="DP349" s="128">
        <v>500</v>
      </c>
      <c r="DQ349" s="128">
        <v>500</v>
      </c>
      <c r="DR349" s="128">
        <v>500</v>
      </c>
      <c r="DS349" s="218"/>
      <c r="DT349" s="360"/>
      <c r="DU349" s="360"/>
      <c r="DV349" s="360"/>
      <c r="DW349" s="360"/>
      <c r="DX349" s="360"/>
      <c r="DY349" s="360"/>
      <c r="DZ349" s="360"/>
      <c r="EA349" s="360"/>
      <c r="EB349" s="360"/>
      <c r="EC349" s="360"/>
      <c r="ED349" s="360"/>
      <c r="EE349" s="360"/>
      <c r="EF349" s="360"/>
      <c r="EG349" s="360"/>
      <c r="EH349" s="360"/>
      <c r="EI349" s="360"/>
      <c r="EJ349" s="360"/>
      <c r="EK349" s="360"/>
      <c r="EL349" s="360"/>
      <c r="EM349" s="360"/>
      <c r="EN349" s="360"/>
      <c r="EO349" s="360"/>
      <c r="EP349" s="360"/>
      <c r="EQ349" s="360"/>
    </row>
    <row r="350" spans="1:147" x14ac:dyDescent="0.35">
      <c r="A350" s="6" t="s">
        <v>1504</v>
      </c>
      <c r="B350" s="6" t="s">
        <v>740</v>
      </c>
      <c r="C350" s="6" t="s">
        <v>788</v>
      </c>
      <c r="D350" s="6" t="s">
        <v>1213</v>
      </c>
      <c r="E350" s="6" t="s">
        <v>1500</v>
      </c>
      <c r="F350" s="6" t="s">
        <v>479</v>
      </c>
      <c r="G350" s="48" t="s">
        <v>1505</v>
      </c>
      <c r="H350" s="48" t="s">
        <v>659</v>
      </c>
      <c r="I350" s="102">
        <v>76.650000000000006</v>
      </c>
      <c r="J350" s="102">
        <v>70.900000000000006</v>
      </c>
      <c r="K350" s="102">
        <v>65.150000000000006</v>
      </c>
      <c r="L350" s="102">
        <v>63.49</v>
      </c>
      <c r="M350" s="102">
        <v>61.83</v>
      </c>
      <c r="N350" s="102">
        <v>60.54</v>
      </c>
      <c r="O350" s="102">
        <v>59.24</v>
      </c>
      <c r="P350" s="94">
        <v>0</v>
      </c>
      <c r="Q350" s="102">
        <v>11.19</v>
      </c>
      <c r="R350" s="102">
        <v>11.19</v>
      </c>
      <c r="S350" s="102">
        <v>11.19</v>
      </c>
      <c r="T350" s="102">
        <v>11.19</v>
      </c>
      <c r="U350" s="102">
        <v>11.19</v>
      </c>
      <c r="V350" s="102">
        <v>11.19</v>
      </c>
      <c r="W350" s="102">
        <v>11.19</v>
      </c>
      <c r="X350" s="102">
        <v>38.911873860345374</v>
      </c>
      <c r="Y350" s="102">
        <v>38.911873860345374</v>
      </c>
      <c r="Z350" s="102">
        <v>38.911873860345374</v>
      </c>
      <c r="AA350" s="102">
        <v>42.37</v>
      </c>
      <c r="AB350" s="102">
        <v>45.82</v>
      </c>
      <c r="AC350" s="102">
        <v>49.27</v>
      </c>
      <c r="AD350" s="102">
        <v>52.726740319639589</v>
      </c>
      <c r="AE350" s="186">
        <v>0.08</v>
      </c>
      <c r="AF350" s="94">
        <v>0</v>
      </c>
      <c r="AG350" s="94">
        <v>30</v>
      </c>
      <c r="AH350" s="94">
        <v>30</v>
      </c>
      <c r="AI350" s="17">
        <v>1</v>
      </c>
      <c r="AJ350" s="17" t="s">
        <v>660</v>
      </c>
      <c r="AK350" s="17" t="s">
        <v>745</v>
      </c>
      <c r="AL350" s="17"/>
      <c r="AM350" s="61"/>
      <c r="AN350" s="61"/>
      <c r="AO350" s="61"/>
      <c r="AP350" s="61"/>
      <c r="AQ350" s="61"/>
      <c r="AR350" s="61"/>
      <c r="AS350" s="64"/>
      <c r="AT350" s="64"/>
      <c r="AU350" s="64"/>
      <c r="AV350" s="132"/>
      <c r="AW350" s="132"/>
      <c r="AX350" s="132"/>
      <c r="AY350" s="28" t="s">
        <v>662</v>
      </c>
      <c r="AZ350" s="28"/>
      <c r="BA350" s="28"/>
      <c r="BB350" s="28"/>
      <c r="BC350" s="28"/>
      <c r="BD350" s="28"/>
      <c r="BE350" s="28"/>
      <c r="BF350" s="28"/>
      <c r="BG350" s="28"/>
      <c r="BH350" s="106"/>
      <c r="BI350" s="106"/>
      <c r="BJ350" s="106"/>
      <c r="BK350" s="106"/>
      <c r="BL350" s="137">
        <v>1</v>
      </c>
      <c r="BM350" s="123"/>
      <c r="BN350" s="196">
        <v>5</v>
      </c>
      <c r="BO350" s="94"/>
      <c r="BP350" s="94"/>
      <c r="BQ350" s="94"/>
      <c r="BR350" s="94">
        <v>5</v>
      </c>
      <c r="BS350" s="94"/>
      <c r="BT350" s="94"/>
      <c r="BU350" s="28">
        <f t="shared" si="289"/>
        <v>5</v>
      </c>
      <c r="BV350" s="28"/>
      <c r="BW350" s="28"/>
      <c r="BX350" s="28"/>
      <c r="BY350" s="28"/>
      <c r="BZ350" s="28"/>
      <c r="CA350" s="28"/>
      <c r="CB350" s="185">
        <v>5</v>
      </c>
      <c r="CC350" s="99">
        <v>50</v>
      </c>
      <c r="CD350" s="99">
        <v>1000</v>
      </c>
      <c r="CE350" s="99">
        <v>1000</v>
      </c>
      <c r="CF350" s="99">
        <v>1000</v>
      </c>
      <c r="CG350" s="99">
        <v>1000</v>
      </c>
      <c r="CH350" s="99">
        <v>1000</v>
      </c>
      <c r="CI350" s="175"/>
      <c r="CJ350" s="175"/>
      <c r="CK350" s="175"/>
      <c r="CL350" s="175"/>
      <c r="CM350" s="175"/>
      <c r="CN350" s="175"/>
      <c r="CO350" s="175"/>
      <c r="CP350" s="176"/>
      <c r="CQ350" s="176"/>
      <c r="CR350" s="176"/>
      <c r="CS350" s="176"/>
      <c r="CT350" s="176"/>
      <c r="CU350" s="176"/>
      <c r="CV350" s="176"/>
      <c r="CW350" s="167"/>
      <c r="CX350" s="168"/>
      <c r="CY350" s="168"/>
      <c r="CZ350" s="168"/>
      <c r="DA350" s="168"/>
      <c r="DB350" s="168"/>
      <c r="DC350" s="168"/>
      <c r="DD350" s="172"/>
      <c r="DE350" s="172"/>
      <c r="DF350" s="172"/>
      <c r="DG350" s="172"/>
      <c r="DH350" s="172"/>
      <c r="DI350" s="172"/>
      <c r="DJ350" s="172"/>
      <c r="DK350" s="80" t="s">
        <v>415</v>
      </c>
      <c r="DL350" s="129">
        <v>500</v>
      </c>
      <c r="DM350" s="129">
        <v>500</v>
      </c>
      <c r="DN350" s="129">
        <v>500</v>
      </c>
      <c r="DO350" s="129">
        <v>500</v>
      </c>
      <c r="DP350" s="129">
        <v>500</v>
      </c>
      <c r="DQ350" s="129">
        <v>500</v>
      </c>
      <c r="DR350" s="129">
        <v>500</v>
      </c>
      <c r="DS350" s="218"/>
      <c r="DT350" s="360"/>
      <c r="DU350" s="360"/>
      <c r="DV350" s="360"/>
      <c r="DW350" s="360"/>
      <c r="DX350" s="360"/>
      <c r="DY350" s="360"/>
      <c r="DZ350" s="360"/>
      <c r="EA350" s="360"/>
      <c r="EB350" s="360"/>
      <c r="EC350" s="360"/>
      <c r="ED350" s="360"/>
      <c r="EE350" s="360"/>
      <c r="EF350" s="360"/>
      <c r="EG350" s="360"/>
      <c r="EH350" s="360"/>
      <c r="EI350" s="360"/>
      <c r="EJ350" s="360"/>
      <c r="EK350" s="360"/>
      <c r="EL350" s="360"/>
      <c r="EM350" s="360"/>
      <c r="EN350" s="360"/>
      <c r="EO350" s="360"/>
      <c r="EP350" s="360"/>
      <c r="EQ350" s="360"/>
    </row>
    <row r="351" spans="1:147" x14ac:dyDescent="0.35">
      <c r="A351" s="223" t="s">
        <v>1506</v>
      </c>
      <c r="B351" s="223" t="s">
        <v>740</v>
      </c>
      <c r="C351" s="223" t="s">
        <v>817</v>
      </c>
      <c r="D351" s="223" t="s">
        <v>1496</v>
      </c>
      <c r="E351" s="223" t="s">
        <v>1497</v>
      </c>
      <c r="F351" s="223" t="s">
        <v>479</v>
      </c>
      <c r="G351" s="229" t="s">
        <v>1507</v>
      </c>
      <c r="H351" s="224" t="s">
        <v>659</v>
      </c>
      <c r="I351" s="101">
        <v>0</v>
      </c>
      <c r="J351" s="101">
        <v>0</v>
      </c>
      <c r="K351" s="101">
        <v>0</v>
      </c>
      <c r="L351" s="101">
        <v>0</v>
      </c>
      <c r="M351" s="101">
        <v>0</v>
      </c>
      <c r="N351" s="101">
        <v>0</v>
      </c>
      <c r="O351" s="101">
        <v>0</v>
      </c>
      <c r="P351" s="93">
        <v>0</v>
      </c>
      <c r="Q351" s="101">
        <v>0</v>
      </c>
      <c r="R351" s="101">
        <v>0</v>
      </c>
      <c r="S351" s="101">
        <v>0</v>
      </c>
      <c r="T351" s="101">
        <v>0</v>
      </c>
      <c r="U351" s="101">
        <v>0</v>
      </c>
      <c r="V351" s="101">
        <v>0</v>
      </c>
      <c r="W351" s="101">
        <v>0</v>
      </c>
      <c r="X351" s="101">
        <v>38.232089986761537</v>
      </c>
      <c r="Y351" s="101">
        <v>34.811225193328987</v>
      </c>
      <c r="Z351" s="101">
        <v>31.38867045560421</v>
      </c>
      <c r="AA351" s="101">
        <v>31.38867045560421</v>
      </c>
      <c r="AB351" s="101">
        <v>31.38867045560421</v>
      </c>
      <c r="AC351" s="101">
        <v>31.38867045560421</v>
      </c>
      <c r="AD351" s="101">
        <v>31.38867045560421</v>
      </c>
      <c r="AE351" s="186">
        <v>0.08</v>
      </c>
      <c r="AF351" s="93">
        <v>0</v>
      </c>
      <c r="AG351" s="93">
        <v>1</v>
      </c>
      <c r="AH351" s="93">
        <v>1</v>
      </c>
      <c r="AI351" s="16">
        <v>1</v>
      </c>
      <c r="AJ351" s="16" t="s">
        <v>660</v>
      </c>
      <c r="AK351" s="16" t="s">
        <v>745</v>
      </c>
      <c r="AL351" s="16"/>
      <c r="AM351" s="60"/>
      <c r="AN351" s="60"/>
      <c r="AO351" s="60"/>
      <c r="AP351" s="60"/>
      <c r="AQ351" s="60"/>
      <c r="AR351" s="60"/>
      <c r="AS351" s="63"/>
      <c r="AT351" s="63"/>
      <c r="AU351" s="63"/>
      <c r="AV351" s="131"/>
      <c r="AW351" s="131"/>
      <c r="AX351" s="131"/>
      <c r="AY351" s="27" t="s">
        <v>662</v>
      </c>
      <c r="AZ351" s="27"/>
      <c r="BA351" s="27"/>
      <c r="BB351" s="30"/>
      <c r="BC351" s="30"/>
      <c r="BD351" s="30"/>
      <c r="BE351" s="30"/>
      <c r="BF351" s="30"/>
      <c r="BG351" s="30"/>
      <c r="BH351" s="107"/>
      <c r="BI351" s="107"/>
      <c r="BJ351" s="107"/>
      <c r="BK351" s="107"/>
      <c r="BL351" s="136"/>
      <c r="BM351" s="122"/>
      <c r="BN351" s="138"/>
      <c r="BO351" s="93"/>
      <c r="BP351" s="93"/>
      <c r="BQ351" s="93"/>
      <c r="BR351" s="93"/>
      <c r="BS351" s="93"/>
      <c r="BT351" s="93"/>
      <c r="BU351" s="27">
        <f t="shared" si="289"/>
        <v>0</v>
      </c>
      <c r="BV351" s="27"/>
      <c r="BW351" s="27"/>
      <c r="BX351" s="27"/>
      <c r="BY351" s="27"/>
      <c r="BZ351" s="27"/>
      <c r="CA351" s="27"/>
      <c r="CB351" s="244">
        <v>0</v>
      </c>
      <c r="CC351" s="244">
        <v>0</v>
      </c>
      <c r="CD351" s="244">
        <v>0</v>
      </c>
      <c r="CE351" s="244">
        <v>0</v>
      </c>
      <c r="CF351" s="244">
        <v>0</v>
      </c>
      <c r="CG351" s="244">
        <v>0</v>
      </c>
      <c r="CH351" s="244">
        <v>0</v>
      </c>
      <c r="CI351" s="173"/>
      <c r="CJ351" s="173"/>
      <c r="CK351" s="173"/>
      <c r="CL351" s="173"/>
      <c r="CM351" s="173"/>
      <c r="CN351" s="173"/>
      <c r="CO351" s="173"/>
      <c r="CP351" s="174"/>
      <c r="CQ351" s="174"/>
      <c r="CR351" s="174"/>
      <c r="CS351" s="174"/>
      <c r="CT351" s="174"/>
      <c r="CU351" s="174"/>
      <c r="CV351" s="174"/>
      <c r="CW351" s="165"/>
      <c r="CX351" s="166"/>
      <c r="CY351" s="166"/>
      <c r="CZ351" s="166"/>
      <c r="DA351" s="166"/>
      <c r="DB351" s="166"/>
      <c r="DC351" s="166"/>
      <c r="DD351" s="171"/>
      <c r="DE351" s="171"/>
      <c r="DF351" s="171"/>
      <c r="DG351" s="171"/>
      <c r="DH351" s="171"/>
      <c r="DI351" s="171"/>
      <c r="DJ351" s="171"/>
      <c r="DK351" s="79" t="s">
        <v>415</v>
      </c>
      <c r="DL351" s="128">
        <v>200</v>
      </c>
      <c r="DM351" s="128">
        <v>200</v>
      </c>
      <c r="DN351" s="128">
        <v>200</v>
      </c>
      <c r="DO351" s="128">
        <v>200</v>
      </c>
      <c r="DP351" s="128">
        <v>200</v>
      </c>
      <c r="DQ351" s="128">
        <v>200</v>
      </c>
      <c r="DR351" s="128">
        <v>200</v>
      </c>
      <c r="DS351" s="218"/>
      <c r="DT351" s="360"/>
      <c r="DU351" s="360"/>
      <c r="DV351" s="360"/>
      <c r="DW351" s="360"/>
      <c r="DX351" s="360"/>
      <c r="DY351" s="360"/>
      <c r="DZ351" s="360"/>
      <c r="EA351" s="360"/>
      <c r="EB351" s="360"/>
      <c r="EC351" s="360"/>
      <c r="ED351" s="360"/>
      <c r="EE351" s="360"/>
      <c r="EF351" s="360"/>
      <c r="EG351" s="360"/>
      <c r="EH351" s="360"/>
      <c r="EI351" s="360"/>
      <c r="EJ351" s="360"/>
      <c r="EK351" s="360"/>
      <c r="EL351" s="360"/>
      <c r="EM351" s="360"/>
      <c r="EN351" s="360"/>
      <c r="EO351" s="360"/>
      <c r="EP351" s="360"/>
      <c r="EQ351" s="360"/>
    </row>
    <row r="352" spans="1:147" x14ac:dyDescent="0.35">
      <c r="A352" s="6" t="s">
        <v>1508</v>
      </c>
      <c r="B352" s="6" t="s">
        <v>740</v>
      </c>
      <c r="C352" s="6" t="s">
        <v>788</v>
      </c>
      <c r="D352" s="6" t="s">
        <v>1213</v>
      </c>
      <c r="E352" s="6" t="s">
        <v>1500</v>
      </c>
      <c r="F352" s="6" t="s">
        <v>480</v>
      </c>
      <c r="G352" s="48" t="s">
        <v>1509</v>
      </c>
      <c r="H352" s="48" t="s">
        <v>659</v>
      </c>
      <c r="I352" s="102">
        <v>63</v>
      </c>
      <c r="J352" s="102">
        <v>63</v>
      </c>
      <c r="K352" s="102">
        <v>63</v>
      </c>
      <c r="L352" s="102">
        <v>63</v>
      </c>
      <c r="M352" s="102">
        <v>63</v>
      </c>
      <c r="N352" s="102">
        <v>63</v>
      </c>
      <c r="O352" s="102">
        <v>63</v>
      </c>
      <c r="P352" s="94">
        <v>0</v>
      </c>
      <c r="Q352" s="102">
        <v>1.45</v>
      </c>
      <c r="R352" s="102">
        <v>1.45</v>
      </c>
      <c r="S352" s="102">
        <v>1.45</v>
      </c>
      <c r="T352" s="102">
        <v>1.45</v>
      </c>
      <c r="U352" s="102">
        <v>1.45</v>
      </c>
      <c r="V352" s="102">
        <v>1.45</v>
      </c>
      <c r="W352" s="102">
        <v>1.45</v>
      </c>
      <c r="X352" s="102">
        <v>0</v>
      </c>
      <c r="Y352" s="102">
        <v>0</v>
      </c>
      <c r="Z352" s="102">
        <v>0</v>
      </c>
      <c r="AA352" s="102">
        <v>0</v>
      </c>
      <c r="AB352" s="102">
        <v>0</v>
      </c>
      <c r="AC352" s="102">
        <v>0</v>
      </c>
      <c r="AD352" s="102">
        <v>0</v>
      </c>
      <c r="AE352" s="186">
        <v>0.08</v>
      </c>
      <c r="AF352" s="94">
        <v>0</v>
      </c>
      <c r="AG352" s="94">
        <v>30</v>
      </c>
      <c r="AH352" s="94">
        <v>30</v>
      </c>
      <c r="AI352" s="17">
        <v>1</v>
      </c>
      <c r="AJ352" s="17" t="s">
        <v>660</v>
      </c>
      <c r="AK352" s="17" t="s">
        <v>745</v>
      </c>
      <c r="AL352" s="17"/>
      <c r="AM352" s="61"/>
      <c r="AN352" s="61"/>
      <c r="AO352" s="61"/>
      <c r="AP352" s="61"/>
      <c r="AQ352" s="61"/>
      <c r="AR352" s="61"/>
      <c r="AS352" s="64"/>
      <c r="AT352" s="64"/>
      <c r="AU352" s="64"/>
      <c r="AV352" s="132"/>
      <c r="AW352" s="132"/>
      <c r="AX352" s="132"/>
      <c r="AY352" s="28" t="s">
        <v>662</v>
      </c>
      <c r="AZ352" s="28"/>
      <c r="BA352" s="28"/>
      <c r="BB352" s="28"/>
      <c r="BC352" s="28"/>
      <c r="BD352" s="28"/>
      <c r="BE352" s="28"/>
      <c r="BF352" s="28"/>
      <c r="BG352" s="28"/>
      <c r="BH352" s="106"/>
      <c r="BI352" s="106"/>
      <c r="BJ352" s="106"/>
      <c r="BK352" s="106"/>
      <c r="BL352" s="137"/>
      <c r="BM352" s="123"/>
      <c r="BN352" s="139">
        <v>0</v>
      </c>
      <c r="BO352" s="94"/>
      <c r="BP352" s="94"/>
      <c r="BQ352" s="94"/>
      <c r="BR352" s="94"/>
      <c r="BS352" s="94"/>
      <c r="BT352" s="94"/>
      <c r="BU352" s="28">
        <f t="shared" si="289"/>
        <v>0</v>
      </c>
      <c r="BV352" s="28"/>
      <c r="BW352" s="28"/>
      <c r="BX352" s="28"/>
      <c r="BY352" s="28"/>
      <c r="BZ352" s="28"/>
      <c r="CA352" s="28"/>
      <c r="CB352" s="99">
        <v>0</v>
      </c>
      <c r="CC352" s="99">
        <v>50</v>
      </c>
      <c r="CD352" s="99">
        <v>1000</v>
      </c>
      <c r="CE352" s="99">
        <v>1000</v>
      </c>
      <c r="CF352" s="99">
        <v>1000</v>
      </c>
      <c r="CG352" s="99">
        <v>1000</v>
      </c>
      <c r="CH352" s="99">
        <v>1000</v>
      </c>
      <c r="CI352" s="175"/>
      <c r="CJ352" s="175"/>
      <c r="CK352" s="175"/>
      <c r="CL352" s="175"/>
      <c r="CM352" s="175"/>
      <c r="CN352" s="175"/>
      <c r="CO352" s="175"/>
      <c r="CP352" s="176"/>
      <c r="CQ352" s="176"/>
      <c r="CR352" s="176"/>
      <c r="CS352" s="176"/>
      <c r="CT352" s="176"/>
      <c r="CU352" s="176"/>
      <c r="CV352" s="176"/>
      <c r="CW352" s="167"/>
      <c r="CX352" s="168"/>
      <c r="CY352" s="168"/>
      <c r="CZ352" s="168"/>
      <c r="DA352" s="168"/>
      <c r="DB352" s="168"/>
      <c r="DC352" s="168"/>
      <c r="DD352" s="172"/>
      <c r="DE352" s="172"/>
      <c r="DF352" s="172"/>
      <c r="DG352" s="172"/>
      <c r="DH352" s="172"/>
      <c r="DI352" s="172"/>
      <c r="DJ352" s="172"/>
      <c r="DK352" s="80" t="s">
        <v>415</v>
      </c>
      <c r="DL352" s="129">
        <v>500</v>
      </c>
      <c r="DM352" s="129">
        <v>500</v>
      </c>
      <c r="DN352" s="129">
        <v>500</v>
      </c>
      <c r="DO352" s="129">
        <v>500</v>
      </c>
      <c r="DP352" s="129">
        <v>500</v>
      </c>
      <c r="DQ352" s="129">
        <v>500</v>
      </c>
      <c r="DR352" s="129">
        <v>500</v>
      </c>
      <c r="DS352" s="218"/>
      <c r="DT352" s="360"/>
      <c r="DU352" s="360"/>
      <c r="DV352" s="360"/>
      <c r="DW352" s="360"/>
      <c r="DX352" s="360"/>
      <c r="DY352" s="360"/>
      <c r="DZ352" s="360"/>
      <c r="EA352" s="360"/>
      <c r="EB352" s="360"/>
      <c r="EC352" s="360"/>
      <c r="ED352" s="360"/>
      <c r="EE352" s="360"/>
      <c r="EF352" s="360"/>
      <c r="EG352" s="360"/>
      <c r="EH352" s="360"/>
      <c r="EI352" s="360"/>
      <c r="EJ352" s="360"/>
      <c r="EK352" s="360"/>
      <c r="EL352" s="360"/>
      <c r="EM352" s="360"/>
      <c r="EN352" s="360"/>
      <c r="EO352" s="360"/>
      <c r="EP352" s="360"/>
      <c r="EQ352" s="360"/>
    </row>
    <row r="353" spans="1:244" x14ac:dyDescent="0.35">
      <c r="A353" s="5" t="s">
        <v>1510</v>
      </c>
      <c r="B353" s="5" t="s">
        <v>740</v>
      </c>
      <c r="C353" s="5" t="s">
        <v>788</v>
      </c>
      <c r="D353" s="5" t="s">
        <v>1213</v>
      </c>
      <c r="E353" s="5" t="s">
        <v>1500</v>
      </c>
      <c r="F353" s="5" t="s">
        <v>480</v>
      </c>
      <c r="G353" s="47" t="s">
        <v>1511</v>
      </c>
      <c r="H353" s="47" t="s">
        <v>659</v>
      </c>
      <c r="I353" s="101">
        <v>70</v>
      </c>
      <c r="J353" s="101">
        <v>68</v>
      </c>
      <c r="K353" s="101">
        <v>65</v>
      </c>
      <c r="L353" s="101">
        <v>62.5</v>
      </c>
      <c r="M353" s="101">
        <v>60</v>
      </c>
      <c r="N353" s="101">
        <v>55</v>
      </c>
      <c r="O353" s="101">
        <v>50</v>
      </c>
      <c r="P353" s="93">
        <v>0</v>
      </c>
      <c r="Q353" s="101">
        <v>3</v>
      </c>
      <c r="R353" s="101">
        <v>3</v>
      </c>
      <c r="S353" s="101">
        <v>3</v>
      </c>
      <c r="T353" s="101">
        <v>3</v>
      </c>
      <c r="U353" s="101">
        <v>2.5</v>
      </c>
      <c r="V353" s="101">
        <v>2.5</v>
      </c>
      <c r="W353" s="101">
        <v>2.5</v>
      </c>
      <c r="X353" s="101">
        <v>0</v>
      </c>
      <c r="Y353" s="101">
        <v>0</v>
      </c>
      <c r="Z353" s="101">
        <v>0</v>
      </c>
      <c r="AA353" s="101">
        <v>0</v>
      </c>
      <c r="AB353" s="101">
        <v>0</v>
      </c>
      <c r="AC353" s="101">
        <v>0</v>
      </c>
      <c r="AD353" s="101">
        <v>0</v>
      </c>
      <c r="AE353" s="186">
        <v>0.08</v>
      </c>
      <c r="AF353" s="93">
        <v>0</v>
      </c>
      <c r="AG353" s="93">
        <v>30</v>
      </c>
      <c r="AH353" s="93">
        <v>30</v>
      </c>
      <c r="AI353" s="16">
        <v>1</v>
      </c>
      <c r="AJ353" s="16" t="s">
        <v>660</v>
      </c>
      <c r="AK353" s="16" t="s">
        <v>745</v>
      </c>
      <c r="AL353" s="16"/>
      <c r="AM353" s="60"/>
      <c r="AN353" s="60"/>
      <c r="AO353" s="60"/>
      <c r="AP353" s="60"/>
      <c r="AQ353" s="60"/>
      <c r="AR353" s="60"/>
      <c r="AS353" s="63"/>
      <c r="AT353" s="63"/>
      <c r="AU353" s="63"/>
      <c r="AV353" s="131"/>
      <c r="AW353" s="131"/>
      <c r="AX353" s="131"/>
      <c r="AY353" s="27" t="s">
        <v>662</v>
      </c>
      <c r="AZ353" s="27"/>
      <c r="BA353" s="27"/>
      <c r="BB353" s="30"/>
      <c r="BC353" s="30"/>
      <c r="BD353" s="30"/>
      <c r="BE353" s="30"/>
      <c r="BF353" s="30"/>
      <c r="BG353" s="30"/>
      <c r="BH353" s="107"/>
      <c r="BI353" s="107"/>
      <c r="BJ353" s="107"/>
      <c r="BK353" s="107"/>
      <c r="BL353" s="136"/>
      <c r="BM353" s="122"/>
      <c r="BN353" s="138">
        <v>0</v>
      </c>
      <c r="BO353" s="93"/>
      <c r="BP353" s="93"/>
      <c r="BQ353" s="93"/>
      <c r="BR353" s="93"/>
      <c r="BS353" s="93"/>
      <c r="BT353" s="93"/>
      <c r="BU353" s="27">
        <f t="shared" si="289"/>
        <v>0</v>
      </c>
      <c r="BV353" s="27"/>
      <c r="BW353" s="27"/>
      <c r="BX353" s="27"/>
      <c r="BY353" s="27"/>
      <c r="BZ353" s="27"/>
      <c r="CA353" s="27"/>
      <c r="CB353" s="97"/>
      <c r="CC353" s="97">
        <v>50</v>
      </c>
      <c r="CD353" s="97">
        <v>1000</v>
      </c>
      <c r="CE353" s="97">
        <v>1000</v>
      </c>
      <c r="CF353" s="97">
        <v>1000</v>
      </c>
      <c r="CG353" s="97">
        <v>1000</v>
      </c>
      <c r="CH353" s="97">
        <v>1000</v>
      </c>
      <c r="CI353" s="173"/>
      <c r="CJ353" s="173"/>
      <c r="CK353" s="173"/>
      <c r="CL353" s="173"/>
      <c r="CM353" s="173"/>
      <c r="CN353" s="173"/>
      <c r="CO353" s="173"/>
      <c r="CP353" s="174"/>
      <c r="CQ353" s="174"/>
      <c r="CR353" s="174"/>
      <c r="CS353" s="174"/>
      <c r="CT353" s="174"/>
      <c r="CU353" s="174"/>
      <c r="CV353" s="174"/>
      <c r="CW353" s="165"/>
      <c r="CX353" s="166"/>
      <c r="CY353" s="166"/>
      <c r="CZ353" s="166"/>
      <c r="DA353" s="166"/>
      <c r="DB353" s="166"/>
      <c r="DC353" s="166"/>
      <c r="DD353" s="171"/>
      <c r="DE353" s="171"/>
      <c r="DF353" s="171"/>
      <c r="DG353" s="171"/>
      <c r="DH353" s="171"/>
      <c r="DI353" s="171"/>
      <c r="DJ353" s="171"/>
      <c r="DK353" s="79" t="s">
        <v>1512</v>
      </c>
      <c r="DL353" s="128"/>
      <c r="DM353" s="128"/>
      <c r="DN353" s="128"/>
      <c r="DO353" s="128"/>
      <c r="DP353" s="128"/>
      <c r="DQ353" s="128"/>
      <c r="DR353" s="128"/>
      <c r="DS353" s="218"/>
      <c r="DT353" s="360"/>
      <c r="DU353" s="360"/>
      <c r="DV353" s="360"/>
      <c r="DW353" s="360"/>
      <c r="DX353" s="360"/>
      <c r="DY353" s="360"/>
      <c r="DZ353" s="360"/>
      <c r="EA353" s="360"/>
      <c r="EB353" s="360"/>
      <c r="EC353" s="360"/>
      <c r="ED353" s="360"/>
      <c r="EE353" s="360"/>
      <c r="EF353" s="360"/>
      <c r="EG353" s="360"/>
      <c r="EH353" s="360"/>
      <c r="EI353" s="360"/>
      <c r="EJ353" s="360"/>
      <c r="EK353" s="360"/>
      <c r="EL353" s="360"/>
      <c r="EM353" s="360"/>
      <c r="EN353" s="360"/>
      <c r="EO353" s="360"/>
      <c r="EP353" s="360"/>
      <c r="EQ353" s="360"/>
    </row>
    <row r="354" spans="1:244" x14ac:dyDescent="0.35">
      <c r="A354" s="225" t="s">
        <v>1513</v>
      </c>
      <c r="B354" s="225" t="s">
        <v>740</v>
      </c>
      <c r="C354" s="225" t="s">
        <v>817</v>
      </c>
      <c r="D354" s="225" t="s">
        <v>1496</v>
      </c>
      <c r="E354" s="225" t="s">
        <v>1497</v>
      </c>
      <c r="F354" s="225" t="s">
        <v>480</v>
      </c>
      <c r="G354" s="229" t="s">
        <v>1514</v>
      </c>
      <c r="H354" s="226" t="s">
        <v>659</v>
      </c>
      <c r="I354" s="102">
        <v>0</v>
      </c>
      <c r="J354" s="102">
        <v>0</v>
      </c>
      <c r="K354" s="102">
        <v>0</v>
      </c>
      <c r="L354" s="102">
        <v>0</v>
      </c>
      <c r="M354" s="102">
        <v>0</v>
      </c>
      <c r="N354" s="102">
        <v>0</v>
      </c>
      <c r="O354" s="102">
        <v>0</v>
      </c>
      <c r="P354" s="94">
        <v>0</v>
      </c>
      <c r="Q354" s="102">
        <v>0</v>
      </c>
      <c r="R354" s="102">
        <v>0</v>
      </c>
      <c r="S354" s="102">
        <v>0</v>
      </c>
      <c r="T354" s="102">
        <v>0</v>
      </c>
      <c r="U354" s="102">
        <v>0</v>
      </c>
      <c r="V354" s="102">
        <v>0</v>
      </c>
      <c r="W354" s="102">
        <v>0</v>
      </c>
      <c r="X354" s="363">
        <v>57.698690847699652</v>
      </c>
      <c r="Y354" s="363">
        <v>55.225889811369662</v>
      </c>
      <c r="Z354" s="363">
        <v>51.104554750819688</v>
      </c>
      <c r="AA354" s="363">
        <v>46.983219690269713</v>
      </c>
      <c r="AB354" s="363">
        <v>42.861884629719732</v>
      </c>
      <c r="AC354" s="363">
        <v>38.740549569169758</v>
      </c>
      <c r="AD354" s="363">
        <v>34.619214508619791</v>
      </c>
      <c r="AE354" s="186">
        <v>0.08</v>
      </c>
      <c r="AF354" s="94">
        <v>0</v>
      </c>
      <c r="AG354" s="94">
        <v>1</v>
      </c>
      <c r="AH354" s="94">
        <v>1</v>
      </c>
      <c r="AI354" s="17">
        <v>1</v>
      </c>
      <c r="AJ354" s="17" t="s">
        <v>660</v>
      </c>
      <c r="AK354" s="17" t="s">
        <v>745</v>
      </c>
      <c r="AL354" s="17"/>
      <c r="AM354" s="61"/>
      <c r="AN354" s="61"/>
      <c r="AO354" s="61"/>
      <c r="AP354" s="61"/>
      <c r="AQ354" s="61"/>
      <c r="AR354" s="61"/>
      <c r="AS354" s="64"/>
      <c r="AT354" s="64"/>
      <c r="AU354" s="64"/>
      <c r="AV354" s="132"/>
      <c r="AW354" s="132"/>
      <c r="AX354" s="132"/>
      <c r="AY354" s="28" t="s">
        <v>662</v>
      </c>
      <c r="AZ354" s="28"/>
      <c r="BA354" s="28"/>
      <c r="BB354" s="28"/>
      <c r="BC354" s="28"/>
      <c r="BD354" s="28"/>
      <c r="BE354" s="28"/>
      <c r="BF354" s="28"/>
      <c r="BG354" s="28"/>
      <c r="BH354" s="106"/>
      <c r="BI354" s="106"/>
      <c r="BJ354" s="106"/>
      <c r="BK354" s="106"/>
      <c r="BL354" s="137"/>
      <c r="BM354" s="123"/>
      <c r="BN354" s="139"/>
      <c r="BO354" s="94"/>
      <c r="BP354" s="94"/>
      <c r="BQ354" s="94"/>
      <c r="BR354" s="94"/>
      <c r="BS354" s="94"/>
      <c r="BT354" s="94"/>
      <c r="BU354" s="28">
        <f t="shared" si="289"/>
        <v>0</v>
      </c>
      <c r="BV354" s="28"/>
      <c r="BW354" s="28"/>
      <c r="BX354" s="28"/>
      <c r="BY354" s="28"/>
      <c r="BZ354" s="28"/>
      <c r="CA354" s="28"/>
      <c r="CB354" s="244">
        <v>0</v>
      </c>
      <c r="CC354" s="244">
        <v>0</v>
      </c>
      <c r="CD354" s="244">
        <v>0</v>
      </c>
      <c r="CE354" s="244">
        <v>0</v>
      </c>
      <c r="CF354" s="244">
        <v>0</v>
      </c>
      <c r="CG354" s="244">
        <v>0</v>
      </c>
      <c r="CH354" s="244">
        <v>0</v>
      </c>
      <c r="CI354" s="175"/>
      <c r="CJ354" s="175"/>
      <c r="CK354" s="175"/>
      <c r="CL354" s="175"/>
      <c r="CM354" s="175"/>
      <c r="CN354" s="175"/>
      <c r="CO354" s="175"/>
      <c r="CP354" s="176"/>
      <c r="CQ354" s="176"/>
      <c r="CR354" s="176"/>
      <c r="CS354" s="176"/>
      <c r="CT354" s="176"/>
      <c r="CU354" s="176"/>
      <c r="CV354" s="176"/>
      <c r="CW354" s="167"/>
      <c r="CX354" s="168"/>
      <c r="CY354" s="168"/>
      <c r="CZ354" s="168"/>
      <c r="DA354" s="168"/>
      <c r="DB354" s="168"/>
      <c r="DC354" s="168"/>
      <c r="DD354" s="172"/>
      <c r="DE354" s="172"/>
      <c r="DF354" s="172"/>
      <c r="DG354" s="172"/>
      <c r="DH354" s="172"/>
      <c r="DI354" s="172"/>
      <c r="DJ354" s="172"/>
      <c r="DK354" s="80" t="s">
        <v>415</v>
      </c>
      <c r="DL354" s="129">
        <v>200</v>
      </c>
      <c r="DM354" s="129">
        <v>200</v>
      </c>
      <c r="DN354" s="129">
        <v>200</v>
      </c>
      <c r="DO354" s="129">
        <v>200</v>
      </c>
      <c r="DP354" s="129">
        <v>200</v>
      </c>
      <c r="DQ354" s="129">
        <v>200</v>
      </c>
      <c r="DR354" s="129">
        <v>200</v>
      </c>
      <c r="DS354" s="218"/>
      <c r="DT354" s="360"/>
      <c r="DU354" s="360"/>
      <c r="DV354" s="360"/>
      <c r="DW354" s="360"/>
      <c r="DX354" s="360"/>
      <c r="DY354" s="360"/>
      <c r="DZ354" s="360"/>
      <c r="EA354" s="360"/>
      <c r="EB354" s="360"/>
      <c r="EC354" s="360"/>
      <c r="ED354" s="360"/>
      <c r="EE354" s="360"/>
      <c r="EF354" s="360"/>
      <c r="EG354" s="360"/>
      <c r="EH354" s="360"/>
      <c r="EI354" s="360"/>
      <c r="EJ354" s="360"/>
      <c r="EK354" s="360"/>
      <c r="EL354" s="360"/>
      <c r="EM354" s="360"/>
      <c r="EN354" s="360"/>
      <c r="EO354" s="360"/>
      <c r="EP354" s="360"/>
      <c r="EQ354" s="360"/>
    </row>
    <row r="355" spans="1:244" x14ac:dyDescent="0.35">
      <c r="A355" s="5" t="s">
        <v>1515</v>
      </c>
      <c r="B355" s="5" t="s">
        <v>740</v>
      </c>
      <c r="C355" s="5" t="s">
        <v>788</v>
      </c>
      <c r="D355" s="5" t="s">
        <v>1213</v>
      </c>
      <c r="E355" s="5" t="s">
        <v>1500</v>
      </c>
      <c r="F355" s="5" t="s">
        <v>481</v>
      </c>
      <c r="G355" s="47" t="s">
        <v>1516</v>
      </c>
      <c r="H355" s="47" t="s">
        <v>659</v>
      </c>
      <c r="I355" s="101">
        <v>70</v>
      </c>
      <c r="J355" s="101">
        <v>68</v>
      </c>
      <c r="K355" s="101">
        <v>65</v>
      </c>
      <c r="L355" s="101">
        <v>62.5</v>
      </c>
      <c r="M355" s="101">
        <v>60</v>
      </c>
      <c r="N355" s="101">
        <v>55</v>
      </c>
      <c r="O355" s="101">
        <v>50</v>
      </c>
      <c r="P355" s="93">
        <v>0</v>
      </c>
      <c r="Q355" s="101">
        <v>3</v>
      </c>
      <c r="R355" s="101">
        <v>3</v>
      </c>
      <c r="S355" s="101">
        <v>3</v>
      </c>
      <c r="T355" s="101">
        <v>3</v>
      </c>
      <c r="U355" s="101">
        <v>2.5</v>
      </c>
      <c r="V355" s="101">
        <v>2.5</v>
      </c>
      <c r="W355" s="101">
        <v>2.5</v>
      </c>
      <c r="X355" s="101">
        <v>0</v>
      </c>
      <c r="Y355" s="101">
        <v>0</v>
      </c>
      <c r="Z355" s="101">
        <v>0</v>
      </c>
      <c r="AA355" s="101">
        <v>0</v>
      </c>
      <c r="AB355" s="101">
        <v>0</v>
      </c>
      <c r="AC355" s="101">
        <v>0</v>
      </c>
      <c r="AD355" s="101">
        <v>0</v>
      </c>
      <c r="AE355" s="186">
        <v>0.08</v>
      </c>
      <c r="AF355" s="93">
        <v>0</v>
      </c>
      <c r="AG355" s="93">
        <v>30</v>
      </c>
      <c r="AH355" s="93">
        <v>30</v>
      </c>
      <c r="AI355" s="16">
        <v>1</v>
      </c>
      <c r="AJ355" s="16" t="s">
        <v>660</v>
      </c>
      <c r="AK355" s="16" t="s">
        <v>745</v>
      </c>
      <c r="AL355" s="16"/>
      <c r="AM355" s="60"/>
      <c r="AN355" s="60"/>
      <c r="AO355" s="60"/>
      <c r="AP355" s="60"/>
      <c r="AQ355" s="60"/>
      <c r="AR355" s="60"/>
      <c r="AS355" s="63"/>
      <c r="AT355" s="63"/>
      <c r="AU355" s="63"/>
      <c r="AV355" s="131"/>
      <c r="AW355" s="131"/>
      <c r="AX355" s="131"/>
      <c r="AY355" s="27" t="s">
        <v>662</v>
      </c>
      <c r="AZ355" s="27"/>
      <c r="BA355" s="27"/>
      <c r="BB355" s="30"/>
      <c r="BC355" s="30"/>
      <c r="BD355" s="30"/>
      <c r="BE355" s="30"/>
      <c r="BF355" s="30"/>
      <c r="BG355" s="30"/>
      <c r="BH355" s="107"/>
      <c r="BI355" s="107"/>
      <c r="BJ355" s="107"/>
      <c r="BK355" s="107"/>
      <c r="BL355" s="136"/>
      <c r="BM355" s="122"/>
      <c r="BN355" s="138">
        <v>0</v>
      </c>
      <c r="BO355" s="93"/>
      <c r="BP355" s="93"/>
      <c r="BQ355" s="93"/>
      <c r="BR355" s="93"/>
      <c r="BS355" s="93"/>
      <c r="BT355" s="93"/>
      <c r="BU355" s="27">
        <f t="shared" si="289"/>
        <v>0</v>
      </c>
      <c r="BV355" s="27"/>
      <c r="BW355" s="27"/>
      <c r="BX355" s="27"/>
      <c r="BY355" s="27"/>
      <c r="BZ355" s="27"/>
      <c r="CA355" s="27"/>
      <c r="CB355" s="97"/>
      <c r="CC355" s="97">
        <v>50</v>
      </c>
      <c r="CD355" s="97">
        <v>1000</v>
      </c>
      <c r="CE355" s="97">
        <v>1000</v>
      </c>
      <c r="CF355" s="97">
        <v>1000</v>
      </c>
      <c r="CG355" s="97">
        <v>1000</v>
      </c>
      <c r="CH355" s="97">
        <v>1000</v>
      </c>
      <c r="CI355" s="173"/>
      <c r="CJ355" s="173"/>
      <c r="CK355" s="173"/>
      <c r="CL355" s="173"/>
      <c r="CM355" s="173"/>
      <c r="CN355" s="173"/>
      <c r="CO355" s="173"/>
      <c r="CP355" s="174"/>
      <c r="CQ355" s="174"/>
      <c r="CR355" s="174"/>
      <c r="CS355" s="174"/>
      <c r="CT355" s="174"/>
      <c r="CU355" s="174"/>
      <c r="CV355" s="174"/>
      <c r="CW355" s="165"/>
      <c r="CX355" s="166"/>
      <c r="CY355" s="166"/>
      <c r="CZ355" s="166"/>
      <c r="DA355" s="166"/>
      <c r="DB355" s="166"/>
      <c r="DC355" s="166"/>
      <c r="DD355" s="171"/>
      <c r="DE355" s="171"/>
      <c r="DF355" s="171"/>
      <c r="DG355" s="171"/>
      <c r="DH355" s="171"/>
      <c r="DI355" s="171"/>
      <c r="DJ355" s="171"/>
      <c r="DK355" s="79" t="s">
        <v>1512</v>
      </c>
      <c r="DL355" s="128"/>
      <c r="DM355" s="128"/>
      <c r="DN355" s="128"/>
      <c r="DO355" s="128"/>
      <c r="DP355" s="128"/>
      <c r="DQ355" s="128"/>
      <c r="DR355" s="128"/>
      <c r="DS355" s="218"/>
      <c r="DT355" s="360"/>
      <c r="DU355" s="360"/>
      <c r="DV355" s="360"/>
      <c r="DW355" s="360"/>
      <c r="DX355" s="360"/>
      <c r="DY355" s="360"/>
      <c r="DZ355" s="360"/>
      <c r="EA355" s="360"/>
      <c r="EB355" s="360"/>
      <c r="EC355" s="360"/>
      <c r="ED355" s="360"/>
      <c r="EE355" s="360"/>
      <c r="EF355" s="360"/>
      <c r="EG355" s="360"/>
      <c r="EH355" s="360"/>
      <c r="EI355" s="360"/>
      <c r="EJ355" s="360"/>
      <c r="EK355" s="360"/>
      <c r="EL355" s="360"/>
      <c r="EM355" s="360"/>
      <c r="EN355" s="360"/>
      <c r="EO355" s="360"/>
      <c r="EP355" s="360"/>
      <c r="EQ355" s="360"/>
    </row>
    <row r="356" spans="1:244" x14ac:dyDescent="0.35">
      <c r="A356" s="225" t="s">
        <v>1517</v>
      </c>
      <c r="B356" s="225" t="s">
        <v>740</v>
      </c>
      <c r="C356" s="225" t="s">
        <v>817</v>
      </c>
      <c r="D356" s="225" t="s">
        <v>1496</v>
      </c>
      <c r="E356" s="225" t="s">
        <v>1497</v>
      </c>
      <c r="F356" s="225" t="s">
        <v>481</v>
      </c>
      <c r="G356" s="229" t="s">
        <v>1518</v>
      </c>
      <c r="H356" s="226" t="s">
        <v>659</v>
      </c>
      <c r="I356" s="102">
        <v>0</v>
      </c>
      <c r="J356" s="102">
        <v>0</v>
      </c>
      <c r="K356" s="102">
        <v>0</v>
      </c>
      <c r="L356" s="102">
        <v>0</v>
      </c>
      <c r="M356" s="102">
        <v>0</v>
      </c>
      <c r="N356" s="102">
        <v>0</v>
      </c>
      <c r="O356" s="102">
        <v>0</v>
      </c>
      <c r="P356" s="94">
        <v>0</v>
      </c>
      <c r="Q356" s="102">
        <v>0</v>
      </c>
      <c r="R356" s="102">
        <v>0</v>
      </c>
      <c r="S356" s="102">
        <v>0</v>
      </c>
      <c r="T356" s="102">
        <v>0</v>
      </c>
      <c r="U356" s="102">
        <v>0</v>
      </c>
      <c r="V356" s="102">
        <v>0</v>
      </c>
      <c r="W356" s="102">
        <v>0</v>
      </c>
      <c r="X356" s="102">
        <v>55.591955211887552</v>
      </c>
      <c r="Y356" s="102">
        <v>53.209442845663801</v>
      </c>
      <c r="Z356" s="102">
        <v>49.238588901957549</v>
      </c>
      <c r="AA356" s="102">
        <v>45.267734958251296</v>
      </c>
      <c r="AB356" s="102">
        <v>41.296881014545043</v>
      </c>
      <c r="AC356" s="102">
        <v>37.326027070838791</v>
      </c>
      <c r="AD356" s="102">
        <v>33.355173127132531</v>
      </c>
      <c r="AE356" s="186">
        <v>0.08</v>
      </c>
      <c r="AF356" s="94">
        <v>0</v>
      </c>
      <c r="AG356" s="94">
        <v>1</v>
      </c>
      <c r="AH356" s="94">
        <v>1</v>
      </c>
      <c r="AI356" s="17">
        <v>1</v>
      </c>
      <c r="AJ356" s="17" t="s">
        <v>660</v>
      </c>
      <c r="AK356" s="17" t="s">
        <v>745</v>
      </c>
      <c r="AL356" s="17"/>
      <c r="AM356" s="61"/>
      <c r="AN356" s="61"/>
      <c r="AO356" s="61"/>
      <c r="AP356" s="61"/>
      <c r="AQ356" s="61"/>
      <c r="AR356" s="61"/>
      <c r="AS356" s="64"/>
      <c r="AT356" s="64"/>
      <c r="AU356" s="64"/>
      <c r="AV356" s="132"/>
      <c r="AW356" s="132"/>
      <c r="AX356" s="132"/>
      <c r="AY356" s="28" t="s">
        <v>662</v>
      </c>
      <c r="AZ356" s="28"/>
      <c r="BA356" s="28"/>
      <c r="BB356" s="28"/>
      <c r="BC356" s="28"/>
      <c r="BD356" s="28"/>
      <c r="BE356" s="28"/>
      <c r="BF356" s="28"/>
      <c r="BG356" s="28"/>
      <c r="BH356" s="106"/>
      <c r="BI356" s="106"/>
      <c r="BJ356" s="106"/>
      <c r="BK356" s="106"/>
      <c r="BL356" s="137"/>
      <c r="BM356" s="123"/>
      <c r="BN356" s="139"/>
      <c r="BO356" s="94"/>
      <c r="BP356" s="94"/>
      <c r="BQ356" s="94"/>
      <c r="BR356" s="94"/>
      <c r="BS356" s="94"/>
      <c r="BT356" s="94"/>
      <c r="BU356" s="28">
        <f t="shared" si="289"/>
        <v>0</v>
      </c>
      <c r="BV356" s="28"/>
      <c r="BW356" s="28"/>
      <c r="BX356" s="28"/>
      <c r="BY356" s="28"/>
      <c r="BZ356" s="28"/>
      <c r="CA356" s="28"/>
      <c r="CB356" s="244">
        <v>100</v>
      </c>
      <c r="CC356" s="244">
        <v>0</v>
      </c>
      <c r="CD356" s="244">
        <v>0</v>
      </c>
      <c r="CE356" s="244">
        <v>0</v>
      </c>
      <c r="CF356" s="244">
        <v>0</v>
      </c>
      <c r="CG356" s="244">
        <v>0</v>
      </c>
      <c r="CH356" s="244">
        <v>0</v>
      </c>
      <c r="CI356" s="175"/>
      <c r="CJ356" s="175"/>
      <c r="CK356" s="175"/>
      <c r="CL356" s="175"/>
      <c r="CM356" s="175"/>
      <c r="CN356" s="175"/>
      <c r="CO356" s="175"/>
      <c r="CP356" s="176"/>
      <c r="CQ356" s="176"/>
      <c r="CR356" s="176"/>
      <c r="CS356" s="176"/>
      <c r="CT356" s="176"/>
      <c r="CU356" s="176"/>
      <c r="CV356" s="176"/>
      <c r="CW356" s="167"/>
      <c r="CX356" s="168"/>
      <c r="CY356" s="168"/>
      <c r="CZ356" s="168"/>
      <c r="DA356" s="168"/>
      <c r="DB356" s="168"/>
      <c r="DC356" s="168"/>
      <c r="DD356" s="172"/>
      <c r="DE356" s="172"/>
      <c r="DF356" s="172"/>
      <c r="DG356" s="172"/>
      <c r="DH356" s="172"/>
      <c r="DI356" s="172"/>
      <c r="DJ356" s="172"/>
      <c r="DK356" s="80" t="s">
        <v>1519</v>
      </c>
      <c r="DL356" s="129">
        <v>130</v>
      </c>
      <c r="DM356" s="129">
        <v>130</v>
      </c>
      <c r="DN356" s="129">
        <v>130</v>
      </c>
      <c r="DO356" s="129">
        <v>130</v>
      </c>
      <c r="DP356" s="129">
        <v>130</v>
      </c>
      <c r="DQ356" s="129">
        <v>130</v>
      </c>
      <c r="DR356" s="129">
        <v>130</v>
      </c>
      <c r="DS356" s="218"/>
      <c r="DT356" s="360"/>
      <c r="DU356" s="360"/>
      <c r="DV356" s="360"/>
      <c r="DW356" s="360"/>
      <c r="DX356" s="360"/>
      <c r="DY356" s="360"/>
      <c r="DZ356" s="360"/>
      <c r="EA356" s="360"/>
      <c r="EB356" s="360"/>
      <c r="EC356" s="360"/>
      <c r="ED356" s="360"/>
      <c r="EE356" s="360"/>
      <c r="EF356" s="360"/>
      <c r="EG356" s="360"/>
      <c r="EH356" s="360"/>
      <c r="EI356" s="360"/>
      <c r="EJ356" s="360"/>
      <c r="EK356" s="360"/>
      <c r="EL356" s="360"/>
      <c r="EM356" s="360"/>
      <c r="EN356" s="360"/>
      <c r="EO356" s="360"/>
      <c r="EP356" s="360"/>
      <c r="EQ356" s="360"/>
    </row>
    <row r="357" spans="1:244" s="261" customFormat="1" x14ac:dyDescent="0.35">
      <c r="A357" s="256" t="s">
        <v>1520</v>
      </c>
      <c r="B357" s="256" t="s">
        <v>740</v>
      </c>
      <c r="C357" s="256" t="s">
        <v>788</v>
      </c>
      <c r="D357" s="256" t="s">
        <v>1213</v>
      </c>
      <c r="E357" s="256" t="s">
        <v>1500</v>
      </c>
      <c r="F357" s="256" t="s">
        <v>481</v>
      </c>
      <c r="G357" s="268" t="s">
        <v>1521</v>
      </c>
      <c r="H357" s="268" t="s">
        <v>659</v>
      </c>
      <c r="I357" s="253">
        <v>45</v>
      </c>
      <c r="J357" s="253">
        <f>ROUND($I$357+($O$357-$I$357)/($O$4-$I$4)*($J$4-$I$4),2)</f>
        <v>42.64</v>
      </c>
      <c r="K357" s="253">
        <f>ROUND($I$357+($O$357-$I$357)/($O$4-$I$4)*($K$4-$I$4),2)</f>
        <v>38.71</v>
      </c>
      <c r="L357" s="253">
        <f>ROUND($I$357+($O$357-$I$357)/($O$4-$I$4)*($L$4-$I$4),2)</f>
        <v>34.79</v>
      </c>
      <c r="M357" s="253">
        <f>ROUND($I$357+($O$357-$I$357)/($O$4-$I$4)*($M$4-$I$4),2)</f>
        <v>30.86</v>
      </c>
      <c r="N357" s="253">
        <f>ROUND($I$357+($O$357-$I$357)/($O$4-$I$4)*($N$4-$I$4),2)</f>
        <v>26.93</v>
      </c>
      <c r="O357" s="253">
        <v>23</v>
      </c>
      <c r="P357" s="269">
        <v>0</v>
      </c>
      <c r="Q357" s="253">
        <f>ROUND(I357*0.04,2)</f>
        <v>1.8</v>
      </c>
      <c r="R357" s="253">
        <f t="shared" ref="R357:W364" si="291">ROUND(J357*0.04,2)</f>
        <v>1.71</v>
      </c>
      <c r="S357" s="253">
        <f t="shared" si="291"/>
        <v>1.55</v>
      </c>
      <c r="T357" s="253">
        <f t="shared" si="291"/>
        <v>1.39</v>
      </c>
      <c r="U357" s="253">
        <f t="shared" si="291"/>
        <v>1.23</v>
      </c>
      <c r="V357" s="253">
        <f t="shared" si="291"/>
        <v>1.08</v>
      </c>
      <c r="W357" s="253">
        <f t="shared" si="291"/>
        <v>0.92</v>
      </c>
      <c r="X357" s="253"/>
      <c r="Y357" s="253"/>
      <c r="Z357" s="253"/>
      <c r="AA357" s="253"/>
      <c r="AB357" s="253"/>
      <c r="AC357" s="253"/>
      <c r="AD357" s="253"/>
      <c r="AE357" s="186">
        <v>0.08</v>
      </c>
      <c r="AF357" s="269"/>
      <c r="AG357" s="269">
        <v>30</v>
      </c>
      <c r="AH357" s="269">
        <v>30</v>
      </c>
      <c r="AI357" s="270">
        <v>1</v>
      </c>
      <c r="AJ357" s="270" t="s">
        <v>660</v>
      </c>
      <c r="AK357" s="270" t="s">
        <v>745</v>
      </c>
      <c r="AL357" s="270"/>
      <c r="AM357" s="271"/>
      <c r="AN357" s="271"/>
      <c r="AO357" s="271"/>
      <c r="AP357" s="271"/>
      <c r="AQ357" s="271"/>
      <c r="AR357" s="271"/>
      <c r="AS357" s="272"/>
      <c r="AT357" s="272"/>
      <c r="AU357" s="272"/>
      <c r="AV357" s="273"/>
      <c r="AW357" s="273"/>
      <c r="AX357" s="273"/>
      <c r="AY357" s="257" t="s">
        <v>662</v>
      </c>
      <c r="AZ357" s="257"/>
      <c r="BA357" s="257"/>
      <c r="BB357" s="257"/>
      <c r="BC357" s="257"/>
      <c r="BD357" s="257"/>
      <c r="BE357" s="257"/>
      <c r="BF357" s="257"/>
      <c r="BG357" s="257"/>
      <c r="BH357" s="274"/>
      <c r="BI357" s="274"/>
      <c r="BJ357" s="274"/>
      <c r="BK357" s="274"/>
      <c r="BL357" s="275"/>
      <c r="BM357" s="276"/>
      <c r="BN357" s="277">
        <v>10.5</v>
      </c>
      <c r="BO357" s="269"/>
      <c r="BP357" s="269"/>
      <c r="BQ357" s="269"/>
      <c r="BR357" s="269"/>
      <c r="BS357" s="269"/>
      <c r="BT357" s="269"/>
      <c r="BU357" s="257">
        <f t="shared" si="289"/>
        <v>0</v>
      </c>
      <c r="BV357" s="257"/>
      <c r="BW357" s="257"/>
      <c r="BX357" s="257"/>
      <c r="BY357" s="257"/>
      <c r="BZ357" s="257"/>
      <c r="CA357" s="257"/>
      <c r="CB357" s="244">
        <v>10.5</v>
      </c>
      <c r="CC357" s="244">
        <v>50</v>
      </c>
      <c r="CD357" s="244">
        <v>500</v>
      </c>
      <c r="CE357" s="244">
        <v>500</v>
      </c>
      <c r="CF357" s="244">
        <v>1000</v>
      </c>
      <c r="CG357" s="244">
        <v>1000</v>
      </c>
      <c r="CH357" s="244">
        <v>1000</v>
      </c>
      <c r="CI357" s="257"/>
      <c r="CJ357" s="257"/>
      <c r="CK357" s="257"/>
      <c r="CL357" s="257"/>
      <c r="CM357" s="257"/>
      <c r="CN357" s="257"/>
      <c r="CO357" s="257"/>
      <c r="CP357" s="258"/>
      <c r="CQ357" s="258"/>
      <c r="CR357" s="258"/>
      <c r="CS357" s="258"/>
      <c r="CT357" s="258"/>
      <c r="CU357" s="258"/>
      <c r="CV357" s="258"/>
      <c r="CW357" s="278"/>
      <c r="CX357" s="279"/>
      <c r="CY357" s="279"/>
      <c r="CZ357" s="279"/>
      <c r="DA357" s="279"/>
      <c r="DB357" s="279"/>
      <c r="DC357" s="279"/>
      <c r="DD357" s="279"/>
      <c r="DE357" s="279"/>
      <c r="DF357" s="279"/>
      <c r="DG357" s="279"/>
      <c r="DH357" s="279"/>
      <c r="DI357" s="279"/>
      <c r="DJ357" s="279"/>
      <c r="DK357" s="265"/>
      <c r="DL357" s="278">
        <v>500</v>
      </c>
      <c r="DM357" s="278">
        <v>500</v>
      </c>
      <c r="DN357" s="278">
        <v>500</v>
      </c>
      <c r="DO357" s="278">
        <v>500</v>
      </c>
      <c r="DP357" s="278">
        <v>500</v>
      </c>
      <c r="DQ357" s="278">
        <v>500</v>
      </c>
      <c r="DR357" s="278">
        <v>500</v>
      </c>
      <c r="DS357" s="280"/>
      <c r="DT357" s="360"/>
      <c r="DU357" s="360"/>
      <c r="DV357" s="360"/>
      <c r="DW357" s="360"/>
      <c r="DX357" s="360"/>
      <c r="DY357" s="360"/>
      <c r="DZ357" s="360"/>
      <c r="EA357" s="360"/>
      <c r="EB357" s="360"/>
      <c r="EC357" s="360"/>
      <c r="ED357" s="360"/>
      <c r="EE357" s="360"/>
      <c r="EF357" s="360"/>
      <c r="EG357" s="360"/>
      <c r="EH357" s="360"/>
      <c r="EI357" s="360"/>
      <c r="EJ357" s="360"/>
      <c r="EK357" s="360"/>
      <c r="EL357" s="360"/>
      <c r="EM357" s="360"/>
      <c r="EN357" s="360"/>
      <c r="EO357" s="360"/>
      <c r="EP357" s="360"/>
      <c r="EQ357" s="360"/>
      <c r="ER357" s="1"/>
      <c r="ES357" s="1"/>
      <c r="ET357" s="1"/>
      <c r="EU357" s="1"/>
      <c r="EV357" s="1"/>
      <c r="EW357" s="1"/>
      <c r="EX357" s="1"/>
      <c r="EY357" s="1"/>
      <c r="EZ357" s="1"/>
      <c r="FA357" s="1"/>
      <c r="FB357" s="1"/>
      <c r="FC357" s="1"/>
      <c r="FD357" s="1"/>
      <c r="FE357" s="1"/>
      <c r="FF357" s="1"/>
      <c r="FG357" s="1"/>
      <c r="FH357" s="1"/>
      <c r="FI357" s="1"/>
      <c r="FJ357" s="1"/>
      <c r="FK357" s="1"/>
      <c r="FL357" s="1"/>
      <c r="FM357" s="1"/>
      <c r="FN357" s="1"/>
      <c r="FO357" s="1"/>
      <c r="FP357" s="1"/>
      <c r="FQ357" s="1"/>
      <c r="FR357" s="1"/>
      <c r="FS357" s="1"/>
      <c r="FT357" s="1"/>
      <c r="FU357" s="1"/>
      <c r="FV357" s="1"/>
      <c r="FW357" s="1"/>
      <c r="FX357" s="1"/>
      <c r="FY357" s="1"/>
      <c r="FZ357" s="1"/>
      <c r="GA357" s="1"/>
      <c r="GB357" s="1"/>
      <c r="GC357" s="1"/>
      <c r="GD357" s="1"/>
      <c r="GE357" s="1"/>
      <c r="GF357" s="1"/>
      <c r="GG357" s="1"/>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row>
    <row r="358" spans="1:244" s="261" customFormat="1" x14ac:dyDescent="0.35">
      <c r="A358" s="256" t="s">
        <v>1522</v>
      </c>
      <c r="B358" s="256" t="s">
        <v>740</v>
      </c>
      <c r="C358" s="256" t="s">
        <v>817</v>
      </c>
      <c r="D358" s="256" t="s">
        <v>1496</v>
      </c>
      <c r="E358" s="256" t="s">
        <v>1497</v>
      </c>
      <c r="F358" s="256" t="s">
        <v>482</v>
      </c>
      <c r="G358" s="229" t="s">
        <v>1523</v>
      </c>
      <c r="H358" s="268" t="s">
        <v>659</v>
      </c>
      <c r="I358" s="102">
        <v>0</v>
      </c>
      <c r="J358" s="102">
        <v>0</v>
      </c>
      <c r="K358" s="102">
        <v>0</v>
      </c>
      <c r="L358" s="102">
        <v>0</v>
      </c>
      <c r="M358" s="102">
        <v>0</v>
      </c>
      <c r="N358" s="102">
        <v>0</v>
      </c>
      <c r="O358" s="102">
        <v>0</v>
      </c>
      <c r="P358" s="94">
        <v>0</v>
      </c>
      <c r="Q358" s="102">
        <v>0</v>
      </c>
      <c r="R358" s="102">
        <v>0</v>
      </c>
      <c r="S358" s="102">
        <v>0</v>
      </c>
      <c r="T358" s="102">
        <v>0</v>
      </c>
      <c r="U358" s="102">
        <v>0</v>
      </c>
      <c r="V358" s="102">
        <v>0</v>
      </c>
      <c r="W358" s="102">
        <v>0</v>
      </c>
      <c r="X358" s="102">
        <v>46.363654692992213</v>
      </c>
      <c r="Y358" s="102">
        <v>44.376640920435399</v>
      </c>
      <c r="Z358" s="102">
        <v>41.064951299507385</v>
      </c>
      <c r="AA358" s="102">
        <v>37.753261678579378</v>
      </c>
      <c r="AB358" s="102">
        <v>34.441572057651364</v>
      </c>
      <c r="AC358" s="102">
        <v>31.129882436723346</v>
      </c>
      <c r="AD358" s="102">
        <v>27.818192815795328</v>
      </c>
      <c r="AE358" s="186">
        <v>0.08</v>
      </c>
      <c r="AF358" s="94">
        <v>0</v>
      </c>
      <c r="AG358" s="94">
        <v>1</v>
      </c>
      <c r="AH358" s="94">
        <v>1</v>
      </c>
      <c r="AI358" s="17">
        <v>1</v>
      </c>
      <c r="AJ358" s="17" t="s">
        <v>660</v>
      </c>
      <c r="AK358" s="17" t="s">
        <v>745</v>
      </c>
      <c r="AL358" s="17"/>
      <c r="AM358" s="61"/>
      <c r="AN358" s="61"/>
      <c r="AO358" s="61"/>
      <c r="AP358" s="61"/>
      <c r="AQ358" s="61"/>
      <c r="AR358" s="61"/>
      <c r="AS358" s="64"/>
      <c r="AT358" s="64"/>
      <c r="AU358" s="64"/>
      <c r="AV358" s="132"/>
      <c r="AW358" s="132"/>
      <c r="AX358" s="132"/>
      <c r="AY358" s="28" t="s">
        <v>662</v>
      </c>
      <c r="AZ358" s="28"/>
      <c r="BA358" s="28"/>
      <c r="BB358" s="28"/>
      <c r="BC358" s="28"/>
      <c r="BD358" s="28"/>
      <c r="BE358" s="28"/>
      <c r="BF358" s="28"/>
      <c r="BG358" s="28"/>
      <c r="BH358" s="106"/>
      <c r="BI358" s="106"/>
      <c r="BJ358" s="106"/>
      <c r="BK358" s="106"/>
      <c r="BL358" s="137"/>
      <c r="BM358" s="123"/>
      <c r="BN358" s="139"/>
      <c r="BO358" s="94"/>
      <c r="BP358" s="94"/>
      <c r="BQ358" s="94"/>
      <c r="BR358" s="94"/>
      <c r="BS358" s="94"/>
      <c r="BT358" s="94"/>
      <c r="BU358" s="28">
        <f t="shared" ref="BU358" si="292">IF(BL358=1,BN358,0)</f>
        <v>0</v>
      </c>
      <c r="BV358" s="28"/>
      <c r="BW358" s="28"/>
      <c r="BX358" s="28"/>
      <c r="BY358" s="28"/>
      <c r="BZ358" s="28"/>
      <c r="CA358" s="28"/>
      <c r="CB358" s="244">
        <v>0</v>
      </c>
      <c r="CC358" s="99">
        <v>300</v>
      </c>
      <c r="CD358" s="99">
        <v>300</v>
      </c>
      <c r="CE358" s="99">
        <v>300</v>
      </c>
      <c r="CF358" s="99">
        <v>300</v>
      </c>
      <c r="CG358" s="99">
        <v>300</v>
      </c>
      <c r="CH358" s="99">
        <v>300</v>
      </c>
      <c r="CI358" s="175"/>
      <c r="CJ358" s="175"/>
      <c r="CK358" s="175"/>
      <c r="CL358" s="175"/>
      <c r="CM358" s="175"/>
      <c r="CN358" s="175"/>
      <c r="CO358" s="175"/>
      <c r="CP358" s="176"/>
      <c r="CQ358" s="176"/>
      <c r="CR358" s="176"/>
      <c r="CS358" s="176"/>
      <c r="CT358" s="176"/>
      <c r="CU358" s="176"/>
      <c r="CV358" s="176"/>
      <c r="CW358" s="167"/>
      <c r="CX358" s="168"/>
      <c r="CY358" s="168"/>
      <c r="CZ358" s="168"/>
      <c r="DA358" s="168"/>
      <c r="DB358" s="168"/>
      <c r="DC358" s="168"/>
      <c r="DD358" s="172"/>
      <c r="DE358" s="172"/>
      <c r="DF358" s="172"/>
      <c r="DG358" s="172"/>
      <c r="DH358" s="172"/>
      <c r="DI358" s="172"/>
      <c r="DJ358" s="172"/>
      <c r="DK358" s="80" t="s">
        <v>1519</v>
      </c>
      <c r="DL358" s="129">
        <v>130</v>
      </c>
      <c r="DM358" s="129">
        <v>130</v>
      </c>
      <c r="DN358" s="129">
        <v>130</v>
      </c>
      <c r="DO358" s="129">
        <v>130</v>
      </c>
      <c r="DP358" s="129">
        <v>130</v>
      </c>
      <c r="DQ358" s="129">
        <v>130</v>
      </c>
      <c r="DR358" s="129">
        <v>130</v>
      </c>
      <c r="DS358" s="280"/>
      <c r="DT358" s="360"/>
      <c r="DU358" s="360"/>
      <c r="DV358" s="360"/>
      <c r="DW358" s="360"/>
      <c r="DX358" s="360"/>
      <c r="DY358" s="360"/>
      <c r="DZ358" s="360"/>
      <c r="EA358" s="360"/>
      <c r="EB358" s="360"/>
      <c r="EC358" s="360"/>
      <c r="ED358" s="360"/>
      <c r="EE358" s="360"/>
      <c r="EF358" s="360"/>
      <c r="EG358" s="360"/>
      <c r="EH358" s="360"/>
      <c r="EI358" s="360"/>
      <c r="EJ358" s="360"/>
      <c r="EK358" s="360"/>
      <c r="EL358" s="360"/>
      <c r="EM358" s="360"/>
      <c r="EN358" s="360"/>
      <c r="EO358" s="360"/>
      <c r="EP358" s="360"/>
      <c r="EQ358" s="360"/>
      <c r="ER358" s="1"/>
      <c r="ES358" s="1"/>
      <c r="ET358" s="1"/>
      <c r="EU358" s="1"/>
      <c r="EV358" s="1"/>
      <c r="EW358" s="1"/>
      <c r="EX358" s="1"/>
      <c r="EY358" s="1"/>
      <c r="EZ358" s="1"/>
      <c r="FA358" s="1"/>
      <c r="FB358" s="1"/>
      <c r="FC358" s="1"/>
      <c r="FD358" s="1"/>
      <c r="FE358" s="1"/>
      <c r="FF358" s="1"/>
      <c r="FG358" s="1"/>
      <c r="FH358" s="1"/>
      <c r="FI358" s="1"/>
      <c r="FJ358" s="1"/>
      <c r="FK358" s="1"/>
      <c r="FL358" s="1"/>
      <c r="FM358" s="1"/>
      <c r="FN358" s="1"/>
      <c r="FO358" s="1"/>
      <c r="FP358" s="1"/>
      <c r="FQ358" s="1"/>
      <c r="FR358" s="1"/>
      <c r="FS358" s="1"/>
      <c r="FT358" s="1"/>
      <c r="FU358" s="1"/>
      <c r="FV358" s="1"/>
      <c r="FW358" s="1"/>
      <c r="FX358" s="1"/>
      <c r="FY358" s="1"/>
      <c r="FZ358" s="1"/>
      <c r="GA358" s="1"/>
      <c r="GB358" s="1"/>
      <c r="GC358" s="1"/>
      <c r="GD358" s="1"/>
      <c r="GE358" s="1"/>
      <c r="GF358" s="1"/>
      <c r="GG358" s="1"/>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row>
    <row r="359" spans="1:244" x14ac:dyDescent="0.35">
      <c r="A359" s="5" t="s">
        <v>1524</v>
      </c>
      <c r="B359" s="5" t="s">
        <v>740</v>
      </c>
      <c r="C359" s="5" t="s">
        <v>788</v>
      </c>
      <c r="D359" s="5" t="s">
        <v>1213</v>
      </c>
      <c r="E359" s="5" t="s">
        <v>1525</v>
      </c>
      <c r="F359" s="5" t="s">
        <v>486</v>
      </c>
      <c r="G359" s="47" t="s">
        <v>1526</v>
      </c>
      <c r="H359" s="47" t="s">
        <v>659</v>
      </c>
      <c r="I359" s="253">
        <f>ROUND(23*1.333,2)</f>
        <v>30.66</v>
      </c>
      <c r="J359" s="253">
        <f>ROUND($I$359+($O$359-$I$359)/($O$4-$I$4)*($J$4-$I$4),2)</f>
        <v>29.45</v>
      </c>
      <c r="K359" s="253">
        <f>ROUND($I$359+($O$359-$I$359)/($O$4-$I$4)*($K$4-$I$4),2)</f>
        <v>27.42</v>
      </c>
      <c r="L359" s="253">
        <f>ROUND($I$359+($O$359-$I$359)/($O$4-$I$4)*($L$4-$I$4),2)</f>
        <v>25.4</v>
      </c>
      <c r="M359" s="253">
        <f>ROUND($I$359+($O$359-$I$359)/($O$4-$I$4)*($M$4-$I$4),2)</f>
        <v>23.37</v>
      </c>
      <c r="N359" s="253">
        <f>ROUND($I$359+($O$359-$I$359)/($O$4-$I$4)*($N$4-$I$4),2)</f>
        <v>21.35</v>
      </c>
      <c r="O359" s="253">
        <f t="shared" ref="O359:O364" si="293">ROUND(I359*0.63,2)</f>
        <v>19.32</v>
      </c>
      <c r="P359" s="93">
        <v>0</v>
      </c>
      <c r="Q359" s="253">
        <f t="shared" ref="Q359:Q364" si="294">ROUND(I359*0.04,2)</f>
        <v>1.23</v>
      </c>
      <c r="R359" s="253">
        <f t="shared" si="291"/>
        <v>1.18</v>
      </c>
      <c r="S359" s="253">
        <f t="shared" si="291"/>
        <v>1.1000000000000001</v>
      </c>
      <c r="T359" s="253">
        <f t="shared" si="291"/>
        <v>1.02</v>
      </c>
      <c r="U359" s="253">
        <f t="shared" si="291"/>
        <v>0.93</v>
      </c>
      <c r="V359" s="253">
        <f t="shared" si="291"/>
        <v>0.85</v>
      </c>
      <c r="W359" s="253">
        <f t="shared" si="291"/>
        <v>0.77</v>
      </c>
      <c r="X359" s="101">
        <v>0</v>
      </c>
      <c r="Y359" s="101">
        <v>0</v>
      </c>
      <c r="Z359" s="101">
        <v>0</v>
      </c>
      <c r="AA359" s="101">
        <v>0</v>
      </c>
      <c r="AB359" s="101">
        <v>0</v>
      </c>
      <c r="AC359" s="101">
        <v>0</v>
      </c>
      <c r="AD359" s="101">
        <v>0</v>
      </c>
      <c r="AE359" s="186">
        <v>0.08</v>
      </c>
      <c r="AF359" s="93"/>
      <c r="AG359" s="93">
        <v>30</v>
      </c>
      <c r="AH359" s="93">
        <v>30</v>
      </c>
      <c r="AI359" s="16">
        <v>1</v>
      </c>
      <c r="AJ359" s="16" t="s">
        <v>660</v>
      </c>
      <c r="AK359" s="16" t="s">
        <v>745</v>
      </c>
      <c r="AL359" s="16"/>
      <c r="AM359" s="60"/>
      <c r="AN359" s="60"/>
      <c r="AO359" s="60"/>
      <c r="AP359" s="60"/>
      <c r="AQ359" s="60"/>
      <c r="AR359" s="60"/>
      <c r="AS359" s="63"/>
      <c r="AT359" s="63"/>
      <c r="AU359" s="63"/>
      <c r="AV359" s="131"/>
      <c r="AW359" s="131"/>
      <c r="AX359" s="131"/>
      <c r="AY359" s="27" t="s">
        <v>662</v>
      </c>
      <c r="AZ359" s="27"/>
      <c r="BA359" s="27"/>
      <c r="BB359" s="30"/>
      <c r="BC359" s="30"/>
      <c r="BD359" s="30"/>
      <c r="BE359" s="30"/>
      <c r="BF359" s="30"/>
      <c r="BG359" s="30"/>
      <c r="BH359" s="107"/>
      <c r="BI359" s="107"/>
      <c r="BJ359" s="107"/>
      <c r="BK359" s="107"/>
      <c r="BL359" s="136"/>
      <c r="BM359" s="122"/>
      <c r="BN359" s="138">
        <v>0</v>
      </c>
      <c r="BO359" s="93"/>
      <c r="BP359" s="93"/>
      <c r="BQ359" s="93"/>
      <c r="BR359" s="93"/>
      <c r="BS359" s="93"/>
      <c r="BT359" s="93"/>
      <c r="BU359" s="27">
        <f t="shared" si="289"/>
        <v>0</v>
      </c>
      <c r="BV359" s="27"/>
      <c r="BW359" s="27"/>
      <c r="BX359" s="27"/>
      <c r="BY359" s="27"/>
      <c r="BZ359" s="27"/>
      <c r="CA359" s="27"/>
      <c r="CB359" s="97"/>
      <c r="CC359" s="97">
        <v>50</v>
      </c>
      <c r="CD359" s="97">
        <v>1000</v>
      </c>
      <c r="CE359" s="97">
        <v>1000</v>
      </c>
      <c r="CF359" s="97">
        <v>1000</v>
      </c>
      <c r="CG359" s="97">
        <v>1000</v>
      </c>
      <c r="CH359" s="97">
        <v>1000</v>
      </c>
      <c r="CI359" s="173"/>
      <c r="CJ359" s="173"/>
      <c r="CK359" s="173"/>
      <c r="CL359" s="173"/>
      <c r="CM359" s="173"/>
      <c r="CN359" s="173"/>
      <c r="CO359" s="173"/>
      <c r="CP359" s="174"/>
      <c r="CQ359" s="174"/>
      <c r="CR359" s="174"/>
      <c r="CS359" s="174"/>
      <c r="CT359" s="174"/>
      <c r="CU359" s="174"/>
      <c r="CV359" s="174"/>
      <c r="CW359" s="165"/>
      <c r="CX359" s="166"/>
      <c r="CY359" s="166"/>
      <c r="CZ359" s="166"/>
      <c r="DA359" s="166"/>
      <c r="DB359" s="166"/>
      <c r="DC359" s="166"/>
      <c r="DD359" s="171"/>
      <c r="DE359" s="171"/>
      <c r="DF359" s="171"/>
      <c r="DG359" s="171"/>
      <c r="DH359" s="171"/>
      <c r="DI359" s="171"/>
      <c r="DJ359" s="171"/>
      <c r="DK359" s="79" t="s">
        <v>1527</v>
      </c>
      <c r="DL359" s="128">
        <v>2000</v>
      </c>
      <c r="DM359" s="128">
        <v>2000</v>
      </c>
      <c r="DN359" s="128">
        <v>2000</v>
      </c>
      <c r="DO359" s="128">
        <v>2000</v>
      </c>
      <c r="DP359" s="128">
        <v>2000</v>
      </c>
      <c r="DQ359" s="128">
        <v>2000</v>
      </c>
      <c r="DR359" s="128">
        <v>2000</v>
      </c>
      <c r="DS359" s="218"/>
      <c r="DT359" s="360"/>
      <c r="DU359" s="360"/>
      <c r="DV359" s="360"/>
      <c r="DW359" s="360"/>
      <c r="DX359" s="360"/>
      <c r="DY359" s="360"/>
      <c r="DZ359" s="360"/>
      <c r="EA359" s="360"/>
      <c r="EB359" s="360"/>
      <c r="EC359" s="360"/>
      <c r="ED359" s="360"/>
      <c r="EE359" s="360"/>
      <c r="EF359" s="360"/>
      <c r="EG359" s="360"/>
      <c r="EH359" s="360"/>
      <c r="EI359" s="360"/>
      <c r="EJ359" s="360"/>
      <c r="EK359" s="360"/>
      <c r="EL359" s="360"/>
      <c r="EM359" s="360"/>
      <c r="EN359" s="360"/>
      <c r="EO359" s="360"/>
      <c r="EP359" s="360"/>
      <c r="EQ359" s="360"/>
    </row>
    <row r="360" spans="1:244" x14ac:dyDescent="0.35">
      <c r="A360" s="6" t="s">
        <v>1528</v>
      </c>
      <c r="B360" s="6" t="s">
        <v>740</v>
      </c>
      <c r="C360" s="6" t="s">
        <v>788</v>
      </c>
      <c r="D360" s="6" t="s">
        <v>1213</v>
      </c>
      <c r="E360" s="6" t="s">
        <v>1525</v>
      </c>
      <c r="F360" s="6" t="s">
        <v>486</v>
      </c>
      <c r="G360" s="48" t="s">
        <v>1529</v>
      </c>
      <c r="H360" s="48" t="s">
        <v>659</v>
      </c>
      <c r="I360" s="253">
        <f>ROUND(24.8*1.333,2)</f>
        <v>33.06</v>
      </c>
      <c r="J360" s="253">
        <f>ROUND($I$360+($O$360-$I$360)/($O$4-$I$4)*($J$4-$I$4),2)</f>
        <v>31.75</v>
      </c>
      <c r="K360" s="253">
        <f>ROUND($I$360+($O$360-$I$360)/($O$4-$I$4)*($K$4-$I$4),2)</f>
        <v>29.57</v>
      </c>
      <c r="L360" s="253">
        <f>ROUND($I$360+($O$360-$I$360)/($O$4-$I$4)*($L$4-$I$4),2)</f>
        <v>27.38</v>
      </c>
      <c r="M360" s="253">
        <f>ROUND($I$360+($O$360-$I$360)/($O$4-$I$4)*($M$4-$I$4),2)</f>
        <v>25.2</v>
      </c>
      <c r="N360" s="253">
        <f>ROUND($I$360+($O$360-$I$360)/($O$4-$I$4)*($N$4-$I$4),2)</f>
        <v>23.01</v>
      </c>
      <c r="O360" s="253">
        <f t="shared" si="293"/>
        <v>20.83</v>
      </c>
      <c r="P360" s="94">
        <v>0</v>
      </c>
      <c r="Q360" s="253">
        <f t="shared" si="294"/>
        <v>1.32</v>
      </c>
      <c r="R360" s="253">
        <f t="shared" si="291"/>
        <v>1.27</v>
      </c>
      <c r="S360" s="253">
        <f t="shared" si="291"/>
        <v>1.18</v>
      </c>
      <c r="T360" s="253">
        <f t="shared" si="291"/>
        <v>1.1000000000000001</v>
      </c>
      <c r="U360" s="253">
        <f t="shared" si="291"/>
        <v>1.01</v>
      </c>
      <c r="V360" s="253">
        <f t="shared" si="291"/>
        <v>0.92</v>
      </c>
      <c r="W360" s="253">
        <f t="shared" si="291"/>
        <v>0.83</v>
      </c>
      <c r="X360" s="102"/>
      <c r="Y360" s="102"/>
      <c r="Z360" s="102"/>
      <c r="AA360" s="102"/>
      <c r="AB360" s="102"/>
      <c r="AC360" s="102"/>
      <c r="AD360" s="102"/>
      <c r="AE360" s="186">
        <v>0.08</v>
      </c>
      <c r="AF360" s="94"/>
      <c r="AG360" s="94">
        <v>30</v>
      </c>
      <c r="AH360" s="94">
        <v>30</v>
      </c>
      <c r="AI360" s="17">
        <v>1</v>
      </c>
      <c r="AJ360" s="17" t="s">
        <v>660</v>
      </c>
      <c r="AK360" s="17" t="s">
        <v>745</v>
      </c>
      <c r="AL360" s="17"/>
      <c r="AM360" s="61"/>
      <c r="AN360" s="61"/>
      <c r="AO360" s="61"/>
      <c r="AP360" s="61"/>
      <c r="AQ360" s="61"/>
      <c r="AR360" s="61"/>
      <c r="AS360" s="64"/>
      <c r="AT360" s="64"/>
      <c r="AU360" s="64"/>
      <c r="AV360" s="132"/>
      <c r="AW360" s="132"/>
      <c r="AX360" s="132"/>
      <c r="AY360" s="28" t="s">
        <v>662</v>
      </c>
      <c r="AZ360" s="28"/>
      <c r="BA360" s="28"/>
      <c r="BB360" s="28"/>
      <c r="BC360" s="28"/>
      <c r="BD360" s="28"/>
      <c r="BE360" s="28"/>
      <c r="BF360" s="28"/>
      <c r="BG360" s="28"/>
      <c r="BH360" s="106"/>
      <c r="BI360" s="106"/>
      <c r="BJ360" s="106"/>
      <c r="BK360" s="106"/>
      <c r="BL360" s="137"/>
      <c r="BM360" s="123"/>
      <c r="BN360" s="139">
        <v>0</v>
      </c>
      <c r="BO360" s="94"/>
      <c r="BP360" s="94"/>
      <c r="BQ360" s="94"/>
      <c r="BR360" s="94"/>
      <c r="BS360" s="94"/>
      <c r="BT360" s="94"/>
      <c r="BU360" s="28">
        <f t="shared" si="289"/>
        <v>0</v>
      </c>
      <c r="BV360" s="28"/>
      <c r="BW360" s="28"/>
      <c r="BX360" s="28"/>
      <c r="BY360" s="28"/>
      <c r="BZ360" s="28"/>
      <c r="CA360" s="28"/>
      <c r="CB360" s="99"/>
      <c r="CC360" s="99">
        <v>50</v>
      </c>
      <c r="CD360" s="99">
        <v>1000</v>
      </c>
      <c r="CE360" s="99">
        <v>1000</v>
      </c>
      <c r="CF360" s="99">
        <v>1000</v>
      </c>
      <c r="CG360" s="99">
        <v>1000</v>
      </c>
      <c r="CH360" s="99">
        <v>1000</v>
      </c>
      <c r="CI360" s="175"/>
      <c r="CJ360" s="175"/>
      <c r="CK360" s="175"/>
      <c r="CL360" s="175"/>
      <c r="CM360" s="175"/>
      <c r="CN360" s="175"/>
      <c r="CO360" s="175"/>
      <c r="CP360" s="176"/>
      <c r="CQ360" s="176"/>
      <c r="CR360" s="176"/>
      <c r="CS360" s="176"/>
      <c r="CT360" s="176"/>
      <c r="CU360" s="176"/>
      <c r="CV360" s="176"/>
      <c r="CW360" s="167"/>
      <c r="CX360" s="168"/>
      <c r="CY360" s="168"/>
      <c r="CZ360" s="168"/>
      <c r="DA360" s="168"/>
      <c r="DB360" s="168"/>
      <c r="DC360" s="168"/>
      <c r="DD360" s="172"/>
      <c r="DE360" s="172"/>
      <c r="DF360" s="172"/>
      <c r="DG360" s="172"/>
      <c r="DH360" s="172"/>
      <c r="DI360" s="172"/>
      <c r="DJ360" s="172"/>
      <c r="DK360" s="80" t="s">
        <v>1530</v>
      </c>
      <c r="DL360" s="129"/>
      <c r="DM360" s="129"/>
      <c r="DN360" s="129"/>
      <c r="DO360" s="129"/>
      <c r="DP360" s="129"/>
      <c r="DQ360" s="129"/>
      <c r="DR360" s="129"/>
      <c r="DS360" s="218"/>
      <c r="DT360" s="360"/>
      <c r="DU360" s="360"/>
      <c r="DV360" s="360"/>
      <c r="DW360" s="360"/>
      <c r="DX360" s="360"/>
      <c r="DY360" s="360"/>
      <c r="DZ360" s="360"/>
      <c r="EA360" s="360"/>
      <c r="EB360" s="360"/>
      <c r="EC360" s="360"/>
      <c r="ED360" s="360"/>
      <c r="EE360" s="360"/>
      <c r="EF360" s="360"/>
      <c r="EG360" s="360"/>
      <c r="EH360" s="360"/>
      <c r="EI360" s="360"/>
      <c r="EJ360" s="360"/>
      <c r="EK360" s="360"/>
      <c r="EL360" s="360"/>
      <c r="EM360" s="360"/>
      <c r="EN360" s="360"/>
      <c r="EO360" s="360"/>
      <c r="EP360" s="360"/>
      <c r="EQ360" s="360"/>
    </row>
    <row r="361" spans="1:244" x14ac:dyDescent="0.35">
      <c r="A361" s="5" t="s">
        <v>1531</v>
      </c>
      <c r="B361" s="5" t="s">
        <v>740</v>
      </c>
      <c r="C361" s="5" t="s">
        <v>788</v>
      </c>
      <c r="D361" s="5" t="s">
        <v>1213</v>
      </c>
      <c r="E361" s="5" t="s">
        <v>1525</v>
      </c>
      <c r="F361" s="5" t="s">
        <v>487</v>
      </c>
      <c r="G361" s="47" t="s">
        <v>1532</v>
      </c>
      <c r="H361" s="47" t="s">
        <v>659</v>
      </c>
      <c r="I361" s="253">
        <f>ROUND(23*1.333,2)</f>
        <v>30.66</v>
      </c>
      <c r="J361" s="253">
        <f>ROUND($I$361+($O$361-$I$361)/($O$4-$I$4)*($J$4-$I$4),2)</f>
        <v>29.45</v>
      </c>
      <c r="K361" s="253">
        <f>ROUND($I$361+($O$361-$I$361)/($O$4-$I$4)*($K$4-$I$4),2)</f>
        <v>27.42</v>
      </c>
      <c r="L361" s="253">
        <f>ROUND($I$361+($O$361-$I$361)/($O$4-$I$4)*($L$4-$I$4),2)</f>
        <v>25.4</v>
      </c>
      <c r="M361" s="253">
        <f>ROUND($I$361+($O$361-$I$361)/($O$4-$I$4)*($M$4-$I$4),2)</f>
        <v>23.37</v>
      </c>
      <c r="N361" s="253">
        <f>ROUND($I$361+($O$361-$I$361)/($O$4-$I$4)*($N$4-$I$4),2)</f>
        <v>21.35</v>
      </c>
      <c r="O361" s="253">
        <f t="shared" si="293"/>
        <v>19.32</v>
      </c>
      <c r="P361" s="93">
        <v>0</v>
      </c>
      <c r="Q361" s="253">
        <f t="shared" si="294"/>
        <v>1.23</v>
      </c>
      <c r="R361" s="253">
        <f t="shared" si="291"/>
        <v>1.18</v>
      </c>
      <c r="S361" s="253">
        <f t="shared" si="291"/>
        <v>1.1000000000000001</v>
      </c>
      <c r="T361" s="253">
        <f t="shared" si="291"/>
        <v>1.02</v>
      </c>
      <c r="U361" s="253">
        <f t="shared" si="291"/>
        <v>0.93</v>
      </c>
      <c r="V361" s="253">
        <f t="shared" si="291"/>
        <v>0.85</v>
      </c>
      <c r="W361" s="253">
        <f t="shared" si="291"/>
        <v>0.77</v>
      </c>
      <c r="X361" s="101">
        <v>0</v>
      </c>
      <c r="Y361" s="101">
        <v>0</v>
      </c>
      <c r="Z361" s="101">
        <v>0</v>
      </c>
      <c r="AA361" s="101">
        <v>0</v>
      </c>
      <c r="AB361" s="101">
        <v>0</v>
      </c>
      <c r="AC361" s="101">
        <v>0</v>
      </c>
      <c r="AD361" s="101">
        <v>0</v>
      </c>
      <c r="AE361" s="186">
        <v>0.08</v>
      </c>
      <c r="AF361" s="93"/>
      <c r="AG361" s="93">
        <v>30</v>
      </c>
      <c r="AH361" s="93">
        <v>30</v>
      </c>
      <c r="AI361" s="16">
        <v>1</v>
      </c>
      <c r="AJ361" s="16" t="s">
        <v>660</v>
      </c>
      <c r="AK361" s="16" t="s">
        <v>745</v>
      </c>
      <c r="AL361" s="16"/>
      <c r="AM361" s="60"/>
      <c r="AN361" s="60"/>
      <c r="AO361" s="60"/>
      <c r="AP361" s="60"/>
      <c r="AQ361" s="60"/>
      <c r="AR361" s="60"/>
      <c r="AS361" s="63"/>
      <c r="AT361" s="63"/>
      <c r="AU361" s="63"/>
      <c r="AV361" s="131"/>
      <c r="AW361" s="131"/>
      <c r="AX361" s="131"/>
      <c r="AY361" s="27" t="s">
        <v>662</v>
      </c>
      <c r="AZ361" s="27"/>
      <c r="BA361" s="27"/>
      <c r="BB361" s="30"/>
      <c r="BC361" s="30"/>
      <c r="BD361" s="30"/>
      <c r="BE361" s="30"/>
      <c r="BF361" s="30"/>
      <c r="BG361" s="30"/>
      <c r="BH361" s="107"/>
      <c r="BI361" s="107"/>
      <c r="BJ361" s="107"/>
      <c r="BK361" s="107"/>
      <c r="BL361" s="136"/>
      <c r="BM361" s="122"/>
      <c r="BN361" s="138">
        <v>0</v>
      </c>
      <c r="BO361" s="93"/>
      <c r="BP361" s="93"/>
      <c r="BQ361" s="93"/>
      <c r="BR361" s="93"/>
      <c r="BS361" s="93"/>
      <c r="BT361" s="93"/>
      <c r="BU361" s="27">
        <f t="shared" si="289"/>
        <v>0</v>
      </c>
      <c r="BV361" s="27"/>
      <c r="BW361" s="27"/>
      <c r="BX361" s="27"/>
      <c r="BY361" s="27"/>
      <c r="BZ361" s="27"/>
      <c r="CA361" s="27"/>
      <c r="CB361" s="97"/>
      <c r="CC361" s="97">
        <v>50</v>
      </c>
      <c r="CD361" s="97">
        <v>1000</v>
      </c>
      <c r="CE361" s="97">
        <v>1000</v>
      </c>
      <c r="CF361" s="97">
        <v>1000</v>
      </c>
      <c r="CG361" s="97">
        <v>1000</v>
      </c>
      <c r="CH361" s="97">
        <v>1000</v>
      </c>
      <c r="CI361" s="173"/>
      <c r="CJ361" s="173"/>
      <c r="CK361" s="173"/>
      <c r="CL361" s="173"/>
      <c r="CM361" s="173"/>
      <c r="CN361" s="173"/>
      <c r="CO361" s="173"/>
      <c r="CP361" s="174"/>
      <c r="CQ361" s="174"/>
      <c r="CR361" s="174"/>
      <c r="CS361" s="174"/>
      <c r="CT361" s="174"/>
      <c r="CU361" s="174"/>
      <c r="CV361" s="174"/>
      <c r="CW361" s="165"/>
      <c r="CX361" s="166"/>
      <c r="CY361" s="166"/>
      <c r="CZ361" s="166"/>
      <c r="DA361" s="166"/>
      <c r="DB361" s="166"/>
      <c r="DC361" s="166"/>
      <c r="DD361" s="171"/>
      <c r="DE361" s="171"/>
      <c r="DF361" s="171"/>
      <c r="DG361" s="171"/>
      <c r="DH361" s="171"/>
      <c r="DI361" s="171"/>
      <c r="DJ361" s="171"/>
      <c r="DK361" s="79" t="s">
        <v>1527</v>
      </c>
      <c r="DL361" s="128"/>
      <c r="DM361" s="128"/>
      <c r="DN361" s="128"/>
      <c r="DO361" s="128"/>
      <c r="DP361" s="128"/>
      <c r="DQ361" s="128"/>
      <c r="DR361" s="128"/>
      <c r="DS361" s="218"/>
      <c r="DT361" s="360"/>
      <c r="DU361" s="360"/>
      <c r="DV361" s="360"/>
      <c r="DW361" s="360"/>
      <c r="DX361" s="360"/>
      <c r="DY361" s="360"/>
      <c r="DZ361" s="360"/>
      <c r="EA361" s="360"/>
      <c r="EB361" s="360"/>
      <c r="EC361" s="360"/>
      <c r="ED361" s="360"/>
      <c r="EE361" s="360"/>
      <c r="EF361" s="360"/>
      <c r="EG361" s="360"/>
      <c r="EH361" s="360"/>
      <c r="EI361" s="360"/>
      <c r="EJ361" s="360"/>
      <c r="EK361" s="360"/>
      <c r="EL361" s="360"/>
      <c r="EM361" s="360"/>
      <c r="EN361" s="360"/>
      <c r="EO361" s="360"/>
      <c r="EP361" s="360"/>
      <c r="EQ361" s="360"/>
    </row>
    <row r="362" spans="1:244" x14ac:dyDescent="0.35">
      <c r="A362" s="6" t="s">
        <v>1533</v>
      </c>
      <c r="B362" s="6" t="s">
        <v>740</v>
      </c>
      <c r="C362" s="6" t="s">
        <v>788</v>
      </c>
      <c r="D362" s="6" t="s">
        <v>1213</v>
      </c>
      <c r="E362" s="6" t="s">
        <v>1525</v>
      </c>
      <c r="F362" s="6" t="s">
        <v>487</v>
      </c>
      <c r="G362" s="48" t="s">
        <v>1534</v>
      </c>
      <c r="H362" s="48" t="s">
        <v>659</v>
      </c>
      <c r="I362" s="253">
        <f>ROUND(24.8*1.333,2)</f>
        <v>33.06</v>
      </c>
      <c r="J362" s="253">
        <f>ROUND($I$362+($O$362-$I$362)/($O$4-$I$4)*($J$4-$I$4),2)</f>
        <v>31.75</v>
      </c>
      <c r="K362" s="253">
        <f>ROUND($I$362+($O$362-$I$362)/($O$4-$I$4)*($K$4-$I$4),2)</f>
        <v>29.57</v>
      </c>
      <c r="L362" s="253">
        <f>ROUND($I$362+($O$362-$I$362)/($O$4-$I$4)*($L$4-$I$4),2)</f>
        <v>27.38</v>
      </c>
      <c r="M362" s="253">
        <f>ROUND($I$362+($O$362-$I$362)/($O$4-$I$4)*($M$4-$I$4),2)</f>
        <v>25.2</v>
      </c>
      <c r="N362" s="253">
        <f>ROUND($I$362+($O$362-$I$362)/($O$4-$I$4)*($N$4-$I$4),2)</f>
        <v>23.01</v>
      </c>
      <c r="O362" s="253">
        <f t="shared" si="293"/>
        <v>20.83</v>
      </c>
      <c r="P362" s="94">
        <v>0</v>
      </c>
      <c r="Q362" s="253">
        <f t="shared" si="294"/>
        <v>1.32</v>
      </c>
      <c r="R362" s="253">
        <f t="shared" si="291"/>
        <v>1.27</v>
      </c>
      <c r="S362" s="253">
        <f t="shared" si="291"/>
        <v>1.18</v>
      </c>
      <c r="T362" s="253">
        <f t="shared" si="291"/>
        <v>1.1000000000000001</v>
      </c>
      <c r="U362" s="253">
        <f t="shared" si="291"/>
        <v>1.01</v>
      </c>
      <c r="V362" s="253">
        <f t="shared" si="291"/>
        <v>0.92</v>
      </c>
      <c r="W362" s="253">
        <f t="shared" si="291"/>
        <v>0.83</v>
      </c>
      <c r="X362" s="102"/>
      <c r="Y362" s="102"/>
      <c r="Z362" s="102"/>
      <c r="AA362" s="102"/>
      <c r="AB362" s="102"/>
      <c r="AC362" s="102"/>
      <c r="AD362" s="102"/>
      <c r="AE362" s="186">
        <v>0.08</v>
      </c>
      <c r="AF362" s="94"/>
      <c r="AG362" s="94">
        <v>30</v>
      </c>
      <c r="AH362" s="94">
        <v>30</v>
      </c>
      <c r="AI362" s="17">
        <v>1</v>
      </c>
      <c r="AJ362" s="17" t="s">
        <v>660</v>
      </c>
      <c r="AK362" s="17" t="s">
        <v>745</v>
      </c>
      <c r="AL362" s="17"/>
      <c r="AM362" s="61"/>
      <c r="AN362" s="61"/>
      <c r="AO362" s="61"/>
      <c r="AP362" s="61"/>
      <c r="AQ362" s="61"/>
      <c r="AR362" s="61"/>
      <c r="AS362" s="64"/>
      <c r="AT362" s="64"/>
      <c r="AU362" s="64"/>
      <c r="AV362" s="132"/>
      <c r="AW362" s="132"/>
      <c r="AX362" s="132"/>
      <c r="AY362" s="28" t="s">
        <v>662</v>
      </c>
      <c r="AZ362" s="28"/>
      <c r="BA362" s="28"/>
      <c r="BB362" s="28"/>
      <c r="BC362" s="28"/>
      <c r="BD362" s="28"/>
      <c r="BE362" s="28"/>
      <c r="BF362" s="28"/>
      <c r="BG362" s="28"/>
      <c r="BH362" s="106"/>
      <c r="BI362" s="106"/>
      <c r="BJ362" s="106"/>
      <c r="BK362" s="106"/>
      <c r="BL362" s="137"/>
      <c r="BM362" s="123"/>
      <c r="BN362" s="139">
        <v>0</v>
      </c>
      <c r="BO362" s="94"/>
      <c r="BP362" s="94"/>
      <c r="BQ362" s="94"/>
      <c r="BR362" s="94"/>
      <c r="BS362" s="94"/>
      <c r="BT362" s="94"/>
      <c r="BU362" s="28">
        <f t="shared" si="289"/>
        <v>0</v>
      </c>
      <c r="BV362" s="28"/>
      <c r="BW362" s="28"/>
      <c r="BX362" s="28"/>
      <c r="BY362" s="28"/>
      <c r="BZ362" s="28"/>
      <c r="CA362" s="28"/>
      <c r="CB362" s="99"/>
      <c r="CC362" s="99">
        <v>50</v>
      </c>
      <c r="CD362" s="99">
        <v>1000</v>
      </c>
      <c r="CE362" s="99">
        <v>1000</v>
      </c>
      <c r="CF362" s="99">
        <v>1000</v>
      </c>
      <c r="CG362" s="99">
        <v>1000</v>
      </c>
      <c r="CH362" s="99">
        <v>1000</v>
      </c>
      <c r="CI362" s="175"/>
      <c r="CJ362" s="175"/>
      <c r="CK362" s="175"/>
      <c r="CL362" s="175"/>
      <c r="CM362" s="175"/>
      <c r="CN362" s="175"/>
      <c r="CO362" s="175"/>
      <c r="CP362" s="176"/>
      <c r="CQ362" s="176"/>
      <c r="CR362" s="176"/>
      <c r="CS362" s="176"/>
      <c r="CT362" s="176"/>
      <c r="CU362" s="176"/>
      <c r="CV362" s="176"/>
      <c r="CW362" s="167"/>
      <c r="CX362" s="168"/>
      <c r="CY362" s="168"/>
      <c r="CZ362" s="168"/>
      <c r="DA362" s="168"/>
      <c r="DB362" s="168"/>
      <c r="DC362" s="168"/>
      <c r="DD362" s="172"/>
      <c r="DE362" s="172"/>
      <c r="DF362" s="172"/>
      <c r="DG362" s="172"/>
      <c r="DH362" s="172"/>
      <c r="DI362" s="172"/>
      <c r="DJ362" s="172"/>
      <c r="DK362" s="80" t="s">
        <v>1530</v>
      </c>
      <c r="DL362" s="129"/>
      <c r="DM362" s="129"/>
      <c r="DN362" s="129"/>
      <c r="DO362" s="129"/>
      <c r="DP362" s="129"/>
      <c r="DQ362" s="129"/>
      <c r="DR362" s="129"/>
      <c r="DS362" s="218"/>
      <c r="DT362" s="360"/>
      <c r="DU362" s="360"/>
      <c r="DV362" s="360"/>
      <c r="DW362" s="360"/>
      <c r="DX362" s="360"/>
      <c r="DY362" s="360"/>
      <c r="DZ362" s="360"/>
      <c r="EA362" s="360"/>
      <c r="EB362" s="360"/>
      <c r="EC362" s="360"/>
      <c r="ED362" s="360"/>
      <c r="EE362" s="360"/>
      <c r="EF362" s="360"/>
      <c r="EG362" s="360"/>
      <c r="EH362" s="360"/>
      <c r="EI362" s="360"/>
      <c r="EJ362" s="360"/>
      <c r="EK362" s="360"/>
      <c r="EL362" s="360"/>
      <c r="EM362" s="360"/>
      <c r="EN362" s="360"/>
      <c r="EO362" s="360"/>
      <c r="EP362" s="360"/>
      <c r="EQ362" s="360"/>
    </row>
    <row r="363" spans="1:244" s="261" customFormat="1" x14ac:dyDescent="0.35">
      <c r="A363" s="256" t="s">
        <v>1535</v>
      </c>
      <c r="B363" s="256" t="s">
        <v>740</v>
      </c>
      <c r="C363" s="256" t="s">
        <v>788</v>
      </c>
      <c r="D363" s="256" t="s">
        <v>1213</v>
      </c>
      <c r="E363" s="256" t="s">
        <v>1525</v>
      </c>
      <c r="F363" s="256" t="s">
        <v>488</v>
      </c>
      <c r="G363" s="268" t="s">
        <v>1536</v>
      </c>
      <c r="H363" s="268" t="s">
        <v>659</v>
      </c>
      <c r="I363" s="253">
        <f>ROUND(23*1.333+(I367*-EnergyBalance!EG361),2)</f>
        <v>54.9</v>
      </c>
      <c r="J363" s="253">
        <f>ROUND($I363+($O363-$I363)/($O$4-$I$4)*($J$4-$I$4),2)</f>
        <v>52.72</v>
      </c>
      <c r="K363" s="253">
        <f>ROUND($I363+($O363-$I363)/($O$4-$I$4)*($K$4-$I$4),2)</f>
        <v>49.1</v>
      </c>
      <c r="L363" s="253">
        <f>ROUND($I363+($O363-$I363)/($O$4-$I$4)*($L$4-$I$4),2)</f>
        <v>45.47</v>
      </c>
      <c r="M363" s="253">
        <f>ROUND($I363+($O363-$I363)/($O$4-$I$4)*($M$4-$I$4),2)</f>
        <v>41.84</v>
      </c>
      <c r="N363" s="253">
        <f>ROUND($I363+($O363-$I363)/($O$4-$I$4)*($N$4-$I$4),2)</f>
        <v>38.22</v>
      </c>
      <c r="O363" s="253">
        <f t="shared" si="293"/>
        <v>34.590000000000003</v>
      </c>
      <c r="P363" s="269">
        <v>0</v>
      </c>
      <c r="Q363" s="253">
        <f t="shared" si="294"/>
        <v>2.2000000000000002</v>
      </c>
      <c r="R363" s="253">
        <f t="shared" si="291"/>
        <v>2.11</v>
      </c>
      <c r="S363" s="253">
        <f t="shared" si="291"/>
        <v>1.96</v>
      </c>
      <c r="T363" s="253">
        <f t="shared" si="291"/>
        <v>1.82</v>
      </c>
      <c r="U363" s="253">
        <f t="shared" si="291"/>
        <v>1.67</v>
      </c>
      <c r="V363" s="253">
        <f t="shared" si="291"/>
        <v>1.53</v>
      </c>
      <c r="W363" s="253">
        <f t="shared" si="291"/>
        <v>1.38</v>
      </c>
      <c r="X363" s="253">
        <v>0</v>
      </c>
      <c r="Y363" s="253">
        <v>0</v>
      </c>
      <c r="Z363" s="253">
        <v>0</v>
      </c>
      <c r="AA363" s="253">
        <v>0</v>
      </c>
      <c r="AB363" s="253">
        <v>0</v>
      </c>
      <c r="AC363" s="253">
        <v>0</v>
      </c>
      <c r="AD363" s="253">
        <v>0</v>
      </c>
      <c r="AE363" s="186">
        <v>0.08</v>
      </c>
      <c r="AF363" s="269"/>
      <c r="AG363" s="269">
        <v>30</v>
      </c>
      <c r="AH363" s="269">
        <v>30</v>
      </c>
      <c r="AI363" s="270">
        <v>1</v>
      </c>
      <c r="AJ363" s="270" t="s">
        <v>660</v>
      </c>
      <c r="AK363" s="270" t="s">
        <v>745</v>
      </c>
      <c r="AL363" s="270"/>
      <c r="AM363" s="271"/>
      <c r="AN363" s="271"/>
      <c r="AO363" s="271"/>
      <c r="AP363" s="271"/>
      <c r="AQ363" s="271"/>
      <c r="AR363" s="271"/>
      <c r="AS363" s="272"/>
      <c r="AT363" s="272"/>
      <c r="AU363" s="272"/>
      <c r="AV363" s="273"/>
      <c r="AW363" s="273"/>
      <c r="AX363" s="273"/>
      <c r="AY363" s="257" t="s">
        <v>662</v>
      </c>
      <c r="AZ363" s="257"/>
      <c r="BA363" s="257"/>
      <c r="BB363" s="287"/>
      <c r="BC363" s="287"/>
      <c r="BD363" s="287"/>
      <c r="BE363" s="287"/>
      <c r="BF363" s="287"/>
      <c r="BG363" s="287"/>
      <c r="BH363" s="288"/>
      <c r="BI363" s="288"/>
      <c r="BJ363" s="288"/>
      <c r="BK363" s="288"/>
      <c r="BL363" s="275"/>
      <c r="BM363" s="276"/>
      <c r="BN363" s="277">
        <v>0</v>
      </c>
      <c r="BO363" s="269"/>
      <c r="BP363" s="269"/>
      <c r="BQ363" s="269"/>
      <c r="BR363" s="269"/>
      <c r="BS363" s="269"/>
      <c r="BT363" s="269"/>
      <c r="BU363" s="257">
        <f t="shared" ref="BU363:BU366" si="295">IF(BL363=1,BN363,0)</f>
        <v>0</v>
      </c>
      <c r="BV363" s="257"/>
      <c r="BW363" s="257"/>
      <c r="BX363" s="257"/>
      <c r="BY363" s="257"/>
      <c r="BZ363" s="257"/>
      <c r="CA363" s="257"/>
      <c r="CB363" s="244"/>
      <c r="CC363" s="97"/>
      <c r="CD363" s="97"/>
      <c r="CE363" s="97"/>
      <c r="CF363" s="97"/>
      <c r="CG363" s="97"/>
      <c r="CH363" s="97"/>
      <c r="CI363" s="257"/>
      <c r="CJ363" s="257"/>
      <c r="CK363" s="257"/>
      <c r="CL363" s="257"/>
      <c r="CM363" s="257"/>
      <c r="CN363" s="257"/>
      <c r="CO363" s="257"/>
      <c r="CP363" s="258"/>
      <c r="CQ363" s="258"/>
      <c r="CR363" s="258"/>
      <c r="CS363" s="258"/>
      <c r="CT363" s="258"/>
      <c r="CU363" s="258"/>
      <c r="CV363" s="258"/>
      <c r="CW363" s="278"/>
      <c r="CX363" s="279"/>
      <c r="CY363" s="279"/>
      <c r="CZ363" s="279"/>
      <c r="DA363" s="279"/>
      <c r="DB363" s="279"/>
      <c r="DC363" s="279"/>
      <c r="DD363" s="279"/>
      <c r="DE363" s="279"/>
      <c r="DF363" s="279"/>
      <c r="DG363" s="279"/>
      <c r="DH363" s="279"/>
      <c r="DI363" s="279"/>
      <c r="DJ363" s="279"/>
      <c r="DK363" s="265" t="s">
        <v>1527</v>
      </c>
      <c r="DL363" s="278"/>
      <c r="DM363" s="278"/>
      <c r="DN363" s="278"/>
      <c r="DO363" s="278"/>
      <c r="DP363" s="278"/>
      <c r="DQ363" s="278"/>
      <c r="DR363" s="278"/>
      <c r="DS363" s="280"/>
      <c r="DT363" s="360"/>
      <c r="DU363" s="360"/>
      <c r="DV363" s="360"/>
      <c r="DW363" s="360"/>
      <c r="DX363" s="360"/>
      <c r="DY363" s="360"/>
      <c r="DZ363" s="360"/>
      <c r="EA363" s="360"/>
      <c r="EB363" s="360"/>
      <c r="EC363" s="360"/>
      <c r="ED363" s="360"/>
      <c r="EE363" s="360"/>
      <c r="EF363" s="360"/>
      <c r="EG363" s="360"/>
      <c r="EH363" s="360"/>
      <c r="EI363" s="360"/>
      <c r="EJ363" s="360"/>
      <c r="EK363" s="360"/>
      <c r="EL363" s="360"/>
      <c r="EM363" s="360"/>
      <c r="EN363" s="360"/>
      <c r="EO363" s="360"/>
      <c r="EP363" s="360"/>
      <c r="EQ363" s="360"/>
      <c r="ER363" s="1"/>
      <c r="ES363" s="1"/>
      <c r="ET363" s="1"/>
      <c r="EU363" s="1"/>
      <c r="EV363" s="1"/>
      <c r="EW363" s="1"/>
      <c r="EX363" s="1"/>
      <c r="EY363" s="1"/>
      <c r="EZ363" s="1"/>
      <c r="FA363" s="1"/>
      <c r="FB363" s="1"/>
      <c r="FC363" s="1"/>
      <c r="FD363" s="1"/>
      <c r="FE363" s="1"/>
      <c r="FF363" s="1"/>
      <c r="FG363" s="1"/>
      <c r="FH363" s="1"/>
      <c r="FI363" s="1"/>
      <c r="FJ363" s="1"/>
      <c r="FK363" s="1"/>
      <c r="FL363" s="1"/>
      <c r="FM363" s="1"/>
      <c r="FN363" s="1"/>
      <c r="FO363" s="1"/>
      <c r="FP363" s="1"/>
      <c r="FQ363" s="1"/>
      <c r="FR363" s="1"/>
      <c r="FS363" s="1"/>
      <c r="FT363" s="1"/>
      <c r="FU363" s="1"/>
      <c r="FV363" s="1"/>
      <c r="FW363" s="1"/>
      <c r="FX363" s="1"/>
      <c r="FY363" s="1"/>
      <c r="FZ363" s="1"/>
      <c r="GA363" s="1"/>
      <c r="GB363" s="1"/>
      <c r="GC363" s="1"/>
      <c r="GD363" s="1"/>
      <c r="GE363" s="1"/>
      <c r="GF363" s="1"/>
      <c r="GG363" s="1"/>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row>
    <row r="364" spans="1:244" s="261" customFormat="1" x14ac:dyDescent="0.35">
      <c r="A364" s="256" t="s">
        <v>1537</v>
      </c>
      <c r="B364" s="256" t="s">
        <v>740</v>
      </c>
      <c r="C364" s="256" t="s">
        <v>788</v>
      </c>
      <c r="D364" s="256" t="s">
        <v>1213</v>
      </c>
      <c r="E364" s="256" t="s">
        <v>1525</v>
      </c>
      <c r="F364" s="256" t="s">
        <v>488</v>
      </c>
      <c r="G364" s="268" t="s">
        <v>1538</v>
      </c>
      <c r="H364" s="268" t="s">
        <v>659</v>
      </c>
      <c r="I364" s="253">
        <f>ROUND(24.8*1.333+(I372*-EnergyBalance!EI362),2)</f>
        <v>52.76</v>
      </c>
      <c r="J364" s="253">
        <f>ROUND($I364+($O364-$I364)/($O$4-$I$4)*($J$4-$I$4),2)</f>
        <v>50.67</v>
      </c>
      <c r="K364" s="253">
        <f>ROUND($I364+($O364-$I364)/($O$4-$I$4)*($K$4-$I$4),2)</f>
        <v>47.18</v>
      </c>
      <c r="L364" s="253">
        <f>ROUND($I364+($O364-$I364)/($O$4-$I$4)*($L$4-$I$4),2)</f>
        <v>43.7</v>
      </c>
      <c r="M364" s="253">
        <f>ROUND($I364+($O364-$I364)/($O$4-$I$4)*($M$4-$I$4),2)</f>
        <v>40.21</v>
      </c>
      <c r="N364" s="253">
        <f>ROUND($I364+($O364-$I364)/($O$4-$I$4)*($N$4-$I$4),2)</f>
        <v>36.729999999999997</v>
      </c>
      <c r="O364" s="253">
        <f t="shared" si="293"/>
        <v>33.24</v>
      </c>
      <c r="P364" s="269">
        <v>0</v>
      </c>
      <c r="Q364" s="253">
        <f t="shared" si="294"/>
        <v>2.11</v>
      </c>
      <c r="R364" s="253">
        <f t="shared" si="291"/>
        <v>2.0299999999999998</v>
      </c>
      <c r="S364" s="253">
        <f t="shared" si="291"/>
        <v>1.89</v>
      </c>
      <c r="T364" s="253">
        <f t="shared" si="291"/>
        <v>1.75</v>
      </c>
      <c r="U364" s="253">
        <f t="shared" si="291"/>
        <v>1.61</v>
      </c>
      <c r="V364" s="253">
        <f t="shared" si="291"/>
        <v>1.47</v>
      </c>
      <c r="W364" s="253">
        <f t="shared" si="291"/>
        <v>1.33</v>
      </c>
      <c r="X364" s="253"/>
      <c r="Y364" s="253"/>
      <c r="Z364" s="253"/>
      <c r="AA364" s="253"/>
      <c r="AB364" s="253"/>
      <c r="AC364" s="253"/>
      <c r="AD364" s="253"/>
      <c r="AE364" s="186">
        <v>0.08</v>
      </c>
      <c r="AF364" s="269"/>
      <c r="AG364" s="269">
        <v>30</v>
      </c>
      <c r="AH364" s="269">
        <v>30</v>
      </c>
      <c r="AI364" s="270">
        <v>1</v>
      </c>
      <c r="AJ364" s="270" t="s">
        <v>660</v>
      </c>
      <c r="AK364" s="270" t="s">
        <v>745</v>
      </c>
      <c r="AL364" s="270"/>
      <c r="AM364" s="271"/>
      <c r="AN364" s="271"/>
      <c r="AO364" s="271"/>
      <c r="AP364" s="271"/>
      <c r="AQ364" s="271"/>
      <c r="AR364" s="271"/>
      <c r="AS364" s="272"/>
      <c r="AT364" s="272"/>
      <c r="AU364" s="272"/>
      <c r="AV364" s="273"/>
      <c r="AW364" s="273"/>
      <c r="AX364" s="273"/>
      <c r="AY364" s="257" t="s">
        <v>662</v>
      </c>
      <c r="AZ364" s="257"/>
      <c r="BA364" s="257"/>
      <c r="BB364" s="257"/>
      <c r="BC364" s="257"/>
      <c r="BD364" s="257"/>
      <c r="BE364" s="257"/>
      <c r="BF364" s="257"/>
      <c r="BG364" s="257"/>
      <c r="BH364" s="274"/>
      <c r="BI364" s="274"/>
      <c r="BJ364" s="274"/>
      <c r="BK364" s="274"/>
      <c r="BL364" s="275"/>
      <c r="BM364" s="276"/>
      <c r="BN364" s="277">
        <v>0</v>
      </c>
      <c r="BO364" s="269"/>
      <c r="BP364" s="269"/>
      <c r="BQ364" s="269"/>
      <c r="BR364" s="269"/>
      <c r="BS364" s="269"/>
      <c r="BT364" s="269"/>
      <c r="BU364" s="257">
        <f t="shared" si="295"/>
        <v>0</v>
      </c>
      <c r="BV364" s="257"/>
      <c r="BW364" s="257"/>
      <c r="BX364" s="257"/>
      <c r="BY364" s="257"/>
      <c r="BZ364" s="257"/>
      <c r="CA364" s="257"/>
      <c r="CB364" s="244"/>
      <c r="CC364" s="99"/>
      <c r="CD364" s="99"/>
      <c r="CE364" s="99"/>
      <c r="CF364" s="99"/>
      <c r="CG364" s="99"/>
      <c r="CH364" s="99"/>
      <c r="CI364" s="257"/>
      <c r="CJ364" s="257"/>
      <c r="CK364" s="257"/>
      <c r="CL364" s="257"/>
      <c r="CM364" s="257"/>
      <c r="CN364" s="257"/>
      <c r="CO364" s="257"/>
      <c r="CP364" s="258"/>
      <c r="CQ364" s="258"/>
      <c r="CR364" s="258"/>
      <c r="CS364" s="258"/>
      <c r="CT364" s="258"/>
      <c r="CU364" s="258"/>
      <c r="CV364" s="258"/>
      <c r="CW364" s="278"/>
      <c r="CX364" s="279"/>
      <c r="CY364" s="279"/>
      <c r="CZ364" s="279"/>
      <c r="DA364" s="279"/>
      <c r="DB364" s="279"/>
      <c r="DC364" s="279"/>
      <c r="DD364" s="279"/>
      <c r="DE364" s="279"/>
      <c r="DF364" s="279"/>
      <c r="DG364" s="279"/>
      <c r="DH364" s="279"/>
      <c r="DI364" s="279"/>
      <c r="DJ364" s="279"/>
      <c r="DK364" s="265" t="s">
        <v>1530</v>
      </c>
      <c r="DL364" s="278"/>
      <c r="DM364" s="278"/>
      <c r="DN364" s="278"/>
      <c r="DO364" s="278"/>
      <c r="DP364" s="278"/>
      <c r="DQ364" s="278"/>
      <c r="DR364" s="278"/>
      <c r="DS364" s="280"/>
      <c r="DT364" s="360"/>
      <c r="DU364" s="360"/>
      <c r="DV364" s="360"/>
      <c r="DW364" s="360"/>
      <c r="DX364" s="360"/>
      <c r="DY364" s="360"/>
      <c r="DZ364" s="360"/>
      <c r="EA364" s="360"/>
      <c r="EB364" s="360"/>
      <c r="EC364" s="360"/>
      <c r="ED364" s="360"/>
      <c r="EE364" s="360"/>
      <c r="EF364" s="360"/>
      <c r="EG364" s="360"/>
      <c r="EH364" s="360"/>
      <c r="EI364" s="360"/>
      <c r="EJ364" s="360"/>
      <c r="EK364" s="360"/>
      <c r="EL364" s="360"/>
      <c r="EM364" s="360"/>
      <c r="EN364" s="360"/>
      <c r="EO364" s="360"/>
      <c r="EP364" s="360"/>
      <c r="EQ364" s="360"/>
      <c r="ER364" s="1"/>
      <c r="ES364" s="1"/>
      <c r="ET364" s="1"/>
      <c r="EU364" s="1"/>
      <c r="EV364" s="1"/>
      <c r="EW364" s="1"/>
      <c r="EX364" s="1"/>
      <c r="EY364" s="1"/>
      <c r="EZ364" s="1"/>
      <c r="FA364" s="1"/>
      <c r="FB364" s="1"/>
      <c r="FC364" s="1"/>
      <c r="FD364" s="1"/>
      <c r="FE364" s="1"/>
      <c r="FF364" s="1"/>
      <c r="FG364" s="1"/>
      <c r="FH364" s="1"/>
      <c r="FI364" s="1"/>
      <c r="FJ364" s="1"/>
      <c r="FK364" s="1"/>
      <c r="FL364" s="1"/>
      <c r="FM364" s="1"/>
      <c r="FN364" s="1"/>
      <c r="FO364" s="1"/>
      <c r="FP364" s="1"/>
      <c r="FQ364" s="1"/>
      <c r="FR364" s="1"/>
      <c r="FS364" s="1"/>
      <c r="FT364" s="1"/>
      <c r="FU364" s="1"/>
      <c r="FV364" s="1"/>
      <c r="FW364" s="1"/>
      <c r="FX364" s="1"/>
      <c r="FY364" s="1"/>
      <c r="FZ364" s="1"/>
      <c r="GA364" s="1"/>
      <c r="GB364" s="1"/>
      <c r="GC364" s="1"/>
      <c r="GD364" s="1"/>
      <c r="GE364" s="1"/>
      <c r="GF364" s="1"/>
      <c r="GG364" s="1"/>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row>
    <row r="365" spans="1:244" x14ac:dyDescent="0.35">
      <c r="A365" s="5" t="s">
        <v>1539</v>
      </c>
      <c r="B365" s="5" t="s">
        <v>740</v>
      </c>
      <c r="C365" s="5" t="s">
        <v>788</v>
      </c>
      <c r="D365" s="5" t="s">
        <v>1213</v>
      </c>
      <c r="E365" s="5" t="s">
        <v>1500</v>
      </c>
      <c r="F365" s="5" t="s">
        <v>489</v>
      </c>
      <c r="G365" s="47" t="s">
        <v>1540</v>
      </c>
      <c r="H365" s="47" t="s">
        <v>659</v>
      </c>
      <c r="I365" s="253">
        <v>61.176390923174552</v>
      </c>
      <c r="J365" s="253">
        <v>61.176390923174552</v>
      </c>
      <c r="K365" s="253">
        <v>61.176390923174552</v>
      </c>
      <c r="L365" s="253">
        <v>61.176390923174552</v>
      </c>
      <c r="M365" s="253">
        <v>61.176390923174552</v>
      </c>
      <c r="N365" s="253">
        <v>61.176390923174552</v>
      </c>
      <c r="O365" s="253">
        <v>61.176390923174552</v>
      </c>
      <c r="P365" s="93">
        <v>0</v>
      </c>
      <c r="Q365" s="253">
        <f>ROUND(I365*0.03,2)</f>
        <v>1.84</v>
      </c>
      <c r="R365" s="253">
        <f t="shared" ref="R365:W366" si="296">ROUND(J365*0.03,2)</f>
        <v>1.84</v>
      </c>
      <c r="S365" s="253">
        <f t="shared" si="296"/>
        <v>1.84</v>
      </c>
      <c r="T365" s="253">
        <f t="shared" si="296"/>
        <v>1.84</v>
      </c>
      <c r="U365" s="253">
        <f t="shared" si="296"/>
        <v>1.84</v>
      </c>
      <c r="V365" s="253">
        <f t="shared" si="296"/>
        <v>1.84</v>
      </c>
      <c r="W365" s="253">
        <f t="shared" si="296"/>
        <v>1.84</v>
      </c>
      <c r="X365" s="101">
        <v>0</v>
      </c>
      <c r="Y365" s="101">
        <v>0</v>
      </c>
      <c r="Z365" s="101">
        <v>0</v>
      </c>
      <c r="AA365" s="101">
        <v>0</v>
      </c>
      <c r="AB365" s="101">
        <v>0</v>
      </c>
      <c r="AC365" s="101">
        <v>0</v>
      </c>
      <c r="AD365" s="101">
        <v>0</v>
      </c>
      <c r="AE365" s="186">
        <v>0.08</v>
      </c>
      <c r="AF365" s="93"/>
      <c r="AG365" s="93">
        <v>30</v>
      </c>
      <c r="AH365" s="93">
        <v>30</v>
      </c>
      <c r="AI365" s="16">
        <v>1</v>
      </c>
      <c r="AJ365" s="16" t="s">
        <v>660</v>
      </c>
      <c r="AK365" s="16" t="s">
        <v>745</v>
      </c>
      <c r="AL365" s="16"/>
      <c r="AM365" s="60"/>
      <c r="AN365" s="60"/>
      <c r="AO365" s="60"/>
      <c r="AP365" s="60"/>
      <c r="AQ365" s="60"/>
      <c r="AR365" s="60"/>
      <c r="AS365" s="63"/>
      <c r="AT365" s="63"/>
      <c r="AU365" s="63"/>
      <c r="AV365" s="131"/>
      <c r="AW365" s="131"/>
      <c r="AX365" s="131"/>
      <c r="AY365" s="27" t="s">
        <v>662</v>
      </c>
      <c r="AZ365" s="27"/>
      <c r="BA365" s="27"/>
      <c r="BB365" s="30"/>
      <c r="BC365" s="30"/>
      <c r="BD365" s="30"/>
      <c r="BE365" s="30"/>
      <c r="BF365" s="30"/>
      <c r="BG365" s="30"/>
      <c r="BH365" s="107"/>
      <c r="BI365" s="107"/>
      <c r="BJ365" s="107"/>
      <c r="BK365" s="107"/>
      <c r="BL365" s="136"/>
      <c r="BM365" s="122"/>
      <c r="BN365" s="138">
        <v>0</v>
      </c>
      <c r="BO365" s="93"/>
      <c r="BP365" s="93"/>
      <c r="BQ365" s="93"/>
      <c r="BR365" s="93"/>
      <c r="BS365" s="93"/>
      <c r="BT365" s="93"/>
      <c r="BU365" s="27">
        <f t="shared" si="295"/>
        <v>0</v>
      </c>
      <c r="BV365" s="27"/>
      <c r="BW365" s="27"/>
      <c r="BX365" s="27"/>
      <c r="BY365" s="27"/>
      <c r="BZ365" s="27"/>
      <c r="CA365" s="27"/>
      <c r="CB365" s="97"/>
      <c r="CC365" s="97">
        <v>50</v>
      </c>
      <c r="CD365" s="97">
        <v>100</v>
      </c>
      <c r="CE365" s="97">
        <v>100</v>
      </c>
      <c r="CF365" s="97">
        <v>200</v>
      </c>
      <c r="CG365" s="97">
        <v>200</v>
      </c>
      <c r="CH365" s="97">
        <v>200</v>
      </c>
      <c r="CI365" s="173"/>
      <c r="CJ365" s="173"/>
      <c r="CK365" s="173"/>
      <c r="CL365" s="173"/>
      <c r="CM365" s="173"/>
      <c r="CN365" s="173"/>
      <c r="CO365" s="173"/>
      <c r="CP365" s="174"/>
      <c r="CQ365" s="174"/>
      <c r="CR365" s="174"/>
      <c r="CS365" s="174"/>
      <c r="CT365" s="174"/>
      <c r="CU365" s="174"/>
      <c r="CV365" s="174"/>
      <c r="CW365" s="165"/>
      <c r="CX365" s="166"/>
      <c r="CY365" s="166"/>
      <c r="CZ365" s="166"/>
      <c r="DA365" s="166"/>
      <c r="DB365" s="166"/>
      <c r="DC365" s="166"/>
      <c r="DD365" s="171"/>
      <c r="DE365" s="171"/>
      <c r="DF365" s="171"/>
      <c r="DG365" s="171"/>
      <c r="DH365" s="171"/>
      <c r="DI365" s="171"/>
      <c r="DJ365" s="171"/>
      <c r="DK365" s="79" t="s">
        <v>1541</v>
      </c>
      <c r="DL365" s="128"/>
      <c r="DM365" s="128"/>
      <c r="DN365" s="128"/>
      <c r="DO365" s="128"/>
      <c r="DP365" s="128"/>
      <c r="DQ365" s="128"/>
      <c r="DR365" s="128"/>
      <c r="DS365" s="218"/>
      <c r="DT365" s="360"/>
      <c r="DU365" s="360"/>
      <c r="DV365" s="360"/>
      <c r="DW365" s="360"/>
      <c r="DX365" s="360"/>
      <c r="DY365" s="360"/>
      <c r="DZ365" s="360"/>
      <c r="EA365" s="360"/>
      <c r="EB365" s="360"/>
      <c r="EC365" s="360"/>
      <c r="ED365" s="360"/>
      <c r="EE365" s="360"/>
      <c r="EF365" s="360"/>
      <c r="EG365" s="360"/>
      <c r="EH365" s="360"/>
      <c r="EI365" s="360"/>
      <c r="EJ365" s="360"/>
      <c r="EK365" s="360"/>
      <c r="EL365" s="360"/>
      <c r="EM365" s="360"/>
      <c r="EN365" s="360"/>
      <c r="EO365" s="360"/>
      <c r="EP365" s="360"/>
      <c r="EQ365" s="360"/>
    </row>
    <row r="366" spans="1:244" s="347" customFormat="1" x14ac:dyDescent="0.35">
      <c r="A366" s="327" t="s">
        <v>1542</v>
      </c>
      <c r="B366" s="327" t="s">
        <v>740</v>
      </c>
      <c r="C366" s="327" t="s">
        <v>788</v>
      </c>
      <c r="D366" s="327" t="s">
        <v>1213</v>
      </c>
      <c r="E366" s="327" t="s">
        <v>1500</v>
      </c>
      <c r="F366" s="327" t="s">
        <v>489</v>
      </c>
      <c r="G366" s="328" t="s">
        <v>1543</v>
      </c>
      <c r="H366" s="328" t="s">
        <v>659</v>
      </c>
      <c r="I366" s="329">
        <v>74.124183794860471</v>
      </c>
      <c r="J366" s="329">
        <v>74.124183794860471</v>
      </c>
      <c r="K366" s="329">
        <v>74.124183794860471</v>
      </c>
      <c r="L366" s="329">
        <v>74.124183794860471</v>
      </c>
      <c r="M366" s="329">
        <v>74.124183794860471</v>
      </c>
      <c r="N366" s="329">
        <v>74.124183794860471</v>
      </c>
      <c r="O366" s="329">
        <v>74.124183794860471</v>
      </c>
      <c r="P366" s="330"/>
      <c r="Q366" s="329">
        <f>ROUND(I366*0.03,2)</f>
        <v>2.2200000000000002</v>
      </c>
      <c r="R366" s="329">
        <f t="shared" si="296"/>
        <v>2.2200000000000002</v>
      </c>
      <c r="S366" s="329">
        <f t="shared" si="296"/>
        <v>2.2200000000000002</v>
      </c>
      <c r="T366" s="329">
        <f t="shared" si="296"/>
        <v>2.2200000000000002</v>
      </c>
      <c r="U366" s="329">
        <f t="shared" si="296"/>
        <v>2.2200000000000002</v>
      </c>
      <c r="V366" s="329">
        <f t="shared" si="296"/>
        <v>2.2200000000000002</v>
      </c>
      <c r="W366" s="329">
        <f t="shared" si="296"/>
        <v>2.2200000000000002</v>
      </c>
      <c r="X366" s="329">
        <v>0</v>
      </c>
      <c r="Y366" s="329">
        <v>0</v>
      </c>
      <c r="Z366" s="329">
        <v>0</v>
      </c>
      <c r="AA366" s="329">
        <v>0</v>
      </c>
      <c r="AB366" s="329">
        <v>0</v>
      </c>
      <c r="AC366" s="329">
        <v>0</v>
      </c>
      <c r="AD366" s="329">
        <v>0</v>
      </c>
      <c r="AE366" s="186">
        <v>0.08</v>
      </c>
      <c r="AF366" s="330"/>
      <c r="AG366" s="330">
        <v>30</v>
      </c>
      <c r="AH366" s="330">
        <v>30</v>
      </c>
      <c r="AI366" s="331">
        <v>1</v>
      </c>
      <c r="AJ366" s="331" t="s">
        <v>660</v>
      </c>
      <c r="AK366" s="331" t="s">
        <v>745</v>
      </c>
      <c r="AL366" s="331"/>
      <c r="AM366" s="332"/>
      <c r="AN366" s="332"/>
      <c r="AO366" s="332"/>
      <c r="AP366" s="332"/>
      <c r="AQ366" s="332"/>
      <c r="AR366" s="332"/>
      <c r="AS366" s="333"/>
      <c r="AT366" s="333"/>
      <c r="AU366" s="333"/>
      <c r="AV366" s="334"/>
      <c r="AW366" s="334"/>
      <c r="AX366" s="334"/>
      <c r="AY366" s="335" t="s">
        <v>662</v>
      </c>
      <c r="AZ366" s="335"/>
      <c r="BA366" s="336"/>
      <c r="BB366" s="337"/>
      <c r="BC366" s="337"/>
      <c r="BD366" s="337"/>
      <c r="BE366" s="337"/>
      <c r="BF366" s="337"/>
      <c r="BG366" s="337"/>
      <c r="BH366" s="338"/>
      <c r="BI366" s="338"/>
      <c r="BJ366" s="338"/>
      <c r="BK366" s="338"/>
      <c r="BL366" s="339"/>
      <c r="BM366" s="340"/>
      <c r="BN366" s="341">
        <v>0</v>
      </c>
      <c r="BO366" s="330"/>
      <c r="BP366" s="330"/>
      <c r="BQ366" s="330"/>
      <c r="BR366" s="330"/>
      <c r="BS366" s="330"/>
      <c r="BT366" s="330"/>
      <c r="BU366" s="335">
        <f t="shared" si="295"/>
        <v>0</v>
      </c>
      <c r="BV366" s="335"/>
      <c r="BW366" s="335"/>
      <c r="BX366" s="335"/>
      <c r="BY366" s="335"/>
      <c r="BZ366" s="335"/>
      <c r="CA366" s="335"/>
      <c r="CB366" s="342"/>
      <c r="CC366" s="342">
        <v>50</v>
      </c>
      <c r="CD366" s="97">
        <v>100</v>
      </c>
      <c r="CE366" s="97">
        <v>100</v>
      </c>
      <c r="CF366" s="97">
        <v>200</v>
      </c>
      <c r="CG366" s="97">
        <v>200</v>
      </c>
      <c r="CH366" s="97">
        <v>200</v>
      </c>
      <c r="CI366" s="335"/>
      <c r="CJ366" s="335"/>
      <c r="CK366" s="335"/>
      <c r="CL366" s="335"/>
      <c r="CM366" s="335"/>
      <c r="CN366" s="335"/>
      <c r="CO366" s="335"/>
      <c r="CP366" s="343"/>
      <c r="CQ366" s="343"/>
      <c r="CR366" s="343"/>
      <c r="CS366" s="343"/>
      <c r="CT366" s="343"/>
      <c r="CU366" s="343"/>
      <c r="CV366" s="343"/>
      <c r="CW366" s="344"/>
      <c r="CX366" s="345"/>
      <c r="CY366" s="345"/>
      <c r="CZ366" s="345"/>
      <c r="DA366" s="345"/>
      <c r="DB366" s="345"/>
      <c r="DC366" s="345"/>
      <c r="DD366" s="345"/>
      <c r="DE366" s="345"/>
      <c r="DF366" s="345"/>
      <c r="DG366" s="345"/>
      <c r="DH366" s="345"/>
      <c r="DI366" s="345"/>
      <c r="DJ366" s="345"/>
      <c r="DK366" s="79" t="s">
        <v>1541</v>
      </c>
      <c r="DL366" s="344"/>
      <c r="DM366" s="344"/>
      <c r="DN366" s="344"/>
      <c r="DO366" s="344"/>
      <c r="DP366" s="344"/>
      <c r="DQ366" s="344"/>
      <c r="DR366" s="344"/>
      <c r="DS366" s="346"/>
      <c r="DT366" s="360"/>
      <c r="DU366" s="360"/>
      <c r="DV366" s="360"/>
      <c r="DW366" s="360"/>
      <c r="DX366" s="360"/>
      <c r="DY366" s="360"/>
      <c r="DZ366" s="360"/>
      <c r="EA366" s="360"/>
      <c r="EB366" s="360"/>
      <c r="EC366" s="360"/>
      <c r="ED366" s="360"/>
      <c r="EE366" s="360"/>
      <c r="EF366" s="360"/>
      <c r="EG366" s="360"/>
      <c r="EH366" s="360"/>
      <c r="EI366" s="360"/>
      <c r="EJ366" s="360"/>
      <c r="EK366" s="360"/>
      <c r="EL366" s="360"/>
      <c r="EM366" s="360"/>
      <c r="EN366" s="360"/>
      <c r="EO366" s="360"/>
      <c r="EP366" s="360"/>
      <c r="EQ366" s="360"/>
      <c r="ER366" s="1"/>
      <c r="ES366" s="1"/>
      <c r="ET366" s="1"/>
      <c r="EU366" s="1"/>
      <c r="EV366" s="1"/>
      <c r="EW366" s="1"/>
      <c r="EX366" s="1"/>
      <c r="EY366" s="1"/>
      <c r="EZ366" s="1"/>
      <c r="FA366" s="1"/>
      <c r="FB366" s="1"/>
      <c r="FC366" s="1"/>
      <c r="FD366" s="1"/>
      <c r="FE366" s="1"/>
      <c r="FF366" s="1"/>
      <c r="FG366" s="1"/>
      <c r="FH366" s="1"/>
      <c r="FI366" s="1"/>
      <c r="FJ366" s="1"/>
      <c r="FK366" s="1"/>
      <c r="FL366" s="1"/>
      <c r="FM366" s="1"/>
      <c r="FN366" s="1"/>
      <c r="FO366" s="1"/>
      <c r="FP366" s="1"/>
      <c r="FQ366" s="1"/>
      <c r="FR366" s="1"/>
      <c r="FS366" s="1"/>
      <c r="FT366" s="1"/>
      <c r="FU366" s="1"/>
      <c r="FV366" s="1"/>
      <c r="FW366" s="1"/>
      <c r="FX366" s="1"/>
      <c r="FY366" s="1"/>
      <c r="FZ366" s="1"/>
      <c r="GA366" s="1"/>
      <c r="GB366" s="1"/>
      <c r="GC366" s="1"/>
      <c r="GD366" s="1"/>
      <c r="GE366" s="1"/>
      <c r="GF366" s="1"/>
      <c r="GG366" s="1"/>
      <c r="GH366" s="1"/>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row>
    <row r="367" spans="1:244" x14ac:dyDescent="0.35">
      <c r="A367" s="6" t="s">
        <v>1544</v>
      </c>
      <c r="B367" s="6" t="s">
        <v>740</v>
      </c>
      <c r="C367" s="6" t="s">
        <v>788</v>
      </c>
      <c r="D367" s="6" t="s">
        <v>1213</v>
      </c>
      <c r="E367" s="6" t="s">
        <v>1525</v>
      </c>
      <c r="F367" s="6" t="s">
        <v>489</v>
      </c>
      <c r="G367" s="48" t="s">
        <v>1545</v>
      </c>
      <c r="H367" s="48" t="s">
        <v>659</v>
      </c>
      <c r="I367" s="253">
        <v>15.147669221572489</v>
      </c>
      <c r="J367" s="253">
        <v>15.147669221572489</v>
      </c>
      <c r="K367" s="253">
        <v>15.147669221572489</v>
      </c>
      <c r="L367" s="253">
        <v>15.147669221572489</v>
      </c>
      <c r="M367" s="253">
        <v>15.147669221572489</v>
      </c>
      <c r="N367" s="253">
        <v>15.147669221572489</v>
      </c>
      <c r="O367" s="253">
        <v>15.147669221572489</v>
      </c>
      <c r="P367" s="283">
        <v>0</v>
      </c>
      <c r="Q367" s="253">
        <v>0.37869173053931227</v>
      </c>
      <c r="R367" s="253">
        <v>0.37869173053931227</v>
      </c>
      <c r="S367" s="253">
        <v>0.37869173053931227</v>
      </c>
      <c r="T367" s="253">
        <v>0.37869173053931227</v>
      </c>
      <c r="U367" s="253">
        <v>0.37869173053931227</v>
      </c>
      <c r="V367" s="253">
        <v>0.37869173053931227</v>
      </c>
      <c r="W367" s="253">
        <v>0.37869173053931227</v>
      </c>
      <c r="X367" s="102">
        <v>0</v>
      </c>
      <c r="Y367" s="102">
        <v>0</v>
      </c>
      <c r="Z367" s="102">
        <v>0</v>
      </c>
      <c r="AA367" s="102">
        <v>0</v>
      </c>
      <c r="AB367" s="102">
        <v>0</v>
      </c>
      <c r="AC367" s="102">
        <v>0</v>
      </c>
      <c r="AD367" s="102">
        <v>0</v>
      </c>
      <c r="AE367" s="186">
        <v>0.08</v>
      </c>
      <c r="AF367" s="94">
        <v>0</v>
      </c>
      <c r="AG367" s="94">
        <v>25</v>
      </c>
      <c r="AH367" s="94">
        <v>25</v>
      </c>
      <c r="AI367" s="17">
        <v>1</v>
      </c>
      <c r="AJ367" s="17" t="s">
        <v>660</v>
      </c>
      <c r="AK367" s="17" t="s">
        <v>745</v>
      </c>
      <c r="AL367" s="17"/>
      <c r="AM367" s="61"/>
      <c r="AN367" s="61"/>
      <c r="AO367" s="61"/>
      <c r="AP367" s="61"/>
      <c r="AQ367" s="61"/>
      <c r="AR367" s="61"/>
      <c r="AS367" s="64"/>
      <c r="AT367" s="64"/>
      <c r="AU367" s="64"/>
      <c r="AV367" s="132"/>
      <c r="AW367" s="132"/>
      <c r="AX367" s="132"/>
      <c r="AY367" s="28" t="s">
        <v>662</v>
      </c>
      <c r="AZ367" s="28"/>
      <c r="BA367" s="28"/>
      <c r="BB367" s="28"/>
      <c r="BC367" s="28"/>
      <c r="BD367" s="28"/>
      <c r="BE367" s="28"/>
      <c r="BF367" s="28"/>
      <c r="BG367" s="28"/>
      <c r="BH367" s="106"/>
      <c r="BI367" s="106"/>
      <c r="BJ367" s="106"/>
      <c r="BK367" s="106"/>
      <c r="BL367" s="137"/>
      <c r="BM367" s="123"/>
      <c r="BN367" s="139">
        <v>0</v>
      </c>
      <c r="BO367" s="94"/>
      <c r="BP367" s="94"/>
      <c r="BQ367" s="94"/>
      <c r="BR367" s="94"/>
      <c r="BS367" s="94"/>
      <c r="BT367" s="94"/>
      <c r="BU367" s="28">
        <f t="shared" si="289"/>
        <v>0</v>
      </c>
      <c r="BV367" s="28"/>
      <c r="BW367" s="28"/>
      <c r="BX367" s="28"/>
      <c r="BY367" s="28"/>
      <c r="BZ367" s="28"/>
      <c r="CA367" s="28"/>
      <c r="CB367" s="99">
        <v>0</v>
      </c>
      <c r="CC367" s="99">
        <v>50</v>
      </c>
      <c r="CD367" s="99">
        <v>1000</v>
      </c>
      <c r="CE367" s="99">
        <v>1000</v>
      </c>
      <c r="CF367" s="99">
        <v>1000</v>
      </c>
      <c r="CG367" s="99">
        <v>1000</v>
      </c>
      <c r="CH367" s="99">
        <v>1000</v>
      </c>
      <c r="CI367" s="175"/>
      <c r="CJ367" s="175"/>
      <c r="CK367" s="175"/>
      <c r="CL367" s="175"/>
      <c r="CM367" s="175"/>
      <c r="CN367" s="175"/>
      <c r="CO367" s="175"/>
      <c r="CP367" s="176"/>
      <c r="CQ367" s="176"/>
      <c r="CR367" s="176"/>
      <c r="CS367" s="176"/>
      <c r="CT367" s="176"/>
      <c r="CU367" s="176"/>
      <c r="CV367" s="176"/>
      <c r="CW367" s="167"/>
      <c r="CX367" s="168"/>
      <c r="CY367" s="168"/>
      <c r="CZ367" s="168"/>
      <c r="DA367" s="168"/>
      <c r="DB367" s="168"/>
      <c r="DC367" s="168"/>
      <c r="DD367" s="172"/>
      <c r="DE367" s="172"/>
      <c r="DF367" s="172"/>
      <c r="DG367" s="172"/>
      <c r="DH367" s="172"/>
      <c r="DI367" s="172"/>
      <c r="DJ367" s="172"/>
      <c r="DK367" s="80" t="s">
        <v>792</v>
      </c>
      <c r="DL367" s="129">
        <v>1000</v>
      </c>
      <c r="DM367" s="129">
        <v>1000</v>
      </c>
      <c r="DN367" s="129">
        <v>1000</v>
      </c>
      <c r="DO367" s="129">
        <v>1000</v>
      </c>
      <c r="DP367" s="129">
        <v>1000</v>
      </c>
      <c r="DQ367" s="129">
        <v>1000</v>
      </c>
      <c r="DR367" s="129">
        <v>1000</v>
      </c>
      <c r="DS367" s="218"/>
      <c r="DT367" s="360"/>
      <c r="DU367" s="360"/>
      <c r="DV367" s="360"/>
      <c r="DW367" s="360"/>
      <c r="DX367" s="360"/>
      <c r="DY367" s="360"/>
      <c r="DZ367" s="360"/>
      <c r="EA367" s="360"/>
      <c r="EB367" s="360"/>
      <c r="EC367" s="360"/>
      <c r="ED367" s="360"/>
      <c r="EE367" s="360"/>
      <c r="EF367" s="360"/>
      <c r="EG367" s="360"/>
      <c r="EH367" s="360"/>
      <c r="EI367" s="360"/>
      <c r="EJ367" s="360"/>
      <c r="EK367" s="360"/>
      <c r="EL367" s="360"/>
      <c r="EM367" s="360"/>
      <c r="EN367" s="360"/>
      <c r="EO367" s="360"/>
      <c r="EP367" s="360"/>
      <c r="EQ367" s="360"/>
    </row>
    <row r="368" spans="1:244" x14ac:dyDescent="0.35">
      <c r="A368" s="5" t="s">
        <v>1546</v>
      </c>
      <c r="B368" s="5" t="s">
        <v>740</v>
      </c>
      <c r="C368" s="5" t="s">
        <v>788</v>
      </c>
      <c r="D368" s="5" t="s">
        <v>1213</v>
      </c>
      <c r="E368" s="5" t="s">
        <v>1525</v>
      </c>
      <c r="F368" s="5" t="s">
        <v>489</v>
      </c>
      <c r="G368" s="47" t="s">
        <v>1547</v>
      </c>
      <c r="H368" s="47" t="s">
        <v>659</v>
      </c>
      <c r="I368" s="101">
        <v>8</v>
      </c>
      <c r="J368" s="101">
        <v>7</v>
      </c>
      <c r="K368" s="101">
        <v>5</v>
      </c>
      <c r="L368" s="101">
        <v>4</v>
      </c>
      <c r="M368" s="101">
        <v>2</v>
      </c>
      <c r="N368" s="101">
        <v>1.5</v>
      </c>
      <c r="O368" s="101">
        <v>1</v>
      </c>
      <c r="P368" s="93">
        <v>0</v>
      </c>
      <c r="Q368" s="101">
        <v>0.15</v>
      </c>
      <c r="R368" s="101">
        <v>0.14000000000000001</v>
      </c>
      <c r="S368" s="101">
        <v>0.12</v>
      </c>
      <c r="T368" s="101">
        <v>0.1</v>
      </c>
      <c r="U368" s="101">
        <v>0.05</v>
      </c>
      <c r="V368" s="101">
        <v>0.04</v>
      </c>
      <c r="W368" s="101">
        <v>0.03</v>
      </c>
      <c r="X368" s="101">
        <v>0</v>
      </c>
      <c r="Y368" s="101">
        <v>0</v>
      </c>
      <c r="Z368" s="101">
        <v>0</v>
      </c>
      <c r="AA368" s="101">
        <v>0</v>
      </c>
      <c r="AB368" s="101">
        <v>0</v>
      </c>
      <c r="AC368" s="101">
        <v>0</v>
      </c>
      <c r="AD368" s="101">
        <v>0</v>
      </c>
      <c r="AE368" s="186">
        <v>0.08</v>
      </c>
      <c r="AF368" s="93"/>
      <c r="AG368" s="93">
        <v>30</v>
      </c>
      <c r="AH368" s="93">
        <v>30</v>
      </c>
      <c r="AI368" s="16">
        <v>1</v>
      </c>
      <c r="AJ368" s="16" t="s">
        <v>765</v>
      </c>
      <c r="AK368" s="16" t="s">
        <v>745</v>
      </c>
      <c r="AL368" s="16"/>
      <c r="AM368" s="60"/>
      <c r="AN368" s="60"/>
      <c r="AO368" s="60"/>
      <c r="AP368" s="60"/>
      <c r="AQ368" s="60"/>
      <c r="AR368" s="60"/>
      <c r="AS368" s="63">
        <v>0.2</v>
      </c>
      <c r="AT368" s="63"/>
      <c r="AU368" s="63" t="s">
        <v>766</v>
      </c>
      <c r="AV368" s="131"/>
      <c r="AW368" s="131"/>
      <c r="AX368" s="131"/>
      <c r="AY368" s="27" t="s">
        <v>662</v>
      </c>
      <c r="AZ368" s="27"/>
      <c r="BA368" s="27"/>
      <c r="BB368" s="30"/>
      <c r="BC368" s="30"/>
      <c r="BD368" s="30"/>
      <c r="BE368" s="30"/>
      <c r="BF368" s="30"/>
      <c r="BG368" s="30"/>
      <c r="BH368" s="107"/>
      <c r="BI368" s="107"/>
      <c r="BJ368" s="107"/>
      <c r="BK368" s="107"/>
      <c r="BL368" s="136"/>
      <c r="BM368" s="122"/>
      <c r="BN368" s="138">
        <v>0</v>
      </c>
      <c r="BO368" s="93"/>
      <c r="BP368" s="93"/>
      <c r="BQ368" s="93"/>
      <c r="BR368" s="93"/>
      <c r="BS368" s="93"/>
      <c r="BT368" s="93"/>
      <c r="BU368" s="27">
        <f t="shared" si="289"/>
        <v>0</v>
      </c>
      <c r="BV368" s="27"/>
      <c r="BW368" s="27"/>
      <c r="BX368" s="27"/>
      <c r="BY368" s="27"/>
      <c r="BZ368" s="27"/>
      <c r="CA368" s="27"/>
      <c r="CB368" s="97"/>
      <c r="CC368" s="97"/>
      <c r="CD368" s="97">
        <v>0</v>
      </c>
      <c r="CE368" s="97">
        <v>0</v>
      </c>
      <c r="CF368" s="97">
        <v>0</v>
      </c>
      <c r="CG368" s="97">
        <v>0</v>
      </c>
      <c r="CH368" s="97">
        <v>0</v>
      </c>
      <c r="CI368" s="173"/>
      <c r="CJ368" s="173"/>
      <c r="CK368" s="173"/>
      <c r="CL368" s="173"/>
      <c r="CM368" s="173"/>
      <c r="CN368" s="173"/>
      <c r="CO368" s="173"/>
      <c r="CP368" s="174"/>
      <c r="CQ368" s="174"/>
      <c r="CR368" s="174"/>
      <c r="CS368" s="174"/>
      <c r="CT368" s="174"/>
      <c r="CU368" s="174"/>
      <c r="CV368" s="174"/>
      <c r="CW368" s="165"/>
      <c r="CX368" s="166"/>
      <c r="CY368" s="166"/>
      <c r="CZ368" s="166"/>
      <c r="DA368" s="166"/>
      <c r="DB368" s="166"/>
      <c r="DC368" s="166"/>
      <c r="DD368" s="171"/>
      <c r="DE368" s="171"/>
      <c r="DF368" s="171"/>
      <c r="DG368" s="171"/>
      <c r="DH368" s="171"/>
      <c r="DI368" s="171"/>
      <c r="DJ368" s="171"/>
      <c r="DK368" s="79" t="s">
        <v>1548</v>
      </c>
      <c r="DL368" s="128">
        <v>500</v>
      </c>
      <c r="DM368" s="128">
        <v>500</v>
      </c>
      <c r="DN368" s="128">
        <v>500</v>
      </c>
      <c r="DO368" s="128">
        <v>500</v>
      </c>
      <c r="DP368" s="128">
        <v>500</v>
      </c>
      <c r="DQ368" s="128">
        <v>500</v>
      </c>
      <c r="DR368" s="128">
        <v>500</v>
      </c>
      <c r="DS368" s="218"/>
      <c r="DT368" s="360"/>
      <c r="DU368" s="360"/>
      <c r="DV368" s="360"/>
      <c r="DW368" s="360"/>
      <c r="DX368" s="360"/>
      <c r="DY368" s="360"/>
      <c r="DZ368" s="360"/>
      <c r="EA368" s="360"/>
      <c r="EB368" s="360"/>
      <c r="EC368" s="360"/>
      <c r="ED368" s="360"/>
      <c r="EE368" s="360"/>
      <c r="EF368" s="360"/>
      <c r="EG368" s="360"/>
      <c r="EH368" s="360"/>
      <c r="EI368" s="360"/>
      <c r="EJ368" s="360"/>
      <c r="EK368" s="360"/>
      <c r="EL368" s="360"/>
      <c r="EM368" s="360"/>
      <c r="EN368" s="360"/>
      <c r="EO368" s="360"/>
      <c r="EP368" s="360"/>
      <c r="EQ368" s="360"/>
    </row>
    <row r="369" spans="1:244" s="261" customFormat="1" x14ac:dyDescent="0.35">
      <c r="A369" s="256" t="s">
        <v>1549</v>
      </c>
      <c r="B369" s="256" t="s">
        <v>740</v>
      </c>
      <c r="C369" s="256" t="s">
        <v>788</v>
      </c>
      <c r="D369" s="256" t="s">
        <v>1213</v>
      </c>
      <c r="E369" s="256" t="s">
        <v>1475</v>
      </c>
      <c r="F369" s="256" t="s">
        <v>489</v>
      </c>
      <c r="G369" s="392" t="s">
        <v>1550</v>
      </c>
      <c r="H369" s="268" t="s">
        <v>659</v>
      </c>
      <c r="I369" s="282">
        <f>(80.99/3.6)*1.337</f>
        <v>30.078786111111107</v>
      </c>
      <c r="J369" s="282">
        <f t="shared" ref="J369:O369" si="297">(80.99/3.6)*1.337</f>
        <v>30.078786111111107</v>
      </c>
      <c r="K369" s="282">
        <f t="shared" si="297"/>
        <v>30.078786111111107</v>
      </c>
      <c r="L369" s="282">
        <f t="shared" si="297"/>
        <v>30.078786111111107</v>
      </c>
      <c r="M369" s="282">
        <f t="shared" si="297"/>
        <v>30.078786111111107</v>
      </c>
      <c r="N369" s="282">
        <f t="shared" si="297"/>
        <v>30.078786111111107</v>
      </c>
      <c r="O369" s="282">
        <f t="shared" si="297"/>
        <v>30.078786111111107</v>
      </c>
      <c r="P369" s="269">
        <v>0</v>
      </c>
      <c r="Q369" s="253">
        <f>ROUND(I369*0.04,2)</f>
        <v>1.2</v>
      </c>
      <c r="R369" s="253">
        <f t="shared" ref="R369:W369" si="298">ROUND(J369*0.04,2)</f>
        <v>1.2</v>
      </c>
      <c r="S369" s="253">
        <f t="shared" si="298"/>
        <v>1.2</v>
      </c>
      <c r="T369" s="253">
        <f t="shared" si="298"/>
        <v>1.2</v>
      </c>
      <c r="U369" s="253">
        <f t="shared" si="298"/>
        <v>1.2</v>
      </c>
      <c r="V369" s="253">
        <f t="shared" si="298"/>
        <v>1.2</v>
      </c>
      <c r="W369" s="253">
        <f t="shared" si="298"/>
        <v>1.2</v>
      </c>
      <c r="X369" s="253">
        <v>0</v>
      </c>
      <c r="Y369" s="253">
        <v>0</v>
      </c>
      <c r="Z369" s="253">
        <v>0</v>
      </c>
      <c r="AA369" s="253">
        <v>0</v>
      </c>
      <c r="AB369" s="253">
        <v>0</v>
      </c>
      <c r="AC369" s="253">
        <v>0</v>
      </c>
      <c r="AD369" s="253">
        <v>0</v>
      </c>
      <c r="AE369" s="186">
        <v>0.08</v>
      </c>
      <c r="AF369" s="269">
        <v>0</v>
      </c>
      <c r="AG369" s="269">
        <v>30</v>
      </c>
      <c r="AH369" s="269">
        <v>30</v>
      </c>
      <c r="AI369" s="270">
        <v>1</v>
      </c>
      <c r="AJ369" s="270" t="s">
        <v>660</v>
      </c>
      <c r="AK369" s="270" t="s">
        <v>745</v>
      </c>
      <c r="AL369" s="270"/>
      <c r="AM369" s="271"/>
      <c r="AN369" s="271"/>
      <c r="AO369" s="271"/>
      <c r="AP369" s="271"/>
      <c r="AQ369" s="271"/>
      <c r="AR369" s="271"/>
      <c r="AS369" s="272"/>
      <c r="AT369" s="272"/>
      <c r="AU369" s="272"/>
      <c r="AV369" s="273"/>
      <c r="AW369" s="273"/>
      <c r="AX369" s="273"/>
      <c r="AY369" s="257" t="s">
        <v>662</v>
      </c>
      <c r="AZ369" s="257"/>
      <c r="BA369" s="257"/>
      <c r="BB369" s="257"/>
      <c r="BC369" s="257"/>
      <c r="BD369" s="257"/>
      <c r="BE369" s="257"/>
      <c r="BF369" s="257"/>
      <c r="BG369" s="257"/>
      <c r="BH369" s="274"/>
      <c r="BI369" s="274"/>
      <c r="BJ369" s="274"/>
      <c r="BK369" s="274"/>
      <c r="BL369" s="275"/>
      <c r="BM369" s="276"/>
      <c r="BN369" s="277">
        <v>0</v>
      </c>
      <c r="BO369" s="269"/>
      <c r="BP369" s="269"/>
      <c r="BQ369" s="269"/>
      <c r="BR369" s="269"/>
      <c r="BS369" s="269"/>
      <c r="BT369" s="269"/>
      <c r="BU369" s="257">
        <f t="shared" ref="BU369" si="299">IF(BL369=1,BN369,0)</f>
        <v>0</v>
      </c>
      <c r="BV369" s="257"/>
      <c r="BW369" s="257"/>
      <c r="BX369" s="257"/>
      <c r="BY369" s="257"/>
      <c r="BZ369" s="257"/>
      <c r="CA369" s="257"/>
      <c r="CB369" s="244">
        <v>10</v>
      </c>
      <c r="CC369" s="244">
        <v>200</v>
      </c>
      <c r="CD369" s="389">
        <v>1000</v>
      </c>
      <c r="CE369" s="389">
        <v>1000</v>
      </c>
      <c r="CF369" s="389">
        <v>1000</v>
      </c>
      <c r="CG369" s="389">
        <v>1000</v>
      </c>
      <c r="CH369" s="389">
        <v>1000</v>
      </c>
      <c r="CI369" s="257"/>
      <c r="CJ369" s="257"/>
      <c r="CK369" s="257"/>
      <c r="CL369" s="257"/>
      <c r="CM369" s="257"/>
      <c r="CN369" s="257"/>
      <c r="CO369" s="257"/>
      <c r="CP369" s="258"/>
      <c r="CQ369" s="258"/>
      <c r="CR369" s="258"/>
      <c r="CS369" s="258"/>
      <c r="CT369" s="258"/>
      <c r="CU369" s="258"/>
      <c r="CV369" s="258"/>
      <c r="CW369" s="278"/>
      <c r="CX369" s="279"/>
      <c r="CY369" s="279"/>
      <c r="CZ369" s="279"/>
      <c r="DA369" s="279"/>
      <c r="DB369" s="279"/>
      <c r="DC369" s="279"/>
      <c r="DD369" s="279"/>
      <c r="DE369" s="279"/>
      <c r="DF369" s="279"/>
      <c r="DG369" s="279"/>
      <c r="DH369" s="279"/>
      <c r="DI369" s="279"/>
      <c r="DJ369" s="279"/>
      <c r="DK369" s="265" t="s">
        <v>1551</v>
      </c>
      <c r="DL369" s="278">
        <v>1000</v>
      </c>
      <c r="DM369" s="278">
        <v>1000</v>
      </c>
      <c r="DN369" s="278">
        <v>1000</v>
      </c>
      <c r="DO369" s="278">
        <v>1000</v>
      </c>
      <c r="DP369" s="278">
        <v>1000</v>
      </c>
      <c r="DQ369" s="278">
        <v>1000</v>
      </c>
      <c r="DR369" s="278">
        <v>1000</v>
      </c>
      <c r="DS369" s="280"/>
      <c r="DT369" s="360"/>
      <c r="DU369" s="360"/>
      <c r="DV369" s="360"/>
      <c r="DW369" s="360"/>
      <c r="DX369" s="360"/>
      <c r="DY369" s="360"/>
      <c r="DZ369" s="360"/>
      <c r="EA369" s="360"/>
      <c r="EB369" s="360"/>
      <c r="EC369" s="360"/>
      <c r="ED369" s="360"/>
      <c r="EE369" s="360"/>
      <c r="EF369" s="360"/>
      <c r="EG369" s="360"/>
      <c r="EH369" s="360"/>
      <c r="EI369" s="360"/>
      <c r="EJ369" s="360"/>
      <c r="EK369" s="360"/>
      <c r="EL369" s="360"/>
      <c r="EM369" s="360"/>
      <c r="EN369" s="360"/>
      <c r="EO369" s="360"/>
      <c r="EP369" s="360"/>
      <c r="EQ369" s="360"/>
      <c r="ER369" s="1"/>
      <c r="ES369" s="1"/>
      <c r="ET369" s="1"/>
      <c r="EU369" s="1"/>
      <c r="EV369" s="1"/>
      <c r="EW369" s="1"/>
      <c r="EX369" s="1"/>
      <c r="EY369" s="1"/>
      <c r="EZ369" s="1"/>
      <c r="FA369" s="1"/>
      <c r="FB369" s="1"/>
      <c r="FC369" s="1"/>
      <c r="FD369" s="1"/>
      <c r="FE369" s="1"/>
      <c r="FF369" s="1"/>
      <c r="FG369" s="1"/>
      <c r="FH369" s="1"/>
      <c r="FI369" s="1"/>
      <c r="FJ369" s="1"/>
      <c r="FK369" s="1"/>
      <c r="FL369" s="1"/>
      <c r="FM369" s="1"/>
      <c r="FN369" s="1"/>
      <c r="FO369" s="1"/>
      <c r="FP369" s="1"/>
      <c r="FQ369" s="1"/>
      <c r="FR369" s="1"/>
      <c r="FS369" s="1"/>
      <c r="FT369" s="1"/>
      <c r="FU369" s="1"/>
      <c r="FV369" s="1"/>
      <c r="FW369" s="1"/>
      <c r="FX369" s="1"/>
      <c r="FY369" s="1"/>
      <c r="FZ369" s="1"/>
      <c r="GA369" s="1"/>
      <c r="GB369" s="1"/>
      <c r="GC369" s="1"/>
      <c r="GD369" s="1"/>
      <c r="GE369" s="1"/>
      <c r="GF369" s="1"/>
      <c r="GG369" s="1"/>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row>
    <row r="370" spans="1:244" x14ac:dyDescent="0.35">
      <c r="A370" s="6" t="s">
        <v>1552</v>
      </c>
      <c r="B370" s="6" t="s">
        <v>740</v>
      </c>
      <c r="C370" s="6" t="s">
        <v>788</v>
      </c>
      <c r="D370" s="6" t="s">
        <v>1213</v>
      </c>
      <c r="E370" s="6" t="s">
        <v>1525</v>
      </c>
      <c r="F370" s="6" t="s">
        <v>490</v>
      </c>
      <c r="G370" s="48" t="s">
        <v>1553</v>
      </c>
      <c r="H370" s="48" t="s">
        <v>659</v>
      </c>
      <c r="I370" s="253">
        <v>11.589384376846876</v>
      </c>
      <c r="J370" s="253">
        <v>11.589384376846876</v>
      </c>
      <c r="K370" s="253">
        <v>11.589384376846876</v>
      </c>
      <c r="L370" s="253">
        <v>11.589384376846876</v>
      </c>
      <c r="M370" s="253">
        <v>11.589384376846876</v>
      </c>
      <c r="N370" s="253">
        <v>11.589384376846876</v>
      </c>
      <c r="O370" s="253">
        <v>11.589384376846876</v>
      </c>
      <c r="P370" s="94">
        <v>0</v>
      </c>
      <c r="Q370" s="253">
        <v>0.28973460942117191</v>
      </c>
      <c r="R370" s="253">
        <v>0.28973460942117191</v>
      </c>
      <c r="S370" s="253">
        <v>0.28973460942117191</v>
      </c>
      <c r="T370" s="253">
        <v>0.28973460942117191</v>
      </c>
      <c r="U370" s="253">
        <v>0.28973460942117191</v>
      </c>
      <c r="V370" s="253">
        <v>0.28973460942117191</v>
      </c>
      <c r="W370" s="253">
        <v>0.28973460942117191</v>
      </c>
      <c r="X370" s="102"/>
      <c r="Y370" s="102"/>
      <c r="Z370" s="102"/>
      <c r="AA370" s="102"/>
      <c r="AB370" s="102"/>
      <c r="AC370" s="102"/>
      <c r="AD370" s="102"/>
      <c r="AE370" s="186">
        <v>0.08</v>
      </c>
      <c r="AF370" s="94"/>
      <c r="AG370" s="94">
        <v>25</v>
      </c>
      <c r="AH370" s="94">
        <v>25</v>
      </c>
      <c r="AI370" s="17">
        <v>1</v>
      </c>
      <c r="AJ370" s="17" t="s">
        <v>660</v>
      </c>
      <c r="AK370" s="17" t="s">
        <v>745</v>
      </c>
      <c r="AL370" s="17"/>
      <c r="AM370" s="61"/>
      <c r="AN370" s="61"/>
      <c r="AO370" s="61"/>
      <c r="AP370" s="61"/>
      <c r="AQ370" s="61"/>
      <c r="AR370" s="61"/>
      <c r="AS370" s="64"/>
      <c r="AT370" s="64"/>
      <c r="AU370" s="64"/>
      <c r="AV370" s="132"/>
      <c r="AW370" s="132"/>
      <c r="AX370" s="132"/>
      <c r="AY370" s="28" t="s">
        <v>662</v>
      </c>
      <c r="AZ370" s="28"/>
      <c r="BA370" s="28"/>
      <c r="BB370" s="28"/>
      <c r="BC370" s="28"/>
      <c r="BD370" s="28"/>
      <c r="BE370" s="28"/>
      <c r="BF370" s="28"/>
      <c r="BG370" s="28"/>
      <c r="BH370" s="106"/>
      <c r="BI370" s="106"/>
      <c r="BJ370" s="106"/>
      <c r="BK370" s="106"/>
      <c r="BL370" s="137"/>
      <c r="BM370" s="123"/>
      <c r="BN370" s="139">
        <v>8.9600000000000009</v>
      </c>
      <c r="BO370" s="94"/>
      <c r="BP370" s="94"/>
      <c r="BQ370" s="94"/>
      <c r="BR370" s="94"/>
      <c r="BS370" s="94"/>
      <c r="BT370" s="94"/>
      <c r="BU370" s="28">
        <f t="shared" si="289"/>
        <v>0</v>
      </c>
      <c r="BV370" s="28"/>
      <c r="BW370" s="28"/>
      <c r="BX370" s="28"/>
      <c r="BY370" s="28"/>
      <c r="BZ370" s="28"/>
      <c r="CA370" s="28"/>
      <c r="CB370" s="244">
        <v>10</v>
      </c>
      <c r="CC370" s="244">
        <v>50</v>
      </c>
      <c r="CD370" s="244">
        <v>250</v>
      </c>
      <c r="CE370" s="244">
        <v>500</v>
      </c>
      <c r="CF370" s="244">
        <v>1000</v>
      </c>
      <c r="CG370" s="244">
        <v>1000</v>
      </c>
      <c r="CH370" s="244">
        <v>1000</v>
      </c>
      <c r="CI370" s="257"/>
      <c r="CJ370" s="175"/>
      <c r="CK370" s="175"/>
      <c r="CL370" s="175"/>
      <c r="CM370" s="175"/>
      <c r="CN370" s="175"/>
      <c r="CO370" s="175"/>
      <c r="CP370" s="176"/>
      <c r="CQ370" s="176"/>
      <c r="CR370" s="176"/>
      <c r="CS370" s="176"/>
      <c r="CT370" s="176"/>
      <c r="CU370" s="176"/>
      <c r="CV370" s="176"/>
      <c r="CW370" s="167"/>
      <c r="CX370" s="168"/>
      <c r="CY370" s="168"/>
      <c r="CZ370" s="168"/>
      <c r="DA370" s="168"/>
      <c r="DB370" s="168"/>
      <c r="DC370" s="168"/>
      <c r="DD370" s="172"/>
      <c r="DE370" s="172"/>
      <c r="DF370" s="172"/>
      <c r="DG370" s="172"/>
      <c r="DH370" s="172"/>
      <c r="DI370" s="172"/>
      <c r="DJ370" s="172"/>
      <c r="DK370" s="80" t="s">
        <v>1554</v>
      </c>
      <c r="DL370" s="129">
        <v>1000</v>
      </c>
      <c r="DM370" s="129">
        <v>1000</v>
      </c>
      <c r="DN370" s="129">
        <v>1000</v>
      </c>
      <c r="DO370" s="129">
        <v>1000</v>
      </c>
      <c r="DP370" s="129">
        <v>1000</v>
      </c>
      <c r="DQ370" s="129">
        <v>1000</v>
      </c>
      <c r="DR370" s="129">
        <v>1000</v>
      </c>
      <c r="DS370" s="218"/>
      <c r="DT370" s="360"/>
      <c r="DU370" s="360"/>
      <c r="DV370" s="360"/>
      <c r="DW370" s="360"/>
      <c r="DX370" s="360"/>
      <c r="DY370" s="360"/>
      <c r="DZ370" s="360"/>
      <c r="EA370" s="360"/>
      <c r="EB370" s="360"/>
      <c r="EC370" s="360"/>
      <c r="ED370" s="360"/>
      <c r="EE370" s="360"/>
      <c r="EF370" s="360"/>
      <c r="EG370" s="360"/>
      <c r="EH370" s="360"/>
      <c r="EI370" s="360"/>
      <c r="EJ370" s="360"/>
      <c r="EK370" s="360"/>
      <c r="EL370" s="360"/>
      <c r="EM370" s="360"/>
      <c r="EN370" s="360"/>
      <c r="EO370" s="360"/>
      <c r="EP370" s="360"/>
      <c r="EQ370" s="360"/>
    </row>
    <row r="371" spans="1:244" x14ac:dyDescent="0.35">
      <c r="A371" s="5" t="s">
        <v>1555</v>
      </c>
      <c r="B371" s="5" t="s">
        <v>740</v>
      </c>
      <c r="C371" s="5" t="s">
        <v>788</v>
      </c>
      <c r="D371" s="5" t="s">
        <v>1213</v>
      </c>
      <c r="E371" s="5" t="s">
        <v>1525</v>
      </c>
      <c r="F371" s="5" t="s">
        <v>490</v>
      </c>
      <c r="G371" s="47" t="s">
        <v>1556</v>
      </c>
      <c r="H371" s="47" t="s">
        <v>659</v>
      </c>
      <c r="I371" s="253">
        <f>23/'Data Sources'!I9</f>
        <v>23.985197520584698</v>
      </c>
      <c r="J371" s="253">
        <f>I371</f>
        <v>23.985197520584698</v>
      </c>
      <c r="K371" s="253">
        <f t="shared" ref="K371:O371" si="300">J371</f>
        <v>23.985197520584698</v>
      </c>
      <c r="L371" s="253">
        <f t="shared" si="300"/>
        <v>23.985197520584698</v>
      </c>
      <c r="M371" s="253">
        <f t="shared" si="300"/>
        <v>23.985197520584698</v>
      </c>
      <c r="N371" s="253">
        <f t="shared" si="300"/>
        <v>23.985197520584698</v>
      </c>
      <c r="O371" s="253">
        <f t="shared" si="300"/>
        <v>23.985197520584698</v>
      </c>
      <c r="P371" s="93">
        <v>0</v>
      </c>
      <c r="Q371" s="253">
        <f t="shared" ref="Q371" si="301">ROUND(I371*0.04,2)</f>
        <v>0.96</v>
      </c>
      <c r="R371" s="253">
        <f t="shared" ref="R371" si="302">ROUND(J371*0.04,2)</f>
        <v>0.96</v>
      </c>
      <c r="S371" s="253">
        <f t="shared" ref="S371" si="303">ROUND(K371*0.04,2)</f>
        <v>0.96</v>
      </c>
      <c r="T371" s="253">
        <f t="shared" ref="T371" si="304">ROUND(L371*0.04,2)</f>
        <v>0.96</v>
      </c>
      <c r="U371" s="253">
        <f t="shared" ref="U371" si="305">ROUND(M371*0.04,2)</f>
        <v>0.96</v>
      </c>
      <c r="V371" s="253">
        <f t="shared" ref="V371" si="306">ROUND(N371*0.04,2)</f>
        <v>0.96</v>
      </c>
      <c r="W371" s="253">
        <f t="shared" ref="W371" si="307">ROUND(O371*0.04,2)</f>
        <v>0.96</v>
      </c>
      <c r="X371" s="101">
        <v>0</v>
      </c>
      <c r="Y371" s="101">
        <v>0</v>
      </c>
      <c r="Z371" s="101">
        <v>0</v>
      </c>
      <c r="AA371" s="101">
        <v>0</v>
      </c>
      <c r="AB371" s="101">
        <v>0</v>
      </c>
      <c r="AC371" s="101">
        <v>0</v>
      </c>
      <c r="AD371" s="101">
        <v>0</v>
      </c>
      <c r="AE371" s="186">
        <v>0.08</v>
      </c>
      <c r="AF371" s="93">
        <v>0</v>
      </c>
      <c r="AG371" s="93">
        <v>30</v>
      </c>
      <c r="AH371" s="93">
        <v>30</v>
      </c>
      <c r="AI371" s="16">
        <v>1</v>
      </c>
      <c r="AJ371" s="16" t="s">
        <v>660</v>
      </c>
      <c r="AK371" s="16" t="s">
        <v>745</v>
      </c>
      <c r="AL371" s="16"/>
      <c r="AM371" s="60"/>
      <c r="AN371" s="60"/>
      <c r="AO371" s="60"/>
      <c r="AP371" s="60"/>
      <c r="AQ371" s="60"/>
      <c r="AR371" s="60"/>
      <c r="AS371" s="63"/>
      <c r="AT371" s="63"/>
      <c r="AU371" s="63"/>
      <c r="AV371" s="131"/>
      <c r="AW371" s="131"/>
      <c r="AX371" s="131"/>
      <c r="AY371" s="27" t="s">
        <v>662</v>
      </c>
      <c r="AZ371" s="27"/>
      <c r="BA371" s="27"/>
      <c r="BB371" s="30"/>
      <c r="BC371" s="30"/>
      <c r="BD371" s="30"/>
      <c r="BE371" s="30"/>
      <c r="BF371" s="30"/>
      <c r="BG371" s="30"/>
      <c r="BH371" s="107"/>
      <c r="BI371" s="107"/>
      <c r="BJ371" s="107"/>
      <c r="BK371" s="107"/>
      <c r="BL371" s="136"/>
      <c r="BM371" s="122"/>
      <c r="BN371" s="138">
        <v>0</v>
      </c>
      <c r="BO371" s="93"/>
      <c r="BP371" s="93"/>
      <c r="BQ371" s="93"/>
      <c r="BR371" s="93"/>
      <c r="BS371" s="93"/>
      <c r="BT371" s="93"/>
      <c r="BU371" s="27">
        <f t="shared" si="289"/>
        <v>0</v>
      </c>
      <c r="BV371" s="27"/>
      <c r="BW371" s="27"/>
      <c r="BX371" s="27"/>
      <c r="BY371" s="27"/>
      <c r="BZ371" s="27"/>
      <c r="CA371" s="27"/>
      <c r="CB371" s="97">
        <v>0</v>
      </c>
      <c r="CC371" s="97">
        <v>0</v>
      </c>
      <c r="CD371" s="97"/>
      <c r="CE371" s="97"/>
      <c r="CF371" s="97">
        <v>250</v>
      </c>
      <c r="CG371" s="97">
        <v>500</v>
      </c>
      <c r="CH371" s="97">
        <v>1000</v>
      </c>
      <c r="CI371" s="173"/>
      <c r="CJ371" s="173"/>
      <c r="CK371" s="173"/>
      <c r="CL371" s="173"/>
      <c r="CM371" s="173"/>
      <c r="CN371" s="173"/>
      <c r="CO371" s="173"/>
      <c r="CP371" s="174"/>
      <c r="CQ371" s="174"/>
      <c r="CR371" s="174"/>
      <c r="CS371" s="174"/>
      <c r="CT371" s="174"/>
      <c r="CU371" s="174"/>
      <c r="CV371" s="174"/>
      <c r="CW371" s="165"/>
      <c r="CX371" s="166"/>
      <c r="CY371" s="166"/>
      <c r="CZ371" s="166"/>
      <c r="DA371" s="166"/>
      <c r="DB371" s="166"/>
      <c r="DC371" s="166"/>
      <c r="DD371" s="171"/>
      <c r="DE371" s="171"/>
      <c r="DF371" s="171"/>
      <c r="DG371" s="171"/>
      <c r="DH371" s="171"/>
      <c r="DI371" s="171"/>
      <c r="DJ371" s="171"/>
      <c r="DK371" s="79" t="s">
        <v>1557</v>
      </c>
      <c r="DL371" s="128">
        <v>500</v>
      </c>
      <c r="DM371" s="128">
        <v>500</v>
      </c>
      <c r="DN371" s="128">
        <v>500</v>
      </c>
      <c r="DO371" s="128">
        <v>500</v>
      </c>
      <c r="DP371" s="128">
        <v>500</v>
      </c>
      <c r="DQ371" s="128">
        <v>500</v>
      </c>
      <c r="DR371" s="128">
        <v>500</v>
      </c>
      <c r="DS371" s="218"/>
      <c r="DT371" s="360"/>
      <c r="DU371" s="360"/>
      <c r="DV371" s="360"/>
      <c r="DW371" s="360"/>
      <c r="DX371" s="360"/>
      <c r="DY371" s="360"/>
      <c r="DZ371" s="360"/>
      <c r="EA371" s="360"/>
      <c r="EB371" s="360"/>
      <c r="EC371" s="360"/>
      <c r="ED371" s="360"/>
      <c r="EE371" s="360"/>
      <c r="EF371" s="360"/>
      <c r="EG371" s="360"/>
      <c r="EH371" s="360"/>
      <c r="EI371" s="360"/>
      <c r="EJ371" s="360"/>
      <c r="EK371" s="360"/>
      <c r="EL371" s="360"/>
      <c r="EM371" s="360"/>
      <c r="EN371" s="360"/>
      <c r="EO371" s="360"/>
      <c r="EP371" s="360"/>
      <c r="EQ371" s="360"/>
    </row>
    <row r="372" spans="1:244" s="310" customFormat="1" x14ac:dyDescent="0.35">
      <c r="A372" s="290" t="s">
        <v>1558</v>
      </c>
      <c r="B372" s="290" t="s">
        <v>740</v>
      </c>
      <c r="C372" s="290" t="s">
        <v>788</v>
      </c>
      <c r="D372" s="290" t="s">
        <v>1213</v>
      </c>
      <c r="E372" s="290" t="s">
        <v>1525</v>
      </c>
      <c r="F372" s="290" t="s">
        <v>490</v>
      </c>
      <c r="G372" s="291" t="s">
        <v>1559</v>
      </c>
      <c r="H372" s="291" t="s">
        <v>659</v>
      </c>
      <c r="I372" s="292">
        <f>ROUND(11*1.054,2)</f>
        <v>11.59</v>
      </c>
      <c r="J372" s="292">
        <f>ROUND($I$371+($O$371-$I$371)/($O$4-$I$4)*($J$4-$I$4),2)</f>
        <v>23.99</v>
      </c>
      <c r="K372" s="292">
        <f>ROUND($I$371+($O$371-$I$371)/($O$4-$I$4)*($K$4-$I$4),2)</f>
        <v>23.99</v>
      </c>
      <c r="L372" s="292">
        <f>ROUND($I$371+($O$371-$I$371)/($O$4-$I$4)*($L$4-$I$4),2)</f>
        <v>23.99</v>
      </c>
      <c r="M372" s="292">
        <f>ROUND($I$371+($O$371-$I$371)/($O$4-$I$4)*($M$4-$I$4),2)</f>
        <v>23.99</v>
      </c>
      <c r="N372" s="292">
        <f>ROUND($I$371+($O$371-$I$371)/($O$4-$I$4)*($N$4-$I$4),2)</f>
        <v>23.99</v>
      </c>
      <c r="O372" s="292">
        <f>ROUND(7*1.054,2)</f>
        <v>7.38</v>
      </c>
      <c r="P372" s="293">
        <v>0</v>
      </c>
      <c r="Q372" s="292">
        <f t="shared" ref="Q372" si="308">ROUND(I372*0.04,2)</f>
        <v>0.46</v>
      </c>
      <c r="R372" s="292">
        <f t="shared" ref="R372" si="309">ROUND(J372*0.04,2)</f>
        <v>0.96</v>
      </c>
      <c r="S372" s="292">
        <f t="shared" ref="S372" si="310">ROUND(K372*0.04,2)</f>
        <v>0.96</v>
      </c>
      <c r="T372" s="292">
        <f t="shared" ref="T372" si="311">ROUND(L372*0.04,2)</f>
        <v>0.96</v>
      </c>
      <c r="U372" s="292">
        <f t="shared" ref="U372" si="312">ROUND(M372*0.04,2)</f>
        <v>0.96</v>
      </c>
      <c r="V372" s="292">
        <f t="shared" ref="V372" si="313">ROUND(N372*0.04,2)</f>
        <v>0.96</v>
      </c>
      <c r="W372" s="292">
        <f t="shared" ref="W372" si="314">ROUND(O372*0.04,2)</f>
        <v>0.3</v>
      </c>
      <c r="X372" s="292">
        <v>0</v>
      </c>
      <c r="Y372" s="292">
        <v>0</v>
      </c>
      <c r="Z372" s="292">
        <v>0</v>
      </c>
      <c r="AA372" s="292">
        <v>0</v>
      </c>
      <c r="AB372" s="292">
        <v>0</v>
      </c>
      <c r="AC372" s="292">
        <v>0</v>
      </c>
      <c r="AD372" s="292">
        <v>0</v>
      </c>
      <c r="AE372" s="186">
        <v>0.08</v>
      </c>
      <c r="AF372" s="293">
        <v>0</v>
      </c>
      <c r="AG372" s="293">
        <v>30</v>
      </c>
      <c r="AH372" s="293">
        <v>30</v>
      </c>
      <c r="AI372" s="294">
        <v>1</v>
      </c>
      <c r="AJ372" s="294" t="s">
        <v>660</v>
      </c>
      <c r="AK372" s="294" t="s">
        <v>745</v>
      </c>
      <c r="AL372" s="294"/>
      <c r="AM372" s="295"/>
      <c r="AN372" s="295"/>
      <c r="AO372" s="295"/>
      <c r="AP372" s="295"/>
      <c r="AQ372" s="295"/>
      <c r="AR372" s="295"/>
      <c r="AS372" s="296"/>
      <c r="AT372" s="296"/>
      <c r="AU372" s="296"/>
      <c r="AV372" s="297"/>
      <c r="AW372" s="297"/>
      <c r="AX372" s="297"/>
      <c r="AY372" s="298" t="s">
        <v>662</v>
      </c>
      <c r="AZ372" s="298"/>
      <c r="BA372" s="298"/>
      <c r="BB372" s="299"/>
      <c r="BC372" s="299"/>
      <c r="BD372" s="299"/>
      <c r="BE372" s="299"/>
      <c r="BF372" s="299"/>
      <c r="BG372" s="299"/>
      <c r="BH372" s="300"/>
      <c r="BI372" s="300"/>
      <c r="BJ372" s="300"/>
      <c r="BK372" s="300"/>
      <c r="BL372" s="301"/>
      <c r="BM372" s="302"/>
      <c r="BN372" s="303">
        <v>0</v>
      </c>
      <c r="BO372" s="293"/>
      <c r="BP372" s="293"/>
      <c r="BQ372" s="293"/>
      <c r="BR372" s="293"/>
      <c r="BS372" s="293"/>
      <c r="BT372" s="293"/>
      <c r="BU372" s="298">
        <f t="shared" ref="BU372" si="315">IF(BL372=1,BN372,0)</f>
        <v>0</v>
      </c>
      <c r="BV372" s="298"/>
      <c r="BW372" s="298"/>
      <c r="BX372" s="298"/>
      <c r="BY372" s="298"/>
      <c r="BZ372" s="298"/>
      <c r="CA372" s="298"/>
      <c r="CB372" s="304">
        <v>0</v>
      </c>
      <c r="CC372" s="244">
        <v>0</v>
      </c>
      <c r="CD372" s="244">
        <v>0</v>
      </c>
      <c r="CE372" s="244">
        <v>0</v>
      </c>
      <c r="CF372" s="244">
        <v>0</v>
      </c>
      <c r="CG372" s="244">
        <v>0</v>
      </c>
      <c r="CH372" s="244">
        <v>0</v>
      </c>
      <c r="CI372" s="298"/>
      <c r="CJ372" s="298"/>
      <c r="CK372" s="298"/>
      <c r="CL372" s="298"/>
      <c r="CM372" s="298"/>
      <c r="CN372" s="298"/>
      <c r="CO372" s="298"/>
      <c r="CP372" s="305"/>
      <c r="CQ372" s="305"/>
      <c r="CR372" s="305"/>
      <c r="CS372" s="305"/>
      <c r="CT372" s="305"/>
      <c r="CU372" s="305"/>
      <c r="CV372" s="305"/>
      <c r="CW372" s="306"/>
      <c r="CX372" s="307"/>
      <c r="CY372" s="307"/>
      <c r="CZ372" s="307"/>
      <c r="DA372" s="307"/>
      <c r="DB372" s="307"/>
      <c r="DC372" s="307"/>
      <c r="DD372" s="307"/>
      <c r="DE372" s="307"/>
      <c r="DF372" s="307"/>
      <c r="DG372" s="307"/>
      <c r="DH372" s="307"/>
      <c r="DI372" s="307"/>
      <c r="DJ372" s="307"/>
      <c r="DK372" s="308" t="s">
        <v>1557</v>
      </c>
      <c r="DL372" s="306">
        <v>500</v>
      </c>
      <c r="DM372" s="306">
        <v>500</v>
      </c>
      <c r="DN372" s="306">
        <v>500</v>
      </c>
      <c r="DO372" s="306">
        <v>500</v>
      </c>
      <c r="DP372" s="306">
        <v>500</v>
      </c>
      <c r="DQ372" s="306">
        <v>500</v>
      </c>
      <c r="DR372" s="306">
        <v>500</v>
      </c>
      <c r="DS372" s="309"/>
      <c r="DT372" s="360"/>
      <c r="DU372" s="360"/>
      <c r="DV372" s="360"/>
      <c r="DW372" s="360"/>
      <c r="DX372" s="360"/>
      <c r="DY372" s="360"/>
      <c r="DZ372" s="360"/>
      <c r="EA372" s="360"/>
      <c r="EB372" s="360"/>
      <c r="EC372" s="360"/>
      <c r="ED372" s="360"/>
      <c r="EE372" s="360"/>
      <c r="EF372" s="360"/>
      <c r="EG372" s="360"/>
      <c r="EH372" s="360"/>
      <c r="EI372" s="360"/>
      <c r="EJ372" s="360"/>
      <c r="EK372" s="360"/>
      <c r="EL372" s="360"/>
      <c r="EM372" s="360"/>
      <c r="EN372" s="360"/>
      <c r="EO372" s="360"/>
      <c r="EP372" s="360"/>
      <c r="EQ372" s="360"/>
      <c r="ER372" s="1"/>
      <c r="ES372" s="1"/>
      <c r="ET372" s="1"/>
      <c r="EU372" s="1"/>
      <c r="EV372" s="1"/>
      <c r="EW372" s="1"/>
      <c r="EX372" s="1"/>
      <c r="EY372" s="1"/>
      <c r="EZ372" s="1"/>
      <c r="FA372" s="1"/>
      <c r="FB372" s="1"/>
      <c r="FC372" s="1"/>
      <c r="FD372" s="1"/>
      <c r="FE372" s="1"/>
      <c r="FF372" s="1"/>
      <c r="FG372" s="1"/>
      <c r="FH372" s="1"/>
      <c r="FI372" s="1"/>
      <c r="FJ372" s="1"/>
      <c r="FK372" s="1"/>
      <c r="FL372" s="1"/>
      <c r="FM372" s="1"/>
      <c r="FN372" s="1"/>
      <c r="FO372" s="1"/>
      <c r="FP372" s="1"/>
      <c r="FQ372" s="1"/>
      <c r="FR372" s="1"/>
      <c r="FS372" s="1"/>
      <c r="FT372" s="1"/>
      <c r="FU372" s="1"/>
      <c r="FV372" s="1"/>
      <c r="FW372" s="1"/>
      <c r="FX372" s="1"/>
      <c r="FY372" s="1"/>
      <c r="FZ372" s="1"/>
      <c r="GA372" s="1"/>
      <c r="GB372" s="1"/>
      <c r="GC372" s="1"/>
      <c r="GD372" s="1"/>
      <c r="GE372" s="1"/>
      <c r="GF372" s="1"/>
      <c r="GG372" s="1"/>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row>
    <row r="373" spans="1:244" x14ac:dyDescent="0.35">
      <c r="A373" s="6" t="s">
        <v>1560</v>
      </c>
      <c r="B373" s="6" t="s">
        <v>740</v>
      </c>
      <c r="C373" s="6" t="s">
        <v>788</v>
      </c>
      <c r="D373" s="6" t="s">
        <v>1561</v>
      </c>
      <c r="E373" s="6" t="s">
        <v>1475</v>
      </c>
      <c r="F373" s="6" t="s">
        <v>491</v>
      </c>
      <c r="G373" s="48" t="s">
        <v>1562</v>
      </c>
      <c r="H373" s="48" t="s">
        <v>1563</v>
      </c>
      <c r="I373" s="102">
        <v>2.95</v>
      </c>
      <c r="J373" s="102">
        <v>2.95</v>
      </c>
      <c r="K373" s="102">
        <v>2.95</v>
      </c>
      <c r="L373" s="102">
        <v>2.95</v>
      </c>
      <c r="M373" s="102">
        <v>2.95</v>
      </c>
      <c r="N373" s="102">
        <v>2.95</v>
      </c>
      <c r="O373" s="102">
        <v>2.95</v>
      </c>
      <c r="P373" s="94">
        <v>0</v>
      </c>
      <c r="Q373" s="102">
        <v>0.28999999999999998</v>
      </c>
      <c r="R373" s="102">
        <v>0.28999999999999998</v>
      </c>
      <c r="S373" s="102">
        <v>0.28999999999999998</v>
      </c>
      <c r="T373" s="102">
        <v>0.28999999999999998</v>
      </c>
      <c r="U373" s="102">
        <v>0.28999999999999998</v>
      </c>
      <c r="V373" s="102">
        <v>0.28999999999999998</v>
      </c>
      <c r="W373" s="102">
        <v>0.28999999999999998</v>
      </c>
      <c r="X373" s="102">
        <v>0</v>
      </c>
      <c r="Y373" s="102">
        <v>0</v>
      </c>
      <c r="Z373" s="102">
        <v>0</v>
      </c>
      <c r="AA373" s="102">
        <v>0</v>
      </c>
      <c r="AB373" s="102">
        <v>0</v>
      </c>
      <c r="AC373" s="102">
        <v>0</v>
      </c>
      <c r="AD373" s="102">
        <v>0</v>
      </c>
      <c r="AE373" s="186">
        <v>0.08</v>
      </c>
      <c r="AF373" s="94">
        <v>0</v>
      </c>
      <c r="AG373" s="94">
        <v>25</v>
      </c>
      <c r="AH373" s="94">
        <v>25</v>
      </c>
      <c r="AI373" s="17">
        <v>1.3140000000000001</v>
      </c>
      <c r="AJ373" s="17" t="s">
        <v>660</v>
      </c>
      <c r="AK373" s="17" t="s">
        <v>745</v>
      </c>
      <c r="AL373" s="17"/>
      <c r="AM373" s="61"/>
      <c r="AN373" s="61"/>
      <c r="AO373" s="61"/>
      <c r="AP373" s="61"/>
      <c r="AQ373" s="61"/>
      <c r="AR373" s="61"/>
      <c r="AS373" s="64"/>
      <c r="AT373" s="64"/>
      <c r="AU373" s="64"/>
      <c r="AV373" s="132"/>
      <c r="AW373" s="132"/>
      <c r="AX373" s="132"/>
      <c r="AY373" s="28" t="s">
        <v>662</v>
      </c>
      <c r="AZ373" s="28"/>
      <c r="BA373" s="28"/>
      <c r="BB373" s="28"/>
      <c r="BC373" s="28"/>
      <c r="BD373" s="28"/>
      <c r="BE373" s="28"/>
      <c r="BF373" s="28"/>
      <c r="BG373" s="28"/>
      <c r="BH373" s="106"/>
      <c r="BI373" s="106"/>
      <c r="BJ373" s="106"/>
      <c r="BK373" s="106"/>
      <c r="BL373" s="137">
        <v>1</v>
      </c>
      <c r="BM373" s="123"/>
      <c r="BN373" s="139">
        <v>940</v>
      </c>
      <c r="BO373" s="94">
        <v>540</v>
      </c>
      <c r="BP373" s="94">
        <v>200</v>
      </c>
      <c r="BQ373" s="94">
        <v>200</v>
      </c>
      <c r="BR373" s="94"/>
      <c r="BS373" s="94"/>
      <c r="BT373" s="94"/>
      <c r="BU373" s="28">
        <f t="shared" si="289"/>
        <v>940</v>
      </c>
      <c r="BV373" s="28"/>
      <c r="BW373" s="28"/>
      <c r="BX373" s="28"/>
      <c r="BY373" s="28"/>
      <c r="BZ373" s="28"/>
      <c r="CA373" s="28"/>
      <c r="CB373" s="99">
        <v>940</v>
      </c>
      <c r="CC373" s="99">
        <f>CB373-BO373</f>
        <v>400</v>
      </c>
      <c r="CD373" s="99">
        <f t="shared" ref="CD373:CE373" si="316">CC373-BP373</f>
        <v>200</v>
      </c>
      <c r="CE373" s="99">
        <f t="shared" si="316"/>
        <v>0</v>
      </c>
      <c r="CF373" s="99">
        <v>0</v>
      </c>
      <c r="CG373" s="99">
        <v>0</v>
      </c>
      <c r="CH373" s="99"/>
      <c r="CI373" s="175"/>
      <c r="CJ373" s="175"/>
      <c r="CK373" s="175"/>
      <c r="CL373" s="175"/>
      <c r="CM373" s="175"/>
      <c r="CN373" s="175"/>
      <c r="CO373" s="175"/>
      <c r="CP373" s="176"/>
      <c r="CQ373" s="176"/>
      <c r="CR373" s="176"/>
      <c r="CS373" s="176"/>
      <c r="CT373" s="176"/>
      <c r="CU373" s="176"/>
      <c r="CV373" s="176"/>
      <c r="CW373" s="167"/>
      <c r="CX373" s="168"/>
      <c r="CY373" s="168"/>
      <c r="CZ373" s="168"/>
      <c r="DA373" s="168"/>
      <c r="DB373" s="168"/>
      <c r="DC373" s="168"/>
      <c r="DD373" s="172"/>
      <c r="DE373" s="172"/>
      <c r="DF373" s="172"/>
      <c r="DG373" s="172"/>
      <c r="DH373" s="172"/>
      <c r="DI373" s="172"/>
      <c r="DJ373" s="172"/>
      <c r="DK373" s="80" t="s">
        <v>415</v>
      </c>
      <c r="DL373" s="129">
        <v>400</v>
      </c>
      <c r="DM373" s="129">
        <v>400</v>
      </c>
      <c r="DN373" s="129">
        <v>400</v>
      </c>
      <c r="DO373" s="129">
        <v>400</v>
      </c>
      <c r="DP373" s="129">
        <v>400</v>
      </c>
      <c r="DQ373" s="129">
        <v>400</v>
      </c>
      <c r="DR373" s="129">
        <v>400</v>
      </c>
      <c r="DS373" s="218"/>
      <c r="DT373" s="360"/>
      <c r="DU373" s="360"/>
      <c r="DV373" s="360"/>
      <c r="DW373" s="360"/>
      <c r="DX373" s="360"/>
      <c r="DY373" s="360"/>
      <c r="DZ373" s="360"/>
      <c r="EA373" s="360"/>
      <c r="EB373" s="360"/>
      <c r="EC373" s="360"/>
      <c r="ED373" s="360"/>
      <c r="EE373" s="360"/>
      <c r="EF373" s="360"/>
      <c r="EG373" s="360"/>
      <c r="EH373" s="360"/>
      <c r="EI373" s="360"/>
      <c r="EJ373" s="360"/>
      <c r="EK373" s="360"/>
      <c r="EL373" s="360"/>
      <c r="EM373" s="360"/>
      <c r="EN373" s="360"/>
      <c r="EO373" s="360"/>
      <c r="EP373" s="360"/>
      <c r="EQ373" s="360"/>
    </row>
    <row r="374" spans="1:244" x14ac:dyDescent="0.35">
      <c r="A374" s="5" t="s">
        <v>1564</v>
      </c>
      <c r="B374" s="5" t="s">
        <v>740</v>
      </c>
      <c r="C374" s="5" t="s">
        <v>788</v>
      </c>
      <c r="D374" s="5" t="s">
        <v>1561</v>
      </c>
      <c r="E374" s="5" t="s">
        <v>1525</v>
      </c>
      <c r="F374" s="5" t="s">
        <v>491</v>
      </c>
      <c r="G374" s="47" t="s">
        <v>1565</v>
      </c>
      <c r="H374" s="47" t="s">
        <v>659</v>
      </c>
      <c r="I374" s="101">
        <v>139.96</v>
      </c>
      <c r="J374" s="101">
        <v>125.96</v>
      </c>
      <c r="K374" s="101">
        <v>111.97</v>
      </c>
      <c r="L374" s="101">
        <v>108.09</v>
      </c>
      <c r="M374" s="101">
        <v>104.2</v>
      </c>
      <c r="N374" s="101">
        <v>101.23</v>
      </c>
      <c r="O374" s="101">
        <v>98.26</v>
      </c>
      <c r="P374" s="93">
        <v>0</v>
      </c>
      <c r="Q374" s="101">
        <v>0.77</v>
      </c>
      <c r="R374" s="101">
        <v>0.68</v>
      </c>
      <c r="S374" s="101">
        <v>0.59</v>
      </c>
      <c r="T374" s="101">
        <v>0.59</v>
      </c>
      <c r="U374" s="101">
        <v>0.59</v>
      </c>
      <c r="V374" s="101">
        <v>0.59</v>
      </c>
      <c r="W374" s="101">
        <v>0.59</v>
      </c>
      <c r="X374" s="101">
        <v>0</v>
      </c>
      <c r="Y374" s="101">
        <v>0</v>
      </c>
      <c r="Z374" s="101">
        <v>0</v>
      </c>
      <c r="AA374" s="101">
        <v>0</v>
      </c>
      <c r="AB374" s="101">
        <v>0</v>
      </c>
      <c r="AC374" s="101">
        <v>0</v>
      </c>
      <c r="AD374" s="101">
        <v>0</v>
      </c>
      <c r="AE374" s="186">
        <v>0.08</v>
      </c>
      <c r="AF374" s="93">
        <v>0</v>
      </c>
      <c r="AG374" s="93">
        <v>20</v>
      </c>
      <c r="AH374" s="93">
        <v>20</v>
      </c>
      <c r="AI374" s="16">
        <v>1</v>
      </c>
      <c r="AJ374" s="16" t="s">
        <v>660</v>
      </c>
      <c r="AK374" s="16" t="s">
        <v>745</v>
      </c>
      <c r="AL374" s="16"/>
      <c r="AM374" s="60"/>
      <c r="AN374" s="60"/>
      <c r="AO374" s="60"/>
      <c r="AP374" s="60"/>
      <c r="AQ374" s="60"/>
      <c r="AR374" s="60"/>
      <c r="AS374" s="63"/>
      <c r="AT374" s="63"/>
      <c r="AU374" s="63"/>
      <c r="AV374" s="131"/>
      <c r="AW374" s="131"/>
      <c r="AX374" s="131"/>
      <c r="AY374" s="27" t="s">
        <v>662</v>
      </c>
      <c r="AZ374" s="27"/>
      <c r="BA374" s="27"/>
      <c r="BB374" s="30"/>
      <c r="BC374" s="30"/>
      <c r="BD374" s="30"/>
      <c r="BE374" s="30"/>
      <c r="BF374" s="30"/>
      <c r="BG374" s="30"/>
      <c r="BH374" s="107"/>
      <c r="BI374" s="107"/>
      <c r="BJ374" s="107"/>
      <c r="BK374" s="107"/>
      <c r="BL374" s="136"/>
      <c r="BM374" s="122"/>
      <c r="BN374" s="138">
        <v>0</v>
      </c>
      <c r="BO374" s="93"/>
      <c r="BP374" s="93"/>
      <c r="BQ374" s="93"/>
      <c r="BR374" s="93"/>
      <c r="BS374" s="93"/>
      <c r="BT374" s="93"/>
      <c r="BU374" s="27">
        <f>IF(BL374=1,BN374,0)</f>
        <v>0</v>
      </c>
      <c r="BV374" s="27"/>
      <c r="BW374" s="27"/>
      <c r="BX374" s="27"/>
      <c r="BY374" s="27"/>
      <c r="BZ374" s="27"/>
      <c r="CA374" s="27"/>
      <c r="CB374" s="185">
        <v>100</v>
      </c>
      <c r="CC374" s="97">
        <v>1000</v>
      </c>
      <c r="CD374" s="97">
        <v>1000</v>
      </c>
      <c r="CE374" s="97">
        <v>1000</v>
      </c>
      <c r="CF374" s="97">
        <v>1000</v>
      </c>
      <c r="CG374" s="97">
        <v>1000</v>
      </c>
      <c r="CH374" s="97">
        <v>1000</v>
      </c>
      <c r="CI374" s="173"/>
      <c r="CJ374" s="173"/>
      <c r="CK374" s="173"/>
      <c r="CL374" s="173"/>
      <c r="CM374" s="173"/>
      <c r="CN374" s="173"/>
      <c r="CO374" s="173"/>
      <c r="CP374" s="174"/>
      <c r="CQ374" s="174"/>
      <c r="CR374" s="174"/>
      <c r="CS374" s="174"/>
      <c r="CT374" s="174"/>
      <c r="CU374" s="174"/>
      <c r="CV374" s="174"/>
      <c r="CW374" s="165"/>
      <c r="CX374" s="166"/>
      <c r="CY374" s="166"/>
      <c r="CZ374" s="166"/>
      <c r="DA374" s="166"/>
      <c r="DB374" s="166"/>
      <c r="DC374" s="166"/>
      <c r="DD374" s="171"/>
      <c r="DE374" s="171"/>
      <c r="DF374" s="171"/>
      <c r="DG374" s="171"/>
      <c r="DH374" s="171"/>
      <c r="DI374" s="171"/>
      <c r="DJ374" s="171"/>
      <c r="DK374" s="79" t="s">
        <v>415</v>
      </c>
      <c r="DL374" s="128">
        <v>1000</v>
      </c>
      <c r="DM374" s="128">
        <v>1000</v>
      </c>
      <c r="DN374" s="128">
        <v>1000</v>
      </c>
      <c r="DO374" s="128">
        <v>1000</v>
      </c>
      <c r="DP374" s="128">
        <v>1000</v>
      </c>
      <c r="DQ374" s="128">
        <v>1000</v>
      </c>
      <c r="DR374" s="128">
        <v>1000</v>
      </c>
      <c r="DS374" s="218"/>
      <c r="DT374" s="360"/>
      <c r="DU374" s="360"/>
      <c r="DV374" s="360"/>
      <c r="DW374" s="360"/>
      <c r="DX374" s="360"/>
      <c r="DY374" s="360"/>
      <c r="DZ374" s="360"/>
      <c r="EA374" s="360"/>
      <c r="EB374" s="360"/>
      <c r="EC374" s="360"/>
      <c r="ED374" s="360"/>
      <c r="EE374" s="360"/>
      <c r="EF374" s="360"/>
      <c r="EG374" s="360"/>
      <c r="EH374" s="360"/>
      <c r="EI374" s="360"/>
      <c r="EJ374" s="360"/>
      <c r="EK374" s="360"/>
      <c r="EL374" s="360"/>
      <c r="EM374" s="360"/>
      <c r="EN374" s="360"/>
      <c r="EO374" s="360"/>
      <c r="EP374" s="360"/>
      <c r="EQ374" s="360"/>
    </row>
    <row r="375" spans="1:244" x14ac:dyDescent="0.35">
      <c r="A375" s="225" t="s">
        <v>1566</v>
      </c>
      <c r="B375" s="225" t="s">
        <v>740</v>
      </c>
      <c r="C375" s="225" t="s">
        <v>817</v>
      </c>
      <c r="D375" s="225" t="s">
        <v>1469</v>
      </c>
      <c r="E375" s="225" t="s">
        <v>1567</v>
      </c>
      <c r="F375" s="225" t="s">
        <v>491</v>
      </c>
      <c r="G375" s="229" t="s">
        <v>1568</v>
      </c>
      <c r="H375" s="226" t="s">
        <v>659</v>
      </c>
      <c r="I375" s="102">
        <v>0</v>
      </c>
      <c r="J375" s="102">
        <v>0</v>
      </c>
      <c r="K375" s="102">
        <v>0</v>
      </c>
      <c r="L375" s="102">
        <v>0</v>
      </c>
      <c r="M375" s="102">
        <v>0</v>
      </c>
      <c r="N375" s="102">
        <v>0</v>
      </c>
      <c r="O375" s="102">
        <v>0</v>
      </c>
      <c r="P375" s="94">
        <v>0</v>
      </c>
      <c r="Q375" s="102">
        <v>0</v>
      </c>
      <c r="R375" s="102">
        <v>0</v>
      </c>
      <c r="S375" s="102">
        <v>0</v>
      </c>
      <c r="T375" s="102">
        <v>0</v>
      </c>
      <c r="U375" s="102">
        <v>0</v>
      </c>
      <c r="V375" s="102">
        <v>0</v>
      </c>
      <c r="W375" s="102">
        <v>0</v>
      </c>
      <c r="X375" s="102">
        <v>24.59696857763559</v>
      </c>
      <c r="Y375" s="102">
        <v>14.211581844856118</v>
      </c>
      <c r="Z375" s="102">
        <v>6.2858919698402076</v>
      </c>
      <c r="AA375" s="102">
        <v>5.444973446380323</v>
      </c>
      <c r="AB375" s="102">
        <v>4.6020714112945607</v>
      </c>
      <c r="AC375" s="102">
        <v>4.6030615857635331</v>
      </c>
      <c r="AD375" s="102">
        <v>4.6020714112945607</v>
      </c>
      <c r="AE375" s="186">
        <v>0.08</v>
      </c>
      <c r="AF375" s="94">
        <v>0</v>
      </c>
      <c r="AG375" s="94">
        <v>1</v>
      </c>
      <c r="AH375" s="94">
        <v>1</v>
      </c>
      <c r="AI375" s="17">
        <v>1</v>
      </c>
      <c r="AJ375" s="17" t="s">
        <v>1569</v>
      </c>
      <c r="AK375" s="17" t="s">
        <v>745</v>
      </c>
      <c r="AL375" s="17"/>
      <c r="AM375" s="61"/>
      <c r="AN375" s="61"/>
      <c r="AO375" s="61"/>
      <c r="AP375" s="61"/>
      <c r="AQ375" s="61"/>
      <c r="AR375" s="61"/>
      <c r="AS375" s="64"/>
      <c r="AT375" s="64"/>
      <c r="AU375" s="64"/>
      <c r="AV375" s="132"/>
      <c r="AW375" s="132"/>
      <c r="AX375" s="132"/>
      <c r="AY375" s="28" t="s">
        <v>662</v>
      </c>
      <c r="AZ375" s="28"/>
      <c r="BA375" s="28"/>
      <c r="BB375" s="28"/>
      <c r="BC375" s="28"/>
      <c r="BD375" s="28"/>
      <c r="BE375" s="28"/>
      <c r="BF375" s="28"/>
      <c r="BG375" s="28"/>
      <c r="BH375" s="106"/>
      <c r="BI375" s="106"/>
      <c r="BJ375" s="106"/>
      <c r="BK375" s="106"/>
      <c r="BL375" s="137"/>
      <c r="BM375" s="123"/>
      <c r="BN375" s="139">
        <f>CB375</f>
        <v>2000</v>
      </c>
      <c r="BO375" s="94"/>
      <c r="BP375" s="94"/>
      <c r="BQ375" s="94"/>
      <c r="BR375" s="94"/>
      <c r="BS375" s="94"/>
      <c r="BT375" s="94"/>
      <c r="BU375" s="28">
        <f t="shared" si="289"/>
        <v>0</v>
      </c>
      <c r="BV375" s="28"/>
      <c r="BW375" s="28"/>
      <c r="BX375" s="28"/>
      <c r="BY375" s="28"/>
      <c r="BZ375" s="28"/>
      <c r="CA375" s="28"/>
      <c r="CB375" s="185">
        <v>2000</v>
      </c>
      <c r="CC375" s="185">
        <v>1500</v>
      </c>
      <c r="CD375" s="185">
        <v>1500</v>
      </c>
      <c r="CE375" s="185">
        <v>1500</v>
      </c>
      <c r="CF375" s="185">
        <v>1500</v>
      </c>
      <c r="CG375" s="185">
        <v>1500</v>
      </c>
      <c r="CH375" s="185">
        <v>1500</v>
      </c>
      <c r="CI375" s="175"/>
      <c r="CJ375" s="175"/>
      <c r="CK375" s="175"/>
      <c r="CL375" s="175"/>
      <c r="CM375" s="175"/>
      <c r="CN375" s="175"/>
      <c r="CO375" s="175"/>
      <c r="CP375" s="176"/>
      <c r="CQ375" s="176"/>
      <c r="CR375" s="176"/>
      <c r="CS375" s="176"/>
      <c r="CT375" s="176"/>
      <c r="CU375" s="176"/>
      <c r="CV375" s="176"/>
      <c r="CW375" s="167"/>
      <c r="CX375" s="168"/>
      <c r="CY375" s="168"/>
      <c r="CZ375" s="168"/>
      <c r="DA375" s="168"/>
      <c r="DB375" s="168"/>
      <c r="DC375" s="168"/>
      <c r="DD375" s="172"/>
      <c r="DE375" s="172"/>
      <c r="DF375" s="172"/>
      <c r="DG375" s="172"/>
      <c r="DH375" s="172"/>
      <c r="DI375" s="172"/>
      <c r="DJ375" s="172"/>
      <c r="DK375" s="80" t="s">
        <v>1570</v>
      </c>
      <c r="DL375" s="129">
        <v>2000</v>
      </c>
      <c r="DM375" s="129">
        <v>2000</v>
      </c>
      <c r="DN375" s="129">
        <v>2000</v>
      </c>
      <c r="DO375" s="129">
        <v>2000</v>
      </c>
      <c r="DP375" s="129">
        <v>2000</v>
      </c>
      <c r="DQ375" s="129">
        <v>2000</v>
      </c>
      <c r="DR375" s="129">
        <v>2000</v>
      </c>
      <c r="DS375" s="218"/>
      <c r="DT375" s="360"/>
      <c r="DU375" s="360"/>
      <c r="DV375" s="360"/>
      <c r="DW375" s="360"/>
      <c r="DX375" s="360"/>
      <c r="DY375" s="360"/>
      <c r="DZ375" s="360"/>
      <c r="EA375" s="360"/>
      <c r="EB375" s="360"/>
      <c r="EC375" s="360"/>
      <c r="ED375" s="360"/>
      <c r="EE375" s="360"/>
      <c r="EF375" s="360"/>
      <c r="EG375" s="360"/>
      <c r="EH375" s="360"/>
      <c r="EI375" s="360"/>
      <c r="EJ375" s="360"/>
      <c r="EK375" s="360"/>
      <c r="EL375" s="360"/>
      <c r="EM375" s="360"/>
      <c r="EN375" s="360"/>
      <c r="EO375" s="360"/>
      <c r="EP375" s="360"/>
      <c r="EQ375" s="360"/>
    </row>
    <row r="376" spans="1:244" x14ac:dyDescent="0.35">
      <c r="A376" s="5" t="s">
        <v>1571</v>
      </c>
      <c r="B376" s="5" t="s">
        <v>740</v>
      </c>
      <c r="C376" s="5" t="s">
        <v>788</v>
      </c>
      <c r="D376" s="5" t="s">
        <v>1561</v>
      </c>
      <c r="E376" s="5" t="s">
        <v>1475</v>
      </c>
      <c r="F376" s="5" t="s">
        <v>491</v>
      </c>
      <c r="G376" s="47" t="s">
        <v>1572</v>
      </c>
      <c r="H376" s="47" t="s">
        <v>1563</v>
      </c>
      <c r="I376" s="101">
        <v>5.9</v>
      </c>
      <c r="J376" s="101">
        <v>5.9</v>
      </c>
      <c r="K376" s="101">
        <v>5.9</v>
      </c>
      <c r="L376" s="101">
        <v>5.9</v>
      </c>
      <c r="M376" s="101">
        <v>5.9</v>
      </c>
      <c r="N376" s="101">
        <v>5.9</v>
      </c>
      <c r="O376" s="101">
        <v>5.9</v>
      </c>
      <c r="P376" s="93">
        <v>0</v>
      </c>
      <c r="Q376" s="101">
        <v>0.56999999999999995</v>
      </c>
      <c r="R376" s="101">
        <v>0.56999999999999995</v>
      </c>
      <c r="S376" s="101">
        <v>0.56999999999999995</v>
      </c>
      <c r="T376" s="101">
        <v>0.56999999999999995</v>
      </c>
      <c r="U376" s="101">
        <v>0.56999999999999995</v>
      </c>
      <c r="V376" s="101">
        <v>0.56999999999999995</v>
      </c>
      <c r="W376" s="101">
        <v>0.56999999999999995</v>
      </c>
      <c r="X376" s="101">
        <v>1.01</v>
      </c>
      <c r="Y376" s="101">
        <v>1.01</v>
      </c>
      <c r="Z376" s="101">
        <v>1.01</v>
      </c>
      <c r="AA376" s="101">
        <v>1.01</v>
      </c>
      <c r="AB376" s="101">
        <v>1.01</v>
      </c>
      <c r="AC376" s="101">
        <v>1.01</v>
      </c>
      <c r="AD376" s="101">
        <v>1.01</v>
      </c>
      <c r="AE376" s="186">
        <v>0.08</v>
      </c>
      <c r="AF376" s="93">
        <v>0</v>
      </c>
      <c r="AG376" s="93">
        <v>10</v>
      </c>
      <c r="AH376" s="93">
        <v>10</v>
      </c>
      <c r="AI376" s="16">
        <v>1.3140000000000001</v>
      </c>
      <c r="AJ376" s="16" t="s">
        <v>1569</v>
      </c>
      <c r="AK376" s="16" t="s">
        <v>745</v>
      </c>
      <c r="AL376" s="16"/>
      <c r="AM376" s="60"/>
      <c r="AN376" s="60"/>
      <c r="AO376" s="60"/>
      <c r="AP376" s="60"/>
      <c r="AQ376" s="60"/>
      <c r="AR376" s="60"/>
      <c r="AS376" s="63"/>
      <c r="AT376" s="63"/>
      <c r="AU376" s="63"/>
      <c r="AV376" s="131"/>
      <c r="AW376" s="131"/>
      <c r="AX376" s="131"/>
      <c r="AY376" s="27" t="s">
        <v>662</v>
      </c>
      <c r="AZ376" s="27"/>
      <c r="BA376" s="27"/>
      <c r="BB376" s="30"/>
      <c r="BC376" s="30"/>
      <c r="BD376" s="30"/>
      <c r="BE376" s="30"/>
      <c r="BF376" s="30"/>
      <c r="BG376" s="30"/>
      <c r="BH376" s="107"/>
      <c r="BI376" s="107"/>
      <c r="BJ376" s="107"/>
      <c r="BK376" s="107"/>
      <c r="BL376" s="136">
        <v>1</v>
      </c>
      <c r="BM376" s="122"/>
      <c r="BN376" s="138">
        <v>390</v>
      </c>
      <c r="BO376" s="93">
        <v>195</v>
      </c>
      <c r="BP376" s="93">
        <v>195</v>
      </c>
      <c r="BQ376" s="93"/>
      <c r="BR376" s="93"/>
      <c r="BS376" s="93"/>
      <c r="BT376" s="93"/>
      <c r="BU376" s="27">
        <f t="shared" si="289"/>
        <v>390</v>
      </c>
      <c r="BV376" s="27"/>
      <c r="BW376" s="27"/>
      <c r="BX376" s="27"/>
      <c r="BY376" s="27"/>
      <c r="BZ376" s="27"/>
      <c r="CA376" s="27"/>
      <c r="CB376" s="97">
        <v>390</v>
      </c>
      <c r="CC376" s="97">
        <v>2000</v>
      </c>
      <c r="CD376" s="97">
        <v>2000</v>
      </c>
      <c r="CE376" s="97">
        <v>2000</v>
      </c>
      <c r="CF376" s="97">
        <v>2000</v>
      </c>
      <c r="CG376" s="97">
        <v>2000</v>
      </c>
      <c r="CH376" s="97">
        <v>2000</v>
      </c>
      <c r="CI376" s="173"/>
      <c r="CJ376" s="173"/>
      <c r="CK376" s="173"/>
      <c r="CL376" s="173"/>
      <c r="CM376" s="173"/>
      <c r="CN376" s="173"/>
      <c r="CO376" s="173"/>
      <c r="CP376" s="174"/>
      <c r="CQ376" s="174"/>
      <c r="CR376" s="174"/>
      <c r="CS376" s="174"/>
      <c r="CT376" s="174"/>
      <c r="CU376" s="174"/>
      <c r="CV376" s="174"/>
      <c r="CW376" s="165"/>
      <c r="CX376" s="166"/>
      <c r="CY376" s="166"/>
      <c r="CZ376" s="166"/>
      <c r="DA376" s="166"/>
      <c r="DB376" s="166"/>
      <c r="DC376" s="166"/>
      <c r="DD376" s="171"/>
      <c r="DE376" s="171"/>
      <c r="DF376" s="171"/>
      <c r="DG376" s="171"/>
      <c r="DH376" s="171"/>
      <c r="DI376" s="171"/>
      <c r="DJ376" s="171"/>
      <c r="DK376" s="79" t="s">
        <v>415</v>
      </c>
      <c r="DL376" s="128">
        <v>2000</v>
      </c>
      <c r="DM376" s="128">
        <v>2000</v>
      </c>
      <c r="DN376" s="128">
        <v>2000</v>
      </c>
      <c r="DO376" s="128">
        <v>2000</v>
      </c>
      <c r="DP376" s="128">
        <v>2000</v>
      </c>
      <c r="DQ376" s="128">
        <v>2000</v>
      </c>
      <c r="DR376" s="128">
        <v>2000</v>
      </c>
      <c r="DS376" s="218"/>
      <c r="DT376" s="360"/>
      <c r="DU376" s="360"/>
      <c r="DV376" s="360"/>
      <c r="DW376" s="360"/>
      <c r="DX376" s="360"/>
      <c r="DY376" s="360"/>
      <c r="DZ376" s="360"/>
      <c r="EA376" s="360"/>
      <c r="EB376" s="360"/>
      <c r="EC376" s="360"/>
      <c r="ED376" s="360"/>
      <c r="EE376" s="360"/>
      <c r="EF376" s="360"/>
      <c r="EG376" s="360"/>
      <c r="EH376" s="360"/>
      <c r="EI376" s="360"/>
      <c r="EJ376" s="360"/>
      <c r="EK376" s="360"/>
      <c r="EL376" s="360"/>
      <c r="EM376" s="360"/>
      <c r="EN376" s="360"/>
      <c r="EO376" s="360"/>
      <c r="EP376" s="360"/>
      <c r="EQ376" s="360"/>
    </row>
    <row r="377" spans="1:244" x14ac:dyDescent="0.35">
      <c r="A377" s="6" t="s">
        <v>1573</v>
      </c>
      <c r="B377" s="6" t="s">
        <v>740</v>
      </c>
      <c r="C377" s="6" t="s">
        <v>788</v>
      </c>
      <c r="D377" s="6" t="s">
        <v>1561</v>
      </c>
      <c r="E377" s="6" t="s">
        <v>1309</v>
      </c>
      <c r="F377" s="6" t="s">
        <v>491</v>
      </c>
      <c r="G377" s="48" t="s">
        <v>1574</v>
      </c>
      <c r="H377" s="48" t="s">
        <v>1563</v>
      </c>
      <c r="I377" s="102">
        <v>1.17</v>
      </c>
      <c r="J377" s="102">
        <v>1.17</v>
      </c>
      <c r="K377" s="102">
        <v>1.17</v>
      </c>
      <c r="L377" s="102">
        <v>1.17</v>
      </c>
      <c r="M377" s="102">
        <v>1.17</v>
      </c>
      <c r="N377" s="102">
        <v>1.17</v>
      </c>
      <c r="O377" s="102">
        <v>1.17</v>
      </c>
      <c r="P377" s="94">
        <v>0</v>
      </c>
      <c r="Q377" s="102">
        <v>0.04</v>
      </c>
      <c r="R377" s="102">
        <v>0.04</v>
      </c>
      <c r="S377" s="102">
        <v>0.04</v>
      </c>
      <c r="T377" s="102">
        <v>0.04</v>
      </c>
      <c r="U377" s="102">
        <v>0.04</v>
      </c>
      <c r="V377" s="102">
        <v>0.04</v>
      </c>
      <c r="W377" s="102">
        <v>0.04</v>
      </c>
      <c r="X377" s="102">
        <v>0</v>
      </c>
      <c r="Y377" s="102">
        <v>0</v>
      </c>
      <c r="Z377" s="102">
        <v>0</v>
      </c>
      <c r="AA377" s="102">
        <v>0</v>
      </c>
      <c r="AB377" s="102">
        <v>0</v>
      </c>
      <c r="AC377" s="102">
        <v>0</v>
      </c>
      <c r="AD377" s="102">
        <v>0</v>
      </c>
      <c r="AE377" s="186">
        <v>0.08</v>
      </c>
      <c r="AF377" s="94">
        <v>0</v>
      </c>
      <c r="AG377" s="94">
        <v>40</v>
      </c>
      <c r="AH377" s="94">
        <v>40</v>
      </c>
      <c r="AI377" s="17">
        <v>1.3140000000000001</v>
      </c>
      <c r="AJ377" s="17" t="s">
        <v>1575</v>
      </c>
      <c r="AK377" s="17" t="s">
        <v>745</v>
      </c>
      <c r="AL377" s="17"/>
      <c r="AM377" s="61"/>
      <c r="AN377" s="61"/>
      <c r="AO377" s="61"/>
      <c r="AP377" s="61"/>
      <c r="AQ377" s="61"/>
      <c r="AR377" s="61"/>
      <c r="AS377" s="64"/>
      <c r="AT377" s="64"/>
      <c r="AU377" s="64"/>
      <c r="AV377" s="132"/>
      <c r="AW377" s="132"/>
      <c r="AX377" s="132"/>
      <c r="AY377" s="28" t="s">
        <v>662</v>
      </c>
      <c r="AZ377" s="28"/>
      <c r="BA377" s="28"/>
      <c r="BB377" s="28"/>
      <c r="BC377" s="28"/>
      <c r="BD377" s="28"/>
      <c r="BE377" s="28"/>
      <c r="BF377" s="28"/>
      <c r="BG377" s="28"/>
      <c r="BH377" s="106" t="s">
        <v>491</v>
      </c>
      <c r="BI377" s="106">
        <v>2.7000000000000001E-3</v>
      </c>
      <c r="BJ377" s="106">
        <v>4.4000000000000003E-3</v>
      </c>
      <c r="BK377" s="106">
        <v>12</v>
      </c>
      <c r="BL377" s="137"/>
      <c r="BM377" s="123"/>
      <c r="BN377" s="139">
        <v>340</v>
      </c>
      <c r="BO377" s="94">
        <f>BN377/6</f>
        <v>56.666666666666664</v>
      </c>
      <c r="BP377" s="94">
        <f>BO377</f>
        <v>56.666666666666664</v>
      </c>
      <c r="BQ377" s="94">
        <f t="shared" ref="BQ377:BT377" si="317">BP377</f>
        <v>56.666666666666664</v>
      </c>
      <c r="BR377" s="94">
        <f t="shared" si="317"/>
        <v>56.666666666666664</v>
      </c>
      <c r="BS377" s="94">
        <f t="shared" si="317"/>
        <v>56.666666666666664</v>
      </c>
      <c r="BT377" s="94">
        <f t="shared" si="317"/>
        <v>56.666666666666664</v>
      </c>
      <c r="BU377" s="28">
        <f t="shared" si="289"/>
        <v>0</v>
      </c>
      <c r="BV377" s="28"/>
      <c r="BW377" s="28"/>
      <c r="BX377" s="28"/>
      <c r="BY377" s="28"/>
      <c r="BZ377" s="28"/>
      <c r="CA377" s="28"/>
      <c r="CB377" s="99">
        <v>1000</v>
      </c>
      <c r="CC377" s="99">
        <v>1000</v>
      </c>
      <c r="CD377" s="99">
        <v>1000</v>
      </c>
      <c r="CE377" s="99">
        <v>1000</v>
      </c>
      <c r="CF377" s="99">
        <v>1000</v>
      </c>
      <c r="CG377" s="99">
        <v>1000</v>
      </c>
      <c r="CH377" s="99">
        <v>1000</v>
      </c>
      <c r="CI377" s="175"/>
      <c r="CJ377" s="175"/>
      <c r="CK377" s="175"/>
      <c r="CL377" s="175"/>
      <c r="CM377" s="175"/>
      <c r="CN377" s="175"/>
      <c r="CO377" s="175"/>
      <c r="CP377" s="176"/>
      <c r="CQ377" s="176"/>
      <c r="CR377" s="176"/>
      <c r="CS377" s="176"/>
      <c r="CT377" s="176"/>
      <c r="CU377" s="176"/>
      <c r="CV377" s="176"/>
      <c r="CW377" s="167"/>
      <c r="CX377" s="168"/>
      <c r="CY377" s="168"/>
      <c r="CZ377" s="168"/>
      <c r="DA377" s="168"/>
      <c r="DB377" s="168"/>
      <c r="DC377" s="168"/>
      <c r="DD377" s="172"/>
      <c r="DE377" s="172"/>
      <c r="DF377" s="172"/>
      <c r="DG377" s="172"/>
      <c r="DH377" s="172"/>
      <c r="DI377" s="172"/>
      <c r="DJ377" s="172"/>
      <c r="DK377" s="80" t="s">
        <v>415</v>
      </c>
      <c r="DL377" s="129">
        <v>1000</v>
      </c>
      <c r="DM377" s="129">
        <v>1000</v>
      </c>
      <c r="DN377" s="129">
        <v>1000</v>
      </c>
      <c r="DO377" s="129">
        <v>1000</v>
      </c>
      <c r="DP377" s="129">
        <v>1000</v>
      </c>
      <c r="DQ377" s="129">
        <v>1000</v>
      </c>
      <c r="DR377" s="129">
        <v>1000</v>
      </c>
      <c r="DS377" s="218"/>
      <c r="DT377" s="360"/>
      <c r="DU377" s="360"/>
      <c r="DV377" s="360"/>
      <c r="DW377" s="360"/>
      <c r="DX377" s="360"/>
      <c r="DY377" s="360"/>
      <c r="DZ377" s="360"/>
      <c r="EA377" s="360"/>
      <c r="EB377" s="360"/>
      <c r="EC377" s="360"/>
      <c r="ED377" s="360"/>
      <c r="EE377" s="360"/>
      <c r="EF377" s="360"/>
      <c r="EG377" s="360"/>
      <c r="EH377" s="360"/>
      <c r="EI377" s="360"/>
      <c r="EJ377" s="360"/>
      <c r="EK377" s="360"/>
      <c r="EL377" s="360"/>
      <c r="EM377" s="360"/>
      <c r="EN377" s="360"/>
      <c r="EO377" s="360"/>
      <c r="EP377" s="360"/>
      <c r="EQ377" s="360"/>
    </row>
    <row r="378" spans="1:244" x14ac:dyDescent="0.35">
      <c r="A378" s="5" t="s">
        <v>1576</v>
      </c>
      <c r="B378" s="5" t="s">
        <v>740</v>
      </c>
      <c r="C378" s="5" t="s">
        <v>788</v>
      </c>
      <c r="D378" s="5" t="s">
        <v>1561</v>
      </c>
      <c r="E378" s="5" t="s">
        <v>1309</v>
      </c>
      <c r="F378" s="5" t="s">
        <v>491</v>
      </c>
      <c r="G378" s="47" t="s">
        <v>1577</v>
      </c>
      <c r="H378" s="47" t="s">
        <v>1563</v>
      </c>
      <c r="I378" s="101">
        <v>1.63</v>
      </c>
      <c r="J378" s="101">
        <v>1.63</v>
      </c>
      <c r="K378" s="101">
        <v>1.63</v>
      </c>
      <c r="L378" s="101">
        <v>1.63</v>
      </c>
      <c r="M378" s="101">
        <v>1.63</v>
      </c>
      <c r="N378" s="101">
        <v>1.63</v>
      </c>
      <c r="O378" s="101">
        <v>1.63</v>
      </c>
      <c r="P378" s="93">
        <v>0</v>
      </c>
      <c r="Q378" s="101">
        <v>0.05</v>
      </c>
      <c r="R378" s="101">
        <v>0.05</v>
      </c>
      <c r="S378" s="101">
        <v>0.05</v>
      </c>
      <c r="T378" s="101">
        <v>0.05</v>
      </c>
      <c r="U378" s="101">
        <v>0.05</v>
      </c>
      <c r="V378" s="101">
        <v>0.05</v>
      </c>
      <c r="W378" s="101">
        <v>0.05</v>
      </c>
      <c r="X378" s="101">
        <v>0</v>
      </c>
      <c r="Y378" s="101">
        <v>0</v>
      </c>
      <c r="Z378" s="101">
        <v>0</v>
      </c>
      <c r="AA378" s="101">
        <v>0</v>
      </c>
      <c r="AB378" s="101">
        <v>0</v>
      </c>
      <c r="AC378" s="101">
        <v>0</v>
      </c>
      <c r="AD378" s="101">
        <v>0</v>
      </c>
      <c r="AE378" s="186">
        <v>0.08</v>
      </c>
      <c r="AF378" s="93">
        <v>0</v>
      </c>
      <c r="AG378" s="93">
        <v>40</v>
      </c>
      <c r="AH378" s="93">
        <v>40</v>
      </c>
      <c r="AI378" s="16">
        <v>1.3140000000000001</v>
      </c>
      <c r="AJ378" s="16" t="s">
        <v>1575</v>
      </c>
      <c r="AK378" s="16" t="s">
        <v>745</v>
      </c>
      <c r="AL378" s="16"/>
      <c r="AM378" s="60"/>
      <c r="AN378" s="60"/>
      <c r="AO378" s="60"/>
      <c r="AP378" s="60"/>
      <c r="AQ378" s="60"/>
      <c r="AR378" s="60"/>
      <c r="AS378" s="63"/>
      <c r="AT378" s="63"/>
      <c r="AU378" s="63"/>
      <c r="AV378" s="131"/>
      <c r="AW378" s="131"/>
      <c r="AX378" s="131"/>
      <c r="AY378" s="27" t="s">
        <v>662</v>
      </c>
      <c r="AZ378" s="27"/>
      <c r="BA378" s="27"/>
      <c r="BB378" s="30"/>
      <c r="BC378" s="30"/>
      <c r="BD378" s="30"/>
      <c r="BE378" s="30"/>
      <c r="BF378" s="30"/>
      <c r="BG378" s="30"/>
      <c r="BH378" s="107" t="s">
        <v>491</v>
      </c>
      <c r="BI378" s="107">
        <v>3.0000000000000001E-3</v>
      </c>
      <c r="BJ378" s="107">
        <v>4.0000000000000001E-3</v>
      </c>
      <c r="BK378" s="107">
        <v>100</v>
      </c>
      <c r="BL378" s="136"/>
      <c r="BM378" s="122"/>
      <c r="BN378" s="138">
        <v>550</v>
      </c>
      <c r="BO378" s="93">
        <f>BN378/6</f>
        <v>91.666666666666671</v>
      </c>
      <c r="BP378" s="93">
        <f>BO378</f>
        <v>91.666666666666671</v>
      </c>
      <c r="BQ378" s="93">
        <f t="shared" ref="BQ378:BT378" si="318">BP378</f>
        <v>91.666666666666671</v>
      </c>
      <c r="BR378" s="93">
        <f t="shared" si="318"/>
        <v>91.666666666666671</v>
      </c>
      <c r="BS378" s="93">
        <f t="shared" si="318"/>
        <v>91.666666666666671</v>
      </c>
      <c r="BT378" s="93">
        <f t="shared" si="318"/>
        <v>91.666666666666671</v>
      </c>
      <c r="BU378" s="27">
        <f t="shared" si="289"/>
        <v>0</v>
      </c>
      <c r="BV378" s="27"/>
      <c r="BW378" s="27"/>
      <c r="BX378" s="27"/>
      <c r="BY378" s="27"/>
      <c r="BZ378" s="27"/>
      <c r="CA378" s="27"/>
      <c r="CB378" s="185">
        <v>1000</v>
      </c>
      <c r="CC378" s="185">
        <v>1000</v>
      </c>
      <c r="CD378" s="185">
        <v>1000</v>
      </c>
      <c r="CE378" s="185">
        <v>1000</v>
      </c>
      <c r="CF378" s="185">
        <v>1000</v>
      </c>
      <c r="CG378" s="185">
        <v>1000</v>
      </c>
      <c r="CH378" s="185">
        <v>1000</v>
      </c>
      <c r="CI378" s="173"/>
      <c r="CJ378" s="173"/>
      <c r="CK378" s="173"/>
      <c r="CL378" s="173"/>
      <c r="CM378" s="173"/>
      <c r="CN378" s="173"/>
      <c r="CO378" s="173"/>
      <c r="CP378" s="174"/>
      <c r="CQ378" s="174"/>
      <c r="CR378" s="174"/>
      <c r="CS378" s="174"/>
      <c r="CT378" s="174"/>
      <c r="CU378" s="174"/>
      <c r="CV378" s="174"/>
      <c r="CW378" s="165"/>
      <c r="CX378" s="166"/>
      <c r="CY378" s="166"/>
      <c r="CZ378" s="166"/>
      <c r="DA378" s="166"/>
      <c r="DB378" s="166"/>
      <c r="DC378" s="166"/>
      <c r="DD378" s="171"/>
      <c r="DE378" s="171"/>
      <c r="DF378" s="171"/>
      <c r="DG378" s="171"/>
      <c r="DH378" s="171"/>
      <c r="DI378" s="171"/>
      <c r="DJ378" s="171"/>
      <c r="DK378" s="79" t="s">
        <v>415</v>
      </c>
      <c r="DL378" s="128">
        <v>2000</v>
      </c>
      <c r="DM378" s="128">
        <v>2000</v>
      </c>
      <c r="DN378" s="128">
        <v>2000</v>
      </c>
      <c r="DO378" s="128">
        <v>2000</v>
      </c>
      <c r="DP378" s="128">
        <v>2000</v>
      </c>
      <c r="DQ378" s="128">
        <v>2000</v>
      </c>
      <c r="DR378" s="128">
        <v>2000</v>
      </c>
      <c r="DS378" s="218"/>
      <c r="DT378" s="360"/>
      <c r="DU378" s="360"/>
      <c r="DV378" s="360"/>
      <c r="DW378" s="360"/>
      <c r="DX378" s="360"/>
      <c r="DY378" s="360"/>
      <c r="DZ378" s="360"/>
      <c r="EA378" s="360"/>
      <c r="EB378" s="360"/>
      <c r="EC378" s="360"/>
      <c r="ED378" s="360"/>
      <c r="EE378" s="360"/>
      <c r="EF378" s="360"/>
      <c r="EG378" s="360"/>
      <c r="EH378" s="360"/>
      <c r="EI378" s="360"/>
      <c r="EJ378" s="360"/>
      <c r="EK378" s="360"/>
      <c r="EL378" s="360"/>
      <c r="EM378" s="360"/>
      <c r="EN378" s="360"/>
      <c r="EO378" s="360"/>
      <c r="EP378" s="360"/>
      <c r="EQ378" s="360"/>
    </row>
    <row r="379" spans="1:244" x14ac:dyDescent="0.35">
      <c r="A379" s="6" t="s">
        <v>1578</v>
      </c>
      <c r="B379" s="6" t="s">
        <v>1243</v>
      </c>
      <c r="C379" s="6" t="s">
        <v>788</v>
      </c>
      <c r="D379" s="6" t="s">
        <v>1561</v>
      </c>
      <c r="E379" s="6" t="s">
        <v>1579</v>
      </c>
      <c r="F379" s="6" t="s">
        <v>491</v>
      </c>
      <c r="G379" s="48" t="s">
        <v>1580</v>
      </c>
      <c r="H379" s="48" t="s">
        <v>981</v>
      </c>
      <c r="I379" s="102">
        <v>154.33000000000001</v>
      </c>
      <c r="J379" s="102">
        <v>154.33000000000001</v>
      </c>
      <c r="K379" s="102">
        <v>154.33000000000001</v>
      </c>
      <c r="L379" s="102">
        <v>154.33000000000001</v>
      </c>
      <c r="M379" s="102">
        <v>154.33000000000001</v>
      </c>
      <c r="N379" s="102">
        <v>154.33000000000001</v>
      </c>
      <c r="O379" s="102">
        <v>154.33000000000001</v>
      </c>
      <c r="P379" s="94">
        <v>0</v>
      </c>
      <c r="Q379" s="102">
        <v>4.63</v>
      </c>
      <c r="R379" s="102">
        <v>4.63</v>
      </c>
      <c r="S379" s="102">
        <v>4.63</v>
      </c>
      <c r="T379" s="102">
        <v>4.63</v>
      </c>
      <c r="U379" s="102">
        <v>4.63</v>
      </c>
      <c r="V379" s="102">
        <v>4.63</v>
      </c>
      <c r="W379" s="102">
        <v>4.63</v>
      </c>
      <c r="X379" s="102">
        <v>0</v>
      </c>
      <c r="Y379" s="102">
        <v>0</v>
      </c>
      <c r="Z379" s="102">
        <v>0</v>
      </c>
      <c r="AA379" s="102">
        <v>0</v>
      </c>
      <c r="AB379" s="102">
        <v>0</v>
      </c>
      <c r="AC379" s="102">
        <v>0</v>
      </c>
      <c r="AD379" s="102">
        <v>0</v>
      </c>
      <c r="AE379" s="186">
        <v>0.08</v>
      </c>
      <c r="AF379" s="94">
        <v>0</v>
      </c>
      <c r="AG379" s="94">
        <v>10</v>
      </c>
      <c r="AH379" s="94">
        <v>10</v>
      </c>
      <c r="AI379" s="17">
        <v>31.536000000000001</v>
      </c>
      <c r="AJ379" s="17" t="s">
        <v>1569</v>
      </c>
      <c r="AK379" s="17" t="s">
        <v>745</v>
      </c>
      <c r="AL379" s="17"/>
      <c r="AM379" s="61"/>
      <c r="AN379" s="61"/>
      <c r="AO379" s="61"/>
      <c r="AP379" s="61"/>
      <c r="AQ379" s="61"/>
      <c r="AR379" s="61"/>
      <c r="AS379" s="64"/>
      <c r="AT379" s="64"/>
      <c r="AU379" s="64"/>
      <c r="AV379" s="132"/>
      <c r="AW379" s="132"/>
      <c r="AX379" s="132"/>
      <c r="AY379" s="28" t="s">
        <v>662</v>
      </c>
      <c r="AZ379" s="28"/>
      <c r="BA379" s="28"/>
      <c r="BB379" s="28"/>
      <c r="BC379" s="28"/>
      <c r="BD379" s="28"/>
      <c r="BE379" s="28"/>
      <c r="BF379" s="28"/>
      <c r="BG379" s="28"/>
      <c r="BH379" s="106"/>
      <c r="BI379" s="106"/>
      <c r="BJ379" s="106"/>
      <c r="BK379" s="106"/>
      <c r="BL379" s="137"/>
      <c r="BM379" s="123"/>
      <c r="BN379" s="139">
        <v>0</v>
      </c>
      <c r="BO379" s="94"/>
      <c r="BP379" s="94"/>
      <c r="BQ379" s="94"/>
      <c r="BR379" s="94"/>
      <c r="BS379" s="94"/>
      <c r="BT379" s="94"/>
      <c r="BU379" s="28">
        <f t="shared" si="289"/>
        <v>0</v>
      </c>
      <c r="BV379" s="28"/>
      <c r="BW379" s="28"/>
      <c r="BX379" s="28"/>
      <c r="BY379" s="28"/>
      <c r="BZ379" s="28"/>
      <c r="CA379" s="28"/>
      <c r="CB379" s="185">
        <v>1000</v>
      </c>
      <c r="CC379" s="185">
        <v>1000</v>
      </c>
      <c r="CD379" s="185">
        <v>1000</v>
      </c>
      <c r="CE379" s="185">
        <v>1000</v>
      </c>
      <c r="CF379" s="185">
        <v>1000</v>
      </c>
      <c r="CG379" s="185">
        <v>1000</v>
      </c>
      <c r="CH379" s="185">
        <v>1000</v>
      </c>
      <c r="CI379" s="175"/>
      <c r="CJ379" s="175"/>
      <c r="CK379" s="175"/>
      <c r="CL379" s="175"/>
      <c r="CM379" s="175"/>
      <c r="CN379" s="175"/>
      <c r="CO379" s="175"/>
      <c r="CP379" s="176"/>
      <c r="CQ379" s="176"/>
      <c r="CR379" s="176"/>
      <c r="CS379" s="176"/>
      <c r="CT379" s="176"/>
      <c r="CU379" s="176"/>
      <c r="CV379" s="176"/>
      <c r="CW379" s="167"/>
      <c r="CX379" s="168"/>
      <c r="CY379" s="168"/>
      <c r="CZ379" s="168"/>
      <c r="DA379" s="168"/>
      <c r="DB379" s="168"/>
      <c r="DC379" s="168"/>
      <c r="DD379" s="172"/>
      <c r="DE379" s="172"/>
      <c r="DF379" s="172"/>
      <c r="DG379" s="172"/>
      <c r="DH379" s="172"/>
      <c r="DI379" s="172"/>
      <c r="DJ379" s="172"/>
      <c r="DK379" s="80" t="s">
        <v>415</v>
      </c>
      <c r="DL379" s="129">
        <v>3500</v>
      </c>
      <c r="DM379" s="129">
        <v>3500</v>
      </c>
      <c r="DN379" s="129">
        <v>3500</v>
      </c>
      <c r="DO379" s="129">
        <v>3500</v>
      </c>
      <c r="DP379" s="129">
        <v>3500</v>
      </c>
      <c r="DQ379" s="129">
        <v>3500</v>
      </c>
      <c r="DR379" s="129">
        <v>3500</v>
      </c>
      <c r="DS379" s="218"/>
      <c r="DT379" s="360"/>
      <c r="DU379" s="360"/>
      <c r="DV379" s="360"/>
      <c r="DW379" s="360"/>
      <c r="DX379" s="360"/>
      <c r="DY379" s="360"/>
      <c r="DZ379" s="360"/>
      <c r="EA379" s="360"/>
      <c r="EB379" s="360"/>
      <c r="EC379" s="360"/>
      <c r="ED379" s="360"/>
      <c r="EE379" s="360"/>
      <c r="EF379" s="360"/>
      <c r="EG379" s="360"/>
      <c r="EH379" s="360"/>
      <c r="EI379" s="360"/>
      <c r="EJ379" s="360"/>
      <c r="EK379" s="360"/>
      <c r="EL379" s="360"/>
      <c r="EM379" s="360"/>
      <c r="EN379" s="360"/>
      <c r="EO379" s="360"/>
      <c r="EP379" s="360"/>
      <c r="EQ379" s="360"/>
    </row>
    <row r="380" spans="1:244" x14ac:dyDescent="0.35">
      <c r="A380" s="5" t="s">
        <v>1581</v>
      </c>
      <c r="B380" s="5" t="s">
        <v>740</v>
      </c>
      <c r="C380" s="5" t="s">
        <v>788</v>
      </c>
      <c r="D380" s="5" t="s">
        <v>1561</v>
      </c>
      <c r="E380" s="5" t="s">
        <v>1500</v>
      </c>
      <c r="F380" s="5" t="s">
        <v>494</v>
      </c>
      <c r="G380" s="47" t="s">
        <v>1582</v>
      </c>
      <c r="H380" s="47" t="s">
        <v>659</v>
      </c>
      <c r="I380" s="101">
        <v>234.02</v>
      </c>
      <c r="J380" s="101">
        <v>216.47</v>
      </c>
      <c r="K380" s="101">
        <v>198.92</v>
      </c>
      <c r="L380" s="101">
        <v>193.85</v>
      </c>
      <c r="M380" s="101">
        <v>188.78</v>
      </c>
      <c r="N380" s="101">
        <v>184.83</v>
      </c>
      <c r="O380" s="101">
        <v>180.88</v>
      </c>
      <c r="P380" s="93">
        <v>0</v>
      </c>
      <c r="Q380" s="101">
        <v>19.71</v>
      </c>
      <c r="R380" s="101">
        <v>19.71</v>
      </c>
      <c r="S380" s="101">
        <v>19.71</v>
      </c>
      <c r="T380" s="101">
        <v>19.71</v>
      </c>
      <c r="U380" s="101">
        <v>19.71</v>
      </c>
      <c r="V380" s="101">
        <v>19.71</v>
      </c>
      <c r="W380" s="101">
        <v>19.71</v>
      </c>
      <c r="X380" s="101">
        <v>0</v>
      </c>
      <c r="Y380" s="101">
        <v>0</v>
      </c>
      <c r="Z380" s="101">
        <v>0</v>
      </c>
      <c r="AA380" s="101">
        <v>0</v>
      </c>
      <c r="AB380" s="101">
        <v>0</v>
      </c>
      <c r="AC380" s="101">
        <v>0</v>
      </c>
      <c r="AD380" s="101">
        <v>0</v>
      </c>
      <c r="AE380" s="186">
        <v>0.08</v>
      </c>
      <c r="AF380" s="93">
        <v>0</v>
      </c>
      <c r="AG380" s="93">
        <v>12</v>
      </c>
      <c r="AH380" s="93">
        <v>12</v>
      </c>
      <c r="AI380" s="16">
        <v>1</v>
      </c>
      <c r="AJ380" s="16" t="s">
        <v>660</v>
      </c>
      <c r="AK380" s="16" t="s">
        <v>745</v>
      </c>
      <c r="AL380" s="16"/>
      <c r="AM380" s="60"/>
      <c r="AN380" s="60"/>
      <c r="AO380" s="60"/>
      <c r="AP380" s="60"/>
      <c r="AQ380" s="60"/>
      <c r="AR380" s="60"/>
      <c r="AS380" s="63"/>
      <c r="AT380" s="63"/>
      <c r="AU380" s="63"/>
      <c r="AV380" s="131"/>
      <c r="AW380" s="131"/>
      <c r="AX380" s="131"/>
      <c r="AY380" s="27" t="s">
        <v>662</v>
      </c>
      <c r="AZ380" s="27"/>
      <c r="BA380" s="27"/>
      <c r="BB380" s="30"/>
      <c r="BC380" s="30"/>
      <c r="BD380" s="30"/>
      <c r="BE380" s="30"/>
      <c r="BF380" s="30"/>
      <c r="BG380" s="30"/>
      <c r="BH380" s="107"/>
      <c r="BI380" s="107"/>
      <c r="BJ380" s="107"/>
      <c r="BK380" s="107"/>
      <c r="BL380" s="136">
        <v>1</v>
      </c>
      <c r="BM380" s="122"/>
      <c r="BN380" s="138">
        <v>14.6</v>
      </c>
      <c r="BO380" s="93"/>
      <c r="BP380" s="93">
        <v>14.6</v>
      </c>
      <c r="BQ380" s="93"/>
      <c r="BR380" s="93"/>
      <c r="BS380" s="93"/>
      <c r="BT380" s="93"/>
      <c r="BU380" s="27">
        <f t="shared" si="289"/>
        <v>14.6</v>
      </c>
      <c r="BV380" s="27"/>
      <c r="BW380" s="27"/>
      <c r="BX380" s="27"/>
      <c r="BY380" s="27"/>
      <c r="BZ380" s="27"/>
      <c r="CA380" s="27"/>
      <c r="CB380" s="97">
        <v>14.6</v>
      </c>
      <c r="CC380" s="97">
        <v>1000</v>
      </c>
      <c r="CD380" s="97">
        <v>1000</v>
      </c>
      <c r="CE380" s="97">
        <v>1000</v>
      </c>
      <c r="CF380" s="97">
        <v>1000</v>
      </c>
      <c r="CG380" s="97">
        <v>1000</v>
      </c>
      <c r="CH380" s="97">
        <v>1000</v>
      </c>
      <c r="CI380" s="173"/>
      <c r="CJ380" s="173"/>
      <c r="CK380" s="173"/>
      <c r="CL380" s="173"/>
      <c r="CM380" s="173"/>
      <c r="CN380" s="173"/>
      <c r="CO380" s="173"/>
      <c r="CP380" s="174"/>
      <c r="CQ380" s="174"/>
      <c r="CR380" s="174"/>
      <c r="CS380" s="174"/>
      <c r="CT380" s="174"/>
      <c r="CU380" s="174"/>
      <c r="CV380" s="174"/>
      <c r="CW380" s="165"/>
      <c r="CX380" s="166"/>
      <c r="CY380" s="166"/>
      <c r="CZ380" s="166"/>
      <c r="DA380" s="166"/>
      <c r="DB380" s="166"/>
      <c r="DC380" s="166"/>
      <c r="DD380" s="171"/>
      <c r="DE380" s="171"/>
      <c r="DF380" s="171"/>
      <c r="DG380" s="171"/>
      <c r="DH380" s="171"/>
      <c r="DI380" s="171"/>
      <c r="DJ380" s="171"/>
      <c r="DK380" s="79" t="s">
        <v>415</v>
      </c>
      <c r="DL380" s="128">
        <v>1000</v>
      </c>
      <c r="DM380" s="128">
        <v>1000</v>
      </c>
      <c r="DN380" s="128">
        <v>1000</v>
      </c>
      <c r="DO380" s="128">
        <v>1000</v>
      </c>
      <c r="DP380" s="128">
        <v>1000</v>
      </c>
      <c r="DQ380" s="128">
        <v>1000</v>
      </c>
      <c r="DR380" s="128">
        <v>1000</v>
      </c>
      <c r="DS380" s="218"/>
      <c r="DT380" s="360"/>
      <c r="DU380" s="360"/>
      <c r="DV380" s="360"/>
      <c r="DW380" s="360"/>
      <c r="DX380" s="360"/>
      <c r="DY380" s="360"/>
      <c r="DZ380" s="360"/>
      <c r="EA380" s="360"/>
      <c r="EB380" s="360"/>
      <c r="EC380" s="360"/>
      <c r="ED380" s="360"/>
      <c r="EE380" s="360"/>
      <c r="EF380" s="360"/>
      <c r="EG380" s="360"/>
      <c r="EH380" s="360"/>
      <c r="EI380" s="360"/>
      <c r="EJ380" s="360"/>
      <c r="EK380" s="360"/>
      <c r="EL380" s="360"/>
      <c r="EM380" s="360"/>
      <c r="EN380" s="360"/>
      <c r="EO380" s="360"/>
      <c r="EP380" s="360"/>
      <c r="EQ380" s="360"/>
    </row>
    <row r="381" spans="1:244" x14ac:dyDescent="0.35">
      <c r="A381" s="6" t="s">
        <v>1583</v>
      </c>
      <c r="B381" s="6" t="s">
        <v>740</v>
      </c>
      <c r="C381" s="6" t="s">
        <v>788</v>
      </c>
      <c r="D381" s="6" t="s">
        <v>1561</v>
      </c>
      <c r="E381" s="6" t="s">
        <v>1500</v>
      </c>
      <c r="F381" s="6" t="s">
        <v>494</v>
      </c>
      <c r="G381" s="48" t="s">
        <v>1584</v>
      </c>
      <c r="H381" s="48" t="s">
        <v>659</v>
      </c>
      <c r="I381" s="102">
        <v>44.05</v>
      </c>
      <c r="J381" s="102">
        <v>40.74</v>
      </c>
      <c r="K381" s="102">
        <v>37.44</v>
      </c>
      <c r="L381" s="102">
        <v>36.479999999999997</v>
      </c>
      <c r="M381" s="102">
        <v>35.53</v>
      </c>
      <c r="N381" s="102">
        <v>34.79</v>
      </c>
      <c r="O381" s="102">
        <v>34.04</v>
      </c>
      <c r="P381" s="94">
        <v>0</v>
      </c>
      <c r="Q381" s="102">
        <v>3.66</v>
      </c>
      <c r="R381" s="102">
        <v>3.66</v>
      </c>
      <c r="S381" s="102">
        <v>3.66</v>
      </c>
      <c r="T381" s="102">
        <v>3.66</v>
      </c>
      <c r="U381" s="102">
        <v>3.66</v>
      </c>
      <c r="V381" s="102">
        <v>3.66</v>
      </c>
      <c r="W381" s="102">
        <v>3.66</v>
      </c>
      <c r="X381" s="102">
        <v>0</v>
      </c>
      <c r="Y381" s="102">
        <v>0</v>
      </c>
      <c r="Z381" s="102">
        <v>0</v>
      </c>
      <c r="AA381" s="102">
        <v>0</v>
      </c>
      <c r="AB381" s="102">
        <v>0</v>
      </c>
      <c r="AC381" s="102">
        <v>0</v>
      </c>
      <c r="AD381" s="102">
        <v>0</v>
      </c>
      <c r="AE381" s="186">
        <v>0.08</v>
      </c>
      <c r="AF381" s="94">
        <v>0</v>
      </c>
      <c r="AG381" s="94">
        <v>12</v>
      </c>
      <c r="AH381" s="94">
        <v>12</v>
      </c>
      <c r="AI381" s="17">
        <v>1</v>
      </c>
      <c r="AJ381" s="17" t="s">
        <v>660</v>
      </c>
      <c r="AK381" s="17" t="s">
        <v>745</v>
      </c>
      <c r="AL381" s="17"/>
      <c r="AM381" s="61"/>
      <c r="AN381" s="61"/>
      <c r="AO381" s="61"/>
      <c r="AP381" s="61"/>
      <c r="AQ381" s="61"/>
      <c r="AR381" s="61"/>
      <c r="AS381" s="64"/>
      <c r="AT381" s="64"/>
      <c r="AU381" s="64"/>
      <c r="AV381" s="132"/>
      <c r="AW381" s="132"/>
      <c r="AX381" s="132"/>
      <c r="AY381" s="28" t="s">
        <v>662</v>
      </c>
      <c r="AZ381" s="28"/>
      <c r="BA381" s="28"/>
      <c r="BB381" s="28"/>
      <c r="BC381" s="28"/>
      <c r="BD381" s="28"/>
      <c r="BE381" s="28"/>
      <c r="BF381" s="28"/>
      <c r="BG381" s="28"/>
      <c r="BH381" s="106"/>
      <c r="BI381" s="106"/>
      <c r="BJ381" s="106"/>
      <c r="BK381" s="106"/>
      <c r="BL381" s="137"/>
      <c r="BM381" s="123"/>
      <c r="BN381" s="139">
        <v>0</v>
      </c>
      <c r="BO381" s="94"/>
      <c r="BP381" s="94"/>
      <c r="BQ381" s="94"/>
      <c r="BR381" s="94"/>
      <c r="BS381" s="94"/>
      <c r="BT381" s="94"/>
      <c r="BU381" s="28">
        <f t="shared" si="289"/>
        <v>0</v>
      </c>
      <c r="BV381" s="28"/>
      <c r="BW381" s="28"/>
      <c r="BX381" s="28"/>
      <c r="BY381" s="28"/>
      <c r="BZ381" s="28"/>
      <c r="CA381" s="28"/>
      <c r="CB381" s="99"/>
      <c r="CC381" s="99">
        <v>1000</v>
      </c>
      <c r="CD381" s="99">
        <v>1000</v>
      </c>
      <c r="CE381" s="99">
        <v>1000</v>
      </c>
      <c r="CF381" s="99">
        <v>1000</v>
      </c>
      <c r="CG381" s="99">
        <v>1000</v>
      </c>
      <c r="CH381" s="99">
        <v>1000</v>
      </c>
      <c r="CI381" s="175"/>
      <c r="CJ381" s="175"/>
      <c r="CK381" s="175"/>
      <c r="CL381" s="175"/>
      <c r="CM381" s="175"/>
      <c r="CN381" s="175"/>
      <c r="CO381" s="175"/>
      <c r="CP381" s="176"/>
      <c r="CQ381" s="176"/>
      <c r="CR381" s="176"/>
      <c r="CS381" s="176"/>
      <c r="CT381" s="176"/>
      <c r="CU381" s="176"/>
      <c r="CV381" s="176"/>
      <c r="CW381" s="167"/>
      <c r="CX381" s="168"/>
      <c r="CY381" s="168"/>
      <c r="CZ381" s="168"/>
      <c r="DA381" s="168"/>
      <c r="DB381" s="168"/>
      <c r="DC381" s="168"/>
      <c r="DD381" s="172"/>
      <c r="DE381" s="172"/>
      <c r="DF381" s="172"/>
      <c r="DG381" s="172"/>
      <c r="DH381" s="172"/>
      <c r="DI381" s="172"/>
      <c r="DJ381" s="172"/>
      <c r="DK381" s="80" t="s">
        <v>415</v>
      </c>
      <c r="DL381" s="129">
        <v>1000</v>
      </c>
      <c r="DM381" s="129">
        <v>1000</v>
      </c>
      <c r="DN381" s="129">
        <v>1000</v>
      </c>
      <c r="DO381" s="129">
        <v>1000</v>
      </c>
      <c r="DP381" s="129">
        <v>1000</v>
      </c>
      <c r="DQ381" s="129">
        <v>1000</v>
      </c>
      <c r="DR381" s="129">
        <v>1000</v>
      </c>
      <c r="DS381" s="218"/>
      <c r="DT381" s="360"/>
      <c r="DU381" s="360"/>
      <c r="DV381" s="360"/>
      <c r="DW381" s="360"/>
      <c r="DX381" s="360"/>
      <c r="DY381" s="360"/>
      <c r="DZ381" s="360"/>
      <c r="EA381" s="360"/>
      <c r="EB381" s="360"/>
      <c r="EC381" s="360"/>
      <c r="ED381" s="360"/>
      <c r="EE381" s="360"/>
      <c r="EF381" s="360"/>
      <c r="EG381" s="360"/>
      <c r="EH381" s="360"/>
      <c r="EI381" s="360"/>
      <c r="EJ381" s="360"/>
      <c r="EK381" s="360"/>
      <c r="EL381" s="360"/>
      <c r="EM381" s="360"/>
      <c r="EN381" s="360"/>
      <c r="EO381" s="360"/>
      <c r="EP381" s="360"/>
      <c r="EQ381" s="360"/>
    </row>
    <row r="382" spans="1:244" x14ac:dyDescent="0.35">
      <c r="A382" s="5" t="s">
        <v>1585</v>
      </c>
      <c r="B382" s="5" t="s">
        <v>740</v>
      </c>
      <c r="C382" s="5" t="s">
        <v>788</v>
      </c>
      <c r="D382" s="5" t="s">
        <v>1561</v>
      </c>
      <c r="E382" s="5" t="s">
        <v>1500</v>
      </c>
      <c r="F382" s="5" t="s">
        <v>494</v>
      </c>
      <c r="G382" s="47" t="s">
        <v>1586</v>
      </c>
      <c r="H382" s="47" t="s">
        <v>659</v>
      </c>
      <c r="I382" s="101">
        <v>130.63999999999999</v>
      </c>
      <c r="J382" s="101">
        <v>117.57</v>
      </c>
      <c r="K382" s="101">
        <v>104.51</v>
      </c>
      <c r="L382" s="101">
        <v>100.89</v>
      </c>
      <c r="M382" s="101">
        <v>97.27</v>
      </c>
      <c r="N382" s="101">
        <v>94.49</v>
      </c>
      <c r="O382" s="101">
        <v>91.72</v>
      </c>
      <c r="P382" s="93">
        <v>0</v>
      </c>
      <c r="Q382" s="101">
        <v>8.16</v>
      </c>
      <c r="R382" s="101">
        <v>8.16</v>
      </c>
      <c r="S382" s="101">
        <v>8.16</v>
      </c>
      <c r="T382" s="101">
        <v>8.16</v>
      </c>
      <c r="U382" s="101">
        <v>8.16</v>
      </c>
      <c r="V382" s="101">
        <v>8.16</v>
      </c>
      <c r="W382" s="101">
        <v>8.16</v>
      </c>
      <c r="X382" s="101">
        <v>0</v>
      </c>
      <c r="Y382" s="101">
        <v>0</v>
      </c>
      <c r="Z382" s="101">
        <v>0</v>
      </c>
      <c r="AA382" s="101">
        <v>0</v>
      </c>
      <c r="AB382" s="101">
        <v>0</v>
      </c>
      <c r="AC382" s="101">
        <v>0</v>
      </c>
      <c r="AD382" s="101">
        <v>0</v>
      </c>
      <c r="AE382" s="186">
        <v>0.08</v>
      </c>
      <c r="AF382" s="93">
        <v>0</v>
      </c>
      <c r="AG382" s="93">
        <v>12</v>
      </c>
      <c r="AH382" s="93">
        <v>12</v>
      </c>
      <c r="AI382" s="16">
        <v>1</v>
      </c>
      <c r="AJ382" s="16" t="s">
        <v>660</v>
      </c>
      <c r="AK382" s="16" t="s">
        <v>745</v>
      </c>
      <c r="AL382" s="16"/>
      <c r="AM382" s="60"/>
      <c r="AN382" s="60"/>
      <c r="AO382" s="60"/>
      <c r="AP382" s="60"/>
      <c r="AQ382" s="60"/>
      <c r="AR382" s="60"/>
      <c r="AS382" s="63"/>
      <c r="AT382" s="63"/>
      <c r="AU382" s="63"/>
      <c r="AV382" s="131"/>
      <c r="AW382" s="131"/>
      <c r="AX382" s="131"/>
      <c r="AY382" s="27" t="s">
        <v>662</v>
      </c>
      <c r="AZ382" s="27"/>
      <c r="BA382" s="27"/>
      <c r="BB382" s="30"/>
      <c r="BC382" s="30"/>
      <c r="BD382" s="30"/>
      <c r="BE382" s="30"/>
      <c r="BF382" s="30"/>
      <c r="BG382" s="30"/>
      <c r="BH382" s="107"/>
      <c r="BI382" s="107"/>
      <c r="BJ382" s="107"/>
      <c r="BK382" s="107"/>
      <c r="BL382" s="136"/>
      <c r="BM382" s="122"/>
      <c r="BN382" s="138">
        <v>0</v>
      </c>
      <c r="BO382" s="93"/>
      <c r="BP382" s="93"/>
      <c r="BQ382" s="93"/>
      <c r="BR382" s="93"/>
      <c r="BS382" s="93"/>
      <c r="BT382" s="93"/>
      <c r="BU382" s="27">
        <f t="shared" si="289"/>
        <v>0</v>
      </c>
      <c r="BV382" s="27"/>
      <c r="BW382" s="27"/>
      <c r="BX382" s="27"/>
      <c r="BY382" s="27"/>
      <c r="BZ382" s="27"/>
      <c r="CA382" s="27"/>
      <c r="CB382" s="97"/>
      <c r="CC382" s="97">
        <v>1000</v>
      </c>
      <c r="CD382" s="97">
        <v>1000</v>
      </c>
      <c r="CE382" s="97">
        <v>1000</v>
      </c>
      <c r="CF382" s="97">
        <v>1000</v>
      </c>
      <c r="CG382" s="97">
        <v>1000</v>
      </c>
      <c r="CH382" s="97">
        <v>1000</v>
      </c>
      <c r="CI382" s="173"/>
      <c r="CJ382" s="173"/>
      <c r="CK382" s="173"/>
      <c r="CL382" s="173"/>
      <c r="CM382" s="173"/>
      <c r="CN382" s="173"/>
      <c r="CO382" s="173"/>
      <c r="CP382" s="174"/>
      <c r="CQ382" s="174"/>
      <c r="CR382" s="174"/>
      <c r="CS382" s="174"/>
      <c r="CT382" s="174"/>
      <c r="CU382" s="174"/>
      <c r="CV382" s="174"/>
      <c r="CW382" s="165"/>
      <c r="CX382" s="166"/>
      <c r="CY382" s="166"/>
      <c r="CZ382" s="166"/>
      <c r="DA382" s="166"/>
      <c r="DB382" s="166"/>
      <c r="DC382" s="166"/>
      <c r="DD382" s="171"/>
      <c r="DE382" s="171"/>
      <c r="DF382" s="171"/>
      <c r="DG382" s="171"/>
      <c r="DH382" s="171"/>
      <c r="DI382" s="171"/>
      <c r="DJ382" s="171"/>
      <c r="DK382" s="79" t="s">
        <v>415</v>
      </c>
      <c r="DL382" s="128">
        <v>1000</v>
      </c>
      <c r="DM382" s="128">
        <v>1000</v>
      </c>
      <c r="DN382" s="128">
        <v>1000</v>
      </c>
      <c r="DO382" s="128">
        <v>1000</v>
      </c>
      <c r="DP382" s="128">
        <v>1000</v>
      </c>
      <c r="DQ382" s="128">
        <v>1000</v>
      </c>
      <c r="DR382" s="128">
        <v>1000</v>
      </c>
      <c r="DS382" s="218"/>
      <c r="DT382" s="360"/>
      <c r="DU382" s="360"/>
      <c r="DV382" s="360"/>
      <c r="DW382" s="360"/>
      <c r="DX382" s="360"/>
      <c r="DY382" s="360"/>
      <c r="DZ382" s="360"/>
      <c r="EA382" s="360"/>
      <c r="EB382" s="360"/>
      <c r="EC382" s="360"/>
      <c r="ED382" s="360"/>
      <c r="EE382" s="360"/>
      <c r="EF382" s="360"/>
      <c r="EG382" s="360"/>
      <c r="EH382" s="360"/>
      <c r="EI382" s="360"/>
      <c r="EJ382" s="360"/>
      <c r="EK382" s="360"/>
      <c r="EL382" s="360"/>
      <c r="EM382" s="360"/>
      <c r="EN382" s="360"/>
      <c r="EO382" s="360"/>
      <c r="EP382" s="360"/>
      <c r="EQ382" s="360"/>
    </row>
    <row r="383" spans="1:244" x14ac:dyDescent="0.35">
      <c r="A383" s="6" t="s">
        <v>1587</v>
      </c>
      <c r="B383" s="6" t="s">
        <v>740</v>
      </c>
      <c r="C383" s="6" t="s">
        <v>788</v>
      </c>
      <c r="D383" s="6" t="s">
        <v>1561</v>
      </c>
      <c r="E383" s="6" t="s">
        <v>1500</v>
      </c>
      <c r="F383" s="6" t="s">
        <v>494</v>
      </c>
      <c r="G383" s="48" t="s">
        <v>1588</v>
      </c>
      <c r="H383" s="48" t="s">
        <v>659</v>
      </c>
      <c r="I383" s="102">
        <v>148.44</v>
      </c>
      <c r="J383" s="102">
        <v>133.78</v>
      </c>
      <c r="K383" s="102">
        <v>119.12</v>
      </c>
      <c r="L383" s="102">
        <v>113.85</v>
      </c>
      <c r="M383" s="102">
        <v>108.57</v>
      </c>
      <c r="N383" s="102">
        <v>105.06</v>
      </c>
      <c r="O383" s="102">
        <v>101.54</v>
      </c>
      <c r="P383" s="94">
        <v>0</v>
      </c>
      <c r="Q383" s="102">
        <v>8.16</v>
      </c>
      <c r="R383" s="102">
        <v>8.16</v>
      </c>
      <c r="S383" s="102">
        <v>8.16</v>
      </c>
      <c r="T383" s="102">
        <v>8.16</v>
      </c>
      <c r="U383" s="102">
        <v>8.16</v>
      </c>
      <c r="V383" s="102">
        <v>8.16</v>
      </c>
      <c r="W383" s="102">
        <v>8.16</v>
      </c>
      <c r="X383" s="102">
        <v>0</v>
      </c>
      <c r="Y383" s="102">
        <v>0</v>
      </c>
      <c r="Z383" s="102">
        <v>0</v>
      </c>
      <c r="AA383" s="102">
        <v>0</v>
      </c>
      <c r="AB383" s="102">
        <v>0</v>
      </c>
      <c r="AC383" s="102">
        <v>0</v>
      </c>
      <c r="AD383" s="102">
        <v>0</v>
      </c>
      <c r="AE383" s="186">
        <v>0.08</v>
      </c>
      <c r="AF383" s="94">
        <v>0</v>
      </c>
      <c r="AG383" s="94">
        <v>12</v>
      </c>
      <c r="AH383" s="94">
        <v>12</v>
      </c>
      <c r="AI383" s="17">
        <v>1</v>
      </c>
      <c r="AJ383" s="17" t="s">
        <v>660</v>
      </c>
      <c r="AK383" s="17" t="s">
        <v>745</v>
      </c>
      <c r="AL383" s="17"/>
      <c r="AM383" s="61"/>
      <c r="AN383" s="61"/>
      <c r="AO383" s="61"/>
      <c r="AP383" s="61"/>
      <c r="AQ383" s="61"/>
      <c r="AR383" s="61"/>
      <c r="AS383" s="64"/>
      <c r="AT383" s="64"/>
      <c r="AU383" s="64"/>
      <c r="AV383" s="132"/>
      <c r="AW383" s="132"/>
      <c r="AX383" s="132"/>
      <c r="AY383" s="28" t="s">
        <v>662</v>
      </c>
      <c r="AZ383" s="28"/>
      <c r="BA383" s="28"/>
      <c r="BB383" s="28"/>
      <c r="BC383" s="28"/>
      <c r="BD383" s="28"/>
      <c r="BE383" s="28"/>
      <c r="BF383" s="28"/>
      <c r="BG383" s="28"/>
      <c r="BH383" s="106"/>
      <c r="BI383" s="106"/>
      <c r="BJ383" s="106"/>
      <c r="BK383" s="106"/>
      <c r="BL383" s="137"/>
      <c r="BM383" s="123"/>
      <c r="BN383" s="139">
        <v>0</v>
      </c>
      <c r="BO383" s="94"/>
      <c r="BP383" s="94"/>
      <c r="BQ383" s="94"/>
      <c r="BR383" s="94"/>
      <c r="BS383" s="94"/>
      <c r="BT383" s="94"/>
      <c r="BU383" s="28">
        <f t="shared" si="289"/>
        <v>0</v>
      </c>
      <c r="BV383" s="28"/>
      <c r="BW383" s="28"/>
      <c r="BX383" s="28"/>
      <c r="BY383" s="28"/>
      <c r="BZ383" s="28"/>
      <c r="CA383" s="28"/>
      <c r="CB383" s="99">
        <v>0</v>
      </c>
      <c r="CC383" s="99">
        <v>250</v>
      </c>
      <c r="CD383" s="99">
        <v>500</v>
      </c>
      <c r="CE383" s="99">
        <v>1000</v>
      </c>
      <c r="CF383" s="99">
        <v>1000</v>
      </c>
      <c r="CG383" s="99">
        <v>1000</v>
      </c>
      <c r="CH383" s="99">
        <v>1000</v>
      </c>
      <c r="CI383" s="175"/>
      <c r="CJ383" s="175"/>
      <c r="CK383" s="175"/>
      <c r="CL383" s="175"/>
      <c r="CM383" s="175"/>
      <c r="CN383" s="175"/>
      <c r="CO383" s="175"/>
      <c r="CP383" s="176"/>
      <c r="CQ383" s="176"/>
      <c r="CR383" s="176"/>
      <c r="CS383" s="176"/>
      <c r="CT383" s="176"/>
      <c r="CU383" s="176"/>
      <c r="CV383" s="176"/>
      <c r="CW383" s="167"/>
      <c r="CX383" s="168"/>
      <c r="CY383" s="168"/>
      <c r="CZ383" s="168"/>
      <c r="DA383" s="168"/>
      <c r="DB383" s="168"/>
      <c r="DC383" s="168"/>
      <c r="DD383" s="172"/>
      <c r="DE383" s="172"/>
      <c r="DF383" s="172"/>
      <c r="DG383" s="172"/>
      <c r="DH383" s="172"/>
      <c r="DI383" s="172"/>
      <c r="DJ383" s="172"/>
      <c r="DK383" s="80" t="s">
        <v>415</v>
      </c>
      <c r="DL383" s="129">
        <v>1000</v>
      </c>
      <c r="DM383" s="129">
        <v>1000</v>
      </c>
      <c r="DN383" s="129">
        <v>1000</v>
      </c>
      <c r="DO383" s="129">
        <v>1000</v>
      </c>
      <c r="DP383" s="129">
        <v>1000</v>
      </c>
      <c r="DQ383" s="129">
        <v>1000</v>
      </c>
      <c r="DR383" s="129">
        <v>1000</v>
      </c>
      <c r="DS383" s="218"/>
      <c r="DT383" s="360"/>
      <c r="DU383" s="360"/>
      <c r="DV383" s="360"/>
      <c r="DW383" s="360"/>
      <c r="DX383" s="360"/>
      <c r="DY383" s="360"/>
      <c r="DZ383" s="360"/>
      <c r="EA383" s="360"/>
      <c r="EB383" s="360"/>
      <c r="EC383" s="360"/>
      <c r="ED383" s="360"/>
      <c r="EE383" s="360"/>
      <c r="EF383" s="360"/>
      <c r="EG383" s="360"/>
      <c r="EH383" s="360"/>
      <c r="EI383" s="360"/>
      <c r="EJ383" s="360"/>
      <c r="EK383" s="360"/>
      <c r="EL383" s="360"/>
      <c r="EM383" s="360"/>
      <c r="EN383" s="360"/>
      <c r="EO383" s="360"/>
      <c r="EP383" s="360"/>
      <c r="EQ383" s="360"/>
    </row>
    <row r="384" spans="1:244" x14ac:dyDescent="0.35">
      <c r="A384" s="390" t="s">
        <v>1589</v>
      </c>
      <c r="B384" s="6" t="s">
        <v>740</v>
      </c>
      <c r="C384" s="6" t="s">
        <v>788</v>
      </c>
      <c r="D384" s="6" t="s">
        <v>1561</v>
      </c>
      <c r="E384" s="6" t="s">
        <v>1500</v>
      </c>
      <c r="F384" s="6" t="s">
        <v>494</v>
      </c>
      <c r="G384" s="48" t="s">
        <v>1590</v>
      </c>
      <c r="H384" s="48" t="s">
        <v>659</v>
      </c>
      <c r="I384" s="102">
        <v>0</v>
      </c>
      <c r="J384" s="102">
        <v>0</v>
      </c>
      <c r="K384" s="102">
        <v>0</v>
      </c>
      <c r="L384" s="102">
        <v>0</v>
      </c>
      <c r="M384" s="102">
        <v>0</v>
      </c>
      <c r="N384" s="102">
        <v>0</v>
      </c>
      <c r="O384" s="102">
        <v>0</v>
      </c>
      <c r="P384" s="94"/>
      <c r="Q384" s="102">
        <v>0</v>
      </c>
      <c r="R384" s="102">
        <v>0</v>
      </c>
      <c r="S384" s="102">
        <v>0</v>
      </c>
      <c r="T384" s="102">
        <v>0</v>
      </c>
      <c r="U384" s="102">
        <v>0</v>
      </c>
      <c r="V384" s="102">
        <v>0</v>
      </c>
      <c r="W384" s="102">
        <v>0</v>
      </c>
      <c r="X384" s="391">
        <v>0</v>
      </c>
      <c r="Y384" s="391">
        <v>0</v>
      </c>
      <c r="Z384" s="391">
        <v>0</v>
      </c>
      <c r="AA384" s="391">
        <v>0</v>
      </c>
      <c r="AB384" s="391">
        <v>0</v>
      </c>
      <c r="AC384" s="391">
        <v>0</v>
      </c>
      <c r="AD384" s="391">
        <v>0</v>
      </c>
      <c r="AE384" s="186">
        <v>0.08</v>
      </c>
      <c r="AF384" s="94"/>
      <c r="AG384" s="94">
        <v>1</v>
      </c>
      <c r="AH384" s="94">
        <v>1</v>
      </c>
      <c r="AI384" s="17">
        <v>1</v>
      </c>
      <c r="AJ384" s="17" t="s">
        <v>660</v>
      </c>
      <c r="AK384" s="17" t="s">
        <v>745</v>
      </c>
      <c r="AL384" s="17"/>
      <c r="AM384" s="61"/>
      <c r="AN384" s="61"/>
      <c r="AO384" s="61"/>
      <c r="AP384" s="61"/>
      <c r="AQ384" s="61"/>
      <c r="AR384" s="61"/>
      <c r="AS384" s="64"/>
      <c r="AT384" s="64"/>
      <c r="AU384" s="64"/>
      <c r="AV384" s="132"/>
      <c r="AW384" s="132"/>
      <c r="AX384" s="132"/>
      <c r="AY384" s="28" t="s">
        <v>662</v>
      </c>
      <c r="AZ384" s="28"/>
      <c r="BA384" s="28"/>
      <c r="BB384" s="28"/>
      <c r="BC384" s="28"/>
      <c r="BD384" s="28"/>
      <c r="BE384" s="28"/>
      <c r="BF384" s="28"/>
      <c r="BG384" s="28"/>
      <c r="BH384" s="106"/>
      <c r="BI384" s="106"/>
      <c r="BJ384" s="106"/>
      <c r="BK384" s="106"/>
      <c r="BL384" s="137"/>
      <c r="BM384" s="123"/>
      <c r="BN384" s="139"/>
      <c r="BO384" s="94"/>
      <c r="BP384" s="94"/>
      <c r="BQ384" s="94"/>
      <c r="BR384" s="94"/>
      <c r="BS384" s="94"/>
      <c r="BT384" s="94"/>
      <c r="BU384" s="28">
        <v>0</v>
      </c>
      <c r="BV384" s="28"/>
      <c r="BW384" s="28"/>
      <c r="BX384" s="28"/>
      <c r="BY384" s="28"/>
      <c r="BZ384" s="28"/>
      <c r="CA384" s="28"/>
      <c r="CB384" s="99"/>
      <c r="CC384" s="185">
        <v>1000</v>
      </c>
      <c r="CD384" s="185">
        <v>1000</v>
      </c>
      <c r="CE384" s="185">
        <v>1000</v>
      </c>
      <c r="CF384" s="185">
        <v>1000</v>
      </c>
      <c r="CG384" s="185">
        <v>1000</v>
      </c>
      <c r="CH384" s="185">
        <v>1000</v>
      </c>
      <c r="CI384" s="175"/>
      <c r="CJ384" s="175"/>
      <c r="CK384" s="175"/>
      <c r="CL384" s="175"/>
      <c r="CM384" s="175"/>
      <c r="CN384" s="175"/>
      <c r="CO384" s="175"/>
      <c r="CP384" s="176"/>
      <c r="CQ384" s="176"/>
      <c r="CR384" s="176"/>
      <c r="CS384" s="176"/>
      <c r="CT384" s="176"/>
      <c r="CU384" s="176"/>
      <c r="CV384" s="176"/>
      <c r="CW384" s="167"/>
      <c r="CX384" s="168"/>
      <c r="CY384" s="168"/>
      <c r="CZ384" s="168"/>
      <c r="DA384" s="168"/>
      <c r="DB384" s="168"/>
      <c r="DC384" s="168"/>
      <c r="DD384" s="172"/>
      <c r="DE384" s="172"/>
      <c r="DF384" s="172"/>
      <c r="DG384" s="172"/>
      <c r="DH384" s="172"/>
      <c r="DI384" s="172"/>
      <c r="DJ384" s="172"/>
      <c r="DK384" s="80"/>
      <c r="DL384" s="129"/>
      <c r="DM384" s="129"/>
      <c r="DN384" s="129"/>
      <c r="DO384" s="129"/>
      <c r="DP384" s="129"/>
      <c r="DQ384" s="129"/>
      <c r="DR384" s="129"/>
      <c r="DS384" s="218"/>
      <c r="DT384" s="360"/>
      <c r="DU384" s="360"/>
      <c r="DV384" s="360"/>
      <c r="DW384" s="360"/>
      <c r="DX384" s="360"/>
      <c r="DY384" s="360"/>
      <c r="DZ384" s="360"/>
      <c r="EA384" s="360"/>
      <c r="EB384" s="360"/>
      <c r="EC384" s="360"/>
      <c r="ED384" s="360"/>
      <c r="EE384" s="360"/>
      <c r="EF384" s="360"/>
      <c r="EG384" s="360"/>
      <c r="EH384" s="360"/>
      <c r="EI384" s="360"/>
      <c r="EJ384" s="360"/>
      <c r="EK384" s="360"/>
      <c r="EL384" s="360"/>
      <c r="EM384" s="360"/>
      <c r="EN384" s="360"/>
      <c r="EO384" s="360"/>
      <c r="EP384" s="360"/>
      <c r="EQ384" s="360"/>
    </row>
    <row r="385" spans="1:147" x14ac:dyDescent="0.35">
      <c r="A385" s="5" t="s">
        <v>1591</v>
      </c>
      <c r="B385" s="5" t="s">
        <v>1243</v>
      </c>
      <c r="C385" s="5" t="s">
        <v>788</v>
      </c>
      <c r="D385" s="5" t="s">
        <v>1561</v>
      </c>
      <c r="E385" s="5" t="s">
        <v>1579</v>
      </c>
      <c r="F385" s="5" t="s">
        <v>494</v>
      </c>
      <c r="G385" s="47" t="s">
        <v>1592</v>
      </c>
      <c r="H385" s="47" t="s">
        <v>981</v>
      </c>
      <c r="I385" s="101">
        <v>154.33000000000001</v>
      </c>
      <c r="J385" s="101">
        <v>154.33000000000001</v>
      </c>
      <c r="K385" s="101">
        <v>154.33000000000001</v>
      </c>
      <c r="L385" s="101">
        <v>154.33000000000001</v>
      </c>
      <c r="M385" s="101">
        <v>154.33000000000001</v>
      </c>
      <c r="N385" s="101">
        <v>154.33000000000001</v>
      </c>
      <c r="O385" s="101">
        <v>154.33000000000001</v>
      </c>
      <c r="P385" s="93">
        <v>0</v>
      </c>
      <c r="Q385" s="101">
        <v>4.63</v>
      </c>
      <c r="R385" s="101">
        <v>4.63</v>
      </c>
      <c r="S385" s="101">
        <v>4.63</v>
      </c>
      <c r="T385" s="101">
        <v>4.63</v>
      </c>
      <c r="U385" s="101">
        <v>4.63</v>
      </c>
      <c r="V385" s="101">
        <v>4.63</v>
      </c>
      <c r="W385" s="101">
        <v>4.63</v>
      </c>
      <c r="X385" s="101">
        <v>0</v>
      </c>
      <c r="Y385" s="101">
        <v>0</v>
      </c>
      <c r="Z385" s="101">
        <v>0</v>
      </c>
      <c r="AA385" s="101">
        <v>0</v>
      </c>
      <c r="AB385" s="101">
        <v>0</v>
      </c>
      <c r="AC385" s="101">
        <v>0</v>
      </c>
      <c r="AD385" s="101">
        <v>0</v>
      </c>
      <c r="AE385" s="186">
        <v>0.08</v>
      </c>
      <c r="AF385" s="93">
        <v>0</v>
      </c>
      <c r="AG385" s="93">
        <v>10</v>
      </c>
      <c r="AH385" s="93">
        <v>10</v>
      </c>
      <c r="AI385" s="16">
        <v>31.536000000000001</v>
      </c>
      <c r="AJ385" s="16" t="s">
        <v>1569</v>
      </c>
      <c r="AK385" s="16" t="s">
        <v>745</v>
      </c>
      <c r="AL385" s="16"/>
      <c r="AM385" s="60"/>
      <c r="AN385" s="60"/>
      <c r="AO385" s="60"/>
      <c r="AP385" s="60"/>
      <c r="AQ385" s="60"/>
      <c r="AR385" s="60"/>
      <c r="AS385" s="63"/>
      <c r="AT385" s="63"/>
      <c r="AU385" s="63"/>
      <c r="AV385" s="131"/>
      <c r="AW385" s="131"/>
      <c r="AX385" s="131"/>
      <c r="AY385" s="27" t="s">
        <v>662</v>
      </c>
      <c r="AZ385" s="27"/>
      <c r="BA385" s="27"/>
      <c r="BB385" s="30"/>
      <c r="BC385" s="30"/>
      <c r="BD385" s="30"/>
      <c r="BE385" s="30"/>
      <c r="BF385" s="30"/>
      <c r="BG385" s="30"/>
      <c r="BH385" s="107"/>
      <c r="BI385" s="107"/>
      <c r="BJ385" s="107"/>
      <c r="BK385" s="107"/>
      <c r="BL385" s="136"/>
      <c r="BM385" s="122"/>
      <c r="BN385" s="138">
        <v>60</v>
      </c>
      <c r="BO385" s="93">
        <v>30</v>
      </c>
      <c r="BP385" s="93">
        <v>30</v>
      </c>
      <c r="BQ385" s="93"/>
      <c r="BR385" s="93"/>
      <c r="BS385" s="93"/>
      <c r="BT385" s="93"/>
      <c r="BU385" s="27">
        <f t="shared" si="289"/>
        <v>0</v>
      </c>
      <c r="BV385" s="27"/>
      <c r="BW385" s="27"/>
      <c r="BX385" s="27"/>
      <c r="BY385" s="27"/>
      <c r="BZ385" s="27"/>
      <c r="CA385" s="27"/>
      <c r="CB385" s="185">
        <v>1000</v>
      </c>
      <c r="CC385" s="185">
        <v>1000</v>
      </c>
      <c r="CD385" s="185">
        <v>1000</v>
      </c>
      <c r="CE385" s="185">
        <v>1000</v>
      </c>
      <c r="CF385" s="185">
        <v>1000</v>
      </c>
      <c r="CG385" s="185">
        <v>1000</v>
      </c>
      <c r="CH385" s="185">
        <v>1000</v>
      </c>
      <c r="CI385" s="173"/>
      <c r="CJ385" s="173"/>
      <c r="CK385" s="173"/>
      <c r="CL385" s="173"/>
      <c r="CM385" s="173"/>
      <c r="CN385" s="173"/>
      <c r="CO385" s="173"/>
      <c r="CP385" s="174"/>
      <c r="CQ385" s="174"/>
      <c r="CR385" s="174"/>
      <c r="CS385" s="174"/>
      <c r="CT385" s="174"/>
      <c r="CU385" s="174"/>
      <c r="CV385" s="174"/>
      <c r="CW385" s="165"/>
      <c r="CX385" s="166"/>
      <c r="CY385" s="166"/>
      <c r="CZ385" s="166"/>
      <c r="DA385" s="166"/>
      <c r="DB385" s="166"/>
      <c r="DC385" s="166"/>
      <c r="DD385" s="171"/>
      <c r="DE385" s="171"/>
      <c r="DF385" s="171"/>
      <c r="DG385" s="171"/>
      <c r="DH385" s="171"/>
      <c r="DI385" s="171"/>
      <c r="DJ385" s="171"/>
      <c r="DK385" s="79" t="s">
        <v>415</v>
      </c>
      <c r="DL385" s="128">
        <v>3500</v>
      </c>
      <c r="DM385" s="128">
        <v>3500</v>
      </c>
      <c r="DN385" s="128">
        <v>3500</v>
      </c>
      <c r="DO385" s="128">
        <v>3500</v>
      </c>
      <c r="DP385" s="128">
        <v>3500</v>
      </c>
      <c r="DQ385" s="128">
        <v>3500</v>
      </c>
      <c r="DR385" s="128">
        <v>3500</v>
      </c>
      <c r="DS385" s="218"/>
      <c r="DT385" s="360"/>
      <c r="DU385" s="360"/>
      <c r="DV385" s="360"/>
      <c r="DW385" s="360"/>
      <c r="DX385" s="360"/>
      <c r="DY385" s="360"/>
      <c r="DZ385" s="360"/>
      <c r="EA385" s="360"/>
      <c r="EB385" s="360"/>
      <c r="EC385" s="360"/>
      <c r="ED385" s="360"/>
      <c r="EE385" s="360"/>
      <c r="EF385" s="360"/>
      <c r="EG385" s="360"/>
      <c r="EH385" s="360"/>
      <c r="EI385" s="360"/>
      <c r="EJ385" s="360"/>
      <c r="EK385" s="360"/>
      <c r="EL385" s="360"/>
      <c r="EM385" s="360"/>
      <c r="EN385" s="360"/>
      <c r="EO385" s="360"/>
      <c r="EP385" s="360"/>
      <c r="EQ385" s="360"/>
    </row>
    <row r="386" spans="1:147" x14ac:dyDescent="0.35">
      <c r="A386" s="225" t="s">
        <v>1593</v>
      </c>
      <c r="B386" s="225" t="s">
        <v>740</v>
      </c>
      <c r="C386" s="225" t="s">
        <v>817</v>
      </c>
      <c r="D386" s="225" t="s">
        <v>1469</v>
      </c>
      <c r="E386" s="225" t="s">
        <v>1567</v>
      </c>
      <c r="F386" s="225" t="s">
        <v>495</v>
      </c>
      <c r="G386" s="229" t="s">
        <v>1594</v>
      </c>
      <c r="H386" s="226" t="s">
        <v>659</v>
      </c>
      <c r="I386" s="102">
        <v>0</v>
      </c>
      <c r="J386" s="102">
        <v>0</v>
      </c>
      <c r="K386" s="102">
        <v>0</v>
      </c>
      <c r="L386" s="102">
        <v>0</v>
      </c>
      <c r="M386" s="102">
        <v>0</v>
      </c>
      <c r="N386" s="102">
        <v>0</v>
      </c>
      <c r="O386" s="102">
        <v>0</v>
      </c>
      <c r="P386" s="94">
        <v>0</v>
      </c>
      <c r="Q386" s="102">
        <v>0</v>
      </c>
      <c r="R386" s="102">
        <v>0</v>
      </c>
      <c r="S386" s="102">
        <v>0</v>
      </c>
      <c r="T386" s="102">
        <v>0</v>
      </c>
      <c r="U386" s="102">
        <v>0</v>
      </c>
      <c r="V386" s="102">
        <v>0</v>
      </c>
      <c r="W386" s="102">
        <v>0</v>
      </c>
      <c r="X386" s="102">
        <v>24.59696857763559</v>
      </c>
      <c r="Y386" s="102">
        <v>14.211581844856118</v>
      </c>
      <c r="Z386" s="102">
        <v>6.2858919698402076</v>
      </c>
      <c r="AA386" s="102">
        <v>5.444973446380323</v>
      </c>
      <c r="AB386" s="102">
        <v>4.6020714112945607</v>
      </c>
      <c r="AC386" s="102">
        <v>4.6030615857635331</v>
      </c>
      <c r="AD386" s="102">
        <v>4.6020714112945607</v>
      </c>
      <c r="AE386" s="186">
        <v>0.08</v>
      </c>
      <c r="AF386" s="94">
        <v>0</v>
      </c>
      <c r="AG386" s="94">
        <v>1</v>
      </c>
      <c r="AH386" s="94">
        <v>1</v>
      </c>
      <c r="AI386" s="17">
        <v>1</v>
      </c>
      <c r="AJ386" s="17" t="s">
        <v>660</v>
      </c>
      <c r="AK386" s="17" t="s">
        <v>745</v>
      </c>
      <c r="AL386" s="17"/>
      <c r="AM386" s="61"/>
      <c r="AN386" s="61"/>
      <c r="AO386" s="61"/>
      <c r="AP386" s="61"/>
      <c r="AQ386" s="61"/>
      <c r="AR386" s="61"/>
      <c r="AS386" s="64"/>
      <c r="AT386" s="64"/>
      <c r="AU386" s="64"/>
      <c r="AV386" s="132"/>
      <c r="AW386" s="132"/>
      <c r="AX386" s="132"/>
      <c r="AY386" s="28" t="s">
        <v>662</v>
      </c>
      <c r="AZ386" s="28"/>
      <c r="BA386" s="28"/>
      <c r="BB386" s="28"/>
      <c r="BC386" s="28"/>
      <c r="BD386" s="28"/>
      <c r="BE386" s="28"/>
      <c r="BF386" s="28"/>
      <c r="BG386" s="28"/>
      <c r="BH386" s="106"/>
      <c r="BI386" s="106"/>
      <c r="BJ386" s="106"/>
      <c r="BK386" s="106"/>
      <c r="BL386" s="137"/>
      <c r="BM386" s="123"/>
      <c r="BN386" s="139"/>
      <c r="BO386" s="94"/>
      <c r="BP386" s="94"/>
      <c r="BQ386" s="94"/>
      <c r="BR386" s="94"/>
      <c r="BS386" s="94"/>
      <c r="BT386" s="94"/>
      <c r="BU386" s="28">
        <f t="shared" si="289"/>
        <v>0</v>
      </c>
      <c r="BV386" s="28"/>
      <c r="BW386" s="28"/>
      <c r="BX386" s="28"/>
      <c r="BY386" s="28"/>
      <c r="BZ386" s="28"/>
      <c r="CA386" s="28"/>
      <c r="CB386" s="185">
        <v>1000</v>
      </c>
      <c r="CC386" s="185">
        <v>1000</v>
      </c>
      <c r="CD386" s="185">
        <v>1000</v>
      </c>
      <c r="CE386" s="185">
        <v>1000</v>
      </c>
      <c r="CF386" s="185">
        <v>1000</v>
      </c>
      <c r="CG386" s="185">
        <v>1000</v>
      </c>
      <c r="CH386" s="185">
        <v>1000</v>
      </c>
      <c r="CI386" s="175"/>
      <c r="CJ386" s="175"/>
      <c r="CK386" s="175"/>
      <c r="CL386" s="175"/>
      <c r="CM386" s="175"/>
      <c r="CN386" s="175"/>
      <c r="CO386" s="175"/>
      <c r="CP386" s="176"/>
      <c r="CQ386" s="176"/>
      <c r="CR386" s="176"/>
      <c r="CS386" s="176"/>
      <c r="CT386" s="176"/>
      <c r="CU386" s="176"/>
      <c r="CV386" s="176"/>
      <c r="CW386" s="167"/>
      <c r="CX386" s="168"/>
      <c r="CY386" s="168"/>
      <c r="CZ386" s="168"/>
      <c r="DA386" s="168"/>
      <c r="DB386" s="168"/>
      <c r="DC386" s="168"/>
      <c r="DD386" s="172"/>
      <c r="DE386" s="172"/>
      <c r="DF386" s="172"/>
      <c r="DG386" s="172"/>
      <c r="DH386" s="172"/>
      <c r="DI386" s="172"/>
      <c r="DJ386" s="172"/>
      <c r="DK386" s="80" t="s">
        <v>415</v>
      </c>
      <c r="DL386" s="129">
        <v>2000</v>
      </c>
      <c r="DM386" s="129">
        <v>2000</v>
      </c>
      <c r="DN386" s="129">
        <v>2000</v>
      </c>
      <c r="DO386" s="129">
        <v>2000</v>
      </c>
      <c r="DP386" s="129">
        <v>2000</v>
      </c>
      <c r="DQ386" s="129">
        <v>2000</v>
      </c>
      <c r="DR386" s="129">
        <v>2000</v>
      </c>
      <c r="DS386" s="218"/>
      <c r="DT386" s="360"/>
      <c r="DU386" s="360"/>
      <c r="DV386" s="360"/>
      <c r="DW386" s="360"/>
      <c r="DX386" s="360"/>
      <c r="DY386" s="360"/>
      <c r="DZ386" s="360"/>
      <c r="EA386" s="360"/>
      <c r="EB386" s="360"/>
      <c r="EC386" s="360"/>
      <c r="ED386" s="360"/>
      <c r="EE386" s="360"/>
      <c r="EF386" s="360"/>
      <c r="EG386" s="360"/>
      <c r="EH386" s="360"/>
      <c r="EI386" s="360"/>
      <c r="EJ386" s="360"/>
      <c r="EK386" s="360"/>
      <c r="EL386" s="360"/>
      <c r="EM386" s="360"/>
      <c r="EN386" s="360"/>
      <c r="EO386" s="360"/>
      <c r="EP386" s="360"/>
      <c r="EQ386" s="360"/>
    </row>
    <row r="387" spans="1:147" x14ac:dyDescent="0.35">
      <c r="A387" s="5" t="s">
        <v>1595</v>
      </c>
      <c r="B387" s="5" t="s">
        <v>740</v>
      </c>
      <c r="C387" s="5" t="s">
        <v>788</v>
      </c>
      <c r="D387" s="5" t="s">
        <v>497</v>
      </c>
      <c r="E387" s="5" t="s">
        <v>1475</v>
      </c>
      <c r="F387" s="5" t="s">
        <v>496</v>
      </c>
      <c r="G387" s="47" t="s">
        <v>1596</v>
      </c>
      <c r="H387" s="47" t="s">
        <v>659</v>
      </c>
      <c r="I387" s="253">
        <f>19*1.054</f>
        <v>20.026</v>
      </c>
      <c r="J387" s="253">
        <f t="shared" ref="J387:O387" si="319">19*1.054</f>
        <v>20.026</v>
      </c>
      <c r="K387" s="253">
        <f t="shared" si="319"/>
        <v>20.026</v>
      </c>
      <c r="L387" s="253">
        <f t="shared" si="319"/>
        <v>20.026</v>
      </c>
      <c r="M387" s="253">
        <f t="shared" si="319"/>
        <v>20.026</v>
      </c>
      <c r="N387" s="253">
        <f t="shared" si="319"/>
        <v>20.026</v>
      </c>
      <c r="O387" s="253">
        <f t="shared" si="319"/>
        <v>20.026</v>
      </c>
      <c r="P387" s="93">
        <v>0</v>
      </c>
      <c r="Q387" s="101">
        <v>1.35</v>
      </c>
      <c r="R387" s="101">
        <v>1.35</v>
      </c>
      <c r="S387" s="101">
        <v>1.35</v>
      </c>
      <c r="T387" s="101">
        <v>1.35</v>
      </c>
      <c r="U387" s="101">
        <v>1.35</v>
      </c>
      <c r="V387" s="101">
        <v>1.35</v>
      </c>
      <c r="W387" s="101">
        <v>1.35</v>
      </c>
      <c r="X387" s="101">
        <v>0</v>
      </c>
      <c r="Y387" s="101">
        <v>0</v>
      </c>
      <c r="Z387" s="101">
        <v>0</v>
      </c>
      <c r="AA387" s="101">
        <v>0</v>
      </c>
      <c r="AB387" s="101"/>
      <c r="AC387" s="101">
        <v>0</v>
      </c>
      <c r="AD387" s="101">
        <v>0</v>
      </c>
      <c r="AE387" s="186">
        <v>0.08</v>
      </c>
      <c r="AF387" s="93">
        <v>0</v>
      </c>
      <c r="AG387" s="93">
        <v>20</v>
      </c>
      <c r="AH387" s="93">
        <v>20</v>
      </c>
      <c r="AI387" s="16">
        <v>1</v>
      </c>
      <c r="AJ387" s="16" t="s">
        <v>660</v>
      </c>
      <c r="AK387" s="16" t="s">
        <v>745</v>
      </c>
      <c r="AL387" s="16"/>
      <c r="AM387" s="60"/>
      <c r="AN387" s="60"/>
      <c r="AO387" s="60"/>
      <c r="AP387" s="60"/>
      <c r="AQ387" s="60"/>
      <c r="AR387" s="60"/>
      <c r="AS387" s="63"/>
      <c r="AT387" s="63"/>
      <c r="AU387" s="63"/>
      <c r="AV387" s="131"/>
      <c r="AW387" s="131"/>
      <c r="AX387" s="131"/>
      <c r="AY387" s="27" t="s">
        <v>662</v>
      </c>
      <c r="AZ387" s="27"/>
      <c r="BA387" s="27"/>
      <c r="BB387" s="30"/>
      <c r="BC387" s="30"/>
      <c r="BD387" s="30"/>
      <c r="BE387" s="30"/>
      <c r="BF387" s="30"/>
      <c r="BG387" s="30"/>
      <c r="BH387" s="107"/>
      <c r="BI387" s="107"/>
      <c r="BJ387" s="107"/>
      <c r="BK387" s="107"/>
      <c r="BL387" s="136"/>
      <c r="BM387" s="122"/>
      <c r="BN387" s="138">
        <v>0</v>
      </c>
      <c r="BO387" s="93"/>
      <c r="BP387" s="93"/>
      <c r="BQ387" s="93"/>
      <c r="BR387" s="93"/>
      <c r="BS387" s="93"/>
      <c r="BT387" s="93"/>
      <c r="BU387" s="27">
        <f t="shared" si="289"/>
        <v>0</v>
      </c>
      <c r="BV387" s="27"/>
      <c r="BW387" s="27"/>
      <c r="BX387" s="27"/>
      <c r="BY387" s="27"/>
      <c r="BZ387" s="27"/>
      <c r="CA387" s="27"/>
      <c r="CB387" s="97">
        <v>200</v>
      </c>
      <c r="CC387" s="97">
        <v>200</v>
      </c>
      <c r="CD387" s="97">
        <v>200</v>
      </c>
      <c r="CE387" s="97">
        <v>200</v>
      </c>
      <c r="CF387" s="97">
        <v>200</v>
      </c>
      <c r="CG387" s="97">
        <v>200</v>
      </c>
      <c r="CH387" s="97">
        <v>200</v>
      </c>
      <c r="CI387" s="173"/>
      <c r="CJ387" s="173"/>
      <c r="CK387" s="173"/>
      <c r="CL387" s="173"/>
      <c r="CM387" s="173"/>
      <c r="CN387" s="173"/>
      <c r="CO387" s="173"/>
      <c r="CP387" s="174"/>
      <c r="CQ387" s="174"/>
      <c r="CR387" s="174"/>
      <c r="CS387" s="174"/>
      <c r="CT387" s="174"/>
      <c r="CU387" s="174"/>
      <c r="CV387" s="174"/>
      <c r="CW387" s="165"/>
      <c r="CX387" s="166"/>
      <c r="CY387" s="166"/>
      <c r="CZ387" s="166"/>
      <c r="DA387" s="166"/>
      <c r="DB387" s="166"/>
      <c r="DC387" s="166"/>
      <c r="DD387" s="171"/>
      <c r="DE387" s="171"/>
      <c r="DF387" s="171"/>
      <c r="DG387" s="171"/>
      <c r="DH387" s="171"/>
      <c r="DI387" s="171"/>
      <c r="DJ387" s="171"/>
      <c r="DK387" s="79" t="s">
        <v>1597</v>
      </c>
      <c r="DL387" s="128">
        <v>200</v>
      </c>
      <c r="DM387" s="128">
        <v>200</v>
      </c>
      <c r="DN387" s="128">
        <v>200</v>
      </c>
      <c r="DO387" s="128">
        <v>200</v>
      </c>
      <c r="DP387" s="128">
        <v>200</v>
      </c>
      <c r="DQ387" s="128">
        <v>200</v>
      </c>
      <c r="DR387" s="128">
        <v>200</v>
      </c>
      <c r="DS387" s="218"/>
      <c r="DT387" s="360"/>
      <c r="DU387" s="360"/>
      <c r="DV387" s="360"/>
      <c r="DW387" s="360"/>
      <c r="DX387" s="360"/>
      <c r="DY387" s="360"/>
      <c r="DZ387" s="360"/>
      <c r="EA387" s="360"/>
      <c r="EB387" s="360"/>
      <c r="EC387" s="360"/>
      <c r="ED387" s="360"/>
      <c r="EE387" s="360"/>
      <c r="EF387" s="360"/>
      <c r="EG387" s="360"/>
      <c r="EH387" s="360"/>
      <c r="EI387" s="360"/>
      <c r="EJ387" s="360"/>
      <c r="EK387" s="360"/>
      <c r="EL387" s="360"/>
      <c r="EM387" s="360"/>
      <c r="EN387" s="360"/>
      <c r="EO387" s="360"/>
      <c r="EP387" s="360"/>
      <c r="EQ387" s="360"/>
    </row>
    <row r="388" spans="1:147" x14ac:dyDescent="0.35">
      <c r="A388" s="6" t="s">
        <v>1598</v>
      </c>
      <c r="B388" s="6" t="s">
        <v>740</v>
      </c>
      <c r="C388" s="6" t="s">
        <v>788</v>
      </c>
      <c r="D388" s="6" t="s">
        <v>497</v>
      </c>
      <c r="E388" s="6" t="s">
        <v>1475</v>
      </c>
      <c r="F388" s="6" t="s">
        <v>496</v>
      </c>
      <c r="G388" s="48" t="s">
        <v>1599</v>
      </c>
      <c r="H388" s="48" t="s">
        <v>659</v>
      </c>
      <c r="I388" s="253">
        <f>22.4*1.054</f>
        <v>23.6096</v>
      </c>
      <c r="J388" s="253">
        <f t="shared" ref="J388:O388" si="320">22.4*1.054</f>
        <v>23.6096</v>
      </c>
      <c r="K388" s="253">
        <f t="shared" si="320"/>
        <v>23.6096</v>
      </c>
      <c r="L388" s="253">
        <f t="shared" si="320"/>
        <v>23.6096</v>
      </c>
      <c r="M388" s="253">
        <f t="shared" si="320"/>
        <v>23.6096</v>
      </c>
      <c r="N388" s="253">
        <f t="shared" si="320"/>
        <v>23.6096</v>
      </c>
      <c r="O388" s="253">
        <f t="shared" si="320"/>
        <v>23.6096</v>
      </c>
      <c r="P388" s="94">
        <v>0</v>
      </c>
      <c r="Q388" s="102">
        <v>3.61</v>
      </c>
      <c r="R388" s="102">
        <v>3.61</v>
      </c>
      <c r="S388" s="102">
        <v>3.61</v>
      </c>
      <c r="T388" s="102">
        <v>3.61</v>
      </c>
      <c r="U388" s="102">
        <v>3.61</v>
      </c>
      <c r="V388" s="102">
        <v>3.61</v>
      </c>
      <c r="W388" s="102">
        <v>3.61</v>
      </c>
      <c r="X388" s="102">
        <v>0</v>
      </c>
      <c r="Y388" s="102">
        <v>0</v>
      </c>
      <c r="Z388" s="102">
        <v>0</v>
      </c>
      <c r="AA388" s="102">
        <v>0</v>
      </c>
      <c r="AB388" s="102">
        <v>0</v>
      </c>
      <c r="AC388" s="102">
        <v>0</v>
      </c>
      <c r="AD388" s="102">
        <v>0</v>
      </c>
      <c r="AE388" s="186">
        <v>0.08</v>
      </c>
      <c r="AF388" s="94">
        <v>0</v>
      </c>
      <c r="AG388" s="94">
        <v>20</v>
      </c>
      <c r="AH388" s="94">
        <v>20</v>
      </c>
      <c r="AI388" s="17">
        <v>1</v>
      </c>
      <c r="AJ388" s="17" t="s">
        <v>660</v>
      </c>
      <c r="AK388" s="17" t="s">
        <v>745</v>
      </c>
      <c r="AL388" s="17"/>
      <c r="AM388" s="61"/>
      <c r="AN388" s="61"/>
      <c r="AO388" s="61"/>
      <c r="AP388" s="61"/>
      <c r="AQ388" s="61"/>
      <c r="AR388" s="61"/>
      <c r="AS388" s="64"/>
      <c r="AT388" s="64"/>
      <c r="AU388" s="64"/>
      <c r="AV388" s="132"/>
      <c r="AW388" s="132"/>
      <c r="AX388" s="132"/>
      <c r="AY388" s="28" t="s">
        <v>662</v>
      </c>
      <c r="AZ388" s="28"/>
      <c r="BA388" s="28"/>
      <c r="BB388" s="28"/>
      <c r="BC388" s="28"/>
      <c r="BD388" s="28"/>
      <c r="BE388" s="28"/>
      <c r="BF388" s="28"/>
      <c r="BG388" s="28"/>
      <c r="BH388" s="106"/>
      <c r="BI388" s="106"/>
      <c r="BJ388" s="106"/>
      <c r="BK388" s="106"/>
      <c r="BL388" s="137"/>
      <c r="BM388" s="123"/>
      <c r="BN388" s="139">
        <v>0</v>
      </c>
      <c r="BO388" s="94"/>
      <c r="BP388" s="94"/>
      <c r="BQ388" s="94"/>
      <c r="BR388" s="94"/>
      <c r="BS388" s="94"/>
      <c r="BT388" s="94"/>
      <c r="BU388" s="28">
        <f t="shared" si="289"/>
        <v>0</v>
      </c>
      <c r="BV388" s="28"/>
      <c r="BW388" s="28"/>
      <c r="BX388" s="28"/>
      <c r="BY388" s="28"/>
      <c r="BZ388" s="28"/>
      <c r="CA388" s="28"/>
      <c r="CB388" s="99"/>
      <c r="CC388" s="99">
        <v>50</v>
      </c>
      <c r="CD388" s="99">
        <v>100</v>
      </c>
      <c r="CE388" s="99">
        <v>200</v>
      </c>
      <c r="CF388" s="99">
        <v>200</v>
      </c>
      <c r="CG388" s="99">
        <v>200</v>
      </c>
      <c r="CH388" s="99">
        <v>200</v>
      </c>
      <c r="CI388" s="175"/>
      <c r="CJ388" s="175"/>
      <c r="CK388" s="175"/>
      <c r="CL388" s="175"/>
      <c r="CM388" s="175"/>
      <c r="CN388" s="175"/>
      <c r="CO388" s="175"/>
      <c r="CP388" s="176"/>
      <c r="CQ388" s="176"/>
      <c r="CR388" s="176"/>
      <c r="CS388" s="176"/>
      <c r="CT388" s="176"/>
      <c r="CU388" s="176"/>
      <c r="CV388" s="176"/>
      <c r="CW388" s="167"/>
      <c r="CX388" s="168"/>
      <c r="CY388" s="168"/>
      <c r="CZ388" s="168"/>
      <c r="DA388" s="168"/>
      <c r="DB388" s="168"/>
      <c r="DC388" s="168"/>
      <c r="DD388" s="172"/>
      <c r="DE388" s="172"/>
      <c r="DF388" s="172"/>
      <c r="DG388" s="172"/>
      <c r="DH388" s="172"/>
      <c r="DI388" s="172"/>
      <c r="DJ388" s="172"/>
      <c r="DK388" s="80" t="s">
        <v>1597</v>
      </c>
      <c r="DL388" s="129">
        <v>200</v>
      </c>
      <c r="DM388" s="129">
        <v>200</v>
      </c>
      <c r="DN388" s="129">
        <v>200</v>
      </c>
      <c r="DO388" s="129">
        <v>200</v>
      </c>
      <c r="DP388" s="129">
        <v>200</v>
      </c>
      <c r="DQ388" s="129">
        <v>200</v>
      </c>
      <c r="DR388" s="129">
        <v>200</v>
      </c>
      <c r="DS388" s="218"/>
      <c r="DT388" s="360"/>
      <c r="DU388" s="360"/>
      <c r="DV388" s="360"/>
      <c r="DW388" s="360"/>
      <c r="DX388" s="360"/>
      <c r="DY388" s="360"/>
      <c r="DZ388" s="360"/>
      <c r="EA388" s="360"/>
      <c r="EB388" s="360"/>
      <c r="EC388" s="360"/>
      <c r="ED388" s="360"/>
      <c r="EE388" s="360"/>
      <c r="EF388" s="360"/>
      <c r="EG388" s="360"/>
      <c r="EH388" s="360"/>
      <c r="EI388" s="360"/>
      <c r="EJ388" s="360"/>
      <c r="EK388" s="360"/>
      <c r="EL388" s="360"/>
      <c r="EM388" s="360"/>
      <c r="EN388" s="360"/>
      <c r="EO388" s="360"/>
      <c r="EP388" s="360"/>
      <c r="EQ388" s="360"/>
    </row>
    <row r="389" spans="1:147" x14ac:dyDescent="0.35">
      <c r="A389" s="5" t="s">
        <v>1600</v>
      </c>
      <c r="B389" s="5" t="s">
        <v>740</v>
      </c>
      <c r="C389" s="5" t="s">
        <v>788</v>
      </c>
      <c r="D389" s="5" t="s">
        <v>497</v>
      </c>
      <c r="E389" s="5" t="s">
        <v>1601</v>
      </c>
      <c r="F389" s="5" t="s">
        <v>496</v>
      </c>
      <c r="G389" s="47" t="s">
        <v>1602</v>
      </c>
      <c r="H389" s="47" t="s">
        <v>659</v>
      </c>
      <c r="I389" s="101">
        <v>135</v>
      </c>
      <c r="J389" s="101">
        <v>135</v>
      </c>
      <c r="K389" s="101">
        <v>135</v>
      </c>
      <c r="L389" s="101">
        <v>130</v>
      </c>
      <c r="M389" s="101">
        <v>120</v>
      </c>
      <c r="N389" s="101">
        <v>110</v>
      </c>
      <c r="O389" s="101">
        <v>100</v>
      </c>
      <c r="P389" s="93"/>
      <c r="Q389" s="101">
        <v>8</v>
      </c>
      <c r="R389" s="101">
        <v>8</v>
      </c>
      <c r="S389" s="101">
        <v>8</v>
      </c>
      <c r="T389" s="101">
        <v>8</v>
      </c>
      <c r="U389" s="101">
        <v>8</v>
      </c>
      <c r="V389" s="101">
        <v>8</v>
      </c>
      <c r="W389" s="101">
        <v>8</v>
      </c>
      <c r="X389" s="101"/>
      <c r="Y389" s="101"/>
      <c r="Z389" s="101"/>
      <c r="AA389" s="101"/>
      <c r="AB389" s="101"/>
      <c r="AC389" s="101"/>
      <c r="AD389" s="101"/>
      <c r="AE389" s="186">
        <v>0.08</v>
      </c>
      <c r="AF389" s="93">
        <v>0</v>
      </c>
      <c r="AG389" s="93">
        <v>60</v>
      </c>
      <c r="AH389" s="93">
        <v>60</v>
      </c>
      <c r="AI389" s="16">
        <v>1</v>
      </c>
      <c r="AJ389" s="16" t="s">
        <v>660</v>
      </c>
      <c r="AK389" s="16" t="s">
        <v>745</v>
      </c>
      <c r="AL389" s="16"/>
      <c r="AM389" s="60"/>
      <c r="AN389" s="60"/>
      <c r="AO389" s="60"/>
      <c r="AP389" s="60"/>
      <c r="AQ389" s="60"/>
      <c r="AR389" s="60"/>
      <c r="AS389" s="63"/>
      <c r="AT389" s="63"/>
      <c r="AU389" s="63"/>
      <c r="AV389" s="131"/>
      <c r="AW389" s="131"/>
      <c r="AX389" s="131"/>
      <c r="AY389" s="27" t="s">
        <v>662</v>
      </c>
      <c r="AZ389" s="27"/>
      <c r="BA389" s="27"/>
      <c r="BB389" s="30"/>
      <c r="BC389" s="30"/>
      <c r="BD389" s="30"/>
      <c r="BE389" s="30"/>
      <c r="BF389" s="30"/>
      <c r="BG389" s="30"/>
      <c r="BH389" s="107"/>
      <c r="BI389" s="107"/>
      <c r="BJ389" s="107"/>
      <c r="BK389" s="107"/>
      <c r="BL389" s="136"/>
      <c r="BM389" s="122"/>
      <c r="BN389" s="138">
        <v>0</v>
      </c>
      <c r="BO389" s="93"/>
      <c r="BP389" s="93"/>
      <c r="BQ389" s="93"/>
      <c r="BR389" s="93"/>
      <c r="BS389" s="93"/>
      <c r="BT389" s="93"/>
      <c r="BU389" s="27">
        <f t="shared" si="289"/>
        <v>0</v>
      </c>
      <c r="BV389" s="27"/>
      <c r="BW389" s="27"/>
      <c r="BX389" s="27"/>
      <c r="BY389" s="27"/>
      <c r="BZ389" s="27"/>
      <c r="CA389" s="27"/>
      <c r="CB389" s="97"/>
      <c r="CC389" s="97"/>
      <c r="CD389" s="97"/>
      <c r="CE389" s="97"/>
      <c r="CF389" s="97"/>
      <c r="CG389" s="97"/>
      <c r="CH389" s="97"/>
      <c r="CI389" s="173"/>
      <c r="CJ389" s="173"/>
      <c r="CK389" s="173"/>
      <c r="CL389" s="173"/>
      <c r="CM389" s="173"/>
      <c r="CN389" s="173"/>
      <c r="CO389" s="173"/>
      <c r="CP389" s="174"/>
      <c r="CQ389" s="174"/>
      <c r="CR389" s="174"/>
      <c r="CS389" s="174"/>
      <c r="CT389" s="174"/>
      <c r="CU389" s="174"/>
      <c r="CV389" s="174"/>
      <c r="CW389" s="165"/>
      <c r="CX389" s="166"/>
      <c r="CY389" s="166"/>
      <c r="CZ389" s="166"/>
      <c r="DA389" s="166"/>
      <c r="DB389" s="166"/>
      <c r="DC389" s="166"/>
      <c r="DD389" s="171"/>
      <c r="DE389" s="171"/>
      <c r="DF389" s="171"/>
      <c r="DG389" s="171"/>
      <c r="DH389" s="171"/>
      <c r="DI389" s="171"/>
      <c r="DJ389" s="171"/>
      <c r="DK389" s="79" t="s">
        <v>1603</v>
      </c>
      <c r="DL389" s="128"/>
      <c r="DM389" s="128"/>
      <c r="DN389" s="128"/>
      <c r="DO389" s="128"/>
      <c r="DP389" s="128"/>
      <c r="DQ389" s="128"/>
      <c r="DR389" s="128"/>
      <c r="DS389" s="218"/>
      <c r="DT389" s="360"/>
      <c r="DU389" s="360"/>
      <c r="DV389" s="360"/>
      <c r="DW389" s="360"/>
      <c r="DX389" s="360"/>
      <c r="DY389" s="360"/>
      <c r="DZ389" s="360"/>
      <c r="EA389" s="360"/>
      <c r="EB389" s="360"/>
      <c r="EC389" s="360"/>
      <c r="ED389" s="360"/>
      <c r="EE389" s="360"/>
      <c r="EF389" s="360"/>
      <c r="EG389" s="360"/>
      <c r="EH389" s="360"/>
      <c r="EI389" s="360"/>
      <c r="EJ389" s="360"/>
      <c r="EK389" s="360"/>
      <c r="EL389" s="360"/>
      <c r="EM389" s="360"/>
      <c r="EN389" s="360"/>
      <c r="EO389" s="360"/>
      <c r="EP389" s="360"/>
      <c r="EQ389" s="360"/>
    </row>
    <row r="390" spans="1:147" x14ac:dyDescent="0.35">
      <c r="A390" s="6" t="s">
        <v>1604</v>
      </c>
      <c r="B390" s="6" t="s">
        <v>740</v>
      </c>
      <c r="C390" s="6" t="s">
        <v>788</v>
      </c>
      <c r="D390" s="6" t="s">
        <v>497</v>
      </c>
      <c r="E390" s="6" t="s">
        <v>1525</v>
      </c>
      <c r="F390" s="6" t="s">
        <v>496</v>
      </c>
      <c r="G390" s="221" t="s">
        <v>1605</v>
      </c>
      <c r="H390" s="48" t="s">
        <v>1606</v>
      </c>
      <c r="I390" s="184">
        <f>1400*107.3/100</f>
        <v>1502.2</v>
      </c>
      <c r="J390" s="102">
        <f>($L$390-$I$390)/($L$4-$I$4)*(J4-I4)+I390</f>
        <v>1284.8671586715868</v>
      </c>
      <c r="K390" s="184">
        <v>560.42435424354244</v>
      </c>
      <c r="L390" s="102">
        <f>($M$390-$K$390)/($M$4-$K$4)*(L4-K4)+K390</f>
        <v>560.42435424354244</v>
      </c>
      <c r="M390" s="184">
        <f>K390</f>
        <v>560.42435424354244</v>
      </c>
      <c r="N390" s="102">
        <f>($O$390-$M$390)/($O$4-$M$4)*(N4-M4)+M390</f>
        <v>560.42435424354244</v>
      </c>
      <c r="O390" s="184">
        <f>K390</f>
        <v>560.42435424354244</v>
      </c>
      <c r="P390" s="94"/>
      <c r="Q390" s="184">
        <f>I390*0.05</f>
        <v>75.11</v>
      </c>
      <c r="R390" s="184">
        <f t="shared" ref="R390" si="321">J390*0.05</f>
        <v>64.243357933579347</v>
      </c>
      <c r="S390" s="184">
        <v>11.20848708487085</v>
      </c>
      <c r="T390" s="184">
        <v>11.20848708487085</v>
      </c>
      <c r="U390" s="184">
        <v>11.20848708487085</v>
      </c>
      <c r="V390" s="184">
        <v>11.20848708487085</v>
      </c>
      <c r="W390" s="184">
        <v>11.20848708487085</v>
      </c>
      <c r="X390" s="184">
        <f>0.23*I390/(0.0036*70000)</f>
        <v>1.3710555555555557</v>
      </c>
      <c r="Y390" s="184">
        <f>0.23*J390/(0.0036*80000)</f>
        <v>1.0261091892168923</v>
      </c>
      <c r="Z390" s="184">
        <f>0.23*K390/(0.0036*92000)</f>
        <v>0.38918357933579334</v>
      </c>
      <c r="AA390" s="184">
        <f>0.23*L390/(0.0036*94500)</f>
        <v>0.37888771744860306</v>
      </c>
      <c r="AB390" s="184">
        <f>0.23*M390/(0.0036*94500)</f>
        <v>0.37888771744860306</v>
      </c>
      <c r="AC390" s="184">
        <f>0.23*N390/(0.0036*101500)</f>
        <v>0.35275753003835458</v>
      </c>
      <c r="AD390" s="184">
        <f>0.23*O390/(0.0036*101500)</f>
        <v>0.35275753003835458</v>
      </c>
      <c r="AE390" s="186">
        <v>0.08</v>
      </c>
      <c r="AF390" s="94">
        <v>0</v>
      </c>
      <c r="AG390" s="94">
        <v>19</v>
      </c>
      <c r="AH390" s="94">
        <v>19</v>
      </c>
      <c r="AI390" s="17">
        <v>31.536000000000001</v>
      </c>
      <c r="AJ390" s="384" t="s">
        <v>765</v>
      </c>
      <c r="AK390" s="384" t="s">
        <v>745</v>
      </c>
      <c r="AL390" s="17"/>
      <c r="AM390" s="61"/>
      <c r="AN390" s="61"/>
      <c r="AO390" s="61"/>
      <c r="AP390" s="61"/>
      <c r="AQ390" s="61"/>
      <c r="AR390" s="61"/>
      <c r="AS390" s="189">
        <v>0.75</v>
      </c>
      <c r="AT390" s="64"/>
      <c r="AU390" s="64" t="s">
        <v>766</v>
      </c>
      <c r="AV390" s="132"/>
      <c r="AW390" s="132"/>
      <c r="AX390" s="132"/>
      <c r="AY390" s="28" t="s">
        <v>662</v>
      </c>
      <c r="AZ390" s="28"/>
      <c r="BA390" s="28"/>
      <c r="BB390" s="28"/>
      <c r="BC390" s="28"/>
      <c r="BD390" s="28"/>
      <c r="BE390" s="28"/>
      <c r="BF390" s="28"/>
      <c r="BG390" s="28"/>
      <c r="BH390" s="106"/>
      <c r="BI390" s="106"/>
      <c r="BJ390" s="106"/>
      <c r="BK390" s="106"/>
      <c r="BL390" s="137"/>
      <c r="BM390" s="123"/>
      <c r="BN390" s="139">
        <v>0</v>
      </c>
      <c r="BO390" s="94"/>
      <c r="BP390" s="94"/>
      <c r="BQ390" s="94"/>
      <c r="BR390" s="94"/>
      <c r="BS390" s="94"/>
      <c r="BT390" s="94"/>
      <c r="BU390" s="28">
        <f t="shared" si="289"/>
        <v>0</v>
      </c>
      <c r="BV390" s="28"/>
      <c r="BW390" s="28"/>
      <c r="BX390" s="28"/>
      <c r="BY390" s="28"/>
      <c r="BZ390" s="28"/>
      <c r="CA390" s="28"/>
      <c r="CB390" s="99">
        <v>0</v>
      </c>
      <c r="CC390" s="99">
        <v>1000</v>
      </c>
      <c r="CD390" s="99">
        <v>1000</v>
      </c>
      <c r="CE390" s="99">
        <v>1000</v>
      </c>
      <c r="CF390" s="99">
        <v>1000</v>
      </c>
      <c r="CG390" s="99">
        <v>1000</v>
      </c>
      <c r="CH390" s="99">
        <v>1000</v>
      </c>
      <c r="CI390" s="175"/>
      <c r="CJ390" s="175"/>
      <c r="CK390" s="175"/>
      <c r="CL390" s="175"/>
      <c r="CM390" s="175"/>
      <c r="CN390" s="175"/>
      <c r="CO390" s="175"/>
      <c r="CP390" s="176"/>
      <c r="CQ390" s="176"/>
      <c r="CR390" s="176"/>
      <c r="CS390" s="176"/>
      <c r="CT390" s="176"/>
      <c r="CU390" s="176"/>
      <c r="CV390" s="176"/>
      <c r="CW390" s="167"/>
      <c r="CX390" s="168"/>
      <c r="CY390" s="168"/>
      <c r="CZ390" s="168"/>
      <c r="DA390" s="168"/>
      <c r="DB390" s="168"/>
      <c r="DC390" s="168"/>
      <c r="DD390" s="172"/>
      <c r="DE390" s="172"/>
      <c r="DF390" s="172"/>
      <c r="DG390" s="172"/>
      <c r="DH390" s="172"/>
      <c r="DI390" s="172"/>
      <c r="DJ390" s="172"/>
      <c r="DK390" s="200" t="s">
        <v>1607</v>
      </c>
      <c r="DL390" s="129">
        <v>1000</v>
      </c>
      <c r="DM390" s="129">
        <v>1000</v>
      </c>
      <c r="DN390" s="129">
        <v>1000</v>
      </c>
      <c r="DO390" s="129">
        <v>1000</v>
      </c>
      <c r="DP390" s="129">
        <v>1000</v>
      </c>
      <c r="DQ390" s="129">
        <v>1000</v>
      </c>
      <c r="DR390" s="129">
        <v>1000</v>
      </c>
      <c r="DS390" s="218"/>
      <c r="DT390" s="360"/>
      <c r="DU390" s="360"/>
      <c r="DV390" s="360"/>
      <c r="DW390" s="360"/>
      <c r="DX390" s="360"/>
      <c r="DY390" s="360"/>
      <c r="DZ390" s="360"/>
      <c r="EA390" s="360"/>
      <c r="EB390" s="360"/>
      <c r="EC390" s="360"/>
      <c r="ED390" s="360"/>
      <c r="EE390" s="360"/>
      <c r="EF390" s="360"/>
      <c r="EG390" s="360"/>
      <c r="EH390" s="360"/>
      <c r="EI390" s="360"/>
      <c r="EJ390" s="360"/>
      <c r="EK390" s="360"/>
      <c r="EL390" s="360"/>
      <c r="EM390" s="360"/>
      <c r="EN390" s="360"/>
      <c r="EO390" s="360"/>
      <c r="EP390" s="360"/>
      <c r="EQ390" s="360"/>
    </row>
    <row r="391" spans="1:147" x14ac:dyDescent="0.35">
      <c r="A391" s="5" t="s">
        <v>1608</v>
      </c>
      <c r="B391" s="5" t="s">
        <v>740</v>
      </c>
      <c r="C391" s="5" t="s">
        <v>788</v>
      </c>
      <c r="D391" s="5" t="s">
        <v>497</v>
      </c>
      <c r="E391" s="5" t="s">
        <v>1525</v>
      </c>
      <c r="F391" s="5" t="s">
        <v>496</v>
      </c>
      <c r="G391" s="221" t="s">
        <v>1609</v>
      </c>
      <c r="H391" s="47" t="s">
        <v>1606</v>
      </c>
      <c r="I391" s="184">
        <f>1800*107.3/100</f>
        <v>1931.4</v>
      </c>
      <c r="J391" s="102">
        <f>($L$341-$I$341)/($L$4-$I$4)*(J53-I53)+I391</f>
        <v>1931.4</v>
      </c>
      <c r="K391" s="184">
        <f>829.5</f>
        <v>829.5</v>
      </c>
      <c r="L391" s="102">
        <f>($O$390-$K$390)/($O$4-$K$4)*(L4-K4)+K391</f>
        <v>829.5</v>
      </c>
      <c r="M391" s="102">
        <f>($O$390-$K$390)/($O$4-$K$4)*(M4-L4)+L391</f>
        <v>829.5</v>
      </c>
      <c r="N391" s="102">
        <f>($O$390-$K$390)/($O$4-$K$4)*(N4-M4)+M391</f>
        <v>829.5</v>
      </c>
      <c r="O391" s="184">
        <f>K391</f>
        <v>829.5</v>
      </c>
      <c r="P391" s="93"/>
      <c r="Q391" s="184">
        <f>I391*0.02</f>
        <v>38.628</v>
      </c>
      <c r="R391" s="184">
        <f t="shared" ref="R391:W391" si="322">J391*0.02</f>
        <v>38.628</v>
      </c>
      <c r="S391" s="184">
        <f t="shared" si="322"/>
        <v>16.59</v>
      </c>
      <c r="T391" s="184">
        <f t="shared" si="322"/>
        <v>16.59</v>
      </c>
      <c r="U391" s="184">
        <f t="shared" si="322"/>
        <v>16.59</v>
      </c>
      <c r="V391" s="184">
        <f t="shared" si="322"/>
        <v>16.59</v>
      </c>
      <c r="W391" s="184">
        <f t="shared" si="322"/>
        <v>16.59</v>
      </c>
      <c r="X391" s="184">
        <f>0.37*I391/(0.0036*55000)</f>
        <v>3.6091818181818183</v>
      </c>
      <c r="Y391" s="184">
        <f>0.37*J391/(0.0036*65500)</f>
        <v>3.030610687022901</v>
      </c>
      <c r="Z391" s="184">
        <f>0.37*K391/(0.0036*77500)</f>
        <v>1.1000537634408603</v>
      </c>
      <c r="AA391" s="184">
        <f t="shared" ref="AA391" si="323">0.37*L391/(0.0036*77500)</f>
        <v>1.1000537634408603</v>
      </c>
      <c r="AB391" s="184">
        <f>0.37*M391/(0.0036*90000)</f>
        <v>0.94726851851851857</v>
      </c>
      <c r="AC391" s="184">
        <f>0.37*N391/(0.0036*90000)</f>
        <v>0.94726851851851857</v>
      </c>
      <c r="AD391" s="184">
        <f>0.37*O391/(0.0036*105000)</f>
        <v>0.81194444444444447</v>
      </c>
      <c r="AE391" s="186">
        <v>0.08</v>
      </c>
      <c r="AF391" s="93">
        <v>0</v>
      </c>
      <c r="AG391" s="93">
        <v>20</v>
      </c>
      <c r="AH391" s="93">
        <v>20</v>
      </c>
      <c r="AI391" s="16">
        <v>31.536000000000001</v>
      </c>
      <c r="AJ391" s="16" t="s">
        <v>765</v>
      </c>
      <c r="AK391" s="16" t="s">
        <v>745</v>
      </c>
      <c r="AL391" s="16"/>
      <c r="AM391" s="60"/>
      <c r="AN391" s="60"/>
      <c r="AO391" s="60"/>
      <c r="AP391" s="60"/>
      <c r="AQ391" s="60"/>
      <c r="AR391" s="60"/>
      <c r="AS391" s="189">
        <v>0.9</v>
      </c>
      <c r="AT391" s="63"/>
      <c r="AU391" s="63" t="s">
        <v>766</v>
      </c>
      <c r="AV391" s="131"/>
      <c r="AW391" s="131"/>
      <c r="AX391" s="131"/>
      <c r="AY391" s="27" t="s">
        <v>662</v>
      </c>
      <c r="AZ391" s="27"/>
      <c r="BA391" s="27"/>
      <c r="BB391" s="30"/>
      <c r="BC391" s="30"/>
      <c r="BD391" s="30"/>
      <c r="BE391" s="30"/>
      <c r="BF391" s="30"/>
      <c r="BG391" s="30"/>
      <c r="BH391" s="107"/>
      <c r="BI391" s="107"/>
      <c r="BJ391" s="107"/>
      <c r="BK391" s="107"/>
      <c r="BL391" s="136"/>
      <c r="BM391" s="122"/>
      <c r="BN391" s="138">
        <v>0</v>
      </c>
      <c r="BO391" s="93"/>
      <c r="BP391" s="93"/>
      <c r="BQ391" s="93"/>
      <c r="BR391" s="93"/>
      <c r="BS391" s="93"/>
      <c r="BT391" s="93"/>
      <c r="BU391" s="27">
        <f t="shared" si="289"/>
        <v>0</v>
      </c>
      <c r="BV391" s="27"/>
      <c r="BW391" s="27"/>
      <c r="BX391" s="27"/>
      <c r="BY391" s="27"/>
      <c r="BZ391" s="27"/>
      <c r="CA391" s="27"/>
      <c r="CB391" s="97">
        <v>0</v>
      </c>
      <c r="CC391" s="97">
        <v>1000</v>
      </c>
      <c r="CD391" s="97">
        <v>1000</v>
      </c>
      <c r="CE391" s="97">
        <v>1000</v>
      </c>
      <c r="CF391" s="97">
        <v>1000</v>
      </c>
      <c r="CG391" s="97">
        <v>1000</v>
      </c>
      <c r="CH391" s="97">
        <v>1000</v>
      </c>
      <c r="CI391" s="173"/>
      <c r="CJ391" s="173"/>
      <c r="CK391" s="173"/>
      <c r="CL391" s="173"/>
      <c r="CM391" s="173"/>
      <c r="CN391" s="173"/>
      <c r="CO391" s="173"/>
      <c r="CP391" s="174"/>
      <c r="CQ391" s="174"/>
      <c r="CR391" s="174"/>
      <c r="CS391" s="174"/>
      <c r="CT391" s="174"/>
      <c r="CU391" s="174"/>
      <c r="CV391" s="174"/>
      <c r="CW391" s="165"/>
      <c r="CX391" s="166"/>
      <c r="CY391" s="166"/>
      <c r="CZ391" s="166"/>
      <c r="DA391" s="166"/>
      <c r="DB391" s="166"/>
      <c r="DC391" s="166"/>
      <c r="DD391" s="171"/>
      <c r="DE391" s="171"/>
      <c r="DF391" s="171"/>
      <c r="DG391" s="171"/>
      <c r="DH391" s="171"/>
      <c r="DI391" s="171"/>
      <c r="DJ391" s="171"/>
      <c r="DK391" s="200" t="s">
        <v>1610</v>
      </c>
      <c r="DL391" s="128">
        <v>1000</v>
      </c>
      <c r="DM391" s="128">
        <v>1000</v>
      </c>
      <c r="DN391" s="128">
        <v>1000</v>
      </c>
      <c r="DO391" s="128">
        <v>1000</v>
      </c>
      <c r="DP391" s="128">
        <v>1000</v>
      </c>
      <c r="DQ391" s="128">
        <v>1000</v>
      </c>
      <c r="DR391" s="128">
        <v>1000</v>
      </c>
      <c r="DS391" s="218"/>
      <c r="DT391" s="360"/>
      <c r="DU391" s="360"/>
      <c r="DV391" s="360"/>
      <c r="DW391" s="360"/>
      <c r="DX391" s="360"/>
      <c r="DY391" s="360"/>
      <c r="DZ391" s="360"/>
      <c r="EA391" s="360"/>
      <c r="EB391" s="360"/>
      <c r="EC391" s="360"/>
      <c r="ED391" s="360"/>
      <c r="EE391" s="360"/>
      <c r="EF391" s="360"/>
      <c r="EG391" s="360"/>
      <c r="EH391" s="360"/>
      <c r="EI391" s="360"/>
      <c r="EJ391" s="360"/>
      <c r="EK391" s="360"/>
      <c r="EL391" s="360"/>
      <c r="EM391" s="360"/>
      <c r="EN391" s="360"/>
      <c r="EO391" s="360"/>
      <c r="EP391" s="360"/>
      <c r="EQ391" s="360"/>
    </row>
    <row r="392" spans="1:147" x14ac:dyDescent="0.35">
      <c r="A392" s="6" t="s">
        <v>1611</v>
      </c>
      <c r="B392" s="6" t="s">
        <v>740</v>
      </c>
      <c r="C392" s="6" t="s">
        <v>788</v>
      </c>
      <c r="D392" s="6" t="s">
        <v>497</v>
      </c>
      <c r="E392" s="6" t="s">
        <v>1525</v>
      </c>
      <c r="F392" s="6" t="s">
        <v>496</v>
      </c>
      <c r="G392" s="221" t="s">
        <v>1612</v>
      </c>
      <c r="H392" s="48" t="s">
        <v>1606</v>
      </c>
      <c r="I392" s="184">
        <f>2900</f>
        <v>2900</v>
      </c>
      <c r="J392" s="102">
        <v>3000</v>
      </c>
      <c r="K392" s="102">
        <v>2200</v>
      </c>
      <c r="L392" s="102">
        <v>1800</v>
      </c>
      <c r="M392" s="102">
        <v>1500</v>
      </c>
      <c r="N392" s="102">
        <v>1300</v>
      </c>
      <c r="O392" s="184">
        <f>K392</f>
        <v>2200</v>
      </c>
      <c r="P392" s="94"/>
      <c r="Q392" s="184">
        <f>I392*0.12</f>
        <v>348</v>
      </c>
      <c r="R392" s="184">
        <f t="shared" ref="R392:W392" si="324">J392*0.12</f>
        <v>360</v>
      </c>
      <c r="S392" s="184">
        <f t="shared" si="324"/>
        <v>264</v>
      </c>
      <c r="T392" s="184">
        <f t="shared" si="324"/>
        <v>216</v>
      </c>
      <c r="U392" s="184">
        <f t="shared" si="324"/>
        <v>180</v>
      </c>
      <c r="V392" s="184">
        <f t="shared" si="324"/>
        <v>156</v>
      </c>
      <c r="W392" s="184">
        <f t="shared" si="324"/>
        <v>264</v>
      </c>
      <c r="X392" s="184">
        <f>0.68*I392/(0.0036*21250)</f>
        <v>25.777777777777782</v>
      </c>
      <c r="Y392" s="184">
        <f>0.68*J392/(0.0036*34500)</f>
        <v>16.425120772946862</v>
      </c>
      <c r="Z392" s="184">
        <f>0.68*K392/(0.0036*50000)</f>
        <v>8.3111111111111118</v>
      </c>
      <c r="AA392" s="184">
        <f>0.68*L392/(0.0036*50000)</f>
        <v>6.8</v>
      </c>
      <c r="AB392" s="184">
        <f>0.68*M392/(0.0036*64500)</f>
        <v>4.3927648578811374</v>
      </c>
      <c r="AC392" s="184">
        <f>0.68*N392/(0.0036*64500)</f>
        <v>3.8070628768303192</v>
      </c>
      <c r="AD392" s="184">
        <f>0.68*O392/(0.0036*82500)</f>
        <v>5.0370370370370372</v>
      </c>
      <c r="AE392" s="186">
        <v>0.08</v>
      </c>
      <c r="AF392" s="94">
        <v>0</v>
      </c>
      <c r="AG392" s="94">
        <v>20</v>
      </c>
      <c r="AH392" s="94">
        <v>20</v>
      </c>
      <c r="AI392" s="17">
        <v>31.536000000000001</v>
      </c>
      <c r="AJ392" s="17" t="s">
        <v>765</v>
      </c>
      <c r="AK392" s="17" t="s">
        <v>745</v>
      </c>
      <c r="AL392" s="17"/>
      <c r="AM392" s="61"/>
      <c r="AN392" s="61"/>
      <c r="AO392" s="61"/>
      <c r="AP392" s="61"/>
      <c r="AQ392" s="61"/>
      <c r="AR392" s="61"/>
      <c r="AS392" s="189">
        <v>0.9</v>
      </c>
      <c r="AT392" s="64"/>
      <c r="AU392" s="64" t="s">
        <v>766</v>
      </c>
      <c r="AV392" s="132"/>
      <c r="AW392" s="132"/>
      <c r="AX392" s="132"/>
      <c r="AY392" s="28" t="s">
        <v>662</v>
      </c>
      <c r="AZ392" s="28"/>
      <c r="BA392" s="28"/>
      <c r="BB392" s="28"/>
      <c r="BC392" s="28"/>
      <c r="BD392" s="28"/>
      <c r="BE392" s="28"/>
      <c r="BF392" s="28"/>
      <c r="BG392" s="28"/>
      <c r="BH392" s="106"/>
      <c r="BI392" s="106"/>
      <c r="BJ392" s="106"/>
      <c r="BK392" s="106"/>
      <c r="BL392" s="137"/>
      <c r="BM392" s="123"/>
      <c r="BN392" s="139">
        <v>0</v>
      </c>
      <c r="BO392" s="94"/>
      <c r="BP392" s="94"/>
      <c r="BQ392" s="94"/>
      <c r="BR392" s="94"/>
      <c r="BS392" s="94"/>
      <c r="BT392" s="94"/>
      <c r="BU392" s="28">
        <f t="shared" si="289"/>
        <v>0</v>
      </c>
      <c r="BV392" s="28"/>
      <c r="BW392" s="28"/>
      <c r="BX392" s="28"/>
      <c r="BY392" s="28"/>
      <c r="BZ392" s="28"/>
      <c r="CA392" s="28"/>
      <c r="CB392" s="99">
        <v>0</v>
      </c>
      <c r="CC392" s="185">
        <v>1000</v>
      </c>
      <c r="CD392" s="185">
        <v>1000</v>
      </c>
      <c r="CE392" s="185">
        <v>1000</v>
      </c>
      <c r="CF392" s="185">
        <v>1000</v>
      </c>
      <c r="CG392" s="185">
        <v>1000</v>
      </c>
      <c r="CH392" s="185">
        <v>1000</v>
      </c>
      <c r="CI392" s="175"/>
      <c r="CJ392" s="175"/>
      <c r="CK392" s="175"/>
      <c r="CL392" s="175"/>
      <c r="CM392" s="175"/>
      <c r="CN392" s="175"/>
      <c r="CO392" s="175"/>
      <c r="CP392" s="176"/>
      <c r="CQ392" s="176"/>
      <c r="CR392" s="176"/>
      <c r="CS392" s="176"/>
      <c r="CT392" s="176"/>
      <c r="CU392" s="176"/>
      <c r="CV392" s="176"/>
      <c r="CW392" s="167"/>
      <c r="CX392" s="168"/>
      <c r="CY392" s="168"/>
      <c r="CZ392" s="168"/>
      <c r="DA392" s="168"/>
      <c r="DB392" s="168"/>
      <c r="DC392" s="168"/>
      <c r="DD392" s="172"/>
      <c r="DE392" s="172"/>
      <c r="DF392" s="172"/>
      <c r="DG392" s="172"/>
      <c r="DH392" s="172"/>
      <c r="DI392" s="172"/>
      <c r="DJ392" s="172"/>
      <c r="DK392" s="200" t="s">
        <v>1613</v>
      </c>
      <c r="DL392" s="129">
        <v>1000</v>
      </c>
      <c r="DM392" s="129">
        <v>1000</v>
      </c>
      <c r="DN392" s="129">
        <v>1000</v>
      </c>
      <c r="DO392" s="129">
        <v>1000</v>
      </c>
      <c r="DP392" s="129">
        <v>1000</v>
      </c>
      <c r="DQ392" s="129">
        <v>1000</v>
      </c>
      <c r="DR392" s="129">
        <v>1000</v>
      </c>
      <c r="DS392" s="218"/>
      <c r="DT392" s="360"/>
      <c r="DU392" s="360"/>
      <c r="DV392" s="360"/>
      <c r="DW392" s="360"/>
      <c r="DX392" s="360"/>
      <c r="DY392" s="360"/>
      <c r="DZ392" s="360"/>
      <c r="EA392" s="360"/>
      <c r="EB392" s="360"/>
      <c r="EC392" s="360"/>
      <c r="ED392" s="360"/>
      <c r="EE392" s="360"/>
      <c r="EF392" s="360"/>
      <c r="EG392" s="360"/>
      <c r="EH392" s="360"/>
      <c r="EI392" s="360"/>
      <c r="EJ392" s="360"/>
      <c r="EK392" s="360"/>
      <c r="EL392" s="360"/>
      <c r="EM392" s="360"/>
      <c r="EN392" s="360"/>
      <c r="EO392" s="360"/>
      <c r="EP392" s="360"/>
      <c r="EQ392" s="360"/>
    </row>
    <row r="393" spans="1:147" x14ac:dyDescent="0.35">
      <c r="A393" s="6" t="s">
        <v>1614</v>
      </c>
      <c r="B393" s="6" t="s">
        <v>740</v>
      </c>
      <c r="C393" s="6" t="s">
        <v>788</v>
      </c>
      <c r="D393" s="6" t="s">
        <v>497</v>
      </c>
      <c r="E393" s="6" t="s">
        <v>1475</v>
      </c>
      <c r="F393" s="6" t="s">
        <v>496</v>
      </c>
      <c r="G393" s="221" t="s">
        <v>1615</v>
      </c>
      <c r="H393" s="48" t="s">
        <v>659</v>
      </c>
      <c r="I393" s="184">
        <f>20.708</f>
        <v>20.707999999999998</v>
      </c>
      <c r="J393" s="102">
        <f>I393</f>
        <v>20.707999999999998</v>
      </c>
      <c r="K393" s="102">
        <f t="shared" ref="K393:O393" si="325">J393</f>
        <v>20.707999999999998</v>
      </c>
      <c r="L393" s="102">
        <f t="shared" si="325"/>
        <v>20.707999999999998</v>
      </c>
      <c r="M393" s="102">
        <f t="shared" si="325"/>
        <v>20.707999999999998</v>
      </c>
      <c r="N393" s="102">
        <f t="shared" si="325"/>
        <v>20.707999999999998</v>
      </c>
      <c r="O393" s="102">
        <f t="shared" si="325"/>
        <v>20.707999999999998</v>
      </c>
      <c r="P393" s="94"/>
      <c r="Q393" s="184">
        <f>0.05*I393</f>
        <v>1.0353999999999999</v>
      </c>
      <c r="R393" s="184">
        <f t="shared" ref="R393:W393" si="326">0.05*J393</f>
        <v>1.0353999999999999</v>
      </c>
      <c r="S393" s="184">
        <f t="shared" si="326"/>
        <v>1.0353999999999999</v>
      </c>
      <c r="T393" s="184">
        <f t="shared" si="326"/>
        <v>1.0353999999999999</v>
      </c>
      <c r="U393" s="184">
        <f t="shared" si="326"/>
        <v>1.0353999999999999</v>
      </c>
      <c r="V393" s="184">
        <f t="shared" si="326"/>
        <v>1.0353999999999999</v>
      </c>
      <c r="W393" s="184">
        <f t="shared" si="326"/>
        <v>1.0353999999999999</v>
      </c>
      <c r="X393" s="184">
        <v>0</v>
      </c>
      <c r="Y393" s="184">
        <v>0</v>
      </c>
      <c r="Z393" s="184">
        <v>0</v>
      </c>
      <c r="AA393" s="184">
        <v>0</v>
      </c>
      <c r="AB393" s="184">
        <v>0</v>
      </c>
      <c r="AC393" s="184">
        <v>0</v>
      </c>
      <c r="AD393" s="184">
        <v>0</v>
      </c>
      <c r="AE393" s="186">
        <v>0.08</v>
      </c>
      <c r="AF393" s="94"/>
      <c r="AG393" s="94">
        <v>20</v>
      </c>
      <c r="AH393" s="94">
        <v>20</v>
      </c>
      <c r="AI393" s="17">
        <v>1</v>
      </c>
      <c r="AJ393" s="16" t="s">
        <v>660</v>
      </c>
      <c r="AK393" s="17" t="s">
        <v>745</v>
      </c>
      <c r="AL393" s="17"/>
      <c r="AM393" s="61"/>
      <c r="AN393" s="61"/>
      <c r="AO393" s="61"/>
      <c r="AP393" s="61"/>
      <c r="AQ393" s="61"/>
      <c r="AR393" s="61"/>
      <c r="AS393" s="189"/>
      <c r="AT393" s="64"/>
      <c r="AU393" s="64"/>
      <c r="AV393" s="132"/>
      <c r="AW393" s="132"/>
      <c r="AX393" s="132"/>
      <c r="AY393" s="28" t="s">
        <v>662</v>
      </c>
      <c r="AZ393" s="28"/>
      <c r="BA393" s="28"/>
      <c r="BB393" s="28"/>
      <c r="BC393" s="28"/>
      <c r="BD393" s="28"/>
      <c r="BE393" s="28"/>
      <c r="BF393" s="28"/>
      <c r="BG393" s="28"/>
      <c r="BH393" s="106"/>
      <c r="BI393" s="106"/>
      <c r="BJ393" s="106"/>
      <c r="BK393" s="106"/>
      <c r="BL393" s="137"/>
      <c r="BM393" s="123"/>
      <c r="BN393" s="139">
        <v>0</v>
      </c>
      <c r="BO393" s="94"/>
      <c r="BP393" s="94"/>
      <c r="BQ393" s="94"/>
      <c r="BR393" s="94"/>
      <c r="BS393" s="94"/>
      <c r="BT393" s="94"/>
      <c r="BU393" s="28">
        <f t="shared" si="289"/>
        <v>0</v>
      </c>
      <c r="BV393" s="28"/>
      <c r="BW393" s="28"/>
      <c r="BX393" s="28"/>
      <c r="BY393" s="28"/>
      <c r="BZ393" s="28"/>
      <c r="CA393" s="28"/>
      <c r="CB393" s="99"/>
      <c r="CC393" s="185"/>
      <c r="CD393" s="185"/>
      <c r="CE393" s="185"/>
      <c r="CF393" s="185"/>
      <c r="CG393" s="185"/>
      <c r="CH393" s="185"/>
      <c r="CI393" s="175"/>
      <c r="CJ393" s="175"/>
      <c r="CK393" s="175"/>
      <c r="CL393" s="175"/>
      <c r="CM393" s="175"/>
      <c r="CN393" s="175"/>
      <c r="CO393" s="175"/>
      <c r="CP393" s="176"/>
      <c r="CQ393" s="176"/>
      <c r="CR393" s="176"/>
      <c r="CS393" s="176"/>
      <c r="CT393" s="176"/>
      <c r="CU393" s="176"/>
      <c r="CV393" s="176"/>
      <c r="CW393" s="167"/>
      <c r="CX393" s="168"/>
      <c r="CY393" s="168"/>
      <c r="CZ393" s="168"/>
      <c r="DA393" s="168"/>
      <c r="DB393" s="168"/>
      <c r="DC393" s="168"/>
      <c r="DD393" s="172"/>
      <c r="DE393" s="172"/>
      <c r="DF393" s="172"/>
      <c r="DG393" s="172"/>
      <c r="DH393" s="172"/>
      <c r="DI393" s="172"/>
      <c r="DJ393" s="172"/>
      <c r="DK393" s="80" t="s">
        <v>792</v>
      </c>
      <c r="DL393" s="129"/>
      <c r="DM393" s="129"/>
      <c r="DN393" s="129"/>
      <c r="DO393" s="129"/>
      <c r="DP393" s="129"/>
      <c r="DQ393" s="129"/>
      <c r="DR393" s="129"/>
      <c r="DS393" s="218"/>
      <c r="DT393" s="360"/>
      <c r="DU393" s="360"/>
      <c r="DV393" s="360"/>
      <c r="DW393" s="360"/>
      <c r="DX393" s="360"/>
      <c r="DY393" s="360"/>
      <c r="DZ393" s="360"/>
      <c r="EA393" s="360"/>
      <c r="EB393" s="360"/>
      <c r="EC393" s="360"/>
      <c r="ED393" s="360"/>
      <c r="EE393" s="360"/>
      <c r="EF393" s="360"/>
      <c r="EG393" s="360"/>
      <c r="EH393" s="360"/>
      <c r="EI393" s="360"/>
      <c r="EJ393" s="360"/>
      <c r="EK393" s="360"/>
      <c r="EL393" s="360"/>
      <c r="EM393" s="360"/>
      <c r="EN393" s="360"/>
      <c r="EO393" s="360"/>
      <c r="EP393" s="360"/>
      <c r="EQ393" s="360"/>
    </row>
    <row r="394" spans="1:147" x14ac:dyDescent="0.35">
      <c r="A394" s="5" t="s">
        <v>1616</v>
      </c>
      <c r="B394" s="5" t="s">
        <v>740</v>
      </c>
      <c r="C394" s="5" t="s">
        <v>788</v>
      </c>
      <c r="D394" s="5" t="s">
        <v>497</v>
      </c>
      <c r="E394" s="5" t="s">
        <v>1309</v>
      </c>
      <c r="F394" s="5" t="s">
        <v>496</v>
      </c>
      <c r="G394" s="47" t="s">
        <v>1617</v>
      </c>
      <c r="H394" s="47" t="s">
        <v>1563</v>
      </c>
      <c r="I394" s="101">
        <v>3.6</v>
      </c>
      <c r="J394" s="101">
        <v>3.6</v>
      </c>
      <c r="K394" s="101">
        <v>3.6</v>
      </c>
      <c r="L394" s="101">
        <v>3.6</v>
      </c>
      <c r="M394" s="101">
        <v>3.6</v>
      </c>
      <c r="N394" s="101">
        <v>3.6</v>
      </c>
      <c r="O394" s="101">
        <v>3.6</v>
      </c>
      <c r="P394" s="93"/>
      <c r="Q394" s="101">
        <v>0.14000000000000001</v>
      </c>
      <c r="R394" s="101">
        <v>0.14000000000000001</v>
      </c>
      <c r="S394" s="101">
        <v>0.14000000000000001</v>
      </c>
      <c r="T394" s="101">
        <v>0.14000000000000001</v>
      </c>
      <c r="U394" s="101">
        <v>0.14000000000000001</v>
      </c>
      <c r="V394" s="101">
        <v>0.14000000000000001</v>
      </c>
      <c r="W394" s="101">
        <v>0.14000000000000001</v>
      </c>
      <c r="X394" s="101">
        <v>0</v>
      </c>
      <c r="Y394" s="101">
        <v>0</v>
      </c>
      <c r="Z394" s="101">
        <v>0</v>
      </c>
      <c r="AA394" s="101">
        <v>0</v>
      </c>
      <c r="AB394" s="101">
        <v>0</v>
      </c>
      <c r="AC394" s="101">
        <v>0</v>
      </c>
      <c r="AD394" s="101">
        <v>0</v>
      </c>
      <c r="AE394" s="186">
        <v>0.08</v>
      </c>
      <c r="AF394" s="93">
        <v>0</v>
      </c>
      <c r="AG394" s="93">
        <v>40</v>
      </c>
      <c r="AH394" s="93">
        <v>50</v>
      </c>
      <c r="AI394" s="16">
        <v>1.3140000000000001</v>
      </c>
      <c r="AJ394" s="16" t="s">
        <v>1575</v>
      </c>
      <c r="AK394" s="16" t="s">
        <v>745</v>
      </c>
      <c r="AL394" s="16"/>
      <c r="AM394" s="60"/>
      <c r="AN394" s="60"/>
      <c r="AO394" s="60"/>
      <c r="AP394" s="60"/>
      <c r="AQ394" s="60"/>
      <c r="AR394" s="60"/>
      <c r="AS394" s="63"/>
      <c r="AT394" s="63"/>
      <c r="AU394" s="63"/>
      <c r="AV394" s="131"/>
      <c r="AW394" s="131"/>
      <c r="AX394" s="131"/>
      <c r="AY394" s="27" t="s">
        <v>662</v>
      </c>
      <c r="AZ394" s="27"/>
      <c r="BA394" s="27"/>
      <c r="BB394" s="30"/>
      <c r="BC394" s="30"/>
      <c r="BD394" s="30"/>
      <c r="BE394" s="30"/>
      <c r="BF394" s="30"/>
      <c r="BG394" s="30"/>
      <c r="BH394" s="107" t="s">
        <v>496</v>
      </c>
      <c r="BI394" s="107">
        <v>2.7000000000000001E-3</v>
      </c>
      <c r="BJ394" s="107">
        <v>4.4000000000000003E-3</v>
      </c>
      <c r="BK394" s="107">
        <v>12</v>
      </c>
      <c r="BL394" s="136"/>
      <c r="BM394" s="122"/>
      <c r="BN394" s="138">
        <v>0</v>
      </c>
      <c r="BO394" s="93"/>
      <c r="BP394" s="93"/>
      <c r="BQ394" s="93"/>
      <c r="BR394" s="93"/>
      <c r="BS394" s="93"/>
      <c r="BT394" s="93"/>
      <c r="BU394" s="27">
        <f t="shared" si="289"/>
        <v>0</v>
      </c>
      <c r="BV394" s="27"/>
      <c r="BW394" s="27"/>
      <c r="BX394" s="27"/>
      <c r="BY394" s="27"/>
      <c r="BZ394" s="27"/>
      <c r="CA394" s="27"/>
      <c r="CB394" s="97">
        <v>100</v>
      </c>
      <c r="CC394" s="97">
        <v>100</v>
      </c>
      <c r="CD394" s="97">
        <v>100</v>
      </c>
      <c r="CE394" s="97">
        <v>1000</v>
      </c>
      <c r="CF394" s="97">
        <v>1000</v>
      </c>
      <c r="CG394" s="97">
        <v>1000</v>
      </c>
      <c r="CH394" s="97">
        <v>1000</v>
      </c>
      <c r="CI394" s="173"/>
      <c r="CJ394" s="173"/>
      <c r="CK394" s="173"/>
      <c r="CL394" s="173"/>
      <c r="CM394" s="173"/>
      <c r="CN394" s="173"/>
      <c r="CO394" s="173"/>
      <c r="CP394" s="174"/>
      <c r="CQ394" s="174"/>
      <c r="CR394" s="174"/>
      <c r="CS394" s="174"/>
      <c r="CT394" s="174"/>
      <c r="CU394" s="174"/>
      <c r="CV394" s="174"/>
      <c r="CW394" s="165"/>
      <c r="CX394" s="166"/>
      <c r="CY394" s="166"/>
      <c r="CZ394" s="166"/>
      <c r="DA394" s="166"/>
      <c r="DB394" s="166"/>
      <c r="DC394" s="166"/>
      <c r="DD394" s="171"/>
      <c r="DE394" s="171"/>
      <c r="DF394" s="171"/>
      <c r="DG394" s="171"/>
      <c r="DH394" s="171"/>
      <c r="DI394" s="171"/>
      <c r="DJ394" s="171"/>
      <c r="DK394" s="79" t="s">
        <v>415</v>
      </c>
      <c r="DL394" s="128">
        <v>1000</v>
      </c>
      <c r="DM394" s="128">
        <v>1000</v>
      </c>
      <c r="DN394" s="128">
        <v>1000</v>
      </c>
      <c r="DO394" s="128">
        <v>1000</v>
      </c>
      <c r="DP394" s="128">
        <v>1000</v>
      </c>
      <c r="DQ394" s="128">
        <v>1000</v>
      </c>
      <c r="DR394" s="128">
        <v>1000</v>
      </c>
      <c r="DS394" s="218"/>
      <c r="DT394" s="360"/>
      <c r="DU394" s="360"/>
      <c r="DV394" s="360"/>
      <c r="DW394" s="360"/>
      <c r="DX394" s="360"/>
      <c r="DY394" s="360"/>
      <c r="DZ394" s="360"/>
      <c r="EA394" s="360"/>
      <c r="EB394" s="360"/>
      <c r="EC394" s="360"/>
      <c r="ED394" s="360"/>
      <c r="EE394" s="360"/>
      <c r="EF394" s="360"/>
      <c r="EG394" s="360"/>
      <c r="EH394" s="360"/>
      <c r="EI394" s="360"/>
      <c r="EJ394" s="360"/>
      <c r="EK394" s="360"/>
      <c r="EL394" s="360"/>
      <c r="EM394" s="360"/>
      <c r="EN394" s="360"/>
      <c r="EO394" s="360"/>
      <c r="EP394" s="360"/>
      <c r="EQ394" s="360"/>
    </row>
    <row r="395" spans="1:147" x14ac:dyDescent="0.35">
      <c r="A395" s="6" t="s">
        <v>1618</v>
      </c>
      <c r="B395" s="6" t="s">
        <v>740</v>
      </c>
      <c r="C395" s="6" t="s">
        <v>788</v>
      </c>
      <c r="D395" s="6" t="s">
        <v>497</v>
      </c>
      <c r="E395" s="6" t="s">
        <v>1309</v>
      </c>
      <c r="F395" s="6" t="s">
        <v>496</v>
      </c>
      <c r="G395" s="48" t="s">
        <v>1619</v>
      </c>
      <c r="H395" s="48" t="s">
        <v>1563</v>
      </c>
      <c r="I395" s="102">
        <v>6.49</v>
      </c>
      <c r="J395" s="102">
        <v>6.49</v>
      </c>
      <c r="K395" s="102">
        <v>6.49</v>
      </c>
      <c r="L395" s="102">
        <v>6.49</v>
      </c>
      <c r="M395" s="102">
        <v>6.49</v>
      </c>
      <c r="N395" s="102">
        <v>6.49</v>
      </c>
      <c r="O395" s="102">
        <v>6.49</v>
      </c>
      <c r="P395" s="94"/>
      <c r="Q395" s="102">
        <v>0.19</v>
      </c>
      <c r="R395" s="102">
        <v>0.19</v>
      </c>
      <c r="S395" s="102">
        <v>0.19</v>
      </c>
      <c r="T395" s="102">
        <v>0.19</v>
      </c>
      <c r="U395" s="102">
        <v>0.19</v>
      </c>
      <c r="V395" s="102">
        <v>0.19</v>
      </c>
      <c r="W395" s="102">
        <v>0.19</v>
      </c>
      <c r="X395" s="102">
        <v>0</v>
      </c>
      <c r="Y395" s="102">
        <v>0</v>
      </c>
      <c r="Z395" s="102">
        <v>0</v>
      </c>
      <c r="AA395" s="102">
        <v>0</v>
      </c>
      <c r="AB395" s="102">
        <v>0</v>
      </c>
      <c r="AC395" s="102">
        <v>0</v>
      </c>
      <c r="AD395" s="102">
        <v>0</v>
      </c>
      <c r="AE395" s="186">
        <v>0.08</v>
      </c>
      <c r="AF395" s="94">
        <v>0</v>
      </c>
      <c r="AG395" s="94">
        <v>40</v>
      </c>
      <c r="AH395" s="94">
        <v>50</v>
      </c>
      <c r="AI395" s="17">
        <v>1.3140000000000001</v>
      </c>
      <c r="AJ395" s="17" t="s">
        <v>1575</v>
      </c>
      <c r="AK395" s="17" t="s">
        <v>745</v>
      </c>
      <c r="AL395" s="17"/>
      <c r="AM395" s="61"/>
      <c r="AN395" s="61"/>
      <c r="AO395" s="61"/>
      <c r="AP395" s="61"/>
      <c r="AQ395" s="61"/>
      <c r="AR395" s="61"/>
      <c r="AS395" s="64"/>
      <c r="AT395" s="64"/>
      <c r="AU395" s="64"/>
      <c r="AV395" s="132"/>
      <c r="AW395" s="132"/>
      <c r="AX395" s="132"/>
      <c r="AY395" s="28" t="s">
        <v>662</v>
      </c>
      <c r="AZ395" s="28"/>
      <c r="BA395" s="28"/>
      <c r="BB395" s="28"/>
      <c r="BC395" s="28"/>
      <c r="BD395" s="28"/>
      <c r="BE395" s="28"/>
      <c r="BF395" s="28"/>
      <c r="BG395" s="28"/>
      <c r="BH395" s="106" t="s">
        <v>496</v>
      </c>
      <c r="BI395" s="106">
        <v>3.0000000000000001E-3</v>
      </c>
      <c r="BJ395" s="106">
        <v>4.0000000000000001E-3</v>
      </c>
      <c r="BK395" s="106">
        <v>100</v>
      </c>
      <c r="BL395" s="137"/>
      <c r="BM395" s="123"/>
      <c r="BN395" s="139">
        <v>0</v>
      </c>
      <c r="BO395" s="94"/>
      <c r="BP395" s="94"/>
      <c r="BQ395" s="94"/>
      <c r="BR395" s="94"/>
      <c r="BS395" s="94"/>
      <c r="BT395" s="94"/>
      <c r="BU395" s="28">
        <f t="shared" si="289"/>
        <v>0</v>
      </c>
      <c r="BV395" s="28"/>
      <c r="BW395" s="28"/>
      <c r="BX395" s="28"/>
      <c r="BY395" s="28"/>
      <c r="BZ395" s="28"/>
      <c r="CA395" s="28"/>
      <c r="CB395" s="99">
        <v>100</v>
      </c>
      <c r="CC395" s="99">
        <v>100</v>
      </c>
      <c r="CD395" s="99">
        <v>100</v>
      </c>
      <c r="CE395" s="99">
        <v>1000</v>
      </c>
      <c r="CF395" s="99">
        <v>1000</v>
      </c>
      <c r="CG395" s="99">
        <v>1000</v>
      </c>
      <c r="CH395" s="99">
        <v>1000</v>
      </c>
      <c r="CI395" s="175"/>
      <c r="CJ395" s="175"/>
      <c r="CK395" s="175"/>
      <c r="CL395" s="175"/>
      <c r="CM395" s="175"/>
      <c r="CN395" s="175"/>
      <c r="CO395" s="175"/>
      <c r="CP395" s="176"/>
      <c r="CQ395" s="176"/>
      <c r="CR395" s="176"/>
      <c r="CS395" s="176"/>
      <c r="CT395" s="176"/>
      <c r="CU395" s="176"/>
      <c r="CV395" s="176"/>
      <c r="CW395" s="167"/>
      <c r="CX395" s="168"/>
      <c r="CY395" s="168"/>
      <c r="CZ395" s="168"/>
      <c r="DA395" s="168"/>
      <c r="DB395" s="168"/>
      <c r="DC395" s="168"/>
      <c r="DD395" s="172"/>
      <c r="DE395" s="172"/>
      <c r="DF395" s="172"/>
      <c r="DG395" s="172"/>
      <c r="DH395" s="172"/>
      <c r="DI395" s="172"/>
      <c r="DJ395" s="172"/>
      <c r="DK395" s="80" t="s">
        <v>415</v>
      </c>
      <c r="DL395" s="129">
        <v>1000</v>
      </c>
      <c r="DM395" s="129">
        <v>1000</v>
      </c>
      <c r="DN395" s="129">
        <v>1000</v>
      </c>
      <c r="DO395" s="129">
        <v>1000</v>
      </c>
      <c r="DP395" s="129">
        <v>1000</v>
      </c>
      <c r="DQ395" s="129">
        <v>1000</v>
      </c>
      <c r="DR395" s="129">
        <v>1000</v>
      </c>
      <c r="DS395" s="218"/>
      <c r="DT395" s="360"/>
      <c r="DU395" s="360"/>
      <c r="DV395" s="360"/>
      <c r="DW395" s="360"/>
      <c r="DX395" s="360"/>
      <c r="DY395" s="360"/>
      <c r="DZ395" s="360"/>
      <c r="EA395" s="360"/>
      <c r="EB395" s="360"/>
      <c r="EC395" s="360"/>
      <c r="ED395" s="360"/>
      <c r="EE395" s="360"/>
      <c r="EF395" s="360"/>
      <c r="EG395" s="360"/>
      <c r="EH395" s="360"/>
      <c r="EI395" s="360"/>
      <c r="EJ395" s="360"/>
      <c r="EK395" s="360"/>
      <c r="EL395" s="360"/>
      <c r="EM395" s="360"/>
      <c r="EN395" s="360"/>
      <c r="EO395" s="360"/>
      <c r="EP395" s="360"/>
      <c r="EQ395" s="360"/>
    </row>
    <row r="396" spans="1:147" x14ac:dyDescent="0.35">
      <c r="A396" s="223" t="s">
        <v>1620</v>
      </c>
      <c r="B396" s="223" t="s">
        <v>740</v>
      </c>
      <c r="C396" s="223" t="s">
        <v>817</v>
      </c>
      <c r="D396" s="223" t="s">
        <v>497</v>
      </c>
      <c r="E396" s="223" t="s">
        <v>1621</v>
      </c>
      <c r="F396" s="223" t="s">
        <v>496</v>
      </c>
      <c r="G396" s="229" t="s">
        <v>1622</v>
      </c>
      <c r="H396" s="224" t="s">
        <v>659</v>
      </c>
      <c r="I396" s="101">
        <v>0</v>
      </c>
      <c r="J396" s="101">
        <v>0</v>
      </c>
      <c r="K396" s="101">
        <v>0</v>
      </c>
      <c r="L396" s="101">
        <v>0</v>
      </c>
      <c r="M396" s="101">
        <v>0</v>
      </c>
      <c r="N396" s="101">
        <v>0</v>
      </c>
      <c r="O396" s="101">
        <v>0</v>
      </c>
      <c r="P396" s="93">
        <v>0</v>
      </c>
      <c r="Q396" s="101">
        <v>0</v>
      </c>
      <c r="R396" s="101">
        <v>0</v>
      </c>
      <c r="S396" s="101">
        <v>0</v>
      </c>
      <c r="T396" s="101">
        <v>0</v>
      </c>
      <c r="U396" s="101">
        <v>0</v>
      </c>
      <c r="V396" s="101">
        <v>0</v>
      </c>
      <c r="W396" s="101">
        <v>0</v>
      </c>
      <c r="X396" s="101">
        <v>37.74940093114386</v>
      </c>
      <c r="Y396" s="101">
        <v>36.696375663840492</v>
      </c>
      <c r="Z396" s="101">
        <v>35.652211990524748</v>
      </c>
      <c r="AA396" s="101">
        <v>35.305390850647534</v>
      </c>
      <c r="AB396" s="101">
        <v>34.953149010318384</v>
      </c>
      <c r="AC396" s="101">
        <v>34.426874126525668</v>
      </c>
      <c r="AD396" s="101">
        <v>33.904554540008832</v>
      </c>
      <c r="AE396" s="186">
        <v>0.08</v>
      </c>
      <c r="AF396" s="93">
        <v>0</v>
      </c>
      <c r="AG396" s="93">
        <v>1</v>
      </c>
      <c r="AH396" s="93">
        <v>1</v>
      </c>
      <c r="AI396" s="16">
        <v>1</v>
      </c>
      <c r="AJ396" s="16" t="s">
        <v>1569</v>
      </c>
      <c r="AK396" s="16" t="s">
        <v>745</v>
      </c>
      <c r="AL396" s="16"/>
      <c r="AM396" s="60"/>
      <c r="AN396" s="60"/>
      <c r="AO396" s="60"/>
      <c r="AP396" s="60"/>
      <c r="AQ396" s="60"/>
      <c r="AR396" s="60"/>
      <c r="AS396" s="63"/>
      <c r="AT396" s="63"/>
      <c r="AU396" s="63"/>
      <c r="AV396" s="131"/>
      <c r="AW396" s="131"/>
      <c r="AX396" s="131"/>
      <c r="AY396" s="27" t="s">
        <v>662</v>
      </c>
      <c r="AZ396" s="27"/>
      <c r="BA396" s="27"/>
      <c r="BB396" s="30"/>
      <c r="BC396" s="30"/>
      <c r="BD396" s="30"/>
      <c r="BE396" s="30"/>
      <c r="BF396" s="30"/>
      <c r="BG396" s="30"/>
      <c r="BH396" s="107"/>
      <c r="BI396" s="107"/>
      <c r="BJ396" s="107"/>
      <c r="BK396" s="107"/>
      <c r="BL396" s="136"/>
      <c r="BM396" s="122"/>
      <c r="BN396" s="138"/>
      <c r="BO396" s="93"/>
      <c r="BP396" s="93"/>
      <c r="BQ396" s="93"/>
      <c r="BR396" s="93"/>
      <c r="BS396" s="93"/>
      <c r="BT396" s="93"/>
      <c r="BU396" s="27">
        <f t="shared" si="289"/>
        <v>0</v>
      </c>
      <c r="BV396" s="27"/>
      <c r="BW396" s="27"/>
      <c r="BX396" s="27"/>
      <c r="BY396" s="27"/>
      <c r="BZ396" s="27"/>
      <c r="CA396" s="27"/>
      <c r="CB396" s="244"/>
      <c r="CC396" s="244"/>
      <c r="CD396" s="244"/>
      <c r="CE396" s="244"/>
      <c r="CF396" s="244"/>
      <c r="CG396" s="244"/>
      <c r="CH396" s="244"/>
      <c r="CI396" s="173"/>
      <c r="CJ396" s="173"/>
      <c r="CK396" s="173"/>
      <c r="CL396" s="173"/>
      <c r="CM396" s="173"/>
      <c r="CN396" s="173"/>
      <c r="CO396" s="173"/>
      <c r="CP396" s="174"/>
      <c r="CQ396" s="174"/>
      <c r="CR396" s="197"/>
      <c r="CS396" s="197"/>
      <c r="CT396" s="197"/>
      <c r="CU396" s="197"/>
      <c r="CV396" s="197"/>
      <c r="CW396" s="165"/>
      <c r="CX396" s="166"/>
      <c r="CY396" s="166"/>
      <c r="CZ396" s="166"/>
      <c r="DA396" s="166"/>
      <c r="DB396" s="166"/>
      <c r="DC396" s="166"/>
      <c r="DD396" s="171"/>
      <c r="DE396" s="171"/>
      <c r="DF396" s="171"/>
      <c r="DG396" s="171"/>
      <c r="DH396" s="171"/>
      <c r="DI396" s="171"/>
      <c r="DJ396" s="171"/>
      <c r="DK396" s="79"/>
      <c r="DL396" s="128"/>
      <c r="DM396" s="128"/>
      <c r="DN396" s="128"/>
      <c r="DO396" s="128"/>
      <c r="DP396" s="128"/>
      <c r="DQ396" s="128"/>
      <c r="DR396" s="128"/>
      <c r="DS396" s="218"/>
      <c r="DT396" s="360"/>
      <c r="DU396" s="360"/>
      <c r="DV396" s="360"/>
      <c r="DW396" s="360"/>
      <c r="DX396" s="360"/>
      <c r="DY396" s="360"/>
      <c r="DZ396" s="360"/>
      <c r="EA396" s="360"/>
      <c r="EB396" s="360"/>
      <c r="EC396" s="360"/>
      <c r="ED396" s="360"/>
      <c r="EE396" s="360"/>
      <c r="EF396" s="360"/>
      <c r="EG396" s="360"/>
      <c r="EH396" s="360"/>
      <c r="EI396" s="360"/>
      <c r="EJ396" s="360"/>
      <c r="EK396" s="360"/>
      <c r="EL396" s="360"/>
      <c r="EM396" s="360"/>
      <c r="EN396" s="360"/>
      <c r="EO396" s="360"/>
      <c r="EP396" s="360"/>
      <c r="EQ396" s="360"/>
    </row>
    <row r="397" spans="1:147" x14ac:dyDescent="0.35">
      <c r="A397" s="6" t="s">
        <v>1623</v>
      </c>
      <c r="B397" s="6" t="s">
        <v>740</v>
      </c>
      <c r="C397" s="6" t="s">
        <v>817</v>
      </c>
      <c r="D397" s="6" t="s">
        <v>497</v>
      </c>
      <c r="E397" s="6" t="s">
        <v>1624</v>
      </c>
      <c r="F397" s="6" t="s">
        <v>496</v>
      </c>
      <c r="G397" s="48" t="s">
        <v>1625</v>
      </c>
      <c r="H397" s="48" t="s">
        <v>659</v>
      </c>
      <c r="I397" s="102">
        <v>0</v>
      </c>
      <c r="J397" s="102">
        <v>0</v>
      </c>
      <c r="K397" s="102">
        <v>0</v>
      </c>
      <c r="L397" s="102">
        <v>0</v>
      </c>
      <c r="M397" s="102">
        <v>0</v>
      </c>
      <c r="N397" s="102">
        <v>0</v>
      </c>
      <c r="O397" s="102">
        <v>0</v>
      </c>
      <c r="P397" s="94">
        <v>0</v>
      </c>
      <c r="Q397" s="102">
        <v>0</v>
      </c>
      <c r="R397" s="102">
        <v>0</v>
      </c>
      <c r="S397" s="102">
        <v>0</v>
      </c>
      <c r="T397" s="102">
        <v>0</v>
      </c>
      <c r="U397" s="102">
        <v>0</v>
      </c>
      <c r="V397" s="102">
        <v>0</v>
      </c>
      <c r="W397" s="102">
        <v>0</v>
      </c>
      <c r="X397" s="102">
        <f>-1*X396</f>
        <v>-37.74940093114386</v>
      </c>
      <c r="Y397" s="102">
        <f t="shared" ref="Y397:AD397" si="327">-1*Y396</f>
        <v>-36.696375663840492</v>
      </c>
      <c r="Z397" s="102">
        <f t="shared" si="327"/>
        <v>-35.652211990524748</v>
      </c>
      <c r="AA397" s="102">
        <f t="shared" si="327"/>
        <v>-35.305390850647534</v>
      </c>
      <c r="AB397" s="102">
        <f t="shared" si="327"/>
        <v>-34.953149010318384</v>
      </c>
      <c r="AC397" s="102">
        <f t="shared" si="327"/>
        <v>-34.426874126525668</v>
      </c>
      <c r="AD397" s="102">
        <f t="shared" si="327"/>
        <v>-33.904554540008832</v>
      </c>
      <c r="AE397" s="186">
        <v>0.08</v>
      </c>
      <c r="AF397" s="94">
        <v>0</v>
      </c>
      <c r="AG397" s="94">
        <v>1</v>
      </c>
      <c r="AH397" s="94">
        <v>1</v>
      </c>
      <c r="AI397" s="17">
        <v>1</v>
      </c>
      <c r="AJ397" s="17" t="s">
        <v>1569</v>
      </c>
      <c r="AK397" s="17" t="s">
        <v>745</v>
      </c>
      <c r="AL397" s="17"/>
      <c r="AM397" s="61"/>
      <c r="AN397" s="61"/>
      <c r="AO397" s="61"/>
      <c r="AP397" s="61"/>
      <c r="AQ397" s="61"/>
      <c r="AR397" s="61"/>
      <c r="AS397" s="64"/>
      <c r="AT397" s="64"/>
      <c r="AU397" s="64"/>
      <c r="AV397" s="132"/>
      <c r="AW397" s="132"/>
      <c r="AX397" s="132"/>
      <c r="AY397" s="28" t="s">
        <v>662</v>
      </c>
      <c r="AZ397" s="28"/>
      <c r="BA397" s="28"/>
      <c r="BB397" s="28"/>
      <c r="BC397" s="28"/>
      <c r="BD397" s="28"/>
      <c r="BE397" s="28"/>
      <c r="BF397" s="28"/>
      <c r="BG397" s="28"/>
      <c r="BH397" s="106"/>
      <c r="BI397" s="106"/>
      <c r="BJ397" s="106"/>
      <c r="BK397" s="106"/>
      <c r="BL397" s="137"/>
      <c r="BM397" s="123"/>
      <c r="BN397" s="139"/>
      <c r="BO397" s="94"/>
      <c r="BP397" s="94"/>
      <c r="BQ397" s="94"/>
      <c r="BR397" s="94"/>
      <c r="BS397" s="94"/>
      <c r="BT397" s="94"/>
      <c r="BU397" s="28">
        <f t="shared" si="289"/>
        <v>0</v>
      </c>
      <c r="BV397" s="281"/>
      <c r="BW397" s="281"/>
      <c r="BX397" s="281"/>
      <c r="BY397" s="281"/>
      <c r="BZ397" s="281"/>
      <c r="CA397" s="281"/>
      <c r="CB397" s="244"/>
      <c r="CC397" s="244"/>
      <c r="CD397" s="244"/>
      <c r="CE397" s="244"/>
      <c r="CF397" s="244"/>
      <c r="CG397" s="244"/>
      <c r="CH397" s="244"/>
      <c r="CI397" s="175"/>
      <c r="CJ397" s="175"/>
      <c r="CK397" s="175"/>
      <c r="CL397" s="175"/>
      <c r="CM397" s="175"/>
      <c r="CN397" s="175"/>
      <c r="CO397" s="175"/>
      <c r="CP397" s="176"/>
      <c r="CQ397" s="176"/>
      <c r="CR397" s="176"/>
      <c r="CS397" s="176"/>
      <c r="CT397" s="176"/>
      <c r="CU397" s="176"/>
      <c r="CV397" s="176"/>
      <c r="CW397" s="167"/>
      <c r="CX397" s="168"/>
      <c r="CY397" s="168"/>
      <c r="CZ397" s="168"/>
      <c r="DA397" s="168"/>
      <c r="DB397" s="168"/>
      <c r="DC397" s="168"/>
      <c r="DD397" s="172"/>
      <c r="DE397" s="172"/>
      <c r="DF397" s="172"/>
      <c r="DG397" s="172"/>
      <c r="DH397" s="172"/>
      <c r="DI397" s="172"/>
      <c r="DJ397" s="172"/>
      <c r="DK397" s="80"/>
      <c r="DL397" s="129"/>
      <c r="DM397" s="129"/>
      <c r="DN397" s="129"/>
      <c r="DO397" s="129"/>
      <c r="DP397" s="129"/>
      <c r="DQ397" s="129"/>
      <c r="DR397" s="129"/>
      <c r="DS397" s="218"/>
      <c r="DT397" s="360"/>
      <c r="DU397" s="360"/>
      <c r="DV397" s="360"/>
      <c r="DW397" s="360"/>
      <c r="DX397" s="360"/>
      <c r="DY397" s="360"/>
      <c r="DZ397" s="360"/>
      <c r="EA397" s="360"/>
      <c r="EB397" s="360"/>
      <c r="EC397" s="360"/>
      <c r="ED397" s="360"/>
      <c r="EE397" s="360"/>
      <c r="EF397" s="360"/>
      <c r="EG397" s="360"/>
      <c r="EH397" s="360"/>
      <c r="EI397" s="360"/>
      <c r="EJ397" s="360"/>
      <c r="EK397" s="360"/>
      <c r="EL397" s="360"/>
      <c r="EM397" s="360"/>
      <c r="EN397" s="360"/>
      <c r="EO397" s="360"/>
      <c r="EP397" s="360"/>
      <c r="EQ397" s="360"/>
    </row>
    <row r="398" spans="1:147" x14ac:dyDescent="0.35">
      <c r="A398" s="223" t="s">
        <v>1626</v>
      </c>
      <c r="B398" s="223" t="s">
        <v>740</v>
      </c>
      <c r="C398" s="223" t="s">
        <v>817</v>
      </c>
      <c r="D398" s="223" t="s">
        <v>497</v>
      </c>
      <c r="E398" s="223" t="s">
        <v>1624</v>
      </c>
      <c r="F398" s="223" t="s">
        <v>496</v>
      </c>
      <c r="G398" s="229" t="s">
        <v>1627</v>
      </c>
      <c r="H398" s="224" t="s">
        <v>659</v>
      </c>
      <c r="I398" s="101">
        <v>0</v>
      </c>
      <c r="J398" s="101">
        <v>0</v>
      </c>
      <c r="K398" s="101">
        <v>0</v>
      </c>
      <c r="L398" s="101">
        <v>0</v>
      </c>
      <c r="M398" s="101">
        <v>0</v>
      </c>
      <c r="N398" s="101">
        <v>0</v>
      </c>
      <c r="O398" s="101">
        <v>0</v>
      </c>
      <c r="P398" s="93">
        <v>0</v>
      </c>
      <c r="Q398" s="101">
        <v>0</v>
      </c>
      <c r="R398" s="101">
        <v>0</v>
      </c>
      <c r="S398" s="101">
        <v>0</v>
      </c>
      <c r="T398" s="101">
        <v>0</v>
      </c>
      <c r="U398" s="101">
        <v>0</v>
      </c>
      <c r="V398" s="101">
        <v>0</v>
      </c>
      <c r="W398" s="101">
        <v>0</v>
      </c>
      <c r="X398" s="101">
        <v>21.670952386397403</v>
      </c>
      <c r="Y398" s="101">
        <v>20.443816267585952</v>
      </c>
      <c r="Z398" s="101">
        <v>19.224231955675112</v>
      </c>
      <c r="AA398" s="101">
        <v>19.226704556042115</v>
      </c>
      <c r="AB398" s="101">
        <v>19.224231955675112</v>
      </c>
      <c r="AC398" s="101">
        <v>19.226704556042115</v>
      </c>
      <c r="AD398" s="101">
        <v>19.224231955675112</v>
      </c>
      <c r="AE398" s="186">
        <v>0.08</v>
      </c>
      <c r="AF398" s="93">
        <v>0</v>
      </c>
      <c r="AG398" s="93">
        <v>1</v>
      </c>
      <c r="AH398" s="93">
        <v>1</v>
      </c>
      <c r="AI398" s="16">
        <v>1</v>
      </c>
      <c r="AJ398" s="16" t="s">
        <v>1569</v>
      </c>
      <c r="AK398" s="16" t="s">
        <v>745</v>
      </c>
      <c r="AL398" s="16"/>
      <c r="AM398" s="60"/>
      <c r="AN398" s="60"/>
      <c r="AO398" s="60"/>
      <c r="AP398" s="60"/>
      <c r="AQ398" s="60"/>
      <c r="AR398" s="60"/>
      <c r="AS398" s="63"/>
      <c r="AT398" s="63"/>
      <c r="AU398" s="63"/>
      <c r="AV398" s="131"/>
      <c r="AW398" s="131"/>
      <c r="AX398" s="131"/>
      <c r="AY398" s="27" t="s">
        <v>662</v>
      </c>
      <c r="AZ398" s="27"/>
      <c r="BA398" s="27"/>
      <c r="BB398" s="30"/>
      <c r="BC398" s="30"/>
      <c r="BD398" s="30"/>
      <c r="BE398" s="30"/>
      <c r="BF398" s="30"/>
      <c r="BG398" s="30"/>
      <c r="BH398" s="107"/>
      <c r="BI398" s="107"/>
      <c r="BJ398" s="107"/>
      <c r="BK398" s="107"/>
      <c r="BL398" s="136"/>
      <c r="BM398" s="122"/>
      <c r="BN398" s="138"/>
      <c r="BO398" s="93"/>
      <c r="BP398" s="93"/>
      <c r="BQ398" s="93"/>
      <c r="BR398" s="93"/>
      <c r="BS398" s="93"/>
      <c r="BT398" s="93"/>
      <c r="BU398" s="27">
        <f t="shared" ref="BU398" si="328">IF(BL398=1,BN398,0)</f>
        <v>0</v>
      </c>
      <c r="BV398" s="27"/>
      <c r="BW398" s="27"/>
      <c r="BX398" s="27"/>
      <c r="BY398" s="27"/>
      <c r="BZ398" s="27"/>
      <c r="CA398" s="27"/>
      <c r="CB398" s="99"/>
      <c r="CC398" s="99"/>
      <c r="CD398" s="99"/>
      <c r="CE398" s="99"/>
      <c r="CF398" s="99"/>
      <c r="CG398" s="99"/>
      <c r="CH398" s="99"/>
      <c r="CI398" s="173"/>
      <c r="CJ398" s="173"/>
      <c r="CK398" s="173"/>
      <c r="CL398" s="173"/>
      <c r="CM398" s="173"/>
      <c r="CN398" s="173"/>
      <c r="CO398" s="173"/>
      <c r="CP398" s="174"/>
      <c r="CQ398" s="174"/>
      <c r="CR398" s="197"/>
      <c r="CS398" s="197"/>
      <c r="CT398" s="197"/>
      <c r="CU398" s="197"/>
      <c r="CV398" s="197"/>
      <c r="CW398" s="165"/>
      <c r="CX398" s="166"/>
      <c r="CY398" s="166"/>
      <c r="CZ398" s="166"/>
      <c r="DA398" s="166"/>
      <c r="DB398" s="166"/>
      <c r="DC398" s="166"/>
      <c r="DD398" s="171"/>
      <c r="DE398" s="171"/>
      <c r="DF398" s="171"/>
      <c r="DG398" s="171"/>
      <c r="DH398" s="171"/>
      <c r="DI398" s="171"/>
      <c r="DJ398" s="171"/>
      <c r="DK398" s="79"/>
      <c r="DL398" s="128"/>
      <c r="DM398" s="128"/>
      <c r="DN398" s="128"/>
      <c r="DO398" s="128"/>
      <c r="DP398" s="128"/>
      <c r="DQ398" s="128"/>
      <c r="DR398" s="128"/>
      <c r="DS398" s="218"/>
      <c r="DT398" s="360"/>
      <c r="DU398" s="360"/>
      <c r="DV398" s="360"/>
      <c r="DW398" s="360"/>
      <c r="DX398" s="360"/>
      <c r="DY398" s="360"/>
      <c r="DZ398" s="360"/>
      <c r="EA398" s="360"/>
      <c r="EB398" s="360"/>
      <c r="EC398" s="360"/>
      <c r="ED398" s="360"/>
      <c r="EE398" s="360"/>
      <c r="EF398" s="360"/>
      <c r="EG398" s="360"/>
      <c r="EH398" s="360"/>
      <c r="EI398" s="360"/>
      <c r="EJ398" s="360"/>
      <c r="EK398" s="360"/>
      <c r="EL398" s="360"/>
      <c r="EM398" s="360"/>
      <c r="EN398" s="360"/>
      <c r="EO398" s="360"/>
      <c r="EP398" s="360"/>
      <c r="EQ398" s="360"/>
    </row>
    <row r="399" spans="1:147" x14ac:dyDescent="0.35">
      <c r="A399" s="5" t="s">
        <v>1628</v>
      </c>
      <c r="B399" s="5" t="s">
        <v>1243</v>
      </c>
      <c r="C399" s="5" t="s">
        <v>788</v>
      </c>
      <c r="D399" s="5" t="s">
        <v>497</v>
      </c>
      <c r="E399" s="5" t="s">
        <v>1629</v>
      </c>
      <c r="F399" s="5" t="s">
        <v>496</v>
      </c>
      <c r="G399" s="47" t="s">
        <v>1630</v>
      </c>
      <c r="H399" s="47" t="s">
        <v>981</v>
      </c>
      <c r="I399" s="101">
        <v>185.2</v>
      </c>
      <c r="J399" s="101">
        <v>185.2</v>
      </c>
      <c r="K399" s="101">
        <v>185.2</v>
      </c>
      <c r="L399" s="101">
        <v>185.2</v>
      </c>
      <c r="M399" s="101">
        <v>185.2</v>
      </c>
      <c r="N399" s="101">
        <v>185.2</v>
      </c>
      <c r="O399" s="101">
        <v>185.2</v>
      </c>
      <c r="P399" s="93">
        <v>0</v>
      </c>
      <c r="Q399" s="101">
        <v>5.56</v>
      </c>
      <c r="R399" s="101">
        <v>5.56</v>
      </c>
      <c r="S399" s="101">
        <v>5.56</v>
      </c>
      <c r="T399" s="101">
        <v>5.56</v>
      </c>
      <c r="U399" s="101">
        <v>5.56</v>
      </c>
      <c r="V399" s="101">
        <v>5.56</v>
      </c>
      <c r="W399" s="101">
        <v>5.56</v>
      </c>
      <c r="X399" s="101">
        <v>0</v>
      </c>
      <c r="Y399" s="101">
        <v>0</v>
      </c>
      <c r="Z399" s="101">
        <v>0</v>
      </c>
      <c r="AA399" s="101">
        <v>0</v>
      </c>
      <c r="AB399" s="101">
        <v>0</v>
      </c>
      <c r="AC399" s="101">
        <v>0</v>
      </c>
      <c r="AD399" s="101">
        <v>0</v>
      </c>
      <c r="AE399" s="186">
        <v>0.08</v>
      </c>
      <c r="AF399" s="93">
        <v>0</v>
      </c>
      <c r="AG399" s="93">
        <v>10</v>
      </c>
      <c r="AH399" s="93">
        <v>10</v>
      </c>
      <c r="AI399" s="16">
        <v>31.536000000000001</v>
      </c>
      <c r="AJ399" s="16" t="s">
        <v>1569</v>
      </c>
      <c r="AK399" s="16" t="s">
        <v>745</v>
      </c>
      <c r="AL399" s="16"/>
      <c r="AM399" s="60"/>
      <c r="AN399" s="60"/>
      <c r="AO399" s="60"/>
      <c r="AP399" s="60"/>
      <c r="AQ399" s="60"/>
      <c r="AR399" s="60"/>
      <c r="AS399" s="63"/>
      <c r="AT399" s="63"/>
      <c r="AU399" s="63"/>
      <c r="AV399" s="131"/>
      <c r="AW399" s="131"/>
      <c r="AX399" s="131"/>
      <c r="AY399" s="27" t="s">
        <v>662</v>
      </c>
      <c r="AZ399" s="27"/>
      <c r="BA399" s="27"/>
      <c r="BB399" s="30"/>
      <c r="BC399" s="30"/>
      <c r="BD399" s="30"/>
      <c r="BE399" s="30"/>
      <c r="BF399" s="30"/>
      <c r="BG399" s="30"/>
      <c r="BH399" s="107"/>
      <c r="BI399" s="107"/>
      <c r="BJ399" s="107"/>
      <c r="BK399" s="107"/>
      <c r="BL399" s="136"/>
      <c r="BM399" s="122"/>
      <c r="BN399" s="138">
        <v>0</v>
      </c>
      <c r="BO399" s="93"/>
      <c r="BP399" s="93"/>
      <c r="BQ399" s="93"/>
      <c r="BR399" s="93"/>
      <c r="BS399" s="93"/>
      <c r="BT399" s="93"/>
      <c r="BU399" s="27">
        <f t="shared" si="289"/>
        <v>0</v>
      </c>
      <c r="BV399" s="27"/>
      <c r="BW399" s="27"/>
      <c r="BX399" s="27"/>
      <c r="BY399" s="27"/>
      <c r="BZ399" s="27"/>
      <c r="CA399" s="27"/>
      <c r="CB399" s="185">
        <v>1000</v>
      </c>
      <c r="CC399" s="185">
        <v>1000</v>
      </c>
      <c r="CD399" s="185">
        <v>1000</v>
      </c>
      <c r="CE399" s="185">
        <v>1000</v>
      </c>
      <c r="CF399" s="185">
        <v>1000</v>
      </c>
      <c r="CG399" s="185">
        <v>1000</v>
      </c>
      <c r="CH399" s="185">
        <v>1000</v>
      </c>
      <c r="CI399" s="173"/>
      <c r="CJ399" s="173"/>
      <c r="CK399" s="173"/>
      <c r="CL399" s="173"/>
      <c r="CM399" s="173"/>
      <c r="CN399" s="173"/>
      <c r="CO399" s="173"/>
      <c r="CP399" s="174"/>
      <c r="CQ399" s="174"/>
      <c r="CR399" s="174"/>
      <c r="CS399" s="174"/>
      <c r="CT399" s="174"/>
      <c r="CU399" s="174"/>
      <c r="CV399" s="174"/>
      <c r="CW399" s="165"/>
      <c r="CX399" s="166"/>
      <c r="CY399" s="166"/>
      <c r="CZ399" s="166"/>
      <c r="DA399" s="166"/>
      <c r="DB399" s="166"/>
      <c r="DC399" s="166"/>
      <c r="DD399" s="171"/>
      <c r="DE399" s="171"/>
      <c r="DF399" s="171"/>
      <c r="DG399" s="171"/>
      <c r="DH399" s="171"/>
      <c r="DI399" s="171"/>
      <c r="DJ399" s="171"/>
      <c r="DK399" s="79" t="s">
        <v>415</v>
      </c>
      <c r="DL399" s="128">
        <v>3500</v>
      </c>
      <c r="DM399" s="128">
        <v>3500</v>
      </c>
      <c r="DN399" s="128">
        <v>3500</v>
      </c>
      <c r="DO399" s="128">
        <v>3500</v>
      </c>
      <c r="DP399" s="128">
        <v>3500</v>
      </c>
      <c r="DQ399" s="128">
        <v>3500</v>
      </c>
      <c r="DR399" s="128">
        <v>3500</v>
      </c>
      <c r="DS399" s="218"/>
      <c r="DT399" s="360"/>
      <c r="DU399" s="360"/>
      <c r="DV399" s="360"/>
      <c r="DW399" s="360"/>
      <c r="DX399" s="360"/>
      <c r="DY399" s="360"/>
      <c r="DZ399" s="360"/>
      <c r="EA399" s="360"/>
      <c r="EB399" s="360"/>
      <c r="EC399" s="360"/>
      <c r="ED399" s="360"/>
      <c r="EE399" s="360"/>
      <c r="EF399" s="360"/>
      <c r="EG399" s="360"/>
      <c r="EH399" s="360"/>
      <c r="EI399" s="360"/>
      <c r="EJ399" s="360"/>
      <c r="EK399" s="360"/>
      <c r="EL399" s="360"/>
      <c r="EM399" s="360"/>
      <c r="EN399" s="360"/>
      <c r="EO399" s="360"/>
      <c r="EP399" s="360"/>
      <c r="EQ399" s="360"/>
    </row>
    <row r="400" spans="1:147" x14ac:dyDescent="0.35">
      <c r="A400" s="6" t="s">
        <v>1631</v>
      </c>
      <c r="B400" s="6" t="s">
        <v>1243</v>
      </c>
      <c r="C400" s="6" t="s">
        <v>788</v>
      </c>
      <c r="D400" s="6" t="s">
        <v>497</v>
      </c>
      <c r="E400" s="6" t="s">
        <v>1629</v>
      </c>
      <c r="F400" s="6" t="s">
        <v>498</v>
      </c>
      <c r="G400" s="48" t="s">
        <v>1632</v>
      </c>
      <c r="H400" s="48" t="s">
        <v>981</v>
      </c>
      <c r="I400" s="102">
        <v>185.2</v>
      </c>
      <c r="J400" s="102">
        <v>185.2</v>
      </c>
      <c r="K400" s="102">
        <v>185.2</v>
      </c>
      <c r="L400" s="102">
        <v>185.2</v>
      </c>
      <c r="M400" s="102">
        <v>185.2</v>
      </c>
      <c r="N400" s="102">
        <v>185.2</v>
      </c>
      <c r="O400" s="102">
        <v>185.2</v>
      </c>
      <c r="P400" s="94">
        <v>0</v>
      </c>
      <c r="Q400" s="102">
        <v>5.56</v>
      </c>
      <c r="R400" s="102">
        <v>5.56</v>
      </c>
      <c r="S400" s="102">
        <v>5.56</v>
      </c>
      <c r="T400" s="102">
        <v>5.56</v>
      </c>
      <c r="U400" s="102">
        <v>5.56</v>
      </c>
      <c r="V400" s="102">
        <v>5.56</v>
      </c>
      <c r="W400" s="102">
        <v>5.56</v>
      </c>
      <c r="X400" s="102">
        <v>0</v>
      </c>
      <c r="Y400" s="102">
        <v>0</v>
      </c>
      <c r="Z400" s="102">
        <v>0</v>
      </c>
      <c r="AA400" s="102">
        <v>0</v>
      </c>
      <c r="AB400" s="102">
        <v>0</v>
      </c>
      <c r="AC400" s="102">
        <v>0</v>
      </c>
      <c r="AD400" s="102">
        <v>0</v>
      </c>
      <c r="AE400" s="186">
        <v>0.08</v>
      </c>
      <c r="AF400" s="94">
        <v>0</v>
      </c>
      <c r="AG400" s="94">
        <v>10</v>
      </c>
      <c r="AH400" s="94">
        <v>10</v>
      </c>
      <c r="AI400" s="17">
        <v>31.536000000000001</v>
      </c>
      <c r="AJ400" s="17" t="s">
        <v>1569</v>
      </c>
      <c r="AK400" s="17" t="s">
        <v>745</v>
      </c>
      <c r="AL400" s="17"/>
      <c r="AM400" s="61"/>
      <c r="AN400" s="61"/>
      <c r="AO400" s="61"/>
      <c r="AP400" s="61"/>
      <c r="AQ400" s="61"/>
      <c r="AR400" s="61"/>
      <c r="AS400" s="64"/>
      <c r="AT400" s="64"/>
      <c r="AU400" s="64"/>
      <c r="AV400" s="132"/>
      <c r="AW400" s="132"/>
      <c r="AX400" s="132"/>
      <c r="AY400" s="28" t="s">
        <v>662</v>
      </c>
      <c r="AZ400" s="28"/>
      <c r="BA400" s="28"/>
      <c r="BB400" s="28"/>
      <c r="BC400" s="28"/>
      <c r="BD400" s="28"/>
      <c r="BE400" s="28"/>
      <c r="BF400" s="28"/>
      <c r="BG400" s="28"/>
      <c r="BH400" s="106"/>
      <c r="BI400" s="106"/>
      <c r="BJ400" s="106"/>
      <c r="BK400" s="106"/>
      <c r="BL400" s="137"/>
      <c r="BM400" s="123"/>
      <c r="BN400" s="139">
        <v>0</v>
      </c>
      <c r="BO400" s="94"/>
      <c r="BP400" s="94"/>
      <c r="BQ400" s="94"/>
      <c r="BR400" s="94"/>
      <c r="BS400" s="94"/>
      <c r="BT400" s="94"/>
      <c r="BU400" s="28">
        <f t="shared" si="289"/>
        <v>0</v>
      </c>
      <c r="BV400" s="28"/>
      <c r="BW400" s="28"/>
      <c r="BX400" s="28"/>
      <c r="BY400" s="28"/>
      <c r="BZ400" s="28"/>
      <c r="CA400" s="28"/>
      <c r="CB400" s="185">
        <v>1000</v>
      </c>
      <c r="CC400" s="185">
        <v>1000</v>
      </c>
      <c r="CD400" s="185">
        <v>1000</v>
      </c>
      <c r="CE400" s="185">
        <v>1000</v>
      </c>
      <c r="CF400" s="185">
        <v>1000</v>
      </c>
      <c r="CG400" s="185">
        <v>1000</v>
      </c>
      <c r="CH400" s="185">
        <v>1000</v>
      </c>
      <c r="CI400" s="175"/>
      <c r="CJ400" s="175"/>
      <c r="CK400" s="175"/>
      <c r="CL400" s="175"/>
      <c r="CM400" s="175"/>
      <c r="CN400" s="175"/>
      <c r="CO400" s="175"/>
      <c r="CP400" s="176"/>
      <c r="CQ400" s="176"/>
      <c r="CR400" s="176"/>
      <c r="CS400" s="176"/>
      <c r="CT400" s="176"/>
      <c r="CU400" s="176"/>
      <c r="CV400" s="176"/>
      <c r="CW400" s="167"/>
      <c r="CX400" s="168"/>
      <c r="CY400" s="168"/>
      <c r="CZ400" s="168"/>
      <c r="DA400" s="168"/>
      <c r="DB400" s="168"/>
      <c r="DC400" s="168"/>
      <c r="DD400" s="172"/>
      <c r="DE400" s="172"/>
      <c r="DF400" s="172"/>
      <c r="DG400" s="172"/>
      <c r="DH400" s="172"/>
      <c r="DI400" s="172"/>
      <c r="DJ400" s="172"/>
      <c r="DK400" s="80" t="s">
        <v>415</v>
      </c>
      <c r="DL400" s="129">
        <v>3500</v>
      </c>
      <c r="DM400" s="129">
        <v>3500</v>
      </c>
      <c r="DN400" s="129">
        <v>3500</v>
      </c>
      <c r="DO400" s="129">
        <v>3500</v>
      </c>
      <c r="DP400" s="129">
        <v>3500</v>
      </c>
      <c r="DQ400" s="129">
        <v>3500</v>
      </c>
      <c r="DR400" s="129">
        <v>3500</v>
      </c>
      <c r="DS400" s="218"/>
      <c r="DT400" s="360"/>
      <c r="DU400" s="360"/>
      <c r="DV400" s="360"/>
      <c r="DW400" s="360"/>
      <c r="DX400" s="360"/>
      <c r="DY400" s="360"/>
      <c r="DZ400" s="360"/>
      <c r="EA400" s="360"/>
      <c r="EB400" s="360"/>
      <c r="EC400" s="360"/>
      <c r="ED400" s="360"/>
      <c r="EE400" s="360"/>
      <c r="EF400" s="360"/>
      <c r="EG400" s="360"/>
      <c r="EH400" s="360"/>
      <c r="EI400" s="360"/>
      <c r="EJ400" s="360"/>
      <c r="EK400" s="360"/>
      <c r="EL400" s="360"/>
      <c r="EM400" s="360"/>
      <c r="EN400" s="360"/>
      <c r="EO400" s="360"/>
      <c r="EP400" s="360"/>
      <c r="EQ400" s="360"/>
    </row>
    <row r="401" spans="1:244" x14ac:dyDescent="0.35">
      <c r="A401" s="5" t="s">
        <v>1633</v>
      </c>
      <c r="B401" s="5" t="s">
        <v>740</v>
      </c>
      <c r="C401" s="5" t="s">
        <v>788</v>
      </c>
      <c r="D401" s="5" t="s">
        <v>503</v>
      </c>
      <c r="E401" s="5" t="s">
        <v>503</v>
      </c>
      <c r="F401" s="5" t="s">
        <v>503</v>
      </c>
      <c r="G401" s="47" t="s">
        <v>1634</v>
      </c>
      <c r="H401" s="47" t="s">
        <v>659</v>
      </c>
      <c r="I401" s="101">
        <v>43.575563824936502</v>
      </c>
      <c r="J401" s="101">
        <v>43.575563824936502</v>
      </c>
      <c r="K401" s="101">
        <v>43.575563824936502</v>
      </c>
      <c r="L401" s="101">
        <v>43.575563824936502</v>
      </c>
      <c r="M401" s="101">
        <v>43.575563824936502</v>
      </c>
      <c r="N401" s="101">
        <v>43.575563824936502</v>
      </c>
      <c r="O401" s="101">
        <v>43.575563824936502</v>
      </c>
      <c r="P401" s="93">
        <v>0</v>
      </c>
      <c r="Q401" s="101">
        <v>1.655871425347587</v>
      </c>
      <c r="R401" s="101">
        <v>1.655871425347587</v>
      </c>
      <c r="S401" s="101">
        <v>1.655871425347587</v>
      </c>
      <c r="T401" s="101">
        <v>1.655871425347587</v>
      </c>
      <c r="U401" s="101">
        <v>1.655871425347587</v>
      </c>
      <c r="V401" s="101">
        <v>1.655871425347587</v>
      </c>
      <c r="W401" s="101">
        <v>1.655871425347587</v>
      </c>
      <c r="X401" s="101">
        <v>0</v>
      </c>
      <c r="Y401" s="101">
        <v>0</v>
      </c>
      <c r="Z401" s="101">
        <v>0</v>
      </c>
      <c r="AA401" s="101">
        <v>0</v>
      </c>
      <c r="AB401" s="101">
        <v>0</v>
      </c>
      <c r="AC401" s="101">
        <v>0</v>
      </c>
      <c r="AD401" s="101">
        <v>0</v>
      </c>
      <c r="AE401" s="186">
        <v>0.08</v>
      </c>
      <c r="AF401" s="93">
        <v>0</v>
      </c>
      <c r="AG401" s="94">
        <v>25</v>
      </c>
      <c r="AH401" s="94">
        <v>25</v>
      </c>
      <c r="AI401" s="16">
        <v>1</v>
      </c>
      <c r="AJ401" s="16" t="s">
        <v>660</v>
      </c>
      <c r="AK401" s="16" t="s">
        <v>745</v>
      </c>
      <c r="AL401" s="16"/>
      <c r="AM401" s="60"/>
      <c r="AN401" s="60"/>
      <c r="AO401" s="60"/>
      <c r="AP401" s="60"/>
      <c r="AQ401" s="60"/>
      <c r="AR401" s="60"/>
      <c r="AS401" s="63"/>
      <c r="AT401" s="63"/>
      <c r="AU401" s="63"/>
      <c r="AV401" s="131"/>
      <c r="AW401" s="131"/>
      <c r="AX401" s="131"/>
      <c r="AY401" s="27" t="s">
        <v>662</v>
      </c>
      <c r="AZ401" s="27"/>
      <c r="BA401" s="27"/>
      <c r="BB401" s="30"/>
      <c r="BC401" s="30"/>
      <c r="BD401" s="30"/>
      <c r="BE401" s="30"/>
      <c r="BF401" s="30"/>
      <c r="BG401" s="30"/>
      <c r="BH401" s="107"/>
      <c r="BI401" s="107"/>
      <c r="BJ401" s="107"/>
      <c r="BK401" s="107"/>
      <c r="BL401" s="136"/>
      <c r="BM401" s="122"/>
      <c r="BN401" s="138">
        <v>55</v>
      </c>
      <c r="BO401" s="93"/>
      <c r="BP401" s="93">
        <v>55</v>
      </c>
      <c r="BQ401" s="93"/>
      <c r="BR401" s="93"/>
      <c r="BS401" s="93"/>
      <c r="BT401" s="93"/>
      <c r="BU401" s="27">
        <f t="shared" si="289"/>
        <v>0</v>
      </c>
      <c r="BV401" s="27"/>
      <c r="BW401" s="27"/>
      <c r="BX401" s="27"/>
      <c r="BY401" s="27"/>
      <c r="BZ401" s="27"/>
      <c r="CA401" s="27"/>
      <c r="CB401" s="97">
        <f t="shared" ref="CB401:CH401" si="329">DL401</f>
        <v>60</v>
      </c>
      <c r="CC401" s="185">
        <v>60</v>
      </c>
      <c r="CD401" s="389">
        <v>250</v>
      </c>
      <c r="CE401" s="389">
        <v>250</v>
      </c>
      <c r="CF401" s="97">
        <v>250</v>
      </c>
      <c r="CG401" s="97">
        <f t="shared" si="329"/>
        <v>500</v>
      </c>
      <c r="CH401" s="97">
        <f t="shared" si="329"/>
        <v>500</v>
      </c>
      <c r="CI401" s="173"/>
      <c r="CJ401" s="173"/>
      <c r="CK401" s="173"/>
      <c r="CL401" s="173"/>
      <c r="CM401" s="173"/>
      <c r="CN401" s="173"/>
      <c r="CO401" s="173"/>
      <c r="CP401" s="174"/>
      <c r="CQ401" s="174"/>
      <c r="CR401" s="174"/>
      <c r="CS401" s="174"/>
      <c r="CT401" s="174"/>
      <c r="CU401" s="174"/>
      <c r="CV401" s="174"/>
      <c r="CW401" s="165"/>
      <c r="CX401" s="166"/>
      <c r="CY401" s="166"/>
      <c r="CZ401" s="166"/>
      <c r="DA401" s="166"/>
      <c r="DB401" s="166"/>
      <c r="DC401" s="166"/>
      <c r="DD401" s="171"/>
      <c r="DE401" s="171"/>
      <c r="DF401" s="171"/>
      <c r="DG401" s="171"/>
      <c r="DH401" s="171"/>
      <c r="DI401" s="171"/>
      <c r="DJ401" s="171"/>
      <c r="DK401" s="79" t="s">
        <v>1635</v>
      </c>
      <c r="DL401" s="128">
        <v>60</v>
      </c>
      <c r="DM401" s="128">
        <v>60</v>
      </c>
      <c r="DN401" s="128">
        <v>500</v>
      </c>
      <c r="DO401" s="128">
        <v>500</v>
      </c>
      <c r="DP401" s="128">
        <v>500</v>
      </c>
      <c r="DQ401" s="128">
        <v>500</v>
      </c>
      <c r="DR401" s="128">
        <v>500</v>
      </c>
      <c r="DS401" s="218"/>
      <c r="DT401" s="360"/>
      <c r="DU401" s="360"/>
      <c r="DV401" s="360"/>
      <c r="DW401" s="360"/>
      <c r="DX401" s="360"/>
      <c r="DY401" s="360"/>
      <c r="DZ401" s="360"/>
      <c r="EA401" s="360"/>
      <c r="EB401" s="360"/>
      <c r="EC401" s="360"/>
      <c r="ED401" s="360"/>
      <c r="EE401" s="360"/>
      <c r="EF401" s="360"/>
      <c r="EG401" s="360"/>
      <c r="EH401" s="360"/>
      <c r="EI401" s="360"/>
      <c r="EJ401" s="360"/>
      <c r="EK401" s="360"/>
      <c r="EL401" s="360"/>
      <c r="EM401" s="360"/>
      <c r="EN401" s="360"/>
      <c r="EO401" s="360"/>
      <c r="EP401" s="360"/>
      <c r="EQ401" s="360"/>
    </row>
    <row r="402" spans="1:244" x14ac:dyDescent="0.35">
      <c r="A402" s="6" t="s">
        <v>1636</v>
      </c>
      <c r="B402" s="6" t="s">
        <v>740</v>
      </c>
      <c r="C402" s="6" t="s">
        <v>788</v>
      </c>
      <c r="D402" s="6" t="s">
        <v>503</v>
      </c>
      <c r="E402" s="6" t="s">
        <v>503</v>
      </c>
      <c r="F402" s="6" t="s">
        <v>503</v>
      </c>
      <c r="G402" s="48" t="s">
        <v>1637</v>
      </c>
      <c r="H402" s="48" t="s">
        <v>659</v>
      </c>
      <c r="I402" s="102">
        <v>47.534056134237396</v>
      </c>
      <c r="J402" s="102">
        <v>47.534056134237396</v>
      </c>
      <c r="K402" s="102">
        <v>47.534056134237396</v>
      </c>
      <c r="L402" s="102">
        <v>47.534056134237396</v>
      </c>
      <c r="M402" s="102">
        <v>47.534056134237396</v>
      </c>
      <c r="N402" s="102">
        <v>47.534056134237396</v>
      </c>
      <c r="O402" s="102">
        <v>47.534056134237396</v>
      </c>
      <c r="P402" s="94">
        <v>0</v>
      </c>
      <c r="Q402" s="102">
        <v>1.8062941331010209</v>
      </c>
      <c r="R402" s="102">
        <v>1.8062941331010209</v>
      </c>
      <c r="S402" s="102">
        <v>1.8062941331010209</v>
      </c>
      <c r="T402" s="102">
        <v>1.8062941331010209</v>
      </c>
      <c r="U402" s="102">
        <v>1.8062941331010209</v>
      </c>
      <c r="V402" s="102">
        <v>1.8062941331010209</v>
      </c>
      <c r="W402" s="102">
        <v>1.8062941331010209</v>
      </c>
      <c r="X402" s="102">
        <v>0</v>
      </c>
      <c r="Y402" s="102">
        <v>0</v>
      </c>
      <c r="Z402" s="102">
        <v>0</v>
      </c>
      <c r="AA402" s="102">
        <v>0</v>
      </c>
      <c r="AB402" s="102">
        <v>0</v>
      </c>
      <c r="AC402" s="102">
        <v>0</v>
      </c>
      <c r="AD402" s="102">
        <v>0</v>
      </c>
      <c r="AE402" s="186">
        <v>0.08</v>
      </c>
      <c r="AF402" s="94">
        <v>0</v>
      </c>
      <c r="AG402" s="94">
        <v>25</v>
      </c>
      <c r="AH402" s="94">
        <v>25</v>
      </c>
      <c r="AI402" s="17">
        <v>1</v>
      </c>
      <c r="AJ402" s="17" t="s">
        <v>660</v>
      </c>
      <c r="AK402" s="17" t="s">
        <v>745</v>
      </c>
      <c r="AL402" s="17"/>
      <c r="AM402" s="61"/>
      <c r="AN402" s="61"/>
      <c r="AO402" s="61"/>
      <c r="AP402" s="61"/>
      <c r="AQ402" s="61"/>
      <c r="AR402" s="61"/>
      <c r="AS402" s="64"/>
      <c r="AT402" s="64"/>
      <c r="AU402" s="64"/>
      <c r="AV402" s="132"/>
      <c r="AW402" s="132"/>
      <c r="AX402" s="132"/>
      <c r="AY402" s="28" t="s">
        <v>662</v>
      </c>
      <c r="AZ402" s="28"/>
      <c r="BA402" s="28"/>
      <c r="BB402" s="28"/>
      <c r="BC402" s="28"/>
      <c r="BD402" s="28"/>
      <c r="BE402" s="28"/>
      <c r="BF402" s="28"/>
      <c r="BG402" s="28"/>
      <c r="BH402" s="106"/>
      <c r="BI402" s="106"/>
      <c r="BJ402" s="106"/>
      <c r="BK402" s="106"/>
      <c r="BL402" s="137"/>
      <c r="BM402" s="123"/>
      <c r="BN402" s="139">
        <v>0</v>
      </c>
      <c r="BO402" s="94"/>
      <c r="BP402" s="94"/>
      <c r="BQ402" s="94"/>
      <c r="BR402" s="94"/>
      <c r="BS402" s="94"/>
      <c r="BT402" s="94"/>
      <c r="BU402" s="28">
        <f t="shared" si="289"/>
        <v>0</v>
      </c>
      <c r="BV402" s="28"/>
      <c r="BW402" s="28"/>
      <c r="BX402" s="28"/>
      <c r="BY402" s="28"/>
      <c r="BZ402" s="28"/>
      <c r="CA402" s="28"/>
      <c r="CB402" s="99"/>
      <c r="CC402" s="99">
        <v>30</v>
      </c>
      <c r="CD402" s="389">
        <v>250</v>
      </c>
      <c r="CE402" s="389">
        <v>250</v>
      </c>
      <c r="CF402" s="99">
        <v>250</v>
      </c>
      <c r="CG402" s="99">
        <v>500</v>
      </c>
      <c r="CH402" s="99">
        <v>501</v>
      </c>
      <c r="CI402" s="175"/>
      <c r="CJ402" s="175"/>
      <c r="CK402" s="175"/>
      <c r="CL402" s="175"/>
      <c r="CM402" s="175"/>
      <c r="CN402" s="175"/>
      <c r="CO402" s="175"/>
      <c r="CP402" s="176"/>
      <c r="CQ402" s="176"/>
      <c r="CR402" s="176"/>
      <c r="CS402" s="176"/>
      <c r="CT402" s="176"/>
      <c r="CU402" s="176"/>
      <c r="CV402" s="176"/>
      <c r="CW402" s="167"/>
      <c r="CX402" s="168"/>
      <c r="CY402" s="168"/>
      <c r="CZ402" s="168"/>
      <c r="DA402" s="168"/>
      <c r="DB402" s="168"/>
      <c r="DC402" s="168"/>
      <c r="DD402" s="172"/>
      <c r="DE402" s="172"/>
      <c r="DF402" s="172"/>
      <c r="DG402" s="172"/>
      <c r="DH402" s="172"/>
      <c r="DI402" s="172"/>
      <c r="DJ402" s="172"/>
      <c r="DK402" s="80" t="s">
        <v>1635</v>
      </c>
      <c r="DL402" s="129">
        <v>60</v>
      </c>
      <c r="DM402" s="129">
        <v>60</v>
      </c>
      <c r="DN402" s="129">
        <v>250</v>
      </c>
      <c r="DO402" s="129">
        <v>500</v>
      </c>
      <c r="DP402" s="129">
        <v>500</v>
      </c>
      <c r="DQ402" s="129">
        <v>500</v>
      </c>
      <c r="DR402" s="129">
        <v>500</v>
      </c>
      <c r="DS402" s="218"/>
      <c r="DT402" s="360"/>
      <c r="DU402" s="360"/>
      <c r="DV402" s="360"/>
      <c r="DW402" s="360"/>
      <c r="DX402" s="360"/>
      <c r="DY402" s="360"/>
      <c r="DZ402" s="360"/>
      <c r="EA402" s="360"/>
      <c r="EB402" s="360"/>
      <c r="EC402" s="360"/>
      <c r="ED402" s="360"/>
      <c r="EE402" s="360"/>
      <c r="EF402" s="360"/>
      <c r="EG402" s="360"/>
      <c r="EH402" s="360"/>
      <c r="EI402" s="360"/>
      <c r="EJ402" s="360"/>
      <c r="EK402" s="360"/>
      <c r="EL402" s="360"/>
      <c r="EM402" s="360"/>
      <c r="EN402" s="360"/>
      <c r="EO402" s="360"/>
      <c r="EP402" s="360"/>
      <c r="EQ402" s="360"/>
    </row>
    <row r="403" spans="1:244" x14ac:dyDescent="0.35">
      <c r="A403" s="5" t="s">
        <v>1638</v>
      </c>
      <c r="B403" s="5" t="s">
        <v>740</v>
      </c>
      <c r="C403" s="5" t="s">
        <v>788</v>
      </c>
      <c r="D403" s="5" t="s">
        <v>503</v>
      </c>
      <c r="E403" s="5" t="s">
        <v>503</v>
      </c>
      <c r="F403" s="5" t="s">
        <v>503</v>
      </c>
      <c r="G403" s="47" t="s">
        <v>1639</v>
      </c>
      <c r="H403" s="47" t="s">
        <v>659</v>
      </c>
      <c r="I403" s="101">
        <f>21.242</f>
        <v>21.242000000000001</v>
      </c>
      <c r="J403" s="101">
        <f>I403</f>
        <v>21.242000000000001</v>
      </c>
      <c r="K403" s="101">
        <f t="shared" ref="K403:O403" si="330">J403</f>
        <v>21.242000000000001</v>
      </c>
      <c r="L403" s="101">
        <f t="shared" si="330"/>
        <v>21.242000000000001</v>
      </c>
      <c r="M403" s="101">
        <f t="shared" si="330"/>
        <v>21.242000000000001</v>
      </c>
      <c r="N403" s="101">
        <f t="shared" si="330"/>
        <v>21.242000000000001</v>
      </c>
      <c r="O403" s="101">
        <f t="shared" si="330"/>
        <v>21.242000000000001</v>
      </c>
      <c r="P403" s="93">
        <v>0</v>
      </c>
      <c r="Q403" s="101">
        <f>I403*0.05</f>
        <v>1.0621</v>
      </c>
      <c r="R403" s="101">
        <f t="shared" ref="R403:W403" si="331">J403*0.05</f>
        <v>1.0621</v>
      </c>
      <c r="S403" s="101">
        <f t="shared" si="331"/>
        <v>1.0621</v>
      </c>
      <c r="T403" s="101">
        <f t="shared" si="331"/>
        <v>1.0621</v>
      </c>
      <c r="U403" s="101">
        <f t="shared" si="331"/>
        <v>1.0621</v>
      </c>
      <c r="V403" s="101">
        <f t="shared" si="331"/>
        <v>1.0621</v>
      </c>
      <c r="W403" s="101">
        <f t="shared" si="331"/>
        <v>1.0621</v>
      </c>
      <c r="X403" s="101">
        <v>0</v>
      </c>
      <c r="Y403" s="101">
        <v>0</v>
      </c>
      <c r="Z403" s="101">
        <v>0</v>
      </c>
      <c r="AA403" s="101">
        <v>0</v>
      </c>
      <c r="AB403" s="101">
        <v>0</v>
      </c>
      <c r="AC403" s="101">
        <v>0</v>
      </c>
      <c r="AD403" s="101">
        <v>0</v>
      </c>
      <c r="AE403" s="186">
        <v>0.08</v>
      </c>
      <c r="AF403" s="93">
        <v>0</v>
      </c>
      <c r="AG403" s="94">
        <v>25</v>
      </c>
      <c r="AH403" s="94">
        <v>25</v>
      </c>
      <c r="AI403" s="16">
        <v>1</v>
      </c>
      <c r="AJ403" s="16" t="s">
        <v>660</v>
      </c>
      <c r="AK403" s="16" t="s">
        <v>745</v>
      </c>
      <c r="AL403" s="16"/>
      <c r="AM403" s="60"/>
      <c r="AN403" s="60"/>
      <c r="AO403" s="60"/>
      <c r="AP403" s="60"/>
      <c r="AQ403" s="60"/>
      <c r="AR403" s="60"/>
      <c r="AS403" s="63"/>
      <c r="AT403" s="63"/>
      <c r="AU403" s="63"/>
      <c r="AV403" s="131"/>
      <c r="AW403" s="131"/>
      <c r="AX403" s="131"/>
      <c r="AY403" s="27" t="s">
        <v>662</v>
      </c>
      <c r="AZ403" s="27"/>
      <c r="BA403" s="27"/>
      <c r="BB403" s="30"/>
      <c r="BC403" s="30"/>
      <c r="BD403" s="30"/>
      <c r="BE403" s="30"/>
      <c r="BF403" s="30"/>
      <c r="BG403" s="30"/>
      <c r="BH403" s="107"/>
      <c r="BI403" s="107"/>
      <c r="BJ403" s="107"/>
      <c r="BK403" s="107"/>
      <c r="BL403" s="136"/>
      <c r="BM403" s="122"/>
      <c r="BN403" s="138">
        <v>0</v>
      </c>
      <c r="BO403" s="93"/>
      <c r="BP403" s="93"/>
      <c r="BQ403" s="93"/>
      <c r="BR403" s="93"/>
      <c r="BS403" s="93"/>
      <c r="BT403" s="93"/>
      <c r="BU403" s="27">
        <f t="shared" si="289"/>
        <v>0</v>
      </c>
      <c r="BV403" s="27"/>
      <c r="BW403" s="27"/>
      <c r="BX403" s="27"/>
      <c r="BY403" s="27"/>
      <c r="BZ403" s="27"/>
      <c r="CA403" s="27"/>
      <c r="CB403" s="97"/>
      <c r="CC403" s="97"/>
      <c r="CD403" s="97"/>
      <c r="CE403" s="97"/>
      <c r="CF403" s="97"/>
      <c r="CG403" s="97"/>
      <c r="CH403" s="97"/>
      <c r="CI403" s="173"/>
      <c r="CJ403" s="173"/>
      <c r="CK403" s="173"/>
      <c r="CL403" s="173"/>
      <c r="CM403" s="173"/>
      <c r="CN403" s="173"/>
      <c r="CO403" s="173"/>
      <c r="CP403" s="174"/>
      <c r="CQ403" s="174"/>
      <c r="CR403" s="174"/>
      <c r="CS403" s="174"/>
      <c r="CT403" s="174"/>
      <c r="CU403" s="174"/>
      <c r="CV403" s="174"/>
      <c r="CW403" s="165"/>
      <c r="CX403" s="166"/>
      <c r="CY403" s="166"/>
      <c r="CZ403" s="166"/>
      <c r="DA403" s="166"/>
      <c r="DB403" s="166"/>
      <c r="DC403" s="166"/>
      <c r="DD403" s="171"/>
      <c r="DE403" s="171"/>
      <c r="DF403" s="171"/>
      <c r="DG403" s="171"/>
      <c r="DH403" s="171"/>
      <c r="DI403" s="171"/>
      <c r="DJ403" s="171"/>
      <c r="DK403" s="79" t="s">
        <v>1635</v>
      </c>
      <c r="DL403" s="128">
        <v>60</v>
      </c>
      <c r="DM403" s="128">
        <v>60</v>
      </c>
      <c r="DN403" s="128">
        <v>100</v>
      </c>
      <c r="DO403" s="128">
        <v>250</v>
      </c>
      <c r="DP403" s="128">
        <v>500</v>
      </c>
      <c r="DQ403" s="128">
        <v>500</v>
      </c>
      <c r="DR403" s="128">
        <v>500</v>
      </c>
      <c r="DS403" s="218"/>
      <c r="DT403" s="360"/>
      <c r="DU403" s="360"/>
      <c r="DV403" s="360"/>
      <c r="DW403" s="360"/>
      <c r="DX403" s="360"/>
      <c r="DY403" s="360"/>
      <c r="DZ403" s="360"/>
      <c r="EA403" s="360"/>
      <c r="EB403" s="360"/>
      <c r="EC403" s="360"/>
      <c r="ED403" s="360"/>
      <c r="EE403" s="360"/>
      <c r="EF403" s="360"/>
      <c r="EG403" s="360"/>
      <c r="EH403" s="360"/>
      <c r="EI403" s="360"/>
      <c r="EJ403" s="360"/>
      <c r="EK403" s="360"/>
      <c r="EL403" s="360"/>
      <c r="EM403" s="360"/>
      <c r="EN403" s="360"/>
      <c r="EO403" s="360"/>
      <c r="EP403" s="360"/>
      <c r="EQ403" s="360"/>
    </row>
    <row r="404" spans="1:244" s="310" customFormat="1" x14ac:dyDescent="0.35">
      <c r="A404" s="290" t="s">
        <v>1640</v>
      </c>
      <c r="B404" s="290" t="s">
        <v>740</v>
      </c>
      <c r="C404" s="290" t="s">
        <v>788</v>
      </c>
      <c r="D404" s="290" t="s">
        <v>503</v>
      </c>
      <c r="E404" s="290" t="s">
        <v>503</v>
      </c>
      <c r="F404" s="290" t="s">
        <v>503</v>
      </c>
      <c r="G404" s="291" t="s">
        <v>1641</v>
      </c>
      <c r="H404" s="291" t="s">
        <v>659</v>
      </c>
      <c r="I404" s="292">
        <f>I403</f>
        <v>21.242000000000001</v>
      </c>
      <c r="J404" s="292">
        <f>J403</f>
        <v>21.242000000000001</v>
      </c>
      <c r="K404" s="292">
        <f t="shared" ref="K404:O404" si="332">K403</f>
        <v>21.242000000000001</v>
      </c>
      <c r="L404" s="292">
        <f t="shared" si="332"/>
        <v>21.242000000000001</v>
      </c>
      <c r="M404" s="292">
        <f t="shared" si="332"/>
        <v>21.242000000000001</v>
      </c>
      <c r="N404" s="292">
        <f t="shared" si="332"/>
        <v>21.242000000000001</v>
      </c>
      <c r="O404" s="292">
        <f t="shared" si="332"/>
        <v>21.242000000000001</v>
      </c>
      <c r="P404" s="293">
        <v>0</v>
      </c>
      <c r="Q404" s="292">
        <f>Q403</f>
        <v>1.0621</v>
      </c>
      <c r="R404" s="292">
        <f t="shared" ref="R404:W404" si="333">R403</f>
        <v>1.0621</v>
      </c>
      <c r="S404" s="292">
        <f t="shared" si="333"/>
        <v>1.0621</v>
      </c>
      <c r="T404" s="292">
        <f t="shared" si="333"/>
        <v>1.0621</v>
      </c>
      <c r="U404" s="292">
        <f t="shared" si="333"/>
        <v>1.0621</v>
      </c>
      <c r="V404" s="292">
        <f t="shared" si="333"/>
        <v>1.0621</v>
      </c>
      <c r="W404" s="292">
        <f t="shared" si="333"/>
        <v>1.0621</v>
      </c>
      <c r="X404" s="292">
        <v>0</v>
      </c>
      <c r="Y404" s="292">
        <v>0</v>
      </c>
      <c r="Z404" s="292">
        <v>0</v>
      </c>
      <c r="AA404" s="292">
        <v>0</v>
      </c>
      <c r="AB404" s="292">
        <v>0</v>
      </c>
      <c r="AC404" s="292">
        <v>0</v>
      </c>
      <c r="AD404" s="292">
        <v>0</v>
      </c>
      <c r="AE404" s="186">
        <v>0.08</v>
      </c>
      <c r="AF404" s="293">
        <v>0</v>
      </c>
      <c r="AG404" s="94">
        <v>25</v>
      </c>
      <c r="AH404" s="94">
        <v>25</v>
      </c>
      <c r="AI404" s="294">
        <v>1</v>
      </c>
      <c r="AJ404" s="294" t="s">
        <v>660</v>
      </c>
      <c r="AK404" s="294" t="s">
        <v>745</v>
      </c>
      <c r="AL404" s="294"/>
      <c r="AM404" s="295"/>
      <c r="AN404" s="295"/>
      <c r="AO404" s="295"/>
      <c r="AP404" s="295"/>
      <c r="AQ404" s="295"/>
      <c r="AR404" s="295"/>
      <c r="AS404" s="296"/>
      <c r="AT404" s="296"/>
      <c r="AU404" s="296"/>
      <c r="AV404" s="297"/>
      <c r="AW404" s="297"/>
      <c r="AX404" s="297"/>
      <c r="AY404" s="298" t="s">
        <v>662</v>
      </c>
      <c r="AZ404" s="298"/>
      <c r="BA404" s="298"/>
      <c r="BB404" s="299"/>
      <c r="BC404" s="299"/>
      <c r="BD404" s="299"/>
      <c r="BE404" s="299"/>
      <c r="BF404" s="299"/>
      <c r="BG404" s="299"/>
      <c r="BH404" s="300"/>
      <c r="BI404" s="300"/>
      <c r="BJ404" s="300"/>
      <c r="BK404" s="300"/>
      <c r="BL404" s="301"/>
      <c r="BM404" s="302"/>
      <c r="BN404" s="303">
        <v>0</v>
      </c>
      <c r="BO404" s="293"/>
      <c r="BP404" s="293"/>
      <c r="BQ404" s="293"/>
      <c r="BR404" s="293"/>
      <c r="BS404" s="293"/>
      <c r="BT404" s="293"/>
      <c r="BU404" s="298">
        <f t="shared" ref="BU404" si="334">IF(BL404=1,BN404,0)</f>
        <v>0</v>
      </c>
      <c r="BV404" s="298"/>
      <c r="BW404" s="298"/>
      <c r="BX404" s="298"/>
      <c r="BY404" s="298"/>
      <c r="BZ404" s="298"/>
      <c r="CA404" s="298"/>
      <c r="CB404" s="304"/>
      <c r="CC404" s="304">
        <v>0</v>
      </c>
      <c r="CD404" s="304">
        <v>0</v>
      </c>
      <c r="CE404" s="304">
        <v>0</v>
      </c>
      <c r="CF404" s="304">
        <v>0</v>
      </c>
      <c r="CG404" s="304">
        <v>0</v>
      </c>
      <c r="CH404" s="304">
        <v>0</v>
      </c>
      <c r="CI404" s="298"/>
      <c r="CJ404" s="298"/>
      <c r="CK404" s="298"/>
      <c r="CL404" s="298"/>
      <c r="CM404" s="298"/>
      <c r="CN404" s="298"/>
      <c r="CO404" s="298"/>
      <c r="CP404" s="305"/>
      <c r="CQ404" s="305"/>
      <c r="CR404" s="305"/>
      <c r="CS404" s="305"/>
      <c r="CT404" s="305"/>
      <c r="CU404" s="305"/>
      <c r="CV404" s="305"/>
      <c r="CW404" s="306"/>
      <c r="CX404" s="307"/>
      <c r="CY404" s="307"/>
      <c r="CZ404" s="307"/>
      <c r="DA404" s="307"/>
      <c r="DB404" s="307"/>
      <c r="DC404" s="307"/>
      <c r="DD404" s="307"/>
      <c r="DE404" s="307"/>
      <c r="DF404" s="307"/>
      <c r="DG404" s="307"/>
      <c r="DH404" s="307"/>
      <c r="DI404" s="307"/>
      <c r="DJ404" s="307"/>
      <c r="DK404" s="308" t="s">
        <v>1635</v>
      </c>
      <c r="DL404" s="306">
        <v>60</v>
      </c>
      <c r="DM404" s="306">
        <v>60</v>
      </c>
      <c r="DN404" s="306">
        <v>100</v>
      </c>
      <c r="DO404" s="306">
        <v>250</v>
      </c>
      <c r="DP404" s="306">
        <v>500</v>
      </c>
      <c r="DQ404" s="306">
        <v>500</v>
      </c>
      <c r="DR404" s="306">
        <v>500</v>
      </c>
      <c r="DS404" s="309"/>
      <c r="DT404" s="360"/>
      <c r="DU404" s="360"/>
      <c r="DV404" s="360"/>
      <c r="DW404" s="360"/>
      <c r="DX404" s="360"/>
      <c r="DY404" s="360"/>
      <c r="DZ404" s="360"/>
      <c r="EA404" s="360"/>
      <c r="EB404" s="360"/>
      <c r="EC404" s="360"/>
      <c r="ED404" s="360"/>
      <c r="EE404" s="360"/>
      <c r="EF404" s="360"/>
      <c r="EG404" s="360"/>
      <c r="EH404" s="360"/>
      <c r="EI404" s="360"/>
      <c r="EJ404" s="360"/>
      <c r="EK404" s="360"/>
      <c r="EL404" s="360"/>
      <c r="EM404" s="360"/>
      <c r="EN404" s="360"/>
      <c r="EO404" s="360"/>
      <c r="EP404" s="360"/>
      <c r="EQ404" s="360"/>
      <c r="ER404" s="1"/>
      <c r="ES404" s="1"/>
      <c r="ET404" s="1"/>
      <c r="EU404" s="1"/>
      <c r="EV404" s="1"/>
      <c r="EW404" s="1"/>
      <c r="EX404" s="1"/>
      <c r="EY404" s="1"/>
      <c r="EZ404" s="1"/>
      <c r="FA404" s="1"/>
      <c r="FB404" s="1"/>
      <c r="FC404" s="1"/>
      <c r="FD404" s="1"/>
      <c r="FE404" s="1"/>
      <c r="FF404" s="1"/>
      <c r="FG404" s="1"/>
      <c r="FH404" s="1"/>
      <c r="FI404" s="1"/>
      <c r="FJ404" s="1"/>
      <c r="FK404" s="1"/>
      <c r="FL404" s="1"/>
      <c r="FM404" s="1"/>
      <c r="FN404" s="1"/>
      <c r="FO404" s="1"/>
      <c r="FP404" s="1"/>
      <c r="FQ404" s="1"/>
      <c r="FR404" s="1"/>
      <c r="FS404" s="1"/>
      <c r="FT404" s="1"/>
      <c r="FU404" s="1"/>
      <c r="FV404" s="1"/>
      <c r="FW404" s="1"/>
      <c r="FX404" s="1"/>
      <c r="FY404" s="1"/>
      <c r="FZ404" s="1"/>
      <c r="GA404" s="1"/>
      <c r="GB404" s="1"/>
      <c r="GC404" s="1"/>
      <c r="GD404" s="1"/>
      <c r="GE404" s="1"/>
      <c r="GF404" s="1"/>
      <c r="GG404" s="1"/>
      <c r="GH404" s="1"/>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row>
    <row r="405" spans="1:244" x14ac:dyDescent="0.35">
      <c r="A405" s="6" t="s">
        <v>1642</v>
      </c>
      <c r="B405" s="6" t="s">
        <v>740</v>
      </c>
      <c r="C405" s="6" t="s">
        <v>788</v>
      </c>
      <c r="D405" s="6" t="s">
        <v>503</v>
      </c>
      <c r="E405" s="6" t="s">
        <v>503</v>
      </c>
      <c r="F405" s="6" t="s">
        <v>503</v>
      </c>
      <c r="G405" s="48" t="s">
        <v>1643</v>
      </c>
      <c r="H405" s="48" t="s">
        <v>659</v>
      </c>
      <c r="I405" s="102">
        <v>53.582622209030234</v>
      </c>
      <c r="J405" s="102">
        <v>53.582622209030234</v>
      </c>
      <c r="K405" s="102">
        <v>53.582622209030234</v>
      </c>
      <c r="L405" s="102">
        <f>(M405+K405)/2</f>
        <v>49.907562099988837</v>
      </c>
      <c r="M405" s="102">
        <v>46.232501990947434</v>
      </c>
      <c r="N405" s="102">
        <f>(M405+O405)/2</f>
        <v>42.557431735857662</v>
      </c>
      <c r="O405" s="102">
        <v>38.882361480767884</v>
      </c>
      <c r="P405" s="94">
        <v>0</v>
      </c>
      <c r="Q405" s="102">
        <v>1.0716524441806048</v>
      </c>
      <c r="R405" s="102">
        <v>1.0716524441806048</v>
      </c>
      <c r="S405" s="102">
        <v>1.0716524441806048</v>
      </c>
      <c r="T405" s="102">
        <v>0.99815124199977678</v>
      </c>
      <c r="U405" s="102">
        <v>0.92465003981894867</v>
      </c>
      <c r="V405" s="102">
        <v>0.8511486347171533</v>
      </c>
      <c r="W405" s="102">
        <v>0.7776472296153577</v>
      </c>
      <c r="X405" s="102">
        <v>0</v>
      </c>
      <c r="Y405" s="102">
        <v>0</v>
      </c>
      <c r="Z405" s="102">
        <v>0</v>
      </c>
      <c r="AA405" s="102">
        <v>0</v>
      </c>
      <c r="AB405" s="102">
        <v>0</v>
      </c>
      <c r="AC405" s="102">
        <v>0</v>
      </c>
      <c r="AD405" s="102">
        <v>0</v>
      </c>
      <c r="AE405" s="186">
        <v>0.08</v>
      </c>
      <c r="AF405" s="94">
        <v>0</v>
      </c>
      <c r="AG405" s="94">
        <v>19</v>
      </c>
      <c r="AH405" s="94">
        <v>19</v>
      </c>
      <c r="AI405" s="17">
        <v>1</v>
      </c>
      <c r="AJ405" s="384" t="s">
        <v>660</v>
      </c>
      <c r="AK405" s="17" t="s">
        <v>745</v>
      </c>
      <c r="AL405" s="17"/>
      <c r="AM405" s="61"/>
      <c r="AN405" s="61"/>
      <c r="AO405" s="61"/>
      <c r="AP405" s="61"/>
      <c r="AQ405" s="61"/>
      <c r="AR405" s="61"/>
      <c r="AS405" s="64"/>
      <c r="AT405" s="64"/>
      <c r="AU405" s="64"/>
      <c r="AV405" s="132"/>
      <c r="AW405" s="132"/>
      <c r="AX405" s="132"/>
      <c r="AY405" s="298" t="s">
        <v>662</v>
      </c>
      <c r="AZ405" s="298"/>
      <c r="BA405" s="298"/>
      <c r="BB405" s="299"/>
      <c r="BC405" s="299"/>
      <c r="BD405" s="299"/>
      <c r="BE405" s="299"/>
      <c r="BF405" s="28"/>
      <c r="BG405" s="28"/>
      <c r="BH405" s="106"/>
      <c r="BI405" s="106"/>
      <c r="BJ405" s="106"/>
      <c r="BK405" s="106"/>
      <c r="BL405" s="137"/>
      <c r="BM405" s="123"/>
      <c r="BN405" s="139">
        <v>0</v>
      </c>
      <c r="BO405" s="94"/>
      <c r="BP405" s="94"/>
      <c r="BQ405" s="94"/>
      <c r="BR405" s="94"/>
      <c r="BS405" s="94"/>
      <c r="BT405" s="94"/>
      <c r="BU405" s="28">
        <f t="shared" si="289"/>
        <v>0</v>
      </c>
      <c r="BV405" s="28"/>
      <c r="BW405" s="28"/>
      <c r="BX405" s="28"/>
      <c r="BY405" s="28"/>
      <c r="BZ405" s="28"/>
      <c r="CA405" s="28"/>
      <c r="CB405" s="244">
        <v>0</v>
      </c>
      <c r="CC405" s="97">
        <v>50</v>
      </c>
      <c r="CD405" s="389">
        <v>250</v>
      </c>
      <c r="CE405" s="389">
        <v>250</v>
      </c>
      <c r="CF405" s="97">
        <v>250</v>
      </c>
      <c r="CG405" s="97">
        <v>500</v>
      </c>
      <c r="CH405" s="97">
        <v>1000</v>
      </c>
      <c r="CI405" s="175"/>
      <c r="CJ405" s="175"/>
      <c r="CK405" s="175"/>
      <c r="CL405" s="175"/>
      <c r="CM405" s="175"/>
      <c r="CN405" s="175"/>
      <c r="CO405" s="175"/>
      <c r="CP405" s="176"/>
      <c r="CQ405" s="176"/>
      <c r="CR405" s="176"/>
      <c r="CS405" s="176"/>
      <c r="CT405" s="176"/>
      <c r="CU405" s="176"/>
      <c r="CV405" s="176"/>
      <c r="CW405" s="167"/>
      <c r="CX405" s="168"/>
      <c r="CY405" s="168"/>
      <c r="CZ405" s="168"/>
      <c r="DA405" s="168"/>
      <c r="DB405" s="168"/>
      <c r="DC405" s="168"/>
      <c r="DD405" s="172"/>
      <c r="DE405" s="172"/>
      <c r="DF405" s="172"/>
      <c r="DG405" s="172"/>
      <c r="DH405" s="172"/>
      <c r="DI405" s="172"/>
      <c r="DJ405" s="172"/>
      <c r="DK405" s="80" t="s">
        <v>1635</v>
      </c>
      <c r="DL405" s="129">
        <v>60</v>
      </c>
      <c r="DM405" s="129">
        <v>60</v>
      </c>
      <c r="DN405" s="129">
        <v>100</v>
      </c>
      <c r="DO405" s="129">
        <v>200</v>
      </c>
      <c r="DP405" s="129">
        <v>300</v>
      </c>
      <c r="DQ405" s="129">
        <v>400</v>
      </c>
      <c r="DR405" s="129">
        <v>500</v>
      </c>
      <c r="DS405" s="218"/>
      <c r="DT405" s="360"/>
      <c r="DU405" s="360"/>
      <c r="DV405" s="360"/>
      <c r="DW405" s="360"/>
      <c r="DX405" s="360"/>
      <c r="DY405" s="360"/>
      <c r="DZ405" s="360"/>
      <c r="EA405" s="360"/>
      <c r="EB405" s="360"/>
      <c r="EC405" s="360"/>
      <c r="ED405" s="360"/>
      <c r="EE405" s="360"/>
      <c r="EF405" s="360"/>
      <c r="EG405" s="360"/>
      <c r="EH405" s="360"/>
      <c r="EI405" s="360"/>
      <c r="EJ405" s="360"/>
      <c r="EK405" s="360"/>
      <c r="EL405" s="360"/>
      <c r="EM405" s="360"/>
      <c r="EN405" s="360"/>
      <c r="EO405" s="360"/>
      <c r="EP405" s="360"/>
      <c r="EQ405" s="360"/>
    </row>
    <row r="406" spans="1:244" x14ac:dyDescent="0.35">
      <c r="A406" s="5" t="s">
        <v>1644</v>
      </c>
      <c r="B406" s="5" t="s">
        <v>740</v>
      </c>
      <c r="C406" s="5" t="s">
        <v>788</v>
      </c>
      <c r="D406" s="5" t="s">
        <v>503</v>
      </c>
      <c r="E406" s="5" t="s">
        <v>503</v>
      </c>
      <c r="F406" s="5" t="s">
        <v>503</v>
      </c>
      <c r="G406" s="47" t="s">
        <v>1645</v>
      </c>
      <c r="H406" s="47" t="s">
        <v>659</v>
      </c>
      <c r="I406" s="101">
        <v>53</v>
      </c>
      <c r="J406" s="101">
        <v>50</v>
      </c>
      <c r="K406" s="101">
        <v>47</v>
      </c>
      <c r="L406" s="101">
        <v>44</v>
      </c>
      <c r="M406" s="101">
        <v>41</v>
      </c>
      <c r="N406" s="101">
        <v>38</v>
      </c>
      <c r="O406" s="101">
        <v>35</v>
      </c>
      <c r="P406" s="93">
        <v>0</v>
      </c>
      <c r="Q406" s="101">
        <v>1.3</v>
      </c>
      <c r="R406" s="101">
        <v>1.2</v>
      </c>
      <c r="S406" s="101">
        <v>1.1000000000000001</v>
      </c>
      <c r="T406" s="101">
        <v>1</v>
      </c>
      <c r="U406" s="101">
        <v>0.9</v>
      </c>
      <c r="V406" s="101">
        <v>0.8</v>
      </c>
      <c r="W406" s="101">
        <v>0.7</v>
      </c>
      <c r="X406" s="101">
        <v>0</v>
      </c>
      <c r="Y406" s="101">
        <v>0</v>
      </c>
      <c r="Z406" s="101">
        <v>0</v>
      </c>
      <c r="AA406" s="101">
        <v>0</v>
      </c>
      <c r="AB406" s="101">
        <v>0</v>
      </c>
      <c r="AC406" s="101">
        <v>0</v>
      </c>
      <c r="AD406" s="101">
        <v>0</v>
      </c>
      <c r="AE406" s="186">
        <v>0.08</v>
      </c>
      <c r="AF406" s="93">
        <v>0</v>
      </c>
      <c r="AG406" s="94">
        <v>25</v>
      </c>
      <c r="AH406" s="94">
        <v>25</v>
      </c>
      <c r="AI406" s="16">
        <v>1</v>
      </c>
      <c r="AJ406" s="16" t="s">
        <v>765</v>
      </c>
      <c r="AK406" s="16" t="s">
        <v>745</v>
      </c>
      <c r="AL406" s="16"/>
      <c r="AM406" s="60"/>
      <c r="AN406" s="60"/>
      <c r="AO406" s="60"/>
      <c r="AP406" s="60"/>
      <c r="AQ406" s="60"/>
      <c r="AR406" s="60"/>
      <c r="AS406" s="63">
        <v>0.5</v>
      </c>
      <c r="AT406" s="63"/>
      <c r="AU406" s="63" t="s">
        <v>766</v>
      </c>
      <c r="AV406" s="131"/>
      <c r="AW406" s="131"/>
      <c r="AX406" s="131"/>
      <c r="AY406" s="298" t="s">
        <v>662</v>
      </c>
      <c r="AZ406" s="298"/>
      <c r="BA406" s="298"/>
      <c r="BB406" s="299"/>
      <c r="BC406" s="299"/>
      <c r="BD406" s="299"/>
      <c r="BE406" s="299"/>
      <c r="BF406" s="30"/>
      <c r="BG406" s="30"/>
      <c r="BH406" s="107"/>
      <c r="BI406" s="107"/>
      <c r="BJ406" s="107"/>
      <c r="BK406" s="107"/>
      <c r="BL406" s="136"/>
      <c r="BM406" s="122"/>
      <c r="BN406" s="138">
        <v>0</v>
      </c>
      <c r="BO406" s="93"/>
      <c r="BP406" s="93"/>
      <c r="BQ406" s="93"/>
      <c r="BR406" s="93"/>
      <c r="BS406" s="93"/>
      <c r="BT406" s="93"/>
      <c r="BU406" s="27">
        <f t="shared" si="289"/>
        <v>0</v>
      </c>
      <c r="BV406" s="27"/>
      <c r="BW406" s="27"/>
      <c r="BX406" s="27"/>
      <c r="BY406" s="27"/>
      <c r="BZ406" s="27"/>
      <c r="CA406" s="27"/>
      <c r="CB406" s="97">
        <v>0</v>
      </c>
      <c r="CC406" s="97">
        <v>0</v>
      </c>
      <c r="CD406" s="97">
        <v>0</v>
      </c>
      <c r="CE406" s="97">
        <v>0</v>
      </c>
      <c r="CF406" s="97">
        <v>0</v>
      </c>
      <c r="CG406" s="97">
        <v>0</v>
      </c>
      <c r="CH406" s="97"/>
      <c r="CI406" s="173"/>
      <c r="CJ406" s="173"/>
      <c r="CK406" s="173"/>
      <c r="CL406" s="173"/>
      <c r="CM406" s="173"/>
      <c r="CN406" s="173"/>
      <c r="CO406" s="173"/>
      <c r="CP406" s="174"/>
      <c r="CQ406" s="174"/>
      <c r="CR406" s="174"/>
      <c r="CS406" s="174"/>
      <c r="CT406" s="174"/>
      <c r="CU406" s="174"/>
      <c r="CV406" s="174"/>
      <c r="CW406" s="165"/>
      <c r="CX406" s="166"/>
      <c r="CY406" s="166"/>
      <c r="CZ406" s="166"/>
      <c r="DA406" s="166"/>
      <c r="DB406" s="166"/>
      <c r="DC406" s="166"/>
      <c r="DD406" s="171"/>
      <c r="DE406" s="171"/>
      <c r="DF406" s="171"/>
      <c r="DG406" s="171"/>
      <c r="DH406" s="171"/>
      <c r="DI406" s="171"/>
      <c r="DJ406" s="171"/>
      <c r="DK406" s="79" t="s">
        <v>1635</v>
      </c>
      <c r="DL406" s="128">
        <v>60</v>
      </c>
      <c r="DM406" s="128">
        <v>60</v>
      </c>
      <c r="DN406" s="128">
        <v>100</v>
      </c>
      <c r="DO406" s="128">
        <v>200</v>
      </c>
      <c r="DP406" s="128">
        <v>300</v>
      </c>
      <c r="DQ406" s="128">
        <v>400</v>
      </c>
      <c r="DR406" s="128">
        <v>500</v>
      </c>
      <c r="DS406" s="218"/>
      <c r="DT406" s="360"/>
      <c r="DU406" s="360"/>
      <c r="DV406" s="360"/>
      <c r="DW406" s="360"/>
      <c r="DX406" s="360"/>
      <c r="DY406" s="360"/>
      <c r="DZ406" s="360"/>
      <c r="EA406" s="360"/>
      <c r="EB406" s="360"/>
      <c r="EC406" s="360"/>
      <c r="ED406" s="360"/>
      <c r="EE406" s="360"/>
      <c r="EF406" s="360"/>
      <c r="EG406" s="360"/>
      <c r="EH406" s="360"/>
      <c r="EI406" s="360"/>
      <c r="EJ406" s="360"/>
      <c r="EK406" s="360"/>
      <c r="EL406" s="360"/>
      <c r="EM406" s="360"/>
      <c r="EN406" s="360"/>
      <c r="EO406" s="360"/>
      <c r="EP406" s="360"/>
      <c r="EQ406" s="360"/>
    </row>
    <row r="407" spans="1:244" x14ac:dyDescent="0.35">
      <c r="A407" s="225" t="s">
        <v>1646</v>
      </c>
      <c r="B407" s="225" t="s">
        <v>740</v>
      </c>
      <c r="C407" s="225" t="s">
        <v>817</v>
      </c>
      <c r="D407" s="225" t="s">
        <v>503</v>
      </c>
      <c r="E407" s="225" t="s">
        <v>1647</v>
      </c>
      <c r="F407" s="225" t="s">
        <v>503</v>
      </c>
      <c r="G407" s="229" t="s">
        <v>1648</v>
      </c>
      <c r="H407" s="226" t="s">
        <v>659</v>
      </c>
      <c r="I407" s="102"/>
      <c r="J407" s="102"/>
      <c r="K407" s="102"/>
      <c r="L407" s="102"/>
      <c r="M407" s="102"/>
      <c r="N407" s="102"/>
      <c r="O407" s="102"/>
      <c r="P407" s="94">
        <v>0</v>
      </c>
      <c r="Q407" s="102"/>
      <c r="R407" s="102"/>
      <c r="S407" s="102"/>
      <c r="T407" s="102"/>
      <c r="U407" s="102"/>
      <c r="V407" s="102"/>
      <c r="W407" s="102"/>
      <c r="X407" s="102">
        <v>31.366415313155031</v>
      </c>
      <c r="Y407" s="102">
        <v>27.801393832106587</v>
      </c>
      <c r="Z407" s="102">
        <v>24.234183313820747</v>
      </c>
      <c r="AA407" s="102">
        <v>23.765707630671759</v>
      </c>
      <c r="AB407" s="102">
        <v>23.298995620982019</v>
      </c>
      <c r="AC407" s="102">
        <v>22.832283611292276</v>
      </c>
      <c r="AD407" s="102">
        <v>22.370015366603763</v>
      </c>
      <c r="AE407" s="186">
        <v>0.08</v>
      </c>
      <c r="AF407" s="94">
        <v>0</v>
      </c>
      <c r="AG407" s="94">
        <v>1</v>
      </c>
      <c r="AH407" s="94">
        <v>1</v>
      </c>
      <c r="AI407" s="17">
        <v>1</v>
      </c>
      <c r="AJ407" s="17" t="s">
        <v>1569</v>
      </c>
      <c r="AK407" s="17" t="s">
        <v>745</v>
      </c>
      <c r="AL407" s="17"/>
      <c r="AM407" s="61"/>
      <c r="AN407" s="61"/>
      <c r="AO407" s="61"/>
      <c r="AP407" s="61"/>
      <c r="AQ407" s="61"/>
      <c r="AR407" s="61"/>
      <c r="AS407" s="64"/>
      <c r="AT407" s="64"/>
      <c r="AU407" s="64"/>
      <c r="AV407" s="132"/>
      <c r="AW407" s="132"/>
      <c r="AX407" s="132"/>
      <c r="AY407" s="298" t="s">
        <v>662</v>
      </c>
      <c r="AZ407" s="298"/>
      <c r="BA407" s="298"/>
      <c r="BB407" s="299"/>
      <c r="BC407" s="299"/>
      <c r="BD407" s="299"/>
      <c r="BE407" s="299"/>
      <c r="BF407" s="28"/>
      <c r="BG407" s="28"/>
      <c r="BH407" s="106"/>
      <c r="BI407" s="106"/>
      <c r="BJ407" s="106"/>
      <c r="BK407" s="106"/>
      <c r="BL407" s="137"/>
      <c r="BM407" s="123"/>
      <c r="BN407" s="139">
        <v>0</v>
      </c>
      <c r="BO407" s="94"/>
      <c r="BP407" s="94"/>
      <c r="BQ407" s="94"/>
      <c r="BR407" s="94"/>
      <c r="BS407" s="94"/>
      <c r="BT407" s="94"/>
      <c r="BU407" s="28">
        <f t="shared" ref="BU407" si="335">IF(BL407=1,BN407,0)</f>
        <v>0</v>
      </c>
      <c r="BV407" s="28"/>
      <c r="BW407" s="28"/>
      <c r="BX407" s="28"/>
      <c r="BY407" s="28"/>
      <c r="BZ407" s="28"/>
      <c r="CA407" s="28"/>
      <c r="CB407" s="99"/>
      <c r="CC407" s="99"/>
      <c r="CD407" s="99"/>
      <c r="CE407" s="99"/>
      <c r="CF407" s="99"/>
      <c r="CG407" s="99"/>
      <c r="CH407" s="185"/>
      <c r="CI407" s="175"/>
      <c r="CJ407" s="175"/>
      <c r="CK407" s="191"/>
      <c r="CL407" s="191"/>
      <c r="CM407" s="191"/>
      <c r="CN407" s="191"/>
      <c r="CO407" s="191"/>
      <c r="CP407" s="197"/>
      <c r="CQ407" s="197"/>
      <c r="CR407" s="197"/>
      <c r="CS407" s="197"/>
      <c r="CT407" s="197"/>
      <c r="CU407" s="197"/>
      <c r="CV407" s="197"/>
      <c r="CW407" s="167"/>
      <c r="CX407" s="168"/>
      <c r="CY407" s="168"/>
      <c r="CZ407" s="168"/>
      <c r="DA407" s="168"/>
      <c r="DB407" s="168"/>
      <c r="DC407" s="168"/>
      <c r="DD407" s="172"/>
      <c r="DE407" s="172"/>
      <c r="DF407" s="172"/>
      <c r="DG407" s="172"/>
      <c r="DH407" s="172"/>
      <c r="DI407" s="172"/>
      <c r="DJ407" s="172"/>
      <c r="DK407" s="80" t="s">
        <v>1635</v>
      </c>
      <c r="DL407" s="129">
        <v>60</v>
      </c>
      <c r="DM407" s="129">
        <v>60</v>
      </c>
      <c r="DN407" s="129">
        <v>100</v>
      </c>
      <c r="DO407" s="129">
        <v>200</v>
      </c>
      <c r="DP407" s="129">
        <v>300</v>
      </c>
      <c r="DQ407" s="129">
        <v>400</v>
      </c>
      <c r="DR407" s="129">
        <v>500</v>
      </c>
      <c r="DS407" s="218"/>
      <c r="DT407" s="360"/>
      <c r="DU407" s="360"/>
      <c r="DV407" s="360"/>
      <c r="DW407" s="360"/>
      <c r="DX407" s="360"/>
      <c r="DY407" s="360"/>
      <c r="DZ407" s="360"/>
      <c r="EA407" s="360"/>
      <c r="EB407" s="360"/>
      <c r="EC407" s="360"/>
      <c r="ED407" s="360"/>
      <c r="EE407" s="360"/>
      <c r="EF407" s="360"/>
      <c r="EG407" s="360"/>
      <c r="EH407" s="360"/>
      <c r="EI407" s="360"/>
      <c r="EJ407" s="360"/>
      <c r="EK407" s="360"/>
      <c r="EL407" s="360"/>
      <c r="EM407" s="360"/>
      <c r="EN407" s="360"/>
      <c r="EO407" s="360"/>
      <c r="EP407" s="360"/>
      <c r="EQ407" s="360"/>
    </row>
    <row r="408" spans="1:244" x14ac:dyDescent="0.35">
      <c r="A408" s="225" t="s">
        <v>1649</v>
      </c>
      <c r="B408" s="225" t="s">
        <v>740</v>
      </c>
      <c r="C408" s="225" t="s">
        <v>788</v>
      </c>
      <c r="D408" s="225" t="s">
        <v>503</v>
      </c>
      <c r="E408" s="225" t="s">
        <v>503</v>
      </c>
      <c r="F408" s="225" t="s">
        <v>503</v>
      </c>
      <c r="G408" s="229" t="s">
        <v>1650</v>
      </c>
      <c r="H408" s="226" t="s">
        <v>659</v>
      </c>
      <c r="I408" s="102">
        <v>41.950389801793669</v>
      </c>
      <c r="J408" s="102">
        <v>41.950389801793669</v>
      </c>
      <c r="K408" s="102">
        <v>41.950389801793669</v>
      </c>
      <c r="L408" s="102">
        <v>41.950389801793669</v>
      </c>
      <c r="M408" s="102">
        <v>41.950389801793669</v>
      </c>
      <c r="N408" s="102">
        <v>41.950389801793669</v>
      </c>
      <c r="O408" s="102">
        <v>41.950389801793669</v>
      </c>
      <c r="P408" s="94"/>
      <c r="Q408" s="102">
        <v>1.6360652022699531</v>
      </c>
      <c r="R408" s="102">
        <v>1.6360652022699531</v>
      </c>
      <c r="S408" s="102">
        <v>1.6360652022699531</v>
      </c>
      <c r="T408" s="102">
        <v>1.6360652022699531</v>
      </c>
      <c r="U408" s="102">
        <v>1.6360652022699531</v>
      </c>
      <c r="V408" s="102">
        <v>1.6360652022699531</v>
      </c>
      <c r="W408" s="102">
        <v>1.6360652022699531</v>
      </c>
      <c r="X408" s="102">
        <v>0</v>
      </c>
      <c r="Y408" s="102">
        <v>0</v>
      </c>
      <c r="Z408" s="102">
        <v>0</v>
      </c>
      <c r="AA408" s="102">
        <v>0</v>
      </c>
      <c r="AB408" s="102">
        <v>0</v>
      </c>
      <c r="AC408" s="102">
        <v>0</v>
      </c>
      <c r="AD408" s="102">
        <v>0</v>
      </c>
      <c r="AE408" s="186">
        <v>0.08</v>
      </c>
      <c r="AF408" s="94"/>
      <c r="AG408" s="94">
        <v>25</v>
      </c>
      <c r="AH408" s="94">
        <v>25</v>
      </c>
      <c r="AI408" s="17">
        <v>1</v>
      </c>
      <c r="AJ408" s="17" t="s">
        <v>660</v>
      </c>
      <c r="AK408" s="17" t="s">
        <v>745</v>
      </c>
      <c r="AL408" s="17"/>
      <c r="AM408" s="61"/>
      <c r="AN408" s="61"/>
      <c r="AO408" s="61"/>
      <c r="AP408" s="61"/>
      <c r="AQ408" s="61"/>
      <c r="AR408" s="61"/>
      <c r="AS408" s="64"/>
      <c r="AT408" s="64"/>
      <c r="AU408" s="64"/>
      <c r="AV408" s="132"/>
      <c r="AW408" s="132"/>
      <c r="AX408" s="132"/>
      <c r="AY408" s="298" t="s">
        <v>662</v>
      </c>
      <c r="AZ408" s="298"/>
      <c r="BA408" s="298"/>
      <c r="BB408" s="299"/>
      <c r="BC408" s="299"/>
      <c r="BD408" s="299"/>
      <c r="BE408" s="299"/>
      <c r="BF408" s="28"/>
      <c r="BG408" s="28"/>
      <c r="BH408" s="106"/>
      <c r="BI408" s="106"/>
      <c r="BJ408" s="106"/>
      <c r="BK408" s="106"/>
      <c r="BL408" s="137"/>
      <c r="BM408" s="123"/>
      <c r="BN408" s="139">
        <v>0</v>
      </c>
      <c r="BO408" s="94"/>
      <c r="BP408" s="94"/>
      <c r="BQ408" s="94"/>
      <c r="BR408" s="94"/>
      <c r="BS408" s="94"/>
      <c r="BT408" s="94"/>
      <c r="BU408" s="28">
        <v>0</v>
      </c>
      <c r="BV408" s="28"/>
      <c r="BW408" s="28"/>
      <c r="BX408" s="28"/>
      <c r="BY408" s="28"/>
      <c r="BZ408" s="28"/>
      <c r="CA408" s="28"/>
      <c r="CB408" s="99"/>
      <c r="CC408" s="99">
        <f>CC401</f>
        <v>60</v>
      </c>
      <c r="CD408" s="389">
        <v>250</v>
      </c>
      <c r="CE408" s="389">
        <v>250</v>
      </c>
      <c r="CF408" s="99">
        <f t="shared" ref="CF408:CH408" si="336">CF401</f>
        <v>250</v>
      </c>
      <c r="CG408" s="99">
        <f t="shared" si="336"/>
        <v>500</v>
      </c>
      <c r="CH408" s="99">
        <f t="shared" si="336"/>
        <v>500</v>
      </c>
      <c r="CI408" s="175"/>
      <c r="CJ408" s="175"/>
      <c r="CK408" s="191"/>
      <c r="CL408" s="191"/>
      <c r="CM408" s="191"/>
      <c r="CN408" s="191"/>
      <c r="CO408" s="191"/>
      <c r="CP408" s="197"/>
      <c r="CQ408" s="197"/>
      <c r="CR408" s="197"/>
      <c r="CS408" s="197"/>
      <c r="CT408" s="197"/>
      <c r="CU408" s="197"/>
      <c r="CV408" s="197"/>
      <c r="CW408" s="167"/>
      <c r="CX408" s="168"/>
      <c r="CY408" s="168"/>
      <c r="CZ408" s="168"/>
      <c r="DA408" s="168"/>
      <c r="DB408" s="168"/>
      <c r="DC408" s="168"/>
      <c r="DD408" s="172"/>
      <c r="DE408" s="172"/>
      <c r="DF408" s="172"/>
      <c r="DG408" s="172"/>
      <c r="DH408" s="172"/>
      <c r="DI408" s="172"/>
      <c r="DJ408" s="172"/>
      <c r="DK408" s="80" t="s">
        <v>792</v>
      </c>
      <c r="DL408" s="129"/>
      <c r="DM408" s="129"/>
      <c r="DN408" s="129"/>
      <c r="DO408" s="129"/>
      <c r="DP408" s="129"/>
      <c r="DQ408" s="129"/>
      <c r="DR408" s="129"/>
      <c r="DS408" s="218"/>
      <c r="DT408" s="360"/>
      <c r="DU408" s="360"/>
      <c r="DV408" s="360"/>
      <c r="DW408" s="360"/>
      <c r="DX408" s="360"/>
      <c r="DY408" s="360"/>
      <c r="DZ408" s="360"/>
      <c r="EA408" s="360"/>
      <c r="EB408" s="360"/>
      <c r="EC408" s="360"/>
      <c r="ED408" s="360"/>
      <c r="EE408" s="360"/>
      <c r="EF408" s="360"/>
      <c r="EG408" s="360"/>
      <c r="EH408" s="360"/>
      <c r="EI408" s="360"/>
      <c r="EJ408" s="360"/>
      <c r="EK408" s="360"/>
      <c r="EL408" s="360"/>
      <c r="EM408" s="360"/>
      <c r="EN408" s="360"/>
      <c r="EO408" s="360"/>
      <c r="EP408" s="360"/>
      <c r="EQ408" s="360"/>
    </row>
    <row r="409" spans="1:244" x14ac:dyDescent="0.35">
      <c r="A409" s="5" t="s">
        <v>1651</v>
      </c>
      <c r="B409" s="5" t="s">
        <v>740</v>
      </c>
      <c r="C409" s="5" t="s">
        <v>788</v>
      </c>
      <c r="D409" s="5" t="s">
        <v>1652</v>
      </c>
      <c r="E409" s="5" t="s">
        <v>1500</v>
      </c>
      <c r="F409" s="5" t="s">
        <v>504</v>
      </c>
      <c r="G409" s="47" t="s">
        <v>1653</v>
      </c>
      <c r="H409" s="47" t="s">
        <v>659</v>
      </c>
      <c r="I409" s="101">
        <v>0</v>
      </c>
      <c r="J409" s="101">
        <v>0</v>
      </c>
      <c r="K409" s="101">
        <v>0</v>
      </c>
      <c r="L409" s="101">
        <v>0</v>
      </c>
      <c r="M409" s="101">
        <v>0</v>
      </c>
      <c r="N409" s="101">
        <v>0</v>
      </c>
      <c r="O409" s="101">
        <v>0</v>
      </c>
      <c r="P409" s="93">
        <v>0</v>
      </c>
      <c r="Q409" s="101">
        <v>0</v>
      </c>
      <c r="R409" s="101">
        <v>0</v>
      </c>
      <c r="S409" s="101">
        <v>0</v>
      </c>
      <c r="T409" s="101">
        <v>0</v>
      </c>
      <c r="U409" s="101">
        <v>0</v>
      </c>
      <c r="V409" s="101">
        <v>0</v>
      </c>
      <c r="W409" s="101">
        <v>0</v>
      </c>
      <c r="X409" s="101">
        <v>0</v>
      </c>
      <c r="Y409" s="101">
        <v>0</v>
      </c>
      <c r="Z409" s="101">
        <v>0</v>
      </c>
      <c r="AA409" s="101">
        <v>0</v>
      </c>
      <c r="AB409" s="101">
        <v>0</v>
      </c>
      <c r="AC409" s="101">
        <v>0</v>
      </c>
      <c r="AD409" s="101">
        <v>0</v>
      </c>
      <c r="AE409" s="186">
        <v>0.08</v>
      </c>
      <c r="AF409" s="93">
        <v>0</v>
      </c>
      <c r="AG409" s="93">
        <v>1</v>
      </c>
      <c r="AH409" s="93">
        <v>1</v>
      </c>
      <c r="AI409" s="16">
        <v>1</v>
      </c>
      <c r="AJ409" s="16" t="s">
        <v>660</v>
      </c>
      <c r="AK409" s="16" t="s">
        <v>745</v>
      </c>
      <c r="AL409" s="16"/>
      <c r="AM409" s="60"/>
      <c r="AN409" s="60"/>
      <c r="AO409" s="60"/>
      <c r="AP409" s="60"/>
      <c r="AQ409" s="60"/>
      <c r="AR409" s="60"/>
      <c r="AS409" s="63"/>
      <c r="AT409" s="63"/>
      <c r="AU409" s="63"/>
      <c r="AV409" s="131"/>
      <c r="AW409" s="131"/>
      <c r="AX409" s="131"/>
      <c r="AY409" s="27" t="s">
        <v>662</v>
      </c>
      <c r="AZ409" s="27"/>
      <c r="BA409" s="27"/>
      <c r="BB409" s="30"/>
      <c r="BC409" s="30"/>
      <c r="BD409" s="30"/>
      <c r="BE409" s="30"/>
      <c r="BF409" s="30"/>
      <c r="BG409" s="30"/>
      <c r="BH409" s="107"/>
      <c r="BI409" s="107"/>
      <c r="BJ409" s="107"/>
      <c r="BK409" s="107"/>
      <c r="BL409" s="136"/>
      <c r="BM409" s="122"/>
      <c r="BN409" s="138"/>
      <c r="BO409" s="93"/>
      <c r="BP409" s="93"/>
      <c r="BQ409" s="93"/>
      <c r="BR409" s="93"/>
      <c r="BS409" s="93"/>
      <c r="BT409" s="93"/>
      <c r="BU409" s="27">
        <f t="shared" si="289"/>
        <v>0</v>
      </c>
      <c r="BV409" s="27"/>
      <c r="BW409" s="27"/>
      <c r="BX409" s="27"/>
      <c r="BY409" s="27"/>
      <c r="BZ409" s="27"/>
      <c r="CA409" s="27"/>
      <c r="CB409" s="97">
        <v>1000</v>
      </c>
      <c r="CC409" s="97">
        <v>1000</v>
      </c>
      <c r="CD409" s="97">
        <v>1000</v>
      </c>
      <c r="CE409" s="97">
        <v>1000</v>
      </c>
      <c r="CF409" s="97">
        <v>1000</v>
      </c>
      <c r="CG409" s="97">
        <v>1000</v>
      </c>
      <c r="CH409" s="97">
        <v>1000</v>
      </c>
      <c r="CI409" s="173"/>
      <c r="CJ409" s="173"/>
      <c r="CK409" s="173"/>
      <c r="CL409" s="173"/>
      <c r="CM409" s="173"/>
      <c r="CN409" s="173"/>
      <c r="CO409" s="173"/>
      <c r="CP409" s="174"/>
      <c r="CQ409" s="174"/>
      <c r="CR409" s="174"/>
      <c r="CS409" s="174"/>
      <c r="CT409" s="174"/>
      <c r="CU409" s="174"/>
      <c r="CV409" s="174"/>
      <c r="CW409" s="165"/>
      <c r="CX409" s="166"/>
      <c r="CY409" s="166"/>
      <c r="CZ409" s="166"/>
      <c r="DA409" s="166"/>
      <c r="DB409" s="166"/>
      <c r="DC409" s="166"/>
      <c r="DD409" s="171"/>
      <c r="DE409" s="171"/>
      <c r="DF409" s="171"/>
      <c r="DG409" s="171"/>
      <c r="DH409" s="171"/>
      <c r="DI409" s="171"/>
      <c r="DJ409" s="171"/>
      <c r="DK409" s="79" t="s">
        <v>415</v>
      </c>
      <c r="DL409" s="128">
        <v>1000</v>
      </c>
      <c r="DM409" s="128">
        <v>1000</v>
      </c>
      <c r="DN409" s="128">
        <v>1000</v>
      </c>
      <c r="DO409" s="128">
        <v>1000</v>
      </c>
      <c r="DP409" s="128">
        <v>1000</v>
      </c>
      <c r="DQ409" s="128">
        <v>1000</v>
      </c>
      <c r="DR409" s="128">
        <v>1000</v>
      </c>
      <c r="DS409" s="218"/>
      <c r="DT409" s="360"/>
      <c r="DU409" s="360"/>
      <c r="DV409" s="360"/>
      <c r="DW409" s="360"/>
      <c r="DX409" s="360"/>
      <c r="DY409" s="360"/>
      <c r="DZ409" s="360"/>
      <c r="EA409" s="360"/>
      <c r="EB409" s="360"/>
      <c r="EC409" s="360"/>
      <c r="ED409" s="360"/>
      <c r="EE409" s="360"/>
      <c r="EF409" s="360"/>
      <c r="EG409" s="360"/>
      <c r="EH409" s="360"/>
      <c r="EI409" s="360"/>
      <c r="EJ409" s="360"/>
      <c r="EK409" s="360"/>
      <c r="EL409" s="360"/>
      <c r="EM409" s="360"/>
      <c r="EN409" s="360"/>
      <c r="EO409" s="360"/>
      <c r="EP409" s="360"/>
      <c r="EQ409" s="360"/>
    </row>
    <row r="410" spans="1:244" x14ac:dyDescent="0.35">
      <c r="A410" s="6" t="s">
        <v>1654</v>
      </c>
      <c r="B410" s="6" t="s">
        <v>740</v>
      </c>
      <c r="C410" s="6" t="s">
        <v>788</v>
      </c>
      <c r="D410" s="6" t="s">
        <v>1652</v>
      </c>
      <c r="E410" s="6" t="s">
        <v>1500</v>
      </c>
      <c r="F410" s="6" t="s">
        <v>504</v>
      </c>
      <c r="G410" s="48" t="s">
        <v>1655</v>
      </c>
      <c r="H410" s="48" t="s">
        <v>659</v>
      </c>
      <c r="I410" s="102">
        <v>0</v>
      </c>
      <c r="J410" s="102">
        <v>0</v>
      </c>
      <c r="K410" s="102">
        <v>0</v>
      </c>
      <c r="L410" s="102">
        <v>0</v>
      </c>
      <c r="M410" s="102">
        <v>0</v>
      </c>
      <c r="N410" s="102">
        <v>0</v>
      </c>
      <c r="O410" s="102">
        <v>0</v>
      </c>
      <c r="P410" s="93">
        <v>0</v>
      </c>
      <c r="Q410" s="102">
        <v>0</v>
      </c>
      <c r="R410" s="102">
        <v>0</v>
      </c>
      <c r="S410" s="102">
        <v>0</v>
      </c>
      <c r="T410" s="102">
        <v>0</v>
      </c>
      <c r="U410" s="102">
        <v>0</v>
      </c>
      <c r="V410" s="102">
        <v>0</v>
      </c>
      <c r="W410" s="102">
        <v>0</v>
      </c>
      <c r="X410" s="102">
        <v>0</v>
      </c>
      <c r="Y410" s="102">
        <v>0</v>
      </c>
      <c r="Z410" s="102">
        <v>0</v>
      </c>
      <c r="AA410" s="102">
        <v>0</v>
      </c>
      <c r="AB410" s="102">
        <v>0</v>
      </c>
      <c r="AC410" s="102">
        <v>0</v>
      </c>
      <c r="AD410" s="102">
        <v>0</v>
      </c>
      <c r="AE410" s="186">
        <v>0.08</v>
      </c>
      <c r="AF410" s="94">
        <v>0</v>
      </c>
      <c r="AG410" s="94">
        <v>1</v>
      </c>
      <c r="AH410" s="94">
        <v>1</v>
      </c>
      <c r="AI410" s="17">
        <v>1</v>
      </c>
      <c r="AJ410" s="17" t="s">
        <v>660</v>
      </c>
      <c r="AK410" s="17" t="s">
        <v>745</v>
      </c>
      <c r="AL410" s="17"/>
      <c r="AM410" s="61"/>
      <c r="AN410" s="61"/>
      <c r="AO410" s="61"/>
      <c r="AP410" s="61"/>
      <c r="AQ410" s="61"/>
      <c r="AR410" s="61"/>
      <c r="AS410" s="64"/>
      <c r="AT410" s="64"/>
      <c r="AU410" s="64"/>
      <c r="AV410" s="132"/>
      <c r="AW410" s="132"/>
      <c r="AX410" s="132"/>
      <c r="AY410" s="28" t="s">
        <v>662</v>
      </c>
      <c r="AZ410" s="28"/>
      <c r="BA410" s="28"/>
      <c r="BB410" s="28"/>
      <c r="BC410" s="28"/>
      <c r="BD410" s="28"/>
      <c r="BE410" s="28"/>
      <c r="BF410" s="28"/>
      <c r="BG410" s="28"/>
      <c r="BH410" s="106"/>
      <c r="BI410" s="106"/>
      <c r="BJ410" s="106"/>
      <c r="BK410" s="106"/>
      <c r="BL410" s="137"/>
      <c r="BM410" s="123"/>
      <c r="BN410" s="139"/>
      <c r="BO410" s="94"/>
      <c r="BP410" s="94"/>
      <c r="BQ410" s="94"/>
      <c r="BR410" s="94"/>
      <c r="BS410" s="94"/>
      <c r="BT410" s="94"/>
      <c r="BU410" s="28">
        <f t="shared" si="289"/>
        <v>0</v>
      </c>
      <c r="BV410" s="28"/>
      <c r="BW410" s="28"/>
      <c r="BX410" s="28"/>
      <c r="BY410" s="28"/>
      <c r="BZ410" s="28"/>
      <c r="CA410" s="28"/>
      <c r="CB410" s="99">
        <v>1000</v>
      </c>
      <c r="CC410" s="99">
        <v>1000</v>
      </c>
      <c r="CD410" s="99">
        <v>1000</v>
      </c>
      <c r="CE410" s="99">
        <v>1000</v>
      </c>
      <c r="CF410" s="99">
        <v>1000</v>
      </c>
      <c r="CG410" s="99">
        <v>1000</v>
      </c>
      <c r="CH410" s="99">
        <v>1000</v>
      </c>
      <c r="CI410" s="175"/>
      <c r="CJ410" s="175"/>
      <c r="CK410" s="175"/>
      <c r="CL410" s="175"/>
      <c r="CM410" s="175"/>
      <c r="CN410" s="175"/>
      <c r="CO410" s="175"/>
      <c r="CP410" s="176"/>
      <c r="CQ410" s="176"/>
      <c r="CR410" s="176"/>
      <c r="CS410" s="176"/>
      <c r="CT410" s="176"/>
      <c r="CU410" s="176"/>
      <c r="CV410" s="176"/>
      <c r="CW410" s="167"/>
      <c r="CX410" s="168"/>
      <c r="CY410" s="168"/>
      <c r="CZ410" s="168"/>
      <c r="DA410" s="168"/>
      <c r="DB410" s="168"/>
      <c r="DC410" s="168"/>
      <c r="DD410" s="172"/>
      <c r="DE410" s="172"/>
      <c r="DF410" s="172"/>
      <c r="DG410" s="172"/>
      <c r="DH410" s="172"/>
      <c r="DI410" s="172"/>
      <c r="DJ410" s="172"/>
      <c r="DK410" s="80" t="s">
        <v>415</v>
      </c>
      <c r="DL410" s="129">
        <v>1000</v>
      </c>
      <c r="DM410" s="129">
        <v>1000</v>
      </c>
      <c r="DN410" s="129">
        <v>1000</v>
      </c>
      <c r="DO410" s="129">
        <v>1000</v>
      </c>
      <c r="DP410" s="129">
        <v>1000</v>
      </c>
      <c r="DQ410" s="129">
        <v>1000</v>
      </c>
      <c r="DR410" s="129">
        <v>1000</v>
      </c>
      <c r="DS410" s="218"/>
      <c r="DT410" s="360"/>
      <c r="DU410" s="360"/>
      <c r="DV410" s="360"/>
      <c r="DW410" s="360"/>
      <c r="DX410" s="360"/>
      <c r="DY410" s="360"/>
      <c r="DZ410" s="360"/>
      <c r="EA410" s="360"/>
      <c r="EB410" s="360"/>
      <c r="EC410" s="360"/>
      <c r="ED410" s="360"/>
      <c r="EE410" s="360"/>
      <c r="EF410" s="360"/>
      <c r="EG410" s="360"/>
      <c r="EH410" s="360"/>
      <c r="EI410" s="360"/>
      <c r="EJ410" s="360"/>
      <c r="EK410" s="360"/>
      <c r="EL410" s="360"/>
      <c r="EM410" s="360"/>
      <c r="EN410" s="360"/>
      <c r="EO410" s="360"/>
      <c r="EP410" s="360"/>
      <c r="EQ410" s="360"/>
    </row>
    <row r="411" spans="1:244" x14ac:dyDescent="0.35">
      <c r="A411" s="5" t="s">
        <v>1656</v>
      </c>
      <c r="B411" s="5" t="s">
        <v>740</v>
      </c>
      <c r="C411" s="5" t="s">
        <v>788</v>
      </c>
      <c r="D411" s="5" t="s">
        <v>1652</v>
      </c>
      <c r="E411" s="5" t="s">
        <v>1500</v>
      </c>
      <c r="F411" s="5" t="s">
        <v>504</v>
      </c>
      <c r="G411" s="47" t="s">
        <v>1657</v>
      </c>
      <c r="H411" s="47" t="s">
        <v>659</v>
      </c>
      <c r="I411" s="101">
        <v>0</v>
      </c>
      <c r="J411" s="101">
        <v>0</v>
      </c>
      <c r="K411" s="101">
        <v>0</v>
      </c>
      <c r="L411" s="101">
        <v>0</v>
      </c>
      <c r="M411" s="101">
        <v>0</v>
      </c>
      <c r="N411" s="101">
        <v>0</v>
      </c>
      <c r="O411" s="101">
        <v>0</v>
      </c>
      <c r="P411" s="93">
        <v>0</v>
      </c>
      <c r="Q411" s="101">
        <v>0</v>
      </c>
      <c r="R411" s="101">
        <v>0</v>
      </c>
      <c r="S411" s="101">
        <v>0</v>
      </c>
      <c r="T411" s="101">
        <v>0</v>
      </c>
      <c r="U411" s="101">
        <v>0</v>
      </c>
      <c r="V411" s="101">
        <v>0</v>
      </c>
      <c r="W411" s="101">
        <v>0</v>
      </c>
      <c r="X411" s="101">
        <v>0</v>
      </c>
      <c r="Y411" s="101">
        <v>0</v>
      </c>
      <c r="Z411" s="101">
        <v>0</v>
      </c>
      <c r="AA411" s="101">
        <v>0</v>
      </c>
      <c r="AB411" s="101">
        <v>0</v>
      </c>
      <c r="AC411" s="101">
        <v>0</v>
      </c>
      <c r="AD411" s="101">
        <v>0</v>
      </c>
      <c r="AE411" s="186">
        <v>0.08</v>
      </c>
      <c r="AF411" s="93">
        <v>0</v>
      </c>
      <c r="AG411" s="93">
        <v>1</v>
      </c>
      <c r="AH411" s="93">
        <v>1</v>
      </c>
      <c r="AI411" s="16">
        <v>1</v>
      </c>
      <c r="AJ411" s="16" t="s">
        <v>660</v>
      </c>
      <c r="AK411" s="16" t="s">
        <v>745</v>
      </c>
      <c r="AL411" s="16"/>
      <c r="AM411" s="60"/>
      <c r="AN411" s="60"/>
      <c r="AO411" s="60"/>
      <c r="AP411" s="60"/>
      <c r="AQ411" s="60"/>
      <c r="AR411" s="60"/>
      <c r="AS411" s="63"/>
      <c r="AT411" s="63"/>
      <c r="AU411" s="63"/>
      <c r="AV411" s="131"/>
      <c r="AW411" s="131"/>
      <c r="AX411" s="131"/>
      <c r="AY411" s="27" t="s">
        <v>662</v>
      </c>
      <c r="AZ411" s="27"/>
      <c r="BA411" s="27"/>
      <c r="BB411" s="30"/>
      <c r="BC411" s="30"/>
      <c r="BD411" s="30"/>
      <c r="BE411" s="30"/>
      <c r="BF411" s="30"/>
      <c r="BG411" s="30"/>
      <c r="BH411" s="107"/>
      <c r="BI411" s="107"/>
      <c r="BJ411" s="107"/>
      <c r="BK411" s="107"/>
      <c r="BL411" s="136"/>
      <c r="BM411" s="122"/>
      <c r="BN411" s="138"/>
      <c r="BO411" s="93"/>
      <c r="BP411" s="93"/>
      <c r="BQ411" s="93"/>
      <c r="BR411" s="93"/>
      <c r="BS411" s="93"/>
      <c r="BT411" s="93"/>
      <c r="BU411" s="27">
        <f t="shared" si="289"/>
        <v>0</v>
      </c>
      <c r="BV411" s="27"/>
      <c r="BW411" s="27"/>
      <c r="BX411" s="27"/>
      <c r="BY411" s="27"/>
      <c r="BZ411" s="27"/>
      <c r="CA411" s="27"/>
      <c r="CB411" s="97">
        <v>1000</v>
      </c>
      <c r="CC411" s="97">
        <v>1000</v>
      </c>
      <c r="CD411" s="97">
        <v>1000</v>
      </c>
      <c r="CE411" s="97">
        <v>1000</v>
      </c>
      <c r="CF411" s="97">
        <v>1000</v>
      </c>
      <c r="CG411" s="97">
        <v>1000</v>
      </c>
      <c r="CH411" s="97">
        <v>1000</v>
      </c>
      <c r="CI411" s="173"/>
      <c r="CJ411" s="173"/>
      <c r="CK411" s="173"/>
      <c r="CL411" s="173"/>
      <c r="CM411" s="173"/>
      <c r="CN411" s="173"/>
      <c r="CO411" s="173"/>
      <c r="CP411" s="174"/>
      <c r="CQ411" s="174"/>
      <c r="CR411" s="174"/>
      <c r="CS411" s="174"/>
      <c r="CT411" s="174"/>
      <c r="CU411" s="174"/>
      <c r="CV411" s="174"/>
      <c r="CW411" s="165"/>
      <c r="CX411" s="166"/>
      <c r="CY411" s="166"/>
      <c r="CZ411" s="166"/>
      <c r="DA411" s="166"/>
      <c r="DB411" s="166"/>
      <c r="DC411" s="166"/>
      <c r="DD411" s="171"/>
      <c r="DE411" s="171"/>
      <c r="DF411" s="171"/>
      <c r="DG411" s="171"/>
      <c r="DH411" s="171"/>
      <c r="DI411" s="171"/>
      <c r="DJ411" s="171"/>
      <c r="DK411" s="79" t="s">
        <v>415</v>
      </c>
      <c r="DL411" s="128">
        <v>1000</v>
      </c>
      <c r="DM411" s="128">
        <v>1000</v>
      </c>
      <c r="DN411" s="128">
        <v>1000</v>
      </c>
      <c r="DO411" s="128">
        <v>1000</v>
      </c>
      <c r="DP411" s="128">
        <v>1000</v>
      </c>
      <c r="DQ411" s="128">
        <v>1000</v>
      </c>
      <c r="DR411" s="128">
        <v>1000</v>
      </c>
      <c r="DS411" s="218"/>
      <c r="DT411" s="360"/>
      <c r="DU411" s="360"/>
      <c r="DV411" s="360"/>
      <c r="DW411" s="360"/>
      <c r="DX411" s="360"/>
      <c r="DY411" s="360"/>
      <c r="DZ411" s="360"/>
      <c r="EA411" s="360"/>
      <c r="EB411" s="360"/>
      <c r="EC411" s="360"/>
      <c r="ED411" s="360"/>
      <c r="EE411" s="360"/>
      <c r="EF411" s="360"/>
      <c r="EG411" s="360"/>
      <c r="EH411" s="360"/>
      <c r="EI411" s="360"/>
      <c r="EJ411" s="360"/>
      <c r="EK411" s="360"/>
      <c r="EL411" s="360"/>
      <c r="EM411" s="360"/>
      <c r="EN411" s="360"/>
      <c r="EO411" s="360"/>
      <c r="EP411" s="360"/>
      <c r="EQ411" s="360"/>
    </row>
    <row r="412" spans="1:244" x14ac:dyDescent="0.35">
      <c r="A412" s="225" t="s">
        <v>1658</v>
      </c>
      <c r="B412" s="225" t="s">
        <v>740</v>
      </c>
      <c r="C412" s="225" t="s">
        <v>817</v>
      </c>
      <c r="D412" s="225" t="s">
        <v>1469</v>
      </c>
      <c r="E412" s="225" t="s">
        <v>1567</v>
      </c>
      <c r="F412" s="225" t="s">
        <v>468</v>
      </c>
      <c r="G412" s="229" t="s">
        <v>1659</v>
      </c>
      <c r="H412" s="226" t="s">
        <v>659</v>
      </c>
      <c r="I412" s="102">
        <v>0</v>
      </c>
      <c r="J412" s="102">
        <v>0</v>
      </c>
      <c r="K412" s="102">
        <v>0</v>
      </c>
      <c r="L412" s="102">
        <v>0</v>
      </c>
      <c r="M412" s="102">
        <v>0</v>
      </c>
      <c r="N412" s="102">
        <v>0</v>
      </c>
      <c r="O412" s="102">
        <v>0</v>
      </c>
      <c r="P412" s="94">
        <v>0</v>
      </c>
      <c r="Q412" s="102">
        <v>0</v>
      </c>
      <c r="R412" s="102">
        <v>0</v>
      </c>
      <c r="S412" s="102">
        <v>0</v>
      </c>
      <c r="T412" s="102">
        <v>0</v>
      </c>
      <c r="U412" s="102">
        <v>0</v>
      </c>
      <c r="V412" s="102">
        <v>0</v>
      </c>
      <c r="W412" s="102">
        <v>0</v>
      </c>
      <c r="X412" s="102">
        <v>10.948225578976254</v>
      </c>
      <c r="Y412" s="102">
        <v>7.3963203338885384</v>
      </c>
      <c r="Z412" s="102">
        <v>2.7579499550092854</v>
      </c>
      <c r="AA412" s="102">
        <v>2.7997370755397291</v>
      </c>
      <c r="AB412" s="102">
        <v>2.0667948980014348</v>
      </c>
      <c r="AC412" s="102">
        <v>2.0060068127660986</v>
      </c>
      <c r="AD412" s="102">
        <v>1.9452187275307624</v>
      </c>
      <c r="AE412" s="186">
        <v>0.08</v>
      </c>
      <c r="AF412" s="94">
        <v>0</v>
      </c>
      <c r="AG412" s="94">
        <v>1</v>
      </c>
      <c r="AH412" s="94">
        <v>1</v>
      </c>
      <c r="AI412" s="17">
        <v>1</v>
      </c>
      <c r="AJ412" s="17" t="s">
        <v>662</v>
      </c>
      <c r="AK412" s="17" t="s">
        <v>745</v>
      </c>
      <c r="AL412" s="17"/>
      <c r="AM412" s="61"/>
      <c r="AN412" s="61"/>
      <c r="AO412" s="61"/>
      <c r="AP412" s="61"/>
      <c r="AQ412" s="61"/>
      <c r="AR412" s="61"/>
      <c r="AS412" s="64"/>
      <c r="AT412" s="64"/>
      <c r="AU412" s="64"/>
      <c r="AV412" s="132"/>
      <c r="AW412" s="132"/>
      <c r="AX412" s="132"/>
      <c r="AY412" s="28" t="s">
        <v>662</v>
      </c>
      <c r="AZ412" s="28"/>
      <c r="BA412" s="28"/>
      <c r="BB412" s="28"/>
      <c r="BC412" s="28"/>
      <c r="BD412" s="28"/>
      <c r="BE412" s="28"/>
      <c r="BF412" s="28"/>
      <c r="BG412" s="28"/>
      <c r="BH412" s="106"/>
      <c r="BI412" s="106"/>
      <c r="BJ412" s="106"/>
      <c r="BK412" s="106"/>
      <c r="BL412" s="137"/>
      <c r="BM412" s="123"/>
      <c r="BN412" s="139"/>
      <c r="BO412" s="94"/>
      <c r="BP412" s="94"/>
      <c r="BQ412" s="94"/>
      <c r="BR412" s="94"/>
      <c r="BS412" s="94"/>
      <c r="BT412" s="94"/>
      <c r="BU412" s="28">
        <f t="shared" si="289"/>
        <v>0</v>
      </c>
      <c r="BV412" s="28"/>
      <c r="BW412" s="28"/>
      <c r="BX412" s="28"/>
      <c r="BY412" s="28"/>
      <c r="BZ412" s="28"/>
      <c r="CA412" s="28"/>
      <c r="CB412" s="99">
        <v>1000</v>
      </c>
      <c r="CC412" s="99">
        <v>1000</v>
      </c>
      <c r="CD412" s="99">
        <v>1000</v>
      </c>
      <c r="CE412" s="99">
        <v>1000</v>
      </c>
      <c r="CF412" s="99">
        <v>1000</v>
      </c>
      <c r="CG412" s="99">
        <v>1000</v>
      </c>
      <c r="CH412" s="99">
        <v>1000</v>
      </c>
      <c r="CI412" s="175"/>
      <c r="CJ412" s="175"/>
      <c r="CK412" s="175"/>
      <c r="CL412" s="175"/>
      <c r="CM412" s="175"/>
      <c r="CN412" s="175"/>
      <c r="CO412" s="175"/>
      <c r="CP412" s="176"/>
      <c r="CQ412" s="176"/>
      <c r="CR412" s="176"/>
      <c r="CS412" s="176"/>
      <c r="CT412" s="176"/>
      <c r="CU412" s="176"/>
      <c r="CV412" s="176"/>
      <c r="CW412" s="167"/>
      <c r="CX412" s="168"/>
      <c r="CY412" s="168"/>
      <c r="CZ412" s="168"/>
      <c r="DA412" s="168"/>
      <c r="DB412" s="168"/>
      <c r="DC412" s="168"/>
      <c r="DD412" s="172"/>
      <c r="DE412" s="172"/>
      <c r="DF412" s="172"/>
      <c r="DG412" s="172"/>
      <c r="DH412" s="172"/>
      <c r="DI412" s="172"/>
      <c r="DJ412" s="172"/>
      <c r="DK412" s="80" t="s">
        <v>1570</v>
      </c>
      <c r="DL412" s="129">
        <v>1000</v>
      </c>
      <c r="DM412" s="129">
        <v>1000</v>
      </c>
      <c r="DN412" s="129">
        <v>1000</v>
      </c>
      <c r="DO412" s="129">
        <v>1000</v>
      </c>
      <c r="DP412" s="129">
        <v>1000</v>
      </c>
      <c r="DQ412" s="129">
        <v>1000</v>
      </c>
      <c r="DR412" s="129">
        <v>1000</v>
      </c>
      <c r="DS412" s="218"/>
      <c r="DT412" s="360"/>
      <c r="DU412" s="360"/>
      <c r="DV412" s="360"/>
      <c r="DW412" s="360"/>
      <c r="DX412" s="360"/>
      <c r="DY412" s="360"/>
      <c r="DZ412" s="360"/>
      <c r="EA412" s="360"/>
      <c r="EB412" s="360"/>
      <c r="EC412" s="360"/>
      <c r="ED412" s="360"/>
      <c r="EE412" s="360"/>
      <c r="EF412" s="360"/>
      <c r="EG412" s="360"/>
      <c r="EH412" s="360"/>
      <c r="EI412" s="360"/>
      <c r="EJ412" s="360"/>
      <c r="EK412" s="360"/>
      <c r="EL412" s="360"/>
      <c r="EM412" s="360"/>
      <c r="EN412" s="360"/>
      <c r="EO412" s="360"/>
      <c r="EP412" s="360"/>
      <c r="EQ412" s="360"/>
    </row>
    <row r="413" spans="1:244" x14ac:dyDescent="0.35">
      <c r="A413" s="225" t="s">
        <v>1660</v>
      </c>
      <c r="B413" s="225" t="s">
        <v>740</v>
      </c>
      <c r="C413" s="225" t="s">
        <v>817</v>
      </c>
      <c r="D413" s="225" t="s">
        <v>1469</v>
      </c>
      <c r="E413" s="225" t="s">
        <v>1567</v>
      </c>
      <c r="F413" s="225" t="s">
        <v>505</v>
      </c>
      <c r="G413" s="229" t="s">
        <v>1661</v>
      </c>
      <c r="H413" s="226" t="s">
        <v>659</v>
      </c>
      <c r="I413" s="101">
        <v>0</v>
      </c>
      <c r="J413" s="101">
        <v>0</v>
      </c>
      <c r="K413" s="101">
        <v>0</v>
      </c>
      <c r="L413" s="101">
        <v>0</v>
      </c>
      <c r="M413" s="101">
        <v>0</v>
      </c>
      <c r="N413" s="101">
        <v>0</v>
      </c>
      <c r="O413" s="101">
        <v>0</v>
      </c>
      <c r="P413" s="93">
        <v>0</v>
      </c>
      <c r="Q413" s="101">
        <v>0</v>
      </c>
      <c r="R413" s="101">
        <v>0</v>
      </c>
      <c r="S413" s="101">
        <v>0</v>
      </c>
      <c r="T413" s="101">
        <v>0</v>
      </c>
      <c r="U413" s="101">
        <v>0</v>
      </c>
      <c r="V413" s="101">
        <v>0</v>
      </c>
      <c r="W413" s="101">
        <v>0</v>
      </c>
      <c r="X413" s="101">
        <v>13.454145407277929</v>
      </c>
      <c r="Y413" s="101">
        <v>12.4914096711078</v>
      </c>
      <c r="Z413" s="101">
        <v>11.532124634809652</v>
      </c>
      <c r="AA413" s="101">
        <v>11.532124634809652</v>
      </c>
      <c r="AB413" s="101">
        <v>8.6490934761072396</v>
      </c>
      <c r="AC413" s="101">
        <v>8.3093040156526605</v>
      </c>
      <c r="AD413" s="101">
        <v>7.9626574859399986</v>
      </c>
      <c r="AE413" s="186">
        <v>0.08</v>
      </c>
      <c r="AF413" s="93">
        <v>0</v>
      </c>
      <c r="AG413" s="93">
        <v>1</v>
      </c>
      <c r="AH413" s="93">
        <v>1</v>
      </c>
      <c r="AI413" s="16">
        <v>1</v>
      </c>
      <c r="AJ413" s="16" t="s">
        <v>662</v>
      </c>
      <c r="AK413" s="16" t="s">
        <v>745</v>
      </c>
      <c r="AL413" s="16"/>
      <c r="AM413" s="60"/>
      <c r="AN413" s="60"/>
      <c r="AO413" s="60"/>
      <c r="AP413" s="60"/>
      <c r="AQ413" s="60"/>
      <c r="AR413" s="60"/>
      <c r="AS413" s="63"/>
      <c r="AT413" s="63"/>
      <c r="AU413" s="63"/>
      <c r="AV413" s="131"/>
      <c r="AW413" s="131"/>
      <c r="AX413" s="131"/>
      <c r="AY413" s="27" t="s">
        <v>662</v>
      </c>
      <c r="AZ413" s="27"/>
      <c r="BA413" s="27"/>
      <c r="BB413" s="30"/>
      <c r="BC413" s="30"/>
      <c r="BD413" s="30"/>
      <c r="BE413" s="30"/>
      <c r="BF413" s="30"/>
      <c r="BG413" s="30"/>
      <c r="BH413" s="107"/>
      <c r="BI413" s="107"/>
      <c r="BJ413" s="107"/>
      <c r="BK413" s="107"/>
      <c r="BL413" s="136"/>
      <c r="BM413" s="122"/>
      <c r="BN413" s="138"/>
      <c r="BO413" s="93"/>
      <c r="BP413" s="93"/>
      <c r="BQ413" s="93"/>
      <c r="BR413" s="93"/>
      <c r="BS413" s="93"/>
      <c r="BT413" s="93"/>
      <c r="BU413" s="27">
        <f t="shared" si="289"/>
        <v>0</v>
      </c>
      <c r="BV413" s="27"/>
      <c r="BW413" s="27"/>
      <c r="BX413" s="27"/>
      <c r="BY413" s="27"/>
      <c r="BZ413" s="27"/>
      <c r="CA413" s="27"/>
      <c r="CB413" s="185">
        <v>3000</v>
      </c>
      <c r="CC413" s="185">
        <v>3000</v>
      </c>
      <c r="CD413" s="185">
        <v>3000</v>
      </c>
      <c r="CE413" s="185">
        <v>3000</v>
      </c>
      <c r="CF413" s="185">
        <v>3000</v>
      </c>
      <c r="CG413" s="185">
        <v>3000</v>
      </c>
      <c r="CH413" s="185">
        <v>3000</v>
      </c>
      <c r="CI413" s="173"/>
      <c r="CJ413" s="173"/>
      <c r="CK413" s="173"/>
      <c r="CL413" s="173"/>
      <c r="CM413" s="173"/>
      <c r="CN413" s="173"/>
      <c r="CO413" s="173"/>
      <c r="CP413" s="174"/>
      <c r="CQ413" s="174"/>
      <c r="CR413" s="174"/>
      <c r="CS413" s="174"/>
      <c r="CT413" s="174"/>
      <c r="CU413" s="174"/>
      <c r="CV413" s="174"/>
      <c r="CW413" s="165"/>
      <c r="CX413" s="166"/>
      <c r="CY413" s="166"/>
      <c r="CZ413" s="166"/>
      <c r="DA413" s="166"/>
      <c r="DB413" s="166"/>
      <c r="DC413" s="166"/>
      <c r="DD413" s="171"/>
      <c r="DE413" s="171"/>
      <c r="DF413" s="171"/>
      <c r="DG413" s="171"/>
      <c r="DH413" s="171"/>
      <c r="DI413" s="171"/>
      <c r="DJ413" s="171"/>
      <c r="DK413" s="79" t="s">
        <v>1570</v>
      </c>
      <c r="DL413" s="128">
        <v>8000</v>
      </c>
      <c r="DM413" s="128">
        <v>8000</v>
      </c>
      <c r="DN413" s="128">
        <v>8000</v>
      </c>
      <c r="DO413" s="128">
        <v>8000</v>
      </c>
      <c r="DP413" s="128">
        <v>8000</v>
      </c>
      <c r="DQ413" s="128">
        <v>8000</v>
      </c>
      <c r="DR413" s="128">
        <v>8000</v>
      </c>
      <c r="DS413" s="218"/>
      <c r="DT413" s="360"/>
      <c r="DU413" s="360"/>
      <c r="DV413" s="360"/>
      <c r="DW413" s="360"/>
      <c r="DX413" s="360"/>
      <c r="DY413" s="360"/>
      <c r="DZ413" s="360"/>
      <c r="EA413" s="360"/>
      <c r="EB413" s="360"/>
      <c r="EC413" s="360"/>
      <c r="ED413" s="360"/>
      <c r="EE413" s="360"/>
      <c r="EF413" s="360"/>
      <c r="EG413" s="360"/>
      <c r="EH413" s="360"/>
      <c r="EI413" s="360"/>
      <c r="EJ413" s="360"/>
      <c r="EK413" s="360"/>
      <c r="EL413" s="360"/>
      <c r="EM413" s="360"/>
      <c r="EN413" s="360"/>
      <c r="EO413" s="360"/>
      <c r="EP413" s="360"/>
      <c r="EQ413" s="360"/>
    </row>
    <row r="414" spans="1:244" x14ac:dyDescent="0.35">
      <c r="A414" s="6" t="s">
        <v>1662</v>
      </c>
      <c r="B414" s="6" t="s">
        <v>740</v>
      </c>
      <c r="C414" s="6" t="s">
        <v>817</v>
      </c>
      <c r="D414" s="6" t="s">
        <v>1469</v>
      </c>
      <c r="E414" s="6" t="s">
        <v>1567</v>
      </c>
      <c r="F414" s="6" t="s">
        <v>507</v>
      </c>
      <c r="G414" s="48" t="s">
        <v>507</v>
      </c>
      <c r="H414" s="48" t="s">
        <v>659</v>
      </c>
      <c r="I414" s="102">
        <v>0</v>
      </c>
      <c r="J414" s="102">
        <v>0</v>
      </c>
      <c r="K414" s="102">
        <v>0</v>
      </c>
      <c r="L414" s="102">
        <v>0</v>
      </c>
      <c r="M414" s="102">
        <v>0</v>
      </c>
      <c r="N414" s="102">
        <v>0</v>
      </c>
      <c r="O414" s="102">
        <v>0</v>
      </c>
      <c r="P414" s="94">
        <v>0</v>
      </c>
      <c r="Q414" s="102">
        <v>0</v>
      </c>
      <c r="R414" s="102">
        <v>0</v>
      </c>
      <c r="S414" s="102">
        <v>0</v>
      </c>
      <c r="T414" s="102">
        <v>0</v>
      </c>
      <c r="U414" s="102">
        <v>0</v>
      </c>
      <c r="V414" s="102">
        <v>0</v>
      </c>
      <c r="W414" s="102">
        <v>0</v>
      </c>
      <c r="X414" s="102">
        <v>24.59696857763559</v>
      </c>
      <c r="Y414" s="102">
        <v>14.211581844856118</v>
      </c>
      <c r="Z414" s="102">
        <v>6.2858919698402076</v>
      </c>
      <c r="AA414" s="102">
        <v>5.444973446380323</v>
      </c>
      <c r="AB414" s="102">
        <v>4.6020714112945607</v>
      </c>
      <c r="AC414" s="102">
        <v>4.6030615857635331</v>
      </c>
      <c r="AD414" s="102">
        <v>4.6020714112945607</v>
      </c>
      <c r="AE414" s="186">
        <v>0.08</v>
      </c>
      <c r="AF414" s="94">
        <v>0</v>
      </c>
      <c r="AG414" s="94">
        <v>1</v>
      </c>
      <c r="AH414" s="94">
        <v>1</v>
      </c>
      <c r="AI414" s="17">
        <v>1</v>
      </c>
      <c r="AJ414" s="17" t="s">
        <v>662</v>
      </c>
      <c r="AK414" s="17" t="s">
        <v>745</v>
      </c>
      <c r="AL414" s="17"/>
      <c r="AM414" s="61"/>
      <c r="AN414" s="61"/>
      <c r="AO414" s="61"/>
      <c r="AP414" s="61"/>
      <c r="AQ414" s="61"/>
      <c r="AR414" s="61"/>
      <c r="AS414" s="64"/>
      <c r="AT414" s="64"/>
      <c r="AU414" s="64"/>
      <c r="AV414" s="132"/>
      <c r="AW414" s="132"/>
      <c r="AX414" s="132"/>
      <c r="AY414" s="28" t="s">
        <v>662</v>
      </c>
      <c r="AZ414" s="28"/>
      <c r="BA414" s="28"/>
      <c r="BB414" s="28"/>
      <c r="BC414" s="28"/>
      <c r="BD414" s="28"/>
      <c r="BE414" s="28"/>
      <c r="BF414" s="28"/>
      <c r="BG414" s="28"/>
      <c r="BH414" s="106"/>
      <c r="BI414" s="106"/>
      <c r="BJ414" s="106"/>
      <c r="BK414" s="106"/>
      <c r="BL414" s="137"/>
      <c r="BM414" s="123"/>
      <c r="BN414" s="139"/>
      <c r="BO414" s="94"/>
      <c r="BP414" s="94"/>
      <c r="BQ414" s="94"/>
      <c r="BR414" s="94"/>
      <c r="BS414" s="94"/>
      <c r="BT414" s="94"/>
      <c r="BU414" s="28">
        <f t="shared" si="289"/>
        <v>0</v>
      </c>
      <c r="BV414" s="28"/>
      <c r="BW414" s="28"/>
      <c r="BX414" s="28"/>
      <c r="BY414" s="28"/>
      <c r="BZ414" s="28"/>
      <c r="CA414" s="28"/>
      <c r="CB414" s="99">
        <v>1500</v>
      </c>
      <c r="CC414" s="99">
        <v>1250</v>
      </c>
      <c r="CD414" s="99">
        <v>1000</v>
      </c>
      <c r="CE414" s="99">
        <v>750</v>
      </c>
      <c r="CF414" s="99">
        <v>500</v>
      </c>
      <c r="CG414" s="99">
        <v>250</v>
      </c>
      <c r="CH414" s="99">
        <v>100</v>
      </c>
      <c r="CI414" s="175"/>
      <c r="CJ414" s="175"/>
      <c r="CK414" s="175"/>
      <c r="CL414" s="175"/>
      <c r="CM414" s="175"/>
      <c r="CN414" s="175"/>
      <c r="CO414" s="175"/>
      <c r="CP414" s="176"/>
      <c r="CQ414" s="176"/>
      <c r="CR414" s="176"/>
      <c r="CS414" s="176"/>
      <c r="CT414" s="176"/>
      <c r="CU414" s="176"/>
      <c r="CV414" s="176"/>
      <c r="CW414" s="167"/>
      <c r="CX414" s="168"/>
      <c r="CY414" s="168"/>
      <c r="CZ414" s="168"/>
      <c r="DA414" s="168"/>
      <c r="DB414" s="168"/>
      <c r="DC414" s="168"/>
      <c r="DD414" s="172"/>
      <c r="DE414" s="172"/>
      <c r="DF414" s="172"/>
      <c r="DG414" s="172"/>
      <c r="DH414" s="172"/>
      <c r="DI414" s="172"/>
      <c r="DJ414" s="172"/>
      <c r="DK414" s="80" t="s">
        <v>415</v>
      </c>
      <c r="DL414" s="129">
        <v>1000</v>
      </c>
      <c r="DM414" s="129">
        <v>1000</v>
      </c>
      <c r="DN414" s="129">
        <v>1000</v>
      </c>
      <c r="DO414" s="129">
        <v>1000</v>
      </c>
      <c r="DP414" s="129">
        <v>1000</v>
      </c>
      <c r="DQ414" s="129">
        <v>1000</v>
      </c>
      <c r="DR414" s="129">
        <v>1000</v>
      </c>
      <c r="DS414" s="218"/>
      <c r="DT414" s="360"/>
      <c r="DU414" s="360"/>
      <c r="DV414" s="360"/>
      <c r="DW414" s="360"/>
      <c r="DX414" s="360"/>
      <c r="DY414" s="360"/>
      <c r="DZ414" s="360"/>
      <c r="EA414" s="360"/>
      <c r="EB414" s="360"/>
      <c r="EC414" s="360"/>
      <c r="ED414" s="360"/>
      <c r="EE414" s="360"/>
      <c r="EF414" s="360"/>
      <c r="EG414" s="360"/>
      <c r="EH414" s="360"/>
      <c r="EI414" s="360"/>
      <c r="EJ414" s="360"/>
      <c r="EK414" s="360"/>
      <c r="EL414" s="360"/>
      <c r="EM414" s="360"/>
      <c r="EN414" s="360"/>
      <c r="EO414" s="360"/>
      <c r="EP414" s="360"/>
      <c r="EQ414" s="360"/>
    </row>
    <row r="415" spans="1:244" x14ac:dyDescent="0.35">
      <c r="A415" s="5" t="s">
        <v>1663</v>
      </c>
      <c r="B415" s="5" t="s">
        <v>740</v>
      </c>
      <c r="C415" s="5" t="s">
        <v>817</v>
      </c>
      <c r="D415" s="5" t="s">
        <v>1133</v>
      </c>
      <c r="E415" s="5" t="s">
        <v>509</v>
      </c>
      <c r="F415" s="5" t="s">
        <v>508</v>
      </c>
      <c r="G415" s="47" t="s">
        <v>1664</v>
      </c>
      <c r="H415" s="47" t="s">
        <v>659</v>
      </c>
      <c r="I415" s="101">
        <v>0</v>
      </c>
      <c r="J415" s="101">
        <v>0</v>
      </c>
      <c r="K415" s="101">
        <v>0</v>
      </c>
      <c r="L415" s="101">
        <v>0</v>
      </c>
      <c r="M415" s="101">
        <v>0</v>
      </c>
      <c r="N415" s="101">
        <v>0</v>
      </c>
      <c r="O415" s="101">
        <v>0</v>
      </c>
      <c r="P415" s="93">
        <v>0</v>
      </c>
      <c r="Q415" s="101">
        <v>0</v>
      </c>
      <c r="R415" s="101">
        <v>0</v>
      </c>
      <c r="S415" s="101">
        <v>0</v>
      </c>
      <c r="T415" s="101">
        <v>0</v>
      </c>
      <c r="U415" s="101">
        <v>0</v>
      </c>
      <c r="V415" s="101">
        <v>0</v>
      </c>
      <c r="W415" s="101">
        <v>0</v>
      </c>
      <c r="X415" s="101">
        <v>0</v>
      </c>
      <c r="Y415" s="101">
        <v>0</v>
      </c>
      <c r="Z415" s="101">
        <v>0</v>
      </c>
      <c r="AA415" s="101">
        <v>0</v>
      </c>
      <c r="AB415" s="101">
        <v>0</v>
      </c>
      <c r="AC415" s="101">
        <v>0</v>
      </c>
      <c r="AD415" s="101">
        <v>0</v>
      </c>
      <c r="AE415" s="186">
        <v>0.08</v>
      </c>
      <c r="AF415" s="93">
        <v>0</v>
      </c>
      <c r="AG415" s="93">
        <v>1</v>
      </c>
      <c r="AH415" s="93">
        <v>1</v>
      </c>
      <c r="AI415" s="16">
        <v>1</v>
      </c>
      <c r="AJ415" s="16" t="s">
        <v>662</v>
      </c>
      <c r="AK415" s="16" t="s">
        <v>745</v>
      </c>
      <c r="AL415" s="16"/>
      <c r="AM415" s="60"/>
      <c r="AN415" s="60"/>
      <c r="AO415" s="60"/>
      <c r="AP415" s="60"/>
      <c r="AQ415" s="60"/>
      <c r="AR415" s="60"/>
      <c r="AS415" s="63"/>
      <c r="AT415" s="63"/>
      <c r="AU415" s="63"/>
      <c r="AV415" s="131"/>
      <c r="AW415" s="131"/>
      <c r="AX415" s="131"/>
      <c r="AY415" s="27" t="s">
        <v>662</v>
      </c>
      <c r="AZ415" s="27"/>
      <c r="BA415" s="27"/>
      <c r="BB415" s="30"/>
      <c r="BC415" s="30"/>
      <c r="BD415" s="30"/>
      <c r="BE415" s="30"/>
      <c r="BF415" s="30"/>
      <c r="BG415" s="30"/>
      <c r="BH415" s="107"/>
      <c r="BI415" s="107"/>
      <c r="BJ415" s="107"/>
      <c r="BK415" s="107"/>
      <c r="BL415" s="136"/>
      <c r="BM415" s="122"/>
      <c r="BN415" s="138"/>
      <c r="BO415" s="93"/>
      <c r="BP415" s="93"/>
      <c r="BQ415" s="93"/>
      <c r="BR415" s="93"/>
      <c r="BS415" s="93"/>
      <c r="BT415" s="93"/>
      <c r="BU415" s="27">
        <f t="shared" ref="BU415:BU504" si="337">IF(BL415=1,BN415,0)</f>
        <v>0</v>
      </c>
      <c r="BV415" s="27"/>
      <c r="BW415" s="27"/>
      <c r="BX415" s="27"/>
      <c r="BY415" s="27"/>
      <c r="BZ415" s="27"/>
      <c r="CA415" s="27"/>
      <c r="CB415" s="185">
        <v>500</v>
      </c>
      <c r="CC415" s="185">
        <v>500</v>
      </c>
      <c r="CD415" s="185">
        <v>500</v>
      </c>
      <c r="CE415" s="185">
        <v>500</v>
      </c>
      <c r="CF415" s="185">
        <v>500</v>
      </c>
      <c r="CG415" s="185">
        <v>500</v>
      </c>
      <c r="CH415" s="185">
        <v>500</v>
      </c>
      <c r="CI415" s="173"/>
      <c r="CJ415" s="173"/>
      <c r="CK415" s="173"/>
      <c r="CL415" s="173"/>
      <c r="CM415" s="173"/>
      <c r="CN415" s="173"/>
      <c r="CO415" s="173"/>
      <c r="CP415" s="174"/>
      <c r="CQ415" s="174"/>
      <c r="CR415" s="174"/>
      <c r="CS415" s="174"/>
      <c r="CT415" s="174"/>
      <c r="CU415" s="174"/>
      <c r="CV415" s="174"/>
      <c r="CW415" s="165"/>
      <c r="CX415" s="166"/>
      <c r="CY415" s="166"/>
      <c r="CZ415" s="166"/>
      <c r="DA415" s="166"/>
      <c r="DB415" s="166"/>
      <c r="DC415" s="166"/>
      <c r="DD415" s="171"/>
      <c r="DE415" s="171"/>
      <c r="DF415" s="171"/>
      <c r="DG415" s="171"/>
      <c r="DH415" s="171"/>
      <c r="DI415" s="171"/>
      <c r="DJ415" s="171"/>
      <c r="DK415" s="79" t="s">
        <v>1519</v>
      </c>
      <c r="DL415" s="128">
        <v>5000</v>
      </c>
      <c r="DM415" s="128">
        <v>5000</v>
      </c>
      <c r="DN415" s="128">
        <v>5000</v>
      </c>
      <c r="DO415" s="128">
        <v>5000</v>
      </c>
      <c r="DP415" s="128">
        <v>5000</v>
      </c>
      <c r="DQ415" s="128">
        <v>5000</v>
      </c>
      <c r="DR415" s="128">
        <v>5000</v>
      </c>
      <c r="DS415" s="218"/>
      <c r="DT415" s="360"/>
      <c r="DU415" s="360"/>
      <c r="DV415" s="360"/>
      <c r="DW415" s="360"/>
      <c r="DX415" s="360"/>
      <c r="DY415" s="360"/>
      <c r="DZ415" s="360"/>
      <c r="EA415" s="360"/>
      <c r="EB415" s="360"/>
      <c r="EC415" s="360"/>
      <c r="ED415" s="360"/>
      <c r="EE415" s="360"/>
      <c r="EF415" s="360"/>
      <c r="EG415" s="360"/>
      <c r="EH415" s="360"/>
      <c r="EI415" s="360"/>
      <c r="EJ415" s="360"/>
      <c r="EK415" s="360"/>
      <c r="EL415" s="360"/>
      <c r="EM415" s="360"/>
      <c r="EN415" s="360"/>
      <c r="EO415" s="360"/>
      <c r="EP415" s="360"/>
      <c r="EQ415" s="360"/>
    </row>
    <row r="416" spans="1:244" x14ac:dyDescent="0.35">
      <c r="A416" s="6" t="s">
        <v>1665</v>
      </c>
      <c r="B416" s="6" t="s">
        <v>740</v>
      </c>
      <c r="C416" s="6" t="s">
        <v>817</v>
      </c>
      <c r="D416" s="6" t="s">
        <v>1133</v>
      </c>
      <c r="E416" s="6" t="s">
        <v>441</v>
      </c>
      <c r="F416" s="6" t="s">
        <v>510</v>
      </c>
      <c r="G416" s="48" t="s">
        <v>1666</v>
      </c>
      <c r="H416" s="48" t="s">
        <v>659</v>
      </c>
      <c r="I416" s="102">
        <v>0</v>
      </c>
      <c r="J416" s="102">
        <v>0</v>
      </c>
      <c r="K416" s="102">
        <v>0</v>
      </c>
      <c r="L416" s="102">
        <v>0</v>
      </c>
      <c r="M416" s="102">
        <v>0</v>
      </c>
      <c r="N416" s="102">
        <v>0</v>
      </c>
      <c r="O416" s="102">
        <v>0</v>
      </c>
      <c r="P416" s="94">
        <v>0</v>
      </c>
      <c r="Q416" s="102">
        <v>0</v>
      </c>
      <c r="R416" s="102">
        <v>0</v>
      </c>
      <c r="S416" s="102">
        <v>0</v>
      </c>
      <c r="T416" s="102">
        <v>0</v>
      </c>
      <c r="U416" s="102">
        <v>0</v>
      </c>
      <c r="V416" s="102">
        <v>0</v>
      </c>
      <c r="W416" s="102">
        <v>0</v>
      </c>
      <c r="X416" s="102">
        <v>3.234713990790822</v>
      </c>
      <c r="Y416" s="102">
        <v>3.7789705139584266</v>
      </c>
      <c r="Z416" s="102">
        <v>3.7789705139584266</v>
      </c>
      <c r="AA416" s="102">
        <v>3.7789705139584266</v>
      </c>
      <c r="AB416" s="102">
        <v>3.7789705139584266</v>
      </c>
      <c r="AC416" s="102">
        <v>3.7789705139584266</v>
      </c>
      <c r="AD416" s="102">
        <v>3.7789705139584266</v>
      </c>
      <c r="AE416" s="186">
        <v>0.08</v>
      </c>
      <c r="AF416" s="94">
        <v>0</v>
      </c>
      <c r="AG416" s="94">
        <v>1</v>
      </c>
      <c r="AH416" s="94">
        <v>1</v>
      </c>
      <c r="AI416" s="17">
        <v>1</v>
      </c>
      <c r="AJ416" s="17" t="s">
        <v>662</v>
      </c>
      <c r="AK416" s="17" t="s">
        <v>745</v>
      </c>
      <c r="AL416" s="17"/>
      <c r="AM416" s="61"/>
      <c r="AN416" s="61"/>
      <c r="AO416" s="61"/>
      <c r="AP416" s="61"/>
      <c r="AQ416" s="61"/>
      <c r="AR416" s="61"/>
      <c r="AS416" s="64"/>
      <c r="AT416" s="64"/>
      <c r="AU416" s="64"/>
      <c r="AV416" s="132"/>
      <c r="AW416" s="132"/>
      <c r="AX416" s="132"/>
      <c r="AY416" s="28" t="s">
        <v>662</v>
      </c>
      <c r="AZ416" s="28"/>
      <c r="BA416" s="28"/>
      <c r="BB416" s="28"/>
      <c r="BC416" s="28"/>
      <c r="BD416" s="28"/>
      <c r="BE416" s="28"/>
      <c r="BF416" s="28"/>
      <c r="BG416" s="28"/>
      <c r="BH416" s="106"/>
      <c r="BI416" s="106"/>
      <c r="BJ416" s="106"/>
      <c r="BK416" s="106"/>
      <c r="BL416" s="137"/>
      <c r="BM416" s="123"/>
      <c r="BN416" s="139"/>
      <c r="BO416" s="94"/>
      <c r="BP416" s="94"/>
      <c r="BQ416" s="94"/>
      <c r="BR416" s="94"/>
      <c r="BS416" s="94"/>
      <c r="BT416" s="94"/>
      <c r="BU416" s="28">
        <f t="shared" si="337"/>
        <v>0</v>
      </c>
      <c r="BV416" s="28"/>
      <c r="BW416" s="28"/>
      <c r="BX416" s="28"/>
      <c r="BY416" s="28"/>
      <c r="BZ416" s="28"/>
      <c r="CA416" s="28"/>
      <c r="CB416" s="99">
        <f>Activities!C44*Activities!$S$145</f>
        <v>78.396000000000001</v>
      </c>
      <c r="CC416" s="99">
        <f>Activities!D44*Activities!$S$145</f>
        <v>78.396000000000001</v>
      </c>
      <c r="CD416" s="99">
        <f>Activities!E44*Activities!$S$145</f>
        <v>78.396000000000001</v>
      </c>
      <c r="CE416" s="99">
        <f>Activities!F44*Activities!$S$145</f>
        <v>78.396000000000001</v>
      </c>
      <c r="CF416" s="99">
        <f>Activities!G44*Activities!$S$145</f>
        <v>78.396000000000001</v>
      </c>
      <c r="CG416" s="99">
        <f>Activities!H44*Activities!$S$145</f>
        <v>78.396000000000001</v>
      </c>
      <c r="CH416" s="99">
        <f>Activities!I44*Activities!$S$145</f>
        <v>78.396000000000001</v>
      </c>
      <c r="CI416" s="175"/>
      <c r="CJ416" s="175"/>
      <c r="CK416" s="175"/>
      <c r="CL416" s="175"/>
      <c r="CM416" s="175"/>
      <c r="CN416" s="175"/>
      <c r="CO416" s="175"/>
      <c r="CP416" s="176"/>
      <c r="CQ416" s="176"/>
      <c r="CR416" s="176"/>
      <c r="CS416" s="176"/>
      <c r="CT416" s="176"/>
      <c r="CU416" s="176"/>
      <c r="CV416" s="176"/>
      <c r="CW416" s="167"/>
      <c r="CX416" s="168"/>
      <c r="CY416" s="168"/>
      <c r="CZ416" s="168"/>
      <c r="DA416" s="168"/>
      <c r="DB416" s="168"/>
      <c r="DC416" s="168"/>
      <c r="DD416" s="172"/>
      <c r="DE416" s="172"/>
      <c r="DF416" s="172"/>
      <c r="DG416" s="172"/>
      <c r="DH416" s="172"/>
      <c r="DI416" s="172"/>
      <c r="DJ416" s="172"/>
      <c r="DK416" s="80" t="s">
        <v>415</v>
      </c>
      <c r="DL416" s="129">
        <v>73.800000000000011</v>
      </c>
      <c r="DM416" s="129">
        <v>73.800000000000011</v>
      </c>
      <c r="DN416" s="129">
        <v>73.800000000000011</v>
      </c>
      <c r="DO416" s="129">
        <v>73.800000000000011</v>
      </c>
      <c r="DP416" s="129">
        <v>73.800000000000011</v>
      </c>
      <c r="DQ416" s="129">
        <v>73.800000000000011</v>
      </c>
      <c r="DR416" s="129">
        <v>73.800000000000011</v>
      </c>
      <c r="DS416" s="218"/>
      <c r="DT416" s="360"/>
      <c r="DU416" s="360"/>
      <c r="DV416" s="360"/>
      <c r="DW416" s="360"/>
      <c r="DX416" s="360"/>
      <c r="DY416" s="360"/>
      <c r="DZ416" s="360"/>
      <c r="EA416" s="360"/>
      <c r="EB416" s="360"/>
      <c r="EC416" s="360"/>
      <c r="ED416" s="360"/>
      <c r="EE416" s="360"/>
      <c r="EF416" s="360"/>
      <c r="EG416" s="360"/>
      <c r="EH416" s="360"/>
      <c r="EI416" s="360"/>
      <c r="EJ416" s="360"/>
      <c r="EK416" s="360"/>
      <c r="EL416" s="360"/>
      <c r="EM416" s="360"/>
      <c r="EN416" s="360"/>
      <c r="EO416" s="360"/>
      <c r="EP416" s="360"/>
      <c r="EQ416" s="360"/>
    </row>
    <row r="417" spans="1:147" x14ac:dyDescent="0.35">
      <c r="A417" s="6" t="s">
        <v>1667</v>
      </c>
      <c r="B417" s="6" t="s">
        <v>740</v>
      </c>
      <c r="C417" s="6" t="s">
        <v>817</v>
      </c>
      <c r="D417" s="6" t="s">
        <v>1133</v>
      </c>
      <c r="E417" s="6" t="s">
        <v>441</v>
      </c>
      <c r="F417" s="6" t="s">
        <v>512</v>
      </c>
      <c r="G417" s="48" t="s">
        <v>1668</v>
      </c>
      <c r="H417" s="48" t="s">
        <v>1669</v>
      </c>
      <c r="I417" s="227">
        <v>0</v>
      </c>
      <c r="J417" s="227">
        <v>0</v>
      </c>
      <c r="K417" s="227">
        <v>0</v>
      </c>
      <c r="L417" s="227">
        <v>0</v>
      </c>
      <c r="M417" s="227">
        <v>0</v>
      </c>
      <c r="N417" s="227">
        <v>0</v>
      </c>
      <c r="O417" s="227">
        <v>0</v>
      </c>
      <c r="P417" s="94">
        <v>0</v>
      </c>
      <c r="Q417" s="227">
        <v>0</v>
      </c>
      <c r="R417" s="227">
        <v>0</v>
      </c>
      <c r="S417" s="227">
        <v>0</v>
      </c>
      <c r="T417" s="227">
        <v>0</v>
      </c>
      <c r="U417" s="227">
        <v>0</v>
      </c>
      <c r="V417" s="227">
        <v>0</v>
      </c>
      <c r="W417" s="227">
        <v>0</v>
      </c>
      <c r="X417" s="227">
        <v>427.07920102674001</v>
      </c>
      <c r="Y417" s="227">
        <v>427.07920102674001</v>
      </c>
      <c r="Z417" s="227">
        <v>427.07920102674001</v>
      </c>
      <c r="AA417" s="227">
        <v>427.07920102674001</v>
      </c>
      <c r="AB417" s="227">
        <v>427.07920102674001</v>
      </c>
      <c r="AC417" s="227">
        <v>427.07920102674001</v>
      </c>
      <c r="AD417" s="227">
        <v>427.07920102674001</v>
      </c>
      <c r="AE417" s="186">
        <v>0.08</v>
      </c>
      <c r="AF417" s="94">
        <v>0</v>
      </c>
      <c r="AG417" s="94">
        <v>1</v>
      </c>
      <c r="AH417" s="94">
        <v>1</v>
      </c>
      <c r="AI417" s="17">
        <v>1</v>
      </c>
      <c r="AJ417" s="17" t="s">
        <v>662</v>
      </c>
      <c r="AK417" s="17" t="s">
        <v>745</v>
      </c>
      <c r="AL417" s="17"/>
      <c r="AM417" s="61"/>
      <c r="AN417" s="61"/>
      <c r="AO417" s="61"/>
      <c r="AP417" s="61"/>
      <c r="AQ417" s="61"/>
      <c r="AR417" s="61"/>
      <c r="AS417" s="64"/>
      <c r="AT417" s="64"/>
      <c r="AU417" s="64"/>
      <c r="AV417" s="132"/>
      <c r="AW417" s="132"/>
      <c r="AX417" s="132"/>
      <c r="AY417" s="28" t="s">
        <v>662</v>
      </c>
      <c r="AZ417" s="28"/>
      <c r="BA417" s="28"/>
      <c r="BB417" s="28"/>
      <c r="BC417" s="28"/>
      <c r="BD417" s="28"/>
      <c r="BE417" s="28"/>
      <c r="BF417" s="28"/>
      <c r="BG417" s="28"/>
      <c r="BH417" s="106"/>
      <c r="BI417" s="106"/>
      <c r="BJ417" s="106"/>
      <c r="BK417" s="106"/>
      <c r="BL417" s="137"/>
      <c r="BM417" s="137">
        <v>0</v>
      </c>
      <c r="BN417" s="123"/>
      <c r="BO417" s="139"/>
      <c r="BP417" s="94"/>
      <c r="BQ417" s="94"/>
      <c r="BR417" s="94"/>
      <c r="BS417" s="94"/>
      <c r="BT417" s="94"/>
      <c r="BU417" s="28">
        <f t="shared" si="337"/>
        <v>0</v>
      </c>
      <c r="BV417" s="98">
        <v>0</v>
      </c>
      <c r="BW417" s="98"/>
      <c r="BX417" s="98"/>
      <c r="BY417" s="98"/>
      <c r="BZ417" s="98"/>
      <c r="CA417" s="98"/>
      <c r="CB417" s="376">
        <v>0.623</v>
      </c>
      <c r="CC417" s="376">
        <v>1</v>
      </c>
      <c r="CD417" s="376">
        <v>1</v>
      </c>
      <c r="CE417" s="376">
        <v>1</v>
      </c>
      <c r="CF417" s="376">
        <v>1</v>
      </c>
      <c r="CG417" s="376">
        <v>1</v>
      </c>
      <c r="CH417" s="376">
        <v>1</v>
      </c>
      <c r="CI417" s="176"/>
      <c r="CJ417" s="175"/>
      <c r="CK417" s="175"/>
      <c r="CL417" s="175"/>
      <c r="CM417" s="175"/>
      <c r="CN417" s="175"/>
      <c r="CO417" s="175"/>
      <c r="CP417" s="176"/>
      <c r="CQ417" s="176"/>
      <c r="CR417" s="176"/>
      <c r="CS417" s="176"/>
      <c r="CT417" s="176"/>
      <c r="CU417" s="176"/>
      <c r="CV417" s="176"/>
      <c r="CW417" s="167"/>
      <c r="CX417" s="168"/>
      <c r="CY417" s="168"/>
      <c r="CZ417" s="168"/>
      <c r="DA417" s="168"/>
      <c r="DB417" s="168"/>
      <c r="DC417" s="168"/>
      <c r="DD417" s="172"/>
      <c r="DE417" s="172"/>
      <c r="DF417" s="172"/>
      <c r="DG417" s="172"/>
      <c r="DH417" s="172"/>
      <c r="DI417" s="172"/>
      <c r="DJ417" s="172"/>
      <c r="DK417" s="80"/>
      <c r="DL417" s="129"/>
      <c r="DM417" s="129"/>
      <c r="DN417" s="129"/>
      <c r="DO417" s="129"/>
      <c r="DP417" s="129"/>
      <c r="DQ417" s="129"/>
      <c r="DR417" s="129"/>
      <c r="DS417" s="218"/>
      <c r="DT417" s="360"/>
      <c r="DU417" s="360"/>
      <c r="DV417" s="360"/>
      <c r="DW417" s="360"/>
      <c r="DX417" s="360"/>
      <c r="DY417" s="360"/>
      <c r="DZ417" s="360"/>
      <c r="EA417" s="360"/>
      <c r="EB417" s="360"/>
      <c r="EC417" s="360"/>
      <c r="ED417" s="360"/>
      <c r="EE417" s="360"/>
      <c r="EF417" s="360"/>
      <c r="EG417" s="360"/>
      <c r="EH417" s="360"/>
      <c r="EI417" s="360"/>
      <c r="EJ417" s="360"/>
      <c r="EK417" s="360"/>
      <c r="EL417" s="360"/>
      <c r="EM417" s="360"/>
      <c r="EN417" s="360"/>
      <c r="EO417" s="360"/>
      <c r="EP417" s="360"/>
      <c r="EQ417" s="360"/>
    </row>
    <row r="418" spans="1:147" x14ac:dyDescent="0.35">
      <c r="A418" s="256" t="s">
        <v>1670</v>
      </c>
      <c r="B418" s="6"/>
      <c r="C418" s="6" t="s">
        <v>817</v>
      </c>
      <c r="D418" s="6" t="s">
        <v>1496</v>
      </c>
      <c r="E418" s="6" t="s">
        <v>504</v>
      </c>
      <c r="F418" s="6" t="s">
        <v>516</v>
      </c>
      <c r="G418" s="48" t="s">
        <v>1671</v>
      </c>
      <c r="H418" s="48" t="s">
        <v>659</v>
      </c>
      <c r="I418" s="102">
        <v>0</v>
      </c>
      <c r="J418" s="102">
        <v>0</v>
      </c>
      <c r="K418" s="102">
        <v>0</v>
      </c>
      <c r="L418" s="102">
        <v>0</v>
      </c>
      <c r="M418" s="102">
        <v>0</v>
      </c>
      <c r="N418" s="102">
        <v>0</v>
      </c>
      <c r="O418" s="102">
        <v>0</v>
      </c>
      <c r="P418" s="94">
        <v>0</v>
      </c>
      <c r="Q418" s="102">
        <v>0</v>
      </c>
      <c r="R418" s="102">
        <v>0</v>
      </c>
      <c r="S418" s="102">
        <v>0</v>
      </c>
      <c r="T418" s="102">
        <v>0</v>
      </c>
      <c r="U418" s="102">
        <v>0</v>
      </c>
      <c r="V418" s="102">
        <v>0</v>
      </c>
      <c r="W418" s="102">
        <v>0</v>
      </c>
      <c r="X418" s="102">
        <v>9.7002888288456166</v>
      </c>
      <c r="Y418" s="102">
        <v>9.7002888288456166</v>
      </c>
      <c r="Z418" s="102">
        <v>9.7002888288456166</v>
      </c>
      <c r="AA418" s="102">
        <v>9.7002888288456166</v>
      </c>
      <c r="AB418" s="102">
        <v>9.7002888288456166</v>
      </c>
      <c r="AC418" s="102">
        <v>9.7002888288456166</v>
      </c>
      <c r="AD418" s="102">
        <v>9.7002888288456166</v>
      </c>
      <c r="AE418" s="186">
        <v>0.08</v>
      </c>
      <c r="AF418" s="94">
        <v>0</v>
      </c>
      <c r="AG418" s="94">
        <v>1</v>
      </c>
      <c r="AH418" s="94">
        <v>1</v>
      </c>
      <c r="AI418" s="17">
        <v>1</v>
      </c>
      <c r="AJ418" s="17" t="s">
        <v>662</v>
      </c>
      <c r="AK418" s="17" t="s">
        <v>745</v>
      </c>
      <c r="AL418" s="17"/>
      <c r="AM418" s="61"/>
      <c r="AN418" s="61"/>
      <c r="AO418" s="61"/>
      <c r="AP418" s="61"/>
      <c r="AQ418" s="61"/>
      <c r="AR418" s="61"/>
      <c r="AS418" s="64"/>
      <c r="AT418" s="64"/>
      <c r="AU418" s="64"/>
      <c r="AV418" s="132"/>
      <c r="AW418" s="132"/>
      <c r="AX418" s="132"/>
      <c r="AY418" s="28" t="s">
        <v>662</v>
      </c>
      <c r="AZ418" s="28"/>
      <c r="BA418" s="28"/>
      <c r="BB418" s="28"/>
      <c r="BC418" s="28"/>
      <c r="BD418" s="28"/>
      <c r="BE418" s="28"/>
      <c r="BF418" s="28"/>
      <c r="BG418" s="28"/>
      <c r="BH418" s="106"/>
      <c r="BI418" s="106"/>
      <c r="BJ418" s="106"/>
      <c r="BK418" s="106"/>
      <c r="BL418" s="137"/>
      <c r="BM418" s="123"/>
      <c r="BN418" s="139"/>
      <c r="BO418" s="94"/>
      <c r="BP418" s="94"/>
      <c r="BQ418" s="94"/>
      <c r="BR418" s="94"/>
      <c r="BS418" s="94"/>
      <c r="BT418" s="94"/>
      <c r="BU418" s="28">
        <f t="shared" si="337"/>
        <v>0</v>
      </c>
      <c r="BV418" s="28"/>
      <c r="BW418" s="28"/>
      <c r="BX418" s="28"/>
      <c r="BY418" s="28"/>
      <c r="BZ418" s="28"/>
      <c r="CA418" s="28"/>
      <c r="CB418" s="364">
        <v>15</v>
      </c>
      <c r="CC418" s="364">
        <f>SUM(CD418,CB418)/2</f>
        <v>15.55</v>
      </c>
      <c r="CD418" s="364">
        <v>16.100000000000001</v>
      </c>
      <c r="CE418" s="364">
        <f>SUM(CF418,CD418)/2</f>
        <v>17.399999999999999</v>
      </c>
      <c r="CF418" s="364">
        <v>18.7</v>
      </c>
      <c r="CG418" s="364">
        <f>SUM(CH418,CF418)/2</f>
        <v>19.25</v>
      </c>
      <c r="CH418" s="364">
        <v>19.8</v>
      </c>
      <c r="CI418" s="175"/>
      <c r="CJ418" s="175"/>
      <c r="CK418" s="175"/>
      <c r="CL418" s="175"/>
      <c r="CM418" s="175"/>
      <c r="CN418" s="175"/>
      <c r="CO418" s="175"/>
      <c r="CP418" s="176"/>
      <c r="CQ418" s="176"/>
      <c r="CR418" s="176"/>
      <c r="CS418" s="176"/>
      <c r="CT418" s="176"/>
      <c r="CU418" s="176"/>
      <c r="CV418" s="176"/>
      <c r="CW418" s="167"/>
      <c r="CX418" s="168"/>
      <c r="CY418" s="168"/>
      <c r="CZ418" s="168"/>
      <c r="DA418" s="168"/>
      <c r="DB418" s="168"/>
      <c r="DC418" s="168"/>
      <c r="DD418" s="172"/>
      <c r="DE418" s="172"/>
      <c r="DF418" s="172"/>
      <c r="DG418" s="172"/>
      <c r="DH418" s="172"/>
      <c r="DI418" s="172"/>
      <c r="DJ418" s="172"/>
      <c r="DK418" s="80" t="s">
        <v>1672</v>
      </c>
      <c r="DL418" s="129">
        <v>60</v>
      </c>
      <c r="DM418" s="129">
        <v>60</v>
      </c>
      <c r="DN418" s="129">
        <v>60</v>
      </c>
      <c r="DO418" s="129">
        <v>60</v>
      </c>
      <c r="DP418" s="129">
        <v>60</v>
      </c>
      <c r="DQ418" s="129">
        <v>60</v>
      </c>
      <c r="DR418" s="129">
        <v>60</v>
      </c>
      <c r="DS418" s="218"/>
      <c r="DT418" s="360"/>
      <c r="DU418" s="360"/>
      <c r="DV418" s="360"/>
      <c r="DW418" s="360"/>
      <c r="DX418" s="360"/>
      <c r="DY418" s="360"/>
      <c r="DZ418" s="360"/>
      <c r="EA418" s="360"/>
      <c r="EB418" s="360"/>
      <c r="EC418" s="360"/>
      <c r="ED418" s="360"/>
      <c r="EE418" s="360"/>
      <c r="EF418" s="360"/>
      <c r="EG418" s="360"/>
      <c r="EH418" s="360"/>
      <c r="EI418" s="360"/>
      <c r="EJ418" s="360"/>
      <c r="EK418" s="360"/>
      <c r="EL418" s="360"/>
      <c r="EM418" s="360"/>
      <c r="EN418" s="360"/>
      <c r="EO418" s="360"/>
      <c r="EP418" s="360"/>
      <c r="EQ418" s="360"/>
    </row>
    <row r="419" spans="1:147" x14ac:dyDescent="0.35">
      <c r="A419" s="228" t="s">
        <v>1673</v>
      </c>
      <c r="B419" s="225"/>
      <c r="C419" s="225" t="s">
        <v>817</v>
      </c>
      <c r="D419" s="225" t="s">
        <v>1496</v>
      </c>
      <c r="E419" s="225" t="s">
        <v>504</v>
      </c>
      <c r="F419" s="225" t="s">
        <v>516</v>
      </c>
      <c r="G419" s="229" t="s">
        <v>1674</v>
      </c>
      <c r="H419" s="226" t="s">
        <v>659</v>
      </c>
      <c r="I419" s="101">
        <v>0</v>
      </c>
      <c r="J419" s="101">
        <v>0</v>
      </c>
      <c r="K419" s="101">
        <v>0</v>
      </c>
      <c r="L419" s="101">
        <v>0</v>
      </c>
      <c r="M419" s="101">
        <v>0</v>
      </c>
      <c r="N419" s="101">
        <v>0</v>
      </c>
      <c r="O419" s="101">
        <v>0</v>
      </c>
      <c r="P419" s="93">
        <v>0</v>
      </c>
      <c r="Q419" s="101">
        <v>0</v>
      </c>
      <c r="R419" s="101">
        <v>0</v>
      </c>
      <c r="S419" s="101">
        <v>0</v>
      </c>
      <c r="T419" s="101">
        <v>0</v>
      </c>
      <c r="U419" s="101">
        <v>0</v>
      </c>
      <c r="V419" s="101">
        <v>0</v>
      </c>
      <c r="W419" s="101">
        <v>0</v>
      </c>
      <c r="X419" s="101">
        <v>10.219178376059206</v>
      </c>
      <c r="Y419" s="101">
        <v>10.219178376059206</v>
      </c>
      <c r="Z419" s="101">
        <v>10.219178376059206</v>
      </c>
      <c r="AA419" s="101">
        <v>10.219178376059206</v>
      </c>
      <c r="AB419" s="101">
        <v>10.219178376059206</v>
      </c>
      <c r="AC419" s="101">
        <v>10.219178376059206</v>
      </c>
      <c r="AD419" s="101">
        <v>10.219178376059206</v>
      </c>
      <c r="AE419" s="186">
        <v>0.08</v>
      </c>
      <c r="AF419" s="93">
        <v>0</v>
      </c>
      <c r="AG419" s="93">
        <v>1</v>
      </c>
      <c r="AH419" s="93">
        <v>1</v>
      </c>
      <c r="AI419" s="16">
        <v>1</v>
      </c>
      <c r="AJ419" s="16" t="s">
        <v>662</v>
      </c>
      <c r="AK419" s="16" t="s">
        <v>745</v>
      </c>
      <c r="AL419" s="16"/>
      <c r="AM419" s="60"/>
      <c r="AN419" s="60"/>
      <c r="AO419" s="60"/>
      <c r="AP419" s="60"/>
      <c r="AQ419" s="60"/>
      <c r="AR419" s="60"/>
      <c r="AS419" s="63"/>
      <c r="AT419" s="63"/>
      <c r="AU419" s="63"/>
      <c r="AV419" s="131"/>
      <c r="AW419" s="131"/>
      <c r="AX419" s="131"/>
      <c r="AY419" s="27" t="s">
        <v>662</v>
      </c>
      <c r="AZ419" s="27"/>
      <c r="BA419" s="27"/>
      <c r="BB419" s="30"/>
      <c r="BC419" s="30"/>
      <c r="BD419" s="30"/>
      <c r="BE419" s="30"/>
      <c r="BF419" s="30"/>
      <c r="BG419" s="30"/>
      <c r="BH419" s="107"/>
      <c r="BI419" s="107"/>
      <c r="BJ419" s="107"/>
      <c r="BK419" s="107"/>
      <c r="BL419" s="136"/>
      <c r="BM419" s="122"/>
      <c r="BN419" s="138"/>
      <c r="BO419" s="93"/>
      <c r="BP419" s="93"/>
      <c r="BQ419" s="93"/>
      <c r="BR419" s="93"/>
      <c r="BS419" s="93"/>
      <c r="BT419" s="93"/>
      <c r="BU419" s="27">
        <f t="shared" si="337"/>
        <v>0</v>
      </c>
      <c r="BV419" s="27"/>
      <c r="BW419" s="27"/>
      <c r="BX419" s="27"/>
      <c r="BY419" s="27"/>
      <c r="BZ419" s="27"/>
      <c r="CA419" s="27"/>
      <c r="CB419" s="364"/>
      <c r="CC419" s="364">
        <f>(($CH$419-$CB$419)/($CH$5-$CB$5))*(CC$5-CB$5)+CB419</f>
        <v>87.375</v>
      </c>
      <c r="CD419" s="364">
        <f>(($CH$419-$CB$419)/($CH$5-$CB$5))*(CD$5-CC$5)+CC419</f>
        <v>233</v>
      </c>
      <c r="CE419" s="364">
        <f>(($CH$419-$CB$419)/($CH$5-$CB$5))*(CE$5-CD$5)+CD419</f>
        <v>378.625</v>
      </c>
      <c r="CF419" s="364">
        <f>(($CH$419-$CB$419)/($CH$5-$CB$5))*(CF$5-CE$5)+CE419</f>
        <v>524.25</v>
      </c>
      <c r="CG419" s="364">
        <f>(($CH$419-$CB$419)/($CH$5-$CB$5))*(CG$5-CF$5)+CF419</f>
        <v>669.875</v>
      </c>
      <c r="CH419" s="364">
        <f>(558+1073)/2</f>
        <v>815.5</v>
      </c>
      <c r="CI419" s="173"/>
      <c r="CJ419" s="173"/>
      <c r="CK419" s="173"/>
      <c r="CL419" s="173"/>
      <c r="CM419" s="173"/>
      <c r="CN419" s="173"/>
      <c r="CO419" s="173"/>
      <c r="CP419" s="174"/>
      <c r="CQ419" s="174"/>
      <c r="CR419" s="174"/>
      <c r="CS419" s="174"/>
      <c r="CT419" s="174"/>
      <c r="CU419" s="174"/>
      <c r="CV419" s="174"/>
      <c r="CW419" s="165"/>
      <c r="CX419" s="166"/>
      <c r="CY419" s="166"/>
      <c r="CZ419" s="166"/>
      <c r="DA419" s="166"/>
      <c r="DB419" s="166"/>
      <c r="DC419" s="166"/>
      <c r="DD419" s="171"/>
      <c r="DE419" s="171"/>
      <c r="DF419" s="171"/>
      <c r="DG419" s="171"/>
      <c r="DH419" s="171"/>
      <c r="DI419" s="171"/>
      <c r="DJ419" s="171"/>
      <c r="DK419" s="79" t="s">
        <v>1675</v>
      </c>
      <c r="DL419" s="128"/>
      <c r="DM419" s="128"/>
      <c r="DN419" s="128"/>
      <c r="DO419" s="128"/>
      <c r="DP419" s="128"/>
      <c r="DQ419" s="128"/>
      <c r="DR419" s="128"/>
      <c r="DS419" s="218"/>
      <c r="DT419" s="360"/>
      <c r="DU419" s="360"/>
      <c r="DV419" s="360"/>
      <c r="DW419" s="360"/>
      <c r="DX419" s="360"/>
      <c r="DY419" s="360"/>
      <c r="DZ419" s="360"/>
      <c r="EA419" s="360"/>
      <c r="EB419" s="360"/>
      <c r="EC419" s="360"/>
      <c r="ED419" s="360"/>
      <c r="EE419" s="360"/>
      <c r="EF419" s="360"/>
      <c r="EG419" s="360"/>
      <c r="EH419" s="360"/>
      <c r="EI419" s="360"/>
      <c r="EJ419" s="360"/>
      <c r="EK419" s="360"/>
      <c r="EL419" s="360"/>
      <c r="EM419" s="360"/>
      <c r="EN419" s="360"/>
      <c r="EO419" s="360"/>
      <c r="EP419" s="360"/>
      <c r="EQ419" s="360"/>
    </row>
    <row r="420" spans="1:147" x14ac:dyDescent="0.35">
      <c r="A420" s="228" t="s">
        <v>1676</v>
      </c>
      <c r="B420" s="225"/>
      <c r="C420" s="225" t="s">
        <v>817</v>
      </c>
      <c r="D420" s="225" t="s">
        <v>1496</v>
      </c>
      <c r="E420" s="225" t="s">
        <v>504</v>
      </c>
      <c r="F420" s="225" t="s">
        <v>516</v>
      </c>
      <c r="G420" s="229" t="s">
        <v>1677</v>
      </c>
      <c r="H420" s="226" t="s">
        <v>659</v>
      </c>
      <c r="I420" s="102">
        <v>0</v>
      </c>
      <c r="J420" s="102">
        <v>0</v>
      </c>
      <c r="K420" s="102">
        <v>0</v>
      </c>
      <c r="L420" s="102">
        <v>0</v>
      </c>
      <c r="M420" s="102">
        <v>0</v>
      </c>
      <c r="N420" s="102">
        <v>0</v>
      </c>
      <c r="O420" s="102">
        <v>0</v>
      </c>
      <c r="P420" s="94">
        <v>0</v>
      </c>
      <c r="Q420" s="102">
        <v>0</v>
      </c>
      <c r="R420" s="102">
        <v>0</v>
      </c>
      <c r="S420" s="102">
        <v>0</v>
      </c>
      <c r="T420" s="102">
        <v>0</v>
      </c>
      <c r="U420" s="102">
        <v>0</v>
      </c>
      <c r="V420" s="102">
        <v>0</v>
      </c>
      <c r="W420" s="102">
        <v>0</v>
      </c>
      <c r="X420" s="102">
        <v>13.379749007830096</v>
      </c>
      <c r="Y420" s="102">
        <v>13.379749007830096</v>
      </c>
      <c r="Z420" s="102">
        <v>13.379749007830096</v>
      </c>
      <c r="AA420" s="102">
        <v>13.379749007830096</v>
      </c>
      <c r="AB420" s="102">
        <v>13.379749007830096</v>
      </c>
      <c r="AC420" s="102">
        <v>13.379749007830096</v>
      </c>
      <c r="AD420" s="102">
        <v>13.379749007830096</v>
      </c>
      <c r="AE420" s="186">
        <v>0.08</v>
      </c>
      <c r="AF420" s="94">
        <v>0</v>
      </c>
      <c r="AG420" s="94">
        <v>1</v>
      </c>
      <c r="AH420" s="94">
        <v>1</v>
      </c>
      <c r="AI420" s="17">
        <v>1</v>
      </c>
      <c r="AJ420" s="17" t="s">
        <v>662</v>
      </c>
      <c r="AK420" s="17" t="s">
        <v>745</v>
      </c>
      <c r="AL420" s="17"/>
      <c r="AM420" s="61"/>
      <c r="AN420" s="61"/>
      <c r="AO420" s="61"/>
      <c r="AP420" s="61"/>
      <c r="AQ420" s="61"/>
      <c r="AR420" s="61"/>
      <c r="AS420" s="64"/>
      <c r="AT420" s="64"/>
      <c r="AU420" s="64"/>
      <c r="AV420" s="132"/>
      <c r="AW420" s="132"/>
      <c r="AX420" s="132"/>
      <c r="AY420" s="28" t="s">
        <v>662</v>
      </c>
      <c r="AZ420" s="28"/>
      <c r="BA420" s="28"/>
      <c r="BB420" s="28"/>
      <c r="BC420" s="28"/>
      <c r="BD420" s="28"/>
      <c r="BE420" s="28"/>
      <c r="BF420" s="28"/>
      <c r="BG420" s="28"/>
      <c r="BH420" s="106"/>
      <c r="BI420" s="106"/>
      <c r="BJ420" s="106"/>
      <c r="BK420" s="106"/>
      <c r="BL420" s="137"/>
      <c r="BM420" s="123"/>
      <c r="BN420" s="139"/>
      <c r="BO420" s="94"/>
      <c r="BP420" s="94"/>
      <c r="BQ420" s="94"/>
      <c r="BR420" s="94"/>
      <c r="BS420" s="94"/>
      <c r="BT420" s="94"/>
      <c r="BU420" s="28">
        <f t="shared" ref="BU420" si="338">IF(BL420=1,BN420,0)</f>
        <v>0</v>
      </c>
      <c r="BV420" s="28"/>
      <c r="BW420" s="28"/>
      <c r="BX420" s="28"/>
      <c r="BY420" s="28"/>
      <c r="BZ420" s="28"/>
      <c r="CA420" s="28"/>
      <c r="CB420" s="364"/>
      <c r="CC420" s="364"/>
      <c r="CD420" s="364"/>
      <c r="CE420" s="364"/>
      <c r="CF420" s="364"/>
      <c r="CG420" s="364"/>
      <c r="CH420" s="364"/>
      <c r="CI420" s="175"/>
      <c r="CJ420" s="175"/>
      <c r="CK420" s="175"/>
      <c r="CL420" s="175"/>
      <c r="CM420" s="175"/>
      <c r="CN420" s="175"/>
      <c r="CO420" s="175"/>
      <c r="CP420" s="176"/>
      <c r="CQ420" s="176"/>
      <c r="CR420" s="176"/>
      <c r="CS420" s="176"/>
      <c r="CT420" s="176"/>
      <c r="CU420" s="176"/>
      <c r="CV420" s="176"/>
      <c r="CW420" s="167"/>
      <c r="CX420" s="168"/>
      <c r="CY420" s="168"/>
      <c r="CZ420" s="168"/>
      <c r="DA420" s="168"/>
      <c r="DB420" s="168"/>
      <c r="DC420" s="168"/>
      <c r="DD420" s="172"/>
      <c r="DE420" s="172"/>
      <c r="DF420" s="172"/>
      <c r="DG420" s="172"/>
      <c r="DH420" s="172"/>
      <c r="DI420" s="172"/>
      <c r="DJ420" s="172"/>
      <c r="DK420" s="79" t="s">
        <v>1675</v>
      </c>
      <c r="DL420" s="129"/>
      <c r="DM420" s="129"/>
      <c r="DN420" s="129"/>
      <c r="DO420" s="129"/>
      <c r="DP420" s="129"/>
      <c r="DQ420" s="129"/>
      <c r="DR420" s="129"/>
      <c r="DS420" s="218"/>
      <c r="DT420" s="360"/>
      <c r="DU420" s="360"/>
      <c r="DV420" s="360"/>
      <c r="DW420" s="360"/>
      <c r="DX420" s="360"/>
      <c r="DY420" s="360"/>
      <c r="DZ420" s="360"/>
      <c r="EA420" s="360"/>
      <c r="EB420" s="360"/>
      <c r="EC420" s="360"/>
      <c r="ED420" s="360"/>
      <c r="EE420" s="360"/>
      <c r="EF420" s="360"/>
      <c r="EG420" s="360"/>
      <c r="EH420" s="360"/>
      <c r="EI420" s="360"/>
      <c r="EJ420" s="360"/>
      <c r="EK420" s="360"/>
      <c r="EL420" s="360"/>
      <c r="EM420" s="360"/>
      <c r="EN420" s="360"/>
      <c r="EO420" s="360"/>
      <c r="EP420" s="360"/>
      <c r="EQ420" s="360"/>
    </row>
    <row r="421" spans="1:147" x14ac:dyDescent="0.35">
      <c r="A421" s="256" t="s">
        <v>1678</v>
      </c>
      <c r="B421" s="5"/>
      <c r="C421" s="5" t="s">
        <v>817</v>
      </c>
      <c r="D421" s="5" t="s">
        <v>1496</v>
      </c>
      <c r="E421" s="5" t="s">
        <v>504</v>
      </c>
      <c r="F421" s="5" t="s">
        <v>517</v>
      </c>
      <c r="G421" s="47" t="s">
        <v>517</v>
      </c>
      <c r="H421" s="47" t="s">
        <v>659</v>
      </c>
      <c r="I421" s="101">
        <v>0</v>
      </c>
      <c r="J421" s="101">
        <v>0</v>
      </c>
      <c r="K421" s="101">
        <v>0</v>
      </c>
      <c r="L421" s="101">
        <v>0</v>
      </c>
      <c r="M421" s="101">
        <v>0</v>
      </c>
      <c r="N421" s="101">
        <v>0</v>
      </c>
      <c r="O421" s="101">
        <v>0</v>
      </c>
      <c r="P421" s="93">
        <v>0</v>
      </c>
      <c r="Q421" s="101">
        <v>0</v>
      </c>
      <c r="R421" s="101">
        <v>0</v>
      </c>
      <c r="S421" s="101">
        <v>0</v>
      </c>
      <c r="T421" s="101">
        <v>0</v>
      </c>
      <c r="U421" s="101">
        <v>0</v>
      </c>
      <c r="V421" s="101">
        <v>0</v>
      </c>
      <c r="W421" s="101">
        <v>0</v>
      </c>
      <c r="X421" s="101">
        <v>8.7788792409765044</v>
      </c>
      <c r="Y421" s="101">
        <v>8.391664958539085</v>
      </c>
      <c r="Z421" s="101">
        <v>8.0047711429009318</v>
      </c>
      <c r="AA421" s="101">
        <v>7.8883480853442647</v>
      </c>
      <c r="AB421" s="101">
        <v>7.7630916668075498</v>
      </c>
      <c r="AC421" s="101">
        <v>7.6504164725612593</v>
      </c>
      <c r="AD421" s="101">
        <v>7.542826045760469</v>
      </c>
      <c r="AE421" s="186">
        <v>0.08</v>
      </c>
      <c r="AF421" s="93">
        <v>0</v>
      </c>
      <c r="AG421" s="93">
        <v>1</v>
      </c>
      <c r="AH421" s="93">
        <v>1</v>
      </c>
      <c r="AI421" s="16">
        <v>1</v>
      </c>
      <c r="AJ421" s="16" t="s">
        <v>662</v>
      </c>
      <c r="AK421" s="16" t="s">
        <v>745</v>
      </c>
      <c r="AL421" s="16"/>
      <c r="AM421" s="60"/>
      <c r="AN421" s="60"/>
      <c r="AO421" s="60"/>
      <c r="AP421" s="60"/>
      <c r="AQ421" s="60"/>
      <c r="AR421" s="60"/>
      <c r="AS421" s="63"/>
      <c r="AT421" s="63"/>
      <c r="AU421" s="63"/>
      <c r="AV421" s="131"/>
      <c r="AW421" s="131"/>
      <c r="AX421" s="131"/>
      <c r="AY421" s="27" t="s">
        <v>662</v>
      </c>
      <c r="AZ421" s="27"/>
      <c r="BA421" s="27"/>
      <c r="BB421" s="30"/>
      <c r="BC421" s="30"/>
      <c r="BD421" s="30"/>
      <c r="BE421" s="30"/>
      <c r="BF421" s="30"/>
      <c r="BG421" s="30"/>
      <c r="BH421" s="107"/>
      <c r="BI421" s="107"/>
      <c r="BJ421" s="107"/>
      <c r="BK421" s="107"/>
      <c r="BL421" s="136"/>
      <c r="BM421" s="122"/>
      <c r="BN421" s="138"/>
      <c r="BO421" s="93"/>
      <c r="BP421" s="93"/>
      <c r="BQ421" s="93"/>
      <c r="BR421" s="93"/>
      <c r="BS421" s="93"/>
      <c r="BT421" s="93"/>
      <c r="BU421" s="27">
        <f t="shared" si="337"/>
        <v>0</v>
      </c>
      <c r="BV421" s="27"/>
      <c r="BW421" s="27"/>
      <c r="BX421" s="27"/>
      <c r="BY421" s="27"/>
      <c r="BZ421" s="27"/>
      <c r="CA421" s="27"/>
      <c r="CB421" s="364">
        <v>11.7</v>
      </c>
      <c r="CC421" s="364">
        <f>SUM(CD421,CB421)/2</f>
        <v>16.799999999999997</v>
      </c>
      <c r="CD421" s="364">
        <v>21.9</v>
      </c>
      <c r="CE421" s="364">
        <f>SUM(CF421,CD421)/2</f>
        <v>20.75</v>
      </c>
      <c r="CF421" s="364">
        <v>19.600000000000001</v>
      </c>
      <c r="CG421" s="364">
        <f>SUM(CH421,CF421)/2</f>
        <v>18.350000000000001</v>
      </c>
      <c r="CH421" s="364">
        <v>17.100000000000001</v>
      </c>
      <c r="CI421" s="173"/>
      <c r="CJ421" s="173"/>
      <c r="CK421" s="173"/>
      <c r="CL421" s="173"/>
      <c r="CM421" s="173"/>
      <c r="CN421" s="173"/>
      <c r="CO421" s="173"/>
      <c r="CP421" s="174"/>
      <c r="CQ421" s="174"/>
      <c r="CR421" s="174"/>
      <c r="CS421" s="174"/>
      <c r="CT421" s="174"/>
      <c r="CU421" s="174"/>
      <c r="CV421" s="174"/>
      <c r="CW421" s="165"/>
      <c r="CX421" s="166"/>
      <c r="CY421" s="166"/>
      <c r="CZ421" s="166"/>
      <c r="DA421" s="166"/>
      <c r="DB421" s="166"/>
      <c r="DC421" s="166"/>
      <c r="DD421" s="171"/>
      <c r="DE421" s="171"/>
      <c r="DF421" s="171"/>
      <c r="DG421" s="171"/>
      <c r="DH421" s="171"/>
      <c r="DI421" s="171"/>
      <c r="DJ421" s="171"/>
      <c r="DK421" s="79" t="s">
        <v>1672</v>
      </c>
      <c r="DL421" s="128">
        <v>23</v>
      </c>
      <c r="DM421" s="128">
        <v>23</v>
      </c>
      <c r="DN421" s="128">
        <v>23</v>
      </c>
      <c r="DO421" s="128">
        <v>23</v>
      </c>
      <c r="DP421" s="128">
        <v>23</v>
      </c>
      <c r="DQ421" s="128">
        <v>23</v>
      </c>
      <c r="DR421" s="128">
        <v>23</v>
      </c>
      <c r="DS421" s="218"/>
      <c r="DT421" s="360"/>
      <c r="DU421" s="360"/>
      <c r="DV421" s="360"/>
      <c r="DW421" s="360"/>
      <c r="DX421" s="360"/>
      <c r="DY421" s="360"/>
      <c r="DZ421" s="360"/>
      <c r="EA421" s="360"/>
      <c r="EB421" s="360"/>
      <c r="EC421" s="360"/>
      <c r="ED421" s="360"/>
      <c r="EE421" s="360"/>
      <c r="EF421" s="360"/>
      <c r="EG421" s="360"/>
      <c r="EH421" s="360"/>
      <c r="EI421" s="360"/>
      <c r="EJ421" s="360"/>
      <c r="EK421" s="360"/>
      <c r="EL421" s="360"/>
      <c r="EM421" s="360"/>
      <c r="EN421" s="360"/>
      <c r="EO421" s="360"/>
      <c r="EP421" s="360"/>
      <c r="EQ421" s="360"/>
    </row>
    <row r="422" spans="1:147" x14ac:dyDescent="0.35">
      <c r="A422" s="256" t="s">
        <v>1679</v>
      </c>
      <c r="B422" s="6"/>
      <c r="C422" s="6" t="s">
        <v>817</v>
      </c>
      <c r="D422" s="6" t="s">
        <v>1496</v>
      </c>
      <c r="E422" s="6" t="s">
        <v>504</v>
      </c>
      <c r="F422" s="6" t="s">
        <v>518</v>
      </c>
      <c r="G422" s="48" t="s">
        <v>518</v>
      </c>
      <c r="H422" s="48" t="s">
        <v>659</v>
      </c>
      <c r="I422" s="102">
        <v>0</v>
      </c>
      <c r="J422" s="102">
        <v>0</v>
      </c>
      <c r="K422" s="102">
        <v>0</v>
      </c>
      <c r="L422" s="102">
        <v>0</v>
      </c>
      <c r="M422" s="102">
        <v>0</v>
      </c>
      <c r="N422" s="102">
        <v>0</v>
      </c>
      <c r="O422" s="102">
        <v>0</v>
      </c>
      <c r="P422" s="94">
        <v>0</v>
      </c>
      <c r="Q422" s="102">
        <v>0</v>
      </c>
      <c r="R422" s="102">
        <v>0</v>
      </c>
      <c r="S422" s="102">
        <v>0</v>
      </c>
      <c r="T422" s="102">
        <v>0</v>
      </c>
      <c r="U422" s="102">
        <v>0</v>
      </c>
      <c r="V422" s="102">
        <v>0</v>
      </c>
      <c r="W422" s="102">
        <v>0</v>
      </c>
      <c r="X422" s="102">
        <v>24.524672376767775</v>
      </c>
      <c r="Y422" s="102">
        <v>29.842114972514675</v>
      </c>
      <c r="Z422" s="102">
        <v>35.164755615493483</v>
      </c>
      <c r="AA422" s="102">
        <v>35.140668964874685</v>
      </c>
      <c r="AB422" s="102">
        <v>35.11921703852488</v>
      </c>
      <c r="AC422" s="102">
        <v>35.094912885493343</v>
      </c>
      <c r="AD422" s="102">
        <v>35.072649622191491</v>
      </c>
      <c r="AE422" s="186">
        <v>0.08</v>
      </c>
      <c r="AF422" s="94">
        <v>0</v>
      </c>
      <c r="AG422" s="94">
        <v>1</v>
      </c>
      <c r="AH422" s="94">
        <v>1</v>
      </c>
      <c r="AI422" s="17">
        <v>1</v>
      </c>
      <c r="AJ422" s="17" t="s">
        <v>662</v>
      </c>
      <c r="AK422" s="17" t="s">
        <v>745</v>
      </c>
      <c r="AL422" s="17"/>
      <c r="AM422" s="61"/>
      <c r="AN422" s="61"/>
      <c r="AO422" s="61"/>
      <c r="AP422" s="61"/>
      <c r="AQ422" s="61"/>
      <c r="AR422" s="61"/>
      <c r="AS422" s="64"/>
      <c r="AT422" s="64"/>
      <c r="AU422" s="64"/>
      <c r="AV422" s="132"/>
      <c r="AW422" s="132"/>
      <c r="AX422" s="132"/>
      <c r="AY422" s="28" t="s">
        <v>662</v>
      </c>
      <c r="AZ422" s="28"/>
      <c r="BA422" s="28"/>
      <c r="BB422" s="28"/>
      <c r="BC422" s="28"/>
      <c r="BD422" s="28"/>
      <c r="BE422" s="28"/>
      <c r="BF422" s="28"/>
      <c r="BG422" s="28"/>
      <c r="BH422" s="106"/>
      <c r="BI422" s="106"/>
      <c r="BJ422" s="106"/>
      <c r="BK422" s="106"/>
      <c r="BL422" s="137"/>
      <c r="BM422" s="123"/>
      <c r="BN422" s="139"/>
      <c r="BO422" s="94"/>
      <c r="BP422" s="94"/>
      <c r="BQ422" s="94"/>
      <c r="BR422" s="94"/>
      <c r="BS422" s="94"/>
      <c r="BT422" s="94"/>
      <c r="BU422" s="28">
        <f t="shared" si="337"/>
        <v>0</v>
      </c>
      <c r="BV422" s="28"/>
      <c r="BW422" s="28"/>
      <c r="BX422" s="28"/>
      <c r="BY422" s="28"/>
      <c r="BZ422" s="28"/>
      <c r="CA422" s="28"/>
      <c r="CB422" s="364">
        <v>5.3</v>
      </c>
      <c r="CC422" s="364">
        <f t="shared" ref="CC422:CG428" si="339">ROUND((CB422+CD422)/2,2)</f>
        <v>5.3</v>
      </c>
      <c r="CD422" s="364">
        <v>5.3</v>
      </c>
      <c r="CE422" s="364">
        <f t="shared" ref="CE422:CE428" si="340">ROUND((CD422+CF422)/2,2)</f>
        <v>5.5</v>
      </c>
      <c r="CF422" s="364">
        <v>5.7</v>
      </c>
      <c r="CG422" s="364">
        <f t="shared" ref="CG422:CG428" si="341">ROUND((CF422+CH422)/2,2)</f>
        <v>5.95</v>
      </c>
      <c r="CH422" s="364">
        <v>6.2</v>
      </c>
      <c r="CI422" s="175"/>
      <c r="CJ422" s="175"/>
      <c r="CK422" s="175"/>
      <c r="CL422" s="175"/>
      <c r="CM422" s="175"/>
      <c r="CN422" s="175"/>
      <c r="CO422" s="175"/>
      <c r="CP422" s="176"/>
      <c r="CQ422" s="176"/>
      <c r="CR422" s="176"/>
      <c r="CS422" s="176"/>
      <c r="CT422" s="176"/>
      <c r="CU422" s="176"/>
      <c r="CV422" s="176"/>
      <c r="CW422" s="167"/>
      <c r="CX422" s="168"/>
      <c r="CY422" s="168"/>
      <c r="CZ422" s="168"/>
      <c r="DA422" s="168"/>
      <c r="DB422" s="168"/>
      <c r="DC422" s="168"/>
      <c r="DD422" s="172"/>
      <c r="DE422" s="172"/>
      <c r="DF422" s="172"/>
      <c r="DG422" s="172"/>
      <c r="DH422" s="172"/>
      <c r="DI422" s="172"/>
      <c r="DJ422" s="172"/>
      <c r="DK422" s="80" t="s">
        <v>1672</v>
      </c>
      <c r="DL422" s="129">
        <v>9.52</v>
      </c>
      <c r="DM422" s="129">
        <v>9.52</v>
      </c>
      <c r="DN422" s="129">
        <v>9.52</v>
      </c>
      <c r="DO422" s="129">
        <v>9.52</v>
      </c>
      <c r="DP422" s="129">
        <v>9.52</v>
      </c>
      <c r="DQ422" s="129">
        <v>9.52</v>
      </c>
      <c r="DR422" s="129">
        <v>9.52</v>
      </c>
      <c r="DS422" s="218"/>
      <c r="DT422" s="360"/>
      <c r="DU422" s="360"/>
      <c r="DV422" s="360"/>
      <c r="DW422" s="360"/>
      <c r="DX422" s="360"/>
      <c r="DY422" s="360"/>
      <c r="DZ422" s="360"/>
      <c r="EA422" s="360"/>
      <c r="EB422" s="360"/>
      <c r="EC422" s="360"/>
      <c r="ED422" s="360"/>
      <c r="EE422" s="360"/>
      <c r="EF422" s="360"/>
      <c r="EG422" s="360"/>
      <c r="EH422" s="360"/>
      <c r="EI422" s="360"/>
      <c r="EJ422" s="360"/>
      <c r="EK422" s="360"/>
      <c r="EL422" s="360"/>
      <c r="EM422" s="360"/>
      <c r="EN422" s="360"/>
      <c r="EO422" s="360"/>
      <c r="EP422" s="360"/>
      <c r="EQ422" s="360"/>
    </row>
    <row r="423" spans="1:147" x14ac:dyDescent="0.35">
      <c r="A423" s="256" t="s">
        <v>1680</v>
      </c>
      <c r="B423" s="5"/>
      <c r="C423" s="5" t="s">
        <v>817</v>
      </c>
      <c r="D423" s="5" t="s">
        <v>1496</v>
      </c>
      <c r="E423" s="5" t="s">
        <v>504</v>
      </c>
      <c r="F423" s="5" t="s">
        <v>519</v>
      </c>
      <c r="G423" s="47" t="s">
        <v>519</v>
      </c>
      <c r="H423" s="47" t="s">
        <v>659</v>
      </c>
      <c r="I423" s="101">
        <v>0</v>
      </c>
      <c r="J423" s="101">
        <v>0</v>
      </c>
      <c r="K423" s="101">
        <v>0</v>
      </c>
      <c r="L423" s="101">
        <v>0</v>
      </c>
      <c r="M423" s="101">
        <v>0</v>
      </c>
      <c r="N423" s="101">
        <v>0</v>
      </c>
      <c r="O423" s="101">
        <v>0</v>
      </c>
      <c r="P423" s="93">
        <v>0</v>
      </c>
      <c r="Q423" s="101">
        <v>0</v>
      </c>
      <c r="R423" s="101">
        <v>0</v>
      </c>
      <c r="S423" s="101">
        <v>0</v>
      </c>
      <c r="T423" s="101">
        <v>0</v>
      </c>
      <c r="U423" s="101">
        <v>0</v>
      </c>
      <c r="V423" s="101">
        <v>0</v>
      </c>
      <c r="W423" s="101">
        <v>0</v>
      </c>
      <c r="X423" s="101">
        <v>7.8138866786022856</v>
      </c>
      <c r="Y423" s="101">
        <v>7.421636075654523</v>
      </c>
      <c r="Z423" s="101">
        <v>7.0324980107420574</v>
      </c>
      <c r="AA423" s="101">
        <v>6.6803875896766982</v>
      </c>
      <c r="AB423" s="101">
        <v>6.32924820966785</v>
      </c>
      <c r="AC423" s="101">
        <v>6.0123488307090289</v>
      </c>
      <c r="AD423" s="101">
        <v>5.6963233887010656</v>
      </c>
      <c r="AE423" s="186">
        <v>0.08</v>
      </c>
      <c r="AF423" s="93">
        <v>0</v>
      </c>
      <c r="AG423" s="93">
        <v>1</v>
      </c>
      <c r="AH423" s="93">
        <v>1</v>
      </c>
      <c r="AI423" s="16">
        <v>1</v>
      </c>
      <c r="AJ423" s="16" t="s">
        <v>662</v>
      </c>
      <c r="AK423" s="16" t="s">
        <v>745</v>
      </c>
      <c r="AL423" s="16"/>
      <c r="AM423" s="60"/>
      <c r="AN423" s="60"/>
      <c r="AO423" s="60"/>
      <c r="AP423" s="60"/>
      <c r="AQ423" s="60"/>
      <c r="AR423" s="60"/>
      <c r="AS423" s="63"/>
      <c r="AT423" s="63"/>
      <c r="AU423" s="63"/>
      <c r="AV423" s="131"/>
      <c r="AW423" s="131"/>
      <c r="AX423" s="131"/>
      <c r="AY423" s="27" t="s">
        <v>662</v>
      </c>
      <c r="AZ423" s="27"/>
      <c r="BA423" s="27"/>
      <c r="BB423" s="30"/>
      <c r="BC423" s="30"/>
      <c r="BD423" s="30"/>
      <c r="BE423" s="30"/>
      <c r="BF423" s="30"/>
      <c r="BG423" s="30"/>
      <c r="BH423" s="107"/>
      <c r="BI423" s="107"/>
      <c r="BJ423" s="107"/>
      <c r="BK423" s="107"/>
      <c r="BL423" s="136"/>
      <c r="BM423" s="122"/>
      <c r="BN423" s="138"/>
      <c r="BO423" s="93"/>
      <c r="BP423" s="93"/>
      <c r="BQ423" s="93"/>
      <c r="BR423" s="93"/>
      <c r="BS423" s="93"/>
      <c r="BT423" s="93"/>
      <c r="BU423" s="27">
        <f t="shared" si="337"/>
        <v>0</v>
      </c>
      <c r="BV423" s="27"/>
      <c r="BW423" s="27"/>
      <c r="BX423" s="27"/>
      <c r="BY423" s="27"/>
      <c r="BZ423" s="27"/>
      <c r="CA423" s="27"/>
      <c r="CB423" s="364">
        <v>0.3</v>
      </c>
      <c r="CC423" s="364">
        <f t="shared" si="339"/>
        <v>0.35</v>
      </c>
      <c r="CD423" s="364">
        <v>0.4</v>
      </c>
      <c r="CE423" s="364">
        <f t="shared" si="339"/>
        <v>0.4</v>
      </c>
      <c r="CF423" s="364">
        <v>0.4</v>
      </c>
      <c r="CG423" s="364">
        <f t="shared" si="339"/>
        <v>0.45</v>
      </c>
      <c r="CH423" s="364">
        <v>0.5</v>
      </c>
      <c r="CI423" s="173"/>
      <c r="CJ423" s="173"/>
      <c r="CK423" s="173"/>
      <c r="CL423" s="173"/>
      <c r="CM423" s="173"/>
      <c r="CN423" s="173"/>
      <c r="CO423" s="173"/>
      <c r="CP423" s="174"/>
      <c r="CQ423" s="174"/>
      <c r="CR423" s="174"/>
      <c r="CS423" s="174"/>
      <c r="CT423" s="174"/>
      <c r="CU423" s="174"/>
      <c r="CV423" s="174"/>
      <c r="CW423" s="165"/>
      <c r="CX423" s="166"/>
      <c r="CY423" s="166"/>
      <c r="CZ423" s="166"/>
      <c r="DA423" s="166"/>
      <c r="DB423" s="166"/>
      <c r="DC423" s="166"/>
      <c r="DD423" s="171"/>
      <c r="DE423" s="171"/>
      <c r="DF423" s="171"/>
      <c r="DG423" s="171"/>
      <c r="DH423" s="171"/>
      <c r="DI423" s="171"/>
      <c r="DJ423" s="171"/>
      <c r="DK423" s="79" t="s">
        <v>1672</v>
      </c>
      <c r="DL423" s="128">
        <v>5.6</v>
      </c>
      <c r="DM423" s="128">
        <v>5.6</v>
      </c>
      <c r="DN423" s="128">
        <v>5.6</v>
      </c>
      <c r="DO423" s="128">
        <v>5.6</v>
      </c>
      <c r="DP423" s="128">
        <v>5.6</v>
      </c>
      <c r="DQ423" s="128">
        <v>5.6</v>
      </c>
      <c r="DR423" s="128">
        <v>5.6</v>
      </c>
      <c r="DS423" s="218"/>
      <c r="DT423" s="360"/>
      <c r="DU423" s="360"/>
      <c r="DV423" s="360"/>
      <c r="DW423" s="360"/>
      <c r="DX423" s="360"/>
      <c r="DY423" s="360"/>
      <c r="DZ423" s="360"/>
      <c r="EA423" s="360"/>
      <c r="EB423" s="360"/>
      <c r="EC423" s="360"/>
      <c r="ED423" s="360"/>
      <c r="EE423" s="360"/>
      <c r="EF423" s="360"/>
      <c r="EG423" s="360"/>
      <c r="EH423" s="360"/>
      <c r="EI423" s="360"/>
      <c r="EJ423" s="360"/>
      <c r="EK423" s="360"/>
      <c r="EL423" s="360"/>
      <c r="EM423" s="360"/>
      <c r="EN423" s="360"/>
      <c r="EO423" s="360"/>
      <c r="EP423" s="360"/>
      <c r="EQ423" s="360"/>
    </row>
    <row r="424" spans="1:147" x14ac:dyDescent="0.35">
      <c r="A424" s="256" t="s">
        <v>1681</v>
      </c>
      <c r="B424" s="6"/>
      <c r="C424" s="6" t="s">
        <v>817</v>
      </c>
      <c r="D424" s="6" t="s">
        <v>1496</v>
      </c>
      <c r="E424" s="6" t="s">
        <v>504</v>
      </c>
      <c r="F424" s="6" t="s">
        <v>520</v>
      </c>
      <c r="G424" s="48" t="s">
        <v>520</v>
      </c>
      <c r="H424" s="48" t="s">
        <v>659</v>
      </c>
      <c r="I424" s="102">
        <v>0</v>
      </c>
      <c r="J424" s="102">
        <v>0</v>
      </c>
      <c r="K424" s="102">
        <v>0</v>
      </c>
      <c r="L424" s="102">
        <v>0</v>
      </c>
      <c r="M424" s="102">
        <v>0</v>
      </c>
      <c r="N424" s="102">
        <v>0</v>
      </c>
      <c r="O424" s="102">
        <v>0</v>
      </c>
      <c r="P424" s="94">
        <v>0</v>
      </c>
      <c r="Q424" s="102">
        <v>0</v>
      </c>
      <c r="R424" s="102">
        <v>0</v>
      </c>
      <c r="S424" s="102">
        <v>0</v>
      </c>
      <c r="T424" s="102">
        <v>0</v>
      </c>
      <c r="U424" s="102">
        <v>0</v>
      </c>
      <c r="V424" s="102">
        <v>0</v>
      </c>
      <c r="W424" s="102">
        <v>0</v>
      </c>
      <c r="X424" s="102">
        <v>6.3851272402633494</v>
      </c>
      <c r="Y424" s="102">
        <v>6.4058511133886142</v>
      </c>
      <c r="Z424" s="102">
        <v>6.4278416655331334</v>
      </c>
      <c r="AA424" s="102">
        <v>6.4424559768936929</v>
      </c>
      <c r="AB424" s="102">
        <v>6.4612893010480148</v>
      </c>
      <c r="AC424" s="102">
        <v>6.4699096245225007</v>
      </c>
      <c r="AD424" s="102">
        <v>6.4779056770623216</v>
      </c>
      <c r="AE424" s="186">
        <v>0.08</v>
      </c>
      <c r="AF424" s="94">
        <v>0</v>
      </c>
      <c r="AG424" s="94">
        <v>1</v>
      </c>
      <c r="AH424" s="94">
        <v>1</v>
      </c>
      <c r="AI424" s="17">
        <v>1</v>
      </c>
      <c r="AJ424" s="17" t="s">
        <v>662</v>
      </c>
      <c r="AK424" s="17" t="s">
        <v>745</v>
      </c>
      <c r="AL424" s="17"/>
      <c r="AM424" s="61"/>
      <c r="AN424" s="61"/>
      <c r="AO424" s="61"/>
      <c r="AP424" s="61"/>
      <c r="AQ424" s="61"/>
      <c r="AR424" s="61"/>
      <c r="AS424" s="64"/>
      <c r="AT424" s="64"/>
      <c r="AU424" s="64"/>
      <c r="AV424" s="132"/>
      <c r="AW424" s="132"/>
      <c r="AX424" s="132"/>
      <c r="AY424" s="28" t="s">
        <v>662</v>
      </c>
      <c r="AZ424" s="28"/>
      <c r="BA424" s="28"/>
      <c r="BB424" s="28"/>
      <c r="BC424" s="28"/>
      <c r="BD424" s="28"/>
      <c r="BE424" s="28"/>
      <c r="BF424" s="28"/>
      <c r="BG424" s="28"/>
      <c r="BH424" s="106"/>
      <c r="BI424" s="106"/>
      <c r="BJ424" s="106"/>
      <c r="BK424" s="106"/>
      <c r="BL424" s="137"/>
      <c r="BM424" s="123"/>
      <c r="BN424" s="139"/>
      <c r="BO424" s="94"/>
      <c r="BP424" s="94"/>
      <c r="BQ424" s="94"/>
      <c r="BR424" s="94"/>
      <c r="BS424" s="94"/>
      <c r="BT424" s="94"/>
      <c r="BU424" s="28">
        <f t="shared" si="337"/>
        <v>0</v>
      </c>
      <c r="BV424" s="28"/>
      <c r="BW424" s="28"/>
      <c r="BX424" s="28"/>
      <c r="BY424" s="28"/>
      <c r="BZ424" s="28"/>
      <c r="CA424" s="28"/>
      <c r="CB424" s="389">
        <v>71.900000000000006</v>
      </c>
      <c r="CC424" s="364">
        <f>SUM(CD424,CB424)/2</f>
        <v>71.900000000000006</v>
      </c>
      <c r="CD424" s="364">
        <v>71.900000000000006</v>
      </c>
      <c r="CE424" s="364">
        <f>SUM(CF424,CD424)/2</f>
        <v>71.900000000000006</v>
      </c>
      <c r="CF424" s="364">
        <v>71.900000000000006</v>
      </c>
      <c r="CG424" s="364">
        <f>SUM(CH424,CF424)/2</f>
        <v>71.900000000000006</v>
      </c>
      <c r="CH424" s="364">
        <v>71.900000000000006</v>
      </c>
      <c r="CI424" s="175"/>
      <c r="CJ424" s="175"/>
      <c r="CK424" s="175"/>
      <c r="CL424" s="175"/>
      <c r="CM424" s="175"/>
      <c r="CN424" s="175"/>
      <c r="CO424" s="175"/>
      <c r="CP424" s="176"/>
      <c r="CQ424" s="176"/>
      <c r="CR424" s="176"/>
      <c r="CS424" s="176"/>
      <c r="CT424" s="176"/>
      <c r="CU424" s="176"/>
      <c r="CV424" s="176"/>
      <c r="CW424" s="167"/>
      <c r="CX424" s="168"/>
      <c r="CY424" s="168"/>
      <c r="CZ424" s="168"/>
      <c r="DA424" s="168"/>
      <c r="DB424" s="168"/>
      <c r="DC424" s="168"/>
      <c r="DD424" s="172"/>
      <c r="DE424" s="172"/>
      <c r="DF424" s="172"/>
      <c r="DG424" s="172"/>
      <c r="DH424" s="172"/>
      <c r="DI424" s="172"/>
      <c r="DJ424" s="172"/>
      <c r="DK424" s="80" t="s">
        <v>1672</v>
      </c>
      <c r="DL424" s="129">
        <v>71.900000000000006</v>
      </c>
      <c r="DM424" s="129">
        <v>71.900000000000006</v>
      </c>
      <c r="DN424" s="129">
        <v>71.900000000000006</v>
      </c>
      <c r="DO424" s="129">
        <v>71.900000000000006</v>
      </c>
      <c r="DP424" s="129">
        <v>71.900000000000006</v>
      </c>
      <c r="DQ424" s="129">
        <v>71.900000000000006</v>
      </c>
      <c r="DR424" s="129">
        <v>71.900000000000006</v>
      </c>
      <c r="DS424" s="218"/>
      <c r="DT424" s="360"/>
      <c r="DU424" s="360"/>
      <c r="DV424" s="360"/>
      <c r="DW424" s="360"/>
      <c r="DX424" s="360"/>
      <c r="DY424" s="360"/>
      <c r="DZ424" s="360"/>
      <c r="EA424" s="360"/>
      <c r="EB424" s="360"/>
      <c r="EC424" s="360"/>
      <c r="ED424" s="360"/>
      <c r="EE424" s="360"/>
      <c r="EF424" s="360"/>
      <c r="EG424" s="360"/>
      <c r="EH424" s="360"/>
      <c r="EI424" s="360"/>
      <c r="EJ424" s="360"/>
      <c r="EK424" s="360"/>
      <c r="EL424" s="360"/>
      <c r="EM424" s="360"/>
      <c r="EN424" s="360"/>
      <c r="EO424" s="360"/>
      <c r="EP424" s="360"/>
      <c r="EQ424" s="360"/>
    </row>
    <row r="425" spans="1:147" x14ac:dyDescent="0.35">
      <c r="A425" s="256" t="s">
        <v>1682</v>
      </c>
      <c r="B425" s="5"/>
      <c r="C425" s="5" t="s">
        <v>817</v>
      </c>
      <c r="D425" s="5" t="s">
        <v>1496</v>
      </c>
      <c r="E425" s="5" t="s">
        <v>504</v>
      </c>
      <c r="F425" s="5" t="s">
        <v>521</v>
      </c>
      <c r="G425" s="47" t="s">
        <v>521</v>
      </c>
      <c r="H425" s="47" t="s">
        <v>659</v>
      </c>
      <c r="I425" s="101">
        <v>0</v>
      </c>
      <c r="J425" s="101">
        <v>0</v>
      </c>
      <c r="K425" s="101">
        <v>0</v>
      </c>
      <c r="L425" s="101">
        <v>0</v>
      </c>
      <c r="M425" s="101">
        <v>0</v>
      </c>
      <c r="N425" s="101">
        <v>0</v>
      </c>
      <c r="O425" s="101">
        <v>0</v>
      </c>
      <c r="P425" s="93">
        <v>0</v>
      </c>
      <c r="Q425" s="101">
        <v>0</v>
      </c>
      <c r="R425" s="101">
        <v>0</v>
      </c>
      <c r="S425" s="101">
        <v>0</v>
      </c>
      <c r="T425" s="101">
        <v>0</v>
      </c>
      <c r="U425" s="101">
        <v>0</v>
      </c>
      <c r="V425" s="101">
        <v>0</v>
      </c>
      <c r="W425" s="101">
        <v>0</v>
      </c>
      <c r="X425" s="101">
        <v>3.9610952476502908</v>
      </c>
      <c r="Y425" s="101">
        <v>4.0905934966924438</v>
      </c>
      <c r="Z425" s="101">
        <v>4.2240080362989163</v>
      </c>
      <c r="AA425" s="101">
        <v>4.2370129507127547</v>
      </c>
      <c r="AB425" s="101">
        <v>4.2502031462363909</v>
      </c>
      <c r="AC425" s="101">
        <v>4.2644665983415635</v>
      </c>
      <c r="AD425" s="101">
        <v>4.2763982561738558</v>
      </c>
      <c r="AE425" s="186">
        <v>0.08</v>
      </c>
      <c r="AF425" s="93">
        <v>0</v>
      </c>
      <c r="AG425" s="93">
        <v>1</v>
      </c>
      <c r="AH425" s="93">
        <v>1</v>
      </c>
      <c r="AI425" s="16">
        <v>1</v>
      </c>
      <c r="AJ425" s="16" t="s">
        <v>662</v>
      </c>
      <c r="AK425" s="16" t="s">
        <v>745</v>
      </c>
      <c r="AL425" s="16"/>
      <c r="AM425" s="60"/>
      <c r="AN425" s="60"/>
      <c r="AO425" s="60"/>
      <c r="AP425" s="60"/>
      <c r="AQ425" s="60"/>
      <c r="AR425" s="60"/>
      <c r="AS425" s="63"/>
      <c r="AT425" s="63"/>
      <c r="AU425" s="63"/>
      <c r="AV425" s="131"/>
      <c r="AW425" s="131"/>
      <c r="AX425" s="131"/>
      <c r="AY425" s="27" t="s">
        <v>662</v>
      </c>
      <c r="AZ425" s="27"/>
      <c r="BA425" s="27"/>
      <c r="BB425" s="30"/>
      <c r="BC425" s="30"/>
      <c r="BD425" s="30"/>
      <c r="BE425" s="30"/>
      <c r="BF425" s="30"/>
      <c r="BG425" s="30"/>
      <c r="BH425" s="107"/>
      <c r="BI425" s="107"/>
      <c r="BJ425" s="107"/>
      <c r="BK425" s="107"/>
      <c r="BL425" s="136"/>
      <c r="BM425" s="122"/>
      <c r="BN425" s="138"/>
      <c r="BO425" s="93"/>
      <c r="BP425" s="93"/>
      <c r="BQ425" s="93"/>
      <c r="BR425" s="93"/>
      <c r="BS425" s="93"/>
      <c r="BT425" s="93"/>
      <c r="BU425" s="27">
        <f t="shared" si="337"/>
        <v>0</v>
      </c>
      <c r="BV425" s="27"/>
      <c r="BW425" s="27"/>
      <c r="BX425" s="27"/>
      <c r="BY425" s="27"/>
      <c r="BZ425" s="27"/>
      <c r="CA425" s="27"/>
      <c r="CB425" s="364">
        <v>14.2</v>
      </c>
      <c r="CC425" s="364">
        <f>SUM(CD425,CB425)/2</f>
        <v>17.549999999999997</v>
      </c>
      <c r="CD425" s="364">
        <v>20.9</v>
      </c>
      <c r="CE425" s="364">
        <f>SUM(CF425,CD425)/2</f>
        <v>19.25</v>
      </c>
      <c r="CF425" s="364">
        <v>17.600000000000001</v>
      </c>
      <c r="CG425" s="364">
        <f>SUM(CH425,CF425)/2</f>
        <v>16</v>
      </c>
      <c r="CH425" s="364">
        <v>14.4</v>
      </c>
      <c r="CI425" s="173"/>
      <c r="CJ425" s="173"/>
      <c r="CK425" s="173"/>
      <c r="CL425" s="173"/>
      <c r="CM425" s="173"/>
      <c r="CN425" s="173"/>
      <c r="CO425" s="173"/>
      <c r="CP425" s="174"/>
      <c r="CQ425" s="174"/>
      <c r="CR425" s="174"/>
      <c r="CS425" s="174"/>
      <c r="CT425" s="174"/>
      <c r="CU425" s="174"/>
      <c r="CV425" s="174"/>
      <c r="CW425" s="165"/>
      <c r="CX425" s="166"/>
      <c r="CY425" s="166"/>
      <c r="CZ425" s="166"/>
      <c r="DA425" s="166"/>
      <c r="DB425" s="166"/>
      <c r="DC425" s="166"/>
      <c r="DD425" s="171"/>
      <c r="DE425" s="171"/>
      <c r="DF425" s="171"/>
      <c r="DG425" s="171"/>
      <c r="DH425" s="171"/>
      <c r="DI425" s="171"/>
      <c r="DJ425" s="171"/>
      <c r="DK425" s="79" t="s">
        <v>1672</v>
      </c>
      <c r="DL425" s="128">
        <v>15.79</v>
      </c>
      <c r="DM425" s="128">
        <v>15.79</v>
      </c>
      <c r="DN425" s="128">
        <v>15.79</v>
      </c>
      <c r="DO425" s="128">
        <v>15.79</v>
      </c>
      <c r="DP425" s="128">
        <v>15.79</v>
      </c>
      <c r="DQ425" s="128">
        <v>15.79</v>
      </c>
      <c r="DR425" s="128">
        <v>15.79</v>
      </c>
      <c r="DS425" s="218"/>
      <c r="DT425" s="360"/>
      <c r="DU425" s="360"/>
      <c r="DV425" s="360"/>
      <c r="DW425" s="360"/>
      <c r="DX425" s="360"/>
      <c r="DY425" s="360"/>
      <c r="DZ425" s="360"/>
      <c r="EA425" s="360"/>
      <c r="EB425" s="360"/>
      <c r="EC425" s="360"/>
      <c r="ED425" s="360"/>
      <c r="EE425" s="360"/>
      <c r="EF425" s="360"/>
      <c r="EG425" s="360"/>
      <c r="EH425" s="360"/>
      <c r="EI425" s="360"/>
      <c r="EJ425" s="360"/>
      <c r="EK425" s="360"/>
      <c r="EL425" s="360"/>
      <c r="EM425" s="360"/>
      <c r="EN425" s="360"/>
      <c r="EO425" s="360"/>
      <c r="EP425" s="360"/>
      <c r="EQ425" s="360"/>
    </row>
    <row r="426" spans="1:147" x14ac:dyDescent="0.35">
      <c r="A426" s="256" t="s">
        <v>1683</v>
      </c>
      <c r="B426" s="6"/>
      <c r="C426" s="6" t="s">
        <v>817</v>
      </c>
      <c r="D426" s="6" t="s">
        <v>1496</v>
      </c>
      <c r="E426" s="6" t="s">
        <v>504</v>
      </c>
      <c r="F426" s="6" t="s">
        <v>522</v>
      </c>
      <c r="G426" s="48" t="s">
        <v>522</v>
      </c>
      <c r="H426" s="48" t="s">
        <v>659</v>
      </c>
      <c r="I426" s="102">
        <v>0</v>
      </c>
      <c r="J426" s="102">
        <v>0</v>
      </c>
      <c r="K426" s="102">
        <v>0</v>
      </c>
      <c r="L426" s="102">
        <v>0</v>
      </c>
      <c r="M426" s="102">
        <v>0</v>
      </c>
      <c r="N426" s="102">
        <v>0</v>
      </c>
      <c r="O426" s="102">
        <v>0</v>
      </c>
      <c r="P426" s="94">
        <v>0</v>
      </c>
      <c r="Q426" s="102">
        <v>0</v>
      </c>
      <c r="R426" s="102">
        <v>0</v>
      </c>
      <c r="S426" s="102">
        <v>0</v>
      </c>
      <c r="T426" s="102">
        <v>0</v>
      </c>
      <c r="U426" s="102">
        <v>0</v>
      </c>
      <c r="V426" s="102">
        <v>0</v>
      </c>
      <c r="W426" s="102">
        <v>0</v>
      </c>
      <c r="X426" s="102">
        <v>14.6419454020311</v>
      </c>
      <c r="Y426" s="102">
        <v>16.929749371098481</v>
      </c>
      <c r="Z426" s="102">
        <v>19.217553340165843</v>
      </c>
      <c r="AA426" s="102">
        <v>19.446333737072582</v>
      </c>
      <c r="AB426" s="102">
        <v>19.675114133979317</v>
      </c>
      <c r="AC426" s="102">
        <v>19.903894530886053</v>
      </c>
      <c r="AD426" s="102">
        <v>20.132674927792788</v>
      </c>
      <c r="AE426" s="186">
        <v>0.08</v>
      </c>
      <c r="AF426" s="94">
        <v>0</v>
      </c>
      <c r="AG426" s="94">
        <v>1</v>
      </c>
      <c r="AH426" s="94">
        <v>1</v>
      </c>
      <c r="AI426" s="17">
        <v>1</v>
      </c>
      <c r="AJ426" s="17" t="s">
        <v>662</v>
      </c>
      <c r="AK426" s="17" t="s">
        <v>745</v>
      </c>
      <c r="AL426" s="17"/>
      <c r="AM426" s="61"/>
      <c r="AN426" s="61"/>
      <c r="AO426" s="61"/>
      <c r="AP426" s="61"/>
      <c r="AQ426" s="61"/>
      <c r="AR426" s="61"/>
      <c r="AS426" s="64"/>
      <c r="AT426" s="64"/>
      <c r="AU426" s="64"/>
      <c r="AV426" s="132"/>
      <c r="AW426" s="132"/>
      <c r="AX426" s="132"/>
      <c r="AY426" s="28" t="s">
        <v>662</v>
      </c>
      <c r="AZ426" s="28"/>
      <c r="BA426" s="28"/>
      <c r="BB426" s="28"/>
      <c r="BC426" s="28"/>
      <c r="BD426" s="28"/>
      <c r="BE426" s="28"/>
      <c r="BF426" s="28"/>
      <c r="BG426" s="28"/>
      <c r="BH426" s="106"/>
      <c r="BI426" s="106"/>
      <c r="BJ426" s="106"/>
      <c r="BK426" s="106"/>
      <c r="BL426" s="137"/>
      <c r="BM426" s="123"/>
      <c r="BN426" s="139"/>
      <c r="BO426" s="94"/>
      <c r="BP426" s="94"/>
      <c r="BQ426" s="94"/>
      <c r="BR426" s="94"/>
      <c r="BS426" s="94"/>
      <c r="BT426" s="94"/>
      <c r="BU426" s="28">
        <f t="shared" si="337"/>
        <v>0</v>
      </c>
      <c r="BV426" s="28"/>
      <c r="BW426" s="28"/>
      <c r="BX426" s="28"/>
      <c r="BY426" s="28"/>
      <c r="BZ426" s="28"/>
      <c r="CA426" s="28"/>
      <c r="CB426" s="304"/>
      <c r="CC426" s="304"/>
      <c r="CD426" s="304"/>
      <c r="CE426" s="304"/>
      <c r="CF426" s="304"/>
      <c r="CG426" s="304"/>
      <c r="CH426" s="304"/>
      <c r="CI426" s="175"/>
      <c r="CJ426" s="175"/>
      <c r="CK426" s="175"/>
      <c r="CL426" s="175"/>
      <c r="CM426" s="175"/>
      <c r="CN426" s="175"/>
      <c r="CO426" s="175"/>
      <c r="CP426" s="176"/>
      <c r="CQ426" s="176"/>
      <c r="CR426" s="176"/>
      <c r="CS426" s="176"/>
      <c r="CT426" s="176"/>
      <c r="CU426" s="176"/>
      <c r="CV426" s="176"/>
      <c r="CW426" s="167"/>
      <c r="CX426" s="168"/>
      <c r="CY426" s="168"/>
      <c r="CZ426" s="168"/>
      <c r="DA426" s="168"/>
      <c r="DB426" s="168"/>
      <c r="DC426" s="168"/>
      <c r="DD426" s="172"/>
      <c r="DE426" s="172"/>
      <c r="DF426" s="172"/>
      <c r="DG426" s="172"/>
      <c r="DH426" s="172"/>
      <c r="DI426" s="172"/>
      <c r="DJ426" s="172"/>
      <c r="DK426" s="80" t="s">
        <v>1672</v>
      </c>
      <c r="DL426" s="129">
        <v>0.62</v>
      </c>
      <c r="DM426" s="129">
        <v>0.62</v>
      </c>
      <c r="DN426" s="129">
        <v>0.62</v>
      </c>
      <c r="DO426" s="129">
        <v>0.62</v>
      </c>
      <c r="DP426" s="129">
        <v>0.62</v>
      </c>
      <c r="DQ426" s="129">
        <v>0.62</v>
      </c>
      <c r="DR426" s="129">
        <v>0.62</v>
      </c>
      <c r="DS426" s="218"/>
      <c r="DT426" s="360"/>
      <c r="DU426" s="360"/>
      <c r="DV426" s="360"/>
      <c r="DW426" s="360"/>
      <c r="DX426" s="360"/>
      <c r="DY426" s="360"/>
      <c r="DZ426" s="360"/>
      <c r="EA426" s="360"/>
      <c r="EB426" s="360"/>
      <c r="EC426" s="360"/>
      <c r="ED426" s="360"/>
      <c r="EE426" s="360"/>
      <c r="EF426" s="360"/>
      <c r="EG426" s="360"/>
      <c r="EH426" s="360"/>
      <c r="EI426" s="360"/>
      <c r="EJ426" s="360"/>
      <c r="EK426" s="360"/>
      <c r="EL426" s="360"/>
      <c r="EM426" s="360"/>
      <c r="EN426" s="360"/>
      <c r="EO426" s="360"/>
      <c r="EP426" s="360"/>
      <c r="EQ426" s="360"/>
    </row>
    <row r="427" spans="1:147" x14ac:dyDescent="0.35">
      <c r="A427" s="5" t="s">
        <v>1684</v>
      </c>
      <c r="B427" s="5"/>
      <c r="C427" s="5" t="s">
        <v>817</v>
      </c>
      <c r="D427" s="5" t="s">
        <v>1496</v>
      </c>
      <c r="E427" s="5" t="s">
        <v>1497</v>
      </c>
      <c r="F427" s="5" t="s">
        <v>523</v>
      </c>
      <c r="G427" s="47" t="s">
        <v>523</v>
      </c>
      <c r="H427" s="47" t="s">
        <v>659</v>
      </c>
      <c r="I427" s="101">
        <v>0</v>
      </c>
      <c r="J427" s="101">
        <v>0</v>
      </c>
      <c r="K427" s="101">
        <v>0</v>
      </c>
      <c r="L427" s="101">
        <v>0</v>
      </c>
      <c r="M427" s="101">
        <v>0</v>
      </c>
      <c r="N427" s="101">
        <v>0</v>
      </c>
      <c r="O427" s="101">
        <v>0</v>
      </c>
      <c r="P427" s="93">
        <v>0</v>
      </c>
      <c r="Q427" s="101">
        <v>0</v>
      </c>
      <c r="R427" s="101">
        <v>0</v>
      </c>
      <c r="S427" s="101">
        <v>0</v>
      </c>
      <c r="T427" s="101">
        <v>0</v>
      </c>
      <c r="U427" s="101">
        <v>0</v>
      </c>
      <c r="V427" s="101">
        <v>0</v>
      </c>
      <c r="W427" s="101">
        <v>0</v>
      </c>
      <c r="X427" s="101">
        <v>24.524672376767775</v>
      </c>
      <c r="Y427" s="101">
        <v>29.842114972514675</v>
      </c>
      <c r="Z427" s="101">
        <v>35.164755615493483</v>
      </c>
      <c r="AA427" s="101">
        <v>35.140668964874685</v>
      </c>
      <c r="AB427" s="101">
        <v>35.11921703852488</v>
      </c>
      <c r="AC427" s="101">
        <v>35.094912885493343</v>
      </c>
      <c r="AD427" s="101">
        <v>35.072649622191491</v>
      </c>
      <c r="AE427" s="186">
        <v>0.08</v>
      </c>
      <c r="AF427" s="93">
        <v>0</v>
      </c>
      <c r="AG427" s="93">
        <v>1</v>
      </c>
      <c r="AH427" s="93">
        <v>1</v>
      </c>
      <c r="AI427" s="16">
        <v>1</v>
      </c>
      <c r="AJ427" s="16" t="s">
        <v>662</v>
      </c>
      <c r="AK427" s="16" t="s">
        <v>745</v>
      </c>
      <c r="AL427" s="16"/>
      <c r="AM427" s="60"/>
      <c r="AN427" s="60"/>
      <c r="AO427" s="60"/>
      <c r="AP427" s="60"/>
      <c r="AQ427" s="60"/>
      <c r="AR427" s="60"/>
      <c r="AS427" s="63"/>
      <c r="AT427" s="63"/>
      <c r="AU427" s="63"/>
      <c r="AV427" s="131"/>
      <c r="AW427" s="131"/>
      <c r="AX427" s="131"/>
      <c r="AY427" s="27" t="s">
        <v>662</v>
      </c>
      <c r="AZ427" s="27"/>
      <c r="BA427" s="27"/>
      <c r="BB427" s="30"/>
      <c r="BC427" s="30"/>
      <c r="BD427" s="30"/>
      <c r="BE427" s="30"/>
      <c r="BF427" s="30"/>
      <c r="BG427" s="30"/>
      <c r="BH427" s="107"/>
      <c r="BI427" s="107"/>
      <c r="BJ427" s="107"/>
      <c r="BK427" s="107"/>
      <c r="BL427" s="136"/>
      <c r="BM427" s="122"/>
      <c r="BN427" s="138"/>
      <c r="BO427" s="93"/>
      <c r="BP427" s="93"/>
      <c r="BQ427" s="93"/>
      <c r="BR427" s="93"/>
      <c r="BS427" s="93"/>
      <c r="BT427" s="93"/>
      <c r="BU427" s="27">
        <f t="shared" si="337"/>
        <v>0</v>
      </c>
      <c r="BV427" s="27"/>
      <c r="BW427" s="27"/>
      <c r="BX427" s="27"/>
      <c r="BY427" s="27"/>
      <c r="BZ427" s="27"/>
      <c r="CA427" s="27"/>
      <c r="CB427" s="364">
        <v>0.1</v>
      </c>
      <c r="CC427" s="364">
        <f>SUM(CD427,CB427)/2</f>
        <v>0.1</v>
      </c>
      <c r="CD427" s="364">
        <v>0.1</v>
      </c>
      <c r="CE427" s="364">
        <f>SUM(CF427,CD427)/2</f>
        <v>0.1</v>
      </c>
      <c r="CF427" s="364">
        <v>0.1</v>
      </c>
      <c r="CG427" s="364">
        <f>SUM(CH427,CF427)/2</f>
        <v>0.1</v>
      </c>
      <c r="CH427" s="364">
        <v>0.1</v>
      </c>
      <c r="CI427" s="173"/>
      <c r="CJ427" s="173"/>
      <c r="CK427" s="173"/>
      <c r="CL427" s="173"/>
      <c r="CM427" s="173"/>
      <c r="CN427" s="173"/>
      <c r="CO427" s="173"/>
      <c r="CP427" s="174"/>
      <c r="CQ427" s="174"/>
      <c r="CR427" s="174"/>
      <c r="CS427" s="174"/>
      <c r="CT427" s="174"/>
      <c r="CU427" s="174"/>
      <c r="CV427" s="174"/>
      <c r="CW427" s="165"/>
      <c r="CX427" s="166"/>
      <c r="CY427" s="166"/>
      <c r="CZ427" s="166"/>
      <c r="DA427" s="166"/>
      <c r="DB427" s="166"/>
      <c r="DC427" s="166"/>
      <c r="DD427" s="171"/>
      <c r="DE427" s="171"/>
      <c r="DF427" s="171"/>
      <c r="DG427" s="171"/>
      <c r="DH427" s="171"/>
      <c r="DI427" s="171"/>
      <c r="DJ427" s="171"/>
      <c r="DK427" s="79" t="s">
        <v>1672</v>
      </c>
      <c r="DL427" s="128">
        <v>0.01</v>
      </c>
      <c r="DM427" s="128">
        <v>0.01</v>
      </c>
      <c r="DN427" s="128">
        <v>0.01</v>
      </c>
      <c r="DO427" s="128">
        <v>0.01</v>
      </c>
      <c r="DP427" s="128">
        <v>0.01</v>
      </c>
      <c r="DQ427" s="128">
        <v>0.01</v>
      </c>
      <c r="DR427" s="128">
        <v>0.01</v>
      </c>
      <c r="DS427" s="218"/>
      <c r="DT427" s="360"/>
      <c r="DU427" s="360"/>
      <c r="DV427" s="360"/>
      <c r="DW427" s="360"/>
      <c r="DX427" s="360"/>
      <c r="DY427" s="360"/>
      <c r="DZ427" s="360"/>
      <c r="EA427" s="360"/>
      <c r="EB427" s="360"/>
      <c r="EC427" s="360"/>
      <c r="ED427" s="360"/>
      <c r="EE427" s="360"/>
      <c r="EF427" s="360"/>
      <c r="EG427" s="360"/>
      <c r="EH427" s="360"/>
      <c r="EI427" s="360"/>
      <c r="EJ427" s="360"/>
      <c r="EK427" s="360"/>
      <c r="EL427" s="360"/>
      <c r="EM427" s="360"/>
      <c r="EN427" s="360"/>
      <c r="EO427" s="360"/>
      <c r="EP427" s="360"/>
      <c r="EQ427" s="360"/>
    </row>
    <row r="428" spans="1:147" x14ac:dyDescent="0.35">
      <c r="A428" s="228" t="s">
        <v>1685</v>
      </c>
      <c r="B428" s="225"/>
      <c r="C428" s="225" t="s">
        <v>817</v>
      </c>
      <c r="D428" s="225" t="s">
        <v>1496</v>
      </c>
      <c r="E428" s="225" t="s">
        <v>1497</v>
      </c>
      <c r="F428" s="225" t="s">
        <v>523</v>
      </c>
      <c r="G428" s="229" t="s">
        <v>1686</v>
      </c>
      <c r="H428" s="226" t="s">
        <v>659</v>
      </c>
      <c r="I428" s="102">
        <v>0</v>
      </c>
      <c r="J428" s="102">
        <v>0</v>
      </c>
      <c r="K428" s="102">
        <v>0</v>
      </c>
      <c r="L428" s="102">
        <v>0</v>
      </c>
      <c r="M428" s="102">
        <v>0</v>
      </c>
      <c r="N428" s="102">
        <v>0</v>
      </c>
      <c r="O428" s="102">
        <v>0</v>
      </c>
      <c r="P428" s="94">
        <v>0</v>
      </c>
      <c r="Q428" s="102">
        <v>0</v>
      </c>
      <c r="R428" s="102">
        <v>0</v>
      </c>
      <c r="S428" s="102">
        <v>0</v>
      </c>
      <c r="T428" s="102">
        <v>0</v>
      </c>
      <c r="U428" s="102">
        <v>0</v>
      </c>
      <c r="V428" s="102">
        <v>0</v>
      </c>
      <c r="W428" s="102">
        <v>0</v>
      </c>
      <c r="X428" s="102">
        <v>26.977139614444557</v>
      </c>
      <c r="Y428" s="102">
        <v>32.826326469766144</v>
      </c>
      <c r="Z428" s="102">
        <v>38.681231177042832</v>
      </c>
      <c r="AA428" s="102">
        <v>38.654735861362155</v>
      </c>
      <c r="AB428" s="102">
        <v>38.631138742377367</v>
      </c>
      <c r="AC428" s="102">
        <v>38.604404174042678</v>
      </c>
      <c r="AD428" s="102">
        <v>38.579914584410645</v>
      </c>
      <c r="AE428" s="186">
        <v>0.08</v>
      </c>
      <c r="AF428" s="94">
        <v>0</v>
      </c>
      <c r="AG428" s="94">
        <v>1</v>
      </c>
      <c r="AH428" s="94">
        <v>1</v>
      </c>
      <c r="AI428" s="17">
        <v>1</v>
      </c>
      <c r="AJ428" s="17" t="s">
        <v>662</v>
      </c>
      <c r="AK428" s="17" t="s">
        <v>745</v>
      </c>
      <c r="AL428" s="17"/>
      <c r="AM428" s="61"/>
      <c r="AN428" s="61"/>
      <c r="AO428" s="61"/>
      <c r="AP428" s="61"/>
      <c r="AQ428" s="61"/>
      <c r="AR428" s="61"/>
      <c r="AS428" s="64"/>
      <c r="AT428" s="64"/>
      <c r="AU428" s="64"/>
      <c r="AV428" s="132"/>
      <c r="AW428" s="132"/>
      <c r="AX428" s="132"/>
      <c r="AY428" s="28" t="s">
        <v>662</v>
      </c>
      <c r="AZ428" s="28"/>
      <c r="BA428" s="28"/>
      <c r="BB428" s="28"/>
      <c r="BC428" s="28"/>
      <c r="BD428" s="28"/>
      <c r="BE428" s="28"/>
      <c r="BF428" s="28"/>
      <c r="BG428" s="28"/>
      <c r="BH428" s="106"/>
      <c r="BI428" s="106"/>
      <c r="BJ428" s="106"/>
      <c r="BK428" s="106"/>
      <c r="BL428" s="137"/>
      <c r="BM428" s="123"/>
      <c r="BN428" s="139"/>
      <c r="BO428" s="94"/>
      <c r="BP428" s="94"/>
      <c r="BQ428" s="94"/>
      <c r="BR428" s="94"/>
      <c r="BS428" s="94"/>
      <c r="BT428" s="94"/>
      <c r="BU428" s="28">
        <f t="shared" si="337"/>
        <v>0</v>
      </c>
      <c r="BV428" s="28"/>
      <c r="BW428" s="28"/>
      <c r="BX428" s="28"/>
      <c r="BY428" s="28"/>
      <c r="BZ428" s="28"/>
      <c r="CA428" s="28"/>
      <c r="CB428" s="364">
        <f>67.2-CB427</f>
        <v>67.100000000000009</v>
      </c>
      <c r="CC428" s="364">
        <f t="shared" si="339"/>
        <v>66.95</v>
      </c>
      <c r="CD428" s="364">
        <f>66.9-CD427</f>
        <v>66.800000000000011</v>
      </c>
      <c r="CE428" s="364">
        <f t="shared" si="340"/>
        <v>58.95</v>
      </c>
      <c r="CF428" s="364">
        <f>51.2-CF427</f>
        <v>51.1</v>
      </c>
      <c r="CG428" s="364">
        <f t="shared" si="341"/>
        <v>44.65</v>
      </c>
      <c r="CH428" s="364">
        <f>38.3-CH427</f>
        <v>38.199999999999996</v>
      </c>
      <c r="CI428" s="175"/>
      <c r="CJ428" s="175"/>
      <c r="CK428" s="175"/>
      <c r="CL428" s="175"/>
      <c r="CM428" s="175"/>
      <c r="CN428" s="175"/>
      <c r="CO428" s="175"/>
      <c r="CP428" s="176"/>
      <c r="CQ428" s="176"/>
      <c r="CR428" s="176"/>
      <c r="CS428" s="176"/>
      <c r="CT428" s="176"/>
      <c r="CU428" s="176"/>
      <c r="CV428" s="176"/>
      <c r="CW428" s="167"/>
      <c r="CX428" s="168"/>
      <c r="CY428" s="168"/>
      <c r="CZ428" s="168"/>
      <c r="DA428" s="168"/>
      <c r="DB428" s="168"/>
      <c r="DC428" s="168"/>
      <c r="DD428" s="172"/>
      <c r="DE428" s="172"/>
      <c r="DF428" s="172"/>
      <c r="DG428" s="172"/>
      <c r="DH428" s="172"/>
      <c r="DI428" s="172"/>
      <c r="DJ428" s="172"/>
      <c r="DK428" s="80" t="s">
        <v>1672</v>
      </c>
      <c r="DL428" s="129"/>
      <c r="DM428" s="129"/>
      <c r="DN428" s="129"/>
      <c r="DO428" s="129"/>
      <c r="DP428" s="129"/>
      <c r="DQ428" s="129"/>
      <c r="DR428" s="129"/>
      <c r="DS428" s="218"/>
      <c r="DT428" s="360"/>
      <c r="DU428" s="360"/>
      <c r="DV428" s="360"/>
      <c r="DW428" s="360"/>
      <c r="DX428" s="360"/>
      <c r="DY428" s="360"/>
      <c r="DZ428" s="360"/>
      <c r="EA428" s="360"/>
      <c r="EB428" s="360"/>
      <c r="EC428" s="360"/>
      <c r="ED428" s="360"/>
      <c r="EE428" s="360"/>
      <c r="EF428" s="360"/>
      <c r="EG428" s="360"/>
      <c r="EH428" s="360"/>
      <c r="EI428" s="360"/>
      <c r="EJ428" s="360"/>
      <c r="EK428" s="360"/>
      <c r="EL428" s="360"/>
      <c r="EM428" s="360"/>
      <c r="EN428" s="360"/>
      <c r="EO428" s="360"/>
      <c r="EP428" s="360"/>
      <c r="EQ428" s="360"/>
    </row>
    <row r="429" spans="1:147" x14ac:dyDescent="0.35">
      <c r="A429" s="390" t="s">
        <v>1687</v>
      </c>
      <c r="B429" s="225"/>
      <c r="C429" s="225" t="s">
        <v>817</v>
      </c>
      <c r="D429" s="225" t="s">
        <v>1496</v>
      </c>
      <c r="E429" s="225" t="s">
        <v>1497</v>
      </c>
      <c r="F429" s="225" t="s">
        <v>524</v>
      </c>
      <c r="G429" s="229" t="s">
        <v>1688</v>
      </c>
      <c r="H429" s="226" t="s">
        <v>659</v>
      </c>
      <c r="I429" s="102">
        <v>0</v>
      </c>
      <c r="J429" s="102">
        <v>0</v>
      </c>
      <c r="K429" s="102">
        <v>0</v>
      </c>
      <c r="L429" s="102">
        <v>0</v>
      </c>
      <c r="M429" s="102">
        <v>0</v>
      </c>
      <c r="N429" s="102">
        <v>0</v>
      </c>
      <c r="O429" s="102">
        <v>0</v>
      </c>
      <c r="P429" s="94">
        <v>0</v>
      </c>
      <c r="Q429" s="102">
        <v>0</v>
      </c>
      <c r="R429" s="102">
        <v>0</v>
      </c>
      <c r="S429" s="102">
        <v>0</v>
      </c>
      <c r="T429" s="102">
        <v>0</v>
      </c>
      <c r="U429" s="102">
        <v>0</v>
      </c>
      <c r="V429" s="102">
        <v>0</v>
      </c>
      <c r="W429" s="102">
        <v>0</v>
      </c>
      <c r="X429" s="391">
        <f>22*(104/105.4)/1.1195</f>
        <v>19.390602846045564</v>
      </c>
      <c r="Y429" s="391">
        <f t="shared" ref="Y429:AD429" si="342">22*(104/105.4)/1.1195</f>
        <v>19.390602846045564</v>
      </c>
      <c r="Z429" s="391">
        <f t="shared" si="342"/>
        <v>19.390602846045564</v>
      </c>
      <c r="AA429" s="391">
        <f t="shared" si="342"/>
        <v>19.390602846045564</v>
      </c>
      <c r="AB429" s="391">
        <f t="shared" si="342"/>
        <v>19.390602846045564</v>
      </c>
      <c r="AC429" s="391">
        <f t="shared" si="342"/>
        <v>19.390602846045564</v>
      </c>
      <c r="AD429" s="391">
        <f t="shared" si="342"/>
        <v>19.390602846045564</v>
      </c>
      <c r="AE429" s="186">
        <v>0.08</v>
      </c>
      <c r="AF429" s="94">
        <v>0</v>
      </c>
      <c r="AG429" s="94">
        <v>1</v>
      </c>
      <c r="AH429" s="94">
        <v>1</v>
      </c>
      <c r="AI429" s="17">
        <v>1</v>
      </c>
      <c r="AJ429" s="17" t="s">
        <v>662</v>
      </c>
      <c r="AK429" s="17" t="s">
        <v>745</v>
      </c>
      <c r="AL429" s="17"/>
      <c r="AM429" s="61"/>
      <c r="AN429" s="61"/>
      <c r="AO429" s="61"/>
      <c r="AP429" s="61"/>
      <c r="AQ429" s="61"/>
      <c r="AR429" s="61"/>
      <c r="AS429" s="64"/>
      <c r="AT429" s="64"/>
      <c r="AU429" s="64"/>
      <c r="AV429" s="132"/>
      <c r="AW429" s="132"/>
      <c r="AX429" s="132"/>
      <c r="AY429" s="28" t="s">
        <v>662</v>
      </c>
      <c r="AZ429" s="28"/>
      <c r="BA429" s="28"/>
      <c r="BB429" s="28"/>
      <c r="BC429" s="28"/>
      <c r="BD429" s="28"/>
      <c r="BE429" s="28"/>
      <c r="BF429" s="28"/>
      <c r="BG429" s="28"/>
      <c r="BH429" s="106"/>
      <c r="BI429" s="106"/>
      <c r="BJ429" s="106"/>
      <c r="BK429" s="106"/>
      <c r="BL429" s="137"/>
      <c r="BM429" s="123"/>
      <c r="BN429" s="139"/>
      <c r="BO429" s="94"/>
      <c r="BP429" s="94"/>
      <c r="BQ429" s="94"/>
      <c r="BR429" s="94"/>
      <c r="BS429" s="94"/>
      <c r="BT429" s="94"/>
      <c r="BU429" s="28">
        <f t="shared" si="337"/>
        <v>0</v>
      </c>
      <c r="BV429" s="28"/>
      <c r="BW429" s="28"/>
      <c r="BX429" s="28"/>
      <c r="BY429" s="28"/>
      <c r="BZ429" s="28"/>
      <c r="CA429" s="28"/>
      <c r="CB429" s="364">
        <v>1</v>
      </c>
      <c r="CC429" s="364">
        <f>SUM(CD429,CB429)/2</f>
        <v>36.450000000000003</v>
      </c>
      <c r="CD429" s="364">
        <v>71.900000000000006</v>
      </c>
      <c r="CE429" s="364">
        <f>SUM(CF429,CD429)/2</f>
        <v>71.900000000000006</v>
      </c>
      <c r="CF429" s="364">
        <v>71.900000000000006</v>
      </c>
      <c r="CG429" s="364">
        <f>SUM(CH429,CF429)/2</f>
        <v>71.900000000000006</v>
      </c>
      <c r="CH429" s="364">
        <v>71.900000000000006</v>
      </c>
      <c r="CI429" s="175"/>
      <c r="CJ429" s="175"/>
      <c r="CK429" s="175"/>
      <c r="CL429" s="175"/>
      <c r="CM429" s="175"/>
      <c r="CN429" s="175"/>
      <c r="CO429" s="175"/>
      <c r="CP429" s="176"/>
      <c r="CQ429" s="176"/>
      <c r="CR429" s="176"/>
      <c r="CS429" s="176"/>
      <c r="CT429" s="176"/>
      <c r="CU429" s="176"/>
      <c r="CV429" s="176"/>
      <c r="CW429" s="167"/>
      <c r="CX429" s="168"/>
      <c r="CY429" s="168"/>
      <c r="CZ429" s="168"/>
      <c r="DA429" s="168"/>
      <c r="DB429" s="168"/>
      <c r="DC429" s="168"/>
      <c r="DD429" s="172"/>
      <c r="DE429" s="172"/>
      <c r="DF429" s="172"/>
      <c r="DG429" s="172"/>
      <c r="DH429" s="172"/>
      <c r="DI429" s="172"/>
      <c r="DJ429" s="172"/>
      <c r="DK429" s="80"/>
      <c r="DL429" s="129"/>
      <c r="DM429" s="129"/>
      <c r="DN429" s="129"/>
      <c r="DO429" s="129"/>
      <c r="DP429" s="129"/>
      <c r="DQ429" s="129"/>
      <c r="DR429" s="129"/>
      <c r="DS429" s="218"/>
      <c r="DT429" s="360"/>
      <c r="DU429" s="360"/>
      <c r="DV429" s="360"/>
      <c r="DW429" s="360"/>
      <c r="DX429" s="360"/>
      <c r="DY429" s="360"/>
      <c r="DZ429" s="360"/>
      <c r="EA429" s="360"/>
      <c r="EB429" s="360"/>
      <c r="EC429" s="360"/>
      <c r="ED429" s="360"/>
      <c r="EE429" s="360"/>
      <c r="EF429" s="360"/>
      <c r="EG429" s="360"/>
      <c r="EH429" s="360"/>
      <c r="EI429" s="360"/>
      <c r="EJ429" s="360"/>
      <c r="EK429" s="360"/>
      <c r="EL429" s="360"/>
      <c r="EM429" s="360"/>
      <c r="EN429" s="360"/>
      <c r="EO429" s="360"/>
      <c r="EP429" s="360"/>
      <c r="EQ429" s="360"/>
    </row>
    <row r="430" spans="1:147" x14ac:dyDescent="0.35">
      <c r="A430" s="5" t="s">
        <v>1689</v>
      </c>
      <c r="B430" s="5"/>
      <c r="C430" s="5" t="s">
        <v>817</v>
      </c>
      <c r="D430" s="5" t="s">
        <v>1496</v>
      </c>
      <c r="E430" s="5" t="s">
        <v>526</v>
      </c>
      <c r="F430" s="5" t="s">
        <v>525</v>
      </c>
      <c r="G430" s="47" t="s">
        <v>525</v>
      </c>
      <c r="H430" s="47" t="s">
        <v>659</v>
      </c>
      <c r="I430" s="101">
        <v>0</v>
      </c>
      <c r="J430" s="101">
        <v>0</v>
      </c>
      <c r="K430" s="101">
        <v>0</v>
      </c>
      <c r="L430" s="101">
        <v>0</v>
      </c>
      <c r="M430" s="101">
        <v>0</v>
      </c>
      <c r="N430" s="101">
        <v>0</v>
      </c>
      <c r="O430" s="101">
        <v>0</v>
      </c>
      <c r="P430" s="93">
        <v>0</v>
      </c>
      <c r="Q430" s="101">
        <v>0</v>
      </c>
      <c r="R430" s="101">
        <v>0</v>
      </c>
      <c r="S430" s="101">
        <v>0</v>
      </c>
      <c r="T430" s="101">
        <v>0</v>
      </c>
      <c r="U430" s="101">
        <v>0</v>
      </c>
      <c r="V430" s="101">
        <v>0</v>
      </c>
      <c r="W430" s="101">
        <v>0</v>
      </c>
      <c r="X430" s="101">
        <v>0</v>
      </c>
      <c r="Y430" s="101">
        <v>0</v>
      </c>
      <c r="Z430" s="101">
        <v>0</v>
      </c>
      <c r="AA430" s="101">
        <v>0</v>
      </c>
      <c r="AB430" s="101">
        <v>0</v>
      </c>
      <c r="AC430" s="101">
        <v>0</v>
      </c>
      <c r="AD430" s="101">
        <v>0</v>
      </c>
      <c r="AE430" s="186">
        <v>0.08</v>
      </c>
      <c r="AF430" s="93">
        <v>0</v>
      </c>
      <c r="AG430" s="93">
        <v>1</v>
      </c>
      <c r="AH430" s="93">
        <v>1</v>
      </c>
      <c r="AI430" s="16">
        <v>1</v>
      </c>
      <c r="AJ430" s="16" t="s">
        <v>662</v>
      </c>
      <c r="AK430" s="16" t="s">
        <v>745</v>
      </c>
      <c r="AL430" s="16"/>
      <c r="AM430" s="60"/>
      <c r="AN430" s="60"/>
      <c r="AO430" s="60"/>
      <c r="AP430" s="60"/>
      <c r="AQ430" s="60"/>
      <c r="AR430" s="60"/>
      <c r="AS430" s="63"/>
      <c r="AT430" s="63"/>
      <c r="AU430" s="63"/>
      <c r="AV430" s="131"/>
      <c r="AW430" s="131"/>
      <c r="AX430" s="131"/>
      <c r="AY430" s="27" t="s">
        <v>662</v>
      </c>
      <c r="AZ430" s="27"/>
      <c r="BA430" s="27"/>
      <c r="BB430" s="30"/>
      <c r="BC430" s="30"/>
      <c r="BD430" s="30"/>
      <c r="BE430" s="30"/>
      <c r="BF430" s="30"/>
      <c r="BG430" s="30"/>
      <c r="BH430" s="107"/>
      <c r="BI430" s="107"/>
      <c r="BJ430" s="107"/>
      <c r="BK430" s="107"/>
      <c r="BL430" s="136"/>
      <c r="BM430" s="122"/>
      <c r="BN430" s="138"/>
      <c r="BO430" s="93"/>
      <c r="BP430" s="93"/>
      <c r="BQ430" s="93"/>
      <c r="BR430" s="93"/>
      <c r="BS430" s="93"/>
      <c r="BT430" s="93"/>
      <c r="BU430" s="27">
        <f t="shared" si="337"/>
        <v>0</v>
      </c>
      <c r="BV430" s="27"/>
      <c r="BW430" s="27"/>
      <c r="BX430" s="27"/>
      <c r="BY430" s="27"/>
      <c r="BZ430" s="27"/>
      <c r="CA430" s="27"/>
      <c r="CB430" s="185">
        <v>1000</v>
      </c>
      <c r="CC430" s="185">
        <v>1000</v>
      </c>
      <c r="CD430" s="185">
        <v>1000</v>
      </c>
      <c r="CE430" s="185">
        <v>1000</v>
      </c>
      <c r="CF430" s="185">
        <v>1000</v>
      </c>
      <c r="CG430" s="185">
        <v>1000</v>
      </c>
      <c r="CH430" s="185">
        <v>1000</v>
      </c>
      <c r="CI430" s="173"/>
      <c r="CJ430" s="173"/>
      <c r="CK430" s="173"/>
      <c r="CL430" s="173"/>
      <c r="CM430" s="173"/>
      <c r="CN430" s="173"/>
      <c r="CO430" s="173"/>
      <c r="CP430" s="174"/>
      <c r="CQ430" s="174"/>
      <c r="CR430" s="174"/>
      <c r="CS430" s="174"/>
      <c r="CT430" s="174"/>
      <c r="CU430" s="174"/>
      <c r="CV430" s="174"/>
      <c r="CW430" s="165"/>
      <c r="CX430" s="166"/>
      <c r="CY430" s="166"/>
      <c r="CZ430" s="166"/>
      <c r="DA430" s="166"/>
      <c r="DB430" s="166"/>
      <c r="DC430" s="166"/>
      <c r="DD430" s="171"/>
      <c r="DE430" s="171"/>
      <c r="DF430" s="171"/>
      <c r="DG430" s="171"/>
      <c r="DH430" s="171"/>
      <c r="DI430" s="171"/>
      <c r="DJ430" s="171"/>
      <c r="DK430" s="79" t="s">
        <v>415</v>
      </c>
      <c r="DL430" s="128">
        <v>5000</v>
      </c>
      <c r="DM430" s="128">
        <v>5000</v>
      </c>
      <c r="DN430" s="128">
        <v>5000</v>
      </c>
      <c r="DO430" s="128">
        <v>5000</v>
      </c>
      <c r="DP430" s="128">
        <v>5000</v>
      </c>
      <c r="DQ430" s="128">
        <v>5000</v>
      </c>
      <c r="DR430" s="128">
        <v>5000</v>
      </c>
      <c r="DS430" s="218"/>
      <c r="DT430" s="360"/>
      <c r="DU430" s="360"/>
      <c r="DV430" s="360"/>
      <c r="DW430" s="360"/>
      <c r="DX430" s="360"/>
      <c r="DY430" s="360"/>
      <c r="DZ430" s="360"/>
      <c r="EA430" s="360"/>
      <c r="EB430" s="360"/>
      <c r="EC430" s="360"/>
      <c r="ED430" s="360"/>
      <c r="EE430" s="360"/>
      <c r="EF430" s="360"/>
      <c r="EG430" s="360"/>
      <c r="EH430" s="360"/>
      <c r="EI430" s="360"/>
      <c r="EJ430" s="360"/>
      <c r="EK430" s="360"/>
      <c r="EL430" s="360"/>
      <c r="EM430" s="360"/>
      <c r="EN430" s="360"/>
      <c r="EO430" s="360"/>
      <c r="EP430" s="360"/>
      <c r="EQ430" s="360"/>
    </row>
    <row r="431" spans="1:147" x14ac:dyDescent="0.35">
      <c r="A431" s="6" t="s">
        <v>1690</v>
      </c>
      <c r="B431" s="6"/>
      <c r="C431" s="6" t="s">
        <v>817</v>
      </c>
      <c r="D431" s="6" t="s">
        <v>1496</v>
      </c>
      <c r="E431" s="6" t="s">
        <v>528</v>
      </c>
      <c r="F431" s="6" t="s">
        <v>527</v>
      </c>
      <c r="G431" s="48" t="s">
        <v>527</v>
      </c>
      <c r="H431" s="48" t="s">
        <v>659</v>
      </c>
      <c r="I431" s="102">
        <v>0</v>
      </c>
      <c r="J431" s="102">
        <v>0</v>
      </c>
      <c r="K431" s="102">
        <v>0</v>
      </c>
      <c r="L431" s="102">
        <v>0</v>
      </c>
      <c r="M431" s="102">
        <v>0</v>
      </c>
      <c r="N431" s="102">
        <v>0</v>
      </c>
      <c r="O431" s="102">
        <v>0</v>
      </c>
      <c r="P431" s="94">
        <v>0</v>
      </c>
      <c r="Q431" s="102">
        <v>0</v>
      </c>
      <c r="R431" s="102">
        <v>0</v>
      </c>
      <c r="S431" s="102">
        <v>0</v>
      </c>
      <c r="T431" s="102">
        <v>0</v>
      </c>
      <c r="U431" s="102">
        <v>0</v>
      </c>
      <c r="V431" s="102">
        <v>0</v>
      </c>
      <c r="W431" s="102">
        <v>0</v>
      </c>
      <c r="X431" s="102">
        <v>0</v>
      </c>
      <c r="Y431" s="102">
        <v>0</v>
      </c>
      <c r="Z431" s="102">
        <v>0</v>
      </c>
      <c r="AA431" s="102">
        <v>0</v>
      </c>
      <c r="AB431" s="102">
        <v>0</v>
      </c>
      <c r="AC431" s="102">
        <v>0</v>
      </c>
      <c r="AD431" s="102">
        <v>0</v>
      </c>
      <c r="AE431" s="186">
        <v>0.08</v>
      </c>
      <c r="AF431" s="94">
        <v>0</v>
      </c>
      <c r="AG431" s="94">
        <v>1</v>
      </c>
      <c r="AH431" s="94">
        <v>1</v>
      </c>
      <c r="AI431" s="17">
        <v>1</v>
      </c>
      <c r="AJ431" s="17" t="s">
        <v>662</v>
      </c>
      <c r="AK431" s="17" t="s">
        <v>745</v>
      </c>
      <c r="AL431" s="17"/>
      <c r="AM431" s="61"/>
      <c r="AN431" s="61"/>
      <c r="AO431" s="61"/>
      <c r="AP431" s="61"/>
      <c r="AQ431" s="61"/>
      <c r="AR431" s="61"/>
      <c r="AS431" s="64"/>
      <c r="AT431" s="64"/>
      <c r="AU431" s="64"/>
      <c r="AV431" s="132"/>
      <c r="AW431" s="132"/>
      <c r="AX431" s="132"/>
      <c r="AY431" s="28" t="s">
        <v>662</v>
      </c>
      <c r="AZ431" s="28"/>
      <c r="BA431" s="28"/>
      <c r="BB431" s="28"/>
      <c r="BC431" s="28"/>
      <c r="BD431" s="28"/>
      <c r="BE431" s="28"/>
      <c r="BF431" s="28"/>
      <c r="BG431" s="28"/>
      <c r="BH431" s="106"/>
      <c r="BI431" s="106"/>
      <c r="BJ431" s="106"/>
      <c r="BK431" s="106"/>
      <c r="BL431" s="137"/>
      <c r="BM431" s="123"/>
      <c r="BN431" s="139"/>
      <c r="BO431" s="94"/>
      <c r="BP431" s="94"/>
      <c r="BQ431" s="94"/>
      <c r="BR431" s="94"/>
      <c r="BS431" s="94"/>
      <c r="BT431" s="94"/>
      <c r="BU431" s="28">
        <f t="shared" si="337"/>
        <v>0</v>
      </c>
      <c r="BV431" s="28"/>
      <c r="BW431" s="28"/>
      <c r="BX431" s="28"/>
      <c r="BY431" s="28"/>
      <c r="BZ431" s="28"/>
      <c r="CA431" s="28"/>
      <c r="CB431" s="185">
        <v>1000</v>
      </c>
      <c r="CC431" s="185">
        <v>1000</v>
      </c>
      <c r="CD431" s="185">
        <v>1000</v>
      </c>
      <c r="CE431" s="185">
        <v>1000</v>
      </c>
      <c r="CF431" s="185">
        <v>1000</v>
      </c>
      <c r="CG431" s="185">
        <v>1000</v>
      </c>
      <c r="CH431" s="185">
        <v>1000</v>
      </c>
      <c r="CI431" s="175"/>
      <c r="CJ431" s="175"/>
      <c r="CK431" s="175"/>
      <c r="CL431" s="175"/>
      <c r="CM431" s="175"/>
      <c r="CN431" s="175"/>
      <c r="CO431" s="175"/>
      <c r="CP431" s="176"/>
      <c r="CQ431" s="176"/>
      <c r="CR431" s="176"/>
      <c r="CS431" s="176"/>
      <c r="CT431" s="176"/>
      <c r="CU431" s="176"/>
      <c r="CV431" s="176"/>
      <c r="CW431" s="167"/>
      <c r="CX431" s="168"/>
      <c r="CY431" s="168"/>
      <c r="CZ431" s="168"/>
      <c r="DA431" s="168"/>
      <c r="DB431" s="168"/>
      <c r="DC431" s="168"/>
      <c r="DD431" s="172"/>
      <c r="DE431" s="172"/>
      <c r="DF431" s="172"/>
      <c r="DG431" s="172"/>
      <c r="DH431" s="172"/>
      <c r="DI431" s="172"/>
      <c r="DJ431" s="172"/>
      <c r="DK431" s="80" t="s">
        <v>415</v>
      </c>
      <c r="DL431" s="129">
        <v>5000</v>
      </c>
      <c r="DM431" s="129">
        <v>5000</v>
      </c>
      <c r="DN431" s="129">
        <v>5000</v>
      </c>
      <c r="DO431" s="129">
        <v>5000</v>
      </c>
      <c r="DP431" s="129">
        <v>5000</v>
      </c>
      <c r="DQ431" s="129">
        <v>5000</v>
      </c>
      <c r="DR431" s="129">
        <v>5000</v>
      </c>
      <c r="DS431" s="218"/>
      <c r="DT431" s="360"/>
      <c r="DU431" s="360"/>
      <c r="DV431" s="360"/>
      <c r="DW431" s="360"/>
      <c r="DX431" s="360"/>
      <c r="DY431" s="360"/>
      <c r="DZ431" s="360"/>
      <c r="EA431" s="360"/>
      <c r="EB431" s="360"/>
      <c r="EC431" s="360"/>
      <c r="ED431" s="360"/>
      <c r="EE431" s="360"/>
      <c r="EF431" s="360"/>
      <c r="EG431" s="360"/>
      <c r="EH431" s="360"/>
      <c r="EI431" s="360"/>
      <c r="EJ431" s="360"/>
      <c r="EK431" s="360"/>
      <c r="EL431" s="360"/>
      <c r="EM431" s="360"/>
      <c r="EN431" s="360"/>
      <c r="EO431" s="360"/>
      <c r="EP431" s="360"/>
      <c r="EQ431" s="360"/>
    </row>
    <row r="432" spans="1:147" x14ac:dyDescent="0.35">
      <c r="A432" s="5" t="s">
        <v>1691</v>
      </c>
      <c r="B432" s="5"/>
      <c r="C432" s="5" t="s">
        <v>817</v>
      </c>
      <c r="D432" s="5" t="s">
        <v>1496</v>
      </c>
      <c r="E432" s="5" t="s">
        <v>1692</v>
      </c>
      <c r="F432" s="5" t="s">
        <v>529</v>
      </c>
      <c r="G432" s="47" t="s">
        <v>529</v>
      </c>
      <c r="H432" s="47" t="s">
        <v>659</v>
      </c>
      <c r="I432" s="101">
        <v>0</v>
      </c>
      <c r="J432" s="101">
        <v>0</v>
      </c>
      <c r="K432" s="101">
        <v>0</v>
      </c>
      <c r="L432" s="101">
        <v>0</v>
      </c>
      <c r="M432" s="101">
        <v>0</v>
      </c>
      <c r="N432" s="101">
        <v>0</v>
      </c>
      <c r="O432" s="101">
        <v>0</v>
      </c>
      <c r="P432" s="93">
        <v>0</v>
      </c>
      <c r="Q432" s="101">
        <v>0</v>
      </c>
      <c r="R432" s="101">
        <v>0</v>
      </c>
      <c r="S432" s="101">
        <v>0</v>
      </c>
      <c r="T432" s="101">
        <v>0</v>
      </c>
      <c r="U432" s="101">
        <v>0</v>
      </c>
      <c r="V432" s="101">
        <v>0</v>
      </c>
      <c r="W432" s="101">
        <v>0</v>
      </c>
      <c r="X432" s="101">
        <v>0</v>
      </c>
      <c r="Y432" s="101">
        <v>0</v>
      </c>
      <c r="Z432" s="101">
        <v>0</v>
      </c>
      <c r="AA432" s="101">
        <v>0</v>
      </c>
      <c r="AB432" s="101">
        <v>0</v>
      </c>
      <c r="AC432" s="101">
        <v>0</v>
      </c>
      <c r="AD432" s="101">
        <v>0</v>
      </c>
      <c r="AE432" s="186">
        <v>0.08</v>
      </c>
      <c r="AF432" s="93">
        <v>0</v>
      </c>
      <c r="AG432" s="93">
        <v>1</v>
      </c>
      <c r="AH432" s="93">
        <v>1</v>
      </c>
      <c r="AI432" s="16">
        <v>1</v>
      </c>
      <c r="AJ432" s="16" t="s">
        <v>662</v>
      </c>
      <c r="AK432" s="16" t="s">
        <v>745</v>
      </c>
      <c r="AL432" s="16"/>
      <c r="AM432" s="60"/>
      <c r="AN432" s="60"/>
      <c r="AO432" s="60"/>
      <c r="AP432" s="60"/>
      <c r="AQ432" s="60"/>
      <c r="AR432" s="60"/>
      <c r="AS432" s="63"/>
      <c r="AT432" s="63"/>
      <c r="AU432" s="63"/>
      <c r="AV432" s="131"/>
      <c r="AW432" s="131"/>
      <c r="AX432" s="131"/>
      <c r="AY432" s="27" t="s">
        <v>662</v>
      </c>
      <c r="AZ432" s="27"/>
      <c r="BA432" s="27"/>
      <c r="BB432" s="30"/>
      <c r="BC432" s="30"/>
      <c r="BD432" s="30"/>
      <c r="BE432" s="30"/>
      <c r="BF432" s="30"/>
      <c r="BG432" s="30"/>
      <c r="BH432" s="107"/>
      <c r="BI432" s="107"/>
      <c r="BJ432" s="107"/>
      <c r="BK432" s="107"/>
      <c r="BL432" s="136"/>
      <c r="BM432" s="122"/>
      <c r="BN432" s="138"/>
      <c r="BO432" s="93"/>
      <c r="BP432" s="93"/>
      <c r="BQ432" s="93"/>
      <c r="BR432" s="93"/>
      <c r="BS432" s="93"/>
      <c r="BT432" s="93"/>
      <c r="BU432" s="27">
        <f t="shared" si="337"/>
        <v>0</v>
      </c>
      <c r="BV432" s="27"/>
      <c r="BW432" s="27"/>
      <c r="BX432" s="27"/>
      <c r="BY432" s="27"/>
      <c r="BZ432" s="27"/>
      <c r="CA432" s="27"/>
      <c r="CB432" s="97">
        <v>1000</v>
      </c>
      <c r="CC432" s="97">
        <f t="shared" ref="CC432:CC433" si="343">ROUND((CB432+CD432)/2,2)</f>
        <v>1000</v>
      </c>
      <c r="CD432" s="97">
        <v>1000</v>
      </c>
      <c r="CE432" s="97">
        <f t="shared" ref="CE432:CE433" si="344">ROUND((CD432+CF432)/2,2)</f>
        <v>1000</v>
      </c>
      <c r="CF432" s="97">
        <f t="shared" ref="CF432:CF433" si="345">ROUND((CD432+CH432)/2,2)</f>
        <v>1000</v>
      </c>
      <c r="CG432" s="97">
        <f t="shared" ref="CG432:CG433" si="346">ROUND((CF432+CH432)/2,2)</f>
        <v>1000</v>
      </c>
      <c r="CH432" s="97">
        <v>1000</v>
      </c>
      <c r="CI432" s="173"/>
      <c r="CJ432" s="173"/>
      <c r="CK432" s="173"/>
      <c r="CL432" s="173"/>
      <c r="CM432" s="173"/>
      <c r="CN432" s="173"/>
      <c r="CO432" s="173"/>
      <c r="CP432" s="174"/>
      <c r="CQ432" s="174"/>
      <c r="CR432" s="174"/>
      <c r="CS432" s="174"/>
      <c r="CT432" s="174"/>
      <c r="CU432" s="174"/>
      <c r="CV432" s="174"/>
      <c r="CW432" s="165"/>
      <c r="CX432" s="166"/>
      <c r="CY432" s="166"/>
      <c r="CZ432" s="166"/>
      <c r="DA432" s="166"/>
      <c r="DB432" s="166"/>
      <c r="DC432" s="166"/>
      <c r="DD432" s="171"/>
      <c r="DE432" s="171"/>
      <c r="DF432" s="171"/>
      <c r="DG432" s="171"/>
      <c r="DH432" s="171"/>
      <c r="DI432" s="171"/>
      <c r="DJ432" s="171"/>
      <c r="DK432" s="79" t="s">
        <v>415</v>
      </c>
      <c r="DL432" s="128">
        <v>1000</v>
      </c>
      <c r="DM432" s="128">
        <v>1000</v>
      </c>
      <c r="DN432" s="128">
        <v>1000</v>
      </c>
      <c r="DO432" s="128">
        <v>1000</v>
      </c>
      <c r="DP432" s="128">
        <v>1000</v>
      </c>
      <c r="DQ432" s="128">
        <v>1000</v>
      </c>
      <c r="DR432" s="128">
        <v>1000</v>
      </c>
      <c r="DS432" s="218"/>
      <c r="DT432" s="360"/>
      <c r="DU432" s="360"/>
      <c r="DV432" s="360"/>
      <c r="DW432" s="360"/>
      <c r="DX432" s="360"/>
      <c r="DY432" s="360"/>
      <c r="DZ432" s="360"/>
      <c r="EA432" s="360"/>
      <c r="EB432" s="360"/>
      <c r="EC432" s="360"/>
      <c r="ED432" s="360"/>
      <c r="EE432" s="360"/>
      <c r="EF432" s="360"/>
      <c r="EG432" s="360"/>
      <c r="EH432" s="360"/>
      <c r="EI432" s="360"/>
      <c r="EJ432" s="360"/>
      <c r="EK432" s="360"/>
      <c r="EL432" s="360"/>
      <c r="EM432" s="360"/>
      <c r="EN432" s="360"/>
      <c r="EO432" s="360"/>
      <c r="EP432" s="360"/>
      <c r="EQ432" s="360"/>
    </row>
    <row r="433" spans="1:147" x14ac:dyDescent="0.35">
      <c r="A433" s="6" t="s">
        <v>1693</v>
      </c>
      <c r="B433" s="6"/>
      <c r="C433" s="6" t="s">
        <v>817</v>
      </c>
      <c r="D433" s="6" t="s">
        <v>1496</v>
      </c>
      <c r="E433" s="6" t="s">
        <v>1694</v>
      </c>
      <c r="F433" s="6" t="s">
        <v>531</v>
      </c>
      <c r="G433" s="48" t="s">
        <v>531</v>
      </c>
      <c r="H433" s="48" t="s">
        <v>659</v>
      </c>
      <c r="I433" s="102">
        <v>0</v>
      </c>
      <c r="J433" s="102">
        <v>0</v>
      </c>
      <c r="K433" s="102">
        <v>0</v>
      </c>
      <c r="L433" s="102">
        <v>0</v>
      </c>
      <c r="M433" s="102">
        <v>0</v>
      </c>
      <c r="N433" s="102">
        <v>0</v>
      </c>
      <c r="O433" s="102">
        <v>0</v>
      </c>
      <c r="P433" s="94">
        <v>0</v>
      </c>
      <c r="Q433" s="102">
        <v>0</v>
      </c>
      <c r="R433" s="102">
        <v>0</v>
      </c>
      <c r="S433" s="102">
        <v>0</v>
      </c>
      <c r="T433" s="102">
        <v>0</v>
      </c>
      <c r="U433" s="102">
        <v>0</v>
      </c>
      <c r="V433" s="102">
        <v>0</v>
      </c>
      <c r="W433" s="102">
        <v>0</v>
      </c>
      <c r="X433" s="102">
        <v>0</v>
      </c>
      <c r="Y433" s="102">
        <v>0</v>
      </c>
      <c r="Z433" s="102">
        <v>0</v>
      </c>
      <c r="AA433" s="102">
        <v>0</v>
      </c>
      <c r="AB433" s="102">
        <v>0</v>
      </c>
      <c r="AC433" s="102">
        <v>0</v>
      </c>
      <c r="AD433" s="102">
        <v>0</v>
      </c>
      <c r="AE433" s="186">
        <v>0.08</v>
      </c>
      <c r="AF433" s="94">
        <v>0</v>
      </c>
      <c r="AG433" s="94">
        <v>1</v>
      </c>
      <c r="AH433" s="94">
        <v>1</v>
      </c>
      <c r="AI433" s="17">
        <v>1</v>
      </c>
      <c r="AJ433" s="17" t="s">
        <v>662</v>
      </c>
      <c r="AK433" s="17" t="s">
        <v>745</v>
      </c>
      <c r="AL433" s="17"/>
      <c r="AM433" s="61"/>
      <c r="AN433" s="61"/>
      <c r="AO433" s="61"/>
      <c r="AP433" s="61"/>
      <c r="AQ433" s="61"/>
      <c r="AR433" s="61"/>
      <c r="AS433" s="64"/>
      <c r="AT433" s="64"/>
      <c r="AU433" s="64"/>
      <c r="AV433" s="132"/>
      <c r="AW433" s="132"/>
      <c r="AX433" s="132"/>
      <c r="AY433" s="28" t="s">
        <v>662</v>
      </c>
      <c r="AZ433" s="28"/>
      <c r="BA433" s="28"/>
      <c r="BB433" s="28"/>
      <c r="BC433" s="28"/>
      <c r="BD433" s="28"/>
      <c r="BE433" s="28"/>
      <c r="BF433" s="28"/>
      <c r="BG433" s="28"/>
      <c r="BH433" s="106"/>
      <c r="BI433" s="106"/>
      <c r="BJ433" s="106"/>
      <c r="BK433" s="106"/>
      <c r="BL433" s="137"/>
      <c r="BM433" s="123"/>
      <c r="BN433" s="139"/>
      <c r="BO433" s="94"/>
      <c r="BP433" s="94"/>
      <c r="BQ433" s="94"/>
      <c r="BR433" s="94"/>
      <c r="BS433" s="94"/>
      <c r="BT433" s="94"/>
      <c r="BU433" s="28">
        <f t="shared" si="337"/>
        <v>0</v>
      </c>
      <c r="BV433" s="28"/>
      <c r="BW433" s="28"/>
      <c r="BX433" s="28"/>
      <c r="BY433" s="28"/>
      <c r="BZ433" s="28"/>
      <c r="CA433" s="28"/>
      <c r="CB433" s="99">
        <v>20</v>
      </c>
      <c r="CC433" s="99">
        <f t="shared" si="343"/>
        <v>35</v>
      </c>
      <c r="CD433" s="99">
        <v>50</v>
      </c>
      <c r="CE433" s="99">
        <f t="shared" si="344"/>
        <v>87.5</v>
      </c>
      <c r="CF433" s="99">
        <f t="shared" si="345"/>
        <v>125</v>
      </c>
      <c r="CG433" s="99">
        <f t="shared" si="346"/>
        <v>162.5</v>
      </c>
      <c r="CH433" s="99">
        <v>200</v>
      </c>
      <c r="CI433" s="175"/>
      <c r="CJ433" s="175"/>
      <c r="CK433" s="175"/>
      <c r="CL433" s="175"/>
      <c r="CM433" s="175"/>
      <c r="CN433" s="175"/>
      <c r="CO433" s="175"/>
      <c r="CP433" s="176"/>
      <c r="CQ433" s="176"/>
      <c r="CR433" s="176"/>
      <c r="CS433" s="176"/>
      <c r="CT433" s="176"/>
      <c r="CU433" s="176"/>
      <c r="CV433" s="176"/>
      <c r="CW433" s="167"/>
      <c r="CX433" s="168"/>
      <c r="CY433" s="168"/>
      <c r="CZ433" s="168"/>
      <c r="DA433" s="168"/>
      <c r="DB433" s="168"/>
      <c r="DC433" s="168"/>
      <c r="DD433" s="172"/>
      <c r="DE433" s="172"/>
      <c r="DF433" s="172"/>
      <c r="DG433" s="172"/>
      <c r="DH433" s="172"/>
      <c r="DI433" s="172"/>
      <c r="DJ433" s="172"/>
      <c r="DK433" s="80" t="s">
        <v>415</v>
      </c>
      <c r="DL433" s="129">
        <v>200</v>
      </c>
      <c r="DM433" s="129">
        <v>200</v>
      </c>
      <c r="DN433" s="129">
        <v>200</v>
      </c>
      <c r="DO433" s="129">
        <v>200</v>
      </c>
      <c r="DP433" s="129">
        <v>200</v>
      </c>
      <c r="DQ433" s="129">
        <v>200</v>
      </c>
      <c r="DR433" s="129">
        <v>200</v>
      </c>
      <c r="DS433" s="218"/>
      <c r="DT433" s="360"/>
      <c r="DU433" s="360"/>
      <c r="DV433" s="360"/>
      <c r="DW433" s="360"/>
      <c r="DX433" s="360"/>
      <c r="DY433" s="360"/>
      <c r="DZ433" s="360"/>
      <c r="EA433" s="360"/>
      <c r="EB433" s="360"/>
      <c r="EC433" s="360"/>
      <c r="ED433" s="360"/>
      <c r="EE433" s="360"/>
      <c r="EF433" s="360"/>
      <c r="EG433" s="360"/>
      <c r="EH433" s="360"/>
      <c r="EI433" s="360"/>
      <c r="EJ433" s="360"/>
      <c r="EK433" s="360"/>
      <c r="EL433" s="360"/>
      <c r="EM433" s="360"/>
      <c r="EN433" s="360"/>
      <c r="EO433" s="360"/>
      <c r="EP433" s="360"/>
      <c r="EQ433" s="360"/>
    </row>
    <row r="434" spans="1:147" x14ac:dyDescent="0.35">
      <c r="A434" s="5" t="s">
        <v>1695</v>
      </c>
      <c r="B434" s="5"/>
      <c r="C434" s="5" t="s">
        <v>817</v>
      </c>
      <c r="D434" s="5" t="s">
        <v>1496</v>
      </c>
      <c r="E434" s="5" t="s">
        <v>528</v>
      </c>
      <c r="F434" s="5" t="s">
        <v>532</v>
      </c>
      <c r="G434" s="47" t="s">
        <v>532</v>
      </c>
      <c r="H434" s="47" t="s">
        <v>659</v>
      </c>
      <c r="I434" s="101">
        <v>0</v>
      </c>
      <c r="J434" s="101">
        <v>0</v>
      </c>
      <c r="K434" s="101">
        <v>0</v>
      </c>
      <c r="L434" s="101">
        <v>0</v>
      </c>
      <c r="M434" s="101">
        <v>0</v>
      </c>
      <c r="N434" s="101">
        <v>0</v>
      </c>
      <c r="O434" s="101">
        <v>0</v>
      </c>
      <c r="P434" s="93">
        <v>0</v>
      </c>
      <c r="Q434" s="101">
        <v>0</v>
      </c>
      <c r="R434" s="101">
        <v>0</v>
      </c>
      <c r="S434" s="101">
        <v>0</v>
      </c>
      <c r="T434" s="101">
        <v>0</v>
      </c>
      <c r="U434" s="101">
        <v>0</v>
      </c>
      <c r="V434" s="101">
        <v>0</v>
      </c>
      <c r="W434" s="101">
        <v>0</v>
      </c>
      <c r="X434" s="101">
        <v>0</v>
      </c>
      <c r="Y434" s="101">
        <v>0</v>
      </c>
      <c r="Z434" s="101">
        <v>0</v>
      </c>
      <c r="AA434" s="101">
        <v>0</v>
      </c>
      <c r="AB434" s="101">
        <v>0</v>
      </c>
      <c r="AC434" s="101">
        <v>0</v>
      </c>
      <c r="AD434" s="101">
        <v>0</v>
      </c>
      <c r="AE434" s="186">
        <v>0.08</v>
      </c>
      <c r="AF434" s="93">
        <v>0</v>
      </c>
      <c r="AG434" s="93">
        <v>1</v>
      </c>
      <c r="AH434" s="93">
        <v>1</v>
      </c>
      <c r="AI434" s="16">
        <v>1</v>
      </c>
      <c r="AJ434" s="16" t="s">
        <v>662</v>
      </c>
      <c r="AK434" s="16" t="s">
        <v>745</v>
      </c>
      <c r="AL434" s="16"/>
      <c r="AM434" s="60"/>
      <c r="AN434" s="60"/>
      <c r="AO434" s="60"/>
      <c r="AP434" s="60"/>
      <c r="AQ434" s="60"/>
      <c r="AR434" s="60"/>
      <c r="AS434" s="63"/>
      <c r="AT434" s="63"/>
      <c r="AU434" s="63"/>
      <c r="AV434" s="131"/>
      <c r="AW434" s="131"/>
      <c r="AX434" s="131"/>
      <c r="AY434" s="27" t="s">
        <v>662</v>
      </c>
      <c r="AZ434" s="27"/>
      <c r="BA434" s="27"/>
      <c r="BB434" s="30"/>
      <c r="BC434" s="30"/>
      <c r="BD434" s="30"/>
      <c r="BE434" s="30"/>
      <c r="BF434" s="30"/>
      <c r="BG434" s="30"/>
      <c r="BH434" s="107"/>
      <c r="BI434" s="107"/>
      <c r="BJ434" s="107"/>
      <c r="BK434" s="107"/>
      <c r="BL434" s="136"/>
      <c r="BM434" s="122"/>
      <c r="BN434" s="138"/>
      <c r="BO434" s="93"/>
      <c r="BP434" s="93"/>
      <c r="BQ434" s="93"/>
      <c r="BR434" s="93"/>
      <c r="BS434" s="93"/>
      <c r="BT434" s="93"/>
      <c r="BU434" s="27">
        <f t="shared" si="337"/>
        <v>0</v>
      </c>
      <c r="BV434" s="27"/>
      <c r="BW434" s="27"/>
      <c r="BX434" s="27"/>
      <c r="BY434" s="27"/>
      <c r="BZ434" s="27"/>
      <c r="CA434" s="27"/>
      <c r="CB434" s="97">
        <v>500</v>
      </c>
      <c r="CC434" s="97">
        <v>500</v>
      </c>
      <c r="CD434" s="97">
        <v>500</v>
      </c>
      <c r="CE434" s="97">
        <v>500</v>
      </c>
      <c r="CF434" s="97">
        <v>500</v>
      </c>
      <c r="CG434" s="97">
        <v>500</v>
      </c>
      <c r="CH434" s="97">
        <v>500</v>
      </c>
      <c r="CI434" s="173"/>
      <c r="CJ434" s="173"/>
      <c r="CK434" s="173"/>
      <c r="CL434" s="173"/>
      <c r="CM434" s="173"/>
      <c r="CN434" s="173"/>
      <c r="CO434" s="173"/>
      <c r="CP434" s="174"/>
      <c r="CQ434" s="174"/>
      <c r="CR434" s="174"/>
      <c r="CS434" s="174"/>
      <c r="CT434" s="174"/>
      <c r="CU434" s="174"/>
      <c r="CV434" s="174"/>
      <c r="CW434" s="165"/>
      <c r="CX434" s="166"/>
      <c r="CY434" s="166"/>
      <c r="CZ434" s="166"/>
      <c r="DA434" s="166"/>
      <c r="DB434" s="166"/>
      <c r="DC434" s="166"/>
      <c r="DD434" s="171"/>
      <c r="DE434" s="171"/>
      <c r="DF434" s="171"/>
      <c r="DG434" s="171"/>
      <c r="DH434" s="171"/>
      <c r="DI434" s="171"/>
      <c r="DJ434" s="171"/>
      <c r="DK434" s="79" t="s">
        <v>415</v>
      </c>
      <c r="DL434" s="128">
        <v>500</v>
      </c>
      <c r="DM434" s="128">
        <v>500</v>
      </c>
      <c r="DN434" s="128">
        <v>500</v>
      </c>
      <c r="DO434" s="128">
        <v>500</v>
      </c>
      <c r="DP434" s="128">
        <v>500</v>
      </c>
      <c r="DQ434" s="128">
        <v>500</v>
      </c>
      <c r="DR434" s="128">
        <v>500</v>
      </c>
      <c r="DS434" s="218"/>
      <c r="DT434" s="360"/>
      <c r="DU434" s="360"/>
      <c r="DV434" s="360"/>
      <c r="DW434" s="360"/>
      <c r="DX434" s="360"/>
      <c r="DY434" s="360"/>
      <c r="DZ434" s="360"/>
      <c r="EA434" s="360"/>
      <c r="EB434" s="360"/>
      <c r="EC434" s="360"/>
      <c r="ED434" s="360"/>
      <c r="EE434" s="360"/>
      <c r="EF434" s="360"/>
      <c r="EG434" s="360"/>
      <c r="EH434" s="360"/>
      <c r="EI434" s="360"/>
      <c r="EJ434" s="360"/>
      <c r="EK434" s="360"/>
      <c r="EL434" s="360"/>
      <c r="EM434" s="360"/>
      <c r="EN434" s="360"/>
      <c r="EO434" s="360"/>
      <c r="EP434" s="360"/>
      <c r="EQ434" s="360"/>
    </row>
    <row r="435" spans="1:147" x14ac:dyDescent="0.35">
      <c r="A435" s="6" t="s">
        <v>1696</v>
      </c>
      <c r="B435" s="6"/>
      <c r="C435" s="6" t="s">
        <v>817</v>
      </c>
      <c r="D435" s="6" t="s">
        <v>419</v>
      </c>
      <c r="E435" s="6" t="s">
        <v>1697</v>
      </c>
      <c r="F435" s="6" t="s">
        <v>422</v>
      </c>
      <c r="G435" s="48" t="s">
        <v>1698</v>
      </c>
      <c r="H435" s="48" t="s">
        <v>423</v>
      </c>
      <c r="I435" s="102">
        <v>0</v>
      </c>
      <c r="J435" s="102">
        <v>0</v>
      </c>
      <c r="K435" s="102">
        <v>0</v>
      </c>
      <c r="L435" s="102">
        <v>0</v>
      </c>
      <c r="M435" s="102">
        <v>0</v>
      </c>
      <c r="N435" s="102">
        <v>0</v>
      </c>
      <c r="O435" s="102">
        <v>0</v>
      </c>
      <c r="P435" s="94">
        <v>0</v>
      </c>
      <c r="Q435" s="102">
        <v>0</v>
      </c>
      <c r="R435" s="102">
        <v>0</v>
      </c>
      <c r="S435" s="102">
        <v>0</v>
      </c>
      <c r="T435" s="102">
        <v>0</v>
      </c>
      <c r="U435" s="102">
        <v>0</v>
      </c>
      <c r="V435" s="102">
        <v>0</v>
      </c>
      <c r="W435" s="102">
        <v>0</v>
      </c>
      <c r="X435" s="102">
        <v>383.25604951897697</v>
      </c>
      <c r="Y435" s="102">
        <v>383.25604951897697</v>
      </c>
      <c r="Z435" s="102">
        <v>383.25604951897697</v>
      </c>
      <c r="AA435" s="102">
        <v>383.25604951897697</v>
      </c>
      <c r="AB435" s="102">
        <v>383.25604951897697</v>
      </c>
      <c r="AC435" s="102">
        <v>383.25604951897697</v>
      </c>
      <c r="AD435" s="102">
        <v>383.25604951897697</v>
      </c>
      <c r="AE435" s="186">
        <v>0.08</v>
      </c>
      <c r="AF435" s="94">
        <v>0</v>
      </c>
      <c r="AG435" s="94">
        <v>1</v>
      </c>
      <c r="AH435" s="94">
        <v>1</v>
      </c>
      <c r="AI435" s="17">
        <v>1</v>
      </c>
      <c r="AJ435" s="17" t="s">
        <v>662</v>
      </c>
      <c r="AK435" s="17" t="s">
        <v>745</v>
      </c>
      <c r="AL435" s="17"/>
      <c r="AM435" s="61"/>
      <c r="AN435" s="61"/>
      <c r="AO435" s="61"/>
      <c r="AP435" s="61"/>
      <c r="AQ435" s="61"/>
      <c r="AR435" s="61"/>
      <c r="AS435" s="64"/>
      <c r="AT435" s="64"/>
      <c r="AU435" s="64"/>
      <c r="AV435" s="132"/>
      <c r="AW435" s="132"/>
      <c r="AX435" s="132"/>
      <c r="AY435" s="28" t="s">
        <v>662</v>
      </c>
      <c r="AZ435" s="28"/>
      <c r="BA435" s="28"/>
      <c r="BB435" s="28"/>
      <c r="BC435" s="28"/>
      <c r="BD435" s="28"/>
      <c r="BE435" s="28"/>
      <c r="BF435" s="28"/>
      <c r="BG435" s="28"/>
      <c r="BH435" s="106"/>
      <c r="BI435" s="106"/>
      <c r="BJ435" s="106"/>
      <c r="BK435" s="106"/>
      <c r="BL435" s="137"/>
      <c r="BM435" s="123"/>
      <c r="BN435" s="139"/>
      <c r="BO435" s="94"/>
      <c r="BP435" s="94"/>
      <c r="BQ435" s="94"/>
      <c r="BR435" s="94"/>
      <c r="BS435" s="94"/>
      <c r="BT435" s="94"/>
      <c r="BU435" s="28">
        <f t="shared" si="337"/>
        <v>0</v>
      </c>
      <c r="BV435" s="28"/>
      <c r="BW435" s="28"/>
      <c r="BX435" s="28"/>
      <c r="BY435" s="28"/>
      <c r="BZ435" s="28"/>
      <c r="CA435" s="28"/>
      <c r="CB435" s="185">
        <v>500</v>
      </c>
      <c r="CC435" s="185">
        <v>500</v>
      </c>
      <c r="CD435" s="185">
        <v>500</v>
      </c>
      <c r="CE435" s="185">
        <v>500</v>
      </c>
      <c r="CF435" s="185">
        <v>500</v>
      </c>
      <c r="CG435" s="185">
        <v>500</v>
      </c>
      <c r="CH435" s="185">
        <v>500</v>
      </c>
      <c r="CI435" s="175"/>
      <c r="CJ435" s="175"/>
      <c r="CK435" s="175"/>
      <c r="CL435" s="175"/>
      <c r="CM435" s="175"/>
      <c r="CN435" s="175"/>
      <c r="CO435" s="175"/>
      <c r="CP435" s="176"/>
      <c r="CQ435" s="176"/>
      <c r="CR435" s="176"/>
      <c r="CS435" s="176"/>
      <c r="CT435" s="176"/>
      <c r="CU435" s="176"/>
      <c r="CV435" s="176"/>
      <c r="CW435" s="167"/>
      <c r="CX435" s="168"/>
      <c r="CY435" s="168"/>
      <c r="CZ435" s="168"/>
      <c r="DA435" s="168"/>
      <c r="DB435" s="168"/>
      <c r="DC435" s="168"/>
      <c r="DD435" s="172"/>
      <c r="DE435" s="172"/>
      <c r="DF435" s="172"/>
      <c r="DG435" s="172"/>
      <c r="DH435" s="172"/>
      <c r="DI435" s="172"/>
      <c r="DJ435" s="172"/>
      <c r="DK435" s="80" t="s">
        <v>415</v>
      </c>
      <c r="DL435" s="129">
        <v>500</v>
      </c>
      <c r="DM435" s="129">
        <v>500</v>
      </c>
      <c r="DN435" s="129">
        <v>500</v>
      </c>
      <c r="DO435" s="129">
        <v>500</v>
      </c>
      <c r="DP435" s="129">
        <v>500</v>
      </c>
      <c r="DQ435" s="129">
        <v>500</v>
      </c>
      <c r="DR435" s="129">
        <v>500</v>
      </c>
      <c r="DS435" s="218"/>
      <c r="DT435" s="360"/>
      <c r="DU435" s="360"/>
      <c r="DV435" s="360"/>
      <c r="DW435" s="360"/>
      <c r="DX435" s="360"/>
      <c r="DY435" s="360"/>
      <c r="DZ435" s="360"/>
      <c r="EA435" s="360"/>
      <c r="EB435" s="360"/>
      <c r="EC435" s="360"/>
      <c r="ED435" s="360"/>
      <c r="EE435" s="360"/>
      <c r="EF435" s="360"/>
      <c r="EG435" s="360"/>
      <c r="EH435" s="360"/>
      <c r="EI435" s="360"/>
      <c r="EJ435" s="360"/>
      <c r="EK435" s="360"/>
      <c r="EL435" s="360"/>
      <c r="EM435" s="360"/>
      <c r="EN435" s="360"/>
      <c r="EO435" s="360"/>
      <c r="EP435" s="360"/>
      <c r="EQ435" s="360"/>
    </row>
    <row r="436" spans="1:147" x14ac:dyDescent="0.35">
      <c r="A436" s="5" t="s">
        <v>1699</v>
      </c>
      <c r="B436" s="5"/>
      <c r="C436" s="5" t="s">
        <v>817</v>
      </c>
      <c r="D436" s="5" t="s">
        <v>419</v>
      </c>
      <c r="E436" s="5" t="s">
        <v>1697</v>
      </c>
      <c r="F436" s="5" t="s">
        <v>424</v>
      </c>
      <c r="G436" s="47" t="s">
        <v>1700</v>
      </c>
      <c r="H436" s="47" t="s">
        <v>1701</v>
      </c>
      <c r="I436" s="101">
        <v>0</v>
      </c>
      <c r="J436" s="101">
        <v>0</v>
      </c>
      <c r="K436" s="101">
        <v>0</v>
      </c>
      <c r="L436" s="101">
        <v>0</v>
      </c>
      <c r="M436" s="101">
        <v>0</v>
      </c>
      <c r="N436" s="101">
        <v>0</v>
      </c>
      <c r="O436" s="101">
        <v>0</v>
      </c>
      <c r="P436" s="93">
        <v>0</v>
      </c>
      <c r="Q436" s="101">
        <v>0</v>
      </c>
      <c r="R436" s="101">
        <v>0</v>
      </c>
      <c r="S436" s="101">
        <v>0</v>
      </c>
      <c r="T436" s="101">
        <v>0</v>
      </c>
      <c r="U436" s="101">
        <v>0</v>
      </c>
      <c r="V436" s="101">
        <v>0</v>
      </c>
      <c r="W436" s="101">
        <v>0</v>
      </c>
      <c r="X436" s="101">
        <v>386.34338991787985</v>
      </c>
      <c r="Y436" s="101">
        <v>386.34338991787985</v>
      </c>
      <c r="Z436" s="101">
        <v>386.34338991787985</v>
      </c>
      <c r="AA436" s="101">
        <v>386.34338991787985</v>
      </c>
      <c r="AB436" s="101">
        <v>386.34338991787985</v>
      </c>
      <c r="AC436" s="101">
        <v>386.34338991787985</v>
      </c>
      <c r="AD436" s="101">
        <v>386.34338991787985</v>
      </c>
      <c r="AE436" s="186">
        <v>0.08</v>
      </c>
      <c r="AF436" s="93">
        <v>0</v>
      </c>
      <c r="AG436" s="93">
        <v>1</v>
      </c>
      <c r="AH436" s="93">
        <v>1</v>
      </c>
      <c r="AI436" s="16">
        <v>1</v>
      </c>
      <c r="AJ436" s="16" t="s">
        <v>662</v>
      </c>
      <c r="AK436" s="16" t="s">
        <v>745</v>
      </c>
      <c r="AL436" s="16"/>
      <c r="AM436" s="60"/>
      <c r="AN436" s="60"/>
      <c r="AO436" s="60"/>
      <c r="AP436" s="60"/>
      <c r="AQ436" s="60"/>
      <c r="AR436" s="60"/>
      <c r="AS436" s="63"/>
      <c r="AT436" s="63"/>
      <c r="AU436" s="63"/>
      <c r="AV436" s="131"/>
      <c r="AW436" s="131"/>
      <c r="AX436" s="131"/>
      <c r="AY436" s="27" t="s">
        <v>662</v>
      </c>
      <c r="AZ436" s="27"/>
      <c r="BA436" s="27"/>
      <c r="BB436" s="30"/>
      <c r="BC436" s="30"/>
      <c r="BD436" s="30"/>
      <c r="BE436" s="30"/>
      <c r="BF436" s="30"/>
      <c r="BG436" s="30"/>
      <c r="BH436" s="107"/>
      <c r="BI436" s="107"/>
      <c r="BJ436" s="107"/>
      <c r="BK436" s="107"/>
      <c r="BL436" s="136"/>
      <c r="BM436" s="122"/>
      <c r="BN436" s="138"/>
      <c r="BO436" s="93"/>
      <c r="BP436" s="93"/>
      <c r="BQ436" s="93"/>
      <c r="BR436" s="93"/>
      <c r="BS436" s="93"/>
      <c r="BT436" s="93"/>
      <c r="BU436" s="27">
        <f t="shared" si="337"/>
        <v>0</v>
      </c>
      <c r="BV436" s="27"/>
      <c r="BW436" s="27"/>
      <c r="BX436" s="27"/>
      <c r="BY436" s="27"/>
      <c r="BZ436" s="27"/>
      <c r="CA436" s="27"/>
      <c r="CB436" s="185">
        <v>500</v>
      </c>
      <c r="CC436" s="185">
        <v>500</v>
      </c>
      <c r="CD436" s="185">
        <v>500</v>
      </c>
      <c r="CE436" s="185">
        <v>500</v>
      </c>
      <c r="CF436" s="185">
        <v>500</v>
      </c>
      <c r="CG436" s="185">
        <v>500</v>
      </c>
      <c r="CH436" s="185">
        <v>500</v>
      </c>
      <c r="CI436" s="173"/>
      <c r="CJ436" s="173"/>
      <c r="CK436" s="173"/>
      <c r="CL436" s="173"/>
      <c r="CM436" s="173"/>
      <c r="CN436" s="173"/>
      <c r="CO436" s="173"/>
      <c r="CP436" s="174"/>
      <c r="CQ436" s="174"/>
      <c r="CR436" s="174"/>
      <c r="CS436" s="174"/>
      <c r="CT436" s="174"/>
      <c r="CU436" s="174"/>
      <c r="CV436" s="174"/>
      <c r="CW436" s="165"/>
      <c r="CX436" s="166"/>
      <c r="CY436" s="166"/>
      <c r="CZ436" s="166"/>
      <c r="DA436" s="166"/>
      <c r="DB436" s="166"/>
      <c r="DC436" s="166"/>
      <c r="DD436" s="171"/>
      <c r="DE436" s="171"/>
      <c r="DF436" s="171"/>
      <c r="DG436" s="171"/>
      <c r="DH436" s="171"/>
      <c r="DI436" s="171"/>
      <c r="DJ436" s="171"/>
      <c r="DK436" s="79" t="s">
        <v>415</v>
      </c>
      <c r="DL436" s="128">
        <v>500</v>
      </c>
      <c r="DM436" s="128">
        <v>500</v>
      </c>
      <c r="DN436" s="128">
        <v>500</v>
      </c>
      <c r="DO436" s="128">
        <v>500</v>
      </c>
      <c r="DP436" s="128">
        <v>500</v>
      </c>
      <c r="DQ436" s="128">
        <v>500</v>
      </c>
      <c r="DR436" s="128">
        <v>500</v>
      </c>
      <c r="DS436" s="218"/>
      <c r="DT436" s="360"/>
      <c r="DU436" s="360"/>
      <c r="DV436" s="360"/>
      <c r="DW436" s="360"/>
      <c r="DX436" s="360"/>
      <c r="DY436" s="360"/>
      <c r="DZ436" s="360"/>
      <c r="EA436" s="360"/>
      <c r="EB436" s="360"/>
      <c r="EC436" s="360"/>
      <c r="ED436" s="360"/>
      <c r="EE436" s="360"/>
      <c r="EF436" s="360"/>
      <c r="EG436" s="360"/>
      <c r="EH436" s="360"/>
      <c r="EI436" s="360"/>
      <c r="EJ436" s="360"/>
      <c r="EK436" s="360"/>
      <c r="EL436" s="360"/>
      <c r="EM436" s="360"/>
      <c r="EN436" s="360"/>
      <c r="EO436" s="360"/>
      <c r="EP436" s="360"/>
      <c r="EQ436" s="360"/>
    </row>
    <row r="437" spans="1:147" x14ac:dyDescent="0.35">
      <c r="A437" s="5" t="s">
        <v>1702</v>
      </c>
      <c r="B437" s="5"/>
      <c r="C437" s="5" t="s">
        <v>817</v>
      </c>
      <c r="D437" s="5" t="s">
        <v>419</v>
      </c>
      <c r="E437" s="5" t="s">
        <v>1697</v>
      </c>
      <c r="F437" s="5" t="s">
        <v>416</v>
      </c>
      <c r="G437" s="47" t="s">
        <v>1703</v>
      </c>
      <c r="H437" s="47" t="s">
        <v>1704</v>
      </c>
      <c r="I437" s="101">
        <v>0</v>
      </c>
      <c r="J437" s="101">
        <v>0</v>
      </c>
      <c r="K437" s="101">
        <v>0</v>
      </c>
      <c r="L437" s="101">
        <v>0</v>
      </c>
      <c r="M437" s="101">
        <v>0</v>
      </c>
      <c r="N437" s="101">
        <v>0</v>
      </c>
      <c r="O437" s="101">
        <v>0</v>
      </c>
      <c r="P437" s="93">
        <v>0</v>
      </c>
      <c r="Q437" s="101">
        <v>0</v>
      </c>
      <c r="R437" s="101">
        <v>0</v>
      </c>
      <c r="S437" s="101">
        <v>0</v>
      </c>
      <c r="T437" s="101">
        <v>0</v>
      </c>
      <c r="U437" s="101">
        <v>0</v>
      </c>
      <c r="V437" s="101">
        <v>0</v>
      </c>
      <c r="W437" s="101">
        <v>0</v>
      </c>
      <c r="X437" s="101">
        <v>109.03597565840363</v>
      </c>
      <c r="Y437" s="101">
        <v>109.03597565840363</v>
      </c>
      <c r="Z437" s="101">
        <v>109.03597565840363</v>
      </c>
      <c r="AA437" s="101">
        <v>109.03597565840363</v>
      </c>
      <c r="AB437" s="101">
        <v>109.03597565840363</v>
      </c>
      <c r="AC437" s="101">
        <v>109.03597565840363</v>
      </c>
      <c r="AD437" s="101">
        <v>109.03597565840363</v>
      </c>
      <c r="AE437" s="186">
        <v>0.08</v>
      </c>
      <c r="AF437" s="93">
        <v>0</v>
      </c>
      <c r="AG437" s="93">
        <v>1</v>
      </c>
      <c r="AH437" s="93">
        <v>1</v>
      </c>
      <c r="AI437" s="16">
        <v>1</v>
      </c>
      <c r="AJ437" s="16" t="s">
        <v>662</v>
      </c>
      <c r="AK437" s="16" t="s">
        <v>745</v>
      </c>
      <c r="AL437" s="16"/>
      <c r="AM437" s="60"/>
      <c r="AN437" s="60"/>
      <c r="AO437" s="60"/>
      <c r="AP437" s="60"/>
      <c r="AQ437" s="60"/>
      <c r="AR437" s="60"/>
      <c r="AS437" s="63"/>
      <c r="AT437" s="63"/>
      <c r="AU437" s="63"/>
      <c r="AV437" s="131"/>
      <c r="AW437" s="131"/>
      <c r="AX437" s="131"/>
      <c r="AY437" s="27" t="s">
        <v>662</v>
      </c>
      <c r="AZ437" s="27"/>
      <c r="BA437" s="29"/>
      <c r="BB437" s="30"/>
      <c r="BC437" s="30"/>
      <c r="BD437" s="30"/>
      <c r="BE437" s="30"/>
      <c r="BF437" s="30"/>
      <c r="BG437" s="30"/>
      <c r="BH437" s="107"/>
      <c r="BI437" s="107"/>
      <c r="BJ437" s="107"/>
      <c r="BK437" s="107"/>
      <c r="BL437" s="136"/>
      <c r="BM437" s="122"/>
      <c r="BN437" s="138"/>
      <c r="BO437" s="93"/>
      <c r="BP437" s="93"/>
      <c r="BQ437" s="93"/>
      <c r="BR437" s="93"/>
      <c r="BS437" s="93"/>
      <c r="BT437" s="93"/>
      <c r="BU437" s="27">
        <f t="shared" si="337"/>
        <v>0</v>
      </c>
      <c r="BV437" s="27"/>
      <c r="BW437" s="27"/>
      <c r="BX437" s="27"/>
      <c r="BY437" s="27"/>
      <c r="BZ437" s="27"/>
      <c r="CA437" s="27"/>
      <c r="CB437" s="185">
        <v>50</v>
      </c>
      <c r="CC437" s="185">
        <v>50</v>
      </c>
      <c r="CD437" s="185">
        <v>50</v>
      </c>
      <c r="CE437" s="185">
        <v>50</v>
      </c>
      <c r="CF437" s="185">
        <v>50</v>
      </c>
      <c r="CG437" s="185">
        <v>50</v>
      </c>
      <c r="CH437" s="185">
        <v>50</v>
      </c>
      <c r="CI437" s="173"/>
      <c r="CJ437" s="173"/>
      <c r="CK437" s="173"/>
      <c r="CL437" s="173"/>
      <c r="CM437" s="173"/>
      <c r="CN437" s="173"/>
      <c r="CO437" s="173"/>
      <c r="CP437" s="174"/>
      <c r="CQ437" s="174"/>
      <c r="CR437" s="174"/>
      <c r="CS437" s="174"/>
      <c r="CT437" s="174"/>
      <c r="CU437" s="174"/>
      <c r="CV437" s="174"/>
      <c r="CW437" s="165"/>
      <c r="CX437" s="166"/>
      <c r="CY437" s="166"/>
      <c r="CZ437" s="166"/>
      <c r="DA437" s="166"/>
      <c r="DB437" s="166"/>
      <c r="DC437" s="166"/>
      <c r="DD437" s="171"/>
      <c r="DE437" s="171"/>
      <c r="DF437" s="171"/>
      <c r="DG437" s="171"/>
      <c r="DH437" s="171"/>
      <c r="DI437" s="171"/>
      <c r="DJ437" s="171"/>
      <c r="DK437" s="79" t="s">
        <v>415</v>
      </c>
      <c r="DL437" s="128">
        <v>500</v>
      </c>
      <c r="DM437" s="128">
        <v>500</v>
      </c>
      <c r="DN437" s="128">
        <v>500</v>
      </c>
      <c r="DO437" s="128">
        <v>500</v>
      </c>
      <c r="DP437" s="128">
        <v>500</v>
      </c>
      <c r="DQ437" s="128">
        <v>500</v>
      </c>
      <c r="DR437" s="128">
        <v>500</v>
      </c>
      <c r="DS437" s="218"/>
      <c r="DT437" s="360"/>
      <c r="DU437" s="360"/>
      <c r="DV437" s="360"/>
      <c r="DW437" s="360"/>
      <c r="DX437" s="360"/>
      <c r="DY437" s="360"/>
      <c r="DZ437" s="360"/>
      <c r="EA437" s="360"/>
      <c r="EB437" s="360"/>
      <c r="EC437" s="360"/>
      <c r="ED437" s="360"/>
      <c r="EE437" s="360"/>
      <c r="EF437" s="360"/>
      <c r="EG437" s="360"/>
      <c r="EH437" s="360"/>
      <c r="EI437" s="360"/>
      <c r="EJ437" s="360"/>
      <c r="EK437" s="360"/>
      <c r="EL437" s="360"/>
      <c r="EM437" s="360"/>
      <c r="EN437" s="360"/>
      <c r="EO437" s="360"/>
      <c r="EP437" s="360"/>
      <c r="EQ437" s="360"/>
    </row>
    <row r="438" spans="1:147" x14ac:dyDescent="0.35">
      <c r="A438" s="5" t="s">
        <v>1705</v>
      </c>
      <c r="B438" s="5"/>
      <c r="C438" s="5" t="s">
        <v>817</v>
      </c>
      <c r="D438" s="5" t="s">
        <v>419</v>
      </c>
      <c r="E438" s="5" t="s">
        <v>1697</v>
      </c>
      <c r="F438" s="5" t="s">
        <v>420</v>
      </c>
      <c r="G438" s="47" t="s">
        <v>1706</v>
      </c>
      <c r="H438" s="47" t="s">
        <v>1707</v>
      </c>
      <c r="I438" s="101">
        <v>0</v>
      </c>
      <c r="J438" s="101">
        <v>0</v>
      </c>
      <c r="K438" s="101">
        <v>0</v>
      </c>
      <c r="L438" s="101">
        <v>0</v>
      </c>
      <c r="M438" s="101">
        <v>0</v>
      </c>
      <c r="N438" s="101">
        <v>0</v>
      </c>
      <c r="O438" s="101">
        <v>0</v>
      </c>
      <c r="P438" s="93"/>
      <c r="Q438" s="101">
        <v>0</v>
      </c>
      <c r="R438" s="101">
        <v>0</v>
      </c>
      <c r="S438" s="101">
        <v>0</v>
      </c>
      <c r="T438" s="101">
        <v>0</v>
      </c>
      <c r="U438" s="101">
        <v>0</v>
      </c>
      <c r="V438" s="101">
        <v>0</v>
      </c>
      <c r="W438" s="101">
        <v>0</v>
      </c>
      <c r="X438" s="101">
        <v>25.897931216349235</v>
      </c>
      <c r="Y438" s="101">
        <v>25.897931216349235</v>
      </c>
      <c r="Z438" s="101">
        <v>25.897931216349235</v>
      </c>
      <c r="AA438" s="101">
        <v>25.897931216349235</v>
      </c>
      <c r="AB438" s="101">
        <v>25.897931216349235</v>
      </c>
      <c r="AC438" s="101">
        <v>25.897931216349235</v>
      </c>
      <c r="AD438" s="101">
        <v>25.897931216349235</v>
      </c>
      <c r="AE438" s="186">
        <v>0.08</v>
      </c>
      <c r="AF438" s="93">
        <v>0</v>
      </c>
      <c r="AG438" s="93">
        <v>1</v>
      </c>
      <c r="AH438" s="93">
        <v>1</v>
      </c>
      <c r="AI438" s="16">
        <v>1</v>
      </c>
      <c r="AJ438" s="16" t="s">
        <v>662</v>
      </c>
      <c r="AK438" s="16" t="s">
        <v>745</v>
      </c>
      <c r="AL438" s="16"/>
      <c r="AM438" s="60"/>
      <c r="AN438" s="60"/>
      <c r="AO438" s="60"/>
      <c r="AP438" s="60"/>
      <c r="AQ438" s="60"/>
      <c r="AR438" s="60"/>
      <c r="AS438" s="63"/>
      <c r="AT438" s="63"/>
      <c r="AU438" s="63"/>
      <c r="AV438" s="131"/>
      <c r="AW438" s="131"/>
      <c r="AX438" s="131"/>
      <c r="AY438" s="27" t="s">
        <v>662</v>
      </c>
      <c r="AZ438" s="27"/>
      <c r="BA438" s="29"/>
      <c r="BB438" s="30"/>
      <c r="BC438" s="30"/>
      <c r="BD438" s="30"/>
      <c r="BE438" s="30"/>
      <c r="BF438" s="30"/>
      <c r="BG438" s="30"/>
      <c r="BH438" s="107"/>
      <c r="BI438" s="107"/>
      <c r="BJ438" s="107"/>
      <c r="BK438" s="107"/>
      <c r="BL438" s="136"/>
      <c r="BM438" s="122"/>
      <c r="BN438" s="138"/>
      <c r="BO438" s="93"/>
      <c r="BP438" s="93"/>
      <c r="BQ438" s="93"/>
      <c r="BR438" s="93"/>
      <c r="BS438" s="93"/>
      <c r="BT438" s="93"/>
      <c r="BU438" s="27">
        <f t="shared" si="337"/>
        <v>0</v>
      </c>
      <c r="BV438" s="27"/>
      <c r="BW438" s="27"/>
      <c r="BX438" s="27"/>
      <c r="BY438" s="27"/>
      <c r="BZ438" s="27"/>
      <c r="CA438" s="27"/>
      <c r="CB438" s="185">
        <v>50</v>
      </c>
      <c r="CC438" s="185">
        <v>50</v>
      </c>
      <c r="CD438" s="185">
        <v>50</v>
      </c>
      <c r="CE438" s="185">
        <v>50</v>
      </c>
      <c r="CF438" s="185">
        <v>50</v>
      </c>
      <c r="CG438" s="185">
        <v>50</v>
      </c>
      <c r="CH438" s="185">
        <v>50</v>
      </c>
      <c r="CI438" s="173"/>
      <c r="CJ438" s="173"/>
      <c r="CK438" s="173"/>
      <c r="CL438" s="173"/>
      <c r="CM438" s="173"/>
      <c r="CN438" s="173"/>
      <c r="CO438" s="173"/>
      <c r="CP438" s="174"/>
      <c r="CQ438" s="174"/>
      <c r="CR438" s="174"/>
      <c r="CS438" s="174"/>
      <c r="CT438" s="174"/>
      <c r="CU438" s="174"/>
      <c r="CV438" s="174"/>
      <c r="CW438" s="165"/>
      <c r="CX438" s="166"/>
      <c r="CY438" s="166"/>
      <c r="CZ438" s="166"/>
      <c r="DA438" s="166"/>
      <c r="DB438" s="166"/>
      <c r="DC438" s="166"/>
      <c r="DD438" s="171"/>
      <c r="DE438" s="171"/>
      <c r="DF438" s="171"/>
      <c r="DG438" s="171"/>
      <c r="DH438" s="171"/>
      <c r="DI438" s="171"/>
      <c r="DJ438" s="171"/>
      <c r="DK438" s="79" t="s">
        <v>415</v>
      </c>
      <c r="DL438" s="128">
        <v>500</v>
      </c>
      <c r="DM438" s="128">
        <v>500</v>
      </c>
      <c r="DN438" s="128">
        <v>500</v>
      </c>
      <c r="DO438" s="128">
        <v>500</v>
      </c>
      <c r="DP438" s="128">
        <v>500</v>
      </c>
      <c r="DQ438" s="128">
        <v>500</v>
      </c>
      <c r="DR438" s="128">
        <v>500</v>
      </c>
      <c r="DS438" s="218"/>
      <c r="DT438" s="360"/>
      <c r="DU438" s="360"/>
      <c r="DV438" s="360"/>
      <c r="DW438" s="360"/>
      <c r="DX438" s="360"/>
      <c r="DY438" s="360"/>
      <c r="DZ438" s="360"/>
      <c r="EA438" s="360"/>
      <c r="EB438" s="360"/>
      <c r="EC438" s="360"/>
      <c r="ED438" s="360"/>
      <c r="EE438" s="360"/>
      <c r="EF438" s="360"/>
      <c r="EG438" s="360"/>
      <c r="EH438" s="360"/>
      <c r="EI438" s="360"/>
      <c r="EJ438" s="360"/>
      <c r="EK438" s="360"/>
      <c r="EL438" s="360"/>
      <c r="EM438" s="360"/>
      <c r="EN438" s="360"/>
      <c r="EO438" s="360"/>
      <c r="EP438" s="360"/>
      <c r="EQ438" s="360"/>
    </row>
    <row r="439" spans="1:147" x14ac:dyDescent="0.35">
      <c r="A439" s="5" t="s">
        <v>2038</v>
      </c>
      <c r="B439" s="5"/>
      <c r="C439" s="5" t="s">
        <v>817</v>
      </c>
      <c r="D439" s="5" t="s">
        <v>419</v>
      </c>
      <c r="E439" s="5" t="s">
        <v>2039</v>
      </c>
      <c r="F439" s="5" t="s">
        <v>2034</v>
      </c>
      <c r="G439" s="47" t="s">
        <v>2034</v>
      </c>
      <c r="H439" s="47" t="s">
        <v>2040</v>
      </c>
      <c r="I439" s="101">
        <v>0</v>
      </c>
      <c r="J439" s="101">
        <v>0</v>
      </c>
      <c r="K439" s="101">
        <v>0</v>
      </c>
      <c r="L439" s="101">
        <v>0</v>
      </c>
      <c r="M439" s="101">
        <v>0</v>
      </c>
      <c r="N439" s="101">
        <v>0</v>
      </c>
      <c r="O439" s="101">
        <v>0</v>
      </c>
      <c r="P439" s="93"/>
      <c r="Q439" s="101">
        <v>0</v>
      </c>
      <c r="R439" s="101">
        <v>0</v>
      </c>
      <c r="S439" s="101">
        <v>0</v>
      </c>
      <c r="T439" s="101">
        <v>0</v>
      </c>
      <c r="U439" s="101">
        <v>0</v>
      </c>
      <c r="V439" s="101">
        <v>0</v>
      </c>
      <c r="W439" s="101">
        <v>0</v>
      </c>
      <c r="X439" s="101">
        <f>X440*0.1</f>
        <v>6.4098324994561686</v>
      </c>
      <c r="Y439" s="101">
        <f t="shared" ref="Y439:AD439" si="347">Y440*0.1</f>
        <v>6.4098324994561686</v>
      </c>
      <c r="Z439" s="101">
        <f t="shared" si="347"/>
        <v>6.4098324994561686</v>
      </c>
      <c r="AA439" s="101">
        <f t="shared" si="347"/>
        <v>6.4098324994561686</v>
      </c>
      <c r="AB439" s="101">
        <f t="shared" si="347"/>
        <v>6.4098324994561686</v>
      </c>
      <c r="AC439" s="101">
        <f t="shared" si="347"/>
        <v>6.4098324994561686</v>
      </c>
      <c r="AD439" s="101">
        <f t="shared" si="347"/>
        <v>6.4098324994561686</v>
      </c>
      <c r="AE439" s="186">
        <v>0.08</v>
      </c>
      <c r="AF439" s="93"/>
      <c r="AG439" s="93">
        <v>1</v>
      </c>
      <c r="AH439" s="93">
        <v>1</v>
      </c>
      <c r="AI439" s="16">
        <v>1</v>
      </c>
      <c r="AJ439" s="16" t="s">
        <v>662</v>
      </c>
      <c r="AK439" s="16" t="s">
        <v>745</v>
      </c>
      <c r="AL439" s="16"/>
      <c r="AM439" s="60"/>
      <c r="AN439" s="60"/>
      <c r="AO439" s="60"/>
      <c r="AP439" s="60"/>
      <c r="AQ439" s="60"/>
      <c r="AR439" s="60"/>
      <c r="AS439" s="63"/>
      <c r="AT439" s="63"/>
      <c r="AU439" s="63"/>
      <c r="AV439" s="131"/>
      <c r="AW439" s="131"/>
      <c r="AX439" s="131"/>
      <c r="AY439" s="27" t="s">
        <v>662</v>
      </c>
      <c r="AZ439" s="27"/>
      <c r="BA439" s="29"/>
      <c r="BB439" s="30"/>
      <c r="BC439" s="30"/>
      <c r="BD439" s="30"/>
      <c r="BE439" s="30"/>
      <c r="BF439" s="30"/>
      <c r="BG439" s="30"/>
      <c r="BH439" s="107"/>
      <c r="BI439" s="107"/>
      <c r="BJ439" s="107"/>
      <c r="BK439" s="107"/>
      <c r="BL439" s="136"/>
      <c r="BM439" s="122"/>
      <c r="BN439" s="138"/>
      <c r="BO439" s="93"/>
      <c r="BP439" s="93"/>
      <c r="BQ439" s="93"/>
      <c r="BR439" s="93"/>
      <c r="BS439" s="93"/>
      <c r="BT439" s="93"/>
      <c r="BU439" s="27">
        <f t="shared" si="337"/>
        <v>0</v>
      </c>
      <c r="BV439" s="27"/>
      <c r="BW439" s="27"/>
      <c r="BX439" s="27"/>
      <c r="BY439" s="27"/>
      <c r="BZ439" s="27"/>
      <c r="CA439" s="27"/>
      <c r="CB439" s="185">
        <v>10</v>
      </c>
      <c r="CC439" s="185">
        <v>10</v>
      </c>
      <c r="CD439" s="185">
        <v>10</v>
      </c>
      <c r="CE439" s="185">
        <v>10</v>
      </c>
      <c r="CF439" s="185">
        <v>10</v>
      </c>
      <c r="CG439" s="185">
        <v>10</v>
      </c>
      <c r="CH439" s="185">
        <v>10</v>
      </c>
      <c r="CI439" s="173"/>
      <c r="CJ439" s="173"/>
      <c r="CK439" s="173"/>
      <c r="CL439" s="173"/>
      <c r="CM439" s="173"/>
      <c r="CN439" s="173"/>
      <c r="CO439" s="173"/>
      <c r="CP439" s="174"/>
      <c r="CQ439" s="174"/>
      <c r="CR439" s="174"/>
      <c r="CS439" s="174"/>
      <c r="CT439" s="174"/>
      <c r="CU439" s="174"/>
      <c r="CV439" s="174"/>
      <c r="CW439" s="165"/>
      <c r="CX439" s="166"/>
      <c r="CY439" s="166"/>
      <c r="CZ439" s="166"/>
      <c r="DA439" s="166"/>
      <c r="DB439" s="166"/>
      <c r="DC439" s="166"/>
      <c r="DD439" s="171"/>
      <c r="DE439" s="171"/>
      <c r="DF439" s="171"/>
      <c r="DG439" s="171"/>
      <c r="DH439" s="171"/>
      <c r="DI439" s="171"/>
      <c r="DJ439" s="171"/>
      <c r="DK439" s="79"/>
      <c r="DL439" s="128"/>
      <c r="DM439" s="128"/>
      <c r="DN439" s="128"/>
      <c r="DO439" s="128"/>
      <c r="DP439" s="128"/>
      <c r="DQ439" s="128"/>
      <c r="DR439" s="128"/>
      <c r="DS439" s="218"/>
      <c r="DT439" s="360"/>
      <c r="DU439" s="360"/>
      <c r="DV439" s="360"/>
      <c r="DW439" s="360"/>
      <c r="DX439" s="360"/>
      <c r="DY439" s="360"/>
      <c r="DZ439" s="360"/>
      <c r="EA439" s="360"/>
      <c r="EB439" s="360"/>
      <c r="EC439" s="360"/>
      <c r="ED439" s="360"/>
      <c r="EE439" s="360"/>
      <c r="EF439" s="360"/>
      <c r="EG439" s="360"/>
      <c r="EH439" s="360"/>
      <c r="EI439" s="360"/>
      <c r="EJ439" s="360"/>
      <c r="EK439" s="360"/>
      <c r="EL439" s="360"/>
      <c r="EM439" s="360"/>
      <c r="EN439" s="360"/>
      <c r="EO439" s="360"/>
      <c r="EP439" s="360"/>
      <c r="EQ439" s="360"/>
    </row>
    <row r="440" spans="1:147" x14ac:dyDescent="0.35">
      <c r="A440" s="5" t="s">
        <v>2041</v>
      </c>
      <c r="B440" s="5"/>
      <c r="C440" s="5" t="s">
        <v>655</v>
      </c>
      <c r="D440" s="5" t="s">
        <v>419</v>
      </c>
      <c r="E440" s="5" t="s">
        <v>1697</v>
      </c>
      <c r="F440" s="5" t="s">
        <v>2020</v>
      </c>
      <c r="G440" s="47" t="s">
        <v>2042</v>
      </c>
      <c r="H440" s="47" t="s">
        <v>2040</v>
      </c>
      <c r="I440" s="101">
        <v>0</v>
      </c>
      <c r="J440" s="101">
        <v>0</v>
      </c>
      <c r="K440" s="101">
        <v>0</v>
      </c>
      <c r="L440" s="101">
        <v>0</v>
      </c>
      <c r="M440" s="101">
        <v>0</v>
      </c>
      <c r="N440" s="101">
        <v>0</v>
      </c>
      <c r="O440" s="101">
        <v>0</v>
      </c>
      <c r="P440" s="93"/>
      <c r="Q440" s="101">
        <v>0</v>
      </c>
      <c r="R440" s="101">
        <v>0</v>
      </c>
      <c r="S440" s="101">
        <v>0</v>
      </c>
      <c r="T440" s="101">
        <v>0</v>
      </c>
      <c r="U440" s="101">
        <v>0</v>
      </c>
      <c r="V440" s="101">
        <v>0</v>
      </c>
      <c r="W440" s="101">
        <v>0</v>
      </c>
      <c r="X440" s="101">
        <f>[1]Commodity_prices_MEUR2019!C$49</f>
        <v>64.098324994561679</v>
      </c>
      <c r="Y440" s="101">
        <f>[1]Commodity_prices_MEUR2019!D$49</f>
        <v>64.098324994561679</v>
      </c>
      <c r="Z440" s="101">
        <f>[1]Commodity_prices_MEUR2019!E$49</f>
        <v>64.098324994561679</v>
      </c>
      <c r="AA440" s="101">
        <f>[1]Commodity_prices_MEUR2019!F$49</f>
        <v>64.098324994561679</v>
      </c>
      <c r="AB440" s="101">
        <f>[1]Commodity_prices_MEUR2019!G$49</f>
        <v>64.098324994561679</v>
      </c>
      <c r="AC440" s="101">
        <f>[1]Commodity_prices_MEUR2019!H$49</f>
        <v>64.098324994561679</v>
      </c>
      <c r="AD440" s="101">
        <f>[1]Commodity_prices_MEUR2019!I$49</f>
        <v>64.098324994561679</v>
      </c>
      <c r="AE440" s="186">
        <v>0.08</v>
      </c>
      <c r="AF440" s="93"/>
      <c r="AG440" s="93">
        <v>1</v>
      </c>
      <c r="AH440" s="93">
        <v>1</v>
      </c>
      <c r="AI440" s="16">
        <v>1</v>
      </c>
      <c r="AJ440" s="16" t="s">
        <v>662</v>
      </c>
      <c r="AK440" s="16" t="s">
        <v>745</v>
      </c>
      <c r="AL440" s="16"/>
      <c r="AM440" s="60"/>
      <c r="AN440" s="60"/>
      <c r="AO440" s="60"/>
      <c r="AP440" s="60"/>
      <c r="AQ440" s="60"/>
      <c r="AR440" s="60"/>
      <c r="AS440" s="63"/>
      <c r="AT440" s="63"/>
      <c r="AU440" s="63"/>
      <c r="AV440" s="131"/>
      <c r="AW440" s="131"/>
      <c r="AX440" s="131"/>
      <c r="AY440" s="27" t="s">
        <v>662</v>
      </c>
      <c r="AZ440" s="27"/>
      <c r="BA440" s="29"/>
      <c r="BB440" s="30"/>
      <c r="BC440" s="30"/>
      <c r="BD440" s="30"/>
      <c r="BE440" s="30"/>
      <c r="BF440" s="30"/>
      <c r="BG440" s="30"/>
      <c r="BH440" s="107"/>
      <c r="BI440" s="107"/>
      <c r="BJ440" s="107"/>
      <c r="BK440" s="107"/>
      <c r="BL440" s="136"/>
      <c r="BM440" s="122"/>
      <c r="BN440" s="138"/>
      <c r="BO440" s="93"/>
      <c r="BP440" s="93"/>
      <c r="BQ440" s="93"/>
      <c r="BR440" s="93"/>
      <c r="BS440" s="93"/>
      <c r="BT440" s="93"/>
      <c r="BU440" s="27">
        <f t="shared" si="337"/>
        <v>0</v>
      </c>
      <c r="BV440" s="27"/>
      <c r="BW440" s="27"/>
      <c r="BX440" s="27"/>
      <c r="BY440" s="27"/>
      <c r="BZ440" s="27"/>
      <c r="CA440" s="27"/>
      <c r="CB440" s="185">
        <v>0.55100000000000005</v>
      </c>
      <c r="CC440" s="185">
        <v>0.55100000000000005</v>
      </c>
      <c r="CD440" s="185">
        <v>0.55100000000000005</v>
      </c>
      <c r="CE440" s="185">
        <v>0.55100000000000005</v>
      </c>
      <c r="CF440" s="185">
        <v>0.55100000000000005</v>
      </c>
      <c r="CG440" s="185">
        <v>0.55100000000000005</v>
      </c>
      <c r="CH440" s="185">
        <v>0.55100000000000005</v>
      </c>
      <c r="CI440" s="173"/>
      <c r="CJ440" s="173"/>
      <c r="CK440" s="173"/>
      <c r="CL440" s="173"/>
      <c r="CM440" s="173"/>
      <c r="CN440" s="173"/>
      <c r="CO440" s="173"/>
      <c r="CP440" s="174"/>
      <c r="CQ440" s="174"/>
      <c r="CR440" s="174"/>
      <c r="CS440" s="174"/>
      <c r="CT440" s="174"/>
      <c r="CU440" s="174"/>
      <c r="CV440" s="174"/>
      <c r="CW440" s="165"/>
      <c r="CX440" s="166"/>
      <c r="CY440" s="166"/>
      <c r="CZ440" s="166"/>
      <c r="DA440" s="166"/>
      <c r="DB440" s="166"/>
      <c r="DC440" s="166"/>
      <c r="DD440" s="171"/>
      <c r="DE440" s="171"/>
      <c r="DF440" s="171"/>
      <c r="DG440" s="171"/>
      <c r="DH440" s="171"/>
      <c r="DI440" s="171"/>
      <c r="DJ440" s="171"/>
      <c r="DK440" s="79"/>
      <c r="DL440" s="128"/>
      <c r="DM440" s="128"/>
      <c r="DN440" s="128"/>
      <c r="DO440" s="128"/>
      <c r="DP440" s="128"/>
      <c r="DQ440" s="128"/>
      <c r="DR440" s="128"/>
      <c r="DS440" s="218"/>
      <c r="DT440" s="360"/>
      <c r="DU440" s="360"/>
      <c r="DV440" s="360"/>
      <c r="DW440" s="360"/>
      <c r="DX440" s="360"/>
      <c r="DY440" s="360"/>
      <c r="DZ440" s="360"/>
      <c r="EA440" s="360"/>
      <c r="EB440" s="360"/>
      <c r="EC440" s="360"/>
      <c r="ED440" s="360"/>
      <c r="EE440" s="360"/>
      <c r="EF440" s="360"/>
      <c r="EG440" s="360"/>
      <c r="EH440" s="360"/>
      <c r="EI440" s="360"/>
      <c r="EJ440" s="360"/>
      <c r="EK440" s="360"/>
      <c r="EL440" s="360"/>
      <c r="EM440" s="360"/>
      <c r="EN440" s="360"/>
      <c r="EO440" s="360"/>
      <c r="EP440" s="360"/>
      <c r="EQ440" s="360"/>
    </row>
    <row r="441" spans="1:147" x14ac:dyDescent="0.35">
      <c r="A441" s="5" t="s">
        <v>2043</v>
      </c>
      <c r="B441" s="5"/>
      <c r="C441" s="5" t="s">
        <v>817</v>
      </c>
      <c r="D441" s="5" t="s">
        <v>419</v>
      </c>
      <c r="E441" s="5" t="s">
        <v>2035</v>
      </c>
      <c r="F441" s="5" t="s">
        <v>2035</v>
      </c>
      <c r="G441" s="47" t="s">
        <v>2044</v>
      </c>
      <c r="H441" s="47" t="s">
        <v>2045</v>
      </c>
      <c r="I441" s="101">
        <v>0</v>
      </c>
      <c r="J441" s="101">
        <v>0</v>
      </c>
      <c r="K441" s="101">
        <v>0</v>
      </c>
      <c r="L441" s="101">
        <v>0</v>
      </c>
      <c r="M441" s="101">
        <v>0</v>
      </c>
      <c r="N441" s="101">
        <v>0</v>
      </c>
      <c r="O441" s="101">
        <v>0</v>
      </c>
      <c r="P441" s="93"/>
      <c r="Q441" s="101">
        <v>0</v>
      </c>
      <c r="R441" s="101">
        <v>0</v>
      </c>
      <c r="S441" s="101">
        <v>0</v>
      </c>
      <c r="T441" s="101">
        <v>0</v>
      </c>
      <c r="U441" s="101">
        <v>0</v>
      </c>
      <c r="V441" s="101">
        <v>0</v>
      </c>
      <c r="W441" s="101">
        <v>0</v>
      </c>
      <c r="X441" s="101">
        <v>0</v>
      </c>
      <c r="Y441" s="101">
        <v>0</v>
      </c>
      <c r="Z441" s="101">
        <v>0</v>
      </c>
      <c r="AA441" s="101">
        <v>0</v>
      </c>
      <c r="AB441" s="101">
        <v>0</v>
      </c>
      <c r="AC441" s="101">
        <v>0</v>
      </c>
      <c r="AD441" s="101">
        <v>0</v>
      </c>
      <c r="AE441" s="186">
        <v>0.08</v>
      </c>
      <c r="AF441" s="93"/>
      <c r="AG441" s="93">
        <v>1</v>
      </c>
      <c r="AH441" s="93">
        <v>1</v>
      </c>
      <c r="AI441" s="16">
        <v>1</v>
      </c>
      <c r="AJ441" s="16" t="s">
        <v>662</v>
      </c>
      <c r="AK441" s="16" t="s">
        <v>745</v>
      </c>
      <c r="AL441" s="16"/>
      <c r="AM441" s="60"/>
      <c r="AN441" s="60"/>
      <c r="AO441" s="60"/>
      <c r="AP441" s="60"/>
      <c r="AQ441" s="60"/>
      <c r="AR441" s="60"/>
      <c r="AS441" s="63"/>
      <c r="AT441" s="63"/>
      <c r="AU441" s="63"/>
      <c r="AV441" s="131"/>
      <c r="AW441" s="131"/>
      <c r="AX441" s="131"/>
      <c r="AY441" s="27" t="s">
        <v>662</v>
      </c>
      <c r="AZ441" s="27"/>
      <c r="BA441" s="29"/>
      <c r="BB441" s="30"/>
      <c r="BC441" s="30"/>
      <c r="BD441" s="30"/>
      <c r="BE441" s="30"/>
      <c r="BF441" s="30"/>
      <c r="BG441" s="30"/>
      <c r="BH441" s="107"/>
      <c r="BI441" s="107"/>
      <c r="BJ441" s="107"/>
      <c r="BK441" s="107"/>
      <c r="BL441" s="136"/>
      <c r="BM441" s="122"/>
      <c r="BN441" s="138"/>
      <c r="BO441" s="93"/>
      <c r="BP441" s="93"/>
      <c r="BQ441" s="93"/>
      <c r="BR441" s="93"/>
      <c r="BS441" s="93"/>
      <c r="BT441" s="93"/>
      <c r="BU441" s="27">
        <v>0</v>
      </c>
      <c r="BV441" s="27"/>
      <c r="BW441" s="27"/>
      <c r="BX441" s="27"/>
      <c r="BY441" s="27"/>
      <c r="BZ441" s="27"/>
      <c r="CA441" s="27"/>
      <c r="CB441" s="185">
        <v>5</v>
      </c>
      <c r="CC441" s="185">
        <v>5</v>
      </c>
      <c r="CD441" s="185">
        <v>5</v>
      </c>
      <c r="CE441" s="185">
        <v>5</v>
      </c>
      <c r="CF441" s="185">
        <v>5</v>
      </c>
      <c r="CG441" s="185">
        <v>5</v>
      </c>
      <c r="CH441" s="185">
        <v>5</v>
      </c>
      <c r="CI441" s="173"/>
      <c r="CJ441" s="173"/>
      <c r="CK441" s="173"/>
      <c r="CL441" s="173"/>
      <c r="CM441" s="173"/>
      <c r="CN441" s="173"/>
      <c r="CO441" s="173"/>
      <c r="CP441" s="174"/>
      <c r="CQ441" s="174"/>
      <c r="CR441" s="174"/>
      <c r="CS441" s="174"/>
      <c r="CT441" s="174"/>
      <c r="CU441" s="174"/>
      <c r="CV441" s="174"/>
      <c r="CW441" s="165"/>
      <c r="CX441" s="166"/>
      <c r="CY441" s="166"/>
      <c r="CZ441" s="166"/>
      <c r="DA441" s="166"/>
      <c r="DB441" s="166"/>
      <c r="DC441" s="166"/>
      <c r="DD441" s="171"/>
      <c r="DE441" s="171"/>
      <c r="DF441" s="171"/>
      <c r="DG441" s="171"/>
      <c r="DH441" s="171"/>
      <c r="DI441" s="171"/>
      <c r="DJ441" s="171"/>
      <c r="DK441" s="79"/>
      <c r="DL441" s="128"/>
      <c r="DM441" s="128"/>
      <c r="DN441" s="128"/>
      <c r="DO441" s="128"/>
      <c r="DP441" s="128"/>
      <c r="DQ441" s="128"/>
      <c r="DR441" s="128"/>
      <c r="DS441" s="218"/>
      <c r="DT441" s="360"/>
      <c r="DU441" s="360"/>
      <c r="DV441" s="360"/>
      <c r="DW441" s="360"/>
      <c r="DX441" s="360"/>
      <c r="DY441" s="360"/>
      <c r="DZ441" s="360"/>
      <c r="EA441" s="360"/>
      <c r="EB441" s="360"/>
      <c r="EC441" s="360"/>
      <c r="ED441" s="360"/>
      <c r="EE441" s="360"/>
      <c r="EF441" s="360"/>
      <c r="EG441" s="360"/>
      <c r="EH441" s="360"/>
      <c r="EI441" s="360"/>
      <c r="EJ441" s="360"/>
      <c r="EK441" s="360"/>
      <c r="EL441" s="360"/>
      <c r="EM441" s="360"/>
      <c r="EN441" s="360"/>
      <c r="EO441" s="360"/>
      <c r="EP441" s="360"/>
      <c r="EQ441" s="360"/>
    </row>
    <row r="442" spans="1:147" x14ac:dyDescent="0.35">
      <c r="A442" s="5" t="s">
        <v>2046</v>
      </c>
      <c r="B442" s="5" t="s">
        <v>740</v>
      </c>
      <c r="C442" s="5" t="s">
        <v>655</v>
      </c>
      <c r="D442" s="5" t="s">
        <v>741</v>
      </c>
      <c r="E442" s="5" t="s">
        <v>2039</v>
      </c>
      <c r="F442" s="5" t="s">
        <v>2020</v>
      </c>
      <c r="G442" s="47" t="s">
        <v>2047</v>
      </c>
      <c r="H442" s="47" t="s">
        <v>2040</v>
      </c>
      <c r="I442" s="101">
        <f>471437/10^3/2.5*0.6732*106.6/126.8</f>
        <v>106.72488960075711</v>
      </c>
      <c r="J442" s="101">
        <f>I442</f>
        <v>106.72488960075711</v>
      </c>
      <c r="K442" s="101">
        <f t="shared" ref="K442:O442" si="348">J442</f>
        <v>106.72488960075711</v>
      </c>
      <c r="L442" s="101">
        <f t="shared" si="348"/>
        <v>106.72488960075711</v>
      </c>
      <c r="M442" s="101">
        <f t="shared" si="348"/>
        <v>106.72488960075711</v>
      </c>
      <c r="N442" s="101">
        <f t="shared" si="348"/>
        <v>106.72488960075711</v>
      </c>
      <c r="O442" s="101">
        <f t="shared" si="348"/>
        <v>106.72488960075711</v>
      </c>
      <c r="P442" s="93"/>
      <c r="Q442" s="101">
        <f>I442*0.05</f>
        <v>5.3362444800378555</v>
      </c>
      <c r="R442" s="101">
        <f t="shared" ref="R442:W442" si="349">J442*0.05</f>
        <v>5.3362444800378555</v>
      </c>
      <c r="S442" s="101">
        <f t="shared" si="349"/>
        <v>5.3362444800378555</v>
      </c>
      <c r="T442" s="101">
        <f t="shared" si="349"/>
        <v>5.3362444800378555</v>
      </c>
      <c r="U442" s="101">
        <f t="shared" si="349"/>
        <v>5.3362444800378555</v>
      </c>
      <c r="V442" s="101">
        <f t="shared" si="349"/>
        <v>5.3362444800378555</v>
      </c>
      <c r="W442" s="101">
        <f t="shared" si="349"/>
        <v>5.3362444800378555</v>
      </c>
      <c r="X442" s="101">
        <v>0</v>
      </c>
      <c r="Y442" s="101">
        <v>0</v>
      </c>
      <c r="Z442" s="101">
        <v>0</v>
      </c>
      <c r="AA442" s="101">
        <v>0</v>
      </c>
      <c r="AB442" s="101">
        <v>0</v>
      </c>
      <c r="AC442" s="101">
        <v>0</v>
      </c>
      <c r="AD442" s="101">
        <v>0</v>
      </c>
      <c r="AE442" s="186">
        <v>0.08</v>
      </c>
      <c r="AF442" s="93"/>
      <c r="AG442" s="93">
        <v>30</v>
      </c>
      <c r="AH442" s="93">
        <v>30</v>
      </c>
      <c r="AI442" s="16">
        <v>1</v>
      </c>
      <c r="AJ442" s="16" t="s">
        <v>662</v>
      </c>
      <c r="AK442" s="16" t="s">
        <v>745</v>
      </c>
      <c r="AL442" s="16"/>
      <c r="AM442" s="60"/>
      <c r="AN442" s="60"/>
      <c r="AO442" s="60"/>
      <c r="AP442" s="60"/>
      <c r="AQ442" s="60"/>
      <c r="AR442" s="60"/>
      <c r="AS442" s="63"/>
      <c r="AT442" s="63"/>
      <c r="AU442" s="63"/>
      <c r="AV442" s="131"/>
      <c r="AW442" s="131"/>
      <c r="AX442" s="131"/>
      <c r="AY442" s="27" t="s">
        <v>662</v>
      </c>
      <c r="AZ442" s="27"/>
      <c r="BA442" s="29"/>
      <c r="BB442" s="30"/>
      <c r="BC442" s="30"/>
      <c r="BD442" s="30"/>
      <c r="BE442" s="30"/>
      <c r="BF442" s="30"/>
      <c r="BG442" s="30"/>
      <c r="BH442" s="107"/>
      <c r="BI442" s="107"/>
      <c r="BJ442" s="107"/>
      <c r="BK442" s="107"/>
      <c r="BL442" s="136"/>
      <c r="BM442" s="122"/>
      <c r="BN442" s="138"/>
      <c r="BO442" s="93"/>
      <c r="BP442" s="93"/>
      <c r="BQ442" s="93"/>
      <c r="BR442" s="93"/>
      <c r="BS442" s="93"/>
      <c r="BT442" s="93"/>
      <c r="BU442" s="27">
        <v>0</v>
      </c>
      <c r="BV442" s="27"/>
      <c r="BW442" s="27"/>
      <c r="BX442" s="27"/>
      <c r="BY442" s="27"/>
      <c r="BZ442" s="27"/>
      <c r="CA442" s="27"/>
      <c r="CB442" s="185">
        <v>7</v>
      </c>
      <c r="CC442" s="185">
        <f>CB442</f>
        <v>7</v>
      </c>
      <c r="CD442" s="185">
        <f t="shared" ref="CD442:CH442" si="350">CC442</f>
        <v>7</v>
      </c>
      <c r="CE442" s="185">
        <f t="shared" si="350"/>
        <v>7</v>
      </c>
      <c r="CF442" s="185">
        <f t="shared" si="350"/>
        <v>7</v>
      </c>
      <c r="CG442" s="185">
        <f t="shared" si="350"/>
        <v>7</v>
      </c>
      <c r="CH442" s="185">
        <f t="shared" si="350"/>
        <v>7</v>
      </c>
      <c r="CI442" s="173"/>
      <c r="CJ442" s="173"/>
      <c r="CK442" s="173"/>
      <c r="CL442" s="173"/>
      <c r="CM442" s="173"/>
      <c r="CN442" s="173"/>
      <c r="CO442" s="173"/>
      <c r="CP442" s="174"/>
      <c r="CQ442" s="174"/>
      <c r="CR442" s="174"/>
      <c r="CS442" s="174"/>
      <c r="CT442" s="174"/>
      <c r="CU442" s="174"/>
      <c r="CV442" s="174"/>
      <c r="CW442" s="165"/>
      <c r="CX442" s="166"/>
      <c r="CY442" s="166"/>
      <c r="CZ442" s="166"/>
      <c r="DA442" s="166"/>
      <c r="DB442" s="166"/>
      <c r="DC442" s="166"/>
      <c r="DD442" s="171"/>
      <c r="DE442" s="171"/>
      <c r="DF442" s="171"/>
      <c r="DG442" s="171"/>
      <c r="DH442" s="171"/>
      <c r="DI442" s="171"/>
      <c r="DJ442" s="171"/>
      <c r="DK442" s="79"/>
      <c r="DL442" s="128"/>
      <c r="DM442" s="128"/>
      <c r="DN442" s="128"/>
      <c r="DO442" s="128"/>
      <c r="DP442" s="128"/>
      <c r="DQ442" s="128"/>
      <c r="DR442" s="128"/>
      <c r="DS442" s="218"/>
      <c r="DT442" s="360"/>
      <c r="DU442" s="360"/>
      <c r="DV442" s="360"/>
      <c r="DW442" s="360"/>
      <c r="DX442" s="360"/>
      <c r="DY442" s="360"/>
      <c r="DZ442" s="360"/>
      <c r="EA442" s="360"/>
      <c r="EB442" s="360"/>
      <c r="EC442" s="360"/>
      <c r="ED442" s="360"/>
      <c r="EE442" s="360"/>
      <c r="EF442" s="360"/>
      <c r="EG442" s="360"/>
      <c r="EH442" s="360"/>
      <c r="EI442" s="360"/>
      <c r="EJ442" s="360"/>
      <c r="EK442" s="360"/>
      <c r="EL442" s="360"/>
      <c r="EM442" s="360"/>
      <c r="EN442" s="360"/>
      <c r="EO442" s="360"/>
      <c r="EP442" s="360"/>
      <c r="EQ442" s="360"/>
    </row>
    <row r="443" spans="1:147" s="211" customFormat="1" x14ac:dyDescent="0.35">
      <c r="A443" s="211" t="s">
        <v>2048</v>
      </c>
      <c r="C443" s="6" t="s">
        <v>817</v>
      </c>
      <c r="D443" s="211" t="s">
        <v>419</v>
      </c>
      <c r="E443" s="211" t="s">
        <v>2049</v>
      </c>
      <c r="F443" s="211" t="s">
        <v>2022</v>
      </c>
      <c r="G443" s="356" t="s">
        <v>2050</v>
      </c>
      <c r="H443" s="356" t="s">
        <v>2051</v>
      </c>
      <c r="I443" s="211">
        <v>0</v>
      </c>
      <c r="J443" s="211">
        <v>0</v>
      </c>
      <c r="K443" s="211">
        <v>0</v>
      </c>
      <c r="L443" s="211">
        <v>0</v>
      </c>
      <c r="M443" s="211">
        <v>0</v>
      </c>
      <c r="N443" s="211">
        <v>0</v>
      </c>
      <c r="O443" s="211">
        <v>0</v>
      </c>
      <c r="Q443" s="211">
        <v>0</v>
      </c>
      <c r="R443" s="211">
        <v>0</v>
      </c>
      <c r="S443" s="211">
        <v>0</v>
      </c>
      <c r="T443" s="211">
        <v>0</v>
      </c>
      <c r="U443" s="211">
        <v>0</v>
      </c>
      <c r="V443" s="211">
        <v>0</v>
      </c>
      <c r="W443" s="211">
        <v>0</v>
      </c>
      <c r="X443" s="211">
        <f>[1]Commodity_prices_MEUR2019!C$42</f>
        <v>9.6087766700829214</v>
      </c>
      <c r="Y443" s="211">
        <f>[1]Commodity_prices_MEUR2019!D$42</f>
        <v>9.6087766700829214</v>
      </c>
      <c r="Z443" s="211">
        <f>[1]Commodity_prices_MEUR2019!E$42</f>
        <v>9.6087766700829214</v>
      </c>
      <c r="AA443" s="211">
        <f>[1]Commodity_prices_MEUR2019!F$42</f>
        <v>9.6087766700829214</v>
      </c>
      <c r="AB443" s="211">
        <f>[1]Commodity_prices_MEUR2019!G$42</f>
        <v>9.6087766700829214</v>
      </c>
      <c r="AC443" s="211">
        <f>[1]Commodity_prices_MEUR2019!H$42</f>
        <v>9.6087766700829214</v>
      </c>
      <c r="AD443" s="211">
        <f>[1]Commodity_prices_MEUR2019!I$42</f>
        <v>9.6087766700829214</v>
      </c>
      <c r="AE443" s="186">
        <v>0.08</v>
      </c>
      <c r="AG443" s="211">
        <v>1</v>
      </c>
      <c r="AH443" s="211">
        <v>1</v>
      </c>
      <c r="AI443" s="211">
        <v>1</v>
      </c>
      <c r="AJ443" s="211" t="s">
        <v>662</v>
      </c>
      <c r="AK443" s="211" t="s">
        <v>745</v>
      </c>
      <c r="AY443" s="211" t="s">
        <v>662</v>
      </c>
      <c r="BN443" s="211">
        <v>11</v>
      </c>
      <c r="BU443" s="211">
        <v>0</v>
      </c>
      <c r="CB443" s="211">
        <f>16.3-11.019</f>
        <v>5.2810000000000006</v>
      </c>
      <c r="CC443" s="211">
        <f t="shared" ref="CC443:CH443" si="351">16.3-11.019</f>
        <v>5.2810000000000006</v>
      </c>
      <c r="CD443" s="211">
        <f t="shared" si="351"/>
        <v>5.2810000000000006</v>
      </c>
      <c r="CE443" s="211">
        <f t="shared" si="351"/>
        <v>5.2810000000000006</v>
      </c>
      <c r="CF443" s="211">
        <f t="shared" si="351"/>
        <v>5.2810000000000006</v>
      </c>
      <c r="CG443" s="211">
        <f t="shared" si="351"/>
        <v>5.2810000000000006</v>
      </c>
      <c r="CH443" s="211">
        <f t="shared" si="351"/>
        <v>5.2810000000000006</v>
      </c>
      <c r="CW443" s="356"/>
      <c r="CX443" s="356"/>
      <c r="CY443" s="356"/>
      <c r="CZ443" s="356"/>
      <c r="DA443" s="356"/>
      <c r="DB443" s="356"/>
      <c r="DC443" s="356"/>
      <c r="DD443" s="356"/>
      <c r="DE443" s="356"/>
      <c r="DF443" s="356"/>
      <c r="DG443" s="356"/>
      <c r="DH443" s="356"/>
      <c r="DI443" s="356"/>
      <c r="DJ443" s="356"/>
      <c r="DL443" s="356"/>
      <c r="DM443" s="356"/>
      <c r="DN443" s="356"/>
      <c r="DO443" s="356"/>
      <c r="DP443" s="356"/>
      <c r="DQ443" s="356"/>
      <c r="DR443" s="356"/>
      <c r="DT443" s="360"/>
      <c r="DU443" s="360"/>
      <c r="DV443" s="360"/>
      <c r="DW443" s="360"/>
      <c r="DX443" s="360"/>
      <c r="DY443" s="360"/>
      <c r="DZ443" s="360"/>
      <c r="EA443" s="360"/>
      <c r="EB443" s="360"/>
      <c r="EC443" s="360"/>
      <c r="ED443" s="360"/>
      <c r="EE443" s="360"/>
      <c r="EF443" s="360"/>
      <c r="EG443" s="360"/>
      <c r="EH443" s="360"/>
      <c r="EI443" s="360"/>
      <c r="EJ443" s="360"/>
      <c r="EK443" s="360"/>
      <c r="EL443" s="360"/>
      <c r="EM443" s="360"/>
      <c r="EN443" s="360"/>
      <c r="EO443" s="360"/>
      <c r="EP443" s="360"/>
      <c r="EQ443" s="360"/>
    </row>
    <row r="444" spans="1:147" x14ac:dyDescent="0.35">
      <c r="A444" s="211" t="s">
        <v>2052</v>
      </c>
      <c r="B444" s="211"/>
      <c r="C444" s="5" t="s">
        <v>817</v>
      </c>
      <c r="D444" s="211" t="s">
        <v>419</v>
      </c>
      <c r="E444" s="211" t="s">
        <v>2049</v>
      </c>
      <c r="F444" s="211" t="s">
        <v>2030</v>
      </c>
      <c r="G444" s="356" t="s">
        <v>2053</v>
      </c>
      <c r="H444" s="356" t="s">
        <v>2054</v>
      </c>
      <c r="I444" s="211">
        <v>0</v>
      </c>
      <c r="J444" s="211">
        <v>0</v>
      </c>
      <c r="K444" s="211">
        <v>0</v>
      </c>
      <c r="L444" s="211">
        <v>0</v>
      </c>
      <c r="M444" s="211">
        <v>0</v>
      </c>
      <c r="N444" s="211">
        <v>0</v>
      </c>
      <c r="O444" s="211">
        <v>0</v>
      </c>
      <c r="P444" s="211"/>
      <c r="Q444" s="211">
        <v>0</v>
      </c>
      <c r="R444" s="211">
        <v>0</v>
      </c>
      <c r="S444" s="211">
        <v>0</v>
      </c>
      <c r="T444" s="211">
        <v>0</v>
      </c>
      <c r="U444" s="211">
        <v>0</v>
      </c>
      <c r="V444" s="211">
        <v>0</v>
      </c>
      <c r="W444" s="211">
        <v>0</v>
      </c>
      <c r="X444" s="211">
        <f>X443/2</f>
        <v>4.8043883350414607</v>
      </c>
      <c r="Y444" s="211">
        <f t="shared" ref="Y444:AD444" si="352">Y443/2</f>
        <v>4.8043883350414607</v>
      </c>
      <c r="Z444" s="211">
        <f t="shared" si="352"/>
        <v>4.8043883350414607</v>
      </c>
      <c r="AA444" s="211">
        <f t="shared" si="352"/>
        <v>4.8043883350414607</v>
      </c>
      <c r="AB444" s="211">
        <f t="shared" si="352"/>
        <v>4.8043883350414607</v>
      </c>
      <c r="AC444" s="211">
        <f t="shared" si="352"/>
        <v>4.8043883350414607</v>
      </c>
      <c r="AD444" s="211">
        <f t="shared" si="352"/>
        <v>4.8043883350414607</v>
      </c>
      <c r="AE444" s="186">
        <v>0.08</v>
      </c>
      <c r="AF444" s="211"/>
      <c r="AG444" s="211">
        <v>1</v>
      </c>
      <c r="AH444" s="211">
        <v>1</v>
      </c>
      <c r="AI444" s="211">
        <v>1</v>
      </c>
      <c r="AJ444" s="211" t="s">
        <v>662</v>
      </c>
      <c r="AK444" s="211" t="s">
        <v>745</v>
      </c>
      <c r="AL444" s="211"/>
      <c r="AM444" s="211"/>
      <c r="AN444" s="211"/>
      <c r="AO444" s="211"/>
      <c r="AP444" s="211"/>
      <c r="AQ444" s="211"/>
      <c r="AR444" s="211"/>
      <c r="AS444" s="211"/>
      <c r="AT444" s="211"/>
      <c r="AU444" s="211"/>
      <c r="AV444" s="211"/>
      <c r="AW444" s="211"/>
      <c r="AX444" s="211"/>
      <c r="AY444" s="211" t="s">
        <v>662</v>
      </c>
      <c r="AZ444" s="211"/>
      <c r="BA444" s="211"/>
      <c r="BB444" s="211"/>
      <c r="BC444" s="211"/>
      <c r="BD444" s="211"/>
      <c r="BE444" s="211"/>
      <c r="BF444" s="211"/>
      <c r="BG444" s="211"/>
      <c r="BH444" s="211"/>
      <c r="BI444" s="211"/>
      <c r="BJ444" s="211"/>
      <c r="BK444" s="211"/>
      <c r="BL444" s="211"/>
      <c r="BM444" s="211"/>
      <c r="BN444" s="211">
        <v>0</v>
      </c>
      <c r="BO444" s="211"/>
      <c r="BP444" s="211"/>
      <c r="BQ444" s="211"/>
      <c r="BR444" s="211"/>
      <c r="BS444" s="211"/>
      <c r="BT444" s="211"/>
      <c r="BU444" s="211">
        <v>0</v>
      </c>
      <c r="BV444" s="211"/>
      <c r="BW444" s="211"/>
      <c r="BX444" s="211"/>
      <c r="BY444" s="211"/>
      <c r="BZ444" s="211"/>
      <c r="CA444" s="211"/>
      <c r="CB444" s="211">
        <v>0.02</v>
      </c>
      <c r="CC444" s="211">
        <v>0.02</v>
      </c>
      <c r="CD444" s="211">
        <v>0.02</v>
      </c>
      <c r="CE444" s="211">
        <v>0.02</v>
      </c>
      <c r="CF444" s="211">
        <v>0.02</v>
      </c>
      <c r="CG444" s="211">
        <v>0.02</v>
      </c>
      <c r="CH444" s="211">
        <v>0.02</v>
      </c>
      <c r="CI444" s="211"/>
      <c r="CJ444" s="211"/>
      <c r="CK444" s="211"/>
      <c r="CL444" s="211"/>
      <c r="CM444" s="211"/>
      <c r="CN444" s="211"/>
      <c r="CO444" s="211"/>
      <c r="CP444" s="211"/>
      <c r="CQ444" s="211"/>
      <c r="CR444" s="211"/>
      <c r="CS444" s="211"/>
      <c r="CT444" s="211"/>
      <c r="CU444" s="211"/>
      <c r="CV444" s="211"/>
      <c r="CW444" s="356"/>
      <c r="CX444" s="356"/>
      <c r="CY444" s="356"/>
      <c r="CZ444" s="356"/>
      <c r="DA444" s="356"/>
      <c r="DB444" s="356"/>
      <c r="DC444" s="356"/>
      <c r="DD444" s="356"/>
      <c r="DE444" s="356"/>
      <c r="DF444" s="356"/>
      <c r="DG444" s="356"/>
      <c r="DH444" s="356"/>
      <c r="DI444" s="356"/>
      <c r="DJ444" s="356"/>
      <c r="DK444" s="211"/>
      <c r="DL444" s="356"/>
      <c r="DM444" s="356"/>
      <c r="DN444" s="356"/>
      <c r="DO444" s="356"/>
      <c r="DP444" s="356"/>
      <c r="DQ444" s="356"/>
      <c r="DR444" s="356"/>
      <c r="DT444" s="360"/>
      <c r="DU444" s="360"/>
      <c r="DV444" s="360"/>
      <c r="DW444" s="360"/>
      <c r="DX444" s="360"/>
      <c r="DY444" s="360"/>
      <c r="DZ444" s="360"/>
      <c r="EA444" s="360"/>
      <c r="EB444" s="360"/>
      <c r="EC444" s="360"/>
      <c r="ED444" s="360"/>
      <c r="EE444" s="360"/>
      <c r="EF444" s="360"/>
      <c r="EG444" s="360"/>
      <c r="EH444" s="360"/>
      <c r="EI444" s="360"/>
      <c r="EJ444" s="360"/>
      <c r="EK444" s="360"/>
      <c r="EL444" s="360"/>
      <c r="EM444" s="360"/>
      <c r="EN444" s="360"/>
      <c r="EO444" s="360"/>
      <c r="EP444" s="360"/>
      <c r="EQ444" s="360"/>
    </row>
    <row r="445" spans="1:147" x14ac:dyDescent="0.35">
      <c r="A445" s="211" t="s">
        <v>2055</v>
      </c>
      <c r="B445" s="211" t="s">
        <v>740</v>
      </c>
      <c r="C445" s="211" t="s">
        <v>655</v>
      </c>
      <c r="D445" s="211" t="s">
        <v>741</v>
      </c>
      <c r="E445" s="211" t="s">
        <v>2056</v>
      </c>
      <c r="F445" s="211" t="s">
        <v>2017</v>
      </c>
      <c r="G445" s="356" t="s">
        <v>2057</v>
      </c>
      <c r="H445" s="356" t="s">
        <v>2058</v>
      </c>
      <c r="I445" s="395">
        <f>(7.78*((30*2400*8760)/10^9)*(138/115)/78.8)</f>
        <v>7.4725912690355334E-2</v>
      </c>
      <c r="J445" s="395">
        <f t="shared" ref="J445:O445" si="353">(7.78*((30*2400*8760)/10^9)*(138/115)/78.8)</f>
        <v>7.4725912690355334E-2</v>
      </c>
      <c r="K445" s="395">
        <f t="shared" si="353"/>
        <v>7.4725912690355334E-2</v>
      </c>
      <c r="L445" s="395">
        <f t="shared" si="353"/>
        <v>7.4725912690355334E-2</v>
      </c>
      <c r="M445" s="395">
        <f t="shared" si="353"/>
        <v>7.4725912690355334E-2</v>
      </c>
      <c r="N445" s="395">
        <f t="shared" si="353"/>
        <v>7.4725912690355334E-2</v>
      </c>
      <c r="O445" s="395">
        <f t="shared" si="353"/>
        <v>7.4725912690355334E-2</v>
      </c>
      <c r="P445" s="211"/>
      <c r="Q445" s="211">
        <f>I445*0.05</f>
        <v>3.736295634517767E-3</v>
      </c>
      <c r="R445" s="211">
        <f t="shared" ref="R445:W447" si="354">J445*0.05</f>
        <v>3.736295634517767E-3</v>
      </c>
      <c r="S445" s="211">
        <f t="shared" si="354"/>
        <v>3.736295634517767E-3</v>
      </c>
      <c r="T445" s="211">
        <f t="shared" si="354"/>
        <v>3.736295634517767E-3</v>
      </c>
      <c r="U445" s="211">
        <f t="shared" si="354"/>
        <v>3.736295634517767E-3</v>
      </c>
      <c r="V445" s="211">
        <f t="shared" si="354"/>
        <v>3.736295634517767E-3</v>
      </c>
      <c r="W445" s="211">
        <f t="shared" si="354"/>
        <v>3.736295634517767E-3</v>
      </c>
      <c r="X445" s="211">
        <v>0</v>
      </c>
      <c r="Y445" s="211">
        <v>0</v>
      </c>
      <c r="Z445" s="211">
        <v>0</v>
      </c>
      <c r="AA445" s="211">
        <v>0</v>
      </c>
      <c r="AB445" s="211">
        <v>0</v>
      </c>
      <c r="AC445" s="211">
        <v>0</v>
      </c>
      <c r="AD445" s="211">
        <v>0</v>
      </c>
      <c r="AE445" s="186">
        <v>0.08</v>
      </c>
      <c r="AF445" s="211"/>
      <c r="AG445" s="211">
        <v>30</v>
      </c>
      <c r="AH445" s="211">
        <v>30</v>
      </c>
      <c r="AI445" s="211">
        <v>1</v>
      </c>
      <c r="AJ445" s="211" t="s">
        <v>662</v>
      </c>
      <c r="AK445" s="211" t="s">
        <v>745</v>
      </c>
      <c r="AL445" s="211"/>
      <c r="AM445" s="211"/>
      <c r="AN445" s="211"/>
      <c r="AO445" s="211"/>
      <c r="AP445" s="211"/>
      <c r="AQ445" s="211"/>
      <c r="AR445" s="211"/>
      <c r="AS445" s="211"/>
      <c r="AT445" s="211"/>
      <c r="AU445" s="211"/>
      <c r="AV445" s="211"/>
      <c r="AW445" s="211"/>
      <c r="AX445" s="211"/>
      <c r="AY445" s="211" t="s">
        <v>662</v>
      </c>
      <c r="AZ445" s="211"/>
      <c r="BA445" s="211"/>
      <c r="BB445" s="211"/>
      <c r="BC445" s="211"/>
      <c r="BD445" s="211"/>
      <c r="BE445" s="211"/>
      <c r="BF445" s="211"/>
      <c r="BG445" s="211"/>
      <c r="BH445" s="211"/>
      <c r="BI445" s="211"/>
      <c r="BJ445" s="211"/>
      <c r="BK445" s="211"/>
      <c r="BL445" s="211"/>
      <c r="BM445" s="211"/>
      <c r="BN445" s="211">
        <v>31.2</v>
      </c>
      <c r="BO445" s="211"/>
      <c r="BP445" s="211"/>
      <c r="BQ445" s="211"/>
      <c r="BR445" s="211"/>
      <c r="BS445" s="211"/>
      <c r="BT445" s="211"/>
      <c r="BU445" s="211">
        <v>0</v>
      </c>
      <c r="BV445" s="211"/>
      <c r="BW445" s="211"/>
      <c r="BX445" s="211"/>
      <c r="BY445" s="211"/>
      <c r="BZ445" s="211"/>
      <c r="CA445" s="211"/>
      <c r="CB445" s="396">
        <v>35</v>
      </c>
      <c r="CC445" s="396">
        <v>35</v>
      </c>
      <c r="CD445" s="396">
        <v>35</v>
      </c>
      <c r="CE445" s="396">
        <v>35</v>
      </c>
      <c r="CF445" s="396">
        <v>35</v>
      </c>
      <c r="CG445" s="396">
        <v>35</v>
      </c>
      <c r="CH445" s="396">
        <v>35</v>
      </c>
      <c r="CI445" s="211"/>
      <c r="CJ445" s="211"/>
      <c r="CK445" s="211"/>
      <c r="CL445" s="211"/>
      <c r="CM445" s="211"/>
      <c r="CN445" s="211"/>
      <c r="CO445" s="211"/>
      <c r="CP445" s="396"/>
      <c r="CQ445" s="396"/>
      <c r="CR445" s="396"/>
      <c r="CS445" s="396"/>
      <c r="CT445" s="396"/>
      <c r="CU445" s="396"/>
      <c r="CV445" s="211"/>
      <c r="CW445" s="356"/>
      <c r="CX445" s="356"/>
      <c r="CY445" s="356"/>
      <c r="CZ445" s="356"/>
      <c r="DA445" s="356"/>
      <c r="DB445" s="356"/>
      <c r="DC445" s="356"/>
      <c r="DD445" s="356"/>
      <c r="DE445" s="356"/>
      <c r="DF445" s="356"/>
      <c r="DG445" s="356"/>
      <c r="DH445" s="356"/>
      <c r="DI445" s="356"/>
      <c r="DJ445" s="356"/>
      <c r="DK445" s="211"/>
      <c r="DL445" s="356"/>
      <c r="DM445" s="356"/>
      <c r="DN445" s="356"/>
      <c r="DO445" s="356"/>
      <c r="DP445" s="356"/>
      <c r="DQ445" s="356"/>
      <c r="DR445" s="356"/>
      <c r="DT445" s="360"/>
      <c r="DU445" s="360"/>
      <c r="DV445" s="360"/>
      <c r="DW445" s="360"/>
      <c r="DX445" s="360"/>
      <c r="DY445" s="360"/>
      <c r="DZ445" s="360"/>
      <c r="EA445" s="360"/>
      <c r="EB445" s="360"/>
      <c r="EC445" s="360"/>
      <c r="ED445" s="360"/>
      <c r="EE445" s="360"/>
      <c r="EF445" s="360"/>
      <c r="EG445" s="360"/>
      <c r="EH445" s="360"/>
      <c r="EI445" s="360"/>
      <c r="EJ445" s="360"/>
      <c r="EK445" s="360"/>
      <c r="EL445" s="360"/>
      <c r="EM445" s="360"/>
      <c r="EN445" s="360"/>
      <c r="EO445" s="360"/>
      <c r="EP445" s="360"/>
      <c r="EQ445" s="360"/>
    </row>
    <row r="446" spans="1:147" x14ac:dyDescent="0.35">
      <c r="A446" s="211" t="s">
        <v>2059</v>
      </c>
      <c r="B446" s="211" t="s">
        <v>740</v>
      </c>
      <c r="C446" s="211" t="s">
        <v>655</v>
      </c>
      <c r="D446" s="211" t="s">
        <v>741</v>
      </c>
      <c r="E446" s="211" t="s">
        <v>2056</v>
      </c>
      <c r="F446" s="211" t="s">
        <v>2017</v>
      </c>
      <c r="G446" s="356" t="s">
        <v>2060</v>
      </c>
      <c r="H446" s="356" t="s">
        <v>2058</v>
      </c>
      <c r="I446" s="211">
        <f>I445*2</f>
        <v>0.14945182538071067</v>
      </c>
      <c r="J446" s="211">
        <f t="shared" ref="J446:O446" si="355">J445*2</f>
        <v>0.14945182538071067</v>
      </c>
      <c r="K446" s="211">
        <f t="shared" si="355"/>
        <v>0.14945182538071067</v>
      </c>
      <c r="L446" s="211">
        <f t="shared" si="355"/>
        <v>0.14945182538071067</v>
      </c>
      <c r="M446" s="211">
        <f t="shared" si="355"/>
        <v>0.14945182538071067</v>
      </c>
      <c r="N446" s="211">
        <f t="shared" si="355"/>
        <v>0.14945182538071067</v>
      </c>
      <c r="O446" s="211">
        <f t="shared" si="355"/>
        <v>0.14945182538071067</v>
      </c>
      <c r="P446" s="211"/>
      <c r="Q446" s="211">
        <f>I446*0.05</f>
        <v>7.4725912690355341E-3</v>
      </c>
      <c r="R446" s="211">
        <f t="shared" si="354"/>
        <v>7.4725912690355341E-3</v>
      </c>
      <c r="S446" s="211">
        <f t="shared" si="354"/>
        <v>7.4725912690355341E-3</v>
      </c>
      <c r="T446" s="211">
        <f t="shared" si="354"/>
        <v>7.4725912690355341E-3</v>
      </c>
      <c r="U446" s="211">
        <f t="shared" si="354"/>
        <v>7.4725912690355341E-3</v>
      </c>
      <c r="V446" s="211">
        <f t="shared" si="354"/>
        <v>7.4725912690355341E-3</v>
      </c>
      <c r="W446" s="211">
        <f t="shared" si="354"/>
        <v>7.4725912690355341E-3</v>
      </c>
      <c r="X446" s="211">
        <v>0</v>
      </c>
      <c r="Y446" s="211">
        <v>0</v>
      </c>
      <c r="Z446" s="211">
        <v>0</v>
      </c>
      <c r="AA446" s="211">
        <v>0</v>
      </c>
      <c r="AB446" s="211">
        <v>0</v>
      </c>
      <c r="AC446" s="211">
        <v>0</v>
      </c>
      <c r="AD446" s="211">
        <v>0</v>
      </c>
      <c r="AE446" s="186">
        <v>0.08</v>
      </c>
      <c r="AF446" s="211"/>
      <c r="AG446" s="211">
        <v>1</v>
      </c>
      <c r="AH446" s="211">
        <v>1</v>
      </c>
      <c r="AI446" s="211">
        <v>1</v>
      </c>
      <c r="AJ446" s="211" t="s">
        <v>662</v>
      </c>
      <c r="AK446" s="211" t="s">
        <v>745</v>
      </c>
      <c r="AL446" s="211"/>
      <c r="AM446" s="211"/>
      <c r="AN446" s="211"/>
      <c r="AO446" s="211"/>
      <c r="AP446" s="211"/>
      <c r="AQ446" s="211"/>
      <c r="AR446" s="211"/>
      <c r="AS446" s="211"/>
      <c r="AT446" s="211"/>
      <c r="AU446" s="211"/>
      <c r="AV446" s="211"/>
      <c r="AW446" s="211"/>
      <c r="AX446" s="211"/>
      <c r="AY446" s="211" t="s">
        <v>662</v>
      </c>
      <c r="AZ446" s="211"/>
      <c r="BA446" s="211"/>
      <c r="BB446" s="211"/>
      <c r="BC446" s="211"/>
      <c r="BD446" s="211"/>
      <c r="BE446" s="211"/>
      <c r="BF446" s="211"/>
      <c r="BG446" s="211"/>
      <c r="BH446" s="211"/>
      <c r="BI446" s="211"/>
      <c r="BJ446" s="211"/>
      <c r="BK446" s="211"/>
      <c r="BL446" s="211"/>
      <c r="BM446" s="211"/>
      <c r="BN446" s="211"/>
      <c r="BO446" s="211"/>
      <c r="BP446" s="211"/>
      <c r="BQ446" s="211"/>
      <c r="BR446" s="211"/>
      <c r="BS446" s="211"/>
      <c r="BT446" s="211"/>
      <c r="BU446" s="211">
        <v>0</v>
      </c>
      <c r="BV446" s="211"/>
      <c r="BW446" s="211"/>
      <c r="BX446" s="211"/>
      <c r="BY446" s="211"/>
      <c r="BZ446" s="211"/>
      <c r="CA446" s="211"/>
      <c r="CB446" s="397">
        <v>0</v>
      </c>
      <c r="CC446" s="397">
        <f>(350*10^3*2.4)/10^6*0.1</f>
        <v>8.4000000000000005E-2</v>
      </c>
      <c r="CD446" s="397">
        <f>(350*10^3*2.4*2)/10^6*0.1</f>
        <v>0.16800000000000001</v>
      </c>
      <c r="CE446" s="397">
        <f>CD446*1.25</f>
        <v>0.21000000000000002</v>
      </c>
      <c r="CF446" s="397">
        <f>CD446*1.5</f>
        <v>0.252</v>
      </c>
      <c r="CG446" s="397">
        <f>CD446*1.75</f>
        <v>0.29400000000000004</v>
      </c>
      <c r="CH446" s="397">
        <f>(350*10^3*2.4*4)/10^6*0.1</f>
        <v>0.33600000000000002</v>
      </c>
      <c r="CI446" s="211"/>
      <c r="CJ446" s="211"/>
      <c r="CK446" s="211"/>
      <c r="CL446" s="211"/>
      <c r="CM446" s="211"/>
      <c r="CN446" s="211"/>
      <c r="CO446" s="211"/>
      <c r="CP446" s="396"/>
      <c r="CQ446" s="396"/>
      <c r="CR446" s="396"/>
      <c r="CS446" s="396"/>
      <c r="CT446" s="396"/>
      <c r="CU446" s="396"/>
      <c r="CV446" s="211"/>
      <c r="CW446" s="356"/>
      <c r="CX446" s="356"/>
      <c r="CY446" s="356"/>
      <c r="CZ446" s="356"/>
      <c r="DA446" s="356"/>
      <c r="DB446" s="356"/>
      <c r="DC446" s="356"/>
      <c r="DD446" s="356"/>
      <c r="DE446" s="356"/>
      <c r="DF446" s="356"/>
      <c r="DG446" s="356"/>
      <c r="DH446" s="356"/>
      <c r="DI446" s="356"/>
      <c r="DJ446" s="356"/>
      <c r="DK446" s="211"/>
      <c r="DL446" s="356"/>
      <c r="DM446" s="356"/>
      <c r="DN446" s="356"/>
      <c r="DO446" s="356"/>
      <c r="DP446" s="356"/>
      <c r="DQ446" s="356"/>
      <c r="DR446" s="356"/>
      <c r="DT446" s="360"/>
      <c r="DU446" s="360"/>
      <c r="DV446" s="360"/>
      <c r="DW446" s="360"/>
      <c r="DX446" s="360"/>
      <c r="DY446" s="360"/>
      <c r="DZ446" s="360"/>
      <c r="EA446" s="360"/>
      <c r="EB446" s="360"/>
      <c r="EC446" s="360"/>
      <c r="ED446" s="360"/>
      <c r="EE446" s="360"/>
      <c r="EF446" s="360"/>
      <c r="EG446" s="360"/>
      <c r="EH446" s="360"/>
      <c r="EI446" s="360"/>
      <c r="EJ446" s="360"/>
      <c r="EK446" s="360"/>
      <c r="EL446" s="360"/>
      <c r="EM446" s="360"/>
      <c r="EN446" s="360"/>
      <c r="EO446" s="360"/>
      <c r="EP446" s="360"/>
      <c r="EQ446" s="360"/>
    </row>
    <row r="447" spans="1:147" x14ac:dyDescent="0.35">
      <c r="A447" s="211" t="s">
        <v>2061</v>
      </c>
      <c r="B447" s="211" t="s">
        <v>740</v>
      </c>
      <c r="C447" s="211" t="s">
        <v>655</v>
      </c>
      <c r="D447" s="211" t="s">
        <v>741</v>
      </c>
      <c r="E447" s="211" t="s">
        <v>2056</v>
      </c>
      <c r="F447" s="211" t="s">
        <v>2017</v>
      </c>
      <c r="G447" s="356" t="s">
        <v>2062</v>
      </c>
      <c r="H447" s="356" t="s">
        <v>2058</v>
      </c>
      <c r="I447" s="211">
        <f>2*I445</f>
        <v>0.14945182538071067</v>
      </c>
      <c r="J447" s="211">
        <f t="shared" ref="J447:O447" si="356">2*J445</f>
        <v>0.14945182538071067</v>
      </c>
      <c r="K447" s="211">
        <f t="shared" si="356"/>
        <v>0.14945182538071067</v>
      </c>
      <c r="L447" s="211">
        <f t="shared" si="356"/>
        <v>0.14945182538071067</v>
      </c>
      <c r="M447" s="211">
        <f t="shared" si="356"/>
        <v>0.14945182538071067</v>
      </c>
      <c r="N447" s="211">
        <f t="shared" si="356"/>
        <v>0.14945182538071067</v>
      </c>
      <c r="O447" s="211">
        <f t="shared" si="356"/>
        <v>0.14945182538071067</v>
      </c>
      <c r="P447" s="211"/>
      <c r="Q447" s="211">
        <f>I447*0.05</f>
        <v>7.4725912690355341E-3</v>
      </c>
      <c r="R447" s="211">
        <f t="shared" si="354"/>
        <v>7.4725912690355341E-3</v>
      </c>
      <c r="S447" s="211">
        <f t="shared" si="354"/>
        <v>7.4725912690355341E-3</v>
      </c>
      <c r="T447" s="211">
        <f t="shared" si="354"/>
        <v>7.4725912690355341E-3</v>
      </c>
      <c r="U447" s="211">
        <f t="shared" si="354"/>
        <v>7.4725912690355341E-3</v>
      </c>
      <c r="V447" s="211">
        <f t="shared" si="354"/>
        <v>7.4725912690355341E-3</v>
      </c>
      <c r="W447" s="211">
        <f t="shared" si="354"/>
        <v>7.4725912690355341E-3</v>
      </c>
      <c r="X447" s="211">
        <v>0</v>
      </c>
      <c r="Y447" s="211">
        <v>0</v>
      </c>
      <c r="Z447" s="211">
        <v>0</v>
      </c>
      <c r="AA447" s="211">
        <v>0</v>
      </c>
      <c r="AB447" s="211">
        <v>0</v>
      </c>
      <c r="AC447" s="211">
        <v>0</v>
      </c>
      <c r="AD447" s="211">
        <v>0</v>
      </c>
      <c r="AE447" s="186">
        <v>0.08</v>
      </c>
      <c r="AF447" s="211"/>
      <c r="AG447" s="211">
        <v>1</v>
      </c>
      <c r="AH447" s="211">
        <v>1</v>
      </c>
      <c r="AI447" s="211">
        <v>1</v>
      </c>
      <c r="AJ447" s="211" t="s">
        <v>662</v>
      </c>
      <c r="AK447" s="211" t="s">
        <v>745</v>
      </c>
      <c r="AL447" s="211"/>
      <c r="AM447" s="211"/>
      <c r="AN447" s="211"/>
      <c r="AO447" s="211"/>
      <c r="AP447" s="211"/>
      <c r="AQ447" s="211"/>
      <c r="AR447" s="211"/>
      <c r="AS447" s="211"/>
      <c r="AT447" s="211"/>
      <c r="AU447" s="211"/>
      <c r="AV447" s="211"/>
      <c r="AW447" s="211"/>
      <c r="AX447" s="211"/>
      <c r="AY447" s="211" t="s">
        <v>662</v>
      </c>
      <c r="AZ447" s="211"/>
      <c r="BA447" s="211"/>
      <c r="BB447" s="211"/>
      <c r="BC447" s="211"/>
      <c r="BD447" s="211"/>
      <c r="BE447" s="211"/>
      <c r="BF447" s="211"/>
      <c r="BG447" s="211"/>
      <c r="BH447" s="211"/>
      <c r="BI447" s="211"/>
      <c r="BJ447" s="211"/>
      <c r="BK447" s="211"/>
      <c r="BL447" s="211"/>
      <c r="BM447" s="211"/>
      <c r="BN447" s="211"/>
      <c r="BO447" s="211"/>
      <c r="BP447" s="211"/>
      <c r="BQ447" s="211"/>
      <c r="BR447" s="211"/>
      <c r="BS447" s="211"/>
      <c r="BT447" s="211"/>
      <c r="BU447" s="211">
        <v>0</v>
      </c>
      <c r="BV447" s="211"/>
      <c r="BW447" s="211"/>
      <c r="BX447" s="211"/>
      <c r="BY447" s="211"/>
      <c r="BZ447" s="211"/>
      <c r="CA447" s="211"/>
      <c r="CB447" s="397">
        <v>0</v>
      </c>
      <c r="CC447" s="397">
        <f>(75*10^3*6)/10^6*0.1</f>
        <v>4.5000000000000005E-2</v>
      </c>
      <c r="CD447" s="397">
        <f t="shared" ref="CD447:CH447" si="357">(75*10^3*6)/10^6*0.1</f>
        <v>4.5000000000000005E-2</v>
      </c>
      <c r="CE447" s="397">
        <f t="shared" si="357"/>
        <v>4.5000000000000005E-2</v>
      </c>
      <c r="CF447" s="397">
        <f t="shared" si="357"/>
        <v>4.5000000000000005E-2</v>
      </c>
      <c r="CG447" s="397">
        <f t="shared" si="357"/>
        <v>4.5000000000000005E-2</v>
      </c>
      <c r="CH447" s="397">
        <f t="shared" si="357"/>
        <v>4.5000000000000005E-2</v>
      </c>
      <c r="CI447" s="211"/>
      <c r="CJ447" s="211"/>
      <c r="CK447" s="211"/>
      <c r="CL447" s="211"/>
      <c r="CM447" s="211"/>
      <c r="CN447" s="211"/>
      <c r="CO447" s="211"/>
      <c r="CP447" s="396"/>
      <c r="CQ447" s="396"/>
      <c r="CR447" s="396"/>
      <c r="CS447" s="396"/>
      <c r="CT447" s="396"/>
      <c r="CU447" s="396"/>
      <c r="CV447" s="211"/>
      <c r="CW447" s="356"/>
      <c r="CX447" s="356"/>
      <c r="CY447" s="356"/>
      <c r="CZ447" s="356"/>
      <c r="DA447" s="356"/>
      <c r="DB447" s="356"/>
      <c r="DC447" s="356"/>
      <c r="DD447" s="356"/>
      <c r="DE447" s="356"/>
      <c r="DF447" s="356"/>
      <c r="DG447" s="356"/>
      <c r="DH447" s="356"/>
      <c r="DI447" s="356"/>
      <c r="DJ447" s="356"/>
      <c r="DK447" s="211"/>
      <c r="DL447" s="356"/>
      <c r="DM447" s="356"/>
      <c r="DN447" s="356"/>
      <c r="DO447" s="356"/>
      <c r="DP447" s="356"/>
      <c r="DQ447" s="356"/>
      <c r="DR447" s="356"/>
      <c r="DT447" s="360"/>
      <c r="DU447" s="360"/>
      <c r="DV447" s="360"/>
      <c r="DW447" s="360"/>
      <c r="DX447" s="360"/>
      <c r="DY447" s="360"/>
      <c r="DZ447" s="360"/>
      <c r="EA447" s="360"/>
      <c r="EB447" s="360"/>
      <c r="EC447" s="360"/>
      <c r="ED447" s="360"/>
      <c r="EE447" s="360"/>
      <c r="EF447" s="360"/>
      <c r="EG447" s="360"/>
      <c r="EH447" s="360"/>
      <c r="EI447" s="360"/>
      <c r="EJ447" s="360"/>
      <c r="EK447" s="360"/>
      <c r="EL447" s="360"/>
      <c r="EM447" s="360"/>
      <c r="EN447" s="360"/>
      <c r="EO447" s="360"/>
      <c r="EP447" s="360"/>
      <c r="EQ447" s="360"/>
    </row>
    <row r="448" spans="1:147" x14ac:dyDescent="0.35">
      <c r="A448" s="243" t="s">
        <v>2063</v>
      </c>
      <c r="B448" s="243"/>
      <c r="C448" s="6" t="s">
        <v>817</v>
      </c>
      <c r="D448" s="243" t="s">
        <v>419</v>
      </c>
      <c r="E448" s="243" t="s">
        <v>1697</v>
      </c>
      <c r="F448" s="211" t="s">
        <v>2024</v>
      </c>
      <c r="G448" s="211" t="s">
        <v>2064</v>
      </c>
      <c r="H448" s="356" t="s">
        <v>2065</v>
      </c>
      <c r="I448" s="211">
        <v>0</v>
      </c>
      <c r="J448" s="211">
        <v>0</v>
      </c>
      <c r="K448" s="211">
        <v>0</v>
      </c>
      <c r="L448" s="211">
        <v>0</v>
      </c>
      <c r="M448" s="211">
        <v>0</v>
      </c>
      <c r="N448" s="211">
        <v>0</v>
      </c>
      <c r="O448" s="211">
        <v>0</v>
      </c>
      <c r="P448" s="211"/>
      <c r="Q448" s="211">
        <v>0</v>
      </c>
      <c r="R448" s="211">
        <v>0</v>
      </c>
      <c r="S448" s="211">
        <v>0</v>
      </c>
      <c r="T448" s="211">
        <v>0</v>
      </c>
      <c r="U448" s="211">
        <v>0</v>
      </c>
      <c r="V448" s="211">
        <v>0</v>
      </c>
      <c r="W448" s="211">
        <v>0</v>
      </c>
      <c r="X448" s="211">
        <f>[1]Commodity_prices_MEUR2019!C$44</f>
        <v>16.297184400363882</v>
      </c>
      <c r="Y448" s="211">
        <f>[1]Commodity_prices_MEUR2019!D$44</f>
        <v>16.297184400363882</v>
      </c>
      <c r="Z448" s="211">
        <f>[1]Commodity_prices_MEUR2019!E$44</f>
        <v>16.297184400363882</v>
      </c>
      <c r="AA448" s="211">
        <f>[1]Commodity_prices_MEUR2019!F$44</f>
        <v>16.297184400363882</v>
      </c>
      <c r="AB448" s="211">
        <f>[1]Commodity_prices_MEUR2019!G$44</f>
        <v>16.297184400363882</v>
      </c>
      <c r="AC448" s="211">
        <f>[1]Commodity_prices_MEUR2019!H$44</f>
        <v>16.297184400363882</v>
      </c>
      <c r="AD448" s="211">
        <f>[1]Commodity_prices_MEUR2019!I$44</f>
        <v>16.297184400363882</v>
      </c>
      <c r="AE448" s="186">
        <v>0.08</v>
      </c>
      <c r="AF448" s="211"/>
      <c r="AG448" s="211">
        <v>1</v>
      </c>
      <c r="AH448" s="211">
        <v>1</v>
      </c>
      <c r="AI448" s="211">
        <v>1</v>
      </c>
      <c r="AJ448" s="211" t="s">
        <v>662</v>
      </c>
      <c r="AK448" s="211" t="s">
        <v>745</v>
      </c>
      <c r="AL448" s="211"/>
      <c r="AM448" s="211"/>
      <c r="AN448" s="211"/>
      <c r="AO448" s="211"/>
      <c r="AP448" s="211"/>
      <c r="AQ448" s="211"/>
      <c r="AR448" s="211"/>
      <c r="AS448" s="211"/>
      <c r="AT448" s="211"/>
      <c r="AU448" s="211"/>
      <c r="AV448" s="211"/>
      <c r="AW448" s="211"/>
      <c r="AX448" s="211"/>
      <c r="AY448" s="211" t="s">
        <v>662</v>
      </c>
      <c r="AZ448" s="211"/>
      <c r="BA448" s="211"/>
      <c r="BB448" s="211"/>
      <c r="BC448" s="211"/>
      <c r="BD448" s="211"/>
      <c r="BE448" s="211"/>
      <c r="BF448" s="211"/>
      <c r="BG448" s="211"/>
      <c r="BH448" s="211"/>
      <c r="BI448" s="211"/>
      <c r="BJ448" s="211"/>
      <c r="BK448" s="211"/>
      <c r="BL448" s="211"/>
      <c r="BM448" s="211"/>
      <c r="BN448" s="211">
        <v>10</v>
      </c>
      <c r="BO448" s="211"/>
      <c r="BP448" s="211"/>
      <c r="BQ448" s="211"/>
      <c r="BR448" s="211"/>
      <c r="BS448" s="211"/>
      <c r="BT448" s="211"/>
      <c r="BU448" s="211">
        <v>0</v>
      </c>
      <c r="BV448" s="211"/>
      <c r="BW448" s="211"/>
      <c r="BX448" s="211"/>
      <c r="BY448" s="211"/>
      <c r="BZ448" s="211"/>
      <c r="CA448" s="211"/>
      <c r="CB448" s="396">
        <v>35</v>
      </c>
      <c r="CC448" s="396">
        <v>35</v>
      </c>
      <c r="CD448" s="396">
        <v>35</v>
      </c>
      <c r="CE448" s="396">
        <v>35</v>
      </c>
      <c r="CF448" s="396">
        <v>35</v>
      </c>
      <c r="CG448" s="396">
        <v>35</v>
      </c>
      <c r="CH448" s="396">
        <v>35</v>
      </c>
      <c r="CI448" s="211"/>
      <c r="CJ448" s="211"/>
      <c r="CK448" s="211"/>
      <c r="CL448" s="211"/>
      <c r="CM448" s="211"/>
      <c r="CN448" s="211"/>
      <c r="CO448" s="211"/>
      <c r="CP448" s="396"/>
      <c r="CQ448" s="396"/>
      <c r="CR448" s="396"/>
      <c r="CS448" s="396"/>
      <c r="CT448" s="396"/>
      <c r="CU448" s="396"/>
      <c r="CV448" s="211"/>
      <c r="CW448" s="356"/>
      <c r="CX448" s="356"/>
      <c r="CY448" s="356"/>
      <c r="CZ448" s="356"/>
      <c r="DA448" s="356"/>
      <c r="DB448" s="356"/>
      <c r="DC448" s="356"/>
      <c r="DD448" s="356"/>
      <c r="DE448" s="356"/>
      <c r="DF448" s="356"/>
      <c r="DG448" s="356"/>
      <c r="DH448" s="356"/>
      <c r="DI448" s="356"/>
      <c r="DJ448" s="356"/>
      <c r="DK448" s="211"/>
      <c r="DL448" s="356"/>
      <c r="DM448" s="356"/>
      <c r="DN448" s="356"/>
      <c r="DO448" s="356"/>
      <c r="DP448" s="356"/>
      <c r="DQ448" s="356"/>
      <c r="DR448" s="356"/>
      <c r="DT448" s="360"/>
      <c r="DU448" s="360"/>
      <c r="DV448" s="360"/>
      <c r="DW448" s="360"/>
      <c r="DX448" s="360"/>
      <c r="DY448" s="360"/>
      <c r="DZ448" s="360"/>
      <c r="EA448" s="360"/>
      <c r="EB448" s="360"/>
      <c r="EC448" s="360"/>
      <c r="ED448" s="360"/>
      <c r="EE448" s="360"/>
      <c r="EF448" s="360"/>
      <c r="EG448" s="360"/>
      <c r="EH448" s="360"/>
      <c r="EI448" s="360"/>
      <c r="EJ448" s="360"/>
      <c r="EK448" s="360"/>
      <c r="EL448" s="360"/>
      <c r="EM448" s="360"/>
      <c r="EN448" s="360"/>
      <c r="EO448" s="360"/>
      <c r="EP448" s="360"/>
      <c r="EQ448" s="360"/>
    </row>
    <row r="449" spans="1:147" x14ac:dyDescent="0.35">
      <c r="A449" s="243" t="s">
        <v>2066</v>
      </c>
      <c r="B449" s="243"/>
      <c r="C449" s="5" t="s">
        <v>817</v>
      </c>
      <c r="D449" s="243" t="s">
        <v>419</v>
      </c>
      <c r="E449" s="243" t="s">
        <v>1697</v>
      </c>
      <c r="F449" s="211" t="s">
        <v>2026</v>
      </c>
      <c r="G449" s="211" t="s">
        <v>2067</v>
      </c>
      <c r="H449" s="356" t="s">
        <v>2068</v>
      </c>
      <c r="I449" s="211">
        <v>0</v>
      </c>
      <c r="J449" s="211">
        <v>0</v>
      </c>
      <c r="K449" s="211">
        <v>0</v>
      </c>
      <c r="L449" s="211">
        <v>0</v>
      </c>
      <c r="M449" s="211">
        <v>0</v>
      </c>
      <c r="N449" s="211">
        <v>0</v>
      </c>
      <c r="O449" s="211">
        <v>0</v>
      </c>
      <c r="P449" s="211"/>
      <c r="Q449" s="211">
        <v>0</v>
      </c>
      <c r="R449" s="211">
        <v>0</v>
      </c>
      <c r="S449" s="211">
        <v>0</v>
      </c>
      <c r="T449" s="211">
        <v>0</v>
      </c>
      <c r="U449" s="211">
        <v>0</v>
      </c>
      <c r="V449" s="211">
        <v>0</v>
      </c>
      <c r="W449" s="211">
        <v>0</v>
      </c>
      <c r="X449" s="211">
        <f>[1]Commodity_prices_MEUR2019!C$45</f>
        <v>9.3342401937948374</v>
      </c>
      <c r="Y449" s="211">
        <f>[1]Commodity_prices_MEUR2019!D$45</f>
        <v>9.3342401937948374</v>
      </c>
      <c r="Z449" s="211">
        <f>[1]Commodity_prices_MEUR2019!E$45</f>
        <v>9.3342401937948374</v>
      </c>
      <c r="AA449" s="211">
        <f>[1]Commodity_prices_MEUR2019!F$45</f>
        <v>9.3342401937948374</v>
      </c>
      <c r="AB449" s="211">
        <f>[1]Commodity_prices_MEUR2019!G$45</f>
        <v>9.3342401937948374</v>
      </c>
      <c r="AC449" s="211">
        <f>[1]Commodity_prices_MEUR2019!H$45</f>
        <v>9.3342401937948374</v>
      </c>
      <c r="AD449" s="211">
        <f>[1]Commodity_prices_MEUR2019!I$45</f>
        <v>9.3342401937948374</v>
      </c>
      <c r="AE449" s="186">
        <v>0.08</v>
      </c>
      <c r="AF449" s="211"/>
      <c r="AG449" s="211">
        <v>1</v>
      </c>
      <c r="AH449" s="211">
        <v>1</v>
      </c>
      <c r="AI449" s="211">
        <v>1</v>
      </c>
      <c r="AJ449" s="211" t="s">
        <v>662</v>
      </c>
      <c r="AK449" s="211" t="s">
        <v>745</v>
      </c>
      <c r="AL449" s="211"/>
      <c r="AM449" s="211"/>
      <c r="AN449" s="211"/>
      <c r="AO449" s="211"/>
      <c r="AP449" s="211"/>
      <c r="AQ449" s="211"/>
      <c r="AR449" s="211"/>
      <c r="AS449" s="211"/>
      <c r="AT449" s="211"/>
      <c r="AU449" s="211"/>
      <c r="AV449" s="211"/>
      <c r="AW449" s="211"/>
      <c r="AX449" s="211"/>
      <c r="AY449" s="211" t="s">
        <v>662</v>
      </c>
      <c r="AZ449" s="211"/>
      <c r="BA449" s="211"/>
      <c r="BB449" s="211"/>
      <c r="BC449" s="211"/>
      <c r="BD449" s="211"/>
      <c r="BE449" s="211"/>
      <c r="BF449" s="211"/>
      <c r="BG449" s="211"/>
      <c r="BH449" s="211"/>
      <c r="BI449" s="211"/>
      <c r="BJ449" s="211"/>
      <c r="BK449" s="211"/>
      <c r="BL449" s="211"/>
      <c r="BM449" s="211"/>
      <c r="BN449" s="211">
        <f>15*0.992</f>
        <v>14.879999999999999</v>
      </c>
      <c r="BO449" s="211"/>
      <c r="BP449" s="211"/>
      <c r="BQ449" s="211"/>
      <c r="BR449" s="211"/>
      <c r="BS449" s="211"/>
      <c r="BT449" s="211"/>
      <c r="BU449" s="211">
        <v>0</v>
      </c>
      <c r="BV449" s="211"/>
      <c r="BW449" s="211"/>
      <c r="BX449" s="211"/>
      <c r="BY449" s="211"/>
      <c r="BZ449" s="211"/>
      <c r="CA449" s="211"/>
      <c r="CB449" s="396">
        <v>35</v>
      </c>
      <c r="CC449" s="396">
        <v>35</v>
      </c>
      <c r="CD449" s="396">
        <v>35</v>
      </c>
      <c r="CE449" s="396">
        <v>35</v>
      </c>
      <c r="CF449" s="396">
        <v>35</v>
      </c>
      <c r="CG449" s="396">
        <v>35</v>
      </c>
      <c r="CH449" s="396">
        <v>35</v>
      </c>
      <c r="CI449" s="211"/>
      <c r="CJ449" s="211"/>
      <c r="CK449" s="211"/>
      <c r="CL449" s="211"/>
      <c r="CM449" s="211"/>
      <c r="CN449" s="211"/>
      <c r="CO449" s="211"/>
      <c r="CP449" s="396"/>
      <c r="CQ449" s="396"/>
      <c r="CR449" s="396"/>
      <c r="CS449" s="396"/>
      <c r="CT449" s="396"/>
      <c r="CU449" s="396"/>
      <c r="CV449" s="211"/>
      <c r="CW449" s="356"/>
      <c r="CX449" s="356"/>
      <c r="CY449" s="356"/>
      <c r="CZ449" s="356"/>
      <c r="DA449" s="356"/>
      <c r="DB449" s="356"/>
      <c r="DC449" s="356"/>
      <c r="DD449" s="356"/>
      <c r="DE449" s="356"/>
      <c r="DF449" s="356"/>
      <c r="DG449" s="356"/>
      <c r="DH449" s="356"/>
      <c r="DI449" s="356"/>
      <c r="DJ449" s="356"/>
      <c r="DK449" s="211"/>
      <c r="DL449" s="356"/>
      <c r="DM449" s="356"/>
      <c r="DN449" s="356"/>
      <c r="DO449" s="356"/>
      <c r="DP449" s="356"/>
      <c r="DQ449" s="356"/>
      <c r="DR449" s="356"/>
      <c r="DT449" s="360"/>
      <c r="DU449" s="360"/>
      <c r="DV449" s="360"/>
      <c r="DW449" s="360"/>
      <c r="DX449" s="360"/>
      <c r="DY449" s="360"/>
      <c r="DZ449" s="360"/>
      <c r="EA449" s="360"/>
      <c r="EB449" s="360"/>
      <c r="EC449" s="360"/>
      <c r="ED449" s="360"/>
      <c r="EE449" s="360"/>
      <c r="EF449" s="360"/>
      <c r="EG449" s="360"/>
      <c r="EH449" s="360"/>
      <c r="EI449" s="360"/>
      <c r="EJ449" s="360"/>
      <c r="EK449" s="360"/>
      <c r="EL449" s="360"/>
      <c r="EM449" s="360"/>
      <c r="EN449" s="360"/>
      <c r="EO449" s="360"/>
      <c r="EP449" s="360"/>
      <c r="EQ449" s="360"/>
    </row>
    <row r="450" spans="1:147" x14ac:dyDescent="0.35">
      <c r="A450" s="211" t="s">
        <v>2069</v>
      </c>
      <c r="B450" s="211"/>
      <c r="C450" s="6" t="s">
        <v>817</v>
      </c>
      <c r="D450" s="211" t="s">
        <v>419</v>
      </c>
      <c r="E450" s="211" t="s">
        <v>1697</v>
      </c>
      <c r="F450" s="211" t="s">
        <v>2028</v>
      </c>
      <c r="G450" s="211" t="s">
        <v>2070</v>
      </c>
      <c r="H450" s="356" t="s">
        <v>2071</v>
      </c>
      <c r="I450" s="211">
        <v>0</v>
      </c>
      <c r="J450" s="211">
        <v>0</v>
      </c>
      <c r="K450" s="211">
        <v>0</v>
      </c>
      <c r="L450" s="211">
        <v>0</v>
      </c>
      <c r="M450" s="211">
        <v>0</v>
      </c>
      <c r="N450" s="211">
        <v>0</v>
      </c>
      <c r="O450" s="211">
        <v>0</v>
      </c>
      <c r="P450" s="211"/>
      <c r="Q450" s="211">
        <v>0</v>
      </c>
      <c r="R450" s="211">
        <v>0</v>
      </c>
      <c r="S450" s="211">
        <v>0</v>
      </c>
      <c r="T450" s="211">
        <v>0</v>
      </c>
      <c r="U450" s="211">
        <v>0</v>
      </c>
      <c r="V450" s="211">
        <v>0</v>
      </c>
      <c r="W450" s="211">
        <v>0</v>
      </c>
      <c r="X450" s="211">
        <f>[1]Commodity_prices_MEUR2019!C$46</f>
        <v>77.053237678188765</v>
      </c>
      <c r="Y450" s="211">
        <f>[1]Commodity_prices_MEUR2019!D$46</f>
        <v>77.053237678188765</v>
      </c>
      <c r="Z450" s="211">
        <f>[1]Commodity_prices_MEUR2019!E$46</f>
        <v>77.053237678188765</v>
      </c>
      <c r="AA450" s="211">
        <f>[1]Commodity_prices_MEUR2019!F$46</f>
        <v>77.053237678188765</v>
      </c>
      <c r="AB450" s="211">
        <f>[1]Commodity_prices_MEUR2019!G$46</f>
        <v>77.053237678188765</v>
      </c>
      <c r="AC450" s="211">
        <f>[1]Commodity_prices_MEUR2019!H$46</f>
        <v>77.053237678188765</v>
      </c>
      <c r="AD450" s="211">
        <f>[1]Commodity_prices_MEUR2019!I$46</f>
        <v>77.053237678188765</v>
      </c>
      <c r="AE450" s="186">
        <v>0.08</v>
      </c>
      <c r="AF450" s="211"/>
      <c r="AG450" s="211">
        <v>1</v>
      </c>
      <c r="AH450" s="211">
        <v>1</v>
      </c>
      <c r="AI450" s="211">
        <v>1</v>
      </c>
      <c r="AJ450" s="211" t="s">
        <v>662</v>
      </c>
      <c r="AK450" s="211" t="s">
        <v>745</v>
      </c>
      <c r="AL450" s="211"/>
      <c r="AM450" s="211"/>
      <c r="AN450" s="211"/>
      <c r="AO450" s="211"/>
      <c r="AP450" s="211"/>
      <c r="AQ450" s="211"/>
      <c r="AR450" s="211"/>
      <c r="AS450" s="211"/>
      <c r="AT450" s="211"/>
      <c r="AU450" s="211"/>
      <c r="AV450" s="211"/>
      <c r="AW450" s="211"/>
      <c r="AX450" s="211"/>
      <c r="AY450" s="211" t="s">
        <v>662</v>
      </c>
      <c r="AZ450" s="211"/>
      <c r="BA450" s="211"/>
      <c r="BB450" s="211"/>
      <c r="BC450" s="211"/>
      <c r="BD450" s="211"/>
      <c r="BE450" s="211"/>
      <c r="BF450" s="211"/>
      <c r="BG450" s="211"/>
      <c r="BH450" s="211"/>
      <c r="BI450" s="211"/>
      <c r="BJ450" s="211"/>
      <c r="BK450" s="211"/>
      <c r="BL450" s="211"/>
      <c r="BM450" s="211"/>
      <c r="BN450" s="211">
        <v>4.5</v>
      </c>
      <c r="BO450" s="211"/>
      <c r="BP450" s="211"/>
      <c r="BQ450" s="211"/>
      <c r="BR450" s="211"/>
      <c r="BS450" s="211"/>
      <c r="BT450" s="211"/>
      <c r="BU450" s="211">
        <v>0</v>
      </c>
      <c r="BV450" s="211"/>
      <c r="BW450" s="211"/>
      <c r="BX450" s="211"/>
      <c r="BY450" s="211"/>
      <c r="BZ450" s="211"/>
      <c r="CA450" s="211"/>
      <c r="CB450" s="396">
        <v>35</v>
      </c>
      <c r="CC450" s="396">
        <v>35</v>
      </c>
      <c r="CD450" s="396">
        <v>35</v>
      </c>
      <c r="CE450" s="396">
        <v>35</v>
      </c>
      <c r="CF450" s="396">
        <v>35</v>
      </c>
      <c r="CG450" s="396">
        <v>35</v>
      </c>
      <c r="CH450" s="396">
        <v>35</v>
      </c>
      <c r="CI450" s="211"/>
      <c r="CJ450" s="211"/>
      <c r="CK450" s="211"/>
      <c r="CL450" s="211"/>
      <c r="CM450" s="211"/>
      <c r="CN450" s="211"/>
      <c r="CO450" s="211"/>
      <c r="CP450" s="396"/>
      <c r="CQ450" s="396"/>
      <c r="CR450" s="396"/>
      <c r="CS450" s="396"/>
      <c r="CT450" s="396"/>
      <c r="CU450" s="396"/>
      <c r="CV450" s="211"/>
      <c r="CW450" s="356"/>
      <c r="CX450" s="356"/>
      <c r="CY450" s="356"/>
      <c r="CZ450" s="356"/>
      <c r="DA450" s="356"/>
      <c r="DB450" s="356"/>
      <c r="DC450" s="356"/>
      <c r="DD450" s="356"/>
      <c r="DE450" s="356"/>
      <c r="DF450" s="356"/>
      <c r="DG450" s="356"/>
      <c r="DH450" s="356"/>
      <c r="DI450" s="356"/>
      <c r="DJ450" s="356"/>
      <c r="DK450" s="211"/>
      <c r="DL450" s="356"/>
      <c r="DM450" s="356"/>
      <c r="DN450" s="356"/>
      <c r="DO450" s="356"/>
      <c r="DP450" s="356"/>
      <c r="DQ450" s="356"/>
      <c r="DR450" s="356"/>
      <c r="DT450" s="360"/>
      <c r="DU450" s="360"/>
      <c r="DV450" s="360"/>
      <c r="DW450" s="360"/>
      <c r="DX450" s="360"/>
      <c r="DY450" s="360"/>
      <c r="DZ450" s="360"/>
      <c r="EA450" s="360"/>
      <c r="EB450" s="360"/>
      <c r="EC450" s="360"/>
      <c r="ED450" s="360"/>
      <c r="EE450" s="360"/>
      <c r="EF450" s="360"/>
      <c r="EG450" s="360"/>
      <c r="EH450" s="360"/>
      <c r="EI450" s="360"/>
      <c r="EJ450" s="360"/>
      <c r="EK450" s="360"/>
      <c r="EL450" s="360"/>
      <c r="EM450" s="360"/>
      <c r="EN450" s="360"/>
      <c r="EO450" s="360"/>
      <c r="EP450" s="360"/>
      <c r="EQ450" s="360"/>
    </row>
    <row r="451" spans="1:147" x14ac:dyDescent="0.35">
      <c r="A451" s="211" t="s">
        <v>2072</v>
      </c>
      <c r="B451" s="211"/>
      <c r="C451" s="5" t="s">
        <v>817</v>
      </c>
      <c r="D451" s="211" t="s">
        <v>419</v>
      </c>
      <c r="E451" s="211" t="s">
        <v>2049</v>
      </c>
      <c r="F451" s="211" t="s">
        <v>2028</v>
      </c>
      <c r="G451" s="356" t="s">
        <v>2073</v>
      </c>
      <c r="H451" s="356" t="s">
        <v>2071</v>
      </c>
      <c r="I451" s="211">
        <v>0</v>
      </c>
      <c r="J451" s="211">
        <v>0</v>
      </c>
      <c r="K451" s="211">
        <v>0</v>
      </c>
      <c r="L451" s="211">
        <v>0</v>
      </c>
      <c r="M451" s="211">
        <v>0</v>
      </c>
      <c r="N451" s="211">
        <v>0</v>
      </c>
      <c r="O451" s="211">
        <v>0</v>
      </c>
      <c r="P451" s="211"/>
      <c r="Q451" s="211">
        <v>0</v>
      </c>
      <c r="R451" s="211">
        <v>0</v>
      </c>
      <c r="S451" s="211">
        <v>0</v>
      </c>
      <c r="T451" s="211">
        <v>0</v>
      </c>
      <c r="U451" s="211">
        <v>0</v>
      </c>
      <c r="V451" s="211">
        <v>0</v>
      </c>
      <c r="W451" s="211">
        <v>0</v>
      </c>
      <c r="X451" s="211">
        <f>[1]Commodity_prices_MEUR2019!C$47</f>
        <v>183.02431752538899</v>
      </c>
      <c r="Y451" s="211">
        <f>[1]Commodity_prices_MEUR2019!D$47</f>
        <v>183.02431752538899</v>
      </c>
      <c r="Z451" s="211">
        <f>[1]Commodity_prices_MEUR2019!E$47</f>
        <v>183.02431752538899</v>
      </c>
      <c r="AA451" s="211">
        <f>[1]Commodity_prices_MEUR2019!F$47</f>
        <v>183.02431752538899</v>
      </c>
      <c r="AB451" s="211">
        <f>[1]Commodity_prices_MEUR2019!G$47</f>
        <v>183.02431752538899</v>
      </c>
      <c r="AC451" s="211">
        <f>[1]Commodity_prices_MEUR2019!H$47</f>
        <v>183.02431752538899</v>
      </c>
      <c r="AD451" s="211">
        <f>[1]Commodity_prices_MEUR2019!I$47</f>
        <v>183.02431752538899</v>
      </c>
      <c r="AE451" s="186">
        <v>0.08</v>
      </c>
      <c r="AF451" s="211"/>
      <c r="AG451" s="211">
        <v>1</v>
      </c>
      <c r="AH451" s="211">
        <v>1</v>
      </c>
      <c r="AI451" s="211">
        <v>1</v>
      </c>
      <c r="AJ451" s="211" t="s">
        <v>662</v>
      </c>
      <c r="AK451" s="211" t="s">
        <v>745</v>
      </c>
      <c r="AL451" s="211"/>
      <c r="AM451" s="211"/>
      <c r="AN451" s="211"/>
      <c r="AO451" s="211"/>
      <c r="AP451" s="211"/>
      <c r="AQ451" s="211"/>
      <c r="AR451" s="211"/>
      <c r="AS451" s="211"/>
      <c r="AT451" s="211"/>
      <c r="AU451" s="211"/>
      <c r="AV451" s="211"/>
      <c r="AW451" s="211"/>
      <c r="AX451" s="211"/>
      <c r="AY451" s="211" t="s">
        <v>662</v>
      </c>
      <c r="AZ451" s="211"/>
      <c r="BA451" s="211"/>
      <c r="BB451" s="211"/>
      <c r="BC451" s="211"/>
      <c r="BD451" s="211"/>
      <c r="BE451" s="211"/>
      <c r="BF451" s="211"/>
      <c r="BG451" s="211"/>
      <c r="BH451" s="211"/>
      <c r="BI451" s="211"/>
      <c r="BJ451" s="211"/>
      <c r="BK451" s="211"/>
      <c r="BL451" s="211"/>
      <c r="BM451" s="211"/>
      <c r="BN451" s="211">
        <v>0</v>
      </c>
      <c r="BO451" s="211"/>
      <c r="BP451" s="211"/>
      <c r="BQ451" s="211"/>
      <c r="BR451" s="211"/>
      <c r="BS451" s="211"/>
      <c r="BT451" s="211"/>
      <c r="BU451" s="211">
        <v>0</v>
      </c>
      <c r="BV451" s="211"/>
      <c r="BW451" s="211"/>
      <c r="BX451" s="211"/>
      <c r="BY451" s="211"/>
      <c r="BZ451" s="211"/>
      <c r="CA451" s="211"/>
      <c r="CB451" s="396">
        <v>0</v>
      </c>
      <c r="CC451" s="396">
        <v>0</v>
      </c>
      <c r="CD451" s="396">
        <v>0</v>
      </c>
      <c r="CE451" s="396">
        <v>0</v>
      </c>
      <c r="CF451" s="396">
        <v>0</v>
      </c>
      <c r="CG451" s="396">
        <v>0</v>
      </c>
      <c r="CH451" s="396">
        <v>0</v>
      </c>
      <c r="CI451" s="211"/>
      <c r="CJ451" s="211"/>
      <c r="CK451" s="211"/>
      <c r="CL451" s="211"/>
      <c r="CM451" s="211"/>
      <c r="CN451" s="211"/>
      <c r="CO451" s="211"/>
      <c r="CP451" s="396"/>
      <c r="CQ451" s="396"/>
      <c r="CR451" s="396"/>
      <c r="CS451" s="396"/>
      <c r="CT451" s="396"/>
      <c r="CU451" s="396"/>
      <c r="CV451" s="211"/>
      <c r="CW451" s="356"/>
      <c r="CX451" s="356"/>
      <c r="CY451" s="356"/>
      <c r="CZ451" s="356"/>
      <c r="DA451" s="356"/>
      <c r="DB451" s="356"/>
      <c r="DC451" s="356"/>
      <c r="DD451" s="356"/>
      <c r="DE451" s="356"/>
      <c r="DF451" s="356"/>
      <c r="DG451" s="356"/>
      <c r="DH451" s="356"/>
      <c r="DI451" s="356"/>
      <c r="DJ451" s="356"/>
      <c r="DK451" s="211"/>
      <c r="DL451" s="356"/>
      <c r="DM451" s="356"/>
      <c r="DN451" s="356"/>
      <c r="DO451" s="356"/>
      <c r="DP451" s="356"/>
      <c r="DQ451" s="356"/>
      <c r="DR451" s="356"/>
      <c r="DT451" s="360"/>
      <c r="DU451" s="360"/>
      <c r="DV451" s="360"/>
      <c r="DW451" s="360"/>
      <c r="DX451" s="360"/>
      <c r="DY451" s="360"/>
      <c r="DZ451" s="360"/>
      <c r="EA451" s="360"/>
      <c r="EB451" s="360"/>
      <c r="EC451" s="360"/>
      <c r="ED451" s="360"/>
      <c r="EE451" s="360"/>
      <c r="EF451" s="360"/>
      <c r="EG451" s="360"/>
      <c r="EH451" s="360"/>
      <c r="EI451" s="360"/>
      <c r="EJ451" s="360"/>
      <c r="EK451" s="360"/>
      <c r="EL451" s="360"/>
      <c r="EM451" s="360"/>
      <c r="EN451" s="360"/>
      <c r="EO451" s="360"/>
      <c r="EP451" s="360"/>
      <c r="EQ451" s="360"/>
    </row>
    <row r="452" spans="1:147" x14ac:dyDescent="0.35">
      <c r="A452" s="1" t="s">
        <v>2074</v>
      </c>
      <c r="B452" s="243"/>
      <c r="C452" s="243" t="s">
        <v>419</v>
      </c>
      <c r="D452" s="243" t="s">
        <v>419</v>
      </c>
      <c r="E452" s="1" t="s">
        <v>2075</v>
      </c>
      <c r="F452" s="1" t="s">
        <v>2022</v>
      </c>
      <c r="G452" s="49" t="s">
        <v>2076</v>
      </c>
      <c r="H452" s="356" t="s">
        <v>2051</v>
      </c>
      <c r="I452" s="398">
        <f>(147.67+83.73+14.73)/10^6*(10^6/100)</f>
        <v>2.4612999999999996</v>
      </c>
      <c r="J452" s="398">
        <f t="shared" ref="J452:O452" si="358">(147.67+83.73+14.73)/10^6*(10^6/100)</f>
        <v>2.4612999999999996</v>
      </c>
      <c r="K452" s="398">
        <f t="shared" si="358"/>
        <v>2.4612999999999996</v>
      </c>
      <c r="L452" s="398">
        <f t="shared" si="358"/>
        <v>2.4612999999999996</v>
      </c>
      <c r="M452" s="398">
        <f t="shared" si="358"/>
        <v>2.4612999999999996</v>
      </c>
      <c r="N452" s="398">
        <f t="shared" si="358"/>
        <v>2.4612999999999996</v>
      </c>
      <c r="O452" s="398">
        <f t="shared" si="358"/>
        <v>2.4612999999999996</v>
      </c>
      <c r="P452" s="211"/>
      <c r="Q452" s="211">
        <f>I452*0.05</f>
        <v>0.12306499999999998</v>
      </c>
      <c r="R452" s="211">
        <f t="shared" ref="R452:W459" si="359">J452*0.05</f>
        <v>0.12306499999999998</v>
      </c>
      <c r="S452" s="211">
        <f t="shared" si="359"/>
        <v>0.12306499999999998</v>
      </c>
      <c r="T452" s="211">
        <f t="shared" si="359"/>
        <v>0.12306499999999998</v>
      </c>
      <c r="U452" s="211">
        <f t="shared" si="359"/>
        <v>0.12306499999999998</v>
      </c>
      <c r="V452" s="211">
        <f t="shared" si="359"/>
        <v>0.12306499999999998</v>
      </c>
      <c r="W452" s="211">
        <f t="shared" si="359"/>
        <v>0.12306499999999998</v>
      </c>
      <c r="X452" s="211">
        <v>0</v>
      </c>
      <c r="Y452" s="211">
        <v>0</v>
      </c>
      <c r="Z452" s="211">
        <v>0</v>
      </c>
      <c r="AA452" s="211">
        <v>0</v>
      </c>
      <c r="AB452" s="211">
        <v>0</v>
      </c>
      <c r="AC452" s="211">
        <v>0</v>
      </c>
      <c r="AD452" s="211">
        <v>0</v>
      </c>
      <c r="AE452" s="186">
        <v>0.08</v>
      </c>
      <c r="AF452" s="211"/>
      <c r="AG452" s="211">
        <v>10</v>
      </c>
      <c r="AH452" s="211">
        <v>10</v>
      </c>
      <c r="AI452" s="211">
        <v>1</v>
      </c>
      <c r="AJ452" s="211" t="s">
        <v>662</v>
      </c>
      <c r="AK452" s="211" t="s">
        <v>745</v>
      </c>
      <c r="AL452" s="211"/>
      <c r="AM452" s="211"/>
      <c r="AN452" s="211"/>
      <c r="AO452" s="211"/>
      <c r="AP452" s="211"/>
      <c r="AQ452" s="211"/>
      <c r="AR452" s="211"/>
      <c r="AS452" s="211"/>
      <c r="AT452" s="211"/>
      <c r="AU452" s="211"/>
      <c r="AV452" s="211"/>
      <c r="AW452" s="211"/>
      <c r="AX452" s="211"/>
      <c r="AY452" s="211" t="s">
        <v>662</v>
      </c>
      <c r="AZ452" s="211"/>
      <c r="BA452" s="211"/>
      <c r="BB452" s="211"/>
      <c r="BC452" s="211"/>
      <c r="BD452" s="211"/>
      <c r="BE452" s="211"/>
      <c r="BF452" s="211"/>
      <c r="BG452" s="211"/>
      <c r="BH452" s="211"/>
      <c r="BI452" s="211"/>
      <c r="BJ452" s="211"/>
      <c r="BK452" s="211"/>
      <c r="BL452" s="211"/>
      <c r="BM452" s="211"/>
      <c r="BN452" s="211">
        <v>0</v>
      </c>
      <c r="BO452" s="211"/>
      <c r="BP452" s="211"/>
      <c r="BQ452" s="211"/>
      <c r="BR452" s="211"/>
      <c r="BS452" s="211"/>
      <c r="BT452" s="211"/>
      <c r="BU452" s="211">
        <v>0</v>
      </c>
      <c r="BV452" s="211"/>
      <c r="BW452" s="211"/>
      <c r="BX452" s="211"/>
      <c r="BY452" s="211"/>
      <c r="BZ452" s="211"/>
      <c r="CA452" s="211"/>
      <c r="CB452" s="396"/>
      <c r="CC452" s="396"/>
      <c r="CD452" s="396">
        <f t="shared" ref="CD452:CH452" si="360">CD443</f>
        <v>5.2810000000000006</v>
      </c>
      <c r="CE452" s="396">
        <f t="shared" si="360"/>
        <v>5.2810000000000006</v>
      </c>
      <c r="CF452" s="396">
        <f t="shared" si="360"/>
        <v>5.2810000000000006</v>
      </c>
      <c r="CG452" s="396">
        <f t="shared" si="360"/>
        <v>5.2810000000000006</v>
      </c>
      <c r="CH452" s="396">
        <f t="shared" si="360"/>
        <v>5.2810000000000006</v>
      </c>
      <c r="CI452" s="211"/>
      <c r="CJ452" s="211"/>
      <c r="CK452" s="211"/>
      <c r="CL452" s="211"/>
      <c r="CM452" s="211"/>
      <c r="CN452" s="211"/>
      <c r="CO452" s="211"/>
      <c r="CP452" s="396"/>
      <c r="CQ452" s="396"/>
      <c r="CR452" s="396"/>
      <c r="CS452" s="396"/>
      <c r="CT452" s="396"/>
      <c r="CU452" s="396"/>
      <c r="CV452" s="211"/>
      <c r="CW452" s="356"/>
      <c r="CX452" s="356"/>
      <c r="CY452" s="356"/>
      <c r="CZ452" s="356"/>
      <c r="DA452" s="356"/>
      <c r="DB452" s="356"/>
      <c r="DC452" s="356"/>
      <c r="DD452" s="356"/>
      <c r="DE452" s="356"/>
      <c r="DF452" s="356"/>
      <c r="DG452" s="356"/>
      <c r="DH452" s="356"/>
      <c r="DI452" s="356"/>
      <c r="DJ452" s="356"/>
      <c r="DK452" s="211"/>
      <c r="DL452" s="356"/>
      <c r="DM452" s="356"/>
      <c r="DN452" s="356"/>
      <c r="DO452" s="356"/>
      <c r="DP452" s="356"/>
      <c r="DQ452" s="356"/>
      <c r="DR452" s="356"/>
      <c r="DT452" s="360"/>
      <c r="DU452" s="360"/>
      <c r="DV452" s="360"/>
      <c r="DW452" s="360"/>
      <c r="DX452" s="360"/>
      <c r="DY452" s="360"/>
      <c r="DZ452" s="360"/>
      <c r="EA452" s="360"/>
      <c r="EB452" s="360"/>
      <c r="EC452" s="360"/>
      <c r="ED452" s="360"/>
      <c r="EE452" s="360"/>
      <c r="EF452" s="360"/>
      <c r="EG452" s="360"/>
      <c r="EH452" s="360"/>
      <c r="EI452" s="360"/>
      <c r="EJ452" s="360"/>
      <c r="EK452" s="360"/>
      <c r="EL452" s="360"/>
      <c r="EM452" s="360"/>
      <c r="EN452" s="360"/>
      <c r="EO452" s="360"/>
      <c r="EP452" s="360"/>
      <c r="EQ452" s="360"/>
    </row>
    <row r="453" spans="1:147" x14ac:dyDescent="0.35">
      <c r="A453" s="1" t="s">
        <v>2077</v>
      </c>
      <c r="B453" s="243"/>
      <c r="C453" s="243" t="s">
        <v>419</v>
      </c>
      <c r="D453" s="243" t="s">
        <v>419</v>
      </c>
      <c r="E453" s="1" t="s">
        <v>2075</v>
      </c>
      <c r="F453" s="1" t="s">
        <v>2030</v>
      </c>
      <c r="G453" s="49" t="s">
        <v>2078</v>
      </c>
      <c r="H453" s="356" t="s">
        <v>2079</v>
      </c>
      <c r="I453" s="398">
        <f>(((1.651+1.68+0.9)*1.15)/0.115)*1.26/1.6549</f>
        <v>32.213789352830979</v>
      </c>
      <c r="J453" s="398">
        <f t="shared" ref="J453:O453" si="361">(((1.651+1.68+0.9)*1.15)/0.115)*1.26/1.6549</f>
        <v>32.213789352830979</v>
      </c>
      <c r="K453" s="398">
        <f t="shared" si="361"/>
        <v>32.213789352830979</v>
      </c>
      <c r="L453" s="398">
        <f t="shared" si="361"/>
        <v>32.213789352830979</v>
      </c>
      <c r="M453" s="398">
        <f t="shared" si="361"/>
        <v>32.213789352830979</v>
      </c>
      <c r="N453" s="398">
        <f t="shared" si="361"/>
        <v>32.213789352830979</v>
      </c>
      <c r="O453" s="398">
        <f t="shared" si="361"/>
        <v>32.213789352830979</v>
      </c>
      <c r="P453" s="211"/>
      <c r="Q453" s="399">
        <f>(0.2064/0.115)*1.26/1.6549</f>
        <v>1.3665031645153916</v>
      </c>
      <c r="R453" s="399">
        <f t="shared" ref="R453:W453" si="362">(0.2064/0.115)*1.26/1.6549</f>
        <v>1.3665031645153916</v>
      </c>
      <c r="S453" s="399">
        <f t="shared" si="362"/>
        <v>1.3665031645153916</v>
      </c>
      <c r="T453" s="399">
        <f t="shared" si="362"/>
        <v>1.3665031645153916</v>
      </c>
      <c r="U453" s="399">
        <f t="shared" si="362"/>
        <v>1.3665031645153916</v>
      </c>
      <c r="V453" s="399">
        <f t="shared" si="362"/>
        <v>1.3665031645153916</v>
      </c>
      <c r="W453" s="399">
        <f t="shared" si="362"/>
        <v>1.3665031645153916</v>
      </c>
      <c r="X453" s="211">
        <v>0</v>
      </c>
      <c r="Y453" s="211">
        <v>0</v>
      </c>
      <c r="Z453" s="211">
        <v>0</v>
      </c>
      <c r="AA453" s="211">
        <v>0</v>
      </c>
      <c r="AB453" s="211">
        <v>0</v>
      </c>
      <c r="AC453" s="211">
        <v>0</v>
      </c>
      <c r="AD453" s="211">
        <v>0</v>
      </c>
      <c r="AE453" s="186">
        <v>0.08</v>
      </c>
      <c r="AF453" s="211"/>
      <c r="AG453" s="211">
        <v>10</v>
      </c>
      <c r="AH453" s="211">
        <v>10</v>
      </c>
      <c r="AI453" s="211">
        <v>1</v>
      </c>
      <c r="AJ453" s="211" t="s">
        <v>662</v>
      </c>
      <c r="AK453" s="211" t="s">
        <v>745</v>
      </c>
      <c r="AL453" s="211"/>
      <c r="AM453" s="211"/>
      <c r="AN453" s="211"/>
      <c r="AO453" s="211"/>
      <c r="AP453" s="211"/>
      <c r="AQ453" s="211"/>
      <c r="AR453" s="211"/>
      <c r="AS453" s="211"/>
      <c r="AT453" s="211"/>
      <c r="AU453" s="211"/>
      <c r="AV453" s="211"/>
      <c r="AW453" s="211"/>
      <c r="AX453" s="211"/>
      <c r="AY453" s="211" t="s">
        <v>662</v>
      </c>
      <c r="AZ453" s="211"/>
      <c r="BA453" s="211"/>
      <c r="BB453" s="211"/>
      <c r="BC453" s="211"/>
      <c r="BD453" s="211"/>
      <c r="BE453" s="211"/>
      <c r="BF453" s="211"/>
      <c r="BG453" s="211"/>
      <c r="BH453" s="211"/>
      <c r="BI453" s="211"/>
      <c r="BJ453" s="211"/>
      <c r="BK453" s="211"/>
      <c r="BL453" s="211"/>
      <c r="BM453" s="211"/>
      <c r="BN453" s="211">
        <v>0</v>
      </c>
      <c r="BO453" s="211"/>
      <c r="BP453" s="211"/>
      <c r="BQ453" s="211"/>
      <c r="BR453" s="211"/>
      <c r="BS453" s="211"/>
      <c r="BT453" s="211"/>
      <c r="BU453" s="211">
        <v>0</v>
      </c>
      <c r="BV453" s="211"/>
      <c r="BW453" s="211"/>
      <c r="BX453" s="211"/>
      <c r="BY453" s="211"/>
      <c r="BZ453" s="211"/>
      <c r="CA453" s="211"/>
      <c r="CB453" s="400"/>
      <c r="CC453" s="400"/>
      <c r="CD453" s="400">
        <f>[2]Activities!E$74*[2]EnergyBalance!$CH$442*-1*0.1</f>
        <v>1.6196960000000002</v>
      </c>
      <c r="CE453" s="400">
        <f>[2]Activities!F$74*[2]EnergyBalance!$CH$442*-1*0.15</f>
        <v>2.4295439999999999</v>
      </c>
      <c r="CF453" s="400">
        <f>[2]Activities!G$74*[2]EnergyBalance!$CH$442*-1*0.2</f>
        <v>3.2393920000000005</v>
      </c>
      <c r="CG453" s="400">
        <f>[2]Activities!H$74*[2]EnergyBalance!$CH$442*-1*0.25</f>
        <v>4.0492400000000002</v>
      </c>
      <c r="CH453" s="400">
        <f>[2]Activities!I$74*[2]EnergyBalance!$CH$442*-1*0.3</f>
        <v>4.8590879999999999</v>
      </c>
      <c r="DT453" s="360"/>
      <c r="DU453" s="360"/>
      <c r="DV453" s="360"/>
      <c r="DW453" s="360"/>
      <c r="DX453" s="360"/>
      <c r="DY453" s="360"/>
      <c r="DZ453" s="360"/>
      <c r="EA453" s="360"/>
      <c r="EB453" s="360"/>
      <c r="EC453" s="360"/>
      <c r="ED453" s="360"/>
      <c r="EE453" s="360"/>
      <c r="EF453" s="360"/>
      <c r="EG453" s="360"/>
      <c r="EH453" s="360"/>
      <c r="EI453" s="360"/>
      <c r="EJ453" s="360"/>
      <c r="EK453" s="360"/>
      <c r="EL453" s="360"/>
      <c r="EM453" s="360"/>
      <c r="EN453" s="360"/>
      <c r="EO453" s="360"/>
      <c r="EP453" s="360"/>
      <c r="EQ453" s="360"/>
    </row>
    <row r="454" spans="1:147" x14ac:dyDescent="0.35">
      <c r="A454" s="1" t="s">
        <v>2080</v>
      </c>
      <c r="B454" s="243"/>
      <c r="C454" s="243" t="s">
        <v>419</v>
      </c>
      <c r="D454" s="243" t="s">
        <v>419</v>
      </c>
      <c r="E454" s="1" t="s">
        <v>2075</v>
      </c>
      <c r="F454" s="1" t="s">
        <v>2030</v>
      </c>
      <c r="G454" s="49" t="s">
        <v>2081</v>
      </c>
      <c r="H454" s="356" t="s">
        <v>2079</v>
      </c>
      <c r="I454" s="398">
        <f>I453+35</f>
        <v>67.213789352830986</v>
      </c>
      <c r="J454" s="398">
        <f t="shared" ref="J454:O454" si="363">J453+35</f>
        <v>67.213789352830986</v>
      </c>
      <c r="K454" s="398">
        <f t="shared" si="363"/>
        <v>67.213789352830986</v>
      </c>
      <c r="L454" s="398">
        <f t="shared" si="363"/>
        <v>67.213789352830986</v>
      </c>
      <c r="M454" s="398">
        <f t="shared" si="363"/>
        <v>67.213789352830986</v>
      </c>
      <c r="N454" s="398">
        <f t="shared" si="363"/>
        <v>67.213789352830986</v>
      </c>
      <c r="O454" s="398">
        <f t="shared" si="363"/>
        <v>67.213789352830986</v>
      </c>
      <c r="P454" s="211"/>
      <c r="Q454" s="399">
        <f>Q453+1.1</f>
        <v>2.4665031645153919</v>
      </c>
      <c r="R454" s="399">
        <f t="shared" ref="R454:W454" si="364">R453+1.1</f>
        <v>2.4665031645153919</v>
      </c>
      <c r="S454" s="399">
        <f t="shared" si="364"/>
        <v>2.4665031645153919</v>
      </c>
      <c r="T454" s="399">
        <f t="shared" si="364"/>
        <v>2.4665031645153919</v>
      </c>
      <c r="U454" s="399">
        <f t="shared" si="364"/>
        <v>2.4665031645153919</v>
      </c>
      <c r="V454" s="399">
        <f t="shared" si="364"/>
        <v>2.4665031645153919</v>
      </c>
      <c r="W454" s="399">
        <f t="shared" si="364"/>
        <v>2.4665031645153919</v>
      </c>
      <c r="X454" s="211">
        <v>0</v>
      </c>
      <c r="Y454" s="211">
        <v>0</v>
      </c>
      <c r="Z454" s="211">
        <v>0</v>
      </c>
      <c r="AA454" s="211">
        <v>0</v>
      </c>
      <c r="AB454" s="211">
        <v>0</v>
      </c>
      <c r="AC454" s="211">
        <v>0</v>
      </c>
      <c r="AD454" s="211">
        <v>0</v>
      </c>
      <c r="AE454" s="186">
        <v>0.08</v>
      </c>
      <c r="AF454" s="211"/>
      <c r="AG454" s="211">
        <v>10</v>
      </c>
      <c r="AH454" s="211">
        <v>10</v>
      </c>
      <c r="AI454" s="211">
        <v>1</v>
      </c>
      <c r="AJ454" s="211" t="s">
        <v>662</v>
      </c>
      <c r="AK454" s="211" t="s">
        <v>745</v>
      </c>
      <c r="AL454" s="211"/>
      <c r="AM454" s="211"/>
      <c r="AN454" s="211"/>
      <c r="AO454" s="211"/>
      <c r="AP454" s="211"/>
      <c r="AQ454" s="211"/>
      <c r="AR454" s="211"/>
      <c r="AS454" s="211"/>
      <c r="AT454" s="211"/>
      <c r="AU454" s="211"/>
      <c r="AV454" s="211"/>
      <c r="AW454" s="211"/>
      <c r="AX454" s="211"/>
      <c r="AY454" s="211" t="s">
        <v>662</v>
      </c>
      <c r="AZ454" s="211"/>
      <c r="BA454" s="211"/>
      <c r="BB454" s="211"/>
      <c r="BC454" s="211"/>
      <c r="BD454" s="211"/>
      <c r="BE454" s="211"/>
      <c r="BF454" s="211"/>
      <c r="BG454" s="211"/>
      <c r="BH454" s="211"/>
      <c r="BI454" s="211"/>
      <c r="BJ454" s="211"/>
      <c r="BK454" s="211"/>
      <c r="BL454" s="211"/>
      <c r="BM454" s="211"/>
      <c r="BN454" s="211">
        <v>0</v>
      </c>
      <c r="BO454" s="211"/>
      <c r="BP454" s="211"/>
      <c r="BQ454" s="211"/>
      <c r="BR454" s="211"/>
      <c r="BS454" s="211"/>
      <c r="BT454" s="211"/>
      <c r="BU454" s="211">
        <v>0</v>
      </c>
      <c r="BV454" s="211"/>
      <c r="BW454" s="211"/>
      <c r="BX454" s="211"/>
      <c r="BY454" s="211"/>
      <c r="BZ454" s="211"/>
      <c r="CA454" s="211"/>
      <c r="CB454" s="400"/>
      <c r="CC454" s="400"/>
      <c r="CD454" s="400">
        <f>[2]Activities!E$74*[2]EnergyBalance!$CI$442*-1*0.1</f>
        <v>0.49280400000000002</v>
      </c>
      <c r="CE454" s="400">
        <f>[2]Activities!F$74*[2]EnergyBalance!$CI$442*-1*0.15</f>
        <v>0.73920600000000003</v>
      </c>
      <c r="CF454" s="400">
        <f>[2]Activities!G$74*[2]EnergyBalance!$CI$442*-1*0.2</f>
        <v>0.98560800000000004</v>
      </c>
      <c r="CG454" s="400">
        <f>[2]Activities!H$74*[2]EnergyBalance!$CI$442*-1*0.25</f>
        <v>1.23201</v>
      </c>
      <c r="CH454" s="400">
        <f>[2]Activities!I$74*[2]EnergyBalance!$CI$442*-1*0.3</f>
        <v>1.4784120000000001</v>
      </c>
      <c r="DT454" s="360"/>
      <c r="DU454" s="360"/>
      <c r="DV454" s="360"/>
      <c r="DW454" s="360"/>
      <c r="DX454" s="360"/>
      <c r="DY454" s="360"/>
      <c r="DZ454" s="360"/>
      <c r="EA454" s="360"/>
      <c r="EB454" s="360"/>
      <c r="EC454" s="360"/>
      <c r="ED454" s="360"/>
      <c r="EE454" s="360"/>
      <c r="EF454" s="360"/>
      <c r="EG454" s="360"/>
      <c r="EH454" s="360"/>
      <c r="EI454" s="360"/>
      <c r="EJ454" s="360"/>
      <c r="EK454" s="360"/>
      <c r="EL454" s="360"/>
      <c r="EM454" s="360"/>
      <c r="EN454" s="360"/>
      <c r="EO454" s="360"/>
      <c r="EP454" s="360"/>
      <c r="EQ454" s="360"/>
    </row>
    <row r="455" spans="1:147" x14ac:dyDescent="0.35">
      <c r="A455" s="1" t="s">
        <v>2082</v>
      </c>
      <c r="B455" s="243"/>
      <c r="C455" s="243" t="s">
        <v>419</v>
      </c>
      <c r="D455" s="243" t="s">
        <v>419</v>
      </c>
      <c r="E455" s="1" t="s">
        <v>2075</v>
      </c>
      <c r="F455" s="1" t="s">
        <v>2022</v>
      </c>
      <c r="G455" s="49" t="s">
        <v>2083</v>
      </c>
      <c r="H455" s="356" t="s">
        <v>2051</v>
      </c>
      <c r="I455" s="398">
        <f>(((1.684+1.632+1.2079+1.666)*1.15)/0.115)*1.26/1.6549</f>
        <v>47.128370294277588</v>
      </c>
      <c r="J455" s="398">
        <f t="shared" ref="J455:O455" si="365">(((1.684+1.632+1.2079+1.666)*1.15)/0.115)*1.26/1.6549</f>
        <v>47.128370294277588</v>
      </c>
      <c r="K455" s="398">
        <f t="shared" si="365"/>
        <v>47.128370294277588</v>
      </c>
      <c r="L455" s="398">
        <f t="shared" si="365"/>
        <v>47.128370294277588</v>
      </c>
      <c r="M455" s="398">
        <f t="shared" si="365"/>
        <v>47.128370294277588</v>
      </c>
      <c r="N455" s="398">
        <f t="shared" si="365"/>
        <v>47.128370294277588</v>
      </c>
      <c r="O455" s="398">
        <f t="shared" si="365"/>
        <v>47.128370294277588</v>
      </c>
      <c r="P455" s="211"/>
      <c r="Q455" s="399">
        <f>(0.296/0.115)*1.26/1.6549</f>
        <v>1.9597138405840886</v>
      </c>
      <c r="R455" s="399">
        <f t="shared" ref="R455:W455" si="366">(0.296/0.115)*1.26/1.6549</f>
        <v>1.9597138405840886</v>
      </c>
      <c r="S455" s="399">
        <f t="shared" si="366"/>
        <v>1.9597138405840886</v>
      </c>
      <c r="T455" s="399">
        <f t="shared" si="366"/>
        <v>1.9597138405840886</v>
      </c>
      <c r="U455" s="399">
        <f t="shared" si="366"/>
        <v>1.9597138405840886</v>
      </c>
      <c r="V455" s="399">
        <f t="shared" si="366"/>
        <v>1.9597138405840886</v>
      </c>
      <c r="W455" s="399">
        <f t="shared" si="366"/>
        <v>1.9597138405840886</v>
      </c>
      <c r="X455" s="211">
        <v>0</v>
      </c>
      <c r="Y455" s="211">
        <v>0</v>
      </c>
      <c r="Z455" s="211">
        <v>0</v>
      </c>
      <c r="AA455" s="211">
        <v>0</v>
      </c>
      <c r="AB455" s="211">
        <v>0</v>
      </c>
      <c r="AC455" s="211">
        <v>0</v>
      </c>
      <c r="AD455" s="211">
        <v>0</v>
      </c>
      <c r="AE455" s="186">
        <v>0.08</v>
      </c>
      <c r="AF455" s="211"/>
      <c r="AG455" s="211">
        <v>10</v>
      </c>
      <c r="AH455" s="211">
        <v>10</v>
      </c>
      <c r="AI455" s="211">
        <v>1</v>
      </c>
      <c r="AJ455" s="211" t="s">
        <v>662</v>
      </c>
      <c r="AK455" s="211" t="s">
        <v>745</v>
      </c>
      <c r="AL455" s="211"/>
      <c r="AM455" s="211"/>
      <c r="AN455" s="211"/>
      <c r="AO455" s="211"/>
      <c r="AP455" s="211"/>
      <c r="AQ455" s="211"/>
      <c r="AR455" s="211"/>
      <c r="AS455" s="211"/>
      <c r="AT455" s="211"/>
      <c r="AU455" s="211"/>
      <c r="AV455" s="211"/>
      <c r="AW455" s="211"/>
      <c r="AX455" s="211"/>
      <c r="AY455" s="211" t="s">
        <v>662</v>
      </c>
      <c r="AZ455" s="211"/>
      <c r="BA455" s="211"/>
      <c r="BB455" s="211"/>
      <c r="BC455" s="211"/>
      <c r="BD455" s="211"/>
      <c r="BE455" s="211"/>
      <c r="BF455" s="211"/>
      <c r="BG455" s="211"/>
      <c r="BH455" s="211"/>
      <c r="BI455" s="211"/>
      <c r="BJ455" s="211"/>
      <c r="BK455" s="211"/>
      <c r="BL455" s="211"/>
      <c r="BM455" s="211"/>
      <c r="BN455" s="211">
        <v>0</v>
      </c>
      <c r="BO455" s="211"/>
      <c r="BP455" s="211"/>
      <c r="BQ455" s="211"/>
      <c r="BR455" s="211"/>
      <c r="BS455" s="211"/>
      <c r="BT455" s="211"/>
      <c r="BU455" s="211">
        <v>0</v>
      </c>
      <c r="BV455" s="211"/>
      <c r="BW455" s="211"/>
      <c r="BX455" s="211"/>
      <c r="BY455" s="211"/>
      <c r="BZ455" s="211"/>
      <c r="CA455" s="211"/>
      <c r="CB455" s="400"/>
      <c r="CC455" s="400"/>
      <c r="CD455" s="400">
        <f>[2]Activities!E$74*[2]EnergyBalance!$CH$442*-1*0.5</f>
        <v>8.0984800000000003</v>
      </c>
      <c r="CE455" s="400">
        <f>(CF455+CD455)/2</f>
        <v>10.123100000000001</v>
      </c>
      <c r="CF455" s="400">
        <f>(CH455+CD455)/2</f>
        <v>12.14772</v>
      </c>
      <c r="CG455" s="400">
        <f>(CH455+CF455)/2</f>
        <v>14.17234</v>
      </c>
      <c r="CH455" s="400">
        <f>[2]Activities!I$74*-1*[2]EnergyBalance!$CH$442</f>
        <v>16.196960000000001</v>
      </c>
      <c r="DT455" s="360"/>
      <c r="DU455" s="360"/>
      <c r="DV455" s="360"/>
      <c r="DW455" s="360"/>
      <c r="DX455" s="360"/>
      <c r="DY455" s="360"/>
      <c r="DZ455" s="360"/>
      <c r="EA455" s="360"/>
      <c r="EB455" s="360"/>
      <c r="EC455" s="360"/>
      <c r="ED455" s="360"/>
      <c r="EE455" s="360"/>
      <c r="EF455" s="360"/>
      <c r="EG455" s="360"/>
      <c r="EH455" s="360"/>
      <c r="EI455" s="360"/>
      <c r="EJ455" s="360"/>
      <c r="EK455" s="360"/>
      <c r="EL455" s="360"/>
      <c r="EM455" s="360"/>
      <c r="EN455" s="360"/>
      <c r="EO455" s="360"/>
      <c r="EP455" s="360"/>
      <c r="EQ455" s="360"/>
    </row>
    <row r="456" spans="1:147" x14ac:dyDescent="0.35">
      <c r="A456" s="1" t="s">
        <v>2084</v>
      </c>
      <c r="B456" s="243"/>
      <c r="C456" s="243" t="s">
        <v>419</v>
      </c>
      <c r="D456" s="243" t="s">
        <v>419</v>
      </c>
      <c r="E456" s="1" t="s">
        <v>2075</v>
      </c>
      <c r="F456" s="1" t="s">
        <v>2030</v>
      </c>
      <c r="G456" s="49" t="s">
        <v>2085</v>
      </c>
      <c r="H456" s="356" t="s">
        <v>2079</v>
      </c>
      <c r="I456" s="398">
        <f>I454</f>
        <v>67.213789352830986</v>
      </c>
      <c r="J456" s="398">
        <f t="shared" ref="J456:O456" si="367">J454</f>
        <v>67.213789352830986</v>
      </c>
      <c r="K456" s="398">
        <f t="shared" si="367"/>
        <v>67.213789352830986</v>
      </c>
      <c r="L456" s="398">
        <f t="shared" si="367"/>
        <v>67.213789352830986</v>
      </c>
      <c r="M456" s="398">
        <f t="shared" si="367"/>
        <v>67.213789352830986</v>
      </c>
      <c r="N456" s="398">
        <f t="shared" si="367"/>
        <v>67.213789352830986</v>
      </c>
      <c r="O456" s="398">
        <f t="shared" si="367"/>
        <v>67.213789352830986</v>
      </c>
      <c r="P456" s="211"/>
      <c r="Q456" s="399">
        <f>Q454</f>
        <v>2.4665031645153919</v>
      </c>
      <c r="R456" s="399">
        <f t="shared" ref="R456:W456" si="368">R454</f>
        <v>2.4665031645153919</v>
      </c>
      <c r="S456" s="399">
        <f t="shared" si="368"/>
        <v>2.4665031645153919</v>
      </c>
      <c r="T456" s="399">
        <f t="shared" si="368"/>
        <v>2.4665031645153919</v>
      </c>
      <c r="U456" s="399">
        <f t="shared" si="368"/>
        <v>2.4665031645153919</v>
      </c>
      <c r="V456" s="399">
        <f t="shared" si="368"/>
        <v>2.4665031645153919</v>
      </c>
      <c r="W456" s="399">
        <f t="shared" si="368"/>
        <v>2.4665031645153919</v>
      </c>
      <c r="X456" s="211">
        <v>0</v>
      </c>
      <c r="Y456" s="211">
        <v>0</v>
      </c>
      <c r="Z456" s="211">
        <v>0</v>
      </c>
      <c r="AA456" s="211">
        <v>0</v>
      </c>
      <c r="AB456" s="211">
        <v>0</v>
      </c>
      <c r="AC456" s="211">
        <v>0</v>
      </c>
      <c r="AD456" s="211">
        <v>0</v>
      </c>
      <c r="AE456" s="186">
        <v>0.08</v>
      </c>
      <c r="AF456" s="211"/>
      <c r="AG456" s="211">
        <f>AG454</f>
        <v>10</v>
      </c>
      <c r="AH456" s="211">
        <f>AH454</f>
        <v>10</v>
      </c>
      <c r="AI456" s="211">
        <v>1</v>
      </c>
      <c r="AJ456" s="211" t="s">
        <v>662</v>
      </c>
      <c r="AK456" s="211" t="s">
        <v>745</v>
      </c>
      <c r="AL456" s="211"/>
      <c r="AM456" s="211"/>
      <c r="AN456" s="211"/>
      <c r="AO456" s="211"/>
      <c r="AP456" s="211"/>
      <c r="AQ456" s="211"/>
      <c r="AR456" s="211"/>
      <c r="AS456" s="211"/>
      <c r="AT456" s="211"/>
      <c r="AU456" s="211"/>
      <c r="AV456" s="211"/>
      <c r="AW456" s="211"/>
      <c r="AX456" s="211"/>
      <c r="AY456" s="211" t="s">
        <v>662</v>
      </c>
      <c r="AZ456" s="211"/>
      <c r="BA456" s="211"/>
      <c r="BB456" s="211"/>
      <c r="BC456" s="211"/>
      <c r="BD456" s="211"/>
      <c r="BE456" s="211"/>
      <c r="BF456" s="211"/>
      <c r="BG456" s="211"/>
      <c r="BH456" s="211"/>
      <c r="BI456" s="211"/>
      <c r="BJ456" s="211"/>
      <c r="BK456" s="211"/>
      <c r="BL456" s="211"/>
      <c r="BM456" s="211"/>
      <c r="BN456" s="211">
        <v>0</v>
      </c>
      <c r="BO456" s="211"/>
      <c r="BP456" s="211"/>
      <c r="BQ456" s="211"/>
      <c r="BR456" s="211"/>
      <c r="BS456" s="211"/>
      <c r="BT456" s="211"/>
      <c r="BU456" s="211">
        <v>0</v>
      </c>
      <c r="BV456" s="211"/>
      <c r="BW456" s="211"/>
      <c r="BX456" s="211"/>
      <c r="BY456" s="211"/>
      <c r="BZ456" s="211"/>
      <c r="CA456" s="211"/>
      <c r="CB456" s="400"/>
      <c r="CC456" s="400"/>
      <c r="CD456" s="400">
        <f>[2]Activities!E39*0.2</f>
        <v>0.371</v>
      </c>
      <c r="CE456" s="400">
        <f>[2]Activities!F39*0.25</f>
        <v>0.46375</v>
      </c>
      <c r="CF456" s="400">
        <f>[2]Activities!G39*0.3</f>
        <v>0.55649999999999999</v>
      </c>
      <c r="CG456" s="400">
        <f>[2]Activities!H39*0.4</f>
        <v>0.74199999999999999</v>
      </c>
      <c r="CH456" s="400">
        <f>[2]Activities!I39*0.5</f>
        <v>0.92749999999999999</v>
      </c>
      <c r="DT456" s="360"/>
      <c r="DU456" s="360"/>
      <c r="DV456" s="360"/>
      <c r="DW456" s="360"/>
      <c r="DX456" s="360"/>
      <c r="DY456" s="360"/>
      <c r="DZ456" s="360"/>
      <c r="EA456" s="360"/>
      <c r="EB456" s="360"/>
      <c r="EC456" s="360"/>
      <c r="ED456" s="360"/>
      <c r="EE456" s="360"/>
      <c r="EF456" s="360"/>
      <c r="EG456" s="360"/>
      <c r="EH456" s="360"/>
      <c r="EI456" s="360"/>
      <c r="EJ456" s="360"/>
      <c r="EK456" s="360"/>
      <c r="EL456" s="360"/>
      <c r="EM456" s="360"/>
      <c r="EN456" s="360"/>
      <c r="EO456" s="360"/>
      <c r="EP456" s="360"/>
      <c r="EQ456" s="360"/>
    </row>
    <row r="457" spans="1:147" x14ac:dyDescent="0.35">
      <c r="A457" s="1" t="s">
        <v>2086</v>
      </c>
      <c r="B457" s="1" t="s">
        <v>740</v>
      </c>
      <c r="C457" s="1" t="s">
        <v>655</v>
      </c>
      <c r="D457" s="1" t="s">
        <v>741</v>
      </c>
      <c r="E457" s="1" t="s">
        <v>2056</v>
      </c>
      <c r="F457" s="1" t="s">
        <v>2017</v>
      </c>
      <c r="G457" s="49" t="s">
        <v>2087</v>
      </c>
      <c r="H457" s="356" t="s">
        <v>2058</v>
      </c>
      <c r="I457" s="395">
        <f>I445</f>
        <v>7.4725912690355334E-2</v>
      </c>
      <c r="J457" s="395">
        <f t="shared" ref="J457:O457" si="369">J445</f>
        <v>7.4725912690355334E-2</v>
      </c>
      <c r="K457" s="395">
        <f t="shared" si="369"/>
        <v>7.4725912690355334E-2</v>
      </c>
      <c r="L457" s="395">
        <f t="shared" si="369"/>
        <v>7.4725912690355334E-2</v>
      </c>
      <c r="M457" s="395">
        <f t="shared" si="369"/>
        <v>7.4725912690355334E-2</v>
      </c>
      <c r="N457" s="395">
        <f t="shared" si="369"/>
        <v>7.4725912690355334E-2</v>
      </c>
      <c r="O457" s="395">
        <f t="shared" si="369"/>
        <v>7.4725912690355334E-2</v>
      </c>
      <c r="P457" s="211"/>
      <c r="Q457" s="211">
        <f>I457*0.05</f>
        <v>3.736295634517767E-3</v>
      </c>
      <c r="R457" s="211">
        <f t="shared" si="359"/>
        <v>3.736295634517767E-3</v>
      </c>
      <c r="S457" s="211">
        <f t="shared" si="359"/>
        <v>3.736295634517767E-3</v>
      </c>
      <c r="T457" s="211">
        <f t="shared" si="359"/>
        <v>3.736295634517767E-3</v>
      </c>
      <c r="U457" s="211">
        <f t="shared" si="359"/>
        <v>3.736295634517767E-3</v>
      </c>
      <c r="V457" s="211">
        <f t="shared" si="359"/>
        <v>3.736295634517767E-3</v>
      </c>
      <c r="W457" s="211">
        <f t="shared" si="359"/>
        <v>3.736295634517767E-3</v>
      </c>
      <c r="X457" s="211">
        <v>0</v>
      </c>
      <c r="Y457" s="211">
        <v>0</v>
      </c>
      <c r="Z457" s="211">
        <v>0</v>
      </c>
      <c r="AA457" s="211">
        <v>0</v>
      </c>
      <c r="AB457" s="211">
        <v>0</v>
      </c>
      <c r="AC457" s="211">
        <v>0</v>
      </c>
      <c r="AD457" s="211">
        <v>0</v>
      </c>
      <c r="AE457" s="186">
        <v>0.08</v>
      </c>
      <c r="AF457" s="211"/>
      <c r="AG457" s="211">
        <v>30</v>
      </c>
      <c r="AH457" s="211">
        <v>30</v>
      </c>
      <c r="AI457" s="211">
        <v>1</v>
      </c>
      <c r="AJ457" s="211" t="s">
        <v>662</v>
      </c>
      <c r="AK457" s="211" t="s">
        <v>745</v>
      </c>
      <c r="AL457" s="211"/>
      <c r="AM457" s="211"/>
      <c r="AN457" s="211"/>
      <c r="AO457" s="211"/>
      <c r="AP457" s="211"/>
      <c r="AQ457" s="211"/>
      <c r="AR457" s="211"/>
      <c r="AS457" s="211"/>
      <c r="AT457" s="211"/>
      <c r="AU457" s="211"/>
      <c r="AV457" s="211"/>
      <c r="AW457" s="211"/>
      <c r="AX457" s="211"/>
      <c r="AY457" s="211" t="s">
        <v>662</v>
      </c>
      <c r="AZ457" s="211"/>
      <c r="BA457" s="211"/>
      <c r="BB457" s="211"/>
      <c r="BC457" s="211"/>
      <c r="BD457" s="211"/>
      <c r="BE457" s="211"/>
      <c r="BF457" s="211"/>
      <c r="BG457" s="211"/>
      <c r="BH457" s="211"/>
      <c r="BI457" s="211"/>
      <c r="BJ457" s="211"/>
      <c r="BK457" s="211"/>
      <c r="BL457" s="211"/>
      <c r="BM457" s="211"/>
      <c r="BN457" s="211">
        <v>0</v>
      </c>
      <c r="BO457" s="211"/>
      <c r="BP457" s="211"/>
      <c r="BQ457" s="211"/>
      <c r="BR457" s="211"/>
      <c r="BS457" s="211"/>
      <c r="BT457" s="211"/>
      <c r="BU457" s="211">
        <v>0</v>
      </c>
      <c r="BV457" s="211"/>
      <c r="BW457" s="211"/>
      <c r="BX457" s="211"/>
      <c r="BY457" s="211"/>
      <c r="BZ457" s="211"/>
      <c r="CA457" s="211"/>
      <c r="CB457" s="396">
        <f>[3]Activities!C74</f>
        <v>31.2</v>
      </c>
      <c r="CC457" s="396">
        <f>[3]Activities!D74</f>
        <v>33.799999999999997</v>
      </c>
      <c r="CD457" s="396">
        <f>[3]Activities!E74</f>
        <v>33.799999999999997</v>
      </c>
      <c r="CE457" s="396">
        <f>[3]Activities!F74</f>
        <v>33.799999999999997</v>
      </c>
      <c r="CF457" s="396">
        <f>[3]Activities!G74</f>
        <v>33.799999999999997</v>
      </c>
      <c r="CG457" s="396">
        <f>[3]Activities!H74</f>
        <v>33.799999999999997</v>
      </c>
      <c r="CH457" s="396">
        <f>[3]Activities!I74</f>
        <v>33.799999999999997</v>
      </c>
      <c r="CI457" s="211"/>
      <c r="CJ457" s="211"/>
      <c r="CK457" s="211"/>
      <c r="CL457" s="211"/>
      <c r="CM457" s="211"/>
      <c r="CN457" s="211"/>
      <c r="CO457" s="211"/>
      <c r="CP457" s="396"/>
      <c r="CQ457" s="396"/>
      <c r="CR457" s="396"/>
      <c r="CS457" s="396"/>
      <c r="CT457" s="396"/>
      <c r="CU457" s="396"/>
      <c r="CV457" s="211"/>
      <c r="CW457" s="356"/>
      <c r="CX457" s="356"/>
      <c r="CY457" s="356"/>
      <c r="CZ457" s="356"/>
      <c r="DA457" s="356"/>
      <c r="DB457" s="356"/>
      <c r="DC457" s="356"/>
      <c r="DD457" s="356"/>
      <c r="DE457" s="356"/>
      <c r="DF457" s="356"/>
      <c r="DG457" s="356"/>
      <c r="DH457" s="356"/>
      <c r="DI457" s="356"/>
      <c r="DJ457" s="356"/>
      <c r="DK457" s="211"/>
      <c r="DL457" s="356"/>
      <c r="DM457" s="356"/>
      <c r="DN457" s="356"/>
      <c r="DO457" s="356"/>
      <c r="DP457" s="356"/>
      <c r="DQ457" s="356"/>
      <c r="DR457" s="356"/>
      <c r="DT457" s="360"/>
      <c r="DU457" s="360"/>
      <c r="DV457" s="360"/>
      <c r="DW457" s="360"/>
      <c r="DX457" s="360"/>
      <c r="DY457" s="360"/>
      <c r="DZ457" s="360"/>
      <c r="EA457" s="360"/>
      <c r="EB457" s="360"/>
      <c r="EC457" s="360"/>
      <c r="ED457" s="360"/>
      <c r="EE457" s="360"/>
      <c r="EF457" s="360"/>
      <c r="EG457" s="360"/>
      <c r="EH457" s="360"/>
      <c r="EI457" s="360"/>
      <c r="EJ457" s="360"/>
      <c r="EK457" s="360"/>
      <c r="EL457" s="360"/>
      <c r="EM457" s="360"/>
      <c r="EN457" s="360"/>
      <c r="EO457" s="360"/>
      <c r="EP457" s="360"/>
      <c r="EQ457" s="360"/>
    </row>
    <row r="458" spans="1:147" x14ac:dyDescent="0.35">
      <c r="A458" s="1" t="s">
        <v>2088</v>
      </c>
      <c r="B458" s="1" t="s">
        <v>740</v>
      </c>
      <c r="C458" s="1" t="s">
        <v>655</v>
      </c>
      <c r="D458" s="1" t="s">
        <v>741</v>
      </c>
      <c r="E458" s="1" t="s">
        <v>741</v>
      </c>
      <c r="F458" s="1" t="s">
        <v>331</v>
      </c>
      <c r="G458" s="49" t="s">
        <v>2089</v>
      </c>
      <c r="H458" s="356" t="s">
        <v>744</v>
      </c>
      <c r="I458" s="401">
        <f>I35*2</f>
        <v>1101</v>
      </c>
      <c r="J458" s="401">
        <f>J35*2</f>
        <v>1101</v>
      </c>
      <c r="K458" s="401">
        <f>K35*2</f>
        <v>1101</v>
      </c>
      <c r="L458" s="401">
        <f>L35*2</f>
        <v>1101</v>
      </c>
      <c r="M458" s="401">
        <f>M35*2</f>
        <v>1101</v>
      </c>
      <c r="N458" s="401">
        <f>N35*2</f>
        <v>1101</v>
      </c>
      <c r="O458" s="401">
        <f>O35*2</f>
        <v>1101</v>
      </c>
      <c r="P458" s="211"/>
      <c r="Q458" s="402">
        <f>I458*0.05</f>
        <v>55.050000000000004</v>
      </c>
      <c r="R458" s="402">
        <f t="shared" si="359"/>
        <v>55.050000000000004</v>
      </c>
      <c r="S458" s="402">
        <f t="shared" si="359"/>
        <v>55.050000000000004</v>
      </c>
      <c r="T458" s="402">
        <f t="shared" si="359"/>
        <v>55.050000000000004</v>
      </c>
      <c r="U458" s="402">
        <f t="shared" si="359"/>
        <v>55.050000000000004</v>
      </c>
      <c r="V458" s="402">
        <f t="shared" si="359"/>
        <v>55.050000000000004</v>
      </c>
      <c r="W458" s="402">
        <f t="shared" si="359"/>
        <v>55.050000000000004</v>
      </c>
      <c r="X458" s="211">
        <v>0</v>
      </c>
      <c r="Y458" s="211">
        <v>0</v>
      </c>
      <c r="Z458" s="211">
        <v>0</v>
      </c>
      <c r="AA458" s="211">
        <v>0</v>
      </c>
      <c r="AB458" s="211">
        <v>0</v>
      </c>
      <c r="AC458" s="211">
        <v>0</v>
      </c>
      <c r="AD458" s="211">
        <v>0</v>
      </c>
      <c r="AE458" s="186">
        <v>0.08</v>
      </c>
      <c r="AF458" s="211"/>
      <c r="AG458" s="211">
        <v>1</v>
      </c>
      <c r="AH458" s="211">
        <v>1</v>
      </c>
      <c r="AI458" s="211">
        <v>1</v>
      </c>
      <c r="AJ458" s="211" t="s">
        <v>662</v>
      </c>
      <c r="AK458" s="211" t="s">
        <v>745</v>
      </c>
      <c r="AL458" s="211"/>
      <c r="AM458" s="211"/>
      <c r="AN458" s="211"/>
      <c r="AO458" s="211"/>
      <c r="AP458" s="211"/>
      <c r="AQ458" s="211"/>
      <c r="AR458" s="211"/>
      <c r="AS458" s="211"/>
      <c r="AT458" s="211"/>
      <c r="AU458" s="211"/>
      <c r="AV458" s="211"/>
      <c r="AW458" s="211"/>
      <c r="AX458" s="211"/>
      <c r="AY458" s="211" t="s">
        <v>662</v>
      </c>
      <c r="AZ458" s="211"/>
      <c r="BA458" s="211"/>
      <c r="BB458" s="211"/>
      <c r="BC458" s="211"/>
      <c r="BD458" s="211"/>
      <c r="BE458" s="211"/>
      <c r="BF458" s="211"/>
      <c r="BG458" s="211"/>
      <c r="BH458" s="211"/>
      <c r="BI458" s="211"/>
      <c r="BJ458" s="211"/>
      <c r="BK458" s="211"/>
      <c r="BL458" s="211"/>
      <c r="BM458" s="211"/>
      <c r="BN458" s="211"/>
      <c r="BO458" s="211"/>
      <c r="BP458" s="211"/>
      <c r="BQ458" s="211"/>
      <c r="BR458" s="211"/>
      <c r="BS458" s="211"/>
      <c r="BT458" s="211"/>
      <c r="BU458" s="211"/>
      <c r="BV458" s="211"/>
      <c r="BW458" s="211"/>
      <c r="BX458" s="211"/>
      <c r="BY458" s="211"/>
      <c r="BZ458" s="211"/>
      <c r="CA458" s="211"/>
      <c r="CB458" s="403">
        <f>[3]Activities!C18*((0.69-0.65)/0.65)</f>
        <v>0.37803076923076845</v>
      </c>
      <c r="CC458" s="403">
        <f>[3]Activities!D18*((0.69-0.65)/0.65)</f>
        <v>0.37803076923076845</v>
      </c>
      <c r="CD458" s="403">
        <f>[3]Activities!E18*((0.69-0.65)/0.65)</f>
        <v>0.37803076923076845</v>
      </c>
      <c r="CE458" s="403">
        <f>[3]Activities!F18*((0.69-0.65)/0.65)</f>
        <v>0.37803076923076845</v>
      </c>
      <c r="CF458" s="403">
        <f>[3]Activities!G18*((0.69-0.65)/0.65)</f>
        <v>0.37803076923076845</v>
      </c>
      <c r="CG458" s="403">
        <f>[3]Activities!H18*((0.69-0.65)/0.65)</f>
        <v>0.37803076923076845</v>
      </c>
      <c r="CH458" s="403">
        <f>[3]Activities!I18*((0.69-0.65)/0.65)</f>
        <v>0.37803076923076845</v>
      </c>
      <c r="CI458" s="211"/>
      <c r="CJ458" s="211"/>
      <c r="CK458" s="211"/>
      <c r="CL458" s="211"/>
      <c r="CM458" s="211"/>
      <c r="CN458" s="211"/>
      <c r="CO458" s="211"/>
      <c r="CP458" s="396"/>
      <c r="CQ458" s="396"/>
      <c r="CR458" s="396"/>
      <c r="CS458" s="396"/>
      <c r="CT458" s="396"/>
      <c r="CU458" s="396"/>
      <c r="CV458" s="211"/>
      <c r="CW458" s="356"/>
      <c r="CX458" s="356"/>
      <c r="CY458" s="356"/>
      <c r="CZ458" s="356"/>
      <c r="DA458" s="356"/>
      <c r="DB458" s="356"/>
      <c r="DC458" s="356"/>
      <c r="DD458" s="356"/>
      <c r="DE458" s="356"/>
      <c r="DF458" s="356"/>
      <c r="DG458" s="356"/>
      <c r="DH458" s="356"/>
      <c r="DI458" s="356"/>
      <c r="DJ458" s="356"/>
      <c r="DK458" s="211"/>
      <c r="DL458" s="356"/>
      <c r="DM458" s="356"/>
      <c r="DN458" s="356"/>
      <c r="DO458" s="356"/>
      <c r="DP458" s="356"/>
      <c r="DQ458" s="356"/>
      <c r="DR458" s="356"/>
      <c r="DT458" s="360"/>
      <c r="DU458" s="360"/>
      <c r="DV458" s="360"/>
      <c r="DW458" s="360"/>
      <c r="DX458" s="360"/>
      <c r="DY458" s="360"/>
      <c r="DZ458" s="360"/>
      <c r="EA458" s="360"/>
      <c r="EB458" s="360"/>
      <c r="EC458" s="360"/>
      <c r="ED458" s="360"/>
      <c r="EE458" s="360"/>
      <c r="EF458" s="360"/>
      <c r="EG458" s="360"/>
      <c r="EH458" s="360"/>
      <c r="EI458" s="360"/>
      <c r="EJ458" s="360"/>
      <c r="EK458" s="360"/>
      <c r="EL458" s="360"/>
      <c r="EM458" s="360"/>
      <c r="EN458" s="360"/>
      <c r="EO458" s="360"/>
      <c r="EP458" s="360"/>
      <c r="EQ458" s="360"/>
    </row>
    <row r="459" spans="1:147" x14ac:dyDescent="0.35">
      <c r="A459" s="1" t="s">
        <v>2090</v>
      </c>
      <c r="B459" s="1" t="s">
        <v>740</v>
      </c>
      <c r="C459" s="1" t="s">
        <v>655</v>
      </c>
      <c r="D459" s="1" t="s">
        <v>741</v>
      </c>
      <c r="E459" s="1" t="s">
        <v>741</v>
      </c>
      <c r="F459" s="1" t="s">
        <v>367</v>
      </c>
      <c r="G459" s="49" t="s">
        <v>2091</v>
      </c>
      <c r="H459" s="356" t="s">
        <v>917</v>
      </c>
      <c r="I459" s="401">
        <f>I102*2</f>
        <v>9479.3131424477615</v>
      </c>
      <c r="J459" s="401">
        <f>J102*2</f>
        <v>9479.3131424477615</v>
      </c>
      <c r="K459" s="401">
        <f>K102*2</f>
        <v>9479.3131424477615</v>
      </c>
      <c r="L459" s="401">
        <f>L102*2</f>
        <v>9479.3131424477615</v>
      </c>
      <c r="M459" s="401">
        <f>M102*2</f>
        <v>9479.3131424477615</v>
      </c>
      <c r="N459" s="401">
        <f>N102*2</f>
        <v>9479.3131424477615</v>
      </c>
      <c r="O459" s="401">
        <f>O102*2</f>
        <v>9479.3131424477615</v>
      </c>
      <c r="P459" s="211"/>
      <c r="Q459" s="402">
        <f>I459*0.05</f>
        <v>473.96565712238811</v>
      </c>
      <c r="R459" s="402">
        <f t="shared" si="359"/>
        <v>473.96565712238811</v>
      </c>
      <c r="S459" s="402">
        <f t="shared" si="359"/>
        <v>473.96565712238811</v>
      </c>
      <c r="T459" s="402">
        <f t="shared" si="359"/>
        <v>473.96565712238811</v>
      </c>
      <c r="U459" s="402">
        <f t="shared" si="359"/>
        <v>473.96565712238811</v>
      </c>
      <c r="V459" s="402">
        <f t="shared" si="359"/>
        <v>473.96565712238811</v>
      </c>
      <c r="W459" s="402">
        <f t="shared" si="359"/>
        <v>473.96565712238811</v>
      </c>
      <c r="X459" s="211">
        <v>0</v>
      </c>
      <c r="Y459" s="211">
        <v>0</v>
      </c>
      <c r="Z459" s="211">
        <v>0</v>
      </c>
      <c r="AA459" s="211">
        <v>0</v>
      </c>
      <c r="AB459" s="211">
        <v>0</v>
      </c>
      <c r="AC459" s="211">
        <v>0</v>
      </c>
      <c r="AD459" s="211">
        <v>0</v>
      </c>
      <c r="AE459" s="186">
        <v>0.08</v>
      </c>
      <c r="AF459" s="211"/>
      <c r="AG459" s="211">
        <v>1</v>
      </c>
      <c r="AH459" s="211">
        <v>1</v>
      </c>
      <c r="AI459" s="211">
        <v>1</v>
      </c>
      <c r="AJ459" s="211" t="s">
        <v>662</v>
      </c>
      <c r="AK459" s="211" t="s">
        <v>745</v>
      </c>
      <c r="AL459" s="211"/>
      <c r="AM459" s="211"/>
      <c r="AN459" s="211"/>
      <c r="AO459" s="211"/>
      <c r="AP459" s="211"/>
      <c r="AQ459" s="211"/>
      <c r="AR459" s="211"/>
      <c r="AS459" s="211"/>
      <c r="AT459" s="211"/>
      <c r="AU459" s="211"/>
      <c r="AV459" s="211"/>
      <c r="AW459" s="211"/>
      <c r="AX459" s="211"/>
      <c r="AY459" s="211" t="s">
        <v>662</v>
      </c>
      <c r="AZ459" s="211"/>
      <c r="BA459" s="211"/>
      <c r="BB459" s="211"/>
      <c r="BC459" s="211"/>
      <c r="BD459" s="211"/>
      <c r="BE459" s="211"/>
      <c r="BF459" s="211"/>
      <c r="BG459" s="211"/>
      <c r="BH459" s="211"/>
      <c r="BI459" s="211"/>
      <c r="BJ459" s="211"/>
      <c r="BK459" s="211"/>
      <c r="BL459" s="211"/>
      <c r="BM459" s="211"/>
      <c r="BN459" s="211"/>
      <c r="BO459" s="211"/>
      <c r="BP459" s="211"/>
      <c r="BQ459" s="211"/>
      <c r="BR459" s="211"/>
      <c r="BS459" s="211"/>
      <c r="BT459" s="211"/>
      <c r="BU459" s="211"/>
      <c r="BV459" s="211"/>
      <c r="BW459" s="211"/>
      <c r="BX459" s="211"/>
      <c r="BY459" s="211"/>
      <c r="BZ459" s="211"/>
      <c r="CA459" s="211"/>
      <c r="CB459" s="403">
        <f>[3]Activities!C36*(0.95-0.9)/0.9</f>
        <v>5.1111111111111045E-2</v>
      </c>
      <c r="CC459" s="403">
        <f>[3]Activities!D36*(0.95-0.9)/0.9</f>
        <v>5.1111111111111045E-2</v>
      </c>
      <c r="CD459" s="403">
        <f>[3]Activities!E36*(0.95-0.9)/0.9</f>
        <v>5.1111111111111045E-2</v>
      </c>
      <c r="CE459" s="403">
        <f>[3]Activities!F36*(0.95-0.9)/0.9</f>
        <v>5.1111111111111045E-2</v>
      </c>
      <c r="CF459" s="403">
        <f>[3]Activities!G36*(0.95-0.9)/0.9</f>
        <v>5.1111111111111045E-2</v>
      </c>
      <c r="CG459" s="403">
        <f>[3]Activities!H36*(0.95-0.9)/0.9</f>
        <v>5.1111111111111045E-2</v>
      </c>
      <c r="CH459" s="403">
        <f>[3]Activities!I36*(0.95-0.9)/0.9</f>
        <v>5.1111111111111045E-2</v>
      </c>
      <c r="CI459" s="211"/>
      <c r="CJ459" s="211"/>
      <c r="CK459" s="211"/>
      <c r="CL459" s="211"/>
      <c r="CM459" s="211"/>
      <c r="CN459" s="211"/>
      <c r="CO459" s="211"/>
      <c r="CP459" s="396"/>
      <c r="CQ459" s="396"/>
      <c r="CR459" s="396"/>
      <c r="CS459" s="396"/>
      <c r="CT459" s="396"/>
      <c r="CU459" s="396"/>
      <c r="CV459" s="211"/>
      <c r="CW459" s="356"/>
      <c r="CX459" s="356"/>
      <c r="CY459" s="356"/>
      <c r="CZ459" s="356"/>
      <c r="DA459" s="356"/>
      <c r="DB459" s="356"/>
      <c r="DC459" s="356"/>
      <c r="DD459" s="356"/>
      <c r="DE459" s="356"/>
      <c r="DF459" s="356"/>
      <c r="DG459" s="356"/>
      <c r="DH459" s="356"/>
      <c r="DI459" s="356"/>
      <c r="DJ459" s="356"/>
      <c r="DK459" s="211"/>
      <c r="DL459" s="356"/>
      <c r="DM459" s="356"/>
      <c r="DN459" s="356"/>
      <c r="DO459" s="356"/>
      <c r="DP459" s="356"/>
      <c r="DQ459" s="356"/>
      <c r="DR459" s="356"/>
      <c r="DT459" s="360"/>
      <c r="DU459" s="360"/>
      <c r="DV459" s="360"/>
      <c r="DW459" s="360"/>
      <c r="DX459" s="360"/>
      <c r="DY459" s="360"/>
      <c r="DZ459" s="360"/>
      <c r="EA459" s="360"/>
      <c r="EB459" s="360"/>
      <c r="EC459" s="360"/>
      <c r="ED459" s="360"/>
      <c r="EE459" s="360"/>
      <c r="EF459" s="360"/>
      <c r="EG459" s="360"/>
      <c r="EH459" s="360"/>
      <c r="EI459" s="360"/>
      <c r="EJ459" s="360"/>
      <c r="EK459" s="360"/>
      <c r="EL459" s="360"/>
      <c r="EM459" s="360"/>
      <c r="EN459" s="360"/>
      <c r="EO459" s="360"/>
      <c r="EP459" s="360"/>
      <c r="EQ459" s="360"/>
    </row>
    <row r="460" spans="1:147" x14ac:dyDescent="0.35">
      <c r="A460" s="1" t="s">
        <v>2092</v>
      </c>
      <c r="C460" s="1" t="s">
        <v>817</v>
      </c>
      <c r="D460" s="1" t="s">
        <v>419</v>
      </c>
      <c r="E460" s="1" t="s">
        <v>2049</v>
      </c>
      <c r="F460" s="1" t="s">
        <v>2037</v>
      </c>
      <c r="G460" s="49" t="s">
        <v>2093</v>
      </c>
      <c r="H460" s="356" t="s">
        <v>917</v>
      </c>
      <c r="I460" s="211">
        <v>0</v>
      </c>
      <c r="J460" s="211">
        <v>0</v>
      </c>
      <c r="K460" s="211">
        <v>0</v>
      </c>
      <c r="L460" s="211">
        <v>0</v>
      </c>
      <c r="M460" s="211">
        <v>0</v>
      </c>
      <c r="N460" s="211">
        <v>0</v>
      </c>
      <c r="O460" s="211">
        <v>0</v>
      </c>
      <c r="P460" s="211"/>
      <c r="Q460" s="211">
        <v>0</v>
      </c>
      <c r="R460" s="211">
        <v>0</v>
      </c>
      <c r="S460" s="211">
        <v>0</v>
      </c>
      <c r="T460" s="211">
        <v>0</v>
      </c>
      <c r="U460" s="211">
        <v>0</v>
      </c>
      <c r="V460" s="211">
        <v>0</v>
      </c>
      <c r="W460" s="211">
        <v>0</v>
      </c>
      <c r="X460" s="211">
        <f>[1]Commodity_prices_MEUR2019!C$50</f>
        <v>62.502804434920336</v>
      </c>
      <c r="Y460" s="211">
        <f>[1]Commodity_prices_MEUR2019!D$50</f>
        <v>62.502804434920336</v>
      </c>
      <c r="Z460" s="211">
        <f>[1]Commodity_prices_MEUR2019!E$50</f>
        <v>62.502804434920336</v>
      </c>
      <c r="AA460" s="211">
        <f>[1]Commodity_prices_MEUR2019!F$50</f>
        <v>62.502804434920336</v>
      </c>
      <c r="AB460" s="211">
        <f>[1]Commodity_prices_MEUR2019!G$50</f>
        <v>62.502804434920336</v>
      </c>
      <c r="AC460" s="211">
        <f>[1]Commodity_prices_MEUR2019!H$50</f>
        <v>62.502804434920336</v>
      </c>
      <c r="AD460" s="211">
        <f>[1]Commodity_prices_MEUR2019!I$50</f>
        <v>62.502804434920336</v>
      </c>
      <c r="AE460" s="186">
        <v>0.08</v>
      </c>
      <c r="AF460" s="211"/>
      <c r="AG460" s="211">
        <v>1</v>
      </c>
      <c r="AH460" s="211">
        <v>1</v>
      </c>
      <c r="AI460" s="211">
        <v>1</v>
      </c>
      <c r="AJ460" s="211" t="s">
        <v>662</v>
      </c>
      <c r="AK460" s="211" t="s">
        <v>745</v>
      </c>
      <c r="AL460" s="211"/>
      <c r="AM460" s="211"/>
      <c r="AN460" s="211"/>
      <c r="AO460" s="211"/>
      <c r="AP460" s="211"/>
      <c r="AQ460" s="211"/>
      <c r="AR460" s="211"/>
      <c r="AS460" s="211"/>
      <c r="AT460" s="211"/>
      <c r="AU460" s="211"/>
      <c r="AV460" s="211"/>
      <c r="AW460" s="211"/>
      <c r="AX460" s="211"/>
      <c r="AY460" s="211" t="s">
        <v>662</v>
      </c>
      <c r="AZ460" s="211"/>
      <c r="BA460" s="211"/>
      <c r="BB460" s="211"/>
      <c r="BC460" s="211"/>
      <c r="BD460" s="211"/>
      <c r="BE460" s="211"/>
      <c r="BF460" s="211"/>
      <c r="BG460" s="211"/>
      <c r="BH460" s="211"/>
      <c r="BI460" s="211"/>
      <c r="BJ460" s="211"/>
      <c r="BK460" s="211"/>
      <c r="BL460" s="211"/>
      <c r="BM460" s="211"/>
      <c r="BN460" s="211"/>
      <c r="BO460" s="211"/>
      <c r="BP460" s="211"/>
      <c r="BQ460" s="211"/>
      <c r="BR460" s="211"/>
      <c r="BS460" s="211"/>
      <c r="BT460" s="211"/>
      <c r="BU460" s="211"/>
      <c r="BV460" s="211"/>
      <c r="BW460" s="211"/>
      <c r="BX460" s="211"/>
      <c r="BY460" s="211"/>
      <c r="BZ460" s="211"/>
      <c r="CA460" s="211"/>
      <c r="CB460" s="396">
        <f>1.35</f>
        <v>1.35</v>
      </c>
      <c r="CC460" s="396">
        <f t="shared" ref="CC460:CH460" si="370">1.35</f>
        <v>1.35</v>
      </c>
      <c r="CD460" s="396">
        <f t="shared" si="370"/>
        <v>1.35</v>
      </c>
      <c r="CE460" s="396">
        <f t="shared" si="370"/>
        <v>1.35</v>
      </c>
      <c r="CF460" s="396">
        <f t="shared" si="370"/>
        <v>1.35</v>
      </c>
      <c r="CG460" s="396">
        <f t="shared" si="370"/>
        <v>1.35</v>
      </c>
      <c r="CH460" s="396">
        <f t="shared" si="370"/>
        <v>1.35</v>
      </c>
      <c r="CI460" s="211"/>
      <c r="CJ460" s="211"/>
      <c r="CK460" s="211"/>
      <c r="CL460" s="211"/>
      <c r="CM460" s="211"/>
      <c r="CN460" s="211"/>
      <c r="CO460" s="211"/>
      <c r="CP460" s="396"/>
      <c r="CQ460" s="396"/>
      <c r="CR460" s="396"/>
      <c r="CS460" s="396"/>
      <c r="CT460" s="396"/>
      <c r="CU460" s="396"/>
      <c r="CV460" s="211"/>
      <c r="CW460" s="356"/>
      <c r="CX460" s="356"/>
      <c r="CY460" s="356"/>
      <c r="CZ460" s="356"/>
      <c r="DA460" s="356"/>
      <c r="DB460" s="356"/>
      <c r="DC460" s="356"/>
      <c r="DD460" s="356"/>
      <c r="DE460" s="356"/>
      <c r="DF460" s="356"/>
      <c r="DG460" s="356"/>
      <c r="DH460" s="356"/>
      <c r="DI460" s="356"/>
      <c r="DJ460" s="356"/>
      <c r="DK460" s="211"/>
      <c r="DL460" s="356"/>
      <c r="DM460" s="356"/>
      <c r="DN460" s="356"/>
      <c r="DO460" s="356"/>
      <c r="DP460" s="356"/>
      <c r="DQ460" s="356"/>
      <c r="DR460" s="356"/>
      <c r="DT460" s="360"/>
      <c r="DU460" s="360"/>
      <c r="DV460" s="360"/>
      <c r="DW460" s="360"/>
      <c r="DX460" s="360"/>
      <c r="DY460" s="360"/>
      <c r="DZ460" s="360"/>
      <c r="EA460" s="360"/>
      <c r="EB460" s="360"/>
      <c r="EC460" s="360"/>
      <c r="ED460" s="360"/>
      <c r="EE460" s="360"/>
      <c r="EF460" s="360"/>
      <c r="EG460" s="360"/>
      <c r="EH460" s="360"/>
      <c r="EI460" s="360"/>
      <c r="EJ460" s="360"/>
      <c r="EK460" s="360"/>
      <c r="EL460" s="360"/>
      <c r="EM460" s="360"/>
      <c r="EN460" s="360"/>
      <c r="EO460" s="360"/>
      <c r="EP460" s="360"/>
      <c r="EQ460" s="360"/>
    </row>
    <row r="461" spans="1:147" x14ac:dyDescent="0.35">
      <c r="A461" s="6" t="s">
        <v>1708</v>
      </c>
      <c r="B461" s="6" t="s">
        <v>654</v>
      </c>
      <c r="C461" s="6" t="s">
        <v>534</v>
      </c>
      <c r="D461" s="6" t="s">
        <v>656</v>
      </c>
      <c r="E461" s="6" t="s">
        <v>1709</v>
      </c>
      <c r="F461" s="6" t="s">
        <v>533</v>
      </c>
      <c r="G461" s="48" t="s">
        <v>533</v>
      </c>
      <c r="H461" s="48" t="s">
        <v>1162</v>
      </c>
      <c r="I461" s="102">
        <v>0</v>
      </c>
      <c r="J461" s="102">
        <v>0</v>
      </c>
      <c r="K461" s="102">
        <v>0</v>
      </c>
      <c r="L461" s="102">
        <v>0</v>
      </c>
      <c r="M461" s="102">
        <v>0</v>
      </c>
      <c r="N461" s="102">
        <v>0</v>
      </c>
      <c r="O461" s="102">
        <v>0</v>
      </c>
      <c r="P461" s="94"/>
      <c r="Q461" s="102">
        <v>0</v>
      </c>
      <c r="R461" s="102">
        <v>0</v>
      </c>
      <c r="S461" s="102">
        <v>0</v>
      </c>
      <c r="T461" s="102">
        <v>0</v>
      </c>
      <c r="U461" s="102">
        <v>0</v>
      </c>
      <c r="V461" s="102">
        <v>0</v>
      </c>
      <c r="W461" s="102">
        <v>0</v>
      </c>
      <c r="X461" s="102">
        <v>0</v>
      </c>
      <c r="Y461" s="102">
        <v>0</v>
      </c>
      <c r="Z461" s="102">
        <v>0</v>
      </c>
      <c r="AA461" s="102">
        <v>0</v>
      </c>
      <c r="AB461" s="102">
        <v>0</v>
      </c>
      <c r="AC461" s="102">
        <v>0</v>
      </c>
      <c r="AD461" s="102">
        <v>0</v>
      </c>
      <c r="AE461" s="186">
        <v>0.08</v>
      </c>
      <c r="AF461" s="94">
        <v>0</v>
      </c>
      <c r="AG461" s="94">
        <v>1</v>
      </c>
      <c r="AH461" s="94">
        <v>1</v>
      </c>
      <c r="AI461" s="17">
        <v>1</v>
      </c>
      <c r="AJ461" s="17" t="s">
        <v>662</v>
      </c>
      <c r="AK461" s="17" t="s">
        <v>745</v>
      </c>
      <c r="AL461" s="17"/>
      <c r="AM461" s="61"/>
      <c r="AN461" s="61"/>
      <c r="AO461" s="61"/>
      <c r="AP461" s="61"/>
      <c r="AQ461" s="61"/>
      <c r="AR461" s="61"/>
      <c r="AS461" s="64"/>
      <c r="AT461" s="64"/>
      <c r="AU461" s="64"/>
      <c r="AV461" s="132"/>
      <c r="AW461" s="132"/>
      <c r="AX461" s="132"/>
      <c r="AY461" s="28" t="s">
        <v>662</v>
      </c>
      <c r="AZ461" s="28"/>
      <c r="BA461" s="28"/>
      <c r="BB461" s="28"/>
      <c r="BC461" s="28"/>
      <c r="BD461" s="28"/>
      <c r="BE461" s="28"/>
      <c r="BF461" s="28"/>
      <c r="BG461" s="28"/>
      <c r="BH461" s="106"/>
      <c r="BI461" s="106"/>
      <c r="BJ461" s="106"/>
      <c r="BK461" s="106"/>
      <c r="BL461" s="137"/>
      <c r="BM461" s="123"/>
      <c r="BN461" s="139"/>
      <c r="BO461" s="94"/>
      <c r="BP461" s="94"/>
      <c r="BQ461" s="94"/>
      <c r="BR461" s="94"/>
      <c r="BS461" s="94"/>
      <c r="BT461" s="94"/>
      <c r="BU461" s="28">
        <f t="shared" si="337"/>
        <v>0</v>
      </c>
      <c r="BV461" s="28"/>
      <c r="BW461" s="28"/>
      <c r="BX461" s="28"/>
      <c r="BY461" s="28"/>
      <c r="BZ461" s="28"/>
      <c r="CA461" s="28"/>
      <c r="CB461" s="99">
        <v>15</v>
      </c>
      <c r="CC461" s="99">
        <v>15</v>
      </c>
      <c r="CD461" s="99">
        <v>15</v>
      </c>
      <c r="CE461" s="99">
        <f t="shared" ref="CE461:CE498" si="371">ROUND((CD461+CF461)/2,2)</f>
        <v>15</v>
      </c>
      <c r="CF461" s="99">
        <f t="shared" ref="CF461:CF498" si="372">ROUND((CD461+CH461)/2,2)</f>
        <v>15</v>
      </c>
      <c r="CG461" s="99">
        <f t="shared" ref="CG461:CG498" si="373">ROUND((CF461+CH461)/2,2)</f>
        <v>15</v>
      </c>
      <c r="CH461" s="99">
        <v>15</v>
      </c>
      <c r="CI461" s="175"/>
      <c r="CJ461" s="175"/>
      <c r="CK461" s="175"/>
      <c r="CL461" s="175"/>
      <c r="CM461" s="175"/>
      <c r="CN461" s="175"/>
      <c r="CO461" s="175"/>
      <c r="CP461" s="176"/>
      <c r="CQ461" s="176"/>
      <c r="CR461" s="176"/>
      <c r="CS461" s="176"/>
      <c r="CT461" s="176"/>
      <c r="CU461" s="176"/>
      <c r="CV461" s="176"/>
      <c r="CW461" s="167"/>
      <c r="CX461" s="168"/>
      <c r="CY461" s="168"/>
      <c r="CZ461" s="168"/>
      <c r="DA461" s="168"/>
      <c r="DB461" s="168"/>
      <c r="DC461" s="168"/>
      <c r="DD461" s="172"/>
      <c r="DE461" s="172"/>
      <c r="DF461" s="172"/>
      <c r="DG461" s="172"/>
      <c r="DH461" s="172"/>
      <c r="DI461" s="172"/>
      <c r="DJ461" s="172"/>
      <c r="DK461" s="80" t="s">
        <v>415</v>
      </c>
      <c r="DL461" s="129"/>
      <c r="DM461" s="129"/>
      <c r="DN461" s="129"/>
      <c r="DO461" s="129"/>
      <c r="DP461" s="129"/>
      <c r="DQ461" s="129"/>
      <c r="DR461" s="129"/>
      <c r="DS461" s="218"/>
      <c r="DT461" s="360"/>
      <c r="DU461" s="360"/>
      <c r="DV461" s="360"/>
      <c r="DW461" s="360"/>
      <c r="DX461" s="360"/>
      <c r="DY461" s="360"/>
      <c r="DZ461" s="360"/>
      <c r="EA461" s="360"/>
      <c r="EB461" s="360"/>
      <c r="EC461" s="360"/>
      <c r="ED461" s="360"/>
      <c r="EE461" s="360"/>
      <c r="EF461" s="360"/>
      <c r="EG461" s="360"/>
      <c r="EH461" s="360"/>
      <c r="EI461" s="360"/>
      <c r="EJ461" s="360"/>
      <c r="EK461" s="360"/>
      <c r="EL461" s="360"/>
      <c r="EM461" s="360"/>
      <c r="EN461" s="360"/>
      <c r="EO461" s="360"/>
      <c r="EP461" s="360"/>
      <c r="EQ461" s="360"/>
    </row>
    <row r="462" spans="1:147" x14ac:dyDescent="0.35">
      <c r="A462" s="5" t="s">
        <v>1710</v>
      </c>
      <c r="B462" s="5" t="s">
        <v>654</v>
      </c>
      <c r="C462" s="5" t="s">
        <v>534</v>
      </c>
      <c r="D462" s="5" t="s">
        <v>656</v>
      </c>
      <c r="E462" s="5" t="s">
        <v>1709</v>
      </c>
      <c r="F462" s="5" t="s">
        <v>533</v>
      </c>
      <c r="G462" s="47" t="s">
        <v>1711</v>
      </c>
      <c r="H462" s="47" t="s">
        <v>1162</v>
      </c>
      <c r="I462" s="101">
        <v>250</v>
      </c>
      <c r="J462" s="101">
        <v>250</v>
      </c>
      <c r="K462" s="101">
        <v>250</v>
      </c>
      <c r="L462" s="101">
        <v>250</v>
      </c>
      <c r="M462" s="101">
        <v>250</v>
      </c>
      <c r="N462" s="101">
        <v>250</v>
      </c>
      <c r="O462" s="101">
        <v>250</v>
      </c>
      <c r="P462" s="93">
        <v>0</v>
      </c>
      <c r="Q462" s="101">
        <v>0</v>
      </c>
      <c r="R462" s="101">
        <v>0</v>
      </c>
      <c r="S462" s="101">
        <v>0</v>
      </c>
      <c r="T462" s="101">
        <v>0</v>
      </c>
      <c r="U462" s="101">
        <v>0</v>
      </c>
      <c r="V462" s="101">
        <v>0</v>
      </c>
      <c r="W462" s="101">
        <v>0</v>
      </c>
      <c r="X462" s="101">
        <v>0</v>
      </c>
      <c r="Y462" s="101">
        <v>0</v>
      </c>
      <c r="Z462" s="101">
        <v>0</v>
      </c>
      <c r="AA462" s="101">
        <v>0</v>
      </c>
      <c r="AB462" s="101">
        <v>0</v>
      </c>
      <c r="AC462" s="101">
        <v>0</v>
      </c>
      <c r="AD462" s="101">
        <v>0</v>
      </c>
      <c r="AE462" s="186">
        <v>0.08</v>
      </c>
      <c r="AF462" s="93">
        <v>0</v>
      </c>
      <c r="AG462" s="93">
        <v>20</v>
      </c>
      <c r="AH462" s="93">
        <v>20</v>
      </c>
      <c r="AI462" s="16">
        <v>1</v>
      </c>
      <c r="AJ462" s="16" t="s">
        <v>662</v>
      </c>
      <c r="AK462" s="16" t="s">
        <v>745</v>
      </c>
      <c r="AL462" s="16"/>
      <c r="AM462" s="60"/>
      <c r="AN462" s="60"/>
      <c r="AO462" s="60"/>
      <c r="AP462" s="60"/>
      <c r="AQ462" s="60"/>
      <c r="AR462" s="60"/>
      <c r="AS462" s="63"/>
      <c r="AT462" s="63"/>
      <c r="AU462" s="63"/>
      <c r="AV462" s="131"/>
      <c r="AW462" s="131"/>
      <c r="AX462" s="131"/>
      <c r="AY462" s="27" t="s">
        <v>662</v>
      </c>
      <c r="AZ462" s="27"/>
      <c r="BA462" s="27"/>
      <c r="BB462" s="30"/>
      <c r="BC462" s="30"/>
      <c r="BD462" s="30"/>
      <c r="BE462" s="30"/>
      <c r="BF462" s="30"/>
      <c r="BG462" s="30"/>
      <c r="BH462" s="107"/>
      <c r="BI462" s="107"/>
      <c r="BJ462" s="107"/>
      <c r="BK462" s="107"/>
      <c r="BL462" s="136"/>
      <c r="BM462" s="122"/>
      <c r="BN462" s="138">
        <v>0</v>
      </c>
      <c r="BO462" s="93"/>
      <c r="BP462" s="93"/>
      <c r="BQ462" s="93"/>
      <c r="BR462" s="93"/>
      <c r="BS462" s="93"/>
      <c r="BT462" s="93"/>
      <c r="BU462" s="27">
        <f t="shared" si="337"/>
        <v>0</v>
      </c>
      <c r="BV462" s="27"/>
      <c r="BW462" s="27"/>
      <c r="BX462" s="27"/>
      <c r="BY462" s="27"/>
      <c r="BZ462" s="27"/>
      <c r="CA462" s="27"/>
      <c r="CB462" s="97">
        <v>0</v>
      </c>
      <c r="CC462" s="185">
        <v>1</v>
      </c>
      <c r="CD462" s="185">
        <v>2</v>
      </c>
      <c r="CE462" s="185">
        <v>3</v>
      </c>
      <c r="CF462" s="185">
        <v>4</v>
      </c>
      <c r="CG462" s="185">
        <v>5</v>
      </c>
      <c r="CH462" s="185">
        <f>CH461/3</f>
        <v>5</v>
      </c>
      <c r="CI462" s="173"/>
      <c r="CJ462" s="173"/>
      <c r="CK462" s="173"/>
      <c r="CL462" s="173"/>
      <c r="CM462" s="173"/>
      <c r="CN462" s="173"/>
      <c r="CO462" s="173"/>
      <c r="CP462" s="174"/>
      <c r="CQ462" s="174"/>
      <c r="CR462" s="174"/>
      <c r="CS462" s="174"/>
      <c r="CT462" s="174"/>
      <c r="CU462" s="174"/>
      <c r="CV462" s="174"/>
      <c r="CW462" s="165"/>
      <c r="CX462" s="166"/>
      <c r="CY462" s="166"/>
      <c r="CZ462" s="166"/>
      <c r="DA462" s="166"/>
      <c r="DB462" s="166"/>
      <c r="DC462" s="166"/>
      <c r="DD462" s="171"/>
      <c r="DE462" s="171"/>
      <c r="DF462" s="171"/>
      <c r="DG462" s="171"/>
      <c r="DH462" s="171"/>
      <c r="DI462" s="171"/>
      <c r="DJ462" s="171"/>
      <c r="DK462" s="79" t="s">
        <v>415</v>
      </c>
      <c r="DL462" s="128"/>
      <c r="DM462" s="128"/>
      <c r="DN462" s="128"/>
      <c r="DO462" s="128"/>
      <c r="DP462" s="128"/>
      <c r="DQ462" s="128"/>
      <c r="DR462" s="128"/>
      <c r="DS462" s="218"/>
      <c r="DT462" s="360"/>
      <c r="DU462" s="360"/>
      <c r="DV462" s="360"/>
      <c r="DW462" s="360"/>
      <c r="DX462" s="360"/>
      <c r="DY462" s="360"/>
      <c r="DZ462" s="360"/>
      <c r="EA462" s="360"/>
      <c r="EB462" s="360"/>
      <c r="EC462" s="360"/>
      <c r="ED462" s="360"/>
      <c r="EE462" s="360"/>
      <c r="EF462" s="360"/>
      <c r="EG462" s="360"/>
      <c r="EH462" s="360"/>
      <c r="EI462" s="360"/>
      <c r="EJ462" s="360"/>
      <c r="EK462" s="360"/>
      <c r="EL462" s="360"/>
      <c r="EM462" s="360"/>
      <c r="EN462" s="360"/>
      <c r="EO462" s="360"/>
      <c r="EP462" s="360"/>
      <c r="EQ462" s="360"/>
    </row>
    <row r="463" spans="1:147" x14ac:dyDescent="0.35">
      <c r="A463" s="6" t="s">
        <v>1712</v>
      </c>
      <c r="B463" s="6" t="s">
        <v>654</v>
      </c>
      <c r="C463" s="6" t="s">
        <v>534</v>
      </c>
      <c r="D463" s="6" t="s">
        <v>708</v>
      </c>
      <c r="E463" s="6" t="s">
        <v>1713</v>
      </c>
      <c r="F463" s="6" t="s">
        <v>535</v>
      </c>
      <c r="G463" s="48" t="s">
        <v>535</v>
      </c>
      <c r="H463" s="48" t="s">
        <v>1162</v>
      </c>
      <c r="I463" s="102">
        <v>0</v>
      </c>
      <c r="J463" s="102">
        <v>0</v>
      </c>
      <c r="K463" s="102">
        <v>0</v>
      </c>
      <c r="L463" s="102">
        <v>0</v>
      </c>
      <c r="M463" s="102">
        <v>0</v>
      </c>
      <c r="N463" s="102">
        <v>0</v>
      </c>
      <c r="O463" s="102">
        <v>0</v>
      </c>
      <c r="P463" s="94">
        <v>0</v>
      </c>
      <c r="Q463" s="102">
        <v>0</v>
      </c>
      <c r="R463" s="102">
        <v>0</v>
      </c>
      <c r="S463" s="102">
        <v>0</v>
      </c>
      <c r="T463" s="102">
        <v>0</v>
      </c>
      <c r="U463" s="102">
        <v>0</v>
      </c>
      <c r="V463" s="102">
        <v>0</v>
      </c>
      <c r="W463" s="102">
        <v>0</v>
      </c>
      <c r="X463" s="102">
        <v>0</v>
      </c>
      <c r="Y463" s="102">
        <v>0</v>
      </c>
      <c r="Z463" s="102">
        <v>0</v>
      </c>
      <c r="AA463" s="102">
        <v>0</v>
      </c>
      <c r="AB463" s="102">
        <v>0</v>
      </c>
      <c r="AC463" s="102">
        <v>0</v>
      </c>
      <c r="AD463" s="102">
        <v>0</v>
      </c>
      <c r="AE463" s="186">
        <v>0.08</v>
      </c>
      <c r="AF463" s="94">
        <v>0</v>
      </c>
      <c r="AG463" s="94">
        <v>1</v>
      </c>
      <c r="AH463" s="94">
        <v>1</v>
      </c>
      <c r="AI463" s="17">
        <v>1</v>
      </c>
      <c r="AJ463" s="17" t="s">
        <v>662</v>
      </c>
      <c r="AK463" s="17" t="s">
        <v>745</v>
      </c>
      <c r="AL463" s="17"/>
      <c r="AM463" s="61"/>
      <c r="AN463" s="61"/>
      <c r="AO463" s="61"/>
      <c r="AP463" s="61"/>
      <c r="AQ463" s="61"/>
      <c r="AR463" s="61"/>
      <c r="AS463" s="64"/>
      <c r="AT463" s="64"/>
      <c r="AU463" s="64"/>
      <c r="AV463" s="132"/>
      <c r="AW463" s="132"/>
      <c r="AX463" s="132"/>
      <c r="AY463" s="28" t="s">
        <v>662</v>
      </c>
      <c r="AZ463" s="28"/>
      <c r="BA463" s="28"/>
      <c r="BB463" s="28"/>
      <c r="BC463" s="28"/>
      <c r="BD463" s="28"/>
      <c r="BE463" s="28"/>
      <c r="BF463" s="28"/>
      <c r="BG463" s="28"/>
      <c r="BH463" s="106"/>
      <c r="BI463" s="106"/>
      <c r="BJ463" s="106"/>
      <c r="BK463" s="106"/>
      <c r="BL463" s="137"/>
      <c r="BM463" s="123"/>
      <c r="BN463" s="139"/>
      <c r="BO463" s="94"/>
      <c r="BP463" s="94"/>
      <c r="BQ463" s="94"/>
      <c r="BR463" s="94"/>
      <c r="BS463" s="94"/>
      <c r="BT463" s="94"/>
      <c r="BU463" s="28">
        <f t="shared" ref="BU463" si="374">IF(BL463=1,BN463,0)</f>
        <v>0</v>
      </c>
      <c r="BV463" s="28"/>
      <c r="BW463" s="28"/>
      <c r="BX463" s="28"/>
      <c r="BY463" s="28"/>
      <c r="BZ463" s="28"/>
      <c r="CA463" s="28"/>
      <c r="CB463" s="99">
        <v>20</v>
      </c>
      <c r="CC463" s="99">
        <v>20</v>
      </c>
      <c r="CD463" s="99">
        <v>20</v>
      </c>
      <c r="CE463" s="99">
        <f t="shared" si="371"/>
        <v>20</v>
      </c>
      <c r="CF463" s="99">
        <f t="shared" si="372"/>
        <v>20</v>
      </c>
      <c r="CG463" s="99">
        <f t="shared" si="373"/>
        <v>20</v>
      </c>
      <c r="CH463" s="99">
        <v>20</v>
      </c>
      <c r="CI463" s="175"/>
      <c r="CJ463" s="175"/>
      <c r="CK463" s="175"/>
      <c r="CL463" s="175"/>
      <c r="CM463" s="175"/>
      <c r="CN463" s="175"/>
      <c r="CO463" s="175"/>
      <c r="CP463" s="176"/>
      <c r="CQ463" s="176"/>
      <c r="CR463" s="176"/>
      <c r="CS463" s="176"/>
      <c r="CT463" s="176"/>
      <c r="CU463" s="176"/>
      <c r="CV463" s="176"/>
      <c r="CW463" s="167"/>
      <c r="CX463" s="168"/>
      <c r="CY463" s="168"/>
      <c r="CZ463" s="168"/>
      <c r="DA463" s="168"/>
      <c r="DB463" s="168"/>
      <c r="DC463" s="168"/>
      <c r="DD463" s="172"/>
      <c r="DE463" s="172"/>
      <c r="DF463" s="172"/>
      <c r="DG463" s="172"/>
      <c r="DH463" s="172"/>
      <c r="DI463" s="172"/>
      <c r="DJ463" s="172"/>
      <c r="DK463" s="80" t="s">
        <v>415</v>
      </c>
      <c r="DL463" s="129"/>
      <c r="DM463" s="129"/>
      <c r="DN463" s="129"/>
      <c r="DO463" s="129"/>
      <c r="DP463" s="129"/>
      <c r="DQ463" s="129"/>
      <c r="DR463" s="129"/>
      <c r="DS463" s="218"/>
      <c r="DT463" s="360"/>
      <c r="DU463" s="360"/>
      <c r="DV463" s="360"/>
      <c r="DW463" s="360"/>
      <c r="DX463" s="360"/>
      <c r="DY463" s="360"/>
      <c r="DZ463" s="360"/>
      <c r="EA463" s="360"/>
      <c r="EB463" s="360"/>
      <c r="EC463" s="360"/>
      <c r="ED463" s="360"/>
      <c r="EE463" s="360"/>
      <c r="EF463" s="360"/>
      <c r="EG463" s="360"/>
      <c r="EH463" s="360"/>
      <c r="EI463" s="360"/>
      <c r="EJ463" s="360"/>
      <c r="EK463" s="360"/>
      <c r="EL463" s="360"/>
      <c r="EM463" s="360"/>
      <c r="EN463" s="360"/>
      <c r="EO463" s="360"/>
      <c r="EP463" s="360"/>
      <c r="EQ463" s="360"/>
    </row>
    <row r="464" spans="1:147" x14ac:dyDescent="0.35">
      <c r="A464" s="5" t="s">
        <v>1714</v>
      </c>
      <c r="B464" s="5" t="s">
        <v>654</v>
      </c>
      <c r="C464" s="5" t="s">
        <v>534</v>
      </c>
      <c r="D464" s="5" t="s">
        <v>708</v>
      </c>
      <c r="E464" s="5" t="s">
        <v>1713</v>
      </c>
      <c r="F464" s="5" t="s">
        <v>535</v>
      </c>
      <c r="G464" s="47" t="s">
        <v>1715</v>
      </c>
      <c r="H464" s="47" t="s">
        <v>1162</v>
      </c>
      <c r="I464" s="101">
        <v>125</v>
      </c>
      <c r="J464" s="101">
        <v>125</v>
      </c>
      <c r="K464" s="101">
        <v>125</v>
      </c>
      <c r="L464" s="101">
        <v>125</v>
      </c>
      <c r="M464" s="101">
        <v>125</v>
      </c>
      <c r="N464" s="101">
        <v>125</v>
      </c>
      <c r="O464" s="101">
        <v>125</v>
      </c>
      <c r="P464" s="93">
        <v>0</v>
      </c>
      <c r="Q464" s="101">
        <v>0</v>
      </c>
      <c r="R464" s="101">
        <v>0</v>
      </c>
      <c r="S464" s="101">
        <v>0</v>
      </c>
      <c r="T464" s="101">
        <v>0</v>
      </c>
      <c r="U464" s="101">
        <v>0</v>
      </c>
      <c r="V464" s="101">
        <v>0</v>
      </c>
      <c r="W464" s="101">
        <v>0</v>
      </c>
      <c r="X464" s="101">
        <v>0</v>
      </c>
      <c r="Y464" s="101">
        <v>0</v>
      </c>
      <c r="Z464" s="101">
        <v>0</v>
      </c>
      <c r="AA464" s="101">
        <v>0</v>
      </c>
      <c r="AB464" s="101">
        <v>0</v>
      </c>
      <c r="AC464" s="101">
        <v>0</v>
      </c>
      <c r="AD464" s="101">
        <v>0</v>
      </c>
      <c r="AE464" s="186">
        <v>0.08</v>
      </c>
      <c r="AF464" s="93">
        <v>0</v>
      </c>
      <c r="AG464" s="93">
        <v>20</v>
      </c>
      <c r="AH464" s="93">
        <v>20</v>
      </c>
      <c r="AI464" s="16">
        <v>1</v>
      </c>
      <c r="AJ464" s="16" t="s">
        <v>662</v>
      </c>
      <c r="AK464" s="16" t="s">
        <v>745</v>
      </c>
      <c r="AL464" s="16"/>
      <c r="AM464" s="60"/>
      <c r="AN464" s="60"/>
      <c r="AO464" s="60"/>
      <c r="AP464" s="60"/>
      <c r="AQ464" s="60"/>
      <c r="AR464" s="60"/>
      <c r="AS464" s="63"/>
      <c r="AT464" s="63"/>
      <c r="AU464" s="63"/>
      <c r="AV464" s="131"/>
      <c r="AW464" s="131"/>
      <c r="AX464" s="131"/>
      <c r="AY464" s="27" t="s">
        <v>662</v>
      </c>
      <c r="AZ464" s="27"/>
      <c r="BA464" s="27"/>
      <c r="BB464" s="30"/>
      <c r="BC464" s="30"/>
      <c r="BD464" s="30"/>
      <c r="BE464" s="30"/>
      <c r="BF464" s="30"/>
      <c r="BG464" s="30"/>
      <c r="BH464" s="107"/>
      <c r="BI464" s="107"/>
      <c r="BJ464" s="107"/>
      <c r="BK464" s="107"/>
      <c r="BL464" s="136"/>
      <c r="BM464" s="122"/>
      <c r="BN464" s="138">
        <v>0</v>
      </c>
      <c r="BO464" s="93"/>
      <c r="BP464" s="93"/>
      <c r="BQ464" s="93"/>
      <c r="BR464" s="93"/>
      <c r="BS464" s="93"/>
      <c r="BT464" s="93"/>
      <c r="BU464" s="27">
        <f t="shared" ref="BU464:BU466" si="375">IF(BL464=1,BN464,0)</f>
        <v>0</v>
      </c>
      <c r="BV464" s="27"/>
      <c r="BW464" s="27"/>
      <c r="BX464" s="27"/>
      <c r="BY464" s="27"/>
      <c r="BZ464" s="27"/>
      <c r="CA464" s="27"/>
      <c r="CB464" s="97"/>
      <c r="CC464" s="185">
        <v>1</v>
      </c>
      <c r="CD464" s="185">
        <v>2</v>
      </c>
      <c r="CE464" s="185">
        <v>3</v>
      </c>
      <c r="CF464" s="185">
        <v>4</v>
      </c>
      <c r="CG464" s="185">
        <v>5</v>
      </c>
      <c r="CH464" s="185">
        <f>CH463/3</f>
        <v>6.666666666666667</v>
      </c>
      <c r="CI464" s="173"/>
      <c r="CJ464" s="173"/>
      <c r="CK464" s="173"/>
      <c r="CL464" s="173"/>
      <c r="CM464" s="173"/>
      <c r="CN464" s="173"/>
      <c r="CO464" s="173"/>
      <c r="CP464" s="174"/>
      <c r="CQ464" s="174"/>
      <c r="CR464" s="174"/>
      <c r="CS464" s="174"/>
      <c r="CT464" s="174"/>
      <c r="CU464" s="174"/>
      <c r="CV464" s="174"/>
      <c r="CW464" s="165"/>
      <c r="CX464" s="166"/>
      <c r="CY464" s="166"/>
      <c r="CZ464" s="166"/>
      <c r="DA464" s="166"/>
      <c r="DB464" s="166"/>
      <c r="DC464" s="166"/>
      <c r="DD464" s="171"/>
      <c r="DE464" s="171"/>
      <c r="DF464" s="171"/>
      <c r="DG464" s="171"/>
      <c r="DH464" s="171"/>
      <c r="DI464" s="171"/>
      <c r="DJ464" s="171"/>
      <c r="DK464" s="79" t="s">
        <v>415</v>
      </c>
      <c r="DL464" s="128"/>
      <c r="DM464" s="128"/>
      <c r="DN464" s="128"/>
      <c r="DO464" s="128"/>
      <c r="DP464" s="128"/>
      <c r="DQ464" s="128"/>
      <c r="DR464" s="128"/>
      <c r="DS464" s="218"/>
      <c r="DT464" s="360"/>
      <c r="DU464" s="360"/>
      <c r="DV464" s="360"/>
      <c r="DW464" s="360"/>
      <c r="DX464" s="360"/>
      <c r="DY464" s="360"/>
      <c r="DZ464" s="360"/>
      <c r="EA464" s="360"/>
      <c r="EB464" s="360"/>
      <c r="EC464" s="360"/>
      <c r="ED464" s="360"/>
      <c r="EE464" s="360"/>
      <c r="EF464" s="360"/>
      <c r="EG464" s="360"/>
      <c r="EH464" s="360"/>
      <c r="EI464" s="360"/>
      <c r="EJ464" s="360"/>
      <c r="EK464" s="360"/>
      <c r="EL464" s="360"/>
      <c r="EM464" s="360"/>
      <c r="EN464" s="360"/>
      <c r="EO464" s="360"/>
      <c r="EP464" s="360"/>
      <c r="EQ464" s="360"/>
    </row>
    <row r="465" spans="1:147" x14ac:dyDescent="0.35">
      <c r="A465" s="6" t="s">
        <v>1716</v>
      </c>
      <c r="B465" s="6" t="s">
        <v>726</v>
      </c>
      <c r="C465" s="6" t="s">
        <v>534</v>
      </c>
      <c r="D465" s="6" t="s">
        <v>727</v>
      </c>
      <c r="E465" s="6" t="s">
        <v>1709</v>
      </c>
      <c r="F465" s="6" t="s">
        <v>536</v>
      </c>
      <c r="G465" s="48" t="s">
        <v>536</v>
      </c>
      <c r="H465" s="48" t="s">
        <v>1162</v>
      </c>
      <c r="I465" s="102">
        <v>0</v>
      </c>
      <c r="J465" s="102">
        <v>0</v>
      </c>
      <c r="K465" s="102">
        <v>0</v>
      </c>
      <c r="L465" s="102">
        <v>0</v>
      </c>
      <c r="M465" s="102">
        <v>0</v>
      </c>
      <c r="N465" s="102">
        <v>0</v>
      </c>
      <c r="O465" s="102">
        <v>0</v>
      </c>
      <c r="P465" s="94">
        <v>0</v>
      </c>
      <c r="Q465" s="102">
        <v>0</v>
      </c>
      <c r="R465" s="102">
        <v>0</v>
      </c>
      <c r="S465" s="102">
        <v>0</v>
      </c>
      <c r="T465" s="102">
        <v>0</v>
      </c>
      <c r="U465" s="102">
        <v>0</v>
      </c>
      <c r="V465" s="102">
        <v>0</v>
      </c>
      <c r="W465" s="102">
        <v>0</v>
      </c>
      <c r="X465" s="102">
        <v>0</v>
      </c>
      <c r="Y465" s="102">
        <v>0</v>
      </c>
      <c r="Z465" s="102">
        <v>0</v>
      </c>
      <c r="AA465" s="102">
        <v>0</v>
      </c>
      <c r="AB465" s="102">
        <v>0</v>
      </c>
      <c r="AC465" s="102">
        <v>0</v>
      </c>
      <c r="AD465" s="102">
        <v>0</v>
      </c>
      <c r="AE465" s="186">
        <v>0.08</v>
      </c>
      <c r="AF465" s="94">
        <v>0</v>
      </c>
      <c r="AG465" s="94">
        <v>1</v>
      </c>
      <c r="AH465" s="94">
        <v>1</v>
      </c>
      <c r="AI465" s="17">
        <v>1</v>
      </c>
      <c r="AJ465" s="17" t="s">
        <v>662</v>
      </c>
      <c r="AK465" s="17" t="s">
        <v>745</v>
      </c>
      <c r="AL465" s="17"/>
      <c r="AM465" s="61"/>
      <c r="AN465" s="61"/>
      <c r="AO465" s="61"/>
      <c r="AP465" s="61"/>
      <c r="AQ465" s="61"/>
      <c r="AR465" s="61"/>
      <c r="AS465" s="64"/>
      <c r="AT465" s="64"/>
      <c r="AU465" s="64"/>
      <c r="AV465" s="132"/>
      <c r="AW465" s="132"/>
      <c r="AX465" s="132"/>
      <c r="AY465" s="28" t="s">
        <v>662</v>
      </c>
      <c r="AZ465" s="28"/>
      <c r="BA465" s="28"/>
      <c r="BB465" s="28"/>
      <c r="BC465" s="28"/>
      <c r="BD465" s="28"/>
      <c r="BE465" s="28"/>
      <c r="BF465" s="28"/>
      <c r="BG465" s="28"/>
      <c r="BH465" s="106"/>
      <c r="BI465" s="106"/>
      <c r="BJ465" s="106"/>
      <c r="BK465" s="106"/>
      <c r="BL465" s="137"/>
      <c r="BM465" s="123"/>
      <c r="BN465" s="139"/>
      <c r="BO465" s="94"/>
      <c r="BP465" s="94"/>
      <c r="BQ465" s="94"/>
      <c r="BR465" s="94"/>
      <c r="BS465" s="94"/>
      <c r="BT465" s="94"/>
      <c r="BU465" s="28">
        <f t="shared" si="375"/>
        <v>0</v>
      </c>
      <c r="BV465" s="28"/>
      <c r="BW465" s="28"/>
      <c r="BX465" s="28"/>
      <c r="BY465" s="28"/>
      <c r="BZ465" s="28"/>
      <c r="CA465" s="28"/>
      <c r="CB465" s="99">
        <v>15</v>
      </c>
      <c r="CC465" s="99">
        <v>15</v>
      </c>
      <c r="CD465" s="99">
        <v>15</v>
      </c>
      <c r="CE465" s="99">
        <f t="shared" si="371"/>
        <v>15</v>
      </c>
      <c r="CF465" s="99">
        <f t="shared" si="372"/>
        <v>15</v>
      </c>
      <c r="CG465" s="99">
        <f t="shared" si="373"/>
        <v>15</v>
      </c>
      <c r="CH465" s="99">
        <v>15</v>
      </c>
      <c r="CI465" s="175"/>
      <c r="CJ465" s="175"/>
      <c r="CK465" s="175"/>
      <c r="CL465" s="175"/>
      <c r="CM465" s="175"/>
      <c r="CN465" s="175"/>
      <c r="CO465" s="175"/>
      <c r="CP465" s="176"/>
      <c r="CQ465" s="176"/>
      <c r="CR465" s="176"/>
      <c r="CS465" s="176"/>
      <c r="CT465" s="176"/>
      <c r="CU465" s="176"/>
      <c r="CV465" s="176"/>
      <c r="CW465" s="167"/>
      <c r="CX465" s="168"/>
      <c r="CY465" s="168"/>
      <c r="CZ465" s="168"/>
      <c r="DA465" s="168"/>
      <c r="DB465" s="168"/>
      <c r="DC465" s="168"/>
      <c r="DD465" s="172"/>
      <c r="DE465" s="172"/>
      <c r="DF465" s="172"/>
      <c r="DG465" s="172"/>
      <c r="DH465" s="172"/>
      <c r="DI465" s="172"/>
      <c r="DJ465" s="172"/>
      <c r="DK465" s="80" t="s">
        <v>415</v>
      </c>
      <c r="DL465" s="129"/>
      <c r="DM465" s="129"/>
      <c r="DN465" s="129"/>
      <c r="DO465" s="129"/>
      <c r="DP465" s="129"/>
      <c r="DQ465" s="129"/>
      <c r="DR465" s="129"/>
      <c r="DS465" s="218"/>
      <c r="DT465" s="360"/>
      <c r="DU465" s="360"/>
      <c r="DV465" s="360"/>
      <c r="DW465" s="360"/>
      <c r="DX465" s="360"/>
      <c r="DY465" s="360"/>
      <c r="DZ465" s="360"/>
      <c r="EA465" s="360"/>
      <c r="EB465" s="360"/>
      <c r="EC465" s="360"/>
      <c r="ED465" s="360"/>
      <c r="EE465" s="360"/>
      <c r="EF465" s="360"/>
      <c r="EG465" s="360"/>
      <c r="EH465" s="360"/>
      <c r="EI465" s="360"/>
      <c r="EJ465" s="360"/>
      <c r="EK465" s="360"/>
      <c r="EL465" s="360"/>
      <c r="EM465" s="360"/>
      <c r="EN465" s="360"/>
      <c r="EO465" s="360"/>
      <c r="EP465" s="360"/>
      <c r="EQ465" s="360"/>
    </row>
    <row r="466" spans="1:147" x14ac:dyDescent="0.35">
      <c r="A466" s="5" t="s">
        <v>1717</v>
      </c>
      <c r="B466" s="5" t="s">
        <v>726</v>
      </c>
      <c r="C466" s="5" t="s">
        <v>534</v>
      </c>
      <c r="D466" s="5" t="s">
        <v>727</v>
      </c>
      <c r="E466" s="5" t="s">
        <v>1709</v>
      </c>
      <c r="F466" s="5" t="s">
        <v>536</v>
      </c>
      <c r="G466" s="47" t="s">
        <v>1711</v>
      </c>
      <c r="H466" s="47" t="s">
        <v>1162</v>
      </c>
      <c r="I466" s="101">
        <v>250</v>
      </c>
      <c r="J466" s="101">
        <v>250</v>
      </c>
      <c r="K466" s="101">
        <v>250</v>
      </c>
      <c r="L466" s="101">
        <v>250</v>
      </c>
      <c r="M466" s="101">
        <v>250</v>
      </c>
      <c r="N466" s="101">
        <v>250</v>
      </c>
      <c r="O466" s="101">
        <v>250</v>
      </c>
      <c r="P466" s="93">
        <v>0</v>
      </c>
      <c r="Q466" s="101">
        <v>0</v>
      </c>
      <c r="R466" s="101">
        <v>0</v>
      </c>
      <c r="S466" s="101">
        <v>0</v>
      </c>
      <c r="T466" s="101">
        <v>0</v>
      </c>
      <c r="U466" s="101">
        <v>0</v>
      </c>
      <c r="V466" s="101">
        <v>0</v>
      </c>
      <c r="W466" s="101">
        <v>0</v>
      </c>
      <c r="X466" s="101">
        <v>0</v>
      </c>
      <c r="Y466" s="101">
        <v>0</v>
      </c>
      <c r="Z466" s="101">
        <v>0</v>
      </c>
      <c r="AA466" s="101">
        <v>0</v>
      </c>
      <c r="AB466" s="101">
        <v>0</v>
      </c>
      <c r="AC466" s="101">
        <v>0</v>
      </c>
      <c r="AD466" s="101">
        <v>0</v>
      </c>
      <c r="AE466" s="186">
        <v>0.08</v>
      </c>
      <c r="AF466" s="93">
        <v>0</v>
      </c>
      <c r="AG466" s="93">
        <v>20</v>
      </c>
      <c r="AH466" s="93">
        <v>20</v>
      </c>
      <c r="AI466" s="16">
        <v>1</v>
      </c>
      <c r="AJ466" s="16" t="s">
        <v>662</v>
      </c>
      <c r="AK466" s="16" t="s">
        <v>745</v>
      </c>
      <c r="AL466" s="16"/>
      <c r="AM466" s="60"/>
      <c r="AN466" s="60"/>
      <c r="AO466" s="60"/>
      <c r="AP466" s="60"/>
      <c r="AQ466" s="60"/>
      <c r="AR466" s="60"/>
      <c r="AS466" s="63"/>
      <c r="AT466" s="63"/>
      <c r="AU466" s="63"/>
      <c r="AV466" s="131"/>
      <c r="AW466" s="131"/>
      <c r="AX466" s="131"/>
      <c r="AY466" s="27" t="s">
        <v>662</v>
      </c>
      <c r="AZ466" s="27"/>
      <c r="BA466" s="27"/>
      <c r="BB466" s="30"/>
      <c r="BC466" s="30"/>
      <c r="BD466" s="30"/>
      <c r="BE466" s="30"/>
      <c r="BF466" s="30"/>
      <c r="BG466" s="30"/>
      <c r="BH466" s="107"/>
      <c r="BI466" s="107"/>
      <c r="BJ466" s="107"/>
      <c r="BK466" s="107"/>
      <c r="BL466" s="136"/>
      <c r="BM466" s="122"/>
      <c r="BN466" s="138">
        <v>0</v>
      </c>
      <c r="BO466" s="93"/>
      <c r="BP466" s="93"/>
      <c r="BQ466" s="93"/>
      <c r="BR466" s="93"/>
      <c r="BS466" s="93"/>
      <c r="BT466" s="93"/>
      <c r="BU466" s="27">
        <f t="shared" si="375"/>
        <v>0</v>
      </c>
      <c r="BV466" s="27"/>
      <c r="BW466" s="27"/>
      <c r="BX466" s="27"/>
      <c r="BY466" s="27"/>
      <c r="BZ466" s="27"/>
      <c r="CA466" s="27"/>
      <c r="CB466" s="97"/>
      <c r="CC466" s="185">
        <v>1</v>
      </c>
      <c r="CD466" s="185">
        <v>2</v>
      </c>
      <c r="CE466" s="185">
        <v>3</v>
      </c>
      <c r="CF466" s="185">
        <v>4</v>
      </c>
      <c r="CG466" s="185">
        <v>5</v>
      </c>
      <c r="CH466" s="185">
        <f>CH465/3</f>
        <v>5</v>
      </c>
      <c r="CI466" s="173"/>
      <c r="CJ466" s="173"/>
      <c r="CK466" s="173"/>
      <c r="CL466" s="173"/>
      <c r="CM466" s="173"/>
      <c r="CN466" s="173"/>
      <c r="CO466" s="173"/>
      <c r="CP466" s="174"/>
      <c r="CQ466" s="174"/>
      <c r="CR466" s="174"/>
      <c r="CS466" s="174"/>
      <c r="CT466" s="174"/>
      <c r="CU466" s="174"/>
      <c r="CV466" s="174"/>
      <c r="CW466" s="165"/>
      <c r="CX466" s="166"/>
      <c r="CY466" s="166"/>
      <c r="CZ466" s="166"/>
      <c r="DA466" s="166"/>
      <c r="DB466" s="166"/>
      <c r="DC466" s="166"/>
      <c r="DD466" s="171"/>
      <c r="DE466" s="171"/>
      <c r="DF466" s="171"/>
      <c r="DG466" s="171"/>
      <c r="DH466" s="171"/>
      <c r="DI466" s="171"/>
      <c r="DJ466" s="171"/>
      <c r="DK466" s="79" t="s">
        <v>415</v>
      </c>
      <c r="DL466" s="128"/>
      <c r="DM466" s="128"/>
      <c r="DN466" s="128"/>
      <c r="DO466" s="128"/>
      <c r="DP466" s="128"/>
      <c r="DQ466" s="128"/>
      <c r="DR466" s="128"/>
      <c r="DS466" s="218"/>
      <c r="DT466" s="360"/>
      <c r="DU466" s="360"/>
      <c r="DV466" s="360"/>
      <c r="DW466" s="360"/>
      <c r="DX466" s="360"/>
      <c r="DY466" s="360"/>
      <c r="DZ466" s="360"/>
      <c r="EA466" s="360"/>
      <c r="EB466" s="360"/>
      <c r="EC466" s="360"/>
      <c r="ED466" s="360"/>
      <c r="EE466" s="360"/>
      <c r="EF466" s="360"/>
      <c r="EG466" s="360"/>
      <c r="EH466" s="360"/>
      <c r="EI466" s="360"/>
      <c r="EJ466" s="360"/>
      <c r="EK466" s="360"/>
      <c r="EL466" s="360"/>
      <c r="EM466" s="360"/>
      <c r="EN466" s="360"/>
      <c r="EO466" s="360"/>
      <c r="EP466" s="360"/>
      <c r="EQ466" s="360"/>
    </row>
    <row r="467" spans="1:147" x14ac:dyDescent="0.35">
      <c r="A467" s="6" t="s">
        <v>1718</v>
      </c>
      <c r="B467" s="6" t="s">
        <v>726</v>
      </c>
      <c r="C467" s="6" t="s">
        <v>534</v>
      </c>
      <c r="D467" s="6" t="s">
        <v>727</v>
      </c>
      <c r="E467" s="6" t="s">
        <v>1713</v>
      </c>
      <c r="F467" s="6" t="s">
        <v>537</v>
      </c>
      <c r="G467" s="48" t="s">
        <v>537</v>
      </c>
      <c r="H467" s="48" t="s">
        <v>1162</v>
      </c>
      <c r="I467" s="102">
        <v>0</v>
      </c>
      <c r="J467" s="102">
        <v>0</v>
      </c>
      <c r="K467" s="102">
        <v>0</v>
      </c>
      <c r="L467" s="102">
        <v>0</v>
      </c>
      <c r="M467" s="102">
        <v>0</v>
      </c>
      <c r="N467" s="102">
        <v>0</v>
      </c>
      <c r="O467" s="102">
        <v>0</v>
      </c>
      <c r="P467" s="94">
        <v>0</v>
      </c>
      <c r="Q467" s="102">
        <v>0</v>
      </c>
      <c r="R467" s="102">
        <v>0</v>
      </c>
      <c r="S467" s="102">
        <v>0</v>
      </c>
      <c r="T467" s="102">
        <v>0</v>
      </c>
      <c r="U467" s="102">
        <v>0</v>
      </c>
      <c r="V467" s="102">
        <v>0</v>
      </c>
      <c r="W467" s="102">
        <v>0</v>
      </c>
      <c r="X467" s="102">
        <v>0</v>
      </c>
      <c r="Y467" s="102">
        <v>0</v>
      </c>
      <c r="Z467" s="102">
        <v>0</v>
      </c>
      <c r="AA467" s="102">
        <v>0</v>
      </c>
      <c r="AB467" s="102">
        <v>0</v>
      </c>
      <c r="AC467" s="102">
        <v>0</v>
      </c>
      <c r="AD467" s="102">
        <v>0</v>
      </c>
      <c r="AE467" s="186">
        <v>0.08</v>
      </c>
      <c r="AF467" s="94">
        <v>0</v>
      </c>
      <c r="AG467" s="94">
        <v>1</v>
      </c>
      <c r="AH467" s="94">
        <v>1</v>
      </c>
      <c r="AI467" s="17">
        <v>1</v>
      </c>
      <c r="AJ467" s="17" t="s">
        <v>662</v>
      </c>
      <c r="AK467" s="17" t="s">
        <v>745</v>
      </c>
      <c r="AL467" s="17"/>
      <c r="AM467" s="61"/>
      <c r="AN467" s="61"/>
      <c r="AO467" s="61"/>
      <c r="AP467" s="61"/>
      <c r="AQ467" s="61"/>
      <c r="AR467" s="61"/>
      <c r="AS467" s="64"/>
      <c r="AT467" s="64"/>
      <c r="AU467" s="64"/>
      <c r="AV467" s="132"/>
      <c r="AW467" s="132"/>
      <c r="AX467" s="132"/>
      <c r="AY467" s="28" t="s">
        <v>662</v>
      </c>
      <c r="AZ467" s="28"/>
      <c r="BA467" s="28"/>
      <c r="BB467" s="28"/>
      <c r="BC467" s="28"/>
      <c r="BD467" s="28"/>
      <c r="BE467" s="28"/>
      <c r="BF467" s="28"/>
      <c r="BG467" s="28"/>
      <c r="BH467" s="106"/>
      <c r="BI467" s="106"/>
      <c r="BJ467" s="106"/>
      <c r="BK467" s="106"/>
      <c r="BL467" s="137"/>
      <c r="BM467" s="123"/>
      <c r="BN467" s="139"/>
      <c r="BO467" s="94"/>
      <c r="BP467" s="94"/>
      <c r="BQ467" s="94"/>
      <c r="BR467" s="94"/>
      <c r="BS467" s="94"/>
      <c r="BT467" s="94"/>
      <c r="BU467" s="28">
        <f t="shared" si="337"/>
        <v>0</v>
      </c>
      <c r="BV467" s="28"/>
      <c r="BW467" s="28"/>
      <c r="BX467" s="28"/>
      <c r="BY467" s="28"/>
      <c r="BZ467" s="28"/>
      <c r="CA467" s="28"/>
      <c r="CB467" s="99">
        <v>20</v>
      </c>
      <c r="CC467" s="99">
        <v>20</v>
      </c>
      <c r="CD467" s="99">
        <v>20</v>
      </c>
      <c r="CE467" s="99">
        <f t="shared" si="371"/>
        <v>20</v>
      </c>
      <c r="CF467" s="99">
        <f t="shared" si="372"/>
        <v>20</v>
      </c>
      <c r="CG467" s="99">
        <f t="shared" si="373"/>
        <v>20</v>
      </c>
      <c r="CH467" s="99">
        <v>20</v>
      </c>
      <c r="CI467" s="175"/>
      <c r="CJ467" s="175"/>
      <c r="CK467" s="175"/>
      <c r="CL467" s="175"/>
      <c r="CM467" s="175"/>
      <c r="CN467" s="175"/>
      <c r="CO467" s="175"/>
      <c r="CP467" s="176"/>
      <c r="CQ467" s="176"/>
      <c r="CR467" s="176"/>
      <c r="CS467" s="176"/>
      <c r="CT467" s="176"/>
      <c r="CU467" s="176"/>
      <c r="CV467" s="176"/>
      <c r="CW467" s="167"/>
      <c r="CX467" s="168"/>
      <c r="CY467" s="168"/>
      <c r="CZ467" s="168"/>
      <c r="DA467" s="168"/>
      <c r="DB467" s="168"/>
      <c r="DC467" s="168"/>
      <c r="DD467" s="172"/>
      <c r="DE467" s="172"/>
      <c r="DF467" s="172"/>
      <c r="DG467" s="172"/>
      <c r="DH467" s="172"/>
      <c r="DI467" s="172"/>
      <c r="DJ467" s="172"/>
      <c r="DK467" s="80" t="s">
        <v>415</v>
      </c>
      <c r="DL467" s="129"/>
      <c r="DM467" s="129"/>
      <c r="DN467" s="129"/>
      <c r="DO467" s="129"/>
      <c r="DP467" s="129"/>
      <c r="DQ467" s="129"/>
      <c r="DR467" s="129"/>
      <c r="DS467" s="218"/>
      <c r="DT467" s="360"/>
      <c r="DU467" s="360"/>
      <c r="DV467" s="360"/>
      <c r="DW467" s="360"/>
      <c r="DX467" s="360"/>
      <c r="DY467" s="360"/>
      <c r="DZ467" s="360"/>
      <c r="EA467" s="360"/>
      <c r="EB467" s="360"/>
      <c r="EC467" s="360"/>
      <c r="ED467" s="360"/>
      <c r="EE467" s="360"/>
      <c r="EF467" s="360"/>
      <c r="EG467" s="360"/>
      <c r="EH467" s="360"/>
      <c r="EI467" s="360"/>
      <c r="EJ467" s="360"/>
      <c r="EK467" s="360"/>
      <c r="EL467" s="360"/>
      <c r="EM467" s="360"/>
      <c r="EN467" s="360"/>
      <c r="EO467" s="360"/>
      <c r="EP467" s="360"/>
      <c r="EQ467" s="360"/>
    </row>
    <row r="468" spans="1:147" x14ac:dyDescent="0.35">
      <c r="A468" s="5" t="s">
        <v>1719</v>
      </c>
      <c r="B468" s="5" t="s">
        <v>726</v>
      </c>
      <c r="C468" s="5" t="s">
        <v>534</v>
      </c>
      <c r="D468" s="5" t="s">
        <v>727</v>
      </c>
      <c r="E468" s="5" t="s">
        <v>1713</v>
      </c>
      <c r="F468" s="5" t="s">
        <v>537</v>
      </c>
      <c r="G468" s="47" t="s">
        <v>1720</v>
      </c>
      <c r="H468" s="47" t="s">
        <v>1162</v>
      </c>
      <c r="I468" s="101">
        <v>75</v>
      </c>
      <c r="J468" s="101">
        <v>83.33</v>
      </c>
      <c r="K468" s="101">
        <v>91.67</v>
      </c>
      <c r="L468" s="101">
        <v>100</v>
      </c>
      <c r="M468" s="101">
        <v>108.33</v>
      </c>
      <c r="N468" s="101">
        <v>116.67</v>
      </c>
      <c r="O468" s="101">
        <v>125</v>
      </c>
      <c r="P468" s="93">
        <v>0</v>
      </c>
      <c r="Q468" s="101">
        <v>0</v>
      </c>
      <c r="R468" s="101">
        <v>0</v>
      </c>
      <c r="S468" s="101">
        <v>0</v>
      </c>
      <c r="T468" s="101">
        <v>0</v>
      </c>
      <c r="U468" s="101">
        <v>0</v>
      </c>
      <c r="V468" s="101">
        <v>0</v>
      </c>
      <c r="W468" s="101">
        <v>0</v>
      </c>
      <c r="X468" s="101">
        <v>0</v>
      </c>
      <c r="Y468" s="101">
        <v>0</v>
      </c>
      <c r="Z468" s="101">
        <v>0</v>
      </c>
      <c r="AA468" s="101">
        <v>0</v>
      </c>
      <c r="AB468" s="101">
        <v>0</v>
      </c>
      <c r="AC468" s="101">
        <v>0</v>
      </c>
      <c r="AD468" s="101">
        <v>0</v>
      </c>
      <c r="AE468" s="186">
        <v>0.08</v>
      </c>
      <c r="AF468" s="93">
        <v>0</v>
      </c>
      <c r="AG468" s="93">
        <v>20</v>
      </c>
      <c r="AH468" s="93">
        <v>20</v>
      </c>
      <c r="AI468" s="16">
        <v>1</v>
      </c>
      <c r="AJ468" s="16" t="s">
        <v>662</v>
      </c>
      <c r="AK468" s="16" t="s">
        <v>745</v>
      </c>
      <c r="AL468" s="16"/>
      <c r="AM468" s="60"/>
      <c r="AN468" s="60"/>
      <c r="AO468" s="60"/>
      <c r="AP468" s="60"/>
      <c r="AQ468" s="60"/>
      <c r="AR468" s="60"/>
      <c r="AS468" s="63"/>
      <c r="AT468" s="63"/>
      <c r="AU468" s="63"/>
      <c r="AV468" s="131"/>
      <c r="AW468" s="131"/>
      <c r="AX468" s="131"/>
      <c r="AY468" s="27" t="s">
        <v>662</v>
      </c>
      <c r="AZ468" s="27"/>
      <c r="BA468" s="27"/>
      <c r="BB468" s="30"/>
      <c r="BC468" s="30"/>
      <c r="BD468" s="30"/>
      <c r="BE468" s="30"/>
      <c r="BF468" s="30"/>
      <c r="BG468" s="30"/>
      <c r="BH468" s="107"/>
      <c r="BI468" s="107"/>
      <c r="BJ468" s="107"/>
      <c r="BK468" s="107"/>
      <c r="BL468" s="136"/>
      <c r="BM468" s="122"/>
      <c r="BN468" s="138">
        <v>0</v>
      </c>
      <c r="BO468" s="93"/>
      <c r="BP468" s="93"/>
      <c r="BQ468" s="93"/>
      <c r="BR468" s="93"/>
      <c r="BS468" s="93"/>
      <c r="BT468" s="93"/>
      <c r="BU468" s="27">
        <f t="shared" si="337"/>
        <v>0</v>
      </c>
      <c r="BV468" s="27"/>
      <c r="BW468" s="27"/>
      <c r="BX468" s="27"/>
      <c r="BY468" s="27"/>
      <c r="BZ468" s="27"/>
      <c r="CA468" s="27"/>
      <c r="CB468" s="97">
        <v>0.435</v>
      </c>
      <c r="CC468" s="97">
        <v>0.5918589138024728</v>
      </c>
      <c r="CD468" s="97">
        <v>0.6</v>
      </c>
      <c r="CE468" s="97">
        <f t="shared" si="371"/>
        <v>0.56999999999999995</v>
      </c>
      <c r="CF468" s="97">
        <f t="shared" si="372"/>
        <v>0.53</v>
      </c>
      <c r="CG468" s="97">
        <f t="shared" si="373"/>
        <v>0.5</v>
      </c>
      <c r="CH468" s="97">
        <v>0.46</v>
      </c>
      <c r="CI468" s="173"/>
      <c r="CJ468" s="173"/>
      <c r="CK468" s="173"/>
      <c r="CL468" s="173"/>
      <c r="CM468" s="173"/>
      <c r="CN468" s="173"/>
      <c r="CO468" s="173"/>
      <c r="CP468" s="174"/>
      <c r="CQ468" s="174"/>
      <c r="CR468" s="174"/>
      <c r="CS468" s="174"/>
      <c r="CT468" s="174"/>
      <c r="CU468" s="174"/>
      <c r="CV468" s="174"/>
      <c r="CW468" s="165"/>
      <c r="CX468" s="166"/>
      <c r="CY468" s="166"/>
      <c r="CZ468" s="166"/>
      <c r="DA468" s="166"/>
      <c r="DB468" s="166"/>
      <c r="DC468" s="166"/>
      <c r="DD468" s="171"/>
      <c r="DE468" s="171"/>
      <c r="DF468" s="171"/>
      <c r="DG468" s="171"/>
      <c r="DH468" s="171"/>
      <c r="DI468" s="171"/>
      <c r="DJ468" s="171"/>
      <c r="DK468" s="79" t="s">
        <v>415</v>
      </c>
      <c r="DL468" s="128"/>
      <c r="DM468" s="128"/>
      <c r="DN468" s="128"/>
      <c r="DO468" s="128"/>
      <c r="DP468" s="128"/>
      <c r="DQ468" s="128"/>
      <c r="DR468" s="128"/>
      <c r="DS468" s="218"/>
      <c r="DT468" s="360"/>
      <c r="DU468" s="360"/>
      <c r="DV468" s="360"/>
      <c r="DW468" s="360"/>
      <c r="DX468" s="360"/>
      <c r="DY468" s="360"/>
      <c r="DZ468" s="360"/>
      <c r="EA468" s="360"/>
      <c r="EB468" s="360"/>
      <c r="EC468" s="360"/>
      <c r="ED468" s="360"/>
      <c r="EE468" s="360"/>
      <c r="EF468" s="360"/>
      <c r="EG468" s="360"/>
      <c r="EH468" s="360"/>
      <c r="EI468" s="360"/>
      <c r="EJ468" s="360"/>
      <c r="EK468" s="360"/>
      <c r="EL468" s="360"/>
      <c r="EM468" s="360"/>
      <c r="EN468" s="360"/>
      <c r="EO468" s="360"/>
      <c r="EP468" s="360"/>
      <c r="EQ468" s="360"/>
    </row>
    <row r="469" spans="1:147" x14ac:dyDescent="0.35">
      <c r="A469" s="6" t="s">
        <v>1721</v>
      </c>
      <c r="B469" s="6" t="s">
        <v>726</v>
      </c>
      <c r="C469" s="6" t="s">
        <v>534</v>
      </c>
      <c r="D469" s="6" t="s">
        <v>727</v>
      </c>
      <c r="E469" s="6" t="s">
        <v>1713</v>
      </c>
      <c r="F469" s="6" t="s">
        <v>537</v>
      </c>
      <c r="G469" s="48" t="s">
        <v>1722</v>
      </c>
      <c r="H469" s="48" t="s">
        <v>1162</v>
      </c>
      <c r="I469" s="102">
        <v>1250</v>
      </c>
      <c r="J469" s="102">
        <v>1270.83</v>
      </c>
      <c r="K469" s="102">
        <v>1291.67</v>
      </c>
      <c r="L469" s="102">
        <v>1312.5</v>
      </c>
      <c r="M469" s="102">
        <v>1333.33</v>
      </c>
      <c r="N469" s="102">
        <v>1354.17</v>
      </c>
      <c r="O469" s="102">
        <v>1375</v>
      </c>
      <c r="P469" s="94">
        <v>0</v>
      </c>
      <c r="Q469" s="102">
        <v>0</v>
      </c>
      <c r="R469" s="102">
        <v>0</v>
      </c>
      <c r="S469" s="102">
        <v>0</v>
      </c>
      <c r="T469" s="102">
        <v>0</v>
      </c>
      <c r="U469" s="102">
        <v>0</v>
      </c>
      <c r="V469" s="102">
        <v>0</v>
      </c>
      <c r="W469" s="102">
        <v>0</v>
      </c>
      <c r="X469" s="102">
        <v>0</v>
      </c>
      <c r="Y469" s="102">
        <v>0</v>
      </c>
      <c r="Z469" s="102">
        <v>0</v>
      </c>
      <c r="AA469" s="102">
        <v>0</v>
      </c>
      <c r="AB469" s="102">
        <v>0</v>
      </c>
      <c r="AC469" s="102">
        <v>0</v>
      </c>
      <c r="AD469" s="102">
        <v>0</v>
      </c>
      <c r="AE469" s="186">
        <v>0.08</v>
      </c>
      <c r="AF469" s="94">
        <v>0</v>
      </c>
      <c r="AG469" s="94">
        <v>20</v>
      </c>
      <c r="AH469" s="94">
        <v>20</v>
      </c>
      <c r="AI469" s="17">
        <v>1</v>
      </c>
      <c r="AJ469" s="17" t="s">
        <v>662</v>
      </c>
      <c r="AK469" s="17" t="s">
        <v>745</v>
      </c>
      <c r="AL469" s="17"/>
      <c r="AM469" s="61"/>
      <c r="AN469" s="61"/>
      <c r="AO469" s="61"/>
      <c r="AP469" s="61"/>
      <c r="AQ469" s="61"/>
      <c r="AR469" s="61"/>
      <c r="AS469" s="64"/>
      <c r="AT469" s="64"/>
      <c r="AU469" s="64"/>
      <c r="AV469" s="132"/>
      <c r="AW469" s="132"/>
      <c r="AX469" s="132"/>
      <c r="AY469" s="28" t="s">
        <v>662</v>
      </c>
      <c r="AZ469" s="28"/>
      <c r="BA469" s="28"/>
      <c r="BB469" s="28"/>
      <c r="BC469" s="28"/>
      <c r="BD469" s="28"/>
      <c r="BE469" s="28"/>
      <c r="BF469" s="28"/>
      <c r="BG469" s="28"/>
      <c r="BH469" s="106"/>
      <c r="BI469" s="106"/>
      <c r="BJ469" s="106"/>
      <c r="BK469" s="106"/>
      <c r="BL469" s="137"/>
      <c r="BM469" s="123"/>
      <c r="BN469" s="139">
        <v>0</v>
      </c>
      <c r="BO469" s="94"/>
      <c r="BP469" s="94"/>
      <c r="BQ469" s="94"/>
      <c r="BR469" s="94"/>
      <c r="BS469" s="94"/>
      <c r="BT469" s="94"/>
      <c r="BU469" s="28">
        <f t="shared" si="337"/>
        <v>0</v>
      </c>
      <c r="BV469" s="28"/>
      <c r="BW469" s="28"/>
      <c r="BX469" s="28"/>
      <c r="BY469" s="28"/>
      <c r="BZ469" s="28"/>
      <c r="CA469" s="28"/>
      <c r="CB469" s="99">
        <v>0.34799999999999998</v>
      </c>
      <c r="CC469" s="99">
        <v>0.46201918535185454</v>
      </c>
      <c r="CD469" s="99">
        <v>0.5</v>
      </c>
      <c r="CE469" s="99">
        <f t="shared" si="371"/>
        <v>0.47</v>
      </c>
      <c r="CF469" s="99">
        <f t="shared" si="372"/>
        <v>0.43</v>
      </c>
      <c r="CG469" s="99">
        <f t="shared" si="373"/>
        <v>0.4</v>
      </c>
      <c r="CH469" s="99">
        <v>0.36</v>
      </c>
      <c r="CI469" s="175"/>
      <c r="CJ469" s="175"/>
      <c r="CK469" s="175"/>
      <c r="CL469" s="175"/>
      <c r="CM469" s="175"/>
      <c r="CN469" s="175"/>
      <c r="CO469" s="175"/>
      <c r="CP469" s="176"/>
      <c r="CQ469" s="176"/>
      <c r="CR469" s="176"/>
      <c r="CS469" s="176"/>
      <c r="CT469" s="176"/>
      <c r="CU469" s="176"/>
      <c r="CV469" s="176"/>
      <c r="CW469" s="167"/>
      <c r="CX469" s="168"/>
      <c r="CY469" s="168"/>
      <c r="CZ469" s="168"/>
      <c r="DA469" s="168"/>
      <c r="DB469" s="168"/>
      <c r="DC469" s="168"/>
      <c r="DD469" s="172"/>
      <c r="DE469" s="172"/>
      <c r="DF469" s="172"/>
      <c r="DG469" s="172"/>
      <c r="DH469" s="172"/>
      <c r="DI469" s="172"/>
      <c r="DJ469" s="172"/>
      <c r="DK469" s="80" t="s">
        <v>415</v>
      </c>
      <c r="DL469" s="129"/>
      <c r="DM469" s="129"/>
      <c r="DN469" s="129"/>
      <c r="DO469" s="129"/>
      <c r="DP469" s="129"/>
      <c r="DQ469" s="129"/>
      <c r="DR469" s="129"/>
      <c r="DS469" s="218"/>
      <c r="DT469" s="360"/>
      <c r="DU469" s="360"/>
      <c r="DV469" s="360"/>
      <c r="DW469" s="360"/>
      <c r="DX469" s="360"/>
      <c r="DY469" s="360"/>
      <c r="DZ469" s="360"/>
      <c r="EA469" s="360"/>
      <c r="EB469" s="360"/>
      <c r="EC469" s="360"/>
      <c r="ED469" s="360"/>
      <c r="EE469" s="360"/>
      <c r="EF469" s="360"/>
      <c r="EG469" s="360"/>
      <c r="EH469" s="360"/>
      <c r="EI469" s="360"/>
      <c r="EJ469" s="360"/>
      <c r="EK469" s="360"/>
      <c r="EL469" s="360"/>
      <c r="EM469" s="360"/>
      <c r="EN469" s="360"/>
      <c r="EO469" s="360"/>
      <c r="EP469" s="360"/>
      <c r="EQ469" s="360"/>
    </row>
    <row r="470" spans="1:147" x14ac:dyDescent="0.35">
      <c r="A470" s="5" t="s">
        <v>1723</v>
      </c>
      <c r="B470" s="5" t="s">
        <v>726</v>
      </c>
      <c r="C470" s="5" t="s">
        <v>534</v>
      </c>
      <c r="D470" s="5" t="s">
        <v>727</v>
      </c>
      <c r="E470" s="5" t="s">
        <v>1713</v>
      </c>
      <c r="F470" s="5" t="s">
        <v>537</v>
      </c>
      <c r="G470" s="47" t="s">
        <v>1724</v>
      </c>
      <c r="H470" s="47" t="s">
        <v>1162</v>
      </c>
      <c r="I470" s="101">
        <v>4750</v>
      </c>
      <c r="J470" s="101">
        <v>4750</v>
      </c>
      <c r="K470" s="101">
        <v>4750</v>
      </c>
      <c r="L470" s="101">
        <v>4750</v>
      </c>
      <c r="M470" s="101">
        <v>4750</v>
      </c>
      <c r="N470" s="101">
        <v>4750</v>
      </c>
      <c r="O470" s="101">
        <v>4750</v>
      </c>
      <c r="P470" s="93">
        <v>0</v>
      </c>
      <c r="Q470" s="101">
        <v>0</v>
      </c>
      <c r="R470" s="101">
        <v>0</v>
      </c>
      <c r="S470" s="101">
        <v>0</v>
      </c>
      <c r="T470" s="101">
        <v>0</v>
      </c>
      <c r="U470" s="101">
        <v>0</v>
      </c>
      <c r="V470" s="101">
        <v>0</v>
      </c>
      <c r="W470" s="101">
        <v>0</v>
      </c>
      <c r="X470" s="101">
        <v>0</v>
      </c>
      <c r="Y470" s="101">
        <v>0</v>
      </c>
      <c r="Z470" s="101">
        <v>0</v>
      </c>
      <c r="AA470" s="101">
        <v>0</v>
      </c>
      <c r="AB470" s="101">
        <v>0</v>
      </c>
      <c r="AC470" s="101">
        <v>0</v>
      </c>
      <c r="AD470" s="101">
        <v>0</v>
      </c>
      <c r="AE470" s="186">
        <v>0.08</v>
      </c>
      <c r="AF470" s="93">
        <v>0</v>
      </c>
      <c r="AG470" s="93">
        <v>20</v>
      </c>
      <c r="AH470" s="93">
        <v>20</v>
      </c>
      <c r="AI470" s="16">
        <v>1</v>
      </c>
      <c r="AJ470" s="16" t="s">
        <v>662</v>
      </c>
      <c r="AK470" s="16" t="s">
        <v>745</v>
      </c>
      <c r="AL470" s="16"/>
      <c r="AM470" s="60"/>
      <c r="AN470" s="60"/>
      <c r="AO470" s="60"/>
      <c r="AP470" s="60"/>
      <c r="AQ470" s="60"/>
      <c r="AR470" s="60"/>
      <c r="AS470" s="63"/>
      <c r="AT470" s="63"/>
      <c r="AU470" s="63"/>
      <c r="AV470" s="131"/>
      <c r="AW470" s="131"/>
      <c r="AX470" s="131"/>
      <c r="AY470" s="27" t="s">
        <v>662</v>
      </c>
      <c r="AZ470" s="27"/>
      <c r="BA470" s="27"/>
      <c r="BB470" s="30"/>
      <c r="BC470" s="30"/>
      <c r="BD470" s="30"/>
      <c r="BE470" s="30"/>
      <c r="BF470" s="30"/>
      <c r="BG470" s="30"/>
      <c r="BH470" s="107"/>
      <c r="BI470" s="107"/>
      <c r="BJ470" s="107"/>
      <c r="BK470" s="107"/>
      <c r="BL470" s="136"/>
      <c r="BM470" s="122"/>
      <c r="BN470" s="138">
        <v>0</v>
      </c>
      <c r="BO470" s="93"/>
      <c r="BP470" s="93"/>
      <c r="BQ470" s="93"/>
      <c r="BR470" s="93"/>
      <c r="BS470" s="93"/>
      <c r="BT470" s="93"/>
      <c r="BU470" s="27">
        <f t="shared" si="337"/>
        <v>0</v>
      </c>
      <c r="BV470" s="27"/>
      <c r="BW470" s="27"/>
      <c r="BX470" s="27"/>
      <c r="BY470" s="27"/>
      <c r="BZ470" s="27"/>
      <c r="CA470" s="27"/>
      <c r="CB470" s="97">
        <v>0</v>
      </c>
      <c r="CC470" s="97">
        <v>5.7339728450618188E-2</v>
      </c>
      <c r="CD470" s="97">
        <v>0.1</v>
      </c>
      <c r="CE470" s="97">
        <f t="shared" si="371"/>
        <v>0.13</v>
      </c>
      <c r="CF470" s="97">
        <f t="shared" si="372"/>
        <v>0.15</v>
      </c>
      <c r="CG470" s="97">
        <f t="shared" si="373"/>
        <v>0.18</v>
      </c>
      <c r="CH470" s="97">
        <v>0.2</v>
      </c>
      <c r="CI470" s="173"/>
      <c r="CJ470" s="173"/>
      <c r="CK470" s="173"/>
      <c r="CL470" s="173"/>
      <c r="CM470" s="173"/>
      <c r="CN470" s="173"/>
      <c r="CO470" s="173"/>
      <c r="CP470" s="174"/>
      <c r="CQ470" s="174"/>
      <c r="CR470" s="174"/>
      <c r="CS470" s="174"/>
      <c r="CT470" s="174"/>
      <c r="CU470" s="174"/>
      <c r="CV470" s="174"/>
      <c r="CW470" s="165"/>
      <c r="CX470" s="166"/>
      <c r="CY470" s="166"/>
      <c r="CZ470" s="166"/>
      <c r="DA470" s="166"/>
      <c r="DB470" s="166"/>
      <c r="DC470" s="166"/>
      <c r="DD470" s="171"/>
      <c r="DE470" s="171"/>
      <c r="DF470" s="171"/>
      <c r="DG470" s="171"/>
      <c r="DH470" s="171"/>
      <c r="DI470" s="171"/>
      <c r="DJ470" s="171"/>
      <c r="DK470" s="79" t="s">
        <v>415</v>
      </c>
      <c r="DL470" s="128"/>
      <c r="DM470" s="128"/>
      <c r="DN470" s="128"/>
      <c r="DO470" s="128"/>
      <c r="DP470" s="128"/>
      <c r="DQ470" s="128"/>
      <c r="DR470" s="128"/>
      <c r="DS470" s="218"/>
      <c r="DT470" s="360"/>
      <c r="DU470" s="360"/>
      <c r="DV470" s="360"/>
      <c r="DW470" s="360"/>
      <c r="DX470" s="360"/>
      <c r="DY470" s="360"/>
      <c r="DZ470" s="360"/>
      <c r="EA470" s="360"/>
      <c r="EB470" s="360"/>
      <c r="EC470" s="360"/>
      <c r="ED470" s="360"/>
      <c r="EE470" s="360"/>
      <c r="EF470" s="360"/>
      <c r="EG470" s="360"/>
      <c r="EH470" s="360"/>
      <c r="EI470" s="360"/>
      <c r="EJ470" s="360"/>
      <c r="EK470" s="360"/>
      <c r="EL470" s="360"/>
      <c r="EM470" s="360"/>
      <c r="EN470" s="360"/>
      <c r="EO470" s="360"/>
      <c r="EP470" s="360"/>
      <c r="EQ470" s="360"/>
    </row>
    <row r="471" spans="1:147" x14ac:dyDescent="0.35">
      <c r="A471" s="6" t="s">
        <v>1725</v>
      </c>
      <c r="B471" s="6" t="s">
        <v>726</v>
      </c>
      <c r="C471" s="6" t="s">
        <v>534</v>
      </c>
      <c r="D471" s="6" t="s">
        <v>727</v>
      </c>
      <c r="E471" s="6" t="s">
        <v>1713</v>
      </c>
      <c r="F471" s="6" t="s">
        <v>537</v>
      </c>
      <c r="G471" s="48" t="s">
        <v>1726</v>
      </c>
      <c r="H471" s="48" t="s">
        <v>1162</v>
      </c>
      <c r="I471" s="102">
        <v>25</v>
      </c>
      <c r="J471" s="102">
        <v>52.08</v>
      </c>
      <c r="K471" s="102">
        <v>79.17</v>
      </c>
      <c r="L471" s="102">
        <v>106.25</v>
      </c>
      <c r="M471" s="102">
        <v>133.33000000000001</v>
      </c>
      <c r="N471" s="102">
        <v>160.41999999999999</v>
      </c>
      <c r="O471" s="102">
        <v>187.5</v>
      </c>
      <c r="P471" s="94">
        <v>0</v>
      </c>
      <c r="Q471" s="102">
        <v>0</v>
      </c>
      <c r="R471" s="102">
        <v>0</v>
      </c>
      <c r="S471" s="102">
        <v>0</v>
      </c>
      <c r="T471" s="102">
        <v>0</v>
      </c>
      <c r="U471" s="102">
        <v>0</v>
      </c>
      <c r="V471" s="102">
        <v>0</v>
      </c>
      <c r="W471" s="102">
        <v>0</v>
      </c>
      <c r="X471" s="102">
        <v>0</v>
      </c>
      <c r="Y471" s="102">
        <v>0</v>
      </c>
      <c r="Z471" s="102">
        <v>0</v>
      </c>
      <c r="AA471" s="102">
        <v>0</v>
      </c>
      <c r="AB471" s="102">
        <v>0</v>
      </c>
      <c r="AC471" s="102">
        <v>0</v>
      </c>
      <c r="AD471" s="102">
        <v>0</v>
      </c>
      <c r="AE471" s="186">
        <v>0.08</v>
      </c>
      <c r="AF471" s="94">
        <v>0</v>
      </c>
      <c r="AG471" s="94">
        <v>20</v>
      </c>
      <c r="AH471" s="94">
        <v>20</v>
      </c>
      <c r="AI471" s="17">
        <v>1</v>
      </c>
      <c r="AJ471" s="17" t="s">
        <v>662</v>
      </c>
      <c r="AK471" s="17" t="s">
        <v>745</v>
      </c>
      <c r="AL471" s="17"/>
      <c r="AM471" s="61"/>
      <c r="AN471" s="61"/>
      <c r="AO471" s="61"/>
      <c r="AP471" s="61"/>
      <c r="AQ471" s="61"/>
      <c r="AR471" s="61"/>
      <c r="AS471" s="64"/>
      <c r="AT471" s="64"/>
      <c r="AU471" s="64"/>
      <c r="AV471" s="132"/>
      <c r="AW471" s="132"/>
      <c r="AX471" s="132"/>
      <c r="AY471" s="28" t="s">
        <v>662</v>
      </c>
      <c r="AZ471" s="28"/>
      <c r="BA471" s="28"/>
      <c r="BB471" s="28"/>
      <c r="BC471" s="28"/>
      <c r="BD471" s="28"/>
      <c r="BE471" s="28"/>
      <c r="BF471" s="28"/>
      <c r="BG471" s="28"/>
      <c r="BH471" s="106"/>
      <c r="BI471" s="106"/>
      <c r="BJ471" s="106"/>
      <c r="BK471" s="106"/>
      <c r="BL471" s="137"/>
      <c r="BM471" s="123"/>
      <c r="BN471" s="139">
        <v>0</v>
      </c>
      <c r="BO471" s="94"/>
      <c r="BP471" s="94"/>
      <c r="BQ471" s="94"/>
      <c r="BR471" s="94"/>
      <c r="BS471" s="94"/>
      <c r="BT471" s="94"/>
      <c r="BU471" s="28">
        <f t="shared" si="337"/>
        <v>0</v>
      </c>
      <c r="BV471" s="28"/>
      <c r="BW471" s="28"/>
      <c r="BX471" s="28"/>
      <c r="BY471" s="28"/>
      <c r="BZ471" s="28"/>
      <c r="CA471" s="28"/>
      <c r="CB471" s="99">
        <v>0.19500000000000001</v>
      </c>
      <c r="CC471" s="99">
        <v>0.37158485484745568</v>
      </c>
      <c r="CD471" s="99">
        <v>0.4</v>
      </c>
      <c r="CE471" s="99">
        <f t="shared" si="371"/>
        <v>0.4</v>
      </c>
      <c r="CF471" s="99">
        <f t="shared" si="372"/>
        <v>0.4</v>
      </c>
      <c r="CG471" s="99">
        <f t="shared" si="373"/>
        <v>0.4</v>
      </c>
      <c r="CH471" s="99">
        <v>0.4</v>
      </c>
      <c r="CI471" s="175"/>
      <c r="CJ471" s="175"/>
      <c r="CK471" s="175"/>
      <c r="CL471" s="175"/>
      <c r="CM471" s="175"/>
      <c r="CN471" s="175"/>
      <c r="CO471" s="175"/>
      <c r="CP471" s="176"/>
      <c r="CQ471" s="176"/>
      <c r="CR471" s="176"/>
      <c r="CS471" s="176"/>
      <c r="CT471" s="176"/>
      <c r="CU471" s="176"/>
      <c r="CV471" s="176"/>
      <c r="CW471" s="167"/>
      <c r="CX471" s="168"/>
      <c r="CY471" s="168"/>
      <c r="CZ471" s="168"/>
      <c r="DA471" s="168"/>
      <c r="DB471" s="168"/>
      <c r="DC471" s="168"/>
      <c r="DD471" s="172"/>
      <c r="DE471" s="172"/>
      <c r="DF471" s="172"/>
      <c r="DG471" s="172"/>
      <c r="DH471" s="172"/>
      <c r="DI471" s="172"/>
      <c r="DJ471" s="172"/>
      <c r="DK471" s="80" t="s">
        <v>415</v>
      </c>
      <c r="DL471" s="129"/>
      <c r="DM471" s="129"/>
      <c r="DN471" s="129"/>
      <c r="DO471" s="129"/>
      <c r="DP471" s="129"/>
      <c r="DQ471" s="129"/>
      <c r="DR471" s="129"/>
      <c r="DS471" s="218"/>
      <c r="DT471" s="360"/>
      <c r="DU471" s="360"/>
      <c r="DV471" s="360"/>
      <c r="DW471" s="360"/>
      <c r="DX471" s="360"/>
      <c r="DY471" s="360"/>
      <c r="DZ471" s="360"/>
      <c r="EA471" s="360"/>
      <c r="EB471" s="360"/>
      <c r="EC471" s="360"/>
      <c r="ED471" s="360"/>
      <c r="EE471" s="360"/>
      <c r="EF471" s="360"/>
      <c r="EG471" s="360"/>
      <c r="EH471" s="360"/>
      <c r="EI471" s="360"/>
      <c r="EJ471" s="360"/>
      <c r="EK471" s="360"/>
      <c r="EL471" s="360"/>
      <c r="EM471" s="360"/>
      <c r="EN471" s="360"/>
      <c r="EO471" s="360"/>
      <c r="EP471" s="360"/>
      <c r="EQ471" s="360"/>
    </row>
    <row r="472" spans="1:147" x14ac:dyDescent="0.35">
      <c r="A472" s="5" t="s">
        <v>1727</v>
      </c>
      <c r="B472" s="5" t="s">
        <v>726</v>
      </c>
      <c r="C472" s="5" t="s">
        <v>534</v>
      </c>
      <c r="D472" s="5" t="s">
        <v>727</v>
      </c>
      <c r="E472" s="5" t="s">
        <v>1713</v>
      </c>
      <c r="F472" s="5" t="s">
        <v>537</v>
      </c>
      <c r="G472" s="47" t="s">
        <v>1728</v>
      </c>
      <c r="H472" s="47" t="s">
        <v>1162</v>
      </c>
      <c r="I472" s="101">
        <v>4750</v>
      </c>
      <c r="J472" s="101">
        <v>4750</v>
      </c>
      <c r="K472" s="101">
        <v>4750</v>
      </c>
      <c r="L472" s="101">
        <v>4750</v>
      </c>
      <c r="M472" s="101">
        <v>4750</v>
      </c>
      <c r="N472" s="101">
        <v>4750</v>
      </c>
      <c r="O472" s="101">
        <v>4750</v>
      </c>
      <c r="P472" s="93">
        <v>0</v>
      </c>
      <c r="Q472" s="101">
        <v>0</v>
      </c>
      <c r="R472" s="101">
        <v>0</v>
      </c>
      <c r="S472" s="101">
        <v>0</v>
      </c>
      <c r="T472" s="101">
        <v>0</v>
      </c>
      <c r="U472" s="101">
        <v>0</v>
      </c>
      <c r="V472" s="101">
        <v>0</v>
      </c>
      <c r="W472" s="101">
        <v>0</v>
      </c>
      <c r="X472" s="101">
        <v>0</v>
      </c>
      <c r="Y472" s="101">
        <v>0</v>
      </c>
      <c r="Z472" s="101">
        <v>0</v>
      </c>
      <c r="AA472" s="101">
        <v>0</v>
      </c>
      <c r="AB472" s="101">
        <v>0</v>
      </c>
      <c r="AC472" s="101">
        <v>0</v>
      </c>
      <c r="AD472" s="101">
        <v>0</v>
      </c>
      <c r="AE472" s="186">
        <v>0.08</v>
      </c>
      <c r="AF472" s="93">
        <v>0</v>
      </c>
      <c r="AG472" s="93">
        <v>20</v>
      </c>
      <c r="AH472" s="93">
        <v>20</v>
      </c>
      <c r="AI472" s="16">
        <v>1</v>
      </c>
      <c r="AJ472" s="16" t="s">
        <v>662</v>
      </c>
      <c r="AK472" s="16" t="s">
        <v>745</v>
      </c>
      <c r="AL472" s="16"/>
      <c r="AM472" s="60"/>
      <c r="AN472" s="60"/>
      <c r="AO472" s="60"/>
      <c r="AP472" s="60"/>
      <c r="AQ472" s="60"/>
      <c r="AR472" s="60"/>
      <c r="AS472" s="63"/>
      <c r="AT472" s="63"/>
      <c r="AU472" s="63"/>
      <c r="AV472" s="131"/>
      <c r="AW472" s="131"/>
      <c r="AX472" s="131"/>
      <c r="AY472" s="27" t="s">
        <v>662</v>
      </c>
      <c r="AZ472" s="27"/>
      <c r="BA472" s="27"/>
      <c r="BB472" s="30"/>
      <c r="BC472" s="30"/>
      <c r="BD472" s="30"/>
      <c r="BE472" s="30"/>
      <c r="BF472" s="30"/>
      <c r="BG472" s="30"/>
      <c r="BH472" s="107"/>
      <c r="BI472" s="107"/>
      <c r="BJ472" s="107"/>
      <c r="BK472" s="107"/>
      <c r="BL472" s="136"/>
      <c r="BM472" s="122"/>
      <c r="BN472" s="138">
        <v>0</v>
      </c>
      <c r="BO472" s="93"/>
      <c r="BP472" s="93"/>
      <c r="BQ472" s="93"/>
      <c r="BR472" s="93"/>
      <c r="BS472" s="93"/>
      <c r="BT472" s="93"/>
      <c r="BU472" s="27">
        <f t="shared" si="337"/>
        <v>0</v>
      </c>
      <c r="BV472" s="27"/>
      <c r="BW472" s="27"/>
      <c r="BX472" s="27"/>
      <c r="BY472" s="27"/>
      <c r="BZ472" s="27"/>
      <c r="CA472" s="27"/>
      <c r="CB472" s="97">
        <v>0.39</v>
      </c>
      <c r="CC472" s="97">
        <v>0.4107784019886998</v>
      </c>
      <c r="CD472" s="97">
        <v>0.3</v>
      </c>
      <c r="CE472" s="97">
        <f t="shared" si="371"/>
        <v>0.3</v>
      </c>
      <c r="CF472" s="97">
        <f t="shared" si="372"/>
        <v>0.3</v>
      </c>
      <c r="CG472" s="97">
        <f t="shared" si="373"/>
        <v>0.3</v>
      </c>
      <c r="CH472" s="97">
        <v>0.3</v>
      </c>
      <c r="CI472" s="173"/>
      <c r="CJ472" s="173"/>
      <c r="CK472" s="173"/>
      <c r="CL472" s="173"/>
      <c r="CM472" s="173"/>
      <c r="CN472" s="173"/>
      <c r="CO472" s="173"/>
      <c r="CP472" s="174"/>
      <c r="CQ472" s="174"/>
      <c r="CR472" s="174"/>
      <c r="CS472" s="174"/>
      <c r="CT472" s="174"/>
      <c r="CU472" s="174"/>
      <c r="CV472" s="174"/>
      <c r="CW472" s="165"/>
      <c r="CX472" s="166"/>
      <c r="CY472" s="166"/>
      <c r="CZ472" s="166"/>
      <c r="DA472" s="166"/>
      <c r="DB472" s="166"/>
      <c r="DC472" s="166"/>
      <c r="DD472" s="171"/>
      <c r="DE472" s="171"/>
      <c r="DF472" s="171"/>
      <c r="DG472" s="171"/>
      <c r="DH472" s="171"/>
      <c r="DI472" s="171"/>
      <c r="DJ472" s="171"/>
      <c r="DK472" s="79" t="s">
        <v>415</v>
      </c>
      <c r="DL472" s="128"/>
      <c r="DM472" s="128"/>
      <c r="DN472" s="128"/>
      <c r="DO472" s="128"/>
      <c r="DP472" s="128"/>
      <c r="DQ472" s="128"/>
      <c r="DR472" s="128"/>
      <c r="DS472" s="218"/>
      <c r="DT472" s="360"/>
      <c r="DU472" s="360"/>
      <c r="DV472" s="360"/>
      <c r="DW472" s="360"/>
      <c r="DX472" s="360"/>
      <c r="DY472" s="360"/>
      <c r="DZ472" s="360"/>
      <c r="EA472" s="360"/>
      <c r="EB472" s="360"/>
      <c r="EC472" s="360"/>
      <c r="ED472" s="360"/>
      <c r="EE472" s="360"/>
      <c r="EF472" s="360"/>
      <c r="EG472" s="360"/>
      <c r="EH472" s="360"/>
      <c r="EI472" s="360"/>
      <c r="EJ472" s="360"/>
      <c r="EK472" s="360"/>
      <c r="EL472" s="360"/>
      <c r="EM472" s="360"/>
      <c r="EN472" s="360"/>
      <c r="EO472" s="360"/>
      <c r="EP472" s="360"/>
      <c r="EQ472" s="360"/>
    </row>
    <row r="473" spans="1:147" x14ac:dyDescent="0.35">
      <c r="A473" s="6" t="s">
        <v>1729</v>
      </c>
      <c r="B473" s="6" t="s">
        <v>726</v>
      </c>
      <c r="C473" s="6" t="s">
        <v>534</v>
      </c>
      <c r="D473" s="6" t="s">
        <v>727</v>
      </c>
      <c r="E473" s="6" t="s">
        <v>1713</v>
      </c>
      <c r="F473" s="6" t="s">
        <v>537</v>
      </c>
      <c r="G473" s="48" t="s">
        <v>1715</v>
      </c>
      <c r="H473" s="48" t="s">
        <v>1162</v>
      </c>
      <c r="I473" s="102">
        <v>125</v>
      </c>
      <c r="J473" s="102">
        <v>125</v>
      </c>
      <c r="K473" s="102">
        <v>125</v>
      </c>
      <c r="L473" s="102">
        <v>125</v>
      </c>
      <c r="M473" s="102">
        <v>125</v>
      </c>
      <c r="N473" s="102">
        <v>125</v>
      </c>
      <c r="O473" s="102">
        <v>125</v>
      </c>
      <c r="P473" s="94">
        <v>0</v>
      </c>
      <c r="Q473" s="102">
        <v>0</v>
      </c>
      <c r="R473" s="102">
        <v>0</v>
      </c>
      <c r="S473" s="102">
        <v>0</v>
      </c>
      <c r="T473" s="102">
        <v>0</v>
      </c>
      <c r="U473" s="102">
        <v>0</v>
      </c>
      <c r="V473" s="102">
        <v>0</v>
      </c>
      <c r="W473" s="102">
        <v>0</v>
      </c>
      <c r="X473" s="102">
        <v>0</v>
      </c>
      <c r="Y473" s="102">
        <v>0</v>
      </c>
      <c r="Z473" s="102">
        <v>0</v>
      </c>
      <c r="AA473" s="102">
        <v>0</v>
      </c>
      <c r="AB473" s="102">
        <v>0</v>
      </c>
      <c r="AC473" s="102">
        <v>0</v>
      </c>
      <c r="AD473" s="102">
        <v>0</v>
      </c>
      <c r="AE473" s="186">
        <v>0.08</v>
      </c>
      <c r="AF473" s="94">
        <v>0</v>
      </c>
      <c r="AG473" s="94">
        <v>20</v>
      </c>
      <c r="AH473" s="94">
        <v>20</v>
      </c>
      <c r="AI473" s="17">
        <v>1</v>
      </c>
      <c r="AJ473" s="17" t="s">
        <v>662</v>
      </c>
      <c r="AK473" s="17" t="s">
        <v>745</v>
      </c>
      <c r="AL473" s="17"/>
      <c r="AM473" s="61"/>
      <c r="AN473" s="61"/>
      <c r="AO473" s="61"/>
      <c r="AP473" s="61"/>
      <c r="AQ473" s="61"/>
      <c r="AR473" s="61"/>
      <c r="AS473" s="64"/>
      <c r="AT473" s="64"/>
      <c r="AU473" s="64"/>
      <c r="AV473" s="132"/>
      <c r="AW473" s="132"/>
      <c r="AX473" s="132"/>
      <c r="AY473" s="28" t="s">
        <v>662</v>
      </c>
      <c r="AZ473" s="28"/>
      <c r="BA473" s="28"/>
      <c r="BB473" s="28"/>
      <c r="BC473" s="28"/>
      <c r="BD473" s="28"/>
      <c r="BE473" s="28"/>
      <c r="BF473" s="28"/>
      <c r="BG473" s="28"/>
      <c r="BH473" s="106"/>
      <c r="BI473" s="106"/>
      <c r="BJ473" s="106"/>
      <c r="BK473" s="106"/>
      <c r="BL473" s="137"/>
      <c r="BM473" s="123"/>
      <c r="BN473" s="139">
        <v>0</v>
      </c>
      <c r="BO473" s="94"/>
      <c r="BP473" s="94"/>
      <c r="BQ473" s="94"/>
      <c r="BR473" s="94"/>
      <c r="BS473" s="94"/>
      <c r="BT473" s="94"/>
      <c r="BU473" s="28">
        <f t="shared" si="337"/>
        <v>0</v>
      </c>
      <c r="BV473" s="28"/>
      <c r="BW473" s="28"/>
      <c r="BX473" s="28"/>
      <c r="BY473" s="28"/>
      <c r="BZ473" s="28"/>
      <c r="CA473" s="28"/>
      <c r="CB473" s="99">
        <v>0.9880000000000001</v>
      </c>
      <c r="CC473" s="99">
        <v>0.85458333333333347</v>
      </c>
      <c r="CD473" s="99">
        <v>0.36</v>
      </c>
      <c r="CE473" s="99">
        <f t="shared" si="371"/>
        <v>0.3</v>
      </c>
      <c r="CF473" s="99">
        <f t="shared" si="372"/>
        <v>0.23</v>
      </c>
      <c r="CG473" s="99">
        <f t="shared" si="373"/>
        <v>0.17</v>
      </c>
      <c r="CH473" s="99">
        <v>0.1</v>
      </c>
      <c r="CI473" s="175"/>
      <c r="CJ473" s="175"/>
      <c r="CK473" s="175"/>
      <c r="CL473" s="175"/>
      <c r="CM473" s="175"/>
      <c r="CN473" s="175"/>
      <c r="CO473" s="175"/>
      <c r="CP473" s="176"/>
      <c r="CQ473" s="176"/>
      <c r="CR473" s="176"/>
      <c r="CS473" s="176"/>
      <c r="CT473" s="176"/>
      <c r="CU473" s="176"/>
      <c r="CV473" s="176"/>
      <c r="CW473" s="167"/>
      <c r="CX473" s="168"/>
      <c r="CY473" s="168"/>
      <c r="CZ473" s="168"/>
      <c r="DA473" s="168"/>
      <c r="DB473" s="168"/>
      <c r="DC473" s="168"/>
      <c r="DD473" s="172"/>
      <c r="DE473" s="172"/>
      <c r="DF473" s="172"/>
      <c r="DG473" s="172"/>
      <c r="DH473" s="172"/>
      <c r="DI473" s="172"/>
      <c r="DJ473" s="172"/>
      <c r="DK473" s="80" t="s">
        <v>415</v>
      </c>
      <c r="DL473" s="129"/>
      <c r="DM473" s="129"/>
      <c r="DN473" s="129"/>
      <c r="DO473" s="129"/>
      <c r="DP473" s="129"/>
      <c r="DQ473" s="129"/>
      <c r="DR473" s="129"/>
      <c r="DS473" s="218"/>
      <c r="DT473" s="360"/>
      <c r="DU473" s="360"/>
      <c r="DV473" s="360"/>
      <c r="DW473" s="360"/>
      <c r="DX473" s="360"/>
      <c r="DY473" s="360"/>
      <c r="DZ473" s="360"/>
      <c r="EA473" s="360"/>
      <c r="EB473" s="360"/>
      <c r="EC473" s="360"/>
      <c r="ED473" s="360"/>
      <c r="EE473" s="360"/>
      <c r="EF473" s="360"/>
      <c r="EG473" s="360"/>
      <c r="EH473" s="360"/>
      <c r="EI473" s="360"/>
      <c r="EJ473" s="360"/>
      <c r="EK473" s="360"/>
      <c r="EL473" s="360"/>
      <c r="EM473" s="360"/>
      <c r="EN473" s="360"/>
      <c r="EO473" s="360"/>
      <c r="EP473" s="360"/>
      <c r="EQ473" s="360"/>
    </row>
    <row r="474" spans="1:147" x14ac:dyDescent="0.35">
      <c r="A474" s="5" t="s">
        <v>1730</v>
      </c>
      <c r="B474" s="5" t="s">
        <v>726</v>
      </c>
      <c r="C474" s="5" t="s">
        <v>534</v>
      </c>
      <c r="D474" s="5" t="s">
        <v>727</v>
      </c>
      <c r="E474" s="5" t="s">
        <v>1731</v>
      </c>
      <c r="F474" s="5" t="s">
        <v>538</v>
      </c>
      <c r="G474" s="47" t="s">
        <v>538</v>
      </c>
      <c r="H474" s="47" t="s">
        <v>1162</v>
      </c>
      <c r="I474" s="101">
        <v>0</v>
      </c>
      <c r="J474" s="101">
        <v>0</v>
      </c>
      <c r="K474" s="101">
        <v>0</v>
      </c>
      <c r="L474" s="101">
        <v>0</v>
      </c>
      <c r="M474" s="101">
        <v>0</v>
      </c>
      <c r="N474" s="101">
        <v>0</v>
      </c>
      <c r="O474" s="101">
        <v>0</v>
      </c>
      <c r="P474" s="93">
        <v>0</v>
      </c>
      <c r="Q474" s="101">
        <v>0</v>
      </c>
      <c r="R474" s="101">
        <v>0</v>
      </c>
      <c r="S474" s="101">
        <v>0</v>
      </c>
      <c r="T474" s="101">
        <v>0</v>
      </c>
      <c r="U474" s="101">
        <v>0</v>
      </c>
      <c r="V474" s="101">
        <v>0</v>
      </c>
      <c r="W474" s="101">
        <v>0</v>
      </c>
      <c r="X474" s="101">
        <v>0</v>
      </c>
      <c r="Y474" s="101">
        <v>0</v>
      </c>
      <c r="Z474" s="101">
        <v>0</v>
      </c>
      <c r="AA474" s="101">
        <v>0</v>
      </c>
      <c r="AB474" s="101">
        <v>0</v>
      </c>
      <c r="AC474" s="101">
        <v>0</v>
      </c>
      <c r="AD474" s="101">
        <v>0</v>
      </c>
      <c r="AE474" s="186">
        <v>0.08</v>
      </c>
      <c r="AF474" s="93">
        <v>0</v>
      </c>
      <c r="AG474" s="93">
        <v>1</v>
      </c>
      <c r="AH474" s="93">
        <v>1</v>
      </c>
      <c r="AI474" s="16">
        <v>1</v>
      </c>
      <c r="AJ474" s="16" t="s">
        <v>662</v>
      </c>
      <c r="AK474" s="16" t="s">
        <v>745</v>
      </c>
      <c r="AL474" s="16"/>
      <c r="AM474" s="60"/>
      <c r="AN474" s="60"/>
      <c r="AO474" s="60"/>
      <c r="AP474" s="60"/>
      <c r="AQ474" s="60"/>
      <c r="AR474" s="60"/>
      <c r="AS474" s="63"/>
      <c r="AT474" s="63"/>
      <c r="AU474" s="63"/>
      <c r="AV474" s="131"/>
      <c r="AW474" s="131"/>
      <c r="AX474" s="131"/>
      <c r="AY474" s="27" t="s">
        <v>662</v>
      </c>
      <c r="AZ474" s="27"/>
      <c r="BA474" s="27"/>
      <c r="BB474" s="30"/>
      <c r="BC474" s="30"/>
      <c r="BD474" s="30"/>
      <c r="BE474" s="30"/>
      <c r="BF474" s="30"/>
      <c r="BG474" s="30"/>
      <c r="BH474" s="107"/>
      <c r="BI474" s="107"/>
      <c r="BJ474" s="107"/>
      <c r="BK474" s="107"/>
      <c r="BL474" s="136"/>
      <c r="BM474" s="122"/>
      <c r="BN474" s="138"/>
      <c r="BO474" s="93"/>
      <c r="BP474" s="93"/>
      <c r="BQ474" s="93"/>
      <c r="BR474" s="93"/>
      <c r="BS474" s="93"/>
      <c r="BT474" s="93"/>
      <c r="BU474" s="27">
        <f t="shared" si="337"/>
        <v>0</v>
      </c>
      <c r="BV474" s="27"/>
      <c r="BW474" s="27"/>
      <c r="BX474" s="27"/>
      <c r="BY474" s="27"/>
      <c r="BZ474" s="27"/>
      <c r="CA474" s="27"/>
      <c r="CB474" s="97">
        <v>10</v>
      </c>
      <c r="CC474" s="97">
        <v>10</v>
      </c>
      <c r="CD474" s="97">
        <v>10</v>
      </c>
      <c r="CE474" s="97">
        <f t="shared" si="371"/>
        <v>10</v>
      </c>
      <c r="CF474" s="97">
        <f t="shared" si="372"/>
        <v>10</v>
      </c>
      <c r="CG474" s="97">
        <f t="shared" si="373"/>
        <v>10</v>
      </c>
      <c r="CH474" s="97">
        <v>10</v>
      </c>
      <c r="CI474" s="173"/>
      <c r="CJ474" s="173"/>
      <c r="CK474" s="173"/>
      <c r="CL474" s="173"/>
      <c r="CM474" s="173"/>
      <c r="CN474" s="173"/>
      <c r="CO474" s="173"/>
      <c r="CP474" s="174"/>
      <c r="CQ474" s="174"/>
      <c r="CR474" s="174"/>
      <c r="CS474" s="174"/>
      <c r="CT474" s="174"/>
      <c r="CU474" s="174"/>
      <c r="CV474" s="174"/>
      <c r="CW474" s="165"/>
      <c r="CX474" s="166"/>
      <c r="CY474" s="166"/>
      <c r="CZ474" s="166"/>
      <c r="DA474" s="166"/>
      <c r="DB474" s="166"/>
      <c r="DC474" s="166"/>
      <c r="DD474" s="171"/>
      <c r="DE474" s="171"/>
      <c r="DF474" s="171"/>
      <c r="DG474" s="171"/>
      <c r="DH474" s="171"/>
      <c r="DI474" s="171"/>
      <c r="DJ474" s="171"/>
      <c r="DK474" s="79" t="s">
        <v>415</v>
      </c>
      <c r="DL474" s="128"/>
      <c r="DM474" s="128"/>
      <c r="DN474" s="128"/>
      <c r="DO474" s="128"/>
      <c r="DP474" s="128"/>
      <c r="DQ474" s="128"/>
      <c r="DR474" s="128"/>
      <c r="DS474" s="218"/>
      <c r="DT474" s="360"/>
      <c r="DU474" s="360"/>
      <c r="DV474" s="360"/>
      <c r="DW474" s="360"/>
      <c r="DX474" s="360"/>
      <c r="DY474" s="360"/>
      <c r="DZ474" s="360"/>
      <c r="EA474" s="360"/>
      <c r="EB474" s="360"/>
      <c r="EC474" s="360"/>
      <c r="ED474" s="360"/>
      <c r="EE474" s="360"/>
      <c r="EF474" s="360"/>
      <c r="EG474" s="360"/>
      <c r="EH474" s="360"/>
      <c r="EI474" s="360"/>
      <c r="EJ474" s="360"/>
      <c r="EK474" s="360"/>
      <c r="EL474" s="360"/>
      <c r="EM474" s="360"/>
      <c r="EN474" s="360"/>
      <c r="EO474" s="360"/>
      <c r="EP474" s="360"/>
      <c r="EQ474" s="360"/>
    </row>
    <row r="475" spans="1:147" x14ac:dyDescent="0.35">
      <c r="A475" s="6" t="s">
        <v>1732</v>
      </c>
      <c r="B475" s="6" t="s">
        <v>726</v>
      </c>
      <c r="C475" s="6" t="s">
        <v>534</v>
      </c>
      <c r="D475" s="6" t="s">
        <v>727</v>
      </c>
      <c r="E475" s="6" t="s">
        <v>1731</v>
      </c>
      <c r="F475" s="6" t="s">
        <v>538</v>
      </c>
      <c r="G475" s="48" t="s">
        <v>1733</v>
      </c>
      <c r="H475" s="48" t="s">
        <v>1162</v>
      </c>
      <c r="I475" s="102">
        <v>25</v>
      </c>
      <c r="J475" s="102">
        <v>31.25</v>
      </c>
      <c r="K475" s="102">
        <v>37.5</v>
      </c>
      <c r="L475" s="102">
        <v>43.75</v>
      </c>
      <c r="M475" s="102">
        <v>50</v>
      </c>
      <c r="N475" s="102">
        <v>56.25</v>
      </c>
      <c r="O475" s="102">
        <v>62.5</v>
      </c>
      <c r="P475" s="94">
        <v>0</v>
      </c>
      <c r="Q475" s="102">
        <v>0</v>
      </c>
      <c r="R475" s="102">
        <v>0</v>
      </c>
      <c r="S475" s="102">
        <v>0</v>
      </c>
      <c r="T475" s="102">
        <v>0</v>
      </c>
      <c r="U475" s="102">
        <v>0</v>
      </c>
      <c r="V475" s="102">
        <v>0</v>
      </c>
      <c r="W475" s="102">
        <v>0</v>
      </c>
      <c r="X475" s="102">
        <v>0</v>
      </c>
      <c r="Y475" s="102">
        <v>0</v>
      </c>
      <c r="Z475" s="102">
        <v>0</v>
      </c>
      <c r="AA475" s="102">
        <v>0</v>
      </c>
      <c r="AB475" s="102">
        <v>0</v>
      </c>
      <c r="AC475" s="102">
        <v>0</v>
      </c>
      <c r="AD475" s="102">
        <v>0</v>
      </c>
      <c r="AE475" s="186">
        <v>0.08</v>
      </c>
      <c r="AF475" s="94">
        <v>0</v>
      </c>
      <c r="AG475" s="94">
        <v>20</v>
      </c>
      <c r="AH475" s="94">
        <v>20</v>
      </c>
      <c r="AI475" s="17">
        <v>1</v>
      </c>
      <c r="AJ475" s="17" t="s">
        <v>662</v>
      </c>
      <c r="AK475" s="17" t="s">
        <v>745</v>
      </c>
      <c r="AL475" s="17"/>
      <c r="AM475" s="61"/>
      <c r="AN475" s="61"/>
      <c r="AO475" s="61"/>
      <c r="AP475" s="61"/>
      <c r="AQ475" s="61"/>
      <c r="AR475" s="61"/>
      <c r="AS475" s="64"/>
      <c r="AT475" s="64"/>
      <c r="AU475" s="64"/>
      <c r="AV475" s="132"/>
      <c r="AW475" s="132"/>
      <c r="AX475" s="132"/>
      <c r="AY475" s="28" t="s">
        <v>662</v>
      </c>
      <c r="AZ475" s="28"/>
      <c r="BA475" s="28"/>
      <c r="BB475" s="28"/>
      <c r="BC475" s="28"/>
      <c r="BD475" s="28"/>
      <c r="BE475" s="28"/>
      <c r="BF475" s="28"/>
      <c r="BG475" s="28"/>
      <c r="BH475" s="106"/>
      <c r="BI475" s="106"/>
      <c r="BJ475" s="106"/>
      <c r="BK475" s="106"/>
      <c r="BL475" s="137"/>
      <c r="BM475" s="123"/>
      <c r="BN475" s="139">
        <v>0</v>
      </c>
      <c r="BO475" s="94"/>
      <c r="BP475" s="94"/>
      <c r="BQ475" s="94"/>
      <c r="BR475" s="94"/>
      <c r="BS475" s="94"/>
      <c r="BT475" s="94"/>
      <c r="BU475" s="28">
        <f t="shared" si="337"/>
        <v>0</v>
      </c>
      <c r="BV475" s="28"/>
      <c r="BW475" s="28"/>
      <c r="BX475" s="28"/>
      <c r="BY475" s="28"/>
      <c r="BZ475" s="28"/>
      <c r="CA475" s="28"/>
      <c r="CB475" s="99">
        <v>6.2000000000000006E-2</v>
      </c>
      <c r="CC475" s="99">
        <v>0.11016666666666668</v>
      </c>
      <c r="CD475" s="99">
        <v>0.1</v>
      </c>
      <c r="CE475" s="99">
        <f t="shared" si="371"/>
        <v>0.1</v>
      </c>
      <c r="CF475" s="99">
        <f t="shared" si="372"/>
        <v>0.09</v>
      </c>
      <c r="CG475" s="99">
        <f t="shared" si="373"/>
        <v>0.09</v>
      </c>
      <c r="CH475" s="99">
        <v>0.08</v>
      </c>
      <c r="CI475" s="175"/>
      <c r="CJ475" s="175"/>
      <c r="CK475" s="175"/>
      <c r="CL475" s="175"/>
      <c r="CM475" s="175"/>
      <c r="CN475" s="175"/>
      <c r="CO475" s="175"/>
      <c r="CP475" s="176"/>
      <c r="CQ475" s="176"/>
      <c r="CR475" s="176"/>
      <c r="CS475" s="176"/>
      <c r="CT475" s="176"/>
      <c r="CU475" s="176"/>
      <c r="CV475" s="176"/>
      <c r="CW475" s="167"/>
      <c r="CX475" s="168"/>
      <c r="CY475" s="168"/>
      <c r="CZ475" s="168"/>
      <c r="DA475" s="168"/>
      <c r="DB475" s="168"/>
      <c r="DC475" s="168"/>
      <c r="DD475" s="172"/>
      <c r="DE475" s="172"/>
      <c r="DF475" s="172"/>
      <c r="DG475" s="172"/>
      <c r="DH475" s="172"/>
      <c r="DI475" s="172"/>
      <c r="DJ475" s="172"/>
      <c r="DK475" s="80" t="s">
        <v>1519</v>
      </c>
      <c r="DL475" s="129"/>
      <c r="DM475" s="129"/>
      <c r="DN475" s="129"/>
      <c r="DO475" s="129"/>
      <c r="DP475" s="129"/>
      <c r="DQ475" s="129"/>
      <c r="DR475" s="129"/>
      <c r="DS475" s="218"/>
      <c r="DT475" s="360"/>
      <c r="DU475" s="360"/>
      <c r="DV475" s="360"/>
      <c r="DW475" s="360"/>
      <c r="DX475" s="360"/>
      <c r="DY475" s="360"/>
      <c r="DZ475" s="360"/>
      <c r="EA475" s="360"/>
      <c r="EB475" s="360"/>
      <c r="EC475" s="360"/>
      <c r="ED475" s="360"/>
      <c r="EE475" s="360"/>
      <c r="EF475" s="360"/>
      <c r="EG475" s="360"/>
      <c r="EH475" s="360"/>
      <c r="EI475" s="360"/>
      <c r="EJ475" s="360"/>
      <c r="EK475" s="360"/>
      <c r="EL475" s="360"/>
      <c r="EM475" s="360"/>
      <c r="EN475" s="360"/>
      <c r="EO475" s="360"/>
      <c r="EP475" s="360"/>
      <c r="EQ475" s="360"/>
    </row>
    <row r="476" spans="1:147" x14ac:dyDescent="0.35">
      <c r="A476" s="5" t="s">
        <v>1734</v>
      </c>
      <c r="B476" s="5" t="s">
        <v>726</v>
      </c>
      <c r="C476" s="5" t="s">
        <v>534</v>
      </c>
      <c r="D476" s="5" t="s">
        <v>727</v>
      </c>
      <c r="E476" s="5" t="s">
        <v>1731</v>
      </c>
      <c r="F476" s="5" t="s">
        <v>538</v>
      </c>
      <c r="G476" s="47" t="s">
        <v>1735</v>
      </c>
      <c r="H476" s="47" t="s">
        <v>1162</v>
      </c>
      <c r="I476" s="101">
        <v>812.5</v>
      </c>
      <c r="J476" s="101">
        <v>843.75</v>
      </c>
      <c r="K476" s="101">
        <v>875</v>
      </c>
      <c r="L476" s="101">
        <v>906.25</v>
      </c>
      <c r="M476" s="101">
        <v>937.5</v>
      </c>
      <c r="N476" s="101">
        <v>968.75</v>
      </c>
      <c r="O476" s="101">
        <v>1000</v>
      </c>
      <c r="P476" s="93">
        <v>0</v>
      </c>
      <c r="Q476" s="101">
        <v>0</v>
      </c>
      <c r="R476" s="101">
        <v>0</v>
      </c>
      <c r="S476" s="101">
        <v>0</v>
      </c>
      <c r="T476" s="101">
        <v>0</v>
      </c>
      <c r="U476" s="101">
        <v>0</v>
      </c>
      <c r="V476" s="101">
        <v>0</v>
      </c>
      <c r="W476" s="101">
        <v>0</v>
      </c>
      <c r="X476" s="101">
        <v>0</v>
      </c>
      <c r="Y476" s="101">
        <v>0</v>
      </c>
      <c r="Z476" s="101">
        <v>0</v>
      </c>
      <c r="AA476" s="101">
        <v>0</v>
      </c>
      <c r="AB476" s="101">
        <v>0</v>
      </c>
      <c r="AC476" s="101">
        <v>0</v>
      </c>
      <c r="AD476" s="101">
        <v>0</v>
      </c>
      <c r="AE476" s="186">
        <v>0.08</v>
      </c>
      <c r="AF476" s="93">
        <v>0</v>
      </c>
      <c r="AG476" s="93">
        <v>20</v>
      </c>
      <c r="AH476" s="93">
        <v>20</v>
      </c>
      <c r="AI476" s="16">
        <v>1</v>
      </c>
      <c r="AJ476" s="16" t="s">
        <v>662</v>
      </c>
      <c r="AK476" s="16" t="s">
        <v>745</v>
      </c>
      <c r="AL476" s="16"/>
      <c r="AM476" s="60"/>
      <c r="AN476" s="60"/>
      <c r="AO476" s="60"/>
      <c r="AP476" s="60"/>
      <c r="AQ476" s="60"/>
      <c r="AR476" s="60"/>
      <c r="AS476" s="63"/>
      <c r="AT476" s="63"/>
      <c r="AU476" s="63"/>
      <c r="AV476" s="131"/>
      <c r="AW476" s="131"/>
      <c r="AX476" s="131"/>
      <c r="AY476" s="27" t="s">
        <v>662</v>
      </c>
      <c r="AZ476" s="27"/>
      <c r="BA476" s="27"/>
      <c r="BB476" s="30"/>
      <c r="BC476" s="30"/>
      <c r="BD476" s="30"/>
      <c r="BE476" s="30"/>
      <c r="BF476" s="30"/>
      <c r="BG476" s="30"/>
      <c r="BH476" s="107"/>
      <c r="BI476" s="107"/>
      <c r="BJ476" s="107"/>
      <c r="BK476" s="107"/>
      <c r="BL476" s="136"/>
      <c r="BM476" s="122"/>
      <c r="BN476" s="138">
        <v>0</v>
      </c>
      <c r="BO476" s="93"/>
      <c r="BP476" s="93"/>
      <c r="BQ476" s="93"/>
      <c r="BR476" s="93"/>
      <c r="BS476" s="93"/>
      <c r="BT476" s="93"/>
      <c r="BU476" s="27">
        <f t="shared" si="337"/>
        <v>0</v>
      </c>
      <c r="BV476" s="27"/>
      <c r="BW476" s="27"/>
      <c r="BX476" s="27"/>
      <c r="BY476" s="27"/>
      <c r="BZ476" s="27"/>
      <c r="CA476" s="27"/>
      <c r="CB476" s="97">
        <v>0.15500000000000003</v>
      </c>
      <c r="CC476" s="97">
        <v>0.2506666666666667</v>
      </c>
      <c r="CD476" s="97">
        <v>0.2</v>
      </c>
      <c r="CE476" s="97">
        <f t="shared" si="371"/>
        <v>0.2</v>
      </c>
      <c r="CF476" s="97">
        <f t="shared" si="372"/>
        <v>0.19</v>
      </c>
      <c r="CG476" s="97">
        <f t="shared" si="373"/>
        <v>0.18</v>
      </c>
      <c r="CH476" s="97">
        <v>0.17</v>
      </c>
      <c r="CI476" s="173"/>
      <c r="CJ476" s="173"/>
      <c r="CK476" s="173"/>
      <c r="CL476" s="173"/>
      <c r="CM476" s="173"/>
      <c r="CN476" s="173"/>
      <c r="CO476" s="173"/>
      <c r="CP476" s="174"/>
      <c r="CQ476" s="174"/>
      <c r="CR476" s="174"/>
      <c r="CS476" s="174"/>
      <c r="CT476" s="174"/>
      <c r="CU476" s="174"/>
      <c r="CV476" s="174"/>
      <c r="CW476" s="165"/>
      <c r="CX476" s="166"/>
      <c r="CY476" s="166"/>
      <c r="CZ476" s="166"/>
      <c r="DA476" s="166"/>
      <c r="DB476" s="166"/>
      <c r="DC476" s="166"/>
      <c r="DD476" s="171"/>
      <c r="DE476" s="171"/>
      <c r="DF476" s="171"/>
      <c r="DG476" s="171"/>
      <c r="DH476" s="171"/>
      <c r="DI476" s="171"/>
      <c r="DJ476" s="171"/>
      <c r="DK476" s="79" t="s">
        <v>415</v>
      </c>
      <c r="DL476" s="128"/>
      <c r="DM476" s="128"/>
      <c r="DN476" s="128"/>
      <c r="DO476" s="128"/>
      <c r="DP476" s="128"/>
      <c r="DQ476" s="128"/>
      <c r="DR476" s="128"/>
      <c r="DS476" s="218"/>
      <c r="DT476" s="360"/>
      <c r="DU476" s="360"/>
      <c r="DV476" s="360"/>
      <c r="DW476" s="360"/>
      <c r="DX476" s="360"/>
      <c r="DY476" s="360"/>
      <c r="DZ476" s="360"/>
      <c r="EA476" s="360"/>
      <c r="EB476" s="360"/>
      <c r="EC476" s="360"/>
      <c r="ED476" s="360"/>
      <c r="EE476" s="360"/>
      <c r="EF476" s="360"/>
      <c r="EG476" s="360"/>
      <c r="EH476" s="360"/>
      <c r="EI476" s="360"/>
      <c r="EJ476" s="360"/>
      <c r="EK476" s="360"/>
      <c r="EL476" s="360"/>
      <c r="EM476" s="360"/>
      <c r="EN476" s="360"/>
      <c r="EO476" s="360"/>
      <c r="EP476" s="360"/>
      <c r="EQ476" s="360"/>
    </row>
    <row r="477" spans="1:147" x14ac:dyDescent="0.35">
      <c r="A477" s="6" t="s">
        <v>1736</v>
      </c>
      <c r="B477" s="6" t="s">
        <v>726</v>
      </c>
      <c r="C477" s="6" t="s">
        <v>534</v>
      </c>
      <c r="D477" s="6" t="s">
        <v>727</v>
      </c>
      <c r="E477" s="6" t="s">
        <v>1731</v>
      </c>
      <c r="F477" s="6" t="s">
        <v>538</v>
      </c>
      <c r="G477" s="48" t="s">
        <v>1737</v>
      </c>
      <c r="H477" s="48" t="s">
        <v>1162</v>
      </c>
      <c r="I477" s="102">
        <v>4750</v>
      </c>
      <c r="J477" s="102">
        <v>4750</v>
      </c>
      <c r="K477" s="102">
        <v>4750</v>
      </c>
      <c r="L477" s="102">
        <v>4750</v>
      </c>
      <c r="M477" s="102">
        <v>4750</v>
      </c>
      <c r="N477" s="102">
        <v>4750</v>
      </c>
      <c r="O477" s="102">
        <v>4750</v>
      </c>
      <c r="P477" s="94">
        <v>0</v>
      </c>
      <c r="Q477" s="102">
        <v>0</v>
      </c>
      <c r="R477" s="102">
        <v>0</v>
      </c>
      <c r="S477" s="102">
        <v>0</v>
      </c>
      <c r="T477" s="102">
        <v>0</v>
      </c>
      <c r="U477" s="102">
        <v>0</v>
      </c>
      <c r="V477" s="102">
        <v>0</v>
      </c>
      <c r="W477" s="102">
        <v>0</v>
      </c>
      <c r="X477" s="102">
        <v>0</v>
      </c>
      <c r="Y477" s="102">
        <v>0</v>
      </c>
      <c r="Z477" s="102">
        <v>0</v>
      </c>
      <c r="AA477" s="102">
        <v>0</v>
      </c>
      <c r="AB477" s="102">
        <v>0</v>
      </c>
      <c r="AC477" s="102">
        <v>0</v>
      </c>
      <c r="AD477" s="102">
        <v>0</v>
      </c>
      <c r="AE477" s="186">
        <v>0.08</v>
      </c>
      <c r="AF477" s="94">
        <v>0</v>
      </c>
      <c r="AG477" s="94">
        <v>20</v>
      </c>
      <c r="AH477" s="94">
        <v>20</v>
      </c>
      <c r="AI477" s="17">
        <v>1</v>
      </c>
      <c r="AJ477" s="17" t="s">
        <v>662</v>
      </c>
      <c r="AK477" s="17" t="s">
        <v>745</v>
      </c>
      <c r="AL477" s="17"/>
      <c r="AM477" s="61"/>
      <c r="AN477" s="61"/>
      <c r="AO477" s="61"/>
      <c r="AP477" s="61"/>
      <c r="AQ477" s="61"/>
      <c r="AR477" s="61"/>
      <c r="AS477" s="64"/>
      <c r="AT477" s="64"/>
      <c r="AU477" s="64"/>
      <c r="AV477" s="132"/>
      <c r="AW477" s="132"/>
      <c r="AX477" s="132"/>
      <c r="AY477" s="28" t="s">
        <v>662</v>
      </c>
      <c r="AZ477" s="28"/>
      <c r="BA477" s="28"/>
      <c r="BB477" s="28"/>
      <c r="BC477" s="28"/>
      <c r="BD477" s="28"/>
      <c r="BE477" s="28"/>
      <c r="BF477" s="28"/>
      <c r="BG477" s="28"/>
      <c r="BH477" s="106"/>
      <c r="BI477" s="106"/>
      <c r="BJ477" s="106"/>
      <c r="BK477" s="106"/>
      <c r="BL477" s="137"/>
      <c r="BM477" s="123"/>
      <c r="BN477" s="139">
        <v>0</v>
      </c>
      <c r="BO477" s="94"/>
      <c r="BP477" s="94"/>
      <c r="BQ477" s="94"/>
      <c r="BR477" s="94"/>
      <c r="BS477" s="94"/>
      <c r="BT477" s="94"/>
      <c r="BU477" s="28">
        <f t="shared" si="337"/>
        <v>0</v>
      </c>
      <c r="BV477" s="28"/>
      <c r="BW477" s="28"/>
      <c r="BX477" s="28"/>
      <c r="BY477" s="28"/>
      <c r="BZ477" s="28"/>
      <c r="CA477" s="28"/>
      <c r="CB477" s="99">
        <v>0</v>
      </c>
      <c r="CC477" s="99">
        <v>3.1500000000000007E-2</v>
      </c>
      <c r="CD477" s="99">
        <v>0.06</v>
      </c>
      <c r="CE477" s="99">
        <f t="shared" si="371"/>
        <v>0.06</v>
      </c>
      <c r="CF477" s="99">
        <f t="shared" si="372"/>
        <v>0.05</v>
      </c>
      <c r="CG477" s="99">
        <f t="shared" si="373"/>
        <v>0.05</v>
      </c>
      <c r="CH477" s="99">
        <v>0.04</v>
      </c>
      <c r="CI477" s="175"/>
      <c r="CJ477" s="175"/>
      <c r="CK477" s="175"/>
      <c r="CL477" s="175"/>
      <c r="CM477" s="175"/>
      <c r="CN477" s="175"/>
      <c r="CO477" s="175"/>
      <c r="CP477" s="176"/>
      <c r="CQ477" s="176"/>
      <c r="CR477" s="176"/>
      <c r="CS477" s="176"/>
      <c r="CT477" s="176"/>
      <c r="CU477" s="176"/>
      <c r="CV477" s="176"/>
      <c r="CW477" s="167"/>
      <c r="CX477" s="168"/>
      <c r="CY477" s="168"/>
      <c r="CZ477" s="168"/>
      <c r="DA477" s="168"/>
      <c r="DB477" s="168"/>
      <c r="DC477" s="168"/>
      <c r="DD477" s="172"/>
      <c r="DE477" s="172"/>
      <c r="DF477" s="172"/>
      <c r="DG477" s="172"/>
      <c r="DH477" s="172"/>
      <c r="DI477" s="172"/>
      <c r="DJ477" s="172"/>
      <c r="DK477" s="80" t="s">
        <v>415</v>
      </c>
      <c r="DL477" s="129"/>
      <c r="DM477" s="129"/>
      <c r="DN477" s="129"/>
      <c r="DO477" s="129"/>
      <c r="DP477" s="129"/>
      <c r="DQ477" s="129"/>
      <c r="DR477" s="129"/>
      <c r="DS477" s="218"/>
      <c r="DT477" s="360"/>
      <c r="DU477" s="360"/>
      <c r="DV477" s="360"/>
      <c r="DW477" s="360"/>
      <c r="DX477" s="360"/>
      <c r="DY477" s="360"/>
      <c r="DZ477" s="360"/>
      <c r="EA477" s="360"/>
      <c r="EB477" s="360"/>
      <c r="EC477" s="360"/>
      <c r="ED477" s="360"/>
      <c r="EE477" s="360"/>
      <c r="EF477" s="360"/>
      <c r="EG477" s="360"/>
      <c r="EH477" s="360"/>
      <c r="EI477" s="360"/>
      <c r="EJ477" s="360"/>
      <c r="EK477" s="360"/>
      <c r="EL477" s="360"/>
      <c r="EM477" s="360"/>
      <c r="EN477" s="360"/>
      <c r="EO477" s="360"/>
      <c r="EP477" s="360"/>
      <c r="EQ477" s="360"/>
    </row>
    <row r="478" spans="1:147" x14ac:dyDescent="0.35">
      <c r="A478" s="5" t="s">
        <v>1738</v>
      </c>
      <c r="B478" s="5" t="s">
        <v>726</v>
      </c>
      <c r="C478" s="5" t="s">
        <v>534</v>
      </c>
      <c r="D478" s="5" t="s">
        <v>727</v>
      </c>
      <c r="E478" s="5" t="s">
        <v>1731</v>
      </c>
      <c r="F478" s="5" t="s">
        <v>538</v>
      </c>
      <c r="G478" s="47" t="s">
        <v>1739</v>
      </c>
      <c r="H478" s="47" t="s">
        <v>1162</v>
      </c>
      <c r="I478" s="101">
        <v>187.5</v>
      </c>
      <c r="J478" s="101">
        <v>197.92</v>
      </c>
      <c r="K478" s="101">
        <v>208.33</v>
      </c>
      <c r="L478" s="101">
        <v>218.75</v>
      </c>
      <c r="M478" s="101">
        <v>229.17</v>
      </c>
      <c r="N478" s="101">
        <v>239.58</v>
      </c>
      <c r="O478" s="101">
        <v>250</v>
      </c>
      <c r="P478" s="93">
        <v>0</v>
      </c>
      <c r="Q478" s="101">
        <v>0</v>
      </c>
      <c r="R478" s="101">
        <v>0</v>
      </c>
      <c r="S478" s="101">
        <v>0</v>
      </c>
      <c r="T478" s="101">
        <v>0</v>
      </c>
      <c r="U478" s="101">
        <v>0</v>
      </c>
      <c r="V478" s="101">
        <v>0</v>
      </c>
      <c r="W478" s="101">
        <v>0</v>
      </c>
      <c r="X478" s="101">
        <v>0</v>
      </c>
      <c r="Y478" s="101">
        <v>0</v>
      </c>
      <c r="Z478" s="101">
        <v>0</v>
      </c>
      <c r="AA478" s="101">
        <v>0</v>
      </c>
      <c r="AB478" s="101">
        <v>0</v>
      </c>
      <c r="AC478" s="101">
        <v>0</v>
      </c>
      <c r="AD478" s="101">
        <v>0</v>
      </c>
      <c r="AE478" s="186">
        <v>0.08</v>
      </c>
      <c r="AF478" s="93">
        <v>0</v>
      </c>
      <c r="AG478" s="93">
        <v>20</v>
      </c>
      <c r="AH478" s="93">
        <v>20</v>
      </c>
      <c r="AI478" s="16">
        <v>1</v>
      </c>
      <c r="AJ478" s="16" t="s">
        <v>662</v>
      </c>
      <c r="AK478" s="16" t="s">
        <v>745</v>
      </c>
      <c r="AL478" s="16"/>
      <c r="AM478" s="60"/>
      <c r="AN478" s="60"/>
      <c r="AO478" s="60"/>
      <c r="AP478" s="60"/>
      <c r="AQ478" s="60"/>
      <c r="AR478" s="60"/>
      <c r="AS478" s="63"/>
      <c r="AT478" s="63"/>
      <c r="AU478" s="63"/>
      <c r="AV478" s="131"/>
      <c r="AW478" s="131"/>
      <c r="AX478" s="131"/>
      <c r="AY478" s="27" t="s">
        <v>662</v>
      </c>
      <c r="AZ478" s="27"/>
      <c r="BA478" s="27"/>
      <c r="BB478" s="30"/>
      <c r="BC478" s="30"/>
      <c r="BD478" s="30"/>
      <c r="BE478" s="30"/>
      <c r="BF478" s="30"/>
      <c r="BG478" s="30"/>
      <c r="BH478" s="107"/>
      <c r="BI478" s="107"/>
      <c r="BJ478" s="107"/>
      <c r="BK478" s="107"/>
      <c r="BL478" s="136"/>
      <c r="BM478" s="122"/>
      <c r="BN478" s="138">
        <v>0</v>
      </c>
      <c r="BO478" s="93"/>
      <c r="BP478" s="93"/>
      <c r="BQ478" s="93"/>
      <c r="BR478" s="93"/>
      <c r="BS478" s="93"/>
      <c r="BT478" s="93"/>
      <c r="BU478" s="27">
        <f t="shared" si="337"/>
        <v>0</v>
      </c>
      <c r="BV478" s="27"/>
      <c r="BW478" s="27"/>
      <c r="BX478" s="27"/>
      <c r="BY478" s="27"/>
      <c r="BZ478" s="27"/>
      <c r="CA478" s="27"/>
      <c r="CB478" s="97">
        <v>8.0000000000000016E-2</v>
      </c>
      <c r="CC478" s="97">
        <v>9.3901497133514242E-2</v>
      </c>
      <c r="CD478" s="97">
        <v>0.05</v>
      </c>
      <c r="CE478" s="97">
        <f t="shared" si="371"/>
        <v>0.05</v>
      </c>
      <c r="CF478" s="97">
        <f t="shared" si="372"/>
        <v>0.05</v>
      </c>
      <c r="CG478" s="97">
        <f t="shared" si="373"/>
        <v>0.05</v>
      </c>
      <c r="CH478" s="97">
        <v>0.04</v>
      </c>
      <c r="CI478" s="173"/>
      <c r="CJ478" s="173"/>
      <c r="CK478" s="173"/>
      <c r="CL478" s="173"/>
      <c r="CM478" s="173"/>
      <c r="CN478" s="173"/>
      <c r="CO478" s="173"/>
      <c r="CP478" s="174"/>
      <c r="CQ478" s="174"/>
      <c r="CR478" s="174"/>
      <c r="CS478" s="174"/>
      <c r="CT478" s="174"/>
      <c r="CU478" s="174"/>
      <c r="CV478" s="174"/>
      <c r="CW478" s="165"/>
      <c r="CX478" s="166"/>
      <c r="CY478" s="166"/>
      <c r="CZ478" s="166"/>
      <c r="DA478" s="166"/>
      <c r="DB478" s="166"/>
      <c r="DC478" s="166"/>
      <c r="DD478" s="171"/>
      <c r="DE478" s="171"/>
      <c r="DF478" s="171"/>
      <c r="DG478" s="171"/>
      <c r="DH478" s="171"/>
      <c r="DI478" s="171"/>
      <c r="DJ478" s="171"/>
      <c r="DK478" s="79" t="s">
        <v>415</v>
      </c>
      <c r="DL478" s="128"/>
      <c r="DM478" s="128"/>
      <c r="DN478" s="128"/>
      <c r="DO478" s="128"/>
      <c r="DP478" s="128"/>
      <c r="DQ478" s="128"/>
      <c r="DR478" s="128"/>
      <c r="DS478" s="218"/>
      <c r="DT478" s="360"/>
      <c r="DU478" s="360"/>
      <c r="DV478" s="360"/>
      <c r="DW478" s="360"/>
      <c r="DX478" s="360"/>
      <c r="DY478" s="360"/>
      <c r="DZ478" s="360"/>
      <c r="EA478" s="360"/>
      <c r="EB478" s="360"/>
      <c r="EC478" s="360"/>
      <c r="ED478" s="360"/>
      <c r="EE478" s="360"/>
      <c r="EF478" s="360"/>
      <c r="EG478" s="360"/>
      <c r="EH478" s="360"/>
      <c r="EI478" s="360"/>
      <c r="EJ478" s="360"/>
      <c r="EK478" s="360"/>
      <c r="EL478" s="360"/>
      <c r="EM478" s="360"/>
      <c r="EN478" s="360"/>
      <c r="EO478" s="360"/>
      <c r="EP478" s="360"/>
      <c r="EQ478" s="360"/>
    </row>
    <row r="479" spans="1:147" x14ac:dyDescent="0.35">
      <c r="A479" s="6" t="s">
        <v>1740</v>
      </c>
      <c r="B479" s="6" t="s">
        <v>726</v>
      </c>
      <c r="C479" s="6" t="s">
        <v>534</v>
      </c>
      <c r="D479" s="6" t="s">
        <v>727</v>
      </c>
      <c r="E479" s="6" t="s">
        <v>1731</v>
      </c>
      <c r="F479" s="6" t="s">
        <v>538</v>
      </c>
      <c r="G479" s="48" t="s">
        <v>1741</v>
      </c>
      <c r="H479" s="48" t="s">
        <v>1162</v>
      </c>
      <c r="I479" s="102">
        <v>812.5</v>
      </c>
      <c r="J479" s="102">
        <v>833.33</v>
      </c>
      <c r="K479" s="102">
        <v>854.17</v>
      </c>
      <c r="L479" s="102">
        <v>875</v>
      </c>
      <c r="M479" s="102">
        <v>895.83</v>
      </c>
      <c r="N479" s="102">
        <v>916.67</v>
      </c>
      <c r="O479" s="102">
        <v>937.5</v>
      </c>
      <c r="P479" s="94">
        <v>0</v>
      </c>
      <c r="Q479" s="102">
        <v>0</v>
      </c>
      <c r="R479" s="102">
        <v>0</v>
      </c>
      <c r="S479" s="102">
        <v>0</v>
      </c>
      <c r="T479" s="102">
        <v>0</v>
      </c>
      <c r="U479" s="102">
        <v>0</v>
      </c>
      <c r="V479" s="102">
        <v>0</v>
      </c>
      <c r="W479" s="102">
        <v>0</v>
      </c>
      <c r="X479" s="102">
        <v>0</v>
      </c>
      <c r="Y479" s="102">
        <v>0</v>
      </c>
      <c r="Z479" s="102">
        <v>0</v>
      </c>
      <c r="AA479" s="102">
        <v>0</v>
      </c>
      <c r="AB479" s="102">
        <v>0</v>
      </c>
      <c r="AC479" s="102">
        <v>0</v>
      </c>
      <c r="AD479" s="102">
        <v>0</v>
      </c>
      <c r="AE479" s="186">
        <v>0.08</v>
      </c>
      <c r="AF479" s="94">
        <v>0</v>
      </c>
      <c r="AG479" s="94">
        <v>20</v>
      </c>
      <c r="AH479" s="94">
        <v>20</v>
      </c>
      <c r="AI479" s="17">
        <v>1</v>
      </c>
      <c r="AJ479" s="17" t="s">
        <v>662</v>
      </c>
      <c r="AK479" s="17" t="s">
        <v>745</v>
      </c>
      <c r="AL479" s="17"/>
      <c r="AM479" s="61"/>
      <c r="AN479" s="61"/>
      <c r="AO479" s="61"/>
      <c r="AP479" s="61"/>
      <c r="AQ479" s="61"/>
      <c r="AR479" s="61"/>
      <c r="AS479" s="64"/>
      <c r="AT479" s="64"/>
      <c r="AU479" s="64"/>
      <c r="AV479" s="132"/>
      <c r="AW479" s="132"/>
      <c r="AX479" s="132"/>
      <c r="AY479" s="28" t="s">
        <v>662</v>
      </c>
      <c r="AZ479" s="28"/>
      <c r="BA479" s="28"/>
      <c r="BB479" s="28"/>
      <c r="BC479" s="28"/>
      <c r="BD479" s="28"/>
      <c r="BE479" s="28"/>
      <c r="BF479" s="28"/>
      <c r="BG479" s="28"/>
      <c r="BH479" s="106"/>
      <c r="BI479" s="106"/>
      <c r="BJ479" s="106"/>
      <c r="BK479" s="106"/>
      <c r="BL479" s="137"/>
      <c r="BM479" s="123"/>
      <c r="BN479" s="139">
        <v>0</v>
      </c>
      <c r="BO479" s="94"/>
      <c r="BP479" s="94"/>
      <c r="BQ479" s="94"/>
      <c r="BR479" s="94"/>
      <c r="BS479" s="94"/>
      <c r="BT479" s="94"/>
      <c r="BU479" s="28">
        <f t="shared" si="337"/>
        <v>0</v>
      </c>
      <c r="BV479" s="28"/>
      <c r="BW479" s="28"/>
      <c r="BX479" s="28"/>
      <c r="BY479" s="28"/>
      <c r="BZ479" s="28"/>
      <c r="CA479" s="28"/>
      <c r="CB479" s="99">
        <v>6.4000000000000001E-2</v>
      </c>
      <c r="CC479" s="99">
        <v>6.967423161344187E-2</v>
      </c>
      <c r="CD479" s="99">
        <v>0.04</v>
      </c>
      <c r="CE479" s="99">
        <f t="shared" si="371"/>
        <v>0.04</v>
      </c>
      <c r="CF479" s="99">
        <f t="shared" si="372"/>
        <v>0.04</v>
      </c>
      <c r="CG479" s="99">
        <f t="shared" si="373"/>
        <v>0.04</v>
      </c>
      <c r="CH479" s="99">
        <v>0.03</v>
      </c>
      <c r="CI479" s="175"/>
      <c r="CJ479" s="175"/>
      <c r="CK479" s="175"/>
      <c r="CL479" s="175"/>
      <c r="CM479" s="175"/>
      <c r="CN479" s="175"/>
      <c r="CO479" s="175"/>
      <c r="CP479" s="176"/>
      <c r="CQ479" s="176"/>
      <c r="CR479" s="176"/>
      <c r="CS479" s="176"/>
      <c r="CT479" s="176"/>
      <c r="CU479" s="176"/>
      <c r="CV479" s="176"/>
      <c r="CW479" s="167"/>
      <c r="CX479" s="168"/>
      <c r="CY479" s="168"/>
      <c r="CZ479" s="168"/>
      <c r="DA479" s="168"/>
      <c r="DB479" s="168"/>
      <c r="DC479" s="168"/>
      <c r="DD479" s="172"/>
      <c r="DE479" s="172"/>
      <c r="DF479" s="172"/>
      <c r="DG479" s="172"/>
      <c r="DH479" s="172"/>
      <c r="DI479" s="172"/>
      <c r="DJ479" s="172"/>
      <c r="DK479" s="80" t="s">
        <v>415</v>
      </c>
      <c r="DL479" s="129"/>
      <c r="DM479" s="129"/>
      <c r="DN479" s="129"/>
      <c r="DO479" s="129"/>
      <c r="DP479" s="129"/>
      <c r="DQ479" s="129"/>
      <c r="DR479" s="129"/>
      <c r="DS479" s="218"/>
      <c r="DT479" s="360"/>
      <c r="DU479" s="360"/>
      <c r="DV479" s="360"/>
      <c r="DW479" s="360"/>
      <c r="DX479" s="360"/>
      <c r="DY479" s="360"/>
      <c r="DZ479" s="360"/>
      <c r="EA479" s="360"/>
      <c r="EB479" s="360"/>
      <c r="EC479" s="360"/>
      <c r="ED479" s="360"/>
      <c r="EE479" s="360"/>
      <c r="EF479" s="360"/>
      <c r="EG479" s="360"/>
      <c r="EH479" s="360"/>
      <c r="EI479" s="360"/>
      <c r="EJ479" s="360"/>
      <c r="EK479" s="360"/>
      <c r="EL479" s="360"/>
      <c r="EM479" s="360"/>
      <c r="EN479" s="360"/>
      <c r="EO479" s="360"/>
      <c r="EP479" s="360"/>
      <c r="EQ479" s="360"/>
    </row>
    <row r="480" spans="1:147" x14ac:dyDescent="0.35">
      <c r="A480" s="5" t="s">
        <v>1742</v>
      </c>
      <c r="B480" s="5" t="s">
        <v>726</v>
      </c>
      <c r="C480" s="5" t="s">
        <v>534</v>
      </c>
      <c r="D480" s="5" t="s">
        <v>727</v>
      </c>
      <c r="E480" s="5" t="s">
        <v>1731</v>
      </c>
      <c r="F480" s="5" t="s">
        <v>538</v>
      </c>
      <c r="G480" s="47" t="s">
        <v>1743</v>
      </c>
      <c r="H480" s="47" t="s">
        <v>1162</v>
      </c>
      <c r="I480" s="101">
        <v>4750</v>
      </c>
      <c r="J480" s="101">
        <v>4750</v>
      </c>
      <c r="K480" s="101">
        <v>4750</v>
      </c>
      <c r="L480" s="101">
        <v>4750</v>
      </c>
      <c r="M480" s="101">
        <v>4750</v>
      </c>
      <c r="N480" s="101">
        <v>4750</v>
      </c>
      <c r="O480" s="101">
        <v>4750</v>
      </c>
      <c r="P480" s="93">
        <v>0</v>
      </c>
      <c r="Q480" s="101">
        <v>0</v>
      </c>
      <c r="R480" s="101">
        <v>0</v>
      </c>
      <c r="S480" s="101">
        <v>0</v>
      </c>
      <c r="T480" s="101">
        <v>0</v>
      </c>
      <c r="U480" s="101">
        <v>0</v>
      </c>
      <c r="V480" s="101">
        <v>0</v>
      </c>
      <c r="W480" s="101">
        <v>0</v>
      </c>
      <c r="X480" s="101">
        <v>0</v>
      </c>
      <c r="Y480" s="101">
        <v>0</v>
      </c>
      <c r="Z480" s="101">
        <v>0</v>
      </c>
      <c r="AA480" s="101">
        <v>0</v>
      </c>
      <c r="AB480" s="101">
        <v>0</v>
      </c>
      <c r="AC480" s="101">
        <v>0</v>
      </c>
      <c r="AD480" s="101">
        <v>0</v>
      </c>
      <c r="AE480" s="186">
        <v>0.08</v>
      </c>
      <c r="AF480" s="93">
        <v>0</v>
      </c>
      <c r="AG480" s="93">
        <v>20</v>
      </c>
      <c r="AH480" s="93">
        <v>20</v>
      </c>
      <c r="AI480" s="16">
        <v>1</v>
      </c>
      <c r="AJ480" s="16" t="s">
        <v>662</v>
      </c>
      <c r="AK480" s="16" t="s">
        <v>745</v>
      </c>
      <c r="AL480" s="16"/>
      <c r="AM480" s="60"/>
      <c r="AN480" s="60"/>
      <c r="AO480" s="60"/>
      <c r="AP480" s="60"/>
      <c r="AQ480" s="60"/>
      <c r="AR480" s="60"/>
      <c r="AS480" s="63"/>
      <c r="AT480" s="63"/>
      <c r="AU480" s="63"/>
      <c r="AV480" s="131"/>
      <c r="AW480" s="131"/>
      <c r="AX480" s="131"/>
      <c r="AY480" s="27" t="s">
        <v>662</v>
      </c>
      <c r="AZ480" s="27"/>
      <c r="BA480" s="27"/>
      <c r="BB480" s="30"/>
      <c r="BC480" s="30"/>
      <c r="BD480" s="30"/>
      <c r="BE480" s="30"/>
      <c r="BF480" s="30"/>
      <c r="BG480" s="30"/>
      <c r="BH480" s="107"/>
      <c r="BI480" s="107"/>
      <c r="BJ480" s="107"/>
      <c r="BK480" s="107"/>
      <c r="BL480" s="136"/>
      <c r="BM480" s="122"/>
      <c r="BN480" s="138">
        <v>0</v>
      </c>
      <c r="BO480" s="93"/>
      <c r="BP480" s="93"/>
      <c r="BQ480" s="93"/>
      <c r="BR480" s="93"/>
      <c r="BS480" s="93"/>
      <c r="BT480" s="93"/>
      <c r="BU480" s="27">
        <f t="shared" si="337"/>
        <v>0</v>
      </c>
      <c r="BV480" s="27"/>
      <c r="BW480" s="27"/>
      <c r="BX480" s="27"/>
      <c r="BY480" s="27"/>
      <c r="BZ480" s="27"/>
      <c r="CA480" s="27"/>
      <c r="CB480" s="97">
        <v>0</v>
      </c>
      <c r="CC480" s="97">
        <v>7.6257525307173177E-3</v>
      </c>
      <c r="CD480" s="97">
        <v>0.01</v>
      </c>
      <c r="CE480" s="97">
        <f t="shared" si="371"/>
        <v>0.02</v>
      </c>
      <c r="CF480" s="97">
        <f t="shared" si="372"/>
        <v>0.02</v>
      </c>
      <c r="CG480" s="97">
        <f t="shared" si="373"/>
        <v>0.02</v>
      </c>
      <c r="CH480" s="97">
        <v>0.02</v>
      </c>
      <c r="CI480" s="173"/>
      <c r="CJ480" s="173"/>
      <c r="CK480" s="173"/>
      <c r="CL480" s="173"/>
      <c r="CM480" s="173"/>
      <c r="CN480" s="173"/>
      <c r="CO480" s="173"/>
      <c r="CP480" s="174"/>
      <c r="CQ480" s="174"/>
      <c r="CR480" s="174"/>
      <c r="CS480" s="174"/>
      <c r="CT480" s="174"/>
      <c r="CU480" s="174"/>
      <c r="CV480" s="174"/>
      <c r="CW480" s="165"/>
      <c r="CX480" s="166"/>
      <c r="CY480" s="166"/>
      <c r="CZ480" s="166"/>
      <c r="DA480" s="166"/>
      <c r="DB480" s="166"/>
      <c r="DC480" s="166"/>
      <c r="DD480" s="171"/>
      <c r="DE480" s="171"/>
      <c r="DF480" s="171"/>
      <c r="DG480" s="171"/>
      <c r="DH480" s="171"/>
      <c r="DI480" s="171"/>
      <c r="DJ480" s="171"/>
      <c r="DK480" s="79" t="s">
        <v>415</v>
      </c>
      <c r="DL480" s="128"/>
      <c r="DM480" s="128"/>
      <c r="DN480" s="128"/>
      <c r="DO480" s="128"/>
      <c r="DP480" s="128"/>
      <c r="DQ480" s="128"/>
      <c r="DR480" s="128"/>
      <c r="DS480" s="218"/>
      <c r="DT480" s="360"/>
      <c r="DU480" s="360"/>
      <c r="DV480" s="360"/>
      <c r="DW480" s="360"/>
      <c r="DX480" s="360"/>
      <c r="DY480" s="360"/>
      <c r="DZ480" s="360"/>
      <c r="EA480" s="360"/>
      <c r="EB480" s="360"/>
      <c r="EC480" s="360"/>
      <c r="ED480" s="360"/>
      <c r="EE480" s="360"/>
      <c r="EF480" s="360"/>
      <c r="EG480" s="360"/>
      <c r="EH480" s="360"/>
      <c r="EI480" s="360"/>
      <c r="EJ480" s="360"/>
      <c r="EK480" s="360"/>
      <c r="EL480" s="360"/>
      <c r="EM480" s="360"/>
      <c r="EN480" s="360"/>
      <c r="EO480" s="360"/>
      <c r="EP480" s="360"/>
      <c r="EQ480" s="360"/>
    </row>
    <row r="481" spans="1:147" x14ac:dyDescent="0.35">
      <c r="A481" s="6" t="s">
        <v>1744</v>
      </c>
      <c r="B481" s="6" t="s">
        <v>726</v>
      </c>
      <c r="C481" s="6" t="s">
        <v>534</v>
      </c>
      <c r="D481" s="6" t="s">
        <v>727</v>
      </c>
      <c r="E481" s="6" t="s">
        <v>1731</v>
      </c>
      <c r="F481" s="6" t="s">
        <v>538</v>
      </c>
      <c r="G481" s="48" t="s">
        <v>1745</v>
      </c>
      <c r="H481" s="48" t="s">
        <v>1162</v>
      </c>
      <c r="I481" s="102">
        <v>187.5</v>
      </c>
      <c r="J481" s="102">
        <v>193.75</v>
      </c>
      <c r="K481" s="102">
        <v>200</v>
      </c>
      <c r="L481" s="102">
        <v>206.25</v>
      </c>
      <c r="M481" s="102">
        <v>212.5</v>
      </c>
      <c r="N481" s="102">
        <v>218.75</v>
      </c>
      <c r="O481" s="102">
        <v>225</v>
      </c>
      <c r="P481" s="94">
        <v>0</v>
      </c>
      <c r="Q481" s="102">
        <v>0</v>
      </c>
      <c r="R481" s="102">
        <v>0</v>
      </c>
      <c r="S481" s="102">
        <v>0</v>
      </c>
      <c r="T481" s="102">
        <v>0</v>
      </c>
      <c r="U481" s="102">
        <v>0</v>
      </c>
      <c r="V481" s="102">
        <v>0</v>
      </c>
      <c r="W481" s="102">
        <v>0</v>
      </c>
      <c r="X481" s="102">
        <v>0</v>
      </c>
      <c r="Y481" s="102">
        <v>0</v>
      </c>
      <c r="Z481" s="102">
        <v>0</v>
      </c>
      <c r="AA481" s="102">
        <v>0</v>
      </c>
      <c r="AB481" s="102">
        <v>0</v>
      </c>
      <c r="AC481" s="102">
        <v>0</v>
      </c>
      <c r="AD481" s="102">
        <v>0</v>
      </c>
      <c r="AE481" s="186">
        <v>0.08</v>
      </c>
      <c r="AF481" s="94">
        <v>0</v>
      </c>
      <c r="AG481" s="94">
        <v>20</v>
      </c>
      <c r="AH481" s="94">
        <v>20</v>
      </c>
      <c r="AI481" s="17">
        <v>1</v>
      </c>
      <c r="AJ481" s="17" t="s">
        <v>662</v>
      </c>
      <c r="AK481" s="17" t="s">
        <v>745</v>
      </c>
      <c r="AL481" s="17"/>
      <c r="AM481" s="61"/>
      <c r="AN481" s="61"/>
      <c r="AO481" s="61"/>
      <c r="AP481" s="61"/>
      <c r="AQ481" s="61"/>
      <c r="AR481" s="61"/>
      <c r="AS481" s="64"/>
      <c r="AT481" s="64"/>
      <c r="AU481" s="64"/>
      <c r="AV481" s="132"/>
      <c r="AW481" s="132"/>
      <c r="AX481" s="132"/>
      <c r="AY481" s="28" t="s">
        <v>662</v>
      </c>
      <c r="AZ481" s="28"/>
      <c r="BA481" s="28"/>
      <c r="BB481" s="28"/>
      <c r="BC481" s="28"/>
      <c r="BD481" s="28"/>
      <c r="BE481" s="28"/>
      <c r="BF481" s="28"/>
      <c r="BG481" s="28"/>
      <c r="BH481" s="106"/>
      <c r="BI481" s="106"/>
      <c r="BJ481" s="106"/>
      <c r="BK481" s="106"/>
      <c r="BL481" s="137"/>
      <c r="BM481" s="123"/>
      <c r="BN481" s="139">
        <v>0</v>
      </c>
      <c r="BO481" s="94"/>
      <c r="BP481" s="94"/>
      <c r="BQ481" s="94"/>
      <c r="BR481" s="94"/>
      <c r="BS481" s="94"/>
      <c r="BT481" s="94"/>
      <c r="BU481" s="28">
        <f t="shared" si="337"/>
        <v>0</v>
      </c>
      <c r="BV481" s="28"/>
      <c r="BW481" s="28"/>
      <c r="BX481" s="28"/>
      <c r="BY481" s="28"/>
      <c r="BZ481" s="28"/>
      <c r="CA481" s="28"/>
      <c r="CB481" s="99">
        <v>0.81200000000000006</v>
      </c>
      <c r="CC481" s="99">
        <v>0.95333333333333337</v>
      </c>
      <c r="CD481" s="99">
        <v>0.18</v>
      </c>
      <c r="CE481" s="99">
        <f t="shared" si="371"/>
        <v>0.16</v>
      </c>
      <c r="CF481" s="99">
        <f t="shared" si="372"/>
        <v>0.14000000000000001</v>
      </c>
      <c r="CG481" s="99">
        <f t="shared" si="373"/>
        <v>0.12</v>
      </c>
      <c r="CH481" s="99">
        <v>0.1</v>
      </c>
      <c r="CI481" s="175"/>
      <c r="CJ481" s="175"/>
      <c r="CK481" s="175"/>
      <c r="CL481" s="175"/>
      <c r="CM481" s="175"/>
      <c r="CN481" s="175"/>
      <c r="CO481" s="175"/>
      <c r="CP481" s="176"/>
      <c r="CQ481" s="176"/>
      <c r="CR481" s="176"/>
      <c r="CS481" s="176"/>
      <c r="CT481" s="176"/>
      <c r="CU481" s="176"/>
      <c r="CV481" s="176"/>
      <c r="CW481" s="167"/>
      <c r="CX481" s="168"/>
      <c r="CY481" s="168"/>
      <c r="CZ481" s="168"/>
      <c r="DA481" s="168"/>
      <c r="DB481" s="168"/>
      <c r="DC481" s="168"/>
      <c r="DD481" s="172"/>
      <c r="DE481" s="172"/>
      <c r="DF481" s="172"/>
      <c r="DG481" s="172"/>
      <c r="DH481" s="172"/>
      <c r="DI481" s="172"/>
      <c r="DJ481" s="172"/>
      <c r="DK481" s="80" t="s">
        <v>415</v>
      </c>
      <c r="DL481" s="129"/>
      <c r="DM481" s="129"/>
      <c r="DN481" s="129"/>
      <c r="DO481" s="129"/>
      <c r="DP481" s="129"/>
      <c r="DQ481" s="129"/>
      <c r="DR481" s="129"/>
      <c r="DS481" s="218"/>
      <c r="DT481" s="360"/>
      <c r="DU481" s="360"/>
      <c r="DV481" s="360"/>
      <c r="DW481" s="360"/>
      <c r="DX481" s="360"/>
      <c r="DY481" s="360"/>
      <c r="DZ481" s="360"/>
      <c r="EA481" s="360"/>
      <c r="EB481" s="360"/>
      <c r="EC481" s="360"/>
      <c r="ED481" s="360"/>
      <c r="EE481" s="360"/>
      <c r="EF481" s="360"/>
      <c r="EG481" s="360"/>
      <c r="EH481" s="360"/>
      <c r="EI481" s="360"/>
      <c r="EJ481" s="360"/>
      <c r="EK481" s="360"/>
      <c r="EL481" s="360"/>
      <c r="EM481" s="360"/>
      <c r="EN481" s="360"/>
      <c r="EO481" s="360"/>
      <c r="EP481" s="360"/>
      <c r="EQ481" s="360"/>
    </row>
    <row r="482" spans="1:147" x14ac:dyDescent="0.35">
      <c r="A482" s="5" t="s">
        <v>1746</v>
      </c>
      <c r="B482" s="5" t="s">
        <v>740</v>
      </c>
      <c r="C482" s="5" t="s">
        <v>534</v>
      </c>
      <c r="D482" s="5" t="s">
        <v>741</v>
      </c>
      <c r="E482" s="5" t="s">
        <v>1709</v>
      </c>
      <c r="F482" s="5" t="s">
        <v>539</v>
      </c>
      <c r="G482" s="47" t="s">
        <v>539</v>
      </c>
      <c r="H482" s="47" t="s">
        <v>1162</v>
      </c>
      <c r="I482" s="101">
        <v>0</v>
      </c>
      <c r="J482" s="101">
        <v>0</v>
      </c>
      <c r="K482" s="101">
        <v>0</v>
      </c>
      <c r="L482" s="101">
        <v>0</v>
      </c>
      <c r="M482" s="101">
        <v>0</v>
      </c>
      <c r="N482" s="101">
        <v>0</v>
      </c>
      <c r="O482" s="101">
        <v>0</v>
      </c>
      <c r="P482" s="93">
        <v>0</v>
      </c>
      <c r="Q482" s="101">
        <v>0</v>
      </c>
      <c r="R482" s="101">
        <v>0</v>
      </c>
      <c r="S482" s="101">
        <v>0</v>
      </c>
      <c r="T482" s="101">
        <v>0</v>
      </c>
      <c r="U482" s="101">
        <v>0</v>
      </c>
      <c r="V482" s="101">
        <v>0</v>
      </c>
      <c r="W482" s="101">
        <v>0</v>
      </c>
      <c r="X482" s="101">
        <v>0</v>
      </c>
      <c r="Y482" s="101">
        <v>0</v>
      </c>
      <c r="Z482" s="101">
        <v>0</v>
      </c>
      <c r="AA482" s="101">
        <v>0</v>
      </c>
      <c r="AB482" s="101">
        <v>0</v>
      </c>
      <c r="AC482" s="101">
        <v>0</v>
      </c>
      <c r="AD482" s="101">
        <v>0</v>
      </c>
      <c r="AE482" s="186">
        <v>0.08</v>
      </c>
      <c r="AF482" s="93">
        <v>0</v>
      </c>
      <c r="AG482" s="93">
        <v>1</v>
      </c>
      <c r="AH482" s="93">
        <v>1</v>
      </c>
      <c r="AI482" s="16">
        <v>1</v>
      </c>
      <c r="AJ482" s="16" t="s">
        <v>662</v>
      </c>
      <c r="AK482" s="16" t="s">
        <v>745</v>
      </c>
      <c r="AL482" s="16"/>
      <c r="AM482" s="60"/>
      <c r="AN482" s="60"/>
      <c r="AO482" s="60"/>
      <c r="AP482" s="60"/>
      <c r="AQ482" s="60"/>
      <c r="AR482" s="60"/>
      <c r="AS482" s="63"/>
      <c r="AT482" s="63"/>
      <c r="AU482" s="63"/>
      <c r="AV482" s="131"/>
      <c r="AW482" s="131"/>
      <c r="AX482" s="131"/>
      <c r="AY482" s="27" t="s">
        <v>662</v>
      </c>
      <c r="AZ482" s="27"/>
      <c r="BA482" s="27"/>
      <c r="BB482" s="30"/>
      <c r="BC482" s="30"/>
      <c r="BD482" s="30"/>
      <c r="BE482" s="30"/>
      <c r="BF482" s="30"/>
      <c r="BG482" s="30"/>
      <c r="BH482" s="107"/>
      <c r="BI482" s="107"/>
      <c r="BJ482" s="107"/>
      <c r="BK482" s="107"/>
      <c r="BL482" s="136"/>
      <c r="BM482" s="122"/>
      <c r="BN482" s="138"/>
      <c r="BO482" s="93"/>
      <c r="BP482" s="93"/>
      <c r="BQ482" s="93"/>
      <c r="BR482" s="93"/>
      <c r="BS482" s="93"/>
      <c r="BT482" s="93"/>
      <c r="BU482" s="27">
        <f t="shared" ref="BU482:BU487" si="376">IF(BL482=1,BN482,0)</f>
        <v>0</v>
      </c>
      <c r="BV482" s="27"/>
      <c r="BW482" s="27"/>
      <c r="BX482" s="27"/>
      <c r="BY482" s="27"/>
      <c r="BZ482" s="27"/>
      <c r="CA482" s="27"/>
      <c r="CB482" s="97">
        <v>15</v>
      </c>
      <c r="CC482" s="97">
        <v>15</v>
      </c>
      <c r="CD482" s="97">
        <v>15</v>
      </c>
      <c r="CE482" s="97">
        <f t="shared" si="371"/>
        <v>15</v>
      </c>
      <c r="CF482" s="97">
        <f t="shared" si="372"/>
        <v>15</v>
      </c>
      <c r="CG482" s="97">
        <f t="shared" si="373"/>
        <v>15</v>
      </c>
      <c r="CH482" s="97">
        <v>15</v>
      </c>
      <c r="CI482" s="173"/>
      <c r="CJ482" s="173"/>
      <c r="CK482" s="173"/>
      <c r="CL482" s="173"/>
      <c r="CM482" s="173"/>
      <c r="CN482" s="173"/>
      <c r="CO482" s="173"/>
      <c r="CP482" s="174"/>
      <c r="CQ482" s="174"/>
      <c r="CR482" s="174"/>
      <c r="CS482" s="174"/>
      <c r="CT482" s="174"/>
      <c r="CU482" s="174"/>
      <c r="CV482" s="174"/>
      <c r="CW482" s="165"/>
      <c r="CX482" s="166"/>
      <c r="CY482" s="166"/>
      <c r="CZ482" s="166"/>
      <c r="DA482" s="166"/>
      <c r="DB482" s="166"/>
      <c r="DC482" s="166"/>
      <c r="DD482" s="171"/>
      <c r="DE482" s="171"/>
      <c r="DF482" s="171"/>
      <c r="DG482" s="171"/>
      <c r="DH482" s="171"/>
      <c r="DI482" s="171"/>
      <c r="DJ482" s="171"/>
      <c r="DK482" s="79" t="s">
        <v>415</v>
      </c>
      <c r="DL482" s="128"/>
      <c r="DM482" s="128"/>
      <c r="DN482" s="128"/>
      <c r="DO482" s="128"/>
      <c r="DP482" s="128"/>
      <c r="DQ482" s="128"/>
      <c r="DR482" s="128"/>
      <c r="DS482" s="218"/>
      <c r="DT482" s="360"/>
      <c r="DU482" s="360"/>
      <c r="DV482" s="360"/>
      <c r="DW482" s="360"/>
      <c r="DX482" s="360"/>
      <c r="DY482" s="360"/>
      <c r="DZ482" s="360"/>
      <c r="EA482" s="360"/>
      <c r="EB482" s="360"/>
      <c r="EC482" s="360"/>
      <c r="ED482" s="360"/>
      <c r="EE482" s="360"/>
      <c r="EF482" s="360"/>
      <c r="EG482" s="360"/>
      <c r="EH482" s="360"/>
      <c r="EI482" s="360"/>
      <c r="EJ482" s="360"/>
      <c r="EK482" s="360"/>
      <c r="EL482" s="360"/>
      <c r="EM482" s="360"/>
      <c r="EN482" s="360"/>
      <c r="EO482" s="360"/>
      <c r="EP482" s="360"/>
      <c r="EQ482" s="360"/>
    </row>
    <row r="483" spans="1:147" x14ac:dyDescent="0.35">
      <c r="A483" s="6" t="s">
        <v>1747</v>
      </c>
      <c r="B483" s="6" t="s">
        <v>740</v>
      </c>
      <c r="C483" s="6" t="s">
        <v>534</v>
      </c>
      <c r="D483" s="6" t="s">
        <v>741</v>
      </c>
      <c r="E483" s="6" t="s">
        <v>1709</v>
      </c>
      <c r="F483" s="6" t="s">
        <v>539</v>
      </c>
      <c r="G483" s="48" t="s">
        <v>1711</v>
      </c>
      <c r="H483" s="48" t="s">
        <v>1162</v>
      </c>
      <c r="I483" s="102">
        <v>250</v>
      </c>
      <c r="J483" s="102">
        <v>250</v>
      </c>
      <c r="K483" s="102">
        <v>250</v>
      </c>
      <c r="L483" s="102">
        <v>250</v>
      </c>
      <c r="M483" s="102">
        <v>250</v>
      </c>
      <c r="N483" s="102">
        <v>250</v>
      </c>
      <c r="O483" s="102">
        <v>250</v>
      </c>
      <c r="P483" s="94">
        <v>0</v>
      </c>
      <c r="Q483" s="102">
        <v>0</v>
      </c>
      <c r="R483" s="102">
        <v>0</v>
      </c>
      <c r="S483" s="102">
        <v>0</v>
      </c>
      <c r="T483" s="102">
        <v>0</v>
      </c>
      <c r="U483" s="102">
        <v>0</v>
      </c>
      <c r="V483" s="102">
        <v>0</v>
      </c>
      <c r="W483" s="102">
        <v>0</v>
      </c>
      <c r="X483" s="102">
        <v>0</v>
      </c>
      <c r="Y483" s="102">
        <v>0</v>
      </c>
      <c r="Z483" s="102">
        <v>0</v>
      </c>
      <c r="AA483" s="102">
        <v>0</v>
      </c>
      <c r="AB483" s="102">
        <v>0</v>
      </c>
      <c r="AC483" s="102">
        <v>0</v>
      </c>
      <c r="AD483" s="102">
        <v>0</v>
      </c>
      <c r="AE483" s="186">
        <v>0.08</v>
      </c>
      <c r="AF483" s="94">
        <v>0</v>
      </c>
      <c r="AG483" s="94">
        <v>20</v>
      </c>
      <c r="AH483" s="94">
        <v>20</v>
      </c>
      <c r="AI483" s="17">
        <v>1</v>
      </c>
      <c r="AJ483" s="17" t="s">
        <v>662</v>
      </c>
      <c r="AK483" s="17" t="s">
        <v>745</v>
      </c>
      <c r="AL483" s="17"/>
      <c r="AM483" s="61"/>
      <c r="AN483" s="61"/>
      <c r="AO483" s="61"/>
      <c r="AP483" s="61"/>
      <c r="AQ483" s="61"/>
      <c r="AR483" s="61"/>
      <c r="AS483" s="64"/>
      <c r="AT483" s="64"/>
      <c r="AU483" s="64"/>
      <c r="AV483" s="132"/>
      <c r="AW483" s="132"/>
      <c r="AX483" s="132"/>
      <c r="AY483" s="28" t="s">
        <v>662</v>
      </c>
      <c r="AZ483" s="28"/>
      <c r="BA483" s="28"/>
      <c r="BB483" s="28"/>
      <c r="BC483" s="28"/>
      <c r="BD483" s="28"/>
      <c r="BE483" s="28"/>
      <c r="BF483" s="28"/>
      <c r="BG483" s="28"/>
      <c r="BH483" s="106"/>
      <c r="BI483" s="106"/>
      <c r="BJ483" s="106"/>
      <c r="BK483" s="106"/>
      <c r="BL483" s="137"/>
      <c r="BM483" s="123"/>
      <c r="BN483" s="139">
        <v>0</v>
      </c>
      <c r="BO483" s="94"/>
      <c r="BP483" s="94"/>
      <c r="BQ483" s="94"/>
      <c r="BR483" s="94"/>
      <c r="BS483" s="94"/>
      <c r="BT483" s="94"/>
      <c r="BU483" s="28">
        <f t="shared" si="376"/>
        <v>0</v>
      </c>
      <c r="BV483" s="28"/>
      <c r="BW483" s="28"/>
      <c r="BX483" s="28"/>
      <c r="BY483" s="28"/>
      <c r="BZ483" s="28"/>
      <c r="CA483" s="28"/>
      <c r="CB483" s="99">
        <v>0.66749999999999998</v>
      </c>
      <c r="CC483" s="99">
        <v>0.73958333333333337</v>
      </c>
      <c r="CD483" s="185">
        <f>CC483</f>
        <v>0.73958333333333337</v>
      </c>
      <c r="CE483" s="185">
        <f t="shared" si="371"/>
        <v>0.74</v>
      </c>
      <c r="CF483" s="185">
        <f t="shared" si="372"/>
        <v>0.74</v>
      </c>
      <c r="CG483" s="185">
        <f t="shared" si="373"/>
        <v>0.74</v>
      </c>
      <c r="CH483" s="185">
        <f>CC483</f>
        <v>0.73958333333333337</v>
      </c>
      <c r="CI483" s="175"/>
      <c r="CJ483" s="175"/>
      <c r="CK483" s="175"/>
      <c r="CL483" s="175"/>
      <c r="CM483" s="175"/>
      <c r="CN483" s="175"/>
      <c r="CO483" s="175"/>
      <c r="CP483" s="176"/>
      <c r="CQ483" s="176"/>
      <c r="CR483" s="176"/>
      <c r="CS483" s="176"/>
      <c r="CT483" s="176"/>
      <c r="CU483" s="176"/>
      <c r="CV483" s="176"/>
      <c r="CW483" s="167"/>
      <c r="CX483" s="168"/>
      <c r="CY483" s="168"/>
      <c r="CZ483" s="168"/>
      <c r="DA483" s="168"/>
      <c r="DB483" s="168"/>
      <c r="DC483" s="168"/>
      <c r="DD483" s="172"/>
      <c r="DE483" s="172"/>
      <c r="DF483" s="172"/>
      <c r="DG483" s="172"/>
      <c r="DH483" s="172"/>
      <c r="DI483" s="172"/>
      <c r="DJ483" s="172"/>
      <c r="DK483" s="80" t="s">
        <v>415</v>
      </c>
      <c r="DL483" s="129"/>
      <c r="DM483" s="129"/>
      <c r="DN483" s="129"/>
      <c r="DO483" s="129"/>
      <c r="DP483" s="129"/>
      <c r="DQ483" s="129"/>
      <c r="DR483" s="129"/>
      <c r="DS483" s="218"/>
      <c r="DT483" s="360"/>
      <c r="DU483" s="360"/>
      <c r="DV483" s="360"/>
      <c r="DW483" s="360"/>
      <c r="DX483" s="360"/>
      <c r="DY483" s="360"/>
      <c r="DZ483" s="360"/>
      <c r="EA483" s="360"/>
      <c r="EB483" s="360"/>
      <c r="EC483" s="360"/>
      <c r="ED483" s="360"/>
      <c r="EE483" s="360"/>
      <c r="EF483" s="360"/>
      <c r="EG483" s="360"/>
      <c r="EH483" s="360"/>
      <c r="EI483" s="360"/>
      <c r="EJ483" s="360"/>
      <c r="EK483" s="360"/>
      <c r="EL483" s="360"/>
      <c r="EM483" s="360"/>
      <c r="EN483" s="360"/>
      <c r="EO483" s="360"/>
      <c r="EP483" s="360"/>
      <c r="EQ483" s="360"/>
    </row>
    <row r="484" spans="1:147" x14ac:dyDescent="0.35">
      <c r="A484" s="5" t="s">
        <v>1748</v>
      </c>
      <c r="B484" s="5" t="s">
        <v>740</v>
      </c>
      <c r="C484" s="5" t="s">
        <v>534</v>
      </c>
      <c r="D484" s="5" t="s">
        <v>741</v>
      </c>
      <c r="E484" s="5" t="s">
        <v>1713</v>
      </c>
      <c r="F484" s="5" t="s">
        <v>540</v>
      </c>
      <c r="G484" s="47" t="s">
        <v>540</v>
      </c>
      <c r="H484" s="47" t="s">
        <v>1162</v>
      </c>
      <c r="I484" s="101">
        <v>0</v>
      </c>
      <c r="J484" s="101">
        <v>0</v>
      </c>
      <c r="K484" s="101">
        <v>0</v>
      </c>
      <c r="L484" s="101">
        <v>0</v>
      </c>
      <c r="M484" s="101">
        <v>0</v>
      </c>
      <c r="N484" s="101">
        <v>0</v>
      </c>
      <c r="O484" s="101">
        <v>0</v>
      </c>
      <c r="P484" s="93">
        <v>0</v>
      </c>
      <c r="Q484" s="101">
        <v>0</v>
      </c>
      <c r="R484" s="101">
        <v>0</v>
      </c>
      <c r="S484" s="101">
        <v>0</v>
      </c>
      <c r="T484" s="101">
        <v>0</v>
      </c>
      <c r="U484" s="101">
        <v>0</v>
      </c>
      <c r="V484" s="101">
        <v>0</v>
      </c>
      <c r="W484" s="101">
        <v>0</v>
      </c>
      <c r="X484" s="101">
        <v>0</v>
      </c>
      <c r="Y484" s="101">
        <v>0</v>
      </c>
      <c r="Z484" s="101">
        <v>0</v>
      </c>
      <c r="AA484" s="101">
        <v>0</v>
      </c>
      <c r="AB484" s="101">
        <v>0</v>
      </c>
      <c r="AC484" s="101">
        <v>0</v>
      </c>
      <c r="AD484" s="101">
        <v>0</v>
      </c>
      <c r="AE484" s="186">
        <v>0.08</v>
      </c>
      <c r="AF484" s="93">
        <v>0</v>
      </c>
      <c r="AG484" s="93">
        <v>1</v>
      </c>
      <c r="AH484" s="93">
        <v>1</v>
      </c>
      <c r="AI484" s="16">
        <v>1</v>
      </c>
      <c r="AJ484" s="16" t="s">
        <v>662</v>
      </c>
      <c r="AK484" s="16" t="s">
        <v>745</v>
      </c>
      <c r="AL484" s="16"/>
      <c r="AM484" s="60"/>
      <c r="AN484" s="60"/>
      <c r="AO484" s="60"/>
      <c r="AP484" s="60"/>
      <c r="AQ484" s="60"/>
      <c r="AR484" s="60"/>
      <c r="AS484" s="63"/>
      <c r="AT484" s="63"/>
      <c r="AU484" s="63"/>
      <c r="AV484" s="131"/>
      <c r="AW484" s="131"/>
      <c r="AX484" s="131"/>
      <c r="AY484" s="27" t="s">
        <v>662</v>
      </c>
      <c r="AZ484" s="27"/>
      <c r="BA484" s="27"/>
      <c r="BB484" s="30"/>
      <c r="BC484" s="30"/>
      <c r="BD484" s="30"/>
      <c r="BE484" s="30"/>
      <c r="BF484" s="30"/>
      <c r="BG484" s="30"/>
      <c r="BH484" s="107"/>
      <c r="BI484" s="107"/>
      <c r="BJ484" s="107"/>
      <c r="BK484" s="107"/>
      <c r="BL484" s="136"/>
      <c r="BM484" s="122"/>
      <c r="BN484" s="138"/>
      <c r="BO484" s="93"/>
      <c r="BP484" s="93"/>
      <c r="BQ484" s="93"/>
      <c r="BR484" s="93"/>
      <c r="BS484" s="93"/>
      <c r="BT484" s="93"/>
      <c r="BU484" s="27">
        <f t="shared" si="376"/>
        <v>0</v>
      </c>
      <c r="BV484" s="27"/>
      <c r="BW484" s="27"/>
      <c r="BX484" s="27"/>
      <c r="BY484" s="27"/>
      <c r="BZ484" s="27"/>
      <c r="CA484" s="27"/>
      <c r="CB484" s="97">
        <v>20</v>
      </c>
      <c r="CC484" s="97">
        <v>20</v>
      </c>
      <c r="CD484" s="97">
        <v>20</v>
      </c>
      <c r="CE484" s="97">
        <f t="shared" si="371"/>
        <v>20</v>
      </c>
      <c r="CF484" s="97">
        <f t="shared" si="372"/>
        <v>20</v>
      </c>
      <c r="CG484" s="97">
        <f t="shared" si="373"/>
        <v>20</v>
      </c>
      <c r="CH484" s="97">
        <v>20</v>
      </c>
      <c r="CI484" s="173"/>
      <c r="CJ484" s="173"/>
      <c r="CK484" s="173"/>
      <c r="CL484" s="173"/>
      <c r="CM484" s="173"/>
      <c r="CN484" s="173"/>
      <c r="CO484" s="173"/>
      <c r="CP484" s="174"/>
      <c r="CQ484" s="174"/>
      <c r="CR484" s="174"/>
      <c r="CS484" s="174"/>
      <c r="CT484" s="174"/>
      <c r="CU484" s="174"/>
      <c r="CV484" s="174"/>
      <c r="CW484" s="165"/>
      <c r="CX484" s="166"/>
      <c r="CY484" s="166"/>
      <c r="CZ484" s="166"/>
      <c r="DA484" s="166"/>
      <c r="DB484" s="166"/>
      <c r="DC484" s="166"/>
      <c r="DD484" s="171"/>
      <c r="DE484" s="171"/>
      <c r="DF484" s="171"/>
      <c r="DG484" s="171"/>
      <c r="DH484" s="171"/>
      <c r="DI484" s="171"/>
      <c r="DJ484" s="171"/>
      <c r="DK484" s="79" t="s">
        <v>415</v>
      </c>
      <c r="DL484" s="128"/>
      <c r="DM484" s="128"/>
      <c r="DN484" s="128"/>
      <c r="DO484" s="128"/>
      <c r="DP484" s="128"/>
      <c r="DQ484" s="128"/>
      <c r="DR484" s="128"/>
      <c r="DS484" s="218"/>
      <c r="DT484" s="360"/>
      <c r="DU484" s="360"/>
      <c r="DV484" s="360"/>
      <c r="DW484" s="360"/>
      <c r="DX484" s="360"/>
      <c r="DY484" s="360"/>
      <c r="DZ484" s="360"/>
      <c r="EA484" s="360"/>
      <c r="EB484" s="360"/>
      <c r="EC484" s="360"/>
      <c r="ED484" s="360"/>
      <c r="EE484" s="360"/>
      <c r="EF484" s="360"/>
      <c r="EG484" s="360"/>
      <c r="EH484" s="360"/>
      <c r="EI484" s="360"/>
      <c r="EJ484" s="360"/>
      <c r="EK484" s="360"/>
      <c r="EL484" s="360"/>
      <c r="EM484" s="360"/>
      <c r="EN484" s="360"/>
      <c r="EO484" s="360"/>
      <c r="EP484" s="360"/>
      <c r="EQ484" s="360"/>
    </row>
    <row r="485" spans="1:147" x14ac:dyDescent="0.35">
      <c r="A485" s="6" t="s">
        <v>1749</v>
      </c>
      <c r="B485" s="6" t="s">
        <v>740</v>
      </c>
      <c r="C485" s="6" t="s">
        <v>534</v>
      </c>
      <c r="D485" s="6" t="s">
        <v>741</v>
      </c>
      <c r="E485" s="6" t="s">
        <v>1713</v>
      </c>
      <c r="F485" s="6" t="s">
        <v>540</v>
      </c>
      <c r="G485" s="48" t="s">
        <v>1715</v>
      </c>
      <c r="H485" s="48" t="s">
        <v>1162</v>
      </c>
      <c r="I485" s="102">
        <v>125</v>
      </c>
      <c r="J485" s="102">
        <v>125</v>
      </c>
      <c r="K485" s="102">
        <v>125</v>
      </c>
      <c r="L485" s="102">
        <v>125</v>
      </c>
      <c r="M485" s="102">
        <v>125</v>
      </c>
      <c r="N485" s="102">
        <v>125</v>
      </c>
      <c r="O485" s="102">
        <v>125</v>
      </c>
      <c r="P485" s="94">
        <v>0</v>
      </c>
      <c r="Q485" s="102">
        <v>0</v>
      </c>
      <c r="R485" s="102">
        <v>0</v>
      </c>
      <c r="S485" s="102">
        <v>0</v>
      </c>
      <c r="T485" s="102">
        <v>0</v>
      </c>
      <c r="U485" s="102">
        <v>0</v>
      </c>
      <c r="V485" s="102">
        <v>0</v>
      </c>
      <c r="W485" s="102">
        <v>0</v>
      </c>
      <c r="X485" s="102">
        <v>0</v>
      </c>
      <c r="Y485" s="102">
        <v>0</v>
      </c>
      <c r="Z485" s="102">
        <v>0</v>
      </c>
      <c r="AA485" s="102">
        <v>0</v>
      </c>
      <c r="AB485" s="102">
        <v>0</v>
      </c>
      <c r="AC485" s="102">
        <v>0</v>
      </c>
      <c r="AD485" s="102">
        <v>0</v>
      </c>
      <c r="AE485" s="186">
        <v>0.08</v>
      </c>
      <c r="AF485" s="94">
        <v>0</v>
      </c>
      <c r="AG485" s="94">
        <v>20</v>
      </c>
      <c r="AH485" s="94">
        <v>20</v>
      </c>
      <c r="AI485" s="17">
        <v>1</v>
      </c>
      <c r="AJ485" s="17" t="s">
        <v>662</v>
      </c>
      <c r="AK485" s="17" t="s">
        <v>745</v>
      </c>
      <c r="AL485" s="17"/>
      <c r="AM485" s="61"/>
      <c r="AN485" s="61"/>
      <c r="AO485" s="61"/>
      <c r="AP485" s="61"/>
      <c r="AQ485" s="61"/>
      <c r="AR485" s="61"/>
      <c r="AS485" s="64"/>
      <c r="AT485" s="64"/>
      <c r="AU485" s="64"/>
      <c r="AV485" s="132"/>
      <c r="AW485" s="132"/>
      <c r="AX485" s="132"/>
      <c r="AY485" s="28" t="s">
        <v>662</v>
      </c>
      <c r="AZ485" s="28"/>
      <c r="BA485" s="28"/>
      <c r="BB485" s="28"/>
      <c r="BC485" s="28"/>
      <c r="BD485" s="28"/>
      <c r="BE485" s="28"/>
      <c r="BF485" s="28"/>
      <c r="BG485" s="28"/>
      <c r="BH485" s="106"/>
      <c r="BI485" s="106"/>
      <c r="BJ485" s="106"/>
      <c r="BK485" s="106"/>
      <c r="BL485" s="137"/>
      <c r="BM485" s="123"/>
      <c r="BN485" s="139">
        <v>0</v>
      </c>
      <c r="BO485" s="94"/>
      <c r="BP485" s="94"/>
      <c r="BQ485" s="94"/>
      <c r="BR485" s="94"/>
      <c r="BS485" s="94"/>
      <c r="BT485" s="94"/>
      <c r="BU485" s="28">
        <f t="shared" si="376"/>
        <v>0</v>
      </c>
      <c r="BV485" s="28"/>
      <c r="BW485" s="28"/>
      <c r="BX485" s="28"/>
      <c r="BY485" s="28"/>
      <c r="BZ485" s="28"/>
      <c r="CA485" s="28"/>
      <c r="CB485" s="99">
        <v>0.9880000000000001</v>
      </c>
      <c r="CC485" s="99">
        <v>0.85458333333333347</v>
      </c>
      <c r="CD485" s="99">
        <v>1.345</v>
      </c>
      <c r="CE485" s="99">
        <f t="shared" si="371"/>
        <v>1.35</v>
      </c>
      <c r="CF485" s="99">
        <f t="shared" si="372"/>
        <v>1.35</v>
      </c>
      <c r="CG485" s="99">
        <f t="shared" si="373"/>
        <v>1.35</v>
      </c>
      <c r="CH485" s="99">
        <v>1.345</v>
      </c>
      <c r="CI485" s="175"/>
      <c r="CJ485" s="175"/>
      <c r="CK485" s="175"/>
      <c r="CL485" s="175"/>
      <c r="CM485" s="175"/>
      <c r="CN485" s="175"/>
      <c r="CO485" s="175"/>
      <c r="CP485" s="176"/>
      <c r="CQ485" s="176"/>
      <c r="CR485" s="176"/>
      <c r="CS485" s="176"/>
      <c r="CT485" s="176"/>
      <c r="CU485" s="176"/>
      <c r="CV485" s="176"/>
      <c r="CW485" s="167"/>
      <c r="CX485" s="168"/>
      <c r="CY485" s="168"/>
      <c r="CZ485" s="168"/>
      <c r="DA485" s="168"/>
      <c r="DB485" s="168"/>
      <c r="DC485" s="168"/>
      <c r="DD485" s="172"/>
      <c r="DE485" s="172"/>
      <c r="DF485" s="172"/>
      <c r="DG485" s="172"/>
      <c r="DH485" s="172"/>
      <c r="DI485" s="172"/>
      <c r="DJ485" s="172"/>
      <c r="DK485" s="80" t="s">
        <v>415</v>
      </c>
      <c r="DL485" s="129"/>
      <c r="DM485" s="129"/>
      <c r="DN485" s="129"/>
      <c r="DO485" s="129"/>
      <c r="DP485" s="129"/>
      <c r="DQ485" s="129"/>
      <c r="DR485" s="129"/>
      <c r="DS485" s="218"/>
      <c r="DT485" s="360"/>
      <c r="DU485" s="360"/>
      <c r="DV485" s="360"/>
      <c r="DW485" s="360"/>
      <c r="DX485" s="360"/>
      <c r="DY485" s="360"/>
      <c r="DZ485" s="360"/>
      <c r="EA485" s="360"/>
      <c r="EB485" s="360"/>
      <c r="EC485" s="360"/>
      <c r="ED485" s="360"/>
      <c r="EE485" s="360"/>
      <c r="EF485" s="360"/>
      <c r="EG485" s="360"/>
      <c r="EH485" s="360"/>
      <c r="EI485" s="360"/>
      <c r="EJ485" s="360"/>
      <c r="EK485" s="360"/>
      <c r="EL485" s="360"/>
      <c r="EM485" s="360"/>
      <c r="EN485" s="360"/>
      <c r="EO485" s="360"/>
      <c r="EP485" s="360"/>
      <c r="EQ485" s="360"/>
    </row>
    <row r="486" spans="1:147" x14ac:dyDescent="0.35">
      <c r="A486" s="5" t="s">
        <v>1750</v>
      </c>
      <c r="B486" s="5" t="s">
        <v>740</v>
      </c>
      <c r="C486" s="5" t="s">
        <v>534</v>
      </c>
      <c r="D486" s="5" t="s">
        <v>741</v>
      </c>
      <c r="E486" s="5" t="s">
        <v>1731</v>
      </c>
      <c r="F486" s="5" t="s">
        <v>541</v>
      </c>
      <c r="G486" s="47" t="s">
        <v>541</v>
      </c>
      <c r="H486" s="47" t="s">
        <v>1162</v>
      </c>
      <c r="I486" s="101">
        <v>0</v>
      </c>
      <c r="J486" s="101">
        <v>0</v>
      </c>
      <c r="K486" s="101">
        <v>0</v>
      </c>
      <c r="L486" s="101">
        <v>0</v>
      </c>
      <c r="M486" s="101">
        <v>0</v>
      </c>
      <c r="N486" s="101">
        <v>0</v>
      </c>
      <c r="O486" s="101">
        <v>0</v>
      </c>
      <c r="P486" s="93">
        <v>0</v>
      </c>
      <c r="Q486" s="101">
        <v>0</v>
      </c>
      <c r="R486" s="101">
        <v>0</v>
      </c>
      <c r="S486" s="101">
        <v>0</v>
      </c>
      <c r="T486" s="101">
        <v>0</v>
      </c>
      <c r="U486" s="101">
        <v>0</v>
      </c>
      <c r="V486" s="101">
        <v>0</v>
      </c>
      <c r="W486" s="101">
        <v>0</v>
      </c>
      <c r="X486" s="101">
        <v>0</v>
      </c>
      <c r="Y486" s="101">
        <v>0</v>
      </c>
      <c r="Z486" s="101">
        <v>0</v>
      </c>
      <c r="AA486" s="101">
        <v>0</v>
      </c>
      <c r="AB486" s="101">
        <v>0</v>
      </c>
      <c r="AC486" s="101">
        <v>0</v>
      </c>
      <c r="AD486" s="101">
        <v>0</v>
      </c>
      <c r="AE486" s="186">
        <v>0.08</v>
      </c>
      <c r="AF486" s="93">
        <v>0</v>
      </c>
      <c r="AG486" s="93">
        <v>1</v>
      </c>
      <c r="AH486" s="93">
        <v>1</v>
      </c>
      <c r="AI486" s="16">
        <v>1</v>
      </c>
      <c r="AJ486" s="16" t="s">
        <v>662</v>
      </c>
      <c r="AK486" s="16" t="s">
        <v>745</v>
      </c>
      <c r="AL486" s="16"/>
      <c r="AM486" s="60"/>
      <c r="AN486" s="60"/>
      <c r="AO486" s="60"/>
      <c r="AP486" s="60"/>
      <c r="AQ486" s="60"/>
      <c r="AR486" s="60"/>
      <c r="AS486" s="63"/>
      <c r="AT486" s="63"/>
      <c r="AU486" s="63"/>
      <c r="AV486" s="131"/>
      <c r="AW486" s="131"/>
      <c r="AX486" s="131"/>
      <c r="AY486" s="27" t="s">
        <v>662</v>
      </c>
      <c r="AZ486" s="27"/>
      <c r="BA486" s="27"/>
      <c r="BB486" s="30"/>
      <c r="BC486" s="30"/>
      <c r="BD486" s="30"/>
      <c r="BE486" s="30"/>
      <c r="BF486" s="30"/>
      <c r="BG486" s="30"/>
      <c r="BH486" s="107"/>
      <c r="BI486" s="107"/>
      <c r="BJ486" s="107"/>
      <c r="BK486" s="107"/>
      <c r="BL486" s="136"/>
      <c r="BM486" s="122"/>
      <c r="BN486" s="138"/>
      <c r="BO486" s="93"/>
      <c r="BP486" s="93"/>
      <c r="BQ486" s="93"/>
      <c r="BR486" s="93"/>
      <c r="BS486" s="93"/>
      <c r="BT486" s="93"/>
      <c r="BU486" s="27">
        <f t="shared" si="376"/>
        <v>0</v>
      </c>
      <c r="BV486" s="27"/>
      <c r="BW486" s="27"/>
      <c r="BX486" s="27"/>
      <c r="BY486" s="27"/>
      <c r="BZ486" s="27"/>
      <c r="CA486" s="27"/>
      <c r="CB486" s="97">
        <v>10</v>
      </c>
      <c r="CC486" s="97">
        <v>10</v>
      </c>
      <c r="CD486" s="97">
        <v>10</v>
      </c>
      <c r="CE486" s="97">
        <f t="shared" si="371"/>
        <v>10</v>
      </c>
      <c r="CF486" s="97">
        <f t="shared" si="372"/>
        <v>10</v>
      </c>
      <c r="CG486" s="97">
        <f t="shared" si="373"/>
        <v>10</v>
      </c>
      <c r="CH486" s="97">
        <v>10</v>
      </c>
      <c r="CI486" s="173"/>
      <c r="CJ486" s="173"/>
      <c r="CK486" s="173"/>
      <c r="CL486" s="173"/>
      <c r="CM486" s="173"/>
      <c r="CN486" s="173"/>
      <c r="CO486" s="173"/>
      <c r="CP486" s="174"/>
      <c r="CQ486" s="174"/>
      <c r="CR486" s="174"/>
      <c r="CS486" s="174"/>
      <c r="CT486" s="174"/>
      <c r="CU486" s="174"/>
      <c r="CV486" s="174"/>
      <c r="CW486" s="165"/>
      <c r="CX486" s="166"/>
      <c r="CY486" s="166"/>
      <c r="CZ486" s="166"/>
      <c r="DA486" s="166"/>
      <c r="DB486" s="166"/>
      <c r="DC486" s="166"/>
      <c r="DD486" s="171"/>
      <c r="DE486" s="171"/>
      <c r="DF486" s="171"/>
      <c r="DG486" s="171"/>
      <c r="DH486" s="171"/>
      <c r="DI486" s="171"/>
      <c r="DJ486" s="171"/>
      <c r="DK486" s="79" t="s">
        <v>415</v>
      </c>
      <c r="DL486" s="128"/>
      <c r="DM486" s="128"/>
      <c r="DN486" s="128"/>
      <c r="DO486" s="128"/>
      <c r="DP486" s="128"/>
      <c r="DQ486" s="128"/>
      <c r="DR486" s="128"/>
      <c r="DS486" s="218"/>
      <c r="DT486" s="360"/>
      <c r="DU486" s="360"/>
      <c r="DV486" s="360"/>
      <c r="DW486" s="360"/>
      <c r="DX486" s="360"/>
      <c r="DY486" s="360"/>
      <c r="DZ486" s="360"/>
      <c r="EA486" s="360"/>
      <c r="EB486" s="360"/>
      <c r="EC486" s="360"/>
      <c r="ED486" s="360"/>
      <c r="EE486" s="360"/>
      <c r="EF486" s="360"/>
      <c r="EG486" s="360"/>
      <c r="EH486" s="360"/>
      <c r="EI486" s="360"/>
      <c r="EJ486" s="360"/>
      <c r="EK486" s="360"/>
      <c r="EL486" s="360"/>
      <c r="EM486" s="360"/>
      <c r="EN486" s="360"/>
      <c r="EO486" s="360"/>
      <c r="EP486" s="360"/>
      <c r="EQ486" s="360"/>
    </row>
    <row r="487" spans="1:147" x14ac:dyDescent="0.35">
      <c r="A487" s="6" t="s">
        <v>1751</v>
      </c>
      <c r="B487" s="6" t="s">
        <v>740</v>
      </c>
      <c r="C487" s="6" t="s">
        <v>534</v>
      </c>
      <c r="D487" s="6" t="s">
        <v>741</v>
      </c>
      <c r="E487" s="6" t="s">
        <v>1731</v>
      </c>
      <c r="F487" s="6" t="s">
        <v>541</v>
      </c>
      <c r="G487" s="48" t="s">
        <v>1745</v>
      </c>
      <c r="H487" s="48" t="s">
        <v>1162</v>
      </c>
      <c r="I487" s="102">
        <v>187.5</v>
      </c>
      <c r="J487" s="102">
        <v>193.75</v>
      </c>
      <c r="K487" s="102">
        <v>200</v>
      </c>
      <c r="L487" s="102">
        <v>206.25</v>
      </c>
      <c r="M487" s="102">
        <v>212.5</v>
      </c>
      <c r="N487" s="102">
        <v>218.75</v>
      </c>
      <c r="O487" s="102">
        <v>225</v>
      </c>
      <c r="P487" s="94">
        <v>0</v>
      </c>
      <c r="Q487" s="102">
        <v>0</v>
      </c>
      <c r="R487" s="102">
        <v>0</v>
      </c>
      <c r="S487" s="102">
        <v>0</v>
      </c>
      <c r="T487" s="102">
        <v>0</v>
      </c>
      <c r="U487" s="102">
        <v>0</v>
      </c>
      <c r="V487" s="102">
        <v>0</v>
      </c>
      <c r="W487" s="102">
        <v>0</v>
      </c>
      <c r="X487" s="102">
        <v>0</v>
      </c>
      <c r="Y487" s="102">
        <v>0</v>
      </c>
      <c r="Z487" s="102">
        <v>0</v>
      </c>
      <c r="AA487" s="102">
        <v>0</v>
      </c>
      <c r="AB487" s="102">
        <v>0</v>
      </c>
      <c r="AC487" s="102">
        <v>0</v>
      </c>
      <c r="AD487" s="102">
        <v>0</v>
      </c>
      <c r="AE487" s="186">
        <v>0.08</v>
      </c>
      <c r="AF487" s="94">
        <v>0</v>
      </c>
      <c r="AG487" s="94">
        <v>20</v>
      </c>
      <c r="AH487" s="94">
        <v>20</v>
      </c>
      <c r="AI487" s="17">
        <v>1</v>
      </c>
      <c r="AJ487" s="17" t="s">
        <v>662</v>
      </c>
      <c r="AK487" s="17" t="s">
        <v>745</v>
      </c>
      <c r="AL487" s="17"/>
      <c r="AM487" s="61"/>
      <c r="AN487" s="61"/>
      <c r="AO487" s="61"/>
      <c r="AP487" s="61"/>
      <c r="AQ487" s="61"/>
      <c r="AR487" s="61"/>
      <c r="AS487" s="64"/>
      <c r="AT487" s="64"/>
      <c r="AU487" s="64"/>
      <c r="AV487" s="132"/>
      <c r="AW487" s="132"/>
      <c r="AX487" s="132"/>
      <c r="AY487" s="28" t="s">
        <v>662</v>
      </c>
      <c r="AZ487" s="28"/>
      <c r="BA487" s="28"/>
      <c r="BB487" s="28"/>
      <c r="BC487" s="28"/>
      <c r="BD487" s="28"/>
      <c r="BE487" s="28"/>
      <c r="BF487" s="28"/>
      <c r="BG487" s="28"/>
      <c r="BH487" s="106"/>
      <c r="BI487" s="106"/>
      <c r="BJ487" s="106"/>
      <c r="BK487" s="106"/>
      <c r="BL487" s="137"/>
      <c r="BM487" s="123"/>
      <c r="BN487" s="139">
        <v>0</v>
      </c>
      <c r="BO487" s="94"/>
      <c r="BP487" s="94"/>
      <c r="BQ487" s="94"/>
      <c r="BR487" s="94"/>
      <c r="BS487" s="94"/>
      <c r="BT487" s="94"/>
      <c r="BU487" s="28">
        <f t="shared" si="376"/>
        <v>0</v>
      </c>
      <c r="BV487" s="28"/>
      <c r="BW487" s="28"/>
      <c r="BX487" s="28"/>
      <c r="BY487" s="28"/>
      <c r="BZ487" s="28"/>
      <c r="CA487" s="28"/>
      <c r="CB487" s="99">
        <v>0.81200000000000006</v>
      </c>
      <c r="CC487" s="99">
        <v>0.95333333333333337</v>
      </c>
      <c r="CD487" s="99">
        <v>0.35899999999999999</v>
      </c>
      <c r="CE487" s="99">
        <f t="shared" si="371"/>
        <v>0.36</v>
      </c>
      <c r="CF487" s="99">
        <f t="shared" si="372"/>
        <v>0.36</v>
      </c>
      <c r="CG487" s="99">
        <f t="shared" si="373"/>
        <v>0.36</v>
      </c>
      <c r="CH487" s="99">
        <v>0.35899999999999999</v>
      </c>
      <c r="CI487" s="175"/>
      <c r="CJ487" s="175"/>
      <c r="CK487" s="175"/>
      <c r="CL487" s="175"/>
      <c r="CM487" s="175"/>
      <c r="CN487" s="175"/>
      <c r="CO487" s="175"/>
      <c r="CP487" s="176"/>
      <c r="CQ487" s="176"/>
      <c r="CR487" s="176"/>
      <c r="CS487" s="176"/>
      <c r="CT487" s="176"/>
      <c r="CU487" s="176"/>
      <c r="CV487" s="176"/>
      <c r="CW487" s="167"/>
      <c r="CX487" s="168"/>
      <c r="CY487" s="168"/>
      <c r="CZ487" s="168"/>
      <c r="DA487" s="168"/>
      <c r="DB487" s="168"/>
      <c r="DC487" s="168"/>
      <c r="DD487" s="172"/>
      <c r="DE487" s="172"/>
      <c r="DF487" s="172"/>
      <c r="DG487" s="172"/>
      <c r="DH487" s="172"/>
      <c r="DI487" s="172"/>
      <c r="DJ487" s="172"/>
      <c r="DK487" s="80" t="s">
        <v>415</v>
      </c>
      <c r="DL487" s="129"/>
      <c r="DM487" s="129"/>
      <c r="DN487" s="129"/>
      <c r="DO487" s="129"/>
      <c r="DP487" s="129"/>
      <c r="DQ487" s="129"/>
      <c r="DR487" s="129"/>
      <c r="DS487" s="218"/>
      <c r="DT487" s="360"/>
      <c r="DU487" s="360"/>
      <c r="DV487" s="360"/>
      <c r="DW487" s="360"/>
      <c r="DX487" s="360"/>
      <c r="DY487" s="360"/>
      <c r="DZ487" s="360"/>
      <c r="EA487" s="360"/>
      <c r="EB487" s="360"/>
      <c r="EC487" s="360"/>
      <c r="ED487" s="360"/>
      <c r="EE487" s="360"/>
      <c r="EF487" s="360"/>
      <c r="EG487" s="360"/>
      <c r="EH487" s="360"/>
      <c r="EI487" s="360"/>
      <c r="EJ487" s="360"/>
      <c r="EK487" s="360"/>
      <c r="EL487" s="360"/>
      <c r="EM487" s="360"/>
      <c r="EN487" s="360"/>
      <c r="EO487" s="360"/>
      <c r="EP487" s="360"/>
      <c r="EQ487" s="360"/>
    </row>
    <row r="488" spans="1:147" x14ac:dyDescent="0.35">
      <c r="A488" s="5" t="s">
        <v>1752</v>
      </c>
      <c r="B488" s="5" t="s">
        <v>740</v>
      </c>
      <c r="C488" s="5" t="s">
        <v>534</v>
      </c>
      <c r="D488" s="5" t="s">
        <v>741</v>
      </c>
      <c r="E488" s="5" t="s">
        <v>1753</v>
      </c>
      <c r="F488" s="5" t="s">
        <v>542</v>
      </c>
      <c r="G488" s="47" t="s">
        <v>542</v>
      </c>
      <c r="H488" s="47" t="s">
        <v>1162</v>
      </c>
      <c r="I488" s="101">
        <v>0</v>
      </c>
      <c r="J488" s="101">
        <v>0</v>
      </c>
      <c r="K488" s="101">
        <v>0</v>
      </c>
      <c r="L488" s="101">
        <v>0</v>
      </c>
      <c r="M488" s="101">
        <v>0</v>
      </c>
      <c r="N488" s="101">
        <v>0</v>
      </c>
      <c r="O488" s="101">
        <v>0</v>
      </c>
      <c r="P488" s="93">
        <v>0</v>
      </c>
      <c r="Q488" s="101">
        <v>0</v>
      </c>
      <c r="R488" s="101">
        <v>0</v>
      </c>
      <c r="S488" s="101">
        <v>0</v>
      </c>
      <c r="T488" s="101">
        <v>0</v>
      </c>
      <c r="U488" s="101">
        <v>0</v>
      </c>
      <c r="V488" s="101">
        <v>0</v>
      </c>
      <c r="W488" s="101">
        <v>0</v>
      </c>
      <c r="X488" s="101">
        <v>0</v>
      </c>
      <c r="Y488" s="101">
        <v>0</v>
      </c>
      <c r="Z488" s="101">
        <v>0</v>
      </c>
      <c r="AA488" s="101">
        <v>0</v>
      </c>
      <c r="AB488" s="101">
        <v>0</v>
      </c>
      <c r="AC488" s="101">
        <v>0</v>
      </c>
      <c r="AD488" s="101">
        <v>0</v>
      </c>
      <c r="AE488" s="186">
        <v>0.08</v>
      </c>
      <c r="AF488" s="93">
        <v>0</v>
      </c>
      <c r="AG488" s="93">
        <v>1</v>
      </c>
      <c r="AH488" s="93">
        <v>1</v>
      </c>
      <c r="AI488" s="16">
        <v>1</v>
      </c>
      <c r="AJ488" s="16" t="s">
        <v>662</v>
      </c>
      <c r="AK488" s="16" t="s">
        <v>745</v>
      </c>
      <c r="AL488" s="16"/>
      <c r="AM488" s="60"/>
      <c r="AN488" s="60"/>
      <c r="AO488" s="60"/>
      <c r="AP488" s="60"/>
      <c r="AQ488" s="60"/>
      <c r="AR488" s="60"/>
      <c r="AS488" s="63"/>
      <c r="AT488" s="63"/>
      <c r="AU488" s="63"/>
      <c r="AV488" s="131"/>
      <c r="AW488" s="131"/>
      <c r="AX488" s="131"/>
      <c r="AY488" s="27" t="s">
        <v>662</v>
      </c>
      <c r="AZ488" s="27"/>
      <c r="BA488" s="27"/>
      <c r="BB488" s="30"/>
      <c r="BC488" s="30"/>
      <c r="BD488" s="30"/>
      <c r="BE488" s="30"/>
      <c r="BF488" s="30"/>
      <c r="BG488" s="30"/>
      <c r="BH488" s="107"/>
      <c r="BI488" s="107"/>
      <c r="BJ488" s="107"/>
      <c r="BK488" s="107"/>
      <c r="BL488" s="136"/>
      <c r="BM488" s="122"/>
      <c r="BN488" s="138"/>
      <c r="BO488" s="93"/>
      <c r="BP488" s="93"/>
      <c r="BQ488" s="93"/>
      <c r="BR488" s="93"/>
      <c r="BS488" s="93"/>
      <c r="BT488" s="93"/>
      <c r="BU488" s="27">
        <f t="shared" si="337"/>
        <v>0</v>
      </c>
      <c r="BV488" s="27"/>
      <c r="BW488" s="27"/>
      <c r="BX488" s="27"/>
      <c r="BY488" s="27"/>
      <c r="BZ488" s="27"/>
      <c r="CA488" s="27"/>
      <c r="CB488" s="97">
        <v>5</v>
      </c>
      <c r="CC488" s="97">
        <v>5</v>
      </c>
      <c r="CD488" s="97">
        <v>5</v>
      </c>
      <c r="CE488" s="97">
        <f t="shared" si="371"/>
        <v>5</v>
      </c>
      <c r="CF488" s="97">
        <f t="shared" si="372"/>
        <v>5</v>
      </c>
      <c r="CG488" s="97">
        <f t="shared" si="373"/>
        <v>5</v>
      </c>
      <c r="CH488" s="97">
        <v>5</v>
      </c>
      <c r="CI488" s="173"/>
      <c r="CJ488" s="173"/>
      <c r="CK488" s="173"/>
      <c r="CL488" s="173"/>
      <c r="CM488" s="173"/>
      <c r="CN488" s="173"/>
      <c r="CO488" s="173"/>
      <c r="CP488" s="174"/>
      <c r="CQ488" s="174"/>
      <c r="CR488" s="174"/>
      <c r="CS488" s="174"/>
      <c r="CT488" s="174"/>
      <c r="CU488" s="174"/>
      <c r="CV488" s="174"/>
      <c r="CW488" s="165"/>
      <c r="CX488" s="166"/>
      <c r="CY488" s="166"/>
      <c r="CZ488" s="166"/>
      <c r="DA488" s="166"/>
      <c r="DB488" s="166"/>
      <c r="DC488" s="166"/>
      <c r="DD488" s="171"/>
      <c r="DE488" s="171"/>
      <c r="DF488" s="171"/>
      <c r="DG488" s="171"/>
      <c r="DH488" s="171"/>
      <c r="DI488" s="171"/>
      <c r="DJ488" s="171"/>
      <c r="DK488" s="79" t="s">
        <v>415</v>
      </c>
      <c r="DL488" s="128"/>
      <c r="DM488" s="128"/>
      <c r="DN488" s="128"/>
      <c r="DO488" s="128"/>
      <c r="DP488" s="128"/>
      <c r="DQ488" s="128"/>
      <c r="DR488" s="128"/>
      <c r="DS488" s="218"/>
      <c r="DT488" s="360"/>
      <c r="DU488" s="360"/>
      <c r="DV488" s="360"/>
      <c r="DW488" s="360"/>
      <c r="DX488" s="360"/>
      <c r="DY488" s="360"/>
      <c r="DZ488" s="360"/>
      <c r="EA488" s="360"/>
      <c r="EB488" s="360"/>
      <c r="EC488" s="360"/>
      <c r="ED488" s="360"/>
      <c r="EE488" s="360"/>
      <c r="EF488" s="360"/>
      <c r="EG488" s="360"/>
      <c r="EH488" s="360"/>
      <c r="EI488" s="360"/>
      <c r="EJ488" s="360"/>
      <c r="EK488" s="360"/>
      <c r="EL488" s="360"/>
      <c r="EM488" s="360"/>
      <c r="EN488" s="360"/>
      <c r="EO488" s="360"/>
      <c r="EP488" s="360"/>
      <c r="EQ488" s="360"/>
    </row>
    <row r="489" spans="1:147" x14ac:dyDescent="0.35">
      <c r="A489" s="6" t="s">
        <v>1754</v>
      </c>
      <c r="B489" s="6" t="s">
        <v>740</v>
      </c>
      <c r="C489" s="6" t="s">
        <v>534</v>
      </c>
      <c r="D489" s="6" t="s">
        <v>741</v>
      </c>
      <c r="E489" s="6" t="s">
        <v>1753</v>
      </c>
      <c r="F489" s="6" t="s">
        <v>542</v>
      </c>
      <c r="G489" s="48" t="s">
        <v>1755</v>
      </c>
      <c r="H489" s="48" t="s">
        <v>1162</v>
      </c>
      <c r="I489" s="102">
        <v>120</v>
      </c>
      <c r="J489" s="102">
        <v>122.5</v>
      </c>
      <c r="K489" s="102">
        <v>125</v>
      </c>
      <c r="L489" s="102">
        <v>112.5</v>
      </c>
      <c r="M489" s="102">
        <v>100</v>
      </c>
      <c r="N489" s="102">
        <v>100</v>
      </c>
      <c r="O489" s="102">
        <v>100</v>
      </c>
      <c r="P489" s="94">
        <v>0</v>
      </c>
      <c r="Q489" s="102">
        <v>0</v>
      </c>
      <c r="R489" s="102">
        <v>0</v>
      </c>
      <c r="S489" s="102">
        <v>0</v>
      </c>
      <c r="T489" s="102">
        <v>0</v>
      </c>
      <c r="U489" s="102">
        <v>0</v>
      </c>
      <c r="V489" s="102">
        <v>0</v>
      </c>
      <c r="W489" s="102">
        <v>0</v>
      </c>
      <c r="X489" s="102">
        <v>0</v>
      </c>
      <c r="Y489" s="102">
        <v>0</v>
      </c>
      <c r="Z489" s="102">
        <v>0</v>
      </c>
      <c r="AA489" s="102">
        <v>0</v>
      </c>
      <c r="AB489" s="102">
        <v>0</v>
      </c>
      <c r="AC489" s="102">
        <v>0</v>
      </c>
      <c r="AD489" s="102">
        <v>0</v>
      </c>
      <c r="AE489" s="186">
        <v>0.08</v>
      </c>
      <c r="AF489" s="94">
        <v>0</v>
      </c>
      <c r="AG489" s="94">
        <v>20</v>
      </c>
      <c r="AH489" s="94">
        <v>20</v>
      </c>
      <c r="AI489" s="17">
        <v>1</v>
      </c>
      <c r="AJ489" s="17" t="s">
        <v>662</v>
      </c>
      <c r="AK489" s="17" t="s">
        <v>745</v>
      </c>
      <c r="AL489" s="17"/>
      <c r="AM489" s="61"/>
      <c r="AN489" s="61"/>
      <c r="AO489" s="61"/>
      <c r="AP489" s="61"/>
      <c r="AQ489" s="61"/>
      <c r="AR489" s="61"/>
      <c r="AS489" s="64"/>
      <c r="AT489" s="64"/>
      <c r="AU489" s="64"/>
      <c r="AV489" s="132"/>
      <c r="AW489" s="132"/>
      <c r="AX489" s="132"/>
      <c r="AY489" s="28" t="s">
        <v>662</v>
      </c>
      <c r="AZ489" s="28"/>
      <c r="BA489" s="28"/>
      <c r="BB489" s="28"/>
      <c r="BC489" s="28"/>
      <c r="BD489" s="28"/>
      <c r="BE489" s="28"/>
      <c r="BF489" s="28"/>
      <c r="BG489" s="28"/>
      <c r="BH489" s="106"/>
      <c r="BI489" s="106"/>
      <c r="BJ489" s="106"/>
      <c r="BK489" s="106"/>
      <c r="BL489" s="137"/>
      <c r="BM489" s="123"/>
      <c r="BN489" s="139">
        <v>0</v>
      </c>
      <c r="BO489" s="94"/>
      <c r="BP489" s="94"/>
      <c r="BQ489" s="94"/>
      <c r="BR489" s="94"/>
      <c r="BS489" s="94"/>
      <c r="BT489" s="94"/>
      <c r="BU489" s="28">
        <f t="shared" si="337"/>
        <v>0</v>
      </c>
      <c r="BV489" s="28"/>
      <c r="BW489" s="28"/>
      <c r="BX489" s="28"/>
      <c r="BY489" s="28"/>
      <c r="BZ489" s="28"/>
      <c r="CA489" s="28"/>
      <c r="CB489" s="99">
        <v>1.0499999999999998</v>
      </c>
      <c r="CC489" s="99">
        <v>1.0874999999999999</v>
      </c>
      <c r="CD489" s="185">
        <f>CC489</f>
        <v>1.0874999999999999</v>
      </c>
      <c r="CE489" s="185">
        <f t="shared" si="371"/>
        <v>1.0900000000000001</v>
      </c>
      <c r="CF489" s="185">
        <f t="shared" si="372"/>
        <v>1.0900000000000001</v>
      </c>
      <c r="CG489" s="185">
        <f t="shared" si="373"/>
        <v>1.0900000000000001</v>
      </c>
      <c r="CH489" s="185">
        <f>CC489</f>
        <v>1.0874999999999999</v>
      </c>
      <c r="CI489" s="175"/>
      <c r="CJ489" s="175"/>
      <c r="CK489" s="175"/>
      <c r="CL489" s="175"/>
      <c r="CM489" s="175"/>
      <c r="CN489" s="175"/>
      <c r="CO489" s="175"/>
      <c r="CP489" s="176"/>
      <c r="CQ489" s="176"/>
      <c r="CR489" s="176"/>
      <c r="CS489" s="176"/>
      <c r="CT489" s="176"/>
      <c r="CU489" s="176"/>
      <c r="CV489" s="176"/>
      <c r="CW489" s="167"/>
      <c r="CX489" s="168"/>
      <c r="CY489" s="168"/>
      <c r="CZ489" s="168"/>
      <c r="DA489" s="168"/>
      <c r="DB489" s="168"/>
      <c r="DC489" s="168"/>
      <c r="DD489" s="172"/>
      <c r="DE489" s="172"/>
      <c r="DF489" s="172"/>
      <c r="DG489" s="172"/>
      <c r="DH489" s="172"/>
      <c r="DI489" s="172"/>
      <c r="DJ489" s="172"/>
      <c r="DK489" s="80" t="s">
        <v>415</v>
      </c>
      <c r="DL489" s="129"/>
      <c r="DM489" s="129"/>
      <c r="DN489" s="129"/>
      <c r="DO489" s="129"/>
      <c r="DP489" s="129"/>
      <c r="DQ489" s="129"/>
      <c r="DR489" s="129"/>
      <c r="DS489" s="218"/>
      <c r="DT489" s="360"/>
      <c r="DU489" s="360"/>
      <c r="DV489" s="360"/>
      <c r="DW489" s="360"/>
      <c r="DX489" s="360"/>
      <c r="DY489" s="360"/>
      <c r="DZ489" s="360"/>
      <c r="EA489" s="360"/>
      <c r="EB489" s="360"/>
      <c r="EC489" s="360"/>
      <c r="ED489" s="360"/>
      <c r="EE489" s="360"/>
      <c r="EF489" s="360"/>
      <c r="EG489" s="360"/>
      <c r="EH489" s="360"/>
      <c r="EI489" s="360"/>
      <c r="EJ489" s="360"/>
      <c r="EK489" s="360"/>
      <c r="EL489" s="360"/>
      <c r="EM489" s="360"/>
      <c r="EN489" s="360"/>
      <c r="EO489" s="360"/>
      <c r="EP489" s="360"/>
      <c r="EQ489" s="360"/>
    </row>
    <row r="490" spans="1:147" x14ac:dyDescent="0.35">
      <c r="A490" s="5" t="s">
        <v>1756</v>
      </c>
      <c r="B490" s="5" t="s">
        <v>740</v>
      </c>
      <c r="C490" s="5" t="s">
        <v>534</v>
      </c>
      <c r="D490" s="5" t="s">
        <v>741</v>
      </c>
      <c r="E490" s="5" t="s">
        <v>1753</v>
      </c>
      <c r="F490" s="5" t="s">
        <v>542</v>
      </c>
      <c r="G490" s="47" t="s">
        <v>1757</v>
      </c>
      <c r="H490" s="47" t="s">
        <v>1162</v>
      </c>
      <c r="I490" s="101">
        <v>800</v>
      </c>
      <c r="J490" s="101">
        <v>681.25</v>
      </c>
      <c r="K490" s="101">
        <v>562.5</v>
      </c>
      <c r="L490" s="101">
        <v>456.25</v>
      </c>
      <c r="M490" s="101">
        <v>350</v>
      </c>
      <c r="N490" s="101">
        <v>350</v>
      </c>
      <c r="O490" s="101">
        <v>350</v>
      </c>
      <c r="P490" s="93">
        <v>0</v>
      </c>
      <c r="Q490" s="101">
        <v>0</v>
      </c>
      <c r="R490" s="101">
        <v>0</v>
      </c>
      <c r="S490" s="101">
        <v>0</v>
      </c>
      <c r="T490" s="101">
        <v>0</v>
      </c>
      <c r="U490" s="101">
        <v>0</v>
      </c>
      <c r="V490" s="101">
        <v>0</v>
      </c>
      <c r="W490" s="101">
        <v>0</v>
      </c>
      <c r="X490" s="101">
        <v>0</v>
      </c>
      <c r="Y490" s="101">
        <v>0</v>
      </c>
      <c r="Z490" s="101">
        <v>0</v>
      </c>
      <c r="AA490" s="101">
        <v>0</v>
      </c>
      <c r="AB490" s="101">
        <v>0</v>
      </c>
      <c r="AC490" s="101">
        <v>0</v>
      </c>
      <c r="AD490" s="101">
        <v>0</v>
      </c>
      <c r="AE490" s="186">
        <v>0.08</v>
      </c>
      <c r="AF490" s="93">
        <v>0</v>
      </c>
      <c r="AG490" s="93">
        <v>20</v>
      </c>
      <c r="AH490" s="93">
        <v>20</v>
      </c>
      <c r="AI490" s="16">
        <v>1</v>
      </c>
      <c r="AJ490" s="16" t="s">
        <v>662</v>
      </c>
      <c r="AK490" s="16" t="s">
        <v>745</v>
      </c>
      <c r="AL490" s="16"/>
      <c r="AM490" s="60"/>
      <c r="AN490" s="60"/>
      <c r="AO490" s="60"/>
      <c r="AP490" s="60"/>
      <c r="AQ490" s="60"/>
      <c r="AR490" s="60"/>
      <c r="AS490" s="63"/>
      <c r="AT490" s="63"/>
      <c r="AU490" s="63"/>
      <c r="AV490" s="131"/>
      <c r="AW490" s="131"/>
      <c r="AX490" s="131"/>
      <c r="AY490" s="27" t="s">
        <v>662</v>
      </c>
      <c r="AZ490" s="27"/>
      <c r="BA490" s="27"/>
      <c r="BB490" s="30"/>
      <c r="BC490" s="30"/>
      <c r="BD490" s="30"/>
      <c r="BE490" s="30"/>
      <c r="BF490" s="30"/>
      <c r="BG490" s="30"/>
      <c r="BH490" s="107"/>
      <c r="BI490" s="107"/>
      <c r="BJ490" s="107"/>
      <c r="BK490" s="107"/>
      <c r="BL490" s="136"/>
      <c r="BM490" s="122"/>
      <c r="BN490" s="138">
        <v>0</v>
      </c>
      <c r="BO490" s="93"/>
      <c r="BP490" s="93"/>
      <c r="BQ490" s="93"/>
      <c r="BR490" s="93"/>
      <c r="BS490" s="93"/>
      <c r="BT490" s="93"/>
      <c r="BU490" s="27">
        <f t="shared" si="337"/>
        <v>0</v>
      </c>
      <c r="BV490" s="27"/>
      <c r="BW490" s="27"/>
      <c r="BX490" s="27"/>
      <c r="BY490" s="27"/>
      <c r="BZ490" s="27"/>
      <c r="CA490" s="27"/>
      <c r="CB490" s="97">
        <v>0.15000000000000002</v>
      </c>
      <c r="CC490" s="97">
        <v>0.15750000000000003</v>
      </c>
      <c r="CD490" s="185">
        <f t="shared" ref="CD490:CD497" si="377">CC490</f>
        <v>0.15750000000000003</v>
      </c>
      <c r="CE490" s="185">
        <f t="shared" ref="CE490:CE491" si="378">ROUND((CD490+CF490)/2,2)</f>
        <v>0.16</v>
      </c>
      <c r="CF490" s="185">
        <f t="shared" ref="CF490:CF491" si="379">ROUND((CD490+CH490)/2,2)</f>
        <v>0.16</v>
      </c>
      <c r="CG490" s="185">
        <f t="shared" ref="CG490:CG491" si="380">ROUND((CF490+CH490)/2,2)</f>
        <v>0.16</v>
      </c>
      <c r="CH490" s="185">
        <f t="shared" ref="CH490:CH491" si="381">CC490</f>
        <v>0.15750000000000003</v>
      </c>
      <c r="CI490" s="173"/>
      <c r="CJ490" s="173"/>
      <c r="CK490" s="173"/>
      <c r="CL490" s="173"/>
      <c r="CM490" s="173"/>
      <c r="CN490" s="173"/>
      <c r="CO490" s="173"/>
      <c r="CP490" s="174"/>
      <c r="CQ490" s="174"/>
      <c r="CR490" s="174"/>
      <c r="CS490" s="174"/>
      <c r="CT490" s="174"/>
      <c r="CU490" s="174"/>
      <c r="CV490" s="174"/>
      <c r="CW490" s="165"/>
      <c r="CX490" s="166"/>
      <c r="CY490" s="166"/>
      <c r="CZ490" s="166"/>
      <c r="DA490" s="166"/>
      <c r="DB490" s="166"/>
      <c r="DC490" s="166"/>
      <c r="DD490" s="171"/>
      <c r="DE490" s="171"/>
      <c r="DF490" s="171"/>
      <c r="DG490" s="171"/>
      <c r="DH490" s="171"/>
      <c r="DI490" s="171"/>
      <c r="DJ490" s="171"/>
      <c r="DK490" s="79" t="s">
        <v>415</v>
      </c>
      <c r="DL490" s="128"/>
      <c r="DM490" s="128"/>
      <c r="DN490" s="128"/>
      <c r="DO490" s="128"/>
      <c r="DP490" s="128"/>
      <c r="DQ490" s="128"/>
      <c r="DR490" s="128"/>
      <c r="DS490" s="218"/>
      <c r="DT490" s="360"/>
      <c r="DU490" s="360"/>
      <c r="DV490" s="360"/>
      <c r="DW490" s="360"/>
      <c r="DX490" s="360"/>
      <c r="DY490" s="360"/>
      <c r="DZ490" s="360"/>
      <c r="EA490" s="360"/>
      <c r="EB490" s="360"/>
      <c r="EC490" s="360"/>
      <c r="ED490" s="360"/>
      <c r="EE490" s="360"/>
      <c r="EF490" s="360"/>
      <c r="EG490" s="360"/>
      <c r="EH490" s="360"/>
      <c r="EI490" s="360"/>
      <c r="EJ490" s="360"/>
      <c r="EK490" s="360"/>
      <c r="EL490" s="360"/>
      <c r="EM490" s="360"/>
      <c r="EN490" s="360"/>
      <c r="EO490" s="360"/>
      <c r="EP490" s="360"/>
      <c r="EQ490" s="360"/>
    </row>
    <row r="491" spans="1:147" x14ac:dyDescent="0.35">
      <c r="A491" s="6" t="s">
        <v>1758</v>
      </c>
      <c r="B491" s="6" t="s">
        <v>740</v>
      </c>
      <c r="C491" s="6" t="s">
        <v>534</v>
      </c>
      <c r="D491" s="6" t="s">
        <v>741</v>
      </c>
      <c r="E491" s="6" t="s">
        <v>1753</v>
      </c>
      <c r="F491" s="6" t="s">
        <v>542</v>
      </c>
      <c r="G491" s="48" t="s">
        <v>1759</v>
      </c>
      <c r="H491" s="48" t="s">
        <v>1162</v>
      </c>
      <c r="I491" s="102">
        <v>150</v>
      </c>
      <c r="J491" s="102">
        <v>141.66999999999999</v>
      </c>
      <c r="K491" s="102">
        <v>133.33000000000001</v>
      </c>
      <c r="L491" s="102">
        <v>125</v>
      </c>
      <c r="M491" s="102">
        <v>116.67</v>
      </c>
      <c r="N491" s="102">
        <v>108.33</v>
      </c>
      <c r="O491" s="102">
        <v>100</v>
      </c>
      <c r="P491" s="94">
        <v>0</v>
      </c>
      <c r="Q491" s="102">
        <v>0</v>
      </c>
      <c r="R491" s="102">
        <v>0</v>
      </c>
      <c r="S491" s="102">
        <v>0</v>
      </c>
      <c r="T491" s="102">
        <v>0</v>
      </c>
      <c r="U491" s="102">
        <v>0</v>
      </c>
      <c r="V491" s="102">
        <v>0</v>
      </c>
      <c r="W491" s="102">
        <v>0</v>
      </c>
      <c r="X491" s="102">
        <v>0</v>
      </c>
      <c r="Y491" s="102">
        <v>0</v>
      </c>
      <c r="Z491" s="102">
        <v>0</v>
      </c>
      <c r="AA491" s="102">
        <v>0</v>
      </c>
      <c r="AB491" s="102">
        <v>0</v>
      </c>
      <c r="AC491" s="102">
        <v>0</v>
      </c>
      <c r="AD491" s="102">
        <v>0</v>
      </c>
      <c r="AE491" s="186">
        <v>0.08</v>
      </c>
      <c r="AF491" s="94">
        <v>0</v>
      </c>
      <c r="AG491" s="94">
        <v>20</v>
      </c>
      <c r="AH491" s="94">
        <v>20</v>
      </c>
      <c r="AI491" s="17">
        <v>1</v>
      </c>
      <c r="AJ491" s="17" t="s">
        <v>662</v>
      </c>
      <c r="AK491" s="17" t="s">
        <v>745</v>
      </c>
      <c r="AL491" s="17"/>
      <c r="AM491" s="61"/>
      <c r="AN491" s="61"/>
      <c r="AO491" s="61"/>
      <c r="AP491" s="61"/>
      <c r="AQ491" s="61"/>
      <c r="AR491" s="61"/>
      <c r="AS491" s="64"/>
      <c r="AT491" s="64"/>
      <c r="AU491" s="64"/>
      <c r="AV491" s="132"/>
      <c r="AW491" s="132"/>
      <c r="AX491" s="132"/>
      <c r="AY491" s="28" t="s">
        <v>662</v>
      </c>
      <c r="AZ491" s="28"/>
      <c r="BA491" s="28"/>
      <c r="BB491" s="28"/>
      <c r="BC491" s="28"/>
      <c r="BD491" s="28"/>
      <c r="BE491" s="28"/>
      <c r="BF491" s="28"/>
      <c r="BG491" s="28"/>
      <c r="BH491" s="106"/>
      <c r="BI491" s="106"/>
      <c r="BJ491" s="106"/>
      <c r="BK491" s="106"/>
      <c r="BL491" s="137"/>
      <c r="BM491" s="123"/>
      <c r="BN491" s="139">
        <v>0</v>
      </c>
      <c r="BO491" s="94"/>
      <c r="BP491" s="94"/>
      <c r="BQ491" s="94"/>
      <c r="BR491" s="94"/>
      <c r="BS491" s="94"/>
      <c r="BT491" s="94"/>
      <c r="BU491" s="28">
        <f t="shared" si="337"/>
        <v>0</v>
      </c>
      <c r="BV491" s="28"/>
      <c r="BW491" s="28"/>
      <c r="BX491" s="28"/>
      <c r="BY491" s="28"/>
      <c r="BZ491" s="28"/>
      <c r="CA491" s="28"/>
      <c r="CB491" s="99">
        <v>0.32000000000000006</v>
      </c>
      <c r="CC491" s="99">
        <v>0.30000000000000004</v>
      </c>
      <c r="CD491" s="185">
        <f t="shared" si="377"/>
        <v>0.30000000000000004</v>
      </c>
      <c r="CE491" s="185">
        <f t="shared" si="378"/>
        <v>0.3</v>
      </c>
      <c r="CF491" s="185">
        <f t="shared" si="379"/>
        <v>0.3</v>
      </c>
      <c r="CG491" s="185">
        <f t="shared" si="380"/>
        <v>0.3</v>
      </c>
      <c r="CH491" s="185">
        <f t="shared" si="381"/>
        <v>0.30000000000000004</v>
      </c>
      <c r="CI491" s="175"/>
      <c r="CJ491" s="175"/>
      <c r="CK491" s="175"/>
      <c r="CL491" s="175"/>
      <c r="CM491" s="175"/>
      <c r="CN491" s="175"/>
      <c r="CO491" s="175"/>
      <c r="CP491" s="176"/>
      <c r="CQ491" s="176"/>
      <c r="CR491" s="176"/>
      <c r="CS491" s="176"/>
      <c r="CT491" s="176"/>
      <c r="CU491" s="176"/>
      <c r="CV491" s="176"/>
      <c r="CW491" s="167"/>
      <c r="CX491" s="168"/>
      <c r="CY491" s="168"/>
      <c r="CZ491" s="168"/>
      <c r="DA491" s="168"/>
      <c r="DB491" s="168"/>
      <c r="DC491" s="168"/>
      <c r="DD491" s="172"/>
      <c r="DE491" s="172"/>
      <c r="DF491" s="172"/>
      <c r="DG491" s="172"/>
      <c r="DH491" s="172"/>
      <c r="DI491" s="172"/>
      <c r="DJ491" s="172"/>
      <c r="DK491" s="80" t="s">
        <v>415</v>
      </c>
      <c r="DL491" s="129"/>
      <c r="DM491" s="129"/>
      <c r="DN491" s="129"/>
      <c r="DO491" s="129"/>
      <c r="DP491" s="129"/>
      <c r="DQ491" s="129"/>
      <c r="DR491" s="129"/>
      <c r="DS491" s="218"/>
      <c r="DT491" s="360"/>
      <c r="DU491" s="360"/>
      <c r="DV491" s="360"/>
      <c r="DW491" s="360"/>
      <c r="DX491" s="360"/>
      <c r="DY491" s="360"/>
      <c r="DZ491" s="360"/>
      <c r="EA491" s="360"/>
      <c r="EB491" s="360"/>
      <c r="EC491" s="360"/>
      <c r="ED491" s="360"/>
      <c r="EE491" s="360"/>
      <c r="EF491" s="360"/>
      <c r="EG491" s="360"/>
      <c r="EH491" s="360"/>
      <c r="EI491" s="360"/>
      <c r="EJ491" s="360"/>
      <c r="EK491" s="360"/>
      <c r="EL491" s="360"/>
      <c r="EM491" s="360"/>
      <c r="EN491" s="360"/>
      <c r="EO491" s="360"/>
      <c r="EP491" s="360"/>
      <c r="EQ491" s="360"/>
    </row>
    <row r="492" spans="1:147" x14ac:dyDescent="0.35">
      <c r="A492" s="5" t="s">
        <v>1760</v>
      </c>
      <c r="B492" s="5" t="s">
        <v>734</v>
      </c>
      <c r="C492" s="5" t="s">
        <v>534</v>
      </c>
      <c r="D492" s="5" t="s">
        <v>1029</v>
      </c>
      <c r="E492" s="5" t="s">
        <v>1713</v>
      </c>
      <c r="F492" s="5" t="s">
        <v>543</v>
      </c>
      <c r="G492" s="47" t="s">
        <v>543</v>
      </c>
      <c r="H492" s="47" t="s">
        <v>1162</v>
      </c>
      <c r="I492" s="101">
        <v>0</v>
      </c>
      <c r="J492" s="101">
        <v>0</v>
      </c>
      <c r="K492" s="101">
        <v>0</v>
      </c>
      <c r="L492" s="101">
        <v>0</v>
      </c>
      <c r="M492" s="101">
        <v>0</v>
      </c>
      <c r="N492" s="101">
        <v>0</v>
      </c>
      <c r="O492" s="101">
        <v>0</v>
      </c>
      <c r="P492" s="93">
        <v>0</v>
      </c>
      <c r="Q492" s="101">
        <v>0</v>
      </c>
      <c r="R492" s="101">
        <v>0</v>
      </c>
      <c r="S492" s="101">
        <v>0</v>
      </c>
      <c r="T492" s="101">
        <v>0</v>
      </c>
      <c r="U492" s="101">
        <v>0</v>
      </c>
      <c r="V492" s="101">
        <v>0</v>
      </c>
      <c r="W492" s="101">
        <v>0</v>
      </c>
      <c r="X492" s="101">
        <v>0</v>
      </c>
      <c r="Y492" s="101">
        <v>0</v>
      </c>
      <c r="Z492" s="101">
        <v>0</v>
      </c>
      <c r="AA492" s="101">
        <v>0</v>
      </c>
      <c r="AB492" s="101">
        <v>0</v>
      </c>
      <c r="AC492" s="101">
        <v>0</v>
      </c>
      <c r="AD492" s="101">
        <v>0</v>
      </c>
      <c r="AE492" s="186">
        <v>0.08</v>
      </c>
      <c r="AF492" s="93">
        <v>0</v>
      </c>
      <c r="AG492" s="93">
        <v>1</v>
      </c>
      <c r="AH492" s="93">
        <v>1</v>
      </c>
      <c r="AI492" s="16">
        <v>1</v>
      </c>
      <c r="AJ492" s="16" t="s">
        <v>662</v>
      </c>
      <c r="AK492" s="16" t="s">
        <v>745</v>
      </c>
      <c r="AL492" s="16"/>
      <c r="AM492" s="60"/>
      <c r="AN492" s="60"/>
      <c r="AO492" s="60"/>
      <c r="AP492" s="60"/>
      <c r="AQ492" s="60"/>
      <c r="AR492" s="60"/>
      <c r="AS492" s="63"/>
      <c r="AT492" s="63"/>
      <c r="AU492" s="63"/>
      <c r="AV492" s="131"/>
      <c r="AW492" s="131"/>
      <c r="AX492" s="131"/>
      <c r="AY492" s="27" t="s">
        <v>662</v>
      </c>
      <c r="AZ492" s="27"/>
      <c r="BA492" s="27"/>
      <c r="BB492" s="30"/>
      <c r="BC492" s="30"/>
      <c r="BD492" s="30"/>
      <c r="BE492" s="30"/>
      <c r="BF492" s="30"/>
      <c r="BG492" s="30"/>
      <c r="BH492" s="107"/>
      <c r="BI492" s="107"/>
      <c r="BJ492" s="107"/>
      <c r="BK492" s="107"/>
      <c r="BL492" s="136"/>
      <c r="BM492" s="122"/>
      <c r="BN492" s="138"/>
      <c r="BO492" s="93"/>
      <c r="BP492" s="93"/>
      <c r="BQ492" s="93"/>
      <c r="BR492" s="93"/>
      <c r="BS492" s="93"/>
      <c r="BT492" s="93"/>
      <c r="BU492" s="27">
        <f t="shared" si="337"/>
        <v>0</v>
      </c>
      <c r="BV492" s="27"/>
      <c r="BW492" s="27"/>
      <c r="BX492" s="27"/>
      <c r="BY492" s="27"/>
      <c r="BZ492" s="27"/>
      <c r="CA492" s="27"/>
      <c r="CB492" s="97">
        <v>20</v>
      </c>
      <c r="CC492" s="97">
        <v>20</v>
      </c>
      <c r="CD492" s="97">
        <v>20</v>
      </c>
      <c r="CE492" s="97">
        <f t="shared" si="371"/>
        <v>20</v>
      </c>
      <c r="CF492" s="97">
        <f t="shared" si="372"/>
        <v>20</v>
      </c>
      <c r="CG492" s="97">
        <f t="shared" si="373"/>
        <v>20</v>
      </c>
      <c r="CH492" s="97">
        <v>20</v>
      </c>
      <c r="CI492" s="173"/>
      <c r="CJ492" s="173"/>
      <c r="CK492" s="173"/>
      <c r="CL492" s="173"/>
      <c r="CM492" s="173"/>
      <c r="CN492" s="173"/>
      <c r="CO492" s="173"/>
      <c r="CP492" s="174"/>
      <c r="CQ492" s="174"/>
      <c r="CR492" s="174"/>
      <c r="CS492" s="174"/>
      <c r="CT492" s="174"/>
      <c r="CU492" s="174"/>
      <c r="CV492" s="174"/>
      <c r="CW492" s="165"/>
      <c r="CX492" s="166"/>
      <c r="CY492" s="166"/>
      <c r="CZ492" s="166"/>
      <c r="DA492" s="166"/>
      <c r="DB492" s="166"/>
      <c r="DC492" s="166"/>
      <c r="DD492" s="171"/>
      <c r="DE492" s="171"/>
      <c r="DF492" s="171"/>
      <c r="DG492" s="171"/>
      <c r="DH492" s="171"/>
      <c r="DI492" s="171"/>
      <c r="DJ492" s="171"/>
      <c r="DK492" s="79" t="s">
        <v>415</v>
      </c>
      <c r="DL492" s="128"/>
      <c r="DM492" s="128"/>
      <c r="DN492" s="128"/>
      <c r="DO492" s="128"/>
      <c r="DP492" s="128"/>
      <c r="DQ492" s="128"/>
      <c r="DR492" s="128"/>
      <c r="DS492" s="218"/>
      <c r="DT492" s="360"/>
      <c r="DU492" s="360"/>
      <c r="DV492" s="360"/>
      <c r="DW492" s="360"/>
      <c r="DX492" s="360"/>
      <c r="DY492" s="360"/>
      <c r="DZ492" s="360"/>
      <c r="EA492" s="360"/>
      <c r="EB492" s="360"/>
      <c r="EC492" s="360"/>
      <c r="ED492" s="360"/>
      <c r="EE492" s="360"/>
      <c r="EF492" s="360"/>
      <c r="EG492" s="360"/>
      <c r="EH492" s="360"/>
      <c r="EI492" s="360"/>
      <c r="EJ492" s="360"/>
      <c r="EK492" s="360"/>
      <c r="EL492" s="360"/>
      <c r="EM492" s="360"/>
      <c r="EN492" s="360"/>
      <c r="EO492" s="360"/>
      <c r="EP492" s="360"/>
      <c r="EQ492" s="360"/>
    </row>
    <row r="493" spans="1:147" x14ac:dyDescent="0.35">
      <c r="A493" s="6" t="s">
        <v>1761</v>
      </c>
      <c r="B493" s="6" t="s">
        <v>734</v>
      </c>
      <c r="C493" s="6" t="s">
        <v>534</v>
      </c>
      <c r="D493" s="6" t="s">
        <v>1029</v>
      </c>
      <c r="E493" s="6" t="s">
        <v>1713</v>
      </c>
      <c r="F493" s="6" t="s">
        <v>543</v>
      </c>
      <c r="G493" s="48" t="s">
        <v>1715</v>
      </c>
      <c r="H493" s="48" t="s">
        <v>1162</v>
      </c>
      <c r="I493" s="102">
        <v>125</v>
      </c>
      <c r="J493" s="102">
        <v>125</v>
      </c>
      <c r="K493" s="102">
        <v>125</v>
      </c>
      <c r="L493" s="102">
        <v>125</v>
      </c>
      <c r="M493" s="102">
        <v>125</v>
      </c>
      <c r="N493" s="102">
        <v>125</v>
      </c>
      <c r="O493" s="102">
        <v>125</v>
      </c>
      <c r="P493" s="94">
        <v>0</v>
      </c>
      <c r="Q493" s="102">
        <v>0</v>
      </c>
      <c r="R493" s="102">
        <v>0</v>
      </c>
      <c r="S493" s="102">
        <v>0</v>
      </c>
      <c r="T493" s="102">
        <v>0</v>
      </c>
      <c r="U493" s="102">
        <v>0</v>
      </c>
      <c r="V493" s="102">
        <v>0</v>
      </c>
      <c r="W493" s="102">
        <v>0</v>
      </c>
      <c r="X493" s="102">
        <v>0</v>
      </c>
      <c r="Y493" s="102">
        <v>0</v>
      </c>
      <c r="Z493" s="102">
        <v>0</v>
      </c>
      <c r="AA493" s="102">
        <v>0</v>
      </c>
      <c r="AB493" s="102">
        <v>0</v>
      </c>
      <c r="AC493" s="102">
        <v>0</v>
      </c>
      <c r="AD493" s="102">
        <v>0</v>
      </c>
      <c r="AE493" s="186">
        <v>0.08</v>
      </c>
      <c r="AF493" s="94">
        <v>0</v>
      </c>
      <c r="AG493" s="94">
        <v>20</v>
      </c>
      <c r="AH493" s="94">
        <v>20</v>
      </c>
      <c r="AI493" s="17">
        <v>1</v>
      </c>
      <c r="AJ493" s="17" t="s">
        <v>662</v>
      </c>
      <c r="AK493" s="17" t="s">
        <v>745</v>
      </c>
      <c r="AL493" s="17"/>
      <c r="AM493" s="61"/>
      <c r="AN493" s="61"/>
      <c r="AO493" s="61"/>
      <c r="AP493" s="61"/>
      <c r="AQ493" s="61"/>
      <c r="AR493" s="61"/>
      <c r="AS493" s="64"/>
      <c r="AT493" s="64"/>
      <c r="AU493" s="64"/>
      <c r="AV493" s="132"/>
      <c r="AW493" s="132"/>
      <c r="AX493" s="132"/>
      <c r="AY493" s="28" t="s">
        <v>662</v>
      </c>
      <c r="AZ493" s="28"/>
      <c r="BA493" s="28"/>
      <c r="BB493" s="28"/>
      <c r="BC493" s="28"/>
      <c r="BD493" s="28"/>
      <c r="BE493" s="28"/>
      <c r="BF493" s="28"/>
      <c r="BG493" s="28"/>
      <c r="BH493" s="106"/>
      <c r="BI493" s="106"/>
      <c r="BJ493" s="106"/>
      <c r="BK493" s="106"/>
      <c r="BL493" s="137"/>
      <c r="BM493" s="123"/>
      <c r="BN493" s="139">
        <v>0</v>
      </c>
      <c r="BO493" s="94"/>
      <c r="BP493" s="94"/>
      <c r="BQ493" s="94"/>
      <c r="BR493" s="94"/>
      <c r="BS493" s="94"/>
      <c r="BT493" s="94"/>
      <c r="BU493" s="28">
        <f t="shared" si="337"/>
        <v>0</v>
      </c>
      <c r="BV493" s="28"/>
      <c r="BW493" s="28"/>
      <c r="BX493" s="28"/>
      <c r="BY493" s="28"/>
      <c r="BZ493" s="28"/>
      <c r="CA493" s="28"/>
      <c r="CB493" s="99">
        <v>0.9880000000000001</v>
      </c>
      <c r="CC493" s="99">
        <v>0.85458333333333347</v>
      </c>
      <c r="CD493" s="185">
        <f t="shared" si="377"/>
        <v>0.85458333333333347</v>
      </c>
      <c r="CE493" s="185">
        <f t="shared" si="371"/>
        <v>0.85</v>
      </c>
      <c r="CF493" s="185">
        <f t="shared" si="372"/>
        <v>0.85</v>
      </c>
      <c r="CG493" s="185">
        <f t="shared" si="373"/>
        <v>0.85</v>
      </c>
      <c r="CH493" s="185">
        <f t="shared" ref="CH493" si="382">CC493</f>
        <v>0.85458333333333347</v>
      </c>
      <c r="CI493" s="175"/>
      <c r="CJ493" s="175"/>
      <c r="CK493" s="175"/>
      <c r="CL493" s="175"/>
      <c r="CM493" s="175"/>
      <c r="CN493" s="175"/>
      <c r="CO493" s="175"/>
      <c r="CP493" s="176"/>
      <c r="CQ493" s="176"/>
      <c r="CR493" s="176"/>
      <c r="CS493" s="176"/>
      <c r="CT493" s="176"/>
      <c r="CU493" s="176"/>
      <c r="CV493" s="176"/>
      <c r="CW493" s="167"/>
      <c r="CX493" s="168"/>
      <c r="CY493" s="168"/>
      <c r="CZ493" s="168"/>
      <c r="DA493" s="168"/>
      <c r="DB493" s="168"/>
      <c r="DC493" s="168"/>
      <c r="DD493" s="172"/>
      <c r="DE493" s="172"/>
      <c r="DF493" s="172"/>
      <c r="DG493" s="172"/>
      <c r="DH493" s="172"/>
      <c r="DI493" s="172"/>
      <c r="DJ493" s="172"/>
      <c r="DK493" s="80" t="s">
        <v>415</v>
      </c>
      <c r="DL493" s="129"/>
      <c r="DM493" s="129"/>
      <c r="DN493" s="129"/>
      <c r="DO493" s="129"/>
      <c r="DP493" s="129"/>
      <c r="DQ493" s="129"/>
      <c r="DR493" s="129"/>
      <c r="DS493" s="218"/>
      <c r="DT493" s="360"/>
      <c r="DU493" s="360"/>
      <c r="DV493" s="360"/>
      <c r="DW493" s="360"/>
      <c r="DX493" s="360"/>
      <c r="DY493" s="360"/>
      <c r="DZ493" s="360"/>
      <c r="EA493" s="360"/>
      <c r="EB493" s="360"/>
      <c r="EC493" s="360"/>
      <c r="ED493" s="360"/>
      <c r="EE493" s="360"/>
      <c r="EF493" s="360"/>
      <c r="EG493" s="360"/>
      <c r="EH493" s="360"/>
      <c r="EI493" s="360"/>
      <c r="EJ493" s="360"/>
      <c r="EK493" s="360"/>
      <c r="EL493" s="360"/>
      <c r="EM493" s="360"/>
      <c r="EN493" s="360"/>
      <c r="EO493" s="360"/>
      <c r="EP493" s="360"/>
      <c r="EQ493" s="360"/>
    </row>
    <row r="494" spans="1:147" x14ac:dyDescent="0.35">
      <c r="A494" s="5" t="s">
        <v>1762</v>
      </c>
      <c r="B494" s="5" t="s">
        <v>734</v>
      </c>
      <c r="C494" s="5" t="s">
        <v>534</v>
      </c>
      <c r="D494" s="5" t="s">
        <v>1029</v>
      </c>
      <c r="E494" s="5" t="s">
        <v>1731</v>
      </c>
      <c r="F494" s="5" t="s">
        <v>544</v>
      </c>
      <c r="G494" s="47" t="s">
        <v>544</v>
      </c>
      <c r="H494" s="47" t="s">
        <v>1162</v>
      </c>
      <c r="I494" s="101">
        <v>0</v>
      </c>
      <c r="J494" s="101">
        <v>0</v>
      </c>
      <c r="K494" s="101">
        <v>0</v>
      </c>
      <c r="L494" s="101">
        <v>0</v>
      </c>
      <c r="M494" s="101">
        <v>0</v>
      </c>
      <c r="N494" s="101">
        <v>0</v>
      </c>
      <c r="O494" s="101">
        <v>0</v>
      </c>
      <c r="P494" s="93">
        <v>0</v>
      </c>
      <c r="Q494" s="101">
        <v>0</v>
      </c>
      <c r="R494" s="101">
        <v>0</v>
      </c>
      <c r="S494" s="101">
        <v>0</v>
      </c>
      <c r="T494" s="101">
        <v>0</v>
      </c>
      <c r="U494" s="101">
        <v>0</v>
      </c>
      <c r="V494" s="101">
        <v>0</v>
      </c>
      <c r="W494" s="101">
        <v>0</v>
      </c>
      <c r="X494" s="101">
        <v>0</v>
      </c>
      <c r="Y494" s="101">
        <v>0</v>
      </c>
      <c r="Z494" s="101">
        <v>0</v>
      </c>
      <c r="AA494" s="101">
        <v>0</v>
      </c>
      <c r="AB494" s="101">
        <v>0</v>
      </c>
      <c r="AC494" s="101">
        <v>0</v>
      </c>
      <c r="AD494" s="101">
        <v>0</v>
      </c>
      <c r="AE494" s="186">
        <v>0.08</v>
      </c>
      <c r="AF494" s="93">
        <v>0</v>
      </c>
      <c r="AG494" s="93">
        <v>1</v>
      </c>
      <c r="AH494" s="93">
        <v>1</v>
      </c>
      <c r="AI494" s="16">
        <v>1</v>
      </c>
      <c r="AJ494" s="16" t="s">
        <v>662</v>
      </c>
      <c r="AK494" s="16" t="s">
        <v>745</v>
      </c>
      <c r="AL494" s="16"/>
      <c r="AM494" s="60"/>
      <c r="AN494" s="60"/>
      <c r="AO494" s="60"/>
      <c r="AP494" s="60"/>
      <c r="AQ494" s="60"/>
      <c r="AR494" s="60"/>
      <c r="AS494" s="63"/>
      <c r="AT494" s="63"/>
      <c r="AU494" s="63"/>
      <c r="AV494" s="131"/>
      <c r="AW494" s="131"/>
      <c r="AX494" s="131"/>
      <c r="AY494" s="27" t="s">
        <v>662</v>
      </c>
      <c r="AZ494" s="27"/>
      <c r="BA494" s="27"/>
      <c r="BB494" s="30"/>
      <c r="BC494" s="30"/>
      <c r="BD494" s="30"/>
      <c r="BE494" s="30"/>
      <c r="BF494" s="30"/>
      <c r="BG494" s="30"/>
      <c r="BH494" s="107"/>
      <c r="BI494" s="107"/>
      <c r="BJ494" s="107"/>
      <c r="BK494" s="107"/>
      <c r="BL494" s="136"/>
      <c r="BM494" s="122"/>
      <c r="BN494" s="138"/>
      <c r="BO494" s="93"/>
      <c r="BP494" s="93"/>
      <c r="BQ494" s="93"/>
      <c r="BR494" s="93"/>
      <c r="BS494" s="93"/>
      <c r="BT494" s="93"/>
      <c r="BU494" s="27">
        <f t="shared" si="337"/>
        <v>0</v>
      </c>
      <c r="BV494" s="27"/>
      <c r="BW494" s="27"/>
      <c r="BX494" s="27"/>
      <c r="BY494" s="27"/>
      <c r="BZ494" s="27"/>
      <c r="CA494" s="27"/>
      <c r="CB494" s="97">
        <v>10</v>
      </c>
      <c r="CC494" s="97">
        <v>10</v>
      </c>
      <c r="CD494" s="97">
        <v>10</v>
      </c>
      <c r="CE494" s="97">
        <f t="shared" si="371"/>
        <v>10</v>
      </c>
      <c r="CF494" s="97">
        <f t="shared" si="372"/>
        <v>10</v>
      </c>
      <c r="CG494" s="97">
        <f t="shared" si="373"/>
        <v>10</v>
      </c>
      <c r="CH494" s="97">
        <v>10</v>
      </c>
      <c r="CI494" s="173"/>
      <c r="CJ494" s="173"/>
      <c r="CK494" s="173"/>
      <c r="CL494" s="173"/>
      <c r="CM494" s="173"/>
      <c r="CN494" s="173"/>
      <c r="CO494" s="173"/>
      <c r="CP494" s="174"/>
      <c r="CQ494" s="174"/>
      <c r="CR494" s="174"/>
      <c r="CS494" s="174"/>
      <c r="CT494" s="174"/>
      <c r="CU494" s="174"/>
      <c r="CV494" s="174"/>
      <c r="CW494" s="165"/>
      <c r="CX494" s="166"/>
      <c r="CY494" s="166"/>
      <c r="CZ494" s="166"/>
      <c r="DA494" s="166"/>
      <c r="DB494" s="166"/>
      <c r="DC494" s="166"/>
      <c r="DD494" s="171"/>
      <c r="DE494" s="171"/>
      <c r="DF494" s="171"/>
      <c r="DG494" s="171"/>
      <c r="DH494" s="171"/>
      <c r="DI494" s="171"/>
      <c r="DJ494" s="171"/>
      <c r="DK494" s="79" t="s">
        <v>415</v>
      </c>
      <c r="DL494" s="128"/>
      <c r="DM494" s="128"/>
      <c r="DN494" s="128"/>
      <c r="DO494" s="128"/>
      <c r="DP494" s="128"/>
      <c r="DQ494" s="128"/>
      <c r="DR494" s="128"/>
      <c r="DS494" s="218"/>
      <c r="DT494" s="360"/>
      <c r="DU494" s="360"/>
      <c r="DV494" s="360"/>
      <c r="DW494" s="360"/>
      <c r="DX494" s="360"/>
      <c r="DY494" s="360"/>
      <c r="DZ494" s="360"/>
      <c r="EA494" s="360"/>
      <c r="EB494" s="360"/>
      <c r="EC494" s="360"/>
      <c r="ED494" s="360"/>
      <c r="EE494" s="360"/>
      <c r="EF494" s="360"/>
      <c r="EG494" s="360"/>
      <c r="EH494" s="360"/>
      <c r="EI494" s="360"/>
      <c r="EJ494" s="360"/>
      <c r="EK494" s="360"/>
      <c r="EL494" s="360"/>
      <c r="EM494" s="360"/>
      <c r="EN494" s="360"/>
      <c r="EO494" s="360"/>
      <c r="EP494" s="360"/>
      <c r="EQ494" s="360"/>
    </row>
    <row r="495" spans="1:147" x14ac:dyDescent="0.35">
      <c r="A495" s="6" t="s">
        <v>1763</v>
      </c>
      <c r="B495" s="6" t="s">
        <v>734</v>
      </c>
      <c r="C495" s="6" t="s">
        <v>534</v>
      </c>
      <c r="D495" s="6" t="s">
        <v>1029</v>
      </c>
      <c r="E495" s="6" t="s">
        <v>1731</v>
      </c>
      <c r="F495" s="6" t="s">
        <v>544</v>
      </c>
      <c r="G495" s="48" t="s">
        <v>1745</v>
      </c>
      <c r="H495" s="48" t="s">
        <v>1162</v>
      </c>
      <c r="I495" s="102">
        <v>187.5</v>
      </c>
      <c r="J495" s="102">
        <v>193.75</v>
      </c>
      <c r="K495" s="102">
        <v>200</v>
      </c>
      <c r="L495" s="102">
        <v>206.25</v>
      </c>
      <c r="M495" s="102">
        <v>212.5</v>
      </c>
      <c r="N495" s="102">
        <v>218.75</v>
      </c>
      <c r="O495" s="102">
        <v>225</v>
      </c>
      <c r="P495" s="94">
        <v>0</v>
      </c>
      <c r="Q495" s="102">
        <v>0</v>
      </c>
      <c r="R495" s="102">
        <v>0</v>
      </c>
      <c r="S495" s="102">
        <v>0</v>
      </c>
      <c r="T495" s="102">
        <v>0</v>
      </c>
      <c r="U495" s="102">
        <v>0</v>
      </c>
      <c r="V495" s="102">
        <v>0</v>
      </c>
      <c r="W495" s="102">
        <v>0</v>
      </c>
      <c r="X495" s="102">
        <v>0</v>
      </c>
      <c r="Y495" s="102">
        <v>0</v>
      </c>
      <c r="Z495" s="102">
        <v>0</v>
      </c>
      <c r="AA495" s="102">
        <v>0</v>
      </c>
      <c r="AB495" s="102">
        <v>0</v>
      </c>
      <c r="AC495" s="102">
        <v>0</v>
      </c>
      <c r="AD495" s="102">
        <v>0</v>
      </c>
      <c r="AE495" s="186">
        <v>0.08</v>
      </c>
      <c r="AF495" s="94">
        <v>0</v>
      </c>
      <c r="AG495" s="94">
        <v>20</v>
      </c>
      <c r="AH495" s="94">
        <v>20</v>
      </c>
      <c r="AI495" s="17">
        <v>1</v>
      </c>
      <c r="AJ495" s="17" t="s">
        <v>662</v>
      </c>
      <c r="AK495" s="17" t="s">
        <v>745</v>
      </c>
      <c r="AL495" s="17"/>
      <c r="AM495" s="61"/>
      <c r="AN495" s="61"/>
      <c r="AO495" s="61"/>
      <c r="AP495" s="61"/>
      <c r="AQ495" s="61"/>
      <c r="AR495" s="61"/>
      <c r="AS495" s="64"/>
      <c r="AT495" s="64"/>
      <c r="AU495" s="64"/>
      <c r="AV495" s="132"/>
      <c r="AW495" s="132"/>
      <c r="AX495" s="132"/>
      <c r="AY495" s="28" t="s">
        <v>662</v>
      </c>
      <c r="AZ495" s="28"/>
      <c r="BA495" s="28"/>
      <c r="BB495" s="28"/>
      <c r="BC495" s="28"/>
      <c r="BD495" s="28"/>
      <c r="BE495" s="28"/>
      <c r="BF495" s="28"/>
      <c r="BG495" s="28"/>
      <c r="BH495" s="106"/>
      <c r="BI495" s="106"/>
      <c r="BJ495" s="106"/>
      <c r="BK495" s="106"/>
      <c r="BL495" s="137"/>
      <c r="BM495" s="123"/>
      <c r="BN495" s="139">
        <v>0</v>
      </c>
      <c r="BO495" s="94"/>
      <c r="BP495" s="94"/>
      <c r="BQ495" s="94"/>
      <c r="BR495" s="94"/>
      <c r="BS495" s="94"/>
      <c r="BT495" s="94"/>
      <c r="BU495" s="28">
        <f t="shared" si="337"/>
        <v>0</v>
      </c>
      <c r="BV495" s="28"/>
      <c r="BW495" s="28"/>
      <c r="BX495" s="28"/>
      <c r="BY495" s="28"/>
      <c r="BZ495" s="28"/>
      <c r="CA495" s="28"/>
      <c r="CB495" s="99">
        <v>0.81200000000000006</v>
      </c>
      <c r="CC495" s="99">
        <v>0.95333333333333337</v>
      </c>
      <c r="CD495" s="185">
        <f t="shared" si="377"/>
        <v>0.95333333333333337</v>
      </c>
      <c r="CE495" s="185">
        <f t="shared" si="371"/>
        <v>0.95</v>
      </c>
      <c r="CF495" s="185">
        <f t="shared" si="372"/>
        <v>0.95</v>
      </c>
      <c r="CG495" s="185">
        <f t="shared" si="373"/>
        <v>0.95</v>
      </c>
      <c r="CH495" s="185">
        <f t="shared" ref="CH495" si="383">CC495</f>
        <v>0.95333333333333337</v>
      </c>
      <c r="CI495" s="175"/>
      <c r="CJ495" s="175"/>
      <c r="CK495" s="175"/>
      <c r="CL495" s="175"/>
      <c r="CM495" s="175"/>
      <c r="CN495" s="175"/>
      <c r="CO495" s="175"/>
      <c r="CP495" s="176"/>
      <c r="CQ495" s="176"/>
      <c r="CR495" s="176"/>
      <c r="CS495" s="176"/>
      <c r="CT495" s="176"/>
      <c r="CU495" s="176"/>
      <c r="CV495" s="176"/>
      <c r="CW495" s="167"/>
      <c r="CX495" s="168"/>
      <c r="CY495" s="168"/>
      <c r="CZ495" s="168"/>
      <c r="DA495" s="168"/>
      <c r="DB495" s="168"/>
      <c r="DC495" s="168"/>
      <c r="DD495" s="172"/>
      <c r="DE495" s="172"/>
      <c r="DF495" s="172"/>
      <c r="DG495" s="172"/>
      <c r="DH495" s="172"/>
      <c r="DI495" s="172"/>
      <c r="DJ495" s="172"/>
      <c r="DK495" s="80" t="s">
        <v>415</v>
      </c>
      <c r="DL495" s="129"/>
      <c r="DM495" s="129"/>
      <c r="DN495" s="129"/>
      <c r="DO495" s="129"/>
      <c r="DP495" s="129"/>
      <c r="DQ495" s="129"/>
      <c r="DR495" s="129"/>
      <c r="DS495" s="218"/>
      <c r="DT495" s="360"/>
      <c r="DU495" s="360"/>
      <c r="DV495" s="360"/>
      <c r="DW495" s="360"/>
      <c r="DX495" s="360"/>
      <c r="DY495" s="360"/>
      <c r="DZ495" s="360"/>
      <c r="EA495" s="360"/>
      <c r="EB495" s="360"/>
      <c r="EC495" s="360"/>
      <c r="ED495" s="360"/>
      <c r="EE495" s="360"/>
      <c r="EF495" s="360"/>
      <c r="EG495" s="360"/>
      <c r="EH495" s="360"/>
      <c r="EI495" s="360"/>
      <c r="EJ495" s="360"/>
      <c r="EK495" s="360"/>
      <c r="EL495" s="360"/>
      <c r="EM495" s="360"/>
      <c r="EN495" s="360"/>
      <c r="EO495" s="360"/>
      <c r="EP495" s="360"/>
      <c r="EQ495" s="360"/>
    </row>
    <row r="496" spans="1:147" x14ac:dyDescent="0.35">
      <c r="A496" s="5" t="s">
        <v>1764</v>
      </c>
      <c r="B496" s="5" t="s">
        <v>734</v>
      </c>
      <c r="C496" s="5" t="s">
        <v>534</v>
      </c>
      <c r="D496" s="5" t="s">
        <v>1029</v>
      </c>
      <c r="E496" s="5" t="s">
        <v>1753</v>
      </c>
      <c r="F496" s="5" t="s">
        <v>545</v>
      </c>
      <c r="G496" s="47" t="s">
        <v>545</v>
      </c>
      <c r="H496" s="47" t="s">
        <v>1162</v>
      </c>
      <c r="I496" s="101">
        <v>0</v>
      </c>
      <c r="J496" s="101">
        <v>0</v>
      </c>
      <c r="K496" s="101">
        <v>0</v>
      </c>
      <c r="L496" s="101">
        <v>0</v>
      </c>
      <c r="M496" s="101">
        <v>0</v>
      </c>
      <c r="N496" s="101">
        <v>0</v>
      </c>
      <c r="O496" s="101">
        <v>0</v>
      </c>
      <c r="P496" s="93">
        <v>0</v>
      </c>
      <c r="Q496" s="101">
        <v>0</v>
      </c>
      <c r="R496" s="101">
        <v>0</v>
      </c>
      <c r="S496" s="101">
        <v>0</v>
      </c>
      <c r="T496" s="101">
        <v>0</v>
      </c>
      <c r="U496" s="101">
        <v>0</v>
      </c>
      <c r="V496" s="101">
        <v>0</v>
      </c>
      <c r="W496" s="101">
        <v>0</v>
      </c>
      <c r="X496" s="101">
        <v>0</v>
      </c>
      <c r="Y496" s="101">
        <v>0</v>
      </c>
      <c r="Z496" s="101">
        <v>0</v>
      </c>
      <c r="AA496" s="101">
        <v>0</v>
      </c>
      <c r="AB496" s="101">
        <v>0</v>
      </c>
      <c r="AC496" s="101">
        <v>0</v>
      </c>
      <c r="AD496" s="101">
        <v>0</v>
      </c>
      <c r="AE496" s="186">
        <v>0.08</v>
      </c>
      <c r="AF496" s="93">
        <v>0</v>
      </c>
      <c r="AG496" s="93">
        <v>1</v>
      </c>
      <c r="AH496" s="93">
        <v>1</v>
      </c>
      <c r="AI496" s="16">
        <v>1</v>
      </c>
      <c r="AJ496" s="16" t="s">
        <v>662</v>
      </c>
      <c r="AK496" s="16" t="s">
        <v>745</v>
      </c>
      <c r="AL496" s="16"/>
      <c r="AM496" s="60"/>
      <c r="AN496" s="60"/>
      <c r="AO496" s="60"/>
      <c r="AP496" s="60"/>
      <c r="AQ496" s="60"/>
      <c r="AR496" s="60"/>
      <c r="AS496" s="63"/>
      <c r="AT496" s="63"/>
      <c r="AU496" s="63"/>
      <c r="AV496" s="131"/>
      <c r="AW496" s="131"/>
      <c r="AX496" s="131"/>
      <c r="AY496" s="27" t="s">
        <v>662</v>
      </c>
      <c r="AZ496" s="27"/>
      <c r="BA496" s="27"/>
      <c r="BB496" s="30"/>
      <c r="BC496" s="30"/>
      <c r="BD496" s="30"/>
      <c r="BE496" s="30"/>
      <c r="BF496" s="30"/>
      <c r="BG496" s="30"/>
      <c r="BH496" s="107"/>
      <c r="BI496" s="107"/>
      <c r="BJ496" s="107"/>
      <c r="BK496" s="107"/>
      <c r="BL496" s="136"/>
      <c r="BM496" s="122"/>
      <c r="BN496" s="138"/>
      <c r="BO496" s="93"/>
      <c r="BP496" s="93"/>
      <c r="BQ496" s="93"/>
      <c r="BR496" s="93"/>
      <c r="BS496" s="93"/>
      <c r="BT496" s="93"/>
      <c r="BU496" s="27">
        <f t="shared" ref="BU496:BU499" si="384">IF(BL496=1,BN496,0)</f>
        <v>0</v>
      </c>
      <c r="BV496" s="27"/>
      <c r="BW496" s="27"/>
      <c r="BX496" s="27"/>
      <c r="BY496" s="27"/>
      <c r="BZ496" s="27"/>
      <c r="CA496" s="27"/>
      <c r="CB496" s="97">
        <v>5</v>
      </c>
      <c r="CC496" s="97">
        <v>5</v>
      </c>
      <c r="CD496" s="97">
        <v>5</v>
      </c>
      <c r="CE496" s="97">
        <f t="shared" si="371"/>
        <v>5</v>
      </c>
      <c r="CF496" s="97">
        <f t="shared" si="372"/>
        <v>5</v>
      </c>
      <c r="CG496" s="97">
        <f t="shared" si="373"/>
        <v>5</v>
      </c>
      <c r="CH496" s="97">
        <v>5</v>
      </c>
      <c r="CI496" s="173"/>
      <c r="CJ496" s="173"/>
      <c r="CK496" s="173"/>
      <c r="CL496" s="173"/>
      <c r="CM496" s="173"/>
      <c r="CN496" s="173"/>
      <c r="CO496" s="173"/>
      <c r="CP496" s="174"/>
      <c r="CQ496" s="174"/>
      <c r="CR496" s="174"/>
      <c r="CS496" s="174"/>
      <c r="CT496" s="174"/>
      <c r="CU496" s="174"/>
      <c r="CV496" s="174"/>
      <c r="CW496" s="165"/>
      <c r="CX496" s="166"/>
      <c r="CY496" s="166"/>
      <c r="CZ496" s="166"/>
      <c r="DA496" s="166"/>
      <c r="DB496" s="166"/>
      <c r="DC496" s="166"/>
      <c r="DD496" s="171"/>
      <c r="DE496" s="171"/>
      <c r="DF496" s="171"/>
      <c r="DG496" s="171"/>
      <c r="DH496" s="171"/>
      <c r="DI496" s="171"/>
      <c r="DJ496" s="171"/>
      <c r="DK496" s="79" t="s">
        <v>415</v>
      </c>
      <c r="DL496" s="128"/>
      <c r="DM496" s="128"/>
      <c r="DN496" s="128"/>
      <c r="DO496" s="128"/>
      <c r="DP496" s="128"/>
      <c r="DQ496" s="128"/>
      <c r="DR496" s="128"/>
      <c r="DS496" s="218"/>
      <c r="DT496" s="360"/>
      <c r="DU496" s="360"/>
      <c r="DV496" s="360"/>
      <c r="DW496" s="360"/>
      <c r="DX496" s="360"/>
      <c r="DY496" s="360"/>
      <c r="DZ496" s="360"/>
      <c r="EA496" s="360"/>
      <c r="EB496" s="360"/>
      <c r="EC496" s="360"/>
      <c r="ED496" s="360"/>
      <c r="EE496" s="360"/>
      <c r="EF496" s="360"/>
      <c r="EG496" s="360"/>
      <c r="EH496" s="360"/>
      <c r="EI496" s="360"/>
      <c r="EJ496" s="360"/>
      <c r="EK496" s="360"/>
      <c r="EL496" s="360"/>
      <c r="EM496" s="360"/>
      <c r="EN496" s="360"/>
      <c r="EO496" s="360"/>
      <c r="EP496" s="360"/>
      <c r="EQ496" s="360"/>
    </row>
    <row r="497" spans="1:147" x14ac:dyDescent="0.35">
      <c r="A497" s="6" t="s">
        <v>1765</v>
      </c>
      <c r="B497" s="6" t="s">
        <v>734</v>
      </c>
      <c r="C497" s="6" t="s">
        <v>534</v>
      </c>
      <c r="D497" s="6" t="s">
        <v>1029</v>
      </c>
      <c r="E497" s="6" t="s">
        <v>1753</v>
      </c>
      <c r="F497" s="6" t="s">
        <v>545</v>
      </c>
      <c r="G497" s="48" t="s">
        <v>1759</v>
      </c>
      <c r="H497" s="48" t="s">
        <v>1162</v>
      </c>
      <c r="I497" s="102">
        <v>150</v>
      </c>
      <c r="J497" s="102">
        <v>141.66999999999999</v>
      </c>
      <c r="K497" s="102">
        <v>133.33000000000001</v>
      </c>
      <c r="L497" s="102">
        <v>125</v>
      </c>
      <c r="M497" s="102">
        <v>116.67</v>
      </c>
      <c r="N497" s="102">
        <v>108.33</v>
      </c>
      <c r="O497" s="102">
        <v>100</v>
      </c>
      <c r="P497" s="94">
        <v>0</v>
      </c>
      <c r="Q497" s="102">
        <v>0</v>
      </c>
      <c r="R497" s="102">
        <v>0</v>
      </c>
      <c r="S497" s="102">
        <v>0</v>
      </c>
      <c r="T497" s="102">
        <v>0</v>
      </c>
      <c r="U497" s="102">
        <v>0</v>
      </c>
      <c r="V497" s="102">
        <v>0</v>
      </c>
      <c r="W497" s="102">
        <v>0</v>
      </c>
      <c r="X497" s="102">
        <v>0</v>
      </c>
      <c r="Y497" s="102">
        <v>0</v>
      </c>
      <c r="Z497" s="102">
        <v>0</v>
      </c>
      <c r="AA497" s="102">
        <v>0</v>
      </c>
      <c r="AB497" s="102">
        <v>0</v>
      </c>
      <c r="AC497" s="102">
        <v>0</v>
      </c>
      <c r="AD497" s="102">
        <v>0</v>
      </c>
      <c r="AE497" s="186">
        <v>0.08</v>
      </c>
      <c r="AF497" s="94">
        <v>0</v>
      </c>
      <c r="AG497" s="94">
        <v>20</v>
      </c>
      <c r="AH497" s="94">
        <v>20</v>
      </c>
      <c r="AI497" s="17">
        <v>1</v>
      </c>
      <c r="AJ497" s="17" t="s">
        <v>662</v>
      </c>
      <c r="AK497" s="17" t="s">
        <v>745</v>
      </c>
      <c r="AL497" s="17"/>
      <c r="AM497" s="61"/>
      <c r="AN497" s="61"/>
      <c r="AO497" s="61"/>
      <c r="AP497" s="61"/>
      <c r="AQ497" s="61"/>
      <c r="AR497" s="61"/>
      <c r="AS497" s="64"/>
      <c r="AT497" s="64"/>
      <c r="AU497" s="64"/>
      <c r="AV497" s="132"/>
      <c r="AW497" s="132"/>
      <c r="AX497" s="132"/>
      <c r="AY497" s="28" t="s">
        <v>662</v>
      </c>
      <c r="AZ497" s="28"/>
      <c r="BA497" s="28"/>
      <c r="BB497" s="28"/>
      <c r="BC497" s="28"/>
      <c r="BD497" s="28"/>
      <c r="BE497" s="28"/>
      <c r="BF497" s="28"/>
      <c r="BG497" s="28"/>
      <c r="BH497" s="106"/>
      <c r="BI497" s="106"/>
      <c r="BJ497" s="106"/>
      <c r="BK497" s="106"/>
      <c r="BL497" s="137"/>
      <c r="BM497" s="123"/>
      <c r="BN497" s="139">
        <v>0</v>
      </c>
      <c r="BO497" s="94"/>
      <c r="BP497" s="94"/>
      <c r="BQ497" s="94"/>
      <c r="BR497" s="94"/>
      <c r="BS497" s="94"/>
      <c r="BT497" s="94"/>
      <c r="BU497" s="28">
        <f t="shared" si="384"/>
        <v>0</v>
      </c>
      <c r="BV497" s="28"/>
      <c r="BW497" s="28"/>
      <c r="BX497" s="28"/>
      <c r="BY497" s="28"/>
      <c r="BZ497" s="28"/>
      <c r="CA497" s="28"/>
      <c r="CB497" s="99">
        <v>0.32000000000000006</v>
      </c>
      <c r="CC497" s="99">
        <v>0.30000000000000004</v>
      </c>
      <c r="CD497" s="185">
        <f t="shared" si="377"/>
        <v>0.30000000000000004</v>
      </c>
      <c r="CE497" s="185">
        <f t="shared" si="371"/>
        <v>0.3</v>
      </c>
      <c r="CF497" s="185">
        <f t="shared" si="372"/>
        <v>0.3</v>
      </c>
      <c r="CG497" s="185">
        <f t="shared" si="373"/>
        <v>0.3</v>
      </c>
      <c r="CH497" s="185">
        <f t="shared" ref="CH497" si="385">CC497</f>
        <v>0.30000000000000004</v>
      </c>
      <c r="CI497" s="175"/>
      <c r="CJ497" s="175"/>
      <c r="CK497" s="175"/>
      <c r="CL497" s="175"/>
      <c r="CM497" s="175"/>
      <c r="CN497" s="175"/>
      <c r="CO497" s="175"/>
      <c r="CP497" s="176"/>
      <c r="CQ497" s="176"/>
      <c r="CR497" s="176"/>
      <c r="CS497" s="176"/>
      <c r="CT497" s="176"/>
      <c r="CU497" s="176"/>
      <c r="CV497" s="176"/>
      <c r="CW497" s="167"/>
      <c r="CX497" s="168"/>
      <c r="CY497" s="168"/>
      <c r="CZ497" s="168"/>
      <c r="DA497" s="168"/>
      <c r="DB497" s="168"/>
      <c r="DC497" s="168"/>
      <c r="DD497" s="172"/>
      <c r="DE497" s="172"/>
      <c r="DF497" s="172"/>
      <c r="DG497" s="172"/>
      <c r="DH497" s="172"/>
      <c r="DI497" s="172"/>
      <c r="DJ497" s="172"/>
      <c r="DK497" s="80" t="s">
        <v>415</v>
      </c>
      <c r="DL497" s="129"/>
      <c r="DM497" s="129"/>
      <c r="DN497" s="129"/>
      <c r="DO497" s="129"/>
      <c r="DP497" s="129"/>
      <c r="DQ497" s="129"/>
      <c r="DR497" s="129"/>
      <c r="DS497" s="218"/>
      <c r="DT497" s="360"/>
      <c r="DU497" s="360"/>
      <c r="DV497" s="360"/>
      <c r="DW497" s="360"/>
      <c r="DX497" s="360"/>
      <c r="DY497" s="360"/>
      <c r="DZ497" s="360"/>
      <c r="EA497" s="360"/>
      <c r="EB497" s="360"/>
      <c r="EC497" s="360"/>
      <c r="ED497" s="360"/>
      <c r="EE497" s="360"/>
      <c r="EF497" s="360"/>
      <c r="EG497" s="360"/>
      <c r="EH497" s="360"/>
      <c r="EI497" s="360"/>
      <c r="EJ497" s="360"/>
      <c r="EK497" s="360"/>
      <c r="EL497" s="360"/>
      <c r="EM497" s="360"/>
      <c r="EN497" s="360"/>
      <c r="EO497" s="360"/>
      <c r="EP497" s="360"/>
      <c r="EQ497" s="360"/>
    </row>
    <row r="498" spans="1:147" x14ac:dyDescent="0.35">
      <c r="A498" s="5" t="s">
        <v>1766</v>
      </c>
      <c r="B498" s="5" t="s">
        <v>1205</v>
      </c>
      <c r="C498" s="5" t="s">
        <v>534</v>
      </c>
      <c r="D498" s="5" t="s">
        <v>1206</v>
      </c>
      <c r="E498" s="5" t="s">
        <v>1709</v>
      </c>
      <c r="F498" s="5" t="s">
        <v>546</v>
      </c>
      <c r="G498" s="47" t="s">
        <v>546</v>
      </c>
      <c r="H498" s="47" t="s">
        <v>1162</v>
      </c>
      <c r="I498" s="101">
        <v>0</v>
      </c>
      <c r="J498" s="101">
        <v>0</v>
      </c>
      <c r="K498" s="101">
        <v>0</v>
      </c>
      <c r="L498" s="101">
        <v>0</v>
      </c>
      <c r="M498" s="101">
        <v>0</v>
      </c>
      <c r="N498" s="101">
        <v>0</v>
      </c>
      <c r="O498" s="101">
        <v>0</v>
      </c>
      <c r="P498" s="93">
        <v>0</v>
      </c>
      <c r="Q498" s="101">
        <v>0</v>
      </c>
      <c r="R498" s="101">
        <v>0</v>
      </c>
      <c r="S498" s="101">
        <v>0</v>
      </c>
      <c r="T498" s="101">
        <v>0</v>
      </c>
      <c r="U498" s="101">
        <v>0</v>
      </c>
      <c r="V498" s="101">
        <v>0</v>
      </c>
      <c r="W498" s="101">
        <v>0</v>
      </c>
      <c r="X498" s="101">
        <v>0</v>
      </c>
      <c r="Y498" s="101">
        <v>0</v>
      </c>
      <c r="Z498" s="101">
        <v>0</v>
      </c>
      <c r="AA498" s="101">
        <v>0</v>
      </c>
      <c r="AB498" s="101">
        <v>0</v>
      </c>
      <c r="AC498" s="101">
        <v>0</v>
      </c>
      <c r="AD498" s="101">
        <v>0</v>
      </c>
      <c r="AE498" s="186">
        <v>0.08</v>
      </c>
      <c r="AF498" s="93">
        <v>0</v>
      </c>
      <c r="AG498" s="93">
        <v>1</v>
      </c>
      <c r="AH498" s="93">
        <v>1</v>
      </c>
      <c r="AI498" s="16">
        <v>1</v>
      </c>
      <c r="AJ498" s="16" t="s">
        <v>662</v>
      </c>
      <c r="AK498" s="16" t="s">
        <v>745</v>
      </c>
      <c r="AL498" s="16"/>
      <c r="AM498" s="60"/>
      <c r="AN498" s="60"/>
      <c r="AO498" s="60"/>
      <c r="AP498" s="60"/>
      <c r="AQ498" s="60"/>
      <c r="AR498" s="60"/>
      <c r="AS498" s="63"/>
      <c r="AT498" s="63"/>
      <c r="AU498" s="63"/>
      <c r="AV498" s="131"/>
      <c r="AW498" s="131"/>
      <c r="AX498" s="131"/>
      <c r="AY498" s="27" t="s">
        <v>662</v>
      </c>
      <c r="AZ498" s="27"/>
      <c r="BA498" s="27"/>
      <c r="BB498" s="30"/>
      <c r="BC498" s="30"/>
      <c r="BD498" s="30"/>
      <c r="BE498" s="30"/>
      <c r="BF498" s="30"/>
      <c r="BG498" s="30"/>
      <c r="BH498" s="107"/>
      <c r="BI498" s="107"/>
      <c r="BJ498" s="107"/>
      <c r="BK498" s="107"/>
      <c r="BL498" s="136"/>
      <c r="BM498" s="122"/>
      <c r="BN498" s="138"/>
      <c r="BO498" s="93"/>
      <c r="BP498" s="93"/>
      <c r="BQ498" s="93"/>
      <c r="BR498" s="93"/>
      <c r="BS498" s="93"/>
      <c r="BT498" s="93"/>
      <c r="BU498" s="27">
        <f t="shared" si="384"/>
        <v>0</v>
      </c>
      <c r="BV498" s="27"/>
      <c r="BW498" s="27"/>
      <c r="BX498" s="27"/>
      <c r="BY498" s="27"/>
      <c r="BZ498" s="27"/>
      <c r="CA498" s="27"/>
      <c r="CB498" s="97">
        <v>15</v>
      </c>
      <c r="CC498" s="97">
        <v>15</v>
      </c>
      <c r="CD498" s="97">
        <v>15</v>
      </c>
      <c r="CE498" s="97">
        <f t="shared" si="371"/>
        <v>15</v>
      </c>
      <c r="CF498" s="97">
        <f t="shared" si="372"/>
        <v>15</v>
      </c>
      <c r="CG498" s="97">
        <f t="shared" si="373"/>
        <v>15</v>
      </c>
      <c r="CH498" s="97">
        <v>15</v>
      </c>
      <c r="CI498" s="173"/>
      <c r="CJ498" s="173"/>
      <c r="CK498" s="173"/>
      <c r="CL498" s="173"/>
      <c r="CM498" s="173"/>
      <c r="CN498" s="173"/>
      <c r="CO498" s="173"/>
      <c r="CP498" s="174"/>
      <c r="CQ498" s="174"/>
      <c r="CR498" s="174"/>
      <c r="CS498" s="174"/>
      <c r="CT498" s="174"/>
      <c r="CU498" s="174"/>
      <c r="CV498" s="174"/>
      <c r="CW498" s="165"/>
      <c r="CX498" s="166"/>
      <c r="CY498" s="166"/>
      <c r="CZ498" s="166"/>
      <c r="DA498" s="166"/>
      <c r="DB498" s="166"/>
      <c r="DC498" s="166"/>
      <c r="DD498" s="171"/>
      <c r="DE498" s="171"/>
      <c r="DF498" s="171"/>
      <c r="DG498" s="171"/>
      <c r="DH498" s="171"/>
      <c r="DI498" s="171"/>
      <c r="DJ498" s="171"/>
      <c r="DK498" s="79" t="s">
        <v>415</v>
      </c>
      <c r="DL498" s="128"/>
      <c r="DM498" s="128"/>
      <c r="DN498" s="128"/>
      <c r="DO498" s="128"/>
      <c r="DP498" s="128"/>
      <c r="DQ498" s="128"/>
      <c r="DR498" s="128"/>
      <c r="DS498" s="218"/>
      <c r="DT498" s="360"/>
      <c r="DU498" s="360"/>
      <c r="DV498" s="360"/>
      <c r="DW498" s="360"/>
      <c r="DX498" s="360"/>
      <c r="DY498" s="360"/>
      <c r="DZ498" s="360"/>
      <c r="EA498" s="360"/>
      <c r="EB498" s="360"/>
      <c r="EC498" s="360"/>
      <c r="ED498" s="360"/>
      <c r="EE498" s="360"/>
      <c r="EF498" s="360"/>
      <c r="EG498" s="360"/>
      <c r="EH498" s="360"/>
      <c r="EI498" s="360"/>
      <c r="EJ498" s="360"/>
      <c r="EK498" s="360"/>
      <c r="EL498" s="360"/>
      <c r="EM498" s="360"/>
      <c r="EN498" s="360"/>
      <c r="EO498" s="360"/>
      <c r="EP498" s="360"/>
      <c r="EQ498" s="360"/>
    </row>
    <row r="499" spans="1:147" x14ac:dyDescent="0.35">
      <c r="A499" s="6" t="s">
        <v>1767</v>
      </c>
      <c r="B499" s="6" t="s">
        <v>1205</v>
      </c>
      <c r="C499" s="6" t="s">
        <v>534</v>
      </c>
      <c r="D499" s="6" t="s">
        <v>1206</v>
      </c>
      <c r="E499" s="6" t="s">
        <v>1709</v>
      </c>
      <c r="F499" s="6" t="s">
        <v>546</v>
      </c>
      <c r="G499" s="48" t="s">
        <v>1711</v>
      </c>
      <c r="H499" s="48" t="s">
        <v>1162</v>
      </c>
      <c r="I499" s="102">
        <v>200</v>
      </c>
      <c r="J499" s="102">
        <v>200</v>
      </c>
      <c r="K499" s="102">
        <v>200</v>
      </c>
      <c r="L499" s="102">
        <v>200</v>
      </c>
      <c r="M499" s="102">
        <v>225</v>
      </c>
      <c r="N499" s="102">
        <v>250</v>
      </c>
      <c r="O499" s="102">
        <v>250</v>
      </c>
      <c r="P499" s="94">
        <v>0</v>
      </c>
      <c r="Q499" s="102">
        <v>0</v>
      </c>
      <c r="R499" s="102">
        <v>0</v>
      </c>
      <c r="S499" s="102">
        <v>0</v>
      </c>
      <c r="T499" s="102">
        <v>0</v>
      </c>
      <c r="U499" s="102">
        <v>0</v>
      </c>
      <c r="V499" s="102">
        <v>0</v>
      </c>
      <c r="W499" s="102">
        <v>0</v>
      </c>
      <c r="X499" s="102">
        <v>0</v>
      </c>
      <c r="Y499" s="102">
        <v>0</v>
      </c>
      <c r="Z499" s="102">
        <v>0</v>
      </c>
      <c r="AA499" s="102">
        <v>0</v>
      </c>
      <c r="AB499" s="102">
        <v>0</v>
      </c>
      <c r="AC499" s="102">
        <v>0</v>
      </c>
      <c r="AD499" s="102">
        <v>0</v>
      </c>
      <c r="AE499" s="186">
        <v>0.08</v>
      </c>
      <c r="AF499" s="94">
        <v>0</v>
      </c>
      <c r="AG499" s="94">
        <v>20</v>
      </c>
      <c r="AH499" s="94">
        <v>20</v>
      </c>
      <c r="AI499" s="17">
        <v>1</v>
      </c>
      <c r="AJ499" s="17" t="s">
        <v>662</v>
      </c>
      <c r="AK499" s="17" t="s">
        <v>745</v>
      </c>
      <c r="AL499" s="17"/>
      <c r="AM499" s="61"/>
      <c r="AN499" s="61"/>
      <c r="AO499" s="61"/>
      <c r="AP499" s="61"/>
      <c r="AQ499" s="61"/>
      <c r="AR499" s="61"/>
      <c r="AS499" s="64"/>
      <c r="AT499" s="64"/>
      <c r="AU499" s="64"/>
      <c r="AV499" s="132"/>
      <c r="AW499" s="132"/>
      <c r="AX499" s="132"/>
      <c r="AY499" s="28" t="s">
        <v>662</v>
      </c>
      <c r="AZ499" s="28"/>
      <c r="BA499" s="28"/>
      <c r="BB499" s="28"/>
      <c r="BC499" s="28"/>
      <c r="BD499" s="28"/>
      <c r="BE499" s="28"/>
      <c r="BF499" s="28"/>
      <c r="BG499" s="28"/>
      <c r="BH499" s="106"/>
      <c r="BI499" s="106"/>
      <c r="BJ499" s="106"/>
      <c r="BK499" s="106"/>
      <c r="BL499" s="137"/>
      <c r="BM499" s="123"/>
      <c r="BN499" s="139">
        <v>0</v>
      </c>
      <c r="BO499" s="94"/>
      <c r="BP499" s="94"/>
      <c r="BQ499" s="94"/>
      <c r="BR499" s="94"/>
      <c r="BS499" s="94"/>
      <c r="BT499" s="94"/>
      <c r="BU499" s="28">
        <f t="shared" si="384"/>
        <v>0</v>
      </c>
      <c r="BV499" s="28"/>
      <c r="BW499" s="28"/>
      <c r="BX499" s="28"/>
      <c r="BY499" s="28"/>
      <c r="BZ499" s="28"/>
      <c r="CA499" s="28"/>
      <c r="CB499" s="99">
        <v>0.66749999999999998</v>
      </c>
      <c r="CC499" s="99">
        <v>0.73958333333333337</v>
      </c>
      <c r="CD499" s="99">
        <v>1.6040000000000001</v>
      </c>
      <c r="CE499" s="99">
        <f t="shared" ref="CE499" si="386">ROUND((CD499+CF499)/2,2)</f>
        <v>1.6</v>
      </c>
      <c r="CF499" s="99">
        <f t="shared" ref="CF499" si="387">ROUND((CD499+CH499)/2,2)</f>
        <v>1.6</v>
      </c>
      <c r="CG499" s="99">
        <f t="shared" ref="CG499" si="388">ROUND((CF499+CH499)/2,2)</f>
        <v>1.6</v>
      </c>
      <c r="CH499" s="99">
        <v>1.6040000000000001</v>
      </c>
      <c r="CI499" s="175"/>
      <c r="CJ499" s="175"/>
      <c r="CK499" s="175"/>
      <c r="CL499" s="175"/>
      <c r="CM499" s="175"/>
      <c r="CN499" s="175"/>
      <c r="CO499" s="175"/>
      <c r="CP499" s="176"/>
      <c r="CQ499" s="176"/>
      <c r="CR499" s="176"/>
      <c r="CS499" s="176"/>
      <c r="CT499" s="176"/>
      <c r="CU499" s="176"/>
      <c r="CV499" s="176"/>
      <c r="CW499" s="167"/>
      <c r="CX499" s="168"/>
      <c r="CY499" s="168"/>
      <c r="CZ499" s="168"/>
      <c r="DA499" s="168"/>
      <c r="DB499" s="168"/>
      <c r="DC499" s="168"/>
      <c r="DD499" s="172"/>
      <c r="DE499" s="172"/>
      <c r="DF499" s="172"/>
      <c r="DG499" s="172"/>
      <c r="DH499" s="172"/>
      <c r="DI499" s="172"/>
      <c r="DJ499" s="172"/>
      <c r="DK499" s="80" t="s">
        <v>415</v>
      </c>
      <c r="DL499" s="129"/>
      <c r="DM499" s="129"/>
      <c r="DN499" s="129"/>
      <c r="DO499" s="129"/>
      <c r="DP499" s="129"/>
      <c r="DQ499" s="129"/>
      <c r="DR499" s="129"/>
      <c r="DS499" s="218"/>
      <c r="DT499" s="360"/>
      <c r="DU499" s="360"/>
      <c r="DV499" s="360"/>
      <c r="DW499" s="360"/>
      <c r="DX499" s="360"/>
      <c r="DY499" s="360"/>
      <c r="DZ499" s="360"/>
      <c r="EA499" s="360"/>
      <c r="EB499" s="360"/>
      <c r="EC499" s="360"/>
      <c r="ED499" s="360"/>
      <c r="EE499" s="360"/>
      <c r="EF499" s="360"/>
      <c r="EG499" s="360"/>
      <c r="EH499" s="360"/>
      <c r="EI499" s="360"/>
      <c r="EJ499" s="360"/>
      <c r="EK499" s="360"/>
      <c r="EL499" s="360"/>
      <c r="EM499" s="360"/>
      <c r="EN499" s="360"/>
      <c r="EO499" s="360"/>
      <c r="EP499" s="360"/>
      <c r="EQ499" s="360"/>
    </row>
    <row r="500" spans="1:147" x14ac:dyDescent="0.35">
      <c r="A500" s="223" t="s">
        <v>1768</v>
      </c>
      <c r="B500" s="223" t="s">
        <v>740</v>
      </c>
      <c r="C500" s="223" t="s">
        <v>534</v>
      </c>
      <c r="D500" s="223" t="s">
        <v>741</v>
      </c>
      <c r="E500" s="223" t="s">
        <v>1769</v>
      </c>
      <c r="F500" s="223" t="s">
        <v>548</v>
      </c>
      <c r="G500" s="224" t="s">
        <v>1770</v>
      </c>
      <c r="H500" s="224" t="s">
        <v>1771</v>
      </c>
      <c r="I500" s="101">
        <v>0</v>
      </c>
      <c r="J500" s="101">
        <v>0</v>
      </c>
      <c r="K500" s="101">
        <v>0</v>
      </c>
      <c r="L500" s="101">
        <v>0</v>
      </c>
      <c r="M500" s="101">
        <v>0</v>
      </c>
      <c r="N500" s="101">
        <v>0</v>
      </c>
      <c r="O500" s="101">
        <v>0</v>
      </c>
      <c r="P500" s="93">
        <v>0</v>
      </c>
      <c r="Q500" s="101">
        <v>0</v>
      </c>
      <c r="R500" s="101">
        <v>0</v>
      </c>
      <c r="S500" s="101">
        <v>0</v>
      </c>
      <c r="T500" s="101">
        <v>0</v>
      </c>
      <c r="U500" s="101">
        <v>0</v>
      </c>
      <c r="V500" s="101">
        <v>0</v>
      </c>
      <c r="W500" s="101">
        <v>0</v>
      </c>
      <c r="X500" s="101">
        <v>20</v>
      </c>
      <c r="Y500" s="101">
        <v>20</v>
      </c>
      <c r="Z500" s="101">
        <v>20</v>
      </c>
      <c r="AA500" s="101">
        <v>20</v>
      </c>
      <c r="AB500" s="101">
        <v>20</v>
      </c>
      <c r="AC500" s="101">
        <v>20</v>
      </c>
      <c r="AD500" s="101">
        <v>20</v>
      </c>
      <c r="AE500" s="186">
        <v>0.08</v>
      </c>
      <c r="AF500" s="93">
        <v>0</v>
      </c>
      <c r="AG500" s="93">
        <v>1</v>
      </c>
      <c r="AH500" s="93">
        <v>1</v>
      </c>
      <c r="AI500" s="16">
        <v>1</v>
      </c>
      <c r="AJ500" s="16" t="s">
        <v>1569</v>
      </c>
      <c r="AK500" s="16" t="s">
        <v>745</v>
      </c>
      <c r="AL500" s="16"/>
      <c r="AM500" s="60"/>
      <c r="AN500" s="60"/>
      <c r="AO500" s="60"/>
      <c r="AP500" s="60"/>
      <c r="AQ500" s="60"/>
      <c r="AR500" s="60"/>
      <c r="AS500" s="63"/>
      <c r="AT500" s="63"/>
      <c r="AU500" s="63"/>
      <c r="AV500" s="131"/>
      <c r="AW500" s="131"/>
      <c r="AX500" s="131"/>
      <c r="AY500" s="27" t="s">
        <v>662</v>
      </c>
      <c r="AZ500" s="27"/>
      <c r="BA500" s="27"/>
      <c r="BB500" s="30"/>
      <c r="BC500" s="30"/>
      <c r="BD500" s="30"/>
      <c r="BE500" s="30"/>
      <c r="BF500" s="30"/>
      <c r="BG500" s="30"/>
      <c r="BH500" s="107"/>
      <c r="BI500" s="107"/>
      <c r="BJ500" s="107"/>
      <c r="BK500" s="107"/>
      <c r="BL500" s="136"/>
      <c r="BM500" s="122"/>
      <c r="BN500" s="138"/>
      <c r="BO500" s="93"/>
      <c r="BP500" s="93"/>
      <c r="BQ500" s="93"/>
      <c r="BR500" s="93"/>
      <c r="BS500" s="93"/>
      <c r="BT500" s="93"/>
      <c r="BU500" s="27">
        <f t="shared" si="337"/>
        <v>0</v>
      </c>
      <c r="BV500" s="27"/>
      <c r="BW500" s="27"/>
      <c r="BX500" s="27"/>
      <c r="BY500" s="27"/>
      <c r="BZ500" s="27"/>
      <c r="CA500" s="27"/>
      <c r="CB500" s="244"/>
      <c r="CC500" s="244">
        <f t="shared" ref="CC500" si="389">ROUND((CB500+CD500)/2,2)</f>
        <v>4.8499999999999996</v>
      </c>
      <c r="CD500" s="244">
        <v>9.6999999999999993</v>
      </c>
      <c r="CE500" s="244">
        <v>24</v>
      </c>
      <c r="CF500" s="244">
        <v>40</v>
      </c>
      <c r="CG500" s="244">
        <v>45</v>
      </c>
      <c r="CH500" s="244">
        <v>50</v>
      </c>
      <c r="CI500" s="173"/>
      <c r="CJ500" s="173"/>
      <c r="CK500" s="173"/>
      <c r="CL500" s="173"/>
      <c r="CM500" s="173"/>
      <c r="CN500" s="173"/>
      <c r="CO500" s="173"/>
      <c r="CP500" s="174"/>
      <c r="CQ500" s="174"/>
      <c r="CR500" s="174"/>
      <c r="CS500" s="174"/>
      <c r="CT500" s="174"/>
      <c r="CU500" s="174"/>
      <c r="CV500" s="174"/>
      <c r="CW500" s="165"/>
      <c r="CX500" s="166"/>
      <c r="CY500" s="166"/>
      <c r="CZ500" s="166"/>
      <c r="DA500" s="166"/>
      <c r="DB500" s="166"/>
      <c r="DC500" s="166"/>
      <c r="DD500" s="171"/>
      <c r="DE500" s="171"/>
      <c r="DF500" s="171"/>
      <c r="DG500" s="171"/>
      <c r="DH500" s="171"/>
      <c r="DI500" s="171"/>
      <c r="DJ500" s="171"/>
      <c r="DK500" s="79" t="s">
        <v>415</v>
      </c>
      <c r="DL500" s="128"/>
      <c r="DM500" s="128"/>
      <c r="DN500" s="128"/>
      <c r="DO500" s="128"/>
      <c r="DP500" s="128"/>
      <c r="DQ500" s="128"/>
      <c r="DR500" s="128"/>
      <c r="DS500" s="218"/>
      <c r="DT500" s="360"/>
      <c r="DU500" s="360"/>
      <c r="DV500" s="360"/>
      <c r="DW500" s="360"/>
      <c r="DX500" s="360"/>
      <c r="DY500" s="360"/>
      <c r="DZ500" s="360"/>
      <c r="EA500" s="360"/>
      <c r="EB500" s="360"/>
      <c r="EC500" s="360"/>
      <c r="ED500" s="360"/>
      <c r="EE500" s="360"/>
      <c r="EF500" s="360"/>
      <c r="EG500" s="360"/>
      <c r="EH500" s="360"/>
      <c r="EI500" s="360"/>
      <c r="EJ500" s="360"/>
      <c r="EK500" s="360"/>
      <c r="EL500" s="360"/>
      <c r="EM500" s="360"/>
      <c r="EN500" s="360"/>
      <c r="EO500" s="360"/>
      <c r="EP500" s="360"/>
      <c r="EQ500" s="360"/>
    </row>
    <row r="501" spans="1:147" x14ac:dyDescent="0.35">
      <c r="A501" s="6" t="s">
        <v>1772</v>
      </c>
      <c r="B501" s="6" t="s">
        <v>740</v>
      </c>
      <c r="C501" s="6" t="s">
        <v>534</v>
      </c>
      <c r="D501" s="6" t="s">
        <v>741</v>
      </c>
      <c r="E501" s="6" t="s">
        <v>1773</v>
      </c>
      <c r="F501" s="6" t="s">
        <v>548</v>
      </c>
      <c r="G501" s="48" t="s">
        <v>1774</v>
      </c>
      <c r="H501" s="48" t="s">
        <v>1771</v>
      </c>
      <c r="I501" s="102">
        <v>1251.4000000000001</v>
      </c>
      <c r="J501" s="102">
        <v>938.55</v>
      </c>
      <c r="K501" s="102">
        <v>625.70000000000005</v>
      </c>
      <c r="L501" s="102">
        <v>521.41999999999996</v>
      </c>
      <c r="M501" s="102">
        <v>437.99</v>
      </c>
      <c r="N501" s="102">
        <v>364.99</v>
      </c>
      <c r="O501" s="102">
        <v>312.85000000000002</v>
      </c>
      <c r="P501" s="94">
        <v>0</v>
      </c>
      <c r="Q501" s="102">
        <v>50.06</v>
      </c>
      <c r="R501" s="102">
        <v>37.54</v>
      </c>
      <c r="S501" s="102">
        <v>25.03</v>
      </c>
      <c r="T501" s="102">
        <v>20.86</v>
      </c>
      <c r="U501" s="102">
        <v>17.52</v>
      </c>
      <c r="V501" s="102">
        <v>14.6</v>
      </c>
      <c r="W501" s="102">
        <v>12.51</v>
      </c>
      <c r="X501" s="102">
        <v>0</v>
      </c>
      <c r="Y501" s="102">
        <v>0</v>
      </c>
      <c r="Z501" s="102">
        <v>0</v>
      </c>
      <c r="AA501" s="102">
        <v>0</v>
      </c>
      <c r="AB501" s="102">
        <v>0</v>
      </c>
      <c r="AC501" s="102">
        <v>0</v>
      </c>
      <c r="AD501" s="102">
        <v>0</v>
      </c>
      <c r="AE501" s="186">
        <v>0.08</v>
      </c>
      <c r="AF501" s="94">
        <v>0</v>
      </c>
      <c r="AG501" s="94">
        <v>20</v>
      </c>
      <c r="AH501" s="94">
        <v>20</v>
      </c>
      <c r="AI501" s="17">
        <v>1</v>
      </c>
      <c r="AJ501" s="17" t="s">
        <v>660</v>
      </c>
      <c r="AK501" s="17" t="s">
        <v>745</v>
      </c>
      <c r="AL501" s="17"/>
      <c r="AM501" s="61"/>
      <c r="AN501" s="61"/>
      <c r="AO501" s="61"/>
      <c r="AP501" s="61"/>
      <c r="AQ501" s="61"/>
      <c r="AR501" s="61"/>
      <c r="AS501" s="64"/>
      <c r="AT501" s="64"/>
      <c r="AU501" s="64"/>
      <c r="AV501" s="132"/>
      <c r="AW501" s="132"/>
      <c r="AX501" s="132"/>
      <c r="AY501" s="28" t="s">
        <v>662</v>
      </c>
      <c r="AZ501" s="28"/>
      <c r="BA501" s="28"/>
      <c r="BB501" s="28"/>
      <c r="BC501" s="28"/>
      <c r="BD501" s="28"/>
      <c r="BE501" s="28"/>
      <c r="BF501" s="28"/>
      <c r="BG501" s="28"/>
      <c r="BH501" s="106"/>
      <c r="BI501" s="106"/>
      <c r="BJ501" s="106"/>
      <c r="BK501" s="106"/>
      <c r="BL501" s="137"/>
      <c r="BM501" s="123"/>
      <c r="BN501" s="139">
        <v>0</v>
      </c>
      <c r="BO501" s="94"/>
      <c r="BP501" s="94"/>
      <c r="BQ501" s="94"/>
      <c r="BR501" s="94"/>
      <c r="BS501" s="94"/>
      <c r="BT501" s="94"/>
      <c r="BU501" s="28">
        <f t="shared" si="337"/>
        <v>0</v>
      </c>
      <c r="BV501" s="28"/>
      <c r="BW501" s="28"/>
      <c r="BX501" s="28"/>
      <c r="BY501" s="28"/>
      <c r="BZ501" s="28"/>
      <c r="CA501" s="28"/>
      <c r="CB501" s="185">
        <v>0</v>
      </c>
      <c r="CC501" s="185">
        <v>0</v>
      </c>
      <c r="CD501" s="185"/>
      <c r="CE501" s="185">
        <v>2.5</v>
      </c>
      <c r="CF501" s="185">
        <v>5</v>
      </c>
      <c r="CG501" s="185">
        <v>7.5</v>
      </c>
      <c r="CH501" s="185">
        <v>10</v>
      </c>
      <c r="CI501" s="175"/>
      <c r="CJ501" s="175"/>
      <c r="CK501" s="175"/>
      <c r="CL501" s="175"/>
      <c r="CM501" s="175"/>
      <c r="CN501" s="175"/>
      <c r="CO501" s="175"/>
      <c r="CP501" s="176"/>
      <c r="CQ501" s="176"/>
      <c r="CR501" s="176"/>
      <c r="CS501" s="176"/>
      <c r="CT501" s="176"/>
      <c r="CU501" s="176"/>
      <c r="CV501" s="176"/>
      <c r="CW501" s="167"/>
      <c r="CX501" s="168"/>
      <c r="CY501" s="168"/>
      <c r="CZ501" s="168"/>
      <c r="DA501" s="168"/>
      <c r="DB501" s="168"/>
      <c r="DC501" s="168"/>
      <c r="DD501" s="172"/>
      <c r="DE501" s="172"/>
      <c r="DF501" s="172"/>
      <c r="DG501" s="172"/>
      <c r="DH501" s="172"/>
      <c r="DI501" s="172"/>
      <c r="DJ501" s="172"/>
      <c r="DK501" s="80" t="s">
        <v>415</v>
      </c>
      <c r="DL501" s="129"/>
      <c r="DM501" s="129"/>
      <c r="DN501" s="129"/>
      <c r="DO501" s="129"/>
      <c r="DP501" s="129"/>
      <c r="DQ501" s="129"/>
      <c r="DR501" s="129"/>
      <c r="DS501" s="218"/>
      <c r="DT501" s="360"/>
      <c r="DU501" s="360"/>
      <c r="DV501" s="360"/>
      <c r="DW501" s="360"/>
      <c r="DX501" s="360"/>
      <c r="DY501" s="360"/>
      <c r="DZ501" s="360"/>
      <c r="EA501" s="360"/>
      <c r="EB501" s="360"/>
      <c r="EC501" s="360"/>
      <c r="ED501" s="360"/>
      <c r="EE501" s="360"/>
      <c r="EF501" s="360"/>
      <c r="EG501" s="360"/>
      <c r="EH501" s="360"/>
      <c r="EI501" s="360"/>
      <c r="EJ501" s="360"/>
      <c r="EK501" s="360"/>
      <c r="EL501" s="360"/>
      <c r="EM501" s="360"/>
      <c r="EN501" s="360"/>
      <c r="EO501" s="360"/>
      <c r="EP501" s="360"/>
      <c r="EQ501" s="360"/>
    </row>
    <row r="502" spans="1:147" x14ac:dyDescent="0.35">
      <c r="A502" s="5" t="s">
        <v>1775</v>
      </c>
      <c r="B502" s="5" t="s">
        <v>740</v>
      </c>
      <c r="C502" s="5" t="s">
        <v>534</v>
      </c>
      <c r="D502" s="5" t="s">
        <v>741</v>
      </c>
      <c r="E502" s="5" t="s">
        <v>1773</v>
      </c>
      <c r="F502" s="5" t="s">
        <v>548</v>
      </c>
      <c r="G502" s="47" t="s">
        <v>1776</v>
      </c>
      <c r="H502" s="47" t="s">
        <v>1771</v>
      </c>
      <c r="I502" s="101">
        <v>1251.4000000000001</v>
      </c>
      <c r="J502" s="101">
        <v>938.55</v>
      </c>
      <c r="K502" s="101">
        <v>625.70000000000005</v>
      </c>
      <c r="L502" s="101">
        <v>521.41999999999996</v>
      </c>
      <c r="M502" s="101">
        <v>437.99</v>
      </c>
      <c r="N502" s="101">
        <v>364.99</v>
      </c>
      <c r="O502" s="101">
        <v>312.85000000000002</v>
      </c>
      <c r="P502" s="93">
        <v>0</v>
      </c>
      <c r="Q502" s="101">
        <v>50.06</v>
      </c>
      <c r="R502" s="101">
        <v>37.54</v>
      </c>
      <c r="S502" s="101">
        <v>25.03</v>
      </c>
      <c r="T502" s="101">
        <v>20.86</v>
      </c>
      <c r="U502" s="101">
        <v>17.52</v>
      </c>
      <c r="V502" s="101">
        <v>14.6</v>
      </c>
      <c r="W502" s="101">
        <v>12.51</v>
      </c>
      <c r="X502" s="101">
        <v>0</v>
      </c>
      <c r="Y502" s="101">
        <v>0</v>
      </c>
      <c r="Z502" s="101">
        <v>0</v>
      </c>
      <c r="AA502" s="101">
        <v>0</v>
      </c>
      <c r="AB502" s="101">
        <v>0</v>
      </c>
      <c r="AC502" s="101">
        <v>0</v>
      </c>
      <c r="AD502" s="101">
        <v>0</v>
      </c>
      <c r="AE502" s="186">
        <v>0.08</v>
      </c>
      <c r="AF502" s="93">
        <v>0</v>
      </c>
      <c r="AG502" s="93">
        <v>20</v>
      </c>
      <c r="AH502" s="93">
        <v>20</v>
      </c>
      <c r="AI502" s="16">
        <v>1</v>
      </c>
      <c r="AJ502" s="16" t="s">
        <v>660</v>
      </c>
      <c r="AK502" s="16" t="s">
        <v>745</v>
      </c>
      <c r="AL502" s="16"/>
      <c r="AM502" s="60"/>
      <c r="AN502" s="60"/>
      <c r="AO502" s="60"/>
      <c r="AP502" s="60"/>
      <c r="AQ502" s="60"/>
      <c r="AR502" s="60"/>
      <c r="AS502" s="63"/>
      <c r="AT502" s="63"/>
      <c r="AU502" s="63"/>
      <c r="AV502" s="131"/>
      <c r="AW502" s="131"/>
      <c r="AX502" s="131"/>
      <c r="AY502" s="27" t="s">
        <v>662</v>
      </c>
      <c r="AZ502" s="27"/>
      <c r="BA502" s="27"/>
      <c r="BB502" s="30"/>
      <c r="BC502" s="30"/>
      <c r="BD502" s="30"/>
      <c r="BE502" s="30"/>
      <c r="BF502" s="30"/>
      <c r="BG502" s="30"/>
      <c r="BH502" s="107"/>
      <c r="BI502" s="107"/>
      <c r="BJ502" s="107"/>
      <c r="BK502" s="107"/>
      <c r="BL502" s="136"/>
      <c r="BM502" s="122"/>
      <c r="BN502" s="138">
        <v>0</v>
      </c>
      <c r="BO502" s="93"/>
      <c r="BP502" s="93"/>
      <c r="BQ502" s="93"/>
      <c r="BR502" s="93"/>
      <c r="BS502" s="93"/>
      <c r="BT502" s="93"/>
      <c r="BU502" s="27">
        <f t="shared" si="337"/>
        <v>0</v>
      </c>
      <c r="BV502" s="27"/>
      <c r="BW502" s="27"/>
      <c r="BX502" s="27"/>
      <c r="BY502" s="27"/>
      <c r="BZ502" s="27"/>
      <c r="CA502" s="27"/>
      <c r="CB502" s="185">
        <v>0</v>
      </c>
      <c r="CC502" s="185">
        <v>0</v>
      </c>
      <c r="CD502" s="185"/>
      <c r="CE502" s="185">
        <v>2.5</v>
      </c>
      <c r="CF502" s="185">
        <v>5</v>
      </c>
      <c r="CG502" s="185">
        <v>7.5</v>
      </c>
      <c r="CH502" s="185">
        <v>10</v>
      </c>
      <c r="CI502" s="173"/>
      <c r="CJ502" s="173"/>
      <c r="CK502" s="173"/>
      <c r="CL502" s="173"/>
      <c r="CM502" s="173"/>
      <c r="CN502" s="173"/>
      <c r="CO502" s="173"/>
      <c r="CP502" s="174"/>
      <c r="CQ502" s="174"/>
      <c r="CR502" s="174"/>
      <c r="CS502" s="174"/>
      <c r="CT502" s="174"/>
      <c r="CU502" s="174"/>
      <c r="CV502" s="174"/>
      <c r="CW502" s="165"/>
      <c r="CX502" s="166"/>
      <c r="CY502" s="166"/>
      <c r="CZ502" s="166"/>
      <c r="DA502" s="166"/>
      <c r="DB502" s="166"/>
      <c r="DC502" s="166"/>
      <c r="DD502" s="171"/>
      <c r="DE502" s="171"/>
      <c r="DF502" s="171"/>
      <c r="DG502" s="171"/>
      <c r="DH502" s="171"/>
      <c r="DI502" s="171"/>
      <c r="DJ502" s="171"/>
      <c r="DK502" s="79" t="s">
        <v>415</v>
      </c>
      <c r="DL502" s="128"/>
      <c r="DM502" s="128"/>
      <c r="DN502" s="128"/>
      <c r="DO502" s="128"/>
      <c r="DP502" s="128"/>
      <c r="DQ502" s="128"/>
      <c r="DR502" s="128"/>
      <c r="DS502" s="218"/>
      <c r="DT502" s="360"/>
      <c r="DU502" s="360"/>
      <c r="DV502" s="360"/>
      <c r="DW502" s="360"/>
      <c r="DX502" s="360"/>
      <c r="DY502" s="360"/>
      <c r="DZ502" s="360"/>
      <c r="EA502" s="360"/>
      <c r="EB502" s="360"/>
      <c r="EC502" s="360"/>
      <c r="ED502" s="360"/>
      <c r="EE502" s="360"/>
      <c r="EF502" s="360"/>
      <c r="EG502" s="360"/>
      <c r="EH502" s="360"/>
      <c r="EI502" s="360"/>
      <c r="EJ502" s="360"/>
      <c r="EK502" s="360"/>
      <c r="EL502" s="360"/>
      <c r="EM502" s="360"/>
      <c r="EN502" s="360"/>
      <c r="EO502" s="360"/>
      <c r="EP502" s="360"/>
      <c r="EQ502" s="360"/>
    </row>
    <row r="503" spans="1:147" x14ac:dyDescent="0.35">
      <c r="A503" s="6" t="s">
        <v>1777</v>
      </c>
      <c r="B503" s="6" t="s">
        <v>740</v>
      </c>
      <c r="C503" s="6" t="s">
        <v>534</v>
      </c>
      <c r="D503" s="6" t="s">
        <v>741</v>
      </c>
      <c r="E503" s="6" t="s">
        <v>1773</v>
      </c>
      <c r="F503" s="6" t="s">
        <v>548</v>
      </c>
      <c r="G503" s="48" t="s">
        <v>1778</v>
      </c>
      <c r="H503" s="48" t="s">
        <v>1779</v>
      </c>
      <c r="I503" s="102">
        <v>5.77</v>
      </c>
      <c r="J503" s="102">
        <v>5.77</v>
      </c>
      <c r="K503" s="102">
        <v>5.77</v>
      </c>
      <c r="L503" s="102">
        <v>5.77</v>
      </c>
      <c r="M503" s="102">
        <v>5.77</v>
      </c>
      <c r="N503" s="102">
        <v>5.77</v>
      </c>
      <c r="O503" s="102">
        <v>5.77</v>
      </c>
      <c r="P503" s="94">
        <v>0</v>
      </c>
      <c r="Q503" s="102">
        <v>0.17</v>
      </c>
      <c r="R503" s="102">
        <v>0.17</v>
      </c>
      <c r="S503" s="102">
        <v>0.17</v>
      </c>
      <c r="T503" s="102">
        <v>0.17</v>
      </c>
      <c r="U503" s="102">
        <v>0.17</v>
      </c>
      <c r="V503" s="102">
        <v>0.17</v>
      </c>
      <c r="W503" s="102">
        <v>0.17</v>
      </c>
      <c r="X503" s="102">
        <v>0</v>
      </c>
      <c r="Y503" s="102">
        <v>0</v>
      </c>
      <c r="Z503" s="102">
        <v>0</v>
      </c>
      <c r="AA503" s="102">
        <v>0</v>
      </c>
      <c r="AB503" s="102">
        <v>0</v>
      </c>
      <c r="AC503" s="102">
        <v>0</v>
      </c>
      <c r="AD503" s="102">
        <v>0</v>
      </c>
      <c r="AE503" s="186">
        <v>0.08</v>
      </c>
      <c r="AF503" s="94">
        <v>0</v>
      </c>
      <c r="AG503" s="94">
        <v>40</v>
      </c>
      <c r="AH503" s="94">
        <v>40</v>
      </c>
      <c r="AI503" s="17">
        <v>0.36499999999999999</v>
      </c>
      <c r="AJ503" s="17" t="s">
        <v>1575</v>
      </c>
      <c r="AK503" s="17" t="s">
        <v>745</v>
      </c>
      <c r="AL503" s="17"/>
      <c r="AM503" s="61"/>
      <c r="AN503" s="61"/>
      <c r="AO503" s="61"/>
      <c r="AP503" s="61"/>
      <c r="AQ503" s="61"/>
      <c r="AR503" s="61"/>
      <c r="AS503" s="64"/>
      <c r="AT503" s="64"/>
      <c r="AU503" s="64"/>
      <c r="AV503" s="132"/>
      <c r="AW503" s="132"/>
      <c r="AX503" s="132"/>
      <c r="AY503" s="28" t="s">
        <v>662</v>
      </c>
      <c r="AZ503" s="28"/>
      <c r="BA503" s="28"/>
      <c r="BB503" s="28"/>
      <c r="BC503" s="28"/>
      <c r="BD503" s="28"/>
      <c r="BE503" s="28"/>
      <c r="BF503" s="28"/>
      <c r="BG503" s="28"/>
      <c r="BH503" s="106" t="s">
        <v>548</v>
      </c>
      <c r="BI503" s="106">
        <v>1E-3</v>
      </c>
      <c r="BJ503" s="106">
        <v>1E-3</v>
      </c>
      <c r="BK503" s="106">
        <v>12</v>
      </c>
      <c r="BL503" s="137"/>
      <c r="BM503" s="123"/>
      <c r="BN503" s="139">
        <v>0</v>
      </c>
      <c r="BO503" s="94"/>
      <c r="BP503" s="94"/>
      <c r="BQ503" s="94"/>
      <c r="BR503" s="94"/>
      <c r="BS503" s="94"/>
      <c r="BT503" s="94"/>
      <c r="BU503" s="28">
        <f t="shared" si="337"/>
        <v>0</v>
      </c>
      <c r="BV503" s="28"/>
      <c r="BW503" s="28"/>
      <c r="BX503" s="28"/>
      <c r="BY503" s="28"/>
      <c r="BZ503" s="28"/>
      <c r="CA503" s="28"/>
      <c r="CB503" s="185">
        <v>100</v>
      </c>
      <c r="CC503" s="185">
        <v>100</v>
      </c>
      <c r="CD503" s="185">
        <v>100</v>
      </c>
      <c r="CE503" s="185">
        <v>100</v>
      </c>
      <c r="CF503" s="185">
        <v>100</v>
      </c>
      <c r="CG503" s="185">
        <v>100</v>
      </c>
      <c r="CH503" s="185">
        <v>100</v>
      </c>
      <c r="CI503" s="175"/>
      <c r="CJ503" s="175"/>
      <c r="CK503" s="175"/>
      <c r="CL503" s="175"/>
      <c r="CM503" s="175"/>
      <c r="CN503" s="175"/>
      <c r="CO503" s="175"/>
      <c r="CP503" s="176"/>
      <c r="CQ503" s="176"/>
      <c r="CR503" s="176"/>
      <c r="CS503" s="176"/>
      <c r="CT503" s="176"/>
      <c r="CU503" s="176"/>
      <c r="CV503" s="176"/>
      <c r="CW503" s="167"/>
      <c r="CX503" s="168"/>
      <c r="CY503" s="168"/>
      <c r="CZ503" s="168"/>
      <c r="DA503" s="168"/>
      <c r="DB503" s="168"/>
      <c r="DC503" s="168"/>
      <c r="DD503" s="172"/>
      <c r="DE503" s="172"/>
      <c r="DF503" s="172"/>
      <c r="DG503" s="172"/>
      <c r="DH503" s="172"/>
      <c r="DI503" s="172"/>
      <c r="DJ503" s="172"/>
      <c r="DK503" s="80" t="s">
        <v>415</v>
      </c>
      <c r="DL503" s="129"/>
      <c r="DM503" s="129"/>
      <c r="DN503" s="129"/>
      <c r="DO503" s="129"/>
      <c r="DP503" s="129"/>
      <c r="DQ503" s="129"/>
      <c r="DR503" s="129"/>
      <c r="DS503" s="218"/>
      <c r="DT503" s="360"/>
      <c r="DU503" s="360"/>
      <c r="DV503" s="360"/>
      <c r="DW503" s="360"/>
      <c r="DX503" s="360"/>
      <c r="DY503" s="360"/>
      <c r="DZ503" s="360"/>
      <c r="EA503" s="360"/>
      <c r="EB503" s="360"/>
      <c r="EC503" s="360"/>
      <c r="ED503" s="360"/>
      <c r="EE503" s="360"/>
      <c r="EF503" s="360"/>
      <c r="EG503" s="360"/>
      <c r="EH503" s="360"/>
      <c r="EI503" s="360"/>
      <c r="EJ503" s="360"/>
      <c r="EK503" s="360"/>
      <c r="EL503" s="360"/>
      <c r="EM503" s="360"/>
      <c r="EN503" s="360"/>
      <c r="EO503" s="360"/>
      <c r="EP503" s="360"/>
      <c r="EQ503" s="360"/>
    </row>
    <row r="504" spans="1:147" x14ac:dyDescent="0.35">
      <c r="A504" s="5" t="s">
        <v>1780</v>
      </c>
      <c r="B504" s="5"/>
      <c r="C504" s="5" t="s">
        <v>534</v>
      </c>
      <c r="D504" s="5" t="s">
        <v>534</v>
      </c>
      <c r="E504" s="5" t="s">
        <v>1781</v>
      </c>
      <c r="F504" s="5" t="s">
        <v>551</v>
      </c>
      <c r="G504" s="47" t="s">
        <v>1782</v>
      </c>
      <c r="H504" s="47" t="s">
        <v>1771</v>
      </c>
      <c r="I504" s="101">
        <v>0</v>
      </c>
      <c r="J504" s="101">
        <v>0</v>
      </c>
      <c r="K504" s="101">
        <v>0</v>
      </c>
      <c r="L504" s="101">
        <v>0</v>
      </c>
      <c r="M504" s="101">
        <v>0</v>
      </c>
      <c r="N504" s="101">
        <v>0</v>
      </c>
      <c r="O504" s="101">
        <v>0</v>
      </c>
      <c r="P504" s="93">
        <v>0</v>
      </c>
      <c r="Q504" s="101">
        <v>0</v>
      </c>
      <c r="R504" s="101">
        <v>0</v>
      </c>
      <c r="S504" s="101">
        <v>0</v>
      </c>
      <c r="T504" s="101">
        <v>0</v>
      </c>
      <c r="U504" s="101">
        <v>0</v>
      </c>
      <c r="V504" s="101">
        <v>0</v>
      </c>
      <c r="W504" s="101">
        <v>0</v>
      </c>
      <c r="X504" s="184">
        <f>41.75</f>
        <v>41.75</v>
      </c>
      <c r="Y504" s="184">
        <v>87.9</v>
      </c>
      <c r="Z504" s="184">
        <v>152.1</v>
      </c>
      <c r="AA504" s="184">
        <v>152.1</v>
      </c>
      <c r="AB504" s="184">
        <v>152.1</v>
      </c>
      <c r="AC504" s="184">
        <v>152.1</v>
      </c>
      <c r="AD504" s="184">
        <v>152.1</v>
      </c>
      <c r="AE504" s="186">
        <v>0.08</v>
      </c>
      <c r="AF504" s="93">
        <v>0</v>
      </c>
      <c r="AG504" s="93">
        <v>1</v>
      </c>
      <c r="AH504" s="93">
        <v>1</v>
      </c>
      <c r="AI504" s="16">
        <v>1</v>
      </c>
      <c r="AJ504" s="16" t="s">
        <v>662</v>
      </c>
      <c r="AK504" s="16" t="s">
        <v>745</v>
      </c>
      <c r="AL504" s="16"/>
      <c r="AM504" s="60"/>
      <c r="AN504" s="60"/>
      <c r="AO504" s="60"/>
      <c r="AP504" s="60"/>
      <c r="AQ504" s="60"/>
      <c r="AR504" s="60"/>
      <c r="AS504" s="63"/>
      <c r="AT504" s="63"/>
      <c r="AU504" s="63"/>
      <c r="AV504" s="131"/>
      <c r="AW504" s="131"/>
      <c r="AX504" s="131"/>
      <c r="AY504" s="27" t="s">
        <v>662</v>
      </c>
      <c r="AZ504" s="27"/>
      <c r="BA504" s="27"/>
      <c r="BB504" s="30"/>
      <c r="BC504" s="30"/>
      <c r="BD504" s="30"/>
      <c r="BE504" s="30"/>
      <c r="BF504" s="30"/>
      <c r="BG504" s="30"/>
      <c r="BH504" s="107"/>
      <c r="BI504" s="107"/>
      <c r="BJ504" s="107"/>
      <c r="BK504" s="107"/>
      <c r="BL504" s="136"/>
      <c r="BM504" s="122"/>
      <c r="BN504" s="138"/>
      <c r="BO504" s="93"/>
      <c r="BP504" s="93"/>
      <c r="BQ504" s="93"/>
      <c r="BR504" s="93"/>
      <c r="BS504" s="93"/>
      <c r="BT504" s="93"/>
      <c r="BU504" s="28">
        <f t="shared" si="337"/>
        <v>0</v>
      </c>
      <c r="BV504" s="27"/>
      <c r="BW504" s="27"/>
      <c r="BX504" s="27"/>
      <c r="BY504" s="27"/>
      <c r="BZ504" s="27"/>
      <c r="CA504" s="27"/>
      <c r="CB504" s="185">
        <v>0</v>
      </c>
      <c r="CC504" s="185">
        <v>0</v>
      </c>
      <c r="CD504" s="185">
        <v>0</v>
      </c>
      <c r="CE504" s="185">
        <v>0</v>
      </c>
      <c r="CF504" s="185">
        <v>0</v>
      </c>
      <c r="CG504" s="185">
        <v>0</v>
      </c>
      <c r="CH504" s="185">
        <v>0</v>
      </c>
      <c r="CI504" s="173"/>
      <c r="CJ504" s="173"/>
      <c r="CK504" s="173"/>
      <c r="CL504" s="173"/>
      <c r="CM504" s="173"/>
      <c r="CN504" s="173"/>
      <c r="CO504" s="173"/>
      <c r="CP504" s="174"/>
      <c r="CQ504" s="174"/>
      <c r="CR504" s="174"/>
      <c r="CS504" s="174"/>
      <c r="CT504" s="174"/>
      <c r="CU504" s="174"/>
      <c r="CV504" s="174"/>
      <c r="CW504" s="165"/>
      <c r="CX504" s="166"/>
      <c r="CY504" s="166"/>
      <c r="CZ504" s="166"/>
      <c r="DA504" s="166"/>
      <c r="DB504" s="166"/>
      <c r="DC504" s="166"/>
      <c r="DD504" s="171"/>
      <c r="DE504" s="171"/>
      <c r="DF504" s="171"/>
      <c r="DG504" s="171"/>
      <c r="DH504" s="171"/>
      <c r="DI504" s="171"/>
      <c r="DJ504" s="171"/>
      <c r="DK504" s="79" t="s">
        <v>415</v>
      </c>
      <c r="DL504" s="128"/>
      <c r="DM504" s="128"/>
      <c r="DN504" s="128"/>
      <c r="DO504" s="128"/>
      <c r="DP504" s="128"/>
      <c r="DQ504" s="128"/>
      <c r="DR504" s="128"/>
      <c r="DS504" s="218"/>
      <c r="DT504" s="360"/>
      <c r="DU504" s="360"/>
      <c r="DV504" s="360"/>
      <c r="DW504" s="360"/>
      <c r="DX504" s="360"/>
      <c r="DY504" s="360"/>
      <c r="DZ504" s="360"/>
      <c r="EA504" s="360"/>
      <c r="EB504" s="360"/>
      <c r="EC504" s="360"/>
      <c r="ED504" s="360"/>
      <c r="EE504" s="360"/>
      <c r="EF504" s="360"/>
      <c r="EG504" s="360"/>
      <c r="EH504" s="360"/>
      <c r="EI504" s="360"/>
      <c r="EJ504" s="360"/>
      <c r="EK504" s="360"/>
      <c r="EL504" s="360"/>
      <c r="EM504" s="360"/>
      <c r="EN504" s="360"/>
      <c r="EO504" s="360"/>
      <c r="EP504" s="360"/>
      <c r="EQ504" s="360"/>
    </row>
    <row r="505" spans="1:147" x14ac:dyDescent="0.35">
      <c r="A505" s="6" t="s">
        <v>1783</v>
      </c>
      <c r="B505" s="6"/>
      <c r="C505" s="6" t="s">
        <v>534</v>
      </c>
      <c r="D505" s="6" t="s">
        <v>534</v>
      </c>
      <c r="E505" s="6" t="s">
        <v>1784</v>
      </c>
      <c r="F505" s="6" t="s">
        <v>552</v>
      </c>
      <c r="G505" s="48" t="s">
        <v>1785</v>
      </c>
      <c r="H505" s="48" t="s">
        <v>1771</v>
      </c>
      <c r="I505" s="102">
        <v>0</v>
      </c>
      <c r="J505" s="102">
        <v>0</v>
      </c>
      <c r="K505" s="102">
        <v>0</v>
      </c>
      <c r="L505" s="102">
        <v>0</v>
      </c>
      <c r="M505" s="102">
        <v>0</v>
      </c>
      <c r="N505" s="102">
        <v>0</v>
      </c>
      <c r="O505" s="102">
        <v>0</v>
      </c>
      <c r="P505" s="94">
        <v>0</v>
      </c>
      <c r="Q505" s="102">
        <v>0</v>
      </c>
      <c r="R505" s="102">
        <v>0</v>
      </c>
      <c r="S505" s="102">
        <v>0</v>
      </c>
      <c r="T505" s="102">
        <v>0</v>
      </c>
      <c r="U505" s="102">
        <v>0</v>
      </c>
      <c r="V505" s="102">
        <v>0</v>
      </c>
      <c r="W505" s="102">
        <v>0</v>
      </c>
      <c r="X505" s="102">
        <v>0</v>
      </c>
      <c r="Y505" s="102">
        <v>0</v>
      </c>
      <c r="Z505" s="102">
        <v>0</v>
      </c>
      <c r="AA505" s="102">
        <v>0</v>
      </c>
      <c r="AB505" s="102">
        <v>0</v>
      </c>
      <c r="AC505" s="102">
        <v>0</v>
      </c>
      <c r="AD505" s="102">
        <v>0</v>
      </c>
      <c r="AE505" s="186">
        <v>0.08</v>
      </c>
      <c r="AF505" s="94">
        <v>0</v>
      </c>
      <c r="AG505" s="94">
        <v>1</v>
      </c>
      <c r="AH505" s="94">
        <v>1</v>
      </c>
      <c r="AI505" s="17">
        <v>1</v>
      </c>
      <c r="AJ505" s="17" t="s">
        <v>662</v>
      </c>
      <c r="AK505" s="17" t="s">
        <v>745</v>
      </c>
      <c r="AL505" s="17"/>
      <c r="AM505" s="61"/>
      <c r="AN505" s="61"/>
      <c r="AO505" s="61"/>
      <c r="AP505" s="61"/>
      <c r="AQ505" s="61"/>
      <c r="AR505" s="61"/>
      <c r="AS505" s="64"/>
      <c r="AT505" s="64"/>
      <c r="AU505" s="64"/>
      <c r="AV505" s="132"/>
      <c r="AW505" s="132"/>
      <c r="AX505" s="132"/>
      <c r="AY505" s="28" t="s">
        <v>662</v>
      </c>
      <c r="AZ505" s="28"/>
      <c r="BA505" s="28"/>
      <c r="BB505" s="28"/>
      <c r="BC505" s="28"/>
      <c r="BD505" s="28"/>
      <c r="BE505" s="28"/>
      <c r="BF505" s="28"/>
      <c r="BG505" s="28"/>
      <c r="BH505" s="106"/>
      <c r="BI505" s="106"/>
      <c r="BJ505" s="106"/>
      <c r="BK505" s="106"/>
      <c r="BL505" s="137"/>
      <c r="BM505" s="123"/>
      <c r="BN505" s="139"/>
      <c r="BO505" s="94"/>
      <c r="BP505" s="94"/>
      <c r="BQ505" s="94"/>
      <c r="BR505" s="94"/>
      <c r="BS505" s="94"/>
      <c r="BT505" s="94"/>
      <c r="BU505" s="28">
        <f t="shared" ref="BU505:BU507" si="390">IF(BL505=1,BN505,0)</f>
        <v>0</v>
      </c>
      <c r="BV505" s="28"/>
      <c r="BW505" s="28"/>
      <c r="BX505" s="28"/>
      <c r="BY505" s="28"/>
      <c r="BZ505" s="28"/>
      <c r="CA505" s="28"/>
      <c r="CB505" s="185">
        <v>0</v>
      </c>
      <c r="CC505" s="185">
        <v>0</v>
      </c>
      <c r="CD505" s="185">
        <v>0</v>
      </c>
      <c r="CE505" s="185">
        <v>0</v>
      </c>
      <c r="CF505" s="185">
        <v>0</v>
      </c>
      <c r="CG505" s="185">
        <v>0</v>
      </c>
      <c r="CH505" s="185">
        <v>0</v>
      </c>
      <c r="CI505" s="175"/>
      <c r="CJ505" s="175"/>
      <c r="CK505" s="175"/>
      <c r="CL505" s="175"/>
      <c r="CM505" s="175"/>
      <c r="CN505" s="175"/>
      <c r="CO505" s="175"/>
      <c r="CP505" s="176"/>
      <c r="CQ505" s="176"/>
      <c r="CR505" s="176"/>
      <c r="CS505" s="176"/>
      <c r="CT505" s="176"/>
      <c r="CU505" s="176"/>
      <c r="CV505" s="176"/>
      <c r="CW505" s="167"/>
      <c r="CX505" s="168"/>
      <c r="CY505" s="168"/>
      <c r="CZ505" s="168"/>
      <c r="DA505" s="168"/>
      <c r="DB505" s="168"/>
      <c r="DC505" s="168"/>
      <c r="DD505" s="172"/>
      <c r="DE505" s="172"/>
      <c r="DF505" s="172"/>
      <c r="DG505" s="172"/>
      <c r="DH505" s="172"/>
      <c r="DI505" s="172"/>
      <c r="DJ505" s="172"/>
      <c r="DK505" s="80" t="s">
        <v>415</v>
      </c>
      <c r="DL505" s="129"/>
      <c r="DM505" s="129"/>
      <c r="DN505" s="129"/>
      <c r="DO505" s="129"/>
      <c r="DP505" s="129"/>
      <c r="DQ505" s="129"/>
      <c r="DR505" s="129"/>
      <c r="DS505" s="218"/>
      <c r="DT505" s="360"/>
      <c r="DU505" s="360"/>
      <c r="DV505" s="360"/>
      <c r="DW505" s="360"/>
      <c r="DX505" s="360"/>
      <c r="DY505" s="360"/>
      <c r="DZ505" s="360"/>
      <c r="EA505" s="360"/>
      <c r="EB505" s="360"/>
      <c r="EC505" s="360"/>
      <c r="ED505" s="360"/>
      <c r="EE505" s="360"/>
      <c r="EF505" s="360"/>
      <c r="EG505" s="360"/>
      <c r="EH505" s="360"/>
      <c r="EI505" s="360"/>
      <c r="EJ505" s="360"/>
      <c r="EK505" s="360"/>
      <c r="EL505" s="360"/>
      <c r="EM505" s="360"/>
      <c r="EN505" s="360"/>
      <c r="EO505" s="360"/>
      <c r="EP505" s="360"/>
      <c r="EQ505" s="360"/>
    </row>
    <row r="506" spans="1:147" x14ac:dyDescent="0.35">
      <c r="A506" s="5" t="s">
        <v>1786</v>
      </c>
      <c r="B506" s="5"/>
      <c r="C506" s="5" t="s">
        <v>534</v>
      </c>
      <c r="D506" s="5" t="s">
        <v>534</v>
      </c>
      <c r="E506" s="5" t="s">
        <v>1142</v>
      </c>
      <c r="F506" s="5" t="s">
        <v>553</v>
      </c>
      <c r="G506" s="47" t="s">
        <v>1787</v>
      </c>
      <c r="H506" s="47" t="s">
        <v>1771</v>
      </c>
      <c r="I506" s="101">
        <v>0</v>
      </c>
      <c r="J506" s="101">
        <v>0</v>
      </c>
      <c r="K506" s="101">
        <v>0</v>
      </c>
      <c r="L506" s="101">
        <v>0</v>
      </c>
      <c r="M506" s="101">
        <v>0</v>
      </c>
      <c r="N506" s="101">
        <v>0</v>
      </c>
      <c r="O506" s="101">
        <v>0</v>
      </c>
      <c r="P506" s="93">
        <v>0</v>
      </c>
      <c r="Q506" s="101">
        <v>0</v>
      </c>
      <c r="R506" s="101">
        <v>0</v>
      </c>
      <c r="S506" s="101">
        <v>0</v>
      </c>
      <c r="T506" s="101">
        <v>0</v>
      </c>
      <c r="U506" s="101">
        <v>0</v>
      </c>
      <c r="V506" s="101">
        <v>0</v>
      </c>
      <c r="W506" s="101">
        <v>0</v>
      </c>
      <c r="X506" s="101">
        <v>0</v>
      </c>
      <c r="Y506" s="101">
        <v>0</v>
      </c>
      <c r="Z506" s="101">
        <v>0</v>
      </c>
      <c r="AA506" s="101">
        <v>0</v>
      </c>
      <c r="AB506" s="101">
        <v>0</v>
      </c>
      <c r="AC506" s="101">
        <v>0</v>
      </c>
      <c r="AD506" s="101">
        <v>0</v>
      </c>
      <c r="AE506" s="186">
        <v>0.08</v>
      </c>
      <c r="AF506" s="93">
        <v>0</v>
      </c>
      <c r="AG506" s="93">
        <v>1</v>
      </c>
      <c r="AH506" s="93">
        <v>1</v>
      </c>
      <c r="AI506" s="16">
        <v>1</v>
      </c>
      <c r="AJ506" s="16" t="s">
        <v>662</v>
      </c>
      <c r="AK506" s="16" t="s">
        <v>745</v>
      </c>
      <c r="AL506" s="16"/>
      <c r="AM506" s="60"/>
      <c r="AN506" s="60"/>
      <c r="AO506" s="60"/>
      <c r="AP506" s="60"/>
      <c r="AQ506" s="60"/>
      <c r="AR506" s="60"/>
      <c r="AS506" s="63"/>
      <c r="AT506" s="63"/>
      <c r="AU506" s="63"/>
      <c r="AV506" s="131"/>
      <c r="AW506" s="131"/>
      <c r="AX506" s="131"/>
      <c r="AY506" s="27" t="s">
        <v>662</v>
      </c>
      <c r="AZ506" s="27"/>
      <c r="BA506" s="27"/>
      <c r="BB506" s="30"/>
      <c r="BC506" s="30"/>
      <c r="BD506" s="30"/>
      <c r="BE506" s="30"/>
      <c r="BF506" s="30"/>
      <c r="BG506" s="30"/>
      <c r="BH506" s="107"/>
      <c r="BI506" s="107"/>
      <c r="BJ506" s="107"/>
      <c r="BK506" s="107"/>
      <c r="BL506" s="136">
        <f t="shared" ref="BL506" si="391">IF(AH506=1,0,1)</f>
        <v>0</v>
      </c>
      <c r="BM506" s="122"/>
      <c r="BN506" s="138"/>
      <c r="BO506" s="93"/>
      <c r="BP506" s="93"/>
      <c r="BQ506" s="93"/>
      <c r="BR506" s="93"/>
      <c r="BS506" s="93"/>
      <c r="BT506" s="93"/>
      <c r="BU506" s="28">
        <f t="shared" si="390"/>
        <v>0</v>
      </c>
      <c r="BV506" s="27"/>
      <c r="BW506" s="27"/>
      <c r="BX506" s="27"/>
      <c r="BY506" s="27"/>
      <c r="BZ506" s="27"/>
      <c r="CA506" s="27"/>
      <c r="CB506" s="244"/>
      <c r="CC506" s="244"/>
      <c r="CD506" s="244"/>
      <c r="CE506" s="244"/>
      <c r="CF506" s="244"/>
      <c r="CG506" s="244"/>
      <c r="CH506" s="244"/>
      <c r="CI506" s="173"/>
      <c r="CJ506" s="173"/>
      <c r="CK506" s="173"/>
      <c r="CL506" s="173"/>
      <c r="CM506" s="173"/>
      <c r="CN506" s="173"/>
      <c r="CO506" s="173"/>
      <c r="CP506" s="174"/>
      <c r="CQ506" s="174"/>
      <c r="CR506" s="174"/>
      <c r="CS506" s="174"/>
      <c r="CT506" s="174"/>
      <c r="CU506" s="174"/>
      <c r="CV506" s="174"/>
      <c r="CW506" s="165"/>
      <c r="CX506" s="166"/>
      <c r="CY506" s="166"/>
      <c r="CZ506" s="166"/>
      <c r="DA506" s="166"/>
      <c r="DB506" s="166"/>
      <c r="DC506" s="166"/>
      <c r="DD506" s="171"/>
      <c r="DE506" s="171"/>
      <c r="DF506" s="171"/>
      <c r="DG506" s="171"/>
      <c r="DH506" s="171"/>
      <c r="DI506" s="171"/>
      <c r="DJ506" s="171"/>
      <c r="DK506" s="79" t="s">
        <v>1519</v>
      </c>
      <c r="DL506" s="128"/>
      <c r="DM506" s="128"/>
      <c r="DN506" s="128"/>
      <c r="DO506" s="128"/>
      <c r="DP506" s="128"/>
      <c r="DQ506" s="128"/>
      <c r="DR506" s="128"/>
      <c r="DS506" s="218"/>
      <c r="DT506" s="360"/>
      <c r="DU506" s="360"/>
      <c r="DV506" s="360"/>
      <c r="DW506" s="360"/>
      <c r="DX506" s="360"/>
      <c r="DY506" s="360"/>
      <c r="DZ506" s="360"/>
      <c r="EA506" s="360"/>
      <c r="EB506" s="360"/>
      <c r="EC506" s="360"/>
      <c r="ED506" s="360"/>
      <c r="EE506" s="360"/>
      <c r="EF506" s="360"/>
      <c r="EG506" s="360"/>
      <c r="EH506" s="360"/>
      <c r="EI506" s="360"/>
      <c r="EJ506" s="360"/>
      <c r="EK506" s="360"/>
      <c r="EL506" s="360"/>
      <c r="EM506" s="360"/>
      <c r="EN506" s="360"/>
      <c r="EO506" s="360"/>
      <c r="EP506" s="360"/>
      <c r="EQ506" s="360"/>
    </row>
    <row r="507" spans="1:147" x14ac:dyDescent="0.35">
      <c r="A507" s="6" t="s">
        <v>1788</v>
      </c>
      <c r="B507" s="6"/>
      <c r="C507" s="6" t="s">
        <v>534</v>
      </c>
      <c r="D507" s="6" t="s">
        <v>534</v>
      </c>
      <c r="E507" s="6" t="s">
        <v>1789</v>
      </c>
      <c r="F507" s="6" t="s">
        <v>555</v>
      </c>
      <c r="G507" s="48" t="s">
        <v>1790</v>
      </c>
      <c r="H507" s="48" t="s">
        <v>1771</v>
      </c>
      <c r="I507" s="102">
        <v>0</v>
      </c>
      <c r="J507" s="102">
        <v>0</v>
      </c>
      <c r="K507" s="102">
        <v>0</v>
      </c>
      <c r="L507" s="102">
        <v>0</v>
      </c>
      <c r="M507" s="102">
        <v>0</v>
      </c>
      <c r="N507" s="102">
        <v>0</v>
      </c>
      <c r="O507" s="102">
        <v>0</v>
      </c>
      <c r="P507" s="94">
        <v>0</v>
      </c>
      <c r="Q507" s="102">
        <v>0</v>
      </c>
      <c r="R507" s="102">
        <v>0</v>
      </c>
      <c r="S507" s="102">
        <v>0</v>
      </c>
      <c r="T507" s="102">
        <v>0</v>
      </c>
      <c r="U507" s="102">
        <v>0</v>
      </c>
      <c r="V507" s="102">
        <v>0</v>
      </c>
      <c r="W507" s="102">
        <v>0</v>
      </c>
      <c r="X507" s="102">
        <v>0</v>
      </c>
      <c r="Y507" s="102">
        <v>0</v>
      </c>
      <c r="Z507" s="102">
        <v>0</v>
      </c>
      <c r="AA507" s="102">
        <v>0</v>
      </c>
      <c r="AB507" s="102">
        <v>0</v>
      </c>
      <c r="AC507" s="102">
        <v>0</v>
      </c>
      <c r="AD507" s="102">
        <v>0</v>
      </c>
      <c r="AE507" s="186">
        <v>0.08</v>
      </c>
      <c r="AF507" s="94">
        <v>0</v>
      </c>
      <c r="AG507" s="94">
        <v>1</v>
      </c>
      <c r="AH507" s="94">
        <v>1</v>
      </c>
      <c r="AI507" s="17">
        <v>1</v>
      </c>
      <c r="AJ507" s="17" t="s">
        <v>662</v>
      </c>
      <c r="AK507" s="17" t="s">
        <v>745</v>
      </c>
      <c r="AL507" s="17"/>
      <c r="AM507" s="61"/>
      <c r="AN507" s="61"/>
      <c r="AO507" s="61"/>
      <c r="AP507" s="61"/>
      <c r="AQ507" s="61"/>
      <c r="AR507" s="61"/>
      <c r="AS507" s="64"/>
      <c r="AT507" s="64"/>
      <c r="AU507" s="64"/>
      <c r="AV507" s="132"/>
      <c r="AW507" s="132"/>
      <c r="AX507" s="132"/>
      <c r="AY507" s="28" t="s">
        <v>662</v>
      </c>
      <c r="AZ507" s="28"/>
      <c r="BA507" s="28"/>
      <c r="BB507" s="28"/>
      <c r="BC507" s="28"/>
      <c r="BD507" s="28"/>
      <c r="BE507" s="28"/>
      <c r="BF507" s="28"/>
      <c r="BG507" s="28"/>
      <c r="BH507" s="106"/>
      <c r="BI507" s="106"/>
      <c r="BJ507" s="106"/>
      <c r="BK507" s="106"/>
      <c r="BL507" s="137">
        <f t="shared" ref="BL507" si="392">IF(AH507=1,0,1)</f>
        <v>0</v>
      </c>
      <c r="BM507" s="123"/>
      <c r="BN507" s="139"/>
      <c r="BO507" s="94"/>
      <c r="BP507" s="94"/>
      <c r="BQ507" s="94"/>
      <c r="BR507" s="94"/>
      <c r="BS507" s="94"/>
      <c r="BT507" s="94"/>
      <c r="BU507" s="28">
        <f t="shared" si="390"/>
        <v>0</v>
      </c>
      <c r="BV507" s="28"/>
      <c r="BW507" s="28"/>
      <c r="BX507" s="28"/>
      <c r="BY507" s="28"/>
      <c r="BZ507" s="28"/>
      <c r="CA507" s="28"/>
      <c r="CB507" s="244"/>
      <c r="CC507" s="244"/>
      <c r="CD507" s="244"/>
      <c r="CE507" s="244"/>
      <c r="CF507" s="244"/>
      <c r="CG507" s="244"/>
      <c r="CH507" s="244"/>
      <c r="CI507" s="175"/>
      <c r="CJ507" s="175"/>
      <c r="CK507" s="175"/>
      <c r="CL507" s="175"/>
      <c r="CM507" s="175"/>
      <c r="CN507" s="175"/>
      <c r="CO507" s="175"/>
      <c r="CP507" s="176"/>
      <c r="CQ507" s="176"/>
      <c r="CR507" s="176"/>
      <c r="CS507" s="176"/>
      <c r="CT507" s="176"/>
      <c r="CU507" s="176"/>
      <c r="CV507" s="176"/>
      <c r="CW507" s="167"/>
      <c r="CX507" s="168"/>
      <c r="CY507" s="168"/>
      <c r="CZ507" s="168"/>
      <c r="DA507" s="168"/>
      <c r="DB507" s="168"/>
      <c r="DC507" s="168"/>
      <c r="DD507" s="172"/>
      <c r="DE507" s="172"/>
      <c r="DF507" s="172"/>
      <c r="DG507" s="172"/>
      <c r="DH507" s="172"/>
      <c r="DI507" s="172"/>
      <c r="DJ507" s="172"/>
      <c r="DK507" s="80" t="s">
        <v>1519</v>
      </c>
      <c r="DL507" s="129"/>
      <c r="DM507" s="129"/>
      <c r="DN507" s="129"/>
      <c r="DO507" s="129"/>
      <c r="DP507" s="129"/>
      <c r="DQ507" s="129"/>
      <c r="DR507" s="129"/>
      <c r="DS507" s="218"/>
      <c r="DT507" s="360"/>
      <c r="DU507" s="360"/>
      <c r="DV507" s="360"/>
      <c r="DW507" s="360"/>
      <c r="DX507" s="360"/>
      <c r="DY507" s="360"/>
      <c r="DZ507" s="360"/>
      <c r="EA507" s="360"/>
      <c r="EB507" s="360"/>
      <c r="EC507" s="360"/>
      <c r="ED507" s="360"/>
      <c r="EE507" s="360"/>
      <c r="EF507" s="360"/>
      <c r="EG507" s="360"/>
      <c r="EH507" s="360"/>
      <c r="EI507" s="360"/>
      <c r="EJ507" s="360"/>
      <c r="EK507" s="360"/>
      <c r="EL507" s="360"/>
      <c r="EM507" s="360"/>
      <c r="EN507" s="360"/>
      <c r="EO507" s="360"/>
      <c r="EP507" s="360"/>
      <c r="EQ507" s="360"/>
    </row>
    <row r="510" spans="1:147" x14ac:dyDescent="0.35">
      <c r="CB510" s="133"/>
      <c r="CC510" s="133"/>
      <c r="CD510" s="133"/>
      <c r="CE510" s="133"/>
      <c r="CF510" s="133"/>
      <c r="CG510" s="133"/>
      <c r="CP510" s="133"/>
      <c r="CQ510" s="133"/>
      <c r="CR510" s="133"/>
      <c r="CS510" s="133"/>
      <c r="CT510" s="133"/>
      <c r="CU510" s="133"/>
    </row>
    <row r="511" spans="1:147" x14ac:dyDescent="0.35">
      <c r="CB511" s="133"/>
      <c r="CC511" s="133"/>
      <c r="CD511" s="133"/>
      <c r="CE511" s="133"/>
      <c r="CF511" s="133"/>
      <c r="CG511" s="133"/>
      <c r="CH511" s="133"/>
      <c r="CP511" s="133"/>
      <c r="CQ511" s="133"/>
      <c r="CR511" s="133"/>
      <c r="CS511" s="133"/>
      <c r="CT511" s="133"/>
      <c r="CU511" s="133"/>
      <c r="CV511" s="133"/>
    </row>
  </sheetData>
  <autoFilter ref="A6:DS507" xr:uid="{00000000-0001-0000-0300-000000000000}"/>
  <mergeCells count="21">
    <mergeCell ref="AV2:AX2"/>
    <mergeCell ref="A2:G2"/>
    <mergeCell ref="I2:AH2"/>
    <mergeCell ref="AI2:AL2"/>
    <mergeCell ref="AM2:AR2"/>
    <mergeCell ref="AS2:AU2"/>
    <mergeCell ref="AY2:BG2"/>
    <mergeCell ref="BO2:BT2"/>
    <mergeCell ref="BU2:CA2"/>
    <mergeCell ref="CB2:CH2"/>
    <mergeCell ref="DL2:DR2"/>
    <mergeCell ref="BH2:BK2"/>
    <mergeCell ref="DL3:DR3"/>
    <mergeCell ref="BL2:BN2"/>
    <mergeCell ref="BL4:BL5"/>
    <mergeCell ref="CI2:CO2"/>
    <mergeCell ref="CP2:CV2"/>
    <mergeCell ref="CW2:DC2"/>
    <mergeCell ref="CW3:DC3"/>
    <mergeCell ref="DD2:DJ2"/>
    <mergeCell ref="DD3:DJ3"/>
  </mergeCells>
  <phoneticPr fontId="26" type="noConversion"/>
  <conditionalFormatting sqref="X45:X46">
    <cfRule type="expression" dxfId="207" priority="490">
      <formula>$C45="Primary"</formula>
    </cfRule>
  </conditionalFormatting>
  <conditionalFormatting sqref="X102">
    <cfRule type="expression" dxfId="206" priority="120">
      <formula>$C102="Primary"</formula>
    </cfRule>
  </conditionalFormatting>
  <conditionalFormatting sqref="X236">
    <cfRule type="expression" dxfId="205" priority="222">
      <formula>$C236="Primary"</formula>
    </cfRule>
  </conditionalFormatting>
  <conditionalFormatting sqref="X348 X350 X352 X354:AD354 Y356:AD356 X356:X357 X358:AD358">
    <cfRule type="expression" dxfId="204" priority="224">
      <formula>$C348="Primary"</formula>
    </cfRule>
  </conditionalFormatting>
  <conditionalFormatting sqref="X367 X375:AD375 X377 X379 X381 X383 X388 X238 X240 X242 X244 X395 X397 X400 X402 X405 X410 X412:AD412 X414:AD414 X416:AD418 X422:AD422 X424:AD424 X426:AD426 X428:AD428 X431 X433 X435:AD435 X461 X463 X465 X467 X469 X471 X473 X475 X477 X479 X481 X483 X485 X487 X489 X491 X493 X495 X497 X499 X501 X503 X505 X507 X44 X267 X269 X271 X273 X275 X277 X279 X281 X283 X285 X287 X289 X291 X293 X295 X298 X300 X302 X305 X307 X309 X311 X313 X315 X317 X319 X321:X323 X325 X327 X329 X331 X333 X337 X339 X341 X360 X210 X212 X214 X216 X218 X220 X222 X224 X226 X228 X230 X232 X234 X32 X34 X36 X38 X40 X42 X48 X50">
    <cfRule type="expression" dxfId="203" priority="2711">
      <formula>$C32="Primary"</formula>
    </cfRule>
  </conditionalFormatting>
  <conditionalFormatting sqref="X10:AD10">
    <cfRule type="expression" dxfId="202" priority="669">
      <formula>$C10="Primary"</formula>
    </cfRule>
  </conditionalFormatting>
  <conditionalFormatting sqref="X33:AD43 X45:AD52 X365:AD365 X103:AD115 X7:AD7 X11:AD11 X13:AD13 X15:AD15 X17:AD17 X19:AD19 X21:AD21 X23:AD23 X25:AD25 X27:AD27 X29:AD29 X31:AD31 X117:AD117 X122:AD122 X146:AD146 X148:AD150 X152:AD152 X154:AD154 X156:AD156 X158:AD158 X162:AD162 X164:AD164 X166:AD166 X170:AD170 X172:AD172 X174:AD176 X178:AD178 X180:AD180 X182:AD182 X184:AD184 X186:AD186 X188:AD188 X204:AD204">
    <cfRule type="expression" dxfId="201" priority="2738">
      <formula>$C7="Primary"</formula>
    </cfRule>
  </conditionalFormatting>
  <conditionalFormatting sqref="X44:AD44">
    <cfRule type="expression" dxfId="200" priority="491">
      <formula>$C44="Primary"</formula>
    </cfRule>
  </conditionalFormatting>
  <conditionalFormatting sqref="X54:AD54 X56:AD56 X58:AD58 X60:AD60 X62:AD62 X64:AD64 X66:AD66 X68:AD68 X72:AD72 X74:AD74 X76:AD76 X78:AD78 X80:AD80 X82:AD82">
    <cfRule type="expression" dxfId="199" priority="164">
      <formula>$C54="Primary"</formula>
    </cfRule>
  </conditionalFormatting>
  <conditionalFormatting sqref="X55:AD55 X57:AD57 X59:AD59 X61:AD61 X63:AD63 X65:AD65 X67:AD67 X73:AD73 X75:AD75 X77:AD77 X79:AD79 X81:AD81 X83:AD83">
    <cfRule type="expression" dxfId="198" priority="163">
      <formula>$C55="Primary"</formula>
    </cfRule>
  </conditionalFormatting>
  <conditionalFormatting sqref="X69:AD71">
    <cfRule type="expression" dxfId="197" priority="154">
      <formula>$C69="Primary"</formula>
    </cfRule>
  </conditionalFormatting>
  <conditionalFormatting sqref="X84:AD84 X86:AD86 X88:AD88">
    <cfRule type="expression" dxfId="196" priority="147">
      <formula>$C84="Primary"</formula>
    </cfRule>
  </conditionalFormatting>
  <conditionalFormatting sqref="X85:AD85 X87:AD87 X89:AD89">
    <cfRule type="expression" dxfId="195" priority="146">
      <formula>$C85="Primary"</formula>
    </cfRule>
  </conditionalFormatting>
  <conditionalFormatting sqref="X90:AD90">
    <cfRule type="expression" dxfId="194" priority="130">
      <formula>$C90="Primary"</formula>
    </cfRule>
  </conditionalFormatting>
  <conditionalFormatting sqref="X91:AD94">
    <cfRule type="expression" dxfId="193" priority="56">
      <formula>$C91="Primary"</formula>
    </cfRule>
  </conditionalFormatting>
  <conditionalFormatting sqref="X95:AD96">
    <cfRule type="expression" dxfId="192" priority="29">
      <formula>$C95="Primary"</formula>
    </cfRule>
  </conditionalFormatting>
  <conditionalFormatting sqref="X97:AD97 X100:AD100 X102:AD114">
    <cfRule type="expression" dxfId="191" priority="119">
      <formula>$C97="Primary"</formula>
    </cfRule>
  </conditionalFormatting>
  <conditionalFormatting sqref="X98:AD98 X101:AD101">
    <cfRule type="expression" dxfId="190" priority="121">
      <formula>$C98="Primary"</formula>
    </cfRule>
  </conditionalFormatting>
  <conditionalFormatting sqref="X119:AD120">
    <cfRule type="expression" dxfId="189" priority="39">
      <formula>$C119="Primary"</formula>
    </cfRule>
  </conditionalFormatting>
  <conditionalFormatting sqref="X120:AD121">
    <cfRule type="expression" dxfId="188" priority="38">
      <formula>$C120="Primary"</formula>
    </cfRule>
  </conditionalFormatting>
  <conditionalFormatting sqref="X124:AD124 X126:AD126 X128:AD128 X134:AD134 X136:AD136">
    <cfRule type="expression" dxfId="187" priority="110">
      <formula>$C124="Primary"</formula>
    </cfRule>
  </conditionalFormatting>
  <conditionalFormatting sqref="X125:AD125 X127:AD127 X133:AD133 X135:AD135">
    <cfRule type="expression" dxfId="186" priority="109">
      <formula>$C125="Primary"</formula>
    </cfRule>
  </conditionalFormatting>
  <conditionalFormatting sqref="X129:AD129 X131:AD131">
    <cfRule type="expression" dxfId="185" priority="76">
      <formula>$C129="Primary"</formula>
    </cfRule>
  </conditionalFormatting>
  <conditionalFormatting sqref="X130:AD130 X132:AD132">
    <cfRule type="expression" dxfId="184" priority="77">
      <formula>$C130="Primary"</formula>
    </cfRule>
  </conditionalFormatting>
  <conditionalFormatting sqref="X137:AD138 X142:AD142">
    <cfRule type="expression" dxfId="183" priority="100">
      <formula>$C137="Primary"</formula>
    </cfRule>
  </conditionalFormatting>
  <conditionalFormatting sqref="X139:AD139 X141:AD141 X143:AD144">
    <cfRule type="expression" dxfId="182" priority="101">
      <formula>$C139="Primary"</formula>
    </cfRule>
  </conditionalFormatting>
  <conditionalFormatting sqref="X140:AD140">
    <cfRule type="expression" dxfId="181" priority="46">
      <formula>$C140="Primary"</formula>
    </cfRule>
  </conditionalFormatting>
  <conditionalFormatting sqref="X159:AD161">
    <cfRule type="expression" dxfId="180" priority="273">
      <formula>$C159="Primary"</formula>
    </cfRule>
  </conditionalFormatting>
  <conditionalFormatting sqref="X189:AD203">
    <cfRule type="expression" dxfId="179" priority="36">
      <formula>$C189="Primary"</formula>
    </cfRule>
  </conditionalFormatting>
  <conditionalFormatting sqref="X190:AD202">
    <cfRule type="expression" dxfId="178" priority="37">
      <formula>$C190="Primary"</formula>
    </cfRule>
  </conditionalFormatting>
  <conditionalFormatting sqref="X206:AD206">
    <cfRule type="expression" dxfId="177" priority="216">
      <formula>$C206="Primary"</formula>
    </cfRule>
  </conditionalFormatting>
  <conditionalFormatting sqref="X207:AD209">
    <cfRule type="expression" dxfId="176" priority="174">
      <formula>$C207="Primary"</formula>
    </cfRule>
  </conditionalFormatting>
  <conditionalFormatting sqref="X208:AD236">
    <cfRule type="expression" dxfId="175" priority="175">
      <formula>$C208="Primary"</formula>
    </cfRule>
  </conditionalFormatting>
  <conditionalFormatting sqref="X210:AD236">
    <cfRule type="expression" dxfId="174" priority="221">
      <formula>$C210="Primary"</formula>
    </cfRule>
  </conditionalFormatting>
  <conditionalFormatting sqref="X237:AD248 Y247:AD253 X247:X264 X250:AD252 Y256:AD263 X260:AD260 X262:AD262 X264:AD264 X32:AD44 X8:AD8 X12:AD12 X14:AD14 X16:AD16 X18:AD18 X20:AD20 X22:AD22 X24:AD24 X26:AD26 X28:AD28 X30:AD30 X46:AD50 X53:AD53 X116:AD116 X118:AD118 X123:AD123 X145:AD145 X147:AD147 X151:AD151 X153:AD153 X155:AD155 X157:AD157 X163:AD163 X165:AD165 X167:AD169 X171:AD171 X173:AD173 X177:AD177 X179:AD179 X181:AD181 X183:AD183 X185:AD185 X187:AD187 X205:AD205">
    <cfRule type="expression" dxfId="173" priority="2710">
      <formula>$C8="Primary"</formula>
    </cfRule>
  </conditionalFormatting>
  <conditionalFormatting sqref="X237:AD264 X394:AD428 X430:AD438 X461:AD507">
    <cfRule type="expression" dxfId="172" priority="610">
      <formula>$C237="Primary"</formula>
    </cfRule>
  </conditionalFormatting>
  <conditionalFormatting sqref="X254:AD258">
    <cfRule type="expression" dxfId="171" priority="456">
      <formula>$C254="Primary"</formula>
    </cfRule>
  </conditionalFormatting>
  <conditionalFormatting sqref="X265:AD265">
    <cfRule type="expression" dxfId="170" priority="209">
      <formula>$C265="Primary"</formula>
    </cfRule>
    <cfRule type="expression" dxfId="169" priority="210">
      <formula>$C265="Primary"</formula>
    </cfRule>
  </conditionalFormatting>
  <conditionalFormatting sqref="X266:AD364">
    <cfRule type="expression" dxfId="168" priority="225">
      <formula>$C266="Primary"</formula>
    </cfRule>
  </conditionalFormatting>
  <conditionalFormatting sqref="X266:AD383 X385:AD414">
    <cfRule type="expression" dxfId="167" priority="227">
      <formula>$C266="Primary"</formula>
    </cfRule>
  </conditionalFormatting>
  <conditionalFormatting sqref="X366:AD366">
    <cfRule type="expression" dxfId="166" priority="66">
      <formula>$C366="Primary"</formula>
    </cfRule>
  </conditionalFormatting>
  <conditionalFormatting sqref="X367:AD383 X385:AD389 X9:AD9">
    <cfRule type="expression" dxfId="165" priority="671">
      <formula>$C9="Primary"</formula>
    </cfRule>
  </conditionalFormatting>
  <conditionalFormatting sqref="X384:AD384">
    <cfRule type="expression" dxfId="164" priority="22">
      <formula>$C384="Primary"</formula>
    </cfRule>
    <cfRule type="expression" dxfId="163" priority="24">
      <formula>$C384="Primary"</formula>
    </cfRule>
    <cfRule type="expression" dxfId="162" priority="28">
      <formula>$C384="Primary"</formula>
    </cfRule>
  </conditionalFormatting>
  <conditionalFormatting sqref="X390:AD393">
    <cfRule type="expression" dxfId="161" priority="79">
      <formula>$C390="Primary"</formula>
    </cfRule>
  </conditionalFormatting>
  <conditionalFormatting sqref="X416:AD438 X461:AD507">
    <cfRule type="expression" dxfId="160" priority="18">
      <formula>$C416="Primary"</formula>
    </cfRule>
  </conditionalFormatting>
  <conditionalFormatting sqref="X429:AD429">
    <cfRule type="expression" dxfId="159" priority="9">
      <formula>$C429="Primary"</formula>
    </cfRule>
    <cfRule type="expression" dxfId="158" priority="10">
      <formula>$C429="Primary"</formula>
    </cfRule>
  </conditionalFormatting>
  <conditionalFormatting sqref="X439:AD442">
    <cfRule type="expression" dxfId="157" priority="3">
      <formula>$C439="Primary"</formula>
    </cfRule>
    <cfRule type="expression" dxfId="156" priority="4">
      <formula>$C439="Primary"</formula>
    </cfRule>
  </conditionalFormatting>
  <conditionalFormatting sqref="Y427:Y428">
    <cfRule type="expression" dxfId="155" priority="249">
      <formula>$C427="Primary"</formula>
    </cfRule>
  </conditionalFormatting>
  <conditionalFormatting sqref="Y45:AD45">
    <cfRule type="expression" dxfId="154" priority="489">
      <formula>$C45="Primary"</formula>
    </cfRule>
  </conditionalFormatting>
  <conditionalFormatting sqref="Y92:AD93">
    <cfRule type="expression" dxfId="153" priority="132">
      <formula>$C92="Primary"</formula>
    </cfRule>
  </conditionalFormatting>
  <conditionalFormatting sqref="BM90:BM93">
    <cfRule type="expression" dxfId="152" priority="135">
      <formula>(BM90=0)</formula>
    </cfRule>
    <cfRule type="expression" dxfId="151" priority="138">
      <formula>(BM90=0)</formula>
    </cfRule>
  </conditionalFormatting>
  <conditionalFormatting sqref="BM90:BT93">
    <cfRule type="expression" dxfId="150" priority="137">
      <formula>($BK90=0)</formula>
    </cfRule>
  </conditionalFormatting>
  <conditionalFormatting sqref="BM90:CA93">
    <cfRule type="expression" dxfId="149" priority="139">
      <formula>($BK90=2)</formula>
    </cfRule>
  </conditionalFormatting>
  <conditionalFormatting sqref="BN7:BN53 BN103:BN119 BN121:BN123 BN193:BN200 BN203:BN207 BN210:BN235 BN248:BN264 BN266:BN364 BN367:BN383 BN385:BN428 BN461:BN507 BN133:BN191">
    <cfRule type="expression" dxfId="148" priority="1187">
      <formula>(BN7=0)</formula>
    </cfRule>
  </conditionalFormatting>
  <conditionalFormatting sqref="BN9:BN23 BO9:CA9 BN461:CA507 BN266:CA383 BN397:BU397 CI397:CO397">
    <cfRule type="expression" dxfId="147" priority="668">
      <formula>($BL9=2)</formula>
    </cfRule>
  </conditionalFormatting>
  <conditionalFormatting sqref="BN9:BN43">
    <cfRule type="expression" dxfId="146" priority="663">
      <formula>(BN9=0)</formula>
    </cfRule>
  </conditionalFormatting>
  <conditionalFormatting sqref="BN26:BN30">
    <cfRule type="expression" dxfId="145" priority="269">
      <formula>($BL26=0)</formula>
    </cfRule>
    <cfRule type="expression" dxfId="144" priority="270">
      <formula>($BL26=2)</formula>
    </cfRule>
  </conditionalFormatting>
  <conditionalFormatting sqref="BN54:BN69 BN71:BN83">
    <cfRule type="expression" dxfId="143" priority="160">
      <formula>(BN54=0)</formula>
    </cfRule>
  </conditionalFormatting>
  <conditionalFormatting sqref="BN54:BN83">
    <cfRule type="expression" dxfId="142" priority="152">
      <formula>(BN54=0)</formula>
    </cfRule>
  </conditionalFormatting>
  <conditionalFormatting sqref="BN70">
    <cfRule type="expression" dxfId="141" priority="150">
      <formula>(BN70=0)</formula>
    </cfRule>
  </conditionalFormatting>
  <conditionalFormatting sqref="BN84:BN89">
    <cfRule type="expression" dxfId="140" priority="143">
      <formula>(BN84=0)</formula>
    </cfRule>
  </conditionalFormatting>
  <conditionalFormatting sqref="BN84:BN95">
    <cfRule type="expression" dxfId="139" priority="54">
      <formula>(BN84=0)</formula>
    </cfRule>
  </conditionalFormatting>
  <conditionalFormatting sqref="BN94:BN95">
    <cfRule type="expression" dxfId="138" priority="52">
      <formula>(BN94=0)</formula>
    </cfRule>
  </conditionalFormatting>
  <conditionalFormatting sqref="BN96">
    <cfRule type="expression" dxfId="137" priority="126">
      <formula>(BN96=0)</formula>
    </cfRule>
  </conditionalFormatting>
  <conditionalFormatting sqref="BN96:BN102">
    <cfRule type="expression" dxfId="136" priority="116">
      <formula>(BN96=0)</formula>
    </cfRule>
  </conditionalFormatting>
  <conditionalFormatting sqref="BN97:BN102">
    <cfRule type="expression" dxfId="135" priority="112">
      <formula>(BN97=0)</formula>
    </cfRule>
  </conditionalFormatting>
  <conditionalFormatting sqref="BN120">
    <cfRule type="expression" dxfId="134" priority="43">
      <formula>(BN120=0)</formula>
    </cfRule>
  </conditionalFormatting>
  <conditionalFormatting sqref="BN124:BN128 BN133:BN136">
    <cfRule type="expression" dxfId="133" priority="106">
      <formula>(BN124=0)</formula>
    </cfRule>
  </conditionalFormatting>
  <conditionalFormatting sqref="BN141:BN144 BN124:BN128">
    <cfRule type="expression" dxfId="132" priority="97">
      <formula>(BN124=0)</formula>
    </cfRule>
  </conditionalFormatting>
  <conditionalFormatting sqref="BN140">
    <cfRule type="expression" dxfId="131" priority="47">
      <formula>(BN140=0)</formula>
    </cfRule>
  </conditionalFormatting>
  <conditionalFormatting sqref="BN192">
    <cfRule type="expression" dxfId="130" priority="33">
      <formula>(BN192=0)</formula>
    </cfRule>
  </conditionalFormatting>
  <conditionalFormatting sqref="BN201:BN202">
    <cfRule type="expression" dxfId="129" priority="187">
      <formula>(BN201=0)</formula>
    </cfRule>
  </conditionalFormatting>
  <conditionalFormatting sqref="BN207:BN209">
    <cfRule type="expression" dxfId="128" priority="182">
      <formula>(BN207=0)</formula>
    </cfRule>
  </conditionalFormatting>
  <conditionalFormatting sqref="BN208:BN209">
    <cfRule type="expression" dxfId="127" priority="176">
      <formula>(BN208=0)</formula>
    </cfRule>
  </conditionalFormatting>
  <conditionalFormatting sqref="BN214 BN218:BN219">
    <cfRule type="expression" dxfId="126" priority="464">
      <formula>(BN214=0)</formula>
    </cfRule>
  </conditionalFormatting>
  <conditionalFormatting sqref="BN221 BN146:BN158 BN161:BN181 BN183 BN185 BN187 BN194:BN198 BN204:BN205">
    <cfRule type="expression" dxfId="125" priority="483">
      <formula>(BN146=0)</formula>
    </cfRule>
  </conditionalFormatting>
  <conditionalFormatting sqref="BN236:BN246">
    <cfRule type="expression" dxfId="124" priority="218">
      <formula>(BN236=0)</formula>
    </cfRule>
  </conditionalFormatting>
  <conditionalFormatting sqref="BN256 BN259">
    <cfRule type="expression" dxfId="123" priority="474">
      <formula>(BN256=0)</formula>
    </cfRule>
  </conditionalFormatting>
  <conditionalFormatting sqref="BN265">
    <cfRule type="expression" dxfId="122" priority="200">
      <formula>(BN265=0)</formula>
    </cfRule>
    <cfRule type="expression" dxfId="121" priority="203">
      <formula>(BN265=0)</formula>
    </cfRule>
    <cfRule type="expression" dxfId="120" priority="206">
      <formula>(BN265=0)</formula>
    </cfRule>
  </conditionalFormatting>
  <conditionalFormatting sqref="BN365:BN366">
    <cfRule type="expression" dxfId="119" priority="60">
      <formula>(BN365=0)</formula>
    </cfRule>
  </conditionalFormatting>
  <conditionalFormatting sqref="BN384">
    <cfRule type="expression" dxfId="118" priority="26">
      <formula>(BN384=0)</formula>
    </cfRule>
  </conditionalFormatting>
  <conditionalFormatting sqref="BN429:BN436">
    <cfRule type="expression" dxfId="117" priority="16">
      <formula>(BN429=0)</formula>
    </cfRule>
  </conditionalFormatting>
  <conditionalFormatting sqref="BN437:BN460">
    <cfRule type="expression" dxfId="116" priority="7">
      <formula>(BN437=0)</formula>
    </cfRule>
  </conditionalFormatting>
  <conditionalFormatting sqref="BN461:BN507">
    <cfRule type="expression" dxfId="115" priority="303">
      <formula>(BN461=0)</formula>
    </cfRule>
  </conditionalFormatting>
  <conditionalFormatting sqref="BN33:BT43 BN193:BT200 BO9:BT9 BN9:BN23 BN266:BT365 BN367:BT383 BN385:BT428 BN461:BT507 BN25:BN30 BN31:BT31 BN45:BT52 BN148:BT150 BN146:BT146 BN152:BT152 BN154:BT154 BN156:BT156 BN158:BT158 BN162:BT162 BN164:BT164 BN166:BT166 BN170:BT170 BN172:BT172 BN174:BT176 BN178:BT178 BN180:BT180 BN204:BT204 BN210:BT235 BO247:BT247 BN248:BT264 BN103:BT115 BN7:BT7 BO11:BT29 BN117:BT117 BN122:BT122 BN182:BT182 BN184:BT184 BN186:BT186 BN188:BT188 BN206:BT206">
    <cfRule type="expression" dxfId="114" priority="1176">
      <formula>($BL7=0)</formula>
    </cfRule>
  </conditionalFormatting>
  <conditionalFormatting sqref="BN44:BT44">
    <cfRule type="expression" dxfId="113" priority="482">
      <formula>($BL44=0)</formula>
    </cfRule>
  </conditionalFormatting>
  <conditionalFormatting sqref="BN54:BT54 BN56:BT56 BN58:BT58 BN60:BT60 BN62:BT62 BN64:BT64 BN66:BT66 BN68:BT68 BN72:BT72 BN74:BQ74 BN76:BQ76 BN78:BQ78 BN80:BT80 BN82:BT82 BR73:BR79 BS74:BT74 BS76:BT76 BS78:BT78">
    <cfRule type="expression" dxfId="112" priority="159">
      <formula>($BL54=0)</formula>
    </cfRule>
  </conditionalFormatting>
  <conditionalFormatting sqref="BN55:BT55 BN57:BT57 BN59:BT59 BN61:BT61 BN63:BT63 BN65:BT65 BN67:BT67 BN69:BT69 BN71:BT71 BN73:BQ73 BN75:BQ75 BN77:BQ77 BN79:BQ79 BN81:BT81 BN83:BT83 BN365:BT383 BS73:BT73 BS75:BT75 BS77:BT77 BS79:BT79 BN461:BT507">
    <cfRule type="expression" dxfId="111" priority="158">
      <formula>($BL55=0)</formula>
    </cfRule>
  </conditionalFormatting>
  <conditionalFormatting sqref="BN70:BT70">
    <cfRule type="expression" dxfId="110" priority="151">
      <formula>($BL70=0)</formula>
    </cfRule>
  </conditionalFormatting>
  <conditionalFormatting sqref="BN84:BT84 BN86:BT86 BN88:BT88">
    <cfRule type="expression" dxfId="109" priority="142">
      <formula>($BL84=0)</formula>
    </cfRule>
  </conditionalFormatting>
  <conditionalFormatting sqref="BN85:BT85 BN87:BT87 BN89:BT89">
    <cfRule type="expression" dxfId="108" priority="141">
      <formula>($BL85=0)</formula>
    </cfRule>
  </conditionalFormatting>
  <conditionalFormatting sqref="BN94:BT95">
    <cfRule type="expression" dxfId="107" priority="53">
      <formula>($BL94=0)</formula>
    </cfRule>
  </conditionalFormatting>
  <conditionalFormatting sqref="BN96:BT96">
    <cfRule type="expression" dxfId="106" priority="125">
      <formula>($BL96=0)</formula>
    </cfRule>
  </conditionalFormatting>
  <conditionalFormatting sqref="BN97:BT97 BN100:BT100 BN102:BT114">
    <cfRule type="expression" dxfId="105" priority="114">
      <formula>($BL97=0)</formula>
    </cfRule>
  </conditionalFormatting>
  <conditionalFormatting sqref="BN98:BT99 BN101:BT101">
    <cfRule type="expression" dxfId="104" priority="115">
      <formula>($BL98=0)</formula>
    </cfRule>
  </conditionalFormatting>
  <conditionalFormatting sqref="BN119:BT120">
    <cfRule type="expression" dxfId="103" priority="42">
      <formula>($BL119=0)</formula>
    </cfRule>
  </conditionalFormatting>
  <conditionalFormatting sqref="BN120:BT121">
    <cfRule type="expression" dxfId="102" priority="41">
      <formula>($BL120=0)</formula>
    </cfRule>
  </conditionalFormatting>
  <conditionalFormatting sqref="BN124:BT124 BN126:BT126 BN128:BT128 BN134:BT134 BN136:BT136">
    <cfRule type="expression" dxfId="101" priority="105">
      <formula>($BL124=0)</formula>
    </cfRule>
  </conditionalFormatting>
  <conditionalFormatting sqref="BN125:BT125 BN127:BT127 BN133:BT133 BN135:BT135">
    <cfRule type="expression" dxfId="100" priority="104">
      <formula>($BL125=0)</formula>
    </cfRule>
  </conditionalFormatting>
  <conditionalFormatting sqref="BN137:BT138 BN142:BT142">
    <cfRule type="expression" dxfId="99" priority="95">
      <formula>($BL137=0)</formula>
    </cfRule>
  </conditionalFormatting>
  <conditionalFormatting sqref="BN139:BT139 BN141:BT141 BN143:BT144">
    <cfRule type="expression" dxfId="98" priority="96">
      <formula>($BL139=0)</formula>
    </cfRule>
  </conditionalFormatting>
  <conditionalFormatting sqref="BN140:BT140">
    <cfRule type="expression" dxfId="97" priority="48">
      <formula>($BL140=0)</formula>
    </cfRule>
  </conditionalFormatting>
  <conditionalFormatting sqref="BN159:BT160">
    <cfRule type="expression" dxfId="96" priority="271">
      <formula>($BL159=0)</formula>
    </cfRule>
  </conditionalFormatting>
  <conditionalFormatting sqref="BN189:BT192">
    <cfRule type="expression" dxfId="95" priority="31">
      <formula>($BL189=0)</formula>
    </cfRule>
  </conditionalFormatting>
  <conditionalFormatting sqref="BN190:BT192">
    <cfRule type="expression" dxfId="94" priority="32">
      <formula>($BL190=0)</formula>
    </cfRule>
  </conditionalFormatting>
  <conditionalFormatting sqref="BN201:BT202">
    <cfRule type="expression" dxfId="93" priority="186">
      <formula>($BL201=0)</formula>
    </cfRule>
  </conditionalFormatting>
  <conditionalFormatting sqref="BN201:BT203">
    <cfRule type="expression" dxfId="92" priority="185">
      <formula>($BL201=0)</formula>
    </cfRule>
  </conditionalFormatting>
  <conditionalFormatting sqref="BN207:BT207">
    <cfRule type="expression" dxfId="91" priority="194">
      <formula>($BL207=0)</formula>
    </cfRule>
  </conditionalFormatting>
  <conditionalFormatting sqref="BN208:BT209">
    <cfRule type="expression" dxfId="90" priority="177">
      <formula>($BL208=0)</formula>
    </cfRule>
  </conditionalFormatting>
  <conditionalFormatting sqref="BN236:BT246">
    <cfRule type="expression" dxfId="89" priority="215">
      <formula>($BL236=0)</formula>
    </cfRule>
    <cfRule type="expression" dxfId="88" priority="217">
      <formula>($BL236=0)</formula>
    </cfRule>
  </conditionalFormatting>
  <conditionalFormatting sqref="BN248:BT264 BN210:BT235 BN45:BT50 BO247:BT247">
    <cfRule type="expression" dxfId="87" priority="481">
      <formula>($BL45=0)</formula>
    </cfRule>
  </conditionalFormatting>
  <conditionalFormatting sqref="BN257:BT258">
    <cfRule type="expression" dxfId="86" priority="453">
      <formula>($BL257=0)</formula>
    </cfRule>
  </conditionalFormatting>
  <conditionalFormatting sqref="BN265:BT265">
    <cfRule type="expression" dxfId="85" priority="199">
      <formula>($BL265=0)</formula>
    </cfRule>
    <cfRule type="expression" dxfId="84" priority="201">
      <formula>($BL265=2)</formula>
    </cfRule>
    <cfRule type="expression" dxfId="83" priority="204">
      <formula>($BL265=0)</formula>
    </cfRule>
  </conditionalFormatting>
  <conditionalFormatting sqref="BN265:BT266">
    <cfRule type="expression" dxfId="82" priority="205">
      <formula>($BL265=0)</formula>
    </cfRule>
  </conditionalFormatting>
  <conditionalFormatting sqref="BN266:BT364 BN145:BT145">
    <cfRule type="expression" dxfId="81" priority="255">
      <formula>($BL145=0)</formula>
    </cfRule>
  </conditionalFormatting>
  <conditionalFormatting sqref="BN366:BT366">
    <cfRule type="expression" dxfId="80" priority="59">
      <formula>($BL366=0)</formula>
    </cfRule>
  </conditionalFormatting>
  <conditionalFormatting sqref="BN384:BT384">
    <cfRule type="expression" dxfId="79" priority="25">
      <formula>($BL384=0)</formula>
    </cfRule>
  </conditionalFormatting>
  <conditionalFormatting sqref="BN384:BT438">
    <cfRule type="expression" dxfId="78" priority="13">
      <formula>($BL384=0)</formula>
    </cfRule>
  </conditionalFormatting>
  <conditionalFormatting sqref="BN429:BT438">
    <cfRule type="expression" dxfId="77" priority="15">
      <formula>($BL429=0)</formula>
    </cfRule>
  </conditionalFormatting>
  <conditionalFormatting sqref="BN439:BT442">
    <cfRule type="expression" dxfId="76" priority="2">
      <formula>($BL439=0)</formula>
    </cfRule>
    <cfRule type="expression" dxfId="75" priority="6">
      <formula>($BL439=0)</formula>
    </cfRule>
  </conditionalFormatting>
  <conditionalFormatting sqref="BN8:CA8 BN24 BN32:CA44 BN46:CA50 BN53:CA53 BN103:CA114 BN116:CA116 BN118:CA118 BN121:CA121 BN123:CA123 BN145:CA145 BN147:CA147 BN151:CA151 BN153:CA153 BN155:CA155 BN157:CA157 BN161:CA161 BN163:CA163 BN165:CA165 BN167:CA169 BN171:CA171 BN173:CA173 BN177:CA177 BN179:CA179 BN181:CA181 BN183:CA183 BN185:CA185 BN187:CA187 BN189:CA191 BN193:CA200 BN203:CA203 BN205:CA205 BN210:CA235 BN234:CH234 BN248:CA260 BN261:CH261 BN262:CA264 BN266:CA365 BN367:CA383 BN385:CA396 BN397:BU397 BN398:CA428 BN461:CA507 BO247:BU247 BO10:CA10 BO30:CA30 CI397:CO397 BU12:CA12 BU14:CA14 BU16:CA16 BU18:CA18 BU20:CA20 BU22:CA22 BU24:CA24 BU26:CA26 BU28:CA28 BX247:CA247">
    <cfRule type="expression" dxfId="74" priority="2650">
      <formula>($BL8=2)</formula>
    </cfRule>
  </conditionalFormatting>
  <conditionalFormatting sqref="BN33:CA43 BN45:CA52 BN103:CA115 BN190:CA191 BN193:CA200 BN210:CA235 BN235:CH235 BO247:BU247 BX247:CA247 BN248:CA260 BN261:CH261 BN262:CA264 BN148:CA150 BN7:CA7 BN9:BN23 BN25:BN30 BN31:CA31 BN117:CA117 BN119:CA119 BN122:CA122 BN146:CA146 BN152:CA152 BN154:CA154 BN156:CA156 BN158:CA158 BN162:CA162 BN164:CA164 BN166:CA166 BN170:CA170 BN172:CA172 BN174:CA176 BN178:CA178 BN180:CA180 BN182:CA182 BN184:CA184 BN186:CA186 BN188:CA188 BN204:CA204 BN206:CA206 BO9:CA9 BO11:CA11 BO12:BT28 BO29:CA29 BU13:CA13 BU15:CA15 BU17:CA17 BU19:CA19 BU21:CA21 BU23:CA23 BU25:CA25 BU27:CA27">
    <cfRule type="expression" dxfId="73" priority="2652">
      <formula>($BL7=2)</formula>
    </cfRule>
  </conditionalFormatting>
  <conditionalFormatting sqref="BN44:CA44">
    <cfRule type="expression" dxfId="72" priority="488">
      <formula>($BL44=2)</formula>
    </cfRule>
  </conditionalFormatting>
  <conditionalFormatting sqref="BN45:CA45">
    <cfRule type="expression" dxfId="71" priority="487">
      <formula>($BL45=2)</formula>
    </cfRule>
  </conditionalFormatting>
  <conditionalFormatting sqref="BN54:CA54 BN56:CA56 BN58:CA58 BN60:CA60 BN62:CA62 BN64:CA64 BN66:CA66 BN68:CA68 BN72:CA72 BN74:BQ74 BN76:BQ76 BN78:BQ78 BN80:CA80 BN82:CA82 BR73:BR79 BS74:CA74 BS76:CA76 BS78:CA78">
    <cfRule type="expression" dxfId="70" priority="162">
      <formula>($BL54=2)</formula>
    </cfRule>
  </conditionalFormatting>
  <conditionalFormatting sqref="BN55:CA55 BN57:CA57 BN59:CA59 BN61:CA61 BN63:CA63 BN65:CA65 BN67:CA67 BN69:CA69 BN71:CA71 BN73:BQ73 BN75:BQ75 BN77:BQ77 BN79:BQ79 BN81:CA81 BN83:CA83 BS73:CA73 BS75:CA75 BS77:CA77 BS79:CA79">
    <cfRule type="expression" dxfId="69" priority="161">
      <formula>($BL55=2)</formula>
    </cfRule>
  </conditionalFormatting>
  <conditionalFormatting sqref="BN70:CA70">
    <cfRule type="expression" dxfId="68" priority="153">
      <formula>($BL70=2)</formula>
    </cfRule>
  </conditionalFormatting>
  <conditionalFormatting sqref="BN84:CA84 BN86:CA86 BN88:CA88">
    <cfRule type="expression" dxfId="67" priority="145">
      <formula>($BL84=2)</formula>
    </cfRule>
  </conditionalFormatting>
  <conditionalFormatting sqref="BN85:CA85 BN87:CA87 BN89:CA89">
    <cfRule type="expression" dxfId="66" priority="144">
      <formula>($BL85=2)</formula>
    </cfRule>
  </conditionalFormatting>
  <conditionalFormatting sqref="BN94:CA95">
    <cfRule type="expression" dxfId="65" priority="55">
      <formula>($BL94=2)</formula>
    </cfRule>
  </conditionalFormatting>
  <conditionalFormatting sqref="BN96:CA96">
    <cfRule type="expression" dxfId="64" priority="127">
      <formula>($BL96=2)</formula>
    </cfRule>
  </conditionalFormatting>
  <conditionalFormatting sqref="BN97:CA97 BN100:CA100 BN102:CA102">
    <cfRule type="expression" dxfId="63" priority="117">
      <formula>($BL97=2)</formula>
    </cfRule>
  </conditionalFormatting>
  <conditionalFormatting sqref="BN98:CA99 BN101:CA101">
    <cfRule type="expression" dxfId="62" priority="118">
      <formula>($BL98=2)</formula>
    </cfRule>
  </conditionalFormatting>
  <conditionalFormatting sqref="BN120:CA120">
    <cfRule type="expression" dxfId="61" priority="44">
      <formula>($BL120=2)</formula>
    </cfRule>
    <cfRule type="expression" dxfId="60" priority="45">
      <formula>($BL120=2)</formula>
    </cfRule>
  </conditionalFormatting>
  <conditionalFormatting sqref="BN124:CA124 BN126:CA126 BN128:CA128 BN134:CA134 BN136:CA136">
    <cfRule type="expression" dxfId="59" priority="108">
      <formula>($BL124=2)</formula>
    </cfRule>
  </conditionalFormatting>
  <conditionalFormatting sqref="BN125:CA125 BN127:CA127 BN133:CA133 BN135:CA135">
    <cfRule type="expression" dxfId="58" priority="107">
      <formula>($BL125=2)</formula>
    </cfRule>
  </conditionalFormatting>
  <conditionalFormatting sqref="BN137:CA138 BN142:CA142">
    <cfRule type="expression" dxfId="57" priority="98">
      <formula>($BL137=2)</formula>
    </cfRule>
  </conditionalFormatting>
  <conditionalFormatting sqref="BN139:CA139 BN141:CA141 BN143:CA144">
    <cfRule type="expression" dxfId="56" priority="99">
      <formula>($BL139=2)</formula>
    </cfRule>
  </conditionalFormatting>
  <conditionalFormatting sqref="BN140:CA140">
    <cfRule type="expression" dxfId="55" priority="50">
      <formula>($BL140=2)</formula>
    </cfRule>
  </conditionalFormatting>
  <conditionalFormatting sqref="BN159:CA160">
    <cfRule type="expression" dxfId="54" priority="272">
      <formula>($BL159=2)</formula>
    </cfRule>
  </conditionalFormatting>
  <conditionalFormatting sqref="BN192:CA192">
    <cfRule type="expression" dxfId="53" priority="34">
      <formula>($BL192=2)</formula>
    </cfRule>
    <cfRule type="expression" dxfId="52" priority="35">
      <formula>($BL192=2)</formula>
    </cfRule>
  </conditionalFormatting>
  <conditionalFormatting sqref="BN201:CA202">
    <cfRule type="expression" dxfId="51" priority="188">
      <formula>($BL201=2)</formula>
    </cfRule>
    <cfRule type="expression" dxfId="50" priority="189">
      <formula>($BL201=2)</formula>
    </cfRule>
  </conditionalFormatting>
  <conditionalFormatting sqref="BN207:CA207">
    <cfRule type="expression" dxfId="49" priority="195">
      <formula>($BL207=2)</formula>
    </cfRule>
  </conditionalFormatting>
  <conditionalFormatting sqref="BN208:CA209">
    <cfRule type="expression" dxfId="48" priority="178">
      <formula>($BL208=2)</formula>
    </cfRule>
  </conditionalFormatting>
  <conditionalFormatting sqref="BN236:CA246">
    <cfRule type="expression" dxfId="47" priority="219">
      <formula>($BL236=2)</formula>
    </cfRule>
    <cfRule type="expression" dxfId="46" priority="220">
      <formula>($BL236=2)</formula>
    </cfRule>
  </conditionalFormatting>
  <conditionalFormatting sqref="BN257:CA258">
    <cfRule type="expression" dxfId="45" priority="455">
      <formula>($BL257=2)</formula>
    </cfRule>
  </conditionalFormatting>
  <conditionalFormatting sqref="BN265:CA265">
    <cfRule type="expression" dxfId="44" priority="207">
      <formula>($BL265=2)</formula>
    </cfRule>
  </conditionalFormatting>
  <conditionalFormatting sqref="BN265:CA266">
    <cfRule type="expression" dxfId="43" priority="208">
      <formula>($BL265=2)</formula>
    </cfRule>
  </conditionalFormatting>
  <conditionalFormatting sqref="BN366:CA366">
    <cfRule type="expression" dxfId="42" priority="61">
      <formula>($BL366=2)</formula>
    </cfRule>
  </conditionalFormatting>
  <conditionalFormatting sqref="BN384:CA384">
    <cfRule type="expression" dxfId="41" priority="27">
      <formula>($BL384=2)</formula>
    </cfRule>
  </conditionalFormatting>
  <conditionalFormatting sqref="BN384:CA396">
    <cfRule type="expression" dxfId="40" priority="23">
      <formula>($BL384=2)</formula>
    </cfRule>
  </conditionalFormatting>
  <conditionalFormatting sqref="BN398:CA438">
    <cfRule type="expression" dxfId="39" priority="14">
      <formula>($BL398=2)</formula>
    </cfRule>
  </conditionalFormatting>
  <conditionalFormatting sqref="BN429:CA438">
    <cfRule type="expression" dxfId="38" priority="17">
      <formula>($BL429=2)</formula>
    </cfRule>
  </conditionalFormatting>
  <conditionalFormatting sqref="BN439:CA442">
    <cfRule type="expression" dxfId="37" priority="5">
      <formula>($BL439=2)</formula>
    </cfRule>
    <cfRule type="expression" dxfId="36" priority="8">
      <formula>($BL439=2)</formula>
    </cfRule>
  </conditionalFormatting>
  <conditionalFormatting sqref="BO150:BQ150">
    <cfRule type="expression" dxfId="35" priority="484">
      <formula>(BO150=0)</formula>
    </cfRule>
    <cfRule type="expression" dxfId="34" priority="1188">
      <formula>(BO150=0)</formula>
    </cfRule>
  </conditionalFormatting>
  <conditionalFormatting sqref="BO9:BT9 BN9:BN23">
    <cfRule type="expression" dxfId="33" priority="662">
      <formula>($BL9=0)</formula>
    </cfRule>
  </conditionalFormatting>
  <conditionalFormatting sqref="BO10:BT10 BN24 BN32:BT44 BN147:BT147 BN151:BT151 BN153:BT153 BN155:BT155 BN157:BT157 BN161:BT161 BN163:BT163 BN165:BT165 BN167:BT169 BN171:BT171 BN173:BT173 BN177:BT177 BN179:BT179 BN181:BT181 BN183:BT183 BN185:BT185 BN187:BT187 BN193:BT200 BN205:BT205 BN8:BT8 BO30:BT30 BN53:BT53 BN116:BT116 BN118:BT118 BN123:BT123">
    <cfRule type="expression" dxfId="32" priority="1175">
      <formula>($BL8=0)</formula>
    </cfRule>
  </conditionalFormatting>
  <conditionalFormatting sqref="BO10:BT10">
    <cfRule type="expression" dxfId="31" priority="661">
      <formula>($BL10=0)</formula>
    </cfRule>
  </conditionalFormatting>
  <conditionalFormatting sqref="BO129:BT129 BO131:BT131">
    <cfRule type="expression" dxfId="30" priority="72">
      <formula>($BL129=0)</formula>
    </cfRule>
  </conditionalFormatting>
  <conditionalFormatting sqref="BO130:BT130 BO132:BT132">
    <cfRule type="expression" dxfId="29" priority="73">
      <formula>($BL130=0)</formula>
    </cfRule>
  </conditionalFormatting>
  <conditionalFormatting sqref="BO10:CA10">
    <cfRule type="expression" dxfId="28" priority="667">
      <formula>($BL10=2)</formula>
    </cfRule>
  </conditionalFormatting>
  <conditionalFormatting sqref="BO129:CA129 BO131:CA131">
    <cfRule type="expression" dxfId="27" priority="74">
      <formula>($BL129=2)</formula>
    </cfRule>
  </conditionalFormatting>
  <conditionalFormatting sqref="BO130:CA130 BO132:CA132">
    <cfRule type="expression" dxfId="26" priority="75">
      <formula>($BL130=2)</formula>
    </cfRule>
  </conditionalFormatting>
  <conditionalFormatting sqref="BU7:BU119 BU121:BU128 BU141:BU144 BT90:BT93 BU133:BU139">
    <cfRule type="expression" dxfId="25" priority="136">
      <formula>(BK7=1)</formula>
    </cfRule>
  </conditionalFormatting>
  <conditionalFormatting sqref="BU120">
    <cfRule type="expression" dxfId="24" priority="40">
      <formula>(BL120=1)</formula>
    </cfRule>
  </conditionalFormatting>
  <conditionalFormatting sqref="BU129:BU132">
    <cfRule type="expression" dxfId="23" priority="78">
      <formula>(BL129=1)</formula>
    </cfRule>
  </conditionalFormatting>
  <conditionalFormatting sqref="BU140">
    <cfRule type="expression" dxfId="22" priority="51">
      <formula>(BL140=1)</formula>
    </cfRule>
  </conditionalFormatting>
  <conditionalFormatting sqref="BU145:BU191 BU203:BU207">
    <cfRule type="expression" dxfId="21" priority="289">
      <formula>(BL145=1)</formula>
    </cfRule>
  </conditionalFormatting>
  <conditionalFormatting sqref="BU192:BU202">
    <cfRule type="expression" dxfId="20" priority="30">
      <formula>(BL192=1)</formula>
    </cfRule>
  </conditionalFormatting>
  <conditionalFormatting sqref="BU208:BU209">
    <cfRule type="expression" dxfId="19" priority="181">
      <formula>(BL208=1)</formula>
    </cfRule>
  </conditionalFormatting>
  <conditionalFormatting sqref="BU210:BU265 BV265:CA265 BV236:CH236">
    <cfRule type="expression" dxfId="18" priority="202">
      <formula>(BL210=1)</formula>
    </cfRule>
  </conditionalFormatting>
  <conditionalFormatting sqref="BU266:BU364 BU461:BU507">
    <cfRule type="expression" dxfId="17" priority="1118">
      <formula>(BL266=1)</formula>
    </cfRule>
  </conditionalFormatting>
  <conditionalFormatting sqref="BU365:BU442">
    <cfRule type="expression" dxfId="16" priority="1">
      <formula>(BL365=1)</formula>
    </cfRule>
  </conditionalFormatting>
  <conditionalFormatting sqref="BU265:CA265">
    <cfRule type="expression" dxfId="15" priority="197">
      <formula>(BL265=1)</formula>
    </cfRule>
    <cfRule type="expression" dxfId="14" priority="198">
      <formula>($BL265=2)</formula>
    </cfRule>
  </conditionalFormatting>
  <conditionalFormatting sqref="BU235:CH235">
    <cfRule type="expression" dxfId="13" priority="480">
      <formula>(BL235=1)</formula>
    </cfRule>
  </conditionalFormatting>
  <conditionalFormatting sqref="CB234:CH234">
    <cfRule type="expression" dxfId="12" priority="337">
      <formula>(BS234=1)</formula>
    </cfRule>
  </conditionalFormatting>
  <conditionalFormatting sqref="CB236:CH236">
    <cfRule type="expression" dxfId="11" priority="212">
      <formula>($BL236=2)</formula>
    </cfRule>
  </conditionalFormatting>
  <conditionalFormatting sqref="CI397">
    <cfRule type="expression" dxfId="10" priority="2744">
      <formula>(BL397=1)</formula>
    </cfRule>
  </conditionalFormatting>
  <conditionalFormatting sqref="DT7:DZ119 DW385:DZ401 DT385:DV428 DW402:EI402 DW403:EA428 DT121:DZ191">
    <cfRule type="cellIs" dxfId="9" priority="71" operator="equal">
      <formula>TRUE</formula>
    </cfRule>
  </conditionalFormatting>
  <conditionalFormatting sqref="DT193:DZ384">
    <cfRule type="cellIs" dxfId="8" priority="20" operator="equal">
      <formula>TRUE</formula>
    </cfRule>
  </conditionalFormatting>
  <conditionalFormatting sqref="DT429:EA438 DT461:EA507">
    <cfRule type="cellIs" dxfId="7" priority="12" operator="equal">
      <formula>TRUE</formula>
    </cfRule>
  </conditionalFormatting>
  <pageMargins left="0.7" right="0.7" top="0.75" bottom="0.75" header="0.3" footer="0.3"/>
  <pageSetup orientation="portrait" horizontalDpi="1200" verticalDpi="1200" r:id="rId1"/>
  <ignoredErrors>
    <ignoredError sqref="CX5 DE5" numberStoredAsText="1"/>
  </ignoredErrors>
  <legacyDrawing r:id="rId2"/>
  <extLst>
    <ext xmlns:x14="http://schemas.microsoft.com/office/spreadsheetml/2009/9/main" uri="{CCE6A557-97BC-4b89-ADB6-D9C93CAAB3DF}">
      <x14:dataValidations xmlns:xm="http://schemas.microsoft.com/office/excel/2006/main" disablePrompts="1" count="10">
        <x14:dataValidation type="list" allowBlank="1" showInputMessage="1" showErrorMessage="1" xr:uid="{00000000-0002-0000-0300-000000000000}">
          <x14:formula1>
            <xm:f>IF($AJ7="Shedding",Ranges!$B$4:$B$5,Ranges!$C$4)</xm:f>
          </x14:formula1>
          <xm:sqref>AU41:AU42 AU203:AU207 AU7:AU38 AU385:AU389 AU103:AU107 AU461:AU507 AU237:AU264 AU210:AU235 AU121:AU123 AU266:AU364 AU51:AU53 AU193:AU200 AU113:AU119 AU145:AU191 AU367:AU383 AU391:AU428 AU430:AU434</xm:sqref>
        </x14:dataValidation>
        <x14:dataValidation type="list" allowBlank="1" showInputMessage="1" showErrorMessage="1" xr:uid="{00000000-0002-0000-0300-000001000000}">
          <x14:formula1>
            <xm:f>IF($AJ39="Shedding",Ranges!$B$4:$B$5,Ranges!$C$4)</xm:f>
          </x14:formula1>
          <xm:sqref>AU43</xm:sqref>
        </x14:dataValidation>
        <x14:dataValidation type="list" allowBlank="1" showInputMessage="1" showErrorMessage="1" xr:uid="{00000000-0002-0000-0300-000002000000}">
          <x14:formula1>
            <xm:f>IF($AJ41="Shedding",Ranges!$B$4:$B$5,Ranges!$C$4)</xm:f>
          </x14:formula1>
          <xm:sqref>AU44</xm:sqref>
        </x14:dataValidation>
        <x14:dataValidation type="list" allowBlank="1" showInputMessage="1" showErrorMessage="1" xr:uid="{00000000-0002-0000-0300-000003000000}">
          <x14:formula1>
            <xm:f>IF($AJ43="Shedding",Ranges!$B$4:$B$5,Ranges!$C$4)</xm:f>
          </x14:formula1>
          <xm:sqref>AU45</xm:sqref>
        </x14:dataValidation>
        <x14:dataValidation type="list" allowBlank="1" showInputMessage="1" showErrorMessage="1" xr:uid="{00000000-0002-0000-0300-000004000000}">
          <x14:formula1>
            <xm:f>Types!$C$4:$C$11</xm:f>
          </x14:formula1>
          <xm:sqref>AJ266:AJ364 AJ7:AJ45 AJ51:AJ53 AJ103:AJ107 AJ461:AJ507 AJ203:AJ207 AJ237:AJ264 AJ210:AJ235 AJ121:AJ123 AJ193:AJ200 AJ113:AJ119 AJ145:AJ191 AJ367:AJ383 AJ385:AJ428 AJ430:AJ434</xm:sqref>
        </x14:dataValidation>
        <x14:dataValidation type="list" allowBlank="1" showInputMessage="1" showErrorMessage="1" xr:uid="{00000000-0002-0000-0300-000005000000}">
          <x14:formula1>
            <xm:f>Types!$D$4:$D$9</xm:f>
          </x14:formula1>
          <xm:sqref>AY266:AY364 AY7:AY45 AY103:AY107 AY461:AY507 AY203:AY207 AY237:AY264 AY210:AY235 AY121:AY123 AY193:AY200 AY51:AY53 AY113:AY119 AY145:AY191 AY367:AY383 AY385:AY428 AY430:AY434</xm:sqref>
        </x14:dataValidation>
        <x14:dataValidation type="list" allowBlank="1" showInputMessage="1" showErrorMessage="1" xr:uid="{00000000-0002-0000-0300-000006000000}">
          <x14:formula1>
            <xm:f>IF($AJ7=Ranges!$A$3,Ranges!$A$4:$A$6,Ranges!$C$4)</xm:f>
          </x14:formula1>
          <xm:sqref>AP203:AP207 AP7:AP45 AP266:AP364 AP103:AP107 AP461:AP507 AP237:AP264 AP210:AP235 AP121:AP123 AP193:AP200 AP51:AP53 AP113:AP119 AP145:AP191 AP367:AP383 AP385:AP428 AP430:AP434</xm:sqref>
        </x14:dataValidation>
        <x14:dataValidation type="list" allowBlank="1" showInputMessage="1" showErrorMessage="1" xr:uid="{1A93677B-D379-4043-A485-1A16A4BB4AFA}">
          <x14:formula1>
            <xm:f>IF($AY7=Ranges!$C$3,Ranges!$C$4,IF($AY7=Ranges!$D$3,Ranges!$D$4,IF($AY7=Ranges!$G$3,Ranges!$G$4,Ranges!$E$4:$E$10)))</xm:f>
          </x14:formula1>
          <xm:sqref>BC266:BC364 BC237:BC264 BC210:BC235 BC121:BC123 BC203:BC207 BC461:BC507 BC193:BC200 BC7:BC53 BC103:BC119 BC145:BC191 BC367:BC383 BC385:BC428 BC430:BC436</xm:sqref>
        </x14:dataValidation>
        <x14:dataValidation type="list" allowBlank="1" showInputMessage="1" showErrorMessage="1" xr:uid="{6D500B1C-1E18-446D-BC87-0B3CF3FDE29C}">
          <x14:formula1>
            <xm:f>HourlyProfiles!$D$3:$Z$3</xm:f>
          </x14:formula1>
          <xm:sqref>AK370:AK383 AK385:AK428 AK430:AK438 AK461:AK507 AK7:AK368</xm:sqref>
        </x14:dataValidation>
        <x14:dataValidation type="list" allowBlank="1" showInputMessage="1" showErrorMessage="1" xr:uid="{D690B8B2-011D-4574-86A4-5670684C9803}">
          <x14:formula1>
            <xm:f>HourlyProfiles!$D$3:$AA$3</xm:f>
          </x14:formula1>
          <xm:sqref>AK369</xm:sqref>
        </x14:dataValidation>
      </x14:dataValidations>
    </ext>
  </extLst>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2">
    <tabColor theme="4" tint="-0.249977111117893"/>
  </sheetPr>
  <dimension ref="A1:MD508"/>
  <sheetViews>
    <sheetView tabSelected="1" zoomScale="70" zoomScaleNormal="70" workbookViewId="0">
      <pane xSplit="6" ySplit="6" topLeftCell="GA126" activePane="bottomRight" state="frozen"/>
      <selection pane="topRight" activeCell="B51" sqref="B51"/>
      <selection pane="bottomLeft" activeCell="B51" sqref="B51"/>
      <selection pane="bottomRight" activeCell="A138" sqref="A138:XFD138"/>
    </sheetView>
  </sheetViews>
  <sheetFormatPr defaultColWidth="18.08984375" defaultRowHeight="14.5" x14ac:dyDescent="0.35"/>
  <cols>
    <col min="1" max="1" width="11.54296875" style="1" bestFit="1" customWidth="1"/>
    <col min="2" max="2" width="11.54296875" style="1" customWidth="1"/>
    <col min="3" max="3" width="10.453125" style="1" customWidth="1"/>
    <col min="4" max="4" width="15.08984375" style="1" bestFit="1" customWidth="1"/>
    <col min="5" max="5" width="49.08984375" style="1" bestFit="1" customWidth="1"/>
    <col min="6" max="6" width="89" style="49" bestFit="1" customWidth="1"/>
    <col min="7" max="7" width="14.90625" style="1" bestFit="1" customWidth="1"/>
    <col min="8" max="8" width="14.90625" style="1" customWidth="1"/>
    <col min="9" max="9" width="16" style="1" bestFit="1" customWidth="1"/>
    <col min="10" max="12" width="16" style="1" customWidth="1"/>
    <col min="13" max="15" width="14.90625" style="1" customWidth="1"/>
    <col min="16" max="16" width="18.08984375" style="1"/>
    <col min="17" max="24" width="17.08984375" style="1" bestFit="1" customWidth="1"/>
    <col min="25" max="25" width="17.08984375" style="1" customWidth="1"/>
    <col min="26" max="26" width="17.08984375" style="1" bestFit="1" customWidth="1"/>
    <col min="27" max="29" width="17.08984375" style="1" customWidth="1"/>
    <col min="30" max="30" width="17.08984375" style="1" bestFit="1" customWidth="1"/>
    <col min="31" max="31" width="17.08984375" style="1" customWidth="1"/>
    <col min="32" max="41" width="17.453125" style="1" customWidth="1"/>
    <col min="42" max="42" width="17.08984375" style="1" customWidth="1"/>
    <col min="43" max="43" width="17.08984375" style="1" bestFit="1" customWidth="1"/>
    <col min="44" max="48" width="17.08984375" style="1" customWidth="1"/>
    <col min="49" max="49" width="17.08984375" style="1" bestFit="1" customWidth="1"/>
    <col min="50" max="50" width="17.08984375" style="1" customWidth="1"/>
    <col min="51" max="51" width="17.08984375" style="1" bestFit="1" customWidth="1"/>
    <col min="52" max="52" width="17.08984375" style="1" customWidth="1"/>
    <col min="53" max="59" width="17.08984375" style="1" bestFit="1" customWidth="1"/>
    <col min="60" max="61" width="17.08984375" style="1" customWidth="1"/>
    <col min="62" max="62" width="17.08984375" style="1" bestFit="1" customWidth="1"/>
    <col min="63" max="184" width="17.08984375" style="1" customWidth="1"/>
    <col min="185" max="185" width="15.90625" style="1" bestFit="1" customWidth="1"/>
    <col min="186" max="186" width="14.90625" style="1" bestFit="1" customWidth="1"/>
    <col min="187" max="187" width="15.90625" style="1" bestFit="1" customWidth="1"/>
    <col min="188" max="189" width="13.90625" style="1" bestFit="1" customWidth="1"/>
    <col min="190" max="16384" width="18.08984375" style="1"/>
  </cols>
  <sheetData>
    <row r="1" spans="1:189" x14ac:dyDescent="0.35">
      <c r="A1" s="2"/>
      <c r="B1" s="2"/>
      <c r="C1" s="2"/>
      <c r="D1" s="2"/>
      <c r="E1" s="2"/>
      <c r="F1" s="45"/>
      <c r="G1" s="2"/>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c r="BA1" s="2"/>
      <c r="BB1" s="2"/>
      <c r="BC1" s="2"/>
      <c r="BD1" s="2"/>
      <c r="BE1" s="2"/>
      <c r="BF1" s="2"/>
      <c r="BG1" s="2"/>
      <c r="BH1" s="2"/>
      <c r="BI1" s="2"/>
      <c r="BJ1" s="2"/>
      <c r="BK1" s="2"/>
      <c r="BL1" s="2"/>
      <c r="BM1" s="2"/>
      <c r="BN1" s="2"/>
      <c r="BO1" s="2"/>
      <c r="BP1" s="2"/>
      <c r="BQ1" s="2"/>
      <c r="BR1" s="2"/>
      <c r="BS1" s="2"/>
      <c r="BT1" s="2"/>
      <c r="BU1" s="2"/>
      <c r="BV1" s="2"/>
      <c r="BW1" s="2"/>
      <c r="BX1" s="2"/>
      <c r="BY1" s="2"/>
      <c r="BZ1" s="2"/>
      <c r="CA1" s="2"/>
      <c r="CB1" s="2"/>
      <c r="CC1" s="2"/>
      <c r="CD1" s="2"/>
      <c r="CE1" s="2"/>
      <c r="CF1" s="2"/>
      <c r="CG1" s="2"/>
      <c r="CH1" s="2"/>
      <c r="CI1" s="2"/>
      <c r="CJ1" s="2"/>
      <c r="CK1" s="2"/>
      <c r="CL1" s="2"/>
      <c r="CM1" s="2"/>
      <c r="CN1" s="2"/>
      <c r="CO1" s="2"/>
      <c r="CP1" s="2"/>
      <c r="CQ1" s="2"/>
      <c r="CR1" s="2"/>
      <c r="CS1" s="2"/>
      <c r="CT1" s="2"/>
      <c r="CU1" s="2"/>
      <c r="CV1" s="2"/>
      <c r="CW1" s="2"/>
      <c r="CX1" s="2"/>
      <c r="CY1" s="2"/>
      <c r="CZ1" s="2"/>
      <c r="DA1" s="2"/>
      <c r="DB1" s="2"/>
      <c r="DC1" s="2"/>
      <c r="DD1" s="2"/>
      <c r="DE1" s="2"/>
      <c r="DF1" s="2"/>
      <c r="DG1" s="2"/>
      <c r="DH1" s="2"/>
      <c r="DI1" s="2"/>
      <c r="DJ1" s="2"/>
      <c r="DK1" s="2"/>
      <c r="DL1" s="2"/>
      <c r="DM1" s="2"/>
      <c r="DN1" s="2"/>
      <c r="DO1" s="2"/>
      <c r="DP1" s="2"/>
      <c r="DQ1" s="2"/>
      <c r="DR1" s="2"/>
      <c r="DS1" s="2"/>
      <c r="DT1" s="2"/>
      <c r="DU1" s="2"/>
      <c r="DV1" s="2"/>
      <c r="DW1" s="2"/>
      <c r="DX1" s="2"/>
      <c r="DY1" s="2"/>
      <c r="DZ1" s="2"/>
      <c r="EA1" s="2"/>
      <c r="EB1" s="2"/>
      <c r="EC1" s="2"/>
      <c r="ED1" s="2"/>
      <c r="EE1" s="2"/>
      <c r="EF1" s="2"/>
      <c r="EG1" s="2"/>
      <c r="EH1" s="2"/>
      <c r="EI1" s="2"/>
      <c r="EJ1" s="2"/>
      <c r="EK1" s="2"/>
      <c r="EL1" s="2"/>
      <c r="EM1" s="2"/>
      <c r="EN1" s="2"/>
      <c r="EO1" s="2"/>
      <c r="EP1" s="2"/>
      <c r="EQ1" s="2"/>
      <c r="ER1" s="2"/>
      <c r="ES1" s="2"/>
      <c r="ET1" s="2"/>
      <c r="EU1" s="2"/>
      <c r="EV1" s="2"/>
      <c r="EW1" s="2"/>
      <c r="EX1" s="2"/>
      <c r="EY1" s="2"/>
      <c r="EZ1" s="2"/>
      <c r="FA1" s="2"/>
      <c r="FB1" s="2"/>
      <c r="FC1" s="2"/>
      <c r="FD1" s="2"/>
      <c r="FE1" s="2"/>
      <c r="FF1" s="2"/>
      <c r="FG1" s="2"/>
      <c r="FH1" s="2"/>
      <c r="FI1" s="2"/>
      <c r="FJ1" s="2"/>
      <c r="FK1" s="2"/>
      <c r="FL1" s="2"/>
      <c r="FM1" s="2"/>
      <c r="FN1" s="2"/>
      <c r="FO1" s="2"/>
      <c r="FP1" s="2"/>
      <c r="FQ1" s="2"/>
      <c r="FR1" s="2"/>
      <c r="FS1" s="2"/>
      <c r="FT1" s="2"/>
      <c r="FU1" s="2"/>
      <c r="FV1" s="2"/>
      <c r="FW1" s="2"/>
      <c r="FX1" s="2"/>
      <c r="FY1" s="2"/>
      <c r="FZ1" s="2"/>
      <c r="GA1" s="2"/>
      <c r="GB1" s="2"/>
      <c r="GC1" s="2"/>
      <c r="GD1" s="2"/>
      <c r="GE1" s="2"/>
      <c r="GF1" s="2"/>
      <c r="GG1" s="2"/>
    </row>
    <row r="2" spans="1:189" x14ac:dyDescent="0.35">
      <c r="A2" s="423" t="s">
        <v>556</v>
      </c>
      <c r="B2" s="423"/>
      <c r="C2" s="423"/>
      <c r="D2" s="423"/>
      <c r="E2" s="423"/>
      <c r="F2" s="423"/>
      <c r="G2" s="426"/>
      <c r="H2" s="426"/>
      <c r="I2" s="426"/>
      <c r="J2" s="426"/>
      <c r="K2" s="426"/>
      <c r="L2" s="426"/>
      <c r="M2" s="426"/>
      <c r="N2" s="426"/>
      <c r="O2" s="426"/>
      <c r="P2" s="77" t="s">
        <v>17</v>
      </c>
      <c r="Q2" s="32" t="s">
        <v>1791</v>
      </c>
      <c r="R2" s="32"/>
      <c r="S2" s="32"/>
      <c r="T2" s="32"/>
      <c r="U2" s="32"/>
      <c r="V2" s="32"/>
      <c r="W2" s="32"/>
      <c r="X2" s="32"/>
      <c r="Y2" s="32"/>
      <c r="Z2" s="32"/>
      <c r="AA2" s="32"/>
      <c r="AB2" s="32"/>
      <c r="AC2" s="32"/>
      <c r="AD2" s="32"/>
      <c r="AE2" s="32"/>
      <c r="AF2" s="32"/>
      <c r="AG2" s="32"/>
      <c r="AH2" s="32"/>
      <c r="AI2" s="32"/>
      <c r="AJ2" s="32"/>
      <c r="AK2" s="32"/>
      <c r="AL2" s="32"/>
      <c r="AM2" s="32"/>
      <c r="AN2" s="32"/>
      <c r="AO2" s="32"/>
      <c r="AP2" s="32"/>
      <c r="AQ2" s="32"/>
      <c r="AR2" s="32"/>
      <c r="AS2" s="32"/>
      <c r="AT2" s="32"/>
      <c r="AU2" s="32"/>
      <c r="AV2" s="32"/>
      <c r="AW2" s="32"/>
      <c r="AX2" s="32"/>
      <c r="AY2" s="32"/>
      <c r="AZ2" s="32"/>
      <c r="BA2" s="32"/>
      <c r="BB2" s="32"/>
      <c r="BC2" s="32"/>
      <c r="BD2" s="32"/>
      <c r="BE2" s="32"/>
      <c r="BF2" s="32"/>
      <c r="BG2" s="32"/>
      <c r="BH2" s="32"/>
      <c r="BI2" s="32"/>
      <c r="BJ2" s="32"/>
      <c r="BK2" s="32"/>
      <c r="BL2" s="32"/>
      <c r="BM2" s="32"/>
      <c r="BN2" s="32"/>
      <c r="BO2" s="32"/>
      <c r="BP2" s="32"/>
      <c r="BQ2" s="32"/>
      <c r="BR2" s="32"/>
      <c r="BS2" s="32"/>
      <c r="BT2" s="32"/>
      <c r="BU2" s="32"/>
      <c r="BV2" s="32"/>
      <c r="BW2" s="32"/>
      <c r="BX2" s="32"/>
      <c r="BY2" s="32"/>
      <c r="BZ2" s="32"/>
      <c r="CA2" s="32"/>
      <c r="CB2" s="32"/>
      <c r="CC2" s="32"/>
      <c r="CD2" s="32"/>
      <c r="CE2" s="32"/>
      <c r="CF2" s="32"/>
      <c r="CG2" s="32"/>
      <c r="CH2" s="32"/>
      <c r="CI2" s="32"/>
      <c r="CJ2" s="32"/>
      <c r="CK2" s="32"/>
      <c r="CL2" s="32"/>
      <c r="CM2" s="32"/>
      <c r="CN2" s="32"/>
      <c r="CO2" s="32"/>
      <c r="CP2" s="32"/>
      <c r="CQ2" s="32"/>
      <c r="CR2" s="32"/>
      <c r="CS2" s="32"/>
      <c r="CT2" s="32"/>
      <c r="CU2" s="32"/>
      <c r="CV2" s="32"/>
      <c r="CW2" s="32"/>
      <c r="CX2" s="32"/>
      <c r="CY2" s="32"/>
      <c r="CZ2" s="32"/>
      <c r="DA2" s="32"/>
      <c r="DB2" s="32"/>
      <c r="DC2" s="32"/>
      <c r="DD2" s="32"/>
      <c r="DE2" s="32"/>
      <c r="DF2" s="32"/>
      <c r="DG2" s="32"/>
      <c r="DH2" s="32"/>
      <c r="DI2" s="32"/>
      <c r="DJ2" s="32"/>
      <c r="DK2" s="32"/>
      <c r="DL2" s="32"/>
      <c r="DM2" s="32"/>
      <c r="DN2" s="32"/>
      <c r="DO2" s="32"/>
      <c r="DP2" s="32"/>
      <c r="DQ2" s="32"/>
      <c r="DR2" s="32"/>
      <c r="DS2" s="32"/>
      <c r="DT2" s="32"/>
      <c r="DU2" s="32"/>
      <c r="DV2" s="32"/>
      <c r="DW2" s="32"/>
      <c r="DX2" s="32"/>
      <c r="DY2" s="32"/>
      <c r="DZ2" s="32"/>
      <c r="EA2" s="32"/>
      <c r="EB2" s="32"/>
      <c r="EC2" s="32"/>
      <c r="ED2" s="32"/>
      <c r="EE2" s="32"/>
      <c r="EF2" s="32"/>
      <c r="EG2" s="32"/>
      <c r="EH2" s="32"/>
      <c r="EI2" s="32"/>
      <c r="EJ2" s="32"/>
      <c r="EK2" s="32"/>
      <c r="EL2" s="32"/>
      <c r="EM2" s="32"/>
      <c r="EN2" s="32"/>
      <c r="EO2" s="32"/>
      <c r="EP2" s="32"/>
      <c r="EQ2" s="32"/>
      <c r="ER2" s="32"/>
      <c r="ES2" s="32"/>
      <c r="ET2" s="32"/>
      <c r="EU2" s="32"/>
      <c r="EV2" s="32"/>
      <c r="EW2" s="32"/>
      <c r="EX2" s="32"/>
      <c r="EY2" s="32"/>
      <c r="EZ2" s="32"/>
      <c r="FA2" s="32"/>
      <c r="FB2" s="32"/>
      <c r="FC2" s="32"/>
      <c r="FD2" s="32"/>
      <c r="FE2" s="32"/>
      <c r="FF2" s="32"/>
      <c r="FG2" s="32"/>
      <c r="FH2" s="32"/>
      <c r="FI2" s="32"/>
      <c r="FJ2" s="32"/>
      <c r="FK2" s="32"/>
      <c r="FL2" s="32"/>
      <c r="FM2" s="32"/>
      <c r="FN2" s="32"/>
      <c r="FO2" s="32"/>
      <c r="FP2" s="32"/>
      <c r="FQ2" s="32"/>
      <c r="FR2" s="32"/>
      <c r="FS2" s="32"/>
      <c r="FT2" s="32"/>
      <c r="FU2" s="32"/>
      <c r="FV2" s="32"/>
      <c r="FW2" s="32"/>
      <c r="FX2" s="32"/>
      <c r="FY2" s="32"/>
      <c r="FZ2" s="32"/>
      <c r="GA2" s="32"/>
      <c r="GB2" s="32"/>
      <c r="GC2" s="74"/>
      <c r="GD2" s="74"/>
      <c r="GE2" s="74"/>
      <c r="GF2" s="74"/>
      <c r="GG2" s="74"/>
    </row>
    <row r="3" spans="1:189" ht="43.5" x14ac:dyDescent="0.35">
      <c r="A3" s="8" t="s">
        <v>572</v>
      </c>
      <c r="B3" s="8" t="s">
        <v>573</v>
      </c>
      <c r="C3" s="8" t="s">
        <v>574</v>
      </c>
      <c r="D3" s="8" t="s">
        <v>575</v>
      </c>
      <c r="E3" s="8" t="s">
        <v>577</v>
      </c>
      <c r="F3" s="46" t="s">
        <v>578</v>
      </c>
      <c r="G3" s="15" t="s">
        <v>1792</v>
      </c>
      <c r="H3" s="15" t="s">
        <v>1793</v>
      </c>
      <c r="I3" s="15" t="s">
        <v>1794</v>
      </c>
      <c r="J3" s="15" t="s">
        <v>1795</v>
      </c>
      <c r="K3" s="15" t="s">
        <v>1796</v>
      </c>
      <c r="L3" s="15" t="s">
        <v>1797</v>
      </c>
      <c r="M3" s="15" t="s">
        <v>1798</v>
      </c>
      <c r="N3" s="15" t="s">
        <v>1799</v>
      </c>
      <c r="O3" s="15" t="s">
        <v>1800</v>
      </c>
      <c r="P3" s="78"/>
      <c r="Q3" s="34" t="s">
        <v>316</v>
      </c>
      <c r="R3" s="34" t="s">
        <v>321</v>
      </c>
      <c r="S3" s="34" t="s">
        <v>323</v>
      </c>
      <c r="T3" s="34" t="s">
        <v>324</v>
      </c>
      <c r="U3" s="34" t="s">
        <v>325</v>
      </c>
      <c r="V3" s="34" t="s">
        <v>326</v>
      </c>
      <c r="W3" s="34" t="s">
        <v>328</v>
      </c>
      <c r="X3" s="34" t="s">
        <v>329</v>
      </c>
      <c r="Y3" s="34" t="s">
        <v>330</v>
      </c>
      <c r="Z3" s="34" t="s">
        <v>331</v>
      </c>
      <c r="AA3" s="34" t="s">
        <v>333</v>
      </c>
      <c r="AB3" s="34" t="s">
        <v>335</v>
      </c>
      <c r="AC3" s="34" t="s">
        <v>337</v>
      </c>
      <c r="AD3" s="34" t="s">
        <v>339</v>
      </c>
      <c r="AE3" s="34" t="s">
        <v>341</v>
      </c>
      <c r="AF3" s="34" t="s">
        <v>343</v>
      </c>
      <c r="AG3" s="34" t="s">
        <v>345</v>
      </c>
      <c r="AH3" s="34" t="s">
        <v>347</v>
      </c>
      <c r="AI3" s="34" t="s">
        <v>349</v>
      </c>
      <c r="AJ3" s="34" t="s">
        <v>351</v>
      </c>
      <c r="AK3" s="34" t="s">
        <v>353</v>
      </c>
      <c r="AL3" s="34" t="s">
        <v>355</v>
      </c>
      <c r="AM3" s="34" t="s">
        <v>357</v>
      </c>
      <c r="AN3" s="34" t="s">
        <v>359</v>
      </c>
      <c r="AO3" s="34" t="s">
        <v>361</v>
      </c>
      <c r="AP3" s="34" t="s">
        <v>363</v>
      </c>
      <c r="AQ3" s="34" t="s">
        <v>365</v>
      </c>
      <c r="AR3" s="34" t="s">
        <v>367</v>
      </c>
      <c r="AS3" s="34" t="s">
        <v>369</v>
      </c>
      <c r="AT3" s="34" t="s">
        <v>371</v>
      </c>
      <c r="AU3" s="34" t="s">
        <v>373</v>
      </c>
      <c r="AV3" s="34" t="s">
        <v>375</v>
      </c>
      <c r="AW3" s="34" t="s">
        <v>376</v>
      </c>
      <c r="AX3" s="34" t="s">
        <v>377</v>
      </c>
      <c r="AY3" s="34" t="s">
        <v>378</v>
      </c>
      <c r="AZ3" s="34" t="s">
        <v>379</v>
      </c>
      <c r="BA3" s="34" t="s">
        <v>381</v>
      </c>
      <c r="BB3" s="34" t="s">
        <v>383</v>
      </c>
      <c r="BC3" s="34" t="s">
        <v>384</v>
      </c>
      <c r="BD3" s="34" t="s">
        <v>385</v>
      </c>
      <c r="BE3" s="34" t="s">
        <v>386</v>
      </c>
      <c r="BF3" s="34" t="s">
        <v>388</v>
      </c>
      <c r="BG3" s="34" t="s">
        <v>389</v>
      </c>
      <c r="BH3" s="34" t="s">
        <v>390</v>
      </c>
      <c r="BI3" s="34" t="s">
        <v>392</v>
      </c>
      <c r="BJ3" s="34" t="s">
        <v>391</v>
      </c>
      <c r="BK3" s="34" t="s">
        <v>393</v>
      </c>
      <c r="BL3" s="34" t="s">
        <v>395</v>
      </c>
      <c r="BM3" s="34" t="s">
        <v>396</v>
      </c>
      <c r="BN3" s="34" t="s">
        <v>397</v>
      </c>
      <c r="BO3" s="34" t="s">
        <v>398</v>
      </c>
      <c r="BP3" s="34" t="s">
        <v>399</v>
      </c>
      <c r="BQ3" s="34" t="s">
        <v>400</v>
      </c>
      <c r="BR3" s="34" t="s">
        <v>401</v>
      </c>
      <c r="BS3" s="34" t="s">
        <v>402</v>
      </c>
      <c r="BT3" s="34" t="s">
        <v>403</v>
      </c>
      <c r="BU3" s="34" t="s">
        <v>404</v>
      </c>
      <c r="BV3" s="34" t="s">
        <v>405</v>
      </c>
      <c r="BW3" s="34" t="s">
        <v>406</v>
      </c>
      <c r="BX3" s="34" t="s">
        <v>407</v>
      </c>
      <c r="BY3" s="34" t="s">
        <v>408</v>
      </c>
      <c r="BZ3" s="34" t="s">
        <v>410</v>
      </c>
      <c r="CA3" s="34" t="s">
        <v>412</v>
      </c>
      <c r="CB3" s="34" t="s">
        <v>413</v>
      </c>
      <c r="CC3" s="34" t="s">
        <v>414</v>
      </c>
      <c r="CD3" s="4" t="s">
        <v>2017</v>
      </c>
      <c r="CE3" s="4" t="s">
        <v>2020</v>
      </c>
      <c r="CF3" s="4" t="s">
        <v>2022</v>
      </c>
      <c r="CG3" s="4" t="s">
        <v>2024</v>
      </c>
      <c r="CH3" s="4" t="s">
        <v>2026</v>
      </c>
      <c r="CI3" s="4" t="s">
        <v>2028</v>
      </c>
      <c r="CJ3" s="4" t="s">
        <v>2030</v>
      </c>
      <c r="CK3" s="4" t="s">
        <v>2032</v>
      </c>
      <c r="CL3" s="4" t="s">
        <v>2034</v>
      </c>
      <c r="CM3" s="4" t="s">
        <v>2035</v>
      </c>
      <c r="CN3" s="4" t="s">
        <v>2037</v>
      </c>
      <c r="CO3" s="150" t="s">
        <v>422</v>
      </c>
      <c r="CP3" s="34" t="s">
        <v>424</v>
      </c>
      <c r="CQ3" s="34" t="s">
        <v>416</v>
      </c>
      <c r="CR3" s="34" t="s">
        <v>420</v>
      </c>
      <c r="CS3" s="34" t="s">
        <v>426</v>
      </c>
      <c r="CT3" s="34" t="s">
        <v>427</v>
      </c>
      <c r="CU3" s="34" t="s">
        <v>428</v>
      </c>
      <c r="CV3" s="34" t="s">
        <v>429</v>
      </c>
      <c r="CW3" s="34" t="s">
        <v>432</v>
      </c>
      <c r="CX3" s="34" t="s">
        <v>430</v>
      </c>
      <c r="CY3" s="34" t="s">
        <v>434</v>
      </c>
      <c r="CZ3" s="34" t="s">
        <v>436</v>
      </c>
      <c r="DA3" s="34" t="s">
        <v>437</v>
      </c>
      <c r="DB3" s="34" t="s">
        <v>439</v>
      </c>
      <c r="DC3" s="34" t="s">
        <v>442</v>
      </c>
      <c r="DD3" s="34" t="s">
        <v>444</v>
      </c>
      <c r="DE3" s="34" t="s">
        <v>446</v>
      </c>
      <c r="DF3" s="34" t="s">
        <v>448</v>
      </c>
      <c r="DG3" s="34" t="s">
        <v>453</v>
      </c>
      <c r="DH3" s="34" t="s">
        <v>455</v>
      </c>
      <c r="DI3" s="34" t="s">
        <v>456</v>
      </c>
      <c r="DJ3" s="34" t="s">
        <v>457</v>
      </c>
      <c r="DK3" s="34" t="s">
        <v>460</v>
      </c>
      <c r="DL3" s="34" t="s">
        <v>461</v>
      </c>
      <c r="DM3" s="34" t="s">
        <v>462</v>
      </c>
      <c r="DN3" s="34" t="s">
        <v>463</v>
      </c>
      <c r="DO3" s="34" t="s">
        <v>464</v>
      </c>
      <c r="DP3" s="34" t="s">
        <v>465</v>
      </c>
      <c r="DQ3" s="34" t="s">
        <v>466</v>
      </c>
      <c r="DR3" s="34" t="s">
        <v>467</v>
      </c>
      <c r="DS3" s="34" t="s">
        <v>470</v>
      </c>
      <c r="DT3" s="34" t="s">
        <v>472</v>
      </c>
      <c r="DU3" s="34" t="s">
        <v>473</v>
      </c>
      <c r="DV3" s="34" t="s">
        <v>474</v>
      </c>
      <c r="DW3" s="34" t="s">
        <v>475</v>
      </c>
      <c r="DX3" s="34" t="s">
        <v>476</v>
      </c>
      <c r="DY3" s="34" t="s">
        <v>477</v>
      </c>
      <c r="DZ3" s="34" t="s">
        <v>479</v>
      </c>
      <c r="EA3" s="34" t="s">
        <v>480</v>
      </c>
      <c r="EB3" s="34" t="s">
        <v>481</v>
      </c>
      <c r="EC3" s="34" t="s">
        <v>482</v>
      </c>
      <c r="ED3" s="34" t="s">
        <v>483</v>
      </c>
      <c r="EE3" s="34" t="s">
        <v>486</v>
      </c>
      <c r="EF3" s="34" t="s">
        <v>487</v>
      </c>
      <c r="EG3" s="34" t="s">
        <v>489</v>
      </c>
      <c r="EH3" s="34" t="s">
        <v>488</v>
      </c>
      <c r="EI3" s="34" t="s">
        <v>490</v>
      </c>
      <c r="EJ3" s="34" t="s">
        <v>491</v>
      </c>
      <c r="EK3" s="34" t="s">
        <v>494</v>
      </c>
      <c r="EL3" s="34" t="s">
        <v>495</v>
      </c>
      <c r="EM3" s="34" t="s">
        <v>496</v>
      </c>
      <c r="EN3" s="34" t="s">
        <v>498</v>
      </c>
      <c r="EO3" s="34" t="s">
        <v>499</v>
      </c>
      <c r="EP3" s="34" t="s">
        <v>501</v>
      </c>
      <c r="EQ3" s="34" t="s">
        <v>503</v>
      </c>
      <c r="ER3" s="34" t="s">
        <v>504</v>
      </c>
      <c r="ES3" s="34" t="s">
        <v>468</v>
      </c>
      <c r="ET3" s="34" t="s">
        <v>505</v>
      </c>
      <c r="EU3" s="34" t="s">
        <v>507</v>
      </c>
      <c r="EV3" s="34" t="s">
        <v>508</v>
      </c>
      <c r="EW3" s="34" t="s">
        <v>510</v>
      </c>
      <c r="EX3" s="34" t="s">
        <v>512</v>
      </c>
      <c r="EY3" s="34" t="s">
        <v>514</v>
      </c>
      <c r="EZ3" s="34" t="s">
        <v>515</v>
      </c>
      <c r="FA3" s="34" t="s">
        <v>516</v>
      </c>
      <c r="FB3" s="34" t="s">
        <v>517</v>
      </c>
      <c r="FC3" s="34" t="s">
        <v>518</v>
      </c>
      <c r="FD3" s="34" t="s">
        <v>519</v>
      </c>
      <c r="FE3" s="34" t="s">
        <v>520</v>
      </c>
      <c r="FF3" s="34" t="s">
        <v>521</v>
      </c>
      <c r="FG3" s="34" t="s">
        <v>522</v>
      </c>
      <c r="FH3" s="34" t="s">
        <v>523</v>
      </c>
      <c r="FI3" s="34" t="s">
        <v>524</v>
      </c>
      <c r="FJ3" s="34" t="s">
        <v>525</v>
      </c>
      <c r="FK3" s="34" t="s">
        <v>527</v>
      </c>
      <c r="FL3" s="34" t="s">
        <v>529</v>
      </c>
      <c r="FM3" s="34" t="s">
        <v>531</v>
      </c>
      <c r="FN3" s="34" t="s">
        <v>532</v>
      </c>
      <c r="FO3" s="34" t="s">
        <v>533</v>
      </c>
      <c r="FP3" s="34" t="s">
        <v>535</v>
      </c>
      <c r="FQ3" s="34" t="s">
        <v>536</v>
      </c>
      <c r="FR3" s="34" t="s">
        <v>537</v>
      </c>
      <c r="FS3" s="34" t="s">
        <v>538</v>
      </c>
      <c r="FT3" s="34" t="s">
        <v>539</v>
      </c>
      <c r="FU3" s="34" t="s">
        <v>540</v>
      </c>
      <c r="FV3" s="34" t="s">
        <v>541</v>
      </c>
      <c r="FW3" s="34" t="s">
        <v>542</v>
      </c>
      <c r="FX3" s="34" t="s">
        <v>543</v>
      </c>
      <c r="FY3" s="34" t="s">
        <v>544</v>
      </c>
      <c r="FZ3" s="34" t="s">
        <v>545</v>
      </c>
      <c r="GA3" s="34" t="s">
        <v>546</v>
      </c>
      <c r="GB3" s="4" t="s">
        <v>547</v>
      </c>
      <c r="GC3" s="75" t="s">
        <v>548</v>
      </c>
      <c r="GD3" s="75" t="s">
        <v>551</v>
      </c>
      <c r="GE3" s="75" t="s">
        <v>552</v>
      </c>
      <c r="GF3" s="75" t="s">
        <v>553</v>
      </c>
      <c r="GG3" s="75" t="s">
        <v>555</v>
      </c>
    </row>
    <row r="4" spans="1:189" x14ac:dyDescent="0.35">
      <c r="A4" s="8"/>
      <c r="B4" s="8"/>
      <c r="C4" s="8"/>
      <c r="D4" s="8"/>
      <c r="E4" s="8"/>
      <c r="F4" s="46"/>
      <c r="G4" s="15"/>
      <c r="H4" s="15"/>
      <c r="I4" s="15" t="s">
        <v>1801</v>
      </c>
      <c r="J4" s="15" t="s">
        <v>1801</v>
      </c>
      <c r="K4" s="15"/>
      <c r="L4" s="15"/>
      <c r="M4" s="15"/>
      <c r="N4" s="15"/>
      <c r="O4" s="15"/>
      <c r="P4" s="78"/>
      <c r="Q4" s="72" t="str">
        <f>IFERROR(VLOOKUP(Q3,Activities!$A$9:$Q$180,16,FALSE)*(1),"")</f>
        <v/>
      </c>
      <c r="R4" s="72" t="str">
        <f>IFERROR(VLOOKUP(R3,Activities!$A$9:$Q$180,16,FALSE)*(1),"")</f>
        <v/>
      </c>
      <c r="S4" s="72" t="str">
        <f>IFERROR(VLOOKUP(S3,Activities!$A$9:$Q$180,16,FALSE)*(1),"")</f>
        <v/>
      </c>
      <c r="T4" s="72" t="str">
        <f>IFERROR(VLOOKUP(T3,Activities!$A$9:$Q$180,16,FALSE)*(1),"")</f>
        <v/>
      </c>
      <c r="U4" s="72" t="str">
        <f>IFERROR(VLOOKUP(U3,Activities!$A$9:$Q$180,16,FALSE)*(1),"")</f>
        <v/>
      </c>
      <c r="V4" s="72" t="str">
        <f>IFERROR(VLOOKUP(V3,Activities!$A$9:$Q$180,16,FALSE)*(1),"")</f>
        <v/>
      </c>
      <c r="W4" s="72" t="str">
        <f>IFERROR(VLOOKUP(W3,Activities!$A$9:$Q$180,16,FALSE)*(1),"")</f>
        <v/>
      </c>
      <c r="X4" s="72" t="str">
        <f>IFERROR(VLOOKUP(X3,Activities!$A$9:$Q$180,16,FALSE)*(1),"")</f>
        <v/>
      </c>
      <c r="Y4" s="72" t="str">
        <f>IFERROR(VLOOKUP(Y3,Activities!$A$9:$Q$180,16,FALSE)*(1),"")</f>
        <v/>
      </c>
      <c r="Z4" s="72" t="str">
        <f>IFERROR(VLOOKUP(Z3,Activities!$A$9:$Q$180,16,FALSE)*(1),"")</f>
        <v/>
      </c>
      <c r="AA4" s="72" t="str">
        <f>IFERROR(VLOOKUP(AA3,Activities!$A$9:$Q$180,16,FALSE)*(1),"")</f>
        <v/>
      </c>
      <c r="AB4" s="72" t="str">
        <f>IFERROR(VLOOKUP(AB3,Activities!$A$9:$Q$180,16,FALSE)*(1),"")</f>
        <v/>
      </c>
      <c r="AC4" s="72" t="str">
        <f>IFERROR(VLOOKUP(AC3,Activities!$A$9:$Q$180,16,FALSE)*(1),"")</f>
        <v/>
      </c>
      <c r="AD4" s="72" t="str">
        <f>IFERROR(VLOOKUP(AD3,Activities!$A$9:$Q$180,16,FALSE)*(1),"")</f>
        <v/>
      </c>
      <c r="AE4" s="72" t="str">
        <f>IFERROR(VLOOKUP(AE3,Activities!$A$9:$Q$180,16,FALSE)*(1),"")</f>
        <v/>
      </c>
      <c r="AF4" s="72" t="str">
        <f>IFERROR(VLOOKUP(AF3,Activities!$A$9:$Q$180,16,FALSE)*(1),"")</f>
        <v/>
      </c>
      <c r="AG4" s="72" t="str">
        <f>IFERROR(VLOOKUP(AG3,Activities!$A$9:$Q$180,16,FALSE)*(1),"")</f>
        <v/>
      </c>
      <c r="AH4" s="72"/>
      <c r="AI4" s="72"/>
      <c r="AJ4" s="72"/>
      <c r="AK4" s="72"/>
      <c r="AL4" s="72"/>
      <c r="AM4" s="72"/>
      <c r="AN4" s="72"/>
      <c r="AO4" s="72"/>
      <c r="AP4" s="72" t="str">
        <f>IFERROR(VLOOKUP(AP3,Activities!$A$9:$Q$180,16,FALSE)*(1),"")</f>
        <v/>
      </c>
      <c r="AQ4" s="72" t="str">
        <f>IFERROR(VLOOKUP(AQ3,Activities!$A$9:$Q$180,16,FALSE)*(1),"")</f>
        <v/>
      </c>
      <c r="AR4" s="72" t="str">
        <f>IFERROR(VLOOKUP(AR3,Activities!$A$9:$Q$180,16,FALSE)*(1),"")</f>
        <v/>
      </c>
      <c r="AS4" s="72" t="str">
        <f>IFERROR(VLOOKUP(AS3,Activities!$A$9:$Q$180,16,FALSE)*(1),"")</f>
        <v/>
      </c>
      <c r="AT4" s="72" t="str">
        <f>IFERROR(VLOOKUP(AT3,Activities!$A$9:$Q$180,16,FALSE)*(1),"")</f>
        <v/>
      </c>
      <c r="AU4" s="72" t="str">
        <f>IFERROR(VLOOKUP(AU3,Activities!$A$9:$Q$180,16,FALSE)*(1),"")</f>
        <v/>
      </c>
      <c r="AV4" s="72" t="str">
        <f>IFERROR(VLOOKUP(AV3,Activities!$A$9:$Q$180,16,FALSE)*(1),"")</f>
        <v/>
      </c>
      <c r="AW4" s="72" t="str">
        <f>IFERROR(VLOOKUP(AW3,Activities!$A$9:$Q$180,16,FALSE)*(1),"")</f>
        <v/>
      </c>
      <c r="AX4" s="72" t="str">
        <f>IFERROR(VLOOKUP(AX3,Activities!$A$9:$Q$180,16,FALSE)*(1),"")</f>
        <v/>
      </c>
      <c r="AY4" s="72" t="str">
        <f>IFERROR(VLOOKUP(AY3,Activities!$A$9:$Q$180,16,FALSE)*(1),"")</f>
        <v/>
      </c>
      <c r="AZ4" s="72" t="str">
        <f>IFERROR(VLOOKUP(AZ3,Activities!$A$9:$Q$180,16,FALSE)*(1),"")</f>
        <v/>
      </c>
      <c r="BA4" s="72" t="str">
        <f>IFERROR(VLOOKUP(BA3,Activities!$A$9:$Q$180,16,FALSE)*(1),"")</f>
        <v/>
      </c>
      <c r="BB4" s="72" t="str">
        <f>IFERROR(VLOOKUP(BB3,Activities!$A$9:$Q$180,16,FALSE)*(1),"")</f>
        <v/>
      </c>
      <c r="BC4" s="72" t="str">
        <f>IFERROR(VLOOKUP(BC3,Activities!$A$9:$Q$180,16,FALSE)*(1),"")</f>
        <v/>
      </c>
      <c r="BD4" s="72" t="str">
        <f>IFERROR(VLOOKUP(BD3,Activities!$A$9:$Q$180,16,FALSE)*(1),"")</f>
        <v/>
      </c>
      <c r="BE4" s="72" t="str">
        <f>IFERROR(VLOOKUP(BE3,Activities!$A$9:$Q$180,16,FALSE)*(1),"")</f>
        <v/>
      </c>
      <c r="BF4" s="72" t="str">
        <f>IFERROR(VLOOKUP(BF3,Activities!$A$9:$Q$180,16,FALSE)*(1),"")</f>
        <v/>
      </c>
      <c r="BG4" s="72" t="str">
        <f>IFERROR(VLOOKUP(BG3,Activities!$A$9:$Q$180,16,FALSE)*(1),"")</f>
        <v/>
      </c>
      <c r="BH4" s="72" t="str">
        <f>IFERROR(VLOOKUP(BH3,Activities!$A$9:$Q$180,16,FALSE)*(1),"")</f>
        <v/>
      </c>
      <c r="BI4" s="72" t="str">
        <f>IFERROR(VLOOKUP(BI3,Activities!$A$9:$Q$180,16,FALSE)*(1),"")</f>
        <v/>
      </c>
      <c r="BJ4" s="72" t="str">
        <f>IFERROR(VLOOKUP(BJ3,Activities!$A$9:$Q$180,16,FALSE)*(1),"")</f>
        <v/>
      </c>
      <c r="BK4" s="72" t="str">
        <f>IFERROR(VLOOKUP(BK3,Activities!$A$9:$Q$180,16,FALSE)*(1),"")</f>
        <v/>
      </c>
      <c r="BL4" s="72" t="str">
        <f>IFERROR(VLOOKUP(BL3,Activities!$A$9:$Q$180,16,FALSE)*(1),"")</f>
        <v/>
      </c>
      <c r="BM4" s="72" t="str">
        <f>IFERROR(VLOOKUP(BM3,Activities!$A$9:$Q$180,16,FALSE)*(1),"")</f>
        <v/>
      </c>
      <c r="BN4" s="72" t="str">
        <f>IFERROR(VLOOKUP(BN3,Activities!$A$9:$Q$180,16,FALSE)*(1),"")</f>
        <v/>
      </c>
      <c r="BO4" s="72" t="str">
        <f>IFERROR(VLOOKUP(BO3,Activities!$A$9:$Q$180,16,FALSE)*(1),"")</f>
        <v/>
      </c>
      <c r="BP4" s="72" t="str">
        <f>IFERROR(VLOOKUP(BP3,Activities!$A$9:$Q$180,16,FALSE)*(1),"")</f>
        <v/>
      </c>
      <c r="BQ4" s="72" t="str">
        <f>IFERROR(VLOOKUP(BQ3,Activities!$A$9:$Q$180,16,FALSE)*(1),"")</f>
        <v/>
      </c>
      <c r="BR4" s="72" t="str">
        <f>IFERROR(VLOOKUP(BR3,Activities!$A$9:$Q$180,16,FALSE)*(1),"")</f>
        <v/>
      </c>
      <c r="BS4" s="72" t="str">
        <f>IFERROR(VLOOKUP(BS3,Activities!$A$9:$Q$180,16,FALSE)*(1),"")</f>
        <v/>
      </c>
      <c r="BT4" s="72" t="str">
        <f>IFERROR(VLOOKUP(BT3,Activities!$A$9:$Q$180,16,FALSE)*(1),"")</f>
        <v/>
      </c>
      <c r="BU4" s="72" t="str">
        <f>IFERROR(VLOOKUP(BU3,Activities!$A$9:$Q$180,16,FALSE)*(1),"")</f>
        <v/>
      </c>
      <c r="BV4" s="72" t="str">
        <f>IFERROR(VLOOKUP(BV3,Activities!$A$9:$Q$180,16,FALSE)*(1),"")</f>
        <v/>
      </c>
      <c r="BW4" s="72" t="str">
        <f>IFERROR(VLOOKUP(BW3,Activities!$A$9:$Q$180,16,FALSE)*(1),"")</f>
        <v/>
      </c>
      <c r="BX4" s="72" t="str">
        <f>IFERROR(VLOOKUP(BX3,Activities!$A$9:$Q$180,16,FALSE)*(1),"")</f>
        <v/>
      </c>
      <c r="BY4" s="72">
        <f>IFERROR(VLOOKUP(BY3,Activities!$A$9:$Q$180,16,FALSE)*(1),"")</f>
        <v>5.6599999999999998E-2</v>
      </c>
      <c r="BZ4" s="72">
        <f>IFERROR(VLOOKUP(BZ3,Activities!$A$9:$Q$180,16,FALSE)*(1),"")</f>
        <v>7.0999999999999994E-2</v>
      </c>
      <c r="CA4" s="72">
        <f>IFERROR(VLOOKUP(CA3,Activities!$A$9:$Q$180,16,FALSE)*(1),"")</f>
        <v>7.2999999999999995E-2</v>
      </c>
      <c r="CB4" s="72">
        <f>IFERROR(VLOOKUP(CB3,Activities!$A$9:$Q$180,16,FALSE)*(1),"")</f>
        <v>7.1999999999999995E-2</v>
      </c>
      <c r="CC4" s="72" t="str">
        <f>IFERROR(VLOOKUP(CC3,Activities!$A$9:$Q$180,16,FALSE)*(1),"")</f>
        <v/>
      </c>
      <c r="CD4" s="72" t="str">
        <f>IFERROR(VLOOKUP(CD3,Activities!$A$9:$Q$180,16,FALSE)*(1),"")</f>
        <v/>
      </c>
      <c r="CE4" s="72" t="str">
        <f>IFERROR(VLOOKUP(CE3,Activities!$A$9:$Q$180,16,FALSE)*(1),"")</f>
        <v/>
      </c>
      <c r="CF4" s="72" t="str">
        <f>IFERROR(VLOOKUP(CF3,Activities!$A$9:$Q$180,16,FALSE)*(1),"")</f>
        <v/>
      </c>
      <c r="CG4" s="72" t="str">
        <f>IFERROR(VLOOKUP(CG3,Activities!$A$9:$Q$180,16,FALSE)*(1),"")</f>
        <v/>
      </c>
      <c r="CH4" s="72" t="str">
        <f>IFERROR(VLOOKUP(CH3,Activities!$A$9:$Q$180,16,FALSE)*(1),"")</f>
        <v/>
      </c>
      <c r="CI4" s="72" t="str">
        <f>IFERROR(VLOOKUP(CI3,Activities!$A$9:$Q$180,16,FALSE)*(1),"")</f>
        <v/>
      </c>
      <c r="CJ4" s="72" t="str">
        <f>IFERROR(VLOOKUP(CJ3,Activities!$A$9:$Q$180,16,FALSE)*(1),"")</f>
        <v/>
      </c>
      <c r="CK4" s="72" t="str">
        <f>IFERROR(VLOOKUP(CK3,Activities!$A$9:$Q$180,16,FALSE)*(1),"")</f>
        <v/>
      </c>
      <c r="CL4" s="72" t="str">
        <f>IFERROR(VLOOKUP(CL3,Activities!$A$9:$Q$180,16,FALSE)*(1),"")</f>
        <v/>
      </c>
      <c r="CM4" s="72" t="str">
        <f>IFERROR(VLOOKUP(CM3,Activities!$A$9:$Q$180,16,FALSE)*(1),"")</f>
        <v/>
      </c>
      <c r="CN4" s="72" t="str">
        <f>IFERROR(VLOOKUP(CN3,Activities!$A$9:$Q$180,16,FALSE)*(1),"")</f>
        <v/>
      </c>
      <c r="CO4" s="72" t="str">
        <f>IFERROR(VLOOKUP(CO3,Activities!$A$9:$Q$180,16,FALSE)*(1),"")</f>
        <v/>
      </c>
      <c r="CP4" s="72" t="str">
        <f>IFERROR(VLOOKUP(CP3,Activities!$A$9:$Q$180,16,FALSE)*(1),"")</f>
        <v/>
      </c>
      <c r="CQ4" s="72"/>
      <c r="CR4" s="72"/>
      <c r="CS4" s="72"/>
      <c r="CT4" s="72"/>
      <c r="CU4" s="72"/>
      <c r="CV4" s="72"/>
      <c r="CW4" s="72"/>
      <c r="CX4" s="72"/>
      <c r="CY4" s="72"/>
      <c r="CZ4" s="72"/>
      <c r="DA4" s="72"/>
      <c r="DB4" s="72"/>
      <c r="DC4" s="72"/>
      <c r="DD4" s="72"/>
      <c r="DE4" s="72"/>
      <c r="DF4" s="72" t="str">
        <f>IFERROR(VLOOKUP(DF3,Activities!$A$9:$Q$180,16,FALSE)*(1),"")</f>
        <v/>
      </c>
      <c r="DG4" s="72" t="str">
        <f>IFERROR(VLOOKUP(DG3,Activities!$A$9:$Q$180,16,FALSE)*(1),"")</f>
        <v/>
      </c>
      <c r="DH4" s="72" t="str">
        <f>IFERROR(VLOOKUP(DH3,Activities!$A$9:$Q$180,16,FALSE)*(1),"")</f>
        <v/>
      </c>
      <c r="DI4" s="72" t="str">
        <f>IFERROR(VLOOKUP(DI3,Activities!$A$9:$Q$180,16,FALSE)*(1),"")</f>
        <v/>
      </c>
      <c r="DJ4" s="72" t="str">
        <f>IFERROR(VLOOKUP(DJ3,Activities!$A$9:$Q$180,16,FALSE)*(1),"")</f>
        <v/>
      </c>
      <c r="DK4" s="72" t="str">
        <f>IFERROR(VLOOKUP(DK3,Activities!$A$9:$Q$180,16,FALSE)*(1),"")</f>
        <v/>
      </c>
      <c r="DL4" s="72" t="str">
        <f>IFERROR(VLOOKUP(DL3,Activities!$A$9:$Q$180,16,FALSE)*(1),"")</f>
        <v/>
      </c>
      <c r="DM4" s="72" t="str">
        <f>IFERROR(VLOOKUP(DM3,Activities!$A$9:$Q$180,16,FALSE)*(1),"")</f>
        <v/>
      </c>
      <c r="DN4" s="72" t="str">
        <f>IFERROR(VLOOKUP(DN3,Activities!$A$9:$Q$180,16,FALSE)*(1),"")</f>
        <v/>
      </c>
      <c r="DO4" s="72" t="str">
        <f>IFERROR(VLOOKUP(DO3,Activities!$A$9:$Q$180,16,FALSE)*(1),"")</f>
        <v/>
      </c>
      <c r="DP4" s="72" t="str">
        <f>IFERROR(VLOOKUP(DP3,Activities!$A$9:$Q$180,16,FALSE)*(1),"")</f>
        <v/>
      </c>
      <c r="DQ4" s="72" t="str">
        <f>IFERROR(VLOOKUP(DQ3,Activities!$A$9:$Q$180,16,FALSE)*(1),"")</f>
        <v/>
      </c>
      <c r="DR4" s="72">
        <f>IFERROR(VLOOKUP(DR3,Activities!$A$9:$Q$180,16,FALSE)*(1),"")</f>
        <v>0.24740000000000001</v>
      </c>
      <c r="DS4" s="72">
        <f>IFERROR(VLOOKUP(DS3,Activities!$A$9:$Q$180,16,FALSE)*(1),"")</f>
        <v>6.3100000000000003E-2</v>
      </c>
      <c r="DT4" s="72">
        <f>IFERROR(VLOOKUP(DT3,Activities!$A$9:$Q$180,16,FALSE)*(1),"")</f>
        <v>7.0999999999999994E-2</v>
      </c>
      <c r="DU4" s="72">
        <f>IFERROR(VLOOKUP(DU3,Activities!$A$9:$Q$180,16,FALSE)*(1),"")</f>
        <v>7.2999999999999995E-2</v>
      </c>
      <c r="DV4" s="72">
        <f>IFERROR(VLOOKUP(DV3,Activities!$A$9:$Q$180,16,FALSE)*(1),"")</f>
        <v>7.1999999999999995E-2</v>
      </c>
      <c r="DW4" s="72">
        <f>IFERROR(VLOOKUP(DW3,Activities!$A$9:$Q$180,16,FALSE)*(1),"")</f>
        <v>7.6999999999999999E-2</v>
      </c>
      <c r="DX4" s="72">
        <f>IFERROR(VLOOKUP(DX3,Activities!$A$9:$Q$180,16,FALSE)*(1),"")</f>
        <v>8.1000000000000003E-2</v>
      </c>
      <c r="DY4" s="72">
        <f>IFERROR(VLOOKUP(DY3,Activities!$A$9:$Q$180,16,FALSE)*(1),"")</f>
        <v>7.0999999999999994E-2</v>
      </c>
      <c r="DZ4" s="72">
        <f>IFERROR(VLOOKUP(DZ3,Activities!$A$9:$Q$180,16,FALSE)*(1),"")</f>
        <v>5.5E-2</v>
      </c>
      <c r="EA4" s="72">
        <f>IFERROR(VLOOKUP(EA3,Activities!$A$9:$Q$180,16,FALSE)*(1),"")</f>
        <v>7.2999999999999995E-2</v>
      </c>
      <c r="EB4" s="72">
        <f>IFERROR(VLOOKUP(EB3,Activities!$A$9:$Q$180,16,FALSE)*(1),"")</f>
        <v>7.1999999999999995E-2</v>
      </c>
      <c r="EC4" s="72">
        <f>IFERROR(VLOOKUP(EC3,Activities!$A$9:$Q$180,16,FALSE)*(1),"")</f>
        <v>6.3100000000000003E-2</v>
      </c>
      <c r="ED4" s="72">
        <f>IFERROR(VLOOKUP(ED3,Activities!$A$9:$Q$180,16,FALSE)*(1),"")</f>
        <v>7.0999999999999994E-2</v>
      </c>
      <c r="EE4" s="72">
        <f>IFERROR(VLOOKUP(EE3,Activities!$A$9:$Q$180,16,FALSE)*(1),"")</f>
        <v>7.2999999999999995E-2</v>
      </c>
      <c r="EF4" s="72">
        <f>IFERROR(VLOOKUP(EF3,Activities!$A$9:$Q$180,16,FALSE)*(1),"")</f>
        <v>7.1999999999999995E-2</v>
      </c>
      <c r="EG4" s="72">
        <f>IFERROR(VLOOKUP(EG3,Activities!$A$9:$Q$180,16,FALSE)*(1),"")</f>
        <v>7.3999999999999996E-2</v>
      </c>
      <c r="EH4" s="72">
        <f>IFERROR(VLOOKUP(EH3,Activities!$A$9:$Q$180,16,FALSE)*(1),"")</f>
        <v>7.1999999999999995E-2</v>
      </c>
      <c r="EI4" s="72">
        <f>IFERROR(VLOOKUP(EI3,Activities!$A$9:$Q$180,16,FALSE)*(1),"")</f>
        <v>6.8000000000000005E-2</v>
      </c>
      <c r="EJ4" s="72">
        <f>IFERROR(VLOOKUP(EJ3,Activities!$A$9:$Q$180,16,FALSE)*(1),"")</f>
        <v>5.6599999999999998E-2</v>
      </c>
      <c r="EK4" s="72">
        <f>IFERROR(VLOOKUP(EK3,Activities!$A$9:$Q$180,16,FALSE)*(1),"")</f>
        <v>5.6599999999999998E-2</v>
      </c>
      <c r="EL4" s="72">
        <f>IFERROR(VLOOKUP(EL3,Activities!$A$9:$Q$180,16,FALSE)*(1),"")</f>
        <v>5.6599999999999998E-2</v>
      </c>
      <c r="EM4" s="72">
        <f>IFERROR(VLOOKUP(EM3,Activities!$A$9:$Q$180,16,FALSE)*(1),"")</f>
        <v>0</v>
      </c>
      <c r="EN4" s="72">
        <f>IFERROR(VLOOKUP(EN3,Activities!$A$9:$Q$180,16,FALSE)*(1),"")</f>
        <v>0</v>
      </c>
      <c r="EO4" s="72">
        <f>IFERROR(VLOOKUP(EO3,Activities!$A$9:$Q$180,16,FALSE)*(1),"")</f>
        <v>0</v>
      </c>
      <c r="EP4" s="72">
        <f>IFERROR(VLOOKUP(EP3,Activities!$A$9:$Q$180,16,FALSE)*(1),"")</f>
        <v>7.0999999999999994E-2</v>
      </c>
      <c r="EQ4" s="72">
        <f>IFERROR(VLOOKUP(EQ3,Activities!$A$9:$Q$180,16,FALSE)*(1),"")</f>
        <v>0</v>
      </c>
      <c r="ER4" s="72">
        <f>IFERROR(VLOOKUP(ER3,Activities!$A$9:$Q$180,16,FALSE)*(1),"")</f>
        <v>0.1096</v>
      </c>
      <c r="ES4" s="72">
        <f>IFERROR(VLOOKUP(ES3,Activities!$A$9:$Q$180,16,FALSE)*(1),"")</f>
        <v>9.8299999999999998E-2</v>
      </c>
      <c r="ET4" s="72">
        <f>IFERROR(VLOOKUP(ET3,Activities!$A$9:$Q$180,16,FALSE)*(1),"")</f>
        <v>7.3300000000000004E-2</v>
      </c>
      <c r="EU4" s="72">
        <f>IFERROR(VLOOKUP(EU3,Activities!$A$9:$Q$180,16,FALSE)*(1),"")</f>
        <v>5.6599999999999998E-2</v>
      </c>
      <c r="EV4" s="72">
        <f>IFERROR(VLOOKUP(EV3,Activities!$A$9:$Q$180,16,FALSE)*(1),"")</f>
        <v>0</v>
      </c>
      <c r="EW4" s="72">
        <f>IFERROR(VLOOKUP(EW3,Activities!$A$9:$Q$180,16,FALSE)*(1),"")</f>
        <v>0.1074</v>
      </c>
      <c r="EX4" s="72">
        <f>IFERROR(VLOOKUP(EX3,Activities!$A$9:$Q$180,16,FALSE)*(1),"")</f>
        <v>2.3833333333333333</v>
      </c>
      <c r="EY4" s="72">
        <f>IFERROR(VLOOKUP(EY3,Activities!$A$9:$Q$180,16,FALSE)*(1),"")</f>
        <v>0.10604077689648159</v>
      </c>
      <c r="EZ4" s="72">
        <f>IFERROR(VLOOKUP(EZ3,Activities!$A$9:$Q$180,16,FALSE)*(1),"")</f>
        <v>5.4166666666666669E-2</v>
      </c>
      <c r="FA4" s="72">
        <f>IFERROR(VLOOKUP(FA3,Activities!$A$9:$Q$180,16,FALSE)*(1),"")</f>
        <v>0.1096</v>
      </c>
      <c r="FB4" s="72">
        <f>IFERROR(VLOOKUP(FB3,Activities!$A$9:$Q$180,16,FALSE)*(1),"")</f>
        <v>0.1096</v>
      </c>
      <c r="FC4" s="72">
        <f>IFERROR(VLOOKUP(FC3,Activities!$A$9:$Q$180,16,FALSE)*(1),"")</f>
        <v>0.1096</v>
      </c>
      <c r="FD4" s="72">
        <f>IFERROR(VLOOKUP(FD3,Activities!$A$9:$Q$180,16,FALSE)*(1),"")</f>
        <v>0.1096</v>
      </c>
      <c r="FE4" s="72">
        <f>IFERROR(VLOOKUP(FE3,Activities!$A$9:$Q$180,16,FALSE)*(1),"")</f>
        <v>0.1096</v>
      </c>
      <c r="FF4" s="72">
        <f>IFERROR(VLOOKUP(FF3,Activities!$A$9:$Q$180,16,FALSE)*(1),"")</f>
        <v>0.1096</v>
      </c>
      <c r="FG4" s="72">
        <f>IFERROR(VLOOKUP(FG3,Activities!$A$9:$Q$180,16,FALSE)*(1),"")</f>
        <v>0.1096</v>
      </c>
      <c r="FH4" s="72">
        <f>IFERROR(VLOOKUP(FH3,Activities!$A$9:$Q$180,16,FALSE)*(1),"")</f>
        <v>7.1199999999999999E-2</v>
      </c>
      <c r="FI4" s="72">
        <f>IFERROR(VLOOKUP(FI3,Activities!$A$9:$Q$180,16,FALSE)*(1),"")</f>
        <v>5.6599999999999998E-2</v>
      </c>
      <c r="FJ4" s="72">
        <f>IFERROR(VLOOKUP(FJ3,Activities!$A$9:$Q$180,16,FALSE)*(1),"")</f>
        <v>0</v>
      </c>
      <c r="FK4" s="72">
        <f>IFERROR(VLOOKUP(FK3,Activities!$A$9:$Q$180,16,FALSE)*(1),"")</f>
        <v>0</v>
      </c>
      <c r="FL4" s="72">
        <f>IFERROR(VLOOKUP(FL3,Activities!$A$9:$Q$180,16,FALSE)*(1),"")</f>
        <v>0</v>
      </c>
      <c r="FM4" s="72">
        <f>IFERROR(VLOOKUP(FM3,Activities!$A$9:$Q$180,16,FALSE)*(1),"")</f>
        <v>0</v>
      </c>
      <c r="FN4" s="72">
        <f>IFERROR(VLOOKUP(FN3,Activities!$A$9:$Q$180,16,FALSE)*(1),"")</f>
        <v>0</v>
      </c>
      <c r="FO4" s="72" t="str">
        <f>IFERROR(VLOOKUP(FO3,Activities!$A$9:$Q$180,16,FALSE)*(1),"")</f>
        <v/>
      </c>
      <c r="FP4" s="72" t="str">
        <f>IFERROR(VLOOKUP(FP3,Activities!$A$9:$Q$180,16,FALSE)*(1),"")</f>
        <v/>
      </c>
      <c r="FQ4" s="72" t="str">
        <f>IFERROR(VLOOKUP(FQ3,Activities!$A$9:$Q$180,16,FALSE)*(1),"")</f>
        <v/>
      </c>
      <c r="FR4" s="72" t="str">
        <f>IFERROR(VLOOKUP(FR3,Activities!$A$9:$Q$180,16,FALSE)*(1),"")</f>
        <v/>
      </c>
      <c r="FS4" s="72" t="str">
        <f>IFERROR(VLOOKUP(FS3,Activities!$A$9:$Q$180,16,FALSE)*(1),"")</f>
        <v/>
      </c>
      <c r="FT4" s="72" t="str">
        <f>IFERROR(VLOOKUP(FT3,Activities!$A$9:$Q$180,16,FALSE)*(1),"")</f>
        <v/>
      </c>
      <c r="FU4" s="72" t="str">
        <f>IFERROR(VLOOKUP(FU3,Activities!$A$9:$Q$180,16,FALSE)*(1),"")</f>
        <v/>
      </c>
      <c r="FV4" s="72" t="str">
        <f>IFERROR(VLOOKUP(FV3,Activities!$A$9:$Q$180,16,FALSE)*(1),"")</f>
        <v/>
      </c>
      <c r="FW4" s="72" t="str">
        <f>IFERROR(VLOOKUP(FW3,Activities!$A$9:$Q$180,16,FALSE)*(1),"")</f>
        <v/>
      </c>
      <c r="FX4" s="72" t="str">
        <f>IFERROR(VLOOKUP(FX3,Activities!$A$9:$Q$180,16,FALSE)*(1),"")</f>
        <v/>
      </c>
      <c r="FY4" s="72" t="str">
        <f>IFERROR(VLOOKUP(FY3,Activities!$A$9:$Q$180,16,FALSE)*(1),"")</f>
        <v/>
      </c>
      <c r="FZ4" s="72" t="str">
        <f>IFERROR(VLOOKUP(FZ3,Activities!$A$9:$Q$180,16,FALSE)*(1),"")</f>
        <v/>
      </c>
      <c r="GA4" s="72" t="str">
        <f>IFERROR(VLOOKUP(GA3,Activities!$A$9:$Q$180,16,FALSE)*(1),"")</f>
        <v/>
      </c>
      <c r="GB4" s="72" t="str">
        <f>IFERROR(VLOOKUP(GB3,Activities!$A$9:$Q$180,16,FALSE)*(1),"")</f>
        <v/>
      </c>
      <c r="GC4" s="76" t="s">
        <v>320</v>
      </c>
      <c r="GD4" s="76" t="s">
        <v>320</v>
      </c>
      <c r="GE4" s="76" t="s">
        <v>320</v>
      </c>
      <c r="GF4" s="76" t="s">
        <v>320</v>
      </c>
      <c r="GG4" s="76" t="s">
        <v>320</v>
      </c>
    </row>
    <row r="5" spans="1:189" x14ac:dyDescent="0.35">
      <c r="A5" s="8"/>
      <c r="B5" s="8"/>
      <c r="C5" s="8"/>
      <c r="D5" s="8"/>
      <c r="E5" s="8"/>
      <c r="F5" s="46"/>
      <c r="G5" s="15" t="s">
        <v>1802</v>
      </c>
      <c r="H5" s="15" t="s">
        <v>1802</v>
      </c>
      <c r="I5" s="15" t="s">
        <v>1802</v>
      </c>
      <c r="J5" s="15" t="s">
        <v>1802</v>
      </c>
      <c r="K5" s="15" t="s">
        <v>1802</v>
      </c>
      <c r="L5" s="15" t="s">
        <v>1802</v>
      </c>
      <c r="M5" s="15" t="s">
        <v>1802</v>
      </c>
      <c r="N5" s="15" t="s">
        <v>1802</v>
      </c>
      <c r="O5" s="15" t="s">
        <v>1802</v>
      </c>
      <c r="P5" s="78"/>
      <c r="Q5" s="72" t="str">
        <f>IFERROR(VLOOKUP(Q3,Activities!$A$9:$Q$180,16,FALSE)*(1-VLOOKUP(Q3,Activities!$A$9:$Q$180,17,FALSE)),"")</f>
        <v/>
      </c>
      <c r="R5" s="72" t="str">
        <f>IFERROR(VLOOKUP(R3,Activities!$A$9:$Q$180,16,FALSE)*(1-VLOOKUP(R3,Activities!$A$9:$Q$180,17,FALSE)),"")</f>
        <v/>
      </c>
      <c r="S5" s="72" t="str">
        <f>IFERROR(VLOOKUP(S3,Activities!$A$9:$Q$180,16,FALSE)*(1-VLOOKUP(S3,Activities!$A$9:$Q$180,17,FALSE)),"")</f>
        <v/>
      </c>
      <c r="T5" s="72" t="str">
        <f>IFERROR(VLOOKUP(T3,Activities!$A$9:$Q$180,16,FALSE)*(1-VLOOKUP(T3,Activities!$A$9:$Q$180,17,FALSE)),"")</f>
        <v/>
      </c>
      <c r="U5" s="72" t="str">
        <f>IFERROR(VLOOKUP(U3,Activities!$A$9:$Q$180,16,FALSE)*(1-VLOOKUP(U3,Activities!$A$9:$Q$180,17,FALSE)),"")</f>
        <v/>
      </c>
      <c r="V5" s="72" t="str">
        <f>IFERROR(VLOOKUP(V3,Activities!$A$9:$Q$180,16,FALSE)*(1-VLOOKUP(V3,Activities!$A$9:$Q$180,17,FALSE)),"")</f>
        <v/>
      </c>
      <c r="W5" s="72" t="str">
        <f>IFERROR(VLOOKUP(W3,Activities!$A$9:$Q$180,16,FALSE)*(1-VLOOKUP(W3,Activities!$A$9:$Q$180,17,FALSE)),"")</f>
        <v/>
      </c>
      <c r="X5" s="72" t="str">
        <f>IFERROR(VLOOKUP(X3,Activities!$A$9:$Q$180,16,FALSE)*(1-VLOOKUP(X3,Activities!$A$9:$Q$180,17,FALSE)),"")</f>
        <v/>
      </c>
      <c r="Y5" s="72" t="str">
        <f>IFERROR(VLOOKUP(Y3,Activities!$A$9:$Q$180,16,FALSE)*(1-VLOOKUP(Y3,Activities!$A$9:$Q$180,17,FALSE)),"")</f>
        <v/>
      </c>
      <c r="Z5" s="72" t="str">
        <f>IFERROR(VLOOKUP(Z3,Activities!$A$9:$Q$180,16,FALSE)*(1-VLOOKUP(Z3,Activities!$A$9:$Q$180,17,FALSE)),"")</f>
        <v/>
      </c>
      <c r="AA5" s="72" t="str">
        <f>IFERROR(VLOOKUP(AA3,Activities!$A$9:$Q$180,16,FALSE)*(1-VLOOKUP(AA3,Activities!$A$9:$Q$180,17,FALSE)),"")</f>
        <v/>
      </c>
      <c r="AB5" s="72" t="str">
        <f>IFERROR(VLOOKUP(AB3,Activities!$A$9:$Q$180,16,FALSE)*(1-VLOOKUP(AB3,Activities!$A$9:$Q$180,17,FALSE)),"")</f>
        <v/>
      </c>
      <c r="AC5" s="72" t="str">
        <f>IFERROR(VLOOKUP(AC3,Activities!$A$9:$Q$180,16,FALSE)*(1-VLOOKUP(AC3,Activities!$A$9:$Q$180,17,FALSE)),"")</f>
        <v/>
      </c>
      <c r="AD5" s="72" t="str">
        <f>IFERROR(VLOOKUP(AD3,Activities!$A$9:$Q$180,16,FALSE)*(1-VLOOKUP(AD3,Activities!$A$9:$Q$180,17,FALSE)),"")</f>
        <v/>
      </c>
      <c r="AE5" s="72" t="str">
        <f>IFERROR(VLOOKUP(AE3,Activities!$A$9:$Q$180,16,FALSE)*(1-VLOOKUP(AE3,Activities!$A$9:$Q$180,17,FALSE)),"")</f>
        <v/>
      </c>
      <c r="AF5" s="72" t="str">
        <f>IFERROR(VLOOKUP(AF3,Activities!$A$9:$Q$180,16,FALSE)*(1-VLOOKUP(AF3,Activities!$A$9:$Q$180,17,FALSE)),"")</f>
        <v/>
      </c>
      <c r="AG5" s="72" t="str">
        <f>IFERROR(VLOOKUP(AG3,Activities!$A$9:$Q$180,16,FALSE)*(1-VLOOKUP(AG3,Activities!$A$9:$Q$180,17,FALSE)),"")</f>
        <v/>
      </c>
      <c r="AH5" s="72" t="str">
        <f>IFERROR(VLOOKUP(AH3,Activities!$A$9:$Q$180,16,FALSE)*(1-VLOOKUP(AH3,Activities!$A$9:$Q$180,17,FALSE)),"")</f>
        <v/>
      </c>
      <c r="AI5" s="72" t="str">
        <f>IFERROR(VLOOKUP(AI3,Activities!$A$9:$Q$180,16,FALSE)*(1-VLOOKUP(AI3,Activities!$A$9:$Q$180,17,FALSE)),"")</f>
        <v/>
      </c>
      <c r="AJ5" s="72" t="str">
        <f>IFERROR(VLOOKUP(AJ3,Activities!$A$9:$Q$180,16,FALSE)*(1-VLOOKUP(AJ3,Activities!$A$9:$Q$180,17,FALSE)),"")</f>
        <v/>
      </c>
      <c r="AK5" s="72" t="str">
        <f>IFERROR(VLOOKUP(AK3,Activities!$A$9:$Q$180,16,FALSE)*(1-VLOOKUP(AK3,Activities!$A$9:$Q$180,17,FALSE)),"")</f>
        <v/>
      </c>
      <c r="AL5" s="72" t="str">
        <f>IFERROR(VLOOKUP(AL3,Activities!$A$9:$Q$180,16,FALSE)*(1-VLOOKUP(AL3,Activities!$A$9:$Q$180,17,FALSE)),"")</f>
        <v/>
      </c>
      <c r="AM5" s="72" t="str">
        <f>IFERROR(VLOOKUP(AM3,Activities!$A$9:$Q$180,16,FALSE)*(1-VLOOKUP(AM3,Activities!$A$9:$Q$180,17,FALSE)),"")</f>
        <v/>
      </c>
      <c r="AN5" s="72" t="str">
        <f>IFERROR(VLOOKUP(AN3,Activities!$A$9:$Q$180,16,FALSE)*(1-VLOOKUP(AN3,Activities!$A$9:$Q$180,17,FALSE)),"")</f>
        <v/>
      </c>
      <c r="AO5" s="72" t="str">
        <f>IFERROR(VLOOKUP(AO3,Activities!$A$9:$Q$180,16,FALSE)*(1-VLOOKUP(AO3,Activities!$A$9:$Q$180,17,FALSE)),"")</f>
        <v/>
      </c>
      <c r="AP5" s="72" t="str">
        <f>IFERROR(VLOOKUP(AP3,Activities!$A$9:$Q$180,16,FALSE)*(1-VLOOKUP(AP3,Activities!$A$9:$Q$180,17,FALSE)),"")</f>
        <v/>
      </c>
      <c r="AQ5" s="72" t="str">
        <f>IFERROR(VLOOKUP(AQ3,Activities!$A$9:$Q$180,16,FALSE)*(1-VLOOKUP(AQ3,Activities!$A$9:$Q$180,17,FALSE)),"")</f>
        <v/>
      </c>
      <c r="AR5" s="72" t="str">
        <f>IFERROR(VLOOKUP(AR3,Activities!$A$9:$Q$180,16,FALSE)*(1-VLOOKUP(AR3,Activities!$A$9:$Q$180,17,FALSE)),"")</f>
        <v/>
      </c>
      <c r="AS5" s="72" t="str">
        <f>IFERROR(VLOOKUP(AS3,Activities!$A$9:$Q$180,16,FALSE)*(1-VLOOKUP(AS3,Activities!$A$9:$Q$180,17,FALSE)),"")</f>
        <v/>
      </c>
      <c r="AT5" s="72" t="str">
        <f>IFERROR(VLOOKUP(AT3,Activities!$A$9:$Q$180,16,FALSE)*(1-VLOOKUP(AT3,Activities!$A$9:$Q$180,17,FALSE)),"")</f>
        <v/>
      </c>
      <c r="AU5" s="72" t="str">
        <f>IFERROR(VLOOKUP(AU3,Activities!$A$9:$Q$180,16,FALSE)*(1-VLOOKUP(AU3,Activities!$A$9:$Q$180,17,FALSE)),"")</f>
        <v/>
      </c>
      <c r="AV5" s="72" t="str">
        <f>IFERROR(VLOOKUP(AV3,Activities!$A$9:$Q$180,16,FALSE)*(1-VLOOKUP(AV3,Activities!$A$9:$Q$180,17,FALSE)),"")</f>
        <v/>
      </c>
      <c r="AW5" s="72" t="str">
        <f>IFERROR(VLOOKUP(AW3,Activities!$A$9:$Q$180,16,FALSE)*(1-VLOOKUP(AW3,Activities!$A$9:$Q$180,17,FALSE)),"")</f>
        <v/>
      </c>
      <c r="AX5" s="72" t="str">
        <f>IFERROR(VLOOKUP(AX3,Activities!$A$9:$Q$180,16,FALSE)*(1-VLOOKUP(AX3,Activities!$A$9:$Q$180,17,FALSE)),"")</f>
        <v/>
      </c>
      <c r="AY5" s="72" t="str">
        <f>IFERROR(VLOOKUP(AY3,Activities!$A$9:$Q$180,16,FALSE)*(1-VLOOKUP(AY3,Activities!$A$9:$Q$180,17,FALSE)),"")</f>
        <v/>
      </c>
      <c r="AZ5" s="72" t="str">
        <f>IFERROR(VLOOKUP(AZ3,Activities!$A$9:$Q$180,16,FALSE)*(1-VLOOKUP(AZ3,Activities!$A$9:$Q$180,17,FALSE)),"")</f>
        <v/>
      </c>
      <c r="BA5" s="72" t="str">
        <f>IFERROR(VLOOKUP(BA3,Activities!$A$9:$Q$180,16,FALSE)*(1-VLOOKUP(BA3,Activities!$A$9:$Q$180,17,FALSE)),"")</f>
        <v/>
      </c>
      <c r="BB5" s="72" t="str">
        <f>IFERROR(VLOOKUP(BB3,Activities!$A$9:$Q$180,16,FALSE)*(1-VLOOKUP(BB3,Activities!$A$9:$Q$180,17,FALSE)),"")</f>
        <v/>
      </c>
      <c r="BC5" s="72" t="str">
        <f>IFERROR(VLOOKUP(BC3,Activities!$A$9:$Q$180,16,FALSE)*(1-VLOOKUP(BC3,Activities!$A$9:$Q$180,17,FALSE)),"")</f>
        <v/>
      </c>
      <c r="BD5" s="72" t="str">
        <f>IFERROR(VLOOKUP(BD3,Activities!$A$9:$Q$180,16,FALSE)*(1-VLOOKUP(BD3,Activities!$A$9:$Q$180,17,FALSE)),"")</f>
        <v/>
      </c>
      <c r="BE5" s="72" t="str">
        <f>IFERROR(VLOOKUP(BE3,Activities!$A$9:$Q$180,16,FALSE)*(1-VLOOKUP(BE3,Activities!$A$9:$Q$180,17,FALSE)),"")</f>
        <v/>
      </c>
      <c r="BF5" s="72" t="str">
        <f>IFERROR(VLOOKUP(BF3,Activities!$A$9:$Q$180,16,FALSE)*(1-VLOOKUP(BF3,Activities!$A$9:$Q$180,17,FALSE)),"")</f>
        <v/>
      </c>
      <c r="BG5" s="72" t="str">
        <f>IFERROR(VLOOKUP(BG3,Activities!$A$9:$Q$180,16,FALSE)*(1-VLOOKUP(BG3,Activities!$A$9:$Q$180,17,FALSE)),"")</f>
        <v/>
      </c>
      <c r="BH5" s="72" t="str">
        <f>IFERROR(VLOOKUP(BH3,Activities!$A$9:$Q$180,16,FALSE)*(1-VLOOKUP(BH3,Activities!$A$9:$Q$180,17,FALSE)),"")</f>
        <v/>
      </c>
      <c r="BI5" s="72" t="str">
        <f>IFERROR(VLOOKUP(BI3,Activities!$A$9:$Q$180,16,FALSE)*(1-VLOOKUP(BI3,Activities!$A$9:$Q$180,17,FALSE)),"")</f>
        <v/>
      </c>
      <c r="BJ5" s="72" t="str">
        <f>IFERROR(VLOOKUP(BJ3,Activities!$A$9:$Q$180,16,FALSE)*(1-VLOOKUP(BJ3,Activities!$A$9:$Q$180,17,FALSE)),"")</f>
        <v/>
      </c>
      <c r="BK5" s="72" t="str">
        <f>IFERROR(VLOOKUP(BK3,Activities!$A$9:$Q$180,16,FALSE)*(1-VLOOKUP(BK3,Activities!$A$9:$Q$180,17,FALSE)),"")</f>
        <v/>
      </c>
      <c r="BL5" s="72" t="str">
        <f>IFERROR(VLOOKUP(BL3,Activities!$A$9:$Q$180,16,FALSE)*(1-VLOOKUP(BL3,Activities!$A$9:$Q$180,17,FALSE)),"")</f>
        <v/>
      </c>
      <c r="BM5" s="72" t="str">
        <f>IFERROR(VLOOKUP(BM3,Activities!$A$9:$Q$180,16,FALSE)*(1-VLOOKUP(BM3,Activities!$A$9:$Q$180,17,FALSE)),"")</f>
        <v/>
      </c>
      <c r="BN5" s="72" t="str">
        <f>IFERROR(VLOOKUP(BN3,Activities!$A$9:$Q$180,16,FALSE)*(1-VLOOKUP(BN3,Activities!$A$9:$Q$180,17,FALSE)),"")</f>
        <v/>
      </c>
      <c r="BO5" s="72" t="str">
        <f>IFERROR(VLOOKUP(BO3,Activities!$A$9:$Q$180,16,FALSE)*(1-VLOOKUP(BO3,Activities!$A$9:$Q$180,17,FALSE)),"")</f>
        <v/>
      </c>
      <c r="BP5" s="72" t="str">
        <f>IFERROR(VLOOKUP(BP3,Activities!$A$9:$Q$180,16,FALSE)*(1-VLOOKUP(BP3,Activities!$A$9:$Q$180,17,FALSE)),"")</f>
        <v/>
      </c>
      <c r="BQ5" s="72" t="str">
        <f>IFERROR(VLOOKUP(BQ3,Activities!$A$9:$Q$180,16,FALSE)*(1-VLOOKUP(BQ3,Activities!$A$9:$Q$180,17,FALSE)),"")</f>
        <v/>
      </c>
      <c r="BR5" s="72" t="str">
        <f>IFERROR(VLOOKUP(BR3,Activities!$A$9:$Q$180,16,FALSE)*(1-VLOOKUP(BR3,Activities!$A$9:$Q$180,17,FALSE)),"")</f>
        <v/>
      </c>
      <c r="BS5" s="72" t="str">
        <f>IFERROR(VLOOKUP(BS3,Activities!$A$9:$Q$180,16,FALSE)*(1-VLOOKUP(BS3,Activities!$A$9:$Q$180,17,FALSE)),"")</f>
        <v/>
      </c>
      <c r="BT5" s="72" t="str">
        <f>IFERROR(VLOOKUP(BT3,Activities!$A$9:$Q$180,16,FALSE)*(1-VLOOKUP(BT3,Activities!$A$9:$Q$180,17,FALSE)),"")</f>
        <v/>
      </c>
      <c r="BU5" s="72" t="str">
        <f>IFERROR(VLOOKUP(BU3,Activities!$A$9:$Q$180,16,FALSE)*(1-VLOOKUP(BU3,Activities!$A$9:$Q$180,17,FALSE)),"")</f>
        <v/>
      </c>
      <c r="BV5" s="72" t="str">
        <f>IFERROR(VLOOKUP(BV3,Activities!$A$9:$Q$180,16,FALSE)*(1-VLOOKUP(BV3,Activities!$A$9:$Q$180,17,FALSE)),"")</f>
        <v/>
      </c>
      <c r="BW5" s="72" t="str">
        <f>IFERROR(VLOOKUP(BW3,Activities!$A$9:$Q$180,16,FALSE)*(1-VLOOKUP(BW3,Activities!$A$9:$Q$180,17,FALSE)),"")</f>
        <v/>
      </c>
      <c r="BX5" s="72" t="str">
        <f>IFERROR(VLOOKUP(BX3,Activities!$A$9:$Q$180,16,FALSE)*(1-VLOOKUP(BX3,Activities!$A$9:$Q$180,17,FALSE)),"")</f>
        <v/>
      </c>
      <c r="BY5" s="72">
        <f>IFERROR(VLOOKUP(BY3,Activities!$A$9:$Q$180,16,FALSE)*(1-VLOOKUP(BY3,Activities!$A$9:$Q$180,17,FALSE)),"")</f>
        <v>5.6599999999999998E-2</v>
      </c>
      <c r="BZ5" s="72">
        <f>IFERROR(VLOOKUP(BZ3,Activities!$A$9:$Q$180,16,FALSE)*(1-VLOOKUP(BZ3,Activities!$A$9:$Q$180,17,FALSE)),"")</f>
        <v>7.0999999999999994E-2</v>
      </c>
      <c r="CA5" s="72">
        <f>IFERROR(VLOOKUP(CA3,Activities!$A$9:$Q$180,16,FALSE)*(1-VLOOKUP(CA3,Activities!$A$9:$Q$180,17,FALSE)),"")</f>
        <v>7.2999999999999995E-2</v>
      </c>
      <c r="CB5" s="72">
        <f>IFERROR(VLOOKUP(CB3,Activities!$A$9:$Q$180,16,FALSE)*(1-VLOOKUP(CB3,Activities!$A$9:$Q$180,17,FALSE)),"")</f>
        <v>7.1999999999999995E-2</v>
      </c>
      <c r="CC5" s="72" t="str">
        <f>IFERROR(VLOOKUP(CC3,Activities!$A$9:$Q$180,16,FALSE)*(1-VLOOKUP(CC3,Activities!$A$9:$Q$180,17,FALSE)),"")</f>
        <v/>
      </c>
      <c r="CD5" s="72" t="str">
        <f>IFERROR(VLOOKUP(CD3,Activities!$A$9:$Q$180,16,FALSE)*(1-VLOOKUP(CD3,Activities!$A$9:$Q$180,17,FALSE)),"")</f>
        <v/>
      </c>
      <c r="CE5" s="72" t="str">
        <f>IFERROR(VLOOKUP(CE3,Activities!$A$9:$Q$180,16,FALSE)*(1-VLOOKUP(CE3,Activities!$A$9:$Q$180,17,FALSE)),"")</f>
        <v/>
      </c>
      <c r="CF5" s="72" t="str">
        <f>IFERROR(VLOOKUP(CF3,Activities!$A$9:$Q$180,16,FALSE)*(1-VLOOKUP(CF3,Activities!$A$9:$Q$180,17,FALSE)),"")</f>
        <v/>
      </c>
      <c r="CG5" s="72" t="str">
        <f>IFERROR(VLOOKUP(CG3,Activities!$A$9:$Q$180,16,FALSE)*(1-VLOOKUP(CG3,Activities!$A$9:$Q$180,17,FALSE)),"")</f>
        <v/>
      </c>
      <c r="CH5" s="72" t="str">
        <f>IFERROR(VLOOKUP(CH3,Activities!$A$9:$Q$180,16,FALSE)*(1-VLOOKUP(CH3,Activities!$A$9:$Q$180,17,FALSE)),"")</f>
        <v/>
      </c>
      <c r="CI5" s="72" t="str">
        <f>IFERROR(VLOOKUP(CI3,Activities!$A$9:$Q$180,16,FALSE)*(1-VLOOKUP(CI3,Activities!$A$9:$Q$180,17,FALSE)),"")</f>
        <v/>
      </c>
      <c r="CJ5" s="72" t="str">
        <f>IFERROR(VLOOKUP(CJ3,Activities!$A$9:$Q$180,16,FALSE)*(1-VLOOKUP(CJ3,Activities!$A$9:$Q$180,17,FALSE)),"")</f>
        <v/>
      </c>
      <c r="CK5" s="72" t="str">
        <f>IFERROR(VLOOKUP(CK3,Activities!$A$9:$Q$180,16,FALSE)*(1-VLOOKUP(CK3,Activities!$A$9:$Q$180,17,FALSE)),"")</f>
        <v/>
      </c>
      <c r="CL5" s="72" t="str">
        <f>IFERROR(VLOOKUP(CL3,Activities!$A$9:$Q$180,16,FALSE)*(1-VLOOKUP(CL3,Activities!$A$9:$Q$180,17,FALSE)),"")</f>
        <v/>
      </c>
      <c r="CM5" s="72" t="str">
        <f>IFERROR(VLOOKUP(CM3,Activities!$A$9:$Q$180,16,FALSE)*(1-VLOOKUP(CM3,Activities!$A$9:$Q$180,17,FALSE)),"")</f>
        <v/>
      </c>
      <c r="CN5" s="72" t="str">
        <f>IFERROR(VLOOKUP(CN3,Activities!$A$9:$Q$180,16,FALSE)*(1-VLOOKUP(CN3,Activities!$A$9:$Q$180,17,FALSE)),"")</f>
        <v/>
      </c>
      <c r="CO5" s="72" t="str">
        <f>IFERROR(VLOOKUP(CO3,Activities!$A$9:$Q$180,16,FALSE)*(1-VLOOKUP(CO3,Activities!$A$9:$Q$180,17,FALSE)),"")</f>
        <v/>
      </c>
      <c r="CP5" s="72" t="str">
        <f>IFERROR(VLOOKUP(CP3,Activities!$A$9:$Q$180,16,FALSE)*(1-VLOOKUP(CP3,Activities!$A$9:$Q$180,17,FALSE)),"")</f>
        <v/>
      </c>
      <c r="CQ5" s="72" t="str">
        <f>IFERROR(VLOOKUP(CQ3,Activities!$A$9:$Q$180,16,FALSE)*(1-VLOOKUP(CQ3,Activities!$A$9:$Q$180,17,FALSE)),"")</f>
        <v/>
      </c>
      <c r="CR5" s="72" t="str">
        <f>IFERROR(VLOOKUP(CR3,Activities!$A$9:$Q$180,16,FALSE)*(1-VLOOKUP(CR3,Activities!$A$9:$Q$180,17,FALSE)),"")</f>
        <v/>
      </c>
      <c r="CS5" s="72" t="str">
        <f>IFERROR(VLOOKUP(CS3,Activities!$A$9:$Q$180,16,FALSE)*(1-VLOOKUP(CS3,Activities!$A$9:$Q$180,17,FALSE)),"")</f>
        <v/>
      </c>
      <c r="CT5" s="72" t="str">
        <f>IFERROR(VLOOKUP(CT3,Activities!$A$9:$Q$180,16,FALSE)*(1-VLOOKUP(CT3,Activities!$A$9:$Q$180,17,FALSE)),"")</f>
        <v/>
      </c>
      <c r="CU5" s="72" t="str">
        <f>IFERROR(VLOOKUP(CU3,Activities!$A$9:$Q$180,16,FALSE)*(1-VLOOKUP(CU3,Activities!$A$9:$Q$180,17,FALSE)),"")</f>
        <v/>
      </c>
      <c r="CV5" s="72" t="str">
        <f>IFERROR(VLOOKUP(CV3,Activities!$A$9:$Q$180,16,FALSE)*(1-VLOOKUP(CV3,Activities!$A$9:$Q$180,17,FALSE)),"")</f>
        <v/>
      </c>
      <c r="CW5" s="72" t="str">
        <f>IFERROR(VLOOKUP(CW3,Activities!$A$9:$Q$180,16,FALSE)*(1-VLOOKUP(CW3,Activities!$A$9:$Q$180,17,FALSE)),"")</f>
        <v/>
      </c>
      <c r="CX5" s="72" t="str">
        <f>IFERROR(VLOOKUP(CX3,Activities!$A$9:$Q$180,16,FALSE)*(1-VLOOKUP(CX3,Activities!$A$9:$Q$180,17,FALSE)),"")</f>
        <v/>
      </c>
      <c r="CY5" s="72" t="str">
        <f>IFERROR(VLOOKUP(CY3,Activities!$A$9:$Q$180,16,FALSE)*(1-VLOOKUP(CY3,Activities!$A$9:$Q$180,17,FALSE)),"")</f>
        <v/>
      </c>
      <c r="CZ5" s="72" t="str">
        <f>IFERROR(VLOOKUP(CZ3,Activities!$A$9:$Q$180,16,FALSE)*(1-VLOOKUP(CZ3,Activities!$A$9:$Q$180,17,FALSE)),"")</f>
        <v/>
      </c>
      <c r="DA5" s="72" t="str">
        <f>IFERROR(VLOOKUP(DA3,Activities!$A$9:$Q$180,16,FALSE)*(1-VLOOKUP(DA3,Activities!$A$9:$Q$180,17,FALSE)),"")</f>
        <v/>
      </c>
      <c r="DB5" s="72" t="str">
        <f>IFERROR(VLOOKUP(DB3,Activities!$A$9:$Q$180,16,FALSE)*(1-VLOOKUP(DB3,Activities!$A$9:$Q$180,17,FALSE)),"")</f>
        <v/>
      </c>
      <c r="DC5" s="72" t="str">
        <f>IFERROR(VLOOKUP(DC3,Activities!$A$9:$Q$180,16,FALSE)*(1-VLOOKUP(DC3,Activities!$A$9:$Q$180,17,FALSE)),"")</f>
        <v/>
      </c>
      <c r="DD5" s="72" t="str">
        <f>IFERROR(VLOOKUP(DD3,Activities!$A$9:$Q$180,16,FALSE)*(1-VLOOKUP(DD3,Activities!$A$9:$Q$180,17,FALSE)),"")</f>
        <v/>
      </c>
      <c r="DE5" s="72" t="str">
        <f>IFERROR(VLOOKUP(DE3,Activities!$A$9:$Q$180,16,FALSE)*(1-VLOOKUP(DE3,Activities!$A$9:$Q$180,17,FALSE)),"")</f>
        <v/>
      </c>
      <c r="DF5" s="72" t="str">
        <f>IFERROR(VLOOKUP(DF3,Activities!$A$9:$Q$180,16,FALSE)*(1-VLOOKUP(DF3,Activities!$A$9:$Q$180,17,FALSE)),"")</f>
        <v/>
      </c>
      <c r="DG5" s="72" t="str">
        <f>IFERROR(VLOOKUP(DG3,Activities!$A$9:$Q$180,16,FALSE)*(1-VLOOKUP(DG3,Activities!$A$9:$Q$180,17,FALSE)),"")</f>
        <v/>
      </c>
      <c r="DH5" s="72" t="str">
        <f>IFERROR(VLOOKUP(DH3,Activities!$A$9:$Q$180,16,FALSE)*(1-VLOOKUP(DH3,Activities!$A$9:$Q$180,17,FALSE)),"")</f>
        <v/>
      </c>
      <c r="DI5" s="72" t="str">
        <f>IFERROR(VLOOKUP(DI3,Activities!$A$9:$Q$180,16,FALSE)*(1-VLOOKUP(DI3,Activities!$A$9:$Q$180,17,FALSE)),"")</f>
        <v/>
      </c>
      <c r="DJ5" s="72" t="str">
        <f>IFERROR(VLOOKUP(DJ3,Activities!$A$9:$Q$180,16,FALSE)*(1-VLOOKUP(DJ3,Activities!$A$9:$Q$180,17,FALSE)),"")</f>
        <v/>
      </c>
      <c r="DK5" s="72" t="str">
        <f>IFERROR(VLOOKUP(DK3,Activities!$A$9:$Q$180,16,FALSE)*(1-VLOOKUP(DK3,Activities!$A$9:$Q$180,17,FALSE)),"")</f>
        <v/>
      </c>
      <c r="DL5" s="72" t="str">
        <f>IFERROR(VLOOKUP(DL3,Activities!$A$9:$Q$180,16,FALSE)*(1-VLOOKUP(DL3,Activities!$A$9:$Q$180,17,FALSE)),"")</f>
        <v/>
      </c>
      <c r="DM5" s="72" t="str">
        <f>IFERROR(VLOOKUP(DM3,Activities!$A$9:$Q$180,16,FALSE)*(1-VLOOKUP(DM3,Activities!$A$9:$Q$180,17,FALSE)),"")</f>
        <v/>
      </c>
      <c r="DN5" s="72" t="str">
        <f>IFERROR(VLOOKUP(DN3,Activities!$A$9:$Q$180,16,FALSE)*(1-VLOOKUP(DN3,Activities!$A$9:$Q$180,17,FALSE)),"")</f>
        <v/>
      </c>
      <c r="DO5" s="72" t="str">
        <f>IFERROR(VLOOKUP(DO3,Activities!$A$9:$Q$180,16,FALSE)*(1-VLOOKUP(DO3,Activities!$A$9:$Q$180,17,FALSE)),"")</f>
        <v/>
      </c>
      <c r="DP5" s="72" t="str">
        <f>IFERROR(VLOOKUP(DP3,Activities!$A$9:$Q$180,16,FALSE)*(1-VLOOKUP(DP3,Activities!$A$9:$Q$180,17,FALSE)),"")</f>
        <v/>
      </c>
      <c r="DQ5" s="72" t="str">
        <f>IFERROR(VLOOKUP(DQ3,Activities!$A$9:$Q$180,16,FALSE)*(1-VLOOKUP(DQ3,Activities!$A$9:$Q$180,17,FALSE)),"")</f>
        <v/>
      </c>
      <c r="DR5" s="72">
        <f>IFERROR(VLOOKUP(DR3,Activities!$A$9:$Q$180,16,FALSE)*(1-VLOOKUP(DR3,Activities!$A$9:$Q$180,17,FALSE)),"")</f>
        <v>0.24740000000000001</v>
      </c>
      <c r="DS5" s="72">
        <f>IFERROR(VLOOKUP(DS3,Activities!$A$9:$Q$180,16,FALSE)*(1-VLOOKUP(DS3,Activities!$A$9:$Q$180,17,FALSE)),"")</f>
        <v>6.3100000000000003E-2</v>
      </c>
      <c r="DT5" s="72">
        <f>IFERROR(VLOOKUP(DT3,Activities!$A$9:$Q$180,16,FALSE)*(1-VLOOKUP(DT3,Activities!$A$9:$Q$180,17,FALSE)),"")</f>
        <v>7.0999999999999994E-2</v>
      </c>
      <c r="DU5" s="72">
        <f>IFERROR(VLOOKUP(DU3,Activities!$A$9:$Q$180,16,FALSE)*(1-VLOOKUP(DU3,Activities!$A$9:$Q$180,17,FALSE)),"")</f>
        <v>7.2999999999999995E-2</v>
      </c>
      <c r="DV5" s="72">
        <f>IFERROR(VLOOKUP(DV3,Activities!$A$9:$Q$180,16,FALSE)*(1-VLOOKUP(DV3,Activities!$A$9:$Q$180,17,FALSE)),"")</f>
        <v>7.1999999999999995E-2</v>
      </c>
      <c r="DW5" s="72">
        <f>IFERROR(VLOOKUP(DW3,Activities!$A$9:$Q$180,16,FALSE)*(1-VLOOKUP(DW3,Activities!$A$9:$Q$180,17,FALSE)),"")</f>
        <v>7.6999999999999999E-2</v>
      </c>
      <c r="DX5" s="72">
        <f>IFERROR(VLOOKUP(DX3,Activities!$A$9:$Q$180,16,FALSE)*(1-VLOOKUP(DX3,Activities!$A$9:$Q$180,17,FALSE)),"")</f>
        <v>8.1000000000000003E-2</v>
      </c>
      <c r="DY5" s="72">
        <f>IFERROR(VLOOKUP(DY3,Activities!$A$9:$Q$180,16,FALSE)*(1-VLOOKUP(DY3,Activities!$A$9:$Q$180,17,FALSE)),"")</f>
        <v>0</v>
      </c>
      <c r="DZ5" s="72">
        <f>IFERROR(VLOOKUP(DZ3,Activities!$A$9:$Q$180,16,FALSE)*(1-VLOOKUP(DZ3,Activities!$A$9:$Q$180,17,FALSE)),"")</f>
        <v>0</v>
      </c>
      <c r="EA5" s="72">
        <f>IFERROR(VLOOKUP(EA3,Activities!$A$9:$Q$180,16,FALSE)*(1-VLOOKUP(EA3,Activities!$A$9:$Q$180,17,FALSE)),"")</f>
        <v>0</v>
      </c>
      <c r="EB5" s="72">
        <f>IFERROR(VLOOKUP(EB3,Activities!$A$9:$Q$180,16,FALSE)*(1-VLOOKUP(EB3,Activities!$A$9:$Q$180,17,FALSE)),"")</f>
        <v>0</v>
      </c>
      <c r="EC5" s="72">
        <f>IFERROR(VLOOKUP(EC3,Activities!$A$9:$Q$180,16,FALSE)*(1-VLOOKUP(EC3,Activities!$A$9:$Q$180,17,FALSE)),"")</f>
        <v>0</v>
      </c>
      <c r="ED5" s="72">
        <f>IFERROR(VLOOKUP(ED3,Activities!$A$9:$Q$180,16,FALSE)*(1-VLOOKUP(ED3,Activities!$A$9:$Q$180,17,FALSE)),"")</f>
        <v>7.0999999999999994E-2</v>
      </c>
      <c r="EE5" s="72">
        <f>IFERROR(VLOOKUP(EE3,Activities!$A$9:$Q$180,16,FALSE)*(1-VLOOKUP(EE3,Activities!$A$9:$Q$180,17,FALSE)),"")</f>
        <v>7.2999999999999995E-2</v>
      </c>
      <c r="EF5" s="72">
        <f>IFERROR(VLOOKUP(EF3,Activities!$A$9:$Q$180,16,FALSE)*(1-VLOOKUP(EF3,Activities!$A$9:$Q$180,17,FALSE)),"")</f>
        <v>7.1999999999999995E-2</v>
      </c>
      <c r="EG5" s="72">
        <f>IFERROR(VLOOKUP(EG3,Activities!$A$9:$Q$180,16,FALSE)*(1-VLOOKUP(EG3,Activities!$A$9:$Q$180,17,FALSE)),"")</f>
        <v>7.3999999999999996E-2</v>
      </c>
      <c r="EH5" s="72">
        <f>IFERROR(VLOOKUP(EH3,Activities!$A$9:$Q$180,16,FALSE)*(1-VLOOKUP(EH3,Activities!$A$9:$Q$180,17,FALSE)),"")</f>
        <v>7.1999999999999995E-2</v>
      </c>
      <c r="EI5" s="72">
        <f>IFERROR(VLOOKUP(EI3,Activities!$A$9:$Q$180,16,FALSE)*(1-VLOOKUP(EI3,Activities!$A$9:$Q$180,17,FALSE)),"")</f>
        <v>6.8000000000000005E-2</v>
      </c>
      <c r="EJ5" s="72">
        <f>IFERROR(VLOOKUP(EJ3,Activities!$A$9:$Q$180,16,FALSE)*(1-VLOOKUP(EJ3,Activities!$A$9:$Q$180,17,FALSE)),"")</f>
        <v>5.6599999999999998E-2</v>
      </c>
      <c r="EK5" s="72">
        <f>IFERROR(VLOOKUP(EK3,Activities!$A$9:$Q$180,16,FALSE)*(1-VLOOKUP(EK3,Activities!$A$9:$Q$180,17,FALSE)),"")</f>
        <v>5.6599999999999998E-2</v>
      </c>
      <c r="EL5" s="72">
        <f>IFERROR(VLOOKUP(EL3,Activities!$A$9:$Q$180,16,FALSE)*(1-VLOOKUP(EL3,Activities!$A$9:$Q$180,17,FALSE)),"")</f>
        <v>5.6599999999999998E-2</v>
      </c>
      <c r="EM5" s="72">
        <f>IFERROR(VLOOKUP(EM3,Activities!$A$9:$Q$180,16,FALSE)*(1-VLOOKUP(EM3,Activities!$A$9:$Q$180,17,FALSE)),"")</f>
        <v>0</v>
      </c>
      <c r="EN5" s="72">
        <f>IFERROR(VLOOKUP(EN3,Activities!$A$9:$Q$180,16,FALSE)*(1-VLOOKUP(EN3,Activities!$A$9:$Q$180,17,FALSE)),"")</f>
        <v>0</v>
      </c>
      <c r="EO5" s="72">
        <f>IFERROR(VLOOKUP(EO3,Activities!$A$9:$Q$180,16,FALSE)*(1-VLOOKUP(EO3,Activities!$A$9:$Q$180,17,FALSE)),"")</f>
        <v>0</v>
      </c>
      <c r="EP5" s="72">
        <f>IFERROR(VLOOKUP(EP3,Activities!$A$9:$Q$180,16,FALSE)*(1-VLOOKUP(EP3,Activities!$A$9:$Q$180,17,FALSE)),"")</f>
        <v>7.0999999999999994E-2</v>
      </c>
      <c r="EQ5" s="72">
        <f>IFERROR(VLOOKUP(EQ3,Activities!$A$9:$Q$180,16,FALSE)*(1-VLOOKUP(EQ3,Activities!$A$9:$Q$180,17,FALSE)),"")</f>
        <v>0</v>
      </c>
      <c r="ER5" s="72">
        <f>IFERROR(VLOOKUP(ER3,Activities!$A$9:$Q$180,16,FALSE)*(1-VLOOKUP(ER3,Activities!$A$9:$Q$180,17,FALSE)),"")</f>
        <v>0</v>
      </c>
      <c r="ES5" s="72">
        <f>IFERROR(VLOOKUP(ES3,Activities!$A$9:$Q$180,16,FALSE)*(1-VLOOKUP(ES3,Activities!$A$9:$Q$180,17,FALSE)),"")</f>
        <v>9.8299999999999998E-2</v>
      </c>
      <c r="ET5" s="72">
        <f>IFERROR(VLOOKUP(ET3,Activities!$A$9:$Q$180,16,FALSE)*(1-VLOOKUP(ET3,Activities!$A$9:$Q$180,17,FALSE)),"")</f>
        <v>7.3300000000000004E-2</v>
      </c>
      <c r="EU5" s="72">
        <f>IFERROR(VLOOKUP(EU3,Activities!$A$9:$Q$180,16,FALSE)*(1-VLOOKUP(EU3,Activities!$A$9:$Q$180,17,FALSE)),"")</f>
        <v>5.6599999999999998E-2</v>
      </c>
      <c r="EV5" s="72">
        <f>IFERROR(VLOOKUP(EV3,Activities!$A$9:$Q$180,16,FALSE)*(1-VLOOKUP(EV3,Activities!$A$9:$Q$180,17,FALSE)),"")</f>
        <v>0</v>
      </c>
      <c r="EW5" s="72">
        <f>IFERROR(VLOOKUP(EW3,Activities!$A$9:$Q$180,16,FALSE)*(1-VLOOKUP(EW3,Activities!$A$9:$Q$180,17,FALSE)),"")</f>
        <v>3.8663999999999997E-2</v>
      </c>
      <c r="EX5" s="72">
        <f>IFERROR(VLOOKUP(EX3,Activities!$A$9:$Q$180,16,FALSE)*(1-VLOOKUP(EX3,Activities!$A$9:$Q$180,17,FALSE)),"")</f>
        <v>2.2164999999999999</v>
      </c>
      <c r="EY5" s="72">
        <f>IFERROR(VLOOKUP(EY3,Activities!$A$9:$Q$180,16,FALSE)*(1-VLOOKUP(EY3,Activities!$A$9:$Q$180,17,FALSE)),"")</f>
        <v>5.5896070533569119E-2</v>
      </c>
      <c r="EZ5" s="72">
        <f>IFERROR(VLOOKUP(EZ3,Activities!$A$9:$Q$180,16,FALSE)*(1-VLOOKUP(EZ3,Activities!$A$9:$Q$180,17,FALSE)),"")</f>
        <v>5.4166666666666669E-2</v>
      </c>
      <c r="FA5" s="72">
        <f>IFERROR(VLOOKUP(FA3,Activities!$A$9:$Q$180,16,FALSE)*(1-VLOOKUP(FA3,Activities!$A$9:$Q$180,17,FALSE)),"")</f>
        <v>0</v>
      </c>
      <c r="FB5" s="72">
        <f>IFERROR(VLOOKUP(FB3,Activities!$A$9:$Q$180,16,FALSE)*(1-VLOOKUP(FB3,Activities!$A$9:$Q$180,17,FALSE)),"")</f>
        <v>0</v>
      </c>
      <c r="FC5" s="72">
        <f>IFERROR(VLOOKUP(FC3,Activities!$A$9:$Q$180,16,FALSE)*(1-VLOOKUP(FC3,Activities!$A$9:$Q$180,17,FALSE)),"")</f>
        <v>0</v>
      </c>
      <c r="FD5" s="72">
        <f>IFERROR(VLOOKUP(FD3,Activities!$A$9:$Q$180,16,FALSE)*(1-VLOOKUP(FD3,Activities!$A$9:$Q$180,17,FALSE)),"")</f>
        <v>0</v>
      </c>
      <c r="FE5" s="72">
        <f>IFERROR(VLOOKUP(FE3,Activities!$A$9:$Q$180,16,FALSE)*(1-VLOOKUP(FE3,Activities!$A$9:$Q$180,17,FALSE)),"")</f>
        <v>0</v>
      </c>
      <c r="FF5" s="72">
        <f>IFERROR(VLOOKUP(FF3,Activities!$A$9:$Q$180,16,FALSE)*(1-VLOOKUP(FF3,Activities!$A$9:$Q$180,17,FALSE)),"")</f>
        <v>0</v>
      </c>
      <c r="FG5" s="72">
        <f>IFERROR(VLOOKUP(FG3,Activities!$A$9:$Q$180,16,FALSE)*(1-VLOOKUP(FG3,Activities!$A$9:$Q$180,17,FALSE)),"")</f>
        <v>0</v>
      </c>
      <c r="FH5" s="72">
        <f>IFERROR(VLOOKUP(FH3,Activities!$A$9:$Q$180,16,FALSE)*(1-VLOOKUP(FH3,Activities!$A$9:$Q$180,17,FALSE)),"")</f>
        <v>0</v>
      </c>
      <c r="FI5" s="72">
        <f>IFERROR(VLOOKUP(FI3,Activities!$A$9:$Q$180,16,FALSE)*(1-VLOOKUP(FI3,Activities!$A$9:$Q$180,17,FALSE)),"")</f>
        <v>0</v>
      </c>
      <c r="FJ5" s="72">
        <f>IFERROR(VLOOKUP(FJ3,Activities!$A$9:$Q$180,16,FALSE)*(1-VLOOKUP(FJ3,Activities!$A$9:$Q$180,17,FALSE)),"")</f>
        <v>0</v>
      </c>
      <c r="FK5" s="72">
        <f>IFERROR(VLOOKUP(FK3,Activities!$A$9:$Q$180,16,FALSE)*(1-VLOOKUP(FK3,Activities!$A$9:$Q$180,17,FALSE)),"")</f>
        <v>0</v>
      </c>
      <c r="FL5" s="72">
        <f>IFERROR(VLOOKUP(FL3,Activities!$A$9:$Q$180,16,FALSE)*(1-VLOOKUP(FL3,Activities!$A$9:$Q$180,17,FALSE)),"")</f>
        <v>0</v>
      </c>
      <c r="FM5" s="72">
        <f>IFERROR(VLOOKUP(FM3,Activities!$A$9:$Q$180,16,FALSE)*(1-VLOOKUP(FM3,Activities!$A$9:$Q$180,17,FALSE)),"")</f>
        <v>0</v>
      </c>
      <c r="FN5" s="72">
        <f>IFERROR(VLOOKUP(FN3,Activities!$A$9:$Q$180,16,FALSE)*(1-VLOOKUP(FN3,Activities!$A$9:$Q$180,17,FALSE)),"")</f>
        <v>0</v>
      </c>
      <c r="FO5" s="72" t="str">
        <f>IFERROR(VLOOKUP(FO3,Activities!$A$9:$Q$180,16,FALSE)*(1-VLOOKUP(FO3,Activities!$A$9:$Q$180,17,FALSE)),"")</f>
        <v/>
      </c>
      <c r="FP5" s="72" t="str">
        <f>IFERROR(VLOOKUP(FP3,Activities!$A$9:$Q$180,16,FALSE)*(1-VLOOKUP(FP3,Activities!$A$9:$Q$180,17,FALSE)),"")</f>
        <v/>
      </c>
      <c r="FQ5" s="72" t="str">
        <f>IFERROR(VLOOKUP(FQ3,Activities!$A$9:$Q$180,16,FALSE)*(1-VLOOKUP(FQ3,Activities!$A$9:$Q$180,17,FALSE)),"")</f>
        <v/>
      </c>
      <c r="FR5" s="72" t="str">
        <f>IFERROR(VLOOKUP(FR3,Activities!$A$9:$Q$180,16,FALSE)*(1-VLOOKUP(FR3,Activities!$A$9:$Q$180,17,FALSE)),"")</f>
        <v/>
      </c>
      <c r="FS5" s="72" t="str">
        <f>IFERROR(VLOOKUP(FS3,Activities!$A$9:$Q$180,16,FALSE)*(1-VLOOKUP(FS3,Activities!$A$9:$Q$180,17,FALSE)),"")</f>
        <v/>
      </c>
      <c r="FT5" s="72" t="str">
        <f>IFERROR(VLOOKUP(FT3,Activities!$A$9:$Q$180,16,FALSE)*(1-VLOOKUP(FT3,Activities!$A$9:$Q$180,17,FALSE)),"")</f>
        <v/>
      </c>
      <c r="FU5" s="72" t="str">
        <f>IFERROR(VLOOKUP(FU3,Activities!$A$9:$Q$180,16,FALSE)*(1-VLOOKUP(FU3,Activities!$A$9:$Q$180,17,FALSE)),"")</f>
        <v/>
      </c>
      <c r="FV5" s="72" t="str">
        <f>IFERROR(VLOOKUP(FV3,Activities!$A$9:$Q$180,16,FALSE)*(1-VLOOKUP(FV3,Activities!$A$9:$Q$180,17,FALSE)),"")</f>
        <v/>
      </c>
      <c r="FW5" s="72" t="str">
        <f>IFERROR(VLOOKUP(FW3,Activities!$A$9:$Q$180,16,FALSE)*(1-VLOOKUP(FW3,Activities!$A$9:$Q$180,17,FALSE)),"")</f>
        <v/>
      </c>
      <c r="FX5" s="72" t="str">
        <f>IFERROR(VLOOKUP(FX3,Activities!$A$9:$Q$180,16,FALSE)*(1-VLOOKUP(FX3,Activities!$A$9:$Q$180,17,FALSE)),"")</f>
        <v/>
      </c>
      <c r="FY5" s="72" t="str">
        <f>IFERROR(VLOOKUP(FY3,Activities!$A$9:$Q$180,16,FALSE)*(1-VLOOKUP(FY3,Activities!$A$9:$Q$180,17,FALSE)),"")</f>
        <v/>
      </c>
      <c r="FZ5" s="72" t="str">
        <f>IFERROR(VLOOKUP(FZ3,Activities!$A$9:$Q$180,16,FALSE)*(1-VLOOKUP(FZ3,Activities!$A$9:$Q$180,17,FALSE)),"")</f>
        <v/>
      </c>
      <c r="GA5" s="72" t="str">
        <f>IFERROR(VLOOKUP(GA3,Activities!$A$9:$Q$180,16,FALSE)*(1-VLOOKUP(GA3,Activities!$A$9:$Q$180,17,FALSE)),"")</f>
        <v/>
      </c>
      <c r="GB5" s="72" t="str">
        <f>IFERROR(VLOOKUP(GB3,Activities!$A$9:$Q$180,16,FALSE)*(1-VLOOKUP(GB3,Activities!$A$9:$Q$180,17,FALSE)),"")</f>
        <v/>
      </c>
      <c r="GC5" s="76"/>
      <c r="GD5" s="76"/>
      <c r="GE5" s="76"/>
      <c r="GF5" s="76"/>
      <c r="GG5" s="76"/>
    </row>
    <row r="6" spans="1:189" ht="29" x14ac:dyDescent="0.35">
      <c r="A6" s="8"/>
      <c r="B6" s="8"/>
      <c r="C6" s="8"/>
      <c r="D6" s="8"/>
      <c r="E6" s="8"/>
      <c r="F6" s="46" t="s">
        <v>1803</v>
      </c>
      <c r="G6" s="15" t="s">
        <v>315</v>
      </c>
      <c r="H6" s="15" t="s">
        <v>1804</v>
      </c>
      <c r="I6" s="15" t="s">
        <v>1804</v>
      </c>
      <c r="J6" s="15" t="s">
        <v>1804</v>
      </c>
      <c r="K6" s="15" t="s">
        <v>1804</v>
      </c>
      <c r="L6" s="15" t="s">
        <v>1804</v>
      </c>
      <c r="M6" s="15" t="s">
        <v>1805</v>
      </c>
      <c r="N6" s="15" t="s">
        <v>1806</v>
      </c>
      <c r="O6" s="15" t="s">
        <v>315</v>
      </c>
      <c r="P6" s="78" t="s">
        <v>26</v>
      </c>
      <c r="Q6" s="34" t="str">
        <f>VLOOKUP(Q3,Activities!$A$9:$Q$227,2,FALSE)</f>
        <v>[PJ]</v>
      </c>
      <c r="R6" s="34" t="str">
        <f>VLOOKUP(R3,Activities!$A$9:$Q$227,2,FALSE)</f>
        <v>[khouses]</v>
      </c>
      <c r="S6" s="34" t="str">
        <f>VLOOKUP(S3,Activities!$A$9:$Q$227,2,FALSE)</f>
        <v>[khouses]</v>
      </c>
      <c r="T6" s="34" t="str">
        <f>VLOOKUP(T3,Activities!$A$9:$Q$227,2,FALSE)</f>
        <v>[khouses]</v>
      </c>
      <c r="U6" s="34" t="str">
        <f>VLOOKUP(U3,Activities!$A$9:$Q$227,2,FALSE)</f>
        <v>[PJ]</v>
      </c>
      <c r="V6" s="34" t="str">
        <f>VLOOKUP(V3,Activities!$A$9:$Q$227,2,FALSE)</f>
        <v>[Mm2]</v>
      </c>
      <c r="W6" s="34" t="str">
        <f>VLOOKUP(W3,Activities!$A$9:$Q$227,2,FALSE)</f>
        <v>[PJ]</v>
      </c>
      <c r="X6" s="34" t="str">
        <f>VLOOKUP(X3,Activities!$A$9:$Q$227,2,FALSE)</f>
        <v>[PJ]</v>
      </c>
      <c r="Y6" s="34" t="str">
        <f>VLOOKUP(Y3,Activities!$A$9:$Q$227,2,FALSE)</f>
        <v>[PJ]</v>
      </c>
      <c r="Z6" s="34" t="str">
        <f>VLOOKUP(Z3,Activities!$A$9:$Q$227,2,FALSE)</f>
        <v>[Mton_Steel]</v>
      </c>
      <c r="AA6" s="34" t="str">
        <f>VLOOKUP(AA3,Activities!$A$9:$Q$227,2,FALSE)</f>
        <v>[Mton_AN]</v>
      </c>
      <c r="AB6" s="34" t="str">
        <f>VLOOKUP(AB3,Activities!$A$9:$Q$227,2,FALSE)</f>
        <v>[Mton_Urea]</v>
      </c>
      <c r="AC6" s="34" t="str">
        <f>VLOOKUP(AC3,Activities!$A$9:$Q$227,2,FALSE)</f>
        <v>[Mton_NH3]</v>
      </c>
      <c r="AD6" s="34" t="str">
        <f>VLOOKUP(AD3,Activities!$A$9:$Q$227,2,FALSE)</f>
        <v>[Mton_Ey]</v>
      </c>
      <c r="AE6" s="34" t="str">
        <f>VLOOKUP(AE3,Activities!$A$9:$Q$227,2,FALSE)</f>
        <v>[Mton_Py]</v>
      </c>
      <c r="AF6" s="34" t="str">
        <f>VLOOKUP(AF3,Activities!$A$9:$Q$227,2,FALSE)</f>
        <v>[Mton_Butadiene]</v>
      </c>
      <c r="AG6" s="34" t="str">
        <f>VLOOKUP(AG3,Activities!$A$9:$Q$227,2,FALSE)</f>
        <v>[Mton_BTX]</v>
      </c>
      <c r="AH6" s="34" t="str">
        <f>VLOOKUP(AH3,Activities!$A$9:$Q$227,2,FALSE)</f>
        <v>[Mton_LDPE]</v>
      </c>
      <c r="AI6" s="34" t="str">
        <f>VLOOKUP(AI3,Activities!$A$9:$Q$227,2,FALSE)</f>
        <v>[Mton_LLDPE]</v>
      </c>
      <c r="AJ6" s="34" t="str">
        <f>VLOOKUP(AJ3,Activities!$A$9:$Q$227,2,FALSE)</f>
        <v>[Mton_HDPE]</v>
      </c>
      <c r="AK6" s="34" t="str">
        <f>VLOOKUP(AK3,Activities!$A$9:$Q$227,2,FALSE)</f>
        <v>[Mton_PP]</v>
      </c>
      <c r="AL6" s="34" t="str">
        <f>VLOOKUP(AL3,Activities!$A$9:$Q$227,2,FALSE)</f>
        <v>[Mton_PTA]</v>
      </c>
      <c r="AM6" s="34" t="str">
        <f>VLOOKUP(AM3,Activities!$A$9:$Q$227,2,FALSE)</f>
        <v>[Mton_PVC]</v>
      </c>
      <c r="AN6" s="34" t="str">
        <f>VLOOKUP(AN3,Activities!$A$9:$Q$227,2,FALSE)</f>
        <v>[Mton_material]</v>
      </c>
      <c r="AO6" s="34" t="str">
        <f>VLOOKUP(AO3,Activities!$A$9:$Q$227,2,FALSE)</f>
        <v>[Mton_EO]</v>
      </c>
      <c r="AP6" s="34" t="str">
        <f>VLOOKUP(AP3,Activities!$A$9:$Q$227,2,FALSE)</f>
        <v>[Mton_CL2]</v>
      </c>
      <c r="AQ6" s="34" t="str">
        <f>VLOOKUP(AQ3,Activities!$A$9:$Q$227,2,FALSE)</f>
        <v>[Idx_2020]</v>
      </c>
      <c r="AR6" s="34" t="str">
        <f>VLOOKUP(AR3,Activities!$A$9:$Q$227,2,FALSE)</f>
        <v>[Mton_Glass]</v>
      </c>
      <c r="AS6" s="34" t="str">
        <f>VLOOKUP(AS3,Activities!$A$9:$Q$227,2,FALSE)</f>
        <v>[Mton_Ceramics]</v>
      </c>
      <c r="AT6" s="34" t="str">
        <f>VLOOKUP(AT3,Activities!$A$9:$Q$227,2,FALSE)</f>
        <v>[Mton_Paper]</v>
      </c>
      <c r="AU6" s="34" t="str">
        <f>VLOOKUP(AU3,Activities!$A$9:$Q$227,2,FALSE)</f>
        <v>[Mton_board]</v>
      </c>
      <c r="AV6" s="34" t="str">
        <f>VLOOKUP(AV3,Activities!$A$9:$Q$227,2,FALSE)</f>
        <v>[Idx_2020]</v>
      </c>
      <c r="AW6" s="34" t="str">
        <f>VLOOKUP(AW3,Activities!$A$9:$Q$227,2,FALSE)</f>
        <v>[Idx_2020]</v>
      </c>
      <c r="AX6" s="34" t="str">
        <f>VLOOKUP(AX3,Activities!$A$9:$Q$227,2,FALSE)</f>
        <v>[Idx_2020]</v>
      </c>
      <c r="AY6" s="34" t="str">
        <f>VLOOKUP(AY3,Activities!$A$9:$Q$227,2,FALSE)</f>
        <v>[PJ]</v>
      </c>
      <c r="AZ6" s="34" t="str">
        <f>VLOOKUP(AZ3,Activities!$A$9:$Q$227,2,FALSE)</f>
        <v>[Mton_Waste]</v>
      </c>
      <c r="BA6" s="34" t="str">
        <f>VLOOKUP(BA3,Activities!$A$9:$Q$227,2,FALSE)</f>
        <v>[Gvkm]</v>
      </c>
      <c r="BB6" s="34" t="str">
        <f>VLOOKUP(BB3,Activities!$A$9:$Q$227,2,FALSE)</f>
        <v>[Gvkm]</v>
      </c>
      <c r="BC6" s="34" t="str">
        <f>VLOOKUP(BC3,Activities!$A$9:$Q$227,2,FALSE)</f>
        <v>[Gvkm]</v>
      </c>
      <c r="BD6" s="34" t="str">
        <f>VLOOKUP(BD3,Activities!$A$9:$Q$227,2,FALSE)</f>
        <v>[Gvkm]</v>
      </c>
      <c r="BE6" s="34" t="str">
        <f>VLOOKUP(BE3,Activities!$A$9:$Q$227,2,FALSE)</f>
        <v>[Mvkm]</v>
      </c>
      <c r="BF6" s="34" t="str">
        <f>VLOOKUP(BF3,Activities!$A$9:$Q$227,2,FALSE)</f>
        <v>[Mvkm]</v>
      </c>
      <c r="BG6" s="34" t="str">
        <f>VLOOKUP(BG3,Activities!$A$9:$Q$227,2,FALSE)</f>
        <v>[Mvkm]</v>
      </c>
      <c r="BH6" s="34" t="str">
        <f>VLOOKUP(BH3,Activities!$A$9:$Q$227,2,FALSE)</f>
        <v>[PJ]</v>
      </c>
      <c r="BI6" s="34" t="str">
        <f>VLOOKUP(BI3,Activities!$A$9:$Q$227,2,FALSE)</f>
        <v>[Mvkm]</v>
      </c>
      <c r="BJ6" s="34" t="str">
        <f>VLOOKUP(BJ3,Activities!$A$9:$Q$227,2,FALSE)</f>
        <v>[Mvkm]</v>
      </c>
      <c r="BK6" s="34" t="str">
        <f>VLOOKUP(BK3,Activities!$A$9:$Q$227,2,FALSE)</f>
        <v>[Mton_CO2e]</v>
      </c>
      <c r="BL6" s="34" t="str">
        <f>VLOOKUP(BL3,Activities!$A$9:$Q$227,2,FALSE)</f>
        <v>[Mton_CO2e]</v>
      </c>
      <c r="BM6" s="34" t="str">
        <f>VLOOKUP(BM3,Activities!$A$9:$Q$227,2,FALSE)</f>
        <v>[Mton_CO2e]</v>
      </c>
      <c r="BN6" s="34" t="str">
        <f>VLOOKUP(BN3,Activities!$A$9:$Q$227,2,FALSE)</f>
        <v>[Mton_CO2e]</v>
      </c>
      <c r="BO6" s="34" t="str">
        <f>VLOOKUP(BO3,Activities!$A$9:$Q$227,2,FALSE)</f>
        <v>[Mton_CO2e]</v>
      </c>
      <c r="BP6" s="34" t="str">
        <f>VLOOKUP(BP3,Activities!$A$9:$Q$227,2,FALSE)</f>
        <v>[Mton_CO2e]</v>
      </c>
      <c r="BQ6" s="34" t="str">
        <f>VLOOKUP(BQ3,Activities!$A$9:$Q$227,2,FALSE)</f>
        <v>[Mton_CO2e]</v>
      </c>
      <c r="BR6" s="34" t="str">
        <f>VLOOKUP(BR3,Activities!$A$9:$Q$227,2,FALSE)</f>
        <v>[Mton_CO2e]</v>
      </c>
      <c r="BS6" s="34" t="str">
        <f>VLOOKUP(BS3,Activities!$A$9:$Q$227,2,FALSE)</f>
        <v>[Mton_CO2e]</v>
      </c>
      <c r="BT6" s="34" t="str">
        <f>VLOOKUP(BT3,Activities!$A$9:$Q$227,2,FALSE)</f>
        <v>[Mton_CO2e]</v>
      </c>
      <c r="BU6" s="34" t="str">
        <f>VLOOKUP(BU3,Activities!$A$9:$Q$227,2,FALSE)</f>
        <v>[Mton_CO2e]</v>
      </c>
      <c r="BV6" s="34" t="str">
        <f>VLOOKUP(BV3,Activities!$A$9:$Q$227,2,FALSE)</f>
        <v>[Mton_CO2e]</v>
      </c>
      <c r="BW6" s="34" t="str">
        <f>VLOOKUP(BW3,Activities!$A$9:$Q$227,2,FALSE)</f>
        <v>[Mton_CO2e]</v>
      </c>
      <c r="BX6" s="34" t="str">
        <f>VLOOKUP(BX3,Activities!$A$9:$Q$227,2,FALSE)</f>
        <v>[Mton_CO2e]</v>
      </c>
      <c r="BY6" s="34" t="str">
        <f>VLOOKUP(BY3,Activities!$A$9:$Q$227,2,FALSE)</f>
        <v>[PJ]</v>
      </c>
      <c r="BZ6" s="34" t="str">
        <f>VLOOKUP(BZ3,Activities!$A$9:$Q$227,2,FALSE)</f>
        <v>[PJ]</v>
      </c>
      <c r="CA6" s="34" t="str">
        <f>VLOOKUP(CA3,Activities!$A$9:$Q$227,2,FALSE)</f>
        <v>[PJ]</v>
      </c>
      <c r="CB6" s="34" t="str">
        <f>VLOOKUP(CB3,Activities!$A$9:$Q$227,2,FALSE)</f>
        <v>[PJ]</v>
      </c>
      <c r="CC6" s="34" t="str">
        <f>VLOOKUP(CC3,Activities!$A$9:$Q$227,2,FALSE)</f>
        <v>[PJ]</v>
      </c>
      <c r="CD6" s="34" t="str">
        <f>VLOOKUP(CD3,Activities!$A$9:$Q$227,2,FALSE)</f>
        <v>[Mton_concrete]</v>
      </c>
      <c r="CE6" s="34" t="str">
        <f>VLOOKUP(CE3,Activities!$A$9:$Q$227,2,FALSE)</f>
        <v>[Mton_salt]</v>
      </c>
      <c r="CF6" s="34" t="str">
        <f>VLOOKUP(CF3,Activities!$A$9:$Q$227,2,FALSE)</f>
        <v>[Mton_EOL_concrete]</v>
      </c>
      <c r="CG6" s="34" t="str">
        <f>VLOOKUP(CG3,Activities!$A$9:$Q$227,2,FALSE)</f>
        <v>[Mton_sand]</v>
      </c>
      <c r="CH6" s="34" t="str">
        <f>VLOOKUP(CH3,Activities!$A$9:$Q$227,2,FALSE)</f>
        <v>[Mton_aggregate]</v>
      </c>
      <c r="CI6" s="34" t="str">
        <f>VLOOKUP(CI3,Activities!$A$9:$Q$227,2,FALSE)</f>
        <v>[Mton_cement]</v>
      </c>
      <c r="CJ6" s="34" t="str">
        <f>VLOOKUP(CJ3,Activities!$A$9:$Q$227,2,FALSE)</f>
        <v>[Mton_EOL_CTW]</v>
      </c>
      <c r="CK6" s="34" t="str">
        <f>VLOOKUP(CK3,Activities!$A$9:$Q$227,2,FALSE)</f>
        <v>[Mton_SCM]</v>
      </c>
      <c r="CL6" s="34" t="str">
        <f>VLOOKUP(CL3,Activities!$A$9:$Q$227,2,FALSE)</f>
        <v>[Mton_salt]</v>
      </c>
      <c r="CM6" s="34" t="str">
        <f>VLOOKUP(CM3,Activities!$A$9:$Q$227,2,FALSE)</f>
        <v>[Mton_clay]</v>
      </c>
      <c r="CN6" s="34" t="str">
        <f>VLOOKUP(CN3,Activities!$A$9:$Q$227,2,FALSE)</f>
        <v>[Mton_Glass]</v>
      </c>
      <c r="CO6" s="34" t="str">
        <f>VLOOKUP(CO3,Activities!$A$9:$Q$227,2,FALSE)</f>
        <v>[Mton_DRI/y]</v>
      </c>
      <c r="CP6" s="34" t="str">
        <f>VLOOKUP(CP3,Activities!$A$9:$Q$227,2,FALSE)</f>
        <v>[Mton_steelscrap]</v>
      </c>
      <c r="CQ6" s="34" t="str">
        <f>VLOOKUP(CQ3,Activities!$A$9:$Q$227,2,FALSE)</f>
        <v>[Mton_iron_ore]</v>
      </c>
      <c r="CR6" s="34" t="str">
        <f>VLOOKUP(CR3,Activities!$A$9:$Q$227,2,FALSE)</f>
        <v>[Mton_limestone]</v>
      </c>
      <c r="CS6" s="34" t="str">
        <f>VLOOKUP(CS3,Activities!$A$9:$Q$227,2,FALSE)</f>
        <v>[Mton_Ey]</v>
      </c>
      <c r="CT6" s="34" t="str">
        <f>VLOOKUP(CT3,Activities!$A$9:$Q$227,2,FALSE)</f>
        <v>[Mton_Py]</v>
      </c>
      <c r="CU6" s="34" t="str">
        <f>VLOOKUP(CU3,Activities!$A$9:$Q$227,2,FALSE)</f>
        <v>[Mton_PTA]</v>
      </c>
      <c r="CV6" s="34" t="str">
        <f>VLOOKUP(CV3,Activities!$A$9:$Q$227,2,FALSE)</f>
        <v>[Mton_CL2]</v>
      </c>
      <c r="CW6" s="34" t="str">
        <f>VLOOKUP(CW3,Activities!$A$9:$Q$227,2,FALSE)</f>
        <v>[Mton_PET]</v>
      </c>
      <c r="CX6" s="34" t="str">
        <f>VLOOKUP(CX3,Activities!$A$9:$Q$227,2,FALSE)</f>
        <v>[Mton_BP]</v>
      </c>
      <c r="CY6" s="34" t="str">
        <f>VLOOKUP(CY3,Activities!$A$9:$Q$227,2,FALSE)</f>
        <v>[Mton_BHET]</v>
      </c>
      <c r="CZ6" s="34" t="str">
        <f>VLOOKUP(CZ3,Activities!$A$9:$Q$227,2,FALSE)</f>
        <v>[Mton_EO]</v>
      </c>
      <c r="DA6" s="34" t="str">
        <f>VLOOKUP(DA3,Activities!$A$9:$Q$227,2,FALSE)</f>
        <v>[Mton_EG]</v>
      </c>
      <c r="DB6" s="34" t="str">
        <f>VLOOKUP(DB3,Activities!$A$9:$Q$227,2,FALSE)</f>
        <v>[Mton_sortedPE]</v>
      </c>
      <c r="DC6" s="34" t="str">
        <f>VLOOKUP(DC3,Activities!$A$9:$Q$227,2,FALSE)</f>
        <v>[Mton_sortedPP]</v>
      </c>
      <c r="DD6" s="34" t="str">
        <f>VLOOKUP(DD3,Activities!$A$9:$Q$227,2,FALSE)</f>
        <v>[Mton_sortedPET]</v>
      </c>
      <c r="DE6" s="34" t="str">
        <f>VLOOKUP(DE3,Activities!$A$9:$Q$227,2,FALSE)</f>
        <v>[Mton_sortedPVC]</v>
      </c>
      <c r="DF6" s="34" t="str">
        <f>VLOOKUP(DF3,Activities!$A$9:$Q$227,2,FALSE)</f>
        <v>[PJ]</v>
      </c>
      <c r="DG6" s="34" t="str">
        <f>VLOOKUP(DG3,Activities!$A$9:$Q$227,2,FALSE)</f>
        <v>[PJ]</v>
      </c>
      <c r="DH6" s="34" t="str">
        <f>VLOOKUP(DH3,Activities!$A$9:$Q$227,2,FALSE)</f>
        <v>[PJ]</v>
      </c>
      <c r="DI6" s="34" t="str">
        <f>VLOOKUP(DI3,Activities!$A$9:$Q$227,2,FALSE)</f>
        <v>[PJ]</v>
      </c>
      <c r="DJ6" s="34" t="str">
        <f>VLOOKUP(DJ3,Activities!$A$9:$Q$227,2,FALSE)</f>
        <v>[PJ]</v>
      </c>
      <c r="DK6" s="34" t="str">
        <f>VLOOKUP(DK3,Activities!$A$9:$Q$227,2,FALSE)</f>
        <v>[PJ]</v>
      </c>
      <c r="DL6" s="34" t="str">
        <f>VLOOKUP(DL3,Activities!$A$9:$Q$227,2,FALSE)</f>
        <v>[PJ]</v>
      </c>
      <c r="DM6" s="34" t="str">
        <f>VLOOKUP(DM3,Activities!$A$9:$Q$227,2,FALSE)</f>
        <v>[PJ]</v>
      </c>
      <c r="DN6" s="34" t="str">
        <f>VLOOKUP(DN3,Activities!$A$9:$Q$227,2,FALSE)</f>
        <v>[PJ]</v>
      </c>
      <c r="DO6" s="34" t="str">
        <f>VLOOKUP(DO3,Activities!$A$9:$Q$227,2,FALSE)</f>
        <v>[PJ]</v>
      </c>
      <c r="DP6" s="34" t="str">
        <f>VLOOKUP(DP3,Activities!$A$9:$Q$227,2,FALSE)</f>
        <v>[PJ]</v>
      </c>
      <c r="DQ6" s="34" t="str">
        <f>VLOOKUP(DQ3,Activities!$A$9:$Q$227,2,FALSE)</f>
        <v>[PJ]</v>
      </c>
      <c r="DR6" s="34" t="str">
        <f>VLOOKUP(DR3,Activities!$A$9:$Q$227,2,FALSE)</f>
        <v>[PJ]</v>
      </c>
      <c r="DS6" s="34" t="str">
        <f>VLOOKUP(DS3,Activities!$A$9:$Q$227,2,FALSE)</f>
        <v>[PJ]</v>
      </c>
      <c r="DT6" s="34" t="str">
        <f>VLOOKUP(DT3,Activities!$A$9:$Q$227,2,FALSE)</f>
        <v>[PJ]</v>
      </c>
      <c r="DU6" s="34" t="str">
        <f>VLOOKUP(DU3,Activities!$A$9:$Q$227,2,FALSE)</f>
        <v>[PJ]</v>
      </c>
      <c r="DV6" s="34" t="str">
        <f>VLOOKUP(DV3,Activities!$A$9:$Q$227,2,FALSE)</f>
        <v>[PJ]</v>
      </c>
      <c r="DW6" s="34" t="str">
        <f>VLOOKUP(DW3,Activities!$A$9:$Q$227,2,FALSE)</f>
        <v>[PJ]</v>
      </c>
      <c r="DX6" s="34" t="str">
        <f>VLOOKUP(DX3,Activities!$A$9:$Q$227,2,FALSE)</f>
        <v>[PJ]</v>
      </c>
      <c r="DY6" s="34" t="str">
        <f>VLOOKUP(DY3,Activities!$A$9:$Q$227,2,FALSE)</f>
        <v>[PJ]</v>
      </c>
      <c r="DZ6" s="34" t="str">
        <f>VLOOKUP(DZ3,Activities!$A$9:$Q$227,2,FALSE)</f>
        <v>[PJ]</v>
      </c>
      <c r="EA6" s="34" t="str">
        <f>VLOOKUP(EA3,Activities!$A$9:$Q$227,2,FALSE)</f>
        <v>[PJ]</v>
      </c>
      <c r="EB6" s="34" t="str">
        <f>VLOOKUP(EB3,Activities!$A$9:$Q$227,2,FALSE)</f>
        <v>[PJ]</v>
      </c>
      <c r="EC6" s="34" t="str">
        <f>VLOOKUP(EC3,Activities!$A$9:$Q$227,2,FALSE)</f>
        <v>[PJ]</v>
      </c>
      <c r="ED6" s="34" t="str">
        <f>VLOOKUP(ED3,Activities!$A$9:$Q$227,2,FALSE)</f>
        <v>[PJ]</v>
      </c>
      <c r="EE6" s="34" t="str">
        <f>VLOOKUP(EE3,Activities!$A$9:$Q$227,2,FALSE)</f>
        <v>[PJ]</v>
      </c>
      <c r="EF6" s="34" t="str">
        <f>VLOOKUP(EF3,Activities!$A$9:$Q$227,2,FALSE)</f>
        <v>[PJ]</v>
      </c>
      <c r="EG6" s="34" t="str">
        <f>VLOOKUP(EG3,Activities!$A$9:$Q$227,2,FALSE)</f>
        <v>[PJ]</v>
      </c>
      <c r="EH6" s="34" t="str">
        <f>VLOOKUP(EH3,Activities!$A$9:$Q$227,2,FALSE)</f>
        <v>[PJ]</v>
      </c>
      <c r="EI6" s="34" t="str">
        <f>VLOOKUP(EI3,Activities!$A$9:$Q$227,2,FALSE)</f>
        <v>[PJ]</v>
      </c>
      <c r="EJ6" s="34" t="str">
        <f>VLOOKUP(EJ3,Activities!$A$9:$Q$227,2,FALSE)</f>
        <v>[PJ]</v>
      </c>
      <c r="EK6" s="34" t="str">
        <f>VLOOKUP(EK3,Activities!$A$9:$Q$227,2,FALSE)</f>
        <v>[PJ]</v>
      </c>
      <c r="EL6" s="34" t="str">
        <f>VLOOKUP(EL3,Activities!$A$9:$Q$227,2,FALSE)</f>
        <v>[PJ]</v>
      </c>
      <c r="EM6" s="34" t="str">
        <f>VLOOKUP(EM3,Activities!$A$9:$Q$227,2,FALSE)</f>
        <v>[PJ]</v>
      </c>
      <c r="EN6" s="34" t="str">
        <f>VLOOKUP(EN3,Activities!$A$9:$Q$227,2,FALSE)</f>
        <v>[PJ]</v>
      </c>
      <c r="EO6" s="34" t="str">
        <f>VLOOKUP(EO3,Activities!$A$9:$Q$227,2,FALSE)</f>
        <v>[PJ]</v>
      </c>
      <c r="EP6" s="34" t="str">
        <f>VLOOKUP(EP3,Activities!$A$9:$Q$227,2,FALSE)</f>
        <v>[PJ]</v>
      </c>
      <c r="EQ6" s="34" t="str">
        <f>VLOOKUP(EQ3,Activities!$A$9:$Q$227,2,FALSE)</f>
        <v>[PJ]</v>
      </c>
      <c r="ER6" s="34" t="str">
        <f>VLOOKUP(ER3,Activities!$A$9:$Q$227,2,FALSE)</f>
        <v>[PJ]</v>
      </c>
      <c r="ES6" s="34" t="str">
        <f>VLOOKUP(ES3,Activities!$A$9:$Q$227,2,FALSE)</f>
        <v>[PJ]</v>
      </c>
      <c r="ET6" s="34" t="str">
        <f>VLOOKUP(ET3,Activities!$A$9:$Q$227,2,FALSE)</f>
        <v>[PJ]</v>
      </c>
      <c r="EU6" s="34" t="str">
        <f>VLOOKUP(EU3,Activities!$A$9:$Q$227,2,FALSE)</f>
        <v>[PJ]</v>
      </c>
      <c r="EV6" s="34" t="str">
        <f>VLOOKUP(EV3,Activities!$A$9:$Q$227,2,FALSE)</f>
        <v>[PJ]</v>
      </c>
      <c r="EW6" s="34" t="str">
        <f>VLOOKUP(EW3,Activities!$A$9:$Q$227,2,FALSE)</f>
        <v>[PJ]</v>
      </c>
      <c r="EX6" s="34" t="str">
        <f>VLOOKUP(EX3,Activities!$A$9:$Q$227,2,FALSE)</f>
        <v>[Mt]</v>
      </c>
      <c r="EY6" s="34" t="str">
        <f>VLOOKUP(EY3,Activities!$A$9:$Q$227,2,FALSE)</f>
        <v>[PJ]</v>
      </c>
      <c r="EZ6" s="34" t="str">
        <f>VLOOKUP(EZ3,Activities!$A$9:$Q$227,2,FALSE)</f>
        <v>[PJ]</v>
      </c>
      <c r="FA6" s="34" t="str">
        <f>VLOOKUP(FA3,Activities!$A$9:$Q$227,2,FALSE)</f>
        <v>[PJ]</v>
      </c>
      <c r="FB6" s="34" t="str">
        <f>VLOOKUP(FB3,Activities!$A$9:$Q$227,2,FALSE)</f>
        <v>[PJ]</v>
      </c>
      <c r="FC6" s="34" t="str">
        <f>VLOOKUP(FC3,Activities!$A$9:$Q$227,2,FALSE)</f>
        <v>[PJ]</v>
      </c>
      <c r="FD6" s="34" t="str">
        <f>VLOOKUP(FD3,Activities!$A$9:$Q$227,2,FALSE)</f>
        <v>[PJ]</v>
      </c>
      <c r="FE6" s="34" t="str">
        <f>VLOOKUP(FE3,Activities!$A$9:$Q$227,2,FALSE)</f>
        <v>[PJ]</v>
      </c>
      <c r="FF6" s="34" t="str">
        <f>VLOOKUP(FF3,Activities!$A$9:$Q$227,2,FALSE)</f>
        <v>[PJ]</v>
      </c>
      <c r="FG6" s="34" t="str">
        <f>VLOOKUP(FG3,Activities!$A$9:$Q$227,2,FALSE)</f>
        <v>[PJ]</v>
      </c>
      <c r="FH6" s="34" t="str">
        <f>VLOOKUP(FH3,Activities!$A$9:$Q$227,2,FALSE)</f>
        <v>[PJ]</v>
      </c>
      <c r="FI6" s="34" t="str">
        <f>VLOOKUP(FI3,Activities!$A$9:$Q$227,2,FALSE)</f>
        <v>[PJ]</v>
      </c>
      <c r="FJ6" s="34" t="str">
        <f>VLOOKUP(FJ3,Activities!$A$9:$Q$227,2,FALSE)</f>
        <v>[PJ]</v>
      </c>
      <c r="FK6" s="34" t="str">
        <f>VLOOKUP(FK3,Activities!$A$9:$Q$227,2,FALSE)</f>
        <v>[PJ]</v>
      </c>
      <c r="FL6" s="34" t="str">
        <f>VLOOKUP(FL3,Activities!$A$9:$Q$227,2,FALSE)</f>
        <v>[PJ]</v>
      </c>
      <c r="FM6" s="34" t="str">
        <f>VLOOKUP(FM3,Activities!$A$9:$Q$227,2,FALSE)</f>
        <v>[PJ]</v>
      </c>
      <c r="FN6" s="34" t="str">
        <f>VLOOKUP(FN3,Activities!$A$9:$Q$227,2,FALSE)</f>
        <v>[PJ]</v>
      </c>
      <c r="FO6" s="34" t="str">
        <f>VLOOKUP(FO3,Activities!$A$9:$Q$227,2,FALSE)</f>
        <v>[Mton_CO2e]</v>
      </c>
      <c r="FP6" s="34" t="str">
        <f>VLOOKUP(FP3,Activities!$A$9:$Q$227,2,FALSE)</f>
        <v>[Mton_CO2e]</v>
      </c>
      <c r="FQ6" s="34" t="str">
        <f>VLOOKUP(FQ3,Activities!$A$9:$Q$227,2,FALSE)</f>
        <v>[Mton_CO2e]</v>
      </c>
      <c r="FR6" s="34" t="str">
        <f>VLOOKUP(FR3,Activities!$A$9:$Q$227,2,FALSE)</f>
        <v>[Mton_CO2e]</v>
      </c>
      <c r="FS6" s="34" t="str">
        <f>VLOOKUP(FS3,Activities!$A$9:$Q$227,2,FALSE)</f>
        <v>[Mton_CO2e]</v>
      </c>
      <c r="FT6" s="34" t="str">
        <f>VLOOKUP(FT3,Activities!$A$9:$Q$227,2,FALSE)</f>
        <v>[Mton_CO2e]</v>
      </c>
      <c r="FU6" s="34" t="str">
        <f>VLOOKUP(FU3,Activities!$A$9:$Q$227,2,FALSE)</f>
        <v>[Mton_CO2e]</v>
      </c>
      <c r="FV6" s="34" t="str">
        <f>VLOOKUP(FV3,Activities!$A$9:$Q$227,2,FALSE)</f>
        <v>[Mton_CO2e]</v>
      </c>
      <c r="FW6" s="34" t="str">
        <f>VLOOKUP(FW3,Activities!$A$9:$Q$227,2,FALSE)</f>
        <v>[Mton_CO2e]</v>
      </c>
      <c r="FX6" s="34" t="str">
        <f>VLOOKUP(FX3,Activities!$A$9:$Q$227,2,FALSE)</f>
        <v>[Mton_CO2e]</v>
      </c>
      <c r="FY6" s="34" t="str">
        <f>VLOOKUP(FY3,Activities!$A$9:$Q$227,2,FALSE)</f>
        <v>[Mton_CO2e]</v>
      </c>
      <c r="FZ6" s="34" t="str">
        <f>VLOOKUP(FZ3,Activities!$A$9:$Q$227,2,FALSE)</f>
        <v>[Mton_CO2e]</v>
      </c>
      <c r="GA6" s="34" t="str">
        <f>VLOOKUP(GA3,Activities!$A$9:$Q$227,2,FALSE)</f>
        <v>[Mton_CO2e]</v>
      </c>
      <c r="GB6" s="34" t="str">
        <f>VLOOKUP(GB3,Activities!$A$9:$Q$227,2,FALSE)</f>
        <v>[Mton_CO2e]</v>
      </c>
      <c r="GC6" s="75" t="str">
        <f>VLOOKUP(GC3,Activities!$A$9:$Q$227,2,FALSE)</f>
        <v>[Mton_CO2]</v>
      </c>
      <c r="GD6" s="75" t="str">
        <f>VLOOKUP(GD3,Activities!$A$9:$Q$227,2,FALSE)</f>
        <v>[Mton_CO2]</v>
      </c>
      <c r="GE6" s="75" t="str">
        <f>VLOOKUP(GE3,Activities!$A$9:$Q$227,2,FALSE)</f>
        <v>[Mton_CO2]</v>
      </c>
      <c r="GF6" s="75" t="str">
        <f>VLOOKUP(GF3,Activities!$A$9:$Q$227,2,FALSE)</f>
        <v>[Mton_CO2]</v>
      </c>
      <c r="GG6" s="75" t="str">
        <f>VLOOKUP(GG3,Activities!$A$9:$Q$227,2,FALSE)</f>
        <v>[Mton_CO2]</v>
      </c>
    </row>
    <row r="7" spans="1:189" x14ac:dyDescent="0.35">
      <c r="A7" s="5" t="s">
        <v>653</v>
      </c>
      <c r="B7" s="5" t="str">
        <f>IF(Technologies!B7&lt;&gt;0,Technologies!B7,"")</f>
        <v>Gebouwde omgeving</v>
      </c>
      <c r="C7" s="5" t="str">
        <f>VLOOKUP($A7,Technologies!$A$7:$H$576,3,FALSE)</f>
        <v>Final</v>
      </c>
      <c r="D7" s="5" t="str">
        <f>VLOOKUP($A7,Technologies!$A$7:$H$576,4,FALSE)</f>
        <v>Residential</v>
      </c>
      <c r="E7" s="5" t="str">
        <f>VLOOKUP($A7,Technologies!$A$7:$H$576,6,FALSE)</f>
        <v>Electricity demand - Residential</v>
      </c>
      <c r="F7" s="5" t="str">
        <f>VLOOKUP($A7,Technologies!$A$7:$H$576,7,FALSE)</f>
        <v>Dummy standard electricity consumption - Residential</v>
      </c>
      <c r="G7" s="23"/>
      <c r="H7" s="23"/>
      <c r="I7" s="104" cm="1">
        <f t="array" ref="I7">-SUMPRODUCT((Feedstocks!$C$4:$C$141=A7)*Feedstocks!$E$4:$E$141,Feedstocks!$F$4:$F$141,Feedstocks!$H$4:$H$141,Feedstocks!$I$4:$I$141)</f>
        <v>0</v>
      </c>
      <c r="J7" s="104" cm="1">
        <f t="array" ref="J7">-SUMPRODUCT((Feedstocks!$C$4:$C$141=A7)*Feedstocks!$E$4:$E$141,Feedstocks!$H$4:$H$141,Feedstocks!$I$4:$I$141)</f>
        <v>0</v>
      </c>
      <c r="K7" s="104"/>
      <c r="L7" s="104"/>
      <c r="M7" s="23"/>
      <c r="N7" s="23" t="str">
        <f>VLOOKUP(E7,Activities!$A$9:$M$227,13,FALSE)</f>
        <v>NL</v>
      </c>
      <c r="O7" s="23"/>
      <c r="P7" s="79" t="s">
        <v>452</v>
      </c>
      <c r="Q7" s="35">
        <v>1</v>
      </c>
      <c r="R7" s="35"/>
      <c r="S7" s="35"/>
      <c r="T7" s="35"/>
      <c r="U7" s="35"/>
      <c r="V7" s="35"/>
      <c r="W7" s="35"/>
      <c r="X7" s="35"/>
      <c r="Y7" s="35"/>
      <c r="Z7" s="35"/>
      <c r="AA7" s="35"/>
      <c r="AB7" s="35"/>
      <c r="AC7" s="35"/>
      <c r="AD7" s="35"/>
      <c r="AE7" s="35"/>
      <c r="AF7" s="35"/>
      <c r="AG7" s="35"/>
      <c r="AH7" s="35"/>
      <c r="AI7" s="35"/>
      <c r="AJ7" s="35"/>
      <c r="AK7" s="35"/>
      <c r="AL7" s="35"/>
      <c r="AM7" s="35"/>
      <c r="AN7" s="35"/>
      <c r="AO7" s="35"/>
      <c r="AP7" s="35"/>
      <c r="AQ7" s="35"/>
      <c r="AR7" s="35"/>
      <c r="AS7" s="35"/>
      <c r="AT7" s="35"/>
      <c r="AU7" s="35"/>
      <c r="AV7" s="35"/>
      <c r="AW7" s="35"/>
      <c r="AX7" s="35"/>
      <c r="AY7" s="35"/>
      <c r="AZ7" s="35"/>
      <c r="BA7" s="35"/>
      <c r="BB7" s="35"/>
      <c r="BC7" s="35"/>
      <c r="BD7" s="35"/>
      <c r="BE7" s="35"/>
      <c r="BF7" s="35"/>
      <c r="BG7" s="35"/>
      <c r="BH7" s="35"/>
      <c r="BI7" s="35"/>
      <c r="BJ7" s="35"/>
      <c r="BK7" s="35"/>
      <c r="BL7" s="35"/>
      <c r="BM7" s="35"/>
      <c r="BN7" s="35"/>
      <c r="BO7" s="35"/>
      <c r="BP7" s="35"/>
      <c r="BQ7" s="35"/>
      <c r="BR7" s="35"/>
      <c r="BS7" s="35"/>
      <c r="BT7" s="35"/>
      <c r="BU7" s="35"/>
      <c r="BV7" s="35"/>
      <c r="BW7" s="35"/>
      <c r="BX7" s="35"/>
      <c r="BY7" s="35"/>
      <c r="BZ7" s="35"/>
      <c r="CA7" s="35"/>
      <c r="CB7" s="35"/>
      <c r="CC7" s="35"/>
      <c r="CD7" s="35"/>
      <c r="CE7" s="35"/>
      <c r="CF7" s="35"/>
      <c r="CG7" s="35"/>
      <c r="CH7" s="35"/>
      <c r="CI7" s="35"/>
      <c r="CJ7" s="35"/>
      <c r="CK7" s="35"/>
      <c r="CL7" s="35"/>
      <c r="CM7" s="35"/>
      <c r="CN7" s="35"/>
      <c r="CO7" s="35"/>
      <c r="CP7" s="35"/>
      <c r="CQ7" s="35"/>
      <c r="CR7" s="35"/>
      <c r="CS7" s="35"/>
      <c r="CT7" s="35"/>
      <c r="CU7" s="35"/>
      <c r="CV7" s="35"/>
      <c r="CW7" s="35"/>
      <c r="CX7" s="35"/>
      <c r="CY7" s="35"/>
      <c r="CZ7" s="35"/>
      <c r="DA7" s="35"/>
      <c r="DB7" s="35"/>
      <c r="DC7" s="35"/>
      <c r="DD7" s="35"/>
      <c r="DE7" s="35"/>
      <c r="DF7" s="35"/>
      <c r="DG7" s="35"/>
      <c r="DH7" s="35"/>
      <c r="DI7" s="35">
        <v>-1</v>
      </c>
      <c r="DJ7" s="35"/>
      <c r="DK7" s="35"/>
      <c r="DL7" s="35"/>
      <c r="DM7" s="35"/>
      <c r="DN7" s="35"/>
      <c r="DO7" s="35"/>
      <c r="DP7" s="35"/>
      <c r="DQ7" s="35"/>
      <c r="DR7" s="35"/>
      <c r="DS7" s="35"/>
      <c r="DT7" s="35"/>
      <c r="DU7" s="35"/>
      <c r="DV7" s="35"/>
      <c r="DW7" s="35"/>
      <c r="DX7" s="35"/>
      <c r="DY7" s="35"/>
      <c r="DZ7" s="35"/>
      <c r="EA7" s="35"/>
      <c r="EB7" s="35"/>
      <c r="EC7" s="35"/>
      <c r="ED7" s="35"/>
      <c r="EE7" s="35"/>
      <c r="EF7" s="35"/>
      <c r="EG7" s="35"/>
      <c r="EH7" s="35"/>
      <c r="EI7" s="35"/>
      <c r="EJ7" s="35"/>
      <c r="EK7" s="35"/>
      <c r="EL7" s="35"/>
      <c r="EM7" s="35"/>
      <c r="EN7" s="35"/>
      <c r="EO7" s="35"/>
      <c r="EP7" s="35"/>
      <c r="EQ7" s="35"/>
      <c r="ER7" s="35"/>
      <c r="ES7" s="35"/>
      <c r="ET7" s="35"/>
      <c r="EU7" s="35"/>
      <c r="EV7" s="35"/>
      <c r="EW7" s="35"/>
      <c r="EX7" s="35"/>
      <c r="EY7" s="35"/>
      <c r="EZ7" s="35"/>
      <c r="FA7" s="35"/>
      <c r="FB7" s="35"/>
      <c r="FC7" s="35"/>
      <c r="FD7" s="35"/>
      <c r="FE7" s="35"/>
      <c r="FF7" s="35"/>
      <c r="FG7" s="35"/>
      <c r="FH7" s="35"/>
      <c r="FI7" s="35"/>
      <c r="FJ7" s="35"/>
      <c r="FK7" s="35"/>
      <c r="FL7" s="35"/>
      <c r="FM7" s="35"/>
      <c r="FN7" s="35"/>
      <c r="FO7" s="35"/>
      <c r="FP7" s="35"/>
      <c r="FQ7" s="35"/>
      <c r="FR7" s="35"/>
      <c r="FS7" s="35"/>
      <c r="FT7" s="35"/>
      <c r="FU7" s="35"/>
      <c r="FV7" s="35"/>
      <c r="FW7" s="35"/>
      <c r="FX7" s="35"/>
      <c r="FY7" s="35"/>
      <c r="FZ7" s="35"/>
      <c r="GA7" s="35"/>
      <c r="GB7" s="318"/>
      <c r="GC7" s="178">
        <f t="shared" ref="GC7:GC38" si="0">ROUND(IF($C7="Primary",0,-$G7*(SUMPRODUCT($Q$4:$GA$4,$Q7:$GA7)+$J7)-$H7)*IF($N7=GC$4,1,0),4)</f>
        <v>0</v>
      </c>
      <c r="GD7" s="178">
        <f t="shared" ref="GD7:GD38" si="1">ROUND(IF($C7="Primary",0,$M7*(1-$O7)*($G7*(SUMPRODUCT($Q$4:$GA$4,$Q7:$GA7)+$J7)+$H7-SUMPRODUCT($Q$5:$GA$5,$Q7:$GA7)-$I7+$K7))*IF($N7=GD$4,1,0),4)</f>
        <v>0</v>
      </c>
      <c r="GE7" s="178">
        <f t="shared" ref="GE7:GE38" si="2">ROUND(IF($C7="Primary",0,(1-$M7)*(1-$O7)*($G7*(SUMPRODUCT($Q$4:$GA$4,$Q7:$GA7)+$J7)+$H7-SUMPRODUCT($Q$5:$GA$5,$Q7:$GA7)-$I7+$L7))*IF($N7=GD$4,1,0),4)</f>
        <v>0</v>
      </c>
      <c r="GF7" s="178">
        <f t="shared" ref="GF7:GF38" si="3">ROUND(IF($C7="Primary",0,$O7*($G7*(SUMPRODUCT($Q$4:$GA$4,$Q7:$GA7)+$J7)-SUMPRODUCT($Q$5:$GA$5,$Q7:$GA7)-$I7))*IF($N7=GD$4,1,0),4)</f>
        <v>0</v>
      </c>
      <c r="GG7" s="178">
        <f>$I7</f>
        <v>0</v>
      </c>
    </row>
    <row r="8" spans="1:189" x14ac:dyDescent="0.35">
      <c r="A8" s="6" t="s">
        <v>664</v>
      </c>
      <c r="B8" s="6" t="str">
        <f>IF(Technologies!B8&lt;&gt;0,Technologies!B8,"")</f>
        <v>Gebouwde omgeving</v>
      </c>
      <c r="C8" s="6" t="str">
        <f>VLOOKUP($A8,Technologies!$A$7:$H$576,3,FALSE)</f>
        <v>Final</v>
      </c>
      <c r="D8" s="6" t="str">
        <f>VLOOKUP($A8,Technologies!$A$7:$H$576,4,FALSE)</f>
        <v>Residential</v>
      </c>
      <c r="E8" s="6" t="str">
        <f>VLOOKUP($A8,Technologies!$A$7:$H$576,6,FALSE)</f>
        <v>Electricity demand - Residential</v>
      </c>
      <c r="F8" s="48" t="str">
        <f>VLOOKUP($A8,Technologies!$A$7:$H$576,7,FALSE)</f>
        <v>Flexible standard electricity consumption - Residential</v>
      </c>
      <c r="G8" s="22"/>
      <c r="H8" s="22"/>
      <c r="I8" s="103" cm="1">
        <f t="array" ref="I8">-SUMPRODUCT((Feedstocks!$C$4:$C$141=A8)*Feedstocks!$E$4:$E$141,Feedstocks!$F$4:$F$141,Feedstocks!$H$4:$H$141,Feedstocks!$I$4:$I$141)</f>
        <v>0</v>
      </c>
      <c r="J8" s="103" cm="1">
        <f t="array" ref="J8">-SUMPRODUCT((Feedstocks!$C$4:$C$141=A8)*Feedstocks!$E$4:$E$141,Feedstocks!$H$4:$H$141,Feedstocks!$I$4:$I$141)</f>
        <v>0</v>
      </c>
      <c r="K8" s="103"/>
      <c r="L8" s="103"/>
      <c r="M8" s="22"/>
      <c r="N8" s="22" t="str">
        <f>VLOOKUP(E8,Activities!$A$9:$M$227,13,FALSE)</f>
        <v>NL</v>
      </c>
      <c r="O8" s="22"/>
      <c r="P8" s="80" t="s">
        <v>452</v>
      </c>
      <c r="Q8" s="36">
        <v>1</v>
      </c>
      <c r="R8" s="36"/>
      <c r="S8" s="36"/>
      <c r="T8" s="36"/>
      <c r="U8" s="36"/>
      <c r="V8" s="36"/>
      <c r="W8" s="36"/>
      <c r="X8" s="36"/>
      <c r="Y8" s="36"/>
      <c r="Z8" s="36"/>
      <c r="AA8" s="36"/>
      <c r="AB8" s="36"/>
      <c r="AC8" s="36"/>
      <c r="AD8" s="36"/>
      <c r="AE8" s="36"/>
      <c r="AF8" s="36"/>
      <c r="AG8" s="36"/>
      <c r="AH8" s="36"/>
      <c r="AI8" s="36"/>
      <c r="AJ8" s="36"/>
      <c r="AK8" s="36"/>
      <c r="AL8" s="36"/>
      <c r="AM8" s="36"/>
      <c r="AN8" s="36"/>
      <c r="AO8" s="36"/>
      <c r="AP8" s="36"/>
      <c r="AQ8" s="36"/>
      <c r="AR8" s="36"/>
      <c r="AS8" s="36"/>
      <c r="AT8" s="36"/>
      <c r="AU8" s="36"/>
      <c r="AV8" s="36"/>
      <c r="AW8" s="36"/>
      <c r="AX8" s="36"/>
      <c r="AY8" s="36"/>
      <c r="AZ8" s="36"/>
      <c r="BA8" s="36"/>
      <c r="BB8" s="36"/>
      <c r="BC8" s="36"/>
      <c r="BD8" s="36"/>
      <c r="BE8" s="36"/>
      <c r="BF8" s="36"/>
      <c r="BG8" s="36"/>
      <c r="BH8" s="36"/>
      <c r="BI8" s="36"/>
      <c r="BJ8" s="36"/>
      <c r="BK8" s="36"/>
      <c r="BL8" s="36"/>
      <c r="BM8" s="36"/>
      <c r="BN8" s="36"/>
      <c r="BO8" s="36"/>
      <c r="BP8" s="36"/>
      <c r="BQ8" s="36"/>
      <c r="BR8" s="36"/>
      <c r="BS8" s="36"/>
      <c r="BT8" s="36"/>
      <c r="BU8" s="36"/>
      <c r="BV8" s="36"/>
      <c r="BW8" s="36"/>
      <c r="BX8" s="36"/>
      <c r="BY8" s="36"/>
      <c r="BZ8" s="36"/>
      <c r="CA8" s="36"/>
      <c r="CB8" s="36"/>
      <c r="CC8" s="36"/>
      <c r="CD8" s="36"/>
      <c r="CE8" s="36"/>
      <c r="CF8" s="36"/>
      <c r="CG8" s="36"/>
      <c r="CH8" s="36"/>
      <c r="CI8" s="36"/>
      <c r="CJ8" s="36"/>
      <c r="CK8" s="36"/>
      <c r="CL8" s="36"/>
      <c r="CM8" s="36"/>
      <c r="CN8" s="36"/>
      <c r="CO8" s="36"/>
      <c r="CP8" s="36"/>
      <c r="CQ8" s="36"/>
      <c r="CR8" s="36"/>
      <c r="CS8" s="36"/>
      <c r="CT8" s="36"/>
      <c r="CU8" s="36"/>
      <c r="CV8" s="36"/>
      <c r="CW8" s="36"/>
      <c r="CX8" s="36"/>
      <c r="CY8" s="36"/>
      <c r="CZ8" s="36"/>
      <c r="DA8" s="36"/>
      <c r="DB8" s="36"/>
      <c r="DC8" s="36"/>
      <c r="DD8" s="36"/>
      <c r="DE8" s="36"/>
      <c r="DF8" s="36"/>
      <c r="DG8" s="36"/>
      <c r="DH8" s="36"/>
      <c r="DI8" s="36">
        <v>-1</v>
      </c>
      <c r="DJ8" s="36"/>
      <c r="DK8" s="36"/>
      <c r="DL8" s="36"/>
      <c r="DM8" s="36"/>
      <c r="DN8" s="36"/>
      <c r="DO8" s="36"/>
      <c r="DP8" s="36"/>
      <c r="DQ8" s="36"/>
      <c r="DR8" s="36"/>
      <c r="DS8" s="36"/>
      <c r="DT8" s="36"/>
      <c r="DU8" s="36"/>
      <c r="DV8" s="36"/>
      <c r="DW8" s="36"/>
      <c r="DX8" s="36"/>
      <c r="DY8" s="36"/>
      <c r="DZ8" s="36"/>
      <c r="EA8" s="36"/>
      <c r="EB8" s="36"/>
      <c r="EC8" s="36"/>
      <c r="ED8" s="36"/>
      <c r="EE8" s="36"/>
      <c r="EF8" s="36"/>
      <c r="EG8" s="36"/>
      <c r="EH8" s="36"/>
      <c r="EI8" s="36"/>
      <c r="EJ8" s="36"/>
      <c r="EK8" s="36"/>
      <c r="EL8" s="36"/>
      <c r="EM8" s="36"/>
      <c r="EN8" s="36"/>
      <c r="EO8" s="36"/>
      <c r="EP8" s="36"/>
      <c r="EQ8" s="36"/>
      <c r="ER8" s="36"/>
      <c r="ES8" s="36"/>
      <c r="ET8" s="36"/>
      <c r="EU8" s="36"/>
      <c r="EV8" s="36"/>
      <c r="EW8" s="36"/>
      <c r="EX8" s="36"/>
      <c r="EY8" s="36"/>
      <c r="EZ8" s="36"/>
      <c r="FA8" s="36"/>
      <c r="FB8" s="36"/>
      <c r="FC8" s="36"/>
      <c r="FD8" s="36"/>
      <c r="FE8" s="36"/>
      <c r="FF8" s="36"/>
      <c r="FG8" s="36"/>
      <c r="FH8" s="36"/>
      <c r="FI8" s="36"/>
      <c r="FJ8" s="36"/>
      <c r="FK8" s="36"/>
      <c r="FL8" s="36"/>
      <c r="FM8" s="36"/>
      <c r="FN8" s="36"/>
      <c r="FO8" s="36"/>
      <c r="FP8" s="36"/>
      <c r="FQ8" s="36"/>
      <c r="FR8" s="36"/>
      <c r="FS8" s="36"/>
      <c r="FT8" s="36"/>
      <c r="FU8" s="36"/>
      <c r="FV8" s="36"/>
      <c r="FW8" s="36"/>
      <c r="FX8" s="36"/>
      <c r="FY8" s="36"/>
      <c r="FZ8" s="36"/>
      <c r="GA8" s="36"/>
      <c r="GB8" s="319"/>
      <c r="GC8" s="179">
        <f t="shared" si="0"/>
        <v>0</v>
      </c>
      <c r="GD8" s="179">
        <f t="shared" si="1"/>
        <v>0</v>
      </c>
      <c r="GE8" s="179">
        <f t="shared" si="2"/>
        <v>0</v>
      </c>
      <c r="GF8" s="179">
        <f t="shared" si="3"/>
        <v>0</v>
      </c>
      <c r="GG8" s="179">
        <f t="shared" ref="GG8:GG70" si="4">$I8</f>
        <v>0</v>
      </c>
    </row>
    <row r="9" spans="1:189" x14ac:dyDescent="0.35">
      <c r="A9" s="5" t="s">
        <v>668</v>
      </c>
      <c r="B9" s="5" t="str">
        <f>IF(Technologies!B9&lt;&gt;0,Technologies!B9,"")</f>
        <v>Gebouwde omgeving</v>
      </c>
      <c r="C9" s="5" t="str">
        <f>VLOOKUP($A9,Technologies!$A$7:$H$576,3,FALSE)</f>
        <v>Final</v>
      </c>
      <c r="D9" s="5" t="str">
        <f>VLOOKUP($A9,Technologies!$A$7:$H$576,4,FALSE)</f>
        <v>Residential</v>
      </c>
      <c r="E9" s="5" t="str">
        <f>VLOOKUP($A9,Technologies!$A$7:$H$576,6,FALSE)</f>
        <v>Houses - Residential Flats</v>
      </c>
      <c r="F9" s="5" t="str">
        <f>VLOOKUP($A9,Technologies!$A$7:$H$576,7,FALSE)</f>
        <v>House with insulation GFE - Residential Flats</v>
      </c>
      <c r="G9" s="23"/>
      <c r="H9" s="23"/>
      <c r="I9" s="104" cm="1">
        <f t="array" ref="I9">-SUMPRODUCT((Feedstocks!$C$4:$C$141=A9)*Feedstocks!$E$4:$E$141,Feedstocks!$F$4:$F$141,Feedstocks!$H$4:$H$141,Feedstocks!$I$4:$I$141)</f>
        <v>0</v>
      </c>
      <c r="J9" s="104" cm="1">
        <f t="array" ref="J9">-SUMPRODUCT((Feedstocks!$C$4:$C$141=A9)*Feedstocks!$E$4:$E$141,Feedstocks!$H$4:$H$141,Feedstocks!$I$4:$I$141)</f>
        <v>0</v>
      </c>
      <c r="K9" s="104"/>
      <c r="L9" s="104"/>
      <c r="M9" s="23"/>
      <c r="N9" s="23" t="str">
        <f>VLOOKUP(E9,Activities!$A$9:$M$227,13,FALSE)</f>
        <v>NL</v>
      </c>
      <c r="O9" s="23"/>
      <c r="P9" s="79" t="s">
        <v>452</v>
      </c>
      <c r="Q9" s="35"/>
      <c r="R9" s="35">
        <v>1</v>
      </c>
      <c r="S9" s="35"/>
      <c r="T9" s="35"/>
      <c r="U9" s="35"/>
      <c r="V9" s="35"/>
      <c r="W9" s="35"/>
      <c r="X9" s="35"/>
      <c r="Y9" s="35"/>
      <c r="Z9" s="35"/>
      <c r="AA9" s="35"/>
      <c r="AB9" s="35"/>
      <c r="AC9" s="35"/>
      <c r="AD9" s="35"/>
      <c r="AE9" s="35"/>
      <c r="AF9" s="35"/>
      <c r="AG9" s="35"/>
      <c r="AH9" s="35"/>
      <c r="AI9" s="35"/>
      <c r="AJ9" s="35"/>
      <c r="AK9" s="35"/>
      <c r="AL9" s="35"/>
      <c r="AM9" s="35"/>
      <c r="AN9" s="35"/>
      <c r="AO9" s="35"/>
      <c r="AP9" s="35"/>
      <c r="AQ9" s="35"/>
      <c r="AR9" s="35"/>
      <c r="AS9" s="35"/>
      <c r="AT9" s="35"/>
      <c r="AU9" s="35"/>
      <c r="AV9" s="35"/>
      <c r="AW9" s="35"/>
      <c r="AX9" s="35"/>
      <c r="AY9" s="35"/>
      <c r="AZ9" s="35"/>
      <c r="BA9" s="35"/>
      <c r="BB9" s="35"/>
      <c r="BC9" s="35"/>
      <c r="BD9" s="35"/>
      <c r="BE9" s="35"/>
      <c r="BF9" s="35"/>
      <c r="BG9" s="35"/>
      <c r="BH9" s="35"/>
      <c r="BI9" s="35"/>
      <c r="BJ9" s="35"/>
      <c r="BK9" s="35"/>
      <c r="BL9" s="35"/>
      <c r="BM9" s="35"/>
      <c r="BN9" s="35"/>
      <c r="BO9" s="35"/>
      <c r="BP9" s="35"/>
      <c r="BQ9" s="35"/>
      <c r="BR9" s="35"/>
      <c r="BS9" s="35"/>
      <c r="BT9" s="35"/>
      <c r="BU9" s="35"/>
      <c r="BV9" s="35"/>
      <c r="BW9" s="35"/>
      <c r="BX9" s="35"/>
      <c r="BY9" s="35"/>
      <c r="BZ9" s="35"/>
      <c r="CA9" s="35"/>
      <c r="CB9" s="35"/>
      <c r="CC9" s="35"/>
      <c r="CD9" s="35"/>
      <c r="CE9" s="35"/>
      <c r="CF9" s="35"/>
      <c r="CG9" s="35"/>
      <c r="CH9" s="35"/>
      <c r="CI9" s="35"/>
      <c r="CJ9" s="35"/>
      <c r="CK9" s="35"/>
      <c r="CL9" s="35"/>
      <c r="CM9" s="35"/>
      <c r="CN9" s="35"/>
      <c r="CO9" s="35"/>
      <c r="CP9" s="35"/>
      <c r="CQ9" s="35"/>
      <c r="CR9" s="35"/>
      <c r="CS9" s="35"/>
      <c r="CT9" s="35"/>
      <c r="CU9" s="35"/>
      <c r="CV9" s="35"/>
      <c r="CW9" s="35"/>
      <c r="CX9" s="35"/>
      <c r="CY9" s="35"/>
      <c r="CZ9" s="35"/>
      <c r="DA9" s="35"/>
      <c r="DB9" s="35"/>
      <c r="DC9" s="35"/>
      <c r="DD9" s="35"/>
      <c r="DE9" s="35"/>
      <c r="DF9" s="35"/>
      <c r="DG9" s="35"/>
      <c r="DH9" s="35"/>
      <c r="DI9" s="35"/>
      <c r="DJ9" s="35">
        <v>-3.0508399999999998E-2</v>
      </c>
      <c r="DK9" s="35"/>
      <c r="DL9" s="35"/>
      <c r="DM9" s="35"/>
      <c r="DN9" s="35"/>
      <c r="DO9" s="35"/>
      <c r="DP9" s="35"/>
      <c r="DQ9" s="35"/>
      <c r="DR9" s="35"/>
      <c r="DS9" s="35"/>
      <c r="DT9" s="35"/>
      <c r="DU9" s="35"/>
      <c r="DV9" s="35"/>
      <c r="DW9" s="35"/>
      <c r="DX9" s="35"/>
      <c r="DY9" s="35"/>
      <c r="DZ9" s="35"/>
      <c r="EA9" s="35"/>
      <c r="EB9" s="35"/>
      <c r="EC9" s="35"/>
      <c r="ED9" s="35"/>
      <c r="EE9" s="35"/>
      <c r="EF9" s="35"/>
      <c r="EG9" s="35"/>
      <c r="EH9" s="35"/>
      <c r="EI9" s="35"/>
      <c r="EJ9" s="35"/>
      <c r="EK9" s="35"/>
      <c r="EL9" s="35"/>
      <c r="EM9" s="35"/>
      <c r="EN9" s="35"/>
      <c r="EO9" s="35"/>
      <c r="EP9" s="35"/>
      <c r="EQ9" s="35"/>
      <c r="ER9" s="35"/>
      <c r="ES9" s="35"/>
      <c r="ET9" s="35"/>
      <c r="EU9" s="35"/>
      <c r="EV9" s="35"/>
      <c r="EW9" s="35"/>
      <c r="EX9" s="35"/>
      <c r="EY9" s="35"/>
      <c r="EZ9" s="35"/>
      <c r="FA9" s="35"/>
      <c r="FB9" s="35"/>
      <c r="FC9" s="35"/>
      <c r="FD9" s="35"/>
      <c r="FE9" s="35"/>
      <c r="FF9" s="35"/>
      <c r="FG9" s="35"/>
      <c r="FH9" s="35"/>
      <c r="FI9" s="35"/>
      <c r="FJ9" s="35"/>
      <c r="FK9" s="35"/>
      <c r="FL9" s="35"/>
      <c r="FM9" s="35"/>
      <c r="FN9" s="35"/>
      <c r="FO9" s="35"/>
      <c r="FP9" s="35"/>
      <c r="FQ9" s="35"/>
      <c r="FR9" s="35"/>
      <c r="FS9" s="35"/>
      <c r="FT9" s="35"/>
      <c r="FU9" s="35"/>
      <c r="FV9" s="35"/>
      <c r="FW9" s="35"/>
      <c r="FX9" s="35"/>
      <c r="FY9" s="35"/>
      <c r="FZ9" s="35"/>
      <c r="GA9" s="35"/>
      <c r="GB9" s="318"/>
      <c r="GC9" s="178">
        <f t="shared" si="0"/>
        <v>0</v>
      </c>
      <c r="GD9" s="178">
        <f t="shared" si="1"/>
        <v>0</v>
      </c>
      <c r="GE9" s="178">
        <f t="shared" si="2"/>
        <v>0</v>
      </c>
      <c r="GF9" s="178">
        <f t="shared" si="3"/>
        <v>0</v>
      </c>
      <c r="GG9" s="178">
        <f t="shared" si="4"/>
        <v>0</v>
      </c>
    </row>
    <row r="10" spans="1:189" x14ac:dyDescent="0.35">
      <c r="A10" s="6" t="s">
        <v>673</v>
      </c>
      <c r="B10" s="6" t="str">
        <f>IF(Technologies!B10&lt;&gt;0,Technologies!B10,"")</f>
        <v>Gebouwde omgeving</v>
      </c>
      <c r="C10" s="6" t="str">
        <f>VLOOKUP($A10,Technologies!$A$7:$H$576,3,FALSE)</f>
        <v>Final</v>
      </c>
      <c r="D10" s="6" t="str">
        <f>VLOOKUP($A10,Technologies!$A$7:$H$576,4,FALSE)</f>
        <v>Residential</v>
      </c>
      <c r="E10" s="6" t="str">
        <f>VLOOKUP($A10,Technologies!$A$7:$H$576,6,FALSE)</f>
        <v>Houses - Residential Flats</v>
      </c>
      <c r="F10" s="48" t="str">
        <f>VLOOKUP($A10,Technologies!$A$7:$H$576,7,FALSE)</f>
        <v>House with insulation DC - Residential Flats</v>
      </c>
      <c r="G10" s="22"/>
      <c r="H10" s="22"/>
      <c r="I10" s="103" cm="1">
        <f t="array" ref="I10">-SUMPRODUCT((Feedstocks!$C$4:$C$141=A10)*Feedstocks!$E$4:$E$141,Feedstocks!$F$4:$F$141,Feedstocks!$H$4:$H$141,Feedstocks!$I$4:$I$141)</f>
        <v>0</v>
      </c>
      <c r="J10" s="103" cm="1">
        <f t="array" ref="J10">-SUMPRODUCT((Feedstocks!$C$4:$C$141=A10)*Feedstocks!$E$4:$E$141,Feedstocks!$H$4:$H$141,Feedstocks!$I$4:$I$141)</f>
        <v>0</v>
      </c>
      <c r="K10" s="103"/>
      <c r="L10" s="103"/>
      <c r="M10" s="22"/>
      <c r="N10" s="22" t="str">
        <f>VLOOKUP(E10,Activities!$A$9:$M$227,13,FALSE)</f>
        <v>NL</v>
      </c>
      <c r="O10" s="22"/>
      <c r="P10" s="80" t="s">
        <v>452</v>
      </c>
      <c r="Q10" s="36"/>
      <c r="R10" s="36">
        <v>1</v>
      </c>
      <c r="S10" s="36"/>
      <c r="T10" s="36"/>
      <c r="U10" s="36"/>
      <c r="V10" s="36"/>
      <c r="W10" s="36"/>
      <c r="X10" s="36"/>
      <c r="Y10" s="36"/>
      <c r="Z10" s="36"/>
      <c r="AA10" s="36"/>
      <c r="AB10" s="36"/>
      <c r="AC10" s="36"/>
      <c r="AD10" s="36"/>
      <c r="AE10" s="36"/>
      <c r="AF10" s="36"/>
      <c r="AG10" s="36"/>
      <c r="AH10" s="36"/>
      <c r="AI10" s="36"/>
      <c r="AJ10" s="36"/>
      <c r="AK10" s="36"/>
      <c r="AL10" s="36"/>
      <c r="AM10" s="36"/>
      <c r="AN10" s="36"/>
      <c r="AO10" s="36"/>
      <c r="AP10" s="36"/>
      <c r="AQ10" s="36"/>
      <c r="AR10" s="36"/>
      <c r="AS10" s="36"/>
      <c r="AT10" s="36"/>
      <c r="AU10" s="36"/>
      <c r="AV10" s="36"/>
      <c r="AW10" s="36"/>
      <c r="AX10" s="36"/>
      <c r="AY10" s="36"/>
      <c r="AZ10" s="36"/>
      <c r="BA10" s="36"/>
      <c r="BB10" s="36"/>
      <c r="BC10" s="36"/>
      <c r="BD10" s="36"/>
      <c r="BE10" s="36"/>
      <c r="BF10" s="36"/>
      <c r="BG10" s="36"/>
      <c r="BH10" s="36"/>
      <c r="BI10" s="36"/>
      <c r="BJ10" s="36"/>
      <c r="BK10" s="36"/>
      <c r="BL10" s="36"/>
      <c r="BM10" s="36"/>
      <c r="BN10" s="36"/>
      <c r="BO10" s="36"/>
      <c r="BP10" s="36"/>
      <c r="BQ10" s="36"/>
      <c r="BR10" s="36"/>
      <c r="BS10" s="36"/>
      <c r="BT10" s="36"/>
      <c r="BU10" s="36"/>
      <c r="BV10" s="36"/>
      <c r="BW10" s="36"/>
      <c r="BX10" s="36"/>
      <c r="BY10" s="36"/>
      <c r="BZ10" s="36"/>
      <c r="CA10" s="36"/>
      <c r="CB10" s="36"/>
      <c r="CC10" s="36"/>
      <c r="CD10" s="36"/>
      <c r="CE10" s="36"/>
      <c r="CF10" s="36"/>
      <c r="CG10" s="36"/>
      <c r="CH10" s="36"/>
      <c r="CI10" s="36"/>
      <c r="CJ10" s="36"/>
      <c r="CK10" s="36"/>
      <c r="CL10" s="36"/>
      <c r="CM10" s="36"/>
      <c r="CN10" s="36"/>
      <c r="CO10" s="36"/>
      <c r="CP10" s="36"/>
      <c r="CQ10" s="36"/>
      <c r="CR10" s="36"/>
      <c r="CS10" s="36"/>
      <c r="CT10" s="36"/>
      <c r="CU10" s="36"/>
      <c r="CV10" s="36"/>
      <c r="CW10" s="36"/>
      <c r="CX10" s="36"/>
      <c r="CY10" s="36"/>
      <c r="CZ10" s="36"/>
      <c r="DA10" s="36"/>
      <c r="DB10" s="36"/>
      <c r="DC10" s="36"/>
      <c r="DD10" s="36"/>
      <c r="DE10" s="36"/>
      <c r="DF10" s="36"/>
      <c r="DG10" s="36"/>
      <c r="DH10" s="36"/>
      <c r="DI10" s="36"/>
      <c r="DJ10" s="36">
        <v>-2.93484E-2</v>
      </c>
      <c r="DK10" s="36"/>
      <c r="DL10" s="36"/>
      <c r="DM10" s="36"/>
      <c r="DN10" s="36"/>
      <c r="DO10" s="36"/>
      <c r="DP10" s="36"/>
      <c r="DQ10" s="36"/>
      <c r="DR10" s="36"/>
      <c r="DS10" s="36"/>
      <c r="DT10" s="36"/>
      <c r="DU10" s="36"/>
      <c r="DV10" s="36"/>
      <c r="DW10" s="36"/>
      <c r="DX10" s="36"/>
      <c r="DY10" s="36"/>
      <c r="DZ10" s="36"/>
      <c r="EA10" s="36"/>
      <c r="EB10" s="36"/>
      <c r="EC10" s="36"/>
      <c r="ED10" s="36"/>
      <c r="EE10" s="36"/>
      <c r="EF10" s="36"/>
      <c r="EG10" s="36"/>
      <c r="EH10" s="36"/>
      <c r="EI10" s="36"/>
      <c r="EJ10" s="36"/>
      <c r="EK10" s="36"/>
      <c r="EL10" s="36"/>
      <c r="EM10" s="36"/>
      <c r="EN10" s="36"/>
      <c r="EO10" s="36"/>
      <c r="EP10" s="36"/>
      <c r="EQ10" s="36"/>
      <c r="ER10" s="36"/>
      <c r="ES10" s="36"/>
      <c r="ET10" s="36"/>
      <c r="EU10" s="36"/>
      <c r="EV10" s="36"/>
      <c r="EW10" s="36"/>
      <c r="EX10" s="36"/>
      <c r="EY10" s="36"/>
      <c r="EZ10" s="36"/>
      <c r="FA10" s="36"/>
      <c r="FB10" s="36"/>
      <c r="FC10" s="36"/>
      <c r="FD10" s="36"/>
      <c r="FE10" s="36"/>
      <c r="FF10" s="36"/>
      <c r="FG10" s="36"/>
      <c r="FH10" s="36"/>
      <c r="FI10" s="36"/>
      <c r="FJ10" s="36"/>
      <c r="FK10" s="36"/>
      <c r="FL10" s="36"/>
      <c r="FM10" s="36"/>
      <c r="FN10" s="36"/>
      <c r="FO10" s="36"/>
      <c r="FP10" s="36"/>
      <c r="FQ10" s="36"/>
      <c r="FR10" s="36"/>
      <c r="FS10" s="36"/>
      <c r="FT10" s="36"/>
      <c r="FU10" s="36"/>
      <c r="FV10" s="36"/>
      <c r="FW10" s="36"/>
      <c r="FX10" s="36"/>
      <c r="FY10" s="36"/>
      <c r="FZ10" s="36"/>
      <c r="GA10" s="36"/>
      <c r="GB10" s="319"/>
      <c r="GC10" s="179">
        <f t="shared" si="0"/>
        <v>0</v>
      </c>
      <c r="GD10" s="179">
        <f t="shared" si="1"/>
        <v>0</v>
      </c>
      <c r="GE10" s="179">
        <f t="shared" si="2"/>
        <v>0</v>
      </c>
      <c r="GF10" s="179">
        <f t="shared" si="3"/>
        <v>0</v>
      </c>
      <c r="GG10" s="179">
        <f t="shared" si="4"/>
        <v>0</v>
      </c>
    </row>
    <row r="11" spans="1:189" x14ac:dyDescent="0.35">
      <c r="A11" s="5" t="s">
        <v>675</v>
      </c>
      <c r="B11" s="5" t="str">
        <f>IF(Technologies!B11&lt;&gt;0,Technologies!B11,"")</f>
        <v>Gebouwde omgeving</v>
      </c>
      <c r="C11" s="5" t="str">
        <f>VLOOKUP($A11,Technologies!$A$7:$H$576,3,FALSE)</f>
        <v>Final</v>
      </c>
      <c r="D11" s="5" t="str">
        <f>VLOOKUP($A11,Technologies!$A$7:$H$576,4,FALSE)</f>
        <v>Residential</v>
      </c>
      <c r="E11" s="5" t="str">
        <f>VLOOKUP($A11,Technologies!$A$7:$H$576,6,FALSE)</f>
        <v>Houses - Residential Flats</v>
      </c>
      <c r="F11" s="5" t="str">
        <f>VLOOKUP($A11,Technologies!$A$7:$H$576,7,FALSE)</f>
        <v>House with insulation B - Residential Flats</v>
      </c>
      <c r="G11" s="23"/>
      <c r="H11" s="23"/>
      <c r="I11" s="104" cm="1">
        <f t="array" ref="I11">-SUMPRODUCT((Feedstocks!$C$4:$C$141=A11)*Feedstocks!$E$4:$E$141,Feedstocks!$F$4:$F$141,Feedstocks!$H$4:$H$141,Feedstocks!$I$4:$I$141)</f>
        <v>0</v>
      </c>
      <c r="J11" s="104" cm="1">
        <f t="array" ref="J11">-SUMPRODUCT((Feedstocks!$C$4:$C$141=A11)*Feedstocks!$E$4:$E$141,Feedstocks!$H$4:$H$141,Feedstocks!$I$4:$I$141)</f>
        <v>0</v>
      </c>
      <c r="K11" s="104"/>
      <c r="L11" s="104"/>
      <c r="M11" s="23"/>
      <c r="N11" s="23" t="str">
        <f>VLOOKUP(E11,Activities!$A$9:$M$227,13,FALSE)</f>
        <v>NL</v>
      </c>
      <c r="O11" s="23"/>
      <c r="P11" s="79" t="s">
        <v>452</v>
      </c>
      <c r="Q11" s="35"/>
      <c r="R11" s="35">
        <v>1</v>
      </c>
      <c r="S11" s="35"/>
      <c r="T11" s="35"/>
      <c r="U11" s="35"/>
      <c r="V11" s="35"/>
      <c r="W11" s="35"/>
      <c r="X11" s="35"/>
      <c r="Y11" s="35"/>
      <c r="Z11" s="35"/>
      <c r="AA11" s="35"/>
      <c r="AB11" s="35"/>
      <c r="AC11" s="35"/>
      <c r="AD11" s="35"/>
      <c r="AE11" s="35"/>
      <c r="AF11" s="35"/>
      <c r="AG11" s="35"/>
      <c r="AH11" s="35"/>
      <c r="AI11" s="35"/>
      <c r="AJ11" s="35"/>
      <c r="AK11" s="35"/>
      <c r="AL11" s="35"/>
      <c r="AM11" s="35"/>
      <c r="AN11" s="35"/>
      <c r="AO11" s="35"/>
      <c r="AP11" s="35"/>
      <c r="AQ11" s="35"/>
      <c r="AR11" s="35"/>
      <c r="AS11" s="35"/>
      <c r="AT11" s="35"/>
      <c r="AU11" s="35"/>
      <c r="AV11" s="35"/>
      <c r="AW11" s="35"/>
      <c r="AX11" s="35"/>
      <c r="AY11" s="35"/>
      <c r="AZ11" s="35"/>
      <c r="BA11" s="35"/>
      <c r="BB11" s="35"/>
      <c r="BC11" s="35"/>
      <c r="BD11" s="35"/>
      <c r="BE11" s="35"/>
      <c r="BF11" s="35"/>
      <c r="BG11" s="35"/>
      <c r="BH11" s="35"/>
      <c r="BI11" s="35"/>
      <c r="BJ11" s="35"/>
      <c r="BK11" s="35"/>
      <c r="BL11" s="35"/>
      <c r="BM11" s="35"/>
      <c r="BN11" s="35"/>
      <c r="BO11" s="35"/>
      <c r="BP11" s="35"/>
      <c r="BQ11" s="35"/>
      <c r="BR11" s="35"/>
      <c r="BS11" s="35"/>
      <c r="BT11" s="35"/>
      <c r="BU11" s="35"/>
      <c r="BV11" s="35"/>
      <c r="BW11" s="35"/>
      <c r="BX11" s="35"/>
      <c r="BY11" s="35"/>
      <c r="BZ11" s="35"/>
      <c r="CA11" s="35"/>
      <c r="CB11" s="35"/>
      <c r="CC11" s="35"/>
      <c r="CD11" s="35"/>
      <c r="CE11" s="35"/>
      <c r="CF11" s="35"/>
      <c r="CG11" s="35"/>
      <c r="CH11" s="35"/>
      <c r="CI11" s="35"/>
      <c r="CJ11" s="35"/>
      <c r="CK11" s="35"/>
      <c r="CL11" s="35"/>
      <c r="CM11" s="35"/>
      <c r="CN11" s="35"/>
      <c r="CO11" s="35"/>
      <c r="CP11" s="35"/>
      <c r="CQ11" s="35"/>
      <c r="CR11" s="35"/>
      <c r="CS11" s="35"/>
      <c r="CT11" s="35"/>
      <c r="CU11" s="35"/>
      <c r="CV11" s="35"/>
      <c r="CW11" s="35"/>
      <c r="CX11" s="35"/>
      <c r="CY11" s="35"/>
      <c r="CZ11" s="35"/>
      <c r="DA11" s="35"/>
      <c r="DB11" s="35"/>
      <c r="DC11" s="35"/>
      <c r="DD11" s="35"/>
      <c r="DE11" s="35"/>
      <c r="DF11" s="35"/>
      <c r="DG11" s="35"/>
      <c r="DH11" s="35"/>
      <c r="DI11" s="35"/>
      <c r="DJ11" s="35"/>
      <c r="DK11" s="35">
        <v>-2.6738400000000002E-2</v>
      </c>
      <c r="DL11" s="35"/>
      <c r="DM11" s="35"/>
      <c r="DN11" s="35"/>
      <c r="DO11" s="35"/>
      <c r="DP11" s="35"/>
      <c r="DQ11" s="35"/>
      <c r="DR11" s="35"/>
      <c r="DS11" s="35"/>
      <c r="DT11" s="35"/>
      <c r="DU11" s="35"/>
      <c r="DV11" s="35"/>
      <c r="DW11" s="35"/>
      <c r="DX11" s="35"/>
      <c r="DY11" s="35"/>
      <c r="DZ11" s="35"/>
      <c r="EA11" s="35"/>
      <c r="EB11" s="35"/>
      <c r="EC11" s="35"/>
      <c r="ED11" s="35"/>
      <c r="EE11" s="35"/>
      <c r="EF11" s="35"/>
      <c r="EG11" s="35"/>
      <c r="EH11" s="35"/>
      <c r="EI11" s="35"/>
      <c r="EJ11" s="35"/>
      <c r="EK11" s="35"/>
      <c r="EL11" s="35"/>
      <c r="EM11" s="35"/>
      <c r="EN11" s="35"/>
      <c r="EO11" s="35"/>
      <c r="EP11" s="35"/>
      <c r="EQ11" s="35"/>
      <c r="ER11" s="35"/>
      <c r="ES11" s="35"/>
      <c r="ET11" s="35"/>
      <c r="EU11" s="35"/>
      <c r="EV11" s="35"/>
      <c r="EW11" s="35"/>
      <c r="EX11" s="35"/>
      <c r="EY11" s="35"/>
      <c r="EZ11" s="35"/>
      <c r="FA11" s="35"/>
      <c r="FB11" s="35"/>
      <c r="FC11" s="35"/>
      <c r="FD11" s="35"/>
      <c r="FE11" s="35"/>
      <c r="FF11" s="35"/>
      <c r="FG11" s="35"/>
      <c r="FH11" s="35"/>
      <c r="FI11" s="35"/>
      <c r="FJ11" s="35"/>
      <c r="FK11" s="35"/>
      <c r="FL11" s="35"/>
      <c r="FM11" s="35"/>
      <c r="FN11" s="35"/>
      <c r="FO11" s="35"/>
      <c r="FP11" s="35"/>
      <c r="FQ11" s="35"/>
      <c r="FR11" s="35"/>
      <c r="FS11" s="35"/>
      <c r="FT11" s="35"/>
      <c r="FU11" s="35"/>
      <c r="FV11" s="35"/>
      <c r="FW11" s="35"/>
      <c r="FX11" s="35"/>
      <c r="FY11" s="35"/>
      <c r="FZ11" s="35"/>
      <c r="GA11" s="35"/>
      <c r="GB11" s="318"/>
      <c r="GC11" s="178">
        <f t="shared" si="0"/>
        <v>0</v>
      </c>
      <c r="GD11" s="178">
        <f t="shared" si="1"/>
        <v>0</v>
      </c>
      <c r="GE11" s="178">
        <f t="shared" si="2"/>
        <v>0</v>
      </c>
      <c r="GF11" s="178">
        <f t="shared" si="3"/>
        <v>0</v>
      </c>
      <c r="GG11" s="178">
        <f t="shared" si="4"/>
        <v>0</v>
      </c>
    </row>
    <row r="12" spans="1:189" x14ac:dyDescent="0.35">
      <c r="A12" s="6" t="s">
        <v>677</v>
      </c>
      <c r="B12" s="6" t="str">
        <f>IF(Technologies!B12&lt;&gt;0,Technologies!B12,"")</f>
        <v>Gebouwde omgeving</v>
      </c>
      <c r="C12" s="6" t="str">
        <f>VLOOKUP($A12,Technologies!$A$7:$H$576,3,FALSE)</f>
        <v>Final</v>
      </c>
      <c r="D12" s="6" t="str">
        <f>VLOOKUP($A12,Technologies!$A$7:$H$576,4,FALSE)</f>
        <v>Residential</v>
      </c>
      <c r="E12" s="6" t="str">
        <f>VLOOKUP($A12,Technologies!$A$7:$H$576,6,FALSE)</f>
        <v>Houses - Residential Flats</v>
      </c>
      <c r="F12" s="48" t="str">
        <f>VLOOKUP($A12,Technologies!$A$7:$H$576,7,FALSE)</f>
        <v>House with insulation A - Residential Flats</v>
      </c>
      <c r="G12" s="22"/>
      <c r="H12" s="22"/>
      <c r="I12" s="103" cm="1">
        <f t="array" ref="I12">-SUMPRODUCT((Feedstocks!$C$4:$C$141=A12)*Feedstocks!$E$4:$E$141,Feedstocks!$F$4:$F$141,Feedstocks!$H$4:$H$141,Feedstocks!$I$4:$I$141)</f>
        <v>0</v>
      </c>
      <c r="J12" s="103" cm="1">
        <f t="array" ref="J12">-SUMPRODUCT((Feedstocks!$C$4:$C$141=A12)*Feedstocks!$E$4:$E$141,Feedstocks!$H$4:$H$141,Feedstocks!$I$4:$I$141)</f>
        <v>0</v>
      </c>
      <c r="K12" s="103"/>
      <c r="L12" s="103"/>
      <c r="M12" s="22"/>
      <c r="N12" s="22" t="str">
        <f>VLOOKUP(E12,Activities!$A$9:$M$227,13,FALSE)</f>
        <v>NL</v>
      </c>
      <c r="O12" s="22"/>
      <c r="P12" s="80" t="s">
        <v>452</v>
      </c>
      <c r="Q12" s="36"/>
      <c r="R12" s="36">
        <v>1</v>
      </c>
      <c r="S12" s="36"/>
      <c r="T12" s="36"/>
      <c r="U12" s="36"/>
      <c r="V12" s="36"/>
      <c r="W12" s="36"/>
      <c r="X12" s="36"/>
      <c r="Y12" s="36"/>
      <c r="Z12" s="36"/>
      <c r="AA12" s="36"/>
      <c r="AB12" s="36"/>
      <c r="AC12" s="36"/>
      <c r="AD12" s="36"/>
      <c r="AE12" s="36"/>
      <c r="AF12" s="36"/>
      <c r="AG12" s="36"/>
      <c r="AH12" s="36"/>
      <c r="AI12" s="36"/>
      <c r="AJ12" s="36"/>
      <c r="AK12" s="36"/>
      <c r="AL12" s="36"/>
      <c r="AM12" s="36"/>
      <c r="AN12" s="36"/>
      <c r="AO12" s="36"/>
      <c r="AP12" s="36"/>
      <c r="AQ12" s="36"/>
      <c r="AR12" s="36"/>
      <c r="AS12" s="36"/>
      <c r="AT12" s="36"/>
      <c r="AU12" s="36"/>
      <c r="AV12" s="36"/>
      <c r="AW12" s="36"/>
      <c r="AX12" s="36"/>
      <c r="AY12" s="36"/>
      <c r="AZ12" s="36"/>
      <c r="BA12" s="36"/>
      <c r="BB12" s="36"/>
      <c r="BC12" s="36"/>
      <c r="BD12" s="36"/>
      <c r="BE12" s="36"/>
      <c r="BF12" s="36"/>
      <c r="BG12" s="36"/>
      <c r="BH12" s="36"/>
      <c r="BI12" s="36"/>
      <c r="BJ12" s="36"/>
      <c r="BK12" s="36"/>
      <c r="BL12" s="36"/>
      <c r="BM12" s="36"/>
      <c r="BN12" s="36"/>
      <c r="BO12" s="36"/>
      <c r="BP12" s="36"/>
      <c r="BQ12" s="36"/>
      <c r="BR12" s="36"/>
      <c r="BS12" s="36"/>
      <c r="BT12" s="36"/>
      <c r="BU12" s="36"/>
      <c r="BV12" s="36"/>
      <c r="BW12" s="36"/>
      <c r="BX12" s="36"/>
      <c r="BY12" s="36"/>
      <c r="BZ12" s="36"/>
      <c r="CA12" s="36"/>
      <c r="CB12" s="36"/>
      <c r="CC12" s="36"/>
      <c r="CD12" s="36"/>
      <c r="CE12" s="36"/>
      <c r="CF12" s="36"/>
      <c r="CG12" s="36"/>
      <c r="CH12" s="36"/>
      <c r="CI12" s="36"/>
      <c r="CJ12" s="36"/>
      <c r="CK12" s="36"/>
      <c r="CL12" s="36"/>
      <c r="CM12" s="36"/>
      <c r="CN12" s="36"/>
      <c r="CO12" s="36"/>
      <c r="CP12" s="36"/>
      <c r="CQ12" s="36"/>
      <c r="CR12" s="36"/>
      <c r="CS12" s="36"/>
      <c r="CT12" s="36"/>
      <c r="CU12" s="36"/>
      <c r="CV12" s="36"/>
      <c r="CW12" s="36"/>
      <c r="CX12" s="36"/>
      <c r="CY12" s="36"/>
      <c r="CZ12" s="36"/>
      <c r="DA12" s="36"/>
      <c r="DB12" s="36"/>
      <c r="DC12" s="36"/>
      <c r="DD12" s="36"/>
      <c r="DE12" s="36"/>
      <c r="DF12" s="36"/>
      <c r="DG12" s="36"/>
      <c r="DH12" s="36"/>
      <c r="DI12" s="36"/>
      <c r="DJ12" s="36"/>
      <c r="DK12" s="36">
        <v>-2.0648400000000001E-2</v>
      </c>
      <c r="DL12" s="36"/>
      <c r="DM12" s="36"/>
      <c r="DN12" s="36"/>
      <c r="DO12" s="36"/>
      <c r="DP12" s="36"/>
      <c r="DQ12" s="36"/>
      <c r="DR12" s="36"/>
      <c r="DS12" s="36"/>
      <c r="DT12" s="36"/>
      <c r="DU12" s="36"/>
      <c r="DV12" s="36"/>
      <c r="DW12" s="36"/>
      <c r="DX12" s="36"/>
      <c r="DY12" s="36"/>
      <c r="DZ12" s="36"/>
      <c r="EA12" s="36"/>
      <c r="EB12" s="36"/>
      <c r="EC12" s="36"/>
      <c r="ED12" s="36"/>
      <c r="EE12" s="36"/>
      <c r="EF12" s="36"/>
      <c r="EG12" s="36"/>
      <c r="EH12" s="36"/>
      <c r="EI12" s="36"/>
      <c r="EJ12" s="36"/>
      <c r="EK12" s="36"/>
      <c r="EL12" s="36"/>
      <c r="EM12" s="36"/>
      <c r="EN12" s="36"/>
      <c r="EO12" s="36"/>
      <c r="EP12" s="36"/>
      <c r="EQ12" s="36"/>
      <c r="ER12" s="36"/>
      <c r="ES12" s="36"/>
      <c r="ET12" s="36"/>
      <c r="EU12" s="36"/>
      <c r="EV12" s="36"/>
      <c r="EW12" s="36"/>
      <c r="EX12" s="36"/>
      <c r="EY12" s="36"/>
      <c r="EZ12" s="36"/>
      <c r="FA12" s="36"/>
      <c r="FB12" s="36"/>
      <c r="FC12" s="36"/>
      <c r="FD12" s="36"/>
      <c r="FE12" s="36"/>
      <c r="FF12" s="36"/>
      <c r="FG12" s="36"/>
      <c r="FH12" s="36"/>
      <c r="FI12" s="36"/>
      <c r="FJ12" s="36"/>
      <c r="FK12" s="36"/>
      <c r="FL12" s="36"/>
      <c r="FM12" s="36"/>
      <c r="FN12" s="36"/>
      <c r="FO12" s="36"/>
      <c r="FP12" s="36"/>
      <c r="FQ12" s="36"/>
      <c r="FR12" s="36"/>
      <c r="FS12" s="36"/>
      <c r="FT12" s="36"/>
      <c r="FU12" s="36"/>
      <c r="FV12" s="36"/>
      <c r="FW12" s="36"/>
      <c r="FX12" s="36"/>
      <c r="FY12" s="36"/>
      <c r="FZ12" s="36"/>
      <c r="GA12" s="36"/>
      <c r="GB12" s="319"/>
      <c r="GC12" s="179">
        <f t="shared" si="0"/>
        <v>0</v>
      </c>
      <c r="GD12" s="179">
        <f t="shared" si="1"/>
        <v>0</v>
      </c>
      <c r="GE12" s="179">
        <f t="shared" si="2"/>
        <v>0</v>
      </c>
      <c r="GF12" s="179">
        <f t="shared" si="3"/>
        <v>0</v>
      </c>
      <c r="GG12" s="179">
        <f t="shared" si="4"/>
        <v>0</v>
      </c>
    </row>
    <row r="13" spans="1:189" x14ac:dyDescent="0.35">
      <c r="A13" s="5" t="s">
        <v>679</v>
      </c>
      <c r="B13" s="5" t="str">
        <f>IF(Technologies!B13&lt;&gt;0,Technologies!B13,"")</f>
        <v>Gebouwde omgeving</v>
      </c>
      <c r="C13" s="5" t="str">
        <f>VLOOKUP($A13,Technologies!$A$7:$H$576,3,FALSE)</f>
        <v>Final</v>
      </c>
      <c r="D13" s="5" t="str">
        <f>VLOOKUP($A13,Technologies!$A$7:$H$576,4,FALSE)</f>
        <v>Residential</v>
      </c>
      <c r="E13" s="5" t="str">
        <f>VLOOKUP($A13,Technologies!$A$7:$H$576,6,FALSE)</f>
        <v>Houses - Residential Flats</v>
      </c>
      <c r="F13" s="5" t="str">
        <f>VLOOKUP($A13,Technologies!$A$7:$H$576,7,FALSE)</f>
        <v>House with insulation A+ - Residential Flats</v>
      </c>
      <c r="G13" s="23"/>
      <c r="H13" s="23"/>
      <c r="I13" s="104" cm="1">
        <f t="array" ref="I13">-SUMPRODUCT((Feedstocks!$C$4:$C$141=A13)*Feedstocks!$E$4:$E$141,Feedstocks!$F$4:$F$141,Feedstocks!$H$4:$H$141,Feedstocks!$I$4:$I$141)</f>
        <v>0</v>
      </c>
      <c r="J13" s="104" cm="1">
        <f t="array" ref="J13">-SUMPRODUCT((Feedstocks!$C$4:$C$141=A13)*Feedstocks!$E$4:$E$141,Feedstocks!$H$4:$H$141,Feedstocks!$I$4:$I$141)</f>
        <v>0</v>
      </c>
      <c r="K13" s="104"/>
      <c r="L13" s="104"/>
      <c r="M13" s="23"/>
      <c r="N13" s="23" t="str">
        <f>VLOOKUP(E13,Activities!$A$9:$M$227,13,FALSE)</f>
        <v>NL</v>
      </c>
      <c r="O13" s="23"/>
      <c r="P13" s="79" t="s">
        <v>1807</v>
      </c>
      <c r="Q13" s="35"/>
      <c r="R13" s="35">
        <v>1</v>
      </c>
      <c r="S13" s="35"/>
      <c r="T13" s="35"/>
      <c r="U13" s="35"/>
      <c r="V13" s="35"/>
      <c r="W13" s="35"/>
      <c r="X13" s="35"/>
      <c r="Y13" s="35"/>
      <c r="Z13" s="35"/>
      <c r="AA13" s="35"/>
      <c r="AB13" s="35"/>
      <c r="AC13" s="35"/>
      <c r="AD13" s="35"/>
      <c r="AE13" s="35"/>
      <c r="AF13" s="35"/>
      <c r="AG13" s="35"/>
      <c r="AH13" s="35"/>
      <c r="AI13" s="35"/>
      <c r="AJ13" s="35"/>
      <c r="AK13" s="35"/>
      <c r="AL13" s="35"/>
      <c r="AM13" s="35"/>
      <c r="AN13" s="35"/>
      <c r="AO13" s="35"/>
      <c r="AP13" s="35"/>
      <c r="AQ13" s="35"/>
      <c r="AR13" s="35"/>
      <c r="AS13" s="35"/>
      <c r="AT13" s="35"/>
      <c r="AU13" s="35"/>
      <c r="AV13" s="35"/>
      <c r="AW13" s="35"/>
      <c r="AX13" s="35"/>
      <c r="AY13" s="35"/>
      <c r="AZ13" s="35"/>
      <c r="BA13" s="35"/>
      <c r="BB13" s="35"/>
      <c r="BC13" s="35"/>
      <c r="BD13" s="35"/>
      <c r="BE13" s="35"/>
      <c r="BF13" s="35"/>
      <c r="BG13" s="35"/>
      <c r="BH13" s="35"/>
      <c r="BI13" s="35"/>
      <c r="BJ13" s="35"/>
      <c r="BK13" s="35"/>
      <c r="BL13" s="35"/>
      <c r="BM13" s="35"/>
      <c r="BN13" s="35"/>
      <c r="BO13" s="35"/>
      <c r="BP13" s="35"/>
      <c r="BQ13" s="35"/>
      <c r="BR13" s="35"/>
      <c r="BS13" s="35"/>
      <c r="BT13" s="35"/>
      <c r="BU13" s="35"/>
      <c r="BV13" s="35"/>
      <c r="BW13" s="35"/>
      <c r="BX13" s="35"/>
      <c r="BY13" s="35"/>
      <c r="BZ13" s="35"/>
      <c r="CA13" s="35"/>
      <c r="CB13" s="35"/>
      <c r="CC13" s="35"/>
      <c r="CD13" s="35"/>
      <c r="CE13" s="35"/>
      <c r="CF13" s="35"/>
      <c r="CG13" s="35"/>
      <c r="CH13" s="35"/>
      <c r="CI13" s="35"/>
      <c r="CJ13" s="35"/>
      <c r="CK13" s="35"/>
      <c r="CL13" s="35"/>
      <c r="CM13" s="35"/>
      <c r="CN13" s="35"/>
      <c r="CO13" s="35"/>
      <c r="CP13" s="35"/>
      <c r="CQ13" s="35"/>
      <c r="CR13" s="35"/>
      <c r="CS13" s="35"/>
      <c r="CT13" s="35"/>
      <c r="CU13" s="35"/>
      <c r="CV13" s="35"/>
      <c r="CW13" s="35"/>
      <c r="CX13" s="35"/>
      <c r="CY13" s="35"/>
      <c r="CZ13" s="35"/>
      <c r="DA13" s="35"/>
      <c r="DB13" s="35"/>
      <c r="DC13" s="35"/>
      <c r="DD13" s="35"/>
      <c r="DE13" s="35"/>
      <c r="DF13" s="35"/>
      <c r="DG13" s="35"/>
      <c r="DH13" s="35"/>
      <c r="DI13" s="35"/>
      <c r="DJ13" s="35"/>
      <c r="DK13" s="35">
        <v>-1.7458399999999999E-2</v>
      </c>
      <c r="DL13" s="35"/>
      <c r="DM13" s="35"/>
      <c r="DN13" s="35"/>
      <c r="DO13" s="35"/>
      <c r="DP13" s="35"/>
      <c r="DQ13" s="35"/>
      <c r="DR13" s="35"/>
      <c r="DS13" s="35"/>
      <c r="DT13" s="35"/>
      <c r="DU13" s="35"/>
      <c r="DV13" s="35"/>
      <c r="DW13" s="35"/>
      <c r="DX13" s="35"/>
      <c r="DY13" s="35"/>
      <c r="DZ13" s="35"/>
      <c r="EA13" s="35"/>
      <c r="EB13" s="35"/>
      <c r="EC13" s="35"/>
      <c r="ED13" s="35"/>
      <c r="EE13" s="35"/>
      <c r="EF13" s="35"/>
      <c r="EG13" s="35"/>
      <c r="EH13" s="35"/>
      <c r="EI13" s="35"/>
      <c r="EJ13" s="35"/>
      <c r="EK13" s="35"/>
      <c r="EL13" s="35"/>
      <c r="EM13" s="35"/>
      <c r="EN13" s="35"/>
      <c r="EO13" s="35"/>
      <c r="EP13" s="35"/>
      <c r="EQ13" s="35"/>
      <c r="ER13" s="35"/>
      <c r="ES13" s="35"/>
      <c r="ET13" s="35"/>
      <c r="EU13" s="35"/>
      <c r="EV13" s="35"/>
      <c r="EW13" s="35"/>
      <c r="EX13" s="35"/>
      <c r="EY13" s="35"/>
      <c r="EZ13" s="35"/>
      <c r="FA13" s="35"/>
      <c r="FB13" s="35"/>
      <c r="FC13" s="35"/>
      <c r="FD13" s="35"/>
      <c r="FE13" s="35"/>
      <c r="FF13" s="35"/>
      <c r="FG13" s="35"/>
      <c r="FH13" s="35"/>
      <c r="FI13" s="35"/>
      <c r="FJ13" s="35"/>
      <c r="FK13" s="35"/>
      <c r="FL13" s="35"/>
      <c r="FM13" s="35"/>
      <c r="FN13" s="35"/>
      <c r="FO13" s="35"/>
      <c r="FP13" s="35"/>
      <c r="FQ13" s="35"/>
      <c r="FR13" s="35"/>
      <c r="FS13" s="35"/>
      <c r="FT13" s="35"/>
      <c r="FU13" s="35"/>
      <c r="FV13" s="35"/>
      <c r="FW13" s="35"/>
      <c r="FX13" s="35"/>
      <c r="FY13" s="35"/>
      <c r="FZ13" s="35"/>
      <c r="GA13" s="35"/>
      <c r="GB13" s="318"/>
      <c r="GC13" s="178">
        <f t="shared" si="0"/>
        <v>0</v>
      </c>
      <c r="GD13" s="178">
        <f t="shared" si="1"/>
        <v>0</v>
      </c>
      <c r="GE13" s="178">
        <f t="shared" si="2"/>
        <v>0</v>
      </c>
      <c r="GF13" s="178">
        <f t="shared" si="3"/>
        <v>0</v>
      </c>
      <c r="GG13" s="178">
        <f t="shared" si="4"/>
        <v>0</v>
      </c>
    </row>
    <row r="14" spans="1:189" x14ac:dyDescent="0.35">
      <c r="A14" s="6" t="s">
        <v>682</v>
      </c>
      <c r="B14" s="6" t="str">
        <f>IF(Technologies!B14&lt;&gt;0,Technologies!B14,"")</f>
        <v>Gebouwde omgeving</v>
      </c>
      <c r="C14" s="6" t="str">
        <f>VLOOKUP($A14,Technologies!$A$7:$H$576,3,FALSE)</f>
        <v>Final</v>
      </c>
      <c r="D14" s="6" t="str">
        <f>VLOOKUP($A14,Technologies!$A$7:$H$576,4,FALSE)</f>
        <v>Residential</v>
      </c>
      <c r="E14" s="6" t="str">
        <f>VLOOKUP($A14,Technologies!$A$7:$H$576,6,FALSE)</f>
        <v>Houses - Residential Terrace</v>
      </c>
      <c r="F14" s="48" t="str">
        <f>VLOOKUP($A14,Technologies!$A$7:$H$576,7,FALSE)</f>
        <v>House with insulation GFE - Residential Terrace</v>
      </c>
      <c r="G14" s="22"/>
      <c r="H14" s="22"/>
      <c r="I14" s="103" cm="1">
        <f t="array" ref="I14">-SUMPRODUCT((Feedstocks!$C$4:$C$141=A14)*Feedstocks!$E$4:$E$141,Feedstocks!$F$4:$F$141,Feedstocks!$H$4:$H$141,Feedstocks!$I$4:$I$141)</f>
        <v>0</v>
      </c>
      <c r="J14" s="103" cm="1">
        <f t="array" ref="J14">-SUMPRODUCT((Feedstocks!$C$4:$C$141=A14)*Feedstocks!$E$4:$E$141,Feedstocks!$H$4:$H$141,Feedstocks!$I$4:$I$141)</f>
        <v>0</v>
      </c>
      <c r="K14" s="103"/>
      <c r="L14" s="103"/>
      <c r="M14" s="22"/>
      <c r="N14" s="22" t="str">
        <f>VLOOKUP(E14,Activities!$A$9:$M$227,13,FALSE)</f>
        <v>NL</v>
      </c>
      <c r="O14" s="22"/>
      <c r="P14" s="80" t="s">
        <v>1807</v>
      </c>
      <c r="Q14" s="36"/>
      <c r="R14" s="36"/>
      <c r="S14" s="36">
        <v>1</v>
      </c>
      <c r="T14" s="36"/>
      <c r="U14" s="36"/>
      <c r="V14" s="36"/>
      <c r="W14" s="36"/>
      <c r="X14" s="36"/>
      <c r="Y14" s="36"/>
      <c r="Z14" s="36"/>
      <c r="AA14" s="36"/>
      <c r="AB14" s="36"/>
      <c r="AC14" s="36"/>
      <c r="AD14" s="36"/>
      <c r="AE14" s="36"/>
      <c r="AF14" s="36"/>
      <c r="AG14" s="36"/>
      <c r="AH14" s="36"/>
      <c r="AI14" s="36"/>
      <c r="AJ14" s="36"/>
      <c r="AK14" s="36"/>
      <c r="AL14" s="36"/>
      <c r="AM14" s="36"/>
      <c r="AN14" s="36"/>
      <c r="AO14" s="36"/>
      <c r="AP14" s="36"/>
      <c r="AQ14" s="36"/>
      <c r="AR14" s="36"/>
      <c r="AS14" s="36"/>
      <c r="AT14" s="36"/>
      <c r="AU14" s="36"/>
      <c r="AV14" s="36"/>
      <c r="AW14" s="36"/>
      <c r="AX14" s="36"/>
      <c r="AY14" s="36"/>
      <c r="AZ14" s="36"/>
      <c r="BA14" s="36"/>
      <c r="BB14" s="36"/>
      <c r="BC14" s="36"/>
      <c r="BD14" s="36"/>
      <c r="BE14" s="36"/>
      <c r="BF14" s="36"/>
      <c r="BG14" s="36"/>
      <c r="BH14" s="36"/>
      <c r="BI14" s="36"/>
      <c r="BJ14" s="36"/>
      <c r="BK14" s="36"/>
      <c r="BL14" s="36"/>
      <c r="BM14" s="36"/>
      <c r="BN14" s="36"/>
      <c r="BO14" s="36"/>
      <c r="BP14" s="36"/>
      <c r="BQ14" s="36"/>
      <c r="BR14" s="36"/>
      <c r="BS14" s="36"/>
      <c r="BT14" s="36"/>
      <c r="BU14" s="36"/>
      <c r="BV14" s="36"/>
      <c r="BW14" s="36"/>
      <c r="BX14" s="36"/>
      <c r="BY14" s="36"/>
      <c r="BZ14" s="36"/>
      <c r="CA14" s="36"/>
      <c r="CB14" s="36"/>
      <c r="CC14" s="36"/>
      <c r="CD14" s="36"/>
      <c r="CE14" s="36"/>
      <c r="CF14" s="36"/>
      <c r="CG14" s="36"/>
      <c r="CH14" s="36"/>
      <c r="CI14" s="36"/>
      <c r="CJ14" s="36"/>
      <c r="CK14" s="36"/>
      <c r="CL14" s="36"/>
      <c r="CM14" s="36"/>
      <c r="CN14" s="36"/>
      <c r="CO14" s="36"/>
      <c r="CP14" s="36"/>
      <c r="CQ14" s="36"/>
      <c r="CR14" s="36"/>
      <c r="CS14" s="36"/>
      <c r="CT14" s="36"/>
      <c r="CU14" s="36"/>
      <c r="CV14" s="36"/>
      <c r="CW14" s="36"/>
      <c r="CX14" s="36"/>
      <c r="CY14" s="36"/>
      <c r="CZ14" s="36"/>
      <c r="DA14" s="36"/>
      <c r="DB14" s="36"/>
      <c r="DC14" s="36"/>
      <c r="DD14" s="36"/>
      <c r="DE14" s="36"/>
      <c r="DF14" s="36"/>
      <c r="DG14" s="36"/>
      <c r="DH14" s="36"/>
      <c r="DI14" s="36"/>
      <c r="DJ14" s="36">
        <v>-4.5585899999999999E-2</v>
      </c>
      <c r="DK14" s="36"/>
      <c r="DL14" s="36"/>
      <c r="DM14" s="36"/>
      <c r="DN14" s="36"/>
      <c r="DO14" s="36"/>
      <c r="DP14" s="36"/>
      <c r="DQ14" s="36"/>
      <c r="DR14" s="36"/>
      <c r="DS14" s="36"/>
      <c r="DT14" s="36"/>
      <c r="DU14" s="36"/>
      <c r="DV14" s="36"/>
      <c r="DW14" s="36"/>
      <c r="DX14" s="36"/>
      <c r="DY14" s="36"/>
      <c r="DZ14" s="36"/>
      <c r="EA14" s="36"/>
      <c r="EB14" s="36"/>
      <c r="EC14" s="36"/>
      <c r="ED14" s="36"/>
      <c r="EE14" s="36"/>
      <c r="EF14" s="36"/>
      <c r="EG14" s="36"/>
      <c r="EH14" s="36"/>
      <c r="EI14" s="36"/>
      <c r="EJ14" s="36"/>
      <c r="EK14" s="36"/>
      <c r="EL14" s="36"/>
      <c r="EM14" s="36"/>
      <c r="EN14" s="36"/>
      <c r="EO14" s="36"/>
      <c r="EP14" s="36"/>
      <c r="EQ14" s="36"/>
      <c r="ER14" s="36"/>
      <c r="ES14" s="36"/>
      <c r="ET14" s="36"/>
      <c r="EU14" s="36"/>
      <c r="EV14" s="36"/>
      <c r="EW14" s="36"/>
      <c r="EX14" s="36"/>
      <c r="EY14" s="36"/>
      <c r="EZ14" s="36"/>
      <c r="FA14" s="36"/>
      <c r="FB14" s="36"/>
      <c r="FC14" s="36"/>
      <c r="FD14" s="36"/>
      <c r="FE14" s="36"/>
      <c r="FF14" s="36"/>
      <c r="FG14" s="36"/>
      <c r="FH14" s="36"/>
      <c r="FI14" s="36"/>
      <c r="FJ14" s="36"/>
      <c r="FK14" s="36"/>
      <c r="FL14" s="36"/>
      <c r="FM14" s="36"/>
      <c r="FN14" s="36"/>
      <c r="FO14" s="36"/>
      <c r="FP14" s="36"/>
      <c r="FQ14" s="36"/>
      <c r="FR14" s="36"/>
      <c r="FS14" s="36"/>
      <c r="FT14" s="36"/>
      <c r="FU14" s="36"/>
      <c r="FV14" s="36"/>
      <c r="FW14" s="36"/>
      <c r="FX14" s="36"/>
      <c r="FY14" s="36"/>
      <c r="FZ14" s="36"/>
      <c r="GA14" s="36"/>
      <c r="GB14" s="319"/>
      <c r="GC14" s="179">
        <f t="shared" si="0"/>
        <v>0</v>
      </c>
      <c r="GD14" s="179">
        <f t="shared" si="1"/>
        <v>0</v>
      </c>
      <c r="GE14" s="179">
        <f t="shared" si="2"/>
        <v>0</v>
      </c>
      <c r="GF14" s="179">
        <f t="shared" si="3"/>
        <v>0</v>
      </c>
      <c r="GG14" s="179">
        <f t="shared" si="4"/>
        <v>0</v>
      </c>
    </row>
    <row r="15" spans="1:189" x14ac:dyDescent="0.35">
      <c r="A15" s="5" t="s">
        <v>685</v>
      </c>
      <c r="B15" s="5" t="str">
        <f>IF(Technologies!B15&lt;&gt;0,Technologies!B15,"")</f>
        <v>Gebouwde omgeving</v>
      </c>
      <c r="C15" s="5" t="str">
        <f>VLOOKUP($A15,Technologies!$A$7:$H$576,3,FALSE)</f>
        <v>Final</v>
      </c>
      <c r="D15" s="5" t="str">
        <f>VLOOKUP($A15,Technologies!$A$7:$H$576,4,FALSE)</f>
        <v>Residential</v>
      </c>
      <c r="E15" s="5" t="str">
        <f>VLOOKUP($A15,Technologies!$A$7:$H$576,6,FALSE)</f>
        <v>Houses - Residential Terrace</v>
      </c>
      <c r="F15" s="5" t="str">
        <f>VLOOKUP($A15,Technologies!$A$7:$H$576,7,FALSE)</f>
        <v>House with insulation DC - Residential Terrace</v>
      </c>
      <c r="G15" s="23"/>
      <c r="H15" s="23"/>
      <c r="I15" s="104" cm="1">
        <f t="array" ref="I15">-SUMPRODUCT((Feedstocks!$C$4:$C$141=A15)*Feedstocks!$E$4:$E$141,Feedstocks!$F$4:$F$141,Feedstocks!$H$4:$H$141,Feedstocks!$I$4:$I$141)</f>
        <v>0</v>
      </c>
      <c r="J15" s="104" cm="1">
        <f t="array" ref="J15">-SUMPRODUCT((Feedstocks!$C$4:$C$141=A15)*Feedstocks!$E$4:$E$141,Feedstocks!$H$4:$H$141,Feedstocks!$I$4:$I$141)</f>
        <v>0</v>
      </c>
      <c r="K15" s="104"/>
      <c r="L15" s="104"/>
      <c r="M15" s="23"/>
      <c r="N15" s="23" t="str">
        <f>VLOOKUP(E15,Activities!$A$9:$M$227,13,FALSE)</f>
        <v>NL</v>
      </c>
      <c r="O15" s="23"/>
      <c r="P15" s="79" t="s">
        <v>687</v>
      </c>
      <c r="Q15" s="35"/>
      <c r="R15" s="35"/>
      <c r="S15" s="35">
        <v>1</v>
      </c>
      <c r="T15" s="35"/>
      <c r="U15" s="35"/>
      <c r="V15" s="35"/>
      <c r="W15" s="35"/>
      <c r="X15" s="35"/>
      <c r="Y15" s="35"/>
      <c r="Z15" s="35"/>
      <c r="AA15" s="35"/>
      <c r="AB15" s="35"/>
      <c r="AC15" s="35"/>
      <c r="AD15" s="35"/>
      <c r="AE15" s="35"/>
      <c r="AF15" s="35"/>
      <c r="AG15" s="35"/>
      <c r="AH15" s="35"/>
      <c r="AI15" s="35"/>
      <c r="AJ15" s="35"/>
      <c r="AK15" s="35"/>
      <c r="AL15" s="35"/>
      <c r="AM15" s="35"/>
      <c r="AN15" s="35"/>
      <c r="AO15" s="35"/>
      <c r="AP15" s="35"/>
      <c r="AQ15" s="35"/>
      <c r="AR15" s="35"/>
      <c r="AS15" s="35"/>
      <c r="AT15" s="35"/>
      <c r="AU15" s="35"/>
      <c r="AV15" s="35"/>
      <c r="AW15" s="35"/>
      <c r="AX15" s="35"/>
      <c r="AY15" s="35"/>
      <c r="AZ15" s="35"/>
      <c r="BA15" s="35"/>
      <c r="BB15" s="35"/>
      <c r="BC15" s="35"/>
      <c r="BD15" s="35"/>
      <c r="BE15" s="35"/>
      <c r="BF15" s="35"/>
      <c r="BG15" s="35"/>
      <c r="BH15" s="35"/>
      <c r="BI15" s="35"/>
      <c r="BJ15" s="35"/>
      <c r="BK15" s="35"/>
      <c r="BL15" s="35"/>
      <c r="BM15" s="35"/>
      <c r="BN15" s="35"/>
      <c r="BO15" s="35"/>
      <c r="BP15" s="35"/>
      <c r="BQ15" s="35"/>
      <c r="BR15" s="35"/>
      <c r="BS15" s="35"/>
      <c r="BT15" s="35"/>
      <c r="BU15" s="35"/>
      <c r="BV15" s="35"/>
      <c r="BW15" s="35"/>
      <c r="BX15" s="35"/>
      <c r="BY15" s="35"/>
      <c r="BZ15" s="35"/>
      <c r="CA15" s="35"/>
      <c r="CB15" s="35"/>
      <c r="CC15" s="35"/>
      <c r="CD15" s="35"/>
      <c r="CE15" s="35"/>
      <c r="CF15" s="35"/>
      <c r="CG15" s="35"/>
      <c r="CH15" s="35"/>
      <c r="CI15" s="35"/>
      <c r="CJ15" s="35"/>
      <c r="CK15" s="35"/>
      <c r="CL15" s="35"/>
      <c r="CM15" s="35"/>
      <c r="CN15" s="35"/>
      <c r="CO15" s="35"/>
      <c r="CP15" s="35"/>
      <c r="CQ15" s="35"/>
      <c r="CR15" s="35"/>
      <c r="CS15" s="35"/>
      <c r="CT15" s="35"/>
      <c r="CU15" s="35"/>
      <c r="CV15" s="35"/>
      <c r="CW15" s="35"/>
      <c r="CX15" s="35"/>
      <c r="CY15" s="35"/>
      <c r="CZ15" s="35"/>
      <c r="DA15" s="35"/>
      <c r="DB15" s="35"/>
      <c r="DC15" s="35"/>
      <c r="DD15" s="35"/>
      <c r="DE15" s="35"/>
      <c r="DF15" s="35"/>
      <c r="DG15" s="35"/>
      <c r="DH15" s="35"/>
      <c r="DI15" s="35"/>
      <c r="DJ15" s="35">
        <v>-3.9205900000000002E-2</v>
      </c>
      <c r="DK15" s="35"/>
      <c r="DL15" s="35"/>
      <c r="DM15" s="35"/>
      <c r="DN15" s="35"/>
      <c r="DO15" s="35"/>
      <c r="DP15" s="35"/>
      <c r="DQ15" s="35"/>
      <c r="DR15" s="35"/>
      <c r="DS15" s="35"/>
      <c r="DT15" s="35"/>
      <c r="DU15" s="35"/>
      <c r="DV15" s="35"/>
      <c r="DW15" s="35"/>
      <c r="DX15" s="35"/>
      <c r="DY15" s="35"/>
      <c r="DZ15" s="35"/>
      <c r="EA15" s="35"/>
      <c r="EB15" s="35"/>
      <c r="EC15" s="35"/>
      <c r="ED15" s="35"/>
      <c r="EE15" s="35"/>
      <c r="EF15" s="35"/>
      <c r="EG15" s="35"/>
      <c r="EH15" s="35"/>
      <c r="EI15" s="35"/>
      <c r="EJ15" s="35"/>
      <c r="EK15" s="35"/>
      <c r="EL15" s="35"/>
      <c r="EM15" s="35"/>
      <c r="EN15" s="35"/>
      <c r="EO15" s="35"/>
      <c r="EP15" s="35"/>
      <c r="EQ15" s="35"/>
      <c r="ER15" s="35"/>
      <c r="ES15" s="35"/>
      <c r="ET15" s="35"/>
      <c r="EU15" s="35"/>
      <c r="EV15" s="35"/>
      <c r="EW15" s="35"/>
      <c r="EX15" s="35"/>
      <c r="EY15" s="35"/>
      <c r="EZ15" s="35"/>
      <c r="FA15" s="35"/>
      <c r="FB15" s="35"/>
      <c r="FC15" s="35"/>
      <c r="FD15" s="35"/>
      <c r="FE15" s="35"/>
      <c r="FF15" s="35"/>
      <c r="FG15" s="35"/>
      <c r="FH15" s="35"/>
      <c r="FI15" s="35"/>
      <c r="FJ15" s="35"/>
      <c r="FK15" s="35"/>
      <c r="FL15" s="35"/>
      <c r="FM15" s="35"/>
      <c r="FN15" s="35"/>
      <c r="FO15" s="35"/>
      <c r="FP15" s="35"/>
      <c r="FQ15" s="35"/>
      <c r="FR15" s="35"/>
      <c r="FS15" s="35"/>
      <c r="FT15" s="35"/>
      <c r="FU15" s="35"/>
      <c r="FV15" s="35"/>
      <c r="FW15" s="35"/>
      <c r="FX15" s="35"/>
      <c r="FY15" s="35"/>
      <c r="FZ15" s="35"/>
      <c r="GA15" s="35"/>
      <c r="GB15" s="318"/>
      <c r="GC15" s="178">
        <f t="shared" si="0"/>
        <v>0</v>
      </c>
      <c r="GD15" s="178">
        <f t="shared" si="1"/>
        <v>0</v>
      </c>
      <c r="GE15" s="178">
        <f t="shared" si="2"/>
        <v>0</v>
      </c>
      <c r="GF15" s="178">
        <f t="shared" si="3"/>
        <v>0</v>
      </c>
      <c r="GG15" s="178">
        <f t="shared" si="4"/>
        <v>0</v>
      </c>
    </row>
    <row r="16" spans="1:189" x14ac:dyDescent="0.35">
      <c r="A16" s="6" t="s">
        <v>688</v>
      </c>
      <c r="B16" s="6" t="str">
        <f>IF(Technologies!B16&lt;&gt;0,Technologies!B16,"")</f>
        <v>Gebouwde omgeving</v>
      </c>
      <c r="C16" s="6" t="str">
        <f>VLOOKUP($A16,Technologies!$A$7:$H$576,3,FALSE)</f>
        <v>Final</v>
      </c>
      <c r="D16" s="6" t="str">
        <f>VLOOKUP($A16,Technologies!$A$7:$H$576,4,FALSE)</f>
        <v>Residential</v>
      </c>
      <c r="E16" s="6" t="str">
        <f>VLOOKUP($A16,Technologies!$A$7:$H$576,6,FALSE)</f>
        <v>Houses - Residential Terrace</v>
      </c>
      <c r="F16" s="48" t="str">
        <f>VLOOKUP($A16,Technologies!$A$7:$H$576,7,FALSE)</f>
        <v>House with insulation B - Residential Terrace</v>
      </c>
      <c r="G16" s="22"/>
      <c r="H16" s="22"/>
      <c r="I16" s="103" cm="1">
        <f t="array" ref="I16">-SUMPRODUCT((Feedstocks!$C$4:$C$141=A16)*Feedstocks!$E$4:$E$141,Feedstocks!$F$4:$F$141,Feedstocks!$H$4:$H$141,Feedstocks!$I$4:$I$141)</f>
        <v>0</v>
      </c>
      <c r="J16" s="103" cm="1">
        <f t="array" ref="J16">-SUMPRODUCT((Feedstocks!$C$4:$C$141=A16)*Feedstocks!$E$4:$E$141,Feedstocks!$H$4:$H$141,Feedstocks!$I$4:$I$141)</f>
        <v>0</v>
      </c>
      <c r="K16" s="103"/>
      <c r="L16" s="103"/>
      <c r="M16" s="22"/>
      <c r="N16" s="22" t="str">
        <f>VLOOKUP(E16,Activities!$A$9:$M$227,13,FALSE)</f>
        <v>NL</v>
      </c>
      <c r="O16" s="22"/>
      <c r="P16" s="80" t="s">
        <v>687</v>
      </c>
      <c r="Q16" s="36"/>
      <c r="R16" s="36"/>
      <c r="S16" s="36">
        <v>1</v>
      </c>
      <c r="T16" s="36"/>
      <c r="U16" s="36"/>
      <c r="V16" s="36"/>
      <c r="W16" s="36"/>
      <c r="X16" s="36"/>
      <c r="Y16" s="36"/>
      <c r="Z16" s="36"/>
      <c r="AA16" s="36"/>
      <c r="AB16" s="36"/>
      <c r="AC16" s="36"/>
      <c r="AD16" s="36"/>
      <c r="AE16" s="36"/>
      <c r="AF16" s="36"/>
      <c r="AG16" s="36"/>
      <c r="AH16" s="36"/>
      <c r="AI16" s="36"/>
      <c r="AJ16" s="36"/>
      <c r="AK16" s="36"/>
      <c r="AL16" s="36"/>
      <c r="AM16" s="36"/>
      <c r="AN16" s="36"/>
      <c r="AO16" s="36"/>
      <c r="AP16" s="36"/>
      <c r="AQ16" s="36"/>
      <c r="AR16" s="36"/>
      <c r="AS16" s="36"/>
      <c r="AT16" s="36"/>
      <c r="AU16" s="36"/>
      <c r="AV16" s="36"/>
      <c r="AW16" s="36"/>
      <c r="AX16" s="36"/>
      <c r="AY16" s="36"/>
      <c r="AZ16" s="36"/>
      <c r="BA16" s="36"/>
      <c r="BB16" s="36"/>
      <c r="BC16" s="36"/>
      <c r="BD16" s="36"/>
      <c r="BE16" s="36"/>
      <c r="BF16" s="36"/>
      <c r="BG16" s="36"/>
      <c r="BH16" s="36"/>
      <c r="BI16" s="36"/>
      <c r="BJ16" s="36"/>
      <c r="BK16" s="36"/>
      <c r="BL16" s="36"/>
      <c r="BM16" s="36"/>
      <c r="BN16" s="36"/>
      <c r="BO16" s="36"/>
      <c r="BP16" s="36"/>
      <c r="BQ16" s="36"/>
      <c r="BR16" s="36"/>
      <c r="BS16" s="36"/>
      <c r="BT16" s="36"/>
      <c r="BU16" s="36"/>
      <c r="BV16" s="36"/>
      <c r="BW16" s="36"/>
      <c r="BX16" s="36"/>
      <c r="BY16" s="36"/>
      <c r="BZ16" s="36"/>
      <c r="CA16" s="36"/>
      <c r="CB16" s="36"/>
      <c r="CC16" s="36"/>
      <c r="CD16" s="36"/>
      <c r="CE16" s="36"/>
      <c r="CF16" s="36"/>
      <c r="CG16" s="36"/>
      <c r="CH16" s="36"/>
      <c r="CI16" s="36"/>
      <c r="CJ16" s="36"/>
      <c r="CK16" s="36"/>
      <c r="CL16" s="36"/>
      <c r="CM16" s="36"/>
      <c r="CN16" s="36"/>
      <c r="CO16" s="36"/>
      <c r="CP16" s="36"/>
      <c r="CQ16" s="36"/>
      <c r="CR16" s="36"/>
      <c r="CS16" s="36"/>
      <c r="CT16" s="36"/>
      <c r="CU16" s="36"/>
      <c r="CV16" s="36"/>
      <c r="CW16" s="36"/>
      <c r="CX16" s="36"/>
      <c r="CY16" s="36"/>
      <c r="CZ16" s="36"/>
      <c r="DA16" s="36"/>
      <c r="DB16" s="36"/>
      <c r="DC16" s="36"/>
      <c r="DD16" s="36"/>
      <c r="DE16" s="36"/>
      <c r="DF16" s="36"/>
      <c r="DG16" s="36"/>
      <c r="DH16" s="36"/>
      <c r="DI16" s="36"/>
      <c r="DJ16" s="36"/>
      <c r="DK16" s="36">
        <v>-3.5725899999999998E-2</v>
      </c>
      <c r="DL16" s="36"/>
      <c r="DM16" s="36"/>
      <c r="DN16" s="36"/>
      <c r="DO16" s="36"/>
      <c r="DP16" s="36"/>
      <c r="DQ16" s="36"/>
      <c r="DR16" s="36"/>
      <c r="DS16" s="36"/>
      <c r="DT16" s="36"/>
      <c r="DU16" s="36"/>
      <c r="DV16" s="36"/>
      <c r="DW16" s="36"/>
      <c r="DX16" s="36"/>
      <c r="DY16" s="36"/>
      <c r="DZ16" s="36"/>
      <c r="EA16" s="36"/>
      <c r="EB16" s="36"/>
      <c r="EC16" s="36"/>
      <c r="ED16" s="36"/>
      <c r="EE16" s="36"/>
      <c r="EF16" s="36"/>
      <c r="EG16" s="36"/>
      <c r="EH16" s="36"/>
      <c r="EI16" s="36"/>
      <c r="EJ16" s="36"/>
      <c r="EK16" s="36"/>
      <c r="EL16" s="36"/>
      <c r="EM16" s="36"/>
      <c r="EN16" s="36"/>
      <c r="EO16" s="36"/>
      <c r="EP16" s="36"/>
      <c r="EQ16" s="36"/>
      <c r="ER16" s="36"/>
      <c r="ES16" s="36"/>
      <c r="ET16" s="36"/>
      <c r="EU16" s="36"/>
      <c r="EV16" s="36"/>
      <c r="EW16" s="36"/>
      <c r="EX16" s="36"/>
      <c r="EY16" s="36"/>
      <c r="EZ16" s="36"/>
      <c r="FA16" s="36"/>
      <c r="FB16" s="36"/>
      <c r="FC16" s="36"/>
      <c r="FD16" s="36"/>
      <c r="FE16" s="36"/>
      <c r="FF16" s="36"/>
      <c r="FG16" s="36"/>
      <c r="FH16" s="36"/>
      <c r="FI16" s="36"/>
      <c r="FJ16" s="36"/>
      <c r="FK16" s="36"/>
      <c r="FL16" s="36"/>
      <c r="FM16" s="36"/>
      <c r="FN16" s="36"/>
      <c r="FO16" s="36"/>
      <c r="FP16" s="36"/>
      <c r="FQ16" s="36"/>
      <c r="FR16" s="36"/>
      <c r="FS16" s="36"/>
      <c r="FT16" s="36"/>
      <c r="FU16" s="36"/>
      <c r="FV16" s="36"/>
      <c r="FW16" s="36"/>
      <c r="FX16" s="36"/>
      <c r="FY16" s="36"/>
      <c r="FZ16" s="36"/>
      <c r="GA16" s="36"/>
      <c r="GB16" s="319"/>
      <c r="GC16" s="179">
        <f t="shared" si="0"/>
        <v>0</v>
      </c>
      <c r="GD16" s="179">
        <f t="shared" si="1"/>
        <v>0</v>
      </c>
      <c r="GE16" s="179">
        <f t="shared" si="2"/>
        <v>0</v>
      </c>
      <c r="GF16" s="179">
        <f t="shared" si="3"/>
        <v>0</v>
      </c>
      <c r="GG16" s="179">
        <f t="shared" si="4"/>
        <v>0</v>
      </c>
    </row>
    <row r="17" spans="1:189" x14ac:dyDescent="0.35">
      <c r="A17" s="5" t="s">
        <v>690</v>
      </c>
      <c r="B17" s="5" t="str">
        <f>IF(Technologies!B17&lt;&gt;0,Technologies!B17,"")</f>
        <v>Gebouwde omgeving</v>
      </c>
      <c r="C17" s="5" t="str">
        <f>VLOOKUP($A17,Technologies!$A$7:$H$576,3,FALSE)</f>
        <v>Final</v>
      </c>
      <c r="D17" s="5" t="str">
        <f>VLOOKUP($A17,Technologies!$A$7:$H$576,4,FALSE)</f>
        <v>Residential</v>
      </c>
      <c r="E17" s="5" t="str">
        <f>VLOOKUP($A17,Technologies!$A$7:$H$576,6,FALSE)</f>
        <v>Houses - Residential Terrace</v>
      </c>
      <c r="F17" s="5" t="str">
        <f>VLOOKUP($A17,Technologies!$A$7:$H$576,7,FALSE)</f>
        <v>House with insulation A - Residential Terrace</v>
      </c>
      <c r="G17" s="23"/>
      <c r="H17" s="23"/>
      <c r="I17" s="104" cm="1">
        <f t="array" ref="I17">-SUMPRODUCT((Feedstocks!$C$4:$C$141=A17)*Feedstocks!$E$4:$E$141,Feedstocks!$F$4:$F$141,Feedstocks!$H$4:$H$141,Feedstocks!$I$4:$I$141)</f>
        <v>0</v>
      </c>
      <c r="J17" s="104" cm="1">
        <f t="array" ref="J17">-SUMPRODUCT((Feedstocks!$C$4:$C$141=A17)*Feedstocks!$E$4:$E$141,Feedstocks!$H$4:$H$141,Feedstocks!$I$4:$I$141)</f>
        <v>0</v>
      </c>
      <c r="K17" s="104"/>
      <c r="L17" s="104"/>
      <c r="M17" s="23"/>
      <c r="N17" s="23" t="str">
        <f>VLOOKUP(E17,Activities!$A$9:$M$227,13,FALSE)</f>
        <v>NL</v>
      </c>
      <c r="O17" s="23"/>
      <c r="P17" s="79" t="s">
        <v>687</v>
      </c>
      <c r="Q17" s="35"/>
      <c r="R17" s="35"/>
      <c r="S17" s="35">
        <v>1</v>
      </c>
      <c r="T17" s="35"/>
      <c r="U17" s="35"/>
      <c r="V17" s="35"/>
      <c r="W17" s="35"/>
      <c r="X17" s="35"/>
      <c r="Y17" s="35"/>
      <c r="Z17" s="35"/>
      <c r="AA17" s="35"/>
      <c r="AB17" s="35"/>
      <c r="AC17" s="35"/>
      <c r="AD17" s="35"/>
      <c r="AE17" s="35"/>
      <c r="AF17" s="35"/>
      <c r="AG17" s="35"/>
      <c r="AH17" s="35"/>
      <c r="AI17" s="35"/>
      <c r="AJ17" s="35"/>
      <c r="AK17" s="35"/>
      <c r="AL17" s="35"/>
      <c r="AM17" s="35"/>
      <c r="AN17" s="35"/>
      <c r="AO17" s="35"/>
      <c r="AP17" s="35"/>
      <c r="AQ17" s="35"/>
      <c r="AR17" s="35"/>
      <c r="AS17" s="35"/>
      <c r="AT17" s="35"/>
      <c r="AU17" s="35"/>
      <c r="AV17" s="35"/>
      <c r="AW17" s="35"/>
      <c r="AX17" s="35"/>
      <c r="AY17" s="35"/>
      <c r="AZ17" s="35"/>
      <c r="BA17" s="35"/>
      <c r="BB17" s="35"/>
      <c r="BC17" s="35"/>
      <c r="BD17" s="35"/>
      <c r="BE17" s="35"/>
      <c r="BF17" s="35"/>
      <c r="BG17" s="35"/>
      <c r="BH17" s="35"/>
      <c r="BI17" s="35"/>
      <c r="BJ17" s="35"/>
      <c r="BK17" s="35"/>
      <c r="BL17" s="35"/>
      <c r="BM17" s="35"/>
      <c r="BN17" s="35"/>
      <c r="BO17" s="35"/>
      <c r="BP17" s="35"/>
      <c r="BQ17" s="35"/>
      <c r="BR17" s="35"/>
      <c r="BS17" s="35"/>
      <c r="BT17" s="35"/>
      <c r="BU17" s="35"/>
      <c r="BV17" s="35"/>
      <c r="BW17" s="35"/>
      <c r="BX17" s="35"/>
      <c r="BY17" s="35"/>
      <c r="BZ17" s="35"/>
      <c r="CA17" s="35"/>
      <c r="CB17" s="35"/>
      <c r="CC17" s="35"/>
      <c r="CD17" s="35"/>
      <c r="CE17" s="35"/>
      <c r="CF17" s="35"/>
      <c r="CG17" s="35"/>
      <c r="CH17" s="35"/>
      <c r="CI17" s="35"/>
      <c r="CJ17" s="35"/>
      <c r="CK17" s="35"/>
      <c r="CL17" s="35"/>
      <c r="CM17" s="35"/>
      <c r="CN17" s="35"/>
      <c r="CO17" s="35"/>
      <c r="CP17" s="35"/>
      <c r="CQ17" s="35"/>
      <c r="CR17" s="35"/>
      <c r="CS17" s="35"/>
      <c r="CT17" s="35"/>
      <c r="CU17" s="35"/>
      <c r="CV17" s="35"/>
      <c r="CW17" s="35"/>
      <c r="CX17" s="35"/>
      <c r="CY17" s="35"/>
      <c r="CZ17" s="35"/>
      <c r="DA17" s="35"/>
      <c r="DB17" s="35"/>
      <c r="DC17" s="35"/>
      <c r="DD17" s="35"/>
      <c r="DE17" s="35"/>
      <c r="DF17" s="35"/>
      <c r="DG17" s="35"/>
      <c r="DH17" s="35"/>
      <c r="DI17" s="35"/>
      <c r="DJ17" s="35"/>
      <c r="DK17" s="35">
        <v>-2.7605900000000003E-2</v>
      </c>
      <c r="DL17" s="35"/>
      <c r="DM17" s="35"/>
      <c r="DN17" s="35"/>
      <c r="DO17" s="35"/>
      <c r="DP17" s="35"/>
      <c r="DQ17" s="35"/>
      <c r="DR17" s="35"/>
      <c r="DS17" s="35"/>
      <c r="DT17" s="35"/>
      <c r="DU17" s="35"/>
      <c r="DV17" s="35"/>
      <c r="DW17" s="35"/>
      <c r="DX17" s="35"/>
      <c r="DY17" s="35"/>
      <c r="DZ17" s="35"/>
      <c r="EA17" s="35"/>
      <c r="EB17" s="35"/>
      <c r="EC17" s="35"/>
      <c r="ED17" s="35"/>
      <c r="EE17" s="35"/>
      <c r="EF17" s="35"/>
      <c r="EG17" s="35"/>
      <c r="EH17" s="35"/>
      <c r="EI17" s="35"/>
      <c r="EJ17" s="35"/>
      <c r="EK17" s="35"/>
      <c r="EL17" s="35"/>
      <c r="EM17" s="35"/>
      <c r="EN17" s="35"/>
      <c r="EO17" s="35"/>
      <c r="EP17" s="35"/>
      <c r="EQ17" s="35"/>
      <c r="ER17" s="35"/>
      <c r="ES17" s="35"/>
      <c r="ET17" s="35"/>
      <c r="EU17" s="35"/>
      <c r="EV17" s="35"/>
      <c r="EW17" s="35"/>
      <c r="EX17" s="35"/>
      <c r="EY17" s="35"/>
      <c r="EZ17" s="35"/>
      <c r="FA17" s="35"/>
      <c r="FB17" s="35"/>
      <c r="FC17" s="35"/>
      <c r="FD17" s="35"/>
      <c r="FE17" s="35"/>
      <c r="FF17" s="35"/>
      <c r="FG17" s="35"/>
      <c r="FH17" s="35"/>
      <c r="FI17" s="35"/>
      <c r="FJ17" s="35"/>
      <c r="FK17" s="35"/>
      <c r="FL17" s="35"/>
      <c r="FM17" s="35"/>
      <c r="FN17" s="35"/>
      <c r="FO17" s="35"/>
      <c r="FP17" s="35"/>
      <c r="FQ17" s="35"/>
      <c r="FR17" s="35"/>
      <c r="FS17" s="35"/>
      <c r="FT17" s="35"/>
      <c r="FU17" s="35"/>
      <c r="FV17" s="35"/>
      <c r="FW17" s="35"/>
      <c r="FX17" s="35"/>
      <c r="FY17" s="35"/>
      <c r="FZ17" s="35"/>
      <c r="GA17" s="35"/>
      <c r="GB17" s="318"/>
      <c r="GC17" s="178">
        <f t="shared" si="0"/>
        <v>0</v>
      </c>
      <c r="GD17" s="178">
        <f t="shared" si="1"/>
        <v>0</v>
      </c>
      <c r="GE17" s="178">
        <f t="shared" si="2"/>
        <v>0</v>
      </c>
      <c r="GF17" s="178">
        <f t="shared" si="3"/>
        <v>0</v>
      </c>
      <c r="GG17" s="178">
        <f t="shared" si="4"/>
        <v>0</v>
      </c>
    </row>
    <row r="18" spans="1:189" x14ac:dyDescent="0.35">
      <c r="A18" s="6" t="s">
        <v>692</v>
      </c>
      <c r="B18" s="6" t="str">
        <f>IF(Technologies!B18&lt;&gt;0,Technologies!B18,"")</f>
        <v>Gebouwde omgeving</v>
      </c>
      <c r="C18" s="6" t="str">
        <f>VLOOKUP($A18,Technologies!$A$7:$H$576,3,FALSE)</f>
        <v>Final</v>
      </c>
      <c r="D18" s="6" t="str">
        <f>VLOOKUP($A18,Technologies!$A$7:$H$576,4,FALSE)</f>
        <v>Residential</v>
      </c>
      <c r="E18" s="6" t="str">
        <f>VLOOKUP($A18,Technologies!$A$7:$H$576,6,FALSE)</f>
        <v>Houses - Residential Terrace</v>
      </c>
      <c r="F18" s="48" t="str">
        <f>VLOOKUP($A18,Technologies!$A$7:$H$576,7,FALSE)</f>
        <v>House with insulation A+ - Residential Terrace</v>
      </c>
      <c r="G18" s="22"/>
      <c r="H18" s="22"/>
      <c r="I18" s="103" cm="1">
        <f t="array" ref="I18">-SUMPRODUCT((Feedstocks!$C$4:$C$141=A18)*Feedstocks!$E$4:$E$141,Feedstocks!$F$4:$F$141,Feedstocks!$H$4:$H$141,Feedstocks!$I$4:$I$141)</f>
        <v>0</v>
      </c>
      <c r="J18" s="103" cm="1">
        <f t="array" ref="J18">-SUMPRODUCT((Feedstocks!$C$4:$C$141=A18)*Feedstocks!$E$4:$E$141,Feedstocks!$H$4:$H$141,Feedstocks!$I$4:$I$141)</f>
        <v>0</v>
      </c>
      <c r="K18" s="103"/>
      <c r="L18" s="103"/>
      <c r="M18" s="22"/>
      <c r="N18" s="22" t="str">
        <f>VLOOKUP(E18,Activities!$A$9:$M$227,13,FALSE)</f>
        <v>NL</v>
      </c>
      <c r="O18" s="22"/>
      <c r="P18" s="80" t="s">
        <v>687</v>
      </c>
      <c r="Q18" s="36"/>
      <c r="R18" s="36"/>
      <c r="S18" s="36">
        <v>1</v>
      </c>
      <c r="T18" s="36"/>
      <c r="U18" s="36"/>
      <c r="V18" s="36"/>
      <c r="W18" s="36"/>
      <c r="X18" s="36"/>
      <c r="Y18" s="36"/>
      <c r="Z18" s="36"/>
      <c r="AA18" s="36"/>
      <c r="AB18" s="36"/>
      <c r="AC18" s="36"/>
      <c r="AD18" s="36"/>
      <c r="AE18" s="36"/>
      <c r="AF18" s="36"/>
      <c r="AG18" s="36"/>
      <c r="AH18" s="36"/>
      <c r="AI18" s="36"/>
      <c r="AJ18" s="36"/>
      <c r="AK18" s="36"/>
      <c r="AL18" s="36"/>
      <c r="AM18" s="36"/>
      <c r="AN18" s="36"/>
      <c r="AO18" s="36"/>
      <c r="AP18" s="36"/>
      <c r="AQ18" s="36"/>
      <c r="AR18" s="36"/>
      <c r="AS18" s="36"/>
      <c r="AT18" s="36"/>
      <c r="AU18" s="36"/>
      <c r="AV18" s="36"/>
      <c r="AW18" s="36"/>
      <c r="AX18" s="36"/>
      <c r="AY18" s="36"/>
      <c r="AZ18" s="36"/>
      <c r="BA18" s="36"/>
      <c r="BB18" s="36"/>
      <c r="BC18" s="36"/>
      <c r="BD18" s="36"/>
      <c r="BE18" s="36"/>
      <c r="BF18" s="36"/>
      <c r="BG18" s="36"/>
      <c r="BH18" s="36"/>
      <c r="BI18" s="36"/>
      <c r="BJ18" s="36"/>
      <c r="BK18" s="36"/>
      <c r="BL18" s="36"/>
      <c r="BM18" s="36"/>
      <c r="BN18" s="36"/>
      <c r="BO18" s="36"/>
      <c r="BP18" s="36"/>
      <c r="BQ18" s="36"/>
      <c r="BR18" s="36"/>
      <c r="BS18" s="36"/>
      <c r="BT18" s="36"/>
      <c r="BU18" s="36"/>
      <c r="BV18" s="36"/>
      <c r="BW18" s="36"/>
      <c r="BX18" s="36"/>
      <c r="BY18" s="36"/>
      <c r="BZ18" s="36"/>
      <c r="CA18" s="36"/>
      <c r="CB18" s="36"/>
      <c r="CC18" s="36"/>
      <c r="CD18" s="36"/>
      <c r="CE18" s="36"/>
      <c r="CF18" s="36"/>
      <c r="CG18" s="36"/>
      <c r="CH18" s="36"/>
      <c r="CI18" s="36"/>
      <c r="CJ18" s="36"/>
      <c r="CK18" s="36"/>
      <c r="CL18" s="36"/>
      <c r="CM18" s="36"/>
      <c r="CN18" s="36"/>
      <c r="CO18" s="36"/>
      <c r="CP18" s="36"/>
      <c r="CQ18" s="36"/>
      <c r="CR18" s="36"/>
      <c r="CS18" s="36"/>
      <c r="CT18" s="36"/>
      <c r="CU18" s="36"/>
      <c r="CV18" s="36"/>
      <c r="CW18" s="36"/>
      <c r="CX18" s="36"/>
      <c r="CY18" s="36"/>
      <c r="CZ18" s="36"/>
      <c r="DA18" s="36"/>
      <c r="DB18" s="36"/>
      <c r="DC18" s="36"/>
      <c r="DD18" s="36"/>
      <c r="DE18" s="36"/>
      <c r="DF18" s="36"/>
      <c r="DG18" s="36"/>
      <c r="DH18" s="36"/>
      <c r="DI18" s="36"/>
      <c r="DJ18" s="36"/>
      <c r="DK18" s="36">
        <v>-2.3255899999999996E-2</v>
      </c>
      <c r="DL18" s="36"/>
      <c r="DM18" s="36"/>
      <c r="DN18" s="36"/>
      <c r="DO18" s="36"/>
      <c r="DP18" s="36"/>
      <c r="DQ18" s="36"/>
      <c r="DR18" s="36"/>
      <c r="DS18" s="36"/>
      <c r="DT18" s="36"/>
      <c r="DU18" s="36"/>
      <c r="DV18" s="36"/>
      <c r="DW18" s="36"/>
      <c r="DX18" s="36"/>
      <c r="DY18" s="36"/>
      <c r="DZ18" s="36"/>
      <c r="EA18" s="36"/>
      <c r="EB18" s="36"/>
      <c r="EC18" s="36"/>
      <c r="ED18" s="36"/>
      <c r="EE18" s="36"/>
      <c r="EF18" s="36"/>
      <c r="EG18" s="36"/>
      <c r="EH18" s="36"/>
      <c r="EI18" s="36"/>
      <c r="EJ18" s="36"/>
      <c r="EK18" s="36"/>
      <c r="EL18" s="36"/>
      <c r="EM18" s="36"/>
      <c r="EN18" s="36"/>
      <c r="EO18" s="36"/>
      <c r="EP18" s="36"/>
      <c r="EQ18" s="36"/>
      <c r="ER18" s="36"/>
      <c r="ES18" s="36"/>
      <c r="ET18" s="36"/>
      <c r="EU18" s="36"/>
      <c r="EV18" s="36"/>
      <c r="EW18" s="36"/>
      <c r="EX18" s="36"/>
      <c r="EY18" s="36"/>
      <c r="EZ18" s="36"/>
      <c r="FA18" s="36"/>
      <c r="FB18" s="36"/>
      <c r="FC18" s="36"/>
      <c r="FD18" s="36"/>
      <c r="FE18" s="36"/>
      <c r="FF18" s="36"/>
      <c r="FG18" s="36"/>
      <c r="FH18" s="36"/>
      <c r="FI18" s="36"/>
      <c r="FJ18" s="36"/>
      <c r="FK18" s="36"/>
      <c r="FL18" s="36"/>
      <c r="FM18" s="36"/>
      <c r="FN18" s="36"/>
      <c r="FO18" s="36"/>
      <c r="FP18" s="36"/>
      <c r="FQ18" s="36"/>
      <c r="FR18" s="36"/>
      <c r="FS18" s="36"/>
      <c r="FT18" s="36"/>
      <c r="FU18" s="36"/>
      <c r="FV18" s="36"/>
      <c r="FW18" s="36"/>
      <c r="FX18" s="36"/>
      <c r="FY18" s="36"/>
      <c r="FZ18" s="36"/>
      <c r="GA18" s="36"/>
      <c r="GB18" s="319"/>
      <c r="GC18" s="179">
        <f t="shared" si="0"/>
        <v>0</v>
      </c>
      <c r="GD18" s="179">
        <f t="shared" si="1"/>
        <v>0</v>
      </c>
      <c r="GE18" s="179">
        <f t="shared" si="2"/>
        <v>0</v>
      </c>
      <c r="GF18" s="179">
        <f t="shared" si="3"/>
        <v>0</v>
      </c>
      <c r="GG18" s="179">
        <f t="shared" si="4"/>
        <v>0</v>
      </c>
    </row>
    <row r="19" spans="1:189" x14ac:dyDescent="0.35">
      <c r="A19" s="5" t="s">
        <v>694</v>
      </c>
      <c r="B19" s="5" t="str">
        <f>IF(Technologies!B19&lt;&gt;0,Technologies!B19,"")</f>
        <v>Gebouwde omgeving</v>
      </c>
      <c r="C19" s="5" t="str">
        <f>VLOOKUP($A19,Technologies!$A$7:$H$576,3,FALSE)</f>
        <v>Final</v>
      </c>
      <c r="D19" s="5" t="str">
        <f>VLOOKUP($A19,Technologies!$A$7:$H$576,4,FALSE)</f>
        <v>Residential</v>
      </c>
      <c r="E19" s="5" t="str">
        <f>VLOOKUP($A19,Technologies!$A$7:$H$576,6,FALSE)</f>
        <v>Houses - Residential Dwellings</v>
      </c>
      <c r="F19" s="5" t="str">
        <f>VLOOKUP($A19,Technologies!$A$7:$H$576,7,FALSE)</f>
        <v>House with insulation GFE - Residential Dwellings</v>
      </c>
      <c r="G19" s="23"/>
      <c r="H19" s="23"/>
      <c r="I19" s="104" cm="1">
        <f t="array" ref="I19">-SUMPRODUCT((Feedstocks!$C$4:$C$141=A19)*Feedstocks!$E$4:$E$141,Feedstocks!$F$4:$F$141,Feedstocks!$H$4:$H$141,Feedstocks!$I$4:$I$141)</f>
        <v>0</v>
      </c>
      <c r="J19" s="104" cm="1">
        <f t="array" ref="J19">-SUMPRODUCT((Feedstocks!$C$4:$C$141=A19)*Feedstocks!$E$4:$E$141,Feedstocks!$H$4:$H$141,Feedstocks!$I$4:$I$141)</f>
        <v>0</v>
      </c>
      <c r="K19" s="104"/>
      <c r="L19" s="104"/>
      <c r="M19" s="23"/>
      <c r="N19" s="23" t="str">
        <f>VLOOKUP(E19,Activities!$A$9:$M$227,13,FALSE)</f>
        <v>NL</v>
      </c>
      <c r="O19" s="23"/>
      <c r="P19" s="79" t="s">
        <v>687</v>
      </c>
      <c r="Q19" s="35"/>
      <c r="R19" s="35"/>
      <c r="S19" s="35"/>
      <c r="T19" s="35">
        <v>1</v>
      </c>
      <c r="U19" s="35"/>
      <c r="V19" s="35"/>
      <c r="W19" s="35"/>
      <c r="X19" s="35"/>
      <c r="Y19" s="35"/>
      <c r="Z19" s="35"/>
      <c r="AA19" s="35"/>
      <c r="AB19" s="35"/>
      <c r="AC19" s="35"/>
      <c r="AD19" s="35"/>
      <c r="AE19" s="35"/>
      <c r="AF19" s="35"/>
      <c r="AG19" s="35"/>
      <c r="AH19" s="35"/>
      <c r="AI19" s="35"/>
      <c r="AJ19" s="35"/>
      <c r="AK19" s="35"/>
      <c r="AL19" s="35"/>
      <c r="AM19" s="35"/>
      <c r="AN19" s="35"/>
      <c r="AO19" s="35"/>
      <c r="AP19" s="35"/>
      <c r="AQ19" s="35"/>
      <c r="AR19" s="35"/>
      <c r="AS19" s="35"/>
      <c r="AT19" s="35"/>
      <c r="AU19" s="35"/>
      <c r="AV19" s="35"/>
      <c r="AW19" s="35"/>
      <c r="AX19" s="35"/>
      <c r="AY19" s="35"/>
      <c r="AZ19" s="35"/>
      <c r="BA19" s="35"/>
      <c r="BB19" s="35"/>
      <c r="BC19" s="35"/>
      <c r="BD19" s="35"/>
      <c r="BE19" s="35"/>
      <c r="BF19" s="35"/>
      <c r="BG19" s="35"/>
      <c r="BH19" s="35"/>
      <c r="BI19" s="35"/>
      <c r="BJ19" s="35"/>
      <c r="BK19" s="35"/>
      <c r="BL19" s="35"/>
      <c r="BM19" s="35"/>
      <c r="BN19" s="35"/>
      <c r="BO19" s="35"/>
      <c r="BP19" s="35"/>
      <c r="BQ19" s="35"/>
      <c r="BR19" s="35"/>
      <c r="BS19" s="35"/>
      <c r="BT19" s="35"/>
      <c r="BU19" s="35"/>
      <c r="BV19" s="35"/>
      <c r="BW19" s="35"/>
      <c r="BX19" s="35"/>
      <c r="BY19" s="35"/>
      <c r="BZ19" s="35"/>
      <c r="CA19" s="35"/>
      <c r="CB19" s="35"/>
      <c r="CC19" s="35"/>
      <c r="CD19" s="35"/>
      <c r="CE19" s="35"/>
      <c r="CF19" s="35"/>
      <c r="CG19" s="35"/>
      <c r="CH19" s="35"/>
      <c r="CI19" s="35"/>
      <c r="CJ19" s="35"/>
      <c r="CK19" s="35"/>
      <c r="CL19" s="35"/>
      <c r="CM19" s="35"/>
      <c r="CN19" s="35"/>
      <c r="CO19" s="35"/>
      <c r="CP19" s="35"/>
      <c r="CQ19" s="35"/>
      <c r="CR19" s="35"/>
      <c r="CS19" s="35"/>
      <c r="CT19" s="35"/>
      <c r="CU19" s="35"/>
      <c r="CV19" s="35"/>
      <c r="CW19" s="35"/>
      <c r="CX19" s="35"/>
      <c r="CY19" s="35"/>
      <c r="CZ19" s="35"/>
      <c r="DA19" s="35"/>
      <c r="DB19" s="35"/>
      <c r="DC19" s="35"/>
      <c r="DD19" s="35"/>
      <c r="DE19" s="35"/>
      <c r="DF19" s="35"/>
      <c r="DG19" s="35"/>
      <c r="DH19" s="35"/>
      <c r="DI19" s="35"/>
      <c r="DJ19" s="35">
        <v>-6.9073400000000007E-2</v>
      </c>
      <c r="DK19" s="35"/>
      <c r="DL19" s="35"/>
      <c r="DM19" s="35"/>
      <c r="DN19" s="35"/>
      <c r="DO19" s="35"/>
      <c r="DP19" s="35"/>
      <c r="DQ19" s="35"/>
      <c r="DR19" s="35"/>
      <c r="DS19" s="35"/>
      <c r="DT19" s="35"/>
      <c r="DU19" s="35"/>
      <c r="DV19" s="35"/>
      <c r="DW19" s="35"/>
      <c r="DX19" s="35"/>
      <c r="DY19" s="35"/>
      <c r="DZ19" s="35"/>
      <c r="EA19" s="35"/>
      <c r="EB19" s="35"/>
      <c r="EC19" s="35"/>
      <c r="ED19" s="35"/>
      <c r="EE19" s="35"/>
      <c r="EF19" s="35"/>
      <c r="EG19" s="35"/>
      <c r="EH19" s="35"/>
      <c r="EI19" s="35"/>
      <c r="EJ19" s="35"/>
      <c r="EK19" s="35"/>
      <c r="EL19" s="35"/>
      <c r="EM19" s="35"/>
      <c r="EN19" s="35"/>
      <c r="EO19" s="35"/>
      <c r="EP19" s="35"/>
      <c r="EQ19" s="35"/>
      <c r="ER19" s="35"/>
      <c r="ES19" s="35"/>
      <c r="ET19" s="35"/>
      <c r="EU19" s="35"/>
      <c r="EV19" s="35"/>
      <c r="EW19" s="35"/>
      <c r="EX19" s="35"/>
      <c r="EY19" s="35"/>
      <c r="EZ19" s="35"/>
      <c r="FA19" s="35"/>
      <c r="FB19" s="35"/>
      <c r="FC19" s="35"/>
      <c r="FD19" s="35"/>
      <c r="FE19" s="35"/>
      <c r="FF19" s="35"/>
      <c r="FG19" s="35"/>
      <c r="FH19" s="35"/>
      <c r="FI19" s="35"/>
      <c r="FJ19" s="35"/>
      <c r="FK19" s="35"/>
      <c r="FL19" s="35"/>
      <c r="FM19" s="35"/>
      <c r="FN19" s="35"/>
      <c r="FO19" s="35"/>
      <c r="FP19" s="35"/>
      <c r="FQ19" s="35"/>
      <c r="FR19" s="35"/>
      <c r="FS19" s="35"/>
      <c r="FT19" s="35"/>
      <c r="FU19" s="35"/>
      <c r="FV19" s="35"/>
      <c r="FW19" s="35"/>
      <c r="FX19" s="35"/>
      <c r="FY19" s="35"/>
      <c r="FZ19" s="35"/>
      <c r="GA19" s="35"/>
      <c r="GB19" s="318"/>
      <c r="GC19" s="178">
        <f t="shared" si="0"/>
        <v>0</v>
      </c>
      <c r="GD19" s="178">
        <f t="shared" si="1"/>
        <v>0</v>
      </c>
      <c r="GE19" s="178">
        <f t="shared" si="2"/>
        <v>0</v>
      </c>
      <c r="GF19" s="178">
        <f t="shared" si="3"/>
        <v>0</v>
      </c>
      <c r="GG19" s="178">
        <f t="shared" si="4"/>
        <v>0</v>
      </c>
    </row>
    <row r="20" spans="1:189" x14ac:dyDescent="0.35">
      <c r="A20" s="6" t="s">
        <v>697</v>
      </c>
      <c r="B20" s="6" t="str">
        <f>IF(Technologies!B20&lt;&gt;0,Technologies!B20,"")</f>
        <v>Gebouwde omgeving</v>
      </c>
      <c r="C20" s="6" t="str">
        <f>VLOOKUP($A20,Technologies!$A$7:$H$576,3,FALSE)</f>
        <v>Final</v>
      </c>
      <c r="D20" s="6" t="str">
        <f>VLOOKUP($A20,Technologies!$A$7:$H$576,4,FALSE)</f>
        <v>Residential</v>
      </c>
      <c r="E20" s="6" t="str">
        <f>VLOOKUP($A20,Technologies!$A$7:$H$576,6,FALSE)</f>
        <v>Houses - Residential Dwellings</v>
      </c>
      <c r="F20" s="48" t="str">
        <f>VLOOKUP($A20,Technologies!$A$7:$H$576,7,FALSE)</f>
        <v>House with insulation DC - Residential Dwellings</v>
      </c>
      <c r="G20" s="22"/>
      <c r="H20" s="22"/>
      <c r="I20" s="103" cm="1">
        <f t="array" ref="I20">-SUMPRODUCT((Feedstocks!$C$4:$C$141=A20)*Feedstocks!$E$4:$E$141,Feedstocks!$F$4:$F$141,Feedstocks!$H$4:$H$141,Feedstocks!$I$4:$I$141)</f>
        <v>0</v>
      </c>
      <c r="J20" s="103" cm="1">
        <f t="array" ref="J20">-SUMPRODUCT((Feedstocks!$C$4:$C$141=A20)*Feedstocks!$E$4:$E$141,Feedstocks!$H$4:$H$141,Feedstocks!$I$4:$I$141)</f>
        <v>0</v>
      </c>
      <c r="K20" s="103"/>
      <c r="L20" s="103"/>
      <c r="M20" s="22"/>
      <c r="N20" s="22" t="str">
        <f>VLOOKUP(E20,Activities!$A$9:$M$227,13,FALSE)</f>
        <v>NL</v>
      </c>
      <c r="O20" s="22"/>
      <c r="P20" s="80" t="s">
        <v>452</v>
      </c>
      <c r="Q20" s="36"/>
      <c r="R20" s="36"/>
      <c r="S20" s="36"/>
      <c r="T20" s="36">
        <v>1</v>
      </c>
      <c r="U20" s="36"/>
      <c r="V20" s="36"/>
      <c r="W20" s="36"/>
      <c r="X20" s="36"/>
      <c r="Y20" s="36"/>
      <c r="Z20" s="36"/>
      <c r="AA20" s="36"/>
      <c r="AB20" s="36"/>
      <c r="AC20" s="36"/>
      <c r="AD20" s="36"/>
      <c r="AE20" s="36"/>
      <c r="AF20" s="36"/>
      <c r="AG20" s="36"/>
      <c r="AH20" s="36"/>
      <c r="AI20" s="36"/>
      <c r="AJ20" s="36"/>
      <c r="AK20" s="36"/>
      <c r="AL20" s="36"/>
      <c r="AM20" s="36"/>
      <c r="AN20" s="36"/>
      <c r="AO20" s="36"/>
      <c r="AP20" s="36"/>
      <c r="AQ20" s="36"/>
      <c r="AR20" s="36"/>
      <c r="AS20" s="36"/>
      <c r="AT20" s="36"/>
      <c r="AU20" s="36"/>
      <c r="AV20" s="36"/>
      <c r="AW20" s="36"/>
      <c r="AX20" s="36"/>
      <c r="AY20" s="36"/>
      <c r="AZ20" s="36"/>
      <c r="BA20" s="36"/>
      <c r="BB20" s="36"/>
      <c r="BC20" s="36"/>
      <c r="BD20" s="36"/>
      <c r="BE20" s="36"/>
      <c r="BF20" s="36"/>
      <c r="BG20" s="36"/>
      <c r="BH20" s="36"/>
      <c r="BI20" s="36"/>
      <c r="BJ20" s="36"/>
      <c r="BK20" s="36"/>
      <c r="BL20" s="36"/>
      <c r="BM20" s="36"/>
      <c r="BN20" s="36"/>
      <c r="BO20" s="36"/>
      <c r="BP20" s="36"/>
      <c r="BQ20" s="36"/>
      <c r="BR20" s="36"/>
      <c r="BS20" s="36"/>
      <c r="BT20" s="36"/>
      <c r="BU20" s="36"/>
      <c r="BV20" s="36"/>
      <c r="BW20" s="36"/>
      <c r="BX20" s="36"/>
      <c r="BY20" s="36"/>
      <c r="BZ20" s="36"/>
      <c r="CA20" s="36"/>
      <c r="CB20" s="36"/>
      <c r="CC20" s="36"/>
      <c r="CD20" s="36"/>
      <c r="CE20" s="36"/>
      <c r="CF20" s="36"/>
      <c r="CG20" s="36"/>
      <c r="CH20" s="36"/>
      <c r="CI20" s="36"/>
      <c r="CJ20" s="36"/>
      <c r="CK20" s="36"/>
      <c r="CL20" s="36"/>
      <c r="CM20" s="36"/>
      <c r="CN20" s="36"/>
      <c r="CO20" s="36"/>
      <c r="CP20" s="36"/>
      <c r="CQ20" s="36"/>
      <c r="CR20" s="36"/>
      <c r="CS20" s="36"/>
      <c r="CT20" s="36"/>
      <c r="CU20" s="36"/>
      <c r="CV20" s="36"/>
      <c r="CW20" s="36"/>
      <c r="CX20" s="36"/>
      <c r="CY20" s="36"/>
      <c r="CZ20" s="36"/>
      <c r="DA20" s="36"/>
      <c r="DB20" s="36"/>
      <c r="DC20" s="36"/>
      <c r="DD20" s="36"/>
      <c r="DE20" s="36"/>
      <c r="DF20" s="36"/>
      <c r="DG20" s="36"/>
      <c r="DH20" s="36"/>
      <c r="DI20" s="36"/>
      <c r="DJ20" s="36">
        <v>-6.0083400000000002E-2</v>
      </c>
      <c r="DK20" s="36"/>
      <c r="DL20" s="36"/>
      <c r="DM20" s="36"/>
      <c r="DN20" s="36"/>
      <c r="DO20" s="36"/>
      <c r="DP20" s="36"/>
      <c r="DQ20" s="36"/>
      <c r="DR20" s="36"/>
      <c r="DS20" s="36"/>
      <c r="DT20" s="36"/>
      <c r="DU20" s="36"/>
      <c r="DV20" s="36"/>
      <c r="DW20" s="36"/>
      <c r="DX20" s="36"/>
      <c r="DY20" s="36"/>
      <c r="DZ20" s="36"/>
      <c r="EA20" s="36"/>
      <c r="EB20" s="36"/>
      <c r="EC20" s="36"/>
      <c r="ED20" s="36"/>
      <c r="EE20" s="36"/>
      <c r="EF20" s="36"/>
      <c r="EG20" s="36"/>
      <c r="EH20" s="36"/>
      <c r="EI20" s="36"/>
      <c r="EJ20" s="36"/>
      <c r="EK20" s="36"/>
      <c r="EL20" s="36"/>
      <c r="EM20" s="36"/>
      <c r="EN20" s="36"/>
      <c r="EO20" s="36"/>
      <c r="EP20" s="36"/>
      <c r="EQ20" s="36"/>
      <c r="ER20" s="36"/>
      <c r="ES20" s="36"/>
      <c r="ET20" s="36"/>
      <c r="EU20" s="36"/>
      <c r="EV20" s="36"/>
      <c r="EW20" s="36"/>
      <c r="EX20" s="36"/>
      <c r="EY20" s="36"/>
      <c r="EZ20" s="36"/>
      <c r="FA20" s="36"/>
      <c r="FB20" s="36"/>
      <c r="FC20" s="36"/>
      <c r="FD20" s="36"/>
      <c r="FE20" s="36"/>
      <c r="FF20" s="36"/>
      <c r="FG20" s="36"/>
      <c r="FH20" s="36"/>
      <c r="FI20" s="36"/>
      <c r="FJ20" s="36"/>
      <c r="FK20" s="36"/>
      <c r="FL20" s="36"/>
      <c r="FM20" s="36"/>
      <c r="FN20" s="36"/>
      <c r="FO20" s="36"/>
      <c r="FP20" s="36"/>
      <c r="FQ20" s="36"/>
      <c r="FR20" s="36"/>
      <c r="FS20" s="36"/>
      <c r="FT20" s="36"/>
      <c r="FU20" s="36"/>
      <c r="FV20" s="36"/>
      <c r="FW20" s="36"/>
      <c r="FX20" s="36"/>
      <c r="FY20" s="36"/>
      <c r="FZ20" s="36"/>
      <c r="GA20" s="36"/>
      <c r="GB20" s="319"/>
      <c r="GC20" s="179">
        <f t="shared" si="0"/>
        <v>0</v>
      </c>
      <c r="GD20" s="179">
        <f t="shared" si="1"/>
        <v>0</v>
      </c>
      <c r="GE20" s="179">
        <f t="shared" si="2"/>
        <v>0</v>
      </c>
      <c r="GF20" s="179">
        <f t="shared" si="3"/>
        <v>0</v>
      </c>
      <c r="GG20" s="179">
        <f t="shared" si="4"/>
        <v>0</v>
      </c>
    </row>
    <row r="21" spans="1:189" x14ac:dyDescent="0.35">
      <c r="A21" s="5" t="s">
        <v>700</v>
      </c>
      <c r="B21" s="5" t="str">
        <f>IF(Technologies!B21&lt;&gt;0,Technologies!B21,"")</f>
        <v>Gebouwde omgeving</v>
      </c>
      <c r="C21" s="5" t="str">
        <f>VLOOKUP($A21,Technologies!$A$7:$H$576,3,FALSE)</f>
        <v>Final</v>
      </c>
      <c r="D21" s="5" t="str">
        <f>VLOOKUP($A21,Technologies!$A$7:$H$576,4,FALSE)</f>
        <v>Residential</v>
      </c>
      <c r="E21" s="5" t="str">
        <f>VLOOKUP($A21,Technologies!$A$7:$H$576,6,FALSE)</f>
        <v>Houses - Residential Dwellings</v>
      </c>
      <c r="F21" s="5" t="str">
        <f>VLOOKUP($A21,Technologies!$A$7:$H$576,7,FALSE)</f>
        <v>House with insulation B - Residential Dwellings</v>
      </c>
      <c r="G21" s="23"/>
      <c r="H21" s="23"/>
      <c r="I21" s="104" cm="1">
        <f t="array" ref="I21">-SUMPRODUCT((Feedstocks!$C$4:$C$141=A21)*Feedstocks!$E$4:$E$141,Feedstocks!$F$4:$F$141,Feedstocks!$H$4:$H$141,Feedstocks!$I$4:$I$141)</f>
        <v>0</v>
      </c>
      <c r="J21" s="104" cm="1">
        <f t="array" ref="J21">-SUMPRODUCT((Feedstocks!$C$4:$C$141=A21)*Feedstocks!$E$4:$E$141,Feedstocks!$H$4:$H$141,Feedstocks!$I$4:$I$141)</f>
        <v>0</v>
      </c>
      <c r="K21" s="104"/>
      <c r="L21" s="104"/>
      <c r="M21" s="23"/>
      <c r="N21" s="23" t="str">
        <f>VLOOKUP(E21,Activities!$A$9:$M$227,13,FALSE)</f>
        <v>NL</v>
      </c>
      <c r="O21" s="23"/>
      <c r="P21" s="79" t="s">
        <v>1808</v>
      </c>
      <c r="Q21" s="35"/>
      <c r="R21" s="35"/>
      <c r="S21" s="35"/>
      <c r="T21" s="35">
        <v>1</v>
      </c>
      <c r="U21" s="35"/>
      <c r="V21" s="35"/>
      <c r="W21" s="35"/>
      <c r="X21" s="35"/>
      <c r="Y21" s="35"/>
      <c r="Z21" s="35"/>
      <c r="AA21" s="35"/>
      <c r="AB21" s="35"/>
      <c r="AC21" s="35"/>
      <c r="AD21" s="35"/>
      <c r="AE21" s="35"/>
      <c r="AF21" s="35"/>
      <c r="AG21" s="35"/>
      <c r="AH21" s="35"/>
      <c r="AI21" s="35"/>
      <c r="AJ21" s="35"/>
      <c r="AK21" s="35"/>
      <c r="AL21" s="35"/>
      <c r="AM21" s="35"/>
      <c r="AN21" s="35"/>
      <c r="AO21" s="35"/>
      <c r="AP21" s="35"/>
      <c r="AQ21" s="35"/>
      <c r="AR21" s="35"/>
      <c r="AS21" s="35"/>
      <c r="AT21" s="35"/>
      <c r="AU21" s="35"/>
      <c r="AV21" s="35"/>
      <c r="AW21" s="35"/>
      <c r="AX21" s="35"/>
      <c r="AY21" s="35"/>
      <c r="AZ21" s="35"/>
      <c r="BA21" s="35"/>
      <c r="BB21" s="35"/>
      <c r="BC21" s="35"/>
      <c r="BD21" s="35"/>
      <c r="BE21" s="35"/>
      <c r="BF21" s="35"/>
      <c r="BG21" s="35"/>
      <c r="BH21" s="35"/>
      <c r="BI21" s="35"/>
      <c r="BJ21" s="35"/>
      <c r="BK21" s="35"/>
      <c r="BL21" s="35"/>
      <c r="BM21" s="35"/>
      <c r="BN21" s="35"/>
      <c r="BO21" s="35"/>
      <c r="BP21" s="35"/>
      <c r="BQ21" s="35"/>
      <c r="BR21" s="35"/>
      <c r="BS21" s="35"/>
      <c r="BT21" s="35"/>
      <c r="BU21" s="35"/>
      <c r="BV21" s="35"/>
      <c r="BW21" s="35"/>
      <c r="BX21" s="35"/>
      <c r="BY21" s="35"/>
      <c r="BZ21" s="35"/>
      <c r="CA21" s="35"/>
      <c r="CB21" s="35"/>
      <c r="CC21" s="35"/>
      <c r="CD21" s="35"/>
      <c r="CE21" s="35"/>
      <c r="CF21" s="35"/>
      <c r="CG21" s="35"/>
      <c r="CH21" s="35"/>
      <c r="CI21" s="35"/>
      <c r="CJ21" s="35"/>
      <c r="CK21" s="35"/>
      <c r="CL21" s="35"/>
      <c r="CM21" s="35"/>
      <c r="CN21" s="35"/>
      <c r="CO21" s="35"/>
      <c r="CP21" s="35"/>
      <c r="CQ21" s="35"/>
      <c r="CR21" s="35"/>
      <c r="CS21" s="35"/>
      <c r="CT21" s="35"/>
      <c r="CU21" s="35"/>
      <c r="CV21" s="35"/>
      <c r="CW21" s="35"/>
      <c r="CX21" s="35"/>
      <c r="CY21" s="35"/>
      <c r="CZ21" s="35"/>
      <c r="DA21" s="35"/>
      <c r="DB21" s="35"/>
      <c r="DC21" s="35"/>
      <c r="DD21" s="35"/>
      <c r="DE21" s="35"/>
      <c r="DF21" s="35"/>
      <c r="DG21" s="35"/>
      <c r="DH21" s="35"/>
      <c r="DI21" s="35"/>
      <c r="DJ21" s="35"/>
      <c r="DK21" s="35">
        <v>-5.3703399999999998E-2</v>
      </c>
      <c r="DL21" s="35"/>
      <c r="DM21" s="35"/>
      <c r="DN21" s="35"/>
      <c r="DO21" s="35"/>
      <c r="DP21" s="35"/>
      <c r="DQ21" s="35"/>
      <c r="DR21" s="35"/>
      <c r="DS21" s="35"/>
      <c r="DT21" s="35"/>
      <c r="DU21" s="35"/>
      <c r="DV21" s="35"/>
      <c r="DW21" s="35"/>
      <c r="DX21" s="35"/>
      <c r="DY21" s="35"/>
      <c r="DZ21" s="35"/>
      <c r="EA21" s="35"/>
      <c r="EB21" s="35"/>
      <c r="EC21" s="35"/>
      <c r="ED21" s="35"/>
      <c r="EE21" s="35"/>
      <c r="EF21" s="35"/>
      <c r="EG21" s="35"/>
      <c r="EH21" s="35"/>
      <c r="EI21" s="35"/>
      <c r="EJ21" s="35"/>
      <c r="EK21" s="35"/>
      <c r="EL21" s="35"/>
      <c r="EM21" s="35"/>
      <c r="EN21" s="35"/>
      <c r="EO21" s="35"/>
      <c r="EP21" s="35"/>
      <c r="EQ21" s="35"/>
      <c r="ER21" s="35"/>
      <c r="ES21" s="35"/>
      <c r="ET21" s="35"/>
      <c r="EU21" s="35"/>
      <c r="EV21" s="35"/>
      <c r="EW21" s="35"/>
      <c r="EX21" s="35"/>
      <c r="EY21" s="35"/>
      <c r="EZ21" s="35"/>
      <c r="FA21" s="35"/>
      <c r="FB21" s="35"/>
      <c r="FC21" s="35"/>
      <c r="FD21" s="35"/>
      <c r="FE21" s="35"/>
      <c r="FF21" s="35"/>
      <c r="FG21" s="35"/>
      <c r="FH21" s="35"/>
      <c r="FI21" s="35"/>
      <c r="FJ21" s="35"/>
      <c r="FK21" s="35"/>
      <c r="FL21" s="35"/>
      <c r="FM21" s="35"/>
      <c r="FN21" s="35"/>
      <c r="FO21" s="35"/>
      <c r="FP21" s="35"/>
      <c r="FQ21" s="35"/>
      <c r="FR21" s="35"/>
      <c r="FS21" s="35"/>
      <c r="FT21" s="35"/>
      <c r="FU21" s="35"/>
      <c r="FV21" s="35"/>
      <c r="FW21" s="35"/>
      <c r="FX21" s="35"/>
      <c r="FY21" s="35"/>
      <c r="FZ21" s="35"/>
      <c r="GA21" s="35"/>
      <c r="GB21" s="318"/>
      <c r="GC21" s="178">
        <f t="shared" si="0"/>
        <v>0</v>
      </c>
      <c r="GD21" s="178">
        <f t="shared" si="1"/>
        <v>0</v>
      </c>
      <c r="GE21" s="178">
        <f t="shared" si="2"/>
        <v>0</v>
      </c>
      <c r="GF21" s="178">
        <f t="shared" si="3"/>
        <v>0</v>
      </c>
      <c r="GG21" s="178">
        <f t="shared" si="4"/>
        <v>0</v>
      </c>
    </row>
    <row r="22" spans="1:189" x14ac:dyDescent="0.35">
      <c r="A22" s="6" t="s">
        <v>702</v>
      </c>
      <c r="B22" s="6" t="str">
        <f>IF(Technologies!B22&lt;&gt;0,Technologies!B22,"")</f>
        <v>Gebouwde omgeving</v>
      </c>
      <c r="C22" s="6" t="str">
        <f>VLOOKUP($A22,Technologies!$A$7:$H$576,3,FALSE)</f>
        <v>Final</v>
      </c>
      <c r="D22" s="6" t="str">
        <f>VLOOKUP($A22,Technologies!$A$7:$H$576,4,FALSE)</f>
        <v>Residential</v>
      </c>
      <c r="E22" s="6" t="str">
        <f>VLOOKUP($A22,Technologies!$A$7:$H$576,6,FALSE)</f>
        <v>Houses - Residential Dwellings</v>
      </c>
      <c r="F22" s="48" t="str">
        <f>VLOOKUP($A22,Technologies!$A$7:$H$576,7,FALSE)</f>
        <v>House with insulation A - Residential Dwellings</v>
      </c>
      <c r="G22" s="22"/>
      <c r="H22" s="22"/>
      <c r="I22" s="103" cm="1">
        <f t="array" ref="I22">-SUMPRODUCT((Feedstocks!$C$4:$C$141=A22)*Feedstocks!$E$4:$E$141,Feedstocks!$F$4:$F$141,Feedstocks!$H$4:$H$141,Feedstocks!$I$4:$I$141)</f>
        <v>0</v>
      </c>
      <c r="J22" s="103" cm="1">
        <f t="array" ref="J22">-SUMPRODUCT((Feedstocks!$C$4:$C$141=A22)*Feedstocks!$E$4:$E$141,Feedstocks!$H$4:$H$141,Feedstocks!$I$4:$I$141)</f>
        <v>0</v>
      </c>
      <c r="K22" s="103"/>
      <c r="L22" s="103"/>
      <c r="M22" s="22"/>
      <c r="N22" s="22" t="str">
        <f>VLOOKUP(E22,Activities!$A$9:$M$227,13,FALSE)</f>
        <v>NL</v>
      </c>
      <c r="O22" s="22"/>
      <c r="P22" s="80" t="s">
        <v>1808</v>
      </c>
      <c r="Q22" s="36"/>
      <c r="R22" s="36"/>
      <c r="S22" s="36"/>
      <c r="T22" s="36">
        <v>1</v>
      </c>
      <c r="U22" s="36"/>
      <c r="V22" s="36"/>
      <c r="W22" s="36"/>
      <c r="X22" s="36"/>
      <c r="Y22" s="36"/>
      <c r="Z22" s="36"/>
      <c r="AA22" s="36"/>
      <c r="AB22" s="36"/>
      <c r="AC22" s="36"/>
      <c r="AD22" s="36"/>
      <c r="AE22" s="36"/>
      <c r="AF22" s="36"/>
      <c r="AG22" s="36"/>
      <c r="AH22" s="36"/>
      <c r="AI22" s="36"/>
      <c r="AJ22" s="36"/>
      <c r="AK22" s="36"/>
      <c r="AL22" s="36"/>
      <c r="AM22" s="36"/>
      <c r="AN22" s="36"/>
      <c r="AO22" s="36"/>
      <c r="AP22" s="36"/>
      <c r="AQ22" s="36"/>
      <c r="AR22" s="36"/>
      <c r="AS22" s="36"/>
      <c r="AT22" s="36"/>
      <c r="AU22" s="36"/>
      <c r="AV22" s="36"/>
      <c r="AW22" s="36"/>
      <c r="AX22" s="36"/>
      <c r="AY22" s="36"/>
      <c r="AZ22" s="36"/>
      <c r="BA22" s="36"/>
      <c r="BB22" s="36"/>
      <c r="BC22" s="36"/>
      <c r="BD22" s="36"/>
      <c r="BE22" s="36"/>
      <c r="BF22" s="36"/>
      <c r="BG22" s="36"/>
      <c r="BH22" s="36"/>
      <c r="BI22" s="36"/>
      <c r="BJ22" s="36"/>
      <c r="BK22" s="36"/>
      <c r="BL22" s="36"/>
      <c r="BM22" s="36"/>
      <c r="BN22" s="36"/>
      <c r="BO22" s="36"/>
      <c r="BP22" s="36"/>
      <c r="BQ22" s="36"/>
      <c r="BR22" s="36"/>
      <c r="BS22" s="36"/>
      <c r="BT22" s="36"/>
      <c r="BU22" s="36"/>
      <c r="BV22" s="36"/>
      <c r="BW22" s="36"/>
      <c r="BX22" s="36"/>
      <c r="BY22" s="36"/>
      <c r="BZ22" s="36"/>
      <c r="CA22" s="36"/>
      <c r="CB22" s="36"/>
      <c r="CC22" s="36"/>
      <c r="CD22" s="36"/>
      <c r="CE22" s="36"/>
      <c r="CF22" s="36"/>
      <c r="CG22" s="36"/>
      <c r="CH22" s="36"/>
      <c r="CI22" s="36"/>
      <c r="CJ22" s="36"/>
      <c r="CK22" s="36"/>
      <c r="CL22" s="36"/>
      <c r="CM22" s="36"/>
      <c r="CN22" s="36"/>
      <c r="CO22" s="36"/>
      <c r="CP22" s="36"/>
      <c r="CQ22" s="36"/>
      <c r="CR22" s="36"/>
      <c r="CS22" s="36"/>
      <c r="CT22" s="36"/>
      <c r="CU22" s="36"/>
      <c r="CV22" s="36"/>
      <c r="CW22" s="36"/>
      <c r="CX22" s="36"/>
      <c r="CY22" s="36"/>
      <c r="CZ22" s="36"/>
      <c r="DA22" s="36"/>
      <c r="DB22" s="36"/>
      <c r="DC22" s="36"/>
      <c r="DD22" s="36"/>
      <c r="DE22" s="36"/>
      <c r="DF22" s="36"/>
      <c r="DG22" s="36"/>
      <c r="DH22" s="36"/>
      <c r="DI22" s="36"/>
      <c r="DJ22" s="36"/>
      <c r="DK22" s="36">
        <v>-4.1233399999999996E-2</v>
      </c>
      <c r="DL22" s="36"/>
      <c r="DM22" s="36"/>
      <c r="DN22" s="36"/>
      <c r="DO22" s="36"/>
      <c r="DP22" s="36"/>
      <c r="DQ22" s="36"/>
      <c r="DR22" s="36"/>
      <c r="DS22" s="36"/>
      <c r="DT22" s="36"/>
      <c r="DU22" s="36"/>
      <c r="DV22" s="36"/>
      <c r="DW22" s="36"/>
      <c r="DX22" s="36"/>
      <c r="DY22" s="36"/>
      <c r="DZ22" s="36"/>
      <c r="EA22" s="36"/>
      <c r="EB22" s="36"/>
      <c r="EC22" s="36"/>
      <c r="ED22" s="36"/>
      <c r="EE22" s="36"/>
      <c r="EF22" s="36"/>
      <c r="EG22" s="36"/>
      <c r="EH22" s="36"/>
      <c r="EI22" s="36"/>
      <c r="EJ22" s="36"/>
      <c r="EK22" s="36"/>
      <c r="EL22" s="36"/>
      <c r="EM22" s="36"/>
      <c r="EN22" s="36"/>
      <c r="EO22" s="36"/>
      <c r="EP22" s="36"/>
      <c r="EQ22" s="36"/>
      <c r="ER22" s="36"/>
      <c r="ES22" s="36"/>
      <c r="ET22" s="36"/>
      <c r="EU22" s="36"/>
      <c r="EV22" s="36"/>
      <c r="EW22" s="36"/>
      <c r="EX22" s="36"/>
      <c r="EY22" s="36"/>
      <c r="EZ22" s="36"/>
      <c r="FA22" s="36"/>
      <c r="FB22" s="36"/>
      <c r="FC22" s="36"/>
      <c r="FD22" s="36"/>
      <c r="FE22" s="36"/>
      <c r="FF22" s="36"/>
      <c r="FG22" s="36"/>
      <c r="FH22" s="36"/>
      <c r="FI22" s="36"/>
      <c r="FJ22" s="36"/>
      <c r="FK22" s="36"/>
      <c r="FL22" s="36"/>
      <c r="FM22" s="36"/>
      <c r="FN22" s="36"/>
      <c r="FO22" s="36"/>
      <c r="FP22" s="36"/>
      <c r="FQ22" s="36"/>
      <c r="FR22" s="36"/>
      <c r="FS22" s="36"/>
      <c r="FT22" s="36"/>
      <c r="FU22" s="36"/>
      <c r="FV22" s="36"/>
      <c r="FW22" s="36"/>
      <c r="FX22" s="36"/>
      <c r="FY22" s="36"/>
      <c r="FZ22" s="36"/>
      <c r="GA22" s="36"/>
      <c r="GB22" s="319"/>
      <c r="GC22" s="179">
        <f t="shared" si="0"/>
        <v>0</v>
      </c>
      <c r="GD22" s="179">
        <f t="shared" si="1"/>
        <v>0</v>
      </c>
      <c r="GE22" s="179">
        <f t="shared" si="2"/>
        <v>0</v>
      </c>
      <c r="GF22" s="179">
        <f t="shared" si="3"/>
        <v>0</v>
      </c>
      <c r="GG22" s="179">
        <f t="shared" si="4"/>
        <v>0</v>
      </c>
    </row>
    <row r="23" spans="1:189" x14ac:dyDescent="0.35">
      <c r="A23" s="5" t="s">
        <v>704</v>
      </c>
      <c r="B23" s="5" t="str">
        <f>IF(Technologies!B23&lt;&gt;0,Technologies!B23,"")</f>
        <v>Gebouwde omgeving</v>
      </c>
      <c r="C23" s="5" t="str">
        <f>VLOOKUP($A23,Technologies!$A$7:$H$576,3,FALSE)</f>
        <v>Final</v>
      </c>
      <c r="D23" s="5" t="str">
        <f>VLOOKUP($A23,Technologies!$A$7:$H$576,4,FALSE)</f>
        <v>Residential</v>
      </c>
      <c r="E23" s="5" t="str">
        <f>VLOOKUP($A23,Technologies!$A$7:$H$576,6,FALSE)</f>
        <v>Houses - Residential Dwellings</v>
      </c>
      <c r="F23" s="5" t="str">
        <f>VLOOKUP($A23,Technologies!$A$7:$H$576,7,FALSE)</f>
        <v>House with insulation A+ - Residential Dwellings</v>
      </c>
      <c r="G23" s="23"/>
      <c r="H23" s="23"/>
      <c r="I23" s="104" cm="1">
        <f t="array" ref="I23">-SUMPRODUCT((Feedstocks!$C$4:$C$141=A23)*Feedstocks!$E$4:$E$141,Feedstocks!$F$4:$F$141,Feedstocks!$H$4:$H$141,Feedstocks!$I$4:$I$141)</f>
        <v>0</v>
      </c>
      <c r="J23" s="104" cm="1">
        <f t="array" ref="J23">-SUMPRODUCT((Feedstocks!$C$4:$C$141=A23)*Feedstocks!$E$4:$E$141,Feedstocks!$H$4:$H$141,Feedstocks!$I$4:$I$141)</f>
        <v>0</v>
      </c>
      <c r="K23" s="104"/>
      <c r="L23" s="104"/>
      <c r="M23" s="23"/>
      <c r="N23" s="23" t="str">
        <f>VLOOKUP(E23,Activities!$A$9:$M$227,13,FALSE)</f>
        <v>NL</v>
      </c>
      <c r="O23" s="23"/>
      <c r="P23" s="79" t="s">
        <v>452</v>
      </c>
      <c r="Q23" s="35"/>
      <c r="R23" s="35"/>
      <c r="S23" s="35"/>
      <c r="T23" s="35">
        <v>1</v>
      </c>
      <c r="U23" s="35"/>
      <c r="V23" s="35"/>
      <c r="W23" s="35"/>
      <c r="X23" s="35"/>
      <c r="Y23" s="35"/>
      <c r="Z23" s="35"/>
      <c r="AA23" s="35"/>
      <c r="AB23" s="35"/>
      <c r="AC23" s="35"/>
      <c r="AD23" s="35"/>
      <c r="AE23" s="35"/>
      <c r="AF23" s="35"/>
      <c r="AG23" s="35"/>
      <c r="AH23" s="35"/>
      <c r="AI23" s="35"/>
      <c r="AJ23" s="35"/>
      <c r="AK23" s="35"/>
      <c r="AL23" s="35"/>
      <c r="AM23" s="35"/>
      <c r="AN23" s="35"/>
      <c r="AO23" s="35"/>
      <c r="AP23" s="35"/>
      <c r="AQ23" s="35"/>
      <c r="AR23" s="35"/>
      <c r="AS23" s="35"/>
      <c r="AT23" s="35"/>
      <c r="AU23" s="35"/>
      <c r="AV23" s="35"/>
      <c r="AW23" s="35"/>
      <c r="AX23" s="35"/>
      <c r="AY23" s="35"/>
      <c r="AZ23" s="35"/>
      <c r="BA23" s="35"/>
      <c r="BB23" s="35"/>
      <c r="BC23" s="35"/>
      <c r="BD23" s="35"/>
      <c r="BE23" s="35"/>
      <c r="BF23" s="35"/>
      <c r="BG23" s="35"/>
      <c r="BH23" s="35"/>
      <c r="BI23" s="35"/>
      <c r="BJ23" s="35"/>
      <c r="BK23" s="35"/>
      <c r="BL23" s="35"/>
      <c r="BM23" s="35"/>
      <c r="BN23" s="35"/>
      <c r="BO23" s="35"/>
      <c r="BP23" s="35"/>
      <c r="BQ23" s="35"/>
      <c r="BR23" s="35"/>
      <c r="BS23" s="35"/>
      <c r="BT23" s="35"/>
      <c r="BU23" s="35"/>
      <c r="BV23" s="35"/>
      <c r="BW23" s="35"/>
      <c r="BX23" s="35"/>
      <c r="BY23" s="35"/>
      <c r="BZ23" s="35"/>
      <c r="CA23" s="35"/>
      <c r="CB23" s="35"/>
      <c r="CC23" s="35"/>
      <c r="CD23" s="35"/>
      <c r="CE23" s="35"/>
      <c r="CF23" s="35"/>
      <c r="CG23" s="35"/>
      <c r="CH23" s="35"/>
      <c r="CI23" s="35"/>
      <c r="CJ23" s="35"/>
      <c r="CK23" s="35"/>
      <c r="CL23" s="35"/>
      <c r="CM23" s="35"/>
      <c r="CN23" s="35"/>
      <c r="CO23" s="35"/>
      <c r="CP23" s="35"/>
      <c r="CQ23" s="35"/>
      <c r="CR23" s="35"/>
      <c r="CS23" s="35"/>
      <c r="CT23" s="35"/>
      <c r="CU23" s="35"/>
      <c r="CV23" s="35"/>
      <c r="CW23" s="35"/>
      <c r="CX23" s="35"/>
      <c r="CY23" s="35"/>
      <c r="CZ23" s="35"/>
      <c r="DA23" s="35"/>
      <c r="DB23" s="35"/>
      <c r="DC23" s="35"/>
      <c r="DD23" s="35"/>
      <c r="DE23" s="35"/>
      <c r="DF23" s="35"/>
      <c r="DG23" s="35"/>
      <c r="DH23" s="35"/>
      <c r="DI23" s="35"/>
      <c r="DJ23" s="35"/>
      <c r="DK23" s="35">
        <v>-3.4563399999999994E-2</v>
      </c>
      <c r="DL23" s="35"/>
      <c r="DM23" s="35"/>
      <c r="DN23" s="35"/>
      <c r="DO23" s="35"/>
      <c r="DP23" s="35"/>
      <c r="DQ23" s="35"/>
      <c r="DR23" s="35"/>
      <c r="DS23" s="35"/>
      <c r="DT23" s="35"/>
      <c r="DU23" s="35"/>
      <c r="DV23" s="35"/>
      <c r="DW23" s="35"/>
      <c r="DX23" s="35"/>
      <c r="DY23" s="35"/>
      <c r="DZ23" s="35"/>
      <c r="EA23" s="35"/>
      <c r="EB23" s="35"/>
      <c r="EC23" s="35"/>
      <c r="ED23" s="35"/>
      <c r="EE23" s="35"/>
      <c r="EF23" s="35"/>
      <c r="EG23" s="35"/>
      <c r="EH23" s="35"/>
      <c r="EI23" s="35"/>
      <c r="EJ23" s="35"/>
      <c r="EK23" s="35"/>
      <c r="EL23" s="35"/>
      <c r="EM23" s="35"/>
      <c r="EN23" s="35"/>
      <c r="EO23" s="35"/>
      <c r="EP23" s="35"/>
      <c r="EQ23" s="35"/>
      <c r="ER23" s="35"/>
      <c r="ES23" s="35"/>
      <c r="ET23" s="35"/>
      <c r="EU23" s="35"/>
      <c r="EV23" s="35"/>
      <c r="EW23" s="35"/>
      <c r="EX23" s="35"/>
      <c r="EY23" s="35"/>
      <c r="EZ23" s="35"/>
      <c r="FA23" s="35"/>
      <c r="FB23" s="35"/>
      <c r="FC23" s="35"/>
      <c r="FD23" s="35"/>
      <c r="FE23" s="35"/>
      <c r="FF23" s="35"/>
      <c r="FG23" s="35"/>
      <c r="FH23" s="35"/>
      <c r="FI23" s="35"/>
      <c r="FJ23" s="35"/>
      <c r="FK23" s="35"/>
      <c r="FL23" s="35"/>
      <c r="FM23" s="35"/>
      <c r="FN23" s="35"/>
      <c r="FO23" s="35"/>
      <c r="FP23" s="35"/>
      <c r="FQ23" s="35"/>
      <c r="FR23" s="35"/>
      <c r="FS23" s="35"/>
      <c r="FT23" s="35"/>
      <c r="FU23" s="35"/>
      <c r="FV23" s="35"/>
      <c r="FW23" s="35"/>
      <c r="FX23" s="35"/>
      <c r="FY23" s="35"/>
      <c r="FZ23" s="35"/>
      <c r="GA23" s="35"/>
      <c r="GB23" s="318"/>
      <c r="GC23" s="178">
        <f t="shared" si="0"/>
        <v>0</v>
      </c>
      <c r="GD23" s="178">
        <f t="shared" si="1"/>
        <v>0</v>
      </c>
      <c r="GE23" s="178">
        <f t="shared" si="2"/>
        <v>0</v>
      </c>
      <c r="GF23" s="178">
        <f t="shared" si="3"/>
        <v>0</v>
      </c>
      <c r="GG23" s="178">
        <f t="shared" si="4"/>
        <v>0</v>
      </c>
    </row>
    <row r="24" spans="1:189" x14ac:dyDescent="0.35">
      <c r="A24" s="6" t="s">
        <v>707</v>
      </c>
      <c r="B24" s="6" t="str">
        <f>IF(Technologies!B24&lt;&gt;0,Technologies!B24,"")</f>
        <v>Gebouwde omgeving</v>
      </c>
      <c r="C24" s="6" t="str">
        <f>VLOOKUP($A24,Technologies!$A$7:$H$576,3,FALSE)</f>
        <v>Final</v>
      </c>
      <c r="D24" s="6" t="str">
        <f>VLOOKUP($A24,Technologies!$A$7:$H$576,4,FALSE)</f>
        <v>Services</v>
      </c>
      <c r="E24" s="6" t="str">
        <f>VLOOKUP($A24,Technologies!$A$7:$H$576,6,FALSE)</f>
        <v>Electricity demand - Services</v>
      </c>
      <c r="F24" s="48" t="str">
        <f>VLOOKUP($A24,Technologies!$A$7:$H$576,7,FALSE)</f>
        <v>Dummy standard electricity consumption - Services</v>
      </c>
      <c r="G24" s="22"/>
      <c r="H24" s="22"/>
      <c r="I24" s="103" cm="1">
        <f t="array" ref="I24">-SUMPRODUCT((Feedstocks!$C$4:$C$141=A24)*Feedstocks!$E$4:$E$141,Feedstocks!$F$4:$F$141,Feedstocks!$H$4:$H$141,Feedstocks!$I$4:$I$141)</f>
        <v>0</v>
      </c>
      <c r="J24" s="103" cm="1">
        <f t="array" ref="J24">-SUMPRODUCT((Feedstocks!$C$4:$C$141=A24)*Feedstocks!$E$4:$E$141,Feedstocks!$H$4:$H$141,Feedstocks!$I$4:$I$141)</f>
        <v>0</v>
      </c>
      <c r="K24" s="103"/>
      <c r="L24" s="103"/>
      <c r="M24" s="22"/>
      <c r="N24" s="22" t="str">
        <f>VLOOKUP(E24,Activities!$A$9:$M$227,13,FALSE)</f>
        <v>NL</v>
      </c>
      <c r="O24" s="22"/>
      <c r="P24" s="80" t="s">
        <v>710</v>
      </c>
      <c r="Q24" s="36"/>
      <c r="R24" s="36"/>
      <c r="S24" s="36"/>
      <c r="T24" s="36"/>
      <c r="U24" s="36">
        <v>1</v>
      </c>
      <c r="V24" s="36"/>
      <c r="W24" s="36"/>
      <c r="X24" s="36"/>
      <c r="Y24" s="36"/>
      <c r="Z24" s="36"/>
      <c r="AA24" s="36"/>
      <c r="AB24" s="36"/>
      <c r="AC24" s="36"/>
      <c r="AD24" s="36"/>
      <c r="AE24" s="36"/>
      <c r="AF24" s="36"/>
      <c r="AG24" s="36"/>
      <c r="AH24" s="36"/>
      <c r="AI24" s="36"/>
      <c r="AJ24" s="36"/>
      <c r="AK24" s="36"/>
      <c r="AL24" s="36"/>
      <c r="AM24" s="36"/>
      <c r="AN24" s="36"/>
      <c r="AO24" s="36"/>
      <c r="AP24" s="36"/>
      <c r="AQ24" s="36"/>
      <c r="AR24" s="36"/>
      <c r="AS24" s="36"/>
      <c r="AT24" s="36"/>
      <c r="AU24" s="36"/>
      <c r="AV24" s="36"/>
      <c r="AW24" s="36"/>
      <c r="AX24" s="36"/>
      <c r="AY24" s="36"/>
      <c r="AZ24" s="36"/>
      <c r="BA24" s="36"/>
      <c r="BB24" s="36"/>
      <c r="BC24" s="36"/>
      <c r="BD24" s="36"/>
      <c r="BE24" s="36"/>
      <c r="BF24" s="36"/>
      <c r="BG24" s="36"/>
      <c r="BH24" s="36"/>
      <c r="BI24" s="36"/>
      <c r="BJ24" s="36"/>
      <c r="BK24" s="36"/>
      <c r="BL24" s="36"/>
      <c r="BM24" s="36"/>
      <c r="BN24" s="36"/>
      <c r="BO24" s="36"/>
      <c r="BP24" s="36"/>
      <c r="BQ24" s="36"/>
      <c r="BR24" s="36"/>
      <c r="BS24" s="36"/>
      <c r="BT24" s="36"/>
      <c r="BU24" s="36"/>
      <c r="BV24" s="36"/>
      <c r="BW24" s="36"/>
      <c r="BX24" s="36"/>
      <c r="BY24" s="36"/>
      <c r="BZ24" s="36"/>
      <c r="CA24" s="36"/>
      <c r="CB24" s="36"/>
      <c r="CC24" s="36"/>
      <c r="CD24" s="36"/>
      <c r="CE24" s="36"/>
      <c r="CF24" s="36"/>
      <c r="CG24" s="36"/>
      <c r="CH24" s="36"/>
      <c r="CI24" s="36"/>
      <c r="CJ24" s="36"/>
      <c r="CK24" s="36"/>
      <c r="CL24" s="36"/>
      <c r="CM24" s="36"/>
      <c r="CN24" s="36"/>
      <c r="CO24" s="36"/>
      <c r="CP24" s="36"/>
      <c r="CQ24" s="36"/>
      <c r="CR24" s="36"/>
      <c r="CS24" s="36"/>
      <c r="CT24" s="36"/>
      <c r="CU24" s="36"/>
      <c r="CV24" s="36"/>
      <c r="CW24" s="36"/>
      <c r="CX24" s="36"/>
      <c r="CY24" s="36"/>
      <c r="CZ24" s="36"/>
      <c r="DA24" s="36"/>
      <c r="DB24" s="36"/>
      <c r="DC24" s="36"/>
      <c r="DD24" s="36"/>
      <c r="DE24" s="36"/>
      <c r="DF24" s="36"/>
      <c r="DG24" s="36"/>
      <c r="DH24" s="36"/>
      <c r="DI24" s="36">
        <v>-1</v>
      </c>
      <c r="DJ24" s="36"/>
      <c r="DK24" s="36"/>
      <c r="DL24" s="36"/>
      <c r="DM24" s="36"/>
      <c r="DN24" s="36"/>
      <c r="DO24" s="36"/>
      <c r="DP24" s="36"/>
      <c r="DQ24" s="36"/>
      <c r="DR24" s="36"/>
      <c r="DS24" s="36"/>
      <c r="DT24" s="36"/>
      <c r="DU24" s="36"/>
      <c r="DV24" s="36"/>
      <c r="DW24" s="36"/>
      <c r="DX24" s="36"/>
      <c r="DY24" s="36"/>
      <c r="DZ24" s="36"/>
      <c r="EA24" s="36"/>
      <c r="EB24" s="36"/>
      <c r="EC24" s="36"/>
      <c r="ED24" s="36"/>
      <c r="EE24" s="36"/>
      <c r="EF24" s="36"/>
      <c r="EG24" s="36"/>
      <c r="EH24" s="36"/>
      <c r="EI24" s="36"/>
      <c r="EJ24" s="36"/>
      <c r="EK24" s="36"/>
      <c r="EL24" s="36"/>
      <c r="EM24" s="36"/>
      <c r="EN24" s="36"/>
      <c r="EO24" s="36"/>
      <c r="EP24" s="36"/>
      <c r="EQ24" s="36"/>
      <c r="ER24" s="36"/>
      <c r="ES24" s="36"/>
      <c r="ET24" s="36"/>
      <c r="EU24" s="36"/>
      <c r="EV24" s="36"/>
      <c r="EW24" s="36"/>
      <c r="EX24" s="36"/>
      <c r="EY24" s="36"/>
      <c r="EZ24" s="36"/>
      <c r="FA24" s="36"/>
      <c r="FB24" s="36"/>
      <c r="FC24" s="36"/>
      <c r="FD24" s="36"/>
      <c r="FE24" s="36"/>
      <c r="FF24" s="36"/>
      <c r="FG24" s="36"/>
      <c r="FH24" s="36"/>
      <c r="FI24" s="36"/>
      <c r="FJ24" s="36"/>
      <c r="FK24" s="36"/>
      <c r="FL24" s="36"/>
      <c r="FM24" s="36"/>
      <c r="FN24" s="36"/>
      <c r="FO24" s="36"/>
      <c r="FP24" s="36"/>
      <c r="FQ24" s="36"/>
      <c r="FR24" s="36"/>
      <c r="FS24" s="36"/>
      <c r="FT24" s="36"/>
      <c r="FU24" s="36"/>
      <c r="FV24" s="36"/>
      <c r="FW24" s="36"/>
      <c r="FX24" s="36"/>
      <c r="FY24" s="36"/>
      <c r="FZ24" s="36"/>
      <c r="GA24" s="36"/>
      <c r="GB24" s="319"/>
      <c r="GC24" s="179">
        <f t="shared" si="0"/>
        <v>0</v>
      </c>
      <c r="GD24" s="179">
        <f t="shared" si="1"/>
        <v>0</v>
      </c>
      <c r="GE24" s="179">
        <f t="shared" si="2"/>
        <v>0</v>
      </c>
      <c r="GF24" s="179">
        <f t="shared" si="3"/>
        <v>0</v>
      </c>
      <c r="GG24" s="179">
        <f t="shared" si="4"/>
        <v>0</v>
      </c>
    </row>
    <row r="25" spans="1:189" x14ac:dyDescent="0.35">
      <c r="A25" s="5" t="s">
        <v>711</v>
      </c>
      <c r="B25" s="5" t="str">
        <f>IF(Technologies!B25&lt;&gt;0,Technologies!B25,"")</f>
        <v>Gebouwde omgeving</v>
      </c>
      <c r="C25" s="5" t="str">
        <f>VLOOKUP($A25,Technologies!$A$7:$H$576,3,FALSE)</f>
        <v>Final</v>
      </c>
      <c r="D25" s="5" t="str">
        <f>VLOOKUP($A25,Technologies!$A$7:$H$576,4,FALSE)</f>
        <v>Services</v>
      </c>
      <c r="E25" s="5" t="str">
        <f>VLOOKUP($A25,Technologies!$A$7:$H$576,6,FALSE)</f>
        <v>Electricity demand - Services</v>
      </c>
      <c r="F25" s="5" t="str">
        <f>VLOOKUP($A25,Technologies!$A$7:$H$576,7,FALSE)</f>
        <v>Flexible standard electricity consumption - Services</v>
      </c>
      <c r="G25" s="23"/>
      <c r="H25" s="23"/>
      <c r="I25" s="104" cm="1">
        <f t="array" ref="I25">-SUMPRODUCT((Feedstocks!$C$4:$C$141=A25)*Feedstocks!$E$4:$E$141,Feedstocks!$F$4:$F$141,Feedstocks!$H$4:$H$141,Feedstocks!$I$4:$I$141)</f>
        <v>0</v>
      </c>
      <c r="J25" s="104" cm="1">
        <f t="array" ref="J25">-SUMPRODUCT((Feedstocks!$C$4:$C$141=A25)*Feedstocks!$E$4:$E$141,Feedstocks!$H$4:$H$141,Feedstocks!$I$4:$I$141)</f>
        <v>0</v>
      </c>
      <c r="K25" s="104"/>
      <c r="L25" s="104"/>
      <c r="M25" s="23"/>
      <c r="N25" s="23" t="str">
        <f>VLOOKUP(E25,Activities!$A$9:$M$227,13,FALSE)</f>
        <v>NL</v>
      </c>
      <c r="O25" s="23"/>
      <c r="P25" s="79" t="s">
        <v>502</v>
      </c>
      <c r="Q25" s="35"/>
      <c r="R25" s="35"/>
      <c r="S25" s="35"/>
      <c r="T25" s="35"/>
      <c r="U25" s="35">
        <v>1</v>
      </c>
      <c r="V25" s="35"/>
      <c r="W25" s="35"/>
      <c r="X25" s="35"/>
      <c r="Y25" s="35"/>
      <c r="Z25" s="35"/>
      <c r="AA25" s="35"/>
      <c r="AB25" s="35"/>
      <c r="AC25" s="35"/>
      <c r="AD25" s="35"/>
      <c r="AE25" s="35"/>
      <c r="AF25" s="35"/>
      <c r="AG25" s="35"/>
      <c r="AH25" s="35"/>
      <c r="AI25" s="35"/>
      <c r="AJ25" s="35"/>
      <c r="AK25" s="35"/>
      <c r="AL25" s="35"/>
      <c r="AM25" s="35"/>
      <c r="AN25" s="35"/>
      <c r="AO25" s="35"/>
      <c r="AP25" s="35"/>
      <c r="AQ25" s="35"/>
      <c r="AR25" s="35"/>
      <c r="AS25" s="35"/>
      <c r="AT25" s="35"/>
      <c r="AU25" s="35"/>
      <c r="AV25" s="35"/>
      <c r="AW25" s="35"/>
      <c r="AX25" s="35"/>
      <c r="AY25" s="35"/>
      <c r="AZ25" s="35"/>
      <c r="BA25" s="35"/>
      <c r="BB25" s="35"/>
      <c r="BC25" s="35"/>
      <c r="BD25" s="35"/>
      <c r="BE25" s="35"/>
      <c r="BF25" s="35"/>
      <c r="BG25" s="35"/>
      <c r="BH25" s="35"/>
      <c r="BI25" s="35"/>
      <c r="BJ25" s="35"/>
      <c r="BK25" s="35"/>
      <c r="BL25" s="35"/>
      <c r="BM25" s="35"/>
      <c r="BN25" s="35"/>
      <c r="BO25" s="35"/>
      <c r="BP25" s="35"/>
      <c r="BQ25" s="35"/>
      <c r="BR25" s="35"/>
      <c r="BS25" s="35"/>
      <c r="BT25" s="35"/>
      <c r="BU25" s="35"/>
      <c r="BV25" s="35"/>
      <c r="BW25" s="35"/>
      <c r="BX25" s="35"/>
      <c r="BY25" s="35"/>
      <c r="BZ25" s="35"/>
      <c r="CA25" s="35"/>
      <c r="CB25" s="35"/>
      <c r="CC25" s="35"/>
      <c r="CD25" s="35"/>
      <c r="CE25" s="35"/>
      <c r="CF25" s="35"/>
      <c r="CG25" s="35"/>
      <c r="CH25" s="35"/>
      <c r="CI25" s="35"/>
      <c r="CJ25" s="35"/>
      <c r="CK25" s="35"/>
      <c r="CL25" s="35"/>
      <c r="CM25" s="35"/>
      <c r="CN25" s="35"/>
      <c r="CO25" s="35"/>
      <c r="CP25" s="35"/>
      <c r="CQ25" s="35"/>
      <c r="CR25" s="35"/>
      <c r="CS25" s="35"/>
      <c r="CT25" s="35"/>
      <c r="CU25" s="35"/>
      <c r="CV25" s="35"/>
      <c r="CW25" s="35"/>
      <c r="CX25" s="35"/>
      <c r="CY25" s="35"/>
      <c r="CZ25" s="35"/>
      <c r="DA25" s="35"/>
      <c r="DB25" s="35"/>
      <c r="DC25" s="35"/>
      <c r="DD25" s="35"/>
      <c r="DE25" s="35"/>
      <c r="DF25" s="35"/>
      <c r="DG25" s="35"/>
      <c r="DH25" s="35"/>
      <c r="DI25" s="35">
        <v>-1</v>
      </c>
      <c r="DJ25" s="35"/>
      <c r="DK25" s="35"/>
      <c r="DL25" s="35"/>
      <c r="DM25" s="35"/>
      <c r="DN25" s="35"/>
      <c r="DO25" s="35"/>
      <c r="DP25" s="35"/>
      <c r="DQ25" s="35"/>
      <c r="DR25" s="35"/>
      <c r="DS25" s="35"/>
      <c r="DT25" s="35"/>
      <c r="DU25" s="35"/>
      <c r="DV25" s="35"/>
      <c r="DW25" s="35"/>
      <c r="DX25" s="35"/>
      <c r="DY25" s="35"/>
      <c r="DZ25" s="35"/>
      <c r="EA25" s="35"/>
      <c r="EB25" s="35"/>
      <c r="EC25" s="35"/>
      <c r="ED25" s="35"/>
      <c r="EE25" s="35"/>
      <c r="EF25" s="35"/>
      <c r="EG25" s="35"/>
      <c r="EH25" s="35"/>
      <c r="EI25" s="35"/>
      <c r="EJ25" s="35"/>
      <c r="EK25" s="35"/>
      <c r="EL25" s="35"/>
      <c r="EM25" s="35"/>
      <c r="EN25" s="35"/>
      <c r="EO25" s="35"/>
      <c r="EP25" s="35"/>
      <c r="EQ25" s="35"/>
      <c r="ER25" s="35"/>
      <c r="ES25" s="35"/>
      <c r="ET25" s="35"/>
      <c r="EU25" s="35"/>
      <c r="EV25" s="35"/>
      <c r="EW25" s="35"/>
      <c r="EX25" s="35"/>
      <c r="EY25" s="35"/>
      <c r="EZ25" s="35"/>
      <c r="FA25" s="35"/>
      <c r="FB25" s="35"/>
      <c r="FC25" s="35"/>
      <c r="FD25" s="35"/>
      <c r="FE25" s="35"/>
      <c r="FF25" s="35"/>
      <c r="FG25" s="35"/>
      <c r="FH25" s="35"/>
      <c r="FI25" s="35"/>
      <c r="FJ25" s="35"/>
      <c r="FK25" s="35"/>
      <c r="FL25" s="35"/>
      <c r="FM25" s="35"/>
      <c r="FN25" s="35"/>
      <c r="FO25" s="35"/>
      <c r="FP25" s="35"/>
      <c r="FQ25" s="35"/>
      <c r="FR25" s="35"/>
      <c r="FS25" s="35"/>
      <c r="FT25" s="35"/>
      <c r="FU25" s="35"/>
      <c r="FV25" s="35"/>
      <c r="FW25" s="35"/>
      <c r="FX25" s="35"/>
      <c r="FY25" s="35"/>
      <c r="FZ25" s="35"/>
      <c r="GA25" s="35"/>
      <c r="GB25" s="318"/>
      <c r="GC25" s="178">
        <f t="shared" si="0"/>
        <v>0</v>
      </c>
      <c r="GD25" s="178">
        <f t="shared" si="1"/>
        <v>0</v>
      </c>
      <c r="GE25" s="178">
        <f t="shared" si="2"/>
        <v>0</v>
      </c>
      <c r="GF25" s="178">
        <f t="shared" si="3"/>
        <v>0</v>
      </c>
      <c r="GG25" s="178">
        <f t="shared" si="4"/>
        <v>0</v>
      </c>
    </row>
    <row r="26" spans="1:189" x14ac:dyDescent="0.35">
      <c r="A26" s="6" t="s">
        <v>713</v>
      </c>
      <c r="B26" s="6" t="str">
        <f>IF(Technologies!B26&lt;&gt;0,Technologies!B26,"")</f>
        <v>Gebouwde omgeving</v>
      </c>
      <c r="C26" s="6" t="str">
        <f>VLOOKUP($A26,Technologies!$A$7:$H$576,3,FALSE)</f>
        <v>Final</v>
      </c>
      <c r="D26" s="6" t="str">
        <f>VLOOKUP($A26,Technologies!$A$7:$H$576,4,FALSE)</f>
        <v>Services</v>
      </c>
      <c r="E26" s="6" t="str">
        <f>VLOOKUP($A26,Technologies!$A$7:$H$576,6,FALSE)</f>
        <v>Space - Services</v>
      </c>
      <c r="F26" s="48" t="str">
        <f>VLOOKUP($A26,Technologies!$A$7:$H$576,7,FALSE)</f>
        <v>Space with insulation GFE - Services</v>
      </c>
      <c r="G26" s="22"/>
      <c r="H26" s="22"/>
      <c r="I26" s="103" cm="1">
        <f t="array" ref="I26">-SUMPRODUCT((Feedstocks!$C$4:$C$141=A26)*Feedstocks!$E$4:$E$141,Feedstocks!$F$4:$F$141,Feedstocks!$H$4:$H$141,Feedstocks!$I$4:$I$141)</f>
        <v>0</v>
      </c>
      <c r="J26" s="103" cm="1">
        <f t="array" ref="J26">-SUMPRODUCT((Feedstocks!$C$4:$C$141=A26)*Feedstocks!$E$4:$E$141,Feedstocks!$H$4:$H$141,Feedstocks!$I$4:$I$141)</f>
        <v>0</v>
      </c>
      <c r="K26" s="103"/>
      <c r="L26" s="103"/>
      <c r="M26" s="22"/>
      <c r="N26" s="22" t="str">
        <f>VLOOKUP(E26,Activities!$A$9:$M$227,13,FALSE)</f>
        <v>NL</v>
      </c>
      <c r="O26" s="22"/>
      <c r="P26" s="80" t="s">
        <v>1809</v>
      </c>
      <c r="Q26" s="36"/>
      <c r="R26" s="36"/>
      <c r="S26" s="36"/>
      <c r="T26" s="36"/>
      <c r="U26" s="36"/>
      <c r="V26" s="36">
        <v>1</v>
      </c>
      <c r="W26" s="36"/>
      <c r="X26" s="36"/>
      <c r="Y26" s="36"/>
      <c r="Z26" s="36"/>
      <c r="AA26" s="36"/>
      <c r="AB26" s="36"/>
      <c r="AC26" s="36"/>
      <c r="AD26" s="36"/>
      <c r="AE26" s="36"/>
      <c r="AF26" s="36"/>
      <c r="AG26" s="36"/>
      <c r="AH26" s="36"/>
      <c r="AI26" s="36"/>
      <c r="AJ26" s="36"/>
      <c r="AK26" s="36"/>
      <c r="AL26" s="36"/>
      <c r="AM26" s="36"/>
      <c r="AN26" s="36"/>
      <c r="AO26" s="36"/>
      <c r="AP26" s="36"/>
      <c r="AQ26" s="36"/>
      <c r="AR26" s="36"/>
      <c r="AS26" s="36"/>
      <c r="AT26" s="36"/>
      <c r="AU26" s="36"/>
      <c r="AV26" s="36"/>
      <c r="AW26" s="36"/>
      <c r="AX26" s="36"/>
      <c r="AY26" s="36"/>
      <c r="AZ26" s="36"/>
      <c r="BA26" s="36"/>
      <c r="BB26" s="36"/>
      <c r="BC26" s="36"/>
      <c r="BD26" s="36"/>
      <c r="BE26" s="36"/>
      <c r="BF26" s="36"/>
      <c r="BG26" s="36"/>
      <c r="BH26" s="36"/>
      <c r="BI26" s="36"/>
      <c r="BJ26" s="36"/>
      <c r="BK26" s="36"/>
      <c r="BL26" s="36"/>
      <c r="BM26" s="36"/>
      <c r="BN26" s="36"/>
      <c r="BO26" s="36"/>
      <c r="BP26" s="36"/>
      <c r="BQ26" s="36"/>
      <c r="BR26" s="36"/>
      <c r="BS26" s="36"/>
      <c r="BT26" s="36"/>
      <c r="BU26" s="36"/>
      <c r="BV26" s="36"/>
      <c r="BW26" s="36"/>
      <c r="BX26" s="36"/>
      <c r="BY26" s="36"/>
      <c r="BZ26" s="36"/>
      <c r="CA26" s="36"/>
      <c r="CB26" s="36"/>
      <c r="CC26" s="36"/>
      <c r="CD26" s="36"/>
      <c r="CE26" s="36"/>
      <c r="CF26" s="36"/>
      <c r="CG26" s="36"/>
      <c r="CH26" s="36"/>
      <c r="CI26" s="36"/>
      <c r="CJ26" s="36"/>
      <c r="CK26" s="36"/>
      <c r="CL26" s="36"/>
      <c r="CM26" s="36"/>
      <c r="CN26" s="36"/>
      <c r="CO26" s="36"/>
      <c r="CP26" s="36"/>
      <c r="CQ26" s="36"/>
      <c r="CR26" s="36"/>
      <c r="CS26" s="36"/>
      <c r="CT26" s="36"/>
      <c r="CU26" s="36"/>
      <c r="CV26" s="36"/>
      <c r="CW26" s="36"/>
      <c r="CX26" s="36"/>
      <c r="CY26" s="36"/>
      <c r="CZ26" s="36"/>
      <c r="DA26" s="36"/>
      <c r="DB26" s="36"/>
      <c r="DC26" s="36"/>
      <c r="DD26" s="36"/>
      <c r="DE26" s="36"/>
      <c r="DF26" s="36"/>
      <c r="DG26" s="36"/>
      <c r="DH26" s="36"/>
      <c r="DI26" s="36"/>
      <c r="DJ26" s="36"/>
      <c r="DK26" s="36"/>
      <c r="DL26" s="36">
        <v>-0.43100000000000005</v>
      </c>
      <c r="DM26" s="36"/>
      <c r="DN26" s="36"/>
      <c r="DO26" s="36"/>
      <c r="DP26" s="36"/>
      <c r="DQ26" s="36"/>
      <c r="DR26" s="36"/>
      <c r="DS26" s="36"/>
      <c r="DT26" s="36"/>
      <c r="DU26" s="36"/>
      <c r="DV26" s="36"/>
      <c r="DW26" s="36"/>
      <c r="DX26" s="36"/>
      <c r="DY26" s="36"/>
      <c r="DZ26" s="36"/>
      <c r="EA26" s="36"/>
      <c r="EB26" s="36"/>
      <c r="EC26" s="36"/>
      <c r="ED26" s="36"/>
      <c r="EE26" s="36"/>
      <c r="EF26" s="36"/>
      <c r="EG26" s="36"/>
      <c r="EH26" s="36"/>
      <c r="EI26" s="36"/>
      <c r="EJ26" s="36"/>
      <c r="EK26" s="36"/>
      <c r="EL26" s="36"/>
      <c r="EM26" s="36"/>
      <c r="EN26" s="36"/>
      <c r="EO26" s="36"/>
      <c r="EP26" s="36"/>
      <c r="EQ26" s="36"/>
      <c r="ER26" s="36"/>
      <c r="ES26" s="36"/>
      <c r="ET26" s="36"/>
      <c r="EU26" s="36"/>
      <c r="EV26" s="36"/>
      <c r="EW26" s="36"/>
      <c r="EX26" s="36"/>
      <c r="EY26" s="36"/>
      <c r="EZ26" s="36"/>
      <c r="FA26" s="36"/>
      <c r="FB26" s="36"/>
      <c r="FC26" s="36"/>
      <c r="FD26" s="36"/>
      <c r="FE26" s="36"/>
      <c r="FF26" s="36"/>
      <c r="FG26" s="36"/>
      <c r="FH26" s="36"/>
      <c r="FI26" s="36"/>
      <c r="FJ26" s="36"/>
      <c r="FK26" s="36"/>
      <c r="FL26" s="36"/>
      <c r="FM26" s="36"/>
      <c r="FN26" s="36"/>
      <c r="FO26" s="36"/>
      <c r="FP26" s="36"/>
      <c r="FQ26" s="36"/>
      <c r="FR26" s="36"/>
      <c r="FS26" s="36"/>
      <c r="FT26" s="36"/>
      <c r="FU26" s="36"/>
      <c r="FV26" s="36"/>
      <c r="FW26" s="36"/>
      <c r="FX26" s="36"/>
      <c r="FY26" s="36"/>
      <c r="FZ26" s="36"/>
      <c r="GA26" s="36"/>
      <c r="GB26" s="319"/>
      <c r="GC26" s="179">
        <f t="shared" si="0"/>
        <v>0</v>
      </c>
      <c r="GD26" s="179">
        <f t="shared" si="1"/>
        <v>0</v>
      </c>
      <c r="GE26" s="179">
        <f t="shared" si="2"/>
        <v>0</v>
      </c>
      <c r="GF26" s="179">
        <f t="shared" si="3"/>
        <v>0</v>
      </c>
      <c r="GG26" s="179">
        <f t="shared" si="4"/>
        <v>0</v>
      </c>
    </row>
    <row r="27" spans="1:189" x14ac:dyDescent="0.35">
      <c r="A27" s="5" t="s">
        <v>717</v>
      </c>
      <c r="B27" s="5" t="str">
        <f>IF(Technologies!B27&lt;&gt;0,Technologies!B27,"")</f>
        <v>Gebouwde omgeving</v>
      </c>
      <c r="C27" s="5" t="str">
        <f>VLOOKUP($A27,Technologies!$A$7:$H$576,3,FALSE)</f>
        <v>Final</v>
      </c>
      <c r="D27" s="5" t="str">
        <f>VLOOKUP($A27,Technologies!$A$7:$H$576,4,FALSE)</f>
        <v>Services</v>
      </c>
      <c r="E27" s="5" t="str">
        <f>VLOOKUP($A27,Technologies!$A$7:$H$576,6,FALSE)</f>
        <v>Space - Services</v>
      </c>
      <c r="F27" s="5" t="str">
        <f>VLOOKUP($A27,Technologies!$A$7:$H$576,7,FALSE)</f>
        <v>Space with insulation DC - Services</v>
      </c>
      <c r="G27" s="23"/>
      <c r="H27" s="23"/>
      <c r="I27" s="104" cm="1">
        <f t="array" ref="I27">-SUMPRODUCT((Feedstocks!$C$4:$C$141=A27)*Feedstocks!$E$4:$E$141,Feedstocks!$F$4:$F$141,Feedstocks!$H$4:$H$141,Feedstocks!$I$4:$I$141)</f>
        <v>0</v>
      </c>
      <c r="J27" s="104" cm="1">
        <f t="array" ref="J27">-SUMPRODUCT((Feedstocks!$C$4:$C$141=A27)*Feedstocks!$E$4:$E$141,Feedstocks!$H$4:$H$141,Feedstocks!$I$4:$I$141)</f>
        <v>0</v>
      </c>
      <c r="K27" s="104"/>
      <c r="L27" s="104"/>
      <c r="M27" s="23"/>
      <c r="N27" s="23" t="str">
        <f>VLOOKUP(E27,Activities!$A$9:$M$227,13,FALSE)</f>
        <v>NL</v>
      </c>
      <c r="O27" s="23"/>
      <c r="P27" s="79" t="s">
        <v>1809</v>
      </c>
      <c r="Q27" s="35"/>
      <c r="R27" s="35"/>
      <c r="S27" s="35"/>
      <c r="T27" s="35"/>
      <c r="U27" s="35"/>
      <c r="V27" s="35">
        <v>1</v>
      </c>
      <c r="W27" s="35"/>
      <c r="X27" s="35"/>
      <c r="Y27" s="35"/>
      <c r="Z27" s="35"/>
      <c r="AA27" s="35"/>
      <c r="AB27" s="35"/>
      <c r="AC27" s="35"/>
      <c r="AD27" s="35"/>
      <c r="AE27" s="35"/>
      <c r="AF27" s="35"/>
      <c r="AG27" s="35"/>
      <c r="AH27" s="35"/>
      <c r="AI27" s="35"/>
      <c r="AJ27" s="35"/>
      <c r="AK27" s="35"/>
      <c r="AL27" s="35"/>
      <c r="AM27" s="35"/>
      <c r="AN27" s="35"/>
      <c r="AO27" s="35"/>
      <c r="AP27" s="35"/>
      <c r="AQ27" s="35"/>
      <c r="AR27" s="35"/>
      <c r="AS27" s="35"/>
      <c r="AT27" s="35"/>
      <c r="AU27" s="35"/>
      <c r="AV27" s="35"/>
      <c r="AW27" s="35"/>
      <c r="AX27" s="35"/>
      <c r="AY27" s="35"/>
      <c r="AZ27" s="35"/>
      <c r="BA27" s="35"/>
      <c r="BB27" s="35"/>
      <c r="BC27" s="35"/>
      <c r="BD27" s="35"/>
      <c r="BE27" s="35"/>
      <c r="BF27" s="35"/>
      <c r="BG27" s="35"/>
      <c r="BH27" s="35"/>
      <c r="BI27" s="35"/>
      <c r="BJ27" s="35"/>
      <c r="BK27" s="35"/>
      <c r="BL27" s="35"/>
      <c r="BM27" s="35"/>
      <c r="BN27" s="35"/>
      <c r="BO27" s="35"/>
      <c r="BP27" s="35"/>
      <c r="BQ27" s="35"/>
      <c r="BR27" s="35"/>
      <c r="BS27" s="35"/>
      <c r="BT27" s="35"/>
      <c r="BU27" s="35"/>
      <c r="BV27" s="35"/>
      <c r="BW27" s="35"/>
      <c r="BX27" s="35"/>
      <c r="BY27" s="35"/>
      <c r="BZ27" s="35"/>
      <c r="CA27" s="35"/>
      <c r="CB27" s="35"/>
      <c r="CC27" s="35"/>
      <c r="CD27" s="35"/>
      <c r="CE27" s="35"/>
      <c r="CF27" s="35"/>
      <c r="CG27" s="35"/>
      <c r="CH27" s="35"/>
      <c r="CI27" s="35"/>
      <c r="CJ27" s="35"/>
      <c r="CK27" s="35"/>
      <c r="CL27" s="35"/>
      <c r="CM27" s="35"/>
      <c r="CN27" s="35"/>
      <c r="CO27" s="35"/>
      <c r="CP27" s="35"/>
      <c r="CQ27" s="35"/>
      <c r="CR27" s="35"/>
      <c r="CS27" s="35"/>
      <c r="CT27" s="35"/>
      <c r="CU27" s="35"/>
      <c r="CV27" s="35"/>
      <c r="CW27" s="35"/>
      <c r="CX27" s="35"/>
      <c r="CY27" s="35"/>
      <c r="CZ27" s="35"/>
      <c r="DA27" s="35"/>
      <c r="DB27" s="35"/>
      <c r="DC27" s="35"/>
      <c r="DD27" s="35"/>
      <c r="DE27" s="35"/>
      <c r="DF27" s="35"/>
      <c r="DG27" s="35"/>
      <c r="DH27" s="35"/>
      <c r="DI27" s="35"/>
      <c r="DJ27" s="35"/>
      <c r="DK27" s="35"/>
      <c r="DL27" s="35">
        <v>-0.24163000000000001</v>
      </c>
      <c r="DM27" s="35"/>
      <c r="DN27" s="35"/>
      <c r="DO27" s="35"/>
      <c r="DP27" s="35"/>
      <c r="DQ27" s="35"/>
      <c r="DR27" s="35"/>
      <c r="DS27" s="35"/>
      <c r="DT27" s="35"/>
      <c r="DU27" s="35"/>
      <c r="DV27" s="35"/>
      <c r="DW27" s="35"/>
      <c r="DX27" s="35"/>
      <c r="DY27" s="35"/>
      <c r="DZ27" s="35"/>
      <c r="EA27" s="35"/>
      <c r="EB27" s="35"/>
      <c r="EC27" s="35"/>
      <c r="ED27" s="35"/>
      <c r="EE27" s="35"/>
      <c r="EF27" s="35"/>
      <c r="EG27" s="35"/>
      <c r="EH27" s="35"/>
      <c r="EI27" s="35"/>
      <c r="EJ27" s="35"/>
      <c r="EK27" s="35"/>
      <c r="EL27" s="35"/>
      <c r="EM27" s="35"/>
      <c r="EN27" s="35"/>
      <c r="EO27" s="35"/>
      <c r="EP27" s="35"/>
      <c r="EQ27" s="35"/>
      <c r="ER27" s="35"/>
      <c r="ES27" s="35"/>
      <c r="ET27" s="35"/>
      <c r="EU27" s="35"/>
      <c r="EV27" s="35"/>
      <c r="EW27" s="35"/>
      <c r="EX27" s="35"/>
      <c r="EY27" s="35"/>
      <c r="EZ27" s="35"/>
      <c r="FA27" s="35"/>
      <c r="FB27" s="35"/>
      <c r="FC27" s="35"/>
      <c r="FD27" s="35"/>
      <c r="FE27" s="35"/>
      <c r="FF27" s="35"/>
      <c r="FG27" s="35"/>
      <c r="FH27" s="35"/>
      <c r="FI27" s="35"/>
      <c r="FJ27" s="35"/>
      <c r="FK27" s="35"/>
      <c r="FL27" s="35"/>
      <c r="FM27" s="35"/>
      <c r="FN27" s="35"/>
      <c r="FO27" s="35"/>
      <c r="FP27" s="35"/>
      <c r="FQ27" s="35"/>
      <c r="FR27" s="35"/>
      <c r="FS27" s="35"/>
      <c r="FT27" s="35"/>
      <c r="FU27" s="35"/>
      <c r="FV27" s="35"/>
      <c r="FW27" s="35"/>
      <c r="FX27" s="35"/>
      <c r="FY27" s="35"/>
      <c r="FZ27" s="35"/>
      <c r="GA27" s="35"/>
      <c r="GB27" s="318"/>
      <c r="GC27" s="178">
        <f t="shared" si="0"/>
        <v>0</v>
      </c>
      <c r="GD27" s="178">
        <f t="shared" si="1"/>
        <v>0</v>
      </c>
      <c r="GE27" s="178">
        <f t="shared" si="2"/>
        <v>0</v>
      </c>
      <c r="GF27" s="178">
        <f t="shared" si="3"/>
        <v>0</v>
      </c>
      <c r="GG27" s="178">
        <f t="shared" si="4"/>
        <v>0</v>
      </c>
    </row>
    <row r="28" spans="1:189" x14ac:dyDescent="0.35">
      <c r="A28" s="6" t="s">
        <v>719</v>
      </c>
      <c r="B28" s="6" t="str">
        <f>IF(Technologies!B28&lt;&gt;0,Technologies!B28,"")</f>
        <v>Gebouwde omgeving</v>
      </c>
      <c r="C28" s="6" t="str">
        <f>VLOOKUP($A28,Technologies!$A$7:$H$576,3,FALSE)</f>
        <v>Final</v>
      </c>
      <c r="D28" s="6" t="str">
        <f>VLOOKUP($A28,Technologies!$A$7:$H$576,4,FALSE)</f>
        <v>Services</v>
      </c>
      <c r="E28" s="6" t="str">
        <f>VLOOKUP($A28,Technologies!$A$7:$H$576,6,FALSE)</f>
        <v>Space - Services</v>
      </c>
      <c r="F28" s="48" t="str">
        <f>VLOOKUP($A28,Technologies!$A$7:$H$576,7,FALSE)</f>
        <v>Space with insulation B - Services</v>
      </c>
      <c r="G28" s="22"/>
      <c r="H28" s="22"/>
      <c r="I28" s="103" cm="1">
        <f t="array" ref="I28">-SUMPRODUCT((Feedstocks!$C$4:$C$141=A28)*Feedstocks!$E$4:$E$141,Feedstocks!$F$4:$F$141,Feedstocks!$H$4:$H$141,Feedstocks!$I$4:$I$141)</f>
        <v>0</v>
      </c>
      <c r="J28" s="103" cm="1">
        <f t="array" ref="J28">-SUMPRODUCT((Feedstocks!$C$4:$C$141=A28)*Feedstocks!$E$4:$E$141,Feedstocks!$H$4:$H$141,Feedstocks!$I$4:$I$141)</f>
        <v>0</v>
      </c>
      <c r="K28" s="103"/>
      <c r="L28" s="103"/>
      <c r="M28" s="22"/>
      <c r="N28" s="22" t="str">
        <f>VLOOKUP(E28,Activities!$A$9:$M$227,13,FALSE)</f>
        <v>NL</v>
      </c>
      <c r="O28" s="22"/>
      <c r="P28" s="80" t="s">
        <v>1809</v>
      </c>
      <c r="Q28" s="36"/>
      <c r="R28" s="36"/>
      <c r="S28" s="36"/>
      <c r="T28" s="36"/>
      <c r="U28" s="36"/>
      <c r="V28" s="36">
        <v>1</v>
      </c>
      <c r="W28" s="36"/>
      <c r="X28" s="36"/>
      <c r="Y28" s="36"/>
      <c r="Z28" s="36"/>
      <c r="AA28" s="36"/>
      <c r="AB28" s="36"/>
      <c r="AC28" s="36"/>
      <c r="AD28" s="36"/>
      <c r="AE28" s="36"/>
      <c r="AF28" s="36"/>
      <c r="AG28" s="36"/>
      <c r="AH28" s="36"/>
      <c r="AI28" s="36"/>
      <c r="AJ28" s="36"/>
      <c r="AK28" s="36"/>
      <c r="AL28" s="36"/>
      <c r="AM28" s="36"/>
      <c r="AN28" s="36"/>
      <c r="AO28" s="36"/>
      <c r="AP28" s="36"/>
      <c r="AQ28" s="36"/>
      <c r="AR28" s="36"/>
      <c r="AS28" s="36"/>
      <c r="AT28" s="36"/>
      <c r="AU28" s="36"/>
      <c r="AV28" s="36"/>
      <c r="AW28" s="36"/>
      <c r="AX28" s="36"/>
      <c r="AY28" s="36"/>
      <c r="AZ28" s="36"/>
      <c r="BA28" s="36"/>
      <c r="BB28" s="36"/>
      <c r="BC28" s="36"/>
      <c r="BD28" s="36"/>
      <c r="BE28" s="36"/>
      <c r="BF28" s="36"/>
      <c r="BG28" s="36"/>
      <c r="BH28" s="36"/>
      <c r="BI28" s="36"/>
      <c r="BJ28" s="36"/>
      <c r="BK28" s="36"/>
      <c r="BL28" s="36"/>
      <c r="BM28" s="36"/>
      <c r="BN28" s="36"/>
      <c r="BO28" s="36"/>
      <c r="BP28" s="36"/>
      <c r="BQ28" s="36"/>
      <c r="BR28" s="36"/>
      <c r="BS28" s="36"/>
      <c r="BT28" s="36"/>
      <c r="BU28" s="36"/>
      <c r="BV28" s="36"/>
      <c r="BW28" s="36"/>
      <c r="BX28" s="36"/>
      <c r="BY28" s="36"/>
      <c r="BZ28" s="36"/>
      <c r="CA28" s="36"/>
      <c r="CB28" s="36"/>
      <c r="CC28" s="36"/>
      <c r="CD28" s="36"/>
      <c r="CE28" s="36"/>
      <c r="CF28" s="36"/>
      <c r="CG28" s="36"/>
      <c r="CH28" s="36"/>
      <c r="CI28" s="36"/>
      <c r="CJ28" s="36"/>
      <c r="CK28" s="36"/>
      <c r="CL28" s="36"/>
      <c r="CM28" s="36"/>
      <c r="CN28" s="36"/>
      <c r="CO28" s="36"/>
      <c r="CP28" s="36"/>
      <c r="CQ28" s="36"/>
      <c r="CR28" s="36"/>
      <c r="CS28" s="36"/>
      <c r="CT28" s="36"/>
      <c r="CU28" s="36"/>
      <c r="CV28" s="36"/>
      <c r="CW28" s="36"/>
      <c r="CX28" s="36"/>
      <c r="CY28" s="36"/>
      <c r="CZ28" s="36"/>
      <c r="DA28" s="36"/>
      <c r="DB28" s="36"/>
      <c r="DC28" s="36"/>
      <c r="DD28" s="36"/>
      <c r="DE28" s="36"/>
      <c r="DF28" s="36"/>
      <c r="DG28" s="36"/>
      <c r="DH28" s="36"/>
      <c r="DI28" s="36"/>
      <c r="DJ28" s="36"/>
      <c r="DK28" s="36"/>
      <c r="DL28" s="36">
        <v>-0.20074</v>
      </c>
      <c r="DM28" s="36"/>
      <c r="DN28" s="36"/>
      <c r="DO28" s="36"/>
      <c r="DP28" s="36"/>
      <c r="DQ28" s="36"/>
      <c r="DR28" s="36"/>
      <c r="DS28" s="36"/>
      <c r="DT28" s="36"/>
      <c r="DU28" s="36"/>
      <c r="DV28" s="36"/>
      <c r="DW28" s="36"/>
      <c r="DX28" s="36"/>
      <c r="DY28" s="36"/>
      <c r="DZ28" s="36"/>
      <c r="EA28" s="36"/>
      <c r="EB28" s="36"/>
      <c r="EC28" s="36"/>
      <c r="ED28" s="36"/>
      <c r="EE28" s="36"/>
      <c r="EF28" s="36"/>
      <c r="EG28" s="36"/>
      <c r="EH28" s="36"/>
      <c r="EI28" s="36"/>
      <c r="EJ28" s="36"/>
      <c r="EK28" s="36"/>
      <c r="EL28" s="36"/>
      <c r="EM28" s="36"/>
      <c r="EN28" s="36"/>
      <c r="EO28" s="36"/>
      <c r="EP28" s="36"/>
      <c r="EQ28" s="36"/>
      <c r="ER28" s="36"/>
      <c r="ES28" s="36"/>
      <c r="ET28" s="36"/>
      <c r="EU28" s="36"/>
      <c r="EV28" s="36"/>
      <c r="EW28" s="36"/>
      <c r="EX28" s="36"/>
      <c r="EY28" s="36"/>
      <c r="EZ28" s="36"/>
      <c r="FA28" s="36"/>
      <c r="FB28" s="36"/>
      <c r="FC28" s="36"/>
      <c r="FD28" s="36"/>
      <c r="FE28" s="36"/>
      <c r="FF28" s="36"/>
      <c r="FG28" s="36"/>
      <c r="FH28" s="36"/>
      <c r="FI28" s="36"/>
      <c r="FJ28" s="36"/>
      <c r="FK28" s="36"/>
      <c r="FL28" s="36"/>
      <c r="FM28" s="36"/>
      <c r="FN28" s="36"/>
      <c r="FO28" s="36"/>
      <c r="FP28" s="36"/>
      <c r="FQ28" s="36"/>
      <c r="FR28" s="36"/>
      <c r="FS28" s="36"/>
      <c r="FT28" s="36"/>
      <c r="FU28" s="36"/>
      <c r="FV28" s="36"/>
      <c r="FW28" s="36"/>
      <c r="FX28" s="36"/>
      <c r="FY28" s="36"/>
      <c r="FZ28" s="36"/>
      <c r="GA28" s="36"/>
      <c r="GB28" s="319"/>
      <c r="GC28" s="179">
        <f t="shared" si="0"/>
        <v>0</v>
      </c>
      <c r="GD28" s="179">
        <f t="shared" si="1"/>
        <v>0</v>
      </c>
      <c r="GE28" s="179">
        <f t="shared" si="2"/>
        <v>0</v>
      </c>
      <c r="GF28" s="179">
        <f t="shared" si="3"/>
        <v>0</v>
      </c>
      <c r="GG28" s="179">
        <f t="shared" si="4"/>
        <v>0</v>
      </c>
    </row>
    <row r="29" spans="1:189" x14ac:dyDescent="0.35">
      <c r="A29" s="5" t="s">
        <v>721</v>
      </c>
      <c r="B29" s="5" t="str">
        <f>IF(Technologies!B29&lt;&gt;0,Technologies!B29,"")</f>
        <v>Gebouwde omgeving</v>
      </c>
      <c r="C29" s="5" t="str">
        <f>VLOOKUP($A29,Technologies!$A$7:$H$576,3,FALSE)</f>
        <v>Final</v>
      </c>
      <c r="D29" s="5" t="str">
        <f>VLOOKUP($A29,Technologies!$A$7:$H$576,4,FALSE)</f>
        <v>Services</v>
      </c>
      <c r="E29" s="5" t="str">
        <f>VLOOKUP($A29,Technologies!$A$7:$H$576,6,FALSE)</f>
        <v>Space - Services</v>
      </c>
      <c r="F29" s="5" t="str">
        <f>VLOOKUP($A29,Technologies!$A$7:$H$576,7,FALSE)</f>
        <v>Space with insulation A - Services</v>
      </c>
      <c r="G29" s="23"/>
      <c r="H29" s="23"/>
      <c r="I29" s="104" cm="1">
        <f t="array" ref="I29">-SUMPRODUCT((Feedstocks!$C$4:$C$141=A29)*Feedstocks!$E$4:$E$141,Feedstocks!$F$4:$F$141,Feedstocks!$H$4:$H$141,Feedstocks!$I$4:$I$141)</f>
        <v>0</v>
      </c>
      <c r="J29" s="104" cm="1">
        <f t="array" ref="J29">-SUMPRODUCT((Feedstocks!$C$4:$C$141=A29)*Feedstocks!$E$4:$E$141,Feedstocks!$H$4:$H$141,Feedstocks!$I$4:$I$141)</f>
        <v>0</v>
      </c>
      <c r="K29" s="104"/>
      <c r="L29" s="104"/>
      <c r="M29" s="23"/>
      <c r="N29" s="23" t="str">
        <f>VLOOKUP(E29,Activities!$A$9:$M$227,13,FALSE)</f>
        <v>NL</v>
      </c>
      <c r="O29" s="23"/>
      <c r="P29" s="79" t="s">
        <v>1809</v>
      </c>
      <c r="Q29" s="35"/>
      <c r="R29" s="35"/>
      <c r="S29" s="35"/>
      <c r="T29" s="35"/>
      <c r="U29" s="35"/>
      <c r="V29" s="35">
        <v>1</v>
      </c>
      <c r="W29" s="35"/>
      <c r="X29" s="35"/>
      <c r="Y29" s="35"/>
      <c r="Z29" s="35"/>
      <c r="AA29" s="35"/>
      <c r="AB29" s="35"/>
      <c r="AC29" s="35"/>
      <c r="AD29" s="35"/>
      <c r="AE29" s="35"/>
      <c r="AF29" s="35"/>
      <c r="AG29" s="35"/>
      <c r="AH29" s="35"/>
      <c r="AI29" s="35"/>
      <c r="AJ29" s="35"/>
      <c r="AK29" s="35"/>
      <c r="AL29" s="35"/>
      <c r="AM29" s="35"/>
      <c r="AN29" s="35"/>
      <c r="AO29" s="35"/>
      <c r="AP29" s="35"/>
      <c r="AQ29" s="35"/>
      <c r="AR29" s="35"/>
      <c r="AS29" s="35"/>
      <c r="AT29" s="35"/>
      <c r="AU29" s="35"/>
      <c r="AV29" s="35"/>
      <c r="AW29" s="35"/>
      <c r="AX29" s="35"/>
      <c r="AY29" s="35"/>
      <c r="AZ29" s="35"/>
      <c r="BA29" s="35"/>
      <c r="BB29" s="35"/>
      <c r="BC29" s="35"/>
      <c r="BD29" s="35"/>
      <c r="BE29" s="35"/>
      <c r="BF29" s="35"/>
      <c r="BG29" s="35"/>
      <c r="BH29" s="35"/>
      <c r="BI29" s="35"/>
      <c r="BJ29" s="35"/>
      <c r="BK29" s="35"/>
      <c r="BL29" s="35"/>
      <c r="BM29" s="35"/>
      <c r="BN29" s="35"/>
      <c r="BO29" s="35"/>
      <c r="BP29" s="35"/>
      <c r="BQ29" s="35"/>
      <c r="BR29" s="35"/>
      <c r="BS29" s="35"/>
      <c r="BT29" s="35"/>
      <c r="BU29" s="35"/>
      <c r="BV29" s="35"/>
      <c r="BW29" s="35"/>
      <c r="BX29" s="35"/>
      <c r="BY29" s="35"/>
      <c r="BZ29" s="35"/>
      <c r="CA29" s="35"/>
      <c r="CB29" s="35"/>
      <c r="CC29" s="35"/>
      <c r="CD29" s="35"/>
      <c r="CE29" s="35"/>
      <c r="CF29" s="35"/>
      <c r="CG29" s="35"/>
      <c r="CH29" s="35"/>
      <c r="CI29" s="35"/>
      <c r="CJ29" s="35"/>
      <c r="CK29" s="35"/>
      <c r="CL29" s="35"/>
      <c r="CM29" s="35"/>
      <c r="CN29" s="35"/>
      <c r="CO29" s="35"/>
      <c r="CP29" s="35"/>
      <c r="CQ29" s="35"/>
      <c r="CR29" s="35"/>
      <c r="CS29" s="35"/>
      <c r="CT29" s="35"/>
      <c r="CU29" s="35"/>
      <c r="CV29" s="35"/>
      <c r="CW29" s="35"/>
      <c r="CX29" s="35"/>
      <c r="CY29" s="35"/>
      <c r="CZ29" s="35"/>
      <c r="DA29" s="35"/>
      <c r="DB29" s="35"/>
      <c r="DC29" s="35"/>
      <c r="DD29" s="35"/>
      <c r="DE29" s="35"/>
      <c r="DF29" s="35"/>
      <c r="DG29" s="35"/>
      <c r="DH29" s="35"/>
      <c r="DI29" s="35"/>
      <c r="DJ29" s="35"/>
      <c r="DK29" s="35"/>
      <c r="DL29" s="35">
        <v>-0.15811</v>
      </c>
      <c r="DM29" s="35"/>
      <c r="DN29" s="35"/>
      <c r="DO29" s="35"/>
      <c r="DP29" s="35"/>
      <c r="DQ29" s="35"/>
      <c r="DR29" s="35"/>
      <c r="DS29" s="35"/>
      <c r="DT29" s="35"/>
      <c r="DU29" s="35"/>
      <c r="DV29" s="35"/>
      <c r="DW29" s="35"/>
      <c r="DX29" s="35"/>
      <c r="DY29" s="35"/>
      <c r="DZ29" s="35"/>
      <c r="EA29" s="35"/>
      <c r="EB29" s="35"/>
      <c r="EC29" s="35"/>
      <c r="ED29" s="35"/>
      <c r="EE29" s="35"/>
      <c r="EF29" s="35"/>
      <c r="EG29" s="35"/>
      <c r="EH29" s="35"/>
      <c r="EI29" s="35"/>
      <c r="EJ29" s="35"/>
      <c r="EK29" s="35"/>
      <c r="EL29" s="35"/>
      <c r="EM29" s="35"/>
      <c r="EN29" s="35"/>
      <c r="EO29" s="35"/>
      <c r="EP29" s="35"/>
      <c r="EQ29" s="35"/>
      <c r="ER29" s="35"/>
      <c r="ES29" s="35"/>
      <c r="ET29" s="35"/>
      <c r="EU29" s="35"/>
      <c r="EV29" s="35"/>
      <c r="EW29" s="35"/>
      <c r="EX29" s="35"/>
      <c r="EY29" s="35"/>
      <c r="EZ29" s="35"/>
      <c r="FA29" s="35"/>
      <c r="FB29" s="35"/>
      <c r="FC29" s="35"/>
      <c r="FD29" s="35"/>
      <c r="FE29" s="35"/>
      <c r="FF29" s="35"/>
      <c r="FG29" s="35"/>
      <c r="FH29" s="35"/>
      <c r="FI29" s="35"/>
      <c r="FJ29" s="35"/>
      <c r="FK29" s="35"/>
      <c r="FL29" s="35"/>
      <c r="FM29" s="35"/>
      <c r="FN29" s="35"/>
      <c r="FO29" s="35"/>
      <c r="FP29" s="35"/>
      <c r="FQ29" s="35"/>
      <c r="FR29" s="35"/>
      <c r="FS29" s="35"/>
      <c r="FT29" s="35"/>
      <c r="FU29" s="35"/>
      <c r="FV29" s="35"/>
      <c r="FW29" s="35"/>
      <c r="FX29" s="35"/>
      <c r="FY29" s="35"/>
      <c r="FZ29" s="35"/>
      <c r="GA29" s="35"/>
      <c r="GB29" s="318"/>
      <c r="GC29" s="178">
        <f t="shared" si="0"/>
        <v>0</v>
      </c>
      <c r="GD29" s="178">
        <f t="shared" si="1"/>
        <v>0</v>
      </c>
      <c r="GE29" s="178">
        <f t="shared" si="2"/>
        <v>0</v>
      </c>
      <c r="GF29" s="178">
        <f t="shared" si="3"/>
        <v>0</v>
      </c>
      <c r="GG29" s="178">
        <f t="shared" si="4"/>
        <v>0</v>
      </c>
    </row>
    <row r="30" spans="1:189" x14ac:dyDescent="0.35">
      <c r="A30" s="6" t="s">
        <v>723</v>
      </c>
      <c r="B30" s="6" t="str">
        <f>IF(Technologies!B30&lt;&gt;0,Technologies!B30,"")</f>
        <v>Gebouwde omgeving</v>
      </c>
      <c r="C30" s="6" t="str">
        <f>VLOOKUP($A30,Technologies!$A$7:$H$576,3,FALSE)</f>
        <v>Final</v>
      </c>
      <c r="D30" s="6" t="str">
        <f>VLOOKUP($A30,Technologies!$A$7:$H$576,4,FALSE)</f>
        <v>Services</v>
      </c>
      <c r="E30" s="6" t="str">
        <f>VLOOKUP($A30,Technologies!$A$7:$H$576,6,FALSE)</f>
        <v>Space - Services</v>
      </c>
      <c r="F30" s="48" t="str">
        <f>VLOOKUP($A30,Technologies!$A$7:$H$576,7,FALSE)</f>
        <v>Space with insulation A+ - Services</v>
      </c>
      <c r="G30" s="22"/>
      <c r="H30" s="22"/>
      <c r="I30" s="103" cm="1">
        <f t="array" ref="I30">-SUMPRODUCT((Feedstocks!$C$4:$C$141=A30)*Feedstocks!$E$4:$E$141,Feedstocks!$F$4:$F$141,Feedstocks!$H$4:$H$141,Feedstocks!$I$4:$I$141)</f>
        <v>0</v>
      </c>
      <c r="J30" s="103" cm="1">
        <f t="array" ref="J30">-SUMPRODUCT((Feedstocks!$C$4:$C$141=A30)*Feedstocks!$E$4:$E$141,Feedstocks!$H$4:$H$141,Feedstocks!$I$4:$I$141)</f>
        <v>0</v>
      </c>
      <c r="K30" s="103"/>
      <c r="L30" s="103"/>
      <c r="M30" s="22"/>
      <c r="N30" s="22" t="str">
        <f>VLOOKUP(E30,Activities!$A$9:$M$227,13,FALSE)</f>
        <v>NL</v>
      </c>
      <c r="O30" s="22"/>
      <c r="P30" s="80" t="s">
        <v>1809</v>
      </c>
      <c r="Q30" s="36"/>
      <c r="R30" s="36"/>
      <c r="S30" s="36"/>
      <c r="T30" s="36"/>
      <c r="U30" s="36"/>
      <c r="V30" s="36">
        <v>1</v>
      </c>
      <c r="W30" s="36"/>
      <c r="X30" s="36"/>
      <c r="Y30" s="36"/>
      <c r="Z30" s="36"/>
      <c r="AA30" s="36"/>
      <c r="AB30" s="36"/>
      <c r="AC30" s="36"/>
      <c r="AD30" s="36"/>
      <c r="AE30" s="36"/>
      <c r="AF30" s="36"/>
      <c r="AG30" s="36"/>
      <c r="AH30" s="36"/>
      <c r="AI30" s="36"/>
      <c r="AJ30" s="36"/>
      <c r="AK30" s="36"/>
      <c r="AL30" s="36"/>
      <c r="AM30" s="36"/>
      <c r="AN30" s="36"/>
      <c r="AO30" s="36"/>
      <c r="AP30" s="36"/>
      <c r="AQ30" s="36"/>
      <c r="AR30" s="36"/>
      <c r="AS30" s="36"/>
      <c r="AT30" s="36"/>
      <c r="AU30" s="36"/>
      <c r="AV30" s="36"/>
      <c r="AW30" s="36"/>
      <c r="AX30" s="36"/>
      <c r="AY30" s="36"/>
      <c r="AZ30" s="36"/>
      <c r="BA30" s="36"/>
      <c r="BB30" s="36"/>
      <c r="BC30" s="36"/>
      <c r="BD30" s="36"/>
      <c r="BE30" s="36"/>
      <c r="BF30" s="36"/>
      <c r="BG30" s="36"/>
      <c r="BH30" s="36"/>
      <c r="BI30" s="36"/>
      <c r="BJ30" s="36"/>
      <c r="BK30" s="36"/>
      <c r="BL30" s="36"/>
      <c r="BM30" s="36"/>
      <c r="BN30" s="36"/>
      <c r="BO30" s="36"/>
      <c r="BP30" s="36"/>
      <c r="BQ30" s="36"/>
      <c r="BR30" s="36"/>
      <c r="BS30" s="36"/>
      <c r="BT30" s="36"/>
      <c r="BU30" s="36"/>
      <c r="BV30" s="36"/>
      <c r="BW30" s="36"/>
      <c r="BX30" s="36"/>
      <c r="BY30" s="36"/>
      <c r="BZ30" s="36"/>
      <c r="CA30" s="36"/>
      <c r="CB30" s="36"/>
      <c r="CC30" s="36"/>
      <c r="CD30" s="36"/>
      <c r="CE30" s="36"/>
      <c r="CF30" s="36"/>
      <c r="CG30" s="36"/>
      <c r="CH30" s="36"/>
      <c r="CI30" s="36"/>
      <c r="CJ30" s="36"/>
      <c r="CK30" s="36"/>
      <c r="CL30" s="36"/>
      <c r="CM30" s="36"/>
      <c r="CN30" s="36"/>
      <c r="CO30" s="36"/>
      <c r="CP30" s="36"/>
      <c r="CQ30" s="36"/>
      <c r="CR30" s="36"/>
      <c r="CS30" s="36"/>
      <c r="CT30" s="36"/>
      <c r="CU30" s="36"/>
      <c r="CV30" s="36"/>
      <c r="CW30" s="36"/>
      <c r="CX30" s="36"/>
      <c r="CY30" s="36"/>
      <c r="CZ30" s="36"/>
      <c r="DA30" s="36"/>
      <c r="DB30" s="36"/>
      <c r="DC30" s="36"/>
      <c r="DD30" s="36"/>
      <c r="DE30" s="36"/>
      <c r="DF30" s="36"/>
      <c r="DG30" s="36"/>
      <c r="DH30" s="36"/>
      <c r="DI30" s="36"/>
      <c r="DJ30" s="36"/>
      <c r="DK30" s="36"/>
      <c r="DL30" s="36">
        <v>-0.13549</v>
      </c>
      <c r="DM30" s="36"/>
      <c r="DN30" s="36"/>
      <c r="DO30" s="36"/>
      <c r="DP30" s="36"/>
      <c r="DQ30" s="36"/>
      <c r="DR30" s="36"/>
      <c r="DS30" s="36"/>
      <c r="DT30" s="36"/>
      <c r="DU30" s="36"/>
      <c r="DV30" s="36"/>
      <c r="DW30" s="36"/>
      <c r="DX30" s="36"/>
      <c r="DY30" s="36"/>
      <c r="DZ30" s="36"/>
      <c r="EA30" s="36"/>
      <c r="EB30" s="36"/>
      <c r="EC30" s="36"/>
      <c r="ED30" s="36"/>
      <c r="EE30" s="36"/>
      <c r="EF30" s="36"/>
      <c r="EG30" s="36"/>
      <c r="EH30" s="36"/>
      <c r="EI30" s="36"/>
      <c r="EJ30" s="36"/>
      <c r="EK30" s="36"/>
      <c r="EL30" s="36"/>
      <c r="EM30" s="36"/>
      <c r="EN30" s="36"/>
      <c r="EO30" s="36"/>
      <c r="EP30" s="36"/>
      <c r="EQ30" s="36"/>
      <c r="ER30" s="36"/>
      <c r="ES30" s="36"/>
      <c r="ET30" s="36"/>
      <c r="EU30" s="36"/>
      <c r="EV30" s="36"/>
      <c r="EW30" s="36"/>
      <c r="EX30" s="36"/>
      <c r="EY30" s="36"/>
      <c r="EZ30" s="36"/>
      <c r="FA30" s="36"/>
      <c r="FB30" s="36"/>
      <c r="FC30" s="36"/>
      <c r="FD30" s="36"/>
      <c r="FE30" s="36"/>
      <c r="FF30" s="36"/>
      <c r="FG30" s="36"/>
      <c r="FH30" s="36"/>
      <c r="FI30" s="36"/>
      <c r="FJ30" s="36"/>
      <c r="FK30" s="36"/>
      <c r="FL30" s="36"/>
      <c r="FM30" s="36"/>
      <c r="FN30" s="36"/>
      <c r="FO30" s="36"/>
      <c r="FP30" s="36"/>
      <c r="FQ30" s="36"/>
      <c r="FR30" s="36"/>
      <c r="FS30" s="36"/>
      <c r="FT30" s="36"/>
      <c r="FU30" s="36"/>
      <c r="FV30" s="36"/>
      <c r="FW30" s="36"/>
      <c r="FX30" s="36"/>
      <c r="FY30" s="36"/>
      <c r="FZ30" s="36"/>
      <c r="GA30" s="36"/>
      <c r="GB30" s="319"/>
      <c r="GC30" s="179">
        <f t="shared" si="0"/>
        <v>0</v>
      </c>
      <c r="GD30" s="179">
        <f t="shared" si="1"/>
        <v>0</v>
      </c>
      <c r="GE30" s="179">
        <f t="shared" si="2"/>
        <v>0</v>
      </c>
      <c r="GF30" s="179">
        <f t="shared" si="3"/>
        <v>0</v>
      </c>
      <c r="GG30" s="179">
        <f t="shared" si="4"/>
        <v>0</v>
      </c>
    </row>
    <row r="31" spans="1:189" x14ac:dyDescent="0.35">
      <c r="A31" s="5" t="s">
        <v>725</v>
      </c>
      <c r="B31" s="5" t="str">
        <f>IF(Technologies!B31&lt;&gt;0,Technologies!B31,"")</f>
        <v>Landbouw</v>
      </c>
      <c r="C31" s="5" t="str">
        <f>VLOOKUP($A31,Technologies!$A$7:$H$576,3,FALSE)</f>
        <v>Final</v>
      </c>
      <c r="D31" s="5" t="str">
        <f>VLOOKUP($A31,Technologies!$A$7:$H$576,4,FALSE)</f>
        <v>Agriculture</v>
      </c>
      <c r="E31" s="5" t="str">
        <f>VLOOKUP($A31,Technologies!$A$7:$H$576,6,FALSE)</f>
        <v>Electricity demand - Agricuture</v>
      </c>
      <c r="F31" s="5" t="str">
        <f>VLOOKUP($A31,Technologies!$A$7:$H$576,7,FALSE)</f>
        <v>Dummy standard electricity consumption - Agriculture</v>
      </c>
      <c r="G31" s="23"/>
      <c r="H31" s="23"/>
      <c r="I31" s="104" cm="1">
        <f t="array" ref="I31">-SUMPRODUCT((Feedstocks!$C$4:$C$141=A31)*Feedstocks!$E$4:$E$141,Feedstocks!$F$4:$F$141,Feedstocks!$H$4:$H$141,Feedstocks!$I$4:$I$141)</f>
        <v>0</v>
      </c>
      <c r="J31" s="104" cm="1">
        <f t="array" ref="J31">-SUMPRODUCT((Feedstocks!$C$4:$C$141=A31)*Feedstocks!$E$4:$E$141,Feedstocks!$H$4:$H$141,Feedstocks!$I$4:$I$141)</f>
        <v>0</v>
      </c>
      <c r="K31" s="104"/>
      <c r="L31" s="104"/>
      <c r="M31" s="23"/>
      <c r="N31" s="23" t="str">
        <f>VLOOKUP(E31,Activities!$A$9:$M$227,13,FALSE)</f>
        <v>NL</v>
      </c>
      <c r="O31" s="23"/>
      <c r="P31" s="79" t="s">
        <v>1807</v>
      </c>
      <c r="Q31" s="35"/>
      <c r="R31" s="35"/>
      <c r="S31" s="35"/>
      <c r="T31" s="35"/>
      <c r="U31" s="35"/>
      <c r="V31" s="35"/>
      <c r="W31" s="35">
        <v>1</v>
      </c>
      <c r="X31" s="35"/>
      <c r="Y31" s="35"/>
      <c r="Z31" s="35"/>
      <c r="AA31" s="35"/>
      <c r="AB31" s="35"/>
      <c r="AC31" s="35"/>
      <c r="AD31" s="35"/>
      <c r="AE31" s="35"/>
      <c r="AF31" s="35"/>
      <c r="AG31" s="35"/>
      <c r="AH31" s="35"/>
      <c r="AI31" s="35"/>
      <c r="AJ31" s="35"/>
      <c r="AK31" s="35"/>
      <c r="AL31" s="35"/>
      <c r="AM31" s="35"/>
      <c r="AN31" s="35"/>
      <c r="AO31" s="35"/>
      <c r="AP31" s="35"/>
      <c r="AQ31" s="35"/>
      <c r="AR31" s="35"/>
      <c r="AS31" s="35"/>
      <c r="AT31" s="35"/>
      <c r="AU31" s="35"/>
      <c r="AV31" s="35"/>
      <c r="AW31" s="35"/>
      <c r="AX31" s="35"/>
      <c r="AY31" s="35"/>
      <c r="AZ31" s="35"/>
      <c r="BA31" s="35"/>
      <c r="BB31" s="35"/>
      <c r="BC31" s="35"/>
      <c r="BD31" s="35"/>
      <c r="BE31" s="35"/>
      <c r="BF31" s="35"/>
      <c r="BG31" s="35"/>
      <c r="BH31" s="35"/>
      <c r="BI31" s="35"/>
      <c r="BJ31" s="35"/>
      <c r="BK31" s="35"/>
      <c r="BL31" s="35"/>
      <c r="BM31" s="35"/>
      <c r="BN31" s="35"/>
      <c r="BO31" s="35"/>
      <c r="BP31" s="35"/>
      <c r="BQ31" s="35"/>
      <c r="BR31" s="35"/>
      <c r="BS31" s="35"/>
      <c r="BT31" s="35"/>
      <c r="BU31" s="35"/>
      <c r="BV31" s="35"/>
      <c r="BW31" s="35"/>
      <c r="BX31" s="35"/>
      <c r="BY31" s="35"/>
      <c r="BZ31" s="35"/>
      <c r="CA31" s="35"/>
      <c r="CB31" s="35"/>
      <c r="CC31" s="35"/>
      <c r="CD31" s="35"/>
      <c r="CE31" s="35"/>
      <c r="CF31" s="35"/>
      <c r="CG31" s="35"/>
      <c r="CH31" s="35"/>
      <c r="CI31" s="35"/>
      <c r="CJ31" s="35"/>
      <c r="CK31" s="35"/>
      <c r="CL31" s="35"/>
      <c r="CM31" s="35"/>
      <c r="CN31" s="35"/>
      <c r="CO31" s="35"/>
      <c r="CP31" s="35"/>
      <c r="CQ31" s="35"/>
      <c r="CR31" s="35"/>
      <c r="CS31" s="35"/>
      <c r="CT31" s="35"/>
      <c r="CU31" s="35"/>
      <c r="CV31" s="35"/>
      <c r="CW31" s="35"/>
      <c r="CX31" s="35"/>
      <c r="CY31" s="35"/>
      <c r="CZ31" s="35"/>
      <c r="DA31" s="35"/>
      <c r="DB31" s="35"/>
      <c r="DC31" s="35"/>
      <c r="DD31" s="35"/>
      <c r="DE31" s="35"/>
      <c r="DF31" s="35"/>
      <c r="DG31" s="35"/>
      <c r="DH31" s="35"/>
      <c r="DI31" s="35">
        <v>-1</v>
      </c>
      <c r="DJ31" s="35"/>
      <c r="DK31" s="35"/>
      <c r="DL31" s="35"/>
      <c r="DM31" s="35"/>
      <c r="DN31" s="35"/>
      <c r="DO31" s="35"/>
      <c r="DP31" s="35"/>
      <c r="DQ31" s="35"/>
      <c r="DR31" s="35"/>
      <c r="DS31" s="35"/>
      <c r="DT31" s="35"/>
      <c r="DU31" s="35"/>
      <c r="DV31" s="35"/>
      <c r="DW31" s="35"/>
      <c r="DX31" s="35"/>
      <c r="DY31" s="35"/>
      <c r="DZ31" s="35"/>
      <c r="EA31" s="35"/>
      <c r="EB31" s="35"/>
      <c r="EC31" s="35"/>
      <c r="ED31" s="35"/>
      <c r="EE31" s="35"/>
      <c r="EF31" s="35"/>
      <c r="EG31" s="35"/>
      <c r="EH31" s="35"/>
      <c r="EI31" s="35"/>
      <c r="EJ31" s="35"/>
      <c r="EK31" s="35"/>
      <c r="EL31" s="35"/>
      <c r="EM31" s="35"/>
      <c r="EN31" s="35"/>
      <c r="EO31" s="35"/>
      <c r="EP31" s="35"/>
      <c r="EQ31" s="35"/>
      <c r="ER31" s="35"/>
      <c r="ES31" s="35"/>
      <c r="ET31" s="35"/>
      <c r="EU31" s="35"/>
      <c r="EV31" s="35"/>
      <c r="EW31" s="35"/>
      <c r="EX31" s="35"/>
      <c r="EY31" s="35"/>
      <c r="EZ31" s="35"/>
      <c r="FA31" s="35"/>
      <c r="FB31" s="35"/>
      <c r="FC31" s="35"/>
      <c r="FD31" s="35"/>
      <c r="FE31" s="35"/>
      <c r="FF31" s="35"/>
      <c r="FG31" s="35"/>
      <c r="FH31" s="35"/>
      <c r="FI31" s="35"/>
      <c r="FJ31" s="35"/>
      <c r="FK31" s="35"/>
      <c r="FL31" s="35"/>
      <c r="FM31" s="35"/>
      <c r="FN31" s="35"/>
      <c r="FO31" s="35"/>
      <c r="FP31" s="35"/>
      <c r="FQ31" s="35"/>
      <c r="FR31" s="35"/>
      <c r="FS31" s="35"/>
      <c r="FT31" s="35"/>
      <c r="FU31" s="35"/>
      <c r="FV31" s="35"/>
      <c r="FW31" s="35"/>
      <c r="FX31" s="35"/>
      <c r="FY31" s="35"/>
      <c r="FZ31" s="35"/>
      <c r="GA31" s="35"/>
      <c r="GB31" s="318"/>
      <c r="GC31" s="178">
        <f t="shared" si="0"/>
        <v>0</v>
      </c>
      <c r="GD31" s="178">
        <f t="shared" si="1"/>
        <v>0</v>
      </c>
      <c r="GE31" s="178">
        <f t="shared" si="2"/>
        <v>0</v>
      </c>
      <c r="GF31" s="178">
        <f t="shared" si="3"/>
        <v>0</v>
      </c>
      <c r="GG31" s="178">
        <f t="shared" si="4"/>
        <v>0</v>
      </c>
    </row>
    <row r="32" spans="1:189" x14ac:dyDescent="0.35">
      <c r="A32" s="6" t="s">
        <v>729</v>
      </c>
      <c r="B32" s="6" t="str">
        <f>IF(Technologies!B32&lt;&gt;0,Technologies!B32,"")</f>
        <v>Landbouw</v>
      </c>
      <c r="C32" s="6" t="str">
        <f>VLOOKUP($A32,Technologies!$A$7:$H$576,3,FALSE)</f>
        <v>Final</v>
      </c>
      <c r="D32" s="6" t="str">
        <f>VLOOKUP($A32,Technologies!$A$7:$H$576,4,FALSE)</f>
        <v>Agriculture</v>
      </c>
      <c r="E32" s="6" t="str">
        <f>VLOOKUP($A32,Technologies!$A$7:$H$576,6,FALSE)</f>
        <v>Heat demand - Agriculture</v>
      </c>
      <c r="F32" s="48" t="str">
        <f>VLOOKUP($A32,Technologies!$A$7:$H$576,7,FALSE)</f>
        <v>Dummy balance heat consumption - Agriculture Horticulture</v>
      </c>
      <c r="G32" s="22"/>
      <c r="H32" s="22"/>
      <c r="I32" s="103" cm="1">
        <f t="array" ref="I32">-SUMPRODUCT((Feedstocks!$C$4:$C$141=A32)*Feedstocks!$E$4:$E$141,Feedstocks!$F$4:$F$141,Feedstocks!$H$4:$H$141,Feedstocks!$I$4:$I$141)</f>
        <v>0</v>
      </c>
      <c r="J32" s="103" cm="1">
        <f t="array" ref="J32">-SUMPRODUCT((Feedstocks!$C$4:$C$141=A32)*Feedstocks!$E$4:$E$141,Feedstocks!$H$4:$H$141,Feedstocks!$I$4:$I$141)</f>
        <v>0</v>
      </c>
      <c r="K32" s="103"/>
      <c r="L32" s="103"/>
      <c r="M32" s="22"/>
      <c r="N32" s="22" t="str">
        <f>VLOOKUP(E32,Activities!$A$9:$M$227,13,FALSE)</f>
        <v>NL</v>
      </c>
      <c r="O32" s="22"/>
      <c r="P32" s="80" t="s">
        <v>1807</v>
      </c>
      <c r="Q32" s="36"/>
      <c r="R32" s="36"/>
      <c r="S32" s="36"/>
      <c r="T32" s="36"/>
      <c r="U32" s="36"/>
      <c r="V32" s="36"/>
      <c r="W32" s="36"/>
      <c r="X32" s="36">
        <v>1</v>
      </c>
      <c r="Y32" s="36"/>
      <c r="Z32" s="36"/>
      <c r="AA32" s="36"/>
      <c r="AB32" s="36"/>
      <c r="AC32" s="36"/>
      <c r="AD32" s="36"/>
      <c r="AE32" s="36"/>
      <c r="AF32" s="36"/>
      <c r="AG32" s="36"/>
      <c r="AH32" s="36"/>
      <c r="AI32" s="36"/>
      <c r="AJ32" s="36"/>
      <c r="AK32" s="36"/>
      <c r="AL32" s="36"/>
      <c r="AM32" s="36"/>
      <c r="AN32" s="36"/>
      <c r="AO32" s="36"/>
      <c r="AP32" s="36"/>
      <c r="AQ32" s="36"/>
      <c r="AR32" s="36"/>
      <c r="AS32" s="36"/>
      <c r="AT32" s="36"/>
      <c r="AU32" s="36"/>
      <c r="AV32" s="36"/>
      <c r="AW32" s="36"/>
      <c r="AX32" s="36"/>
      <c r="AY32" s="36"/>
      <c r="AZ32" s="36"/>
      <c r="BA32" s="36"/>
      <c r="BB32" s="36"/>
      <c r="BC32" s="36"/>
      <c r="BD32" s="36"/>
      <c r="BE32" s="36"/>
      <c r="BF32" s="36"/>
      <c r="BG32" s="36"/>
      <c r="BH32" s="36"/>
      <c r="BI32" s="36"/>
      <c r="BJ32" s="36"/>
      <c r="BK32" s="36"/>
      <c r="BL32" s="36"/>
      <c r="BM32" s="36"/>
      <c r="BN32" s="36"/>
      <c r="BO32" s="36"/>
      <c r="BP32" s="36"/>
      <c r="BQ32" s="36"/>
      <c r="BR32" s="36"/>
      <c r="BS32" s="36"/>
      <c r="BT32" s="36"/>
      <c r="BU32" s="36"/>
      <c r="BV32" s="36"/>
      <c r="BW32" s="36"/>
      <c r="BX32" s="36"/>
      <c r="BY32" s="36"/>
      <c r="BZ32" s="36"/>
      <c r="CA32" s="36"/>
      <c r="CB32" s="36"/>
      <c r="CC32" s="36"/>
      <c r="CD32" s="36"/>
      <c r="CE32" s="36"/>
      <c r="CF32" s="36"/>
      <c r="CG32" s="36"/>
      <c r="CH32" s="36"/>
      <c r="CI32" s="36"/>
      <c r="CJ32" s="36"/>
      <c r="CK32" s="36"/>
      <c r="CL32" s="36"/>
      <c r="CM32" s="36"/>
      <c r="CN32" s="36"/>
      <c r="CO32" s="36"/>
      <c r="CP32" s="36"/>
      <c r="CQ32" s="36"/>
      <c r="CR32" s="36"/>
      <c r="CS32" s="36"/>
      <c r="CT32" s="36"/>
      <c r="CU32" s="36"/>
      <c r="CV32" s="36"/>
      <c r="CW32" s="36"/>
      <c r="CX32" s="36"/>
      <c r="CY32" s="36"/>
      <c r="CZ32" s="36"/>
      <c r="DA32" s="36"/>
      <c r="DB32" s="36"/>
      <c r="DC32" s="36"/>
      <c r="DD32" s="36"/>
      <c r="DE32" s="36"/>
      <c r="DF32" s="36"/>
      <c r="DG32" s="36"/>
      <c r="DH32" s="36"/>
      <c r="DI32" s="36"/>
      <c r="DJ32" s="36"/>
      <c r="DK32" s="36"/>
      <c r="DL32" s="36"/>
      <c r="DM32" s="36"/>
      <c r="DN32" s="36">
        <v>-1</v>
      </c>
      <c r="DO32" s="36"/>
      <c r="DP32" s="36"/>
      <c r="DQ32" s="36"/>
      <c r="DR32" s="36"/>
      <c r="DS32" s="36"/>
      <c r="DT32" s="36"/>
      <c r="DU32" s="36"/>
      <c r="DV32" s="36"/>
      <c r="DW32" s="36"/>
      <c r="DX32" s="36"/>
      <c r="DY32" s="36"/>
      <c r="DZ32" s="36"/>
      <c r="EA32" s="36"/>
      <c r="EB32" s="36"/>
      <c r="EC32" s="36"/>
      <c r="ED32" s="36"/>
      <c r="EE32" s="36"/>
      <c r="EF32" s="36"/>
      <c r="EG32" s="36"/>
      <c r="EH32" s="36"/>
      <c r="EI32" s="36"/>
      <c r="EJ32" s="36"/>
      <c r="EK32" s="36"/>
      <c r="EL32" s="36"/>
      <c r="EM32" s="36"/>
      <c r="EN32" s="36"/>
      <c r="EO32" s="36"/>
      <c r="EP32" s="36"/>
      <c r="EQ32" s="36"/>
      <c r="ER32" s="36"/>
      <c r="ES32" s="36"/>
      <c r="ET32" s="36"/>
      <c r="EU32" s="36"/>
      <c r="EV32" s="36"/>
      <c r="EW32" s="36"/>
      <c r="EX32" s="36"/>
      <c r="EY32" s="36"/>
      <c r="EZ32" s="36"/>
      <c r="FA32" s="36"/>
      <c r="FB32" s="36"/>
      <c r="FC32" s="36"/>
      <c r="FD32" s="36"/>
      <c r="FE32" s="36"/>
      <c r="FF32" s="36"/>
      <c r="FG32" s="36"/>
      <c r="FH32" s="36"/>
      <c r="FI32" s="36"/>
      <c r="FJ32" s="36"/>
      <c r="FK32" s="36"/>
      <c r="FL32" s="36"/>
      <c r="FM32" s="36"/>
      <c r="FN32" s="36"/>
      <c r="FO32" s="36"/>
      <c r="FP32" s="36"/>
      <c r="FQ32" s="36"/>
      <c r="FR32" s="36"/>
      <c r="FS32" s="36"/>
      <c r="FT32" s="36"/>
      <c r="FU32" s="36"/>
      <c r="FV32" s="36"/>
      <c r="FW32" s="36"/>
      <c r="FX32" s="36"/>
      <c r="FY32" s="36"/>
      <c r="FZ32" s="36"/>
      <c r="GA32" s="36"/>
      <c r="GB32" s="319"/>
      <c r="GC32" s="179">
        <f t="shared" si="0"/>
        <v>0</v>
      </c>
      <c r="GD32" s="179">
        <f t="shared" si="1"/>
        <v>0</v>
      </c>
      <c r="GE32" s="179">
        <f t="shared" si="2"/>
        <v>0</v>
      </c>
      <c r="GF32" s="179">
        <f t="shared" si="3"/>
        <v>0</v>
      </c>
      <c r="GG32" s="179">
        <f t="shared" si="4"/>
        <v>0</v>
      </c>
    </row>
    <row r="33" spans="1:190" x14ac:dyDescent="0.35">
      <c r="A33" s="5" t="s">
        <v>733</v>
      </c>
      <c r="B33" s="5" t="str">
        <f>IF(Technologies!B33&lt;&gt;0,Technologies!B33,"")</f>
        <v>Mobiliteit</v>
      </c>
      <c r="C33" s="5" t="str">
        <f>VLOOKUP($A33,Technologies!$A$7:$H$576,3,FALSE)</f>
        <v>Final</v>
      </c>
      <c r="D33" s="5" t="str">
        <f>VLOOKUP($A33,Technologies!$A$7:$H$576,4,FALSE)</f>
        <v>Agriculture</v>
      </c>
      <c r="E33" s="5" t="str">
        <f>VLOOKUP($A33,Technologies!$A$7:$H$576,6,FALSE)</f>
        <v>Machinery - Agriculture</v>
      </c>
      <c r="F33" s="5" t="str">
        <f>VLOOKUP($A33,Technologies!$A$7:$H$576,7,FALSE)</f>
        <v>Fuel based Machinery - Agriculture</v>
      </c>
      <c r="G33" s="23"/>
      <c r="H33" s="23"/>
      <c r="I33" s="104" cm="1">
        <f t="array" ref="I33">-SUMPRODUCT((Feedstocks!$C$4:$C$141=A33)*Feedstocks!$E$4:$E$141,Feedstocks!$F$4:$F$141,Feedstocks!$H$4:$H$141,Feedstocks!$I$4:$I$141)</f>
        <v>0</v>
      </c>
      <c r="J33" s="104" cm="1">
        <f t="array" ref="J33">-SUMPRODUCT((Feedstocks!$C$4:$C$141=A33)*Feedstocks!$E$4:$E$141,Feedstocks!$H$4:$H$141,Feedstocks!$I$4:$I$141)</f>
        <v>0</v>
      </c>
      <c r="K33" s="104"/>
      <c r="L33" s="104"/>
      <c r="M33" s="23"/>
      <c r="N33" s="23" t="str">
        <f>VLOOKUP(E33,Activities!$A$9:$M$227,13,FALSE)</f>
        <v>NL</v>
      </c>
      <c r="O33" s="23"/>
      <c r="P33" s="79" t="s">
        <v>502</v>
      </c>
      <c r="Q33" s="35"/>
      <c r="R33" s="35"/>
      <c r="S33" s="35"/>
      <c r="T33" s="35"/>
      <c r="U33" s="35"/>
      <c r="V33" s="35"/>
      <c r="W33" s="35"/>
      <c r="X33" s="35"/>
      <c r="Y33" s="35">
        <v>1</v>
      </c>
      <c r="Z33" s="35"/>
      <c r="AA33" s="35"/>
      <c r="AB33" s="35"/>
      <c r="AC33" s="35"/>
      <c r="AD33" s="35"/>
      <c r="AE33" s="35"/>
      <c r="AF33" s="35"/>
      <c r="AG33" s="35"/>
      <c r="AH33" s="35"/>
      <c r="AI33" s="35"/>
      <c r="AJ33" s="35"/>
      <c r="AK33" s="35"/>
      <c r="AL33" s="35"/>
      <c r="AM33" s="35"/>
      <c r="AN33" s="35"/>
      <c r="AO33" s="35"/>
      <c r="AP33" s="35"/>
      <c r="AQ33" s="35"/>
      <c r="AR33" s="35"/>
      <c r="AS33" s="35"/>
      <c r="AT33" s="35"/>
      <c r="AU33" s="35"/>
      <c r="AV33" s="35"/>
      <c r="AW33" s="35"/>
      <c r="AX33" s="35"/>
      <c r="AY33" s="35"/>
      <c r="AZ33" s="35"/>
      <c r="BA33" s="35"/>
      <c r="BB33" s="35"/>
      <c r="BC33" s="35"/>
      <c r="BD33" s="35"/>
      <c r="BE33" s="35"/>
      <c r="BF33" s="35"/>
      <c r="BG33" s="35"/>
      <c r="BH33" s="35"/>
      <c r="BI33" s="35"/>
      <c r="BJ33" s="35"/>
      <c r="BK33" s="35"/>
      <c r="BL33" s="35"/>
      <c r="BM33" s="35"/>
      <c r="BN33" s="35"/>
      <c r="BO33" s="35"/>
      <c r="BP33" s="35"/>
      <c r="BQ33" s="35"/>
      <c r="BR33" s="35"/>
      <c r="BS33" s="35"/>
      <c r="BT33" s="35"/>
      <c r="BU33" s="35"/>
      <c r="BV33" s="35"/>
      <c r="BW33" s="35"/>
      <c r="BX33" s="35"/>
      <c r="BY33" s="35"/>
      <c r="BZ33" s="35"/>
      <c r="CA33" s="35"/>
      <c r="CB33" s="35"/>
      <c r="CC33" s="35"/>
      <c r="CD33" s="35"/>
      <c r="CE33" s="35"/>
      <c r="CF33" s="35"/>
      <c r="CG33" s="35"/>
      <c r="CH33" s="35"/>
      <c r="CI33" s="35"/>
      <c r="CJ33" s="35"/>
      <c r="CK33" s="35"/>
      <c r="CL33" s="35"/>
      <c r="CM33" s="35"/>
      <c r="CN33" s="35"/>
      <c r="CO33" s="35"/>
      <c r="CP33" s="35"/>
      <c r="CQ33" s="35"/>
      <c r="CR33" s="35"/>
      <c r="CS33" s="35"/>
      <c r="CT33" s="35"/>
      <c r="CU33" s="35"/>
      <c r="CV33" s="35"/>
      <c r="CW33" s="35"/>
      <c r="CX33" s="35"/>
      <c r="CY33" s="35"/>
      <c r="CZ33" s="35"/>
      <c r="DA33" s="35"/>
      <c r="DB33" s="35"/>
      <c r="DC33" s="35"/>
      <c r="DD33" s="35"/>
      <c r="DE33" s="35"/>
      <c r="DF33" s="35"/>
      <c r="DG33" s="35"/>
      <c r="DH33" s="35"/>
      <c r="DI33" s="35"/>
      <c r="DJ33" s="35"/>
      <c r="DK33" s="35"/>
      <c r="DL33" s="35"/>
      <c r="DM33" s="35"/>
      <c r="DN33" s="35"/>
      <c r="DO33" s="35"/>
      <c r="DP33" s="35"/>
      <c r="DQ33" s="35"/>
      <c r="DR33" s="35"/>
      <c r="DS33" s="35"/>
      <c r="DT33" s="35"/>
      <c r="DU33" s="35">
        <v>-1</v>
      </c>
      <c r="DV33" s="35"/>
      <c r="DW33" s="35"/>
      <c r="DX33" s="35"/>
      <c r="DY33" s="35"/>
      <c r="DZ33" s="35"/>
      <c r="EA33" s="35"/>
      <c r="EB33" s="35"/>
      <c r="EC33" s="35"/>
      <c r="ED33" s="35"/>
      <c r="EE33" s="35"/>
      <c r="EF33" s="35"/>
      <c r="EG33" s="35"/>
      <c r="EH33" s="35"/>
      <c r="EI33" s="35"/>
      <c r="EJ33" s="35"/>
      <c r="EK33" s="35"/>
      <c r="EL33" s="35"/>
      <c r="EM33" s="35"/>
      <c r="EN33" s="35"/>
      <c r="EO33" s="35"/>
      <c r="EP33" s="35"/>
      <c r="EQ33" s="35"/>
      <c r="ER33" s="35"/>
      <c r="ES33" s="35"/>
      <c r="ET33" s="35"/>
      <c r="EU33" s="35"/>
      <c r="EV33" s="35"/>
      <c r="EW33" s="35"/>
      <c r="EX33" s="35"/>
      <c r="EY33" s="35"/>
      <c r="EZ33" s="35"/>
      <c r="FA33" s="35"/>
      <c r="FB33" s="35"/>
      <c r="FC33" s="35"/>
      <c r="FD33" s="35"/>
      <c r="FE33" s="35"/>
      <c r="FF33" s="35"/>
      <c r="FG33" s="35"/>
      <c r="FH33" s="35"/>
      <c r="FI33" s="35"/>
      <c r="FJ33" s="35"/>
      <c r="FK33" s="35"/>
      <c r="FL33" s="35"/>
      <c r="FM33" s="35"/>
      <c r="FN33" s="35"/>
      <c r="FO33" s="35"/>
      <c r="FP33" s="35"/>
      <c r="FQ33" s="35"/>
      <c r="FR33" s="35"/>
      <c r="FS33" s="35"/>
      <c r="FT33" s="35"/>
      <c r="FU33" s="35"/>
      <c r="FV33" s="35"/>
      <c r="FW33" s="35"/>
      <c r="FX33" s="35"/>
      <c r="FY33" s="35"/>
      <c r="FZ33" s="35"/>
      <c r="GA33" s="35"/>
      <c r="GB33" s="318"/>
      <c r="GC33" s="178">
        <f t="shared" si="0"/>
        <v>0</v>
      </c>
      <c r="GD33" s="178">
        <f t="shared" si="1"/>
        <v>0</v>
      </c>
      <c r="GE33" s="178">
        <f t="shared" si="2"/>
        <v>7.2999999999999995E-2</v>
      </c>
      <c r="GF33" s="178">
        <f t="shared" si="3"/>
        <v>0</v>
      </c>
      <c r="GG33" s="178">
        <f t="shared" si="4"/>
        <v>0</v>
      </c>
    </row>
    <row r="34" spans="1:190" x14ac:dyDescent="0.35">
      <c r="A34" s="6" t="s">
        <v>737</v>
      </c>
      <c r="B34" s="6" t="str">
        <f>IF(Technologies!B34&lt;&gt;0,Technologies!B34,"")</f>
        <v>Mobiliteit</v>
      </c>
      <c r="C34" s="6" t="str">
        <f>VLOOKUP($A34,Technologies!$A$7:$H$576,3,FALSE)</f>
        <v>Final</v>
      </c>
      <c r="D34" s="6" t="str">
        <f>VLOOKUP($A34,Technologies!$A$7:$H$576,4,FALSE)</f>
        <v>Agriculture</v>
      </c>
      <c r="E34" s="6" t="str">
        <f>VLOOKUP($A34,Technologies!$A$7:$H$576,6,FALSE)</f>
        <v>Machinery - Agriculture</v>
      </c>
      <c r="F34" s="48" t="str">
        <f>VLOOKUP($A34,Technologies!$A$7:$H$576,7,FALSE)</f>
        <v>Hybrid Machinery - Agriculture</v>
      </c>
      <c r="G34" s="22"/>
      <c r="H34" s="22"/>
      <c r="I34" s="103" cm="1">
        <f t="array" ref="I34">-SUMPRODUCT((Feedstocks!$C$4:$C$141=A34)*Feedstocks!$E$4:$E$141,Feedstocks!$F$4:$F$141,Feedstocks!$H$4:$H$141,Feedstocks!$I$4:$I$141)</f>
        <v>0</v>
      </c>
      <c r="J34" s="103" cm="1">
        <f t="array" ref="J34">-SUMPRODUCT((Feedstocks!$C$4:$C$141=A34)*Feedstocks!$E$4:$E$141,Feedstocks!$H$4:$H$141,Feedstocks!$I$4:$I$141)</f>
        <v>0</v>
      </c>
      <c r="K34" s="103"/>
      <c r="L34" s="103"/>
      <c r="M34" s="22"/>
      <c r="N34" s="22" t="str">
        <f>VLOOKUP(E34,Activities!$A$9:$M$227,13,FALSE)</f>
        <v>NL</v>
      </c>
      <c r="O34" s="22"/>
      <c r="P34" s="80" t="s">
        <v>502</v>
      </c>
      <c r="Q34" s="36"/>
      <c r="R34" s="36"/>
      <c r="S34" s="36"/>
      <c r="T34" s="36"/>
      <c r="U34" s="36"/>
      <c r="V34" s="36"/>
      <c r="W34" s="36"/>
      <c r="X34" s="36"/>
      <c r="Y34" s="36">
        <v>1</v>
      </c>
      <c r="Z34" s="36"/>
      <c r="AA34" s="36"/>
      <c r="AB34" s="36"/>
      <c r="AC34" s="36"/>
      <c r="AD34" s="36"/>
      <c r="AE34" s="36"/>
      <c r="AF34" s="36"/>
      <c r="AG34" s="36"/>
      <c r="AH34" s="36"/>
      <c r="AI34" s="36"/>
      <c r="AJ34" s="36"/>
      <c r="AK34" s="36"/>
      <c r="AL34" s="36"/>
      <c r="AM34" s="36"/>
      <c r="AN34" s="36"/>
      <c r="AO34" s="36"/>
      <c r="AP34" s="36"/>
      <c r="AQ34" s="36"/>
      <c r="AR34" s="36"/>
      <c r="AS34" s="36"/>
      <c r="AT34" s="36"/>
      <c r="AU34" s="36"/>
      <c r="AV34" s="36"/>
      <c r="AW34" s="36"/>
      <c r="AX34" s="36"/>
      <c r="AY34" s="36"/>
      <c r="AZ34" s="36"/>
      <c r="BA34" s="36"/>
      <c r="BB34" s="36"/>
      <c r="BC34" s="36"/>
      <c r="BD34" s="36"/>
      <c r="BE34" s="36"/>
      <c r="BF34" s="36"/>
      <c r="BG34" s="36"/>
      <c r="BH34" s="36"/>
      <c r="BI34" s="36"/>
      <c r="BJ34" s="36"/>
      <c r="BK34" s="36"/>
      <c r="BL34" s="36"/>
      <c r="BM34" s="36"/>
      <c r="BN34" s="36"/>
      <c r="BO34" s="36"/>
      <c r="BP34" s="36"/>
      <c r="BQ34" s="36"/>
      <c r="BR34" s="36"/>
      <c r="BS34" s="36"/>
      <c r="BT34" s="36"/>
      <c r="BU34" s="36"/>
      <c r="BV34" s="36"/>
      <c r="BW34" s="36"/>
      <c r="BX34" s="36"/>
      <c r="BY34" s="36"/>
      <c r="BZ34" s="36"/>
      <c r="CA34" s="36"/>
      <c r="CB34" s="36"/>
      <c r="CC34" s="36"/>
      <c r="CD34" s="36"/>
      <c r="CE34" s="36"/>
      <c r="CF34" s="36"/>
      <c r="CG34" s="36"/>
      <c r="CH34" s="36"/>
      <c r="CI34" s="36"/>
      <c r="CJ34" s="36"/>
      <c r="CK34" s="36"/>
      <c r="CL34" s="36"/>
      <c r="CM34" s="36"/>
      <c r="CN34" s="36"/>
      <c r="CO34" s="36"/>
      <c r="CP34" s="36"/>
      <c r="CQ34" s="36"/>
      <c r="CR34" s="36"/>
      <c r="CS34" s="36"/>
      <c r="CT34" s="36"/>
      <c r="CU34" s="36"/>
      <c r="CV34" s="36"/>
      <c r="CW34" s="36"/>
      <c r="CX34" s="36"/>
      <c r="CY34" s="36"/>
      <c r="CZ34" s="36"/>
      <c r="DA34" s="36"/>
      <c r="DB34" s="36"/>
      <c r="DC34" s="36"/>
      <c r="DD34" s="36"/>
      <c r="DE34" s="36"/>
      <c r="DF34" s="36"/>
      <c r="DG34" s="36"/>
      <c r="DH34" s="36"/>
      <c r="DI34" s="36">
        <v>-0.32500000000000001</v>
      </c>
      <c r="DJ34" s="36"/>
      <c r="DK34" s="36"/>
      <c r="DL34" s="36"/>
      <c r="DM34" s="36"/>
      <c r="DN34" s="36"/>
      <c r="DO34" s="36"/>
      <c r="DP34" s="36"/>
      <c r="DQ34" s="36"/>
      <c r="DR34" s="36"/>
      <c r="DS34" s="36"/>
      <c r="DT34" s="36"/>
      <c r="DU34" s="36">
        <v>-0.5</v>
      </c>
      <c r="DV34" s="36"/>
      <c r="DW34" s="36"/>
      <c r="DX34" s="36"/>
      <c r="DY34" s="36"/>
      <c r="DZ34" s="36"/>
      <c r="EA34" s="36"/>
      <c r="EB34" s="36"/>
      <c r="EC34" s="36"/>
      <c r="ED34" s="36"/>
      <c r="EE34" s="36"/>
      <c r="EF34" s="36"/>
      <c r="EG34" s="36"/>
      <c r="EH34" s="36"/>
      <c r="EI34" s="36"/>
      <c r="EJ34" s="36"/>
      <c r="EK34" s="36"/>
      <c r="EL34" s="36"/>
      <c r="EM34" s="36"/>
      <c r="EN34" s="36"/>
      <c r="EO34" s="36"/>
      <c r="EP34" s="36"/>
      <c r="EQ34" s="36"/>
      <c r="ER34" s="36"/>
      <c r="ES34" s="36"/>
      <c r="ET34" s="36"/>
      <c r="EU34" s="36"/>
      <c r="EV34" s="36"/>
      <c r="EW34" s="36"/>
      <c r="EX34" s="36"/>
      <c r="EY34" s="36"/>
      <c r="EZ34" s="36"/>
      <c r="FA34" s="36"/>
      <c r="FB34" s="36"/>
      <c r="FC34" s="36"/>
      <c r="FD34" s="36"/>
      <c r="FE34" s="36"/>
      <c r="FF34" s="36"/>
      <c r="FG34" s="36"/>
      <c r="FH34" s="36"/>
      <c r="FI34" s="36"/>
      <c r="FJ34" s="36"/>
      <c r="FK34" s="36"/>
      <c r="FL34" s="36"/>
      <c r="FM34" s="36"/>
      <c r="FN34" s="36"/>
      <c r="FO34" s="36"/>
      <c r="FP34" s="36"/>
      <c r="FQ34" s="36"/>
      <c r="FR34" s="36"/>
      <c r="FS34" s="36"/>
      <c r="FT34" s="36"/>
      <c r="FU34" s="36"/>
      <c r="FV34" s="36"/>
      <c r="FW34" s="36"/>
      <c r="FX34" s="36"/>
      <c r="FY34" s="36"/>
      <c r="FZ34" s="36"/>
      <c r="GA34" s="36"/>
      <c r="GB34" s="319"/>
      <c r="GC34" s="179">
        <f t="shared" si="0"/>
        <v>0</v>
      </c>
      <c r="GD34" s="179">
        <f t="shared" si="1"/>
        <v>0</v>
      </c>
      <c r="GE34" s="179">
        <f t="shared" si="2"/>
        <v>3.6499999999999998E-2</v>
      </c>
      <c r="GF34" s="179">
        <f t="shared" si="3"/>
        <v>0</v>
      </c>
      <c r="GG34" s="179">
        <f t="shared" si="4"/>
        <v>0</v>
      </c>
    </row>
    <row r="35" spans="1:190" x14ac:dyDescent="0.35">
      <c r="A35" s="5" t="s">
        <v>739</v>
      </c>
      <c r="B35" s="5" t="str">
        <f>IF(Technologies!B35&lt;&gt;0,Technologies!B35,"")</f>
        <v>Industrie</v>
      </c>
      <c r="C35" s="5" t="str">
        <f>VLOOKUP($A35,Technologies!$A$7:$H$576,3,FALSE)</f>
        <v>Final</v>
      </c>
      <c r="D35" s="5" t="str">
        <f>VLOOKUP($A35,Technologies!$A$7:$H$576,4,FALSE)</f>
        <v>Industry</v>
      </c>
      <c r="E35" s="5" t="str">
        <f>VLOOKUP($A35,Technologies!$A$7:$H$576,6,FALSE)</f>
        <v>Steel production - Basic Metals Industry</v>
      </c>
      <c r="F35" s="5" t="str">
        <f>VLOOKUP($A35,Technologies!$A$7:$H$576,7,FALSE)</f>
        <v>Blast furnace BOF - Steel Production</v>
      </c>
      <c r="G35" s="23"/>
      <c r="H35" s="23"/>
      <c r="I35" s="104" cm="1">
        <f t="array" ref="I35">-SUMPRODUCT((Feedstocks!$C$4:$C$141=A35)*Feedstocks!$E$4:$E$141,Feedstocks!$F$4:$F$141,Feedstocks!$H$4:$H$141,Feedstocks!$I$4:$I$141)</f>
        <v>6.3895000000000007E-2</v>
      </c>
      <c r="J35" s="104" cm="1">
        <f t="array" ref="J35">-SUMPRODUCT((Feedstocks!$C$4:$C$141=A35)*Feedstocks!$E$4:$E$141,Feedstocks!$H$4:$H$141,Feedstocks!$I$4:$I$141)</f>
        <v>6.3895000000000007E-2</v>
      </c>
      <c r="K35" s="210">
        <v>0.15</v>
      </c>
      <c r="L35" s="104"/>
      <c r="M35" s="23">
        <v>1</v>
      </c>
      <c r="N35" s="23" t="str">
        <f>VLOOKUP(E35,Activities!$A$9:$M$227,13,FALSE)</f>
        <v>NL</v>
      </c>
      <c r="O35" s="23"/>
      <c r="P35" s="79" t="s">
        <v>1810</v>
      </c>
      <c r="Q35" s="35"/>
      <c r="R35" s="35"/>
      <c r="S35" s="35"/>
      <c r="T35" s="35"/>
      <c r="U35" s="35"/>
      <c r="V35" s="35"/>
      <c r="W35" s="35"/>
      <c r="X35" s="35"/>
      <c r="Y35" s="35"/>
      <c r="Z35" s="35">
        <v>1</v>
      </c>
      <c r="AA35" s="35"/>
      <c r="AB35" s="35"/>
      <c r="AC35" s="35"/>
      <c r="AD35" s="35"/>
      <c r="AE35" s="35"/>
      <c r="AF35" s="35"/>
      <c r="AG35" s="35"/>
      <c r="AH35" s="35"/>
      <c r="AI35" s="35"/>
      <c r="AJ35" s="35"/>
      <c r="AK35" s="35"/>
      <c r="AL35" s="35"/>
      <c r="AM35" s="35"/>
      <c r="AN35" s="35"/>
      <c r="AO35" s="35"/>
      <c r="AP35" s="35"/>
      <c r="AQ35" s="35"/>
      <c r="AR35" s="35"/>
      <c r="AS35" s="35"/>
      <c r="AT35" s="35"/>
      <c r="AU35" s="35"/>
      <c r="AV35" s="35"/>
      <c r="AW35" s="35"/>
      <c r="AX35" s="35"/>
      <c r="AY35" s="35"/>
      <c r="AZ35" s="35"/>
      <c r="BA35" s="35"/>
      <c r="BB35" s="35"/>
      <c r="BC35" s="35"/>
      <c r="BD35" s="35"/>
      <c r="BE35" s="35"/>
      <c r="BF35" s="35"/>
      <c r="BG35" s="35"/>
      <c r="BH35" s="35"/>
      <c r="BI35" s="35"/>
      <c r="BJ35" s="35"/>
      <c r="BK35" s="35"/>
      <c r="BL35" s="35"/>
      <c r="BM35" s="35"/>
      <c r="BN35" s="35"/>
      <c r="BO35" s="35"/>
      <c r="BP35" s="35"/>
      <c r="BQ35" s="35"/>
      <c r="BR35" s="35"/>
      <c r="BS35" s="35"/>
      <c r="BT35" s="35"/>
      <c r="BU35" s="35"/>
      <c r="BV35" s="35"/>
      <c r="BW35" s="35"/>
      <c r="BX35" s="35"/>
      <c r="BY35" s="35"/>
      <c r="BZ35" s="35"/>
      <c r="CA35" s="35"/>
      <c r="CB35" s="35"/>
      <c r="CC35" s="35"/>
      <c r="CD35" s="35"/>
      <c r="CE35" s="35"/>
      <c r="CF35" s="35"/>
      <c r="CG35" s="35"/>
      <c r="CH35" s="35"/>
      <c r="CI35" s="35"/>
      <c r="CJ35" s="35"/>
      <c r="CK35" s="35"/>
      <c r="CL35" s="35"/>
      <c r="CM35" s="35"/>
      <c r="CN35" s="35"/>
      <c r="CO35" s="35"/>
      <c r="CP35" s="35"/>
      <c r="CQ35" s="35">
        <f>-(2.98+5.13+0.28)/7.05</f>
        <v>-1.1900709219858154</v>
      </c>
      <c r="CR35" s="35">
        <f>-(0.66+0.07/10^3+0.06)/7.05</f>
        <v>-0.10213758865248226</v>
      </c>
      <c r="CS35" s="35"/>
      <c r="CT35" s="35"/>
      <c r="CU35" s="35"/>
      <c r="CV35" s="35"/>
      <c r="CW35" s="35"/>
      <c r="CX35" s="35"/>
      <c r="CY35" s="35"/>
      <c r="CZ35" s="35"/>
      <c r="DA35" s="35"/>
      <c r="DB35" s="35"/>
      <c r="DC35" s="35"/>
      <c r="DD35" s="35"/>
      <c r="DE35" s="35"/>
      <c r="DF35" s="35"/>
      <c r="DG35" s="35"/>
      <c r="DH35" s="35">
        <v>-1.34</v>
      </c>
      <c r="DI35" s="35"/>
      <c r="DJ35" s="35"/>
      <c r="DK35" s="35"/>
      <c r="DL35" s="35"/>
      <c r="DM35" s="35"/>
      <c r="DN35" s="35"/>
      <c r="DO35" s="35"/>
      <c r="DP35" s="35"/>
      <c r="DQ35" s="35"/>
      <c r="DR35" s="35">
        <v>3.67</v>
      </c>
      <c r="DS35" s="35"/>
      <c r="DT35" s="35"/>
      <c r="DU35" s="35"/>
      <c r="DV35" s="35"/>
      <c r="DW35" s="35"/>
      <c r="DX35" s="35"/>
      <c r="DY35" s="35"/>
      <c r="DZ35" s="35"/>
      <c r="EA35" s="35"/>
      <c r="EB35" s="35"/>
      <c r="EC35" s="35"/>
      <c r="ED35" s="35"/>
      <c r="EE35" s="35"/>
      <c r="EF35" s="35"/>
      <c r="EG35" s="35"/>
      <c r="EH35" s="35"/>
      <c r="EI35" s="35"/>
      <c r="EJ35" s="35">
        <v>-1.68</v>
      </c>
      <c r="EK35" s="35"/>
      <c r="EL35" s="35"/>
      <c r="EM35" s="35"/>
      <c r="EN35" s="35"/>
      <c r="EO35" s="35"/>
      <c r="EP35" s="35"/>
      <c r="EQ35" s="35"/>
      <c r="ER35" s="35"/>
      <c r="ES35" s="35">
        <v>-18.55</v>
      </c>
      <c r="ET35" s="35">
        <v>-0.03</v>
      </c>
      <c r="EU35" s="35"/>
      <c r="EV35" s="35"/>
      <c r="EW35" s="35"/>
      <c r="EX35" s="35"/>
      <c r="EY35" s="35"/>
      <c r="EZ35" s="35"/>
      <c r="FA35" s="35"/>
      <c r="FB35" s="35"/>
      <c r="FC35" s="35"/>
      <c r="FD35" s="35"/>
      <c r="FE35" s="35"/>
      <c r="FF35" s="35"/>
      <c r="FG35" s="35"/>
      <c r="FH35" s="35"/>
      <c r="FI35" s="35"/>
      <c r="FJ35" s="35"/>
      <c r="FK35" s="35"/>
      <c r="FL35" s="35"/>
      <c r="FM35" s="35"/>
      <c r="FN35" s="35"/>
      <c r="FO35" s="35"/>
      <c r="FP35" s="35"/>
      <c r="FQ35" s="35"/>
      <c r="FR35" s="35"/>
      <c r="FS35" s="35"/>
      <c r="FT35" s="35"/>
      <c r="FU35" s="35"/>
      <c r="FV35" s="35"/>
      <c r="FW35" s="35"/>
      <c r="FX35" s="35"/>
      <c r="FY35" s="35"/>
      <c r="FZ35" s="35"/>
      <c r="GA35" s="35"/>
      <c r="GB35" s="318"/>
      <c r="GC35" s="178">
        <f t="shared" si="0"/>
        <v>0</v>
      </c>
      <c r="GD35" s="178">
        <f t="shared" si="1"/>
        <v>1.0989</v>
      </c>
      <c r="GE35" s="178">
        <f t="shared" si="2"/>
        <v>0</v>
      </c>
      <c r="GF35" s="178">
        <f t="shared" si="3"/>
        <v>0</v>
      </c>
      <c r="GG35" s="178">
        <f t="shared" si="4"/>
        <v>6.3895000000000007E-2</v>
      </c>
    </row>
    <row r="36" spans="1:190" x14ac:dyDescent="0.35">
      <c r="A36" s="6" t="s">
        <v>747</v>
      </c>
      <c r="B36" s="6" t="str">
        <f>IF(Technologies!B36&lt;&gt;0,Technologies!B36,"")</f>
        <v>Industrie</v>
      </c>
      <c r="C36" s="6" t="str">
        <f>VLOOKUP($A36,Technologies!$A$7:$H$576,3,FALSE)</f>
        <v>Final</v>
      </c>
      <c r="D36" s="6" t="str">
        <f>VLOOKUP($A36,Technologies!$A$7:$H$576,4,FALSE)</f>
        <v>Industry</v>
      </c>
      <c r="E36" s="6" t="str">
        <f>VLOOKUP($A36,Technologies!$A$7:$H$576,6,FALSE)</f>
        <v>Steel production - Basic Metals Industry</v>
      </c>
      <c r="F36" s="48" t="str">
        <f>VLOOKUP($A36,Technologies!$A$7:$H$576,7,FALSE)</f>
        <v>Blast furnace BOF wCCUS (end-of-pipe) - Steel Production</v>
      </c>
      <c r="G36" s="22">
        <v>0.6</v>
      </c>
      <c r="H36" s="22"/>
      <c r="I36" s="103" cm="1">
        <f t="array" ref="I36">-SUMPRODUCT((Feedstocks!$C$4:$C$141=A36)*Feedstocks!$E$4:$E$141,Feedstocks!$F$4:$F$141,Feedstocks!$H$4:$H$141,Feedstocks!$I$4:$I$141)</f>
        <v>6.3895000000000007E-2</v>
      </c>
      <c r="J36" s="103" cm="1">
        <f t="array" ref="J36">-SUMPRODUCT((Feedstocks!$C$4:$C$141=A36)*Feedstocks!$E$4:$E$141,Feedstocks!$H$4:$H$141,Feedstocks!$I$4:$I$141)</f>
        <v>6.3895000000000007E-2</v>
      </c>
      <c r="K36" s="210">
        <v>0.15</v>
      </c>
      <c r="L36" s="103"/>
      <c r="M36" s="22">
        <v>1</v>
      </c>
      <c r="N36" s="22" t="str">
        <f>VLOOKUP(E36,Activities!$A$9:$M$227,13,FALSE)</f>
        <v>NL</v>
      </c>
      <c r="O36" s="22"/>
      <c r="P36" s="80" t="s">
        <v>1810</v>
      </c>
      <c r="Q36" s="36"/>
      <c r="R36" s="36"/>
      <c r="S36" s="36"/>
      <c r="T36" s="36"/>
      <c r="U36" s="36"/>
      <c r="V36" s="36"/>
      <c r="W36" s="36"/>
      <c r="X36" s="36"/>
      <c r="Y36" s="36"/>
      <c r="Z36" s="36">
        <v>1</v>
      </c>
      <c r="AA36" s="36"/>
      <c r="AB36" s="36"/>
      <c r="AC36" s="36"/>
      <c r="AD36" s="36"/>
      <c r="AE36" s="36"/>
      <c r="AF36" s="36"/>
      <c r="AG36" s="36"/>
      <c r="AH36" s="36"/>
      <c r="AI36" s="36"/>
      <c r="AJ36" s="36"/>
      <c r="AK36" s="36"/>
      <c r="AL36" s="36"/>
      <c r="AM36" s="36"/>
      <c r="AN36" s="36"/>
      <c r="AO36" s="36"/>
      <c r="AP36" s="36"/>
      <c r="AQ36" s="36"/>
      <c r="AR36" s="36"/>
      <c r="AS36" s="36"/>
      <c r="AT36" s="36"/>
      <c r="AU36" s="36"/>
      <c r="AV36" s="36"/>
      <c r="AW36" s="36"/>
      <c r="AX36" s="36"/>
      <c r="AY36" s="36"/>
      <c r="AZ36" s="36"/>
      <c r="BA36" s="36"/>
      <c r="BB36" s="36"/>
      <c r="BC36" s="36"/>
      <c r="BD36" s="36"/>
      <c r="BE36" s="36"/>
      <c r="BF36" s="36"/>
      <c r="BG36" s="36"/>
      <c r="BH36" s="36"/>
      <c r="BI36" s="36"/>
      <c r="BJ36" s="36"/>
      <c r="BK36" s="36"/>
      <c r="BL36" s="36"/>
      <c r="BM36" s="36"/>
      <c r="BN36" s="36"/>
      <c r="BO36" s="36"/>
      <c r="BP36" s="36"/>
      <c r="BQ36" s="36"/>
      <c r="BR36" s="36"/>
      <c r="BS36" s="36"/>
      <c r="BT36" s="36"/>
      <c r="BU36" s="36"/>
      <c r="BV36" s="36"/>
      <c r="BW36" s="36"/>
      <c r="BX36" s="36"/>
      <c r="BY36" s="36"/>
      <c r="BZ36" s="36"/>
      <c r="CA36" s="36"/>
      <c r="CB36" s="36"/>
      <c r="CC36" s="36"/>
      <c r="CD36" s="36"/>
      <c r="CE36" s="36"/>
      <c r="CF36" s="36"/>
      <c r="CG36" s="36"/>
      <c r="CH36" s="36"/>
      <c r="CI36" s="36"/>
      <c r="CJ36" s="36"/>
      <c r="CK36" s="36"/>
      <c r="CL36" s="36"/>
      <c r="CM36" s="36"/>
      <c r="CN36" s="36"/>
      <c r="CO36" s="36"/>
      <c r="CP36" s="36"/>
      <c r="CQ36" s="35">
        <f>-(2.98+5.13+0.28)/7.05</f>
        <v>-1.1900709219858154</v>
      </c>
      <c r="CR36" s="35">
        <f>-(0.66+0.07/10^3+0.06)/7.05</f>
        <v>-0.10213758865248226</v>
      </c>
      <c r="CS36" s="36"/>
      <c r="CT36" s="36"/>
      <c r="CU36" s="36"/>
      <c r="CV36" s="36"/>
      <c r="CW36" s="36"/>
      <c r="CX36" s="36"/>
      <c r="CY36" s="36"/>
      <c r="CZ36" s="36"/>
      <c r="DA36" s="36"/>
      <c r="DB36" s="36"/>
      <c r="DC36" s="36"/>
      <c r="DD36" s="36"/>
      <c r="DE36" s="36"/>
      <c r="DF36" s="36"/>
      <c r="DG36" s="36"/>
      <c r="DH36" s="36">
        <v>-1.98</v>
      </c>
      <c r="DI36" s="36"/>
      <c r="DJ36" s="36"/>
      <c r="DK36" s="36"/>
      <c r="DL36" s="36"/>
      <c r="DM36" s="36"/>
      <c r="DN36" s="36"/>
      <c r="DO36" s="36">
        <v>-3.25</v>
      </c>
      <c r="DP36" s="36">
        <v>-1</v>
      </c>
      <c r="DQ36" s="36"/>
      <c r="DR36" s="36">
        <v>3.67</v>
      </c>
      <c r="DS36" s="36"/>
      <c r="DT36" s="36"/>
      <c r="DU36" s="36"/>
      <c r="DV36" s="36"/>
      <c r="DW36" s="36"/>
      <c r="DX36" s="36"/>
      <c r="DY36" s="36"/>
      <c r="DZ36" s="36"/>
      <c r="EA36" s="36"/>
      <c r="EB36" s="36"/>
      <c r="EC36" s="36"/>
      <c r="ED36" s="36"/>
      <c r="EE36" s="36"/>
      <c r="EF36" s="36"/>
      <c r="EG36" s="36"/>
      <c r="EH36" s="36"/>
      <c r="EI36" s="36"/>
      <c r="EJ36" s="36">
        <v>-1.68</v>
      </c>
      <c r="EK36" s="36"/>
      <c r="EL36" s="36"/>
      <c r="EM36" s="36"/>
      <c r="EN36" s="36"/>
      <c r="EO36" s="36"/>
      <c r="EP36" s="36"/>
      <c r="EQ36" s="36"/>
      <c r="ER36" s="36"/>
      <c r="ES36" s="36">
        <v>-18.55</v>
      </c>
      <c r="ET36" s="36">
        <v>-0.03</v>
      </c>
      <c r="EU36" s="36"/>
      <c r="EV36" s="36"/>
      <c r="EW36" s="36"/>
      <c r="EX36" s="36"/>
      <c r="EY36" s="36"/>
      <c r="EZ36" s="36"/>
      <c r="FA36" s="36"/>
      <c r="FB36" s="36"/>
      <c r="FC36" s="36"/>
      <c r="FD36" s="36"/>
      <c r="FE36" s="36"/>
      <c r="FF36" s="36"/>
      <c r="FG36" s="36"/>
      <c r="FH36" s="36"/>
      <c r="FI36" s="36"/>
      <c r="FJ36" s="36"/>
      <c r="FK36" s="36"/>
      <c r="FL36" s="36"/>
      <c r="FM36" s="36"/>
      <c r="FN36" s="36"/>
      <c r="FO36" s="36"/>
      <c r="FP36" s="36"/>
      <c r="FQ36" s="36"/>
      <c r="FR36" s="36"/>
      <c r="FS36" s="36"/>
      <c r="FT36" s="36"/>
      <c r="FU36" s="36"/>
      <c r="FV36" s="36"/>
      <c r="FW36" s="36"/>
      <c r="FX36" s="36"/>
      <c r="FY36" s="36"/>
      <c r="FZ36" s="36"/>
      <c r="GA36" s="36"/>
      <c r="GB36" s="319"/>
      <c r="GC36" s="179">
        <f t="shared" si="0"/>
        <v>0.56930000000000003</v>
      </c>
      <c r="GD36" s="179">
        <f t="shared" si="1"/>
        <v>0.52959999999999996</v>
      </c>
      <c r="GE36" s="179">
        <f t="shared" si="2"/>
        <v>0</v>
      </c>
      <c r="GF36" s="179">
        <f t="shared" si="3"/>
        <v>0</v>
      </c>
      <c r="GG36" s="179">
        <f t="shared" si="4"/>
        <v>6.3895000000000007E-2</v>
      </c>
    </row>
    <row r="37" spans="1:190" x14ac:dyDescent="0.35">
      <c r="A37" s="5" t="s">
        <v>749</v>
      </c>
      <c r="B37" s="5" t="str">
        <f>IF(Technologies!B37&lt;&gt;0,Technologies!B37,"")</f>
        <v>Industrie</v>
      </c>
      <c r="C37" s="5" t="str">
        <f>VLOOKUP($A37,Technologies!$A$7:$H$576,3,FALSE)</f>
        <v>Final</v>
      </c>
      <c r="D37" s="5" t="str">
        <f>VLOOKUP($A37,Technologies!$A$7:$H$576,4,FALSE)</f>
        <v>Industry</v>
      </c>
      <c r="E37" s="5" t="str">
        <f>VLOOKUP($A37,Technologies!$A$7:$H$576,6,FALSE)</f>
        <v>Steel production - Basic Metals Industry</v>
      </c>
      <c r="F37" s="5" t="str">
        <f>VLOOKUP($A37,Technologies!$A$7:$H$576,7,FALSE)</f>
        <v>Blast furnace BOF with top gas recycling wCCUS (end-of-pipe) - Steel Production</v>
      </c>
      <c r="G37" s="23">
        <v>0.9</v>
      </c>
      <c r="H37" s="23"/>
      <c r="I37" s="104" cm="1">
        <f t="array" ref="I37">-SUMPRODUCT((Feedstocks!$C$4:$C$141=A37)*Feedstocks!$E$4:$E$141,Feedstocks!$F$4:$F$141,Feedstocks!$H$4:$H$141,Feedstocks!$I$4:$I$141)</f>
        <v>6.3895000000000007E-2</v>
      </c>
      <c r="J37" s="104" cm="1">
        <f t="array" ref="J37">-SUMPRODUCT((Feedstocks!$C$4:$C$141=A37)*Feedstocks!$E$4:$E$141,Feedstocks!$H$4:$H$141,Feedstocks!$I$4:$I$141)</f>
        <v>6.3895000000000007E-2</v>
      </c>
      <c r="K37" s="210">
        <v>0.185</v>
      </c>
      <c r="L37" s="104"/>
      <c r="M37" s="23">
        <v>1</v>
      </c>
      <c r="N37" s="23" t="str">
        <f>VLOOKUP(E37,Activities!$A$9:$M$227,13,FALSE)</f>
        <v>NL</v>
      </c>
      <c r="O37" s="23"/>
      <c r="P37" s="79" t="s">
        <v>1810</v>
      </c>
      <c r="Q37" s="35"/>
      <c r="R37" s="35"/>
      <c r="S37" s="35"/>
      <c r="T37" s="35"/>
      <c r="U37" s="35"/>
      <c r="V37" s="35"/>
      <c r="W37" s="35"/>
      <c r="X37" s="35"/>
      <c r="Y37" s="35"/>
      <c r="Z37" s="35">
        <v>1</v>
      </c>
      <c r="AA37" s="35"/>
      <c r="AB37" s="35"/>
      <c r="AC37" s="35"/>
      <c r="AD37" s="35"/>
      <c r="AE37" s="35"/>
      <c r="AF37" s="35"/>
      <c r="AG37" s="35"/>
      <c r="AH37" s="35"/>
      <c r="AI37" s="35"/>
      <c r="AJ37" s="35"/>
      <c r="AK37" s="35"/>
      <c r="AL37" s="35"/>
      <c r="AM37" s="35"/>
      <c r="AN37" s="35"/>
      <c r="AO37" s="35"/>
      <c r="AP37" s="35"/>
      <c r="AQ37" s="35"/>
      <c r="AR37" s="35"/>
      <c r="AS37" s="35"/>
      <c r="AT37" s="35"/>
      <c r="AU37" s="35"/>
      <c r="AV37" s="35"/>
      <c r="AW37" s="35"/>
      <c r="AX37" s="35"/>
      <c r="AY37" s="35"/>
      <c r="AZ37" s="35"/>
      <c r="BA37" s="35"/>
      <c r="BB37" s="35"/>
      <c r="BC37" s="35"/>
      <c r="BD37" s="35"/>
      <c r="BE37" s="35"/>
      <c r="BF37" s="35"/>
      <c r="BG37" s="35"/>
      <c r="BH37" s="35"/>
      <c r="BI37" s="35"/>
      <c r="BJ37" s="35"/>
      <c r="BK37" s="35"/>
      <c r="BL37" s="35"/>
      <c r="BM37" s="35"/>
      <c r="BN37" s="35"/>
      <c r="BO37" s="35"/>
      <c r="BP37" s="35"/>
      <c r="BQ37" s="35"/>
      <c r="BR37" s="35"/>
      <c r="BS37" s="35"/>
      <c r="BT37" s="35"/>
      <c r="BU37" s="35"/>
      <c r="BV37" s="35"/>
      <c r="BW37" s="35"/>
      <c r="BX37" s="35"/>
      <c r="BY37" s="35"/>
      <c r="BZ37" s="35"/>
      <c r="CA37" s="35"/>
      <c r="CB37" s="35"/>
      <c r="CC37" s="35"/>
      <c r="CD37" s="35"/>
      <c r="CE37" s="35"/>
      <c r="CF37" s="35"/>
      <c r="CG37" s="35"/>
      <c r="CH37" s="35"/>
      <c r="CI37" s="35"/>
      <c r="CJ37" s="35"/>
      <c r="CK37" s="35"/>
      <c r="CL37" s="35"/>
      <c r="CM37" s="35"/>
      <c r="CN37" s="35"/>
      <c r="CO37" s="35"/>
      <c r="CP37" s="35"/>
      <c r="CQ37" s="35">
        <f>-(0.56+0.75)</f>
        <v>-1.31</v>
      </c>
      <c r="CR37" s="35">
        <f>-(8.51+24.11)/10^3+-0.12+-9.93/10^6</f>
        <v>-0.15262992999999997</v>
      </c>
      <c r="CS37" s="35"/>
      <c r="CT37" s="35"/>
      <c r="CU37" s="35"/>
      <c r="CV37" s="35"/>
      <c r="CW37" s="35"/>
      <c r="CX37" s="35"/>
      <c r="CY37" s="35"/>
      <c r="CZ37" s="35"/>
      <c r="DA37" s="35"/>
      <c r="DB37" s="35"/>
      <c r="DC37" s="35"/>
      <c r="DD37" s="35"/>
      <c r="DE37" s="35"/>
      <c r="DF37" s="35"/>
      <c r="DG37" s="35"/>
      <c r="DH37" s="35">
        <v>-1.88</v>
      </c>
      <c r="DI37" s="35"/>
      <c r="DJ37" s="35"/>
      <c r="DK37" s="35"/>
      <c r="DL37" s="35"/>
      <c r="DM37" s="35"/>
      <c r="DN37" s="35"/>
      <c r="DO37" s="35">
        <v>-3.25</v>
      </c>
      <c r="DP37" s="35">
        <v>-1</v>
      </c>
      <c r="DQ37" s="35"/>
      <c r="DR37" s="35"/>
      <c r="DS37" s="35"/>
      <c r="DT37" s="35"/>
      <c r="DU37" s="35"/>
      <c r="DV37" s="35"/>
      <c r="DW37" s="35"/>
      <c r="DX37" s="35"/>
      <c r="DY37" s="35"/>
      <c r="DZ37" s="35"/>
      <c r="EA37" s="35"/>
      <c r="EB37" s="35"/>
      <c r="EC37" s="35"/>
      <c r="ED37" s="35"/>
      <c r="EE37" s="35"/>
      <c r="EF37" s="35"/>
      <c r="EG37" s="35"/>
      <c r="EH37" s="35"/>
      <c r="EI37" s="35"/>
      <c r="EJ37" s="35">
        <v>-1.27</v>
      </c>
      <c r="EK37" s="35"/>
      <c r="EL37" s="35"/>
      <c r="EM37" s="35"/>
      <c r="EN37" s="35"/>
      <c r="EO37" s="35"/>
      <c r="EP37" s="35"/>
      <c r="EQ37" s="35"/>
      <c r="ER37" s="35"/>
      <c r="ES37" s="35">
        <v>-15.87</v>
      </c>
      <c r="ET37" s="35"/>
      <c r="EU37" s="35"/>
      <c r="EV37" s="35"/>
      <c r="EW37" s="35"/>
      <c r="EX37" s="35"/>
      <c r="EY37" s="35"/>
      <c r="EZ37" s="35"/>
      <c r="FA37" s="35"/>
      <c r="FB37" s="35"/>
      <c r="FC37" s="35"/>
      <c r="FD37" s="35"/>
      <c r="FE37" s="35"/>
      <c r="FF37" s="35"/>
      <c r="FG37" s="35"/>
      <c r="FH37" s="35"/>
      <c r="FI37" s="35"/>
      <c r="FJ37" s="35"/>
      <c r="FK37" s="35"/>
      <c r="FL37" s="35"/>
      <c r="FM37" s="35"/>
      <c r="FN37" s="35"/>
      <c r="FO37" s="35"/>
      <c r="FP37" s="35"/>
      <c r="FQ37" s="35"/>
      <c r="FR37" s="35"/>
      <c r="FS37" s="35"/>
      <c r="FT37" s="35"/>
      <c r="FU37" s="35"/>
      <c r="FV37" s="35"/>
      <c r="FW37" s="35"/>
      <c r="FX37" s="35"/>
      <c r="FY37" s="35"/>
      <c r="FZ37" s="35"/>
      <c r="GA37" s="35"/>
      <c r="GB37" s="318"/>
      <c r="GC37" s="178">
        <f t="shared" si="0"/>
        <v>1.4112</v>
      </c>
      <c r="GD37" s="178">
        <f t="shared" si="1"/>
        <v>0.34179999999999999</v>
      </c>
      <c r="GE37" s="178">
        <f t="shared" si="2"/>
        <v>0</v>
      </c>
      <c r="GF37" s="178">
        <f t="shared" si="3"/>
        <v>0</v>
      </c>
      <c r="GG37" s="178">
        <f t="shared" si="4"/>
        <v>6.3895000000000007E-2</v>
      </c>
    </row>
    <row r="38" spans="1:190" x14ac:dyDescent="0.35">
      <c r="A38" s="6" t="s">
        <v>751</v>
      </c>
      <c r="B38" s="6" t="str">
        <f>IF(Technologies!B38&lt;&gt;0,Technologies!B38,"")</f>
        <v>Industrie</v>
      </c>
      <c r="C38" s="6" t="str">
        <f>VLOOKUP($A38,Technologies!$A$7:$H$576,3,FALSE)</f>
        <v>Final</v>
      </c>
      <c r="D38" s="6" t="str">
        <f>VLOOKUP($A38,Technologies!$A$7:$H$576,4,FALSE)</f>
        <v>Industry</v>
      </c>
      <c r="E38" s="6" t="str">
        <f>VLOOKUP($A38,Technologies!$A$7:$H$576,6,FALSE)</f>
        <v>Steel production - Basic Metals Industry</v>
      </c>
      <c r="F38" s="48" t="str">
        <f>VLOOKUP($A38,Technologies!$A$7:$H$576,7,FALSE)</f>
        <v>Hisarna - Steel Production</v>
      </c>
      <c r="G38" s="22"/>
      <c r="H38" s="22"/>
      <c r="I38" s="103" cm="1">
        <f t="array" ref="I38">-SUMPRODUCT((Feedstocks!$C$4:$C$141=A38)*Feedstocks!$E$4:$E$141,Feedstocks!$F$4:$F$141,Feedstocks!$H$4:$H$141,Feedstocks!$I$4:$I$141)</f>
        <v>6.3895000000000007E-2</v>
      </c>
      <c r="J38" s="103" cm="1">
        <f t="array" ref="J38">-SUMPRODUCT((Feedstocks!$C$4:$C$141=A38)*Feedstocks!$E$4:$E$141,Feedstocks!$H$4:$H$141,Feedstocks!$I$4:$I$141)</f>
        <v>6.3895000000000007E-2</v>
      </c>
      <c r="K38" s="210">
        <v>0.14299999999999999</v>
      </c>
      <c r="L38" s="103"/>
      <c r="M38" s="22">
        <v>1</v>
      </c>
      <c r="N38" s="22" t="str">
        <f>VLOOKUP(E38,Activities!$A$9:$M$227,13,FALSE)</f>
        <v>NL</v>
      </c>
      <c r="O38" s="22"/>
      <c r="P38" s="80" t="s">
        <v>1810</v>
      </c>
      <c r="Q38" s="36"/>
      <c r="R38" s="36"/>
      <c r="S38" s="36"/>
      <c r="T38" s="36"/>
      <c r="U38" s="36"/>
      <c r="V38" s="36"/>
      <c r="W38" s="36"/>
      <c r="X38" s="36"/>
      <c r="Y38" s="36"/>
      <c r="Z38" s="36">
        <v>1</v>
      </c>
      <c r="AA38" s="36"/>
      <c r="AB38" s="36"/>
      <c r="AC38" s="36"/>
      <c r="AD38" s="36"/>
      <c r="AE38" s="36"/>
      <c r="AF38" s="36"/>
      <c r="AG38" s="36"/>
      <c r="AH38" s="36"/>
      <c r="AI38" s="36"/>
      <c r="AJ38" s="36"/>
      <c r="AK38" s="36"/>
      <c r="AL38" s="36"/>
      <c r="AM38" s="36"/>
      <c r="AN38" s="36"/>
      <c r="AO38" s="36"/>
      <c r="AP38" s="36"/>
      <c r="AQ38" s="36"/>
      <c r="AR38" s="36"/>
      <c r="AS38" s="36"/>
      <c r="AT38" s="36"/>
      <c r="AU38" s="36"/>
      <c r="AV38" s="36"/>
      <c r="AW38" s="36"/>
      <c r="AX38" s="36"/>
      <c r="AY38" s="36"/>
      <c r="AZ38" s="36"/>
      <c r="BA38" s="36"/>
      <c r="BB38" s="36"/>
      <c r="BC38" s="36"/>
      <c r="BD38" s="36"/>
      <c r="BE38" s="36"/>
      <c r="BF38" s="36"/>
      <c r="BG38" s="36"/>
      <c r="BH38" s="36"/>
      <c r="BI38" s="36"/>
      <c r="BJ38" s="36"/>
      <c r="BK38" s="36"/>
      <c r="BL38" s="36"/>
      <c r="BM38" s="36"/>
      <c r="BN38" s="36"/>
      <c r="BO38" s="36"/>
      <c r="BP38" s="36"/>
      <c r="BQ38" s="36"/>
      <c r="BR38" s="36"/>
      <c r="BS38" s="36"/>
      <c r="BT38" s="36"/>
      <c r="BU38" s="36"/>
      <c r="BV38" s="36"/>
      <c r="BW38" s="36"/>
      <c r="BX38" s="36"/>
      <c r="BY38" s="36"/>
      <c r="BZ38" s="36"/>
      <c r="CA38" s="36"/>
      <c r="CB38" s="36"/>
      <c r="CC38" s="36"/>
      <c r="CD38" s="36"/>
      <c r="CE38" s="36"/>
      <c r="CF38" s="36"/>
      <c r="CG38" s="36"/>
      <c r="CH38" s="36"/>
      <c r="CI38" s="36"/>
      <c r="CJ38" s="36"/>
      <c r="CK38" s="36"/>
      <c r="CL38" s="36"/>
      <c r="CM38" s="36"/>
      <c r="CN38" s="36"/>
      <c r="CO38" s="36"/>
      <c r="CP38" s="36"/>
      <c r="CQ38" s="35">
        <f>-1.42</f>
        <v>-1.42</v>
      </c>
      <c r="CR38" s="35">
        <f>-(8.51)/10^3</f>
        <v>-8.5100000000000002E-3</v>
      </c>
      <c r="CS38" s="36"/>
      <c r="CT38" s="36"/>
      <c r="CU38" s="36"/>
      <c r="CV38" s="36"/>
      <c r="CW38" s="36"/>
      <c r="CX38" s="36"/>
      <c r="CY38" s="36"/>
      <c r="CZ38" s="36"/>
      <c r="DA38" s="36"/>
      <c r="DB38" s="36"/>
      <c r="DC38" s="36"/>
      <c r="DD38" s="36"/>
      <c r="DE38" s="36"/>
      <c r="DF38" s="36"/>
      <c r="DG38" s="36"/>
      <c r="DH38" s="36">
        <v>-0.95</v>
      </c>
      <c r="DI38" s="36"/>
      <c r="DJ38" s="36"/>
      <c r="DK38" s="36"/>
      <c r="DL38" s="36"/>
      <c r="DM38" s="36"/>
      <c r="DN38" s="36"/>
      <c r="DO38" s="36"/>
      <c r="DP38" s="36"/>
      <c r="DQ38" s="36"/>
      <c r="DR38" s="36"/>
      <c r="DS38" s="36"/>
      <c r="DT38" s="36"/>
      <c r="DU38" s="36"/>
      <c r="DV38" s="36"/>
      <c r="DW38" s="36"/>
      <c r="DX38" s="36"/>
      <c r="DY38" s="36"/>
      <c r="DZ38" s="36"/>
      <c r="EA38" s="36"/>
      <c r="EB38" s="36"/>
      <c r="EC38" s="36"/>
      <c r="ED38" s="36"/>
      <c r="EE38" s="36"/>
      <c r="EF38" s="36"/>
      <c r="EG38" s="36"/>
      <c r="EH38" s="36"/>
      <c r="EI38" s="36"/>
      <c r="EJ38" s="36">
        <v>-0.95</v>
      </c>
      <c r="EK38" s="36"/>
      <c r="EL38" s="36"/>
      <c r="EM38" s="36"/>
      <c r="EN38" s="36"/>
      <c r="EO38" s="36"/>
      <c r="EP38" s="36"/>
      <c r="EQ38" s="36"/>
      <c r="ER38" s="36"/>
      <c r="ES38" s="36">
        <v>-12.7</v>
      </c>
      <c r="ET38" s="36"/>
      <c r="EU38" s="36"/>
      <c r="EV38" s="36"/>
      <c r="EW38" s="36"/>
      <c r="EX38" s="36"/>
      <c r="EY38" s="36"/>
      <c r="EZ38" s="36"/>
      <c r="FA38" s="36"/>
      <c r="FB38" s="36"/>
      <c r="FC38" s="36"/>
      <c r="FD38" s="36"/>
      <c r="FE38" s="36"/>
      <c r="FF38" s="36"/>
      <c r="FG38" s="36"/>
      <c r="FH38" s="36"/>
      <c r="FI38" s="36"/>
      <c r="FJ38" s="36"/>
      <c r="FK38" s="36"/>
      <c r="FL38" s="36"/>
      <c r="FM38" s="36"/>
      <c r="FN38" s="36"/>
      <c r="FO38" s="36"/>
      <c r="FP38" s="36"/>
      <c r="FQ38" s="36"/>
      <c r="FR38" s="36"/>
      <c r="FS38" s="36"/>
      <c r="FT38" s="36"/>
      <c r="FU38" s="36"/>
      <c r="FV38" s="36"/>
      <c r="FW38" s="36"/>
      <c r="FX38" s="36"/>
      <c r="FY38" s="36"/>
      <c r="FZ38" s="36"/>
      <c r="GA38" s="36"/>
      <c r="GB38" s="319"/>
      <c r="GC38" s="179">
        <f t="shared" si="0"/>
        <v>0</v>
      </c>
      <c r="GD38" s="179">
        <f t="shared" si="1"/>
        <v>1.3813</v>
      </c>
      <c r="GE38" s="179">
        <f t="shared" si="2"/>
        <v>0</v>
      </c>
      <c r="GF38" s="179">
        <f t="shared" si="3"/>
        <v>0</v>
      </c>
      <c r="GG38" s="179">
        <f t="shared" si="4"/>
        <v>6.3895000000000007E-2</v>
      </c>
    </row>
    <row r="39" spans="1:190" x14ac:dyDescent="0.35">
      <c r="A39" s="5" t="s">
        <v>753</v>
      </c>
      <c r="B39" s="5" t="str">
        <f>IF(Technologies!B39&lt;&gt;0,Technologies!B39,"")</f>
        <v>Industrie</v>
      </c>
      <c r="C39" s="5" t="str">
        <f>VLOOKUP($A39,Technologies!$A$7:$H$576,3,FALSE)</f>
        <v>Final</v>
      </c>
      <c r="D39" s="5" t="str">
        <f>VLOOKUP($A39,Technologies!$A$7:$H$576,4,FALSE)</f>
        <v>Industry</v>
      </c>
      <c r="E39" s="5" t="str">
        <f>VLOOKUP($A39,Technologies!$A$7:$H$576,6,FALSE)</f>
        <v>Steel production - Basic Metals Industry</v>
      </c>
      <c r="F39" s="5" t="str">
        <f>VLOOKUP($A39,Technologies!$A$7:$H$576,7,FALSE)</f>
        <v>Hisarna wCCUS (cryogenic) - Steel Production</v>
      </c>
      <c r="G39" s="23">
        <v>0.9</v>
      </c>
      <c r="H39" s="23"/>
      <c r="I39" s="104" cm="1">
        <f t="array" ref="I39">-SUMPRODUCT((Feedstocks!$C$4:$C$141=A39)*Feedstocks!$E$4:$E$141,Feedstocks!$F$4:$F$141,Feedstocks!$H$4:$H$141,Feedstocks!$I$4:$I$141)</f>
        <v>6.3895000000000007E-2</v>
      </c>
      <c r="J39" s="104" cm="1">
        <f t="array" ref="J39">-SUMPRODUCT((Feedstocks!$C$4:$C$141=A39)*Feedstocks!$E$4:$E$141,Feedstocks!$H$4:$H$141,Feedstocks!$I$4:$I$141)</f>
        <v>6.3895000000000007E-2</v>
      </c>
      <c r="K39" s="210">
        <v>0.14299999999999999</v>
      </c>
      <c r="L39" s="104"/>
      <c r="M39" s="23">
        <v>1</v>
      </c>
      <c r="N39" s="23" t="str">
        <f>VLOOKUP(E39,Activities!$A$9:$M$227,13,FALSE)</f>
        <v>NL</v>
      </c>
      <c r="O39" s="23"/>
      <c r="P39" s="79" t="s">
        <v>1810</v>
      </c>
      <c r="Q39" s="35"/>
      <c r="R39" s="35"/>
      <c r="S39" s="35"/>
      <c r="T39" s="35"/>
      <c r="U39" s="35"/>
      <c r="V39" s="35"/>
      <c r="W39" s="35"/>
      <c r="X39" s="35"/>
      <c r="Y39" s="35"/>
      <c r="Z39" s="35">
        <v>1</v>
      </c>
      <c r="AA39" s="35"/>
      <c r="AB39" s="35"/>
      <c r="AC39" s="35"/>
      <c r="AD39" s="35"/>
      <c r="AE39" s="35"/>
      <c r="AF39" s="35"/>
      <c r="AG39" s="35"/>
      <c r="AH39" s="35"/>
      <c r="AI39" s="35"/>
      <c r="AJ39" s="35"/>
      <c r="AK39" s="35"/>
      <c r="AL39" s="35"/>
      <c r="AM39" s="35"/>
      <c r="AN39" s="35"/>
      <c r="AO39" s="35"/>
      <c r="AP39" s="35"/>
      <c r="AQ39" s="35"/>
      <c r="AR39" s="35"/>
      <c r="AS39" s="35"/>
      <c r="AT39" s="35"/>
      <c r="AU39" s="35"/>
      <c r="AV39" s="35"/>
      <c r="AW39" s="35"/>
      <c r="AX39" s="35"/>
      <c r="AY39" s="35"/>
      <c r="AZ39" s="35"/>
      <c r="BA39" s="35"/>
      <c r="BB39" s="35"/>
      <c r="BC39" s="35"/>
      <c r="BD39" s="35"/>
      <c r="BE39" s="35"/>
      <c r="BF39" s="35"/>
      <c r="BG39" s="35"/>
      <c r="BH39" s="35"/>
      <c r="BI39" s="35"/>
      <c r="BJ39" s="35"/>
      <c r="BK39" s="35"/>
      <c r="BL39" s="35"/>
      <c r="BM39" s="35"/>
      <c r="BN39" s="35"/>
      <c r="BO39" s="35"/>
      <c r="BP39" s="35"/>
      <c r="BQ39" s="35"/>
      <c r="BR39" s="35"/>
      <c r="BS39" s="35"/>
      <c r="BT39" s="35"/>
      <c r="BU39" s="35"/>
      <c r="BV39" s="35"/>
      <c r="BW39" s="35"/>
      <c r="BX39" s="35"/>
      <c r="BY39" s="35"/>
      <c r="BZ39" s="35"/>
      <c r="CA39" s="35"/>
      <c r="CB39" s="35"/>
      <c r="CC39" s="35"/>
      <c r="CD39" s="35"/>
      <c r="CE39" s="35"/>
      <c r="CF39" s="35"/>
      <c r="CG39" s="35"/>
      <c r="CH39" s="35"/>
      <c r="CI39" s="35"/>
      <c r="CJ39" s="35"/>
      <c r="CK39" s="35"/>
      <c r="CL39" s="35"/>
      <c r="CM39" s="35"/>
      <c r="CN39" s="35"/>
      <c r="CO39" s="35"/>
      <c r="CP39" s="35"/>
      <c r="CQ39" s="35">
        <f>-1.42</f>
        <v>-1.42</v>
      </c>
      <c r="CR39" s="35">
        <f>-(8.51)/10^3</f>
        <v>-8.5100000000000002E-3</v>
      </c>
      <c r="CS39" s="35"/>
      <c r="CT39" s="35"/>
      <c r="CU39" s="35"/>
      <c r="CV39" s="35"/>
      <c r="CW39" s="35"/>
      <c r="CX39" s="35"/>
      <c r="CY39" s="35"/>
      <c r="CZ39" s="35"/>
      <c r="DA39" s="35"/>
      <c r="DB39" s="35"/>
      <c r="DC39" s="35"/>
      <c r="DD39" s="35"/>
      <c r="DE39" s="35"/>
      <c r="DF39" s="35"/>
      <c r="DG39" s="35"/>
      <c r="DH39" s="35">
        <v>-1.7</v>
      </c>
      <c r="DI39" s="35"/>
      <c r="DJ39" s="35"/>
      <c r="DK39" s="35"/>
      <c r="DL39" s="35"/>
      <c r="DM39" s="35"/>
      <c r="DN39" s="35"/>
      <c r="DO39" s="35"/>
      <c r="DP39" s="35"/>
      <c r="DQ39" s="35"/>
      <c r="DR39" s="35"/>
      <c r="DS39" s="35"/>
      <c r="DT39" s="35"/>
      <c r="DU39" s="35"/>
      <c r="DV39" s="35"/>
      <c r="DW39" s="35"/>
      <c r="DX39" s="35"/>
      <c r="DY39" s="35"/>
      <c r="DZ39" s="35"/>
      <c r="EA39" s="35"/>
      <c r="EB39" s="35"/>
      <c r="EC39" s="35"/>
      <c r="ED39" s="35"/>
      <c r="EE39" s="35"/>
      <c r="EF39" s="35"/>
      <c r="EG39" s="35"/>
      <c r="EH39" s="35"/>
      <c r="EI39" s="35"/>
      <c r="EJ39" s="35">
        <v>-0.95</v>
      </c>
      <c r="EK39" s="35"/>
      <c r="EL39" s="35"/>
      <c r="EM39" s="35"/>
      <c r="EN39" s="35"/>
      <c r="EO39" s="35"/>
      <c r="EP39" s="35"/>
      <c r="EQ39" s="35"/>
      <c r="ER39" s="35"/>
      <c r="ES39" s="35">
        <v>-12.7</v>
      </c>
      <c r="ET39" s="35"/>
      <c r="EU39" s="35"/>
      <c r="EV39" s="35"/>
      <c r="EW39" s="35"/>
      <c r="EX39" s="35"/>
      <c r="EY39" s="35"/>
      <c r="EZ39" s="35"/>
      <c r="FA39" s="35"/>
      <c r="FB39" s="35"/>
      <c r="FC39" s="35"/>
      <c r="FD39" s="35"/>
      <c r="FE39" s="35"/>
      <c r="FF39" s="35"/>
      <c r="FG39" s="35"/>
      <c r="FH39" s="35"/>
      <c r="FI39" s="35"/>
      <c r="FJ39" s="35"/>
      <c r="FK39" s="35"/>
      <c r="FL39" s="35"/>
      <c r="FM39" s="35"/>
      <c r="FN39" s="35"/>
      <c r="FO39" s="35"/>
      <c r="FP39" s="35"/>
      <c r="FQ39" s="35"/>
      <c r="FR39" s="35"/>
      <c r="FS39" s="35"/>
      <c r="FT39" s="35"/>
      <c r="FU39" s="35"/>
      <c r="FV39" s="35"/>
      <c r="FW39" s="35"/>
      <c r="FX39" s="35"/>
      <c r="FY39" s="35"/>
      <c r="FZ39" s="35"/>
      <c r="GA39" s="35"/>
      <c r="GB39" s="318"/>
      <c r="GC39" s="178">
        <f t="shared" ref="GC39:GC70" si="5">ROUND(IF($C39="Primary",0,-$G39*(SUMPRODUCT($Q$4:$GA$4,$Q39:$GA39)+$J39)-$H39)*IF($N39=GC$4,1,0),4)</f>
        <v>1.1145</v>
      </c>
      <c r="GD39" s="178">
        <f t="shared" ref="GD39:GD70" si="6">ROUND(IF($C39="Primary",0,$M39*(1-$O39)*($G39*(SUMPRODUCT($Q$4:$GA$4,$Q39:$GA39)+$J39)+$H39-SUMPRODUCT($Q$5:$GA$5,$Q39:$GA39)-$I39+$K39))*IF($N39=GD$4,1,0),4)</f>
        <v>0.26679999999999998</v>
      </c>
      <c r="GE39" s="178">
        <f t="shared" ref="GE39:GE70" si="7">ROUND(IF($C39="Primary",0,(1-$M39)*(1-$O39)*($G39*(SUMPRODUCT($Q$4:$GA$4,$Q39:$GA39)+$J39)+$H39-SUMPRODUCT($Q$5:$GA$5,$Q39:$GA39)-$I39+$L39))*IF($N39=GD$4,1,0),4)</f>
        <v>0</v>
      </c>
      <c r="GF39" s="178">
        <f t="shared" ref="GF39:GF70" si="8">ROUND(IF($C39="Primary",0,$O39*($G39*(SUMPRODUCT($Q$4:$GA$4,$Q39:$GA39)+$J39)-SUMPRODUCT($Q$5:$GA$5,$Q39:$GA39)-$I39))*IF($N39=GD$4,1,0),4)</f>
        <v>0</v>
      </c>
      <c r="GG39" s="178">
        <f t="shared" si="4"/>
        <v>6.3895000000000007E-2</v>
      </c>
    </row>
    <row r="40" spans="1:190" x14ac:dyDescent="0.35">
      <c r="A40" s="6" t="s">
        <v>755</v>
      </c>
      <c r="B40" s="6" t="str">
        <f>IF(Technologies!B40&lt;&gt;0,Technologies!B40,"")</f>
        <v>Industrie</v>
      </c>
      <c r="C40" s="6" t="str">
        <f>VLOOKUP($A40,Technologies!$A$7:$H$576,3,FALSE)</f>
        <v>Final</v>
      </c>
      <c r="D40" s="6" t="str">
        <f>VLOOKUP($A40,Technologies!$A$7:$H$576,4,FALSE)</f>
        <v>Industry</v>
      </c>
      <c r="E40" s="6" t="str">
        <f>VLOOKUP($A40,Technologies!$A$7:$H$576,6,FALSE)</f>
        <v>Steel production - Basic Metals Industry</v>
      </c>
      <c r="F40" s="48" t="str">
        <f>VLOOKUP($A40,Technologies!$A$7:$H$576,7,FALSE)</f>
        <v>Hisarna biomass wCCUS (cryogenic) - Steel Production</v>
      </c>
      <c r="G40" s="22">
        <v>0.9</v>
      </c>
      <c r="H40" s="22"/>
      <c r="I40" s="103" cm="1">
        <f t="array" ref="I40">-SUMPRODUCT((Feedstocks!$C$4:$C$141=A40)*Feedstocks!$E$4:$E$141,Feedstocks!$F$4:$F$141,Feedstocks!$H$4:$H$141,Feedstocks!$I$4:$I$141)</f>
        <v>0</v>
      </c>
      <c r="J40" s="103" cm="1">
        <f t="array" ref="J40">-SUMPRODUCT((Feedstocks!$C$4:$C$141=A40)*Feedstocks!$E$4:$E$141,Feedstocks!$H$4:$H$141,Feedstocks!$I$4:$I$141)</f>
        <v>7.6719999999999997E-2</v>
      </c>
      <c r="K40" s="210">
        <v>0.14299999999999999</v>
      </c>
      <c r="L40" s="103"/>
      <c r="M40" s="22">
        <v>1</v>
      </c>
      <c r="N40" s="22" t="str">
        <f>VLOOKUP(E40,Activities!$A$9:$M$227,13,FALSE)</f>
        <v>NL</v>
      </c>
      <c r="O40" s="22"/>
      <c r="P40" s="80" t="s">
        <v>1810</v>
      </c>
      <c r="Q40" s="36"/>
      <c r="R40" s="36"/>
      <c r="S40" s="36"/>
      <c r="T40" s="36"/>
      <c r="U40" s="36"/>
      <c r="V40" s="36"/>
      <c r="W40" s="36"/>
      <c r="X40" s="36"/>
      <c r="Y40" s="36"/>
      <c r="Z40" s="36">
        <v>1</v>
      </c>
      <c r="AA40" s="36"/>
      <c r="AB40" s="36"/>
      <c r="AC40" s="36"/>
      <c r="AD40" s="36"/>
      <c r="AE40" s="36"/>
      <c r="AF40" s="36"/>
      <c r="AG40" s="36"/>
      <c r="AH40" s="36"/>
      <c r="AI40" s="36"/>
      <c r="AJ40" s="36"/>
      <c r="AK40" s="36"/>
      <c r="AL40" s="36"/>
      <c r="AM40" s="36"/>
      <c r="AN40" s="36"/>
      <c r="AO40" s="36"/>
      <c r="AP40" s="36"/>
      <c r="AQ40" s="36"/>
      <c r="AR40" s="36"/>
      <c r="AS40" s="36"/>
      <c r="AT40" s="36"/>
      <c r="AU40" s="36"/>
      <c r="AV40" s="36"/>
      <c r="AW40" s="36"/>
      <c r="AX40" s="36"/>
      <c r="AY40" s="36"/>
      <c r="AZ40" s="36"/>
      <c r="BA40" s="36"/>
      <c r="BB40" s="36"/>
      <c r="BC40" s="36"/>
      <c r="BD40" s="36"/>
      <c r="BE40" s="36"/>
      <c r="BF40" s="36"/>
      <c r="BG40" s="36"/>
      <c r="BH40" s="36"/>
      <c r="BI40" s="36"/>
      <c r="BJ40" s="36"/>
      <c r="BK40" s="36"/>
      <c r="BL40" s="36"/>
      <c r="BM40" s="36"/>
      <c r="BN40" s="36"/>
      <c r="BO40" s="36"/>
      <c r="BP40" s="36"/>
      <c r="BQ40" s="36"/>
      <c r="BR40" s="36"/>
      <c r="BS40" s="36"/>
      <c r="BT40" s="36"/>
      <c r="BU40" s="36"/>
      <c r="BV40" s="36"/>
      <c r="BW40" s="36"/>
      <c r="BX40" s="36"/>
      <c r="BY40" s="36"/>
      <c r="BZ40" s="36"/>
      <c r="CA40" s="36"/>
      <c r="CB40" s="36"/>
      <c r="CC40" s="36"/>
      <c r="CD40" s="36"/>
      <c r="CE40" s="36"/>
      <c r="CF40" s="36"/>
      <c r="CG40" s="36"/>
      <c r="CH40" s="36"/>
      <c r="CI40" s="36"/>
      <c r="CJ40" s="36"/>
      <c r="CK40" s="36"/>
      <c r="CL40" s="36"/>
      <c r="CM40" s="36"/>
      <c r="CN40" s="36"/>
      <c r="CO40" s="36"/>
      <c r="CP40" s="36"/>
      <c r="CQ40" s="35">
        <f>-1.42</f>
        <v>-1.42</v>
      </c>
      <c r="CR40" s="35">
        <f>-(8.51)/10^3</f>
        <v>-8.5100000000000002E-3</v>
      </c>
      <c r="CS40" s="36"/>
      <c r="CT40" s="36"/>
      <c r="CU40" s="36"/>
      <c r="CV40" s="36"/>
      <c r="CW40" s="36"/>
      <c r="CX40" s="36"/>
      <c r="CY40" s="36"/>
      <c r="CZ40" s="36"/>
      <c r="DA40" s="36"/>
      <c r="DB40" s="36"/>
      <c r="DC40" s="36"/>
      <c r="DD40" s="36"/>
      <c r="DE40" s="36"/>
      <c r="DF40" s="36"/>
      <c r="DG40" s="36"/>
      <c r="DH40" s="36">
        <v>-1.7</v>
      </c>
      <c r="DI40" s="36"/>
      <c r="DJ40" s="36"/>
      <c r="DK40" s="36"/>
      <c r="DL40" s="36"/>
      <c r="DM40" s="36"/>
      <c r="DN40" s="36"/>
      <c r="DO40" s="36"/>
      <c r="DP40" s="36"/>
      <c r="DQ40" s="36"/>
      <c r="DR40" s="36"/>
      <c r="DS40" s="36"/>
      <c r="DT40" s="36"/>
      <c r="DU40" s="36"/>
      <c r="DV40" s="36"/>
      <c r="DW40" s="36"/>
      <c r="DX40" s="36"/>
      <c r="DY40" s="36"/>
      <c r="DZ40" s="36"/>
      <c r="EA40" s="36"/>
      <c r="EB40" s="36"/>
      <c r="EC40" s="36"/>
      <c r="ED40" s="36"/>
      <c r="EE40" s="36"/>
      <c r="EF40" s="36"/>
      <c r="EG40" s="36"/>
      <c r="EH40" s="36"/>
      <c r="EI40" s="36"/>
      <c r="EJ40" s="36">
        <v>-0.95</v>
      </c>
      <c r="EK40" s="36"/>
      <c r="EL40" s="36"/>
      <c r="EM40" s="36"/>
      <c r="EN40" s="36"/>
      <c r="EO40" s="36"/>
      <c r="EP40" s="36"/>
      <c r="EQ40" s="36"/>
      <c r="ER40" s="36">
        <v>-15</v>
      </c>
      <c r="ES40" s="36"/>
      <c r="ET40" s="36"/>
      <c r="EU40" s="36"/>
      <c r="EV40" s="36"/>
      <c r="EW40" s="36"/>
      <c r="EX40" s="36"/>
      <c r="EY40" s="36"/>
      <c r="EZ40" s="36"/>
      <c r="FA40" s="36"/>
      <c r="FB40" s="36"/>
      <c r="FC40" s="36"/>
      <c r="FD40" s="36"/>
      <c r="FE40" s="36"/>
      <c r="FF40" s="36"/>
      <c r="FG40" s="36"/>
      <c r="FH40" s="36"/>
      <c r="FI40" s="36"/>
      <c r="FJ40" s="36"/>
      <c r="FK40" s="36"/>
      <c r="FL40" s="36"/>
      <c r="FM40" s="36"/>
      <c r="FN40" s="36"/>
      <c r="FO40" s="36"/>
      <c r="FP40" s="36"/>
      <c r="FQ40" s="36"/>
      <c r="FR40" s="36"/>
      <c r="FS40" s="36"/>
      <c r="FT40" s="36"/>
      <c r="FU40" s="36"/>
      <c r="FV40" s="36"/>
      <c r="FW40" s="36"/>
      <c r="FX40" s="36"/>
      <c r="FY40" s="36"/>
      <c r="FZ40" s="36"/>
      <c r="GA40" s="36"/>
      <c r="GB40" s="319">
        <f>GC40</f>
        <v>1.4589000000000001</v>
      </c>
      <c r="GC40" s="179">
        <f t="shared" si="5"/>
        <v>1.4589000000000001</v>
      </c>
      <c r="GD40" s="179">
        <f t="shared" si="6"/>
        <v>-1.2622</v>
      </c>
      <c r="GE40" s="179">
        <f t="shared" si="7"/>
        <v>0</v>
      </c>
      <c r="GF40" s="179">
        <f t="shared" si="8"/>
        <v>0</v>
      </c>
      <c r="GG40" s="179">
        <f t="shared" si="4"/>
        <v>0</v>
      </c>
      <c r="GH40" s="151"/>
    </row>
    <row r="41" spans="1:190" x14ac:dyDescent="0.35">
      <c r="A41" s="5" t="s">
        <v>757</v>
      </c>
      <c r="B41" s="5" t="str">
        <f>IF(Technologies!B41&lt;&gt;0,Technologies!B41,"")</f>
        <v>Industrie</v>
      </c>
      <c r="C41" s="5" t="str">
        <f>VLOOKUP($A41,Technologies!$A$7:$H$576,3,FALSE)</f>
        <v>Final</v>
      </c>
      <c r="D41" s="5" t="str">
        <f>VLOOKUP($A41,Technologies!$A$7:$H$576,4,FALSE)</f>
        <v>Industry</v>
      </c>
      <c r="E41" s="5" t="str">
        <f>VLOOKUP($A41,Technologies!$A$7:$H$576,6,FALSE)</f>
        <v>Steel production - Basic Metals Industry</v>
      </c>
      <c r="F41" s="5" t="str">
        <f>VLOOKUP($A41,Technologies!$A$7:$H$576,7,FALSE)</f>
        <v>Direct reduction from natural gas - Steel Production</v>
      </c>
      <c r="G41" s="23"/>
      <c r="H41" s="23"/>
      <c r="I41" s="104" cm="1">
        <f t="array" ref="I41">-SUMPRODUCT((Feedstocks!$C$4:$C$141=A41)*Feedstocks!$E$4:$E$141,Feedstocks!$F$4:$F$141,Feedstocks!$H$4:$H$141,Feedstocks!$I$4:$I$141)</f>
        <v>6.3895000000000007E-2</v>
      </c>
      <c r="J41" s="104" cm="1">
        <f t="array" ref="J41">-SUMPRODUCT((Feedstocks!$C$4:$C$141=A41)*Feedstocks!$E$4:$E$141,Feedstocks!$H$4:$H$141,Feedstocks!$I$4:$I$141)</f>
        <v>6.3895000000000007E-2</v>
      </c>
      <c r="K41" s="210">
        <v>0.02</v>
      </c>
      <c r="L41" s="104"/>
      <c r="M41" s="23">
        <v>1</v>
      </c>
      <c r="N41" s="23" t="str">
        <f>VLOOKUP(E41,Activities!$A$9:$M$227,13,FALSE)</f>
        <v>NL</v>
      </c>
      <c r="O41" s="23"/>
      <c r="P41" s="79" t="s">
        <v>1810</v>
      </c>
      <c r="Q41" s="35"/>
      <c r="R41" s="35"/>
      <c r="S41" s="35"/>
      <c r="T41" s="35"/>
      <c r="U41" s="35"/>
      <c r="V41" s="35"/>
      <c r="W41" s="35"/>
      <c r="X41" s="35"/>
      <c r="Y41" s="35"/>
      <c r="Z41" s="35">
        <v>1</v>
      </c>
      <c r="AA41" s="35"/>
      <c r="AB41" s="35"/>
      <c r="AC41" s="35"/>
      <c r="AD41" s="35"/>
      <c r="AE41" s="35"/>
      <c r="AF41" s="35"/>
      <c r="AG41" s="35"/>
      <c r="AH41" s="35"/>
      <c r="AI41" s="35"/>
      <c r="AJ41" s="35"/>
      <c r="AK41" s="35"/>
      <c r="AL41" s="35"/>
      <c r="AM41" s="35"/>
      <c r="AN41" s="35"/>
      <c r="AO41" s="35"/>
      <c r="AP41" s="35"/>
      <c r="AQ41" s="35"/>
      <c r="AR41" s="35"/>
      <c r="AS41" s="35"/>
      <c r="AT41" s="35"/>
      <c r="AU41" s="35"/>
      <c r="AV41" s="35"/>
      <c r="AW41" s="35"/>
      <c r="AX41" s="35"/>
      <c r="AY41" s="35"/>
      <c r="AZ41" s="35"/>
      <c r="BA41" s="35"/>
      <c r="BB41" s="35"/>
      <c r="BC41" s="35"/>
      <c r="BD41" s="35"/>
      <c r="BE41" s="35"/>
      <c r="BF41" s="35"/>
      <c r="BG41" s="35"/>
      <c r="BH41" s="35"/>
      <c r="BI41" s="35"/>
      <c r="BJ41" s="35"/>
      <c r="BK41" s="35"/>
      <c r="BL41" s="35"/>
      <c r="BM41" s="35"/>
      <c r="BN41" s="35"/>
      <c r="BO41" s="35"/>
      <c r="BP41" s="35"/>
      <c r="BQ41" s="35"/>
      <c r="BR41" s="35"/>
      <c r="BS41" s="35"/>
      <c r="BT41" s="35"/>
      <c r="BU41" s="35"/>
      <c r="BV41" s="35"/>
      <c r="BW41" s="35"/>
      <c r="BX41" s="35"/>
      <c r="BY41" s="35"/>
      <c r="BZ41" s="35"/>
      <c r="CA41" s="35"/>
      <c r="CB41" s="35"/>
      <c r="CC41" s="35"/>
      <c r="CD41" s="35"/>
      <c r="CE41" s="35"/>
      <c r="CF41" s="35"/>
      <c r="CG41" s="35"/>
      <c r="CH41" s="35"/>
      <c r="CI41" s="35"/>
      <c r="CJ41" s="35"/>
      <c r="CK41" s="35"/>
      <c r="CL41" s="35"/>
      <c r="CM41" s="35"/>
      <c r="CN41" s="35"/>
      <c r="CO41" s="35"/>
      <c r="CP41" s="35"/>
      <c r="CQ41" s="35">
        <f>-1.4</f>
        <v>-1.4</v>
      </c>
      <c r="CR41" s="35">
        <f>-19.96/10^6+-0.07</f>
        <v>-7.0019960000000006E-2</v>
      </c>
      <c r="CS41" s="35"/>
      <c r="CT41" s="35"/>
      <c r="CU41" s="35"/>
      <c r="CV41" s="35"/>
      <c r="CW41" s="35"/>
      <c r="CX41" s="35"/>
      <c r="CY41" s="35"/>
      <c r="CZ41" s="35"/>
      <c r="DA41" s="35"/>
      <c r="DB41" s="35"/>
      <c r="DC41" s="35"/>
      <c r="DD41" s="35"/>
      <c r="DE41" s="35"/>
      <c r="DF41" s="35"/>
      <c r="DG41" s="35"/>
      <c r="DH41" s="35">
        <v>-2.94</v>
      </c>
      <c r="DI41" s="35"/>
      <c r="DJ41" s="35"/>
      <c r="DK41" s="35"/>
      <c r="DL41" s="35"/>
      <c r="DM41" s="35"/>
      <c r="DN41" s="35"/>
      <c r="DO41" s="35"/>
      <c r="DP41" s="35"/>
      <c r="DQ41" s="35"/>
      <c r="DR41" s="35"/>
      <c r="DS41" s="35"/>
      <c r="DT41" s="35"/>
      <c r="DU41" s="35"/>
      <c r="DV41" s="35"/>
      <c r="DW41" s="35"/>
      <c r="DX41" s="35"/>
      <c r="DY41" s="35"/>
      <c r="DZ41" s="35"/>
      <c r="EA41" s="35"/>
      <c r="EB41" s="35"/>
      <c r="EC41" s="35"/>
      <c r="ED41" s="35"/>
      <c r="EE41" s="35"/>
      <c r="EF41" s="35"/>
      <c r="EG41" s="35"/>
      <c r="EH41" s="35"/>
      <c r="EI41" s="35"/>
      <c r="EJ41" s="35">
        <v>-8.4</v>
      </c>
      <c r="EK41" s="35"/>
      <c r="EL41" s="35"/>
      <c r="EM41" s="35"/>
      <c r="EN41" s="35"/>
      <c r="EO41" s="35"/>
      <c r="EP41" s="35"/>
      <c r="EQ41" s="35"/>
      <c r="ER41" s="35"/>
      <c r="ES41" s="35">
        <v>-0.9</v>
      </c>
      <c r="ET41" s="35"/>
      <c r="EU41" s="35"/>
      <c r="EV41" s="35"/>
      <c r="EW41" s="35"/>
      <c r="EX41" s="35"/>
      <c r="EY41" s="35"/>
      <c r="EZ41" s="35"/>
      <c r="FA41" s="35"/>
      <c r="FB41" s="35"/>
      <c r="FC41" s="35"/>
      <c r="FD41" s="35"/>
      <c r="FE41" s="35"/>
      <c r="FF41" s="35"/>
      <c r="FG41" s="35"/>
      <c r="FH41" s="35"/>
      <c r="FI41" s="35"/>
      <c r="FJ41" s="35"/>
      <c r="FK41" s="35"/>
      <c r="FL41" s="35"/>
      <c r="FM41" s="35"/>
      <c r="FN41" s="35"/>
      <c r="FO41" s="35"/>
      <c r="FP41" s="35"/>
      <c r="FQ41" s="35"/>
      <c r="FR41" s="35"/>
      <c r="FS41" s="35"/>
      <c r="FT41" s="35"/>
      <c r="FU41" s="35"/>
      <c r="FV41" s="35"/>
      <c r="FW41" s="35"/>
      <c r="FX41" s="35"/>
      <c r="FY41" s="35"/>
      <c r="FZ41" s="35"/>
      <c r="GA41" s="35"/>
      <c r="GB41" s="318"/>
      <c r="GC41" s="178">
        <f t="shared" si="5"/>
        <v>0</v>
      </c>
      <c r="GD41" s="178">
        <f t="shared" si="6"/>
        <v>0.52</v>
      </c>
      <c r="GE41" s="178">
        <f t="shared" si="7"/>
        <v>0</v>
      </c>
      <c r="GF41" s="178">
        <f t="shared" si="8"/>
        <v>0</v>
      </c>
      <c r="GG41" s="178">
        <f t="shared" si="4"/>
        <v>6.3895000000000007E-2</v>
      </c>
    </row>
    <row r="42" spans="1:190" x14ac:dyDescent="0.35">
      <c r="A42" s="6" t="s">
        <v>759</v>
      </c>
      <c r="B42" s="6" t="str">
        <f>IF(Technologies!B42&lt;&gt;0,Technologies!B42,"")</f>
        <v>Industrie</v>
      </c>
      <c r="C42" s="6" t="str">
        <f>VLOOKUP($A42,Technologies!$A$7:$H$576,3,FALSE)</f>
        <v>Final</v>
      </c>
      <c r="D42" s="6" t="str">
        <f>VLOOKUP($A42,Technologies!$A$7:$H$576,4,FALSE)</f>
        <v>Industry</v>
      </c>
      <c r="E42" s="6" t="str">
        <f>VLOOKUP($A42,Technologies!$A$7:$H$576,6,FALSE)</f>
        <v>Steel production - Basic Metals Industry</v>
      </c>
      <c r="F42" s="48" t="str">
        <f>VLOOKUP($A42,Technologies!$A$7:$H$576,7,FALSE)</f>
        <v>Direct reduction from hydrogen  - Steel Production</v>
      </c>
      <c r="G42" s="22"/>
      <c r="H42" s="22"/>
      <c r="I42" s="103" cm="1">
        <f t="array" ref="I42">-SUMPRODUCT((Feedstocks!$C$4:$C$141=A42)*Feedstocks!$E$4:$E$141,Feedstocks!$F$4:$F$141,Feedstocks!$H$4:$H$141,Feedstocks!$I$4:$I$141)</f>
        <v>6.3895000000000007E-2</v>
      </c>
      <c r="J42" s="103" cm="1">
        <f t="array" ref="J42">-SUMPRODUCT((Feedstocks!$C$4:$C$141=A42)*Feedstocks!$E$4:$E$141,Feedstocks!$H$4:$H$141,Feedstocks!$I$4:$I$141)</f>
        <v>6.3895000000000007E-2</v>
      </c>
      <c r="K42" s="210">
        <v>0.02</v>
      </c>
      <c r="L42" s="103"/>
      <c r="M42" s="22">
        <v>1</v>
      </c>
      <c r="N42" s="22" t="str">
        <f>VLOOKUP(E42,Activities!$A$9:$M$227,13,FALSE)</f>
        <v>NL</v>
      </c>
      <c r="O42" s="22"/>
      <c r="P42" s="80" t="s">
        <v>1810</v>
      </c>
      <c r="Q42" s="36"/>
      <c r="R42" s="36"/>
      <c r="S42" s="36"/>
      <c r="T42" s="36"/>
      <c r="U42" s="36"/>
      <c r="V42" s="36"/>
      <c r="W42" s="36"/>
      <c r="X42" s="36"/>
      <c r="Y42" s="36"/>
      <c r="Z42" s="36">
        <v>1</v>
      </c>
      <c r="AA42" s="36"/>
      <c r="AB42" s="36"/>
      <c r="AC42" s="36"/>
      <c r="AD42" s="36"/>
      <c r="AE42" s="36"/>
      <c r="AF42" s="36"/>
      <c r="AG42" s="36"/>
      <c r="AH42" s="36"/>
      <c r="AI42" s="36"/>
      <c r="AJ42" s="36"/>
      <c r="AK42" s="36"/>
      <c r="AL42" s="36"/>
      <c r="AM42" s="36"/>
      <c r="AN42" s="36"/>
      <c r="AO42" s="36"/>
      <c r="AP42" s="36"/>
      <c r="AQ42" s="36"/>
      <c r="AR42" s="36"/>
      <c r="AS42" s="36"/>
      <c r="AT42" s="36"/>
      <c r="AU42" s="36"/>
      <c r="AV42" s="36"/>
      <c r="AW42" s="36"/>
      <c r="AX42" s="36"/>
      <c r="AY42" s="36"/>
      <c r="AZ42" s="36"/>
      <c r="BA42" s="36"/>
      <c r="BB42" s="36"/>
      <c r="BC42" s="36"/>
      <c r="BD42" s="36"/>
      <c r="BE42" s="36"/>
      <c r="BF42" s="36"/>
      <c r="BG42" s="36"/>
      <c r="BH42" s="36"/>
      <c r="BI42" s="36"/>
      <c r="BJ42" s="36"/>
      <c r="BK42" s="36"/>
      <c r="BL42" s="36"/>
      <c r="BM42" s="36"/>
      <c r="BN42" s="36"/>
      <c r="BO42" s="36"/>
      <c r="BP42" s="36"/>
      <c r="BQ42" s="36"/>
      <c r="BR42" s="36"/>
      <c r="BS42" s="36"/>
      <c r="BT42" s="36"/>
      <c r="BU42" s="36"/>
      <c r="BV42" s="36"/>
      <c r="BW42" s="36"/>
      <c r="BX42" s="36"/>
      <c r="BY42" s="36"/>
      <c r="BZ42" s="36"/>
      <c r="CA42" s="36"/>
      <c r="CB42" s="36"/>
      <c r="CC42" s="36"/>
      <c r="CD42" s="36"/>
      <c r="CE42" s="36"/>
      <c r="CF42" s="36"/>
      <c r="CG42" s="36"/>
      <c r="CH42" s="36"/>
      <c r="CI42" s="36"/>
      <c r="CJ42" s="36"/>
      <c r="CK42" s="36"/>
      <c r="CL42" s="36"/>
      <c r="CM42" s="36"/>
      <c r="CN42" s="36"/>
      <c r="CO42" s="36"/>
      <c r="CP42" s="36"/>
      <c r="CQ42" s="35">
        <f>-1.51</f>
        <v>-1.51</v>
      </c>
      <c r="CR42" s="35">
        <f t="shared" ref="CR42:CR43" si="9">-19.96/10^6+-0.07</f>
        <v>-7.0019960000000006E-2</v>
      </c>
      <c r="CS42" s="36"/>
      <c r="CT42" s="36"/>
      <c r="CU42" s="36"/>
      <c r="CV42" s="36"/>
      <c r="CW42" s="36"/>
      <c r="CX42" s="36"/>
      <c r="CY42" s="36"/>
      <c r="CZ42" s="36"/>
      <c r="DA42" s="36"/>
      <c r="DB42" s="36"/>
      <c r="DC42" s="36"/>
      <c r="DD42" s="36"/>
      <c r="DE42" s="36"/>
      <c r="DF42" s="36"/>
      <c r="DG42" s="36"/>
      <c r="DH42" s="36">
        <v>-2.94</v>
      </c>
      <c r="DI42" s="36"/>
      <c r="DJ42" s="36"/>
      <c r="DK42" s="36"/>
      <c r="DL42" s="36"/>
      <c r="DM42" s="36"/>
      <c r="DN42" s="36"/>
      <c r="DO42" s="36"/>
      <c r="DP42" s="36"/>
      <c r="DQ42" s="36"/>
      <c r="DR42" s="36"/>
      <c r="DS42" s="36"/>
      <c r="DT42" s="36"/>
      <c r="DU42" s="36"/>
      <c r="DV42" s="36"/>
      <c r="DW42" s="36"/>
      <c r="DX42" s="36"/>
      <c r="DY42" s="36"/>
      <c r="DZ42" s="36"/>
      <c r="EA42" s="36"/>
      <c r="EB42" s="36"/>
      <c r="EC42" s="36"/>
      <c r="ED42" s="36"/>
      <c r="EE42" s="36"/>
      <c r="EF42" s="36"/>
      <c r="EG42" s="36"/>
      <c r="EH42" s="36"/>
      <c r="EI42" s="36"/>
      <c r="EJ42" s="36"/>
      <c r="EK42" s="36"/>
      <c r="EL42" s="36"/>
      <c r="EM42" s="36">
        <v>-6.82</v>
      </c>
      <c r="EN42" s="36"/>
      <c r="EO42" s="36"/>
      <c r="EP42" s="36"/>
      <c r="EQ42" s="36"/>
      <c r="ER42" s="36"/>
      <c r="ES42" s="36">
        <v>-0.9</v>
      </c>
      <c r="ET42" s="36"/>
      <c r="EU42" s="36"/>
      <c r="EV42" s="36"/>
      <c r="EW42" s="36"/>
      <c r="EX42" s="36"/>
      <c r="EY42" s="36"/>
      <c r="EZ42" s="36"/>
      <c r="FA42" s="36"/>
      <c r="FB42" s="36"/>
      <c r="FC42" s="36"/>
      <c r="FD42" s="36"/>
      <c r="FE42" s="36"/>
      <c r="FF42" s="36"/>
      <c r="FG42" s="36"/>
      <c r="FH42" s="36"/>
      <c r="FI42" s="36"/>
      <c r="FJ42" s="36"/>
      <c r="FK42" s="36"/>
      <c r="FL42" s="36"/>
      <c r="FM42" s="36"/>
      <c r="FN42" s="36"/>
      <c r="FO42" s="36"/>
      <c r="FP42" s="36"/>
      <c r="FQ42" s="36"/>
      <c r="FR42" s="36"/>
      <c r="FS42" s="36"/>
      <c r="FT42" s="36"/>
      <c r="FU42" s="36"/>
      <c r="FV42" s="36"/>
      <c r="FW42" s="36"/>
      <c r="FX42" s="36"/>
      <c r="FY42" s="36"/>
      <c r="FZ42" s="36"/>
      <c r="GA42" s="36"/>
      <c r="GB42" s="319"/>
      <c r="GC42" s="179">
        <f t="shared" si="5"/>
        <v>0</v>
      </c>
      <c r="GD42" s="179">
        <f t="shared" si="6"/>
        <v>4.4600000000000001E-2</v>
      </c>
      <c r="GE42" s="179">
        <f t="shared" si="7"/>
        <v>0</v>
      </c>
      <c r="GF42" s="179">
        <f t="shared" si="8"/>
        <v>0</v>
      </c>
      <c r="GG42" s="179">
        <f t="shared" si="4"/>
        <v>6.3895000000000007E-2</v>
      </c>
    </row>
    <row r="43" spans="1:190" x14ac:dyDescent="0.35">
      <c r="A43" s="5" t="s">
        <v>761</v>
      </c>
      <c r="B43" s="5" t="str">
        <f>IF(Technologies!B43&lt;&gt;0,Technologies!B43,"")</f>
        <v>Industrie</v>
      </c>
      <c r="C43" s="5" t="str">
        <f>VLOOKUP($A43,Technologies!$A$7:$H$576,3,FALSE)</f>
        <v>Final</v>
      </c>
      <c r="D43" s="5" t="str">
        <f>VLOOKUP($A43,Technologies!$A$7:$H$576,4,FALSE)</f>
        <v>Industry</v>
      </c>
      <c r="E43" s="5" t="str">
        <f>VLOOKUP($A43,Technologies!$A$7:$H$576,6,FALSE)</f>
        <v>Steel production - Basic Metals Industry</v>
      </c>
      <c r="F43" s="5" t="str">
        <f>VLOOKUP($A43,Technologies!$A$7:$H$576,7,FALSE)</f>
        <v>Direct reduction from hydrogen w/biomass - Steel Production</v>
      </c>
      <c r="G43" s="23"/>
      <c r="H43" s="23"/>
      <c r="I43" s="104" cm="1">
        <f t="array" ref="I43">-SUMPRODUCT((Feedstocks!$C$4:$C$141=A43)*Feedstocks!$E$4:$E$141,Feedstocks!$F$4:$F$141,Feedstocks!$H$4:$H$141,Feedstocks!$I$4:$I$141)</f>
        <v>0</v>
      </c>
      <c r="J43" s="104" cm="1">
        <f t="array" ref="J43">-SUMPRODUCT((Feedstocks!$C$4:$C$141=A43)*Feedstocks!$E$4:$E$141,Feedstocks!$H$4:$H$141,Feedstocks!$I$4:$I$141)</f>
        <v>7.6719999999999997E-2</v>
      </c>
      <c r="K43" s="210">
        <v>0.02</v>
      </c>
      <c r="L43" s="104"/>
      <c r="M43" s="23">
        <v>1</v>
      </c>
      <c r="N43" s="23" t="str">
        <f>VLOOKUP(E43,Activities!$A$9:$M$227,13,FALSE)</f>
        <v>NL</v>
      </c>
      <c r="O43" s="23"/>
      <c r="P43" s="79" t="s">
        <v>1810</v>
      </c>
      <c r="Q43" s="35"/>
      <c r="R43" s="35"/>
      <c r="S43" s="35"/>
      <c r="T43" s="35"/>
      <c r="U43" s="35"/>
      <c r="V43" s="35"/>
      <c r="W43" s="35"/>
      <c r="X43" s="35"/>
      <c r="Y43" s="35"/>
      <c r="Z43" s="35">
        <v>1</v>
      </c>
      <c r="AA43" s="35"/>
      <c r="AB43" s="35"/>
      <c r="AC43" s="35"/>
      <c r="AD43" s="35"/>
      <c r="AE43" s="35"/>
      <c r="AF43" s="35"/>
      <c r="AG43" s="35"/>
      <c r="AH43" s="35"/>
      <c r="AI43" s="35"/>
      <c r="AJ43" s="35"/>
      <c r="AK43" s="35"/>
      <c r="AL43" s="35"/>
      <c r="AM43" s="35"/>
      <c r="AN43" s="35"/>
      <c r="AO43" s="35"/>
      <c r="AP43" s="35"/>
      <c r="AQ43" s="35"/>
      <c r="AR43" s="35"/>
      <c r="AS43" s="35"/>
      <c r="AT43" s="35"/>
      <c r="AU43" s="35"/>
      <c r="AV43" s="35"/>
      <c r="AW43" s="35"/>
      <c r="AX43" s="35"/>
      <c r="AY43" s="35"/>
      <c r="AZ43" s="35"/>
      <c r="BA43" s="35"/>
      <c r="BB43" s="35"/>
      <c r="BC43" s="35"/>
      <c r="BD43" s="35"/>
      <c r="BE43" s="35"/>
      <c r="BF43" s="35"/>
      <c r="BG43" s="35"/>
      <c r="BH43" s="35"/>
      <c r="BI43" s="35"/>
      <c r="BJ43" s="35"/>
      <c r="BK43" s="35"/>
      <c r="BL43" s="35"/>
      <c r="BM43" s="35"/>
      <c r="BN43" s="35"/>
      <c r="BO43" s="35"/>
      <c r="BP43" s="35"/>
      <c r="BQ43" s="35"/>
      <c r="BR43" s="35"/>
      <c r="BS43" s="35"/>
      <c r="BT43" s="35"/>
      <c r="BU43" s="35"/>
      <c r="BV43" s="35"/>
      <c r="BW43" s="35"/>
      <c r="BX43" s="35"/>
      <c r="BY43" s="35"/>
      <c r="BZ43" s="35"/>
      <c r="CA43" s="35"/>
      <c r="CB43" s="35"/>
      <c r="CC43" s="35"/>
      <c r="CD43" s="35"/>
      <c r="CE43" s="35"/>
      <c r="CF43" s="35"/>
      <c r="CG43" s="35"/>
      <c r="CH43" s="35"/>
      <c r="CI43" s="35"/>
      <c r="CJ43" s="35"/>
      <c r="CK43" s="35"/>
      <c r="CL43" s="35"/>
      <c r="CM43" s="35"/>
      <c r="CN43" s="35"/>
      <c r="CO43" s="35"/>
      <c r="CP43" s="35"/>
      <c r="CQ43" s="35">
        <f>-1.51</f>
        <v>-1.51</v>
      </c>
      <c r="CR43" s="35">
        <f t="shared" si="9"/>
        <v>-7.0019960000000006E-2</v>
      </c>
      <c r="CS43" s="35"/>
      <c r="CT43" s="35"/>
      <c r="CU43" s="35"/>
      <c r="CV43" s="35"/>
      <c r="CW43" s="35"/>
      <c r="CX43" s="35"/>
      <c r="CY43" s="35"/>
      <c r="CZ43" s="35"/>
      <c r="DA43" s="35"/>
      <c r="DB43" s="35"/>
      <c r="DC43" s="35"/>
      <c r="DD43" s="35"/>
      <c r="DE43" s="35"/>
      <c r="DF43" s="35"/>
      <c r="DG43" s="35"/>
      <c r="DH43" s="35">
        <v>-2.94</v>
      </c>
      <c r="DI43" s="35"/>
      <c r="DJ43" s="35"/>
      <c r="DK43" s="35"/>
      <c r="DL43" s="35"/>
      <c r="DM43" s="35"/>
      <c r="DN43" s="35"/>
      <c r="DO43" s="35"/>
      <c r="DP43" s="35"/>
      <c r="DQ43" s="35"/>
      <c r="DR43" s="35"/>
      <c r="DS43" s="35"/>
      <c r="DT43" s="35"/>
      <c r="DU43" s="35"/>
      <c r="DV43" s="35"/>
      <c r="DW43" s="35"/>
      <c r="DX43" s="35"/>
      <c r="DY43" s="35"/>
      <c r="DZ43" s="35"/>
      <c r="EA43" s="35"/>
      <c r="EB43" s="35"/>
      <c r="EC43" s="35"/>
      <c r="ED43" s="35"/>
      <c r="EE43" s="35"/>
      <c r="EF43" s="35"/>
      <c r="EG43" s="35"/>
      <c r="EH43" s="35"/>
      <c r="EI43" s="35"/>
      <c r="EJ43" s="35"/>
      <c r="EK43" s="35"/>
      <c r="EL43" s="35"/>
      <c r="EM43" s="35">
        <v>-6.82</v>
      </c>
      <c r="EN43" s="35"/>
      <c r="EO43" s="35"/>
      <c r="EP43" s="35"/>
      <c r="EQ43" s="35"/>
      <c r="ER43" s="35">
        <v>-2</v>
      </c>
      <c r="ES43" s="35"/>
      <c r="ET43" s="35"/>
      <c r="EU43" s="35"/>
      <c r="EV43" s="35"/>
      <c r="EW43" s="35"/>
      <c r="EX43" s="35"/>
      <c r="EY43" s="35"/>
      <c r="EZ43" s="35"/>
      <c r="FA43" s="35"/>
      <c r="FB43" s="35"/>
      <c r="FC43" s="35"/>
      <c r="FD43" s="35"/>
      <c r="FE43" s="35"/>
      <c r="FF43" s="35"/>
      <c r="FG43" s="35"/>
      <c r="FH43" s="35"/>
      <c r="FI43" s="35"/>
      <c r="FJ43" s="35"/>
      <c r="FK43" s="35"/>
      <c r="FL43" s="35"/>
      <c r="FM43" s="35"/>
      <c r="FN43" s="35"/>
      <c r="FO43" s="35"/>
      <c r="FP43" s="35"/>
      <c r="FQ43" s="35"/>
      <c r="FR43" s="35"/>
      <c r="FS43" s="35"/>
      <c r="FT43" s="35"/>
      <c r="FU43" s="35"/>
      <c r="FV43" s="35"/>
      <c r="FW43" s="35"/>
      <c r="FX43" s="35"/>
      <c r="FY43" s="35"/>
      <c r="FZ43" s="35"/>
      <c r="GA43" s="35"/>
      <c r="GB43" s="318"/>
      <c r="GC43" s="178">
        <f t="shared" si="5"/>
        <v>0</v>
      </c>
      <c r="GD43" s="178">
        <f t="shared" si="6"/>
        <v>0.02</v>
      </c>
      <c r="GE43" s="178">
        <f t="shared" si="7"/>
        <v>0</v>
      </c>
      <c r="GF43" s="178">
        <f t="shared" si="8"/>
        <v>0</v>
      </c>
      <c r="GG43" s="178">
        <f t="shared" si="4"/>
        <v>0</v>
      </c>
    </row>
    <row r="44" spans="1:190" x14ac:dyDescent="0.35">
      <c r="A44" s="6" t="s">
        <v>763</v>
      </c>
      <c r="B44" s="6" t="str">
        <f>IF(Technologies!B44&lt;&gt;0,Technologies!B44,"")</f>
        <v>Industrie</v>
      </c>
      <c r="C44" s="6" t="str">
        <f>VLOOKUP($A44,Technologies!$A$7:$H$576,3,FALSE)</f>
        <v>Final</v>
      </c>
      <c r="D44" s="6" t="str">
        <f>VLOOKUP($A44,Technologies!$A$7:$H$576,4,FALSE)</f>
        <v>Industry</v>
      </c>
      <c r="E44" s="6" t="str">
        <f>VLOOKUP($A44,Technologies!$A$7:$H$576,6,FALSE)</f>
        <v>Steel production - Basic Metals Industry</v>
      </c>
      <c r="F44" s="48" t="str">
        <f>VLOOKUP($A44,Technologies!$A$7:$H$576,7,FALSE)</f>
        <v>Low temperature electro winning (ULCOWIN) - Steel Production</v>
      </c>
      <c r="G44" s="22"/>
      <c r="H44" s="22"/>
      <c r="I44" s="103" cm="1">
        <f t="array" ref="I44">-SUMPRODUCT((Feedstocks!$C$4:$C$141=A44)*Feedstocks!$E$4:$E$141,Feedstocks!$F$4:$F$141,Feedstocks!$H$4:$H$141,Feedstocks!$I$4:$I$141)</f>
        <v>0</v>
      </c>
      <c r="J44" s="103" cm="1">
        <f t="array" ref="J44">-SUMPRODUCT((Feedstocks!$C$4:$C$141=A44)*Feedstocks!$E$4:$E$141,Feedstocks!$H$4:$H$141,Feedstocks!$I$4:$I$141)</f>
        <v>7.6719999999999997E-2</v>
      </c>
      <c r="K44" s="103"/>
      <c r="L44" s="103"/>
      <c r="M44" s="22">
        <v>1</v>
      </c>
      <c r="N44" s="22" t="str">
        <f>VLOOKUP(E44,Activities!$A$9:$M$227,13,FALSE)</f>
        <v>NL</v>
      </c>
      <c r="O44" s="22"/>
      <c r="P44" s="80" t="s">
        <v>1810</v>
      </c>
      <c r="Q44" s="36"/>
      <c r="R44" s="36"/>
      <c r="S44" s="36"/>
      <c r="T44" s="36"/>
      <c r="U44" s="36"/>
      <c r="V44" s="36"/>
      <c r="W44" s="36"/>
      <c r="X44" s="36"/>
      <c r="Y44" s="36"/>
      <c r="Z44" s="36">
        <v>1</v>
      </c>
      <c r="AA44" s="36"/>
      <c r="AB44" s="36"/>
      <c r="AC44" s="36"/>
      <c r="AD44" s="36"/>
      <c r="AE44" s="36"/>
      <c r="AF44" s="36"/>
      <c r="AG44" s="36"/>
      <c r="AH44" s="36"/>
      <c r="AI44" s="36"/>
      <c r="AJ44" s="36"/>
      <c r="AK44" s="36"/>
      <c r="AL44" s="36"/>
      <c r="AM44" s="36"/>
      <c r="AN44" s="36"/>
      <c r="AO44" s="36"/>
      <c r="AP44" s="36"/>
      <c r="AQ44" s="36"/>
      <c r="AR44" s="36"/>
      <c r="AS44" s="36"/>
      <c r="AT44" s="36"/>
      <c r="AU44" s="36"/>
      <c r="AV44" s="36"/>
      <c r="AW44" s="36"/>
      <c r="AX44" s="36"/>
      <c r="AY44" s="36"/>
      <c r="AZ44" s="36"/>
      <c r="BA44" s="36"/>
      <c r="BB44" s="36"/>
      <c r="BC44" s="36"/>
      <c r="BD44" s="36"/>
      <c r="BE44" s="36"/>
      <c r="BF44" s="36"/>
      <c r="BG44" s="36"/>
      <c r="BH44" s="36"/>
      <c r="BI44" s="36"/>
      <c r="BJ44" s="36"/>
      <c r="BK44" s="36"/>
      <c r="BL44" s="36"/>
      <c r="BM44" s="36"/>
      <c r="BN44" s="36"/>
      <c r="BO44" s="36"/>
      <c r="BP44" s="36"/>
      <c r="BQ44" s="36"/>
      <c r="BR44" s="36"/>
      <c r="BS44" s="36"/>
      <c r="BT44" s="36"/>
      <c r="BU44" s="36"/>
      <c r="BV44" s="36"/>
      <c r="BW44" s="36"/>
      <c r="BX44" s="36"/>
      <c r="BY44" s="36"/>
      <c r="BZ44" s="36"/>
      <c r="CA44" s="36"/>
      <c r="CB44" s="36"/>
      <c r="CC44" s="36"/>
      <c r="CD44" s="36"/>
      <c r="CE44" s="36"/>
      <c r="CF44" s="36"/>
      <c r="CG44" s="36"/>
      <c r="CH44" s="36"/>
      <c r="CI44" s="36"/>
      <c r="CJ44" s="36"/>
      <c r="CK44" s="36"/>
      <c r="CL44" s="36"/>
      <c r="CM44" s="36"/>
      <c r="CN44" s="36"/>
      <c r="CO44" s="36"/>
      <c r="CP44" s="36"/>
      <c r="CQ44" s="35">
        <f>-1.51</f>
        <v>-1.51</v>
      </c>
      <c r="CR44" s="35">
        <f>-28.37/10^3+-2.48/10^3</f>
        <v>-3.0849999999999999E-2</v>
      </c>
      <c r="CS44" s="36"/>
      <c r="CT44" s="36"/>
      <c r="CU44" s="36"/>
      <c r="CV44" s="36"/>
      <c r="CW44" s="36"/>
      <c r="CX44" s="36"/>
      <c r="CY44" s="36"/>
      <c r="CZ44" s="36"/>
      <c r="DA44" s="36"/>
      <c r="DB44" s="36"/>
      <c r="DC44" s="36"/>
      <c r="DD44" s="36"/>
      <c r="DE44" s="36"/>
      <c r="DF44" s="36"/>
      <c r="DG44" s="36"/>
      <c r="DH44" s="36">
        <v>-12</v>
      </c>
      <c r="DI44" s="36"/>
      <c r="DJ44" s="36"/>
      <c r="DK44" s="36"/>
      <c r="DL44" s="36"/>
      <c r="DM44" s="36"/>
      <c r="DN44" s="36"/>
      <c r="DO44" s="36"/>
      <c r="DP44" s="36"/>
      <c r="DQ44" s="36"/>
      <c r="DR44" s="36"/>
      <c r="DS44" s="36"/>
      <c r="DT44" s="36"/>
      <c r="DU44" s="36"/>
      <c r="DV44" s="36"/>
      <c r="DW44" s="36"/>
      <c r="DX44" s="36"/>
      <c r="DY44" s="36"/>
      <c r="DZ44" s="36"/>
      <c r="EA44" s="36"/>
      <c r="EB44" s="36"/>
      <c r="EC44" s="36"/>
      <c r="ED44" s="36"/>
      <c r="EE44" s="36"/>
      <c r="EF44" s="36"/>
      <c r="EG44" s="36"/>
      <c r="EH44" s="36"/>
      <c r="EI44" s="36"/>
      <c r="EJ44" s="36"/>
      <c r="EK44" s="36"/>
      <c r="EL44" s="36"/>
      <c r="EM44" s="36"/>
      <c r="EN44" s="36"/>
      <c r="EO44" s="36"/>
      <c r="EP44" s="36"/>
      <c r="EQ44" s="36"/>
      <c r="ER44" s="36">
        <v>-2</v>
      </c>
      <c r="ES44" s="36"/>
      <c r="ET44" s="36"/>
      <c r="EU44" s="36"/>
      <c r="EV44" s="36"/>
      <c r="EW44" s="36"/>
      <c r="EX44" s="36"/>
      <c r="EY44" s="36"/>
      <c r="EZ44" s="36"/>
      <c r="FA44" s="36"/>
      <c r="FB44" s="36"/>
      <c r="FC44" s="36"/>
      <c r="FD44" s="36"/>
      <c r="FE44" s="36"/>
      <c r="FF44" s="36"/>
      <c r="FG44" s="36"/>
      <c r="FH44" s="36"/>
      <c r="FI44" s="36"/>
      <c r="FJ44" s="36"/>
      <c r="FK44" s="36"/>
      <c r="FL44" s="36"/>
      <c r="FM44" s="36"/>
      <c r="FN44" s="36"/>
      <c r="FO44" s="36"/>
      <c r="FP44" s="36"/>
      <c r="FQ44" s="36"/>
      <c r="FR44" s="36"/>
      <c r="FS44" s="36"/>
      <c r="FT44" s="36"/>
      <c r="FU44" s="36"/>
      <c r="FV44" s="36"/>
      <c r="FW44" s="36"/>
      <c r="FX44" s="36"/>
      <c r="FY44" s="36"/>
      <c r="FZ44" s="36"/>
      <c r="GA44" s="36"/>
      <c r="GB44" s="319"/>
      <c r="GC44" s="179">
        <f t="shared" si="5"/>
        <v>0</v>
      </c>
      <c r="GD44" s="179">
        <f t="shared" si="6"/>
        <v>0</v>
      </c>
      <c r="GE44" s="179">
        <f t="shared" si="7"/>
        <v>0</v>
      </c>
      <c r="GF44" s="179">
        <f t="shared" si="8"/>
        <v>0</v>
      </c>
      <c r="GG44" s="179">
        <f t="shared" si="4"/>
        <v>0</v>
      </c>
    </row>
    <row r="45" spans="1:190" x14ac:dyDescent="0.35">
      <c r="A45" s="5" t="s">
        <v>767</v>
      </c>
      <c r="B45" s="5" t="str">
        <f>IF(Technologies!B45&lt;&gt;0,Technologies!B45,"")</f>
        <v>Industrie</v>
      </c>
      <c r="C45" s="5" t="str">
        <f>VLOOKUP($A45,Technologies!$A$7:$H$576,3,FALSE)</f>
        <v>Final</v>
      </c>
      <c r="D45" s="5" t="str">
        <f>VLOOKUP($A45,Technologies!$A$7:$H$576,4,FALSE)</f>
        <v>Industry</v>
      </c>
      <c r="E45" s="5" t="str">
        <f>VLOOKUP($A45,Technologies!$A$7:$H$576,6,FALSE)</f>
        <v>Steel production - Basic Metals Industry</v>
      </c>
      <c r="F45" s="5" t="str">
        <f>VLOOKUP($A45,Technologies!$A$7:$H$576,7,FALSE)</f>
        <v>High temperature electro winning - Steel Production</v>
      </c>
      <c r="G45" s="23"/>
      <c r="H45" s="23"/>
      <c r="I45" s="104" cm="1">
        <f t="array" ref="I45">-SUMPRODUCT((Feedstocks!$C$4:$C$141=A45)*Feedstocks!$E$4:$E$141,Feedstocks!$F$4:$F$141,Feedstocks!$H$4:$H$141,Feedstocks!$I$4:$I$141)</f>
        <v>0</v>
      </c>
      <c r="J45" s="104" cm="1">
        <f t="array" ref="J45">-SUMPRODUCT((Feedstocks!$C$4:$C$141=A45)*Feedstocks!$E$4:$E$141,Feedstocks!$H$4:$H$141,Feedstocks!$I$4:$I$141)</f>
        <v>7.6719999999999997E-2</v>
      </c>
      <c r="K45" s="104"/>
      <c r="L45" s="104"/>
      <c r="M45" s="23">
        <v>1</v>
      </c>
      <c r="N45" s="23" t="str">
        <f>VLOOKUP(E45,Activities!$A$9:$M$227,13,FALSE)</f>
        <v>NL</v>
      </c>
      <c r="O45" s="23"/>
      <c r="P45" s="79" t="s">
        <v>1810</v>
      </c>
      <c r="Q45" s="35"/>
      <c r="R45" s="35"/>
      <c r="S45" s="35"/>
      <c r="T45" s="35"/>
      <c r="U45" s="35"/>
      <c r="V45" s="35"/>
      <c r="W45" s="35"/>
      <c r="X45" s="35"/>
      <c r="Y45" s="35"/>
      <c r="Z45" s="35">
        <v>1</v>
      </c>
      <c r="AA45" s="35"/>
      <c r="AB45" s="35"/>
      <c r="AC45" s="35"/>
      <c r="AD45" s="35"/>
      <c r="AE45" s="35"/>
      <c r="AF45" s="35"/>
      <c r="AG45" s="35"/>
      <c r="AH45" s="35"/>
      <c r="AI45" s="35"/>
      <c r="AJ45" s="35"/>
      <c r="AK45" s="35"/>
      <c r="AL45" s="35"/>
      <c r="AM45" s="35"/>
      <c r="AN45" s="35"/>
      <c r="AO45" s="35"/>
      <c r="AP45" s="35"/>
      <c r="AQ45" s="35"/>
      <c r="AR45" s="35"/>
      <c r="AS45" s="35"/>
      <c r="AT45" s="35"/>
      <c r="AU45" s="35"/>
      <c r="AV45" s="35"/>
      <c r="AW45" s="35"/>
      <c r="AX45" s="35"/>
      <c r="AY45" s="35"/>
      <c r="AZ45" s="35"/>
      <c r="BA45" s="35"/>
      <c r="BB45" s="35"/>
      <c r="BC45" s="35"/>
      <c r="BD45" s="35"/>
      <c r="BE45" s="35"/>
      <c r="BF45" s="35"/>
      <c r="BG45" s="35"/>
      <c r="BH45" s="35"/>
      <c r="BI45" s="35"/>
      <c r="BJ45" s="35"/>
      <c r="BK45" s="35"/>
      <c r="BL45" s="35"/>
      <c r="BM45" s="35"/>
      <c r="BN45" s="35"/>
      <c r="BO45" s="35"/>
      <c r="BP45" s="35"/>
      <c r="BQ45" s="35"/>
      <c r="BR45" s="35"/>
      <c r="BS45" s="35"/>
      <c r="BT45" s="35"/>
      <c r="BU45" s="35"/>
      <c r="BV45" s="35"/>
      <c r="BW45" s="35"/>
      <c r="BX45" s="35"/>
      <c r="BY45" s="35"/>
      <c r="BZ45" s="35"/>
      <c r="CA45" s="35"/>
      <c r="CB45" s="35"/>
      <c r="CC45" s="35"/>
      <c r="CD45" s="35"/>
      <c r="CE45" s="35"/>
      <c r="CF45" s="35"/>
      <c r="CG45" s="35"/>
      <c r="CH45" s="35"/>
      <c r="CI45" s="35"/>
      <c r="CJ45" s="35"/>
      <c r="CK45" s="35"/>
      <c r="CL45" s="35"/>
      <c r="CM45" s="35"/>
      <c r="CN45" s="35"/>
      <c r="CO45" s="35"/>
      <c r="CP45" s="35"/>
      <c r="CQ45" s="35">
        <f>-1.48</f>
        <v>-1.48</v>
      </c>
      <c r="CR45" s="35"/>
      <c r="CS45" s="35"/>
      <c r="CT45" s="35"/>
      <c r="CU45" s="35"/>
      <c r="CV45" s="35"/>
      <c r="CW45" s="35"/>
      <c r="CX45" s="35"/>
      <c r="CY45" s="35"/>
      <c r="CZ45" s="35"/>
      <c r="DA45" s="35"/>
      <c r="DB45" s="35"/>
      <c r="DC45" s="35"/>
      <c r="DD45" s="35"/>
      <c r="DE45" s="35"/>
      <c r="DF45" s="35"/>
      <c r="DG45" s="35"/>
      <c r="DH45" s="35">
        <v>-11</v>
      </c>
      <c r="DI45" s="35"/>
      <c r="DJ45" s="35"/>
      <c r="DK45" s="35"/>
      <c r="DL45" s="35"/>
      <c r="DM45" s="35"/>
      <c r="DN45" s="35"/>
      <c r="DO45" s="35">
        <v>-2</v>
      </c>
      <c r="DP45" s="35"/>
      <c r="DQ45" s="35"/>
      <c r="DR45" s="35"/>
      <c r="DS45" s="35"/>
      <c r="DT45" s="35"/>
      <c r="DU45" s="35"/>
      <c r="DV45" s="35"/>
      <c r="DW45" s="35"/>
      <c r="DX45" s="35"/>
      <c r="DY45" s="35"/>
      <c r="DZ45" s="35"/>
      <c r="EA45" s="35"/>
      <c r="EB45" s="35"/>
      <c r="EC45" s="35"/>
      <c r="ED45" s="35"/>
      <c r="EE45" s="35"/>
      <c r="EF45" s="35"/>
      <c r="EG45" s="35"/>
      <c r="EH45" s="35"/>
      <c r="EI45" s="35"/>
      <c r="EJ45" s="35"/>
      <c r="EK45" s="35"/>
      <c r="EL45" s="35"/>
      <c r="EM45" s="35"/>
      <c r="EN45" s="35"/>
      <c r="EO45" s="35"/>
      <c r="EP45" s="35"/>
      <c r="EQ45" s="35"/>
      <c r="ER45" s="35">
        <v>-2</v>
      </c>
      <c r="ES45" s="35"/>
      <c r="ET45" s="35"/>
      <c r="EU45" s="35"/>
      <c r="EV45" s="35"/>
      <c r="EW45" s="35"/>
      <c r="EX45" s="35"/>
      <c r="EY45" s="35"/>
      <c r="EZ45" s="35"/>
      <c r="FA45" s="35"/>
      <c r="FB45" s="35"/>
      <c r="FC45" s="35"/>
      <c r="FD45" s="35"/>
      <c r="FE45" s="35"/>
      <c r="FF45" s="35"/>
      <c r="FG45" s="35"/>
      <c r="FH45" s="35"/>
      <c r="FI45" s="35"/>
      <c r="FJ45" s="35"/>
      <c r="FK45" s="35"/>
      <c r="FL45" s="35"/>
      <c r="FM45" s="35"/>
      <c r="FN45" s="35"/>
      <c r="FO45" s="35"/>
      <c r="FP45" s="35"/>
      <c r="FQ45" s="35"/>
      <c r="FR45" s="35"/>
      <c r="FS45" s="35"/>
      <c r="FT45" s="35"/>
      <c r="FU45" s="35"/>
      <c r="FV45" s="35"/>
      <c r="FW45" s="35"/>
      <c r="FX45" s="35"/>
      <c r="FY45" s="35"/>
      <c r="FZ45" s="35"/>
      <c r="GA45" s="35"/>
      <c r="GB45" s="318"/>
      <c r="GC45" s="178">
        <f t="shared" si="5"/>
        <v>0</v>
      </c>
      <c r="GD45" s="178">
        <f t="shared" si="6"/>
        <v>0</v>
      </c>
      <c r="GE45" s="178">
        <f t="shared" si="7"/>
        <v>0</v>
      </c>
      <c r="GF45" s="178">
        <f t="shared" si="8"/>
        <v>0</v>
      </c>
      <c r="GG45" s="178">
        <f t="shared" si="4"/>
        <v>0</v>
      </c>
    </row>
    <row r="46" spans="1:190" x14ac:dyDescent="0.35">
      <c r="A46" s="6" t="s">
        <v>769</v>
      </c>
      <c r="B46" s="6" t="str">
        <f>IF(Technologies!B46&lt;&gt;0,Technologies!B46,"")</f>
        <v>Industrie</v>
      </c>
      <c r="C46" s="6" t="str">
        <f>VLOOKUP($A46,Technologies!$A$7:$H$576,3,FALSE)</f>
        <v>Final</v>
      </c>
      <c r="D46" s="6" t="str">
        <f>VLOOKUP($A46,Technologies!$A$7:$H$576,4,FALSE)</f>
        <v>Industry</v>
      </c>
      <c r="E46" s="6" t="str">
        <f>VLOOKUP($A46,Technologies!$A$7:$H$576,6,FALSE)</f>
        <v>Steel production - Basic Metals Industry</v>
      </c>
      <c r="F46" s="48" t="str">
        <f>VLOOKUP($A46,Technologies!$A$7:$H$576,7,FALSE)</f>
        <v>Scrap-fed EAF - Steel Production</v>
      </c>
      <c r="G46" s="22"/>
      <c r="H46" s="22"/>
      <c r="I46" s="103" cm="1">
        <f t="array" ref="I46">-SUMPRODUCT((Feedstocks!$C$4:$C$141=A46)*Feedstocks!$E$4:$E$141,Feedstocks!$F$4:$F$141,Feedstocks!$H$4:$H$141,Feedstocks!$I$4:$I$141)</f>
        <v>7.0775999999999992E-2</v>
      </c>
      <c r="J46" s="103" cm="1">
        <f t="array" ref="J46">-SUMPRODUCT((Feedstocks!$C$4:$C$141=A46)*Feedstocks!$E$4:$E$141,Feedstocks!$H$4:$H$141,Feedstocks!$I$4:$I$141)</f>
        <v>7.0775999999999992E-2</v>
      </c>
      <c r="K46" s="103"/>
      <c r="L46" s="103"/>
      <c r="M46" s="22">
        <v>1</v>
      </c>
      <c r="N46" s="22" t="str">
        <f>VLOOKUP(E46,Activities!$A$9:$M$227,13,FALSE)</f>
        <v>NL</v>
      </c>
      <c r="O46" s="22"/>
      <c r="P46" s="80" t="s">
        <v>1810</v>
      </c>
      <c r="Q46" s="36"/>
      <c r="R46" s="36"/>
      <c r="S46" s="36"/>
      <c r="T46" s="36"/>
      <c r="U46" s="36"/>
      <c r="V46" s="36"/>
      <c r="W46" s="36"/>
      <c r="X46" s="36"/>
      <c r="Y46" s="36"/>
      <c r="Z46" s="36">
        <v>1</v>
      </c>
      <c r="AA46" s="36"/>
      <c r="AB46" s="36"/>
      <c r="AC46" s="36"/>
      <c r="AD46" s="36"/>
      <c r="AE46" s="36"/>
      <c r="AF46" s="36"/>
      <c r="AG46" s="36"/>
      <c r="AH46" s="36"/>
      <c r="AI46" s="36"/>
      <c r="AJ46" s="36"/>
      <c r="AK46" s="36"/>
      <c r="AL46" s="36"/>
      <c r="AM46" s="36"/>
      <c r="AN46" s="36"/>
      <c r="AO46" s="36"/>
      <c r="AP46" s="36"/>
      <c r="AQ46" s="36"/>
      <c r="AR46" s="36"/>
      <c r="AS46" s="36"/>
      <c r="AT46" s="36"/>
      <c r="AU46" s="36"/>
      <c r="AV46" s="36"/>
      <c r="AW46" s="36"/>
      <c r="AX46" s="36"/>
      <c r="AY46" s="36"/>
      <c r="AZ46" s="36"/>
      <c r="BA46" s="36"/>
      <c r="BB46" s="36"/>
      <c r="BC46" s="36"/>
      <c r="BD46" s="36"/>
      <c r="BE46" s="36"/>
      <c r="BF46" s="36"/>
      <c r="BG46" s="36"/>
      <c r="BH46" s="36"/>
      <c r="BI46" s="36"/>
      <c r="BJ46" s="36"/>
      <c r="BK46" s="36"/>
      <c r="BL46" s="36"/>
      <c r="BM46" s="36"/>
      <c r="BN46" s="36"/>
      <c r="BO46" s="36"/>
      <c r="BP46" s="36"/>
      <c r="BQ46" s="36"/>
      <c r="BR46" s="36"/>
      <c r="BS46" s="36"/>
      <c r="BT46" s="36"/>
      <c r="BU46" s="36"/>
      <c r="BV46" s="36"/>
      <c r="BW46" s="36"/>
      <c r="BX46" s="36"/>
      <c r="BY46" s="36"/>
      <c r="BZ46" s="36"/>
      <c r="CA46" s="36"/>
      <c r="CB46" s="36"/>
      <c r="CC46" s="36"/>
      <c r="CD46" s="36"/>
      <c r="CE46" s="36"/>
      <c r="CF46" s="36"/>
      <c r="CG46" s="36"/>
      <c r="CH46" s="36"/>
      <c r="CI46" s="36"/>
      <c r="CJ46" s="36"/>
      <c r="CK46" s="36"/>
      <c r="CL46" s="36"/>
      <c r="CM46" s="36"/>
      <c r="CN46" s="36"/>
      <c r="CO46" s="36"/>
      <c r="CP46" s="36">
        <v>-0.98</v>
      </c>
      <c r="CQ46" s="36"/>
      <c r="CR46" s="36">
        <f>-0.07</f>
        <v>-7.0000000000000007E-2</v>
      </c>
      <c r="CS46" s="36"/>
      <c r="CT46" s="36"/>
      <c r="CU46" s="36"/>
      <c r="CV46" s="36"/>
      <c r="CW46" s="36"/>
      <c r="CX46" s="36"/>
      <c r="CY46" s="36"/>
      <c r="CZ46" s="36"/>
      <c r="DA46" s="36"/>
      <c r="DB46" s="36"/>
      <c r="DC46" s="36"/>
      <c r="DD46" s="36"/>
      <c r="DE46" s="36"/>
      <c r="DF46" s="36"/>
      <c r="DG46" s="36"/>
      <c r="DH46" s="36">
        <v>-1.27</v>
      </c>
      <c r="DI46" s="36"/>
      <c r="DJ46" s="36"/>
      <c r="DK46" s="36"/>
      <c r="DL46" s="36"/>
      <c r="DM46" s="36"/>
      <c r="DN46" s="36"/>
      <c r="DO46" s="36"/>
      <c r="DP46" s="36"/>
      <c r="DQ46" s="36"/>
      <c r="DR46" s="36"/>
      <c r="DS46" s="36"/>
      <c r="DT46" s="36"/>
      <c r="DU46" s="36"/>
      <c r="DV46" s="36"/>
      <c r="DW46" s="36"/>
      <c r="DX46" s="36"/>
      <c r="DY46" s="36"/>
      <c r="DZ46" s="36"/>
      <c r="EA46" s="36"/>
      <c r="EB46" s="36"/>
      <c r="EC46" s="36"/>
      <c r="ED46" s="36"/>
      <c r="EE46" s="36"/>
      <c r="EF46" s="36"/>
      <c r="EG46" s="36"/>
      <c r="EH46" s="36"/>
      <c r="EI46" s="36"/>
      <c r="EJ46" s="36">
        <f>-2.89</f>
        <v>-2.89</v>
      </c>
      <c r="EK46" s="36"/>
      <c r="EL46" s="36"/>
      <c r="EM46" s="36"/>
      <c r="EN46" s="36"/>
      <c r="EO46" s="36"/>
      <c r="EP46" s="36"/>
      <c r="EQ46" s="36"/>
      <c r="ER46" s="36"/>
      <c r="ES46" s="36">
        <f>-0.03*24</f>
        <v>-0.72</v>
      </c>
      <c r="ET46" s="36"/>
      <c r="EU46" s="36"/>
      <c r="EV46" s="36"/>
      <c r="EW46" s="36"/>
      <c r="EX46" s="36"/>
      <c r="EY46" s="36"/>
      <c r="EZ46" s="36"/>
      <c r="FA46" s="36"/>
      <c r="FB46" s="36"/>
      <c r="FC46" s="36"/>
      <c r="FD46" s="36"/>
      <c r="FE46" s="36"/>
      <c r="FF46" s="36"/>
      <c r="FG46" s="36"/>
      <c r="FH46" s="36"/>
      <c r="FI46" s="36"/>
      <c r="FJ46" s="36"/>
      <c r="FK46" s="36"/>
      <c r="FL46" s="36"/>
      <c r="FM46" s="36"/>
      <c r="FN46" s="36"/>
      <c r="FO46" s="36"/>
      <c r="FP46" s="36"/>
      <c r="FQ46" s="36"/>
      <c r="FR46" s="36"/>
      <c r="FS46" s="36"/>
      <c r="FT46" s="36"/>
      <c r="FU46" s="36"/>
      <c r="FV46" s="36"/>
      <c r="FW46" s="36"/>
      <c r="FX46" s="36"/>
      <c r="FY46" s="36"/>
      <c r="FZ46" s="36"/>
      <c r="GA46" s="36"/>
      <c r="GB46" s="319"/>
      <c r="GC46" s="179">
        <f t="shared" si="5"/>
        <v>0</v>
      </c>
      <c r="GD46" s="179">
        <f t="shared" si="6"/>
        <v>0.1636</v>
      </c>
      <c r="GE46" s="179">
        <f t="shared" si="7"/>
        <v>0</v>
      </c>
      <c r="GF46" s="179">
        <f t="shared" si="8"/>
        <v>0</v>
      </c>
      <c r="GG46" s="179">
        <f t="shared" si="4"/>
        <v>7.0775999999999992E-2</v>
      </c>
    </row>
    <row r="47" spans="1:190" x14ac:dyDescent="0.35">
      <c r="A47" s="5" t="s">
        <v>771</v>
      </c>
      <c r="B47" s="5" t="str">
        <f>IF(Technologies!B47&lt;&gt;0,Technologies!B47,"")</f>
        <v>Industrie</v>
      </c>
      <c r="C47" s="5" t="str">
        <f>VLOOKUP($A47,Technologies!$A$7:$H$576,3,FALSE)</f>
        <v>Final</v>
      </c>
      <c r="D47" s="5" t="str">
        <f>VLOOKUP($A47,Technologies!$A$7:$H$576,4,FALSE)</f>
        <v>Industry</v>
      </c>
      <c r="E47" s="5" t="str">
        <f>VLOOKUP($A47,Technologies!$A$7:$H$576,6,FALSE)</f>
        <v>Steel production - Basic Metals Industry</v>
      </c>
      <c r="F47" s="5" t="str">
        <f>VLOOKUP($A47,Technologies!$A$7:$H$576,7,FALSE)</f>
        <v>Scrap-fed EAF with syngas fuel - Steel Production</v>
      </c>
      <c r="G47" s="23"/>
      <c r="H47" s="23"/>
      <c r="I47" s="104" cm="1">
        <f t="array" ref="I47">-SUMPRODUCT((Feedstocks!$C$4:$C$141=A47)*Feedstocks!$E$4:$E$141,Feedstocks!$F$4:$F$141,Feedstocks!$H$4:$H$141,Feedstocks!$I$4:$I$141)</f>
        <v>7.0775999999999992E-2</v>
      </c>
      <c r="J47" s="104" cm="1">
        <f t="array" ref="J47">-SUMPRODUCT((Feedstocks!$C$4:$C$141=A47)*Feedstocks!$E$4:$E$141,Feedstocks!$H$4:$H$141,Feedstocks!$I$4:$I$141)</f>
        <v>7.0775999999999992E-2</v>
      </c>
      <c r="K47" s="104"/>
      <c r="L47" s="104"/>
      <c r="M47" s="23">
        <v>1</v>
      </c>
      <c r="N47" s="23" t="str">
        <f>VLOOKUP(E47,Activities!$A$9:$M$227,13,FALSE)</f>
        <v>NL</v>
      </c>
      <c r="O47" s="23"/>
      <c r="P47" s="79" t="s">
        <v>1810</v>
      </c>
      <c r="Q47" s="35"/>
      <c r="R47" s="35"/>
      <c r="S47" s="35"/>
      <c r="T47" s="35"/>
      <c r="U47" s="35"/>
      <c r="V47" s="35"/>
      <c r="W47" s="35"/>
      <c r="X47" s="35"/>
      <c r="Y47" s="35"/>
      <c r="Z47" s="35">
        <v>1</v>
      </c>
      <c r="AA47" s="35"/>
      <c r="AB47" s="35"/>
      <c r="AC47" s="35"/>
      <c r="AD47" s="35"/>
      <c r="AE47" s="35"/>
      <c r="AF47" s="35"/>
      <c r="AG47" s="35"/>
      <c r="AH47" s="35"/>
      <c r="AI47" s="35"/>
      <c r="AJ47" s="35"/>
      <c r="AK47" s="35"/>
      <c r="AL47" s="35"/>
      <c r="AM47" s="35"/>
      <c r="AN47" s="35"/>
      <c r="AO47" s="35"/>
      <c r="AP47" s="35"/>
      <c r="AQ47" s="35"/>
      <c r="AR47" s="35"/>
      <c r="AS47" s="35"/>
      <c r="AT47" s="35"/>
      <c r="AU47" s="35"/>
      <c r="AV47" s="35"/>
      <c r="AW47" s="35"/>
      <c r="AX47" s="35"/>
      <c r="AY47" s="35"/>
      <c r="AZ47" s="35"/>
      <c r="BA47" s="35"/>
      <c r="BB47" s="35"/>
      <c r="BC47" s="35"/>
      <c r="BD47" s="35"/>
      <c r="BE47" s="35"/>
      <c r="BF47" s="35"/>
      <c r="BG47" s="35"/>
      <c r="BH47" s="35"/>
      <c r="BI47" s="35"/>
      <c r="BJ47" s="35"/>
      <c r="BK47" s="35"/>
      <c r="BL47" s="35"/>
      <c r="BM47" s="35"/>
      <c r="BN47" s="35"/>
      <c r="BO47" s="35"/>
      <c r="BP47" s="35"/>
      <c r="BQ47" s="35"/>
      <c r="BR47" s="35"/>
      <c r="BS47" s="35"/>
      <c r="BT47" s="35"/>
      <c r="BU47" s="35"/>
      <c r="BV47" s="35"/>
      <c r="BW47" s="35"/>
      <c r="BX47" s="35"/>
      <c r="BY47" s="35"/>
      <c r="BZ47" s="35"/>
      <c r="CA47" s="35"/>
      <c r="CB47" s="35"/>
      <c r="CC47" s="35"/>
      <c r="CD47" s="35"/>
      <c r="CE47" s="35"/>
      <c r="CF47" s="35"/>
      <c r="CG47" s="35"/>
      <c r="CH47" s="35"/>
      <c r="CI47" s="35"/>
      <c r="CJ47" s="35"/>
      <c r="CK47" s="35"/>
      <c r="CL47" s="35"/>
      <c r="CM47" s="35"/>
      <c r="CN47" s="35"/>
      <c r="CO47" s="35"/>
      <c r="CP47" s="35">
        <v>-0.98</v>
      </c>
      <c r="CQ47" s="35"/>
      <c r="CR47" s="36">
        <f t="shared" ref="CR47:CR50" si="10">-0.07</f>
        <v>-7.0000000000000007E-2</v>
      </c>
      <c r="CS47" s="35"/>
      <c r="CT47" s="35"/>
      <c r="CU47" s="35"/>
      <c r="CV47" s="35"/>
      <c r="CW47" s="35"/>
      <c r="CX47" s="35"/>
      <c r="CY47" s="35"/>
      <c r="CZ47" s="35"/>
      <c r="DA47" s="35"/>
      <c r="DB47" s="35"/>
      <c r="DC47" s="35"/>
      <c r="DD47" s="35"/>
      <c r="DE47" s="35"/>
      <c r="DF47" s="35"/>
      <c r="DG47" s="35"/>
      <c r="DH47" s="35">
        <v>-1.27</v>
      </c>
      <c r="DI47" s="35"/>
      <c r="DJ47" s="35"/>
      <c r="DK47" s="35"/>
      <c r="DL47" s="35"/>
      <c r="DM47" s="35"/>
      <c r="DN47" s="35"/>
      <c r="DO47" s="35"/>
      <c r="DP47" s="35"/>
      <c r="DQ47" s="35"/>
      <c r="DR47" s="35"/>
      <c r="DS47" s="35"/>
      <c r="DT47" s="35"/>
      <c r="DU47" s="35"/>
      <c r="DV47" s="35"/>
      <c r="DW47" s="35"/>
      <c r="DX47" s="35"/>
      <c r="DY47" s="35"/>
      <c r="DZ47" s="35"/>
      <c r="EA47" s="35"/>
      <c r="EB47" s="35"/>
      <c r="EC47" s="35"/>
      <c r="ED47" s="35"/>
      <c r="EE47" s="35"/>
      <c r="EF47" s="35"/>
      <c r="EG47" s="35">
        <f>-2.89</f>
        <v>-2.89</v>
      </c>
      <c r="EH47" s="35"/>
      <c r="EI47" s="35"/>
      <c r="EJ47" s="35"/>
      <c r="EK47" s="35"/>
      <c r="EL47" s="35"/>
      <c r="EM47" s="35"/>
      <c r="EN47" s="35"/>
      <c r="EO47" s="35"/>
      <c r="EP47" s="35"/>
      <c r="EQ47" s="35"/>
      <c r="ER47" s="35"/>
      <c r="ES47" s="35">
        <f>-0.03*24</f>
        <v>-0.72</v>
      </c>
      <c r="ET47" s="35"/>
      <c r="EU47" s="35"/>
      <c r="EV47" s="35"/>
      <c r="EW47" s="35"/>
      <c r="EX47" s="35"/>
      <c r="EY47" s="35"/>
      <c r="EZ47" s="35"/>
      <c r="FA47" s="35"/>
      <c r="FB47" s="35"/>
      <c r="FC47" s="35"/>
      <c r="FD47" s="35"/>
      <c r="FE47" s="35"/>
      <c r="FF47" s="35"/>
      <c r="FG47" s="35"/>
      <c r="FH47" s="35"/>
      <c r="FI47" s="35"/>
      <c r="FJ47" s="35"/>
      <c r="FK47" s="35"/>
      <c r="FL47" s="35"/>
      <c r="FM47" s="35"/>
      <c r="FN47" s="35"/>
      <c r="FO47" s="35"/>
      <c r="FP47" s="35"/>
      <c r="FQ47" s="35"/>
      <c r="FR47" s="35"/>
      <c r="FS47" s="35"/>
      <c r="FT47" s="35"/>
      <c r="FU47" s="35"/>
      <c r="FV47" s="35"/>
      <c r="FW47" s="35"/>
      <c r="FX47" s="35"/>
      <c r="FY47" s="35"/>
      <c r="FZ47" s="35"/>
      <c r="GA47" s="35"/>
      <c r="GB47" s="318"/>
      <c r="GC47" s="178">
        <f t="shared" si="5"/>
        <v>0</v>
      </c>
      <c r="GD47" s="178">
        <f t="shared" si="6"/>
        <v>0.21390000000000001</v>
      </c>
      <c r="GE47" s="178">
        <f t="shared" si="7"/>
        <v>0</v>
      </c>
      <c r="GF47" s="178">
        <f t="shared" si="8"/>
        <v>0</v>
      </c>
      <c r="GG47" s="178">
        <f t="shared" si="4"/>
        <v>7.0775999999999992E-2</v>
      </c>
    </row>
    <row r="48" spans="1:190" x14ac:dyDescent="0.35">
      <c r="A48" s="6" t="s">
        <v>773</v>
      </c>
      <c r="B48" s="6" t="str">
        <f>IF(Technologies!B48&lt;&gt;0,Technologies!B48,"")</f>
        <v>Industrie</v>
      </c>
      <c r="C48" s="6" t="str">
        <f>VLOOKUP($A48,Technologies!$A$7:$H$576,3,FALSE)</f>
        <v>Final</v>
      </c>
      <c r="D48" s="6" t="str">
        <f>VLOOKUP($A48,Technologies!$A$7:$H$576,4,FALSE)</f>
        <v>Industry</v>
      </c>
      <c r="E48" s="6" t="str">
        <f>VLOOKUP($A48,Technologies!$A$7:$H$576,6,FALSE)</f>
        <v>Steel production - Basic Metals Industry</v>
      </c>
      <c r="F48" s="48" t="str">
        <f>VLOOKUP($A48,Technologies!$A$7:$H$576,7,FALSE)</f>
        <v>DRI-fed EAF - Steel Production</v>
      </c>
      <c r="G48" s="22"/>
      <c r="H48" s="22"/>
      <c r="I48" s="103" cm="1">
        <f t="array" ref="I48">-SUMPRODUCT((Feedstocks!$C$4:$C$141=A48)*Feedstocks!$E$4:$E$141,Feedstocks!$F$4:$F$141,Feedstocks!$H$4:$H$141,Feedstocks!$I$4:$I$141)</f>
        <v>7.0775999999999992E-2</v>
      </c>
      <c r="J48" s="103" cm="1">
        <f t="array" ref="J48">-SUMPRODUCT((Feedstocks!$C$4:$C$141=A48)*Feedstocks!$E$4:$E$141,Feedstocks!$H$4:$H$141,Feedstocks!$I$4:$I$141)</f>
        <v>7.0775999999999992E-2</v>
      </c>
      <c r="K48" s="103"/>
      <c r="L48" s="103"/>
      <c r="M48" s="22">
        <v>1</v>
      </c>
      <c r="N48" s="22" t="str">
        <f>VLOOKUP(E48,Activities!$A$9:$M$227,13,FALSE)</f>
        <v>NL</v>
      </c>
      <c r="O48" s="22"/>
      <c r="P48" s="80" t="s">
        <v>1810</v>
      </c>
      <c r="Q48" s="36"/>
      <c r="R48" s="36"/>
      <c r="S48" s="36"/>
      <c r="T48" s="36"/>
      <c r="U48" s="36"/>
      <c r="V48" s="36"/>
      <c r="W48" s="36"/>
      <c r="X48" s="36"/>
      <c r="Y48" s="36"/>
      <c r="Z48" s="36">
        <v>1</v>
      </c>
      <c r="AA48" s="36"/>
      <c r="AB48" s="36"/>
      <c r="AC48" s="36"/>
      <c r="AD48" s="36"/>
      <c r="AE48" s="36"/>
      <c r="AF48" s="36"/>
      <c r="AG48" s="36"/>
      <c r="AH48" s="36"/>
      <c r="AI48" s="36"/>
      <c r="AJ48" s="36"/>
      <c r="AK48" s="36"/>
      <c r="AL48" s="36"/>
      <c r="AM48" s="36"/>
      <c r="AN48" s="36"/>
      <c r="AO48" s="36"/>
      <c r="AP48" s="36"/>
      <c r="AQ48" s="36"/>
      <c r="AR48" s="36"/>
      <c r="AS48" s="36"/>
      <c r="AT48" s="36"/>
      <c r="AU48" s="36"/>
      <c r="AV48" s="36"/>
      <c r="AW48" s="36"/>
      <c r="AX48" s="36"/>
      <c r="AY48" s="36"/>
      <c r="AZ48" s="36"/>
      <c r="BA48" s="36"/>
      <c r="BB48" s="36"/>
      <c r="BC48" s="36"/>
      <c r="BD48" s="36"/>
      <c r="BE48" s="36"/>
      <c r="BF48" s="36"/>
      <c r="BG48" s="36"/>
      <c r="BH48" s="36"/>
      <c r="BI48" s="36"/>
      <c r="BJ48" s="36"/>
      <c r="BK48" s="36"/>
      <c r="BL48" s="36"/>
      <c r="BM48" s="36"/>
      <c r="BN48" s="36"/>
      <c r="BO48" s="36"/>
      <c r="BP48" s="36"/>
      <c r="BQ48" s="36"/>
      <c r="BR48" s="36"/>
      <c r="BS48" s="36"/>
      <c r="BT48" s="36"/>
      <c r="BU48" s="36"/>
      <c r="BV48" s="36"/>
      <c r="BW48" s="36"/>
      <c r="BX48" s="36"/>
      <c r="BY48" s="36"/>
      <c r="BZ48" s="36"/>
      <c r="CA48" s="36"/>
      <c r="CB48" s="36"/>
      <c r="CC48" s="36"/>
      <c r="CD48" s="36"/>
      <c r="CE48" s="36"/>
      <c r="CF48" s="36"/>
      <c r="CG48" s="36"/>
      <c r="CH48" s="36"/>
      <c r="CI48" s="36"/>
      <c r="CJ48" s="36"/>
      <c r="CK48" s="36"/>
      <c r="CL48" s="36"/>
      <c r="CM48" s="36"/>
      <c r="CN48" s="36"/>
      <c r="CO48" s="36">
        <v>-0.98</v>
      </c>
      <c r="CP48" s="36"/>
      <c r="CQ48" s="36"/>
      <c r="CR48" s="36">
        <f t="shared" si="10"/>
        <v>-7.0000000000000007E-2</v>
      </c>
      <c r="CS48" s="36"/>
      <c r="CT48" s="36"/>
      <c r="CU48" s="36"/>
      <c r="CV48" s="36"/>
      <c r="CW48" s="36"/>
      <c r="CX48" s="36"/>
      <c r="CY48" s="36"/>
      <c r="CZ48" s="36"/>
      <c r="DA48" s="36"/>
      <c r="DB48" s="36"/>
      <c r="DC48" s="36"/>
      <c r="DD48" s="36"/>
      <c r="DE48" s="36"/>
      <c r="DF48" s="36"/>
      <c r="DG48" s="36"/>
      <c r="DH48" s="36">
        <v>-1.27</v>
      </c>
      <c r="DI48" s="36"/>
      <c r="DJ48" s="36"/>
      <c r="DK48" s="36"/>
      <c r="DL48" s="36"/>
      <c r="DM48" s="36"/>
      <c r="DN48" s="36"/>
      <c r="DO48" s="36"/>
      <c r="DP48" s="36"/>
      <c r="DQ48" s="36"/>
      <c r="DR48" s="36"/>
      <c r="DS48" s="36"/>
      <c r="DT48" s="36"/>
      <c r="DU48" s="36"/>
      <c r="DV48" s="36"/>
      <c r="DW48" s="36"/>
      <c r="DX48" s="36"/>
      <c r="DY48" s="36"/>
      <c r="DZ48" s="36"/>
      <c r="EA48" s="36"/>
      <c r="EB48" s="36"/>
      <c r="EC48" s="36"/>
      <c r="ED48" s="36"/>
      <c r="EE48" s="36"/>
      <c r="EF48" s="36"/>
      <c r="EG48" s="36"/>
      <c r="EH48" s="36"/>
      <c r="EI48" s="36"/>
      <c r="EJ48" s="36">
        <f>-2.89</f>
        <v>-2.89</v>
      </c>
      <c r="EK48" s="36"/>
      <c r="EL48" s="36"/>
      <c r="EM48" s="36"/>
      <c r="EN48" s="36"/>
      <c r="EO48" s="36"/>
      <c r="EP48" s="36"/>
      <c r="EQ48" s="36"/>
      <c r="ER48" s="36"/>
      <c r="ES48" s="36">
        <f>-0.03*24</f>
        <v>-0.72</v>
      </c>
      <c r="ET48" s="36"/>
      <c r="EU48" s="36"/>
      <c r="EV48" s="36"/>
      <c r="EW48" s="36"/>
      <c r="EX48" s="36"/>
      <c r="EY48" s="36"/>
      <c r="EZ48" s="36"/>
      <c r="FA48" s="36"/>
      <c r="FB48" s="36"/>
      <c r="FC48" s="36"/>
      <c r="FD48" s="36"/>
      <c r="FE48" s="36"/>
      <c r="FF48" s="36"/>
      <c r="FG48" s="36"/>
      <c r="FH48" s="36"/>
      <c r="FI48" s="36"/>
      <c r="FJ48" s="36"/>
      <c r="FK48" s="36"/>
      <c r="FL48" s="36"/>
      <c r="FM48" s="36"/>
      <c r="FN48" s="36"/>
      <c r="FO48" s="36"/>
      <c r="FP48" s="36"/>
      <c r="FQ48" s="36"/>
      <c r="FR48" s="36"/>
      <c r="FS48" s="36"/>
      <c r="FT48" s="36"/>
      <c r="FU48" s="36"/>
      <c r="FV48" s="36"/>
      <c r="FW48" s="36"/>
      <c r="FX48" s="36"/>
      <c r="FY48" s="36"/>
      <c r="FZ48" s="36"/>
      <c r="GA48" s="36"/>
      <c r="GB48" s="319"/>
      <c r="GC48" s="179">
        <f t="shared" si="5"/>
        <v>0</v>
      </c>
      <c r="GD48" s="179">
        <f t="shared" si="6"/>
        <v>0.1636</v>
      </c>
      <c r="GE48" s="179">
        <f t="shared" si="7"/>
        <v>0</v>
      </c>
      <c r="GF48" s="179">
        <f t="shared" si="8"/>
        <v>0</v>
      </c>
      <c r="GG48" s="179">
        <f t="shared" si="4"/>
        <v>7.0775999999999992E-2</v>
      </c>
    </row>
    <row r="49" spans="1:189" x14ac:dyDescent="0.35">
      <c r="A49" s="5" t="s">
        <v>775</v>
      </c>
      <c r="B49" s="5" t="str">
        <f>IF(Technologies!B49&lt;&gt;0,Technologies!B49,"")</f>
        <v>Industrie</v>
      </c>
      <c r="C49" s="5" t="str">
        <f>VLOOKUP($A49,Technologies!$A$7:$H$576,3,FALSE)</f>
        <v>Final</v>
      </c>
      <c r="D49" s="5" t="str">
        <f>VLOOKUP($A49,Technologies!$A$7:$H$576,4,FALSE)</f>
        <v>Industry</v>
      </c>
      <c r="E49" s="5" t="str">
        <f>VLOOKUP($A49,Technologies!$A$7:$H$576,6,FALSE)</f>
        <v>Steel production - Basic Metals Industry</v>
      </c>
      <c r="F49" s="5" t="str">
        <f>VLOOKUP($A49,Technologies!$A$7:$H$576,7,FALSE)</f>
        <v>DRI-fed EAF with syngas fuel - Steel Production</v>
      </c>
      <c r="G49" s="23"/>
      <c r="H49" s="23"/>
      <c r="I49" s="104" cm="1">
        <f t="array" ref="I49">-SUMPRODUCT((Feedstocks!$C$4:$C$141=A49)*Feedstocks!$E$4:$E$141,Feedstocks!$F$4:$F$141,Feedstocks!$H$4:$H$141,Feedstocks!$I$4:$I$141)</f>
        <v>7.0775999999999992E-2</v>
      </c>
      <c r="J49" s="104" cm="1">
        <f t="array" ref="J49">-SUMPRODUCT((Feedstocks!$C$4:$C$141=A49)*Feedstocks!$E$4:$E$141,Feedstocks!$H$4:$H$141,Feedstocks!$I$4:$I$141)</f>
        <v>7.0775999999999992E-2</v>
      </c>
      <c r="K49" s="104"/>
      <c r="L49" s="104"/>
      <c r="M49" s="23">
        <v>1</v>
      </c>
      <c r="N49" s="23" t="str">
        <f>VLOOKUP(E49,Activities!$A$9:$M$227,13,FALSE)</f>
        <v>NL</v>
      </c>
      <c r="O49" s="23"/>
      <c r="P49" s="79" t="s">
        <v>1810</v>
      </c>
      <c r="Q49" s="35"/>
      <c r="R49" s="35"/>
      <c r="S49" s="35"/>
      <c r="T49" s="35"/>
      <c r="U49" s="35"/>
      <c r="V49" s="35"/>
      <c r="W49" s="35"/>
      <c r="X49" s="35"/>
      <c r="Y49" s="35"/>
      <c r="Z49" s="35">
        <v>1</v>
      </c>
      <c r="AA49" s="35"/>
      <c r="AB49" s="35"/>
      <c r="AC49" s="35"/>
      <c r="AD49" s="35"/>
      <c r="AE49" s="35"/>
      <c r="AF49" s="35"/>
      <c r="AG49" s="35"/>
      <c r="AH49" s="35"/>
      <c r="AI49" s="35"/>
      <c r="AJ49" s="35"/>
      <c r="AK49" s="35"/>
      <c r="AL49" s="35"/>
      <c r="AM49" s="35"/>
      <c r="AN49" s="35"/>
      <c r="AO49" s="35"/>
      <c r="AP49" s="35"/>
      <c r="AQ49" s="35"/>
      <c r="AR49" s="35"/>
      <c r="AS49" s="35"/>
      <c r="AT49" s="35"/>
      <c r="AU49" s="35"/>
      <c r="AV49" s="35"/>
      <c r="AW49" s="35"/>
      <c r="AX49" s="35"/>
      <c r="AY49" s="35"/>
      <c r="AZ49" s="35"/>
      <c r="BA49" s="35"/>
      <c r="BB49" s="35"/>
      <c r="BC49" s="35"/>
      <c r="BD49" s="35"/>
      <c r="BE49" s="35"/>
      <c r="BF49" s="35"/>
      <c r="BG49" s="35"/>
      <c r="BH49" s="35"/>
      <c r="BI49" s="35"/>
      <c r="BJ49" s="35"/>
      <c r="BK49" s="35"/>
      <c r="BL49" s="35"/>
      <c r="BM49" s="35"/>
      <c r="BN49" s="35"/>
      <c r="BO49" s="35"/>
      <c r="BP49" s="35"/>
      <c r="BQ49" s="35"/>
      <c r="BR49" s="35"/>
      <c r="BS49" s="35"/>
      <c r="BT49" s="35"/>
      <c r="BU49" s="35"/>
      <c r="BV49" s="35"/>
      <c r="BW49" s="35"/>
      <c r="BX49" s="35"/>
      <c r="BY49" s="35"/>
      <c r="BZ49" s="35"/>
      <c r="CA49" s="35"/>
      <c r="CB49" s="35"/>
      <c r="CC49" s="35"/>
      <c r="CD49" s="35"/>
      <c r="CE49" s="35"/>
      <c r="CF49" s="35"/>
      <c r="CG49" s="35"/>
      <c r="CH49" s="35"/>
      <c r="CI49" s="35"/>
      <c r="CJ49" s="35"/>
      <c r="CK49" s="35"/>
      <c r="CL49" s="35"/>
      <c r="CM49" s="35"/>
      <c r="CN49" s="35"/>
      <c r="CO49" s="35">
        <v>-0.98</v>
      </c>
      <c r="CP49" s="35"/>
      <c r="CQ49" s="35"/>
      <c r="CR49" s="36">
        <f t="shared" si="10"/>
        <v>-7.0000000000000007E-2</v>
      </c>
      <c r="CS49" s="35"/>
      <c r="CT49" s="35"/>
      <c r="CU49" s="35"/>
      <c r="CV49" s="35"/>
      <c r="CW49" s="35"/>
      <c r="CX49" s="35"/>
      <c r="CY49" s="35"/>
      <c r="CZ49" s="35"/>
      <c r="DA49" s="35"/>
      <c r="DB49" s="35"/>
      <c r="DC49" s="35"/>
      <c r="DD49" s="35"/>
      <c r="DE49" s="35"/>
      <c r="DF49" s="35"/>
      <c r="DG49" s="35"/>
      <c r="DH49" s="35">
        <v>-1.27</v>
      </c>
      <c r="DI49" s="35"/>
      <c r="DJ49" s="35"/>
      <c r="DK49" s="35"/>
      <c r="DL49" s="35"/>
      <c r="DM49" s="35"/>
      <c r="DN49" s="35"/>
      <c r="DO49" s="35"/>
      <c r="DP49" s="35"/>
      <c r="DQ49" s="35"/>
      <c r="DR49" s="35"/>
      <c r="DS49" s="35"/>
      <c r="DT49" s="35"/>
      <c r="DU49" s="35"/>
      <c r="DV49" s="35"/>
      <c r="DW49" s="35"/>
      <c r="DX49" s="35"/>
      <c r="DY49" s="35"/>
      <c r="DZ49" s="35"/>
      <c r="EA49" s="35"/>
      <c r="EB49" s="35"/>
      <c r="EC49" s="35"/>
      <c r="ED49" s="35"/>
      <c r="EE49" s="35"/>
      <c r="EF49" s="35"/>
      <c r="EG49" s="35">
        <f>-2.89</f>
        <v>-2.89</v>
      </c>
      <c r="EH49" s="35"/>
      <c r="EI49" s="35"/>
      <c r="EJ49" s="35"/>
      <c r="EK49" s="35"/>
      <c r="EL49" s="35"/>
      <c r="EM49" s="35"/>
      <c r="EN49" s="35"/>
      <c r="EO49" s="35"/>
      <c r="EP49" s="35"/>
      <c r="EQ49" s="35"/>
      <c r="ER49" s="35"/>
      <c r="ES49" s="35">
        <f>-0.03*24</f>
        <v>-0.72</v>
      </c>
      <c r="ET49" s="35"/>
      <c r="EU49" s="35"/>
      <c r="EV49" s="35"/>
      <c r="EW49" s="35"/>
      <c r="EX49" s="35"/>
      <c r="EY49" s="35"/>
      <c r="EZ49" s="35"/>
      <c r="FA49" s="35"/>
      <c r="FB49" s="35"/>
      <c r="FC49" s="35"/>
      <c r="FD49" s="35"/>
      <c r="FE49" s="35"/>
      <c r="FF49" s="35"/>
      <c r="FG49" s="35"/>
      <c r="FH49" s="35"/>
      <c r="FI49" s="35"/>
      <c r="FJ49" s="35"/>
      <c r="FK49" s="35"/>
      <c r="FL49" s="35"/>
      <c r="FM49" s="35"/>
      <c r="FN49" s="35"/>
      <c r="FO49" s="35"/>
      <c r="FP49" s="35"/>
      <c r="FQ49" s="35"/>
      <c r="FR49" s="35"/>
      <c r="FS49" s="35"/>
      <c r="FT49" s="35"/>
      <c r="FU49" s="35"/>
      <c r="FV49" s="35"/>
      <c r="FW49" s="35"/>
      <c r="FX49" s="35"/>
      <c r="FY49" s="35"/>
      <c r="FZ49" s="35"/>
      <c r="GA49" s="35"/>
      <c r="GB49" s="318"/>
      <c r="GC49" s="178">
        <f t="shared" si="5"/>
        <v>0</v>
      </c>
      <c r="GD49" s="178">
        <f t="shared" si="6"/>
        <v>0.21390000000000001</v>
      </c>
      <c r="GE49" s="178">
        <f t="shared" si="7"/>
        <v>0</v>
      </c>
      <c r="GF49" s="178">
        <f t="shared" si="8"/>
        <v>0</v>
      </c>
      <c r="GG49" s="178">
        <f t="shared" si="4"/>
        <v>7.0775999999999992E-2</v>
      </c>
    </row>
    <row r="50" spans="1:189" x14ac:dyDescent="0.35">
      <c r="A50" s="6" t="s">
        <v>777</v>
      </c>
      <c r="B50" s="6" t="str">
        <f>IF(Technologies!B50&lt;&gt;0,Technologies!B50,"")</f>
        <v>Industrie</v>
      </c>
      <c r="C50" s="6" t="str">
        <f>VLOOKUP($A50,Technologies!$A$7:$H$576,3,FALSE)</f>
        <v>Final</v>
      </c>
      <c r="D50" s="6" t="str">
        <f>VLOOKUP($A50,Technologies!$A$7:$H$576,4,FALSE)</f>
        <v>Industry</v>
      </c>
      <c r="E50" s="6" t="str">
        <f>VLOOKUP($A50,Technologies!$A$7:$H$576,6,FALSE)</f>
        <v>Steel production - Basic Metals Industry</v>
      </c>
      <c r="F50" s="48" t="str">
        <f>VLOOKUP($A50,Technologies!$A$7:$H$576,7,FALSE)</f>
        <v>DRI-fed EAF with syngas fuel and biomass reducing agent - Steel Production</v>
      </c>
      <c r="G50" s="22"/>
      <c r="H50" s="22"/>
      <c r="I50" s="103" cm="1">
        <f t="array" ref="I50">-SUMPRODUCT((Feedstocks!$C$4:$C$141=A50)*Feedstocks!$E$4:$E$141,Feedstocks!$F$4:$F$141,Feedstocks!$H$4:$H$141,Feedstocks!$I$4:$I$141)</f>
        <v>0</v>
      </c>
      <c r="J50" s="103" cm="1">
        <f t="array" ref="J50">-SUMPRODUCT((Feedstocks!$C$4:$C$141=A50)*Feedstocks!$E$4:$E$141,Feedstocks!$H$4:$H$141,Feedstocks!$I$4:$I$141)</f>
        <v>0.80555999999999994</v>
      </c>
      <c r="K50" s="103"/>
      <c r="L50" s="103"/>
      <c r="M50" s="22">
        <v>1</v>
      </c>
      <c r="N50" s="22" t="str">
        <f>VLOOKUP(E50,Activities!$A$9:$M$227,13,FALSE)</f>
        <v>NL</v>
      </c>
      <c r="O50" s="22"/>
      <c r="P50" s="80" t="s">
        <v>1810</v>
      </c>
      <c r="Q50" s="36"/>
      <c r="R50" s="36"/>
      <c r="S50" s="36"/>
      <c r="T50" s="36"/>
      <c r="U50" s="36"/>
      <c r="V50" s="36"/>
      <c r="W50" s="36"/>
      <c r="X50" s="36"/>
      <c r="Y50" s="36"/>
      <c r="Z50" s="36">
        <v>1</v>
      </c>
      <c r="AA50" s="36"/>
      <c r="AB50" s="36"/>
      <c r="AC50" s="36"/>
      <c r="AD50" s="36"/>
      <c r="AE50" s="36"/>
      <c r="AF50" s="36"/>
      <c r="AG50" s="36"/>
      <c r="AH50" s="36"/>
      <c r="AI50" s="36"/>
      <c r="AJ50" s="36"/>
      <c r="AK50" s="36"/>
      <c r="AL50" s="36"/>
      <c r="AM50" s="36"/>
      <c r="AN50" s="36"/>
      <c r="AO50" s="36"/>
      <c r="AP50" s="36"/>
      <c r="AQ50" s="36"/>
      <c r="AR50" s="36"/>
      <c r="AS50" s="36"/>
      <c r="AT50" s="36"/>
      <c r="AU50" s="36"/>
      <c r="AV50" s="36"/>
      <c r="AW50" s="36"/>
      <c r="AX50" s="36"/>
      <c r="AY50" s="36"/>
      <c r="AZ50" s="36"/>
      <c r="BA50" s="36"/>
      <c r="BB50" s="36"/>
      <c r="BC50" s="36"/>
      <c r="BD50" s="36"/>
      <c r="BE50" s="36"/>
      <c r="BF50" s="36"/>
      <c r="BG50" s="36"/>
      <c r="BH50" s="36"/>
      <c r="BI50" s="36"/>
      <c r="BJ50" s="36"/>
      <c r="BK50" s="36"/>
      <c r="BL50" s="36"/>
      <c r="BM50" s="36"/>
      <c r="BN50" s="36"/>
      <c r="BO50" s="36"/>
      <c r="BP50" s="36"/>
      <c r="BQ50" s="36"/>
      <c r="BR50" s="36"/>
      <c r="BS50" s="36"/>
      <c r="BT50" s="36"/>
      <c r="BU50" s="36"/>
      <c r="BV50" s="36"/>
      <c r="BW50" s="36"/>
      <c r="BX50" s="36"/>
      <c r="BY50" s="36"/>
      <c r="BZ50" s="36"/>
      <c r="CA50" s="36"/>
      <c r="CB50" s="36"/>
      <c r="CC50" s="36"/>
      <c r="CD50" s="36"/>
      <c r="CE50" s="36"/>
      <c r="CF50" s="36"/>
      <c r="CG50" s="36"/>
      <c r="CH50" s="36"/>
      <c r="CI50" s="36"/>
      <c r="CJ50" s="36"/>
      <c r="CK50" s="36"/>
      <c r="CL50" s="36"/>
      <c r="CM50" s="36"/>
      <c r="CN50" s="36"/>
      <c r="CO50" s="36">
        <v>-0.98</v>
      </c>
      <c r="CP50" s="36"/>
      <c r="CQ50" s="36"/>
      <c r="CR50" s="36">
        <f t="shared" si="10"/>
        <v>-7.0000000000000007E-2</v>
      </c>
      <c r="CS50" s="36"/>
      <c r="CT50" s="36"/>
      <c r="CU50" s="36"/>
      <c r="CV50" s="36"/>
      <c r="CW50" s="36"/>
      <c r="CX50" s="36"/>
      <c r="CY50" s="36"/>
      <c r="CZ50" s="36"/>
      <c r="DA50" s="36"/>
      <c r="DB50" s="36"/>
      <c r="DC50" s="36"/>
      <c r="DD50" s="36"/>
      <c r="DE50" s="36"/>
      <c r="DF50" s="36"/>
      <c r="DG50" s="36"/>
      <c r="DH50" s="36">
        <v>-1.27</v>
      </c>
      <c r="DI50" s="36"/>
      <c r="DJ50" s="36"/>
      <c r="DK50" s="36"/>
      <c r="DL50" s="36"/>
      <c r="DM50" s="36"/>
      <c r="DN50" s="36"/>
      <c r="DO50" s="36"/>
      <c r="DP50" s="36"/>
      <c r="DQ50" s="36"/>
      <c r="DR50" s="36"/>
      <c r="DS50" s="36"/>
      <c r="DT50" s="36"/>
      <c r="DU50" s="36"/>
      <c r="DV50" s="36"/>
      <c r="DW50" s="36"/>
      <c r="DX50" s="36"/>
      <c r="DY50" s="36"/>
      <c r="DZ50" s="36"/>
      <c r="EA50" s="36"/>
      <c r="EB50" s="36"/>
      <c r="EC50" s="36"/>
      <c r="ED50" s="36"/>
      <c r="EE50" s="36"/>
      <c r="EF50" s="36"/>
      <c r="EG50" s="36">
        <f>-2.89</f>
        <v>-2.89</v>
      </c>
      <c r="EH50" s="36"/>
      <c r="EI50" s="36"/>
      <c r="EJ50" s="36"/>
      <c r="EK50" s="36"/>
      <c r="EL50" s="36"/>
      <c r="EM50" s="36"/>
      <c r="EN50" s="36"/>
      <c r="EO50" s="36"/>
      <c r="EP50" s="36"/>
      <c r="EQ50" s="36"/>
      <c r="ER50" s="36">
        <v>-2.02</v>
      </c>
      <c r="ES50" s="36"/>
      <c r="ET50" s="36"/>
      <c r="EU50" s="36"/>
      <c r="EV50" s="36"/>
      <c r="EW50" s="36"/>
      <c r="EX50" s="36"/>
      <c r="EY50" s="36"/>
      <c r="EZ50" s="36"/>
      <c r="FA50" s="36"/>
      <c r="FB50" s="36"/>
      <c r="FC50" s="36"/>
      <c r="FD50" s="36"/>
      <c r="FE50" s="36"/>
      <c r="FF50" s="36"/>
      <c r="FG50" s="36"/>
      <c r="FH50" s="36"/>
      <c r="FI50" s="36"/>
      <c r="FJ50" s="36"/>
      <c r="FK50" s="36"/>
      <c r="FL50" s="36"/>
      <c r="FM50" s="36"/>
      <c r="FN50" s="36"/>
      <c r="FO50" s="36"/>
      <c r="FP50" s="36"/>
      <c r="FQ50" s="36"/>
      <c r="FR50" s="36"/>
      <c r="FS50" s="36"/>
      <c r="FT50" s="36"/>
      <c r="FU50" s="36"/>
      <c r="FV50" s="36"/>
      <c r="FW50" s="36"/>
      <c r="FX50" s="36"/>
      <c r="FY50" s="36"/>
      <c r="FZ50" s="36"/>
      <c r="GA50" s="36"/>
      <c r="GB50" s="319"/>
      <c r="GC50" s="179">
        <f t="shared" si="5"/>
        <v>0</v>
      </c>
      <c r="GD50" s="179">
        <f t="shared" si="6"/>
        <v>0.21390000000000001</v>
      </c>
      <c r="GE50" s="179">
        <f t="shared" si="7"/>
        <v>0</v>
      </c>
      <c r="GF50" s="179">
        <f t="shared" si="8"/>
        <v>0</v>
      </c>
      <c r="GG50" s="179">
        <f t="shared" si="4"/>
        <v>0</v>
      </c>
    </row>
    <row r="51" spans="1:189" x14ac:dyDescent="0.35">
      <c r="A51" s="5" t="s">
        <v>779</v>
      </c>
      <c r="B51" s="5" t="str">
        <f>IF(Technologies!B51&lt;&gt;0,Technologies!B51,"")</f>
        <v>Industrie</v>
      </c>
      <c r="C51" s="5" t="str">
        <f>VLOOKUP($A51,Technologies!$A$7:$H$576,3,FALSE)</f>
        <v>Final</v>
      </c>
      <c r="D51" s="5" t="str">
        <f>VLOOKUP($A51,Technologies!$A$7:$H$576,4,FALSE)</f>
        <v>Industry</v>
      </c>
      <c r="E51" s="5" t="str">
        <f>VLOOKUP($A51,Technologies!$A$7:$H$576,6,FALSE)</f>
        <v>Nitric Acid production - Fertilizers Industry</v>
      </c>
      <c r="F51" s="5" t="str">
        <f>VLOOKUP($A51,Technologies!$A$7:$H$576,7,FALSE)</f>
        <v>Nitric Acid production from Ammonia -Fertilizers</v>
      </c>
      <c r="G51" s="23"/>
      <c r="H51" s="23"/>
      <c r="I51" s="104" cm="1">
        <f t="array" ref="I51">-SUMPRODUCT((Feedstocks!$C$4:$C$141=A51)*Feedstocks!$E$4:$E$141,Feedstocks!$F$4:$F$141,Feedstocks!$H$4:$H$141,Feedstocks!$I$4:$I$141)</f>
        <v>0</v>
      </c>
      <c r="J51" s="104" cm="1">
        <f t="array" ref="J51">-SUMPRODUCT((Feedstocks!$C$4:$C$141=A51)*Feedstocks!$E$4:$E$141,Feedstocks!$H$4:$H$141,Feedstocks!$I$4:$I$141)</f>
        <v>0</v>
      </c>
      <c r="K51" s="104"/>
      <c r="L51" s="104"/>
      <c r="M51" s="23">
        <v>1</v>
      </c>
      <c r="N51" s="23" t="str">
        <f>VLOOKUP(E51,Activities!$A$9:$M$227,13,FALSE)</f>
        <v>NL</v>
      </c>
      <c r="O51" s="23"/>
      <c r="P51" s="79" t="s">
        <v>782</v>
      </c>
      <c r="Q51" s="35"/>
      <c r="R51" s="35"/>
      <c r="S51" s="35"/>
      <c r="T51" s="35"/>
      <c r="U51" s="35"/>
      <c r="V51" s="35"/>
      <c r="W51" s="35"/>
      <c r="X51" s="35"/>
      <c r="Y51" s="35"/>
      <c r="Z51" s="35"/>
      <c r="AA51" s="35">
        <v>1</v>
      </c>
      <c r="AB51" s="35"/>
      <c r="AC51" s="35"/>
      <c r="AD51" s="35"/>
      <c r="AE51" s="35"/>
      <c r="AF51" s="35"/>
      <c r="AG51" s="35"/>
      <c r="AH51" s="35"/>
      <c r="AI51" s="35"/>
      <c r="AJ51" s="35"/>
      <c r="AK51" s="35"/>
      <c r="AL51" s="35"/>
      <c r="AM51" s="35"/>
      <c r="AN51" s="35"/>
      <c r="AO51" s="35"/>
      <c r="AP51" s="35"/>
      <c r="AQ51" s="35"/>
      <c r="AR51" s="35"/>
      <c r="AS51" s="35"/>
      <c r="AT51" s="35"/>
      <c r="AU51" s="35"/>
      <c r="AV51" s="35"/>
      <c r="AW51" s="35"/>
      <c r="AX51" s="35"/>
      <c r="AY51" s="35"/>
      <c r="AZ51" s="35"/>
      <c r="BA51" s="35"/>
      <c r="BB51" s="35"/>
      <c r="BC51" s="35"/>
      <c r="BD51" s="35"/>
      <c r="BE51" s="35"/>
      <c r="BF51" s="35"/>
      <c r="BG51" s="35"/>
      <c r="BH51" s="35"/>
      <c r="BI51" s="35"/>
      <c r="BJ51" s="35"/>
      <c r="BK51" s="35"/>
      <c r="BL51" s="35"/>
      <c r="BM51" s="35"/>
      <c r="BN51" s="35"/>
      <c r="BO51" s="35"/>
      <c r="BP51" s="35"/>
      <c r="BQ51" s="35"/>
      <c r="BR51" s="35"/>
      <c r="BS51" s="35"/>
      <c r="BT51" s="35"/>
      <c r="BU51" s="35"/>
      <c r="BV51" s="35"/>
      <c r="BW51" s="35"/>
      <c r="BX51" s="35"/>
      <c r="BY51" s="35"/>
      <c r="BZ51" s="35"/>
      <c r="CA51" s="35"/>
      <c r="CB51" s="35"/>
      <c r="CC51" s="35"/>
      <c r="CD51" s="35"/>
      <c r="CE51" s="35"/>
      <c r="CF51" s="35"/>
      <c r="CG51" s="35"/>
      <c r="CH51" s="35"/>
      <c r="CI51" s="35"/>
      <c r="CJ51" s="35"/>
      <c r="CK51" s="35"/>
      <c r="CL51" s="35"/>
      <c r="CM51" s="35"/>
      <c r="CN51" s="35"/>
      <c r="CO51" s="35"/>
      <c r="CP51" s="35"/>
      <c r="CQ51" s="35"/>
      <c r="CR51" s="35"/>
      <c r="CS51" s="35"/>
      <c r="CT51" s="35"/>
      <c r="CU51" s="35"/>
      <c r="CV51" s="35"/>
      <c r="CW51" s="35"/>
      <c r="CX51" s="35"/>
      <c r="CY51" s="35"/>
      <c r="CZ51" s="35"/>
      <c r="DA51" s="35"/>
      <c r="DB51" s="35"/>
      <c r="DC51" s="35"/>
      <c r="DD51" s="35"/>
      <c r="DE51" s="35"/>
      <c r="DF51" s="35"/>
      <c r="DG51" s="35"/>
      <c r="DH51" s="35">
        <v>-0.1</v>
      </c>
      <c r="DI51" s="35"/>
      <c r="DJ51" s="35"/>
      <c r="DK51" s="35"/>
      <c r="DL51" s="35"/>
      <c r="DM51" s="35"/>
      <c r="DN51" s="35"/>
      <c r="DO51" s="35"/>
      <c r="DP51" s="35"/>
      <c r="DQ51" s="35"/>
      <c r="DR51" s="35"/>
      <c r="DS51" s="35"/>
      <c r="DT51" s="35"/>
      <c r="DU51" s="35"/>
      <c r="DV51" s="35"/>
      <c r="DW51" s="35"/>
      <c r="DX51" s="35"/>
      <c r="DY51" s="35"/>
      <c r="DZ51" s="35"/>
      <c r="EA51" s="35"/>
      <c r="EB51" s="35"/>
      <c r="EC51" s="35"/>
      <c r="ED51" s="35"/>
      <c r="EE51" s="35"/>
      <c r="EF51" s="35"/>
      <c r="EG51" s="35"/>
      <c r="EH51" s="35"/>
      <c r="EI51" s="35"/>
      <c r="EJ51" s="35"/>
      <c r="EK51" s="35"/>
      <c r="EL51" s="35"/>
      <c r="EM51" s="35"/>
      <c r="EN51" s="35"/>
      <c r="EO51" s="35"/>
      <c r="EP51" s="35"/>
      <c r="EQ51" s="35">
        <v>-5.0999999999999996</v>
      </c>
      <c r="ER51" s="35"/>
      <c r="ES51" s="35"/>
      <c r="ET51" s="35"/>
      <c r="EU51" s="35"/>
      <c r="EV51" s="35"/>
      <c r="EW51" s="35"/>
      <c r="EX51" s="35"/>
      <c r="EY51" s="35"/>
      <c r="EZ51" s="35"/>
      <c r="FA51" s="35"/>
      <c r="FB51" s="35"/>
      <c r="FC51" s="35"/>
      <c r="FD51" s="35"/>
      <c r="FE51" s="35"/>
      <c r="FF51" s="35"/>
      <c r="FG51" s="35"/>
      <c r="FH51" s="35"/>
      <c r="FI51" s="35"/>
      <c r="FJ51" s="35"/>
      <c r="FK51" s="35"/>
      <c r="FL51" s="35"/>
      <c r="FM51" s="35"/>
      <c r="FN51" s="35"/>
      <c r="FO51" s="35"/>
      <c r="FP51" s="35"/>
      <c r="FQ51" s="35"/>
      <c r="FR51" s="35"/>
      <c r="FS51" s="35"/>
      <c r="FT51" s="35"/>
      <c r="FU51" s="35"/>
      <c r="FV51" s="35"/>
      <c r="FW51" s="35"/>
      <c r="FX51" s="35"/>
      <c r="FY51" s="35"/>
      <c r="FZ51" s="35"/>
      <c r="GA51" s="35"/>
      <c r="GB51" s="318"/>
      <c r="GC51" s="178">
        <f t="shared" si="5"/>
        <v>0</v>
      </c>
      <c r="GD51" s="178">
        <f t="shared" si="6"/>
        <v>0</v>
      </c>
      <c r="GE51" s="178">
        <f t="shared" si="7"/>
        <v>0</v>
      </c>
      <c r="GF51" s="178">
        <f t="shared" si="8"/>
        <v>0</v>
      </c>
      <c r="GG51" s="178">
        <f t="shared" si="4"/>
        <v>0</v>
      </c>
    </row>
    <row r="52" spans="1:189" x14ac:dyDescent="0.35">
      <c r="A52" s="5" t="s">
        <v>783</v>
      </c>
      <c r="B52" s="5" t="str">
        <f>IF(Technologies!B52&lt;&gt;0,Technologies!B52,"")</f>
        <v>Industrie</v>
      </c>
      <c r="C52" s="5" t="str">
        <f>VLOOKUP($A52,Technologies!$A$7:$H$576,3,FALSE)</f>
        <v>Final</v>
      </c>
      <c r="D52" s="5" t="str">
        <f>VLOOKUP($A52,Technologies!$A$7:$H$576,4,FALSE)</f>
        <v>Industry</v>
      </c>
      <c r="E52" s="5" t="str">
        <f>VLOOKUP($A52,Technologies!$A$7:$H$576,6,FALSE)</f>
        <v>Urea production - Fertilizers Industry</v>
      </c>
      <c r="F52" s="5" t="str">
        <f>VLOOKUP($A52,Technologies!$A$7:$H$576,7,FALSE)</f>
        <v>Urea production from Ammonia and CCUS - Fertilizers</v>
      </c>
      <c r="G52" s="23"/>
      <c r="H52" s="23">
        <v>0.7</v>
      </c>
      <c r="I52" s="104" cm="1">
        <f t="array" ref="I52">-SUMPRODUCT((Feedstocks!$C$4:$C$141=A52)*Feedstocks!$E$4:$E$141,Feedstocks!$F$4:$F$141,Feedstocks!$H$4:$H$141,Feedstocks!$I$4:$I$141)</f>
        <v>0</v>
      </c>
      <c r="J52" s="104" cm="1">
        <f t="array" ref="J52">-SUMPRODUCT((Feedstocks!$C$4:$C$141=A52)*Feedstocks!$E$4:$E$141,Feedstocks!$H$4:$H$141,Feedstocks!$I$4:$I$141)</f>
        <v>0</v>
      </c>
      <c r="K52" s="104"/>
      <c r="L52" s="104"/>
      <c r="M52" s="23">
        <v>1</v>
      </c>
      <c r="N52" s="23" t="str">
        <f>VLOOKUP(E52,Activities!$A$9:$M$227,13,FALSE)</f>
        <v>NL</v>
      </c>
      <c r="O52" s="23"/>
      <c r="P52" s="79" t="s">
        <v>782</v>
      </c>
      <c r="Q52" s="35"/>
      <c r="R52" s="35"/>
      <c r="S52" s="35"/>
      <c r="T52" s="35"/>
      <c r="U52" s="35"/>
      <c r="V52" s="35"/>
      <c r="W52" s="35"/>
      <c r="X52" s="35"/>
      <c r="Y52" s="35"/>
      <c r="Z52" s="35"/>
      <c r="AA52" s="35"/>
      <c r="AB52" s="35">
        <v>1</v>
      </c>
      <c r="AC52" s="35"/>
      <c r="AD52" s="35"/>
      <c r="AE52" s="35"/>
      <c r="AF52" s="35"/>
      <c r="AG52" s="35"/>
      <c r="AH52" s="35"/>
      <c r="AI52" s="35"/>
      <c r="AJ52" s="35"/>
      <c r="AK52" s="35"/>
      <c r="AL52" s="35"/>
      <c r="AM52" s="35"/>
      <c r="AN52" s="35"/>
      <c r="AO52" s="35"/>
      <c r="AP52" s="35"/>
      <c r="AQ52" s="35"/>
      <c r="AR52" s="35"/>
      <c r="AS52" s="35"/>
      <c r="AT52" s="35"/>
      <c r="AU52" s="35"/>
      <c r="AV52" s="35"/>
      <c r="AW52" s="35"/>
      <c r="AX52" s="35"/>
      <c r="AY52" s="35"/>
      <c r="AZ52" s="35"/>
      <c r="BA52" s="35"/>
      <c r="BB52" s="35"/>
      <c r="BC52" s="35"/>
      <c r="BD52" s="35"/>
      <c r="BE52" s="35"/>
      <c r="BF52" s="35"/>
      <c r="BG52" s="35"/>
      <c r="BH52" s="35"/>
      <c r="BI52" s="35"/>
      <c r="BJ52" s="35"/>
      <c r="BK52" s="35"/>
      <c r="BL52" s="35"/>
      <c r="BM52" s="35"/>
      <c r="BN52" s="35"/>
      <c r="BO52" s="35"/>
      <c r="BP52" s="35"/>
      <c r="BQ52" s="35"/>
      <c r="BR52" s="35"/>
      <c r="BS52" s="35"/>
      <c r="BT52" s="35"/>
      <c r="BU52" s="35"/>
      <c r="BV52" s="35"/>
      <c r="BW52" s="35"/>
      <c r="BX52" s="35"/>
      <c r="BY52" s="35"/>
      <c r="BZ52" s="35"/>
      <c r="CA52" s="35"/>
      <c r="CB52" s="35"/>
      <c r="CC52" s="35"/>
      <c r="CD52" s="35"/>
      <c r="CE52" s="35"/>
      <c r="CF52" s="35"/>
      <c r="CG52" s="35"/>
      <c r="CH52" s="35"/>
      <c r="CI52" s="35"/>
      <c r="CJ52" s="35"/>
      <c r="CK52" s="35"/>
      <c r="CL52" s="35"/>
      <c r="CM52" s="35"/>
      <c r="CN52" s="35"/>
      <c r="CO52" s="35"/>
      <c r="CP52" s="35"/>
      <c r="CQ52" s="35"/>
      <c r="CR52" s="35"/>
      <c r="CS52" s="35"/>
      <c r="CT52" s="35"/>
      <c r="CU52" s="35"/>
      <c r="CV52" s="35"/>
      <c r="CW52" s="35"/>
      <c r="CX52" s="35"/>
      <c r="CY52" s="35"/>
      <c r="CZ52" s="35"/>
      <c r="DA52" s="35"/>
      <c r="DB52" s="35"/>
      <c r="DC52" s="35"/>
      <c r="DD52" s="35"/>
      <c r="DE52" s="35"/>
      <c r="DF52" s="35"/>
      <c r="DG52" s="35"/>
      <c r="DH52" s="35">
        <v>-0.3</v>
      </c>
      <c r="DI52" s="35"/>
      <c r="DJ52" s="35"/>
      <c r="DK52" s="35"/>
      <c r="DL52" s="35"/>
      <c r="DM52" s="35"/>
      <c r="DN52" s="35"/>
      <c r="DO52" s="35">
        <v>-2.2000000000000002</v>
      </c>
      <c r="DP52" s="35"/>
      <c r="DQ52" s="35"/>
      <c r="DR52" s="35"/>
      <c r="DS52" s="35"/>
      <c r="DT52" s="35"/>
      <c r="DU52" s="35"/>
      <c r="DV52" s="35"/>
      <c r="DW52" s="35"/>
      <c r="DX52" s="35"/>
      <c r="DY52" s="35"/>
      <c r="DZ52" s="35"/>
      <c r="EA52" s="35"/>
      <c r="EB52" s="35"/>
      <c r="EC52" s="35"/>
      <c r="ED52" s="35"/>
      <c r="EE52" s="35"/>
      <c r="EF52" s="35"/>
      <c r="EG52" s="35"/>
      <c r="EH52" s="35"/>
      <c r="EI52" s="35"/>
      <c r="EJ52" s="35"/>
      <c r="EK52" s="35"/>
      <c r="EL52" s="35"/>
      <c r="EM52" s="35"/>
      <c r="EN52" s="35"/>
      <c r="EO52" s="35"/>
      <c r="EP52" s="35"/>
      <c r="EQ52" s="35">
        <v>-10.72</v>
      </c>
      <c r="ER52" s="35"/>
      <c r="ES52" s="35"/>
      <c r="ET52" s="35"/>
      <c r="EU52" s="35"/>
      <c r="EV52" s="35"/>
      <c r="EW52" s="35"/>
      <c r="EX52" s="35"/>
      <c r="EY52" s="35"/>
      <c r="EZ52" s="35"/>
      <c r="FA52" s="35"/>
      <c r="FB52" s="35"/>
      <c r="FC52" s="35"/>
      <c r="FD52" s="35"/>
      <c r="FE52" s="35"/>
      <c r="FF52" s="35"/>
      <c r="FG52" s="35"/>
      <c r="FH52" s="35"/>
      <c r="FI52" s="35"/>
      <c r="FJ52" s="35"/>
      <c r="FK52" s="35"/>
      <c r="FL52" s="35"/>
      <c r="FM52" s="35"/>
      <c r="FN52" s="35"/>
      <c r="FO52" s="35"/>
      <c r="FP52" s="35"/>
      <c r="FQ52" s="35"/>
      <c r="FR52" s="35"/>
      <c r="FS52" s="35"/>
      <c r="FT52" s="35"/>
      <c r="FU52" s="35"/>
      <c r="FV52" s="35"/>
      <c r="FW52" s="35"/>
      <c r="FX52" s="35"/>
      <c r="FY52" s="35"/>
      <c r="FZ52" s="35"/>
      <c r="GA52" s="35"/>
      <c r="GB52" s="318"/>
      <c r="GC52" s="178">
        <f t="shared" si="5"/>
        <v>-0.7</v>
      </c>
      <c r="GD52" s="178">
        <f t="shared" si="6"/>
        <v>0.7</v>
      </c>
      <c r="GE52" s="178">
        <f t="shared" si="7"/>
        <v>0</v>
      </c>
      <c r="GF52" s="178">
        <f t="shared" si="8"/>
        <v>0</v>
      </c>
      <c r="GG52" s="178">
        <f t="shared" si="4"/>
        <v>0</v>
      </c>
    </row>
    <row r="53" spans="1:189" x14ac:dyDescent="0.35">
      <c r="A53" s="6" t="s">
        <v>785</v>
      </c>
      <c r="B53" s="6" t="str">
        <f>IF(Technologies!B53&lt;&gt;0,Technologies!B53,"")</f>
        <v>Industrie</v>
      </c>
      <c r="C53" s="6" t="str">
        <f>VLOOKUP($A53,Technologies!$A$7:$H$576,3,FALSE)</f>
        <v>Final</v>
      </c>
      <c r="D53" s="6" t="str">
        <f>VLOOKUP($A53,Technologies!$A$7:$H$576,4,FALSE)</f>
        <v>Industry</v>
      </c>
      <c r="E53" s="6" t="str">
        <f>VLOOKUP($A53,Technologies!$A$7:$H$576,6,FALSE)</f>
        <v>Other Ammonia based fertilizers - Fertilizers Industry</v>
      </c>
      <c r="F53" s="48" t="str">
        <f>VLOOKUP($A53,Technologies!$A$7:$H$576,7,FALSE)</f>
        <v>Ammonia demand for other fertilizers - Fertilizers</v>
      </c>
      <c r="G53" s="22"/>
      <c r="H53" s="22"/>
      <c r="I53" s="103" cm="1">
        <f t="array" ref="I53">-SUMPRODUCT((Feedstocks!$C$4:$C$141=A53)*Feedstocks!$E$4:$E$141,Feedstocks!$F$4:$F$141,Feedstocks!$H$4:$H$141,Feedstocks!$I$4:$I$141)</f>
        <v>0</v>
      </c>
      <c r="J53" s="103" cm="1">
        <f t="array" ref="J53">-SUMPRODUCT((Feedstocks!$C$4:$C$141=A53)*Feedstocks!$E$4:$E$141,Feedstocks!$H$4:$H$141,Feedstocks!$I$4:$I$141)</f>
        <v>0</v>
      </c>
      <c r="K53" s="103"/>
      <c r="L53" s="103"/>
      <c r="M53" s="22">
        <v>1</v>
      </c>
      <c r="N53" s="22" t="str">
        <f>VLOOKUP(E53,Activities!$A$9:$M$227,13,FALSE)</f>
        <v>NL</v>
      </c>
      <c r="O53" s="22"/>
      <c r="P53" s="80" t="s">
        <v>782</v>
      </c>
      <c r="Q53" s="36"/>
      <c r="R53" s="36"/>
      <c r="S53" s="36"/>
      <c r="T53" s="36"/>
      <c r="U53" s="36"/>
      <c r="V53" s="36"/>
      <c r="W53" s="36"/>
      <c r="X53" s="36"/>
      <c r="Y53" s="36"/>
      <c r="Z53" s="36"/>
      <c r="AA53" s="36"/>
      <c r="AB53" s="36"/>
      <c r="AC53" s="36">
        <v>1</v>
      </c>
      <c r="AD53" s="36"/>
      <c r="AE53" s="36"/>
      <c r="AF53" s="36"/>
      <c r="AG53" s="36"/>
      <c r="AH53" s="36"/>
      <c r="AI53" s="36"/>
      <c r="AJ53" s="36"/>
      <c r="AK53" s="36"/>
      <c r="AL53" s="36"/>
      <c r="AM53" s="36"/>
      <c r="AN53" s="36"/>
      <c r="AO53" s="36"/>
      <c r="AP53" s="36"/>
      <c r="AQ53" s="36"/>
      <c r="AR53" s="36"/>
      <c r="AS53" s="36"/>
      <c r="AT53" s="36"/>
      <c r="AU53" s="36"/>
      <c r="AV53" s="36"/>
      <c r="AW53" s="36"/>
      <c r="AX53" s="36"/>
      <c r="AY53" s="36"/>
      <c r="AZ53" s="36"/>
      <c r="BA53" s="36"/>
      <c r="BB53" s="36"/>
      <c r="BC53" s="36"/>
      <c r="BD53" s="36"/>
      <c r="BE53" s="36"/>
      <c r="BF53" s="36"/>
      <c r="BG53" s="36"/>
      <c r="BH53" s="36"/>
      <c r="BI53" s="36"/>
      <c r="BJ53" s="36"/>
      <c r="BK53" s="36"/>
      <c r="BL53" s="36"/>
      <c r="BM53" s="36"/>
      <c r="BN53" s="36"/>
      <c r="BO53" s="36"/>
      <c r="BP53" s="36"/>
      <c r="BQ53" s="36"/>
      <c r="BR53" s="36"/>
      <c r="BS53" s="36"/>
      <c r="BT53" s="36"/>
      <c r="BU53" s="36"/>
      <c r="BV53" s="36"/>
      <c r="BW53" s="36"/>
      <c r="BX53" s="36"/>
      <c r="BY53" s="36"/>
      <c r="BZ53" s="36"/>
      <c r="CA53" s="36"/>
      <c r="CB53" s="36"/>
      <c r="CC53" s="36"/>
      <c r="CD53" s="36"/>
      <c r="CE53" s="36"/>
      <c r="CF53" s="36"/>
      <c r="CG53" s="36"/>
      <c r="CH53" s="36"/>
      <c r="CI53" s="36"/>
      <c r="CJ53" s="36"/>
      <c r="CK53" s="36"/>
      <c r="CL53" s="36"/>
      <c r="CM53" s="36"/>
      <c r="CN53" s="36"/>
      <c r="CO53" s="36"/>
      <c r="CP53" s="36"/>
      <c r="CQ53" s="36"/>
      <c r="CR53" s="36"/>
      <c r="CS53" s="36"/>
      <c r="CT53" s="36"/>
      <c r="CU53" s="36"/>
      <c r="CV53" s="36"/>
      <c r="CW53" s="36"/>
      <c r="CX53" s="36"/>
      <c r="CY53" s="36"/>
      <c r="CZ53" s="36"/>
      <c r="DA53" s="36"/>
      <c r="DB53" s="36"/>
      <c r="DC53" s="36"/>
      <c r="DD53" s="36"/>
      <c r="DE53" s="36"/>
      <c r="DF53" s="36"/>
      <c r="DG53" s="36"/>
      <c r="DH53" s="36"/>
      <c r="DI53" s="36"/>
      <c r="DJ53" s="36"/>
      <c r="DK53" s="36"/>
      <c r="DL53" s="36"/>
      <c r="DM53" s="36"/>
      <c r="DN53" s="36"/>
      <c r="DO53" s="36"/>
      <c r="DP53" s="36"/>
      <c r="DQ53" s="36"/>
      <c r="DR53" s="36"/>
      <c r="DS53" s="36"/>
      <c r="DT53" s="36"/>
      <c r="DU53" s="36"/>
      <c r="DV53" s="36"/>
      <c r="DW53" s="36"/>
      <c r="DX53" s="36"/>
      <c r="DY53" s="36"/>
      <c r="DZ53" s="36"/>
      <c r="EA53" s="36"/>
      <c r="EB53" s="36"/>
      <c r="EC53" s="36"/>
      <c r="ED53" s="36"/>
      <c r="EE53" s="36"/>
      <c r="EF53" s="36"/>
      <c r="EG53" s="36"/>
      <c r="EH53" s="36"/>
      <c r="EI53" s="36"/>
      <c r="EJ53" s="36"/>
      <c r="EK53" s="36"/>
      <c r="EL53" s="36"/>
      <c r="EM53" s="36"/>
      <c r="EN53" s="36"/>
      <c r="EO53" s="36"/>
      <c r="EP53" s="36"/>
      <c r="EQ53" s="36">
        <v>-18.8</v>
      </c>
      <c r="ER53" s="36"/>
      <c r="ES53" s="36"/>
      <c r="ET53" s="36"/>
      <c r="EU53" s="36"/>
      <c r="EV53" s="36"/>
      <c r="EW53" s="36"/>
      <c r="EX53" s="36"/>
      <c r="EY53" s="36"/>
      <c r="EZ53" s="36"/>
      <c r="FA53" s="36"/>
      <c r="FB53" s="36"/>
      <c r="FC53" s="36"/>
      <c r="FD53" s="36"/>
      <c r="FE53" s="36"/>
      <c r="FF53" s="36"/>
      <c r="FG53" s="36"/>
      <c r="FH53" s="36"/>
      <c r="FI53" s="36"/>
      <c r="FJ53" s="36"/>
      <c r="FK53" s="36"/>
      <c r="FL53" s="36"/>
      <c r="FM53" s="36"/>
      <c r="FN53" s="36"/>
      <c r="FO53" s="36"/>
      <c r="FP53" s="36"/>
      <c r="FQ53" s="36"/>
      <c r="FR53" s="36"/>
      <c r="FS53" s="36"/>
      <c r="FT53" s="36"/>
      <c r="FU53" s="36"/>
      <c r="FV53" s="36"/>
      <c r="FW53" s="36"/>
      <c r="FX53" s="36"/>
      <c r="FY53" s="36"/>
      <c r="FZ53" s="36"/>
      <c r="GA53" s="36"/>
      <c r="GB53" s="319"/>
      <c r="GC53" s="179">
        <f t="shared" si="5"/>
        <v>0</v>
      </c>
      <c r="GD53" s="179">
        <f t="shared" si="6"/>
        <v>0</v>
      </c>
      <c r="GE53" s="179">
        <f t="shared" si="7"/>
        <v>0</v>
      </c>
      <c r="GF53" s="179">
        <f t="shared" si="8"/>
        <v>0</v>
      </c>
      <c r="GG53" s="179">
        <f t="shared" si="4"/>
        <v>0</v>
      </c>
    </row>
    <row r="54" spans="1:189" x14ac:dyDescent="0.35">
      <c r="A54" s="5" t="s">
        <v>787</v>
      </c>
      <c r="B54" s="5" t="str">
        <f>IF(Technologies!B54&lt;&gt;0,Technologies!B54,"")</f>
        <v>Industrie</v>
      </c>
      <c r="C54" s="5" t="str">
        <f>VLOOKUP($A54,Technologies!$A$7:$H$576,3,FALSE)</f>
        <v>Conversion</v>
      </c>
      <c r="D54" s="5" t="str">
        <f>VLOOKUP($A54,Technologies!$A$7:$H$576,4,FALSE)</f>
        <v>Industry</v>
      </c>
      <c r="E54" s="5" t="str">
        <f>VLOOKUP($A54,Technologies!$A$7:$H$576,6,FALSE)</f>
        <v>Ethylene intermediate</v>
      </c>
      <c r="F54" s="5" t="str">
        <f>VLOOKUP($A54,Technologies!$A$7:$H$576,7,FALSE)</f>
        <v>Existing naphtha steam cracker - Petrochemical industry</v>
      </c>
      <c r="G54" s="23"/>
      <c r="H54" s="23"/>
      <c r="I54" s="104" cm="1">
        <f t="array" ref="I54">-SUMPRODUCT((Feedstocks!$C$4:$C$141=A54)*Feedstocks!$E$4:$E$141,Feedstocks!$F$4:$F$141,Feedstocks!$H$4:$H$141,Feedstocks!$I$4:$I$141)</f>
        <v>8.9166509900990079</v>
      </c>
      <c r="J54" s="104" cm="1">
        <f t="array" ref="J54">-SUMPRODUCT((Feedstocks!$C$4:$C$141=A54)*Feedstocks!$E$4:$E$141,Feedstocks!$H$4:$H$141,Feedstocks!$I$4:$I$141)</f>
        <v>8.9166509900990079</v>
      </c>
      <c r="K54" s="104"/>
      <c r="L54" s="104"/>
      <c r="M54" s="23">
        <v>1</v>
      </c>
      <c r="N54" s="23" t="str">
        <f>VLOOKUP(E54,Activities!$A$9:$M$227,13,FALSE)</f>
        <v>NL</v>
      </c>
      <c r="O54" s="23"/>
      <c r="P54" s="200" t="s">
        <v>1811</v>
      </c>
      <c r="Q54" s="35"/>
      <c r="R54" s="35"/>
      <c r="S54" s="35"/>
      <c r="T54" s="35"/>
      <c r="U54" s="35"/>
      <c r="V54" s="35"/>
      <c r="W54" s="35"/>
      <c r="X54" s="35"/>
      <c r="Y54" s="35"/>
      <c r="Z54" s="35"/>
      <c r="AA54" s="35"/>
      <c r="AB54" s="35"/>
      <c r="AC54" s="35"/>
      <c r="AD54" s="35"/>
      <c r="AE54" s="35"/>
      <c r="AF54" s="202">
        <f>4.2/30.25</f>
        <v>0.13884297520661157</v>
      </c>
      <c r="AG54" s="35">
        <f>SUM(8.32,3.4,1.14)/30.25</f>
        <v>0.42512396694214882</v>
      </c>
      <c r="AH54" s="35"/>
      <c r="AI54" s="35"/>
      <c r="AJ54" s="35"/>
      <c r="AK54" s="35"/>
      <c r="AL54" s="35"/>
      <c r="AM54" s="35"/>
      <c r="AN54" s="35"/>
      <c r="AO54" s="35"/>
      <c r="AP54" s="35"/>
      <c r="AQ54" s="35"/>
      <c r="AR54" s="35"/>
      <c r="AS54" s="35"/>
      <c r="AT54" s="35"/>
      <c r="AU54" s="35"/>
      <c r="AV54" s="35"/>
      <c r="AW54" s="35"/>
      <c r="AX54" s="35"/>
      <c r="AY54" s="35"/>
      <c r="AZ54" s="35"/>
      <c r="BA54" s="35"/>
      <c r="BB54" s="35"/>
      <c r="BC54" s="35"/>
      <c r="BD54" s="35"/>
      <c r="BE54" s="35"/>
      <c r="BF54" s="35"/>
      <c r="BG54" s="35"/>
      <c r="BH54" s="35"/>
      <c r="BI54" s="35"/>
      <c r="BJ54" s="35"/>
      <c r="BK54" s="35"/>
      <c r="BL54" s="35"/>
      <c r="BM54" s="35"/>
      <c r="BN54" s="35"/>
      <c r="BO54" s="35"/>
      <c r="BP54" s="35"/>
      <c r="BQ54" s="35"/>
      <c r="BR54" s="35"/>
      <c r="BS54" s="35"/>
      <c r="BT54" s="35"/>
      <c r="BU54" s="35"/>
      <c r="BV54" s="35"/>
      <c r="BW54" s="35"/>
      <c r="BX54" s="35"/>
      <c r="BY54" s="35"/>
      <c r="BZ54" s="35"/>
      <c r="CA54" s="35"/>
      <c r="CB54" s="35"/>
      <c r="CC54" s="35"/>
      <c r="CD54" s="35"/>
      <c r="CE54" s="35"/>
      <c r="CF54" s="35"/>
      <c r="CG54" s="35"/>
      <c r="CH54" s="35"/>
      <c r="CI54" s="35"/>
      <c r="CJ54" s="35"/>
      <c r="CK54" s="35"/>
      <c r="CL54" s="35"/>
      <c r="CM54" s="35"/>
      <c r="CN54" s="35"/>
      <c r="CO54" s="35"/>
      <c r="CP54" s="35"/>
      <c r="CQ54" s="35"/>
      <c r="CR54" s="35"/>
      <c r="CS54" s="35">
        <v>1</v>
      </c>
      <c r="CT54" s="35">
        <v>0.44884488448844889</v>
      </c>
      <c r="CU54" s="35"/>
      <c r="CV54" s="35"/>
      <c r="CW54" s="35"/>
      <c r="CX54" s="35"/>
      <c r="CY54" s="35"/>
      <c r="CZ54" s="35"/>
      <c r="DA54" s="35"/>
      <c r="DB54" s="35"/>
      <c r="DC54" s="35"/>
      <c r="DD54" s="35"/>
      <c r="DE54" s="35"/>
      <c r="DF54" s="35"/>
      <c r="DG54" s="35"/>
      <c r="DH54" s="203">
        <v>-0.98613861386138613</v>
      </c>
      <c r="DI54" s="35"/>
      <c r="DJ54" s="35"/>
      <c r="DK54" s="35"/>
      <c r="DL54" s="35"/>
      <c r="DM54" s="35"/>
      <c r="DN54" s="35"/>
      <c r="DO54" s="35">
        <v>-0.97425742574257423</v>
      </c>
      <c r="DP54" s="35"/>
      <c r="DQ54" s="35"/>
      <c r="DR54" s="35"/>
      <c r="DS54" s="203"/>
      <c r="DT54" s="203">
        <v>-148.18481848184817</v>
      </c>
      <c r="DU54" s="203"/>
      <c r="DV54" s="203"/>
      <c r="DW54" s="35"/>
      <c r="DX54" s="203"/>
      <c r="DY54" s="35"/>
      <c r="DZ54" s="35"/>
      <c r="EA54" s="35"/>
      <c r="EB54" s="35"/>
      <c r="EC54" s="35"/>
      <c r="ED54" s="35"/>
      <c r="EE54" s="35"/>
      <c r="EF54" s="35"/>
      <c r="EG54" s="35"/>
      <c r="EH54" s="35"/>
      <c r="EI54" s="35"/>
      <c r="EJ54" s="203">
        <v>9.2792079207920786</v>
      </c>
      <c r="EK54" s="35"/>
      <c r="EL54" s="35"/>
      <c r="EM54" s="203"/>
      <c r="EN54" s="35"/>
      <c r="EO54" s="35"/>
      <c r="EP54" s="35"/>
      <c r="EQ54" s="35"/>
      <c r="ER54" s="35"/>
      <c r="ES54" s="35"/>
      <c r="ET54" s="203"/>
      <c r="EU54" s="35"/>
      <c r="EV54" s="35"/>
      <c r="EW54" s="35"/>
      <c r="EX54" s="35"/>
      <c r="EY54" s="35"/>
      <c r="EZ54" s="35"/>
      <c r="FA54" s="35"/>
      <c r="FB54" s="35"/>
      <c r="FC54" s="35"/>
      <c r="FD54" s="35"/>
      <c r="FE54" s="35"/>
      <c r="FF54" s="35"/>
      <c r="FG54" s="35"/>
      <c r="FH54" s="35"/>
      <c r="FI54" s="35"/>
      <c r="FJ54" s="35"/>
      <c r="FK54" s="35"/>
      <c r="FL54" s="35"/>
      <c r="FM54" s="35"/>
      <c r="FN54" s="35"/>
      <c r="FO54" s="35"/>
      <c r="FP54" s="35"/>
      <c r="FQ54" s="35"/>
      <c r="FR54" s="35"/>
      <c r="FS54" s="35"/>
      <c r="FT54" s="35"/>
      <c r="FU54" s="35"/>
      <c r="FV54" s="35"/>
      <c r="FW54" s="35"/>
      <c r="FX54" s="35"/>
      <c r="FY54" s="35"/>
      <c r="FZ54" s="35"/>
      <c r="GA54" s="35"/>
      <c r="GB54" s="318"/>
      <c r="GC54" s="178">
        <f t="shared" si="5"/>
        <v>0</v>
      </c>
      <c r="GD54" s="178">
        <f t="shared" si="6"/>
        <v>1.0792999999999999</v>
      </c>
      <c r="GE54" s="178">
        <f t="shared" si="7"/>
        <v>0</v>
      </c>
      <c r="GF54" s="178">
        <f t="shared" si="8"/>
        <v>0</v>
      </c>
      <c r="GG54" s="178">
        <f t="shared" si="4"/>
        <v>8.9166509900990079</v>
      </c>
    </row>
    <row r="55" spans="1:189" x14ac:dyDescent="0.35">
      <c r="A55" s="6" t="s">
        <v>793</v>
      </c>
      <c r="B55" s="6" t="str">
        <f>IF(Technologies!B55&lt;&gt;0,Technologies!B55,"")</f>
        <v>Industrie</v>
      </c>
      <c r="C55" s="6" t="str">
        <f>VLOOKUP($A55,Technologies!$A$7:$H$576,3,FALSE)</f>
        <v>Conversion</v>
      </c>
      <c r="D55" s="6" t="str">
        <f>VLOOKUP($A55,Technologies!$A$7:$H$576,4,FALSE)</f>
        <v>Industry</v>
      </c>
      <c r="E55" s="6" t="str">
        <f>VLOOKUP($A55,Technologies!$A$7:$H$576,6,FALSE)</f>
        <v>Ethylene intermediate</v>
      </c>
      <c r="F55" s="48" t="str">
        <f>VLOOKUP($A55,Technologies!$A$7:$H$576,7,FALSE)</f>
        <v>Existing naphtha steam cracker wCCUS (MEA postcombustion) - Petrochemical industry</v>
      </c>
      <c r="G55" s="22">
        <v>0.9</v>
      </c>
      <c r="H55" s="22"/>
      <c r="I55" s="103" cm="1">
        <f t="array" ref="I55">-SUMPRODUCT((Feedstocks!$C$4:$C$141=A55)*Feedstocks!$E$4:$E$141,Feedstocks!$F$4:$F$141,Feedstocks!$H$4:$H$141,Feedstocks!$I$4:$I$141)</f>
        <v>8.9166509900990079</v>
      </c>
      <c r="J55" s="103" cm="1">
        <f t="array" ref="J55">-SUMPRODUCT((Feedstocks!$C$4:$C$141=A55)*Feedstocks!$E$4:$E$141,Feedstocks!$H$4:$H$141,Feedstocks!$I$4:$I$141)</f>
        <v>8.9166509900990079</v>
      </c>
      <c r="K55" s="103"/>
      <c r="L55" s="103"/>
      <c r="M55" s="22">
        <v>1</v>
      </c>
      <c r="N55" s="22" t="str">
        <f>VLOOKUP(E55,Activities!$A$9:$M$227,13,FALSE)</f>
        <v>NL</v>
      </c>
      <c r="O55" s="22"/>
      <c r="P55" s="200" t="s">
        <v>1811</v>
      </c>
      <c r="Q55" s="36"/>
      <c r="R55" s="36"/>
      <c r="S55" s="36"/>
      <c r="T55" s="36"/>
      <c r="U55" s="36"/>
      <c r="V55" s="36"/>
      <c r="W55" s="36"/>
      <c r="X55" s="36"/>
      <c r="Y55" s="36"/>
      <c r="Z55" s="36"/>
      <c r="AA55" s="36"/>
      <c r="AB55" s="36"/>
      <c r="AC55" s="36"/>
      <c r="AD55" s="36"/>
      <c r="AE55" s="36"/>
      <c r="AF55" s="202">
        <f t="shared" ref="AF55:AF63" si="11">4.2/30.25</f>
        <v>0.13884297520661157</v>
      </c>
      <c r="AG55" s="35">
        <f t="shared" ref="AG55:AG63" si="12">SUM(8.32,3.4,1.14)/30.25</f>
        <v>0.42512396694214882</v>
      </c>
      <c r="AH55" s="35"/>
      <c r="AI55" s="35"/>
      <c r="AJ55" s="35"/>
      <c r="AK55" s="35"/>
      <c r="AL55" s="35"/>
      <c r="AM55" s="35"/>
      <c r="AN55" s="35"/>
      <c r="AO55" s="35"/>
      <c r="AP55" s="36"/>
      <c r="AQ55" s="36"/>
      <c r="AR55" s="36"/>
      <c r="AS55" s="36"/>
      <c r="AT55" s="36"/>
      <c r="AU55" s="36"/>
      <c r="AV55" s="36"/>
      <c r="AW55" s="36"/>
      <c r="AX55" s="36"/>
      <c r="AY55" s="36"/>
      <c r="AZ55" s="36"/>
      <c r="BA55" s="36"/>
      <c r="BB55" s="36"/>
      <c r="BC55" s="36"/>
      <c r="BD55" s="36"/>
      <c r="BE55" s="36"/>
      <c r="BF55" s="36"/>
      <c r="BG55" s="36"/>
      <c r="BH55" s="36"/>
      <c r="BI55" s="36"/>
      <c r="BJ55" s="36"/>
      <c r="BK55" s="36"/>
      <c r="BL55" s="36"/>
      <c r="BM55" s="36"/>
      <c r="BN55" s="36"/>
      <c r="BO55" s="36"/>
      <c r="BP55" s="36"/>
      <c r="BQ55" s="36"/>
      <c r="BR55" s="36"/>
      <c r="BS55" s="36"/>
      <c r="BT55" s="36"/>
      <c r="BU55" s="36"/>
      <c r="BV55" s="36"/>
      <c r="BW55" s="36"/>
      <c r="BX55" s="36"/>
      <c r="BY55" s="36"/>
      <c r="BZ55" s="36"/>
      <c r="CA55" s="36"/>
      <c r="CB55" s="36"/>
      <c r="CC55" s="36"/>
      <c r="CD55" s="36"/>
      <c r="CE55" s="36"/>
      <c r="CF55" s="36"/>
      <c r="CG55" s="36"/>
      <c r="CH55" s="36"/>
      <c r="CI55" s="36"/>
      <c r="CJ55" s="36"/>
      <c r="CK55" s="36"/>
      <c r="CL55" s="36"/>
      <c r="CM55" s="36"/>
      <c r="CN55" s="36"/>
      <c r="CO55" s="36"/>
      <c r="CP55" s="36"/>
      <c r="CQ55" s="36"/>
      <c r="CR55" s="36"/>
      <c r="CS55" s="36">
        <v>1</v>
      </c>
      <c r="CT55" s="35">
        <v>0.44884488448844889</v>
      </c>
      <c r="CU55" s="36"/>
      <c r="CV55" s="36"/>
      <c r="CW55" s="36"/>
      <c r="CX55" s="36"/>
      <c r="CY55" s="36"/>
      <c r="CZ55" s="36"/>
      <c r="DA55" s="36"/>
      <c r="DB55" s="36"/>
      <c r="DC55" s="36"/>
      <c r="DD55" s="36"/>
      <c r="DE55" s="36"/>
      <c r="DF55" s="36"/>
      <c r="DG55" s="36"/>
      <c r="DH55" s="203">
        <v>-1.2712871287128713</v>
      </c>
      <c r="DI55" s="36"/>
      <c r="DJ55" s="36"/>
      <c r="DK55" s="36"/>
      <c r="DL55" s="36"/>
      <c r="DM55" s="36"/>
      <c r="DN55" s="36"/>
      <c r="DO55" s="36">
        <v>-4.7762376237623769</v>
      </c>
      <c r="DP55" s="36"/>
      <c r="DQ55" s="36"/>
      <c r="DR55" s="36"/>
      <c r="DS55" s="203"/>
      <c r="DT55" s="203">
        <v>-148.18481848184817</v>
      </c>
      <c r="DU55" s="203"/>
      <c r="DV55" s="203"/>
      <c r="DW55" s="36"/>
      <c r="DX55" s="203"/>
      <c r="DY55" s="36"/>
      <c r="DZ55" s="36"/>
      <c r="EA55" s="36"/>
      <c r="EB55" s="36"/>
      <c r="EC55" s="36"/>
      <c r="ED55" s="36"/>
      <c r="EE55" s="36"/>
      <c r="EF55" s="36"/>
      <c r="EG55" s="36"/>
      <c r="EH55" s="36"/>
      <c r="EI55" s="36"/>
      <c r="EJ55" s="203">
        <v>9.2792079207920786</v>
      </c>
      <c r="EK55" s="35"/>
      <c r="EL55" s="36"/>
      <c r="EM55" s="203"/>
      <c r="EN55" s="35"/>
      <c r="EO55" s="35"/>
      <c r="EP55" s="36"/>
      <c r="EQ55" s="36"/>
      <c r="ER55" s="36"/>
      <c r="ES55" s="36"/>
      <c r="ET55" s="203"/>
      <c r="EU55" s="36"/>
      <c r="EV55" s="36"/>
      <c r="EW55" s="36"/>
      <c r="EX55" s="36"/>
      <c r="EY55" s="36"/>
      <c r="EZ55" s="36"/>
      <c r="FA55" s="36"/>
      <c r="FB55" s="36"/>
      <c r="FC55" s="36"/>
      <c r="FD55" s="36"/>
      <c r="FE55" s="36"/>
      <c r="FF55" s="36"/>
      <c r="FG55" s="36"/>
      <c r="FH55" s="36"/>
      <c r="FI55" s="36"/>
      <c r="FJ55" s="36"/>
      <c r="FK55" s="36"/>
      <c r="FL55" s="36"/>
      <c r="FM55" s="36"/>
      <c r="FN55" s="36"/>
      <c r="FO55" s="36"/>
      <c r="FP55" s="36"/>
      <c r="FQ55" s="36"/>
      <c r="FR55" s="36"/>
      <c r="FS55" s="36"/>
      <c r="FT55" s="36"/>
      <c r="FU55" s="36"/>
      <c r="FV55" s="36"/>
      <c r="FW55" s="36"/>
      <c r="FX55" s="36"/>
      <c r="FY55" s="36"/>
      <c r="FZ55" s="36"/>
      <c r="GA55" s="36"/>
      <c r="GB55" s="319"/>
      <c r="GC55" s="179">
        <f t="shared" si="5"/>
        <v>0.97130000000000005</v>
      </c>
      <c r="GD55" s="179">
        <f t="shared" si="6"/>
        <v>0.1079</v>
      </c>
      <c r="GE55" s="179">
        <f t="shared" si="7"/>
        <v>0</v>
      </c>
      <c r="GF55" s="179">
        <f t="shared" si="8"/>
        <v>0</v>
      </c>
      <c r="GG55" s="179">
        <f t="shared" si="4"/>
        <v>8.9166509900990079</v>
      </c>
    </row>
    <row r="56" spans="1:189" x14ac:dyDescent="0.35">
      <c r="A56" s="5" t="s">
        <v>795</v>
      </c>
      <c r="B56" s="5" t="str">
        <f>IF(Technologies!B56&lt;&gt;0,Technologies!B56,"")</f>
        <v>Industrie</v>
      </c>
      <c r="C56" s="5" t="str">
        <f>VLOOKUP($A56,Technologies!$A$7:$H$576,3,FALSE)</f>
        <v>Conversion</v>
      </c>
      <c r="D56" s="5" t="str">
        <f>VLOOKUP($A56,Technologies!$A$7:$H$576,4,FALSE)</f>
        <v>Industry</v>
      </c>
      <c r="E56" s="5" t="str">
        <f>VLOOKUP($A56,Technologies!$A$7:$H$576,6,FALSE)</f>
        <v>Ethylene intermediate</v>
      </c>
      <c r="F56" s="5" t="str">
        <f>VLOOKUP($A56,Technologies!$A$7:$H$576,7,FALSE)</f>
        <v>Existing bio-naphtha steam cracker wCCUS (MEA postcombustion) - Petrochemical industry</v>
      </c>
      <c r="G56" s="23">
        <v>0.9</v>
      </c>
      <c r="H56" s="23"/>
      <c r="I56" s="104" cm="1">
        <f t="array" ref="I56">-SUMPRODUCT((Feedstocks!$C$4:$C$141=A56)*Feedstocks!$E$4:$E$141,Feedstocks!$F$4:$F$141,Feedstocks!$H$4:$H$141,Feedstocks!$I$4:$I$141)</f>
        <v>0</v>
      </c>
      <c r="J56" s="104" cm="1">
        <f t="array" ref="J56">-SUMPRODUCT((Feedstocks!$C$4:$C$141=A56)*Feedstocks!$E$4:$E$141,Feedstocks!$H$4:$H$141,Feedstocks!$I$4:$I$141)</f>
        <v>8.9166509900990079</v>
      </c>
      <c r="K56" s="104"/>
      <c r="L56" s="104"/>
      <c r="M56" s="23">
        <v>1</v>
      </c>
      <c r="N56" s="23" t="str">
        <f>VLOOKUP(E56,Activities!$A$9:$M$227,13,FALSE)</f>
        <v>NL</v>
      </c>
      <c r="O56" s="23"/>
      <c r="P56" s="200" t="s">
        <v>1811</v>
      </c>
      <c r="Q56" s="35"/>
      <c r="R56" s="35"/>
      <c r="S56" s="35"/>
      <c r="T56" s="35"/>
      <c r="U56" s="35"/>
      <c r="V56" s="35"/>
      <c r="W56" s="35"/>
      <c r="X56" s="35"/>
      <c r="Y56" s="35"/>
      <c r="Z56" s="35"/>
      <c r="AA56" s="35"/>
      <c r="AB56" s="35"/>
      <c r="AC56" s="35"/>
      <c r="AD56" s="35"/>
      <c r="AE56" s="35"/>
      <c r="AF56" s="202">
        <f t="shared" si="11"/>
        <v>0.13884297520661157</v>
      </c>
      <c r="AG56" s="35">
        <f t="shared" si="12"/>
        <v>0.42512396694214882</v>
      </c>
      <c r="AH56" s="35"/>
      <c r="AI56" s="35"/>
      <c r="AJ56" s="35"/>
      <c r="AK56" s="35"/>
      <c r="AL56" s="35"/>
      <c r="AM56" s="35"/>
      <c r="AN56" s="35"/>
      <c r="AO56" s="35"/>
      <c r="AP56" s="35"/>
      <c r="AQ56" s="35"/>
      <c r="AR56" s="35"/>
      <c r="AS56" s="35"/>
      <c r="AT56" s="35"/>
      <c r="AU56" s="35"/>
      <c r="AV56" s="35"/>
      <c r="AW56" s="35"/>
      <c r="AX56" s="35"/>
      <c r="AY56" s="35"/>
      <c r="AZ56" s="35"/>
      <c r="BA56" s="35"/>
      <c r="BB56" s="35"/>
      <c r="BC56" s="35"/>
      <c r="BD56" s="35"/>
      <c r="BE56" s="35"/>
      <c r="BF56" s="35"/>
      <c r="BG56" s="35"/>
      <c r="BH56" s="35"/>
      <c r="BI56" s="35"/>
      <c r="BJ56" s="35"/>
      <c r="BK56" s="35"/>
      <c r="BL56" s="35"/>
      <c r="BM56" s="35"/>
      <c r="BN56" s="35"/>
      <c r="BO56" s="35"/>
      <c r="BP56" s="35"/>
      <c r="BQ56" s="35"/>
      <c r="BR56" s="35"/>
      <c r="BS56" s="35"/>
      <c r="BT56" s="35"/>
      <c r="BU56" s="35"/>
      <c r="BV56" s="35"/>
      <c r="BW56" s="35"/>
      <c r="BX56" s="35"/>
      <c r="BY56" s="35"/>
      <c r="BZ56" s="35"/>
      <c r="CA56" s="35"/>
      <c r="CB56" s="35"/>
      <c r="CC56" s="35"/>
      <c r="CD56" s="35"/>
      <c r="CE56" s="35"/>
      <c r="CF56" s="35"/>
      <c r="CG56" s="35"/>
      <c r="CH56" s="35"/>
      <c r="CI56" s="35"/>
      <c r="CJ56" s="35"/>
      <c r="CK56" s="35"/>
      <c r="CL56" s="35"/>
      <c r="CM56" s="35"/>
      <c r="CN56" s="35"/>
      <c r="CO56" s="35"/>
      <c r="CP56" s="35"/>
      <c r="CQ56" s="35"/>
      <c r="CR56" s="35"/>
      <c r="CS56" s="35">
        <v>1</v>
      </c>
      <c r="CT56" s="35">
        <v>0.44884488448844889</v>
      </c>
      <c r="CU56" s="35"/>
      <c r="CV56" s="35"/>
      <c r="CW56" s="35"/>
      <c r="CX56" s="35"/>
      <c r="CY56" s="35"/>
      <c r="CZ56" s="35"/>
      <c r="DA56" s="35"/>
      <c r="DB56" s="35"/>
      <c r="DC56" s="35"/>
      <c r="DD56" s="35"/>
      <c r="DE56" s="35"/>
      <c r="DF56" s="35"/>
      <c r="DG56" s="35"/>
      <c r="DH56" s="203">
        <v>-1.2712871287128713</v>
      </c>
      <c r="DI56" s="35"/>
      <c r="DJ56" s="35"/>
      <c r="DK56" s="35"/>
      <c r="DL56" s="35"/>
      <c r="DM56" s="35"/>
      <c r="DN56" s="35"/>
      <c r="DO56" s="36">
        <v>-4.7762376237623769</v>
      </c>
      <c r="DP56" s="36"/>
      <c r="DQ56" s="35"/>
      <c r="DR56" s="35"/>
      <c r="DS56" s="35"/>
      <c r="DT56" s="35"/>
      <c r="DU56" s="35"/>
      <c r="DV56" s="35"/>
      <c r="DW56" s="35"/>
      <c r="DX56" s="35"/>
      <c r="DY56" s="203">
        <v>-148.18481848184817</v>
      </c>
      <c r="DZ56" s="35"/>
      <c r="EA56" s="203"/>
      <c r="EB56" s="203"/>
      <c r="EC56" s="203"/>
      <c r="ED56" s="35"/>
      <c r="EE56" s="35"/>
      <c r="EF56" s="35"/>
      <c r="EG56" s="35"/>
      <c r="EH56" s="35"/>
      <c r="EI56" s="35"/>
      <c r="EJ56" s="203">
        <v>9.2792079207920786</v>
      </c>
      <c r="EK56" s="35"/>
      <c r="EL56" s="35"/>
      <c r="EM56" s="203"/>
      <c r="EN56" s="35"/>
      <c r="EO56" s="35"/>
      <c r="EP56" s="35"/>
      <c r="EQ56" s="35"/>
      <c r="ER56" s="35"/>
      <c r="ES56" s="35"/>
      <c r="ET56" s="35"/>
      <c r="EU56" s="35"/>
      <c r="EV56" s="35"/>
      <c r="EW56" s="35"/>
      <c r="EX56" s="35"/>
      <c r="EY56" s="35"/>
      <c r="EZ56" s="35"/>
      <c r="FA56" s="35"/>
      <c r="FB56" s="35"/>
      <c r="FC56" s="35"/>
      <c r="FD56" s="35"/>
      <c r="FE56" s="35"/>
      <c r="FF56" s="35"/>
      <c r="FG56" s="35"/>
      <c r="FH56" s="35"/>
      <c r="FI56" s="35"/>
      <c r="FJ56" s="35"/>
      <c r="FK56" s="35"/>
      <c r="FL56" s="35"/>
      <c r="FM56" s="35"/>
      <c r="FN56" s="35"/>
      <c r="FO56" s="35"/>
      <c r="FP56" s="35"/>
      <c r="FQ56" s="35"/>
      <c r="FR56" s="35"/>
      <c r="FS56" s="35"/>
      <c r="FT56" s="35"/>
      <c r="FU56" s="35"/>
      <c r="FV56" s="35"/>
      <c r="FW56" s="35"/>
      <c r="FX56" s="35"/>
      <c r="FY56" s="35"/>
      <c r="FZ56" s="35"/>
      <c r="GA56" s="35"/>
      <c r="GB56" s="318">
        <f>GC56</f>
        <v>0.97130000000000005</v>
      </c>
      <c r="GC56" s="178">
        <f t="shared" si="5"/>
        <v>0.97130000000000005</v>
      </c>
      <c r="GD56" s="178">
        <f t="shared" si="6"/>
        <v>-1.4964999999999999</v>
      </c>
      <c r="GE56" s="178">
        <f t="shared" si="7"/>
        <v>0</v>
      </c>
      <c r="GF56" s="178">
        <f t="shared" si="8"/>
        <v>0</v>
      </c>
      <c r="GG56" s="178">
        <f t="shared" si="4"/>
        <v>0</v>
      </c>
    </row>
    <row r="57" spans="1:189" x14ac:dyDescent="0.35">
      <c r="A57" s="6" t="s">
        <v>797</v>
      </c>
      <c r="B57" s="6" t="str">
        <f>IF(Technologies!B57&lt;&gt;0,Technologies!B57,"")</f>
        <v>Industrie</v>
      </c>
      <c r="C57" s="6" t="str">
        <f>VLOOKUP($A57,Technologies!$A$7:$H$576,3,FALSE)</f>
        <v>Conversion</v>
      </c>
      <c r="D57" s="6" t="str">
        <f>VLOOKUP($A57,Technologies!$A$7:$H$576,4,FALSE)</f>
        <v>Industry</v>
      </c>
      <c r="E57" s="6" t="str">
        <f>VLOOKUP($A57,Technologies!$A$7:$H$576,6,FALSE)</f>
        <v>Ethylene intermediate</v>
      </c>
      <c r="F57" s="48" t="str">
        <f>VLOOKUP($A57,Technologies!$A$7:$H$576,7,FALSE)</f>
        <v>Existing syn-naphtha steam cracker wCCUS (MEA postcombustion) - Petrochemical industry</v>
      </c>
      <c r="G57" s="22">
        <v>0.9</v>
      </c>
      <c r="H57" s="22"/>
      <c r="I57" s="103" cm="1">
        <f t="array" ref="I57">-SUMPRODUCT((Feedstocks!$C$4:$C$141=A57)*Feedstocks!$E$4:$E$141,Feedstocks!$F$4:$F$141,Feedstocks!$H$4:$H$141,Feedstocks!$I$4:$I$141)</f>
        <v>8.9166509900990079</v>
      </c>
      <c r="J57" s="103" cm="1">
        <f t="array" ref="J57">-SUMPRODUCT((Feedstocks!$C$4:$C$141=A57)*Feedstocks!$E$4:$E$141,Feedstocks!$H$4:$H$141,Feedstocks!$I$4:$I$141)</f>
        <v>8.9166509900990079</v>
      </c>
      <c r="K57" s="103"/>
      <c r="L57" s="103"/>
      <c r="M57" s="22">
        <v>1</v>
      </c>
      <c r="N57" s="22" t="str">
        <f>VLOOKUP(E57,Activities!$A$9:$M$227,13,FALSE)</f>
        <v>NL</v>
      </c>
      <c r="O57" s="22"/>
      <c r="P57" s="200" t="s">
        <v>1811</v>
      </c>
      <c r="Q57" s="36"/>
      <c r="R57" s="36"/>
      <c r="S57" s="36"/>
      <c r="T57" s="36"/>
      <c r="U57" s="36"/>
      <c r="V57" s="36"/>
      <c r="W57" s="36"/>
      <c r="X57" s="36"/>
      <c r="Y57" s="36"/>
      <c r="Z57" s="36"/>
      <c r="AA57" s="36"/>
      <c r="AB57" s="36"/>
      <c r="AC57" s="36"/>
      <c r="AD57" s="36"/>
      <c r="AE57" s="36"/>
      <c r="AF57" s="202">
        <f t="shared" si="11"/>
        <v>0.13884297520661157</v>
      </c>
      <c r="AG57" s="35">
        <f t="shared" si="12"/>
        <v>0.42512396694214882</v>
      </c>
      <c r="AH57" s="35"/>
      <c r="AI57" s="35"/>
      <c r="AJ57" s="35"/>
      <c r="AK57" s="35"/>
      <c r="AL57" s="35"/>
      <c r="AM57" s="35"/>
      <c r="AN57" s="35"/>
      <c r="AO57" s="35"/>
      <c r="AP57" s="36"/>
      <c r="AQ57" s="36"/>
      <c r="AR57" s="36"/>
      <c r="AS57" s="36"/>
      <c r="AT57" s="36"/>
      <c r="AU57" s="36"/>
      <c r="AV57" s="36"/>
      <c r="AW57" s="36"/>
      <c r="AX57" s="36"/>
      <c r="AY57" s="36"/>
      <c r="AZ57" s="36"/>
      <c r="BA57" s="36"/>
      <c r="BB57" s="36"/>
      <c r="BC57" s="36"/>
      <c r="BD57" s="36"/>
      <c r="BE57" s="36"/>
      <c r="BF57" s="36"/>
      <c r="BG57" s="36"/>
      <c r="BH57" s="36"/>
      <c r="BI57" s="36"/>
      <c r="BJ57" s="36"/>
      <c r="BK57" s="36"/>
      <c r="BL57" s="36"/>
      <c r="BM57" s="36"/>
      <c r="BN57" s="36"/>
      <c r="BO57" s="36"/>
      <c r="BP57" s="36"/>
      <c r="BQ57" s="36"/>
      <c r="BR57" s="36"/>
      <c r="BS57" s="36"/>
      <c r="BT57" s="36"/>
      <c r="BU57" s="36"/>
      <c r="BV57" s="36"/>
      <c r="BW57" s="36"/>
      <c r="BX57" s="36"/>
      <c r="BY57" s="36"/>
      <c r="BZ57" s="36"/>
      <c r="CA57" s="36"/>
      <c r="CB57" s="36"/>
      <c r="CC57" s="36"/>
      <c r="CD57" s="36"/>
      <c r="CE57" s="36"/>
      <c r="CF57" s="36"/>
      <c r="CG57" s="36"/>
      <c r="CH57" s="36"/>
      <c r="CI57" s="36"/>
      <c r="CJ57" s="36"/>
      <c r="CK57" s="36"/>
      <c r="CL57" s="36"/>
      <c r="CM57" s="36"/>
      <c r="CN57" s="36"/>
      <c r="CO57" s="36"/>
      <c r="CP57" s="36"/>
      <c r="CQ57" s="36"/>
      <c r="CR57" s="36"/>
      <c r="CS57" s="36">
        <v>1</v>
      </c>
      <c r="CT57" s="35">
        <v>0.44884488448844889</v>
      </c>
      <c r="CU57" s="36"/>
      <c r="CV57" s="36"/>
      <c r="CW57" s="36"/>
      <c r="CX57" s="36"/>
      <c r="CY57" s="36"/>
      <c r="CZ57" s="36"/>
      <c r="DA57" s="36"/>
      <c r="DB57" s="36"/>
      <c r="DC57" s="36"/>
      <c r="DD57" s="36"/>
      <c r="DE57" s="36"/>
      <c r="DF57" s="36"/>
      <c r="DG57" s="36"/>
      <c r="DH57" s="203">
        <v>-1.2712871287128713</v>
      </c>
      <c r="DI57" s="36"/>
      <c r="DJ57" s="36"/>
      <c r="DK57" s="36"/>
      <c r="DL57" s="36"/>
      <c r="DM57" s="36"/>
      <c r="DN57" s="36"/>
      <c r="DO57" s="36">
        <v>-4.7762376237623769</v>
      </c>
      <c r="DP57" s="36"/>
      <c r="DQ57" s="36"/>
      <c r="DR57" s="36"/>
      <c r="DS57" s="36"/>
      <c r="DT57" s="36"/>
      <c r="DU57" s="36"/>
      <c r="DV57" s="36"/>
      <c r="DW57" s="36"/>
      <c r="DX57" s="36"/>
      <c r="DY57" s="36"/>
      <c r="DZ57" s="36"/>
      <c r="EA57" s="36"/>
      <c r="EB57" s="36"/>
      <c r="EC57" s="36"/>
      <c r="ED57" s="203">
        <v>-148.18481848184817</v>
      </c>
      <c r="EE57" s="203"/>
      <c r="EF57" s="203"/>
      <c r="EG57" s="36"/>
      <c r="EH57" s="36"/>
      <c r="EI57" s="36"/>
      <c r="EJ57" s="203">
        <v>9.2792079207920786</v>
      </c>
      <c r="EK57" s="35"/>
      <c r="EL57" s="36"/>
      <c r="EM57" s="203"/>
      <c r="EN57" s="35"/>
      <c r="EO57" s="35"/>
      <c r="EP57" s="36"/>
      <c r="EQ57" s="36"/>
      <c r="ER57" s="36"/>
      <c r="ES57" s="36"/>
      <c r="ET57" s="36"/>
      <c r="EU57" s="36"/>
      <c r="EV57" s="36"/>
      <c r="EW57" s="36"/>
      <c r="EX57" s="36"/>
      <c r="EY57" s="36"/>
      <c r="EZ57" s="36"/>
      <c r="FA57" s="36"/>
      <c r="FB57" s="36"/>
      <c r="FC57" s="36"/>
      <c r="FD57" s="36"/>
      <c r="FE57" s="36"/>
      <c r="FF57" s="36"/>
      <c r="FG57" s="36"/>
      <c r="FH57" s="36"/>
      <c r="FI57" s="36"/>
      <c r="FJ57" s="36"/>
      <c r="FK57" s="36"/>
      <c r="FL57" s="36"/>
      <c r="FM57" s="36"/>
      <c r="FN57" s="36"/>
      <c r="FO57" s="36"/>
      <c r="FP57" s="36"/>
      <c r="FQ57" s="36"/>
      <c r="FR57" s="36"/>
      <c r="FS57" s="36"/>
      <c r="FT57" s="36"/>
      <c r="FU57" s="36"/>
      <c r="FV57" s="36"/>
      <c r="FW57" s="36"/>
      <c r="FX57" s="36"/>
      <c r="FY57" s="36"/>
      <c r="FZ57" s="36"/>
      <c r="GA57" s="36"/>
      <c r="GB57" s="319"/>
      <c r="GC57" s="179">
        <f t="shared" si="5"/>
        <v>0.97130000000000005</v>
      </c>
      <c r="GD57" s="179">
        <f t="shared" si="6"/>
        <v>0.1079</v>
      </c>
      <c r="GE57" s="179">
        <f t="shared" si="7"/>
        <v>0</v>
      </c>
      <c r="GF57" s="179">
        <f t="shared" si="8"/>
        <v>0</v>
      </c>
      <c r="GG57" s="179">
        <f t="shared" si="4"/>
        <v>8.9166509900990079</v>
      </c>
    </row>
    <row r="58" spans="1:189" x14ac:dyDescent="0.35">
      <c r="A58" s="5" t="s">
        <v>799</v>
      </c>
      <c r="B58" s="5" t="str">
        <f>IF(Technologies!B58&lt;&gt;0,Technologies!B58,"")</f>
        <v>Industrie</v>
      </c>
      <c r="C58" s="5" t="str">
        <f>VLOOKUP($A58,Technologies!$A$7:$H$576,3,FALSE)</f>
        <v>Conversion</v>
      </c>
      <c r="D58" s="5" t="str">
        <f>VLOOKUP($A58,Technologies!$A$7:$H$576,4,FALSE)</f>
        <v>Industry</v>
      </c>
      <c r="E58" s="5" t="str">
        <f>VLOOKUP($A58,Technologies!$A$7:$H$576,6,FALSE)</f>
        <v>Ethylene intermediate</v>
      </c>
      <c r="F58" s="5" t="str">
        <f>VLOOKUP($A58,Technologies!$A$7:$H$576,7,FALSE)</f>
        <v>Electrified naphtha steam cracker - Petrochemical industry</v>
      </c>
      <c r="G58" s="23"/>
      <c r="H58" s="23"/>
      <c r="I58" s="104" cm="1">
        <f t="array" ref="I58">-SUMPRODUCT((Feedstocks!$C$4:$C$141=A58)*Feedstocks!$E$4:$E$141,Feedstocks!$F$4:$F$141,Feedstocks!$H$4:$H$141,Feedstocks!$I$4:$I$141)</f>
        <v>8.9166509900990079</v>
      </c>
      <c r="J58" s="104" cm="1">
        <f t="array" ref="J58">-SUMPRODUCT((Feedstocks!$C$4:$C$141=A58)*Feedstocks!$E$4:$E$141,Feedstocks!$H$4:$H$141,Feedstocks!$I$4:$I$141)</f>
        <v>8.9166509900990079</v>
      </c>
      <c r="K58" s="104"/>
      <c r="L58" s="104"/>
      <c r="M58" s="23">
        <v>1</v>
      </c>
      <c r="N58" s="23" t="str">
        <f>VLOOKUP(E58,Activities!$A$9:$M$227,13,FALSE)</f>
        <v>NL</v>
      </c>
      <c r="O58" s="23"/>
      <c r="P58" s="200" t="s">
        <v>1811</v>
      </c>
      <c r="Q58" s="35"/>
      <c r="R58" s="35"/>
      <c r="S58" s="35"/>
      <c r="T58" s="35"/>
      <c r="U58" s="35"/>
      <c r="V58" s="35"/>
      <c r="W58" s="35"/>
      <c r="X58" s="35"/>
      <c r="Y58" s="35"/>
      <c r="Z58" s="35"/>
      <c r="AA58" s="35"/>
      <c r="AB58" s="35"/>
      <c r="AC58" s="35"/>
      <c r="AD58" s="35"/>
      <c r="AE58" s="35"/>
      <c r="AF58" s="202">
        <f t="shared" si="11"/>
        <v>0.13884297520661157</v>
      </c>
      <c r="AG58" s="35">
        <f t="shared" si="12"/>
        <v>0.42512396694214882</v>
      </c>
      <c r="AH58" s="35"/>
      <c r="AI58" s="35"/>
      <c r="AJ58" s="35"/>
      <c r="AK58" s="35"/>
      <c r="AL58" s="35"/>
      <c r="AM58" s="35"/>
      <c r="AN58" s="35"/>
      <c r="AO58" s="35"/>
      <c r="AP58" s="35"/>
      <c r="AQ58" s="35"/>
      <c r="AR58" s="35"/>
      <c r="AS58" s="35"/>
      <c r="AT58" s="35"/>
      <c r="AU58" s="35"/>
      <c r="AV58" s="35"/>
      <c r="AW58" s="35"/>
      <c r="AX58" s="35"/>
      <c r="AY58" s="35"/>
      <c r="AZ58" s="35"/>
      <c r="BA58" s="35"/>
      <c r="BB58" s="35"/>
      <c r="BC58" s="35"/>
      <c r="BD58" s="35"/>
      <c r="BE58" s="35"/>
      <c r="BF58" s="35"/>
      <c r="BG58" s="35"/>
      <c r="BH58" s="35"/>
      <c r="BI58" s="35"/>
      <c r="BJ58" s="35"/>
      <c r="BK58" s="35"/>
      <c r="BL58" s="35"/>
      <c r="BM58" s="35"/>
      <c r="BN58" s="35"/>
      <c r="BO58" s="35"/>
      <c r="BP58" s="35"/>
      <c r="BQ58" s="35"/>
      <c r="BR58" s="35"/>
      <c r="BS58" s="35"/>
      <c r="BT58" s="35"/>
      <c r="BU58" s="35"/>
      <c r="BV58" s="35"/>
      <c r="BW58" s="35"/>
      <c r="BX58" s="35"/>
      <c r="BY58" s="35"/>
      <c r="BZ58" s="35"/>
      <c r="CA58" s="35"/>
      <c r="CB58" s="35"/>
      <c r="CC58" s="35"/>
      <c r="CD58" s="35"/>
      <c r="CE58" s="35"/>
      <c r="CF58" s="35"/>
      <c r="CG58" s="35"/>
      <c r="CH58" s="35"/>
      <c r="CI58" s="35"/>
      <c r="CJ58" s="35"/>
      <c r="CK58" s="35"/>
      <c r="CL58" s="35"/>
      <c r="CM58" s="35"/>
      <c r="CN58" s="35"/>
      <c r="CO58" s="35"/>
      <c r="CP58" s="35"/>
      <c r="CQ58" s="35"/>
      <c r="CR58" s="35"/>
      <c r="CS58" s="35">
        <v>1</v>
      </c>
      <c r="CT58" s="35">
        <v>0.44884488448844889</v>
      </c>
      <c r="CU58" s="35"/>
      <c r="CV58" s="35"/>
      <c r="CW58" s="35"/>
      <c r="CX58" s="35"/>
      <c r="CY58" s="35"/>
      <c r="CZ58" s="35"/>
      <c r="DA58" s="35"/>
      <c r="DB58" s="35"/>
      <c r="DC58" s="35"/>
      <c r="DD58" s="35"/>
      <c r="DE58" s="35"/>
      <c r="DF58" s="35"/>
      <c r="DG58" s="35"/>
      <c r="DH58" s="35">
        <v>-23.073267326732676</v>
      </c>
      <c r="DI58" s="35"/>
      <c r="DJ58" s="35"/>
      <c r="DK58" s="35"/>
      <c r="DL58" s="35"/>
      <c r="DM58" s="35"/>
      <c r="DN58" s="35"/>
      <c r="DO58" s="35">
        <v>0.59405940594059403</v>
      </c>
      <c r="DP58" s="35"/>
      <c r="DQ58" s="35"/>
      <c r="DR58" s="35"/>
      <c r="DS58" s="203"/>
      <c r="DT58" s="203">
        <v>-148.18481848184817</v>
      </c>
      <c r="DU58" s="203"/>
      <c r="DV58" s="203"/>
      <c r="DW58" s="35"/>
      <c r="DX58" s="203"/>
      <c r="DY58" s="35"/>
      <c r="DZ58" s="35"/>
      <c r="EA58" s="35"/>
      <c r="EB58" s="35"/>
      <c r="EC58" s="35"/>
      <c r="ED58" s="35"/>
      <c r="EE58" s="35"/>
      <c r="EF58" s="35"/>
      <c r="EG58" s="35"/>
      <c r="EH58" s="35"/>
      <c r="EI58" s="35"/>
      <c r="EJ58" s="203">
        <v>9.2792079207920786</v>
      </c>
      <c r="EK58" s="35"/>
      <c r="EL58" s="35"/>
      <c r="EM58" s="35"/>
      <c r="EN58" s="35"/>
      <c r="EO58" s="35"/>
      <c r="EP58" s="35"/>
      <c r="EQ58" s="35"/>
      <c r="ER58" s="35"/>
      <c r="ES58" s="35"/>
      <c r="ET58" s="203"/>
      <c r="EU58" s="35"/>
      <c r="EV58" s="35"/>
      <c r="EW58" s="35"/>
      <c r="EX58" s="35"/>
      <c r="EY58" s="35"/>
      <c r="EZ58" s="35"/>
      <c r="FA58" s="35"/>
      <c r="FB58" s="35"/>
      <c r="FC58" s="35"/>
      <c r="FD58" s="35"/>
      <c r="FE58" s="35"/>
      <c r="FF58" s="35"/>
      <c r="FG58" s="35"/>
      <c r="FH58" s="35"/>
      <c r="FI58" s="35"/>
      <c r="FJ58" s="35"/>
      <c r="FK58" s="35"/>
      <c r="FL58" s="35"/>
      <c r="FM58" s="35"/>
      <c r="FN58" s="35"/>
      <c r="FO58" s="35"/>
      <c r="FP58" s="35"/>
      <c r="FQ58" s="35"/>
      <c r="FR58" s="35"/>
      <c r="FS58" s="35"/>
      <c r="FT58" s="35"/>
      <c r="FU58" s="35"/>
      <c r="FV58" s="35"/>
      <c r="FW58" s="35"/>
      <c r="FX58" s="35"/>
      <c r="FY58" s="35"/>
      <c r="FZ58" s="35"/>
      <c r="GA58" s="35"/>
      <c r="GB58" s="318"/>
      <c r="GC58" s="178">
        <f t="shared" si="5"/>
        <v>0</v>
      </c>
      <c r="GD58" s="178">
        <f t="shared" si="6"/>
        <v>1.0792999999999999</v>
      </c>
      <c r="GE58" s="178">
        <f t="shared" si="7"/>
        <v>0</v>
      </c>
      <c r="GF58" s="178">
        <f t="shared" si="8"/>
        <v>0</v>
      </c>
      <c r="GG58" s="178">
        <f t="shared" si="4"/>
        <v>8.9166509900990079</v>
      </c>
    </row>
    <row r="59" spans="1:189" x14ac:dyDescent="0.35">
      <c r="A59" s="6" t="s">
        <v>801</v>
      </c>
      <c r="B59" s="6" t="str">
        <f>IF(Technologies!B59&lt;&gt;0,Technologies!B59,"")</f>
        <v>Industrie</v>
      </c>
      <c r="C59" s="6" t="str">
        <f>VLOOKUP($A59,Technologies!$A$7:$H$576,3,FALSE)</f>
        <v>Conversion</v>
      </c>
      <c r="D59" s="6" t="str">
        <f>VLOOKUP($A59,Technologies!$A$7:$H$576,4,FALSE)</f>
        <v>Industry</v>
      </c>
      <c r="E59" s="6" t="str">
        <f>VLOOKUP($A59,Technologies!$A$7:$H$576,6,FALSE)</f>
        <v>Ethylene intermediate</v>
      </c>
      <c r="F59" s="48" t="str">
        <f>VLOOKUP($A59,Technologies!$A$7:$H$576,7,FALSE)</f>
        <v>Electrified bio-naphtha steam cracker - Petrochemical industry</v>
      </c>
      <c r="G59" s="22"/>
      <c r="H59" s="22"/>
      <c r="I59" s="103" cm="1">
        <f t="array" ref="I59">-SUMPRODUCT((Feedstocks!$C$4:$C$141=A59)*Feedstocks!$E$4:$E$141,Feedstocks!$F$4:$F$141,Feedstocks!$H$4:$H$141,Feedstocks!$I$4:$I$141)</f>
        <v>0</v>
      </c>
      <c r="J59" s="103" cm="1">
        <f t="array" ref="J59">-SUMPRODUCT((Feedstocks!$C$4:$C$141=A59)*Feedstocks!$E$4:$E$141,Feedstocks!$H$4:$H$141,Feedstocks!$I$4:$I$141)</f>
        <v>8.9166509900990079</v>
      </c>
      <c r="K59" s="103"/>
      <c r="L59" s="103"/>
      <c r="M59" s="22">
        <v>1</v>
      </c>
      <c r="N59" s="22" t="str">
        <f>VLOOKUP(E59,Activities!$A$9:$M$227,13,FALSE)</f>
        <v>NL</v>
      </c>
      <c r="O59" s="22"/>
      <c r="P59" s="200" t="s">
        <v>1811</v>
      </c>
      <c r="Q59" s="36"/>
      <c r="R59" s="36"/>
      <c r="S59" s="36"/>
      <c r="T59" s="36"/>
      <c r="U59" s="36"/>
      <c r="V59" s="36"/>
      <c r="W59" s="36"/>
      <c r="X59" s="36"/>
      <c r="Y59" s="36"/>
      <c r="Z59" s="36"/>
      <c r="AA59" s="36"/>
      <c r="AB59" s="36"/>
      <c r="AC59" s="36"/>
      <c r="AD59" s="36"/>
      <c r="AE59" s="36"/>
      <c r="AF59" s="202">
        <f t="shared" si="11"/>
        <v>0.13884297520661157</v>
      </c>
      <c r="AG59" s="35">
        <f t="shared" si="12"/>
        <v>0.42512396694214882</v>
      </c>
      <c r="AH59" s="35"/>
      <c r="AI59" s="35"/>
      <c r="AJ59" s="35"/>
      <c r="AK59" s="35"/>
      <c r="AL59" s="35"/>
      <c r="AM59" s="35"/>
      <c r="AN59" s="35"/>
      <c r="AO59" s="35"/>
      <c r="AP59" s="36"/>
      <c r="AQ59" s="36"/>
      <c r="AR59" s="36"/>
      <c r="AS59" s="36"/>
      <c r="AT59" s="36"/>
      <c r="AU59" s="36"/>
      <c r="AV59" s="36"/>
      <c r="AW59" s="36"/>
      <c r="AX59" s="36"/>
      <c r="AY59" s="36"/>
      <c r="AZ59" s="36"/>
      <c r="BA59" s="36"/>
      <c r="BB59" s="36"/>
      <c r="BC59" s="36"/>
      <c r="BD59" s="36"/>
      <c r="BE59" s="36"/>
      <c r="BF59" s="36"/>
      <c r="BG59" s="36"/>
      <c r="BH59" s="36"/>
      <c r="BI59" s="36"/>
      <c r="BJ59" s="36"/>
      <c r="BK59" s="36"/>
      <c r="BL59" s="36"/>
      <c r="BM59" s="36"/>
      <c r="BN59" s="36"/>
      <c r="BO59" s="36"/>
      <c r="BP59" s="36"/>
      <c r="BQ59" s="36"/>
      <c r="BR59" s="36"/>
      <c r="BS59" s="36"/>
      <c r="BT59" s="36"/>
      <c r="BU59" s="36"/>
      <c r="BV59" s="36"/>
      <c r="BW59" s="36"/>
      <c r="BX59" s="36"/>
      <c r="BY59" s="36"/>
      <c r="BZ59" s="36"/>
      <c r="CA59" s="36"/>
      <c r="CB59" s="36"/>
      <c r="CC59" s="36"/>
      <c r="CD59" s="36"/>
      <c r="CE59" s="36"/>
      <c r="CF59" s="36"/>
      <c r="CG59" s="36"/>
      <c r="CH59" s="36"/>
      <c r="CI59" s="36"/>
      <c r="CJ59" s="36"/>
      <c r="CK59" s="36"/>
      <c r="CL59" s="36"/>
      <c r="CM59" s="36"/>
      <c r="CN59" s="36"/>
      <c r="CO59" s="36"/>
      <c r="CP59" s="36"/>
      <c r="CQ59" s="36"/>
      <c r="CR59" s="36"/>
      <c r="CS59" s="36">
        <v>1</v>
      </c>
      <c r="CT59" s="35">
        <v>0.44884488448844889</v>
      </c>
      <c r="CU59" s="36"/>
      <c r="CV59" s="36"/>
      <c r="CW59" s="36"/>
      <c r="CX59" s="36"/>
      <c r="CY59" s="36"/>
      <c r="CZ59" s="36"/>
      <c r="DA59" s="36"/>
      <c r="DB59" s="36"/>
      <c r="DC59" s="36"/>
      <c r="DD59" s="36"/>
      <c r="DE59" s="36"/>
      <c r="DF59" s="36"/>
      <c r="DG59" s="36"/>
      <c r="DH59" s="35">
        <v>-23.073267326732676</v>
      </c>
      <c r="DI59" s="35"/>
      <c r="DJ59" s="36"/>
      <c r="DK59" s="36"/>
      <c r="DL59" s="36"/>
      <c r="DM59" s="36"/>
      <c r="DN59" s="36"/>
      <c r="DO59" s="35">
        <v>0.59405940594059403</v>
      </c>
      <c r="DP59" s="35"/>
      <c r="DQ59" s="36"/>
      <c r="DR59" s="36"/>
      <c r="DS59" s="36"/>
      <c r="DT59" s="36"/>
      <c r="DU59" s="36"/>
      <c r="DV59" s="36"/>
      <c r="DW59" s="36"/>
      <c r="DX59" s="36"/>
      <c r="DY59" s="203">
        <v>-148.18481848184817</v>
      </c>
      <c r="DZ59" s="35"/>
      <c r="EA59" s="203"/>
      <c r="EB59" s="203"/>
      <c r="EC59" s="203"/>
      <c r="ED59" s="36"/>
      <c r="EE59" s="36"/>
      <c r="EF59" s="36"/>
      <c r="EG59" s="36"/>
      <c r="EH59" s="36"/>
      <c r="EI59" s="36"/>
      <c r="EJ59" s="203">
        <v>9.2792079207920786</v>
      </c>
      <c r="EK59" s="35"/>
      <c r="EL59" s="36"/>
      <c r="EM59" s="35"/>
      <c r="EN59" s="35"/>
      <c r="EO59" s="35"/>
      <c r="EP59" s="36"/>
      <c r="EQ59" s="36"/>
      <c r="ER59" s="36"/>
      <c r="ES59" s="36"/>
      <c r="ET59" s="36"/>
      <c r="EU59" s="36"/>
      <c r="EV59" s="36"/>
      <c r="EW59" s="36"/>
      <c r="EX59" s="36"/>
      <c r="EY59" s="36"/>
      <c r="EZ59" s="36"/>
      <c r="FA59" s="36"/>
      <c r="FB59" s="36"/>
      <c r="FC59" s="36"/>
      <c r="FD59" s="36"/>
      <c r="FE59" s="36"/>
      <c r="FF59" s="36"/>
      <c r="FG59" s="36"/>
      <c r="FH59" s="36"/>
      <c r="FI59" s="36"/>
      <c r="FJ59" s="36"/>
      <c r="FK59" s="36"/>
      <c r="FL59" s="36"/>
      <c r="FM59" s="36"/>
      <c r="FN59" s="36"/>
      <c r="FO59" s="36"/>
      <c r="FP59" s="36"/>
      <c r="FQ59" s="36"/>
      <c r="FR59" s="36"/>
      <c r="FS59" s="36"/>
      <c r="FT59" s="36"/>
      <c r="FU59" s="36"/>
      <c r="FV59" s="36"/>
      <c r="FW59" s="36"/>
      <c r="FX59" s="36"/>
      <c r="FY59" s="36"/>
      <c r="FZ59" s="36"/>
      <c r="GA59" s="36"/>
      <c r="GB59" s="319"/>
      <c r="GC59" s="179">
        <f t="shared" si="5"/>
        <v>0</v>
      </c>
      <c r="GD59" s="179">
        <f t="shared" si="6"/>
        <v>-0.5252</v>
      </c>
      <c r="GE59" s="179">
        <f t="shared" si="7"/>
        <v>0</v>
      </c>
      <c r="GF59" s="179">
        <f t="shared" si="8"/>
        <v>0</v>
      </c>
      <c r="GG59" s="179">
        <f t="shared" si="4"/>
        <v>0</v>
      </c>
    </row>
    <row r="60" spans="1:189" x14ac:dyDescent="0.35">
      <c r="A60" s="5" t="s">
        <v>803</v>
      </c>
      <c r="B60" s="5" t="str">
        <f>IF(Technologies!B60&lt;&gt;0,Technologies!B60,"")</f>
        <v>Industrie</v>
      </c>
      <c r="C60" s="5" t="str">
        <f>VLOOKUP($A60,Technologies!$A$7:$H$576,3,FALSE)</f>
        <v>Conversion</v>
      </c>
      <c r="D60" s="5" t="str">
        <f>VLOOKUP($A60,Technologies!$A$7:$H$576,4,FALSE)</f>
        <v>Industry</v>
      </c>
      <c r="E60" s="5" t="str">
        <f>VLOOKUP($A60,Technologies!$A$7:$H$576,6,FALSE)</f>
        <v>Ethylene intermediate</v>
      </c>
      <c r="F60" s="5" t="str">
        <f>VLOOKUP($A60,Technologies!$A$7:$H$576,7,FALSE)</f>
        <v>Electrified syn-naphtha steam cracker - Petrochemical industry</v>
      </c>
      <c r="G60" s="23"/>
      <c r="H60" s="23"/>
      <c r="I60" s="104" cm="1">
        <f t="array" ref="I60">-SUMPRODUCT((Feedstocks!$C$4:$C$141=A60)*Feedstocks!$E$4:$E$141,Feedstocks!$F$4:$F$141,Feedstocks!$H$4:$H$141,Feedstocks!$I$4:$I$141)</f>
        <v>8.9166509900990079</v>
      </c>
      <c r="J60" s="104" cm="1">
        <f t="array" ref="J60">-SUMPRODUCT((Feedstocks!$C$4:$C$141=A60)*Feedstocks!$E$4:$E$141,Feedstocks!$H$4:$H$141,Feedstocks!$I$4:$I$141)</f>
        <v>8.9166509900990079</v>
      </c>
      <c r="K60" s="104"/>
      <c r="L60" s="104"/>
      <c r="M60" s="23">
        <v>1</v>
      </c>
      <c r="N60" s="23" t="str">
        <f>VLOOKUP(E60,Activities!$A$9:$M$227,13,FALSE)</f>
        <v>NL</v>
      </c>
      <c r="O60" s="23"/>
      <c r="P60" s="200" t="s">
        <v>1811</v>
      </c>
      <c r="Q60" s="35"/>
      <c r="R60" s="35"/>
      <c r="S60" s="35"/>
      <c r="T60" s="35"/>
      <c r="U60" s="35"/>
      <c r="V60" s="35"/>
      <c r="W60" s="35"/>
      <c r="X60" s="35"/>
      <c r="Y60" s="35"/>
      <c r="Z60" s="35"/>
      <c r="AA60" s="35"/>
      <c r="AB60" s="35"/>
      <c r="AC60" s="35"/>
      <c r="AD60" s="35"/>
      <c r="AE60" s="35"/>
      <c r="AF60" s="202">
        <f t="shared" si="11"/>
        <v>0.13884297520661157</v>
      </c>
      <c r="AG60" s="35">
        <f t="shared" si="12"/>
        <v>0.42512396694214882</v>
      </c>
      <c r="AH60" s="35"/>
      <c r="AI60" s="35"/>
      <c r="AJ60" s="35"/>
      <c r="AK60" s="35"/>
      <c r="AL60" s="35"/>
      <c r="AM60" s="35"/>
      <c r="AN60" s="35"/>
      <c r="AO60" s="35"/>
      <c r="AP60" s="35"/>
      <c r="AQ60" s="35"/>
      <c r="AR60" s="35"/>
      <c r="AS60" s="35"/>
      <c r="AT60" s="35"/>
      <c r="AU60" s="35"/>
      <c r="AV60" s="35"/>
      <c r="AW60" s="35"/>
      <c r="AX60" s="35"/>
      <c r="AY60" s="35"/>
      <c r="AZ60" s="35"/>
      <c r="BA60" s="35"/>
      <c r="BB60" s="35"/>
      <c r="BC60" s="35"/>
      <c r="BD60" s="35"/>
      <c r="BE60" s="35"/>
      <c r="BF60" s="35"/>
      <c r="BG60" s="35"/>
      <c r="BH60" s="35"/>
      <c r="BI60" s="35"/>
      <c r="BJ60" s="35"/>
      <c r="BK60" s="35"/>
      <c r="BL60" s="35"/>
      <c r="BM60" s="35"/>
      <c r="BN60" s="35"/>
      <c r="BO60" s="35"/>
      <c r="BP60" s="35"/>
      <c r="BQ60" s="35"/>
      <c r="BR60" s="35"/>
      <c r="BS60" s="35"/>
      <c r="BT60" s="35"/>
      <c r="BU60" s="35"/>
      <c r="BV60" s="35"/>
      <c r="BW60" s="35"/>
      <c r="BX60" s="35"/>
      <c r="BY60" s="35"/>
      <c r="BZ60" s="35"/>
      <c r="CA60" s="35"/>
      <c r="CB60" s="35"/>
      <c r="CC60" s="35"/>
      <c r="CD60" s="35"/>
      <c r="CE60" s="35"/>
      <c r="CF60" s="35"/>
      <c r="CG60" s="35"/>
      <c r="CH60" s="35"/>
      <c r="CI60" s="35"/>
      <c r="CJ60" s="35"/>
      <c r="CK60" s="35"/>
      <c r="CL60" s="35"/>
      <c r="CM60" s="35"/>
      <c r="CN60" s="35"/>
      <c r="CO60" s="35"/>
      <c r="CP60" s="35"/>
      <c r="CQ60" s="35"/>
      <c r="CR60" s="35"/>
      <c r="CS60" s="35">
        <v>1</v>
      </c>
      <c r="CT60" s="35">
        <v>0.44884488448844889</v>
      </c>
      <c r="CU60" s="35"/>
      <c r="CV60" s="35"/>
      <c r="CW60" s="35"/>
      <c r="CX60" s="35"/>
      <c r="CY60" s="35"/>
      <c r="CZ60" s="35"/>
      <c r="DA60" s="35"/>
      <c r="DB60" s="35"/>
      <c r="DC60" s="35"/>
      <c r="DD60" s="35"/>
      <c r="DE60" s="35"/>
      <c r="DF60" s="35"/>
      <c r="DG60" s="35"/>
      <c r="DH60" s="35">
        <v>-23.073267326732676</v>
      </c>
      <c r="DI60" s="35"/>
      <c r="DJ60" s="35"/>
      <c r="DK60" s="35"/>
      <c r="DL60" s="35"/>
      <c r="DM60" s="35"/>
      <c r="DN60" s="35"/>
      <c r="DO60" s="35">
        <v>0.59405940594059403</v>
      </c>
      <c r="DP60" s="35"/>
      <c r="DQ60" s="35"/>
      <c r="DR60" s="35"/>
      <c r="DS60" s="35"/>
      <c r="DT60" s="35"/>
      <c r="DU60" s="35"/>
      <c r="DV60" s="35"/>
      <c r="DW60" s="35"/>
      <c r="DX60" s="35"/>
      <c r="DY60" s="35"/>
      <c r="DZ60" s="35"/>
      <c r="EA60" s="35"/>
      <c r="EB60" s="35"/>
      <c r="EC60" s="35"/>
      <c r="ED60" s="203">
        <v>-148.18481848184817</v>
      </c>
      <c r="EE60" s="203"/>
      <c r="EF60" s="203"/>
      <c r="EG60" s="36"/>
      <c r="EH60" s="36"/>
      <c r="EI60" s="35"/>
      <c r="EJ60" s="203">
        <v>9.2792079207920786</v>
      </c>
      <c r="EK60" s="35"/>
      <c r="EL60" s="35"/>
      <c r="EM60" s="35"/>
      <c r="EN60" s="35"/>
      <c r="EO60" s="35"/>
      <c r="EP60" s="35"/>
      <c r="EQ60" s="35"/>
      <c r="ER60" s="35"/>
      <c r="ES60" s="35"/>
      <c r="ET60" s="35"/>
      <c r="EU60" s="35"/>
      <c r="EV60" s="35"/>
      <c r="EW60" s="35"/>
      <c r="EX60" s="35"/>
      <c r="EY60" s="35"/>
      <c r="EZ60" s="35"/>
      <c r="FA60" s="35"/>
      <c r="FB60" s="35"/>
      <c r="FC60" s="35"/>
      <c r="FD60" s="35"/>
      <c r="FE60" s="35"/>
      <c r="FF60" s="35"/>
      <c r="FG60" s="35"/>
      <c r="FH60" s="35"/>
      <c r="FI60" s="35"/>
      <c r="FJ60" s="35"/>
      <c r="FK60" s="35"/>
      <c r="FL60" s="35"/>
      <c r="FM60" s="35"/>
      <c r="FN60" s="35"/>
      <c r="FO60" s="35"/>
      <c r="FP60" s="35"/>
      <c r="FQ60" s="35"/>
      <c r="FR60" s="35"/>
      <c r="FS60" s="35"/>
      <c r="FT60" s="35"/>
      <c r="FU60" s="35"/>
      <c r="FV60" s="35"/>
      <c r="FW60" s="35"/>
      <c r="FX60" s="35"/>
      <c r="FY60" s="35"/>
      <c r="FZ60" s="35"/>
      <c r="GA60" s="35"/>
      <c r="GB60" s="318"/>
      <c r="GC60" s="178">
        <f t="shared" si="5"/>
        <v>0</v>
      </c>
      <c r="GD60" s="178">
        <f t="shared" si="6"/>
        <v>1.0792999999999999</v>
      </c>
      <c r="GE60" s="178">
        <f t="shared" si="7"/>
        <v>0</v>
      </c>
      <c r="GF60" s="178">
        <f t="shared" si="8"/>
        <v>0</v>
      </c>
      <c r="GG60" s="178">
        <f t="shared" si="4"/>
        <v>8.9166509900990079</v>
      </c>
    </row>
    <row r="61" spans="1:189" x14ac:dyDescent="0.35">
      <c r="A61" s="6" t="s">
        <v>805</v>
      </c>
      <c r="B61" s="6" t="str">
        <f>IF(Technologies!B61&lt;&gt;0,Technologies!B61,"")</f>
        <v>Industrie</v>
      </c>
      <c r="C61" s="6" t="str">
        <f>VLOOKUP($A61,Technologies!$A$7:$H$576,3,FALSE)</f>
        <v>Conversion</v>
      </c>
      <c r="D61" s="6" t="str">
        <f>VLOOKUP($A61,Technologies!$A$7:$H$576,4,FALSE)</f>
        <v>Industry</v>
      </c>
      <c r="E61" s="6" t="str">
        <f>VLOOKUP($A61,Technologies!$A$7:$H$576,6,FALSE)</f>
        <v>Ethylene intermediate</v>
      </c>
      <c r="F61" s="48" t="str">
        <f>VLOOKUP($A61,Technologies!$A$7:$H$576,7,FALSE)</f>
        <v>Hydrogen fueled naphtha steam cracker - Petrochemical industry</v>
      </c>
      <c r="G61" s="22"/>
      <c r="H61" s="22"/>
      <c r="I61" s="103" cm="1">
        <f t="array" ref="I61">-SUMPRODUCT((Feedstocks!$C$4:$C$141=A61)*Feedstocks!$E$4:$E$141,Feedstocks!$F$4:$F$141,Feedstocks!$H$4:$H$141,Feedstocks!$I$4:$I$141)</f>
        <v>8.9166509900990079</v>
      </c>
      <c r="J61" s="103" cm="1">
        <f t="array" ref="J61">-SUMPRODUCT((Feedstocks!$C$4:$C$141=A61)*Feedstocks!$E$4:$E$141,Feedstocks!$H$4:$H$141,Feedstocks!$I$4:$I$141)</f>
        <v>8.9166509900990079</v>
      </c>
      <c r="K61" s="103"/>
      <c r="L61" s="103"/>
      <c r="M61" s="22">
        <v>1</v>
      </c>
      <c r="N61" s="22" t="str">
        <f>VLOOKUP(E61,Activities!$A$9:$M$227,13,FALSE)</f>
        <v>NL</v>
      </c>
      <c r="O61" s="22"/>
      <c r="P61" s="200" t="s">
        <v>1811</v>
      </c>
      <c r="Q61" s="36"/>
      <c r="R61" s="36"/>
      <c r="S61" s="36"/>
      <c r="T61" s="36"/>
      <c r="U61" s="36"/>
      <c r="V61" s="36"/>
      <c r="W61" s="36"/>
      <c r="X61" s="36"/>
      <c r="Y61" s="36"/>
      <c r="Z61" s="36"/>
      <c r="AA61" s="36"/>
      <c r="AB61" s="36"/>
      <c r="AC61" s="36"/>
      <c r="AD61" s="36"/>
      <c r="AE61" s="36"/>
      <c r="AF61" s="202">
        <f t="shared" si="11"/>
        <v>0.13884297520661157</v>
      </c>
      <c r="AG61" s="35">
        <f t="shared" si="12"/>
        <v>0.42512396694214882</v>
      </c>
      <c r="AH61" s="35"/>
      <c r="AI61" s="35"/>
      <c r="AJ61" s="35"/>
      <c r="AK61" s="35"/>
      <c r="AL61" s="35"/>
      <c r="AM61" s="35"/>
      <c r="AN61" s="35"/>
      <c r="AO61" s="35"/>
      <c r="AP61" s="36"/>
      <c r="AQ61" s="36"/>
      <c r="AR61" s="36"/>
      <c r="AS61" s="36"/>
      <c r="AT61" s="36"/>
      <c r="AU61" s="36"/>
      <c r="AV61" s="36"/>
      <c r="AW61" s="36"/>
      <c r="AX61" s="36"/>
      <c r="AY61" s="36"/>
      <c r="AZ61" s="36"/>
      <c r="BA61" s="36"/>
      <c r="BB61" s="36"/>
      <c r="BC61" s="36"/>
      <c r="BD61" s="36"/>
      <c r="BE61" s="36"/>
      <c r="BF61" s="36"/>
      <c r="BG61" s="36"/>
      <c r="BH61" s="36"/>
      <c r="BI61" s="36"/>
      <c r="BJ61" s="36"/>
      <c r="BK61" s="36"/>
      <c r="BL61" s="36"/>
      <c r="BM61" s="36"/>
      <c r="BN61" s="36"/>
      <c r="BO61" s="36"/>
      <c r="BP61" s="36"/>
      <c r="BQ61" s="36"/>
      <c r="BR61" s="36"/>
      <c r="BS61" s="36"/>
      <c r="BT61" s="36"/>
      <c r="BU61" s="36"/>
      <c r="BV61" s="36"/>
      <c r="BW61" s="36"/>
      <c r="BX61" s="36"/>
      <c r="BY61" s="36"/>
      <c r="BZ61" s="36"/>
      <c r="CA61" s="36"/>
      <c r="CB61" s="36"/>
      <c r="CC61" s="36"/>
      <c r="CD61" s="36"/>
      <c r="CE61" s="36"/>
      <c r="CF61" s="36"/>
      <c r="CG61" s="36"/>
      <c r="CH61" s="36"/>
      <c r="CI61" s="36"/>
      <c r="CJ61" s="36"/>
      <c r="CK61" s="36"/>
      <c r="CL61" s="36"/>
      <c r="CM61" s="36"/>
      <c r="CN61" s="36"/>
      <c r="CO61" s="36"/>
      <c r="CP61" s="36"/>
      <c r="CQ61" s="36"/>
      <c r="CR61" s="36"/>
      <c r="CS61" s="36">
        <v>1</v>
      </c>
      <c r="CT61" s="35">
        <v>0.44884488448844889</v>
      </c>
      <c r="CU61" s="36"/>
      <c r="CV61" s="36"/>
      <c r="CW61" s="36"/>
      <c r="CX61" s="36"/>
      <c r="CY61" s="36"/>
      <c r="CZ61" s="36"/>
      <c r="DA61" s="36"/>
      <c r="DB61" s="36"/>
      <c r="DC61" s="36"/>
      <c r="DD61" s="36"/>
      <c r="DE61" s="36"/>
      <c r="DF61" s="36"/>
      <c r="DG61" s="36"/>
      <c r="DH61" s="203">
        <v>-5.875</v>
      </c>
      <c r="DI61" s="36"/>
      <c r="DJ61" s="36"/>
      <c r="DK61" s="36"/>
      <c r="DL61" s="36"/>
      <c r="DM61" s="36"/>
      <c r="DN61" s="36"/>
      <c r="DO61" s="36">
        <v>-1.74</v>
      </c>
      <c r="DP61" s="36"/>
      <c r="DQ61" s="36"/>
      <c r="DR61" s="36"/>
      <c r="DS61" s="203"/>
      <c r="DT61" s="203">
        <f>DT54</f>
        <v>-148.18481848184817</v>
      </c>
      <c r="DU61" s="203"/>
      <c r="DV61" s="203"/>
      <c r="DW61" s="35"/>
      <c r="DX61" s="203"/>
      <c r="DY61" s="36"/>
      <c r="DZ61" s="36"/>
      <c r="EA61" s="36"/>
      <c r="EB61" s="36"/>
      <c r="EC61" s="36"/>
      <c r="ED61" s="36"/>
      <c r="EE61" s="36"/>
      <c r="EF61" s="36"/>
      <c r="EG61" s="36"/>
      <c r="EH61" s="36"/>
      <c r="EI61" s="36"/>
      <c r="EJ61" s="203">
        <v>9.2792079207920786</v>
      </c>
      <c r="EK61" s="35"/>
      <c r="EL61" s="36"/>
      <c r="EM61" s="36">
        <f>DH58</f>
        <v>-23.073267326732676</v>
      </c>
      <c r="EN61" s="36"/>
      <c r="EO61" s="36"/>
      <c r="EP61" s="36"/>
      <c r="EQ61" s="36"/>
      <c r="ER61" s="36"/>
      <c r="ES61" s="36"/>
      <c r="ET61" s="203"/>
      <c r="EU61" s="35"/>
      <c r="EV61" s="36"/>
      <c r="EW61" s="36"/>
      <c r="EX61" s="36"/>
      <c r="EY61" s="36"/>
      <c r="EZ61" s="36"/>
      <c r="FA61" s="36"/>
      <c r="FB61" s="36"/>
      <c r="FC61" s="36"/>
      <c r="FD61" s="36"/>
      <c r="FE61" s="36"/>
      <c r="FF61" s="36"/>
      <c r="FG61" s="36"/>
      <c r="FH61" s="36"/>
      <c r="FI61" s="36"/>
      <c r="FJ61" s="36"/>
      <c r="FK61" s="36"/>
      <c r="FL61" s="36"/>
      <c r="FM61" s="36"/>
      <c r="FN61" s="36"/>
      <c r="FO61" s="36"/>
      <c r="FP61" s="36"/>
      <c r="FQ61" s="36"/>
      <c r="FR61" s="36"/>
      <c r="FS61" s="36"/>
      <c r="FT61" s="36"/>
      <c r="FU61" s="36"/>
      <c r="FV61" s="36"/>
      <c r="FW61" s="36"/>
      <c r="FX61" s="36"/>
      <c r="FY61" s="36"/>
      <c r="FZ61" s="36"/>
      <c r="GA61" s="36"/>
      <c r="GB61" s="319"/>
      <c r="GC61" s="179">
        <f t="shared" si="5"/>
        <v>0</v>
      </c>
      <c r="GD61" s="179">
        <f t="shared" si="6"/>
        <v>1.0792999999999999</v>
      </c>
      <c r="GE61" s="179">
        <f t="shared" si="7"/>
        <v>0</v>
      </c>
      <c r="GF61" s="179">
        <f t="shared" si="8"/>
        <v>0</v>
      </c>
      <c r="GG61" s="179">
        <f t="shared" si="4"/>
        <v>8.9166509900990079</v>
      </c>
    </row>
    <row r="62" spans="1:189" x14ac:dyDescent="0.35">
      <c r="A62" s="5" t="s">
        <v>807</v>
      </c>
      <c r="B62" s="5" t="str">
        <f>IF(Technologies!B62&lt;&gt;0,Technologies!B62,"")</f>
        <v>Industrie</v>
      </c>
      <c r="C62" s="5" t="str">
        <f>VLOOKUP($A62,Technologies!$A$7:$H$576,3,FALSE)</f>
        <v>Conversion</v>
      </c>
      <c r="D62" s="5" t="str">
        <f>VLOOKUP($A62,Technologies!$A$7:$H$576,4,FALSE)</f>
        <v>Industry</v>
      </c>
      <c r="E62" s="5" t="str">
        <f>VLOOKUP($A62,Technologies!$A$7:$H$576,6,FALSE)</f>
        <v>Ethylene intermediate</v>
      </c>
      <c r="F62" s="5" t="str">
        <f>VLOOKUP($A62,Technologies!$A$7:$H$576,7,FALSE)</f>
        <v>Hydrogen fueled bio-naphtha steam cracker - Petrochemical industry</v>
      </c>
      <c r="G62" s="23"/>
      <c r="H62" s="23"/>
      <c r="I62" s="104" cm="1">
        <f t="array" ref="I62">-SUMPRODUCT((Feedstocks!$C$4:$C$141=A62)*Feedstocks!$E$4:$E$141,Feedstocks!$F$4:$F$141,Feedstocks!$H$4:$H$141,Feedstocks!$I$4:$I$141)</f>
        <v>0</v>
      </c>
      <c r="J62" s="104" cm="1">
        <f t="array" ref="J62">-SUMPRODUCT((Feedstocks!$C$4:$C$141=A62)*Feedstocks!$E$4:$E$141,Feedstocks!$H$4:$H$141,Feedstocks!$I$4:$I$141)</f>
        <v>8.9166509900990079</v>
      </c>
      <c r="K62" s="104"/>
      <c r="L62" s="104"/>
      <c r="M62" s="23">
        <v>1</v>
      </c>
      <c r="N62" s="23" t="str">
        <f>VLOOKUP(E62,Activities!$A$9:$M$227,13,FALSE)</f>
        <v>NL</v>
      </c>
      <c r="O62" s="23"/>
      <c r="P62" s="200" t="s">
        <v>1811</v>
      </c>
      <c r="Q62" s="35"/>
      <c r="R62" s="35"/>
      <c r="S62" s="35"/>
      <c r="T62" s="35"/>
      <c r="U62" s="35"/>
      <c r="V62" s="35"/>
      <c r="W62" s="35"/>
      <c r="X62" s="35"/>
      <c r="Y62" s="35"/>
      <c r="Z62" s="35"/>
      <c r="AA62" s="35"/>
      <c r="AB62" s="35"/>
      <c r="AC62" s="35"/>
      <c r="AD62" s="35"/>
      <c r="AE62" s="35"/>
      <c r="AF62" s="202">
        <f t="shared" si="11"/>
        <v>0.13884297520661157</v>
      </c>
      <c r="AG62" s="35">
        <f t="shared" si="12"/>
        <v>0.42512396694214882</v>
      </c>
      <c r="AH62" s="35"/>
      <c r="AI62" s="35"/>
      <c r="AJ62" s="35"/>
      <c r="AK62" s="35"/>
      <c r="AL62" s="35"/>
      <c r="AM62" s="35"/>
      <c r="AN62" s="35"/>
      <c r="AO62" s="35"/>
      <c r="AP62" s="35"/>
      <c r="AQ62" s="35"/>
      <c r="AR62" s="35"/>
      <c r="AS62" s="35"/>
      <c r="AT62" s="35"/>
      <c r="AU62" s="35"/>
      <c r="AV62" s="35"/>
      <c r="AW62" s="35"/>
      <c r="AX62" s="35"/>
      <c r="AY62" s="35"/>
      <c r="AZ62" s="35"/>
      <c r="BA62" s="35"/>
      <c r="BB62" s="35"/>
      <c r="BC62" s="35"/>
      <c r="BD62" s="35"/>
      <c r="BE62" s="35"/>
      <c r="BF62" s="35"/>
      <c r="BG62" s="35"/>
      <c r="BH62" s="35"/>
      <c r="BI62" s="35"/>
      <c r="BJ62" s="35"/>
      <c r="BK62" s="35"/>
      <c r="BL62" s="35"/>
      <c r="BM62" s="35"/>
      <c r="BN62" s="35"/>
      <c r="BO62" s="35"/>
      <c r="BP62" s="35"/>
      <c r="BQ62" s="35"/>
      <c r="BR62" s="35"/>
      <c r="BS62" s="35"/>
      <c r="BT62" s="35"/>
      <c r="BU62" s="35"/>
      <c r="BV62" s="35"/>
      <c r="BW62" s="35"/>
      <c r="BX62" s="35"/>
      <c r="BY62" s="35"/>
      <c r="BZ62" s="35"/>
      <c r="CA62" s="35"/>
      <c r="CB62" s="35"/>
      <c r="CC62" s="35"/>
      <c r="CD62" s="35"/>
      <c r="CE62" s="35"/>
      <c r="CF62" s="35"/>
      <c r="CG62" s="35"/>
      <c r="CH62" s="35"/>
      <c r="CI62" s="35"/>
      <c r="CJ62" s="35"/>
      <c r="CK62" s="35"/>
      <c r="CL62" s="35"/>
      <c r="CM62" s="35"/>
      <c r="CN62" s="35"/>
      <c r="CO62" s="35"/>
      <c r="CP62" s="35"/>
      <c r="CQ62" s="35"/>
      <c r="CR62" s="35"/>
      <c r="CS62" s="35">
        <v>1</v>
      </c>
      <c r="CT62" s="35">
        <v>0.44884488448844889</v>
      </c>
      <c r="CU62" s="35"/>
      <c r="CV62" s="35"/>
      <c r="CW62" s="35"/>
      <c r="CX62" s="35"/>
      <c r="CY62" s="35"/>
      <c r="CZ62" s="35"/>
      <c r="DA62" s="35"/>
      <c r="DB62" s="35"/>
      <c r="DC62" s="35"/>
      <c r="DD62" s="35"/>
      <c r="DE62" s="35"/>
      <c r="DF62" s="35"/>
      <c r="DG62" s="35"/>
      <c r="DH62" s="203">
        <v>-5.875</v>
      </c>
      <c r="DI62" s="36"/>
      <c r="DJ62" s="35"/>
      <c r="DK62" s="35"/>
      <c r="DL62" s="35"/>
      <c r="DM62" s="35"/>
      <c r="DN62" s="35"/>
      <c r="DO62" s="36">
        <v>-1.74</v>
      </c>
      <c r="DP62" s="36"/>
      <c r="DQ62" s="35"/>
      <c r="DR62" s="35"/>
      <c r="DS62" s="35"/>
      <c r="DT62" s="35"/>
      <c r="DU62" s="35"/>
      <c r="DV62" s="35"/>
      <c r="DW62" s="35"/>
      <c r="DX62" s="35"/>
      <c r="DY62" s="203">
        <v>-148.18481848184817</v>
      </c>
      <c r="DZ62" s="35"/>
      <c r="EA62" s="203"/>
      <c r="EB62" s="203"/>
      <c r="EC62" s="203"/>
      <c r="ED62" s="35"/>
      <c r="EE62" s="35"/>
      <c r="EF62" s="35"/>
      <c r="EG62" s="35"/>
      <c r="EH62" s="35"/>
      <c r="EI62" s="35"/>
      <c r="EJ62" s="203">
        <v>9.2792079207920786</v>
      </c>
      <c r="EK62" s="35"/>
      <c r="EL62" s="35"/>
      <c r="EM62" s="36">
        <f t="shared" ref="EM62:EM63" si="13">DH59</f>
        <v>-23.073267326732676</v>
      </c>
      <c r="EN62" s="36"/>
      <c r="EO62" s="36"/>
      <c r="EP62" s="35"/>
      <c r="EQ62" s="35"/>
      <c r="ER62" s="35"/>
      <c r="ES62" s="35"/>
      <c r="ET62" s="35"/>
      <c r="EU62" s="35"/>
      <c r="EV62" s="35"/>
      <c r="EW62" s="35"/>
      <c r="EX62" s="35"/>
      <c r="EY62" s="35"/>
      <c r="EZ62" s="35"/>
      <c r="FA62" s="35"/>
      <c r="FB62" s="35"/>
      <c r="FC62" s="35"/>
      <c r="FD62" s="35"/>
      <c r="FE62" s="35"/>
      <c r="FF62" s="35"/>
      <c r="FG62" s="35"/>
      <c r="FH62" s="35"/>
      <c r="FI62" s="35"/>
      <c r="FJ62" s="35"/>
      <c r="FK62" s="35"/>
      <c r="FL62" s="35"/>
      <c r="FM62" s="35"/>
      <c r="FN62" s="35"/>
      <c r="FO62" s="35"/>
      <c r="FP62" s="35"/>
      <c r="FQ62" s="35"/>
      <c r="FR62" s="35"/>
      <c r="FS62" s="35"/>
      <c r="FT62" s="35"/>
      <c r="FU62" s="35"/>
      <c r="FV62" s="35"/>
      <c r="FW62" s="35"/>
      <c r="FX62" s="35"/>
      <c r="FY62" s="35"/>
      <c r="FZ62" s="35"/>
      <c r="GA62" s="35"/>
      <c r="GB62" s="318"/>
      <c r="GC62" s="178">
        <f t="shared" si="5"/>
        <v>0</v>
      </c>
      <c r="GD62" s="178">
        <f t="shared" si="6"/>
        <v>-0.5252</v>
      </c>
      <c r="GE62" s="178">
        <f t="shared" si="7"/>
        <v>0</v>
      </c>
      <c r="GF62" s="178">
        <f t="shared" si="8"/>
        <v>0</v>
      </c>
      <c r="GG62" s="178">
        <f t="shared" si="4"/>
        <v>0</v>
      </c>
    </row>
    <row r="63" spans="1:189" x14ac:dyDescent="0.35">
      <c r="A63" s="6" t="s">
        <v>809</v>
      </c>
      <c r="B63" s="6" t="str">
        <f>IF(Technologies!B63&lt;&gt;0,Technologies!B63,"")</f>
        <v>Industrie</v>
      </c>
      <c r="C63" s="6" t="str">
        <f>VLOOKUP($A63,Technologies!$A$7:$H$576,3,FALSE)</f>
        <v>Conversion</v>
      </c>
      <c r="D63" s="6" t="str">
        <f>VLOOKUP($A63,Technologies!$A$7:$H$576,4,FALSE)</f>
        <v>Industry</v>
      </c>
      <c r="E63" s="6" t="str">
        <f>VLOOKUP($A63,Technologies!$A$7:$H$576,6,FALSE)</f>
        <v>Ethylene intermediate</v>
      </c>
      <c r="F63" s="48" t="str">
        <f>VLOOKUP($A63,Technologies!$A$7:$H$576,7,FALSE)</f>
        <v>Hydrogen fueled syn-naphtha steam cracker - Petrochemical industry</v>
      </c>
      <c r="G63" s="22"/>
      <c r="H63" s="22"/>
      <c r="I63" s="103" cm="1">
        <f t="array" ref="I63">-SUMPRODUCT((Feedstocks!$C$4:$C$141=A63)*Feedstocks!$E$4:$E$141,Feedstocks!$F$4:$F$141,Feedstocks!$H$4:$H$141,Feedstocks!$I$4:$I$141)</f>
        <v>8.9166509900990079</v>
      </c>
      <c r="J63" s="103" cm="1">
        <f t="array" ref="J63">-SUMPRODUCT((Feedstocks!$C$4:$C$141=A63)*Feedstocks!$E$4:$E$141,Feedstocks!$H$4:$H$141,Feedstocks!$I$4:$I$141)</f>
        <v>8.9166509900990079</v>
      </c>
      <c r="K63" s="103"/>
      <c r="L63" s="103"/>
      <c r="M63" s="22">
        <v>1</v>
      </c>
      <c r="N63" s="22" t="str">
        <f>VLOOKUP(E63,Activities!$A$9:$M$227,13,FALSE)</f>
        <v>NL</v>
      </c>
      <c r="O63" s="22"/>
      <c r="P63" s="200" t="s">
        <v>1811</v>
      </c>
      <c r="Q63" s="36"/>
      <c r="R63" s="36"/>
      <c r="S63" s="36"/>
      <c r="T63" s="36"/>
      <c r="U63" s="36"/>
      <c r="V63" s="36"/>
      <c r="W63" s="36"/>
      <c r="X63" s="36"/>
      <c r="Y63" s="36"/>
      <c r="Z63" s="36"/>
      <c r="AA63" s="36"/>
      <c r="AB63" s="36"/>
      <c r="AC63" s="36"/>
      <c r="AD63" s="36"/>
      <c r="AE63" s="36"/>
      <c r="AF63" s="202">
        <f t="shared" si="11"/>
        <v>0.13884297520661157</v>
      </c>
      <c r="AG63" s="35">
        <f t="shared" si="12"/>
        <v>0.42512396694214882</v>
      </c>
      <c r="AH63" s="35"/>
      <c r="AI63" s="35"/>
      <c r="AJ63" s="35"/>
      <c r="AK63" s="35"/>
      <c r="AL63" s="35"/>
      <c r="AM63" s="35"/>
      <c r="AN63" s="35"/>
      <c r="AO63" s="35"/>
      <c r="AP63" s="36"/>
      <c r="AQ63" s="36"/>
      <c r="AR63" s="36"/>
      <c r="AS63" s="36"/>
      <c r="AT63" s="36"/>
      <c r="AU63" s="36"/>
      <c r="AV63" s="36"/>
      <c r="AW63" s="36"/>
      <c r="AX63" s="36"/>
      <c r="AY63" s="36"/>
      <c r="AZ63" s="36"/>
      <c r="BA63" s="36"/>
      <c r="BB63" s="36"/>
      <c r="BC63" s="36"/>
      <c r="BD63" s="36"/>
      <c r="BE63" s="36"/>
      <c r="BF63" s="36"/>
      <c r="BG63" s="36"/>
      <c r="BH63" s="36"/>
      <c r="BI63" s="36"/>
      <c r="BJ63" s="36"/>
      <c r="BK63" s="36"/>
      <c r="BL63" s="36"/>
      <c r="BM63" s="36"/>
      <c r="BN63" s="36"/>
      <c r="BO63" s="36"/>
      <c r="BP63" s="36"/>
      <c r="BQ63" s="36"/>
      <c r="BR63" s="36"/>
      <c r="BS63" s="36"/>
      <c r="BT63" s="36"/>
      <c r="BU63" s="36"/>
      <c r="BV63" s="36"/>
      <c r="BW63" s="36"/>
      <c r="BX63" s="36"/>
      <c r="BY63" s="36"/>
      <c r="BZ63" s="36"/>
      <c r="CA63" s="36"/>
      <c r="CB63" s="36"/>
      <c r="CC63" s="36"/>
      <c r="CD63" s="36"/>
      <c r="CE63" s="36"/>
      <c r="CF63" s="36"/>
      <c r="CG63" s="36"/>
      <c r="CH63" s="36"/>
      <c r="CI63" s="36"/>
      <c r="CJ63" s="36"/>
      <c r="CK63" s="36"/>
      <c r="CL63" s="36"/>
      <c r="CM63" s="36"/>
      <c r="CN63" s="36"/>
      <c r="CO63" s="36"/>
      <c r="CP63" s="36"/>
      <c r="CQ63" s="36"/>
      <c r="CR63" s="36"/>
      <c r="CS63" s="36">
        <v>1</v>
      </c>
      <c r="CT63" s="35">
        <v>0.44884488448844889</v>
      </c>
      <c r="CU63" s="36"/>
      <c r="CV63" s="36"/>
      <c r="CW63" s="36"/>
      <c r="CX63" s="36"/>
      <c r="CY63" s="36"/>
      <c r="CZ63" s="36"/>
      <c r="DA63" s="36"/>
      <c r="DB63" s="36"/>
      <c r="DC63" s="36"/>
      <c r="DD63" s="36"/>
      <c r="DE63" s="36"/>
      <c r="DF63" s="36"/>
      <c r="DG63" s="36"/>
      <c r="DH63" s="203">
        <v>-5.875</v>
      </c>
      <c r="DI63" s="36"/>
      <c r="DJ63" s="36"/>
      <c r="DK63" s="36"/>
      <c r="DL63" s="36"/>
      <c r="DM63" s="36"/>
      <c r="DN63" s="36"/>
      <c r="DO63" s="36">
        <v>-1.74</v>
      </c>
      <c r="DP63" s="36"/>
      <c r="DQ63" s="36"/>
      <c r="DR63" s="36"/>
      <c r="DS63" s="36"/>
      <c r="DT63" s="36"/>
      <c r="DU63" s="36"/>
      <c r="DV63" s="36"/>
      <c r="DW63" s="36"/>
      <c r="DX63" s="36"/>
      <c r="DY63" s="36"/>
      <c r="DZ63" s="36"/>
      <c r="EA63" s="36"/>
      <c r="EB63" s="36"/>
      <c r="EC63" s="36"/>
      <c r="ED63" s="203">
        <v>-148.18481848184817</v>
      </c>
      <c r="EE63" s="203"/>
      <c r="EF63" s="203"/>
      <c r="EG63" s="36"/>
      <c r="EH63" s="36"/>
      <c r="EI63" s="36"/>
      <c r="EJ63" s="203">
        <v>9.2792079207920786</v>
      </c>
      <c r="EK63" s="35"/>
      <c r="EL63" s="36"/>
      <c r="EM63" s="36">
        <f t="shared" si="13"/>
        <v>-23.073267326732676</v>
      </c>
      <c r="EN63" s="36"/>
      <c r="EO63" s="36"/>
      <c r="EP63" s="36"/>
      <c r="EQ63" s="36"/>
      <c r="ER63" s="36"/>
      <c r="ES63" s="36"/>
      <c r="ET63" s="36"/>
      <c r="EU63" s="36"/>
      <c r="EV63" s="36"/>
      <c r="EW63" s="36"/>
      <c r="EX63" s="36"/>
      <c r="EY63" s="36"/>
      <c r="EZ63" s="36"/>
      <c r="FA63" s="36"/>
      <c r="FB63" s="36"/>
      <c r="FC63" s="36"/>
      <c r="FD63" s="36"/>
      <c r="FE63" s="36"/>
      <c r="FF63" s="36"/>
      <c r="FG63" s="36"/>
      <c r="FH63" s="36"/>
      <c r="FI63" s="36"/>
      <c r="FJ63" s="36"/>
      <c r="FK63" s="36"/>
      <c r="FL63" s="36"/>
      <c r="FM63" s="36"/>
      <c r="FN63" s="36"/>
      <c r="FO63" s="36"/>
      <c r="FP63" s="36"/>
      <c r="FQ63" s="36"/>
      <c r="FR63" s="36"/>
      <c r="FS63" s="36"/>
      <c r="FT63" s="36"/>
      <c r="FU63" s="36"/>
      <c r="FV63" s="36"/>
      <c r="FW63" s="36"/>
      <c r="FX63" s="36"/>
      <c r="FY63" s="36"/>
      <c r="FZ63" s="36"/>
      <c r="GA63" s="36"/>
      <c r="GB63" s="319"/>
      <c r="GC63" s="179">
        <f t="shared" si="5"/>
        <v>0</v>
      </c>
      <c r="GD63" s="179">
        <f t="shared" si="6"/>
        <v>1.0792999999999999</v>
      </c>
      <c r="GE63" s="179">
        <f t="shared" si="7"/>
        <v>0</v>
      </c>
      <c r="GF63" s="179">
        <f t="shared" si="8"/>
        <v>0</v>
      </c>
      <c r="GG63" s="179">
        <f t="shared" si="4"/>
        <v>8.9166509900990079</v>
      </c>
    </row>
    <row r="64" spans="1:189" x14ac:dyDescent="0.35">
      <c r="A64" s="5" t="s">
        <v>811</v>
      </c>
      <c r="B64" s="5" t="str">
        <f>IF(Technologies!B64&lt;&gt;0,Technologies!B64,"")</f>
        <v>Industrie</v>
      </c>
      <c r="C64" s="5" t="str">
        <f>VLOOKUP($A64,Technologies!$A$7:$H$576,3,FALSE)</f>
        <v>Conversion</v>
      </c>
      <c r="D64" s="5" t="str">
        <f>VLOOKUP($A64,Technologies!$A$7:$H$576,4,FALSE)</f>
        <v>Industry</v>
      </c>
      <c r="E64" s="5" t="str">
        <f>VLOOKUP($A64,Technologies!$A$7:$H$576,6,FALSE)</f>
        <v>Ethylene intermediate</v>
      </c>
      <c r="F64" s="5" t="str">
        <f>VLOOKUP($A64,Technologies!$A$7:$H$576,7,FALSE)</f>
        <v>Ethylene from bioethanol dehydration - Petrochemical industry</v>
      </c>
      <c r="G64" s="23"/>
      <c r="H64" s="23"/>
      <c r="I64" s="104" cm="1">
        <f t="array" ref="I64">-SUMPRODUCT((Feedstocks!$C$4:$C$141=A64)*Feedstocks!$E$4:$E$141,Feedstocks!$F$4:$F$141,Feedstocks!$H$4:$H$141,Feedstocks!$I$4:$I$141)</f>
        <v>0</v>
      </c>
      <c r="J64" s="104" cm="1">
        <f t="array" ref="J64">-SUMPRODUCT((Feedstocks!$C$4:$C$141=A64)*Feedstocks!$E$4:$E$141,Feedstocks!$H$4:$H$141,Feedstocks!$I$4:$I$141)</f>
        <v>2.4805743243243246</v>
      </c>
      <c r="K64" s="104"/>
      <c r="L64" s="104"/>
      <c r="M64" s="23">
        <v>1</v>
      </c>
      <c r="N64" s="23" t="str">
        <f>VLOOKUP(E64,Activities!$A$9:$M$227,13,FALSE)</f>
        <v>NL</v>
      </c>
      <c r="O64" s="23"/>
      <c r="P64" s="200" t="s">
        <v>1811</v>
      </c>
      <c r="Q64" s="35"/>
      <c r="R64" s="35"/>
      <c r="S64" s="35"/>
      <c r="T64" s="35"/>
      <c r="U64" s="35"/>
      <c r="V64" s="35"/>
      <c r="W64" s="35"/>
      <c r="X64" s="35"/>
      <c r="Y64" s="35"/>
      <c r="Z64" s="35"/>
      <c r="AA64" s="35"/>
      <c r="AB64" s="35"/>
      <c r="AC64" s="35"/>
      <c r="AD64" s="35"/>
      <c r="AE64" s="35"/>
      <c r="AF64" s="35"/>
      <c r="AG64" s="35"/>
      <c r="AH64" s="35"/>
      <c r="AI64" s="35"/>
      <c r="AJ64" s="35"/>
      <c r="AK64" s="35"/>
      <c r="AL64" s="35"/>
      <c r="AM64" s="35"/>
      <c r="AN64" s="35"/>
      <c r="AO64" s="35"/>
      <c r="AP64" s="35"/>
      <c r="AQ64" s="35"/>
      <c r="AR64" s="35"/>
      <c r="AS64" s="35"/>
      <c r="AT64" s="35"/>
      <c r="AU64" s="35"/>
      <c r="AV64" s="35"/>
      <c r="AW64" s="35"/>
      <c r="AX64" s="35"/>
      <c r="AY64" s="35"/>
      <c r="AZ64" s="35"/>
      <c r="BA64" s="35"/>
      <c r="BB64" s="35"/>
      <c r="BC64" s="35"/>
      <c r="BD64" s="35"/>
      <c r="BE64" s="35"/>
      <c r="BF64" s="35"/>
      <c r="BG64" s="35"/>
      <c r="BH64" s="35"/>
      <c r="BI64" s="35"/>
      <c r="BJ64" s="35"/>
      <c r="BK64" s="35"/>
      <c r="BL64" s="35"/>
      <c r="BM64" s="35"/>
      <c r="BN64" s="35"/>
      <c r="BO64" s="35"/>
      <c r="BP64" s="35"/>
      <c r="BQ64" s="35"/>
      <c r="BR64" s="35"/>
      <c r="BS64" s="35"/>
      <c r="BT64" s="35"/>
      <c r="BU64" s="35"/>
      <c r="BV64" s="35"/>
      <c r="BW64" s="35"/>
      <c r="BX64" s="35"/>
      <c r="BY64" s="35"/>
      <c r="BZ64" s="35"/>
      <c r="CA64" s="35"/>
      <c r="CB64" s="35"/>
      <c r="CC64" s="35"/>
      <c r="CD64" s="35"/>
      <c r="CE64" s="35"/>
      <c r="CF64" s="35"/>
      <c r="CG64" s="35"/>
      <c r="CH64" s="35"/>
      <c r="CI64" s="35"/>
      <c r="CJ64" s="35"/>
      <c r="CK64" s="35"/>
      <c r="CL64" s="35"/>
      <c r="CM64" s="35"/>
      <c r="CN64" s="35"/>
      <c r="CO64" s="35"/>
      <c r="CP64" s="35"/>
      <c r="CQ64" s="35"/>
      <c r="CR64" s="35"/>
      <c r="CS64" s="35">
        <v>1</v>
      </c>
      <c r="CT64" s="35"/>
      <c r="CU64" s="35"/>
      <c r="CV64" s="35"/>
      <c r="CW64" s="35"/>
      <c r="CX64" s="35"/>
      <c r="CY64" s="35"/>
      <c r="CZ64" s="35"/>
      <c r="DA64" s="35"/>
      <c r="DB64" s="35"/>
      <c r="DC64" s="35"/>
      <c r="DD64" s="35"/>
      <c r="DE64" s="35"/>
      <c r="DF64" s="35"/>
      <c r="DG64" s="35"/>
      <c r="DH64" s="35">
        <v>-0.41959459459459464</v>
      </c>
      <c r="DI64" s="35"/>
      <c r="DJ64" s="35"/>
      <c r="DK64" s="35"/>
      <c r="DL64" s="35"/>
      <c r="DM64" s="35"/>
      <c r="DN64" s="35"/>
      <c r="DO64" s="35">
        <v>-1.9033783783783784</v>
      </c>
      <c r="DP64" s="35"/>
      <c r="DQ64" s="35"/>
      <c r="DR64" s="35"/>
      <c r="DS64" s="35"/>
      <c r="DT64" s="35"/>
      <c r="DU64" s="35"/>
      <c r="DV64" s="35"/>
      <c r="DW64" s="35"/>
      <c r="DX64" s="35"/>
      <c r="DY64" s="35"/>
      <c r="DZ64" s="35">
        <v>-45.101351351351354</v>
      </c>
      <c r="EA64" s="35"/>
      <c r="EB64" s="35"/>
      <c r="EC64" s="35"/>
      <c r="ED64" s="35"/>
      <c r="EE64" s="35"/>
      <c r="EF64" s="35"/>
      <c r="EG64" s="35"/>
      <c r="EH64" s="35"/>
      <c r="EI64" s="35"/>
      <c r="EJ64" s="35"/>
      <c r="EK64" s="35"/>
      <c r="EL64" s="35"/>
      <c r="EM64" s="35"/>
      <c r="EN64" s="35"/>
      <c r="EO64" s="35"/>
      <c r="EP64" s="35"/>
      <c r="EQ64" s="35"/>
      <c r="ER64" s="35"/>
      <c r="ES64" s="35"/>
      <c r="ET64" s="35"/>
      <c r="EU64" s="35"/>
      <c r="EV64" s="35"/>
      <c r="EW64" s="35"/>
      <c r="EX64" s="35"/>
      <c r="EY64" s="35"/>
      <c r="EZ64" s="35"/>
      <c r="FA64" s="35"/>
      <c r="FB64" s="35"/>
      <c r="FC64" s="35"/>
      <c r="FD64" s="35"/>
      <c r="FE64" s="35"/>
      <c r="FF64" s="35"/>
      <c r="FG64" s="35"/>
      <c r="FH64" s="35"/>
      <c r="FI64" s="35"/>
      <c r="FJ64" s="35"/>
      <c r="FK64" s="35"/>
      <c r="FL64" s="35"/>
      <c r="FM64" s="35"/>
      <c r="FN64" s="35"/>
      <c r="FO64" s="35"/>
      <c r="FP64" s="35"/>
      <c r="FQ64" s="35"/>
      <c r="FR64" s="35"/>
      <c r="FS64" s="35"/>
      <c r="FT64" s="35"/>
      <c r="FU64" s="35"/>
      <c r="FV64" s="35"/>
      <c r="FW64" s="35"/>
      <c r="FX64" s="35"/>
      <c r="FY64" s="35"/>
      <c r="FZ64" s="35"/>
      <c r="GA64" s="35"/>
      <c r="GB64" s="318"/>
      <c r="GC64" s="178">
        <f t="shared" si="5"/>
        <v>0</v>
      </c>
      <c r="GD64" s="178">
        <f t="shared" si="6"/>
        <v>0</v>
      </c>
      <c r="GE64" s="178">
        <f t="shared" si="7"/>
        <v>0</v>
      </c>
      <c r="GF64" s="178">
        <f t="shared" si="8"/>
        <v>0</v>
      </c>
      <c r="GG64" s="178">
        <f t="shared" si="4"/>
        <v>0</v>
      </c>
    </row>
    <row r="65" spans="1:189" x14ac:dyDescent="0.35">
      <c r="A65" s="6" t="s">
        <v>813</v>
      </c>
      <c r="B65" s="6" t="str">
        <f>IF(Technologies!B65&lt;&gt;0,Technologies!B65,"")</f>
        <v>Industrie</v>
      </c>
      <c r="C65" s="6" t="str">
        <f>VLOOKUP($A65,Technologies!$A$7:$H$576,3,FALSE)</f>
        <v>Conversion</v>
      </c>
      <c r="D65" s="6" t="str">
        <f>VLOOKUP($A65,Technologies!$A$7:$H$576,4,FALSE)</f>
        <v>Industry</v>
      </c>
      <c r="E65" s="6" t="str">
        <f>VLOOKUP($A65,Technologies!$A$7:$H$576,6,FALSE)</f>
        <v>Propylene intermediate</v>
      </c>
      <c r="F65" s="48" t="str">
        <f>VLOOKUP($A65,Technologies!$A$7:$H$576,7,FALSE)</f>
        <v>Methanol to olefins - Petrochemical industry</v>
      </c>
      <c r="G65" s="22"/>
      <c r="H65" s="22"/>
      <c r="I65" s="103" cm="1">
        <f t="array" ref="I65">-SUMPRODUCT((Feedstocks!$C$4:$C$141=A65)*Feedstocks!$E$4:$E$141,Feedstocks!$F$4:$F$141,Feedstocks!$H$4:$H$141,Feedstocks!$I$4:$I$141)</f>
        <v>8.2012121212121212</v>
      </c>
      <c r="J65" s="103" cm="1">
        <f t="array" ref="J65">-SUMPRODUCT((Feedstocks!$C$4:$C$141=A65)*Feedstocks!$E$4:$E$141,Feedstocks!$H$4:$H$141,Feedstocks!$I$4:$I$141)</f>
        <v>8.2012121212121212</v>
      </c>
      <c r="K65" s="103"/>
      <c r="L65" s="103"/>
      <c r="M65" s="22">
        <v>1</v>
      </c>
      <c r="N65" s="22" t="str">
        <f>VLOOKUP(E65,Activities!$A$9:$M$227,13,FALSE)</f>
        <v>NL</v>
      </c>
      <c r="O65" s="22"/>
      <c r="P65" s="200" t="s">
        <v>1811</v>
      </c>
      <c r="Q65" s="36"/>
      <c r="R65" s="36"/>
      <c r="S65" s="36"/>
      <c r="T65" s="36"/>
      <c r="U65" s="36"/>
      <c r="V65" s="36"/>
      <c r="W65" s="36"/>
      <c r="X65" s="36"/>
      <c r="Y65" s="36"/>
      <c r="Z65" s="36"/>
      <c r="AA65" s="36"/>
      <c r="AB65" s="36"/>
      <c r="AC65" s="36"/>
      <c r="AD65" s="36"/>
      <c r="AE65" s="36"/>
      <c r="AF65" s="36">
        <v>1</v>
      </c>
      <c r="AG65" s="36"/>
      <c r="AH65" s="36"/>
      <c r="AI65" s="36"/>
      <c r="AJ65" s="36"/>
      <c r="AK65" s="36"/>
      <c r="AL65" s="36"/>
      <c r="AM65" s="36"/>
      <c r="AN65" s="36"/>
      <c r="AO65" s="36"/>
      <c r="AP65" s="36"/>
      <c r="AQ65" s="36"/>
      <c r="AR65" s="36"/>
      <c r="AS65" s="36"/>
      <c r="AT65" s="36"/>
      <c r="AU65" s="36"/>
      <c r="AV65" s="36"/>
      <c r="AW65" s="36"/>
      <c r="AX65" s="36"/>
      <c r="AY65" s="36"/>
      <c r="AZ65" s="36"/>
      <c r="BA65" s="36"/>
      <c r="BB65" s="36"/>
      <c r="BC65" s="36"/>
      <c r="BD65" s="36"/>
      <c r="BE65" s="36"/>
      <c r="BF65" s="36"/>
      <c r="BG65" s="36"/>
      <c r="BH65" s="36"/>
      <c r="BI65" s="36"/>
      <c r="BJ65" s="36"/>
      <c r="BK65" s="36"/>
      <c r="BL65" s="36"/>
      <c r="BM65" s="36"/>
      <c r="BN65" s="36"/>
      <c r="BO65" s="36"/>
      <c r="BP65" s="36"/>
      <c r="BQ65" s="36"/>
      <c r="BR65" s="36"/>
      <c r="BS65" s="36"/>
      <c r="BT65" s="36"/>
      <c r="BU65" s="36"/>
      <c r="BV65" s="36"/>
      <c r="BW65" s="36"/>
      <c r="BX65" s="36"/>
      <c r="BY65" s="36"/>
      <c r="BZ65" s="36"/>
      <c r="CA65" s="36"/>
      <c r="CB65" s="36"/>
      <c r="CC65" s="36"/>
      <c r="CD65" s="36"/>
      <c r="CE65" s="36"/>
      <c r="CF65" s="36"/>
      <c r="CG65" s="36"/>
      <c r="CH65" s="36"/>
      <c r="CI65" s="36"/>
      <c r="CJ65" s="36"/>
      <c r="CK65" s="36"/>
      <c r="CL65" s="36"/>
      <c r="CM65" s="36"/>
      <c r="CN65" s="36"/>
      <c r="CO65" s="36"/>
      <c r="CP65" s="36"/>
      <c r="CQ65" s="36"/>
      <c r="CR65" s="36"/>
      <c r="CS65" s="36">
        <v>0.98787878787878791</v>
      </c>
      <c r="CT65" s="36">
        <v>1</v>
      </c>
      <c r="CU65" s="36"/>
      <c r="CV65" s="36"/>
      <c r="CW65" s="36"/>
      <c r="CX65" s="36"/>
      <c r="CY65" s="36"/>
      <c r="CZ65" s="36"/>
      <c r="DA65" s="36"/>
      <c r="DB65" s="36"/>
      <c r="DC65" s="36"/>
      <c r="DD65" s="36"/>
      <c r="DE65" s="36"/>
      <c r="DF65" s="36"/>
      <c r="DG65" s="36"/>
      <c r="DH65" s="36">
        <v>-1.0690909090909091</v>
      </c>
      <c r="DI65" s="36"/>
      <c r="DJ65" s="36"/>
      <c r="DK65" s="36"/>
      <c r="DL65" s="36"/>
      <c r="DM65" s="36"/>
      <c r="DN65" s="36"/>
      <c r="DO65" s="36">
        <v>0</v>
      </c>
      <c r="DP65" s="36"/>
      <c r="DQ65" s="36"/>
      <c r="DR65" s="36"/>
      <c r="DS65" s="36"/>
      <c r="DT65" s="36"/>
      <c r="DU65" s="36"/>
      <c r="DV65" s="36"/>
      <c r="DW65" s="36"/>
      <c r="DX65" s="36"/>
      <c r="DY65" s="36"/>
      <c r="DZ65" s="36"/>
      <c r="EA65" s="36"/>
      <c r="EB65" s="36"/>
      <c r="EC65" s="36"/>
      <c r="ED65" s="36"/>
      <c r="EE65" s="36"/>
      <c r="EF65" s="36"/>
      <c r="EG65" s="36"/>
      <c r="EH65" s="36"/>
      <c r="EI65" s="36">
        <v>-120.60606060606059</v>
      </c>
      <c r="EJ65" s="36"/>
      <c r="EK65" s="36"/>
      <c r="EL65" s="36"/>
      <c r="EM65" s="36"/>
      <c r="EN65" s="36"/>
      <c r="EO65" s="36"/>
      <c r="EP65" s="36"/>
      <c r="EQ65" s="36"/>
      <c r="ER65" s="36"/>
      <c r="ES65" s="36"/>
      <c r="ET65" s="36"/>
      <c r="EU65" s="36"/>
      <c r="EV65" s="36"/>
      <c r="EW65" s="36"/>
      <c r="EX65" s="36"/>
      <c r="EY65" s="36"/>
      <c r="EZ65" s="36"/>
      <c r="FA65" s="36"/>
      <c r="FB65" s="36"/>
      <c r="FC65" s="36"/>
      <c r="FD65" s="36"/>
      <c r="FE65" s="36"/>
      <c r="FF65" s="36"/>
      <c r="FG65" s="36"/>
      <c r="FH65" s="36"/>
      <c r="FI65" s="36"/>
      <c r="FJ65" s="36"/>
      <c r="FK65" s="36"/>
      <c r="FL65" s="36"/>
      <c r="FM65" s="36"/>
      <c r="FN65" s="36"/>
      <c r="FO65" s="36"/>
      <c r="FP65" s="36"/>
      <c r="FQ65" s="36"/>
      <c r="FR65" s="36"/>
      <c r="FS65" s="36"/>
      <c r="FT65" s="36"/>
      <c r="FU65" s="36"/>
      <c r="FV65" s="36"/>
      <c r="FW65" s="36"/>
      <c r="FX65" s="36"/>
      <c r="FY65" s="36"/>
      <c r="FZ65" s="36"/>
      <c r="GA65" s="36"/>
      <c r="GB65" s="319"/>
      <c r="GC65" s="179">
        <f t="shared" si="5"/>
        <v>0</v>
      </c>
      <c r="GD65" s="179">
        <f t="shared" si="6"/>
        <v>0</v>
      </c>
      <c r="GE65" s="179">
        <f t="shared" si="7"/>
        <v>0</v>
      </c>
      <c r="GF65" s="179">
        <f t="shared" si="8"/>
        <v>0</v>
      </c>
      <c r="GG65" s="179">
        <f t="shared" si="4"/>
        <v>8.2012121212121212</v>
      </c>
    </row>
    <row r="66" spans="1:189" x14ac:dyDescent="0.35">
      <c r="A66" s="5" t="s">
        <v>816</v>
      </c>
      <c r="B66" s="5" t="str">
        <f>IF(Technologies!B66&lt;&gt;0,Technologies!B66,"")</f>
        <v>Industrie</v>
      </c>
      <c r="C66" s="5" t="str">
        <f>VLOOKUP($A66,Technologies!$A$7:$H$576,3,FALSE)</f>
        <v>Primary</v>
      </c>
      <c r="D66" s="5" t="str">
        <f>VLOOKUP($A66,Technologies!$A$7:$H$576,4,FALSE)</f>
        <v>Material</v>
      </c>
      <c r="E66" s="5" t="str">
        <f>VLOOKUP($A66,Technologies!$A$7:$H$576,6,FALSE)</f>
        <v>Ethylene intermediate</v>
      </c>
      <c r="F66" s="5" t="str">
        <f>VLOOKUP($A66,Technologies!$A$7:$H$576,7,FALSE)</f>
        <v>Ethylene imports - Petrochemical industry</v>
      </c>
      <c r="G66" s="23"/>
      <c r="H66" s="23"/>
      <c r="I66" s="104" cm="1">
        <f t="array" ref="I66">-SUMPRODUCT((Feedstocks!$C$4:$C$141=A66)*Feedstocks!$E$4:$E$141,Feedstocks!$F$4:$F$141,Feedstocks!$H$4:$H$141,Feedstocks!$I$4:$I$141)</f>
        <v>0</v>
      </c>
      <c r="J66" s="104" cm="1">
        <f t="array" ref="J66">-SUMPRODUCT((Feedstocks!$C$4:$C$141=A66)*Feedstocks!$E$4:$E$141,Feedstocks!$H$4:$H$141,Feedstocks!$I$4:$I$141)</f>
        <v>0</v>
      </c>
      <c r="K66" s="104"/>
      <c r="L66" s="104"/>
      <c r="M66" s="23">
        <v>1</v>
      </c>
      <c r="N66" s="23" t="str">
        <f>VLOOKUP(E66,Activities!$A$9:$M$227,13,FALSE)</f>
        <v>NL</v>
      </c>
      <c r="O66" s="23"/>
      <c r="P66" s="79" t="s">
        <v>819</v>
      </c>
      <c r="Q66" s="35"/>
      <c r="R66" s="35"/>
      <c r="S66" s="35"/>
      <c r="T66" s="35"/>
      <c r="U66" s="35"/>
      <c r="V66" s="35"/>
      <c r="W66" s="35"/>
      <c r="X66" s="35"/>
      <c r="Y66" s="35"/>
      <c r="Z66" s="35"/>
      <c r="AA66" s="35"/>
      <c r="AB66" s="35"/>
      <c r="AC66" s="35"/>
      <c r="AD66" s="35"/>
      <c r="AE66" s="35"/>
      <c r="AF66" s="35"/>
      <c r="AG66" s="35"/>
      <c r="AH66" s="35"/>
      <c r="AI66" s="35"/>
      <c r="AJ66" s="35"/>
      <c r="AK66" s="35"/>
      <c r="AL66" s="35"/>
      <c r="AM66" s="35"/>
      <c r="AN66" s="35"/>
      <c r="AO66" s="35"/>
      <c r="AP66" s="35"/>
      <c r="AQ66" s="35"/>
      <c r="AR66" s="35"/>
      <c r="AS66" s="35"/>
      <c r="AT66" s="35"/>
      <c r="AU66" s="35"/>
      <c r="AV66" s="35"/>
      <c r="AW66" s="35"/>
      <c r="AX66" s="35"/>
      <c r="AY66" s="35"/>
      <c r="AZ66" s="35"/>
      <c r="BA66" s="35"/>
      <c r="BB66" s="35"/>
      <c r="BC66" s="35"/>
      <c r="BD66" s="35"/>
      <c r="BE66" s="35"/>
      <c r="BF66" s="35"/>
      <c r="BG66" s="35"/>
      <c r="BH66" s="35"/>
      <c r="BI66" s="35"/>
      <c r="BJ66" s="35"/>
      <c r="BK66" s="35"/>
      <c r="BL66" s="35"/>
      <c r="BM66" s="35"/>
      <c r="BN66" s="35"/>
      <c r="BO66" s="35"/>
      <c r="BP66" s="35"/>
      <c r="BQ66" s="35"/>
      <c r="BR66" s="35"/>
      <c r="BS66" s="35"/>
      <c r="BT66" s="35"/>
      <c r="BU66" s="35"/>
      <c r="BV66" s="35"/>
      <c r="BW66" s="35"/>
      <c r="BX66" s="35"/>
      <c r="BY66" s="35"/>
      <c r="BZ66" s="35"/>
      <c r="CA66" s="35"/>
      <c r="CB66" s="35"/>
      <c r="CC66" s="35"/>
      <c r="CD66" s="35"/>
      <c r="CE66" s="35"/>
      <c r="CF66" s="35"/>
      <c r="CG66" s="35"/>
      <c r="CH66" s="35"/>
      <c r="CI66" s="35"/>
      <c r="CJ66" s="35"/>
      <c r="CK66" s="35"/>
      <c r="CL66" s="35"/>
      <c r="CM66" s="35"/>
      <c r="CN66" s="35"/>
      <c r="CO66" s="35"/>
      <c r="CP66" s="35"/>
      <c r="CQ66" s="35"/>
      <c r="CR66" s="35"/>
      <c r="CS66" s="35">
        <v>1</v>
      </c>
      <c r="CT66" s="35"/>
      <c r="CU66" s="35"/>
      <c r="CV66" s="35"/>
      <c r="CW66" s="35"/>
      <c r="CX66" s="35"/>
      <c r="CY66" s="35"/>
      <c r="CZ66" s="35"/>
      <c r="DA66" s="35"/>
      <c r="DB66" s="35"/>
      <c r="DC66" s="35"/>
      <c r="DD66" s="35"/>
      <c r="DE66" s="35"/>
      <c r="DF66" s="35"/>
      <c r="DG66" s="35"/>
      <c r="DH66" s="35"/>
      <c r="DI66" s="35"/>
      <c r="DJ66" s="35"/>
      <c r="DK66" s="35"/>
      <c r="DL66" s="35"/>
      <c r="DM66" s="35"/>
      <c r="DN66" s="35"/>
      <c r="DO66" s="35"/>
      <c r="DP66" s="35"/>
      <c r="DQ66" s="35"/>
      <c r="DR66" s="35"/>
      <c r="DS66" s="35"/>
      <c r="DT66" s="35"/>
      <c r="DU66" s="35"/>
      <c r="DV66" s="35"/>
      <c r="DW66" s="35"/>
      <c r="DX66" s="35"/>
      <c r="DY66" s="35"/>
      <c r="DZ66" s="35"/>
      <c r="EA66" s="35"/>
      <c r="EB66" s="35"/>
      <c r="EC66" s="35"/>
      <c r="ED66" s="35"/>
      <c r="EE66" s="35"/>
      <c r="EF66" s="35"/>
      <c r="EG66" s="35"/>
      <c r="EH66" s="35"/>
      <c r="EI66" s="35"/>
      <c r="EJ66" s="35"/>
      <c r="EK66" s="35"/>
      <c r="EL66" s="35"/>
      <c r="EM66" s="35"/>
      <c r="EN66" s="35"/>
      <c r="EO66" s="35"/>
      <c r="EP66" s="35"/>
      <c r="EQ66" s="35"/>
      <c r="ER66" s="35"/>
      <c r="ES66" s="35"/>
      <c r="ET66" s="35"/>
      <c r="EU66" s="35"/>
      <c r="EV66" s="35"/>
      <c r="EW66" s="35"/>
      <c r="EX66" s="35"/>
      <c r="EY66" s="35"/>
      <c r="EZ66" s="35"/>
      <c r="FA66" s="35"/>
      <c r="FB66" s="35"/>
      <c r="FC66" s="35"/>
      <c r="FD66" s="35"/>
      <c r="FE66" s="35"/>
      <c r="FF66" s="35"/>
      <c r="FG66" s="35"/>
      <c r="FH66" s="35"/>
      <c r="FI66" s="35"/>
      <c r="FJ66" s="35"/>
      <c r="FK66" s="35"/>
      <c r="FL66" s="35"/>
      <c r="FM66" s="35"/>
      <c r="FN66" s="35"/>
      <c r="FO66" s="35"/>
      <c r="FP66" s="35"/>
      <c r="FQ66" s="35"/>
      <c r="FR66" s="35"/>
      <c r="FS66" s="35"/>
      <c r="FT66" s="35"/>
      <c r="FU66" s="35"/>
      <c r="FV66" s="35"/>
      <c r="FW66" s="35"/>
      <c r="FX66" s="35"/>
      <c r="FY66" s="35"/>
      <c r="FZ66" s="35"/>
      <c r="GA66" s="35"/>
      <c r="GB66" s="318"/>
      <c r="GC66" s="178">
        <f t="shared" si="5"/>
        <v>0</v>
      </c>
      <c r="GD66" s="178">
        <f t="shared" si="6"/>
        <v>0</v>
      </c>
      <c r="GE66" s="178">
        <f t="shared" si="7"/>
        <v>0</v>
      </c>
      <c r="GF66" s="178">
        <f t="shared" si="8"/>
        <v>0</v>
      </c>
      <c r="GG66" s="178">
        <f t="shared" si="4"/>
        <v>0</v>
      </c>
    </row>
    <row r="67" spans="1:189" x14ac:dyDescent="0.35">
      <c r="A67" s="6" t="s">
        <v>820</v>
      </c>
      <c r="B67" s="6" t="str">
        <f>IF(Technologies!B67&lt;&gt;0,Technologies!B67,"")</f>
        <v>Industrie</v>
      </c>
      <c r="C67" s="6" t="str">
        <f>VLOOKUP($A67,Technologies!$A$7:$H$576,3,FALSE)</f>
        <v>Conversion</v>
      </c>
      <c r="D67" s="6" t="str">
        <f>VLOOKUP($A67,Technologies!$A$7:$H$576,4,FALSE)</f>
        <v>Industry</v>
      </c>
      <c r="E67" s="6" t="str">
        <f>VLOOKUP($A67,Technologies!$A$7:$H$576,6,FALSE)</f>
        <v>Propylene intermediate</v>
      </c>
      <c r="F67" s="48" t="str">
        <f>VLOOKUP($A67,Technologies!$A$7:$H$576,7,FALSE)</f>
        <v>Propylene from PDH alkenation of LPG - Petrochemicals</v>
      </c>
      <c r="G67" s="22"/>
      <c r="H67" s="22"/>
      <c r="I67" s="103" cm="1">
        <f t="array" ref="I67">-SUMPRODUCT((Feedstocks!$C$4:$C$141=A67)*Feedstocks!$E$4:$E$141,Feedstocks!$F$4:$F$141,Feedstocks!$H$4:$H$141,Feedstocks!$I$4:$I$141)</f>
        <v>4.0460395809080341</v>
      </c>
      <c r="J67" s="103" cm="1">
        <f t="array" ref="J67">-SUMPRODUCT((Feedstocks!$C$4:$C$141=A67)*Feedstocks!$E$4:$E$141,Feedstocks!$H$4:$H$141,Feedstocks!$I$4:$I$141)</f>
        <v>4.0460395809080341</v>
      </c>
      <c r="K67" s="103"/>
      <c r="L67" s="103"/>
      <c r="M67" s="22">
        <v>1</v>
      </c>
      <c r="N67" s="22" t="str">
        <f>VLOOKUP(E67,Activities!$A$9:$M$227,13,FALSE)</f>
        <v>NL</v>
      </c>
      <c r="O67" s="22"/>
      <c r="P67" s="200" t="s">
        <v>1811</v>
      </c>
      <c r="Q67" s="36"/>
      <c r="R67" s="36"/>
      <c r="S67" s="36"/>
      <c r="T67" s="36"/>
      <c r="U67" s="36"/>
      <c r="V67" s="36"/>
      <c r="W67" s="36"/>
      <c r="X67" s="36"/>
      <c r="Y67" s="36"/>
      <c r="Z67" s="36"/>
      <c r="AA67" s="36"/>
      <c r="AB67" s="36"/>
      <c r="AC67" s="36"/>
      <c r="AD67" s="36"/>
      <c r="AE67" s="36"/>
      <c r="AF67" s="36"/>
      <c r="AG67" s="36"/>
      <c r="AH67" s="36"/>
      <c r="AI67" s="36"/>
      <c r="AJ67" s="36"/>
      <c r="AK67" s="36"/>
      <c r="AL67" s="36"/>
      <c r="AM67" s="36"/>
      <c r="AN67" s="36"/>
      <c r="AO67" s="36"/>
      <c r="AP67" s="36"/>
      <c r="AQ67" s="36"/>
      <c r="AR67" s="36"/>
      <c r="AS67" s="36"/>
      <c r="AT67" s="36"/>
      <c r="AU67" s="36"/>
      <c r="AV67" s="36"/>
      <c r="AW67" s="36"/>
      <c r="AX67" s="36"/>
      <c r="AY67" s="36"/>
      <c r="AZ67" s="36"/>
      <c r="BA67" s="36"/>
      <c r="BB67" s="36"/>
      <c r="BC67" s="36"/>
      <c r="BD67" s="36"/>
      <c r="BE67" s="36"/>
      <c r="BF67" s="36"/>
      <c r="BG67" s="36"/>
      <c r="BH67" s="36"/>
      <c r="BI67" s="36"/>
      <c r="BJ67" s="36"/>
      <c r="BK67" s="36"/>
      <c r="BL67" s="36"/>
      <c r="BM67" s="36"/>
      <c r="BN67" s="36"/>
      <c r="BO67" s="36"/>
      <c r="BP67" s="36"/>
      <c r="BQ67" s="36"/>
      <c r="BR67" s="36"/>
      <c r="BS67" s="36"/>
      <c r="BT67" s="36"/>
      <c r="BU67" s="36"/>
      <c r="BV67" s="36"/>
      <c r="BW67" s="36"/>
      <c r="BX67" s="36"/>
      <c r="BY67" s="36"/>
      <c r="BZ67" s="36"/>
      <c r="CA67" s="36"/>
      <c r="CB67" s="36"/>
      <c r="CC67" s="36"/>
      <c r="CD67" s="36"/>
      <c r="CE67" s="36"/>
      <c r="CF67" s="36"/>
      <c r="CG67" s="36"/>
      <c r="CH67" s="36"/>
      <c r="CI67" s="36"/>
      <c r="CJ67" s="36"/>
      <c r="CK67" s="36"/>
      <c r="CL67" s="36"/>
      <c r="CM67" s="36"/>
      <c r="CN67" s="36"/>
      <c r="CO67" s="36"/>
      <c r="CP67" s="36"/>
      <c r="CQ67" s="36"/>
      <c r="CR67" s="36"/>
      <c r="CS67" s="36"/>
      <c r="CT67" s="36">
        <v>1</v>
      </c>
      <c r="CU67" s="36"/>
      <c r="CV67" s="36"/>
      <c r="CW67" s="36"/>
      <c r="CX67" s="36"/>
      <c r="CY67" s="36"/>
      <c r="CZ67" s="36"/>
      <c r="DA67" s="36"/>
      <c r="DB67" s="36"/>
      <c r="DC67" s="36"/>
      <c r="DD67" s="36"/>
      <c r="DE67" s="36"/>
      <c r="DF67" s="36"/>
      <c r="DG67" s="36"/>
      <c r="DH67" s="36">
        <v>-0.71664726426076841</v>
      </c>
      <c r="DI67" s="36"/>
      <c r="DJ67" s="36"/>
      <c r="DK67" s="36"/>
      <c r="DL67" s="36"/>
      <c r="DM67" s="36"/>
      <c r="DN67" s="36"/>
      <c r="DO67" s="36">
        <v>-10.22584400465658</v>
      </c>
      <c r="DP67" s="36"/>
      <c r="DQ67" s="36"/>
      <c r="DR67" s="36"/>
      <c r="DS67" s="36">
        <v>-64.121071012805601</v>
      </c>
      <c r="DT67" s="36"/>
      <c r="DU67" s="36"/>
      <c r="DV67" s="36"/>
      <c r="DW67" s="36"/>
      <c r="DX67" s="36"/>
      <c r="DY67" s="36"/>
      <c r="DZ67" s="36"/>
      <c r="EA67" s="36"/>
      <c r="EB67" s="36"/>
      <c r="EC67" s="36"/>
      <c r="ED67" s="36"/>
      <c r="EE67" s="36"/>
      <c r="EF67" s="36"/>
      <c r="EG67" s="36"/>
      <c r="EH67" s="36"/>
      <c r="EI67" s="36"/>
      <c r="EJ67" s="36"/>
      <c r="EK67" s="36"/>
      <c r="EL67" s="36"/>
      <c r="EM67" s="36">
        <v>3.2521536670547153</v>
      </c>
      <c r="EN67" s="36"/>
      <c r="EO67" s="36"/>
      <c r="EP67" s="36"/>
      <c r="EQ67" s="36"/>
      <c r="ER67" s="36"/>
      <c r="ES67" s="36"/>
      <c r="ET67" s="36"/>
      <c r="EU67" s="36"/>
      <c r="EV67" s="36"/>
      <c r="EW67" s="36"/>
      <c r="EX67" s="36"/>
      <c r="EY67" s="36"/>
      <c r="EZ67" s="36"/>
      <c r="FA67" s="36"/>
      <c r="FB67" s="36"/>
      <c r="FC67" s="36"/>
      <c r="FD67" s="36"/>
      <c r="FE67" s="36"/>
      <c r="FF67" s="36"/>
      <c r="FG67" s="36"/>
      <c r="FH67" s="36"/>
      <c r="FI67" s="36"/>
      <c r="FJ67" s="36"/>
      <c r="FK67" s="36"/>
      <c r="FL67" s="36"/>
      <c r="FM67" s="36"/>
      <c r="FN67" s="36"/>
      <c r="FO67" s="36"/>
      <c r="FP67" s="36"/>
      <c r="FQ67" s="36"/>
      <c r="FR67" s="36"/>
      <c r="FS67" s="36"/>
      <c r="FT67" s="36"/>
      <c r="FU67" s="36"/>
      <c r="FV67" s="36"/>
      <c r="FW67" s="36"/>
      <c r="FX67" s="36"/>
      <c r="FY67" s="36"/>
      <c r="FZ67" s="36"/>
      <c r="GA67" s="36"/>
      <c r="GB67" s="319"/>
      <c r="GC67" s="179">
        <f t="shared" si="5"/>
        <v>0</v>
      </c>
      <c r="GD67" s="179">
        <f t="shared" si="6"/>
        <v>0</v>
      </c>
      <c r="GE67" s="179">
        <f t="shared" si="7"/>
        <v>0</v>
      </c>
      <c r="GF67" s="179">
        <f t="shared" si="8"/>
        <v>0</v>
      </c>
      <c r="GG67" s="179">
        <f t="shared" si="4"/>
        <v>4.0460395809080341</v>
      </c>
    </row>
    <row r="68" spans="1:189" x14ac:dyDescent="0.35">
      <c r="A68" s="5" t="s">
        <v>822</v>
      </c>
      <c r="B68" s="5" t="str">
        <f>IF(Technologies!B68&lt;&gt;0,Technologies!B68,"")</f>
        <v>Industrie</v>
      </c>
      <c r="C68" s="5" t="str">
        <f>VLOOKUP($A68,Technologies!$A$7:$H$576,3,FALSE)</f>
        <v>Conversion</v>
      </c>
      <c r="D68" s="5" t="str">
        <f>VLOOKUP($A68,Technologies!$A$7:$H$576,4,FALSE)</f>
        <v>Industry</v>
      </c>
      <c r="E68" s="5" t="str">
        <f>VLOOKUP($A68,Technologies!$A$7:$H$576,6,FALSE)</f>
        <v>Propylene intermediate</v>
      </c>
      <c r="F68" s="5" t="str">
        <f>VLOOKUP($A68,Technologies!$A$7:$H$576,7,FALSE)</f>
        <v>Propylene from ethanol dehydration, ethene dimerization and metathesis - Petrochemicals</v>
      </c>
      <c r="G68" s="23"/>
      <c r="H68" s="23"/>
      <c r="I68" s="104" cm="1">
        <f t="array" ref="I68">-SUMPRODUCT((Feedstocks!$C$4:$C$141=A68)*Feedstocks!$E$4:$E$141,Feedstocks!$F$4:$F$141,Feedstocks!$H$4:$H$141,Feedstocks!$I$4:$I$141)</f>
        <v>0</v>
      </c>
      <c r="J68" s="104" cm="1">
        <f t="array" ref="J68">-SUMPRODUCT((Feedstocks!$C$4:$C$141=A68)*Feedstocks!$E$4:$E$141,Feedstocks!$H$4:$H$141,Feedstocks!$I$4:$I$141)</f>
        <v>5.4388888888888882</v>
      </c>
      <c r="K68" s="104"/>
      <c r="L68" s="104"/>
      <c r="M68" s="23">
        <v>1</v>
      </c>
      <c r="N68" s="23" t="str">
        <f>VLOOKUP(E68,Activities!$A$9:$M$227,13,FALSE)</f>
        <v>NL</v>
      </c>
      <c r="O68" s="23"/>
      <c r="P68" s="79" t="s">
        <v>819</v>
      </c>
      <c r="Q68" s="35"/>
      <c r="R68" s="35"/>
      <c r="S68" s="35"/>
      <c r="T68" s="35"/>
      <c r="U68" s="35"/>
      <c r="V68" s="35"/>
      <c r="W68" s="35"/>
      <c r="X68" s="35"/>
      <c r="Y68" s="35"/>
      <c r="Z68" s="35"/>
      <c r="AA68" s="35"/>
      <c r="AB68" s="35"/>
      <c r="AC68" s="35"/>
      <c r="AD68" s="35"/>
      <c r="AE68" s="35"/>
      <c r="AF68" s="35"/>
      <c r="AG68" s="35"/>
      <c r="AH68" s="35"/>
      <c r="AI68" s="35"/>
      <c r="AJ68" s="35"/>
      <c r="AK68" s="35"/>
      <c r="AL68" s="35"/>
      <c r="AM68" s="35"/>
      <c r="AN68" s="35"/>
      <c r="AO68" s="35"/>
      <c r="AP68" s="35"/>
      <c r="AQ68" s="35"/>
      <c r="AR68" s="35"/>
      <c r="AS68" s="35"/>
      <c r="AT68" s="35"/>
      <c r="AU68" s="35"/>
      <c r="AV68" s="35"/>
      <c r="AW68" s="35"/>
      <c r="AX68" s="35"/>
      <c r="AY68" s="35"/>
      <c r="AZ68" s="35"/>
      <c r="BA68" s="35"/>
      <c r="BB68" s="35"/>
      <c r="BC68" s="35"/>
      <c r="BD68" s="35"/>
      <c r="BE68" s="35"/>
      <c r="BF68" s="35"/>
      <c r="BG68" s="35"/>
      <c r="BH68" s="35"/>
      <c r="BI68" s="35"/>
      <c r="BJ68" s="35"/>
      <c r="BK68" s="35"/>
      <c r="BL68" s="35"/>
      <c r="BM68" s="35"/>
      <c r="BN68" s="35"/>
      <c r="BO68" s="35"/>
      <c r="BP68" s="35"/>
      <c r="BQ68" s="35"/>
      <c r="BR68" s="35"/>
      <c r="BS68" s="35"/>
      <c r="BT68" s="35"/>
      <c r="BU68" s="35"/>
      <c r="BV68" s="35"/>
      <c r="BW68" s="35"/>
      <c r="BX68" s="35"/>
      <c r="BY68" s="35"/>
      <c r="BZ68" s="35"/>
      <c r="CA68" s="35"/>
      <c r="CB68" s="35"/>
      <c r="CC68" s="35"/>
      <c r="CD68" s="35"/>
      <c r="CE68" s="35"/>
      <c r="CF68" s="35"/>
      <c r="CG68" s="35"/>
      <c r="CH68" s="35"/>
      <c r="CI68" s="35"/>
      <c r="CJ68" s="35"/>
      <c r="CK68" s="35"/>
      <c r="CL68" s="35"/>
      <c r="CM68" s="35"/>
      <c r="CN68" s="35"/>
      <c r="CO68" s="35"/>
      <c r="CP68" s="35"/>
      <c r="CQ68" s="35"/>
      <c r="CR68" s="35"/>
      <c r="CS68" s="35"/>
      <c r="CT68" s="35">
        <v>1</v>
      </c>
      <c r="CU68" s="35"/>
      <c r="CV68" s="35"/>
      <c r="CW68" s="35"/>
      <c r="CX68" s="35"/>
      <c r="CY68" s="35"/>
      <c r="CZ68" s="35"/>
      <c r="DA68" s="35"/>
      <c r="DB68" s="35"/>
      <c r="DC68" s="35"/>
      <c r="DD68" s="35"/>
      <c r="DE68" s="35"/>
      <c r="DF68" s="35"/>
      <c r="DG68" s="35"/>
      <c r="DH68" s="35">
        <f>-(8.2/Activities!S122)</f>
        <v>-0.30711610486891383</v>
      </c>
      <c r="DI68" s="35"/>
      <c r="DJ68" s="35"/>
      <c r="DK68" s="35"/>
      <c r="DL68" s="35"/>
      <c r="DM68" s="35"/>
      <c r="DN68" s="35"/>
      <c r="DO68" s="35">
        <v>-7.5</v>
      </c>
      <c r="DP68" s="35"/>
      <c r="DQ68" s="35"/>
      <c r="DR68" s="35"/>
      <c r="DS68" s="35"/>
      <c r="DT68" s="35"/>
      <c r="DU68" s="35"/>
      <c r="DV68" s="35"/>
      <c r="DW68" s="35"/>
      <c r="DX68" s="35"/>
      <c r="DY68" s="35"/>
      <c r="DZ68" s="35">
        <f>(-1/0.27)*Activities!S122</f>
        <v>-98.888888888888872</v>
      </c>
      <c r="EA68" s="35"/>
      <c r="EB68" s="35"/>
      <c r="EC68" s="35"/>
      <c r="ED68" s="35"/>
      <c r="EE68" s="35"/>
      <c r="EF68" s="35"/>
      <c r="EG68" s="35"/>
      <c r="EH68" s="35"/>
      <c r="EI68" s="35"/>
      <c r="EJ68" s="35"/>
      <c r="EK68" s="35"/>
      <c r="EL68" s="35"/>
      <c r="EM68" s="35"/>
      <c r="EN68" s="35"/>
      <c r="EO68" s="35"/>
      <c r="EP68" s="35"/>
      <c r="EQ68" s="35"/>
      <c r="ER68" s="35"/>
      <c r="ES68" s="35"/>
      <c r="ET68" s="35"/>
      <c r="EU68" s="35"/>
      <c r="EV68" s="35"/>
      <c r="EW68" s="35"/>
      <c r="EX68" s="35"/>
      <c r="EY68" s="35"/>
      <c r="EZ68" s="35"/>
      <c r="FA68" s="35"/>
      <c r="FB68" s="35"/>
      <c r="FC68" s="35"/>
      <c r="FD68" s="35"/>
      <c r="FE68" s="35"/>
      <c r="FF68" s="35"/>
      <c r="FG68" s="35"/>
      <c r="FH68" s="35"/>
      <c r="FI68" s="35"/>
      <c r="FJ68" s="35"/>
      <c r="FK68" s="35"/>
      <c r="FL68" s="35"/>
      <c r="FM68" s="35"/>
      <c r="FN68" s="35"/>
      <c r="FO68" s="35"/>
      <c r="FP68" s="35"/>
      <c r="FQ68" s="35"/>
      <c r="FR68" s="35"/>
      <c r="FS68" s="35"/>
      <c r="FT68" s="35"/>
      <c r="FU68" s="35"/>
      <c r="FV68" s="35"/>
      <c r="FW68" s="35"/>
      <c r="FX68" s="35"/>
      <c r="FY68" s="35"/>
      <c r="FZ68" s="35"/>
      <c r="GA68" s="35"/>
      <c r="GB68" s="318"/>
      <c r="GC68" s="178">
        <f t="shared" si="5"/>
        <v>0</v>
      </c>
      <c r="GD68" s="178">
        <f t="shared" si="6"/>
        <v>0</v>
      </c>
      <c r="GE68" s="178">
        <f t="shared" si="7"/>
        <v>0</v>
      </c>
      <c r="GF68" s="178">
        <f t="shared" si="8"/>
        <v>0</v>
      </c>
      <c r="GG68" s="178">
        <f t="shared" si="4"/>
        <v>0</v>
      </c>
    </row>
    <row r="69" spans="1:189" x14ac:dyDescent="0.35">
      <c r="A69" s="6" t="s">
        <v>825</v>
      </c>
      <c r="B69" s="6" t="str">
        <f>IF(Technologies!B69&lt;&gt;0,Technologies!B69,"")</f>
        <v>Industrie</v>
      </c>
      <c r="C69" s="6" t="str">
        <f>VLOOKUP($A69,Technologies!$A$7:$H$576,3,FALSE)</f>
        <v>Primary</v>
      </c>
      <c r="D69" s="6" t="str">
        <f>VLOOKUP($A69,Technologies!$A$7:$H$576,4,FALSE)</f>
        <v>Material</v>
      </c>
      <c r="E69" s="6" t="str">
        <f>VLOOKUP($A69,Technologies!$A$7:$H$576,6,FALSE)</f>
        <v>Propylene intermediate</v>
      </c>
      <c r="F69" s="48" t="str">
        <f>VLOOKUP($A69,Technologies!$A$7:$H$576,7,FALSE)</f>
        <v>Propylene imports - Petrochemical industry</v>
      </c>
      <c r="G69" s="22"/>
      <c r="H69" s="22"/>
      <c r="I69" s="103" cm="1">
        <f t="array" ref="I69">-SUMPRODUCT((Feedstocks!$C$4:$C$141=A69)*Feedstocks!$E$4:$E$141,Feedstocks!$F$4:$F$141,Feedstocks!$H$4:$H$141,Feedstocks!$I$4:$I$141)</f>
        <v>0</v>
      </c>
      <c r="J69" s="103" cm="1">
        <f t="array" ref="J69">-SUMPRODUCT((Feedstocks!$C$4:$C$141=A69)*Feedstocks!$E$4:$E$141,Feedstocks!$H$4:$H$141,Feedstocks!$I$4:$I$141)</f>
        <v>0</v>
      </c>
      <c r="K69" s="103"/>
      <c r="L69" s="103"/>
      <c r="M69" s="22">
        <v>1</v>
      </c>
      <c r="N69" s="22" t="str">
        <f>VLOOKUP(E69,Activities!$A$9:$M$227,13,FALSE)</f>
        <v>NL</v>
      </c>
      <c r="O69" s="22"/>
      <c r="P69" s="80" t="s">
        <v>819</v>
      </c>
      <c r="Q69" s="36"/>
      <c r="R69" s="36"/>
      <c r="S69" s="36"/>
      <c r="T69" s="36"/>
      <c r="U69" s="36"/>
      <c r="V69" s="36"/>
      <c r="W69" s="36"/>
      <c r="X69" s="36"/>
      <c r="Y69" s="36"/>
      <c r="Z69" s="36"/>
      <c r="AA69" s="36"/>
      <c r="AB69" s="36"/>
      <c r="AC69" s="36"/>
      <c r="AD69" s="36"/>
      <c r="AE69" s="36"/>
      <c r="AF69" s="36"/>
      <c r="AG69" s="36"/>
      <c r="AH69" s="36"/>
      <c r="AI69" s="36"/>
      <c r="AJ69" s="36"/>
      <c r="AK69" s="36"/>
      <c r="AL69" s="36"/>
      <c r="AM69" s="36"/>
      <c r="AN69" s="36"/>
      <c r="AO69" s="36"/>
      <c r="AP69" s="36"/>
      <c r="AQ69" s="36"/>
      <c r="AR69" s="36"/>
      <c r="AS69" s="36"/>
      <c r="AT69" s="36"/>
      <c r="AU69" s="36"/>
      <c r="AV69" s="36"/>
      <c r="AW69" s="36"/>
      <c r="AX69" s="36"/>
      <c r="AY69" s="36"/>
      <c r="AZ69" s="36"/>
      <c r="BA69" s="36"/>
      <c r="BB69" s="36"/>
      <c r="BC69" s="36"/>
      <c r="BD69" s="36"/>
      <c r="BE69" s="36"/>
      <c r="BF69" s="36"/>
      <c r="BG69" s="36"/>
      <c r="BH69" s="36"/>
      <c r="BI69" s="36"/>
      <c r="BJ69" s="36"/>
      <c r="BK69" s="36"/>
      <c r="BL69" s="36"/>
      <c r="BM69" s="36"/>
      <c r="BN69" s="36"/>
      <c r="BO69" s="36"/>
      <c r="BP69" s="36"/>
      <c r="BQ69" s="36"/>
      <c r="BR69" s="36"/>
      <c r="BS69" s="36"/>
      <c r="BT69" s="36"/>
      <c r="BU69" s="36"/>
      <c r="BV69" s="36"/>
      <c r="BW69" s="36"/>
      <c r="BX69" s="36"/>
      <c r="BY69" s="36"/>
      <c r="BZ69" s="36"/>
      <c r="CA69" s="36"/>
      <c r="CB69" s="36"/>
      <c r="CC69" s="36"/>
      <c r="CD69" s="36"/>
      <c r="CE69" s="36"/>
      <c r="CF69" s="36"/>
      <c r="CG69" s="36"/>
      <c r="CH69" s="36"/>
      <c r="CI69" s="36"/>
      <c r="CJ69" s="36"/>
      <c r="CK69" s="36"/>
      <c r="CL69" s="36"/>
      <c r="CM69" s="36"/>
      <c r="CN69" s="36"/>
      <c r="CO69" s="36"/>
      <c r="CP69" s="36"/>
      <c r="CQ69" s="36"/>
      <c r="CR69" s="36"/>
      <c r="CS69" s="36"/>
      <c r="CT69" s="36">
        <v>1</v>
      </c>
      <c r="CU69" s="36"/>
      <c r="CV69" s="36"/>
      <c r="CW69" s="36"/>
      <c r="CX69" s="36"/>
      <c r="CY69" s="36"/>
      <c r="CZ69" s="36"/>
      <c r="DA69" s="36"/>
      <c r="DB69" s="36"/>
      <c r="DC69" s="36"/>
      <c r="DD69" s="36"/>
      <c r="DE69" s="36"/>
      <c r="DF69" s="36"/>
      <c r="DG69" s="36"/>
      <c r="DH69" s="36"/>
      <c r="DI69" s="36"/>
      <c r="DJ69" s="36"/>
      <c r="DK69" s="36"/>
      <c r="DL69" s="36"/>
      <c r="DM69" s="36"/>
      <c r="DN69" s="36"/>
      <c r="DO69" s="36"/>
      <c r="DP69" s="36"/>
      <c r="DQ69" s="36"/>
      <c r="DR69" s="36"/>
      <c r="DS69" s="36"/>
      <c r="DT69" s="36"/>
      <c r="DU69" s="36"/>
      <c r="DV69" s="36"/>
      <c r="DW69" s="36"/>
      <c r="DX69" s="36"/>
      <c r="DY69" s="36"/>
      <c r="DZ69" s="36"/>
      <c r="EA69" s="36"/>
      <c r="EB69" s="36"/>
      <c r="EC69" s="36"/>
      <c r="ED69" s="36"/>
      <c r="EE69" s="36"/>
      <c r="EF69" s="36"/>
      <c r="EG69" s="36"/>
      <c r="EH69" s="36"/>
      <c r="EI69" s="36"/>
      <c r="EJ69" s="36"/>
      <c r="EK69" s="36"/>
      <c r="EL69" s="36"/>
      <c r="EM69" s="36"/>
      <c r="EN69" s="36"/>
      <c r="EO69" s="36"/>
      <c r="EP69" s="36"/>
      <c r="EQ69" s="36"/>
      <c r="ER69" s="36"/>
      <c r="ES69" s="36"/>
      <c r="ET69" s="36"/>
      <c r="EU69" s="36"/>
      <c r="EV69" s="36"/>
      <c r="EW69" s="36"/>
      <c r="EX69" s="36"/>
      <c r="EY69" s="36"/>
      <c r="EZ69" s="36"/>
      <c r="FA69" s="36"/>
      <c r="FB69" s="36"/>
      <c r="FC69" s="36"/>
      <c r="FD69" s="36"/>
      <c r="FE69" s="36"/>
      <c r="FF69" s="36"/>
      <c r="FG69" s="36"/>
      <c r="FH69" s="36"/>
      <c r="FI69" s="36"/>
      <c r="FJ69" s="36"/>
      <c r="FK69" s="36"/>
      <c r="FL69" s="36"/>
      <c r="FM69" s="36"/>
      <c r="FN69" s="36"/>
      <c r="FO69" s="36"/>
      <c r="FP69" s="36"/>
      <c r="FQ69" s="36"/>
      <c r="FR69" s="36"/>
      <c r="FS69" s="36"/>
      <c r="FT69" s="36"/>
      <c r="FU69" s="36"/>
      <c r="FV69" s="36"/>
      <c r="FW69" s="36"/>
      <c r="FX69" s="36"/>
      <c r="FY69" s="36"/>
      <c r="FZ69" s="36"/>
      <c r="GA69" s="36"/>
      <c r="GB69" s="319"/>
      <c r="GC69" s="179">
        <f t="shared" si="5"/>
        <v>0</v>
      </c>
      <c r="GD69" s="179">
        <f t="shared" si="6"/>
        <v>0</v>
      </c>
      <c r="GE69" s="179">
        <f t="shared" si="7"/>
        <v>0</v>
      </c>
      <c r="GF69" s="179">
        <f t="shared" si="8"/>
        <v>0</v>
      </c>
      <c r="GG69" s="179">
        <f t="shared" si="4"/>
        <v>0</v>
      </c>
    </row>
    <row r="70" spans="1:189" ht="14.4" customHeight="1" x14ac:dyDescent="0.35">
      <c r="A70" s="5" t="s">
        <v>827</v>
      </c>
      <c r="B70" s="6" t="str">
        <f>IF(Technologies!B70&lt;&gt;0,Technologies!B70,"")</f>
        <v>Industrie</v>
      </c>
      <c r="C70" s="6" t="str">
        <f>VLOOKUP($A70,Technologies!$A$7:$H$576,3,FALSE)</f>
        <v>Primary</v>
      </c>
      <c r="D70" s="6" t="str">
        <f>VLOOKUP($A70,Technologies!$A$7:$H$576,4,FALSE)</f>
        <v>Material</v>
      </c>
      <c r="E70" s="6" t="str">
        <f>VLOOKUP($A70,Technologies!$A$7:$H$576,6,FALSE)</f>
        <v>Butadiene production - Chemical Industry</v>
      </c>
      <c r="F70" s="48" t="str">
        <f>VLOOKUP($A70,Technologies!$A$7:$H$576,7,FALSE)</f>
        <v>Butadiene imports - Petrochemical industry</v>
      </c>
      <c r="G70" s="23"/>
      <c r="H70" s="22"/>
      <c r="I70" s="103" cm="1">
        <f t="array" ref="I70">-SUMPRODUCT((Feedstocks!$C$4:$C$141=A70)*Feedstocks!$E$4:$E$141,Feedstocks!$F$4:$F$141,Feedstocks!$H$4:$H$141,Feedstocks!$I$4:$I$141)</f>
        <v>0</v>
      </c>
      <c r="J70" s="103" cm="1">
        <f t="array" ref="J70">-SUMPRODUCT((Feedstocks!$C$4:$C$141=A70)*Feedstocks!$E$4:$E$141,Feedstocks!$H$4:$H$141,Feedstocks!$I$4:$I$141)</f>
        <v>0</v>
      </c>
      <c r="K70" s="103"/>
      <c r="L70" s="103"/>
      <c r="M70" s="23">
        <v>1</v>
      </c>
      <c r="N70" s="23" t="str">
        <f>VLOOKUP(E70,Activities!$A$9:$M$227,13,FALSE)</f>
        <v>NL</v>
      </c>
      <c r="O70" s="23"/>
      <c r="P70" s="79" t="s">
        <v>819</v>
      </c>
      <c r="Q70" s="35"/>
      <c r="R70" s="35"/>
      <c r="S70" s="35"/>
      <c r="T70" s="35"/>
      <c r="U70" s="35"/>
      <c r="V70" s="35"/>
      <c r="W70" s="35"/>
      <c r="X70" s="35"/>
      <c r="Y70" s="35"/>
      <c r="Z70" s="35"/>
      <c r="AA70" s="35"/>
      <c r="AB70" s="35"/>
      <c r="AC70" s="35"/>
      <c r="AD70" s="35"/>
      <c r="AE70" s="35"/>
      <c r="AF70" s="35">
        <v>1</v>
      </c>
      <c r="AG70" s="35"/>
      <c r="AH70" s="35"/>
      <c r="AI70" s="35"/>
      <c r="AJ70" s="35"/>
      <c r="AK70" s="35"/>
      <c r="AL70" s="35"/>
      <c r="AM70" s="35"/>
      <c r="AN70" s="35"/>
      <c r="AO70" s="35"/>
      <c r="AP70" s="35"/>
      <c r="AQ70" s="35"/>
      <c r="AR70" s="35"/>
      <c r="AS70" s="35"/>
      <c r="AT70" s="35"/>
      <c r="AU70" s="35"/>
      <c r="AV70" s="35"/>
      <c r="AW70" s="35"/>
      <c r="AX70" s="35"/>
      <c r="AY70" s="35"/>
      <c r="AZ70" s="35"/>
      <c r="BA70" s="35"/>
      <c r="BB70" s="35"/>
      <c r="BC70" s="35"/>
      <c r="BD70" s="35"/>
      <c r="BE70" s="35"/>
      <c r="BF70" s="35"/>
      <c r="BG70" s="35"/>
      <c r="BH70" s="35"/>
      <c r="BI70" s="35"/>
      <c r="BJ70" s="35"/>
      <c r="BK70" s="35"/>
      <c r="BL70" s="35"/>
      <c r="BM70" s="35"/>
      <c r="BN70" s="35"/>
      <c r="BO70" s="35"/>
      <c r="BP70" s="35"/>
      <c r="BQ70" s="35"/>
      <c r="BR70" s="35"/>
      <c r="BS70" s="35"/>
      <c r="BT70" s="35"/>
      <c r="BU70" s="35"/>
      <c r="BV70" s="35"/>
      <c r="BW70" s="35"/>
      <c r="BX70" s="35"/>
      <c r="BY70" s="35"/>
      <c r="BZ70" s="35"/>
      <c r="CA70" s="35"/>
      <c r="CB70" s="35"/>
      <c r="CC70" s="35"/>
      <c r="CD70" s="35"/>
      <c r="CE70" s="35"/>
      <c r="CF70" s="35"/>
      <c r="CG70" s="35"/>
      <c r="CH70" s="35"/>
      <c r="CI70" s="35"/>
      <c r="CJ70" s="35"/>
      <c r="CK70" s="35"/>
      <c r="CL70" s="35"/>
      <c r="CM70" s="35"/>
      <c r="CN70" s="35"/>
      <c r="CO70" s="35"/>
      <c r="CP70" s="35"/>
      <c r="CQ70" s="35"/>
      <c r="CR70" s="35"/>
      <c r="CS70" s="35"/>
      <c r="CT70" s="35"/>
      <c r="CU70" s="35"/>
      <c r="CV70" s="35"/>
      <c r="CW70" s="35"/>
      <c r="CX70" s="35"/>
      <c r="CY70" s="35"/>
      <c r="CZ70" s="35"/>
      <c r="DA70" s="35"/>
      <c r="DB70" s="35"/>
      <c r="DC70" s="35"/>
      <c r="DD70" s="35"/>
      <c r="DE70" s="35"/>
      <c r="DF70" s="35"/>
      <c r="DG70" s="35"/>
      <c r="DH70" s="35"/>
      <c r="DI70" s="35"/>
      <c r="DJ70" s="35"/>
      <c r="DK70" s="35"/>
      <c r="DL70" s="35"/>
      <c r="DM70" s="35"/>
      <c r="DN70" s="35"/>
      <c r="DO70" s="35"/>
      <c r="DP70" s="35"/>
      <c r="DQ70" s="35"/>
      <c r="DR70" s="35"/>
      <c r="DS70" s="35"/>
      <c r="DT70" s="35"/>
      <c r="DU70" s="35"/>
      <c r="DV70" s="35"/>
      <c r="DW70" s="35"/>
      <c r="DX70" s="35"/>
      <c r="DY70" s="35"/>
      <c r="DZ70" s="35"/>
      <c r="EA70" s="35"/>
      <c r="EB70" s="35"/>
      <c r="EC70" s="35"/>
      <c r="ED70" s="35"/>
      <c r="EE70" s="35"/>
      <c r="EF70" s="35"/>
      <c r="EG70" s="35"/>
      <c r="EH70" s="35"/>
      <c r="EI70" s="35"/>
      <c r="EJ70" s="35"/>
      <c r="EK70" s="35"/>
      <c r="EL70" s="35"/>
      <c r="EM70" s="35"/>
      <c r="EN70" s="35"/>
      <c r="EO70" s="35"/>
      <c r="EP70" s="35"/>
      <c r="EQ70" s="35"/>
      <c r="ER70" s="35"/>
      <c r="ES70" s="35"/>
      <c r="ET70" s="35"/>
      <c r="EU70" s="35"/>
      <c r="EV70" s="35"/>
      <c r="EW70" s="35"/>
      <c r="EX70" s="35"/>
      <c r="EY70" s="35"/>
      <c r="EZ70" s="35"/>
      <c r="FA70" s="35"/>
      <c r="FB70" s="35"/>
      <c r="FC70" s="35"/>
      <c r="FD70" s="35"/>
      <c r="FE70" s="35"/>
      <c r="FF70" s="35"/>
      <c r="FG70" s="35"/>
      <c r="FH70" s="35"/>
      <c r="FI70" s="35"/>
      <c r="FJ70" s="35"/>
      <c r="FK70" s="35"/>
      <c r="FL70" s="35"/>
      <c r="FM70" s="35"/>
      <c r="FN70" s="35"/>
      <c r="FO70" s="35"/>
      <c r="FP70" s="35"/>
      <c r="FQ70" s="35"/>
      <c r="FR70" s="35"/>
      <c r="FS70" s="35"/>
      <c r="FT70" s="35"/>
      <c r="FU70" s="35"/>
      <c r="FV70" s="35"/>
      <c r="FW70" s="35"/>
      <c r="FX70" s="35"/>
      <c r="FY70" s="35"/>
      <c r="FZ70" s="35"/>
      <c r="GA70" s="35"/>
      <c r="GB70" s="318"/>
      <c r="GC70" s="179">
        <f t="shared" si="5"/>
        <v>0</v>
      </c>
      <c r="GD70" s="179">
        <f t="shared" si="6"/>
        <v>0</v>
      </c>
      <c r="GE70" s="179">
        <f t="shared" si="7"/>
        <v>0</v>
      </c>
      <c r="GF70" s="179">
        <f t="shared" si="8"/>
        <v>0</v>
      </c>
      <c r="GG70" s="179">
        <f t="shared" si="4"/>
        <v>0</v>
      </c>
    </row>
    <row r="71" spans="1:189" ht="14.4" customHeight="1" x14ac:dyDescent="0.35">
      <c r="A71" s="5" t="s">
        <v>830</v>
      </c>
      <c r="B71" s="6" t="str">
        <f>IF(Technologies!B71&lt;&gt;0,Technologies!B71,"")</f>
        <v>Industrie</v>
      </c>
      <c r="C71" s="6" t="str">
        <f>VLOOKUP($A71,Technologies!$A$7:$H$576,3,FALSE)</f>
        <v>Final</v>
      </c>
      <c r="D71" s="6" t="str">
        <f>VLOOKUP($A71,Technologies!$A$7:$H$576,4,FALSE)</f>
        <v>Industry</v>
      </c>
      <c r="E71" s="6" t="str">
        <f>VLOOKUP($A71,Technologies!$A$7:$H$576,6,FALSE)</f>
        <v>LDPE production - Chemical Industry</v>
      </c>
      <c r="F71" s="48" t="str">
        <f>VLOOKUP($A71,Technologies!$A$7:$H$576,7,FALSE)</f>
        <v>High-pressure polymerisation of low-density polyethylene (LDPE)</v>
      </c>
      <c r="G71" s="22"/>
      <c r="H71" s="22"/>
      <c r="I71" s="103" cm="1">
        <f t="array" ref="I71">-SUMPRODUCT((Feedstocks!$C$4:$C$141=A71)*Feedstocks!$E$4:$E$141,Feedstocks!$F$4:$F$141,Feedstocks!$H$4:$H$141,Feedstocks!$I$4:$I$141)</f>
        <v>0</v>
      </c>
      <c r="J71" s="103" cm="1">
        <f t="array" ref="J71">-SUMPRODUCT((Feedstocks!$C$4:$C$141=A71)*Feedstocks!$E$4:$E$141,Feedstocks!$H$4:$H$141,Feedstocks!$I$4:$I$141)</f>
        <v>0</v>
      </c>
      <c r="K71" s="103"/>
      <c r="L71" s="103"/>
      <c r="M71" s="23">
        <v>1</v>
      </c>
      <c r="N71" s="23" t="str">
        <f>VLOOKUP(E71,Activities!$A$9:$M$227,13,FALSE)</f>
        <v>NL</v>
      </c>
      <c r="O71" s="23"/>
      <c r="P71" s="80" t="s">
        <v>1812</v>
      </c>
      <c r="Q71" s="35"/>
      <c r="R71" s="35"/>
      <c r="S71" s="35"/>
      <c r="T71" s="35"/>
      <c r="U71" s="35"/>
      <c r="V71" s="35"/>
      <c r="W71" s="35"/>
      <c r="X71" s="35"/>
      <c r="Y71" s="35"/>
      <c r="Z71" s="35"/>
      <c r="AA71" s="35"/>
      <c r="AB71" s="35"/>
      <c r="AC71" s="35"/>
      <c r="AD71" s="36"/>
      <c r="AE71" s="36"/>
      <c r="AF71" s="36"/>
      <c r="AG71" s="36"/>
      <c r="AH71" s="36">
        <v>1</v>
      </c>
      <c r="AI71" s="36"/>
      <c r="AJ71" s="36"/>
      <c r="AK71" s="36"/>
      <c r="AL71" s="36"/>
      <c r="AM71" s="36"/>
      <c r="AN71" s="35"/>
      <c r="AO71" s="35"/>
      <c r="AP71" s="35"/>
      <c r="AQ71" s="35"/>
      <c r="AR71" s="35"/>
      <c r="AS71" s="35"/>
      <c r="AT71" s="35"/>
      <c r="AU71" s="35"/>
      <c r="AV71" s="35"/>
      <c r="AW71" s="35"/>
      <c r="AX71" s="35"/>
      <c r="AY71" s="35"/>
      <c r="AZ71" s="35"/>
      <c r="BA71" s="35"/>
      <c r="BB71" s="35"/>
      <c r="BC71" s="35"/>
      <c r="BD71" s="35"/>
      <c r="BE71" s="35"/>
      <c r="BF71" s="35"/>
      <c r="BG71" s="35"/>
      <c r="BH71" s="35"/>
      <c r="BI71" s="35"/>
      <c r="BJ71" s="35"/>
      <c r="BK71" s="35"/>
      <c r="BL71" s="35"/>
      <c r="BM71" s="35"/>
      <c r="BN71" s="35"/>
      <c r="BO71" s="35"/>
      <c r="BP71" s="35"/>
      <c r="BQ71" s="35"/>
      <c r="BR71" s="35"/>
      <c r="BS71" s="35"/>
      <c r="BT71" s="35"/>
      <c r="BU71" s="35"/>
      <c r="BV71" s="35"/>
      <c r="BW71" s="35"/>
      <c r="BX71" s="35"/>
      <c r="BY71" s="35"/>
      <c r="BZ71" s="35"/>
      <c r="CA71" s="35"/>
      <c r="CB71" s="35"/>
      <c r="CC71" s="35"/>
      <c r="CD71" s="35"/>
      <c r="CE71" s="35"/>
      <c r="CF71" s="35"/>
      <c r="CG71" s="35"/>
      <c r="CH71" s="35"/>
      <c r="CI71" s="35"/>
      <c r="CJ71" s="35"/>
      <c r="CK71" s="35"/>
      <c r="CL71" s="35"/>
      <c r="CM71" s="35"/>
      <c r="CN71" s="35"/>
      <c r="CO71" s="35"/>
      <c r="CP71" s="35"/>
      <c r="CQ71" s="35"/>
      <c r="CR71" s="35"/>
      <c r="CS71" s="36">
        <v>-1.03</v>
      </c>
      <c r="CT71" s="36"/>
      <c r="CU71" s="36"/>
      <c r="CV71" s="36"/>
      <c r="CW71" s="36"/>
      <c r="CX71" s="36"/>
      <c r="CY71" s="36"/>
      <c r="CZ71" s="36"/>
      <c r="DA71" s="36"/>
      <c r="DB71" s="35"/>
      <c r="DC71" s="35"/>
      <c r="DD71" s="35"/>
      <c r="DE71" s="35"/>
      <c r="DF71" s="35"/>
      <c r="DG71" s="35"/>
      <c r="DH71" s="36">
        <v>-3.43</v>
      </c>
      <c r="DI71" s="36"/>
      <c r="DJ71" s="36"/>
      <c r="DK71" s="36"/>
      <c r="DL71" s="36"/>
      <c r="DM71" s="36"/>
      <c r="DN71" s="36"/>
      <c r="DO71" s="36">
        <v>0.28999999999999998</v>
      </c>
      <c r="DP71" s="36"/>
      <c r="DQ71" s="36"/>
      <c r="DR71" s="35"/>
      <c r="DS71" s="35"/>
      <c r="DT71" s="35"/>
      <c r="DU71" s="35"/>
      <c r="DV71" s="35"/>
      <c r="DW71" s="35"/>
      <c r="DX71" s="35"/>
      <c r="DY71" s="35"/>
      <c r="DZ71" s="35"/>
      <c r="EA71" s="35"/>
      <c r="EB71" s="35"/>
      <c r="EC71" s="35"/>
      <c r="ED71" s="35"/>
      <c r="EE71" s="35"/>
      <c r="EF71" s="35"/>
      <c r="EG71" s="35"/>
      <c r="EH71" s="35"/>
      <c r="EI71" s="35"/>
      <c r="EJ71" s="35"/>
      <c r="EK71" s="35"/>
      <c r="EL71" s="35"/>
      <c r="EM71" s="35"/>
      <c r="EN71" s="35"/>
      <c r="EO71" s="35"/>
      <c r="EP71" s="35"/>
      <c r="EQ71" s="35"/>
      <c r="ER71" s="35"/>
      <c r="ES71" s="35"/>
      <c r="ET71" s="35"/>
      <c r="EU71" s="35"/>
      <c r="EV71" s="35"/>
      <c r="EW71" s="35"/>
      <c r="EX71" s="35"/>
      <c r="EY71" s="35"/>
      <c r="EZ71" s="35"/>
      <c r="FA71" s="35"/>
      <c r="FB71" s="35"/>
      <c r="FC71" s="35"/>
      <c r="FD71" s="35"/>
      <c r="FE71" s="35"/>
      <c r="FF71" s="35"/>
      <c r="FG71" s="35"/>
      <c r="FH71" s="35"/>
      <c r="FI71" s="35"/>
      <c r="FJ71" s="35"/>
      <c r="FK71" s="35"/>
      <c r="FL71" s="35"/>
      <c r="FM71" s="35"/>
      <c r="FN71" s="35"/>
      <c r="FO71" s="35"/>
      <c r="FP71" s="35"/>
      <c r="FQ71" s="35"/>
      <c r="FR71" s="35"/>
      <c r="FS71" s="35"/>
      <c r="FT71" s="35"/>
      <c r="FU71" s="35"/>
      <c r="FV71" s="35"/>
      <c r="FW71" s="35"/>
      <c r="FX71" s="35"/>
      <c r="FY71" s="35"/>
      <c r="FZ71" s="35"/>
      <c r="GA71" s="35"/>
      <c r="GB71" s="318"/>
      <c r="GC71" s="179">
        <f t="shared" ref="GC71:GC102" si="14">ROUND(IF($C71="Primary",0,-$G71*(SUMPRODUCT($Q$4:$GA$4,$Q71:$GA71)+$J71)-$H71)*IF($N71=GC$4,1,0),4)</f>
        <v>0</v>
      </c>
      <c r="GD71" s="179">
        <f t="shared" ref="GD71:GD102" si="15">ROUND(IF($C71="Primary",0,$M71*(1-$O71)*($G71*(SUMPRODUCT($Q$4:$GA$4,$Q71:$GA71)+$J71)+$H71-SUMPRODUCT($Q$5:$GA$5,$Q71:$GA71)-$I71+$K71))*IF($N71=GD$4,1,0),4)</f>
        <v>0</v>
      </c>
      <c r="GE71" s="179">
        <f t="shared" ref="GE71:GE102" si="16">ROUND(IF($C71="Primary",0,(1-$M71)*(1-$O71)*($G71*(SUMPRODUCT($Q$4:$GA$4,$Q71:$GA71)+$J71)+$H71-SUMPRODUCT($Q$5:$GA$5,$Q71:$GA71)-$I71+$L71))*IF($N71=GD$4,1,0),4)</f>
        <v>0</v>
      </c>
      <c r="GF71" s="179">
        <f t="shared" ref="GF71:GF102" si="17">ROUND(IF($C71="Primary",0,$O71*($G71*(SUMPRODUCT($Q$4:$GA$4,$Q71:$GA71)+$J71)-SUMPRODUCT($Q$5:$GA$5,$Q71:$GA71)-$I71))*IF($N71=GD$4,1,0),4)</f>
        <v>0</v>
      </c>
      <c r="GG71" s="179">
        <f t="shared" ref="GG71:GG82" si="18">$I71</f>
        <v>0</v>
      </c>
    </row>
    <row r="72" spans="1:189" ht="14.4" customHeight="1" x14ac:dyDescent="0.35">
      <c r="A72" s="5" t="s">
        <v>833</v>
      </c>
      <c r="B72" s="6" t="str">
        <f>IF(Technologies!B72&lt;&gt;0,Technologies!B72,"")</f>
        <v>Industrie</v>
      </c>
      <c r="C72" s="6" t="str">
        <f>VLOOKUP($A72,Technologies!$A$7:$H$576,3,FALSE)</f>
        <v>Final</v>
      </c>
      <c r="D72" s="6" t="str">
        <f>VLOOKUP($A72,Technologies!$A$7:$H$576,4,FALSE)</f>
        <v>Industry</v>
      </c>
      <c r="E72" s="6" t="str">
        <f>VLOOKUP($A72,Technologies!$A$7:$H$576,6,FALSE)</f>
        <v>LLDPE production - Chemical Industry</v>
      </c>
      <c r="F72" s="48" t="str">
        <f>VLOOKUP($A72,Technologies!$A$7:$H$576,7,FALSE)</f>
        <v>Solution polymerisation of linear low-density polyethylene (LLDPE)</v>
      </c>
      <c r="G72" s="23"/>
      <c r="H72" s="22"/>
      <c r="I72" s="103" cm="1">
        <f t="array" ref="I72">-SUMPRODUCT((Feedstocks!$C$4:$C$141=A72)*Feedstocks!$E$4:$E$141,Feedstocks!$F$4:$F$141,Feedstocks!$H$4:$H$141,Feedstocks!$I$4:$I$141)</f>
        <v>0</v>
      </c>
      <c r="J72" s="103" cm="1">
        <f t="array" ref="J72">-SUMPRODUCT((Feedstocks!$C$4:$C$141=A72)*Feedstocks!$E$4:$E$141,Feedstocks!$H$4:$H$141,Feedstocks!$I$4:$I$141)</f>
        <v>0</v>
      </c>
      <c r="K72" s="103"/>
      <c r="L72" s="103"/>
      <c r="M72" s="23">
        <v>1</v>
      </c>
      <c r="N72" s="23" t="str">
        <f>VLOOKUP(E72,Activities!$A$9:$M$227,13,FALSE)</f>
        <v>NL</v>
      </c>
      <c r="O72" s="23"/>
      <c r="P72" s="79" t="s">
        <v>1812</v>
      </c>
      <c r="Q72" s="35"/>
      <c r="R72" s="35"/>
      <c r="S72" s="35"/>
      <c r="T72" s="35"/>
      <c r="U72" s="35"/>
      <c r="V72" s="35"/>
      <c r="W72" s="35"/>
      <c r="X72" s="35"/>
      <c r="Y72" s="35"/>
      <c r="Z72" s="35"/>
      <c r="AA72" s="35"/>
      <c r="AB72" s="35"/>
      <c r="AC72" s="35"/>
      <c r="AD72" s="35"/>
      <c r="AE72" s="35"/>
      <c r="AF72" s="35"/>
      <c r="AG72" s="35"/>
      <c r="AH72" s="35"/>
      <c r="AI72" s="35">
        <v>1</v>
      </c>
      <c r="AJ72" s="35"/>
      <c r="AK72" s="35"/>
      <c r="AL72" s="35"/>
      <c r="AM72" s="35"/>
      <c r="AN72" s="35"/>
      <c r="AO72" s="35"/>
      <c r="AP72" s="35"/>
      <c r="AQ72" s="35"/>
      <c r="AR72" s="35"/>
      <c r="AS72" s="35"/>
      <c r="AT72" s="35"/>
      <c r="AU72" s="35"/>
      <c r="AV72" s="35"/>
      <c r="AW72" s="35"/>
      <c r="AX72" s="35"/>
      <c r="AY72" s="35"/>
      <c r="AZ72" s="35"/>
      <c r="BA72" s="35"/>
      <c r="BB72" s="35"/>
      <c r="BC72" s="35"/>
      <c r="BD72" s="35"/>
      <c r="BE72" s="35"/>
      <c r="BF72" s="35"/>
      <c r="BG72" s="35"/>
      <c r="BH72" s="35"/>
      <c r="BI72" s="35"/>
      <c r="BJ72" s="35"/>
      <c r="BK72" s="35"/>
      <c r="BL72" s="35"/>
      <c r="BM72" s="35"/>
      <c r="BN72" s="35"/>
      <c r="BO72" s="35"/>
      <c r="BP72" s="35"/>
      <c r="BQ72" s="35"/>
      <c r="BR72" s="35"/>
      <c r="BS72" s="35"/>
      <c r="BT72" s="35"/>
      <c r="BU72" s="35"/>
      <c r="BV72" s="35"/>
      <c r="BW72" s="35"/>
      <c r="BX72" s="35"/>
      <c r="BY72" s="35"/>
      <c r="BZ72" s="35"/>
      <c r="CA72" s="35"/>
      <c r="CB72" s="35"/>
      <c r="CC72" s="35"/>
      <c r="CD72" s="35"/>
      <c r="CE72" s="35"/>
      <c r="CF72" s="35"/>
      <c r="CG72" s="35"/>
      <c r="CH72" s="35"/>
      <c r="CI72" s="35"/>
      <c r="CJ72" s="35"/>
      <c r="CK72" s="35"/>
      <c r="CL72" s="35"/>
      <c r="CM72" s="35"/>
      <c r="CN72" s="35"/>
      <c r="CO72" s="35"/>
      <c r="CP72" s="35"/>
      <c r="CQ72" s="35"/>
      <c r="CR72" s="35"/>
      <c r="CS72" s="35">
        <v>-1.03</v>
      </c>
      <c r="CT72" s="35"/>
      <c r="CU72" s="35"/>
      <c r="CV72" s="35"/>
      <c r="CW72" s="35"/>
      <c r="CX72" s="35"/>
      <c r="CY72" s="35"/>
      <c r="CZ72" s="35"/>
      <c r="DA72" s="35"/>
      <c r="DB72" s="35"/>
      <c r="DC72" s="35"/>
      <c r="DD72" s="35"/>
      <c r="DE72" s="35"/>
      <c r="DF72" s="35"/>
      <c r="DG72" s="35"/>
      <c r="DH72" s="35">
        <v>-1.27</v>
      </c>
      <c r="DI72" s="35"/>
      <c r="DJ72" s="35"/>
      <c r="DK72" s="35"/>
      <c r="DL72" s="35"/>
      <c r="DM72" s="35"/>
      <c r="DN72" s="35"/>
      <c r="DO72" s="35">
        <v>-0.69</v>
      </c>
      <c r="DP72" s="35"/>
      <c r="DQ72" s="35"/>
      <c r="DR72" s="35"/>
      <c r="DS72" s="35"/>
      <c r="DT72" s="35"/>
      <c r="DU72" s="35"/>
      <c r="DV72" s="35"/>
      <c r="DW72" s="35"/>
      <c r="DX72" s="35"/>
      <c r="DY72" s="35"/>
      <c r="DZ72" s="35"/>
      <c r="EA72" s="35"/>
      <c r="EB72" s="35"/>
      <c r="EC72" s="35"/>
      <c r="ED72" s="35"/>
      <c r="EE72" s="35"/>
      <c r="EF72" s="35"/>
      <c r="EG72" s="35"/>
      <c r="EH72" s="35"/>
      <c r="EI72" s="35"/>
      <c r="EJ72" s="35"/>
      <c r="EK72" s="35"/>
      <c r="EL72" s="35"/>
      <c r="EM72" s="35"/>
      <c r="EN72" s="35"/>
      <c r="EO72" s="35"/>
      <c r="EP72" s="35"/>
      <c r="EQ72" s="35"/>
      <c r="ER72" s="35"/>
      <c r="ES72" s="35"/>
      <c r="ET72" s="35"/>
      <c r="EU72" s="35"/>
      <c r="EV72" s="35"/>
      <c r="EW72" s="35"/>
      <c r="EX72" s="35"/>
      <c r="EY72" s="35"/>
      <c r="EZ72" s="35"/>
      <c r="FA72" s="35"/>
      <c r="FB72" s="35"/>
      <c r="FC72" s="35"/>
      <c r="FD72" s="35"/>
      <c r="FE72" s="35"/>
      <c r="FF72" s="35"/>
      <c r="FG72" s="35"/>
      <c r="FH72" s="35"/>
      <c r="FI72" s="35"/>
      <c r="FJ72" s="35"/>
      <c r="FK72" s="35"/>
      <c r="FL72" s="35"/>
      <c r="FM72" s="35"/>
      <c r="FN72" s="35"/>
      <c r="FO72" s="35"/>
      <c r="FP72" s="35"/>
      <c r="FQ72" s="35"/>
      <c r="FR72" s="35"/>
      <c r="FS72" s="35"/>
      <c r="FT72" s="35"/>
      <c r="FU72" s="35"/>
      <c r="FV72" s="35"/>
      <c r="FW72" s="35"/>
      <c r="FX72" s="35"/>
      <c r="FY72" s="35"/>
      <c r="FZ72" s="35"/>
      <c r="GA72" s="35"/>
      <c r="GB72" s="318"/>
      <c r="GC72" s="179">
        <f t="shared" si="14"/>
        <v>0</v>
      </c>
      <c r="GD72" s="179">
        <f t="shared" si="15"/>
        <v>0</v>
      </c>
      <c r="GE72" s="179">
        <f t="shared" si="16"/>
        <v>0</v>
      </c>
      <c r="GF72" s="179">
        <f t="shared" si="17"/>
        <v>0</v>
      </c>
      <c r="GG72" s="179">
        <f t="shared" si="18"/>
        <v>0</v>
      </c>
    </row>
    <row r="73" spans="1:189" ht="14.4" customHeight="1" x14ac:dyDescent="0.35">
      <c r="A73" s="5" t="s">
        <v>836</v>
      </c>
      <c r="B73" s="6" t="str">
        <f>IF(Technologies!B73&lt;&gt;0,Technologies!B73,"")</f>
        <v>Industrie</v>
      </c>
      <c r="C73" s="6" t="str">
        <f>VLOOKUP($A73,Technologies!$A$7:$H$576,3,FALSE)</f>
        <v>Final</v>
      </c>
      <c r="D73" s="6" t="str">
        <f>VLOOKUP($A73,Technologies!$A$7:$H$576,4,FALSE)</f>
        <v>Industry</v>
      </c>
      <c r="E73" s="6" t="str">
        <f>VLOOKUP($A73,Technologies!$A$7:$H$576,6,FALSE)</f>
        <v>HDPE production - Chemical Industry</v>
      </c>
      <c r="F73" s="48" t="str">
        <f>VLOOKUP($A73,Technologies!$A$7:$H$576,7,FALSE)</f>
        <v>Suspension/slurry polymerisation of high-density polyethylene (HDPE)</v>
      </c>
      <c r="G73" s="22"/>
      <c r="H73" s="22"/>
      <c r="I73" s="103" cm="1">
        <f t="array" ref="I73">-SUMPRODUCT((Feedstocks!$C$4:$C$141=A73)*Feedstocks!$E$4:$E$141,Feedstocks!$F$4:$F$141,Feedstocks!$H$4:$H$141,Feedstocks!$I$4:$I$141)</f>
        <v>0</v>
      </c>
      <c r="J73" s="103" cm="1">
        <f t="array" ref="J73">-SUMPRODUCT((Feedstocks!$C$4:$C$141=A73)*Feedstocks!$E$4:$E$141,Feedstocks!$H$4:$H$141,Feedstocks!$I$4:$I$141)</f>
        <v>0</v>
      </c>
      <c r="K73" s="103"/>
      <c r="L73" s="103"/>
      <c r="M73" s="23">
        <v>1</v>
      </c>
      <c r="N73" s="23" t="str">
        <f>VLOOKUP(E73,Activities!$A$9:$M$227,13,FALSE)</f>
        <v>NL</v>
      </c>
      <c r="O73" s="23"/>
      <c r="P73" s="80" t="s">
        <v>1812</v>
      </c>
      <c r="Q73" s="35"/>
      <c r="R73" s="35"/>
      <c r="S73" s="35"/>
      <c r="T73" s="35"/>
      <c r="U73" s="35"/>
      <c r="V73" s="35"/>
      <c r="W73" s="35"/>
      <c r="X73" s="35"/>
      <c r="Y73" s="35"/>
      <c r="Z73" s="35"/>
      <c r="AA73" s="35"/>
      <c r="AB73" s="35"/>
      <c r="AC73" s="35"/>
      <c r="AD73" s="36"/>
      <c r="AE73" s="36"/>
      <c r="AF73" s="36"/>
      <c r="AG73" s="36"/>
      <c r="AH73" s="36"/>
      <c r="AI73" s="36"/>
      <c r="AJ73" s="36">
        <v>1</v>
      </c>
      <c r="AK73" s="36"/>
      <c r="AL73" s="36"/>
      <c r="AM73" s="36"/>
      <c r="AN73" s="35"/>
      <c r="AO73" s="35"/>
      <c r="AP73" s="35"/>
      <c r="AQ73" s="35"/>
      <c r="AR73" s="35"/>
      <c r="AS73" s="35"/>
      <c r="AT73" s="35"/>
      <c r="AU73" s="35"/>
      <c r="AV73" s="35"/>
      <c r="AW73" s="35"/>
      <c r="AX73" s="35"/>
      <c r="AY73" s="35"/>
      <c r="AZ73" s="35"/>
      <c r="BA73" s="35"/>
      <c r="BB73" s="35"/>
      <c r="BC73" s="35"/>
      <c r="BD73" s="35"/>
      <c r="BE73" s="35"/>
      <c r="BF73" s="35"/>
      <c r="BG73" s="35"/>
      <c r="BH73" s="35"/>
      <c r="BI73" s="35"/>
      <c r="BJ73" s="35"/>
      <c r="BK73" s="35"/>
      <c r="BL73" s="35"/>
      <c r="BM73" s="35"/>
      <c r="BN73" s="35"/>
      <c r="BO73" s="35"/>
      <c r="BP73" s="35"/>
      <c r="BQ73" s="35"/>
      <c r="BR73" s="35"/>
      <c r="BS73" s="35"/>
      <c r="BT73" s="35"/>
      <c r="BU73" s="35"/>
      <c r="BV73" s="35"/>
      <c r="BW73" s="35"/>
      <c r="BX73" s="35"/>
      <c r="BY73" s="35"/>
      <c r="BZ73" s="35"/>
      <c r="CA73" s="35"/>
      <c r="CB73" s="35"/>
      <c r="CC73" s="35"/>
      <c r="CD73" s="35"/>
      <c r="CE73" s="35"/>
      <c r="CF73" s="35"/>
      <c r="CG73" s="35"/>
      <c r="CH73" s="35"/>
      <c r="CI73" s="35"/>
      <c r="CJ73" s="35"/>
      <c r="CK73" s="35"/>
      <c r="CL73" s="35"/>
      <c r="CM73" s="35"/>
      <c r="CN73" s="35"/>
      <c r="CO73" s="35"/>
      <c r="CP73" s="35"/>
      <c r="CQ73" s="35"/>
      <c r="CR73" s="35"/>
      <c r="CS73" s="36">
        <v>-1.05</v>
      </c>
      <c r="CT73" s="36"/>
      <c r="CU73" s="36"/>
      <c r="CV73" s="36"/>
      <c r="CW73" s="36"/>
      <c r="CX73" s="36"/>
      <c r="CY73" s="36"/>
      <c r="CZ73" s="36"/>
      <c r="DA73" s="36"/>
      <c r="DB73" s="35"/>
      <c r="DC73" s="35"/>
      <c r="DD73" s="35"/>
      <c r="DE73" s="35"/>
      <c r="DF73" s="35"/>
      <c r="DG73" s="35"/>
      <c r="DH73" s="36">
        <v>-1.55</v>
      </c>
      <c r="DI73" s="36"/>
      <c r="DJ73" s="36"/>
      <c r="DK73" s="36"/>
      <c r="DL73" s="36"/>
      <c r="DM73" s="36"/>
      <c r="DN73" s="36"/>
      <c r="DO73" s="36">
        <v>-1.34</v>
      </c>
      <c r="DP73" s="36"/>
      <c r="DQ73" s="36"/>
      <c r="DR73" s="35"/>
      <c r="DS73" s="36"/>
      <c r="DT73" s="36"/>
      <c r="DU73" s="36"/>
      <c r="DV73" s="36"/>
      <c r="DW73" s="36"/>
      <c r="DX73" s="36"/>
      <c r="DY73" s="35"/>
      <c r="DZ73" s="35"/>
      <c r="EA73" s="35"/>
      <c r="EB73" s="35"/>
      <c r="EC73" s="35"/>
      <c r="ED73" s="35"/>
      <c r="EE73" s="35"/>
      <c r="EF73" s="35"/>
      <c r="EG73" s="35"/>
      <c r="EH73" s="35"/>
      <c r="EI73" s="35"/>
      <c r="EJ73" s="35"/>
      <c r="EK73" s="35"/>
      <c r="EL73" s="35"/>
      <c r="EM73" s="35"/>
      <c r="EN73" s="35"/>
      <c r="EO73" s="35"/>
      <c r="EP73" s="35"/>
      <c r="EQ73" s="35"/>
      <c r="ER73" s="35"/>
      <c r="ES73" s="35"/>
      <c r="ET73" s="35"/>
      <c r="EU73" s="35"/>
      <c r="EV73" s="35"/>
      <c r="EW73" s="35"/>
      <c r="EX73" s="35"/>
      <c r="EY73" s="35"/>
      <c r="EZ73" s="35"/>
      <c r="FA73" s="35"/>
      <c r="FB73" s="35"/>
      <c r="FC73" s="35"/>
      <c r="FD73" s="35"/>
      <c r="FE73" s="35"/>
      <c r="FF73" s="35"/>
      <c r="FG73" s="35"/>
      <c r="FH73" s="35"/>
      <c r="FI73" s="35"/>
      <c r="FJ73" s="35"/>
      <c r="FK73" s="35"/>
      <c r="FL73" s="35"/>
      <c r="FM73" s="35"/>
      <c r="FN73" s="35"/>
      <c r="FO73" s="35"/>
      <c r="FP73" s="35"/>
      <c r="FQ73" s="35"/>
      <c r="FR73" s="35"/>
      <c r="FS73" s="35"/>
      <c r="FT73" s="35"/>
      <c r="FU73" s="35"/>
      <c r="FV73" s="35"/>
      <c r="FW73" s="35"/>
      <c r="FX73" s="35"/>
      <c r="FY73" s="35"/>
      <c r="FZ73" s="35"/>
      <c r="GA73" s="35"/>
      <c r="GB73" s="318"/>
      <c r="GC73" s="179">
        <f t="shared" si="14"/>
        <v>0</v>
      </c>
      <c r="GD73" s="179">
        <f t="shared" si="15"/>
        <v>0</v>
      </c>
      <c r="GE73" s="179">
        <f t="shared" si="16"/>
        <v>0</v>
      </c>
      <c r="GF73" s="179">
        <f t="shared" si="17"/>
        <v>0</v>
      </c>
      <c r="GG73" s="179">
        <f t="shared" si="18"/>
        <v>0</v>
      </c>
    </row>
    <row r="74" spans="1:189" ht="14.4" customHeight="1" x14ac:dyDescent="0.35">
      <c r="A74" s="5" t="s">
        <v>839</v>
      </c>
      <c r="B74" s="6" t="str">
        <f>IF(Technologies!B74&lt;&gt;0,Technologies!B74,"")</f>
        <v>Industrie</v>
      </c>
      <c r="C74" s="6" t="str">
        <f>VLOOKUP($A74,Technologies!$A$7:$H$576,3,FALSE)</f>
        <v>Final</v>
      </c>
      <c r="D74" s="6" t="str">
        <f>VLOOKUP($A74,Technologies!$A$7:$H$576,4,FALSE)</f>
        <v>Industry</v>
      </c>
      <c r="E74" s="6" t="str">
        <f>VLOOKUP($A74,Technologies!$A$7:$H$576,6,FALSE)</f>
        <v>Polypropylene production - Chemical Industry</v>
      </c>
      <c r="F74" s="48" t="str">
        <f>VLOOKUP($A74,Technologies!$A$7:$H$576,7,FALSE)</f>
        <v>Gas-phase polymerisation of polypropylene (PP)</v>
      </c>
      <c r="G74" s="23"/>
      <c r="H74" s="22"/>
      <c r="I74" s="103" cm="1">
        <f t="array" ref="I74">-SUMPRODUCT((Feedstocks!$C$4:$C$141=A74)*Feedstocks!$E$4:$E$141,Feedstocks!$F$4:$F$141,Feedstocks!$H$4:$H$141,Feedstocks!$I$4:$I$141)</f>
        <v>0</v>
      </c>
      <c r="J74" s="103" cm="1">
        <f t="array" ref="J74">-SUMPRODUCT((Feedstocks!$C$4:$C$141=A74)*Feedstocks!$E$4:$E$141,Feedstocks!$H$4:$H$141,Feedstocks!$I$4:$I$141)</f>
        <v>0</v>
      </c>
      <c r="K74" s="103"/>
      <c r="L74" s="103"/>
      <c r="M74" s="23">
        <v>1</v>
      </c>
      <c r="N74" s="23" t="str">
        <f>VLOOKUP(E74,Activities!$A$9:$M$227,13,FALSE)</f>
        <v>NL</v>
      </c>
      <c r="O74" s="23"/>
      <c r="P74" s="79" t="s">
        <v>1812</v>
      </c>
      <c r="Q74" s="35"/>
      <c r="R74" s="35"/>
      <c r="S74" s="35"/>
      <c r="T74" s="35"/>
      <c r="U74" s="35"/>
      <c r="V74" s="35"/>
      <c r="W74" s="35"/>
      <c r="X74" s="35"/>
      <c r="Y74" s="35"/>
      <c r="Z74" s="35"/>
      <c r="AA74" s="35"/>
      <c r="AB74" s="35"/>
      <c r="AC74" s="35"/>
      <c r="AD74" s="35"/>
      <c r="AE74" s="35"/>
      <c r="AF74" s="35"/>
      <c r="AG74" s="35"/>
      <c r="AH74" s="35"/>
      <c r="AI74" s="35"/>
      <c r="AJ74" s="35"/>
      <c r="AK74" s="35">
        <v>1</v>
      </c>
      <c r="AL74" s="35"/>
      <c r="AM74" s="35"/>
      <c r="AN74" s="35"/>
      <c r="AO74" s="35"/>
      <c r="AP74" s="35"/>
      <c r="AQ74" s="35"/>
      <c r="AR74" s="35"/>
      <c r="AS74" s="35"/>
      <c r="AT74" s="35"/>
      <c r="AU74" s="35"/>
      <c r="AV74" s="35"/>
      <c r="AW74" s="35"/>
      <c r="AX74" s="35"/>
      <c r="AY74" s="35"/>
      <c r="AZ74" s="35"/>
      <c r="BA74" s="35"/>
      <c r="BB74" s="35"/>
      <c r="BC74" s="35"/>
      <c r="BD74" s="35"/>
      <c r="BE74" s="35"/>
      <c r="BF74" s="35"/>
      <c r="BG74" s="35"/>
      <c r="BH74" s="35"/>
      <c r="BI74" s="35"/>
      <c r="BJ74" s="35"/>
      <c r="BK74" s="35"/>
      <c r="BL74" s="35"/>
      <c r="BM74" s="35"/>
      <c r="BN74" s="35"/>
      <c r="BO74" s="35"/>
      <c r="BP74" s="35"/>
      <c r="BQ74" s="35"/>
      <c r="BR74" s="35"/>
      <c r="BS74" s="35"/>
      <c r="BT74" s="35"/>
      <c r="BU74" s="35"/>
      <c r="BV74" s="35"/>
      <c r="BW74" s="35"/>
      <c r="BX74" s="35"/>
      <c r="BY74" s="35"/>
      <c r="BZ74" s="35"/>
      <c r="CA74" s="35"/>
      <c r="CB74" s="35"/>
      <c r="CC74" s="35"/>
      <c r="CD74" s="35"/>
      <c r="CE74" s="35"/>
      <c r="CF74" s="35"/>
      <c r="CG74" s="35"/>
      <c r="CH74" s="35"/>
      <c r="CI74" s="35"/>
      <c r="CJ74" s="35"/>
      <c r="CK74" s="35"/>
      <c r="CL74" s="35"/>
      <c r="CM74" s="35"/>
      <c r="CN74" s="35"/>
      <c r="CO74" s="35"/>
      <c r="CP74" s="35"/>
      <c r="CQ74" s="35"/>
      <c r="CR74" s="35"/>
      <c r="CS74" s="35"/>
      <c r="CT74" s="35">
        <v>-1.02</v>
      </c>
      <c r="CU74" s="35"/>
      <c r="CV74" s="35"/>
      <c r="CW74" s="35"/>
      <c r="CX74" s="35"/>
      <c r="CY74" s="35"/>
      <c r="CZ74" s="35"/>
      <c r="DA74" s="35"/>
      <c r="DB74" s="35"/>
      <c r="DC74" s="35"/>
      <c r="DD74" s="35"/>
      <c r="DE74" s="35"/>
      <c r="DF74" s="35"/>
      <c r="DG74" s="35"/>
      <c r="DH74" s="35">
        <v>-1.29</v>
      </c>
      <c r="DI74" s="35"/>
      <c r="DJ74" s="35"/>
      <c r="DK74" s="35"/>
      <c r="DL74" s="35"/>
      <c r="DM74" s="35"/>
      <c r="DN74" s="35"/>
      <c r="DO74" s="35">
        <v>-0.59</v>
      </c>
      <c r="DP74" s="35"/>
      <c r="DQ74" s="35"/>
      <c r="DR74" s="35"/>
      <c r="DS74" s="35"/>
      <c r="DT74" s="35"/>
      <c r="DU74" s="35"/>
      <c r="DV74" s="35"/>
      <c r="DW74" s="35"/>
      <c r="DX74" s="35"/>
      <c r="DY74" s="35"/>
      <c r="DZ74" s="35"/>
      <c r="EA74" s="35"/>
      <c r="EB74" s="35"/>
      <c r="EC74" s="35"/>
      <c r="ED74" s="35"/>
      <c r="EE74" s="35"/>
      <c r="EF74" s="35"/>
      <c r="EG74" s="35"/>
      <c r="EH74" s="35"/>
      <c r="EI74" s="35"/>
      <c r="EJ74" s="35"/>
      <c r="EK74" s="35"/>
      <c r="EL74" s="35"/>
      <c r="EM74" s="35"/>
      <c r="EN74" s="35"/>
      <c r="EO74" s="35"/>
      <c r="EP74" s="35"/>
      <c r="EQ74" s="35"/>
      <c r="ER74" s="35"/>
      <c r="ES74" s="35"/>
      <c r="ET74" s="35"/>
      <c r="EU74" s="35"/>
      <c r="EV74" s="35"/>
      <c r="EW74" s="35"/>
      <c r="EX74" s="35"/>
      <c r="EY74" s="35"/>
      <c r="EZ74" s="35"/>
      <c r="FA74" s="35"/>
      <c r="FB74" s="35"/>
      <c r="FC74" s="35"/>
      <c r="FD74" s="35"/>
      <c r="FE74" s="35"/>
      <c r="FF74" s="35"/>
      <c r="FG74" s="35"/>
      <c r="FH74" s="35"/>
      <c r="FI74" s="35"/>
      <c r="FJ74" s="35"/>
      <c r="FK74" s="35"/>
      <c r="FL74" s="35"/>
      <c r="FM74" s="35"/>
      <c r="FN74" s="35"/>
      <c r="FO74" s="35"/>
      <c r="FP74" s="35"/>
      <c r="FQ74" s="35"/>
      <c r="FR74" s="35"/>
      <c r="FS74" s="35"/>
      <c r="FT74" s="35"/>
      <c r="FU74" s="35"/>
      <c r="FV74" s="35"/>
      <c r="FW74" s="35"/>
      <c r="FX74" s="35"/>
      <c r="FY74" s="35"/>
      <c r="FZ74" s="35"/>
      <c r="GA74" s="35"/>
      <c r="GB74" s="318"/>
      <c r="GC74" s="179">
        <f t="shared" si="14"/>
        <v>0</v>
      </c>
      <c r="GD74" s="179">
        <f t="shared" si="15"/>
        <v>0</v>
      </c>
      <c r="GE74" s="179">
        <f t="shared" si="16"/>
        <v>0</v>
      </c>
      <c r="GF74" s="179">
        <f t="shared" si="17"/>
        <v>0</v>
      </c>
      <c r="GG74" s="179">
        <f t="shared" si="18"/>
        <v>0</v>
      </c>
    </row>
    <row r="75" spans="1:189" ht="14.4" customHeight="1" x14ac:dyDescent="0.35">
      <c r="A75" s="5" t="s">
        <v>842</v>
      </c>
      <c r="B75" s="6" t="str">
        <f>IF(Technologies!B75&lt;&gt;0,Technologies!B75,"")</f>
        <v>Industrie</v>
      </c>
      <c r="C75" s="6" t="str">
        <f>VLOOKUP($A75,Technologies!$A$7:$H$576,3,FALSE)</f>
        <v>Final</v>
      </c>
      <c r="D75" s="6" t="str">
        <f>VLOOKUP($A75,Technologies!$A$7:$H$576,4,FALSE)</f>
        <v>Industry</v>
      </c>
      <c r="E75" s="6" t="str">
        <f>VLOOKUP($A75,Technologies!$A$7:$H$576,6,FALSE)</f>
        <v>Propylene production - chemical industry</v>
      </c>
      <c r="F75" s="48" t="str">
        <f>VLOOKUP($A75,Technologies!$A$7:$H$576,7,FALSE)</f>
        <v>Dummy - conversion of propylene use to propylene final</v>
      </c>
      <c r="G75" s="22"/>
      <c r="H75" s="22"/>
      <c r="I75" s="103" cm="1">
        <f t="array" ref="I75">-SUMPRODUCT((Feedstocks!$C$4:$C$141=A75)*Feedstocks!$E$4:$E$141,Feedstocks!$F$4:$F$141,Feedstocks!$H$4:$H$141,Feedstocks!$I$4:$I$141)</f>
        <v>0</v>
      </c>
      <c r="J75" s="103" cm="1">
        <f t="array" ref="J75">-SUMPRODUCT((Feedstocks!$C$4:$C$141=A75)*Feedstocks!$E$4:$E$141,Feedstocks!$H$4:$H$141,Feedstocks!$I$4:$I$141)</f>
        <v>0</v>
      </c>
      <c r="K75" s="103"/>
      <c r="L75" s="103"/>
      <c r="M75" s="23">
        <v>1</v>
      </c>
      <c r="N75" s="23" t="str">
        <f>VLOOKUP(E75,Activities!$A$9:$M$227,13,FALSE)</f>
        <v>NL</v>
      </c>
      <c r="O75" s="23"/>
      <c r="P75" s="80" t="s">
        <v>502</v>
      </c>
      <c r="Q75" s="35"/>
      <c r="R75" s="35"/>
      <c r="S75" s="35"/>
      <c r="T75" s="35"/>
      <c r="U75" s="35"/>
      <c r="V75" s="35"/>
      <c r="W75" s="35"/>
      <c r="X75" s="35"/>
      <c r="Y75" s="35"/>
      <c r="Z75" s="35"/>
      <c r="AA75" s="35"/>
      <c r="AB75" s="35"/>
      <c r="AC75" s="35"/>
      <c r="AD75" s="36"/>
      <c r="AE75" s="36">
        <v>1</v>
      </c>
      <c r="AF75" s="36"/>
      <c r="AG75" s="36"/>
      <c r="AH75" s="36"/>
      <c r="AI75" s="36"/>
      <c r="AJ75" s="36"/>
      <c r="AK75" s="36"/>
      <c r="AL75" s="36"/>
      <c r="AM75" s="36"/>
      <c r="AN75" s="35"/>
      <c r="AO75" s="35"/>
      <c r="AP75" s="35"/>
      <c r="AQ75" s="35"/>
      <c r="AR75" s="35"/>
      <c r="AS75" s="35"/>
      <c r="AT75" s="35"/>
      <c r="AU75" s="35"/>
      <c r="AV75" s="35"/>
      <c r="AW75" s="35"/>
      <c r="AX75" s="35"/>
      <c r="AY75" s="35"/>
      <c r="AZ75" s="35"/>
      <c r="BA75" s="35"/>
      <c r="BB75" s="35"/>
      <c r="BC75" s="35"/>
      <c r="BD75" s="35"/>
      <c r="BE75" s="35"/>
      <c r="BF75" s="35"/>
      <c r="BG75" s="35"/>
      <c r="BH75" s="35"/>
      <c r="BI75" s="35"/>
      <c r="BJ75" s="35"/>
      <c r="BK75" s="35"/>
      <c r="BL75" s="35"/>
      <c r="BM75" s="35"/>
      <c r="BN75" s="35"/>
      <c r="BO75" s="35"/>
      <c r="BP75" s="35"/>
      <c r="BQ75" s="35"/>
      <c r="BR75" s="35"/>
      <c r="BS75" s="35"/>
      <c r="BT75" s="35"/>
      <c r="BU75" s="35"/>
      <c r="BV75" s="35"/>
      <c r="BW75" s="35"/>
      <c r="BX75" s="35"/>
      <c r="BY75" s="35"/>
      <c r="BZ75" s="35"/>
      <c r="CA75" s="35"/>
      <c r="CB75" s="35"/>
      <c r="CC75" s="35"/>
      <c r="CD75" s="35"/>
      <c r="CE75" s="35"/>
      <c r="CF75" s="35"/>
      <c r="CG75" s="35"/>
      <c r="CH75" s="35"/>
      <c r="CI75" s="35"/>
      <c r="CJ75" s="35"/>
      <c r="CK75" s="35"/>
      <c r="CL75" s="35"/>
      <c r="CM75" s="35"/>
      <c r="CN75" s="35"/>
      <c r="CO75" s="35"/>
      <c r="CP75" s="35"/>
      <c r="CQ75" s="35"/>
      <c r="CR75" s="35"/>
      <c r="CS75" s="36"/>
      <c r="CT75" s="36">
        <v>-1</v>
      </c>
      <c r="CU75" s="36"/>
      <c r="CV75" s="36"/>
      <c r="CW75" s="36"/>
      <c r="CX75" s="36"/>
      <c r="CY75" s="36"/>
      <c r="CZ75" s="36"/>
      <c r="DA75" s="36"/>
      <c r="DB75" s="35"/>
      <c r="DC75" s="35"/>
      <c r="DD75" s="35"/>
      <c r="DE75" s="35"/>
      <c r="DF75" s="35"/>
      <c r="DG75" s="35"/>
      <c r="DH75" s="36"/>
      <c r="DI75" s="36"/>
      <c r="DJ75" s="36"/>
      <c r="DK75" s="36"/>
      <c r="DL75" s="36"/>
      <c r="DM75" s="36"/>
      <c r="DN75" s="36"/>
      <c r="DO75" s="36"/>
      <c r="DP75" s="36"/>
      <c r="DQ75" s="36"/>
      <c r="DR75" s="35"/>
      <c r="DS75" s="36"/>
      <c r="DT75" s="36"/>
      <c r="DU75" s="36"/>
      <c r="DV75" s="36"/>
      <c r="DW75" s="36"/>
      <c r="DX75" s="36"/>
      <c r="DY75" s="35"/>
      <c r="DZ75" s="35"/>
      <c r="EA75" s="35"/>
      <c r="EB75" s="35"/>
      <c r="EC75" s="35"/>
      <c r="ED75" s="35"/>
      <c r="EE75" s="35"/>
      <c r="EF75" s="35"/>
      <c r="EG75" s="35"/>
      <c r="EH75" s="35"/>
      <c r="EI75" s="35"/>
      <c r="EJ75" s="35"/>
      <c r="EK75" s="35"/>
      <c r="EL75" s="35"/>
      <c r="EM75" s="35"/>
      <c r="EN75" s="35"/>
      <c r="EO75" s="35"/>
      <c r="EP75" s="35"/>
      <c r="EQ75" s="35"/>
      <c r="ER75" s="35"/>
      <c r="ES75" s="35"/>
      <c r="ET75" s="35"/>
      <c r="EU75" s="35"/>
      <c r="EV75" s="35"/>
      <c r="EW75" s="35"/>
      <c r="EX75" s="35"/>
      <c r="EY75" s="35"/>
      <c r="EZ75" s="35"/>
      <c r="FA75" s="35"/>
      <c r="FB75" s="35"/>
      <c r="FC75" s="35"/>
      <c r="FD75" s="35"/>
      <c r="FE75" s="35"/>
      <c r="FF75" s="35"/>
      <c r="FG75" s="35"/>
      <c r="FH75" s="35"/>
      <c r="FI75" s="35"/>
      <c r="FJ75" s="35"/>
      <c r="FK75" s="35"/>
      <c r="FL75" s="35"/>
      <c r="FM75" s="35"/>
      <c r="FN75" s="35"/>
      <c r="FO75" s="35"/>
      <c r="FP75" s="35"/>
      <c r="FQ75" s="35"/>
      <c r="FR75" s="35"/>
      <c r="FS75" s="35"/>
      <c r="FT75" s="35"/>
      <c r="FU75" s="35"/>
      <c r="FV75" s="35"/>
      <c r="FW75" s="35"/>
      <c r="FX75" s="35"/>
      <c r="FY75" s="35"/>
      <c r="FZ75" s="35"/>
      <c r="GA75" s="35"/>
      <c r="GB75" s="318"/>
      <c r="GC75" s="179">
        <f t="shared" si="14"/>
        <v>0</v>
      </c>
      <c r="GD75" s="179">
        <f t="shared" si="15"/>
        <v>0</v>
      </c>
      <c r="GE75" s="179">
        <f t="shared" si="16"/>
        <v>0</v>
      </c>
      <c r="GF75" s="179">
        <f t="shared" si="17"/>
        <v>0</v>
      </c>
      <c r="GG75" s="179">
        <f t="shared" si="18"/>
        <v>0</v>
      </c>
    </row>
    <row r="76" spans="1:189" ht="14.4" customHeight="1" x14ac:dyDescent="0.35">
      <c r="A76" s="5" t="s">
        <v>845</v>
      </c>
      <c r="B76" s="6" t="str">
        <f>IF(Technologies!B76&lt;&gt;0,Technologies!B76,"")</f>
        <v>Industrie</v>
      </c>
      <c r="C76" s="6" t="str">
        <f>VLOOKUP($A76,Technologies!$A$7:$H$576,3,FALSE)</f>
        <v>Final</v>
      </c>
      <c r="D76" s="6" t="str">
        <f>VLOOKUP($A76,Technologies!$A$7:$H$576,4,FALSE)</f>
        <v>Industry</v>
      </c>
      <c r="E76" s="6" t="str">
        <f>VLOOKUP($A76,Technologies!$A$7:$H$576,6,FALSE)</f>
        <v>Ethylene production - chemical industry</v>
      </c>
      <c r="F76" s="48" t="str">
        <f>VLOOKUP($A76,Technologies!$A$7:$H$576,7,FALSE)</f>
        <v>Dummy - conversion of ethylene use to ethylene final</v>
      </c>
      <c r="G76" s="23"/>
      <c r="H76" s="22"/>
      <c r="I76" s="103" cm="1">
        <f t="array" ref="I76">-SUMPRODUCT((Feedstocks!$C$4:$C$141=A76)*Feedstocks!$E$4:$E$141,Feedstocks!$F$4:$F$141,Feedstocks!$H$4:$H$141,Feedstocks!$I$4:$I$141)</f>
        <v>0</v>
      </c>
      <c r="J76" s="103" cm="1">
        <f t="array" ref="J76">-SUMPRODUCT((Feedstocks!$C$4:$C$141=A76)*Feedstocks!$E$4:$E$141,Feedstocks!$H$4:$H$141,Feedstocks!$I$4:$I$141)</f>
        <v>0</v>
      </c>
      <c r="K76" s="103"/>
      <c r="L76" s="103"/>
      <c r="M76" s="23">
        <v>1</v>
      </c>
      <c r="N76" s="23" t="str">
        <f>VLOOKUP(E76,Activities!$A$9:$M$227,13,FALSE)</f>
        <v>NL</v>
      </c>
      <c r="O76" s="23"/>
      <c r="P76" s="79" t="s">
        <v>502</v>
      </c>
      <c r="Q76" s="35"/>
      <c r="R76" s="35"/>
      <c r="S76" s="35"/>
      <c r="T76" s="35"/>
      <c r="U76" s="35"/>
      <c r="V76" s="35"/>
      <c r="W76" s="35"/>
      <c r="X76" s="35"/>
      <c r="Y76" s="35"/>
      <c r="Z76" s="35"/>
      <c r="AA76" s="35"/>
      <c r="AB76" s="35"/>
      <c r="AC76" s="35"/>
      <c r="AD76" s="35">
        <v>1</v>
      </c>
      <c r="AE76" s="35"/>
      <c r="AF76" s="35"/>
      <c r="AG76" s="35"/>
      <c r="AH76" s="35"/>
      <c r="AI76" s="35"/>
      <c r="AJ76" s="35"/>
      <c r="AK76" s="35"/>
      <c r="AL76" s="35"/>
      <c r="AM76" s="35"/>
      <c r="AN76" s="35"/>
      <c r="AO76" s="35"/>
      <c r="AP76" s="35"/>
      <c r="AQ76" s="35"/>
      <c r="AR76" s="35"/>
      <c r="AS76" s="35"/>
      <c r="AT76" s="35"/>
      <c r="AU76" s="35"/>
      <c r="AV76" s="35"/>
      <c r="AW76" s="35"/>
      <c r="AX76" s="35"/>
      <c r="AY76" s="35"/>
      <c r="AZ76" s="35"/>
      <c r="BA76" s="35"/>
      <c r="BB76" s="35"/>
      <c r="BC76" s="35"/>
      <c r="BD76" s="35"/>
      <c r="BE76" s="35"/>
      <c r="BF76" s="35"/>
      <c r="BG76" s="35"/>
      <c r="BH76" s="35"/>
      <c r="BI76" s="35"/>
      <c r="BJ76" s="35"/>
      <c r="BK76" s="35"/>
      <c r="BL76" s="35"/>
      <c r="BM76" s="35"/>
      <c r="BN76" s="35"/>
      <c r="BO76" s="35"/>
      <c r="BP76" s="35"/>
      <c r="BQ76" s="35"/>
      <c r="BR76" s="35"/>
      <c r="BS76" s="35"/>
      <c r="BT76" s="35"/>
      <c r="BU76" s="35"/>
      <c r="BV76" s="35"/>
      <c r="BW76" s="35"/>
      <c r="BX76" s="35"/>
      <c r="BY76" s="35"/>
      <c r="BZ76" s="35"/>
      <c r="CA76" s="35"/>
      <c r="CB76" s="35"/>
      <c r="CC76" s="35"/>
      <c r="CD76" s="35"/>
      <c r="CE76" s="35"/>
      <c r="CF76" s="35"/>
      <c r="CG76" s="35"/>
      <c r="CH76" s="35"/>
      <c r="CI76" s="35"/>
      <c r="CJ76" s="35"/>
      <c r="CK76" s="35"/>
      <c r="CL76" s="35"/>
      <c r="CM76" s="35"/>
      <c r="CN76" s="35"/>
      <c r="CO76" s="35"/>
      <c r="CP76" s="35"/>
      <c r="CQ76" s="35"/>
      <c r="CR76" s="35"/>
      <c r="CS76" s="35">
        <v>-1</v>
      </c>
      <c r="CT76" s="35"/>
      <c r="CU76" s="35"/>
      <c r="CV76" s="35"/>
      <c r="CW76" s="35"/>
      <c r="CX76" s="35"/>
      <c r="CY76" s="35"/>
      <c r="CZ76" s="35"/>
      <c r="DA76" s="35"/>
      <c r="DB76" s="35"/>
      <c r="DC76" s="35"/>
      <c r="DD76" s="35"/>
      <c r="DE76" s="35"/>
      <c r="DF76" s="35"/>
      <c r="DG76" s="35"/>
      <c r="DH76" s="35"/>
      <c r="DI76" s="35"/>
      <c r="DJ76" s="35"/>
      <c r="DK76" s="35"/>
      <c r="DL76" s="35"/>
      <c r="DM76" s="35"/>
      <c r="DN76" s="35"/>
      <c r="DO76" s="35"/>
      <c r="DP76" s="35"/>
      <c r="DQ76" s="35"/>
      <c r="DR76" s="35"/>
      <c r="DS76" s="35"/>
      <c r="DT76" s="35"/>
      <c r="DU76" s="35"/>
      <c r="DV76" s="35"/>
      <c r="DW76" s="35"/>
      <c r="DX76" s="35"/>
      <c r="DY76" s="35"/>
      <c r="DZ76" s="35"/>
      <c r="EA76" s="35"/>
      <c r="EB76" s="35"/>
      <c r="EC76" s="35"/>
      <c r="ED76" s="35"/>
      <c r="EE76" s="35"/>
      <c r="EF76" s="35"/>
      <c r="EG76" s="35"/>
      <c r="EH76" s="35"/>
      <c r="EI76" s="35"/>
      <c r="EJ76" s="35"/>
      <c r="EK76" s="35"/>
      <c r="EL76" s="35"/>
      <c r="EM76" s="35"/>
      <c r="EN76" s="35"/>
      <c r="EO76" s="35"/>
      <c r="EP76" s="35"/>
      <c r="EQ76" s="35"/>
      <c r="ER76" s="35"/>
      <c r="ES76" s="35"/>
      <c r="ET76" s="35"/>
      <c r="EU76" s="35"/>
      <c r="EV76" s="35"/>
      <c r="EW76" s="35"/>
      <c r="EX76" s="35"/>
      <c r="EY76" s="35"/>
      <c r="EZ76" s="35"/>
      <c r="FA76" s="35"/>
      <c r="FB76" s="35"/>
      <c r="FC76" s="35"/>
      <c r="FD76" s="35"/>
      <c r="FE76" s="35"/>
      <c r="FF76" s="35"/>
      <c r="FG76" s="35"/>
      <c r="FH76" s="35"/>
      <c r="FI76" s="35"/>
      <c r="FJ76" s="35"/>
      <c r="FK76" s="35"/>
      <c r="FL76" s="35"/>
      <c r="FM76" s="35"/>
      <c r="FN76" s="35"/>
      <c r="FO76" s="35"/>
      <c r="FP76" s="35"/>
      <c r="FQ76" s="35"/>
      <c r="FR76" s="35"/>
      <c r="FS76" s="35"/>
      <c r="FT76" s="35"/>
      <c r="FU76" s="35"/>
      <c r="FV76" s="35"/>
      <c r="FW76" s="35"/>
      <c r="FX76" s="35"/>
      <c r="FY76" s="35"/>
      <c r="FZ76" s="35"/>
      <c r="GA76" s="35"/>
      <c r="GB76" s="318"/>
      <c r="GC76" s="179">
        <f t="shared" si="14"/>
        <v>0</v>
      </c>
      <c r="GD76" s="179">
        <f t="shared" si="15"/>
        <v>0</v>
      </c>
      <c r="GE76" s="179">
        <f t="shared" si="16"/>
        <v>0</v>
      </c>
      <c r="GF76" s="179">
        <f t="shared" si="17"/>
        <v>0</v>
      </c>
      <c r="GG76" s="179">
        <f t="shared" si="18"/>
        <v>0</v>
      </c>
    </row>
    <row r="77" spans="1:189" ht="14.4" customHeight="1" x14ac:dyDescent="0.35">
      <c r="A77" s="5" t="s">
        <v>848</v>
      </c>
      <c r="B77" s="6" t="str">
        <f>IF(Technologies!B77&lt;&gt;0,Technologies!B77,"")</f>
        <v>Industrie</v>
      </c>
      <c r="C77" s="6" t="str">
        <f>VLOOKUP($A77,Technologies!$A$7:$H$576,3,FALSE)</f>
        <v>Final</v>
      </c>
      <c r="D77" s="6" t="str">
        <f>VLOOKUP($A77,Technologies!$A$7:$H$576,4,FALSE)</f>
        <v>Industry</v>
      </c>
      <c r="E77" s="6" t="str">
        <f>VLOOKUP($A77,Technologies!$A$7:$H$576,6,FALSE)</f>
        <v>PTA production - Chemical Industry</v>
      </c>
      <c r="F77" s="48" t="str">
        <f>VLOOKUP($A77,Technologies!$A$7:$H$576,7,FALSE)</f>
        <v>Dummy - conversion of PTA intermediate to PTA final</v>
      </c>
      <c r="G77" s="22"/>
      <c r="H77" s="22"/>
      <c r="I77" s="103" cm="1">
        <f t="array" ref="I77">-SUMPRODUCT((Feedstocks!$C$4:$C$141=A77)*Feedstocks!$E$4:$E$141,Feedstocks!$F$4:$F$141,Feedstocks!$H$4:$H$141,Feedstocks!$I$4:$I$141)</f>
        <v>0</v>
      </c>
      <c r="J77" s="103" cm="1">
        <f t="array" ref="J77">-SUMPRODUCT((Feedstocks!$C$4:$C$141=A77)*Feedstocks!$E$4:$E$141,Feedstocks!$H$4:$H$141,Feedstocks!$I$4:$I$141)</f>
        <v>0</v>
      </c>
      <c r="K77" s="103"/>
      <c r="L77" s="103"/>
      <c r="M77" s="23">
        <v>1</v>
      </c>
      <c r="N77" s="23" t="str">
        <f>VLOOKUP(E77,Activities!$A$9:$M$227,13,FALSE)</f>
        <v>NL</v>
      </c>
      <c r="O77" s="23"/>
      <c r="P77" s="80" t="s">
        <v>502</v>
      </c>
      <c r="Q77" s="35"/>
      <c r="R77" s="35"/>
      <c r="S77" s="35"/>
      <c r="T77" s="35"/>
      <c r="U77" s="35"/>
      <c r="V77" s="35"/>
      <c r="W77" s="35"/>
      <c r="X77" s="35"/>
      <c r="Y77" s="35"/>
      <c r="Z77" s="35"/>
      <c r="AA77" s="35"/>
      <c r="AB77" s="35"/>
      <c r="AC77" s="35"/>
      <c r="AD77" s="36"/>
      <c r="AE77" s="36"/>
      <c r="AF77" s="36"/>
      <c r="AG77" s="36"/>
      <c r="AH77" s="36"/>
      <c r="AI77" s="36"/>
      <c r="AJ77" s="36"/>
      <c r="AK77" s="36"/>
      <c r="AL77" s="36">
        <v>1</v>
      </c>
      <c r="AM77" s="36"/>
      <c r="AN77" s="35"/>
      <c r="AO77" s="35"/>
      <c r="AP77" s="35"/>
      <c r="AQ77" s="35"/>
      <c r="AR77" s="35"/>
      <c r="AS77" s="35"/>
      <c r="AT77" s="35"/>
      <c r="AU77" s="35"/>
      <c r="AV77" s="35"/>
      <c r="AW77" s="35"/>
      <c r="AX77" s="35"/>
      <c r="AY77" s="35"/>
      <c r="AZ77" s="35"/>
      <c r="BA77" s="35"/>
      <c r="BB77" s="35"/>
      <c r="BC77" s="35"/>
      <c r="BD77" s="35"/>
      <c r="BE77" s="35"/>
      <c r="BF77" s="35"/>
      <c r="BG77" s="35"/>
      <c r="BH77" s="35"/>
      <c r="BI77" s="35"/>
      <c r="BJ77" s="35"/>
      <c r="BK77" s="35"/>
      <c r="BL77" s="35"/>
      <c r="BM77" s="35"/>
      <c r="BN77" s="35"/>
      <c r="BO77" s="35"/>
      <c r="BP77" s="35"/>
      <c r="BQ77" s="35"/>
      <c r="BR77" s="35"/>
      <c r="BS77" s="35"/>
      <c r="BT77" s="35"/>
      <c r="BU77" s="35"/>
      <c r="BV77" s="35"/>
      <c r="BW77" s="35"/>
      <c r="BX77" s="35"/>
      <c r="BY77" s="35"/>
      <c r="BZ77" s="35"/>
      <c r="CA77" s="35"/>
      <c r="CB77" s="35"/>
      <c r="CC77" s="35"/>
      <c r="CD77" s="35"/>
      <c r="CE77" s="35"/>
      <c r="CF77" s="35"/>
      <c r="CG77" s="35"/>
      <c r="CH77" s="35"/>
      <c r="CI77" s="35"/>
      <c r="CJ77" s="35"/>
      <c r="CK77" s="35"/>
      <c r="CL77" s="35"/>
      <c r="CM77" s="35"/>
      <c r="CN77" s="35"/>
      <c r="CO77" s="35"/>
      <c r="CP77" s="35"/>
      <c r="CQ77" s="35"/>
      <c r="CR77" s="35"/>
      <c r="CS77" s="36"/>
      <c r="CT77" s="36"/>
      <c r="CU77" s="36">
        <v>-1</v>
      </c>
      <c r="CV77" s="36"/>
      <c r="CW77" s="36"/>
      <c r="CX77" s="36"/>
      <c r="CY77" s="36"/>
      <c r="CZ77" s="36"/>
      <c r="DA77" s="36"/>
      <c r="DB77" s="35"/>
      <c r="DC77" s="35"/>
      <c r="DD77" s="35"/>
      <c r="DE77" s="35"/>
      <c r="DF77" s="35"/>
      <c r="DG77" s="35"/>
      <c r="DH77" s="36"/>
      <c r="DI77" s="36"/>
      <c r="DJ77" s="36"/>
      <c r="DK77" s="36"/>
      <c r="DL77" s="36"/>
      <c r="DM77" s="36"/>
      <c r="DN77" s="36"/>
      <c r="DO77" s="36"/>
      <c r="DP77" s="36"/>
      <c r="DQ77" s="36"/>
      <c r="DR77" s="35"/>
      <c r="DS77" s="36"/>
      <c r="DT77" s="36"/>
      <c r="DU77" s="36"/>
      <c r="DV77" s="36"/>
      <c r="DW77" s="36"/>
      <c r="DX77" s="36"/>
      <c r="DY77" s="35"/>
      <c r="DZ77" s="35"/>
      <c r="EA77" s="35"/>
      <c r="EB77" s="35"/>
      <c r="EC77" s="35"/>
      <c r="ED77" s="35"/>
      <c r="EE77" s="35"/>
      <c r="EF77" s="35"/>
      <c r="EG77" s="35"/>
      <c r="EH77" s="35"/>
      <c r="EI77" s="35"/>
      <c r="EJ77" s="35"/>
      <c r="EK77" s="35"/>
      <c r="EL77" s="35"/>
      <c r="EM77" s="35"/>
      <c r="EN77" s="35"/>
      <c r="EO77" s="35"/>
      <c r="EP77" s="35"/>
      <c r="EQ77" s="35"/>
      <c r="ER77" s="35"/>
      <c r="ES77" s="35"/>
      <c r="ET77" s="35"/>
      <c r="EU77" s="35"/>
      <c r="EV77" s="35"/>
      <c r="EW77" s="35"/>
      <c r="EX77" s="35"/>
      <c r="EY77" s="35"/>
      <c r="EZ77" s="35"/>
      <c r="FA77" s="35"/>
      <c r="FB77" s="35"/>
      <c r="FC77" s="35"/>
      <c r="FD77" s="35"/>
      <c r="FE77" s="35"/>
      <c r="FF77" s="35"/>
      <c r="FG77" s="35"/>
      <c r="FH77" s="35"/>
      <c r="FI77" s="35"/>
      <c r="FJ77" s="35"/>
      <c r="FK77" s="35"/>
      <c r="FL77" s="35"/>
      <c r="FM77" s="35"/>
      <c r="FN77" s="35"/>
      <c r="FO77" s="35"/>
      <c r="FP77" s="35"/>
      <c r="FQ77" s="35"/>
      <c r="FR77" s="35"/>
      <c r="FS77" s="35"/>
      <c r="FT77" s="35"/>
      <c r="FU77" s="35"/>
      <c r="FV77" s="35"/>
      <c r="FW77" s="35"/>
      <c r="FX77" s="35"/>
      <c r="FY77" s="35"/>
      <c r="FZ77" s="35"/>
      <c r="GA77" s="35"/>
      <c r="GB77" s="318"/>
      <c r="GC77" s="179">
        <f t="shared" si="14"/>
        <v>0</v>
      </c>
      <c r="GD77" s="179">
        <f t="shared" si="15"/>
        <v>0</v>
      </c>
      <c r="GE77" s="179">
        <f t="shared" si="16"/>
        <v>0</v>
      </c>
      <c r="GF77" s="179">
        <f t="shared" si="17"/>
        <v>0</v>
      </c>
      <c r="GG77" s="179">
        <f t="shared" si="18"/>
        <v>0</v>
      </c>
    </row>
    <row r="78" spans="1:189" ht="14.4" customHeight="1" x14ac:dyDescent="0.35">
      <c r="A78" s="5" t="s">
        <v>851</v>
      </c>
      <c r="B78" s="6" t="str">
        <f>IF(Technologies!B78&lt;&gt;0,Technologies!B78,"")</f>
        <v>Industrie</v>
      </c>
      <c r="C78" s="6" t="str">
        <f>VLOOKUP($A78,Technologies!$A$7:$H$576,3,FALSE)</f>
        <v>Conversion</v>
      </c>
      <c r="D78" s="6" t="str">
        <f>VLOOKUP($A78,Technologies!$A$7:$H$576,4,FALSE)</f>
        <v>Industry</v>
      </c>
      <c r="E78" s="6" t="str">
        <f>VLOOKUP($A78,Technologies!$A$7:$H$576,6,FALSE)</f>
        <v>PTA intermediate</v>
      </c>
      <c r="F78" s="48" t="str">
        <f>VLOOKUP($A78,Technologies!$A$7:$H$576,7,FALSE)</f>
        <v>Paraxylene oxidation and crystallization</v>
      </c>
      <c r="G78" s="23"/>
      <c r="H78" s="22"/>
      <c r="I78" s="103" cm="1">
        <f t="array" ref="I78">-SUMPRODUCT((Feedstocks!$C$4:$C$141=A78)*Feedstocks!$E$4:$E$141,Feedstocks!$F$4:$F$141,Feedstocks!$H$4:$H$141,Feedstocks!$I$4:$I$141)</f>
        <v>0</v>
      </c>
      <c r="J78" s="103" cm="1">
        <f t="array" ref="J78">-SUMPRODUCT((Feedstocks!$C$4:$C$141=A78)*Feedstocks!$E$4:$E$141,Feedstocks!$H$4:$H$141,Feedstocks!$I$4:$I$141)</f>
        <v>0</v>
      </c>
      <c r="K78" s="103"/>
      <c r="L78" s="103"/>
      <c r="M78" s="23">
        <v>1</v>
      </c>
      <c r="N78" s="23" t="str">
        <f>VLOOKUP(E78,Activities!$A$9:$M$227,13,FALSE)</f>
        <v>NL</v>
      </c>
      <c r="O78" s="23"/>
      <c r="P78" s="79" t="s">
        <v>1813</v>
      </c>
      <c r="Q78" s="35"/>
      <c r="R78" s="35"/>
      <c r="S78" s="35"/>
      <c r="T78" s="35"/>
      <c r="U78" s="35"/>
      <c r="V78" s="35"/>
      <c r="W78" s="35"/>
      <c r="X78" s="35"/>
      <c r="Y78" s="35"/>
      <c r="Z78" s="35"/>
      <c r="AA78" s="35"/>
      <c r="AB78" s="35"/>
      <c r="AC78" s="35"/>
      <c r="AD78" s="35"/>
      <c r="AE78" s="35"/>
      <c r="AF78" s="35"/>
      <c r="AG78" s="35"/>
      <c r="AH78" s="35"/>
      <c r="AI78" s="35"/>
      <c r="AJ78" s="35"/>
      <c r="AK78" s="35"/>
      <c r="AL78" s="35"/>
      <c r="AM78" s="35"/>
      <c r="AN78" s="35"/>
      <c r="AO78" s="35"/>
      <c r="AP78" s="35"/>
      <c r="AQ78" s="35"/>
      <c r="AR78" s="35"/>
      <c r="AS78" s="35"/>
      <c r="AT78" s="35"/>
      <c r="AU78" s="35"/>
      <c r="AV78" s="35"/>
      <c r="AW78" s="35"/>
      <c r="AX78" s="35"/>
      <c r="AY78" s="35"/>
      <c r="AZ78" s="35"/>
      <c r="BA78" s="35"/>
      <c r="BB78" s="35"/>
      <c r="BC78" s="35"/>
      <c r="BD78" s="35"/>
      <c r="BE78" s="35"/>
      <c r="BF78" s="35"/>
      <c r="BG78" s="35"/>
      <c r="BH78" s="35"/>
      <c r="BI78" s="35"/>
      <c r="BJ78" s="35"/>
      <c r="BK78" s="35"/>
      <c r="BL78" s="35"/>
      <c r="BM78" s="35"/>
      <c r="BN78" s="35"/>
      <c r="BO78" s="35"/>
      <c r="BP78" s="35"/>
      <c r="BQ78" s="35"/>
      <c r="BR78" s="35"/>
      <c r="BS78" s="35"/>
      <c r="BT78" s="35"/>
      <c r="BU78" s="35"/>
      <c r="BV78" s="35"/>
      <c r="BW78" s="35"/>
      <c r="BX78" s="35"/>
      <c r="BY78" s="35"/>
      <c r="BZ78" s="35"/>
      <c r="CA78" s="35"/>
      <c r="CB78" s="35"/>
      <c r="CC78" s="35"/>
      <c r="CD78" s="35"/>
      <c r="CE78" s="35"/>
      <c r="CF78" s="35"/>
      <c r="CG78" s="35"/>
      <c r="CH78" s="35"/>
      <c r="CI78" s="35"/>
      <c r="CJ78" s="35"/>
      <c r="CK78" s="35"/>
      <c r="CL78" s="35"/>
      <c r="CM78" s="35"/>
      <c r="CN78" s="35"/>
      <c r="CO78" s="35"/>
      <c r="CP78" s="35"/>
      <c r="CQ78" s="35"/>
      <c r="CR78" s="35"/>
      <c r="CS78" s="35"/>
      <c r="CT78" s="35"/>
      <c r="CU78" s="35">
        <v>1</v>
      </c>
      <c r="CV78" s="35"/>
      <c r="CW78" s="35"/>
      <c r="CX78" s="35"/>
      <c r="CY78" s="35"/>
      <c r="CZ78" s="35"/>
      <c r="DA78" s="35"/>
      <c r="DB78" s="35"/>
      <c r="DC78" s="35"/>
      <c r="DD78" s="35"/>
      <c r="DE78" s="35"/>
      <c r="DF78" s="35"/>
      <c r="DG78" s="35"/>
      <c r="DH78" s="35">
        <v>-0.34599999999999997</v>
      </c>
      <c r="DI78" s="35"/>
      <c r="DJ78" s="35"/>
      <c r="DK78" s="35"/>
      <c r="DL78" s="35"/>
      <c r="DM78" s="35"/>
      <c r="DN78" s="35"/>
      <c r="DO78" s="35">
        <v>-0.98</v>
      </c>
      <c r="DP78" s="35"/>
      <c r="DQ78" s="35"/>
      <c r="DR78" s="35"/>
      <c r="DS78" s="35"/>
      <c r="DT78" s="35"/>
      <c r="DU78" s="35"/>
      <c r="DV78" s="35"/>
      <c r="DW78" s="35"/>
      <c r="DX78" s="35"/>
      <c r="DY78" s="35"/>
      <c r="DZ78" s="35"/>
      <c r="EA78" s="35"/>
      <c r="EB78" s="35"/>
      <c r="EC78" s="35"/>
      <c r="ED78" s="35"/>
      <c r="EE78" s="35"/>
      <c r="EF78" s="35"/>
      <c r="EG78" s="35"/>
      <c r="EH78" s="35"/>
      <c r="EI78" s="35"/>
      <c r="EJ78" s="35"/>
      <c r="EK78" s="35"/>
      <c r="EL78" s="35"/>
      <c r="EM78" s="35"/>
      <c r="EN78" s="35"/>
      <c r="EO78" s="35"/>
      <c r="EP78" s="35"/>
      <c r="EQ78" s="35"/>
      <c r="ER78" s="35"/>
      <c r="ES78" s="35"/>
      <c r="ET78" s="35"/>
      <c r="EU78" s="35"/>
      <c r="EV78" s="35"/>
      <c r="EW78" s="35"/>
      <c r="EX78" s="35"/>
      <c r="EY78" s="35"/>
      <c r="EZ78" s="35"/>
      <c r="FA78" s="35"/>
      <c r="FB78" s="35"/>
      <c r="FC78" s="35"/>
      <c r="FD78" s="35"/>
      <c r="FE78" s="35"/>
      <c r="FF78" s="35"/>
      <c r="FG78" s="35"/>
      <c r="FH78" s="35"/>
      <c r="FI78" s="35"/>
      <c r="FJ78" s="35"/>
      <c r="FK78" s="35"/>
      <c r="FL78" s="35"/>
      <c r="FM78" s="35"/>
      <c r="FN78" s="35"/>
      <c r="FO78" s="35"/>
      <c r="FP78" s="35"/>
      <c r="FQ78" s="35"/>
      <c r="FR78" s="35"/>
      <c r="FS78" s="35"/>
      <c r="FT78" s="35"/>
      <c r="FU78" s="35"/>
      <c r="FV78" s="35"/>
      <c r="FW78" s="35"/>
      <c r="FX78" s="35"/>
      <c r="FY78" s="35"/>
      <c r="FZ78" s="35"/>
      <c r="GA78" s="35"/>
      <c r="GB78" s="318"/>
      <c r="GC78" s="179">
        <f t="shared" si="14"/>
        <v>0</v>
      </c>
      <c r="GD78" s="179">
        <f t="shared" si="15"/>
        <v>0</v>
      </c>
      <c r="GE78" s="179">
        <f t="shared" si="16"/>
        <v>0</v>
      </c>
      <c r="GF78" s="179">
        <f t="shared" si="17"/>
        <v>0</v>
      </c>
      <c r="GG78" s="179">
        <f t="shared" si="18"/>
        <v>0</v>
      </c>
    </row>
    <row r="79" spans="1:189" ht="14.4" customHeight="1" x14ac:dyDescent="0.35">
      <c r="A79" s="5" t="s">
        <v>853</v>
      </c>
      <c r="B79" s="6" t="str">
        <f>IF(Technologies!B79&lt;&gt;0,Technologies!B79,"")</f>
        <v>Industrie</v>
      </c>
      <c r="C79" s="6" t="str">
        <f>VLOOKUP($A79,Technologies!$A$7:$H$576,3,FALSE)</f>
        <v>Conversion</v>
      </c>
      <c r="D79" s="6" t="str">
        <f>VLOOKUP($A79,Technologies!$A$7:$H$576,4,FALSE)</f>
        <v>Industry</v>
      </c>
      <c r="E79" s="6" t="str">
        <f>VLOOKUP($A79,Technologies!$A$7:$H$576,6,FALSE)</f>
        <v>Polyethylene terephthalate (PET)</v>
      </c>
      <c r="F79" s="48" t="str">
        <f>VLOOKUP($A79,Technologies!$A$7:$H$576,7,FALSE)</f>
        <v>Polymerization to PET (PTA &amp; MEG)</v>
      </c>
      <c r="G79" s="22"/>
      <c r="H79" s="22"/>
      <c r="I79" s="103" cm="1">
        <f t="array" ref="I79">-SUMPRODUCT((Feedstocks!$C$4:$C$141=A79)*Feedstocks!$E$4:$E$141,Feedstocks!$F$4:$F$141,Feedstocks!$H$4:$H$141,Feedstocks!$I$4:$I$141)</f>
        <v>0</v>
      </c>
      <c r="J79" s="103" cm="1">
        <f t="array" ref="J79">-SUMPRODUCT((Feedstocks!$C$4:$C$141=A79)*Feedstocks!$E$4:$E$141,Feedstocks!$H$4:$H$141,Feedstocks!$I$4:$I$141)</f>
        <v>0</v>
      </c>
      <c r="K79" s="103"/>
      <c r="L79" s="103"/>
      <c r="M79" s="23">
        <v>1</v>
      </c>
      <c r="N79" s="23" t="str">
        <f>VLOOKUP(E79,Activities!$A$9:$M$227,13,FALSE)</f>
        <v>NL</v>
      </c>
      <c r="O79" s="23"/>
      <c r="P79" s="80" t="s">
        <v>1813</v>
      </c>
      <c r="Q79" s="35"/>
      <c r="R79" s="35"/>
      <c r="S79" s="35"/>
      <c r="T79" s="35"/>
      <c r="U79" s="35"/>
      <c r="V79" s="35"/>
      <c r="W79" s="35"/>
      <c r="X79" s="35"/>
      <c r="Y79" s="35"/>
      <c r="Z79" s="35"/>
      <c r="AA79" s="35"/>
      <c r="AB79" s="35"/>
      <c r="AC79" s="35"/>
      <c r="AD79" s="36"/>
      <c r="AE79" s="36"/>
      <c r="AF79" s="36"/>
      <c r="AG79" s="36"/>
      <c r="AH79" s="36"/>
      <c r="AI79" s="36"/>
      <c r="AJ79" s="36"/>
      <c r="AK79" s="36"/>
      <c r="AL79" s="36"/>
      <c r="AM79" s="36"/>
      <c r="AN79" s="35"/>
      <c r="AO79" s="35"/>
      <c r="AP79" s="35"/>
      <c r="AQ79" s="35"/>
      <c r="AR79" s="35"/>
      <c r="AS79" s="35"/>
      <c r="AT79" s="35"/>
      <c r="AU79" s="35"/>
      <c r="AV79" s="35"/>
      <c r="AW79" s="35"/>
      <c r="AX79" s="35"/>
      <c r="AY79" s="35"/>
      <c r="AZ79" s="35"/>
      <c r="BA79" s="35"/>
      <c r="BB79" s="35"/>
      <c r="BC79" s="35"/>
      <c r="BD79" s="35"/>
      <c r="BE79" s="35"/>
      <c r="BF79" s="35"/>
      <c r="BG79" s="35"/>
      <c r="BH79" s="35"/>
      <c r="BI79" s="35"/>
      <c r="BJ79" s="35"/>
      <c r="BK79" s="35"/>
      <c r="BL79" s="35"/>
      <c r="BM79" s="35"/>
      <c r="BN79" s="35"/>
      <c r="BO79" s="35"/>
      <c r="BP79" s="35"/>
      <c r="BQ79" s="35"/>
      <c r="BR79" s="35"/>
      <c r="BS79" s="35"/>
      <c r="BT79" s="35"/>
      <c r="BU79" s="35"/>
      <c r="BV79" s="35"/>
      <c r="BW79" s="35"/>
      <c r="BX79" s="35"/>
      <c r="BY79" s="35"/>
      <c r="BZ79" s="35"/>
      <c r="CA79" s="35"/>
      <c r="CB79" s="35"/>
      <c r="CC79" s="35"/>
      <c r="CD79" s="35"/>
      <c r="CE79" s="35"/>
      <c r="CF79" s="35"/>
      <c r="CG79" s="35"/>
      <c r="CH79" s="35"/>
      <c r="CI79" s="35"/>
      <c r="CJ79" s="35"/>
      <c r="CK79" s="35"/>
      <c r="CL79" s="35"/>
      <c r="CM79" s="35"/>
      <c r="CN79" s="35"/>
      <c r="CO79" s="35"/>
      <c r="CP79" s="35"/>
      <c r="CQ79" s="35"/>
      <c r="CR79" s="35"/>
      <c r="CS79" s="36"/>
      <c r="CT79" s="36"/>
      <c r="CU79" s="36">
        <v>-0.84</v>
      </c>
      <c r="CV79" s="36"/>
      <c r="CW79" s="36">
        <v>1</v>
      </c>
      <c r="CX79" s="36"/>
      <c r="CY79" s="36"/>
      <c r="CZ79" s="36"/>
      <c r="DA79" s="36">
        <f>-0.37</f>
        <v>-0.37</v>
      </c>
      <c r="DB79" s="35"/>
      <c r="DC79" s="35"/>
      <c r="DD79" s="35"/>
      <c r="DE79" s="35"/>
      <c r="DF79" s="35"/>
      <c r="DG79" s="35"/>
      <c r="DH79" s="36">
        <v>-0.72</v>
      </c>
      <c r="DI79" s="36"/>
      <c r="DJ79" s="36"/>
      <c r="DK79" s="36"/>
      <c r="DL79" s="36"/>
      <c r="DM79" s="36"/>
      <c r="DN79" s="36"/>
      <c r="DO79" s="36">
        <v>-0.43</v>
      </c>
      <c r="DP79" s="36"/>
      <c r="DQ79" s="36">
        <v>-2.2000000000000002</v>
      </c>
      <c r="DR79" s="35"/>
      <c r="DS79" s="36"/>
      <c r="DT79" s="36"/>
      <c r="DU79" s="36"/>
      <c r="DV79" s="36"/>
      <c r="DW79" s="36"/>
      <c r="DX79" s="36"/>
      <c r="DY79" s="35"/>
      <c r="DZ79" s="35"/>
      <c r="EA79" s="35"/>
      <c r="EB79" s="35"/>
      <c r="EC79" s="35"/>
      <c r="ED79" s="35"/>
      <c r="EE79" s="35"/>
      <c r="EF79" s="35"/>
      <c r="EG79" s="35"/>
      <c r="EH79" s="35"/>
      <c r="EI79" s="35"/>
      <c r="EJ79" s="35"/>
      <c r="EK79" s="35"/>
      <c r="EL79" s="35"/>
      <c r="EM79" s="35"/>
      <c r="EN79" s="35"/>
      <c r="EO79" s="35"/>
      <c r="EP79" s="35"/>
      <c r="EQ79" s="35"/>
      <c r="ER79" s="35"/>
      <c r="ES79" s="35"/>
      <c r="ET79" s="35"/>
      <c r="EU79" s="35"/>
      <c r="EV79" s="35"/>
      <c r="EW79" s="35"/>
      <c r="EX79" s="35"/>
      <c r="EY79" s="35"/>
      <c r="EZ79" s="35"/>
      <c r="FA79" s="35"/>
      <c r="FB79" s="35"/>
      <c r="FC79" s="35"/>
      <c r="FD79" s="35"/>
      <c r="FE79" s="35"/>
      <c r="FF79" s="35"/>
      <c r="FG79" s="35"/>
      <c r="FH79" s="35"/>
      <c r="FI79" s="35"/>
      <c r="FJ79" s="35"/>
      <c r="FK79" s="35"/>
      <c r="FL79" s="35"/>
      <c r="FM79" s="35"/>
      <c r="FN79" s="35"/>
      <c r="FO79" s="35"/>
      <c r="FP79" s="35"/>
      <c r="FQ79" s="35"/>
      <c r="FR79" s="35"/>
      <c r="FS79" s="35"/>
      <c r="FT79" s="35"/>
      <c r="FU79" s="35"/>
      <c r="FV79" s="35"/>
      <c r="FW79" s="35"/>
      <c r="FX79" s="35"/>
      <c r="FY79" s="35"/>
      <c r="FZ79" s="35"/>
      <c r="GA79" s="35"/>
      <c r="GB79" s="318"/>
      <c r="GC79" s="179">
        <f t="shared" si="14"/>
        <v>0</v>
      </c>
      <c r="GD79" s="179">
        <f t="shared" si="15"/>
        <v>0</v>
      </c>
      <c r="GE79" s="179">
        <f t="shared" si="16"/>
        <v>0</v>
      </c>
      <c r="GF79" s="179">
        <f t="shared" si="17"/>
        <v>0</v>
      </c>
      <c r="GG79" s="179">
        <f t="shared" si="18"/>
        <v>0</v>
      </c>
    </row>
    <row r="80" spans="1:189" ht="14.4" customHeight="1" x14ac:dyDescent="0.35">
      <c r="A80" s="5" t="s">
        <v>856</v>
      </c>
      <c r="B80" s="6" t="str">
        <f>IF(Technologies!B80&lt;&gt;0,Technologies!B80,"")</f>
        <v>Industrie</v>
      </c>
      <c r="C80" s="6" t="str">
        <f>VLOOKUP($A80,Technologies!$A$7:$H$576,3,FALSE)</f>
        <v>Final</v>
      </c>
      <c r="D80" s="6" t="str">
        <f>VLOOKUP($A80,Technologies!$A$7:$H$576,4,FALSE)</f>
        <v>Industry</v>
      </c>
      <c r="E80" s="6" t="str">
        <f>VLOOKUP($A80,Technologies!$A$7:$H$576,6,FALSE)</f>
        <v>PVC production - Chemical Industry</v>
      </c>
      <c r="F80" s="48" t="str">
        <f>VLOOKUP($A80,Technologies!$A$7:$H$576,7,FALSE)</f>
        <v>VCM production and polymerisation to PVC</v>
      </c>
      <c r="G80" s="23"/>
      <c r="H80" s="22"/>
      <c r="I80" s="103" cm="1">
        <f t="array" ref="I80">-SUMPRODUCT((Feedstocks!$C$4:$C$141=A80)*Feedstocks!$E$4:$E$141,Feedstocks!$F$4:$F$141,Feedstocks!$H$4:$H$141,Feedstocks!$I$4:$I$141)</f>
        <v>0</v>
      </c>
      <c r="J80" s="103" cm="1">
        <f t="array" ref="J80">-SUMPRODUCT((Feedstocks!$C$4:$C$141=A80)*Feedstocks!$E$4:$E$141,Feedstocks!$H$4:$H$141,Feedstocks!$I$4:$I$141)</f>
        <v>0</v>
      </c>
      <c r="K80" s="103"/>
      <c r="L80" s="103"/>
      <c r="M80" s="23">
        <v>1</v>
      </c>
      <c r="N80" s="23" t="str">
        <f>VLOOKUP(E80,Activities!$A$9:$M$227,13,FALSE)</f>
        <v>NL</v>
      </c>
      <c r="O80" s="23"/>
      <c r="P80" s="79" t="s">
        <v>1812</v>
      </c>
      <c r="Q80" s="35"/>
      <c r="R80" s="35"/>
      <c r="S80" s="35"/>
      <c r="T80" s="35"/>
      <c r="U80" s="35"/>
      <c r="V80" s="35"/>
      <c r="W80" s="35"/>
      <c r="X80" s="35"/>
      <c r="Y80" s="35"/>
      <c r="Z80" s="35"/>
      <c r="AA80" s="35"/>
      <c r="AB80" s="35"/>
      <c r="AC80" s="35"/>
      <c r="AD80" s="35"/>
      <c r="AE80" s="35"/>
      <c r="AF80" s="35"/>
      <c r="AG80" s="35"/>
      <c r="AH80" s="35"/>
      <c r="AI80" s="35"/>
      <c r="AJ80" s="35"/>
      <c r="AK80" s="35"/>
      <c r="AL80" s="35"/>
      <c r="AM80" s="35">
        <v>1</v>
      </c>
      <c r="AN80" s="35"/>
      <c r="AO80" s="35"/>
      <c r="AP80" s="35"/>
      <c r="AQ80" s="35"/>
      <c r="AR80" s="35"/>
      <c r="AS80" s="35"/>
      <c r="AT80" s="35"/>
      <c r="AU80" s="35"/>
      <c r="AV80" s="35"/>
      <c r="AW80" s="35"/>
      <c r="AX80" s="35"/>
      <c r="AY80" s="35"/>
      <c r="AZ80" s="35"/>
      <c r="BA80" s="35"/>
      <c r="BB80" s="35"/>
      <c r="BC80" s="35"/>
      <c r="BD80" s="35"/>
      <c r="BE80" s="35"/>
      <c r="BF80" s="35"/>
      <c r="BG80" s="35"/>
      <c r="BH80" s="35"/>
      <c r="BI80" s="35"/>
      <c r="BJ80" s="35"/>
      <c r="BK80" s="35"/>
      <c r="BL80" s="35"/>
      <c r="BM80" s="35"/>
      <c r="BN80" s="35"/>
      <c r="BO80" s="35"/>
      <c r="BP80" s="35"/>
      <c r="BQ80" s="35"/>
      <c r="BR80" s="35"/>
      <c r="BS80" s="35"/>
      <c r="BT80" s="35"/>
      <c r="BU80" s="35"/>
      <c r="BV80" s="35"/>
      <c r="BW80" s="35"/>
      <c r="BX80" s="35"/>
      <c r="BY80" s="35"/>
      <c r="BZ80" s="35"/>
      <c r="CA80" s="35"/>
      <c r="CB80" s="35"/>
      <c r="CC80" s="35"/>
      <c r="CD80" s="35"/>
      <c r="CE80" s="35"/>
      <c r="CF80" s="35"/>
      <c r="CG80" s="35"/>
      <c r="CH80" s="35"/>
      <c r="CI80" s="35"/>
      <c r="CJ80" s="35"/>
      <c r="CK80" s="35"/>
      <c r="CL80" s="35"/>
      <c r="CM80" s="35"/>
      <c r="CN80" s="35"/>
      <c r="CO80" s="35"/>
      <c r="CP80" s="35"/>
      <c r="CQ80" s="35"/>
      <c r="CR80" s="35"/>
      <c r="CS80" s="35">
        <f>-0.49*1.03</f>
        <v>-0.50470000000000004</v>
      </c>
      <c r="CT80" s="35"/>
      <c r="CU80" s="35"/>
      <c r="CV80" s="35">
        <f>-0.58*1.001</f>
        <v>-0.58057999999999987</v>
      </c>
      <c r="CW80" s="35"/>
      <c r="CX80" s="35"/>
      <c r="CY80" s="35"/>
      <c r="CZ80" s="35"/>
      <c r="DA80" s="35"/>
      <c r="DB80" s="35"/>
      <c r="DC80" s="35"/>
      <c r="DD80" s="35"/>
      <c r="DE80" s="35"/>
      <c r="DF80" s="35"/>
      <c r="DG80" s="35"/>
      <c r="DH80" s="35">
        <f>-0.7*1.001+-0.6</f>
        <v>-1.3007</v>
      </c>
      <c r="DI80" s="35"/>
      <c r="DJ80" s="35"/>
      <c r="DK80" s="35"/>
      <c r="DL80" s="35"/>
      <c r="DM80" s="35"/>
      <c r="DN80" s="35"/>
      <c r="DO80" s="35">
        <f>-1.7*1.001+-2.4</f>
        <v>-4.1016999999999992</v>
      </c>
      <c r="DP80" s="35"/>
      <c r="DQ80" s="35">
        <f>-3.1*1.001</f>
        <v>-3.1030999999999995</v>
      </c>
      <c r="DR80" s="35"/>
      <c r="DS80" s="35"/>
      <c r="DT80" s="35"/>
      <c r="DU80" s="35"/>
      <c r="DV80" s="35"/>
      <c r="DW80" s="35"/>
      <c r="DX80" s="35"/>
      <c r="DY80" s="35"/>
      <c r="DZ80" s="35"/>
      <c r="EA80" s="35"/>
      <c r="EB80" s="35"/>
      <c r="EC80" s="35"/>
      <c r="ED80" s="35"/>
      <c r="EE80" s="35"/>
      <c r="EF80" s="35"/>
      <c r="EG80" s="35"/>
      <c r="EH80" s="35"/>
      <c r="EI80" s="35"/>
      <c r="EJ80" s="35"/>
      <c r="EK80" s="35"/>
      <c r="EL80" s="35"/>
      <c r="EM80" s="35"/>
      <c r="EN80" s="35"/>
      <c r="EO80" s="35"/>
      <c r="EP80" s="35"/>
      <c r="EQ80" s="35"/>
      <c r="ER80" s="35"/>
      <c r="ES80" s="35"/>
      <c r="ET80" s="35"/>
      <c r="EU80" s="35"/>
      <c r="EV80" s="35"/>
      <c r="EW80" s="35"/>
      <c r="EX80" s="35"/>
      <c r="EY80" s="35"/>
      <c r="EZ80" s="35"/>
      <c r="FA80" s="35"/>
      <c r="FB80" s="35"/>
      <c r="FC80" s="35"/>
      <c r="FD80" s="35"/>
      <c r="FE80" s="35"/>
      <c r="FF80" s="35"/>
      <c r="FG80" s="35"/>
      <c r="FH80" s="35"/>
      <c r="FI80" s="35"/>
      <c r="FJ80" s="35"/>
      <c r="FK80" s="35"/>
      <c r="FL80" s="35"/>
      <c r="FM80" s="35"/>
      <c r="FN80" s="35"/>
      <c r="FO80" s="35"/>
      <c r="FP80" s="35"/>
      <c r="FQ80" s="35"/>
      <c r="FR80" s="35"/>
      <c r="FS80" s="35"/>
      <c r="FT80" s="35"/>
      <c r="FU80" s="35"/>
      <c r="FV80" s="35"/>
      <c r="FW80" s="35"/>
      <c r="FX80" s="35"/>
      <c r="FY80" s="35"/>
      <c r="FZ80" s="35"/>
      <c r="GA80" s="35"/>
      <c r="GB80" s="318"/>
      <c r="GC80" s="179">
        <f t="shared" si="14"/>
        <v>0</v>
      </c>
      <c r="GD80" s="179">
        <f t="shared" si="15"/>
        <v>0</v>
      </c>
      <c r="GE80" s="179">
        <f t="shared" si="16"/>
        <v>0</v>
      </c>
      <c r="GF80" s="179">
        <f t="shared" si="17"/>
        <v>0</v>
      </c>
      <c r="GG80" s="179">
        <f t="shared" si="18"/>
        <v>0</v>
      </c>
    </row>
    <row r="81" spans="1:189" ht="14.4" customHeight="1" x14ac:dyDescent="0.35">
      <c r="A81" s="5" t="s">
        <v>859</v>
      </c>
      <c r="B81" s="6" t="str">
        <f>IF(Technologies!B81&lt;&gt;0,Technologies!B81,"")</f>
        <v>Industrie</v>
      </c>
      <c r="C81" s="6" t="str">
        <f>VLOOKUP($A81,Technologies!$A$7:$H$576,3,FALSE)</f>
        <v>Final</v>
      </c>
      <c r="D81" s="6" t="str">
        <f>VLOOKUP($A81,Technologies!$A$7:$H$576,4,FALSE)</f>
        <v>Industry</v>
      </c>
      <c r="E81" s="6" t="str">
        <f>VLOOKUP($A81,Technologies!$A$7:$H$576,6,FALSE)</f>
        <v>PVC production - Chemical Industry</v>
      </c>
      <c r="F81" s="48" t="str">
        <f>VLOOKUP($A81,Technologies!$A$7:$H$576,7,FALSE)</f>
        <v>VCM production and polymerisation to PVC with electric furnaces</v>
      </c>
      <c r="G81" s="22"/>
      <c r="H81" s="22"/>
      <c r="I81" s="103" cm="1">
        <f t="array" ref="I81">-SUMPRODUCT((Feedstocks!$C$4:$C$141=A81)*Feedstocks!$E$4:$E$141,Feedstocks!$F$4:$F$141,Feedstocks!$H$4:$H$141,Feedstocks!$I$4:$I$141)</f>
        <v>0</v>
      </c>
      <c r="J81" s="103" cm="1">
        <f t="array" ref="J81">-SUMPRODUCT((Feedstocks!$C$4:$C$141=A81)*Feedstocks!$E$4:$E$141,Feedstocks!$H$4:$H$141,Feedstocks!$I$4:$I$141)</f>
        <v>0</v>
      </c>
      <c r="K81" s="103"/>
      <c r="L81" s="103"/>
      <c r="M81" s="23">
        <v>1</v>
      </c>
      <c r="N81" s="23" t="str">
        <f>VLOOKUP(E81,Activities!$A$9:$M$227,13,FALSE)</f>
        <v>NL</v>
      </c>
      <c r="O81" s="23"/>
      <c r="P81" s="80" t="s">
        <v>1812</v>
      </c>
      <c r="Q81" s="35"/>
      <c r="R81" s="35"/>
      <c r="S81" s="35"/>
      <c r="T81" s="35"/>
      <c r="U81" s="35"/>
      <c r="V81" s="35"/>
      <c r="W81" s="35"/>
      <c r="X81" s="35"/>
      <c r="Y81" s="35"/>
      <c r="Z81" s="35"/>
      <c r="AA81" s="35"/>
      <c r="AB81" s="35"/>
      <c r="AC81" s="35"/>
      <c r="AD81" s="36"/>
      <c r="AE81" s="36"/>
      <c r="AF81" s="36"/>
      <c r="AG81" s="36"/>
      <c r="AH81" s="36"/>
      <c r="AI81" s="36"/>
      <c r="AJ81" s="36"/>
      <c r="AK81" s="36"/>
      <c r="AL81" s="36"/>
      <c r="AM81" s="36">
        <v>1</v>
      </c>
      <c r="AN81" s="35"/>
      <c r="AO81" s="35"/>
      <c r="AP81" s="35"/>
      <c r="AQ81" s="35"/>
      <c r="AR81" s="35"/>
      <c r="AS81" s="35"/>
      <c r="AT81" s="35"/>
      <c r="AU81" s="35"/>
      <c r="AV81" s="35"/>
      <c r="AW81" s="35"/>
      <c r="AX81" s="35"/>
      <c r="AY81" s="35"/>
      <c r="AZ81" s="35"/>
      <c r="BA81" s="35"/>
      <c r="BB81" s="35"/>
      <c r="BC81" s="35"/>
      <c r="BD81" s="35"/>
      <c r="BE81" s="35"/>
      <c r="BF81" s="35"/>
      <c r="BG81" s="35"/>
      <c r="BH81" s="35"/>
      <c r="BI81" s="35"/>
      <c r="BJ81" s="35"/>
      <c r="BK81" s="35"/>
      <c r="BL81" s="35"/>
      <c r="BM81" s="35"/>
      <c r="BN81" s="35"/>
      <c r="BO81" s="35"/>
      <c r="BP81" s="35"/>
      <c r="BQ81" s="35"/>
      <c r="BR81" s="35"/>
      <c r="BS81" s="35"/>
      <c r="BT81" s="35"/>
      <c r="BU81" s="35"/>
      <c r="BV81" s="35"/>
      <c r="BW81" s="35"/>
      <c r="BX81" s="35"/>
      <c r="BY81" s="35"/>
      <c r="BZ81" s="35"/>
      <c r="CA81" s="35"/>
      <c r="CB81" s="35"/>
      <c r="CC81" s="35"/>
      <c r="CD81" s="35"/>
      <c r="CE81" s="35"/>
      <c r="CF81" s="35"/>
      <c r="CG81" s="35"/>
      <c r="CH81" s="35"/>
      <c r="CI81" s="35"/>
      <c r="CJ81" s="35"/>
      <c r="CK81" s="35"/>
      <c r="CL81" s="35"/>
      <c r="CM81" s="35"/>
      <c r="CN81" s="35"/>
      <c r="CO81" s="35"/>
      <c r="CP81" s="35"/>
      <c r="CQ81" s="35"/>
      <c r="CR81" s="35"/>
      <c r="CS81" s="36">
        <f>-0.49*1.03</f>
        <v>-0.50470000000000004</v>
      </c>
      <c r="CT81" s="36"/>
      <c r="CU81" s="36"/>
      <c r="CV81" s="36">
        <f>-0.58*1.001</f>
        <v>-0.58057999999999987</v>
      </c>
      <c r="CW81" s="36"/>
      <c r="CX81" s="36"/>
      <c r="CY81" s="36"/>
      <c r="CZ81" s="36"/>
      <c r="DA81" s="36"/>
      <c r="DB81" s="35"/>
      <c r="DC81" s="35"/>
      <c r="DD81" s="35"/>
      <c r="DE81" s="35"/>
      <c r="DF81" s="35"/>
      <c r="DG81" s="35"/>
      <c r="DH81" s="36">
        <f>SUM(DH80,DQ80)</f>
        <v>-4.4037999999999995</v>
      </c>
      <c r="DI81" s="36"/>
      <c r="DJ81" s="36"/>
      <c r="DK81" s="36"/>
      <c r="DL81" s="36"/>
      <c r="DM81" s="36"/>
      <c r="DN81" s="36"/>
      <c r="DO81" s="36">
        <f>-1.7*1.001+-2.4</f>
        <v>-4.1016999999999992</v>
      </c>
      <c r="DP81" s="36"/>
      <c r="DQ81" s="36"/>
      <c r="DR81" s="35"/>
      <c r="DS81" s="36"/>
      <c r="DT81" s="36"/>
      <c r="DU81" s="36"/>
      <c r="DV81" s="36"/>
      <c r="DW81" s="36"/>
      <c r="DX81" s="36"/>
      <c r="DY81" s="35"/>
      <c r="DZ81" s="35"/>
      <c r="EA81" s="35"/>
      <c r="EB81" s="35"/>
      <c r="EC81" s="35"/>
      <c r="ED81" s="35"/>
      <c r="EE81" s="35"/>
      <c r="EF81" s="35"/>
      <c r="EG81" s="35"/>
      <c r="EH81" s="35"/>
      <c r="EI81" s="35"/>
      <c r="EJ81" s="35"/>
      <c r="EK81" s="35"/>
      <c r="EL81" s="35"/>
      <c r="EM81" s="35"/>
      <c r="EN81" s="35"/>
      <c r="EO81" s="35"/>
      <c r="EP81" s="35"/>
      <c r="EQ81" s="35"/>
      <c r="ER81" s="35"/>
      <c r="ES81" s="35"/>
      <c r="ET81" s="35"/>
      <c r="EU81" s="35"/>
      <c r="EV81" s="35"/>
      <c r="EW81" s="35"/>
      <c r="EX81" s="35"/>
      <c r="EY81" s="35"/>
      <c r="EZ81" s="35"/>
      <c r="FA81" s="35"/>
      <c r="FB81" s="35"/>
      <c r="FC81" s="35"/>
      <c r="FD81" s="35"/>
      <c r="FE81" s="35"/>
      <c r="FF81" s="35"/>
      <c r="FG81" s="35"/>
      <c r="FH81" s="35"/>
      <c r="FI81" s="35"/>
      <c r="FJ81" s="35"/>
      <c r="FK81" s="35"/>
      <c r="FL81" s="35"/>
      <c r="FM81" s="35"/>
      <c r="FN81" s="35"/>
      <c r="FO81" s="35"/>
      <c r="FP81" s="35"/>
      <c r="FQ81" s="35"/>
      <c r="FR81" s="35"/>
      <c r="FS81" s="35"/>
      <c r="FT81" s="35"/>
      <c r="FU81" s="35"/>
      <c r="FV81" s="35"/>
      <c r="FW81" s="35"/>
      <c r="FX81" s="35"/>
      <c r="FY81" s="35"/>
      <c r="FZ81" s="35"/>
      <c r="GA81" s="35"/>
      <c r="GB81" s="318"/>
      <c r="GC81" s="179">
        <f t="shared" si="14"/>
        <v>0</v>
      </c>
      <c r="GD81" s="179">
        <f t="shared" si="15"/>
        <v>0</v>
      </c>
      <c r="GE81" s="179">
        <f t="shared" si="16"/>
        <v>0</v>
      </c>
      <c r="GF81" s="179">
        <f t="shared" si="17"/>
        <v>0</v>
      </c>
      <c r="GG81" s="179">
        <f t="shared" si="18"/>
        <v>0</v>
      </c>
    </row>
    <row r="82" spans="1:189" x14ac:dyDescent="0.35">
      <c r="A82" s="5" t="s">
        <v>861</v>
      </c>
      <c r="B82" s="5" t="str">
        <f>IF(Technologies!B82&lt;&gt;0,Technologies!B82,"")</f>
        <v>Industrie</v>
      </c>
      <c r="C82" s="5" t="str">
        <f>VLOOKUP($A82,Technologies!$A$7:$H$576,3,FALSE)</f>
        <v>Conversion</v>
      </c>
      <c r="D82" s="5" t="str">
        <f>VLOOKUP($A82,Technologies!$A$7:$H$576,4,FALSE)</f>
        <v>Industry</v>
      </c>
      <c r="E82" s="5" t="str">
        <f>VLOOKUP($A82,Technologies!$A$7:$H$576,6,FALSE)</f>
        <v>Ethylene intermediate</v>
      </c>
      <c r="F82" s="5" t="str">
        <f>VLOOKUP($A82,Technologies!$A$7:$H$576,7,FALSE)</f>
        <v>Existing naphtha steam cracker with 10% pyrolysis oil blending - Petrochemical industry</v>
      </c>
      <c r="G82" s="23"/>
      <c r="H82" s="22"/>
      <c r="I82" s="103" cm="1">
        <f t="array" ref="I82">-SUMPRODUCT((Feedstocks!$C$4:$C$141=A82)*Feedstocks!$E$4:$E$141,Feedstocks!$F$4:$F$141,Feedstocks!$H$4:$H$141,Feedstocks!$I$4:$I$141)</f>
        <v>8.9166509900990079</v>
      </c>
      <c r="J82" s="103" cm="1">
        <f t="array" ref="J82">-SUMPRODUCT((Feedstocks!$C$4:$C$141=A82)*Feedstocks!$E$4:$E$141,Feedstocks!$H$4:$H$141,Feedstocks!$I$4:$I$141)</f>
        <v>8.9166509900990079</v>
      </c>
      <c r="K82" s="103"/>
      <c r="L82" s="103"/>
      <c r="M82" s="23">
        <v>1</v>
      </c>
      <c r="N82" s="23" t="str">
        <f>VLOOKUP(E82,Activities!$A$9:$M$227,13,FALSE)</f>
        <v>NL</v>
      </c>
      <c r="O82" s="23"/>
      <c r="P82" s="200" t="s">
        <v>1811</v>
      </c>
      <c r="Q82" s="35"/>
      <c r="R82" s="35"/>
      <c r="S82" s="35"/>
      <c r="T82" s="35"/>
      <c r="U82" s="35"/>
      <c r="V82" s="35"/>
      <c r="W82" s="35"/>
      <c r="X82" s="35"/>
      <c r="Y82" s="35"/>
      <c r="Z82" s="35"/>
      <c r="AA82" s="35"/>
      <c r="AB82" s="35"/>
      <c r="AC82" s="35"/>
      <c r="AD82" s="35"/>
      <c r="AE82" s="35"/>
      <c r="AF82" s="202">
        <f t="shared" ref="AF82:AF83" si="19">4.2/30.25</f>
        <v>0.13884297520661157</v>
      </c>
      <c r="AG82" s="35">
        <f t="shared" ref="AG82:AG83" si="20">SUM(8.32,3.4,1.14)/30.25</f>
        <v>0.42512396694214882</v>
      </c>
      <c r="AH82" s="35"/>
      <c r="AI82" s="35"/>
      <c r="AJ82" s="35"/>
      <c r="AK82" s="35"/>
      <c r="AL82" s="35"/>
      <c r="AM82" s="35"/>
      <c r="AN82" s="35"/>
      <c r="AO82" s="35"/>
      <c r="AP82" s="35"/>
      <c r="AQ82" s="35"/>
      <c r="AR82" s="35"/>
      <c r="AS82" s="35"/>
      <c r="AT82" s="35"/>
      <c r="AU82" s="35"/>
      <c r="AV82" s="35"/>
      <c r="AW82" s="35"/>
      <c r="AX82" s="35"/>
      <c r="AY82" s="35"/>
      <c r="AZ82" s="35"/>
      <c r="BA82" s="35"/>
      <c r="BB82" s="35"/>
      <c r="BC82" s="35"/>
      <c r="BD82" s="35"/>
      <c r="BE82" s="35"/>
      <c r="BF82" s="35"/>
      <c r="BG82" s="35"/>
      <c r="BH82" s="35"/>
      <c r="BI82" s="35"/>
      <c r="BJ82" s="35"/>
      <c r="BK82" s="35"/>
      <c r="BL82" s="35"/>
      <c r="BM82" s="35"/>
      <c r="BN82" s="35"/>
      <c r="BO82" s="35"/>
      <c r="BP82" s="35"/>
      <c r="BQ82" s="35"/>
      <c r="BR82" s="35"/>
      <c r="BS82" s="35"/>
      <c r="BT82" s="35"/>
      <c r="BU82" s="35"/>
      <c r="BV82" s="35"/>
      <c r="BW82" s="35"/>
      <c r="BX82" s="35"/>
      <c r="BY82" s="35"/>
      <c r="BZ82" s="35"/>
      <c r="CA82" s="35"/>
      <c r="CB82" s="35"/>
      <c r="CC82" s="35"/>
      <c r="CD82" s="35"/>
      <c r="CE82" s="35"/>
      <c r="CF82" s="35"/>
      <c r="CG82" s="35"/>
      <c r="CH82" s="35"/>
      <c r="CI82" s="35"/>
      <c r="CJ82" s="35"/>
      <c r="CK82" s="35"/>
      <c r="CL82" s="35"/>
      <c r="CM82" s="35"/>
      <c r="CN82" s="35"/>
      <c r="CO82" s="35"/>
      <c r="CP82" s="35"/>
      <c r="CQ82" s="35"/>
      <c r="CR82" s="35"/>
      <c r="CS82" s="35">
        <v>1</v>
      </c>
      <c r="CT82" s="35">
        <v>0.44884488448844889</v>
      </c>
      <c r="CU82" s="35"/>
      <c r="CV82" s="35"/>
      <c r="CW82" s="35"/>
      <c r="CX82" s="35"/>
      <c r="CY82" s="35"/>
      <c r="CZ82" s="35"/>
      <c r="DA82" s="35"/>
      <c r="DB82" s="35"/>
      <c r="DC82" s="35"/>
      <c r="DD82" s="35"/>
      <c r="DE82" s="35"/>
      <c r="DF82" s="35"/>
      <c r="DG82" s="35"/>
      <c r="DH82" s="203">
        <f>DH54</f>
        <v>-0.98613861386138613</v>
      </c>
      <c r="DI82" s="35"/>
      <c r="DJ82" s="35"/>
      <c r="DK82" s="35"/>
      <c r="DL82" s="35"/>
      <c r="DM82" s="35"/>
      <c r="DN82" s="35"/>
      <c r="DO82" s="35">
        <f>DO54</f>
        <v>-0.97425742574257423</v>
      </c>
      <c r="DP82" s="35"/>
      <c r="DQ82" s="35"/>
      <c r="DR82" s="35"/>
      <c r="DS82" s="203"/>
      <c r="DT82" s="35">
        <f>DT54*0.9</f>
        <v>-133.36633663366337</v>
      </c>
      <c r="DU82" s="203"/>
      <c r="DV82" s="203"/>
      <c r="DW82" s="35"/>
      <c r="DX82" s="203"/>
      <c r="DY82" s="35"/>
      <c r="DZ82" s="35"/>
      <c r="EA82" s="35"/>
      <c r="EB82" s="35"/>
      <c r="EC82" s="35"/>
      <c r="ED82" s="35"/>
      <c r="EE82" s="35"/>
      <c r="EF82" s="35"/>
      <c r="EG82" s="35"/>
      <c r="EH82" s="35"/>
      <c r="EI82" s="35"/>
      <c r="EJ82" s="203">
        <f>EJ54</f>
        <v>9.2792079207920786</v>
      </c>
      <c r="EK82" s="35"/>
      <c r="EL82" s="35"/>
      <c r="EM82" s="203"/>
      <c r="EN82" s="35"/>
      <c r="EO82" s="35"/>
      <c r="EP82" s="203">
        <f>DT54*0.1</f>
        <v>-14.818481848184817</v>
      </c>
      <c r="EQ82" s="35"/>
      <c r="ER82" s="35"/>
      <c r="ES82" s="35"/>
      <c r="ET82" s="203"/>
      <c r="EU82" s="35"/>
      <c r="EV82" s="35"/>
      <c r="EW82" s="35"/>
      <c r="EX82" s="35"/>
      <c r="EY82" s="35"/>
      <c r="EZ82" s="35"/>
      <c r="FA82" s="35"/>
      <c r="FB82" s="35"/>
      <c r="FC82" s="35"/>
      <c r="FD82" s="35"/>
      <c r="FE82" s="35"/>
      <c r="FF82" s="35"/>
      <c r="FG82" s="35"/>
      <c r="FH82" s="35"/>
      <c r="FI82" s="35"/>
      <c r="FJ82" s="35"/>
      <c r="FK82" s="35"/>
      <c r="FL82" s="35"/>
      <c r="FM82" s="35"/>
      <c r="FN82" s="35"/>
      <c r="FO82" s="35"/>
      <c r="FP82" s="35"/>
      <c r="FQ82" s="35"/>
      <c r="FR82" s="35"/>
      <c r="FS82" s="35"/>
      <c r="FT82" s="35"/>
      <c r="FU82" s="35"/>
      <c r="FV82" s="35"/>
      <c r="FW82" s="35"/>
      <c r="FX82" s="35"/>
      <c r="FY82" s="35"/>
      <c r="FZ82" s="35"/>
      <c r="GA82" s="35"/>
      <c r="GB82" s="318"/>
      <c r="GC82" s="179">
        <f t="shared" si="14"/>
        <v>0</v>
      </c>
      <c r="GD82" s="179">
        <f t="shared" si="15"/>
        <v>1.0792999999999999</v>
      </c>
      <c r="GE82" s="179">
        <f t="shared" si="16"/>
        <v>0</v>
      </c>
      <c r="GF82" s="179">
        <f t="shared" si="17"/>
        <v>0</v>
      </c>
      <c r="GG82" s="179">
        <f t="shared" si="18"/>
        <v>8.9166509900990079</v>
      </c>
    </row>
    <row r="83" spans="1:189" x14ac:dyDescent="0.35">
      <c r="A83" s="6" t="s">
        <v>863</v>
      </c>
      <c r="B83" s="6" t="str">
        <f>IF(Technologies!B83&lt;&gt;0,Technologies!B83,"")</f>
        <v>Industrie</v>
      </c>
      <c r="C83" s="6" t="str">
        <f>VLOOKUP($A83,Technologies!$A$7:$H$576,3,FALSE)</f>
        <v>Conversion</v>
      </c>
      <c r="D83" s="6" t="str">
        <f>VLOOKUP($A83,Technologies!$A$7:$H$576,4,FALSE)</f>
        <v>Industry</v>
      </c>
      <c r="E83" s="6" t="str">
        <f>VLOOKUP($A83,Technologies!$A$7:$H$576,6,FALSE)</f>
        <v>Ethylene intermediate</v>
      </c>
      <c r="F83" s="48" t="str">
        <f>VLOOKUP($A83,Technologies!$A$7:$H$576,7,FALSE)</f>
        <v>Existing naphtha steam cracker with 10% pyrolysis oil blending and CCUS - Petrochemical industry</v>
      </c>
      <c r="G83" s="22">
        <v>0.9</v>
      </c>
      <c r="H83" s="22"/>
      <c r="I83" s="103" cm="1">
        <f t="array" ref="I83">-SUMPRODUCT((Feedstocks!$C$4:$C$141=A83)*Feedstocks!$E$4:$E$141,Feedstocks!$F$4:$F$141,Feedstocks!$H$4:$H$141,Feedstocks!$I$4:$I$141)</f>
        <v>8.9166509900990079</v>
      </c>
      <c r="J83" s="103" cm="1">
        <f t="array" ref="J83">-SUMPRODUCT((Feedstocks!$C$4:$C$141=A83)*Feedstocks!$E$4:$E$141,Feedstocks!$H$4:$H$141,Feedstocks!$I$4:$I$141)</f>
        <v>8.9166509900990079</v>
      </c>
      <c r="K83" s="103"/>
      <c r="L83" s="103"/>
      <c r="M83" s="22">
        <v>1</v>
      </c>
      <c r="N83" s="22" t="str">
        <f>VLOOKUP(E83,Activities!$A$9:$M$227,13,FALSE)</f>
        <v>NL</v>
      </c>
      <c r="O83" s="22"/>
      <c r="P83" s="200" t="s">
        <v>1811</v>
      </c>
      <c r="Q83" s="36"/>
      <c r="R83" s="36"/>
      <c r="S83" s="36"/>
      <c r="T83" s="36"/>
      <c r="U83" s="36"/>
      <c r="V83" s="36"/>
      <c r="W83" s="36"/>
      <c r="X83" s="36"/>
      <c r="Y83" s="36"/>
      <c r="Z83" s="36"/>
      <c r="AA83" s="36"/>
      <c r="AB83" s="36"/>
      <c r="AC83" s="36"/>
      <c r="AD83" s="36"/>
      <c r="AE83" s="36"/>
      <c r="AF83" s="202">
        <f t="shared" si="19"/>
        <v>0.13884297520661157</v>
      </c>
      <c r="AG83" s="35">
        <f t="shared" si="20"/>
        <v>0.42512396694214882</v>
      </c>
      <c r="AH83" s="36"/>
      <c r="AI83" s="36"/>
      <c r="AJ83" s="36"/>
      <c r="AK83" s="36"/>
      <c r="AL83" s="36"/>
      <c r="AM83" s="36"/>
      <c r="AN83" s="36"/>
      <c r="AO83" s="36"/>
      <c r="AP83" s="36"/>
      <c r="AQ83" s="36"/>
      <c r="AR83" s="36"/>
      <c r="AS83" s="36"/>
      <c r="AT83" s="36"/>
      <c r="AU83" s="36"/>
      <c r="AV83" s="36"/>
      <c r="AW83" s="36"/>
      <c r="AX83" s="36"/>
      <c r="AY83" s="36"/>
      <c r="AZ83" s="36"/>
      <c r="BA83" s="36"/>
      <c r="BB83" s="36"/>
      <c r="BC83" s="36"/>
      <c r="BD83" s="36"/>
      <c r="BE83" s="36"/>
      <c r="BF83" s="36"/>
      <c r="BG83" s="36"/>
      <c r="BH83" s="36"/>
      <c r="BI83" s="36"/>
      <c r="BJ83" s="36"/>
      <c r="BK83" s="36"/>
      <c r="BL83" s="36"/>
      <c r="BM83" s="36"/>
      <c r="BN83" s="36"/>
      <c r="BO83" s="36"/>
      <c r="BP83" s="36"/>
      <c r="BQ83" s="36"/>
      <c r="BR83" s="36"/>
      <c r="BS83" s="36"/>
      <c r="BT83" s="36"/>
      <c r="BU83" s="36"/>
      <c r="BV83" s="36"/>
      <c r="BW83" s="36"/>
      <c r="BX83" s="36"/>
      <c r="BY83" s="36"/>
      <c r="BZ83" s="36"/>
      <c r="CA83" s="36"/>
      <c r="CB83" s="36"/>
      <c r="CC83" s="36"/>
      <c r="CD83" s="36"/>
      <c r="CE83" s="36"/>
      <c r="CF83" s="36"/>
      <c r="CG83" s="36"/>
      <c r="CH83" s="36"/>
      <c r="CI83" s="36"/>
      <c r="CJ83" s="36"/>
      <c r="CK83" s="36"/>
      <c r="CL83" s="36"/>
      <c r="CM83" s="36"/>
      <c r="CN83" s="36"/>
      <c r="CO83" s="36"/>
      <c r="CP83" s="36"/>
      <c r="CQ83" s="36"/>
      <c r="CR83" s="36"/>
      <c r="CS83" s="36">
        <v>1</v>
      </c>
      <c r="CT83" s="35">
        <v>0.44884488448844889</v>
      </c>
      <c r="CU83" s="36"/>
      <c r="CV83" s="36"/>
      <c r="CW83" s="36"/>
      <c r="CX83" s="36"/>
      <c r="CY83" s="36"/>
      <c r="CZ83" s="36"/>
      <c r="DA83" s="36"/>
      <c r="DB83" s="36"/>
      <c r="DC83" s="36"/>
      <c r="DD83" s="36"/>
      <c r="DE83" s="36"/>
      <c r="DF83" s="36"/>
      <c r="DG83" s="36"/>
      <c r="DH83" s="203">
        <f>DH55</f>
        <v>-1.2712871287128713</v>
      </c>
      <c r="DI83" s="36"/>
      <c r="DJ83" s="36"/>
      <c r="DK83" s="36"/>
      <c r="DL83" s="36"/>
      <c r="DM83" s="36"/>
      <c r="DN83" s="36"/>
      <c r="DO83" s="36">
        <f>DO55</f>
        <v>-4.7762376237623769</v>
      </c>
      <c r="DP83" s="36"/>
      <c r="DQ83" s="36"/>
      <c r="DR83" s="36"/>
      <c r="DS83" s="203"/>
      <c r="DT83" s="36">
        <f>DT54*0.9</f>
        <v>-133.36633663366337</v>
      </c>
      <c r="DU83" s="203"/>
      <c r="DV83" s="203"/>
      <c r="DW83" s="36"/>
      <c r="DX83" s="203"/>
      <c r="DY83" s="36"/>
      <c r="DZ83" s="36"/>
      <c r="EA83" s="36"/>
      <c r="EB83" s="36"/>
      <c r="EC83" s="36"/>
      <c r="ED83" s="36"/>
      <c r="EE83" s="36"/>
      <c r="EF83" s="36"/>
      <c r="EG83" s="36"/>
      <c r="EH83" s="36"/>
      <c r="EI83" s="36"/>
      <c r="EJ83" s="203">
        <f>EJ55</f>
        <v>9.2792079207920786</v>
      </c>
      <c r="EK83" s="36"/>
      <c r="EL83" s="36"/>
      <c r="EM83" s="203"/>
      <c r="EN83" s="36"/>
      <c r="EO83" s="35"/>
      <c r="EP83" s="203">
        <f>DT55*0.1</f>
        <v>-14.818481848184817</v>
      </c>
      <c r="EQ83" s="36"/>
      <c r="ER83" s="36"/>
      <c r="ES83" s="36"/>
      <c r="ET83" s="203"/>
      <c r="EU83" s="36"/>
      <c r="EV83" s="36"/>
      <c r="EW83" s="36"/>
      <c r="EX83" s="36"/>
      <c r="EY83" s="36"/>
      <c r="EZ83" s="36"/>
      <c r="FA83" s="36"/>
      <c r="FB83" s="36"/>
      <c r="FC83" s="36"/>
      <c r="FD83" s="36"/>
      <c r="FE83" s="36"/>
      <c r="FF83" s="36"/>
      <c r="FG83" s="36"/>
      <c r="FH83" s="36"/>
      <c r="FI83" s="36"/>
      <c r="FJ83" s="36"/>
      <c r="FK83" s="36"/>
      <c r="FL83" s="36"/>
      <c r="FM83" s="36"/>
      <c r="FN83" s="36"/>
      <c r="FO83" s="36"/>
      <c r="FP83" s="36"/>
      <c r="FQ83" s="36"/>
      <c r="FR83" s="36"/>
      <c r="FS83" s="36"/>
      <c r="FT83" s="36"/>
      <c r="FU83" s="36"/>
      <c r="FV83" s="36"/>
      <c r="FW83" s="36"/>
      <c r="FX83" s="36"/>
      <c r="FY83" s="36"/>
      <c r="FZ83" s="36"/>
      <c r="GA83" s="36"/>
      <c r="GB83" s="319"/>
      <c r="GC83" s="179">
        <f t="shared" si="14"/>
        <v>0.97130000000000005</v>
      </c>
      <c r="GD83" s="179">
        <f t="shared" si="15"/>
        <v>0.1079</v>
      </c>
      <c r="GE83" s="179">
        <f t="shared" si="16"/>
        <v>0</v>
      </c>
      <c r="GF83" s="179">
        <f t="shared" si="17"/>
        <v>0</v>
      </c>
      <c r="GG83" s="179">
        <f t="shared" ref="GG83:GG145" si="21">$I83</f>
        <v>8.9166509900990079</v>
      </c>
    </row>
    <row r="84" spans="1:189" x14ac:dyDescent="0.35">
      <c r="A84" s="6" t="s">
        <v>865</v>
      </c>
      <c r="B84" s="6" t="str">
        <f>IF(Technologies!B84&lt;&gt;0,Technologies!B84,"")</f>
        <v>Industrie</v>
      </c>
      <c r="C84" s="6" t="str">
        <f>VLOOKUP($A84,Technologies!$A$7:$H$576,3,FALSE)</f>
        <v>Final</v>
      </c>
      <c r="D84" s="6" t="str">
        <f>VLOOKUP($A84,Technologies!$A$7:$H$576,4,FALSE)</f>
        <v>Industry</v>
      </c>
      <c r="E84" s="6" t="str">
        <f>VLOOKUP($A84,Technologies!$A$7:$H$576,6,FALSE)</f>
        <v>Polyethylene terephthalate (PET)</v>
      </c>
      <c r="F84" s="48" t="str">
        <f>VLOOKUP($A84,Technologies!$A$7:$H$576,7,FALSE)</f>
        <v>Polymerization to PET (BHET)</v>
      </c>
      <c r="G84" s="23"/>
      <c r="H84" s="22"/>
      <c r="I84" s="103" cm="1">
        <f t="array" ref="I84">-SUMPRODUCT((Feedstocks!$C$4:$C$141=A84)*Feedstocks!$E$4:$E$141,Feedstocks!$F$4:$F$141,Feedstocks!$H$4:$H$141,Feedstocks!$I$4:$I$141)</f>
        <v>0</v>
      </c>
      <c r="J84" s="103" cm="1">
        <f t="array" ref="J84">-SUMPRODUCT((Feedstocks!$C$4:$C$141=A84)*Feedstocks!$E$4:$E$141,Feedstocks!$H$4:$H$141,Feedstocks!$I$4:$I$141)</f>
        <v>0</v>
      </c>
      <c r="K84" s="103"/>
      <c r="L84" s="103"/>
      <c r="M84" s="22">
        <v>1</v>
      </c>
      <c r="N84" s="22" t="str">
        <f>VLOOKUP(E84,Activities!$A$9:$M$227,13,FALSE)</f>
        <v>NL</v>
      </c>
      <c r="O84" s="22"/>
      <c r="P84" s="79" t="s">
        <v>1814</v>
      </c>
      <c r="Q84" s="36"/>
      <c r="R84" s="36"/>
      <c r="S84" s="36"/>
      <c r="T84" s="36"/>
      <c r="U84" s="36"/>
      <c r="V84" s="36"/>
      <c r="W84" s="36"/>
      <c r="X84" s="36"/>
      <c r="Y84" s="36"/>
      <c r="Z84" s="36"/>
      <c r="AA84" s="36"/>
      <c r="AB84" s="36"/>
      <c r="AC84" s="36"/>
      <c r="AD84" s="36"/>
      <c r="AE84" s="36"/>
      <c r="AF84" s="202"/>
      <c r="AG84" s="35"/>
      <c r="AH84" s="36"/>
      <c r="AI84" s="36"/>
      <c r="AJ84" s="36"/>
      <c r="AK84" s="36"/>
      <c r="AL84" s="36"/>
      <c r="AM84" s="36"/>
      <c r="AN84" s="36"/>
      <c r="AO84" s="36"/>
      <c r="AP84" s="36"/>
      <c r="AQ84" s="36"/>
      <c r="AR84" s="36"/>
      <c r="AS84" s="36"/>
      <c r="AT84" s="36"/>
      <c r="AU84" s="36"/>
      <c r="AV84" s="36"/>
      <c r="AW84" s="36"/>
      <c r="AX84" s="36"/>
      <c r="AY84" s="36"/>
      <c r="AZ84" s="36"/>
      <c r="BA84" s="36"/>
      <c r="BB84" s="36"/>
      <c r="BC84" s="36"/>
      <c r="BD84" s="36"/>
      <c r="BE84" s="36"/>
      <c r="BF84" s="36"/>
      <c r="BG84" s="36"/>
      <c r="BH84" s="36"/>
      <c r="BI84" s="36"/>
      <c r="BJ84" s="36"/>
      <c r="BK84" s="36"/>
      <c r="BL84" s="36"/>
      <c r="BM84" s="36"/>
      <c r="BN84" s="36"/>
      <c r="BO84" s="36"/>
      <c r="BP84" s="36"/>
      <c r="BQ84" s="36"/>
      <c r="BR84" s="36"/>
      <c r="BS84" s="36"/>
      <c r="BT84" s="36"/>
      <c r="BU84" s="36"/>
      <c r="BV84" s="36"/>
      <c r="BW84" s="36"/>
      <c r="BX84" s="36"/>
      <c r="BY84" s="36"/>
      <c r="BZ84" s="36"/>
      <c r="CA84" s="36"/>
      <c r="CB84" s="36"/>
      <c r="CC84" s="36"/>
      <c r="CD84" s="36"/>
      <c r="CE84" s="36"/>
      <c r="CF84" s="36"/>
      <c r="CG84" s="36"/>
      <c r="CH84" s="36"/>
      <c r="CI84" s="36"/>
      <c r="CJ84" s="36"/>
      <c r="CK84" s="36"/>
      <c r="CL84" s="36"/>
      <c r="CM84" s="36"/>
      <c r="CN84" s="36"/>
      <c r="CO84" s="36"/>
      <c r="CP84" s="36"/>
      <c r="CQ84" s="36"/>
      <c r="CR84" s="36"/>
      <c r="CS84" s="35"/>
      <c r="CT84" s="35"/>
      <c r="CU84" s="35"/>
      <c r="CV84" s="35"/>
      <c r="CW84" s="35">
        <v>1</v>
      </c>
      <c r="CX84" s="35"/>
      <c r="CY84" s="35">
        <v>-0.9</v>
      </c>
      <c r="CZ84" s="35"/>
      <c r="DA84" s="35"/>
      <c r="DB84" s="35"/>
      <c r="DC84" s="36"/>
      <c r="DD84" s="36"/>
      <c r="DE84" s="36"/>
      <c r="DF84" s="36"/>
      <c r="DG84" s="36"/>
      <c r="DH84" s="35">
        <v>-0.72</v>
      </c>
      <c r="DI84" s="35"/>
      <c r="DJ84" s="35"/>
      <c r="DK84" s="35"/>
      <c r="DL84" s="35"/>
      <c r="DM84" s="35"/>
      <c r="DN84" s="35"/>
      <c r="DO84" s="35">
        <v>-0.43</v>
      </c>
      <c r="DP84" s="36"/>
      <c r="DQ84" s="35">
        <v>-2.2000000000000002</v>
      </c>
      <c r="DR84" s="36"/>
      <c r="DS84" s="203"/>
      <c r="DT84" s="36"/>
      <c r="DU84" s="203"/>
      <c r="DV84" s="203"/>
      <c r="DW84" s="36"/>
      <c r="DX84" s="203"/>
      <c r="DY84" s="36"/>
      <c r="DZ84" s="36"/>
      <c r="EA84" s="36"/>
      <c r="EB84" s="36"/>
      <c r="EC84" s="36"/>
      <c r="ED84" s="36"/>
      <c r="EE84" s="36"/>
      <c r="EF84" s="36"/>
      <c r="EG84" s="36"/>
      <c r="EH84" s="36"/>
      <c r="EI84" s="35"/>
      <c r="EJ84" s="35"/>
      <c r="EK84" s="36"/>
      <c r="EL84" s="36"/>
      <c r="EM84" s="203"/>
      <c r="EN84" s="36"/>
      <c r="EO84" s="35"/>
      <c r="EP84" s="203"/>
      <c r="EQ84" s="36"/>
      <c r="ER84" s="36"/>
      <c r="ES84" s="36"/>
      <c r="ET84" s="203"/>
      <c r="EU84" s="36"/>
      <c r="EV84" s="36"/>
      <c r="EW84" s="36"/>
      <c r="EX84" s="36"/>
      <c r="EY84" s="36"/>
      <c r="EZ84" s="36"/>
      <c r="FA84" s="36"/>
      <c r="FB84" s="36"/>
      <c r="FC84" s="36"/>
      <c r="FD84" s="36"/>
      <c r="FE84" s="36"/>
      <c r="FF84" s="36"/>
      <c r="FG84" s="36"/>
      <c r="FH84" s="36"/>
      <c r="FI84" s="36"/>
      <c r="FJ84" s="36"/>
      <c r="FK84" s="36"/>
      <c r="FL84" s="36"/>
      <c r="FM84" s="36"/>
      <c r="FN84" s="36"/>
      <c r="FO84" s="36"/>
      <c r="FP84" s="36"/>
      <c r="FQ84" s="36"/>
      <c r="FR84" s="36"/>
      <c r="FS84" s="36"/>
      <c r="FT84" s="36"/>
      <c r="FU84" s="36"/>
      <c r="FV84" s="36"/>
      <c r="FW84" s="36"/>
      <c r="FX84" s="36"/>
      <c r="FY84" s="36"/>
      <c r="FZ84" s="36"/>
      <c r="GA84" s="36"/>
      <c r="GB84" s="319"/>
      <c r="GC84" s="179">
        <f t="shared" si="14"/>
        <v>0</v>
      </c>
      <c r="GD84" s="179">
        <f t="shared" si="15"/>
        <v>0</v>
      </c>
      <c r="GE84" s="179">
        <f t="shared" si="16"/>
        <v>0</v>
      </c>
      <c r="GF84" s="179">
        <f t="shared" si="17"/>
        <v>0</v>
      </c>
      <c r="GG84" s="179">
        <f t="shared" si="21"/>
        <v>0</v>
      </c>
    </row>
    <row r="85" spans="1:189" x14ac:dyDescent="0.35">
      <c r="A85" s="6" t="s">
        <v>867</v>
      </c>
      <c r="B85" s="6" t="str">
        <f>IF(Technologies!B85&lt;&gt;0,Technologies!B85,"")</f>
        <v>Industrie</v>
      </c>
      <c r="C85" s="6" t="str">
        <f>VLOOKUP($A85,Technologies!$A$7:$H$576,3,FALSE)</f>
        <v>Final</v>
      </c>
      <c r="D85" s="6" t="str">
        <f>VLOOKUP($A85,Technologies!$A$7:$H$576,4,FALSE)</f>
        <v>Industry</v>
      </c>
      <c r="E85" s="6" t="str">
        <f>VLOOKUP($A85,Technologies!$A$7:$H$576,6,FALSE)</f>
        <v>Polyester production - Chemical Industry</v>
      </c>
      <c r="F85" s="48" t="str">
        <f>VLOOKUP($A85,Technologies!$A$7:$H$576,7,FALSE)</f>
        <v>Dummy - conversion of PET to polyester</v>
      </c>
      <c r="G85" s="22"/>
      <c r="H85" s="22"/>
      <c r="I85" s="103" cm="1">
        <f t="array" ref="I85">-SUMPRODUCT((Feedstocks!$C$4:$C$141=A85)*Feedstocks!$E$4:$E$141,Feedstocks!$F$4:$F$141,Feedstocks!$H$4:$H$141,Feedstocks!$I$4:$I$141)</f>
        <v>0</v>
      </c>
      <c r="J85" s="103" cm="1">
        <f t="array" ref="J85">-SUMPRODUCT((Feedstocks!$C$4:$C$141=A85)*Feedstocks!$E$4:$E$141,Feedstocks!$H$4:$H$141,Feedstocks!$I$4:$I$141)</f>
        <v>0</v>
      </c>
      <c r="K85" s="103"/>
      <c r="L85" s="103"/>
      <c r="M85" s="22">
        <v>1</v>
      </c>
      <c r="N85" s="22" t="str">
        <f>VLOOKUP(E85,Activities!$A$9:$M$227,13,FALSE)</f>
        <v>NL</v>
      </c>
      <c r="O85" s="22"/>
      <c r="P85" s="80" t="s">
        <v>502</v>
      </c>
      <c r="Q85" s="36"/>
      <c r="R85" s="36"/>
      <c r="S85" s="36"/>
      <c r="T85" s="36"/>
      <c r="U85" s="36"/>
      <c r="V85" s="36"/>
      <c r="W85" s="36"/>
      <c r="X85" s="36"/>
      <c r="Y85" s="36"/>
      <c r="Z85" s="36"/>
      <c r="AA85" s="36"/>
      <c r="AB85" s="36"/>
      <c r="AC85" s="36"/>
      <c r="AD85" s="36"/>
      <c r="AE85" s="36"/>
      <c r="AF85" s="202"/>
      <c r="AG85" s="35"/>
      <c r="AH85" s="36"/>
      <c r="AI85" s="36"/>
      <c r="AJ85" s="36"/>
      <c r="AK85" s="36"/>
      <c r="AL85" s="36"/>
      <c r="AM85" s="36"/>
      <c r="AN85" s="36">
        <v>1</v>
      </c>
      <c r="AO85" s="36"/>
      <c r="AP85" s="36"/>
      <c r="AQ85" s="36"/>
      <c r="AR85" s="36"/>
      <c r="AS85" s="36"/>
      <c r="AT85" s="36"/>
      <c r="AU85" s="36"/>
      <c r="AV85" s="36"/>
      <c r="AW85" s="36"/>
      <c r="AX85" s="36"/>
      <c r="AY85" s="36"/>
      <c r="AZ85" s="36"/>
      <c r="BA85" s="36"/>
      <c r="BB85" s="36"/>
      <c r="BC85" s="36"/>
      <c r="BD85" s="36"/>
      <c r="BE85" s="36"/>
      <c r="BF85" s="36"/>
      <c r="BG85" s="36"/>
      <c r="BH85" s="36"/>
      <c r="BI85" s="36"/>
      <c r="BJ85" s="36"/>
      <c r="BK85" s="36"/>
      <c r="BL85" s="36"/>
      <c r="BM85" s="36"/>
      <c r="BN85" s="36"/>
      <c r="BO85" s="36"/>
      <c r="BP85" s="36"/>
      <c r="BQ85" s="36"/>
      <c r="BR85" s="36"/>
      <c r="BS85" s="36"/>
      <c r="BT85" s="36"/>
      <c r="BU85" s="36"/>
      <c r="BV85" s="36"/>
      <c r="BW85" s="36"/>
      <c r="BX85" s="36"/>
      <c r="BY85" s="36"/>
      <c r="BZ85" s="36"/>
      <c r="CA85" s="36"/>
      <c r="CB85" s="36"/>
      <c r="CC85" s="36"/>
      <c r="CD85" s="36"/>
      <c r="CE85" s="36"/>
      <c r="CF85" s="36"/>
      <c r="CG85" s="36"/>
      <c r="CH85" s="36"/>
      <c r="CI85" s="36"/>
      <c r="CJ85" s="36"/>
      <c r="CK85" s="36"/>
      <c r="CL85" s="36"/>
      <c r="CM85" s="36"/>
      <c r="CN85" s="36"/>
      <c r="CO85" s="36"/>
      <c r="CP85" s="36"/>
      <c r="CQ85" s="36"/>
      <c r="CR85" s="36"/>
      <c r="CS85" s="36"/>
      <c r="CT85" s="36"/>
      <c r="CU85" s="36"/>
      <c r="CV85" s="36"/>
      <c r="CW85" s="36">
        <v>-1</v>
      </c>
      <c r="CX85" s="36"/>
      <c r="CY85" s="36"/>
      <c r="CZ85" s="36"/>
      <c r="DA85" s="36"/>
      <c r="DB85" s="36"/>
      <c r="DC85" s="36"/>
      <c r="DD85" s="36"/>
      <c r="DE85" s="36"/>
      <c r="DF85" s="36"/>
      <c r="DG85" s="36"/>
      <c r="DH85" s="36"/>
      <c r="DI85" s="36"/>
      <c r="DJ85" s="36"/>
      <c r="DK85" s="36"/>
      <c r="DL85" s="36"/>
      <c r="DM85" s="36"/>
      <c r="DN85" s="36"/>
      <c r="DO85" s="36"/>
      <c r="DP85" s="36"/>
      <c r="DQ85" s="36"/>
      <c r="DR85" s="36"/>
      <c r="DS85" s="203"/>
      <c r="DT85" s="36"/>
      <c r="DU85" s="203"/>
      <c r="DV85" s="203"/>
      <c r="DW85" s="36"/>
      <c r="DX85" s="203"/>
      <c r="DY85" s="36"/>
      <c r="DZ85" s="36"/>
      <c r="EA85" s="36"/>
      <c r="EB85" s="36"/>
      <c r="EC85" s="36"/>
      <c r="ED85" s="36"/>
      <c r="EE85" s="36"/>
      <c r="EF85" s="36"/>
      <c r="EG85" s="36"/>
      <c r="EH85" s="36"/>
      <c r="EI85" s="36"/>
      <c r="EJ85" s="36"/>
      <c r="EK85" s="36"/>
      <c r="EL85" s="36"/>
      <c r="EM85" s="203"/>
      <c r="EN85" s="36"/>
      <c r="EO85" s="35"/>
      <c r="EP85" s="203"/>
      <c r="EQ85" s="36"/>
      <c r="ER85" s="36"/>
      <c r="ES85" s="36"/>
      <c r="ET85" s="203"/>
      <c r="EU85" s="36"/>
      <c r="EV85" s="36"/>
      <c r="EW85" s="36"/>
      <c r="EX85" s="36"/>
      <c r="EY85" s="36"/>
      <c r="EZ85" s="36"/>
      <c r="FA85" s="36"/>
      <c r="FB85" s="36"/>
      <c r="FC85" s="36"/>
      <c r="FD85" s="36"/>
      <c r="FE85" s="36"/>
      <c r="FF85" s="36"/>
      <c r="FG85" s="36"/>
      <c r="FH85" s="36"/>
      <c r="FI85" s="36"/>
      <c r="FJ85" s="36"/>
      <c r="FK85" s="36"/>
      <c r="FL85" s="36"/>
      <c r="FM85" s="36"/>
      <c r="FN85" s="36"/>
      <c r="FO85" s="36"/>
      <c r="FP85" s="36"/>
      <c r="FQ85" s="36"/>
      <c r="FR85" s="36"/>
      <c r="FS85" s="36"/>
      <c r="FT85" s="36"/>
      <c r="FU85" s="36"/>
      <c r="FV85" s="36"/>
      <c r="FW85" s="36"/>
      <c r="FX85" s="36"/>
      <c r="FY85" s="36"/>
      <c r="FZ85" s="36"/>
      <c r="GA85" s="36"/>
      <c r="GB85" s="319"/>
      <c r="GC85" s="179">
        <f t="shared" si="14"/>
        <v>0</v>
      </c>
      <c r="GD85" s="179">
        <f t="shared" si="15"/>
        <v>0</v>
      </c>
      <c r="GE85" s="179">
        <f t="shared" si="16"/>
        <v>0</v>
      </c>
      <c r="GF85" s="179">
        <f t="shared" si="17"/>
        <v>0</v>
      </c>
      <c r="GG85" s="179">
        <f t="shared" si="21"/>
        <v>0</v>
      </c>
    </row>
    <row r="86" spans="1:189" x14ac:dyDescent="0.35">
      <c r="A86" s="6" t="s">
        <v>870</v>
      </c>
      <c r="B86" s="6" t="str">
        <f>IF(Technologies!B86&lt;&gt;0,Technologies!B86,"")</f>
        <v>Industrie</v>
      </c>
      <c r="C86" s="6" t="str">
        <f>VLOOKUP($A86,Technologies!$A$7:$H$576,3,FALSE)</f>
        <v>Final</v>
      </c>
      <c r="D86" s="6" t="str">
        <f>VLOOKUP($A86,Technologies!$A$7:$H$576,4,FALSE)</f>
        <v>Industry</v>
      </c>
      <c r="E86" s="6" t="str">
        <f>VLOOKUP($A86,Technologies!$A$7:$H$576,6,FALSE)</f>
        <v>Polyester production - Chemical Industry</v>
      </c>
      <c r="F86" s="48" t="str">
        <f>VLOOKUP($A86,Technologies!$A$7:$H$576,7,FALSE)</f>
        <v>Dummy - conversion of bioplastics to polyester</v>
      </c>
      <c r="G86" s="23"/>
      <c r="H86" s="22"/>
      <c r="I86" s="103" cm="1">
        <f t="array" ref="I86">-SUMPRODUCT((Feedstocks!$C$4:$C$141=A86)*Feedstocks!$E$4:$E$141,Feedstocks!$F$4:$F$141,Feedstocks!$H$4:$H$141,Feedstocks!$I$4:$I$141)</f>
        <v>0</v>
      </c>
      <c r="J86" s="103" cm="1">
        <f t="array" ref="J86">-SUMPRODUCT((Feedstocks!$C$4:$C$141=A86)*Feedstocks!$E$4:$E$141,Feedstocks!$H$4:$H$141,Feedstocks!$I$4:$I$141)</f>
        <v>0</v>
      </c>
      <c r="K86" s="103"/>
      <c r="L86" s="103"/>
      <c r="M86" s="22">
        <v>1</v>
      </c>
      <c r="N86" s="22" t="str">
        <f>VLOOKUP(E86,Activities!$A$9:$M$227,13,FALSE)</f>
        <v>NL</v>
      </c>
      <c r="O86" s="22"/>
      <c r="P86" s="79" t="s">
        <v>502</v>
      </c>
      <c r="Q86" s="36"/>
      <c r="R86" s="36"/>
      <c r="S86" s="36"/>
      <c r="T86" s="36"/>
      <c r="U86" s="36"/>
      <c r="V86" s="36"/>
      <c r="W86" s="36"/>
      <c r="X86" s="36"/>
      <c r="Y86" s="36"/>
      <c r="Z86" s="36"/>
      <c r="AA86" s="36"/>
      <c r="AB86" s="36"/>
      <c r="AC86" s="36"/>
      <c r="AD86" s="36"/>
      <c r="AE86" s="36"/>
      <c r="AF86" s="202"/>
      <c r="AG86" s="35"/>
      <c r="AH86" s="36"/>
      <c r="AI86" s="36"/>
      <c r="AJ86" s="36"/>
      <c r="AK86" s="36"/>
      <c r="AL86" s="36"/>
      <c r="AM86" s="36"/>
      <c r="AN86" s="35">
        <v>1</v>
      </c>
      <c r="AO86" s="35"/>
      <c r="AP86" s="36"/>
      <c r="AQ86" s="36"/>
      <c r="AR86" s="36"/>
      <c r="AS86" s="36"/>
      <c r="AT86" s="36"/>
      <c r="AU86" s="36"/>
      <c r="AV86" s="36"/>
      <c r="AW86" s="36"/>
      <c r="AX86" s="36"/>
      <c r="AY86" s="36"/>
      <c r="AZ86" s="36"/>
      <c r="BA86" s="36"/>
      <c r="BB86" s="36"/>
      <c r="BC86" s="36"/>
      <c r="BD86" s="36"/>
      <c r="BE86" s="36"/>
      <c r="BF86" s="36"/>
      <c r="BG86" s="36"/>
      <c r="BH86" s="36"/>
      <c r="BI86" s="36"/>
      <c r="BJ86" s="36"/>
      <c r="BK86" s="36"/>
      <c r="BL86" s="36"/>
      <c r="BM86" s="36"/>
      <c r="BN86" s="36"/>
      <c r="BO86" s="36"/>
      <c r="BP86" s="36"/>
      <c r="BQ86" s="36"/>
      <c r="BR86" s="36"/>
      <c r="BS86" s="36"/>
      <c r="BT86" s="36"/>
      <c r="BU86" s="36"/>
      <c r="BV86" s="36"/>
      <c r="BW86" s="36"/>
      <c r="BX86" s="36"/>
      <c r="BY86" s="36"/>
      <c r="BZ86" s="36"/>
      <c r="CA86" s="36"/>
      <c r="CB86" s="36"/>
      <c r="CC86" s="36"/>
      <c r="CD86" s="36"/>
      <c r="CE86" s="36"/>
      <c r="CF86" s="36"/>
      <c r="CG86" s="36"/>
      <c r="CH86" s="36"/>
      <c r="CI86" s="36"/>
      <c r="CJ86" s="36"/>
      <c r="CK86" s="36"/>
      <c r="CL86" s="36"/>
      <c r="CM86" s="36"/>
      <c r="CN86" s="36"/>
      <c r="CO86" s="36"/>
      <c r="CP86" s="36"/>
      <c r="CQ86" s="36"/>
      <c r="CR86" s="36"/>
      <c r="CS86" s="35"/>
      <c r="CT86" s="35"/>
      <c r="CU86" s="35"/>
      <c r="CV86" s="35"/>
      <c r="CW86" s="35"/>
      <c r="CX86" s="35">
        <v>-1</v>
      </c>
      <c r="CY86" s="35"/>
      <c r="CZ86" s="35"/>
      <c r="DA86" s="35"/>
      <c r="DB86" s="35"/>
      <c r="DC86" s="36"/>
      <c r="DD86" s="36"/>
      <c r="DE86" s="36"/>
      <c r="DF86" s="36"/>
      <c r="DG86" s="36"/>
      <c r="DH86" s="35"/>
      <c r="DI86" s="35"/>
      <c r="DJ86" s="35"/>
      <c r="DK86" s="35"/>
      <c r="DL86" s="35"/>
      <c r="DM86" s="35"/>
      <c r="DN86" s="35"/>
      <c r="DO86" s="35"/>
      <c r="DP86" s="36"/>
      <c r="DQ86" s="36"/>
      <c r="DR86" s="36"/>
      <c r="DS86" s="203"/>
      <c r="DT86" s="36"/>
      <c r="DU86" s="203"/>
      <c r="DV86" s="203"/>
      <c r="DW86" s="36"/>
      <c r="DX86" s="203"/>
      <c r="DY86" s="36"/>
      <c r="DZ86" s="36"/>
      <c r="EA86" s="36"/>
      <c r="EB86" s="36"/>
      <c r="EC86" s="36"/>
      <c r="ED86" s="36"/>
      <c r="EE86" s="36"/>
      <c r="EF86" s="36"/>
      <c r="EG86" s="36"/>
      <c r="EH86" s="36"/>
      <c r="EI86" s="35"/>
      <c r="EJ86" s="35"/>
      <c r="EK86" s="36"/>
      <c r="EL86" s="36"/>
      <c r="EM86" s="203"/>
      <c r="EN86" s="36"/>
      <c r="EO86" s="35"/>
      <c r="EP86" s="203"/>
      <c r="EQ86" s="36"/>
      <c r="ER86" s="36"/>
      <c r="ES86" s="36"/>
      <c r="ET86" s="203"/>
      <c r="EU86" s="36"/>
      <c r="EV86" s="36"/>
      <c r="EW86" s="36"/>
      <c r="EX86" s="36"/>
      <c r="EY86" s="36"/>
      <c r="EZ86" s="36"/>
      <c r="FA86" s="36"/>
      <c r="FB86" s="36"/>
      <c r="FC86" s="36"/>
      <c r="FD86" s="36"/>
      <c r="FE86" s="36"/>
      <c r="FF86" s="36"/>
      <c r="FG86" s="36"/>
      <c r="FH86" s="36"/>
      <c r="FI86" s="36"/>
      <c r="FJ86" s="36"/>
      <c r="FK86" s="36"/>
      <c r="FL86" s="36"/>
      <c r="FM86" s="36"/>
      <c r="FN86" s="36"/>
      <c r="FO86" s="36"/>
      <c r="FP86" s="36"/>
      <c r="FQ86" s="36"/>
      <c r="FR86" s="36"/>
      <c r="FS86" s="36"/>
      <c r="FT86" s="36"/>
      <c r="FU86" s="36"/>
      <c r="FV86" s="36"/>
      <c r="FW86" s="36"/>
      <c r="FX86" s="36"/>
      <c r="FY86" s="36"/>
      <c r="FZ86" s="36"/>
      <c r="GA86" s="36"/>
      <c r="GB86" s="319"/>
      <c r="GC86" s="179">
        <f t="shared" si="14"/>
        <v>0</v>
      </c>
      <c r="GD86" s="179">
        <f t="shared" si="15"/>
        <v>0</v>
      </c>
      <c r="GE86" s="179">
        <f t="shared" si="16"/>
        <v>0</v>
      </c>
      <c r="GF86" s="179">
        <f t="shared" si="17"/>
        <v>0</v>
      </c>
      <c r="GG86" s="179">
        <f t="shared" si="21"/>
        <v>0</v>
      </c>
    </row>
    <row r="87" spans="1:189" x14ac:dyDescent="0.35">
      <c r="A87" s="6" t="s">
        <v>872</v>
      </c>
      <c r="B87" s="6" t="str">
        <f>IF(Technologies!B87&lt;&gt;0,Technologies!B87,"")</f>
        <v>Industrie</v>
      </c>
      <c r="C87" s="6" t="str">
        <f>VLOOKUP($A87,Technologies!$A$7:$H$576,3,FALSE)</f>
        <v>Conversion</v>
      </c>
      <c r="D87" s="6" t="str">
        <f>VLOOKUP($A87,Technologies!$A$7:$H$576,4,FALSE)</f>
        <v>Industry</v>
      </c>
      <c r="E87" s="6" t="str">
        <f>VLOOKUP($A87,Technologies!$A$7:$H$576,6,FALSE)</f>
        <v>Ethylene oxide intermediate</v>
      </c>
      <c r="F87" s="48" t="str">
        <f>VLOOKUP($A87,Technologies!$A$7:$H$576,7,FALSE)</f>
        <v>Ethylene oxide production</v>
      </c>
      <c r="G87" s="22"/>
      <c r="H87" s="22"/>
      <c r="I87" s="103" cm="1">
        <f t="array" ref="I87">-SUMPRODUCT((Feedstocks!$C$4:$C$141=A87)*Feedstocks!$E$4:$E$141,Feedstocks!$F$4:$F$141,Feedstocks!$H$4:$H$141,Feedstocks!$I$4:$I$141)</f>
        <v>0</v>
      </c>
      <c r="J87" s="103" cm="1">
        <f t="array" ref="J87">-SUMPRODUCT((Feedstocks!$C$4:$C$141=A87)*Feedstocks!$E$4:$E$141,Feedstocks!$H$4:$H$141,Feedstocks!$I$4:$I$141)</f>
        <v>0</v>
      </c>
      <c r="K87" s="103">
        <f>75/305</f>
        <v>0.24590163934426229</v>
      </c>
      <c r="L87" s="103"/>
      <c r="M87" s="22">
        <v>1</v>
      </c>
      <c r="N87" s="22" t="str">
        <f>VLOOKUP(E87,Activities!$A$9:$M$227,13,FALSE)</f>
        <v>NL</v>
      </c>
      <c r="O87" s="22"/>
      <c r="P87" s="80" t="s">
        <v>1812</v>
      </c>
      <c r="Q87" s="36"/>
      <c r="R87" s="36"/>
      <c r="S87" s="36"/>
      <c r="T87" s="36"/>
      <c r="U87" s="36"/>
      <c r="V87" s="36"/>
      <c r="W87" s="36"/>
      <c r="X87" s="36"/>
      <c r="Y87" s="36"/>
      <c r="Z87" s="36"/>
      <c r="AA87" s="36"/>
      <c r="AB87" s="36"/>
      <c r="AC87" s="36"/>
      <c r="AD87" s="36"/>
      <c r="AE87" s="36"/>
      <c r="AF87" s="202"/>
      <c r="AG87" s="35"/>
      <c r="AH87" s="36"/>
      <c r="AI87" s="36"/>
      <c r="AJ87" s="36"/>
      <c r="AK87" s="36"/>
      <c r="AL87" s="36"/>
      <c r="AM87" s="36"/>
      <c r="AN87" s="36"/>
      <c r="AO87" s="36"/>
      <c r="AP87" s="36"/>
      <c r="AQ87" s="36"/>
      <c r="AR87" s="36"/>
      <c r="AS87" s="36"/>
      <c r="AT87" s="36"/>
      <c r="AU87" s="36"/>
      <c r="AV87" s="36"/>
      <c r="AW87" s="36"/>
      <c r="AX87" s="36"/>
      <c r="AY87" s="36"/>
      <c r="AZ87" s="36"/>
      <c r="BA87" s="36"/>
      <c r="BB87" s="36"/>
      <c r="BC87" s="36"/>
      <c r="BD87" s="36"/>
      <c r="BE87" s="36"/>
      <c r="BF87" s="36"/>
      <c r="BG87" s="36"/>
      <c r="BH87" s="36"/>
      <c r="BI87" s="36"/>
      <c r="BJ87" s="36"/>
      <c r="BK87" s="36"/>
      <c r="BL87" s="36"/>
      <c r="BM87" s="36"/>
      <c r="BN87" s="36"/>
      <c r="BO87" s="36"/>
      <c r="BP87" s="36"/>
      <c r="BQ87" s="36"/>
      <c r="BR87" s="36"/>
      <c r="BS87" s="36"/>
      <c r="BT87" s="36"/>
      <c r="BU87" s="36"/>
      <c r="BV87" s="36"/>
      <c r="BW87" s="36"/>
      <c r="BX87" s="36"/>
      <c r="BY87" s="36"/>
      <c r="BZ87" s="36"/>
      <c r="CA87" s="36"/>
      <c r="CB87" s="36"/>
      <c r="CC87" s="36"/>
      <c r="CD87" s="36"/>
      <c r="CE87" s="36"/>
      <c r="CF87" s="36"/>
      <c r="CG87" s="36"/>
      <c r="CH87" s="36"/>
      <c r="CI87" s="36"/>
      <c r="CJ87" s="36"/>
      <c r="CK87" s="36"/>
      <c r="CL87" s="36"/>
      <c r="CM87" s="36"/>
      <c r="CN87" s="36"/>
      <c r="CO87" s="36"/>
      <c r="CP87" s="36"/>
      <c r="CQ87" s="36"/>
      <c r="CR87" s="36"/>
      <c r="CS87" s="36">
        <f>-218/305</f>
        <v>-0.71475409836065573</v>
      </c>
      <c r="CT87" s="36"/>
      <c r="CU87" s="36"/>
      <c r="CV87" s="36"/>
      <c r="CW87" s="36"/>
      <c r="CX87" s="36"/>
      <c r="CY87" s="36"/>
      <c r="CZ87" s="36">
        <v>1</v>
      </c>
      <c r="DA87" s="36"/>
      <c r="DB87" s="36"/>
      <c r="DC87" s="36"/>
      <c r="DD87" s="36"/>
      <c r="DE87" s="36"/>
      <c r="DF87" s="36"/>
      <c r="DG87" s="36"/>
      <c r="DH87" s="36">
        <f>-0.31/0.305</f>
        <v>-1.0163934426229508</v>
      </c>
      <c r="DI87" s="36"/>
      <c r="DJ87" s="36"/>
      <c r="DK87" s="36"/>
      <c r="DL87" s="36"/>
      <c r="DM87" s="36"/>
      <c r="DN87" s="36"/>
      <c r="DO87" s="36">
        <f>1.5/0.305</f>
        <v>4.918032786885246</v>
      </c>
      <c r="DP87" s="36"/>
      <c r="DQ87" s="36"/>
      <c r="DR87" s="36"/>
      <c r="DS87" s="203"/>
      <c r="DT87" s="36"/>
      <c r="DU87" s="203"/>
      <c r="DV87" s="203"/>
      <c r="DW87" s="36"/>
      <c r="DX87" s="203"/>
      <c r="DY87" s="36"/>
      <c r="DZ87" s="36"/>
      <c r="EA87" s="36"/>
      <c r="EB87" s="36"/>
      <c r="EC87" s="36"/>
      <c r="ED87" s="36"/>
      <c r="EE87" s="36"/>
      <c r="EF87" s="36"/>
      <c r="EG87" s="36"/>
      <c r="EH87" s="36"/>
      <c r="EI87" s="36"/>
      <c r="EJ87" s="36"/>
      <c r="EK87" s="36"/>
      <c r="EL87" s="36"/>
      <c r="EM87" s="203"/>
      <c r="EN87" s="36"/>
      <c r="EO87" s="35"/>
      <c r="EP87" s="203"/>
      <c r="EQ87" s="36"/>
      <c r="ER87" s="36"/>
      <c r="ES87" s="36"/>
      <c r="ET87" s="203"/>
      <c r="EU87" s="36"/>
      <c r="EV87" s="36"/>
      <c r="EW87" s="36"/>
      <c r="EX87" s="36"/>
      <c r="EY87" s="36"/>
      <c r="EZ87" s="36"/>
      <c r="FA87" s="36"/>
      <c r="FB87" s="36"/>
      <c r="FC87" s="36"/>
      <c r="FD87" s="36"/>
      <c r="FE87" s="36"/>
      <c r="FF87" s="36"/>
      <c r="FG87" s="36"/>
      <c r="FH87" s="36"/>
      <c r="FI87" s="36"/>
      <c r="FJ87" s="36"/>
      <c r="FK87" s="36"/>
      <c r="FL87" s="36"/>
      <c r="FM87" s="36"/>
      <c r="FN87" s="36"/>
      <c r="FO87" s="36"/>
      <c r="FP87" s="36"/>
      <c r="FQ87" s="36"/>
      <c r="FR87" s="36"/>
      <c r="FS87" s="36"/>
      <c r="FT87" s="36"/>
      <c r="FU87" s="36"/>
      <c r="FV87" s="36"/>
      <c r="FW87" s="36"/>
      <c r="FX87" s="36"/>
      <c r="FY87" s="36"/>
      <c r="FZ87" s="36"/>
      <c r="GA87" s="36"/>
      <c r="GB87" s="319"/>
      <c r="GC87" s="179">
        <f t="shared" si="14"/>
        <v>0</v>
      </c>
      <c r="GD87" s="179">
        <f t="shared" si="15"/>
        <v>0.24590000000000001</v>
      </c>
      <c r="GE87" s="179">
        <f t="shared" si="16"/>
        <v>0</v>
      </c>
      <c r="GF87" s="179">
        <f t="shared" si="17"/>
        <v>0</v>
      </c>
      <c r="GG87" s="179">
        <f t="shared" si="21"/>
        <v>0</v>
      </c>
    </row>
    <row r="88" spans="1:189" x14ac:dyDescent="0.35">
      <c r="A88" s="6" t="s">
        <v>875</v>
      </c>
      <c r="B88" s="6" t="str">
        <f>IF(Technologies!B88&lt;&gt;0,Technologies!B88,"")</f>
        <v>Industrie</v>
      </c>
      <c r="C88" s="6" t="str">
        <f>VLOOKUP($A88,Technologies!$A$7:$H$576,3,FALSE)</f>
        <v>Conversion</v>
      </c>
      <c r="D88" s="6" t="str">
        <f>VLOOKUP($A88,Technologies!$A$7:$H$576,4,FALSE)</f>
        <v>Industry</v>
      </c>
      <c r="E88" s="6" t="str">
        <f>VLOOKUP($A88,Technologies!$A$7:$H$576,6,FALSE)</f>
        <v>Ethylene glycol</v>
      </c>
      <c r="F88" s="48" t="str">
        <f>VLOOKUP($A88,Technologies!$A$7:$H$576,7,FALSE)</f>
        <v>Ethylene glycol production</v>
      </c>
      <c r="G88" s="23"/>
      <c r="H88" s="22"/>
      <c r="I88" s="103" cm="1">
        <f t="array" ref="I88">-SUMPRODUCT((Feedstocks!$C$4:$C$141=A88)*Feedstocks!$E$4:$E$141,Feedstocks!$F$4:$F$141,Feedstocks!$H$4:$H$141,Feedstocks!$I$4:$I$141)</f>
        <v>0</v>
      </c>
      <c r="J88" s="103" cm="1">
        <f t="array" ref="J88">-SUMPRODUCT((Feedstocks!$C$4:$C$141=A88)*Feedstocks!$E$4:$E$141,Feedstocks!$H$4:$H$141,Feedstocks!$I$4:$I$141)</f>
        <v>0</v>
      </c>
      <c r="K88" s="103"/>
      <c r="L88" s="103"/>
      <c r="M88" s="22">
        <v>1</v>
      </c>
      <c r="N88" s="22" t="str">
        <f>VLOOKUP(E88,Activities!$A$9:$M$227,13,FALSE)</f>
        <v>NL</v>
      </c>
      <c r="O88" s="22"/>
      <c r="P88" s="79" t="s">
        <v>1812</v>
      </c>
      <c r="Q88" s="36"/>
      <c r="R88" s="36"/>
      <c r="S88" s="36"/>
      <c r="T88" s="36"/>
      <c r="U88" s="36"/>
      <c r="V88" s="36"/>
      <c r="W88" s="36"/>
      <c r="X88" s="36"/>
      <c r="Y88" s="36"/>
      <c r="Z88" s="36"/>
      <c r="AA88" s="36"/>
      <c r="AB88" s="36"/>
      <c r="AC88" s="36"/>
      <c r="AD88" s="36"/>
      <c r="AE88" s="36"/>
      <c r="AF88" s="202"/>
      <c r="AG88" s="35"/>
      <c r="AH88" s="36"/>
      <c r="AI88" s="36"/>
      <c r="AJ88" s="36"/>
      <c r="AK88" s="36"/>
      <c r="AL88" s="36"/>
      <c r="AM88" s="36"/>
      <c r="AN88" s="35"/>
      <c r="AO88" s="35"/>
      <c r="AP88" s="36"/>
      <c r="AQ88" s="36"/>
      <c r="AR88" s="36"/>
      <c r="AS88" s="36"/>
      <c r="AT88" s="36"/>
      <c r="AU88" s="36"/>
      <c r="AV88" s="36"/>
      <c r="AW88" s="36"/>
      <c r="AX88" s="36"/>
      <c r="AY88" s="36"/>
      <c r="AZ88" s="36"/>
      <c r="BA88" s="36"/>
      <c r="BB88" s="36"/>
      <c r="BC88" s="36"/>
      <c r="BD88" s="36"/>
      <c r="BE88" s="36"/>
      <c r="BF88" s="36"/>
      <c r="BG88" s="36"/>
      <c r="BH88" s="36"/>
      <c r="BI88" s="36"/>
      <c r="BJ88" s="36"/>
      <c r="BK88" s="36"/>
      <c r="BL88" s="36"/>
      <c r="BM88" s="36"/>
      <c r="BN88" s="36"/>
      <c r="BO88" s="36"/>
      <c r="BP88" s="36"/>
      <c r="BQ88" s="36"/>
      <c r="BR88" s="36"/>
      <c r="BS88" s="36"/>
      <c r="BT88" s="36"/>
      <c r="BU88" s="36"/>
      <c r="BV88" s="36"/>
      <c r="BW88" s="36"/>
      <c r="BX88" s="36"/>
      <c r="BY88" s="36"/>
      <c r="BZ88" s="36"/>
      <c r="CA88" s="36"/>
      <c r="CB88" s="36"/>
      <c r="CC88" s="36"/>
      <c r="CD88" s="36"/>
      <c r="CE88" s="36"/>
      <c r="CF88" s="36"/>
      <c r="CG88" s="36"/>
      <c r="CH88" s="36"/>
      <c r="CI88" s="36"/>
      <c r="CJ88" s="36"/>
      <c r="CK88" s="36"/>
      <c r="CL88" s="36"/>
      <c r="CM88" s="36"/>
      <c r="CN88" s="36"/>
      <c r="CO88" s="36"/>
      <c r="CP88" s="36"/>
      <c r="CQ88" s="36"/>
      <c r="CR88" s="36"/>
      <c r="CS88" s="35"/>
      <c r="CT88" s="35"/>
      <c r="CU88" s="35"/>
      <c r="CV88" s="35"/>
      <c r="CW88" s="35"/>
      <c r="CX88" s="35"/>
      <c r="CY88" s="35"/>
      <c r="CZ88" s="35">
        <f>-0.789</f>
        <v>-0.78900000000000003</v>
      </c>
      <c r="DA88" s="35">
        <v>1</v>
      </c>
      <c r="DB88" s="35"/>
      <c r="DC88" s="36"/>
      <c r="DD88" s="36"/>
      <c r="DE88" s="36"/>
      <c r="DF88" s="36"/>
      <c r="DG88" s="36"/>
      <c r="DH88" s="35">
        <f>-0.04/0.155</f>
        <v>-0.25806451612903225</v>
      </c>
      <c r="DI88" s="35"/>
      <c r="DJ88" s="35"/>
      <c r="DK88" s="35"/>
      <c r="DL88" s="35"/>
      <c r="DM88" s="35"/>
      <c r="DN88" s="35"/>
      <c r="DO88" s="35">
        <f>-0.7/0.155</f>
        <v>-4.5161290322580641</v>
      </c>
      <c r="DP88" s="36"/>
      <c r="DQ88" s="36"/>
      <c r="DR88" s="36"/>
      <c r="DS88" s="203"/>
      <c r="DT88" s="36"/>
      <c r="DU88" s="203"/>
      <c r="DV88" s="203"/>
      <c r="DW88" s="36"/>
      <c r="DX88" s="203"/>
      <c r="DY88" s="36"/>
      <c r="DZ88" s="36"/>
      <c r="EA88" s="36"/>
      <c r="EB88" s="36"/>
      <c r="EC88" s="36"/>
      <c r="ED88" s="36"/>
      <c r="EE88" s="36"/>
      <c r="EF88" s="36"/>
      <c r="EG88" s="36"/>
      <c r="EH88" s="36"/>
      <c r="EI88" s="35"/>
      <c r="EJ88" s="35">
        <f>-0.1/0.155</f>
        <v>-0.64516129032258074</v>
      </c>
      <c r="EK88" s="36"/>
      <c r="EL88" s="36"/>
      <c r="EM88" s="203"/>
      <c r="EN88" s="36"/>
      <c r="EO88" s="35"/>
      <c r="EP88" s="203"/>
      <c r="EQ88" s="36"/>
      <c r="ER88" s="36"/>
      <c r="ES88" s="36"/>
      <c r="ET88" s="203"/>
      <c r="EU88" s="36"/>
      <c r="EV88" s="36"/>
      <c r="EW88" s="36"/>
      <c r="EX88" s="36"/>
      <c r="EY88" s="36"/>
      <c r="EZ88" s="36"/>
      <c r="FA88" s="36"/>
      <c r="FB88" s="36"/>
      <c r="FC88" s="36"/>
      <c r="FD88" s="36"/>
      <c r="FE88" s="36"/>
      <c r="FF88" s="36"/>
      <c r="FG88" s="36"/>
      <c r="FH88" s="36"/>
      <c r="FI88" s="36"/>
      <c r="FJ88" s="36"/>
      <c r="FK88" s="36"/>
      <c r="FL88" s="36"/>
      <c r="FM88" s="36"/>
      <c r="FN88" s="36"/>
      <c r="FO88" s="36"/>
      <c r="FP88" s="36"/>
      <c r="FQ88" s="36"/>
      <c r="FR88" s="36"/>
      <c r="FS88" s="36"/>
      <c r="FT88" s="36"/>
      <c r="FU88" s="36"/>
      <c r="FV88" s="36"/>
      <c r="FW88" s="36"/>
      <c r="FX88" s="36"/>
      <c r="FY88" s="36"/>
      <c r="FZ88" s="36"/>
      <c r="GA88" s="36"/>
      <c r="GB88" s="319"/>
      <c r="GC88" s="179">
        <f t="shared" si="14"/>
        <v>0</v>
      </c>
      <c r="GD88" s="179">
        <f t="shared" si="15"/>
        <v>3.6499999999999998E-2</v>
      </c>
      <c r="GE88" s="179">
        <f t="shared" si="16"/>
        <v>0</v>
      </c>
      <c r="GF88" s="179">
        <f t="shared" si="17"/>
        <v>0</v>
      </c>
      <c r="GG88" s="179">
        <f t="shared" si="21"/>
        <v>0</v>
      </c>
    </row>
    <row r="89" spans="1:189" x14ac:dyDescent="0.35">
      <c r="A89" s="6" t="s">
        <v>878</v>
      </c>
      <c r="B89" s="6" t="str">
        <f>IF(Technologies!B89&lt;&gt;0,Technologies!B89,"")</f>
        <v>Industrie</v>
      </c>
      <c r="C89" s="6" t="str">
        <f>VLOOKUP($A89,Technologies!$A$7:$H$576,3,FALSE)</f>
        <v>Final</v>
      </c>
      <c r="D89" s="6" t="str">
        <f>VLOOKUP($A89,Technologies!$A$7:$H$576,4,FALSE)</f>
        <v>Industry</v>
      </c>
      <c r="E89" s="6" t="str">
        <f>VLOOKUP($A89,Technologies!$A$7:$H$576,6,FALSE)</f>
        <v>Ethylene oxide production - Chemical Industry</v>
      </c>
      <c r="F89" s="48" t="str">
        <f>VLOOKUP($A89,Technologies!$A$7:$H$576,7,FALSE)</f>
        <v>Dummy - conversion EO to final</v>
      </c>
      <c r="G89" s="22"/>
      <c r="H89" s="22"/>
      <c r="I89" s="103" cm="1">
        <f t="array" ref="I89">-SUMPRODUCT((Feedstocks!$C$4:$C$141=A89)*Feedstocks!$E$4:$E$141,Feedstocks!$F$4:$F$141,Feedstocks!$H$4:$H$141,Feedstocks!$I$4:$I$141)</f>
        <v>0</v>
      </c>
      <c r="J89" s="103" cm="1">
        <f t="array" ref="J89">-SUMPRODUCT((Feedstocks!$C$4:$C$141=A89)*Feedstocks!$E$4:$E$141,Feedstocks!$H$4:$H$141,Feedstocks!$I$4:$I$141)</f>
        <v>0</v>
      </c>
      <c r="K89" s="103"/>
      <c r="L89" s="103"/>
      <c r="M89" s="22">
        <v>1</v>
      </c>
      <c r="N89" s="22" t="str">
        <f>VLOOKUP(E89,Activities!$A$9:$M$227,13,FALSE)</f>
        <v>NL</v>
      </c>
      <c r="O89" s="22"/>
      <c r="P89" s="80" t="s">
        <v>502</v>
      </c>
      <c r="Q89" s="36"/>
      <c r="R89" s="36"/>
      <c r="S89" s="36"/>
      <c r="T89" s="36"/>
      <c r="U89" s="36"/>
      <c r="V89" s="36"/>
      <c r="W89" s="36"/>
      <c r="X89" s="36"/>
      <c r="Y89" s="36"/>
      <c r="Z89" s="36"/>
      <c r="AA89" s="36"/>
      <c r="AB89" s="36"/>
      <c r="AC89" s="36"/>
      <c r="AD89" s="36"/>
      <c r="AE89" s="36"/>
      <c r="AF89" s="202"/>
      <c r="AG89" s="35"/>
      <c r="AH89" s="36"/>
      <c r="AI89" s="36"/>
      <c r="AJ89" s="36"/>
      <c r="AK89" s="36"/>
      <c r="AL89" s="36"/>
      <c r="AM89" s="36"/>
      <c r="AN89" s="36"/>
      <c r="AO89" s="36">
        <v>1</v>
      </c>
      <c r="AP89" s="36"/>
      <c r="AQ89" s="36"/>
      <c r="AR89" s="36"/>
      <c r="AS89" s="36"/>
      <c r="AT89" s="36"/>
      <c r="AU89" s="36"/>
      <c r="AV89" s="36"/>
      <c r="AW89" s="36"/>
      <c r="AX89" s="36"/>
      <c r="AY89" s="36"/>
      <c r="AZ89" s="36"/>
      <c r="BA89" s="36"/>
      <c r="BB89" s="36"/>
      <c r="BC89" s="36"/>
      <c r="BD89" s="36"/>
      <c r="BE89" s="36"/>
      <c r="BF89" s="36"/>
      <c r="BG89" s="36"/>
      <c r="BH89" s="36"/>
      <c r="BI89" s="36"/>
      <c r="BJ89" s="36"/>
      <c r="BK89" s="36"/>
      <c r="BL89" s="36"/>
      <c r="BM89" s="36"/>
      <c r="BN89" s="36"/>
      <c r="BO89" s="36"/>
      <c r="BP89" s="36"/>
      <c r="BQ89" s="36"/>
      <c r="BR89" s="36"/>
      <c r="BS89" s="36"/>
      <c r="BT89" s="36"/>
      <c r="BU89" s="36"/>
      <c r="BV89" s="36"/>
      <c r="BW89" s="36"/>
      <c r="BX89" s="36"/>
      <c r="BY89" s="36"/>
      <c r="BZ89" s="36"/>
      <c r="CA89" s="36"/>
      <c r="CB89" s="36"/>
      <c r="CC89" s="36"/>
      <c r="CD89" s="36"/>
      <c r="CE89" s="36"/>
      <c r="CF89" s="36"/>
      <c r="CG89" s="36"/>
      <c r="CH89" s="36"/>
      <c r="CI89" s="36"/>
      <c r="CJ89" s="36"/>
      <c r="CK89" s="36"/>
      <c r="CL89" s="36"/>
      <c r="CM89" s="36"/>
      <c r="CN89" s="36"/>
      <c r="CO89" s="36"/>
      <c r="CP89" s="36"/>
      <c r="CQ89" s="36"/>
      <c r="CR89" s="36"/>
      <c r="CS89" s="36"/>
      <c r="CT89" s="36"/>
      <c r="CU89" s="36"/>
      <c r="CV89" s="36"/>
      <c r="CW89" s="36"/>
      <c r="CX89" s="36"/>
      <c r="CY89" s="36"/>
      <c r="CZ89" s="36">
        <v>-1</v>
      </c>
      <c r="DA89" s="36"/>
      <c r="DB89" s="36"/>
      <c r="DC89" s="36"/>
      <c r="DD89" s="36"/>
      <c r="DE89" s="36"/>
      <c r="DF89" s="36"/>
      <c r="DG89" s="36"/>
      <c r="DH89" s="36"/>
      <c r="DI89" s="36"/>
      <c r="DJ89" s="36"/>
      <c r="DK89" s="36"/>
      <c r="DL89" s="36"/>
      <c r="DM89" s="36"/>
      <c r="DN89" s="36"/>
      <c r="DO89" s="36"/>
      <c r="DP89" s="36"/>
      <c r="DQ89" s="36"/>
      <c r="DR89" s="36"/>
      <c r="DS89" s="203"/>
      <c r="DT89" s="36"/>
      <c r="DU89" s="203"/>
      <c r="DV89" s="203"/>
      <c r="DW89" s="36"/>
      <c r="DX89" s="203"/>
      <c r="DY89" s="36"/>
      <c r="DZ89" s="36"/>
      <c r="EA89" s="36"/>
      <c r="EB89" s="36"/>
      <c r="EC89" s="36"/>
      <c r="ED89" s="36"/>
      <c r="EE89" s="36"/>
      <c r="EF89" s="36"/>
      <c r="EG89" s="36"/>
      <c r="EH89" s="36"/>
      <c r="EI89" s="36"/>
      <c r="EJ89" s="36"/>
      <c r="EK89" s="36"/>
      <c r="EL89" s="36"/>
      <c r="EM89" s="203"/>
      <c r="EN89" s="36"/>
      <c r="EO89" s="35"/>
      <c r="EP89" s="203"/>
      <c r="EQ89" s="36"/>
      <c r="ER89" s="36"/>
      <c r="ES89" s="36"/>
      <c r="ET89" s="203"/>
      <c r="EU89" s="36"/>
      <c r="EV89" s="36"/>
      <c r="EW89" s="36"/>
      <c r="EX89" s="36"/>
      <c r="EY89" s="36"/>
      <c r="EZ89" s="36"/>
      <c r="FA89" s="36"/>
      <c r="FB89" s="36"/>
      <c r="FC89" s="36"/>
      <c r="FD89" s="36"/>
      <c r="FE89" s="36"/>
      <c r="FF89" s="36"/>
      <c r="FG89" s="36"/>
      <c r="FH89" s="36"/>
      <c r="FI89" s="36"/>
      <c r="FJ89" s="36"/>
      <c r="FK89" s="36"/>
      <c r="FL89" s="36"/>
      <c r="FM89" s="36"/>
      <c r="FN89" s="36"/>
      <c r="FO89" s="36"/>
      <c r="FP89" s="36"/>
      <c r="FQ89" s="36"/>
      <c r="FR89" s="36"/>
      <c r="FS89" s="36"/>
      <c r="FT89" s="36"/>
      <c r="FU89" s="36"/>
      <c r="FV89" s="36"/>
      <c r="FW89" s="36"/>
      <c r="FX89" s="36"/>
      <c r="FY89" s="36"/>
      <c r="FZ89" s="36"/>
      <c r="GA89" s="36"/>
      <c r="GB89" s="319"/>
      <c r="GC89" s="179">
        <f t="shared" si="14"/>
        <v>0</v>
      </c>
      <c r="GD89" s="179">
        <f t="shared" si="15"/>
        <v>0</v>
      </c>
      <c r="GE89" s="179">
        <f t="shared" si="16"/>
        <v>0</v>
      </c>
      <c r="GF89" s="179">
        <f t="shared" si="17"/>
        <v>0</v>
      </c>
      <c r="GG89" s="179">
        <f t="shared" si="21"/>
        <v>0</v>
      </c>
    </row>
    <row r="90" spans="1:189" x14ac:dyDescent="0.35">
      <c r="A90" s="6" t="s">
        <v>880</v>
      </c>
      <c r="B90" s="6" t="str">
        <f>IF(Technologies!B90&lt;&gt;0,Technologies!B90,"")</f>
        <v>Industrie</v>
      </c>
      <c r="C90" s="6" t="str">
        <f>VLOOKUP($A90,Technologies!$A$7:$H$576,3,FALSE)</f>
        <v>Final</v>
      </c>
      <c r="D90" s="6" t="str">
        <f>VLOOKUP($A90,Technologies!$A$7:$H$576,4,FALSE)</f>
        <v>Industry</v>
      </c>
      <c r="E90" s="6" t="str">
        <f>VLOOKUP($A90,Technologies!$A$7:$H$576,6,FALSE)</f>
        <v>BTX aromatics production - Chemical Industry</v>
      </c>
      <c r="F90" s="48" t="str">
        <f>VLOOKUP($A90,Technologies!$A$7:$H$576,7,FALSE)</f>
        <v>Methanol to aromatics</v>
      </c>
      <c r="G90" s="22"/>
      <c r="H90" s="22"/>
      <c r="I90" s="103" cm="1">
        <f t="array" ref="I90">-SUMPRODUCT((Feedstocks!$C$4:$C$141=A90)*Feedstocks!$E$4:$E$141,Feedstocks!$F$4:$F$141,Feedstocks!$H$4:$H$141,Feedstocks!$I$4:$I$141)</f>
        <v>5.1485714285714295</v>
      </c>
      <c r="J90" s="103" cm="1">
        <f t="array" ref="J90">-SUMPRODUCT((Feedstocks!$C$4:$C$141=A90)*Feedstocks!$E$4:$E$141,Feedstocks!$H$4:$H$141,Feedstocks!$I$4:$I$141)</f>
        <v>5.1485714285714295</v>
      </c>
      <c r="K90" s="103"/>
      <c r="L90" s="103"/>
      <c r="M90" s="22">
        <v>1</v>
      </c>
      <c r="N90" s="22" t="s">
        <v>320</v>
      </c>
      <c r="O90" s="22"/>
      <c r="P90" s="200" t="s">
        <v>883</v>
      </c>
      <c r="Q90" s="203"/>
      <c r="R90" s="203"/>
      <c r="S90" s="203"/>
      <c r="T90" s="203"/>
      <c r="U90" s="203"/>
      <c r="V90" s="203"/>
      <c r="W90" s="203"/>
      <c r="X90" s="203"/>
      <c r="Y90" s="203"/>
      <c r="Z90" s="203"/>
      <c r="AA90" s="203"/>
      <c r="AB90" s="203"/>
      <c r="AC90" s="203"/>
      <c r="AD90" s="203"/>
      <c r="AE90" s="203"/>
      <c r="AF90" s="203"/>
      <c r="AG90" s="203">
        <v>1</v>
      </c>
      <c r="AH90" s="203"/>
      <c r="AI90" s="203"/>
      <c r="AJ90" s="203"/>
      <c r="AK90" s="203"/>
      <c r="AL90" s="203"/>
      <c r="AM90" s="203"/>
      <c r="AN90" s="203"/>
      <c r="AO90" s="203"/>
      <c r="AP90" s="203"/>
      <c r="AQ90" s="203"/>
      <c r="AR90" s="203"/>
      <c r="AS90" s="203"/>
      <c r="AT90" s="203"/>
      <c r="AU90" s="203"/>
      <c r="AV90" s="203"/>
      <c r="AW90" s="203"/>
      <c r="AX90" s="203"/>
      <c r="AY90" s="203"/>
      <c r="AZ90" s="203"/>
      <c r="BA90" s="203"/>
      <c r="BB90" s="203"/>
      <c r="BC90" s="203"/>
      <c r="BD90" s="203"/>
      <c r="BE90" s="203"/>
      <c r="BF90" s="203"/>
      <c r="BG90" s="203"/>
      <c r="BH90" s="203"/>
      <c r="BI90" s="203"/>
      <c r="BJ90" s="203"/>
      <c r="BK90" s="203"/>
      <c r="BL90" s="203"/>
      <c r="BM90" s="203"/>
      <c r="BN90" s="203"/>
      <c r="BO90" s="203"/>
      <c r="BP90" s="203"/>
      <c r="BQ90" s="203"/>
      <c r="BR90" s="203"/>
      <c r="BS90" s="203"/>
      <c r="BT90" s="203"/>
      <c r="BU90" s="203"/>
      <c r="BV90" s="203"/>
      <c r="BW90" s="203"/>
      <c r="BX90" s="203"/>
      <c r="BY90" s="203"/>
      <c r="BZ90" s="203"/>
      <c r="CA90" s="203"/>
      <c r="CB90" s="203"/>
      <c r="CC90" s="203"/>
      <c r="CD90" s="203"/>
      <c r="CE90" s="203"/>
      <c r="CF90" s="203"/>
      <c r="CG90" s="203"/>
      <c r="CH90" s="203"/>
      <c r="CI90" s="203"/>
      <c r="CJ90" s="203"/>
      <c r="CK90" s="203"/>
      <c r="CL90" s="203"/>
      <c r="CM90" s="203"/>
      <c r="CN90" s="203"/>
      <c r="CO90" s="203"/>
      <c r="CP90" s="203"/>
      <c r="CQ90" s="203"/>
      <c r="CR90" s="203"/>
      <c r="CS90" s="203"/>
      <c r="CT90" s="203"/>
      <c r="CU90" s="203"/>
      <c r="CV90" s="203"/>
      <c r="CW90" s="203"/>
      <c r="CX90" s="203"/>
      <c r="CY90" s="203"/>
      <c r="CZ90" s="203"/>
      <c r="DA90" s="203"/>
      <c r="DB90" s="203"/>
      <c r="DC90" s="203"/>
      <c r="DD90" s="203"/>
      <c r="DE90" s="203"/>
      <c r="DF90" s="203"/>
      <c r="DG90" s="203"/>
      <c r="DH90" s="203">
        <f>-2.6/1.4</f>
        <v>-1.8571428571428574</v>
      </c>
      <c r="DI90" s="203"/>
      <c r="DJ90" s="203"/>
      <c r="DK90" s="203"/>
      <c r="DL90" s="203"/>
      <c r="DM90" s="203"/>
      <c r="DN90" s="203"/>
      <c r="DO90" s="203">
        <f>-29.5/1.4</f>
        <v>-21.071428571428573</v>
      </c>
      <c r="DP90" s="203"/>
      <c r="DQ90" s="203"/>
      <c r="DR90" s="203"/>
      <c r="DS90" s="203"/>
      <c r="DT90" s="203"/>
      <c r="DU90" s="203"/>
      <c r="DV90" s="203"/>
      <c r="DW90" s="203"/>
      <c r="DX90" s="203"/>
      <c r="DY90" s="203"/>
      <c r="DZ90" s="203"/>
      <c r="EA90" s="203"/>
      <c r="EB90" s="203"/>
      <c r="EC90" s="203"/>
      <c r="ED90" s="203"/>
      <c r="EE90" s="203"/>
      <c r="EF90" s="203"/>
      <c r="EG90" s="203"/>
      <c r="EH90" s="203"/>
      <c r="EI90" s="203">
        <f>-106/1.4</f>
        <v>-75.714285714285722</v>
      </c>
      <c r="EJ90" s="203"/>
      <c r="EK90" s="203"/>
      <c r="EL90" s="203"/>
      <c r="EM90" s="203"/>
      <c r="EN90" s="203"/>
      <c r="EO90" s="203"/>
      <c r="EP90" s="203"/>
      <c r="EQ90" s="203"/>
      <c r="ER90" s="203"/>
      <c r="ES90" s="203"/>
      <c r="ET90" s="203"/>
      <c r="EU90" s="203"/>
      <c r="EV90" s="203"/>
      <c r="EW90" s="203"/>
      <c r="EX90" s="203"/>
      <c r="EY90" s="203"/>
      <c r="EZ90" s="203"/>
      <c r="FA90" s="203"/>
      <c r="FB90" s="203"/>
      <c r="FC90" s="203"/>
      <c r="FD90" s="203"/>
      <c r="FE90" s="203"/>
      <c r="FF90" s="203"/>
      <c r="FG90" s="203"/>
      <c r="FH90" s="203"/>
      <c r="FI90" s="203"/>
      <c r="FJ90" s="203"/>
      <c r="FK90" s="203"/>
      <c r="FL90" s="203"/>
      <c r="FM90" s="203"/>
      <c r="FN90" s="203"/>
      <c r="FO90" s="203"/>
      <c r="FP90" s="203"/>
      <c r="FQ90" s="203"/>
      <c r="FR90" s="203"/>
      <c r="FS90" s="203"/>
      <c r="FT90" s="203"/>
      <c r="FU90" s="203"/>
      <c r="FV90" s="203"/>
      <c r="FW90" s="203"/>
      <c r="FX90" s="203"/>
      <c r="FY90" s="203"/>
      <c r="FZ90" s="203"/>
      <c r="GA90" s="203"/>
      <c r="GB90" s="320"/>
      <c r="GC90" s="179">
        <f t="shared" si="14"/>
        <v>0</v>
      </c>
      <c r="GD90" s="179">
        <f t="shared" si="15"/>
        <v>0</v>
      </c>
      <c r="GE90" s="179">
        <f t="shared" si="16"/>
        <v>0</v>
      </c>
      <c r="GF90" s="179">
        <f t="shared" si="17"/>
        <v>0</v>
      </c>
      <c r="GG90" s="179">
        <f t="shared" si="21"/>
        <v>5.1485714285714295</v>
      </c>
    </row>
    <row r="91" spans="1:189" x14ac:dyDescent="0.35">
      <c r="A91" s="6" t="s">
        <v>884</v>
      </c>
      <c r="B91" s="6" t="str">
        <f>IF(Technologies!B91&lt;&gt;0,Technologies!B91,"")</f>
        <v>Industrie</v>
      </c>
      <c r="C91" s="6" t="str">
        <f>VLOOKUP($A91,Technologies!$A$7:$H$576,3,FALSE)</f>
        <v>Final</v>
      </c>
      <c r="D91" s="6" t="str">
        <f>VLOOKUP($A91,Technologies!$A$7:$H$576,4,FALSE)</f>
        <v>Industry</v>
      </c>
      <c r="E91" s="6" t="str">
        <f>VLOOKUP($A91,Technologies!$A$7:$H$576,6,FALSE)</f>
        <v>BTX aromatics production - Chemical Industry</v>
      </c>
      <c r="F91" s="48" t="str">
        <f>VLOOKUP($A91,Technologies!$A$7:$H$576,7,FALSE)</f>
        <v>Biomass to aromatics</v>
      </c>
      <c r="G91" s="22"/>
      <c r="H91" s="22"/>
      <c r="I91" s="103" cm="1">
        <f t="array" ref="I91">-SUMPRODUCT((Feedstocks!$C$4:$C$141=A91)*Feedstocks!$E$4:$E$141,Feedstocks!$F$4:$F$141,Feedstocks!$H$4:$H$141,Feedstocks!$I$4:$I$141)</f>
        <v>0</v>
      </c>
      <c r="J91" s="103" cm="1">
        <f t="array" ref="J91">-SUMPRODUCT((Feedstocks!$C$4:$C$141=A91)*Feedstocks!$E$4:$E$141,Feedstocks!$H$4:$H$141,Feedstocks!$I$4:$I$141)</f>
        <v>8.2982857142857149</v>
      </c>
      <c r="K91" s="103"/>
      <c r="L91" s="103"/>
      <c r="M91" s="22">
        <v>1</v>
      </c>
      <c r="N91" s="22" t="s">
        <v>320</v>
      </c>
      <c r="O91" s="22"/>
      <c r="P91" s="200" t="s">
        <v>883</v>
      </c>
      <c r="Q91" s="203"/>
      <c r="R91" s="203"/>
      <c r="S91" s="203"/>
      <c r="T91" s="203"/>
      <c r="U91" s="203"/>
      <c r="V91" s="203"/>
      <c r="W91" s="203"/>
      <c r="X91" s="203"/>
      <c r="Y91" s="203"/>
      <c r="Z91" s="203"/>
      <c r="AA91" s="203"/>
      <c r="AB91" s="203"/>
      <c r="AC91" s="203"/>
      <c r="AD91" s="203"/>
      <c r="AE91" s="203"/>
      <c r="AF91" s="203"/>
      <c r="AG91" s="203">
        <v>1</v>
      </c>
      <c r="AH91" s="203"/>
      <c r="AI91" s="203"/>
      <c r="AJ91" s="203"/>
      <c r="AK91" s="203"/>
      <c r="AL91" s="203"/>
      <c r="AM91" s="203"/>
      <c r="AN91" s="203"/>
      <c r="AO91" s="203"/>
      <c r="AP91" s="203"/>
      <c r="AQ91" s="203"/>
      <c r="AR91" s="203"/>
      <c r="AS91" s="203"/>
      <c r="AT91" s="203"/>
      <c r="AU91" s="203"/>
      <c r="AV91" s="203"/>
      <c r="AW91" s="203"/>
      <c r="AX91" s="203"/>
      <c r="AY91" s="203"/>
      <c r="AZ91" s="203"/>
      <c r="BA91" s="203"/>
      <c r="BB91" s="203"/>
      <c r="BC91" s="203"/>
      <c r="BD91" s="203"/>
      <c r="BE91" s="203"/>
      <c r="BF91" s="203"/>
      <c r="BG91" s="203"/>
      <c r="BH91" s="203"/>
      <c r="BI91" s="203"/>
      <c r="BJ91" s="203"/>
      <c r="BK91" s="203"/>
      <c r="BL91" s="203"/>
      <c r="BM91" s="203"/>
      <c r="BN91" s="203"/>
      <c r="BO91" s="203"/>
      <c r="BP91" s="203"/>
      <c r="BQ91" s="203"/>
      <c r="BR91" s="203"/>
      <c r="BS91" s="203"/>
      <c r="BT91" s="203"/>
      <c r="BU91" s="203"/>
      <c r="BV91" s="203"/>
      <c r="BW91" s="203"/>
      <c r="BX91" s="203"/>
      <c r="BY91" s="203"/>
      <c r="BZ91" s="203"/>
      <c r="CA91" s="203"/>
      <c r="CB91" s="203"/>
      <c r="CC91" s="203"/>
      <c r="CD91" s="203"/>
      <c r="CE91" s="203"/>
      <c r="CF91" s="203"/>
      <c r="CG91" s="203"/>
      <c r="CH91" s="203"/>
      <c r="CI91" s="203"/>
      <c r="CJ91" s="203"/>
      <c r="CK91" s="203"/>
      <c r="CL91" s="203"/>
      <c r="CM91" s="203"/>
      <c r="CN91" s="203"/>
      <c r="CO91" s="203"/>
      <c r="CP91" s="203"/>
      <c r="CQ91" s="203"/>
      <c r="CR91" s="203"/>
      <c r="CS91" s="203"/>
      <c r="CT91" s="203"/>
      <c r="CU91" s="203"/>
      <c r="CV91" s="203"/>
      <c r="CW91" s="203"/>
      <c r="CX91" s="203"/>
      <c r="CY91" s="203"/>
      <c r="CZ91" s="203"/>
      <c r="DA91" s="203"/>
      <c r="DB91" s="203"/>
      <c r="DC91" s="203"/>
      <c r="DD91" s="203"/>
      <c r="DE91" s="203"/>
      <c r="DF91" s="203"/>
      <c r="DG91" s="203"/>
      <c r="DH91" s="203">
        <f>-2.6/1.4</f>
        <v>-1.8571428571428574</v>
      </c>
      <c r="DI91" s="203"/>
      <c r="DJ91" s="203"/>
      <c r="DK91" s="203"/>
      <c r="DL91" s="203"/>
      <c r="DM91" s="203"/>
      <c r="DN91" s="203"/>
      <c r="DO91" s="203">
        <f>-29.5/1.4</f>
        <v>-21.071428571428573</v>
      </c>
      <c r="DP91" s="203"/>
      <c r="DQ91" s="203"/>
      <c r="DR91" s="203"/>
      <c r="DS91" s="203"/>
      <c r="DT91" s="203"/>
      <c r="DU91" s="203"/>
      <c r="DV91" s="203"/>
      <c r="DW91" s="203"/>
      <c r="DX91" s="203"/>
      <c r="DY91" s="203"/>
      <c r="DZ91" s="203"/>
      <c r="EA91" s="203"/>
      <c r="EB91" s="203"/>
      <c r="EC91" s="203"/>
      <c r="ED91" s="203"/>
      <c r="EE91" s="203"/>
      <c r="EF91" s="203"/>
      <c r="EG91" s="203"/>
      <c r="EH91" s="203"/>
      <c r="EI91" s="203"/>
      <c r="EJ91" s="203"/>
      <c r="EK91" s="203"/>
      <c r="EL91" s="203"/>
      <c r="EM91" s="203"/>
      <c r="EN91" s="203"/>
      <c r="EO91" s="203"/>
      <c r="EP91" s="203"/>
      <c r="EQ91" s="203"/>
      <c r="ER91" s="203">
        <v>-75.709999999999994</v>
      </c>
      <c r="ES91" s="203"/>
      <c r="ET91" s="203"/>
      <c r="EU91" s="203"/>
      <c r="EV91" s="203"/>
      <c r="EW91" s="203"/>
      <c r="EX91" s="203"/>
      <c r="EY91" s="203"/>
      <c r="EZ91" s="203"/>
      <c r="FA91" s="203"/>
      <c r="FB91" s="203"/>
      <c r="FC91" s="203"/>
      <c r="FD91" s="203"/>
      <c r="FE91" s="203"/>
      <c r="FF91" s="203"/>
      <c r="FG91" s="203"/>
      <c r="FH91" s="203"/>
      <c r="FI91" s="203"/>
      <c r="FJ91" s="203"/>
      <c r="FK91" s="203"/>
      <c r="FL91" s="203"/>
      <c r="FM91" s="203"/>
      <c r="FN91" s="203"/>
      <c r="FO91" s="203"/>
      <c r="FP91" s="203"/>
      <c r="FQ91" s="203"/>
      <c r="FR91" s="203"/>
      <c r="FS91" s="203"/>
      <c r="FT91" s="203"/>
      <c r="FU91" s="203"/>
      <c r="FV91" s="203"/>
      <c r="FW91" s="203"/>
      <c r="FX91" s="203"/>
      <c r="FY91" s="203"/>
      <c r="FZ91" s="203"/>
      <c r="GA91" s="203"/>
      <c r="GB91" s="320"/>
      <c r="GC91" s="179">
        <f t="shared" si="14"/>
        <v>0</v>
      </c>
      <c r="GD91" s="179">
        <f t="shared" si="15"/>
        <v>0</v>
      </c>
      <c r="GE91" s="179">
        <f t="shared" si="16"/>
        <v>0</v>
      </c>
      <c r="GF91" s="179">
        <f t="shared" si="17"/>
        <v>0</v>
      </c>
      <c r="GG91" s="179">
        <f t="shared" si="21"/>
        <v>0</v>
      </c>
    </row>
    <row r="92" spans="1:189" x14ac:dyDescent="0.35">
      <c r="A92" s="6" t="s">
        <v>886</v>
      </c>
      <c r="B92" s="6" t="str">
        <f>IF(Technologies!B92&lt;&gt;0,Technologies!B92,"")</f>
        <v>Industrie</v>
      </c>
      <c r="C92" s="6" t="s">
        <v>817</v>
      </c>
      <c r="D92" s="6" t="str">
        <f>VLOOKUP($A92,Technologies!$A$7:$H$576,4,FALSE)</f>
        <v>Material</v>
      </c>
      <c r="E92" s="6" t="str">
        <f>VLOOKUP($A92,Technologies!$A$7:$H$576,6,FALSE)</f>
        <v>BTX aromatics production - Chemical Industry</v>
      </c>
      <c r="F92" s="48" t="str">
        <f>VLOOKUP($A92,Technologies!$A$7:$H$576,7,FALSE)</f>
        <v>Imported aromatics</v>
      </c>
      <c r="G92" s="22"/>
      <c r="H92" s="22"/>
      <c r="I92" s="103" cm="1">
        <f t="array" ref="I92">-SUMPRODUCT((Feedstocks!$C$4:$C$141=A92)*Feedstocks!$E$4:$E$141,Feedstocks!$F$4:$F$141,Feedstocks!$H$4:$H$141,Feedstocks!$I$4:$I$141)</f>
        <v>3.3846153846153846</v>
      </c>
      <c r="J92" s="103" cm="1">
        <f t="array" ref="J92">-SUMPRODUCT((Feedstocks!$C$4:$C$141=A92)*Feedstocks!$E$4:$E$141,Feedstocks!$H$4:$H$141,Feedstocks!$I$4:$I$141)</f>
        <v>3.3846153846153846</v>
      </c>
      <c r="K92" s="103"/>
      <c r="L92" s="103"/>
      <c r="M92" s="22">
        <v>1</v>
      </c>
      <c r="N92" s="22" t="s">
        <v>320</v>
      </c>
      <c r="O92" s="22"/>
      <c r="P92" s="200" t="s">
        <v>502</v>
      </c>
      <c r="Q92" s="203"/>
      <c r="R92" s="203"/>
      <c r="S92" s="203"/>
      <c r="T92" s="203"/>
      <c r="U92" s="203"/>
      <c r="V92" s="203"/>
      <c r="W92" s="203"/>
      <c r="X92" s="203"/>
      <c r="Y92" s="203"/>
      <c r="Z92" s="203"/>
      <c r="AA92" s="203"/>
      <c r="AB92" s="203"/>
      <c r="AC92" s="203"/>
      <c r="AD92" s="203"/>
      <c r="AE92" s="203"/>
      <c r="AF92" s="203"/>
      <c r="AG92" s="203">
        <v>1</v>
      </c>
      <c r="AH92" s="203"/>
      <c r="AI92" s="203"/>
      <c r="AJ92" s="203"/>
      <c r="AK92" s="203"/>
      <c r="AL92" s="203"/>
      <c r="AM92" s="203"/>
      <c r="AN92" s="203"/>
      <c r="AO92" s="203"/>
      <c r="AP92" s="203"/>
      <c r="AQ92" s="203"/>
      <c r="AR92" s="203"/>
      <c r="AS92" s="203"/>
      <c r="AT92" s="203"/>
      <c r="AU92" s="203"/>
      <c r="AV92" s="203"/>
      <c r="AW92" s="203"/>
      <c r="AX92" s="203"/>
      <c r="AY92" s="203"/>
      <c r="AZ92" s="203"/>
      <c r="BA92" s="203"/>
      <c r="BB92" s="203"/>
      <c r="BC92" s="203"/>
      <c r="BD92" s="203"/>
      <c r="BE92" s="203"/>
      <c r="BF92" s="203"/>
      <c r="BG92" s="203"/>
      <c r="BH92" s="203"/>
      <c r="BI92" s="203"/>
      <c r="BJ92" s="203"/>
      <c r="BK92" s="203"/>
      <c r="BL92" s="203"/>
      <c r="BM92" s="203"/>
      <c r="BN92" s="203"/>
      <c r="BO92" s="203"/>
      <c r="BP92" s="203"/>
      <c r="BQ92" s="203"/>
      <c r="BR92" s="203"/>
      <c r="BS92" s="203"/>
      <c r="BT92" s="203"/>
      <c r="BU92" s="203"/>
      <c r="BV92" s="203"/>
      <c r="BW92" s="203"/>
      <c r="BX92" s="203"/>
      <c r="BY92" s="203"/>
      <c r="BZ92" s="203"/>
      <c r="CA92" s="203"/>
      <c r="CB92" s="203"/>
      <c r="CC92" s="203"/>
      <c r="CD92" s="203"/>
      <c r="CE92" s="203"/>
      <c r="CF92" s="203"/>
      <c r="CG92" s="203"/>
      <c r="CH92" s="203"/>
      <c r="CI92" s="203"/>
      <c r="CJ92" s="203"/>
      <c r="CK92" s="203"/>
      <c r="CL92" s="203"/>
      <c r="CM92" s="203"/>
      <c r="CN92" s="203"/>
      <c r="CO92" s="203"/>
      <c r="CP92" s="203"/>
      <c r="CQ92" s="203"/>
      <c r="CR92" s="203"/>
      <c r="CS92" s="203"/>
      <c r="CT92" s="203"/>
      <c r="CU92" s="203"/>
      <c r="CV92" s="203"/>
      <c r="CW92" s="203"/>
      <c r="CX92" s="203"/>
      <c r="CY92" s="203"/>
      <c r="CZ92" s="203"/>
      <c r="DA92" s="203"/>
      <c r="DB92" s="203"/>
      <c r="DC92" s="203"/>
      <c r="DD92" s="203"/>
      <c r="DE92" s="203"/>
      <c r="DF92" s="203"/>
      <c r="DG92" s="203"/>
      <c r="DH92" s="203"/>
      <c r="DI92" s="203"/>
      <c r="DJ92" s="203"/>
      <c r="DK92" s="203"/>
      <c r="DL92" s="203"/>
      <c r="DM92" s="203"/>
      <c r="DN92" s="203"/>
      <c r="DO92" s="203"/>
      <c r="DP92" s="203"/>
      <c r="DQ92" s="203"/>
      <c r="DR92" s="203"/>
      <c r="DS92" s="203"/>
      <c r="DT92" s="203"/>
      <c r="DU92" s="203"/>
      <c r="DV92" s="203"/>
      <c r="DW92" s="203"/>
      <c r="DX92" s="203"/>
      <c r="DY92" s="203"/>
      <c r="DZ92" s="203"/>
      <c r="EA92" s="203"/>
      <c r="EB92" s="203"/>
      <c r="EC92" s="203"/>
      <c r="ED92" s="203"/>
      <c r="EE92" s="203"/>
      <c r="EF92" s="203"/>
      <c r="EG92" s="203"/>
      <c r="EH92" s="203"/>
      <c r="EI92" s="203"/>
      <c r="EJ92" s="203"/>
      <c r="EK92" s="203"/>
      <c r="EL92" s="203"/>
      <c r="EM92" s="203"/>
      <c r="EN92" s="203"/>
      <c r="EO92" s="203"/>
      <c r="EP92" s="203"/>
      <c r="EQ92" s="203"/>
      <c r="ER92" s="203"/>
      <c r="ES92" s="203"/>
      <c r="ET92" s="203"/>
      <c r="EU92" s="203"/>
      <c r="EV92" s="203"/>
      <c r="EW92" s="203"/>
      <c r="EX92" s="203"/>
      <c r="EY92" s="203"/>
      <c r="EZ92" s="203"/>
      <c r="FA92" s="203"/>
      <c r="FB92" s="203"/>
      <c r="FC92" s="203"/>
      <c r="FD92" s="203"/>
      <c r="FE92" s="203"/>
      <c r="FF92" s="203"/>
      <c r="FG92" s="203"/>
      <c r="FH92" s="203"/>
      <c r="FI92" s="203"/>
      <c r="FJ92" s="203"/>
      <c r="FK92" s="203"/>
      <c r="FL92" s="203"/>
      <c r="FM92" s="203"/>
      <c r="FN92" s="203"/>
      <c r="FO92" s="203"/>
      <c r="FP92" s="203"/>
      <c r="FQ92" s="203"/>
      <c r="FR92" s="203"/>
      <c r="FS92" s="203"/>
      <c r="FT92" s="203"/>
      <c r="FU92" s="203"/>
      <c r="FV92" s="203"/>
      <c r="FW92" s="203"/>
      <c r="FX92" s="203"/>
      <c r="FY92" s="203"/>
      <c r="FZ92" s="203"/>
      <c r="GA92" s="203"/>
      <c r="GB92" s="320"/>
      <c r="GC92" s="179">
        <f t="shared" si="14"/>
        <v>0</v>
      </c>
      <c r="GD92" s="179">
        <f t="shared" si="15"/>
        <v>0</v>
      </c>
      <c r="GE92" s="179">
        <f t="shared" si="16"/>
        <v>0</v>
      </c>
      <c r="GF92" s="179">
        <f t="shared" si="17"/>
        <v>0</v>
      </c>
      <c r="GG92" s="179">
        <f t="shared" si="21"/>
        <v>3.3846153846153846</v>
      </c>
    </row>
    <row r="93" spans="1:189" x14ac:dyDescent="0.35">
      <c r="A93" s="6" t="s">
        <v>888</v>
      </c>
      <c r="B93" s="6" t="str">
        <f>IF(Technologies!B93&lt;&gt;0,Technologies!B93,"")</f>
        <v>Industrie</v>
      </c>
      <c r="C93" s="6" t="s">
        <v>788</v>
      </c>
      <c r="D93" s="6" t="str">
        <f>VLOOKUP($A93,Technologies!$A$7:$H$576,4,FALSE)</f>
        <v>Industry</v>
      </c>
      <c r="E93" s="6" t="str">
        <f>VLOOKUP($A93,Technologies!$A$7:$H$576,6,FALSE)</f>
        <v>Ethylene intermediate</v>
      </c>
      <c r="F93" s="48" t="str">
        <f>VLOOKUP($A93,Technologies!$A$7:$H$576,7,FALSE)</f>
        <v>CO2 electrolysis</v>
      </c>
      <c r="G93" s="22"/>
      <c r="H93" s="22">
        <v>1.6611</v>
      </c>
      <c r="I93" s="210">
        <f>H93</f>
        <v>1.6611</v>
      </c>
      <c r="J93" s="103" cm="1">
        <f t="array" ref="J93">-SUMPRODUCT((Feedstocks!$C$4:$C$141=A93)*Feedstocks!$E$4:$E$141,Feedstocks!$H$4:$H$141,Feedstocks!$I$4:$I$141)</f>
        <v>0</v>
      </c>
      <c r="K93" s="103"/>
      <c r="L93" s="103"/>
      <c r="M93" s="22">
        <v>1</v>
      </c>
      <c r="N93" s="22" t="s">
        <v>320</v>
      </c>
      <c r="O93" s="22"/>
      <c r="P93" s="200" t="s">
        <v>792</v>
      </c>
      <c r="Q93" s="203"/>
      <c r="R93" s="203"/>
      <c r="S93" s="203"/>
      <c r="T93" s="203"/>
      <c r="U93" s="203"/>
      <c r="V93" s="203"/>
      <c r="W93" s="203"/>
      <c r="X93" s="203"/>
      <c r="Y93" s="203"/>
      <c r="Z93" s="203"/>
      <c r="AA93" s="203"/>
      <c r="AB93" s="203"/>
      <c r="AC93" s="203"/>
      <c r="AD93" s="203"/>
      <c r="AE93" s="203"/>
      <c r="AF93" s="203"/>
      <c r="AG93" s="203"/>
      <c r="AH93" s="203"/>
      <c r="AI93" s="203"/>
      <c r="AJ93" s="203"/>
      <c r="AK93" s="203"/>
      <c r="AL93" s="203"/>
      <c r="AM93" s="203"/>
      <c r="AN93" s="203"/>
      <c r="AO93" s="203"/>
      <c r="AP93" s="203"/>
      <c r="AQ93" s="203"/>
      <c r="AR93" s="203"/>
      <c r="AS93" s="203"/>
      <c r="AT93" s="203"/>
      <c r="AU93" s="203"/>
      <c r="AV93" s="203"/>
      <c r="AW93" s="203"/>
      <c r="AX93" s="203"/>
      <c r="AY93" s="203"/>
      <c r="AZ93" s="203"/>
      <c r="BA93" s="203"/>
      <c r="BB93" s="203"/>
      <c r="BC93" s="203"/>
      <c r="BD93" s="203"/>
      <c r="BE93" s="203"/>
      <c r="BF93" s="203"/>
      <c r="BG93" s="203"/>
      <c r="BH93" s="203"/>
      <c r="BI93" s="203"/>
      <c r="BJ93" s="203"/>
      <c r="BK93" s="203"/>
      <c r="BL93" s="203"/>
      <c r="BM93" s="203"/>
      <c r="BN93" s="203"/>
      <c r="BO93" s="203"/>
      <c r="BP93" s="203"/>
      <c r="BQ93" s="203"/>
      <c r="BR93" s="203"/>
      <c r="BS93" s="203"/>
      <c r="BT93" s="203"/>
      <c r="BU93" s="203"/>
      <c r="BV93" s="203"/>
      <c r="BW93" s="203"/>
      <c r="BX93" s="203"/>
      <c r="BY93" s="203"/>
      <c r="BZ93" s="203"/>
      <c r="CA93" s="203"/>
      <c r="CB93" s="203"/>
      <c r="CC93" s="203"/>
      <c r="CD93" s="203"/>
      <c r="CE93" s="203"/>
      <c r="CF93" s="203"/>
      <c r="CG93" s="203"/>
      <c r="CH93" s="203"/>
      <c r="CI93" s="203"/>
      <c r="CJ93" s="203"/>
      <c r="CK93" s="203"/>
      <c r="CL93" s="203"/>
      <c r="CM93" s="203"/>
      <c r="CN93" s="203"/>
      <c r="CO93" s="203"/>
      <c r="CP93" s="203"/>
      <c r="CQ93" s="203"/>
      <c r="CR93" s="203"/>
      <c r="CS93" s="203">
        <v>1</v>
      </c>
      <c r="CT93" s="203"/>
      <c r="CU93" s="203"/>
      <c r="CV93" s="203"/>
      <c r="CW93" s="203"/>
      <c r="CX93" s="203"/>
      <c r="CY93" s="203"/>
      <c r="CZ93" s="203"/>
      <c r="DA93" s="203"/>
      <c r="DB93" s="203"/>
      <c r="DC93" s="203"/>
      <c r="DD93" s="203"/>
      <c r="DE93" s="203"/>
      <c r="DF93" s="203"/>
      <c r="DG93" s="203"/>
      <c r="DH93" s="203">
        <v>-68.597342192691045</v>
      </c>
      <c r="DI93" s="203"/>
      <c r="DJ93" s="203"/>
      <c r="DK93" s="203"/>
      <c r="DL93" s="203"/>
      <c r="DM93" s="203"/>
      <c r="DN93" s="203"/>
      <c r="DO93" s="203"/>
      <c r="DP93" s="203"/>
      <c r="DQ93" s="203"/>
      <c r="DR93" s="203"/>
      <c r="DS93" s="203"/>
      <c r="DT93" s="203"/>
      <c r="DU93" s="203"/>
      <c r="DV93" s="203"/>
      <c r="DW93" s="203"/>
      <c r="DX93" s="203"/>
      <c r="DY93" s="203"/>
      <c r="DZ93" s="203"/>
      <c r="EA93" s="203"/>
      <c r="EB93" s="203"/>
      <c r="EC93" s="203"/>
      <c r="ED93" s="203"/>
      <c r="EE93" s="203"/>
      <c r="EF93" s="203"/>
      <c r="EG93" s="203"/>
      <c r="EH93" s="203"/>
      <c r="EI93" s="203"/>
      <c r="EJ93" s="203"/>
      <c r="EK93" s="203"/>
      <c r="EL93" s="203"/>
      <c r="EM93" s="203">
        <v>0.11362126245847176</v>
      </c>
      <c r="EN93" s="203"/>
      <c r="EO93" s="203">
        <f>EM93</f>
        <v>0.11362126245847176</v>
      </c>
      <c r="EP93" s="203"/>
      <c r="EQ93" s="203"/>
      <c r="ER93" s="203"/>
      <c r="ES93" s="203"/>
      <c r="ET93" s="203"/>
      <c r="EU93" s="203"/>
      <c r="EV93" s="203"/>
      <c r="EW93" s="203"/>
      <c r="EX93" s="203"/>
      <c r="EY93" s="203"/>
      <c r="EZ93" s="203"/>
      <c r="FA93" s="203"/>
      <c r="FB93" s="203"/>
      <c r="FC93" s="203"/>
      <c r="FD93" s="203"/>
      <c r="FE93" s="203"/>
      <c r="FF93" s="203"/>
      <c r="FG93" s="203"/>
      <c r="FH93" s="203"/>
      <c r="FI93" s="203"/>
      <c r="FJ93" s="203"/>
      <c r="FK93" s="203"/>
      <c r="FL93" s="203"/>
      <c r="FM93" s="203"/>
      <c r="FN93" s="203"/>
      <c r="FO93" s="203"/>
      <c r="FP93" s="203"/>
      <c r="FQ93" s="203"/>
      <c r="FR93" s="203"/>
      <c r="FS93" s="203"/>
      <c r="FT93" s="203"/>
      <c r="FU93" s="203"/>
      <c r="FV93" s="203"/>
      <c r="FW93" s="203"/>
      <c r="FX93" s="203"/>
      <c r="FY93" s="203"/>
      <c r="FZ93" s="203"/>
      <c r="GA93" s="203"/>
      <c r="GB93" s="320"/>
      <c r="GC93" s="385">
        <f t="shared" si="14"/>
        <v>-1.6611</v>
      </c>
      <c r="GD93" s="385">
        <f t="shared" si="15"/>
        <v>0</v>
      </c>
      <c r="GE93" s="385">
        <f t="shared" si="16"/>
        <v>0</v>
      </c>
      <c r="GF93" s="385">
        <f t="shared" si="17"/>
        <v>0</v>
      </c>
      <c r="GG93" s="385">
        <f t="shared" si="21"/>
        <v>1.6611</v>
      </c>
    </row>
    <row r="94" spans="1:189" x14ac:dyDescent="0.35">
      <c r="A94" s="6" t="s">
        <v>890</v>
      </c>
      <c r="B94" s="6" t="str">
        <f>IF(Technologies!B96&lt;&gt;0,Technologies!B96,"")</f>
        <v>Industrie</v>
      </c>
      <c r="C94" s="6" t="str">
        <f>VLOOKUP($A94,Technologies!$A$7:$H$576,3,FALSE)</f>
        <v>Conversion</v>
      </c>
      <c r="D94" s="6" t="str">
        <f>VLOOKUP($A94,Technologies!$A$7:$H$576,4,FALSE)</f>
        <v>Industry</v>
      </c>
      <c r="E94" s="6" t="str">
        <f>VLOOKUP($A94,Technologies!$A$7:$H$576,6,FALSE)</f>
        <v>Propylene intermediate</v>
      </c>
      <c r="F94" s="48" t="str">
        <f>VLOOKUP($A94,Technologies!$A$7:$H$576,7,FALSE)</f>
        <v>Propylene from PDH alkenation of Bio LPG - Petrochemicals</v>
      </c>
      <c r="G94" s="22"/>
      <c r="H94" s="22"/>
      <c r="I94" s="103" cm="1">
        <f t="array" ref="I94">-SUMPRODUCT((Feedstocks!$C$4:$C$141=A94)*Feedstocks!$E$4:$E$141,Feedstocks!$F$4:$F$141,Feedstocks!$H$4:$H$141,Feedstocks!$I$4:$I$141)</f>
        <v>0</v>
      </c>
      <c r="J94" s="103" cm="1">
        <f t="array" ref="J94">-SUMPRODUCT((Feedstocks!$C$4:$C$141=A94)*Feedstocks!$E$4:$E$141,Feedstocks!$H$4:$H$141,Feedstocks!$I$4:$I$141)</f>
        <v>4.0460395809080341</v>
      </c>
      <c r="K94" s="103"/>
      <c r="L94" s="103"/>
      <c r="M94" s="22">
        <v>1</v>
      </c>
      <c r="N94" s="22" t="str">
        <f>VLOOKUP(E94,Activities!$A$9:$M$227,13,FALSE)</f>
        <v>NL</v>
      </c>
      <c r="O94" s="22"/>
      <c r="P94" s="200" t="s">
        <v>1811</v>
      </c>
      <c r="Q94" s="36"/>
      <c r="R94" s="36"/>
      <c r="S94" s="36"/>
      <c r="T94" s="36"/>
      <c r="U94" s="36"/>
      <c r="V94" s="36"/>
      <c r="W94" s="36"/>
      <c r="X94" s="36"/>
      <c r="Y94" s="36"/>
      <c r="Z94" s="36"/>
      <c r="AA94" s="36"/>
      <c r="AB94" s="36"/>
      <c r="AC94" s="36"/>
      <c r="AD94" s="36"/>
      <c r="AE94" s="36"/>
      <c r="AF94" s="36"/>
      <c r="AG94" s="36"/>
      <c r="AH94" s="36"/>
      <c r="AI94" s="36"/>
      <c r="AJ94" s="36"/>
      <c r="AK94" s="36"/>
      <c r="AL94" s="36"/>
      <c r="AM94" s="36"/>
      <c r="AN94" s="36"/>
      <c r="AO94" s="36"/>
      <c r="AP94" s="36"/>
      <c r="AQ94" s="36"/>
      <c r="AR94" s="36"/>
      <c r="AS94" s="36"/>
      <c r="AT94" s="36"/>
      <c r="AU94" s="36"/>
      <c r="AV94" s="36"/>
      <c r="AW94" s="36"/>
      <c r="AX94" s="36"/>
      <c r="AY94" s="36"/>
      <c r="AZ94" s="36"/>
      <c r="BA94" s="36"/>
      <c r="BB94" s="36"/>
      <c r="BC94" s="36"/>
      <c r="BD94" s="36"/>
      <c r="BE94" s="36"/>
      <c r="BF94" s="36"/>
      <c r="BG94" s="36"/>
      <c r="BH94" s="36"/>
      <c r="BI94" s="36"/>
      <c r="BJ94" s="36"/>
      <c r="BK94" s="36"/>
      <c r="BL94" s="36"/>
      <c r="BM94" s="36"/>
      <c r="BN94" s="36"/>
      <c r="BO94" s="36"/>
      <c r="BP94" s="36"/>
      <c r="BQ94" s="36"/>
      <c r="BR94" s="36"/>
      <c r="BS94" s="36"/>
      <c r="BT94" s="36"/>
      <c r="BU94" s="36"/>
      <c r="BV94" s="36"/>
      <c r="BW94" s="36"/>
      <c r="BX94" s="36"/>
      <c r="BY94" s="36"/>
      <c r="BZ94" s="36"/>
      <c r="CA94" s="36"/>
      <c r="CB94" s="36"/>
      <c r="CC94" s="36"/>
      <c r="CD94" s="36"/>
      <c r="CE94" s="36"/>
      <c r="CF94" s="36"/>
      <c r="CG94" s="36"/>
      <c r="CH94" s="36"/>
      <c r="CI94" s="36"/>
      <c r="CJ94" s="36"/>
      <c r="CK94" s="36"/>
      <c r="CL94" s="36"/>
      <c r="CM94" s="36"/>
      <c r="CN94" s="36"/>
      <c r="CO94" s="36"/>
      <c r="CP94" s="36"/>
      <c r="CQ94" s="36"/>
      <c r="CR94" s="36"/>
      <c r="CS94" s="36"/>
      <c r="CT94" s="36">
        <v>1</v>
      </c>
      <c r="CU94" s="36"/>
      <c r="CV94" s="36"/>
      <c r="CW94" s="36"/>
      <c r="CX94" s="36"/>
      <c r="CY94" s="36"/>
      <c r="CZ94" s="36"/>
      <c r="DA94" s="36"/>
      <c r="DB94" s="36"/>
      <c r="DC94" s="36"/>
      <c r="DD94" s="36"/>
      <c r="DE94" s="36"/>
      <c r="DF94" s="36"/>
      <c r="DG94" s="36"/>
      <c r="DH94" s="36">
        <v>-0.71664726426076841</v>
      </c>
      <c r="DI94" s="36"/>
      <c r="DJ94" s="36"/>
      <c r="DK94" s="36"/>
      <c r="DL94" s="36"/>
      <c r="DM94" s="36"/>
      <c r="DN94" s="36"/>
      <c r="DO94" s="36">
        <v>-10.22584400465658</v>
      </c>
      <c r="DP94" s="36"/>
      <c r="DQ94" s="36"/>
      <c r="DR94" s="36"/>
      <c r="DS94" s="36"/>
      <c r="DT94" s="36"/>
      <c r="DU94" s="36"/>
      <c r="DV94" s="36"/>
      <c r="DW94" s="36"/>
      <c r="DX94" s="36"/>
      <c r="DY94" s="36"/>
      <c r="DZ94" s="36"/>
      <c r="EA94" s="36"/>
      <c r="EB94" s="36"/>
      <c r="EC94" s="36">
        <v>-64.121071012805601</v>
      </c>
      <c r="ED94" s="36"/>
      <c r="EE94" s="36"/>
      <c r="EF94" s="36"/>
      <c r="EG94" s="36"/>
      <c r="EH94" s="36"/>
      <c r="EI94" s="36"/>
      <c r="EJ94" s="36"/>
      <c r="EK94" s="36"/>
      <c r="EL94" s="36"/>
      <c r="EM94" s="36">
        <v>3.2521536670547153</v>
      </c>
      <c r="EN94" s="36"/>
      <c r="EO94" s="36"/>
      <c r="EP94" s="36"/>
      <c r="EQ94" s="36"/>
      <c r="ER94" s="36"/>
      <c r="ES94" s="36"/>
      <c r="ET94" s="36"/>
      <c r="EU94" s="36"/>
      <c r="EV94" s="36"/>
      <c r="EW94" s="36"/>
      <c r="EX94" s="36"/>
      <c r="EY94" s="36"/>
      <c r="EZ94" s="36"/>
      <c r="FA94" s="36"/>
      <c r="FB94" s="36"/>
      <c r="FC94" s="36"/>
      <c r="FD94" s="36"/>
      <c r="FE94" s="36"/>
      <c r="FF94" s="36"/>
      <c r="FG94" s="36"/>
      <c r="FH94" s="36"/>
      <c r="FI94" s="36"/>
      <c r="FJ94" s="36"/>
      <c r="FK94" s="36"/>
      <c r="FL94" s="36"/>
      <c r="FM94" s="36"/>
      <c r="FN94" s="36"/>
      <c r="FO94" s="36"/>
      <c r="FP94" s="36"/>
      <c r="FQ94" s="36"/>
      <c r="FR94" s="36"/>
      <c r="FS94" s="36"/>
      <c r="FT94" s="36"/>
      <c r="FU94" s="36"/>
      <c r="FV94" s="36"/>
      <c r="FW94" s="36"/>
      <c r="FX94" s="36"/>
      <c r="FY94" s="36"/>
      <c r="FZ94" s="36"/>
      <c r="GA94" s="36"/>
      <c r="GB94" s="319"/>
      <c r="GC94" s="179">
        <f t="shared" si="14"/>
        <v>0</v>
      </c>
      <c r="GD94" s="179">
        <f t="shared" si="15"/>
        <v>0</v>
      </c>
      <c r="GE94" s="179">
        <f t="shared" si="16"/>
        <v>0</v>
      </c>
      <c r="GF94" s="179">
        <f t="shared" si="17"/>
        <v>0</v>
      </c>
      <c r="GG94" s="179">
        <f t="shared" ref="GG94:GG101" si="22">$I94</f>
        <v>0</v>
      </c>
    </row>
    <row r="95" spans="1:189" x14ac:dyDescent="0.35">
      <c r="A95" s="6" t="s">
        <v>892</v>
      </c>
      <c r="B95" s="6" t="str">
        <f>IF(Technologies!B97&lt;&gt;0,Technologies!B97,"")</f>
        <v>Industrie</v>
      </c>
      <c r="C95" s="6" t="str">
        <f>VLOOKUP($A95,Technologies!$A$7:$H$576,3,FALSE)</f>
        <v>Conversion</v>
      </c>
      <c r="D95" s="6" t="str">
        <f>VLOOKUP($A95,Technologies!$A$7:$H$576,4,FALSE)</f>
        <v>Industry</v>
      </c>
      <c r="E95" s="6" t="str">
        <f>VLOOKUP($A95,Technologies!$A$7:$H$576,6,FALSE)</f>
        <v>Ethylene intermediate</v>
      </c>
      <c r="F95" s="48" t="str">
        <f>VLOOKUP($A95,Technologies!$A$7:$H$576,7,FALSE)</f>
        <v>Existing bionaphtha steam cracker - Petrochemical industry</v>
      </c>
      <c r="G95" s="22"/>
      <c r="H95" s="22"/>
      <c r="I95" s="103" cm="1">
        <f t="array" ref="I95">-SUMPRODUCT((Feedstocks!$C$4:$C$141=A95)*Feedstocks!$E$4:$E$141,Feedstocks!$F$4:$F$141,Feedstocks!$H$4:$H$141,Feedstocks!$I$4:$I$141)</f>
        <v>0</v>
      </c>
      <c r="J95" s="103" cm="1">
        <f t="array" ref="J95">-SUMPRODUCT((Feedstocks!$C$4:$C$141=A95)*Feedstocks!$E$4:$E$141,Feedstocks!$H$4:$H$141,Feedstocks!$I$4:$I$141)</f>
        <v>8.9166509900990079</v>
      </c>
      <c r="K95" s="103"/>
      <c r="L95" s="103"/>
      <c r="M95" s="22">
        <v>1</v>
      </c>
      <c r="N95" s="22" t="str">
        <f>VLOOKUP(E95,Activities!$A$9:$M$227,13,FALSE)</f>
        <v>NL</v>
      </c>
      <c r="O95" s="22"/>
      <c r="P95" s="200" t="s">
        <v>1811</v>
      </c>
      <c r="Q95" s="35"/>
      <c r="R95" s="35"/>
      <c r="S95" s="35"/>
      <c r="T95" s="35"/>
      <c r="U95" s="35"/>
      <c r="V95" s="35"/>
      <c r="W95" s="35"/>
      <c r="X95" s="35"/>
      <c r="Y95" s="35"/>
      <c r="Z95" s="35"/>
      <c r="AA95" s="35"/>
      <c r="AB95" s="35"/>
      <c r="AC95" s="35"/>
      <c r="AD95" s="35"/>
      <c r="AE95" s="35"/>
      <c r="AF95" s="202">
        <f>4.2/30.25</f>
        <v>0.13884297520661157</v>
      </c>
      <c r="AG95" s="35">
        <f>SUM(8.32,3.4,1.14)/30.25</f>
        <v>0.42512396694214882</v>
      </c>
      <c r="AH95" s="35"/>
      <c r="AI95" s="35"/>
      <c r="AJ95" s="35"/>
      <c r="AK95" s="35"/>
      <c r="AL95" s="35"/>
      <c r="AM95" s="35"/>
      <c r="AN95" s="35"/>
      <c r="AO95" s="35"/>
      <c r="AP95" s="35"/>
      <c r="AQ95" s="35"/>
      <c r="AR95" s="35"/>
      <c r="AS95" s="35"/>
      <c r="AT95" s="35"/>
      <c r="AU95" s="35"/>
      <c r="AV95" s="35"/>
      <c r="AW95" s="35"/>
      <c r="AX95" s="35"/>
      <c r="AY95" s="35"/>
      <c r="AZ95" s="35"/>
      <c r="BA95" s="35"/>
      <c r="BB95" s="35"/>
      <c r="BC95" s="35"/>
      <c r="BD95" s="35"/>
      <c r="BE95" s="35"/>
      <c r="BF95" s="35"/>
      <c r="BG95" s="35"/>
      <c r="BH95" s="35"/>
      <c r="BI95" s="35"/>
      <c r="BJ95" s="35"/>
      <c r="BK95" s="35"/>
      <c r="BL95" s="35"/>
      <c r="BM95" s="35"/>
      <c r="BN95" s="35"/>
      <c r="BO95" s="35"/>
      <c r="BP95" s="35"/>
      <c r="BQ95" s="35"/>
      <c r="BR95" s="35"/>
      <c r="BS95" s="35"/>
      <c r="BT95" s="35"/>
      <c r="BU95" s="35"/>
      <c r="BV95" s="35"/>
      <c r="BW95" s="35"/>
      <c r="BX95" s="35"/>
      <c r="BY95" s="35"/>
      <c r="BZ95" s="35"/>
      <c r="CA95" s="35"/>
      <c r="CB95" s="35"/>
      <c r="CC95" s="35"/>
      <c r="CD95" s="35"/>
      <c r="CE95" s="35"/>
      <c r="CF95" s="35"/>
      <c r="CG95" s="35"/>
      <c r="CH95" s="35"/>
      <c r="CI95" s="35"/>
      <c r="CJ95" s="35"/>
      <c r="CK95" s="35"/>
      <c r="CL95" s="35"/>
      <c r="CM95" s="35"/>
      <c r="CN95" s="35"/>
      <c r="CO95" s="35"/>
      <c r="CP95" s="35"/>
      <c r="CQ95" s="35"/>
      <c r="CR95" s="35"/>
      <c r="CS95" s="35">
        <v>1</v>
      </c>
      <c r="CT95" s="35">
        <v>0.44884488448844889</v>
      </c>
      <c r="CU95" s="35"/>
      <c r="CV95" s="35"/>
      <c r="CW95" s="35"/>
      <c r="CX95" s="35"/>
      <c r="CY95" s="35"/>
      <c r="CZ95" s="35"/>
      <c r="DA95" s="35"/>
      <c r="DB95" s="35"/>
      <c r="DC95" s="35"/>
      <c r="DD95" s="35"/>
      <c r="DE95" s="35"/>
      <c r="DF95" s="35"/>
      <c r="DG95" s="35"/>
      <c r="DH95" s="203">
        <v>-0.98613861386138613</v>
      </c>
      <c r="DI95" s="35"/>
      <c r="DJ95" s="35"/>
      <c r="DK95" s="35"/>
      <c r="DL95" s="35"/>
      <c r="DM95" s="35"/>
      <c r="DN95" s="35"/>
      <c r="DO95" s="35">
        <v>-0.97425742574257423</v>
      </c>
      <c r="DP95" s="35"/>
      <c r="DQ95" s="35"/>
      <c r="DR95" s="35"/>
      <c r="DS95" s="203"/>
      <c r="DT95" s="203"/>
      <c r="DU95" s="203"/>
      <c r="DV95" s="203"/>
      <c r="DW95" s="35"/>
      <c r="DX95" s="203"/>
      <c r="DY95" s="203">
        <v>-148.18481848184817</v>
      </c>
      <c r="DZ95" s="35"/>
      <c r="EA95" s="35"/>
      <c r="EB95" s="35"/>
      <c r="EC95" s="35"/>
      <c r="ED95" s="35"/>
      <c r="EE95" s="35"/>
      <c r="EF95" s="35"/>
      <c r="EG95" s="35"/>
      <c r="EH95" s="35"/>
      <c r="EI95" s="35"/>
      <c r="EJ95" s="203">
        <v>9.2792079207920786</v>
      </c>
      <c r="EK95" s="35"/>
      <c r="EL95" s="35"/>
      <c r="EM95" s="203"/>
      <c r="EN95" s="35"/>
      <c r="EO95" s="35"/>
      <c r="EP95" s="35"/>
      <c r="EQ95" s="35"/>
      <c r="ER95" s="35"/>
      <c r="ES95" s="35"/>
      <c r="ET95" s="203"/>
      <c r="EU95" s="35"/>
      <c r="EV95" s="35"/>
      <c r="EW95" s="35"/>
      <c r="EX95" s="35"/>
      <c r="EY95" s="35"/>
      <c r="EZ95" s="35"/>
      <c r="FA95" s="35"/>
      <c r="FB95" s="35"/>
      <c r="FC95" s="35"/>
      <c r="FD95" s="35"/>
      <c r="FE95" s="35"/>
      <c r="FF95" s="35"/>
      <c r="FG95" s="35"/>
      <c r="FH95" s="35"/>
      <c r="FI95" s="35"/>
      <c r="FJ95" s="35"/>
      <c r="FK95" s="35"/>
      <c r="FL95" s="35"/>
      <c r="FM95" s="35"/>
      <c r="FN95" s="35"/>
      <c r="FO95" s="35"/>
      <c r="FP95" s="35"/>
      <c r="FQ95" s="35"/>
      <c r="FR95" s="35"/>
      <c r="FS95" s="35"/>
      <c r="FT95" s="35"/>
      <c r="FU95" s="35"/>
      <c r="FV95" s="35"/>
      <c r="FW95" s="35"/>
      <c r="FX95" s="35"/>
      <c r="FY95" s="35"/>
      <c r="FZ95" s="35"/>
      <c r="GA95" s="35"/>
      <c r="GB95" s="318"/>
      <c r="GC95" s="178">
        <f t="shared" si="14"/>
        <v>0</v>
      </c>
      <c r="GD95" s="178">
        <f t="shared" si="15"/>
        <v>-0.5252</v>
      </c>
      <c r="GE95" s="178">
        <f t="shared" si="16"/>
        <v>0</v>
      </c>
      <c r="GF95" s="178">
        <f t="shared" si="17"/>
        <v>0</v>
      </c>
      <c r="GG95" s="178">
        <f t="shared" si="22"/>
        <v>0</v>
      </c>
    </row>
    <row r="96" spans="1:189" x14ac:dyDescent="0.35">
      <c r="A96" s="5" t="s">
        <v>894</v>
      </c>
      <c r="B96" s="6" t="str">
        <f>IF(Technologies!B96&lt;&gt;0,Technologies!B96,"")</f>
        <v>Industrie</v>
      </c>
      <c r="C96" s="6" t="s">
        <v>817</v>
      </c>
      <c r="D96" s="6" t="str">
        <f>VLOOKUP($A96,Technologies!$A$7:$H$576,4,FALSE)</f>
        <v>Industry</v>
      </c>
      <c r="E96" s="6" t="str">
        <f>VLOOKUP($A96,Technologies!$A$7:$H$576,6,FALSE)</f>
        <v>Bioplastics (PEF, PLA)</v>
      </c>
      <c r="F96" s="48" t="str">
        <f>VLOOKUP($A96,Technologies!$A$7:$H$576,7,FALSE)</f>
        <v>Bioplastics from hydrolisis, fermenation and furfularization - Bioplastics</v>
      </c>
      <c r="G96" s="22"/>
      <c r="H96" s="22"/>
      <c r="I96" s="103" cm="1">
        <f t="array" ref="I96">-SUMPRODUCT((Feedstocks!$C$4:$C$141=A96)*Feedstocks!$E$4:$E$141,Feedstocks!$F$4:$F$141,Feedstocks!$H$4:$H$141,Feedstocks!$I$4:$I$141)</f>
        <v>0</v>
      </c>
      <c r="J96" s="103" cm="1">
        <f t="array" ref="J96">-SUMPRODUCT((Feedstocks!$C$4:$C$141=A96)*Feedstocks!$E$4:$E$141,Feedstocks!$H$4:$H$141,Feedstocks!$I$4:$I$141)</f>
        <v>2.74</v>
      </c>
      <c r="K96" s="103"/>
      <c r="L96" s="103"/>
      <c r="M96" s="22">
        <v>1</v>
      </c>
      <c r="N96" s="22" t="s">
        <v>320</v>
      </c>
      <c r="O96" s="22"/>
      <c r="P96" s="200" t="s">
        <v>897</v>
      </c>
      <c r="Q96" s="203"/>
      <c r="R96" s="203"/>
      <c r="S96" s="203"/>
      <c r="T96" s="203"/>
      <c r="U96" s="203"/>
      <c r="V96" s="203"/>
      <c r="W96" s="203"/>
      <c r="X96" s="203"/>
      <c r="Y96" s="203"/>
      <c r="Z96" s="203"/>
      <c r="AA96" s="203"/>
      <c r="AB96" s="203"/>
      <c r="AC96" s="203"/>
      <c r="AD96" s="203"/>
      <c r="AE96" s="203"/>
      <c r="AF96" s="203"/>
      <c r="AG96" s="203"/>
      <c r="AH96" s="203"/>
      <c r="AI96" s="203"/>
      <c r="AJ96" s="203"/>
      <c r="AK96" s="203"/>
      <c r="AL96" s="203"/>
      <c r="AM96" s="203"/>
      <c r="AN96" s="203"/>
      <c r="AO96" s="203"/>
      <c r="AP96" s="203"/>
      <c r="AQ96" s="203"/>
      <c r="AR96" s="203"/>
      <c r="AS96" s="203"/>
      <c r="AT96" s="203"/>
      <c r="AU96" s="203"/>
      <c r="AV96" s="203"/>
      <c r="AW96" s="203"/>
      <c r="AX96" s="203"/>
      <c r="AY96" s="203"/>
      <c r="AZ96" s="203"/>
      <c r="BA96" s="203"/>
      <c r="BB96" s="203"/>
      <c r="BC96" s="203"/>
      <c r="BD96" s="203"/>
      <c r="BE96" s="203"/>
      <c r="BF96" s="203"/>
      <c r="BG96" s="203"/>
      <c r="BH96" s="203"/>
      <c r="BI96" s="203"/>
      <c r="BJ96" s="203"/>
      <c r="BK96" s="203"/>
      <c r="BL96" s="203"/>
      <c r="BM96" s="203"/>
      <c r="BN96" s="203"/>
      <c r="BO96" s="203"/>
      <c r="BP96" s="203"/>
      <c r="BQ96" s="203"/>
      <c r="BR96" s="203"/>
      <c r="BS96" s="203"/>
      <c r="BT96" s="203"/>
      <c r="BU96" s="203"/>
      <c r="BV96" s="203"/>
      <c r="BW96" s="203"/>
      <c r="BX96" s="203"/>
      <c r="BY96" s="203"/>
      <c r="BZ96" s="203"/>
      <c r="CA96" s="203"/>
      <c r="CB96" s="203"/>
      <c r="CC96" s="203"/>
      <c r="CD96" s="203"/>
      <c r="CE96" s="203"/>
      <c r="CF96" s="203"/>
      <c r="CG96" s="203"/>
      <c r="CH96" s="203"/>
      <c r="CI96" s="203"/>
      <c r="CJ96" s="203"/>
      <c r="CK96" s="203"/>
      <c r="CL96" s="203"/>
      <c r="CM96" s="203"/>
      <c r="CN96" s="203"/>
      <c r="CO96" s="203"/>
      <c r="CP96" s="203"/>
      <c r="CQ96" s="203"/>
      <c r="CR96" s="203"/>
      <c r="CS96" s="203"/>
      <c r="CT96" s="203"/>
      <c r="CU96" s="203"/>
      <c r="CV96" s="203"/>
      <c r="CW96" s="203"/>
      <c r="CX96" s="203">
        <v>1</v>
      </c>
      <c r="CY96" s="203"/>
      <c r="CZ96" s="203"/>
      <c r="DA96" s="203"/>
      <c r="DB96" s="203"/>
      <c r="DC96" s="203"/>
      <c r="DD96" s="203"/>
      <c r="DE96" s="203"/>
      <c r="DF96" s="203"/>
      <c r="DG96" s="203"/>
      <c r="DH96" s="35">
        <f>SUM(-0.002-0.002,-0.002-0.312)/2*3.6</f>
        <v>-0.57240000000000002</v>
      </c>
      <c r="DI96" s="35"/>
      <c r="DJ96" s="35"/>
      <c r="DK96" s="35"/>
      <c r="DL96" s="35"/>
      <c r="DM96" s="35"/>
      <c r="DN96" s="35"/>
      <c r="DO96" s="35">
        <f>SUM(-1.906-12.161,-2.192-18.7)/2</f>
        <v>-17.479500000000002</v>
      </c>
      <c r="DP96" s="203"/>
      <c r="DQ96" s="203"/>
      <c r="DR96" s="203"/>
      <c r="DS96" s="203"/>
      <c r="DT96" s="203"/>
      <c r="DU96" s="203"/>
      <c r="DV96" s="203"/>
      <c r="DW96" s="203"/>
      <c r="DX96" s="203"/>
      <c r="DY96" s="203"/>
      <c r="DZ96" s="203"/>
      <c r="EA96" s="203"/>
      <c r="EB96" s="203"/>
      <c r="EC96" s="203"/>
      <c r="ED96" s="203"/>
      <c r="EE96" s="203"/>
      <c r="EF96" s="203"/>
      <c r="EG96" s="203"/>
      <c r="EH96" s="203"/>
      <c r="EI96" s="203"/>
      <c r="EJ96" s="203"/>
      <c r="EK96" s="203"/>
      <c r="EL96" s="203"/>
      <c r="EM96" s="203"/>
      <c r="EN96" s="203"/>
      <c r="EO96" s="203"/>
      <c r="EP96" s="203"/>
      <c r="EQ96" s="203"/>
      <c r="ER96" s="203">
        <f>-SUM(1.507,2.39)/2*Activities!S140</f>
        <v>-29.422350000000002</v>
      </c>
      <c r="ES96" s="203"/>
      <c r="ET96" s="203"/>
      <c r="EU96" s="203"/>
      <c r="EV96" s="203"/>
      <c r="EW96" s="203"/>
      <c r="EX96" s="203"/>
      <c r="EY96" s="203"/>
      <c r="EZ96" s="203"/>
      <c r="FA96" s="203"/>
      <c r="FB96" s="203"/>
      <c r="FC96" s="203"/>
      <c r="FD96" s="203"/>
      <c r="FE96" s="203"/>
      <c r="FF96" s="203"/>
      <c r="FG96" s="203"/>
      <c r="FH96" s="203"/>
      <c r="FI96" s="203"/>
      <c r="FJ96" s="203"/>
      <c r="FK96" s="203"/>
      <c r="FL96" s="203"/>
      <c r="FM96" s="203"/>
      <c r="FN96" s="203"/>
      <c r="FO96" s="203"/>
      <c r="FP96" s="203"/>
      <c r="FQ96" s="203"/>
      <c r="FR96" s="203"/>
      <c r="FS96" s="203"/>
      <c r="FT96" s="203"/>
      <c r="FU96" s="203"/>
      <c r="FV96" s="203"/>
      <c r="FW96" s="203"/>
      <c r="FX96" s="203"/>
      <c r="FY96" s="203"/>
      <c r="FZ96" s="203"/>
      <c r="GA96" s="203"/>
      <c r="GB96" s="320"/>
      <c r="GC96" s="179">
        <f t="shared" si="14"/>
        <v>0</v>
      </c>
      <c r="GD96" s="179">
        <f t="shared" si="15"/>
        <v>0</v>
      </c>
      <c r="GE96" s="179">
        <f t="shared" si="16"/>
        <v>0</v>
      </c>
      <c r="GF96" s="179">
        <f t="shared" si="17"/>
        <v>0</v>
      </c>
      <c r="GG96" s="179">
        <f t="shared" si="22"/>
        <v>0</v>
      </c>
    </row>
    <row r="97" spans="1:189" x14ac:dyDescent="0.35">
      <c r="A97" s="6" t="s">
        <v>898</v>
      </c>
      <c r="B97" s="6" t="str">
        <f>IF(Technologies!B97&lt;&gt;0,Technologies!B97,"")</f>
        <v>Industrie</v>
      </c>
      <c r="C97" s="6" t="str">
        <f>VLOOKUP($A97,Technologies!$A$7:$H$576,3,FALSE)</f>
        <v>Conversion</v>
      </c>
      <c r="D97" s="6" t="str">
        <f>VLOOKUP($A97,Technologies!$A$7:$H$576,4,FALSE)</f>
        <v>Industry</v>
      </c>
      <c r="E97" s="6" t="str">
        <f>VLOOKUP($A97,Technologies!$A$7:$H$576,6,FALSE)</f>
        <v>Chlorine intermediate</v>
      </c>
      <c r="F97" s="48" t="str">
        <f>VLOOKUP($A97,Technologies!$A$7:$H$576,7,FALSE)</f>
        <v>Chlor - alkali finite gap brine electrolysis - Chlorine production</v>
      </c>
      <c r="G97" s="22"/>
      <c r="H97" s="22"/>
      <c r="I97" s="103" cm="1">
        <f t="array" ref="I97">-SUMPRODUCT((Feedstocks!$C$4:$C$141=A97)*Feedstocks!$E$4:$E$141,Feedstocks!$F$4:$F$141,Feedstocks!$H$4:$H$141,Feedstocks!$I$4:$I$141)</f>
        <v>0</v>
      </c>
      <c r="J97" s="103" cm="1">
        <f t="array" ref="J97">-SUMPRODUCT((Feedstocks!$C$4:$C$141=A97)*Feedstocks!$E$4:$E$141,Feedstocks!$H$4:$H$141,Feedstocks!$I$4:$I$141)</f>
        <v>0</v>
      </c>
      <c r="K97" s="103"/>
      <c r="L97" s="103"/>
      <c r="M97" s="22">
        <v>1</v>
      </c>
      <c r="N97" s="22" t="str">
        <f>VLOOKUP(E97,Activities!$A$9:$M$227,13,FALSE)</f>
        <v>NL</v>
      </c>
      <c r="O97" s="22"/>
      <c r="P97" s="80" t="s">
        <v>1815</v>
      </c>
      <c r="Q97" s="36"/>
      <c r="R97" s="36"/>
      <c r="S97" s="36"/>
      <c r="T97" s="36"/>
      <c r="U97" s="36"/>
      <c r="V97" s="36"/>
      <c r="W97" s="36"/>
      <c r="X97" s="36"/>
      <c r="Y97" s="36"/>
      <c r="Z97" s="36"/>
      <c r="AA97" s="36"/>
      <c r="AB97" s="36"/>
      <c r="AC97" s="36"/>
      <c r="AD97" s="36"/>
      <c r="AE97" s="36"/>
      <c r="AF97" s="203"/>
      <c r="AG97" s="203"/>
      <c r="AH97" s="203"/>
      <c r="AI97" s="203"/>
      <c r="AJ97" s="203"/>
      <c r="AK97" s="203"/>
      <c r="AL97" s="203"/>
      <c r="AM97" s="203"/>
      <c r="AN97" s="203"/>
      <c r="AO97" s="203"/>
      <c r="AP97" s="36"/>
      <c r="AQ97" s="36"/>
      <c r="AR97" s="36"/>
      <c r="AS97" s="36"/>
      <c r="AT97" s="36"/>
      <c r="AU97" s="36"/>
      <c r="AV97" s="36"/>
      <c r="AW97" s="36"/>
      <c r="AX97" s="36"/>
      <c r="AY97" s="36"/>
      <c r="AZ97" s="36"/>
      <c r="BA97" s="36"/>
      <c r="BB97" s="36"/>
      <c r="BC97" s="36"/>
      <c r="BD97" s="36"/>
      <c r="BE97" s="36"/>
      <c r="BF97" s="36"/>
      <c r="BG97" s="36"/>
      <c r="BH97" s="36"/>
      <c r="BI97" s="36"/>
      <c r="BJ97" s="36"/>
      <c r="BK97" s="36"/>
      <c r="BL97" s="36"/>
      <c r="BM97" s="36"/>
      <c r="BN97" s="36"/>
      <c r="BO97" s="36"/>
      <c r="BP97" s="36"/>
      <c r="BQ97" s="36"/>
      <c r="BR97" s="36"/>
      <c r="BS97" s="36"/>
      <c r="BT97" s="36"/>
      <c r="BU97" s="36"/>
      <c r="BV97" s="36"/>
      <c r="BW97" s="36"/>
      <c r="BX97" s="36"/>
      <c r="BY97" s="36"/>
      <c r="BZ97" s="36"/>
      <c r="CA97" s="36"/>
      <c r="CB97" s="36"/>
      <c r="CC97" s="36"/>
      <c r="CD97" s="36"/>
      <c r="CE97" s="36"/>
      <c r="CF97" s="36"/>
      <c r="CG97" s="36"/>
      <c r="CH97" s="36"/>
      <c r="CI97" s="36"/>
      <c r="CJ97" s="36"/>
      <c r="CK97" s="36"/>
      <c r="CL97" s="36"/>
      <c r="CM97" s="36"/>
      <c r="CN97" s="36"/>
      <c r="CO97" s="36"/>
      <c r="CP97" s="36"/>
      <c r="CQ97" s="36"/>
      <c r="CR97" s="36"/>
      <c r="CS97" s="36"/>
      <c r="CT97" s="36"/>
      <c r="CU97" s="36"/>
      <c r="CV97" s="36">
        <v>1</v>
      </c>
      <c r="CW97" s="36"/>
      <c r="CX97" s="36"/>
      <c r="CY97" s="36"/>
      <c r="CZ97" s="36"/>
      <c r="DA97" s="36"/>
      <c r="DB97" s="36"/>
      <c r="DC97" s="36"/>
      <c r="DD97" s="36"/>
      <c r="DE97" s="36"/>
      <c r="DF97" s="36"/>
      <c r="DG97" s="36"/>
      <c r="DH97" s="36">
        <v>-7.43</v>
      </c>
      <c r="DI97" s="36"/>
      <c r="DJ97" s="36"/>
      <c r="DK97" s="36"/>
      <c r="DL97" s="36"/>
      <c r="DM97" s="36"/>
      <c r="DN97" s="36"/>
      <c r="DO97" s="36">
        <v>1.82</v>
      </c>
      <c r="DP97" s="36"/>
      <c r="DQ97" s="36"/>
      <c r="DR97" s="36"/>
      <c r="DS97" s="36"/>
      <c r="DT97" s="36"/>
      <c r="DU97" s="36"/>
      <c r="DV97" s="36"/>
      <c r="DW97" s="36"/>
      <c r="DX97" s="36"/>
      <c r="DY97" s="36"/>
      <c r="DZ97" s="36"/>
      <c r="EA97" s="36"/>
      <c r="EB97" s="36"/>
      <c r="EC97" s="36"/>
      <c r="ED97" s="36"/>
      <c r="EE97" s="36"/>
      <c r="EF97" s="36"/>
      <c r="EG97" s="36"/>
      <c r="EH97" s="36"/>
      <c r="EI97" s="36"/>
      <c r="EJ97" s="36"/>
      <c r="EK97" s="36"/>
      <c r="EL97" s="36"/>
      <c r="EM97" s="36">
        <v>2.8000000000000001E-2</v>
      </c>
      <c r="EN97" s="36"/>
      <c r="EO97" s="36"/>
      <c r="EP97" s="36"/>
      <c r="EQ97" s="36"/>
      <c r="ER97" s="36"/>
      <c r="ES97" s="36"/>
      <c r="ET97" s="36"/>
      <c r="EU97" s="36"/>
      <c r="EV97" s="36"/>
      <c r="EW97" s="36"/>
      <c r="EX97" s="36"/>
      <c r="EY97" s="36"/>
      <c r="EZ97" s="36"/>
      <c r="FA97" s="36"/>
      <c r="FB97" s="36"/>
      <c r="FC97" s="36"/>
      <c r="FD97" s="36"/>
      <c r="FE97" s="36"/>
      <c r="FF97" s="36"/>
      <c r="FG97" s="36"/>
      <c r="FH97" s="36"/>
      <c r="FI97" s="36"/>
      <c r="FJ97" s="36"/>
      <c r="FK97" s="36"/>
      <c r="FL97" s="36"/>
      <c r="FM97" s="36"/>
      <c r="FN97" s="36"/>
      <c r="FO97" s="36"/>
      <c r="FP97" s="36"/>
      <c r="FQ97" s="36"/>
      <c r="FR97" s="36"/>
      <c r="FS97" s="36"/>
      <c r="FT97" s="36"/>
      <c r="FU97" s="36"/>
      <c r="FV97" s="36"/>
      <c r="FW97" s="36"/>
      <c r="FX97" s="36"/>
      <c r="FY97" s="36"/>
      <c r="FZ97" s="36"/>
      <c r="GA97" s="36"/>
      <c r="GB97" s="319"/>
      <c r="GC97" s="179">
        <f t="shared" si="14"/>
        <v>0</v>
      </c>
      <c r="GD97" s="179">
        <f t="shared" si="15"/>
        <v>0</v>
      </c>
      <c r="GE97" s="179">
        <f t="shared" si="16"/>
        <v>0</v>
      </c>
      <c r="GF97" s="179">
        <f t="shared" si="17"/>
        <v>0</v>
      </c>
      <c r="GG97" s="179">
        <f t="shared" si="22"/>
        <v>0</v>
      </c>
    </row>
    <row r="98" spans="1:189" x14ac:dyDescent="0.35">
      <c r="A98" s="6" t="s">
        <v>902</v>
      </c>
      <c r="B98" s="6" t="str">
        <f>IF(Technologies!B98&lt;&gt;0,Technologies!B98,"")</f>
        <v>Industrie</v>
      </c>
      <c r="C98" s="6" t="str">
        <f>VLOOKUP($A98,Technologies!$A$7:$H$576,3,FALSE)</f>
        <v>Final</v>
      </c>
      <c r="D98" s="6" t="str">
        <f>VLOOKUP($A98,Technologies!$A$7:$H$576,4,FALSE)</f>
        <v>Industry</v>
      </c>
      <c r="E98" s="6" t="str">
        <f>VLOOKUP($A98,Technologies!$A$7:$H$576,6,FALSE)</f>
        <v>Chlorine production - Chemical Industry</v>
      </c>
      <c r="F98" s="48" t="str">
        <f>VLOOKUP($A98,Technologies!$A$7:$H$576,7,FALSE)</f>
        <v>Dummy - conversion of chlorine to final product</v>
      </c>
      <c r="G98" s="22"/>
      <c r="H98" s="22"/>
      <c r="I98" s="103"/>
      <c r="J98" s="103"/>
      <c r="K98" s="103"/>
      <c r="L98" s="103"/>
      <c r="M98" s="22">
        <v>1</v>
      </c>
      <c r="N98" s="22" t="str">
        <f>VLOOKUP(E98,Activities!$A$9:$M$227,13,FALSE)</f>
        <v>NL</v>
      </c>
      <c r="O98" s="22"/>
      <c r="P98" s="79" t="s">
        <v>502</v>
      </c>
      <c r="Q98" s="36"/>
      <c r="R98" s="36"/>
      <c r="S98" s="36"/>
      <c r="T98" s="36"/>
      <c r="U98" s="36"/>
      <c r="V98" s="36"/>
      <c r="W98" s="36"/>
      <c r="X98" s="36"/>
      <c r="Y98" s="36"/>
      <c r="Z98" s="36"/>
      <c r="AA98" s="36"/>
      <c r="AB98" s="36"/>
      <c r="AC98" s="36"/>
      <c r="AD98" s="36"/>
      <c r="AE98" s="36"/>
      <c r="AF98" s="203"/>
      <c r="AG98" s="203"/>
      <c r="AH98" s="203"/>
      <c r="AI98" s="203"/>
      <c r="AJ98" s="203"/>
      <c r="AK98" s="203"/>
      <c r="AL98" s="203"/>
      <c r="AM98" s="203"/>
      <c r="AN98" s="203"/>
      <c r="AO98" s="203"/>
      <c r="AP98" s="36">
        <v>1</v>
      </c>
      <c r="AQ98" s="36"/>
      <c r="AR98" s="36"/>
      <c r="AS98" s="36"/>
      <c r="AT98" s="36"/>
      <c r="AU98" s="36"/>
      <c r="AV98" s="36"/>
      <c r="AW98" s="36"/>
      <c r="AX98" s="36"/>
      <c r="AY98" s="36"/>
      <c r="AZ98" s="36"/>
      <c r="BA98" s="36"/>
      <c r="BB98" s="36"/>
      <c r="BC98" s="36"/>
      <c r="BD98" s="36"/>
      <c r="BE98" s="36"/>
      <c r="BF98" s="36"/>
      <c r="BG98" s="36"/>
      <c r="BH98" s="36"/>
      <c r="BI98" s="36"/>
      <c r="BJ98" s="36"/>
      <c r="BK98" s="36"/>
      <c r="BL98" s="36"/>
      <c r="BM98" s="36"/>
      <c r="BN98" s="36"/>
      <c r="BO98" s="36"/>
      <c r="BP98" s="36"/>
      <c r="BQ98" s="36"/>
      <c r="BR98" s="36"/>
      <c r="BS98" s="36"/>
      <c r="BT98" s="36"/>
      <c r="BU98" s="36"/>
      <c r="BV98" s="36"/>
      <c r="BW98" s="36"/>
      <c r="BX98" s="36"/>
      <c r="BY98" s="36"/>
      <c r="BZ98" s="36"/>
      <c r="CA98" s="36"/>
      <c r="CB98" s="36"/>
      <c r="CC98" s="36"/>
      <c r="CD98" s="36"/>
      <c r="CE98" s="36"/>
      <c r="CF98" s="36"/>
      <c r="CG98" s="36"/>
      <c r="CH98" s="36"/>
      <c r="CI98" s="36"/>
      <c r="CJ98" s="36"/>
      <c r="CK98" s="36"/>
      <c r="CL98" s="36"/>
      <c r="CM98" s="36"/>
      <c r="CN98" s="36"/>
      <c r="CO98" s="36"/>
      <c r="CP98" s="36"/>
      <c r="CQ98" s="36"/>
      <c r="CR98" s="36"/>
      <c r="CS98" s="36"/>
      <c r="CT98" s="36"/>
      <c r="CU98" s="36"/>
      <c r="CV98" s="36">
        <v>-1</v>
      </c>
      <c r="CW98" s="36"/>
      <c r="CX98" s="36"/>
      <c r="CY98" s="36"/>
      <c r="CZ98" s="36"/>
      <c r="DA98" s="36"/>
      <c r="DB98" s="36"/>
      <c r="DC98" s="36"/>
      <c r="DD98" s="36"/>
      <c r="DE98" s="36"/>
      <c r="DF98" s="36"/>
      <c r="DG98" s="36"/>
      <c r="DH98" s="36"/>
      <c r="DI98" s="36"/>
      <c r="DJ98" s="36"/>
      <c r="DK98" s="36"/>
      <c r="DL98" s="36"/>
      <c r="DM98" s="36"/>
      <c r="DN98" s="36"/>
      <c r="DO98" s="36"/>
      <c r="DP98" s="36"/>
      <c r="DQ98" s="36"/>
      <c r="DR98" s="36"/>
      <c r="DS98" s="36"/>
      <c r="DT98" s="36"/>
      <c r="DU98" s="36"/>
      <c r="DV98" s="36"/>
      <c r="DW98" s="36"/>
      <c r="DX98" s="36"/>
      <c r="DY98" s="36"/>
      <c r="DZ98" s="36"/>
      <c r="EA98" s="36"/>
      <c r="EB98" s="36"/>
      <c r="EC98" s="36"/>
      <c r="ED98" s="36"/>
      <c r="EE98" s="36"/>
      <c r="EF98" s="36"/>
      <c r="EG98" s="36"/>
      <c r="EH98" s="36"/>
      <c r="EI98" s="36"/>
      <c r="EJ98" s="36"/>
      <c r="EK98" s="36"/>
      <c r="EL98" s="36"/>
      <c r="EM98" s="36"/>
      <c r="EN98" s="36"/>
      <c r="EO98" s="36"/>
      <c r="EP98" s="36"/>
      <c r="EQ98" s="36"/>
      <c r="ER98" s="36"/>
      <c r="ES98" s="36"/>
      <c r="ET98" s="36"/>
      <c r="EU98" s="36"/>
      <c r="EV98" s="36"/>
      <c r="EW98" s="36"/>
      <c r="EX98" s="36"/>
      <c r="EY98" s="36"/>
      <c r="EZ98" s="36"/>
      <c r="FA98" s="36"/>
      <c r="FB98" s="36"/>
      <c r="FC98" s="36"/>
      <c r="FD98" s="36"/>
      <c r="FE98" s="36"/>
      <c r="FF98" s="36"/>
      <c r="FG98" s="36"/>
      <c r="FH98" s="36"/>
      <c r="FI98" s="36"/>
      <c r="FJ98" s="36"/>
      <c r="FK98" s="36"/>
      <c r="FL98" s="36"/>
      <c r="FM98" s="36"/>
      <c r="FN98" s="36"/>
      <c r="FO98" s="36"/>
      <c r="FP98" s="36"/>
      <c r="FQ98" s="36"/>
      <c r="FR98" s="36"/>
      <c r="FS98" s="36"/>
      <c r="FT98" s="36"/>
      <c r="FU98" s="36"/>
      <c r="FV98" s="36"/>
      <c r="FW98" s="36"/>
      <c r="FX98" s="36"/>
      <c r="FY98" s="36"/>
      <c r="FZ98" s="36"/>
      <c r="GA98" s="36"/>
      <c r="GB98" s="319"/>
      <c r="GC98" s="179">
        <f t="shared" si="14"/>
        <v>0</v>
      </c>
      <c r="GD98" s="179">
        <f t="shared" si="15"/>
        <v>0</v>
      </c>
      <c r="GE98" s="179">
        <f t="shared" si="16"/>
        <v>0</v>
      </c>
      <c r="GF98" s="179">
        <f t="shared" si="17"/>
        <v>0</v>
      </c>
      <c r="GG98" s="179">
        <f t="shared" si="22"/>
        <v>0</v>
      </c>
    </row>
    <row r="99" spans="1:189" x14ac:dyDescent="0.35">
      <c r="A99" s="6" t="s">
        <v>904</v>
      </c>
      <c r="B99" s="6" t="str">
        <f>IF(Technologies!B99&lt;&gt;0,Technologies!B99,"")</f>
        <v>Industrie</v>
      </c>
      <c r="C99" s="6" t="str">
        <f>VLOOKUP($A99,Technologies!$A$7:$H$576,3,FALSE)</f>
        <v>Conversion</v>
      </c>
      <c r="D99" s="6" t="str">
        <f>VLOOKUP($A99,Technologies!$A$7:$H$576,4,FALSE)</f>
        <v>Industry</v>
      </c>
      <c r="E99" s="6" t="str">
        <f>VLOOKUP($A99,Technologies!$A$7:$H$576,6,FALSE)</f>
        <v>Chlorine intermediate</v>
      </c>
      <c r="F99" s="48" t="str">
        <f>VLOOKUP($A99,Technologies!$A$7:$H$576,7,FALSE)</f>
        <v>Chlor - alkali zero-gap brine electrolysis - Chlorine production</v>
      </c>
      <c r="G99" s="22"/>
      <c r="H99" s="22"/>
      <c r="I99" s="103"/>
      <c r="J99" s="103"/>
      <c r="K99" s="103"/>
      <c r="L99" s="103"/>
      <c r="M99" s="22">
        <v>1</v>
      </c>
      <c r="N99" s="22" t="s">
        <v>320</v>
      </c>
      <c r="O99" s="22"/>
      <c r="P99" s="79" t="s">
        <v>1815</v>
      </c>
      <c r="Q99" s="36"/>
      <c r="R99" s="36"/>
      <c r="S99" s="36"/>
      <c r="T99" s="36"/>
      <c r="U99" s="36"/>
      <c r="V99" s="36"/>
      <c r="W99" s="36"/>
      <c r="X99" s="36"/>
      <c r="Y99" s="36"/>
      <c r="Z99" s="36"/>
      <c r="AA99" s="36"/>
      <c r="AB99" s="36"/>
      <c r="AC99" s="36"/>
      <c r="AD99" s="36"/>
      <c r="AE99" s="36"/>
      <c r="AF99" s="203"/>
      <c r="AG99" s="203"/>
      <c r="AH99" s="203"/>
      <c r="AI99" s="203"/>
      <c r="AJ99" s="203"/>
      <c r="AK99" s="203"/>
      <c r="AL99" s="203"/>
      <c r="AM99" s="203"/>
      <c r="AN99" s="203"/>
      <c r="AO99" s="203"/>
      <c r="AP99" s="36"/>
      <c r="AQ99" s="36"/>
      <c r="AR99" s="36"/>
      <c r="AS99" s="36"/>
      <c r="AT99" s="36"/>
      <c r="AU99" s="36"/>
      <c r="AV99" s="36"/>
      <c r="AW99" s="36"/>
      <c r="AX99" s="36"/>
      <c r="AY99" s="36"/>
      <c r="AZ99" s="36"/>
      <c r="BA99" s="36"/>
      <c r="BB99" s="36"/>
      <c r="BC99" s="36"/>
      <c r="BD99" s="36"/>
      <c r="BE99" s="36"/>
      <c r="BF99" s="36"/>
      <c r="BG99" s="36"/>
      <c r="BH99" s="36"/>
      <c r="BI99" s="36"/>
      <c r="BJ99" s="36"/>
      <c r="BK99" s="36"/>
      <c r="BL99" s="36"/>
      <c r="BM99" s="36"/>
      <c r="BN99" s="36"/>
      <c r="BO99" s="36"/>
      <c r="BP99" s="36"/>
      <c r="BQ99" s="36"/>
      <c r="BR99" s="36"/>
      <c r="BS99" s="36"/>
      <c r="BT99" s="36"/>
      <c r="BU99" s="36"/>
      <c r="BV99" s="36"/>
      <c r="BW99" s="36"/>
      <c r="BX99" s="36"/>
      <c r="BY99" s="36"/>
      <c r="BZ99" s="36"/>
      <c r="CA99" s="36"/>
      <c r="CB99" s="36"/>
      <c r="CC99" s="36"/>
      <c r="CD99" s="36"/>
      <c r="CE99" s="36"/>
      <c r="CF99" s="36"/>
      <c r="CG99" s="36"/>
      <c r="CH99" s="36"/>
      <c r="CI99" s="36"/>
      <c r="CJ99" s="36"/>
      <c r="CK99" s="36"/>
      <c r="CL99" s="36"/>
      <c r="CM99" s="36"/>
      <c r="CN99" s="36"/>
      <c r="CO99" s="36"/>
      <c r="CP99" s="36"/>
      <c r="CQ99" s="36"/>
      <c r="CR99" s="36"/>
      <c r="CS99" s="36"/>
      <c r="CT99" s="36"/>
      <c r="CU99" s="36"/>
      <c r="CV99" s="36">
        <v>1</v>
      </c>
      <c r="CW99" s="36"/>
      <c r="CX99" s="36"/>
      <c r="CY99" s="36"/>
      <c r="CZ99" s="36"/>
      <c r="DA99" s="36"/>
      <c r="DB99" s="36"/>
      <c r="DC99" s="36"/>
      <c r="DD99" s="36"/>
      <c r="DE99" s="36"/>
      <c r="DF99" s="36"/>
      <c r="DG99" s="36"/>
      <c r="DH99" s="36">
        <v>-6.08</v>
      </c>
      <c r="DI99" s="36"/>
      <c r="DJ99" s="36"/>
      <c r="DK99" s="36"/>
      <c r="DL99" s="36"/>
      <c r="DM99" s="36"/>
      <c r="DN99" s="36"/>
      <c r="DO99" s="36">
        <v>1.49</v>
      </c>
      <c r="DP99" s="36"/>
      <c r="DQ99" s="36"/>
      <c r="DR99" s="36"/>
      <c r="DS99" s="36"/>
      <c r="DT99" s="36"/>
      <c r="DU99" s="36"/>
      <c r="DV99" s="36"/>
      <c r="DW99" s="36"/>
      <c r="DX99" s="36"/>
      <c r="DY99" s="36"/>
      <c r="DZ99" s="36"/>
      <c r="EA99" s="36"/>
      <c r="EB99" s="36"/>
      <c r="EC99" s="36"/>
      <c r="ED99" s="36"/>
      <c r="EE99" s="36"/>
      <c r="EF99" s="36"/>
      <c r="EG99" s="36"/>
      <c r="EH99" s="36"/>
      <c r="EI99" s="36"/>
      <c r="EJ99" s="36"/>
      <c r="EK99" s="36"/>
      <c r="EL99" s="36"/>
      <c r="EM99" s="36"/>
      <c r="EN99" s="36"/>
      <c r="EO99" s="36"/>
      <c r="EP99" s="36"/>
      <c r="EQ99" s="36"/>
      <c r="ER99" s="36"/>
      <c r="ES99" s="36"/>
      <c r="ET99" s="36"/>
      <c r="EU99" s="36"/>
      <c r="EV99" s="36"/>
      <c r="EW99" s="36"/>
      <c r="EX99" s="36"/>
      <c r="EY99" s="36"/>
      <c r="EZ99" s="36"/>
      <c r="FA99" s="36"/>
      <c r="FB99" s="36"/>
      <c r="FC99" s="36"/>
      <c r="FD99" s="36"/>
      <c r="FE99" s="36"/>
      <c r="FF99" s="36"/>
      <c r="FG99" s="36"/>
      <c r="FH99" s="36"/>
      <c r="FI99" s="36"/>
      <c r="FJ99" s="36"/>
      <c r="FK99" s="36"/>
      <c r="FL99" s="36"/>
      <c r="FM99" s="36"/>
      <c r="FN99" s="36"/>
      <c r="FO99" s="36"/>
      <c r="FP99" s="36"/>
      <c r="FQ99" s="36"/>
      <c r="FR99" s="36"/>
      <c r="FS99" s="36"/>
      <c r="FT99" s="36"/>
      <c r="FU99" s="36"/>
      <c r="FV99" s="36"/>
      <c r="FW99" s="36"/>
      <c r="FX99" s="36"/>
      <c r="FY99" s="36"/>
      <c r="FZ99" s="36"/>
      <c r="GA99" s="36"/>
      <c r="GB99" s="319"/>
      <c r="GC99" s="179">
        <f t="shared" si="14"/>
        <v>0</v>
      </c>
      <c r="GD99" s="179">
        <f t="shared" si="15"/>
        <v>0</v>
      </c>
      <c r="GE99" s="179">
        <f t="shared" si="16"/>
        <v>0</v>
      </c>
      <c r="GF99" s="179">
        <f t="shared" si="17"/>
        <v>0</v>
      </c>
      <c r="GG99" s="179">
        <f t="shared" si="22"/>
        <v>0</v>
      </c>
    </row>
    <row r="100" spans="1:189" x14ac:dyDescent="0.35">
      <c r="A100" s="6" t="s">
        <v>906</v>
      </c>
      <c r="B100" s="6" t="str">
        <f>IF(Technologies!B100&lt;&gt;0,Technologies!B100,"")</f>
        <v>Industrie</v>
      </c>
      <c r="C100" s="6" t="str">
        <f>VLOOKUP($A100,Technologies!$A$7:$H$576,3,FALSE)</f>
        <v>Final</v>
      </c>
      <c r="D100" s="6" t="str">
        <f>VLOOKUP($A100,Technologies!$A$7:$H$576,4,FALSE)</f>
        <v>Industry</v>
      </c>
      <c r="E100" s="6" t="str">
        <f>VLOOKUP($A100,Technologies!$A$7:$H$576,6,FALSE)</f>
        <v>Other ETS chemicals - Chemical Industry</v>
      </c>
      <c r="F100" s="48" t="str">
        <f>VLOOKUP($A100,Technologies!$A$7:$H$576,7,FALSE)</f>
        <v>Reference remaining chemicals - Other ETS chemicals</v>
      </c>
      <c r="G100" s="22"/>
      <c r="H100" s="22"/>
      <c r="I100" s="103" cm="1">
        <f t="array" ref="I100">-SUMPRODUCT((Feedstocks!$C$4:$C$141=A100)*Feedstocks!$E$4:$E$141,Feedstocks!$F$4:$F$141,Feedstocks!$H$4:$H$141,Feedstocks!$I$4:$I$141)</f>
        <v>2.8563000000000009</v>
      </c>
      <c r="J100" s="103" cm="1">
        <f t="array" ref="J100">-SUMPRODUCT((Feedstocks!$C$4:$C$141=A100)*Feedstocks!$E$4:$E$141,Feedstocks!$H$4:$H$141,Feedstocks!$I$4:$I$141)</f>
        <v>2.8563000000000009</v>
      </c>
      <c r="K100" s="103"/>
      <c r="L100" s="103"/>
      <c r="M100" s="22">
        <v>1</v>
      </c>
      <c r="N100" s="22" t="str">
        <f>VLOOKUP(E100,Activities!$A$9:$M$227,13,FALSE)</f>
        <v>NL</v>
      </c>
      <c r="O100" s="22"/>
      <c r="P100" s="80" t="s">
        <v>909</v>
      </c>
      <c r="Q100" s="36"/>
      <c r="R100" s="36"/>
      <c r="S100" s="36"/>
      <c r="T100" s="36"/>
      <c r="U100" s="36"/>
      <c r="V100" s="36"/>
      <c r="W100" s="36"/>
      <c r="X100" s="36"/>
      <c r="Y100" s="36"/>
      <c r="Z100" s="36"/>
      <c r="AA100" s="36"/>
      <c r="AB100" s="36"/>
      <c r="AC100" s="36"/>
      <c r="AD100" s="36"/>
      <c r="AE100" s="36"/>
      <c r="AF100" s="36"/>
      <c r="AG100" s="36"/>
      <c r="AH100" s="36"/>
      <c r="AI100" s="36"/>
      <c r="AJ100" s="36"/>
      <c r="AK100" s="36"/>
      <c r="AL100" s="36"/>
      <c r="AM100" s="36"/>
      <c r="AN100" s="36"/>
      <c r="AO100" s="36"/>
      <c r="AP100" s="36"/>
      <c r="AQ100" s="36">
        <v>1</v>
      </c>
      <c r="AR100" s="36"/>
      <c r="AS100" s="36"/>
      <c r="AT100" s="36"/>
      <c r="AU100" s="36"/>
      <c r="AV100" s="36"/>
      <c r="AW100" s="36"/>
      <c r="AX100" s="36"/>
      <c r="AY100" s="36"/>
      <c r="AZ100" s="36"/>
      <c r="BA100" s="36"/>
      <c r="BB100" s="36"/>
      <c r="BC100" s="36"/>
      <c r="BD100" s="36"/>
      <c r="BE100" s="36"/>
      <c r="BF100" s="36"/>
      <c r="BG100" s="36"/>
      <c r="BH100" s="36"/>
      <c r="BI100" s="36"/>
      <c r="BJ100" s="36"/>
      <c r="BK100" s="36"/>
      <c r="BL100" s="36"/>
      <c r="BM100" s="36"/>
      <c r="BN100" s="36"/>
      <c r="BO100" s="36"/>
      <c r="BP100" s="36"/>
      <c r="BQ100" s="36"/>
      <c r="BR100" s="36"/>
      <c r="BS100" s="36"/>
      <c r="BT100" s="36"/>
      <c r="BU100" s="36"/>
      <c r="BV100" s="36"/>
      <c r="BW100" s="36"/>
      <c r="BX100" s="36"/>
      <c r="BY100" s="36"/>
      <c r="BZ100" s="36"/>
      <c r="CA100" s="36"/>
      <c r="CB100" s="36"/>
      <c r="CC100" s="36"/>
      <c r="CD100" s="36"/>
      <c r="CE100" s="36"/>
      <c r="CF100" s="36"/>
      <c r="CG100" s="36"/>
      <c r="CH100" s="36"/>
      <c r="CI100" s="36"/>
      <c r="CJ100" s="36"/>
      <c r="CK100" s="36"/>
      <c r="CL100" s="36"/>
      <c r="CM100" s="36"/>
      <c r="CN100" s="36"/>
      <c r="CO100" s="36"/>
      <c r="CP100" s="36"/>
      <c r="CQ100" s="36"/>
      <c r="CR100" s="36"/>
      <c r="CS100" s="36"/>
      <c r="CT100" s="36"/>
      <c r="CU100" s="36"/>
      <c r="CV100" s="36"/>
      <c r="CW100" s="36"/>
      <c r="CX100" s="36"/>
      <c r="CY100" s="36"/>
      <c r="CZ100" s="36"/>
      <c r="DA100" s="36"/>
      <c r="DB100" s="36"/>
      <c r="DC100" s="36"/>
      <c r="DD100" s="36"/>
      <c r="DE100" s="36"/>
      <c r="DF100" s="36"/>
      <c r="DG100" s="36"/>
      <c r="DH100" s="382">
        <f>-45.2+20.3</f>
        <v>-24.900000000000002</v>
      </c>
      <c r="DI100" s="36"/>
      <c r="DJ100" s="36"/>
      <c r="DK100" s="36"/>
      <c r="DL100" s="36"/>
      <c r="DM100" s="36"/>
      <c r="DN100" s="36"/>
      <c r="DO100" s="382">
        <f>(-69.5+10.3)*0.67</f>
        <v>-39.664000000000001</v>
      </c>
      <c r="DP100" s="382">
        <f>(-69.5+10.3)*0.25</f>
        <v>-14.8</v>
      </c>
      <c r="DQ100" s="382">
        <f>(-69.5+10.3)*0.08</f>
        <v>-4.7360000000000007</v>
      </c>
      <c r="DR100" s="36"/>
      <c r="DS100" s="36"/>
      <c r="DT100" s="382"/>
      <c r="DU100" s="36"/>
      <c r="DV100" s="36"/>
      <c r="DW100" s="36"/>
      <c r="DX100" s="382">
        <f>-101-282.2+368.9</f>
        <v>-14.300000000000011</v>
      </c>
      <c r="DY100" s="36"/>
      <c r="DZ100" s="36"/>
      <c r="EA100" s="36"/>
      <c r="EB100" s="36"/>
      <c r="EC100" s="36"/>
      <c r="ED100" s="36"/>
      <c r="EE100" s="36"/>
      <c r="EF100" s="36"/>
      <c r="EG100" s="36"/>
      <c r="EH100" s="36"/>
      <c r="EI100" s="36"/>
      <c r="EJ100" s="382">
        <f>-48.1-68.2+81.9</f>
        <v>-34.400000000000006</v>
      </c>
      <c r="EK100" s="36"/>
      <c r="EL100" s="36"/>
      <c r="EM100" s="36"/>
      <c r="EN100" s="36"/>
      <c r="EO100" s="36"/>
      <c r="EP100" s="36"/>
      <c r="EQ100" s="36"/>
      <c r="ER100" s="36"/>
      <c r="ES100" s="36"/>
      <c r="ET100" s="36"/>
      <c r="EU100" s="36"/>
      <c r="EV100" s="36"/>
      <c r="EW100" s="36"/>
      <c r="EX100" s="36"/>
      <c r="EY100" s="36"/>
      <c r="EZ100" s="36"/>
      <c r="FA100" s="36"/>
      <c r="FB100" s="36"/>
      <c r="FC100" s="36"/>
      <c r="FD100" s="36"/>
      <c r="FE100" s="36"/>
      <c r="FF100" s="36"/>
      <c r="FG100" s="36"/>
      <c r="FH100" s="36"/>
      <c r="FI100" s="36"/>
      <c r="FJ100" s="36"/>
      <c r="FK100" s="36"/>
      <c r="FL100" s="36"/>
      <c r="FM100" s="36"/>
      <c r="FN100" s="36"/>
      <c r="FO100" s="36"/>
      <c r="FP100" s="36"/>
      <c r="FQ100" s="36"/>
      <c r="FR100" s="36"/>
      <c r="FS100" s="36"/>
      <c r="FT100" s="36"/>
      <c r="FU100" s="36"/>
      <c r="FV100" s="36"/>
      <c r="FW100" s="36"/>
      <c r="FX100" s="36"/>
      <c r="FY100" s="36"/>
      <c r="FZ100" s="36"/>
      <c r="GA100" s="36"/>
      <c r="GB100" s="319"/>
      <c r="GC100" s="179">
        <f t="shared" si="14"/>
        <v>0</v>
      </c>
      <c r="GD100" s="179">
        <f t="shared" si="15"/>
        <v>0.249</v>
      </c>
      <c r="GE100" s="179">
        <f t="shared" si="16"/>
        <v>0</v>
      </c>
      <c r="GF100" s="179">
        <f t="shared" si="17"/>
        <v>0</v>
      </c>
      <c r="GG100" s="179">
        <f t="shared" si="22"/>
        <v>2.8563000000000009</v>
      </c>
    </row>
    <row r="101" spans="1:189" x14ac:dyDescent="0.35">
      <c r="A101" s="5" t="s">
        <v>910</v>
      </c>
      <c r="B101" s="5" t="str">
        <f>IF(Technologies!B101&lt;&gt;0,Technologies!B101,"")</f>
        <v>Industrie</v>
      </c>
      <c r="C101" s="5" t="str">
        <f>VLOOKUP($A101,Technologies!$A$7:$H$576,3,FALSE)</f>
        <v>Final</v>
      </c>
      <c r="D101" s="5" t="str">
        <f>VLOOKUP($A101,Technologies!$A$7:$H$576,4,FALSE)</f>
        <v>Industry</v>
      </c>
      <c r="E101" s="5" t="str">
        <f>VLOOKUP($A101,Technologies!$A$7:$H$576,6,FALSE)</f>
        <v>Other ETS chemicals - Chemical Industry</v>
      </c>
      <c r="F101" s="5" t="str">
        <f>VLOOKUP($A101,Technologies!$A$7:$H$576,7,FALSE)</f>
        <v>Improved remaining chemicals (bio feedstock) - Other ETS chemicals</v>
      </c>
      <c r="G101" s="23"/>
      <c r="H101" s="23"/>
      <c r="I101" s="104" cm="1">
        <f t="array" ref="I101">-SUMPRODUCT((Feedstocks!$C$4:$C$141=A101)*Feedstocks!$E$4:$E$141,Feedstocks!$F$4:$F$141,Feedstocks!$H$4:$H$141,Feedstocks!$I$4:$I$141)</f>
        <v>0</v>
      </c>
      <c r="J101" s="104" cm="1">
        <f t="array" ref="J101">-SUMPRODUCT((Feedstocks!$C$4:$C$141=A101)*Feedstocks!$E$4:$E$141,Feedstocks!$H$4:$H$141,Feedstocks!$I$4:$I$141)</f>
        <v>1.0439000000000007</v>
      </c>
      <c r="K101" s="104"/>
      <c r="L101" s="104"/>
      <c r="M101" s="23">
        <v>1</v>
      </c>
      <c r="N101" s="23" t="str">
        <f>VLOOKUP(E101,Activities!$A$9:$M$227,13,FALSE)</f>
        <v>NL</v>
      </c>
      <c r="O101" s="23"/>
      <c r="P101" s="80" t="s">
        <v>909</v>
      </c>
      <c r="Q101" s="35"/>
      <c r="R101" s="35"/>
      <c r="S101" s="35"/>
      <c r="T101" s="35"/>
      <c r="U101" s="35"/>
      <c r="V101" s="35"/>
      <c r="W101" s="35"/>
      <c r="X101" s="35"/>
      <c r="Y101" s="35"/>
      <c r="Z101" s="35"/>
      <c r="AA101" s="35"/>
      <c r="AB101" s="35"/>
      <c r="AC101" s="35"/>
      <c r="AD101" s="35"/>
      <c r="AE101" s="35"/>
      <c r="AF101" s="35"/>
      <c r="AG101" s="35"/>
      <c r="AH101" s="35"/>
      <c r="AI101" s="35"/>
      <c r="AJ101" s="35"/>
      <c r="AK101" s="35"/>
      <c r="AL101" s="35"/>
      <c r="AM101" s="35"/>
      <c r="AN101" s="35"/>
      <c r="AO101" s="35"/>
      <c r="AP101" s="35"/>
      <c r="AQ101" s="35">
        <v>1</v>
      </c>
      <c r="AR101" s="35"/>
      <c r="AS101" s="35"/>
      <c r="AT101" s="35"/>
      <c r="AU101" s="35"/>
      <c r="AV101" s="35"/>
      <c r="AW101" s="35"/>
      <c r="AX101" s="35"/>
      <c r="AY101" s="35"/>
      <c r="AZ101" s="35"/>
      <c r="BA101" s="35"/>
      <c r="BB101" s="35"/>
      <c r="BC101" s="35"/>
      <c r="BD101" s="35"/>
      <c r="BE101" s="35"/>
      <c r="BF101" s="35"/>
      <c r="BG101" s="35"/>
      <c r="BH101" s="35"/>
      <c r="BI101" s="35"/>
      <c r="BJ101" s="35"/>
      <c r="BK101" s="35"/>
      <c r="BL101" s="35"/>
      <c r="BM101" s="35"/>
      <c r="BN101" s="35"/>
      <c r="BO101" s="35"/>
      <c r="BP101" s="35"/>
      <c r="BQ101" s="35"/>
      <c r="BR101" s="35"/>
      <c r="BS101" s="35"/>
      <c r="BT101" s="35"/>
      <c r="BU101" s="35"/>
      <c r="BV101" s="35"/>
      <c r="BW101" s="35"/>
      <c r="BX101" s="35"/>
      <c r="BY101" s="35"/>
      <c r="BZ101" s="35"/>
      <c r="CA101" s="35"/>
      <c r="CB101" s="35"/>
      <c r="CC101" s="35"/>
      <c r="CD101" s="35"/>
      <c r="CE101" s="35"/>
      <c r="CF101" s="35"/>
      <c r="CG101" s="35"/>
      <c r="CH101" s="35"/>
      <c r="CI101" s="35"/>
      <c r="CJ101" s="35"/>
      <c r="CK101" s="35"/>
      <c r="CL101" s="35"/>
      <c r="CM101" s="35"/>
      <c r="CN101" s="35"/>
      <c r="CO101" s="35"/>
      <c r="CP101" s="35"/>
      <c r="CQ101" s="35"/>
      <c r="CR101" s="35"/>
      <c r="CS101" s="35"/>
      <c r="CT101" s="35"/>
      <c r="CU101" s="35"/>
      <c r="CV101" s="35"/>
      <c r="CW101" s="35"/>
      <c r="CX101" s="35"/>
      <c r="CY101" s="35"/>
      <c r="CZ101" s="35"/>
      <c r="DA101" s="35"/>
      <c r="DB101" s="35"/>
      <c r="DC101" s="35"/>
      <c r="DD101" s="35"/>
      <c r="DE101" s="35"/>
      <c r="DF101" s="35"/>
      <c r="DG101" s="35"/>
      <c r="DH101" s="35">
        <f>(-13.5)*(DH100/-18)</f>
        <v>-18.675000000000004</v>
      </c>
      <c r="DI101" s="35"/>
      <c r="DJ101" s="35"/>
      <c r="DK101" s="35"/>
      <c r="DL101" s="35"/>
      <c r="DM101" s="35"/>
      <c r="DN101" s="35"/>
      <c r="DO101" s="35">
        <f>-15*(DO100/-21)</f>
        <v>-28.331428571428575</v>
      </c>
      <c r="DP101" s="35">
        <v>-8</v>
      </c>
      <c r="DQ101" s="35">
        <f>-9*(DQ100/-12)</f>
        <v>-3.5520000000000005</v>
      </c>
      <c r="DR101" s="35"/>
      <c r="DS101" s="35"/>
      <c r="DT101" s="35"/>
      <c r="DU101" s="35"/>
      <c r="DV101" s="35"/>
      <c r="DW101" s="35"/>
      <c r="DX101" s="35"/>
      <c r="DY101" s="35"/>
      <c r="DZ101" s="35"/>
      <c r="EA101" s="382">
        <f>-101-282.2+368.9</f>
        <v>-14.300000000000011</v>
      </c>
      <c r="EB101" s="35"/>
      <c r="EC101" s="35"/>
      <c r="ED101" s="35"/>
      <c r="EE101" s="35"/>
      <c r="EF101" s="35"/>
      <c r="EG101" s="35"/>
      <c r="EH101" s="35"/>
      <c r="EI101" s="35"/>
      <c r="EJ101" s="35"/>
      <c r="EK101" s="35"/>
      <c r="EL101" s="35"/>
      <c r="EM101" s="382">
        <f t="shared" ref="EM101:EM102" si="23">-48.1-68.2+81.9</f>
        <v>-34.400000000000006</v>
      </c>
      <c r="EN101" s="35"/>
      <c r="EO101" s="35"/>
      <c r="EP101" s="35"/>
      <c r="EQ101" s="35"/>
      <c r="ER101" s="35"/>
      <c r="ES101" s="35"/>
      <c r="ET101" s="35"/>
      <c r="EU101" s="35"/>
      <c r="EV101" s="35"/>
      <c r="EW101" s="35"/>
      <c r="EX101" s="35"/>
      <c r="EY101" s="35"/>
      <c r="EZ101" s="35"/>
      <c r="FA101" s="35"/>
      <c r="FB101" s="35"/>
      <c r="FC101" s="35"/>
      <c r="FD101" s="35"/>
      <c r="FE101" s="35"/>
      <c r="FF101" s="35"/>
      <c r="FG101" s="35"/>
      <c r="FH101" s="35"/>
      <c r="FI101" s="35"/>
      <c r="FJ101" s="35"/>
      <c r="FK101" s="35"/>
      <c r="FL101" s="35"/>
      <c r="FM101" s="35"/>
      <c r="FN101" s="35"/>
      <c r="FO101" s="35"/>
      <c r="FP101" s="35"/>
      <c r="FQ101" s="35"/>
      <c r="FR101" s="35"/>
      <c r="FS101" s="35"/>
      <c r="FT101" s="35"/>
      <c r="FU101" s="35"/>
      <c r="FV101" s="35"/>
      <c r="FW101" s="35"/>
      <c r="FX101" s="35"/>
      <c r="FY101" s="35"/>
      <c r="FZ101" s="35"/>
      <c r="GA101" s="35"/>
      <c r="GB101" s="318"/>
      <c r="GC101" s="178">
        <f t="shared" si="14"/>
        <v>0</v>
      </c>
      <c r="GD101" s="178">
        <f t="shared" si="15"/>
        <v>0</v>
      </c>
      <c r="GE101" s="178">
        <f t="shared" si="16"/>
        <v>0</v>
      </c>
      <c r="GF101" s="178">
        <f t="shared" si="17"/>
        <v>0</v>
      </c>
      <c r="GG101" s="179">
        <f t="shared" si="22"/>
        <v>0</v>
      </c>
    </row>
    <row r="102" spans="1:189" x14ac:dyDescent="0.35">
      <c r="A102" s="6" t="s">
        <v>912</v>
      </c>
      <c r="B102" s="6" t="str">
        <f>IF(Technologies!B102&lt;&gt;0,Technologies!B102,"")</f>
        <v>Industrie</v>
      </c>
      <c r="C102" s="6" t="str">
        <f>VLOOKUP($A102,Technologies!$A$7:$H$576,3,FALSE)</f>
        <v>Final</v>
      </c>
      <c r="D102" s="6" t="str">
        <f>VLOOKUP($A102,Technologies!$A$7:$H$576,4,FALSE)</f>
        <v>Industry</v>
      </c>
      <c r="E102" s="6" t="str">
        <f>VLOOKUP($A102,Technologies!$A$7:$H$576,6,FALSE)</f>
        <v>Other ETS chemicals - Chemical Industry</v>
      </c>
      <c r="F102" s="48" t="str">
        <f>VLOOKUP($A102,Technologies!$A$7:$H$576,7,FALSE)</f>
        <v>Improved remaining chemicals (syn feedstock) - Other ETS chemicals</v>
      </c>
      <c r="G102" s="22"/>
      <c r="H102" s="22"/>
      <c r="I102" s="103" cm="1">
        <f t="array" ref="I102">-SUMPRODUCT((Feedstocks!$C$4:$C$141=A102)*Feedstocks!$E$4:$E$141,Feedstocks!$F$4:$F$141,Feedstocks!$H$4:$H$141,Feedstocks!$I$4:$I$141)</f>
        <v>1.0439000000000007</v>
      </c>
      <c r="J102" s="103" cm="1">
        <f t="array" ref="J102">-SUMPRODUCT((Feedstocks!$C$4:$C$141=A102)*Feedstocks!$E$4:$E$141,Feedstocks!$H$4:$H$141,Feedstocks!$I$4:$I$141)</f>
        <v>1.0439000000000007</v>
      </c>
      <c r="K102" s="103"/>
      <c r="L102" s="103"/>
      <c r="M102" s="22">
        <v>1</v>
      </c>
      <c r="N102" s="22" t="str">
        <f>VLOOKUP(E102,Activities!$A$9:$M$227,13,FALSE)</f>
        <v>NL</v>
      </c>
      <c r="O102" s="22"/>
      <c r="P102" s="80" t="s">
        <v>909</v>
      </c>
      <c r="Q102" s="36"/>
      <c r="R102" s="36"/>
      <c r="S102" s="36"/>
      <c r="T102" s="36"/>
      <c r="U102" s="36"/>
      <c r="V102" s="36"/>
      <c r="W102" s="36"/>
      <c r="X102" s="36"/>
      <c r="Y102" s="36"/>
      <c r="Z102" s="36"/>
      <c r="AA102" s="36"/>
      <c r="AB102" s="36"/>
      <c r="AC102" s="36"/>
      <c r="AD102" s="36"/>
      <c r="AE102" s="36"/>
      <c r="AF102" s="36"/>
      <c r="AG102" s="36"/>
      <c r="AH102" s="36"/>
      <c r="AI102" s="36"/>
      <c r="AJ102" s="36"/>
      <c r="AK102" s="36"/>
      <c r="AL102" s="36"/>
      <c r="AM102" s="36"/>
      <c r="AN102" s="36"/>
      <c r="AO102" s="36"/>
      <c r="AP102" s="36"/>
      <c r="AQ102" s="36">
        <v>1</v>
      </c>
      <c r="AR102" s="36"/>
      <c r="AS102" s="36"/>
      <c r="AT102" s="36"/>
      <c r="AU102" s="36"/>
      <c r="AV102" s="36"/>
      <c r="AW102" s="36"/>
      <c r="AX102" s="36"/>
      <c r="AY102" s="36"/>
      <c r="AZ102" s="36"/>
      <c r="BA102" s="36"/>
      <c r="BB102" s="36"/>
      <c r="BC102" s="36"/>
      <c r="BD102" s="36"/>
      <c r="BE102" s="36"/>
      <c r="BF102" s="36"/>
      <c r="BG102" s="36"/>
      <c r="BH102" s="36"/>
      <c r="BI102" s="36"/>
      <c r="BJ102" s="36"/>
      <c r="BK102" s="36"/>
      <c r="BL102" s="36"/>
      <c r="BM102" s="36"/>
      <c r="BN102" s="36"/>
      <c r="BO102" s="36"/>
      <c r="BP102" s="36"/>
      <c r="BQ102" s="36"/>
      <c r="BR102" s="36"/>
      <c r="BS102" s="36"/>
      <c r="BT102" s="36"/>
      <c r="BU102" s="36"/>
      <c r="BV102" s="36"/>
      <c r="BW102" s="36"/>
      <c r="BX102" s="36"/>
      <c r="BY102" s="36"/>
      <c r="BZ102" s="36"/>
      <c r="CA102" s="36"/>
      <c r="CB102" s="36"/>
      <c r="CC102" s="36"/>
      <c r="CD102" s="36"/>
      <c r="CE102" s="36"/>
      <c r="CF102" s="36"/>
      <c r="CG102" s="36"/>
      <c r="CH102" s="36"/>
      <c r="CI102" s="36"/>
      <c r="CJ102" s="36"/>
      <c r="CK102" s="36"/>
      <c r="CL102" s="36"/>
      <c r="CM102" s="36"/>
      <c r="CN102" s="36"/>
      <c r="CO102" s="36"/>
      <c r="CP102" s="36"/>
      <c r="CQ102" s="36"/>
      <c r="CR102" s="36"/>
      <c r="CS102" s="36"/>
      <c r="CT102" s="36"/>
      <c r="CU102" s="36"/>
      <c r="CV102" s="36"/>
      <c r="CW102" s="36"/>
      <c r="CX102" s="36"/>
      <c r="CY102" s="36"/>
      <c r="CZ102" s="36"/>
      <c r="DA102" s="36"/>
      <c r="DB102" s="36"/>
      <c r="DC102" s="36"/>
      <c r="DD102" s="36"/>
      <c r="DE102" s="36"/>
      <c r="DF102" s="36"/>
      <c r="DG102" s="36"/>
      <c r="DH102" s="36">
        <f>-13.5*(DH100/-18)</f>
        <v>-18.675000000000004</v>
      </c>
      <c r="DI102" s="36"/>
      <c r="DJ102" s="36"/>
      <c r="DK102" s="36"/>
      <c r="DL102" s="36"/>
      <c r="DM102" s="36"/>
      <c r="DN102" s="36"/>
      <c r="DO102" s="36">
        <f>-15*(DO100/-21)</f>
        <v>-28.331428571428575</v>
      </c>
      <c r="DP102" s="36">
        <v>-8</v>
      </c>
      <c r="DQ102" s="36">
        <f>-9*(DQ100/-12)</f>
        <v>-3.5520000000000005</v>
      </c>
      <c r="DR102" s="36"/>
      <c r="DS102" s="36"/>
      <c r="DT102" s="36"/>
      <c r="DU102" s="36"/>
      <c r="DV102" s="36"/>
      <c r="DW102" s="36"/>
      <c r="DX102" s="36"/>
      <c r="DY102" s="36"/>
      <c r="DZ102" s="36"/>
      <c r="EA102" s="36"/>
      <c r="EB102" s="36"/>
      <c r="EC102" s="36"/>
      <c r="ED102" s="36"/>
      <c r="EE102" s="382">
        <f>-101-282.2+368.9</f>
        <v>-14.300000000000011</v>
      </c>
      <c r="EF102" s="36"/>
      <c r="EG102" s="36"/>
      <c r="EH102" s="36"/>
      <c r="EI102" s="36"/>
      <c r="EJ102" s="36"/>
      <c r="EK102" s="36"/>
      <c r="EL102" s="36"/>
      <c r="EM102" s="382">
        <f t="shared" si="23"/>
        <v>-34.400000000000006</v>
      </c>
      <c r="EN102" s="36"/>
      <c r="EO102" s="36"/>
      <c r="EP102" s="36"/>
      <c r="EQ102" s="36"/>
      <c r="ER102" s="36"/>
      <c r="ES102" s="36"/>
      <c r="ET102" s="36"/>
      <c r="EU102" s="36"/>
      <c r="EV102" s="36"/>
      <c r="EW102" s="36"/>
      <c r="EX102" s="36"/>
      <c r="EY102" s="36"/>
      <c r="EZ102" s="36"/>
      <c r="FA102" s="36"/>
      <c r="FB102" s="36"/>
      <c r="FC102" s="36"/>
      <c r="FD102" s="36"/>
      <c r="FE102" s="36"/>
      <c r="FF102" s="36"/>
      <c r="FG102" s="36"/>
      <c r="FH102" s="36"/>
      <c r="FI102" s="36"/>
      <c r="FJ102" s="36"/>
      <c r="FK102" s="36"/>
      <c r="FL102" s="36"/>
      <c r="FM102" s="36"/>
      <c r="FN102" s="36"/>
      <c r="FO102" s="36"/>
      <c r="FP102" s="36"/>
      <c r="FQ102" s="36"/>
      <c r="FR102" s="36"/>
      <c r="FS102" s="36"/>
      <c r="FT102" s="36"/>
      <c r="FU102" s="36"/>
      <c r="FV102" s="36"/>
      <c r="FW102" s="36"/>
      <c r="FX102" s="36"/>
      <c r="FY102" s="36"/>
      <c r="FZ102" s="36"/>
      <c r="GA102" s="36"/>
      <c r="GB102" s="319"/>
      <c r="GC102" s="179">
        <f t="shared" si="14"/>
        <v>0</v>
      </c>
      <c r="GD102" s="179">
        <f t="shared" si="15"/>
        <v>0</v>
      </c>
      <c r="GE102" s="179">
        <f t="shared" si="16"/>
        <v>0</v>
      </c>
      <c r="GF102" s="179">
        <f t="shared" si="17"/>
        <v>0</v>
      </c>
      <c r="GG102" s="179">
        <f>$I102</f>
        <v>1.0439000000000007</v>
      </c>
    </row>
    <row r="103" spans="1:189" x14ac:dyDescent="0.35">
      <c r="A103" s="5" t="s">
        <v>914</v>
      </c>
      <c r="B103" s="5" t="str">
        <f>IF(Technologies!B103&lt;&gt;0,Technologies!B103,"")</f>
        <v>Industrie</v>
      </c>
      <c r="C103" s="5" t="str">
        <f>VLOOKUP($A103,Technologies!$A$7:$H$576,3,FALSE)</f>
        <v>Final</v>
      </c>
      <c r="D103" s="5" t="str">
        <f>VLOOKUP($A103,Technologies!$A$7:$H$576,4,FALSE)</f>
        <v>Industry</v>
      </c>
      <c r="E103" s="5" t="str">
        <f>VLOOKUP($A103,Technologies!$A$7:$H$576,6,FALSE)</f>
        <v>Glass production - ETS Industry</v>
      </c>
      <c r="F103" s="5" t="str">
        <f>VLOOKUP($A103,Technologies!$A$7:$H$576,7,FALSE)</f>
        <v>Conventional furnaces + post-melting  - Glass production</v>
      </c>
      <c r="G103" s="23"/>
      <c r="H103" s="23"/>
      <c r="I103" s="104" cm="1">
        <f t="array" ref="I103">-SUMPRODUCT((Feedstocks!$C$4:$C$141=A103)*Feedstocks!$E$4:$E$141,Feedstocks!$F$4:$F$141,Feedstocks!$H$4:$H$141,Feedstocks!$I$4:$I$141)</f>
        <v>0</v>
      </c>
      <c r="J103" s="104" cm="1">
        <f t="array" ref="J103">-SUMPRODUCT((Feedstocks!$C$4:$C$141=A103)*Feedstocks!$E$4:$E$141,Feedstocks!$H$4:$H$141,Feedstocks!$I$4:$I$141)</f>
        <v>0</v>
      </c>
      <c r="K103" s="104">
        <v>4.3799999999999999E-2</v>
      </c>
      <c r="L103" s="104"/>
      <c r="M103" s="23">
        <v>1</v>
      </c>
      <c r="N103" s="23" t="str">
        <f>VLOOKUP(E103,Activities!$A$9:$M$227,13,FALSE)</f>
        <v>NL</v>
      </c>
      <c r="O103" s="23"/>
      <c r="P103" s="79" t="s">
        <v>918</v>
      </c>
      <c r="Q103" s="35"/>
      <c r="R103" s="35"/>
      <c r="S103" s="35"/>
      <c r="T103" s="35"/>
      <c r="U103" s="35"/>
      <c r="V103" s="35"/>
      <c r="W103" s="35"/>
      <c r="X103" s="35"/>
      <c r="Y103" s="35"/>
      <c r="Z103" s="35"/>
      <c r="AA103" s="35"/>
      <c r="AB103" s="35"/>
      <c r="AC103" s="35"/>
      <c r="AD103" s="35"/>
      <c r="AE103" s="35"/>
      <c r="AF103" s="35"/>
      <c r="AG103" s="35"/>
      <c r="AH103" s="35"/>
      <c r="AI103" s="35"/>
      <c r="AJ103" s="35"/>
      <c r="AK103" s="35"/>
      <c r="AL103" s="35"/>
      <c r="AM103" s="35"/>
      <c r="AN103" s="35"/>
      <c r="AO103" s="35"/>
      <c r="AP103" s="35"/>
      <c r="AQ103" s="35"/>
      <c r="AR103" s="35">
        <v>1</v>
      </c>
      <c r="AS103" s="35"/>
      <c r="AT103" s="35"/>
      <c r="AU103" s="35"/>
      <c r="AV103" s="35"/>
      <c r="AW103" s="35"/>
      <c r="AX103" s="35"/>
      <c r="AY103" s="35"/>
      <c r="AZ103" s="35"/>
      <c r="BA103" s="35"/>
      <c r="BB103" s="35"/>
      <c r="BC103" s="35"/>
      <c r="BD103" s="35"/>
      <c r="BE103" s="35"/>
      <c r="BF103" s="35"/>
      <c r="BG103" s="35"/>
      <c r="BH103" s="35"/>
      <c r="BI103" s="35"/>
      <c r="BJ103" s="35"/>
      <c r="BK103" s="35"/>
      <c r="BL103" s="35"/>
      <c r="BM103" s="35"/>
      <c r="BN103" s="35"/>
      <c r="BO103" s="35"/>
      <c r="BP103" s="35"/>
      <c r="BQ103" s="35"/>
      <c r="BR103" s="35"/>
      <c r="BS103" s="35"/>
      <c r="BT103" s="35"/>
      <c r="BU103" s="35"/>
      <c r="BV103" s="35"/>
      <c r="BW103" s="35"/>
      <c r="BX103" s="35"/>
      <c r="BY103" s="35"/>
      <c r="BZ103" s="35"/>
      <c r="CA103" s="35"/>
      <c r="CB103" s="35"/>
      <c r="CC103" s="35"/>
      <c r="CD103" s="35"/>
      <c r="CE103" s="35"/>
      <c r="CF103" s="35"/>
      <c r="CG103" s="35"/>
      <c r="CH103" s="35"/>
      <c r="CI103" s="35"/>
      <c r="CJ103" s="35"/>
      <c r="CK103" s="35"/>
      <c r="CL103" s="35"/>
      <c r="CM103" s="35"/>
      <c r="CN103" s="35"/>
      <c r="CO103" s="35"/>
      <c r="CP103" s="35"/>
      <c r="CQ103" s="35"/>
      <c r="CR103" s="35"/>
      <c r="CS103" s="35"/>
      <c r="CT103" s="35"/>
      <c r="CU103" s="35"/>
      <c r="CV103" s="35"/>
      <c r="CW103" s="35"/>
      <c r="CX103" s="35"/>
      <c r="CY103" s="35"/>
      <c r="CZ103" s="35"/>
      <c r="DA103" s="35"/>
      <c r="DB103" s="35"/>
      <c r="DC103" s="35"/>
      <c r="DD103" s="35"/>
      <c r="DE103" s="35"/>
      <c r="DF103" s="35"/>
      <c r="DG103" s="35"/>
      <c r="DH103" s="35">
        <v>-0.82</v>
      </c>
      <c r="DI103" s="35"/>
      <c r="DJ103" s="35"/>
      <c r="DK103" s="35"/>
      <c r="DL103" s="35"/>
      <c r="DM103" s="35"/>
      <c r="DN103" s="35"/>
      <c r="DO103" s="35"/>
      <c r="DP103" s="35"/>
      <c r="DQ103" s="35"/>
      <c r="DR103" s="35"/>
      <c r="DS103" s="35"/>
      <c r="DT103" s="35"/>
      <c r="DU103" s="35"/>
      <c r="DV103" s="35"/>
      <c r="DW103" s="35"/>
      <c r="DX103" s="35"/>
      <c r="DY103" s="35"/>
      <c r="DZ103" s="35"/>
      <c r="EA103" s="35"/>
      <c r="EB103" s="35"/>
      <c r="EC103" s="35"/>
      <c r="ED103" s="35"/>
      <c r="EE103" s="35"/>
      <c r="EF103" s="35"/>
      <c r="EG103" s="35"/>
      <c r="EH103" s="35"/>
      <c r="EI103" s="35"/>
      <c r="EJ103" s="35">
        <v>-4.62</v>
      </c>
      <c r="EK103" s="35"/>
      <c r="EL103" s="35"/>
      <c r="EM103" s="35"/>
      <c r="EN103" s="35"/>
      <c r="EO103" s="35"/>
      <c r="EP103" s="35"/>
      <c r="EQ103" s="35"/>
      <c r="ER103" s="35"/>
      <c r="ES103" s="35"/>
      <c r="ET103" s="35"/>
      <c r="EU103" s="35"/>
      <c r="EV103" s="35"/>
      <c r="EW103" s="35"/>
      <c r="EX103" s="35"/>
      <c r="EY103" s="35"/>
      <c r="EZ103" s="35"/>
      <c r="FA103" s="35"/>
      <c r="FB103" s="35"/>
      <c r="FC103" s="35"/>
      <c r="FD103" s="35"/>
      <c r="FE103" s="35"/>
      <c r="FF103" s="35"/>
      <c r="FG103" s="35"/>
      <c r="FH103" s="35"/>
      <c r="FI103" s="35"/>
      <c r="FJ103" s="35"/>
      <c r="FK103" s="35"/>
      <c r="FL103" s="35"/>
      <c r="FM103" s="35"/>
      <c r="FN103" s="35"/>
      <c r="FO103" s="35"/>
      <c r="FP103" s="35"/>
      <c r="FQ103" s="35"/>
      <c r="FR103" s="35"/>
      <c r="FS103" s="35"/>
      <c r="FT103" s="35"/>
      <c r="FU103" s="35"/>
      <c r="FV103" s="35"/>
      <c r="FW103" s="35"/>
      <c r="FX103" s="35"/>
      <c r="FY103" s="35"/>
      <c r="FZ103" s="35"/>
      <c r="GA103" s="35"/>
      <c r="GB103" s="318"/>
      <c r="GC103" s="178">
        <f t="shared" ref="GC103:GC119" si="24">ROUND(IF($C103="Primary",0,-$G103*(SUMPRODUCT($Q$4:$GA$4,$Q103:$GA103)+$J103)-$H103)*IF($N103=GC$4,1,0),4)</f>
        <v>0</v>
      </c>
      <c r="GD103" s="178">
        <f t="shared" ref="GD103:GD119" si="25">ROUND(IF($C103="Primary",0,$M103*(1-$O103)*($G103*(SUMPRODUCT($Q$4:$GA$4,$Q103:$GA103)+$J103)+$H103-SUMPRODUCT($Q$5:$GA$5,$Q103:$GA103)-$I103+$K103))*IF($N103=GD$4,1,0),4)</f>
        <v>0.30530000000000002</v>
      </c>
      <c r="GE103" s="178">
        <f t="shared" ref="GE103:GE119" si="26">ROUND(IF($C103="Primary",0,(1-$M103)*(1-$O103)*($G103*(SUMPRODUCT($Q$4:$GA$4,$Q103:$GA103)+$J103)+$H103-SUMPRODUCT($Q$5:$GA$5,$Q103:$GA103)-$I103+$L103))*IF($N103=GD$4,1,0),4)</f>
        <v>0</v>
      </c>
      <c r="GF103" s="178">
        <f t="shared" ref="GF103:GF119" si="27">ROUND(IF($C103="Primary",0,$O103*($G103*(SUMPRODUCT($Q$4:$GA$4,$Q103:$GA103)+$J103)-SUMPRODUCT($Q$5:$GA$5,$Q103:$GA103)-$I103))*IF($N103=GD$4,1,0),4)</f>
        <v>0</v>
      </c>
      <c r="GG103" s="178">
        <f t="shared" si="21"/>
        <v>0</v>
      </c>
    </row>
    <row r="104" spans="1:189" x14ac:dyDescent="0.35">
      <c r="A104" s="6" t="s">
        <v>919</v>
      </c>
      <c r="B104" s="6" t="str">
        <f>IF(Technologies!B104&lt;&gt;0,Technologies!B104,"")</f>
        <v>Industrie</v>
      </c>
      <c r="C104" s="6" t="str">
        <f>VLOOKUP($A104,Technologies!$A$7:$H$576,3,FALSE)</f>
        <v>Final</v>
      </c>
      <c r="D104" s="6" t="str">
        <f>VLOOKUP($A104,Technologies!$A$7:$H$576,4,FALSE)</f>
        <v>Industry</v>
      </c>
      <c r="E104" s="6" t="str">
        <f>VLOOKUP($A104,Technologies!$A$7:$H$576,6,FALSE)</f>
        <v>Glass production - ETS Industry</v>
      </c>
      <c r="F104" s="48" t="str">
        <f>VLOOKUP($A104,Technologies!$A$7:$H$576,7,FALSE)</f>
        <v>Efficient furnaces + post-melting  - Glass production</v>
      </c>
      <c r="G104" s="22"/>
      <c r="H104" s="22"/>
      <c r="I104" s="103" cm="1">
        <f t="array" ref="I104">-SUMPRODUCT((Feedstocks!$C$4:$C$141=A104)*Feedstocks!$E$4:$E$141,Feedstocks!$F$4:$F$141,Feedstocks!$H$4:$H$141,Feedstocks!$I$4:$I$141)</f>
        <v>0</v>
      </c>
      <c r="J104" s="103" cm="1">
        <f t="array" ref="J104">-SUMPRODUCT((Feedstocks!$C$4:$C$141=A104)*Feedstocks!$E$4:$E$141,Feedstocks!$H$4:$H$141,Feedstocks!$I$4:$I$141)</f>
        <v>0</v>
      </c>
      <c r="K104" s="103">
        <v>4.3799999999999999E-2</v>
      </c>
      <c r="L104" s="103"/>
      <c r="M104" s="22">
        <v>1</v>
      </c>
      <c r="N104" s="22" t="str">
        <f>VLOOKUP(E104,Activities!$A$9:$M$227,13,FALSE)</f>
        <v>NL</v>
      </c>
      <c r="O104" s="22"/>
      <c r="P104" s="80" t="s">
        <v>918</v>
      </c>
      <c r="Q104" s="36"/>
      <c r="R104" s="36"/>
      <c r="S104" s="36"/>
      <c r="T104" s="36"/>
      <c r="U104" s="36"/>
      <c r="V104" s="36"/>
      <c r="W104" s="36"/>
      <c r="X104" s="36"/>
      <c r="Y104" s="36"/>
      <c r="Z104" s="36"/>
      <c r="AA104" s="36"/>
      <c r="AB104" s="36"/>
      <c r="AC104" s="36"/>
      <c r="AD104" s="36"/>
      <c r="AE104" s="36"/>
      <c r="AF104" s="36"/>
      <c r="AG104" s="36"/>
      <c r="AH104" s="36"/>
      <c r="AI104" s="36"/>
      <c r="AJ104" s="36"/>
      <c r="AK104" s="36"/>
      <c r="AL104" s="36"/>
      <c r="AM104" s="36"/>
      <c r="AN104" s="36"/>
      <c r="AO104" s="36"/>
      <c r="AP104" s="36"/>
      <c r="AQ104" s="36"/>
      <c r="AR104" s="36">
        <v>1</v>
      </c>
      <c r="AS104" s="36"/>
      <c r="AT104" s="36"/>
      <c r="AU104" s="36"/>
      <c r="AV104" s="36"/>
      <c r="AW104" s="36"/>
      <c r="AX104" s="36"/>
      <c r="AY104" s="36"/>
      <c r="AZ104" s="36"/>
      <c r="BA104" s="36"/>
      <c r="BB104" s="36"/>
      <c r="BC104" s="36"/>
      <c r="BD104" s="36"/>
      <c r="BE104" s="36"/>
      <c r="BF104" s="36"/>
      <c r="BG104" s="36"/>
      <c r="BH104" s="36"/>
      <c r="BI104" s="36"/>
      <c r="BJ104" s="36"/>
      <c r="BK104" s="36"/>
      <c r="BL104" s="36"/>
      <c r="BM104" s="36"/>
      <c r="BN104" s="36"/>
      <c r="BO104" s="36"/>
      <c r="BP104" s="36"/>
      <c r="BQ104" s="36"/>
      <c r="BR104" s="36"/>
      <c r="BS104" s="36"/>
      <c r="BT104" s="36"/>
      <c r="BU104" s="36"/>
      <c r="BV104" s="36"/>
      <c r="BW104" s="36"/>
      <c r="BX104" s="36"/>
      <c r="BY104" s="36"/>
      <c r="BZ104" s="36"/>
      <c r="CA104" s="36"/>
      <c r="CB104" s="36"/>
      <c r="CC104" s="36"/>
      <c r="CD104" s="36"/>
      <c r="CE104" s="36"/>
      <c r="CF104" s="36"/>
      <c r="CG104" s="36"/>
      <c r="CH104" s="36"/>
      <c r="CI104" s="36"/>
      <c r="CJ104" s="36"/>
      <c r="CK104" s="36"/>
      <c r="CL104" s="36"/>
      <c r="CM104" s="36"/>
      <c r="CN104" s="36"/>
      <c r="CO104" s="36"/>
      <c r="CP104" s="36"/>
      <c r="CQ104" s="36"/>
      <c r="CR104" s="36"/>
      <c r="CS104" s="36"/>
      <c r="CT104" s="36"/>
      <c r="CU104" s="36"/>
      <c r="CV104" s="36"/>
      <c r="CW104" s="36"/>
      <c r="CX104" s="36"/>
      <c r="CY104" s="36"/>
      <c r="CZ104" s="36"/>
      <c r="DA104" s="36"/>
      <c r="DB104" s="36"/>
      <c r="DC104" s="36"/>
      <c r="DD104" s="36"/>
      <c r="DE104" s="36"/>
      <c r="DF104" s="36"/>
      <c r="DG104" s="36"/>
      <c r="DH104" s="36">
        <v>-0.8</v>
      </c>
      <c r="DI104" s="36"/>
      <c r="DJ104" s="36"/>
      <c r="DK104" s="36"/>
      <c r="DL104" s="36"/>
      <c r="DM104" s="36"/>
      <c r="DN104" s="36"/>
      <c r="DO104" s="36"/>
      <c r="DP104" s="36"/>
      <c r="DQ104" s="36"/>
      <c r="DR104" s="36"/>
      <c r="DS104" s="36"/>
      <c r="DT104" s="36"/>
      <c r="DU104" s="36"/>
      <c r="DV104" s="36"/>
      <c r="DW104" s="36"/>
      <c r="DX104" s="36"/>
      <c r="DY104" s="36"/>
      <c r="DZ104" s="36"/>
      <c r="EA104" s="36"/>
      <c r="EB104" s="36"/>
      <c r="EC104" s="36"/>
      <c r="ED104" s="36"/>
      <c r="EE104" s="36"/>
      <c r="EF104" s="36"/>
      <c r="EG104" s="36"/>
      <c r="EH104" s="36"/>
      <c r="EI104" s="36"/>
      <c r="EJ104" s="36">
        <v>-3.92</v>
      </c>
      <c r="EK104" s="36"/>
      <c r="EL104" s="36"/>
      <c r="EM104" s="36"/>
      <c r="EN104" s="36"/>
      <c r="EO104" s="36"/>
      <c r="EP104" s="36"/>
      <c r="EQ104" s="36"/>
      <c r="ER104" s="36"/>
      <c r="ES104" s="36"/>
      <c r="ET104" s="36"/>
      <c r="EU104" s="36"/>
      <c r="EV104" s="36"/>
      <c r="EW104" s="36"/>
      <c r="EX104" s="36"/>
      <c r="EY104" s="36"/>
      <c r="EZ104" s="36"/>
      <c r="FA104" s="36"/>
      <c r="FB104" s="36"/>
      <c r="FC104" s="36"/>
      <c r="FD104" s="36"/>
      <c r="FE104" s="36"/>
      <c r="FF104" s="36"/>
      <c r="FG104" s="36"/>
      <c r="FH104" s="36"/>
      <c r="FI104" s="36"/>
      <c r="FJ104" s="36"/>
      <c r="FK104" s="36"/>
      <c r="FL104" s="36"/>
      <c r="FM104" s="36"/>
      <c r="FN104" s="36"/>
      <c r="FO104" s="36"/>
      <c r="FP104" s="36"/>
      <c r="FQ104" s="36"/>
      <c r="FR104" s="36"/>
      <c r="FS104" s="36"/>
      <c r="FT104" s="36"/>
      <c r="FU104" s="36"/>
      <c r="FV104" s="36"/>
      <c r="FW104" s="36"/>
      <c r="FX104" s="36"/>
      <c r="FY104" s="36"/>
      <c r="FZ104" s="36"/>
      <c r="GA104" s="36"/>
      <c r="GB104" s="319"/>
      <c r="GC104" s="179">
        <f t="shared" si="24"/>
        <v>0</v>
      </c>
      <c r="GD104" s="179">
        <f t="shared" si="25"/>
        <v>0.26569999999999999</v>
      </c>
      <c r="GE104" s="179">
        <f t="shared" si="26"/>
        <v>0</v>
      </c>
      <c r="GF104" s="179">
        <f t="shared" si="27"/>
        <v>0</v>
      </c>
      <c r="GG104" s="179">
        <f t="shared" si="21"/>
        <v>0</v>
      </c>
    </row>
    <row r="105" spans="1:189" x14ac:dyDescent="0.35">
      <c r="A105" s="5" t="s">
        <v>921</v>
      </c>
      <c r="B105" s="5" t="str">
        <f>IF(Technologies!B105&lt;&gt;0,Technologies!B105,"")</f>
        <v>Industrie</v>
      </c>
      <c r="C105" s="5" t="str">
        <f>VLOOKUP($A105,Technologies!$A$7:$H$576,3,FALSE)</f>
        <v>Final</v>
      </c>
      <c r="D105" s="5" t="str">
        <f>VLOOKUP($A105,Technologies!$A$7:$H$576,4,FALSE)</f>
        <v>Industry</v>
      </c>
      <c r="E105" s="5" t="str">
        <f>VLOOKUP($A105,Technologies!$A$7:$H$576,6,FALSE)</f>
        <v>Glass production - ETS Industry</v>
      </c>
      <c r="F105" s="5" t="str">
        <f>VLOOKUP($A105,Technologies!$A$7:$H$576,7,FALSE)</f>
        <v>Electric cold-top furnaces + post-melting  - Glass production</v>
      </c>
      <c r="G105" s="23"/>
      <c r="H105" s="23"/>
      <c r="I105" s="104" cm="1">
        <f t="array" ref="I105">-SUMPRODUCT((Feedstocks!$C$4:$C$141=A105)*Feedstocks!$E$4:$E$141,Feedstocks!$F$4:$F$141,Feedstocks!$H$4:$H$141,Feedstocks!$I$4:$I$141)</f>
        <v>0</v>
      </c>
      <c r="J105" s="104" cm="1">
        <f t="array" ref="J105">-SUMPRODUCT((Feedstocks!$C$4:$C$141=A105)*Feedstocks!$E$4:$E$141,Feedstocks!$H$4:$H$141,Feedstocks!$I$4:$I$141)</f>
        <v>0</v>
      </c>
      <c r="K105" s="104">
        <v>4.3799999999999999E-2</v>
      </c>
      <c r="L105" s="104"/>
      <c r="M105" s="23">
        <v>1</v>
      </c>
      <c r="N105" s="23" t="str">
        <f>VLOOKUP(E105,Activities!$A$9:$M$227,13,FALSE)</f>
        <v>NL</v>
      </c>
      <c r="O105" s="23"/>
      <c r="P105" s="79" t="s">
        <v>918</v>
      </c>
      <c r="Q105" s="35"/>
      <c r="R105" s="35"/>
      <c r="S105" s="35"/>
      <c r="T105" s="35"/>
      <c r="U105" s="35"/>
      <c r="V105" s="35"/>
      <c r="W105" s="35"/>
      <c r="X105" s="35"/>
      <c r="Y105" s="35"/>
      <c r="Z105" s="35"/>
      <c r="AA105" s="35"/>
      <c r="AB105" s="35"/>
      <c r="AC105" s="35"/>
      <c r="AD105" s="35"/>
      <c r="AE105" s="35"/>
      <c r="AF105" s="35"/>
      <c r="AG105" s="35"/>
      <c r="AH105" s="35"/>
      <c r="AI105" s="35"/>
      <c r="AJ105" s="35"/>
      <c r="AK105" s="35"/>
      <c r="AL105" s="35"/>
      <c r="AM105" s="35"/>
      <c r="AN105" s="35"/>
      <c r="AO105" s="35"/>
      <c r="AP105" s="35"/>
      <c r="AQ105" s="35"/>
      <c r="AR105" s="35">
        <v>1</v>
      </c>
      <c r="AS105" s="35"/>
      <c r="AT105" s="35"/>
      <c r="AU105" s="35"/>
      <c r="AV105" s="35"/>
      <c r="AW105" s="35"/>
      <c r="AX105" s="35"/>
      <c r="AY105" s="35"/>
      <c r="AZ105" s="35"/>
      <c r="BA105" s="35"/>
      <c r="BB105" s="35"/>
      <c r="BC105" s="35"/>
      <c r="BD105" s="35"/>
      <c r="BE105" s="35"/>
      <c r="BF105" s="35"/>
      <c r="BG105" s="35"/>
      <c r="BH105" s="35"/>
      <c r="BI105" s="35"/>
      <c r="BJ105" s="35"/>
      <c r="BK105" s="35"/>
      <c r="BL105" s="35"/>
      <c r="BM105" s="35"/>
      <c r="BN105" s="35"/>
      <c r="BO105" s="35"/>
      <c r="BP105" s="35"/>
      <c r="BQ105" s="35"/>
      <c r="BR105" s="35"/>
      <c r="BS105" s="35"/>
      <c r="BT105" s="35"/>
      <c r="BU105" s="35"/>
      <c r="BV105" s="35"/>
      <c r="BW105" s="35"/>
      <c r="BX105" s="35"/>
      <c r="BY105" s="35"/>
      <c r="BZ105" s="35"/>
      <c r="CA105" s="35"/>
      <c r="CB105" s="35"/>
      <c r="CC105" s="35"/>
      <c r="CD105" s="35"/>
      <c r="CE105" s="35"/>
      <c r="CF105" s="35"/>
      <c r="CG105" s="35"/>
      <c r="CH105" s="35"/>
      <c r="CI105" s="35"/>
      <c r="CJ105" s="35"/>
      <c r="CK105" s="35"/>
      <c r="CL105" s="35"/>
      <c r="CM105" s="35"/>
      <c r="CN105" s="35"/>
      <c r="CO105" s="35"/>
      <c r="CP105" s="35"/>
      <c r="CQ105" s="35"/>
      <c r="CR105" s="35"/>
      <c r="CS105" s="35"/>
      <c r="CT105" s="35"/>
      <c r="CU105" s="35"/>
      <c r="CV105" s="35"/>
      <c r="CW105" s="35"/>
      <c r="CX105" s="35"/>
      <c r="CY105" s="35"/>
      <c r="CZ105" s="35"/>
      <c r="DA105" s="35"/>
      <c r="DB105" s="35"/>
      <c r="DC105" s="35"/>
      <c r="DD105" s="35"/>
      <c r="DE105" s="35"/>
      <c r="DF105" s="35"/>
      <c r="DG105" s="35"/>
      <c r="DH105" s="35">
        <v>-5.53</v>
      </c>
      <c r="DI105" s="35"/>
      <c r="DJ105" s="35"/>
      <c r="DK105" s="35"/>
      <c r="DL105" s="35"/>
      <c r="DM105" s="35"/>
      <c r="DN105" s="35"/>
      <c r="DO105" s="35"/>
      <c r="DP105" s="35"/>
      <c r="DQ105" s="35"/>
      <c r="DR105" s="35"/>
      <c r="DS105" s="35"/>
      <c r="DT105" s="35"/>
      <c r="DU105" s="35"/>
      <c r="DV105" s="35"/>
      <c r="DW105" s="35"/>
      <c r="DX105" s="35"/>
      <c r="DY105" s="35"/>
      <c r="DZ105" s="35"/>
      <c r="EA105" s="35"/>
      <c r="EB105" s="35"/>
      <c r="EC105" s="35"/>
      <c r="ED105" s="35"/>
      <c r="EE105" s="35"/>
      <c r="EF105" s="35"/>
      <c r="EG105" s="35"/>
      <c r="EH105" s="35"/>
      <c r="EI105" s="35"/>
      <c r="EJ105" s="35">
        <v>-0.56000000000000005</v>
      </c>
      <c r="EK105" s="35"/>
      <c r="EL105" s="35"/>
      <c r="EM105" s="35"/>
      <c r="EN105" s="35"/>
      <c r="EO105" s="35"/>
      <c r="EP105" s="35"/>
      <c r="EQ105" s="35"/>
      <c r="ER105" s="35"/>
      <c r="ES105" s="35"/>
      <c r="ET105" s="35"/>
      <c r="EU105" s="35"/>
      <c r="EV105" s="35"/>
      <c r="EW105" s="35"/>
      <c r="EX105" s="35"/>
      <c r="EY105" s="35"/>
      <c r="EZ105" s="35"/>
      <c r="FA105" s="35"/>
      <c r="FB105" s="35"/>
      <c r="FC105" s="35"/>
      <c r="FD105" s="35"/>
      <c r="FE105" s="35"/>
      <c r="FF105" s="35"/>
      <c r="FG105" s="35"/>
      <c r="FH105" s="35"/>
      <c r="FI105" s="35"/>
      <c r="FJ105" s="35"/>
      <c r="FK105" s="35"/>
      <c r="FL105" s="35"/>
      <c r="FM105" s="35"/>
      <c r="FN105" s="35"/>
      <c r="FO105" s="35"/>
      <c r="FP105" s="35"/>
      <c r="FQ105" s="35"/>
      <c r="FR105" s="35"/>
      <c r="FS105" s="35"/>
      <c r="FT105" s="35"/>
      <c r="FU105" s="35"/>
      <c r="FV105" s="35"/>
      <c r="FW105" s="35"/>
      <c r="FX105" s="35"/>
      <c r="FY105" s="35"/>
      <c r="FZ105" s="35"/>
      <c r="GA105" s="35"/>
      <c r="GB105" s="318"/>
      <c r="GC105" s="178">
        <f t="shared" si="24"/>
        <v>0</v>
      </c>
      <c r="GD105" s="178">
        <f t="shared" si="25"/>
        <v>7.5499999999999998E-2</v>
      </c>
      <c r="GE105" s="178">
        <f t="shared" si="26"/>
        <v>0</v>
      </c>
      <c r="GF105" s="178">
        <f t="shared" si="27"/>
        <v>0</v>
      </c>
      <c r="GG105" s="178">
        <f t="shared" si="21"/>
        <v>0</v>
      </c>
    </row>
    <row r="106" spans="1:189" x14ac:dyDescent="0.35">
      <c r="A106" s="6" t="s">
        <v>923</v>
      </c>
      <c r="B106" s="6" t="str">
        <f>IF(Technologies!B106&lt;&gt;0,Technologies!B106,"")</f>
        <v>Industrie</v>
      </c>
      <c r="C106" s="6" t="str">
        <f>VLOOKUP($A106,Technologies!$A$7:$H$576,3,FALSE)</f>
        <v>Final</v>
      </c>
      <c r="D106" s="6" t="str">
        <f>VLOOKUP($A106,Technologies!$A$7:$H$576,4,FALSE)</f>
        <v>Industry</v>
      </c>
      <c r="E106" s="6" t="str">
        <f>VLOOKUP($A106,Technologies!$A$7:$H$576,6,FALSE)</f>
        <v>Ceramics production -ETS Industry</v>
      </c>
      <c r="F106" s="48" t="str">
        <f>VLOOKUP($A106,Technologies!$A$7:$H$576,7,FALSE)</f>
        <v>Conventional kilns + preparation, drying, treatment  - Ceramics production</v>
      </c>
      <c r="G106" s="22"/>
      <c r="H106" s="22"/>
      <c r="I106" s="103" cm="1">
        <f t="array" ref="I106">-SUMPRODUCT((Feedstocks!$C$4:$C$141=A106)*Feedstocks!$E$4:$E$141,Feedstocks!$F$4:$F$141,Feedstocks!$H$4:$H$141,Feedstocks!$I$4:$I$141)</f>
        <v>0</v>
      </c>
      <c r="J106" s="103" cm="1">
        <f t="array" ref="J106">-SUMPRODUCT((Feedstocks!$C$4:$C$141=A106)*Feedstocks!$E$4:$E$141,Feedstocks!$H$4:$H$141,Feedstocks!$I$4:$I$141)</f>
        <v>0</v>
      </c>
      <c r="K106" s="103">
        <v>4.5100000000000001E-2</v>
      </c>
      <c r="L106" s="103"/>
      <c r="M106" s="22">
        <v>1</v>
      </c>
      <c r="N106" s="22" t="str">
        <f>VLOOKUP(E106,Activities!$A$9:$M$227,13,FALSE)</f>
        <v>NL</v>
      </c>
      <c r="O106" s="22"/>
      <c r="P106" s="80" t="s">
        <v>926</v>
      </c>
      <c r="Q106" s="36"/>
      <c r="R106" s="36"/>
      <c r="S106" s="36"/>
      <c r="T106" s="36"/>
      <c r="U106" s="36"/>
      <c r="V106" s="36"/>
      <c r="W106" s="36"/>
      <c r="X106" s="36"/>
      <c r="Y106" s="36"/>
      <c r="Z106" s="36"/>
      <c r="AA106" s="36"/>
      <c r="AB106" s="36"/>
      <c r="AC106" s="36"/>
      <c r="AD106" s="36"/>
      <c r="AE106" s="36"/>
      <c r="AF106" s="36"/>
      <c r="AG106" s="36"/>
      <c r="AH106" s="36"/>
      <c r="AI106" s="36"/>
      <c r="AJ106" s="36"/>
      <c r="AK106" s="36"/>
      <c r="AL106" s="36"/>
      <c r="AM106" s="36"/>
      <c r="AN106" s="36"/>
      <c r="AO106" s="36"/>
      <c r="AP106" s="36"/>
      <c r="AQ106" s="36"/>
      <c r="AR106" s="36"/>
      <c r="AS106" s="36">
        <v>1</v>
      </c>
      <c r="AT106" s="36"/>
      <c r="AU106" s="36"/>
      <c r="AV106" s="36"/>
      <c r="AW106" s="36"/>
      <c r="AX106" s="36"/>
      <c r="AY106" s="36"/>
      <c r="AZ106" s="36"/>
      <c r="BA106" s="36"/>
      <c r="BB106" s="36"/>
      <c r="BC106" s="36"/>
      <c r="BD106" s="36"/>
      <c r="BE106" s="36"/>
      <c r="BF106" s="36"/>
      <c r="BG106" s="36"/>
      <c r="BH106" s="36"/>
      <c r="BI106" s="36"/>
      <c r="BJ106" s="36"/>
      <c r="BK106" s="36"/>
      <c r="BL106" s="36"/>
      <c r="BM106" s="36"/>
      <c r="BN106" s="36"/>
      <c r="BO106" s="36"/>
      <c r="BP106" s="36"/>
      <c r="BQ106" s="36"/>
      <c r="BR106" s="36"/>
      <c r="BS106" s="36"/>
      <c r="BT106" s="36"/>
      <c r="BU106" s="36"/>
      <c r="BV106" s="36"/>
      <c r="BW106" s="36"/>
      <c r="BX106" s="36"/>
      <c r="BY106" s="36"/>
      <c r="BZ106" s="36"/>
      <c r="CA106" s="36"/>
      <c r="CB106" s="36"/>
      <c r="CC106" s="36"/>
      <c r="CD106" s="36"/>
      <c r="CE106" s="36"/>
      <c r="CF106" s="36"/>
      <c r="CG106" s="36"/>
      <c r="CH106" s="36"/>
      <c r="CI106" s="36"/>
      <c r="CJ106" s="36"/>
      <c r="CK106" s="36"/>
      <c r="CL106" s="36"/>
      <c r="CM106" s="36"/>
      <c r="CN106" s="36"/>
      <c r="CO106" s="36"/>
      <c r="CP106" s="36"/>
      <c r="CQ106" s="36"/>
      <c r="CR106" s="36"/>
      <c r="CS106" s="36"/>
      <c r="CT106" s="36"/>
      <c r="CU106" s="36"/>
      <c r="CV106" s="36"/>
      <c r="CW106" s="36"/>
      <c r="CX106" s="36"/>
      <c r="CY106" s="36"/>
      <c r="CZ106" s="36"/>
      <c r="DA106" s="36"/>
      <c r="DB106" s="36"/>
      <c r="DC106" s="36"/>
      <c r="DD106" s="36"/>
      <c r="DE106" s="36"/>
      <c r="DF106" s="36"/>
      <c r="DG106" s="36"/>
      <c r="DH106" s="36">
        <v>-0.33200000000000002</v>
      </c>
      <c r="DI106" s="36"/>
      <c r="DJ106" s="36"/>
      <c r="DK106" s="36"/>
      <c r="DL106" s="36"/>
      <c r="DM106" s="36"/>
      <c r="DN106" s="36"/>
      <c r="DO106" s="36"/>
      <c r="DP106" s="36"/>
      <c r="DQ106" s="36"/>
      <c r="DR106" s="36"/>
      <c r="DS106" s="36"/>
      <c r="DT106" s="36"/>
      <c r="DU106" s="36"/>
      <c r="DV106" s="36"/>
      <c r="DW106" s="36"/>
      <c r="DX106" s="36"/>
      <c r="DY106" s="36"/>
      <c r="DZ106" s="36"/>
      <c r="EA106" s="36"/>
      <c r="EB106" s="36"/>
      <c r="EC106" s="36"/>
      <c r="ED106" s="36"/>
      <c r="EE106" s="36"/>
      <c r="EF106" s="36"/>
      <c r="EG106" s="36"/>
      <c r="EH106" s="36"/>
      <c r="EI106" s="36"/>
      <c r="EJ106" s="36">
        <v>-2.4500000000000002</v>
      </c>
      <c r="EK106" s="36"/>
      <c r="EL106" s="36"/>
      <c r="EM106" s="36"/>
      <c r="EN106" s="36"/>
      <c r="EO106" s="36"/>
      <c r="EP106" s="36"/>
      <c r="EQ106" s="36"/>
      <c r="ER106" s="36"/>
      <c r="ES106" s="36"/>
      <c r="ET106" s="36"/>
      <c r="EU106" s="36"/>
      <c r="EV106" s="36"/>
      <c r="EW106" s="36"/>
      <c r="EX106" s="36"/>
      <c r="EY106" s="36"/>
      <c r="EZ106" s="36"/>
      <c r="FA106" s="36"/>
      <c r="FB106" s="36"/>
      <c r="FC106" s="36"/>
      <c r="FD106" s="36"/>
      <c r="FE106" s="36"/>
      <c r="FF106" s="36"/>
      <c r="FG106" s="36"/>
      <c r="FH106" s="36"/>
      <c r="FI106" s="36"/>
      <c r="FJ106" s="36"/>
      <c r="FK106" s="36"/>
      <c r="FL106" s="36"/>
      <c r="FM106" s="36"/>
      <c r="FN106" s="36"/>
      <c r="FO106" s="36"/>
      <c r="FP106" s="36"/>
      <c r="FQ106" s="36"/>
      <c r="FR106" s="36"/>
      <c r="FS106" s="36"/>
      <c r="FT106" s="36"/>
      <c r="FU106" s="36"/>
      <c r="FV106" s="36"/>
      <c r="FW106" s="36"/>
      <c r="FX106" s="36"/>
      <c r="FY106" s="36"/>
      <c r="FZ106" s="36"/>
      <c r="GA106" s="36"/>
      <c r="GB106" s="319"/>
      <c r="GC106" s="179">
        <f t="shared" si="24"/>
        <v>0</v>
      </c>
      <c r="GD106" s="179">
        <f t="shared" si="25"/>
        <v>0.18379999999999999</v>
      </c>
      <c r="GE106" s="179">
        <f t="shared" si="26"/>
        <v>0</v>
      </c>
      <c r="GF106" s="179">
        <f t="shared" si="27"/>
        <v>0</v>
      </c>
      <c r="GG106" s="179">
        <f t="shared" si="21"/>
        <v>0</v>
      </c>
    </row>
    <row r="107" spans="1:189" x14ac:dyDescent="0.35">
      <c r="A107" s="5" t="s">
        <v>927</v>
      </c>
      <c r="B107" s="5" t="str">
        <f>IF(Technologies!B107&lt;&gt;0,Technologies!B107,"")</f>
        <v>Industrie</v>
      </c>
      <c r="C107" s="5" t="str">
        <f>VLOOKUP($A107,Technologies!$A$7:$H$576,3,FALSE)</f>
        <v>Final</v>
      </c>
      <c r="D107" s="5" t="str">
        <f>VLOOKUP($A107,Technologies!$A$7:$H$576,4,FALSE)</f>
        <v>Industry</v>
      </c>
      <c r="E107" s="5" t="str">
        <f>VLOOKUP($A107,Technologies!$A$7:$H$576,6,FALSE)</f>
        <v>Ceramics production -ETS Industry</v>
      </c>
      <c r="F107" s="5" t="str">
        <f>VLOOKUP($A107,Technologies!$A$7:$H$576,7,FALSE)</f>
        <v>Electric kilns + preparation, drying, treatment - Ceramics production</v>
      </c>
      <c r="G107" s="23"/>
      <c r="H107" s="23"/>
      <c r="I107" s="104" cm="1">
        <f t="array" ref="I107">-SUMPRODUCT((Feedstocks!$C$4:$C$141=A107)*Feedstocks!$E$4:$E$141,Feedstocks!$F$4:$F$141,Feedstocks!$H$4:$H$141,Feedstocks!$I$4:$I$141)</f>
        <v>0</v>
      </c>
      <c r="J107" s="104" cm="1">
        <f t="array" ref="J107">-SUMPRODUCT((Feedstocks!$C$4:$C$141=A107)*Feedstocks!$E$4:$E$141,Feedstocks!$H$4:$H$141,Feedstocks!$I$4:$I$141)</f>
        <v>0</v>
      </c>
      <c r="K107" s="104">
        <v>4.5100000000000001E-2</v>
      </c>
      <c r="L107" s="104"/>
      <c r="M107" s="23">
        <v>1</v>
      </c>
      <c r="N107" s="23" t="str">
        <f>VLOOKUP(E107,Activities!$A$9:$M$227,13,FALSE)</f>
        <v>NL</v>
      </c>
      <c r="O107" s="23"/>
      <c r="P107" s="79" t="s">
        <v>926</v>
      </c>
      <c r="Q107" s="35"/>
      <c r="R107" s="35"/>
      <c r="S107" s="35"/>
      <c r="T107" s="35"/>
      <c r="U107" s="35"/>
      <c r="V107" s="35"/>
      <c r="W107" s="35"/>
      <c r="X107" s="35"/>
      <c r="Y107" s="35"/>
      <c r="Z107" s="35"/>
      <c r="AA107" s="35"/>
      <c r="AB107" s="35"/>
      <c r="AC107" s="35"/>
      <c r="AD107" s="35"/>
      <c r="AE107" s="35"/>
      <c r="AF107" s="35"/>
      <c r="AG107" s="35"/>
      <c r="AH107" s="35"/>
      <c r="AI107" s="35"/>
      <c r="AJ107" s="35"/>
      <c r="AK107" s="35"/>
      <c r="AL107" s="35"/>
      <c r="AM107" s="35"/>
      <c r="AN107" s="35"/>
      <c r="AO107" s="35"/>
      <c r="AP107" s="35"/>
      <c r="AQ107" s="35"/>
      <c r="AR107" s="35"/>
      <c r="AS107" s="35">
        <v>1</v>
      </c>
      <c r="AT107" s="35"/>
      <c r="AU107" s="35"/>
      <c r="AV107" s="35"/>
      <c r="AW107" s="35"/>
      <c r="AX107" s="35"/>
      <c r="AY107" s="35"/>
      <c r="AZ107" s="35"/>
      <c r="BA107" s="35"/>
      <c r="BB107" s="35"/>
      <c r="BC107" s="35"/>
      <c r="BD107" s="35"/>
      <c r="BE107" s="35"/>
      <c r="BF107" s="35"/>
      <c r="BG107" s="35"/>
      <c r="BH107" s="35"/>
      <c r="BI107" s="35"/>
      <c r="BJ107" s="35"/>
      <c r="BK107" s="35"/>
      <c r="BL107" s="35"/>
      <c r="BM107" s="35"/>
      <c r="BN107" s="35"/>
      <c r="BO107" s="35"/>
      <c r="BP107" s="35"/>
      <c r="BQ107" s="35"/>
      <c r="BR107" s="35"/>
      <c r="BS107" s="35"/>
      <c r="BT107" s="35"/>
      <c r="BU107" s="35"/>
      <c r="BV107" s="35"/>
      <c r="BW107" s="35"/>
      <c r="BX107" s="35"/>
      <c r="BY107" s="35"/>
      <c r="BZ107" s="35"/>
      <c r="CA107" s="35"/>
      <c r="CB107" s="35"/>
      <c r="CC107" s="35"/>
      <c r="CD107" s="35"/>
      <c r="CE107" s="35"/>
      <c r="CF107" s="35"/>
      <c r="CG107" s="35"/>
      <c r="CH107" s="35"/>
      <c r="CI107" s="35"/>
      <c r="CJ107" s="35"/>
      <c r="CK107" s="35"/>
      <c r="CL107" s="35"/>
      <c r="CM107" s="35"/>
      <c r="CN107" s="35"/>
      <c r="CO107" s="35"/>
      <c r="CP107" s="35"/>
      <c r="CQ107" s="35"/>
      <c r="CR107" s="35"/>
      <c r="CS107" s="35"/>
      <c r="CT107" s="35"/>
      <c r="CU107" s="35"/>
      <c r="CV107" s="35"/>
      <c r="CW107" s="35"/>
      <c r="CX107" s="35"/>
      <c r="CY107" s="35"/>
      <c r="CZ107" s="35"/>
      <c r="DA107" s="35"/>
      <c r="DB107" s="35"/>
      <c r="DC107" s="35"/>
      <c r="DD107" s="35"/>
      <c r="DE107" s="35"/>
      <c r="DF107" s="35"/>
      <c r="DG107" s="35"/>
      <c r="DH107" s="35">
        <v>-3.3140000000000001</v>
      </c>
      <c r="DI107" s="35"/>
      <c r="DJ107" s="35"/>
      <c r="DK107" s="35"/>
      <c r="DL107" s="35"/>
      <c r="DM107" s="35"/>
      <c r="DN107" s="35"/>
      <c r="DO107" s="35"/>
      <c r="DP107" s="35"/>
      <c r="DQ107" s="35"/>
      <c r="DR107" s="35"/>
      <c r="DS107" s="35"/>
      <c r="DT107" s="35"/>
      <c r="DU107" s="35"/>
      <c r="DV107" s="35"/>
      <c r="DW107" s="35"/>
      <c r="DX107" s="35"/>
      <c r="DY107" s="35"/>
      <c r="DZ107" s="35"/>
      <c r="EA107" s="35"/>
      <c r="EB107" s="35"/>
      <c r="EC107" s="35"/>
      <c r="ED107" s="35"/>
      <c r="EE107" s="35"/>
      <c r="EF107" s="35"/>
      <c r="EG107" s="35"/>
      <c r="EH107" s="35"/>
      <c r="EI107" s="35"/>
      <c r="EJ107" s="35"/>
      <c r="EK107" s="35"/>
      <c r="EL107" s="35"/>
      <c r="EM107" s="35"/>
      <c r="EN107" s="35"/>
      <c r="EO107" s="35"/>
      <c r="EP107" s="35"/>
      <c r="EQ107" s="35"/>
      <c r="ER107" s="35"/>
      <c r="ES107" s="35"/>
      <c r="ET107" s="35"/>
      <c r="EU107" s="35"/>
      <c r="EV107" s="35"/>
      <c r="EW107" s="35"/>
      <c r="EX107" s="35"/>
      <c r="EY107" s="35"/>
      <c r="EZ107" s="35"/>
      <c r="FA107" s="35"/>
      <c r="FB107" s="35"/>
      <c r="FC107" s="35"/>
      <c r="FD107" s="35"/>
      <c r="FE107" s="35"/>
      <c r="FF107" s="35"/>
      <c r="FG107" s="35"/>
      <c r="FH107" s="35"/>
      <c r="FI107" s="35"/>
      <c r="FJ107" s="35"/>
      <c r="FK107" s="35"/>
      <c r="FL107" s="35"/>
      <c r="FM107" s="35"/>
      <c r="FN107" s="35"/>
      <c r="FO107" s="35"/>
      <c r="FP107" s="35"/>
      <c r="FQ107" s="35"/>
      <c r="FR107" s="35"/>
      <c r="FS107" s="35"/>
      <c r="FT107" s="35"/>
      <c r="FU107" s="35"/>
      <c r="FV107" s="35"/>
      <c r="FW107" s="35"/>
      <c r="FX107" s="35"/>
      <c r="FY107" s="35"/>
      <c r="FZ107" s="35"/>
      <c r="GA107" s="35"/>
      <c r="GB107" s="318"/>
      <c r="GC107" s="178">
        <f t="shared" si="24"/>
        <v>0</v>
      </c>
      <c r="GD107" s="178">
        <f t="shared" si="25"/>
        <v>4.5100000000000001E-2</v>
      </c>
      <c r="GE107" s="178">
        <f t="shared" si="26"/>
        <v>0</v>
      </c>
      <c r="GF107" s="178">
        <f t="shared" si="27"/>
        <v>0</v>
      </c>
      <c r="GG107" s="178">
        <f t="shared" si="21"/>
        <v>0</v>
      </c>
    </row>
    <row r="108" spans="1:189" x14ac:dyDescent="0.35">
      <c r="A108" s="6" t="s">
        <v>929</v>
      </c>
      <c r="B108" s="6" t="str">
        <f>IF(Technologies!B108&lt;&gt;0,Technologies!B108,"")</f>
        <v>Industrie</v>
      </c>
      <c r="C108" s="6" t="str">
        <f>VLOOKUP($A108,Technologies!$A$7:$H$576,3,FALSE)</f>
        <v>Final</v>
      </c>
      <c r="D108" s="6" t="str">
        <f>VLOOKUP($A108,Technologies!$A$7:$H$576,4,FALSE)</f>
        <v>Industry</v>
      </c>
      <c r="E108" s="6" t="str">
        <f>VLOOKUP($A108,Technologies!$A$7:$H$576,6,FALSE)</f>
        <v>Paper production - ETS Industry</v>
      </c>
      <c r="F108" s="48" t="str">
        <f>VLOOKUP($A108,Technologies!$A$7:$H$576,7,FALSE)</f>
        <v>Conventional paper milling - Paper and board production</v>
      </c>
      <c r="G108" s="22"/>
      <c r="H108" s="22"/>
      <c r="I108" s="103" cm="1">
        <f t="array" ref="I108">-SUMPRODUCT((Feedstocks!$C$4:$C$141=A108)*Feedstocks!$E$4:$E$141,Feedstocks!$F$4:$F$141,Feedstocks!$H$4:$H$141,Feedstocks!$I$4:$I$141)</f>
        <v>0</v>
      </c>
      <c r="J108" s="103" cm="1">
        <f t="array" ref="J108">-SUMPRODUCT((Feedstocks!$C$4:$C$141=A108)*Feedstocks!$E$4:$E$141,Feedstocks!$H$4:$H$141,Feedstocks!$I$4:$I$141)</f>
        <v>0</v>
      </c>
      <c r="K108" s="103"/>
      <c r="L108" s="103"/>
      <c r="M108" s="22">
        <v>1</v>
      </c>
      <c r="N108" s="22" t="str">
        <f>VLOOKUP(E108,Activities!$A$9:$M$227,13,FALSE)</f>
        <v>NL</v>
      </c>
      <c r="O108" s="22"/>
      <c r="P108" s="80" t="s">
        <v>1816</v>
      </c>
      <c r="Q108" s="36"/>
      <c r="R108" s="36"/>
      <c r="S108" s="36"/>
      <c r="T108" s="36"/>
      <c r="U108" s="36"/>
      <c r="V108" s="36"/>
      <c r="W108" s="36"/>
      <c r="X108" s="36"/>
      <c r="Y108" s="36"/>
      <c r="Z108" s="36"/>
      <c r="AA108" s="36"/>
      <c r="AB108" s="36"/>
      <c r="AC108" s="36"/>
      <c r="AD108" s="36"/>
      <c r="AE108" s="36"/>
      <c r="AF108" s="36"/>
      <c r="AG108" s="36"/>
      <c r="AH108" s="36"/>
      <c r="AI108" s="36"/>
      <c r="AJ108" s="36"/>
      <c r="AK108" s="36"/>
      <c r="AL108" s="36"/>
      <c r="AM108" s="36"/>
      <c r="AN108" s="36"/>
      <c r="AO108" s="36"/>
      <c r="AP108" s="36"/>
      <c r="AQ108" s="36"/>
      <c r="AR108" s="36"/>
      <c r="AS108" s="36"/>
      <c r="AT108" s="36">
        <v>1</v>
      </c>
      <c r="AU108" s="36"/>
      <c r="AV108" s="36"/>
      <c r="AW108" s="36"/>
      <c r="AX108" s="36"/>
      <c r="AY108" s="36"/>
      <c r="AZ108" s="36"/>
      <c r="BA108" s="36"/>
      <c r="BB108" s="36"/>
      <c r="BC108" s="36"/>
      <c r="BD108" s="36"/>
      <c r="BE108" s="36"/>
      <c r="BF108" s="36"/>
      <c r="BG108" s="36"/>
      <c r="BH108" s="36"/>
      <c r="BI108" s="36"/>
      <c r="BJ108" s="36"/>
      <c r="BK108" s="36"/>
      <c r="BL108" s="36"/>
      <c r="BM108" s="36"/>
      <c r="BN108" s="36"/>
      <c r="BO108" s="36"/>
      <c r="BP108" s="36"/>
      <c r="BQ108" s="36"/>
      <c r="BR108" s="36"/>
      <c r="BS108" s="36"/>
      <c r="BT108" s="36"/>
      <c r="BU108" s="36"/>
      <c r="BV108" s="36"/>
      <c r="BW108" s="36"/>
      <c r="BX108" s="36"/>
      <c r="BY108" s="36"/>
      <c r="BZ108" s="36"/>
      <c r="CA108" s="36"/>
      <c r="CB108" s="36"/>
      <c r="CC108" s="36"/>
      <c r="CD108" s="36"/>
      <c r="CE108" s="36"/>
      <c r="CF108" s="36"/>
      <c r="CG108" s="36"/>
      <c r="CH108" s="36"/>
      <c r="CI108" s="36"/>
      <c r="CJ108" s="36"/>
      <c r="CK108" s="36"/>
      <c r="CL108" s="36"/>
      <c r="CM108" s="36"/>
      <c r="CN108" s="36"/>
      <c r="CO108" s="36"/>
      <c r="CP108" s="36"/>
      <c r="CQ108" s="36"/>
      <c r="CR108" s="36"/>
      <c r="CS108" s="36"/>
      <c r="CT108" s="36"/>
      <c r="CU108" s="36"/>
      <c r="CV108" s="36"/>
      <c r="CW108" s="36"/>
      <c r="CX108" s="36"/>
      <c r="CY108" s="36"/>
      <c r="CZ108" s="36"/>
      <c r="DA108" s="36"/>
      <c r="DB108" s="36"/>
      <c r="DC108" s="36"/>
      <c r="DD108" s="36"/>
      <c r="DE108" s="36"/>
      <c r="DF108" s="36"/>
      <c r="DG108" s="36"/>
      <c r="DH108" s="36">
        <v>-2.9169999999999998</v>
      </c>
      <c r="DI108" s="36"/>
      <c r="DJ108" s="36"/>
      <c r="DK108" s="36"/>
      <c r="DL108" s="36"/>
      <c r="DM108" s="36"/>
      <c r="DN108" s="36"/>
      <c r="DO108" s="36">
        <f>-5.458*0.67</f>
        <v>-3.6568600000000004</v>
      </c>
      <c r="DP108" s="36">
        <f>-5.45-DO108</f>
        <v>-1.7931399999999997</v>
      </c>
      <c r="DQ108" s="36"/>
      <c r="DR108" s="36"/>
      <c r="DS108" s="36"/>
      <c r="DT108" s="36"/>
      <c r="DU108" s="36"/>
      <c r="DV108" s="36"/>
      <c r="DW108" s="36"/>
      <c r="DX108" s="36"/>
      <c r="DY108" s="36"/>
      <c r="DZ108" s="36"/>
      <c r="EA108" s="36"/>
      <c r="EB108" s="36"/>
      <c r="EC108" s="36"/>
      <c r="ED108" s="36"/>
      <c r="EE108" s="36"/>
      <c r="EF108" s="36"/>
      <c r="EG108" s="36"/>
      <c r="EH108" s="36"/>
      <c r="EI108" s="36"/>
      <c r="EJ108" s="36"/>
      <c r="EK108" s="36"/>
      <c r="EL108" s="36"/>
      <c r="EM108" s="36"/>
      <c r="EN108" s="36"/>
      <c r="EO108" s="36"/>
      <c r="EP108" s="36"/>
      <c r="EQ108" s="36"/>
      <c r="ER108" s="36"/>
      <c r="ES108" s="36"/>
      <c r="ET108" s="36"/>
      <c r="EU108" s="36"/>
      <c r="EV108" s="36"/>
      <c r="EW108" s="36"/>
      <c r="EX108" s="36"/>
      <c r="EY108" s="36"/>
      <c r="EZ108" s="36"/>
      <c r="FA108" s="36"/>
      <c r="FB108" s="36"/>
      <c r="FC108" s="36"/>
      <c r="FD108" s="36"/>
      <c r="FE108" s="36"/>
      <c r="FF108" s="36"/>
      <c r="FG108" s="36"/>
      <c r="FH108" s="36"/>
      <c r="FI108" s="36"/>
      <c r="FJ108" s="36"/>
      <c r="FK108" s="36"/>
      <c r="FL108" s="36"/>
      <c r="FM108" s="36"/>
      <c r="FN108" s="36"/>
      <c r="FO108" s="36"/>
      <c r="FP108" s="36"/>
      <c r="FQ108" s="36"/>
      <c r="FR108" s="36"/>
      <c r="FS108" s="36"/>
      <c r="FT108" s="36"/>
      <c r="FU108" s="36"/>
      <c r="FV108" s="36"/>
      <c r="FW108" s="36"/>
      <c r="FX108" s="36"/>
      <c r="FY108" s="36"/>
      <c r="FZ108" s="36"/>
      <c r="GA108" s="36"/>
      <c r="GB108" s="319"/>
      <c r="GC108" s="179">
        <f t="shared" si="24"/>
        <v>0</v>
      </c>
      <c r="GD108" s="179">
        <f t="shared" si="25"/>
        <v>0</v>
      </c>
      <c r="GE108" s="179">
        <f t="shared" si="26"/>
        <v>0</v>
      </c>
      <c r="GF108" s="179">
        <f t="shared" si="27"/>
        <v>0</v>
      </c>
      <c r="GG108" s="179">
        <f t="shared" si="21"/>
        <v>0</v>
      </c>
    </row>
    <row r="109" spans="1:189" x14ac:dyDescent="0.35">
      <c r="A109" s="5" t="s">
        <v>934</v>
      </c>
      <c r="B109" s="5" t="str">
        <f>IF(Technologies!B109&lt;&gt;0,Technologies!B109,"")</f>
        <v>Industrie</v>
      </c>
      <c r="C109" s="5" t="str">
        <f>VLOOKUP($A109,Technologies!$A$7:$H$576,3,FALSE)</f>
        <v>Final</v>
      </c>
      <c r="D109" s="5" t="str">
        <f>VLOOKUP($A109,Technologies!$A$7:$H$576,4,FALSE)</f>
        <v>Industry</v>
      </c>
      <c r="E109" s="5" t="str">
        <f>VLOOKUP($A109,Technologies!$A$7:$H$576,6,FALSE)</f>
        <v>Paper production - ETS Industry</v>
      </c>
      <c r="F109" s="5" t="str">
        <f>VLOOKUP($A109,Technologies!$A$7:$H$576,7,FALSE)</f>
        <v>Compressed refining of paper - Paper and board production</v>
      </c>
      <c r="G109" s="23"/>
      <c r="H109" s="23"/>
      <c r="I109" s="104" cm="1">
        <f t="array" ref="I109">-SUMPRODUCT((Feedstocks!$C$4:$C$141=A109)*Feedstocks!$E$4:$E$141,Feedstocks!$F$4:$F$141,Feedstocks!$H$4:$H$141,Feedstocks!$I$4:$I$141)</f>
        <v>0</v>
      </c>
      <c r="J109" s="104" cm="1">
        <f t="array" ref="J109">-SUMPRODUCT((Feedstocks!$C$4:$C$141=A109)*Feedstocks!$E$4:$E$141,Feedstocks!$H$4:$H$141,Feedstocks!$I$4:$I$141)</f>
        <v>0</v>
      </c>
      <c r="K109" s="104"/>
      <c r="L109" s="104"/>
      <c r="M109" s="23">
        <v>1</v>
      </c>
      <c r="N109" s="23" t="str">
        <f>VLOOKUP(E109,Activities!$A$9:$M$227,13,FALSE)</f>
        <v>NL</v>
      </c>
      <c r="O109" s="23"/>
      <c r="P109" s="79" t="s">
        <v>1816</v>
      </c>
      <c r="Q109" s="35"/>
      <c r="R109" s="35"/>
      <c r="S109" s="35"/>
      <c r="T109" s="35"/>
      <c r="U109" s="35"/>
      <c r="V109" s="35"/>
      <c r="W109" s="35"/>
      <c r="X109" s="35"/>
      <c r="Y109" s="35"/>
      <c r="Z109" s="35"/>
      <c r="AA109" s="35"/>
      <c r="AB109" s="35"/>
      <c r="AC109" s="35"/>
      <c r="AD109" s="35"/>
      <c r="AE109" s="35"/>
      <c r="AF109" s="35"/>
      <c r="AG109" s="35"/>
      <c r="AH109" s="35"/>
      <c r="AI109" s="35"/>
      <c r="AJ109" s="35"/>
      <c r="AK109" s="35"/>
      <c r="AL109" s="35"/>
      <c r="AM109" s="35"/>
      <c r="AN109" s="35"/>
      <c r="AO109" s="35"/>
      <c r="AP109" s="35"/>
      <c r="AQ109" s="35"/>
      <c r="AR109" s="35"/>
      <c r="AS109" s="35"/>
      <c r="AT109" s="35">
        <v>1</v>
      </c>
      <c r="AU109" s="35"/>
      <c r="AV109" s="35"/>
      <c r="AW109" s="35"/>
      <c r="AX109" s="35"/>
      <c r="AY109" s="35"/>
      <c r="AZ109" s="35"/>
      <c r="BA109" s="35"/>
      <c r="BB109" s="35"/>
      <c r="BC109" s="35"/>
      <c r="BD109" s="35"/>
      <c r="BE109" s="35"/>
      <c r="BF109" s="35"/>
      <c r="BG109" s="35"/>
      <c r="BH109" s="35"/>
      <c r="BI109" s="35"/>
      <c r="BJ109" s="35"/>
      <c r="BK109" s="35"/>
      <c r="BL109" s="35"/>
      <c r="BM109" s="35"/>
      <c r="BN109" s="35"/>
      <c r="BO109" s="35"/>
      <c r="BP109" s="35"/>
      <c r="BQ109" s="35"/>
      <c r="BR109" s="35"/>
      <c r="BS109" s="35"/>
      <c r="BT109" s="35"/>
      <c r="BU109" s="35"/>
      <c r="BV109" s="35"/>
      <c r="BW109" s="35"/>
      <c r="BX109" s="35"/>
      <c r="BY109" s="35"/>
      <c r="BZ109" s="35"/>
      <c r="CA109" s="35"/>
      <c r="CB109" s="35"/>
      <c r="CC109" s="35"/>
      <c r="CD109" s="35"/>
      <c r="CE109" s="35"/>
      <c r="CF109" s="35"/>
      <c r="CG109" s="35"/>
      <c r="CH109" s="35"/>
      <c r="CI109" s="35"/>
      <c r="CJ109" s="35"/>
      <c r="CK109" s="35"/>
      <c r="CL109" s="35"/>
      <c r="CM109" s="35"/>
      <c r="CN109" s="35"/>
      <c r="CO109" s="35"/>
      <c r="CP109" s="35"/>
      <c r="CQ109" s="35"/>
      <c r="CR109" s="35"/>
      <c r="CS109" s="35"/>
      <c r="CT109" s="35"/>
      <c r="CU109" s="35"/>
      <c r="CV109" s="35"/>
      <c r="CW109" s="35"/>
      <c r="CX109" s="35"/>
      <c r="CY109" s="35"/>
      <c r="CZ109" s="35"/>
      <c r="DA109" s="35"/>
      <c r="DB109" s="35"/>
      <c r="DC109" s="35"/>
      <c r="DD109" s="35"/>
      <c r="DE109" s="35"/>
      <c r="DF109" s="35"/>
      <c r="DG109" s="35"/>
      <c r="DH109" s="35">
        <v>-2.5</v>
      </c>
      <c r="DI109" s="35"/>
      <c r="DJ109" s="35"/>
      <c r="DK109" s="35"/>
      <c r="DL109" s="35"/>
      <c r="DM109" s="35"/>
      <c r="DN109" s="35"/>
      <c r="DO109" s="35">
        <f>DO108*0.25+DO108*0.75*0.95</f>
        <v>-3.5197277500000004</v>
      </c>
      <c r="DP109" s="35">
        <f>DP108*0.25+DP108*0.75*0.95</f>
        <v>-1.7258972499999996</v>
      </c>
      <c r="DQ109" s="35"/>
      <c r="DR109" s="35"/>
      <c r="DS109" s="35"/>
      <c r="DT109" s="35"/>
      <c r="DU109" s="35"/>
      <c r="DV109" s="35"/>
      <c r="DW109" s="35"/>
      <c r="DX109" s="35"/>
      <c r="DY109" s="35"/>
      <c r="DZ109" s="35"/>
      <c r="EA109" s="35"/>
      <c r="EB109" s="35"/>
      <c r="EC109" s="35"/>
      <c r="ED109" s="35"/>
      <c r="EE109" s="35"/>
      <c r="EF109" s="35"/>
      <c r="EG109" s="35"/>
      <c r="EH109" s="35"/>
      <c r="EI109" s="35"/>
      <c r="EJ109" s="35"/>
      <c r="EK109" s="35"/>
      <c r="EL109" s="35"/>
      <c r="EM109" s="35"/>
      <c r="EN109" s="35"/>
      <c r="EO109" s="35"/>
      <c r="EP109" s="35"/>
      <c r="EQ109" s="35"/>
      <c r="ER109" s="35"/>
      <c r="ES109" s="35"/>
      <c r="ET109" s="35"/>
      <c r="EU109" s="35"/>
      <c r="EV109" s="35"/>
      <c r="EW109" s="35"/>
      <c r="EX109" s="35"/>
      <c r="EY109" s="35"/>
      <c r="EZ109" s="35"/>
      <c r="FA109" s="35"/>
      <c r="FB109" s="35"/>
      <c r="FC109" s="35"/>
      <c r="FD109" s="35"/>
      <c r="FE109" s="35"/>
      <c r="FF109" s="35"/>
      <c r="FG109" s="35"/>
      <c r="FH109" s="35"/>
      <c r="FI109" s="35"/>
      <c r="FJ109" s="35"/>
      <c r="FK109" s="35"/>
      <c r="FL109" s="35"/>
      <c r="FM109" s="35"/>
      <c r="FN109" s="35"/>
      <c r="FO109" s="35"/>
      <c r="FP109" s="35"/>
      <c r="FQ109" s="35"/>
      <c r="FR109" s="35"/>
      <c r="FS109" s="35"/>
      <c r="FT109" s="35"/>
      <c r="FU109" s="35"/>
      <c r="FV109" s="35"/>
      <c r="FW109" s="35"/>
      <c r="FX109" s="35"/>
      <c r="FY109" s="35"/>
      <c r="FZ109" s="35"/>
      <c r="GA109" s="35"/>
      <c r="GB109" s="318"/>
      <c r="GC109" s="178">
        <f t="shared" si="24"/>
        <v>0</v>
      </c>
      <c r="GD109" s="178">
        <f t="shared" si="25"/>
        <v>0</v>
      </c>
      <c r="GE109" s="178">
        <f t="shared" si="26"/>
        <v>0</v>
      </c>
      <c r="GF109" s="178">
        <f t="shared" si="27"/>
        <v>0</v>
      </c>
      <c r="GG109" s="178">
        <f t="shared" si="21"/>
        <v>0</v>
      </c>
    </row>
    <row r="110" spans="1:189" x14ac:dyDescent="0.35">
      <c r="A110" s="6" t="s">
        <v>937</v>
      </c>
      <c r="B110" s="6" t="str">
        <f>IF(Technologies!B110&lt;&gt;0,Technologies!B110,"")</f>
        <v>Industrie</v>
      </c>
      <c r="C110" s="6" t="str">
        <f>VLOOKUP($A110,Technologies!$A$7:$H$576,3,FALSE)</f>
        <v>Final</v>
      </c>
      <c r="D110" s="6" t="str">
        <f>VLOOKUP($A110,Technologies!$A$7:$H$576,4,FALSE)</f>
        <v>Industry</v>
      </c>
      <c r="E110" s="6" t="str">
        <f>VLOOKUP($A110,Technologies!$A$7:$H$576,6,FALSE)</f>
        <v>Paper production - ETS Industry</v>
      </c>
      <c r="F110" s="48" t="str">
        <f>VLOOKUP($A110,Technologies!$A$7:$H$576,7,FALSE)</f>
        <v>Air-laid forming for paper - Paper and board production</v>
      </c>
      <c r="G110" s="22"/>
      <c r="H110" s="22"/>
      <c r="I110" s="103" cm="1">
        <f t="array" ref="I110">-SUMPRODUCT((Feedstocks!$C$4:$C$141=A110)*Feedstocks!$E$4:$E$141,Feedstocks!$F$4:$F$141,Feedstocks!$H$4:$H$141,Feedstocks!$I$4:$I$141)</f>
        <v>0</v>
      </c>
      <c r="J110" s="103" cm="1">
        <f t="array" ref="J110">-SUMPRODUCT((Feedstocks!$C$4:$C$141=A110)*Feedstocks!$E$4:$E$141,Feedstocks!$H$4:$H$141,Feedstocks!$I$4:$I$141)</f>
        <v>0</v>
      </c>
      <c r="K110" s="103"/>
      <c r="L110" s="103"/>
      <c r="M110" s="22">
        <v>1</v>
      </c>
      <c r="N110" s="22" t="str">
        <f>VLOOKUP(E110,Activities!$A$9:$M$227,13,FALSE)</f>
        <v>NL</v>
      </c>
      <c r="O110" s="22"/>
      <c r="P110" s="80" t="s">
        <v>1816</v>
      </c>
      <c r="Q110" s="36"/>
      <c r="R110" s="36"/>
      <c r="S110" s="36"/>
      <c r="T110" s="36"/>
      <c r="U110" s="36"/>
      <c r="V110" s="36"/>
      <c r="W110" s="36"/>
      <c r="X110" s="36"/>
      <c r="Y110" s="36"/>
      <c r="Z110" s="36"/>
      <c r="AA110" s="36"/>
      <c r="AB110" s="36"/>
      <c r="AC110" s="36"/>
      <c r="AD110" s="36"/>
      <c r="AE110" s="36"/>
      <c r="AF110" s="36"/>
      <c r="AG110" s="36"/>
      <c r="AH110" s="36"/>
      <c r="AI110" s="36"/>
      <c r="AJ110" s="36"/>
      <c r="AK110" s="36"/>
      <c r="AL110" s="36"/>
      <c r="AM110" s="36"/>
      <c r="AN110" s="36"/>
      <c r="AO110" s="36"/>
      <c r="AP110" s="36"/>
      <c r="AQ110" s="36"/>
      <c r="AR110" s="36"/>
      <c r="AS110" s="36"/>
      <c r="AT110" s="36">
        <v>1</v>
      </c>
      <c r="AU110" s="36"/>
      <c r="AV110" s="36"/>
      <c r="AW110" s="36"/>
      <c r="AX110" s="36"/>
      <c r="AY110" s="36"/>
      <c r="AZ110" s="36"/>
      <c r="BA110" s="36"/>
      <c r="BB110" s="36"/>
      <c r="BC110" s="36"/>
      <c r="BD110" s="36"/>
      <c r="BE110" s="36"/>
      <c r="BF110" s="36"/>
      <c r="BG110" s="36"/>
      <c r="BH110" s="36"/>
      <c r="BI110" s="36"/>
      <c r="BJ110" s="36"/>
      <c r="BK110" s="36"/>
      <c r="BL110" s="36"/>
      <c r="BM110" s="36"/>
      <c r="BN110" s="36"/>
      <c r="BO110" s="36"/>
      <c r="BP110" s="36"/>
      <c r="BQ110" s="36"/>
      <c r="BR110" s="36"/>
      <c r="BS110" s="36"/>
      <c r="BT110" s="36"/>
      <c r="BU110" s="36"/>
      <c r="BV110" s="36"/>
      <c r="BW110" s="36"/>
      <c r="BX110" s="36"/>
      <c r="BY110" s="36"/>
      <c r="BZ110" s="36"/>
      <c r="CA110" s="36"/>
      <c r="CB110" s="36"/>
      <c r="CC110" s="36"/>
      <c r="CD110" s="36"/>
      <c r="CE110" s="36"/>
      <c r="CF110" s="36"/>
      <c r="CG110" s="36"/>
      <c r="CH110" s="36"/>
      <c r="CI110" s="36"/>
      <c r="CJ110" s="36"/>
      <c r="CK110" s="36"/>
      <c r="CL110" s="36"/>
      <c r="CM110" s="36"/>
      <c r="CN110" s="36"/>
      <c r="CO110" s="36"/>
      <c r="CP110" s="36"/>
      <c r="CQ110" s="36"/>
      <c r="CR110" s="36"/>
      <c r="CS110" s="36"/>
      <c r="CT110" s="36"/>
      <c r="CU110" s="36"/>
      <c r="CV110" s="36"/>
      <c r="CW110" s="36"/>
      <c r="CX110" s="36"/>
      <c r="CY110" s="36"/>
      <c r="CZ110" s="36"/>
      <c r="DA110" s="36"/>
      <c r="DB110" s="36"/>
      <c r="DC110" s="36"/>
      <c r="DD110" s="36"/>
      <c r="DE110" s="36"/>
      <c r="DF110" s="36"/>
      <c r="DG110" s="36"/>
      <c r="DH110" s="36">
        <f>((520+280)*-2.8+105*-4.7)/SUM(520,280,105)</f>
        <v>-3.0204419889502763</v>
      </c>
      <c r="DI110" s="36"/>
      <c r="DJ110" s="36"/>
      <c r="DK110" s="36"/>
      <c r="DL110" s="36"/>
      <c r="DM110" s="36"/>
      <c r="DN110" s="36"/>
      <c r="DO110" s="36">
        <f>((520+280)*-3.3+105*-4.1)/SUM(520,280,105)*0.67</f>
        <v>-2.2731878453038674</v>
      </c>
      <c r="DP110" s="36">
        <f>((520+280)*-3.3+105*-4.1)/SUM(520,280,105)*0.33</f>
        <v>-1.1196298342541438</v>
      </c>
      <c r="DQ110" s="36"/>
      <c r="DR110" s="36"/>
      <c r="DS110" s="36"/>
      <c r="DT110" s="36"/>
      <c r="DU110" s="36"/>
      <c r="DV110" s="36"/>
      <c r="DW110" s="36"/>
      <c r="DX110" s="36"/>
      <c r="DY110" s="36"/>
      <c r="DZ110" s="36"/>
      <c r="EA110" s="36"/>
      <c r="EB110" s="36"/>
      <c r="EC110" s="36"/>
      <c r="ED110" s="36"/>
      <c r="EE110" s="36"/>
      <c r="EF110" s="36"/>
      <c r="EG110" s="36"/>
      <c r="EH110" s="36"/>
      <c r="EI110" s="36"/>
      <c r="EJ110" s="36"/>
      <c r="EK110" s="36"/>
      <c r="EL110" s="36"/>
      <c r="EM110" s="36"/>
      <c r="EN110" s="36"/>
      <c r="EO110" s="36"/>
      <c r="EP110" s="36"/>
      <c r="EQ110" s="36"/>
      <c r="ER110" s="36"/>
      <c r="ES110" s="36"/>
      <c r="ET110" s="36"/>
      <c r="EU110" s="36"/>
      <c r="EV110" s="36"/>
      <c r="EW110" s="36"/>
      <c r="EX110" s="36"/>
      <c r="EY110" s="36"/>
      <c r="EZ110" s="36"/>
      <c r="FA110" s="36"/>
      <c r="FB110" s="36"/>
      <c r="FC110" s="36"/>
      <c r="FD110" s="36"/>
      <c r="FE110" s="36"/>
      <c r="FF110" s="36"/>
      <c r="FG110" s="36"/>
      <c r="FH110" s="36"/>
      <c r="FI110" s="36"/>
      <c r="FJ110" s="36"/>
      <c r="FK110" s="36"/>
      <c r="FL110" s="36"/>
      <c r="FM110" s="36"/>
      <c r="FN110" s="36"/>
      <c r="FO110" s="36"/>
      <c r="FP110" s="36"/>
      <c r="FQ110" s="36"/>
      <c r="FR110" s="36"/>
      <c r="FS110" s="36"/>
      <c r="FT110" s="36"/>
      <c r="FU110" s="36"/>
      <c r="FV110" s="36"/>
      <c r="FW110" s="36"/>
      <c r="FX110" s="36"/>
      <c r="FY110" s="36"/>
      <c r="FZ110" s="36"/>
      <c r="GA110" s="36"/>
      <c r="GB110" s="319"/>
      <c r="GC110" s="179">
        <f t="shared" si="24"/>
        <v>0</v>
      </c>
      <c r="GD110" s="179">
        <f t="shared" si="25"/>
        <v>0</v>
      </c>
      <c r="GE110" s="179">
        <f t="shared" si="26"/>
        <v>0</v>
      </c>
      <c r="GF110" s="179">
        <f t="shared" si="27"/>
        <v>0</v>
      </c>
      <c r="GG110" s="179">
        <f t="shared" si="21"/>
        <v>0</v>
      </c>
    </row>
    <row r="111" spans="1:189" x14ac:dyDescent="0.35">
      <c r="A111" s="5" t="s">
        <v>939</v>
      </c>
      <c r="B111" s="5" t="str">
        <f>IF(Technologies!B111&lt;&gt;0,Technologies!B111,"")</f>
        <v>Industrie</v>
      </c>
      <c r="C111" s="5" t="str">
        <f>VLOOKUP($A111,Technologies!$A$7:$H$576,3,FALSE)</f>
        <v>Final</v>
      </c>
      <c r="D111" s="5" t="str">
        <f>VLOOKUP($A111,Technologies!$A$7:$H$576,4,FALSE)</f>
        <v>Industry</v>
      </c>
      <c r="E111" s="5" t="str">
        <f>VLOOKUP($A111,Technologies!$A$7:$H$576,6,FALSE)</f>
        <v>Board production - ETS Industry</v>
      </c>
      <c r="F111" s="5" t="str">
        <f>VLOOKUP($A111,Technologies!$A$7:$H$576,7,FALSE)</f>
        <v>Microwave drying for board - Paper and board production</v>
      </c>
      <c r="G111" s="23"/>
      <c r="H111" s="23"/>
      <c r="I111" s="104" cm="1">
        <f t="array" ref="I111">-SUMPRODUCT((Feedstocks!$C$4:$C$141=A111)*Feedstocks!$E$4:$E$141,Feedstocks!$F$4:$F$141,Feedstocks!$H$4:$H$141,Feedstocks!$I$4:$I$141)</f>
        <v>0</v>
      </c>
      <c r="J111" s="104" cm="1">
        <f t="array" ref="J111">-SUMPRODUCT((Feedstocks!$C$4:$C$141=A111)*Feedstocks!$E$4:$E$141,Feedstocks!$H$4:$H$141,Feedstocks!$I$4:$I$141)</f>
        <v>0</v>
      </c>
      <c r="K111" s="104"/>
      <c r="L111" s="104"/>
      <c r="M111" s="23">
        <v>1</v>
      </c>
      <c r="N111" s="23" t="str">
        <f>VLOOKUP(E111,Activities!$A$9:$M$227,13,FALSE)</f>
        <v>NL</v>
      </c>
      <c r="O111" s="23"/>
      <c r="P111" s="79" t="s">
        <v>1816</v>
      </c>
      <c r="Q111" s="35"/>
      <c r="R111" s="35"/>
      <c r="S111" s="35"/>
      <c r="T111" s="35"/>
      <c r="U111" s="35"/>
      <c r="V111" s="35"/>
      <c r="W111" s="35"/>
      <c r="X111" s="35"/>
      <c r="Y111" s="35"/>
      <c r="Z111" s="35"/>
      <c r="AA111" s="35"/>
      <c r="AB111" s="35"/>
      <c r="AC111" s="35"/>
      <c r="AD111" s="35"/>
      <c r="AE111" s="35"/>
      <c r="AF111" s="35"/>
      <c r="AG111" s="35"/>
      <c r="AH111" s="35"/>
      <c r="AI111" s="35"/>
      <c r="AJ111" s="35"/>
      <c r="AK111" s="35"/>
      <c r="AL111" s="35"/>
      <c r="AM111" s="35"/>
      <c r="AN111" s="35"/>
      <c r="AO111" s="35"/>
      <c r="AP111" s="35"/>
      <c r="AQ111" s="35"/>
      <c r="AR111" s="35"/>
      <c r="AS111" s="35"/>
      <c r="AT111" s="35"/>
      <c r="AU111" s="35">
        <v>1</v>
      </c>
      <c r="AV111" s="35"/>
      <c r="AW111" s="35"/>
      <c r="AX111" s="35"/>
      <c r="AY111" s="35"/>
      <c r="AZ111" s="35"/>
      <c r="BA111" s="35"/>
      <c r="BB111" s="35"/>
      <c r="BC111" s="35"/>
      <c r="BD111" s="35"/>
      <c r="BE111" s="35"/>
      <c r="BF111" s="35"/>
      <c r="BG111" s="35"/>
      <c r="BH111" s="35"/>
      <c r="BI111" s="35"/>
      <c r="BJ111" s="35"/>
      <c r="BK111" s="35"/>
      <c r="BL111" s="35"/>
      <c r="BM111" s="35"/>
      <c r="BN111" s="35"/>
      <c r="BO111" s="35"/>
      <c r="BP111" s="35"/>
      <c r="BQ111" s="35"/>
      <c r="BR111" s="35"/>
      <c r="BS111" s="35"/>
      <c r="BT111" s="35"/>
      <c r="BU111" s="35"/>
      <c r="BV111" s="35"/>
      <c r="BW111" s="35"/>
      <c r="BX111" s="35"/>
      <c r="BY111" s="35"/>
      <c r="BZ111" s="35"/>
      <c r="CA111" s="35"/>
      <c r="CB111" s="35"/>
      <c r="CC111" s="35"/>
      <c r="CD111" s="35"/>
      <c r="CE111" s="35"/>
      <c r="CF111" s="35"/>
      <c r="CG111" s="35"/>
      <c r="CH111" s="35"/>
      <c r="CI111" s="35"/>
      <c r="CJ111" s="35"/>
      <c r="CK111" s="35"/>
      <c r="CL111" s="35"/>
      <c r="CM111" s="35"/>
      <c r="CN111" s="35"/>
      <c r="CO111" s="35"/>
      <c r="CP111" s="35"/>
      <c r="CQ111" s="35"/>
      <c r="CR111" s="35"/>
      <c r="CS111" s="35"/>
      <c r="CT111" s="35"/>
      <c r="CU111" s="35"/>
      <c r="CV111" s="35"/>
      <c r="CW111" s="35"/>
      <c r="CX111" s="35"/>
      <c r="CY111" s="35"/>
      <c r="CZ111" s="35"/>
      <c r="DA111" s="35"/>
      <c r="DB111" s="35"/>
      <c r="DC111" s="35"/>
      <c r="DD111" s="35"/>
      <c r="DE111" s="35"/>
      <c r="DF111" s="35"/>
      <c r="DG111" s="35"/>
      <c r="DH111" s="35">
        <f>DH112+0.34</f>
        <v>-0.81659999999999999</v>
      </c>
      <c r="DI111" s="35"/>
      <c r="DJ111" s="35"/>
      <c r="DK111" s="35"/>
      <c r="DL111" s="35"/>
      <c r="DM111" s="35"/>
      <c r="DN111" s="35"/>
      <c r="DO111" s="35">
        <f>DO112*0.75*0.85+DO112*0.25</f>
        <v>-2.5092580375000004</v>
      </c>
      <c r="DP111" s="35">
        <f>DP112*0.75*0.85+DP112*0.25</f>
        <v>-1.2359032124999998</v>
      </c>
      <c r="DQ111" s="35"/>
      <c r="DR111" s="35"/>
      <c r="DS111" s="35"/>
      <c r="DT111" s="35"/>
      <c r="DU111" s="35"/>
      <c r="DV111" s="35"/>
      <c r="DW111" s="35"/>
      <c r="DX111" s="35"/>
      <c r="DY111" s="35"/>
      <c r="DZ111" s="35"/>
      <c r="EA111" s="35"/>
      <c r="EB111" s="35"/>
      <c r="EC111" s="35"/>
      <c r="ED111" s="35"/>
      <c r="EE111" s="35"/>
      <c r="EF111" s="35"/>
      <c r="EG111" s="35"/>
      <c r="EH111" s="35"/>
      <c r="EI111" s="35"/>
      <c r="EJ111" s="35"/>
      <c r="EK111" s="35"/>
      <c r="EL111" s="35"/>
      <c r="EM111" s="35"/>
      <c r="EN111" s="35"/>
      <c r="EO111" s="35"/>
      <c r="EP111" s="35"/>
      <c r="EQ111" s="35"/>
      <c r="ER111" s="35"/>
      <c r="ES111" s="35"/>
      <c r="ET111" s="35"/>
      <c r="EU111" s="35"/>
      <c r="EV111" s="35"/>
      <c r="EW111" s="35"/>
      <c r="EX111" s="35"/>
      <c r="EY111" s="35"/>
      <c r="EZ111" s="35"/>
      <c r="FA111" s="35"/>
      <c r="FB111" s="35"/>
      <c r="FC111" s="35"/>
      <c r="FD111" s="35"/>
      <c r="FE111" s="35"/>
      <c r="FF111" s="35"/>
      <c r="FG111" s="35"/>
      <c r="FH111" s="35"/>
      <c r="FI111" s="35"/>
      <c r="FJ111" s="35"/>
      <c r="FK111" s="35"/>
      <c r="FL111" s="35"/>
      <c r="FM111" s="35"/>
      <c r="FN111" s="35"/>
      <c r="FO111" s="35"/>
      <c r="FP111" s="35"/>
      <c r="FQ111" s="35"/>
      <c r="FR111" s="35"/>
      <c r="FS111" s="35"/>
      <c r="FT111" s="35"/>
      <c r="FU111" s="35"/>
      <c r="FV111" s="35"/>
      <c r="FW111" s="35"/>
      <c r="FX111" s="35"/>
      <c r="FY111" s="35"/>
      <c r="FZ111" s="35"/>
      <c r="GA111" s="35"/>
      <c r="GB111" s="318"/>
      <c r="GC111" s="178">
        <f t="shared" si="24"/>
        <v>0</v>
      </c>
      <c r="GD111" s="178">
        <f t="shared" si="25"/>
        <v>0</v>
      </c>
      <c r="GE111" s="178">
        <f t="shared" si="26"/>
        <v>0</v>
      </c>
      <c r="GF111" s="178">
        <f t="shared" si="27"/>
        <v>0</v>
      </c>
      <c r="GG111" s="178">
        <f t="shared" si="21"/>
        <v>0</v>
      </c>
    </row>
    <row r="112" spans="1:189" x14ac:dyDescent="0.35">
      <c r="A112" s="6" t="s">
        <v>942</v>
      </c>
      <c r="B112" s="6" t="str">
        <f>IF(Technologies!B112&lt;&gt;0,Technologies!B112,"")</f>
        <v>Industrie</v>
      </c>
      <c r="C112" s="6" t="str">
        <f>VLOOKUP($A112,Technologies!$A$7:$H$576,3,FALSE)</f>
        <v>Final</v>
      </c>
      <c r="D112" s="6" t="str">
        <f>VLOOKUP($A112,Technologies!$A$7:$H$576,4,FALSE)</f>
        <v>Industry</v>
      </c>
      <c r="E112" s="6" t="str">
        <f>VLOOKUP($A112,Technologies!$A$7:$H$576,6,FALSE)</f>
        <v>Board production - ETS Industry</v>
      </c>
      <c r="F112" s="48" t="str">
        <f>VLOOKUP($A112,Technologies!$A$7:$H$576,7,FALSE)</f>
        <v>Conventional board milling - Paper and board production</v>
      </c>
      <c r="G112" s="22"/>
      <c r="H112" s="22"/>
      <c r="I112" s="103" cm="1">
        <f t="array" ref="I112">-SUMPRODUCT((Feedstocks!$C$4:$C$141=A112)*Feedstocks!$E$4:$E$141,Feedstocks!$F$4:$F$141,Feedstocks!$H$4:$H$141,Feedstocks!$I$4:$I$141)</f>
        <v>0</v>
      </c>
      <c r="J112" s="103" cm="1">
        <f t="array" ref="J112">-SUMPRODUCT((Feedstocks!$C$4:$C$141=A112)*Feedstocks!$E$4:$E$141,Feedstocks!$H$4:$H$141,Feedstocks!$I$4:$I$141)</f>
        <v>0</v>
      </c>
      <c r="K112" s="103"/>
      <c r="L112" s="103"/>
      <c r="M112" s="22">
        <v>1</v>
      </c>
      <c r="N112" s="22" t="str">
        <f>VLOOKUP(E112,Activities!$A$9:$M$227,13,FALSE)</f>
        <v>NL</v>
      </c>
      <c r="O112" s="22"/>
      <c r="P112" s="80" t="s">
        <v>1816</v>
      </c>
      <c r="Q112" s="36"/>
      <c r="R112" s="36"/>
      <c r="S112" s="36"/>
      <c r="T112" s="36"/>
      <c r="U112" s="36"/>
      <c r="V112" s="36"/>
      <c r="W112" s="36"/>
      <c r="X112" s="36"/>
      <c r="Y112" s="36"/>
      <c r="Z112" s="36"/>
      <c r="AA112" s="36"/>
      <c r="AB112" s="36"/>
      <c r="AC112" s="36"/>
      <c r="AD112" s="36"/>
      <c r="AE112" s="36"/>
      <c r="AF112" s="36"/>
      <c r="AG112" s="36"/>
      <c r="AH112" s="36"/>
      <c r="AI112" s="36"/>
      <c r="AJ112" s="36"/>
      <c r="AK112" s="36"/>
      <c r="AL112" s="36"/>
      <c r="AM112" s="36"/>
      <c r="AN112" s="36"/>
      <c r="AO112" s="36"/>
      <c r="AP112" s="36"/>
      <c r="AQ112" s="36"/>
      <c r="AR112" s="36"/>
      <c r="AS112" s="36"/>
      <c r="AT112" s="36"/>
      <c r="AU112" s="36">
        <v>1</v>
      </c>
      <c r="AV112" s="36"/>
      <c r="AW112" s="36"/>
      <c r="AX112" s="36"/>
      <c r="AY112" s="36"/>
      <c r="AZ112" s="36"/>
      <c r="BA112" s="36"/>
      <c r="BB112" s="36"/>
      <c r="BC112" s="36"/>
      <c r="BD112" s="36"/>
      <c r="BE112" s="36"/>
      <c r="BF112" s="36"/>
      <c r="BG112" s="36"/>
      <c r="BH112" s="36"/>
      <c r="BI112" s="36"/>
      <c r="BJ112" s="36"/>
      <c r="BK112" s="36"/>
      <c r="BL112" s="36"/>
      <c r="BM112" s="36"/>
      <c r="BN112" s="36"/>
      <c r="BO112" s="36"/>
      <c r="BP112" s="36"/>
      <c r="BQ112" s="36"/>
      <c r="BR112" s="36"/>
      <c r="BS112" s="36"/>
      <c r="BT112" s="36"/>
      <c r="BU112" s="36"/>
      <c r="BV112" s="36"/>
      <c r="BW112" s="36"/>
      <c r="BX112" s="36"/>
      <c r="BY112" s="36"/>
      <c r="BZ112" s="36"/>
      <c r="CA112" s="36"/>
      <c r="CB112" s="36"/>
      <c r="CC112" s="36"/>
      <c r="CD112" s="36"/>
      <c r="CE112" s="36"/>
      <c r="CF112" s="36"/>
      <c r="CG112" s="36"/>
      <c r="CH112" s="36"/>
      <c r="CI112" s="36"/>
      <c r="CJ112" s="36"/>
      <c r="CK112" s="36"/>
      <c r="CL112" s="36"/>
      <c r="CM112" s="36"/>
      <c r="CN112" s="36"/>
      <c r="CO112" s="36"/>
      <c r="CP112" s="36"/>
      <c r="CQ112" s="36"/>
      <c r="CR112" s="36"/>
      <c r="CS112" s="36"/>
      <c r="CT112" s="36"/>
      <c r="CU112" s="36"/>
      <c r="CV112" s="36"/>
      <c r="CW112" s="36"/>
      <c r="CX112" s="36"/>
      <c r="CY112" s="36"/>
      <c r="CZ112" s="36"/>
      <c r="DA112" s="36"/>
      <c r="DB112" s="36"/>
      <c r="DC112" s="36"/>
      <c r="DD112" s="36"/>
      <c r="DE112" s="36"/>
      <c r="DF112" s="36"/>
      <c r="DG112" s="36"/>
      <c r="DH112" s="36">
        <v>-1.1566000000000001</v>
      </c>
      <c r="DI112" s="36"/>
      <c r="DJ112" s="36"/>
      <c r="DK112" s="36"/>
      <c r="DL112" s="36"/>
      <c r="DM112" s="36"/>
      <c r="DN112" s="36"/>
      <c r="DO112" s="36">
        <f>-4.2199*0.67</f>
        <v>-2.8273330000000003</v>
      </c>
      <c r="DP112" s="36">
        <f>-4.2199-DO112</f>
        <v>-1.3925669999999997</v>
      </c>
      <c r="DQ112" s="36"/>
      <c r="DR112" s="36"/>
      <c r="DS112" s="36"/>
      <c r="DT112" s="36"/>
      <c r="DU112" s="36"/>
      <c r="DV112" s="36"/>
      <c r="DW112" s="36"/>
      <c r="DX112" s="36"/>
      <c r="DY112" s="36"/>
      <c r="DZ112" s="36"/>
      <c r="EA112" s="36"/>
      <c r="EB112" s="36"/>
      <c r="EC112" s="36"/>
      <c r="ED112" s="36"/>
      <c r="EE112" s="36"/>
      <c r="EF112" s="36"/>
      <c r="EG112" s="36"/>
      <c r="EH112" s="36"/>
      <c r="EI112" s="36"/>
      <c r="EJ112" s="36"/>
      <c r="EK112" s="36"/>
      <c r="EL112" s="36"/>
      <c r="EM112" s="36"/>
      <c r="EN112" s="36"/>
      <c r="EO112" s="36"/>
      <c r="EP112" s="36"/>
      <c r="EQ112" s="36"/>
      <c r="ER112" s="36"/>
      <c r="ES112" s="36"/>
      <c r="ET112" s="36"/>
      <c r="EU112" s="36"/>
      <c r="EV112" s="36"/>
      <c r="EW112" s="36"/>
      <c r="EX112" s="36"/>
      <c r="EY112" s="36"/>
      <c r="EZ112" s="36"/>
      <c r="FA112" s="36"/>
      <c r="FB112" s="36"/>
      <c r="FC112" s="36"/>
      <c r="FD112" s="36"/>
      <c r="FE112" s="36"/>
      <c r="FF112" s="36"/>
      <c r="FG112" s="36"/>
      <c r="FH112" s="36"/>
      <c r="FI112" s="36"/>
      <c r="FJ112" s="36"/>
      <c r="FK112" s="36"/>
      <c r="FL112" s="36"/>
      <c r="FM112" s="36"/>
      <c r="FN112" s="36"/>
      <c r="FO112" s="36"/>
      <c r="FP112" s="36"/>
      <c r="FQ112" s="36"/>
      <c r="FR112" s="36"/>
      <c r="FS112" s="36"/>
      <c r="FT112" s="36"/>
      <c r="FU112" s="36"/>
      <c r="FV112" s="36"/>
      <c r="FW112" s="36"/>
      <c r="FX112" s="36"/>
      <c r="FY112" s="36"/>
      <c r="FZ112" s="36"/>
      <c r="GA112" s="36"/>
      <c r="GB112" s="319"/>
      <c r="GC112" s="179">
        <f t="shared" si="24"/>
        <v>0</v>
      </c>
      <c r="GD112" s="179">
        <f t="shared" si="25"/>
        <v>0</v>
      </c>
      <c r="GE112" s="179">
        <f t="shared" si="26"/>
        <v>0</v>
      </c>
      <c r="GF112" s="179">
        <f t="shared" si="27"/>
        <v>0</v>
      </c>
      <c r="GG112" s="179">
        <f t="shared" si="21"/>
        <v>0</v>
      </c>
    </row>
    <row r="113" spans="1:189" x14ac:dyDescent="0.35">
      <c r="A113" s="5" t="s">
        <v>944</v>
      </c>
      <c r="B113" s="5" t="str">
        <f>IF(Technologies!B113&lt;&gt;0,Technologies!B113,"")</f>
        <v>Industrie</v>
      </c>
      <c r="C113" s="5" t="str">
        <f>VLOOKUP($A113,Technologies!$A$7:$H$576,3,FALSE)</f>
        <v>Final</v>
      </c>
      <c r="D113" s="5" t="str">
        <f>VLOOKUP($A113,Technologies!$A$7:$H$576,4,FALSE)</f>
        <v>Industry</v>
      </c>
      <c r="E113" s="5" t="str">
        <f>VLOOKUP($A113,Technologies!$A$7:$H$576,6,FALSE)</f>
        <v>Food production - non-ETS Industry</v>
      </c>
      <c r="F113" s="5" t="str">
        <f>VLOOKUP($A113,Technologies!$A$7:$H$576,7,FALSE)</f>
        <v>Reference food processes - Food industry</v>
      </c>
      <c r="G113" s="23"/>
      <c r="H113" s="23"/>
      <c r="I113" s="104" cm="1">
        <f t="array" ref="I113">-SUMPRODUCT((Feedstocks!$C$4:$C$141=A113)*Feedstocks!$E$4:$E$141,Feedstocks!$F$4:$F$141,Feedstocks!$H$4:$H$141,Feedstocks!$I$4:$I$141)</f>
        <v>0</v>
      </c>
      <c r="J113" s="104" cm="1">
        <f t="array" ref="J113">-SUMPRODUCT((Feedstocks!$C$4:$C$141=A113)*Feedstocks!$E$4:$E$141,Feedstocks!$H$4:$H$141,Feedstocks!$I$4:$I$141)</f>
        <v>0</v>
      </c>
      <c r="K113" s="104"/>
      <c r="L113" s="104"/>
      <c r="M113" s="23"/>
      <c r="N113" s="23" t="str">
        <f>VLOOKUP(E113,Activities!$A$9:$M$227,13,FALSE)</f>
        <v>NL</v>
      </c>
      <c r="O113" s="23"/>
      <c r="P113" s="79" t="s">
        <v>411</v>
      </c>
      <c r="Q113" s="35"/>
      <c r="R113" s="35"/>
      <c r="S113" s="35"/>
      <c r="T113" s="35"/>
      <c r="U113" s="35"/>
      <c r="V113" s="35"/>
      <c r="W113" s="35"/>
      <c r="X113" s="35"/>
      <c r="Y113" s="35"/>
      <c r="Z113" s="35"/>
      <c r="AA113" s="35"/>
      <c r="AB113" s="35"/>
      <c r="AC113" s="35"/>
      <c r="AD113" s="35"/>
      <c r="AE113" s="35"/>
      <c r="AF113" s="35"/>
      <c r="AG113" s="35"/>
      <c r="AH113" s="35"/>
      <c r="AI113" s="35"/>
      <c r="AJ113" s="35"/>
      <c r="AK113" s="35"/>
      <c r="AL113" s="35"/>
      <c r="AM113" s="35"/>
      <c r="AN113" s="35"/>
      <c r="AO113" s="35"/>
      <c r="AP113" s="35"/>
      <c r="AQ113" s="35"/>
      <c r="AR113" s="35"/>
      <c r="AS113" s="35"/>
      <c r="AT113" s="35"/>
      <c r="AU113" s="35"/>
      <c r="AV113" s="35">
        <v>1</v>
      </c>
      <c r="AW113" s="35"/>
      <c r="AX113" s="35"/>
      <c r="AY113" s="35"/>
      <c r="AZ113" s="35"/>
      <c r="BA113" s="35"/>
      <c r="BB113" s="35"/>
      <c r="BC113" s="35"/>
      <c r="BD113" s="35"/>
      <c r="BE113" s="35"/>
      <c r="BF113" s="35"/>
      <c r="BG113" s="35"/>
      <c r="BH113" s="35"/>
      <c r="BI113" s="35"/>
      <c r="BJ113" s="35"/>
      <c r="BK113" s="35"/>
      <c r="BL113" s="35"/>
      <c r="BM113" s="35"/>
      <c r="BN113" s="35"/>
      <c r="BO113" s="35"/>
      <c r="BP113" s="35"/>
      <c r="BQ113" s="35"/>
      <c r="BR113" s="35"/>
      <c r="BS113" s="35"/>
      <c r="BT113" s="35"/>
      <c r="BU113" s="35"/>
      <c r="BV113" s="35"/>
      <c r="BW113" s="35"/>
      <c r="BX113" s="35"/>
      <c r="BY113" s="35"/>
      <c r="BZ113" s="35"/>
      <c r="CA113" s="35"/>
      <c r="CB113" s="35"/>
      <c r="CC113" s="35"/>
      <c r="CD113" s="35"/>
      <c r="CE113" s="35"/>
      <c r="CF113" s="35"/>
      <c r="CG113" s="35"/>
      <c r="CH113" s="35"/>
      <c r="CI113" s="35"/>
      <c r="CJ113" s="35"/>
      <c r="CK113" s="35"/>
      <c r="CL113" s="35"/>
      <c r="CM113" s="35"/>
      <c r="CN113" s="35"/>
      <c r="CO113" s="35"/>
      <c r="CP113" s="35"/>
      <c r="CQ113" s="35"/>
      <c r="CR113" s="35"/>
      <c r="CS113" s="35"/>
      <c r="CT113" s="35"/>
      <c r="CU113" s="35"/>
      <c r="CV113" s="35"/>
      <c r="CW113" s="35"/>
      <c r="CX113" s="35"/>
      <c r="CY113" s="35"/>
      <c r="CZ113" s="35"/>
      <c r="DA113" s="35"/>
      <c r="DB113" s="35"/>
      <c r="DC113" s="35"/>
      <c r="DD113" s="35"/>
      <c r="DE113" s="35"/>
      <c r="DF113" s="35"/>
      <c r="DG113" s="35"/>
      <c r="DH113" s="35">
        <v>-34</v>
      </c>
      <c r="DI113" s="35"/>
      <c r="DJ113" s="35"/>
      <c r="DK113" s="35"/>
      <c r="DL113" s="35"/>
      <c r="DM113" s="35"/>
      <c r="DN113" s="35"/>
      <c r="DO113" s="35">
        <v>-15</v>
      </c>
      <c r="DP113" s="35">
        <v>-19</v>
      </c>
      <c r="DQ113" s="35"/>
      <c r="DR113" s="35"/>
      <c r="DS113" s="35"/>
      <c r="DT113" s="35"/>
      <c r="DU113" s="35"/>
      <c r="DV113" s="35"/>
      <c r="DW113" s="35"/>
      <c r="DX113" s="35"/>
      <c r="DY113" s="35"/>
      <c r="DZ113" s="35"/>
      <c r="EA113" s="35"/>
      <c r="EB113" s="35"/>
      <c r="EC113" s="35"/>
      <c r="ED113" s="35"/>
      <c r="EE113" s="35"/>
      <c r="EF113" s="35"/>
      <c r="EG113" s="35"/>
      <c r="EH113" s="35"/>
      <c r="EI113" s="35"/>
      <c r="EJ113" s="35"/>
      <c r="EK113" s="35"/>
      <c r="EL113" s="35"/>
      <c r="EM113" s="35"/>
      <c r="EN113" s="35"/>
      <c r="EO113" s="35"/>
      <c r="EP113" s="35"/>
      <c r="EQ113" s="35"/>
      <c r="ER113" s="35"/>
      <c r="ES113" s="35"/>
      <c r="ET113" s="35"/>
      <c r="EU113" s="35"/>
      <c r="EV113" s="35"/>
      <c r="EW113" s="35"/>
      <c r="EX113" s="35"/>
      <c r="EY113" s="35"/>
      <c r="EZ113" s="35"/>
      <c r="FA113" s="35"/>
      <c r="FB113" s="35"/>
      <c r="FC113" s="35"/>
      <c r="FD113" s="35"/>
      <c r="FE113" s="35"/>
      <c r="FF113" s="35"/>
      <c r="FG113" s="35"/>
      <c r="FH113" s="35"/>
      <c r="FI113" s="35"/>
      <c r="FJ113" s="35"/>
      <c r="FK113" s="35"/>
      <c r="FL113" s="35"/>
      <c r="FM113" s="35"/>
      <c r="FN113" s="35"/>
      <c r="FO113" s="35"/>
      <c r="FP113" s="35"/>
      <c r="FQ113" s="35"/>
      <c r="FR113" s="35"/>
      <c r="FS113" s="35"/>
      <c r="FT113" s="35"/>
      <c r="FU113" s="35"/>
      <c r="FV113" s="35"/>
      <c r="FW113" s="35"/>
      <c r="FX113" s="35"/>
      <c r="FY113" s="35"/>
      <c r="FZ113" s="35"/>
      <c r="GA113" s="35"/>
      <c r="GB113" s="318"/>
      <c r="GC113" s="178">
        <f t="shared" si="24"/>
        <v>0</v>
      </c>
      <c r="GD113" s="178">
        <f t="shared" si="25"/>
        <v>0</v>
      </c>
      <c r="GE113" s="178">
        <f t="shared" si="26"/>
        <v>0</v>
      </c>
      <c r="GF113" s="178">
        <f t="shared" si="27"/>
        <v>0</v>
      </c>
      <c r="GG113" s="178">
        <f t="shared" si="21"/>
        <v>0</v>
      </c>
    </row>
    <row r="114" spans="1:189" x14ac:dyDescent="0.35">
      <c r="A114" s="6" t="s">
        <v>947</v>
      </c>
      <c r="B114" s="6" t="str">
        <f>IF(Technologies!B114&lt;&gt;0,Technologies!B114,"")</f>
        <v>Industrie</v>
      </c>
      <c r="C114" s="6" t="str">
        <f>VLOOKUP($A114,Technologies!$A$7:$H$576,3,FALSE)</f>
        <v>Final</v>
      </c>
      <c r="D114" s="6" t="str">
        <f>VLOOKUP($A114,Technologies!$A$7:$H$576,4,FALSE)</f>
        <v>Industry</v>
      </c>
      <c r="E114" s="6" t="str">
        <f>VLOOKUP($A114,Technologies!$A$7:$H$576,6,FALSE)</f>
        <v>Food production - non-ETS Industry</v>
      </c>
      <c r="F114" s="48" t="str">
        <f>VLOOKUP($A114,Technologies!$A$7:$H$576,7,FALSE)</f>
        <v>Improved food processes - Food industry</v>
      </c>
      <c r="G114" s="22"/>
      <c r="H114" s="22"/>
      <c r="I114" s="103" cm="1">
        <f t="array" ref="I114">-SUMPRODUCT((Feedstocks!$C$4:$C$141=A114)*Feedstocks!$E$4:$E$141,Feedstocks!$F$4:$F$141,Feedstocks!$H$4:$H$141,Feedstocks!$I$4:$I$141)</f>
        <v>0</v>
      </c>
      <c r="J114" s="103" cm="1">
        <f t="array" ref="J114">-SUMPRODUCT((Feedstocks!$C$4:$C$141=A114)*Feedstocks!$E$4:$E$141,Feedstocks!$H$4:$H$141,Feedstocks!$I$4:$I$141)</f>
        <v>0</v>
      </c>
      <c r="K114" s="103"/>
      <c r="L114" s="103"/>
      <c r="M114" s="22"/>
      <c r="N114" s="22" t="str">
        <f>VLOOKUP(E114,Activities!$A$9:$M$227,13,FALSE)</f>
        <v>NL</v>
      </c>
      <c r="O114" s="22"/>
      <c r="P114" s="80" t="s">
        <v>502</v>
      </c>
      <c r="Q114" s="36"/>
      <c r="R114" s="36"/>
      <c r="S114" s="36"/>
      <c r="T114" s="36"/>
      <c r="U114" s="36"/>
      <c r="V114" s="36"/>
      <c r="W114" s="36"/>
      <c r="X114" s="36"/>
      <c r="Y114" s="36"/>
      <c r="Z114" s="36"/>
      <c r="AA114" s="36"/>
      <c r="AB114" s="36"/>
      <c r="AC114" s="36"/>
      <c r="AD114" s="36"/>
      <c r="AE114" s="36"/>
      <c r="AF114" s="36"/>
      <c r="AG114" s="36"/>
      <c r="AH114" s="36"/>
      <c r="AI114" s="36"/>
      <c r="AJ114" s="36"/>
      <c r="AK114" s="36"/>
      <c r="AL114" s="36"/>
      <c r="AM114" s="36"/>
      <c r="AN114" s="36"/>
      <c r="AO114" s="36"/>
      <c r="AP114" s="36"/>
      <c r="AQ114" s="36"/>
      <c r="AR114" s="36"/>
      <c r="AS114" s="36"/>
      <c r="AT114" s="36"/>
      <c r="AU114" s="36"/>
      <c r="AV114" s="36">
        <v>1</v>
      </c>
      <c r="AW114" s="36"/>
      <c r="AX114" s="36"/>
      <c r="AY114" s="36"/>
      <c r="AZ114" s="36"/>
      <c r="BA114" s="36"/>
      <c r="BB114" s="36"/>
      <c r="BC114" s="36"/>
      <c r="BD114" s="36"/>
      <c r="BE114" s="36"/>
      <c r="BF114" s="36"/>
      <c r="BG114" s="36"/>
      <c r="BH114" s="36"/>
      <c r="BI114" s="36"/>
      <c r="BJ114" s="36"/>
      <c r="BK114" s="36"/>
      <c r="BL114" s="36"/>
      <c r="BM114" s="36"/>
      <c r="BN114" s="36"/>
      <c r="BO114" s="36"/>
      <c r="BP114" s="36"/>
      <c r="BQ114" s="36"/>
      <c r="BR114" s="36"/>
      <c r="BS114" s="36"/>
      <c r="BT114" s="36"/>
      <c r="BU114" s="36"/>
      <c r="BV114" s="36"/>
      <c r="BW114" s="36"/>
      <c r="BX114" s="36"/>
      <c r="BY114" s="36"/>
      <c r="BZ114" s="36"/>
      <c r="CA114" s="36"/>
      <c r="CB114" s="36"/>
      <c r="CC114" s="36"/>
      <c r="CD114" s="36"/>
      <c r="CE114" s="36"/>
      <c r="CF114" s="36"/>
      <c r="CG114" s="36"/>
      <c r="CH114" s="36"/>
      <c r="CI114" s="36"/>
      <c r="CJ114" s="36"/>
      <c r="CK114" s="36"/>
      <c r="CL114" s="36"/>
      <c r="CM114" s="36"/>
      <c r="CN114" s="36"/>
      <c r="CO114" s="36"/>
      <c r="CP114" s="36"/>
      <c r="CQ114" s="36"/>
      <c r="CR114" s="36"/>
      <c r="CS114" s="36"/>
      <c r="CT114" s="36"/>
      <c r="CU114" s="36"/>
      <c r="CV114" s="36"/>
      <c r="CW114" s="36"/>
      <c r="CX114" s="36"/>
      <c r="CY114" s="36"/>
      <c r="CZ114" s="36"/>
      <c r="DA114" s="36"/>
      <c r="DB114" s="36"/>
      <c r="DC114" s="36"/>
      <c r="DD114" s="36"/>
      <c r="DE114" s="36"/>
      <c r="DF114" s="36"/>
      <c r="DG114" s="36"/>
      <c r="DH114" s="36">
        <v>-24</v>
      </c>
      <c r="DI114" s="36"/>
      <c r="DJ114" s="36"/>
      <c r="DK114" s="36"/>
      <c r="DL114" s="36"/>
      <c r="DM114" s="36"/>
      <c r="DN114" s="36"/>
      <c r="DO114" s="36">
        <v>-9</v>
      </c>
      <c r="DP114" s="36">
        <v>-12</v>
      </c>
      <c r="DQ114" s="36"/>
      <c r="DR114" s="36"/>
      <c r="DS114" s="36"/>
      <c r="DT114" s="36"/>
      <c r="DU114" s="36"/>
      <c r="DV114" s="36"/>
      <c r="DW114" s="36"/>
      <c r="DX114" s="36"/>
      <c r="DY114" s="36"/>
      <c r="DZ114" s="36"/>
      <c r="EA114" s="36"/>
      <c r="EB114" s="36"/>
      <c r="EC114" s="36"/>
      <c r="ED114" s="36"/>
      <c r="EE114" s="36"/>
      <c r="EF114" s="36"/>
      <c r="EG114" s="36"/>
      <c r="EH114" s="36"/>
      <c r="EI114" s="36"/>
      <c r="EJ114" s="36"/>
      <c r="EK114" s="36"/>
      <c r="EL114" s="36"/>
      <c r="EM114" s="36"/>
      <c r="EN114" s="36"/>
      <c r="EO114" s="36"/>
      <c r="EP114" s="36"/>
      <c r="EQ114" s="36"/>
      <c r="ER114" s="36"/>
      <c r="ES114" s="36"/>
      <c r="ET114" s="36"/>
      <c r="EU114" s="36"/>
      <c r="EV114" s="36"/>
      <c r="EW114" s="36"/>
      <c r="EX114" s="36"/>
      <c r="EY114" s="36"/>
      <c r="EZ114" s="36"/>
      <c r="FA114" s="36"/>
      <c r="FB114" s="36"/>
      <c r="FC114" s="36"/>
      <c r="FD114" s="36"/>
      <c r="FE114" s="36"/>
      <c r="FF114" s="36"/>
      <c r="FG114" s="36"/>
      <c r="FH114" s="36"/>
      <c r="FI114" s="36"/>
      <c r="FJ114" s="36"/>
      <c r="FK114" s="36"/>
      <c r="FL114" s="36"/>
      <c r="FM114" s="36"/>
      <c r="FN114" s="36"/>
      <c r="FO114" s="36"/>
      <c r="FP114" s="36"/>
      <c r="FQ114" s="36"/>
      <c r="FR114" s="36"/>
      <c r="FS114" s="36"/>
      <c r="FT114" s="36"/>
      <c r="FU114" s="36"/>
      <c r="FV114" s="36"/>
      <c r="FW114" s="36"/>
      <c r="FX114" s="36"/>
      <c r="FY114" s="36"/>
      <c r="FZ114" s="36"/>
      <c r="GA114" s="36"/>
      <c r="GB114" s="319"/>
      <c r="GC114" s="179">
        <f t="shared" si="24"/>
        <v>0</v>
      </c>
      <c r="GD114" s="179">
        <f t="shared" si="25"/>
        <v>0</v>
      </c>
      <c r="GE114" s="179">
        <f t="shared" si="26"/>
        <v>0</v>
      </c>
      <c r="GF114" s="179">
        <f t="shared" si="27"/>
        <v>0</v>
      </c>
      <c r="GG114" s="179">
        <f t="shared" si="21"/>
        <v>0</v>
      </c>
    </row>
    <row r="115" spans="1:189" x14ac:dyDescent="0.35">
      <c r="A115" s="5" t="s">
        <v>949</v>
      </c>
      <c r="B115" s="5" t="str">
        <f>IF(Technologies!B115&lt;&gt;0,Technologies!B115,"")</f>
        <v>Industrie</v>
      </c>
      <c r="C115" s="5" t="str">
        <f>VLOOKUP($A115,Technologies!$A$7:$H$576,3,FALSE)</f>
        <v>Final</v>
      </c>
      <c r="D115" s="5" t="str">
        <f>VLOOKUP($A115,Technologies!$A$7:$H$576,4,FALSE)</f>
        <v>Industry</v>
      </c>
      <c r="E115" s="5" t="str">
        <f>VLOOKUP($A115,Technologies!$A$7:$H$576,6,FALSE)</f>
        <v>Other ETS - Industry</v>
      </c>
      <c r="F115" s="5" t="str">
        <f>VLOOKUP($A115,Technologies!$A$7:$H$576,7,FALSE)</f>
        <v>Reference other ETS industry - Other ETS Industry</v>
      </c>
      <c r="G115" s="23"/>
      <c r="H115" s="23"/>
      <c r="I115" s="104" cm="1">
        <f t="array" ref="I115">-SUMPRODUCT((Feedstocks!$C$4:$C$141=A115)*Feedstocks!$E$4:$E$141,Feedstocks!$F$4:$F$141,Feedstocks!$H$4:$H$141,Feedstocks!$I$4:$I$141)</f>
        <v>0</v>
      </c>
      <c r="J115" s="104" cm="1">
        <f t="array" ref="J115">-SUMPRODUCT((Feedstocks!$C$4:$C$141=A115)*Feedstocks!$E$4:$E$141,Feedstocks!$H$4:$H$141,Feedstocks!$I$4:$I$141)</f>
        <v>0</v>
      </c>
      <c r="K115" s="104"/>
      <c r="L115" s="104"/>
      <c r="M115" s="23">
        <v>1</v>
      </c>
      <c r="N115" s="23" t="str">
        <f>VLOOKUP(E115,Activities!$A$9:$M$227,13,FALSE)</f>
        <v>NL</v>
      </c>
      <c r="O115" s="23"/>
      <c r="P115" s="79" t="s">
        <v>951</v>
      </c>
      <c r="Q115" s="35"/>
      <c r="R115" s="35"/>
      <c r="S115" s="35"/>
      <c r="T115" s="35"/>
      <c r="U115" s="35"/>
      <c r="V115" s="35"/>
      <c r="W115" s="35"/>
      <c r="X115" s="35"/>
      <c r="Y115" s="35"/>
      <c r="Z115" s="35"/>
      <c r="AA115" s="35"/>
      <c r="AB115" s="35"/>
      <c r="AC115" s="35"/>
      <c r="AD115" s="35"/>
      <c r="AE115" s="35"/>
      <c r="AF115" s="35"/>
      <c r="AG115" s="35"/>
      <c r="AH115" s="35"/>
      <c r="AI115" s="35"/>
      <c r="AJ115" s="35"/>
      <c r="AK115" s="35"/>
      <c r="AL115" s="35"/>
      <c r="AM115" s="35"/>
      <c r="AN115" s="35"/>
      <c r="AO115" s="35"/>
      <c r="AP115" s="35"/>
      <c r="AQ115" s="35"/>
      <c r="AR115" s="35"/>
      <c r="AS115" s="35"/>
      <c r="AT115" s="35"/>
      <c r="AU115" s="35"/>
      <c r="AV115" s="35"/>
      <c r="AW115" s="35">
        <v>1</v>
      </c>
      <c r="AX115" s="35"/>
      <c r="AY115" s="35"/>
      <c r="AZ115" s="35"/>
      <c r="BA115" s="35"/>
      <c r="BB115" s="35"/>
      <c r="BC115" s="35"/>
      <c r="BD115" s="35"/>
      <c r="BE115" s="35"/>
      <c r="BF115" s="35"/>
      <c r="BG115" s="35"/>
      <c r="BH115" s="35"/>
      <c r="BI115" s="35"/>
      <c r="BJ115" s="35"/>
      <c r="BK115" s="35"/>
      <c r="BL115" s="35"/>
      <c r="BM115" s="35"/>
      <c r="BN115" s="35"/>
      <c r="BO115" s="35"/>
      <c r="BP115" s="35"/>
      <c r="BQ115" s="35"/>
      <c r="BR115" s="35"/>
      <c r="BS115" s="35"/>
      <c r="BT115" s="35"/>
      <c r="BU115" s="35"/>
      <c r="BV115" s="35"/>
      <c r="BW115" s="35"/>
      <c r="BX115" s="35"/>
      <c r="BY115" s="35"/>
      <c r="BZ115" s="35"/>
      <c r="CA115" s="35"/>
      <c r="CB115" s="35"/>
      <c r="CC115" s="35"/>
      <c r="CD115" s="35"/>
      <c r="CE115" s="35"/>
      <c r="CF115" s="35"/>
      <c r="CG115" s="35"/>
      <c r="CH115" s="35"/>
      <c r="CI115" s="35"/>
      <c r="CJ115" s="35"/>
      <c r="CK115" s="35"/>
      <c r="CL115" s="35"/>
      <c r="CM115" s="35"/>
      <c r="CN115" s="35"/>
      <c r="CO115" s="35"/>
      <c r="CP115" s="35"/>
      <c r="CQ115" s="35"/>
      <c r="CR115" s="35"/>
      <c r="CS115" s="35"/>
      <c r="CT115" s="35"/>
      <c r="CU115" s="35"/>
      <c r="CV115" s="35"/>
      <c r="CW115" s="35"/>
      <c r="CX115" s="35"/>
      <c r="CY115" s="35"/>
      <c r="CZ115" s="35"/>
      <c r="DA115" s="35"/>
      <c r="DB115" s="35"/>
      <c r="DC115" s="35"/>
      <c r="DD115" s="35"/>
      <c r="DE115" s="35"/>
      <c r="DF115" s="35"/>
      <c r="DG115" s="35"/>
      <c r="DH115" s="35">
        <v>-16.149999999999999</v>
      </c>
      <c r="DI115" s="35"/>
      <c r="DJ115" s="35"/>
      <c r="DK115" s="35"/>
      <c r="DL115" s="35"/>
      <c r="DM115" s="35"/>
      <c r="DN115" s="35"/>
      <c r="DO115" s="35">
        <v>-7.4</v>
      </c>
      <c r="DP115" s="35">
        <v>-9.1</v>
      </c>
      <c r="DQ115" s="35"/>
      <c r="DR115" s="35"/>
      <c r="DS115" s="35"/>
      <c r="DT115" s="35"/>
      <c r="DU115" s="35"/>
      <c r="DV115" s="35"/>
      <c r="DW115" s="35"/>
      <c r="DX115" s="35"/>
      <c r="DY115" s="35"/>
      <c r="DZ115" s="35"/>
      <c r="EA115" s="35"/>
      <c r="EB115" s="35"/>
      <c r="EC115" s="35"/>
      <c r="ED115" s="35"/>
      <c r="EE115" s="35"/>
      <c r="EF115" s="35"/>
      <c r="EG115" s="35"/>
      <c r="EH115" s="35"/>
      <c r="EI115" s="35"/>
      <c r="EJ115" s="35"/>
      <c r="EK115" s="35"/>
      <c r="EL115" s="35"/>
      <c r="EM115" s="35"/>
      <c r="EN115" s="35"/>
      <c r="EO115" s="35"/>
      <c r="EP115" s="35"/>
      <c r="EQ115" s="35"/>
      <c r="ER115" s="35"/>
      <c r="ES115" s="35"/>
      <c r="ET115" s="35"/>
      <c r="EU115" s="35"/>
      <c r="EV115" s="35"/>
      <c r="EW115" s="35"/>
      <c r="EX115" s="35"/>
      <c r="EY115" s="35"/>
      <c r="EZ115" s="35"/>
      <c r="FA115" s="35"/>
      <c r="FB115" s="35"/>
      <c r="FC115" s="35"/>
      <c r="FD115" s="35"/>
      <c r="FE115" s="35"/>
      <c r="FF115" s="35"/>
      <c r="FG115" s="35"/>
      <c r="FH115" s="35"/>
      <c r="FI115" s="35"/>
      <c r="FJ115" s="35"/>
      <c r="FK115" s="35"/>
      <c r="FL115" s="35"/>
      <c r="FM115" s="35"/>
      <c r="FN115" s="35"/>
      <c r="FO115" s="35"/>
      <c r="FP115" s="35"/>
      <c r="FQ115" s="35"/>
      <c r="FR115" s="35"/>
      <c r="FS115" s="35"/>
      <c r="FT115" s="35"/>
      <c r="FU115" s="35"/>
      <c r="FV115" s="35"/>
      <c r="FW115" s="35"/>
      <c r="FX115" s="35"/>
      <c r="FY115" s="35"/>
      <c r="FZ115" s="35"/>
      <c r="GA115" s="35"/>
      <c r="GB115" s="318"/>
      <c r="GC115" s="178">
        <f t="shared" si="24"/>
        <v>0</v>
      </c>
      <c r="GD115" s="178">
        <f t="shared" si="25"/>
        <v>0</v>
      </c>
      <c r="GE115" s="178">
        <f t="shared" si="26"/>
        <v>0</v>
      </c>
      <c r="GF115" s="178">
        <f t="shared" si="27"/>
        <v>0</v>
      </c>
      <c r="GG115" s="178">
        <f t="shared" si="21"/>
        <v>0</v>
      </c>
    </row>
    <row r="116" spans="1:189" x14ac:dyDescent="0.35">
      <c r="A116" s="6" t="s">
        <v>952</v>
      </c>
      <c r="B116" s="6" t="str">
        <f>IF(Technologies!B116&lt;&gt;0,Technologies!B116,"")</f>
        <v>Industrie</v>
      </c>
      <c r="C116" s="6" t="str">
        <f>VLOOKUP($A116,Technologies!$A$7:$H$576,3,FALSE)</f>
        <v>Final</v>
      </c>
      <c r="D116" s="6" t="str">
        <f>VLOOKUP($A116,Technologies!$A$7:$H$576,4,FALSE)</f>
        <v>Industry</v>
      </c>
      <c r="E116" s="6" t="str">
        <f>VLOOKUP($A116,Technologies!$A$7:$H$576,6,FALSE)</f>
        <v>Other ETS - Industry</v>
      </c>
      <c r="F116" s="48" t="str">
        <f>VLOOKUP($A116,Technologies!$A$7:$H$576,7,FALSE)</f>
        <v>Improved other ETS industry - Other ETS Industry</v>
      </c>
      <c r="G116" s="22"/>
      <c r="H116" s="22"/>
      <c r="I116" s="103" cm="1">
        <f t="array" ref="I116">-SUMPRODUCT((Feedstocks!$C$4:$C$141=A116)*Feedstocks!$E$4:$E$141,Feedstocks!$F$4:$F$141,Feedstocks!$H$4:$H$141,Feedstocks!$I$4:$I$141)</f>
        <v>0</v>
      </c>
      <c r="J116" s="103" cm="1">
        <f t="array" ref="J116">-SUMPRODUCT((Feedstocks!$C$4:$C$141=A116)*Feedstocks!$E$4:$E$141,Feedstocks!$H$4:$H$141,Feedstocks!$I$4:$I$141)</f>
        <v>0</v>
      </c>
      <c r="K116" s="103"/>
      <c r="L116" s="103"/>
      <c r="M116" s="22">
        <v>1</v>
      </c>
      <c r="N116" s="22" t="str">
        <f>VLOOKUP(E116,Activities!$A$9:$M$227,13,FALSE)</f>
        <v>NL</v>
      </c>
      <c r="O116" s="22"/>
      <c r="P116" s="80" t="s">
        <v>954</v>
      </c>
      <c r="Q116" s="36"/>
      <c r="R116" s="36"/>
      <c r="S116" s="36"/>
      <c r="T116" s="36"/>
      <c r="U116" s="36"/>
      <c r="V116" s="36"/>
      <c r="W116" s="36"/>
      <c r="X116" s="36"/>
      <c r="Y116" s="36"/>
      <c r="Z116" s="36"/>
      <c r="AA116" s="36"/>
      <c r="AB116" s="36"/>
      <c r="AC116" s="36"/>
      <c r="AD116" s="36"/>
      <c r="AE116" s="36"/>
      <c r="AF116" s="36"/>
      <c r="AG116" s="36"/>
      <c r="AH116" s="36"/>
      <c r="AI116" s="36"/>
      <c r="AJ116" s="36"/>
      <c r="AK116" s="36"/>
      <c r="AL116" s="36"/>
      <c r="AM116" s="36"/>
      <c r="AN116" s="36"/>
      <c r="AO116" s="36"/>
      <c r="AP116" s="36"/>
      <c r="AQ116" s="36"/>
      <c r="AR116" s="36"/>
      <c r="AS116" s="36"/>
      <c r="AT116" s="36"/>
      <c r="AU116" s="36"/>
      <c r="AV116" s="36"/>
      <c r="AW116" s="36">
        <v>1</v>
      </c>
      <c r="AX116" s="36"/>
      <c r="AY116" s="36"/>
      <c r="AZ116" s="36"/>
      <c r="BA116" s="36"/>
      <c r="BB116" s="36"/>
      <c r="BC116" s="36"/>
      <c r="BD116" s="36"/>
      <c r="BE116" s="36"/>
      <c r="BF116" s="36"/>
      <c r="BG116" s="36"/>
      <c r="BH116" s="36"/>
      <c r="BI116" s="36"/>
      <c r="BJ116" s="36"/>
      <c r="BK116" s="36"/>
      <c r="BL116" s="36"/>
      <c r="BM116" s="36"/>
      <c r="BN116" s="36"/>
      <c r="BO116" s="36"/>
      <c r="BP116" s="36"/>
      <c r="BQ116" s="36"/>
      <c r="BR116" s="36"/>
      <c r="BS116" s="36"/>
      <c r="BT116" s="36"/>
      <c r="BU116" s="36"/>
      <c r="BV116" s="36"/>
      <c r="BW116" s="36"/>
      <c r="BX116" s="36"/>
      <c r="BY116" s="36"/>
      <c r="BZ116" s="36"/>
      <c r="CA116" s="36"/>
      <c r="CB116" s="36"/>
      <c r="CC116" s="36"/>
      <c r="CD116" s="36"/>
      <c r="CE116" s="36"/>
      <c r="CF116" s="36"/>
      <c r="CG116" s="36"/>
      <c r="CH116" s="36"/>
      <c r="CI116" s="36"/>
      <c r="CJ116" s="36"/>
      <c r="CK116" s="36"/>
      <c r="CL116" s="36"/>
      <c r="CM116" s="36"/>
      <c r="CN116" s="36"/>
      <c r="CO116" s="36"/>
      <c r="CP116" s="36"/>
      <c r="CQ116" s="36"/>
      <c r="CR116" s="36"/>
      <c r="CS116" s="36"/>
      <c r="CT116" s="36"/>
      <c r="CU116" s="36"/>
      <c r="CV116" s="36"/>
      <c r="CW116" s="36"/>
      <c r="CX116" s="36"/>
      <c r="CY116" s="36"/>
      <c r="CZ116" s="36"/>
      <c r="DA116" s="36"/>
      <c r="DB116" s="36"/>
      <c r="DC116" s="36"/>
      <c r="DD116" s="36"/>
      <c r="DE116" s="36"/>
      <c r="DF116" s="36"/>
      <c r="DG116" s="36"/>
      <c r="DH116" s="36">
        <v>-12</v>
      </c>
      <c r="DI116" s="36"/>
      <c r="DJ116" s="36"/>
      <c r="DK116" s="36"/>
      <c r="DL116" s="36"/>
      <c r="DM116" s="36"/>
      <c r="DN116" s="36"/>
      <c r="DO116" s="36">
        <v>-5</v>
      </c>
      <c r="DP116" s="36">
        <v>-6</v>
      </c>
      <c r="DQ116" s="36"/>
      <c r="DR116" s="36"/>
      <c r="DS116" s="36"/>
      <c r="DT116" s="36"/>
      <c r="DU116" s="36"/>
      <c r="DV116" s="36"/>
      <c r="DW116" s="36"/>
      <c r="DX116" s="36"/>
      <c r="DY116" s="36"/>
      <c r="DZ116" s="36"/>
      <c r="EA116" s="36"/>
      <c r="EB116" s="36"/>
      <c r="EC116" s="36"/>
      <c r="ED116" s="36"/>
      <c r="EE116" s="36"/>
      <c r="EF116" s="36"/>
      <c r="EG116" s="36"/>
      <c r="EH116" s="36"/>
      <c r="EI116" s="36"/>
      <c r="EJ116" s="36"/>
      <c r="EK116" s="36"/>
      <c r="EL116" s="36"/>
      <c r="EM116" s="36">
        <v>-1.7</v>
      </c>
      <c r="EN116" s="36"/>
      <c r="EO116" s="36"/>
      <c r="EP116" s="36"/>
      <c r="EQ116" s="36"/>
      <c r="ER116" s="36"/>
      <c r="ES116" s="36"/>
      <c r="ET116" s="36"/>
      <c r="EU116" s="36"/>
      <c r="EV116" s="36"/>
      <c r="EW116" s="36"/>
      <c r="EX116" s="36"/>
      <c r="EY116" s="36"/>
      <c r="EZ116" s="36"/>
      <c r="FA116" s="36"/>
      <c r="FB116" s="36"/>
      <c r="FC116" s="36"/>
      <c r="FD116" s="36"/>
      <c r="FE116" s="36"/>
      <c r="FF116" s="36"/>
      <c r="FG116" s="36"/>
      <c r="FH116" s="36"/>
      <c r="FI116" s="36"/>
      <c r="FJ116" s="36"/>
      <c r="FK116" s="36"/>
      <c r="FL116" s="36"/>
      <c r="FM116" s="36"/>
      <c r="FN116" s="36"/>
      <c r="FO116" s="36"/>
      <c r="FP116" s="36"/>
      <c r="FQ116" s="36"/>
      <c r="FR116" s="36"/>
      <c r="FS116" s="36"/>
      <c r="FT116" s="36"/>
      <c r="FU116" s="36"/>
      <c r="FV116" s="36"/>
      <c r="FW116" s="36"/>
      <c r="FX116" s="36"/>
      <c r="FY116" s="36"/>
      <c r="FZ116" s="36"/>
      <c r="GA116" s="36"/>
      <c r="GB116" s="319"/>
      <c r="GC116" s="179">
        <f t="shared" si="24"/>
        <v>0</v>
      </c>
      <c r="GD116" s="179">
        <f t="shared" si="25"/>
        <v>0</v>
      </c>
      <c r="GE116" s="179">
        <f t="shared" si="26"/>
        <v>0</v>
      </c>
      <c r="GF116" s="179">
        <f t="shared" si="27"/>
        <v>0</v>
      </c>
      <c r="GG116" s="179">
        <f t="shared" si="21"/>
        <v>0</v>
      </c>
    </row>
    <row r="117" spans="1:189" x14ac:dyDescent="0.35">
      <c r="A117" s="5" t="s">
        <v>955</v>
      </c>
      <c r="B117" s="5" t="str">
        <f>IF(Technologies!B117&lt;&gt;0,Technologies!B117,"")</f>
        <v>Industrie</v>
      </c>
      <c r="C117" s="5" t="str">
        <f>VLOOKUP($A117,Technologies!$A$7:$H$576,3,FALSE)</f>
        <v>Final</v>
      </c>
      <c r="D117" s="5" t="str">
        <f>VLOOKUP($A117,Technologies!$A$7:$H$576,4,FALSE)</f>
        <v>Industry</v>
      </c>
      <c r="E117" s="5" t="str">
        <f>VLOOKUP($A117,Technologies!$A$7:$H$576,6,FALSE)</f>
        <v>Other non-ETS - Industry</v>
      </c>
      <c r="F117" s="5" t="str">
        <f>VLOOKUP($A117,Technologies!$A$7:$H$576,7,FALSE)</f>
        <v>Reference other non-ETS industry - Other non-ETS Industry</v>
      </c>
      <c r="G117" s="23"/>
      <c r="H117" s="23"/>
      <c r="I117" s="104" cm="1">
        <f t="array" ref="I117">-SUMPRODUCT((Feedstocks!$C$4:$C$141=A117)*Feedstocks!$E$4:$E$141,Feedstocks!$F$4:$F$141,Feedstocks!$H$4:$H$141,Feedstocks!$I$4:$I$141)</f>
        <v>1.5186299999999999</v>
      </c>
      <c r="J117" s="104" cm="1">
        <f t="array" ref="J117">-SUMPRODUCT((Feedstocks!$C$4:$C$141=A117)*Feedstocks!$E$4:$E$141,Feedstocks!$H$4:$H$141,Feedstocks!$I$4:$I$141)</f>
        <v>1.5186299999999999</v>
      </c>
      <c r="K117" s="104"/>
      <c r="L117" s="104"/>
      <c r="M117" s="23"/>
      <c r="N117" s="23" t="str">
        <f>VLOOKUP(E117,Activities!$A$9:$M$227,13,FALSE)</f>
        <v>NL</v>
      </c>
      <c r="O117" s="23"/>
      <c r="P117" s="79" t="s">
        <v>951</v>
      </c>
      <c r="Q117" s="35"/>
      <c r="R117" s="35"/>
      <c r="S117" s="35"/>
      <c r="T117" s="35"/>
      <c r="U117" s="35"/>
      <c r="V117" s="35"/>
      <c r="W117" s="35"/>
      <c r="X117" s="35"/>
      <c r="Y117" s="35"/>
      <c r="Z117" s="35"/>
      <c r="AA117" s="35"/>
      <c r="AB117" s="35"/>
      <c r="AC117" s="35"/>
      <c r="AD117" s="35"/>
      <c r="AE117" s="35"/>
      <c r="AF117" s="35"/>
      <c r="AG117" s="35"/>
      <c r="AH117" s="35"/>
      <c r="AI117" s="35"/>
      <c r="AJ117" s="35"/>
      <c r="AK117" s="35"/>
      <c r="AL117" s="35"/>
      <c r="AM117" s="35"/>
      <c r="AN117" s="35"/>
      <c r="AO117" s="35"/>
      <c r="AP117" s="35"/>
      <c r="AQ117" s="35"/>
      <c r="AR117" s="35"/>
      <c r="AS117" s="35"/>
      <c r="AT117" s="35"/>
      <c r="AU117" s="35"/>
      <c r="AV117" s="35"/>
      <c r="AW117" s="35"/>
      <c r="AX117" s="35">
        <v>1</v>
      </c>
      <c r="AY117" s="35"/>
      <c r="AZ117" s="35"/>
      <c r="BA117" s="35"/>
      <c r="BB117" s="35"/>
      <c r="BC117" s="35"/>
      <c r="BD117" s="35"/>
      <c r="BE117" s="35"/>
      <c r="BF117" s="35"/>
      <c r="BG117" s="35"/>
      <c r="BH117" s="35"/>
      <c r="BI117" s="35"/>
      <c r="BJ117" s="35"/>
      <c r="BK117" s="35"/>
      <c r="BL117" s="35"/>
      <c r="BM117" s="35"/>
      <c r="BN117" s="35"/>
      <c r="BO117" s="35"/>
      <c r="BP117" s="35"/>
      <c r="BQ117" s="35"/>
      <c r="BR117" s="35"/>
      <c r="BS117" s="35"/>
      <c r="BT117" s="35"/>
      <c r="BU117" s="35"/>
      <c r="BV117" s="35"/>
      <c r="BW117" s="35"/>
      <c r="BX117" s="35"/>
      <c r="BY117" s="35"/>
      <c r="BZ117" s="35"/>
      <c r="CA117" s="35"/>
      <c r="CB117" s="35"/>
      <c r="CC117" s="35"/>
      <c r="CD117" s="35"/>
      <c r="CE117" s="35"/>
      <c r="CF117" s="35"/>
      <c r="CG117" s="35"/>
      <c r="CH117" s="35"/>
      <c r="CI117" s="35"/>
      <c r="CJ117" s="35"/>
      <c r="CK117" s="35"/>
      <c r="CL117" s="35"/>
      <c r="CM117" s="35"/>
      <c r="CN117" s="35"/>
      <c r="CO117" s="35"/>
      <c r="CP117" s="35"/>
      <c r="CQ117" s="35"/>
      <c r="CR117" s="35"/>
      <c r="CS117" s="35"/>
      <c r="CT117" s="35"/>
      <c r="CU117" s="35"/>
      <c r="CV117" s="35"/>
      <c r="CW117" s="35"/>
      <c r="CX117" s="35"/>
      <c r="CY117" s="35"/>
      <c r="CZ117" s="35"/>
      <c r="DA117" s="35"/>
      <c r="DB117" s="35"/>
      <c r="DC117" s="35"/>
      <c r="DD117" s="35"/>
      <c r="DE117" s="35"/>
      <c r="DF117" s="35"/>
      <c r="DG117" s="35"/>
      <c r="DH117" s="35">
        <v>-30.2</v>
      </c>
      <c r="DI117" s="35"/>
      <c r="DJ117" s="35"/>
      <c r="DK117" s="35"/>
      <c r="DL117" s="35"/>
      <c r="DM117" s="35"/>
      <c r="DN117" s="35"/>
      <c r="DO117" s="35">
        <v>-13.5</v>
      </c>
      <c r="DP117" s="35">
        <v>-25.5</v>
      </c>
      <c r="DQ117" s="35"/>
      <c r="DR117" s="35"/>
      <c r="DS117" s="35"/>
      <c r="DT117" s="35"/>
      <c r="DU117" s="35"/>
      <c r="DV117" s="35"/>
      <c r="DW117" s="35"/>
      <c r="DX117" s="35">
        <v>-16.2</v>
      </c>
      <c r="DY117" s="35"/>
      <c r="DZ117" s="35"/>
      <c r="EA117" s="35"/>
      <c r="EB117" s="35"/>
      <c r="EC117" s="35"/>
      <c r="ED117" s="35"/>
      <c r="EE117" s="35"/>
      <c r="EF117" s="35"/>
      <c r="EG117" s="35"/>
      <c r="EH117" s="35"/>
      <c r="EI117" s="35"/>
      <c r="EJ117" s="35"/>
      <c r="EK117" s="35"/>
      <c r="EL117" s="35"/>
      <c r="EM117" s="35"/>
      <c r="EN117" s="35"/>
      <c r="EO117" s="35"/>
      <c r="EP117" s="35"/>
      <c r="EQ117" s="35"/>
      <c r="ER117" s="35"/>
      <c r="ES117" s="35">
        <v>-2.9</v>
      </c>
      <c r="ET117" s="35"/>
      <c r="EU117" s="35"/>
      <c r="EV117" s="35"/>
      <c r="EW117" s="35"/>
      <c r="EX117" s="35"/>
      <c r="EY117" s="35"/>
      <c r="EZ117" s="35"/>
      <c r="FA117" s="35"/>
      <c r="FB117" s="35"/>
      <c r="FC117" s="35"/>
      <c r="FD117" s="35"/>
      <c r="FE117" s="35"/>
      <c r="FF117" s="35"/>
      <c r="FG117" s="35"/>
      <c r="FH117" s="35"/>
      <c r="FI117" s="35"/>
      <c r="FJ117" s="35"/>
      <c r="FK117" s="35"/>
      <c r="FL117" s="35"/>
      <c r="FM117" s="35"/>
      <c r="FN117" s="35"/>
      <c r="FO117" s="35"/>
      <c r="FP117" s="35"/>
      <c r="FQ117" s="35"/>
      <c r="FR117" s="35"/>
      <c r="FS117" s="35"/>
      <c r="FT117" s="35"/>
      <c r="FU117" s="35"/>
      <c r="FV117" s="35"/>
      <c r="FW117" s="35"/>
      <c r="FX117" s="35"/>
      <c r="FY117" s="35"/>
      <c r="FZ117" s="35"/>
      <c r="GA117" s="35"/>
      <c r="GB117" s="318"/>
      <c r="GC117" s="178">
        <f t="shared" si="24"/>
        <v>0</v>
      </c>
      <c r="GD117" s="178">
        <f t="shared" si="25"/>
        <v>0</v>
      </c>
      <c r="GE117" s="178">
        <f t="shared" si="26"/>
        <v>7.8600000000000003E-2</v>
      </c>
      <c r="GF117" s="178">
        <f t="shared" si="27"/>
        <v>0</v>
      </c>
      <c r="GG117" s="178">
        <f t="shared" si="21"/>
        <v>1.5186299999999999</v>
      </c>
    </row>
    <row r="118" spans="1:189" x14ac:dyDescent="0.35">
      <c r="A118" s="6" t="s">
        <v>957</v>
      </c>
      <c r="B118" s="6" t="str">
        <f>IF(Technologies!B118&lt;&gt;0,Technologies!B118,"")</f>
        <v>Industrie</v>
      </c>
      <c r="C118" s="6" t="str">
        <f>VLOOKUP($A118,Technologies!$A$7:$H$576,3,FALSE)</f>
        <v>Final</v>
      </c>
      <c r="D118" s="6" t="str">
        <f>VLOOKUP($A118,Technologies!$A$7:$H$576,4,FALSE)</f>
        <v>Industry</v>
      </c>
      <c r="E118" s="6" t="str">
        <f>VLOOKUP($A118,Technologies!$A$7:$H$576,6,FALSE)</f>
        <v>Other non-ETS - Industry</v>
      </c>
      <c r="F118" s="48" t="str">
        <f>VLOOKUP($A118,Technologies!$A$7:$H$576,7,FALSE)</f>
        <v>Improved other non-ETS industry (bio feedstock) - Other non-ETS Industry</v>
      </c>
      <c r="G118" s="22"/>
      <c r="H118" s="22"/>
      <c r="I118" s="103" cm="1">
        <f t="array" ref="I118">-SUMPRODUCT((Feedstocks!$C$4:$C$141=A118)*Feedstocks!$E$4:$E$141,Feedstocks!$F$4:$F$141,Feedstocks!$H$4:$H$141,Feedstocks!$I$4:$I$141)</f>
        <v>0</v>
      </c>
      <c r="J118" s="103" cm="1">
        <f t="array" ref="J118">-SUMPRODUCT((Feedstocks!$C$4:$C$141=A118)*Feedstocks!$E$4:$E$141,Feedstocks!$H$4:$H$141,Feedstocks!$I$4:$I$141)</f>
        <v>1.2496</v>
      </c>
      <c r="K118" s="103"/>
      <c r="L118" s="103"/>
      <c r="M118" s="22"/>
      <c r="N118" s="22" t="str">
        <f>VLOOKUP(E118,Activities!$A$9:$M$227,13,FALSE)</f>
        <v>NL</v>
      </c>
      <c r="O118" s="22"/>
      <c r="P118" s="80" t="s">
        <v>954</v>
      </c>
      <c r="Q118" s="36"/>
      <c r="R118" s="36"/>
      <c r="S118" s="36"/>
      <c r="T118" s="36"/>
      <c r="U118" s="36"/>
      <c r="V118" s="36"/>
      <c r="W118" s="36"/>
      <c r="X118" s="36"/>
      <c r="Y118" s="36"/>
      <c r="Z118" s="36"/>
      <c r="AA118" s="36"/>
      <c r="AB118" s="36"/>
      <c r="AC118" s="36"/>
      <c r="AD118" s="36"/>
      <c r="AE118" s="36"/>
      <c r="AF118" s="36"/>
      <c r="AG118" s="36"/>
      <c r="AH118" s="36"/>
      <c r="AI118" s="36"/>
      <c r="AJ118" s="36"/>
      <c r="AK118" s="36"/>
      <c r="AL118" s="36"/>
      <c r="AM118" s="36"/>
      <c r="AN118" s="36"/>
      <c r="AO118" s="36"/>
      <c r="AP118" s="36"/>
      <c r="AQ118" s="36"/>
      <c r="AR118" s="36"/>
      <c r="AS118" s="36"/>
      <c r="AT118" s="36"/>
      <c r="AU118" s="36"/>
      <c r="AV118" s="36"/>
      <c r="AW118" s="36"/>
      <c r="AX118" s="36">
        <v>1</v>
      </c>
      <c r="AY118" s="36"/>
      <c r="AZ118" s="36"/>
      <c r="BA118" s="36"/>
      <c r="BB118" s="36"/>
      <c r="BC118" s="36"/>
      <c r="BD118" s="36"/>
      <c r="BE118" s="36"/>
      <c r="BF118" s="36"/>
      <c r="BG118" s="36"/>
      <c r="BH118" s="36"/>
      <c r="BI118" s="36"/>
      <c r="BJ118" s="36"/>
      <c r="BK118" s="36"/>
      <c r="BL118" s="36"/>
      <c r="BM118" s="36"/>
      <c r="BN118" s="36"/>
      <c r="BO118" s="36"/>
      <c r="BP118" s="36"/>
      <c r="BQ118" s="36"/>
      <c r="BR118" s="36"/>
      <c r="BS118" s="36"/>
      <c r="BT118" s="36"/>
      <c r="BU118" s="36"/>
      <c r="BV118" s="36"/>
      <c r="BW118" s="36"/>
      <c r="BX118" s="36"/>
      <c r="BY118" s="36"/>
      <c r="BZ118" s="36"/>
      <c r="CA118" s="36"/>
      <c r="CB118" s="36"/>
      <c r="CC118" s="36"/>
      <c r="CD118" s="36"/>
      <c r="CE118" s="36"/>
      <c r="CF118" s="36"/>
      <c r="CG118" s="36"/>
      <c r="CH118" s="36"/>
      <c r="CI118" s="36"/>
      <c r="CJ118" s="36"/>
      <c r="CK118" s="36"/>
      <c r="CL118" s="36"/>
      <c r="CM118" s="36"/>
      <c r="CN118" s="36"/>
      <c r="CO118" s="36"/>
      <c r="CP118" s="36"/>
      <c r="CQ118" s="36"/>
      <c r="CR118" s="36"/>
      <c r="CS118" s="36"/>
      <c r="CT118" s="36"/>
      <c r="CU118" s="36"/>
      <c r="CV118" s="36"/>
      <c r="CW118" s="36"/>
      <c r="CX118" s="36"/>
      <c r="CY118" s="36"/>
      <c r="CZ118" s="36"/>
      <c r="DA118" s="36"/>
      <c r="DB118" s="36"/>
      <c r="DC118" s="36"/>
      <c r="DD118" s="36"/>
      <c r="DE118" s="36"/>
      <c r="DF118" s="36"/>
      <c r="DG118" s="36"/>
      <c r="DH118" s="36">
        <v>-23.9</v>
      </c>
      <c r="DI118" s="36"/>
      <c r="DJ118" s="36"/>
      <c r="DK118" s="36"/>
      <c r="DL118" s="36"/>
      <c r="DM118" s="36"/>
      <c r="DN118" s="36"/>
      <c r="DO118" s="36">
        <v>-9.9</v>
      </c>
      <c r="DP118" s="36">
        <v>-16.7</v>
      </c>
      <c r="DQ118" s="36"/>
      <c r="DR118" s="36"/>
      <c r="DS118" s="36"/>
      <c r="DT118" s="36"/>
      <c r="DU118" s="36"/>
      <c r="DV118" s="36"/>
      <c r="DW118" s="36"/>
      <c r="DX118" s="36"/>
      <c r="DY118" s="36">
        <v>-17.600000000000001</v>
      </c>
      <c r="DZ118" s="36"/>
      <c r="EA118" s="36"/>
      <c r="EB118" s="36"/>
      <c r="EC118" s="36"/>
      <c r="ED118" s="36"/>
      <c r="EE118" s="36"/>
      <c r="EF118" s="36"/>
      <c r="EG118" s="36"/>
      <c r="EH118" s="36"/>
      <c r="EI118" s="36"/>
      <c r="EJ118" s="36"/>
      <c r="EK118" s="36"/>
      <c r="EL118" s="36"/>
      <c r="EM118" s="36">
        <v>-5</v>
      </c>
      <c r="EN118" s="36"/>
      <c r="EO118" s="36"/>
      <c r="EP118" s="36"/>
      <c r="EQ118" s="36"/>
      <c r="ER118" s="36"/>
      <c r="ES118" s="36"/>
      <c r="ET118" s="36"/>
      <c r="EU118" s="36"/>
      <c r="EV118" s="36"/>
      <c r="EW118" s="36"/>
      <c r="EX118" s="36"/>
      <c r="EY118" s="36"/>
      <c r="EZ118" s="36"/>
      <c r="FA118" s="36"/>
      <c r="FB118" s="36"/>
      <c r="FC118" s="36"/>
      <c r="FD118" s="36"/>
      <c r="FE118" s="36"/>
      <c r="FF118" s="36"/>
      <c r="FG118" s="36"/>
      <c r="FH118" s="36"/>
      <c r="FI118" s="36"/>
      <c r="FJ118" s="36"/>
      <c r="FK118" s="36"/>
      <c r="FL118" s="36"/>
      <c r="FM118" s="36"/>
      <c r="FN118" s="36"/>
      <c r="FO118" s="36"/>
      <c r="FP118" s="36"/>
      <c r="FQ118" s="36"/>
      <c r="FR118" s="36"/>
      <c r="FS118" s="36"/>
      <c r="FT118" s="36"/>
      <c r="FU118" s="36"/>
      <c r="FV118" s="36"/>
      <c r="FW118" s="36"/>
      <c r="FX118" s="36"/>
      <c r="FY118" s="36"/>
      <c r="FZ118" s="36"/>
      <c r="GA118" s="36"/>
      <c r="GB118" s="319"/>
      <c r="GC118" s="179">
        <f t="shared" si="24"/>
        <v>0</v>
      </c>
      <c r="GD118" s="179">
        <f t="shared" si="25"/>
        <v>0</v>
      </c>
      <c r="GE118" s="179">
        <f t="shared" si="26"/>
        <v>0</v>
      </c>
      <c r="GF118" s="179">
        <f t="shared" si="27"/>
        <v>0</v>
      </c>
      <c r="GG118" s="179">
        <f t="shared" si="21"/>
        <v>0</v>
      </c>
    </row>
    <row r="119" spans="1:189" x14ac:dyDescent="0.35">
      <c r="A119" s="5" t="s">
        <v>959</v>
      </c>
      <c r="B119" s="5" t="str">
        <f>IF(Technologies!B119&lt;&gt;0,Technologies!B119,"")</f>
        <v>Industrie</v>
      </c>
      <c r="C119" s="5" t="str">
        <f>VLOOKUP($A119,Technologies!$A$7:$H$576,3,FALSE)</f>
        <v>Final</v>
      </c>
      <c r="D119" s="5" t="str">
        <f>VLOOKUP($A119,Technologies!$A$7:$H$576,4,FALSE)</f>
        <v>Industry</v>
      </c>
      <c r="E119" s="5" t="str">
        <f>VLOOKUP($A119,Technologies!$A$7:$H$576,6,FALSE)</f>
        <v>Other non-ETS - Industry</v>
      </c>
      <c r="F119" s="5" t="str">
        <f>VLOOKUP($A119,Technologies!$A$7:$H$576,7,FALSE)</f>
        <v>Improved other non-ETS industry (syn feedstock) - Other non-ETS Industry</v>
      </c>
      <c r="G119" s="23"/>
      <c r="H119" s="23"/>
      <c r="I119" s="104" cm="1">
        <f t="array" ref="I119">-SUMPRODUCT((Feedstocks!$C$4:$C$141=A119)*Feedstocks!$E$4:$E$141,Feedstocks!$F$4:$F$141,Feedstocks!$H$4:$H$141,Feedstocks!$I$4:$I$141)</f>
        <v>1.2496</v>
      </c>
      <c r="J119" s="104" cm="1">
        <f t="array" ref="J119">-SUMPRODUCT((Feedstocks!$C$4:$C$141=A119)*Feedstocks!$E$4:$E$141,Feedstocks!$H$4:$H$141,Feedstocks!$I$4:$I$141)</f>
        <v>1.2496</v>
      </c>
      <c r="K119" s="104"/>
      <c r="L119" s="104"/>
      <c r="M119" s="23"/>
      <c r="N119" s="23" t="str">
        <f>VLOOKUP(E119,Activities!$A$9:$M$227,13,FALSE)</f>
        <v>NL</v>
      </c>
      <c r="O119" s="23"/>
      <c r="P119" s="79" t="s">
        <v>954</v>
      </c>
      <c r="Q119" s="35"/>
      <c r="R119" s="35"/>
      <c r="S119" s="35"/>
      <c r="T119" s="35"/>
      <c r="U119" s="35"/>
      <c r="V119" s="35"/>
      <c r="W119" s="35"/>
      <c r="X119" s="35"/>
      <c r="Y119" s="35"/>
      <c r="Z119" s="35"/>
      <c r="AA119" s="35"/>
      <c r="AB119" s="35"/>
      <c r="AC119" s="35"/>
      <c r="AD119" s="35"/>
      <c r="AE119" s="35"/>
      <c r="AF119" s="35"/>
      <c r="AG119" s="35"/>
      <c r="AH119" s="35"/>
      <c r="AI119" s="35"/>
      <c r="AJ119" s="35"/>
      <c r="AK119" s="35"/>
      <c r="AL119" s="35"/>
      <c r="AM119" s="35"/>
      <c r="AN119" s="35"/>
      <c r="AO119" s="35"/>
      <c r="AP119" s="35"/>
      <c r="AQ119" s="35"/>
      <c r="AR119" s="35"/>
      <c r="AS119" s="35"/>
      <c r="AT119" s="35"/>
      <c r="AU119" s="35"/>
      <c r="AV119" s="35"/>
      <c r="AW119" s="35"/>
      <c r="AX119" s="35">
        <v>1</v>
      </c>
      <c r="AY119" s="35"/>
      <c r="AZ119" s="35"/>
      <c r="BA119" s="35"/>
      <c r="BB119" s="35"/>
      <c r="BC119" s="35"/>
      <c r="BD119" s="35"/>
      <c r="BE119" s="35"/>
      <c r="BF119" s="35"/>
      <c r="BG119" s="35"/>
      <c r="BH119" s="35"/>
      <c r="BI119" s="35"/>
      <c r="BJ119" s="35"/>
      <c r="BK119" s="35"/>
      <c r="BL119" s="35"/>
      <c r="BM119" s="35"/>
      <c r="BN119" s="35"/>
      <c r="BO119" s="35"/>
      <c r="BP119" s="35"/>
      <c r="BQ119" s="35"/>
      <c r="BR119" s="35"/>
      <c r="BS119" s="35"/>
      <c r="BT119" s="35"/>
      <c r="BU119" s="35"/>
      <c r="BV119" s="35"/>
      <c r="BW119" s="35"/>
      <c r="BX119" s="35"/>
      <c r="BY119" s="35"/>
      <c r="BZ119" s="35"/>
      <c r="CA119" s="35"/>
      <c r="CB119" s="35"/>
      <c r="CC119" s="35"/>
      <c r="CD119" s="35"/>
      <c r="CE119" s="35"/>
      <c r="CF119" s="35"/>
      <c r="CG119" s="35"/>
      <c r="CH119" s="35"/>
      <c r="CI119" s="35"/>
      <c r="CJ119" s="35"/>
      <c r="CK119" s="35"/>
      <c r="CL119" s="35"/>
      <c r="CM119" s="35"/>
      <c r="CN119" s="35"/>
      <c r="CO119" s="35"/>
      <c r="CP119" s="35"/>
      <c r="CQ119" s="35"/>
      <c r="CR119" s="35"/>
      <c r="CS119" s="35"/>
      <c r="CT119" s="35"/>
      <c r="CU119" s="35"/>
      <c r="CV119" s="35"/>
      <c r="CW119" s="35"/>
      <c r="CX119" s="35"/>
      <c r="CY119" s="35"/>
      <c r="CZ119" s="35"/>
      <c r="DA119" s="35"/>
      <c r="DB119" s="35"/>
      <c r="DC119" s="35"/>
      <c r="DD119" s="35"/>
      <c r="DE119" s="35"/>
      <c r="DF119" s="35"/>
      <c r="DG119" s="35"/>
      <c r="DH119" s="35">
        <v>-23.9</v>
      </c>
      <c r="DI119" s="35"/>
      <c r="DJ119" s="35"/>
      <c r="DK119" s="35"/>
      <c r="DL119" s="35"/>
      <c r="DM119" s="35"/>
      <c r="DN119" s="35"/>
      <c r="DO119" s="35">
        <v>-9.9</v>
      </c>
      <c r="DP119" s="35">
        <v>-16.7</v>
      </c>
      <c r="DQ119" s="35"/>
      <c r="DR119" s="35"/>
      <c r="DS119" s="35"/>
      <c r="DT119" s="35"/>
      <c r="DU119" s="35"/>
      <c r="DV119" s="35"/>
      <c r="DW119" s="35"/>
      <c r="DX119" s="35"/>
      <c r="DY119" s="35"/>
      <c r="DZ119" s="35"/>
      <c r="EA119" s="35"/>
      <c r="EB119" s="35"/>
      <c r="EC119" s="35"/>
      <c r="ED119" s="35">
        <v>-17.600000000000001</v>
      </c>
      <c r="EE119" s="35"/>
      <c r="EF119" s="35"/>
      <c r="EG119" s="35"/>
      <c r="EH119" s="35"/>
      <c r="EI119" s="35"/>
      <c r="EJ119" s="35"/>
      <c r="EK119" s="35"/>
      <c r="EL119" s="35"/>
      <c r="EM119" s="35">
        <v>-5</v>
      </c>
      <c r="EN119" s="35"/>
      <c r="EO119" s="35"/>
      <c r="EP119" s="35"/>
      <c r="EQ119" s="35"/>
      <c r="ER119" s="35"/>
      <c r="ES119" s="35"/>
      <c r="ET119" s="35"/>
      <c r="EU119" s="35"/>
      <c r="EV119" s="35"/>
      <c r="EW119" s="35"/>
      <c r="EX119" s="35"/>
      <c r="EY119" s="35"/>
      <c r="EZ119" s="35"/>
      <c r="FA119" s="35"/>
      <c r="FB119" s="35"/>
      <c r="FC119" s="35"/>
      <c r="FD119" s="35"/>
      <c r="FE119" s="35"/>
      <c r="FF119" s="35"/>
      <c r="FG119" s="35"/>
      <c r="FH119" s="35"/>
      <c r="FI119" s="35"/>
      <c r="FJ119" s="35"/>
      <c r="FK119" s="35"/>
      <c r="FL119" s="35"/>
      <c r="FM119" s="35"/>
      <c r="FN119" s="35"/>
      <c r="FO119" s="35"/>
      <c r="FP119" s="35"/>
      <c r="FQ119" s="35"/>
      <c r="FR119" s="35"/>
      <c r="FS119" s="35"/>
      <c r="FT119" s="35"/>
      <c r="FU119" s="35"/>
      <c r="FV119" s="35"/>
      <c r="FW119" s="35"/>
      <c r="FX119" s="35"/>
      <c r="FY119" s="35"/>
      <c r="FZ119" s="35"/>
      <c r="GA119" s="35"/>
      <c r="GB119" s="318"/>
      <c r="GC119" s="178">
        <f t="shared" si="24"/>
        <v>0</v>
      </c>
      <c r="GD119" s="178">
        <f t="shared" si="25"/>
        <v>0</v>
      </c>
      <c r="GE119" s="178">
        <f t="shared" si="26"/>
        <v>0</v>
      </c>
      <c r="GF119" s="178">
        <f t="shared" si="27"/>
        <v>0</v>
      </c>
      <c r="GG119" s="178">
        <f t="shared" si="21"/>
        <v>1.2496</v>
      </c>
    </row>
    <row r="120" spans="1:189" x14ac:dyDescent="0.35">
      <c r="A120" s="5" t="s">
        <v>961</v>
      </c>
      <c r="B120" s="5" t="str">
        <f>IF(Technologies!B120&lt;&gt;0,Technologies!B120,"")</f>
        <v>Industrie</v>
      </c>
      <c r="C120" s="5" t="str">
        <f>VLOOKUP($A120,Technologies!$A$7:$H$576,3,FALSE)</f>
        <v>Final</v>
      </c>
      <c r="D120" s="5" t="str">
        <f>VLOOKUP($A120,Technologies!$A$7:$H$576,4,FALSE)</f>
        <v>Industry</v>
      </c>
      <c r="E120" s="5" t="str">
        <f>VLOOKUP($A120,Technologies!$A$7:$H$576,6,FALSE)</f>
        <v>Renewable H2 Credit</v>
      </c>
      <c r="F120" s="5" t="str">
        <f>VLOOKUP($A120,Technologies!$A$7:$H$576,7,FALSE)</f>
        <v>H2 Credits for Industry</v>
      </c>
      <c r="G120" s="23"/>
      <c r="H120" s="23"/>
      <c r="I120" s="104" cm="1">
        <f t="array" ref="I120">-SUMPRODUCT((Feedstocks!$C$4:$C$141=A120)*Feedstocks!$E$4:$E$141,Feedstocks!$F$4:$F$141,Feedstocks!$H$4:$H$141,Feedstocks!$I$4:$I$141)</f>
        <v>0</v>
      </c>
      <c r="J120" s="104" cm="1">
        <f t="array" ref="J120">-SUMPRODUCT((Feedstocks!$C$4:$C$141=A120)*Feedstocks!$E$4:$E$141,Feedstocks!$H$4:$H$141,Feedstocks!$I$4:$I$141)</f>
        <v>0</v>
      </c>
      <c r="K120" s="104"/>
      <c r="L120" s="104"/>
      <c r="M120" s="23"/>
      <c r="N120" s="23" t="s">
        <v>320</v>
      </c>
      <c r="O120" s="23"/>
      <c r="P120" s="79"/>
      <c r="Q120" s="35"/>
      <c r="R120" s="35"/>
      <c r="S120" s="35"/>
      <c r="T120" s="35"/>
      <c r="U120" s="35"/>
      <c r="V120" s="35"/>
      <c r="W120" s="35"/>
      <c r="X120" s="35"/>
      <c r="Y120" s="35"/>
      <c r="Z120" s="35"/>
      <c r="AA120" s="35"/>
      <c r="AB120" s="35"/>
      <c r="AC120" s="35"/>
      <c r="AD120" s="35"/>
      <c r="AE120" s="35"/>
      <c r="AF120" s="35"/>
      <c r="AG120" s="35"/>
      <c r="AH120" s="35"/>
      <c r="AI120" s="35"/>
      <c r="AJ120" s="35"/>
      <c r="AK120" s="35"/>
      <c r="AL120" s="35"/>
      <c r="AM120" s="35"/>
      <c r="AN120" s="35"/>
      <c r="AO120" s="35"/>
      <c r="AP120" s="35"/>
      <c r="AQ120" s="35"/>
      <c r="AR120" s="35"/>
      <c r="AS120" s="35"/>
      <c r="AT120" s="35"/>
      <c r="AU120" s="35"/>
      <c r="AV120" s="35"/>
      <c r="AW120" s="35"/>
      <c r="AX120" s="35"/>
      <c r="AY120" s="35"/>
      <c r="AZ120" s="35"/>
      <c r="BA120" s="35"/>
      <c r="BB120" s="35"/>
      <c r="BC120" s="35"/>
      <c r="BD120" s="35"/>
      <c r="BE120" s="35"/>
      <c r="BF120" s="35"/>
      <c r="BG120" s="35"/>
      <c r="BH120" s="35"/>
      <c r="BI120" s="35"/>
      <c r="BJ120" s="35"/>
      <c r="BK120" s="35"/>
      <c r="BL120" s="35"/>
      <c r="BM120" s="35"/>
      <c r="BN120" s="35"/>
      <c r="BO120" s="35"/>
      <c r="BP120" s="35"/>
      <c r="BQ120" s="35"/>
      <c r="BR120" s="35"/>
      <c r="BS120" s="35"/>
      <c r="BT120" s="35"/>
      <c r="BU120" s="35"/>
      <c r="BV120" s="35"/>
      <c r="BW120" s="35"/>
      <c r="BX120" s="35"/>
      <c r="BY120" s="35"/>
      <c r="BZ120" s="35"/>
      <c r="CA120" s="35"/>
      <c r="CB120" s="35"/>
      <c r="CC120" s="35"/>
      <c r="CD120" s="35"/>
      <c r="CE120" s="35"/>
      <c r="CF120" s="35"/>
      <c r="CG120" s="35"/>
      <c r="CH120" s="35"/>
      <c r="CI120" s="35"/>
      <c r="CJ120" s="35"/>
      <c r="CK120" s="35"/>
      <c r="CL120" s="35"/>
      <c r="CM120" s="35"/>
      <c r="CN120" s="35"/>
      <c r="CO120" s="35"/>
      <c r="CP120" s="35"/>
      <c r="CQ120" s="35"/>
      <c r="CR120" s="35"/>
      <c r="CS120" s="35"/>
      <c r="CT120" s="35"/>
      <c r="CU120" s="35"/>
      <c r="CV120" s="35"/>
      <c r="CW120" s="35"/>
      <c r="CX120" s="35"/>
      <c r="CY120" s="35"/>
      <c r="CZ120" s="35"/>
      <c r="DA120" s="35"/>
      <c r="DB120" s="35"/>
      <c r="DC120" s="35"/>
      <c r="DD120" s="35"/>
      <c r="DE120" s="35"/>
      <c r="DF120" s="35"/>
      <c r="DG120" s="35"/>
      <c r="DH120" s="35"/>
      <c r="DI120" s="35"/>
      <c r="DJ120" s="35"/>
      <c r="DK120" s="35"/>
      <c r="DL120" s="35"/>
      <c r="DM120" s="35"/>
      <c r="DN120" s="35"/>
      <c r="DO120" s="35"/>
      <c r="DP120" s="35"/>
      <c r="DQ120" s="35"/>
      <c r="DR120" s="35"/>
      <c r="DS120" s="35"/>
      <c r="DT120" s="35"/>
      <c r="DU120" s="35"/>
      <c r="DV120" s="35"/>
      <c r="DW120" s="35"/>
      <c r="DX120" s="35"/>
      <c r="DY120" s="35"/>
      <c r="DZ120" s="35"/>
      <c r="EA120" s="35"/>
      <c r="EB120" s="35"/>
      <c r="EC120" s="35"/>
      <c r="ED120" s="35"/>
      <c r="EE120" s="35"/>
      <c r="EF120" s="35"/>
      <c r="EG120" s="35"/>
      <c r="EH120" s="35"/>
      <c r="EI120" s="35"/>
      <c r="EJ120" s="35"/>
      <c r="EK120" s="35"/>
      <c r="EL120" s="35"/>
      <c r="EM120" s="35"/>
      <c r="EN120" s="35"/>
      <c r="EO120" s="35">
        <v>-1</v>
      </c>
      <c r="EP120" s="35"/>
      <c r="EQ120" s="35"/>
      <c r="ER120" s="35"/>
      <c r="ES120" s="35"/>
      <c r="ET120" s="35"/>
      <c r="EU120" s="35"/>
      <c r="EV120" s="35"/>
      <c r="EW120" s="35"/>
      <c r="EX120" s="35"/>
      <c r="EY120" s="35"/>
      <c r="EZ120" s="35"/>
      <c r="FA120" s="35"/>
      <c r="FB120" s="35"/>
      <c r="FC120" s="35"/>
      <c r="FD120" s="35"/>
      <c r="FE120" s="35"/>
      <c r="FF120" s="35"/>
      <c r="FG120" s="35"/>
      <c r="FH120" s="35"/>
      <c r="FI120" s="35"/>
      <c r="FJ120" s="35"/>
      <c r="FK120" s="35"/>
      <c r="FL120" s="35"/>
      <c r="FM120" s="35"/>
      <c r="FN120" s="35"/>
      <c r="FO120" s="35"/>
      <c r="FP120" s="35"/>
      <c r="FQ120" s="35"/>
      <c r="FR120" s="35"/>
      <c r="FS120" s="35"/>
      <c r="FT120" s="35"/>
      <c r="FU120" s="35"/>
      <c r="FV120" s="35"/>
      <c r="FW120" s="35"/>
      <c r="FX120" s="35"/>
      <c r="FY120" s="35"/>
      <c r="FZ120" s="35"/>
      <c r="GA120" s="35"/>
      <c r="GB120" s="318"/>
      <c r="GC120" s="178"/>
      <c r="GD120" s="178"/>
      <c r="GE120" s="178"/>
      <c r="GF120" s="178"/>
      <c r="GG120" s="178">
        <f t="shared" si="21"/>
        <v>0</v>
      </c>
    </row>
    <row r="121" spans="1:189" x14ac:dyDescent="0.35">
      <c r="A121" s="6" t="s">
        <v>963</v>
      </c>
      <c r="B121" s="6" t="str">
        <f>IF(Technologies!B121&lt;&gt;0,Technologies!B121,"")</f>
        <v>Mobiliteit</v>
      </c>
      <c r="C121" s="6" t="str">
        <f>VLOOKUP($A121,Technologies!$A$7:$H$576,3,FALSE)</f>
        <v>Final</v>
      </c>
      <c r="D121" s="6" t="str">
        <f>VLOOKUP($A121,Technologies!$A$7:$H$576,4,FALSE)</f>
        <v>Industry</v>
      </c>
      <c r="E121" s="6" t="str">
        <f>VLOOKUP($A121,Technologies!$A$7:$H$576,6,FALSE)</f>
        <v>Machinery - Industry</v>
      </c>
      <c r="F121" s="48" t="str">
        <f>VLOOKUP($A121,Technologies!$A$7:$H$576,7,FALSE)</f>
        <v>Standard Machinery - Industry</v>
      </c>
      <c r="G121" s="22"/>
      <c r="H121" s="22"/>
      <c r="I121" s="103" cm="1">
        <f t="array" ref="I121">-SUMPRODUCT((Feedstocks!$C$4:$C$141=A121)*Feedstocks!$E$4:$E$141,Feedstocks!$F$4:$F$141,Feedstocks!$H$4:$H$141,Feedstocks!$I$4:$I$141)</f>
        <v>0</v>
      </c>
      <c r="J121" s="103" cm="1">
        <f t="array" ref="J121">-SUMPRODUCT((Feedstocks!$C$4:$C$141=A121)*Feedstocks!$E$4:$E$141,Feedstocks!$H$4:$H$141,Feedstocks!$I$4:$I$141)</f>
        <v>0</v>
      </c>
      <c r="K121" s="103"/>
      <c r="L121" s="103"/>
      <c r="M121" s="22"/>
      <c r="N121" s="22" t="str">
        <f>VLOOKUP(E121,Activities!$A$9:$M$227,13,FALSE)</f>
        <v>NL</v>
      </c>
      <c r="O121" s="22"/>
      <c r="P121" s="80" t="s">
        <v>951</v>
      </c>
      <c r="Q121" s="36"/>
      <c r="R121" s="36"/>
      <c r="S121" s="36"/>
      <c r="T121" s="36"/>
      <c r="U121" s="36"/>
      <c r="V121" s="36"/>
      <c r="W121" s="36"/>
      <c r="X121" s="36"/>
      <c r="Y121" s="36"/>
      <c r="Z121" s="36"/>
      <c r="AA121" s="36"/>
      <c r="AB121" s="36"/>
      <c r="AC121" s="36"/>
      <c r="AD121" s="36"/>
      <c r="AE121" s="36"/>
      <c r="AF121" s="36"/>
      <c r="AG121" s="36"/>
      <c r="AH121" s="36"/>
      <c r="AI121" s="36"/>
      <c r="AJ121" s="36"/>
      <c r="AK121" s="36"/>
      <c r="AL121" s="36"/>
      <c r="AM121" s="36"/>
      <c r="AN121" s="36"/>
      <c r="AO121" s="36"/>
      <c r="AP121" s="36"/>
      <c r="AQ121" s="36"/>
      <c r="AR121" s="36"/>
      <c r="AS121" s="36"/>
      <c r="AT121" s="36"/>
      <c r="AU121" s="36"/>
      <c r="AV121" s="36"/>
      <c r="AW121" s="36"/>
      <c r="AX121" s="36"/>
      <c r="AY121" s="36">
        <v>1</v>
      </c>
      <c r="AZ121" s="36"/>
      <c r="BA121" s="36"/>
      <c r="BB121" s="36"/>
      <c r="BC121" s="36"/>
      <c r="BD121" s="36"/>
      <c r="BE121" s="36"/>
      <c r="BF121" s="36"/>
      <c r="BG121" s="36"/>
      <c r="BH121" s="36"/>
      <c r="BI121" s="36"/>
      <c r="BJ121" s="36"/>
      <c r="BK121" s="36"/>
      <c r="BL121" s="36"/>
      <c r="BM121" s="36"/>
      <c r="BN121" s="36"/>
      <c r="BO121" s="36"/>
      <c r="BP121" s="36"/>
      <c r="BQ121" s="36"/>
      <c r="BR121" s="36"/>
      <c r="BS121" s="36"/>
      <c r="BT121" s="36"/>
      <c r="BU121" s="36"/>
      <c r="BV121" s="36"/>
      <c r="BW121" s="36"/>
      <c r="BX121" s="36"/>
      <c r="BY121" s="36"/>
      <c r="BZ121" s="36"/>
      <c r="CA121" s="36"/>
      <c r="CB121" s="36"/>
      <c r="CC121" s="36"/>
      <c r="CD121" s="36"/>
      <c r="CE121" s="36"/>
      <c r="CF121" s="36"/>
      <c r="CG121" s="36"/>
      <c r="CH121" s="36"/>
      <c r="CI121" s="36"/>
      <c r="CJ121" s="36"/>
      <c r="CK121" s="36"/>
      <c r="CL121" s="36"/>
      <c r="CM121" s="36"/>
      <c r="CN121" s="36"/>
      <c r="CO121" s="36"/>
      <c r="CP121" s="36"/>
      <c r="CQ121" s="36"/>
      <c r="CR121" s="36"/>
      <c r="CS121" s="36"/>
      <c r="CT121" s="36"/>
      <c r="CU121" s="36"/>
      <c r="CV121" s="36"/>
      <c r="CW121" s="36"/>
      <c r="CX121" s="36"/>
      <c r="CY121" s="36"/>
      <c r="CZ121" s="36"/>
      <c r="DA121" s="36"/>
      <c r="DB121" s="36"/>
      <c r="DC121" s="36"/>
      <c r="DD121" s="36"/>
      <c r="DE121" s="36"/>
      <c r="DF121" s="36"/>
      <c r="DG121" s="36"/>
      <c r="DH121" s="36">
        <v>-0.31</v>
      </c>
      <c r="DI121" s="36"/>
      <c r="DJ121" s="36"/>
      <c r="DK121" s="36"/>
      <c r="DL121" s="36"/>
      <c r="DM121" s="36"/>
      <c r="DN121" s="36"/>
      <c r="DO121" s="36"/>
      <c r="DP121" s="36"/>
      <c r="DQ121" s="36"/>
      <c r="DR121" s="36"/>
      <c r="DS121" s="36">
        <v>-0.25</v>
      </c>
      <c r="DT121" s="36"/>
      <c r="DU121" s="36">
        <v>-0.44</v>
      </c>
      <c r="DV121" s="36"/>
      <c r="DW121" s="36"/>
      <c r="DX121" s="36"/>
      <c r="DY121" s="36"/>
      <c r="DZ121" s="36"/>
      <c r="EA121" s="36"/>
      <c r="EB121" s="36"/>
      <c r="EC121" s="36"/>
      <c r="ED121" s="36"/>
      <c r="EE121" s="36"/>
      <c r="EF121" s="36"/>
      <c r="EG121" s="36"/>
      <c r="EH121" s="36"/>
      <c r="EI121" s="36"/>
      <c r="EJ121" s="36"/>
      <c r="EK121" s="36"/>
      <c r="EL121" s="36"/>
      <c r="EM121" s="36"/>
      <c r="EN121" s="36"/>
      <c r="EO121" s="36"/>
      <c r="EP121" s="36"/>
      <c r="EQ121" s="36"/>
      <c r="ER121" s="36"/>
      <c r="ES121" s="36"/>
      <c r="ET121" s="36"/>
      <c r="EU121" s="36"/>
      <c r="EV121" s="36"/>
      <c r="EW121" s="36"/>
      <c r="EX121" s="36"/>
      <c r="EY121" s="36"/>
      <c r="EZ121" s="36"/>
      <c r="FA121" s="36"/>
      <c r="FB121" s="36"/>
      <c r="FC121" s="36"/>
      <c r="FD121" s="36"/>
      <c r="FE121" s="36"/>
      <c r="FF121" s="36"/>
      <c r="FG121" s="36"/>
      <c r="FH121" s="36"/>
      <c r="FI121" s="36"/>
      <c r="FJ121" s="36"/>
      <c r="FK121" s="36"/>
      <c r="FL121" s="36"/>
      <c r="FM121" s="36"/>
      <c r="FN121" s="36"/>
      <c r="FO121" s="36"/>
      <c r="FP121" s="36"/>
      <c r="FQ121" s="36"/>
      <c r="FR121" s="36"/>
      <c r="FS121" s="36"/>
      <c r="FT121" s="36"/>
      <c r="FU121" s="36"/>
      <c r="FV121" s="36"/>
      <c r="FW121" s="36"/>
      <c r="FX121" s="36"/>
      <c r="FY121" s="36"/>
      <c r="FZ121" s="36"/>
      <c r="GA121" s="36"/>
      <c r="GB121" s="319"/>
      <c r="GC121" s="179">
        <f t="shared" ref="GC121:GC143" si="28">ROUND(IF($C121="Primary",0,-$G121*(SUMPRODUCT($Q$4:$GA$4,$Q121:$GA121)+$J121)-$H121)*IF($N121=GC$4,1,0),4)</f>
        <v>0</v>
      </c>
      <c r="GD121" s="179">
        <f t="shared" ref="GD121:GD143" si="29">ROUND(IF($C121="Primary",0,$M121*(1-$O121)*($G121*(SUMPRODUCT($Q$4:$GA$4,$Q121:$GA121)+$J121)+$H121-SUMPRODUCT($Q$5:$GA$5,$Q121:$GA121)-$I121+$K121))*IF($N121=GD$4,1,0),4)</f>
        <v>0</v>
      </c>
      <c r="GE121" s="179">
        <f t="shared" ref="GE121:GE143" si="30">ROUND(IF($C121="Primary",0,(1-$M121)*(1-$O121)*($G121*(SUMPRODUCT($Q$4:$GA$4,$Q121:$GA121)+$J121)+$H121-SUMPRODUCT($Q$5:$GA$5,$Q121:$GA121)-$I121+$L121))*IF($N121=GD$4,1,0),4)</f>
        <v>4.7899999999999998E-2</v>
      </c>
      <c r="GF121" s="179">
        <f t="shared" ref="GF121:GF143" si="31">ROUND(IF($C121="Primary",0,$O121*($G121*(SUMPRODUCT($Q$4:$GA$4,$Q121:$GA121)+$J121)-SUMPRODUCT($Q$5:$GA$5,$Q121:$GA121)-$I121))*IF($N121=GD$4,1,0),4)</f>
        <v>0</v>
      </c>
      <c r="GG121" s="179">
        <f t="shared" si="21"/>
        <v>0</v>
      </c>
    </row>
    <row r="122" spans="1:189" x14ac:dyDescent="0.35">
      <c r="A122" s="5" t="s">
        <v>966</v>
      </c>
      <c r="B122" s="5" t="str">
        <f>IF(Technologies!B122&lt;&gt;0,Technologies!B122,"")</f>
        <v>Mobiliteit</v>
      </c>
      <c r="C122" s="5" t="str">
        <f>VLOOKUP($A122,Technologies!$A$7:$H$576,3,FALSE)</f>
        <v>Final</v>
      </c>
      <c r="D122" s="5" t="str">
        <f>VLOOKUP($A122,Technologies!$A$7:$H$576,4,FALSE)</f>
        <v>Industry</v>
      </c>
      <c r="E122" s="5" t="str">
        <f>VLOOKUP($A122,Technologies!$A$7:$H$576,6,FALSE)</f>
        <v>Machinery - Industry</v>
      </c>
      <c r="F122" s="5" t="str">
        <f>VLOOKUP($A122,Technologies!$A$7:$H$576,7,FALSE)</f>
        <v>Hybrid Machinery - Industry</v>
      </c>
      <c r="G122" s="23"/>
      <c r="H122" s="23"/>
      <c r="I122" s="104" cm="1">
        <f t="array" ref="I122">-SUMPRODUCT((Feedstocks!$C$4:$C$141=A122)*Feedstocks!$E$4:$E$141,Feedstocks!$F$4:$F$141,Feedstocks!$H$4:$H$141,Feedstocks!$I$4:$I$141)</f>
        <v>0</v>
      </c>
      <c r="J122" s="104" cm="1">
        <f t="array" ref="J122">-SUMPRODUCT((Feedstocks!$C$4:$C$141=A122)*Feedstocks!$E$4:$E$141,Feedstocks!$H$4:$H$141,Feedstocks!$I$4:$I$141)</f>
        <v>0</v>
      </c>
      <c r="K122" s="104"/>
      <c r="L122" s="104"/>
      <c r="M122" s="23"/>
      <c r="N122" s="23" t="str">
        <f>VLOOKUP(E122,Activities!$A$9:$M$227,13,FALSE)</f>
        <v>NL</v>
      </c>
      <c r="O122" s="23"/>
      <c r="P122" s="79" t="s">
        <v>954</v>
      </c>
      <c r="Q122" s="35"/>
      <c r="R122" s="35"/>
      <c r="S122" s="35"/>
      <c r="T122" s="35"/>
      <c r="U122" s="35"/>
      <c r="V122" s="35"/>
      <c r="W122" s="35"/>
      <c r="X122" s="35"/>
      <c r="Y122" s="35"/>
      <c r="Z122" s="35"/>
      <c r="AA122" s="35"/>
      <c r="AB122" s="35"/>
      <c r="AC122" s="35"/>
      <c r="AD122" s="35"/>
      <c r="AE122" s="35"/>
      <c r="AF122" s="35"/>
      <c r="AG122" s="35"/>
      <c r="AH122" s="35"/>
      <c r="AI122" s="35"/>
      <c r="AJ122" s="35"/>
      <c r="AK122" s="35"/>
      <c r="AL122" s="35"/>
      <c r="AM122" s="35"/>
      <c r="AN122" s="35"/>
      <c r="AO122" s="35"/>
      <c r="AP122" s="35"/>
      <c r="AQ122" s="35"/>
      <c r="AR122" s="35"/>
      <c r="AS122" s="35"/>
      <c r="AT122" s="35"/>
      <c r="AU122" s="35"/>
      <c r="AV122" s="35"/>
      <c r="AW122" s="35"/>
      <c r="AX122" s="35"/>
      <c r="AY122" s="35">
        <v>1</v>
      </c>
      <c r="AZ122" s="35"/>
      <c r="BA122" s="35"/>
      <c r="BB122" s="35"/>
      <c r="BC122" s="35"/>
      <c r="BD122" s="35"/>
      <c r="BE122" s="35"/>
      <c r="BF122" s="35"/>
      <c r="BG122" s="35"/>
      <c r="BH122" s="35"/>
      <c r="BI122" s="35"/>
      <c r="BJ122" s="35"/>
      <c r="BK122" s="35"/>
      <c r="BL122" s="35"/>
      <c r="BM122" s="35"/>
      <c r="BN122" s="35"/>
      <c r="BO122" s="35"/>
      <c r="BP122" s="35"/>
      <c r="BQ122" s="35"/>
      <c r="BR122" s="35"/>
      <c r="BS122" s="35"/>
      <c r="BT122" s="35"/>
      <c r="BU122" s="35"/>
      <c r="BV122" s="35"/>
      <c r="BW122" s="35"/>
      <c r="BX122" s="35"/>
      <c r="BY122" s="35"/>
      <c r="BZ122" s="35"/>
      <c r="CA122" s="35"/>
      <c r="CB122" s="35"/>
      <c r="CC122" s="35"/>
      <c r="CD122" s="35"/>
      <c r="CE122" s="35"/>
      <c r="CF122" s="35"/>
      <c r="CG122" s="35"/>
      <c r="CH122" s="35"/>
      <c r="CI122" s="35"/>
      <c r="CJ122" s="35"/>
      <c r="CK122" s="35"/>
      <c r="CL122" s="35"/>
      <c r="CM122" s="35"/>
      <c r="CN122" s="35"/>
      <c r="CO122" s="35"/>
      <c r="CP122" s="35"/>
      <c r="CQ122" s="35"/>
      <c r="CR122" s="35"/>
      <c r="CS122" s="35"/>
      <c r="CT122" s="35"/>
      <c r="CU122" s="35"/>
      <c r="CV122" s="35"/>
      <c r="CW122" s="35"/>
      <c r="CX122" s="35"/>
      <c r="CY122" s="35"/>
      <c r="CZ122" s="35"/>
      <c r="DA122" s="35"/>
      <c r="DB122" s="35"/>
      <c r="DC122" s="35"/>
      <c r="DD122" s="35"/>
      <c r="DE122" s="35"/>
      <c r="DF122" s="35"/>
      <c r="DG122" s="35"/>
      <c r="DH122" s="35">
        <v>-0.6</v>
      </c>
      <c r="DI122" s="35"/>
      <c r="DJ122" s="35"/>
      <c r="DK122" s="35"/>
      <c r="DL122" s="35"/>
      <c r="DM122" s="35"/>
      <c r="DN122" s="35"/>
      <c r="DO122" s="35"/>
      <c r="DP122" s="35"/>
      <c r="DQ122" s="35"/>
      <c r="DR122" s="35"/>
      <c r="DS122" s="35">
        <v>-0.15</v>
      </c>
      <c r="DT122" s="35"/>
      <c r="DU122" s="35">
        <v>-0.25</v>
      </c>
      <c r="DV122" s="35"/>
      <c r="DW122" s="35"/>
      <c r="DX122" s="35"/>
      <c r="DY122" s="35"/>
      <c r="DZ122" s="35"/>
      <c r="EA122" s="35"/>
      <c r="EB122" s="35"/>
      <c r="EC122" s="35"/>
      <c r="ED122" s="35"/>
      <c r="EE122" s="35"/>
      <c r="EF122" s="35"/>
      <c r="EG122" s="35"/>
      <c r="EH122" s="35"/>
      <c r="EI122" s="35"/>
      <c r="EJ122" s="35"/>
      <c r="EK122" s="35"/>
      <c r="EL122" s="35"/>
      <c r="EM122" s="35"/>
      <c r="EN122" s="35"/>
      <c r="EO122" s="35"/>
      <c r="EP122" s="35"/>
      <c r="EQ122" s="35"/>
      <c r="ER122" s="35"/>
      <c r="ES122" s="35"/>
      <c r="ET122" s="35"/>
      <c r="EU122" s="35"/>
      <c r="EV122" s="35"/>
      <c r="EW122" s="35"/>
      <c r="EX122" s="35"/>
      <c r="EY122" s="35"/>
      <c r="EZ122" s="35"/>
      <c r="FA122" s="35"/>
      <c r="FB122" s="35"/>
      <c r="FC122" s="35"/>
      <c r="FD122" s="35"/>
      <c r="FE122" s="35"/>
      <c r="FF122" s="35"/>
      <c r="FG122" s="35"/>
      <c r="FH122" s="35"/>
      <c r="FI122" s="35"/>
      <c r="FJ122" s="35"/>
      <c r="FK122" s="35"/>
      <c r="FL122" s="35"/>
      <c r="FM122" s="35"/>
      <c r="FN122" s="35"/>
      <c r="FO122" s="35"/>
      <c r="FP122" s="35"/>
      <c r="FQ122" s="35"/>
      <c r="FR122" s="35"/>
      <c r="FS122" s="35"/>
      <c r="FT122" s="35"/>
      <c r="FU122" s="35"/>
      <c r="FV122" s="35"/>
      <c r="FW122" s="35"/>
      <c r="FX122" s="35"/>
      <c r="FY122" s="35"/>
      <c r="FZ122" s="35"/>
      <c r="GA122" s="35"/>
      <c r="GB122" s="318"/>
      <c r="GC122" s="178">
        <f t="shared" si="28"/>
        <v>0</v>
      </c>
      <c r="GD122" s="178">
        <f t="shared" si="29"/>
        <v>0</v>
      </c>
      <c r="GE122" s="178">
        <f t="shared" si="30"/>
        <v>2.7699999999999999E-2</v>
      </c>
      <c r="GF122" s="178">
        <f t="shared" si="31"/>
        <v>0</v>
      </c>
      <c r="GG122" s="178">
        <f t="shared" si="21"/>
        <v>0</v>
      </c>
    </row>
    <row r="123" spans="1:189" x14ac:dyDescent="0.35">
      <c r="A123" s="6" t="s">
        <v>968</v>
      </c>
      <c r="B123" s="6" t="str">
        <f>IF(Technologies!B123&lt;&gt;0,Technologies!B123,"")</f>
        <v>Mobiliteit</v>
      </c>
      <c r="C123" s="6" t="str">
        <f>VLOOKUP($A123,Technologies!$A$7:$H$576,3,FALSE)</f>
        <v>Final</v>
      </c>
      <c r="D123" s="6" t="str">
        <f>VLOOKUP($A123,Technologies!$A$7:$H$576,4,FALSE)</f>
        <v>Industry</v>
      </c>
      <c r="E123" s="6" t="str">
        <f>VLOOKUP($A123,Technologies!$A$7:$H$576,6,FALSE)</f>
        <v>Machinery - Industry</v>
      </c>
      <c r="F123" s="48" t="str">
        <f>VLOOKUP($A123,Technologies!$A$7:$H$576,7,FALSE)</f>
        <v>Electric Machinery - Industry</v>
      </c>
      <c r="G123" s="22"/>
      <c r="H123" s="22"/>
      <c r="I123" s="103" cm="1">
        <f t="array" ref="I123">-SUMPRODUCT((Feedstocks!$C$4:$C$141=A123)*Feedstocks!$E$4:$E$141,Feedstocks!$F$4:$F$141,Feedstocks!$H$4:$H$141,Feedstocks!$I$4:$I$141)</f>
        <v>0</v>
      </c>
      <c r="J123" s="103" cm="1">
        <f t="array" ref="J123">-SUMPRODUCT((Feedstocks!$C$4:$C$141=A123)*Feedstocks!$E$4:$E$141,Feedstocks!$H$4:$H$141,Feedstocks!$I$4:$I$141)</f>
        <v>0</v>
      </c>
      <c r="K123" s="103"/>
      <c r="L123" s="103"/>
      <c r="M123" s="22"/>
      <c r="N123" s="22" t="str">
        <f>VLOOKUP(E123,Activities!$A$9:$M$227,13,FALSE)</f>
        <v>NL</v>
      </c>
      <c r="O123" s="22"/>
      <c r="P123" s="80" t="s">
        <v>699</v>
      </c>
      <c r="Q123" s="36"/>
      <c r="R123" s="36"/>
      <c r="S123" s="36"/>
      <c r="T123" s="36"/>
      <c r="U123" s="36"/>
      <c r="V123" s="36"/>
      <c r="W123" s="36"/>
      <c r="X123" s="36"/>
      <c r="Y123" s="36"/>
      <c r="Z123" s="36"/>
      <c r="AA123" s="36"/>
      <c r="AB123" s="36"/>
      <c r="AC123" s="36"/>
      <c r="AD123" s="36"/>
      <c r="AE123" s="36"/>
      <c r="AF123" s="36"/>
      <c r="AG123" s="36"/>
      <c r="AH123" s="36"/>
      <c r="AI123" s="36"/>
      <c r="AJ123" s="36"/>
      <c r="AK123" s="36"/>
      <c r="AL123" s="36"/>
      <c r="AM123" s="36"/>
      <c r="AN123" s="36"/>
      <c r="AO123" s="36"/>
      <c r="AP123" s="36"/>
      <c r="AQ123" s="36"/>
      <c r="AR123" s="36"/>
      <c r="AS123" s="36"/>
      <c r="AT123" s="36"/>
      <c r="AU123" s="36"/>
      <c r="AV123" s="36"/>
      <c r="AW123" s="36"/>
      <c r="AX123" s="36"/>
      <c r="AY123" s="36">
        <v>1</v>
      </c>
      <c r="AZ123" s="36"/>
      <c r="BA123" s="36"/>
      <c r="BB123" s="36"/>
      <c r="BC123" s="36"/>
      <c r="BD123" s="36"/>
      <c r="BE123" s="36"/>
      <c r="BF123" s="36"/>
      <c r="BG123" s="36"/>
      <c r="BH123" s="36"/>
      <c r="BI123" s="36"/>
      <c r="BJ123" s="36"/>
      <c r="BK123" s="36"/>
      <c r="BL123" s="36"/>
      <c r="BM123" s="36"/>
      <c r="BN123" s="36"/>
      <c r="BO123" s="36"/>
      <c r="BP123" s="36"/>
      <c r="BQ123" s="36"/>
      <c r="BR123" s="36"/>
      <c r="BS123" s="36"/>
      <c r="BT123" s="36"/>
      <c r="BU123" s="36"/>
      <c r="BV123" s="36"/>
      <c r="BW123" s="36"/>
      <c r="BX123" s="36"/>
      <c r="BY123" s="36"/>
      <c r="BZ123" s="36"/>
      <c r="CA123" s="36"/>
      <c r="CB123" s="36"/>
      <c r="CC123" s="36"/>
      <c r="CD123" s="36"/>
      <c r="CE123" s="36"/>
      <c r="CF123" s="36"/>
      <c r="CG123" s="36"/>
      <c r="CH123" s="36"/>
      <c r="CI123" s="36"/>
      <c r="CJ123" s="36"/>
      <c r="CK123" s="36"/>
      <c r="CL123" s="36"/>
      <c r="CM123" s="36"/>
      <c r="CN123" s="36"/>
      <c r="CO123" s="36"/>
      <c r="CP123" s="36"/>
      <c r="CQ123" s="36"/>
      <c r="CR123" s="36"/>
      <c r="CS123" s="36"/>
      <c r="CT123" s="36"/>
      <c r="CU123" s="36"/>
      <c r="CV123" s="36"/>
      <c r="CW123" s="36"/>
      <c r="CX123" s="36"/>
      <c r="CY123" s="36"/>
      <c r="CZ123" s="36"/>
      <c r="DA123" s="36"/>
      <c r="DB123" s="36"/>
      <c r="DC123" s="36"/>
      <c r="DD123" s="36"/>
      <c r="DE123" s="36"/>
      <c r="DF123" s="36"/>
      <c r="DG123" s="36"/>
      <c r="DH123" s="36">
        <v>-1</v>
      </c>
      <c r="DI123" s="36"/>
      <c r="DJ123" s="36"/>
      <c r="DK123" s="36"/>
      <c r="DL123" s="36"/>
      <c r="DM123" s="36"/>
      <c r="DN123" s="36"/>
      <c r="DO123" s="36"/>
      <c r="DP123" s="36"/>
      <c r="DQ123" s="36"/>
      <c r="DR123" s="36"/>
      <c r="DS123" s="36"/>
      <c r="DT123" s="36"/>
      <c r="DU123" s="36"/>
      <c r="DV123" s="36"/>
      <c r="DW123" s="36"/>
      <c r="DX123" s="36"/>
      <c r="DY123" s="36"/>
      <c r="DZ123" s="36"/>
      <c r="EA123" s="36"/>
      <c r="EB123" s="36"/>
      <c r="EC123" s="36"/>
      <c r="ED123" s="36"/>
      <c r="EE123" s="36"/>
      <c r="EF123" s="36"/>
      <c r="EG123" s="36"/>
      <c r="EH123" s="36"/>
      <c r="EI123" s="36"/>
      <c r="EJ123" s="36"/>
      <c r="EK123" s="36"/>
      <c r="EL123" s="36"/>
      <c r="EM123" s="36"/>
      <c r="EN123" s="36"/>
      <c r="EO123" s="36"/>
      <c r="EP123" s="36"/>
      <c r="EQ123" s="36"/>
      <c r="ER123" s="36"/>
      <c r="ES123" s="36"/>
      <c r="ET123" s="36"/>
      <c r="EU123" s="36"/>
      <c r="EV123" s="36"/>
      <c r="EW123" s="36"/>
      <c r="EX123" s="36"/>
      <c r="EY123" s="36"/>
      <c r="EZ123" s="36"/>
      <c r="FA123" s="36"/>
      <c r="FB123" s="36"/>
      <c r="FC123" s="36"/>
      <c r="FD123" s="36"/>
      <c r="FE123" s="36"/>
      <c r="FF123" s="36"/>
      <c r="FG123" s="36"/>
      <c r="FH123" s="36"/>
      <c r="FI123" s="36"/>
      <c r="FJ123" s="36"/>
      <c r="FK123" s="36"/>
      <c r="FL123" s="36"/>
      <c r="FM123" s="36"/>
      <c r="FN123" s="36"/>
      <c r="FO123" s="36"/>
      <c r="FP123" s="36"/>
      <c r="FQ123" s="36"/>
      <c r="FR123" s="36"/>
      <c r="FS123" s="36"/>
      <c r="FT123" s="36"/>
      <c r="FU123" s="36"/>
      <c r="FV123" s="36"/>
      <c r="FW123" s="36"/>
      <c r="FX123" s="36"/>
      <c r="FY123" s="36"/>
      <c r="FZ123" s="36"/>
      <c r="GA123" s="36"/>
      <c r="GB123" s="319"/>
      <c r="GC123" s="179">
        <f t="shared" si="28"/>
        <v>0</v>
      </c>
      <c r="GD123" s="179">
        <f t="shared" si="29"/>
        <v>0</v>
      </c>
      <c r="GE123" s="179">
        <f t="shared" si="30"/>
        <v>0</v>
      </c>
      <c r="GF123" s="179">
        <f t="shared" si="31"/>
        <v>0</v>
      </c>
      <c r="GG123" s="179">
        <f t="shared" si="21"/>
        <v>0</v>
      </c>
    </row>
    <row r="124" spans="1:189" x14ac:dyDescent="0.35">
      <c r="A124" s="6" t="s">
        <v>970</v>
      </c>
      <c r="B124" s="6" t="str">
        <f>IF(Technologies!B124&lt;&gt;0,Technologies!B124,"")</f>
        <v>Industrie</v>
      </c>
      <c r="C124" s="6" t="str">
        <f>VLOOKUP($A124,Technologies!$A$7:$H$576,3,FALSE)</f>
        <v>Final</v>
      </c>
      <c r="D124" s="6" t="str">
        <f>VLOOKUP($A124,Technologies!$A$7:$H$576,4,FALSE)</f>
        <v>Industry</v>
      </c>
      <c r="E124" s="6" t="str">
        <f>VLOOKUP($A124,Technologies!$A$7:$H$576,6,FALSE)</f>
        <v>Waste Management</v>
      </c>
      <c r="F124" s="48" t="str">
        <f>VLOOKUP($A124,Technologies!$A$7:$H$576,7,FALSE)</f>
        <v>Conventional waste collection &amp; sorting</v>
      </c>
      <c r="G124" s="22"/>
      <c r="H124" s="22"/>
      <c r="I124" s="104" cm="1">
        <f t="array" ref="I124">-SUMPRODUCT((Feedstocks!$C$4:$C$141=A124)*Feedstocks!$E$4:$E$141,Feedstocks!$F$4:$F$141,Feedstocks!$H$4:$H$141,Feedstocks!$I$4:$I$141)</f>
        <v>0</v>
      </c>
      <c r="J124" s="104" cm="1">
        <f t="array" ref="J124">-SUMPRODUCT((Feedstocks!$C$4:$C$141=A124)*Feedstocks!$E$4:$E$141,Feedstocks!$H$4:$H$141,Feedstocks!$I$4:$I$141)</f>
        <v>0</v>
      </c>
      <c r="K124" s="103"/>
      <c r="L124" s="103"/>
      <c r="M124" s="22"/>
      <c r="N124" s="22" t="str">
        <f>VLOOKUP(E124,Activities!$A$9:$M$227,13,FALSE)</f>
        <v>NL</v>
      </c>
      <c r="O124" s="22"/>
      <c r="P124" s="80" t="s">
        <v>1817</v>
      </c>
      <c r="Q124" s="36"/>
      <c r="R124" s="36"/>
      <c r="S124" s="36"/>
      <c r="T124" s="36"/>
      <c r="U124" s="36"/>
      <c r="V124" s="36"/>
      <c r="W124" s="36"/>
      <c r="X124" s="36"/>
      <c r="Y124" s="36"/>
      <c r="Z124" s="36"/>
      <c r="AA124" s="36"/>
      <c r="AB124" s="36"/>
      <c r="AC124" s="36"/>
      <c r="AD124" s="36"/>
      <c r="AE124" s="36"/>
      <c r="AF124" s="36"/>
      <c r="AG124" s="36"/>
      <c r="AH124" s="35"/>
      <c r="AI124" s="35"/>
      <c r="AJ124" s="35"/>
      <c r="AK124" s="35"/>
      <c r="AL124" s="35"/>
      <c r="AM124" s="35"/>
      <c r="AN124" s="36"/>
      <c r="AO124" s="36"/>
      <c r="AP124" s="36"/>
      <c r="AQ124" s="36"/>
      <c r="AR124" s="36"/>
      <c r="AS124" s="36"/>
      <c r="AT124" s="36"/>
      <c r="AU124" s="36"/>
      <c r="AV124" s="36"/>
      <c r="AW124" s="36"/>
      <c r="AX124" s="36"/>
      <c r="AY124" s="36"/>
      <c r="AZ124" s="36">
        <v>1</v>
      </c>
      <c r="BA124" s="36"/>
      <c r="BB124" s="36"/>
      <c r="BC124" s="36"/>
      <c r="BD124" s="36"/>
      <c r="BE124" s="36"/>
      <c r="BF124" s="36"/>
      <c r="BG124" s="36"/>
      <c r="BH124" s="36"/>
      <c r="BI124" s="36"/>
      <c r="BJ124" s="36"/>
      <c r="BK124" s="36"/>
      <c r="BL124" s="36"/>
      <c r="BM124" s="36"/>
      <c r="BN124" s="36"/>
      <c r="BO124" s="36"/>
      <c r="BP124" s="36"/>
      <c r="BQ124" s="36"/>
      <c r="BR124" s="36"/>
      <c r="BS124" s="36"/>
      <c r="BT124" s="36"/>
      <c r="BU124" s="36"/>
      <c r="BV124" s="36"/>
      <c r="BW124" s="36"/>
      <c r="BX124" s="36"/>
      <c r="BY124" s="36"/>
      <c r="BZ124" s="36"/>
      <c r="CA124" s="36"/>
      <c r="CB124" s="36"/>
      <c r="CC124" s="36"/>
      <c r="CD124" s="36"/>
      <c r="CE124" s="36"/>
      <c r="CF124" s="36"/>
      <c r="CG124" s="36"/>
      <c r="CH124" s="36"/>
      <c r="CI124" s="36"/>
      <c r="CJ124" s="36"/>
      <c r="CK124" s="36"/>
      <c r="CL124" s="36"/>
      <c r="CM124" s="36"/>
      <c r="CN124" s="36"/>
      <c r="CO124" s="36"/>
      <c r="CP124" s="36"/>
      <c r="CQ124" s="36"/>
      <c r="CR124" s="36"/>
      <c r="CS124" s="36"/>
      <c r="CT124" s="36"/>
      <c r="CU124" s="36"/>
      <c r="CV124" s="36"/>
      <c r="CW124" s="35"/>
      <c r="CX124" s="35"/>
      <c r="CY124" s="35"/>
      <c r="CZ124" s="35"/>
      <c r="DA124" s="35"/>
      <c r="DB124" s="35"/>
      <c r="DC124" s="35"/>
      <c r="DD124" s="35"/>
      <c r="DE124" s="35"/>
      <c r="DF124" s="36"/>
      <c r="DG124" s="36"/>
      <c r="DH124" s="35">
        <v>-5.5E-2</v>
      </c>
      <c r="DI124" s="35"/>
      <c r="DJ124" s="35"/>
      <c r="DK124" s="35"/>
      <c r="DL124" s="35"/>
      <c r="DM124" s="35"/>
      <c r="DN124" s="35"/>
      <c r="DO124" s="35"/>
      <c r="DP124" s="35"/>
      <c r="DQ124" s="36"/>
      <c r="DR124" s="36"/>
      <c r="DS124" s="36"/>
      <c r="DT124" s="36"/>
      <c r="DU124" s="36"/>
      <c r="DV124" s="36"/>
      <c r="DW124" s="36"/>
      <c r="DX124" s="36"/>
      <c r="DY124" s="36"/>
      <c r="DZ124" s="36"/>
      <c r="EA124" s="36"/>
      <c r="EB124" s="36"/>
      <c r="EC124" s="36"/>
      <c r="ED124" s="35"/>
      <c r="EE124" s="36"/>
      <c r="EF124" s="36"/>
      <c r="EG124" s="35"/>
      <c r="EH124" s="36"/>
      <c r="EI124" s="36"/>
      <c r="EJ124" s="35"/>
      <c r="EK124" s="36"/>
      <c r="EL124" s="36"/>
      <c r="EM124" s="35"/>
      <c r="EN124" s="36"/>
      <c r="EO124" s="36"/>
      <c r="EP124" s="35"/>
      <c r="EQ124" s="36"/>
      <c r="ER124" s="36"/>
      <c r="ES124" s="36"/>
      <c r="ET124" s="36"/>
      <c r="EU124" s="36"/>
      <c r="EV124" s="36"/>
      <c r="EW124" s="35">
        <v>-9.4</v>
      </c>
      <c r="EX124" s="377">
        <f>0.26/7.5</f>
        <v>3.4666666666666665E-2</v>
      </c>
      <c r="EY124" s="203">
        <f>9.4-(EX124*19)</f>
        <v>8.7413333333333334</v>
      </c>
      <c r="EZ124" s="35"/>
      <c r="FA124" s="36"/>
      <c r="FB124" s="36"/>
      <c r="FC124" s="36"/>
      <c r="FD124" s="36"/>
      <c r="FE124" s="36"/>
      <c r="FF124" s="36"/>
      <c r="FG124" s="36"/>
      <c r="FH124" s="36"/>
      <c r="FI124" s="36"/>
      <c r="FJ124" s="36"/>
      <c r="FK124" s="36"/>
      <c r="FL124" s="36"/>
      <c r="FM124" s="36"/>
      <c r="FN124" s="36"/>
      <c r="FO124" s="36"/>
      <c r="FP124" s="36"/>
      <c r="FQ124" s="36"/>
      <c r="FR124" s="36"/>
      <c r="FS124" s="36"/>
      <c r="FT124" s="36"/>
      <c r="FU124" s="36"/>
      <c r="FV124" s="36"/>
      <c r="FW124" s="36"/>
      <c r="FX124" s="36"/>
      <c r="FY124" s="36"/>
      <c r="FZ124" s="36"/>
      <c r="GA124" s="36"/>
      <c r="GB124" s="319"/>
      <c r="GC124" s="179">
        <f t="shared" si="28"/>
        <v>0</v>
      </c>
      <c r="GD124" s="179">
        <f t="shared" si="29"/>
        <v>0</v>
      </c>
      <c r="GE124" s="179">
        <f t="shared" si="30"/>
        <v>-0.20200000000000001</v>
      </c>
      <c r="GF124" s="179">
        <f t="shared" si="31"/>
        <v>0</v>
      </c>
      <c r="GG124" s="179">
        <f t="shared" si="21"/>
        <v>0</v>
      </c>
    </row>
    <row r="125" spans="1:189" x14ac:dyDescent="0.35">
      <c r="A125" s="6" t="s">
        <v>975</v>
      </c>
      <c r="B125" s="6" t="str">
        <f>IF(Technologies!B125&lt;&gt;0,Technologies!B125,"")</f>
        <v>Industrie</v>
      </c>
      <c r="C125" s="6" t="str">
        <f>VLOOKUP($A125,Technologies!$A$7:$H$576,3,FALSE)</f>
        <v>Final</v>
      </c>
      <c r="D125" s="6" t="str">
        <f>VLOOKUP($A125,Technologies!$A$7:$H$576,4,FALSE)</f>
        <v>Industry</v>
      </c>
      <c r="E125" s="6" t="str">
        <f>VLOOKUP($A125,Technologies!$A$7:$H$576,6,FALSE)</f>
        <v>Waste Management</v>
      </c>
      <c r="F125" s="48" t="str">
        <f>VLOOKUP($A125,Technologies!$A$7:$H$576,7,FALSE)</f>
        <v>Improved waste collection &amp; sorting</v>
      </c>
      <c r="G125" s="22"/>
      <c r="H125" s="22"/>
      <c r="I125" s="103" cm="1">
        <f t="array" ref="I125">-SUMPRODUCT((Feedstocks!$C$4:$C$141=A125)*Feedstocks!$E$4:$E$141,Feedstocks!$F$4:$F$141,Feedstocks!$H$4:$H$141,Feedstocks!$I$4:$I$141)</f>
        <v>0</v>
      </c>
      <c r="J125" s="103" cm="1">
        <f t="array" ref="J125">-SUMPRODUCT((Feedstocks!$C$4:$C$141=A125)*Feedstocks!$E$4:$E$141,Feedstocks!$H$4:$H$141,Feedstocks!$I$4:$I$141)</f>
        <v>0</v>
      </c>
      <c r="K125" s="103"/>
      <c r="L125" s="103"/>
      <c r="M125" s="22"/>
      <c r="N125" s="22" t="str">
        <f>VLOOKUP(E125,Activities!$A$9:$M$227,13,FALSE)</f>
        <v>NL</v>
      </c>
      <c r="O125" s="22"/>
      <c r="P125" s="80" t="s">
        <v>1817</v>
      </c>
      <c r="Q125" s="36"/>
      <c r="R125" s="36"/>
      <c r="S125" s="36"/>
      <c r="T125" s="36"/>
      <c r="U125" s="36"/>
      <c r="V125" s="36"/>
      <c r="W125" s="36"/>
      <c r="X125" s="36"/>
      <c r="Y125" s="36"/>
      <c r="Z125" s="36"/>
      <c r="AA125" s="36"/>
      <c r="AB125" s="36"/>
      <c r="AC125" s="36"/>
      <c r="AD125" s="36"/>
      <c r="AE125" s="36"/>
      <c r="AF125" s="36"/>
      <c r="AG125" s="36"/>
      <c r="AH125" s="36"/>
      <c r="AI125" s="36"/>
      <c r="AJ125" s="36"/>
      <c r="AK125" s="36"/>
      <c r="AL125" s="36"/>
      <c r="AM125" s="36"/>
      <c r="AN125" s="36"/>
      <c r="AO125" s="36"/>
      <c r="AP125" s="36"/>
      <c r="AQ125" s="36"/>
      <c r="AR125" s="36"/>
      <c r="AS125" s="36"/>
      <c r="AT125" s="36"/>
      <c r="AU125" s="36"/>
      <c r="AV125" s="36"/>
      <c r="AW125" s="36"/>
      <c r="AX125" s="36"/>
      <c r="AY125" s="36"/>
      <c r="AZ125" s="36">
        <v>1</v>
      </c>
      <c r="BA125" s="36"/>
      <c r="BB125" s="36"/>
      <c r="BC125" s="36"/>
      <c r="BD125" s="36"/>
      <c r="BE125" s="36"/>
      <c r="BF125" s="36"/>
      <c r="BG125" s="36"/>
      <c r="BH125" s="36"/>
      <c r="BI125" s="36"/>
      <c r="BJ125" s="36"/>
      <c r="BK125" s="36"/>
      <c r="BL125" s="36"/>
      <c r="BM125" s="36"/>
      <c r="BN125" s="36"/>
      <c r="BO125" s="36"/>
      <c r="BP125" s="36"/>
      <c r="BQ125" s="36"/>
      <c r="BR125" s="36"/>
      <c r="BS125" s="36"/>
      <c r="BT125" s="36"/>
      <c r="BU125" s="36"/>
      <c r="BV125" s="36"/>
      <c r="BW125" s="36"/>
      <c r="BX125" s="36"/>
      <c r="BY125" s="36"/>
      <c r="BZ125" s="36"/>
      <c r="CA125" s="36"/>
      <c r="CB125" s="36"/>
      <c r="CC125" s="36"/>
      <c r="CD125" s="36"/>
      <c r="CE125" s="36"/>
      <c r="CF125" s="36"/>
      <c r="CG125" s="36"/>
      <c r="CH125" s="36"/>
      <c r="CI125" s="36"/>
      <c r="CJ125" s="36"/>
      <c r="CK125" s="36"/>
      <c r="CL125" s="36"/>
      <c r="CM125" s="36"/>
      <c r="CN125" s="36"/>
      <c r="CO125" s="36"/>
      <c r="CP125" s="36"/>
      <c r="CQ125" s="36"/>
      <c r="CR125" s="36"/>
      <c r="CS125" s="36"/>
      <c r="CT125" s="36"/>
      <c r="CU125" s="36"/>
      <c r="CV125" s="36"/>
      <c r="CW125" s="36"/>
      <c r="CX125" s="36"/>
      <c r="CY125" s="36"/>
      <c r="CZ125" s="36"/>
      <c r="DA125" s="36"/>
      <c r="DB125" s="36"/>
      <c r="DC125" s="36"/>
      <c r="DD125" s="36"/>
      <c r="DE125" s="36"/>
      <c r="DF125" s="36"/>
      <c r="DG125" s="36"/>
      <c r="DH125" s="36">
        <v>-0.10100000000000001</v>
      </c>
      <c r="DI125" s="36"/>
      <c r="DJ125" s="36"/>
      <c r="DK125" s="36"/>
      <c r="DL125" s="36"/>
      <c r="DM125" s="36"/>
      <c r="DN125" s="36"/>
      <c r="DO125" s="36"/>
      <c r="DP125" s="36"/>
      <c r="DQ125" s="36"/>
      <c r="DR125" s="36"/>
      <c r="DS125" s="36"/>
      <c r="DT125" s="36"/>
      <c r="DU125" s="36"/>
      <c r="DV125" s="36"/>
      <c r="DW125" s="36"/>
      <c r="DX125" s="36"/>
      <c r="DY125" s="36"/>
      <c r="DZ125" s="36"/>
      <c r="EA125" s="36"/>
      <c r="EB125" s="36"/>
      <c r="EC125" s="36"/>
      <c r="ED125" s="36"/>
      <c r="EE125" s="36"/>
      <c r="EF125" s="36"/>
      <c r="EG125" s="36"/>
      <c r="EH125" s="36"/>
      <c r="EI125" s="36"/>
      <c r="EJ125" s="36"/>
      <c r="EK125" s="36"/>
      <c r="EL125" s="36"/>
      <c r="EM125" s="36"/>
      <c r="EN125" s="36"/>
      <c r="EO125" s="36"/>
      <c r="EP125" s="36"/>
      <c r="EQ125" s="36"/>
      <c r="ER125" s="36"/>
      <c r="ES125" s="36"/>
      <c r="ET125" s="36"/>
      <c r="EU125" s="36"/>
      <c r="EV125" s="36"/>
      <c r="EW125" s="36">
        <v>-9.4</v>
      </c>
      <c r="EX125" s="378">
        <f>0.9/7.5</f>
        <v>0.12000000000000001</v>
      </c>
      <c r="EY125" s="203">
        <f>9.4-(EX125*19)</f>
        <v>7.12</v>
      </c>
      <c r="EZ125" s="36"/>
      <c r="FA125" s="36"/>
      <c r="FB125" s="36"/>
      <c r="FC125" s="36"/>
      <c r="FD125" s="36"/>
      <c r="FE125" s="36"/>
      <c r="FF125" s="36"/>
      <c r="FG125" s="36"/>
      <c r="FH125" s="36"/>
      <c r="FI125" s="36"/>
      <c r="FJ125" s="36"/>
      <c r="FK125" s="36"/>
      <c r="FL125" s="36"/>
      <c r="FM125" s="36"/>
      <c r="FN125" s="36"/>
      <c r="FO125" s="36"/>
      <c r="FP125" s="36"/>
      <c r="FQ125" s="36"/>
      <c r="FR125" s="36"/>
      <c r="FS125" s="36"/>
      <c r="FT125" s="36"/>
      <c r="FU125" s="36"/>
      <c r="FV125" s="36"/>
      <c r="FW125" s="36"/>
      <c r="FX125" s="36"/>
      <c r="FY125" s="36"/>
      <c r="FZ125" s="36"/>
      <c r="GA125" s="36"/>
      <c r="GB125" s="319"/>
      <c r="GC125" s="179">
        <f t="shared" si="28"/>
        <v>0</v>
      </c>
      <c r="GD125" s="179">
        <f t="shared" si="29"/>
        <v>0</v>
      </c>
      <c r="GE125" s="179">
        <f t="shared" si="30"/>
        <v>-0.30049999999999999</v>
      </c>
      <c r="GF125" s="179">
        <f t="shared" si="31"/>
        <v>0</v>
      </c>
      <c r="GG125" s="179">
        <f t="shared" si="21"/>
        <v>0</v>
      </c>
    </row>
    <row r="126" spans="1:189" x14ac:dyDescent="0.35">
      <c r="A126" s="6" t="s">
        <v>977</v>
      </c>
      <c r="B126" s="6" t="str">
        <f>IF(Technologies!B126&lt;&gt;0,Technologies!B126,"")</f>
        <v>Industrie</v>
      </c>
      <c r="C126" s="6" t="str">
        <f>VLOOKUP($A126,Technologies!$A$7:$H$576,3,FALSE)</f>
        <v>Conversion</v>
      </c>
      <c r="D126" s="6" t="str">
        <f>VLOOKUP($A126,Technologies!$A$7:$H$576,4,FALSE)</f>
        <v>Industry</v>
      </c>
      <c r="E126" s="6" t="str">
        <f>VLOOKUP($A126,Technologies!$A$7:$H$576,6,FALSE)</f>
        <v>Mixed Plastic Waste</v>
      </c>
      <c r="F126" s="48" t="str">
        <f>VLOOKUP($A126,Technologies!$A$7:$H$576,7,FALSE)</f>
        <v>Sorting of plastic waste streams into categories</v>
      </c>
      <c r="G126" s="22"/>
      <c r="H126" s="22"/>
      <c r="I126" s="104" cm="1">
        <f t="array" ref="I126">-SUMPRODUCT((Feedstocks!$C$4:$C$141=A126)*Feedstocks!$E$4:$E$141,Feedstocks!$F$4:$F$141,Feedstocks!$H$4:$H$141,Feedstocks!$I$4:$I$141)</f>
        <v>2.2164999999999999</v>
      </c>
      <c r="J126" s="104" cm="1">
        <f t="array" ref="J126">-SUMPRODUCT((Feedstocks!$C$4:$C$141=A126)*Feedstocks!$E$4:$E$141,Feedstocks!$H$4:$H$141,Feedstocks!$I$4:$I$141)</f>
        <v>2.3833333333333333</v>
      </c>
      <c r="K126" s="103"/>
      <c r="L126" s="103"/>
      <c r="M126" s="22"/>
      <c r="N126" s="22" t="str">
        <f>VLOOKUP(E126,Activities!$A$9:$M$227,13,FALSE)</f>
        <v>NL</v>
      </c>
      <c r="O126" s="22"/>
      <c r="P126" s="80" t="s">
        <v>1817</v>
      </c>
      <c r="Q126" s="36"/>
      <c r="R126" s="36"/>
      <c r="S126" s="36"/>
      <c r="T126" s="36"/>
      <c r="U126" s="36"/>
      <c r="V126" s="36"/>
      <c r="W126" s="36"/>
      <c r="X126" s="36"/>
      <c r="Y126" s="36"/>
      <c r="Z126" s="36"/>
      <c r="AA126" s="36"/>
      <c r="AB126" s="36"/>
      <c r="AC126" s="36"/>
      <c r="AD126" s="36"/>
      <c r="AE126" s="36"/>
      <c r="AF126" s="36"/>
      <c r="AG126" s="36"/>
      <c r="AH126" s="35"/>
      <c r="AI126" s="35"/>
      <c r="AJ126" s="35"/>
      <c r="AK126" s="35"/>
      <c r="AL126" s="35"/>
      <c r="AM126" s="35"/>
      <c r="AN126" s="36"/>
      <c r="AO126" s="36"/>
      <c r="AP126" s="36"/>
      <c r="AQ126" s="36"/>
      <c r="AR126" s="36"/>
      <c r="AS126" s="36"/>
      <c r="AT126" s="36"/>
      <c r="AU126" s="36"/>
      <c r="AV126" s="36"/>
      <c r="AW126" s="36"/>
      <c r="AX126" s="36"/>
      <c r="AY126" s="36"/>
      <c r="AZ126" s="36"/>
      <c r="BA126" s="36"/>
      <c r="BB126" s="36"/>
      <c r="BC126" s="36"/>
      <c r="BD126" s="36"/>
      <c r="BE126" s="36"/>
      <c r="BF126" s="36"/>
      <c r="BG126" s="36"/>
      <c r="BH126" s="36"/>
      <c r="BI126" s="36"/>
      <c r="BJ126" s="36"/>
      <c r="BK126" s="36"/>
      <c r="BL126" s="36"/>
      <c r="BM126" s="36"/>
      <c r="BN126" s="36"/>
      <c r="BO126" s="36"/>
      <c r="BP126" s="36"/>
      <c r="BQ126" s="36"/>
      <c r="BR126" s="36"/>
      <c r="BS126" s="36"/>
      <c r="BT126" s="36"/>
      <c r="BU126" s="36"/>
      <c r="BV126" s="36"/>
      <c r="BW126" s="36"/>
      <c r="BX126" s="36"/>
      <c r="BY126" s="36"/>
      <c r="BZ126" s="36"/>
      <c r="CA126" s="36"/>
      <c r="CB126" s="36"/>
      <c r="CC126" s="36"/>
      <c r="CD126" s="36"/>
      <c r="CE126" s="36"/>
      <c r="CF126" s="36"/>
      <c r="CG126" s="36"/>
      <c r="CH126" s="36"/>
      <c r="CI126" s="36"/>
      <c r="CJ126" s="36"/>
      <c r="CK126" s="36"/>
      <c r="CL126" s="36"/>
      <c r="CM126" s="36"/>
      <c r="CN126" s="36"/>
      <c r="CO126" s="36"/>
      <c r="CP126" s="36"/>
      <c r="CQ126" s="36"/>
      <c r="CR126" s="36"/>
      <c r="CS126" s="36"/>
      <c r="CT126" s="36"/>
      <c r="CU126" s="36"/>
      <c r="CV126" s="36"/>
      <c r="CW126" s="35"/>
      <c r="CX126" s="35"/>
      <c r="CY126" s="35"/>
      <c r="CZ126" s="35"/>
      <c r="DA126" s="35"/>
      <c r="DB126" s="35">
        <f>0.283/2</f>
        <v>0.14149999999999999</v>
      </c>
      <c r="DC126" s="35">
        <f>0.283/2</f>
        <v>0.14149999999999999</v>
      </c>
      <c r="DD126" s="35">
        <f>0.185</f>
        <v>0.185</v>
      </c>
      <c r="DE126" s="35"/>
      <c r="DF126" s="36"/>
      <c r="DG126" s="36"/>
      <c r="DH126" s="35">
        <v>-5.8000000000000003E-2</v>
      </c>
      <c r="DI126" s="35"/>
      <c r="DJ126" s="35"/>
      <c r="DK126" s="35"/>
      <c r="DL126" s="35"/>
      <c r="DM126" s="35"/>
      <c r="DN126" s="35"/>
      <c r="DO126" s="35"/>
      <c r="DP126" s="35"/>
      <c r="DQ126" s="36"/>
      <c r="DR126" s="36"/>
      <c r="DS126" s="36"/>
      <c r="DT126" s="36"/>
      <c r="DU126" s="36"/>
      <c r="DV126" s="36"/>
      <c r="DW126" s="36"/>
      <c r="DX126" s="36"/>
      <c r="DY126" s="36"/>
      <c r="DZ126" s="36"/>
      <c r="EA126" s="36"/>
      <c r="EB126" s="36"/>
      <c r="EC126" s="36"/>
      <c r="ED126" s="35"/>
      <c r="EE126" s="36"/>
      <c r="EF126" s="36"/>
      <c r="EG126" s="35"/>
      <c r="EH126" s="36"/>
      <c r="EI126" s="36"/>
      <c r="EJ126" s="35"/>
      <c r="EK126" s="36"/>
      <c r="EL126" s="36"/>
      <c r="EM126" s="35"/>
      <c r="EN126" s="36"/>
      <c r="EO126" s="36"/>
      <c r="EP126" s="35"/>
      <c r="EQ126" s="36"/>
      <c r="ER126" s="36"/>
      <c r="ES126" s="36"/>
      <c r="ET126" s="36"/>
      <c r="EU126" s="36"/>
      <c r="EV126" s="36"/>
      <c r="EW126" s="35"/>
      <c r="EX126" s="35">
        <v>-1</v>
      </c>
      <c r="EY126" s="35"/>
      <c r="EZ126" s="35">
        <f>0.032*10.1+0.16*29+0.03*29+0.052*4+0.044*12.4+0.006*1.2+0.009*10.1</f>
        <v>6.6849000000000007</v>
      </c>
      <c r="FA126" s="36"/>
      <c r="FB126" s="36"/>
      <c r="FC126" s="36"/>
      <c r="FD126" s="36"/>
      <c r="FE126" s="36"/>
      <c r="FF126" s="36"/>
      <c r="FG126" s="36"/>
      <c r="FH126" s="36"/>
      <c r="FI126" s="36"/>
      <c r="FJ126" s="36"/>
      <c r="FK126" s="36"/>
      <c r="FL126" s="36"/>
      <c r="FM126" s="36"/>
      <c r="FN126" s="36"/>
      <c r="FO126" s="36"/>
      <c r="FP126" s="36"/>
      <c r="FQ126" s="36"/>
      <c r="FR126" s="36"/>
      <c r="FS126" s="36"/>
      <c r="FT126" s="36"/>
      <c r="FU126" s="36"/>
      <c r="FV126" s="36"/>
      <c r="FW126" s="36"/>
      <c r="FX126" s="36"/>
      <c r="FY126" s="36"/>
      <c r="FZ126" s="36"/>
      <c r="GA126" s="36"/>
      <c r="GB126" s="319"/>
      <c r="GC126" s="179">
        <f t="shared" si="28"/>
        <v>0</v>
      </c>
      <c r="GD126" s="179">
        <f t="shared" si="29"/>
        <v>0</v>
      </c>
      <c r="GE126" s="179">
        <f t="shared" si="30"/>
        <v>-0.36209999999999998</v>
      </c>
      <c r="GF126" s="179">
        <f t="shared" si="31"/>
        <v>0</v>
      </c>
      <c r="GG126" s="179">
        <f t="shared" si="21"/>
        <v>2.2164999999999999</v>
      </c>
    </row>
    <row r="127" spans="1:189" x14ac:dyDescent="0.35">
      <c r="A127" s="6" t="s">
        <v>979</v>
      </c>
      <c r="B127" s="6" t="str">
        <f>IF(Technologies!B127&lt;&gt;0,Technologies!B127,"")</f>
        <v>Industrie</v>
      </c>
      <c r="C127" s="6" t="str">
        <f>VLOOKUP($A127,Technologies!$A$7:$H$576,3,FALSE)</f>
        <v>Conversion</v>
      </c>
      <c r="D127" s="6" t="str">
        <f>VLOOKUP($A127,Technologies!$A$7:$H$576,4,FALSE)</f>
        <v>Industry</v>
      </c>
      <c r="E127" s="6" t="str">
        <f>VLOOKUP($A127,Technologies!$A$7:$H$576,6,FALSE)</f>
        <v>Heat HT Industry</v>
      </c>
      <c r="F127" s="48" t="str">
        <f>VLOOKUP($A127,Technologies!$A$7:$H$576,7,FALSE)</f>
        <v>CHP Waste - Waste Management</v>
      </c>
      <c r="G127" s="22"/>
      <c r="H127" s="22"/>
      <c r="I127" s="103" cm="1">
        <f t="array" ref="I127">-SUMPRODUCT((Feedstocks!$C$4:$C$141=A127)*Feedstocks!$E$4:$E$141,Feedstocks!$F$4:$F$141,Feedstocks!$H$4:$H$141,Feedstocks!$I$4:$I$141)</f>
        <v>0</v>
      </c>
      <c r="J127" s="103" cm="1">
        <f t="array" ref="J127">-SUMPRODUCT((Feedstocks!$C$4:$C$141=A127)*Feedstocks!$E$4:$E$141,Feedstocks!$H$4:$H$141,Feedstocks!$I$4:$I$141)</f>
        <v>0</v>
      </c>
      <c r="K127" s="103"/>
      <c r="L127" s="103"/>
      <c r="M127" s="22">
        <v>1</v>
      </c>
      <c r="N127" s="22" t="str">
        <f>VLOOKUP(E127,Activities!$A$9:$M$227,13,FALSE)</f>
        <v>NL</v>
      </c>
      <c r="O127" s="22"/>
      <c r="P127" s="80" t="s">
        <v>1818</v>
      </c>
      <c r="Q127" s="36"/>
      <c r="R127" s="36"/>
      <c r="S127" s="36"/>
      <c r="T127" s="36"/>
      <c r="U127" s="36"/>
      <c r="V127" s="36"/>
      <c r="W127" s="36"/>
      <c r="X127" s="36"/>
      <c r="Y127" s="36"/>
      <c r="Z127" s="36"/>
      <c r="AA127" s="36"/>
      <c r="AB127" s="36"/>
      <c r="AC127" s="36"/>
      <c r="AD127" s="36"/>
      <c r="AE127" s="36"/>
      <c r="AF127" s="36"/>
      <c r="AG127" s="36"/>
      <c r="AH127" s="36"/>
      <c r="AI127" s="36"/>
      <c r="AJ127" s="36"/>
      <c r="AK127" s="36"/>
      <c r="AL127" s="36"/>
      <c r="AM127" s="36"/>
      <c r="AN127" s="36"/>
      <c r="AO127" s="36"/>
      <c r="AP127" s="36"/>
      <c r="AQ127" s="36"/>
      <c r="AR127" s="36"/>
      <c r="AS127" s="36"/>
      <c r="AT127" s="36"/>
      <c r="AU127" s="36"/>
      <c r="AV127" s="36"/>
      <c r="AW127" s="36"/>
      <c r="AX127" s="36"/>
      <c r="AY127" s="36"/>
      <c r="AZ127" s="35"/>
      <c r="BA127" s="36"/>
      <c r="BB127" s="36"/>
      <c r="BC127" s="36"/>
      <c r="BD127" s="36"/>
      <c r="BE127" s="36"/>
      <c r="BF127" s="36"/>
      <c r="BG127" s="36"/>
      <c r="BH127" s="36"/>
      <c r="BI127" s="36"/>
      <c r="BJ127" s="36"/>
      <c r="BK127" s="36"/>
      <c r="BL127" s="36"/>
      <c r="BM127" s="36"/>
      <c r="BN127" s="36"/>
      <c r="BO127" s="36"/>
      <c r="BP127" s="36"/>
      <c r="BQ127" s="36"/>
      <c r="BR127" s="36"/>
      <c r="BS127" s="36"/>
      <c r="BT127" s="36"/>
      <c r="BU127" s="36"/>
      <c r="BV127" s="36"/>
      <c r="BW127" s="36"/>
      <c r="BX127" s="36"/>
      <c r="BY127" s="36"/>
      <c r="BZ127" s="36"/>
      <c r="CA127" s="36"/>
      <c r="CB127" s="36"/>
      <c r="CC127" s="36"/>
      <c r="CD127" s="36"/>
      <c r="CE127" s="36"/>
      <c r="CF127" s="36"/>
      <c r="CG127" s="36"/>
      <c r="CH127" s="36"/>
      <c r="CI127" s="36"/>
      <c r="CJ127" s="36"/>
      <c r="CK127" s="36"/>
      <c r="CL127" s="36"/>
      <c r="CM127" s="36"/>
      <c r="CN127" s="36"/>
      <c r="CO127" s="36"/>
      <c r="CP127" s="36"/>
      <c r="CQ127" s="36"/>
      <c r="CR127" s="36"/>
      <c r="CS127" s="36"/>
      <c r="CT127" s="36"/>
      <c r="CU127" s="36"/>
      <c r="CV127" s="36"/>
      <c r="CW127" s="36"/>
      <c r="CX127" s="36"/>
      <c r="CY127" s="36"/>
      <c r="CZ127" s="36"/>
      <c r="DA127" s="36"/>
      <c r="DB127" s="36"/>
      <c r="DC127" s="36"/>
      <c r="DD127" s="36"/>
      <c r="DE127" s="36"/>
      <c r="DF127" s="36"/>
      <c r="DG127" s="36"/>
      <c r="DH127" s="36">
        <f>12115/14903</f>
        <v>0.81292357243508018</v>
      </c>
      <c r="DI127" s="36"/>
      <c r="DJ127" s="36"/>
      <c r="DK127" s="36"/>
      <c r="DL127" s="36"/>
      <c r="DM127" s="36"/>
      <c r="DN127" s="36"/>
      <c r="DO127" s="36">
        <v>1</v>
      </c>
      <c r="DP127" s="36"/>
      <c r="DQ127" s="36"/>
      <c r="DR127" s="36"/>
      <c r="DS127" s="36"/>
      <c r="DT127" s="36"/>
      <c r="DU127" s="36"/>
      <c r="DV127" s="36"/>
      <c r="DW127" s="36"/>
      <c r="DX127" s="36"/>
      <c r="DY127" s="36"/>
      <c r="DZ127" s="36"/>
      <c r="EA127" s="36"/>
      <c r="EB127" s="36"/>
      <c r="EC127" s="36"/>
      <c r="ED127" s="36"/>
      <c r="EE127" s="36"/>
      <c r="EF127" s="36"/>
      <c r="EG127" s="36"/>
      <c r="EH127" s="36"/>
      <c r="EI127" s="36"/>
      <c r="EJ127" s="36">
        <v>-0.35</v>
      </c>
      <c r="EK127" s="36"/>
      <c r="EL127" s="36"/>
      <c r="EM127" s="36"/>
      <c r="EN127" s="36"/>
      <c r="EO127" s="36"/>
      <c r="EP127" s="36"/>
      <c r="EQ127" s="36"/>
      <c r="ER127" s="36"/>
      <c r="ES127" s="36"/>
      <c r="ET127" s="36"/>
      <c r="EU127" s="36"/>
      <c r="EV127" s="36"/>
      <c r="EW127" s="36"/>
      <c r="EX127" s="36"/>
      <c r="EY127" s="36">
        <v>-5.55</v>
      </c>
      <c r="EZ127" s="36"/>
      <c r="FA127" s="36"/>
      <c r="FB127" s="36"/>
      <c r="FC127" s="36"/>
      <c r="FD127" s="36"/>
      <c r="FE127" s="36"/>
      <c r="FF127" s="36"/>
      <c r="FG127" s="36"/>
      <c r="FH127" s="36"/>
      <c r="FI127" s="36"/>
      <c r="FJ127" s="36"/>
      <c r="FK127" s="36"/>
      <c r="FL127" s="36"/>
      <c r="FM127" s="36"/>
      <c r="FN127" s="36"/>
      <c r="FO127" s="36"/>
      <c r="FP127" s="36"/>
      <c r="FQ127" s="36"/>
      <c r="FR127" s="36"/>
      <c r="FS127" s="36"/>
      <c r="FT127" s="36"/>
      <c r="FU127" s="36"/>
      <c r="FV127" s="36"/>
      <c r="FW127" s="36"/>
      <c r="FX127" s="36"/>
      <c r="FY127" s="36"/>
      <c r="FZ127" s="36"/>
      <c r="GA127" s="36"/>
      <c r="GB127" s="319"/>
      <c r="GC127" s="179">
        <f t="shared" si="28"/>
        <v>0</v>
      </c>
      <c r="GD127" s="179">
        <f t="shared" si="29"/>
        <v>0.33</v>
      </c>
      <c r="GE127" s="179">
        <f t="shared" si="30"/>
        <v>0</v>
      </c>
      <c r="GF127" s="179">
        <f t="shared" si="31"/>
        <v>0</v>
      </c>
      <c r="GG127" s="179">
        <f t="shared" si="21"/>
        <v>0</v>
      </c>
    </row>
    <row r="128" spans="1:189" x14ac:dyDescent="0.35">
      <c r="A128" s="5" t="s">
        <v>983</v>
      </c>
      <c r="B128" s="6" t="str">
        <f>IF(Technologies!B128&lt;&gt;0,Technologies!B128,"")</f>
        <v>Industrie</v>
      </c>
      <c r="C128" s="6" t="str">
        <f>VLOOKUP($A128,Technologies!$A$7:$H$576,3,FALSE)</f>
        <v>Conversion</v>
      </c>
      <c r="D128" s="6" t="str">
        <f>VLOOKUP($A128,Technologies!$A$7:$H$576,4,FALSE)</f>
        <v>Industry</v>
      </c>
      <c r="E128" s="6" t="str">
        <f>VLOOKUP($A128,Technologies!$A$7:$H$576,6,FALSE)</f>
        <v>Heat HT Industry</v>
      </c>
      <c r="F128" s="48" t="str">
        <f>VLOOKUP($A128,Technologies!$A$7:$H$576,7,FALSE)</f>
        <v>CHP Waste wCCS - Waste Management</v>
      </c>
      <c r="G128" s="23">
        <v>0.8</v>
      </c>
      <c r="H128" s="23"/>
      <c r="I128" s="104" cm="1">
        <f t="array" ref="I128">-SUMPRODUCT((Feedstocks!$C$4:$C$141=A128)*Feedstocks!$E$4:$E$141,Feedstocks!$F$4:$F$141,Feedstocks!$H$4:$H$141,Feedstocks!$I$4:$I$141)</f>
        <v>0</v>
      </c>
      <c r="J128" s="104" cm="1">
        <f t="array" ref="J128">-SUMPRODUCT((Feedstocks!$C$4:$C$141=A128)*Feedstocks!$E$4:$E$141,Feedstocks!$H$4:$H$141,Feedstocks!$I$4:$I$141)</f>
        <v>0</v>
      </c>
      <c r="K128" s="104"/>
      <c r="L128" s="104"/>
      <c r="M128" s="23">
        <v>1</v>
      </c>
      <c r="N128" s="22" t="str">
        <f>VLOOKUP(E128,Activities!$A$9:$M$227,13,FALSE)</f>
        <v>NL</v>
      </c>
      <c r="O128" s="23"/>
      <c r="P128" s="79" t="s">
        <v>1819</v>
      </c>
      <c r="Q128" s="35"/>
      <c r="R128" s="35"/>
      <c r="S128" s="35"/>
      <c r="T128" s="35"/>
      <c r="U128" s="35"/>
      <c r="V128" s="35"/>
      <c r="W128" s="35"/>
      <c r="X128" s="35"/>
      <c r="Y128" s="35"/>
      <c r="Z128" s="35"/>
      <c r="AA128" s="35"/>
      <c r="AB128" s="35"/>
      <c r="AC128" s="35"/>
      <c r="AD128" s="35"/>
      <c r="AE128" s="35"/>
      <c r="AF128" s="35"/>
      <c r="AG128" s="35"/>
      <c r="AH128" s="35"/>
      <c r="AI128" s="35"/>
      <c r="AJ128" s="35"/>
      <c r="AK128" s="35"/>
      <c r="AL128" s="35"/>
      <c r="AM128" s="35"/>
      <c r="AN128" s="35"/>
      <c r="AO128" s="35"/>
      <c r="AP128" s="35"/>
      <c r="AQ128" s="35"/>
      <c r="AR128" s="35"/>
      <c r="AS128" s="35"/>
      <c r="AT128" s="35"/>
      <c r="AU128" s="35"/>
      <c r="AV128" s="35"/>
      <c r="AW128" s="35"/>
      <c r="AX128" s="35"/>
      <c r="AY128" s="35"/>
      <c r="AZ128" s="36"/>
      <c r="BA128" s="35"/>
      <c r="BB128" s="35"/>
      <c r="BC128" s="35"/>
      <c r="BD128" s="35"/>
      <c r="BE128" s="35"/>
      <c r="BF128" s="35"/>
      <c r="BG128" s="35"/>
      <c r="BH128" s="35"/>
      <c r="BI128" s="35"/>
      <c r="BJ128" s="35"/>
      <c r="BK128" s="35"/>
      <c r="BL128" s="35"/>
      <c r="BM128" s="35"/>
      <c r="BN128" s="35"/>
      <c r="BO128" s="35"/>
      <c r="BP128" s="35"/>
      <c r="BQ128" s="35"/>
      <c r="BR128" s="35"/>
      <c r="BS128" s="35"/>
      <c r="BT128" s="35"/>
      <c r="BU128" s="35"/>
      <c r="BV128" s="35"/>
      <c r="BW128" s="35"/>
      <c r="BX128" s="35"/>
      <c r="BY128" s="35"/>
      <c r="BZ128" s="35"/>
      <c r="CA128" s="35"/>
      <c r="CB128" s="35"/>
      <c r="CC128" s="35"/>
      <c r="CD128" s="35"/>
      <c r="CE128" s="35"/>
      <c r="CF128" s="35"/>
      <c r="CG128" s="35"/>
      <c r="CH128" s="35"/>
      <c r="CI128" s="35"/>
      <c r="CJ128" s="35"/>
      <c r="CK128" s="35"/>
      <c r="CL128" s="35"/>
      <c r="CM128" s="35"/>
      <c r="CN128" s="35"/>
      <c r="CO128" s="35"/>
      <c r="CP128" s="35"/>
      <c r="CQ128" s="35"/>
      <c r="CR128" s="35"/>
      <c r="CS128" s="35"/>
      <c r="CT128" s="35"/>
      <c r="CU128" s="35"/>
      <c r="CV128" s="35"/>
      <c r="CW128" s="35"/>
      <c r="CX128" s="35"/>
      <c r="CY128" s="35"/>
      <c r="CZ128" s="35"/>
      <c r="DA128" s="35"/>
      <c r="DB128" s="35"/>
      <c r="DC128" s="35"/>
      <c r="DD128" s="35"/>
      <c r="DE128" s="35"/>
      <c r="DF128" s="35"/>
      <c r="DG128" s="35"/>
      <c r="DH128" s="35">
        <f>(DH127+(175*0.0036*-GB127*G128))/(1+(1028*0.0036*-GB127*G128))</f>
        <v>0.81292357243508018</v>
      </c>
      <c r="DI128" s="35"/>
      <c r="DJ128" s="35"/>
      <c r="DK128" s="35"/>
      <c r="DL128" s="35"/>
      <c r="DM128" s="35"/>
      <c r="DN128" s="35"/>
      <c r="DO128" s="35">
        <f>(1+(1028*0.0036*-GB127*G128))/(1+(1028*0.0036*-GB127*G128))</f>
        <v>1</v>
      </c>
      <c r="DP128" s="35"/>
      <c r="DQ128" s="35"/>
      <c r="DR128" s="35"/>
      <c r="DS128" s="35"/>
      <c r="DT128" s="35"/>
      <c r="DU128" s="35"/>
      <c r="DV128" s="35"/>
      <c r="DW128" s="35"/>
      <c r="DX128" s="35"/>
      <c r="DY128" s="35"/>
      <c r="DZ128" s="35"/>
      <c r="EA128" s="35"/>
      <c r="EB128" s="35"/>
      <c r="EC128" s="35"/>
      <c r="ED128" s="35"/>
      <c r="EE128" s="35"/>
      <c r="EF128" s="35"/>
      <c r="EG128" s="35"/>
      <c r="EH128" s="35"/>
      <c r="EI128" s="35"/>
      <c r="EJ128" s="35">
        <f>-0.35/0.9</f>
        <v>-0.38888888888888884</v>
      </c>
      <c r="EK128" s="35"/>
      <c r="EL128" s="35"/>
      <c r="EM128" s="35"/>
      <c r="EN128" s="35"/>
      <c r="EO128" s="35"/>
      <c r="EP128" s="35"/>
      <c r="EQ128" s="35"/>
      <c r="ER128" s="35"/>
      <c r="ES128" s="35"/>
      <c r="ET128" s="35"/>
      <c r="EU128" s="35"/>
      <c r="EV128" s="35"/>
      <c r="EW128" s="35"/>
      <c r="EX128" s="35"/>
      <c r="EY128" s="35">
        <f>-5.55/(1+(1028*0.0036*-GD127*I128))</f>
        <v>-5.55</v>
      </c>
      <c r="EZ128" s="35"/>
      <c r="FA128" s="35"/>
      <c r="FB128" s="35"/>
      <c r="FC128" s="35"/>
      <c r="FD128" s="35"/>
      <c r="FE128" s="35"/>
      <c r="FF128" s="35"/>
      <c r="FG128" s="35"/>
      <c r="FH128" s="35"/>
      <c r="FI128" s="35"/>
      <c r="FJ128" s="35"/>
      <c r="FK128" s="35"/>
      <c r="FL128" s="35"/>
      <c r="FM128" s="35"/>
      <c r="FN128" s="35"/>
      <c r="FO128" s="35"/>
      <c r="FP128" s="35"/>
      <c r="FQ128" s="35"/>
      <c r="FR128" s="35"/>
      <c r="FS128" s="35"/>
      <c r="FT128" s="35"/>
      <c r="FU128" s="35"/>
      <c r="FV128" s="35"/>
      <c r="FW128" s="35"/>
      <c r="FX128" s="35"/>
      <c r="FY128" s="35"/>
      <c r="FZ128" s="35"/>
      <c r="GA128" s="35"/>
      <c r="GB128" s="318"/>
      <c r="GC128" s="179">
        <f t="shared" si="28"/>
        <v>0.4884</v>
      </c>
      <c r="GD128" s="179">
        <f t="shared" si="29"/>
        <v>-0.15620000000000001</v>
      </c>
      <c r="GE128" s="179">
        <f t="shared" si="30"/>
        <v>0</v>
      </c>
      <c r="GF128" s="179">
        <f t="shared" si="31"/>
        <v>0</v>
      </c>
      <c r="GG128" s="179">
        <f t="shared" si="21"/>
        <v>0</v>
      </c>
    </row>
    <row r="129" spans="1:189" x14ac:dyDescent="0.35">
      <c r="A129" s="5" t="s">
        <v>985</v>
      </c>
      <c r="B129" s="6" t="str">
        <f>IF(Technologies!B129&lt;&gt;0,Technologies!B129,"")</f>
        <v>Industrie</v>
      </c>
      <c r="C129" s="6" t="str">
        <f>VLOOKUP($A129,Technologies!$A$7:$H$576,3,FALSE)</f>
        <v>Conversion</v>
      </c>
      <c r="D129" s="6" t="str">
        <f>VLOOKUP($A129,Technologies!$A$7:$H$576,4,FALSE)</f>
        <v>Industry</v>
      </c>
      <c r="E129" s="6" t="str">
        <f>VLOOKUP($A129,Technologies!$A$7:$H$576,6,FALSE)</f>
        <v>Sorted PET</v>
      </c>
      <c r="F129" s="48" t="str">
        <f>VLOOKUP($A129,Technologies!$A$7:$H$576,7,FALSE)</f>
        <v>Mechanical recycling of PET</v>
      </c>
      <c r="G129" s="23"/>
      <c r="H129" s="23"/>
      <c r="I129" s="103" cm="1">
        <f t="array" ref="I129">-SUMPRODUCT((Feedstocks!$C$4:$C$141=A129)*Feedstocks!$E$4:$E$141,Feedstocks!$F$4:$F$141,Feedstocks!$H$4:$H$141,Feedstocks!$I$4:$I$141)</f>
        <v>0</v>
      </c>
      <c r="J129" s="103" cm="1">
        <f t="array" ref="J129">-SUMPRODUCT((Feedstocks!$C$4:$C$141=A129)*Feedstocks!$E$4:$E$141,Feedstocks!$H$4:$H$141,Feedstocks!$I$4:$I$141)</f>
        <v>0</v>
      </c>
      <c r="K129" s="104"/>
      <c r="L129" s="104"/>
      <c r="M129" s="23"/>
      <c r="N129" s="22" t="str">
        <f>VLOOKUP(E129,Activities!$A$9:$M$227,13,FALSE)</f>
        <v>NL</v>
      </c>
      <c r="O129" s="23"/>
      <c r="P129" s="79"/>
      <c r="Q129" s="35"/>
      <c r="R129" s="35"/>
      <c r="S129" s="35"/>
      <c r="T129" s="35"/>
      <c r="U129" s="35"/>
      <c r="V129" s="35"/>
      <c r="W129" s="35"/>
      <c r="X129" s="35"/>
      <c r="Y129" s="35"/>
      <c r="Z129" s="35"/>
      <c r="AA129" s="35"/>
      <c r="AB129" s="35"/>
      <c r="AC129" s="35"/>
      <c r="AD129" s="35"/>
      <c r="AE129" s="35"/>
      <c r="AF129" s="35"/>
      <c r="AG129" s="35"/>
      <c r="AH129" s="36"/>
      <c r="AI129" s="36"/>
      <c r="AJ129" s="36"/>
      <c r="AK129" s="36"/>
      <c r="AL129" s="36"/>
      <c r="AM129" s="36"/>
      <c r="AN129" s="35"/>
      <c r="AO129" s="35"/>
      <c r="AP129" s="35"/>
      <c r="AQ129" s="35"/>
      <c r="AR129" s="35"/>
      <c r="AS129" s="35"/>
      <c r="AT129" s="35"/>
      <c r="AU129" s="35"/>
      <c r="AV129" s="35"/>
      <c r="AW129" s="35"/>
      <c r="AX129" s="35"/>
      <c r="AY129" s="35"/>
      <c r="AZ129" s="35"/>
      <c r="BA129" s="35"/>
      <c r="BB129" s="35"/>
      <c r="BC129" s="35"/>
      <c r="BD129" s="35"/>
      <c r="BE129" s="35"/>
      <c r="BF129" s="35"/>
      <c r="BG129" s="35"/>
      <c r="BH129" s="35"/>
      <c r="BI129" s="35"/>
      <c r="BJ129" s="35"/>
      <c r="BK129" s="35"/>
      <c r="BL129" s="35"/>
      <c r="BM129" s="35"/>
      <c r="BN129" s="35"/>
      <c r="BO129" s="35"/>
      <c r="BP129" s="35"/>
      <c r="BQ129" s="35"/>
      <c r="BR129" s="35"/>
      <c r="BS129" s="35"/>
      <c r="BT129" s="35"/>
      <c r="BU129" s="35"/>
      <c r="BV129" s="35"/>
      <c r="BW129" s="35"/>
      <c r="BX129" s="35"/>
      <c r="BY129" s="35"/>
      <c r="BZ129" s="35"/>
      <c r="CA129" s="35"/>
      <c r="CB129" s="35"/>
      <c r="CC129" s="35"/>
      <c r="CD129" s="35"/>
      <c r="CE129" s="35"/>
      <c r="CF129" s="35"/>
      <c r="CG129" s="35"/>
      <c r="CH129" s="35"/>
      <c r="CI129" s="35"/>
      <c r="CJ129" s="35"/>
      <c r="CK129" s="35"/>
      <c r="CL129" s="35"/>
      <c r="CM129" s="35"/>
      <c r="CN129" s="35"/>
      <c r="CO129" s="35"/>
      <c r="CP129" s="35"/>
      <c r="CQ129" s="35"/>
      <c r="CR129" s="35"/>
      <c r="CS129" s="35"/>
      <c r="CT129" s="35"/>
      <c r="CU129" s="35"/>
      <c r="CV129" s="35"/>
      <c r="CW129" s="36">
        <v>1</v>
      </c>
      <c r="CX129" s="36"/>
      <c r="CY129" s="36"/>
      <c r="CZ129" s="36"/>
      <c r="DA129" s="36"/>
      <c r="DB129" s="36"/>
      <c r="DC129" s="36"/>
      <c r="DD129" s="36">
        <f>-1.5/1.5</f>
        <v>-1</v>
      </c>
      <c r="DE129" s="36"/>
      <c r="DF129" s="35"/>
      <c r="DG129" s="35"/>
      <c r="DH129" s="36">
        <f>-3.6/1.5</f>
        <v>-2.4</v>
      </c>
      <c r="DI129" s="36"/>
      <c r="DJ129" s="36"/>
      <c r="DK129" s="36"/>
      <c r="DL129" s="36"/>
      <c r="DM129" s="36"/>
      <c r="DN129" s="36"/>
      <c r="DO129" s="36"/>
      <c r="DP129" s="36"/>
      <c r="DQ129" s="35"/>
      <c r="DR129" s="35"/>
      <c r="DS129" s="35"/>
      <c r="DT129" s="35"/>
      <c r="DU129" s="35"/>
      <c r="DV129" s="35"/>
      <c r="DW129" s="35"/>
      <c r="DX129" s="35"/>
      <c r="DY129" s="35"/>
      <c r="DZ129" s="35"/>
      <c r="EA129" s="35"/>
      <c r="EB129" s="35"/>
      <c r="EC129" s="35"/>
      <c r="ED129" s="36"/>
      <c r="EE129" s="35"/>
      <c r="EF129" s="35"/>
      <c r="EG129" s="36"/>
      <c r="EH129" s="35"/>
      <c r="EI129" s="35"/>
      <c r="EJ129" s="36"/>
      <c r="EK129" s="35"/>
      <c r="EL129" s="35"/>
      <c r="EM129" s="36"/>
      <c r="EN129" s="35"/>
      <c r="EO129" s="35"/>
      <c r="EP129" s="36"/>
      <c r="EQ129" s="35"/>
      <c r="ER129" s="35"/>
      <c r="ES129" s="35"/>
      <c r="ET129" s="35"/>
      <c r="EU129" s="35"/>
      <c r="EV129" s="35"/>
      <c r="EW129" s="36"/>
      <c r="EX129" s="36"/>
      <c r="EY129" s="36"/>
      <c r="EZ129" s="36"/>
      <c r="FA129" s="35"/>
      <c r="FB129" s="35"/>
      <c r="FC129" s="35"/>
      <c r="FD129" s="35"/>
      <c r="FE129" s="35"/>
      <c r="FF129" s="35"/>
      <c r="FG129" s="35"/>
      <c r="FH129" s="35"/>
      <c r="FI129" s="35"/>
      <c r="FJ129" s="35"/>
      <c r="FK129" s="35"/>
      <c r="FL129" s="35"/>
      <c r="FM129" s="35"/>
      <c r="FN129" s="35"/>
      <c r="FO129" s="35"/>
      <c r="FP129" s="35"/>
      <c r="FQ129" s="35"/>
      <c r="FR129" s="35"/>
      <c r="FS129" s="35"/>
      <c r="FT129" s="35"/>
      <c r="FU129" s="35"/>
      <c r="FV129" s="35"/>
      <c r="FW129" s="35"/>
      <c r="FX129" s="35"/>
      <c r="FY129" s="35"/>
      <c r="FZ129" s="35"/>
      <c r="GA129" s="35"/>
      <c r="GB129" s="318"/>
      <c r="GC129" s="179">
        <f t="shared" si="28"/>
        <v>0</v>
      </c>
      <c r="GD129" s="179">
        <f t="shared" si="29"/>
        <v>0</v>
      </c>
      <c r="GE129" s="179">
        <f t="shared" si="30"/>
        <v>0</v>
      </c>
      <c r="GF129" s="179">
        <f t="shared" si="31"/>
        <v>0</v>
      </c>
      <c r="GG129" s="179">
        <f t="shared" si="21"/>
        <v>0</v>
      </c>
    </row>
    <row r="130" spans="1:189" x14ac:dyDescent="0.35">
      <c r="A130" s="5" t="s">
        <v>989</v>
      </c>
      <c r="B130" s="6" t="str">
        <f>IF(Technologies!B130&lt;&gt;0,Technologies!B130,"")</f>
        <v>Industrie</v>
      </c>
      <c r="C130" s="6" t="str">
        <f>VLOOKUP($A130,Technologies!$A$7:$H$576,3,FALSE)</f>
        <v>Final</v>
      </c>
      <c r="D130" s="6" t="str">
        <f>VLOOKUP($A130,Technologies!$A$7:$H$576,4,FALSE)</f>
        <v>Industry</v>
      </c>
      <c r="E130" s="6" t="str">
        <f>VLOOKUP($A130,Technologies!$A$7:$H$576,6,FALSE)</f>
        <v>Sorted polyethylene</v>
      </c>
      <c r="F130" s="48" t="str">
        <f>VLOOKUP($A130,Technologies!$A$7:$H$576,7,FALSE)</f>
        <v>Mechanical recycling of PE</v>
      </c>
      <c r="G130" s="23"/>
      <c r="H130" s="23"/>
      <c r="I130" s="104" cm="1">
        <f t="array" ref="I130">-SUMPRODUCT((Feedstocks!$C$4:$C$141=A130)*Feedstocks!$E$4:$E$141,Feedstocks!$F$4:$F$141,Feedstocks!$H$4:$H$141,Feedstocks!$I$4:$I$141)</f>
        <v>0</v>
      </c>
      <c r="J130" s="104" cm="1">
        <f t="array" ref="J130">-SUMPRODUCT((Feedstocks!$C$4:$C$141=A130)*Feedstocks!$E$4:$E$141,Feedstocks!$H$4:$H$141,Feedstocks!$I$4:$I$141)</f>
        <v>0</v>
      </c>
      <c r="K130" s="104"/>
      <c r="L130" s="104"/>
      <c r="M130" s="23"/>
      <c r="N130" s="22" t="str">
        <f>VLOOKUP(E130,Activities!$A$9:$M$227,13,FALSE)</f>
        <v>NL</v>
      </c>
      <c r="O130" s="23"/>
      <c r="P130" s="79"/>
      <c r="Q130" s="35"/>
      <c r="R130" s="35"/>
      <c r="S130" s="35"/>
      <c r="T130" s="35"/>
      <c r="U130" s="35"/>
      <c r="V130" s="35"/>
      <c r="W130" s="35"/>
      <c r="X130" s="35"/>
      <c r="Y130" s="35"/>
      <c r="Z130" s="35"/>
      <c r="AA130" s="35"/>
      <c r="AB130" s="35"/>
      <c r="AC130" s="35"/>
      <c r="AD130" s="35"/>
      <c r="AE130" s="35"/>
      <c r="AF130" s="35"/>
      <c r="AG130" s="35"/>
      <c r="AH130" s="35">
        <f>0.684210526315789*0.98</f>
        <v>0.6705263157894733</v>
      </c>
      <c r="AI130" s="35"/>
      <c r="AJ130" s="35">
        <f>0.315789473684211*0.98</f>
        <v>0.30947368421052679</v>
      </c>
      <c r="AK130" s="35"/>
      <c r="AL130" s="35"/>
      <c r="AM130" s="35"/>
      <c r="AN130" s="35"/>
      <c r="AO130" s="35"/>
      <c r="AP130" s="35"/>
      <c r="AQ130" s="35"/>
      <c r="AR130" s="35"/>
      <c r="AS130" s="35"/>
      <c r="AT130" s="35"/>
      <c r="AU130" s="35"/>
      <c r="AV130" s="35"/>
      <c r="AW130" s="35"/>
      <c r="AX130" s="35"/>
      <c r="AY130" s="35"/>
      <c r="AZ130" s="36"/>
      <c r="BA130" s="35"/>
      <c r="BB130" s="35"/>
      <c r="BC130" s="35"/>
      <c r="BD130" s="35"/>
      <c r="BE130" s="35"/>
      <c r="BF130" s="35"/>
      <c r="BG130" s="35"/>
      <c r="BH130" s="35"/>
      <c r="BI130" s="35"/>
      <c r="BJ130" s="35"/>
      <c r="BK130" s="35"/>
      <c r="BL130" s="35"/>
      <c r="BM130" s="35"/>
      <c r="BN130" s="35"/>
      <c r="BO130" s="35"/>
      <c r="BP130" s="35"/>
      <c r="BQ130" s="35"/>
      <c r="BR130" s="35"/>
      <c r="BS130" s="35"/>
      <c r="BT130" s="35"/>
      <c r="BU130" s="35"/>
      <c r="BV130" s="35"/>
      <c r="BW130" s="35"/>
      <c r="BX130" s="35"/>
      <c r="BY130" s="35"/>
      <c r="BZ130" s="35"/>
      <c r="CA130" s="35"/>
      <c r="CB130" s="35"/>
      <c r="CC130" s="35"/>
      <c r="CD130" s="35"/>
      <c r="CE130" s="35"/>
      <c r="CF130" s="35"/>
      <c r="CG130" s="35"/>
      <c r="CH130" s="35"/>
      <c r="CI130" s="35"/>
      <c r="CJ130" s="35"/>
      <c r="CK130" s="35"/>
      <c r="CL130" s="35"/>
      <c r="CM130" s="35"/>
      <c r="CN130" s="35"/>
      <c r="CO130" s="35"/>
      <c r="CP130" s="35"/>
      <c r="CQ130" s="35"/>
      <c r="CR130" s="35"/>
      <c r="CS130" s="35"/>
      <c r="CT130" s="35"/>
      <c r="CU130" s="35"/>
      <c r="CV130" s="35"/>
      <c r="CW130" s="35"/>
      <c r="CX130" s="35"/>
      <c r="CY130" s="35"/>
      <c r="CZ130" s="35"/>
      <c r="DA130" s="35"/>
      <c r="DB130" s="35">
        <f>-2.38/2.38</f>
        <v>-1</v>
      </c>
      <c r="DC130" s="35"/>
      <c r="DD130" s="35"/>
      <c r="DE130" s="35"/>
      <c r="DF130" s="35"/>
      <c r="DG130" s="35"/>
      <c r="DH130" s="35">
        <f>-4.6/2.38</f>
        <v>-1.9327731092436975</v>
      </c>
      <c r="DI130" s="35"/>
      <c r="DJ130" s="35"/>
      <c r="DK130" s="35"/>
      <c r="DL130" s="35"/>
      <c r="DM130" s="35"/>
      <c r="DN130" s="35"/>
      <c r="DO130" s="35"/>
      <c r="DP130" s="35"/>
      <c r="DQ130" s="35"/>
      <c r="DR130" s="35"/>
      <c r="DS130" s="35"/>
      <c r="DT130" s="35"/>
      <c r="DU130" s="35"/>
      <c r="DV130" s="35"/>
      <c r="DW130" s="35"/>
      <c r="DX130" s="35"/>
      <c r="DY130" s="35"/>
      <c r="DZ130" s="35"/>
      <c r="EA130" s="35"/>
      <c r="EB130" s="35"/>
      <c r="EC130" s="35"/>
      <c r="ED130" s="35"/>
      <c r="EE130" s="35"/>
      <c r="EF130" s="35"/>
      <c r="EG130" s="35"/>
      <c r="EH130" s="35"/>
      <c r="EI130" s="35"/>
      <c r="EJ130" s="35"/>
      <c r="EK130" s="35"/>
      <c r="EL130" s="35"/>
      <c r="EM130" s="35"/>
      <c r="EN130" s="35"/>
      <c r="EO130" s="35"/>
      <c r="EP130" s="35"/>
      <c r="EQ130" s="35"/>
      <c r="ER130" s="35"/>
      <c r="ES130" s="35"/>
      <c r="ET130" s="35"/>
      <c r="EU130" s="35"/>
      <c r="EV130" s="35"/>
      <c r="EW130" s="35"/>
      <c r="EX130" s="35"/>
      <c r="EY130" s="35"/>
      <c r="EZ130" s="35"/>
      <c r="FA130" s="35"/>
      <c r="FB130" s="35"/>
      <c r="FC130" s="35"/>
      <c r="FD130" s="35"/>
      <c r="FE130" s="35"/>
      <c r="FF130" s="35"/>
      <c r="FG130" s="35"/>
      <c r="FH130" s="35"/>
      <c r="FI130" s="35"/>
      <c r="FJ130" s="35"/>
      <c r="FK130" s="35"/>
      <c r="FL130" s="35"/>
      <c r="FM130" s="35"/>
      <c r="FN130" s="35"/>
      <c r="FO130" s="35"/>
      <c r="FP130" s="35"/>
      <c r="FQ130" s="35"/>
      <c r="FR130" s="35"/>
      <c r="FS130" s="35"/>
      <c r="FT130" s="35"/>
      <c r="FU130" s="35"/>
      <c r="FV130" s="35"/>
      <c r="FW130" s="35"/>
      <c r="FX130" s="35"/>
      <c r="FY130" s="35"/>
      <c r="FZ130" s="35"/>
      <c r="GA130" s="35"/>
      <c r="GB130" s="318"/>
      <c r="GC130" s="179">
        <f t="shared" si="28"/>
        <v>0</v>
      </c>
      <c r="GD130" s="179">
        <f t="shared" si="29"/>
        <v>0</v>
      </c>
      <c r="GE130" s="179">
        <f t="shared" si="30"/>
        <v>0</v>
      </c>
      <c r="GF130" s="179">
        <f t="shared" si="31"/>
        <v>0</v>
      </c>
      <c r="GG130" s="179">
        <f t="shared" si="21"/>
        <v>0</v>
      </c>
    </row>
    <row r="131" spans="1:189" x14ac:dyDescent="0.35">
      <c r="A131" s="5" t="s">
        <v>992</v>
      </c>
      <c r="B131" s="6" t="str">
        <f>IF(Technologies!B131&lt;&gt;0,Technologies!B131,"")</f>
        <v>Industrie</v>
      </c>
      <c r="C131" s="6" t="str">
        <f>VLOOKUP($A131,Technologies!$A$7:$H$576,3,FALSE)</f>
        <v>Final</v>
      </c>
      <c r="D131" s="6" t="str">
        <f>VLOOKUP($A131,Technologies!$A$7:$H$576,4,FALSE)</f>
        <v>Industry</v>
      </c>
      <c r="E131" s="6" t="str">
        <f>VLOOKUP($A131,Technologies!$A$7:$H$576,6,FALSE)</f>
        <v>Sorted polypropylene</v>
      </c>
      <c r="F131" s="48" t="str">
        <f>VLOOKUP($A131,Technologies!$A$7:$H$576,7,FALSE)</f>
        <v>Mechanical recycling of PP</v>
      </c>
      <c r="G131" s="23"/>
      <c r="H131" s="23"/>
      <c r="I131" s="104" cm="1">
        <f t="array" ref="I131">-SUMPRODUCT((Feedstocks!$C$4:$C$141=A131)*Feedstocks!$E$4:$E$141,Feedstocks!$F$4:$F$141,Feedstocks!$H$4:$H$141,Feedstocks!$I$4:$I$141)</f>
        <v>0</v>
      </c>
      <c r="J131" s="104" cm="1">
        <f t="array" ref="J131">-SUMPRODUCT((Feedstocks!$C$4:$C$141=A131)*Feedstocks!$E$4:$E$141,Feedstocks!$H$4:$H$141,Feedstocks!$I$4:$I$141)</f>
        <v>0</v>
      </c>
      <c r="K131" s="104"/>
      <c r="L131" s="104"/>
      <c r="M131" s="23"/>
      <c r="N131" s="22" t="str">
        <f>VLOOKUP(E131,Activities!$A$9:$M$227,13,FALSE)</f>
        <v>NL</v>
      </c>
      <c r="O131" s="23"/>
      <c r="P131" s="79"/>
      <c r="Q131" s="35"/>
      <c r="R131" s="35"/>
      <c r="S131" s="35"/>
      <c r="T131" s="35"/>
      <c r="U131" s="35"/>
      <c r="V131" s="35"/>
      <c r="W131" s="35"/>
      <c r="X131" s="35"/>
      <c r="Y131" s="35"/>
      <c r="Z131" s="35"/>
      <c r="AA131" s="35"/>
      <c r="AB131" s="35"/>
      <c r="AC131" s="35"/>
      <c r="AD131" s="35"/>
      <c r="AE131" s="35"/>
      <c r="AF131" s="35"/>
      <c r="AG131" s="35"/>
      <c r="AH131" s="36"/>
      <c r="AI131" s="36"/>
      <c r="AJ131" s="36"/>
      <c r="AK131" s="36">
        <v>0.98</v>
      </c>
      <c r="AL131" s="36"/>
      <c r="AM131" s="36"/>
      <c r="AN131" s="35"/>
      <c r="AO131" s="35"/>
      <c r="AP131" s="35"/>
      <c r="AQ131" s="35"/>
      <c r="AR131" s="35"/>
      <c r="AS131" s="35"/>
      <c r="AT131" s="35"/>
      <c r="AU131" s="35"/>
      <c r="AV131" s="35"/>
      <c r="AW131" s="35"/>
      <c r="AX131" s="35"/>
      <c r="AY131" s="35"/>
      <c r="AZ131" s="35"/>
      <c r="BA131" s="35"/>
      <c r="BB131" s="35"/>
      <c r="BC131" s="35"/>
      <c r="BD131" s="35"/>
      <c r="BE131" s="35"/>
      <c r="BF131" s="35"/>
      <c r="BG131" s="35"/>
      <c r="BH131" s="35"/>
      <c r="BI131" s="35"/>
      <c r="BJ131" s="35"/>
      <c r="BK131" s="35"/>
      <c r="BL131" s="35"/>
      <c r="BM131" s="35"/>
      <c r="BN131" s="35"/>
      <c r="BO131" s="35"/>
      <c r="BP131" s="35"/>
      <c r="BQ131" s="35"/>
      <c r="BR131" s="35"/>
      <c r="BS131" s="35"/>
      <c r="BT131" s="35"/>
      <c r="BU131" s="35"/>
      <c r="BV131" s="35"/>
      <c r="BW131" s="35"/>
      <c r="BX131" s="35"/>
      <c r="BY131" s="35"/>
      <c r="BZ131" s="35"/>
      <c r="CA131" s="35"/>
      <c r="CB131" s="35"/>
      <c r="CC131" s="35"/>
      <c r="CD131" s="35"/>
      <c r="CE131" s="35"/>
      <c r="CF131" s="35"/>
      <c r="CG131" s="35"/>
      <c r="CH131" s="35"/>
      <c r="CI131" s="35"/>
      <c r="CJ131" s="35"/>
      <c r="CK131" s="35"/>
      <c r="CL131" s="35"/>
      <c r="CM131" s="35"/>
      <c r="CN131" s="35"/>
      <c r="CO131" s="35"/>
      <c r="CP131" s="35"/>
      <c r="CQ131" s="35"/>
      <c r="CR131" s="35"/>
      <c r="CS131" s="35"/>
      <c r="CT131" s="35"/>
      <c r="CU131" s="35"/>
      <c r="CV131" s="35"/>
      <c r="CW131" s="36"/>
      <c r="CX131" s="36"/>
      <c r="CY131" s="36"/>
      <c r="CZ131" s="36"/>
      <c r="DA131" s="36"/>
      <c r="DB131" s="36"/>
      <c r="DC131" s="36">
        <f>-2.38/2.38</f>
        <v>-1</v>
      </c>
      <c r="DD131" s="36"/>
      <c r="DE131" s="36"/>
      <c r="DF131" s="35"/>
      <c r="DG131" s="35"/>
      <c r="DH131" s="36">
        <f>-4.6/2.38</f>
        <v>-1.9327731092436975</v>
      </c>
      <c r="DI131" s="36"/>
      <c r="DJ131" s="36"/>
      <c r="DK131" s="36"/>
      <c r="DL131" s="36"/>
      <c r="DM131" s="36"/>
      <c r="DN131" s="36"/>
      <c r="DO131" s="36"/>
      <c r="DP131" s="36"/>
      <c r="DQ131" s="35"/>
      <c r="DR131" s="35"/>
      <c r="DS131" s="35"/>
      <c r="DT131" s="35"/>
      <c r="DU131" s="35"/>
      <c r="DV131" s="35"/>
      <c r="DW131" s="35"/>
      <c r="DX131" s="35"/>
      <c r="DY131" s="35"/>
      <c r="DZ131" s="35"/>
      <c r="EA131" s="35"/>
      <c r="EB131" s="35"/>
      <c r="EC131" s="35"/>
      <c r="ED131" s="36"/>
      <c r="EE131" s="35"/>
      <c r="EF131" s="35"/>
      <c r="EG131" s="36"/>
      <c r="EH131" s="35"/>
      <c r="EI131" s="35"/>
      <c r="EJ131" s="36"/>
      <c r="EK131" s="35"/>
      <c r="EL131" s="35"/>
      <c r="EM131" s="36"/>
      <c r="EN131" s="35"/>
      <c r="EO131" s="35"/>
      <c r="EP131" s="36"/>
      <c r="EQ131" s="35"/>
      <c r="ER131" s="35"/>
      <c r="ES131" s="35"/>
      <c r="ET131" s="35"/>
      <c r="EU131" s="35"/>
      <c r="EV131" s="35"/>
      <c r="EW131" s="36"/>
      <c r="EX131" s="36"/>
      <c r="EY131" s="36"/>
      <c r="EZ131" s="36"/>
      <c r="FA131" s="35"/>
      <c r="FB131" s="35"/>
      <c r="FC131" s="35"/>
      <c r="FD131" s="35"/>
      <c r="FE131" s="35"/>
      <c r="FF131" s="35"/>
      <c r="FG131" s="35"/>
      <c r="FH131" s="35"/>
      <c r="FI131" s="35"/>
      <c r="FJ131" s="35"/>
      <c r="FK131" s="35"/>
      <c r="FL131" s="35"/>
      <c r="FM131" s="35"/>
      <c r="FN131" s="35"/>
      <c r="FO131" s="35"/>
      <c r="FP131" s="35"/>
      <c r="FQ131" s="35"/>
      <c r="FR131" s="35"/>
      <c r="FS131" s="35"/>
      <c r="FT131" s="35"/>
      <c r="FU131" s="35"/>
      <c r="FV131" s="35"/>
      <c r="FW131" s="35"/>
      <c r="FX131" s="35"/>
      <c r="FY131" s="35"/>
      <c r="FZ131" s="35"/>
      <c r="GA131" s="35"/>
      <c r="GB131" s="318"/>
      <c r="GC131" s="179">
        <f t="shared" si="28"/>
        <v>0</v>
      </c>
      <c r="GD131" s="179">
        <f t="shared" si="29"/>
        <v>0</v>
      </c>
      <c r="GE131" s="179">
        <f t="shared" si="30"/>
        <v>0</v>
      </c>
      <c r="GF131" s="179">
        <f t="shared" si="31"/>
        <v>0</v>
      </c>
      <c r="GG131" s="179">
        <f t="shared" si="21"/>
        <v>0</v>
      </c>
    </row>
    <row r="132" spans="1:189" x14ac:dyDescent="0.35">
      <c r="A132" s="5" t="s">
        <v>995</v>
      </c>
      <c r="B132" s="6" t="str">
        <f>IF(Technologies!B132&lt;&gt;0,Technologies!B132,"")</f>
        <v>Industrie</v>
      </c>
      <c r="C132" s="6" t="str">
        <f>VLOOKUP($A132,Technologies!$A$7:$H$576,3,FALSE)</f>
        <v>Final</v>
      </c>
      <c r="D132" s="6" t="str">
        <f>VLOOKUP($A132,Technologies!$A$7:$H$576,4,FALSE)</f>
        <v>Industry</v>
      </c>
      <c r="E132" s="6" t="str">
        <f>VLOOKUP($A132,Technologies!$A$7:$H$576,6,FALSE)</f>
        <v>Sorted PVC</v>
      </c>
      <c r="F132" s="48" t="str">
        <f>VLOOKUP($A132,Technologies!$A$7:$H$576,7,FALSE)</f>
        <v>Mechanical recycling of PVC</v>
      </c>
      <c r="G132" s="23"/>
      <c r="H132" s="23"/>
      <c r="I132" s="104" cm="1">
        <f t="array" ref="I132">-SUMPRODUCT((Feedstocks!$C$4:$C$141=A132)*Feedstocks!$E$4:$E$141,Feedstocks!$F$4:$F$141,Feedstocks!$H$4:$H$141,Feedstocks!$I$4:$I$141)</f>
        <v>0</v>
      </c>
      <c r="J132" s="104" cm="1">
        <f t="array" ref="J132">-SUMPRODUCT((Feedstocks!$C$4:$C$141=A132)*Feedstocks!$E$4:$E$141,Feedstocks!$H$4:$H$141,Feedstocks!$I$4:$I$141)</f>
        <v>0</v>
      </c>
      <c r="K132" s="104"/>
      <c r="L132" s="104"/>
      <c r="M132" s="23"/>
      <c r="N132" s="22" t="str">
        <f>VLOOKUP(E132,Activities!$A$9:$M$227,13,FALSE)</f>
        <v>NL</v>
      </c>
      <c r="O132" s="23"/>
      <c r="P132" s="79"/>
      <c r="Q132" s="35"/>
      <c r="R132" s="35"/>
      <c r="S132" s="35"/>
      <c r="T132" s="35"/>
      <c r="U132" s="35"/>
      <c r="V132" s="35"/>
      <c r="W132" s="35"/>
      <c r="X132" s="35"/>
      <c r="Y132" s="35"/>
      <c r="Z132" s="35"/>
      <c r="AA132" s="35"/>
      <c r="AB132" s="35"/>
      <c r="AC132" s="35"/>
      <c r="AD132" s="35"/>
      <c r="AE132" s="35"/>
      <c r="AF132" s="35"/>
      <c r="AG132" s="35"/>
      <c r="AH132" s="35"/>
      <c r="AI132" s="35"/>
      <c r="AJ132" s="35"/>
      <c r="AK132" s="35"/>
      <c r="AL132" s="35"/>
      <c r="AM132" s="35">
        <v>0.98</v>
      </c>
      <c r="AN132" s="35"/>
      <c r="AO132" s="35"/>
      <c r="AP132" s="35"/>
      <c r="AQ132" s="35"/>
      <c r="AR132" s="35"/>
      <c r="AS132" s="35"/>
      <c r="AT132" s="35"/>
      <c r="AU132" s="35"/>
      <c r="AV132" s="35"/>
      <c r="AW132" s="35"/>
      <c r="AX132" s="35"/>
      <c r="AY132" s="35"/>
      <c r="AZ132" s="36"/>
      <c r="BA132" s="35"/>
      <c r="BB132" s="35"/>
      <c r="BC132" s="35"/>
      <c r="BD132" s="35"/>
      <c r="BE132" s="35"/>
      <c r="BF132" s="35"/>
      <c r="BG132" s="35"/>
      <c r="BH132" s="35"/>
      <c r="BI132" s="35"/>
      <c r="BJ132" s="35"/>
      <c r="BK132" s="35"/>
      <c r="BL132" s="35"/>
      <c r="BM132" s="35"/>
      <c r="BN132" s="35"/>
      <c r="BO132" s="35"/>
      <c r="BP132" s="35"/>
      <c r="BQ132" s="35"/>
      <c r="BR132" s="35"/>
      <c r="BS132" s="35"/>
      <c r="BT132" s="35"/>
      <c r="BU132" s="35"/>
      <c r="BV132" s="35"/>
      <c r="BW132" s="35"/>
      <c r="BX132" s="35"/>
      <c r="BY132" s="35"/>
      <c r="BZ132" s="35"/>
      <c r="CA132" s="35"/>
      <c r="CB132" s="35"/>
      <c r="CC132" s="35"/>
      <c r="CD132" s="35"/>
      <c r="CE132" s="35"/>
      <c r="CF132" s="35"/>
      <c r="CG132" s="35"/>
      <c r="CH132" s="35"/>
      <c r="CI132" s="35"/>
      <c r="CJ132" s="35"/>
      <c r="CK132" s="35"/>
      <c r="CL132" s="35"/>
      <c r="CM132" s="35"/>
      <c r="CN132" s="35"/>
      <c r="CO132" s="35"/>
      <c r="CP132" s="35"/>
      <c r="CQ132" s="35"/>
      <c r="CR132" s="35"/>
      <c r="CS132" s="35"/>
      <c r="CT132" s="35"/>
      <c r="CU132" s="35"/>
      <c r="CV132" s="35"/>
      <c r="CW132" s="35"/>
      <c r="CX132" s="35"/>
      <c r="CY132" s="35"/>
      <c r="CZ132" s="35"/>
      <c r="DA132" s="35"/>
      <c r="DB132" s="35"/>
      <c r="DC132" s="35"/>
      <c r="DD132" s="35"/>
      <c r="DE132" s="35">
        <f>-2.38/2.38</f>
        <v>-1</v>
      </c>
      <c r="DF132" s="35"/>
      <c r="DG132" s="35"/>
      <c r="DH132" s="35">
        <f>-4.6/2.38</f>
        <v>-1.9327731092436975</v>
      </c>
      <c r="DI132" s="35"/>
      <c r="DJ132" s="35"/>
      <c r="DK132" s="35"/>
      <c r="DL132" s="35"/>
      <c r="DM132" s="35"/>
      <c r="DN132" s="35"/>
      <c r="DO132" s="35"/>
      <c r="DP132" s="35"/>
      <c r="DQ132" s="35"/>
      <c r="DR132" s="35"/>
      <c r="DS132" s="35"/>
      <c r="DT132" s="35"/>
      <c r="DU132" s="35"/>
      <c r="DV132" s="35"/>
      <c r="DW132" s="35"/>
      <c r="DX132" s="35"/>
      <c r="DY132" s="35"/>
      <c r="DZ132" s="35"/>
      <c r="EA132" s="35"/>
      <c r="EB132" s="35"/>
      <c r="EC132" s="35"/>
      <c r="ED132" s="35"/>
      <c r="EE132" s="35"/>
      <c r="EF132" s="35"/>
      <c r="EG132" s="35"/>
      <c r="EH132" s="35"/>
      <c r="EI132" s="35"/>
      <c r="EJ132" s="35"/>
      <c r="EK132" s="35"/>
      <c r="EL132" s="35"/>
      <c r="EM132" s="35"/>
      <c r="EN132" s="35"/>
      <c r="EO132" s="35"/>
      <c r="EP132" s="35"/>
      <c r="EQ132" s="35"/>
      <c r="ER132" s="35"/>
      <c r="ES132" s="35"/>
      <c r="ET132" s="35"/>
      <c r="EU132" s="35"/>
      <c r="EV132" s="35"/>
      <c r="EW132" s="35"/>
      <c r="EX132" s="35"/>
      <c r="EY132" s="35"/>
      <c r="EZ132" s="35"/>
      <c r="FA132" s="35"/>
      <c r="FB132" s="35"/>
      <c r="FC132" s="35"/>
      <c r="FD132" s="35"/>
      <c r="FE132" s="35"/>
      <c r="FF132" s="35"/>
      <c r="FG132" s="35"/>
      <c r="FH132" s="35"/>
      <c r="FI132" s="35"/>
      <c r="FJ132" s="35"/>
      <c r="FK132" s="35"/>
      <c r="FL132" s="35"/>
      <c r="FM132" s="35"/>
      <c r="FN132" s="35"/>
      <c r="FO132" s="35"/>
      <c r="FP132" s="35"/>
      <c r="FQ132" s="35"/>
      <c r="FR132" s="35"/>
      <c r="FS132" s="35"/>
      <c r="FT132" s="35"/>
      <c r="FU132" s="35"/>
      <c r="FV132" s="35"/>
      <c r="FW132" s="35"/>
      <c r="FX132" s="35"/>
      <c r="FY132" s="35"/>
      <c r="FZ132" s="35"/>
      <c r="GA132" s="35"/>
      <c r="GB132" s="318"/>
      <c r="GC132" s="179">
        <f t="shared" si="28"/>
        <v>0</v>
      </c>
      <c r="GD132" s="179">
        <f t="shared" si="29"/>
        <v>0</v>
      </c>
      <c r="GE132" s="179">
        <f t="shared" si="30"/>
        <v>0</v>
      </c>
      <c r="GF132" s="179">
        <f t="shared" si="31"/>
        <v>0</v>
      </c>
      <c r="GG132" s="179">
        <f t="shared" si="21"/>
        <v>0</v>
      </c>
    </row>
    <row r="133" spans="1:189" x14ac:dyDescent="0.35">
      <c r="A133" s="6" t="s">
        <v>998</v>
      </c>
      <c r="B133" s="6" t="str">
        <f>IF(Technologies!B133&lt;&gt;0,Technologies!B133,"")</f>
        <v>Industrie</v>
      </c>
      <c r="C133" s="6" t="str">
        <f>VLOOKUP($A133,Technologies!$A$7:$H$576,3,FALSE)</f>
        <v>Conversion</v>
      </c>
      <c r="D133" s="6" t="str">
        <f>VLOOKUP($A133,Technologies!$A$7:$H$576,4,FALSE)</f>
        <v>Industry</v>
      </c>
      <c r="E133" s="6" t="str">
        <f>VLOOKUP($A133,Technologies!$A$7:$H$576,6,FALSE)</f>
        <v>Syngas</v>
      </c>
      <c r="F133" s="48" t="str">
        <f>VLOOKUP($A133,Technologies!$A$7:$H$576,7,FALSE)</f>
        <v>Gasification of plastic waste to syngas - Waste Management</v>
      </c>
      <c r="G133" s="22"/>
      <c r="H133" s="22"/>
      <c r="I133" s="104" cm="1">
        <f t="array" ref="I133">-SUMPRODUCT((Feedstocks!$C$4:$C$141=A133)*Feedstocks!$E$4:$E$141,Feedstocks!$F$4:$F$141,Feedstocks!$H$4:$H$141,Feedstocks!$I$4:$I$141)</f>
        <v>0</v>
      </c>
      <c r="J133" s="104" cm="1">
        <f t="array" ref="J133">-SUMPRODUCT((Feedstocks!$C$4:$C$141=A133)*Feedstocks!$E$4:$E$141,Feedstocks!$H$4:$H$141,Feedstocks!$I$4:$I$141)</f>
        <v>0</v>
      </c>
      <c r="K133" s="104"/>
      <c r="L133" s="104"/>
      <c r="M133" s="22"/>
      <c r="N133" s="22" t="str">
        <f>VLOOKUP(E133,Activities!$A$9:$M$238,13,FALSE)</f>
        <v>NL</v>
      </c>
      <c r="O133" s="22"/>
      <c r="P133" s="80" t="s">
        <v>1000</v>
      </c>
      <c r="Q133" s="36"/>
      <c r="R133" s="36"/>
      <c r="S133" s="36"/>
      <c r="T133" s="36"/>
      <c r="U133" s="36"/>
      <c r="V133" s="36"/>
      <c r="W133" s="36"/>
      <c r="X133" s="36"/>
      <c r="Y133" s="36"/>
      <c r="Z133" s="36"/>
      <c r="AA133" s="36"/>
      <c r="AB133" s="36"/>
      <c r="AC133" s="36"/>
      <c r="AD133" s="36"/>
      <c r="AE133" s="36"/>
      <c r="AF133" s="36"/>
      <c r="AG133" s="36"/>
      <c r="AH133" s="36"/>
      <c r="AI133" s="36"/>
      <c r="AJ133" s="36"/>
      <c r="AK133" s="36"/>
      <c r="AL133" s="36"/>
      <c r="AM133" s="36"/>
      <c r="AN133" s="36"/>
      <c r="AO133" s="36"/>
      <c r="AP133" s="36"/>
      <c r="AQ133" s="36"/>
      <c r="AR133" s="36"/>
      <c r="AS133" s="36"/>
      <c r="AT133" s="36"/>
      <c r="AU133" s="36"/>
      <c r="AV133" s="36"/>
      <c r="AW133" s="36"/>
      <c r="AX133" s="36"/>
      <c r="AY133" s="36"/>
      <c r="AZ133" s="35"/>
      <c r="BA133" s="36"/>
      <c r="BB133" s="36"/>
      <c r="BC133" s="36"/>
      <c r="BD133" s="36"/>
      <c r="BE133" s="36"/>
      <c r="BF133" s="36"/>
      <c r="BG133" s="36"/>
      <c r="BH133" s="36"/>
      <c r="BI133" s="36"/>
      <c r="BJ133" s="36"/>
      <c r="BK133" s="36"/>
      <c r="BL133" s="36"/>
      <c r="BM133" s="36"/>
      <c r="BN133" s="36"/>
      <c r="BO133" s="36"/>
      <c r="BP133" s="36"/>
      <c r="BQ133" s="36"/>
      <c r="BR133" s="36"/>
      <c r="BS133" s="36"/>
      <c r="BT133" s="36"/>
      <c r="BU133" s="36"/>
      <c r="BV133" s="36"/>
      <c r="BW133" s="36"/>
      <c r="BX133" s="36"/>
      <c r="BY133" s="36"/>
      <c r="BZ133" s="36"/>
      <c r="CA133" s="36"/>
      <c r="CB133" s="36"/>
      <c r="CC133" s="36"/>
      <c r="CD133" s="36"/>
      <c r="CE133" s="36"/>
      <c r="CF133" s="36"/>
      <c r="CG133" s="36"/>
      <c r="CH133" s="36"/>
      <c r="CI133" s="36"/>
      <c r="CJ133" s="36"/>
      <c r="CK133" s="36"/>
      <c r="CL133" s="36"/>
      <c r="CM133" s="36"/>
      <c r="CN133" s="36"/>
      <c r="CO133" s="36"/>
      <c r="CP133" s="36"/>
      <c r="CQ133" s="36"/>
      <c r="CR133" s="36"/>
      <c r="CS133" s="36"/>
      <c r="CT133" s="36"/>
      <c r="CU133" s="36"/>
      <c r="CV133" s="36"/>
      <c r="CW133" s="36"/>
      <c r="CX133" s="36"/>
      <c r="CY133" s="36"/>
      <c r="CZ133" s="36"/>
      <c r="DA133" s="36"/>
      <c r="DB133" s="36"/>
      <c r="DC133" s="36"/>
      <c r="DD133" s="36"/>
      <c r="DE133" s="36"/>
      <c r="DF133" s="36"/>
      <c r="DG133" s="36"/>
      <c r="DH133" s="36"/>
      <c r="DI133" s="36"/>
      <c r="DJ133" s="36"/>
      <c r="DK133" s="36"/>
      <c r="DL133" s="36"/>
      <c r="DM133" s="36"/>
      <c r="DN133" s="36"/>
      <c r="DO133" s="36"/>
      <c r="DP133" s="36"/>
      <c r="DQ133" s="36"/>
      <c r="DR133" s="36"/>
      <c r="DS133" s="36"/>
      <c r="DT133" s="36"/>
      <c r="DU133" s="36"/>
      <c r="DV133" s="36"/>
      <c r="DW133" s="36"/>
      <c r="DX133" s="36"/>
      <c r="DY133" s="36"/>
      <c r="DZ133" s="36"/>
      <c r="EA133" s="36"/>
      <c r="EB133" s="36"/>
      <c r="EC133" s="36"/>
      <c r="ED133" s="36"/>
      <c r="EE133" s="36"/>
      <c r="EF133" s="36"/>
      <c r="EG133" s="36">
        <v>1</v>
      </c>
      <c r="EH133" s="36"/>
      <c r="EI133" s="36"/>
      <c r="EJ133" s="36"/>
      <c r="EK133" s="36"/>
      <c r="EL133" s="36"/>
      <c r="EM133" s="36"/>
      <c r="EN133" s="36"/>
      <c r="EO133" s="36"/>
      <c r="EP133" s="36"/>
      <c r="EQ133" s="36"/>
      <c r="ER133" s="36"/>
      <c r="ES133" s="36"/>
      <c r="ET133" s="36"/>
      <c r="EU133" s="36"/>
      <c r="EV133" s="36"/>
      <c r="EW133" s="36"/>
      <c r="EX133" s="36">
        <f>-ROUND((1/(1.47*19.9*0.92)),4)</f>
        <v>-3.7199999999999997E-2</v>
      </c>
      <c r="EY133" s="36"/>
      <c r="EZ133" s="36"/>
      <c r="FA133" s="36"/>
      <c r="FB133" s="36"/>
      <c r="FC133" s="36"/>
      <c r="FD133" s="36"/>
      <c r="FE133" s="36"/>
      <c r="FF133" s="36"/>
      <c r="FG133" s="36"/>
      <c r="FH133" s="36"/>
      <c r="FI133" s="36"/>
      <c r="FJ133" s="36"/>
      <c r="FK133" s="36"/>
      <c r="FL133" s="36"/>
      <c r="FM133" s="36"/>
      <c r="FN133" s="36"/>
      <c r="FO133" s="36"/>
      <c r="FP133" s="36"/>
      <c r="FQ133" s="36"/>
      <c r="FR133" s="36"/>
      <c r="FS133" s="36"/>
      <c r="FT133" s="36"/>
      <c r="FU133" s="36"/>
      <c r="FV133" s="36"/>
      <c r="FW133" s="36"/>
      <c r="FX133" s="36"/>
      <c r="FY133" s="36"/>
      <c r="FZ133" s="36"/>
      <c r="GA133" s="36"/>
      <c r="GB133" s="319"/>
      <c r="GC133" s="179">
        <f t="shared" si="28"/>
        <v>0</v>
      </c>
      <c r="GD133" s="179">
        <f t="shared" si="29"/>
        <v>0</v>
      </c>
      <c r="GE133" s="179">
        <f t="shared" si="30"/>
        <v>8.5000000000000006E-3</v>
      </c>
      <c r="GF133" s="179">
        <f t="shared" si="31"/>
        <v>0</v>
      </c>
      <c r="GG133" s="179">
        <f t="shared" si="21"/>
        <v>0</v>
      </c>
    </row>
    <row r="134" spans="1:189" x14ac:dyDescent="0.35">
      <c r="A134" s="5" t="s">
        <v>1001</v>
      </c>
      <c r="B134" s="6" t="str">
        <f>IF(Technologies!B134&lt;&gt;0,Technologies!B134,"")</f>
        <v>Industrie</v>
      </c>
      <c r="C134" s="6" t="str">
        <f>VLOOKUP($A134,Technologies!$A$7:$H$576,3,FALSE)</f>
        <v>Conversion</v>
      </c>
      <c r="D134" s="6" t="str">
        <f>VLOOKUP($A134,Technologies!$A$7:$H$576,4,FALSE)</f>
        <v>Industry</v>
      </c>
      <c r="E134" s="6" t="str">
        <f>VLOOKUP($A134,Technologies!$A$7:$H$576,6,FALSE)</f>
        <v>Syngas</v>
      </c>
      <c r="F134" s="48" t="str">
        <f>VLOOKUP($A134,Technologies!$A$7:$H$576,7,FALSE)</f>
        <v>Gasification of plastic waste to syngas with CC</v>
      </c>
      <c r="G134" s="23">
        <v>0.9</v>
      </c>
      <c r="H134" s="23"/>
      <c r="I134" s="104" cm="1">
        <f t="array" ref="I134">-SUMPRODUCT((Feedstocks!$C$4:$C$141=A134)*Feedstocks!$E$4:$E$141,Feedstocks!$F$4:$F$141,Feedstocks!$H$4:$H$141,Feedstocks!$I$4:$I$141)</f>
        <v>0</v>
      </c>
      <c r="J134" s="104" cm="1">
        <f t="array" ref="J134">-SUMPRODUCT((Feedstocks!$C$4:$C$141=A134)*Feedstocks!$E$4:$E$141,Feedstocks!$H$4:$H$141,Feedstocks!$I$4:$I$141)</f>
        <v>0</v>
      </c>
      <c r="K134" s="104"/>
      <c r="L134" s="104"/>
      <c r="M134" s="23"/>
      <c r="N134" s="22" t="str">
        <f>VLOOKUP(E134,Activities!$A$9:$M$238,13,FALSE)</f>
        <v>NL</v>
      </c>
      <c r="O134" s="23"/>
      <c r="P134" s="80" t="s">
        <v>1000</v>
      </c>
      <c r="Q134" s="36"/>
      <c r="R134" s="36"/>
      <c r="S134" s="36"/>
      <c r="T134" s="36"/>
      <c r="U134" s="36"/>
      <c r="V134" s="36"/>
      <c r="W134" s="36"/>
      <c r="X134" s="36"/>
      <c r="Y134" s="36"/>
      <c r="Z134" s="36"/>
      <c r="AA134" s="36"/>
      <c r="AB134" s="36"/>
      <c r="AC134" s="36"/>
      <c r="AD134" s="36"/>
      <c r="AE134" s="36"/>
      <c r="AF134" s="36"/>
      <c r="AG134" s="36"/>
      <c r="AH134" s="36"/>
      <c r="AI134" s="36"/>
      <c r="AJ134" s="36"/>
      <c r="AK134" s="36"/>
      <c r="AL134" s="36"/>
      <c r="AM134" s="36"/>
      <c r="AN134" s="36"/>
      <c r="AO134" s="36"/>
      <c r="AP134" s="36"/>
      <c r="AQ134" s="36"/>
      <c r="AR134" s="36"/>
      <c r="AS134" s="36"/>
      <c r="AT134" s="36"/>
      <c r="AU134" s="36"/>
      <c r="AV134" s="36"/>
      <c r="AW134" s="36"/>
      <c r="AX134" s="36"/>
      <c r="AY134" s="36"/>
      <c r="AZ134" s="35"/>
      <c r="BA134" s="36"/>
      <c r="BB134" s="36"/>
      <c r="BC134" s="36"/>
      <c r="BD134" s="36"/>
      <c r="BE134" s="36"/>
      <c r="BF134" s="36"/>
      <c r="BG134" s="36"/>
      <c r="BH134" s="36"/>
      <c r="BI134" s="36"/>
      <c r="BJ134" s="36"/>
      <c r="BK134" s="36"/>
      <c r="BL134" s="36"/>
      <c r="BM134" s="36"/>
      <c r="BN134" s="36"/>
      <c r="BO134" s="36"/>
      <c r="BP134" s="36"/>
      <c r="BQ134" s="36"/>
      <c r="BR134" s="36"/>
      <c r="BS134" s="36"/>
      <c r="BT134" s="36"/>
      <c r="BU134" s="36"/>
      <c r="BV134" s="36"/>
      <c r="BW134" s="36"/>
      <c r="BX134" s="36"/>
      <c r="BY134" s="36"/>
      <c r="BZ134" s="36"/>
      <c r="CA134" s="36"/>
      <c r="CB134" s="36"/>
      <c r="CC134" s="36"/>
      <c r="CD134" s="36"/>
      <c r="CE134" s="36"/>
      <c r="CF134" s="36"/>
      <c r="CG134" s="36"/>
      <c r="CH134" s="36"/>
      <c r="CI134" s="36"/>
      <c r="CJ134" s="36"/>
      <c r="CK134" s="36"/>
      <c r="CL134" s="36"/>
      <c r="CM134" s="36"/>
      <c r="CN134" s="36"/>
      <c r="CO134" s="36"/>
      <c r="CP134" s="36"/>
      <c r="CQ134" s="36"/>
      <c r="CR134" s="36"/>
      <c r="CS134" s="36"/>
      <c r="CT134" s="36"/>
      <c r="CU134" s="36"/>
      <c r="CV134" s="36"/>
      <c r="CW134" s="36"/>
      <c r="CX134" s="36"/>
      <c r="CY134" s="36"/>
      <c r="CZ134" s="36"/>
      <c r="DA134" s="36"/>
      <c r="DB134" s="36"/>
      <c r="DC134" s="36"/>
      <c r="DD134" s="36"/>
      <c r="DE134" s="36"/>
      <c r="DF134" s="36"/>
      <c r="DG134" s="36"/>
      <c r="DH134" s="36">
        <v>-8.3665408825774213E-3</v>
      </c>
      <c r="DI134" s="36"/>
      <c r="DJ134" s="36"/>
      <c r="DK134" s="36"/>
      <c r="DL134" s="36"/>
      <c r="DM134" s="36"/>
      <c r="DN134" s="36"/>
      <c r="DO134" s="36">
        <v>-0.1180724590526777</v>
      </c>
      <c r="DP134" s="36"/>
      <c r="DQ134" s="36"/>
      <c r="DR134" s="36"/>
      <c r="DS134" s="36"/>
      <c r="DT134" s="36"/>
      <c r="DU134" s="36"/>
      <c r="DV134" s="36"/>
      <c r="DW134" s="36"/>
      <c r="DX134" s="36"/>
      <c r="DY134" s="36"/>
      <c r="DZ134" s="36"/>
      <c r="EA134" s="36"/>
      <c r="EB134" s="36"/>
      <c r="EC134" s="36"/>
      <c r="ED134" s="36"/>
      <c r="EE134" s="36"/>
      <c r="EF134" s="36"/>
      <c r="EG134" s="36">
        <v>1</v>
      </c>
      <c r="EH134" s="36"/>
      <c r="EI134" s="36"/>
      <c r="EJ134" s="36"/>
      <c r="EK134" s="36"/>
      <c r="EL134" s="36"/>
      <c r="EM134" s="36"/>
      <c r="EN134" s="36"/>
      <c r="EO134" s="36"/>
      <c r="EP134" s="36"/>
      <c r="EQ134" s="36"/>
      <c r="ER134" s="36"/>
      <c r="ES134" s="36"/>
      <c r="ET134" s="36"/>
      <c r="EU134" s="36"/>
      <c r="EV134" s="36"/>
      <c r="EW134" s="36"/>
      <c r="EX134" s="36">
        <f>-ROUND((1/(1.47*19.9*0.92)),4)</f>
        <v>-3.7199999999999997E-2</v>
      </c>
      <c r="EY134" s="36"/>
      <c r="EZ134" s="36"/>
      <c r="FA134" s="36"/>
      <c r="FB134" s="36"/>
      <c r="FC134" s="36"/>
      <c r="FD134" s="36"/>
      <c r="FE134" s="36"/>
      <c r="FF134" s="36"/>
      <c r="FG134" s="36"/>
      <c r="FH134" s="36"/>
      <c r="FI134" s="36"/>
      <c r="FJ134" s="36"/>
      <c r="FK134" s="36"/>
      <c r="FL134" s="36"/>
      <c r="FM134" s="36"/>
      <c r="FN134" s="36"/>
      <c r="FO134" s="36"/>
      <c r="FP134" s="36"/>
      <c r="FQ134" s="36"/>
      <c r="FR134" s="36"/>
      <c r="FS134" s="36"/>
      <c r="FT134" s="36"/>
      <c r="FU134" s="36"/>
      <c r="FV134" s="36"/>
      <c r="FW134" s="36"/>
      <c r="FX134" s="36"/>
      <c r="FY134" s="36"/>
      <c r="FZ134" s="36"/>
      <c r="GA134" s="36"/>
      <c r="GB134" s="319"/>
      <c r="GC134" s="179">
        <f t="shared" si="28"/>
        <v>1.32E-2</v>
      </c>
      <c r="GD134" s="179">
        <f t="shared" si="29"/>
        <v>0</v>
      </c>
      <c r="GE134" s="179">
        <f t="shared" si="30"/>
        <v>-4.7000000000000002E-3</v>
      </c>
      <c r="GF134" s="179">
        <f t="shared" si="31"/>
        <v>0</v>
      </c>
      <c r="GG134" s="179">
        <f t="shared" si="21"/>
        <v>0</v>
      </c>
    </row>
    <row r="135" spans="1:189" x14ac:dyDescent="0.35">
      <c r="A135" s="6" t="s">
        <v>1003</v>
      </c>
      <c r="B135" s="6" t="str">
        <f>IF(Technologies!B135&lt;&gt;0,Technologies!B135,"")</f>
        <v>Industrie</v>
      </c>
      <c r="C135" s="6" t="str">
        <f>VLOOKUP($A135,Technologies!$A$7:$H$576,3,FALSE)</f>
        <v>Conversion</v>
      </c>
      <c r="D135" s="6" t="str">
        <f>VLOOKUP($A135,Technologies!$A$7:$H$576,4,FALSE)</f>
        <v>Industry</v>
      </c>
      <c r="E135" s="6" t="str">
        <f>VLOOKUP($A135,Technologies!$A$7:$H$576,6,FALSE)</f>
        <v>Plastic pyrolysis oil</v>
      </c>
      <c r="F135" s="48" t="str">
        <f>VLOOKUP($A135,Technologies!$A$7:$H$576,7,FALSE)</f>
        <v>Integrated hydropyrolysis of plastic waste</v>
      </c>
      <c r="G135" s="23"/>
      <c r="H135" s="23"/>
      <c r="I135" s="104" cm="1">
        <f t="array" ref="I135">-SUMPRODUCT((Feedstocks!$C$4:$C$141=A135)*Feedstocks!$E$4:$E$141,Feedstocks!$F$4:$F$141,Feedstocks!$H$4:$H$141,Feedstocks!$I$4:$I$141)</f>
        <v>0</v>
      </c>
      <c r="J135" s="104" cm="1">
        <f t="array" ref="J135">-SUMPRODUCT((Feedstocks!$C$4:$C$141=A135)*Feedstocks!$E$4:$E$141,Feedstocks!$H$4:$H$141,Feedstocks!$I$4:$I$141)</f>
        <v>0</v>
      </c>
      <c r="K135" s="104"/>
      <c r="L135" s="104"/>
      <c r="M135" s="22"/>
      <c r="N135" s="22" t="str">
        <f>VLOOKUP(E135,Activities!$A$9:$M$227,13,FALSE)</f>
        <v>NL</v>
      </c>
      <c r="O135" s="22"/>
      <c r="P135" s="80" t="s">
        <v>1820</v>
      </c>
      <c r="Q135" s="36"/>
      <c r="R135" s="36"/>
      <c r="S135" s="36"/>
      <c r="T135" s="36"/>
      <c r="U135" s="36"/>
      <c r="V135" s="36"/>
      <c r="W135" s="36"/>
      <c r="X135" s="36"/>
      <c r="Y135" s="36"/>
      <c r="Z135" s="36"/>
      <c r="AA135" s="36"/>
      <c r="AB135" s="36"/>
      <c r="AC135" s="36"/>
      <c r="AD135" s="36"/>
      <c r="AE135" s="36"/>
      <c r="AF135" s="36"/>
      <c r="AG135" s="36"/>
      <c r="AH135" s="36"/>
      <c r="AI135" s="36"/>
      <c r="AJ135" s="36"/>
      <c r="AK135" s="36"/>
      <c r="AL135" s="36"/>
      <c r="AM135" s="36"/>
      <c r="AN135" s="36"/>
      <c r="AO135" s="36"/>
      <c r="AP135" s="36"/>
      <c r="AQ135" s="36"/>
      <c r="AR135" s="36"/>
      <c r="AS135" s="36"/>
      <c r="AT135" s="36"/>
      <c r="AU135" s="36"/>
      <c r="AV135" s="36"/>
      <c r="AW135" s="36"/>
      <c r="AX135" s="36"/>
      <c r="AY135" s="36"/>
      <c r="AZ135" s="35"/>
      <c r="BA135" s="36"/>
      <c r="BB135" s="36"/>
      <c r="BC135" s="36"/>
      <c r="BD135" s="36"/>
      <c r="BE135" s="36"/>
      <c r="BF135" s="36"/>
      <c r="BG135" s="36"/>
      <c r="BH135" s="36"/>
      <c r="BI135" s="36"/>
      <c r="BJ135" s="36"/>
      <c r="BK135" s="36"/>
      <c r="BL135" s="36"/>
      <c r="BM135" s="36"/>
      <c r="BN135" s="36"/>
      <c r="BO135" s="36"/>
      <c r="BP135" s="36"/>
      <c r="BQ135" s="36"/>
      <c r="BR135" s="36"/>
      <c r="BS135" s="36"/>
      <c r="BT135" s="36"/>
      <c r="BU135" s="36"/>
      <c r="BV135" s="36"/>
      <c r="BW135" s="36"/>
      <c r="BX135" s="36"/>
      <c r="BY135" s="36"/>
      <c r="BZ135" s="36"/>
      <c r="CA135" s="36"/>
      <c r="CB135" s="36"/>
      <c r="CC135" s="36"/>
      <c r="CD135" s="36"/>
      <c r="CE135" s="36"/>
      <c r="CF135" s="36"/>
      <c r="CG135" s="36"/>
      <c r="CH135" s="36"/>
      <c r="CI135" s="36"/>
      <c r="CJ135" s="36"/>
      <c r="CK135" s="36"/>
      <c r="CL135" s="36"/>
      <c r="CM135" s="36"/>
      <c r="CN135" s="36"/>
      <c r="CO135" s="36"/>
      <c r="CP135" s="36"/>
      <c r="CQ135" s="36"/>
      <c r="CR135" s="36"/>
      <c r="CS135" s="36"/>
      <c r="CT135" s="36"/>
      <c r="CU135" s="36"/>
      <c r="CV135" s="36"/>
      <c r="CW135" s="36"/>
      <c r="CX135" s="36"/>
      <c r="CY135" s="36"/>
      <c r="CZ135" s="36"/>
      <c r="DA135" s="36"/>
      <c r="DB135" s="36"/>
      <c r="DC135" s="36"/>
      <c r="DD135" s="36"/>
      <c r="DE135" s="36"/>
      <c r="DF135" s="36"/>
      <c r="DG135" s="36"/>
      <c r="DH135" s="36">
        <v>-0.03</v>
      </c>
      <c r="DI135" s="36"/>
      <c r="DJ135" s="36"/>
      <c r="DK135" s="36"/>
      <c r="DL135" s="36"/>
      <c r="DM135" s="36"/>
      <c r="DN135" s="36"/>
      <c r="DO135" s="36"/>
      <c r="DP135" s="36">
        <v>0.11</v>
      </c>
      <c r="DQ135" s="36"/>
      <c r="DR135" s="36"/>
      <c r="DS135" s="36"/>
      <c r="DT135" s="36"/>
      <c r="DU135" s="36"/>
      <c r="DV135" s="36"/>
      <c r="DW135" s="36"/>
      <c r="DX135" s="36"/>
      <c r="DY135" s="36"/>
      <c r="DZ135" s="36"/>
      <c r="EA135" s="36"/>
      <c r="EB135" s="36"/>
      <c r="EC135" s="36"/>
      <c r="ED135" s="36"/>
      <c r="EE135" s="36"/>
      <c r="EF135" s="36"/>
      <c r="EG135" s="36"/>
      <c r="EH135" s="36"/>
      <c r="EI135" s="36"/>
      <c r="EJ135" s="36"/>
      <c r="EK135" s="36"/>
      <c r="EL135" s="36"/>
      <c r="EM135" s="36"/>
      <c r="EN135" s="36"/>
      <c r="EO135" s="36"/>
      <c r="EP135" s="36">
        <v>1</v>
      </c>
      <c r="EQ135" s="36"/>
      <c r="ER135" s="36"/>
      <c r="ES135" s="36"/>
      <c r="ET135" s="36"/>
      <c r="EU135" s="36"/>
      <c r="EV135" s="36"/>
      <c r="EW135" s="36"/>
      <c r="EX135" s="36">
        <v>-1.1499999999999999</v>
      </c>
      <c r="EY135" s="36"/>
      <c r="EZ135" s="36"/>
      <c r="FA135" s="36"/>
      <c r="FB135" s="36"/>
      <c r="FC135" s="36"/>
      <c r="FD135" s="36"/>
      <c r="FE135" s="36"/>
      <c r="FF135" s="36"/>
      <c r="FG135" s="36"/>
      <c r="FH135" s="36"/>
      <c r="FI135" s="36"/>
      <c r="FJ135" s="36"/>
      <c r="FK135" s="36"/>
      <c r="FL135" s="36"/>
      <c r="FM135" s="36"/>
      <c r="FN135" s="36"/>
      <c r="FO135" s="36"/>
      <c r="FP135" s="36"/>
      <c r="FQ135" s="36"/>
      <c r="FR135" s="36"/>
      <c r="FS135" s="36"/>
      <c r="FT135" s="36"/>
      <c r="FU135" s="36"/>
      <c r="FV135" s="36"/>
      <c r="FW135" s="36"/>
      <c r="FX135" s="36"/>
      <c r="FY135" s="36"/>
      <c r="FZ135" s="36"/>
      <c r="GA135" s="36"/>
      <c r="GB135" s="319"/>
      <c r="GC135" s="179">
        <f t="shared" si="28"/>
        <v>0</v>
      </c>
      <c r="GD135" s="179">
        <f t="shared" si="29"/>
        <v>0</v>
      </c>
      <c r="GE135" s="179">
        <f t="shared" si="30"/>
        <v>2.4780000000000002</v>
      </c>
      <c r="GF135" s="179">
        <f t="shared" si="31"/>
        <v>0</v>
      </c>
      <c r="GG135" s="179">
        <f t="shared" si="21"/>
        <v>0</v>
      </c>
    </row>
    <row r="136" spans="1:189" x14ac:dyDescent="0.35">
      <c r="A136" s="6" t="s">
        <v>1006</v>
      </c>
      <c r="B136" s="6" t="str">
        <f>IF(Technologies!B136&lt;&gt;0,Technologies!B136,"")</f>
        <v>Industrie</v>
      </c>
      <c r="C136" s="6" t="str">
        <f>VLOOKUP($A136,Technologies!$A$7:$H$576,3,FALSE)</f>
        <v>Conversion</v>
      </c>
      <c r="D136" s="6" t="str">
        <f>VLOOKUP($A136,Technologies!$A$7:$H$576,4,FALSE)</f>
        <v>Industry</v>
      </c>
      <c r="E136" s="6" t="str">
        <f>VLOOKUP($A136,Technologies!$A$7:$H$576,6,FALSE)</f>
        <v>BHET</v>
      </c>
      <c r="F136" s="48" t="str">
        <f>VLOOKUP($A136,Technologies!$A$7:$H$576,7,FALSE)</f>
        <v>Magnetic depolymerization of PET</v>
      </c>
      <c r="G136" s="23"/>
      <c r="H136" s="23"/>
      <c r="I136" s="104" cm="1">
        <f t="array" ref="I136">-SUMPRODUCT((Feedstocks!$C$4:$C$141=A136)*Feedstocks!$E$4:$E$141,Feedstocks!$F$4:$F$141,Feedstocks!$H$4:$H$141,Feedstocks!$I$4:$I$141)</f>
        <v>0</v>
      </c>
      <c r="J136" s="104" cm="1">
        <f t="array" ref="J136">-SUMPRODUCT((Feedstocks!$C$4:$C$141=A136)*Feedstocks!$E$4:$E$141,Feedstocks!$H$4:$H$141,Feedstocks!$I$4:$I$141)</f>
        <v>0</v>
      </c>
      <c r="K136" s="104"/>
      <c r="L136" s="104"/>
      <c r="M136" s="22"/>
      <c r="N136" s="22" t="str">
        <f>VLOOKUP(E136,Activities!$A$9:$M$227,13,FALSE)</f>
        <v>NL</v>
      </c>
      <c r="O136" s="22"/>
      <c r="P136" s="80" t="s">
        <v>1821</v>
      </c>
      <c r="Q136" s="36"/>
      <c r="R136" s="36"/>
      <c r="S136" s="36"/>
      <c r="T136" s="36"/>
      <c r="U136" s="36"/>
      <c r="V136" s="36"/>
      <c r="W136" s="36"/>
      <c r="X136" s="36"/>
      <c r="Y136" s="36"/>
      <c r="Z136" s="36"/>
      <c r="AA136" s="36"/>
      <c r="AB136" s="36"/>
      <c r="AC136" s="36"/>
      <c r="AD136" s="36"/>
      <c r="AE136" s="36"/>
      <c r="AF136" s="36"/>
      <c r="AG136" s="36"/>
      <c r="AH136" s="35"/>
      <c r="AI136" s="35"/>
      <c r="AJ136" s="35"/>
      <c r="AK136" s="35"/>
      <c r="AL136" s="35"/>
      <c r="AM136" s="35"/>
      <c r="AN136" s="36"/>
      <c r="AO136" s="36"/>
      <c r="AP136" s="36"/>
      <c r="AQ136" s="36"/>
      <c r="AR136" s="36"/>
      <c r="AS136" s="36"/>
      <c r="AT136" s="36"/>
      <c r="AU136" s="36"/>
      <c r="AV136" s="36"/>
      <c r="AW136" s="36"/>
      <c r="AX136" s="36"/>
      <c r="AY136" s="36"/>
      <c r="AZ136" s="36"/>
      <c r="BA136" s="36"/>
      <c r="BB136" s="36"/>
      <c r="BC136" s="36"/>
      <c r="BD136" s="36"/>
      <c r="BE136" s="36"/>
      <c r="BF136" s="36"/>
      <c r="BG136" s="36"/>
      <c r="BH136" s="36"/>
      <c r="BI136" s="36"/>
      <c r="BJ136" s="36"/>
      <c r="BK136" s="36"/>
      <c r="BL136" s="36"/>
      <c r="BM136" s="36"/>
      <c r="BN136" s="36"/>
      <c r="BO136" s="36"/>
      <c r="BP136" s="36"/>
      <c r="BQ136" s="36"/>
      <c r="BR136" s="36"/>
      <c r="BS136" s="36"/>
      <c r="BT136" s="36"/>
      <c r="BU136" s="36"/>
      <c r="BV136" s="36"/>
      <c r="BW136" s="36"/>
      <c r="BX136" s="36"/>
      <c r="BY136" s="36"/>
      <c r="BZ136" s="36"/>
      <c r="CA136" s="36"/>
      <c r="CB136" s="36"/>
      <c r="CC136" s="36"/>
      <c r="CD136" s="36"/>
      <c r="CE136" s="36"/>
      <c r="CF136" s="36"/>
      <c r="CG136" s="36"/>
      <c r="CH136" s="36"/>
      <c r="CI136" s="36"/>
      <c r="CJ136" s="36"/>
      <c r="CK136" s="36"/>
      <c r="CL136" s="36"/>
      <c r="CM136" s="36"/>
      <c r="CN136" s="36"/>
      <c r="CO136" s="36"/>
      <c r="CP136" s="36"/>
      <c r="CQ136" s="36"/>
      <c r="CR136" s="36"/>
      <c r="CS136" s="36"/>
      <c r="CT136" s="36"/>
      <c r="CU136" s="36"/>
      <c r="CV136" s="36"/>
      <c r="CW136" s="35"/>
      <c r="CX136" s="35"/>
      <c r="CY136" s="35">
        <v>1</v>
      </c>
      <c r="CZ136" s="35"/>
      <c r="DA136" s="35"/>
      <c r="DB136" s="35"/>
      <c r="DC136" s="35"/>
      <c r="DD136" s="35">
        <f>-1/0.95</f>
        <v>-1.0526315789473684</v>
      </c>
      <c r="DE136" s="35"/>
      <c r="DF136" s="36"/>
      <c r="DG136" s="36"/>
      <c r="DH136" s="35">
        <v>-2.2000000000000002</v>
      </c>
      <c r="DI136" s="35"/>
      <c r="DJ136" s="35"/>
      <c r="DK136" s="35"/>
      <c r="DL136" s="35"/>
      <c r="DM136" s="35"/>
      <c r="DN136" s="35"/>
      <c r="DO136" s="35"/>
      <c r="DP136" s="35">
        <v>-3</v>
      </c>
      <c r="DQ136" s="36"/>
      <c r="DR136" s="36"/>
      <c r="DS136" s="36"/>
      <c r="DT136" s="36"/>
      <c r="DU136" s="36"/>
      <c r="DV136" s="36"/>
      <c r="DW136" s="36"/>
      <c r="DX136" s="36"/>
      <c r="DY136" s="36"/>
      <c r="DZ136" s="36"/>
      <c r="EA136" s="36"/>
      <c r="EB136" s="36"/>
      <c r="EC136" s="36"/>
      <c r="ED136" s="35"/>
      <c r="EE136" s="36"/>
      <c r="EF136" s="36"/>
      <c r="EG136" s="35"/>
      <c r="EH136" s="36"/>
      <c r="EI136" s="36"/>
      <c r="EJ136" s="35"/>
      <c r="EK136" s="36"/>
      <c r="EL136" s="36"/>
      <c r="EM136" s="35"/>
      <c r="EN136" s="36"/>
      <c r="EO136" s="36"/>
      <c r="EP136" s="35"/>
      <c r="EQ136" s="36"/>
      <c r="ER136" s="36"/>
      <c r="ES136" s="36"/>
      <c r="ET136" s="36"/>
      <c r="EU136" s="36"/>
      <c r="EV136" s="36"/>
      <c r="EW136" s="35"/>
      <c r="EX136" s="35"/>
      <c r="EY136" s="35"/>
      <c r="EZ136" s="35"/>
      <c r="FA136" s="36"/>
      <c r="FB136" s="36"/>
      <c r="FC136" s="36"/>
      <c r="FD136" s="36"/>
      <c r="FE136" s="36"/>
      <c r="FF136" s="36"/>
      <c r="FG136" s="36"/>
      <c r="FH136" s="36"/>
      <c r="FI136" s="36"/>
      <c r="FJ136" s="36"/>
      <c r="FK136" s="36"/>
      <c r="FL136" s="36"/>
      <c r="FM136" s="36"/>
      <c r="FN136" s="36"/>
      <c r="FO136" s="36"/>
      <c r="FP136" s="36"/>
      <c r="FQ136" s="36"/>
      <c r="FR136" s="36"/>
      <c r="FS136" s="36"/>
      <c r="FT136" s="36"/>
      <c r="FU136" s="36"/>
      <c r="FV136" s="36"/>
      <c r="FW136" s="36"/>
      <c r="FX136" s="36"/>
      <c r="FY136" s="36"/>
      <c r="FZ136" s="36"/>
      <c r="GA136" s="36"/>
      <c r="GB136" s="319"/>
      <c r="GC136" s="179">
        <f t="shared" si="28"/>
        <v>0</v>
      </c>
      <c r="GD136" s="179">
        <f t="shared" si="29"/>
        <v>0</v>
      </c>
      <c r="GE136" s="179">
        <f t="shared" si="30"/>
        <v>0</v>
      </c>
      <c r="GF136" s="179">
        <f t="shared" si="31"/>
        <v>0</v>
      </c>
      <c r="GG136" s="179">
        <f t="shared" si="21"/>
        <v>0</v>
      </c>
    </row>
    <row r="137" spans="1:189" x14ac:dyDescent="0.35">
      <c r="A137" s="6" t="s">
        <v>1010</v>
      </c>
      <c r="B137" s="6" t="str">
        <f>IF(Technologies!B137&lt;&gt;0,Technologies!B137,"")</f>
        <v>Industrie</v>
      </c>
      <c r="C137" s="6" t="str">
        <f>VLOOKUP($A137,Technologies!$A$7:$H$576,3,FALSE)</f>
        <v>Conversion</v>
      </c>
      <c r="D137" s="6" t="str">
        <f>VLOOKUP($A137,Technologies!$A$7:$H$576,4,FALSE)</f>
        <v>Industry</v>
      </c>
      <c r="E137" s="6" t="str">
        <f>VLOOKUP($A137,Technologies!$A$7:$H$576,6,FALSE)</f>
        <v>BHET</v>
      </c>
      <c r="F137" s="48" t="str">
        <f>VLOOKUP($A137,Technologies!$A$7:$H$576,7,FALSE)</f>
        <v>Glycolysis depolymerization of PET</v>
      </c>
      <c r="G137" s="23"/>
      <c r="H137" s="23"/>
      <c r="I137" s="104" cm="1">
        <f t="array" ref="I137">-SUMPRODUCT((Feedstocks!$C$4:$C$141=A137)*Feedstocks!$E$4:$E$141,Feedstocks!$F$4:$F$141,Feedstocks!$H$4:$H$141,Feedstocks!$I$4:$I$141)</f>
        <v>0</v>
      </c>
      <c r="J137" s="104" cm="1">
        <f t="array" ref="J137">-SUMPRODUCT((Feedstocks!$C$4:$C$141=A137)*Feedstocks!$E$4:$E$141,Feedstocks!$H$4:$H$141,Feedstocks!$I$4:$I$141)</f>
        <v>0</v>
      </c>
      <c r="K137" s="104"/>
      <c r="L137" s="104"/>
      <c r="M137" s="22"/>
      <c r="N137" s="22" t="str">
        <f>VLOOKUP(E137,Activities!$A$9:$M$227,13,FALSE)</f>
        <v>NL</v>
      </c>
      <c r="O137" s="22"/>
      <c r="P137" s="80" t="s">
        <v>1012</v>
      </c>
      <c r="Q137" s="36"/>
      <c r="R137" s="36"/>
      <c r="S137" s="36"/>
      <c r="T137" s="36"/>
      <c r="U137" s="36"/>
      <c r="V137" s="36"/>
      <c r="W137" s="36"/>
      <c r="X137" s="36"/>
      <c r="Y137" s="36"/>
      <c r="Z137" s="36"/>
      <c r="AA137" s="36"/>
      <c r="AB137" s="36"/>
      <c r="AC137" s="36"/>
      <c r="AD137" s="36"/>
      <c r="AE137" s="36"/>
      <c r="AF137" s="36"/>
      <c r="AG137" s="36"/>
      <c r="AH137" s="36"/>
      <c r="AI137" s="36"/>
      <c r="AJ137" s="36"/>
      <c r="AK137" s="36"/>
      <c r="AL137" s="36"/>
      <c r="AM137" s="36"/>
      <c r="AN137" s="36"/>
      <c r="AO137" s="36"/>
      <c r="AP137" s="36"/>
      <c r="AQ137" s="36"/>
      <c r="AR137" s="36"/>
      <c r="AS137" s="36"/>
      <c r="AT137" s="36"/>
      <c r="AU137" s="36"/>
      <c r="AV137" s="36"/>
      <c r="AW137" s="36"/>
      <c r="AX137" s="36"/>
      <c r="AY137" s="36"/>
      <c r="AZ137" s="35"/>
      <c r="BA137" s="36"/>
      <c r="BB137" s="36"/>
      <c r="BC137" s="36"/>
      <c r="BD137" s="36"/>
      <c r="BE137" s="36"/>
      <c r="BF137" s="36"/>
      <c r="BG137" s="36"/>
      <c r="BH137" s="36"/>
      <c r="BI137" s="36"/>
      <c r="BJ137" s="36"/>
      <c r="BK137" s="36"/>
      <c r="BL137" s="36"/>
      <c r="BM137" s="36"/>
      <c r="BN137" s="36"/>
      <c r="BO137" s="36"/>
      <c r="BP137" s="36"/>
      <c r="BQ137" s="36"/>
      <c r="BR137" s="36"/>
      <c r="BS137" s="36"/>
      <c r="BT137" s="36"/>
      <c r="BU137" s="36"/>
      <c r="BV137" s="36"/>
      <c r="BW137" s="36"/>
      <c r="BX137" s="36"/>
      <c r="BY137" s="36"/>
      <c r="BZ137" s="36"/>
      <c r="CA137" s="36"/>
      <c r="CB137" s="36"/>
      <c r="CC137" s="36"/>
      <c r="CD137" s="36"/>
      <c r="CE137" s="36"/>
      <c r="CF137" s="36"/>
      <c r="CG137" s="36"/>
      <c r="CH137" s="36"/>
      <c r="CI137" s="36"/>
      <c r="CJ137" s="36"/>
      <c r="CK137" s="36"/>
      <c r="CL137" s="36"/>
      <c r="CM137" s="36"/>
      <c r="CN137" s="36"/>
      <c r="CO137" s="36"/>
      <c r="CP137" s="36"/>
      <c r="CQ137" s="36"/>
      <c r="CR137" s="36"/>
      <c r="CS137" s="36"/>
      <c r="CT137" s="36"/>
      <c r="CU137" s="36"/>
      <c r="CV137" s="36"/>
      <c r="CW137" s="36"/>
      <c r="CX137" s="36"/>
      <c r="CY137" s="36">
        <v>1</v>
      </c>
      <c r="CZ137" s="36"/>
      <c r="DA137" s="36"/>
      <c r="DB137" s="36"/>
      <c r="DC137" s="36"/>
      <c r="DD137" s="36">
        <f>-1/0.95</f>
        <v>-1.0526315789473684</v>
      </c>
      <c r="DE137" s="36"/>
      <c r="DF137" s="36"/>
      <c r="DG137" s="36"/>
      <c r="DH137" s="36"/>
      <c r="DI137" s="36"/>
      <c r="DJ137" s="36"/>
      <c r="DK137" s="36"/>
      <c r="DL137" s="36"/>
      <c r="DM137" s="36"/>
      <c r="DN137" s="36"/>
      <c r="DO137" s="36">
        <f>-188/192</f>
        <v>-0.97916666666666663</v>
      </c>
      <c r="DP137" s="36"/>
      <c r="DQ137" s="36"/>
      <c r="DR137" s="36"/>
      <c r="DS137" s="36"/>
      <c r="DT137" s="36"/>
      <c r="DU137" s="36"/>
      <c r="DV137" s="36"/>
      <c r="DW137" s="36"/>
      <c r="DX137" s="36"/>
      <c r="DY137" s="36"/>
      <c r="DZ137" s="36"/>
      <c r="EA137" s="36"/>
      <c r="EB137" s="36"/>
      <c r="EC137" s="36"/>
      <c r="ED137" s="36"/>
      <c r="EE137" s="36"/>
      <c r="EF137" s="36"/>
      <c r="EG137" s="36"/>
      <c r="EH137" s="36"/>
      <c r="EI137" s="36"/>
      <c r="EJ137" s="36"/>
      <c r="EK137" s="36"/>
      <c r="EL137" s="36"/>
      <c r="EM137" s="36"/>
      <c r="EN137" s="36"/>
      <c r="EO137" s="36"/>
      <c r="EP137" s="36"/>
      <c r="EQ137" s="36"/>
      <c r="ER137" s="36"/>
      <c r="ES137" s="36"/>
      <c r="ET137" s="36"/>
      <c r="EU137" s="36"/>
      <c r="EV137" s="36"/>
      <c r="EW137" s="36"/>
      <c r="EX137" s="36"/>
      <c r="EY137" s="36"/>
      <c r="EZ137" s="36"/>
      <c r="FA137" s="36"/>
      <c r="FB137" s="36"/>
      <c r="FC137" s="36"/>
      <c r="FD137" s="36"/>
      <c r="FE137" s="36"/>
      <c r="FF137" s="36"/>
      <c r="FG137" s="36"/>
      <c r="FH137" s="36"/>
      <c r="FI137" s="36"/>
      <c r="FJ137" s="36"/>
      <c r="FK137" s="36"/>
      <c r="FL137" s="36"/>
      <c r="FM137" s="36"/>
      <c r="FN137" s="36"/>
      <c r="FO137" s="36"/>
      <c r="FP137" s="36"/>
      <c r="FQ137" s="36"/>
      <c r="FR137" s="36"/>
      <c r="FS137" s="36"/>
      <c r="FT137" s="36"/>
      <c r="FU137" s="36"/>
      <c r="FV137" s="36"/>
      <c r="FW137" s="36"/>
      <c r="FX137" s="36"/>
      <c r="FY137" s="36"/>
      <c r="FZ137" s="36"/>
      <c r="GA137" s="36"/>
      <c r="GB137" s="319"/>
      <c r="GC137" s="179">
        <f t="shared" si="28"/>
        <v>0</v>
      </c>
      <c r="GD137" s="179">
        <f t="shared" si="29"/>
        <v>0</v>
      </c>
      <c r="GE137" s="179">
        <f t="shared" si="30"/>
        <v>0</v>
      </c>
      <c r="GF137" s="179">
        <f t="shared" si="31"/>
        <v>0</v>
      </c>
      <c r="GG137" s="179">
        <f t="shared" si="21"/>
        <v>0</v>
      </c>
    </row>
    <row r="138" spans="1:189" x14ac:dyDescent="0.35">
      <c r="A138" s="6" t="s">
        <v>1013</v>
      </c>
      <c r="B138" s="6" t="str">
        <f>IF(Technologies!B138&lt;&gt;0,Technologies!B138,"")</f>
        <v>Industrie</v>
      </c>
      <c r="C138" s="6" t="str">
        <f>VLOOKUP($A138,Technologies!$A$7:$H$576,3,FALSE)</f>
        <v>Final</v>
      </c>
      <c r="D138" s="6" t="str">
        <f>VLOOKUP($A138,Technologies!$A$7:$H$576,4,FALSE)</f>
        <v>Industry</v>
      </c>
      <c r="E138" s="6" t="str">
        <f>VLOOKUP($A138,Technologies!$A$7:$H$576,6,FALSE)</f>
        <v>Sorted polypropylene</v>
      </c>
      <c r="F138" s="48" t="str">
        <f>VLOOKUP($A138,Technologies!$A$7:$H$576,7,FALSE)</f>
        <v>Dissolution PP</v>
      </c>
      <c r="G138" s="23"/>
      <c r="H138" s="23"/>
      <c r="I138" s="104" cm="1">
        <f t="array" ref="I138">-SUMPRODUCT((Feedstocks!$C$4:$C$141=A138)*Feedstocks!$E$4:$E$141,Feedstocks!$F$4:$F$141,Feedstocks!$H$4:$H$141,Feedstocks!$I$4:$I$141)</f>
        <v>0</v>
      </c>
      <c r="J138" s="104" cm="1">
        <f t="array" ref="J138">-SUMPRODUCT((Feedstocks!$C$4:$C$141=A138)*Feedstocks!$E$4:$E$141,Feedstocks!$H$4:$H$141,Feedstocks!$I$4:$I$141)</f>
        <v>0</v>
      </c>
      <c r="K138" s="104"/>
      <c r="L138" s="104"/>
      <c r="M138" s="22"/>
      <c r="N138" s="22" t="str">
        <f>VLOOKUP(E138,Activities!$A$9:$M$227,13,FALSE)</f>
        <v>NL</v>
      </c>
      <c r="O138" s="22"/>
      <c r="P138" s="80" t="s">
        <v>1012</v>
      </c>
      <c r="Q138" s="36"/>
      <c r="R138" s="36"/>
      <c r="S138" s="36"/>
      <c r="T138" s="36"/>
      <c r="U138" s="36"/>
      <c r="V138" s="36"/>
      <c r="W138" s="36"/>
      <c r="X138" s="36"/>
      <c r="Y138" s="36"/>
      <c r="Z138" s="36"/>
      <c r="AA138" s="36"/>
      <c r="AB138" s="36"/>
      <c r="AC138" s="36"/>
      <c r="AD138" s="36"/>
      <c r="AE138" s="36"/>
      <c r="AF138" s="36"/>
      <c r="AG138" s="36"/>
      <c r="AH138" s="36"/>
      <c r="AI138" s="36"/>
      <c r="AJ138" s="36"/>
      <c r="AK138" s="36">
        <f>1/1.11111111</f>
        <v>0.90000000089999999</v>
      </c>
      <c r="AL138" s="36"/>
      <c r="AM138" s="36"/>
      <c r="AN138" s="36"/>
      <c r="AO138" s="36"/>
      <c r="AP138" s="36"/>
      <c r="AQ138" s="36"/>
      <c r="AR138" s="36"/>
      <c r="AS138" s="36"/>
      <c r="AT138" s="36"/>
      <c r="AU138" s="36"/>
      <c r="AV138" s="36"/>
      <c r="AW138" s="36"/>
      <c r="AX138" s="36"/>
      <c r="AY138" s="36"/>
      <c r="AZ138" s="35"/>
      <c r="BA138" s="36"/>
      <c r="BB138" s="36"/>
      <c r="BC138" s="36"/>
      <c r="BD138" s="36"/>
      <c r="BE138" s="36"/>
      <c r="BF138" s="36"/>
      <c r="BG138" s="36"/>
      <c r="BH138" s="36"/>
      <c r="BI138" s="36"/>
      <c r="BJ138" s="36"/>
      <c r="BK138" s="36"/>
      <c r="BL138" s="36"/>
      <c r="BM138" s="36"/>
      <c r="BN138" s="36"/>
      <c r="BO138" s="36"/>
      <c r="BP138" s="36"/>
      <c r="BQ138" s="36"/>
      <c r="BR138" s="36"/>
      <c r="BS138" s="36"/>
      <c r="BT138" s="36"/>
      <c r="BU138" s="36"/>
      <c r="BV138" s="36"/>
      <c r="BW138" s="36"/>
      <c r="BX138" s="36"/>
      <c r="BY138" s="36"/>
      <c r="BZ138" s="36"/>
      <c r="CA138" s="36"/>
      <c r="CB138" s="36"/>
      <c r="CC138" s="36"/>
      <c r="CD138" s="36"/>
      <c r="CE138" s="36"/>
      <c r="CF138" s="36"/>
      <c r="CG138" s="36"/>
      <c r="CH138" s="36"/>
      <c r="CI138" s="36"/>
      <c r="CJ138" s="36"/>
      <c r="CK138" s="36"/>
      <c r="CL138" s="36"/>
      <c r="CM138" s="36"/>
      <c r="CN138" s="36"/>
      <c r="CO138" s="36"/>
      <c r="CP138" s="36"/>
      <c r="CQ138" s="36"/>
      <c r="CR138" s="36"/>
      <c r="CS138" s="36"/>
      <c r="CT138" s="36"/>
      <c r="CU138" s="36"/>
      <c r="CV138" s="36"/>
      <c r="CW138" s="36"/>
      <c r="CX138" s="36"/>
      <c r="CY138" s="36"/>
      <c r="CZ138" s="36"/>
      <c r="DA138" s="36"/>
      <c r="DB138" s="36"/>
      <c r="DC138" s="36">
        <f>-1</f>
        <v>-1</v>
      </c>
      <c r="DD138" s="36"/>
      <c r="DE138" s="36"/>
      <c r="DF138" s="36"/>
      <c r="DG138" s="36"/>
      <c r="DH138" s="36">
        <f>$DH$80*(1-0.47)</f>
        <v>-0.68937100000000007</v>
      </c>
      <c r="DI138" s="36"/>
      <c r="DJ138" s="36"/>
      <c r="DK138" s="36"/>
      <c r="DL138" s="36"/>
      <c r="DM138" s="36"/>
      <c r="DN138" s="36"/>
      <c r="DO138" s="36">
        <f>$DO$80*(1-0.47)</f>
        <v>-2.1739009999999999</v>
      </c>
      <c r="DP138" s="36"/>
      <c r="DQ138" s="36"/>
      <c r="DR138" s="36"/>
      <c r="DS138" s="36"/>
      <c r="DT138" s="36"/>
      <c r="DU138" s="36"/>
      <c r="DV138" s="36"/>
      <c r="DW138" s="36"/>
      <c r="DX138" s="36"/>
      <c r="DY138" s="36"/>
      <c r="DZ138" s="36"/>
      <c r="EA138" s="36"/>
      <c r="EB138" s="36"/>
      <c r="EC138" s="36"/>
      <c r="ED138" s="36"/>
      <c r="EE138" s="36"/>
      <c r="EF138" s="36"/>
      <c r="EG138" s="36"/>
      <c r="EH138" s="36"/>
      <c r="EI138" s="36"/>
      <c r="EJ138" s="36"/>
      <c r="EK138" s="36"/>
      <c r="EL138" s="36"/>
      <c r="EM138" s="36"/>
      <c r="EN138" s="36"/>
      <c r="EO138" s="36"/>
      <c r="EP138" s="36"/>
      <c r="EQ138" s="36"/>
      <c r="ER138" s="36"/>
      <c r="ES138" s="36"/>
      <c r="ET138" s="36"/>
      <c r="EU138" s="36"/>
      <c r="EV138" s="36"/>
      <c r="EW138" s="36"/>
      <c r="EX138" s="36"/>
      <c r="EY138" s="36"/>
      <c r="EZ138" s="36"/>
      <c r="FA138" s="36"/>
      <c r="FB138" s="36"/>
      <c r="FC138" s="36"/>
      <c r="FD138" s="36"/>
      <c r="FE138" s="36"/>
      <c r="FF138" s="36"/>
      <c r="FG138" s="36"/>
      <c r="FH138" s="36"/>
      <c r="FI138" s="36"/>
      <c r="FJ138" s="36"/>
      <c r="FK138" s="36"/>
      <c r="FL138" s="36"/>
      <c r="FM138" s="36"/>
      <c r="FN138" s="36"/>
      <c r="FO138" s="36"/>
      <c r="FP138" s="36"/>
      <c r="FQ138" s="36"/>
      <c r="FR138" s="36"/>
      <c r="FS138" s="36"/>
      <c r="FT138" s="36"/>
      <c r="FU138" s="36"/>
      <c r="FV138" s="36"/>
      <c r="FW138" s="36"/>
      <c r="FX138" s="36"/>
      <c r="FY138" s="36"/>
      <c r="FZ138" s="36"/>
      <c r="GA138" s="36"/>
      <c r="GB138" s="319"/>
      <c r="GC138" s="179">
        <f t="shared" si="28"/>
        <v>0</v>
      </c>
      <c r="GD138" s="179">
        <f t="shared" si="29"/>
        <v>0</v>
      </c>
      <c r="GE138" s="179">
        <f t="shared" si="30"/>
        <v>0</v>
      </c>
      <c r="GF138" s="179">
        <f t="shared" si="31"/>
        <v>0</v>
      </c>
      <c r="GG138" s="179">
        <f t="shared" si="21"/>
        <v>0</v>
      </c>
    </row>
    <row r="139" spans="1:189" x14ac:dyDescent="0.35">
      <c r="A139" s="6" t="s">
        <v>1015</v>
      </c>
      <c r="B139" s="6" t="str">
        <f>IF(Technologies!B139&lt;&gt;0,Technologies!B139,"")</f>
        <v>Industrie</v>
      </c>
      <c r="C139" s="6" t="str">
        <f>VLOOKUP($A139,Technologies!$A$7:$H$576,3,FALSE)</f>
        <v>Final</v>
      </c>
      <c r="D139" s="6" t="str">
        <f>VLOOKUP($A139,Technologies!$A$7:$H$576,4,FALSE)</f>
        <v>Industry</v>
      </c>
      <c r="E139" s="6" t="str">
        <f>VLOOKUP($A139,Technologies!$A$7:$H$576,6,FALSE)</f>
        <v>Sorted PVC</v>
      </c>
      <c r="F139" s="48" t="str">
        <f>VLOOKUP($A139,Technologies!$A$7:$H$576,7,FALSE)</f>
        <v>Depolymerization PVC</v>
      </c>
      <c r="G139" s="23"/>
      <c r="H139" s="23"/>
      <c r="I139" s="104" cm="1">
        <f t="array" ref="I139">-SUMPRODUCT((Feedstocks!$C$4:$C$141=A139)*Feedstocks!$E$4:$E$141,Feedstocks!$F$4:$F$141,Feedstocks!$H$4:$H$141,Feedstocks!$I$4:$I$141)</f>
        <v>0</v>
      </c>
      <c r="J139" s="104" cm="1">
        <f t="array" ref="J139">-SUMPRODUCT((Feedstocks!$C$4:$C$141=A139)*Feedstocks!$E$4:$E$141,Feedstocks!$H$4:$H$141,Feedstocks!$I$4:$I$141)</f>
        <v>0</v>
      </c>
      <c r="K139" s="104"/>
      <c r="L139" s="104"/>
      <c r="M139" s="22"/>
      <c r="N139" s="22" t="str">
        <f>VLOOKUP(E139,Activities!$A$9:$M$227,13,FALSE)</f>
        <v>NL</v>
      </c>
      <c r="O139" s="22"/>
      <c r="P139" s="80" t="s">
        <v>1012</v>
      </c>
      <c r="Q139" s="36"/>
      <c r="R139" s="36"/>
      <c r="S139" s="36"/>
      <c r="T139" s="36"/>
      <c r="U139" s="36"/>
      <c r="V139" s="36"/>
      <c r="W139" s="36"/>
      <c r="X139" s="36"/>
      <c r="Y139" s="36"/>
      <c r="Z139" s="36"/>
      <c r="AA139" s="36"/>
      <c r="AB139" s="36"/>
      <c r="AC139" s="36"/>
      <c r="AD139" s="36"/>
      <c r="AE139" s="36"/>
      <c r="AF139" s="36"/>
      <c r="AG139" s="36"/>
      <c r="AH139" s="35"/>
      <c r="AI139" s="35"/>
      <c r="AJ139" s="35"/>
      <c r="AK139" s="35"/>
      <c r="AL139" s="35"/>
      <c r="AM139" s="35">
        <v>0.9</v>
      </c>
      <c r="AN139" s="36"/>
      <c r="AO139" s="36"/>
      <c r="AP139" s="36"/>
      <c r="AQ139" s="36"/>
      <c r="AR139" s="36"/>
      <c r="AS139" s="36"/>
      <c r="AT139" s="36"/>
      <c r="AU139" s="36"/>
      <c r="AV139" s="36"/>
      <c r="AW139" s="36"/>
      <c r="AX139" s="36"/>
      <c r="AY139" s="36"/>
      <c r="AZ139" s="36"/>
      <c r="BA139" s="36"/>
      <c r="BB139" s="36"/>
      <c r="BC139" s="36"/>
      <c r="BD139" s="36"/>
      <c r="BE139" s="36"/>
      <c r="BF139" s="36"/>
      <c r="BG139" s="36"/>
      <c r="BH139" s="36"/>
      <c r="BI139" s="36"/>
      <c r="BJ139" s="36"/>
      <c r="BK139" s="36"/>
      <c r="BL139" s="36"/>
      <c r="BM139" s="36"/>
      <c r="BN139" s="36"/>
      <c r="BO139" s="36"/>
      <c r="BP139" s="36"/>
      <c r="BQ139" s="36"/>
      <c r="BR139" s="36"/>
      <c r="BS139" s="36"/>
      <c r="BT139" s="36"/>
      <c r="BU139" s="36"/>
      <c r="BV139" s="36"/>
      <c r="BW139" s="36"/>
      <c r="BX139" s="36"/>
      <c r="BY139" s="36"/>
      <c r="BZ139" s="36"/>
      <c r="CA139" s="36"/>
      <c r="CB139" s="36"/>
      <c r="CC139" s="36"/>
      <c r="CD139" s="36"/>
      <c r="CE139" s="36"/>
      <c r="CF139" s="36"/>
      <c r="CG139" s="36"/>
      <c r="CH139" s="36"/>
      <c r="CI139" s="36"/>
      <c r="CJ139" s="36"/>
      <c r="CK139" s="36"/>
      <c r="CL139" s="36"/>
      <c r="CM139" s="36"/>
      <c r="CN139" s="36"/>
      <c r="CO139" s="36"/>
      <c r="CP139" s="36"/>
      <c r="CQ139" s="36"/>
      <c r="CR139" s="36"/>
      <c r="CS139" s="36"/>
      <c r="CT139" s="36"/>
      <c r="CU139" s="36"/>
      <c r="CV139" s="36"/>
      <c r="CW139" s="35"/>
      <c r="CX139" s="35"/>
      <c r="CY139" s="35"/>
      <c r="CZ139" s="35"/>
      <c r="DA139" s="35"/>
      <c r="DB139" s="35"/>
      <c r="DC139" s="35"/>
      <c r="DD139" s="35"/>
      <c r="DE139" s="35">
        <f>-1/0.95</f>
        <v>-1.0526315789473684</v>
      </c>
      <c r="DF139" s="36"/>
      <c r="DG139" s="36"/>
      <c r="DH139" s="35">
        <f>-1.40184/1.11111111</f>
        <v>-1.261656001261656</v>
      </c>
      <c r="DI139" s="35"/>
      <c r="DJ139" s="35"/>
      <c r="DK139" s="35"/>
      <c r="DL139" s="35"/>
      <c r="DM139" s="35"/>
      <c r="DN139" s="35"/>
      <c r="DO139" s="35">
        <f>-30.244239696/1.11111111</f>
        <v>-27.219815753619816</v>
      </c>
      <c r="DP139" s="35"/>
      <c r="DQ139" s="36"/>
      <c r="DR139" s="36"/>
      <c r="DS139" s="36"/>
      <c r="DT139" s="36"/>
      <c r="DU139" s="36"/>
      <c r="DV139" s="36"/>
      <c r="DW139" s="36"/>
      <c r="DX139" s="36"/>
      <c r="DY139" s="36"/>
      <c r="DZ139" s="36"/>
      <c r="EA139" s="36"/>
      <c r="EB139" s="36"/>
      <c r="EC139" s="36"/>
      <c r="ED139" s="35"/>
      <c r="EE139" s="36"/>
      <c r="EF139" s="36"/>
      <c r="EG139" s="35"/>
      <c r="EH139" s="36"/>
      <c r="EI139" s="36"/>
      <c r="EJ139" s="35"/>
      <c r="EK139" s="36"/>
      <c r="EL139" s="36"/>
      <c r="EM139" s="35"/>
      <c r="EN139" s="36"/>
      <c r="EO139" s="36"/>
      <c r="EP139" s="35"/>
      <c r="EQ139" s="36"/>
      <c r="ER139" s="36"/>
      <c r="ES139" s="36"/>
      <c r="ET139" s="36"/>
      <c r="EU139" s="36"/>
      <c r="EV139" s="36"/>
      <c r="EW139" s="35"/>
      <c r="EX139" s="35"/>
      <c r="EY139" s="35"/>
      <c r="EZ139" s="35"/>
      <c r="FA139" s="36"/>
      <c r="FB139" s="36"/>
      <c r="FC139" s="36"/>
      <c r="FD139" s="36"/>
      <c r="FE139" s="36"/>
      <c r="FF139" s="36"/>
      <c r="FG139" s="36"/>
      <c r="FH139" s="36"/>
      <c r="FI139" s="36"/>
      <c r="FJ139" s="36"/>
      <c r="FK139" s="36"/>
      <c r="FL139" s="36"/>
      <c r="FM139" s="36"/>
      <c r="FN139" s="36"/>
      <c r="FO139" s="36"/>
      <c r="FP139" s="36"/>
      <c r="FQ139" s="36"/>
      <c r="FR139" s="36"/>
      <c r="FS139" s="36"/>
      <c r="FT139" s="36"/>
      <c r="FU139" s="36"/>
      <c r="FV139" s="36"/>
      <c r="FW139" s="36"/>
      <c r="FX139" s="36"/>
      <c r="FY139" s="36"/>
      <c r="FZ139" s="36"/>
      <c r="GA139" s="36"/>
      <c r="GB139" s="319"/>
      <c r="GC139" s="179">
        <f t="shared" si="28"/>
        <v>0</v>
      </c>
      <c r="GD139" s="179">
        <f t="shared" si="29"/>
        <v>0</v>
      </c>
      <c r="GE139" s="179">
        <f t="shared" si="30"/>
        <v>0</v>
      </c>
      <c r="GF139" s="179">
        <f t="shared" si="31"/>
        <v>0</v>
      </c>
      <c r="GG139" s="179">
        <f t="shared" si="21"/>
        <v>0</v>
      </c>
    </row>
    <row r="140" spans="1:189" x14ac:dyDescent="0.35">
      <c r="A140" s="6" t="s">
        <v>1017</v>
      </c>
      <c r="B140" s="6" t="str">
        <f>IF(Technologies!B140&lt;&gt;0,Technologies!B140,"")</f>
        <v>Industrie</v>
      </c>
      <c r="C140" s="6" t="str">
        <f>VLOOKUP($A140,Technologies!$A$7:$H$576,3,FALSE)</f>
        <v>Final</v>
      </c>
      <c r="D140" s="6" t="str">
        <f>VLOOKUP($A140,Technologies!$A$7:$H$576,4,FALSE)</f>
        <v>Industry</v>
      </c>
      <c r="E140" s="6" t="str">
        <f>VLOOKUP($A140,Technologies!$A$7:$H$576,6,FALSE)</f>
        <v>Sorted polyethylene</v>
      </c>
      <c r="F140" s="48" t="str">
        <f>VLOOKUP($A140,Technologies!$A$7:$H$576,7,FALSE)</f>
        <v>Dissolution of PE waste streams</v>
      </c>
      <c r="G140" s="23"/>
      <c r="H140" s="23"/>
      <c r="I140" s="104" cm="1">
        <f t="array" ref="I140">-SUMPRODUCT((Feedstocks!$C$4:$C$141=A140)*Feedstocks!$E$4:$E$141,Feedstocks!$F$4:$F$141,Feedstocks!$H$4:$H$141,Feedstocks!$I$4:$I$141)</f>
        <v>0</v>
      </c>
      <c r="J140" s="104" cm="1">
        <f t="array" ref="J140">-SUMPRODUCT((Feedstocks!$C$4:$C$141=A140)*Feedstocks!$E$4:$E$141,Feedstocks!$H$4:$H$141,Feedstocks!$I$4:$I$141)</f>
        <v>0</v>
      </c>
      <c r="K140" s="104"/>
      <c r="L140" s="104"/>
      <c r="M140" s="22"/>
      <c r="N140" s="22" t="str">
        <f>VLOOKUP(E140,Activities!$A$9:$M$227,13,FALSE)</f>
        <v>NL</v>
      </c>
      <c r="O140" s="22"/>
      <c r="P140" s="80" t="s">
        <v>1012</v>
      </c>
      <c r="Q140" s="36"/>
      <c r="R140" s="36"/>
      <c r="S140" s="36"/>
      <c r="T140" s="36"/>
      <c r="U140" s="36"/>
      <c r="V140" s="36"/>
      <c r="W140" s="36"/>
      <c r="X140" s="36"/>
      <c r="Y140" s="36"/>
      <c r="Z140" s="36"/>
      <c r="AA140" s="36"/>
      <c r="AB140" s="36"/>
      <c r="AC140" s="36"/>
      <c r="AD140" s="36"/>
      <c r="AE140" s="36"/>
      <c r="AF140" s="36"/>
      <c r="AG140" s="36"/>
      <c r="AH140" s="36">
        <f>0.684210526315789/1.11111111</f>
        <v>0.61578947429999964</v>
      </c>
      <c r="AI140" s="36"/>
      <c r="AJ140" s="36">
        <f>0.315789473684211/1.11111111</f>
        <v>0.28421052660000046</v>
      </c>
      <c r="AK140" s="36"/>
      <c r="AL140" s="36"/>
      <c r="AM140" s="36"/>
      <c r="AN140" s="36"/>
      <c r="AO140" s="36"/>
      <c r="AP140" s="36"/>
      <c r="AQ140" s="36"/>
      <c r="AR140" s="36"/>
      <c r="AS140" s="36"/>
      <c r="AT140" s="36"/>
      <c r="AU140" s="36"/>
      <c r="AV140" s="36"/>
      <c r="AW140" s="36"/>
      <c r="AX140" s="36"/>
      <c r="AY140" s="36"/>
      <c r="AZ140" s="35"/>
      <c r="BA140" s="36"/>
      <c r="BB140" s="36"/>
      <c r="BC140" s="36"/>
      <c r="BD140" s="36"/>
      <c r="BE140" s="36"/>
      <c r="BF140" s="36"/>
      <c r="BG140" s="36"/>
      <c r="BH140" s="36"/>
      <c r="BI140" s="36"/>
      <c r="BJ140" s="36"/>
      <c r="BK140" s="36"/>
      <c r="BL140" s="36"/>
      <c r="BM140" s="36"/>
      <c r="BN140" s="36"/>
      <c r="BO140" s="36"/>
      <c r="BP140" s="36"/>
      <c r="BQ140" s="36"/>
      <c r="BR140" s="36"/>
      <c r="BS140" s="36"/>
      <c r="BT140" s="36"/>
      <c r="BU140" s="36"/>
      <c r="BV140" s="36"/>
      <c r="BW140" s="36"/>
      <c r="BX140" s="36"/>
      <c r="BY140" s="36"/>
      <c r="BZ140" s="36"/>
      <c r="CA140" s="36"/>
      <c r="CB140" s="36"/>
      <c r="CC140" s="36"/>
      <c r="CD140" s="36"/>
      <c r="CE140" s="36"/>
      <c r="CF140" s="36"/>
      <c r="CG140" s="36"/>
      <c r="CH140" s="36"/>
      <c r="CI140" s="36"/>
      <c r="CJ140" s="36"/>
      <c r="CK140" s="36"/>
      <c r="CL140" s="36"/>
      <c r="CM140" s="36"/>
      <c r="CN140" s="36"/>
      <c r="CO140" s="36"/>
      <c r="CP140" s="36"/>
      <c r="CQ140" s="36"/>
      <c r="CR140" s="36"/>
      <c r="CS140" s="36"/>
      <c r="CT140" s="36"/>
      <c r="CU140" s="36"/>
      <c r="CV140" s="36"/>
      <c r="CW140" s="36"/>
      <c r="CX140" s="36"/>
      <c r="CY140" s="36"/>
      <c r="CZ140" s="36"/>
      <c r="DA140" s="36"/>
      <c r="DB140" s="36">
        <v>-1</v>
      </c>
      <c r="DC140" s="36"/>
      <c r="DD140" s="36"/>
      <c r="DE140" s="36"/>
      <c r="DF140" s="36"/>
      <c r="DG140" s="36"/>
      <c r="DH140" s="36">
        <f>$DH$80*(1-0.47)</f>
        <v>-0.68937100000000007</v>
      </c>
      <c r="DI140" s="36"/>
      <c r="DJ140" s="36"/>
      <c r="DK140" s="36"/>
      <c r="DL140" s="36"/>
      <c r="DM140" s="36"/>
      <c r="DN140" s="36"/>
      <c r="DO140" s="36">
        <f>$DO$80*(1-0.47)</f>
        <v>-2.1739009999999999</v>
      </c>
      <c r="DP140" s="36"/>
      <c r="DQ140" s="36"/>
      <c r="DR140" s="36"/>
      <c r="DS140" s="36"/>
      <c r="DT140" s="36"/>
      <c r="DU140" s="36"/>
      <c r="DV140" s="36"/>
      <c r="DW140" s="36"/>
      <c r="DX140" s="36"/>
      <c r="DY140" s="36"/>
      <c r="DZ140" s="36"/>
      <c r="EA140" s="36"/>
      <c r="EB140" s="36"/>
      <c r="EC140" s="36"/>
      <c r="ED140" s="36"/>
      <c r="EE140" s="36"/>
      <c r="EF140" s="36"/>
      <c r="EG140" s="36"/>
      <c r="EH140" s="36"/>
      <c r="EI140" s="36"/>
      <c r="EJ140" s="36"/>
      <c r="EK140" s="36"/>
      <c r="EL140" s="36"/>
      <c r="EM140" s="36"/>
      <c r="EN140" s="36"/>
      <c r="EO140" s="36"/>
      <c r="EP140" s="36"/>
      <c r="EQ140" s="36"/>
      <c r="ER140" s="36"/>
      <c r="ES140" s="36"/>
      <c r="ET140" s="36"/>
      <c r="EU140" s="36"/>
      <c r="EV140" s="36"/>
      <c r="EW140" s="36"/>
      <c r="EX140" s="36"/>
      <c r="EY140" s="36"/>
      <c r="EZ140" s="36"/>
      <c r="FA140" s="36"/>
      <c r="FB140" s="36"/>
      <c r="FC140" s="36"/>
      <c r="FD140" s="36"/>
      <c r="FE140" s="36"/>
      <c r="FF140" s="36"/>
      <c r="FG140" s="36"/>
      <c r="FH140" s="36"/>
      <c r="FI140" s="36"/>
      <c r="FJ140" s="36"/>
      <c r="FK140" s="36"/>
      <c r="FL140" s="36"/>
      <c r="FM140" s="36"/>
      <c r="FN140" s="36"/>
      <c r="FO140" s="36"/>
      <c r="FP140" s="36"/>
      <c r="FQ140" s="36"/>
      <c r="FR140" s="36"/>
      <c r="FS140" s="36"/>
      <c r="FT140" s="36"/>
      <c r="FU140" s="36"/>
      <c r="FV140" s="36"/>
      <c r="FW140" s="36"/>
      <c r="FX140" s="36"/>
      <c r="FY140" s="36"/>
      <c r="FZ140" s="36"/>
      <c r="GA140" s="36"/>
      <c r="GB140" s="319"/>
      <c r="GC140" s="179">
        <f t="shared" si="28"/>
        <v>0</v>
      </c>
      <c r="GD140" s="179">
        <f t="shared" si="29"/>
        <v>0</v>
      </c>
      <c r="GE140" s="179">
        <f t="shared" si="30"/>
        <v>0</v>
      </c>
      <c r="GF140" s="179">
        <f t="shared" si="31"/>
        <v>0</v>
      </c>
      <c r="GG140" s="179">
        <f t="shared" si="21"/>
        <v>0</v>
      </c>
    </row>
    <row r="141" spans="1:189" x14ac:dyDescent="0.35">
      <c r="A141" s="6" t="s">
        <v>1020</v>
      </c>
      <c r="B141" s="6" t="str">
        <f>IF(Technologies!B141&lt;&gt;0,Technologies!B141,"")</f>
        <v>Industrie</v>
      </c>
      <c r="C141" s="6" t="str">
        <f>VLOOKUP($A141,Technologies!$A$7:$H$576,3,FALSE)</f>
        <v>Conversion</v>
      </c>
      <c r="D141" s="6" t="str">
        <f>VLOOKUP($A141,Technologies!$A$7:$H$576,4,FALSE)</f>
        <v>Industry</v>
      </c>
      <c r="E141" s="6" t="str">
        <f>VLOOKUP($A141,Technologies!$A$7:$H$576,6,FALSE)</f>
        <v>Waste for incineration</v>
      </c>
      <c r="F141" s="48" t="str">
        <f>VLOOKUP($A141,Technologies!$A$7:$H$576,7,FALSE)</f>
        <v>Dummy - conversion of municipal waste to waste for incineration</v>
      </c>
      <c r="G141" s="23"/>
      <c r="H141" s="23"/>
      <c r="I141" s="104" cm="1">
        <f t="array" ref="I141">-SUMPRODUCT((Feedstocks!$C$4:$C$141=A141)*Feedstocks!$E$4:$E$141,Feedstocks!$F$4:$F$141,Feedstocks!$H$4:$H$141,Feedstocks!$I$4:$I$141)</f>
        <v>0</v>
      </c>
      <c r="J141" s="104" cm="1">
        <f t="array" ref="J141">-SUMPRODUCT((Feedstocks!$C$4:$C$141=A141)*Feedstocks!$E$4:$E$141,Feedstocks!$H$4:$H$141,Feedstocks!$I$4:$I$141)</f>
        <v>0</v>
      </c>
      <c r="K141" s="104"/>
      <c r="L141" s="104"/>
      <c r="M141" s="22"/>
      <c r="N141" s="22" t="str">
        <f>VLOOKUP(E141,Activities!$A$9:$M$227,13,FALSE)</f>
        <v>NL</v>
      </c>
      <c r="O141" s="22"/>
      <c r="P141" s="80" t="s">
        <v>502</v>
      </c>
      <c r="Q141" s="36"/>
      <c r="R141" s="36"/>
      <c r="S141" s="36"/>
      <c r="T141" s="36"/>
      <c r="U141" s="36"/>
      <c r="V141" s="36"/>
      <c r="W141" s="36"/>
      <c r="X141" s="36"/>
      <c r="Y141" s="36"/>
      <c r="Z141" s="36"/>
      <c r="AA141" s="36"/>
      <c r="AB141" s="36"/>
      <c r="AC141" s="36"/>
      <c r="AD141" s="36"/>
      <c r="AE141" s="36"/>
      <c r="AF141" s="36"/>
      <c r="AG141" s="36"/>
      <c r="AH141" s="35"/>
      <c r="AI141" s="35"/>
      <c r="AJ141" s="35"/>
      <c r="AK141" s="35"/>
      <c r="AL141" s="35"/>
      <c r="AM141" s="35"/>
      <c r="AN141" s="36"/>
      <c r="AO141" s="36"/>
      <c r="AP141" s="36"/>
      <c r="AQ141" s="36"/>
      <c r="AR141" s="36"/>
      <c r="AS141" s="36"/>
      <c r="AT141" s="36"/>
      <c r="AU141" s="36"/>
      <c r="AV141" s="36"/>
      <c r="AW141" s="36"/>
      <c r="AX141" s="36"/>
      <c r="AY141" s="36"/>
      <c r="AZ141" s="36"/>
      <c r="BA141" s="36"/>
      <c r="BB141" s="36"/>
      <c r="BC141" s="36"/>
      <c r="BD141" s="36"/>
      <c r="BE141" s="36"/>
      <c r="BF141" s="36"/>
      <c r="BG141" s="36"/>
      <c r="BH141" s="36"/>
      <c r="BI141" s="36"/>
      <c r="BJ141" s="36"/>
      <c r="BK141" s="36"/>
      <c r="BL141" s="36"/>
      <c r="BM141" s="36"/>
      <c r="BN141" s="36"/>
      <c r="BO141" s="36"/>
      <c r="BP141" s="36"/>
      <c r="BQ141" s="36"/>
      <c r="BR141" s="36"/>
      <c r="BS141" s="36"/>
      <c r="BT141" s="36"/>
      <c r="BU141" s="36"/>
      <c r="BV141" s="36"/>
      <c r="BW141" s="36"/>
      <c r="BX141" s="36"/>
      <c r="BY141" s="36"/>
      <c r="BZ141" s="36"/>
      <c r="CA141" s="36"/>
      <c r="CB141" s="36"/>
      <c r="CC141" s="36"/>
      <c r="CD141" s="36"/>
      <c r="CE141" s="36"/>
      <c r="CF141" s="36"/>
      <c r="CG141" s="36"/>
      <c r="CH141" s="36"/>
      <c r="CI141" s="36"/>
      <c r="CJ141" s="36"/>
      <c r="CK141" s="36"/>
      <c r="CL141" s="36"/>
      <c r="CM141" s="36"/>
      <c r="CN141" s="36"/>
      <c r="CO141" s="36"/>
      <c r="CP141" s="36"/>
      <c r="CQ141" s="36"/>
      <c r="CR141" s="36"/>
      <c r="CS141" s="36"/>
      <c r="CT141" s="36"/>
      <c r="CU141" s="36"/>
      <c r="CV141" s="36"/>
      <c r="CW141" s="35"/>
      <c r="CX141" s="35"/>
      <c r="CY141" s="35"/>
      <c r="CZ141" s="35"/>
      <c r="DA141" s="35"/>
      <c r="DB141" s="35"/>
      <c r="DC141" s="35"/>
      <c r="DD141" s="35"/>
      <c r="DE141" s="35"/>
      <c r="DF141" s="36"/>
      <c r="DG141" s="36"/>
      <c r="DH141" s="36"/>
      <c r="DI141" s="36"/>
      <c r="DJ141" s="36"/>
      <c r="DK141" s="36"/>
      <c r="DL141" s="36"/>
      <c r="DM141" s="36"/>
      <c r="DN141" s="36"/>
      <c r="DO141" s="36"/>
      <c r="DP141" s="36"/>
      <c r="DQ141" s="36"/>
      <c r="DR141" s="36"/>
      <c r="DS141" s="36"/>
      <c r="DT141" s="36"/>
      <c r="DU141" s="36"/>
      <c r="DV141" s="36"/>
      <c r="DW141" s="36"/>
      <c r="DX141" s="36"/>
      <c r="DY141" s="36"/>
      <c r="DZ141" s="36"/>
      <c r="EA141" s="36"/>
      <c r="EB141" s="36"/>
      <c r="EC141" s="36"/>
      <c r="ED141" s="35"/>
      <c r="EE141" s="36"/>
      <c r="EF141" s="36"/>
      <c r="EG141" s="35"/>
      <c r="EH141" s="36"/>
      <c r="EI141" s="36"/>
      <c r="EJ141" s="35"/>
      <c r="EK141" s="36"/>
      <c r="EL141" s="36"/>
      <c r="EM141" s="35"/>
      <c r="EN141" s="36"/>
      <c r="EO141" s="36"/>
      <c r="EP141" s="35"/>
      <c r="EQ141" s="36"/>
      <c r="ER141" s="36"/>
      <c r="ES141" s="36"/>
      <c r="ET141" s="36"/>
      <c r="EU141" s="36"/>
      <c r="EV141" s="36"/>
      <c r="EW141" s="35">
        <v>-1</v>
      </c>
      <c r="EX141" s="35"/>
      <c r="EY141" s="35">
        <v>1</v>
      </c>
      <c r="EZ141" s="35"/>
      <c r="FA141" s="36"/>
      <c r="FB141" s="36"/>
      <c r="FC141" s="36"/>
      <c r="FD141" s="36"/>
      <c r="FE141" s="36"/>
      <c r="FF141" s="36"/>
      <c r="FG141" s="36"/>
      <c r="FH141" s="36"/>
      <c r="FI141" s="36"/>
      <c r="FJ141" s="36"/>
      <c r="FK141" s="36"/>
      <c r="FL141" s="36"/>
      <c r="FM141" s="36"/>
      <c r="FN141" s="36"/>
      <c r="FO141" s="36"/>
      <c r="FP141" s="36"/>
      <c r="FQ141" s="36"/>
      <c r="FR141" s="36"/>
      <c r="FS141" s="36"/>
      <c r="FT141" s="36"/>
      <c r="FU141" s="36"/>
      <c r="FV141" s="36"/>
      <c r="FW141" s="36"/>
      <c r="FX141" s="36"/>
      <c r="FY141" s="36"/>
      <c r="FZ141" s="36"/>
      <c r="GA141" s="36"/>
      <c r="GB141" s="319"/>
      <c r="GC141" s="179">
        <f t="shared" si="28"/>
        <v>0</v>
      </c>
      <c r="GD141" s="179">
        <f t="shared" si="29"/>
        <v>0</v>
      </c>
      <c r="GE141" s="179">
        <f t="shared" si="30"/>
        <v>-1.72E-2</v>
      </c>
      <c r="GF141" s="179">
        <f t="shared" si="31"/>
        <v>0</v>
      </c>
      <c r="GG141" s="179">
        <f t="shared" si="21"/>
        <v>0</v>
      </c>
    </row>
    <row r="142" spans="1:189" x14ac:dyDescent="0.35">
      <c r="A142" s="6" t="s">
        <v>1022</v>
      </c>
      <c r="B142" s="6" t="str">
        <f>IF(Technologies!B142&lt;&gt;0,Technologies!B142,"")</f>
        <v>Industrie</v>
      </c>
      <c r="C142" s="6" t="str">
        <f>VLOOKUP($A142,Technologies!$A$7:$H$576,3,FALSE)</f>
        <v>Conversion</v>
      </c>
      <c r="D142" s="6" t="str">
        <f>VLOOKUP($A142,Technologies!$A$7:$H$576,4,FALSE)</f>
        <v>Industry</v>
      </c>
      <c r="E142" s="6" t="str">
        <f>VLOOKUP($A142,Technologies!$A$7:$H$576,6,FALSE)</f>
        <v>Waste for incineration</v>
      </c>
      <c r="F142" s="48" t="str">
        <f>VLOOKUP($A142,Technologies!$A$7:$H$576,7,FALSE)</f>
        <v>Dummy - conversion of residual plastic waste to waste for incineration</v>
      </c>
      <c r="G142" s="23"/>
      <c r="H142" s="23"/>
      <c r="I142" s="104" cm="1">
        <f t="array" ref="I142">-SUMPRODUCT((Feedstocks!$C$4:$C$141=A142)*Feedstocks!$E$4:$E$141,Feedstocks!$F$4:$F$141,Feedstocks!$H$4:$H$141,Feedstocks!$I$4:$I$141)</f>
        <v>0</v>
      </c>
      <c r="J142" s="104" cm="1">
        <f t="array" ref="J142">-SUMPRODUCT((Feedstocks!$C$4:$C$141=A142)*Feedstocks!$E$4:$E$141,Feedstocks!$H$4:$H$141,Feedstocks!$I$4:$I$141)</f>
        <v>0</v>
      </c>
      <c r="K142" s="104"/>
      <c r="L142" s="104"/>
      <c r="M142" s="22"/>
      <c r="N142" s="22" t="str">
        <f>VLOOKUP(E142,Activities!$A$9:$M$227,13,FALSE)</f>
        <v>NL</v>
      </c>
      <c r="O142" s="22"/>
      <c r="P142" s="80" t="s">
        <v>502</v>
      </c>
      <c r="Q142" s="36"/>
      <c r="R142" s="36"/>
      <c r="S142" s="36"/>
      <c r="T142" s="36"/>
      <c r="U142" s="36"/>
      <c r="V142" s="36"/>
      <c r="W142" s="36"/>
      <c r="X142" s="36"/>
      <c r="Y142" s="36"/>
      <c r="Z142" s="36"/>
      <c r="AA142" s="36"/>
      <c r="AB142" s="36"/>
      <c r="AC142" s="36"/>
      <c r="AD142" s="36"/>
      <c r="AE142" s="36"/>
      <c r="AF142" s="36"/>
      <c r="AG142" s="36"/>
      <c r="AH142" s="36"/>
      <c r="AI142" s="36"/>
      <c r="AJ142" s="36"/>
      <c r="AK142" s="36"/>
      <c r="AL142" s="36"/>
      <c r="AM142" s="36"/>
      <c r="AN142" s="36"/>
      <c r="AO142" s="36"/>
      <c r="AP142" s="36"/>
      <c r="AQ142" s="36"/>
      <c r="AR142" s="36"/>
      <c r="AS142" s="36"/>
      <c r="AT142" s="36"/>
      <c r="AU142" s="36"/>
      <c r="AV142" s="36"/>
      <c r="AW142" s="36"/>
      <c r="AX142" s="36"/>
      <c r="AY142" s="36"/>
      <c r="AZ142" s="35"/>
      <c r="BA142" s="36"/>
      <c r="BB142" s="36"/>
      <c r="BC142" s="36"/>
      <c r="BD142" s="36"/>
      <c r="BE142" s="36"/>
      <c r="BF142" s="36"/>
      <c r="BG142" s="36"/>
      <c r="BH142" s="36"/>
      <c r="BI142" s="36"/>
      <c r="BJ142" s="36"/>
      <c r="BK142" s="36"/>
      <c r="BL142" s="36"/>
      <c r="BM142" s="36"/>
      <c r="BN142" s="36"/>
      <c r="BO142" s="36"/>
      <c r="BP142" s="36"/>
      <c r="BQ142" s="36"/>
      <c r="BR142" s="36"/>
      <c r="BS142" s="36"/>
      <c r="BT142" s="36"/>
      <c r="BU142" s="36"/>
      <c r="BV142" s="36"/>
      <c r="BW142" s="36"/>
      <c r="BX142" s="36"/>
      <c r="BY142" s="36"/>
      <c r="BZ142" s="36"/>
      <c r="CA142" s="36"/>
      <c r="CB142" s="36"/>
      <c r="CC142" s="36"/>
      <c r="CD142" s="36"/>
      <c r="CE142" s="36"/>
      <c r="CF142" s="36"/>
      <c r="CG142" s="36"/>
      <c r="CH142" s="36"/>
      <c r="CI142" s="36"/>
      <c r="CJ142" s="36"/>
      <c r="CK142" s="36"/>
      <c r="CL142" s="36"/>
      <c r="CM142" s="36"/>
      <c r="CN142" s="36"/>
      <c r="CO142" s="36"/>
      <c r="CP142" s="36"/>
      <c r="CQ142" s="36"/>
      <c r="CR142" s="36"/>
      <c r="CS142" s="36"/>
      <c r="CT142" s="36"/>
      <c r="CU142" s="36"/>
      <c r="CV142" s="36"/>
      <c r="CW142" s="36"/>
      <c r="CX142" s="36"/>
      <c r="CY142" s="36"/>
      <c r="CZ142" s="36"/>
      <c r="DA142" s="36"/>
      <c r="DB142" s="36"/>
      <c r="DC142" s="36"/>
      <c r="DD142" s="36"/>
      <c r="DE142" s="36"/>
      <c r="DF142" s="36"/>
      <c r="DG142" s="36"/>
      <c r="DH142" s="36"/>
      <c r="DI142" s="36"/>
      <c r="DJ142" s="36"/>
      <c r="DK142" s="36"/>
      <c r="DL142" s="36"/>
      <c r="DM142" s="36"/>
      <c r="DN142" s="36"/>
      <c r="DO142" s="36"/>
      <c r="DP142" s="36"/>
      <c r="DQ142" s="36"/>
      <c r="DR142" s="36"/>
      <c r="DS142" s="36"/>
      <c r="DT142" s="36"/>
      <c r="DU142" s="36"/>
      <c r="DV142" s="36"/>
      <c r="DW142" s="36"/>
      <c r="DX142" s="36"/>
      <c r="DY142" s="36"/>
      <c r="DZ142" s="36"/>
      <c r="EA142" s="36"/>
      <c r="EB142" s="36"/>
      <c r="EC142" s="36"/>
      <c r="ED142" s="36"/>
      <c r="EE142" s="36"/>
      <c r="EF142" s="36"/>
      <c r="EG142" s="36"/>
      <c r="EH142" s="36"/>
      <c r="EI142" s="36"/>
      <c r="EJ142" s="36"/>
      <c r="EK142" s="36"/>
      <c r="EL142" s="36"/>
      <c r="EM142" s="36"/>
      <c r="EN142" s="36"/>
      <c r="EO142" s="36"/>
      <c r="EP142" s="36"/>
      <c r="EQ142" s="36"/>
      <c r="ER142" s="36"/>
      <c r="ES142" s="36"/>
      <c r="ET142" s="36"/>
      <c r="EU142" s="36"/>
      <c r="EV142" s="36"/>
      <c r="EW142" s="36"/>
      <c r="EX142" s="36"/>
      <c r="EY142" s="36">
        <v>1</v>
      </c>
      <c r="EZ142" s="36">
        <v>-1</v>
      </c>
      <c r="FA142" s="36"/>
      <c r="FB142" s="36"/>
      <c r="FC142" s="36"/>
      <c r="FD142" s="36"/>
      <c r="FE142" s="36"/>
      <c r="FF142" s="36"/>
      <c r="FG142" s="36"/>
      <c r="FH142" s="36"/>
      <c r="FI142" s="36"/>
      <c r="FJ142" s="36"/>
      <c r="FK142" s="36"/>
      <c r="FL142" s="36"/>
      <c r="FM142" s="36"/>
      <c r="FN142" s="36"/>
      <c r="FO142" s="36"/>
      <c r="FP142" s="36"/>
      <c r="FQ142" s="36"/>
      <c r="FR142" s="36"/>
      <c r="FS142" s="36"/>
      <c r="FT142" s="36"/>
      <c r="FU142" s="36"/>
      <c r="FV142" s="36"/>
      <c r="FW142" s="36"/>
      <c r="FX142" s="36"/>
      <c r="FY142" s="36"/>
      <c r="FZ142" s="36"/>
      <c r="GA142" s="36"/>
      <c r="GB142" s="319"/>
      <c r="GC142" s="179">
        <f t="shared" si="28"/>
        <v>0</v>
      </c>
      <c r="GD142" s="179">
        <f t="shared" si="29"/>
        <v>0</v>
      </c>
      <c r="GE142" s="179">
        <f t="shared" si="30"/>
        <v>-1.6999999999999999E-3</v>
      </c>
      <c r="GF142" s="179">
        <f t="shared" si="31"/>
        <v>0</v>
      </c>
      <c r="GG142" s="179">
        <f t="shared" si="21"/>
        <v>0</v>
      </c>
    </row>
    <row r="143" spans="1:189" x14ac:dyDescent="0.35">
      <c r="A143" s="6" t="s">
        <v>1024</v>
      </c>
      <c r="B143" s="6" t="str">
        <f>IF(Technologies!B143&lt;&gt;0,Technologies!B143,"")</f>
        <v>Industrie</v>
      </c>
      <c r="C143" s="6" t="str">
        <f>VLOOKUP($A143,Technologies!$A$7:$H$576,3,FALSE)</f>
        <v>Conversion</v>
      </c>
      <c r="D143" s="6" t="str">
        <f>VLOOKUP($A143,Technologies!$A$7:$H$576,4,FALSE)</f>
        <v>Industry</v>
      </c>
      <c r="E143" s="6" t="str">
        <f>VLOOKUP($A143,Technologies!$A$7:$H$576,6,FALSE)</f>
        <v>Waste for incineration</v>
      </c>
      <c r="F143" s="48" t="str">
        <f>VLOOKUP($A143,Technologies!$A$7:$H$576,7,FALSE)</f>
        <v>Dummy - conversion of mixed plastic waste to waste for incineration</v>
      </c>
      <c r="G143" s="23"/>
      <c r="H143" s="23"/>
      <c r="I143" s="104" cm="1">
        <f t="array" ref="I143">-SUMPRODUCT((Feedstocks!$C$4:$C$141=A143)*Feedstocks!$E$4:$E$141,Feedstocks!$F$4:$F$141,Feedstocks!$H$4:$H$141,Feedstocks!$I$4:$I$141)</f>
        <v>0</v>
      </c>
      <c r="J143" s="104" cm="1">
        <f t="array" ref="J143">-SUMPRODUCT((Feedstocks!$C$4:$C$141=A143)*Feedstocks!$E$4:$E$141,Feedstocks!$H$4:$H$141,Feedstocks!$I$4:$I$141)</f>
        <v>0</v>
      </c>
      <c r="K143" s="104"/>
      <c r="L143" s="104"/>
      <c r="M143" s="22"/>
      <c r="N143" s="22" t="str">
        <f>VLOOKUP(E143,Activities!$A$9:$M$227,13,FALSE)</f>
        <v>NL</v>
      </c>
      <c r="O143" s="22"/>
      <c r="P143" s="80" t="s">
        <v>502</v>
      </c>
      <c r="Q143" s="36"/>
      <c r="R143" s="36"/>
      <c r="S143" s="36"/>
      <c r="T143" s="36"/>
      <c r="U143" s="36"/>
      <c r="V143" s="36"/>
      <c r="W143" s="36"/>
      <c r="X143" s="36"/>
      <c r="Y143" s="36"/>
      <c r="Z143" s="36"/>
      <c r="AA143" s="36"/>
      <c r="AB143" s="36"/>
      <c r="AC143" s="36"/>
      <c r="AD143" s="36"/>
      <c r="AE143" s="36"/>
      <c r="AF143" s="36"/>
      <c r="AG143" s="36"/>
      <c r="AH143" s="35"/>
      <c r="AI143" s="35"/>
      <c r="AJ143" s="35"/>
      <c r="AK143" s="35"/>
      <c r="AL143" s="35"/>
      <c r="AM143" s="35"/>
      <c r="AN143" s="36"/>
      <c r="AO143" s="36"/>
      <c r="AP143" s="36"/>
      <c r="AQ143" s="36"/>
      <c r="AR143" s="36"/>
      <c r="AS143" s="36"/>
      <c r="AT143" s="36"/>
      <c r="AU143" s="36"/>
      <c r="AV143" s="36"/>
      <c r="AW143" s="36"/>
      <c r="AX143" s="36"/>
      <c r="AY143" s="36"/>
      <c r="AZ143" s="36"/>
      <c r="BA143" s="36"/>
      <c r="BB143" s="36"/>
      <c r="BC143" s="36"/>
      <c r="BD143" s="36"/>
      <c r="BE143" s="36"/>
      <c r="BF143" s="36"/>
      <c r="BG143" s="36"/>
      <c r="BH143" s="36"/>
      <c r="BI143" s="36"/>
      <c r="BJ143" s="36"/>
      <c r="BK143" s="36"/>
      <c r="BL143" s="36"/>
      <c r="BM143" s="36"/>
      <c r="BN143" s="36"/>
      <c r="BO143" s="36"/>
      <c r="BP143" s="36"/>
      <c r="BQ143" s="36"/>
      <c r="BR143" s="36"/>
      <c r="BS143" s="36"/>
      <c r="BT143" s="36"/>
      <c r="BU143" s="36"/>
      <c r="BV143" s="36"/>
      <c r="BW143" s="36"/>
      <c r="BX143" s="36"/>
      <c r="BY143" s="36"/>
      <c r="BZ143" s="36"/>
      <c r="CA143" s="36"/>
      <c r="CB143" s="36"/>
      <c r="CC143" s="36"/>
      <c r="CD143" s="36"/>
      <c r="CE143" s="36"/>
      <c r="CF143" s="36"/>
      <c r="CG143" s="36"/>
      <c r="CH143" s="36"/>
      <c r="CI143" s="36"/>
      <c r="CJ143" s="36"/>
      <c r="CK143" s="36"/>
      <c r="CL143" s="36"/>
      <c r="CM143" s="36"/>
      <c r="CN143" s="36"/>
      <c r="CO143" s="36"/>
      <c r="CP143" s="36"/>
      <c r="CQ143" s="36"/>
      <c r="CR143" s="36"/>
      <c r="CS143" s="36"/>
      <c r="CT143" s="36"/>
      <c r="CU143" s="36"/>
      <c r="CV143" s="36"/>
      <c r="CW143" s="35"/>
      <c r="CX143" s="35"/>
      <c r="CY143" s="35"/>
      <c r="CZ143" s="35"/>
      <c r="DA143" s="35"/>
      <c r="DB143" s="35"/>
      <c r="DC143" s="35">
        <f>-1.11111111111111/1.11111111</f>
        <v>-1.0000000009999992</v>
      </c>
      <c r="DD143" s="35"/>
      <c r="DE143" s="35"/>
      <c r="DF143" s="36"/>
      <c r="DG143" s="36"/>
      <c r="DH143" s="35"/>
      <c r="DI143" s="35"/>
      <c r="DJ143" s="35"/>
      <c r="DK143" s="35"/>
      <c r="DL143" s="35"/>
      <c r="DM143" s="35"/>
      <c r="DN143" s="35"/>
      <c r="DO143" s="35"/>
      <c r="DP143" s="35"/>
      <c r="DQ143" s="36"/>
      <c r="DR143" s="36"/>
      <c r="DS143" s="36"/>
      <c r="DT143" s="36"/>
      <c r="DU143" s="36"/>
      <c r="DV143" s="36"/>
      <c r="DW143" s="36"/>
      <c r="DX143" s="36"/>
      <c r="DY143" s="36"/>
      <c r="DZ143" s="36"/>
      <c r="EA143" s="36"/>
      <c r="EB143" s="36"/>
      <c r="EC143" s="36"/>
      <c r="ED143" s="35"/>
      <c r="EE143" s="36"/>
      <c r="EF143" s="36"/>
      <c r="EG143" s="35"/>
      <c r="EH143" s="36"/>
      <c r="EI143" s="36"/>
      <c r="EJ143" s="35"/>
      <c r="EK143" s="36"/>
      <c r="EL143" s="36"/>
      <c r="EM143" s="35"/>
      <c r="EN143" s="36"/>
      <c r="EO143" s="36"/>
      <c r="EP143" s="35"/>
      <c r="EQ143" s="36"/>
      <c r="ER143" s="36"/>
      <c r="ES143" s="36"/>
      <c r="ET143" s="36"/>
      <c r="EU143" s="36"/>
      <c r="EV143" s="36"/>
      <c r="EW143" s="35"/>
      <c r="EX143" s="35">
        <v>-1</v>
      </c>
      <c r="EY143" s="35">
        <v>19</v>
      </c>
      <c r="EZ143" s="35"/>
      <c r="FA143" s="36"/>
      <c r="FB143" s="36"/>
      <c r="FC143" s="36"/>
      <c r="FD143" s="36"/>
      <c r="FE143" s="36"/>
      <c r="FF143" s="36"/>
      <c r="FG143" s="36"/>
      <c r="FH143" s="36"/>
      <c r="FI143" s="36"/>
      <c r="FJ143" s="36"/>
      <c r="FK143" s="36"/>
      <c r="FL143" s="36"/>
      <c r="FM143" s="36"/>
      <c r="FN143" s="36"/>
      <c r="FO143" s="36"/>
      <c r="FP143" s="36"/>
      <c r="FQ143" s="36"/>
      <c r="FR143" s="36"/>
      <c r="FS143" s="36"/>
      <c r="FT143" s="36"/>
      <c r="FU143" s="36"/>
      <c r="FV143" s="36"/>
      <c r="FW143" s="36"/>
      <c r="FX143" s="36"/>
      <c r="FY143" s="36"/>
      <c r="FZ143" s="36"/>
      <c r="GA143" s="36"/>
      <c r="GB143" s="319"/>
      <c r="GC143" s="179">
        <f t="shared" si="28"/>
        <v>0</v>
      </c>
      <c r="GD143" s="179">
        <f t="shared" si="29"/>
        <v>0</v>
      </c>
      <c r="GE143" s="179">
        <f t="shared" si="30"/>
        <v>1.1545000000000001</v>
      </c>
      <c r="GF143" s="179">
        <f t="shared" si="31"/>
        <v>0</v>
      </c>
      <c r="GG143" s="179">
        <f t="shared" si="21"/>
        <v>0</v>
      </c>
    </row>
    <row r="144" spans="1:189" x14ac:dyDescent="0.35">
      <c r="A144" s="6" t="s">
        <v>1026</v>
      </c>
      <c r="B144" s="6" t="str">
        <f>IF(Technologies!B144&lt;&gt;0,Technologies!B144,"")</f>
        <v>Industrie</v>
      </c>
      <c r="C144" s="6" t="str">
        <f>VLOOKUP($A144,Technologies!$A$7:$H$576,3,FALSE)</f>
        <v>Final</v>
      </c>
      <c r="D144" s="6" t="str">
        <f>VLOOKUP($A144,Technologies!$A$7:$H$576,4,FALSE)</f>
        <v>Industry</v>
      </c>
      <c r="E144" s="6" t="str">
        <f>VLOOKUP($A144,Technologies!$A$7:$H$576,6,FALSE)</f>
        <v>Sorted polypropylene</v>
      </c>
      <c r="F144" s="48" t="str">
        <f>VLOOKUP($A144,Technologies!$A$7:$H$576,7,FALSE)</f>
        <v>Depolymerization PP</v>
      </c>
      <c r="G144" s="23"/>
      <c r="H144" s="23"/>
      <c r="I144" s="104" cm="1">
        <f t="array" ref="I144">-SUMPRODUCT((Feedstocks!$C$4:$C$141=A144)*Feedstocks!$E$4:$E$141,Feedstocks!$F$4:$F$141,Feedstocks!$H$4:$H$141,Feedstocks!$I$4:$I$141)</f>
        <v>0</v>
      </c>
      <c r="J144" s="104" cm="1">
        <f t="array" ref="J144">-SUMPRODUCT((Feedstocks!$C$4:$C$141=A144)*Feedstocks!$E$4:$E$141,Feedstocks!$H$4:$H$141,Feedstocks!$I$4:$I$141)</f>
        <v>0</v>
      </c>
      <c r="K144" s="104"/>
      <c r="L144" s="104"/>
      <c r="M144" s="22"/>
      <c r="N144" s="22" t="str">
        <f>VLOOKUP(E144,Activities!$A$9:$M$227,13,FALSE)</f>
        <v>NL</v>
      </c>
      <c r="O144" s="22"/>
      <c r="P144" s="80" t="s">
        <v>1012</v>
      </c>
      <c r="Q144" s="36"/>
      <c r="R144" s="36"/>
      <c r="S144" s="36"/>
      <c r="T144" s="36"/>
      <c r="U144" s="36"/>
      <c r="V144" s="36"/>
      <c r="W144" s="36"/>
      <c r="X144" s="36"/>
      <c r="Y144" s="36"/>
      <c r="Z144" s="36"/>
      <c r="AA144" s="36"/>
      <c r="AB144" s="36"/>
      <c r="AC144" s="36"/>
      <c r="AD144" s="36"/>
      <c r="AE144" s="36"/>
      <c r="AF144" s="36"/>
      <c r="AG144" s="36"/>
      <c r="AH144" s="35"/>
      <c r="AI144" s="35"/>
      <c r="AJ144" s="35"/>
      <c r="AK144" s="35"/>
      <c r="AL144" s="35"/>
      <c r="AM144" s="35"/>
      <c r="AN144" s="36"/>
      <c r="AO144" s="36"/>
      <c r="AP144" s="36"/>
      <c r="AQ144" s="36"/>
      <c r="AR144" s="36"/>
      <c r="AS144" s="36"/>
      <c r="AT144" s="36"/>
      <c r="AU144" s="36"/>
      <c r="AV144" s="36"/>
      <c r="AW144" s="36"/>
      <c r="AX144" s="36"/>
      <c r="AY144" s="36"/>
      <c r="AZ144" s="36"/>
      <c r="BA144" s="36"/>
      <c r="BB144" s="36"/>
      <c r="BC144" s="36"/>
      <c r="BD144" s="36"/>
      <c r="BE144" s="36"/>
      <c r="BF144" s="36"/>
      <c r="BG144" s="36"/>
      <c r="BH144" s="36"/>
      <c r="BI144" s="36"/>
      <c r="BJ144" s="36"/>
      <c r="BK144" s="36"/>
      <c r="BL144" s="36"/>
      <c r="BM144" s="36"/>
      <c r="BN144" s="36"/>
      <c r="BO144" s="36"/>
      <c r="BP144" s="36"/>
      <c r="BQ144" s="36"/>
      <c r="BR144" s="36"/>
      <c r="BS144" s="36"/>
      <c r="BT144" s="36"/>
      <c r="BU144" s="36"/>
      <c r="BV144" s="36"/>
      <c r="BW144" s="36"/>
      <c r="BX144" s="36"/>
      <c r="BY144" s="36"/>
      <c r="BZ144" s="36"/>
      <c r="CA144" s="36"/>
      <c r="CB144" s="36"/>
      <c r="CC144" s="36"/>
      <c r="CD144" s="36"/>
      <c r="CE144" s="36"/>
      <c r="CF144" s="36"/>
      <c r="CG144" s="36"/>
      <c r="CH144" s="36"/>
      <c r="CI144" s="36"/>
      <c r="CJ144" s="36"/>
      <c r="CK144" s="36"/>
      <c r="CL144" s="36"/>
      <c r="CM144" s="36"/>
      <c r="CN144" s="36"/>
      <c r="CO144" s="36"/>
      <c r="CP144" s="36"/>
      <c r="CQ144" s="36"/>
      <c r="CR144" s="36"/>
      <c r="CS144" s="36"/>
      <c r="CT144" s="36">
        <v>0.9</v>
      </c>
      <c r="CU144" s="36"/>
      <c r="CV144" s="36"/>
      <c r="CW144" s="35"/>
      <c r="CX144" s="35"/>
      <c r="CY144" s="35"/>
      <c r="CZ144" s="35"/>
      <c r="DA144" s="35"/>
      <c r="DB144" s="35"/>
      <c r="DC144" s="35"/>
      <c r="DD144" s="35"/>
      <c r="DE144" s="35"/>
      <c r="DF144" s="36"/>
      <c r="DG144" s="36"/>
      <c r="DH144" s="35">
        <f>-1.40184/1.11111111</f>
        <v>-1.261656001261656</v>
      </c>
      <c r="DI144" s="36"/>
      <c r="DJ144" s="36"/>
      <c r="DK144" s="36"/>
      <c r="DL144" s="36"/>
      <c r="DM144" s="36"/>
      <c r="DN144" s="36"/>
      <c r="DO144" s="35">
        <f>-30.244239696/1.11111111</f>
        <v>-27.219815753619816</v>
      </c>
      <c r="DP144" s="36"/>
      <c r="DQ144" s="36"/>
      <c r="DR144" s="36"/>
      <c r="DS144" s="36"/>
      <c r="DT144" s="36"/>
      <c r="DU144" s="36"/>
      <c r="DV144" s="36"/>
      <c r="DW144" s="36"/>
      <c r="DX144" s="36"/>
      <c r="DY144" s="36"/>
      <c r="DZ144" s="36"/>
      <c r="EA144" s="36"/>
      <c r="EB144" s="36"/>
      <c r="EC144" s="36"/>
      <c r="ED144" s="35"/>
      <c r="EE144" s="36"/>
      <c r="EF144" s="36"/>
      <c r="EG144" s="35"/>
      <c r="EH144" s="36"/>
      <c r="EI144" s="36"/>
      <c r="EJ144" s="35"/>
      <c r="EK144" s="36"/>
      <c r="EL144" s="36"/>
      <c r="EM144" s="35"/>
      <c r="EN144" s="36"/>
      <c r="EO144" s="36"/>
      <c r="EP144" s="35"/>
      <c r="EQ144" s="36"/>
      <c r="ER144" s="36"/>
      <c r="ES144" s="36"/>
      <c r="ET144" s="36"/>
      <c r="EU144" s="36"/>
      <c r="EV144" s="36"/>
      <c r="EW144" s="35"/>
      <c r="EX144" s="35"/>
      <c r="EY144" s="35"/>
      <c r="EZ144" s="35"/>
      <c r="FA144" s="36"/>
      <c r="FB144" s="36"/>
      <c r="FC144" s="36"/>
      <c r="FD144" s="36"/>
      <c r="FE144" s="36"/>
      <c r="FF144" s="36"/>
      <c r="FG144" s="36"/>
      <c r="FH144" s="36"/>
      <c r="FI144" s="36"/>
      <c r="FJ144" s="36"/>
      <c r="FK144" s="36"/>
      <c r="FL144" s="36"/>
      <c r="FM144" s="36"/>
      <c r="FN144" s="36"/>
      <c r="FO144" s="36"/>
      <c r="FP144" s="36"/>
      <c r="FQ144" s="36"/>
      <c r="FR144" s="36"/>
      <c r="FS144" s="36"/>
      <c r="FT144" s="36"/>
      <c r="FU144" s="36"/>
      <c r="FV144" s="36"/>
      <c r="FW144" s="36"/>
      <c r="FX144" s="36"/>
      <c r="FY144" s="36"/>
      <c r="FZ144" s="36"/>
      <c r="GA144" s="36"/>
      <c r="GB144" s="319"/>
      <c r="GC144" s="179"/>
      <c r="GD144" s="179"/>
      <c r="GE144" s="179"/>
      <c r="GF144" s="179"/>
      <c r="GG144" s="179">
        <f t="shared" si="21"/>
        <v>0</v>
      </c>
    </row>
    <row r="145" spans="1:189" x14ac:dyDescent="0.35">
      <c r="A145" s="6" t="s">
        <v>1028</v>
      </c>
      <c r="B145" s="6" t="str">
        <f>IF(Technologies!B145&lt;&gt;0,Technologies!B145,"")</f>
        <v>Mobiliteit</v>
      </c>
      <c r="C145" s="6" t="str">
        <f>VLOOKUP($A145,Technologies!$A$7:$H$576,3,FALSE)</f>
        <v>Final</v>
      </c>
      <c r="D145" s="6" t="str">
        <f>VLOOKUP($A145,Technologies!$A$7:$H$576,4,FALSE)</f>
        <v>Transport</v>
      </c>
      <c r="E145" s="6" t="str">
        <f>VLOOKUP($A145,Technologies!$A$7:$H$576,6,FALSE)</f>
        <v>Motorcycles</v>
      </c>
      <c r="F145" s="48" t="str">
        <f>VLOOKUP($A145,Technologies!$A$7:$H$576,7,FALSE)</f>
        <v>ICE Vehicle - Motorcycle</v>
      </c>
      <c r="G145" s="23"/>
      <c r="H145" s="23"/>
      <c r="I145" s="103" cm="1">
        <f t="array" ref="I145">-SUMPRODUCT((Feedstocks!$C$4:$C$141=A145)*Feedstocks!$E$4:$E$141,Feedstocks!$F$4:$F$141,Feedstocks!$H$4:$H$141,Feedstocks!$I$4:$I$141)</f>
        <v>0</v>
      </c>
      <c r="J145" s="103" cm="1">
        <f t="array" ref="J145">-SUMPRODUCT((Feedstocks!$C$4:$C$141=A145)*Feedstocks!$E$4:$E$141,Feedstocks!$H$4:$H$141,Feedstocks!$I$4:$I$141)</f>
        <v>0</v>
      </c>
      <c r="K145" s="103"/>
      <c r="L145" s="103"/>
      <c r="M145" s="22"/>
      <c r="N145" s="22" t="str">
        <f>VLOOKUP(E145,Activities!$A$9:$M$227,13,FALSE)</f>
        <v>NL</v>
      </c>
      <c r="O145" s="22"/>
      <c r="P145" s="80" t="s">
        <v>699</v>
      </c>
      <c r="Q145" s="36"/>
      <c r="R145" s="36"/>
      <c r="S145" s="36"/>
      <c r="T145" s="36"/>
      <c r="U145" s="36"/>
      <c r="V145" s="36"/>
      <c r="W145" s="36"/>
      <c r="X145" s="36"/>
      <c r="Y145" s="36"/>
      <c r="Z145" s="36"/>
      <c r="AA145" s="36"/>
      <c r="AB145" s="36"/>
      <c r="AC145" s="36"/>
      <c r="AD145" s="36"/>
      <c r="AE145" s="36"/>
      <c r="AF145" s="36"/>
      <c r="AG145" s="36"/>
      <c r="AH145" s="36"/>
      <c r="AI145" s="36"/>
      <c r="AJ145" s="36"/>
      <c r="AK145" s="36"/>
      <c r="AL145" s="36"/>
      <c r="AM145" s="36"/>
      <c r="AN145" s="36"/>
      <c r="AO145" s="36"/>
      <c r="AP145" s="36"/>
      <c r="AQ145" s="36"/>
      <c r="AR145" s="36"/>
      <c r="AS145" s="36"/>
      <c r="AT145" s="36"/>
      <c r="AU145" s="36"/>
      <c r="AV145" s="36"/>
      <c r="AW145" s="36"/>
      <c r="AX145" s="36"/>
      <c r="AY145" s="36"/>
      <c r="AZ145" s="35"/>
      <c r="BA145" s="36">
        <v>1</v>
      </c>
      <c r="BB145" s="36"/>
      <c r="BC145" s="36"/>
      <c r="BD145" s="36"/>
      <c r="BE145" s="36"/>
      <c r="BF145" s="36"/>
      <c r="BG145" s="36"/>
      <c r="BH145" s="36"/>
      <c r="BI145" s="36"/>
      <c r="BJ145" s="36"/>
      <c r="BK145" s="36"/>
      <c r="BL145" s="36"/>
      <c r="BM145" s="36"/>
      <c r="BN145" s="36"/>
      <c r="BO145" s="36"/>
      <c r="BP145" s="36"/>
      <c r="BQ145" s="36"/>
      <c r="BR145" s="36"/>
      <c r="BS145" s="36"/>
      <c r="BT145" s="36"/>
      <c r="BU145" s="36"/>
      <c r="BV145" s="36"/>
      <c r="BW145" s="36"/>
      <c r="BX145" s="36"/>
      <c r="BY145" s="36"/>
      <c r="BZ145" s="36"/>
      <c r="CA145" s="36"/>
      <c r="CB145" s="36"/>
      <c r="CC145" s="36"/>
      <c r="CD145" s="36"/>
      <c r="CE145" s="36"/>
      <c r="CF145" s="36"/>
      <c r="CG145" s="36"/>
      <c r="CH145" s="36"/>
      <c r="CI145" s="36"/>
      <c r="CJ145" s="36"/>
      <c r="CK145" s="36"/>
      <c r="CL145" s="36"/>
      <c r="CM145" s="36"/>
      <c r="CN145" s="36"/>
      <c r="CO145" s="36"/>
      <c r="CP145" s="36"/>
      <c r="CQ145" s="36"/>
      <c r="CR145" s="36"/>
      <c r="CS145" s="36"/>
      <c r="CT145" s="36"/>
      <c r="CU145" s="36"/>
      <c r="CV145" s="36"/>
      <c r="CW145" s="36"/>
      <c r="CX145" s="36"/>
      <c r="CY145" s="36"/>
      <c r="CZ145" s="36"/>
      <c r="DA145" s="36"/>
      <c r="DB145" s="36"/>
      <c r="DC145" s="36"/>
      <c r="DD145" s="36"/>
      <c r="DE145" s="36"/>
      <c r="DF145" s="36"/>
      <c r="DG145" s="36"/>
      <c r="DH145" s="36"/>
      <c r="DI145" s="36"/>
      <c r="DJ145" s="36"/>
      <c r="DK145" s="36"/>
      <c r="DL145" s="36"/>
      <c r="DM145" s="36"/>
      <c r="DN145" s="36"/>
      <c r="DO145" s="36"/>
      <c r="DP145" s="36"/>
      <c r="DQ145" s="36"/>
      <c r="DR145" s="36"/>
      <c r="DS145" s="36"/>
      <c r="DT145" s="36"/>
      <c r="DU145" s="36">
        <v>-0.89</v>
      </c>
      <c r="DV145" s="36"/>
      <c r="DW145" s="36"/>
      <c r="DX145" s="36"/>
      <c r="DY145" s="36"/>
      <c r="DZ145" s="36"/>
      <c r="EA145" s="36"/>
      <c r="EB145" s="36"/>
      <c r="EC145" s="36"/>
      <c r="ED145" s="36"/>
      <c r="EE145" s="36"/>
      <c r="EF145" s="36"/>
      <c r="EG145" s="36"/>
      <c r="EH145" s="36"/>
      <c r="EI145" s="36"/>
      <c r="EJ145" s="36"/>
      <c r="EK145" s="36"/>
      <c r="EL145" s="36"/>
      <c r="EM145" s="36"/>
      <c r="EN145" s="36"/>
      <c r="EO145" s="36"/>
      <c r="EP145" s="36"/>
      <c r="EQ145" s="36"/>
      <c r="ER145" s="36"/>
      <c r="ES145" s="36"/>
      <c r="ET145" s="36"/>
      <c r="EU145" s="36"/>
      <c r="EV145" s="36"/>
      <c r="EW145" s="36"/>
      <c r="EX145" s="36"/>
      <c r="EY145" s="36"/>
      <c r="EZ145" s="36"/>
      <c r="FA145" s="36"/>
      <c r="FB145" s="36"/>
      <c r="FC145" s="36"/>
      <c r="FD145" s="36"/>
      <c r="FE145" s="36"/>
      <c r="FF145" s="36"/>
      <c r="FG145" s="36"/>
      <c r="FH145" s="36"/>
      <c r="FI145" s="36"/>
      <c r="FJ145" s="36"/>
      <c r="FK145" s="36"/>
      <c r="FL145" s="36"/>
      <c r="FM145" s="36"/>
      <c r="FN145" s="36"/>
      <c r="FO145" s="36"/>
      <c r="FP145" s="36"/>
      <c r="FQ145" s="36"/>
      <c r="FR145" s="36"/>
      <c r="FS145" s="36"/>
      <c r="FT145" s="36"/>
      <c r="FU145" s="36"/>
      <c r="FV145" s="36"/>
      <c r="FW145" s="36"/>
      <c r="FX145" s="36"/>
      <c r="FY145" s="36"/>
      <c r="FZ145" s="36"/>
      <c r="GA145" s="36"/>
      <c r="GB145" s="319"/>
      <c r="GC145" s="179">
        <f t="shared" ref="GC145:GC191" si="32">ROUND(IF($C145="Primary",0,-$G145*(SUMPRODUCT($Q$4:$GA$4,$Q145:$GA145)+$J145)-$H145)*IF($N145=GC$4,1,0),4)</f>
        <v>0</v>
      </c>
      <c r="GD145" s="179">
        <f t="shared" ref="GD145:GD191" si="33">ROUND(IF($C145="Primary",0,$M145*(1-$O145)*($G145*(SUMPRODUCT($Q$4:$GA$4,$Q145:$GA145)+$J145)+$H145-SUMPRODUCT($Q$5:$GA$5,$Q145:$GA145)-$I145+$K145))*IF($N145=GD$4,1,0),4)</f>
        <v>0</v>
      </c>
      <c r="GE145" s="179">
        <f t="shared" ref="GE145:GE191" si="34">ROUND(IF($C145="Primary",0,(1-$M145)*(1-$O145)*($G145*(SUMPRODUCT($Q$4:$GA$4,$Q145:$GA145)+$J145)+$H145-SUMPRODUCT($Q$5:$GA$5,$Q145:$GA145)-$I145+$L145))*IF($N145=GD$4,1,0),4)</f>
        <v>6.5000000000000002E-2</v>
      </c>
      <c r="GF145" s="179">
        <f t="shared" ref="GF145:GF191" si="35">ROUND(IF($C145="Primary",0,$O145*($G145*(SUMPRODUCT($Q$4:$GA$4,$Q145:$GA145)+$J145)-SUMPRODUCT($Q$5:$GA$5,$Q145:$GA145)-$I145))*IF($N145=GD$4,1,0),4)</f>
        <v>0</v>
      </c>
      <c r="GG145" s="179">
        <f t="shared" si="21"/>
        <v>0</v>
      </c>
    </row>
    <row r="146" spans="1:189" x14ac:dyDescent="0.35">
      <c r="A146" s="5" t="s">
        <v>1033</v>
      </c>
      <c r="B146" s="5" t="str">
        <f>IF(Technologies!B146&lt;&gt;0,Technologies!B146,"")</f>
        <v>Mobiliteit</v>
      </c>
      <c r="C146" s="5" t="str">
        <f>VLOOKUP($A146,Technologies!$A$7:$H$576,3,FALSE)</f>
        <v>Final</v>
      </c>
      <c r="D146" s="5" t="str">
        <f>VLOOKUP($A146,Technologies!$A$7:$H$576,4,FALSE)</f>
        <v>Transport</v>
      </c>
      <c r="E146" s="5" t="str">
        <f>VLOOKUP($A146,Technologies!$A$7:$H$576,6,FALSE)</f>
        <v>Motorcycles</v>
      </c>
      <c r="F146" s="5" t="str">
        <f>VLOOKUP($A146,Technologies!$A$7:$H$576,7,FALSE)</f>
        <v>Electric Battery Vehicle - Motorcycle</v>
      </c>
      <c r="G146" s="23"/>
      <c r="H146" s="23"/>
      <c r="I146" s="104" cm="1">
        <f t="array" ref="I146">-SUMPRODUCT((Feedstocks!$C$4:$C$141=A146)*Feedstocks!$E$4:$E$141,Feedstocks!$F$4:$F$141,Feedstocks!$H$4:$H$141,Feedstocks!$I$4:$I$141)</f>
        <v>0</v>
      </c>
      <c r="J146" s="104" cm="1">
        <f t="array" ref="J146">-SUMPRODUCT((Feedstocks!$C$4:$C$141=A146)*Feedstocks!$E$4:$E$141,Feedstocks!$H$4:$H$141,Feedstocks!$I$4:$I$141)</f>
        <v>0</v>
      </c>
      <c r="K146" s="104"/>
      <c r="L146" s="104"/>
      <c r="M146" s="23"/>
      <c r="N146" s="23" t="str">
        <f>VLOOKUP(E146,Activities!$A$9:$M$227,13,FALSE)</f>
        <v>NL</v>
      </c>
      <c r="O146" s="23"/>
      <c r="P146" s="79" t="s">
        <v>699</v>
      </c>
      <c r="Q146" s="35"/>
      <c r="R146" s="35"/>
      <c r="S146" s="35"/>
      <c r="T146" s="35"/>
      <c r="U146" s="35"/>
      <c r="V146" s="35"/>
      <c r="W146" s="35"/>
      <c r="X146" s="35"/>
      <c r="Y146" s="35"/>
      <c r="Z146" s="35"/>
      <c r="AA146" s="35"/>
      <c r="AB146" s="35"/>
      <c r="AC146" s="35"/>
      <c r="AD146" s="35"/>
      <c r="AE146" s="35"/>
      <c r="AF146" s="35"/>
      <c r="AG146" s="35"/>
      <c r="AH146" s="35"/>
      <c r="AI146" s="35"/>
      <c r="AJ146" s="35"/>
      <c r="AK146" s="35"/>
      <c r="AL146" s="35"/>
      <c r="AM146" s="35"/>
      <c r="AN146" s="35"/>
      <c r="AO146" s="35"/>
      <c r="AP146" s="35"/>
      <c r="AQ146" s="35"/>
      <c r="AR146" s="35"/>
      <c r="AS146" s="35"/>
      <c r="AT146" s="35"/>
      <c r="AU146" s="35"/>
      <c r="AV146" s="35"/>
      <c r="AW146" s="35"/>
      <c r="AX146" s="35"/>
      <c r="AY146" s="35"/>
      <c r="AZ146" s="36"/>
      <c r="BA146" s="35">
        <v>1</v>
      </c>
      <c r="BB146" s="35"/>
      <c r="BC146" s="35"/>
      <c r="BD146" s="35"/>
      <c r="BE146" s="35"/>
      <c r="BF146" s="35"/>
      <c r="BG146" s="35"/>
      <c r="BH146" s="35"/>
      <c r="BI146" s="35"/>
      <c r="BJ146" s="35"/>
      <c r="BK146" s="35"/>
      <c r="BL146" s="35"/>
      <c r="BM146" s="35"/>
      <c r="BN146" s="35"/>
      <c r="BO146" s="35"/>
      <c r="BP146" s="35"/>
      <c r="BQ146" s="35"/>
      <c r="BR146" s="35"/>
      <c r="BS146" s="35"/>
      <c r="BT146" s="35"/>
      <c r="BU146" s="35"/>
      <c r="BV146" s="35"/>
      <c r="BW146" s="35"/>
      <c r="BX146" s="35"/>
      <c r="BY146" s="35"/>
      <c r="BZ146" s="35"/>
      <c r="CA146" s="35"/>
      <c r="CB146" s="35"/>
      <c r="CC146" s="35"/>
      <c r="CD146" s="35"/>
      <c r="CE146" s="35"/>
      <c r="CF146" s="35"/>
      <c r="CG146" s="35"/>
      <c r="CH146" s="35"/>
      <c r="CI146" s="35"/>
      <c r="CJ146" s="35"/>
      <c r="CK146" s="35"/>
      <c r="CL146" s="35"/>
      <c r="CM146" s="35"/>
      <c r="CN146" s="35"/>
      <c r="CO146" s="35"/>
      <c r="CP146" s="35"/>
      <c r="CQ146" s="35"/>
      <c r="CR146" s="35"/>
      <c r="CS146" s="35"/>
      <c r="CT146" s="35"/>
      <c r="CU146" s="35"/>
      <c r="CV146" s="35"/>
      <c r="CW146" s="35"/>
      <c r="CX146" s="35"/>
      <c r="CY146" s="35"/>
      <c r="CZ146" s="35"/>
      <c r="DA146" s="35"/>
      <c r="DB146" s="35"/>
      <c r="DC146" s="35"/>
      <c r="DD146" s="35"/>
      <c r="DE146" s="35"/>
      <c r="DF146" s="35"/>
      <c r="DG146" s="35"/>
      <c r="DH146" s="35"/>
      <c r="DI146" s="35">
        <v>-0.32</v>
      </c>
      <c r="DJ146" s="35"/>
      <c r="DK146" s="35"/>
      <c r="DL146" s="35"/>
      <c r="DM146" s="35"/>
      <c r="DN146" s="35"/>
      <c r="DO146" s="35"/>
      <c r="DP146" s="35"/>
      <c r="DQ146" s="35"/>
      <c r="DR146" s="35"/>
      <c r="DS146" s="35"/>
      <c r="DT146" s="35"/>
      <c r="DU146" s="35"/>
      <c r="DV146" s="35"/>
      <c r="DW146" s="35"/>
      <c r="DX146" s="35"/>
      <c r="DY146" s="35"/>
      <c r="DZ146" s="35"/>
      <c r="EA146" s="35"/>
      <c r="EB146" s="35"/>
      <c r="EC146" s="35"/>
      <c r="ED146" s="35"/>
      <c r="EE146" s="35"/>
      <c r="EF146" s="35"/>
      <c r="EG146" s="35"/>
      <c r="EH146" s="35"/>
      <c r="EI146" s="35"/>
      <c r="EJ146" s="35"/>
      <c r="EK146" s="35"/>
      <c r="EL146" s="35"/>
      <c r="EM146" s="35"/>
      <c r="EN146" s="35"/>
      <c r="EO146" s="35"/>
      <c r="EP146" s="35"/>
      <c r="EQ146" s="35"/>
      <c r="ER146" s="35"/>
      <c r="ES146" s="35"/>
      <c r="ET146" s="35"/>
      <c r="EU146" s="35"/>
      <c r="EV146" s="35"/>
      <c r="EW146" s="35"/>
      <c r="EX146" s="35"/>
      <c r="EY146" s="35"/>
      <c r="EZ146" s="35"/>
      <c r="FA146" s="35"/>
      <c r="FB146" s="35"/>
      <c r="FC146" s="35"/>
      <c r="FD146" s="35"/>
      <c r="FE146" s="35"/>
      <c r="FF146" s="35"/>
      <c r="FG146" s="35"/>
      <c r="FH146" s="35"/>
      <c r="FI146" s="35"/>
      <c r="FJ146" s="35"/>
      <c r="FK146" s="35"/>
      <c r="FL146" s="35"/>
      <c r="FM146" s="35"/>
      <c r="FN146" s="35"/>
      <c r="FO146" s="35"/>
      <c r="FP146" s="35"/>
      <c r="FQ146" s="35"/>
      <c r="FR146" s="35"/>
      <c r="FS146" s="35"/>
      <c r="FT146" s="35"/>
      <c r="FU146" s="35"/>
      <c r="FV146" s="35"/>
      <c r="FW146" s="35"/>
      <c r="FX146" s="35"/>
      <c r="FY146" s="35"/>
      <c r="FZ146" s="35"/>
      <c r="GA146" s="35"/>
      <c r="GB146" s="318"/>
      <c r="GC146" s="178">
        <f t="shared" si="32"/>
        <v>0</v>
      </c>
      <c r="GD146" s="178">
        <f t="shared" si="33"/>
        <v>0</v>
      </c>
      <c r="GE146" s="178">
        <f t="shared" si="34"/>
        <v>0</v>
      </c>
      <c r="GF146" s="178">
        <f t="shared" si="35"/>
        <v>0</v>
      </c>
      <c r="GG146" s="178">
        <f t="shared" ref="GG146:GG209" si="36">$I146</f>
        <v>0</v>
      </c>
    </row>
    <row r="147" spans="1:189" x14ac:dyDescent="0.35">
      <c r="A147" s="6" t="s">
        <v>1036</v>
      </c>
      <c r="B147" s="6" t="str">
        <f>IF(Technologies!B147&lt;&gt;0,Technologies!B147,"")</f>
        <v>Mobiliteit</v>
      </c>
      <c r="C147" s="6" t="str">
        <f>VLOOKUP($A147,Technologies!$A$7:$H$576,3,FALSE)</f>
        <v>Final</v>
      </c>
      <c r="D147" s="6" t="str">
        <f>VLOOKUP($A147,Technologies!$A$7:$H$576,4,FALSE)</f>
        <v>Transport</v>
      </c>
      <c r="E147" s="6" t="str">
        <f>VLOOKUP($A147,Technologies!$A$7:$H$576,6,FALSE)</f>
        <v>Passenger Cars</v>
      </c>
      <c r="F147" s="48" t="str">
        <f>VLOOKUP($A147,Technologies!$A$7:$H$576,7,FALSE)</f>
        <v>ICE 2010 norm Vehicle - Cars</v>
      </c>
      <c r="G147" s="22"/>
      <c r="H147" s="22"/>
      <c r="I147" s="103" cm="1">
        <f t="array" ref="I147">-SUMPRODUCT((Feedstocks!$C$4:$C$141=A147)*Feedstocks!$E$4:$E$141,Feedstocks!$F$4:$F$141,Feedstocks!$H$4:$H$141,Feedstocks!$I$4:$I$141)</f>
        <v>0</v>
      </c>
      <c r="J147" s="103" cm="1">
        <f t="array" ref="J147">-SUMPRODUCT((Feedstocks!$C$4:$C$141=A147)*Feedstocks!$E$4:$E$141,Feedstocks!$H$4:$H$141,Feedstocks!$I$4:$I$141)</f>
        <v>0</v>
      </c>
      <c r="K147" s="103"/>
      <c r="L147" s="103"/>
      <c r="M147" s="22"/>
      <c r="N147" s="22" t="str">
        <f>VLOOKUP(E147,Activities!$A$9:$M$227,13,FALSE)</f>
        <v>NL</v>
      </c>
      <c r="O147" s="22"/>
      <c r="P147" s="80" t="s">
        <v>699</v>
      </c>
      <c r="Q147" s="36"/>
      <c r="R147" s="36"/>
      <c r="S147" s="36"/>
      <c r="T147" s="36"/>
      <c r="U147" s="36"/>
      <c r="V147" s="36"/>
      <c r="W147" s="36"/>
      <c r="X147" s="36"/>
      <c r="Y147" s="36"/>
      <c r="Z147" s="36"/>
      <c r="AA147" s="36"/>
      <c r="AB147" s="36"/>
      <c r="AC147" s="36"/>
      <c r="AD147" s="36"/>
      <c r="AE147" s="36"/>
      <c r="AF147" s="36"/>
      <c r="AG147" s="36"/>
      <c r="AH147" s="36"/>
      <c r="AI147" s="36"/>
      <c r="AJ147" s="36"/>
      <c r="AK147" s="36"/>
      <c r="AL147" s="36"/>
      <c r="AM147" s="36"/>
      <c r="AN147" s="36"/>
      <c r="AO147" s="36"/>
      <c r="AP147" s="36"/>
      <c r="AQ147" s="36"/>
      <c r="AR147" s="36"/>
      <c r="AS147" s="36"/>
      <c r="AT147" s="36"/>
      <c r="AU147" s="36"/>
      <c r="AV147" s="36"/>
      <c r="AW147" s="36"/>
      <c r="AX147" s="36"/>
      <c r="AY147" s="36"/>
      <c r="AZ147" s="35"/>
      <c r="BA147" s="36"/>
      <c r="BB147" s="36">
        <v>1</v>
      </c>
      <c r="BC147" s="36"/>
      <c r="BD147" s="36"/>
      <c r="BE147" s="36"/>
      <c r="BF147" s="36"/>
      <c r="BG147" s="36"/>
      <c r="BH147" s="36"/>
      <c r="BI147" s="36"/>
      <c r="BJ147" s="36"/>
      <c r="BK147" s="36"/>
      <c r="BL147" s="36"/>
      <c r="BM147" s="36"/>
      <c r="BN147" s="36"/>
      <c r="BO147" s="36"/>
      <c r="BP147" s="36"/>
      <c r="BQ147" s="36"/>
      <c r="BR147" s="36"/>
      <c r="BS147" s="36"/>
      <c r="BT147" s="36"/>
      <c r="BU147" s="36"/>
      <c r="BV147" s="36"/>
      <c r="BW147" s="36"/>
      <c r="BX147" s="36"/>
      <c r="BY147" s="36"/>
      <c r="BZ147" s="36"/>
      <c r="CA147" s="36"/>
      <c r="CB147" s="36"/>
      <c r="CC147" s="36"/>
      <c r="CD147" s="36"/>
      <c r="CE147" s="36"/>
      <c r="CF147" s="36"/>
      <c r="CG147" s="36"/>
      <c r="CH147" s="36"/>
      <c r="CI147" s="36"/>
      <c r="CJ147" s="36"/>
      <c r="CK147" s="36"/>
      <c r="CL147" s="36"/>
      <c r="CM147" s="36"/>
      <c r="CN147" s="36"/>
      <c r="CO147" s="36"/>
      <c r="CP147" s="36"/>
      <c r="CQ147" s="36"/>
      <c r="CR147" s="36"/>
      <c r="CS147" s="36"/>
      <c r="CT147" s="36"/>
      <c r="CU147" s="36"/>
      <c r="CV147" s="36"/>
      <c r="CW147" s="36"/>
      <c r="CX147" s="36"/>
      <c r="CY147" s="36"/>
      <c r="CZ147" s="36"/>
      <c r="DA147" s="36"/>
      <c r="DB147" s="36"/>
      <c r="DC147" s="36"/>
      <c r="DD147" s="36"/>
      <c r="DE147" s="36"/>
      <c r="DF147" s="36"/>
      <c r="DG147" s="36"/>
      <c r="DH147" s="36"/>
      <c r="DI147" s="36"/>
      <c r="DJ147" s="36"/>
      <c r="DK147" s="36"/>
      <c r="DL147" s="36"/>
      <c r="DM147" s="36"/>
      <c r="DN147" s="36"/>
      <c r="DO147" s="36"/>
      <c r="DP147" s="36"/>
      <c r="DQ147" s="36"/>
      <c r="DR147" s="36"/>
      <c r="DS147" s="36"/>
      <c r="DT147" s="36"/>
      <c r="DU147" s="36">
        <v>-2.3653864947983001</v>
      </c>
      <c r="DV147" s="36"/>
      <c r="DW147" s="36"/>
      <c r="DX147" s="36"/>
      <c r="DY147" s="36"/>
      <c r="DZ147" s="36"/>
      <c r="EA147" s="36"/>
      <c r="EB147" s="36"/>
      <c r="EC147" s="36"/>
      <c r="ED147" s="36"/>
      <c r="EE147" s="36"/>
      <c r="EF147" s="36"/>
      <c r="EG147" s="36"/>
      <c r="EH147" s="36"/>
      <c r="EI147" s="36"/>
      <c r="EJ147" s="36"/>
      <c r="EK147" s="36"/>
      <c r="EL147" s="36"/>
      <c r="EM147" s="36"/>
      <c r="EN147" s="36"/>
      <c r="EO147" s="36"/>
      <c r="EP147" s="36"/>
      <c r="EQ147" s="36"/>
      <c r="ER147" s="36"/>
      <c r="ES147" s="36"/>
      <c r="ET147" s="36"/>
      <c r="EU147" s="36"/>
      <c r="EV147" s="36"/>
      <c r="EW147" s="36"/>
      <c r="EX147" s="36"/>
      <c r="EY147" s="36"/>
      <c r="EZ147" s="36"/>
      <c r="FA147" s="36"/>
      <c r="FB147" s="36"/>
      <c r="FC147" s="36"/>
      <c r="FD147" s="36"/>
      <c r="FE147" s="36"/>
      <c r="FF147" s="36"/>
      <c r="FG147" s="36"/>
      <c r="FH147" s="36"/>
      <c r="FI147" s="36"/>
      <c r="FJ147" s="36"/>
      <c r="FK147" s="36"/>
      <c r="FL147" s="36"/>
      <c r="FM147" s="36"/>
      <c r="FN147" s="36"/>
      <c r="FO147" s="36"/>
      <c r="FP147" s="36"/>
      <c r="FQ147" s="36"/>
      <c r="FR147" s="36"/>
      <c r="FS147" s="36"/>
      <c r="FT147" s="36"/>
      <c r="FU147" s="36"/>
      <c r="FV147" s="36"/>
      <c r="FW147" s="36"/>
      <c r="FX147" s="36"/>
      <c r="FY147" s="36"/>
      <c r="FZ147" s="36"/>
      <c r="GA147" s="36"/>
      <c r="GB147" s="319"/>
      <c r="GC147" s="179">
        <f t="shared" si="32"/>
        <v>0</v>
      </c>
      <c r="GD147" s="179">
        <f t="shared" si="33"/>
        <v>0</v>
      </c>
      <c r="GE147" s="179">
        <f t="shared" si="34"/>
        <v>0.17269999999999999</v>
      </c>
      <c r="GF147" s="179">
        <f t="shared" si="35"/>
        <v>0</v>
      </c>
      <c r="GG147" s="179">
        <f t="shared" si="36"/>
        <v>0</v>
      </c>
    </row>
    <row r="148" spans="1:189" x14ac:dyDescent="0.35">
      <c r="A148" s="5" t="s">
        <v>1038</v>
      </c>
      <c r="B148" s="6" t="str">
        <f>IF(Technologies!B148&lt;&gt;0,Technologies!B148,"")</f>
        <v>Mobiliteit</v>
      </c>
      <c r="C148" s="5" t="str">
        <f>VLOOKUP($A148,Technologies!$A$7:$H$576,3,FALSE)</f>
        <v>Final</v>
      </c>
      <c r="D148" s="5" t="str">
        <f>VLOOKUP($A148,Technologies!$A$7:$H$576,4,FALSE)</f>
        <v>Transport</v>
      </c>
      <c r="E148" s="5" t="str">
        <f>VLOOKUP($A148,Technologies!$A$7:$H$576,6,FALSE)</f>
        <v>Passenger Cars</v>
      </c>
      <c r="F148" s="5" t="str">
        <f>VLOOKUP($A148,Technologies!$A$7:$H$576,7,FALSE)</f>
        <v>ICE efficient Vehicle - Cars</v>
      </c>
      <c r="G148" s="23"/>
      <c r="H148" s="23"/>
      <c r="I148" s="104" cm="1">
        <f t="array" ref="I148">-SUMPRODUCT((Feedstocks!$C$4:$C$141=A148)*Feedstocks!$E$4:$E$141,Feedstocks!$F$4:$F$141,Feedstocks!$H$4:$H$141,Feedstocks!$I$4:$I$141)</f>
        <v>0</v>
      </c>
      <c r="J148" s="104" cm="1">
        <f t="array" ref="J148">-SUMPRODUCT((Feedstocks!$C$4:$C$141=A148)*Feedstocks!$E$4:$E$141,Feedstocks!$H$4:$H$141,Feedstocks!$I$4:$I$141)</f>
        <v>0</v>
      </c>
      <c r="K148" s="104"/>
      <c r="L148" s="104"/>
      <c r="M148" s="23"/>
      <c r="N148" s="23" t="str">
        <f>VLOOKUP(E148,Activities!$A$9:$M$227,13,FALSE)</f>
        <v>NL</v>
      </c>
      <c r="O148" s="23"/>
      <c r="P148" s="79" t="s">
        <v>699</v>
      </c>
      <c r="Q148" s="35"/>
      <c r="R148" s="35"/>
      <c r="S148" s="35"/>
      <c r="T148" s="35"/>
      <c r="U148" s="35"/>
      <c r="V148" s="35"/>
      <c r="W148" s="35"/>
      <c r="X148" s="35"/>
      <c r="Y148" s="35"/>
      <c r="Z148" s="35"/>
      <c r="AA148" s="35"/>
      <c r="AB148" s="35"/>
      <c r="AC148" s="35"/>
      <c r="AD148" s="35"/>
      <c r="AE148" s="35"/>
      <c r="AF148" s="35"/>
      <c r="AG148" s="35"/>
      <c r="AH148" s="35"/>
      <c r="AI148" s="35"/>
      <c r="AJ148" s="35"/>
      <c r="AK148" s="35"/>
      <c r="AL148" s="35"/>
      <c r="AM148" s="35"/>
      <c r="AN148" s="35"/>
      <c r="AO148" s="35"/>
      <c r="AP148" s="35"/>
      <c r="AQ148" s="35"/>
      <c r="AR148" s="35"/>
      <c r="AS148" s="35"/>
      <c r="AT148" s="35"/>
      <c r="AU148" s="35"/>
      <c r="AV148" s="35"/>
      <c r="AW148" s="35"/>
      <c r="AX148" s="35"/>
      <c r="AY148" s="35"/>
      <c r="AZ148" s="35"/>
      <c r="BA148" s="35"/>
      <c r="BB148" s="35">
        <v>1</v>
      </c>
      <c r="BC148" s="35"/>
      <c r="BD148" s="35"/>
      <c r="BE148" s="35"/>
      <c r="BF148" s="35"/>
      <c r="BG148" s="35"/>
      <c r="BH148" s="35"/>
      <c r="BI148" s="35"/>
      <c r="BJ148" s="35"/>
      <c r="BK148" s="35"/>
      <c r="BL148" s="35"/>
      <c r="BM148" s="35"/>
      <c r="BN148" s="35"/>
      <c r="BO148" s="35"/>
      <c r="BP148" s="35"/>
      <c r="BQ148" s="35"/>
      <c r="BR148" s="35"/>
      <c r="BS148" s="35"/>
      <c r="BT148" s="35"/>
      <c r="BU148" s="35"/>
      <c r="BV148" s="35"/>
      <c r="BW148" s="35"/>
      <c r="BX148" s="35"/>
      <c r="BY148" s="35"/>
      <c r="BZ148" s="35"/>
      <c r="CA148" s="35"/>
      <c r="CB148" s="35"/>
      <c r="CC148" s="35"/>
      <c r="CD148" s="35"/>
      <c r="CE148" s="35"/>
      <c r="CF148" s="35"/>
      <c r="CG148" s="35"/>
      <c r="CH148" s="35"/>
      <c r="CI148" s="35"/>
      <c r="CJ148" s="35"/>
      <c r="CK148" s="35"/>
      <c r="CL148" s="35"/>
      <c r="CM148" s="35"/>
      <c r="CN148" s="35"/>
      <c r="CO148" s="35"/>
      <c r="CP148" s="35"/>
      <c r="CQ148" s="35"/>
      <c r="CR148" s="35"/>
      <c r="CS148" s="35"/>
      <c r="CT148" s="35"/>
      <c r="CU148" s="35"/>
      <c r="CV148" s="35"/>
      <c r="CW148" s="35"/>
      <c r="CX148" s="35"/>
      <c r="CY148" s="35"/>
      <c r="CZ148" s="35"/>
      <c r="DA148" s="35"/>
      <c r="DB148" s="35"/>
      <c r="DC148" s="35"/>
      <c r="DD148" s="35"/>
      <c r="DE148" s="35"/>
      <c r="DF148" s="35"/>
      <c r="DG148" s="35"/>
      <c r="DH148" s="35"/>
      <c r="DI148" s="35"/>
      <c r="DJ148" s="35"/>
      <c r="DK148" s="35"/>
      <c r="DL148" s="35"/>
      <c r="DM148" s="35"/>
      <c r="DN148" s="35"/>
      <c r="DO148" s="35"/>
      <c r="DP148" s="35"/>
      <c r="DQ148" s="35"/>
      <c r="DR148" s="35"/>
      <c r="DS148" s="35"/>
      <c r="DT148" s="35"/>
      <c r="DU148" s="35">
        <v>-1.518</v>
      </c>
      <c r="DV148" s="35"/>
      <c r="DW148" s="35"/>
      <c r="DX148" s="35"/>
      <c r="DY148" s="35"/>
      <c r="DZ148" s="35"/>
      <c r="EA148" s="35"/>
      <c r="EB148" s="35"/>
      <c r="EC148" s="35"/>
      <c r="ED148" s="35"/>
      <c r="EE148" s="35"/>
      <c r="EF148" s="35"/>
      <c r="EG148" s="35"/>
      <c r="EH148" s="35"/>
      <c r="EI148" s="35"/>
      <c r="EJ148" s="35"/>
      <c r="EK148" s="35"/>
      <c r="EL148" s="35"/>
      <c r="EM148" s="35"/>
      <c r="EN148" s="35"/>
      <c r="EO148" s="35"/>
      <c r="EP148" s="35"/>
      <c r="EQ148" s="35"/>
      <c r="ER148" s="35"/>
      <c r="ES148" s="35"/>
      <c r="ET148" s="35"/>
      <c r="EU148" s="35"/>
      <c r="EV148" s="35"/>
      <c r="EW148" s="35"/>
      <c r="EX148" s="35"/>
      <c r="EY148" s="35"/>
      <c r="EZ148" s="35"/>
      <c r="FA148" s="35"/>
      <c r="FB148" s="35"/>
      <c r="FC148" s="35"/>
      <c r="FD148" s="35"/>
      <c r="FE148" s="35"/>
      <c r="FF148" s="35"/>
      <c r="FG148" s="35"/>
      <c r="FH148" s="35"/>
      <c r="FI148" s="35"/>
      <c r="FJ148" s="35"/>
      <c r="FK148" s="35"/>
      <c r="FL148" s="35"/>
      <c r="FM148" s="35"/>
      <c r="FN148" s="35"/>
      <c r="FO148" s="35"/>
      <c r="FP148" s="35"/>
      <c r="FQ148" s="35"/>
      <c r="FR148" s="35"/>
      <c r="FS148" s="35"/>
      <c r="FT148" s="35"/>
      <c r="FU148" s="35"/>
      <c r="FV148" s="35"/>
      <c r="FW148" s="35"/>
      <c r="FX148" s="35"/>
      <c r="FY148" s="35"/>
      <c r="FZ148" s="35"/>
      <c r="GA148" s="35"/>
      <c r="GB148" s="318"/>
      <c r="GC148" s="178">
        <f t="shared" si="32"/>
        <v>0</v>
      </c>
      <c r="GD148" s="178">
        <f t="shared" si="33"/>
        <v>0</v>
      </c>
      <c r="GE148" s="178">
        <f t="shared" si="34"/>
        <v>0.1108</v>
      </c>
      <c r="GF148" s="178">
        <f t="shared" si="35"/>
        <v>0</v>
      </c>
      <c r="GG148" s="178">
        <f t="shared" si="36"/>
        <v>0</v>
      </c>
    </row>
    <row r="149" spans="1:189" x14ac:dyDescent="0.35">
      <c r="A149" s="6" t="s">
        <v>1041</v>
      </c>
      <c r="B149" s="6" t="str">
        <f>IF(Technologies!B149&lt;&gt;0,Technologies!B149,"")</f>
        <v>Mobiliteit</v>
      </c>
      <c r="C149" s="6" t="str">
        <f>VLOOKUP($A149,Technologies!$A$7:$H$576,3,FALSE)</f>
        <v>Final</v>
      </c>
      <c r="D149" s="6" t="str">
        <f>VLOOKUP($A149,Technologies!$A$7:$H$576,4,FALSE)</f>
        <v>Transport</v>
      </c>
      <c r="E149" s="6" t="str">
        <f>VLOOKUP($A149,Technologies!$A$7:$H$576,6,FALSE)</f>
        <v>Passenger Cars</v>
      </c>
      <c r="F149" s="48" t="str">
        <f>VLOOKUP($A149,Technologies!$A$7:$H$576,7,FALSE)</f>
        <v>ICE Bio Diesel Vehicle - Cars</v>
      </c>
      <c r="G149" s="22"/>
      <c r="H149" s="22"/>
      <c r="I149" s="103" cm="1">
        <f t="array" ref="I149">-SUMPRODUCT((Feedstocks!$C$4:$C$141=A149)*Feedstocks!$E$4:$E$141,Feedstocks!$F$4:$F$141,Feedstocks!$H$4:$H$141,Feedstocks!$I$4:$I$141)</f>
        <v>0</v>
      </c>
      <c r="J149" s="103" cm="1">
        <f t="array" ref="J149">-SUMPRODUCT((Feedstocks!$C$4:$C$141=A149)*Feedstocks!$E$4:$E$141,Feedstocks!$H$4:$H$141,Feedstocks!$I$4:$I$141)</f>
        <v>0</v>
      </c>
      <c r="K149" s="103"/>
      <c r="L149" s="103"/>
      <c r="M149" s="22"/>
      <c r="N149" s="22" t="str">
        <f>VLOOKUP(E149,Activities!$A$9:$M$227,13,FALSE)</f>
        <v>NL</v>
      </c>
      <c r="O149" s="22"/>
      <c r="P149" s="80" t="s">
        <v>1040</v>
      </c>
      <c r="Q149" s="36"/>
      <c r="R149" s="36"/>
      <c r="S149" s="36"/>
      <c r="T149" s="36"/>
      <c r="U149" s="36"/>
      <c r="V149" s="36"/>
      <c r="W149" s="36"/>
      <c r="X149" s="36"/>
      <c r="Y149" s="36"/>
      <c r="Z149" s="36"/>
      <c r="AA149" s="36"/>
      <c r="AB149" s="36"/>
      <c r="AC149" s="36"/>
      <c r="AD149" s="36"/>
      <c r="AE149" s="36"/>
      <c r="AF149" s="36"/>
      <c r="AG149" s="36"/>
      <c r="AH149" s="36"/>
      <c r="AI149" s="36"/>
      <c r="AJ149" s="36"/>
      <c r="AK149" s="36"/>
      <c r="AL149" s="36"/>
      <c r="AM149" s="36"/>
      <c r="AN149" s="36"/>
      <c r="AO149" s="36"/>
      <c r="AP149" s="36"/>
      <c r="AQ149" s="36"/>
      <c r="AR149" s="36"/>
      <c r="AS149" s="36"/>
      <c r="AT149" s="36"/>
      <c r="AU149" s="36"/>
      <c r="AV149" s="36"/>
      <c r="AW149" s="36"/>
      <c r="AX149" s="36"/>
      <c r="AY149" s="36"/>
      <c r="AZ149" s="36"/>
      <c r="BA149" s="36"/>
      <c r="BB149" s="36">
        <v>1</v>
      </c>
      <c r="BC149" s="36"/>
      <c r="BD149" s="36"/>
      <c r="BE149" s="36"/>
      <c r="BF149" s="36"/>
      <c r="BG149" s="36"/>
      <c r="BH149" s="36"/>
      <c r="BI149" s="36"/>
      <c r="BJ149" s="36"/>
      <c r="BK149" s="36"/>
      <c r="BL149" s="36"/>
      <c r="BM149" s="36"/>
      <c r="BN149" s="36"/>
      <c r="BO149" s="36"/>
      <c r="BP149" s="36"/>
      <c r="BQ149" s="36"/>
      <c r="BR149" s="36"/>
      <c r="BS149" s="36"/>
      <c r="BT149" s="36"/>
      <c r="BU149" s="36"/>
      <c r="BV149" s="36"/>
      <c r="BW149" s="36"/>
      <c r="BX149" s="36"/>
      <c r="BY149" s="36"/>
      <c r="BZ149" s="36"/>
      <c r="CA149" s="36"/>
      <c r="CB149" s="36"/>
      <c r="CC149" s="36"/>
      <c r="CD149" s="36"/>
      <c r="CE149" s="36"/>
      <c r="CF149" s="36"/>
      <c r="CG149" s="36"/>
      <c r="CH149" s="36"/>
      <c r="CI149" s="36"/>
      <c r="CJ149" s="36"/>
      <c r="CK149" s="36"/>
      <c r="CL149" s="36"/>
      <c r="CM149" s="36"/>
      <c r="CN149" s="36"/>
      <c r="CO149" s="36"/>
      <c r="CP149" s="36"/>
      <c r="CQ149" s="36"/>
      <c r="CR149" s="36"/>
      <c r="CS149" s="36"/>
      <c r="CT149" s="36"/>
      <c r="CU149" s="36"/>
      <c r="CV149" s="36"/>
      <c r="CW149" s="36"/>
      <c r="CX149" s="36"/>
      <c r="CY149" s="36"/>
      <c r="CZ149" s="36"/>
      <c r="DA149" s="36"/>
      <c r="DB149" s="36"/>
      <c r="DC149" s="36"/>
      <c r="DD149" s="36"/>
      <c r="DE149" s="36"/>
      <c r="DF149" s="36"/>
      <c r="DG149" s="36"/>
      <c r="DH149" s="36"/>
      <c r="DI149" s="36"/>
      <c r="DJ149" s="36"/>
      <c r="DK149" s="36"/>
      <c r="DL149" s="36"/>
      <c r="DM149" s="36"/>
      <c r="DN149" s="36"/>
      <c r="DO149" s="36"/>
      <c r="DP149" s="36"/>
      <c r="DQ149" s="36"/>
      <c r="DR149" s="36"/>
      <c r="DS149" s="36"/>
      <c r="DT149" s="36"/>
      <c r="DU149" s="36"/>
      <c r="DV149" s="36"/>
      <c r="DW149" s="36"/>
      <c r="DX149" s="36"/>
      <c r="DY149" s="36"/>
      <c r="DZ149" s="36"/>
      <c r="EA149" s="36">
        <v>-1.518</v>
      </c>
      <c r="EB149" s="36"/>
      <c r="EC149" s="36"/>
      <c r="ED149" s="36"/>
      <c r="EE149" s="36"/>
      <c r="EF149" s="36"/>
      <c r="EG149" s="36"/>
      <c r="EH149" s="36"/>
      <c r="EI149" s="36"/>
      <c r="EJ149" s="36"/>
      <c r="EK149" s="36"/>
      <c r="EL149" s="36"/>
      <c r="EM149" s="36"/>
      <c r="EN149" s="36"/>
      <c r="EO149" s="36"/>
      <c r="EP149" s="36"/>
      <c r="EQ149" s="36"/>
      <c r="ER149" s="36"/>
      <c r="ES149" s="36"/>
      <c r="ET149" s="36"/>
      <c r="EU149" s="36"/>
      <c r="EV149" s="36"/>
      <c r="EW149" s="36"/>
      <c r="EX149" s="36"/>
      <c r="EY149" s="36"/>
      <c r="EZ149" s="36"/>
      <c r="FA149" s="36"/>
      <c r="FB149" s="36"/>
      <c r="FC149" s="36"/>
      <c r="FD149" s="36"/>
      <c r="FE149" s="36"/>
      <c r="FF149" s="36"/>
      <c r="FG149" s="36"/>
      <c r="FH149" s="36"/>
      <c r="FI149" s="36"/>
      <c r="FJ149" s="36"/>
      <c r="FK149" s="36"/>
      <c r="FL149" s="36"/>
      <c r="FM149" s="36"/>
      <c r="FN149" s="36"/>
      <c r="FO149" s="36"/>
      <c r="FP149" s="36"/>
      <c r="FQ149" s="36"/>
      <c r="FR149" s="36"/>
      <c r="FS149" s="36"/>
      <c r="FT149" s="36"/>
      <c r="FU149" s="36"/>
      <c r="FV149" s="36"/>
      <c r="FW149" s="36"/>
      <c r="FX149" s="36"/>
      <c r="FY149" s="36"/>
      <c r="FZ149" s="36"/>
      <c r="GA149" s="36"/>
      <c r="GB149" s="319"/>
      <c r="GC149" s="179">
        <f t="shared" si="32"/>
        <v>0</v>
      </c>
      <c r="GD149" s="179">
        <f t="shared" si="33"/>
        <v>0</v>
      </c>
      <c r="GE149" s="179">
        <f t="shared" si="34"/>
        <v>0</v>
      </c>
      <c r="GF149" s="179">
        <f t="shared" si="35"/>
        <v>0</v>
      </c>
      <c r="GG149" s="179">
        <f t="shared" si="36"/>
        <v>0</v>
      </c>
    </row>
    <row r="150" spans="1:189" x14ac:dyDescent="0.35">
      <c r="A150" s="5" t="s">
        <v>1043</v>
      </c>
      <c r="B150" s="5" t="str">
        <f>IF(Technologies!B150&lt;&gt;0,Technologies!B150,"")</f>
        <v>Mobiliteit</v>
      </c>
      <c r="C150" s="5" t="str">
        <f>VLOOKUP($A150,Technologies!$A$7:$H$576,3,FALSE)</f>
        <v>Final</v>
      </c>
      <c r="D150" s="5" t="str">
        <f>VLOOKUP($A150,Technologies!$A$7:$H$576,4,FALSE)</f>
        <v>Transport</v>
      </c>
      <c r="E150" s="5" t="str">
        <f>VLOOKUP($A150,Technologies!$A$7:$H$576,6,FALSE)</f>
        <v>Passenger Cars</v>
      </c>
      <c r="F150" s="5" t="str">
        <f>VLOOKUP($A150,Technologies!$A$7:$H$576,7,FALSE)</f>
        <v>ICE Syn Diesel Vehicle - Cars</v>
      </c>
      <c r="G150" s="23"/>
      <c r="H150" s="23"/>
      <c r="I150" s="104" cm="1">
        <f t="array" ref="I150">-SUMPRODUCT((Feedstocks!$C$4:$C$141=A150)*Feedstocks!$E$4:$E$141,Feedstocks!$F$4:$F$141,Feedstocks!$H$4:$H$141,Feedstocks!$I$4:$I$141)</f>
        <v>0</v>
      </c>
      <c r="J150" s="104" cm="1">
        <f t="array" ref="J150">-SUMPRODUCT((Feedstocks!$C$4:$C$141=A150)*Feedstocks!$E$4:$E$141,Feedstocks!$H$4:$H$141,Feedstocks!$I$4:$I$141)</f>
        <v>0</v>
      </c>
      <c r="K150" s="104"/>
      <c r="L150" s="104"/>
      <c r="M150" s="23"/>
      <c r="N150" s="23" t="str">
        <f>VLOOKUP(E150,Activities!$A$9:$M$227,13,FALSE)</f>
        <v>NL</v>
      </c>
      <c r="O150" s="23"/>
      <c r="P150" s="79" t="s">
        <v>1040</v>
      </c>
      <c r="Q150" s="35"/>
      <c r="R150" s="35"/>
      <c r="S150" s="35"/>
      <c r="T150" s="35"/>
      <c r="U150" s="35"/>
      <c r="V150" s="35"/>
      <c r="W150" s="35"/>
      <c r="X150" s="35"/>
      <c r="Y150" s="35"/>
      <c r="Z150" s="35"/>
      <c r="AA150" s="35"/>
      <c r="AB150" s="35"/>
      <c r="AC150" s="35"/>
      <c r="AD150" s="35"/>
      <c r="AE150" s="35"/>
      <c r="AF150" s="35"/>
      <c r="AG150" s="35"/>
      <c r="AH150" s="35"/>
      <c r="AI150" s="35"/>
      <c r="AJ150" s="35"/>
      <c r="AK150" s="35"/>
      <c r="AL150" s="35"/>
      <c r="AM150" s="35"/>
      <c r="AN150" s="35"/>
      <c r="AO150" s="35"/>
      <c r="AP150" s="35"/>
      <c r="AQ150" s="35"/>
      <c r="AR150" s="35"/>
      <c r="AS150" s="35"/>
      <c r="AT150" s="35"/>
      <c r="AU150" s="35"/>
      <c r="AV150" s="35"/>
      <c r="AW150" s="35"/>
      <c r="AX150" s="35"/>
      <c r="AY150" s="35"/>
      <c r="AZ150" s="35"/>
      <c r="BA150" s="35"/>
      <c r="BB150" s="35">
        <v>1</v>
      </c>
      <c r="BC150" s="35"/>
      <c r="BD150" s="35"/>
      <c r="BE150" s="35"/>
      <c r="BF150" s="35"/>
      <c r="BG150" s="35"/>
      <c r="BH150" s="35"/>
      <c r="BI150" s="35"/>
      <c r="BJ150" s="35"/>
      <c r="BK150" s="35"/>
      <c r="BL150" s="35"/>
      <c r="BM150" s="35"/>
      <c r="BN150" s="35"/>
      <c r="BO150" s="35"/>
      <c r="BP150" s="35"/>
      <c r="BQ150" s="35"/>
      <c r="BR150" s="35"/>
      <c r="BS150" s="35"/>
      <c r="BT150" s="35"/>
      <c r="BU150" s="35"/>
      <c r="BV150" s="35"/>
      <c r="BW150" s="35"/>
      <c r="BX150" s="35"/>
      <c r="BY150" s="35"/>
      <c r="BZ150" s="35"/>
      <c r="CA150" s="35"/>
      <c r="CB150" s="35"/>
      <c r="CC150" s="35"/>
      <c r="CD150" s="35"/>
      <c r="CE150" s="35"/>
      <c r="CF150" s="35"/>
      <c r="CG150" s="35"/>
      <c r="CH150" s="35"/>
      <c r="CI150" s="35"/>
      <c r="CJ150" s="35"/>
      <c r="CK150" s="35"/>
      <c r="CL150" s="35"/>
      <c r="CM150" s="35"/>
      <c r="CN150" s="35"/>
      <c r="CO150" s="35"/>
      <c r="CP150" s="35"/>
      <c r="CQ150" s="35"/>
      <c r="CR150" s="35"/>
      <c r="CS150" s="35"/>
      <c r="CT150" s="35"/>
      <c r="CU150" s="35"/>
      <c r="CV150" s="35"/>
      <c r="CW150" s="35"/>
      <c r="CX150" s="35"/>
      <c r="CY150" s="35"/>
      <c r="CZ150" s="35"/>
      <c r="DA150" s="35"/>
      <c r="DB150" s="35"/>
      <c r="DC150" s="35"/>
      <c r="DD150" s="35"/>
      <c r="DE150" s="35"/>
      <c r="DF150" s="35"/>
      <c r="DG150" s="35"/>
      <c r="DH150" s="35"/>
      <c r="DI150" s="35"/>
      <c r="DJ150" s="35"/>
      <c r="DK150" s="35"/>
      <c r="DL150" s="35"/>
      <c r="DM150" s="35"/>
      <c r="DN150" s="35"/>
      <c r="DO150" s="35"/>
      <c r="DP150" s="35"/>
      <c r="DQ150" s="35"/>
      <c r="DR150" s="35"/>
      <c r="DS150" s="35"/>
      <c r="DT150" s="35"/>
      <c r="DU150" s="35"/>
      <c r="DV150" s="35"/>
      <c r="DW150" s="35"/>
      <c r="DX150" s="35"/>
      <c r="DY150" s="35"/>
      <c r="DZ150" s="35"/>
      <c r="EA150" s="35"/>
      <c r="EB150" s="35"/>
      <c r="EC150" s="35"/>
      <c r="ED150" s="35"/>
      <c r="EE150" s="35">
        <v>-1.518</v>
      </c>
      <c r="EF150" s="35"/>
      <c r="EG150" s="35"/>
      <c r="EH150" s="35"/>
      <c r="EI150" s="35"/>
      <c r="EJ150" s="35"/>
      <c r="EK150" s="35"/>
      <c r="EL150" s="35"/>
      <c r="EM150" s="35"/>
      <c r="EN150" s="35"/>
      <c r="EO150" s="35"/>
      <c r="EP150" s="35"/>
      <c r="EQ150" s="35"/>
      <c r="ER150" s="35"/>
      <c r="ES150" s="35"/>
      <c r="ET150" s="35"/>
      <c r="EU150" s="35"/>
      <c r="EV150" s="35"/>
      <c r="EW150" s="35"/>
      <c r="EX150" s="35"/>
      <c r="EY150" s="35"/>
      <c r="EZ150" s="35"/>
      <c r="FA150" s="35"/>
      <c r="FB150" s="35"/>
      <c r="FC150" s="35"/>
      <c r="FD150" s="35"/>
      <c r="FE150" s="35"/>
      <c r="FF150" s="35"/>
      <c r="FG150" s="35"/>
      <c r="FH150" s="35"/>
      <c r="FI150" s="35"/>
      <c r="FJ150" s="35"/>
      <c r="FK150" s="35"/>
      <c r="FL150" s="35"/>
      <c r="FM150" s="35"/>
      <c r="FN150" s="35"/>
      <c r="FO150" s="35"/>
      <c r="FP150" s="35"/>
      <c r="FQ150" s="35"/>
      <c r="FR150" s="35"/>
      <c r="FS150" s="35"/>
      <c r="FT150" s="35"/>
      <c r="FU150" s="35"/>
      <c r="FV150" s="35"/>
      <c r="FW150" s="35"/>
      <c r="FX150" s="35"/>
      <c r="FY150" s="35"/>
      <c r="FZ150" s="35"/>
      <c r="GA150" s="35"/>
      <c r="GB150" s="318"/>
      <c r="GC150" s="178">
        <f t="shared" si="32"/>
        <v>0</v>
      </c>
      <c r="GD150" s="178">
        <f t="shared" si="33"/>
        <v>0</v>
      </c>
      <c r="GE150" s="178">
        <f t="shared" si="34"/>
        <v>0.1108</v>
      </c>
      <c r="GF150" s="178">
        <f t="shared" si="35"/>
        <v>0</v>
      </c>
      <c r="GG150" s="178">
        <f t="shared" si="36"/>
        <v>0</v>
      </c>
    </row>
    <row r="151" spans="1:189" x14ac:dyDescent="0.35">
      <c r="A151" s="6" t="s">
        <v>1045</v>
      </c>
      <c r="B151" s="6" t="str">
        <f>IF(Technologies!B151&lt;&gt;0,Technologies!B151,"")</f>
        <v>Mobiliteit</v>
      </c>
      <c r="C151" s="6" t="str">
        <f>VLOOKUP($A151,Technologies!$A$7:$H$576,3,FALSE)</f>
        <v>Final</v>
      </c>
      <c r="D151" s="6" t="str">
        <f>VLOOKUP($A151,Technologies!$A$7:$H$576,4,FALSE)</f>
        <v>Transport</v>
      </c>
      <c r="E151" s="6" t="str">
        <f>VLOOKUP($A151,Technologies!$A$7:$H$576,6,FALSE)</f>
        <v>Passenger Cars</v>
      </c>
      <c r="F151" s="48" t="str">
        <f>VLOOKUP($A151,Technologies!$A$7:$H$576,7,FALSE)</f>
        <v>ICE Hybrid Vehicle - Cars</v>
      </c>
      <c r="G151" s="22"/>
      <c r="H151" s="22"/>
      <c r="I151" s="103" cm="1">
        <f t="array" ref="I151">-SUMPRODUCT((Feedstocks!$C$4:$C$141=A151)*Feedstocks!$E$4:$E$141,Feedstocks!$F$4:$F$141,Feedstocks!$H$4:$H$141,Feedstocks!$I$4:$I$141)</f>
        <v>0</v>
      </c>
      <c r="J151" s="103" cm="1">
        <f t="array" ref="J151">-SUMPRODUCT((Feedstocks!$C$4:$C$141=A151)*Feedstocks!$E$4:$E$141,Feedstocks!$H$4:$H$141,Feedstocks!$I$4:$I$141)</f>
        <v>0</v>
      </c>
      <c r="K151" s="103"/>
      <c r="L151" s="103"/>
      <c r="M151" s="22"/>
      <c r="N151" s="22" t="str">
        <f>VLOOKUP(E151,Activities!$A$9:$M$227,13,FALSE)</f>
        <v>NL</v>
      </c>
      <c r="O151" s="22"/>
      <c r="P151" s="80" t="s">
        <v>1040</v>
      </c>
      <c r="Q151" s="36"/>
      <c r="R151" s="36"/>
      <c r="S151" s="36"/>
      <c r="T151" s="36"/>
      <c r="U151" s="36"/>
      <c r="V151" s="36"/>
      <c r="W151" s="36"/>
      <c r="X151" s="36"/>
      <c r="Y151" s="36"/>
      <c r="Z151" s="36"/>
      <c r="AA151" s="36"/>
      <c r="AB151" s="36"/>
      <c r="AC151" s="36"/>
      <c r="AD151" s="36"/>
      <c r="AE151" s="36"/>
      <c r="AF151" s="36"/>
      <c r="AG151" s="36"/>
      <c r="AH151" s="36"/>
      <c r="AI151" s="36"/>
      <c r="AJ151" s="36"/>
      <c r="AK151" s="36"/>
      <c r="AL151" s="36"/>
      <c r="AM151" s="36"/>
      <c r="AN151" s="36"/>
      <c r="AO151" s="36"/>
      <c r="AP151" s="36"/>
      <c r="AQ151" s="36"/>
      <c r="AR151" s="36"/>
      <c r="AS151" s="36"/>
      <c r="AT151" s="36"/>
      <c r="AU151" s="36"/>
      <c r="AV151" s="36"/>
      <c r="AW151" s="36"/>
      <c r="AX151" s="36"/>
      <c r="AY151" s="36"/>
      <c r="AZ151" s="36"/>
      <c r="BA151" s="36"/>
      <c r="BB151" s="36">
        <v>1</v>
      </c>
      <c r="BC151" s="36"/>
      <c r="BD151" s="36"/>
      <c r="BE151" s="36"/>
      <c r="BF151" s="36"/>
      <c r="BG151" s="36"/>
      <c r="BH151" s="36"/>
      <c r="BI151" s="36"/>
      <c r="BJ151" s="36"/>
      <c r="BK151" s="36"/>
      <c r="BL151" s="36"/>
      <c r="BM151" s="36"/>
      <c r="BN151" s="36"/>
      <c r="BO151" s="36"/>
      <c r="BP151" s="36"/>
      <c r="BQ151" s="36"/>
      <c r="BR151" s="36"/>
      <c r="BS151" s="36"/>
      <c r="BT151" s="36"/>
      <c r="BU151" s="36"/>
      <c r="BV151" s="36"/>
      <c r="BW151" s="36"/>
      <c r="BX151" s="36"/>
      <c r="BY151" s="36"/>
      <c r="BZ151" s="36"/>
      <c r="CA151" s="36"/>
      <c r="CB151" s="36"/>
      <c r="CC151" s="36"/>
      <c r="CD151" s="36"/>
      <c r="CE151" s="36"/>
      <c r="CF151" s="36"/>
      <c r="CG151" s="36"/>
      <c r="CH151" s="36"/>
      <c r="CI151" s="36"/>
      <c r="CJ151" s="36"/>
      <c r="CK151" s="36"/>
      <c r="CL151" s="36"/>
      <c r="CM151" s="36"/>
      <c r="CN151" s="36"/>
      <c r="CO151" s="36"/>
      <c r="CP151" s="36"/>
      <c r="CQ151" s="36"/>
      <c r="CR151" s="36"/>
      <c r="CS151" s="36"/>
      <c r="CT151" s="36"/>
      <c r="CU151" s="36"/>
      <c r="CV151" s="36"/>
      <c r="CW151" s="36"/>
      <c r="CX151" s="36"/>
      <c r="CY151" s="36"/>
      <c r="CZ151" s="36"/>
      <c r="DA151" s="36"/>
      <c r="DB151" s="36"/>
      <c r="DC151" s="36"/>
      <c r="DD151" s="36"/>
      <c r="DE151" s="36"/>
      <c r="DF151" s="36"/>
      <c r="DG151" s="36"/>
      <c r="DH151" s="36"/>
      <c r="DI151" s="36"/>
      <c r="DJ151" s="36"/>
      <c r="DK151" s="36"/>
      <c r="DL151" s="36"/>
      <c r="DM151" s="36"/>
      <c r="DN151" s="36"/>
      <c r="DO151" s="36"/>
      <c r="DP151" s="36"/>
      <c r="DQ151" s="36"/>
      <c r="DR151" s="36"/>
      <c r="DS151" s="36"/>
      <c r="DT151" s="36"/>
      <c r="DU151" s="36">
        <v>-1.57692432986553</v>
      </c>
      <c r="DV151" s="36"/>
      <c r="DW151" s="36"/>
      <c r="DX151" s="36"/>
      <c r="DY151" s="36"/>
      <c r="DZ151" s="36"/>
      <c r="EA151" s="36"/>
      <c r="EB151" s="36"/>
      <c r="EC151" s="36"/>
      <c r="ED151" s="36"/>
      <c r="EE151" s="36"/>
      <c r="EF151" s="36"/>
      <c r="EG151" s="36"/>
      <c r="EH151" s="36"/>
      <c r="EI151" s="36"/>
      <c r="EJ151" s="36"/>
      <c r="EK151" s="36"/>
      <c r="EL151" s="36"/>
      <c r="EM151" s="36"/>
      <c r="EN151" s="36"/>
      <c r="EO151" s="36"/>
      <c r="EP151" s="36"/>
      <c r="EQ151" s="36"/>
      <c r="ER151" s="36"/>
      <c r="ES151" s="36"/>
      <c r="ET151" s="36"/>
      <c r="EU151" s="36"/>
      <c r="EV151" s="36"/>
      <c r="EW151" s="36"/>
      <c r="EX151" s="36"/>
      <c r="EY151" s="36"/>
      <c r="EZ151" s="36"/>
      <c r="FA151" s="36"/>
      <c r="FB151" s="36"/>
      <c r="FC151" s="36"/>
      <c r="FD151" s="36"/>
      <c r="FE151" s="36"/>
      <c r="FF151" s="36"/>
      <c r="FG151" s="36"/>
      <c r="FH151" s="36"/>
      <c r="FI151" s="36"/>
      <c r="FJ151" s="36"/>
      <c r="FK151" s="36"/>
      <c r="FL151" s="36"/>
      <c r="FM151" s="36"/>
      <c r="FN151" s="36"/>
      <c r="FO151" s="36"/>
      <c r="FP151" s="36"/>
      <c r="FQ151" s="36"/>
      <c r="FR151" s="36"/>
      <c r="FS151" s="36"/>
      <c r="FT151" s="36"/>
      <c r="FU151" s="36"/>
      <c r="FV151" s="36"/>
      <c r="FW151" s="36"/>
      <c r="FX151" s="36"/>
      <c r="FY151" s="36"/>
      <c r="FZ151" s="36"/>
      <c r="GA151" s="36"/>
      <c r="GB151" s="319"/>
      <c r="GC151" s="179">
        <f t="shared" si="32"/>
        <v>0</v>
      </c>
      <c r="GD151" s="179">
        <f t="shared" si="33"/>
        <v>0</v>
      </c>
      <c r="GE151" s="179">
        <f t="shared" si="34"/>
        <v>0.11509999999999999</v>
      </c>
      <c r="GF151" s="179">
        <f t="shared" si="35"/>
        <v>0</v>
      </c>
      <c r="GG151" s="179">
        <f t="shared" si="36"/>
        <v>0</v>
      </c>
    </row>
    <row r="152" spans="1:189" x14ac:dyDescent="0.35">
      <c r="A152" s="5" t="s">
        <v>1047</v>
      </c>
      <c r="B152" s="5" t="str">
        <f>IF(Technologies!B152&lt;&gt;0,Technologies!B152,"")</f>
        <v>Mobiliteit</v>
      </c>
      <c r="C152" s="5" t="str">
        <f>VLOOKUP($A152,Technologies!$A$7:$H$576,3,FALSE)</f>
        <v>Final</v>
      </c>
      <c r="D152" s="5" t="str">
        <f>VLOOKUP($A152,Technologies!$A$7:$H$576,4,FALSE)</f>
        <v>Transport</v>
      </c>
      <c r="E152" s="5" t="str">
        <f>VLOOKUP($A152,Technologies!$A$7:$H$576,6,FALSE)</f>
        <v>Passenger Cars</v>
      </c>
      <c r="F152" s="5" t="str">
        <f>VLOOKUP($A152,Technologies!$A$7:$H$576,7,FALSE)</f>
        <v>ICE Natural Gas Vehicle - Cars</v>
      </c>
      <c r="G152" s="23"/>
      <c r="H152" s="23"/>
      <c r="I152" s="104" cm="1">
        <f t="array" ref="I152">-SUMPRODUCT((Feedstocks!$C$4:$C$141=A152)*Feedstocks!$E$4:$E$141,Feedstocks!$F$4:$F$141,Feedstocks!$H$4:$H$141,Feedstocks!$I$4:$I$141)</f>
        <v>0</v>
      </c>
      <c r="J152" s="104" cm="1">
        <f t="array" ref="J152">-SUMPRODUCT((Feedstocks!$C$4:$C$141=A152)*Feedstocks!$E$4:$E$141,Feedstocks!$H$4:$H$141,Feedstocks!$I$4:$I$141)</f>
        <v>0</v>
      </c>
      <c r="K152" s="104"/>
      <c r="L152" s="104"/>
      <c r="M152" s="23"/>
      <c r="N152" s="23" t="str">
        <f>VLOOKUP(E152,Activities!$A$9:$M$227,13,FALSE)</f>
        <v>NL</v>
      </c>
      <c r="O152" s="23"/>
      <c r="P152" s="79" t="s">
        <v>1040</v>
      </c>
      <c r="Q152" s="35"/>
      <c r="R152" s="35"/>
      <c r="S152" s="35"/>
      <c r="T152" s="35"/>
      <c r="U152" s="35"/>
      <c r="V152" s="35"/>
      <c r="W152" s="35"/>
      <c r="X152" s="35"/>
      <c r="Y152" s="35"/>
      <c r="Z152" s="35"/>
      <c r="AA152" s="35"/>
      <c r="AB152" s="35"/>
      <c r="AC152" s="35"/>
      <c r="AD152" s="35"/>
      <c r="AE152" s="35"/>
      <c r="AF152" s="35"/>
      <c r="AG152" s="35"/>
      <c r="AH152" s="35"/>
      <c r="AI152" s="35"/>
      <c r="AJ152" s="35"/>
      <c r="AK152" s="35"/>
      <c r="AL152" s="35"/>
      <c r="AM152" s="35"/>
      <c r="AN152" s="35"/>
      <c r="AO152" s="35"/>
      <c r="AP152" s="35"/>
      <c r="AQ152" s="35"/>
      <c r="AR152" s="35"/>
      <c r="AS152" s="35"/>
      <c r="AT152" s="35"/>
      <c r="AU152" s="35"/>
      <c r="AV152" s="35"/>
      <c r="AW152" s="35"/>
      <c r="AX152" s="35"/>
      <c r="AY152" s="35"/>
      <c r="AZ152" s="35"/>
      <c r="BA152" s="35"/>
      <c r="BB152" s="35">
        <v>1</v>
      </c>
      <c r="BC152" s="35"/>
      <c r="BD152" s="35"/>
      <c r="BE152" s="35"/>
      <c r="BF152" s="35"/>
      <c r="BG152" s="35"/>
      <c r="BH152" s="35"/>
      <c r="BI152" s="35"/>
      <c r="BJ152" s="35"/>
      <c r="BK152" s="35"/>
      <c r="BL152" s="35"/>
      <c r="BM152" s="35"/>
      <c r="BN152" s="35"/>
      <c r="BO152" s="35"/>
      <c r="BP152" s="35"/>
      <c r="BQ152" s="35"/>
      <c r="BR152" s="35"/>
      <c r="BS152" s="35"/>
      <c r="BT152" s="35"/>
      <c r="BU152" s="35"/>
      <c r="BV152" s="35"/>
      <c r="BW152" s="35"/>
      <c r="BX152" s="35"/>
      <c r="BY152" s="35"/>
      <c r="BZ152" s="35"/>
      <c r="CA152" s="35"/>
      <c r="CB152" s="35"/>
      <c r="CC152" s="35"/>
      <c r="CD152" s="35"/>
      <c r="CE152" s="35"/>
      <c r="CF152" s="35"/>
      <c r="CG152" s="35"/>
      <c r="CH152" s="35"/>
      <c r="CI152" s="35"/>
      <c r="CJ152" s="35"/>
      <c r="CK152" s="35"/>
      <c r="CL152" s="35"/>
      <c r="CM152" s="35"/>
      <c r="CN152" s="35"/>
      <c r="CO152" s="35"/>
      <c r="CP152" s="35"/>
      <c r="CQ152" s="35"/>
      <c r="CR152" s="35"/>
      <c r="CS152" s="35"/>
      <c r="CT152" s="35"/>
      <c r="CU152" s="35"/>
      <c r="CV152" s="35"/>
      <c r="CW152" s="35"/>
      <c r="CX152" s="35"/>
      <c r="CY152" s="35"/>
      <c r="CZ152" s="35"/>
      <c r="DA152" s="35"/>
      <c r="DB152" s="35"/>
      <c r="DC152" s="35"/>
      <c r="DD152" s="35"/>
      <c r="DE152" s="35"/>
      <c r="DF152" s="35"/>
      <c r="DG152" s="35"/>
      <c r="DH152" s="35"/>
      <c r="DI152" s="35"/>
      <c r="DJ152" s="35"/>
      <c r="DK152" s="35"/>
      <c r="DL152" s="35"/>
      <c r="DM152" s="35"/>
      <c r="DN152" s="35"/>
      <c r="DO152" s="35"/>
      <c r="DP152" s="35"/>
      <c r="DQ152" s="35"/>
      <c r="DR152" s="35"/>
      <c r="DS152" s="35"/>
      <c r="DT152" s="35"/>
      <c r="DU152" s="35"/>
      <c r="DV152" s="35"/>
      <c r="DW152" s="35"/>
      <c r="DX152" s="35"/>
      <c r="DY152" s="35"/>
      <c r="DZ152" s="35"/>
      <c r="EA152" s="35"/>
      <c r="EB152" s="35"/>
      <c r="EC152" s="35"/>
      <c r="ED152" s="35"/>
      <c r="EE152" s="35"/>
      <c r="EF152" s="35"/>
      <c r="EG152" s="35"/>
      <c r="EH152" s="35"/>
      <c r="EI152" s="35"/>
      <c r="EJ152" s="35"/>
      <c r="EK152" s="35">
        <v>-1.9</v>
      </c>
      <c r="EL152" s="35"/>
      <c r="EM152" s="35"/>
      <c r="EN152" s="35"/>
      <c r="EO152" s="35"/>
      <c r="EP152" s="35"/>
      <c r="EQ152" s="35"/>
      <c r="ER152" s="35"/>
      <c r="ES152" s="35"/>
      <c r="ET152" s="35"/>
      <c r="EU152" s="35"/>
      <c r="EV152" s="35"/>
      <c r="EW152" s="35"/>
      <c r="EX152" s="35"/>
      <c r="EY152" s="35"/>
      <c r="EZ152" s="35"/>
      <c r="FA152" s="35"/>
      <c r="FB152" s="35"/>
      <c r="FC152" s="35"/>
      <c r="FD152" s="35"/>
      <c r="FE152" s="35"/>
      <c r="FF152" s="35"/>
      <c r="FG152" s="35"/>
      <c r="FH152" s="35"/>
      <c r="FI152" s="35"/>
      <c r="FJ152" s="35"/>
      <c r="FK152" s="35"/>
      <c r="FL152" s="35"/>
      <c r="FM152" s="35"/>
      <c r="FN152" s="35"/>
      <c r="FO152" s="35"/>
      <c r="FP152" s="35"/>
      <c r="FQ152" s="35"/>
      <c r="FR152" s="35"/>
      <c r="FS152" s="35"/>
      <c r="FT152" s="35"/>
      <c r="FU152" s="35"/>
      <c r="FV152" s="35"/>
      <c r="FW152" s="35"/>
      <c r="FX152" s="35"/>
      <c r="FY152" s="35"/>
      <c r="FZ152" s="35"/>
      <c r="GA152" s="35"/>
      <c r="GB152" s="318"/>
      <c r="GC152" s="178">
        <f t="shared" si="32"/>
        <v>0</v>
      </c>
      <c r="GD152" s="178">
        <f t="shared" si="33"/>
        <v>0</v>
      </c>
      <c r="GE152" s="178">
        <f t="shared" si="34"/>
        <v>0.1075</v>
      </c>
      <c r="GF152" s="178">
        <f t="shared" si="35"/>
        <v>0</v>
      </c>
      <c r="GG152" s="178">
        <f t="shared" si="36"/>
        <v>0</v>
      </c>
    </row>
    <row r="153" spans="1:189" x14ac:dyDescent="0.35">
      <c r="A153" s="6" t="s">
        <v>1049</v>
      </c>
      <c r="B153" s="6" t="str">
        <f>IF(Technologies!B153&lt;&gt;0,Technologies!B153,"")</f>
        <v>Mobiliteit</v>
      </c>
      <c r="C153" s="6" t="str">
        <f>VLOOKUP($A153,Technologies!$A$7:$H$576,3,FALSE)</f>
        <v>Final</v>
      </c>
      <c r="D153" s="6" t="str">
        <f>VLOOKUP($A153,Technologies!$A$7:$H$576,4,FALSE)</f>
        <v>Transport</v>
      </c>
      <c r="E153" s="6" t="str">
        <f>VLOOKUP($A153,Technologies!$A$7:$H$576,6,FALSE)</f>
        <v>Passenger Cars</v>
      </c>
      <c r="F153" s="48" t="str">
        <f>VLOOKUP($A153,Technologies!$A$7:$H$576,7,FALSE)</f>
        <v>Plug-In Hybrid Vehicle - Cars</v>
      </c>
      <c r="G153" s="22"/>
      <c r="H153" s="22"/>
      <c r="I153" s="103" cm="1">
        <f t="array" ref="I153">-SUMPRODUCT((Feedstocks!$C$4:$C$141=A153)*Feedstocks!$E$4:$E$141,Feedstocks!$F$4:$F$141,Feedstocks!$H$4:$H$141,Feedstocks!$I$4:$I$141)</f>
        <v>0</v>
      </c>
      <c r="J153" s="103" cm="1">
        <f t="array" ref="J153">-SUMPRODUCT((Feedstocks!$C$4:$C$141=A153)*Feedstocks!$E$4:$E$141,Feedstocks!$H$4:$H$141,Feedstocks!$I$4:$I$141)</f>
        <v>0</v>
      </c>
      <c r="K153" s="103"/>
      <c r="L153" s="103"/>
      <c r="M153" s="22"/>
      <c r="N153" s="22" t="str">
        <f>VLOOKUP(E153,Activities!$A$9:$M$227,13,FALSE)</f>
        <v>NL</v>
      </c>
      <c r="O153" s="22"/>
      <c r="P153" s="80" t="s">
        <v>452</v>
      </c>
      <c r="Q153" s="36"/>
      <c r="R153" s="36"/>
      <c r="S153" s="36"/>
      <c r="T153" s="36"/>
      <c r="U153" s="36"/>
      <c r="V153" s="36"/>
      <c r="W153" s="36"/>
      <c r="X153" s="36"/>
      <c r="Y153" s="36"/>
      <c r="Z153" s="36"/>
      <c r="AA153" s="36"/>
      <c r="AB153" s="36"/>
      <c r="AC153" s="36"/>
      <c r="AD153" s="36"/>
      <c r="AE153" s="36"/>
      <c r="AF153" s="36"/>
      <c r="AG153" s="36"/>
      <c r="AH153" s="36"/>
      <c r="AI153" s="36"/>
      <c r="AJ153" s="36"/>
      <c r="AK153" s="36"/>
      <c r="AL153" s="36"/>
      <c r="AM153" s="36"/>
      <c r="AN153" s="36"/>
      <c r="AO153" s="36"/>
      <c r="AP153" s="36"/>
      <c r="AQ153" s="36"/>
      <c r="AR153" s="36"/>
      <c r="AS153" s="36"/>
      <c r="AT153" s="36"/>
      <c r="AU153" s="36"/>
      <c r="AV153" s="36"/>
      <c r="AW153" s="36"/>
      <c r="AX153" s="36"/>
      <c r="AY153" s="36"/>
      <c r="AZ153" s="36"/>
      <c r="BA153" s="36"/>
      <c r="BB153" s="36">
        <v>1</v>
      </c>
      <c r="BC153" s="36"/>
      <c r="BD153" s="36"/>
      <c r="BE153" s="36"/>
      <c r="BF153" s="36"/>
      <c r="BG153" s="36"/>
      <c r="BH153" s="36"/>
      <c r="BI153" s="36"/>
      <c r="BJ153" s="36"/>
      <c r="BK153" s="36"/>
      <c r="BL153" s="36"/>
      <c r="BM153" s="36"/>
      <c r="BN153" s="36"/>
      <c r="BO153" s="36"/>
      <c r="BP153" s="36"/>
      <c r="BQ153" s="36"/>
      <c r="BR153" s="36"/>
      <c r="BS153" s="36"/>
      <c r="BT153" s="36"/>
      <c r="BU153" s="36"/>
      <c r="BV153" s="36"/>
      <c r="BW153" s="36"/>
      <c r="BX153" s="36"/>
      <c r="BY153" s="36"/>
      <c r="BZ153" s="36"/>
      <c r="CA153" s="36"/>
      <c r="CB153" s="36"/>
      <c r="CC153" s="36"/>
      <c r="CD153" s="36"/>
      <c r="CE153" s="36"/>
      <c r="CF153" s="36"/>
      <c r="CG153" s="36"/>
      <c r="CH153" s="36"/>
      <c r="CI153" s="36"/>
      <c r="CJ153" s="36"/>
      <c r="CK153" s="36"/>
      <c r="CL153" s="36"/>
      <c r="CM153" s="36"/>
      <c r="CN153" s="36"/>
      <c r="CO153" s="36"/>
      <c r="CP153" s="36"/>
      <c r="CQ153" s="36"/>
      <c r="CR153" s="36"/>
      <c r="CS153" s="36"/>
      <c r="CT153" s="36"/>
      <c r="CU153" s="36"/>
      <c r="CV153" s="36"/>
      <c r="CW153" s="36"/>
      <c r="CX153" s="36"/>
      <c r="CY153" s="36"/>
      <c r="CZ153" s="36"/>
      <c r="DA153" s="36"/>
      <c r="DB153" s="36"/>
      <c r="DC153" s="36"/>
      <c r="DD153" s="36"/>
      <c r="DE153" s="36"/>
      <c r="DF153" s="36"/>
      <c r="DG153" s="36"/>
      <c r="DH153" s="36"/>
      <c r="DI153" s="36">
        <v>-0.4</v>
      </c>
      <c r="DJ153" s="36"/>
      <c r="DK153" s="36"/>
      <c r="DL153" s="36"/>
      <c r="DM153" s="36"/>
      <c r="DN153" s="36"/>
      <c r="DO153" s="36"/>
      <c r="DP153" s="36"/>
      <c r="DQ153" s="36"/>
      <c r="DR153" s="36"/>
      <c r="DS153" s="36"/>
      <c r="DT153" s="36"/>
      <c r="DU153" s="36">
        <v>-1.1038470309058701</v>
      </c>
      <c r="DV153" s="36"/>
      <c r="DW153" s="36"/>
      <c r="DX153" s="36"/>
      <c r="DY153" s="36"/>
      <c r="DZ153" s="36"/>
      <c r="EA153" s="36"/>
      <c r="EB153" s="36"/>
      <c r="EC153" s="36"/>
      <c r="ED153" s="36"/>
      <c r="EE153" s="36"/>
      <c r="EF153" s="36"/>
      <c r="EG153" s="36"/>
      <c r="EH153" s="36"/>
      <c r="EI153" s="36"/>
      <c r="EJ153" s="36"/>
      <c r="EK153" s="36"/>
      <c r="EL153" s="36"/>
      <c r="EM153" s="36"/>
      <c r="EN153" s="36"/>
      <c r="EO153" s="36"/>
      <c r="EP153" s="36"/>
      <c r="EQ153" s="36"/>
      <c r="ER153" s="36"/>
      <c r="ES153" s="36"/>
      <c r="ET153" s="36"/>
      <c r="EU153" s="36"/>
      <c r="EV153" s="36"/>
      <c r="EW153" s="36"/>
      <c r="EX153" s="36"/>
      <c r="EY153" s="36"/>
      <c r="EZ153" s="36"/>
      <c r="FA153" s="36"/>
      <c r="FB153" s="36"/>
      <c r="FC153" s="36"/>
      <c r="FD153" s="36"/>
      <c r="FE153" s="36"/>
      <c r="FF153" s="36"/>
      <c r="FG153" s="36"/>
      <c r="FH153" s="36"/>
      <c r="FI153" s="36"/>
      <c r="FJ153" s="36"/>
      <c r="FK153" s="36"/>
      <c r="FL153" s="36"/>
      <c r="FM153" s="36"/>
      <c r="FN153" s="36"/>
      <c r="FO153" s="36"/>
      <c r="FP153" s="36"/>
      <c r="FQ153" s="36"/>
      <c r="FR153" s="36"/>
      <c r="FS153" s="36"/>
      <c r="FT153" s="36"/>
      <c r="FU153" s="36"/>
      <c r="FV153" s="36"/>
      <c r="FW153" s="36"/>
      <c r="FX153" s="36"/>
      <c r="FY153" s="36"/>
      <c r="FZ153" s="36"/>
      <c r="GA153" s="36"/>
      <c r="GB153" s="319"/>
      <c r="GC153" s="179">
        <f t="shared" si="32"/>
        <v>0</v>
      </c>
      <c r="GD153" s="179">
        <f t="shared" si="33"/>
        <v>0</v>
      </c>
      <c r="GE153" s="179">
        <f t="shared" si="34"/>
        <v>8.0600000000000005E-2</v>
      </c>
      <c r="GF153" s="179">
        <f t="shared" si="35"/>
        <v>0</v>
      </c>
      <c r="GG153" s="179">
        <f t="shared" si="36"/>
        <v>0</v>
      </c>
    </row>
    <row r="154" spans="1:189" x14ac:dyDescent="0.35">
      <c r="A154" s="5" t="s">
        <v>1051</v>
      </c>
      <c r="B154" s="5" t="str">
        <f>IF(Technologies!B154&lt;&gt;0,Technologies!B154,"")</f>
        <v>Mobiliteit</v>
      </c>
      <c r="C154" s="5" t="str">
        <f>VLOOKUP($A154,Technologies!$A$7:$H$576,3,FALSE)</f>
        <v>Final</v>
      </c>
      <c r="D154" s="5" t="str">
        <f>VLOOKUP($A154,Technologies!$A$7:$H$576,4,FALSE)</f>
        <v>Transport</v>
      </c>
      <c r="E154" s="5" t="str">
        <f>VLOOKUP($A154,Technologies!$A$7:$H$576,6,FALSE)</f>
        <v>Passenger Cars</v>
      </c>
      <c r="F154" s="5" t="str">
        <f>VLOOKUP($A154,Technologies!$A$7:$H$576,7,FALSE)</f>
        <v>Electric Battery Vehicle - Cars</v>
      </c>
      <c r="G154" s="23"/>
      <c r="H154" s="23"/>
      <c r="I154" s="104" cm="1">
        <f t="array" ref="I154">-SUMPRODUCT((Feedstocks!$C$4:$C$141=A154)*Feedstocks!$E$4:$E$141,Feedstocks!$F$4:$F$141,Feedstocks!$H$4:$H$141,Feedstocks!$I$4:$I$141)</f>
        <v>0</v>
      </c>
      <c r="J154" s="104" cm="1">
        <f t="array" ref="J154">-SUMPRODUCT((Feedstocks!$C$4:$C$141=A154)*Feedstocks!$E$4:$E$141,Feedstocks!$H$4:$H$141,Feedstocks!$I$4:$I$141)</f>
        <v>0</v>
      </c>
      <c r="K154" s="104"/>
      <c r="L154" s="104"/>
      <c r="M154" s="23"/>
      <c r="N154" s="23" t="str">
        <f>VLOOKUP(E154,Activities!$A$9:$M$227,13,FALSE)</f>
        <v>NL</v>
      </c>
      <c r="O154" s="23"/>
      <c r="P154" s="79" t="s">
        <v>452</v>
      </c>
      <c r="Q154" s="35"/>
      <c r="R154" s="35"/>
      <c r="S154" s="35"/>
      <c r="T154" s="35"/>
      <c r="U154" s="35"/>
      <c r="V154" s="35"/>
      <c r="W154" s="35"/>
      <c r="X154" s="35"/>
      <c r="Y154" s="35"/>
      <c r="Z154" s="35"/>
      <c r="AA154" s="35"/>
      <c r="AB154" s="35"/>
      <c r="AC154" s="35"/>
      <c r="AD154" s="35"/>
      <c r="AE154" s="35"/>
      <c r="AF154" s="35"/>
      <c r="AG154" s="35"/>
      <c r="AH154" s="35"/>
      <c r="AI154" s="35"/>
      <c r="AJ154" s="35"/>
      <c r="AK154" s="35"/>
      <c r="AL154" s="35"/>
      <c r="AM154" s="35"/>
      <c r="AN154" s="35"/>
      <c r="AO154" s="35"/>
      <c r="AP154" s="35"/>
      <c r="AQ154" s="35"/>
      <c r="AR154" s="35"/>
      <c r="AS154" s="35"/>
      <c r="AT154" s="35"/>
      <c r="AU154" s="35"/>
      <c r="AV154" s="35"/>
      <c r="AW154" s="35"/>
      <c r="AX154" s="35"/>
      <c r="AY154" s="35"/>
      <c r="AZ154" s="35"/>
      <c r="BA154" s="35"/>
      <c r="BB154" s="35">
        <v>1</v>
      </c>
      <c r="BC154" s="35"/>
      <c r="BD154" s="35"/>
      <c r="BE154" s="35"/>
      <c r="BF154" s="35"/>
      <c r="BG154" s="35"/>
      <c r="BH154" s="35"/>
      <c r="BI154" s="35"/>
      <c r="BJ154" s="35"/>
      <c r="BK154" s="35"/>
      <c r="BL154" s="35"/>
      <c r="BM154" s="35"/>
      <c r="BN154" s="35"/>
      <c r="BO154" s="35"/>
      <c r="BP154" s="35"/>
      <c r="BQ154" s="35"/>
      <c r="BR154" s="35"/>
      <c r="BS154" s="35"/>
      <c r="BT154" s="35"/>
      <c r="BU154" s="35"/>
      <c r="BV154" s="35"/>
      <c r="BW154" s="35"/>
      <c r="BX154" s="35"/>
      <c r="BY154" s="35"/>
      <c r="BZ154" s="35"/>
      <c r="CA154" s="35"/>
      <c r="CB154" s="35"/>
      <c r="CC154" s="35"/>
      <c r="CD154" s="35"/>
      <c r="CE154" s="35"/>
      <c r="CF154" s="35"/>
      <c r="CG154" s="35"/>
      <c r="CH154" s="35"/>
      <c r="CI154" s="35"/>
      <c r="CJ154" s="35"/>
      <c r="CK154" s="35"/>
      <c r="CL154" s="35"/>
      <c r="CM154" s="35"/>
      <c r="CN154" s="35"/>
      <c r="CO154" s="35"/>
      <c r="CP154" s="35"/>
      <c r="CQ154" s="35"/>
      <c r="CR154" s="35"/>
      <c r="CS154" s="35"/>
      <c r="CT154" s="35"/>
      <c r="CU154" s="35"/>
      <c r="CV154" s="35"/>
      <c r="CW154" s="35"/>
      <c r="CX154" s="35"/>
      <c r="CY154" s="35"/>
      <c r="CZ154" s="35"/>
      <c r="DA154" s="35"/>
      <c r="DB154" s="35"/>
      <c r="DC154" s="35"/>
      <c r="DD154" s="35"/>
      <c r="DE154" s="35"/>
      <c r="DF154" s="35"/>
      <c r="DG154" s="35"/>
      <c r="DH154" s="35"/>
      <c r="DI154" s="35">
        <v>-0.65</v>
      </c>
      <c r="DJ154" s="35"/>
      <c r="DK154" s="35"/>
      <c r="DL154" s="35"/>
      <c r="DM154" s="35"/>
      <c r="DN154" s="35"/>
      <c r="DO154" s="35"/>
      <c r="DP154" s="35"/>
      <c r="DQ154" s="35"/>
      <c r="DR154" s="35"/>
      <c r="DS154" s="35"/>
      <c r="DT154" s="35"/>
      <c r="DU154" s="35"/>
      <c r="DV154" s="35"/>
      <c r="DW154" s="35"/>
      <c r="DX154" s="35"/>
      <c r="DY154" s="35"/>
      <c r="DZ154" s="35"/>
      <c r="EA154" s="35"/>
      <c r="EB154" s="35"/>
      <c r="EC154" s="35"/>
      <c r="ED154" s="35"/>
      <c r="EE154" s="35"/>
      <c r="EF154" s="35"/>
      <c r="EG154" s="35"/>
      <c r="EH154" s="35"/>
      <c r="EI154" s="35"/>
      <c r="EJ154" s="35"/>
      <c r="EK154" s="35"/>
      <c r="EL154" s="35"/>
      <c r="EM154" s="35"/>
      <c r="EN154" s="35"/>
      <c r="EO154" s="35"/>
      <c r="EP154" s="35"/>
      <c r="EQ154" s="35"/>
      <c r="ER154" s="35"/>
      <c r="ES154" s="35"/>
      <c r="ET154" s="35"/>
      <c r="EU154" s="35"/>
      <c r="EV154" s="35"/>
      <c r="EW154" s="35"/>
      <c r="EX154" s="35"/>
      <c r="EY154" s="35"/>
      <c r="EZ154" s="35"/>
      <c r="FA154" s="35"/>
      <c r="FB154" s="35"/>
      <c r="FC154" s="35"/>
      <c r="FD154" s="35"/>
      <c r="FE154" s="35"/>
      <c r="FF154" s="35"/>
      <c r="FG154" s="35"/>
      <c r="FH154" s="35"/>
      <c r="FI154" s="35"/>
      <c r="FJ154" s="35"/>
      <c r="FK154" s="35"/>
      <c r="FL154" s="35"/>
      <c r="FM154" s="35"/>
      <c r="FN154" s="35"/>
      <c r="FO154" s="35"/>
      <c r="FP154" s="35"/>
      <c r="FQ154" s="35"/>
      <c r="FR154" s="35"/>
      <c r="FS154" s="35"/>
      <c r="FT154" s="35"/>
      <c r="FU154" s="35"/>
      <c r="FV154" s="35"/>
      <c r="FW154" s="35"/>
      <c r="FX154" s="35"/>
      <c r="FY154" s="35"/>
      <c r="FZ154" s="35"/>
      <c r="GA154" s="35"/>
      <c r="GB154" s="318"/>
      <c r="GC154" s="178">
        <f t="shared" si="32"/>
        <v>0</v>
      </c>
      <c r="GD154" s="178">
        <f t="shared" si="33"/>
        <v>0</v>
      </c>
      <c r="GE154" s="178">
        <f t="shared" si="34"/>
        <v>0</v>
      </c>
      <c r="GF154" s="178">
        <f t="shared" si="35"/>
        <v>0</v>
      </c>
      <c r="GG154" s="178">
        <f t="shared" si="36"/>
        <v>0</v>
      </c>
    </row>
    <row r="155" spans="1:189" x14ac:dyDescent="0.35">
      <c r="A155" s="6" t="s">
        <v>1053</v>
      </c>
      <c r="B155" s="6" t="str">
        <f>IF(Technologies!B155&lt;&gt;0,Technologies!B155,"")</f>
        <v>Mobiliteit</v>
      </c>
      <c r="C155" s="6" t="str">
        <f>VLOOKUP($A155,Technologies!$A$7:$H$576,3,FALSE)</f>
        <v>Final</v>
      </c>
      <c r="D155" s="6" t="str">
        <f>VLOOKUP($A155,Technologies!$A$7:$H$576,4,FALSE)</f>
        <v>Transport</v>
      </c>
      <c r="E155" s="6" t="str">
        <f>VLOOKUP($A155,Technologies!$A$7:$H$576,6,FALSE)</f>
        <v>Passenger Cars</v>
      </c>
      <c r="F155" s="48" t="str">
        <f>VLOOKUP($A155,Technologies!$A$7:$H$576,7,FALSE)</f>
        <v>Electric Battery Vehicle FLEX - Cars</v>
      </c>
      <c r="G155" s="22"/>
      <c r="H155" s="22"/>
      <c r="I155" s="103" cm="1">
        <f t="array" ref="I155">-SUMPRODUCT((Feedstocks!$C$4:$C$141=A155)*Feedstocks!$E$4:$E$141,Feedstocks!$F$4:$F$141,Feedstocks!$H$4:$H$141,Feedstocks!$I$4:$I$141)</f>
        <v>0</v>
      </c>
      <c r="J155" s="103" cm="1">
        <f t="array" ref="J155">-SUMPRODUCT((Feedstocks!$C$4:$C$141=A155)*Feedstocks!$E$4:$E$141,Feedstocks!$H$4:$H$141,Feedstocks!$I$4:$I$141)</f>
        <v>0</v>
      </c>
      <c r="K155" s="103"/>
      <c r="L155" s="103"/>
      <c r="M155" s="22"/>
      <c r="N155" s="22" t="str">
        <f>VLOOKUP(E155,Activities!$A$9:$M$227,13,FALSE)</f>
        <v>NL</v>
      </c>
      <c r="O155" s="22"/>
      <c r="P155" s="80" t="s">
        <v>452</v>
      </c>
      <c r="Q155" s="36"/>
      <c r="R155" s="36"/>
      <c r="S155" s="36"/>
      <c r="T155" s="36"/>
      <c r="U155" s="36"/>
      <c r="V155" s="36"/>
      <c r="W155" s="36"/>
      <c r="X155" s="36"/>
      <c r="Y155" s="36"/>
      <c r="Z155" s="36"/>
      <c r="AA155" s="36"/>
      <c r="AB155" s="36"/>
      <c r="AC155" s="36"/>
      <c r="AD155" s="36"/>
      <c r="AE155" s="36"/>
      <c r="AF155" s="36"/>
      <c r="AG155" s="36"/>
      <c r="AH155" s="36"/>
      <c r="AI155" s="36"/>
      <c r="AJ155" s="36"/>
      <c r="AK155" s="36"/>
      <c r="AL155" s="36"/>
      <c r="AM155" s="36"/>
      <c r="AN155" s="36"/>
      <c r="AO155" s="36"/>
      <c r="AP155" s="36"/>
      <c r="AQ155" s="36"/>
      <c r="AR155" s="36"/>
      <c r="AS155" s="36"/>
      <c r="AT155" s="36"/>
      <c r="AU155" s="36"/>
      <c r="AV155" s="36"/>
      <c r="AW155" s="36"/>
      <c r="AX155" s="36"/>
      <c r="AY155" s="36"/>
      <c r="AZ155" s="36"/>
      <c r="BA155" s="36"/>
      <c r="BB155" s="36">
        <v>1</v>
      </c>
      <c r="BC155" s="36"/>
      <c r="BD155" s="36"/>
      <c r="BE155" s="36"/>
      <c r="BF155" s="36"/>
      <c r="BG155" s="36"/>
      <c r="BH155" s="36"/>
      <c r="BI155" s="36"/>
      <c r="BJ155" s="36"/>
      <c r="BK155" s="36"/>
      <c r="BL155" s="36"/>
      <c r="BM155" s="36"/>
      <c r="BN155" s="36"/>
      <c r="BO155" s="36"/>
      <c r="BP155" s="36"/>
      <c r="BQ155" s="36"/>
      <c r="BR155" s="36"/>
      <c r="BS155" s="36"/>
      <c r="BT155" s="36"/>
      <c r="BU155" s="36"/>
      <c r="BV155" s="36"/>
      <c r="BW155" s="36"/>
      <c r="BX155" s="36"/>
      <c r="BY155" s="36"/>
      <c r="BZ155" s="36"/>
      <c r="CA155" s="36"/>
      <c r="CB155" s="36"/>
      <c r="CC155" s="36"/>
      <c r="CD155" s="36"/>
      <c r="CE155" s="36"/>
      <c r="CF155" s="36"/>
      <c r="CG155" s="36"/>
      <c r="CH155" s="36"/>
      <c r="CI155" s="36"/>
      <c r="CJ155" s="36"/>
      <c r="CK155" s="36"/>
      <c r="CL155" s="36"/>
      <c r="CM155" s="36"/>
      <c r="CN155" s="36"/>
      <c r="CO155" s="36"/>
      <c r="CP155" s="36"/>
      <c r="CQ155" s="36"/>
      <c r="CR155" s="36"/>
      <c r="CS155" s="36"/>
      <c r="CT155" s="36"/>
      <c r="CU155" s="36"/>
      <c r="CV155" s="36"/>
      <c r="CW155" s="36"/>
      <c r="CX155" s="36"/>
      <c r="CY155" s="36"/>
      <c r="CZ155" s="36"/>
      <c r="DA155" s="36"/>
      <c r="DB155" s="36"/>
      <c r="DC155" s="36"/>
      <c r="DD155" s="36"/>
      <c r="DE155" s="36"/>
      <c r="DF155" s="36"/>
      <c r="DG155" s="36"/>
      <c r="DH155" s="36"/>
      <c r="DI155" s="36">
        <v>-0.65</v>
      </c>
      <c r="DJ155" s="36"/>
      <c r="DK155" s="36"/>
      <c r="DL155" s="36"/>
      <c r="DM155" s="36"/>
      <c r="DN155" s="36"/>
      <c r="DO155" s="36"/>
      <c r="DP155" s="36"/>
      <c r="DQ155" s="36"/>
      <c r="DR155" s="36"/>
      <c r="DS155" s="36"/>
      <c r="DT155" s="36"/>
      <c r="DU155" s="36"/>
      <c r="DV155" s="36"/>
      <c r="DW155" s="36"/>
      <c r="DX155" s="36"/>
      <c r="DY155" s="36"/>
      <c r="DZ155" s="36"/>
      <c r="EA155" s="36"/>
      <c r="EB155" s="36"/>
      <c r="EC155" s="36"/>
      <c r="ED155" s="36"/>
      <c r="EE155" s="36"/>
      <c r="EF155" s="36"/>
      <c r="EG155" s="36"/>
      <c r="EH155" s="36"/>
      <c r="EI155" s="36"/>
      <c r="EJ155" s="36"/>
      <c r="EK155" s="36"/>
      <c r="EL155" s="36"/>
      <c r="EM155" s="36"/>
      <c r="EN155" s="36"/>
      <c r="EO155" s="36"/>
      <c r="EP155" s="36"/>
      <c r="EQ155" s="36"/>
      <c r="ER155" s="36"/>
      <c r="ES155" s="36"/>
      <c r="ET155" s="36"/>
      <c r="EU155" s="36"/>
      <c r="EV155" s="36"/>
      <c r="EW155" s="36"/>
      <c r="EX155" s="36"/>
      <c r="EY155" s="36"/>
      <c r="EZ155" s="36"/>
      <c r="FA155" s="36"/>
      <c r="FB155" s="36"/>
      <c r="FC155" s="36"/>
      <c r="FD155" s="36"/>
      <c r="FE155" s="36"/>
      <c r="FF155" s="36"/>
      <c r="FG155" s="36"/>
      <c r="FH155" s="36"/>
      <c r="FI155" s="36"/>
      <c r="FJ155" s="36"/>
      <c r="FK155" s="36"/>
      <c r="FL155" s="36"/>
      <c r="FM155" s="36"/>
      <c r="FN155" s="36"/>
      <c r="FO155" s="36"/>
      <c r="FP155" s="36"/>
      <c r="FQ155" s="36"/>
      <c r="FR155" s="36"/>
      <c r="FS155" s="36"/>
      <c r="FT155" s="36"/>
      <c r="FU155" s="36"/>
      <c r="FV155" s="36"/>
      <c r="FW155" s="36"/>
      <c r="FX155" s="36"/>
      <c r="FY155" s="36"/>
      <c r="FZ155" s="36"/>
      <c r="GA155" s="36"/>
      <c r="GB155" s="319"/>
      <c r="GC155" s="179">
        <f t="shared" si="32"/>
        <v>0</v>
      </c>
      <c r="GD155" s="179">
        <f t="shared" si="33"/>
        <v>0</v>
      </c>
      <c r="GE155" s="179">
        <f t="shared" si="34"/>
        <v>0</v>
      </c>
      <c r="GF155" s="179">
        <f t="shared" si="35"/>
        <v>0</v>
      </c>
      <c r="GG155" s="179">
        <f t="shared" si="36"/>
        <v>0</v>
      </c>
    </row>
    <row r="156" spans="1:189" x14ac:dyDescent="0.35">
      <c r="A156" s="5" t="s">
        <v>1056</v>
      </c>
      <c r="B156" s="5" t="str">
        <f>IF(Technologies!B156&lt;&gt;0,Technologies!B156,"")</f>
        <v>Mobiliteit</v>
      </c>
      <c r="C156" s="5" t="str">
        <f>VLOOKUP($A156,Technologies!$A$7:$H$576,3,FALSE)</f>
        <v>Final</v>
      </c>
      <c r="D156" s="5" t="str">
        <f>VLOOKUP($A156,Technologies!$A$7:$H$576,4,FALSE)</f>
        <v>Transport</v>
      </c>
      <c r="E156" s="5" t="str">
        <f>VLOOKUP($A156,Technologies!$A$7:$H$576,6,FALSE)</f>
        <v>Passenger Cars</v>
      </c>
      <c r="F156" s="5" t="str">
        <f>VLOOKUP($A156,Technologies!$A$7:$H$576,7,FALSE)</f>
        <v>Electric Battery Vehicle V2G - Cars</v>
      </c>
      <c r="G156" s="23"/>
      <c r="H156" s="23"/>
      <c r="I156" s="104" cm="1">
        <f t="array" ref="I156">-SUMPRODUCT((Feedstocks!$C$4:$C$141=A156)*Feedstocks!$E$4:$E$141,Feedstocks!$F$4:$F$141,Feedstocks!$H$4:$H$141,Feedstocks!$I$4:$I$141)</f>
        <v>0</v>
      </c>
      <c r="J156" s="104" cm="1">
        <f t="array" ref="J156">-SUMPRODUCT((Feedstocks!$C$4:$C$141=A156)*Feedstocks!$E$4:$E$141,Feedstocks!$H$4:$H$141,Feedstocks!$I$4:$I$141)</f>
        <v>0</v>
      </c>
      <c r="K156" s="104"/>
      <c r="L156" s="104"/>
      <c r="M156" s="23"/>
      <c r="N156" s="23" t="str">
        <f>VLOOKUP(E156,Activities!$A$9:$M$227,13,FALSE)</f>
        <v>NL</v>
      </c>
      <c r="O156" s="23"/>
      <c r="P156" s="79" t="s">
        <v>452</v>
      </c>
      <c r="Q156" s="35"/>
      <c r="R156" s="35"/>
      <c r="S156" s="35"/>
      <c r="T156" s="35"/>
      <c r="U156" s="35"/>
      <c r="V156" s="35"/>
      <c r="W156" s="35"/>
      <c r="X156" s="35"/>
      <c r="Y156" s="35"/>
      <c r="Z156" s="35"/>
      <c r="AA156" s="35"/>
      <c r="AB156" s="35"/>
      <c r="AC156" s="35"/>
      <c r="AD156" s="35"/>
      <c r="AE156" s="35"/>
      <c r="AF156" s="35"/>
      <c r="AG156" s="35"/>
      <c r="AH156" s="35"/>
      <c r="AI156" s="35"/>
      <c r="AJ156" s="35"/>
      <c r="AK156" s="35"/>
      <c r="AL156" s="35"/>
      <c r="AM156" s="35"/>
      <c r="AN156" s="35"/>
      <c r="AO156" s="35"/>
      <c r="AP156" s="35"/>
      <c r="AQ156" s="35"/>
      <c r="AR156" s="35"/>
      <c r="AS156" s="35"/>
      <c r="AT156" s="35"/>
      <c r="AU156" s="35"/>
      <c r="AV156" s="35"/>
      <c r="AW156" s="35"/>
      <c r="AX156" s="35"/>
      <c r="AY156" s="35"/>
      <c r="AZ156" s="35"/>
      <c r="BA156" s="35"/>
      <c r="BB156" s="35">
        <v>1</v>
      </c>
      <c r="BC156" s="35"/>
      <c r="BD156" s="35"/>
      <c r="BE156" s="35"/>
      <c r="BF156" s="35"/>
      <c r="BG156" s="35"/>
      <c r="BH156" s="35"/>
      <c r="BI156" s="35"/>
      <c r="BJ156" s="35"/>
      <c r="BK156" s="35"/>
      <c r="BL156" s="35"/>
      <c r="BM156" s="35"/>
      <c r="BN156" s="35"/>
      <c r="BO156" s="35"/>
      <c r="BP156" s="35"/>
      <c r="BQ156" s="35"/>
      <c r="BR156" s="35"/>
      <c r="BS156" s="35"/>
      <c r="BT156" s="35"/>
      <c r="BU156" s="35"/>
      <c r="BV156" s="35"/>
      <c r="BW156" s="35"/>
      <c r="BX156" s="35"/>
      <c r="BY156" s="35"/>
      <c r="BZ156" s="35"/>
      <c r="CA156" s="35"/>
      <c r="CB156" s="35"/>
      <c r="CC156" s="35"/>
      <c r="CD156" s="35"/>
      <c r="CE156" s="35"/>
      <c r="CF156" s="35"/>
      <c r="CG156" s="35"/>
      <c r="CH156" s="35"/>
      <c r="CI156" s="35"/>
      <c r="CJ156" s="35"/>
      <c r="CK156" s="35"/>
      <c r="CL156" s="35"/>
      <c r="CM156" s="35"/>
      <c r="CN156" s="35"/>
      <c r="CO156" s="35"/>
      <c r="CP156" s="35"/>
      <c r="CQ156" s="35"/>
      <c r="CR156" s="35"/>
      <c r="CS156" s="35"/>
      <c r="CT156" s="35"/>
      <c r="CU156" s="35"/>
      <c r="CV156" s="35"/>
      <c r="CW156" s="35"/>
      <c r="CX156" s="35"/>
      <c r="CY156" s="35"/>
      <c r="CZ156" s="35"/>
      <c r="DA156" s="35"/>
      <c r="DB156" s="35"/>
      <c r="DC156" s="35"/>
      <c r="DD156" s="35"/>
      <c r="DE156" s="35"/>
      <c r="DF156" s="35"/>
      <c r="DG156" s="35"/>
      <c r="DH156" s="35"/>
      <c r="DI156" s="35">
        <v>-0.65</v>
      </c>
      <c r="DJ156" s="35"/>
      <c r="DK156" s="35"/>
      <c r="DL156" s="35"/>
      <c r="DM156" s="35"/>
      <c r="DN156" s="35"/>
      <c r="DO156" s="35"/>
      <c r="DP156" s="35"/>
      <c r="DQ156" s="35"/>
      <c r="DR156" s="35"/>
      <c r="DS156" s="35"/>
      <c r="DT156" s="35"/>
      <c r="DU156" s="35"/>
      <c r="DV156" s="35"/>
      <c r="DW156" s="35"/>
      <c r="DX156" s="35"/>
      <c r="DY156" s="35"/>
      <c r="DZ156" s="35"/>
      <c r="EA156" s="35"/>
      <c r="EB156" s="35"/>
      <c r="EC156" s="35"/>
      <c r="ED156" s="35"/>
      <c r="EE156" s="35"/>
      <c r="EF156" s="35"/>
      <c r="EG156" s="35"/>
      <c r="EH156" s="35"/>
      <c r="EI156" s="35"/>
      <c r="EJ156" s="35"/>
      <c r="EK156" s="35"/>
      <c r="EL156" s="35"/>
      <c r="EM156" s="35"/>
      <c r="EN156" s="35"/>
      <c r="EO156" s="35"/>
      <c r="EP156" s="35"/>
      <c r="EQ156" s="35"/>
      <c r="ER156" s="35"/>
      <c r="ES156" s="35"/>
      <c r="ET156" s="35"/>
      <c r="EU156" s="35"/>
      <c r="EV156" s="35"/>
      <c r="EW156" s="35"/>
      <c r="EX156" s="35"/>
      <c r="EY156" s="35"/>
      <c r="EZ156" s="35"/>
      <c r="FA156" s="35"/>
      <c r="FB156" s="35"/>
      <c r="FC156" s="35"/>
      <c r="FD156" s="35"/>
      <c r="FE156" s="35"/>
      <c r="FF156" s="35"/>
      <c r="FG156" s="35"/>
      <c r="FH156" s="35"/>
      <c r="FI156" s="35"/>
      <c r="FJ156" s="35"/>
      <c r="FK156" s="35"/>
      <c r="FL156" s="35"/>
      <c r="FM156" s="35"/>
      <c r="FN156" s="35"/>
      <c r="FO156" s="35"/>
      <c r="FP156" s="35"/>
      <c r="FQ156" s="35"/>
      <c r="FR156" s="35"/>
      <c r="FS156" s="35"/>
      <c r="FT156" s="35"/>
      <c r="FU156" s="35"/>
      <c r="FV156" s="35"/>
      <c r="FW156" s="35"/>
      <c r="FX156" s="35"/>
      <c r="FY156" s="35"/>
      <c r="FZ156" s="35"/>
      <c r="GA156" s="35"/>
      <c r="GB156" s="318"/>
      <c r="GC156" s="178">
        <f t="shared" si="32"/>
        <v>0</v>
      </c>
      <c r="GD156" s="178">
        <f t="shared" si="33"/>
        <v>0</v>
      </c>
      <c r="GE156" s="178">
        <f t="shared" si="34"/>
        <v>0</v>
      </c>
      <c r="GF156" s="178">
        <f t="shared" si="35"/>
        <v>0</v>
      </c>
      <c r="GG156" s="178">
        <f t="shared" si="36"/>
        <v>0</v>
      </c>
    </row>
    <row r="157" spans="1:189" x14ac:dyDescent="0.35">
      <c r="A157" s="6" t="s">
        <v>1059</v>
      </c>
      <c r="B157" s="6" t="str">
        <f>IF(Technologies!B157&lt;&gt;0,Technologies!B157,"")</f>
        <v>Mobiliteit</v>
      </c>
      <c r="C157" s="6" t="str">
        <f>VLOOKUP($A157,Technologies!$A$7:$H$576,3,FALSE)</f>
        <v>Final</v>
      </c>
      <c r="D157" s="6" t="str">
        <f>VLOOKUP($A157,Technologies!$A$7:$H$576,4,FALSE)</f>
        <v>Transport</v>
      </c>
      <c r="E157" s="6" t="str">
        <f>VLOOKUP($A157,Technologies!$A$7:$H$576,6,FALSE)</f>
        <v>Passenger Cars</v>
      </c>
      <c r="F157" s="48" t="str">
        <f>VLOOKUP($A157,Technologies!$A$7:$H$576,7,FALSE)</f>
        <v>Hydrogen Fuel Cell Vehicle - Cars</v>
      </c>
      <c r="G157" s="22"/>
      <c r="H157" s="22"/>
      <c r="I157" s="103" cm="1">
        <f t="array" ref="I157">-SUMPRODUCT((Feedstocks!$C$4:$C$141=A157)*Feedstocks!$E$4:$E$141,Feedstocks!$F$4:$F$141,Feedstocks!$H$4:$H$141,Feedstocks!$I$4:$I$141)</f>
        <v>0</v>
      </c>
      <c r="J157" s="103" cm="1">
        <f t="array" ref="J157">-SUMPRODUCT((Feedstocks!$C$4:$C$141=A157)*Feedstocks!$E$4:$E$141,Feedstocks!$H$4:$H$141,Feedstocks!$I$4:$I$141)</f>
        <v>0</v>
      </c>
      <c r="K157" s="103"/>
      <c r="L157" s="103"/>
      <c r="M157" s="22"/>
      <c r="N157" s="22" t="str">
        <f>VLOOKUP(E157,Activities!$A$9:$M$227,13,FALSE)</f>
        <v>NL</v>
      </c>
      <c r="O157" s="22"/>
      <c r="P157" s="80" t="s">
        <v>452</v>
      </c>
      <c r="Q157" s="36"/>
      <c r="R157" s="36"/>
      <c r="S157" s="36"/>
      <c r="T157" s="36"/>
      <c r="U157" s="36"/>
      <c r="V157" s="36"/>
      <c r="W157" s="36"/>
      <c r="X157" s="36"/>
      <c r="Y157" s="36"/>
      <c r="Z157" s="36"/>
      <c r="AA157" s="36"/>
      <c r="AB157" s="36"/>
      <c r="AC157" s="36"/>
      <c r="AD157" s="36"/>
      <c r="AE157" s="36"/>
      <c r="AF157" s="36"/>
      <c r="AG157" s="36"/>
      <c r="AH157" s="36"/>
      <c r="AI157" s="36"/>
      <c r="AJ157" s="36"/>
      <c r="AK157" s="36"/>
      <c r="AL157" s="36"/>
      <c r="AM157" s="36"/>
      <c r="AN157" s="36"/>
      <c r="AO157" s="36"/>
      <c r="AP157" s="36"/>
      <c r="AQ157" s="36"/>
      <c r="AR157" s="36"/>
      <c r="AS157" s="36"/>
      <c r="AT157" s="36"/>
      <c r="AU157" s="36"/>
      <c r="AV157" s="36"/>
      <c r="AW157" s="36"/>
      <c r="AX157" s="36"/>
      <c r="AY157" s="36"/>
      <c r="AZ157" s="36"/>
      <c r="BA157" s="36"/>
      <c r="BB157" s="36">
        <v>1</v>
      </c>
      <c r="BC157" s="36"/>
      <c r="BD157" s="36"/>
      <c r="BE157" s="36"/>
      <c r="BF157" s="36"/>
      <c r="BG157" s="36"/>
      <c r="BH157" s="36"/>
      <c r="BI157" s="36"/>
      <c r="BJ157" s="36"/>
      <c r="BK157" s="36"/>
      <c r="BL157" s="36"/>
      <c r="BM157" s="36"/>
      <c r="BN157" s="36"/>
      <c r="BO157" s="36"/>
      <c r="BP157" s="36"/>
      <c r="BQ157" s="36"/>
      <c r="BR157" s="36"/>
      <c r="BS157" s="36"/>
      <c r="BT157" s="36"/>
      <c r="BU157" s="36"/>
      <c r="BV157" s="36"/>
      <c r="BW157" s="36"/>
      <c r="BX157" s="36"/>
      <c r="BY157" s="36"/>
      <c r="BZ157" s="36"/>
      <c r="CA157" s="36"/>
      <c r="CB157" s="36"/>
      <c r="CC157" s="36"/>
      <c r="CD157" s="36"/>
      <c r="CE157" s="36"/>
      <c r="CF157" s="36"/>
      <c r="CG157" s="36"/>
      <c r="CH157" s="36"/>
      <c r="CI157" s="36"/>
      <c r="CJ157" s="36"/>
      <c r="CK157" s="36"/>
      <c r="CL157" s="36"/>
      <c r="CM157" s="36"/>
      <c r="CN157" s="36"/>
      <c r="CO157" s="36"/>
      <c r="CP157" s="36"/>
      <c r="CQ157" s="36"/>
      <c r="CR157" s="36"/>
      <c r="CS157" s="36"/>
      <c r="CT157" s="36"/>
      <c r="CU157" s="36"/>
      <c r="CV157" s="36"/>
      <c r="CW157" s="36"/>
      <c r="CX157" s="36"/>
      <c r="CY157" s="36"/>
      <c r="CZ157" s="36"/>
      <c r="DA157" s="36"/>
      <c r="DB157" s="36"/>
      <c r="DC157" s="36"/>
      <c r="DD157" s="36"/>
      <c r="DE157" s="36"/>
      <c r="DF157" s="36"/>
      <c r="DG157" s="36"/>
      <c r="DH157" s="36"/>
      <c r="DI157" s="36"/>
      <c r="DJ157" s="36"/>
      <c r="DK157" s="36"/>
      <c r="DL157" s="36"/>
      <c r="DM157" s="36"/>
      <c r="DN157" s="36"/>
      <c r="DO157" s="36"/>
      <c r="DP157" s="36"/>
      <c r="DQ157" s="36"/>
      <c r="DR157" s="36"/>
      <c r="DS157" s="36"/>
      <c r="DT157" s="36"/>
      <c r="DU157" s="36"/>
      <c r="DV157" s="36"/>
      <c r="DW157" s="36"/>
      <c r="DX157" s="36"/>
      <c r="DY157" s="36"/>
      <c r="DZ157" s="36"/>
      <c r="EA157" s="36"/>
      <c r="EB157" s="36"/>
      <c r="EC157" s="36"/>
      <c r="ED157" s="36"/>
      <c r="EE157" s="36"/>
      <c r="EF157" s="36"/>
      <c r="EG157" s="36"/>
      <c r="EH157" s="36"/>
      <c r="EI157" s="36"/>
      <c r="EJ157" s="36"/>
      <c r="EK157" s="36"/>
      <c r="EL157" s="36"/>
      <c r="EM157" s="36"/>
      <c r="EN157" s="36">
        <v>-0.95</v>
      </c>
      <c r="EO157" s="36"/>
      <c r="EP157" s="36"/>
      <c r="EQ157" s="36"/>
      <c r="ER157" s="36"/>
      <c r="ES157" s="36"/>
      <c r="ET157" s="36"/>
      <c r="EU157" s="36"/>
      <c r="EV157" s="36"/>
      <c r="EW157" s="36"/>
      <c r="EX157" s="36"/>
      <c r="EY157" s="36"/>
      <c r="EZ157" s="36"/>
      <c r="FA157" s="36"/>
      <c r="FB157" s="36"/>
      <c r="FC157" s="36"/>
      <c r="FD157" s="36"/>
      <c r="FE157" s="36"/>
      <c r="FF157" s="36"/>
      <c r="FG157" s="36"/>
      <c r="FH157" s="36"/>
      <c r="FI157" s="36"/>
      <c r="FJ157" s="36"/>
      <c r="FK157" s="36"/>
      <c r="FL157" s="36"/>
      <c r="FM157" s="36"/>
      <c r="FN157" s="36"/>
      <c r="FO157" s="36"/>
      <c r="FP157" s="36"/>
      <c r="FQ157" s="36"/>
      <c r="FR157" s="36"/>
      <c r="FS157" s="36"/>
      <c r="FT157" s="36"/>
      <c r="FU157" s="36"/>
      <c r="FV157" s="36"/>
      <c r="FW157" s="36"/>
      <c r="FX157" s="36"/>
      <c r="FY157" s="36"/>
      <c r="FZ157" s="36"/>
      <c r="GA157" s="36"/>
      <c r="GB157" s="319"/>
      <c r="GC157" s="179">
        <f t="shared" si="32"/>
        <v>0</v>
      </c>
      <c r="GD157" s="179">
        <f t="shared" si="33"/>
        <v>0</v>
      </c>
      <c r="GE157" s="179">
        <f t="shared" si="34"/>
        <v>0</v>
      </c>
      <c r="GF157" s="179">
        <f t="shared" si="35"/>
        <v>0</v>
      </c>
      <c r="GG157" s="179">
        <f t="shared" si="36"/>
        <v>0</v>
      </c>
    </row>
    <row r="158" spans="1:189" x14ac:dyDescent="0.35">
      <c r="A158" s="5" t="s">
        <v>1061</v>
      </c>
      <c r="B158" s="5" t="str">
        <f>IF(Technologies!B158&lt;&gt;0,Technologies!B158,"")</f>
        <v>Mobiliteit</v>
      </c>
      <c r="C158" s="5" t="str">
        <f>VLOOKUP($A158,Technologies!$A$7:$H$576,3,FALSE)</f>
        <v>Final</v>
      </c>
      <c r="D158" s="5" t="str">
        <f>VLOOKUP($A158,Technologies!$A$7:$H$576,4,FALSE)</f>
        <v>Transport</v>
      </c>
      <c r="E158" s="5" t="str">
        <f>VLOOKUP($A158,Technologies!$A$7:$H$576,6,FALSE)</f>
        <v>Light-Duty Vehicles</v>
      </c>
      <c r="F158" s="5" t="str">
        <f>VLOOKUP($A158,Technologies!$A$7:$H$576,7,FALSE)</f>
        <v>ICE 2010 norm Vehicle - LDV</v>
      </c>
      <c r="G158" s="23"/>
      <c r="H158" s="23"/>
      <c r="I158" s="104" cm="1">
        <f t="array" ref="I158">-SUMPRODUCT((Feedstocks!$C$4:$C$141=A158)*Feedstocks!$E$4:$E$141,Feedstocks!$F$4:$F$141,Feedstocks!$H$4:$H$141,Feedstocks!$I$4:$I$141)</f>
        <v>0</v>
      </c>
      <c r="J158" s="104" cm="1">
        <f t="array" ref="J158">-SUMPRODUCT((Feedstocks!$C$4:$C$141=A158)*Feedstocks!$E$4:$E$141,Feedstocks!$H$4:$H$141,Feedstocks!$I$4:$I$141)</f>
        <v>0</v>
      </c>
      <c r="K158" s="104"/>
      <c r="L158" s="104"/>
      <c r="M158" s="23"/>
      <c r="N158" s="23" t="str">
        <f>VLOOKUP(E158,Activities!$A$9:$M$227,13,FALSE)</f>
        <v>NL</v>
      </c>
      <c r="O158" s="23"/>
      <c r="P158" s="79" t="s">
        <v>452</v>
      </c>
      <c r="Q158" s="35"/>
      <c r="R158" s="35"/>
      <c r="S158" s="35"/>
      <c r="T158" s="35"/>
      <c r="U158" s="35"/>
      <c r="V158" s="35"/>
      <c r="W158" s="35"/>
      <c r="X158" s="35"/>
      <c r="Y158" s="35"/>
      <c r="Z158" s="35"/>
      <c r="AA158" s="35"/>
      <c r="AB158" s="35"/>
      <c r="AC158" s="35"/>
      <c r="AD158" s="35"/>
      <c r="AE158" s="35"/>
      <c r="AF158" s="35"/>
      <c r="AG158" s="35"/>
      <c r="AH158" s="35"/>
      <c r="AI158" s="35"/>
      <c r="AJ158" s="35"/>
      <c r="AK158" s="35"/>
      <c r="AL158" s="35"/>
      <c r="AM158" s="35"/>
      <c r="AN158" s="35"/>
      <c r="AO158" s="35"/>
      <c r="AP158" s="35"/>
      <c r="AQ158" s="35"/>
      <c r="AR158" s="35"/>
      <c r="AS158" s="35"/>
      <c r="AT158" s="35"/>
      <c r="AU158" s="35"/>
      <c r="AV158" s="35"/>
      <c r="AW158" s="35"/>
      <c r="AX158" s="35"/>
      <c r="AY158" s="35"/>
      <c r="AZ158" s="35"/>
      <c r="BA158" s="35"/>
      <c r="BB158" s="35"/>
      <c r="BC158" s="35">
        <v>1</v>
      </c>
      <c r="BD158" s="35"/>
      <c r="BE158" s="35"/>
      <c r="BF158" s="35"/>
      <c r="BG158" s="35"/>
      <c r="BH158" s="35"/>
      <c r="BI158" s="35"/>
      <c r="BJ158" s="35"/>
      <c r="BK158" s="35"/>
      <c r="BL158" s="35"/>
      <c r="BM158" s="35"/>
      <c r="BN158" s="35"/>
      <c r="BO158" s="35"/>
      <c r="BP158" s="35"/>
      <c r="BQ158" s="35"/>
      <c r="BR158" s="35"/>
      <c r="BS158" s="35"/>
      <c r="BT158" s="35"/>
      <c r="BU158" s="35"/>
      <c r="BV158" s="35"/>
      <c r="BW158" s="35"/>
      <c r="BX158" s="35"/>
      <c r="BY158" s="35"/>
      <c r="BZ158" s="35"/>
      <c r="CA158" s="35"/>
      <c r="CB158" s="35"/>
      <c r="CC158" s="35"/>
      <c r="CD158" s="35"/>
      <c r="CE158" s="35"/>
      <c r="CF158" s="35"/>
      <c r="CG158" s="35"/>
      <c r="CH158" s="35"/>
      <c r="CI158" s="35"/>
      <c r="CJ158" s="35"/>
      <c r="CK158" s="35"/>
      <c r="CL158" s="35"/>
      <c r="CM158" s="35"/>
      <c r="CN158" s="35"/>
      <c r="CO158" s="35"/>
      <c r="CP158" s="35"/>
      <c r="CQ158" s="35"/>
      <c r="CR158" s="35"/>
      <c r="CS158" s="35"/>
      <c r="CT158" s="35"/>
      <c r="CU158" s="35"/>
      <c r="CV158" s="35"/>
      <c r="CW158" s="35"/>
      <c r="CX158" s="35"/>
      <c r="CY158" s="35"/>
      <c r="CZ158" s="35"/>
      <c r="DA158" s="35"/>
      <c r="DB158" s="35"/>
      <c r="DC158" s="35"/>
      <c r="DD158" s="35"/>
      <c r="DE158" s="35"/>
      <c r="DF158" s="35"/>
      <c r="DG158" s="35"/>
      <c r="DH158" s="35"/>
      <c r="DI158" s="35"/>
      <c r="DJ158" s="35"/>
      <c r="DK158" s="35"/>
      <c r="DL158" s="35"/>
      <c r="DM158" s="35"/>
      <c r="DN158" s="35"/>
      <c r="DO158" s="35"/>
      <c r="DP158" s="35"/>
      <c r="DQ158" s="35"/>
      <c r="DR158" s="35"/>
      <c r="DS158" s="35"/>
      <c r="DT158" s="35"/>
      <c r="DU158" s="35">
        <v>-3.72</v>
      </c>
      <c r="DV158" s="35"/>
      <c r="DW158" s="35"/>
      <c r="DX158" s="35"/>
      <c r="DY158" s="35"/>
      <c r="DZ158" s="35"/>
      <c r="EA158" s="35"/>
      <c r="EB158" s="35"/>
      <c r="EC158" s="35"/>
      <c r="ED158" s="35"/>
      <c r="EE158" s="35"/>
      <c r="EF158" s="35"/>
      <c r="EG158" s="35"/>
      <c r="EH158" s="35"/>
      <c r="EI158" s="35"/>
      <c r="EJ158" s="35"/>
      <c r="EK158" s="35"/>
      <c r="EL158" s="35"/>
      <c r="EM158" s="35"/>
      <c r="EN158" s="35"/>
      <c r="EO158" s="35"/>
      <c r="EP158" s="35"/>
      <c r="EQ158" s="35"/>
      <c r="ER158" s="35"/>
      <c r="ES158" s="35"/>
      <c r="ET158" s="35"/>
      <c r="EU158" s="35"/>
      <c r="EV158" s="35"/>
      <c r="EW158" s="35"/>
      <c r="EX158" s="35"/>
      <c r="EY158" s="35"/>
      <c r="EZ158" s="35"/>
      <c r="FA158" s="35"/>
      <c r="FB158" s="35"/>
      <c r="FC158" s="35"/>
      <c r="FD158" s="35"/>
      <c r="FE158" s="35"/>
      <c r="FF158" s="35"/>
      <c r="FG158" s="35"/>
      <c r="FH158" s="35"/>
      <c r="FI158" s="35"/>
      <c r="FJ158" s="35"/>
      <c r="FK158" s="35"/>
      <c r="FL158" s="35"/>
      <c r="FM158" s="35"/>
      <c r="FN158" s="35"/>
      <c r="FO158" s="35"/>
      <c r="FP158" s="35"/>
      <c r="FQ158" s="35"/>
      <c r="FR158" s="35"/>
      <c r="FS158" s="35"/>
      <c r="FT158" s="35"/>
      <c r="FU158" s="35"/>
      <c r="FV158" s="35"/>
      <c r="FW158" s="35"/>
      <c r="FX158" s="35"/>
      <c r="FY158" s="35"/>
      <c r="FZ158" s="35"/>
      <c r="GA158" s="35"/>
      <c r="GB158" s="318"/>
      <c r="GC158" s="178">
        <f t="shared" si="32"/>
        <v>0</v>
      </c>
      <c r="GD158" s="178">
        <f t="shared" si="33"/>
        <v>0</v>
      </c>
      <c r="GE158" s="178">
        <f t="shared" si="34"/>
        <v>0.27160000000000001</v>
      </c>
      <c r="GF158" s="178">
        <f t="shared" si="35"/>
        <v>0</v>
      </c>
      <c r="GG158" s="178">
        <f t="shared" si="36"/>
        <v>0</v>
      </c>
    </row>
    <row r="159" spans="1:189" x14ac:dyDescent="0.35">
      <c r="A159" s="6" t="s">
        <v>1063</v>
      </c>
      <c r="B159" s="6" t="str">
        <f>IF(Technologies!B159&lt;&gt;0,Technologies!B159,"")</f>
        <v>Mobiliteit</v>
      </c>
      <c r="C159" s="6" t="str">
        <f>VLOOKUP($A159,Technologies!$A$7:$H$576,3,FALSE)</f>
        <v>Final</v>
      </c>
      <c r="D159" s="6" t="str">
        <f>VLOOKUP($A159,Technologies!$A$7:$H$576,4,FALSE)</f>
        <v>Transport</v>
      </c>
      <c r="E159" s="6" t="str">
        <f>VLOOKUP($A159,Technologies!$A$7:$H$576,6,FALSE)</f>
        <v>Light-Duty Vehicles</v>
      </c>
      <c r="F159" s="48" t="str">
        <f>VLOOKUP($A159,Technologies!$A$7:$H$576,7,FALSE)</f>
        <v>ICE efficient Vehicle - LDV</v>
      </c>
      <c r="G159" s="22"/>
      <c r="H159" s="22"/>
      <c r="I159" s="103" cm="1">
        <f t="array" ref="I159">-SUMPRODUCT((Feedstocks!$C$4:$C$141=A159)*Feedstocks!$E$4:$E$141,Feedstocks!$F$4:$F$141,Feedstocks!$H$4:$H$141,Feedstocks!$I$4:$I$141)</f>
        <v>0</v>
      </c>
      <c r="J159" s="103" cm="1">
        <f t="array" ref="J159">-SUMPRODUCT((Feedstocks!$C$4:$C$141=A159)*Feedstocks!$E$4:$E$141,Feedstocks!$H$4:$H$141,Feedstocks!$I$4:$I$141)</f>
        <v>0</v>
      </c>
      <c r="K159" s="103"/>
      <c r="L159" s="103"/>
      <c r="M159" s="22"/>
      <c r="N159" s="22" t="str">
        <f>VLOOKUP(E159,Activities!$A$9:$M$227,13,FALSE)</f>
        <v>NL</v>
      </c>
      <c r="O159" s="22"/>
      <c r="P159" s="80" t="s">
        <v>687</v>
      </c>
      <c r="Q159" s="36"/>
      <c r="R159" s="36"/>
      <c r="S159" s="36"/>
      <c r="T159" s="36"/>
      <c r="U159" s="36"/>
      <c r="V159" s="36"/>
      <c r="W159" s="36"/>
      <c r="X159" s="36"/>
      <c r="Y159" s="36"/>
      <c r="Z159" s="36"/>
      <c r="AA159" s="36"/>
      <c r="AB159" s="36"/>
      <c r="AC159" s="36"/>
      <c r="AD159" s="36"/>
      <c r="AE159" s="36"/>
      <c r="AF159" s="36"/>
      <c r="AG159" s="36"/>
      <c r="AH159" s="36"/>
      <c r="AI159" s="36"/>
      <c r="AJ159" s="36"/>
      <c r="AK159" s="36"/>
      <c r="AL159" s="36"/>
      <c r="AM159" s="36"/>
      <c r="AN159" s="36"/>
      <c r="AO159" s="36"/>
      <c r="AP159" s="36"/>
      <c r="AQ159" s="36"/>
      <c r="AR159" s="36"/>
      <c r="AS159" s="36"/>
      <c r="AT159" s="36"/>
      <c r="AU159" s="36"/>
      <c r="AV159" s="36"/>
      <c r="AW159" s="36"/>
      <c r="AX159" s="36"/>
      <c r="AY159" s="36"/>
      <c r="AZ159" s="36"/>
      <c r="BA159" s="36"/>
      <c r="BB159" s="36"/>
      <c r="BC159" s="36">
        <v>1</v>
      </c>
      <c r="BD159" s="36"/>
      <c r="BE159" s="36"/>
      <c r="BF159" s="36"/>
      <c r="BG159" s="36"/>
      <c r="BH159" s="36"/>
      <c r="BI159" s="36"/>
      <c r="BJ159" s="36"/>
      <c r="BK159" s="36"/>
      <c r="BL159" s="36"/>
      <c r="BM159" s="36"/>
      <c r="BN159" s="36"/>
      <c r="BO159" s="36"/>
      <c r="BP159" s="36"/>
      <c r="BQ159" s="36"/>
      <c r="BR159" s="36"/>
      <c r="BS159" s="36"/>
      <c r="BT159" s="36"/>
      <c r="BU159" s="36"/>
      <c r="BV159" s="36"/>
      <c r="BW159" s="36"/>
      <c r="BX159" s="36"/>
      <c r="BY159" s="36"/>
      <c r="BZ159" s="36"/>
      <c r="CA159" s="36"/>
      <c r="CB159" s="36"/>
      <c r="CC159" s="36"/>
      <c r="CD159" s="36"/>
      <c r="CE159" s="36"/>
      <c r="CF159" s="36"/>
      <c r="CG159" s="36"/>
      <c r="CH159" s="36"/>
      <c r="CI159" s="36"/>
      <c r="CJ159" s="36"/>
      <c r="CK159" s="36"/>
      <c r="CL159" s="36"/>
      <c r="CM159" s="36"/>
      <c r="CN159" s="36"/>
      <c r="CO159" s="36"/>
      <c r="CP159" s="36"/>
      <c r="CQ159" s="36"/>
      <c r="CR159" s="36"/>
      <c r="CS159" s="36"/>
      <c r="CT159" s="36"/>
      <c r="CU159" s="36"/>
      <c r="CV159" s="36"/>
      <c r="CW159" s="36"/>
      <c r="CX159" s="36"/>
      <c r="CY159" s="36"/>
      <c r="CZ159" s="36"/>
      <c r="DA159" s="36"/>
      <c r="DB159" s="36"/>
      <c r="DC159" s="36"/>
      <c r="DD159" s="36"/>
      <c r="DE159" s="36"/>
      <c r="DF159" s="36"/>
      <c r="DG159" s="36"/>
      <c r="DH159" s="36"/>
      <c r="DI159" s="36"/>
      <c r="DJ159" s="36"/>
      <c r="DK159" s="36"/>
      <c r="DL159" s="36"/>
      <c r="DM159" s="36"/>
      <c r="DN159" s="36"/>
      <c r="DO159" s="36"/>
      <c r="DP159" s="36"/>
      <c r="DQ159" s="36"/>
      <c r="DR159" s="36"/>
      <c r="DS159" s="36"/>
      <c r="DT159" s="36"/>
      <c r="DU159" s="36">
        <v>-2.29</v>
      </c>
      <c r="DV159" s="36"/>
      <c r="DW159" s="36"/>
      <c r="DX159" s="36"/>
      <c r="DY159" s="36"/>
      <c r="DZ159" s="36"/>
      <c r="EA159" s="36"/>
      <c r="EB159" s="36"/>
      <c r="EC159" s="36"/>
      <c r="ED159" s="36"/>
      <c r="EE159" s="36"/>
      <c r="EF159" s="36"/>
      <c r="EG159" s="36"/>
      <c r="EH159" s="36"/>
      <c r="EI159" s="36"/>
      <c r="EJ159" s="36"/>
      <c r="EK159" s="36"/>
      <c r="EL159" s="36"/>
      <c r="EM159" s="36"/>
      <c r="EN159" s="36"/>
      <c r="EO159" s="36"/>
      <c r="EP159" s="36"/>
      <c r="EQ159" s="36"/>
      <c r="ER159" s="36"/>
      <c r="ES159" s="36"/>
      <c r="ET159" s="36"/>
      <c r="EU159" s="36"/>
      <c r="EV159" s="36"/>
      <c r="EW159" s="36"/>
      <c r="EX159" s="36"/>
      <c r="EY159" s="36"/>
      <c r="EZ159" s="36"/>
      <c r="FA159" s="36"/>
      <c r="FB159" s="36"/>
      <c r="FC159" s="36"/>
      <c r="FD159" s="36"/>
      <c r="FE159" s="36"/>
      <c r="FF159" s="36"/>
      <c r="FG159" s="36"/>
      <c r="FH159" s="36"/>
      <c r="FI159" s="36"/>
      <c r="FJ159" s="36"/>
      <c r="FK159" s="36"/>
      <c r="FL159" s="36"/>
      <c r="FM159" s="36"/>
      <c r="FN159" s="36"/>
      <c r="FO159" s="36"/>
      <c r="FP159" s="36"/>
      <c r="FQ159" s="36"/>
      <c r="FR159" s="36"/>
      <c r="FS159" s="36"/>
      <c r="FT159" s="36"/>
      <c r="FU159" s="36"/>
      <c r="FV159" s="36"/>
      <c r="FW159" s="36"/>
      <c r="FX159" s="36"/>
      <c r="FY159" s="36"/>
      <c r="FZ159" s="36"/>
      <c r="GA159" s="36"/>
      <c r="GB159" s="319"/>
      <c r="GC159" s="179">
        <f t="shared" si="32"/>
        <v>0</v>
      </c>
      <c r="GD159" s="179">
        <f t="shared" si="33"/>
        <v>0</v>
      </c>
      <c r="GE159" s="179">
        <f t="shared" si="34"/>
        <v>0.16719999999999999</v>
      </c>
      <c r="GF159" s="179">
        <f t="shared" si="35"/>
        <v>0</v>
      </c>
      <c r="GG159" s="179">
        <f t="shared" si="36"/>
        <v>0</v>
      </c>
    </row>
    <row r="160" spans="1:189" x14ac:dyDescent="0.35">
      <c r="A160" s="6" t="s">
        <v>1065</v>
      </c>
      <c r="B160" s="6" t="str">
        <f>IF(Technologies!B160&lt;&gt;0,Technologies!B160,"")</f>
        <v>Mobiliteit</v>
      </c>
      <c r="C160" s="6" t="str">
        <f>VLOOKUP($A160,Technologies!$A$7:$H$576,3,FALSE)</f>
        <v>Final</v>
      </c>
      <c r="D160" s="6" t="str">
        <f>VLOOKUP($A160,Technologies!$A$7:$H$576,4,FALSE)</f>
        <v>Transport</v>
      </c>
      <c r="E160" s="6" t="str">
        <f>VLOOKUP($A160,Technologies!$A$7:$H$576,6,FALSE)</f>
        <v>Light-Duty Vehicles</v>
      </c>
      <c r="F160" s="48" t="str">
        <f>VLOOKUP($A160,Technologies!$A$7:$H$576,7,FALSE)</f>
        <v>ICE Bio Diesel Vehicle - LDV</v>
      </c>
      <c r="G160" s="22"/>
      <c r="H160" s="22"/>
      <c r="I160" s="103" cm="1">
        <f t="array" ref="I160">-SUMPRODUCT((Feedstocks!$C$4:$C$141=A160)*Feedstocks!$E$4:$E$141,Feedstocks!$F$4:$F$141,Feedstocks!$H$4:$H$141,Feedstocks!$I$4:$I$141)</f>
        <v>0</v>
      </c>
      <c r="J160" s="103" cm="1">
        <f t="array" ref="J160">-SUMPRODUCT((Feedstocks!$C$4:$C$141=A160)*Feedstocks!$E$4:$E$141,Feedstocks!$H$4:$H$141,Feedstocks!$I$4:$I$141)</f>
        <v>0</v>
      </c>
      <c r="K160" s="103"/>
      <c r="L160" s="103"/>
      <c r="M160" s="22"/>
      <c r="N160" s="22" t="str">
        <f>VLOOKUP(E160,Activities!$A$9:$M$227,13,FALSE)</f>
        <v>NL</v>
      </c>
      <c r="O160" s="22"/>
      <c r="P160" s="80" t="s">
        <v>687</v>
      </c>
      <c r="Q160" s="36"/>
      <c r="R160" s="36"/>
      <c r="S160" s="36"/>
      <c r="T160" s="36"/>
      <c r="U160" s="36"/>
      <c r="V160" s="36"/>
      <c r="W160" s="36"/>
      <c r="X160" s="36"/>
      <c r="Y160" s="36"/>
      <c r="Z160" s="36"/>
      <c r="AA160" s="36"/>
      <c r="AB160" s="36"/>
      <c r="AC160" s="36"/>
      <c r="AD160" s="36"/>
      <c r="AE160" s="36"/>
      <c r="AF160" s="36"/>
      <c r="AG160" s="36"/>
      <c r="AH160" s="36"/>
      <c r="AI160" s="36"/>
      <c r="AJ160" s="36"/>
      <c r="AK160" s="36"/>
      <c r="AL160" s="36"/>
      <c r="AM160" s="36"/>
      <c r="AN160" s="36"/>
      <c r="AO160" s="36"/>
      <c r="AP160" s="36"/>
      <c r="AQ160" s="36"/>
      <c r="AR160" s="36"/>
      <c r="AS160" s="36"/>
      <c r="AT160" s="36"/>
      <c r="AU160" s="36"/>
      <c r="AV160" s="36"/>
      <c r="AW160" s="36"/>
      <c r="AX160" s="36"/>
      <c r="AY160" s="36"/>
      <c r="AZ160" s="36"/>
      <c r="BA160" s="36"/>
      <c r="BB160" s="36"/>
      <c r="BC160" s="36">
        <v>1</v>
      </c>
      <c r="BD160" s="36"/>
      <c r="BE160" s="36"/>
      <c r="BF160" s="36"/>
      <c r="BG160" s="36"/>
      <c r="BH160" s="36"/>
      <c r="BI160" s="36"/>
      <c r="BJ160" s="36"/>
      <c r="BK160" s="36"/>
      <c r="BL160" s="36"/>
      <c r="BM160" s="36"/>
      <c r="BN160" s="36"/>
      <c r="BO160" s="36"/>
      <c r="BP160" s="36"/>
      <c r="BQ160" s="36"/>
      <c r="BR160" s="36"/>
      <c r="BS160" s="36"/>
      <c r="BT160" s="36"/>
      <c r="BU160" s="36"/>
      <c r="BV160" s="36"/>
      <c r="BW160" s="36"/>
      <c r="BX160" s="36"/>
      <c r="BY160" s="36"/>
      <c r="BZ160" s="36"/>
      <c r="CA160" s="36"/>
      <c r="CB160" s="36"/>
      <c r="CC160" s="36"/>
      <c r="CD160" s="36"/>
      <c r="CE160" s="36"/>
      <c r="CF160" s="36"/>
      <c r="CG160" s="36"/>
      <c r="CH160" s="36"/>
      <c r="CI160" s="36"/>
      <c r="CJ160" s="36"/>
      <c r="CK160" s="36"/>
      <c r="CL160" s="36"/>
      <c r="CM160" s="36"/>
      <c r="CN160" s="36"/>
      <c r="CO160" s="36"/>
      <c r="CP160" s="36"/>
      <c r="CQ160" s="36"/>
      <c r="CR160" s="36"/>
      <c r="CS160" s="36"/>
      <c r="CT160" s="36"/>
      <c r="CU160" s="36"/>
      <c r="CV160" s="36"/>
      <c r="CW160" s="36"/>
      <c r="CX160" s="36"/>
      <c r="CY160" s="36"/>
      <c r="CZ160" s="36"/>
      <c r="DA160" s="36"/>
      <c r="DB160" s="36"/>
      <c r="DC160" s="36"/>
      <c r="DD160" s="36"/>
      <c r="DE160" s="36"/>
      <c r="DF160" s="36"/>
      <c r="DG160" s="36"/>
      <c r="DH160" s="36"/>
      <c r="DI160" s="36"/>
      <c r="DJ160" s="36"/>
      <c r="DK160" s="36"/>
      <c r="DL160" s="36"/>
      <c r="DM160" s="36"/>
      <c r="DN160" s="36"/>
      <c r="DO160" s="36"/>
      <c r="DP160" s="36"/>
      <c r="DQ160" s="36"/>
      <c r="DR160" s="36"/>
      <c r="DS160" s="36"/>
      <c r="DT160" s="36"/>
      <c r="DU160" s="36"/>
      <c r="DV160" s="36"/>
      <c r="DW160" s="36"/>
      <c r="DX160" s="36"/>
      <c r="DY160" s="36"/>
      <c r="DZ160" s="36"/>
      <c r="EA160" s="36">
        <v>-2.29</v>
      </c>
      <c r="EB160" s="36"/>
      <c r="EC160" s="36"/>
      <c r="ED160" s="36"/>
      <c r="EE160" s="36"/>
      <c r="EF160" s="36"/>
      <c r="EG160" s="36"/>
      <c r="EH160" s="36"/>
      <c r="EI160" s="36"/>
      <c r="EJ160" s="36"/>
      <c r="EK160" s="36"/>
      <c r="EL160" s="36"/>
      <c r="EM160" s="36"/>
      <c r="EN160" s="36"/>
      <c r="EO160" s="36"/>
      <c r="EP160" s="36"/>
      <c r="EQ160" s="36"/>
      <c r="ER160" s="36"/>
      <c r="ES160" s="36"/>
      <c r="ET160" s="36"/>
      <c r="EU160" s="36"/>
      <c r="EV160" s="36"/>
      <c r="EW160" s="36"/>
      <c r="EX160" s="36"/>
      <c r="EY160" s="36"/>
      <c r="EZ160" s="36"/>
      <c r="FA160" s="36"/>
      <c r="FB160" s="36"/>
      <c r="FC160" s="36"/>
      <c r="FD160" s="36"/>
      <c r="FE160" s="36"/>
      <c r="FF160" s="36"/>
      <c r="FG160" s="36"/>
      <c r="FH160" s="36"/>
      <c r="FI160" s="36"/>
      <c r="FJ160" s="36"/>
      <c r="FK160" s="36"/>
      <c r="FL160" s="36"/>
      <c r="FM160" s="36"/>
      <c r="FN160" s="36"/>
      <c r="FO160" s="36"/>
      <c r="FP160" s="36"/>
      <c r="FQ160" s="36"/>
      <c r="FR160" s="36"/>
      <c r="FS160" s="36"/>
      <c r="FT160" s="36"/>
      <c r="FU160" s="36"/>
      <c r="FV160" s="36"/>
      <c r="FW160" s="36"/>
      <c r="FX160" s="36"/>
      <c r="FY160" s="36"/>
      <c r="FZ160" s="36"/>
      <c r="GA160" s="36"/>
      <c r="GB160" s="319"/>
      <c r="GC160" s="179">
        <f t="shared" si="32"/>
        <v>0</v>
      </c>
      <c r="GD160" s="179">
        <f t="shared" si="33"/>
        <v>0</v>
      </c>
      <c r="GE160" s="179">
        <f t="shared" si="34"/>
        <v>0</v>
      </c>
      <c r="GF160" s="179">
        <f t="shared" si="35"/>
        <v>0</v>
      </c>
      <c r="GG160" s="179">
        <f t="shared" si="36"/>
        <v>0</v>
      </c>
    </row>
    <row r="161" spans="1:189" x14ac:dyDescent="0.35">
      <c r="A161" s="6" t="s">
        <v>1067</v>
      </c>
      <c r="B161" s="6" t="str">
        <f>IF(Technologies!B161&lt;&gt;0,Technologies!B161,"")</f>
        <v>Mobiliteit</v>
      </c>
      <c r="C161" s="6" t="str">
        <f>VLOOKUP($A161,Technologies!$A$7:$H$576,3,FALSE)</f>
        <v>Final</v>
      </c>
      <c r="D161" s="6" t="str">
        <f>VLOOKUP($A161,Technologies!$A$7:$H$576,4,FALSE)</f>
        <v>Transport</v>
      </c>
      <c r="E161" s="6" t="str">
        <f>VLOOKUP($A161,Technologies!$A$7:$H$576,6,FALSE)</f>
        <v>Light-Duty Vehicles</v>
      </c>
      <c r="F161" s="48" t="str">
        <f>VLOOKUP($A161,Technologies!$A$7:$H$576,7,FALSE)</f>
        <v>ICE Syn Diesel Vehicle - LDV</v>
      </c>
      <c r="G161" s="22"/>
      <c r="H161" s="22"/>
      <c r="I161" s="103" cm="1">
        <f t="array" ref="I161">-SUMPRODUCT((Feedstocks!$C$4:$C$141=A161)*Feedstocks!$E$4:$E$141,Feedstocks!$F$4:$F$141,Feedstocks!$H$4:$H$141,Feedstocks!$I$4:$I$141)</f>
        <v>0</v>
      </c>
      <c r="J161" s="103" cm="1">
        <f t="array" ref="J161">-SUMPRODUCT((Feedstocks!$C$4:$C$141=A161)*Feedstocks!$E$4:$E$141,Feedstocks!$H$4:$H$141,Feedstocks!$I$4:$I$141)</f>
        <v>0</v>
      </c>
      <c r="K161" s="103"/>
      <c r="L161" s="103"/>
      <c r="M161" s="22"/>
      <c r="N161" s="22" t="str">
        <f>VLOOKUP(E161,Activities!$A$9:$M$227,13,FALSE)</f>
        <v>NL</v>
      </c>
      <c r="O161" s="22"/>
      <c r="P161" s="80" t="s">
        <v>687</v>
      </c>
      <c r="Q161" s="36"/>
      <c r="R161" s="36"/>
      <c r="S161" s="36"/>
      <c r="T161" s="36"/>
      <c r="U161" s="36"/>
      <c r="V161" s="36"/>
      <c r="W161" s="36"/>
      <c r="X161" s="36"/>
      <c r="Y161" s="36"/>
      <c r="Z161" s="36"/>
      <c r="AA161" s="36"/>
      <c r="AB161" s="36"/>
      <c r="AC161" s="36"/>
      <c r="AD161" s="36"/>
      <c r="AE161" s="36"/>
      <c r="AF161" s="36"/>
      <c r="AG161" s="36"/>
      <c r="AH161" s="36"/>
      <c r="AI161" s="36"/>
      <c r="AJ161" s="36"/>
      <c r="AK161" s="36"/>
      <c r="AL161" s="36"/>
      <c r="AM161" s="36"/>
      <c r="AN161" s="36"/>
      <c r="AO161" s="36"/>
      <c r="AP161" s="36"/>
      <c r="AQ161" s="36"/>
      <c r="AR161" s="36"/>
      <c r="AS161" s="36"/>
      <c r="AT161" s="36"/>
      <c r="AU161" s="36"/>
      <c r="AV161" s="36"/>
      <c r="AW161" s="36"/>
      <c r="AX161" s="36"/>
      <c r="AY161" s="36"/>
      <c r="AZ161" s="36"/>
      <c r="BA161" s="36"/>
      <c r="BB161" s="36"/>
      <c r="BC161" s="36">
        <v>1</v>
      </c>
      <c r="BD161" s="36"/>
      <c r="BE161" s="36"/>
      <c r="BF161" s="36"/>
      <c r="BG161" s="36"/>
      <c r="BH161" s="36"/>
      <c r="BI161" s="36"/>
      <c r="BJ161" s="36"/>
      <c r="BK161" s="36"/>
      <c r="BL161" s="36"/>
      <c r="BM161" s="36"/>
      <c r="BN161" s="36"/>
      <c r="BO161" s="36"/>
      <c r="BP161" s="36"/>
      <c r="BQ161" s="36"/>
      <c r="BR161" s="36"/>
      <c r="BS161" s="36"/>
      <c r="BT161" s="36"/>
      <c r="BU161" s="36"/>
      <c r="BV161" s="36"/>
      <c r="BW161" s="36"/>
      <c r="BX161" s="36"/>
      <c r="BY161" s="36"/>
      <c r="BZ161" s="36"/>
      <c r="CA161" s="36"/>
      <c r="CB161" s="36"/>
      <c r="CC161" s="36"/>
      <c r="CD161" s="36"/>
      <c r="CE161" s="36"/>
      <c r="CF161" s="36"/>
      <c r="CG161" s="36"/>
      <c r="CH161" s="36"/>
      <c r="CI161" s="36"/>
      <c r="CJ161" s="36"/>
      <c r="CK161" s="36"/>
      <c r="CL161" s="36"/>
      <c r="CM161" s="36"/>
      <c r="CN161" s="36"/>
      <c r="CO161" s="36"/>
      <c r="CP161" s="36"/>
      <c r="CQ161" s="36"/>
      <c r="CR161" s="36"/>
      <c r="CS161" s="36"/>
      <c r="CT161" s="36"/>
      <c r="CU161" s="36"/>
      <c r="CV161" s="36"/>
      <c r="CW161" s="36"/>
      <c r="CX161" s="36"/>
      <c r="CY161" s="36"/>
      <c r="CZ161" s="36"/>
      <c r="DA161" s="36"/>
      <c r="DB161" s="36"/>
      <c r="DC161" s="36"/>
      <c r="DD161" s="36"/>
      <c r="DE161" s="36"/>
      <c r="DF161" s="36"/>
      <c r="DG161" s="36"/>
      <c r="DH161" s="36"/>
      <c r="DI161" s="36"/>
      <c r="DJ161" s="36"/>
      <c r="DK161" s="36"/>
      <c r="DL161" s="36"/>
      <c r="DM161" s="36"/>
      <c r="DN161" s="36"/>
      <c r="DO161" s="36"/>
      <c r="DP161" s="36"/>
      <c r="DQ161" s="36"/>
      <c r="DR161" s="36"/>
      <c r="DS161" s="36"/>
      <c r="DT161" s="36"/>
      <c r="DU161" s="36"/>
      <c r="DV161" s="36"/>
      <c r="DW161" s="36"/>
      <c r="DX161" s="36"/>
      <c r="DY161" s="36"/>
      <c r="DZ161" s="36"/>
      <c r="EA161" s="36"/>
      <c r="EB161" s="36"/>
      <c r="EC161" s="36"/>
      <c r="ED161" s="36"/>
      <c r="EE161" s="36">
        <v>-2.29</v>
      </c>
      <c r="EF161" s="36"/>
      <c r="EG161" s="36"/>
      <c r="EH161" s="36"/>
      <c r="EI161" s="36"/>
      <c r="EJ161" s="36"/>
      <c r="EK161" s="36"/>
      <c r="EL161" s="36"/>
      <c r="EM161" s="36"/>
      <c r="EN161" s="36"/>
      <c r="EO161" s="36"/>
      <c r="EP161" s="36"/>
      <c r="EQ161" s="36"/>
      <c r="ER161" s="36"/>
      <c r="ES161" s="36"/>
      <c r="ET161" s="36"/>
      <c r="EU161" s="36"/>
      <c r="EV161" s="36"/>
      <c r="EW161" s="36"/>
      <c r="EX161" s="36"/>
      <c r="EY161" s="36"/>
      <c r="EZ161" s="36"/>
      <c r="FA161" s="36"/>
      <c r="FB161" s="36"/>
      <c r="FC161" s="36"/>
      <c r="FD161" s="36"/>
      <c r="FE161" s="36"/>
      <c r="FF161" s="36"/>
      <c r="FG161" s="36"/>
      <c r="FH161" s="36"/>
      <c r="FI161" s="36"/>
      <c r="FJ161" s="36"/>
      <c r="FK161" s="36"/>
      <c r="FL161" s="36"/>
      <c r="FM161" s="36"/>
      <c r="FN161" s="36"/>
      <c r="FO161" s="36"/>
      <c r="FP161" s="36"/>
      <c r="FQ161" s="36"/>
      <c r="FR161" s="36"/>
      <c r="FS161" s="36"/>
      <c r="FT161" s="36"/>
      <c r="FU161" s="36"/>
      <c r="FV161" s="36"/>
      <c r="FW161" s="36"/>
      <c r="FX161" s="36"/>
      <c r="FY161" s="36"/>
      <c r="FZ161" s="36"/>
      <c r="GA161" s="36"/>
      <c r="GB161" s="319"/>
      <c r="GC161" s="179">
        <f t="shared" si="32"/>
        <v>0</v>
      </c>
      <c r="GD161" s="179">
        <f t="shared" si="33"/>
        <v>0</v>
      </c>
      <c r="GE161" s="179">
        <f t="shared" si="34"/>
        <v>0.16719999999999999</v>
      </c>
      <c r="GF161" s="179">
        <f t="shared" si="35"/>
        <v>0</v>
      </c>
      <c r="GG161" s="179">
        <f t="shared" si="36"/>
        <v>0</v>
      </c>
    </row>
    <row r="162" spans="1:189" x14ac:dyDescent="0.35">
      <c r="A162" s="5" t="s">
        <v>1069</v>
      </c>
      <c r="B162" s="5" t="str">
        <f>IF(Technologies!B162&lt;&gt;0,Technologies!B162,"")</f>
        <v>Mobiliteit</v>
      </c>
      <c r="C162" s="5" t="str">
        <f>VLOOKUP($A162,Technologies!$A$7:$H$576,3,FALSE)</f>
        <v>Final</v>
      </c>
      <c r="D162" s="5" t="str">
        <f>VLOOKUP($A162,Technologies!$A$7:$H$576,4,FALSE)</f>
        <v>Transport</v>
      </c>
      <c r="E162" s="5" t="str">
        <f>VLOOKUP($A162,Technologies!$A$7:$H$576,6,FALSE)</f>
        <v>Light-Duty Vehicles</v>
      </c>
      <c r="F162" s="5" t="str">
        <f>VLOOKUP($A162,Technologies!$A$7:$H$576,7,FALSE)</f>
        <v>Plug-In Hybrid Vehicle - LDV</v>
      </c>
      <c r="G162" s="23"/>
      <c r="H162" s="23"/>
      <c r="I162" s="104" cm="1">
        <f t="array" ref="I162">-SUMPRODUCT((Feedstocks!$C$4:$C$141=A162)*Feedstocks!$E$4:$E$141,Feedstocks!$F$4:$F$141,Feedstocks!$H$4:$H$141,Feedstocks!$I$4:$I$141)</f>
        <v>0</v>
      </c>
      <c r="J162" s="104" cm="1">
        <f t="array" ref="J162">-SUMPRODUCT((Feedstocks!$C$4:$C$141=A162)*Feedstocks!$E$4:$E$141,Feedstocks!$H$4:$H$141,Feedstocks!$I$4:$I$141)</f>
        <v>0</v>
      </c>
      <c r="K162" s="104"/>
      <c r="L162" s="104"/>
      <c r="M162" s="23"/>
      <c r="N162" s="23" t="str">
        <f>VLOOKUP(E162,Activities!$A$9:$M$227,13,FALSE)</f>
        <v>NL</v>
      </c>
      <c r="O162" s="23"/>
      <c r="P162" s="79" t="s">
        <v>687</v>
      </c>
      <c r="Q162" s="35"/>
      <c r="R162" s="35"/>
      <c r="S162" s="35"/>
      <c r="T162" s="35"/>
      <c r="U162" s="35"/>
      <c r="V162" s="35"/>
      <c r="W162" s="35"/>
      <c r="X162" s="35"/>
      <c r="Y162" s="35"/>
      <c r="Z162" s="35"/>
      <c r="AA162" s="35"/>
      <c r="AB162" s="35"/>
      <c r="AC162" s="35"/>
      <c r="AD162" s="35"/>
      <c r="AE162" s="35"/>
      <c r="AF162" s="35"/>
      <c r="AG162" s="35"/>
      <c r="AH162" s="35"/>
      <c r="AI162" s="35"/>
      <c r="AJ162" s="35"/>
      <c r="AK162" s="35"/>
      <c r="AL162" s="35"/>
      <c r="AM162" s="35"/>
      <c r="AN162" s="35"/>
      <c r="AO162" s="35"/>
      <c r="AP162" s="35"/>
      <c r="AQ162" s="35"/>
      <c r="AR162" s="35"/>
      <c r="AS162" s="35"/>
      <c r="AT162" s="35"/>
      <c r="AU162" s="35"/>
      <c r="AV162" s="35"/>
      <c r="AW162" s="35"/>
      <c r="AX162" s="35"/>
      <c r="AY162" s="35"/>
      <c r="AZ162" s="35"/>
      <c r="BA162" s="35"/>
      <c r="BB162" s="35"/>
      <c r="BC162" s="35">
        <v>1</v>
      </c>
      <c r="BD162" s="35"/>
      <c r="BE162" s="35"/>
      <c r="BF162" s="35"/>
      <c r="BG162" s="35"/>
      <c r="BH162" s="35"/>
      <c r="BI162" s="35"/>
      <c r="BJ162" s="35"/>
      <c r="BK162" s="35"/>
      <c r="BL162" s="35"/>
      <c r="BM162" s="35"/>
      <c r="BN162" s="35"/>
      <c r="BO162" s="35"/>
      <c r="BP162" s="35"/>
      <c r="BQ162" s="35"/>
      <c r="BR162" s="35"/>
      <c r="BS162" s="35"/>
      <c r="BT162" s="35"/>
      <c r="BU162" s="35"/>
      <c r="BV162" s="35"/>
      <c r="BW162" s="35"/>
      <c r="BX162" s="35"/>
      <c r="BY162" s="35"/>
      <c r="BZ162" s="35"/>
      <c r="CA162" s="35"/>
      <c r="CB162" s="35"/>
      <c r="CC162" s="35"/>
      <c r="CD162" s="35"/>
      <c r="CE162" s="35"/>
      <c r="CF162" s="35"/>
      <c r="CG162" s="35"/>
      <c r="CH162" s="35"/>
      <c r="CI162" s="35"/>
      <c r="CJ162" s="35"/>
      <c r="CK162" s="35"/>
      <c r="CL162" s="35"/>
      <c r="CM162" s="35"/>
      <c r="CN162" s="35"/>
      <c r="CO162" s="35"/>
      <c r="CP162" s="35"/>
      <c r="CQ162" s="35"/>
      <c r="CR162" s="35"/>
      <c r="CS162" s="35"/>
      <c r="CT162" s="35"/>
      <c r="CU162" s="35"/>
      <c r="CV162" s="35"/>
      <c r="CW162" s="35"/>
      <c r="CX162" s="35"/>
      <c r="CY162" s="35"/>
      <c r="CZ162" s="35"/>
      <c r="DA162" s="35"/>
      <c r="DB162" s="35"/>
      <c r="DC162" s="35"/>
      <c r="DD162" s="35"/>
      <c r="DE162" s="35"/>
      <c r="DF162" s="35"/>
      <c r="DG162" s="35"/>
      <c r="DH162" s="35"/>
      <c r="DI162" s="35">
        <v>-0.58223719092166903</v>
      </c>
      <c r="DJ162" s="35"/>
      <c r="DK162" s="35"/>
      <c r="DL162" s="35"/>
      <c r="DM162" s="35"/>
      <c r="DN162" s="35"/>
      <c r="DO162" s="35"/>
      <c r="DP162" s="35"/>
      <c r="DQ162" s="35"/>
      <c r="DR162" s="35"/>
      <c r="DS162" s="35"/>
      <c r="DT162" s="35"/>
      <c r="DU162" s="35">
        <v>-1.24</v>
      </c>
      <c r="DV162" s="35"/>
      <c r="DW162" s="35"/>
      <c r="DX162" s="35"/>
      <c r="DY162" s="35"/>
      <c r="DZ162" s="35"/>
      <c r="EA162" s="35"/>
      <c r="EB162" s="35"/>
      <c r="EC162" s="35"/>
      <c r="ED162" s="35"/>
      <c r="EE162" s="35"/>
      <c r="EF162" s="35"/>
      <c r="EG162" s="35"/>
      <c r="EH162" s="35"/>
      <c r="EI162" s="35"/>
      <c r="EJ162" s="35"/>
      <c r="EK162" s="35"/>
      <c r="EL162" s="35"/>
      <c r="EM162" s="35"/>
      <c r="EN162" s="35"/>
      <c r="EO162" s="35"/>
      <c r="EP162" s="35"/>
      <c r="EQ162" s="35"/>
      <c r="ER162" s="35"/>
      <c r="ES162" s="35"/>
      <c r="ET162" s="35"/>
      <c r="EU162" s="35"/>
      <c r="EV162" s="35"/>
      <c r="EW162" s="35"/>
      <c r="EX162" s="35"/>
      <c r="EY162" s="35"/>
      <c r="EZ162" s="35"/>
      <c r="FA162" s="35"/>
      <c r="FB162" s="35"/>
      <c r="FC162" s="35"/>
      <c r="FD162" s="35"/>
      <c r="FE162" s="35"/>
      <c r="FF162" s="35"/>
      <c r="FG162" s="35"/>
      <c r="FH162" s="35"/>
      <c r="FI162" s="35"/>
      <c r="FJ162" s="35"/>
      <c r="FK162" s="35"/>
      <c r="FL162" s="35"/>
      <c r="FM162" s="35"/>
      <c r="FN162" s="35"/>
      <c r="FO162" s="35"/>
      <c r="FP162" s="35"/>
      <c r="FQ162" s="35"/>
      <c r="FR162" s="35"/>
      <c r="FS162" s="35"/>
      <c r="FT162" s="35"/>
      <c r="FU162" s="35"/>
      <c r="FV162" s="35"/>
      <c r="FW162" s="35"/>
      <c r="FX162" s="35"/>
      <c r="FY162" s="35"/>
      <c r="FZ162" s="35"/>
      <c r="GA162" s="35"/>
      <c r="GB162" s="318"/>
      <c r="GC162" s="178">
        <f t="shared" si="32"/>
        <v>0</v>
      </c>
      <c r="GD162" s="178">
        <f t="shared" si="33"/>
        <v>0</v>
      </c>
      <c r="GE162" s="178">
        <f t="shared" si="34"/>
        <v>9.0499999999999997E-2</v>
      </c>
      <c r="GF162" s="178">
        <f t="shared" si="35"/>
        <v>0</v>
      </c>
      <c r="GG162" s="178">
        <f t="shared" si="36"/>
        <v>0</v>
      </c>
    </row>
    <row r="163" spans="1:189" x14ac:dyDescent="0.35">
      <c r="A163" s="6" t="s">
        <v>1072</v>
      </c>
      <c r="B163" s="6" t="str">
        <f>IF(Technologies!B163&lt;&gt;0,Technologies!B163,"")</f>
        <v>Mobiliteit</v>
      </c>
      <c r="C163" s="6" t="str">
        <f>VLOOKUP($A163,Technologies!$A$7:$H$576,3,FALSE)</f>
        <v>Final</v>
      </c>
      <c r="D163" s="6" t="str">
        <f>VLOOKUP($A163,Technologies!$A$7:$H$576,4,FALSE)</f>
        <v>Transport</v>
      </c>
      <c r="E163" s="6" t="str">
        <f>VLOOKUP($A163,Technologies!$A$7:$H$576,6,FALSE)</f>
        <v>Light-Duty Vehicles</v>
      </c>
      <c r="F163" s="48" t="str">
        <f>VLOOKUP($A163,Technologies!$A$7:$H$576,7,FALSE)</f>
        <v>Electric Battery Vehicle - LDV</v>
      </c>
      <c r="G163" s="22"/>
      <c r="H163" s="22"/>
      <c r="I163" s="103" cm="1">
        <f t="array" ref="I163">-SUMPRODUCT((Feedstocks!$C$4:$C$141=A163)*Feedstocks!$E$4:$E$141,Feedstocks!$F$4:$F$141,Feedstocks!$H$4:$H$141,Feedstocks!$I$4:$I$141)</f>
        <v>0</v>
      </c>
      <c r="J163" s="103" cm="1">
        <f t="array" ref="J163">-SUMPRODUCT((Feedstocks!$C$4:$C$141=A163)*Feedstocks!$E$4:$E$141,Feedstocks!$H$4:$H$141,Feedstocks!$I$4:$I$141)</f>
        <v>0</v>
      </c>
      <c r="K163" s="103"/>
      <c r="L163" s="103"/>
      <c r="M163" s="22"/>
      <c r="N163" s="22" t="str">
        <f>VLOOKUP(E163,Activities!$A$9:$M$227,13,FALSE)</f>
        <v>NL</v>
      </c>
      <c r="O163" s="22"/>
      <c r="P163" s="80" t="s">
        <v>687</v>
      </c>
      <c r="Q163" s="36"/>
      <c r="R163" s="36"/>
      <c r="S163" s="36"/>
      <c r="T163" s="36"/>
      <c r="U163" s="36"/>
      <c r="V163" s="36"/>
      <c r="W163" s="36"/>
      <c r="X163" s="36"/>
      <c r="Y163" s="36"/>
      <c r="Z163" s="36"/>
      <c r="AA163" s="36"/>
      <c r="AB163" s="36"/>
      <c r="AC163" s="36"/>
      <c r="AD163" s="36"/>
      <c r="AE163" s="36"/>
      <c r="AF163" s="36"/>
      <c r="AG163" s="36"/>
      <c r="AH163" s="36"/>
      <c r="AI163" s="36"/>
      <c r="AJ163" s="36"/>
      <c r="AK163" s="36"/>
      <c r="AL163" s="36"/>
      <c r="AM163" s="36"/>
      <c r="AN163" s="36"/>
      <c r="AO163" s="36"/>
      <c r="AP163" s="36"/>
      <c r="AQ163" s="36"/>
      <c r="AR163" s="36"/>
      <c r="AS163" s="36"/>
      <c r="AT163" s="36"/>
      <c r="AU163" s="36"/>
      <c r="AV163" s="36"/>
      <c r="AW163" s="36"/>
      <c r="AX163" s="36"/>
      <c r="AY163" s="36"/>
      <c r="AZ163" s="36"/>
      <c r="BA163" s="36"/>
      <c r="BB163" s="36"/>
      <c r="BC163" s="36">
        <v>1</v>
      </c>
      <c r="BD163" s="36"/>
      <c r="BE163" s="36"/>
      <c r="BF163" s="36"/>
      <c r="BG163" s="36"/>
      <c r="BH163" s="36"/>
      <c r="BI163" s="36"/>
      <c r="BJ163" s="36"/>
      <c r="BK163" s="36"/>
      <c r="BL163" s="36"/>
      <c r="BM163" s="36"/>
      <c r="BN163" s="36"/>
      <c r="BO163" s="36"/>
      <c r="BP163" s="36"/>
      <c r="BQ163" s="36"/>
      <c r="BR163" s="36"/>
      <c r="BS163" s="36"/>
      <c r="BT163" s="36"/>
      <c r="BU163" s="36"/>
      <c r="BV163" s="36"/>
      <c r="BW163" s="36"/>
      <c r="BX163" s="36"/>
      <c r="BY163" s="36"/>
      <c r="BZ163" s="36"/>
      <c r="CA163" s="36"/>
      <c r="CB163" s="36"/>
      <c r="CC163" s="36"/>
      <c r="CD163" s="36"/>
      <c r="CE163" s="36"/>
      <c r="CF163" s="36"/>
      <c r="CG163" s="36"/>
      <c r="CH163" s="36"/>
      <c r="CI163" s="36"/>
      <c r="CJ163" s="36"/>
      <c r="CK163" s="36"/>
      <c r="CL163" s="36"/>
      <c r="CM163" s="36"/>
      <c r="CN163" s="36"/>
      <c r="CO163" s="36"/>
      <c r="CP163" s="36"/>
      <c r="CQ163" s="36"/>
      <c r="CR163" s="36"/>
      <c r="CS163" s="36"/>
      <c r="CT163" s="36"/>
      <c r="CU163" s="36"/>
      <c r="CV163" s="36"/>
      <c r="CW163" s="36"/>
      <c r="CX163" s="36"/>
      <c r="CY163" s="36"/>
      <c r="CZ163" s="36"/>
      <c r="DA163" s="36"/>
      <c r="DB163" s="36"/>
      <c r="DC163" s="36"/>
      <c r="DD163" s="36"/>
      <c r="DE163" s="36"/>
      <c r="DF163" s="36"/>
      <c r="DG163" s="36"/>
      <c r="DH163" s="36"/>
      <c r="DI163" s="36">
        <v>-1.1644743818433401</v>
      </c>
      <c r="DJ163" s="36"/>
      <c r="DK163" s="36"/>
      <c r="DL163" s="36"/>
      <c r="DM163" s="36"/>
      <c r="DN163" s="36"/>
      <c r="DO163" s="36"/>
      <c r="DP163" s="36"/>
      <c r="DQ163" s="36"/>
      <c r="DR163" s="36"/>
      <c r="DS163" s="36"/>
      <c r="DT163" s="36"/>
      <c r="DU163" s="36"/>
      <c r="DV163" s="36"/>
      <c r="DW163" s="36"/>
      <c r="DX163" s="36"/>
      <c r="DY163" s="36"/>
      <c r="DZ163" s="36"/>
      <c r="EA163" s="36"/>
      <c r="EB163" s="36"/>
      <c r="EC163" s="36"/>
      <c r="ED163" s="36"/>
      <c r="EE163" s="36"/>
      <c r="EF163" s="36"/>
      <c r="EG163" s="36"/>
      <c r="EH163" s="36"/>
      <c r="EI163" s="36"/>
      <c r="EJ163" s="36"/>
      <c r="EK163" s="36"/>
      <c r="EL163" s="36"/>
      <c r="EM163" s="36"/>
      <c r="EN163" s="36"/>
      <c r="EO163" s="36"/>
      <c r="EP163" s="36"/>
      <c r="EQ163" s="36"/>
      <c r="ER163" s="36"/>
      <c r="ES163" s="36"/>
      <c r="ET163" s="36"/>
      <c r="EU163" s="36"/>
      <c r="EV163" s="36"/>
      <c r="EW163" s="36"/>
      <c r="EX163" s="36"/>
      <c r="EY163" s="36"/>
      <c r="EZ163" s="36"/>
      <c r="FA163" s="36"/>
      <c r="FB163" s="36"/>
      <c r="FC163" s="36"/>
      <c r="FD163" s="36"/>
      <c r="FE163" s="36"/>
      <c r="FF163" s="36"/>
      <c r="FG163" s="36"/>
      <c r="FH163" s="36"/>
      <c r="FI163" s="36"/>
      <c r="FJ163" s="36"/>
      <c r="FK163" s="36"/>
      <c r="FL163" s="36"/>
      <c r="FM163" s="36"/>
      <c r="FN163" s="36"/>
      <c r="FO163" s="36"/>
      <c r="FP163" s="36"/>
      <c r="FQ163" s="36"/>
      <c r="FR163" s="36"/>
      <c r="FS163" s="36"/>
      <c r="FT163" s="36"/>
      <c r="FU163" s="36"/>
      <c r="FV163" s="36"/>
      <c r="FW163" s="36"/>
      <c r="FX163" s="36"/>
      <c r="FY163" s="36"/>
      <c r="FZ163" s="36"/>
      <c r="GA163" s="36"/>
      <c r="GB163" s="319"/>
      <c r="GC163" s="179">
        <f t="shared" si="32"/>
        <v>0</v>
      </c>
      <c r="GD163" s="179">
        <f t="shared" si="33"/>
        <v>0</v>
      </c>
      <c r="GE163" s="179">
        <f t="shared" si="34"/>
        <v>0</v>
      </c>
      <c r="GF163" s="179">
        <f t="shared" si="35"/>
        <v>0</v>
      </c>
      <c r="GG163" s="179">
        <f t="shared" si="36"/>
        <v>0</v>
      </c>
    </row>
    <row r="164" spans="1:189" x14ac:dyDescent="0.35">
      <c r="A164" s="5" t="s">
        <v>1074</v>
      </c>
      <c r="B164" s="5" t="str">
        <f>IF(Technologies!B164&lt;&gt;0,Technologies!B164,"")</f>
        <v>Mobiliteit</v>
      </c>
      <c r="C164" s="5" t="str">
        <f>VLOOKUP($A164,Technologies!$A$7:$H$576,3,FALSE)</f>
        <v>Final</v>
      </c>
      <c r="D164" s="5" t="str">
        <f>VLOOKUP($A164,Technologies!$A$7:$H$576,4,FALSE)</f>
        <v>Transport</v>
      </c>
      <c r="E164" s="5" t="str">
        <f>VLOOKUP($A164,Technologies!$A$7:$H$576,6,FALSE)</f>
        <v>Light-Duty Vehicles</v>
      </c>
      <c r="F164" s="5" t="str">
        <f>VLOOKUP($A164,Technologies!$A$7:$H$576,7,FALSE)</f>
        <v>Electric Battery Vehicle FLEX - LDV</v>
      </c>
      <c r="G164" s="23"/>
      <c r="H164" s="23"/>
      <c r="I164" s="104" cm="1">
        <f t="array" ref="I164">-SUMPRODUCT((Feedstocks!$C$4:$C$141=A164)*Feedstocks!$E$4:$E$141,Feedstocks!$F$4:$F$141,Feedstocks!$H$4:$H$141,Feedstocks!$I$4:$I$141)</f>
        <v>0</v>
      </c>
      <c r="J164" s="104" cm="1">
        <f t="array" ref="J164">-SUMPRODUCT((Feedstocks!$C$4:$C$141=A164)*Feedstocks!$E$4:$E$141,Feedstocks!$H$4:$H$141,Feedstocks!$I$4:$I$141)</f>
        <v>0</v>
      </c>
      <c r="K164" s="104"/>
      <c r="L164" s="104"/>
      <c r="M164" s="23"/>
      <c r="N164" s="23" t="str">
        <f>VLOOKUP(E164,Activities!$A$9:$M$227,13,FALSE)</f>
        <v>NL</v>
      </c>
      <c r="O164" s="23"/>
      <c r="P164" s="79" t="s">
        <v>687</v>
      </c>
      <c r="Q164" s="35"/>
      <c r="R164" s="35"/>
      <c r="S164" s="35"/>
      <c r="T164" s="35"/>
      <c r="U164" s="35"/>
      <c r="V164" s="35"/>
      <c r="W164" s="35"/>
      <c r="X164" s="35"/>
      <c r="Y164" s="35"/>
      <c r="Z164" s="35"/>
      <c r="AA164" s="35"/>
      <c r="AB164" s="35"/>
      <c r="AC164" s="35"/>
      <c r="AD164" s="35"/>
      <c r="AE164" s="35"/>
      <c r="AF164" s="35"/>
      <c r="AG164" s="35"/>
      <c r="AH164" s="35"/>
      <c r="AI164" s="35"/>
      <c r="AJ164" s="35"/>
      <c r="AK164" s="35"/>
      <c r="AL164" s="35"/>
      <c r="AM164" s="35"/>
      <c r="AN164" s="35"/>
      <c r="AO164" s="35"/>
      <c r="AP164" s="35"/>
      <c r="AQ164" s="35"/>
      <c r="AR164" s="35"/>
      <c r="AS164" s="35"/>
      <c r="AT164" s="35"/>
      <c r="AU164" s="35"/>
      <c r="AV164" s="35"/>
      <c r="AW164" s="35"/>
      <c r="AX164" s="35"/>
      <c r="AY164" s="35"/>
      <c r="AZ164" s="35"/>
      <c r="BA164" s="35"/>
      <c r="BB164" s="35"/>
      <c r="BC164" s="35">
        <v>1</v>
      </c>
      <c r="BD164" s="35"/>
      <c r="BE164" s="35"/>
      <c r="BF164" s="35"/>
      <c r="BG164" s="35"/>
      <c r="BH164" s="35"/>
      <c r="BI164" s="35"/>
      <c r="BJ164" s="35"/>
      <c r="BK164" s="35"/>
      <c r="BL164" s="35"/>
      <c r="BM164" s="35"/>
      <c r="BN164" s="35"/>
      <c r="BO164" s="35"/>
      <c r="BP164" s="35"/>
      <c r="BQ164" s="35"/>
      <c r="BR164" s="35"/>
      <c r="BS164" s="35"/>
      <c r="BT164" s="35"/>
      <c r="BU164" s="35"/>
      <c r="BV164" s="35"/>
      <c r="BW164" s="35"/>
      <c r="BX164" s="35"/>
      <c r="BY164" s="35"/>
      <c r="BZ164" s="35"/>
      <c r="CA164" s="35"/>
      <c r="CB164" s="35"/>
      <c r="CC164" s="35"/>
      <c r="CD164" s="35"/>
      <c r="CE164" s="35"/>
      <c r="CF164" s="35"/>
      <c r="CG164" s="35"/>
      <c r="CH164" s="35"/>
      <c r="CI164" s="35"/>
      <c r="CJ164" s="35"/>
      <c r="CK164" s="35"/>
      <c r="CL164" s="35"/>
      <c r="CM164" s="35"/>
      <c r="CN164" s="35"/>
      <c r="CO164" s="35"/>
      <c r="CP164" s="35"/>
      <c r="CQ164" s="35"/>
      <c r="CR164" s="35"/>
      <c r="CS164" s="35"/>
      <c r="CT164" s="35"/>
      <c r="CU164" s="35"/>
      <c r="CV164" s="35"/>
      <c r="CW164" s="35"/>
      <c r="CX164" s="35"/>
      <c r="CY164" s="35"/>
      <c r="CZ164" s="35"/>
      <c r="DA164" s="35"/>
      <c r="DB164" s="35"/>
      <c r="DC164" s="35"/>
      <c r="DD164" s="35"/>
      <c r="DE164" s="35"/>
      <c r="DF164" s="35"/>
      <c r="DG164" s="35"/>
      <c r="DH164" s="35"/>
      <c r="DI164" s="35">
        <v>-1.1644743818433401</v>
      </c>
      <c r="DJ164" s="35"/>
      <c r="DK164" s="35"/>
      <c r="DL164" s="35"/>
      <c r="DM164" s="35"/>
      <c r="DN164" s="35"/>
      <c r="DO164" s="35"/>
      <c r="DP164" s="35"/>
      <c r="DQ164" s="35"/>
      <c r="DR164" s="35"/>
      <c r="DS164" s="35"/>
      <c r="DT164" s="35"/>
      <c r="DU164" s="35"/>
      <c r="DV164" s="35"/>
      <c r="DW164" s="35"/>
      <c r="DX164" s="35"/>
      <c r="DY164" s="35"/>
      <c r="DZ164" s="35"/>
      <c r="EA164" s="35"/>
      <c r="EB164" s="35"/>
      <c r="EC164" s="35"/>
      <c r="ED164" s="35"/>
      <c r="EE164" s="35"/>
      <c r="EF164" s="35"/>
      <c r="EG164" s="35"/>
      <c r="EH164" s="35"/>
      <c r="EI164" s="35"/>
      <c r="EJ164" s="35"/>
      <c r="EK164" s="35"/>
      <c r="EL164" s="35"/>
      <c r="EM164" s="35"/>
      <c r="EN164" s="35"/>
      <c r="EO164" s="35"/>
      <c r="EP164" s="35"/>
      <c r="EQ164" s="35"/>
      <c r="ER164" s="35"/>
      <c r="ES164" s="35"/>
      <c r="ET164" s="35"/>
      <c r="EU164" s="35"/>
      <c r="EV164" s="35"/>
      <c r="EW164" s="35"/>
      <c r="EX164" s="35"/>
      <c r="EY164" s="35"/>
      <c r="EZ164" s="35"/>
      <c r="FA164" s="35"/>
      <c r="FB164" s="35"/>
      <c r="FC164" s="35"/>
      <c r="FD164" s="35"/>
      <c r="FE164" s="35"/>
      <c r="FF164" s="35"/>
      <c r="FG164" s="35"/>
      <c r="FH164" s="35"/>
      <c r="FI164" s="35"/>
      <c r="FJ164" s="35"/>
      <c r="FK164" s="35"/>
      <c r="FL164" s="35"/>
      <c r="FM164" s="35"/>
      <c r="FN164" s="35"/>
      <c r="FO164" s="35"/>
      <c r="FP164" s="35"/>
      <c r="FQ164" s="35"/>
      <c r="FR164" s="35"/>
      <c r="FS164" s="35"/>
      <c r="FT164" s="35"/>
      <c r="FU164" s="35"/>
      <c r="FV164" s="35"/>
      <c r="FW164" s="35"/>
      <c r="FX164" s="35"/>
      <c r="FY164" s="35"/>
      <c r="FZ164" s="35"/>
      <c r="GA164" s="35"/>
      <c r="GB164" s="318"/>
      <c r="GC164" s="178">
        <f t="shared" si="32"/>
        <v>0</v>
      </c>
      <c r="GD164" s="178">
        <f t="shared" si="33"/>
        <v>0</v>
      </c>
      <c r="GE164" s="178">
        <f t="shared" si="34"/>
        <v>0</v>
      </c>
      <c r="GF164" s="178">
        <f t="shared" si="35"/>
        <v>0</v>
      </c>
      <c r="GG164" s="178">
        <f t="shared" si="36"/>
        <v>0</v>
      </c>
    </row>
    <row r="165" spans="1:189" x14ac:dyDescent="0.35">
      <c r="A165" s="6" t="s">
        <v>1076</v>
      </c>
      <c r="B165" s="6" t="str">
        <f>IF(Technologies!B165&lt;&gt;0,Technologies!B165,"")</f>
        <v>Mobiliteit</v>
      </c>
      <c r="C165" s="6" t="str">
        <f>VLOOKUP($A165,Technologies!$A$7:$H$576,3,FALSE)</f>
        <v>Final</v>
      </c>
      <c r="D165" s="6" t="str">
        <f>VLOOKUP($A165,Technologies!$A$7:$H$576,4,FALSE)</f>
        <v>Transport</v>
      </c>
      <c r="E165" s="6" t="str">
        <f>VLOOKUP($A165,Technologies!$A$7:$H$576,6,FALSE)</f>
        <v>Light-Duty Vehicles</v>
      </c>
      <c r="F165" s="48" t="str">
        <f>VLOOKUP($A165,Technologies!$A$7:$H$576,7,FALSE)</f>
        <v>Hydrogen Fuel Cell Vehicle - LDV</v>
      </c>
      <c r="G165" s="22"/>
      <c r="H165" s="22"/>
      <c r="I165" s="103" cm="1">
        <f t="array" ref="I165">-SUMPRODUCT((Feedstocks!$C$4:$C$141=A165)*Feedstocks!$E$4:$E$141,Feedstocks!$F$4:$F$141,Feedstocks!$H$4:$H$141,Feedstocks!$I$4:$I$141)</f>
        <v>0</v>
      </c>
      <c r="J165" s="103" cm="1">
        <f t="array" ref="J165">-SUMPRODUCT((Feedstocks!$C$4:$C$141=A165)*Feedstocks!$E$4:$E$141,Feedstocks!$H$4:$H$141,Feedstocks!$I$4:$I$141)</f>
        <v>0</v>
      </c>
      <c r="K165" s="103"/>
      <c r="L165" s="103"/>
      <c r="M165" s="22"/>
      <c r="N165" s="22" t="str">
        <f>VLOOKUP(E165,Activities!$A$9:$M$227,13,FALSE)</f>
        <v>NL</v>
      </c>
      <c r="O165" s="22"/>
      <c r="P165" s="80" t="s">
        <v>687</v>
      </c>
      <c r="Q165" s="36"/>
      <c r="R165" s="36"/>
      <c r="S165" s="36"/>
      <c r="T165" s="36"/>
      <c r="U165" s="36"/>
      <c r="V165" s="36"/>
      <c r="W165" s="36"/>
      <c r="X165" s="36"/>
      <c r="Y165" s="36"/>
      <c r="Z165" s="36"/>
      <c r="AA165" s="36"/>
      <c r="AB165" s="36"/>
      <c r="AC165" s="36"/>
      <c r="AD165" s="36"/>
      <c r="AE165" s="36"/>
      <c r="AF165" s="36"/>
      <c r="AG165" s="36"/>
      <c r="AH165" s="36"/>
      <c r="AI165" s="36"/>
      <c r="AJ165" s="36"/>
      <c r="AK165" s="36"/>
      <c r="AL165" s="36"/>
      <c r="AM165" s="36"/>
      <c r="AN165" s="36"/>
      <c r="AO165" s="36"/>
      <c r="AP165" s="36"/>
      <c r="AQ165" s="36"/>
      <c r="AR165" s="36"/>
      <c r="AS165" s="36"/>
      <c r="AT165" s="36"/>
      <c r="AU165" s="36"/>
      <c r="AV165" s="36"/>
      <c r="AW165" s="36"/>
      <c r="AX165" s="36"/>
      <c r="AY165" s="36"/>
      <c r="AZ165" s="36"/>
      <c r="BA165" s="36"/>
      <c r="BB165" s="36"/>
      <c r="BC165" s="36">
        <v>1</v>
      </c>
      <c r="BD165" s="36"/>
      <c r="BE165" s="36"/>
      <c r="BF165" s="36"/>
      <c r="BG165" s="36"/>
      <c r="BH165" s="36"/>
      <c r="BI165" s="36"/>
      <c r="BJ165" s="36"/>
      <c r="BK165" s="36"/>
      <c r="BL165" s="36"/>
      <c r="BM165" s="36"/>
      <c r="BN165" s="36"/>
      <c r="BO165" s="36"/>
      <c r="BP165" s="36"/>
      <c r="BQ165" s="36"/>
      <c r="BR165" s="36"/>
      <c r="BS165" s="36"/>
      <c r="BT165" s="36"/>
      <c r="BU165" s="36"/>
      <c r="BV165" s="36"/>
      <c r="BW165" s="36"/>
      <c r="BX165" s="36"/>
      <c r="BY165" s="36"/>
      <c r="BZ165" s="36"/>
      <c r="CA165" s="36"/>
      <c r="CB165" s="36"/>
      <c r="CC165" s="36"/>
      <c r="CD165" s="36"/>
      <c r="CE165" s="36"/>
      <c r="CF165" s="36"/>
      <c r="CG165" s="36"/>
      <c r="CH165" s="36"/>
      <c r="CI165" s="36"/>
      <c r="CJ165" s="36"/>
      <c r="CK165" s="36"/>
      <c r="CL165" s="36"/>
      <c r="CM165" s="36"/>
      <c r="CN165" s="36"/>
      <c r="CO165" s="36"/>
      <c r="CP165" s="36"/>
      <c r="CQ165" s="36"/>
      <c r="CR165" s="36"/>
      <c r="CS165" s="36"/>
      <c r="CT165" s="36"/>
      <c r="CU165" s="36"/>
      <c r="CV165" s="36"/>
      <c r="CW165" s="36"/>
      <c r="CX165" s="36"/>
      <c r="CY165" s="36"/>
      <c r="CZ165" s="36"/>
      <c r="DA165" s="36"/>
      <c r="DB165" s="36"/>
      <c r="DC165" s="36"/>
      <c r="DD165" s="36"/>
      <c r="DE165" s="36"/>
      <c r="DF165" s="36"/>
      <c r="DG165" s="36"/>
      <c r="DH165" s="36"/>
      <c r="DI165" s="36"/>
      <c r="DJ165" s="36"/>
      <c r="DK165" s="36"/>
      <c r="DL165" s="36"/>
      <c r="DM165" s="36"/>
      <c r="DN165" s="36"/>
      <c r="DO165" s="36"/>
      <c r="DP165" s="36"/>
      <c r="DQ165" s="36"/>
      <c r="DR165" s="36"/>
      <c r="DS165" s="36"/>
      <c r="DT165" s="36"/>
      <c r="DU165" s="36"/>
      <c r="DV165" s="36"/>
      <c r="DW165" s="36"/>
      <c r="DX165" s="36"/>
      <c r="DY165" s="36"/>
      <c r="DZ165" s="36"/>
      <c r="EA165" s="36"/>
      <c r="EB165" s="36"/>
      <c r="EC165" s="36"/>
      <c r="ED165" s="36"/>
      <c r="EE165" s="36"/>
      <c r="EF165" s="36"/>
      <c r="EG165" s="36"/>
      <c r="EH165" s="36"/>
      <c r="EI165" s="36"/>
      <c r="EJ165" s="36"/>
      <c r="EK165" s="36"/>
      <c r="EL165" s="36"/>
      <c r="EM165" s="36"/>
      <c r="EN165" s="36">
        <v>-1.488</v>
      </c>
      <c r="EO165" s="36"/>
      <c r="EP165" s="36"/>
      <c r="EQ165" s="36"/>
      <c r="ER165" s="36"/>
      <c r="ES165" s="36"/>
      <c r="ET165" s="36"/>
      <c r="EU165" s="36"/>
      <c r="EV165" s="36"/>
      <c r="EW165" s="36"/>
      <c r="EX165" s="36"/>
      <c r="EY165" s="36"/>
      <c r="EZ165" s="36"/>
      <c r="FA165" s="36"/>
      <c r="FB165" s="36"/>
      <c r="FC165" s="36"/>
      <c r="FD165" s="36"/>
      <c r="FE165" s="36"/>
      <c r="FF165" s="36"/>
      <c r="FG165" s="36"/>
      <c r="FH165" s="36"/>
      <c r="FI165" s="36"/>
      <c r="FJ165" s="36"/>
      <c r="FK165" s="36"/>
      <c r="FL165" s="36"/>
      <c r="FM165" s="36"/>
      <c r="FN165" s="36"/>
      <c r="FO165" s="36"/>
      <c r="FP165" s="36"/>
      <c r="FQ165" s="36"/>
      <c r="FR165" s="36"/>
      <c r="FS165" s="36"/>
      <c r="FT165" s="36"/>
      <c r="FU165" s="36"/>
      <c r="FV165" s="36"/>
      <c r="FW165" s="36"/>
      <c r="FX165" s="36"/>
      <c r="FY165" s="36"/>
      <c r="FZ165" s="36"/>
      <c r="GA165" s="36"/>
      <c r="GB165" s="319"/>
      <c r="GC165" s="179">
        <f t="shared" si="32"/>
        <v>0</v>
      </c>
      <c r="GD165" s="179">
        <f t="shared" si="33"/>
        <v>0</v>
      </c>
      <c r="GE165" s="179">
        <f t="shared" si="34"/>
        <v>0</v>
      </c>
      <c r="GF165" s="179">
        <f t="shared" si="35"/>
        <v>0</v>
      </c>
      <c r="GG165" s="179">
        <f t="shared" si="36"/>
        <v>0</v>
      </c>
    </row>
    <row r="166" spans="1:189" x14ac:dyDescent="0.35">
      <c r="A166" s="5" t="s">
        <v>1078</v>
      </c>
      <c r="B166" s="5" t="str">
        <f>IF(Technologies!B166&lt;&gt;0,Technologies!B166,"")</f>
        <v>Mobiliteit</v>
      </c>
      <c r="C166" s="5" t="str">
        <f>VLOOKUP($A166,Technologies!$A$7:$H$576,3,FALSE)</f>
        <v>Final</v>
      </c>
      <c r="D166" s="5" t="str">
        <f>VLOOKUP($A166,Technologies!$A$7:$H$576,4,FALSE)</f>
        <v>Transport</v>
      </c>
      <c r="E166" s="5" t="str">
        <f>VLOOKUP($A166,Technologies!$A$7:$H$576,6,FALSE)</f>
        <v>Heavy-Duty Vehicles</v>
      </c>
      <c r="F166" s="5" t="str">
        <f>VLOOKUP($A166,Technologies!$A$7:$H$576,7,FALSE)</f>
        <v>ICE 2010 norm Vehicle - HDV</v>
      </c>
      <c r="G166" s="23"/>
      <c r="H166" s="23"/>
      <c r="I166" s="104" cm="1">
        <f t="array" ref="I166">-SUMPRODUCT((Feedstocks!$C$4:$C$141=A166)*Feedstocks!$E$4:$E$141,Feedstocks!$F$4:$F$141,Feedstocks!$H$4:$H$141,Feedstocks!$I$4:$I$141)</f>
        <v>0</v>
      </c>
      <c r="J166" s="104" cm="1">
        <f t="array" ref="J166">-SUMPRODUCT((Feedstocks!$C$4:$C$141=A166)*Feedstocks!$E$4:$E$141,Feedstocks!$H$4:$H$141,Feedstocks!$I$4:$I$141)</f>
        <v>0</v>
      </c>
      <c r="K166" s="104"/>
      <c r="L166" s="104"/>
      <c r="M166" s="23"/>
      <c r="N166" s="23" t="str">
        <f>VLOOKUP(E166,Activities!$A$9:$M$227,13,FALSE)</f>
        <v>NL</v>
      </c>
      <c r="O166" s="23"/>
      <c r="P166" s="79" t="s">
        <v>452</v>
      </c>
      <c r="Q166" s="35"/>
      <c r="R166" s="35"/>
      <c r="S166" s="35"/>
      <c r="T166" s="35"/>
      <c r="U166" s="35"/>
      <c r="V166" s="35"/>
      <c r="W166" s="35"/>
      <c r="X166" s="35"/>
      <c r="Y166" s="35"/>
      <c r="Z166" s="35"/>
      <c r="AA166" s="35"/>
      <c r="AB166" s="35"/>
      <c r="AC166" s="35"/>
      <c r="AD166" s="35"/>
      <c r="AE166" s="35"/>
      <c r="AF166" s="35"/>
      <c r="AG166" s="35"/>
      <c r="AH166" s="35"/>
      <c r="AI166" s="35"/>
      <c r="AJ166" s="35"/>
      <c r="AK166" s="35"/>
      <c r="AL166" s="35"/>
      <c r="AM166" s="35"/>
      <c r="AN166" s="35"/>
      <c r="AO166" s="35"/>
      <c r="AP166" s="35"/>
      <c r="AQ166" s="35"/>
      <c r="AR166" s="35"/>
      <c r="AS166" s="35"/>
      <c r="AT166" s="35"/>
      <c r="AU166" s="35"/>
      <c r="AV166" s="35"/>
      <c r="AW166" s="35"/>
      <c r="AX166" s="35"/>
      <c r="AY166" s="35"/>
      <c r="AZ166" s="35"/>
      <c r="BA166" s="35"/>
      <c r="BB166" s="35"/>
      <c r="BC166" s="35"/>
      <c r="BD166" s="35">
        <v>1</v>
      </c>
      <c r="BE166" s="35"/>
      <c r="BF166" s="35"/>
      <c r="BG166" s="35"/>
      <c r="BH166" s="35"/>
      <c r="BI166" s="35"/>
      <c r="BJ166" s="35"/>
      <c r="BK166" s="35"/>
      <c r="BL166" s="35"/>
      <c r="BM166" s="35"/>
      <c r="BN166" s="35"/>
      <c r="BO166" s="35"/>
      <c r="BP166" s="35"/>
      <c r="BQ166" s="35"/>
      <c r="BR166" s="35"/>
      <c r="BS166" s="35"/>
      <c r="BT166" s="35"/>
      <c r="BU166" s="35"/>
      <c r="BV166" s="35"/>
      <c r="BW166" s="35"/>
      <c r="BX166" s="35"/>
      <c r="BY166" s="35"/>
      <c r="BZ166" s="35"/>
      <c r="CA166" s="35"/>
      <c r="CB166" s="35"/>
      <c r="CC166" s="35"/>
      <c r="CD166" s="35"/>
      <c r="CE166" s="35"/>
      <c r="CF166" s="35"/>
      <c r="CG166" s="35"/>
      <c r="CH166" s="35"/>
      <c r="CI166" s="35"/>
      <c r="CJ166" s="35"/>
      <c r="CK166" s="35"/>
      <c r="CL166" s="35"/>
      <c r="CM166" s="35"/>
      <c r="CN166" s="35"/>
      <c r="CO166" s="35"/>
      <c r="CP166" s="35"/>
      <c r="CQ166" s="35"/>
      <c r="CR166" s="35"/>
      <c r="CS166" s="35"/>
      <c r="CT166" s="35"/>
      <c r="CU166" s="35"/>
      <c r="CV166" s="35"/>
      <c r="CW166" s="35"/>
      <c r="CX166" s="35"/>
      <c r="CY166" s="35"/>
      <c r="CZ166" s="35"/>
      <c r="DA166" s="35"/>
      <c r="DB166" s="35"/>
      <c r="DC166" s="35"/>
      <c r="DD166" s="35"/>
      <c r="DE166" s="35"/>
      <c r="DF166" s="35"/>
      <c r="DG166" s="35"/>
      <c r="DH166" s="35"/>
      <c r="DI166" s="35"/>
      <c r="DJ166" s="35"/>
      <c r="DK166" s="35"/>
      <c r="DL166" s="35"/>
      <c r="DM166" s="35"/>
      <c r="DN166" s="35"/>
      <c r="DO166" s="35"/>
      <c r="DP166" s="35"/>
      <c r="DQ166" s="35"/>
      <c r="DR166" s="35"/>
      <c r="DS166" s="35"/>
      <c r="DT166" s="35"/>
      <c r="DU166" s="35">
        <v>-15.89</v>
      </c>
      <c r="DV166" s="35"/>
      <c r="DW166" s="35"/>
      <c r="DX166" s="35"/>
      <c r="DY166" s="35"/>
      <c r="DZ166" s="35"/>
      <c r="EA166" s="35"/>
      <c r="EB166" s="35"/>
      <c r="EC166" s="35"/>
      <c r="ED166" s="35"/>
      <c r="EE166" s="35"/>
      <c r="EF166" s="35"/>
      <c r="EG166" s="35"/>
      <c r="EH166" s="35"/>
      <c r="EI166" s="35"/>
      <c r="EJ166" s="35"/>
      <c r="EK166" s="35"/>
      <c r="EL166" s="35"/>
      <c r="EM166" s="35"/>
      <c r="EN166" s="35"/>
      <c r="EO166" s="35"/>
      <c r="EP166" s="35"/>
      <c r="EQ166" s="35"/>
      <c r="ER166" s="35"/>
      <c r="ES166" s="35"/>
      <c r="ET166" s="35"/>
      <c r="EU166" s="35"/>
      <c r="EV166" s="35"/>
      <c r="EW166" s="35"/>
      <c r="EX166" s="35"/>
      <c r="EY166" s="35"/>
      <c r="EZ166" s="35"/>
      <c r="FA166" s="35"/>
      <c r="FB166" s="35"/>
      <c r="FC166" s="35"/>
      <c r="FD166" s="35"/>
      <c r="FE166" s="35"/>
      <c r="FF166" s="35"/>
      <c r="FG166" s="35"/>
      <c r="FH166" s="35"/>
      <c r="FI166" s="35"/>
      <c r="FJ166" s="35"/>
      <c r="FK166" s="35"/>
      <c r="FL166" s="35"/>
      <c r="FM166" s="35"/>
      <c r="FN166" s="35"/>
      <c r="FO166" s="35"/>
      <c r="FP166" s="35"/>
      <c r="FQ166" s="35"/>
      <c r="FR166" s="35"/>
      <c r="FS166" s="35"/>
      <c r="FT166" s="35"/>
      <c r="FU166" s="35"/>
      <c r="FV166" s="35"/>
      <c r="FW166" s="35"/>
      <c r="FX166" s="35"/>
      <c r="FY166" s="35"/>
      <c r="FZ166" s="35"/>
      <c r="GA166" s="35"/>
      <c r="GB166" s="318"/>
      <c r="GC166" s="178">
        <f t="shared" si="32"/>
        <v>0</v>
      </c>
      <c r="GD166" s="178">
        <f t="shared" si="33"/>
        <v>0</v>
      </c>
      <c r="GE166" s="178">
        <f t="shared" si="34"/>
        <v>1.1599999999999999</v>
      </c>
      <c r="GF166" s="178">
        <f t="shared" si="35"/>
        <v>0</v>
      </c>
      <c r="GG166" s="178">
        <f t="shared" si="36"/>
        <v>0</v>
      </c>
    </row>
    <row r="167" spans="1:189" x14ac:dyDescent="0.35">
      <c r="A167" s="6" t="s">
        <v>1081</v>
      </c>
      <c r="B167" s="6" t="str">
        <f>IF(Technologies!B167&lt;&gt;0,Technologies!B167,"")</f>
        <v>Mobiliteit</v>
      </c>
      <c r="C167" s="6" t="str">
        <f>VLOOKUP($A167,Technologies!$A$7:$H$576,3,FALSE)</f>
        <v>Final</v>
      </c>
      <c r="D167" s="6" t="str">
        <f>VLOOKUP($A167,Technologies!$A$7:$H$576,4,FALSE)</f>
        <v>Transport</v>
      </c>
      <c r="E167" s="6" t="str">
        <f>VLOOKUP($A167,Technologies!$A$7:$H$576,6,FALSE)</f>
        <v>Heavy-Duty Vehicles</v>
      </c>
      <c r="F167" s="48" t="str">
        <f>VLOOKUP($A167,Technologies!$A$7:$H$576,7,FALSE)</f>
        <v>ICE efficient Vehicle - HDV</v>
      </c>
      <c r="G167" s="22"/>
      <c r="H167" s="22"/>
      <c r="I167" s="103" cm="1">
        <f t="array" ref="I167">-SUMPRODUCT((Feedstocks!$C$4:$C$141=A167)*Feedstocks!$E$4:$E$141,Feedstocks!$F$4:$F$141,Feedstocks!$H$4:$H$141,Feedstocks!$I$4:$I$141)</f>
        <v>0</v>
      </c>
      <c r="J167" s="103" cm="1">
        <f t="array" ref="J167">-SUMPRODUCT((Feedstocks!$C$4:$C$141=A167)*Feedstocks!$E$4:$E$141,Feedstocks!$H$4:$H$141,Feedstocks!$I$4:$I$141)</f>
        <v>0</v>
      </c>
      <c r="K167" s="103"/>
      <c r="L167" s="103"/>
      <c r="M167" s="22"/>
      <c r="N167" s="22" t="str">
        <f>VLOOKUP(E167,Activities!$A$9:$M$227,13,FALSE)</f>
        <v>NL</v>
      </c>
      <c r="O167" s="22"/>
      <c r="P167" s="80" t="s">
        <v>1808</v>
      </c>
      <c r="Q167" s="36"/>
      <c r="R167" s="36"/>
      <c r="S167" s="36"/>
      <c r="T167" s="36"/>
      <c r="U167" s="36"/>
      <c r="V167" s="36"/>
      <c r="W167" s="36"/>
      <c r="X167" s="36"/>
      <c r="Y167" s="36"/>
      <c r="Z167" s="36"/>
      <c r="AA167" s="36"/>
      <c r="AB167" s="36"/>
      <c r="AC167" s="36"/>
      <c r="AD167" s="36"/>
      <c r="AE167" s="36"/>
      <c r="AF167" s="36"/>
      <c r="AG167" s="36"/>
      <c r="AH167" s="36"/>
      <c r="AI167" s="36"/>
      <c r="AJ167" s="36"/>
      <c r="AK167" s="36"/>
      <c r="AL167" s="36"/>
      <c r="AM167" s="36"/>
      <c r="AN167" s="36"/>
      <c r="AO167" s="36"/>
      <c r="AP167" s="36"/>
      <c r="AQ167" s="36"/>
      <c r="AR167" s="36"/>
      <c r="AS167" s="36"/>
      <c r="AT167" s="36"/>
      <c r="AU167" s="36"/>
      <c r="AV167" s="36"/>
      <c r="AW167" s="36"/>
      <c r="AX167" s="36"/>
      <c r="AY167" s="36"/>
      <c r="AZ167" s="36"/>
      <c r="BA167" s="36"/>
      <c r="BB167" s="36"/>
      <c r="BC167" s="36"/>
      <c r="BD167" s="36">
        <v>1</v>
      </c>
      <c r="BE167" s="36"/>
      <c r="BF167" s="36"/>
      <c r="BG167" s="36"/>
      <c r="BH167" s="36"/>
      <c r="BI167" s="36"/>
      <c r="BJ167" s="36"/>
      <c r="BK167" s="36"/>
      <c r="BL167" s="36"/>
      <c r="BM167" s="36"/>
      <c r="BN167" s="36"/>
      <c r="BO167" s="36"/>
      <c r="BP167" s="36"/>
      <c r="BQ167" s="36"/>
      <c r="BR167" s="36"/>
      <c r="BS167" s="36"/>
      <c r="BT167" s="36"/>
      <c r="BU167" s="36"/>
      <c r="BV167" s="36"/>
      <c r="BW167" s="36"/>
      <c r="BX167" s="36"/>
      <c r="BY167" s="36"/>
      <c r="BZ167" s="36"/>
      <c r="CA167" s="36"/>
      <c r="CB167" s="36"/>
      <c r="CC167" s="36"/>
      <c r="CD167" s="36"/>
      <c r="CE167" s="36"/>
      <c r="CF167" s="36"/>
      <c r="CG167" s="36"/>
      <c r="CH167" s="36"/>
      <c r="CI167" s="36"/>
      <c r="CJ167" s="36"/>
      <c r="CK167" s="36"/>
      <c r="CL167" s="36"/>
      <c r="CM167" s="36"/>
      <c r="CN167" s="36"/>
      <c r="CO167" s="36"/>
      <c r="CP167" s="36"/>
      <c r="CQ167" s="36"/>
      <c r="CR167" s="36"/>
      <c r="CS167" s="36"/>
      <c r="CT167" s="36"/>
      <c r="CU167" s="36"/>
      <c r="CV167" s="36"/>
      <c r="CW167" s="36"/>
      <c r="CX167" s="36"/>
      <c r="CY167" s="36"/>
      <c r="CZ167" s="36"/>
      <c r="DA167" s="36"/>
      <c r="DB167" s="36"/>
      <c r="DC167" s="36"/>
      <c r="DD167" s="36"/>
      <c r="DE167" s="36"/>
      <c r="DF167" s="36"/>
      <c r="DG167" s="36"/>
      <c r="DH167" s="36"/>
      <c r="DI167" s="36"/>
      <c r="DJ167" s="36"/>
      <c r="DK167" s="36"/>
      <c r="DL167" s="36"/>
      <c r="DM167" s="36"/>
      <c r="DN167" s="36"/>
      <c r="DO167" s="36"/>
      <c r="DP167" s="36"/>
      <c r="DQ167" s="36"/>
      <c r="DR167" s="36"/>
      <c r="DS167" s="36"/>
      <c r="DT167" s="36"/>
      <c r="DU167" s="36">
        <v>-13.71</v>
      </c>
      <c r="DV167" s="36"/>
      <c r="DW167" s="36"/>
      <c r="DX167" s="36"/>
      <c r="DY167" s="36"/>
      <c r="DZ167" s="36"/>
      <c r="EA167" s="36"/>
      <c r="EB167" s="36"/>
      <c r="EC167" s="36"/>
      <c r="ED167" s="36"/>
      <c r="EE167" s="36"/>
      <c r="EF167" s="36"/>
      <c r="EG167" s="36"/>
      <c r="EH167" s="36"/>
      <c r="EI167" s="36"/>
      <c r="EJ167" s="36"/>
      <c r="EK167" s="36"/>
      <c r="EL167" s="36"/>
      <c r="EM167" s="36"/>
      <c r="EN167" s="36"/>
      <c r="EO167" s="36"/>
      <c r="EP167" s="36"/>
      <c r="EQ167" s="36"/>
      <c r="ER167" s="36"/>
      <c r="ES167" s="36"/>
      <c r="ET167" s="36"/>
      <c r="EU167" s="36"/>
      <c r="EV167" s="36"/>
      <c r="EW167" s="36"/>
      <c r="EX167" s="36"/>
      <c r="EY167" s="36"/>
      <c r="EZ167" s="36"/>
      <c r="FA167" s="36"/>
      <c r="FB167" s="36"/>
      <c r="FC167" s="36"/>
      <c r="FD167" s="36"/>
      <c r="FE167" s="36"/>
      <c r="FF167" s="36"/>
      <c r="FG167" s="36"/>
      <c r="FH167" s="36"/>
      <c r="FI167" s="36"/>
      <c r="FJ167" s="36"/>
      <c r="FK167" s="36"/>
      <c r="FL167" s="36"/>
      <c r="FM167" s="36"/>
      <c r="FN167" s="36"/>
      <c r="FO167" s="36"/>
      <c r="FP167" s="36"/>
      <c r="FQ167" s="36"/>
      <c r="FR167" s="36"/>
      <c r="FS167" s="36"/>
      <c r="FT167" s="36"/>
      <c r="FU167" s="36"/>
      <c r="FV167" s="36"/>
      <c r="FW167" s="36"/>
      <c r="FX167" s="36"/>
      <c r="FY167" s="36"/>
      <c r="FZ167" s="36"/>
      <c r="GA167" s="36"/>
      <c r="GB167" s="319"/>
      <c r="GC167" s="179">
        <f t="shared" si="32"/>
        <v>0</v>
      </c>
      <c r="GD167" s="179">
        <f t="shared" si="33"/>
        <v>0</v>
      </c>
      <c r="GE167" s="179">
        <f t="shared" si="34"/>
        <v>1.0007999999999999</v>
      </c>
      <c r="GF167" s="179">
        <f t="shared" si="35"/>
        <v>0</v>
      </c>
      <c r="GG167" s="179">
        <f t="shared" si="36"/>
        <v>0</v>
      </c>
    </row>
    <row r="168" spans="1:189" x14ac:dyDescent="0.35">
      <c r="A168" s="5" t="s">
        <v>1083</v>
      </c>
      <c r="B168" s="6" t="str">
        <f>IF(Technologies!B168&lt;&gt;0,Technologies!B168,"")</f>
        <v>Mobiliteit</v>
      </c>
      <c r="C168" s="6" t="str">
        <f>VLOOKUP($A168,Technologies!$A$7:$H$576,3,FALSE)</f>
        <v>Final</v>
      </c>
      <c r="D168" s="6" t="str">
        <f>VLOOKUP($A168,Technologies!$A$7:$H$576,4,FALSE)</f>
        <v>Transport</v>
      </c>
      <c r="E168" s="6" t="str">
        <f>VLOOKUP($A168,Technologies!$A$7:$H$576,6,FALSE)</f>
        <v>Heavy-Duty Vehicles</v>
      </c>
      <c r="F168" s="48" t="str">
        <f>VLOOKUP($A168,Technologies!$A$7:$H$576,7,FALSE)</f>
        <v>ICE Bio Diesel Vehicle - HDV</v>
      </c>
      <c r="G168" s="22"/>
      <c r="H168" s="22"/>
      <c r="I168" s="103" cm="1">
        <f t="array" ref="I168">-SUMPRODUCT((Feedstocks!$C$4:$C$141=A168)*Feedstocks!$E$4:$E$141,Feedstocks!$F$4:$F$141,Feedstocks!$H$4:$H$141,Feedstocks!$I$4:$I$141)</f>
        <v>0</v>
      </c>
      <c r="J168" s="103" cm="1">
        <f t="array" ref="J168">-SUMPRODUCT((Feedstocks!$C$4:$C$141=A168)*Feedstocks!$E$4:$E$141,Feedstocks!$H$4:$H$141,Feedstocks!$I$4:$I$141)</f>
        <v>0</v>
      </c>
      <c r="K168" s="103"/>
      <c r="L168" s="103"/>
      <c r="M168" s="22"/>
      <c r="N168" s="22" t="str">
        <f>VLOOKUP(E168,Activities!$A$9:$M$227,13,FALSE)</f>
        <v>NL</v>
      </c>
      <c r="O168" s="22"/>
      <c r="P168" s="80" t="s">
        <v>1808</v>
      </c>
      <c r="Q168" s="36"/>
      <c r="R168" s="36"/>
      <c r="S168" s="36"/>
      <c r="T168" s="36"/>
      <c r="U168" s="36"/>
      <c r="V168" s="36"/>
      <c r="W168" s="36"/>
      <c r="X168" s="36"/>
      <c r="Y168" s="36"/>
      <c r="Z168" s="36"/>
      <c r="AA168" s="36"/>
      <c r="AB168" s="36"/>
      <c r="AC168" s="36"/>
      <c r="AD168" s="36"/>
      <c r="AE168" s="36"/>
      <c r="AF168" s="36"/>
      <c r="AG168" s="36"/>
      <c r="AH168" s="36"/>
      <c r="AI168" s="36"/>
      <c r="AJ168" s="36"/>
      <c r="AK168" s="36"/>
      <c r="AL168" s="36"/>
      <c r="AM168" s="36"/>
      <c r="AN168" s="36"/>
      <c r="AO168" s="36"/>
      <c r="AP168" s="36"/>
      <c r="AQ168" s="36"/>
      <c r="AR168" s="36"/>
      <c r="AS168" s="36"/>
      <c r="AT168" s="36"/>
      <c r="AU168" s="36"/>
      <c r="AV168" s="36"/>
      <c r="AW168" s="36"/>
      <c r="AX168" s="36"/>
      <c r="AY168" s="36"/>
      <c r="AZ168" s="36"/>
      <c r="BA168" s="36"/>
      <c r="BB168" s="36"/>
      <c r="BC168" s="36"/>
      <c r="BD168" s="36">
        <v>1</v>
      </c>
      <c r="BE168" s="36"/>
      <c r="BF168" s="36"/>
      <c r="BG168" s="36"/>
      <c r="BH168" s="36"/>
      <c r="BI168" s="36"/>
      <c r="BJ168" s="36"/>
      <c r="BK168" s="36"/>
      <c r="BL168" s="36"/>
      <c r="BM168" s="36"/>
      <c r="BN168" s="36"/>
      <c r="BO168" s="36"/>
      <c r="BP168" s="36"/>
      <c r="BQ168" s="36"/>
      <c r="BR168" s="36"/>
      <c r="BS168" s="36"/>
      <c r="BT168" s="36"/>
      <c r="BU168" s="36"/>
      <c r="BV168" s="36"/>
      <c r="BW168" s="36"/>
      <c r="BX168" s="36"/>
      <c r="BY168" s="36"/>
      <c r="BZ168" s="36"/>
      <c r="CA168" s="36"/>
      <c r="CB168" s="36"/>
      <c r="CC168" s="36"/>
      <c r="CD168" s="36"/>
      <c r="CE168" s="36"/>
      <c r="CF168" s="36"/>
      <c r="CG168" s="36"/>
      <c r="CH168" s="36"/>
      <c r="CI168" s="36"/>
      <c r="CJ168" s="36"/>
      <c r="CK168" s="36"/>
      <c r="CL168" s="36"/>
      <c r="CM168" s="36"/>
      <c r="CN168" s="36"/>
      <c r="CO168" s="36"/>
      <c r="CP168" s="36"/>
      <c r="CQ168" s="36"/>
      <c r="CR168" s="36"/>
      <c r="CS168" s="36"/>
      <c r="CT168" s="36"/>
      <c r="CU168" s="36"/>
      <c r="CV168" s="36"/>
      <c r="CW168" s="36"/>
      <c r="CX168" s="36"/>
      <c r="CY168" s="36"/>
      <c r="CZ168" s="36"/>
      <c r="DA168" s="36"/>
      <c r="DB168" s="36"/>
      <c r="DC168" s="36"/>
      <c r="DD168" s="36"/>
      <c r="DE168" s="36"/>
      <c r="DF168" s="36"/>
      <c r="DG168" s="36"/>
      <c r="DH168" s="36"/>
      <c r="DI168" s="36"/>
      <c r="DJ168" s="36"/>
      <c r="DK168" s="36"/>
      <c r="DL168" s="36"/>
      <c r="DM168" s="36"/>
      <c r="DN168" s="36"/>
      <c r="DO168" s="36"/>
      <c r="DP168" s="36"/>
      <c r="DQ168" s="36"/>
      <c r="DR168" s="36"/>
      <c r="DS168" s="36"/>
      <c r="DT168" s="36"/>
      <c r="DU168" s="36"/>
      <c r="DV168" s="36"/>
      <c r="DW168" s="36"/>
      <c r="DX168" s="36"/>
      <c r="DY168" s="36"/>
      <c r="DZ168" s="36"/>
      <c r="EA168" s="36">
        <v>-13.71</v>
      </c>
      <c r="EB168" s="36"/>
      <c r="EC168" s="36"/>
      <c r="ED168" s="36"/>
      <c r="EE168" s="36"/>
      <c r="EF168" s="36"/>
      <c r="EG168" s="36"/>
      <c r="EH168" s="36"/>
      <c r="EI168" s="36"/>
      <c r="EJ168" s="36"/>
      <c r="EK168" s="36"/>
      <c r="EL168" s="36"/>
      <c r="EM168" s="36"/>
      <c r="EN168" s="36"/>
      <c r="EO168" s="36"/>
      <c r="EP168" s="36"/>
      <c r="EQ168" s="36"/>
      <c r="ER168" s="36"/>
      <c r="ES168" s="36"/>
      <c r="ET168" s="36"/>
      <c r="EU168" s="36"/>
      <c r="EV168" s="36"/>
      <c r="EW168" s="36"/>
      <c r="EX168" s="36"/>
      <c r="EY168" s="36"/>
      <c r="EZ168" s="36"/>
      <c r="FA168" s="36"/>
      <c r="FB168" s="36"/>
      <c r="FC168" s="36"/>
      <c r="FD168" s="36"/>
      <c r="FE168" s="36"/>
      <c r="FF168" s="36"/>
      <c r="FG168" s="36"/>
      <c r="FH168" s="36"/>
      <c r="FI168" s="36"/>
      <c r="FJ168" s="36"/>
      <c r="FK168" s="36"/>
      <c r="FL168" s="36"/>
      <c r="FM168" s="36"/>
      <c r="FN168" s="36"/>
      <c r="FO168" s="36"/>
      <c r="FP168" s="36"/>
      <c r="FQ168" s="36"/>
      <c r="FR168" s="36"/>
      <c r="FS168" s="36"/>
      <c r="FT168" s="36"/>
      <c r="FU168" s="36"/>
      <c r="FV168" s="36"/>
      <c r="FW168" s="36"/>
      <c r="FX168" s="36"/>
      <c r="FY168" s="36"/>
      <c r="FZ168" s="36"/>
      <c r="GA168" s="36"/>
      <c r="GB168" s="319"/>
      <c r="GC168" s="179">
        <f t="shared" si="32"/>
        <v>0</v>
      </c>
      <c r="GD168" s="179">
        <f t="shared" si="33"/>
        <v>0</v>
      </c>
      <c r="GE168" s="179">
        <f t="shared" si="34"/>
        <v>0</v>
      </c>
      <c r="GF168" s="179">
        <f t="shared" si="35"/>
        <v>0</v>
      </c>
      <c r="GG168" s="179">
        <f t="shared" si="36"/>
        <v>0</v>
      </c>
    </row>
    <row r="169" spans="1:189" x14ac:dyDescent="0.35">
      <c r="A169" s="6" t="s">
        <v>1085</v>
      </c>
      <c r="B169" s="6" t="str">
        <f>IF(Technologies!B169&lt;&gt;0,Technologies!B169,"")</f>
        <v>Mobiliteit</v>
      </c>
      <c r="C169" s="6" t="str">
        <f>VLOOKUP($A169,Technologies!$A$7:$H$576,3,FALSE)</f>
        <v>Final</v>
      </c>
      <c r="D169" s="6" t="str">
        <f>VLOOKUP($A169,Technologies!$A$7:$H$576,4,FALSE)</f>
        <v>Transport</v>
      </c>
      <c r="E169" s="6" t="str">
        <f>VLOOKUP($A169,Technologies!$A$7:$H$576,6,FALSE)</f>
        <v>Heavy-Duty Vehicles</v>
      </c>
      <c r="F169" s="48" t="str">
        <f>VLOOKUP($A169,Technologies!$A$7:$H$576,7,FALSE)</f>
        <v>ICE Syn Diesel Vehicle - HDV</v>
      </c>
      <c r="G169" s="22"/>
      <c r="H169" s="22"/>
      <c r="I169" s="103" cm="1">
        <f t="array" ref="I169">-SUMPRODUCT((Feedstocks!$C$4:$C$141=A169)*Feedstocks!$E$4:$E$141,Feedstocks!$F$4:$F$141,Feedstocks!$H$4:$H$141,Feedstocks!$I$4:$I$141)</f>
        <v>0</v>
      </c>
      <c r="J169" s="103" cm="1">
        <f t="array" ref="J169">-SUMPRODUCT((Feedstocks!$C$4:$C$141=A169)*Feedstocks!$E$4:$E$141,Feedstocks!$H$4:$H$141,Feedstocks!$I$4:$I$141)</f>
        <v>0</v>
      </c>
      <c r="K169" s="103"/>
      <c r="L169" s="103"/>
      <c r="M169" s="22"/>
      <c r="N169" s="22" t="str">
        <f>VLOOKUP(E169,Activities!$A$9:$M$227,13,FALSE)</f>
        <v>NL</v>
      </c>
      <c r="O169" s="22"/>
      <c r="P169" s="80" t="s">
        <v>1808</v>
      </c>
      <c r="Q169" s="36"/>
      <c r="R169" s="36"/>
      <c r="S169" s="36"/>
      <c r="T169" s="36"/>
      <c r="U169" s="36"/>
      <c r="V169" s="36"/>
      <c r="W169" s="36"/>
      <c r="X169" s="36"/>
      <c r="Y169" s="36"/>
      <c r="Z169" s="36"/>
      <c r="AA169" s="36"/>
      <c r="AB169" s="36"/>
      <c r="AC169" s="36"/>
      <c r="AD169" s="36"/>
      <c r="AE169" s="36"/>
      <c r="AF169" s="36"/>
      <c r="AG169" s="36"/>
      <c r="AH169" s="36"/>
      <c r="AI169" s="36"/>
      <c r="AJ169" s="36"/>
      <c r="AK169" s="36"/>
      <c r="AL169" s="36"/>
      <c r="AM169" s="36"/>
      <c r="AN169" s="36"/>
      <c r="AO169" s="36"/>
      <c r="AP169" s="36"/>
      <c r="AQ169" s="36"/>
      <c r="AR169" s="36"/>
      <c r="AS169" s="36"/>
      <c r="AT169" s="36"/>
      <c r="AU169" s="36"/>
      <c r="AV169" s="36"/>
      <c r="AW169" s="36"/>
      <c r="AX169" s="36"/>
      <c r="AY169" s="36"/>
      <c r="AZ169" s="36"/>
      <c r="BA169" s="36"/>
      <c r="BB169" s="36"/>
      <c r="BC169" s="36"/>
      <c r="BD169" s="36">
        <v>1</v>
      </c>
      <c r="BE169" s="36"/>
      <c r="BF169" s="36"/>
      <c r="BG169" s="36"/>
      <c r="BH169" s="36"/>
      <c r="BI169" s="36"/>
      <c r="BJ169" s="36"/>
      <c r="BK169" s="36"/>
      <c r="BL169" s="36"/>
      <c r="BM169" s="36"/>
      <c r="BN169" s="36"/>
      <c r="BO169" s="36"/>
      <c r="BP169" s="36"/>
      <c r="BQ169" s="36"/>
      <c r="BR169" s="36"/>
      <c r="BS169" s="36"/>
      <c r="BT169" s="36"/>
      <c r="BU169" s="36"/>
      <c r="BV169" s="36"/>
      <c r="BW169" s="36"/>
      <c r="BX169" s="36"/>
      <c r="BY169" s="36"/>
      <c r="BZ169" s="36"/>
      <c r="CA169" s="36"/>
      <c r="CB169" s="36"/>
      <c r="CC169" s="36"/>
      <c r="CD169" s="36"/>
      <c r="CE169" s="36"/>
      <c r="CF169" s="36"/>
      <c r="CG169" s="36"/>
      <c r="CH169" s="36"/>
      <c r="CI169" s="36"/>
      <c r="CJ169" s="36"/>
      <c r="CK169" s="36"/>
      <c r="CL169" s="36"/>
      <c r="CM169" s="36"/>
      <c r="CN169" s="36"/>
      <c r="CO169" s="36"/>
      <c r="CP169" s="36"/>
      <c r="CQ169" s="36"/>
      <c r="CR169" s="36"/>
      <c r="CS169" s="36"/>
      <c r="CT169" s="36"/>
      <c r="CU169" s="36"/>
      <c r="CV169" s="36"/>
      <c r="CW169" s="36"/>
      <c r="CX169" s="36"/>
      <c r="CY169" s="36"/>
      <c r="CZ169" s="36"/>
      <c r="DA169" s="36"/>
      <c r="DB169" s="36"/>
      <c r="DC169" s="36"/>
      <c r="DD169" s="36"/>
      <c r="DE169" s="36"/>
      <c r="DF169" s="36"/>
      <c r="DG169" s="36"/>
      <c r="DH169" s="36"/>
      <c r="DI169" s="36"/>
      <c r="DJ169" s="36"/>
      <c r="DK169" s="36"/>
      <c r="DL169" s="36"/>
      <c r="DM169" s="36"/>
      <c r="DN169" s="36"/>
      <c r="DO169" s="36"/>
      <c r="DP169" s="36"/>
      <c r="DQ169" s="36"/>
      <c r="DR169" s="36"/>
      <c r="DS169" s="36"/>
      <c r="DT169" s="36"/>
      <c r="DU169" s="36"/>
      <c r="DV169" s="36"/>
      <c r="DW169" s="36"/>
      <c r="DX169" s="36"/>
      <c r="DY169" s="36"/>
      <c r="DZ169" s="36"/>
      <c r="EA169" s="36"/>
      <c r="EB169" s="36"/>
      <c r="EC169" s="36"/>
      <c r="ED169" s="36"/>
      <c r="EE169" s="36">
        <v>-13.71</v>
      </c>
      <c r="EF169" s="36"/>
      <c r="EG169" s="36"/>
      <c r="EH169" s="36"/>
      <c r="EI169" s="36"/>
      <c r="EJ169" s="36"/>
      <c r="EK169" s="36"/>
      <c r="EL169" s="36"/>
      <c r="EM169" s="36"/>
      <c r="EN169" s="36"/>
      <c r="EO169" s="36"/>
      <c r="EP169" s="36"/>
      <c r="EQ169" s="36"/>
      <c r="ER169" s="36"/>
      <c r="ES169" s="36"/>
      <c r="ET169" s="36"/>
      <c r="EU169" s="36"/>
      <c r="EV169" s="36"/>
      <c r="EW169" s="36"/>
      <c r="EX169" s="36"/>
      <c r="EY169" s="36"/>
      <c r="EZ169" s="36"/>
      <c r="FA169" s="36"/>
      <c r="FB169" s="36"/>
      <c r="FC169" s="36"/>
      <c r="FD169" s="36"/>
      <c r="FE169" s="36"/>
      <c r="FF169" s="36"/>
      <c r="FG169" s="36"/>
      <c r="FH169" s="36"/>
      <c r="FI169" s="36"/>
      <c r="FJ169" s="36"/>
      <c r="FK169" s="36"/>
      <c r="FL169" s="36"/>
      <c r="FM169" s="36"/>
      <c r="FN169" s="36"/>
      <c r="FO169" s="36"/>
      <c r="FP169" s="36"/>
      <c r="FQ169" s="36"/>
      <c r="FR169" s="36"/>
      <c r="FS169" s="36"/>
      <c r="FT169" s="36"/>
      <c r="FU169" s="36"/>
      <c r="FV169" s="36"/>
      <c r="FW169" s="36"/>
      <c r="FX169" s="36"/>
      <c r="FY169" s="36"/>
      <c r="FZ169" s="36"/>
      <c r="GA169" s="36"/>
      <c r="GB169" s="319"/>
      <c r="GC169" s="179">
        <f t="shared" si="32"/>
        <v>0</v>
      </c>
      <c r="GD169" s="179">
        <f t="shared" si="33"/>
        <v>0</v>
      </c>
      <c r="GE169" s="179">
        <f t="shared" si="34"/>
        <v>1.0007999999999999</v>
      </c>
      <c r="GF169" s="179">
        <f t="shared" si="35"/>
        <v>0</v>
      </c>
      <c r="GG169" s="179">
        <f t="shared" si="36"/>
        <v>0</v>
      </c>
    </row>
    <row r="170" spans="1:189" x14ac:dyDescent="0.35">
      <c r="A170" s="5" t="s">
        <v>1087</v>
      </c>
      <c r="B170" s="5" t="str">
        <f>IF(Technologies!B170&lt;&gt;0,Technologies!B170,"")</f>
        <v>Mobiliteit</v>
      </c>
      <c r="C170" s="5" t="str">
        <f>VLOOKUP($A170,Technologies!$A$7:$H$576,3,FALSE)</f>
        <v>Final</v>
      </c>
      <c r="D170" s="5" t="str">
        <f>VLOOKUP($A170,Technologies!$A$7:$H$576,4,FALSE)</f>
        <v>Transport</v>
      </c>
      <c r="E170" s="5" t="str">
        <f>VLOOKUP($A170,Technologies!$A$7:$H$576,6,FALSE)</f>
        <v>Heavy-Duty Vehicles</v>
      </c>
      <c r="F170" s="5" t="str">
        <f>VLOOKUP($A170,Technologies!$A$7:$H$576,7,FALSE)</f>
        <v>ICE Natural Gas Vehicle - HDV</v>
      </c>
      <c r="G170" s="23"/>
      <c r="H170" s="23"/>
      <c r="I170" s="104" cm="1">
        <f t="array" ref="I170">-SUMPRODUCT((Feedstocks!$C$4:$C$141=A170)*Feedstocks!$E$4:$E$141,Feedstocks!$F$4:$F$141,Feedstocks!$H$4:$H$141,Feedstocks!$I$4:$I$141)</f>
        <v>0</v>
      </c>
      <c r="J170" s="104" cm="1">
        <f t="array" ref="J170">-SUMPRODUCT((Feedstocks!$C$4:$C$141=A170)*Feedstocks!$E$4:$E$141,Feedstocks!$H$4:$H$141,Feedstocks!$I$4:$I$141)</f>
        <v>0</v>
      </c>
      <c r="K170" s="104"/>
      <c r="L170" s="104"/>
      <c r="M170" s="23"/>
      <c r="N170" s="23" t="str">
        <f>VLOOKUP(E170,Activities!$A$9:$M$227,13,FALSE)</f>
        <v>NL</v>
      </c>
      <c r="O170" s="23"/>
      <c r="P170" s="79" t="s">
        <v>1808</v>
      </c>
      <c r="Q170" s="35"/>
      <c r="R170" s="35"/>
      <c r="S170" s="35"/>
      <c r="T170" s="35"/>
      <c r="U170" s="35"/>
      <c r="V170" s="35"/>
      <c r="W170" s="35"/>
      <c r="X170" s="35"/>
      <c r="Y170" s="35"/>
      <c r="Z170" s="35"/>
      <c r="AA170" s="35"/>
      <c r="AB170" s="35"/>
      <c r="AC170" s="35"/>
      <c r="AD170" s="35"/>
      <c r="AE170" s="35"/>
      <c r="AF170" s="35"/>
      <c r="AG170" s="35"/>
      <c r="AH170" s="35"/>
      <c r="AI170" s="35"/>
      <c r="AJ170" s="35"/>
      <c r="AK170" s="35"/>
      <c r="AL170" s="35"/>
      <c r="AM170" s="35"/>
      <c r="AN170" s="35"/>
      <c r="AO170" s="35"/>
      <c r="AP170" s="35"/>
      <c r="AQ170" s="35"/>
      <c r="AR170" s="35"/>
      <c r="AS170" s="35"/>
      <c r="AT170" s="35"/>
      <c r="AU170" s="35"/>
      <c r="AV170" s="35"/>
      <c r="AW170" s="35"/>
      <c r="AX170" s="35"/>
      <c r="AY170" s="35"/>
      <c r="AZ170" s="35"/>
      <c r="BA170" s="35"/>
      <c r="BB170" s="35"/>
      <c r="BC170" s="35"/>
      <c r="BD170" s="35">
        <v>1</v>
      </c>
      <c r="BE170" s="35"/>
      <c r="BF170" s="35"/>
      <c r="BG170" s="35"/>
      <c r="BH170" s="35"/>
      <c r="BI170" s="35"/>
      <c r="BJ170" s="35"/>
      <c r="BK170" s="35"/>
      <c r="BL170" s="35"/>
      <c r="BM170" s="35"/>
      <c r="BN170" s="35"/>
      <c r="BO170" s="35"/>
      <c r="BP170" s="35"/>
      <c r="BQ170" s="35"/>
      <c r="BR170" s="35"/>
      <c r="BS170" s="35"/>
      <c r="BT170" s="35"/>
      <c r="BU170" s="35"/>
      <c r="BV170" s="35"/>
      <c r="BW170" s="35"/>
      <c r="BX170" s="35"/>
      <c r="BY170" s="35"/>
      <c r="BZ170" s="35"/>
      <c r="CA170" s="35"/>
      <c r="CB170" s="35"/>
      <c r="CC170" s="35"/>
      <c r="CD170" s="35"/>
      <c r="CE170" s="35"/>
      <c r="CF170" s="35"/>
      <c r="CG170" s="35"/>
      <c r="CH170" s="35"/>
      <c r="CI170" s="35"/>
      <c r="CJ170" s="35"/>
      <c r="CK170" s="35"/>
      <c r="CL170" s="35"/>
      <c r="CM170" s="35"/>
      <c r="CN170" s="35"/>
      <c r="CO170" s="35"/>
      <c r="CP170" s="35"/>
      <c r="CQ170" s="35"/>
      <c r="CR170" s="35"/>
      <c r="CS170" s="35"/>
      <c r="CT170" s="35"/>
      <c r="CU170" s="35"/>
      <c r="CV170" s="35"/>
      <c r="CW170" s="35"/>
      <c r="CX170" s="35"/>
      <c r="CY170" s="35"/>
      <c r="CZ170" s="35"/>
      <c r="DA170" s="35"/>
      <c r="DB170" s="35"/>
      <c r="DC170" s="35"/>
      <c r="DD170" s="35"/>
      <c r="DE170" s="35"/>
      <c r="DF170" s="35"/>
      <c r="DG170" s="35"/>
      <c r="DH170" s="35"/>
      <c r="DI170" s="35"/>
      <c r="DJ170" s="35"/>
      <c r="DK170" s="35"/>
      <c r="DL170" s="35"/>
      <c r="DM170" s="35"/>
      <c r="DN170" s="35"/>
      <c r="DO170" s="35"/>
      <c r="DP170" s="35"/>
      <c r="DQ170" s="35"/>
      <c r="DR170" s="35"/>
      <c r="DS170" s="35"/>
      <c r="DT170" s="35"/>
      <c r="DU170" s="35"/>
      <c r="DV170" s="35"/>
      <c r="DW170" s="35"/>
      <c r="DX170" s="35"/>
      <c r="DY170" s="35"/>
      <c r="DZ170" s="35"/>
      <c r="EA170" s="35"/>
      <c r="EB170" s="35"/>
      <c r="EC170" s="35"/>
      <c r="ED170" s="35"/>
      <c r="EE170" s="35"/>
      <c r="EF170" s="35"/>
      <c r="EG170" s="35"/>
      <c r="EH170" s="35"/>
      <c r="EI170" s="35"/>
      <c r="EJ170" s="35"/>
      <c r="EK170" s="35">
        <v>-16.190000000000001</v>
      </c>
      <c r="EL170" s="35"/>
      <c r="EM170" s="35"/>
      <c r="EN170" s="35"/>
      <c r="EO170" s="35"/>
      <c r="EP170" s="35"/>
      <c r="EQ170" s="35"/>
      <c r="ER170" s="35"/>
      <c r="ES170" s="35"/>
      <c r="ET170" s="35"/>
      <c r="EU170" s="35"/>
      <c r="EV170" s="35"/>
      <c r="EW170" s="35"/>
      <c r="EX170" s="35"/>
      <c r="EY170" s="35"/>
      <c r="EZ170" s="35"/>
      <c r="FA170" s="35"/>
      <c r="FB170" s="35"/>
      <c r="FC170" s="35"/>
      <c r="FD170" s="35"/>
      <c r="FE170" s="35"/>
      <c r="FF170" s="35"/>
      <c r="FG170" s="35"/>
      <c r="FH170" s="35"/>
      <c r="FI170" s="35"/>
      <c r="FJ170" s="35"/>
      <c r="FK170" s="35"/>
      <c r="FL170" s="35"/>
      <c r="FM170" s="35"/>
      <c r="FN170" s="35"/>
      <c r="FO170" s="35"/>
      <c r="FP170" s="35"/>
      <c r="FQ170" s="35"/>
      <c r="FR170" s="35"/>
      <c r="FS170" s="35"/>
      <c r="FT170" s="35"/>
      <c r="FU170" s="35"/>
      <c r="FV170" s="35"/>
      <c r="FW170" s="35"/>
      <c r="FX170" s="35"/>
      <c r="FY170" s="35"/>
      <c r="FZ170" s="35"/>
      <c r="GA170" s="35"/>
      <c r="GB170" s="318"/>
      <c r="GC170" s="178">
        <f t="shared" si="32"/>
        <v>0</v>
      </c>
      <c r="GD170" s="178">
        <f t="shared" si="33"/>
        <v>0</v>
      </c>
      <c r="GE170" s="178">
        <f t="shared" si="34"/>
        <v>0.91639999999999999</v>
      </c>
      <c r="GF170" s="178">
        <f t="shared" si="35"/>
        <v>0</v>
      </c>
      <c r="GG170" s="178">
        <f t="shared" si="36"/>
        <v>0</v>
      </c>
    </row>
    <row r="171" spans="1:189" x14ac:dyDescent="0.35">
      <c r="A171" s="6" t="s">
        <v>1089</v>
      </c>
      <c r="B171" s="6" t="str">
        <f>IF(Technologies!B171&lt;&gt;0,Technologies!B171,"")</f>
        <v>Mobiliteit</v>
      </c>
      <c r="C171" s="6" t="str">
        <f>VLOOKUP($A171,Technologies!$A$7:$H$576,3,FALSE)</f>
        <v>Final</v>
      </c>
      <c r="D171" s="6" t="str">
        <f>VLOOKUP($A171,Technologies!$A$7:$H$576,4,FALSE)</f>
        <v>Transport</v>
      </c>
      <c r="E171" s="6" t="str">
        <f>VLOOKUP($A171,Technologies!$A$7:$H$576,6,FALSE)</f>
        <v>Heavy-Duty Vehicles</v>
      </c>
      <c r="F171" s="48" t="str">
        <f>VLOOKUP($A171,Technologies!$A$7:$H$576,7,FALSE)</f>
        <v>Electric Battery Vehicle - HDV</v>
      </c>
      <c r="G171" s="22"/>
      <c r="H171" s="22"/>
      <c r="I171" s="103" cm="1">
        <f t="array" ref="I171">-SUMPRODUCT((Feedstocks!$C$4:$C$141=A171)*Feedstocks!$E$4:$E$141,Feedstocks!$F$4:$F$141,Feedstocks!$H$4:$H$141,Feedstocks!$I$4:$I$141)</f>
        <v>0</v>
      </c>
      <c r="J171" s="103" cm="1">
        <f t="array" ref="J171">-SUMPRODUCT((Feedstocks!$C$4:$C$141=A171)*Feedstocks!$E$4:$E$141,Feedstocks!$H$4:$H$141,Feedstocks!$I$4:$I$141)</f>
        <v>0</v>
      </c>
      <c r="K171" s="103"/>
      <c r="L171" s="103"/>
      <c r="M171" s="22"/>
      <c r="N171" s="22" t="str">
        <f>VLOOKUP(E171,Activities!$A$9:$M$227,13,FALSE)</f>
        <v>NL</v>
      </c>
      <c r="O171" s="22"/>
      <c r="P171" s="80" t="s">
        <v>452</v>
      </c>
      <c r="Q171" s="36"/>
      <c r="R171" s="36"/>
      <c r="S171" s="36"/>
      <c r="T171" s="36"/>
      <c r="U171" s="36"/>
      <c r="V171" s="36"/>
      <c r="W171" s="36"/>
      <c r="X171" s="36"/>
      <c r="Y171" s="36"/>
      <c r="Z171" s="36"/>
      <c r="AA171" s="36"/>
      <c r="AB171" s="36"/>
      <c r="AC171" s="36"/>
      <c r="AD171" s="36"/>
      <c r="AE171" s="36"/>
      <c r="AF171" s="36"/>
      <c r="AG171" s="36"/>
      <c r="AH171" s="36"/>
      <c r="AI171" s="36"/>
      <c r="AJ171" s="36"/>
      <c r="AK171" s="36"/>
      <c r="AL171" s="36"/>
      <c r="AM171" s="36"/>
      <c r="AN171" s="36"/>
      <c r="AO171" s="36"/>
      <c r="AP171" s="36"/>
      <c r="AQ171" s="36"/>
      <c r="AR171" s="36"/>
      <c r="AS171" s="36"/>
      <c r="AT171" s="36"/>
      <c r="AU171" s="36"/>
      <c r="AV171" s="36"/>
      <c r="AW171" s="36"/>
      <c r="AX171" s="36"/>
      <c r="AY171" s="36"/>
      <c r="AZ171" s="36"/>
      <c r="BA171" s="36"/>
      <c r="BB171" s="36"/>
      <c r="BC171" s="36"/>
      <c r="BD171" s="36">
        <v>1</v>
      </c>
      <c r="BE171" s="36"/>
      <c r="BF171" s="36"/>
      <c r="BG171" s="36"/>
      <c r="BH171" s="36"/>
      <c r="BI171" s="36"/>
      <c r="BJ171" s="36"/>
      <c r="BK171" s="36"/>
      <c r="BL171" s="36"/>
      <c r="BM171" s="36"/>
      <c r="BN171" s="36"/>
      <c r="BO171" s="36"/>
      <c r="BP171" s="36"/>
      <c r="BQ171" s="36"/>
      <c r="BR171" s="36"/>
      <c r="BS171" s="36"/>
      <c r="BT171" s="36"/>
      <c r="BU171" s="36"/>
      <c r="BV171" s="36"/>
      <c r="BW171" s="36"/>
      <c r="BX171" s="36"/>
      <c r="BY171" s="36"/>
      <c r="BZ171" s="36"/>
      <c r="CA171" s="36"/>
      <c r="CB171" s="36"/>
      <c r="CC171" s="36"/>
      <c r="CD171" s="36"/>
      <c r="CE171" s="36"/>
      <c r="CF171" s="36"/>
      <c r="CG171" s="36"/>
      <c r="CH171" s="36"/>
      <c r="CI171" s="36"/>
      <c r="CJ171" s="36"/>
      <c r="CK171" s="36"/>
      <c r="CL171" s="36"/>
      <c r="CM171" s="36"/>
      <c r="CN171" s="36"/>
      <c r="CO171" s="36"/>
      <c r="CP171" s="36"/>
      <c r="CQ171" s="36"/>
      <c r="CR171" s="36"/>
      <c r="CS171" s="36"/>
      <c r="CT171" s="36"/>
      <c r="CU171" s="36"/>
      <c r="CV171" s="36"/>
      <c r="CW171" s="36"/>
      <c r="CX171" s="36"/>
      <c r="CY171" s="36"/>
      <c r="CZ171" s="36"/>
      <c r="DA171" s="36"/>
      <c r="DB171" s="36"/>
      <c r="DC171" s="36"/>
      <c r="DD171" s="36"/>
      <c r="DE171" s="36"/>
      <c r="DF171" s="36"/>
      <c r="DG171" s="36"/>
      <c r="DH171" s="36"/>
      <c r="DI171" s="36">
        <v>-8.7899999999999991</v>
      </c>
      <c r="DJ171" s="36"/>
      <c r="DK171" s="36"/>
      <c r="DL171" s="36"/>
      <c r="DM171" s="36"/>
      <c r="DN171" s="36"/>
      <c r="DO171" s="36"/>
      <c r="DP171" s="36"/>
      <c r="DQ171" s="36"/>
      <c r="DR171" s="36"/>
      <c r="DS171" s="36"/>
      <c r="DT171" s="36"/>
      <c r="DU171" s="36"/>
      <c r="DV171" s="36"/>
      <c r="DW171" s="36"/>
      <c r="DX171" s="36"/>
      <c r="DY171" s="36"/>
      <c r="DZ171" s="36"/>
      <c r="EA171" s="36"/>
      <c r="EB171" s="36"/>
      <c r="EC171" s="36"/>
      <c r="ED171" s="36"/>
      <c r="EE171" s="36"/>
      <c r="EF171" s="36"/>
      <c r="EG171" s="36"/>
      <c r="EH171" s="36"/>
      <c r="EI171" s="36"/>
      <c r="EJ171" s="36"/>
      <c r="EK171" s="36"/>
      <c r="EL171" s="36"/>
      <c r="EM171" s="36"/>
      <c r="EN171" s="36"/>
      <c r="EO171" s="36"/>
      <c r="EP171" s="36"/>
      <c r="EQ171" s="36"/>
      <c r="ER171" s="36"/>
      <c r="ES171" s="36"/>
      <c r="ET171" s="36"/>
      <c r="EU171" s="36"/>
      <c r="EV171" s="36"/>
      <c r="EW171" s="36"/>
      <c r="EX171" s="36"/>
      <c r="EY171" s="36"/>
      <c r="EZ171" s="36"/>
      <c r="FA171" s="36"/>
      <c r="FB171" s="36"/>
      <c r="FC171" s="36"/>
      <c r="FD171" s="36"/>
      <c r="FE171" s="36"/>
      <c r="FF171" s="36"/>
      <c r="FG171" s="36"/>
      <c r="FH171" s="36"/>
      <c r="FI171" s="36"/>
      <c r="FJ171" s="36"/>
      <c r="FK171" s="36"/>
      <c r="FL171" s="36"/>
      <c r="FM171" s="36"/>
      <c r="FN171" s="36"/>
      <c r="FO171" s="36"/>
      <c r="FP171" s="36"/>
      <c r="FQ171" s="36"/>
      <c r="FR171" s="36"/>
      <c r="FS171" s="36"/>
      <c r="FT171" s="36"/>
      <c r="FU171" s="36"/>
      <c r="FV171" s="36"/>
      <c r="FW171" s="36"/>
      <c r="FX171" s="36"/>
      <c r="FY171" s="36"/>
      <c r="FZ171" s="36"/>
      <c r="GA171" s="36"/>
      <c r="GB171" s="319"/>
      <c r="GC171" s="179">
        <f t="shared" si="32"/>
        <v>0</v>
      </c>
      <c r="GD171" s="179">
        <f t="shared" si="33"/>
        <v>0</v>
      </c>
      <c r="GE171" s="179">
        <f t="shared" si="34"/>
        <v>0</v>
      </c>
      <c r="GF171" s="179">
        <f t="shared" si="35"/>
        <v>0</v>
      </c>
      <c r="GG171" s="179">
        <f t="shared" si="36"/>
        <v>0</v>
      </c>
    </row>
    <row r="172" spans="1:189" x14ac:dyDescent="0.35">
      <c r="A172" s="5" t="s">
        <v>1092</v>
      </c>
      <c r="B172" s="5" t="str">
        <f>IF(Technologies!B172&lt;&gt;0,Technologies!B172,"")</f>
        <v>Mobiliteit</v>
      </c>
      <c r="C172" s="5" t="str">
        <f>VLOOKUP($A172,Technologies!$A$7:$H$576,3,FALSE)</f>
        <v>Final</v>
      </c>
      <c r="D172" s="5" t="str">
        <f>VLOOKUP($A172,Technologies!$A$7:$H$576,4,FALSE)</f>
        <v>Transport</v>
      </c>
      <c r="E172" s="5" t="str">
        <f>VLOOKUP($A172,Technologies!$A$7:$H$576,6,FALSE)</f>
        <v>Heavy-Duty Vehicles</v>
      </c>
      <c r="F172" s="5" t="str">
        <f>VLOOKUP($A172,Technologies!$A$7:$H$576,7,FALSE)</f>
        <v>Electric Battery Vehicle FLEX - HDV</v>
      </c>
      <c r="G172" s="23"/>
      <c r="H172" s="23"/>
      <c r="I172" s="104" cm="1">
        <f t="array" ref="I172">-SUMPRODUCT((Feedstocks!$C$4:$C$141=A172)*Feedstocks!$E$4:$E$141,Feedstocks!$F$4:$F$141,Feedstocks!$H$4:$H$141,Feedstocks!$I$4:$I$141)</f>
        <v>0</v>
      </c>
      <c r="J172" s="104" cm="1">
        <f t="array" ref="J172">-SUMPRODUCT((Feedstocks!$C$4:$C$141=A172)*Feedstocks!$E$4:$E$141,Feedstocks!$H$4:$H$141,Feedstocks!$I$4:$I$141)</f>
        <v>0</v>
      </c>
      <c r="K172" s="104"/>
      <c r="L172" s="104"/>
      <c r="M172" s="23"/>
      <c r="N172" s="23" t="str">
        <f>VLOOKUP(E172,Activities!$A$9:$M$227,13,FALSE)</f>
        <v>NL</v>
      </c>
      <c r="O172" s="23"/>
      <c r="P172" s="79" t="s">
        <v>710</v>
      </c>
      <c r="Q172" s="35"/>
      <c r="R172" s="35"/>
      <c r="S172" s="35"/>
      <c r="T172" s="35"/>
      <c r="U172" s="35"/>
      <c r="V172" s="35"/>
      <c r="W172" s="35"/>
      <c r="X172" s="35"/>
      <c r="Y172" s="35"/>
      <c r="Z172" s="35"/>
      <c r="AA172" s="35"/>
      <c r="AB172" s="35"/>
      <c r="AC172" s="35"/>
      <c r="AD172" s="35"/>
      <c r="AE172" s="35"/>
      <c r="AF172" s="35"/>
      <c r="AG172" s="35"/>
      <c r="AH172" s="35"/>
      <c r="AI172" s="35"/>
      <c r="AJ172" s="35"/>
      <c r="AK172" s="35"/>
      <c r="AL172" s="35"/>
      <c r="AM172" s="35"/>
      <c r="AN172" s="35"/>
      <c r="AO172" s="35"/>
      <c r="AP172" s="35"/>
      <c r="AQ172" s="35"/>
      <c r="AR172" s="35"/>
      <c r="AS172" s="35"/>
      <c r="AT172" s="35"/>
      <c r="AU172" s="35"/>
      <c r="AV172" s="35"/>
      <c r="AW172" s="35"/>
      <c r="AX172" s="35"/>
      <c r="AY172" s="35"/>
      <c r="AZ172" s="35"/>
      <c r="BA172" s="35"/>
      <c r="BB172" s="35"/>
      <c r="BC172" s="35"/>
      <c r="BD172" s="35">
        <v>1</v>
      </c>
      <c r="BE172" s="35"/>
      <c r="BF172" s="35"/>
      <c r="BG172" s="35"/>
      <c r="BH172" s="35"/>
      <c r="BI172" s="35"/>
      <c r="BJ172" s="35"/>
      <c r="BK172" s="35"/>
      <c r="BL172" s="35"/>
      <c r="BM172" s="35"/>
      <c r="BN172" s="35"/>
      <c r="BO172" s="35"/>
      <c r="BP172" s="35"/>
      <c r="BQ172" s="35"/>
      <c r="BR172" s="35"/>
      <c r="BS172" s="35"/>
      <c r="BT172" s="35"/>
      <c r="BU172" s="35"/>
      <c r="BV172" s="35"/>
      <c r="BW172" s="35"/>
      <c r="BX172" s="35"/>
      <c r="BY172" s="35"/>
      <c r="BZ172" s="35"/>
      <c r="CA172" s="35"/>
      <c r="CB172" s="35"/>
      <c r="CC172" s="35"/>
      <c r="CD172" s="35"/>
      <c r="CE172" s="35"/>
      <c r="CF172" s="35"/>
      <c r="CG172" s="35"/>
      <c r="CH172" s="35"/>
      <c r="CI172" s="35"/>
      <c r="CJ172" s="35"/>
      <c r="CK172" s="35"/>
      <c r="CL172" s="35"/>
      <c r="CM172" s="35"/>
      <c r="CN172" s="35"/>
      <c r="CO172" s="35"/>
      <c r="CP172" s="35"/>
      <c r="CQ172" s="35"/>
      <c r="CR172" s="35"/>
      <c r="CS172" s="35"/>
      <c r="CT172" s="35"/>
      <c r="CU172" s="35"/>
      <c r="CV172" s="35"/>
      <c r="CW172" s="35"/>
      <c r="CX172" s="35"/>
      <c r="CY172" s="35"/>
      <c r="CZ172" s="35"/>
      <c r="DA172" s="35"/>
      <c r="DB172" s="35"/>
      <c r="DC172" s="35"/>
      <c r="DD172" s="35"/>
      <c r="DE172" s="35"/>
      <c r="DF172" s="35"/>
      <c r="DG172" s="35"/>
      <c r="DH172" s="35"/>
      <c r="DI172" s="35">
        <v>-8.7899999999999991</v>
      </c>
      <c r="DJ172" s="35"/>
      <c r="DK172" s="35"/>
      <c r="DL172" s="35"/>
      <c r="DM172" s="35"/>
      <c r="DN172" s="35"/>
      <c r="DO172" s="35"/>
      <c r="DP172" s="35"/>
      <c r="DQ172" s="35"/>
      <c r="DR172" s="35"/>
      <c r="DS172" s="35"/>
      <c r="DT172" s="35"/>
      <c r="DU172" s="35"/>
      <c r="DV172" s="35"/>
      <c r="DW172" s="35"/>
      <c r="DX172" s="35"/>
      <c r="DY172" s="35"/>
      <c r="DZ172" s="35"/>
      <c r="EA172" s="35"/>
      <c r="EB172" s="35"/>
      <c r="EC172" s="35"/>
      <c r="ED172" s="35"/>
      <c r="EE172" s="35"/>
      <c r="EF172" s="35"/>
      <c r="EG172" s="35"/>
      <c r="EH172" s="35"/>
      <c r="EI172" s="35"/>
      <c r="EJ172" s="35"/>
      <c r="EK172" s="35"/>
      <c r="EL172" s="35"/>
      <c r="EM172" s="35"/>
      <c r="EN172" s="35"/>
      <c r="EO172" s="35"/>
      <c r="EP172" s="35"/>
      <c r="EQ172" s="35"/>
      <c r="ER172" s="35"/>
      <c r="ES172" s="35"/>
      <c r="ET172" s="35"/>
      <c r="EU172" s="35"/>
      <c r="EV172" s="35"/>
      <c r="EW172" s="35"/>
      <c r="EX172" s="35"/>
      <c r="EY172" s="35"/>
      <c r="EZ172" s="35"/>
      <c r="FA172" s="35"/>
      <c r="FB172" s="35"/>
      <c r="FC172" s="35"/>
      <c r="FD172" s="35"/>
      <c r="FE172" s="35"/>
      <c r="FF172" s="35"/>
      <c r="FG172" s="35"/>
      <c r="FH172" s="35"/>
      <c r="FI172" s="35"/>
      <c r="FJ172" s="35"/>
      <c r="FK172" s="35"/>
      <c r="FL172" s="35"/>
      <c r="FM172" s="35"/>
      <c r="FN172" s="35"/>
      <c r="FO172" s="35"/>
      <c r="FP172" s="35"/>
      <c r="FQ172" s="35"/>
      <c r="FR172" s="35"/>
      <c r="FS172" s="35"/>
      <c r="FT172" s="35"/>
      <c r="FU172" s="35"/>
      <c r="FV172" s="35"/>
      <c r="FW172" s="35"/>
      <c r="FX172" s="35"/>
      <c r="FY172" s="35"/>
      <c r="FZ172" s="35"/>
      <c r="GA172" s="35"/>
      <c r="GB172" s="318"/>
      <c r="GC172" s="178">
        <f t="shared" si="32"/>
        <v>0</v>
      </c>
      <c r="GD172" s="178">
        <f t="shared" si="33"/>
        <v>0</v>
      </c>
      <c r="GE172" s="178">
        <f t="shared" si="34"/>
        <v>0</v>
      </c>
      <c r="GF172" s="178">
        <f t="shared" si="35"/>
        <v>0</v>
      </c>
      <c r="GG172" s="178">
        <f t="shared" si="36"/>
        <v>0</v>
      </c>
    </row>
    <row r="173" spans="1:189" x14ac:dyDescent="0.35">
      <c r="A173" s="6" t="s">
        <v>1094</v>
      </c>
      <c r="B173" s="6" t="str">
        <f>IF(Technologies!B173&lt;&gt;0,Technologies!B173,"")</f>
        <v>Mobiliteit</v>
      </c>
      <c r="C173" s="6" t="str">
        <f>VLOOKUP($A173,Technologies!$A$7:$H$576,3,FALSE)</f>
        <v>Final</v>
      </c>
      <c r="D173" s="6" t="str">
        <f>VLOOKUP($A173,Technologies!$A$7:$H$576,4,FALSE)</f>
        <v>Transport</v>
      </c>
      <c r="E173" s="6" t="str">
        <f>VLOOKUP($A173,Technologies!$A$7:$H$576,6,FALSE)</f>
        <v>Heavy-Duty Vehicles</v>
      </c>
      <c r="F173" s="48" t="str">
        <f>VLOOKUP($A173,Technologies!$A$7:$H$576,7,FALSE)</f>
        <v>Hydrogen Fuel Cell Vehicle - HDV</v>
      </c>
      <c r="G173" s="22"/>
      <c r="H173" s="22"/>
      <c r="I173" s="103" cm="1">
        <f t="array" ref="I173">-SUMPRODUCT((Feedstocks!$C$4:$C$141=A173)*Feedstocks!$E$4:$E$141,Feedstocks!$F$4:$F$141,Feedstocks!$H$4:$H$141,Feedstocks!$I$4:$I$141)</f>
        <v>0</v>
      </c>
      <c r="J173" s="103" cm="1">
        <f t="array" ref="J173">-SUMPRODUCT((Feedstocks!$C$4:$C$141=A173)*Feedstocks!$E$4:$E$141,Feedstocks!$H$4:$H$141,Feedstocks!$I$4:$I$141)</f>
        <v>0</v>
      </c>
      <c r="K173" s="103"/>
      <c r="L173" s="103"/>
      <c r="M173" s="22"/>
      <c r="N173" s="22" t="str">
        <f>VLOOKUP(E173,Activities!$A$9:$M$227,13,FALSE)</f>
        <v>NL</v>
      </c>
      <c r="O173" s="22"/>
      <c r="P173" s="80" t="s">
        <v>710</v>
      </c>
      <c r="Q173" s="36"/>
      <c r="R173" s="36"/>
      <c r="S173" s="36"/>
      <c r="T173" s="36"/>
      <c r="U173" s="36"/>
      <c r="V173" s="36"/>
      <c r="W173" s="36"/>
      <c r="X173" s="36"/>
      <c r="Y173" s="36"/>
      <c r="Z173" s="36"/>
      <c r="AA173" s="36"/>
      <c r="AB173" s="36"/>
      <c r="AC173" s="36"/>
      <c r="AD173" s="36"/>
      <c r="AE173" s="36"/>
      <c r="AF173" s="36"/>
      <c r="AG173" s="36"/>
      <c r="AH173" s="36"/>
      <c r="AI173" s="36"/>
      <c r="AJ173" s="36"/>
      <c r="AK173" s="36"/>
      <c r="AL173" s="36"/>
      <c r="AM173" s="36"/>
      <c r="AN173" s="36"/>
      <c r="AO173" s="36"/>
      <c r="AP173" s="36"/>
      <c r="AQ173" s="36"/>
      <c r="AR173" s="36"/>
      <c r="AS173" s="36"/>
      <c r="AT173" s="36"/>
      <c r="AU173" s="36"/>
      <c r="AV173" s="36"/>
      <c r="AW173" s="36"/>
      <c r="AX173" s="36"/>
      <c r="AY173" s="36"/>
      <c r="AZ173" s="36"/>
      <c r="BA173" s="36"/>
      <c r="BB173" s="36"/>
      <c r="BC173" s="36"/>
      <c r="BD173" s="36">
        <v>1</v>
      </c>
      <c r="BE173" s="36"/>
      <c r="BF173" s="36"/>
      <c r="BG173" s="36"/>
      <c r="BH173" s="36"/>
      <c r="BI173" s="36"/>
      <c r="BJ173" s="36"/>
      <c r="BK173" s="36"/>
      <c r="BL173" s="36"/>
      <c r="BM173" s="36"/>
      <c r="BN173" s="36"/>
      <c r="BO173" s="36"/>
      <c r="BP173" s="36"/>
      <c r="BQ173" s="36"/>
      <c r="BR173" s="36"/>
      <c r="BS173" s="36"/>
      <c r="BT173" s="36"/>
      <c r="BU173" s="36"/>
      <c r="BV173" s="36"/>
      <c r="BW173" s="36"/>
      <c r="BX173" s="36"/>
      <c r="BY173" s="36"/>
      <c r="BZ173" s="36"/>
      <c r="CA173" s="36"/>
      <c r="CB173" s="36"/>
      <c r="CC173" s="36"/>
      <c r="CD173" s="36"/>
      <c r="CE173" s="36"/>
      <c r="CF173" s="36"/>
      <c r="CG173" s="36"/>
      <c r="CH173" s="36"/>
      <c r="CI173" s="36"/>
      <c r="CJ173" s="36"/>
      <c r="CK173" s="36"/>
      <c r="CL173" s="36"/>
      <c r="CM173" s="36"/>
      <c r="CN173" s="36"/>
      <c r="CO173" s="36"/>
      <c r="CP173" s="36"/>
      <c r="CQ173" s="36"/>
      <c r="CR173" s="36"/>
      <c r="CS173" s="36"/>
      <c r="CT173" s="36"/>
      <c r="CU173" s="36"/>
      <c r="CV173" s="36"/>
      <c r="CW173" s="36"/>
      <c r="CX173" s="36"/>
      <c r="CY173" s="36"/>
      <c r="CZ173" s="36"/>
      <c r="DA173" s="36"/>
      <c r="DB173" s="36"/>
      <c r="DC173" s="36"/>
      <c r="DD173" s="36"/>
      <c r="DE173" s="36"/>
      <c r="DF173" s="36"/>
      <c r="DG173" s="36"/>
      <c r="DH173" s="36"/>
      <c r="DI173" s="36"/>
      <c r="DJ173" s="36"/>
      <c r="DK173" s="36"/>
      <c r="DL173" s="36"/>
      <c r="DM173" s="36"/>
      <c r="DN173" s="36"/>
      <c r="DO173" s="36"/>
      <c r="DP173" s="36"/>
      <c r="DQ173" s="36"/>
      <c r="DR173" s="36"/>
      <c r="DS173" s="36"/>
      <c r="DT173" s="36"/>
      <c r="DU173" s="36"/>
      <c r="DV173" s="36"/>
      <c r="DW173" s="36"/>
      <c r="DX173" s="36"/>
      <c r="DY173" s="36"/>
      <c r="DZ173" s="36"/>
      <c r="EA173" s="36"/>
      <c r="EB173" s="36"/>
      <c r="EC173" s="36"/>
      <c r="ED173" s="36"/>
      <c r="EE173" s="36"/>
      <c r="EF173" s="36"/>
      <c r="EG173" s="36"/>
      <c r="EH173" s="36"/>
      <c r="EI173" s="36"/>
      <c r="EJ173" s="36"/>
      <c r="EK173" s="36"/>
      <c r="EL173" s="36"/>
      <c r="EM173" s="36"/>
      <c r="EN173" s="36">
        <v>-8</v>
      </c>
      <c r="EO173" s="36"/>
      <c r="EP173" s="36"/>
      <c r="EQ173" s="36"/>
      <c r="ER173" s="36"/>
      <c r="ES173" s="36"/>
      <c r="ET173" s="36"/>
      <c r="EU173" s="36"/>
      <c r="EV173" s="36"/>
      <c r="EW173" s="36"/>
      <c r="EX173" s="36"/>
      <c r="EY173" s="36"/>
      <c r="EZ173" s="36"/>
      <c r="FA173" s="36"/>
      <c r="FB173" s="36"/>
      <c r="FC173" s="36"/>
      <c r="FD173" s="36"/>
      <c r="FE173" s="36"/>
      <c r="FF173" s="36"/>
      <c r="FG173" s="36"/>
      <c r="FH173" s="36"/>
      <c r="FI173" s="36"/>
      <c r="FJ173" s="36"/>
      <c r="FK173" s="36"/>
      <c r="FL173" s="36"/>
      <c r="FM173" s="36"/>
      <c r="FN173" s="36"/>
      <c r="FO173" s="36"/>
      <c r="FP173" s="36"/>
      <c r="FQ173" s="36"/>
      <c r="FR173" s="36"/>
      <c r="FS173" s="36"/>
      <c r="FT173" s="36"/>
      <c r="FU173" s="36"/>
      <c r="FV173" s="36"/>
      <c r="FW173" s="36"/>
      <c r="FX173" s="36"/>
      <c r="FY173" s="36"/>
      <c r="FZ173" s="36"/>
      <c r="GA173" s="36"/>
      <c r="GB173" s="319"/>
      <c r="GC173" s="179">
        <f t="shared" si="32"/>
        <v>0</v>
      </c>
      <c r="GD173" s="179">
        <f t="shared" si="33"/>
        <v>0</v>
      </c>
      <c r="GE173" s="179">
        <f t="shared" si="34"/>
        <v>0</v>
      </c>
      <c r="GF173" s="179">
        <f t="shared" si="35"/>
        <v>0</v>
      </c>
      <c r="GG173" s="179">
        <f t="shared" si="36"/>
        <v>0</v>
      </c>
    </row>
    <row r="174" spans="1:189" x14ac:dyDescent="0.35">
      <c r="A174" s="5" t="s">
        <v>1096</v>
      </c>
      <c r="B174" s="5" t="str">
        <f>IF(Technologies!B174&lt;&gt;0,Technologies!B174,"")</f>
        <v>Mobiliteit</v>
      </c>
      <c r="C174" s="5" t="str">
        <f>VLOOKUP($A174,Technologies!$A$7:$H$576,3,FALSE)</f>
        <v>Final</v>
      </c>
      <c r="D174" s="5" t="str">
        <f>VLOOKUP($A174,Technologies!$A$7:$H$576,4,FALSE)</f>
        <v>Transport</v>
      </c>
      <c r="E174" s="5" t="str">
        <f>VLOOKUP($A174,Technologies!$A$7:$H$576,6,FALSE)</f>
        <v>Buses</v>
      </c>
      <c r="F174" s="5" t="str">
        <f>VLOOKUP($A174,Technologies!$A$7:$H$576,7,FALSE)</f>
        <v>ICE Vehicle - Bus</v>
      </c>
      <c r="G174" s="23"/>
      <c r="H174" s="23"/>
      <c r="I174" s="104" cm="1">
        <f t="array" ref="I174">-SUMPRODUCT((Feedstocks!$C$4:$C$141=A174)*Feedstocks!$E$4:$E$141,Feedstocks!$F$4:$F$141,Feedstocks!$H$4:$H$141,Feedstocks!$I$4:$I$141)</f>
        <v>0</v>
      </c>
      <c r="J174" s="104" cm="1">
        <f t="array" ref="J174">-SUMPRODUCT((Feedstocks!$C$4:$C$141=A174)*Feedstocks!$E$4:$E$141,Feedstocks!$H$4:$H$141,Feedstocks!$I$4:$I$141)</f>
        <v>0</v>
      </c>
      <c r="K174" s="104"/>
      <c r="L174" s="104"/>
      <c r="M174" s="23"/>
      <c r="N174" s="23" t="str">
        <f>VLOOKUP(E174,Activities!$A$9:$M$227,13,FALSE)</f>
        <v>NL</v>
      </c>
      <c r="O174" s="23"/>
      <c r="P174" s="79" t="s">
        <v>452</v>
      </c>
      <c r="Q174" s="35"/>
      <c r="R174" s="35"/>
      <c r="S174" s="35"/>
      <c r="T174" s="35"/>
      <c r="U174" s="35"/>
      <c r="V174" s="35"/>
      <c r="W174" s="35"/>
      <c r="X174" s="35"/>
      <c r="Y174" s="35"/>
      <c r="Z174" s="35"/>
      <c r="AA174" s="35"/>
      <c r="AB174" s="35"/>
      <c r="AC174" s="35"/>
      <c r="AD174" s="35"/>
      <c r="AE174" s="35"/>
      <c r="AF174" s="35"/>
      <c r="AG174" s="35"/>
      <c r="AH174" s="35"/>
      <c r="AI174" s="35"/>
      <c r="AJ174" s="35"/>
      <c r="AK174" s="35"/>
      <c r="AL174" s="35"/>
      <c r="AM174" s="35"/>
      <c r="AN174" s="35"/>
      <c r="AO174" s="35"/>
      <c r="AP174" s="35"/>
      <c r="AQ174" s="35"/>
      <c r="AR174" s="35"/>
      <c r="AS174" s="35"/>
      <c r="AT174" s="35"/>
      <c r="AU174" s="35"/>
      <c r="AV174" s="35"/>
      <c r="AW174" s="35"/>
      <c r="AX174" s="35"/>
      <c r="AY174" s="35"/>
      <c r="AZ174" s="35"/>
      <c r="BA174" s="35"/>
      <c r="BB174" s="35"/>
      <c r="BC174" s="35"/>
      <c r="BD174" s="35"/>
      <c r="BE174" s="35">
        <v>1</v>
      </c>
      <c r="BF174" s="35"/>
      <c r="BG174" s="35"/>
      <c r="BH174" s="35"/>
      <c r="BI174" s="35"/>
      <c r="BJ174" s="35"/>
      <c r="BK174" s="35"/>
      <c r="BL174" s="35"/>
      <c r="BM174" s="35"/>
      <c r="BN174" s="35"/>
      <c r="BO174" s="35"/>
      <c r="BP174" s="35"/>
      <c r="BQ174" s="35"/>
      <c r="BR174" s="35"/>
      <c r="BS174" s="35"/>
      <c r="BT174" s="35"/>
      <c r="BU174" s="35"/>
      <c r="BV174" s="35"/>
      <c r="BW174" s="35"/>
      <c r="BX174" s="35"/>
      <c r="BY174" s="35"/>
      <c r="BZ174" s="35"/>
      <c r="CA174" s="35"/>
      <c r="CB174" s="35"/>
      <c r="CC174" s="35"/>
      <c r="CD174" s="35"/>
      <c r="CE174" s="35"/>
      <c r="CF174" s="35"/>
      <c r="CG174" s="35"/>
      <c r="CH174" s="35"/>
      <c r="CI174" s="35"/>
      <c r="CJ174" s="35"/>
      <c r="CK174" s="35"/>
      <c r="CL174" s="35"/>
      <c r="CM174" s="35"/>
      <c r="CN174" s="35"/>
      <c r="CO174" s="35"/>
      <c r="CP174" s="35"/>
      <c r="CQ174" s="35"/>
      <c r="CR174" s="35"/>
      <c r="CS174" s="35"/>
      <c r="CT174" s="35"/>
      <c r="CU174" s="35"/>
      <c r="CV174" s="35"/>
      <c r="CW174" s="35"/>
      <c r="CX174" s="35"/>
      <c r="CY174" s="35"/>
      <c r="CZ174" s="35"/>
      <c r="DA174" s="35"/>
      <c r="DB174" s="35"/>
      <c r="DC174" s="35"/>
      <c r="DD174" s="35"/>
      <c r="DE174" s="35"/>
      <c r="DF174" s="35"/>
      <c r="DG174" s="35"/>
      <c r="DH174" s="35"/>
      <c r="DI174" s="35"/>
      <c r="DJ174" s="35"/>
      <c r="DK174" s="35"/>
      <c r="DL174" s="35"/>
      <c r="DM174" s="35"/>
      <c r="DN174" s="35"/>
      <c r="DO174" s="35"/>
      <c r="DP174" s="35"/>
      <c r="DQ174" s="35"/>
      <c r="DR174" s="35"/>
      <c r="DS174" s="35"/>
      <c r="DT174" s="35"/>
      <c r="DU174" s="35">
        <v>-1.6990000000000002E-2</v>
      </c>
      <c r="DV174" s="35"/>
      <c r="DW174" s="35"/>
      <c r="DX174" s="35"/>
      <c r="DY174" s="35"/>
      <c r="DZ174" s="35"/>
      <c r="EA174" s="35"/>
      <c r="EB174" s="35"/>
      <c r="EC174" s="35"/>
      <c r="ED174" s="35"/>
      <c r="EE174" s="35"/>
      <c r="EF174" s="35"/>
      <c r="EG174" s="35"/>
      <c r="EH174" s="35"/>
      <c r="EI174" s="35"/>
      <c r="EJ174" s="35"/>
      <c r="EK174" s="35"/>
      <c r="EL174" s="35"/>
      <c r="EM174" s="35"/>
      <c r="EN174" s="35"/>
      <c r="EO174" s="35"/>
      <c r="EP174" s="35"/>
      <c r="EQ174" s="35"/>
      <c r="ER174" s="35"/>
      <c r="ES174" s="35"/>
      <c r="ET174" s="35"/>
      <c r="EU174" s="35"/>
      <c r="EV174" s="35"/>
      <c r="EW174" s="35"/>
      <c r="EX174" s="35"/>
      <c r="EY174" s="35"/>
      <c r="EZ174" s="35"/>
      <c r="FA174" s="35"/>
      <c r="FB174" s="35"/>
      <c r="FC174" s="35"/>
      <c r="FD174" s="35"/>
      <c r="FE174" s="35"/>
      <c r="FF174" s="35"/>
      <c r="FG174" s="35"/>
      <c r="FH174" s="35"/>
      <c r="FI174" s="35"/>
      <c r="FJ174" s="35"/>
      <c r="FK174" s="35"/>
      <c r="FL174" s="35"/>
      <c r="FM174" s="35"/>
      <c r="FN174" s="35"/>
      <c r="FO174" s="35"/>
      <c r="FP174" s="35"/>
      <c r="FQ174" s="35"/>
      <c r="FR174" s="35"/>
      <c r="FS174" s="35"/>
      <c r="FT174" s="35"/>
      <c r="FU174" s="35"/>
      <c r="FV174" s="35"/>
      <c r="FW174" s="35"/>
      <c r="FX174" s="35"/>
      <c r="FY174" s="35"/>
      <c r="FZ174" s="35"/>
      <c r="GA174" s="35"/>
      <c r="GB174" s="318"/>
      <c r="GC174" s="178">
        <f t="shared" si="32"/>
        <v>0</v>
      </c>
      <c r="GD174" s="178">
        <f t="shared" si="33"/>
        <v>0</v>
      </c>
      <c r="GE174" s="178">
        <f t="shared" si="34"/>
        <v>1.1999999999999999E-3</v>
      </c>
      <c r="GF174" s="178">
        <f t="shared" si="35"/>
        <v>0</v>
      </c>
      <c r="GG174" s="178">
        <f t="shared" si="36"/>
        <v>0</v>
      </c>
    </row>
    <row r="175" spans="1:189" x14ac:dyDescent="0.35">
      <c r="A175" s="5" t="s">
        <v>1098</v>
      </c>
      <c r="B175" s="5" t="str">
        <f>IF(Technologies!B175&lt;&gt;0,Technologies!B175,"")</f>
        <v>Mobiliteit</v>
      </c>
      <c r="C175" s="5" t="str">
        <f>VLOOKUP($A175,Technologies!$A$7:$H$576,3,FALSE)</f>
        <v>Final</v>
      </c>
      <c r="D175" s="5" t="str">
        <f>VLOOKUP($A175,Technologies!$A$7:$H$576,4,FALSE)</f>
        <v>Transport</v>
      </c>
      <c r="E175" s="5" t="str">
        <f>VLOOKUP($A175,Technologies!$A$7:$H$576,6,FALSE)</f>
        <v>Buses</v>
      </c>
      <c r="F175" s="5" t="str">
        <f>VLOOKUP($A175,Technologies!$A$7:$H$576,7,FALSE)</f>
        <v>ICE Bio Diesel Vehicle - Bus</v>
      </c>
      <c r="G175" s="23"/>
      <c r="H175" s="23"/>
      <c r="I175" s="104" cm="1">
        <f t="array" ref="I175">-SUMPRODUCT((Feedstocks!$C$4:$C$141=A175)*Feedstocks!$E$4:$E$141,Feedstocks!$F$4:$F$141,Feedstocks!$H$4:$H$141,Feedstocks!$I$4:$I$141)</f>
        <v>0</v>
      </c>
      <c r="J175" s="104" cm="1">
        <f t="array" ref="J175">-SUMPRODUCT((Feedstocks!$C$4:$C$141=A175)*Feedstocks!$E$4:$E$141,Feedstocks!$H$4:$H$141,Feedstocks!$I$4:$I$141)</f>
        <v>0</v>
      </c>
      <c r="K175" s="104"/>
      <c r="L175" s="104"/>
      <c r="M175" s="23"/>
      <c r="N175" s="23" t="str">
        <f>VLOOKUP(E175,Activities!$A$9:$M$227,13,FALSE)</f>
        <v>NL</v>
      </c>
      <c r="O175" s="23"/>
      <c r="P175" s="79" t="s">
        <v>452</v>
      </c>
      <c r="Q175" s="35"/>
      <c r="R175" s="35"/>
      <c r="S175" s="35"/>
      <c r="T175" s="35"/>
      <c r="U175" s="35"/>
      <c r="V175" s="35"/>
      <c r="W175" s="35"/>
      <c r="X175" s="35"/>
      <c r="Y175" s="35"/>
      <c r="Z175" s="35"/>
      <c r="AA175" s="35"/>
      <c r="AB175" s="35"/>
      <c r="AC175" s="35"/>
      <c r="AD175" s="35"/>
      <c r="AE175" s="35"/>
      <c r="AF175" s="35"/>
      <c r="AG175" s="35"/>
      <c r="AH175" s="35"/>
      <c r="AI175" s="35"/>
      <c r="AJ175" s="35"/>
      <c r="AK175" s="35"/>
      <c r="AL175" s="35"/>
      <c r="AM175" s="35"/>
      <c r="AN175" s="35"/>
      <c r="AO175" s="35"/>
      <c r="AP175" s="35"/>
      <c r="AQ175" s="35"/>
      <c r="AR175" s="35"/>
      <c r="AS175" s="35"/>
      <c r="AT175" s="35"/>
      <c r="AU175" s="35"/>
      <c r="AV175" s="35"/>
      <c r="AW175" s="35"/>
      <c r="AX175" s="35"/>
      <c r="AY175" s="35"/>
      <c r="AZ175" s="35"/>
      <c r="BA175" s="35"/>
      <c r="BB175" s="35"/>
      <c r="BC175" s="35"/>
      <c r="BD175" s="35"/>
      <c r="BE175" s="35">
        <v>1</v>
      </c>
      <c r="BF175" s="35"/>
      <c r="BG175" s="35"/>
      <c r="BH175" s="35"/>
      <c r="BI175" s="35"/>
      <c r="BJ175" s="35"/>
      <c r="BK175" s="35"/>
      <c r="BL175" s="35"/>
      <c r="BM175" s="35"/>
      <c r="BN175" s="35"/>
      <c r="BO175" s="35"/>
      <c r="BP175" s="35"/>
      <c r="BQ175" s="35"/>
      <c r="BR175" s="35"/>
      <c r="BS175" s="35"/>
      <c r="BT175" s="35"/>
      <c r="BU175" s="35"/>
      <c r="BV175" s="35"/>
      <c r="BW175" s="35"/>
      <c r="BX175" s="35"/>
      <c r="BY175" s="35"/>
      <c r="BZ175" s="35"/>
      <c r="CA175" s="35"/>
      <c r="CB175" s="35"/>
      <c r="CC175" s="35"/>
      <c r="CD175" s="35"/>
      <c r="CE175" s="35"/>
      <c r="CF175" s="35"/>
      <c r="CG175" s="35"/>
      <c r="CH175" s="35"/>
      <c r="CI175" s="35"/>
      <c r="CJ175" s="35"/>
      <c r="CK175" s="35"/>
      <c r="CL175" s="35"/>
      <c r="CM175" s="35"/>
      <c r="CN175" s="35"/>
      <c r="CO175" s="35"/>
      <c r="CP175" s="35"/>
      <c r="CQ175" s="35"/>
      <c r="CR175" s="35"/>
      <c r="CS175" s="35"/>
      <c r="CT175" s="35"/>
      <c r="CU175" s="35"/>
      <c r="CV175" s="35"/>
      <c r="CW175" s="35"/>
      <c r="CX175" s="35"/>
      <c r="CY175" s="35"/>
      <c r="CZ175" s="35"/>
      <c r="DA175" s="35"/>
      <c r="DB175" s="35"/>
      <c r="DC175" s="35"/>
      <c r="DD175" s="35"/>
      <c r="DE175" s="35"/>
      <c r="DF175" s="35"/>
      <c r="DG175" s="35"/>
      <c r="DH175" s="35"/>
      <c r="DI175" s="35"/>
      <c r="DJ175" s="35"/>
      <c r="DK175" s="35"/>
      <c r="DL175" s="35"/>
      <c r="DM175" s="35"/>
      <c r="DN175" s="35"/>
      <c r="DO175" s="35"/>
      <c r="DP175" s="35"/>
      <c r="DQ175" s="35"/>
      <c r="DR175" s="35"/>
      <c r="DS175" s="35"/>
      <c r="DT175" s="35"/>
      <c r="DU175" s="35"/>
      <c r="DV175" s="35"/>
      <c r="DW175" s="35"/>
      <c r="DX175" s="35"/>
      <c r="DY175" s="35"/>
      <c r="DZ175" s="35"/>
      <c r="EA175" s="35">
        <v>-1.6990000000000002E-2</v>
      </c>
      <c r="EB175" s="35"/>
      <c r="EC175" s="35"/>
      <c r="ED175" s="35"/>
      <c r="EE175" s="35"/>
      <c r="EF175" s="35"/>
      <c r="EG175" s="35"/>
      <c r="EH175" s="35"/>
      <c r="EI175" s="35"/>
      <c r="EJ175" s="35"/>
      <c r="EK175" s="35"/>
      <c r="EL175" s="35"/>
      <c r="EM175" s="35"/>
      <c r="EN175" s="35"/>
      <c r="EO175" s="35"/>
      <c r="EP175" s="35"/>
      <c r="EQ175" s="35"/>
      <c r="ER175" s="35"/>
      <c r="ES175" s="35"/>
      <c r="ET175" s="35"/>
      <c r="EU175" s="35"/>
      <c r="EV175" s="35"/>
      <c r="EW175" s="35"/>
      <c r="EX175" s="35"/>
      <c r="EY175" s="35"/>
      <c r="EZ175" s="35"/>
      <c r="FA175" s="35"/>
      <c r="FB175" s="35"/>
      <c r="FC175" s="35"/>
      <c r="FD175" s="35"/>
      <c r="FE175" s="35"/>
      <c r="FF175" s="35"/>
      <c r="FG175" s="35"/>
      <c r="FH175" s="35"/>
      <c r="FI175" s="35"/>
      <c r="FJ175" s="35"/>
      <c r="FK175" s="35"/>
      <c r="FL175" s="35"/>
      <c r="FM175" s="35"/>
      <c r="FN175" s="35"/>
      <c r="FO175" s="35"/>
      <c r="FP175" s="35"/>
      <c r="FQ175" s="35"/>
      <c r="FR175" s="35"/>
      <c r="FS175" s="35"/>
      <c r="FT175" s="35"/>
      <c r="FU175" s="35"/>
      <c r="FV175" s="35"/>
      <c r="FW175" s="35"/>
      <c r="FX175" s="35"/>
      <c r="FY175" s="35"/>
      <c r="FZ175" s="35"/>
      <c r="GA175" s="35"/>
      <c r="GB175" s="318"/>
      <c r="GC175" s="178">
        <f t="shared" si="32"/>
        <v>0</v>
      </c>
      <c r="GD175" s="178">
        <f t="shared" si="33"/>
        <v>0</v>
      </c>
      <c r="GE175" s="178">
        <f t="shared" si="34"/>
        <v>0</v>
      </c>
      <c r="GF175" s="178">
        <f t="shared" si="35"/>
        <v>0</v>
      </c>
      <c r="GG175" s="178">
        <f t="shared" si="36"/>
        <v>0</v>
      </c>
    </row>
    <row r="176" spans="1:189" x14ac:dyDescent="0.35">
      <c r="A176" s="5" t="s">
        <v>1100</v>
      </c>
      <c r="B176" s="5" t="str">
        <f>IF(Technologies!B176&lt;&gt;0,Technologies!B176,"")</f>
        <v>Mobiliteit</v>
      </c>
      <c r="C176" s="5" t="str">
        <f>VLOOKUP($A176,Technologies!$A$7:$H$576,3,FALSE)</f>
        <v>Final</v>
      </c>
      <c r="D176" s="5" t="str">
        <f>VLOOKUP($A176,Technologies!$A$7:$H$576,4,FALSE)</f>
        <v>Transport</v>
      </c>
      <c r="E176" s="5" t="str">
        <f>VLOOKUP($A176,Technologies!$A$7:$H$576,6,FALSE)</f>
        <v>Buses</v>
      </c>
      <c r="F176" s="5" t="str">
        <f>VLOOKUP($A176,Technologies!$A$7:$H$576,7,FALSE)</f>
        <v>ICE Syn Diesel Vehicle - Bus</v>
      </c>
      <c r="G176" s="23"/>
      <c r="H176" s="23"/>
      <c r="I176" s="104" cm="1">
        <f t="array" ref="I176">-SUMPRODUCT((Feedstocks!$C$4:$C$141=A176)*Feedstocks!$E$4:$E$141,Feedstocks!$F$4:$F$141,Feedstocks!$H$4:$H$141,Feedstocks!$I$4:$I$141)</f>
        <v>0</v>
      </c>
      <c r="J176" s="104" cm="1">
        <f t="array" ref="J176">-SUMPRODUCT((Feedstocks!$C$4:$C$141=A176)*Feedstocks!$E$4:$E$141,Feedstocks!$H$4:$H$141,Feedstocks!$I$4:$I$141)</f>
        <v>0</v>
      </c>
      <c r="K176" s="104"/>
      <c r="L176" s="104"/>
      <c r="M176" s="23"/>
      <c r="N176" s="23" t="str">
        <f>VLOOKUP(E176,Activities!$A$9:$M$227,13,FALSE)</f>
        <v>NL</v>
      </c>
      <c r="O176" s="23"/>
      <c r="P176" s="79" t="s">
        <v>452</v>
      </c>
      <c r="Q176" s="35"/>
      <c r="R176" s="35"/>
      <c r="S176" s="35"/>
      <c r="T176" s="35"/>
      <c r="U176" s="35"/>
      <c r="V176" s="35"/>
      <c r="W176" s="35"/>
      <c r="X176" s="35"/>
      <c r="Y176" s="35"/>
      <c r="Z176" s="35"/>
      <c r="AA176" s="35"/>
      <c r="AB176" s="35"/>
      <c r="AC176" s="35"/>
      <c r="AD176" s="35"/>
      <c r="AE176" s="35"/>
      <c r="AF176" s="35"/>
      <c r="AG176" s="35"/>
      <c r="AH176" s="35"/>
      <c r="AI176" s="35"/>
      <c r="AJ176" s="35"/>
      <c r="AK176" s="35"/>
      <c r="AL176" s="35"/>
      <c r="AM176" s="35"/>
      <c r="AN176" s="35"/>
      <c r="AO176" s="35"/>
      <c r="AP176" s="35"/>
      <c r="AQ176" s="35"/>
      <c r="AR176" s="35"/>
      <c r="AS176" s="35"/>
      <c r="AT176" s="35"/>
      <c r="AU176" s="35"/>
      <c r="AV176" s="35"/>
      <c r="AW176" s="35"/>
      <c r="AX176" s="35"/>
      <c r="AY176" s="35"/>
      <c r="AZ176" s="35"/>
      <c r="BA176" s="35"/>
      <c r="BB176" s="35"/>
      <c r="BC176" s="35"/>
      <c r="BD176" s="35"/>
      <c r="BE176" s="35">
        <v>1</v>
      </c>
      <c r="BF176" s="35"/>
      <c r="BG176" s="35"/>
      <c r="BH176" s="35"/>
      <c r="BI176" s="35"/>
      <c r="BJ176" s="35"/>
      <c r="BK176" s="35"/>
      <c r="BL176" s="35"/>
      <c r="BM176" s="35"/>
      <c r="BN176" s="35"/>
      <c r="BO176" s="35"/>
      <c r="BP176" s="35"/>
      <c r="BQ176" s="35"/>
      <c r="BR176" s="35"/>
      <c r="BS176" s="35"/>
      <c r="BT176" s="35"/>
      <c r="BU176" s="35"/>
      <c r="BV176" s="35"/>
      <c r="BW176" s="35"/>
      <c r="BX176" s="35"/>
      <c r="BY176" s="35"/>
      <c r="BZ176" s="35"/>
      <c r="CA176" s="35"/>
      <c r="CB176" s="35"/>
      <c r="CC176" s="35"/>
      <c r="CD176" s="35"/>
      <c r="CE176" s="35"/>
      <c r="CF176" s="35"/>
      <c r="CG176" s="35"/>
      <c r="CH176" s="35"/>
      <c r="CI176" s="35"/>
      <c r="CJ176" s="35"/>
      <c r="CK176" s="35"/>
      <c r="CL176" s="35"/>
      <c r="CM176" s="35"/>
      <c r="CN176" s="35"/>
      <c r="CO176" s="35"/>
      <c r="CP176" s="35"/>
      <c r="CQ176" s="35"/>
      <c r="CR176" s="35"/>
      <c r="CS176" s="35"/>
      <c r="CT176" s="35"/>
      <c r="CU176" s="35"/>
      <c r="CV176" s="35"/>
      <c r="CW176" s="35"/>
      <c r="CX176" s="35"/>
      <c r="CY176" s="35"/>
      <c r="CZ176" s="35"/>
      <c r="DA176" s="35"/>
      <c r="DB176" s="35"/>
      <c r="DC176" s="35"/>
      <c r="DD176" s="35"/>
      <c r="DE176" s="35"/>
      <c r="DF176" s="35"/>
      <c r="DG176" s="35"/>
      <c r="DH176" s="35"/>
      <c r="DI176" s="35"/>
      <c r="DJ176" s="35"/>
      <c r="DK176" s="35"/>
      <c r="DL176" s="35"/>
      <c r="DM176" s="35"/>
      <c r="DN176" s="35"/>
      <c r="DO176" s="35"/>
      <c r="DP176" s="35"/>
      <c r="DQ176" s="35"/>
      <c r="DR176" s="35"/>
      <c r="DS176" s="35"/>
      <c r="DT176" s="35"/>
      <c r="DU176" s="35"/>
      <c r="DV176" s="35"/>
      <c r="DW176" s="35"/>
      <c r="DX176" s="35"/>
      <c r="DY176" s="35"/>
      <c r="DZ176" s="35"/>
      <c r="EA176" s="35"/>
      <c r="EB176" s="35"/>
      <c r="EC176" s="35"/>
      <c r="ED176" s="35"/>
      <c r="EE176" s="35">
        <v>-1.6990000000000002E-2</v>
      </c>
      <c r="EF176" s="35"/>
      <c r="EG176" s="35"/>
      <c r="EH176" s="35"/>
      <c r="EI176" s="35"/>
      <c r="EJ176" s="35"/>
      <c r="EK176" s="35"/>
      <c r="EL176" s="35"/>
      <c r="EM176" s="35"/>
      <c r="EN176" s="35"/>
      <c r="EO176" s="35"/>
      <c r="EP176" s="35"/>
      <c r="EQ176" s="35"/>
      <c r="ER176" s="35"/>
      <c r="ES176" s="35"/>
      <c r="ET176" s="35"/>
      <c r="EU176" s="35"/>
      <c r="EV176" s="35"/>
      <c r="EW176" s="35"/>
      <c r="EX176" s="35"/>
      <c r="EY176" s="35"/>
      <c r="EZ176" s="35"/>
      <c r="FA176" s="35"/>
      <c r="FB176" s="35"/>
      <c r="FC176" s="35"/>
      <c r="FD176" s="35"/>
      <c r="FE176" s="35"/>
      <c r="FF176" s="35"/>
      <c r="FG176" s="35"/>
      <c r="FH176" s="35"/>
      <c r="FI176" s="35"/>
      <c r="FJ176" s="35"/>
      <c r="FK176" s="35"/>
      <c r="FL176" s="35"/>
      <c r="FM176" s="35"/>
      <c r="FN176" s="35"/>
      <c r="FO176" s="35"/>
      <c r="FP176" s="35"/>
      <c r="FQ176" s="35"/>
      <c r="FR176" s="35"/>
      <c r="FS176" s="35"/>
      <c r="FT176" s="35"/>
      <c r="FU176" s="35"/>
      <c r="FV176" s="35"/>
      <c r="FW176" s="35"/>
      <c r="FX176" s="35"/>
      <c r="FY176" s="35"/>
      <c r="FZ176" s="35"/>
      <c r="GA176" s="35"/>
      <c r="GB176" s="318"/>
      <c r="GC176" s="178">
        <f t="shared" si="32"/>
        <v>0</v>
      </c>
      <c r="GD176" s="178">
        <f t="shared" si="33"/>
        <v>0</v>
      </c>
      <c r="GE176" s="178">
        <f t="shared" si="34"/>
        <v>1.1999999999999999E-3</v>
      </c>
      <c r="GF176" s="178">
        <f t="shared" si="35"/>
        <v>0</v>
      </c>
      <c r="GG176" s="178">
        <f t="shared" si="36"/>
        <v>0</v>
      </c>
    </row>
    <row r="177" spans="1:189" x14ac:dyDescent="0.35">
      <c r="A177" s="5" t="s">
        <v>1102</v>
      </c>
      <c r="B177" s="6" t="str">
        <f>IF(Technologies!B177&lt;&gt;0,Technologies!B177,"")</f>
        <v>Mobiliteit</v>
      </c>
      <c r="C177" s="6" t="str">
        <f>VLOOKUP($A177,Technologies!$A$7:$H$576,3,FALSE)</f>
        <v>Final</v>
      </c>
      <c r="D177" s="6" t="str">
        <f>VLOOKUP($A177,Technologies!$A$7:$H$576,4,FALSE)</f>
        <v>Transport</v>
      </c>
      <c r="E177" s="6" t="str">
        <f>VLOOKUP($A177,Technologies!$A$7:$H$576,6,FALSE)</f>
        <v>Buses</v>
      </c>
      <c r="F177" s="48" t="str">
        <f>VLOOKUP($A177,Technologies!$A$7:$H$576,7,FALSE)</f>
        <v>ICE Vehicle Natural Gas - Bus</v>
      </c>
      <c r="G177" s="22"/>
      <c r="H177" s="22"/>
      <c r="I177" s="103" cm="1">
        <f t="array" ref="I177">-SUMPRODUCT((Feedstocks!$C$4:$C$141=A177)*Feedstocks!$E$4:$E$141,Feedstocks!$F$4:$F$141,Feedstocks!$H$4:$H$141,Feedstocks!$I$4:$I$141)</f>
        <v>0</v>
      </c>
      <c r="J177" s="103" cm="1">
        <f t="array" ref="J177">-SUMPRODUCT((Feedstocks!$C$4:$C$141=A177)*Feedstocks!$E$4:$E$141,Feedstocks!$H$4:$H$141,Feedstocks!$I$4:$I$141)</f>
        <v>0</v>
      </c>
      <c r="K177" s="103"/>
      <c r="L177" s="103"/>
      <c r="M177" s="22"/>
      <c r="N177" s="22" t="str">
        <f>VLOOKUP(E177,Activities!$A$9:$M$227,13,FALSE)</f>
        <v>NL</v>
      </c>
      <c r="O177" s="22"/>
      <c r="P177" s="80" t="s">
        <v>1822</v>
      </c>
      <c r="Q177" s="36"/>
      <c r="R177" s="36"/>
      <c r="S177" s="36"/>
      <c r="T177" s="36"/>
      <c r="U177" s="36"/>
      <c r="V177" s="36"/>
      <c r="W177" s="36"/>
      <c r="X177" s="36"/>
      <c r="Y177" s="36"/>
      <c r="Z177" s="36"/>
      <c r="AA177" s="36"/>
      <c r="AB177" s="36"/>
      <c r="AC177" s="36"/>
      <c r="AD177" s="36"/>
      <c r="AE177" s="36"/>
      <c r="AF177" s="36"/>
      <c r="AG177" s="36"/>
      <c r="AH177" s="36"/>
      <c r="AI177" s="36"/>
      <c r="AJ177" s="36"/>
      <c r="AK177" s="36"/>
      <c r="AL177" s="36"/>
      <c r="AM177" s="36"/>
      <c r="AN177" s="36"/>
      <c r="AO177" s="36"/>
      <c r="AP177" s="36"/>
      <c r="AQ177" s="36"/>
      <c r="AR177" s="36"/>
      <c r="AS177" s="36"/>
      <c r="AT177" s="36"/>
      <c r="AU177" s="36"/>
      <c r="AV177" s="36"/>
      <c r="AW177" s="36"/>
      <c r="AX177" s="36"/>
      <c r="AY177" s="36"/>
      <c r="AZ177" s="36"/>
      <c r="BA177" s="36"/>
      <c r="BB177" s="36"/>
      <c r="BC177" s="36"/>
      <c r="BD177" s="36"/>
      <c r="BE177" s="36">
        <v>1</v>
      </c>
      <c r="BF177" s="36"/>
      <c r="BG177" s="36"/>
      <c r="BH177" s="36"/>
      <c r="BI177" s="36"/>
      <c r="BJ177" s="36"/>
      <c r="BK177" s="36"/>
      <c r="BL177" s="36"/>
      <c r="BM177" s="36"/>
      <c r="BN177" s="36"/>
      <c r="BO177" s="36"/>
      <c r="BP177" s="36"/>
      <c r="BQ177" s="36"/>
      <c r="BR177" s="36"/>
      <c r="BS177" s="36"/>
      <c r="BT177" s="36"/>
      <c r="BU177" s="36"/>
      <c r="BV177" s="36"/>
      <c r="BW177" s="36"/>
      <c r="BX177" s="36"/>
      <c r="BY177" s="36"/>
      <c r="BZ177" s="36"/>
      <c r="CA177" s="36"/>
      <c r="CB177" s="36"/>
      <c r="CC177" s="36"/>
      <c r="CD177" s="36"/>
      <c r="CE177" s="36"/>
      <c r="CF177" s="36"/>
      <c r="CG177" s="36"/>
      <c r="CH177" s="36"/>
      <c r="CI177" s="36"/>
      <c r="CJ177" s="36"/>
      <c r="CK177" s="36"/>
      <c r="CL177" s="36"/>
      <c r="CM177" s="36"/>
      <c r="CN177" s="36"/>
      <c r="CO177" s="36"/>
      <c r="CP177" s="36"/>
      <c r="CQ177" s="36"/>
      <c r="CR177" s="36"/>
      <c r="CS177" s="36"/>
      <c r="CT177" s="36"/>
      <c r="CU177" s="36"/>
      <c r="CV177" s="36"/>
      <c r="CW177" s="36"/>
      <c r="CX177" s="36"/>
      <c r="CY177" s="36"/>
      <c r="CZ177" s="36"/>
      <c r="DA177" s="36"/>
      <c r="DB177" s="36"/>
      <c r="DC177" s="36"/>
      <c r="DD177" s="36"/>
      <c r="DE177" s="36"/>
      <c r="DF177" s="36"/>
      <c r="DG177" s="36"/>
      <c r="DH177" s="36"/>
      <c r="DI177" s="36"/>
      <c r="DJ177" s="36"/>
      <c r="DK177" s="36"/>
      <c r="DL177" s="36"/>
      <c r="DM177" s="36"/>
      <c r="DN177" s="36"/>
      <c r="DO177" s="36"/>
      <c r="DP177" s="36"/>
      <c r="DQ177" s="36"/>
      <c r="DR177" s="36"/>
      <c r="DS177" s="36"/>
      <c r="DT177" s="36"/>
      <c r="DU177" s="36"/>
      <c r="DV177" s="36"/>
      <c r="DW177" s="36"/>
      <c r="DX177" s="36"/>
      <c r="DY177" s="36"/>
      <c r="DZ177" s="36"/>
      <c r="EA177" s="36"/>
      <c r="EB177" s="36"/>
      <c r="EC177" s="36"/>
      <c r="ED177" s="36"/>
      <c r="EE177" s="36"/>
      <c r="EF177" s="36"/>
      <c r="EG177" s="36"/>
      <c r="EH177" s="36"/>
      <c r="EI177" s="36"/>
      <c r="EJ177" s="36"/>
      <c r="EK177" s="36">
        <v>-1.4615E-2</v>
      </c>
      <c r="EL177" s="36"/>
      <c r="EM177" s="36"/>
      <c r="EN177" s="36"/>
      <c r="EO177" s="36"/>
      <c r="EP177" s="36"/>
      <c r="EQ177" s="36"/>
      <c r="ER177" s="36"/>
      <c r="ES177" s="36"/>
      <c r="ET177" s="36"/>
      <c r="EU177" s="36"/>
      <c r="EV177" s="36"/>
      <c r="EW177" s="36"/>
      <c r="EX177" s="36"/>
      <c r="EY177" s="36"/>
      <c r="EZ177" s="36"/>
      <c r="FA177" s="36"/>
      <c r="FB177" s="36"/>
      <c r="FC177" s="36"/>
      <c r="FD177" s="36"/>
      <c r="FE177" s="36"/>
      <c r="FF177" s="36"/>
      <c r="FG177" s="36"/>
      <c r="FH177" s="36"/>
      <c r="FI177" s="36"/>
      <c r="FJ177" s="36"/>
      <c r="FK177" s="36"/>
      <c r="FL177" s="36"/>
      <c r="FM177" s="36"/>
      <c r="FN177" s="36"/>
      <c r="FO177" s="36"/>
      <c r="FP177" s="36"/>
      <c r="FQ177" s="36"/>
      <c r="FR177" s="36"/>
      <c r="FS177" s="36"/>
      <c r="FT177" s="36"/>
      <c r="FU177" s="36"/>
      <c r="FV177" s="36"/>
      <c r="FW177" s="36"/>
      <c r="FX177" s="36"/>
      <c r="FY177" s="36"/>
      <c r="FZ177" s="36"/>
      <c r="GA177" s="36"/>
      <c r="GB177" s="319"/>
      <c r="GC177" s="179">
        <f t="shared" si="32"/>
        <v>0</v>
      </c>
      <c r="GD177" s="179">
        <f t="shared" si="33"/>
        <v>0</v>
      </c>
      <c r="GE177" s="179">
        <f t="shared" si="34"/>
        <v>8.0000000000000004E-4</v>
      </c>
      <c r="GF177" s="179">
        <f t="shared" si="35"/>
        <v>0</v>
      </c>
      <c r="GG177" s="179">
        <f t="shared" si="36"/>
        <v>0</v>
      </c>
    </row>
    <row r="178" spans="1:189" x14ac:dyDescent="0.35">
      <c r="A178" s="5" t="s">
        <v>1104</v>
      </c>
      <c r="B178" s="5" t="str">
        <f>IF(Technologies!B178&lt;&gt;0,Technologies!B178,"")</f>
        <v>Mobiliteit</v>
      </c>
      <c r="C178" s="5" t="str">
        <f>VLOOKUP($A178,Technologies!$A$7:$H$576,3,FALSE)</f>
        <v>Final</v>
      </c>
      <c r="D178" s="5" t="str">
        <f>VLOOKUP($A178,Technologies!$A$7:$H$576,4,FALSE)</f>
        <v>Transport</v>
      </c>
      <c r="E178" s="5" t="str">
        <f>VLOOKUP($A178,Technologies!$A$7:$H$576,6,FALSE)</f>
        <v>Buses</v>
      </c>
      <c r="F178" s="5" t="str">
        <f>VLOOKUP($A178,Technologies!$A$7:$H$576,7,FALSE)</f>
        <v>Plug-In Hybrid Vehicle - Bus</v>
      </c>
      <c r="G178" s="23"/>
      <c r="H178" s="23"/>
      <c r="I178" s="104" cm="1">
        <f t="array" ref="I178">-SUMPRODUCT((Feedstocks!$C$4:$C$141=A178)*Feedstocks!$E$4:$E$141,Feedstocks!$F$4:$F$141,Feedstocks!$H$4:$H$141,Feedstocks!$I$4:$I$141)</f>
        <v>0</v>
      </c>
      <c r="J178" s="104" cm="1">
        <f t="array" ref="J178">-SUMPRODUCT((Feedstocks!$C$4:$C$141=A178)*Feedstocks!$E$4:$E$141,Feedstocks!$H$4:$H$141,Feedstocks!$I$4:$I$141)</f>
        <v>0</v>
      </c>
      <c r="K178" s="104"/>
      <c r="L178" s="104"/>
      <c r="M178" s="23"/>
      <c r="N178" s="23" t="str">
        <f>VLOOKUP(E178,Activities!$A$9:$M$227,13,FALSE)</f>
        <v>NL</v>
      </c>
      <c r="O178" s="23"/>
      <c r="P178" s="79" t="s">
        <v>452</v>
      </c>
      <c r="Q178" s="35"/>
      <c r="R178" s="35"/>
      <c r="S178" s="35"/>
      <c r="T178" s="35"/>
      <c r="U178" s="35"/>
      <c r="V178" s="35"/>
      <c r="W178" s="35"/>
      <c r="X178" s="35"/>
      <c r="Y178" s="35"/>
      <c r="Z178" s="35"/>
      <c r="AA178" s="35"/>
      <c r="AB178" s="35"/>
      <c r="AC178" s="35"/>
      <c r="AD178" s="35"/>
      <c r="AE178" s="35"/>
      <c r="AF178" s="35"/>
      <c r="AG178" s="35"/>
      <c r="AH178" s="35"/>
      <c r="AI178" s="35"/>
      <c r="AJ178" s="35"/>
      <c r="AK178" s="35"/>
      <c r="AL178" s="35"/>
      <c r="AM178" s="35"/>
      <c r="AN178" s="35"/>
      <c r="AO178" s="35"/>
      <c r="AP178" s="35"/>
      <c r="AQ178" s="35"/>
      <c r="AR178" s="35"/>
      <c r="AS178" s="35"/>
      <c r="AT178" s="35"/>
      <c r="AU178" s="35"/>
      <c r="AV178" s="35"/>
      <c r="AW178" s="35"/>
      <c r="AX178" s="35"/>
      <c r="AY178" s="35"/>
      <c r="AZ178" s="35"/>
      <c r="BA178" s="35"/>
      <c r="BB178" s="35"/>
      <c r="BC178" s="35"/>
      <c r="BD178" s="35"/>
      <c r="BE178" s="35">
        <v>1</v>
      </c>
      <c r="BF178" s="35"/>
      <c r="BG178" s="35"/>
      <c r="BH178" s="35"/>
      <c r="BI178" s="35"/>
      <c r="BJ178" s="35"/>
      <c r="BK178" s="35"/>
      <c r="BL178" s="35"/>
      <c r="BM178" s="35"/>
      <c r="BN178" s="35"/>
      <c r="BO178" s="35"/>
      <c r="BP178" s="35"/>
      <c r="BQ178" s="35"/>
      <c r="BR178" s="35"/>
      <c r="BS178" s="35"/>
      <c r="BT178" s="35"/>
      <c r="BU178" s="35"/>
      <c r="BV178" s="35"/>
      <c r="BW178" s="35"/>
      <c r="BX178" s="35"/>
      <c r="BY178" s="35"/>
      <c r="BZ178" s="35"/>
      <c r="CA178" s="35"/>
      <c r="CB178" s="35"/>
      <c r="CC178" s="35"/>
      <c r="CD178" s="35"/>
      <c r="CE178" s="35"/>
      <c r="CF178" s="35"/>
      <c r="CG178" s="35"/>
      <c r="CH178" s="35"/>
      <c r="CI178" s="35"/>
      <c r="CJ178" s="35"/>
      <c r="CK178" s="35"/>
      <c r="CL178" s="35"/>
      <c r="CM178" s="35"/>
      <c r="CN178" s="35"/>
      <c r="CO178" s="35"/>
      <c r="CP178" s="35"/>
      <c r="CQ178" s="35"/>
      <c r="CR178" s="35"/>
      <c r="CS178" s="35"/>
      <c r="CT178" s="35"/>
      <c r="CU178" s="35"/>
      <c r="CV178" s="35"/>
      <c r="CW178" s="35"/>
      <c r="CX178" s="35"/>
      <c r="CY178" s="35"/>
      <c r="CZ178" s="35"/>
      <c r="DA178" s="35"/>
      <c r="DB178" s="35"/>
      <c r="DC178" s="35"/>
      <c r="DD178" s="35"/>
      <c r="DE178" s="35"/>
      <c r="DF178" s="35"/>
      <c r="DG178" s="35"/>
      <c r="DH178" s="35"/>
      <c r="DI178" s="35">
        <v>-5.0000000000000001E-3</v>
      </c>
      <c r="DJ178" s="35"/>
      <c r="DK178" s="35"/>
      <c r="DL178" s="35"/>
      <c r="DM178" s="35"/>
      <c r="DN178" s="35"/>
      <c r="DO178" s="35"/>
      <c r="DP178" s="35"/>
      <c r="DQ178" s="35"/>
      <c r="DR178" s="35"/>
      <c r="DS178" s="35"/>
      <c r="DT178" s="35"/>
      <c r="DU178" s="35">
        <v>-6.7000000000000002E-3</v>
      </c>
      <c r="DV178" s="35"/>
      <c r="DW178" s="35"/>
      <c r="DX178" s="35"/>
      <c r="DY178" s="35"/>
      <c r="DZ178" s="35"/>
      <c r="EA178" s="35"/>
      <c r="EB178" s="35"/>
      <c r="EC178" s="35"/>
      <c r="ED178" s="35"/>
      <c r="EE178" s="35"/>
      <c r="EF178" s="35"/>
      <c r="EG178" s="35"/>
      <c r="EH178" s="35"/>
      <c r="EI178" s="35"/>
      <c r="EJ178" s="35"/>
      <c r="EK178" s="35"/>
      <c r="EL178" s="35"/>
      <c r="EM178" s="35"/>
      <c r="EN178" s="35"/>
      <c r="EO178" s="35"/>
      <c r="EP178" s="35"/>
      <c r="EQ178" s="35"/>
      <c r="ER178" s="35"/>
      <c r="ES178" s="35"/>
      <c r="ET178" s="35"/>
      <c r="EU178" s="35"/>
      <c r="EV178" s="35"/>
      <c r="EW178" s="35"/>
      <c r="EX178" s="35"/>
      <c r="EY178" s="35"/>
      <c r="EZ178" s="35"/>
      <c r="FA178" s="35"/>
      <c r="FB178" s="35"/>
      <c r="FC178" s="35"/>
      <c r="FD178" s="35"/>
      <c r="FE178" s="35"/>
      <c r="FF178" s="35"/>
      <c r="FG178" s="35"/>
      <c r="FH178" s="35"/>
      <c r="FI178" s="35"/>
      <c r="FJ178" s="35"/>
      <c r="FK178" s="35"/>
      <c r="FL178" s="35"/>
      <c r="FM178" s="35"/>
      <c r="FN178" s="35"/>
      <c r="FO178" s="35"/>
      <c r="FP178" s="35"/>
      <c r="FQ178" s="35"/>
      <c r="FR178" s="35"/>
      <c r="FS178" s="35"/>
      <c r="FT178" s="35"/>
      <c r="FU178" s="35"/>
      <c r="FV178" s="35"/>
      <c r="FW178" s="35"/>
      <c r="FX178" s="35"/>
      <c r="FY178" s="35"/>
      <c r="FZ178" s="35"/>
      <c r="GA178" s="35"/>
      <c r="GB178" s="318"/>
      <c r="GC178" s="178">
        <f t="shared" si="32"/>
        <v>0</v>
      </c>
      <c r="GD178" s="178">
        <f t="shared" si="33"/>
        <v>0</v>
      </c>
      <c r="GE178" s="178">
        <f t="shared" si="34"/>
        <v>5.0000000000000001E-4</v>
      </c>
      <c r="GF178" s="178">
        <f t="shared" si="35"/>
        <v>0</v>
      </c>
      <c r="GG178" s="178">
        <f t="shared" si="36"/>
        <v>0</v>
      </c>
    </row>
    <row r="179" spans="1:189" x14ac:dyDescent="0.35">
      <c r="A179" s="5" t="s">
        <v>1106</v>
      </c>
      <c r="B179" s="6" t="str">
        <f>IF(Technologies!B179&lt;&gt;0,Technologies!B179,"")</f>
        <v>Mobiliteit</v>
      </c>
      <c r="C179" s="6" t="str">
        <f>VLOOKUP($A179,Technologies!$A$7:$H$576,3,FALSE)</f>
        <v>Final</v>
      </c>
      <c r="D179" s="6" t="str">
        <f>VLOOKUP($A179,Technologies!$A$7:$H$576,4,FALSE)</f>
        <v>Transport</v>
      </c>
      <c r="E179" s="6" t="str">
        <f>VLOOKUP($A179,Technologies!$A$7:$H$576,6,FALSE)</f>
        <v>Buses</v>
      </c>
      <c r="F179" s="48" t="str">
        <f>VLOOKUP($A179,Technologies!$A$7:$H$576,7,FALSE)</f>
        <v>Electric Battery Vehicle - Bus</v>
      </c>
      <c r="G179" s="22"/>
      <c r="H179" s="22"/>
      <c r="I179" s="103" cm="1">
        <f t="array" ref="I179">-SUMPRODUCT((Feedstocks!$C$4:$C$141=A179)*Feedstocks!$E$4:$E$141,Feedstocks!$F$4:$F$141,Feedstocks!$H$4:$H$141,Feedstocks!$I$4:$I$141)</f>
        <v>0</v>
      </c>
      <c r="J179" s="103" cm="1">
        <f t="array" ref="J179">-SUMPRODUCT((Feedstocks!$C$4:$C$141=A179)*Feedstocks!$E$4:$E$141,Feedstocks!$H$4:$H$141,Feedstocks!$I$4:$I$141)</f>
        <v>0</v>
      </c>
      <c r="K179" s="103"/>
      <c r="L179" s="103"/>
      <c r="M179" s="22"/>
      <c r="N179" s="22" t="str">
        <f>VLOOKUP(E179,Activities!$A$9:$M$227,13,FALSE)</f>
        <v>NL</v>
      </c>
      <c r="O179" s="22"/>
      <c r="P179" s="80" t="s">
        <v>452</v>
      </c>
      <c r="Q179" s="36"/>
      <c r="R179" s="36"/>
      <c r="S179" s="36"/>
      <c r="T179" s="36"/>
      <c r="U179" s="36"/>
      <c r="V179" s="36"/>
      <c r="W179" s="36"/>
      <c r="X179" s="36"/>
      <c r="Y179" s="36"/>
      <c r="Z179" s="36"/>
      <c r="AA179" s="36"/>
      <c r="AB179" s="36"/>
      <c r="AC179" s="36"/>
      <c r="AD179" s="36"/>
      <c r="AE179" s="36"/>
      <c r="AF179" s="36"/>
      <c r="AG179" s="36"/>
      <c r="AH179" s="36"/>
      <c r="AI179" s="36"/>
      <c r="AJ179" s="36"/>
      <c r="AK179" s="36"/>
      <c r="AL179" s="36"/>
      <c r="AM179" s="36"/>
      <c r="AN179" s="36"/>
      <c r="AO179" s="36"/>
      <c r="AP179" s="36"/>
      <c r="AQ179" s="36"/>
      <c r="AR179" s="36"/>
      <c r="AS179" s="36"/>
      <c r="AT179" s="36"/>
      <c r="AU179" s="36"/>
      <c r="AV179" s="36"/>
      <c r="AW179" s="36"/>
      <c r="AX179" s="36"/>
      <c r="AY179" s="36"/>
      <c r="AZ179" s="36"/>
      <c r="BA179" s="36"/>
      <c r="BB179" s="36"/>
      <c r="BC179" s="36"/>
      <c r="BD179" s="36"/>
      <c r="BE179" s="36">
        <v>1</v>
      </c>
      <c r="BF179" s="36"/>
      <c r="BG179" s="36"/>
      <c r="BH179" s="36"/>
      <c r="BI179" s="36"/>
      <c r="BJ179" s="36"/>
      <c r="BK179" s="36"/>
      <c r="BL179" s="36"/>
      <c r="BM179" s="36"/>
      <c r="BN179" s="36"/>
      <c r="BO179" s="36"/>
      <c r="BP179" s="36"/>
      <c r="BQ179" s="36"/>
      <c r="BR179" s="36"/>
      <c r="BS179" s="36"/>
      <c r="BT179" s="36"/>
      <c r="BU179" s="36"/>
      <c r="BV179" s="36"/>
      <c r="BW179" s="36"/>
      <c r="BX179" s="36"/>
      <c r="BY179" s="36"/>
      <c r="BZ179" s="36"/>
      <c r="CA179" s="36"/>
      <c r="CB179" s="36"/>
      <c r="CC179" s="36"/>
      <c r="CD179" s="36"/>
      <c r="CE179" s="36"/>
      <c r="CF179" s="36"/>
      <c r="CG179" s="36"/>
      <c r="CH179" s="36"/>
      <c r="CI179" s="36"/>
      <c r="CJ179" s="36"/>
      <c r="CK179" s="36"/>
      <c r="CL179" s="36"/>
      <c r="CM179" s="36"/>
      <c r="CN179" s="36"/>
      <c r="CO179" s="36"/>
      <c r="CP179" s="36"/>
      <c r="CQ179" s="36"/>
      <c r="CR179" s="36"/>
      <c r="CS179" s="36"/>
      <c r="CT179" s="36"/>
      <c r="CU179" s="36"/>
      <c r="CV179" s="36"/>
      <c r="CW179" s="36"/>
      <c r="CX179" s="36"/>
      <c r="CY179" s="36"/>
      <c r="CZ179" s="36"/>
      <c r="DA179" s="36"/>
      <c r="DB179" s="36"/>
      <c r="DC179" s="36"/>
      <c r="DD179" s="36"/>
      <c r="DE179" s="36"/>
      <c r="DF179" s="36"/>
      <c r="DG179" s="36"/>
      <c r="DH179" s="36"/>
      <c r="DI179" s="36">
        <v>-8.9999999999999993E-3</v>
      </c>
      <c r="DJ179" s="36"/>
      <c r="DK179" s="36"/>
      <c r="DL179" s="36"/>
      <c r="DM179" s="36"/>
      <c r="DN179" s="36"/>
      <c r="DO179" s="36"/>
      <c r="DP179" s="36"/>
      <c r="DQ179" s="36"/>
      <c r="DR179" s="36"/>
      <c r="DS179" s="36"/>
      <c r="DT179" s="36"/>
      <c r="DU179" s="36"/>
      <c r="DV179" s="36"/>
      <c r="DW179" s="36"/>
      <c r="DX179" s="36"/>
      <c r="DY179" s="36"/>
      <c r="DZ179" s="36"/>
      <c r="EA179" s="36"/>
      <c r="EB179" s="36"/>
      <c r="EC179" s="36"/>
      <c r="ED179" s="36"/>
      <c r="EE179" s="36"/>
      <c r="EF179" s="36"/>
      <c r="EG179" s="36"/>
      <c r="EH179" s="36"/>
      <c r="EI179" s="36"/>
      <c r="EJ179" s="36"/>
      <c r="EK179" s="36"/>
      <c r="EL179" s="36"/>
      <c r="EM179" s="36"/>
      <c r="EN179" s="36"/>
      <c r="EO179" s="36"/>
      <c r="EP179" s="36"/>
      <c r="EQ179" s="36"/>
      <c r="ER179" s="36"/>
      <c r="ES179" s="36"/>
      <c r="ET179" s="36"/>
      <c r="EU179" s="36"/>
      <c r="EV179" s="36"/>
      <c r="EW179" s="36"/>
      <c r="EX179" s="36"/>
      <c r="EY179" s="36"/>
      <c r="EZ179" s="36"/>
      <c r="FA179" s="36"/>
      <c r="FB179" s="36"/>
      <c r="FC179" s="36"/>
      <c r="FD179" s="36"/>
      <c r="FE179" s="36"/>
      <c r="FF179" s="36"/>
      <c r="FG179" s="36"/>
      <c r="FH179" s="36"/>
      <c r="FI179" s="36"/>
      <c r="FJ179" s="36"/>
      <c r="FK179" s="36"/>
      <c r="FL179" s="36"/>
      <c r="FM179" s="36"/>
      <c r="FN179" s="36"/>
      <c r="FO179" s="36"/>
      <c r="FP179" s="36"/>
      <c r="FQ179" s="36"/>
      <c r="FR179" s="36"/>
      <c r="FS179" s="36"/>
      <c r="FT179" s="36"/>
      <c r="FU179" s="36"/>
      <c r="FV179" s="36"/>
      <c r="FW179" s="36"/>
      <c r="FX179" s="36"/>
      <c r="FY179" s="36"/>
      <c r="FZ179" s="36"/>
      <c r="GA179" s="36"/>
      <c r="GB179" s="319"/>
      <c r="GC179" s="179">
        <f t="shared" si="32"/>
        <v>0</v>
      </c>
      <c r="GD179" s="179">
        <f t="shared" si="33"/>
        <v>0</v>
      </c>
      <c r="GE179" s="179">
        <f t="shared" si="34"/>
        <v>0</v>
      </c>
      <c r="GF179" s="179">
        <f t="shared" si="35"/>
        <v>0</v>
      </c>
      <c r="GG179" s="179">
        <f t="shared" si="36"/>
        <v>0</v>
      </c>
    </row>
    <row r="180" spans="1:189" x14ac:dyDescent="0.35">
      <c r="A180" s="5" t="s">
        <v>1108</v>
      </c>
      <c r="B180" s="5" t="str">
        <f>IF(Technologies!B180&lt;&gt;0,Technologies!B180,"")</f>
        <v>Mobiliteit</v>
      </c>
      <c r="C180" s="5" t="str">
        <f>VLOOKUP($A180,Technologies!$A$7:$H$576,3,FALSE)</f>
        <v>Final</v>
      </c>
      <c r="D180" s="5" t="str">
        <f>VLOOKUP($A180,Technologies!$A$7:$H$576,4,FALSE)</f>
        <v>Transport</v>
      </c>
      <c r="E180" s="5" t="str">
        <f>VLOOKUP($A180,Technologies!$A$7:$H$576,6,FALSE)</f>
        <v>Buses</v>
      </c>
      <c r="F180" s="5" t="str">
        <f>VLOOKUP($A180,Technologies!$A$7:$H$576,7,FALSE)</f>
        <v>Hydrogen Fuel Cell Vehicle - Bus</v>
      </c>
      <c r="G180" s="23"/>
      <c r="H180" s="23"/>
      <c r="I180" s="104" cm="1">
        <f t="array" ref="I180">-SUMPRODUCT((Feedstocks!$C$4:$C$141=A180)*Feedstocks!$E$4:$E$141,Feedstocks!$F$4:$F$141,Feedstocks!$H$4:$H$141,Feedstocks!$I$4:$I$141)</f>
        <v>0</v>
      </c>
      <c r="J180" s="104" cm="1">
        <f t="array" ref="J180">-SUMPRODUCT((Feedstocks!$C$4:$C$141=A180)*Feedstocks!$E$4:$E$141,Feedstocks!$H$4:$H$141,Feedstocks!$I$4:$I$141)</f>
        <v>0</v>
      </c>
      <c r="K180" s="104"/>
      <c r="L180" s="104"/>
      <c r="M180" s="23"/>
      <c r="N180" s="23" t="str">
        <f>VLOOKUP(E180,Activities!$A$9:$M$227,13,FALSE)</f>
        <v>NL</v>
      </c>
      <c r="O180" s="23"/>
      <c r="P180" s="79" t="s">
        <v>1807</v>
      </c>
      <c r="Q180" s="35"/>
      <c r="R180" s="35"/>
      <c r="S180" s="35"/>
      <c r="T180" s="35"/>
      <c r="U180" s="35"/>
      <c r="V180" s="35"/>
      <c r="W180" s="35"/>
      <c r="X180" s="35"/>
      <c r="Y180" s="35"/>
      <c r="Z180" s="35"/>
      <c r="AA180" s="35"/>
      <c r="AB180" s="35"/>
      <c r="AC180" s="35"/>
      <c r="AD180" s="35"/>
      <c r="AE180" s="35"/>
      <c r="AF180" s="35"/>
      <c r="AG180" s="35"/>
      <c r="AH180" s="35"/>
      <c r="AI180" s="35"/>
      <c r="AJ180" s="35"/>
      <c r="AK180" s="35"/>
      <c r="AL180" s="35"/>
      <c r="AM180" s="35"/>
      <c r="AN180" s="35"/>
      <c r="AO180" s="35"/>
      <c r="AP180" s="35"/>
      <c r="AQ180" s="35"/>
      <c r="AR180" s="35"/>
      <c r="AS180" s="35"/>
      <c r="AT180" s="35"/>
      <c r="AU180" s="35"/>
      <c r="AV180" s="35"/>
      <c r="AW180" s="35"/>
      <c r="AX180" s="35"/>
      <c r="AY180" s="35"/>
      <c r="AZ180" s="35"/>
      <c r="BA180" s="35"/>
      <c r="BB180" s="35"/>
      <c r="BC180" s="35"/>
      <c r="BD180" s="35"/>
      <c r="BE180" s="35">
        <v>1</v>
      </c>
      <c r="BF180" s="35"/>
      <c r="BG180" s="35"/>
      <c r="BH180" s="35"/>
      <c r="BI180" s="35"/>
      <c r="BJ180" s="35"/>
      <c r="BK180" s="35"/>
      <c r="BL180" s="35"/>
      <c r="BM180" s="35"/>
      <c r="BN180" s="35"/>
      <c r="BO180" s="35"/>
      <c r="BP180" s="35"/>
      <c r="BQ180" s="35"/>
      <c r="BR180" s="35"/>
      <c r="BS180" s="35"/>
      <c r="BT180" s="35"/>
      <c r="BU180" s="35"/>
      <c r="BV180" s="35"/>
      <c r="BW180" s="35"/>
      <c r="BX180" s="35"/>
      <c r="BY180" s="35"/>
      <c r="BZ180" s="35"/>
      <c r="CA180" s="35"/>
      <c r="CB180" s="35"/>
      <c r="CC180" s="35"/>
      <c r="CD180" s="35"/>
      <c r="CE180" s="35"/>
      <c r="CF180" s="35"/>
      <c r="CG180" s="35"/>
      <c r="CH180" s="35"/>
      <c r="CI180" s="35"/>
      <c r="CJ180" s="35"/>
      <c r="CK180" s="35"/>
      <c r="CL180" s="35"/>
      <c r="CM180" s="35"/>
      <c r="CN180" s="35"/>
      <c r="CO180" s="35"/>
      <c r="CP180" s="35"/>
      <c r="CQ180" s="35"/>
      <c r="CR180" s="35"/>
      <c r="CS180" s="35"/>
      <c r="CT180" s="35"/>
      <c r="CU180" s="35"/>
      <c r="CV180" s="35"/>
      <c r="CW180" s="35"/>
      <c r="CX180" s="35"/>
      <c r="CY180" s="35"/>
      <c r="CZ180" s="35"/>
      <c r="DA180" s="35"/>
      <c r="DB180" s="35"/>
      <c r="DC180" s="35"/>
      <c r="DD180" s="35"/>
      <c r="DE180" s="35"/>
      <c r="DF180" s="35"/>
      <c r="DG180" s="35"/>
      <c r="DH180" s="35"/>
      <c r="DI180" s="35"/>
      <c r="DJ180" s="35"/>
      <c r="DK180" s="35"/>
      <c r="DL180" s="35"/>
      <c r="DM180" s="35"/>
      <c r="DN180" s="35"/>
      <c r="DO180" s="35"/>
      <c r="DP180" s="35"/>
      <c r="DQ180" s="35"/>
      <c r="DR180" s="35"/>
      <c r="DS180" s="35"/>
      <c r="DT180" s="35"/>
      <c r="DU180" s="35"/>
      <c r="DV180" s="35"/>
      <c r="DW180" s="35"/>
      <c r="DX180" s="35"/>
      <c r="DY180" s="35"/>
      <c r="DZ180" s="35"/>
      <c r="EA180" s="35"/>
      <c r="EB180" s="35"/>
      <c r="EC180" s="35"/>
      <c r="ED180" s="35"/>
      <c r="EE180" s="35"/>
      <c r="EF180" s="35"/>
      <c r="EG180" s="35"/>
      <c r="EH180" s="35"/>
      <c r="EI180" s="35"/>
      <c r="EJ180" s="35"/>
      <c r="EK180" s="35"/>
      <c r="EL180" s="35"/>
      <c r="EM180" s="35"/>
      <c r="EN180" s="35">
        <v>-8.5000000000000006E-3</v>
      </c>
      <c r="EO180" s="35"/>
      <c r="EP180" s="35"/>
      <c r="EQ180" s="35"/>
      <c r="ER180" s="35"/>
      <c r="ES180" s="35"/>
      <c r="ET180" s="35"/>
      <c r="EU180" s="35"/>
      <c r="EV180" s="35"/>
      <c r="EW180" s="35"/>
      <c r="EX180" s="35"/>
      <c r="EY180" s="35"/>
      <c r="EZ180" s="35"/>
      <c r="FA180" s="35"/>
      <c r="FB180" s="35"/>
      <c r="FC180" s="35"/>
      <c r="FD180" s="35"/>
      <c r="FE180" s="35"/>
      <c r="FF180" s="35"/>
      <c r="FG180" s="35"/>
      <c r="FH180" s="35"/>
      <c r="FI180" s="35"/>
      <c r="FJ180" s="35"/>
      <c r="FK180" s="35"/>
      <c r="FL180" s="35"/>
      <c r="FM180" s="35"/>
      <c r="FN180" s="35"/>
      <c r="FO180" s="35"/>
      <c r="FP180" s="35"/>
      <c r="FQ180" s="35"/>
      <c r="FR180" s="35"/>
      <c r="FS180" s="35"/>
      <c r="FT180" s="35"/>
      <c r="FU180" s="35"/>
      <c r="FV180" s="35"/>
      <c r="FW180" s="35"/>
      <c r="FX180" s="35"/>
      <c r="FY180" s="35"/>
      <c r="FZ180" s="35"/>
      <c r="GA180" s="35"/>
      <c r="GB180" s="318"/>
      <c r="GC180" s="178">
        <f t="shared" si="32"/>
        <v>0</v>
      </c>
      <c r="GD180" s="178">
        <f t="shared" si="33"/>
        <v>0</v>
      </c>
      <c r="GE180" s="178">
        <f t="shared" si="34"/>
        <v>0</v>
      </c>
      <c r="GF180" s="178">
        <f t="shared" si="35"/>
        <v>0</v>
      </c>
      <c r="GG180" s="178">
        <f t="shared" si="36"/>
        <v>0</v>
      </c>
    </row>
    <row r="181" spans="1:189" x14ac:dyDescent="0.35">
      <c r="A181" s="6" t="s">
        <v>1110</v>
      </c>
      <c r="B181" s="6" t="str">
        <f>IF(Technologies!B181&lt;&gt;0,Technologies!B181,"")</f>
        <v>Mobiliteit</v>
      </c>
      <c r="C181" s="6" t="str">
        <f>VLOOKUP($A181,Technologies!$A$7:$H$576,3,FALSE)</f>
        <v>Final</v>
      </c>
      <c r="D181" s="6" t="str">
        <f>VLOOKUP($A181,Technologies!$A$7:$H$576,4,FALSE)</f>
        <v>Transport</v>
      </c>
      <c r="E181" s="6" t="str">
        <f>VLOOKUP($A181,Technologies!$A$7:$H$576,6,FALSE)</f>
        <v>Rail</v>
      </c>
      <c r="F181" s="48" t="str">
        <f>VLOOKUP($A181,Technologies!$A$7:$H$576,7,FALSE)</f>
        <v>Compression Ignition - Train</v>
      </c>
      <c r="G181" s="22"/>
      <c r="H181" s="22"/>
      <c r="I181" s="103" cm="1">
        <f t="array" ref="I181">-SUMPRODUCT((Feedstocks!$C$4:$C$141=A181)*Feedstocks!$E$4:$E$141,Feedstocks!$F$4:$F$141,Feedstocks!$H$4:$H$141,Feedstocks!$I$4:$I$141)</f>
        <v>0</v>
      </c>
      <c r="J181" s="103" cm="1">
        <f t="array" ref="J181">-SUMPRODUCT((Feedstocks!$C$4:$C$141=A181)*Feedstocks!$E$4:$E$141,Feedstocks!$H$4:$H$141,Feedstocks!$I$4:$I$141)</f>
        <v>0</v>
      </c>
      <c r="K181" s="103"/>
      <c r="L181" s="103"/>
      <c r="M181" s="22"/>
      <c r="N181" s="22" t="str">
        <f>VLOOKUP(E181,Activities!$A$9:$M$227,13,FALSE)</f>
        <v>NL</v>
      </c>
      <c r="O181" s="22"/>
      <c r="P181" s="80" t="s">
        <v>1807</v>
      </c>
      <c r="Q181" s="36"/>
      <c r="R181" s="36"/>
      <c r="S181" s="36"/>
      <c r="T181" s="36"/>
      <c r="U181" s="36"/>
      <c r="V181" s="36"/>
      <c r="W181" s="36"/>
      <c r="X181" s="36"/>
      <c r="Y181" s="36"/>
      <c r="Z181" s="36"/>
      <c r="AA181" s="36"/>
      <c r="AB181" s="36"/>
      <c r="AC181" s="36"/>
      <c r="AD181" s="36"/>
      <c r="AE181" s="36"/>
      <c r="AF181" s="36"/>
      <c r="AG181" s="36"/>
      <c r="AH181" s="36"/>
      <c r="AI181" s="36"/>
      <c r="AJ181" s="36"/>
      <c r="AK181" s="36"/>
      <c r="AL181" s="36"/>
      <c r="AM181" s="36"/>
      <c r="AN181" s="36"/>
      <c r="AO181" s="36"/>
      <c r="AP181" s="36"/>
      <c r="AQ181" s="36"/>
      <c r="AR181" s="36"/>
      <c r="AS181" s="36"/>
      <c r="AT181" s="36"/>
      <c r="AU181" s="36"/>
      <c r="AV181" s="36"/>
      <c r="AW181" s="36"/>
      <c r="AX181" s="36"/>
      <c r="AY181" s="36"/>
      <c r="AZ181" s="36"/>
      <c r="BA181" s="36"/>
      <c r="BB181" s="36"/>
      <c r="BC181" s="36"/>
      <c r="BD181" s="36"/>
      <c r="BE181" s="36"/>
      <c r="BF181" s="36">
        <v>1</v>
      </c>
      <c r="BG181" s="36"/>
      <c r="BH181" s="36"/>
      <c r="BI181" s="36"/>
      <c r="BJ181" s="36"/>
      <c r="BK181" s="36"/>
      <c r="BL181" s="36"/>
      <c r="BM181" s="36"/>
      <c r="BN181" s="36"/>
      <c r="BO181" s="36"/>
      <c r="BP181" s="36"/>
      <c r="BQ181" s="36"/>
      <c r="BR181" s="36"/>
      <c r="BS181" s="36"/>
      <c r="BT181" s="36"/>
      <c r="BU181" s="36"/>
      <c r="BV181" s="36"/>
      <c r="BW181" s="36"/>
      <c r="BX181" s="36"/>
      <c r="BY181" s="36"/>
      <c r="BZ181" s="36"/>
      <c r="CA181" s="36"/>
      <c r="CB181" s="36"/>
      <c r="CC181" s="36"/>
      <c r="CD181" s="36"/>
      <c r="CE181" s="36"/>
      <c r="CF181" s="36"/>
      <c r="CG181" s="36"/>
      <c r="CH181" s="36"/>
      <c r="CI181" s="36"/>
      <c r="CJ181" s="36"/>
      <c r="CK181" s="36"/>
      <c r="CL181" s="36"/>
      <c r="CM181" s="36"/>
      <c r="CN181" s="36"/>
      <c r="CO181" s="36"/>
      <c r="CP181" s="36"/>
      <c r="CQ181" s="36"/>
      <c r="CR181" s="36"/>
      <c r="CS181" s="36"/>
      <c r="CT181" s="36"/>
      <c r="CU181" s="36"/>
      <c r="CV181" s="36"/>
      <c r="CW181" s="36"/>
      <c r="CX181" s="36"/>
      <c r="CY181" s="36"/>
      <c r="CZ181" s="36"/>
      <c r="DA181" s="36"/>
      <c r="DB181" s="36"/>
      <c r="DC181" s="36"/>
      <c r="DD181" s="36"/>
      <c r="DE181" s="36"/>
      <c r="DF181" s="36"/>
      <c r="DG181" s="36"/>
      <c r="DH181" s="36"/>
      <c r="DI181" s="36"/>
      <c r="DJ181" s="36"/>
      <c r="DK181" s="36"/>
      <c r="DL181" s="36"/>
      <c r="DM181" s="36"/>
      <c r="DN181" s="36"/>
      <c r="DO181" s="36"/>
      <c r="DP181" s="36"/>
      <c r="DQ181" s="36"/>
      <c r="DR181" s="36"/>
      <c r="DS181" s="36"/>
      <c r="DT181" s="36"/>
      <c r="DU181" s="36">
        <v>-6.83E-2</v>
      </c>
      <c r="DV181" s="36"/>
      <c r="DW181" s="36"/>
      <c r="DX181" s="36"/>
      <c r="DY181" s="36"/>
      <c r="DZ181" s="36"/>
      <c r="EA181" s="36"/>
      <c r="EB181" s="36"/>
      <c r="EC181" s="36"/>
      <c r="ED181" s="36"/>
      <c r="EE181" s="36"/>
      <c r="EF181" s="36"/>
      <c r="EG181" s="36"/>
      <c r="EH181" s="36"/>
      <c r="EI181" s="36"/>
      <c r="EJ181" s="36"/>
      <c r="EK181" s="36"/>
      <c r="EL181" s="36"/>
      <c r="EM181" s="36"/>
      <c r="EN181" s="36"/>
      <c r="EO181" s="36"/>
      <c r="EP181" s="36"/>
      <c r="EQ181" s="36"/>
      <c r="ER181" s="36"/>
      <c r="ES181" s="36"/>
      <c r="ET181" s="36"/>
      <c r="EU181" s="36"/>
      <c r="EV181" s="36"/>
      <c r="EW181" s="36"/>
      <c r="EX181" s="36"/>
      <c r="EY181" s="36"/>
      <c r="EZ181" s="36"/>
      <c r="FA181" s="36"/>
      <c r="FB181" s="36"/>
      <c r="FC181" s="36"/>
      <c r="FD181" s="36"/>
      <c r="FE181" s="36"/>
      <c r="FF181" s="36"/>
      <c r="FG181" s="36"/>
      <c r="FH181" s="36"/>
      <c r="FI181" s="36"/>
      <c r="FJ181" s="36"/>
      <c r="FK181" s="36"/>
      <c r="FL181" s="36"/>
      <c r="FM181" s="36"/>
      <c r="FN181" s="36"/>
      <c r="FO181" s="36"/>
      <c r="FP181" s="36"/>
      <c r="FQ181" s="36"/>
      <c r="FR181" s="36"/>
      <c r="FS181" s="36"/>
      <c r="FT181" s="36"/>
      <c r="FU181" s="36"/>
      <c r="FV181" s="36"/>
      <c r="FW181" s="36"/>
      <c r="FX181" s="36"/>
      <c r="FY181" s="36"/>
      <c r="FZ181" s="36"/>
      <c r="GA181" s="36"/>
      <c r="GB181" s="319"/>
      <c r="GC181" s="179">
        <f t="shared" si="32"/>
        <v>0</v>
      </c>
      <c r="GD181" s="179">
        <f t="shared" si="33"/>
        <v>0</v>
      </c>
      <c r="GE181" s="179">
        <f t="shared" si="34"/>
        <v>5.0000000000000001E-3</v>
      </c>
      <c r="GF181" s="179">
        <f t="shared" si="35"/>
        <v>0</v>
      </c>
      <c r="GG181" s="179">
        <f t="shared" si="36"/>
        <v>0</v>
      </c>
    </row>
    <row r="182" spans="1:189" x14ac:dyDescent="0.35">
      <c r="A182" s="5" t="s">
        <v>1113</v>
      </c>
      <c r="B182" s="5" t="str">
        <f>IF(Technologies!B182&lt;&gt;0,Technologies!B182,"")</f>
        <v>Mobiliteit</v>
      </c>
      <c r="C182" s="5" t="str">
        <f>VLOOKUP($A182,Technologies!$A$7:$H$576,3,FALSE)</f>
        <v>Final</v>
      </c>
      <c r="D182" s="5" t="str">
        <f>VLOOKUP($A182,Technologies!$A$7:$H$576,4,FALSE)</f>
        <v>Transport</v>
      </c>
      <c r="E182" s="5" t="str">
        <f>VLOOKUP($A182,Technologies!$A$7:$H$576,6,FALSE)</f>
        <v>Rail</v>
      </c>
      <c r="F182" s="5" t="str">
        <f>VLOOKUP($A182,Technologies!$A$7:$H$576,7,FALSE)</f>
        <v>Conventional Electric - Train</v>
      </c>
      <c r="G182" s="23"/>
      <c r="H182" s="23"/>
      <c r="I182" s="104" cm="1">
        <f t="array" ref="I182">-SUMPRODUCT((Feedstocks!$C$4:$C$141=A182)*Feedstocks!$E$4:$E$141,Feedstocks!$F$4:$F$141,Feedstocks!$H$4:$H$141,Feedstocks!$I$4:$I$141)</f>
        <v>0</v>
      </c>
      <c r="J182" s="104" cm="1">
        <f t="array" ref="J182">-SUMPRODUCT((Feedstocks!$C$4:$C$141=A182)*Feedstocks!$E$4:$E$141,Feedstocks!$H$4:$H$141,Feedstocks!$I$4:$I$141)</f>
        <v>0</v>
      </c>
      <c r="K182" s="104"/>
      <c r="L182" s="104"/>
      <c r="M182" s="23"/>
      <c r="N182" s="23" t="str">
        <f>VLOOKUP(E182,Activities!$A$9:$M$227,13,FALSE)</f>
        <v>NL</v>
      </c>
      <c r="O182" s="23"/>
      <c r="P182" s="79" t="s">
        <v>1807</v>
      </c>
      <c r="Q182" s="35"/>
      <c r="R182" s="35"/>
      <c r="S182" s="35"/>
      <c r="T182" s="35"/>
      <c r="U182" s="35"/>
      <c r="V182" s="35"/>
      <c r="W182" s="35"/>
      <c r="X182" s="35"/>
      <c r="Y182" s="35"/>
      <c r="Z182" s="35"/>
      <c r="AA182" s="35"/>
      <c r="AB182" s="35"/>
      <c r="AC182" s="35"/>
      <c r="AD182" s="35"/>
      <c r="AE182" s="35"/>
      <c r="AF182" s="35"/>
      <c r="AG182" s="35"/>
      <c r="AH182" s="35"/>
      <c r="AI182" s="35"/>
      <c r="AJ182" s="35"/>
      <c r="AK182" s="35"/>
      <c r="AL182" s="35"/>
      <c r="AM182" s="35"/>
      <c r="AN182" s="35"/>
      <c r="AO182" s="35"/>
      <c r="AP182" s="35"/>
      <c r="AQ182" s="35"/>
      <c r="AR182" s="35"/>
      <c r="AS182" s="35"/>
      <c r="AT182" s="35"/>
      <c r="AU182" s="35"/>
      <c r="AV182" s="35"/>
      <c r="AW182" s="35"/>
      <c r="AX182" s="35"/>
      <c r="AY182" s="35"/>
      <c r="AZ182" s="35"/>
      <c r="BA182" s="35"/>
      <c r="BB182" s="35"/>
      <c r="BC182" s="35"/>
      <c r="BD182" s="35"/>
      <c r="BE182" s="35"/>
      <c r="BF182" s="35">
        <v>1</v>
      </c>
      <c r="BG182" s="35"/>
      <c r="BH182" s="35"/>
      <c r="BI182" s="35"/>
      <c r="BJ182" s="35"/>
      <c r="BK182" s="35"/>
      <c r="BL182" s="35"/>
      <c r="BM182" s="35"/>
      <c r="BN182" s="35"/>
      <c r="BO182" s="35"/>
      <c r="BP182" s="35"/>
      <c r="BQ182" s="35"/>
      <c r="BR182" s="35"/>
      <c r="BS182" s="35"/>
      <c r="BT182" s="35"/>
      <c r="BU182" s="35"/>
      <c r="BV182" s="35"/>
      <c r="BW182" s="35"/>
      <c r="BX182" s="35"/>
      <c r="BY182" s="35"/>
      <c r="BZ182" s="35"/>
      <c r="CA182" s="35"/>
      <c r="CB182" s="35"/>
      <c r="CC182" s="35"/>
      <c r="CD182" s="35"/>
      <c r="CE182" s="35"/>
      <c r="CF182" s="35"/>
      <c r="CG182" s="35"/>
      <c r="CH182" s="35"/>
      <c r="CI182" s="35"/>
      <c r="CJ182" s="35"/>
      <c r="CK182" s="35"/>
      <c r="CL182" s="35"/>
      <c r="CM182" s="35"/>
      <c r="CN182" s="35"/>
      <c r="CO182" s="35"/>
      <c r="CP182" s="35"/>
      <c r="CQ182" s="35"/>
      <c r="CR182" s="35"/>
      <c r="CS182" s="35"/>
      <c r="CT182" s="35"/>
      <c r="CU182" s="35"/>
      <c r="CV182" s="35"/>
      <c r="CW182" s="35"/>
      <c r="CX182" s="35"/>
      <c r="CY182" s="35"/>
      <c r="CZ182" s="35"/>
      <c r="DA182" s="35"/>
      <c r="DB182" s="35"/>
      <c r="DC182" s="35"/>
      <c r="DD182" s="35"/>
      <c r="DE182" s="35"/>
      <c r="DF182" s="35"/>
      <c r="DG182" s="35"/>
      <c r="DH182" s="35">
        <v>-3.7999999999999999E-2</v>
      </c>
      <c r="DI182" s="35"/>
      <c r="DJ182" s="35"/>
      <c r="DK182" s="35"/>
      <c r="DL182" s="35"/>
      <c r="DM182" s="35"/>
      <c r="DN182" s="35"/>
      <c r="DO182" s="35"/>
      <c r="DP182" s="35"/>
      <c r="DQ182" s="35"/>
      <c r="DR182" s="35"/>
      <c r="DS182" s="35"/>
      <c r="DT182" s="35"/>
      <c r="DU182" s="35"/>
      <c r="DV182" s="35"/>
      <c r="DW182" s="35"/>
      <c r="DX182" s="35"/>
      <c r="DY182" s="35"/>
      <c r="DZ182" s="35"/>
      <c r="EA182" s="35"/>
      <c r="EB182" s="35"/>
      <c r="EC182" s="35"/>
      <c r="ED182" s="35"/>
      <c r="EE182" s="35"/>
      <c r="EF182" s="35"/>
      <c r="EG182" s="35"/>
      <c r="EH182" s="35"/>
      <c r="EI182" s="35"/>
      <c r="EJ182" s="35"/>
      <c r="EK182" s="35"/>
      <c r="EL182" s="35"/>
      <c r="EM182" s="35"/>
      <c r="EN182" s="35"/>
      <c r="EO182" s="35"/>
      <c r="EP182" s="35"/>
      <c r="EQ182" s="35"/>
      <c r="ER182" s="35"/>
      <c r="ES182" s="35"/>
      <c r="ET182" s="35"/>
      <c r="EU182" s="35"/>
      <c r="EV182" s="35"/>
      <c r="EW182" s="35"/>
      <c r="EX182" s="35"/>
      <c r="EY182" s="35"/>
      <c r="EZ182" s="35"/>
      <c r="FA182" s="35"/>
      <c r="FB182" s="35"/>
      <c r="FC182" s="35"/>
      <c r="FD182" s="35"/>
      <c r="FE182" s="35"/>
      <c r="FF182" s="35"/>
      <c r="FG182" s="35"/>
      <c r="FH182" s="35"/>
      <c r="FI182" s="35"/>
      <c r="FJ182" s="35"/>
      <c r="FK182" s="35"/>
      <c r="FL182" s="35"/>
      <c r="FM182" s="35"/>
      <c r="FN182" s="35"/>
      <c r="FO182" s="35"/>
      <c r="FP182" s="35"/>
      <c r="FQ182" s="35"/>
      <c r="FR182" s="35"/>
      <c r="FS182" s="35"/>
      <c r="FT182" s="35"/>
      <c r="FU182" s="35"/>
      <c r="FV182" s="35"/>
      <c r="FW182" s="35"/>
      <c r="FX182" s="35"/>
      <c r="FY182" s="35"/>
      <c r="FZ182" s="35"/>
      <c r="GA182" s="35"/>
      <c r="GB182" s="318"/>
      <c r="GC182" s="178">
        <f t="shared" si="32"/>
        <v>0</v>
      </c>
      <c r="GD182" s="178">
        <f t="shared" si="33"/>
        <v>0</v>
      </c>
      <c r="GE182" s="178">
        <f t="shared" si="34"/>
        <v>0</v>
      </c>
      <c r="GF182" s="178">
        <f t="shared" si="35"/>
        <v>0</v>
      </c>
      <c r="GG182" s="178">
        <f t="shared" si="36"/>
        <v>0</v>
      </c>
    </row>
    <row r="183" spans="1:189" x14ac:dyDescent="0.35">
      <c r="A183" s="6" t="s">
        <v>1115</v>
      </c>
      <c r="B183" s="6" t="str">
        <f>IF(Technologies!B183&lt;&gt;0,Technologies!B183,"")</f>
        <v>Mobiliteit</v>
      </c>
      <c r="C183" s="6" t="str">
        <f>VLOOKUP($A183,Technologies!$A$7:$H$576,3,FALSE)</f>
        <v>Final</v>
      </c>
      <c r="D183" s="6" t="str">
        <f>VLOOKUP($A183,Technologies!$A$7:$H$576,4,FALSE)</f>
        <v>Transport</v>
      </c>
      <c r="E183" s="6" t="str">
        <f>VLOOKUP($A183,Technologies!$A$7:$H$576,6,FALSE)</f>
        <v>Domestic Navigation</v>
      </c>
      <c r="F183" s="48" t="str">
        <f>VLOOKUP($A183,Technologies!$A$7:$H$576,7,FALSE)</f>
        <v>Heavy Oil Ship - Inland</v>
      </c>
      <c r="G183" s="22"/>
      <c r="H183" s="22"/>
      <c r="I183" s="103" cm="1">
        <f t="array" ref="I183">-SUMPRODUCT((Feedstocks!$C$4:$C$141=A183)*Feedstocks!$E$4:$E$141,Feedstocks!$F$4:$F$141,Feedstocks!$H$4:$H$141,Feedstocks!$I$4:$I$141)</f>
        <v>0</v>
      </c>
      <c r="J183" s="103" cm="1">
        <f t="array" ref="J183">-SUMPRODUCT((Feedstocks!$C$4:$C$141=A183)*Feedstocks!$E$4:$E$141,Feedstocks!$H$4:$H$141,Feedstocks!$I$4:$I$141)</f>
        <v>0</v>
      </c>
      <c r="K183" s="103"/>
      <c r="L183" s="103"/>
      <c r="M183" s="22"/>
      <c r="N183" s="22" t="str">
        <f>VLOOKUP(E183,Activities!$A$9:$M$227,13,FALSE)</f>
        <v>NL</v>
      </c>
      <c r="O183" s="22"/>
      <c r="P183" s="80" t="s">
        <v>699</v>
      </c>
      <c r="Q183" s="36"/>
      <c r="R183" s="36"/>
      <c r="S183" s="36"/>
      <c r="T183" s="36"/>
      <c r="U183" s="36"/>
      <c r="V183" s="36"/>
      <c r="W183" s="36"/>
      <c r="X183" s="36"/>
      <c r="Y183" s="36"/>
      <c r="Z183" s="36"/>
      <c r="AA183" s="36"/>
      <c r="AB183" s="36"/>
      <c r="AC183" s="36"/>
      <c r="AD183" s="36"/>
      <c r="AE183" s="36"/>
      <c r="AF183" s="36"/>
      <c r="AG183" s="36"/>
      <c r="AH183" s="36"/>
      <c r="AI183" s="36"/>
      <c r="AJ183" s="36"/>
      <c r="AK183" s="36"/>
      <c r="AL183" s="36"/>
      <c r="AM183" s="36"/>
      <c r="AN183" s="36"/>
      <c r="AO183" s="36"/>
      <c r="AP183" s="36"/>
      <c r="AQ183" s="36"/>
      <c r="AR183" s="36"/>
      <c r="AS183" s="36"/>
      <c r="AT183" s="36"/>
      <c r="AU183" s="36"/>
      <c r="AV183" s="36"/>
      <c r="AW183" s="36"/>
      <c r="AX183" s="36"/>
      <c r="AY183" s="36"/>
      <c r="AZ183" s="36"/>
      <c r="BA183" s="36"/>
      <c r="BB183" s="36"/>
      <c r="BC183" s="36"/>
      <c r="BD183" s="36"/>
      <c r="BE183" s="36"/>
      <c r="BF183" s="36"/>
      <c r="BG183" s="36">
        <v>1</v>
      </c>
      <c r="BH183" s="36"/>
      <c r="BI183" s="36"/>
      <c r="BJ183" s="36"/>
      <c r="BK183" s="36"/>
      <c r="BL183" s="36"/>
      <c r="BM183" s="36"/>
      <c r="BN183" s="36"/>
      <c r="BO183" s="36"/>
      <c r="BP183" s="36"/>
      <c r="BQ183" s="36"/>
      <c r="BR183" s="36"/>
      <c r="BS183" s="36"/>
      <c r="BT183" s="36"/>
      <c r="BU183" s="36"/>
      <c r="BV183" s="36"/>
      <c r="BW183" s="36"/>
      <c r="BX183" s="36"/>
      <c r="BY183" s="36"/>
      <c r="BZ183" s="36"/>
      <c r="CA183" s="36"/>
      <c r="CB183" s="36"/>
      <c r="CC183" s="36"/>
      <c r="CD183" s="36"/>
      <c r="CE183" s="36"/>
      <c r="CF183" s="36"/>
      <c r="CG183" s="36"/>
      <c r="CH183" s="36"/>
      <c r="CI183" s="36"/>
      <c r="CJ183" s="36"/>
      <c r="CK183" s="36"/>
      <c r="CL183" s="36"/>
      <c r="CM183" s="36"/>
      <c r="CN183" s="36"/>
      <c r="CO183" s="36"/>
      <c r="CP183" s="36"/>
      <c r="CQ183" s="36"/>
      <c r="CR183" s="36"/>
      <c r="CS183" s="36"/>
      <c r="CT183" s="36"/>
      <c r="CU183" s="36"/>
      <c r="CV183" s="36"/>
      <c r="CW183" s="36"/>
      <c r="CX183" s="36"/>
      <c r="CY183" s="36"/>
      <c r="CZ183" s="36"/>
      <c r="DA183" s="36"/>
      <c r="DB183" s="36"/>
      <c r="DC183" s="36"/>
      <c r="DD183" s="36"/>
      <c r="DE183" s="36"/>
      <c r="DF183" s="36"/>
      <c r="DG183" s="36"/>
      <c r="DH183" s="36"/>
      <c r="DI183" s="36"/>
      <c r="DJ183" s="36"/>
      <c r="DK183" s="36"/>
      <c r="DL183" s="36"/>
      <c r="DM183" s="36"/>
      <c r="DN183" s="36"/>
      <c r="DO183" s="36"/>
      <c r="DP183" s="36"/>
      <c r="DQ183" s="36"/>
      <c r="DR183" s="36"/>
      <c r="DS183" s="36"/>
      <c r="DT183" s="36"/>
      <c r="DU183" s="36"/>
      <c r="DV183" s="36"/>
      <c r="DW183" s="36">
        <v>-0.215</v>
      </c>
      <c r="DX183" s="36"/>
      <c r="DY183" s="36"/>
      <c r="DZ183" s="36"/>
      <c r="EA183" s="36"/>
      <c r="EB183" s="36"/>
      <c r="EC183" s="36"/>
      <c r="ED183" s="36"/>
      <c r="EE183" s="36"/>
      <c r="EF183" s="36"/>
      <c r="EG183" s="36"/>
      <c r="EH183" s="36"/>
      <c r="EI183" s="36"/>
      <c r="EJ183" s="36"/>
      <c r="EK183" s="36"/>
      <c r="EL183" s="36"/>
      <c r="EM183" s="36"/>
      <c r="EN183" s="36"/>
      <c r="EO183" s="36"/>
      <c r="EP183" s="36"/>
      <c r="EQ183" s="36"/>
      <c r="ER183" s="36"/>
      <c r="ES183" s="36"/>
      <c r="ET183" s="36"/>
      <c r="EU183" s="36"/>
      <c r="EV183" s="36"/>
      <c r="EW183" s="36"/>
      <c r="EX183" s="36"/>
      <c r="EY183" s="36"/>
      <c r="EZ183" s="36"/>
      <c r="FA183" s="36"/>
      <c r="FB183" s="36"/>
      <c r="FC183" s="36"/>
      <c r="FD183" s="36"/>
      <c r="FE183" s="36"/>
      <c r="FF183" s="36"/>
      <c r="FG183" s="36"/>
      <c r="FH183" s="36"/>
      <c r="FI183" s="36"/>
      <c r="FJ183" s="36"/>
      <c r="FK183" s="36"/>
      <c r="FL183" s="36"/>
      <c r="FM183" s="36"/>
      <c r="FN183" s="36"/>
      <c r="FO183" s="36"/>
      <c r="FP183" s="36"/>
      <c r="FQ183" s="36"/>
      <c r="FR183" s="36"/>
      <c r="FS183" s="36"/>
      <c r="FT183" s="36"/>
      <c r="FU183" s="36"/>
      <c r="FV183" s="36"/>
      <c r="FW183" s="36"/>
      <c r="FX183" s="36"/>
      <c r="FY183" s="36"/>
      <c r="FZ183" s="36"/>
      <c r="GA183" s="36"/>
      <c r="GB183" s="319"/>
      <c r="GC183" s="179">
        <f t="shared" si="32"/>
        <v>0</v>
      </c>
      <c r="GD183" s="179">
        <f t="shared" si="33"/>
        <v>0</v>
      </c>
      <c r="GE183" s="179">
        <f t="shared" si="34"/>
        <v>1.66E-2</v>
      </c>
      <c r="GF183" s="179">
        <f t="shared" si="35"/>
        <v>0</v>
      </c>
      <c r="GG183" s="179">
        <f t="shared" si="36"/>
        <v>0</v>
      </c>
    </row>
    <row r="184" spans="1:189" x14ac:dyDescent="0.35">
      <c r="A184" s="5" t="s">
        <v>1119</v>
      </c>
      <c r="B184" s="5" t="str">
        <f>IF(Technologies!B184&lt;&gt;0,Technologies!B184,"")</f>
        <v>Mobiliteit</v>
      </c>
      <c r="C184" s="5" t="str">
        <f>VLOOKUP($A184,Technologies!$A$7:$H$576,3,FALSE)</f>
        <v>Final</v>
      </c>
      <c r="D184" s="5" t="str">
        <f>VLOOKUP($A184,Technologies!$A$7:$H$576,4,FALSE)</f>
        <v>Transport</v>
      </c>
      <c r="E184" s="5" t="str">
        <f>VLOOKUP($A184,Technologies!$A$7:$H$576,6,FALSE)</f>
        <v>Domestic Navigation</v>
      </c>
      <c r="F184" s="5" t="str">
        <f>VLOOKUP($A184,Technologies!$A$7:$H$576,7,FALSE)</f>
        <v>Vegetable Oil Ship - Inland</v>
      </c>
      <c r="G184" s="23"/>
      <c r="H184" s="23"/>
      <c r="I184" s="104" cm="1">
        <f t="array" ref="I184">-SUMPRODUCT((Feedstocks!$C$4:$C$141=A184)*Feedstocks!$E$4:$E$141,Feedstocks!$F$4:$F$141,Feedstocks!$H$4:$H$141,Feedstocks!$I$4:$I$141)</f>
        <v>0</v>
      </c>
      <c r="J184" s="104" cm="1">
        <f t="array" ref="J184">-SUMPRODUCT((Feedstocks!$C$4:$C$141=A184)*Feedstocks!$E$4:$E$141,Feedstocks!$H$4:$H$141,Feedstocks!$I$4:$I$141)</f>
        <v>0</v>
      </c>
      <c r="K184" s="104"/>
      <c r="L184" s="104"/>
      <c r="M184" s="23"/>
      <c r="N184" s="23" t="str">
        <f>VLOOKUP(E184,Activities!$A$9:$M$227,13,FALSE)</f>
        <v>NL</v>
      </c>
      <c r="O184" s="23"/>
      <c r="P184" s="79" t="s">
        <v>1121</v>
      </c>
      <c r="Q184" s="35"/>
      <c r="R184" s="35"/>
      <c r="S184" s="35"/>
      <c r="T184" s="35"/>
      <c r="U184" s="35"/>
      <c r="V184" s="35"/>
      <c r="W184" s="35"/>
      <c r="X184" s="35"/>
      <c r="Y184" s="35"/>
      <c r="Z184" s="35"/>
      <c r="AA184" s="35"/>
      <c r="AB184" s="35"/>
      <c r="AC184" s="35"/>
      <c r="AD184" s="35"/>
      <c r="AE184" s="35"/>
      <c r="AF184" s="35"/>
      <c r="AG184" s="35"/>
      <c r="AH184" s="35"/>
      <c r="AI184" s="35"/>
      <c r="AJ184" s="35"/>
      <c r="AK184" s="35"/>
      <c r="AL184" s="35"/>
      <c r="AM184" s="35"/>
      <c r="AN184" s="35"/>
      <c r="AO184" s="35"/>
      <c r="AP184" s="35"/>
      <c r="AQ184" s="35"/>
      <c r="AR184" s="35"/>
      <c r="AS184" s="35"/>
      <c r="AT184" s="35"/>
      <c r="AU184" s="35"/>
      <c r="AV184" s="35"/>
      <c r="AW184" s="35"/>
      <c r="AX184" s="35"/>
      <c r="AY184" s="35"/>
      <c r="AZ184" s="35"/>
      <c r="BA184" s="35"/>
      <c r="BB184" s="35"/>
      <c r="BC184" s="35"/>
      <c r="BD184" s="35"/>
      <c r="BE184" s="35"/>
      <c r="BF184" s="35"/>
      <c r="BG184" s="35">
        <v>1</v>
      </c>
      <c r="BH184" s="35"/>
      <c r="BI184" s="35"/>
      <c r="BJ184" s="35"/>
      <c r="BK184" s="35"/>
      <c r="BL184" s="35"/>
      <c r="BM184" s="35"/>
      <c r="BN184" s="35"/>
      <c r="BO184" s="35"/>
      <c r="BP184" s="35"/>
      <c r="BQ184" s="35"/>
      <c r="BR184" s="35"/>
      <c r="BS184" s="35"/>
      <c r="BT184" s="35"/>
      <c r="BU184" s="35"/>
      <c r="BV184" s="35"/>
      <c r="BW184" s="35"/>
      <c r="BX184" s="35"/>
      <c r="BY184" s="35"/>
      <c r="BZ184" s="35"/>
      <c r="CA184" s="35"/>
      <c r="CB184" s="35"/>
      <c r="CC184" s="35"/>
      <c r="CD184" s="35"/>
      <c r="CE184" s="35"/>
      <c r="CF184" s="35"/>
      <c r="CG184" s="35"/>
      <c r="CH184" s="35"/>
      <c r="CI184" s="35"/>
      <c r="CJ184" s="35"/>
      <c r="CK184" s="35"/>
      <c r="CL184" s="35"/>
      <c r="CM184" s="35"/>
      <c r="CN184" s="35"/>
      <c r="CO184" s="35"/>
      <c r="CP184" s="35"/>
      <c r="CQ184" s="35"/>
      <c r="CR184" s="35"/>
      <c r="CS184" s="35"/>
      <c r="CT184" s="35"/>
      <c r="CU184" s="35"/>
      <c r="CV184" s="35"/>
      <c r="CW184" s="35"/>
      <c r="CX184" s="35"/>
      <c r="CY184" s="35"/>
      <c r="CZ184" s="35"/>
      <c r="DA184" s="35"/>
      <c r="DB184" s="35"/>
      <c r="DC184" s="35"/>
      <c r="DD184" s="35"/>
      <c r="DE184" s="35"/>
      <c r="DF184" s="35"/>
      <c r="DG184" s="35"/>
      <c r="DH184" s="35"/>
      <c r="DI184" s="35"/>
      <c r="DJ184" s="35"/>
      <c r="DK184" s="35"/>
      <c r="DL184" s="35"/>
      <c r="DM184" s="35"/>
      <c r="DN184" s="35"/>
      <c r="DO184" s="35"/>
      <c r="DP184" s="35"/>
      <c r="DQ184" s="35"/>
      <c r="DR184" s="35"/>
      <c r="DS184" s="35"/>
      <c r="DT184" s="35"/>
      <c r="DU184" s="35"/>
      <c r="DV184" s="35"/>
      <c r="DW184" s="35"/>
      <c r="DX184" s="35"/>
      <c r="DY184" s="35"/>
      <c r="DZ184" s="35"/>
      <c r="EA184" s="35"/>
      <c r="EB184" s="35"/>
      <c r="EC184" s="35"/>
      <c r="ED184" s="35"/>
      <c r="EE184" s="35"/>
      <c r="EF184" s="35"/>
      <c r="EG184" s="35"/>
      <c r="EH184" s="35"/>
      <c r="EI184" s="35"/>
      <c r="EJ184" s="35"/>
      <c r="EK184" s="35"/>
      <c r="EL184" s="35"/>
      <c r="EM184" s="35"/>
      <c r="EN184" s="35"/>
      <c r="EO184" s="35"/>
      <c r="EP184" s="35"/>
      <c r="EQ184" s="35"/>
      <c r="ER184" s="35"/>
      <c r="ES184" s="35"/>
      <c r="ET184" s="35"/>
      <c r="EU184" s="35"/>
      <c r="EV184" s="35"/>
      <c r="EW184" s="35"/>
      <c r="EX184" s="35"/>
      <c r="EY184" s="35"/>
      <c r="EZ184" s="35"/>
      <c r="FA184" s="35"/>
      <c r="FB184" s="35"/>
      <c r="FC184" s="35"/>
      <c r="FD184" s="35"/>
      <c r="FE184" s="35"/>
      <c r="FF184" s="35"/>
      <c r="FG184" s="35"/>
      <c r="FH184" s="35">
        <v>-0.215</v>
      </c>
      <c r="FI184" s="35"/>
      <c r="FJ184" s="35"/>
      <c r="FK184" s="35"/>
      <c r="FL184" s="35"/>
      <c r="FM184" s="35"/>
      <c r="FN184" s="35"/>
      <c r="FO184" s="35"/>
      <c r="FP184" s="35"/>
      <c r="FQ184" s="35"/>
      <c r="FR184" s="35"/>
      <c r="FS184" s="35"/>
      <c r="FT184" s="35"/>
      <c r="FU184" s="35"/>
      <c r="FV184" s="35"/>
      <c r="FW184" s="35"/>
      <c r="FX184" s="35"/>
      <c r="FY184" s="35"/>
      <c r="FZ184" s="35"/>
      <c r="GA184" s="35"/>
      <c r="GB184" s="318"/>
      <c r="GC184" s="178">
        <f t="shared" si="32"/>
        <v>0</v>
      </c>
      <c r="GD184" s="178">
        <f t="shared" si="33"/>
        <v>0</v>
      </c>
      <c r="GE184" s="178">
        <f t="shared" si="34"/>
        <v>0</v>
      </c>
      <c r="GF184" s="178">
        <f t="shared" si="35"/>
        <v>0</v>
      </c>
      <c r="GG184" s="178">
        <f t="shared" si="36"/>
        <v>0</v>
      </c>
    </row>
    <row r="185" spans="1:189" x14ac:dyDescent="0.35">
      <c r="A185" s="6" t="s">
        <v>1122</v>
      </c>
      <c r="B185" s="6" t="str">
        <f>IF(Technologies!B185&lt;&gt;0,Technologies!B185,"")</f>
        <v>Mobiliteit</v>
      </c>
      <c r="C185" s="6" t="str">
        <f>VLOOKUP($A185,Technologies!$A$7:$H$576,3,FALSE)</f>
        <v>Final</v>
      </c>
      <c r="D185" s="6" t="str">
        <f>VLOOKUP($A185,Technologies!$A$7:$H$576,4,FALSE)</f>
        <v>Transport</v>
      </c>
      <c r="E185" s="6" t="str">
        <f>VLOOKUP($A185,Technologies!$A$7:$H$576,6,FALSE)</f>
        <v>Domestic Navigation</v>
      </c>
      <c r="F185" s="48" t="str">
        <f>VLOOKUP($A185,Technologies!$A$7:$H$576,7,FALSE)</f>
        <v>ICE Ship - Inland</v>
      </c>
      <c r="G185" s="22"/>
      <c r="H185" s="22"/>
      <c r="I185" s="103" cm="1">
        <f t="array" ref="I185">-SUMPRODUCT((Feedstocks!$C$4:$C$141=A185)*Feedstocks!$E$4:$E$141,Feedstocks!$F$4:$F$141,Feedstocks!$H$4:$H$141,Feedstocks!$I$4:$I$141)</f>
        <v>0</v>
      </c>
      <c r="J185" s="103" cm="1">
        <f t="array" ref="J185">-SUMPRODUCT((Feedstocks!$C$4:$C$141=A185)*Feedstocks!$E$4:$E$141,Feedstocks!$H$4:$H$141,Feedstocks!$I$4:$I$141)</f>
        <v>0</v>
      </c>
      <c r="K185" s="103"/>
      <c r="L185" s="103"/>
      <c r="M185" s="22"/>
      <c r="N185" s="22" t="str">
        <f>VLOOKUP(E185,Activities!$A$9:$M$227,13,FALSE)</f>
        <v>NL</v>
      </c>
      <c r="O185" s="22"/>
      <c r="P185" s="80" t="s">
        <v>1121</v>
      </c>
      <c r="Q185" s="36"/>
      <c r="R185" s="36"/>
      <c r="S185" s="36"/>
      <c r="T185" s="36"/>
      <c r="U185" s="36"/>
      <c r="V185" s="36"/>
      <c r="W185" s="36"/>
      <c r="X185" s="36"/>
      <c r="Y185" s="36"/>
      <c r="Z185" s="36"/>
      <c r="AA185" s="36"/>
      <c r="AB185" s="36"/>
      <c r="AC185" s="36"/>
      <c r="AD185" s="36"/>
      <c r="AE185" s="36"/>
      <c r="AF185" s="36"/>
      <c r="AG185" s="36"/>
      <c r="AH185" s="36"/>
      <c r="AI185" s="36"/>
      <c r="AJ185" s="36"/>
      <c r="AK185" s="36"/>
      <c r="AL185" s="36"/>
      <c r="AM185" s="36"/>
      <c r="AN185" s="36"/>
      <c r="AO185" s="36"/>
      <c r="AP185" s="36"/>
      <c r="AQ185" s="36"/>
      <c r="AR185" s="36"/>
      <c r="AS185" s="36"/>
      <c r="AT185" s="36"/>
      <c r="AU185" s="36"/>
      <c r="AV185" s="36"/>
      <c r="AW185" s="36"/>
      <c r="AX185" s="36"/>
      <c r="AY185" s="36"/>
      <c r="AZ185" s="36"/>
      <c r="BA185" s="36"/>
      <c r="BB185" s="36"/>
      <c r="BC185" s="36"/>
      <c r="BD185" s="36"/>
      <c r="BE185" s="36"/>
      <c r="BF185" s="36"/>
      <c r="BG185" s="36">
        <v>1</v>
      </c>
      <c r="BH185" s="36"/>
      <c r="BI185" s="36"/>
      <c r="BJ185" s="36"/>
      <c r="BK185" s="36"/>
      <c r="BL185" s="36"/>
      <c r="BM185" s="36"/>
      <c r="BN185" s="36"/>
      <c r="BO185" s="36"/>
      <c r="BP185" s="36"/>
      <c r="BQ185" s="36"/>
      <c r="BR185" s="36"/>
      <c r="BS185" s="36"/>
      <c r="BT185" s="36"/>
      <c r="BU185" s="36"/>
      <c r="BV185" s="36"/>
      <c r="BW185" s="36"/>
      <c r="BX185" s="36"/>
      <c r="BY185" s="36"/>
      <c r="BZ185" s="36"/>
      <c r="CA185" s="36"/>
      <c r="CB185" s="36"/>
      <c r="CC185" s="36"/>
      <c r="CD185" s="36"/>
      <c r="CE185" s="36"/>
      <c r="CF185" s="36"/>
      <c r="CG185" s="36"/>
      <c r="CH185" s="36"/>
      <c r="CI185" s="36"/>
      <c r="CJ185" s="36"/>
      <c r="CK185" s="36"/>
      <c r="CL185" s="36"/>
      <c r="CM185" s="36"/>
      <c r="CN185" s="36"/>
      <c r="CO185" s="36"/>
      <c r="CP185" s="36"/>
      <c r="CQ185" s="36"/>
      <c r="CR185" s="36"/>
      <c r="CS185" s="36"/>
      <c r="CT185" s="36"/>
      <c r="CU185" s="36"/>
      <c r="CV185" s="36"/>
      <c r="CW185" s="36"/>
      <c r="CX185" s="36"/>
      <c r="CY185" s="36"/>
      <c r="CZ185" s="36"/>
      <c r="DA185" s="36"/>
      <c r="DB185" s="36"/>
      <c r="DC185" s="36"/>
      <c r="DD185" s="36"/>
      <c r="DE185" s="36"/>
      <c r="DF185" s="36"/>
      <c r="DG185" s="36"/>
      <c r="DH185" s="36"/>
      <c r="DI185" s="36"/>
      <c r="DJ185" s="36"/>
      <c r="DK185" s="36"/>
      <c r="DL185" s="36"/>
      <c r="DM185" s="36"/>
      <c r="DN185" s="36"/>
      <c r="DO185" s="36"/>
      <c r="DP185" s="36"/>
      <c r="DQ185" s="36"/>
      <c r="DR185" s="36"/>
      <c r="DS185" s="36"/>
      <c r="DT185" s="36"/>
      <c r="DU185" s="36">
        <v>-0.20499999999999999</v>
      </c>
      <c r="DV185" s="36"/>
      <c r="DW185" s="36"/>
      <c r="DX185" s="36"/>
      <c r="DY185" s="36"/>
      <c r="DZ185" s="36"/>
      <c r="EA185" s="36"/>
      <c r="EB185" s="36"/>
      <c r="EC185" s="36"/>
      <c r="ED185" s="36"/>
      <c r="EE185" s="36"/>
      <c r="EF185" s="36"/>
      <c r="EG185" s="36"/>
      <c r="EH185" s="36"/>
      <c r="EI185" s="36"/>
      <c r="EJ185" s="36"/>
      <c r="EK185" s="36"/>
      <c r="EL185" s="36"/>
      <c r="EM185" s="36"/>
      <c r="EN185" s="36"/>
      <c r="EO185" s="36"/>
      <c r="EP185" s="36"/>
      <c r="EQ185" s="36"/>
      <c r="ER185" s="36"/>
      <c r="ES185" s="36"/>
      <c r="ET185" s="36"/>
      <c r="EU185" s="36"/>
      <c r="EV185" s="36"/>
      <c r="EW185" s="36"/>
      <c r="EX185" s="36"/>
      <c r="EY185" s="36"/>
      <c r="EZ185" s="36"/>
      <c r="FA185" s="36"/>
      <c r="FB185" s="36"/>
      <c r="FC185" s="36"/>
      <c r="FD185" s="36"/>
      <c r="FE185" s="36"/>
      <c r="FF185" s="36"/>
      <c r="FG185" s="36"/>
      <c r="FH185" s="36"/>
      <c r="FI185" s="36"/>
      <c r="FJ185" s="36"/>
      <c r="FK185" s="36"/>
      <c r="FL185" s="36"/>
      <c r="FM185" s="36"/>
      <c r="FN185" s="36"/>
      <c r="FO185" s="36"/>
      <c r="FP185" s="36"/>
      <c r="FQ185" s="36"/>
      <c r="FR185" s="36"/>
      <c r="FS185" s="36"/>
      <c r="FT185" s="36"/>
      <c r="FU185" s="36"/>
      <c r="FV185" s="36"/>
      <c r="FW185" s="36"/>
      <c r="FX185" s="36"/>
      <c r="FY185" s="36"/>
      <c r="FZ185" s="36"/>
      <c r="GA185" s="36"/>
      <c r="GB185" s="319"/>
      <c r="GC185" s="179">
        <f t="shared" si="32"/>
        <v>0</v>
      </c>
      <c r="GD185" s="179">
        <f t="shared" si="33"/>
        <v>0</v>
      </c>
      <c r="GE185" s="179">
        <f t="shared" si="34"/>
        <v>1.4999999999999999E-2</v>
      </c>
      <c r="GF185" s="179">
        <f t="shared" si="35"/>
        <v>0</v>
      </c>
      <c r="GG185" s="179">
        <f t="shared" si="36"/>
        <v>0</v>
      </c>
    </row>
    <row r="186" spans="1:189" x14ac:dyDescent="0.35">
      <c r="A186" s="5" t="s">
        <v>1124</v>
      </c>
      <c r="B186" s="5" t="str">
        <f>IF(Technologies!B186&lt;&gt;0,Technologies!B186,"")</f>
        <v>Mobiliteit</v>
      </c>
      <c r="C186" s="5" t="str">
        <f>VLOOKUP($A186,Technologies!$A$7:$H$576,3,FALSE)</f>
        <v>Final</v>
      </c>
      <c r="D186" s="5" t="str">
        <f>VLOOKUP($A186,Technologies!$A$7:$H$576,4,FALSE)</f>
        <v>Transport</v>
      </c>
      <c r="E186" s="5" t="str">
        <f>VLOOKUP($A186,Technologies!$A$7:$H$576,6,FALSE)</f>
        <v>Domestic Navigation</v>
      </c>
      <c r="F186" s="5" t="str">
        <f>VLOOKUP($A186,Technologies!$A$7:$H$576,7,FALSE)</f>
        <v>Biodiesel Ship - Inland</v>
      </c>
      <c r="G186" s="23"/>
      <c r="H186" s="23"/>
      <c r="I186" s="104" cm="1">
        <f t="array" ref="I186">-SUMPRODUCT((Feedstocks!$C$4:$C$141=A186)*Feedstocks!$E$4:$E$141,Feedstocks!$F$4:$F$141,Feedstocks!$H$4:$H$141,Feedstocks!$I$4:$I$141)</f>
        <v>0</v>
      </c>
      <c r="J186" s="104" cm="1">
        <f t="array" ref="J186">-SUMPRODUCT((Feedstocks!$C$4:$C$141=A186)*Feedstocks!$E$4:$E$141,Feedstocks!$H$4:$H$141,Feedstocks!$I$4:$I$141)</f>
        <v>0</v>
      </c>
      <c r="K186" s="104"/>
      <c r="L186" s="104"/>
      <c r="M186" s="23"/>
      <c r="N186" s="23" t="str">
        <f>VLOOKUP(E186,Activities!$A$9:$M$227,13,FALSE)</f>
        <v>NL</v>
      </c>
      <c r="O186" s="23"/>
      <c r="P186" s="79" t="s">
        <v>1121</v>
      </c>
      <c r="Q186" s="35"/>
      <c r="R186" s="35"/>
      <c r="S186" s="35"/>
      <c r="T186" s="35"/>
      <c r="U186" s="35"/>
      <c r="V186" s="35"/>
      <c r="W186" s="35"/>
      <c r="X186" s="35"/>
      <c r="Y186" s="35"/>
      <c r="Z186" s="35"/>
      <c r="AA186" s="35"/>
      <c r="AB186" s="35"/>
      <c r="AC186" s="35"/>
      <c r="AD186" s="35"/>
      <c r="AE186" s="35"/>
      <c r="AF186" s="35"/>
      <c r="AG186" s="35"/>
      <c r="AH186" s="35"/>
      <c r="AI186" s="35"/>
      <c r="AJ186" s="35"/>
      <c r="AK186" s="35"/>
      <c r="AL186" s="35"/>
      <c r="AM186" s="35"/>
      <c r="AN186" s="35"/>
      <c r="AO186" s="35"/>
      <c r="AP186" s="35"/>
      <c r="AQ186" s="35"/>
      <c r="AR186" s="35"/>
      <c r="AS186" s="35"/>
      <c r="AT186" s="35"/>
      <c r="AU186" s="35"/>
      <c r="AV186" s="35"/>
      <c r="AW186" s="35"/>
      <c r="AX186" s="35"/>
      <c r="AY186" s="35"/>
      <c r="AZ186" s="35"/>
      <c r="BA186" s="35"/>
      <c r="BB186" s="35"/>
      <c r="BC186" s="35"/>
      <c r="BD186" s="35"/>
      <c r="BE186" s="35"/>
      <c r="BF186" s="35"/>
      <c r="BG186" s="35">
        <v>1</v>
      </c>
      <c r="BH186" s="35"/>
      <c r="BI186" s="35"/>
      <c r="BJ186" s="35"/>
      <c r="BK186" s="35"/>
      <c r="BL186" s="35"/>
      <c r="BM186" s="35"/>
      <c r="BN186" s="35"/>
      <c r="BO186" s="35"/>
      <c r="BP186" s="35"/>
      <c r="BQ186" s="35"/>
      <c r="BR186" s="35"/>
      <c r="BS186" s="35"/>
      <c r="BT186" s="35"/>
      <c r="BU186" s="35"/>
      <c r="BV186" s="35"/>
      <c r="BW186" s="35"/>
      <c r="BX186" s="35"/>
      <c r="BY186" s="35"/>
      <c r="BZ186" s="35"/>
      <c r="CA186" s="35"/>
      <c r="CB186" s="35"/>
      <c r="CC186" s="35"/>
      <c r="CD186" s="35"/>
      <c r="CE186" s="35"/>
      <c r="CF186" s="35"/>
      <c r="CG186" s="35"/>
      <c r="CH186" s="35"/>
      <c r="CI186" s="35"/>
      <c r="CJ186" s="35"/>
      <c r="CK186" s="35"/>
      <c r="CL186" s="35"/>
      <c r="CM186" s="35"/>
      <c r="CN186" s="35"/>
      <c r="CO186" s="35"/>
      <c r="CP186" s="35"/>
      <c r="CQ186" s="35"/>
      <c r="CR186" s="35"/>
      <c r="CS186" s="35"/>
      <c r="CT186" s="35"/>
      <c r="CU186" s="35"/>
      <c r="CV186" s="35"/>
      <c r="CW186" s="35"/>
      <c r="CX186" s="35"/>
      <c r="CY186" s="35"/>
      <c r="CZ186" s="35"/>
      <c r="DA186" s="35"/>
      <c r="DB186" s="35"/>
      <c r="DC186" s="35"/>
      <c r="DD186" s="35"/>
      <c r="DE186" s="35"/>
      <c r="DF186" s="35"/>
      <c r="DG186" s="35"/>
      <c r="DH186" s="35"/>
      <c r="DI186" s="35"/>
      <c r="DJ186" s="35"/>
      <c r="DK186" s="35"/>
      <c r="DL186" s="35"/>
      <c r="DM186" s="35"/>
      <c r="DN186" s="35"/>
      <c r="DO186" s="35"/>
      <c r="DP186" s="35"/>
      <c r="DQ186" s="35"/>
      <c r="DR186" s="35"/>
      <c r="DS186" s="35"/>
      <c r="DT186" s="35"/>
      <c r="DU186" s="35"/>
      <c r="DV186" s="35"/>
      <c r="DW186" s="35"/>
      <c r="DX186" s="35"/>
      <c r="DY186" s="35"/>
      <c r="DZ186" s="35"/>
      <c r="EA186" s="35">
        <v>-0.20499999999999999</v>
      </c>
      <c r="EB186" s="35"/>
      <c r="EC186" s="35"/>
      <c r="ED186" s="35"/>
      <c r="EE186" s="35"/>
      <c r="EF186" s="35"/>
      <c r="EG186" s="35"/>
      <c r="EH186" s="35"/>
      <c r="EI186" s="35"/>
      <c r="EJ186" s="35"/>
      <c r="EK186" s="35"/>
      <c r="EL186" s="35"/>
      <c r="EM186" s="35"/>
      <c r="EN186" s="35"/>
      <c r="EO186" s="35"/>
      <c r="EP186" s="35"/>
      <c r="EQ186" s="35"/>
      <c r="ER186" s="35"/>
      <c r="ES186" s="35"/>
      <c r="ET186" s="35"/>
      <c r="EU186" s="35"/>
      <c r="EV186" s="35"/>
      <c r="EW186" s="35"/>
      <c r="EX186" s="35"/>
      <c r="EY186" s="35"/>
      <c r="EZ186" s="35"/>
      <c r="FA186" s="35"/>
      <c r="FB186" s="35"/>
      <c r="FC186" s="35"/>
      <c r="FD186" s="35"/>
      <c r="FE186" s="35"/>
      <c r="FF186" s="35"/>
      <c r="FG186" s="35"/>
      <c r="FH186" s="35"/>
      <c r="FI186" s="35"/>
      <c r="FJ186" s="35"/>
      <c r="FK186" s="35"/>
      <c r="FL186" s="35"/>
      <c r="FM186" s="35"/>
      <c r="FN186" s="35"/>
      <c r="FO186" s="35"/>
      <c r="FP186" s="35"/>
      <c r="FQ186" s="35"/>
      <c r="FR186" s="35"/>
      <c r="FS186" s="35"/>
      <c r="FT186" s="35"/>
      <c r="FU186" s="35"/>
      <c r="FV186" s="35"/>
      <c r="FW186" s="35"/>
      <c r="FX186" s="35"/>
      <c r="FY186" s="35"/>
      <c r="FZ186" s="35"/>
      <c r="GA186" s="35"/>
      <c r="GB186" s="318"/>
      <c r="GC186" s="178">
        <f t="shared" si="32"/>
        <v>0</v>
      </c>
      <c r="GD186" s="178">
        <f t="shared" si="33"/>
        <v>0</v>
      </c>
      <c r="GE186" s="178">
        <f t="shared" si="34"/>
        <v>0</v>
      </c>
      <c r="GF186" s="178">
        <f t="shared" si="35"/>
        <v>0</v>
      </c>
      <c r="GG186" s="178">
        <f t="shared" si="36"/>
        <v>0</v>
      </c>
    </row>
    <row r="187" spans="1:189" x14ac:dyDescent="0.35">
      <c r="A187" s="6" t="s">
        <v>1126</v>
      </c>
      <c r="B187" s="6" t="str">
        <f>IF(Technologies!B187&lt;&gt;0,Technologies!B187,"")</f>
        <v>Mobiliteit</v>
      </c>
      <c r="C187" s="6" t="str">
        <f>VLOOKUP($A187,Technologies!$A$7:$H$576,3,FALSE)</f>
        <v>Final</v>
      </c>
      <c r="D187" s="6" t="str">
        <f>VLOOKUP($A187,Technologies!$A$7:$H$576,4,FALSE)</f>
        <v>Transport</v>
      </c>
      <c r="E187" s="6" t="str">
        <f>VLOOKUP($A187,Technologies!$A$7:$H$576,6,FALSE)</f>
        <v>Domestic Navigation</v>
      </c>
      <c r="F187" s="48" t="str">
        <f>VLOOKUP($A187,Technologies!$A$7:$H$576,7,FALSE)</f>
        <v>Syn Diesel Ship - Inland</v>
      </c>
      <c r="G187" s="22"/>
      <c r="H187" s="22"/>
      <c r="I187" s="103" cm="1">
        <f t="array" ref="I187">-SUMPRODUCT((Feedstocks!$C$4:$C$141=A187)*Feedstocks!$E$4:$E$141,Feedstocks!$F$4:$F$141,Feedstocks!$H$4:$H$141,Feedstocks!$I$4:$I$141)</f>
        <v>0</v>
      </c>
      <c r="J187" s="103" cm="1">
        <f t="array" ref="J187">-SUMPRODUCT((Feedstocks!$C$4:$C$141=A187)*Feedstocks!$E$4:$E$141,Feedstocks!$H$4:$H$141,Feedstocks!$I$4:$I$141)</f>
        <v>0</v>
      </c>
      <c r="K187" s="103"/>
      <c r="L187" s="103"/>
      <c r="M187" s="22"/>
      <c r="N187" s="22" t="str">
        <f>VLOOKUP(E187,Activities!$A$9:$M$227,13,FALSE)</f>
        <v>NL</v>
      </c>
      <c r="O187" s="22"/>
      <c r="P187" s="80" t="s">
        <v>1121</v>
      </c>
      <c r="Q187" s="36"/>
      <c r="R187" s="36"/>
      <c r="S187" s="36"/>
      <c r="T187" s="36"/>
      <c r="U187" s="36"/>
      <c r="V187" s="36"/>
      <c r="W187" s="36"/>
      <c r="X187" s="36"/>
      <c r="Y187" s="36"/>
      <c r="Z187" s="36"/>
      <c r="AA187" s="36"/>
      <c r="AB187" s="36"/>
      <c r="AC187" s="36"/>
      <c r="AD187" s="36"/>
      <c r="AE187" s="36"/>
      <c r="AF187" s="36"/>
      <c r="AG187" s="36"/>
      <c r="AH187" s="36"/>
      <c r="AI187" s="36"/>
      <c r="AJ187" s="36"/>
      <c r="AK187" s="36"/>
      <c r="AL187" s="36"/>
      <c r="AM187" s="36"/>
      <c r="AN187" s="36"/>
      <c r="AO187" s="36"/>
      <c r="AP187" s="36"/>
      <c r="AQ187" s="36"/>
      <c r="AR187" s="36"/>
      <c r="AS187" s="36"/>
      <c r="AT187" s="36"/>
      <c r="AU187" s="36"/>
      <c r="AV187" s="36"/>
      <c r="AW187" s="36"/>
      <c r="AX187" s="36"/>
      <c r="AY187" s="36"/>
      <c r="AZ187" s="36"/>
      <c r="BA187" s="36"/>
      <c r="BB187" s="36"/>
      <c r="BC187" s="36"/>
      <c r="BD187" s="36"/>
      <c r="BE187" s="36"/>
      <c r="BF187" s="36"/>
      <c r="BG187" s="36">
        <v>1</v>
      </c>
      <c r="BH187" s="36"/>
      <c r="BI187" s="36"/>
      <c r="BJ187" s="36"/>
      <c r="BK187" s="36"/>
      <c r="BL187" s="36"/>
      <c r="BM187" s="36"/>
      <c r="BN187" s="36"/>
      <c r="BO187" s="36"/>
      <c r="BP187" s="36"/>
      <c r="BQ187" s="36"/>
      <c r="BR187" s="36"/>
      <c r="BS187" s="36"/>
      <c r="BT187" s="36"/>
      <c r="BU187" s="36"/>
      <c r="BV187" s="36"/>
      <c r="BW187" s="36"/>
      <c r="BX187" s="36"/>
      <c r="BY187" s="36"/>
      <c r="BZ187" s="36"/>
      <c r="CA187" s="36"/>
      <c r="CB187" s="36"/>
      <c r="CC187" s="36"/>
      <c r="CD187" s="36"/>
      <c r="CE187" s="36"/>
      <c r="CF187" s="36"/>
      <c r="CG187" s="36"/>
      <c r="CH187" s="36"/>
      <c r="CI187" s="36"/>
      <c r="CJ187" s="36"/>
      <c r="CK187" s="36"/>
      <c r="CL187" s="36"/>
      <c r="CM187" s="36"/>
      <c r="CN187" s="36"/>
      <c r="CO187" s="36"/>
      <c r="CP187" s="36"/>
      <c r="CQ187" s="36"/>
      <c r="CR187" s="36"/>
      <c r="CS187" s="36"/>
      <c r="CT187" s="36"/>
      <c r="CU187" s="36"/>
      <c r="CV187" s="36"/>
      <c r="CW187" s="36"/>
      <c r="CX187" s="36"/>
      <c r="CY187" s="36"/>
      <c r="CZ187" s="36"/>
      <c r="DA187" s="36"/>
      <c r="DB187" s="36"/>
      <c r="DC187" s="36"/>
      <c r="DD187" s="36"/>
      <c r="DE187" s="36"/>
      <c r="DF187" s="36"/>
      <c r="DG187" s="36"/>
      <c r="DH187" s="36"/>
      <c r="DI187" s="36"/>
      <c r="DJ187" s="36"/>
      <c r="DK187" s="36"/>
      <c r="DL187" s="36"/>
      <c r="DM187" s="36"/>
      <c r="DN187" s="36"/>
      <c r="DO187" s="36"/>
      <c r="DP187" s="36"/>
      <c r="DQ187" s="36"/>
      <c r="DR187" s="36"/>
      <c r="DS187" s="36"/>
      <c r="DT187" s="36"/>
      <c r="DU187" s="36"/>
      <c r="DV187" s="36"/>
      <c r="DW187" s="36"/>
      <c r="DX187" s="36"/>
      <c r="DY187" s="36"/>
      <c r="DZ187" s="36"/>
      <c r="EA187" s="36"/>
      <c r="EB187" s="36"/>
      <c r="EC187" s="36"/>
      <c r="ED187" s="36"/>
      <c r="EE187" s="36">
        <v>-0.20499999999999999</v>
      </c>
      <c r="EF187" s="36"/>
      <c r="EG187" s="36"/>
      <c r="EH187" s="36"/>
      <c r="EI187" s="36"/>
      <c r="EJ187" s="36"/>
      <c r="EK187" s="36"/>
      <c r="EL187" s="36"/>
      <c r="EM187" s="36"/>
      <c r="EN187" s="36"/>
      <c r="EO187" s="36"/>
      <c r="EP187" s="36"/>
      <c r="EQ187" s="36"/>
      <c r="ER187" s="36"/>
      <c r="ES187" s="36"/>
      <c r="ET187" s="36"/>
      <c r="EU187" s="36"/>
      <c r="EV187" s="36"/>
      <c r="EW187" s="36"/>
      <c r="EX187" s="36"/>
      <c r="EY187" s="36"/>
      <c r="EZ187" s="36"/>
      <c r="FA187" s="36"/>
      <c r="FB187" s="36"/>
      <c r="FC187" s="36"/>
      <c r="FD187" s="36"/>
      <c r="FE187" s="36"/>
      <c r="FF187" s="36"/>
      <c r="FG187" s="36"/>
      <c r="FH187" s="36"/>
      <c r="FI187" s="36"/>
      <c r="FJ187" s="36"/>
      <c r="FK187" s="36"/>
      <c r="FL187" s="36"/>
      <c r="FM187" s="36"/>
      <c r="FN187" s="36"/>
      <c r="FO187" s="36"/>
      <c r="FP187" s="36"/>
      <c r="FQ187" s="36"/>
      <c r="FR187" s="36"/>
      <c r="FS187" s="36"/>
      <c r="FT187" s="36"/>
      <c r="FU187" s="36"/>
      <c r="FV187" s="36"/>
      <c r="FW187" s="36"/>
      <c r="FX187" s="36"/>
      <c r="FY187" s="36"/>
      <c r="FZ187" s="36"/>
      <c r="GA187" s="36"/>
      <c r="GB187" s="319"/>
      <c r="GC187" s="179">
        <f t="shared" si="32"/>
        <v>0</v>
      </c>
      <c r="GD187" s="179">
        <f t="shared" si="33"/>
        <v>0</v>
      </c>
      <c r="GE187" s="179">
        <f t="shared" si="34"/>
        <v>1.4999999999999999E-2</v>
      </c>
      <c r="GF187" s="179">
        <f t="shared" si="35"/>
        <v>0</v>
      </c>
      <c r="GG187" s="179">
        <f t="shared" si="36"/>
        <v>0</v>
      </c>
    </row>
    <row r="188" spans="1:189" x14ac:dyDescent="0.35">
      <c r="A188" s="5" t="s">
        <v>1128</v>
      </c>
      <c r="B188" s="5" t="str">
        <f>IF(Technologies!B188&lt;&gt;0,Technologies!B188,"")</f>
        <v>Mobiliteit</v>
      </c>
      <c r="C188" s="5" t="str">
        <f>VLOOKUP($A188,Technologies!$A$7:$H$576,3,FALSE)</f>
        <v>Final</v>
      </c>
      <c r="D188" s="5" t="str">
        <f>VLOOKUP($A188,Technologies!$A$7:$H$576,4,FALSE)</f>
        <v>Transport</v>
      </c>
      <c r="E188" s="5" t="str">
        <f>VLOOKUP($A188,Technologies!$A$7:$H$576,6,FALSE)</f>
        <v>Domestic Navigation</v>
      </c>
      <c r="F188" s="5" t="str">
        <f>VLOOKUP($A188,Technologies!$A$7:$H$576,7,FALSE)</f>
        <v>CNG Ship - Inland</v>
      </c>
      <c r="G188" s="23"/>
      <c r="H188" s="23"/>
      <c r="I188" s="104" cm="1">
        <f t="array" ref="I188">-SUMPRODUCT((Feedstocks!$C$4:$C$141=A188)*Feedstocks!$E$4:$E$141,Feedstocks!$F$4:$F$141,Feedstocks!$H$4:$H$141,Feedstocks!$I$4:$I$141)</f>
        <v>0</v>
      </c>
      <c r="J188" s="104" cm="1">
        <f t="array" ref="J188">-SUMPRODUCT((Feedstocks!$C$4:$C$141=A188)*Feedstocks!$E$4:$E$141,Feedstocks!$H$4:$H$141,Feedstocks!$I$4:$I$141)</f>
        <v>0</v>
      </c>
      <c r="K188" s="104"/>
      <c r="L188" s="104"/>
      <c r="M188" s="23"/>
      <c r="N188" s="23" t="str">
        <f>VLOOKUP(E188,Activities!$A$9:$M$227,13,FALSE)</f>
        <v>NL</v>
      </c>
      <c r="O188" s="23"/>
      <c r="P188" s="79" t="s">
        <v>1121</v>
      </c>
      <c r="Q188" s="35"/>
      <c r="R188" s="35"/>
      <c r="S188" s="35"/>
      <c r="T188" s="35"/>
      <c r="U188" s="35"/>
      <c r="V188" s="35"/>
      <c r="W188" s="35"/>
      <c r="X188" s="35"/>
      <c r="Y188" s="35"/>
      <c r="Z188" s="35"/>
      <c r="AA188" s="35"/>
      <c r="AB188" s="35"/>
      <c r="AC188" s="35"/>
      <c r="AD188" s="35"/>
      <c r="AE188" s="35"/>
      <c r="AF188" s="35"/>
      <c r="AG188" s="35"/>
      <c r="AH188" s="35"/>
      <c r="AI188" s="35"/>
      <c r="AJ188" s="35"/>
      <c r="AK188" s="35"/>
      <c r="AL188" s="35"/>
      <c r="AM188" s="35"/>
      <c r="AN188" s="35"/>
      <c r="AO188" s="35"/>
      <c r="AP188" s="35"/>
      <c r="AQ188" s="35"/>
      <c r="AR188" s="35"/>
      <c r="AS188" s="35"/>
      <c r="AT188" s="35"/>
      <c r="AU188" s="35"/>
      <c r="AV188" s="35"/>
      <c r="AW188" s="35"/>
      <c r="AX188" s="35"/>
      <c r="AY188" s="35"/>
      <c r="AZ188" s="35"/>
      <c r="BA188" s="35"/>
      <c r="BB188" s="35"/>
      <c r="BC188" s="35"/>
      <c r="BD188" s="35"/>
      <c r="BE188" s="35"/>
      <c r="BF188" s="35"/>
      <c r="BG188" s="35">
        <v>1</v>
      </c>
      <c r="BH188" s="35"/>
      <c r="BI188" s="35"/>
      <c r="BJ188" s="35"/>
      <c r="BK188" s="35"/>
      <c r="BL188" s="35"/>
      <c r="BM188" s="35"/>
      <c r="BN188" s="35"/>
      <c r="BO188" s="35"/>
      <c r="BP188" s="35"/>
      <c r="BQ188" s="35"/>
      <c r="BR188" s="35"/>
      <c r="BS188" s="35"/>
      <c r="BT188" s="35"/>
      <c r="BU188" s="35"/>
      <c r="BV188" s="35"/>
      <c r="BW188" s="35"/>
      <c r="BX188" s="35"/>
      <c r="BY188" s="35"/>
      <c r="BZ188" s="35"/>
      <c r="CA188" s="35"/>
      <c r="CB188" s="35"/>
      <c r="CC188" s="35"/>
      <c r="CD188" s="35"/>
      <c r="CE188" s="35"/>
      <c r="CF188" s="35"/>
      <c r="CG188" s="35"/>
      <c r="CH188" s="35"/>
      <c r="CI188" s="35"/>
      <c r="CJ188" s="35"/>
      <c r="CK188" s="35"/>
      <c r="CL188" s="35"/>
      <c r="CM188" s="35"/>
      <c r="CN188" s="35"/>
      <c r="CO188" s="35"/>
      <c r="CP188" s="35"/>
      <c r="CQ188" s="35"/>
      <c r="CR188" s="35"/>
      <c r="CS188" s="35"/>
      <c r="CT188" s="35"/>
      <c r="CU188" s="35"/>
      <c r="CV188" s="35"/>
      <c r="CW188" s="35"/>
      <c r="CX188" s="35"/>
      <c r="CY188" s="35"/>
      <c r="CZ188" s="35"/>
      <c r="DA188" s="35"/>
      <c r="DB188" s="35"/>
      <c r="DC188" s="35"/>
      <c r="DD188" s="35"/>
      <c r="DE188" s="35"/>
      <c r="DF188" s="35"/>
      <c r="DG188" s="35"/>
      <c r="DH188" s="35"/>
      <c r="DI188" s="35"/>
      <c r="DJ188" s="35"/>
      <c r="DK188" s="35"/>
      <c r="DL188" s="35"/>
      <c r="DM188" s="35"/>
      <c r="DN188" s="35"/>
      <c r="DO188" s="35"/>
      <c r="DP188" s="35"/>
      <c r="DQ188" s="35"/>
      <c r="DR188" s="35"/>
      <c r="DS188" s="35"/>
      <c r="DT188" s="35"/>
      <c r="DU188" s="35"/>
      <c r="DV188" s="35"/>
      <c r="DW188" s="35"/>
      <c r="DX188" s="35"/>
      <c r="DY188" s="35"/>
      <c r="DZ188" s="35"/>
      <c r="EA188" s="35"/>
      <c r="EB188" s="35"/>
      <c r="EC188" s="35"/>
      <c r="ED188" s="35"/>
      <c r="EE188" s="35"/>
      <c r="EF188" s="35"/>
      <c r="EG188" s="35"/>
      <c r="EH188" s="35"/>
      <c r="EI188" s="35"/>
      <c r="EJ188" s="35"/>
      <c r="EK188" s="35">
        <v>-0.19800000000000001</v>
      </c>
      <c r="EL188" s="35"/>
      <c r="EM188" s="35"/>
      <c r="EN188" s="35"/>
      <c r="EO188" s="35"/>
      <c r="EP188" s="35"/>
      <c r="EQ188" s="35"/>
      <c r="ER188" s="35"/>
      <c r="ES188" s="35"/>
      <c r="ET188" s="35"/>
      <c r="EU188" s="35"/>
      <c r="EV188" s="35"/>
      <c r="EW188" s="35"/>
      <c r="EX188" s="35"/>
      <c r="EY188" s="35"/>
      <c r="EZ188" s="35"/>
      <c r="FA188" s="35"/>
      <c r="FB188" s="35"/>
      <c r="FC188" s="35"/>
      <c r="FD188" s="35"/>
      <c r="FE188" s="35"/>
      <c r="FF188" s="35"/>
      <c r="FG188" s="35"/>
      <c r="FH188" s="35"/>
      <c r="FI188" s="35"/>
      <c r="FJ188" s="35"/>
      <c r="FK188" s="35"/>
      <c r="FL188" s="35"/>
      <c r="FM188" s="35"/>
      <c r="FN188" s="35"/>
      <c r="FO188" s="35"/>
      <c r="FP188" s="35"/>
      <c r="FQ188" s="35"/>
      <c r="FR188" s="35"/>
      <c r="FS188" s="35"/>
      <c r="FT188" s="35"/>
      <c r="FU188" s="35"/>
      <c r="FV188" s="35"/>
      <c r="FW188" s="35"/>
      <c r="FX188" s="35"/>
      <c r="FY188" s="35"/>
      <c r="FZ188" s="35"/>
      <c r="GA188" s="35"/>
      <c r="GB188" s="318"/>
      <c r="GC188" s="178">
        <f t="shared" si="32"/>
        <v>0</v>
      </c>
      <c r="GD188" s="178">
        <f t="shared" si="33"/>
        <v>0</v>
      </c>
      <c r="GE188" s="178">
        <f t="shared" si="34"/>
        <v>1.12E-2</v>
      </c>
      <c r="GF188" s="178">
        <f t="shared" si="35"/>
        <v>0</v>
      </c>
      <c r="GG188" s="178">
        <f t="shared" si="36"/>
        <v>0</v>
      </c>
    </row>
    <row r="189" spans="1:189" x14ac:dyDescent="0.35">
      <c r="A189" s="6" t="s">
        <v>1130</v>
      </c>
      <c r="B189" s="6" t="str">
        <f>IF(Technologies!B189&lt;&gt;0,Technologies!B189,"")</f>
        <v>Mobiliteit</v>
      </c>
      <c r="C189" s="6" t="str">
        <f>VLOOKUP($A189,Technologies!$A$7:$H$576,3,FALSE)</f>
        <v>Final</v>
      </c>
      <c r="D189" s="6" t="str">
        <f>VLOOKUP($A189,Technologies!$A$7:$H$576,4,FALSE)</f>
        <v>Transport</v>
      </c>
      <c r="E189" s="6" t="str">
        <f>VLOOKUP($A189,Technologies!$A$7:$H$576,6,FALSE)</f>
        <v>Domestic Navigation</v>
      </c>
      <c r="F189" s="48" t="str">
        <f>VLOOKUP($A189,Technologies!$A$7:$H$576,7,FALSE)</f>
        <v>Ammonia Ship - Inland</v>
      </c>
      <c r="G189" s="22"/>
      <c r="H189" s="22"/>
      <c r="I189" s="103" cm="1">
        <f t="array" ref="I189">-SUMPRODUCT((Feedstocks!$C$4:$C$141=A189)*Feedstocks!$E$4:$E$141,Feedstocks!$F$4:$F$141,Feedstocks!$H$4:$H$141,Feedstocks!$I$4:$I$141)</f>
        <v>0</v>
      </c>
      <c r="J189" s="103" cm="1">
        <f t="array" ref="J189">-SUMPRODUCT((Feedstocks!$C$4:$C$141=A189)*Feedstocks!$E$4:$E$141,Feedstocks!$H$4:$H$141,Feedstocks!$I$4:$I$141)</f>
        <v>0</v>
      </c>
      <c r="K189" s="103"/>
      <c r="L189" s="103"/>
      <c r="M189" s="22"/>
      <c r="N189" s="22" t="str">
        <f>VLOOKUP(E189,Activities!$A$9:$M$227,13,FALSE)</f>
        <v>NL</v>
      </c>
      <c r="O189" s="22"/>
      <c r="P189" s="80" t="s">
        <v>502</v>
      </c>
      <c r="Q189" s="36"/>
      <c r="R189" s="36"/>
      <c r="S189" s="36"/>
      <c r="T189" s="36"/>
      <c r="U189" s="36"/>
      <c r="V189" s="36"/>
      <c r="W189" s="36"/>
      <c r="X189" s="36"/>
      <c r="Y189" s="36"/>
      <c r="Z189" s="36"/>
      <c r="AA189" s="36"/>
      <c r="AB189" s="36"/>
      <c r="AC189" s="36"/>
      <c r="AD189" s="36"/>
      <c r="AE189" s="36"/>
      <c r="AF189" s="36"/>
      <c r="AG189" s="36"/>
      <c r="AH189" s="36"/>
      <c r="AI189" s="36"/>
      <c r="AJ189" s="36"/>
      <c r="AK189" s="36"/>
      <c r="AL189" s="36"/>
      <c r="AM189" s="36"/>
      <c r="AN189" s="36"/>
      <c r="AO189" s="36"/>
      <c r="AP189" s="36"/>
      <c r="AQ189" s="36"/>
      <c r="AR189" s="36"/>
      <c r="AS189" s="36"/>
      <c r="AT189" s="36"/>
      <c r="AU189" s="36"/>
      <c r="AV189" s="36"/>
      <c r="AW189" s="36"/>
      <c r="AX189" s="36"/>
      <c r="AY189" s="36"/>
      <c r="AZ189" s="36"/>
      <c r="BA189" s="36"/>
      <c r="BB189" s="36"/>
      <c r="BC189" s="36"/>
      <c r="BD189" s="36"/>
      <c r="BE189" s="36"/>
      <c r="BF189" s="36"/>
      <c r="BG189" s="36">
        <v>1</v>
      </c>
      <c r="BH189" s="36"/>
      <c r="BI189" s="36"/>
      <c r="BJ189" s="36"/>
      <c r="BK189" s="36"/>
      <c r="BL189" s="36"/>
      <c r="BM189" s="36"/>
      <c r="BN189" s="36"/>
      <c r="BO189" s="36"/>
      <c r="BP189" s="36"/>
      <c r="BQ189" s="36"/>
      <c r="BR189" s="36"/>
      <c r="BS189" s="36"/>
      <c r="BT189" s="36"/>
      <c r="BU189" s="36"/>
      <c r="BV189" s="36"/>
      <c r="BW189" s="36"/>
      <c r="BX189" s="36"/>
      <c r="BY189" s="36"/>
      <c r="BZ189" s="36"/>
      <c r="CA189" s="36"/>
      <c r="CB189" s="36"/>
      <c r="CC189" s="36"/>
      <c r="CD189" s="36"/>
      <c r="CE189" s="36"/>
      <c r="CF189" s="36"/>
      <c r="CG189" s="36"/>
      <c r="CH189" s="36"/>
      <c r="CI189" s="36"/>
      <c r="CJ189" s="36"/>
      <c r="CK189" s="36"/>
      <c r="CL189" s="36"/>
      <c r="CM189" s="36"/>
      <c r="CN189" s="36"/>
      <c r="CO189" s="36"/>
      <c r="CP189" s="36"/>
      <c r="CQ189" s="36"/>
      <c r="CR189" s="36"/>
      <c r="CS189" s="36"/>
      <c r="CT189" s="36"/>
      <c r="CU189" s="36"/>
      <c r="CV189" s="36"/>
      <c r="CW189" s="36"/>
      <c r="CX189" s="36"/>
      <c r="CY189" s="36"/>
      <c r="CZ189" s="36"/>
      <c r="DA189" s="36"/>
      <c r="DB189" s="36"/>
      <c r="DC189" s="36"/>
      <c r="DD189" s="36"/>
      <c r="DE189" s="36"/>
      <c r="DF189" s="36"/>
      <c r="DG189" s="36"/>
      <c r="DH189" s="36"/>
      <c r="DI189" s="36"/>
      <c r="DJ189" s="36"/>
      <c r="DK189" s="36"/>
      <c r="DL189" s="36"/>
      <c r="DM189" s="36"/>
      <c r="DN189" s="36"/>
      <c r="DO189" s="36"/>
      <c r="DP189" s="36"/>
      <c r="DQ189" s="36"/>
      <c r="DR189" s="36"/>
      <c r="DS189" s="36"/>
      <c r="DT189" s="36"/>
      <c r="DU189" s="36"/>
      <c r="DV189" s="36"/>
      <c r="DW189" s="36"/>
      <c r="DX189" s="36"/>
      <c r="DY189" s="36"/>
      <c r="DZ189" s="36"/>
      <c r="EA189" s="36"/>
      <c r="EB189" s="36"/>
      <c r="EC189" s="36"/>
      <c r="ED189" s="36"/>
      <c r="EE189" s="36"/>
      <c r="EF189" s="36"/>
      <c r="EG189" s="36"/>
      <c r="EH189" s="36"/>
      <c r="EI189" s="36"/>
      <c r="EJ189" s="36"/>
      <c r="EK189" s="36"/>
      <c r="EL189" s="36"/>
      <c r="EM189" s="36"/>
      <c r="EN189" s="36"/>
      <c r="EO189" s="36"/>
      <c r="EP189" s="36"/>
      <c r="EQ189" s="36">
        <v>-0.15</v>
      </c>
      <c r="ER189" s="36"/>
      <c r="ES189" s="36"/>
      <c r="ET189" s="36"/>
      <c r="EU189" s="36"/>
      <c r="EV189" s="36"/>
      <c r="EW189" s="36"/>
      <c r="EX189" s="36"/>
      <c r="EY189" s="36"/>
      <c r="EZ189" s="36"/>
      <c r="FA189" s="36"/>
      <c r="FB189" s="36"/>
      <c r="FC189" s="36"/>
      <c r="FD189" s="36"/>
      <c r="FE189" s="36"/>
      <c r="FF189" s="36"/>
      <c r="FG189" s="36"/>
      <c r="FH189" s="36"/>
      <c r="FI189" s="36"/>
      <c r="FJ189" s="36"/>
      <c r="FK189" s="36"/>
      <c r="FL189" s="36"/>
      <c r="FM189" s="36"/>
      <c r="FN189" s="36"/>
      <c r="FO189" s="36"/>
      <c r="FP189" s="36"/>
      <c r="FQ189" s="36"/>
      <c r="FR189" s="36"/>
      <c r="FS189" s="36"/>
      <c r="FT189" s="36"/>
      <c r="FU189" s="36"/>
      <c r="FV189" s="36"/>
      <c r="FW189" s="36"/>
      <c r="FX189" s="36"/>
      <c r="FY189" s="36"/>
      <c r="FZ189" s="36"/>
      <c r="GA189" s="36"/>
      <c r="GB189" s="319"/>
      <c r="GC189" s="179">
        <f t="shared" si="32"/>
        <v>0</v>
      </c>
      <c r="GD189" s="179">
        <f t="shared" si="33"/>
        <v>0</v>
      </c>
      <c r="GE189" s="179">
        <f t="shared" si="34"/>
        <v>0</v>
      </c>
      <c r="GF189" s="179">
        <f t="shared" si="35"/>
        <v>0</v>
      </c>
      <c r="GG189" s="179">
        <f t="shared" si="36"/>
        <v>0</v>
      </c>
    </row>
    <row r="190" spans="1:189" x14ac:dyDescent="0.35">
      <c r="A190" s="5" t="s">
        <v>1132</v>
      </c>
      <c r="B190" s="5" t="str">
        <f>IF(Technologies!B190&lt;&gt;0,Technologies!B190,"")</f>
        <v>Mobiliteit</v>
      </c>
      <c r="C190" s="5" t="str">
        <f>VLOOKUP($A190,Technologies!$A$7:$H$576,3,FALSE)</f>
        <v>Final</v>
      </c>
      <c r="D190" s="5" t="str">
        <f>VLOOKUP($A190,Technologies!$A$7:$H$576,4,FALSE)</f>
        <v>Transport</v>
      </c>
      <c r="E190" s="5" t="str">
        <f>VLOOKUP($A190,Technologies!$A$7:$H$576,6,FALSE)</f>
        <v>Other transport</v>
      </c>
      <c r="F190" s="5" t="str">
        <f>VLOOKUP($A190,Technologies!$A$7:$H$576,7,FALSE)</f>
        <v>Dummy consumption - Other Transport</v>
      </c>
      <c r="G190" s="23"/>
      <c r="H190" s="23"/>
      <c r="I190" s="104" cm="1">
        <f t="array" ref="I190">-SUMPRODUCT((Feedstocks!$C$4:$C$141=A190)*Feedstocks!$E$4:$E$141,Feedstocks!$F$4:$F$141,Feedstocks!$H$4:$H$141,Feedstocks!$I$4:$I$141)</f>
        <v>0</v>
      </c>
      <c r="J190" s="104" cm="1">
        <f t="array" ref="J190">-SUMPRODUCT((Feedstocks!$C$4:$C$141=A190)*Feedstocks!$E$4:$E$141,Feedstocks!$H$4:$H$141,Feedstocks!$I$4:$I$141)</f>
        <v>0</v>
      </c>
      <c r="K190" s="104"/>
      <c r="L190" s="104"/>
      <c r="M190" s="23"/>
      <c r="N190" s="23" t="str">
        <f>VLOOKUP(E190,Activities!$A$9:$M$227,13,FALSE)</f>
        <v>NL</v>
      </c>
      <c r="O190" s="23"/>
      <c r="P190" s="79" t="s">
        <v>663</v>
      </c>
      <c r="Q190" s="35"/>
      <c r="R190" s="35"/>
      <c r="S190" s="35"/>
      <c r="T190" s="35"/>
      <c r="U190" s="35"/>
      <c r="V190" s="35"/>
      <c r="W190" s="35"/>
      <c r="X190" s="35"/>
      <c r="Y190" s="35"/>
      <c r="Z190" s="35"/>
      <c r="AA190" s="35"/>
      <c r="AB190" s="35"/>
      <c r="AC190" s="35"/>
      <c r="AD190" s="35"/>
      <c r="AE190" s="35"/>
      <c r="AF190" s="35"/>
      <c r="AG190" s="35"/>
      <c r="AH190" s="35"/>
      <c r="AI190" s="35"/>
      <c r="AJ190" s="35"/>
      <c r="AK190" s="35"/>
      <c r="AL190" s="35"/>
      <c r="AM190" s="35"/>
      <c r="AN190" s="35"/>
      <c r="AO190" s="35"/>
      <c r="AP190" s="35"/>
      <c r="AQ190" s="35"/>
      <c r="AR190" s="35"/>
      <c r="AS190" s="35"/>
      <c r="AT190" s="35"/>
      <c r="AU190" s="35"/>
      <c r="AV190" s="35"/>
      <c r="AW190" s="35"/>
      <c r="AX190" s="35"/>
      <c r="AY190" s="35"/>
      <c r="AZ190" s="35"/>
      <c r="BA190" s="35"/>
      <c r="BB190" s="35"/>
      <c r="BC190" s="35"/>
      <c r="BD190" s="35"/>
      <c r="BE190" s="35"/>
      <c r="BF190" s="35"/>
      <c r="BG190" s="35"/>
      <c r="BH190" s="35">
        <v>1</v>
      </c>
      <c r="BI190" s="35"/>
      <c r="BJ190" s="35"/>
      <c r="BK190" s="35"/>
      <c r="BL190" s="35"/>
      <c r="BM190" s="35"/>
      <c r="BN190" s="35"/>
      <c r="BO190" s="35"/>
      <c r="BP190" s="35"/>
      <c r="BQ190" s="35"/>
      <c r="BR190" s="35"/>
      <c r="BS190" s="35"/>
      <c r="BT190" s="35"/>
      <c r="BU190" s="35"/>
      <c r="BV190" s="35"/>
      <c r="BW190" s="35"/>
      <c r="BX190" s="35"/>
      <c r="BY190" s="35"/>
      <c r="BZ190" s="35"/>
      <c r="CA190" s="35"/>
      <c r="CB190" s="35"/>
      <c r="CC190" s="35"/>
      <c r="CD190" s="35"/>
      <c r="CE190" s="35"/>
      <c r="CF190" s="35"/>
      <c r="CG190" s="35"/>
      <c r="CH190" s="35"/>
      <c r="CI190" s="35"/>
      <c r="CJ190" s="35"/>
      <c r="CK190" s="35"/>
      <c r="CL190" s="35"/>
      <c r="CM190" s="35"/>
      <c r="CN190" s="35"/>
      <c r="CO190" s="35"/>
      <c r="CP190" s="35"/>
      <c r="CQ190" s="35"/>
      <c r="CR190" s="35"/>
      <c r="CS190" s="35"/>
      <c r="CT190" s="35"/>
      <c r="CU190" s="35"/>
      <c r="CV190" s="35"/>
      <c r="CW190" s="35"/>
      <c r="CX190" s="35"/>
      <c r="CY190" s="35"/>
      <c r="CZ190" s="35"/>
      <c r="DA190" s="35"/>
      <c r="DB190" s="35"/>
      <c r="DC190" s="35"/>
      <c r="DD190" s="35"/>
      <c r="DE190" s="35"/>
      <c r="DF190" s="35"/>
      <c r="DG190" s="35"/>
      <c r="DH190" s="35"/>
      <c r="DI190" s="35"/>
      <c r="DJ190" s="35"/>
      <c r="DK190" s="35"/>
      <c r="DL190" s="35"/>
      <c r="DM190" s="35"/>
      <c r="DN190" s="35"/>
      <c r="DO190" s="35"/>
      <c r="DP190" s="35"/>
      <c r="DQ190" s="35"/>
      <c r="DR190" s="35"/>
      <c r="DS190" s="35"/>
      <c r="DT190" s="35"/>
      <c r="DU190" s="35">
        <v>-1</v>
      </c>
      <c r="DV190" s="35"/>
      <c r="DW190" s="35"/>
      <c r="DX190" s="35"/>
      <c r="DY190" s="35"/>
      <c r="DZ190" s="35"/>
      <c r="EA190" s="35"/>
      <c r="EB190" s="35"/>
      <c r="EC190" s="35"/>
      <c r="ED190" s="35"/>
      <c r="EE190" s="35"/>
      <c r="EF190" s="35"/>
      <c r="EG190" s="35"/>
      <c r="EH190" s="35"/>
      <c r="EI190" s="35"/>
      <c r="EJ190" s="35"/>
      <c r="EK190" s="35"/>
      <c r="EL190" s="35"/>
      <c r="EM190" s="35"/>
      <c r="EN190" s="35"/>
      <c r="EO190" s="35"/>
      <c r="EP190" s="35"/>
      <c r="EQ190" s="35"/>
      <c r="ER190" s="35"/>
      <c r="ES190" s="35"/>
      <c r="ET190" s="35"/>
      <c r="EU190" s="35"/>
      <c r="EV190" s="35"/>
      <c r="EW190" s="35"/>
      <c r="EX190" s="35"/>
      <c r="EY190" s="35"/>
      <c r="EZ190" s="35"/>
      <c r="FA190" s="35"/>
      <c r="FB190" s="35"/>
      <c r="FC190" s="35"/>
      <c r="FD190" s="35"/>
      <c r="FE190" s="35"/>
      <c r="FF190" s="35"/>
      <c r="FG190" s="35"/>
      <c r="FH190" s="35"/>
      <c r="FI190" s="35"/>
      <c r="FJ190" s="35"/>
      <c r="FK190" s="35"/>
      <c r="FL190" s="35"/>
      <c r="FM190" s="35"/>
      <c r="FN190" s="35"/>
      <c r="FO190" s="35"/>
      <c r="FP190" s="35"/>
      <c r="FQ190" s="35"/>
      <c r="FR190" s="35"/>
      <c r="FS190" s="35"/>
      <c r="FT190" s="35"/>
      <c r="FU190" s="35"/>
      <c r="FV190" s="35"/>
      <c r="FW190" s="35"/>
      <c r="FX190" s="35"/>
      <c r="FY190" s="35"/>
      <c r="FZ190" s="35"/>
      <c r="GA190" s="35"/>
      <c r="GB190" s="318"/>
      <c r="GC190" s="178">
        <f t="shared" si="32"/>
        <v>0</v>
      </c>
      <c r="GD190" s="178">
        <f t="shared" si="33"/>
        <v>0</v>
      </c>
      <c r="GE190" s="178">
        <f t="shared" si="34"/>
        <v>7.2999999999999995E-2</v>
      </c>
      <c r="GF190" s="178">
        <f t="shared" si="35"/>
        <v>0</v>
      </c>
      <c r="GG190" s="178">
        <f t="shared" si="36"/>
        <v>0</v>
      </c>
    </row>
    <row r="191" spans="1:189" x14ac:dyDescent="0.35">
      <c r="A191" s="5" t="s">
        <v>1136</v>
      </c>
      <c r="B191" s="5" t="str">
        <f>IF(Technologies!B191&lt;&gt;0,Technologies!B191,"")</f>
        <v>Mobiliteit</v>
      </c>
      <c r="C191" s="5" t="str">
        <f>VLOOKUP($A191,Technologies!$A$7:$H$576,3,FALSE)</f>
        <v>Final</v>
      </c>
      <c r="D191" s="5" t="str">
        <f>VLOOKUP($A191,Technologies!$A$7:$H$576,4,FALSE)</f>
        <v>Transport</v>
      </c>
      <c r="E191" s="5" t="str">
        <f>VLOOKUP($A191,Technologies!$A$7:$H$576,6,FALSE)</f>
        <v>Other transport</v>
      </c>
      <c r="F191" s="5" t="str">
        <f>VLOOKUP($A191,Technologies!$A$7:$H$576,7,FALSE)</f>
        <v>Dummy electrified consumption - Other Transport</v>
      </c>
      <c r="G191" s="23"/>
      <c r="H191" s="23"/>
      <c r="I191" s="104" cm="1">
        <f t="array" ref="I191">-SUMPRODUCT((Feedstocks!$C$4:$C$141=A191)*Feedstocks!$E$4:$E$141,Feedstocks!$F$4:$F$141,Feedstocks!$H$4:$H$141,Feedstocks!$I$4:$I$141)</f>
        <v>0</v>
      </c>
      <c r="J191" s="104" cm="1">
        <f t="array" ref="J191">-SUMPRODUCT((Feedstocks!$C$4:$C$141=A191)*Feedstocks!$E$4:$E$141,Feedstocks!$H$4:$H$141,Feedstocks!$I$4:$I$141)</f>
        <v>0</v>
      </c>
      <c r="K191" s="104"/>
      <c r="L191" s="104"/>
      <c r="M191" s="23"/>
      <c r="N191" s="23" t="str">
        <f>VLOOKUP(E191,Activities!$A$9:$M$227,13,FALSE)</f>
        <v>NL</v>
      </c>
      <c r="O191" s="23"/>
      <c r="P191" s="79" t="s">
        <v>663</v>
      </c>
      <c r="Q191" s="35"/>
      <c r="R191" s="35"/>
      <c r="S191" s="35"/>
      <c r="T191" s="35"/>
      <c r="U191" s="35"/>
      <c r="V191" s="35"/>
      <c r="W191" s="35"/>
      <c r="X191" s="35"/>
      <c r="Y191" s="35"/>
      <c r="Z191" s="35"/>
      <c r="AA191" s="35"/>
      <c r="AB191" s="35"/>
      <c r="AC191" s="35"/>
      <c r="AD191" s="35"/>
      <c r="AE191" s="35"/>
      <c r="AF191" s="35"/>
      <c r="AG191" s="35"/>
      <c r="AH191" s="35"/>
      <c r="AI191" s="35"/>
      <c r="AJ191" s="35"/>
      <c r="AK191" s="35"/>
      <c r="AL191" s="35"/>
      <c r="AM191" s="35"/>
      <c r="AN191" s="35"/>
      <c r="AO191" s="35"/>
      <c r="AP191" s="35"/>
      <c r="AQ191" s="35"/>
      <c r="AR191" s="35"/>
      <c r="AS191" s="35"/>
      <c r="AT191" s="35"/>
      <c r="AU191" s="35"/>
      <c r="AV191" s="35"/>
      <c r="AW191" s="35"/>
      <c r="AX191" s="35"/>
      <c r="AY191" s="35"/>
      <c r="AZ191" s="35"/>
      <c r="BA191" s="35"/>
      <c r="BB191" s="35"/>
      <c r="BC191" s="35"/>
      <c r="BD191" s="35"/>
      <c r="BE191" s="35"/>
      <c r="BF191" s="35"/>
      <c r="BG191" s="35"/>
      <c r="BH191" s="35">
        <v>1</v>
      </c>
      <c r="BI191" s="35"/>
      <c r="BJ191" s="35"/>
      <c r="BK191" s="35"/>
      <c r="BL191" s="35"/>
      <c r="BM191" s="35"/>
      <c r="BN191" s="35"/>
      <c r="BO191" s="35"/>
      <c r="BP191" s="35"/>
      <c r="BQ191" s="35"/>
      <c r="BR191" s="35"/>
      <c r="BS191" s="35"/>
      <c r="BT191" s="35"/>
      <c r="BU191" s="35"/>
      <c r="BV191" s="35"/>
      <c r="BW191" s="35"/>
      <c r="BX191" s="35"/>
      <c r="BY191" s="35"/>
      <c r="BZ191" s="35"/>
      <c r="CA191" s="35"/>
      <c r="CB191" s="35"/>
      <c r="CC191" s="35"/>
      <c r="CD191" s="35"/>
      <c r="CE191" s="35"/>
      <c r="CF191" s="35"/>
      <c r="CG191" s="35"/>
      <c r="CH191" s="35"/>
      <c r="CI191" s="35"/>
      <c r="CJ191" s="35"/>
      <c r="CK191" s="35"/>
      <c r="CL191" s="35"/>
      <c r="CM191" s="35"/>
      <c r="CN191" s="35"/>
      <c r="CO191" s="35"/>
      <c r="CP191" s="35"/>
      <c r="CQ191" s="35"/>
      <c r="CR191" s="35"/>
      <c r="CS191" s="35"/>
      <c r="CT191" s="35"/>
      <c r="CU191" s="35"/>
      <c r="CV191" s="35"/>
      <c r="CW191" s="35"/>
      <c r="CX191" s="35"/>
      <c r="CY191" s="35"/>
      <c r="CZ191" s="35"/>
      <c r="DA191" s="35"/>
      <c r="DB191" s="35"/>
      <c r="DC191" s="35"/>
      <c r="DD191" s="35"/>
      <c r="DE191" s="35"/>
      <c r="DF191" s="35"/>
      <c r="DG191" s="35"/>
      <c r="DH191" s="35"/>
      <c r="DI191" s="35">
        <v>-1</v>
      </c>
      <c r="DJ191" s="35"/>
      <c r="DK191" s="35"/>
      <c r="DL191" s="35"/>
      <c r="DM191" s="35"/>
      <c r="DN191" s="35"/>
      <c r="DO191" s="35"/>
      <c r="DP191" s="35"/>
      <c r="DQ191" s="35"/>
      <c r="DR191" s="35"/>
      <c r="DS191" s="35"/>
      <c r="DT191" s="35"/>
      <c r="DU191" s="35"/>
      <c r="DV191" s="35"/>
      <c r="DW191" s="35"/>
      <c r="DX191" s="35"/>
      <c r="DY191" s="35"/>
      <c r="DZ191" s="35"/>
      <c r="EA191" s="35"/>
      <c r="EB191" s="35"/>
      <c r="EC191" s="35"/>
      <c r="ED191" s="35"/>
      <c r="EE191" s="35"/>
      <c r="EF191" s="35"/>
      <c r="EG191" s="35"/>
      <c r="EH191" s="35"/>
      <c r="EI191" s="35"/>
      <c r="EJ191" s="35"/>
      <c r="EK191" s="35"/>
      <c r="EL191" s="35"/>
      <c r="EM191" s="35"/>
      <c r="EN191" s="35"/>
      <c r="EO191" s="35"/>
      <c r="EP191" s="35"/>
      <c r="EQ191" s="35"/>
      <c r="ER191" s="35"/>
      <c r="ES191" s="35"/>
      <c r="ET191" s="35"/>
      <c r="EU191" s="35"/>
      <c r="EV191" s="35"/>
      <c r="EW191" s="35"/>
      <c r="EX191" s="35"/>
      <c r="EY191" s="35"/>
      <c r="EZ191" s="35"/>
      <c r="FA191" s="35"/>
      <c r="FB191" s="35"/>
      <c r="FC191" s="35"/>
      <c r="FD191" s="35"/>
      <c r="FE191" s="35"/>
      <c r="FF191" s="35"/>
      <c r="FG191" s="35"/>
      <c r="FH191" s="35"/>
      <c r="FI191" s="35"/>
      <c r="FJ191" s="35"/>
      <c r="FK191" s="35"/>
      <c r="FL191" s="35"/>
      <c r="FM191" s="35"/>
      <c r="FN191" s="35"/>
      <c r="FO191" s="35"/>
      <c r="FP191" s="35"/>
      <c r="FQ191" s="35"/>
      <c r="FR191" s="35"/>
      <c r="FS191" s="35"/>
      <c r="FT191" s="35"/>
      <c r="FU191" s="35"/>
      <c r="FV191" s="35"/>
      <c r="FW191" s="35"/>
      <c r="FX191" s="35"/>
      <c r="FY191" s="35"/>
      <c r="FZ191" s="35"/>
      <c r="GA191" s="35"/>
      <c r="GB191" s="318"/>
      <c r="GC191" s="178">
        <f t="shared" si="32"/>
        <v>0</v>
      </c>
      <c r="GD191" s="178">
        <f t="shared" si="33"/>
        <v>0</v>
      </c>
      <c r="GE191" s="178">
        <f t="shared" si="34"/>
        <v>0</v>
      </c>
      <c r="GF191" s="178">
        <f t="shared" si="35"/>
        <v>0</v>
      </c>
      <c r="GG191" s="178">
        <f t="shared" si="36"/>
        <v>0</v>
      </c>
    </row>
    <row r="192" spans="1:189" x14ac:dyDescent="0.35">
      <c r="A192" s="5" t="s">
        <v>1138</v>
      </c>
      <c r="B192" s="5" t="str">
        <f>IF(Technologies!B192&lt;&gt;0,Technologies!B192,"")</f>
        <v>Mobiliteit</v>
      </c>
      <c r="C192" s="5" t="str">
        <f>VLOOKUP($A192,Technologies!$A$7:$H$576,3,FALSE)</f>
        <v>Final</v>
      </c>
      <c r="D192" s="5" t="str">
        <f>VLOOKUP($A192,Technologies!$A$7:$H$576,4,FALSE)</f>
        <v>Transport</v>
      </c>
      <c r="E192" s="5" t="str">
        <f>VLOOKUP($A192,Technologies!$A$7:$H$576,6,FALSE)</f>
        <v>Renewable H2 Credit</v>
      </c>
      <c r="F192" s="5" t="str">
        <f>VLOOKUP($A192,Technologies!$A$7:$H$576,7,FALSE)</f>
        <v>H2 Credits for Transport</v>
      </c>
      <c r="G192" s="23"/>
      <c r="H192" s="23"/>
      <c r="I192" s="104" cm="1">
        <f t="array" ref="I192">-SUMPRODUCT((Feedstocks!$C$4:$C$141=A192)*Feedstocks!$E$4:$E$141,Feedstocks!$F$4:$F$141,Feedstocks!$H$4:$H$141,Feedstocks!$I$4:$I$141)</f>
        <v>0</v>
      </c>
      <c r="J192" s="104" cm="1">
        <f t="array" ref="J192">-SUMPRODUCT((Feedstocks!$C$4:$C$141=A192)*Feedstocks!$E$4:$E$141,Feedstocks!$H$4:$H$141,Feedstocks!$I$4:$I$141)</f>
        <v>0</v>
      </c>
      <c r="K192" s="104"/>
      <c r="L192" s="104"/>
      <c r="M192" s="23"/>
      <c r="N192" s="23" t="s">
        <v>320</v>
      </c>
      <c r="O192" s="23"/>
      <c r="P192" s="79"/>
      <c r="Q192" s="35"/>
      <c r="R192" s="35"/>
      <c r="S192" s="35"/>
      <c r="T192" s="35"/>
      <c r="U192" s="35"/>
      <c r="V192" s="35"/>
      <c r="W192" s="35"/>
      <c r="X192" s="35"/>
      <c r="Y192" s="35"/>
      <c r="Z192" s="35"/>
      <c r="AA192" s="35"/>
      <c r="AB192" s="35"/>
      <c r="AC192" s="35"/>
      <c r="AD192" s="35"/>
      <c r="AE192" s="35"/>
      <c r="AF192" s="35"/>
      <c r="AG192" s="35"/>
      <c r="AH192" s="35"/>
      <c r="AI192" s="35"/>
      <c r="AJ192" s="35"/>
      <c r="AK192" s="35"/>
      <c r="AL192" s="35"/>
      <c r="AM192" s="35"/>
      <c r="AN192" s="35"/>
      <c r="AO192" s="35"/>
      <c r="AP192" s="35"/>
      <c r="AQ192" s="35"/>
      <c r="AR192" s="35"/>
      <c r="AS192" s="35"/>
      <c r="AT192" s="35"/>
      <c r="AU192" s="35"/>
      <c r="AV192" s="35"/>
      <c r="AW192" s="35"/>
      <c r="AX192" s="35"/>
      <c r="AY192" s="35"/>
      <c r="AZ192" s="35"/>
      <c r="BA192" s="35"/>
      <c r="BB192" s="35"/>
      <c r="BC192" s="35"/>
      <c r="BD192" s="35"/>
      <c r="BE192" s="35"/>
      <c r="BF192" s="35"/>
      <c r="BG192" s="35"/>
      <c r="BH192" s="35"/>
      <c r="BI192" s="35"/>
      <c r="BJ192" s="35"/>
      <c r="BK192" s="35"/>
      <c r="BL192" s="35"/>
      <c r="BM192" s="35"/>
      <c r="BN192" s="35"/>
      <c r="BO192" s="35"/>
      <c r="BP192" s="35"/>
      <c r="BQ192" s="35"/>
      <c r="BR192" s="35"/>
      <c r="BS192" s="35"/>
      <c r="BT192" s="35"/>
      <c r="BU192" s="35"/>
      <c r="BV192" s="35"/>
      <c r="BW192" s="35"/>
      <c r="BX192" s="35"/>
      <c r="BY192" s="35"/>
      <c r="BZ192" s="35"/>
      <c r="CA192" s="35"/>
      <c r="CB192" s="35"/>
      <c r="CC192" s="35"/>
      <c r="CD192" s="35"/>
      <c r="CE192" s="35"/>
      <c r="CF192" s="35"/>
      <c r="CG192" s="35"/>
      <c r="CH192" s="35"/>
      <c r="CI192" s="35"/>
      <c r="CJ192" s="35"/>
      <c r="CK192" s="35"/>
      <c r="CL192" s="35"/>
      <c r="CM192" s="35"/>
      <c r="CN192" s="35"/>
      <c r="CO192" s="35"/>
      <c r="CP192" s="35"/>
      <c r="CQ192" s="35"/>
      <c r="CR192" s="35"/>
      <c r="CS192" s="35"/>
      <c r="CT192" s="35"/>
      <c r="CU192" s="35"/>
      <c r="CV192" s="35"/>
      <c r="CW192" s="35"/>
      <c r="CX192" s="35"/>
      <c r="CY192" s="35"/>
      <c r="CZ192" s="35"/>
      <c r="DA192" s="35"/>
      <c r="DB192" s="35"/>
      <c r="DC192" s="35"/>
      <c r="DD192" s="35"/>
      <c r="DE192" s="35"/>
      <c r="DF192" s="35"/>
      <c r="DG192" s="35"/>
      <c r="DH192" s="35"/>
      <c r="DI192" s="35"/>
      <c r="DJ192" s="35"/>
      <c r="DK192" s="35"/>
      <c r="DL192" s="35"/>
      <c r="DM192" s="35"/>
      <c r="DN192" s="35"/>
      <c r="DO192" s="35"/>
      <c r="DP192" s="35"/>
      <c r="DQ192" s="35"/>
      <c r="DR192" s="35"/>
      <c r="DS192" s="35"/>
      <c r="DT192" s="35"/>
      <c r="DU192" s="35"/>
      <c r="DV192" s="35"/>
      <c r="DW192" s="35"/>
      <c r="DX192" s="35"/>
      <c r="DY192" s="35"/>
      <c r="DZ192" s="35"/>
      <c r="EA192" s="35"/>
      <c r="EB192" s="35"/>
      <c r="EC192" s="35"/>
      <c r="ED192" s="35"/>
      <c r="EE192" s="35"/>
      <c r="EF192" s="35"/>
      <c r="EG192" s="35"/>
      <c r="EH192" s="35"/>
      <c r="EI192" s="35"/>
      <c r="EJ192" s="35"/>
      <c r="EK192" s="35"/>
      <c r="EL192" s="35"/>
      <c r="EM192" s="35"/>
      <c r="EN192" s="35"/>
      <c r="EO192" s="35">
        <v>-1</v>
      </c>
      <c r="EP192" s="35"/>
      <c r="EQ192" s="35"/>
      <c r="ER192" s="35"/>
      <c r="ES192" s="35"/>
      <c r="ET192" s="35"/>
      <c r="EU192" s="35"/>
      <c r="EV192" s="35"/>
      <c r="EW192" s="35"/>
      <c r="EX192" s="35"/>
      <c r="EY192" s="35"/>
      <c r="EZ192" s="35"/>
      <c r="FA192" s="35"/>
      <c r="FB192" s="35"/>
      <c r="FC192" s="35"/>
      <c r="FD192" s="35"/>
      <c r="FE192" s="35"/>
      <c r="FF192" s="35"/>
      <c r="FG192" s="35"/>
      <c r="FH192" s="35"/>
      <c r="FI192" s="35"/>
      <c r="FJ192" s="35"/>
      <c r="FK192" s="35"/>
      <c r="FL192" s="35"/>
      <c r="FM192" s="35"/>
      <c r="FN192" s="35"/>
      <c r="FO192" s="35"/>
      <c r="FP192" s="35"/>
      <c r="FQ192" s="35"/>
      <c r="FR192" s="35"/>
      <c r="FS192" s="35"/>
      <c r="FT192" s="35"/>
      <c r="FU192" s="35"/>
      <c r="FV192" s="35"/>
      <c r="FW192" s="35"/>
      <c r="FX192" s="35"/>
      <c r="FY192" s="35"/>
      <c r="FZ192" s="35"/>
      <c r="GA192" s="35"/>
      <c r="GB192" s="318"/>
      <c r="GC192" s="178"/>
      <c r="GD192" s="178"/>
      <c r="GE192" s="178"/>
      <c r="GF192" s="178"/>
      <c r="GG192" s="178">
        <f t="shared" si="36"/>
        <v>0</v>
      </c>
    </row>
    <row r="193" spans="1:342" x14ac:dyDescent="0.35">
      <c r="A193" s="6" t="s">
        <v>1140</v>
      </c>
      <c r="B193" s="6" t="str">
        <f>IF(Technologies!B193&lt;&gt;0,Technologies!B193,"")</f>
        <v>Bunkerbrandstoffen</v>
      </c>
      <c r="C193" s="6" t="str">
        <f>VLOOKUP($A193,Technologies!$A$7:$H$576,3,FALSE)</f>
        <v>Final</v>
      </c>
      <c r="D193" s="6" t="str">
        <f>VLOOKUP($A193,Technologies!$A$7:$H$576,4,FALSE)</f>
        <v>Transport</v>
      </c>
      <c r="E193" s="6" t="str">
        <f>VLOOKUP($A193,Technologies!$A$7:$H$576,6,FALSE)</f>
        <v>Bunker Navigation</v>
      </c>
      <c r="F193" s="48" t="str">
        <f>VLOOKUP($A193,Technologies!$A$7:$H$576,7,FALSE)</f>
        <v>Heavy Oil Ship - International</v>
      </c>
      <c r="G193" s="22"/>
      <c r="H193" s="22"/>
      <c r="I193" s="103" cm="1">
        <f t="array" ref="I193">-SUMPRODUCT((Feedstocks!$C$4:$C$141=A193)*Feedstocks!$E$4:$E$141,Feedstocks!$F$4:$F$141,Feedstocks!$H$4:$H$141,Feedstocks!$I$4:$I$141)</f>
        <v>0</v>
      </c>
      <c r="J193" s="103" cm="1">
        <f t="array" ref="J193">-SUMPRODUCT((Feedstocks!$C$4:$C$141=A193)*Feedstocks!$E$4:$E$141,Feedstocks!$H$4:$H$141,Feedstocks!$I$4:$I$141)</f>
        <v>0</v>
      </c>
      <c r="K193" s="103"/>
      <c r="L193" s="103"/>
      <c r="M193" s="22"/>
      <c r="N193" s="22" t="str">
        <f>VLOOKUP(E193,Activities!$A$9:$M$227,13,FALSE)</f>
        <v>NL</v>
      </c>
      <c r="O193" s="22">
        <v>1</v>
      </c>
      <c r="P193" s="80" t="s">
        <v>663</v>
      </c>
      <c r="Q193" s="36"/>
      <c r="R193" s="36"/>
      <c r="S193" s="36"/>
      <c r="T193" s="36"/>
      <c r="U193" s="36"/>
      <c r="V193" s="36"/>
      <c r="W193" s="36"/>
      <c r="X193" s="36"/>
      <c r="Y193" s="36"/>
      <c r="Z193" s="36"/>
      <c r="AA193" s="36"/>
      <c r="AB193" s="36"/>
      <c r="AC193" s="36"/>
      <c r="AD193" s="36"/>
      <c r="AE193" s="36"/>
      <c r="AF193" s="36"/>
      <c r="AG193" s="36"/>
      <c r="AH193" s="36"/>
      <c r="AI193" s="36"/>
      <c r="AJ193" s="36"/>
      <c r="AK193" s="36"/>
      <c r="AL193" s="36"/>
      <c r="AM193" s="36"/>
      <c r="AN193" s="36"/>
      <c r="AO193" s="36"/>
      <c r="AP193" s="36"/>
      <c r="AQ193" s="36"/>
      <c r="AR193" s="36"/>
      <c r="AS193" s="36"/>
      <c r="AT193" s="36"/>
      <c r="AU193" s="36"/>
      <c r="AV193" s="36"/>
      <c r="AW193" s="36"/>
      <c r="AX193" s="36"/>
      <c r="AY193" s="36"/>
      <c r="AZ193" s="36"/>
      <c r="BA193" s="36"/>
      <c r="BB193" s="36"/>
      <c r="BC193" s="36"/>
      <c r="BD193" s="36"/>
      <c r="BE193" s="36"/>
      <c r="BF193" s="36"/>
      <c r="BG193" s="36"/>
      <c r="BH193" s="36"/>
      <c r="BI193" s="36">
        <v>1</v>
      </c>
      <c r="BJ193" s="36"/>
      <c r="BK193" s="36"/>
      <c r="BL193" s="36"/>
      <c r="BM193" s="36"/>
      <c r="BN193" s="36"/>
      <c r="BO193" s="36"/>
      <c r="BP193" s="36"/>
      <c r="BQ193" s="36"/>
      <c r="BR193" s="36"/>
      <c r="BS193" s="36"/>
      <c r="BT193" s="36"/>
      <c r="BU193" s="36"/>
      <c r="BV193" s="36"/>
      <c r="BW193" s="36"/>
      <c r="BX193" s="36"/>
      <c r="BY193" s="36"/>
      <c r="BZ193" s="36"/>
      <c r="CA193" s="36"/>
      <c r="CB193" s="36"/>
      <c r="CC193" s="36"/>
      <c r="CD193" s="36"/>
      <c r="CE193" s="36"/>
      <c r="CF193" s="36"/>
      <c r="CG193" s="36"/>
      <c r="CH193" s="36"/>
      <c r="CI193" s="36"/>
      <c r="CJ193" s="36"/>
      <c r="CK193" s="36"/>
      <c r="CL193" s="36"/>
      <c r="CM193" s="36"/>
      <c r="CN193" s="36"/>
      <c r="CO193" s="36"/>
      <c r="CP193" s="36"/>
      <c r="CQ193" s="36"/>
      <c r="CR193" s="36"/>
      <c r="CS193" s="36"/>
      <c r="CT193" s="36"/>
      <c r="CU193" s="36"/>
      <c r="CV193" s="36"/>
      <c r="CW193" s="36"/>
      <c r="CX193" s="36"/>
      <c r="CY193" s="36"/>
      <c r="CZ193" s="36"/>
      <c r="DA193" s="36"/>
      <c r="DB193" s="36"/>
      <c r="DC193" s="36"/>
      <c r="DD193" s="36"/>
      <c r="DE193" s="36"/>
      <c r="DF193" s="36"/>
      <c r="DG193" s="36"/>
      <c r="DH193" s="36"/>
      <c r="DI193" s="36"/>
      <c r="DJ193" s="36"/>
      <c r="DK193" s="36"/>
      <c r="DL193" s="36"/>
      <c r="DM193" s="36"/>
      <c r="DN193" s="36"/>
      <c r="DO193" s="36"/>
      <c r="DP193" s="36"/>
      <c r="DQ193" s="36"/>
      <c r="DR193" s="36"/>
      <c r="DS193" s="36"/>
      <c r="DT193" s="36"/>
      <c r="DU193" s="36"/>
      <c r="DV193" s="36"/>
      <c r="DW193" s="36">
        <v>-4.22</v>
      </c>
      <c r="DX193" s="36"/>
      <c r="DY193" s="36"/>
      <c r="DZ193" s="36"/>
      <c r="EA193" s="36"/>
      <c r="EB193" s="36"/>
      <c r="EC193" s="36"/>
      <c r="ED193" s="36"/>
      <c r="EE193" s="36"/>
      <c r="EF193" s="36"/>
      <c r="EG193" s="36"/>
      <c r="EH193" s="36"/>
      <c r="EI193" s="36"/>
      <c r="EJ193" s="36"/>
      <c r="EK193" s="36"/>
      <c r="EL193" s="36"/>
      <c r="EM193" s="36"/>
      <c r="EN193" s="36"/>
      <c r="EO193" s="36"/>
      <c r="EP193" s="36"/>
      <c r="EQ193" s="36"/>
      <c r="ER193" s="36"/>
      <c r="ES193" s="36"/>
      <c r="ET193" s="36"/>
      <c r="EU193" s="36"/>
      <c r="EV193" s="36"/>
      <c r="EW193" s="36"/>
      <c r="EX193" s="36"/>
      <c r="EY193" s="36"/>
      <c r="EZ193" s="36"/>
      <c r="FA193" s="36"/>
      <c r="FB193" s="36"/>
      <c r="FC193" s="36"/>
      <c r="FD193" s="36"/>
      <c r="FE193" s="36"/>
      <c r="FF193" s="36"/>
      <c r="FG193" s="36"/>
      <c r="FH193" s="36"/>
      <c r="FI193" s="36"/>
      <c r="FJ193" s="36"/>
      <c r="FK193" s="36"/>
      <c r="FL193" s="36"/>
      <c r="FM193" s="36"/>
      <c r="FN193" s="36"/>
      <c r="FO193" s="36"/>
      <c r="FP193" s="36"/>
      <c r="FQ193" s="36"/>
      <c r="FR193" s="36"/>
      <c r="FS193" s="36"/>
      <c r="FT193" s="36"/>
      <c r="FU193" s="36"/>
      <c r="FV193" s="36"/>
      <c r="FW193" s="36"/>
      <c r="FX193" s="36"/>
      <c r="FY193" s="36"/>
      <c r="FZ193" s="36"/>
      <c r="GA193" s="36"/>
      <c r="GB193" s="319"/>
      <c r="GC193" s="179">
        <f t="shared" ref="GC193:GC224" si="37">ROUND(IF($C193="Primary",0,-$G193*(SUMPRODUCT($Q$4:$GA$4,$Q193:$GA193)+$J193)-$H193)*IF($N193=GC$4,1,0),4)</f>
        <v>0</v>
      </c>
      <c r="GD193" s="179">
        <f t="shared" ref="GD193:GD224" si="38">ROUND(IF($C193="Primary",0,$M193*(1-$O193)*($G193*(SUMPRODUCT($Q$4:$GA$4,$Q193:$GA193)+$J193)+$H193-SUMPRODUCT($Q$5:$GA$5,$Q193:$GA193)-$I193+$K193))*IF($N193=GD$4,1,0),4)</f>
        <v>0</v>
      </c>
      <c r="GE193" s="179">
        <f t="shared" ref="GE193:GE224" si="39">ROUND(IF($C193="Primary",0,(1-$M193)*(1-$O193)*($G193*(SUMPRODUCT($Q$4:$GA$4,$Q193:$GA193)+$J193)+$H193-SUMPRODUCT($Q$5:$GA$5,$Q193:$GA193)-$I193+$L193))*IF($N193=GD$4,1,0),4)</f>
        <v>0</v>
      </c>
      <c r="GF193" s="179">
        <f t="shared" ref="GF193:GF224" si="40">ROUND(IF($C193="Primary",0,$O193*($G193*(SUMPRODUCT($Q$4:$GA$4,$Q193:$GA193)+$J193)-SUMPRODUCT($Q$5:$GA$5,$Q193:$GA193)-$I193))*IF($N193=GD$4,1,0),4)</f>
        <v>0.32490000000000002</v>
      </c>
      <c r="GG193" s="179">
        <f t="shared" si="36"/>
        <v>0</v>
      </c>
    </row>
    <row r="194" spans="1:342" x14ac:dyDescent="0.35">
      <c r="A194" s="5" t="s">
        <v>1144</v>
      </c>
      <c r="B194" s="5" t="str">
        <f>IF(Technologies!B194&lt;&gt;0,Technologies!B194,"")</f>
        <v>Bunkerbrandstoffen</v>
      </c>
      <c r="C194" s="5" t="str">
        <f>VLOOKUP($A194,Technologies!$A$7:$H$576,3,FALSE)</f>
        <v>Final</v>
      </c>
      <c r="D194" s="5" t="str">
        <f>VLOOKUP($A194,Technologies!$A$7:$H$576,4,FALSE)</f>
        <v>Transport</v>
      </c>
      <c r="E194" s="5" t="str">
        <f>VLOOKUP($A194,Technologies!$A$7:$H$576,6,FALSE)</f>
        <v>Bunker Navigation</v>
      </c>
      <c r="F194" s="5" t="str">
        <f>VLOOKUP($A194,Technologies!$A$7:$H$576,7,FALSE)</f>
        <v>Vegetable Oil Ship - International</v>
      </c>
      <c r="G194" s="23"/>
      <c r="H194" s="23"/>
      <c r="I194" s="104" cm="1">
        <f t="array" ref="I194">-SUMPRODUCT((Feedstocks!$C$4:$C$141=A194)*Feedstocks!$E$4:$E$141,Feedstocks!$F$4:$F$141,Feedstocks!$H$4:$H$141,Feedstocks!$I$4:$I$141)</f>
        <v>0</v>
      </c>
      <c r="J194" s="104" cm="1">
        <f t="array" ref="J194">-SUMPRODUCT((Feedstocks!$C$4:$C$141=A194)*Feedstocks!$E$4:$E$141,Feedstocks!$H$4:$H$141,Feedstocks!$I$4:$I$141)</f>
        <v>0</v>
      </c>
      <c r="K194" s="104"/>
      <c r="L194" s="104"/>
      <c r="M194" s="23"/>
      <c r="N194" s="23" t="str">
        <f>VLOOKUP(E194,Activities!$A$9:$M$227,13,FALSE)</f>
        <v>NL</v>
      </c>
      <c r="O194" s="23">
        <v>1</v>
      </c>
      <c r="P194" s="79" t="s">
        <v>663</v>
      </c>
      <c r="Q194" s="35"/>
      <c r="R194" s="35"/>
      <c r="S194" s="35"/>
      <c r="T194" s="35"/>
      <c r="U194" s="35"/>
      <c r="V194" s="35"/>
      <c r="W194" s="35"/>
      <c r="X194" s="35"/>
      <c r="Y194" s="35"/>
      <c r="Z194" s="35"/>
      <c r="AA194" s="35"/>
      <c r="AB194" s="35"/>
      <c r="AC194" s="35"/>
      <c r="AD194" s="35"/>
      <c r="AE194" s="35"/>
      <c r="AF194" s="35"/>
      <c r="AG194" s="35"/>
      <c r="AH194" s="35"/>
      <c r="AI194" s="35"/>
      <c r="AJ194" s="35"/>
      <c r="AK194" s="35"/>
      <c r="AL194" s="35"/>
      <c r="AM194" s="35"/>
      <c r="AN194" s="35"/>
      <c r="AO194" s="35"/>
      <c r="AP194" s="35"/>
      <c r="AQ194" s="35"/>
      <c r="AR194" s="35"/>
      <c r="AS194" s="35"/>
      <c r="AT194" s="35"/>
      <c r="AU194" s="35"/>
      <c r="AV194" s="35"/>
      <c r="AW194" s="35"/>
      <c r="AX194" s="35"/>
      <c r="AY194" s="35"/>
      <c r="AZ194" s="35"/>
      <c r="BA194" s="35"/>
      <c r="BB194" s="35"/>
      <c r="BC194" s="35"/>
      <c r="BD194" s="35"/>
      <c r="BE194" s="35"/>
      <c r="BF194" s="35"/>
      <c r="BG194" s="35"/>
      <c r="BH194" s="35"/>
      <c r="BI194" s="35">
        <v>1</v>
      </c>
      <c r="BJ194" s="35"/>
      <c r="BK194" s="35"/>
      <c r="BL194" s="35"/>
      <c r="BM194" s="35"/>
      <c r="BN194" s="35"/>
      <c r="BO194" s="35"/>
      <c r="BP194" s="35"/>
      <c r="BQ194" s="35"/>
      <c r="BR194" s="35"/>
      <c r="BS194" s="35"/>
      <c r="BT194" s="35"/>
      <c r="BU194" s="35"/>
      <c r="BV194" s="35"/>
      <c r="BW194" s="35"/>
      <c r="BX194" s="35"/>
      <c r="BY194" s="35"/>
      <c r="BZ194" s="35"/>
      <c r="CA194" s="35"/>
      <c r="CB194" s="35"/>
      <c r="CC194" s="35"/>
      <c r="CD194" s="35"/>
      <c r="CE194" s="35"/>
      <c r="CF194" s="35"/>
      <c r="CG194" s="35"/>
      <c r="CH194" s="35"/>
      <c r="CI194" s="35"/>
      <c r="CJ194" s="35"/>
      <c r="CK194" s="35"/>
      <c r="CL194" s="35"/>
      <c r="CM194" s="35"/>
      <c r="CN194" s="35"/>
      <c r="CO194" s="35"/>
      <c r="CP194" s="35"/>
      <c r="CQ194" s="35"/>
      <c r="CR194" s="35"/>
      <c r="CS194" s="35"/>
      <c r="CT194" s="35"/>
      <c r="CU194" s="35"/>
      <c r="CV194" s="35"/>
      <c r="CW194" s="35"/>
      <c r="CX194" s="35"/>
      <c r="CY194" s="35"/>
      <c r="CZ194" s="35"/>
      <c r="DA194" s="35"/>
      <c r="DB194" s="35"/>
      <c r="DC194" s="35"/>
      <c r="DD194" s="35"/>
      <c r="DE194" s="35"/>
      <c r="DF194" s="35"/>
      <c r="DG194" s="35"/>
      <c r="DH194" s="35"/>
      <c r="DI194" s="35"/>
      <c r="DJ194" s="35"/>
      <c r="DK194" s="35"/>
      <c r="DL194" s="35"/>
      <c r="DM194" s="35"/>
      <c r="DN194" s="35"/>
      <c r="DO194" s="35"/>
      <c r="DP194" s="35"/>
      <c r="DQ194" s="35"/>
      <c r="DR194" s="35"/>
      <c r="DS194" s="35"/>
      <c r="DT194" s="35"/>
      <c r="DU194" s="35"/>
      <c r="DV194" s="35"/>
      <c r="DW194" s="35"/>
      <c r="DX194" s="35"/>
      <c r="DY194" s="35"/>
      <c r="DZ194" s="35"/>
      <c r="EA194" s="35"/>
      <c r="EB194" s="35"/>
      <c r="EC194" s="35"/>
      <c r="ED194" s="35"/>
      <c r="EE194" s="35"/>
      <c r="EF194" s="35"/>
      <c r="EG194" s="35"/>
      <c r="EH194" s="35"/>
      <c r="EI194" s="35"/>
      <c r="EJ194" s="35"/>
      <c r="EK194" s="35"/>
      <c r="EL194" s="35"/>
      <c r="EM194" s="35"/>
      <c r="EN194" s="35"/>
      <c r="EO194" s="35"/>
      <c r="EP194" s="35"/>
      <c r="EQ194" s="35"/>
      <c r="ER194" s="35"/>
      <c r="ES194" s="35"/>
      <c r="ET194" s="35"/>
      <c r="EU194" s="35"/>
      <c r="EV194" s="35"/>
      <c r="EW194" s="35"/>
      <c r="EX194" s="35"/>
      <c r="EY194" s="35"/>
      <c r="EZ194" s="35"/>
      <c r="FA194" s="35"/>
      <c r="FB194" s="35"/>
      <c r="FC194" s="35"/>
      <c r="FD194" s="35"/>
      <c r="FE194" s="35"/>
      <c r="FF194" s="35"/>
      <c r="FG194" s="35"/>
      <c r="FH194" s="35">
        <v>-4.22</v>
      </c>
      <c r="FI194" s="35"/>
      <c r="FJ194" s="35"/>
      <c r="FK194" s="35"/>
      <c r="FL194" s="35"/>
      <c r="FM194" s="35"/>
      <c r="FN194" s="35"/>
      <c r="FO194" s="35"/>
      <c r="FP194" s="35"/>
      <c r="FQ194" s="35"/>
      <c r="FR194" s="35"/>
      <c r="FS194" s="35"/>
      <c r="FT194" s="35"/>
      <c r="FU194" s="35"/>
      <c r="FV194" s="35"/>
      <c r="FW194" s="35"/>
      <c r="FX194" s="35"/>
      <c r="FY194" s="35"/>
      <c r="FZ194" s="35"/>
      <c r="GA194" s="35"/>
      <c r="GB194" s="318"/>
      <c r="GC194" s="178">
        <f t="shared" si="37"/>
        <v>0</v>
      </c>
      <c r="GD194" s="178">
        <f t="shared" si="38"/>
        <v>0</v>
      </c>
      <c r="GE194" s="178">
        <f t="shared" si="39"/>
        <v>0</v>
      </c>
      <c r="GF194" s="178">
        <f t="shared" si="40"/>
        <v>0</v>
      </c>
      <c r="GG194" s="178">
        <f t="shared" si="36"/>
        <v>0</v>
      </c>
    </row>
    <row r="195" spans="1:342" x14ac:dyDescent="0.35">
      <c r="A195" s="6" t="s">
        <v>1146</v>
      </c>
      <c r="B195" s="6" t="str">
        <f>IF(Technologies!B195&lt;&gt;0,Technologies!B195,"")</f>
        <v>Bunkerbrandstoffen</v>
      </c>
      <c r="C195" s="6" t="str">
        <f>VLOOKUP($A195,Technologies!$A$7:$H$576,3,FALSE)</f>
        <v>Final</v>
      </c>
      <c r="D195" s="6" t="str">
        <f>VLOOKUP($A195,Technologies!$A$7:$H$576,4,FALSE)</f>
        <v>Transport</v>
      </c>
      <c r="E195" s="6" t="str">
        <f>VLOOKUP($A195,Technologies!$A$7:$H$576,6,FALSE)</f>
        <v>Bunker Navigation</v>
      </c>
      <c r="F195" s="48" t="str">
        <f>VLOOKUP($A195,Technologies!$A$7:$H$576,7,FALSE)</f>
        <v>ICE Ship - International</v>
      </c>
      <c r="G195" s="22"/>
      <c r="H195" s="22"/>
      <c r="I195" s="103" cm="1">
        <f t="array" ref="I195">-SUMPRODUCT((Feedstocks!$C$4:$C$141=A195)*Feedstocks!$E$4:$E$141,Feedstocks!$F$4:$F$141,Feedstocks!$H$4:$H$141,Feedstocks!$I$4:$I$141)</f>
        <v>0</v>
      </c>
      <c r="J195" s="103" cm="1">
        <f t="array" ref="J195">-SUMPRODUCT((Feedstocks!$C$4:$C$141=A195)*Feedstocks!$E$4:$E$141,Feedstocks!$H$4:$H$141,Feedstocks!$I$4:$I$141)</f>
        <v>0</v>
      </c>
      <c r="K195" s="103"/>
      <c r="L195" s="103"/>
      <c r="M195" s="22"/>
      <c r="N195" s="22" t="str">
        <f>VLOOKUP(E195,Activities!$A$9:$M$227,13,FALSE)</f>
        <v>NL</v>
      </c>
      <c r="O195" s="22">
        <v>1</v>
      </c>
      <c r="P195" s="80" t="s">
        <v>663</v>
      </c>
      <c r="Q195" s="36"/>
      <c r="R195" s="36"/>
      <c r="S195" s="36"/>
      <c r="T195" s="36"/>
      <c r="U195" s="36"/>
      <c r="V195" s="36"/>
      <c r="W195" s="36"/>
      <c r="X195" s="36"/>
      <c r="Y195" s="36"/>
      <c r="Z195" s="36"/>
      <c r="AA195" s="36"/>
      <c r="AB195" s="36"/>
      <c r="AC195" s="36"/>
      <c r="AD195" s="36"/>
      <c r="AE195" s="36"/>
      <c r="AF195" s="36"/>
      <c r="AG195" s="36"/>
      <c r="AH195" s="36"/>
      <c r="AI195" s="36"/>
      <c r="AJ195" s="36"/>
      <c r="AK195" s="36"/>
      <c r="AL195" s="36"/>
      <c r="AM195" s="36"/>
      <c r="AN195" s="36"/>
      <c r="AO195" s="36"/>
      <c r="AP195" s="36"/>
      <c r="AQ195" s="36"/>
      <c r="AR195" s="36"/>
      <c r="AS195" s="36"/>
      <c r="AT195" s="36"/>
      <c r="AU195" s="36"/>
      <c r="AV195" s="36"/>
      <c r="AW195" s="36"/>
      <c r="AX195" s="36"/>
      <c r="AY195" s="36"/>
      <c r="AZ195" s="36"/>
      <c r="BA195" s="36"/>
      <c r="BB195" s="36"/>
      <c r="BC195" s="36"/>
      <c r="BD195" s="36"/>
      <c r="BE195" s="36"/>
      <c r="BF195" s="36"/>
      <c r="BG195" s="36"/>
      <c r="BH195" s="36"/>
      <c r="BI195" s="36">
        <v>1</v>
      </c>
      <c r="BJ195" s="36"/>
      <c r="BK195" s="36"/>
      <c r="BL195" s="36"/>
      <c r="BM195" s="36"/>
      <c r="BN195" s="36"/>
      <c r="BO195" s="36"/>
      <c r="BP195" s="36"/>
      <c r="BQ195" s="36"/>
      <c r="BR195" s="36"/>
      <c r="BS195" s="36"/>
      <c r="BT195" s="36"/>
      <c r="BU195" s="36"/>
      <c r="BV195" s="36"/>
      <c r="BW195" s="36"/>
      <c r="BX195" s="36"/>
      <c r="BY195" s="36"/>
      <c r="BZ195" s="36"/>
      <c r="CA195" s="36"/>
      <c r="CB195" s="36"/>
      <c r="CC195" s="36"/>
      <c r="CD195" s="36"/>
      <c r="CE195" s="36"/>
      <c r="CF195" s="36"/>
      <c r="CG195" s="36"/>
      <c r="CH195" s="36"/>
      <c r="CI195" s="36"/>
      <c r="CJ195" s="36"/>
      <c r="CK195" s="36"/>
      <c r="CL195" s="36"/>
      <c r="CM195" s="36"/>
      <c r="CN195" s="36"/>
      <c r="CO195" s="36"/>
      <c r="CP195" s="36"/>
      <c r="CQ195" s="36"/>
      <c r="CR195" s="36"/>
      <c r="CS195" s="36"/>
      <c r="CT195" s="36"/>
      <c r="CU195" s="36"/>
      <c r="CV195" s="36"/>
      <c r="CW195" s="36"/>
      <c r="CX195" s="36"/>
      <c r="CY195" s="36"/>
      <c r="CZ195" s="36"/>
      <c r="DA195" s="36"/>
      <c r="DB195" s="36"/>
      <c r="DC195" s="36"/>
      <c r="DD195" s="36"/>
      <c r="DE195" s="36"/>
      <c r="DF195" s="36"/>
      <c r="DG195" s="36"/>
      <c r="DH195" s="36"/>
      <c r="DI195" s="36"/>
      <c r="DJ195" s="36"/>
      <c r="DK195" s="36"/>
      <c r="DL195" s="36"/>
      <c r="DM195" s="36"/>
      <c r="DN195" s="36"/>
      <c r="DO195" s="36"/>
      <c r="DP195" s="36"/>
      <c r="DQ195" s="36"/>
      <c r="DR195" s="36"/>
      <c r="DS195" s="36"/>
      <c r="DT195" s="36"/>
      <c r="DU195" s="36">
        <v>-4.1399999999999997</v>
      </c>
      <c r="DV195" s="36"/>
      <c r="DW195" s="36"/>
      <c r="DX195" s="36"/>
      <c r="DY195" s="36"/>
      <c r="DZ195" s="36"/>
      <c r="EA195" s="36"/>
      <c r="EB195" s="36"/>
      <c r="EC195" s="36"/>
      <c r="ED195" s="36"/>
      <c r="EE195" s="36"/>
      <c r="EF195" s="36"/>
      <c r="EG195" s="36"/>
      <c r="EH195" s="36"/>
      <c r="EI195" s="36"/>
      <c r="EJ195" s="36"/>
      <c r="EK195" s="36"/>
      <c r="EL195" s="36"/>
      <c r="EM195" s="36"/>
      <c r="EN195" s="36"/>
      <c r="EO195" s="36"/>
      <c r="EP195" s="36"/>
      <c r="EQ195" s="36"/>
      <c r="ER195" s="36"/>
      <c r="ES195" s="36"/>
      <c r="ET195" s="36"/>
      <c r="EU195" s="36"/>
      <c r="EV195" s="36"/>
      <c r="EW195" s="36"/>
      <c r="EX195" s="36"/>
      <c r="EY195" s="36"/>
      <c r="EZ195" s="36"/>
      <c r="FA195" s="36"/>
      <c r="FB195" s="36"/>
      <c r="FC195" s="36"/>
      <c r="FD195" s="36"/>
      <c r="FE195" s="36"/>
      <c r="FF195" s="36"/>
      <c r="FG195" s="36"/>
      <c r="FH195" s="36"/>
      <c r="FI195" s="36"/>
      <c r="FJ195" s="36"/>
      <c r="FK195" s="36"/>
      <c r="FL195" s="36"/>
      <c r="FM195" s="36"/>
      <c r="FN195" s="36"/>
      <c r="FO195" s="36"/>
      <c r="FP195" s="36"/>
      <c r="FQ195" s="36"/>
      <c r="FR195" s="36"/>
      <c r="FS195" s="36"/>
      <c r="FT195" s="36"/>
      <c r="FU195" s="36"/>
      <c r="FV195" s="36"/>
      <c r="FW195" s="36"/>
      <c r="FX195" s="36"/>
      <c r="FY195" s="36"/>
      <c r="FZ195" s="36"/>
      <c r="GA195" s="36"/>
      <c r="GB195" s="319"/>
      <c r="GC195" s="179">
        <f t="shared" si="37"/>
        <v>0</v>
      </c>
      <c r="GD195" s="179">
        <f t="shared" si="38"/>
        <v>0</v>
      </c>
      <c r="GE195" s="179">
        <f t="shared" si="39"/>
        <v>0</v>
      </c>
      <c r="GF195" s="179">
        <f t="shared" si="40"/>
        <v>0.30220000000000002</v>
      </c>
      <c r="GG195" s="179">
        <f t="shared" si="36"/>
        <v>0</v>
      </c>
    </row>
    <row r="196" spans="1:342" x14ac:dyDescent="0.35">
      <c r="A196" s="5" t="s">
        <v>1148</v>
      </c>
      <c r="B196" s="5" t="str">
        <f>IF(Technologies!B196&lt;&gt;0,Technologies!B196,"")</f>
        <v>Bunkerbrandstoffen</v>
      </c>
      <c r="C196" s="5" t="str">
        <f>VLOOKUP($A196,Technologies!$A$7:$H$576,3,FALSE)</f>
        <v>Final</v>
      </c>
      <c r="D196" s="5" t="str">
        <f>VLOOKUP($A196,Technologies!$A$7:$H$576,4,FALSE)</f>
        <v>Transport</v>
      </c>
      <c r="E196" s="5" t="str">
        <f>VLOOKUP($A196,Technologies!$A$7:$H$576,6,FALSE)</f>
        <v>Bunker Navigation</v>
      </c>
      <c r="F196" s="5" t="str">
        <f>VLOOKUP($A196,Technologies!$A$7:$H$576,7,FALSE)</f>
        <v>Bio Diesel Ship - International</v>
      </c>
      <c r="G196" s="23"/>
      <c r="H196" s="23"/>
      <c r="I196" s="104" cm="1">
        <f t="array" ref="I196">-SUMPRODUCT((Feedstocks!$C$4:$C$141=A196)*Feedstocks!$E$4:$E$141,Feedstocks!$F$4:$F$141,Feedstocks!$H$4:$H$141,Feedstocks!$I$4:$I$141)</f>
        <v>0</v>
      </c>
      <c r="J196" s="104" cm="1">
        <f t="array" ref="J196">-SUMPRODUCT((Feedstocks!$C$4:$C$141=A196)*Feedstocks!$E$4:$E$141,Feedstocks!$H$4:$H$141,Feedstocks!$I$4:$I$141)</f>
        <v>0</v>
      </c>
      <c r="K196" s="104"/>
      <c r="L196" s="104"/>
      <c r="M196" s="23"/>
      <c r="N196" s="23" t="str">
        <f>VLOOKUP(E196,Activities!$A$9:$M$227,13,FALSE)</f>
        <v>NL</v>
      </c>
      <c r="O196" s="23">
        <v>1</v>
      </c>
      <c r="P196" s="79" t="s">
        <v>663</v>
      </c>
      <c r="Q196" s="35"/>
      <c r="R196" s="35"/>
      <c r="S196" s="35"/>
      <c r="T196" s="35"/>
      <c r="U196" s="35"/>
      <c r="V196" s="35"/>
      <c r="W196" s="35"/>
      <c r="X196" s="35"/>
      <c r="Y196" s="35"/>
      <c r="Z196" s="35"/>
      <c r="AA196" s="35"/>
      <c r="AB196" s="35"/>
      <c r="AC196" s="35"/>
      <c r="AD196" s="35"/>
      <c r="AE196" s="35"/>
      <c r="AF196" s="35"/>
      <c r="AG196" s="35"/>
      <c r="AH196" s="35"/>
      <c r="AI196" s="35"/>
      <c r="AJ196" s="35"/>
      <c r="AK196" s="35"/>
      <c r="AL196" s="35"/>
      <c r="AM196" s="35"/>
      <c r="AN196" s="35"/>
      <c r="AO196" s="35"/>
      <c r="AP196" s="35"/>
      <c r="AQ196" s="35"/>
      <c r="AR196" s="35"/>
      <c r="AS196" s="35"/>
      <c r="AT196" s="35"/>
      <c r="AU196" s="35"/>
      <c r="AV196" s="35"/>
      <c r="AW196" s="35"/>
      <c r="AX196" s="35"/>
      <c r="AY196" s="35"/>
      <c r="AZ196" s="35"/>
      <c r="BA196" s="35"/>
      <c r="BB196" s="35"/>
      <c r="BC196" s="35"/>
      <c r="BD196" s="35"/>
      <c r="BE196" s="35"/>
      <c r="BF196" s="35"/>
      <c r="BG196" s="35"/>
      <c r="BH196" s="35"/>
      <c r="BI196" s="35">
        <v>1</v>
      </c>
      <c r="BJ196" s="35"/>
      <c r="BK196" s="35"/>
      <c r="BL196" s="35"/>
      <c r="BM196" s="35"/>
      <c r="BN196" s="35"/>
      <c r="BO196" s="35"/>
      <c r="BP196" s="35"/>
      <c r="BQ196" s="35"/>
      <c r="BR196" s="35"/>
      <c r="BS196" s="35"/>
      <c r="BT196" s="35"/>
      <c r="BU196" s="35"/>
      <c r="BV196" s="35"/>
      <c r="BW196" s="35"/>
      <c r="BX196" s="35"/>
      <c r="BY196" s="35"/>
      <c r="BZ196" s="35"/>
      <c r="CA196" s="35"/>
      <c r="CB196" s="35"/>
      <c r="CC196" s="35"/>
      <c r="CD196" s="35"/>
      <c r="CE196" s="35"/>
      <c r="CF196" s="35"/>
      <c r="CG196" s="35"/>
      <c r="CH196" s="35"/>
      <c r="CI196" s="35"/>
      <c r="CJ196" s="35"/>
      <c r="CK196" s="35"/>
      <c r="CL196" s="35"/>
      <c r="CM196" s="35"/>
      <c r="CN196" s="35"/>
      <c r="CO196" s="35"/>
      <c r="CP196" s="35"/>
      <c r="CQ196" s="35"/>
      <c r="CR196" s="35"/>
      <c r="CS196" s="35"/>
      <c r="CT196" s="35"/>
      <c r="CU196" s="35"/>
      <c r="CV196" s="35"/>
      <c r="CW196" s="35"/>
      <c r="CX196" s="35"/>
      <c r="CY196" s="35"/>
      <c r="CZ196" s="35"/>
      <c r="DA196" s="35"/>
      <c r="DB196" s="35"/>
      <c r="DC196" s="35"/>
      <c r="DD196" s="35"/>
      <c r="DE196" s="35"/>
      <c r="DF196" s="35"/>
      <c r="DG196" s="35"/>
      <c r="DH196" s="35"/>
      <c r="DI196" s="35"/>
      <c r="DJ196" s="35"/>
      <c r="DK196" s="35"/>
      <c r="DL196" s="35"/>
      <c r="DM196" s="35"/>
      <c r="DN196" s="35"/>
      <c r="DO196" s="35"/>
      <c r="DP196" s="35"/>
      <c r="DQ196" s="35"/>
      <c r="DR196" s="35"/>
      <c r="DS196" s="35"/>
      <c r="DT196" s="35"/>
      <c r="DU196" s="35"/>
      <c r="DV196" s="35"/>
      <c r="DW196" s="35"/>
      <c r="DX196" s="35"/>
      <c r="DY196" s="35"/>
      <c r="DZ196" s="35"/>
      <c r="EA196" s="35">
        <v>-4.1399999999999997</v>
      </c>
      <c r="EB196" s="35"/>
      <c r="EC196" s="35"/>
      <c r="ED196" s="35"/>
      <c r="EE196" s="35"/>
      <c r="EF196" s="35"/>
      <c r="EG196" s="35"/>
      <c r="EH196" s="35"/>
      <c r="EI196" s="35"/>
      <c r="EJ196" s="35"/>
      <c r="EK196" s="35"/>
      <c r="EL196" s="35"/>
      <c r="EM196" s="35"/>
      <c r="EN196" s="35"/>
      <c r="EO196" s="35"/>
      <c r="EP196" s="35"/>
      <c r="EQ196" s="35"/>
      <c r="ER196" s="35"/>
      <c r="ES196" s="35"/>
      <c r="ET196" s="35"/>
      <c r="EU196" s="35"/>
      <c r="EV196" s="35"/>
      <c r="EW196" s="35"/>
      <c r="EX196" s="35"/>
      <c r="EY196" s="35"/>
      <c r="EZ196" s="35"/>
      <c r="FA196" s="35"/>
      <c r="FB196" s="35"/>
      <c r="FC196" s="35"/>
      <c r="FD196" s="35"/>
      <c r="FE196" s="35"/>
      <c r="FF196" s="35"/>
      <c r="FG196" s="35"/>
      <c r="FH196" s="35"/>
      <c r="FI196" s="35"/>
      <c r="FJ196" s="35"/>
      <c r="FK196" s="35"/>
      <c r="FL196" s="35"/>
      <c r="FM196" s="35"/>
      <c r="FN196" s="35"/>
      <c r="FO196" s="35"/>
      <c r="FP196" s="35"/>
      <c r="FQ196" s="35"/>
      <c r="FR196" s="35"/>
      <c r="FS196" s="35"/>
      <c r="FT196" s="35"/>
      <c r="FU196" s="35"/>
      <c r="FV196" s="35"/>
      <c r="FW196" s="35"/>
      <c r="FX196" s="35"/>
      <c r="FY196" s="35"/>
      <c r="FZ196" s="35"/>
      <c r="GA196" s="35"/>
      <c r="GB196" s="318"/>
      <c r="GC196" s="178">
        <f t="shared" si="37"/>
        <v>0</v>
      </c>
      <c r="GD196" s="178">
        <f t="shared" si="38"/>
        <v>0</v>
      </c>
      <c r="GE196" s="178">
        <f t="shared" si="39"/>
        <v>0</v>
      </c>
      <c r="GF196" s="178">
        <f t="shared" si="40"/>
        <v>0</v>
      </c>
      <c r="GG196" s="178">
        <f t="shared" si="36"/>
        <v>0</v>
      </c>
    </row>
    <row r="197" spans="1:342" x14ac:dyDescent="0.35">
      <c r="A197" s="6" t="s">
        <v>1150</v>
      </c>
      <c r="B197" s="6" t="str">
        <f>IF(Technologies!B197&lt;&gt;0,Technologies!B197,"")</f>
        <v>Bunkerbrandstoffen</v>
      </c>
      <c r="C197" s="6" t="str">
        <f>VLOOKUP($A197,Technologies!$A$7:$H$576,3,FALSE)</f>
        <v>Final</v>
      </c>
      <c r="D197" s="6" t="str">
        <f>VLOOKUP($A197,Technologies!$A$7:$H$576,4,FALSE)</f>
        <v>Transport</v>
      </c>
      <c r="E197" s="6" t="str">
        <f>VLOOKUP($A197,Technologies!$A$7:$H$576,6,FALSE)</f>
        <v>Bunker Navigation</v>
      </c>
      <c r="F197" s="48" t="str">
        <f>VLOOKUP($A197,Technologies!$A$7:$H$576,7,FALSE)</f>
        <v>Syn Diesel Ship - International</v>
      </c>
      <c r="G197" s="22"/>
      <c r="H197" s="22"/>
      <c r="I197" s="103" cm="1">
        <f t="array" ref="I197">-SUMPRODUCT((Feedstocks!$C$4:$C$141=A197)*Feedstocks!$E$4:$E$141,Feedstocks!$F$4:$F$141,Feedstocks!$H$4:$H$141,Feedstocks!$I$4:$I$141)</f>
        <v>0</v>
      </c>
      <c r="J197" s="103" cm="1">
        <f t="array" ref="J197">-SUMPRODUCT((Feedstocks!$C$4:$C$141=A197)*Feedstocks!$E$4:$E$141,Feedstocks!$H$4:$H$141,Feedstocks!$I$4:$I$141)</f>
        <v>0</v>
      </c>
      <c r="K197" s="103"/>
      <c r="L197" s="103"/>
      <c r="M197" s="22"/>
      <c r="N197" s="22" t="str">
        <f>VLOOKUP(E197,Activities!$A$9:$M$227,13,FALSE)</f>
        <v>NL</v>
      </c>
      <c r="O197" s="22">
        <v>1</v>
      </c>
      <c r="P197" s="80" t="s">
        <v>663</v>
      </c>
      <c r="Q197" s="36"/>
      <c r="R197" s="36"/>
      <c r="S197" s="36"/>
      <c r="T197" s="36"/>
      <c r="U197" s="36"/>
      <c r="V197" s="36"/>
      <c r="W197" s="36"/>
      <c r="X197" s="36"/>
      <c r="Y197" s="36"/>
      <c r="Z197" s="36"/>
      <c r="AA197" s="36"/>
      <c r="AB197" s="36"/>
      <c r="AC197" s="36"/>
      <c r="AD197" s="36"/>
      <c r="AE197" s="36"/>
      <c r="AF197" s="36"/>
      <c r="AG197" s="36"/>
      <c r="AH197" s="36"/>
      <c r="AI197" s="36"/>
      <c r="AJ197" s="36"/>
      <c r="AK197" s="36"/>
      <c r="AL197" s="36"/>
      <c r="AM197" s="36"/>
      <c r="AN197" s="36"/>
      <c r="AO197" s="36"/>
      <c r="AP197" s="36"/>
      <c r="AQ197" s="36"/>
      <c r="AR197" s="36"/>
      <c r="AS197" s="36"/>
      <c r="AT197" s="36"/>
      <c r="AU197" s="36"/>
      <c r="AV197" s="36"/>
      <c r="AW197" s="36"/>
      <c r="AX197" s="36"/>
      <c r="AY197" s="36"/>
      <c r="AZ197" s="36"/>
      <c r="BA197" s="36"/>
      <c r="BB197" s="36"/>
      <c r="BC197" s="36"/>
      <c r="BD197" s="36"/>
      <c r="BE197" s="36"/>
      <c r="BF197" s="36"/>
      <c r="BG197" s="36"/>
      <c r="BH197" s="36"/>
      <c r="BI197" s="36">
        <v>1</v>
      </c>
      <c r="BJ197" s="36"/>
      <c r="BK197" s="36"/>
      <c r="BL197" s="36"/>
      <c r="BM197" s="36"/>
      <c r="BN197" s="36"/>
      <c r="BO197" s="36"/>
      <c r="BP197" s="36"/>
      <c r="BQ197" s="36"/>
      <c r="BR197" s="36"/>
      <c r="BS197" s="36"/>
      <c r="BT197" s="36"/>
      <c r="BU197" s="36"/>
      <c r="BV197" s="36"/>
      <c r="BW197" s="36"/>
      <c r="BX197" s="36"/>
      <c r="BY197" s="36"/>
      <c r="BZ197" s="36"/>
      <c r="CA197" s="36"/>
      <c r="CB197" s="36"/>
      <c r="CC197" s="36"/>
      <c r="CD197" s="36"/>
      <c r="CE197" s="36"/>
      <c r="CF197" s="36"/>
      <c r="CG197" s="36"/>
      <c r="CH197" s="36"/>
      <c r="CI197" s="36"/>
      <c r="CJ197" s="36"/>
      <c r="CK197" s="36"/>
      <c r="CL197" s="36"/>
      <c r="CM197" s="36"/>
      <c r="CN197" s="36"/>
      <c r="CO197" s="36"/>
      <c r="CP197" s="36"/>
      <c r="CQ197" s="36"/>
      <c r="CR197" s="36"/>
      <c r="CS197" s="36"/>
      <c r="CT197" s="36"/>
      <c r="CU197" s="36"/>
      <c r="CV197" s="36"/>
      <c r="CW197" s="36"/>
      <c r="CX197" s="36"/>
      <c r="CY197" s="36"/>
      <c r="CZ197" s="36"/>
      <c r="DA197" s="36"/>
      <c r="DB197" s="36"/>
      <c r="DC197" s="36"/>
      <c r="DD197" s="36"/>
      <c r="DE197" s="36"/>
      <c r="DF197" s="36"/>
      <c r="DG197" s="36"/>
      <c r="DH197" s="36"/>
      <c r="DI197" s="36"/>
      <c r="DJ197" s="36"/>
      <c r="DK197" s="36"/>
      <c r="DL197" s="36"/>
      <c r="DM197" s="36"/>
      <c r="DN197" s="36"/>
      <c r="DO197" s="36"/>
      <c r="DP197" s="36"/>
      <c r="DQ197" s="36"/>
      <c r="DR197" s="36"/>
      <c r="DS197" s="36"/>
      <c r="DT197" s="36"/>
      <c r="DU197" s="36"/>
      <c r="DV197" s="36"/>
      <c r="DW197" s="36"/>
      <c r="DX197" s="36"/>
      <c r="DY197" s="36"/>
      <c r="DZ197" s="36"/>
      <c r="EA197" s="36"/>
      <c r="EB197" s="36"/>
      <c r="EC197" s="36"/>
      <c r="ED197" s="36"/>
      <c r="EE197" s="36">
        <v>-4.1399999999999997</v>
      </c>
      <c r="EF197" s="36"/>
      <c r="EG197" s="36"/>
      <c r="EH197" s="36"/>
      <c r="EI197" s="36"/>
      <c r="EJ197" s="36"/>
      <c r="EK197" s="36"/>
      <c r="EL197" s="36"/>
      <c r="EM197" s="36"/>
      <c r="EN197" s="36"/>
      <c r="EO197" s="36"/>
      <c r="EP197" s="36"/>
      <c r="EQ197" s="36"/>
      <c r="ER197" s="36"/>
      <c r="ES197" s="36"/>
      <c r="ET197" s="36"/>
      <c r="EU197" s="36"/>
      <c r="EV197" s="36"/>
      <c r="EW197" s="36"/>
      <c r="EX197" s="36"/>
      <c r="EY197" s="36"/>
      <c r="EZ197" s="36"/>
      <c r="FA197" s="36"/>
      <c r="FB197" s="36"/>
      <c r="FC197" s="36"/>
      <c r="FD197" s="36"/>
      <c r="FE197" s="36"/>
      <c r="FF197" s="36"/>
      <c r="FG197" s="36"/>
      <c r="FH197" s="36"/>
      <c r="FI197" s="36"/>
      <c r="FJ197" s="36"/>
      <c r="FK197" s="36"/>
      <c r="FL197" s="36"/>
      <c r="FM197" s="36"/>
      <c r="FN197" s="36"/>
      <c r="FO197" s="36"/>
      <c r="FP197" s="36"/>
      <c r="FQ197" s="36"/>
      <c r="FR197" s="36"/>
      <c r="FS197" s="36"/>
      <c r="FT197" s="36"/>
      <c r="FU197" s="36"/>
      <c r="FV197" s="36"/>
      <c r="FW197" s="36"/>
      <c r="FX197" s="36"/>
      <c r="FY197" s="36"/>
      <c r="FZ197" s="36"/>
      <c r="GA197" s="36"/>
      <c r="GB197" s="319"/>
      <c r="GC197" s="179">
        <f t="shared" si="37"/>
        <v>0</v>
      </c>
      <c r="GD197" s="179">
        <f t="shared" si="38"/>
        <v>0</v>
      </c>
      <c r="GE197" s="179">
        <f t="shared" si="39"/>
        <v>0</v>
      </c>
      <c r="GF197" s="179">
        <f t="shared" si="40"/>
        <v>0.30220000000000002</v>
      </c>
      <c r="GG197" s="179">
        <f t="shared" si="36"/>
        <v>0</v>
      </c>
    </row>
    <row r="198" spans="1:342" s="261" customFormat="1" x14ac:dyDescent="0.35">
      <c r="A198" s="256" t="s">
        <v>1152</v>
      </c>
      <c r="B198" s="256" t="str">
        <f>IF(Technologies!B198&lt;&gt;0,Technologies!B198,"")</f>
        <v>Bunkerbrandstoffen</v>
      </c>
      <c r="C198" s="256" t="str">
        <f>VLOOKUP($A198,Technologies!$A$7:$H$576,3,FALSE)</f>
        <v>Final</v>
      </c>
      <c r="D198" s="256" t="str">
        <f>VLOOKUP($A198,Technologies!$A$7:$H$576,4,FALSE)</f>
        <v>Transport</v>
      </c>
      <c r="E198" s="256" t="str">
        <f>VLOOKUP($A198,Technologies!$A$7:$H$576,6,FALSE)</f>
        <v>Bunker Navigation</v>
      </c>
      <c r="F198" s="256" t="str">
        <f>VLOOKUP($A198,Technologies!$A$7:$H$576,7,FALSE)</f>
        <v>LNG Ship - International</v>
      </c>
      <c r="G198" s="262"/>
      <c r="H198" s="262"/>
      <c r="I198" s="264" cm="1">
        <f t="array" ref="I198">-SUMPRODUCT((Feedstocks!$C$4:$C$141=A198)*Feedstocks!$E$4:$E$141,Feedstocks!$F$4:$F$141,Feedstocks!$H$4:$H$141,Feedstocks!$I$4:$I$141)</f>
        <v>0</v>
      </c>
      <c r="J198" s="264" cm="1">
        <f t="array" ref="J198">-SUMPRODUCT((Feedstocks!$C$4:$C$141=A198)*Feedstocks!$E$4:$E$141,Feedstocks!$H$4:$H$141,Feedstocks!$I$4:$I$141)</f>
        <v>0</v>
      </c>
      <c r="K198" s="264"/>
      <c r="L198" s="264"/>
      <c r="M198" s="262"/>
      <c r="N198" s="262" t="str">
        <f>VLOOKUP(E198,Activities!$A$9:$M$227,13,FALSE)</f>
        <v>NL</v>
      </c>
      <c r="O198" s="262">
        <v>1</v>
      </c>
      <c r="P198" s="265" t="s">
        <v>663</v>
      </c>
      <c r="Q198" s="266"/>
      <c r="R198" s="266"/>
      <c r="S198" s="266"/>
      <c r="T198" s="266"/>
      <c r="U198" s="266"/>
      <c r="V198" s="266"/>
      <c r="W198" s="266"/>
      <c r="X198" s="266"/>
      <c r="Y198" s="266"/>
      <c r="Z198" s="266"/>
      <c r="AA198" s="266"/>
      <c r="AB198" s="266"/>
      <c r="AC198" s="266"/>
      <c r="AD198" s="266"/>
      <c r="AE198" s="266"/>
      <c r="AF198" s="266"/>
      <c r="AG198" s="266"/>
      <c r="AH198" s="266"/>
      <c r="AI198" s="266"/>
      <c r="AJ198" s="266"/>
      <c r="AK198" s="266"/>
      <c r="AL198" s="266"/>
      <c r="AM198" s="266"/>
      <c r="AN198" s="266"/>
      <c r="AO198" s="266"/>
      <c r="AP198" s="266"/>
      <c r="AQ198" s="266"/>
      <c r="AR198" s="266"/>
      <c r="AS198" s="266"/>
      <c r="AT198" s="266"/>
      <c r="AU198" s="266"/>
      <c r="AV198" s="266"/>
      <c r="AW198" s="266"/>
      <c r="AX198" s="266"/>
      <c r="AY198" s="266"/>
      <c r="AZ198" s="266"/>
      <c r="BA198" s="266"/>
      <c r="BB198" s="266"/>
      <c r="BC198" s="266"/>
      <c r="BD198" s="266"/>
      <c r="BE198" s="266"/>
      <c r="BF198" s="266"/>
      <c r="BG198" s="266"/>
      <c r="BH198" s="266"/>
      <c r="BI198" s="266">
        <v>1</v>
      </c>
      <c r="BJ198" s="266"/>
      <c r="BK198" s="266"/>
      <c r="BL198" s="266"/>
      <c r="BM198" s="266"/>
      <c r="BN198" s="266"/>
      <c r="BO198" s="266"/>
      <c r="BP198" s="266"/>
      <c r="BQ198" s="266"/>
      <c r="BR198" s="266"/>
      <c r="BS198" s="266"/>
      <c r="BT198" s="266"/>
      <c r="BU198" s="266"/>
      <c r="BV198" s="266"/>
      <c r="BW198" s="266"/>
      <c r="BX198" s="266"/>
      <c r="BY198" s="266"/>
      <c r="BZ198" s="266"/>
      <c r="CA198" s="266"/>
      <c r="CB198" s="266"/>
      <c r="CC198" s="266"/>
      <c r="CD198" s="266"/>
      <c r="CE198" s="266"/>
      <c r="CF198" s="266"/>
      <c r="CG198" s="266"/>
      <c r="CH198" s="266"/>
      <c r="CI198" s="266"/>
      <c r="CJ198" s="266"/>
      <c r="CK198" s="266"/>
      <c r="CL198" s="266"/>
      <c r="CM198" s="266"/>
      <c r="CN198" s="266"/>
      <c r="CO198" s="266"/>
      <c r="CP198" s="266"/>
      <c r="CQ198" s="266"/>
      <c r="CR198" s="266"/>
      <c r="CS198" s="266"/>
      <c r="CT198" s="266"/>
      <c r="CU198" s="266"/>
      <c r="CV198" s="266"/>
      <c r="CW198" s="266"/>
      <c r="CX198" s="266"/>
      <c r="CY198" s="266"/>
      <c r="CZ198" s="266"/>
      <c r="DA198" s="266"/>
      <c r="DB198" s="266"/>
      <c r="DC198" s="266"/>
      <c r="DD198" s="266"/>
      <c r="DE198" s="266"/>
      <c r="DF198" s="266"/>
      <c r="DG198" s="266"/>
      <c r="DH198" s="266"/>
      <c r="DI198" s="266"/>
      <c r="DJ198" s="266"/>
      <c r="DK198" s="266"/>
      <c r="DL198" s="266"/>
      <c r="DM198" s="266"/>
      <c r="DN198" s="266"/>
      <c r="DO198" s="266"/>
      <c r="DP198" s="266"/>
      <c r="DQ198" s="266"/>
      <c r="DR198" s="266"/>
      <c r="DS198" s="266"/>
      <c r="DT198" s="266"/>
      <c r="DU198" s="266"/>
      <c r="DV198" s="266"/>
      <c r="DW198" s="266"/>
      <c r="DX198" s="266"/>
      <c r="DY198" s="266"/>
      <c r="DZ198" s="266"/>
      <c r="EA198" s="266"/>
      <c r="EB198" s="266"/>
      <c r="EC198" s="266"/>
      <c r="ED198" s="266"/>
      <c r="EE198" s="266"/>
      <c r="EF198" s="266"/>
      <c r="EG198" s="266"/>
      <c r="EH198" s="266"/>
      <c r="EI198" s="266"/>
      <c r="EJ198" s="266"/>
      <c r="EK198" s="266"/>
      <c r="EL198" s="266">
        <v>-4.1399999999999997</v>
      </c>
      <c r="EM198" s="266"/>
      <c r="EN198" s="266"/>
      <c r="EO198" s="266"/>
      <c r="EP198" s="266"/>
      <c r="EQ198" s="266"/>
      <c r="ER198" s="266"/>
      <c r="ES198" s="266"/>
      <c r="ET198" s="266"/>
      <c r="EU198" s="266"/>
      <c r="EV198" s="266"/>
      <c r="EW198" s="266"/>
      <c r="EX198" s="266"/>
      <c r="EY198" s="266"/>
      <c r="EZ198" s="266"/>
      <c r="FA198" s="266"/>
      <c r="FB198" s="266"/>
      <c r="FC198" s="266"/>
      <c r="FD198" s="266"/>
      <c r="FE198" s="266"/>
      <c r="FF198" s="266"/>
      <c r="FG198" s="266"/>
      <c r="FH198" s="266"/>
      <c r="FI198" s="266"/>
      <c r="FJ198" s="266"/>
      <c r="FK198" s="266"/>
      <c r="FL198" s="266"/>
      <c r="FM198" s="266"/>
      <c r="FN198" s="266"/>
      <c r="FO198" s="266"/>
      <c r="FP198" s="266"/>
      <c r="FQ198" s="266"/>
      <c r="FR198" s="266"/>
      <c r="FS198" s="266"/>
      <c r="FT198" s="266"/>
      <c r="FU198" s="266"/>
      <c r="FV198" s="266"/>
      <c r="FW198" s="266"/>
      <c r="FX198" s="266"/>
      <c r="FY198" s="266"/>
      <c r="FZ198" s="266"/>
      <c r="GA198" s="266"/>
      <c r="GB198" s="321"/>
      <c r="GC198" s="267">
        <f t="shared" si="37"/>
        <v>0</v>
      </c>
      <c r="GD198" s="267">
        <f t="shared" si="38"/>
        <v>0</v>
      </c>
      <c r="GE198" s="267">
        <f t="shared" si="39"/>
        <v>0</v>
      </c>
      <c r="GF198" s="267">
        <f t="shared" si="40"/>
        <v>0.23430000000000001</v>
      </c>
      <c r="GG198" s="267">
        <f t="shared" si="36"/>
        <v>0</v>
      </c>
      <c r="GI198" s="1"/>
      <c r="GJ198" s="1"/>
      <c r="GK198" s="1"/>
      <c r="GL198" s="1"/>
      <c r="GM198" s="1"/>
      <c r="GN198" s="1"/>
      <c r="GO198" s="1"/>
      <c r="GP198" s="1"/>
      <c r="GQ198" s="1"/>
      <c r="GR198" s="1"/>
      <c r="GS198" s="1"/>
      <c r="GT198" s="1"/>
      <c r="GU198" s="1"/>
      <c r="GV198" s="1"/>
      <c r="GW198" s="1"/>
      <c r="GX198" s="1"/>
      <c r="GY198" s="1"/>
      <c r="GZ198" s="1"/>
      <c r="HA198" s="1"/>
      <c r="HB198" s="1"/>
      <c r="HC198" s="1"/>
      <c r="HD198" s="1"/>
      <c r="HE198" s="1"/>
      <c r="HF198" s="1"/>
      <c r="HG198" s="1"/>
      <c r="HH198" s="1"/>
      <c r="HI198" s="1"/>
      <c r="HJ198" s="1"/>
      <c r="HK198" s="1"/>
      <c r="HL198" s="1"/>
      <c r="HM198" s="1"/>
      <c r="HN198" s="1"/>
      <c r="HO198" s="1"/>
      <c r="HP198" s="1"/>
      <c r="HQ198" s="1"/>
      <c r="HR198" s="1"/>
      <c r="HS198" s="1"/>
      <c r="HT198" s="1"/>
      <c r="HU198" s="1"/>
      <c r="HV198" s="1"/>
      <c r="HW198" s="1"/>
      <c r="HX198" s="1"/>
      <c r="HY198" s="1"/>
      <c r="HZ198" s="1"/>
      <c r="IA198" s="1"/>
      <c r="IB198" s="1"/>
      <c r="IC198" s="1"/>
      <c r="ID198" s="1"/>
      <c r="IE198" s="1"/>
      <c r="IF198" s="1"/>
      <c r="IG198" s="1"/>
      <c r="IH198" s="1"/>
      <c r="II198" s="1"/>
      <c r="IJ198" s="1"/>
      <c r="IK198" s="1"/>
      <c r="IL198" s="1"/>
      <c r="IM198" s="1"/>
      <c r="IN198" s="1"/>
      <c r="IO198" s="1"/>
      <c r="IP198" s="1"/>
      <c r="IQ198" s="1"/>
      <c r="IR198" s="1"/>
      <c r="IS198" s="1"/>
      <c r="IT198" s="1"/>
      <c r="IU198" s="1"/>
      <c r="IV198" s="1"/>
      <c r="IW198" s="1"/>
      <c r="IX198" s="1"/>
      <c r="IY198" s="1"/>
      <c r="IZ198" s="1"/>
      <c r="JA198" s="1"/>
      <c r="JB198" s="1"/>
      <c r="JC198" s="1"/>
      <c r="JD198" s="1"/>
      <c r="JE198" s="1"/>
      <c r="JF198" s="1"/>
      <c r="JG198" s="1"/>
      <c r="JH198" s="1"/>
      <c r="JI198" s="1"/>
      <c r="JJ198" s="1"/>
      <c r="JK198" s="1"/>
      <c r="JL198" s="1"/>
      <c r="JM198" s="1"/>
      <c r="JN198" s="1"/>
      <c r="JO198" s="1"/>
      <c r="JP198" s="1"/>
      <c r="JQ198" s="1"/>
      <c r="JR198" s="1"/>
      <c r="JS198" s="1"/>
      <c r="JT198" s="1"/>
      <c r="JU198" s="1"/>
      <c r="JV198" s="1"/>
      <c r="JW198" s="1"/>
      <c r="JX198" s="1"/>
      <c r="JY198" s="1"/>
      <c r="JZ198" s="1"/>
      <c r="KA198" s="1"/>
      <c r="KB198" s="1"/>
      <c r="KC198" s="1"/>
      <c r="KD198" s="1"/>
      <c r="KE198" s="1"/>
      <c r="KF198" s="1"/>
      <c r="KG198" s="1"/>
      <c r="KH198" s="1"/>
      <c r="KI198" s="1"/>
      <c r="KJ198" s="1"/>
      <c r="KK198" s="1"/>
      <c r="KL198" s="1"/>
      <c r="KM198" s="1"/>
      <c r="KN198" s="1"/>
      <c r="KO198" s="1"/>
      <c r="KP198" s="1"/>
      <c r="KQ198" s="1"/>
      <c r="KR198" s="1"/>
      <c r="KS198" s="1"/>
      <c r="KT198" s="1"/>
      <c r="KU198" s="1"/>
      <c r="KV198" s="1"/>
      <c r="KW198" s="1"/>
      <c r="KX198" s="1"/>
      <c r="KY198" s="1"/>
      <c r="KZ198" s="1"/>
      <c r="LA198" s="1"/>
      <c r="LB198" s="1"/>
      <c r="LC198" s="1"/>
      <c r="LD198" s="1"/>
      <c r="LE198" s="1"/>
      <c r="LF198" s="1"/>
      <c r="LG198" s="1"/>
      <c r="LH198" s="1"/>
      <c r="LI198" s="1"/>
      <c r="LJ198" s="1"/>
      <c r="LK198" s="1"/>
      <c r="LL198" s="1"/>
      <c r="LM198" s="1"/>
      <c r="LN198" s="1"/>
      <c r="LO198" s="1"/>
      <c r="LP198" s="1"/>
      <c r="LQ198" s="1"/>
      <c r="LR198" s="1"/>
      <c r="LS198" s="1"/>
      <c r="LT198" s="1"/>
      <c r="LU198" s="1"/>
      <c r="LV198" s="1"/>
      <c r="LW198" s="1"/>
      <c r="LX198" s="1"/>
      <c r="LY198" s="1"/>
      <c r="LZ198" s="1"/>
      <c r="MA198" s="1"/>
      <c r="MB198" s="1"/>
      <c r="MC198" s="1"/>
      <c r="MD198" s="1"/>
    </row>
    <row r="199" spans="1:342" x14ac:dyDescent="0.35">
      <c r="A199" s="6" t="s">
        <v>1154</v>
      </c>
      <c r="B199" s="6" t="str">
        <f>IF(Technologies!B199&lt;&gt;0,Technologies!B199,"")</f>
        <v>Bunkerbrandstoffen</v>
      </c>
      <c r="C199" s="6" t="str">
        <f>VLOOKUP($A199,Technologies!$A$7:$H$576,3,FALSE)</f>
        <v>Final</v>
      </c>
      <c r="D199" s="6" t="str">
        <f>VLOOKUP($A199,Technologies!$A$7:$H$576,4,FALSE)</f>
        <v>Transport</v>
      </c>
      <c r="E199" s="6" t="str">
        <f>VLOOKUP($A199,Technologies!$A$7:$H$576,6,FALSE)</f>
        <v>Bunker Navigation</v>
      </c>
      <c r="F199" s="48" t="str">
        <f>VLOOKUP($A199,Technologies!$A$7:$H$576,7,FALSE)</f>
        <v>Ammonia Ship - International</v>
      </c>
      <c r="G199" s="22"/>
      <c r="H199" s="22"/>
      <c r="I199" s="103" cm="1">
        <f t="array" ref="I199">-SUMPRODUCT((Feedstocks!$C$4:$C$141=A199)*Feedstocks!$E$4:$E$141,Feedstocks!$F$4:$F$141,Feedstocks!$H$4:$H$141,Feedstocks!$I$4:$I$141)</f>
        <v>0</v>
      </c>
      <c r="J199" s="103" cm="1">
        <f t="array" ref="J199">-SUMPRODUCT((Feedstocks!$C$4:$C$141=A199)*Feedstocks!$E$4:$E$141,Feedstocks!$H$4:$H$141,Feedstocks!$I$4:$I$141)</f>
        <v>0</v>
      </c>
      <c r="K199" s="103"/>
      <c r="L199" s="103"/>
      <c r="M199" s="22"/>
      <c r="N199" s="22" t="str">
        <f>VLOOKUP(E199,Activities!$A$9:$M$227,13,FALSE)</f>
        <v>NL</v>
      </c>
      <c r="O199" s="22">
        <v>1</v>
      </c>
      <c r="P199" s="80" t="s">
        <v>502</v>
      </c>
      <c r="Q199" s="36"/>
      <c r="R199" s="36"/>
      <c r="S199" s="36"/>
      <c r="T199" s="36"/>
      <c r="U199" s="36"/>
      <c r="V199" s="36"/>
      <c r="W199" s="36"/>
      <c r="X199" s="36"/>
      <c r="Y199" s="36"/>
      <c r="Z199" s="36"/>
      <c r="AA199" s="36"/>
      <c r="AB199" s="36"/>
      <c r="AC199" s="36"/>
      <c r="AD199" s="36"/>
      <c r="AE199" s="36"/>
      <c r="AF199" s="36"/>
      <c r="AG199" s="36"/>
      <c r="AH199" s="36"/>
      <c r="AI199" s="36"/>
      <c r="AJ199" s="36"/>
      <c r="AK199" s="36"/>
      <c r="AL199" s="36"/>
      <c r="AM199" s="36"/>
      <c r="AN199" s="36"/>
      <c r="AO199" s="36"/>
      <c r="AP199" s="36"/>
      <c r="AQ199" s="36"/>
      <c r="AR199" s="36"/>
      <c r="AS199" s="36"/>
      <c r="AT199" s="36"/>
      <c r="AU199" s="36"/>
      <c r="AV199" s="36"/>
      <c r="AW199" s="36"/>
      <c r="AX199" s="36"/>
      <c r="AY199" s="36"/>
      <c r="AZ199" s="36"/>
      <c r="BA199" s="36"/>
      <c r="BB199" s="36"/>
      <c r="BC199" s="36"/>
      <c r="BD199" s="36"/>
      <c r="BE199" s="36"/>
      <c r="BF199" s="36"/>
      <c r="BG199" s="36"/>
      <c r="BH199" s="36"/>
      <c r="BI199" s="36">
        <v>1</v>
      </c>
      <c r="BJ199" s="36"/>
      <c r="BK199" s="36"/>
      <c r="BL199" s="36"/>
      <c r="BM199" s="36"/>
      <c r="BN199" s="36"/>
      <c r="BO199" s="36"/>
      <c r="BP199" s="36"/>
      <c r="BQ199" s="36"/>
      <c r="BR199" s="36"/>
      <c r="BS199" s="36"/>
      <c r="BT199" s="36"/>
      <c r="BU199" s="36"/>
      <c r="BV199" s="36"/>
      <c r="BW199" s="36"/>
      <c r="BX199" s="36"/>
      <c r="BY199" s="36"/>
      <c r="BZ199" s="36"/>
      <c r="CA199" s="36"/>
      <c r="CB199" s="36"/>
      <c r="CC199" s="36"/>
      <c r="CD199" s="36"/>
      <c r="CE199" s="36"/>
      <c r="CF199" s="36"/>
      <c r="CG199" s="36"/>
      <c r="CH199" s="36"/>
      <c r="CI199" s="36"/>
      <c r="CJ199" s="36"/>
      <c r="CK199" s="36"/>
      <c r="CL199" s="36"/>
      <c r="CM199" s="36"/>
      <c r="CN199" s="36"/>
      <c r="CO199" s="36"/>
      <c r="CP199" s="36"/>
      <c r="CQ199" s="36"/>
      <c r="CR199" s="36"/>
      <c r="CS199" s="36"/>
      <c r="CT199" s="36"/>
      <c r="CU199" s="36"/>
      <c r="CV199" s="36"/>
      <c r="CW199" s="36"/>
      <c r="CX199" s="36"/>
      <c r="CY199" s="36"/>
      <c r="CZ199" s="36"/>
      <c r="DA199" s="36"/>
      <c r="DB199" s="36"/>
      <c r="DC199" s="36"/>
      <c r="DD199" s="36"/>
      <c r="DE199" s="36"/>
      <c r="DF199" s="36"/>
      <c r="DG199" s="36"/>
      <c r="DH199" s="36"/>
      <c r="DI199" s="36"/>
      <c r="DJ199" s="36"/>
      <c r="DK199" s="36"/>
      <c r="DL199" s="36"/>
      <c r="DM199" s="36"/>
      <c r="DN199" s="36"/>
      <c r="DO199" s="36"/>
      <c r="DP199" s="36"/>
      <c r="DQ199" s="36"/>
      <c r="DR199" s="36"/>
      <c r="DS199" s="36"/>
      <c r="DT199" s="36"/>
      <c r="DU199" s="36"/>
      <c r="DV199" s="36"/>
      <c r="DW199" s="36"/>
      <c r="DX199" s="36"/>
      <c r="DY199" s="36"/>
      <c r="DZ199" s="36"/>
      <c r="EA199" s="36"/>
      <c r="EB199" s="36"/>
      <c r="EC199" s="36"/>
      <c r="ED199" s="36"/>
      <c r="EE199" s="36"/>
      <c r="EF199" s="36"/>
      <c r="EG199" s="36"/>
      <c r="EH199" s="36"/>
      <c r="EI199" s="36"/>
      <c r="EJ199" s="36"/>
      <c r="EK199" s="36"/>
      <c r="EL199" s="36"/>
      <c r="EM199" s="36"/>
      <c r="EN199" s="36"/>
      <c r="EO199" s="36"/>
      <c r="EP199" s="36"/>
      <c r="EQ199" s="36">
        <v>-4.1399999999999997</v>
      </c>
      <c r="ER199" s="36"/>
      <c r="ES199" s="36"/>
      <c r="ET199" s="36"/>
      <c r="EU199" s="36"/>
      <c r="EV199" s="36"/>
      <c r="EW199" s="36"/>
      <c r="EX199" s="36"/>
      <c r="EY199" s="36"/>
      <c r="EZ199" s="36"/>
      <c r="FA199" s="36"/>
      <c r="FB199" s="36"/>
      <c r="FC199" s="36"/>
      <c r="FD199" s="36"/>
      <c r="FE199" s="36"/>
      <c r="FF199" s="36"/>
      <c r="FG199" s="36"/>
      <c r="FH199" s="36"/>
      <c r="FI199" s="36"/>
      <c r="FJ199" s="36"/>
      <c r="FK199" s="36"/>
      <c r="FL199" s="36"/>
      <c r="FM199" s="36"/>
      <c r="FN199" s="36"/>
      <c r="FO199" s="36"/>
      <c r="FP199" s="36"/>
      <c r="FQ199" s="36"/>
      <c r="FR199" s="36"/>
      <c r="FS199" s="36"/>
      <c r="FT199" s="36"/>
      <c r="FU199" s="36"/>
      <c r="FV199" s="36"/>
      <c r="FW199" s="36"/>
      <c r="FX199" s="36"/>
      <c r="FY199" s="36"/>
      <c r="FZ199" s="36"/>
      <c r="GA199" s="36"/>
      <c r="GB199" s="319"/>
      <c r="GC199" s="179">
        <f t="shared" si="37"/>
        <v>0</v>
      </c>
      <c r="GD199" s="179">
        <f t="shared" si="38"/>
        <v>0</v>
      </c>
      <c r="GE199" s="179">
        <f t="shared" si="39"/>
        <v>0</v>
      </c>
      <c r="GF199" s="179">
        <f t="shared" si="40"/>
        <v>0</v>
      </c>
      <c r="GG199" s="179">
        <f t="shared" si="36"/>
        <v>0</v>
      </c>
    </row>
    <row r="200" spans="1:342" x14ac:dyDescent="0.35">
      <c r="A200" s="5" t="s">
        <v>1156</v>
      </c>
      <c r="B200" s="5" t="str">
        <f>IF(Technologies!B200&lt;&gt;0,Technologies!B200,"")</f>
        <v>Bunkerbrandstoffen</v>
      </c>
      <c r="C200" s="5" t="str">
        <f>VLOOKUP($A200,Technologies!$A$7:$H$576,3,FALSE)</f>
        <v>Final</v>
      </c>
      <c r="D200" s="5" t="str">
        <f>VLOOKUP($A200,Technologies!$A$7:$H$576,4,FALSE)</f>
        <v>Transport</v>
      </c>
      <c r="E200" s="5" t="str">
        <f>VLOOKUP($A200,Technologies!$A$7:$H$576,6,FALSE)</f>
        <v>Bunker Navigation</v>
      </c>
      <c r="F200" s="5" t="str">
        <f>VLOOKUP($A200,Technologies!$A$7:$H$576,7,FALSE)</f>
        <v>Methanol Ship - International</v>
      </c>
      <c r="G200" s="23"/>
      <c r="H200" s="23"/>
      <c r="I200" s="104" cm="1">
        <f t="array" ref="I200">-SUMPRODUCT((Feedstocks!$C$4:$C$141=A200)*Feedstocks!$E$4:$E$141,Feedstocks!$F$4:$F$141,Feedstocks!$H$4:$H$141,Feedstocks!$I$4:$I$141)</f>
        <v>0</v>
      </c>
      <c r="J200" s="104" cm="1">
        <f t="array" ref="J200">-SUMPRODUCT((Feedstocks!$C$4:$C$141=A200)*Feedstocks!$E$4:$E$141,Feedstocks!$H$4:$H$141,Feedstocks!$I$4:$I$141)</f>
        <v>0</v>
      </c>
      <c r="K200" s="104"/>
      <c r="L200" s="104"/>
      <c r="M200" s="23"/>
      <c r="N200" s="23" t="str">
        <f>VLOOKUP(E200,Activities!$A$9:$M$227,13,FALSE)</f>
        <v>NL</v>
      </c>
      <c r="O200" s="23">
        <v>1</v>
      </c>
      <c r="P200" s="79" t="s">
        <v>502</v>
      </c>
      <c r="Q200" s="35"/>
      <c r="R200" s="35"/>
      <c r="S200" s="35"/>
      <c r="T200" s="35"/>
      <c r="U200" s="35"/>
      <c r="V200" s="35"/>
      <c r="W200" s="35"/>
      <c r="X200" s="35"/>
      <c r="Y200" s="35"/>
      <c r="Z200" s="35"/>
      <c r="AA200" s="35"/>
      <c r="AB200" s="35"/>
      <c r="AC200" s="35"/>
      <c r="AD200" s="35"/>
      <c r="AE200" s="35"/>
      <c r="AF200" s="35"/>
      <c r="AG200" s="35"/>
      <c r="AH200" s="35"/>
      <c r="AI200" s="35"/>
      <c r="AJ200" s="35"/>
      <c r="AK200" s="35"/>
      <c r="AL200" s="35"/>
      <c r="AM200" s="35"/>
      <c r="AN200" s="35"/>
      <c r="AO200" s="35"/>
      <c r="AP200" s="35"/>
      <c r="AQ200" s="35"/>
      <c r="AR200" s="35"/>
      <c r="AS200" s="35"/>
      <c r="AT200" s="35"/>
      <c r="AU200" s="35"/>
      <c r="AV200" s="35"/>
      <c r="AW200" s="35"/>
      <c r="AX200" s="35"/>
      <c r="AY200" s="35"/>
      <c r="AZ200" s="35"/>
      <c r="BA200" s="35"/>
      <c r="BB200" s="35"/>
      <c r="BC200" s="35"/>
      <c r="BD200" s="35"/>
      <c r="BE200" s="35"/>
      <c r="BF200" s="35"/>
      <c r="BG200" s="35"/>
      <c r="BH200" s="35"/>
      <c r="BI200" s="35">
        <v>1</v>
      </c>
      <c r="BJ200" s="35"/>
      <c r="BK200" s="35"/>
      <c r="BL200" s="35"/>
      <c r="BM200" s="35"/>
      <c r="BN200" s="35"/>
      <c r="BO200" s="35"/>
      <c r="BP200" s="35"/>
      <c r="BQ200" s="35"/>
      <c r="BR200" s="35"/>
      <c r="BS200" s="35"/>
      <c r="BT200" s="35"/>
      <c r="BU200" s="35"/>
      <c r="BV200" s="35"/>
      <c r="BW200" s="35"/>
      <c r="BX200" s="35"/>
      <c r="BY200" s="35"/>
      <c r="BZ200" s="35"/>
      <c r="CA200" s="35"/>
      <c r="CB200" s="35"/>
      <c r="CC200" s="35"/>
      <c r="CD200" s="35"/>
      <c r="CE200" s="35"/>
      <c r="CF200" s="35"/>
      <c r="CG200" s="35"/>
      <c r="CH200" s="35"/>
      <c r="CI200" s="35"/>
      <c r="CJ200" s="35"/>
      <c r="CK200" s="35"/>
      <c r="CL200" s="35"/>
      <c r="CM200" s="35"/>
      <c r="CN200" s="35"/>
      <c r="CO200" s="35"/>
      <c r="CP200" s="35"/>
      <c r="CQ200" s="35"/>
      <c r="CR200" s="35"/>
      <c r="CS200" s="35"/>
      <c r="CT200" s="35"/>
      <c r="CU200" s="35"/>
      <c r="CV200" s="35"/>
      <c r="CW200" s="35"/>
      <c r="CX200" s="35"/>
      <c r="CY200" s="35"/>
      <c r="CZ200" s="35"/>
      <c r="DA200" s="35"/>
      <c r="DB200" s="35"/>
      <c r="DC200" s="35"/>
      <c r="DD200" s="35"/>
      <c r="DE200" s="35"/>
      <c r="DF200" s="35"/>
      <c r="DG200" s="35"/>
      <c r="DH200" s="35"/>
      <c r="DI200" s="35"/>
      <c r="DJ200" s="35"/>
      <c r="DK200" s="35"/>
      <c r="DL200" s="35"/>
      <c r="DM200" s="35"/>
      <c r="DN200" s="35"/>
      <c r="DO200" s="35"/>
      <c r="DP200" s="35"/>
      <c r="DQ200" s="35"/>
      <c r="DR200" s="35"/>
      <c r="DS200" s="35"/>
      <c r="DT200" s="35"/>
      <c r="DU200" s="35"/>
      <c r="DV200" s="35"/>
      <c r="DW200" s="35"/>
      <c r="DX200" s="35"/>
      <c r="DY200" s="35"/>
      <c r="DZ200" s="35"/>
      <c r="EA200" s="35"/>
      <c r="EB200" s="35"/>
      <c r="EC200" s="35"/>
      <c r="ED200" s="35"/>
      <c r="EE200" s="35"/>
      <c r="EF200" s="35"/>
      <c r="EG200" s="35"/>
      <c r="EH200" s="35"/>
      <c r="EI200" s="35">
        <v>-4.1399999999999997</v>
      </c>
      <c r="EJ200" s="35"/>
      <c r="EK200" s="35"/>
      <c r="EL200" s="35"/>
      <c r="EM200" s="35"/>
      <c r="EN200" s="35"/>
      <c r="EO200" s="35"/>
      <c r="EP200" s="35"/>
      <c r="EQ200" s="35"/>
      <c r="ER200" s="35"/>
      <c r="ES200" s="35"/>
      <c r="ET200" s="35"/>
      <c r="EU200" s="35"/>
      <c r="EV200" s="35"/>
      <c r="EW200" s="35"/>
      <c r="EX200" s="35"/>
      <c r="EY200" s="35"/>
      <c r="EZ200" s="35"/>
      <c r="FA200" s="35"/>
      <c r="FB200" s="35"/>
      <c r="FC200" s="35"/>
      <c r="FD200" s="35"/>
      <c r="FE200" s="35"/>
      <c r="FF200" s="35"/>
      <c r="FG200" s="35"/>
      <c r="FH200" s="35"/>
      <c r="FI200" s="35"/>
      <c r="FJ200" s="35"/>
      <c r="FK200" s="35"/>
      <c r="FL200" s="35"/>
      <c r="FM200" s="35"/>
      <c r="FN200" s="35"/>
      <c r="FO200" s="35"/>
      <c r="FP200" s="35"/>
      <c r="FQ200" s="35"/>
      <c r="FR200" s="35"/>
      <c r="FS200" s="35"/>
      <c r="FT200" s="35"/>
      <c r="FU200" s="35"/>
      <c r="FV200" s="35"/>
      <c r="FW200" s="35"/>
      <c r="FX200" s="35"/>
      <c r="FY200" s="35"/>
      <c r="FZ200" s="35"/>
      <c r="GA200" s="35"/>
      <c r="GB200" s="318"/>
      <c r="GC200" s="178">
        <f t="shared" si="37"/>
        <v>0</v>
      </c>
      <c r="GD200" s="178">
        <f t="shared" si="38"/>
        <v>0</v>
      </c>
      <c r="GE200" s="178">
        <f t="shared" si="39"/>
        <v>0</v>
      </c>
      <c r="GF200" s="178">
        <f t="shared" si="40"/>
        <v>0.28149999999999997</v>
      </c>
      <c r="GG200" s="178">
        <f t="shared" si="36"/>
        <v>0</v>
      </c>
    </row>
    <row r="201" spans="1:342" s="347" customFormat="1" x14ac:dyDescent="0.35">
      <c r="A201" s="327" t="s">
        <v>1158</v>
      </c>
      <c r="B201" s="5" t="str">
        <f>IF(Technologies!B201&lt;&gt;0,Technologies!B201,"")</f>
        <v>Bunkerbrandstoffen</v>
      </c>
      <c r="C201" s="5" t="str">
        <f>VLOOKUP($A201,Technologies!$A$7:$H$576,3,FALSE)</f>
        <v>Final</v>
      </c>
      <c r="D201" s="5" t="str">
        <f>VLOOKUP($A201,Technologies!$A$7:$H$576,4,FALSE)</f>
        <v>Transport</v>
      </c>
      <c r="E201" s="5" t="str">
        <f>VLOOKUP($A201,Technologies!$A$7:$H$576,6,FALSE)</f>
        <v>Renewable H2 Credit</v>
      </c>
      <c r="F201" s="5" t="str">
        <f>VLOOKUP($A201,Technologies!$A$7:$H$576,7,FALSE)</f>
        <v>H2 Credits for Navigation</v>
      </c>
      <c r="G201" s="350"/>
      <c r="H201" s="350"/>
      <c r="I201" s="351"/>
      <c r="J201" s="351"/>
      <c r="K201" s="351"/>
      <c r="L201" s="351"/>
      <c r="M201" s="350"/>
      <c r="N201" s="23" t="str">
        <f>VLOOKUP(E201,Activities!$A$9:$M$227,13,FALSE)</f>
        <v>NL</v>
      </c>
      <c r="O201" s="23">
        <v>1</v>
      </c>
      <c r="P201" s="79" t="s">
        <v>502</v>
      </c>
      <c r="Q201" s="352"/>
      <c r="R201" s="352"/>
      <c r="S201" s="352"/>
      <c r="T201" s="352"/>
      <c r="U201" s="352"/>
      <c r="V201" s="352"/>
      <c r="W201" s="352"/>
      <c r="X201" s="352"/>
      <c r="Y201" s="352"/>
      <c r="Z201" s="352"/>
      <c r="AA201" s="352"/>
      <c r="AB201" s="352"/>
      <c r="AC201" s="352"/>
      <c r="AD201" s="352"/>
      <c r="AE201" s="352"/>
      <c r="AF201" s="352"/>
      <c r="AG201" s="352"/>
      <c r="AH201" s="352"/>
      <c r="AI201" s="352"/>
      <c r="AJ201" s="352"/>
      <c r="AK201" s="352"/>
      <c r="AL201" s="352"/>
      <c r="AM201" s="352"/>
      <c r="AN201" s="352"/>
      <c r="AO201" s="352"/>
      <c r="AP201" s="352"/>
      <c r="AQ201" s="352"/>
      <c r="AR201" s="352"/>
      <c r="AS201" s="352"/>
      <c r="AT201" s="352"/>
      <c r="AU201" s="352"/>
      <c r="AV201" s="352"/>
      <c r="AW201" s="352"/>
      <c r="AX201" s="352"/>
      <c r="AY201" s="352"/>
      <c r="AZ201" s="352"/>
      <c r="BA201" s="352"/>
      <c r="BB201" s="352"/>
      <c r="BC201" s="352"/>
      <c r="BD201" s="352"/>
      <c r="BE201" s="352"/>
      <c r="BF201" s="352"/>
      <c r="BG201" s="352"/>
      <c r="BH201" s="352"/>
      <c r="BI201" s="352"/>
      <c r="BJ201" s="352"/>
      <c r="BK201" s="352"/>
      <c r="BL201" s="352"/>
      <c r="BM201" s="352"/>
      <c r="BN201" s="352"/>
      <c r="BO201" s="352"/>
      <c r="BP201" s="352"/>
      <c r="BQ201" s="352"/>
      <c r="BR201" s="352"/>
      <c r="BS201" s="352"/>
      <c r="BT201" s="352"/>
      <c r="BU201" s="352"/>
      <c r="BV201" s="352"/>
      <c r="BW201" s="352"/>
      <c r="BX201" s="352"/>
      <c r="BY201" s="352"/>
      <c r="BZ201" s="352"/>
      <c r="CA201" s="352"/>
      <c r="CB201" s="352"/>
      <c r="CC201" s="352"/>
      <c r="CD201" s="352"/>
      <c r="CE201" s="352"/>
      <c r="CF201" s="352"/>
      <c r="CG201" s="352"/>
      <c r="CH201" s="352"/>
      <c r="CI201" s="352"/>
      <c r="CJ201" s="352"/>
      <c r="CK201" s="352"/>
      <c r="CL201" s="352"/>
      <c r="CM201" s="352"/>
      <c r="CN201" s="352"/>
      <c r="CO201" s="352"/>
      <c r="CP201" s="352"/>
      <c r="CQ201" s="352"/>
      <c r="CR201" s="352"/>
      <c r="CS201" s="352"/>
      <c r="CT201" s="352"/>
      <c r="CU201" s="352"/>
      <c r="CV201" s="352"/>
      <c r="CW201" s="352"/>
      <c r="CX201" s="352"/>
      <c r="CY201" s="352"/>
      <c r="CZ201" s="352"/>
      <c r="DA201" s="352"/>
      <c r="DB201" s="352"/>
      <c r="DC201" s="352"/>
      <c r="DD201" s="352"/>
      <c r="DE201" s="352"/>
      <c r="DF201" s="352"/>
      <c r="DG201" s="352"/>
      <c r="DH201" s="352"/>
      <c r="DI201" s="352"/>
      <c r="DJ201" s="352"/>
      <c r="DK201" s="352"/>
      <c r="DL201" s="352"/>
      <c r="DM201" s="352"/>
      <c r="DN201" s="352"/>
      <c r="DO201" s="352"/>
      <c r="DP201" s="352"/>
      <c r="DQ201" s="352"/>
      <c r="DR201" s="352"/>
      <c r="DS201" s="352"/>
      <c r="DT201" s="352"/>
      <c r="DU201" s="352"/>
      <c r="DV201" s="352"/>
      <c r="DW201" s="352"/>
      <c r="DX201" s="352"/>
      <c r="DY201" s="352"/>
      <c r="DZ201" s="352"/>
      <c r="EA201" s="352"/>
      <c r="EB201" s="352"/>
      <c r="EC201" s="352"/>
      <c r="ED201" s="352"/>
      <c r="EE201" s="352"/>
      <c r="EF201" s="352"/>
      <c r="EG201" s="352"/>
      <c r="EH201" s="352"/>
      <c r="EI201" s="352"/>
      <c r="EJ201" s="352"/>
      <c r="EK201" s="352"/>
      <c r="EL201" s="352"/>
      <c r="EM201" s="352"/>
      <c r="EN201" s="352"/>
      <c r="EO201" s="352">
        <v>-1</v>
      </c>
      <c r="EP201" s="352"/>
      <c r="EQ201" s="352"/>
      <c r="ER201" s="352"/>
      <c r="ES201" s="352"/>
      <c r="ET201" s="352"/>
      <c r="EU201" s="352"/>
      <c r="EV201" s="352"/>
      <c r="EW201" s="352"/>
      <c r="EX201" s="352"/>
      <c r="EY201" s="352"/>
      <c r="EZ201" s="352"/>
      <c r="FA201" s="352"/>
      <c r="FB201" s="352"/>
      <c r="FC201" s="352"/>
      <c r="FD201" s="352"/>
      <c r="FE201" s="352"/>
      <c r="FF201" s="352"/>
      <c r="FG201" s="352"/>
      <c r="FH201" s="352"/>
      <c r="FI201" s="352"/>
      <c r="FJ201" s="352"/>
      <c r="FK201" s="352"/>
      <c r="FL201" s="352"/>
      <c r="FM201" s="352"/>
      <c r="FN201" s="352"/>
      <c r="FO201" s="352"/>
      <c r="FP201" s="352"/>
      <c r="FQ201" s="352"/>
      <c r="FR201" s="352"/>
      <c r="FS201" s="352"/>
      <c r="FT201" s="352"/>
      <c r="FU201" s="352"/>
      <c r="FV201" s="352"/>
      <c r="FW201" s="352"/>
      <c r="FX201" s="352"/>
      <c r="FY201" s="352"/>
      <c r="FZ201" s="352"/>
      <c r="GA201" s="352"/>
      <c r="GB201" s="353"/>
      <c r="GC201" s="179">
        <f t="shared" si="37"/>
        <v>0</v>
      </c>
      <c r="GD201" s="179">
        <f t="shared" si="38"/>
        <v>0</v>
      </c>
      <c r="GE201" s="179">
        <f t="shared" si="39"/>
        <v>0</v>
      </c>
      <c r="GF201" s="179">
        <f t="shared" si="40"/>
        <v>0</v>
      </c>
      <c r="GG201" s="179">
        <f t="shared" si="36"/>
        <v>0</v>
      </c>
      <c r="GI201" s="1"/>
      <c r="GJ201" s="1"/>
      <c r="GK201" s="1"/>
      <c r="GL201" s="1"/>
      <c r="GM201" s="1"/>
      <c r="GN201" s="1"/>
      <c r="GO201" s="1"/>
      <c r="GP201" s="1"/>
      <c r="GQ201" s="1"/>
      <c r="GR201" s="1"/>
      <c r="GS201" s="1"/>
      <c r="GT201" s="1"/>
      <c r="GU201" s="1"/>
      <c r="GV201" s="1"/>
      <c r="GW201" s="1"/>
      <c r="GX201" s="1"/>
      <c r="GY201" s="1"/>
      <c r="GZ201" s="1"/>
      <c r="HA201" s="1"/>
      <c r="HB201" s="1"/>
      <c r="HC201" s="1"/>
      <c r="HD201" s="1"/>
      <c r="HE201" s="1"/>
      <c r="HF201" s="1"/>
      <c r="HG201" s="1"/>
      <c r="HH201" s="1"/>
      <c r="HI201" s="1"/>
      <c r="HJ201" s="1"/>
      <c r="HK201" s="1"/>
      <c r="HL201" s="1"/>
      <c r="HM201" s="1"/>
      <c r="HN201" s="1"/>
      <c r="HO201" s="1"/>
      <c r="HP201" s="1"/>
      <c r="HQ201" s="1"/>
      <c r="HR201" s="1"/>
      <c r="HS201" s="1"/>
      <c r="HT201" s="1"/>
      <c r="HU201" s="1"/>
      <c r="HV201" s="1"/>
      <c r="HW201" s="1"/>
      <c r="HX201" s="1"/>
      <c r="HY201" s="1"/>
      <c r="HZ201" s="1"/>
      <c r="IA201" s="1"/>
      <c r="IB201" s="1"/>
      <c r="IC201" s="1"/>
      <c r="ID201" s="1"/>
      <c r="IE201" s="1"/>
      <c r="IF201" s="1"/>
      <c r="IG201" s="1"/>
      <c r="IH201" s="1"/>
      <c r="II201" s="1"/>
      <c r="IJ201" s="1"/>
      <c r="IK201" s="1"/>
      <c r="IL201" s="1"/>
      <c r="IM201" s="1"/>
      <c r="IN201" s="1"/>
      <c r="IO201" s="1"/>
      <c r="IP201" s="1"/>
      <c r="IQ201" s="1"/>
      <c r="IR201" s="1"/>
      <c r="IS201" s="1"/>
      <c r="IT201" s="1"/>
      <c r="IU201" s="1"/>
      <c r="IV201" s="1"/>
      <c r="IW201" s="1"/>
      <c r="IX201" s="1"/>
      <c r="IY201" s="1"/>
      <c r="IZ201" s="1"/>
      <c r="JA201" s="1"/>
      <c r="JB201" s="1"/>
      <c r="JC201" s="1"/>
      <c r="JD201" s="1"/>
      <c r="JE201" s="1"/>
      <c r="JF201" s="1"/>
      <c r="JG201" s="1"/>
      <c r="JH201" s="1"/>
      <c r="JI201" s="1"/>
      <c r="JJ201" s="1"/>
      <c r="JK201" s="1"/>
      <c r="JL201" s="1"/>
      <c r="JM201" s="1"/>
      <c r="JN201" s="1"/>
      <c r="JO201" s="1"/>
      <c r="JP201" s="1"/>
      <c r="JQ201" s="1"/>
      <c r="JR201" s="1"/>
      <c r="JS201" s="1"/>
      <c r="JT201" s="1"/>
      <c r="JU201" s="1"/>
      <c r="JV201" s="1"/>
      <c r="JW201" s="1"/>
      <c r="JX201" s="1"/>
      <c r="JY201" s="1"/>
      <c r="JZ201" s="1"/>
      <c r="KA201" s="1"/>
      <c r="KB201" s="1"/>
      <c r="KC201" s="1"/>
      <c r="KD201" s="1"/>
      <c r="KE201" s="1"/>
      <c r="KF201" s="1"/>
      <c r="KG201" s="1"/>
      <c r="KH201" s="1"/>
      <c r="KI201" s="1"/>
      <c r="KJ201" s="1"/>
      <c r="KK201" s="1"/>
      <c r="KL201" s="1"/>
      <c r="KM201" s="1"/>
      <c r="KN201" s="1"/>
      <c r="KO201" s="1"/>
      <c r="KP201" s="1"/>
      <c r="KQ201" s="1"/>
      <c r="KR201" s="1"/>
      <c r="KS201" s="1"/>
      <c r="KT201" s="1"/>
      <c r="KU201" s="1"/>
      <c r="KV201" s="1"/>
      <c r="KW201" s="1"/>
      <c r="KX201" s="1"/>
      <c r="KY201" s="1"/>
      <c r="KZ201" s="1"/>
      <c r="LA201" s="1"/>
      <c r="LB201" s="1"/>
      <c r="LC201" s="1"/>
      <c r="LD201" s="1"/>
      <c r="LE201" s="1"/>
      <c r="LF201" s="1"/>
      <c r="LG201" s="1"/>
      <c r="LH201" s="1"/>
      <c r="LI201" s="1"/>
      <c r="LJ201" s="1"/>
      <c r="LK201" s="1"/>
      <c r="LL201" s="1"/>
      <c r="LM201" s="1"/>
      <c r="LN201" s="1"/>
      <c r="LO201" s="1"/>
      <c r="LP201" s="1"/>
      <c r="LQ201" s="1"/>
      <c r="LR201" s="1"/>
      <c r="LS201" s="1"/>
      <c r="LT201" s="1"/>
      <c r="LU201" s="1"/>
      <c r="LV201" s="1"/>
      <c r="LW201" s="1"/>
      <c r="LX201" s="1"/>
      <c r="LY201" s="1"/>
      <c r="LZ201" s="1"/>
      <c r="MA201" s="1"/>
      <c r="MB201" s="1"/>
      <c r="MC201" s="1"/>
      <c r="MD201" s="1"/>
    </row>
    <row r="202" spans="1:342" s="347" customFormat="1" x14ac:dyDescent="0.35">
      <c r="A202" s="327" t="s">
        <v>1160</v>
      </c>
      <c r="B202" s="5" t="str">
        <f>IF(Technologies!B202&lt;&gt;0,Technologies!B202,"")</f>
        <v>Bunkerbrandstoffen</v>
      </c>
      <c r="C202" s="5" t="str">
        <f>VLOOKUP($A202,Technologies!$A$7:$H$576,3,FALSE)</f>
        <v>Final</v>
      </c>
      <c r="D202" s="5" t="str">
        <f>VLOOKUP($A202,Technologies!$A$7:$H$576,4,FALSE)</f>
        <v>Transport</v>
      </c>
      <c r="E202" s="5" t="str">
        <f>VLOOKUP($A202,Technologies!$A$7:$H$576,6,FALSE)</f>
        <v>Renewable CO2 Credit</v>
      </c>
      <c r="F202" s="5" t="str">
        <f>VLOOKUP($A202,Technologies!$A$7:$H$576,7,FALSE)</f>
        <v>CO2 Credits for Navigation</v>
      </c>
      <c r="G202" s="350"/>
      <c r="H202" s="350"/>
      <c r="I202" s="351"/>
      <c r="J202" s="351"/>
      <c r="K202" s="351"/>
      <c r="L202" s="351"/>
      <c r="M202" s="350"/>
      <c r="N202" s="23" t="str">
        <f>VLOOKUP(E202,Activities!$A$9:$M$227,13,FALSE)</f>
        <v>NL</v>
      </c>
      <c r="O202" s="23">
        <v>1</v>
      </c>
      <c r="P202" s="79" t="s">
        <v>502</v>
      </c>
      <c r="Q202" s="352"/>
      <c r="R202" s="352"/>
      <c r="S202" s="352"/>
      <c r="T202" s="352"/>
      <c r="U202" s="352"/>
      <c r="V202" s="352"/>
      <c r="W202" s="352"/>
      <c r="X202" s="352"/>
      <c r="Y202" s="352"/>
      <c r="Z202" s="352"/>
      <c r="AA202" s="352"/>
      <c r="AB202" s="352"/>
      <c r="AC202" s="352"/>
      <c r="AD202" s="352"/>
      <c r="AE202" s="352"/>
      <c r="AF202" s="352"/>
      <c r="AG202" s="352"/>
      <c r="AH202" s="352"/>
      <c r="AI202" s="352"/>
      <c r="AJ202" s="352"/>
      <c r="AK202" s="352"/>
      <c r="AL202" s="352"/>
      <c r="AM202" s="352"/>
      <c r="AN202" s="352"/>
      <c r="AO202" s="352"/>
      <c r="AP202" s="352"/>
      <c r="AQ202" s="352"/>
      <c r="AR202" s="352"/>
      <c r="AS202" s="352"/>
      <c r="AT202" s="352"/>
      <c r="AU202" s="352"/>
      <c r="AV202" s="352"/>
      <c r="AW202" s="352"/>
      <c r="AX202" s="352"/>
      <c r="AY202" s="352"/>
      <c r="AZ202" s="352"/>
      <c r="BA202" s="352"/>
      <c r="BB202" s="352"/>
      <c r="BC202" s="352"/>
      <c r="BD202" s="352"/>
      <c r="BE202" s="352"/>
      <c r="BF202" s="352"/>
      <c r="BG202" s="352"/>
      <c r="BH202" s="352"/>
      <c r="BI202" s="352"/>
      <c r="BJ202" s="352"/>
      <c r="BK202" s="352"/>
      <c r="BL202" s="352"/>
      <c r="BM202" s="352"/>
      <c r="BN202" s="352"/>
      <c r="BO202" s="352"/>
      <c r="BP202" s="352"/>
      <c r="BQ202" s="352"/>
      <c r="BR202" s="352"/>
      <c r="BS202" s="352"/>
      <c r="BT202" s="352"/>
      <c r="BU202" s="352"/>
      <c r="BV202" s="352"/>
      <c r="BW202" s="352"/>
      <c r="BX202" s="352"/>
      <c r="BY202" s="352"/>
      <c r="BZ202" s="352"/>
      <c r="CA202" s="352"/>
      <c r="CB202" s="352"/>
      <c r="CC202" s="352"/>
      <c r="CD202" s="352"/>
      <c r="CE202" s="352"/>
      <c r="CF202" s="352"/>
      <c r="CG202" s="352"/>
      <c r="CH202" s="352"/>
      <c r="CI202" s="352"/>
      <c r="CJ202" s="352"/>
      <c r="CK202" s="352"/>
      <c r="CL202" s="352"/>
      <c r="CM202" s="352"/>
      <c r="CN202" s="352"/>
      <c r="CO202" s="352"/>
      <c r="CP202" s="352"/>
      <c r="CQ202" s="352"/>
      <c r="CR202" s="352"/>
      <c r="CS202" s="352"/>
      <c r="CT202" s="352"/>
      <c r="CU202" s="352"/>
      <c r="CV202" s="352"/>
      <c r="CW202" s="352"/>
      <c r="CX202" s="352"/>
      <c r="CY202" s="352"/>
      <c r="CZ202" s="352"/>
      <c r="DA202" s="352"/>
      <c r="DB202" s="352"/>
      <c r="DC202" s="352"/>
      <c r="DD202" s="352"/>
      <c r="DE202" s="352"/>
      <c r="DF202" s="352"/>
      <c r="DG202" s="352"/>
      <c r="DH202" s="352"/>
      <c r="DI202" s="352"/>
      <c r="DJ202" s="352"/>
      <c r="DK202" s="352"/>
      <c r="DL202" s="352"/>
      <c r="DM202" s="352"/>
      <c r="DN202" s="352"/>
      <c r="DO202" s="352"/>
      <c r="DP202" s="352"/>
      <c r="DQ202" s="352"/>
      <c r="DR202" s="352"/>
      <c r="DS202" s="352"/>
      <c r="DT202" s="352"/>
      <c r="DU202" s="352"/>
      <c r="DV202" s="352"/>
      <c r="DW202" s="352"/>
      <c r="DX202" s="352"/>
      <c r="DY202" s="352"/>
      <c r="DZ202" s="352"/>
      <c r="EA202" s="352"/>
      <c r="EB202" s="352"/>
      <c r="EC202" s="352"/>
      <c r="ED202" s="352"/>
      <c r="EE202" s="352"/>
      <c r="EF202" s="352"/>
      <c r="EG202" s="352"/>
      <c r="EH202" s="352"/>
      <c r="EI202" s="352"/>
      <c r="EJ202" s="352"/>
      <c r="EK202" s="352"/>
      <c r="EL202" s="352"/>
      <c r="EM202" s="352"/>
      <c r="EN202" s="352"/>
      <c r="EO202" s="352"/>
      <c r="EP202" s="352"/>
      <c r="EQ202" s="352"/>
      <c r="ER202" s="352"/>
      <c r="ES202" s="352"/>
      <c r="ET202" s="352"/>
      <c r="EU202" s="352"/>
      <c r="EV202" s="352"/>
      <c r="EW202" s="352"/>
      <c r="EX202" s="352"/>
      <c r="EY202" s="352"/>
      <c r="EZ202" s="352"/>
      <c r="FA202" s="352"/>
      <c r="FB202" s="352"/>
      <c r="FC202" s="352"/>
      <c r="FD202" s="352"/>
      <c r="FE202" s="352"/>
      <c r="FF202" s="352"/>
      <c r="FG202" s="352"/>
      <c r="FH202" s="352"/>
      <c r="FI202" s="352"/>
      <c r="FJ202" s="352"/>
      <c r="FK202" s="352"/>
      <c r="FL202" s="352"/>
      <c r="FM202" s="352"/>
      <c r="FN202" s="352"/>
      <c r="FO202" s="352"/>
      <c r="FP202" s="352"/>
      <c r="FQ202" s="352"/>
      <c r="FR202" s="352"/>
      <c r="FS202" s="352"/>
      <c r="FT202" s="352"/>
      <c r="FU202" s="352"/>
      <c r="FV202" s="352"/>
      <c r="FW202" s="352"/>
      <c r="FX202" s="352"/>
      <c r="FY202" s="352"/>
      <c r="FZ202" s="352"/>
      <c r="GA202" s="352"/>
      <c r="GB202" s="353">
        <v>-1</v>
      </c>
      <c r="GC202" s="178">
        <f t="shared" si="37"/>
        <v>0</v>
      </c>
      <c r="GD202" s="178">
        <f t="shared" si="38"/>
        <v>0</v>
      </c>
      <c r="GE202" s="178">
        <f t="shared" si="39"/>
        <v>0</v>
      </c>
      <c r="GF202" s="178">
        <f t="shared" si="40"/>
        <v>0</v>
      </c>
      <c r="GG202" s="178">
        <f t="shared" si="36"/>
        <v>0</v>
      </c>
      <c r="GI202" s="1"/>
      <c r="GJ202" s="1"/>
      <c r="GK202" s="1"/>
      <c r="GL202" s="1"/>
      <c r="GM202" s="1"/>
      <c r="GN202" s="1"/>
      <c r="GO202" s="1"/>
      <c r="GP202" s="1"/>
      <c r="GQ202" s="1"/>
      <c r="GR202" s="1"/>
      <c r="GS202" s="1"/>
      <c r="GT202" s="1"/>
      <c r="GU202" s="1"/>
      <c r="GV202" s="1"/>
      <c r="GW202" s="1"/>
      <c r="GX202" s="1"/>
      <c r="GY202" s="1"/>
      <c r="GZ202" s="1"/>
      <c r="HA202" s="1"/>
      <c r="HB202" s="1"/>
      <c r="HC202" s="1"/>
      <c r="HD202" s="1"/>
      <c r="HE202" s="1"/>
      <c r="HF202" s="1"/>
      <c r="HG202" s="1"/>
      <c r="HH202" s="1"/>
      <c r="HI202" s="1"/>
      <c r="HJ202" s="1"/>
      <c r="HK202" s="1"/>
      <c r="HL202" s="1"/>
      <c r="HM202" s="1"/>
      <c r="HN202" s="1"/>
      <c r="HO202" s="1"/>
      <c r="HP202" s="1"/>
      <c r="HQ202" s="1"/>
      <c r="HR202" s="1"/>
      <c r="HS202" s="1"/>
      <c r="HT202" s="1"/>
      <c r="HU202" s="1"/>
      <c r="HV202" s="1"/>
      <c r="HW202" s="1"/>
      <c r="HX202" s="1"/>
      <c r="HY202" s="1"/>
      <c r="HZ202" s="1"/>
      <c r="IA202" s="1"/>
      <c r="IB202" s="1"/>
      <c r="IC202" s="1"/>
      <c r="ID202" s="1"/>
      <c r="IE202" s="1"/>
      <c r="IF202" s="1"/>
      <c r="IG202" s="1"/>
      <c r="IH202" s="1"/>
      <c r="II202" s="1"/>
      <c r="IJ202" s="1"/>
      <c r="IK202" s="1"/>
      <c r="IL202" s="1"/>
      <c r="IM202" s="1"/>
      <c r="IN202" s="1"/>
      <c r="IO202" s="1"/>
      <c r="IP202" s="1"/>
      <c r="IQ202" s="1"/>
      <c r="IR202" s="1"/>
      <c r="IS202" s="1"/>
      <c r="IT202" s="1"/>
      <c r="IU202" s="1"/>
      <c r="IV202" s="1"/>
      <c r="IW202" s="1"/>
      <c r="IX202" s="1"/>
      <c r="IY202" s="1"/>
      <c r="IZ202" s="1"/>
      <c r="JA202" s="1"/>
      <c r="JB202" s="1"/>
      <c r="JC202" s="1"/>
      <c r="JD202" s="1"/>
      <c r="JE202" s="1"/>
      <c r="JF202" s="1"/>
      <c r="JG202" s="1"/>
      <c r="JH202" s="1"/>
      <c r="JI202" s="1"/>
      <c r="JJ202" s="1"/>
      <c r="JK202" s="1"/>
      <c r="JL202" s="1"/>
      <c r="JM202" s="1"/>
      <c r="JN202" s="1"/>
      <c r="JO202" s="1"/>
      <c r="JP202" s="1"/>
      <c r="JQ202" s="1"/>
      <c r="JR202" s="1"/>
      <c r="JS202" s="1"/>
      <c r="JT202" s="1"/>
      <c r="JU202" s="1"/>
      <c r="JV202" s="1"/>
      <c r="JW202" s="1"/>
      <c r="JX202" s="1"/>
      <c r="JY202" s="1"/>
      <c r="JZ202" s="1"/>
      <c r="KA202" s="1"/>
      <c r="KB202" s="1"/>
      <c r="KC202" s="1"/>
      <c r="KD202" s="1"/>
      <c r="KE202" s="1"/>
      <c r="KF202" s="1"/>
      <c r="KG202" s="1"/>
      <c r="KH202" s="1"/>
      <c r="KI202" s="1"/>
      <c r="KJ202" s="1"/>
      <c r="KK202" s="1"/>
      <c r="KL202" s="1"/>
      <c r="KM202" s="1"/>
      <c r="KN202" s="1"/>
      <c r="KO202" s="1"/>
      <c r="KP202" s="1"/>
      <c r="KQ202" s="1"/>
      <c r="KR202" s="1"/>
      <c r="KS202" s="1"/>
      <c r="KT202" s="1"/>
      <c r="KU202" s="1"/>
      <c r="KV202" s="1"/>
      <c r="KW202" s="1"/>
      <c r="KX202" s="1"/>
      <c r="KY202" s="1"/>
      <c r="KZ202" s="1"/>
      <c r="LA202" s="1"/>
      <c r="LB202" s="1"/>
      <c r="LC202" s="1"/>
      <c r="LD202" s="1"/>
      <c r="LE202" s="1"/>
      <c r="LF202" s="1"/>
      <c r="LG202" s="1"/>
      <c r="LH202" s="1"/>
      <c r="LI202" s="1"/>
      <c r="LJ202" s="1"/>
      <c r="LK202" s="1"/>
      <c r="LL202" s="1"/>
      <c r="LM202" s="1"/>
      <c r="LN202" s="1"/>
      <c r="LO202" s="1"/>
      <c r="LP202" s="1"/>
      <c r="LQ202" s="1"/>
      <c r="LR202" s="1"/>
      <c r="LS202" s="1"/>
      <c r="LT202" s="1"/>
      <c r="LU202" s="1"/>
      <c r="LV202" s="1"/>
      <c r="LW202" s="1"/>
      <c r="LX202" s="1"/>
      <c r="LY202" s="1"/>
      <c r="LZ202" s="1"/>
      <c r="MA202" s="1"/>
      <c r="MB202" s="1"/>
      <c r="MC202" s="1"/>
      <c r="MD202" s="1"/>
    </row>
    <row r="203" spans="1:342" x14ac:dyDescent="0.35">
      <c r="A203" s="6" t="s">
        <v>1163</v>
      </c>
      <c r="B203" s="6" t="str">
        <f>IF(Technologies!B203&lt;&gt;0,Technologies!B203,"")</f>
        <v>Bunkerbrandstoffen</v>
      </c>
      <c r="C203" s="6" t="str">
        <f>VLOOKUP($A203,Technologies!$A$7:$H$576,3,FALSE)</f>
        <v>Final</v>
      </c>
      <c r="D203" s="6" t="str">
        <f>VLOOKUP($A203,Technologies!$A$7:$H$576,4,FALSE)</f>
        <v>Transport</v>
      </c>
      <c r="E203" s="6" t="str">
        <f>VLOOKUP($A203,Technologies!$A$7:$H$576,6,FALSE)</f>
        <v>Bunker Aviation</v>
      </c>
      <c r="F203" s="48" t="str">
        <f>VLOOKUP($A203,Technologies!$A$7:$H$576,7,FALSE)</f>
        <v>Conventional Airplane</v>
      </c>
      <c r="G203" s="22"/>
      <c r="H203" s="22"/>
      <c r="I203" s="103" cm="1">
        <f t="array" ref="I203">-SUMPRODUCT((Feedstocks!$C$4:$C$141=A203)*Feedstocks!$E$4:$E$141,Feedstocks!$F$4:$F$141,Feedstocks!$H$4:$H$141,Feedstocks!$I$4:$I$141)</f>
        <v>0</v>
      </c>
      <c r="J203" s="103" cm="1">
        <f t="array" ref="J203">-SUMPRODUCT((Feedstocks!$C$4:$C$141=A203)*Feedstocks!$E$4:$E$141,Feedstocks!$H$4:$H$141,Feedstocks!$I$4:$I$141)</f>
        <v>0</v>
      </c>
      <c r="K203" s="103"/>
      <c r="L203" s="103"/>
      <c r="M203" s="22"/>
      <c r="N203" s="22" t="str">
        <f>VLOOKUP(E203,Activities!$A$9:$M$227,13,FALSE)</f>
        <v>NL</v>
      </c>
      <c r="O203" s="22">
        <v>1</v>
      </c>
      <c r="P203" s="80" t="s">
        <v>452</v>
      </c>
      <c r="Q203" s="36"/>
      <c r="R203" s="36"/>
      <c r="S203" s="36"/>
      <c r="T203" s="36"/>
      <c r="U203" s="36"/>
      <c r="V203" s="36"/>
      <c r="W203" s="36"/>
      <c r="X203" s="36"/>
      <c r="Y203" s="36"/>
      <c r="Z203" s="36"/>
      <c r="AA203" s="36"/>
      <c r="AB203" s="36"/>
      <c r="AC203" s="36"/>
      <c r="AD203" s="36"/>
      <c r="AE203" s="36"/>
      <c r="AF203" s="36"/>
      <c r="AG203" s="36"/>
      <c r="AH203" s="36"/>
      <c r="AI203" s="36"/>
      <c r="AJ203" s="36"/>
      <c r="AK203" s="36"/>
      <c r="AL203" s="36"/>
      <c r="AM203" s="36"/>
      <c r="AN203" s="36"/>
      <c r="AO203" s="36"/>
      <c r="AP203" s="36"/>
      <c r="AQ203" s="36"/>
      <c r="AR203" s="36"/>
      <c r="AS203" s="36"/>
      <c r="AT203" s="36"/>
      <c r="AU203" s="36"/>
      <c r="AV203" s="36"/>
      <c r="AW203" s="36"/>
      <c r="AX203" s="36"/>
      <c r="AY203" s="36"/>
      <c r="AZ203" s="36"/>
      <c r="BA203" s="36"/>
      <c r="BB203" s="36"/>
      <c r="BC203" s="36"/>
      <c r="BD203" s="36"/>
      <c r="BE203" s="36"/>
      <c r="BF203" s="36"/>
      <c r="BG203" s="36"/>
      <c r="BH203" s="36"/>
      <c r="BI203" s="36"/>
      <c r="BJ203" s="36">
        <v>1</v>
      </c>
      <c r="BK203" s="36"/>
      <c r="BL203" s="36"/>
      <c r="BM203" s="36"/>
      <c r="BN203" s="36"/>
      <c r="BO203" s="36"/>
      <c r="BP203" s="36"/>
      <c r="BQ203" s="36"/>
      <c r="BR203" s="36"/>
      <c r="BS203" s="36"/>
      <c r="BT203" s="36"/>
      <c r="BU203" s="36"/>
      <c r="BV203" s="36"/>
      <c r="BW203" s="36"/>
      <c r="BX203" s="36"/>
      <c r="BY203" s="36"/>
      <c r="BZ203" s="36"/>
      <c r="CA203" s="36"/>
      <c r="CB203" s="36"/>
      <c r="CC203" s="36"/>
      <c r="CD203" s="36"/>
      <c r="CE203" s="36"/>
      <c r="CF203" s="36"/>
      <c r="CG203" s="36"/>
      <c r="CH203" s="36"/>
      <c r="CI203" s="36"/>
      <c r="CJ203" s="36"/>
      <c r="CK203" s="36"/>
      <c r="CL203" s="36"/>
      <c r="CM203" s="36"/>
      <c r="CN203" s="36"/>
      <c r="CO203" s="36"/>
      <c r="CP203" s="36"/>
      <c r="CQ203" s="36"/>
      <c r="CR203" s="36"/>
      <c r="CS203" s="36"/>
      <c r="CT203" s="36"/>
      <c r="CU203" s="36"/>
      <c r="CV203" s="36"/>
      <c r="CW203" s="36"/>
      <c r="CX203" s="36"/>
      <c r="CY203" s="36"/>
      <c r="CZ203" s="36"/>
      <c r="DA203" s="36"/>
      <c r="DB203" s="36"/>
      <c r="DC203" s="36"/>
      <c r="DD203" s="36"/>
      <c r="DE203" s="36"/>
      <c r="DF203" s="36"/>
      <c r="DG203" s="36"/>
      <c r="DH203" s="36"/>
      <c r="DI203" s="36"/>
      <c r="DJ203" s="36"/>
      <c r="DK203" s="36"/>
      <c r="DL203" s="36"/>
      <c r="DM203" s="36"/>
      <c r="DN203" s="36"/>
      <c r="DO203" s="36"/>
      <c r="DP203" s="36"/>
      <c r="DQ203" s="36"/>
      <c r="DR203" s="36"/>
      <c r="DS203" s="36"/>
      <c r="DT203" s="36"/>
      <c r="DU203" s="36"/>
      <c r="DV203" s="36">
        <v>-0.26500000000000001</v>
      </c>
      <c r="DW203" s="36"/>
      <c r="DX203" s="36"/>
      <c r="DY203" s="36"/>
      <c r="DZ203" s="36"/>
      <c r="EA203" s="36"/>
      <c r="EB203" s="36"/>
      <c r="EC203" s="36"/>
      <c r="ED203" s="36"/>
      <c r="EE203" s="36"/>
      <c r="EF203" s="36"/>
      <c r="EG203" s="36"/>
      <c r="EH203" s="36"/>
      <c r="EI203" s="36"/>
      <c r="EJ203" s="36"/>
      <c r="EK203" s="36"/>
      <c r="EL203" s="36"/>
      <c r="EM203" s="36"/>
      <c r="EN203" s="36"/>
      <c r="EO203" s="36"/>
      <c r="EP203" s="36"/>
      <c r="EQ203" s="36"/>
      <c r="ER203" s="36"/>
      <c r="ES203" s="36"/>
      <c r="ET203" s="36"/>
      <c r="EU203" s="36"/>
      <c r="EV203" s="36"/>
      <c r="EW203" s="36"/>
      <c r="EX203" s="36"/>
      <c r="EY203" s="36"/>
      <c r="EZ203" s="36"/>
      <c r="FA203" s="36"/>
      <c r="FB203" s="36"/>
      <c r="FC203" s="36"/>
      <c r="FD203" s="36"/>
      <c r="FE203" s="36"/>
      <c r="FF203" s="36"/>
      <c r="FG203" s="36"/>
      <c r="FH203" s="36"/>
      <c r="FI203" s="36"/>
      <c r="FJ203" s="36"/>
      <c r="FK203" s="36"/>
      <c r="FL203" s="36"/>
      <c r="FM203" s="36"/>
      <c r="FN203" s="36"/>
      <c r="FO203" s="36"/>
      <c r="FP203" s="36"/>
      <c r="FQ203" s="36"/>
      <c r="FR203" s="36"/>
      <c r="FS203" s="36"/>
      <c r="FT203" s="36"/>
      <c r="FU203" s="36"/>
      <c r="FV203" s="36"/>
      <c r="FW203" s="36"/>
      <c r="FX203" s="36"/>
      <c r="FY203" s="36"/>
      <c r="FZ203" s="36"/>
      <c r="GA203" s="36"/>
      <c r="GB203" s="319"/>
      <c r="GC203" s="179">
        <f t="shared" si="37"/>
        <v>0</v>
      </c>
      <c r="GD203" s="179">
        <f t="shared" si="38"/>
        <v>0</v>
      </c>
      <c r="GE203" s="179">
        <f t="shared" si="39"/>
        <v>0</v>
      </c>
      <c r="GF203" s="179">
        <f t="shared" si="40"/>
        <v>1.9099999999999999E-2</v>
      </c>
      <c r="GG203" s="179">
        <f t="shared" si="36"/>
        <v>0</v>
      </c>
    </row>
    <row r="204" spans="1:342" x14ac:dyDescent="0.35">
      <c r="A204" s="5" t="s">
        <v>1166</v>
      </c>
      <c r="B204" s="5" t="str">
        <f>IF(Technologies!B204&lt;&gt;0,Technologies!B204,"")</f>
        <v>Bunkerbrandstoffen</v>
      </c>
      <c r="C204" s="5" t="str">
        <f>VLOOKUP($A204,Technologies!$A$7:$H$576,3,FALSE)</f>
        <v>Final</v>
      </c>
      <c r="D204" s="5" t="str">
        <f>VLOOKUP($A204,Technologies!$A$7:$H$576,4,FALSE)</f>
        <v>Transport</v>
      </c>
      <c r="E204" s="5" t="str">
        <f>VLOOKUP($A204,Technologies!$A$7:$H$576,6,FALSE)</f>
        <v>Bunker Aviation</v>
      </c>
      <c r="F204" s="5" t="str">
        <f>VLOOKUP($A204,Technologies!$A$7:$H$576,7,FALSE)</f>
        <v>Bio Kerosene Airplane</v>
      </c>
      <c r="G204" s="23"/>
      <c r="H204" s="23"/>
      <c r="I204" s="104" cm="1">
        <f t="array" ref="I204">-SUMPRODUCT((Feedstocks!$C$4:$C$141=A204)*Feedstocks!$E$4:$E$141,Feedstocks!$F$4:$F$141,Feedstocks!$H$4:$H$141,Feedstocks!$I$4:$I$141)</f>
        <v>0</v>
      </c>
      <c r="J204" s="104" cm="1">
        <f t="array" ref="J204">-SUMPRODUCT((Feedstocks!$C$4:$C$141=A204)*Feedstocks!$E$4:$E$141,Feedstocks!$H$4:$H$141,Feedstocks!$I$4:$I$141)</f>
        <v>0</v>
      </c>
      <c r="K204" s="104"/>
      <c r="L204" s="104"/>
      <c r="M204" s="23"/>
      <c r="N204" s="23" t="str">
        <f>VLOOKUP(E204,Activities!$A$9:$M$227,13,FALSE)</f>
        <v>NL</v>
      </c>
      <c r="O204" s="23">
        <v>1</v>
      </c>
      <c r="P204" s="79" t="s">
        <v>452</v>
      </c>
      <c r="Q204" s="35"/>
      <c r="R204" s="35"/>
      <c r="S204" s="35"/>
      <c r="T204" s="35"/>
      <c r="U204" s="35"/>
      <c r="V204" s="35"/>
      <c r="W204" s="35"/>
      <c r="X204" s="35"/>
      <c r="Y204" s="35"/>
      <c r="Z204" s="35"/>
      <c r="AA204" s="35"/>
      <c r="AB204" s="35"/>
      <c r="AC204" s="35"/>
      <c r="AD204" s="35"/>
      <c r="AE204" s="35"/>
      <c r="AF204" s="35"/>
      <c r="AG204" s="35"/>
      <c r="AH204" s="35"/>
      <c r="AI204" s="35"/>
      <c r="AJ204" s="35"/>
      <c r="AK204" s="35"/>
      <c r="AL204" s="35"/>
      <c r="AM204" s="35"/>
      <c r="AN204" s="35"/>
      <c r="AO204" s="35"/>
      <c r="AP204" s="35"/>
      <c r="AQ204" s="35"/>
      <c r="AR204" s="35"/>
      <c r="AS204" s="35"/>
      <c r="AT204" s="35"/>
      <c r="AU204" s="35"/>
      <c r="AV204" s="35"/>
      <c r="AW204" s="35"/>
      <c r="AX204" s="35"/>
      <c r="AY204" s="35"/>
      <c r="AZ204" s="35"/>
      <c r="BA204" s="35"/>
      <c r="BB204" s="35"/>
      <c r="BC204" s="35"/>
      <c r="BD204" s="35"/>
      <c r="BE204" s="35"/>
      <c r="BF204" s="35"/>
      <c r="BG204" s="35"/>
      <c r="BH204" s="35"/>
      <c r="BI204" s="35"/>
      <c r="BJ204" s="35">
        <v>1</v>
      </c>
      <c r="BK204" s="35"/>
      <c r="BL204" s="35"/>
      <c r="BM204" s="35"/>
      <c r="BN204" s="35"/>
      <c r="BO204" s="35"/>
      <c r="BP204" s="35"/>
      <c r="BQ204" s="35"/>
      <c r="BR204" s="35"/>
      <c r="BS204" s="35"/>
      <c r="BT204" s="35"/>
      <c r="BU204" s="35"/>
      <c r="BV204" s="35"/>
      <c r="BW204" s="35"/>
      <c r="BX204" s="35"/>
      <c r="BY204" s="35"/>
      <c r="BZ204" s="35"/>
      <c r="CA204" s="35"/>
      <c r="CB204" s="35"/>
      <c r="CC204" s="35"/>
      <c r="CD204" s="35"/>
      <c r="CE204" s="35"/>
      <c r="CF204" s="35"/>
      <c r="CG204" s="35"/>
      <c r="CH204" s="35"/>
      <c r="CI204" s="35"/>
      <c r="CJ204" s="35"/>
      <c r="CK204" s="35"/>
      <c r="CL204" s="35"/>
      <c r="CM204" s="35"/>
      <c r="CN204" s="35"/>
      <c r="CO204" s="35"/>
      <c r="CP204" s="35"/>
      <c r="CQ204" s="35"/>
      <c r="CR204" s="35"/>
      <c r="CS204" s="35"/>
      <c r="CT204" s="35"/>
      <c r="CU204" s="35"/>
      <c r="CV204" s="35"/>
      <c r="CW204" s="35"/>
      <c r="CX204" s="35"/>
      <c r="CY204" s="35"/>
      <c r="CZ204" s="35"/>
      <c r="DA204" s="35"/>
      <c r="DB204" s="35"/>
      <c r="DC204" s="35"/>
      <c r="DD204" s="35"/>
      <c r="DE204" s="35"/>
      <c r="DF204" s="35"/>
      <c r="DG204" s="35"/>
      <c r="DH204" s="35"/>
      <c r="DI204" s="35"/>
      <c r="DJ204" s="35"/>
      <c r="DK204" s="35"/>
      <c r="DL204" s="35"/>
      <c r="DM204" s="35"/>
      <c r="DN204" s="35"/>
      <c r="DO204" s="35"/>
      <c r="DP204" s="35"/>
      <c r="DQ204" s="35"/>
      <c r="DR204" s="35"/>
      <c r="DS204" s="35"/>
      <c r="DT204" s="35"/>
      <c r="DU204" s="35"/>
      <c r="DV204" s="35"/>
      <c r="DW204" s="35"/>
      <c r="DX204" s="35"/>
      <c r="DY204" s="35"/>
      <c r="DZ204" s="35"/>
      <c r="EA204" s="35"/>
      <c r="EB204" s="35">
        <v>-0.26500000000000001</v>
      </c>
      <c r="EC204" s="35"/>
      <c r="ED204" s="35"/>
      <c r="EE204" s="35"/>
      <c r="EF204" s="35"/>
      <c r="EG204" s="35"/>
      <c r="EH204" s="35"/>
      <c r="EI204" s="35"/>
      <c r="EJ204" s="35"/>
      <c r="EK204" s="35"/>
      <c r="EL204" s="35"/>
      <c r="EM204" s="35"/>
      <c r="EN204" s="35"/>
      <c r="EO204" s="35"/>
      <c r="EP204" s="35"/>
      <c r="EQ204" s="35"/>
      <c r="ER204" s="35"/>
      <c r="ES204" s="35"/>
      <c r="ET204" s="35"/>
      <c r="EU204" s="35"/>
      <c r="EV204" s="35"/>
      <c r="EW204" s="35"/>
      <c r="EX204" s="35"/>
      <c r="EY204" s="35"/>
      <c r="EZ204" s="35"/>
      <c r="FA204" s="35"/>
      <c r="FB204" s="35"/>
      <c r="FC204" s="35"/>
      <c r="FD204" s="35"/>
      <c r="FE204" s="35"/>
      <c r="FF204" s="35"/>
      <c r="FG204" s="35"/>
      <c r="FH204" s="35"/>
      <c r="FI204" s="35"/>
      <c r="FJ204" s="35"/>
      <c r="FK204" s="35"/>
      <c r="FL204" s="35"/>
      <c r="FM204" s="35"/>
      <c r="FN204" s="35"/>
      <c r="FO204" s="35"/>
      <c r="FP204" s="35"/>
      <c r="FQ204" s="35"/>
      <c r="FR204" s="35"/>
      <c r="FS204" s="35"/>
      <c r="FT204" s="35"/>
      <c r="FU204" s="35"/>
      <c r="FV204" s="35"/>
      <c r="FW204" s="35"/>
      <c r="FX204" s="35"/>
      <c r="FY204" s="35"/>
      <c r="FZ204" s="35"/>
      <c r="GA204" s="35"/>
      <c r="GB204" s="318"/>
      <c r="GC204" s="178">
        <f t="shared" si="37"/>
        <v>0</v>
      </c>
      <c r="GD204" s="178">
        <f t="shared" si="38"/>
        <v>0</v>
      </c>
      <c r="GE204" s="178">
        <f t="shared" si="39"/>
        <v>0</v>
      </c>
      <c r="GF204" s="178">
        <f t="shared" si="40"/>
        <v>0</v>
      </c>
      <c r="GG204" s="178">
        <f t="shared" si="36"/>
        <v>0</v>
      </c>
    </row>
    <row r="205" spans="1:342" x14ac:dyDescent="0.35">
      <c r="A205" s="6" t="s">
        <v>1168</v>
      </c>
      <c r="B205" s="6" t="str">
        <f>IF(Technologies!B205&lt;&gt;0,Technologies!B205,"")</f>
        <v>Bunkerbrandstoffen</v>
      </c>
      <c r="C205" s="6" t="str">
        <f>VLOOKUP($A205,Technologies!$A$7:$H$576,3,FALSE)</f>
        <v>Final</v>
      </c>
      <c r="D205" s="6" t="str">
        <f>VLOOKUP($A205,Technologies!$A$7:$H$576,4,FALSE)</f>
        <v>Transport</v>
      </c>
      <c r="E205" s="6" t="str">
        <f>VLOOKUP($A205,Technologies!$A$7:$H$576,6,FALSE)</f>
        <v>Bunker Aviation</v>
      </c>
      <c r="F205" s="48" t="str">
        <f>VLOOKUP($A205,Technologies!$A$7:$H$576,7,FALSE)</f>
        <v>Syn Kerosene Airplane</v>
      </c>
      <c r="G205" s="22"/>
      <c r="H205" s="22"/>
      <c r="I205" s="103" cm="1">
        <f t="array" ref="I205">-SUMPRODUCT((Feedstocks!$C$4:$C$141=A205)*Feedstocks!$E$4:$E$141,Feedstocks!$F$4:$F$141,Feedstocks!$H$4:$H$141,Feedstocks!$I$4:$I$141)</f>
        <v>0</v>
      </c>
      <c r="J205" s="103" cm="1">
        <f t="array" ref="J205">-SUMPRODUCT((Feedstocks!$C$4:$C$141=A205)*Feedstocks!$E$4:$E$141,Feedstocks!$H$4:$H$141,Feedstocks!$I$4:$I$141)</f>
        <v>0</v>
      </c>
      <c r="K205" s="103"/>
      <c r="L205" s="103"/>
      <c r="M205" s="22"/>
      <c r="N205" s="22" t="str">
        <f>VLOOKUP(E205,Activities!$A$9:$M$227,13,FALSE)</f>
        <v>NL</v>
      </c>
      <c r="O205" s="22">
        <v>1</v>
      </c>
      <c r="P205" s="80" t="s">
        <v>452</v>
      </c>
      <c r="Q205" s="36"/>
      <c r="R205" s="36"/>
      <c r="S205" s="36"/>
      <c r="T205" s="36"/>
      <c r="U205" s="36"/>
      <c r="V205" s="36"/>
      <c r="W205" s="36"/>
      <c r="X205" s="36"/>
      <c r="Y205" s="36"/>
      <c r="Z205" s="36"/>
      <c r="AA205" s="36"/>
      <c r="AB205" s="36"/>
      <c r="AC205" s="36"/>
      <c r="AD205" s="36"/>
      <c r="AE205" s="36"/>
      <c r="AF205" s="36"/>
      <c r="AG205" s="36"/>
      <c r="AH205" s="36"/>
      <c r="AI205" s="36"/>
      <c r="AJ205" s="36"/>
      <c r="AK205" s="36"/>
      <c r="AL205" s="36"/>
      <c r="AM205" s="36"/>
      <c r="AN205" s="36"/>
      <c r="AO205" s="36"/>
      <c r="AP205" s="36"/>
      <c r="AQ205" s="36"/>
      <c r="AR205" s="36"/>
      <c r="AS205" s="36"/>
      <c r="AT205" s="36"/>
      <c r="AU205" s="36"/>
      <c r="AV205" s="36"/>
      <c r="AW205" s="36"/>
      <c r="AX205" s="36"/>
      <c r="AY205" s="36"/>
      <c r="AZ205" s="36"/>
      <c r="BA205" s="36"/>
      <c r="BB205" s="36"/>
      <c r="BC205" s="36"/>
      <c r="BD205" s="36"/>
      <c r="BE205" s="36"/>
      <c r="BF205" s="36"/>
      <c r="BG205" s="36"/>
      <c r="BH205" s="36"/>
      <c r="BI205" s="36"/>
      <c r="BJ205" s="36">
        <v>1</v>
      </c>
      <c r="BK205" s="36"/>
      <c r="BL205" s="36"/>
      <c r="BM205" s="36"/>
      <c r="BN205" s="36"/>
      <c r="BO205" s="36"/>
      <c r="BP205" s="36"/>
      <c r="BQ205" s="36"/>
      <c r="BR205" s="36"/>
      <c r="BS205" s="36"/>
      <c r="BT205" s="36"/>
      <c r="BU205" s="36"/>
      <c r="BV205" s="36"/>
      <c r="BW205" s="36"/>
      <c r="BX205" s="36"/>
      <c r="BY205" s="36"/>
      <c r="BZ205" s="36"/>
      <c r="CA205" s="36"/>
      <c r="CB205" s="36"/>
      <c r="CC205" s="36"/>
      <c r="CD205" s="36"/>
      <c r="CE205" s="36"/>
      <c r="CF205" s="36"/>
      <c r="CG205" s="36"/>
      <c r="CH205" s="36"/>
      <c r="CI205" s="36"/>
      <c r="CJ205" s="36"/>
      <c r="CK205" s="36"/>
      <c r="CL205" s="36"/>
      <c r="CM205" s="36"/>
      <c r="CN205" s="36"/>
      <c r="CO205" s="36"/>
      <c r="CP205" s="36"/>
      <c r="CQ205" s="36"/>
      <c r="CR205" s="36"/>
      <c r="CS205" s="36"/>
      <c r="CT205" s="36"/>
      <c r="CU205" s="36"/>
      <c r="CV205" s="36"/>
      <c r="CW205" s="36"/>
      <c r="CX205" s="36"/>
      <c r="CY205" s="36"/>
      <c r="CZ205" s="36"/>
      <c r="DA205" s="36"/>
      <c r="DB205" s="36"/>
      <c r="DC205" s="36"/>
      <c r="DD205" s="36"/>
      <c r="DE205" s="36"/>
      <c r="DF205" s="36"/>
      <c r="DG205" s="36"/>
      <c r="DH205" s="36"/>
      <c r="DI205" s="36"/>
      <c r="DJ205" s="36"/>
      <c r="DK205" s="36"/>
      <c r="DL205" s="36"/>
      <c r="DM205" s="36"/>
      <c r="DN205" s="36"/>
      <c r="DO205" s="36"/>
      <c r="DP205" s="36"/>
      <c r="DQ205" s="36"/>
      <c r="DR205" s="36"/>
      <c r="DS205" s="36"/>
      <c r="DT205" s="36"/>
      <c r="DU205" s="36"/>
      <c r="DV205" s="36"/>
      <c r="DW205" s="36"/>
      <c r="DX205" s="36"/>
      <c r="DY205" s="36"/>
      <c r="DZ205" s="36"/>
      <c r="EA205" s="36"/>
      <c r="EB205" s="36"/>
      <c r="EC205" s="36"/>
      <c r="ED205" s="36"/>
      <c r="EE205" s="36"/>
      <c r="EF205" s="36">
        <v>-0.26500000000000001</v>
      </c>
      <c r="EG205" s="36"/>
      <c r="EH205" s="36"/>
      <c r="EI205" s="36"/>
      <c r="EJ205" s="36"/>
      <c r="EK205" s="36"/>
      <c r="EL205" s="36"/>
      <c r="EM205" s="36"/>
      <c r="EN205" s="36"/>
      <c r="EO205" s="36"/>
      <c r="EP205" s="36"/>
      <c r="EQ205" s="36"/>
      <c r="ER205" s="36"/>
      <c r="ES205" s="36"/>
      <c r="ET205" s="36"/>
      <c r="EU205" s="36"/>
      <c r="EV205" s="36"/>
      <c r="EW205" s="36"/>
      <c r="EX205" s="36"/>
      <c r="EY205" s="36"/>
      <c r="EZ205" s="36"/>
      <c r="FA205" s="36"/>
      <c r="FB205" s="36"/>
      <c r="FC205" s="36"/>
      <c r="FD205" s="36"/>
      <c r="FE205" s="36"/>
      <c r="FF205" s="36"/>
      <c r="FG205" s="36"/>
      <c r="FH205" s="36"/>
      <c r="FI205" s="36"/>
      <c r="FJ205" s="36"/>
      <c r="FK205" s="36"/>
      <c r="FL205" s="36"/>
      <c r="FM205" s="36"/>
      <c r="FN205" s="36"/>
      <c r="FO205" s="36"/>
      <c r="FP205" s="36"/>
      <c r="FQ205" s="36"/>
      <c r="FR205" s="36"/>
      <c r="FS205" s="36"/>
      <c r="FT205" s="36"/>
      <c r="FU205" s="36"/>
      <c r="FV205" s="36"/>
      <c r="FW205" s="36"/>
      <c r="FX205" s="36"/>
      <c r="FY205" s="36"/>
      <c r="FZ205" s="36"/>
      <c r="GA205" s="36"/>
      <c r="GB205" s="319"/>
      <c r="GC205" s="179">
        <f t="shared" si="37"/>
        <v>0</v>
      </c>
      <c r="GD205" s="179">
        <f t="shared" si="38"/>
        <v>0</v>
      </c>
      <c r="GE205" s="179">
        <f t="shared" si="39"/>
        <v>0</v>
      </c>
      <c r="GF205" s="179">
        <f t="shared" si="40"/>
        <v>1.9099999999999999E-2</v>
      </c>
      <c r="GG205" s="179">
        <f t="shared" si="36"/>
        <v>0</v>
      </c>
    </row>
    <row r="206" spans="1:342" x14ac:dyDescent="0.35">
      <c r="A206" s="5" t="s">
        <v>1170</v>
      </c>
      <c r="B206" s="5" t="str">
        <f>IF(Technologies!B206&lt;&gt;0,Technologies!B206,"")</f>
        <v>Bunkerbrandstoffen</v>
      </c>
      <c r="C206" s="5" t="str">
        <f>VLOOKUP($A206,Technologies!$A$7:$H$576,3,FALSE)</f>
        <v>Final</v>
      </c>
      <c r="D206" s="5" t="str">
        <f>VLOOKUP($A206,Technologies!$A$7:$H$576,4,FALSE)</f>
        <v>Transport</v>
      </c>
      <c r="E206" s="5" t="str">
        <f>VLOOKUP($A206,Technologies!$A$7:$H$576,6,FALSE)</f>
        <v>Bunker Aviation</v>
      </c>
      <c r="F206" s="5" t="str">
        <f>VLOOKUP($A206,Technologies!$A$7:$H$576,7,FALSE)</f>
        <v>Hydrogen Airplane</v>
      </c>
      <c r="G206" s="23"/>
      <c r="H206" s="23"/>
      <c r="I206" s="104" cm="1">
        <f t="array" ref="I206">-SUMPRODUCT((Feedstocks!$C$4:$C$141=A206)*Feedstocks!$E$4:$E$141,Feedstocks!$F$4:$F$141,Feedstocks!$H$4:$H$141,Feedstocks!$I$4:$I$141)</f>
        <v>0</v>
      </c>
      <c r="J206" s="104" cm="1">
        <f t="array" ref="J206">-SUMPRODUCT((Feedstocks!$C$4:$C$141=A206)*Feedstocks!$E$4:$E$141,Feedstocks!$H$4:$H$141,Feedstocks!$I$4:$I$141)</f>
        <v>0</v>
      </c>
      <c r="K206" s="104"/>
      <c r="L206" s="104"/>
      <c r="M206" s="23"/>
      <c r="N206" s="23" t="str">
        <f>VLOOKUP(E206,Activities!$A$9:$M$227,13,FALSE)</f>
        <v>NL</v>
      </c>
      <c r="O206" s="23">
        <v>1</v>
      </c>
      <c r="P206" s="79" t="s">
        <v>502</v>
      </c>
      <c r="Q206" s="35"/>
      <c r="R206" s="35"/>
      <c r="S206" s="35"/>
      <c r="T206" s="35"/>
      <c r="U206" s="35"/>
      <c r="V206" s="35"/>
      <c r="W206" s="35"/>
      <c r="X206" s="35"/>
      <c r="Y206" s="35"/>
      <c r="Z206" s="35"/>
      <c r="AA206" s="35"/>
      <c r="AB206" s="35"/>
      <c r="AC206" s="35"/>
      <c r="AD206" s="35"/>
      <c r="AE206" s="35"/>
      <c r="AF206" s="35"/>
      <c r="AG206" s="35"/>
      <c r="AH206" s="35"/>
      <c r="AI206" s="35"/>
      <c r="AJ206" s="35"/>
      <c r="AK206" s="35"/>
      <c r="AL206" s="35"/>
      <c r="AM206" s="35"/>
      <c r="AN206" s="35"/>
      <c r="AO206" s="35"/>
      <c r="AP206" s="35"/>
      <c r="AQ206" s="35"/>
      <c r="AR206" s="35"/>
      <c r="AS206" s="35"/>
      <c r="AT206" s="35"/>
      <c r="AU206" s="35"/>
      <c r="AV206" s="35"/>
      <c r="AW206" s="35"/>
      <c r="AX206" s="35"/>
      <c r="AY206" s="35"/>
      <c r="AZ206" s="35"/>
      <c r="BA206" s="35"/>
      <c r="BB206" s="35"/>
      <c r="BC206" s="35"/>
      <c r="BD206" s="35"/>
      <c r="BE206" s="35"/>
      <c r="BF206" s="35"/>
      <c r="BG206" s="35"/>
      <c r="BH206" s="35"/>
      <c r="BI206" s="35"/>
      <c r="BJ206" s="35">
        <v>1</v>
      </c>
      <c r="BK206" s="35"/>
      <c r="BL206" s="35"/>
      <c r="BM206" s="35"/>
      <c r="BN206" s="35"/>
      <c r="BO206" s="35"/>
      <c r="BP206" s="35"/>
      <c r="BQ206" s="35"/>
      <c r="BR206" s="35"/>
      <c r="BS206" s="35"/>
      <c r="BT206" s="35"/>
      <c r="BU206" s="35"/>
      <c r="BV206" s="35"/>
      <c r="BW206" s="35"/>
      <c r="BX206" s="35"/>
      <c r="BY206" s="35"/>
      <c r="BZ206" s="35"/>
      <c r="CA206" s="35"/>
      <c r="CB206" s="35"/>
      <c r="CC206" s="35"/>
      <c r="CD206" s="35"/>
      <c r="CE206" s="35"/>
      <c r="CF206" s="35"/>
      <c r="CG206" s="35"/>
      <c r="CH206" s="35"/>
      <c r="CI206" s="35"/>
      <c r="CJ206" s="35"/>
      <c r="CK206" s="35"/>
      <c r="CL206" s="35"/>
      <c r="CM206" s="35"/>
      <c r="CN206" s="35"/>
      <c r="CO206" s="35"/>
      <c r="CP206" s="35"/>
      <c r="CQ206" s="35"/>
      <c r="CR206" s="35"/>
      <c r="CS206" s="35"/>
      <c r="CT206" s="35"/>
      <c r="CU206" s="35"/>
      <c r="CV206" s="35"/>
      <c r="CW206" s="35"/>
      <c r="CX206" s="35"/>
      <c r="CY206" s="35"/>
      <c r="CZ206" s="35"/>
      <c r="DA206" s="35"/>
      <c r="DB206" s="35"/>
      <c r="DC206" s="35"/>
      <c r="DD206" s="35"/>
      <c r="DE206" s="35"/>
      <c r="DF206" s="35"/>
      <c r="DG206" s="35"/>
      <c r="DH206" s="35"/>
      <c r="DI206" s="35"/>
      <c r="DJ206" s="35"/>
      <c r="DK206" s="35"/>
      <c r="DL206" s="35"/>
      <c r="DM206" s="35"/>
      <c r="DN206" s="35"/>
      <c r="DO206" s="35"/>
      <c r="DP206" s="35"/>
      <c r="DQ206" s="35"/>
      <c r="DR206" s="35"/>
      <c r="DS206" s="35"/>
      <c r="DT206" s="35"/>
      <c r="DU206" s="35"/>
      <c r="DV206" s="35"/>
      <c r="DW206" s="35"/>
      <c r="DX206" s="35"/>
      <c r="DY206" s="35"/>
      <c r="DZ206" s="35"/>
      <c r="EA206" s="35"/>
      <c r="EB206" s="35"/>
      <c r="EC206" s="35"/>
      <c r="ED206" s="35"/>
      <c r="EE206" s="35"/>
      <c r="EF206" s="35"/>
      <c r="EG206" s="35"/>
      <c r="EH206" s="35"/>
      <c r="EI206" s="35"/>
      <c r="EJ206" s="35"/>
      <c r="EK206" s="35"/>
      <c r="EL206" s="35"/>
      <c r="EM206" s="35">
        <v>-0.19</v>
      </c>
      <c r="EN206" s="35"/>
      <c r="EO206" s="35"/>
      <c r="EP206" s="35"/>
      <c r="EQ206" s="35"/>
      <c r="ER206" s="35"/>
      <c r="ES206" s="35"/>
      <c r="ET206" s="35"/>
      <c r="EU206" s="35"/>
      <c r="EV206" s="35"/>
      <c r="EW206" s="35"/>
      <c r="EX206" s="35"/>
      <c r="EY206" s="35"/>
      <c r="EZ206" s="35"/>
      <c r="FA206" s="35"/>
      <c r="FB206" s="35"/>
      <c r="FC206" s="35"/>
      <c r="FD206" s="35"/>
      <c r="FE206" s="35"/>
      <c r="FF206" s="35"/>
      <c r="FG206" s="35"/>
      <c r="FH206" s="35"/>
      <c r="FI206" s="35"/>
      <c r="FJ206" s="35"/>
      <c r="FK206" s="35"/>
      <c r="FL206" s="35"/>
      <c r="FM206" s="35"/>
      <c r="FN206" s="35"/>
      <c r="FO206" s="35"/>
      <c r="FP206" s="35"/>
      <c r="FQ206" s="35"/>
      <c r="FR206" s="35"/>
      <c r="FS206" s="35"/>
      <c r="FT206" s="35"/>
      <c r="FU206" s="35"/>
      <c r="FV206" s="35"/>
      <c r="FW206" s="35"/>
      <c r="FX206" s="35"/>
      <c r="FY206" s="35"/>
      <c r="FZ206" s="35"/>
      <c r="GA206" s="35"/>
      <c r="GB206" s="318"/>
      <c r="GC206" s="178">
        <f t="shared" si="37"/>
        <v>0</v>
      </c>
      <c r="GD206" s="178">
        <f t="shared" si="38"/>
        <v>0</v>
      </c>
      <c r="GE206" s="178">
        <f t="shared" si="39"/>
        <v>0</v>
      </c>
      <c r="GF206" s="178">
        <f t="shared" si="40"/>
        <v>0</v>
      </c>
      <c r="GG206" s="178">
        <f t="shared" si="36"/>
        <v>0</v>
      </c>
    </row>
    <row r="207" spans="1:342" s="310" customFormat="1" x14ac:dyDescent="0.35">
      <c r="A207" s="290" t="s">
        <v>1172</v>
      </c>
      <c r="B207" s="290" t="str">
        <f>IF(Technologies!B207&lt;&gt;0,Technologies!B207,"")</f>
        <v>Bunkerbrandstoffen</v>
      </c>
      <c r="C207" s="290" t="str">
        <f>VLOOKUP($A207,Technologies!$A$7:$H$576,3,FALSE)</f>
        <v>Final</v>
      </c>
      <c r="D207" s="290" t="str">
        <f>VLOOKUP($A207,Technologies!$A$7:$H$576,4,FALSE)</f>
        <v>Transport</v>
      </c>
      <c r="E207" s="290" t="str">
        <f>VLOOKUP($A207,Technologies!$A$7:$H$576,6,FALSE)</f>
        <v>Bunker Aviation</v>
      </c>
      <c r="F207" s="291" t="str">
        <f>VLOOKUP($A207,Technologies!$A$7:$H$576,7,FALSE)</f>
        <v>E-Kerosene Airplane</v>
      </c>
      <c r="G207" s="311"/>
      <c r="H207" s="311"/>
      <c r="I207" s="313" cm="1">
        <f t="array" ref="I207">-SUMPRODUCT((Feedstocks!$C$4:$C$141=A207)*Feedstocks!$E$4:$E$141,Feedstocks!$F$4:$F$141,Feedstocks!$H$4:$H$141,Feedstocks!$I$4:$I$141)</f>
        <v>0</v>
      </c>
      <c r="J207" s="313" cm="1">
        <f t="array" ref="J207">-SUMPRODUCT((Feedstocks!$C$4:$C$141=A207)*Feedstocks!$E$4:$E$141,Feedstocks!$H$4:$H$141,Feedstocks!$I$4:$I$141)</f>
        <v>0</v>
      </c>
      <c r="K207" s="313"/>
      <c r="L207" s="313"/>
      <c r="M207" s="311"/>
      <c r="N207" s="311" t="str">
        <f>VLOOKUP(E207,Activities!$A$9:$M$227,13,FALSE)</f>
        <v>NL</v>
      </c>
      <c r="O207" s="311">
        <v>1</v>
      </c>
      <c r="P207" s="308" t="s">
        <v>452</v>
      </c>
      <c r="Q207" s="315"/>
      <c r="R207" s="315"/>
      <c r="S207" s="315"/>
      <c r="T207" s="315"/>
      <c r="U207" s="315"/>
      <c r="V207" s="315"/>
      <c r="W207" s="315"/>
      <c r="X207" s="315"/>
      <c r="Y207" s="315"/>
      <c r="Z207" s="315"/>
      <c r="AA207" s="315"/>
      <c r="AB207" s="315"/>
      <c r="AC207" s="315"/>
      <c r="AD207" s="315"/>
      <c r="AE207" s="315"/>
      <c r="AF207" s="315"/>
      <c r="AG207" s="315"/>
      <c r="AH207" s="315"/>
      <c r="AI207" s="315"/>
      <c r="AJ207" s="315"/>
      <c r="AK207" s="315"/>
      <c r="AL207" s="315"/>
      <c r="AM207" s="315"/>
      <c r="AN207" s="315"/>
      <c r="AO207" s="315"/>
      <c r="AP207" s="315"/>
      <c r="AQ207" s="315"/>
      <c r="AR207" s="315"/>
      <c r="AS207" s="315"/>
      <c r="AT207" s="315"/>
      <c r="AU207" s="315"/>
      <c r="AV207" s="315"/>
      <c r="AW207" s="315"/>
      <c r="AX207" s="315"/>
      <c r="AY207" s="315"/>
      <c r="AZ207" s="315"/>
      <c r="BA207" s="315"/>
      <c r="BB207" s="315"/>
      <c r="BC207" s="315"/>
      <c r="BD207" s="315"/>
      <c r="BE207" s="315"/>
      <c r="BF207" s="315"/>
      <c r="BG207" s="315"/>
      <c r="BH207" s="315"/>
      <c r="BI207" s="315"/>
      <c r="BJ207" s="315">
        <v>1</v>
      </c>
      <c r="BK207" s="315"/>
      <c r="BL207" s="315"/>
      <c r="BM207" s="315"/>
      <c r="BN207" s="315"/>
      <c r="BO207" s="315"/>
      <c r="BP207" s="315"/>
      <c r="BQ207" s="315"/>
      <c r="BR207" s="315"/>
      <c r="BS207" s="315"/>
      <c r="BT207" s="315"/>
      <c r="BU207" s="315"/>
      <c r="BV207" s="315"/>
      <c r="BW207" s="315"/>
      <c r="BX207" s="315"/>
      <c r="BY207" s="315"/>
      <c r="BZ207" s="315"/>
      <c r="CA207" s="315"/>
      <c r="CB207" s="315"/>
      <c r="CC207" s="315"/>
      <c r="CD207" s="315"/>
      <c r="CE207" s="315"/>
      <c r="CF207" s="315"/>
      <c r="CG207" s="315"/>
      <c r="CH207" s="315"/>
      <c r="CI207" s="315"/>
      <c r="CJ207" s="315"/>
      <c r="CK207" s="315"/>
      <c r="CL207" s="315"/>
      <c r="CM207" s="315"/>
      <c r="CN207" s="315"/>
      <c r="CO207" s="315"/>
      <c r="CP207" s="315"/>
      <c r="CQ207" s="315"/>
      <c r="CR207" s="315"/>
      <c r="CS207" s="315"/>
      <c r="CT207" s="315"/>
      <c r="CU207" s="315"/>
      <c r="CV207" s="315"/>
      <c r="CW207" s="315"/>
      <c r="CX207" s="315"/>
      <c r="CY207" s="315"/>
      <c r="CZ207" s="315"/>
      <c r="DA207" s="315"/>
      <c r="DB207" s="315"/>
      <c r="DC207" s="315"/>
      <c r="DD207" s="315"/>
      <c r="DE207" s="315"/>
      <c r="DF207" s="315"/>
      <c r="DG207" s="315"/>
      <c r="DH207" s="315"/>
      <c r="DI207" s="315"/>
      <c r="DJ207" s="315"/>
      <c r="DK207" s="315"/>
      <c r="DL207" s="315"/>
      <c r="DM207" s="315"/>
      <c r="DN207" s="315"/>
      <c r="DO207" s="315"/>
      <c r="DP207" s="315"/>
      <c r="DQ207" s="315"/>
      <c r="DR207" s="315"/>
      <c r="DS207" s="315"/>
      <c r="DT207" s="315"/>
      <c r="DU207" s="315"/>
      <c r="DV207" s="315"/>
      <c r="DW207" s="315"/>
      <c r="DX207" s="315"/>
      <c r="DY207" s="315"/>
      <c r="DZ207" s="315"/>
      <c r="EA207" s="315"/>
      <c r="EB207" s="315"/>
      <c r="EC207" s="315"/>
      <c r="ED207" s="315"/>
      <c r="EE207" s="315"/>
      <c r="EF207" s="315"/>
      <c r="EG207" s="315"/>
      <c r="EH207" s="315">
        <v>-0.27</v>
      </c>
      <c r="EI207" s="315"/>
      <c r="EJ207" s="315"/>
      <c r="EK207" s="315"/>
      <c r="EL207" s="315"/>
      <c r="EM207" s="315"/>
      <c r="EN207" s="315"/>
      <c r="EO207" s="315"/>
      <c r="EP207" s="315"/>
      <c r="EQ207" s="315"/>
      <c r="ER207" s="315"/>
      <c r="ES207" s="315"/>
      <c r="ET207" s="315"/>
      <c r="EU207" s="315"/>
      <c r="EV207" s="315"/>
      <c r="EW207" s="315"/>
      <c r="EX207" s="315"/>
      <c r="EY207" s="315"/>
      <c r="EZ207" s="315"/>
      <c r="FA207" s="315"/>
      <c r="FB207" s="315"/>
      <c r="FC207" s="315"/>
      <c r="FD207" s="315"/>
      <c r="FE207" s="315"/>
      <c r="FF207" s="315"/>
      <c r="FG207" s="315"/>
      <c r="FH207" s="315"/>
      <c r="FI207" s="315"/>
      <c r="FJ207" s="315"/>
      <c r="FK207" s="315"/>
      <c r="FL207" s="315"/>
      <c r="FM207" s="315"/>
      <c r="FN207" s="315"/>
      <c r="FO207" s="315"/>
      <c r="FP207" s="315"/>
      <c r="FQ207" s="315"/>
      <c r="FR207" s="315"/>
      <c r="FS207" s="315"/>
      <c r="FT207" s="315"/>
      <c r="FU207" s="315"/>
      <c r="FV207" s="315"/>
      <c r="FW207" s="315"/>
      <c r="FX207" s="315"/>
      <c r="FY207" s="315"/>
      <c r="FZ207" s="315"/>
      <c r="GA207" s="315"/>
      <c r="GB207" s="322"/>
      <c r="GC207" s="316">
        <f t="shared" si="37"/>
        <v>0</v>
      </c>
      <c r="GD207" s="316">
        <f t="shared" si="38"/>
        <v>0</v>
      </c>
      <c r="GE207" s="316">
        <f t="shared" si="39"/>
        <v>0</v>
      </c>
      <c r="GF207" s="316">
        <f t="shared" si="40"/>
        <v>1.9400000000000001E-2</v>
      </c>
      <c r="GG207" s="316">
        <f t="shared" si="36"/>
        <v>0</v>
      </c>
      <c r="GI207" s="1"/>
      <c r="GJ207" s="1"/>
      <c r="GK207" s="1"/>
      <c r="GL207" s="1"/>
      <c r="GM207" s="1"/>
      <c r="GN207" s="1"/>
      <c r="GO207" s="1"/>
      <c r="GP207" s="1"/>
      <c r="GQ207" s="1"/>
      <c r="GR207" s="1"/>
      <c r="GS207" s="1"/>
      <c r="GT207" s="1"/>
      <c r="GU207" s="1"/>
      <c r="GV207" s="1"/>
      <c r="GW207" s="1"/>
      <c r="GX207" s="1"/>
      <c r="GY207" s="1"/>
      <c r="GZ207" s="1"/>
      <c r="HA207" s="1"/>
      <c r="HB207" s="1"/>
      <c r="HC207" s="1"/>
      <c r="HD207" s="1"/>
      <c r="HE207" s="1"/>
      <c r="HF207" s="1"/>
      <c r="HG207" s="1"/>
      <c r="HH207" s="1"/>
      <c r="HI207" s="1"/>
      <c r="HJ207" s="1"/>
      <c r="HK207" s="1"/>
      <c r="HL207" s="1"/>
      <c r="HM207" s="1"/>
      <c r="HN207" s="1"/>
      <c r="HO207" s="1"/>
      <c r="HP207" s="1"/>
      <c r="HQ207" s="1"/>
      <c r="HR207" s="1"/>
      <c r="HS207" s="1"/>
      <c r="HT207" s="1"/>
      <c r="HU207" s="1"/>
      <c r="HV207" s="1"/>
      <c r="HW207" s="1"/>
      <c r="HX207" s="1"/>
      <c r="HY207" s="1"/>
      <c r="HZ207" s="1"/>
      <c r="IA207" s="1"/>
      <c r="IB207" s="1"/>
      <c r="IC207" s="1"/>
      <c r="ID207" s="1"/>
      <c r="IE207" s="1"/>
      <c r="IF207" s="1"/>
      <c r="IG207" s="1"/>
      <c r="IH207" s="1"/>
      <c r="II207" s="1"/>
      <c r="IJ207" s="1"/>
      <c r="IK207" s="1"/>
      <c r="IL207" s="1"/>
      <c r="IM207" s="1"/>
      <c r="IN207" s="1"/>
      <c r="IO207" s="1"/>
      <c r="IP207" s="1"/>
      <c r="IQ207" s="1"/>
      <c r="IR207" s="1"/>
      <c r="IS207" s="1"/>
      <c r="IT207" s="1"/>
      <c r="IU207" s="1"/>
      <c r="IV207" s="1"/>
      <c r="IW207" s="1"/>
      <c r="IX207" s="1"/>
      <c r="IY207" s="1"/>
      <c r="IZ207" s="1"/>
      <c r="JA207" s="1"/>
      <c r="JB207" s="1"/>
      <c r="JC207" s="1"/>
      <c r="JD207" s="1"/>
      <c r="JE207" s="1"/>
      <c r="JF207" s="1"/>
      <c r="JG207" s="1"/>
      <c r="JH207" s="1"/>
      <c r="JI207" s="1"/>
      <c r="JJ207" s="1"/>
      <c r="JK207" s="1"/>
      <c r="JL207" s="1"/>
      <c r="JM207" s="1"/>
      <c r="JN207" s="1"/>
      <c r="JO207" s="1"/>
      <c r="JP207" s="1"/>
      <c r="JQ207" s="1"/>
      <c r="JR207" s="1"/>
      <c r="JS207" s="1"/>
      <c r="JT207" s="1"/>
      <c r="JU207" s="1"/>
      <c r="JV207" s="1"/>
      <c r="JW207" s="1"/>
      <c r="JX207" s="1"/>
      <c r="JY207" s="1"/>
      <c r="JZ207" s="1"/>
      <c r="KA207" s="1"/>
      <c r="KB207" s="1"/>
      <c r="KC207" s="1"/>
      <c r="KD207" s="1"/>
      <c r="KE207" s="1"/>
      <c r="KF207" s="1"/>
      <c r="KG207" s="1"/>
      <c r="KH207" s="1"/>
      <c r="KI207" s="1"/>
      <c r="KJ207" s="1"/>
      <c r="KK207" s="1"/>
      <c r="KL207" s="1"/>
      <c r="KM207" s="1"/>
      <c r="KN207" s="1"/>
      <c r="KO207" s="1"/>
      <c r="KP207" s="1"/>
      <c r="KQ207" s="1"/>
      <c r="KR207" s="1"/>
      <c r="KS207" s="1"/>
      <c r="KT207" s="1"/>
      <c r="KU207" s="1"/>
      <c r="KV207" s="1"/>
      <c r="KW207" s="1"/>
      <c r="KX207" s="1"/>
      <c r="KY207" s="1"/>
      <c r="KZ207" s="1"/>
      <c r="LA207" s="1"/>
      <c r="LB207" s="1"/>
      <c r="LC207" s="1"/>
      <c r="LD207" s="1"/>
      <c r="LE207" s="1"/>
      <c r="LF207" s="1"/>
      <c r="LG207" s="1"/>
      <c r="LH207" s="1"/>
      <c r="LI207" s="1"/>
      <c r="LJ207" s="1"/>
      <c r="LK207" s="1"/>
      <c r="LL207" s="1"/>
      <c r="LM207" s="1"/>
      <c r="LN207" s="1"/>
      <c r="LO207" s="1"/>
      <c r="LP207" s="1"/>
      <c r="LQ207" s="1"/>
      <c r="LR207" s="1"/>
      <c r="LS207" s="1"/>
      <c r="LT207" s="1"/>
      <c r="LU207" s="1"/>
      <c r="LV207" s="1"/>
      <c r="LW207" s="1"/>
      <c r="LX207" s="1"/>
      <c r="LY207" s="1"/>
      <c r="LZ207" s="1"/>
      <c r="MA207" s="1"/>
      <c r="MB207" s="1"/>
      <c r="MC207" s="1"/>
      <c r="MD207" s="1"/>
    </row>
    <row r="208" spans="1:342" s="347" customFormat="1" x14ac:dyDescent="0.35">
      <c r="A208" s="327" t="s">
        <v>1174</v>
      </c>
      <c r="B208" s="290" t="str">
        <f>IF(Technologies!B208&lt;&gt;0,Technologies!B208,"")</f>
        <v>Bunkerbrandstoffen</v>
      </c>
      <c r="C208" s="290" t="str">
        <f>VLOOKUP($A208,Technologies!$A$7:$H$576,3,FALSE)</f>
        <v>Final</v>
      </c>
      <c r="D208" s="290" t="str">
        <f>VLOOKUP($A208,Technologies!$A$7:$H$576,4,FALSE)</f>
        <v>Transport</v>
      </c>
      <c r="E208" s="290" t="str">
        <f>VLOOKUP($A208,Technologies!$A$7:$H$576,6,FALSE)</f>
        <v>Renewable H2 Credit</v>
      </c>
      <c r="F208" s="291" t="str">
        <f>VLOOKUP($A208,Technologies!$A$7:$H$576,7,FALSE)</f>
        <v xml:space="preserve">H2 Credits for Aviation </v>
      </c>
      <c r="G208" s="350"/>
      <c r="H208" s="350"/>
      <c r="I208" s="351"/>
      <c r="J208" s="351"/>
      <c r="K208" s="351"/>
      <c r="L208" s="351"/>
      <c r="M208" s="350"/>
      <c r="N208" s="311" t="str">
        <f>VLOOKUP(E208,Activities!$A$9:$M$227,13,FALSE)</f>
        <v>NL</v>
      </c>
      <c r="O208" s="350">
        <v>1</v>
      </c>
      <c r="P208" s="289"/>
      <c r="Q208" s="352"/>
      <c r="R208" s="352"/>
      <c r="S208" s="352"/>
      <c r="T208" s="352"/>
      <c r="U208" s="352"/>
      <c r="V208" s="352"/>
      <c r="W208" s="352"/>
      <c r="X208" s="352"/>
      <c r="Y208" s="352"/>
      <c r="Z208" s="352"/>
      <c r="AA208" s="352"/>
      <c r="AB208" s="352"/>
      <c r="AC208" s="352"/>
      <c r="AD208" s="352"/>
      <c r="AE208" s="352"/>
      <c r="AF208" s="352"/>
      <c r="AG208" s="352"/>
      <c r="AH208" s="352"/>
      <c r="AI208" s="352"/>
      <c r="AJ208" s="352"/>
      <c r="AK208" s="352"/>
      <c r="AL208" s="352"/>
      <c r="AM208" s="352"/>
      <c r="AN208" s="352"/>
      <c r="AO208" s="352"/>
      <c r="AP208" s="352"/>
      <c r="AQ208" s="352"/>
      <c r="AR208" s="352"/>
      <c r="AS208" s="352"/>
      <c r="AT208" s="352"/>
      <c r="AU208" s="352"/>
      <c r="AV208" s="352"/>
      <c r="AW208" s="352"/>
      <c r="AX208" s="352"/>
      <c r="AY208" s="352"/>
      <c r="AZ208" s="352"/>
      <c r="BA208" s="352"/>
      <c r="BB208" s="352"/>
      <c r="BC208" s="352"/>
      <c r="BD208" s="352"/>
      <c r="BE208" s="352"/>
      <c r="BF208" s="352"/>
      <c r="BG208" s="352"/>
      <c r="BH208" s="352"/>
      <c r="BI208" s="352"/>
      <c r="BJ208" s="352"/>
      <c r="BK208" s="352"/>
      <c r="BL208" s="352"/>
      <c r="BM208" s="352"/>
      <c r="BN208" s="352"/>
      <c r="BO208" s="352"/>
      <c r="BP208" s="352"/>
      <c r="BQ208" s="352"/>
      <c r="BR208" s="352"/>
      <c r="BS208" s="352"/>
      <c r="BT208" s="352"/>
      <c r="BU208" s="352"/>
      <c r="BV208" s="352"/>
      <c r="BW208" s="352"/>
      <c r="BX208" s="352"/>
      <c r="BY208" s="352"/>
      <c r="BZ208" s="352"/>
      <c r="CA208" s="352"/>
      <c r="CB208" s="352"/>
      <c r="CC208" s="352"/>
      <c r="CD208" s="352"/>
      <c r="CE208" s="352"/>
      <c r="CF208" s="352"/>
      <c r="CG208" s="352"/>
      <c r="CH208" s="352"/>
      <c r="CI208" s="352"/>
      <c r="CJ208" s="352"/>
      <c r="CK208" s="352"/>
      <c r="CL208" s="352"/>
      <c r="CM208" s="352"/>
      <c r="CN208" s="352"/>
      <c r="CO208" s="352"/>
      <c r="CP208" s="352"/>
      <c r="CQ208" s="352"/>
      <c r="CR208" s="352"/>
      <c r="CS208" s="352"/>
      <c r="CT208" s="352"/>
      <c r="CU208" s="352"/>
      <c r="CV208" s="352"/>
      <c r="CW208" s="352"/>
      <c r="CX208" s="352"/>
      <c r="CY208" s="352"/>
      <c r="CZ208" s="352"/>
      <c r="DA208" s="352"/>
      <c r="DB208" s="352"/>
      <c r="DC208" s="352"/>
      <c r="DD208" s="352"/>
      <c r="DE208" s="352"/>
      <c r="DF208" s="352"/>
      <c r="DG208" s="352"/>
      <c r="DH208" s="352"/>
      <c r="DI208" s="352"/>
      <c r="DJ208" s="352"/>
      <c r="DK208" s="352"/>
      <c r="DL208" s="352"/>
      <c r="DM208" s="352"/>
      <c r="DN208" s="352"/>
      <c r="DO208" s="352"/>
      <c r="DP208" s="352"/>
      <c r="DQ208" s="352"/>
      <c r="DR208" s="352"/>
      <c r="DS208" s="352"/>
      <c r="DT208" s="352"/>
      <c r="DU208" s="352"/>
      <c r="DV208" s="352"/>
      <c r="DW208" s="352"/>
      <c r="DX208" s="352"/>
      <c r="DY208" s="352"/>
      <c r="DZ208" s="352"/>
      <c r="EA208" s="352"/>
      <c r="EB208" s="352"/>
      <c r="EC208" s="352"/>
      <c r="ED208" s="352"/>
      <c r="EE208" s="352"/>
      <c r="EF208" s="352"/>
      <c r="EG208" s="352"/>
      <c r="EH208" s="352"/>
      <c r="EI208" s="352"/>
      <c r="EJ208" s="352"/>
      <c r="EK208" s="352"/>
      <c r="EL208" s="352"/>
      <c r="EM208" s="352"/>
      <c r="EN208" s="352"/>
      <c r="EO208" s="352">
        <v>-1</v>
      </c>
      <c r="EP208" s="352"/>
      <c r="EQ208" s="352"/>
      <c r="ER208" s="352"/>
      <c r="ES208" s="352"/>
      <c r="ET208" s="352"/>
      <c r="EU208" s="352"/>
      <c r="EV208" s="352"/>
      <c r="EW208" s="352"/>
      <c r="EX208" s="352"/>
      <c r="EY208" s="352"/>
      <c r="EZ208" s="352"/>
      <c r="FA208" s="352"/>
      <c r="FB208" s="352"/>
      <c r="FC208" s="352"/>
      <c r="FD208" s="352"/>
      <c r="FE208" s="352"/>
      <c r="FF208" s="352"/>
      <c r="FG208" s="352"/>
      <c r="FH208" s="352"/>
      <c r="FI208" s="352"/>
      <c r="FJ208" s="352"/>
      <c r="FK208" s="352"/>
      <c r="FL208" s="352"/>
      <c r="FM208" s="352"/>
      <c r="FN208" s="352"/>
      <c r="FO208" s="352"/>
      <c r="FP208" s="352"/>
      <c r="FQ208" s="352"/>
      <c r="FR208" s="352"/>
      <c r="FS208" s="352"/>
      <c r="FT208" s="352"/>
      <c r="FU208" s="352"/>
      <c r="FV208" s="352"/>
      <c r="FW208" s="352"/>
      <c r="FX208" s="352"/>
      <c r="FY208" s="352"/>
      <c r="FZ208" s="352"/>
      <c r="GA208" s="352"/>
      <c r="GB208" s="353"/>
      <c r="GC208" s="179">
        <f t="shared" si="37"/>
        <v>0</v>
      </c>
      <c r="GD208" s="179">
        <f t="shared" si="38"/>
        <v>0</v>
      </c>
      <c r="GE208" s="179">
        <f t="shared" si="39"/>
        <v>0</v>
      </c>
      <c r="GF208" s="179">
        <f t="shared" si="40"/>
        <v>0</v>
      </c>
      <c r="GG208" s="179">
        <f t="shared" si="36"/>
        <v>0</v>
      </c>
      <c r="GI208" s="1"/>
      <c r="GJ208" s="1"/>
      <c r="GK208" s="1"/>
      <c r="GL208" s="1"/>
      <c r="GM208" s="1"/>
      <c r="GN208" s="1"/>
      <c r="GO208" s="1"/>
      <c r="GP208" s="1"/>
      <c r="GQ208" s="1"/>
      <c r="GR208" s="1"/>
      <c r="GS208" s="1"/>
      <c r="GT208" s="1"/>
      <c r="GU208" s="1"/>
      <c r="GV208" s="1"/>
      <c r="GW208" s="1"/>
      <c r="GX208" s="1"/>
      <c r="GY208" s="1"/>
      <c r="GZ208" s="1"/>
      <c r="HA208" s="1"/>
      <c r="HB208" s="1"/>
      <c r="HC208" s="1"/>
      <c r="HD208" s="1"/>
      <c r="HE208" s="1"/>
      <c r="HF208" s="1"/>
      <c r="HG208" s="1"/>
      <c r="HH208" s="1"/>
      <c r="HI208" s="1"/>
      <c r="HJ208" s="1"/>
      <c r="HK208" s="1"/>
      <c r="HL208" s="1"/>
      <c r="HM208" s="1"/>
      <c r="HN208" s="1"/>
      <c r="HO208" s="1"/>
      <c r="HP208" s="1"/>
      <c r="HQ208" s="1"/>
      <c r="HR208" s="1"/>
      <c r="HS208" s="1"/>
      <c r="HT208" s="1"/>
      <c r="HU208" s="1"/>
      <c r="HV208" s="1"/>
      <c r="HW208" s="1"/>
      <c r="HX208" s="1"/>
      <c r="HY208" s="1"/>
      <c r="HZ208" s="1"/>
      <c r="IA208" s="1"/>
      <c r="IB208" s="1"/>
      <c r="IC208" s="1"/>
      <c r="ID208" s="1"/>
      <c r="IE208" s="1"/>
      <c r="IF208" s="1"/>
      <c r="IG208" s="1"/>
      <c r="IH208" s="1"/>
      <c r="II208" s="1"/>
      <c r="IJ208" s="1"/>
      <c r="IK208" s="1"/>
      <c r="IL208" s="1"/>
      <c r="IM208" s="1"/>
      <c r="IN208" s="1"/>
      <c r="IO208" s="1"/>
      <c r="IP208" s="1"/>
      <c r="IQ208" s="1"/>
      <c r="IR208" s="1"/>
      <c r="IS208" s="1"/>
      <c r="IT208" s="1"/>
      <c r="IU208" s="1"/>
      <c r="IV208" s="1"/>
      <c r="IW208" s="1"/>
      <c r="IX208" s="1"/>
      <c r="IY208" s="1"/>
      <c r="IZ208" s="1"/>
      <c r="JA208" s="1"/>
      <c r="JB208" s="1"/>
      <c r="JC208" s="1"/>
      <c r="JD208" s="1"/>
      <c r="JE208" s="1"/>
      <c r="JF208" s="1"/>
      <c r="JG208" s="1"/>
      <c r="JH208" s="1"/>
      <c r="JI208" s="1"/>
      <c r="JJ208" s="1"/>
      <c r="JK208" s="1"/>
      <c r="JL208" s="1"/>
      <c r="JM208" s="1"/>
      <c r="JN208" s="1"/>
      <c r="JO208" s="1"/>
      <c r="JP208" s="1"/>
      <c r="JQ208" s="1"/>
      <c r="JR208" s="1"/>
      <c r="JS208" s="1"/>
      <c r="JT208" s="1"/>
      <c r="JU208" s="1"/>
      <c r="JV208" s="1"/>
      <c r="JW208" s="1"/>
      <c r="JX208" s="1"/>
      <c r="JY208" s="1"/>
      <c r="JZ208" s="1"/>
      <c r="KA208" s="1"/>
      <c r="KB208" s="1"/>
      <c r="KC208" s="1"/>
      <c r="KD208" s="1"/>
      <c r="KE208" s="1"/>
      <c r="KF208" s="1"/>
      <c r="KG208" s="1"/>
      <c r="KH208" s="1"/>
      <c r="KI208" s="1"/>
      <c r="KJ208" s="1"/>
      <c r="KK208" s="1"/>
      <c r="KL208" s="1"/>
      <c r="KM208" s="1"/>
      <c r="KN208" s="1"/>
      <c r="KO208" s="1"/>
      <c r="KP208" s="1"/>
      <c r="KQ208" s="1"/>
      <c r="KR208" s="1"/>
      <c r="KS208" s="1"/>
      <c r="KT208" s="1"/>
      <c r="KU208" s="1"/>
      <c r="KV208" s="1"/>
      <c r="KW208" s="1"/>
      <c r="KX208" s="1"/>
      <c r="KY208" s="1"/>
      <c r="KZ208" s="1"/>
      <c r="LA208" s="1"/>
      <c r="LB208" s="1"/>
      <c r="LC208" s="1"/>
      <c r="LD208" s="1"/>
      <c r="LE208" s="1"/>
      <c r="LF208" s="1"/>
      <c r="LG208" s="1"/>
      <c r="LH208" s="1"/>
      <c r="LI208" s="1"/>
      <c r="LJ208" s="1"/>
      <c r="LK208" s="1"/>
      <c r="LL208" s="1"/>
      <c r="LM208" s="1"/>
      <c r="LN208" s="1"/>
      <c r="LO208" s="1"/>
      <c r="LP208" s="1"/>
      <c r="LQ208" s="1"/>
      <c r="LR208" s="1"/>
      <c r="LS208" s="1"/>
      <c r="LT208" s="1"/>
      <c r="LU208" s="1"/>
      <c r="LV208" s="1"/>
      <c r="LW208" s="1"/>
      <c r="LX208" s="1"/>
      <c r="LY208" s="1"/>
      <c r="LZ208" s="1"/>
      <c r="MA208" s="1"/>
      <c r="MB208" s="1"/>
      <c r="MC208" s="1"/>
      <c r="MD208" s="1"/>
    </row>
    <row r="209" spans="1:342" s="347" customFormat="1" x14ac:dyDescent="0.35">
      <c r="A209" s="327" t="s">
        <v>1176</v>
      </c>
      <c r="B209" s="290" t="str">
        <f>IF(Technologies!B209&lt;&gt;0,Technologies!B209,"")</f>
        <v>Bunkerbrandstoffen</v>
      </c>
      <c r="C209" s="290" t="str">
        <f>VLOOKUP($A209,Technologies!$A$7:$H$576,3,FALSE)</f>
        <v>Final</v>
      </c>
      <c r="D209" s="290" t="str">
        <f>VLOOKUP($A209,Technologies!$A$7:$H$576,4,FALSE)</f>
        <v>Transport</v>
      </c>
      <c r="E209" s="290" t="str">
        <f>VLOOKUP($A209,Technologies!$A$7:$H$576,6,FALSE)</f>
        <v>Renewable CO2 Credit</v>
      </c>
      <c r="F209" s="291" t="str">
        <f>VLOOKUP($A209,Technologies!$A$7:$H$576,7,FALSE)</f>
        <v xml:space="preserve">CO2 Credits for Aviation </v>
      </c>
      <c r="G209" s="350"/>
      <c r="H209" s="350"/>
      <c r="I209" s="351"/>
      <c r="J209" s="351"/>
      <c r="K209" s="351"/>
      <c r="L209" s="351"/>
      <c r="M209" s="350"/>
      <c r="N209" s="311" t="str">
        <f>VLOOKUP(E209,Activities!$A$9:$M$227,13,FALSE)</f>
        <v>NL</v>
      </c>
      <c r="O209" s="350">
        <v>1</v>
      </c>
      <c r="P209" s="289"/>
      <c r="Q209" s="352"/>
      <c r="R209" s="352"/>
      <c r="S209" s="352"/>
      <c r="T209" s="352"/>
      <c r="U209" s="352"/>
      <c r="V209" s="352"/>
      <c r="W209" s="352"/>
      <c r="X209" s="352"/>
      <c r="Y209" s="352"/>
      <c r="Z209" s="352"/>
      <c r="AA209" s="352"/>
      <c r="AB209" s="352"/>
      <c r="AC209" s="352"/>
      <c r="AD209" s="352"/>
      <c r="AE209" s="352"/>
      <c r="AF209" s="352"/>
      <c r="AG209" s="352"/>
      <c r="AH209" s="352"/>
      <c r="AI209" s="352"/>
      <c r="AJ209" s="352"/>
      <c r="AK209" s="352"/>
      <c r="AL209" s="352"/>
      <c r="AM209" s="352"/>
      <c r="AN209" s="352"/>
      <c r="AO209" s="352"/>
      <c r="AP209" s="352"/>
      <c r="AQ209" s="352"/>
      <c r="AR209" s="352"/>
      <c r="AS209" s="352"/>
      <c r="AT209" s="352"/>
      <c r="AU209" s="352"/>
      <c r="AV209" s="352"/>
      <c r="AW209" s="352"/>
      <c r="AX209" s="352"/>
      <c r="AY209" s="352"/>
      <c r="AZ209" s="352"/>
      <c r="BA209" s="352"/>
      <c r="BB209" s="352"/>
      <c r="BC209" s="352"/>
      <c r="BD209" s="352"/>
      <c r="BE209" s="352"/>
      <c r="BF209" s="352"/>
      <c r="BG209" s="352"/>
      <c r="BH209" s="352"/>
      <c r="BI209" s="352"/>
      <c r="BJ209" s="352"/>
      <c r="BK209" s="352"/>
      <c r="BL209" s="352"/>
      <c r="BM209" s="352"/>
      <c r="BN209" s="352"/>
      <c r="BO209" s="352"/>
      <c r="BP209" s="352"/>
      <c r="BQ209" s="352"/>
      <c r="BR209" s="352"/>
      <c r="BS209" s="352"/>
      <c r="BT209" s="352"/>
      <c r="BU209" s="352"/>
      <c r="BV209" s="352"/>
      <c r="BW209" s="352"/>
      <c r="BX209" s="352"/>
      <c r="BY209" s="352"/>
      <c r="BZ209" s="352"/>
      <c r="CA209" s="352"/>
      <c r="CB209" s="352"/>
      <c r="CC209" s="352"/>
      <c r="CD209" s="352"/>
      <c r="CE209" s="352"/>
      <c r="CF209" s="352"/>
      <c r="CG209" s="352"/>
      <c r="CH209" s="352"/>
      <c r="CI209" s="352"/>
      <c r="CJ209" s="352"/>
      <c r="CK209" s="352"/>
      <c r="CL209" s="352"/>
      <c r="CM209" s="352"/>
      <c r="CN209" s="352"/>
      <c r="CO209" s="352"/>
      <c r="CP209" s="352"/>
      <c r="CQ209" s="352"/>
      <c r="CR209" s="352"/>
      <c r="CS209" s="352"/>
      <c r="CT209" s="352"/>
      <c r="CU209" s="352"/>
      <c r="CV209" s="352"/>
      <c r="CW209" s="352"/>
      <c r="CX209" s="352"/>
      <c r="CY209" s="352"/>
      <c r="CZ209" s="352"/>
      <c r="DA209" s="352"/>
      <c r="DB209" s="352"/>
      <c r="DC209" s="352"/>
      <c r="DD209" s="352"/>
      <c r="DE209" s="352"/>
      <c r="DF209" s="352"/>
      <c r="DG209" s="352"/>
      <c r="DH209" s="352"/>
      <c r="DI209" s="352"/>
      <c r="DJ209" s="352"/>
      <c r="DK209" s="352"/>
      <c r="DL209" s="352"/>
      <c r="DM209" s="352"/>
      <c r="DN209" s="352"/>
      <c r="DO209" s="352"/>
      <c r="DP209" s="352"/>
      <c r="DQ209" s="352"/>
      <c r="DR209" s="352"/>
      <c r="DS209" s="352"/>
      <c r="DT209" s="352"/>
      <c r="DU209" s="352"/>
      <c r="DV209" s="352"/>
      <c r="DW209" s="352"/>
      <c r="DX209" s="352"/>
      <c r="DY209" s="352"/>
      <c r="DZ209" s="352"/>
      <c r="EA209" s="352"/>
      <c r="EB209" s="352"/>
      <c r="EC209" s="352"/>
      <c r="ED209" s="352"/>
      <c r="EE209" s="352"/>
      <c r="EF209" s="352"/>
      <c r="EG209" s="352"/>
      <c r="EH209" s="352"/>
      <c r="EI209" s="352"/>
      <c r="EJ209" s="352"/>
      <c r="EK209" s="352"/>
      <c r="EL209" s="352"/>
      <c r="EM209" s="352"/>
      <c r="EN209" s="352"/>
      <c r="EO209" s="352"/>
      <c r="EP209" s="352"/>
      <c r="EQ209" s="352"/>
      <c r="ER209" s="352"/>
      <c r="ES209" s="352"/>
      <c r="ET209" s="352"/>
      <c r="EU209" s="352"/>
      <c r="EV209" s="352"/>
      <c r="EW209" s="352"/>
      <c r="EX209" s="352"/>
      <c r="EY209" s="352"/>
      <c r="EZ209" s="352"/>
      <c r="FA209" s="352"/>
      <c r="FB209" s="352"/>
      <c r="FC209" s="352"/>
      <c r="FD209" s="352"/>
      <c r="FE209" s="352"/>
      <c r="FF209" s="352"/>
      <c r="FG209" s="352"/>
      <c r="FH209" s="352"/>
      <c r="FI209" s="352"/>
      <c r="FJ209" s="352"/>
      <c r="FK209" s="352"/>
      <c r="FL209" s="352"/>
      <c r="FM209" s="352"/>
      <c r="FN209" s="352"/>
      <c r="FO209" s="352"/>
      <c r="FP209" s="352"/>
      <c r="FQ209" s="352"/>
      <c r="FR209" s="352"/>
      <c r="FS209" s="352"/>
      <c r="FT209" s="352"/>
      <c r="FU209" s="352"/>
      <c r="FV209" s="352"/>
      <c r="FW209" s="352"/>
      <c r="FX209" s="352"/>
      <c r="FY209" s="352"/>
      <c r="FZ209" s="352"/>
      <c r="GA209" s="352"/>
      <c r="GB209" s="353">
        <v>-1</v>
      </c>
      <c r="GC209" s="178">
        <f t="shared" si="37"/>
        <v>0</v>
      </c>
      <c r="GD209" s="178">
        <f t="shared" si="38"/>
        <v>0</v>
      </c>
      <c r="GE209" s="178">
        <f t="shared" si="39"/>
        <v>0</v>
      </c>
      <c r="GF209" s="178">
        <f t="shared" si="40"/>
        <v>0</v>
      </c>
      <c r="GG209" s="178">
        <f t="shared" si="36"/>
        <v>0</v>
      </c>
      <c r="GI209" s="1"/>
      <c r="GJ209" s="1"/>
      <c r="GK209" s="1"/>
      <c r="GL209" s="1"/>
      <c r="GM209" s="1"/>
      <c r="GN209" s="1"/>
      <c r="GO209" s="1"/>
      <c r="GP209" s="1"/>
      <c r="GQ209" s="1"/>
      <c r="GR209" s="1"/>
      <c r="GS209" s="1"/>
      <c r="GT209" s="1"/>
      <c r="GU209" s="1"/>
      <c r="GV209" s="1"/>
      <c r="GW209" s="1"/>
      <c r="GX209" s="1"/>
      <c r="GY209" s="1"/>
      <c r="GZ209" s="1"/>
      <c r="HA209" s="1"/>
      <c r="HB209" s="1"/>
      <c r="HC209" s="1"/>
      <c r="HD209" s="1"/>
      <c r="HE209" s="1"/>
      <c r="HF209" s="1"/>
      <c r="HG209" s="1"/>
      <c r="HH209" s="1"/>
      <c r="HI209" s="1"/>
      <c r="HJ209" s="1"/>
      <c r="HK209" s="1"/>
      <c r="HL209" s="1"/>
      <c r="HM209" s="1"/>
      <c r="HN209" s="1"/>
      <c r="HO209" s="1"/>
      <c r="HP209" s="1"/>
      <c r="HQ209" s="1"/>
      <c r="HR209" s="1"/>
      <c r="HS209" s="1"/>
      <c r="HT209" s="1"/>
      <c r="HU209" s="1"/>
      <c r="HV209" s="1"/>
      <c r="HW209" s="1"/>
      <c r="HX209" s="1"/>
      <c r="HY209" s="1"/>
      <c r="HZ209" s="1"/>
      <c r="IA209" s="1"/>
      <c r="IB209" s="1"/>
      <c r="IC209" s="1"/>
      <c r="ID209" s="1"/>
      <c r="IE209" s="1"/>
      <c r="IF209" s="1"/>
      <c r="IG209" s="1"/>
      <c r="IH209" s="1"/>
      <c r="II209" s="1"/>
      <c r="IJ209" s="1"/>
      <c r="IK209" s="1"/>
      <c r="IL209" s="1"/>
      <c r="IM209" s="1"/>
      <c r="IN209" s="1"/>
      <c r="IO209" s="1"/>
      <c r="IP209" s="1"/>
      <c r="IQ209" s="1"/>
      <c r="IR209" s="1"/>
      <c r="IS209" s="1"/>
      <c r="IT209" s="1"/>
      <c r="IU209" s="1"/>
      <c r="IV209" s="1"/>
      <c r="IW209" s="1"/>
      <c r="IX209" s="1"/>
      <c r="IY209" s="1"/>
      <c r="IZ209" s="1"/>
      <c r="JA209" s="1"/>
      <c r="JB209" s="1"/>
      <c r="JC209" s="1"/>
      <c r="JD209" s="1"/>
      <c r="JE209" s="1"/>
      <c r="JF209" s="1"/>
      <c r="JG209" s="1"/>
      <c r="JH209" s="1"/>
      <c r="JI209" s="1"/>
      <c r="JJ209" s="1"/>
      <c r="JK209" s="1"/>
      <c r="JL209" s="1"/>
      <c r="JM209" s="1"/>
      <c r="JN209" s="1"/>
      <c r="JO209" s="1"/>
      <c r="JP209" s="1"/>
      <c r="JQ209" s="1"/>
      <c r="JR209" s="1"/>
      <c r="JS209" s="1"/>
      <c r="JT209" s="1"/>
      <c r="JU209" s="1"/>
      <c r="JV209" s="1"/>
      <c r="JW209" s="1"/>
      <c r="JX209" s="1"/>
      <c r="JY209" s="1"/>
      <c r="JZ209" s="1"/>
      <c r="KA209" s="1"/>
      <c r="KB209" s="1"/>
      <c r="KC209" s="1"/>
      <c r="KD209" s="1"/>
      <c r="KE209" s="1"/>
      <c r="KF209" s="1"/>
      <c r="KG209" s="1"/>
      <c r="KH209" s="1"/>
      <c r="KI209" s="1"/>
      <c r="KJ209" s="1"/>
      <c r="KK209" s="1"/>
      <c r="KL209" s="1"/>
      <c r="KM209" s="1"/>
      <c r="KN209" s="1"/>
      <c r="KO209" s="1"/>
      <c r="KP209" s="1"/>
      <c r="KQ209" s="1"/>
      <c r="KR209" s="1"/>
      <c r="KS209" s="1"/>
      <c r="KT209" s="1"/>
      <c r="KU209" s="1"/>
      <c r="KV209" s="1"/>
      <c r="KW209" s="1"/>
      <c r="KX209" s="1"/>
      <c r="KY209" s="1"/>
      <c r="KZ209" s="1"/>
      <c r="LA209" s="1"/>
      <c r="LB209" s="1"/>
      <c r="LC209" s="1"/>
      <c r="LD209" s="1"/>
      <c r="LE209" s="1"/>
      <c r="LF209" s="1"/>
      <c r="LG209" s="1"/>
      <c r="LH209" s="1"/>
      <c r="LI209" s="1"/>
      <c r="LJ209" s="1"/>
      <c r="LK209" s="1"/>
      <c r="LL209" s="1"/>
      <c r="LM209" s="1"/>
      <c r="LN209" s="1"/>
      <c r="LO209" s="1"/>
      <c r="LP209" s="1"/>
      <c r="LQ209" s="1"/>
      <c r="LR209" s="1"/>
      <c r="LS209" s="1"/>
      <c r="LT209" s="1"/>
      <c r="LU209" s="1"/>
      <c r="LV209" s="1"/>
      <c r="LW209" s="1"/>
      <c r="LX209" s="1"/>
      <c r="LY209" s="1"/>
      <c r="LZ209" s="1"/>
      <c r="MA209" s="1"/>
      <c r="MB209" s="1"/>
      <c r="MC209" s="1"/>
      <c r="MD209" s="1"/>
    </row>
    <row r="210" spans="1:342" x14ac:dyDescent="0.35">
      <c r="A210" s="6" t="s">
        <v>1178</v>
      </c>
      <c r="B210" s="6" t="str">
        <f>IF(Technologies!B210&lt;&gt;0,Technologies!B210,"")</f>
        <v>Gebouwde omgeving</v>
      </c>
      <c r="C210" s="6" t="str">
        <f>VLOOKUP($A210,Technologies!$A$7:$H$576,3,FALSE)</f>
        <v>Emission</v>
      </c>
      <c r="D210" s="6" t="str">
        <f>VLOOKUP($A210,Technologies!$A$7:$H$576,4,FALSE)</f>
        <v>Residential</v>
      </c>
      <c r="E210" s="6" t="str">
        <f>VLOOKUP($A210,Technologies!$A$7:$H$576,6,FALSE)</f>
        <v xml:space="preserve">neGHG - Residential - CO2 </v>
      </c>
      <c r="F210" s="48" t="str">
        <f>VLOOKUP($A210,Technologies!$A$7:$H$576,7,FALSE)</f>
        <v>Indirect - CO2 Residential</v>
      </c>
      <c r="G210" s="22"/>
      <c r="H210" s="22"/>
      <c r="I210" s="103" cm="1">
        <f t="array" ref="I210">-SUMPRODUCT((Feedstocks!$C$4:$C$141=A210)*Feedstocks!$E$4:$E$141,Feedstocks!$F$4:$F$141,Feedstocks!$H$4:$H$141,Feedstocks!$I$4:$I$141)</f>
        <v>0</v>
      </c>
      <c r="J210" s="103" cm="1">
        <f t="array" ref="J210">-SUMPRODUCT((Feedstocks!$C$4:$C$141=A210)*Feedstocks!$E$4:$E$141,Feedstocks!$H$4:$H$141,Feedstocks!$I$4:$I$141)</f>
        <v>0</v>
      </c>
      <c r="K210" s="103"/>
      <c r="L210" s="103"/>
      <c r="M210" s="22"/>
      <c r="N210" s="22" t="str">
        <f>VLOOKUP(E210,Activities!$A$9:$M$227,13,FALSE)</f>
        <v>NL</v>
      </c>
      <c r="O210" s="22"/>
      <c r="P210" s="80" t="s">
        <v>663</v>
      </c>
      <c r="Q210" s="36"/>
      <c r="R210" s="36"/>
      <c r="S210" s="36"/>
      <c r="T210" s="36"/>
      <c r="U210" s="36"/>
      <c r="V210" s="36"/>
      <c r="W210" s="36"/>
      <c r="X210" s="36"/>
      <c r="Y210" s="36"/>
      <c r="Z210" s="36"/>
      <c r="AA210" s="36"/>
      <c r="AB210" s="36"/>
      <c r="AC210" s="36"/>
      <c r="AD210" s="36"/>
      <c r="AE210" s="36"/>
      <c r="AF210" s="36"/>
      <c r="AG210" s="36"/>
      <c r="AH210" s="36"/>
      <c r="AI210" s="36"/>
      <c r="AJ210" s="36"/>
      <c r="AK210" s="36"/>
      <c r="AL210" s="36"/>
      <c r="AM210" s="36"/>
      <c r="AN210" s="36"/>
      <c r="AO210" s="36"/>
      <c r="AP210" s="36"/>
      <c r="AQ210" s="36"/>
      <c r="AR210" s="36"/>
      <c r="AS210" s="36"/>
      <c r="AT210" s="36"/>
      <c r="AU210" s="36"/>
      <c r="AV210" s="36"/>
      <c r="AW210" s="36"/>
      <c r="AX210" s="36"/>
      <c r="AY210" s="36"/>
      <c r="AZ210" s="36"/>
      <c r="BA210" s="36"/>
      <c r="BB210" s="36"/>
      <c r="BC210" s="36"/>
      <c r="BD210" s="36"/>
      <c r="BE210" s="36"/>
      <c r="BF210" s="36"/>
      <c r="BG210" s="36"/>
      <c r="BH210" s="36"/>
      <c r="BI210" s="36"/>
      <c r="BJ210" s="36"/>
      <c r="BK210" s="36">
        <v>1</v>
      </c>
      <c r="BL210" s="36"/>
      <c r="BM210" s="36"/>
      <c r="BN210" s="36"/>
      <c r="BO210" s="36"/>
      <c r="BP210" s="36"/>
      <c r="BQ210" s="36"/>
      <c r="BR210" s="36"/>
      <c r="BS210" s="36"/>
      <c r="BT210" s="36"/>
      <c r="BU210" s="36"/>
      <c r="BV210" s="36"/>
      <c r="BW210" s="36"/>
      <c r="BX210" s="36"/>
      <c r="BY210" s="36"/>
      <c r="BZ210" s="36"/>
      <c r="CA210" s="36"/>
      <c r="CB210" s="36"/>
      <c r="CC210" s="36"/>
      <c r="CD210" s="36"/>
      <c r="CE210" s="36"/>
      <c r="CF210" s="36"/>
      <c r="CG210" s="36"/>
      <c r="CH210" s="36"/>
      <c r="CI210" s="36"/>
      <c r="CJ210" s="36"/>
      <c r="CK210" s="36"/>
      <c r="CL210" s="36"/>
      <c r="CM210" s="36"/>
      <c r="CN210" s="36"/>
      <c r="CO210" s="36"/>
      <c r="CP210" s="36"/>
      <c r="CQ210" s="36"/>
      <c r="CR210" s="36"/>
      <c r="CS210" s="36"/>
      <c r="CT210" s="36"/>
      <c r="CU210" s="36"/>
      <c r="CV210" s="36"/>
      <c r="CW210" s="36"/>
      <c r="CX210" s="36"/>
      <c r="CY210" s="36"/>
      <c r="CZ210" s="36"/>
      <c r="DA210" s="36"/>
      <c r="DB210" s="36"/>
      <c r="DC210" s="36"/>
      <c r="DD210" s="36"/>
      <c r="DE210" s="36"/>
      <c r="DF210" s="36"/>
      <c r="DG210" s="36"/>
      <c r="DH210" s="36"/>
      <c r="DI210" s="36"/>
      <c r="DJ210" s="36"/>
      <c r="DK210" s="36"/>
      <c r="DL210" s="36"/>
      <c r="DM210" s="36"/>
      <c r="DN210" s="36"/>
      <c r="DO210" s="36"/>
      <c r="DP210" s="36"/>
      <c r="DQ210" s="36"/>
      <c r="DR210" s="36"/>
      <c r="DS210" s="36"/>
      <c r="DT210" s="36"/>
      <c r="DU210" s="36"/>
      <c r="DV210" s="36"/>
      <c r="DW210" s="36"/>
      <c r="DX210" s="36"/>
      <c r="DY210" s="36"/>
      <c r="DZ210" s="36"/>
      <c r="EA210" s="36"/>
      <c r="EB210" s="36"/>
      <c r="EC210" s="36"/>
      <c r="ED210" s="36"/>
      <c r="EE210" s="36"/>
      <c r="EF210" s="36"/>
      <c r="EG210" s="36"/>
      <c r="EH210" s="36"/>
      <c r="EI210" s="36"/>
      <c r="EJ210" s="36"/>
      <c r="EK210" s="36"/>
      <c r="EL210" s="36"/>
      <c r="EM210" s="36"/>
      <c r="EN210" s="36"/>
      <c r="EO210" s="36"/>
      <c r="EP210" s="36"/>
      <c r="EQ210" s="36"/>
      <c r="ER210" s="36"/>
      <c r="ES210" s="36"/>
      <c r="ET210" s="36"/>
      <c r="EU210" s="36"/>
      <c r="EV210" s="36"/>
      <c r="EW210" s="36"/>
      <c r="EX210" s="36"/>
      <c r="EY210" s="36"/>
      <c r="EZ210" s="36"/>
      <c r="FA210" s="36"/>
      <c r="FB210" s="36"/>
      <c r="FC210" s="36"/>
      <c r="FD210" s="36"/>
      <c r="FE210" s="36"/>
      <c r="FF210" s="36"/>
      <c r="FG210" s="36"/>
      <c r="FH210" s="36"/>
      <c r="FI210" s="36"/>
      <c r="FJ210" s="36"/>
      <c r="FK210" s="36"/>
      <c r="FL210" s="36"/>
      <c r="FM210" s="36"/>
      <c r="FN210" s="36"/>
      <c r="FO210" s="36">
        <v>1</v>
      </c>
      <c r="FP210" s="36"/>
      <c r="FQ210" s="36"/>
      <c r="FR210" s="36"/>
      <c r="FS210" s="36"/>
      <c r="FT210" s="36"/>
      <c r="FU210" s="36"/>
      <c r="FV210" s="36"/>
      <c r="FW210" s="36"/>
      <c r="FX210" s="36"/>
      <c r="FY210" s="36"/>
      <c r="FZ210" s="36"/>
      <c r="GA210" s="36"/>
      <c r="GB210" s="319"/>
      <c r="GC210" s="179">
        <f t="shared" si="37"/>
        <v>0</v>
      </c>
      <c r="GD210" s="179">
        <f t="shared" si="38"/>
        <v>0</v>
      </c>
      <c r="GE210" s="179">
        <f t="shared" si="39"/>
        <v>0</v>
      </c>
      <c r="GF210" s="179">
        <f t="shared" si="40"/>
        <v>0</v>
      </c>
      <c r="GG210" s="179">
        <f t="shared" ref="GG210:GG223" si="41">$I210</f>
        <v>0</v>
      </c>
    </row>
    <row r="211" spans="1:342" x14ac:dyDescent="0.35">
      <c r="A211" s="5" t="s">
        <v>1180</v>
      </c>
      <c r="B211" s="5" t="str">
        <f>IF(Technologies!B211&lt;&gt;0,Technologies!B211,"")</f>
        <v>Gebouwde omgeving</v>
      </c>
      <c r="C211" s="5" t="str">
        <f>VLOOKUP($A211,Technologies!$A$7:$H$576,3,FALSE)</f>
        <v>Emission</v>
      </c>
      <c r="D211" s="5" t="str">
        <f>VLOOKUP($A211,Technologies!$A$7:$H$576,4,FALSE)</f>
        <v>Services</v>
      </c>
      <c r="E211" s="5" t="str">
        <f>VLOOKUP($A211,Technologies!$A$7:$H$576,6,FALSE)</f>
        <v xml:space="preserve">neGHG - Services - CH4 </v>
      </c>
      <c r="F211" s="5" t="str">
        <f>VLOOKUP($A211,Technologies!$A$7:$H$576,7,FALSE)</f>
        <v>Indirect - CH4 Services</v>
      </c>
      <c r="G211" s="23"/>
      <c r="H211" s="23"/>
      <c r="I211" s="104" cm="1">
        <f t="array" ref="I211">-SUMPRODUCT((Feedstocks!$C$4:$C$141=A211)*Feedstocks!$E$4:$E$141,Feedstocks!$F$4:$F$141,Feedstocks!$H$4:$H$141,Feedstocks!$I$4:$I$141)</f>
        <v>0</v>
      </c>
      <c r="J211" s="104" cm="1">
        <f t="array" ref="J211">-SUMPRODUCT((Feedstocks!$C$4:$C$141=A211)*Feedstocks!$E$4:$E$141,Feedstocks!$H$4:$H$141,Feedstocks!$I$4:$I$141)</f>
        <v>0</v>
      </c>
      <c r="K211" s="104"/>
      <c r="L211" s="104"/>
      <c r="M211" s="23"/>
      <c r="N211" s="23" t="str">
        <f>VLOOKUP(E211,Activities!$A$9:$M$227,13,FALSE)</f>
        <v>NL</v>
      </c>
      <c r="O211" s="23"/>
      <c r="P211" s="79" t="s">
        <v>699</v>
      </c>
      <c r="Q211" s="35"/>
      <c r="R211" s="35"/>
      <c r="S211" s="35"/>
      <c r="T211" s="35"/>
      <c r="U211" s="35"/>
      <c r="V211" s="35"/>
      <c r="W211" s="35"/>
      <c r="X211" s="35"/>
      <c r="Y211" s="35"/>
      <c r="Z211" s="35"/>
      <c r="AA211" s="35"/>
      <c r="AB211" s="35"/>
      <c r="AC211" s="35"/>
      <c r="AD211" s="35"/>
      <c r="AE211" s="35"/>
      <c r="AF211" s="35"/>
      <c r="AG211" s="35"/>
      <c r="AH211" s="35"/>
      <c r="AI211" s="35"/>
      <c r="AJ211" s="35"/>
      <c r="AK211" s="35"/>
      <c r="AL211" s="35"/>
      <c r="AM211" s="35"/>
      <c r="AN211" s="35"/>
      <c r="AO211" s="35"/>
      <c r="AP211" s="35"/>
      <c r="AQ211" s="35"/>
      <c r="AR211" s="35"/>
      <c r="AS211" s="35"/>
      <c r="AT211" s="35"/>
      <c r="AU211" s="35"/>
      <c r="AV211" s="35"/>
      <c r="AW211" s="35"/>
      <c r="AX211" s="35"/>
      <c r="AY211" s="35"/>
      <c r="AZ211" s="35"/>
      <c r="BA211" s="35"/>
      <c r="BB211" s="35"/>
      <c r="BC211" s="35"/>
      <c r="BD211" s="35"/>
      <c r="BE211" s="35"/>
      <c r="BF211" s="35"/>
      <c r="BG211" s="35"/>
      <c r="BH211" s="35"/>
      <c r="BI211" s="35"/>
      <c r="BJ211" s="35"/>
      <c r="BK211" s="35"/>
      <c r="BL211" s="35">
        <v>1</v>
      </c>
      <c r="BM211" s="35"/>
      <c r="BN211" s="35"/>
      <c r="BO211" s="35"/>
      <c r="BP211" s="35"/>
      <c r="BQ211" s="35"/>
      <c r="BR211" s="35"/>
      <c r="BS211" s="35"/>
      <c r="BT211" s="35"/>
      <c r="BU211" s="35"/>
      <c r="BV211" s="35"/>
      <c r="BW211" s="35"/>
      <c r="BX211" s="35"/>
      <c r="BY211" s="35"/>
      <c r="BZ211" s="35"/>
      <c r="CA211" s="35"/>
      <c r="CB211" s="35"/>
      <c r="CC211" s="35"/>
      <c r="CD211" s="35"/>
      <c r="CE211" s="35"/>
      <c r="CF211" s="35"/>
      <c r="CG211" s="35"/>
      <c r="CH211" s="35"/>
      <c r="CI211" s="35"/>
      <c r="CJ211" s="35"/>
      <c r="CK211" s="35"/>
      <c r="CL211" s="35"/>
      <c r="CM211" s="35"/>
      <c r="CN211" s="35"/>
      <c r="CO211" s="35"/>
      <c r="CP211" s="35"/>
      <c r="CQ211" s="35"/>
      <c r="CR211" s="35"/>
      <c r="CS211" s="35"/>
      <c r="CT211" s="35"/>
      <c r="CU211" s="35"/>
      <c r="CV211" s="35"/>
      <c r="CW211" s="35"/>
      <c r="CX211" s="35"/>
      <c r="CY211" s="35"/>
      <c r="CZ211" s="35"/>
      <c r="DA211" s="35"/>
      <c r="DB211" s="35"/>
      <c r="DC211" s="35"/>
      <c r="DD211" s="35"/>
      <c r="DE211" s="35"/>
      <c r="DF211" s="35"/>
      <c r="DG211" s="35"/>
      <c r="DH211" s="35"/>
      <c r="DI211" s="35"/>
      <c r="DJ211" s="35"/>
      <c r="DK211" s="35"/>
      <c r="DL211" s="35"/>
      <c r="DM211" s="35"/>
      <c r="DN211" s="35"/>
      <c r="DO211" s="35"/>
      <c r="DP211" s="35"/>
      <c r="DQ211" s="35"/>
      <c r="DR211" s="35"/>
      <c r="DS211" s="35"/>
      <c r="DT211" s="35"/>
      <c r="DU211" s="35"/>
      <c r="DV211" s="35"/>
      <c r="DW211" s="35"/>
      <c r="DX211" s="35"/>
      <c r="DY211" s="35"/>
      <c r="DZ211" s="35"/>
      <c r="EA211" s="35"/>
      <c r="EB211" s="35"/>
      <c r="EC211" s="35"/>
      <c r="ED211" s="35"/>
      <c r="EE211" s="35"/>
      <c r="EF211" s="35"/>
      <c r="EG211" s="35"/>
      <c r="EH211" s="35"/>
      <c r="EI211" s="35"/>
      <c r="EJ211" s="35"/>
      <c r="EK211" s="35"/>
      <c r="EL211" s="35"/>
      <c r="EM211" s="35"/>
      <c r="EN211" s="35"/>
      <c r="EO211" s="35"/>
      <c r="EP211" s="35"/>
      <c r="EQ211" s="35"/>
      <c r="ER211" s="35"/>
      <c r="ES211" s="35"/>
      <c r="ET211" s="35"/>
      <c r="EU211" s="35"/>
      <c r="EV211" s="35"/>
      <c r="EW211" s="35"/>
      <c r="EX211" s="35"/>
      <c r="EY211" s="35"/>
      <c r="EZ211" s="35"/>
      <c r="FA211" s="35"/>
      <c r="FB211" s="35"/>
      <c r="FC211" s="35"/>
      <c r="FD211" s="35"/>
      <c r="FE211" s="35"/>
      <c r="FF211" s="35"/>
      <c r="FG211" s="35"/>
      <c r="FH211" s="35"/>
      <c r="FI211" s="35"/>
      <c r="FJ211" s="35"/>
      <c r="FK211" s="35"/>
      <c r="FL211" s="35"/>
      <c r="FM211" s="35"/>
      <c r="FN211" s="35"/>
      <c r="FO211" s="35"/>
      <c r="FP211" s="35">
        <v>1</v>
      </c>
      <c r="FQ211" s="35"/>
      <c r="FR211" s="35"/>
      <c r="FS211" s="35"/>
      <c r="FT211" s="35"/>
      <c r="FU211" s="35"/>
      <c r="FV211" s="35"/>
      <c r="FW211" s="35"/>
      <c r="FX211" s="35"/>
      <c r="FY211" s="35"/>
      <c r="FZ211" s="35"/>
      <c r="GA211" s="35"/>
      <c r="GB211" s="318"/>
      <c r="GC211" s="178">
        <f t="shared" si="37"/>
        <v>0</v>
      </c>
      <c r="GD211" s="178">
        <f t="shared" si="38"/>
        <v>0</v>
      </c>
      <c r="GE211" s="178">
        <f t="shared" si="39"/>
        <v>0</v>
      </c>
      <c r="GF211" s="178">
        <f t="shared" si="40"/>
        <v>0</v>
      </c>
      <c r="GG211" s="178">
        <f t="shared" si="41"/>
        <v>0</v>
      </c>
    </row>
    <row r="212" spans="1:342" x14ac:dyDescent="0.35">
      <c r="A212" s="6" t="s">
        <v>1182</v>
      </c>
      <c r="B212" s="6" t="str">
        <f>IF(Technologies!B212&lt;&gt;0,Technologies!B212,"")</f>
        <v>Landbouw</v>
      </c>
      <c r="C212" s="6" t="str">
        <f>VLOOKUP($A212,Technologies!$A$7:$H$576,3,FALSE)</f>
        <v>Emission</v>
      </c>
      <c r="D212" s="6" t="str">
        <f>VLOOKUP($A212,Technologies!$A$7:$H$576,4,FALSE)</f>
        <v>Agriculture</v>
      </c>
      <c r="E212" s="6" t="str">
        <f>VLOOKUP($A212,Technologies!$A$7:$H$576,6,FALSE)</f>
        <v xml:space="preserve">neGHG - Agriculture - CO2 </v>
      </c>
      <c r="F212" s="48" t="str">
        <f>VLOOKUP($A212,Technologies!$A$7:$H$576,7,FALSE)</f>
        <v>Indirect - CO2 Agriculture</v>
      </c>
      <c r="G212" s="22"/>
      <c r="H212" s="22"/>
      <c r="I212" s="103" cm="1">
        <f t="array" ref="I212">-SUMPRODUCT((Feedstocks!$C$4:$C$141=A212)*Feedstocks!$E$4:$E$141,Feedstocks!$F$4:$F$141,Feedstocks!$H$4:$H$141,Feedstocks!$I$4:$I$141)</f>
        <v>0</v>
      </c>
      <c r="J212" s="103" cm="1">
        <f t="array" ref="J212">-SUMPRODUCT((Feedstocks!$C$4:$C$141=A212)*Feedstocks!$E$4:$E$141,Feedstocks!$H$4:$H$141,Feedstocks!$I$4:$I$141)</f>
        <v>0</v>
      </c>
      <c r="K212" s="103"/>
      <c r="L212" s="103"/>
      <c r="M212" s="22"/>
      <c r="N212" s="22" t="str">
        <f>VLOOKUP(E212,Activities!$A$9:$M$227,13,FALSE)</f>
        <v>NL</v>
      </c>
      <c r="O212" s="22"/>
      <c r="P212" s="80" t="s">
        <v>699</v>
      </c>
      <c r="Q212" s="36"/>
      <c r="R212" s="36"/>
      <c r="S212" s="36"/>
      <c r="T212" s="36"/>
      <c r="U212" s="36"/>
      <c r="V212" s="36"/>
      <c r="W212" s="36"/>
      <c r="X212" s="36"/>
      <c r="Y212" s="36"/>
      <c r="Z212" s="36"/>
      <c r="AA212" s="36"/>
      <c r="AB212" s="36"/>
      <c r="AC212" s="36"/>
      <c r="AD212" s="36"/>
      <c r="AE212" s="36"/>
      <c r="AF212" s="36"/>
      <c r="AG212" s="36"/>
      <c r="AH212" s="36"/>
      <c r="AI212" s="36"/>
      <c r="AJ212" s="36"/>
      <c r="AK212" s="36"/>
      <c r="AL212" s="36"/>
      <c r="AM212" s="36"/>
      <c r="AN212" s="36"/>
      <c r="AO212" s="36"/>
      <c r="AP212" s="36"/>
      <c r="AQ212" s="36"/>
      <c r="AR212" s="36"/>
      <c r="AS212" s="36"/>
      <c r="AT212" s="36"/>
      <c r="AU212" s="36"/>
      <c r="AV212" s="36"/>
      <c r="AW212" s="36"/>
      <c r="AX212" s="36"/>
      <c r="AY212" s="36"/>
      <c r="AZ212" s="36"/>
      <c r="BA212" s="36"/>
      <c r="BB212" s="36"/>
      <c r="BC212" s="36"/>
      <c r="BD212" s="36"/>
      <c r="BE212" s="36"/>
      <c r="BF212" s="36"/>
      <c r="BG212" s="36"/>
      <c r="BH212" s="36"/>
      <c r="BI212" s="36"/>
      <c r="BJ212" s="36"/>
      <c r="BK212" s="36"/>
      <c r="BL212" s="36"/>
      <c r="BM212" s="36">
        <v>1</v>
      </c>
      <c r="BN212" s="36"/>
      <c r="BO212" s="36"/>
      <c r="BP212" s="36"/>
      <c r="BQ212" s="36"/>
      <c r="BR212" s="36"/>
      <c r="BS212" s="36"/>
      <c r="BT212" s="36"/>
      <c r="BU212" s="36"/>
      <c r="BV212" s="36"/>
      <c r="BW212" s="36"/>
      <c r="BX212" s="36"/>
      <c r="BY212" s="36"/>
      <c r="BZ212" s="36"/>
      <c r="CA212" s="36"/>
      <c r="CB212" s="36"/>
      <c r="CC212" s="36"/>
      <c r="CD212" s="36"/>
      <c r="CE212" s="36"/>
      <c r="CF212" s="36"/>
      <c r="CG212" s="36"/>
      <c r="CH212" s="36"/>
      <c r="CI212" s="36"/>
      <c r="CJ212" s="36"/>
      <c r="CK212" s="36"/>
      <c r="CL212" s="36"/>
      <c r="CM212" s="36"/>
      <c r="CN212" s="36"/>
      <c r="CO212" s="36"/>
      <c r="CP212" s="36"/>
      <c r="CQ212" s="36"/>
      <c r="CR212" s="36"/>
      <c r="CS212" s="36"/>
      <c r="CT212" s="36"/>
      <c r="CU212" s="36"/>
      <c r="CV212" s="36"/>
      <c r="CW212" s="36"/>
      <c r="CX212" s="36"/>
      <c r="CY212" s="36"/>
      <c r="CZ212" s="36"/>
      <c r="DA212" s="36"/>
      <c r="DB212" s="36"/>
      <c r="DC212" s="36"/>
      <c r="DD212" s="36"/>
      <c r="DE212" s="36"/>
      <c r="DF212" s="36"/>
      <c r="DG212" s="36"/>
      <c r="DH212" s="36"/>
      <c r="DI212" s="36"/>
      <c r="DJ212" s="36"/>
      <c r="DK212" s="36"/>
      <c r="DL212" s="36"/>
      <c r="DM212" s="36"/>
      <c r="DN212" s="36"/>
      <c r="DO212" s="36"/>
      <c r="DP212" s="36"/>
      <c r="DQ212" s="36"/>
      <c r="DR212" s="36"/>
      <c r="DS212" s="36"/>
      <c r="DT212" s="36"/>
      <c r="DU212" s="36"/>
      <c r="DV212" s="36"/>
      <c r="DW212" s="36"/>
      <c r="DX212" s="36"/>
      <c r="DY212" s="36"/>
      <c r="DZ212" s="36"/>
      <c r="EA212" s="36"/>
      <c r="EB212" s="36"/>
      <c r="EC212" s="36"/>
      <c r="ED212" s="36"/>
      <c r="EE212" s="36"/>
      <c r="EF212" s="36"/>
      <c r="EG212" s="36"/>
      <c r="EH212" s="36"/>
      <c r="EI212" s="36"/>
      <c r="EJ212" s="36"/>
      <c r="EK212" s="36"/>
      <c r="EL212" s="36"/>
      <c r="EM212" s="36"/>
      <c r="EN212" s="36"/>
      <c r="EO212" s="36"/>
      <c r="EP212" s="36"/>
      <c r="EQ212" s="36"/>
      <c r="ER212" s="36"/>
      <c r="ES212" s="36"/>
      <c r="ET212" s="36"/>
      <c r="EU212" s="36"/>
      <c r="EV212" s="36"/>
      <c r="EW212" s="36"/>
      <c r="EX212" s="36"/>
      <c r="EY212" s="36"/>
      <c r="EZ212" s="36"/>
      <c r="FA212" s="36"/>
      <c r="FB212" s="36"/>
      <c r="FC212" s="36"/>
      <c r="FD212" s="36"/>
      <c r="FE212" s="36"/>
      <c r="FF212" s="36"/>
      <c r="FG212" s="36"/>
      <c r="FH212" s="36"/>
      <c r="FI212" s="36"/>
      <c r="FJ212" s="36"/>
      <c r="FK212" s="36"/>
      <c r="FL212" s="36"/>
      <c r="FM212" s="36"/>
      <c r="FN212" s="36"/>
      <c r="FO212" s="36"/>
      <c r="FP212" s="36"/>
      <c r="FQ212" s="36">
        <v>1</v>
      </c>
      <c r="FR212" s="36"/>
      <c r="FS212" s="36"/>
      <c r="FT212" s="36"/>
      <c r="FU212" s="36"/>
      <c r="FV212" s="36"/>
      <c r="FW212" s="36"/>
      <c r="FX212" s="36"/>
      <c r="FY212" s="36"/>
      <c r="FZ212" s="36"/>
      <c r="GA212" s="36"/>
      <c r="GB212" s="319"/>
      <c r="GC212" s="179">
        <f t="shared" si="37"/>
        <v>0</v>
      </c>
      <c r="GD212" s="179">
        <f t="shared" si="38"/>
        <v>0</v>
      </c>
      <c r="GE212" s="179">
        <f t="shared" si="39"/>
        <v>0</v>
      </c>
      <c r="GF212" s="179">
        <f t="shared" si="40"/>
        <v>0</v>
      </c>
      <c r="GG212" s="179">
        <f t="shared" si="41"/>
        <v>0</v>
      </c>
    </row>
    <row r="213" spans="1:342" x14ac:dyDescent="0.35">
      <c r="A213" s="5" t="s">
        <v>1184</v>
      </c>
      <c r="B213" s="5" t="str">
        <f>IF(Technologies!B213&lt;&gt;0,Technologies!B213,"")</f>
        <v>Landbouw</v>
      </c>
      <c r="C213" s="5" t="str">
        <f>VLOOKUP($A213,Technologies!$A$7:$H$576,3,FALSE)</f>
        <v>Emission</v>
      </c>
      <c r="D213" s="5" t="str">
        <f>VLOOKUP($A213,Technologies!$A$7:$H$576,4,FALSE)</f>
        <v>Agriculture</v>
      </c>
      <c r="E213" s="5" t="str">
        <f>VLOOKUP($A213,Technologies!$A$7:$H$576,6,FALSE)</f>
        <v>neGHG - Agriculture - CH4</v>
      </c>
      <c r="F213" s="5" t="str">
        <f>VLOOKUP($A213,Technologies!$A$7:$H$576,7,FALSE)</f>
        <v>Indirect - CH4 Agriculture</v>
      </c>
      <c r="G213" s="23"/>
      <c r="H213" s="23"/>
      <c r="I213" s="104" cm="1">
        <f t="array" ref="I213">-SUMPRODUCT((Feedstocks!$C$4:$C$141=A213)*Feedstocks!$E$4:$E$141,Feedstocks!$F$4:$F$141,Feedstocks!$H$4:$H$141,Feedstocks!$I$4:$I$141)</f>
        <v>0</v>
      </c>
      <c r="J213" s="104" cm="1">
        <f t="array" ref="J213">-SUMPRODUCT((Feedstocks!$C$4:$C$141=A213)*Feedstocks!$E$4:$E$141,Feedstocks!$H$4:$H$141,Feedstocks!$I$4:$I$141)</f>
        <v>0</v>
      </c>
      <c r="K213" s="104"/>
      <c r="L213" s="104"/>
      <c r="M213" s="23"/>
      <c r="N213" s="23" t="str">
        <f>VLOOKUP(E213,Activities!$A$9:$M$227,13,FALSE)</f>
        <v>NL</v>
      </c>
      <c r="O213" s="23"/>
      <c r="P213" s="79" t="s">
        <v>699</v>
      </c>
      <c r="Q213" s="35"/>
      <c r="R213" s="35"/>
      <c r="S213" s="35"/>
      <c r="T213" s="35"/>
      <c r="U213" s="35"/>
      <c r="V213" s="35"/>
      <c r="W213" s="35"/>
      <c r="X213" s="35"/>
      <c r="Y213" s="35"/>
      <c r="Z213" s="35"/>
      <c r="AA213" s="35"/>
      <c r="AB213" s="35"/>
      <c r="AC213" s="35"/>
      <c r="AD213" s="35"/>
      <c r="AE213" s="35"/>
      <c r="AF213" s="35"/>
      <c r="AG213" s="35"/>
      <c r="AH213" s="35"/>
      <c r="AI213" s="35"/>
      <c r="AJ213" s="35"/>
      <c r="AK213" s="35"/>
      <c r="AL213" s="35"/>
      <c r="AM213" s="35"/>
      <c r="AN213" s="35"/>
      <c r="AO213" s="35"/>
      <c r="AP213" s="35"/>
      <c r="AQ213" s="35"/>
      <c r="AR213" s="35"/>
      <c r="AS213" s="35"/>
      <c r="AT213" s="35"/>
      <c r="AU213" s="35"/>
      <c r="AV213" s="35"/>
      <c r="AW213" s="35"/>
      <c r="AX213" s="35"/>
      <c r="AY213" s="35"/>
      <c r="AZ213" s="35"/>
      <c r="BA213" s="35"/>
      <c r="BB213" s="35"/>
      <c r="BC213" s="35"/>
      <c r="BD213" s="35"/>
      <c r="BE213" s="35"/>
      <c r="BF213" s="35"/>
      <c r="BG213" s="35"/>
      <c r="BH213" s="35"/>
      <c r="BI213" s="35"/>
      <c r="BJ213" s="35"/>
      <c r="BK213" s="35"/>
      <c r="BL213" s="35"/>
      <c r="BM213" s="35"/>
      <c r="BN213" s="35">
        <v>1</v>
      </c>
      <c r="BO213" s="35"/>
      <c r="BP213" s="35"/>
      <c r="BQ213" s="35"/>
      <c r="BR213" s="35"/>
      <c r="BS213" s="35"/>
      <c r="BT213" s="35"/>
      <c r="BU213" s="35"/>
      <c r="BV213" s="35"/>
      <c r="BW213" s="35"/>
      <c r="BX213" s="35"/>
      <c r="BY213" s="35"/>
      <c r="BZ213" s="35"/>
      <c r="CA213" s="35"/>
      <c r="CB213" s="35"/>
      <c r="CC213" s="35"/>
      <c r="CD213" s="35"/>
      <c r="CE213" s="35"/>
      <c r="CF213" s="35"/>
      <c r="CG213" s="35"/>
      <c r="CH213" s="35"/>
      <c r="CI213" s="35"/>
      <c r="CJ213" s="35"/>
      <c r="CK213" s="35"/>
      <c r="CL213" s="35"/>
      <c r="CM213" s="35"/>
      <c r="CN213" s="35"/>
      <c r="CO213" s="35"/>
      <c r="CP213" s="35"/>
      <c r="CQ213" s="35"/>
      <c r="CR213" s="35"/>
      <c r="CS213" s="35"/>
      <c r="CT213" s="35"/>
      <c r="CU213" s="35"/>
      <c r="CV213" s="35"/>
      <c r="CW213" s="35"/>
      <c r="CX213" s="35"/>
      <c r="CY213" s="35"/>
      <c r="CZ213" s="35"/>
      <c r="DA213" s="35"/>
      <c r="DB213" s="35"/>
      <c r="DC213" s="35"/>
      <c r="DD213" s="35"/>
      <c r="DE213" s="35"/>
      <c r="DF213" s="35"/>
      <c r="DG213" s="35"/>
      <c r="DH213" s="35"/>
      <c r="DI213" s="35"/>
      <c r="DJ213" s="35"/>
      <c r="DK213" s="35"/>
      <c r="DL213" s="35"/>
      <c r="DM213" s="35"/>
      <c r="DN213" s="35"/>
      <c r="DO213" s="35"/>
      <c r="DP213" s="35"/>
      <c r="DQ213" s="35"/>
      <c r="DR213" s="35"/>
      <c r="DS213" s="35"/>
      <c r="DT213" s="35"/>
      <c r="DU213" s="35"/>
      <c r="DV213" s="35"/>
      <c r="DW213" s="35"/>
      <c r="DX213" s="35"/>
      <c r="DY213" s="35"/>
      <c r="DZ213" s="35"/>
      <c r="EA213" s="35"/>
      <c r="EB213" s="35"/>
      <c r="EC213" s="35"/>
      <c r="ED213" s="35"/>
      <c r="EE213" s="35"/>
      <c r="EF213" s="35"/>
      <c r="EG213" s="35"/>
      <c r="EH213" s="35"/>
      <c r="EI213" s="35"/>
      <c r="EJ213" s="35"/>
      <c r="EK213" s="35"/>
      <c r="EL213" s="35"/>
      <c r="EM213" s="35"/>
      <c r="EN213" s="35"/>
      <c r="EO213" s="35"/>
      <c r="EP213" s="35"/>
      <c r="EQ213" s="35"/>
      <c r="ER213" s="35"/>
      <c r="ES213" s="35"/>
      <c r="ET213" s="35"/>
      <c r="EU213" s="35"/>
      <c r="EV213" s="35"/>
      <c r="EW213" s="35"/>
      <c r="EX213" s="35"/>
      <c r="EY213" s="35"/>
      <c r="EZ213" s="35"/>
      <c r="FA213" s="35"/>
      <c r="FB213" s="35"/>
      <c r="FC213" s="35"/>
      <c r="FD213" s="35"/>
      <c r="FE213" s="35"/>
      <c r="FF213" s="35"/>
      <c r="FG213" s="35"/>
      <c r="FH213" s="35"/>
      <c r="FI213" s="35"/>
      <c r="FJ213" s="35"/>
      <c r="FK213" s="35"/>
      <c r="FL213" s="35"/>
      <c r="FM213" s="35"/>
      <c r="FN213" s="35"/>
      <c r="FO213" s="35"/>
      <c r="FP213" s="35"/>
      <c r="FQ213" s="35"/>
      <c r="FR213" s="35">
        <v>1</v>
      </c>
      <c r="FS213" s="35"/>
      <c r="FT213" s="35"/>
      <c r="FU213" s="35"/>
      <c r="FV213" s="35"/>
      <c r="FW213" s="35"/>
      <c r="FX213" s="35"/>
      <c r="FY213" s="35"/>
      <c r="FZ213" s="35"/>
      <c r="GA213" s="35"/>
      <c r="GB213" s="318"/>
      <c r="GC213" s="178">
        <f t="shared" si="37"/>
        <v>0</v>
      </c>
      <c r="GD213" s="178">
        <f t="shared" si="38"/>
        <v>0</v>
      </c>
      <c r="GE213" s="178">
        <f t="shared" si="39"/>
        <v>0</v>
      </c>
      <c r="GF213" s="178">
        <f t="shared" si="40"/>
        <v>0</v>
      </c>
      <c r="GG213" s="178">
        <f t="shared" si="41"/>
        <v>0</v>
      </c>
    </row>
    <row r="214" spans="1:342" x14ac:dyDescent="0.35">
      <c r="A214" s="6" t="s">
        <v>1186</v>
      </c>
      <c r="B214" s="6" t="str">
        <f>IF(Technologies!B214&lt;&gt;0,Technologies!B214,"")</f>
        <v>Landbouw</v>
      </c>
      <c r="C214" s="6" t="str">
        <f>VLOOKUP($A214,Technologies!$A$7:$H$576,3,FALSE)</f>
        <v>Emission</v>
      </c>
      <c r="D214" s="6" t="str">
        <f>VLOOKUP($A214,Technologies!$A$7:$H$576,4,FALSE)</f>
        <v>Agriculture</v>
      </c>
      <c r="E214" s="6" t="str">
        <f>VLOOKUP($A214,Technologies!$A$7:$H$576,6,FALSE)</f>
        <v>neGHG - Agriculture - N2O</v>
      </c>
      <c r="F214" s="48" t="str">
        <f>VLOOKUP($A214,Technologies!$A$7:$H$576,7,FALSE)</f>
        <v>Indirect - N2O Agriculture</v>
      </c>
      <c r="G214" s="22"/>
      <c r="H214" s="22"/>
      <c r="I214" s="103" cm="1">
        <f t="array" ref="I214">-SUMPRODUCT((Feedstocks!$C$4:$C$141=A214)*Feedstocks!$E$4:$E$141,Feedstocks!$F$4:$F$141,Feedstocks!$H$4:$H$141,Feedstocks!$I$4:$I$141)</f>
        <v>0</v>
      </c>
      <c r="J214" s="103" cm="1">
        <f t="array" ref="J214">-SUMPRODUCT((Feedstocks!$C$4:$C$141=A214)*Feedstocks!$E$4:$E$141,Feedstocks!$H$4:$H$141,Feedstocks!$I$4:$I$141)</f>
        <v>0</v>
      </c>
      <c r="K214" s="103"/>
      <c r="L214" s="103"/>
      <c r="M214" s="22"/>
      <c r="N214" s="22" t="str">
        <f>VLOOKUP(E214,Activities!$A$9:$M$227,13,FALSE)</f>
        <v>NL</v>
      </c>
      <c r="O214" s="22"/>
      <c r="P214" s="80" t="s">
        <v>699</v>
      </c>
      <c r="Q214" s="36"/>
      <c r="R214" s="36"/>
      <c r="S214" s="36"/>
      <c r="T214" s="36"/>
      <c r="U214" s="36"/>
      <c r="V214" s="36"/>
      <c r="W214" s="36"/>
      <c r="X214" s="36"/>
      <c r="Y214" s="36"/>
      <c r="Z214" s="36"/>
      <c r="AA214" s="36"/>
      <c r="AB214" s="36"/>
      <c r="AC214" s="36"/>
      <c r="AD214" s="36"/>
      <c r="AE214" s="36"/>
      <c r="AF214" s="36"/>
      <c r="AG214" s="36"/>
      <c r="AH214" s="36"/>
      <c r="AI214" s="36"/>
      <c r="AJ214" s="36"/>
      <c r="AK214" s="36"/>
      <c r="AL214" s="36"/>
      <c r="AM214" s="36"/>
      <c r="AN214" s="36"/>
      <c r="AO214" s="36"/>
      <c r="AP214" s="36"/>
      <c r="AQ214" s="36"/>
      <c r="AR214" s="36"/>
      <c r="AS214" s="36"/>
      <c r="AT214" s="36"/>
      <c r="AU214" s="36"/>
      <c r="AV214" s="36"/>
      <c r="AW214" s="36"/>
      <c r="AX214" s="36"/>
      <c r="AY214" s="36"/>
      <c r="AZ214" s="36"/>
      <c r="BA214" s="36"/>
      <c r="BB214" s="36"/>
      <c r="BC214" s="36"/>
      <c r="BD214" s="36"/>
      <c r="BE214" s="36"/>
      <c r="BF214" s="36"/>
      <c r="BG214" s="36"/>
      <c r="BH214" s="36"/>
      <c r="BI214" s="36"/>
      <c r="BJ214" s="36"/>
      <c r="BK214" s="36"/>
      <c r="BL214" s="36"/>
      <c r="BM214" s="36"/>
      <c r="BN214" s="36"/>
      <c r="BO214" s="36">
        <v>1</v>
      </c>
      <c r="BP214" s="36"/>
      <c r="BQ214" s="36"/>
      <c r="BR214" s="36"/>
      <c r="BS214" s="36"/>
      <c r="BT214" s="36"/>
      <c r="BU214" s="36"/>
      <c r="BV214" s="36"/>
      <c r="BW214" s="36"/>
      <c r="BX214" s="36"/>
      <c r="BY214" s="36"/>
      <c r="BZ214" s="36"/>
      <c r="CA214" s="36"/>
      <c r="CB214" s="36"/>
      <c r="CC214" s="36"/>
      <c r="CD214" s="36"/>
      <c r="CE214" s="36"/>
      <c r="CF214" s="36"/>
      <c r="CG214" s="36"/>
      <c r="CH214" s="36"/>
      <c r="CI214" s="36"/>
      <c r="CJ214" s="36"/>
      <c r="CK214" s="36"/>
      <c r="CL214" s="36"/>
      <c r="CM214" s="36"/>
      <c r="CN214" s="36"/>
      <c r="CO214" s="36"/>
      <c r="CP214" s="36"/>
      <c r="CQ214" s="36"/>
      <c r="CR214" s="36"/>
      <c r="CS214" s="36"/>
      <c r="CT214" s="36"/>
      <c r="CU214" s="36"/>
      <c r="CV214" s="36"/>
      <c r="CW214" s="36"/>
      <c r="CX214" s="36"/>
      <c r="CY214" s="36"/>
      <c r="CZ214" s="36"/>
      <c r="DA214" s="36"/>
      <c r="DB214" s="36"/>
      <c r="DC214" s="36"/>
      <c r="DD214" s="36"/>
      <c r="DE214" s="36"/>
      <c r="DF214" s="36"/>
      <c r="DG214" s="36"/>
      <c r="DH214" s="36"/>
      <c r="DI214" s="36"/>
      <c r="DJ214" s="36"/>
      <c r="DK214" s="36"/>
      <c r="DL214" s="36"/>
      <c r="DM214" s="36"/>
      <c r="DN214" s="36"/>
      <c r="DO214" s="36"/>
      <c r="DP214" s="36"/>
      <c r="DQ214" s="36"/>
      <c r="DR214" s="36"/>
      <c r="DS214" s="36"/>
      <c r="DT214" s="36"/>
      <c r="DU214" s="36"/>
      <c r="DV214" s="36"/>
      <c r="DW214" s="36"/>
      <c r="DX214" s="36"/>
      <c r="DY214" s="36"/>
      <c r="DZ214" s="36"/>
      <c r="EA214" s="36"/>
      <c r="EB214" s="36"/>
      <c r="EC214" s="36"/>
      <c r="ED214" s="36"/>
      <c r="EE214" s="36"/>
      <c r="EF214" s="36"/>
      <c r="EG214" s="36"/>
      <c r="EH214" s="36"/>
      <c r="EI214" s="36"/>
      <c r="EJ214" s="36"/>
      <c r="EK214" s="36"/>
      <c r="EL214" s="36"/>
      <c r="EM214" s="36"/>
      <c r="EN214" s="36"/>
      <c r="EO214" s="36"/>
      <c r="EP214" s="36"/>
      <c r="EQ214" s="36"/>
      <c r="ER214" s="36"/>
      <c r="ES214" s="36"/>
      <c r="ET214" s="36"/>
      <c r="EU214" s="36"/>
      <c r="EV214" s="36"/>
      <c r="EW214" s="36"/>
      <c r="EX214" s="36"/>
      <c r="EY214" s="36"/>
      <c r="EZ214" s="36"/>
      <c r="FA214" s="36"/>
      <c r="FB214" s="36"/>
      <c r="FC214" s="36"/>
      <c r="FD214" s="36"/>
      <c r="FE214" s="36"/>
      <c r="FF214" s="36"/>
      <c r="FG214" s="36"/>
      <c r="FH214" s="36"/>
      <c r="FI214" s="36"/>
      <c r="FJ214" s="36"/>
      <c r="FK214" s="36"/>
      <c r="FL214" s="36"/>
      <c r="FM214" s="36"/>
      <c r="FN214" s="36"/>
      <c r="FO214" s="36"/>
      <c r="FP214" s="36"/>
      <c r="FQ214" s="36"/>
      <c r="FR214" s="36"/>
      <c r="FS214" s="36">
        <v>1</v>
      </c>
      <c r="FT214" s="36"/>
      <c r="FU214" s="36"/>
      <c r="FV214" s="36"/>
      <c r="FW214" s="36"/>
      <c r="FX214" s="36"/>
      <c r="FY214" s="36"/>
      <c r="FZ214" s="36"/>
      <c r="GA214" s="36"/>
      <c r="GB214" s="319"/>
      <c r="GC214" s="179">
        <f t="shared" si="37"/>
        <v>0</v>
      </c>
      <c r="GD214" s="179">
        <f t="shared" si="38"/>
        <v>0</v>
      </c>
      <c r="GE214" s="179">
        <f t="shared" si="39"/>
        <v>0</v>
      </c>
      <c r="GF214" s="179">
        <f t="shared" si="40"/>
        <v>0</v>
      </c>
      <c r="GG214" s="179">
        <f t="shared" si="41"/>
        <v>0</v>
      </c>
    </row>
    <row r="215" spans="1:342" x14ac:dyDescent="0.35">
      <c r="A215" s="5" t="s">
        <v>1188</v>
      </c>
      <c r="B215" s="5" t="str">
        <f>IF(Technologies!B215&lt;&gt;0,Technologies!B215,"")</f>
        <v>Industrie</v>
      </c>
      <c r="C215" s="5" t="str">
        <f>VLOOKUP($A215,Technologies!$A$7:$H$576,3,FALSE)</f>
        <v>Emission</v>
      </c>
      <c r="D215" s="5" t="str">
        <f>VLOOKUP($A215,Technologies!$A$7:$H$576,4,FALSE)</f>
        <v>Industry</v>
      </c>
      <c r="E215" s="5" t="str">
        <f>VLOOKUP($A215,Technologies!$A$7:$H$576,6,FALSE)</f>
        <v>neGHG - Industry - Chemical - CO2</v>
      </c>
      <c r="F215" s="5" t="str">
        <f>VLOOKUP($A215,Technologies!$A$7:$H$576,7,FALSE)</f>
        <v>Indirect - CO2 Chemical</v>
      </c>
      <c r="G215" s="23"/>
      <c r="H215" s="23"/>
      <c r="I215" s="104" cm="1">
        <f t="array" ref="I215">-SUMPRODUCT((Feedstocks!$C$4:$C$141=A215)*Feedstocks!$E$4:$E$141,Feedstocks!$F$4:$F$141,Feedstocks!$H$4:$H$141,Feedstocks!$I$4:$I$141)</f>
        <v>0</v>
      </c>
      <c r="J215" s="104" cm="1">
        <f t="array" ref="J215">-SUMPRODUCT((Feedstocks!$C$4:$C$141=A215)*Feedstocks!$E$4:$E$141,Feedstocks!$H$4:$H$141,Feedstocks!$I$4:$I$141)</f>
        <v>0</v>
      </c>
      <c r="K215" s="104"/>
      <c r="L215" s="104"/>
      <c r="M215" s="23"/>
      <c r="N215" s="23" t="str">
        <f>VLOOKUP(E215,Activities!$A$9:$M$227,13,FALSE)</f>
        <v>NL</v>
      </c>
      <c r="O215" s="23"/>
      <c r="P215" s="79" t="s">
        <v>699</v>
      </c>
      <c r="Q215" s="35"/>
      <c r="R215" s="35"/>
      <c r="S215" s="35"/>
      <c r="T215" s="35"/>
      <c r="U215" s="35"/>
      <c r="V215" s="35"/>
      <c r="W215" s="35"/>
      <c r="X215" s="35"/>
      <c r="Y215" s="35"/>
      <c r="Z215" s="35"/>
      <c r="AA215" s="35"/>
      <c r="AB215" s="35"/>
      <c r="AC215" s="35"/>
      <c r="AD215" s="35"/>
      <c r="AE215" s="35"/>
      <c r="AF215" s="35"/>
      <c r="AG215" s="35"/>
      <c r="AH215" s="35"/>
      <c r="AI215" s="35"/>
      <c r="AJ215" s="35"/>
      <c r="AK215" s="35"/>
      <c r="AL215" s="35"/>
      <c r="AM215" s="35"/>
      <c r="AN215" s="35"/>
      <c r="AO215" s="35"/>
      <c r="AP215" s="35"/>
      <c r="AQ215" s="35"/>
      <c r="AR215" s="35"/>
      <c r="AS215" s="35"/>
      <c r="AT215" s="35"/>
      <c r="AU215" s="35"/>
      <c r="AV215" s="35"/>
      <c r="AW215" s="35"/>
      <c r="AX215" s="35"/>
      <c r="AY215" s="35"/>
      <c r="AZ215" s="35"/>
      <c r="BA215" s="35"/>
      <c r="BB215" s="35"/>
      <c r="BC215" s="35"/>
      <c r="BD215" s="35"/>
      <c r="BE215" s="35"/>
      <c r="BF215" s="35"/>
      <c r="BG215" s="35"/>
      <c r="BH215" s="35"/>
      <c r="BI215" s="35"/>
      <c r="BJ215" s="35"/>
      <c r="BK215" s="35"/>
      <c r="BL215" s="35"/>
      <c r="BM215" s="35"/>
      <c r="BN215" s="35"/>
      <c r="BO215" s="35"/>
      <c r="BP215" s="35">
        <v>1</v>
      </c>
      <c r="BQ215" s="35"/>
      <c r="BR215" s="35"/>
      <c r="BS215" s="35"/>
      <c r="BT215" s="35"/>
      <c r="BU215" s="35"/>
      <c r="BV215" s="35"/>
      <c r="BW215" s="35"/>
      <c r="BX215" s="35"/>
      <c r="BY215" s="35"/>
      <c r="BZ215" s="35"/>
      <c r="CA215" s="35"/>
      <c r="CB215" s="35"/>
      <c r="CC215" s="35"/>
      <c r="CD215" s="35"/>
      <c r="CE215" s="35"/>
      <c r="CF215" s="35"/>
      <c r="CG215" s="35"/>
      <c r="CH215" s="35"/>
      <c r="CI215" s="35"/>
      <c r="CJ215" s="35"/>
      <c r="CK215" s="35"/>
      <c r="CL215" s="35"/>
      <c r="CM215" s="35"/>
      <c r="CN215" s="35"/>
      <c r="CO215" s="35"/>
      <c r="CP215" s="35"/>
      <c r="CQ215" s="35"/>
      <c r="CR215" s="35"/>
      <c r="CS215" s="35"/>
      <c r="CT215" s="35"/>
      <c r="CU215" s="35"/>
      <c r="CV215" s="35"/>
      <c r="CW215" s="35"/>
      <c r="CX215" s="35"/>
      <c r="CY215" s="35"/>
      <c r="CZ215" s="35"/>
      <c r="DA215" s="35"/>
      <c r="DB215" s="35"/>
      <c r="DC215" s="35"/>
      <c r="DD215" s="35"/>
      <c r="DE215" s="35"/>
      <c r="DF215" s="35"/>
      <c r="DG215" s="35"/>
      <c r="DH215" s="35"/>
      <c r="DI215" s="35"/>
      <c r="DJ215" s="35"/>
      <c r="DK215" s="35"/>
      <c r="DL215" s="35"/>
      <c r="DM215" s="35"/>
      <c r="DN215" s="35"/>
      <c r="DO215" s="35"/>
      <c r="DP215" s="35"/>
      <c r="DQ215" s="35"/>
      <c r="DR215" s="35"/>
      <c r="DS215" s="35"/>
      <c r="DT215" s="35"/>
      <c r="DU215" s="35"/>
      <c r="DV215" s="35"/>
      <c r="DW215" s="35"/>
      <c r="DX215" s="35"/>
      <c r="DY215" s="35"/>
      <c r="DZ215" s="35"/>
      <c r="EA215" s="35"/>
      <c r="EB215" s="35"/>
      <c r="EC215" s="35"/>
      <c r="ED215" s="35"/>
      <c r="EE215" s="35"/>
      <c r="EF215" s="35"/>
      <c r="EG215" s="35"/>
      <c r="EH215" s="35"/>
      <c r="EI215" s="35"/>
      <c r="EJ215" s="35"/>
      <c r="EK215" s="35"/>
      <c r="EL215" s="35"/>
      <c r="EM215" s="35"/>
      <c r="EN215" s="35"/>
      <c r="EO215" s="35"/>
      <c r="EP215" s="35"/>
      <c r="EQ215" s="35"/>
      <c r="ER215" s="35"/>
      <c r="ES215" s="35"/>
      <c r="ET215" s="35"/>
      <c r="EU215" s="35"/>
      <c r="EV215" s="35"/>
      <c r="EW215" s="35"/>
      <c r="EX215" s="35"/>
      <c r="EY215" s="35"/>
      <c r="EZ215" s="35"/>
      <c r="FA215" s="35"/>
      <c r="FB215" s="35"/>
      <c r="FC215" s="35"/>
      <c r="FD215" s="35"/>
      <c r="FE215" s="35"/>
      <c r="FF215" s="35"/>
      <c r="FG215" s="35"/>
      <c r="FH215" s="35"/>
      <c r="FI215" s="35"/>
      <c r="FJ215" s="35"/>
      <c r="FK215" s="35"/>
      <c r="FL215" s="35"/>
      <c r="FM215" s="35"/>
      <c r="FN215" s="35"/>
      <c r="FO215" s="35"/>
      <c r="FP215" s="35"/>
      <c r="FQ215" s="35"/>
      <c r="FR215" s="35"/>
      <c r="FS215" s="35"/>
      <c r="FT215" s="35">
        <v>1</v>
      </c>
      <c r="FU215" s="35"/>
      <c r="FV215" s="35"/>
      <c r="FW215" s="35"/>
      <c r="FX215" s="35"/>
      <c r="FY215" s="35"/>
      <c r="FZ215" s="35"/>
      <c r="GA215" s="35"/>
      <c r="GB215" s="318"/>
      <c r="GC215" s="178">
        <f t="shared" si="37"/>
        <v>0</v>
      </c>
      <c r="GD215" s="178">
        <f t="shared" si="38"/>
        <v>0</v>
      </c>
      <c r="GE215" s="178">
        <f t="shared" si="39"/>
        <v>0</v>
      </c>
      <c r="GF215" s="178">
        <f t="shared" si="40"/>
        <v>0</v>
      </c>
      <c r="GG215" s="178">
        <f t="shared" si="41"/>
        <v>0</v>
      </c>
    </row>
    <row r="216" spans="1:342" x14ac:dyDescent="0.35">
      <c r="A216" s="6" t="s">
        <v>1190</v>
      </c>
      <c r="B216" s="6" t="str">
        <f>IF(Technologies!B216&lt;&gt;0,Technologies!B216,"")</f>
        <v>Industrie</v>
      </c>
      <c r="C216" s="6" t="str">
        <f>VLOOKUP($A216,Technologies!$A$7:$H$576,3,FALSE)</f>
        <v>Emission</v>
      </c>
      <c r="D216" s="6" t="str">
        <f>VLOOKUP($A216,Technologies!$A$7:$H$576,4,FALSE)</f>
        <v>Industry</v>
      </c>
      <c r="E216" s="6" t="str">
        <f>VLOOKUP($A216,Technologies!$A$7:$H$576,6,FALSE)</f>
        <v>neGHG - Industry - Other - CO2</v>
      </c>
      <c r="F216" s="48" t="str">
        <f>VLOOKUP($A216,Technologies!$A$7:$H$576,7,FALSE)</f>
        <v>Indirect - CO2 Other</v>
      </c>
      <c r="G216" s="22"/>
      <c r="H216" s="22"/>
      <c r="I216" s="103" cm="1">
        <f t="array" ref="I216">-SUMPRODUCT((Feedstocks!$C$4:$C$141=A216)*Feedstocks!$E$4:$E$141,Feedstocks!$F$4:$F$141,Feedstocks!$H$4:$H$141,Feedstocks!$I$4:$I$141)</f>
        <v>0</v>
      </c>
      <c r="J216" s="103" cm="1">
        <f t="array" ref="J216">-SUMPRODUCT((Feedstocks!$C$4:$C$141=A216)*Feedstocks!$E$4:$E$141,Feedstocks!$H$4:$H$141,Feedstocks!$I$4:$I$141)</f>
        <v>0</v>
      </c>
      <c r="K216" s="103"/>
      <c r="L216" s="103"/>
      <c r="M216" s="22"/>
      <c r="N216" s="22" t="str">
        <f>VLOOKUP(E216,Activities!$A$9:$M$227,13,FALSE)</f>
        <v>NL</v>
      </c>
      <c r="O216" s="22"/>
      <c r="P216" s="80" t="s">
        <v>699</v>
      </c>
      <c r="Q216" s="36"/>
      <c r="R216" s="36"/>
      <c r="S216" s="36"/>
      <c r="T216" s="36"/>
      <c r="U216" s="36"/>
      <c r="V216" s="36"/>
      <c r="W216" s="36"/>
      <c r="X216" s="36"/>
      <c r="Y216" s="36"/>
      <c r="Z216" s="36"/>
      <c r="AA216" s="36"/>
      <c r="AB216" s="36"/>
      <c r="AC216" s="36"/>
      <c r="AD216" s="36"/>
      <c r="AE216" s="36"/>
      <c r="AF216" s="36"/>
      <c r="AG216" s="36"/>
      <c r="AH216" s="36"/>
      <c r="AI216" s="36"/>
      <c r="AJ216" s="36"/>
      <c r="AK216" s="36"/>
      <c r="AL216" s="36"/>
      <c r="AM216" s="36"/>
      <c r="AN216" s="36"/>
      <c r="AO216" s="36"/>
      <c r="AP216" s="36"/>
      <c r="AQ216" s="36"/>
      <c r="AR216" s="36"/>
      <c r="AS216" s="36"/>
      <c r="AT216" s="36"/>
      <c r="AU216" s="36"/>
      <c r="AV216" s="36"/>
      <c r="AW216" s="36"/>
      <c r="AX216" s="36"/>
      <c r="AY216" s="36"/>
      <c r="AZ216" s="36"/>
      <c r="BA216" s="36"/>
      <c r="BB216" s="36"/>
      <c r="BC216" s="36"/>
      <c r="BD216" s="36"/>
      <c r="BE216" s="36"/>
      <c r="BF216" s="36"/>
      <c r="BG216" s="36"/>
      <c r="BH216" s="36"/>
      <c r="BI216" s="36"/>
      <c r="BJ216" s="36"/>
      <c r="BK216" s="36"/>
      <c r="BL216" s="36"/>
      <c r="BM216" s="36"/>
      <c r="BN216" s="36"/>
      <c r="BO216" s="36"/>
      <c r="BP216" s="36"/>
      <c r="BQ216" s="36">
        <v>1</v>
      </c>
      <c r="BR216" s="36"/>
      <c r="BS216" s="36"/>
      <c r="BT216" s="36"/>
      <c r="BU216" s="36"/>
      <c r="BV216" s="36"/>
      <c r="BW216" s="36"/>
      <c r="BX216" s="36"/>
      <c r="BY216" s="36"/>
      <c r="BZ216" s="36"/>
      <c r="CA216" s="36"/>
      <c r="CB216" s="36"/>
      <c r="CC216" s="36"/>
      <c r="CD216" s="36"/>
      <c r="CE216" s="36"/>
      <c r="CF216" s="36"/>
      <c r="CG216" s="36"/>
      <c r="CH216" s="36"/>
      <c r="CI216" s="36"/>
      <c r="CJ216" s="36"/>
      <c r="CK216" s="36"/>
      <c r="CL216" s="36"/>
      <c r="CM216" s="36"/>
      <c r="CN216" s="36"/>
      <c r="CO216" s="36"/>
      <c r="CP216" s="36"/>
      <c r="CQ216" s="36"/>
      <c r="CR216" s="36"/>
      <c r="CS216" s="36"/>
      <c r="CT216" s="36"/>
      <c r="CU216" s="36"/>
      <c r="CV216" s="36"/>
      <c r="CW216" s="36"/>
      <c r="CX216" s="36"/>
      <c r="CY216" s="36"/>
      <c r="CZ216" s="36"/>
      <c r="DA216" s="36"/>
      <c r="DB216" s="36"/>
      <c r="DC216" s="36"/>
      <c r="DD216" s="36"/>
      <c r="DE216" s="36"/>
      <c r="DF216" s="36"/>
      <c r="DG216" s="36"/>
      <c r="DH216" s="36"/>
      <c r="DI216" s="36"/>
      <c r="DJ216" s="36"/>
      <c r="DK216" s="36"/>
      <c r="DL216" s="36"/>
      <c r="DM216" s="36"/>
      <c r="DN216" s="36"/>
      <c r="DO216" s="36"/>
      <c r="DP216" s="36"/>
      <c r="DQ216" s="36"/>
      <c r="DR216" s="36"/>
      <c r="DS216" s="36"/>
      <c r="DT216" s="36"/>
      <c r="DU216" s="36"/>
      <c r="DV216" s="36"/>
      <c r="DW216" s="36"/>
      <c r="DX216" s="36"/>
      <c r="DY216" s="36"/>
      <c r="DZ216" s="36"/>
      <c r="EA216" s="36"/>
      <c r="EB216" s="36"/>
      <c r="EC216" s="36"/>
      <c r="ED216" s="36"/>
      <c r="EE216" s="36"/>
      <c r="EF216" s="36"/>
      <c r="EG216" s="36"/>
      <c r="EH216" s="36"/>
      <c r="EI216" s="36"/>
      <c r="EJ216" s="36"/>
      <c r="EK216" s="36"/>
      <c r="EL216" s="36"/>
      <c r="EM216" s="36"/>
      <c r="EN216" s="36"/>
      <c r="EO216" s="36"/>
      <c r="EP216" s="36"/>
      <c r="EQ216" s="36"/>
      <c r="ER216" s="36"/>
      <c r="ES216" s="36"/>
      <c r="ET216" s="36"/>
      <c r="EU216" s="36"/>
      <c r="EV216" s="36"/>
      <c r="EW216" s="36"/>
      <c r="EX216" s="36"/>
      <c r="EY216" s="36"/>
      <c r="EZ216" s="36"/>
      <c r="FA216" s="36"/>
      <c r="FB216" s="36"/>
      <c r="FC216" s="36"/>
      <c r="FD216" s="36"/>
      <c r="FE216" s="36"/>
      <c r="FF216" s="36"/>
      <c r="FG216" s="36"/>
      <c r="FH216" s="36"/>
      <c r="FI216" s="36"/>
      <c r="FJ216" s="36"/>
      <c r="FK216" s="36"/>
      <c r="FL216" s="36"/>
      <c r="FM216" s="36"/>
      <c r="FN216" s="36"/>
      <c r="FO216" s="36"/>
      <c r="FP216" s="36"/>
      <c r="FQ216" s="36"/>
      <c r="FR216" s="36"/>
      <c r="FS216" s="36"/>
      <c r="FT216" s="36">
        <v>1</v>
      </c>
      <c r="FU216" s="36"/>
      <c r="FV216" s="36"/>
      <c r="FW216" s="36"/>
      <c r="FX216" s="36"/>
      <c r="FY216" s="36"/>
      <c r="FZ216" s="36"/>
      <c r="GA216" s="36"/>
      <c r="GB216" s="319"/>
      <c r="GC216" s="179">
        <f t="shared" si="37"/>
        <v>0</v>
      </c>
      <c r="GD216" s="179">
        <f t="shared" si="38"/>
        <v>0</v>
      </c>
      <c r="GE216" s="179">
        <f t="shared" si="39"/>
        <v>0</v>
      </c>
      <c r="GF216" s="179">
        <f t="shared" si="40"/>
        <v>0</v>
      </c>
      <c r="GG216" s="179">
        <f t="shared" si="41"/>
        <v>0</v>
      </c>
    </row>
    <row r="217" spans="1:342" x14ac:dyDescent="0.35">
      <c r="A217" s="5" t="s">
        <v>1192</v>
      </c>
      <c r="B217" s="5" t="str">
        <f>IF(Technologies!B217&lt;&gt;0,Technologies!B217,"")</f>
        <v>Industrie</v>
      </c>
      <c r="C217" s="5" t="str">
        <f>VLOOKUP($A217,Technologies!$A$7:$H$576,3,FALSE)</f>
        <v>Emission</v>
      </c>
      <c r="D217" s="5" t="str">
        <f>VLOOKUP($A217,Technologies!$A$7:$H$576,4,FALSE)</f>
        <v>Industry</v>
      </c>
      <c r="E217" s="5" t="str">
        <f>VLOOKUP($A217,Technologies!$A$7:$H$576,6,FALSE)</f>
        <v xml:space="preserve">neGHG - Industry - CH4 </v>
      </c>
      <c r="F217" s="5" t="str">
        <f>VLOOKUP($A217,Technologies!$A$7:$H$576,7,FALSE)</f>
        <v>Indirect - CH4 Industry</v>
      </c>
      <c r="G217" s="23"/>
      <c r="H217" s="23"/>
      <c r="I217" s="104" cm="1">
        <f t="array" ref="I217">-SUMPRODUCT((Feedstocks!$C$4:$C$141=A217)*Feedstocks!$E$4:$E$141,Feedstocks!$F$4:$F$141,Feedstocks!$H$4:$H$141,Feedstocks!$I$4:$I$141)</f>
        <v>0</v>
      </c>
      <c r="J217" s="104" cm="1">
        <f t="array" ref="J217">-SUMPRODUCT((Feedstocks!$C$4:$C$141=A217)*Feedstocks!$E$4:$E$141,Feedstocks!$H$4:$H$141,Feedstocks!$I$4:$I$141)</f>
        <v>0</v>
      </c>
      <c r="K217" s="104"/>
      <c r="L217" s="104"/>
      <c r="M217" s="23"/>
      <c r="N217" s="23" t="str">
        <f>VLOOKUP(E217,Activities!$A$9:$M$227,13,FALSE)</f>
        <v>NL</v>
      </c>
      <c r="O217" s="23"/>
      <c r="P217" s="79" t="s">
        <v>699</v>
      </c>
      <c r="Q217" s="35"/>
      <c r="R217" s="35"/>
      <c r="S217" s="35"/>
      <c r="T217" s="35"/>
      <c r="U217" s="35"/>
      <c r="V217" s="35"/>
      <c r="W217" s="35"/>
      <c r="X217" s="35"/>
      <c r="Y217" s="35"/>
      <c r="Z217" s="35"/>
      <c r="AA217" s="35"/>
      <c r="AB217" s="35"/>
      <c r="AC217" s="35"/>
      <c r="AD217" s="35"/>
      <c r="AE217" s="35"/>
      <c r="AF217" s="35"/>
      <c r="AG217" s="35"/>
      <c r="AH217" s="35"/>
      <c r="AI217" s="35"/>
      <c r="AJ217" s="35"/>
      <c r="AK217" s="35"/>
      <c r="AL217" s="35"/>
      <c r="AM217" s="35"/>
      <c r="AN217" s="35"/>
      <c r="AO217" s="35"/>
      <c r="AP217" s="35"/>
      <c r="AQ217" s="35"/>
      <c r="AR217" s="35"/>
      <c r="AS217" s="35"/>
      <c r="AT217" s="35"/>
      <c r="AU217" s="35"/>
      <c r="AV217" s="35"/>
      <c r="AW217" s="35"/>
      <c r="AX217" s="35"/>
      <c r="AY217" s="35"/>
      <c r="AZ217" s="35"/>
      <c r="BA217" s="35"/>
      <c r="BB217" s="35"/>
      <c r="BC217" s="35"/>
      <c r="BD217" s="35"/>
      <c r="BE217" s="35"/>
      <c r="BF217" s="35"/>
      <c r="BG217" s="35"/>
      <c r="BH217" s="35"/>
      <c r="BI217" s="35"/>
      <c r="BJ217" s="35"/>
      <c r="BK217" s="35"/>
      <c r="BL217" s="35"/>
      <c r="BM217" s="35"/>
      <c r="BN217" s="35"/>
      <c r="BO217" s="35"/>
      <c r="BP217" s="35"/>
      <c r="BQ217" s="35"/>
      <c r="BR217" s="35">
        <v>1</v>
      </c>
      <c r="BS217" s="35"/>
      <c r="BT217" s="35"/>
      <c r="BU217" s="35"/>
      <c r="BV217" s="35"/>
      <c r="BW217" s="35"/>
      <c r="BX217" s="35"/>
      <c r="BY217" s="35"/>
      <c r="BZ217" s="35"/>
      <c r="CA217" s="35"/>
      <c r="CB217" s="35"/>
      <c r="CC217" s="35"/>
      <c r="CD217" s="35"/>
      <c r="CE217" s="35"/>
      <c r="CF217" s="35"/>
      <c r="CG217" s="35"/>
      <c r="CH217" s="35"/>
      <c r="CI217" s="35"/>
      <c r="CJ217" s="35"/>
      <c r="CK217" s="35"/>
      <c r="CL217" s="35"/>
      <c r="CM217" s="35"/>
      <c r="CN217" s="35"/>
      <c r="CO217" s="35"/>
      <c r="CP217" s="35"/>
      <c r="CQ217" s="35"/>
      <c r="CR217" s="35"/>
      <c r="CS217" s="35"/>
      <c r="CT217" s="35"/>
      <c r="CU217" s="35"/>
      <c r="CV217" s="35"/>
      <c r="CW217" s="35"/>
      <c r="CX217" s="35"/>
      <c r="CY217" s="35"/>
      <c r="CZ217" s="35"/>
      <c r="DA217" s="35"/>
      <c r="DB217" s="35"/>
      <c r="DC217" s="35"/>
      <c r="DD217" s="35"/>
      <c r="DE217" s="35"/>
      <c r="DF217" s="35"/>
      <c r="DG217" s="35"/>
      <c r="DH217" s="35"/>
      <c r="DI217" s="35"/>
      <c r="DJ217" s="35"/>
      <c r="DK217" s="35"/>
      <c r="DL217" s="35"/>
      <c r="DM217" s="35"/>
      <c r="DN217" s="35"/>
      <c r="DO217" s="35"/>
      <c r="DP217" s="35"/>
      <c r="DQ217" s="35"/>
      <c r="DR217" s="35"/>
      <c r="DS217" s="35"/>
      <c r="DT217" s="35"/>
      <c r="DU217" s="35"/>
      <c r="DV217" s="35"/>
      <c r="DW217" s="35"/>
      <c r="DX217" s="35"/>
      <c r="DY217" s="35"/>
      <c r="DZ217" s="35"/>
      <c r="EA217" s="35"/>
      <c r="EB217" s="35"/>
      <c r="EC217" s="35"/>
      <c r="ED217" s="35"/>
      <c r="EE217" s="35"/>
      <c r="EF217" s="35"/>
      <c r="EG217" s="35"/>
      <c r="EH217" s="35"/>
      <c r="EI217" s="35"/>
      <c r="EJ217" s="35"/>
      <c r="EK217" s="35"/>
      <c r="EL217" s="35"/>
      <c r="EM217" s="35"/>
      <c r="EN217" s="35"/>
      <c r="EO217" s="35"/>
      <c r="EP217" s="35"/>
      <c r="EQ217" s="35"/>
      <c r="ER217" s="35"/>
      <c r="ES217" s="35"/>
      <c r="ET217" s="35"/>
      <c r="EU217" s="35"/>
      <c r="EV217" s="35"/>
      <c r="EW217" s="35"/>
      <c r="EX217" s="35"/>
      <c r="EY217" s="35"/>
      <c r="EZ217" s="35"/>
      <c r="FA217" s="35"/>
      <c r="FB217" s="35"/>
      <c r="FC217" s="35"/>
      <c r="FD217" s="35"/>
      <c r="FE217" s="35"/>
      <c r="FF217" s="35"/>
      <c r="FG217" s="35"/>
      <c r="FH217" s="35"/>
      <c r="FI217" s="35"/>
      <c r="FJ217" s="35"/>
      <c r="FK217" s="35"/>
      <c r="FL217" s="35"/>
      <c r="FM217" s="35"/>
      <c r="FN217" s="35"/>
      <c r="FO217" s="35"/>
      <c r="FP217" s="35"/>
      <c r="FQ217" s="35"/>
      <c r="FR217" s="35"/>
      <c r="FS217" s="35"/>
      <c r="FT217" s="35"/>
      <c r="FU217" s="35">
        <v>1</v>
      </c>
      <c r="FV217" s="35"/>
      <c r="FW217" s="35"/>
      <c r="FX217" s="35"/>
      <c r="FY217" s="35"/>
      <c r="FZ217" s="35"/>
      <c r="GA217" s="35"/>
      <c r="GB217" s="318"/>
      <c r="GC217" s="178">
        <f t="shared" si="37"/>
        <v>0</v>
      </c>
      <c r="GD217" s="178">
        <f t="shared" si="38"/>
        <v>0</v>
      </c>
      <c r="GE217" s="178">
        <f t="shared" si="39"/>
        <v>0</v>
      </c>
      <c r="GF217" s="178">
        <f t="shared" si="40"/>
        <v>0</v>
      </c>
      <c r="GG217" s="178">
        <f t="shared" si="41"/>
        <v>0</v>
      </c>
    </row>
    <row r="218" spans="1:342" x14ac:dyDescent="0.35">
      <c r="A218" s="6" t="s">
        <v>1194</v>
      </c>
      <c r="B218" s="6" t="str">
        <f>IF(Technologies!B218&lt;&gt;0,Technologies!B218,"")</f>
        <v>Industrie</v>
      </c>
      <c r="C218" s="6" t="str">
        <f>VLOOKUP($A218,Technologies!$A$7:$H$576,3,FALSE)</f>
        <v>Emission</v>
      </c>
      <c r="D218" s="6" t="str">
        <f>VLOOKUP($A218,Technologies!$A$7:$H$576,4,FALSE)</f>
        <v>Industry</v>
      </c>
      <c r="E218" s="6" t="str">
        <f>VLOOKUP($A218,Technologies!$A$7:$H$576,6,FALSE)</f>
        <v>neGHG - Industry - N2O</v>
      </c>
      <c r="F218" s="48" t="str">
        <f>VLOOKUP($A218,Technologies!$A$7:$H$576,7,FALSE)</f>
        <v>Indirect - N2O Industry</v>
      </c>
      <c r="G218" s="22"/>
      <c r="H218" s="22"/>
      <c r="I218" s="103" cm="1">
        <f t="array" ref="I218">-SUMPRODUCT((Feedstocks!$C$4:$C$141=A218)*Feedstocks!$E$4:$E$141,Feedstocks!$F$4:$F$141,Feedstocks!$H$4:$H$141,Feedstocks!$I$4:$I$141)</f>
        <v>0</v>
      </c>
      <c r="J218" s="103" cm="1">
        <f t="array" ref="J218">-SUMPRODUCT((Feedstocks!$C$4:$C$141=A218)*Feedstocks!$E$4:$E$141,Feedstocks!$H$4:$H$141,Feedstocks!$I$4:$I$141)</f>
        <v>0</v>
      </c>
      <c r="K218" s="103"/>
      <c r="L218" s="103"/>
      <c r="M218" s="22"/>
      <c r="N218" s="22" t="str">
        <f>VLOOKUP(E218,Activities!$A$9:$M$227,13,FALSE)</f>
        <v>NL</v>
      </c>
      <c r="O218" s="22"/>
      <c r="P218" s="80" t="s">
        <v>699</v>
      </c>
      <c r="Q218" s="36"/>
      <c r="R218" s="36"/>
      <c r="S218" s="36"/>
      <c r="T218" s="36"/>
      <c r="U218" s="36"/>
      <c r="V218" s="36"/>
      <c r="W218" s="36"/>
      <c r="X218" s="36"/>
      <c r="Y218" s="36"/>
      <c r="Z218" s="36"/>
      <c r="AA218" s="36"/>
      <c r="AB218" s="36"/>
      <c r="AC218" s="36"/>
      <c r="AD218" s="36"/>
      <c r="AE218" s="36"/>
      <c r="AF218" s="36"/>
      <c r="AG218" s="36"/>
      <c r="AH218" s="36"/>
      <c r="AI218" s="36"/>
      <c r="AJ218" s="36"/>
      <c r="AK218" s="36"/>
      <c r="AL218" s="36"/>
      <c r="AM218" s="36"/>
      <c r="AN218" s="36"/>
      <c r="AO218" s="36"/>
      <c r="AP218" s="36"/>
      <c r="AQ218" s="36"/>
      <c r="AR218" s="36"/>
      <c r="AS218" s="36"/>
      <c r="AT218" s="36"/>
      <c r="AU218" s="36"/>
      <c r="AV218" s="36"/>
      <c r="AW218" s="36"/>
      <c r="AX218" s="36"/>
      <c r="AY218" s="36"/>
      <c r="AZ218" s="36"/>
      <c r="BA218" s="36"/>
      <c r="BB218" s="36"/>
      <c r="BC218" s="36"/>
      <c r="BD218" s="36"/>
      <c r="BE218" s="36"/>
      <c r="BF218" s="36"/>
      <c r="BG218" s="36"/>
      <c r="BH218" s="36"/>
      <c r="BI218" s="36"/>
      <c r="BJ218" s="36"/>
      <c r="BK218" s="36"/>
      <c r="BL218" s="36"/>
      <c r="BM218" s="36"/>
      <c r="BN218" s="36"/>
      <c r="BO218" s="36"/>
      <c r="BP218" s="36"/>
      <c r="BQ218" s="36"/>
      <c r="BR218" s="36"/>
      <c r="BS218" s="36">
        <v>1</v>
      </c>
      <c r="BT218" s="36"/>
      <c r="BU218" s="36"/>
      <c r="BV218" s="36"/>
      <c r="BW218" s="36"/>
      <c r="BX218" s="36"/>
      <c r="BY218" s="36"/>
      <c r="BZ218" s="36"/>
      <c r="CA218" s="36"/>
      <c r="CB218" s="36"/>
      <c r="CC218" s="36"/>
      <c r="CD218" s="36"/>
      <c r="CE218" s="36"/>
      <c r="CF218" s="36"/>
      <c r="CG218" s="36"/>
      <c r="CH218" s="36"/>
      <c r="CI218" s="36"/>
      <c r="CJ218" s="36"/>
      <c r="CK218" s="36"/>
      <c r="CL218" s="36"/>
      <c r="CM218" s="36"/>
      <c r="CN218" s="36"/>
      <c r="CO218" s="36"/>
      <c r="CP218" s="36"/>
      <c r="CQ218" s="36"/>
      <c r="CR218" s="36"/>
      <c r="CS218" s="36"/>
      <c r="CT218" s="36"/>
      <c r="CU218" s="36"/>
      <c r="CV218" s="36"/>
      <c r="CW218" s="36"/>
      <c r="CX218" s="36"/>
      <c r="CY218" s="36"/>
      <c r="CZ218" s="36"/>
      <c r="DA218" s="36"/>
      <c r="DB218" s="36"/>
      <c r="DC218" s="36"/>
      <c r="DD218" s="36"/>
      <c r="DE218" s="36"/>
      <c r="DF218" s="36"/>
      <c r="DG218" s="36"/>
      <c r="DH218" s="36"/>
      <c r="DI218" s="36"/>
      <c r="DJ218" s="36"/>
      <c r="DK218" s="36"/>
      <c r="DL218" s="36"/>
      <c r="DM218" s="36"/>
      <c r="DN218" s="36"/>
      <c r="DO218" s="36"/>
      <c r="DP218" s="36"/>
      <c r="DQ218" s="36"/>
      <c r="DR218" s="36"/>
      <c r="DS218" s="36"/>
      <c r="DT218" s="36"/>
      <c r="DU218" s="36"/>
      <c r="DV218" s="36"/>
      <c r="DW218" s="36"/>
      <c r="DX218" s="36"/>
      <c r="DY218" s="36"/>
      <c r="DZ218" s="36"/>
      <c r="EA218" s="36"/>
      <c r="EB218" s="36"/>
      <c r="EC218" s="36"/>
      <c r="ED218" s="36"/>
      <c r="EE218" s="36"/>
      <c r="EF218" s="36"/>
      <c r="EG218" s="36"/>
      <c r="EH218" s="36"/>
      <c r="EI218" s="36"/>
      <c r="EJ218" s="36"/>
      <c r="EK218" s="36"/>
      <c r="EL218" s="36"/>
      <c r="EM218" s="36"/>
      <c r="EN218" s="36"/>
      <c r="EO218" s="36"/>
      <c r="EP218" s="36"/>
      <c r="EQ218" s="36"/>
      <c r="ER218" s="36"/>
      <c r="ES218" s="36"/>
      <c r="ET218" s="36"/>
      <c r="EU218" s="36"/>
      <c r="EV218" s="36"/>
      <c r="EW218" s="36"/>
      <c r="EX218" s="36"/>
      <c r="EY218" s="36"/>
      <c r="EZ218" s="36"/>
      <c r="FA218" s="36"/>
      <c r="FB218" s="36"/>
      <c r="FC218" s="36"/>
      <c r="FD218" s="36"/>
      <c r="FE218" s="36"/>
      <c r="FF218" s="36"/>
      <c r="FG218" s="36"/>
      <c r="FH218" s="36"/>
      <c r="FI218" s="36"/>
      <c r="FJ218" s="36"/>
      <c r="FK218" s="36"/>
      <c r="FL218" s="36"/>
      <c r="FM218" s="36"/>
      <c r="FN218" s="36"/>
      <c r="FO218" s="36"/>
      <c r="FP218" s="36"/>
      <c r="FQ218" s="36"/>
      <c r="FR218" s="36"/>
      <c r="FS218" s="36"/>
      <c r="FT218" s="36"/>
      <c r="FU218" s="36"/>
      <c r="FV218" s="36">
        <v>1</v>
      </c>
      <c r="FW218" s="36"/>
      <c r="FX218" s="36"/>
      <c r="FY218" s="36"/>
      <c r="FZ218" s="36"/>
      <c r="GA218" s="36"/>
      <c r="GB218" s="319"/>
      <c r="GC218" s="179">
        <f t="shared" si="37"/>
        <v>0</v>
      </c>
      <c r="GD218" s="179">
        <f t="shared" si="38"/>
        <v>0</v>
      </c>
      <c r="GE218" s="179">
        <f t="shared" si="39"/>
        <v>0</v>
      </c>
      <c r="GF218" s="179">
        <f t="shared" si="40"/>
        <v>0</v>
      </c>
      <c r="GG218" s="179">
        <f t="shared" si="41"/>
        <v>0</v>
      </c>
    </row>
    <row r="219" spans="1:342" x14ac:dyDescent="0.35">
      <c r="A219" s="5" t="s">
        <v>1196</v>
      </c>
      <c r="B219" s="5" t="str">
        <f>IF(Technologies!B219&lt;&gt;0,Technologies!B219,"")</f>
        <v>Industrie</v>
      </c>
      <c r="C219" s="5" t="str">
        <f>VLOOKUP($A219,Technologies!$A$7:$H$576,3,FALSE)</f>
        <v>Emission</v>
      </c>
      <c r="D219" s="5" t="str">
        <f>VLOOKUP($A219,Technologies!$A$7:$H$576,4,FALSE)</f>
        <v>Industry</v>
      </c>
      <c r="E219" s="5" t="str">
        <f>VLOOKUP($A219,Technologies!$A$7:$H$576,6,FALSE)</f>
        <v>neGHG - Industry - F-gas</v>
      </c>
      <c r="F219" s="5" t="str">
        <f>VLOOKUP($A219,Technologies!$A$7:$H$576,7,FALSE)</f>
        <v>Indirect - F-gas Industry</v>
      </c>
      <c r="G219" s="23"/>
      <c r="H219" s="23"/>
      <c r="I219" s="104" cm="1">
        <f t="array" ref="I219">-SUMPRODUCT((Feedstocks!$C$4:$C$141=A219)*Feedstocks!$E$4:$E$141,Feedstocks!$F$4:$F$141,Feedstocks!$H$4:$H$141,Feedstocks!$I$4:$I$141)</f>
        <v>0</v>
      </c>
      <c r="J219" s="104" cm="1">
        <f t="array" ref="J219">-SUMPRODUCT((Feedstocks!$C$4:$C$141=A219)*Feedstocks!$E$4:$E$141,Feedstocks!$H$4:$H$141,Feedstocks!$I$4:$I$141)</f>
        <v>0</v>
      </c>
      <c r="K219" s="104"/>
      <c r="L219" s="104"/>
      <c r="M219" s="23"/>
      <c r="N219" s="23" t="str">
        <f>VLOOKUP(E219,Activities!$A$9:$M$227,13,FALSE)</f>
        <v>NL</v>
      </c>
      <c r="O219" s="23"/>
      <c r="P219" s="79" t="s">
        <v>699</v>
      </c>
      <c r="Q219" s="35"/>
      <c r="R219" s="35"/>
      <c r="S219" s="35"/>
      <c r="T219" s="35"/>
      <c r="U219" s="35"/>
      <c r="V219" s="35"/>
      <c r="W219" s="35"/>
      <c r="X219" s="35"/>
      <c r="Y219" s="35"/>
      <c r="Z219" s="35"/>
      <c r="AA219" s="35"/>
      <c r="AB219" s="35"/>
      <c r="AC219" s="35"/>
      <c r="AD219" s="35"/>
      <c r="AE219" s="35"/>
      <c r="AF219" s="35"/>
      <c r="AG219" s="35"/>
      <c r="AH219" s="35"/>
      <c r="AI219" s="35"/>
      <c r="AJ219" s="35"/>
      <c r="AK219" s="35"/>
      <c r="AL219" s="35"/>
      <c r="AM219" s="35"/>
      <c r="AN219" s="35"/>
      <c r="AO219" s="35"/>
      <c r="AP219" s="35"/>
      <c r="AQ219" s="35"/>
      <c r="AR219" s="35"/>
      <c r="AS219" s="35"/>
      <c r="AT219" s="35"/>
      <c r="AU219" s="35"/>
      <c r="AV219" s="35"/>
      <c r="AW219" s="35"/>
      <c r="AX219" s="35"/>
      <c r="AY219" s="35"/>
      <c r="AZ219" s="35"/>
      <c r="BA219" s="35"/>
      <c r="BB219" s="35"/>
      <c r="BC219" s="35"/>
      <c r="BD219" s="35"/>
      <c r="BE219" s="35"/>
      <c r="BF219" s="35"/>
      <c r="BG219" s="35"/>
      <c r="BH219" s="35"/>
      <c r="BI219" s="35"/>
      <c r="BJ219" s="35"/>
      <c r="BK219" s="35"/>
      <c r="BL219" s="35"/>
      <c r="BM219" s="35"/>
      <c r="BN219" s="35"/>
      <c r="BO219" s="35"/>
      <c r="BP219" s="35"/>
      <c r="BQ219" s="35"/>
      <c r="BR219" s="35"/>
      <c r="BS219" s="35"/>
      <c r="BT219" s="35">
        <v>1</v>
      </c>
      <c r="BU219" s="35"/>
      <c r="BV219" s="35"/>
      <c r="BW219" s="35"/>
      <c r="BX219" s="35"/>
      <c r="BY219" s="35"/>
      <c r="BZ219" s="35"/>
      <c r="CA219" s="35"/>
      <c r="CB219" s="35"/>
      <c r="CC219" s="35"/>
      <c r="CD219" s="35"/>
      <c r="CE219" s="35"/>
      <c r="CF219" s="35"/>
      <c r="CG219" s="35"/>
      <c r="CH219" s="35"/>
      <c r="CI219" s="35"/>
      <c r="CJ219" s="35"/>
      <c r="CK219" s="35"/>
      <c r="CL219" s="35"/>
      <c r="CM219" s="35"/>
      <c r="CN219" s="35"/>
      <c r="CO219" s="35"/>
      <c r="CP219" s="35"/>
      <c r="CQ219" s="35"/>
      <c r="CR219" s="35"/>
      <c r="CS219" s="35"/>
      <c r="CT219" s="35"/>
      <c r="CU219" s="35"/>
      <c r="CV219" s="35"/>
      <c r="CW219" s="35"/>
      <c r="CX219" s="35"/>
      <c r="CY219" s="35"/>
      <c r="CZ219" s="35"/>
      <c r="DA219" s="35"/>
      <c r="DB219" s="35"/>
      <c r="DC219" s="35"/>
      <c r="DD219" s="35"/>
      <c r="DE219" s="35"/>
      <c r="DF219" s="35"/>
      <c r="DG219" s="35"/>
      <c r="DH219" s="35"/>
      <c r="DI219" s="35"/>
      <c r="DJ219" s="35"/>
      <c r="DK219" s="35"/>
      <c r="DL219" s="35"/>
      <c r="DM219" s="35"/>
      <c r="DN219" s="35"/>
      <c r="DO219" s="35"/>
      <c r="DP219" s="35"/>
      <c r="DQ219" s="35"/>
      <c r="DR219" s="35"/>
      <c r="DS219" s="35"/>
      <c r="DT219" s="35"/>
      <c r="DU219" s="35"/>
      <c r="DV219" s="35"/>
      <c r="DW219" s="35"/>
      <c r="DX219" s="35"/>
      <c r="DY219" s="35"/>
      <c r="DZ219" s="35"/>
      <c r="EA219" s="35"/>
      <c r="EB219" s="35"/>
      <c r="EC219" s="35"/>
      <c r="ED219" s="35"/>
      <c r="EE219" s="35"/>
      <c r="EF219" s="35"/>
      <c r="EG219" s="35"/>
      <c r="EH219" s="35"/>
      <c r="EI219" s="35"/>
      <c r="EJ219" s="35"/>
      <c r="EK219" s="35"/>
      <c r="EL219" s="35"/>
      <c r="EM219" s="35"/>
      <c r="EN219" s="35"/>
      <c r="EO219" s="35"/>
      <c r="EP219" s="35"/>
      <c r="EQ219" s="35"/>
      <c r="ER219" s="35"/>
      <c r="ES219" s="35"/>
      <c r="ET219" s="35"/>
      <c r="EU219" s="35"/>
      <c r="EV219" s="35"/>
      <c r="EW219" s="35"/>
      <c r="EX219" s="35"/>
      <c r="EY219" s="35"/>
      <c r="EZ219" s="35"/>
      <c r="FA219" s="35"/>
      <c r="FB219" s="35"/>
      <c r="FC219" s="35"/>
      <c r="FD219" s="35"/>
      <c r="FE219" s="35"/>
      <c r="FF219" s="35"/>
      <c r="FG219" s="35"/>
      <c r="FH219" s="35"/>
      <c r="FI219" s="35"/>
      <c r="FJ219" s="35"/>
      <c r="FK219" s="35"/>
      <c r="FL219" s="35"/>
      <c r="FM219" s="35"/>
      <c r="FN219" s="35"/>
      <c r="FO219" s="35"/>
      <c r="FP219" s="35"/>
      <c r="FQ219" s="35"/>
      <c r="FR219" s="35"/>
      <c r="FS219" s="35"/>
      <c r="FT219" s="35"/>
      <c r="FU219" s="35"/>
      <c r="FV219" s="35"/>
      <c r="FW219" s="35">
        <v>1</v>
      </c>
      <c r="FX219" s="35"/>
      <c r="FY219" s="35"/>
      <c r="FZ219" s="35"/>
      <c r="GA219" s="35"/>
      <c r="GB219" s="318"/>
      <c r="GC219" s="178">
        <f t="shared" si="37"/>
        <v>0</v>
      </c>
      <c r="GD219" s="178">
        <f t="shared" si="38"/>
        <v>0</v>
      </c>
      <c r="GE219" s="178">
        <f t="shared" si="39"/>
        <v>0</v>
      </c>
      <c r="GF219" s="178">
        <f t="shared" si="40"/>
        <v>0</v>
      </c>
      <c r="GG219" s="178">
        <f t="shared" si="41"/>
        <v>0</v>
      </c>
    </row>
    <row r="220" spans="1:342" x14ac:dyDescent="0.35">
      <c r="A220" s="6" t="s">
        <v>1198</v>
      </c>
      <c r="B220" s="6" t="str">
        <f>IF(Technologies!B220&lt;&gt;0,Technologies!B220,"")</f>
        <v>Mobiliteit</v>
      </c>
      <c r="C220" s="6" t="str">
        <f>VLOOKUP($A220,Technologies!$A$7:$H$576,3,FALSE)</f>
        <v>Emission</v>
      </c>
      <c r="D220" s="6" t="str">
        <f>VLOOKUP($A220,Technologies!$A$7:$H$576,4,FALSE)</f>
        <v>Transport</v>
      </c>
      <c r="E220" s="6" t="str">
        <f>VLOOKUP($A220,Technologies!$A$7:$H$576,6,FALSE)</f>
        <v>neGHG - Transport - CH4</v>
      </c>
      <c r="F220" s="48" t="str">
        <f>VLOOKUP($A220,Technologies!$A$7:$H$576,7,FALSE)</f>
        <v>Indirect - CH4 Transport</v>
      </c>
      <c r="G220" s="22"/>
      <c r="H220" s="22"/>
      <c r="I220" s="103" cm="1">
        <f t="array" ref="I220">-SUMPRODUCT((Feedstocks!$C$4:$C$141=A220)*Feedstocks!$E$4:$E$141,Feedstocks!$F$4:$F$141,Feedstocks!$H$4:$H$141,Feedstocks!$I$4:$I$141)</f>
        <v>0</v>
      </c>
      <c r="J220" s="103" cm="1">
        <f t="array" ref="J220">-SUMPRODUCT((Feedstocks!$C$4:$C$141=A220)*Feedstocks!$E$4:$E$141,Feedstocks!$H$4:$H$141,Feedstocks!$I$4:$I$141)</f>
        <v>0</v>
      </c>
      <c r="K220" s="103"/>
      <c r="L220" s="103"/>
      <c r="M220" s="22"/>
      <c r="N220" s="22" t="str">
        <f>VLOOKUP(E220,Activities!$A$9:$M$227,13,FALSE)</f>
        <v>NL</v>
      </c>
      <c r="O220" s="22"/>
      <c r="P220" s="80" t="s">
        <v>699</v>
      </c>
      <c r="Q220" s="36"/>
      <c r="R220" s="36"/>
      <c r="S220" s="36"/>
      <c r="T220" s="36"/>
      <c r="U220" s="36"/>
      <c r="V220" s="36"/>
      <c r="W220" s="36"/>
      <c r="X220" s="36"/>
      <c r="Y220" s="36"/>
      <c r="Z220" s="36"/>
      <c r="AA220" s="36"/>
      <c r="AB220" s="36"/>
      <c r="AC220" s="36"/>
      <c r="AD220" s="36"/>
      <c r="AE220" s="36"/>
      <c r="AF220" s="36"/>
      <c r="AG220" s="36"/>
      <c r="AH220" s="36"/>
      <c r="AI220" s="36"/>
      <c r="AJ220" s="36"/>
      <c r="AK220" s="36"/>
      <c r="AL220" s="36"/>
      <c r="AM220" s="36"/>
      <c r="AN220" s="36"/>
      <c r="AO220" s="36"/>
      <c r="AP220" s="36"/>
      <c r="AQ220" s="36"/>
      <c r="AR220" s="36"/>
      <c r="AS220" s="36"/>
      <c r="AT220" s="36"/>
      <c r="AU220" s="36"/>
      <c r="AV220" s="36"/>
      <c r="AW220" s="36"/>
      <c r="AX220" s="36"/>
      <c r="AY220" s="36"/>
      <c r="AZ220" s="36"/>
      <c r="BA220" s="36"/>
      <c r="BB220" s="36"/>
      <c r="BC220" s="36"/>
      <c r="BD220" s="36"/>
      <c r="BE220" s="36"/>
      <c r="BF220" s="36"/>
      <c r="BG220" s="36"/>
      <c r="BH220" s="36"/>
      <c r="BI220" s="36"/>
      <c r="BJ220" s="36"/>
      <c r="BK220" s="36"/>
      <c r="BL220" s="36"/>
      <c r="BM220" s="36"/>
      <c r="BN220" s="36"/>
      <c r="BO220" s="36"/>
      <c r="BP220" s="36"/>
      <c r="BQ220" s="36"/>
      <c r="BR220" s="36"/>
      <c r="BS220" s="36"/>
      <c r="BT220" s="36"/>
      <c r="BU220" s="36">
        <v>1</v>
      </c>
      <c r="BV220" s="36"/>
      <c r="BW220" s="36"/>
      <c r="BX220" s="36"/>
      <c r="BY220" s="36"/>
      <c r="BZ220" s="36"/>
      <c r="CA220" s="36"/>
      <c r="CB220" s="36"/>
      <c r="CC220" s="36"/>
      <c r="CD220" s="36"/>
      <c r="CE220" s="36"/>
      <c r="CF220" s="36"/>
      <c r="CG220" s="36"/>
      <c r="CH220" s="36"/>
      <c r="CI220" s="36"/>
      <c r="CJ220" s="36"/>
      <c r="CK220" s="36"/>
      <c r="CL220" s="36"/>
      <c r="CM220" s="36"/>
      <c r="CN220" s="36"/>
      <c r="CO220" s="36"/>
      <c r="CP220" s="36"/>
      <c r="CQ220" s="36"/>
      <c r="CR220" s="36"/>
      <c r="CS220" s="36"/>
      <c r="CT220" s="36"/>
      <c r="CU220" s="36"/>
      <c r="CV220" s="36"/>
      <c r="CW220" s="36"/>
      <c r="CX220" s="36"/>
      <c r="CY220" s="36"/>
      <c r="CZ220" s="36"/>
      <c r="DA220" s="36"/>
      <c r="DB220" s="36"/>
      <c r="DC220" s="36"/>
      <c r="DD220" s="36"/>
      <c r="DE220" s="36"/>
      <c r="DF220" s="36"/>
      <c r="DG220" s="36"/>
      <c r="DH220" s="36"/>
      <c r="DI220" s="36"/>
      <c r="DJ220" s="36"/>
      <c r="DK220" s="36"/>
      <c r="DL220" s="36"/>
      <c r="DM220" s="36"/>
      <c r="DN220" s="36"/>
      <c r="DO220" s="36"/>
      <c r="DP220" s="36"/>
      <c r="DQ220" s="36"/>
      <c r="DR220" s="36"/>
      <c r="DS220" s="36"/>
      <c r="DT220" s="36"/>
      <c r="DU220" s="36"/>
      <c r="DV220" s="36"/>
      <c r="DW220" s="36"/>
      <c r="DX220" s="36"/>
      <c r="DY220" s="36"/>
      <c r="DZ220" s="36"/>
      <c r="EA220" s="36"/>
      <c r="EB220" s="36"/>
      <c r="EC220" s="36"/>
      <c r="ED220" s="36"/>
      <c r="EE220" s="36"/>
      <c r="EF220" s="36"/>
      <c r="EG220" s="36"/>
      <c r="EH220" s="36"/>
      <c r="EI220" s="36"/>
      <c r="EJ220" s="36"/>
      <c r="EK220" s="36"/>
      <c r="EL220" s="36"/>
      <c r="EM220" s="36"/>
      <c r="EN220" s="36"/>
      <c r="EO220" s="36"/>
      <c r="EP220" s="36"/>
      <c r="EQ220" s="36"/>
      <c r="ER220" s="36"/>
      <c r="ES220" s="36"/>
      <c r="ET220" s="36"/>
      <c r="EU220" s="36"/>
      <c r="EV220" s="36"/>
      <c r="EW220" s="36"/>
      <c r="EX220" s="36"/>
      <c r="EY220" s="36"/>
      <c r="EZ220" s="36"/>
      <c r="FA220" s="36"/>
      <c r="FB220" s="36"/>
      <c r="FC220" s="36"/>
      <c r="FD220" s="36"/>
      <c r="FE220" s="36"/>
      <c r="FF220" s="36"/>
      <c r="FG220" s="36"/>
      <c r="FH220" s="36"/>
      <c r="FI220" s="36"/>
      <c r="FJ220" s="36"/>
      <c r="FK220" s="36"/>
      <c r="FL220" s="36"/>
      <c r="FM220" s="36"/>
      <c r="FN220" s="36"/>
      <c r="FO220" s="36"/>
      <c r="FP220" s="36"/>
      <c r="FQ220" s="36"/>
      <c r="FR220" s="36"/>
      <c r="FS220" s="36"/>
      <c r="FT220" s="36"/>
      <c r="FU220" s="36"/>
      <c r="FV220" s="36"/>
      <c r="FW220" s="36"/>
      <c r="FX220" s="36">
        <v>1</v>
      </c>
      <c r="FY220" s="36"/>
      <c r="FZ220" s="36"/>
      <c r="GA220" s="36"/>
      <c r="GB220" s="319"/>
      <c r="GC220" s="179">
        <f t="shared" si="37"/>
        <v>0</v>
      </c>
      <c r="GD220" s="179">
        <f t="shared" si="38"/>
        <v>0</v>
      </c>
      <c r="GE220" s="179">
        <f t="shared" si="39"/>
        <v>0</v>
      </c>
      <c r="GF220" s="179">
        <f t="shared" si="40"/>
        <v>0</v>
      </c>
      <c r="GG220" s="179">
        <f t="shared" si="41"/>
        <v>0</v>
      </c>
    </row>
    <row r="221" spans="1:342" x14ac:dyDescent="0.35">
      <c r="A221" s="5" t="s">
        <v>1200</v>
      </c>
      <c r="B221" s="5" t="str">
        <f>IF(Technologies!B221&lt;&gt;0,Technologies!B221,"")</f>
        <v>Mobiliteit</v>
      </c>
      <c r="C221" s="5" t="str">
        <f>VLOOKUP($A221,Technologies!$A$7:$H$576,3,FALSE)</f>
        <v>Emission</v>
      </c>
      <c r="D221" s="5" t="str">
        <f>VLOOKUP($A221,Technologies!$A$7:$H$576,4,FALSE)</f>
        <v>Transport</v>
      </c>
      <c r="E221" s="5" t="str">
        <f>VLOOKUP($A221,Technologies!$A$7:$H$576,6,FALSE)</f>
        <v>neGHG - Transport - N2O</v>
      </c>
      <c r="F221" s="5" t="str">
        <f>VLOOKUP($A221,Technologies!$A$7:$H$576,7,FALSE)</f>
        <v>Indirect - N2O Transport</v>
      </c>
      <c r="G221" s="23"/>
      <c r="H221" s="23"/>
      <c r="I221" s="104" cm="1">
        <f t="array" ref="I221">-SUMPRODUCT((Feedstocks!$C$4:$C$141=A221)*Feedstocks!$E$4:$E$141,Feedstocks!$F$4:$F$141,Feedstocks!$H$4:$H$141,Feedstocks!$I$4:$I$141)</f>
        <v>0</v>
      </c>
      <c r="J221" s="104" cm="1">
        <f t="array" ref="J221">-SUMPRODUCT((Feedstocks!$C$4:$C$141=A221)*Feedstocks!$E$4:$E$141,Feedstocks!$H$4:$H$141,Feedstocks!$I$4:$I$141)</f>
        <v>0</v>
      </c>
      <c r="K221" s="104"/>
      <c r="L221" s="104"/>
      <c r="M221" s="23"/>
      <c r="N221" s="23" t="str">
        <f>VLOOKUP(E221,Activities!$A$9:$M$227,13,FALSE)</f>
        <v>NL</v>
      </c>
      <c r="O221" s="23"/>
      <c r="P221" s="79" t="s">
        <v>699</v>
      </c>
      <c r="Q221" s="35"/>
      <c r="R221" s="35"/>
      <c r="S221" s="35"/>
      <c r="T221" s="35"/>
      <c r="U221" s="35"/>
      <c r="V221" s="35"/>
      <c r="W221" s="35"/>
      <c r="X221" s="35"/>
      <c r="Y221" s="35"/>
      <c r="Z221" s="35"/>
      <c r="AA221" s="35"/>
      <c r="AB221" s="35"/>
      <c r="AC221" s="35"/>
      <c r="AD221" s="35"/>
      <c r="AE221" s="35"/>
      <c r="AF221" s="35"/>
      <c r="AG221" s="35"/>
      <c r="AH221" s="35"/>
      <c r="AI221" s="35"/>
      <c r="AJ221" s="35"/>
      <c r="AK221" s="35"/>
      <c r="AL221" s="35"/>
      <c r="AM221" s="35"/>
      <c r="AN221" s="35"/>
      <c r="AO221" s="35"/>
      <c r="AP221" s="35"/>
      <c r="AQ221" s="35"/>
      <c r="AR221" s="35"/>
      <c r="AS221" s="35"/>
      <c r="AT221" s="35"/>
      <c r="AU221" s="35"/>
      <c r="AV221" s="35"/>
      <c r="AW221" s="35"/>
      <c r="AX221" s="35"/>
      <c r="AY221" s="35"/>
      <c r="AZ221" s="35"/>
      <c r="BA221" s="35"/>
      <c r="BB221" s="35"/>
      <c r="BC221" s="35"/>
      <c r="BD221" s="35"/>
      <c r="BE221" s="35"/>
      <c r="BF221" s="35"/>
      <c r="BG221" s="35"/>
      <c r="BH221" s="35"/>
      <c r="BI221" s="35"/>
      <c r="BJ221" s="35"/>
      <c r="BK221" s="35"/>
      <c r="BL221" s="35"/>
      <c r="BM221" s="35"/>
      <c r="BN221" s="35"/>
      <c r="BO221" s="35"/>
      <c r="BP221" s="35"/>
      <c r="BQ221" s="35"/>
      <c r="BR221" s="35"/>
      <c r="BS221" s="35"/>
      <c r="BT221" s="35"/>
      <c r="BU221" s="35"/>
      <c r="BV221" s="35">
        <v>1</v>
      </c>
      <c r="BW221" s="35"/>
      <c r="BX221" s="35"/>
      <c r="BY221" s="35"/>
      <c r="BZ221" s="35"/>
      <c r="CA221" s="35"/>
      <c r="CB221" s="35"/>
      <c r="CC221" s="35"/>
      <c r="CD221" s="35"/>
      <c r="CE221" s="35"/>
      <c r="CF221" s="35"/>
      <c r="CG221" s="35"/>
      <c r="CH221" s="35"/>
      <c r="CI221" s="35"/>
      <c r="CJ221" s="35"/>
      <c r="CK221" s="35"/>
      <c r="CL221" s="35"/>
      <c r="CM221" s="35"/>
      <c r="CN221" s="35"/>
      <c r="CO221" s="35"/>
      <c r="CP221" s="35"/>
      <c r="CQ221" s="35"/>
      <c r="CR221" s="35"/>
      <c r="CS221" s="35"/>
      <c r="CT221" s="35"/>
      <c r="CU221" s="35"/>
      <c r="CV221" s="35"/>
      <c r="CW221" s="35"/>
      <c r="CX221" s="35"/>
      <c r="CY221" s="35"/>
      <c r="CZ221" s="35"/>
      <c r="DA221" s="35"/>
      <c r="DB221" s="35"/>
      <c r="DC221" s="35"/>
      <c r="DD221" s="35"/>
      <c r="DE221" s="35"/>
      <c r="DF221" s="35"/>
      <c r="DG221" s="35"/>
      <c r="DH221" s="35"/>
      <c r="DI221" s="35"/>
      <c r="DJ221" s="35"/>
      <c r="DK221" s="35"/>
      <c r="DL221" s="35"/>
      <c r="DM221" s="35"/>
      <c r="DN221" s="35"/>
      <c r="DO221" s="35"/>
      <c r="DP221" s="35"/>
      <c r="DQ221" s="35"/>
      <c r="DR221" s="35"/>
      <c r="DS221" s="35"/>
      <c r="DT221" s="35"/>
      <c r="DU221" s="35"/>
      <c r="DV221" s="35"/>
      <c r="DW221" s="35"/>
      <c r="DX221" s="35"/>
      <c r="DY221" s="35"/>
      <c r="DZ221" s="35"/>
      <c r="EA221" s="35"/>
      <c r="EB221" s="35"/>
      <c r="EC221" s="35"/>
      <c r="ED221" s="35"/>
      <c r="EE221" s="35"/>
      <c r="EF221" s="35"/>
      <c r="EG221" s="35"/>
      <c r="EH221" s="35"/>
      <c r="EI221" s="35"/>
      <c r="EJ221" s="35"/>
      <c r="EK221" s="35"/>
      <c r="EL221" s="35"/>
      <c r="EM221" s="35"/>
      <c r="EN221" s="35"/>
      <c r="EO221" s="35"/>
      <c r="EP221" s="35"/>
      <c r="EQ221" s="35"/>
      <c r="ER221" s="35"/>
      <c r="ES221" s="35"/>
      <c r="ET221" s="35"/>
      <c r="EU221" s="35"/>
      <c r="EV221" s="35"/>
      <c r="EW221" s="35"/>
      <c r="EX221" s="35"/>
      <c r="EY221" s="35"/>
      <c r="EZ221" s="35"/>
      <c r="FA221" s="35"/>
      <c r="FB221" s="35"/>
      <c r="FC221" s="35"/>
      <c r="FD221" s="35"/>
      <c r="FE221" s="35"/>
      <c r="FF221" s="35"/>
      <c r="FG221" s="35"/>
      <c r="FH221" s="35"/>
      <c r="FI221" s="35"/>
      <c r="FJ221" s="35"/>
      <c r="FK221" s="35"/>
      <c r="FL221" s="35"/>
      <c r="FM221" s="35"/>
      <c r="FN221" s="35"/>
      <c r="FO221" s="35"/>
      <c r="FP221" s="35"/>
      <c r="FQ221" s="35"/>
      <c r="FR221" s="35"/>
      <c r="FS221" s="35"/>
      <c r="FT221" s="35"/>
      <c r="FU221" s="35"/>
      <c r="FV221" s="35"/>
      <c r="FW221" s="35"/>
      <c r="FX221" s="35"/>
      <c r="FY221" s="35">
        <v>1</v>
      </c>
      <c r="FZ221" s="35"/>
      <c r="GA221" s="35"/>
      <c r="GB221" s="318"/>
      <c r="GC221" s="178">
        <f t="shared" si="37"/>
        <v>0</v>
      </c>
      <c r="GD221" s="178">
        <f t="shared" si="38"/>
        <v>0</v>
      </c>
      <c r="GE221" s="178">
        <f t="shared" si="39"/>
        <v>0</v>
      </c>
      <c r="GF221" s="178">
        <f t="shared" si="40"/>
        <v>0</v>
      </c>
      <c r="GG221" s="178">
        <f t="shared" si="41"/>
        <v>0</v>
      </c>
    </row>
    <row r="222" spans="1:342" x14ac:dyDescent="0.35">
      <c r="A222" s="6" t="s">
        <v>1202</v>
      </c>
      <c r="B222" s="6" t="str">
        <f>IF(Technologies!B222&lt;&gt;0,Technologies!B222,"")</f>
        <v>Mobiliteit</v>
      </c>
      <c r="C222" s="6" t="str">
        <f>VLOOKUP($A222,Technologies!$A$7:$H$576,3,FALSE)</f>
        <v>Emission</v>
      </c>
      <c r="D222" s="6" t="str">
        <f>VLOOKUP($A222,Technologies!$A$7:$H$576,4,FALSE)</f>
        <v>Transport</v>
      </c>
      <c r="E222" s="6" t="str">
        <f>VLOOKUP($A222,Technologies!$A$7:$H$576,6,FALSE)</f>
        <v>neGHG - Transport - F-gas</v>
      </c>
      <c r="F222" s="48" t="str">
        <f>VLOOKUP($A222,Technologies!$A$7:$H$576,7,FALSE)</f>
        <v>Indirect - F-gas Transport</v>
      </c>
      <c r="G222" s="22"/>
      <c r="H222" s="22"/>
      <c r="I222" s="103" cm="1">
        <f t="array" ref="I222">-SUMPRODUCT((Feedstocks!$C$4:$C$141=A222)*Feedstocks!$E$4:$E$141,Feedstocks!$F$4:$F$141,Feedstocks!$H$4:$H$141,Feedstocks!$I$4:$I$141)</f>
        <v>0</v>
      </c>
      <c r="J222" s="103" cm="1">
        <f t="array" ref="J222">-SUMPRODUCT((Feedstocks!$C$4:$C$141=A222)*Feedstocks!$E$4:$E$141,Feedstocks!$H$4:$H$141,Feedstocks!$I$4:$I$141)</f>
        <v>0</v>
      </c>
      <c r="K222" s="103"/>
      <c r="L222" s="103"/>
      <c r="M222" s="22"/>
      <c r="N222" s="22" t="str">
        <f>VLOOKUP(E222,Activities!$A$9:$M$227,13,FALSE)</f>
        <v>NL</v>
      </c>
      <c r="O222" s="22"/>
      <c r="P222" s="80" t="s">
        <v>699</v>
      </c>
      <c r="Q222" s="36"/>
      <c r="R222" s="36"/>
      <c r="S222" s="36"/>
      <c r="T222" s="36"/>
      <c r="U222" s="36"/>
      <c r="V222" s="36"/>
      <c r="W222" s="36"/>
      <c r="X222" s="36"/>
      <c r="Y222" s="36"/>
      <c r="Z222" s="36"/>
      <c r="AA222" s="36"/>
      <c r="AB222" s="36"/>
      <c r="AC222" s="36"/>
      <c r="AD222" s="36"/>
      <c r="AE222" s="36"/>
      <c r="AF222" s="36"/>
      <c r="AG222" s="36"/>
      <c r="AH222" s="36"/>
      <c r="AI222" s="36"/>
      <c r="AJ222" s="36"/>
      <c r="AK222" s="36"/>
      <c r="AL222" s="36"/>
      <c r="AM222" s="36"/>
      <c r="AN222" s="36"/>
      <c r="AO222" s="36"/>
      <c r="AP222" s="36"/>
      <c r="AQ222" s="36"/>
      <c r="AR222" s="36"/>
      <c r="AS222" s="36"/>
      <c r="AT222" s="36"/>
      <c r="AU222" s="36"/>
      <c r="AV222" s="36"/>
      <c r="AW222" s="36"/>
      <c r="AX222" s="36"/>
      <c r="AY222" s="36"/>
      <c r="AZ222" s="36"/>
      <c r="BA222" s="36"/>
      <c r="BB222" s="36"/>
      <c r="BC222" s="36"/>
      <c r="BD222" s="36"/>
      <c r="BE222" s="36"/>
      <c r="BF222" s="36"/>
      <c r="BG222" s="36"/>
      <c r="BH222" s="36"/>
      <c r="BI222" s="36"/>
      <c r="BJ222" s="36"/>
      <c r="BK222" s="36"/>
      <c r="BL222" s="36"/>
      <c r="BM222" s="36"/>
      <c r="BN222" s="36"/>
      <c r="BO222" s="36"/>
      <c r="BP222" s="36"/>
      <c r="BQ222" s="36"/>
      <c r="BR222" s="36"/>
      <c r="BS222" s="36"/>
      <c r="BT222" s="36"/>
      <c r="BU222" s="36"/>
      <c r="BV222" s="36"/>
      <c r="BW222" s="36">
        <v>1</v>
      </c>
      <c r="BX222" s="36"/>
      <c r="BY222" s="36"/>
      <c r="BZ222" s="36"/>
      <c r="CA222" s="36"/>
      <c r="CB222" s="36"/>
      <c r="CC222" s="36"/>
      <c r="CD222" s="36"/>
      <c r="CE222" s="36"/>
      <c r="CF222" s="36"/>
      <c r="CG222" s="36"/>
      <c r="CH222" s="36"/>
      <c r="CI222" s="36"/>
      <c r="CJ222" s="36"/>
      <c r="CK222" s="36"/>
      <c r="CL222" s="36"/>
      <c r="CM222" s="36"/>
      <c r="CN222" s="36"/>
      <c r="CO222" s="36"/>
      <c r="CP222" s="36"/>
      <c r="CQ222" s="36"/>
      <c r="CR222" s="36"/>
      <c r="CS222" s="36"/>
      <c r="CT222" s="36"/>
      <c r="CU222" s="36"/>
      <c r="CV222" s="36"/>
      <c r="CW222" s="36"/>
      <c r="CX222" s="36"/>
      <c r="CY222" s="36"/>
      <c r="CZ222" s="36"/>
      <c r="DA222" s="36"/>
      <c r="DB222" s="36"/>
      <c r="DC222" s="36"/>
      <c r="DD222" s="36"/>
      <c r="DE222" s="36"/>
      <c r="DF222" s="36"/>
      <c r="DG222" s="36"/>
      <c r="DH222" s="36"/>
      <c r="DI222" s="36"/>
      <c r="DJ222" s="36"/>
      <c r="DK222" s="36"/>
      <c r="DL222" s="36"/>
      <c r="DM222" s="36"/>
      <c r="DN222" s="36"/>
      <c r="DO222" s="36"/>
      <c r="DP222" s="36"/>
      <c r="DQ222" s="36"/>
      <c r="DR222" s="36"/>
      <c r="DS222" s="36"/>
      <c r="DT222" s="36"/>
      <c r="DU222" s="36"/>
      <c r="DV222" s="36"/>
      <c r="DW222" s="36"/>
      <c r="DX222" s="36"/>
      <c r="DY222" s="36"/>
      <c r="DZ222" s="36"/>
      <c r="EA222" s="36"/>
      <c r="EB222" s="36"/>
      <c r="EC222" s="36"/>
      <c r="ED222" s="36"/>
      <c r="EE222" s="36"/>
      <c r="EF222" s="36"/>
      <c r="EG222" s="36"/>
      <c r="EH222" s="36"/>
      <c r="EI222" s="36"/>
      <c r="EJ222" s="36"/>
      <c r="EK222" s="36"/>
      <c r="EL222" s="36"/>
      <c r="EM222" s="36"/>
      <c r="EN222" s="36"/>
      <c r="EO222" s="36"/>
      <c r="EP222" s="36"/>
      <c r="EQ222" s="36"/>
      <c r="ER222" s="36"/>
      <c r="ES222" s="36"/>
      <c r="ET222" s="36"/>
      <c r="EU222" s="36"/>
      <c r="EV222" s="36"/>
      <c r="EW222" s="36"/>
      <c r="EX222" s="36"/>
      <c r="EY222" s="36"/>
      <c r="EZ222" s="36"/>
      <c r="FA222" s="36"/>
      <c r="FB222" s="36"/>
      <c r="FC222" s="36"/>
      <c r="FD222" s="36"/>
      <c r="FE222" s="36"/>
      <c r="FF222" s="36"/>
      <c r="FG222" s="36"/>
      <c r="FH222" s="36"/>
      <c r="FI222" s="36"/>
      <c r="FJ222" s="36"/>
      <c r="FK222" s="36"/>
      <c r="FL222" s="36"/>
      <c r="FM222" s="36"/>
      <c r="FN222" s="36"/>
      <c r="FO222" s="36"/>
      <c r="FP222" s="36"/>
      <c r="FQ222" s="36"/>
      <c r="FR222" s="36"/>
      <c r="FS222" s="36"/>
      <c r="FT222" s="36"/>
      <c r="FU222" s="36"/>
      <c r="FV222" s="36"/>
      <c r="FW222" s="36"/>
      <c r="FX222" s="36"/>
      <c r="FY222" s="36"/>
      <c r="FZ222" s="36">
        <v>1</v>
      </c>
      <c r="GA222" s="36"/>
      <c r="GB222" s="319"/>
      <c r="GC222" s="179">
        <f t="shared" si="37"/>
        <v>0</v>
      </c>
      <c r="GD222" s="179">
        <f t="shared" si="38"/>
        <v>0</v>
      </c>
      <c r="GE222" s="179">
        <f t="shared" si="39"/>
        <v>0</v>
      </c>
      <c r="GF222" s="179">
        <f t="shared" si="40"/>
        <v>0</v>
      </c>
      <c r="GG222" s="179">
        <f t="shared" si="41"/>
        <v>0</v>
      </c>
    </row>
    <row r="223" spans="1:342" x14ac:dyDescent="0.35">
      <c r="A223" s="5" t="s">
        <v>1204</v>
      </c>
      <c r="B223" s="5" t="str">
        <f>IF(Technologies!B223&lt;&gt;0,Technologies!B223,"")</f>
        <v>Landgebruik</v>
      </c>
      <c r="C223" s="5" t="str">
        <f>VLOOKUP($A223,Technologies!$A$7:$H$576,3,FALSE)</f>
        <v>Emission</v>
      </c>
      <c r="D223" s="5" t="str">
        <f>VLOOKUP($A223,Technologies!$A$7:$H$576,4,FALSE)</f>
        <v>LULUCF</v>
      </c>
      <c r="E223" s="5" t="str">
        <f>VLOOKUP($A223,Technologies!$A$7:$H$576,6,FALSE)</f>
        <v>neGHG - LULUCF</v>
      </c>
      <c r="F223" s="5" t="str">
        <f>VLOOKUP($A223,Technologies!$A$7:$H$576,7,FALSE)</f>
        <v>LULUCF</v>
      </c>
      <c r="G223" s="23"/>
      <c r="H223" s="23"/>
      <c r="I223" s="104" cm="1">
        <f t="array" ref="I223">-SUMPRODUCT((Feedstocks!$C$4:$C$141=A223)*Feedstocks!$E$4:$E$141,Feedstocks!$F$4:$F$141,Feedstocks!$H$4:$H$141,Feedstocks!$I$4:$I$141)</f>
        <v>0</v>
      </c>
      <c r="J223" s="104" cm="1">
        <f t="array" ref="J223">-SUMPRODUCT((Feedstocks!$C$4:$C$141=A223)*Feedstocks!$E$4:$E$141,Feedstocks!$H$4:$H$141,Feedstocks!$I$4:$I$141)</f>
        <v>0</v>
      </c>
      <c r="K223" s="104"/>
      <c r="L223" s="104"/>
      <c r="M223" s="23"/>
      <c r="N223" s="23" t="str">
        <f>VLOOKUP(E223,Activities!$A$9:$M$227,13,FALSE)</f>
        <v>NL</v>
      </c>
      <c r="O223" s="23"/>
      <c r="P223" s="79" t="s">
        <v>663</v>
      </c>
      <c r="Q223" s="35"/>
      <c r="R223" s="35"/>
      <c r="S223" s="35"/>
      <c r="T223" s="35"/>
      <c r="U223" s="35"/>
      <c r="V223" s="35"/>
      <c r="W223" s="35"/>
      <c r="X223" s="35"/>
      <c r="Y223" s="35"/>
      <c r="Z223" s="35"/>
      <c r="AA223" s="35"/>
      <c r="AB223" s="35"/>
      <c r="AC223" s="35"/>
      <c r="AD223" s="35"/>
      <c r="AE223" s="35"/>
      <c r="AF223" s="35"/>
      <c r="AG223" s="35"/>
      <c r="AH223" s="35"/>
      <c r="AI223" s="35"/>
      <c r="AJ223" s="35"/>
      <c r="AK223" s="35"/>
      <c r="AL223" s="35"/>
      <c r="AM223" s="35"/>
      <c r="AN223" s="35"/>
      <c r="AO223" s="35"/>
      <c r="AP223" s="35"/>
      <c r="AQ223" s="35"/>
      <c r="AR223" s="35"/>
      <c r="AS223" s="35"/>
      <c r="AT223" s="35"/>
      <c r="AU223" s="35"/>
      <c r="AV223" s="35"/>
      <c r="AW223" s="35"/>
      <c r="AX223" s="35"/>
      <c r="AY223" s="35"/>
      <c r="AZ223" s="35"/>
      <c r="BA223" s="35"/>
      <c r="BB223" s="35"/>
      <c r="BC223" s="35"/>
      <c r="BD223" s="35"/>
      <c r="BE223" s="35"/>
      <c r="BF223" s="35"/>
      <c r="BG223" s="35"/>
      <c r="BH223" s="35"/>
      <c r="BI223" s="35"/>
      <c r="BJ223" s="35"/>
      <c r="BK223" s="35"/>
      <c r="BL223" s="35"/>
      <c r="BM223" s="35"/>
      <c r="BN223" s="35"/>
      <c r="BO223" s="35"/>
      <c r="BP223" s="35"/>
      <c r="BQ223" s="35"/>
      <c r="BR223" s="35"/>
      <c r="BS223" s="35"/>
      <c r="BT223" s="35"/>
      <c r="BU223" s="35"/>
      <c r="BV223" s="35"/>
      <c r="BW223" s="35"/>
      <c r="BX223" s="35">
        <v>1</v>
      </c>
      <c r="BY223" s="35"/>
      <c r="BZ223" s="35"/>
      <c r="CA223" s="35"/>
      <c r="CB223" s="35"/>
      <c r="CC223" s="35"/>
      <c r="CD223" s="35"/>
      <c r="CE223" s="35"/>
      <c r="CF223" s="35"/>
      <c r="CG223" s="35"/>
      <c r="CH223" s="35"/>
      <c r="CI223" s="35"/>
      <c r="CJ223" s="35"/>
      <c r="CK223" s="35"/>
      <c r="CL223" s="35"/>
      <c r="CM223" s="35"/>
      <c r="CN223" s="35"/>
      <c r="CO223" s="35"/>
      <c r="CP223" s="35"/>
      <c r="CQ223" s="35"/>
      <c r="CR223" s="35"/>
      <c r="CS223" s="35"/>
      <c r="CT223" s="35"/>
      <c r="CU223" s="35"/>
      <c r="CV223" s="35"/>
      <c r="CW223" s="35"/>
      <c r="CX223" s="35"/>
      <c r="CY223" s="35"/>
      <c r="CZ223" s="35"/>
      <c r="DA223" s="35"/>
      <c r="DB223" s="35"/>
      <c r="DC223" s="35"/>
      <c r="DD223" s="35"/>
      <c r="DE223" s="35"/>
      <c r="DF223" s="35"/>
      <c r="DG223" s="35"/>
      <c r="DH223" s="35"/>
      <c r="DI223" s="35"/>
      <c r="DJ223" s="35"/>
      <c r="DK223" s="35"/>
      <c r="DL223" s="35"/>
      <c r="DM223" s="35"/>
      <c r="DN223" s="35"/>
      <c r="DO223" s="35"/>
      <c r="DP223" s="35"/>
      <c r="DQ223" s="35"/>
      <c r="DR223" s="35"/>
      <c r="DS223" s="35"/>
      <c r="DT223" s="35"/>
      <c r="DU223" s="35"/>
      <c r="DV223" s="35"/>
      <c r="DW223" s="35"/>
      <c r="DX223" s="35"/>
      <c r="DY223" s="35"/>
      <c r="DZ223" s="35"/>
      <c r="EA223" s="35"/>
      <c r="EB223" s="35"/>
      <c r="EC223" s="35"/>
      <c r="ED223" s="35"/>
      <c r="EE223" s="35"/>
      <c r="EF223" s="35"/>
      <c r="EG223" s="35"/>
      <c r="EH223" s="35"/>
      <c r="EI223" s="35"/>
      <c r="EJ223" s="35"/>
      <c r="EK223" s="35"/>
      <c r="EL223" s="35"/>
      <c r="EM223" s="35"/>
      <c r="EN223" s="35"/>
      <c r="EO223" s="35"/>
      <c r="EP223" s="35"/>
      <c r="EQ223" s="35"/>
      <c r="ER223" s="35"/>
      <c r="ES223" s="35"/>
      <c r="ET223" s="35"/>
      <c r="EU223" s="35"/>
      <c r="EV223" s="35"/>
      <c r="EW223" s="35"/>
      <c r="EX223" s="35"/>
      <c r="EY223" s="35"/>
      <c r="EZ223" s="35"/>
      <c r="FA223" s="35"/>
      <c r="FB223" s="35"/>
      <c r="FC223" s="35"/>
      <c r="FD223" s="35"/>
      <c r="FE223" s="35"/>
      <c r="FF223" s="35"/>
      <c r="FG223" s="35"/>
      <c r="FH223" s="35"/>
      <c r="FI223" s="35"/>
      <c r="FJ223" s="35"/>
      <c r="FK223" s="35"/>
      <c r="FL223" s="35"/>
      <c r="FM223" s="35"/>
      <c r="FN223" s="35"/>
      <c r="FO223" s="35"/>
      <c r="FP223" s="35"/>
      <c r="FQ223" s="35"/>
      <c r="FR223" s="35"/>
      <c r="FS223" s="35"/>
      <c r="FT223" s="35"/>
      <c r="FU223" s="35"/>
      <c r="FV223" s="35"/>
      <c r="FW223" s="35"/>
      <c r="FX223" s="35"/>
      <c r="FY223" s="35"/>
      <c r="FZ223" s="35"/>
      <c r="GA223" s="35">
        <v>1</v>
      </c>
      <c r="GB223" s="318"/>
      <c r="GC223" s="178">
        <f t="shared" si="37"/>
        <v>0</v>
      </c>
      <c r="GD223" s="178">
        <f t="shared" si="38"/>
        <v>0</v>
      </c>
      <c r="GE223" s="178">
        <f t="shared" si="39"/>
        <v>0</v>
      </c>
      <c r="GF223" s="178">
        <f t="shared" si="40"/>
        <v>0</v>
      </c>
      <c r="GG223" s="178">
        <f t="shared" si="41"/>
        <v>0</v>
      </c>
    </row>
    <row r="224" spans="1:342" x14ac:dyDescent="0.35">
      <c r="A224" s="6" t="s">
        <v>1207</v>
      </c>
      <c r="B224" s="6" t="str">
        <f>IF(Technologies!B224&lt;&gt;0,Technologies!B224,"")</f>
        <v>Industrie</v>
      </c>
      <c r="C224" s="6" t="str">
        <f>VLOOKUP($A224,Technologies!$A$7:$H$576,3,FALSE)</f>
        <v>Exports</v>
      </c>
      <c r="D224" s="6" t="str">
        <f>VLOOKUP($A224,Technologies!$A$7:$H$576,4,FALSE)</f>
        <v>Final Gas EU</v>
      </c>
      <c r="E224" s="6" t="str">
        <f>VLOOKUP($A224,Technologies!$A$7:$H$576,6,FALSE)</f>
        <v>Natural Gas Exports</v>
      </c>
      <c r="F224" s="48" t="str">
        <f>VLOOKUP($A224,Technologies!$A$7:$H$576,7,FALSE)</f>
        <v>Exports of Natural Gas</v>
      </c>
      <c r="G224" s="22"/>
      <c r="H224" s="22"/>
      <c r="I224" s="103" cm="1">
        <f t="array" ref="I224">-SUMPRODUCT((Feedstocks!$C$4:$C$141=A224)*Feedstocks!$E$4:$E$141,Feedstocks!$F$4:$F$141,Feedstocks!$H$4:$H$141,Feedstocks!$I$4:$I$141)</f>
        <v>0</v>
      </c>
      <c r="J224" s="103" cm="1">
        <f t="array" ref="J224">-SUMPRODUCT((Feedstocks!$C$4:$C$141=A224)*Feedstocks!$E$4:$E$141,Feedstocks!$H$4:$H$141,Feedstocks!$I$4:$I$141)</f>
        <v>0</v>
      </c>
      <c r="K224" s="103"/>
      <c r="L224" s="103"/>
      <c r="M224" s="22"/>
      <c r="N224" s="22" t="str">
        <f>VLOOKUP(E224,Activities!$A$9:$M$227,13,FALSE)</f>
        <v>EU</v>
      </c>
      <c r="O224" s="22"/>
      <c r="P224" s="80" t="s">
        <v>954</v>
      </c>
      <c r="Q224" s="36"/>
      <c r="R224" s="36"/>
      <c r="S224" s="36"/>
      <c r="T224" s="36"/>
      <c r="U224" s="36"/>
      <c r="V224" s="36"/>
      <c r="W224" s="36"/>
      <c r="X224" s="36"/>
      <c r="Y224" s="36"/>
      <c r="Z224" s="36"/>
      <c r="AA224" s="36"/>
      <c r="AB224" s="36"/>
      <c r="AC224" s="36"/>
      <c r="AD224" s="36"/>
      <c r="AE224" s="36"/>
      <c r="AF224" s="36"/>
      <c r="AG224" s="36"/>
      <c r="AH224" s="36"/>
      <c r="AI224" s="36"/>
      <c r="AJ224" s="36"/>
      <c r="AK224" s="36"/>
      <c r="AL224" s="36"/>
      <c r="AM224" s="36"/>
      <c r="AN224" s="36"/>
      <c r="AO224" s="36"/>
      <c r="AP224" s="36"/>
      <c r="AQ224" s="36"/>
      <c r="AR224" s="36"/>
      <c r="AS224" s="36"/>
      <c r="AT224" s="36"/>
      <c r="AU224" s="36"/>
      <c r="AV224" s="36"/>
      <c r="AW224" s="36"/>
      <c r="AX224" s="36"/>
      <c r="AY224" s="36"/>
      <c r="AZ224" s="36"/>
      <c r="BA224" s="36"/>
      <c r="BB224" s="36"/>
      <c r="BC224" s="36"/>
      <c r="BD224" s="36"/>
      <c r="BE224" s="36"/>
      <c r="BF224" s="36"/>
      <c r="BG224" s="36"/>
      <c r="BH224" s="36"/>
      <c r="BI224" s="36"/>
      <c r="BJ224" s="36"/>
      <c r="BK224" s="36"/>
      <c r="BL224" s="36"/>
      <c r="BM224" s="36"/>
      <c r="BN224" s="36"/>
      <c r="BO224" s="36"/>
      <c r="BP224" s="36"/>
      <c r="BQ224" s="36"/>
      <c r="BR224" s="36"/>
      <c r="BS224" s="36"/>
      <c r="BT224" s="36"/>
      <c r="BU224" s="36"/>
      <c r="BV224" s="36"/>
      <c r="BW224" s="36"/>
      <c r="BX224" s="36"/>
      <c r="BY224" s="36">
        <v>1</v>
      </c>
      <c r="BZ224" s="36"/>
      <c r="CA224" s="36"/>
      <c r="CB224" s="36"/>
      <c r="CC224" s="36"/>
      <c r="CD224" s="36"/>
      <c r="CE224" s="36"/>
      <c r="CF224" s="36"/>
      <c r="CG224" s="36"/>
      <c r="CH224" s="36"/>
      <c r="CI224" s="36"/>
      <c r="CJ224" s="36"/>
      <c r="CK224" s="36"/>
      <c r="CL224" s="36"/>
      <c r="CM224" s="36"/>
      <c r="CN224" s="36"/>
      <c r="CO224" s="36"/>
      <c r="CP224" s="36"/>
      <c r="CQ224" s="36"/>
      <c r="CR224" s="36"/>
      <c r="CS224" s="36"/>
      <c r="CT224" s="36"/>
      <c r="CU224" s="36"/>
      <c r="CV224" s="36"/>
      <c r="CW224" s="36"/>
      <c r="CX224" s="36"/>
      <c r="CY224" s="36"/>
      <c r="CZ224" s="36"/>
      <c r="DA224" s="36"/>
      <c r="DB224" s="36"/>
      <c r="DC224" s="36"/>
      <c r="DD224" s="36"/>
      <c r="DE224" s="36"/>
      <c r="DF224" s="36"/>
      <c r="DG224" s="36"/>
      <c r="DH224" s="36"/>
      <c r="DI224" s="36"/>
      <c r="DJ224" s="36"/>
      <c r="DK224" s="36"/>
      <c r="DL224" s="36"/>
      <c r="DM224" s="36"/>
      <c r="DN224" s="36"/>
      <c r="DO224" s="36"/>
      <c r="DP224" s="36"/>
      <c r="DQ224" s="36"/>
      <c r="DR224" s="36"/>
      <c r="DS224" s="36"/>
      <c r="DT224" s="36"/>
      <c r="DU224" s="36"/>
      <c r="DV224" s="36"/>
      <c r="DW224" s="36"/>
      <c r="DX224" s="36"/>
      <c r="DY224" s="36"/>
      <c r="DZ224" s="36"/>
      <c r="EA224" s="36"/>
      <c r="EB224" s="36"/>
      <c r="EC224" s="36"/>
      <c r="ED224" s="36"/>
      <c r="EE224" s="36"/>
      <c r="EF224" s="36"/>
      <c r="EG224" s="36"/>
      <c r="EH224" s="36"/>
      <c r="EI224" s="36"/>
      <c r="EJ224" s="36">
        <v>-1</v>
      </c>
      <c r="EK224" s="36"/>
      <c r="EL224" s="36"/>
      <c r="EM224" s="36"/>
      <c r="EN224" s="36"/>
      <c r="EO224" s="36"/>
      <c r="EP224" s="36"/>
      <c r="EQ224" s="36"/>
      <c r="ER224" s="36"/>
      <c r="ES224" s="36"/>
      <c r="ET224" s="36"/>
      <c r="EU224" s="36"/>
      <c r="EV224" s="36"/>
      <c r="EW224" s="36"/>
      <c r="EX224" s="36"/>
      <c r="EY224" s="36"/>
      <c r="EZ224" s="36"/>
      <c r="FA224" s="36"/>
      <c r="FB224" s="36"/>
      <c r="FC224" s="36"/>
      <c r="FD224" s="36"/>
      <c r="FE224" s="36"/>
      <c r="FF224" s="36"/>
      <c r="FG224" s="36"/>
      <c r="FH224" s="36"/>
      <c r="FI224" s="36"/>
      <c r="FJ224" s="36"/>
      <c r="FK224" s="36"/>
      <c r="FL224" s="36"/>
      <c r="FM224" s="36"/>
      <c r="FN224" s="36"/>
      <c r="FO224" s="36"/>
      <c r="FP224" s="36"/>
      <c r="FQ224" s="36"/>
      <c r="FR224" s="36"/>
      <c r="FS224" s="36"/>
      <c r="FT224" s="36"/>
      <c r="FU224" s="36"/>
      <c r="FV224" s="36"/>
      <c r="FW224" s="36"/>
      <c r="FX224" s="36"/>
      <c r="FY224" s="36"/>
      <c r="FZ224" s="36"/>
      <c r="GA224" s="36"/>
      <c r="GB224" s="319"/>
      <c r="GC224" s="179">
        <f t="shared" si="37"/>
        <v>0</v>
      </c>
      <c r="GD224" s="179">
        <f t="shared" si="38"/>
        <v>0</v>
      </c>
      <c r="GE224" s="179">
        <f t="shared" si="39"/>
        <v>0</v>
      </c>
      <c r="GF224" s="179">
        <f t="shared" si="40"/>
        <v>0</v>
      </c>
      <c r="GG224" s="179">
        <f t="shared" ref="GG224:GG283" si="42">$I224</f>
        <v>0</v>
      </c>
    </row>
    <row r="225" spans="1:189" x14ac:dyDescent="0.35">
      <c r="A225" s="5" t="s">
        <v>1212</v>
      </c>
      <c r="B225" s="5" t="str">
        <f>IF(Technologies!B225&lt;&gt;0,Technologies!B225,"")</f>
        <v>Industrie</v>
      </c>
      <c r="C225" s="5" t="str">
        <f>VLOOKUP($A225,Technologies!$A$7:$H$576,3,FALSE)</f>
        <v>Exports</v>
      </c>
      <c r="D225" s="5" t="str">
        <f>VLOOKUP($A225,Technologies!$A$7:$H$576,4,FALSE)</f>
        <v>Refineries</v>
      </c>
      <c r="E225" s="5" t="str">
        <f>VLOOKUP($A225,Technologies!$A$7:$H$576,6,FALSE)</f>
        <v>Naphtha Exports</v>
      </c>
      <c r="F225" s="5" t="str">
        <f>VLOOKUP($A225,Technologies!$A$7:$H$576,7,FALSE)</f>
        <v>Exports of oil-based naphtha</v>
      </c>
      <c r="G225" s="23"/>
      <c r="H225" s="23"/>
      <c r="I225" s="104" cm="1">
        <f t="array" ref="I225">-SUMPRODUCT((Feedstocks!$C$4:$C$141=A225)*Feedstocks!$E$4:$E$141,Feedstocks!$F$4:$F$141,Feedstocks!$H$4:$H$141,Feedstocks!$I$4:$I$141)</f>
        <v>7.0999999999999994E-2</v>
      </c>
      <c r="J225" s="104" cm="1">
        <f t="array" ref="J225">-SUMPRODUCT((Feedstocks!$C$4:$C$141=A225)*Feedstocks!$E$4:$E$141,Feedstocks!$H$4:$H$141,Feedstocks!$I$4:$I$141)</f>
        <v>7.0999999999999994E-2</v>
      </c>
      <c r="K225" s="104"/>
      <c r="L225" s="104"/>
      <c r="M225" s="23"/>
      <c r="N225" s="23" t="str">
        <f>VLOOKUP(E225,Activities!$A$9:$M$227,13,FALSE)</f>
        <v>EU</v>
      </c>
      <c r="O225" s="23"/>
      <c r="P225" s="79" t="s">
        <v>954</v>
      </c>
      <c r="Q225" s="35"/>
      <c r="R225" s="35"/>
      <c r="S225" s="35"/>
      <c r="T225" s="35"/>
      <c r="U225" s="35"/>
      <c r="V225" s="35"/>
      <c r="W225" s="35"/>
      <c r="X225" s="35"/>
      <c r="Y225" s="35"/>
      <c r="Z225" s="35"/>
      <c r="AA225" s="35"/>
      <c r="AB225" s="35"/>
      <c r="AC225" s="35"/>
      <c r="AD225" s="35"/>
      <c r="AE225" s="35"/>
      <c r="AF225" s="35"/>
      <c r="AG225" s="35"/>
      <c r="AH225" s="35"/>
      <c r="AI225" s="35"/>
      <c r="AJ225" s="35"/>
      <c r="AK225" s="35"/>
      <c r="AL225" s="35"/>
      <c r="AM225" s="35"/>
      <c r="AN225" s="35"/>
      <c r="AO225" s="35"/>
      <c r="AP225" s="35"/>
      <c r="AQ225" s="35"/>
      <c r="AR225" s="35"/>
      <c r="AS225" s="35"/>
      <c r="AT225" s="35"/>
      <c r="AU225" s="35"/>
      <c r="AV225" s="35"/>
      <c r="AW225" s="35"/>
      <c r="AX225" s="35"/>
      <c r="AY225" s="35"/>
      <c r="AZ225" s="35"/>
      <c r="BA225" s="35"/>
      <c r="BB225" s="35"/>
      <c r="BC225" s="35"/>
      <c r="BD225" s="35"/>
      <c r="BE225" s="35"/>
      <c r="BF225" s="35"/>
      <c r="BG225" s="35"/>
      <c r="BH225" s="35"/>
      <c r="BI225" s="35"/>
      <c r="BJ225" s="35"/>
      <c r="BK225" s="35"/>
      <c r="BL225" s="35"/>
      <c r="BM225" s="35"/>
      <c r="BN225" s="35"/>
      <c r="BO225" s="35"/>
      <c r="BP225" s="35"/>
      <c r="BQ225" s="35"/>
      <c r="BR225" s="35"/>
      <c r="BS225" s="35"/>
      <c r="BT225" s="35"/>
      <c r="BU225" s="35"/>
      <c r="BV225" s="35"/>
      <c r="BW225" s="35"/>
      <c r="BX225" s="35"/>
      <c r="BY225" s="35"/>
      <c r="BZ225" s="35">
        <v>1</v>
      </c>
      <c r="CA225" s="35"/>
      <c r="CB225" s="35"/>
      <c r="CC225" s="35"/>
      <c r="CD225" s="35"/>
      <c r="CE225" s="35"/>
      <c r="CF225" s="35"/>
      <c r="CG225" s="35"/>
      <c r="CH225" s="35"/>
      <c r="CI225" s="35"/>
      <c r="CJ225" s="35"/>
      <c r="CK225" s="35"/>
      <c r="CL225" s="35"/>
      <c r="CM225" s="35"/>
      <c r="CN225" s="35"/>
      <c r="CO225" s="35"/>
      <c r="CP225" s="35"/>
      <c r="CQ225" s="35"/>
      <c r="CR225" s="35"/>
      <c r="CS225" s="35"/>
      <c r="CT225" s="35"/>
      <c r="CU225" s="35"/>
      <c r="CV225" s="35"/>
      <c r="CW225" s="35"/>
      <c r="CX225" s="35"/>
      <c r="CY225" s="35"/>
      <c r="CZ225" s="35"/>
      <c r="DA225" s="35"/>
      <c r="DB225" s="35"/>
      <c r="DC225" s="35"/>
      <c r="DD225" s="35"/>
      <c r="DE225" s="35"/>
      <c r="DF225" s="35"/>
      <c r="DG225" s="35"/>
      <c r="DH225" s="35"/>
      <c r="DI225" s="35"/>
      <c r="DJ225" s="35"/>
      <c r="DK225" s="35"/>
      <c r="DL225" s="35"/>
      <c r="DM225" s="35"/>
      <c r="DN225" s="35"/>
      <c r="DO225" s="35"/>
      <c r="DP225" s="35"/>
      <c r="DQ225" s="35"/>
      <c r="DR225" s="35"/>
      <c r="DS225" s="35"/>
      <c r="DT225" s="35">
        <v>-1</v>
      </c>
      <c r="DU225" s="35"/>
      <c r="DV225" s="35"/>
      <c r="DW225" s="35"/>
      <c r="DX225" s="35"/>
      <c r="DY225" s="35"/>
      <c r="DZ225" s="35"/>
      <c r="EA225" s="35"/>
      <c r="EB225" s="35"/>
      <c r="EC225" s="35"/>
      <c r="ED225" s="35"/>
      <c r="EE225" s="35"/>
      <c r="EF225" s="35"/>
      <c r="EG225" s="35"/>
      <c r="EH225" s="35"/>
      <c r="EI225" s="35"/>
      <c r="EJ225" s="35"/>
      <c r="EK225" s="35"/>
      <c r="EL225" s="35"/>
      <c r="EM225" s="35"/>
      <c r="EN225" s="35"/>
      <c r="EO225" s="35"/>
      <c r="EP225" s="35"/>
      <c r="EQ225" s="35"/>
      <c r="ER225" s="35"/>
      <c r="ES225" s="35"/>
      <c r="ET225" s="35"/>
      <c r="EU225" s="35"/>
      <c r="EV225" s="35"/>
      <c r="EW225" s="35"/>
      <c r="EX225" s="35"/>
      <c r="EY225" s="35"/>
      <c r="EZ225" s="35"/>
      <c r="FA225" s="35"/>
      <c r="FB225" s="35"/>
      <c r="FC225" s="35"/>
      <c r="FD225" s="35"/>
      <c r="FE225" s="35"/>
      <c r="FF225" s="35"/>
      <c r="FG225" s="35"/>
      <c r="FH225" s="35"/>
      <c r="FI225" s="35"/>
      <c r="FJ225" s="35"/>
      <c r="FK225" s="35"/>
      <c r="FL225" s="35"/>
      <c r="FM225" s="35"/>
      <c r="FN225" s="35"/>
      <c r="FO225" s="35"/>
      <c r="FP225" s="35"/>
      <c r="FQ225" s="35"/>
      <c r="FR225" s="35"/>
      <c r="FS225" s="35"/>
      <c r="FT225" s="35"/>
      <c r="FU225" s="35"/>
      <c r="FV225" s="35"/>
      <c r="FW225" s="35"/>
      <c r="FX225" s="35"/>
      <c r="FY225" s="35"/>
      <c r="FZ225" s="35"/>
      <c r="GA225" s="35"/>
      <c r="GB225" s="318"/>
      <c r="GC225" s="178">
        <f t="shared" ref="GC225:GC256" si="43">ROUND(IF($C225="Primary",0,-$G225*(SUMPRODUCT($Q$4:$GA$4,$Q225:$GA225)+$J225)-$H225)*IF($N225=GC$4,1,0),4)</f>
        <v>0</v>
      </c>
      <c r="GD225" s="178">
        <f t="shared" ref="GD225:GD256" si="44">ROUND(IF($C225="Primary",0,$M225*(1-$O225)*($G225*(SUMPRODUCT($Q$4:$GA$4,$Q225:$GA225)+$J225)+$H225-SUMPRODUCT($Q$5:$GA$5,$Q225:$GA225)-$I225+$K225))*IF($N225=GD$4,1,0),4)</f>
        <v>0</v>
      </c>
      <c r="GE225" s="178">
        <f t="shared" ref="GE225:GE256" si="45">ROUND(IF($C225="Primary",0,(1-$M225)*(1-$O225)*($G225*(SUMPRODUCT($Q$4:$GA$4,$Q225:$GA225)+$J225)+$H225-SUMPRODUCT($Q$5:$GA$5,$Q225:$GA225)-$I225+$L225))*IF($N225=GD$4,1,0),4)</f>
        <v>0</v>
      </c>
      <c r="GF225" s="178">
        <f t="shared" ref="GF225:GF256" si="46">ROUND(IF($C225="Primary",0,$O225*($G225*(SUMPRODUCT($Q$4:$GA$4,$Q225:$GA225)+$J225)-SUMPRODUCT($Q$5:$GA$5,$Q225:$GA225)-$I225))*IF($N225=GD$4,1,0),4)</f>
        <v>0</v>
      </c>
      <c r="GG225" s="178">
        <f t="shared" si="42"/>
        <v>7.0999999999999994E-2</v>
      </c>
    </row>
    <row r="226" spans="1:189" x14ac:dyDescent="0.35">
      <c r="A226" s="6" t="s">
        <v>1216</v>
      </c>
      <c r="B226" s="6" t="str">
        <f>IF(Technologies!B226&lt;&gt;0,Technologies!B226,"")</f>
        <v>Industrie</v>
      </c>
      <c r="C226" s="6" t="str">
        <f>VLOOKUP($A226,Technologies!$A$7:$H$576,3,FALSE)</f>
        <v>Exports</v>
      </c>
      <c r="D226" s="6" t="str">
        <f>VLOOKUP($A226,Technologies!$A$7:$H$576,4,FALSE)</f>
        <v>Refineries</v>
      </c>
      <c r="E226" s="6" t="str">
        <f>VLOOKUP($A226,Technologies!$A$7:$H$576,6,FALSE)</f>
        <v>Naphtha Exports</v>
      </c>
      <c r="F226" s="48" t="str">
        <f>VLOOKUP($A226,Technologies!$A$7:$H$576,7,FALSE)</f>
        <v>Exports of bio-based naphtha</v>
      </c>
      <c r="G226" s="22"/>
      <c r="H226" s="22"/>
      <c r="I226" s="103" cm="1">
        <f t="array" ref="I226">-SUMPRODUCT((Feedstocks!$C$4:$C$141=A226)*Feedstocks!$E$4:$E$141,Feedstocks!$F$4:$F$141,Feedstocks!$H$4:$H$141,Feedstocks!$I$4:$I$141)</f>
        <v>0</v>
      </c>
      <c r="J226" s="103" cm="1">
        <f t="array" ref="J226">-SUMPRODUCT((Feedstocks!$C$4:$C$141=A226)*Feedstocks!$E$4:$E$141,Feedstocks!$H$4:$H$141,Feedstocks!$I$4:$I$141)</f>
        <v>7.0999999999999994E-2</v>
      </c>
      <c r="K226" s="103"/>
      <c r="L226" s="103"/>
      <c r="M226" s="22"/>
      <c r="N226" s="22" t="str">
        <f>VLOOKUP(E226,Activities!$A$9:$M$227,13,FALSE)</f>
        <v>EU</v>
      </c>
      <c r="O226" s="22"/>
      <c r="P226" s="80" t="s">
        <v>954</v>
      </c>
      <c r="Q226" s="36"/>
      <c r="R226" s="36"/>
      <c r="S226" s="36"/>
      <c r="T226" s="36"/>
      <c r="U226" s="36"/>
      <c r="V226" s="36"/>
      <c r="W226" s="36"/>
      <c r="X226" s="36"/>
      <c r="Y226" s="36"/>
      <c r="Z226" s="36"/>
      <c r="AA226" s="36"/>
      <c r="AB226" s="36"/>
      <c r="AC226" s="36"/>
      <c r="AD226" s="36"/>
      <c r="AE226" s="36"/>
      <c r="AF226" s="36"/>
      <c r="AG226" s="36"/>
      <c r="AH226" s="36"/>
      <c r="AI226" s="36"/>
      <c r="AJ226" s="36"/>
      <c r="AK226" s="36"/>
      <c r="AL226" s="36"/>
      <c r="AM226" s="36"/>
      <c r="AN226" s="36"/>
      <c r="AO226" s="36"/>
      <c r="AP226" s="36"/>
      <c r="AQ226" s="36"/>
      <c r="AR226" s="36"/>
      <c r="AS226" s="36"/>
      <c r="AT226" s="36"/>
      <c r="AU226" s="36"/>
      <c r="AV226" s="36"/>
      <c r="AW226" s="36"/>
      <c r="AX226" s="36"/>
      <c r="AY226" s="36"/>
      <c r="AZ226" s="36"/>
      <c r="BA226" s="36"/>
      <c r="BB226" s="36"/>
      <c r="BC226" s="36"/>
      <c r="BD226" s="36"/>
      <c r="BE226" s="36"/>
      <c r="BF226" s="36"/>
      <c r="BG226" s="36"/>
      <c r="BH226" s="36"/>
      <c r="BI226" s="36"/>
      <c r="BJ226" s="36"/>
      <c r="BK226" s="36"/>
      <c r="BL226" s="36"/>
      <c r="BM226" s="36"/>
      <c r="BN226" s="36"/>
      <c r="BO226" s="36"/>
      <c r="BP226" s="36"/>
      <c r="BQ226" s="36"/>
      <c r="BR226" s="36"/>
      <c r="BS226" s="36"/>
      <c r="BT226" s="36"/>
      <c r="BU226" s="36"/>
      <c r="BV226" s="36"/>
      <c r="BW226" s="36"/>
      <c r="BX226" s="36"/>
      <c r="BY226" s="36"/>
      <c r="BZ226" s="36">
        <v>1</v>
      </c>
      <c r="CA226" s="36"/>
      <c r="CB226" s="36"/>
      <c r="CC226" s="36"/>
      <c r="CD226" s="36"/>
      <c r="CE226" s="36"/>
      <c r="CF226" s="36"/>
      <c r="CG226" s="36"/>
      <c r="CH226" s="36"/>
      <c r="CI226" s="36"/>
      <c r="CJ226" s="36"/>
      <c r="CK226" s="36"/>
      <c r="CL226" s="36"/>
      <c r="CM226" s="36"/>
      <c r="CN226" s="36"/>
      <c r="CO226" s="36"/>
      <c r="CP226" s="36"/>
      <c r="CQ226" s="36"/>
      <c r="CR226" s="36"/>
      <c r="CS226" s="36"/>
      <c r="CT226" s="36"/>
      <c r="CU226" s="36"/>
      <c r="CV226" s="36"/>
      <c r="CW226" s="36"/>
      <c r="CX226" s="36"/>
      <c r="CY226" s="36"/>
      <c r="CZ226" s="36"/>
      <c r="DA226" s="36"/>
      <c r="DB226" s="36"/>
      <c r="DC226" s="36"/>
      <c r="DD226" s="36"/>
      <c r="DE226" s="36"/>
      <c r="DF226" s="36"/>
      <c r="DG226" s="36"/>
      <c r="DH226" s="36"/>
      <c r="DI226" s="36"/>
      <c r="DJ226" s="36"/>
      <c r="DK226" s="36"/>
      <c r="DL226" s="36"/>
      <c r="DM226" s="36"/>
      <c r="DN226" s="36"/>
      <c r="DO226" s="36"/>
      <c r="DP226" s="36"/>
      <c r="DQ226" s="36"/>
      <c r="DR226" s="36"/>
      <c r="DS226" s="36"/>
      <c r="DT226" s="36"/>
      <c r="DU226" s="36"/>
      <c r="DV226" s="36"/>
      <c r="DW226" s="36"/>
      <c r="DX226" s="36"/>
      <c r="DY226" s="36">
        <v>-1</v>
      </c>
      <c r="DZ226" s="36"/>
      <c r="EA226" s="36"/>
      <c r="EB226" s="36"/>
      <c r="EC226" s="36"/>
      <c r="ED226" s="36"/>
      <c r="EE226" s="36"/>
      <c r="EF226" s="36"/>
      <c r="EG226" s="36"/>
      <c r="EH226" s="36"/>
      <c r="EI226" s="36"/>
      <c r="EJ226" s="36"/>
      <c r="EK226" s="36"/>
      <c r="EL226" s="36"/>
      <c r="EM226" s="36"/>
      <c r="EN226" s="36"/>
      <c r="EO226" s="36"/>
      <c r="EP226" s="36"/>
      <c r="EQ226" s="36"/>
      <c r="ER226" s="36"/>
      <c r="ES226" s="36"/>
      <c r="ET226" s="36"/>
      <c r="EU226" s="36"/>
      <c r="EV226" s="36"/>
      <c r="EW226" s="36"/>
      <c r="EX226" s="36"/>
      <c r="EY226" s="36"/>
      <c r="EZ226" s="36"/>
      <c r="FA226" s="36"/>
      <c r="FB226" s="36"/>
      <c r="FC226" s="36"/>
      <c r="FD226" s="36"/>
      <c r="FE226" s="36"/>
      <c r="FF226" s="36"/>
      <c r="FG226" s="36"/>
      <c r="FH226" s="36"/>
      <c r="FI226" s="36"/>
      <c r="FJ226" s="36"/>
      <c r="FK226" s="36"/>
      <c r="FL226" s="36"/>
      <c r="FM226" s="36"/>
      <c r="FN226" s="36"/>
      <c r="FO226" s="36"/>
      <c r="FP226" s="36"/>
      <c r="FQ226" s="36"/>
      <c r="FR226" s="36"/>
      <c r="FS226" s="36"/>
      <c r="FT226" s="36"/>
      <c r="FU226" s="36"/>
      <c r="FV226" s="36"/>
      <c r="FW226" s="36"/>
      <c r="FX226" s="36"/>
      <c r="FY226" s="36"/>
      <c r="FZ226" s="36"/>
      <c r="GA226" s="36"/>
      <c r="GB226" s="319"/>
      <c r="GC226" s="179">
        <f t="shared" si="43"/>
        <v>0</v>
      </c>
      <c r="GD226" s="179">
        <f t="shared" si="44"/>
        <v>0</v>
      </c>
      <c r="GE226" s="179">
        <f t="shared" si="45"/>
        <v>0</v>
      </c>
      <c r="GF226" s="179">
        <f t="shared" si="46"/>
        <v>0</v>
      </c>
      <c r="GG226" s="178">
        <f t="shared" si="42"/>
        <v>0</v>
      </c>
    </row>
    <row r="227" spans="1:189" x14ac:dyDescent="0.35">
      <c r="A227" s="5" t="s">
        <v>1218</v>
      </c>
      <c r="B227" s="5" t="str">
        <f>IF(Technologies!B227&lt;&gt;0,Technologies!B227,"")</f>
        <v>Industrie</v>
      </c>
      <c r="C227" s="5" t="str">
        <f>VLOOKUP($A227,Technologies!$A$7:$H$576,3,FALSE)</f>
        <v>Exports</v>
      </c>
      <c r="D227" s="5" t="str">
        <f>VLOOKUP($A227,Technologies!$A$7:$H$576,4,FALSE)</f>
        <v>Refineries</v>
      </c>
      <c r="E227" s="5" t="str">
        <f>VLOOKUP($A227,Technologies!$A$7:$H$576,6,FALSE)</f>
        <v>Naphtha Exports</v>
      </c>
      <c r="F227" s="5" t="str">
        <f>VLOOKUP($A227,Technologies!$A$7:$H$576,7,FALSE)</f>
        <v>Exports of syn-based naphtha</v>
      </c>
      <c r="G227" s="23"/>
      <c r="H227" s="23"/>
      <c r="I227" s="104" cm="1">
        <f t="array" ref="I227">-SUMPRODUCT((Feedstocks!$C$4:$C$141=A227)*Feedstocks!$E$4:$E$141,Feedstocks!$F$4:$F$141,Feedstocks!$H$4:$H$141,Feedstocks!$I$4:$I$141)</f>
        <v>7.0999999999999994E-2</v>
      </c>
      <c r="J227" s="104" cm="1">
        <f t="array" ref="J227">-SUMPRODUCT((Feedstocks!$C$4:$C$141=A227)*Feedstocks!$E$4:$E$141,Feedstocks!$H$4:$H$141,Feedstocks!$I$4:$I$141)</f>
        <v>7.0999999999999994E-2</v>
      </c>
      <c r="K227" s="104"/>
      <c r="L227" s="104"/>
      <c r="M227" s="23"/>
      <c r="N227" s="23" t="str">
        <f>VLOOKUP(E227,Activities!$A$9:$M$227,13,FALSE)</f>
        <v>EU</v>
      </c>
      <c r="O227" s="23"/>
      <c r="P227" s="79" t="s">
        <v>954</v>
      </c>
      <c r="Q227" s="35"/>
      <c r="R227" s="35"/>
      <c r="S227" s="35"/>
      <c r="T227" s="35"/>
      <c r="U227" s="35"/>
      <c r="V227" s="35"/>
      <c r="W227" s="35"/>
      <c r="X227" s="35"/>
      <c r="Y227" s="35"/>
      <c r="Z227" s="35"/>
      <c r="AA227" s="35"/>
      <c r="AB227" s="35"/>
      <c r="AC227" s="35"/>
      <c r="AD227" s="35"/>
      <c r="AE227" s="35"/>
      <c r="AF227" s="35"/>
      <c r="AG227" s="35"/>
      <c r="AH227" s="35"/>
      <c r="AI227" s="35"/>
      <c r="AJ227" s="35"/>
      <c r="AK227" s="35"/>
      <c r="AL227" s="35"/>
      <c r="AM227" s="35"/>
      <c r="AN227" s="35"/>
      <c r="AO227" s="35"/>
      <c r="AP227" s="35"/>
      <c r="AQ227" s="35"/>
      <c r="AR227" s="35"/>
      <c r="AS227" s="35"/>
      <c r="AT227" s="35"/>
      <c r="AU227" s="35"/>
      <c r="AV227" s="35"/>
      <c r="AW227" s="35"/>
      <c r="AX227" s="35"/>
      <c r="AY227" s="35"/>
      <c r="AZ227" s="35"/>
      <c r="BA227" s="35"/>
      <c r="BB227" s="35"/>
      <c r="BC227" s="35"/>
      <c r="BD227" s="35"/>
      <c r="BE227" s="35"/>
      <c r="BF227" s="35"/>
      <c r="BG227" s="35"/>
      <c r="BH227" s="35"/>
      <c r="BI227" s="35"/>
      <c r="BJ227" s="35"/>
      <c r="BK227" s="35"/>
      <c r="BL227" s="35"/>
      <c r="BM227" s="35"/>
      <c r="BN227" s="35"/>
      <c r="BO227" s="35"/>
      <c r="BP227" s="35"/>
      <c r="BQ227" s="35"/>
      <c r="BR227" s="35"/>
      <c r="BS227" s="35"/>
      <c r="BT227" s="35"/>
      <c r="BU227" s="35"/>
      <c r="BV227" s="35"/>
      <c r="BW227" s="35"/>
      <c r="BX227" s="35"/>
      <c r="BY227" s="35"/>
      <c r="BZ227" s="35">
        <v>1</v>
      </c>
      <c r="CA227" s="35"/>
      <c r="CB227" s="35"/>
      <c r="CC227" s="35"/>
      <c r="CD227" s="35"/>
      <c r="CE227" s="35"/>
      <c r="CF227" s="35"/>
      <c r="CG227" s="35"/>
      <c r="CH227" s="35"/>
      <c r="CI227" s="35"/>
      <c r="CJ227" s="35"/>
      <c r="CK227" s="35"/>
      <c r="CL227" s="35"/>
      <c r="CM227" s="35"/>
      <c r="CN227" s="35"/>
      <c r="CO227" s="35"/>
      <c r="CP227" s="35"/>
      <c r="CQ227" s="35"/>
      <c r="CR227" s="35"/>
      <c r="CS227" s="35"/>
      <c r="CT227" s="35"/>
      <c r="CU227" s="35"/>
      <c r="CV227" s="35"/>
      <c r="CW227" s="35"/>
      <c r="CX227" s="35"/>
      <c r="CY227" s="35"/>
      <c r="CZ227" s="35"/>
      <c r="DA227" s="35"/>
      <c r="DB227" s="35"/>
      <c r="DC227" s="35"/>
      <c r="DD227" s="35"/>
      <c r="DE227" s="35"/>
      <c r="DF227" s="35"/>
      <c r="DG227" s="35"/>
      <c r="DH227" s="35"/>
      <c r="DI227" s="35"/>
      <c r="DJ227" s="35"/>
      <c r="DK227" s="35"/>
      <c r="DL227" s="35"/>
      <c r="DM227" s="35"/>
      <c r="DN227" s="35"/>
      <c r="DO227" s="35"/>
      <c r="DP227" s="35"/>
      <c r="DQ227" s="35"/>
      <c r="DR227" s="35"/>
      <c r="DS227" s="35"/>
      <c r="DT227" s="35"/>
      <c r="DU227" s="35"/>
      <c r="DV227" s="35"/>
      <c r="DW227" s="35"/>
      <c r="DX227" s="35"/>
      <c r="DY227" s="35"/>
      <c r="DZ227" s="35"/>
      <c r="EA227" s="35"/>
      <c r="EB227" s="35"/>
      <c r="EC227" s="35"/>
      <c r="ED227" s="35">
        <v>-1</v>
      </c>
      <c r="EE227" s="35"/>
      <c r="EF227" s="35"/>
      <c r="EG227" s="35"/>
      <c r="EH227" s="35"/>
      <c r="EI227" s="35"/>
      <c r="EJ227" s="35"/>
      <c r="EK227" s="35"/>
      <c r="EL227" s="35"/>
      <c r="EM227" s="35"/>
      <c r="EN227" s="35"/>
      <c r="EO227" s="35"/>
      <c r="EP227" s="35"/>
      <c r="EQ227" s="35"/>
      <c r="ER227" s="35"/>
      <c r="ES227" s="35"/>
      <c r="ET227" s="35"/>
      <c r="EU227" s="35"/>
      <c r="EV227" s="35"/>
      <c r="EW227" s="35"/>
      <c r="EX227" s="35"/>
      <c r="EY227" s="35"/>
      <c r="EZ227" s="35"/>
      <c r="FA227" s="35"/>
      <c r="FB227" s="35"/>
      <c r="FC227" s="35"/>
      <c r="FD227" s="35"/>
      <c r="FE227" s="35"/>
      <c r="FF227" s="35"/>
      <c r="FG227" s="35"/>
      <c r="FH227" s="35"/>
      <c r="FI227" s="35"/>
      <c r="FJ227" s="35"/>
      <c r="FK227" s="35"/>
      <c r="FL227" s="35"/>
      <c r="FM227" s="35"/>
      <c r="FN227" s="35"/>
      <c r="FO227" s="35"/>
      <c r="FP227" s="35"/>
      <c r="FQ227" s="35"/>
      <c r="FR227" s="35"/>
      <c r="FS227" s="35"/>
      <c r="FT227" s="35"/>
      <c r="FU227" s="35"/>
      <c r="FV227" s="35"/>
      <c r="FW227" s="35"/>
      <c r="FX227" s="35"/>
      <c r="FY227" s="35"/>
      <c r="FZ227" s="35"/>
      <c r="GA227" s="35"/>
      <c r="GB227" s="318"/>
      <c r="GC227" s="178">
        <f t="shared" si="43"/>
        <v>0</v>
      </c>
      <c r="GD227" s="178">
        <f t="shared" si="44"/>
        <v>0</v>
      </c>
      <c r="GE227" s="178">
        <f t="shared" si="45"/>
        <v>0</v>
      </c>
      <c r="GF227" s="178">
        <f t="shared" si="46"/>
        <v>0</v>
      </c>
      <c r="GG227" s="178">
        <f t="shared" si="42"/>
        <v>7.0999999999999994E-2</v>
      </c>
    </row>
    <row r="228" spans="1:189" x14ac:dyDescent="0.35">
      <c r="A228" s="6" t="s">
        <v>1220</v>
      </c>
      <c r="B228" s="6" t="str">
        <f>IF(Technologies!B228&lt;&gt;0,Technologies!B228,"")</f>
        <v>Industrie</v>
      </c>
      <c r="C228" s="6" t="str">
        <f>VLOOKUP($A228,Technologies!$A$7:$H$576,3,FALSE)</f>
        <v>Exports</v>
      </c>
      <c r="D228" s="6" t="str">
        <f>VLOOKUP($A228,Technologies!$A$7:$H$576,4,FALSE)</f>
        <v>Refineries</v>
      </c>
      <c r="E228" s="6" t="str">
        <f>VLOOKUP($A228,Technologies!$A$7:$H$576,6,FALSE)</f>
        <v>Road Fuel Exports</v>
      </c>
      <c r="F228" s="48" t="str">
        <f>VLOOKUP($A228,Technologies!$A$7:$H$576,7,FALSE)</f>
        <v>Exports of oil-based road fuels</v>
      </c>
      <c r="G228" s="22"/>
      <c r="H228" s="22"/>
      <c r="I228" s="103" cm="1">
        <f t="array" ref="I228">-SUMPRODUCT((Feedstocks!$C$4:$C$141=A228)*Feedstocks!$E$4:$E$141,Feedstocks!$F$4:$F$141,Feedstocks!$H$4:$H$141,Feedstocks!$I$4:$I$141)</f>
        <v>7.2999999999999995E-2</v>
      </c>
      <c r="J228" s="103" cm="1">
        <f t="array" ref="J228">-SUMPRODUCT((Feedstocks!$C$4:$C$141=A228)*Feedstocks!$E$4:$E$141,Feedstocks!$H$4:$H$141,Feedstocks!$I$4:$I$141)</f>
        <v>7.2999999999999995E-2</v>
      </c>
      <c r="K228" s="103"/>
      <c r="L228" s="103"/>
      <c r="M228" s="22"/>
      <c r="N228" s="22" t="str">
        <f>VLOOKUP(E228,Activities!$A$9:$M$227,13,FALSE)</f>
        <v>EU</v>
      </c>
      <c r="O228" s="22"/>
      <c r="P228" s="80" t="s">
        <v>954</v>
      </c>
      <c r="Q228" s="36"/>
      <c r="R228" s="36"/>
      <c r="S228" s="36"/>
      <c r="T228" s="36"/>
      <c r="U228" s="36"/>
      <c r="V228" s="36"/>
      <c r="W228" s="36"/>
      <c r="X228" s="36"/>
      <c r="Y228" s="36"/>
      <c r="Z228" s="36"/>
      <c r="AA228" s="36"/>
      <c r="AB228" s="36"/>
      <c r="AC228" s="36"/>
      <c r="AD228" s="36"/>
      <c r="AE228" s="36"/>
      <c r="AF228" s="36"/>
      <c r="AG228" s="36"/>
      <c r="AH228" s="36"/>
      <c r="AI228" s="36"/>
      <c r="AJ228" s="36"/>
      <c r="AK228" s="36"/>
      <c r="AL228" s="36"/>
      <c r="AM228" s="36"/>
      <c r="AN228" s="36"/>
      <c r="AO228" s="36"/>
      <c r="AP228" s="36"/>
      <c r="AQ228" s="36"/>
      <c r="AR228" s="36"/>
      <c r="AS228" s="36"/>
      <c r="AT228" s="36"/>
      <c r="AU228" s="36"/>
      <c r="AV228" s="36"/>
      <c r="AW228" s="36"/>
      <c r="AX228" s="36"/>
      <c r="AY228" s="36"/>
      <c r="AZ228" s="36"/>
      <c r="BA228" s="36"/>
      <c r="BB228" s="36"/>
      <c r="BC228" s="36"/>
      <c r="BD228" s="36"/>
      <c r="BE228" s="36"/>
      <c r="BF228" s="36"/>
      <c r="BG228" s="36"/>
      <c r="BH228" s="36"/>
      <c r="BI228" s="36"/>
      <c r="BJ228" s="36"/>
      <c r="BK228" s="36"/>
      <c r="BL228" s="36"/>
      <c r="BM228" s="36"/>
      <c r="BN228" s="36"/>
      <c r="BO228" s="36"/>
      <c r="BP228" s="36"/>
      <c r="BQ228" s="36"/>
      <c r="BR228" s="36"/>
      <c r="BS228" s="36"/>
      <c r="BT228" s="36"/>
      <c r="BU228" s="36"/>
      <c r="BV228" s="36"/>
      <c r="BW228" s="36"/>
      <c r="BX228" s="36"/>
      <c r="BY228" s="36"/>
      <c r="BZ228" s="36"/>
      <c r="CA228" s="36">
        <v>1</v>
      </c>
      <c r="CB228" s="36"/>
      <c r="CC228" s="36"/>
      <c r="CD228" s="36"/>
      <c r="CE228" s="36"/>
      <c r="CF228" s="36"/>
      <c r="CG228" s="36"/>
      <c r="CH228" s="36"/>
      <c r="CI228" s="36"/>
      <c r="CJ228" s="36"/>
      <c r="CK228" s="36"/>
      <c r="CL228" s="36"/>
      <c r="CM228" s="36"/>
      <c r="CN228" s="36"/>
      <c r="CO228" s="36"/>
      <c r="CP228" s="36"/>
      <c r="CQ228" s="36"/>
      <c r="CR228" s="36"/>
      <c r="CS228" s="36"/>
      <c r="CT228" s="36"/>
      <c r="CU228" s="36"/>
      <c r="CV228" s="36"/>
      <c r="CW228" s="36"/>
      <c r="CX228" s="36"/>
      <c r="CY228" s="36"/>
      <c r="CZ228" s="36"/>
      <c r="DA228" s="36"/>
      <c r="DB228" s="36"/>
      <c r="DC228" s="36"/>
      <c r="DD228" s="36"/>
      <c r="DE228" s="36"/>
      <c r="DF228" s="36"/>
      <c r="DG228" s="36"/>
      <c r="DH228" s="36"/>
      <c r="DI228" s="36"/>
      <c r="DJ228" s="36"/>
      <c r="DK228" s="36"/>
      <c r="DL228" s="36"/>
      <c r="DM228" s="36"/>
      <c r="DN228" s="36"/>
      <c r="DO228" s="36"/>
      <c r="DP228" s="36"/>
      <c r="DQ228" s="36"/>
      <c r="DR228" s="36"/>
      <c r="DS228" s="36"/>
      <c r="DT228" s="36"/>
      <c r="DU228" s="36">
        <v>-1</v>
      </c>
      <c r="DV228" s="36"/>
      <c r="DW228" s="36"/>
      <c r="DX228" s="36"/>
      <c r="DY228" s="36"/>
      <c r="DZ228" s="36"/>
      <c r="EA228" s="36"/>
      <c r="EB228" s="36"/>
      <c r="EC228" s="36"/>
      <c r="ED228" s="36"/>
      <c r="EE228" s="36"/>
      <c r="EF228" s="36"/>
      <c r="EG228" s="36"/>
      <c r="EH228" s="36"/>
      <c r="EI228" s="36"/>
      <c r="EJ228" s="36"/>
      <c r="EK228" s="36"/>
      <c r="EL228" s="36"/>
      <c r="EM228" s="36"/>
      <c r="EN228" s="36"/>
      <c r="EO228" s="36"/>
      <c r="EP228" s="36"/>
      <c r="EQ228" s="36"/>
      <c r="ER228" s="36"/>
      <c r="ES228" s="36"/>
      <c r="ET228" s="36"/>
      <c r="EU228" s="36"/>
      <c r="EV228" s="36"/>
      <c r="EW228" s="36"/>
      <c r="EX228" s="36"/>
      <c r="EY228" s="36"/>
      <c r="EZ228" s="36"/>
      <c r="FA228" s="36"/>
      <c r="FB228" s="36"/>
      <c r="FC228" s="36"/>
      <c r="FD228" s="36"/>
      <c r="FE228" s="36"/>
      <c r="FF228" s="36"/>
      <c r="FG228" s="36"/>
      <c r="FH228" s="36"/>
      <c r="FI228" s="36"/>
      <c r="FJ228" s="36"/>
      <c r="FK228" s="36"/>
      <c r="FL228" s="36"/>
      <c r="FM228" s="36"/>
      <c r="FN228" s="36"/>
      <c r="FO228" s="36"/>
      <c r="FP228" s="36"/>
      <c r="FQ228" s="36"/>
      <c r="FR228" s="36"/>
      <c r="FS228" s="36"/>
      <c r="FT228" s="36"/>
      <c r="FU228" s="36"/>
      <c r="FV228" s="36"/>
      <c r="FW228" s="36"/>
      <c r="FX228" s="36"/>
      <c r="FY228" s="36"/>
      <c r="FZ228" s="36"/>
      <c r="GA228" s="36"/>
      <c r="GB228" s="319"/>
      <c r="GC228" s="179">
        <f t="shared" si="43"/>
        <v>0</v>
      </c>
      <c r="GD228" s="179">
        <f t="shared" si="44"/>
        <v>0</v>
      </c>
      <c r="GE228" s="179">
        <f t="shared" si="45"/>
        <v>0</v>
      </c>
      <c r="GF228" s="179">
        <f t="shared" si="46"/>
        <v>0</v>
      </c>
      <c r="GG228" s="178">
        <f t="shared" si="42"/>
        <v>7.2999999999999995E-2</v>
      </c>
    </row>
    <row r="229" spans="1:189" x14ac:dyDescent="0.35">
      <c r="A229" s="5" t="s">
        <v>1222</v>
      </c>
      <c r="B229" s="5" t="str">
        <f>IF(Technologies!B229&lt;&gt;0,Technologies!B229,"")</f>
        <v>Industrie</v>
      </c>
      <c r="C229" s="5" t="str">
        <f>VLOOKUP($A229,Technologies!$A$7:$H$576,3,FALSE)</f>
        <v>Exports</v>
      </c>
      <c r="D229" s="5" t="str">
        <f>VLOOKUP($A229,Technologies!$A$7:$H$576,4,FALSE)</f>
        <v>Refineries</v>
      </c>
      <c r="E229" s="5" t="str">
        <f>VLOOKUP($A229,Technologies!$A$7:$H$576,6,FALSE)</f>
        <v>Road Fuel Exports</v>
      </c>
      <c r="F229" s="5" t="str">
        <f>VLOOKUP($A229,Technologies!$A$7:$H$576,7,FALSE)</f>
        <v>Exports of bio-based road fuels</v>
      </c>
      <c r="G229" s="23"/>
      <c r="H229" s="23"/>
      <c r="I229" s="104" cm="1">
        <f t="array" ref="I229">-SUMPRODUCT((Feedstocks!$C$4:$C$141=A229)*Feedstocks!$E$4:$E$141,Feedstocks!$F$4:$F$141,Feedstocks!$H$4:$H$141,Feedstocks!$I$4:$I$141)</f>
        <v>0</v>
      </c>
      <c r="J229" s="104" cm="1">
        <f t="array" ref="J229">-SUMPRODUCT((Feedstocks!$C$4:$C$141=A229)*Feedstocks!$E$4:$E$141,Feedstocks!$H$4:$H$141,Feedstocks!$I$4:$I$141)</f>
        <v>7.2999999999999995E-2</v>
      </c>
      <c r="K229" s="104"/>
      <c r="L229" s="104"/>
      <c r="M229" s="23"/>
      <c r="N229" s="23" t="str">
        <f>VLOOKUP(E229,Activities!$A$9:$M$227,13,FALSE)</f>
        <v>EU</v>
      </c>
      <c r="O229" s="23"/>
      <c r="P229" s="79" t="s">
        <v>954</v>
      </c>
      <c r="Q229" s="35"/>
      <c r="R229" s="35"/>
      <c r="S229" s="35"/>
      <c r="T229" s="35"/>
      <c r="U229" s="35"/>
      <c r="V229" s="35"/>
      <c r="W229" s="35"/>
      <c r="X229" s="35"/>
      <c r="Y229" s="35"/>
      <c r="Z229" s="35"/>
      <c r="AA229" s="35"/>
      <c r="AB229" s="35"/>
      <c r="AC229" s="35"/>
      <c r="AD229" s="35"/>
      <c r="AE229" s="35"/>
      <c r="AF229" s="35"/>
      <c r="AG229" s="35"/>
      <c r="AH229" s="35"/>
      <c r="AI229" s="35"/>
      <c r="AJ229" s="35"/>
      <c r="AK229" s="35"/>
      <c r="AL229" s="35"/>
      <c r="AM229" s="35"/>
      <c r="AN229" s="35"/>
      <c r="AO229" s="35"/>
      <c r="AP229" s="35"/>
      <c r="AQ229" s="35"/>
      <c r="AR229" s="35"/>
      <c r="AS229" s="35"/>
      <c r="AT229" s="35"/>
      <c r="AU229" s="35"/>
      <c r="AV229" s="35"/>
      <c r="AW229" s="35"/>
      <c r="AX229" s="35"/>
      <c r="AY229" s="35"/>
      <c r="AZ229" s="35"/>
      <c r="BA229" s="35"/>
      <c r="BB229" s="35"/>
      <c r="BC229" s="35"/>
      <c r="BD229" s="35"/>
      <c r="BE229" s="35"/>
      <c r="BF229" s="35"/>
      <c r="BG229" s="35"/>
      <c r="BH229" s="35"/>
      <c r="BI229" s="35"/>
      <c r="BJ229" s="35"/>
      <c r="BK229" s="35"/>
      <c r="BL229" s="35"/>
      <c r="BM229" s="35"/>
      <c r="BN229" s="35"/>
      <c r="BO229" s="35"/>
      <c r="BP229" s="35"/>
      <c r="BQ229" s="35"/>
      <c r="BR229" s="35"/>
      <c r="BS229" s="35"/>
      <c r="BT229" s="35"/>
      <c r="BU229" s="35"/>
      <c r="BV229" s="35"/>
      <c r="BW229" s="35"/>
      <c r="BX229" s="35"/>
      <c r="BY229" s="35"/>
      <c r="BZ229" s="35"/>
      <c r="CA229" s="35">
        <v>1</v>
      </c>
      <c r="CB229" s="35"/>
      <c r="CC229" s="35"/>
      <c r="CD229" s="35"/>
      <c r="CE229" s="35"/>
      <c r="CF229" s="35"/>
      <c r="CG229" s="35"/>
      <c r="CH229" s="35"/>
      <c r="CI229" s="35"/>
      <c r="CJ229" s="35"/>
      <c r="CK229" s="35"/>
      <c r="CL229" s="35"/>
      <c r="CM229" s="35"/>
      <c r="CN229" s="35"/>
      <c r="CO229" s="35"/>
      <c r="CP229" s="35"/>
      <c r="CQ229" s="35"/>
      <c r="CR229" s="35"/>
      <c r="CS229" s="35"/>
      <c r="CT229" s="35"/>
      <c r="CU229" s="35"/>
      <c r="CV229" s="35"/>
      <c r="CW229" s="35"/>
      <c r="CX229" s="35"/>
      <c r="CY229" s="35"/>
      <c r="CZ229" s="35"/>
      <c r="DA229" s="35"/>
      <c r="DB229" s="35"/>
      <c r="DC229" s="35"/>
      <c r="DD229" s="35"/>
      <c r="DE229" s="35"/>
      <c r="DF229" s="35"/>
      <c r="DG229" s="35"/>
      <c r="DH229" s="35"/>
      <c r="DI229" s="35"/>
      <c r="DJ229" s="35"/>
      <c r="DK229" s="35"/>
      <c r="DL229" s="35"/>
      <c r="DM229" s="35"/>
      <c r="DN229" s="35"/>
      <c r="DO229" s="35"/>
      <c r="DP229" s="35"/>
      <c r="DQ229" s="35"/>
      <c r="DR229" s="35"/>
      <c r="DS229" s="35"/>
      <c r="DT229" s="35"/>
      <c r="DU229" s="35"/>
      <c r="DV229" s="35"/>
      <c r="DW229" s="35"/>
      <c r="DX229" s="35"/>
      <c r="DY229" s="35"/>
      <c r="DZ229" s="35"/>
      <c r="EA229" s="35">
        <v>-1</v>
      </c>
      <c r="EB229" s="35"/>
      <c r="EC229" s="35"/>
      <c r="ED229" s="35"/>
      <c r="EE229" s="35"/>
      <c r="EF229" s="35"/>
      <c r="EG229" s="35"/>
      <c r="EH229" s="35"/>
      <c r="EI229" s="35"/>
      <c r="EJ229" s="35"/>
      <c r="EK229" s="35"/>
      <c r="EL229" s="35"/>
      <c r="EM229" s="35"/>
      <c r="EN229" s="35"/>
      <c r="EO229" s="35"/>
      <c r="EP229" s="35"/>
      <c r="EQ229" s="35"/>
      <c r="ER229" s="35"/>
      <c r="ES229" s="35"/>
      <c r="ET229" s="35"/>
      <c r="EU229" s="35"/>
      <c r="EV229" s="35"/>
      <c r="EW229" s="35"/>
      <c r="EX229" s="35"/>
      <c r="EY229" s="35"/>
      <c r="EZ229" s="35"/>
      <c r="FA229" s="35"/>
      <c r="FB229" s="35"/>
      <c r="FC229" s="35"/>
      <c r="FD229" s="35"/>
      <c r="FE229" s="35"/>
      <c r="FF229" s="35"/>
      <c r="FG229" s="35"/>
      <c r="FH229" s="35"/>
      <c r="FI229" s="35"/>
      <c r="FJ229" s="35"/>
      <c r="FK229" s="35"/>
      <c r="FL229" s="35"/>
      <c r="FM229" s="35"/>
      <c r="FN229" s="35"/>
      <c r="FO229" s="35"/>
      <c r="FP229" s="35"/>
      <c r="FQ229" s="35"/>
      <c r="FR229" s="35"/>
      <c r="FS229" s="35"/>
      <c r="FT229" s="35"/>
      <c r="FU229" s="35"/>
      <c r="FV229" s="35"/>
      <c r="FW229" s="35"/>
      <c r="FX229" s="35"/>
      <c r="FY229" s="35"/>
      <c r="FZ229" s="35"/>
      <c r="GA229" s="35"/>
      <c r="GB229" s="318"/>
      <c r="GC229" s="178">
        <f t="shared" si="43"/>
        <v>0</v>
      </c>
      <c r="GD229" s="178">
        <f t="shared" si="44"/>
        <v>0</v>
      </c>
      <c r="GE229" s="178">
        <f t="shared" si="45"/>
        <v>0</v>
      </c>
      <c r="GF229" s="178">
        <f t="shared" si="46"/>
        <v>0</v>
      </c>
      <c r="GG229" s="178">
        <f t="shared" si="42"/>
        <v>0</v>
      </c>
    </row>
    <row r="230" spans="1:189" x14ac:dyDescent="0.35">
      <c r="A230" s="6" t="s">
        <v>1224</v>
      </c>
      <c r="B230" s="6" t="str">
        <f>IF(Technologies!B230&lt;&gt;0,Technologies!B230,"")</f>
        <v>Industrie</v>
      </c>
      <c r="C230" s="6" t="str">
        <f>VLOOKUP($A230,Technologies!$A$7:$H$576,3,FALSE)</f>
        <v>Exports</v>
      </c>
      <c r="D230" s="6" t="str">
        <f>VLOOKUP($A230,Technologies!$A$7:$H$576,4,FALSE)</f>
        <v>Refineries</v>
      </c>
      <c r="E230" s="6" t="str">
        <f>VLOOKUP($A230,Technologies!$A$7:$H$576,6,FALSE)</f>
        <v>Road Fuel Exports</v>
      </c>
      <c r="F230" s="48" t="str">
        <f>VLOOKUP($A230,Technologies!$A$7:$H$576,7,FALSE)</f>
        <v>Exports of syn-based road fuels</v>
      </c>
      <c r="G230" s="22"/>
      <c r="H230" s="22"/>
      <c r="I230" s="103" cm="1">
        <f t="array" ref="I230">-SUMPRODUCT((Feedstocks!$C$4:$C$141=A230)*Feedstocks!$E$4:$E$141,Feedstocks!$F$4:$F$141,Feedstocks!$H$4:$H$141,Feedstocks!$I$4:$I$141)</f>
        <v>7.2999999999999995E-2</v>
      </c>
      <c r="J230" s="103" cm="1">
        <f t="array" ref="J230">-SUMPRODUCT((Feedstocks!$C$4:$C$141=A230)*Feedstocks!$E$4:$E$141,Feedstocks!$H$4:$H$141,Feedstocks!$I$4:$I$141)</f>
        <v>7.2999999999999995E-2</v>
      </c>
      <c r="K230" s="103"/>
      <c r="L230" s="103"/>
      <c r="M230" s="22"/>
      <c r="N230" s="22" t="str">
        <f>VLOOKUP(E230,Activities!$A$9:$M$227,13,FALSE)</f>
        <v>EU</v>
      </c>
      <c r="O230" s="22"/>
      <c r="P230" s="80" t="s">
        <v>954</v>
      </c>
      <c r="Q230" s="36"/>
      <c r="R230" s="36"/>
      <c r="S230" s="36"/>
      <c r="T230" s="36"/>
      <c r="U230" s="36"/>
      <c r="V230" s="36"/>
      <c r="W230" s="36"/>
      <c r="X230" s="36"/>
      <c r="Y230" s="36"/>
      <c r="Z230" s="36"/>
      <c r="AA230" s="36"/>
      <c r="AB230" s="36"/>
      <c r="AC230" s="36"/>
      <c r="AD230" s="36"/>
      <c r="AE230" s="36"/>
      <c r="AF230" s="36"/>
      <c r="AG230" s="36"/>
      <c r="AH230" s="36"/>
      <c r="AI230" s="36"/>
      <c r="AJ230" s="36"/>
      <c r="AK230" s="36"/>
      <c r="AL230" s="36"/>
      <c r="AM230" s="36"/>
      <c r="AN230" s="36"/>
      <c r="AO230" s="36"/>
      <c r="AP230" s="36"/>
      <c r="AQ230" s="36"/>
      <c r="AR230" s="36"/>
      <c r="AS230" s="36"/>
      <c r="AT230" s="36"/>
      <c r="AU230" s="36"/>
      <c r="AV230" s="36"/>
      <c r="AW230" s="36"/>
      <c r="AX230" s="36"/>
      <c r="AY230" s="36"/>
      <c r="AZ230" s="36"/>
      <c r="BA230" s="36"/>
      <c r="BB230" s="36"/>
      <c r="BC230" s="36"/>
      <c r="BD230" s="36"/>
      <c r="BE230" s="36"/>
      <c r="BF230" s="36"/>
      <c r="BG230" s="36"/>
      <c r="BH230" s="36"/>
      <c r="BI230" s="36"/>
      <c r="BJ230" s="36"/>
      <c r="BK230" s="36"/>
      <c r="BL230" s="36"/>
      <c r="BM230" s="36"/>
      <c r="BN230" s="36"/>
      <c r="BO230" s="36"/>
      <c r="BP230" s="36"/>
      <c r="BQ230" s="36"/>
      <c r="BR230" s="36"/>
      <c r="BS230" s="36"/>
      <c r="BT230" s="36"/>
      <c r="BU230" s="36"/>
      <c r="BV230" s="36"/>
      <c r="BW230" s="36"/>
      <c r="BX230" s="36"/>
      <c r="BY230" s="36"/>
      <c r="BZ230" s="36"/>
      <c r="CA230" s="36">
        <v>1</v>
      </c>
      <c r="CB230" s="36"/>
      <c r="CC230" s="36"/>
      <c r="CD230" s="36"/>
      <c r="CE230" s="36"/>
      <c r="CF230" s="36"/>
      <c r="CG230" s="36"/>
      <c r="CH230" s="36"/>
      <c r="CI230" s="36"/>
      <c r="CJ230" s="36"/>
      <c r="CK230" s="36"/>
      <c r="CL230" s="36"/>
      <c r="CM230" s="36"/>
      <c r="CN230" s="36"/>
      <c r="CO230" s="36"/>
      <c r="CP230" s="36"/>
      <c r="CQ230" s="36"/>
      <c r="CR230" s="36"/>
      <c r="CS230" s="36"/>
      <c r="CT230" s="36"/>
      <c r="CU230" s="36"/>
      <c r="CV230" s="36"/>
      <c r="CW230" s="36"/>
      <c r="CX230" s="36"/>
      <c r="CY230" s="36"/>
      <c r="CZ230" s="36"/>
      <c r="DA230" s="36"/>
      <c r="DB230" s="36"/>
      <c r="DC230" s="36"/>
      <c r="DD230" s="36"/>
      <c r="DE230" s="36"/>
      <c r="DF230" s="36"/>
      <c r="DG230" s="36"/>
      <c r="DH230" s="36"/>
      <c r="DI230" s="36"/>
      <c r="DJ230" s="36"/>
      <c r="DK230" s="36"/>
      <c r="DL230" s="36"/>
      <c r="DM230" s="36"/>
      <c r="DN230" s="36"/>
      <c r="DO230" s="36"/>
      <c r="DP230" s="36"/>
      <c r="DQ230" s="36"/>
      <c r="DR230" s="36"/>
      <c r="DS230" s="36"/>
      <c r="DT230" s="36"/>
      <c r="DU230" s="36"/>
      <c r="DV230" s="36"/>
      <c r="DW230" s="36"/>
      <c r="DX230" s="36"/>
      <c r="DY230" s="36"/>
      <c r="DZ230" s="36"/>
      <c r="EA230" s="36"/>
      <c r="EB230" s="36"/>
      <c r="EC230" s="36"/>
      <c r="ED230" s="36"/>
      <c r="EE230" s="36">
        <v>-1</v>
      </c>
      <c r="EF230" s="36"/>
      <c r="EG230" s="36"/>
      <c r="EH230" s="36"/>
      <c r="EI230" s="36"/>
      <c r="EJ230" s="36"/>
      <c r="EK230" s="36"/>
      <c r="EL230" s="36"/>
      <c r="EM230" s="36"/>
      <c r="EN230" s="36"/>
      <c r="EO230" s="36"/>
      <c r="EP230" s="36"/>
      <c r="EQ230" s="36"/>
      <c r="ER230" s="36"/>
      <c r="ES230" s="36"/>
      <c r="ET230" s="36"/>
      <c r="EU230" s="36"/>
      <c r="EV230" s="36"/>
      <c r="EW230" s="36"/>
      <c r="EX230" s="36"/>
      <c r="EY230" s="36"/>
      <c r="EZ230" s="36"/>
      <c r="FA230" s="36"/>
      <c r="FB230" s="36"/>
      <c r="FC230" s="36"/>
      <c r="FD230" s="36"/>
      <c r="FE230" s="36"/>
      <c r="FF230" s="36"/>
      <c r="FG230" s="36"/>
      <c r="FH230" s="36"/>
      <c r="FI230" s="36"/>
      <c r="FJ230" s="36"/>
      <c r="FK230" s="36"/>
      <c r="FL230" s="36"/>
      <c r="FM230" s="36"/>
      <c r="FN230" s="36"/>
      <c r="FO230" s="36"/>
      <c r="FP230" s="36"/>
      <c r="FQ230" s="36"/>
      <c r="FR230" s="36"/>
      <c r="FS230" s="36"/>
      <c r="FT230" s="36"/>
      <c r="FU230" s="36"/>
      <c r="FV230" s="36"/>
      <c r="FW230" s="36"/>
      <c r="FX230" s="36"/>
      <c r="FY230" s="36"/>
      <c r="FZ230" s="36"/>
      <c r="GA230" s="36"/>
      <c r="GB230" s="319"/>
      <c r="GC230" s="179">
        <f t="shared" si="43"/>
        <v>0</v>
      </c>
      <c r="GD230" s="179">
        <f t="shared" si="44"/>
        <v>0</v>
      </c>
      <c r="GE230" s="179">
        <f t="shared" si="45"/>
        <v>0</v>
      </c>
      <c r="GF230" s="179">
        <f t="shared" si="46"/>
        <v>0</v>
      </c>
      <c r="GG230" s="178">
        <f t="shared" si="42"/>
        <v>7.2999999999999995E-2</v>
      </c>
    </row>
    <row r="231" spans="1:189" x14ac:dyDescent="0.35">
      <c r="A231" s="5" t="s">
        <v>1226</v>
      </c>
      <c r="B231" s="5" t="str">
        <f>IF(Technologies!B231&lt;&gt;0,Technologies!B231,"")</f>
        <v>Industrie</v>
      </c>
      <c r="C231" s="5" t="str">
        <f>VLOOKUP($A231,Technologies!$A$7:$H$576,3,FALSE)</f>
        <v>Exports</v>
      </c>
      <c r="D231" s="5" t="str">
        <f>VLOOKUP($A231,Technologies!$A$7:$H$576,4,FALSE)</f>
        <v>Refineries</v>
      </c>
      <c r="E231" s="5" t="str">
        <f>VLOOKUP($A231,Technologies!$A$7:$H$576,6,FALSE)</f>
        <v>Kerosene Exports</v>
      </c>
      <c r="F231" s="5" t="str">
        <f>VLOOKUP($A231,Technologies!$A$7:$H$576,7,FALSE)</f>
        <v>Exports of oil-based kerosene</v>
      </c>
      <c r="G231" s="23"/>
      <c r="H231" s="23"/>
      <c r="I231" s="104" cm="1">
        <f t="array" ref="I231">-SUMPRODUCT((Feedstocks!$C$4:$C$141=A231)*Feedstocks!$E$4:$E$141,Feedstocks!$F$4:$F$141,Feedstocks!$H$4:$H$141,Feedstocks!$I$4:$I$141)</f>
        <v>7.1999999999999995E-2</v>
      </c>
      <c r="J231" s="104" cm="1">
        <f t="array" ref="J231">-SUMPRODUCT((Feedstocks!$C$4:$C$141=A231)*Feedstocks!$E$4:$E$141,Feedstocks!$H$4:$H$141,Feedstocks!$I$4:$I$141)</f>
        <v>7.1999999999999995E-2</v>
      </c>
      <c r="K231" s="104"/>
      <c r="L231" s="104"/>
      <c r="M231" s="23"/>
      <c r="N231" s="23" t="str">
        <f>VLOOKUP(E231,Activities!$A$9:$M$227,13,FALSE)</f>
        <v>EU</v>
      </c>
      <c r="O231" s="23"/>
      <c r="P231" s="79" t="s">
        <v>954</v>
      </c>
      <c r="Q231" s="35"/>
      <c r="R231" s="35"/>
      <c r="S231" s="35"/>
      <c r="T231" s="35"/>
      <c r="U231" s="35"/>
      <c r="V231" s="35"/>
      <c r="W231" s="35"/>
      <c r="X231" s="35"/>
      <c r="Y231" s="35"/>
      <c r="Z231" s="35"/>
      <c r="AA231" s="35"/>
      <c r="AB231" s="35"/>
      <c r="AC231" s="35"/>
      <c r="AD231" s="35"/>
      <c r="AE231" s="35"/>
      <c r="AF231" s="35"/>
      <c r="AG231" s="35"/>
      <c r="AH231" s="35"/>
      <c r="AI231" s="35"/>
      <c r="AJ231" s="35"/>
      <c r="AK231" s="35"/>
      <c r="AL231" s="35"/>
      <c r="AM231" s="35"/>
      <c r="AN231" s="35"/>
      <c r="AO231" s="35"/>
      <c r="AP231" s="35"/>
      <c r="AQ231" s="35"/>
      <c r="AR231" s="35"/>
      <c r="AS231" s="35"/>
      <c r="AT231" s="35"/>
      <c r="AU231" s="35"/>
      <c r="AV231" s="35"/>
      <c r="AW231" s="35"/>
      <c r="AX231" s="35"/>
      <c r="AY231" s="35"/>
      <c r="AZ231" s="35"/>
      <c r="BA231" s="35"/>
      <c r="BB231" s="35"/>
      <c r="BC231" s="35"/>
      <c r="BD231" s="35"/>
      <c r="BE231" s="35"/>
      <c r="BF231" s="35"/>
      <c r="BG231" s="35"/>
      <c r="BH231" s="35"/>
      <c r="BI231" s="35"/>
      <c r="BJ231" s="35"/>
      <c r="BK231" s="35"/>
      <c r="BL231" s="35"/>
      <c r="BM231" s="35"/>
      <c r="BN231" s="35"/>
      <c r="BO231" s="35"/>
      <c r="BP231" s="35"/>
      <c r="BQ231" s="35"/>
      <c r="BR231" s="35"/>
      <c r="BS231" s="35"/>
      <c r="BT231" s="35"/>
      <c r="BU231" s="35"/>
      <c r="BV231" s="35"/>
      <c r="BW231" s="35"/>
      <c r="BX231" s="35"/>
      <c r="BY231" s="35"/>
      <c r="BZ231" s="35"/>
      <c r="CA231" s="35"/>
      <c r="CB231" s="35">
        <v>1</v>
      </c>
      <c r="CC231" s="35"/>
      <c r="CD231" s="35"/>
      <c r="CE231" s="35"/>
      <c r="CF231" s="35"/>
      <c r="CG231" s="35"/>
      <c r="CH231" s="35"/>
      <c r="CI231" s="35"/>
      <c r="CJ231" s="35"/>
      <c r="CK231" s="35"/>
      <c r="CL231" s="35"/>
      <c r="CM231" s="35"/>
      <c r="CN231" s="35"/>
      <c r="CO231" s="35"/>
      <c r="CP231" s="35"/>
      <c r="CQ231" s="35"/>
      <c r="CR231" s="35"/>
      <c r="CS231" s="35"/>
      <c r="CT231" s="35"/>
      <c r="CU231" s="35"/>
      <c r="CV231" s="35"/>
      <c r="CW231" s="35"/>
      <c r="CX231" s="35"/>
      <c r="CY231" s="35"/>
      <c r="CZ231" s="35"/>
      <c r="DA231" s="35"/>
      <c r="DB231" s="35"/>
      <c r="DC231" s="35"/>
      <c r="DD231" s="35"/>
      <c r="DE231" s="35"/>
      <c r="DF231" s="35"/>
      <c r="DG231" s="35"/>
      <c r="DH231" s="35"/>
      <c r="DI231" s="35"/>
      <c r="DJ231" s="35"/>
      <c r="DK231" s="35"/>
      <c r="DL231" s="35"/>
      <c r="DM231" s="35"/>
      <c r="DN231" s="35"/>
      <c r="DO231" s="35"/>
      <c r="DP231" s="35"/>
      <c r="DQ231" s="35"/>
      <c r="DR231" s="35"/>
      <c r="DS231" s="35"/>
      <c r="DT231" s="35"/>
      <c r="DU231" s="35"/>
      <c r="DV231" s="35">
        <v>-1</v>
      </c>
      <c r="DW231" s="35"/>
      <c r="DX231" s="35"/>
      <c r="DY231" s="35"/>
      <c r="DZ231" s="35"/>
      <c r="EA231" s="35"/>
      <c r="EB231" s="35"/>
      <c r="EC231" s="35"/>
      <c r="ED231" s="35"/>
      <c r="EE231" s="35"/>
      <c r="EF231" s="35"/>
      <c r="EG231" s="35"/>
      <c r="EH231" s="35"/>
      <c r="EI231" s="35"/>
      <c r="EJ231" s="35"/>
      <c r="EK231" s="35"/>
      <c r="EL231" s="35"/>
      <c r="EM231" s="35"/>
      <c r="EN231" s="35"/>
      <c r="EO231" s="35"/>
      <c r="EP231" s="35"/>
      <c r="EQ231" s="35"/>
      <c r="ER231" s="35"/>
      <c r="ES231" s="35"/>
      <c r="ET231" s="35"/>
      <c r="EU231" s="35"/>
      <c r="EV231" s="35"/>
      <c r="EW231" s="35"/>
      <c r="EX231" s="35"/>
      <c r="EY231" s="35"/>
      <c r="EZ231" s="35"/>
      <c r="FA231" s="35"/>
      <c r="FB231" s="35"/>
      <c r="FC231" s="35"/>
      <c r="FD231" s="35"/>
      <c r="FE231" s="35"/>
      <c r="FF231" s="35"/>
      <c r="FG231" s="35"/>
      <c r="FH231" s="35"/>
      <c r="FI231" s="35"/>
      <c r="FJ231" s="35"/>
      <c r="FK231" s="35"/>
      <c r="FL231" s="35"/>
      <c r="FM231" s="35"/>
      <c r="FN231" s="35"/>
      <c r="FO231" s="35"/>
      <c r="FP231" s="35"/>
      <c r="FQ231" s="35"/>
      <c r="FR231" s="35"/>
      <c r="FS231" s="35"/>
      <c r="FT231" s="35"/>
      <c r="FU231" s="35"/>
      <c r="FV231" s="35"/>
      <c r="FW231" s="35"/>
      <c r="FX231" s="35"/>
      <c r="FY231" s="35"/>
      <c r="FZ231" s="35"/>
      <c r="GA231" s="35"/>
      <c r="GB231" s="318"/>
      <c r="GC231" s="178">
        <f t="shared" si="43"/>
        <v>0</v>
      </c>
      <c r="GD231" s="178">
        <f t="shared" si="44"/>
        <v>0</v>
      </c>
      <c r="GE231" s="178">
        <f t="shared" si="45"/>
        <v>0</v>
      </c>
      <c r="GF231" s="178">
        <f t="shared" si="46"/>
        <v>0</v>
      </c>
      <c r="GG231" s="178">
        <f t="shared" si="42"/>
        <v>7.1999999999999995E-2</v>
      </c>
    </row>
    <row r="232" spans="1:189" x14ac:dyDescent="0.35">
      <c r="A232" s="6" t="s">
        <v>1228</v>
      </c>
      <c r="B232" s="6" t="str">
        <f>IF(Technologies!B232&lt;&gt;0,Technologies!B232,"")</f>
        <v>Industrie</v>
      </c>
      <c r="C232" s="6" t="str">
        <f>VLOOKUP($A232,Technologies!$A$7:$H$576,3,FALSE)</f>
        <v>Exports</v>
      </c>
      <c r="D232" s="6" t="str">
        <f>VLOOKUP($A232,Technologies!$A$7:$H$576,4,FALSE)</f>
        <v>Refineries</v>
      </c>
      <c r="E232" s="6" t="str">
        <f>VLOOKUP($A232,Technologies!$A$7:$H$576,6,FALSE)</f>
        <v>Kerosene Exports</v>
      </c>
      <c r="F232" s="48" t="str">
        <f>VLOOKUP($A232,Technologies!$A$7:$H$576,7,FALSE)</f>
        <v>Exports of bio-based kerosene</v>
      </c>
      <c r="G232" s="22"/>
      <c r="H232" s="22"/>
      <c r="I232" s="103" cm="1">
        <f t="array" ref="I232">-SUMPRODUCT((Feedstocks!$C$4:$C$141=A232)*Feedstocks!$E$4:$E$141,Feedstocks!$F$4:$F$141,Feedstocks!$H$4:$H$141,Feedstocks!$I$4:$I$141)</f>
        <v>0</v>
      </c>
      <c r="J232" s="103" cm="1">
        <f t="array" ref="J232">-SUMPRODUCT((Feedstocks!$C$4:$C$141=A232)*Feedstocks!$E$4:$E$141,Feedstocks!$H$4:$H$141,Feedstocks!$I$4:$I$141)</f>
        <v>7.1999999999999995E-2</v>
      </c>
      <c r="K232" s="103"/>
      <c r="L232" s="103"/>
      <c r="M232" s="22"/>
      <c r="N232" s="22" t="str">
        <f>VLOOKUP(E232,Activities!$A$9:$M$227,13,FALSE)</f>
        <v>EU</v>
      </c>
      <c r="O232" s="22"/>
      <c r="P232" s="80" t="s">
        <v>954</v>
      </c>
      <c r="Q232" s="36"/>
      <c r="R232" s="36"/>
      <c r="S232" s="36"/>
      <c r="T232" s="36"/>
      <c r="U232" s="36"/>
      <c r="V232" s="36"/>
      <c r="W232" s="36"/>
      <c r="X232" s="36"/>
      <c r="Y232" s="36"/>
      <c r="Z232" s="36"/>
      <c r="AA232" s="36"/>
      <c r="AB232" s="36"/>
      <c r="AC232" s="36"/>
      <c r="AD232" s="36"/>
      <c r="AE232" s="36"/>
      <c r="AF232" s="36"/>
      <c r="AG232" s="36"/>
      <c r="AH232" s="36"/>
      <c r="AI232" s="36"/>
      <c r="AJ232" s="36"/>
      <c r="AK232" s="36"/>
      <c r="AL232" s="36"/>
      <c r="AM232" s="36"/>
      <c r="AN232" s="36"/>
      <c r="AO232" s="36"/>
      <c r="AP232" s="36"/>
      <c r="AQ232" s="36"/>
      <c r="AR232" s="36"/>
      <c r="AS232" s="36"/>
      <c r="AT232" s="36"/>
      <c r="AU232" s="36"/>
      <c r="AV232" s="36"/>
      <c r="AW232" s="36"/>
      <c r="AX232" s="36"/>
      <c r="AY232" s="36"/>
      <c r="AZ232" s="36"/>
      <c r="BA232" s="36"/>
      <c r="BB232" s="36"/>
      <c r="BC232" s="36"/>
      <c r="BD232" s="36"/>
      <c r="BE232" s="36"/>
      <c r="BF232" s="36"/>
      <c r="BG232" s="36"/>
      <c r="BH232" s="36"/>
      <c r="BI232" s="36"/>
      <c r="BJ232" s="36"/>
      <c r="BK232" s="36"/>
      <c r="BL232" s="36"/>
      <c r="BM232" s="36"/>
      <c r="BN232" s="36"/>
      <c r="BO232" s="36"/>
      <c r="BP232" s="36"/>
      <c r="BQ232" s="36"/>
      <c r="BR232" s="36"/>
      <c r="BS232" s="36"/>
      <c r="BT232" s="36"/>
      <c r="BU232" s="36"/>
      <c r="BV232" s="36"/>
      <c r="BW232" s="36"/>
      <c r="BX232" s="36"/>
      <c r="BY232" s="36"/>
      <c r="BZ232" s="36"/>
      <c r="CA232" s="36"/>
      <c r="CB232" s="36">
        <v>1</v>
      </c>
      <c r="CC232" s="36"/>
      <c r="CD232" s="36"/>
      <c r="CE232" s="36"/>
      <c r="CF232" s="36"/>
      <c r="CG232" s="36"/>
      <c r="CH232" s="36"/>
      <c r="CI232" s="36"/>
      <c r="CJ232" s="36"/>
      <c r="CK232" s="36"/>
      <c r="CL232" s="36"/>
      <c r="CM232" s="36"/>
      <c r="CN232" s="36"/>
      <c r="CO232" s="36"/>
      <c r="CP232" s="36"/>
      <c r="CQ232" s="36"/>
      <c r="CR232" s="36"/>
      <c r="CS232" s="36"/>
      <c r="CT232" s="36"/>
      <c r="CU232" s="36"/>
      <c r="CV232" s="36"/>
      <c r="CW232" s="36"/>
      <c r="CX232" s="36"/>
      <c r="CY232" s="36"/>
      <c r="CZ232" s="36"/>
      <c r="DA232" s="36"/>
      <c r="DB232" s="36"/>
      <c r="DC232" s="36"/>
      <c r="DD232" s="36"/>
      <c r="DE232" s="36"/>
      <c r="DF232" s="36"/>
      <c r="DG232" s="36"/>
      <c r="DH232" s="36"/>
      <c r="DI232" s="36"/>
      <c r="DJ232" s="36"/>
      <c r="DK232" s="36"/>
      <c r="DL232" s="36"/>
      <c r="DM232" s="36"/>
      <c r="DN232" s="36"/>
      <c r="DO232" s="36"/>
      <c r="DP232" s="36"/>
      <c r="DQ232" s="36"/>
      <c r="DR232" s="36"/>
      <c r="DS232" s="36"/>
      <c r="DT232" s="36"/>
      <c r="DU232" s="36"/>
      <c r="DV232" s="36"/>
      <c r="DW232" s="36"/>
      <c r="DX232" s="36"/>
      <c r="DY232" s="36"/>
      <c r="DZ232" s="36"/>
      <c r="EA232" s="36"/>
      <c r="EB232" s="36">
        <v>-1</v>
      </c>
      <c r="EC232" s="36"/>
      <c r="ED232" s="36"/>
      <c r="EE232" s="36"/>
      <c r="EF232" s="36"/>
      <c r="EG232" s="36"/>
      <c r="EH232" s="36"/>
      <c r="EI232" s="36"/>
      <c r="EJ232" s="36"/>
      <c r="EK232" s="36"/>
      <c r="EL232" s="36"/>
      <c r="EM232" s="36"/>
      <c r="EN232" s="36"/>
      <c r="EO232" s="36"/>
      <c r="EP232" s="36"/>
      <c r="EQ232" s="36"/>
      <c r="ER232" s="36"/>
      <c r="ES232" s="36"/>
      <c r="ET232" s="36"/>
      <c r="EU232" s="36"/>
      <c r="EV232" s="36"/>
      <c r="EW232" s="36"/>
      <c r="EX232" s="36"/>
      <c r="EY232" s="36"/>
      <c r="EZ232" s="36"/>
      <c r="FA232" s="36"/>
      <c r="FB232" s="36"/>
      <c r="FC232" s="36"/>
      <c r="FD232" s="36"/>
      <c r="FE232" s="36"/>
      <c r="FF232" s="36"/>
      <c r="FG232" s="36"/>
      <c r="FH232" s="36"/>
      <c r="FI232" s="36"/>
      <c r="FJ232" s="36"/>
      <c r="FK232" s="36"/>
      <c r="FL232" s="36"/>
      <c r="FM232" s="36"/>
      <c r="FN232" s="36"/>
      <c r="FO232" s="36"/>
      <c r="FP232" s="36"/>
      <c r="FQ232" s="36"/>
      <c r="FR232" s="36"/>
      <c r="FS232" s="36"/>
      <c r="FT232" s="36"/>
      <c r="FU232" s="36"/>
      <c r="FV232" s="36"/>
      <c r="FW232" s="36"/>
      <c r="FX232" s="36"/>
      <c r="FY232" s="36"/>
      <c r="FZ232" s="36"/>
      <c r="GA232" s="36"/>
      <c r="GB232" s="319"/>
      <c r="GC232" s="179">
        <f t="shared" si="43"/>
        <v>0</v>
      </c>
      <c r="GD232" s="179">
        <f t="shared" si="44"/>
        <v>0</v>
      </c>
      <c r="GE232" s="179">
        <f t="shared" si="45"/>
        <v>0</v>
      </c>
      <c r="GF232" s="179">
        <f t="shared" si="46"/>
        <v>0</v>
      </c>
      <c r="GG232" s="178">
        <f t="shared" si="42"/>
        <v>0</v>
      </c>
    </row>
    <row r="233" spans="1:189" x14ac:dyDescent="0.35">
      <c r="A233" s="5" t="s">
        <v>1230</v>
      </c>
      <c r="B233" s="5" t="str">
        <f>IF(Technologies!B233&lt;&gt;0,Technologies!B233,"")</f>
        <v>Industrie</v>
      </c>
      <c r="C233" s="5" t="str">
        <f>VLOOKUP($A233,Technologies!$A$7:$H$576,3,FALSE)</f>
        <v>Exports</v>
      </c>
      <c r="D233" s="5" t="str">
        <f>VLOOKUP($A233,Technologies!$A$7:$H$576,4,FALSE)</f>
        <v>Refineries</v>
      </c>
      <c r="E233" s="5" t="str">
        <f>VLOOKUP($A233,Technologies!$A$7:$H$576,6,FALSE)</f>
        <v>Kerosene Exports</v>
      </c>
      <c r="F233" s="5" t="str">
        <f>VLOOKUP($A233,Technologies!$A$7:$H$576,7,FALSE)</f>
        <v>Exports of syn-based kerosene</v>
      </c>
      <c r="G233" s="23"/>
      <c r="H233" s="23"/>
      <c r="I233" s="104" cm="1">
        <f t="array" ref="I233">-SUMPRODUCT((Feedstocks!$C$4:$C$141=A233)*Feedstocks!$E$4:$E$141,Feedstocks!$F$4:$F$141,Feedstocks!$H$4:$H$141,Feedstocks!$I$4:$I$141)</f>
        <v>7.1999999999999995E-2</v>
      </c>
      <c r="J233" s="104" cm="1">
        <f t="array" ref="J233">-SUMPRODUCT((Feedstocks!$C$4:$C$141=A233)*Feedstocks!$E$4:$E$141,Feedstocks!$H$4:$H$141,Feedstocks!$I$4:$I$141)</f>
        <v>7.1999999999999995E-2</v>
      </c>
      <c r="K233" s="104"/>
      <c r="L233" s="104"/>
      <c r="M233" s="23"/>
      <c r="N233" s="23" t="str">
        <f>VLOOKUP(E233,Activities!$A$9:$M$227,13,FALSE)</f>
        <v>EU</v>
      </c>
      <c r="O233" s="23"/>
      <c r="P233" s="79" t="s">
        <v>954</v>
      </c>
      <c r="Q233" s="35"/>
      <c r="R233" s="35"/>
      <c r="S233" s="35"/>
      <c r="T233" s="35"/>
      <c r="U233" s="35"/>
      <c r="V233" s="35"/>
      <c r="W233" s="35"/>
      <c r="X233" s="35"/>
      <c r="Y233" s="35"/>
      <c r="Z233" s="35"/>
      <c r="AA233" s="35"/>
      <c r="AB233" s="35"/>
      <c r="AC233" s="35"/>
      <c r="AD233" s="35"/>
      <c r="AE233" s="35"/>
      <c r="AF233" s="35"/>
      <c r="AG233" s="35"/>
      <c r="AH233" s="35"/>
      <c r="AI233" s="35"/>
      <c r="AJ233" s="35"/>
      <c r="AK233" s="35"/>
      <c r="AL233" s="35"/>
      <c r="AM233" s="35"/>
      <c r="AN233" s="35"/>
      <c r="AO233" s="35"/>
      <c r="AP233" s="35"/>
      <c r="AQ233" s="35"/>
      <c r="AR233" s="35"/>
      <c r="AS233" s="35"/>
      <c r="AT233" s="35"/>
      <c r="AU233" s="35"/>
      <c r="AV233" s="35"/>
      <c r="AW233" s="35"/>
      <c r="AX233" s="35"/>
      <c r="AY233" s="35"/>
      <c r="AZ233" s="35"/>
      <c r="BA233" s="35"/>
      <c r="BB233" s="35"/>
      <c r="BC233" s="35"/>
      <c r="BD233" s="35"/>
      <c r="BE233" s="35"/>
      <c r="BF233" s="35"/>
      <c r="BG233" s="35"/>
      <c r="BH233" s="35"/>
      <c r="BI233" s="35"/>
      <c r="BJ233" s="35"/>
      <c r="BK233" s="35"/>
      <c r="BL233" s="35"/>
      <c r="BM233" s="35"/>
      <c r="BN233" s="35"/>
      <c r="BO233" s="35"/>
      <c r="BP233" s="35"/>
      <c r="BQ233" s="35"/>
      <c r="BR233" s="35"/>
      <c r="BS233" s="35"/>
      <c r="BT233" s="35"/>
      <c r="BU233" s="35"/>
      <c r="BV233" s="35"/>
      <c r="BW233" s="35"/>
      <c r="BX233" s="35"/>
      <c r="BY233" s="35"/>
      <c r="BZ233" s="35"/>
      <c r="CA233" s="35"/>
      <c r="CB233" s="35">
        <v>1</v>
      </c>
      <c r="CC233" s="35"/>
      <c r="CD233" s="35"/>
      <c r="CE233" s="35"/>
      <c r="CF233" s="35"/>
      <c r="CG233" s="35"/>
      <c r="CH233" s="35"/>
      <c r="CI233" s="35"/>
      <c r="CJ233" s="35"/>
      <c r="CK233" s="35"/>
      <c r="CL233" s="35"/>
      <c r="CM233" s="35"/>
      <c r="CN233" s="35"/>
      <c r="CO233" s="35"/>
      <c r="CP233" s="35"/>
      <c r="CQ233" s="35"/>
      <c r="CR233" s="35"/>
      <c r="CS233" s="35"/>
      <c r="CT233" s="35"/>
      <c r="CU233" s="35"/>
      <c r="CV233" s="35"/>
      <c r="CW233" s="35"/>
      <c r="CX233" s="35"/>
      <c r="CY233" s="35"/>
      <c r="CZ233" s="35"/>
      <c r="DA233" s="35"/>
      <c r="DB233" s="35"/>
      <c r="DC233" s="35"/>
      <c r="DD233" s="35"/>
      <c r="DE233" s="35"/>
      <c r="DF233" s="35"/>
      <c r="DG233" s="35"/>
      <c r="DH233" s="35"/>
      <c r="DI233" s="35"/>
      <c r="DJ233" s="35"/>
      <c r="DK233" s="35"/>
      <c r="DL233" s="35"/>
      <c r="DM233" s="35"/>
      <c r="DN233" s="35"/>
      <c r="DO233" s="35"/>
      <c r="DP233" s="35"/>
      <c r="DQ233" s="35"/>
      <c r="DR233" s="35"/>
      <c r="DS233" s="35"/>
      <c r="DT233" s="35"/>
      <c r="DU233" s="35"/>
      <c r="DV233" s="35"/>
      <c r="DW233" s="35"/>
      <c r="DX233" s="35"/>
      <c r="DY233" s="35"/>
      <c r="DZ233" s="35"/>
      <c r="EA233" s="35"/>
      <c r="EB233" s="35"/>
      <c r="EC233" s="35"/>
      <c r="ED233" s="35"/>
      <c r="EE233" s="35"/>
      <c r="EF233" s="35">
        <v>-1</v>
      </c>
      <c r="EG233" s="35"/>
      <c r="EH233" s="35"/>
      <c r="EI233" s="35"/>
      <c r="EJ233" s="35"/>
      <c r="EK233" s="35"/>
      <c r="EL233" s="35"/>
      <c r="EM233" s="35"/>
      <c r="EN233" s="35"/>
      <c r="EO233" s="35"/>
      <c r="EP233" s="35"/>
      <c r="EQ233" s="35"/>
      <c r="ER233" s="35"/>
      <c r="ES233" s="35"/>
      <c r="ET233" s="35"/>
      <c r="EU233" s="35"/>
      <c r="EV233" s="35"/>
      <c r="EW233" s="35"/>
      <c r="EX233" s="35"/>
      <c r="EY233" s="35"/>
      <c r="EZ233" s="35"/>
      <c r="FA233" s="35"/>
      <c r="FB233" s="35"/>
      <c r="FC233" s="35"/>
      <c r="FD233" s="35"/>
      <c r="FE233" s="35"/>
      <c r="FF233" s="35"/>
      <c r="FG233" s="35"/>
      <c r="FH233" s="35"/>
      <c r="FI233" s="35"/>
      <c r="FJ233" s="35"/>
      <c r="FK233" s="35"/>
      <c r="FL233" s="35"/>
      <c r="FM233" s="35"/>
      <c r="FN233" s="35"/>
      <c r="FO233" s="35"/>
      <c r="FP233" s="35"/>
      <c r="FQ233" s="35"/>
      <c r="FR233" s="35"/>
      <c r="FS233" s="35"/>
      <c r="FT233" s="35"/>
      <c r="FU233" s="35"/>
      <c r="FV233" s="35"/>
      <c r="FW233" s="35"/>
      <c r="FX233" s="35"/>
      <c r="FY233" s="35"/>
      <c r="FZ233" s="35"/>
      <c r="GA233" s="35"/>
      <c r="GB233" s="318"/>
      <c r="GC233" s="178">
        <f t="shared" si="43"/>
        <v>0</v>
      </c>
      <c r="GD233" s="178">
        <f t="shared" si="44"/>
        <v>0</v>
      </c>
      <c r="GE233" s="178">
        <f t="shared" si="45"/>
        <v>0</v>
      </c>
      <c r="GF233" s="178">
        <f t="shared" si="46"/>
        <v>0</v>
      </c>
      <c r="GG233" s="178">
        <f t="shared" si="42"/>
        <v>7.1999999999999995E-2</v>
      </c>
    </row>
    <row r="234" spans="1:189" x14ac:dyDescent="0.35">
      <c r="A234" s="6" t="s">
        <v>1232</v>
      </c>
      <c r="B234" s="6" t="str">
        <f>IF(Technologies!B234&lt;&gt;0,Technologies!B234,"")</f>
        <v/>
      </c>
      <c r="C234" s="6" t="str">
        <f>VLOOKUP($A234,Technologies!$A$7:$H$576,3,FALSE)</f>
        <v>External</v>
      </c>
      <c r="D234" s="6" t="str">
        <f>VLOOKUP($A234,Technologies!$A$7:$H$576,4,FALSE)</f>
        <v>Power EU</v>
      </c>
      <c r="E234" s="6" t="str">
        <f>VLOOKUP($A234,Technologies!$A$7:$H$576,6,FALSE)</f>
        <v>Electricity demand - EU</v>
      </c>
      <c r="F234" s="48" t="str">
        <f>VLOOKUP($A234,Technologies!$A$7:$H$576,7,FALSE)</f>
        <v>Dummy standard electricity consumption - EU</v>
      </c>
      <c r="G234" s="22"/>
      <c r="H234" s="22"/>
      <c r="I234" s="103" cm="1">
        <f t="array" ref="I234">-SUMPRODUCT((Feedstocks!$C$4:$C$141=A234)*Feedstocks!$E$4:$E$141,Feedstocks!$F$4:$F$141,Feedstocks!$H$4:$H$141,Feedstocks!$I$4:$I$141)</f>
        <v>0</v>
      </c>
      <c r="J234" s="103" cm="1">
        <f t="array" ref="J234">-SUMPRODUCT((Feedstocks!$C$4:$C$141=A234)*Feedstocks!$E$4:$E$141,Feedstocks!$H$4:$H$141,Feedstocks!$I$4:$I$141)</f>
        <v>0</v>
      </c>
      <c r="K234" s="103"/>
      <c r="L234" s="103"/>
      <c r="M234" s="22"/>
      <c r="N234" s="22" t="str">
        <f>VLOOKUP(E234,Activities!$A$9:$M$227,13,FALSE)</f>
        <v>EU</v>
      </c>
      <c r="O234" s="22"/>
      <c r="P234" s="80" t="s">
        <v>1040</v>
      </c>
      <c r="Q234" s="36"/>
      <c r="R234" s="36"/>
      <c r="S234" s="36"/>
      <c r="T234" s="36"/>
      <c r="U234" s="36"/>
      <c r="V234" s="36"/>
      <c r="W234" s="36"/>
      <c r="X234" s="36"/>
      <c r="Y234" s="36"/>
      <c r="Z234" s="36"/>
      <c r="AA234" s="36"/>
      <c r="AB234" s="36"/>
      <c r="AC234" s="36"/>
      <c r="AD234" s="36"/>
      <c r="AE234" s="36"/>
      <c r="AF234" s="36"/>
      <c r="AG234" s="36"/>
      <c r="AH234" s="36"/>
      <c r="AI234" s="36"/>
      <c r="AJ234" s="36"/>
      <c r="AK234" s="36"/>
      <c r="AL234" s="36"/>
      <c r="AM234" s="36"/>
      <c r="AN234" s="36"/>
      <c r="AO234" s="36"/>
      <c r="AP234" s="36"/>
      <c r="AQ234" s="36"/>
      <c r="AR234" s="36"/>
      <c r="AS234" s="36"/>
      <c r="AT234" s="36"/>
      <c r="AU234" s="36"/>
      <c r="AV234" s="36"/>
      <c r="AW234" s="36"/>
      <c r="AX234" s="36"/>
      <c r="AY234" s="36"/>
      <c r="AZ234" s="36"/>
      <c r="BA234" s="36"/>
      <c r="BB234" s="36"/>
      <c r="BC234" s="36"/>
      <c r="BD234" s="36"/>
      <c r="BE234" s="36"/>
      <c r="BF234" s="36"/>
      <c r="BG234" s="36"/>
      <c r="BH234" s="36"/>
      <c r="BI234" s="36"/>
      <c r="BJ234" s="36"/>
      <c r="BK234" s="36"/>
      <c r="BL234" s="36"/>
      <c r="BM234" s="36"/>
      <c r="BN234" s="36"/>
      <c r="BO234" s="36"/>
      <c r="BP234" s="36"/>
      <c r="BQ234" s="36"/>
      <c r="BR234" s="36"/>
      <c r="BS234" s="36"/>
      <c r="BT234" s="36"/>
      <c r="BU234" s="36"/>
      <c r="BV234" s="36"/>
      <c r="BW234" s="36"/>
      <c r="BX234" s="36"/>
      <c r="BY234" s="36"/>
      <c r="BZ234" s="36"/>
      <c r="CA234" s="36"/>
      <c r="CB234" s="36"/>
      <c r="CC234" s="36">
        <v>1</v>
      </c>
      <c r="CD234" s="36"/>
      <c r="CE234" s="36"/>
      <c r="CF234" s="36"/>
      <c r="CG234" s="36"/>
      <c r="CH234" s="36"/>
      <c r="CI234" s="36"/>
      <c r="CJ234" s="36"/>
      <c r="CK234" s="36"/>
      <c r="CL234" s="36"/>
      <c r="CM234" s="36"/>
      <c r="CN234" s="36"/>
      <c r="CO234" s="36"/>
      <c r="CP234" s="36"/>
      <c r="CQ234" s="36"/>
      <c r="CR234" s="36"/>
      <c r="CS234" s="36"/>
      <c r="CT234" s="36"/>
      <c r="CU234" s="36"/>
      <c r="CV234" s="36"/>
      <c r="CW234" s="36"/>
      <c r="CX234" s="36"/>
      <c r="CY234" s="36"/>
      <c r="CZ234" s="36"/>
      <c r="DA234" s="36"/>
      <c r="DB234" s="36"/>
      <c r="DC234" s="36"/>
      <c r="DD234" s="36"/>
      <c r="DE234" s="36"/>
      <c r="DF234" s="36">
        <v>-1</v>
      </c>
      <c r="DG234" s="36"/>
      <c r="DH234" s="36"/>
      <c r="DI234" s="36"/>
      <c r="DJ234" s="36"/>
      <c r="DK234" s="36"/>
      <c r="DL234" s="36"/>
      <c r="DM234" s="36"/>
      <c r="DN234" s="36"/>
      <c r="DO234" s="36"/>
      <c r="DP234" s="36"/>
      <c r="DQ234" s="36"/>
      <c r="DR234" s="36"/>
      <c r="DS234" s="36"/>
      <c r="DT234" s="36"/>
      <c r="DU234" s="36"/>
      <c r="DV234" s="36"/>
      <c r="DW234" s="36"/>
      <c r="DX234" s="36"/>
      <c r="DY234" s="36"/>
      <c r="DZ234" s="36"/>
      <c r="EA234" s="36"/>
      <c r="EB234" s="36"/>
      <c r="EC234" s="36"/>
      <c r="ED234" s="36"/>
      <c r="EE234" s="36"/>
      <c r="EF234" s="36"/>
      <c r="EG234" s="36"/>
      <c r="EH234" s="36"/>
      <c r="EI234" s="36"/>
      <c r="EJ234" s="36"/>
      <c r="EK234" s="36"/>
      <c r="EL234" s="36"/>
      <c r="EM234" s="36"/>
      <c r="EN234" s="36"/>
      <c r="EO234" s="36"/>
      <c r="EP234" s="36"/>
      <c r="EQ234" s="36"/>
      <c r="ER234" s="36"/>
      <c r="ES234" s="36"/>
      <c r="ET234" s="36"/>
      <c r="EU234" s="36"/>
      <c r="EV234" s="36"/>
      <c r="EW234" s="36"/>
      <c r="EX234" s="36"/>
      <c r="EY234" s="36"/>
      <c r="EZ234" s="36"/>
      <c r="FA234" s="36"/>
      <c r="FB234" s="36"/>
      <c r="FC234" s="36"/>
      <c r="FD234" s="36"/>
      <c r="FE234" s="36"/>
      <c r="FF234" s="36"/>
      <c r="FG234" s="36"/>
      <c r="FH234" s="36"/>
      <c r="FI234" s="36"/>
      <c r="FJ234" s="36"/>
      <c r="FK234" s="36"/>
      <c r="FL234" s="36"/>
      <c r="FM234" s="36"/>
      <c r="FN234" s="36"/>
      <c r="FO234" s="36"/>
      <c r="FP234" s="36"/>
      <c r="FQ234" s="36"/>
      <c r="FR234" s="36"/>
      <c r="FS234" s="36"/>
      <c r="FT234" s="36"/>
      <c r="FU234" s="36"/>
      <c r="FV234" s="36"/>
      <c r="FW234" s="36"/>
      <c r="FX234" s="36"/>
      <c r="FY234" s="36"/>
      <c r="FZ234" s="36"/>
      <c r="GA234" s="36"/>
      <c r="GB234" s="319"/>
      <c r="GC234" s="179">
        <f t="shared" si="43"/>
        <v>0</v>
      </c>
      <c r="GD234" s="179">
        <f t="shared" si="44"/>
        <v>0</v>
      </c>
      <c r="GE234" s="179">
        <f t="shared" si="45"/>
        <v>0</v>
      </c>
      <c r="GF234" s="179">
        <f t="shared" si="46"/>
        <v>0</v>
      </c>
      <c r="GG234" s="179">
        <f t="shared" si="42"/>
        <v>0</v>
      </c>
    </row>
    <row r="235" spans="1:189" x14ac:dyDescent="0.35">
      <c r="A235" s="5" t="s">
        <v>1238</v>
      </c>
      <c r="B235" s="5" t="str">
        <f>IF(Technologies!B235&lt;&gt;0,Technologies!B235,"")</f>
        <v/>
      </c>
      <c r="C235" s="5" t="str">
        <f>VLOOKUP($A235,Technologies!$A$7:$H$576,3,FALSE)</f>
        <v>External</v>
      </c>
      <c r="D235" s="5" t="str">
        <f>VLOOKUP($A235,Technologies!$A$7:$H$576,4,FALSE)</f>
        <v>Power EU</v>
      </c>
      <c r="E235" s="5" t="str">
        <f>VLOOKUP($A235,Technologies!$A$7:$H$576,6,FALSE)</f>
        <v>Electricity EU</v>
      </c>
      <c r="F235" s="5" t="str">
        <f>VLOOKUP($A235,Technologies!$A$7:$H$576,7,FALSE)</f>
        <v>Inland generation - Power EU</v>
      </c>
      <c r="G235" s="23"/>
      <c r="H235" s="23"/>
      <c r="I235" s="104" cm="1">
        <f t="array" ref="I235">-SUMPRODUCT((Feedstocks!$C$4:$C$141=A235)*Feedstocks!$E$4:$E$141,Feedstocks!$F$4:$F$141,Feedstocks!$H$4:$H$141,Feedstocks!$I$4:$I$141)</f>
        <v>0</v>
      </c>
      <c r="J235" s="104" cm="1">
        <f t="array" ref="J235">-SUMPRODUCT((Feedstocks!$C$4:$C$141=A235)*Feedstocks!$E$4:$E$141,Feedstocks!$H$4:$H$141,Feedstocks!$I$4:$I$141)</f>
        <v>0</v>
      </c>
      <c r="K235" s="104"/>
      <c r="L235" s="104"/>
      <c r="M235" s="23"/>
      <c r="N235" s="23" t="str">
        <f>VLOOKUP(E235,Activities!$A$9:$M$227,13,FALSE)</f>
        <v>EU</v>
      </c>
      <c r="O235" s="23"/>
      <c r="P235" s="79" t="s">
        <v>1040</v>
      </c>
      <c r="Q235" s="35"/>
      <c r="R235" s="35"/>
      <c r="S235" s="35"/>
      <c r="T235" s="35"/>
      <c r="U235" s="35"/>
      <c r="V235" s="35"/>
      <c r="W235" s="35"/>
      <c r="X235" s="35"/>
      <c r="Y235" s="35"/>
      <c r="Z235" s="35"/>
      <c r="AA235" s="35"/>
      <c r="AB235" s="35"/>
      <c r="AC235" s="35"/>
      <c r="AD235" s="35"/>
      <c r="AE235" s="35"/>
      <c r="AF235" s="35"/>
      <c r="AG235" s="35"/>
      <c r="AH235" s="35"/>
      <c r="AI235" s="35"/>
      <c r="AJ235" s="35"/>
      <c r="AK235" s="35"/>
      <c r="AL235" s="35"/>
      <c r="AM235" s="35"/>
      <c r="AN235" s="35"/>
      <c r="AO235" s="35"/>
      <c r="AP235" s="35"/>
      <c r="AQ235" s="35"/>
      <c r="AR235" s="35"/>
      <c r="AS235" s="35"/>
      <c r="AT235" s="35"/>
      <c r="AU235" s="35"/>
      <c r="AV235" s="35"/>
      <c r="AW235" s="35"/>
      <c r="AX235" s="35"/>
      <c r="AY235" s="35"/>
      <c r="AZ235" s="35"/>
      <c r="BA235" s="35"/>
      <c r="BB235" s="35"/>
      <c r="BC235" s="35"/>
      <c r="BD235" s="35"/>
      <c r="BE235" s="35"/>
      <c r="BF235" s="35"/>
      <c r="BG235" s="35"/>
      <c r="BH235" s="35"/>
      <c r="BI235" s="35"/>
      <c r="BJ235" s="35"/>
      <c r="BK235" s="35"/>
      <c r="BL235" s="35"/>
      <c r="BM235" s="35"/>
      <c r="BN235" s="35"/>
      <c r="BO235" s="35"/>
      <c r="BP235" s="35"/>
      <c r="BQ235" s="35"/>
      <c r="BR235" s="35"/>
      <c r="BS235" s="35"/>
      <c r="BT235" s="35"/>
      <c r="BU235" s="35"/>
      <c r="BV235" s="35"/>
      <c r="BW235" s="35"/>
      <c r="BX235" s="35"/>
      <c r="BY235" s="35"/>
      <c r="BZ235" s="35"/>
      <c r="CA235" s="35"/>
      <c r="CB235" s="35"/>
      <c r="CC235" s="35"/>
      <c r="CD235" s="35"/>
      <c r="CE235" s="35"/>
      <c r="CF235" s="35"/>
      <c r="CG235" s="35"/>
      <c r="CH235" s="35"/>
      <c r="CI235" s="35"/>
      <c r="CJ235" s="35"/>
      <c r="CK235" s="35"/>
      <c r="CL235" s="35"/>
      <c r="CM235" s="35"/>
      <c r="CN235" s="35"/>
      <c r="CO235" s="35"/>
      <c r="CP235" s="35"/>
      <c r="CQ235" s="35"/>
      <c r="CR235" s="35"/>
      <c r="CS235" s="35"/>
      <c r="CT235" s="35"/>
      <c r="CU235" s="35"/>
      <c r="CV235" s="35"/>
      <c r="CW235" s="35"/>
      <c r="CX235" s="35"/>
      <c r="CY235" s="35"/>
      <c r="CZ235" s="35"/>
      <c r="DA235" s="35"/>
      <c r="DB235" s="35"/>
      <c r="DC235" s="35"/>
      <c r="DD235" s="35"/>
      <c r="DE235" s="35"/>
      <c r="DF235" s="35">
        <v>1</v>
      </c>
      <c r="DG235" s="35"/>
      <c r="DH235" s="35"/>
      <c r="DI235" s="35"/>
      <c r="DJ235" s="35"/>
      <c r="DK235" s="35"/>
      <c r="DL235" s="35"/>
      <c r="DM235" s="35"/>
      <c r="DN235" s="35"/>
      <c r="DO235" s="35"/>
      <c r="DP235" s="35"/>
      <c r="DQ235" s="35"/>
      <c r="DR235" s="35"/>
      <c r="DS235" s="35"/>
      <c r="DT235" s="35"/>
      <c r="DU235" s="35"/>
      <c r="DV235" s="35"/>
      <c r="DW235" s="35"/>
      <c r="DX235" s="35"/>
      <c r="DY235" s="35"/>
      <c r="DZ235" s="35"/>
      <c r="EA235" s="35"/>
      <c r="EB235" s="35"/>
      <c r="EC235" s="35"/>
      <c r="ED235" s="35"/>
      <c r="EE235" s="35"/>
      <c r="EF235" s="35"/>
      <c r="EG235" s="35"/>
      <c r="EH235" s="35"/>
      <c r="EI235" s="35"/>
      <c r="EJ235" s="35"/>
      <c r="EK235" s="35"/>
      <c r="EL235" s="35"/>
      <c r="EM235" s="35"/>
      <c r="EN235" s="35"/>
      <c r="EO235" s="35"/>
      <c r="EP235" s="35"/>
      <c r="EQ235" s="35"/>
      <c r="ER235" s="35"/>
      <c r="ES235" s="35"/>
      <c r="ET235" s="35"/>
      <c r="EU235" s="35"/>
      <c r="EV235" s="35"/>
      <c r="EW235" s="35"/>
      <c r="EX235" s="35"/>
      <c r="EY235" s="35"/>
      <c r="EZ235" s="35"/>
      <c r="FA235" s="35"/>
      <c r="FB235" s="35"/>
      <c r="FC235" s="35"/>
      <c r="FD235" s="35"/>
      <c r="FE235" s="35"/>
      <c r="FF235" s="35"/>
      <c r="FG235" s="35"/>
      <c r="FH235" s="35"/>
      <c r="FI235" s="35"/>
      <c r="FJ235" s="35"/>
      <c r="FK235" s="35"/>
      <c r="FL235" s="35"/>
      <c r="FM235" s="35"/>
      <c r="FN235" s="35"/>
      <c r="FO235" s="35"/>
      <c r="FP235" s="35"/>
      <c r="FQ235" s="35"/>
      <c r="FR235" s="35"/>
      <c r="FS235" s="35"/>
      <c r="FT235" s="35"/>
      <c r="FU235" s="35"/>
      <c r="FV235" s="35"/>
      <c r="FW235" s="35"/>
      <c r="FX235" s="35"/>
      <c r="FY235" s="35"/>
      <c r="FZ235" s="35"/>
      <c r="GA235" s="35"/>
      <c r="GB235" s="318"/>
      <c r="GC235" s="178">
        <f t="shared" si="43"/>
        <v>0</v>
      </c>
      <c r="GD235" s="178">
        <f t="shared" si="44"/>
        <v>0</v>
      </c>
      <c r="GE235" s="178">
        <f t="shared" si="45"/>
        <v>0</v>
      </c>
      <c r="GF235" s="178">
        <f t="shared" si="46"/>
        <v>0</v>
      </c>
      <c r="GG235" s="178">
        <f t="shared" si="42"/>
        <v>0</v>
      </c>
    </row>
    <row r="236" spans="1:189" x14ac:dyDescent="0.35">
      <c r="A236" s="6" t="s">
        <v>1242</v>
      </c>
      <c r="B236" s="6" t="str">
        <f>IF(Technologies!B236&lt;&gt;0,Technologies!B236,"")</f>
        <v>Elektriciteit</v>
      </c>
      <c r="C236" s="6" t="str">
        <f>VLOOKUP($A236,Technologies!$A$7:$H$576,3,FALSE)</f>
        <v>External</v>
      </c>
      <c r="D236" s="6" t="str">
        <f>VLOOKUP($A236,Technologies!$A$7:$H$576,4,FALSE)</f>
        <v>Power EU</v>
      </c>
      <c r="E236" s="6" t="str">
        <f>VLOOKUP($A236,Technologies!$A$7:$H$576,6,FALSE)</f>
        <v>Electricity EU</v>
      </c>
      <c r="F236" s="48" t="str">
        <f>VLOOKUP($A236,Technologies!$A$7:$H$576,7,FALSE)</f>
        <v>Export from NL to Power EU</v>
      </c>
      <c r="G236" s="22"/>
      <c r="H236" s="22"/>
      <c r="I236" s="103" cm="1">
        <f t="array" ref="I236">-SUMPRODUCT((Feedstocks!$C$4:$C$141=A236)*Feedstocks!$E$4:$E$141,Feedstocks!$F$4:$F$141,Feedstocks!$H$4:$H$141,Feedstocks!$I$4:$I$141)</f>
        <v>0</v>
      </c>
      <c r="J236" s="103" cm="1">
        <f t="array" ref="J236">-SUMPRODUCT((Feedstocks!$C$4:$C$141=A236)*Feedstocks!$E$4:$E$141,Feedstocks!$H$4:$H$141,Feedstocks!$I$4:$I$141)</f>
        <v>0</v>
      </c>
      <c r="K236" s="103"/>
      <c r="L236" s="103"/>
      <c r="M236" s="22"/>
      <c r="N236" s="22" t="str">
        <f>VLOOKUP(E236,Activities!$A$9:$M$227,13,FALSE)</f>
        <v>EU</v>
      </c>
      <c r="O236" s="22"/>
      <c r="P236" s="80" t="s">
        <v>1040</v>
      </c>
      <c r="Q236" s="36"/>
      <c r="R236" s="36"/>
      <c r="S236" s="36"/>
      <c r="T236" s="36"/>
      <c r="U236" s="36"/>
      <c r="V236" s="36"/>
      <c r="W236" s="36"/>
      <c r="X236" s="36"/>
      <c r="Y236" s="36"/>
      <c r="Z236" s="36"/>
      <c r="AA236" s="36"/>
      <c r="AB236" s="36"/>
      <c r="AC236" s="36"/>
      <c r="AD236" s="36"/>
      <c r="AE236" s="36"/>
      <c r="AF236" s="36"/>
      <c r="AG236" s="36"/>
      <c r="AH236" s="36"/>
      <c r="AI236" s="36"/>
      <c r="AJ236" s="36"/>
      <c r="AK236" s="36"/>
      <c r="AL236" s="36"/>
      <c r="AM236" s="36"/>
      <c r="AN236" s="36"/>
      <c r="AO236" s="36"/>
      <c r="AP236" s="36"/>
      <c r="AQ236" s="36"/>
      <c r="AR236" s="36"/>
      <c r="AS236" s="36"/>
      <c r="AT236" s="36"/>
      <c r="AU236" s="36"/>
      <c r="AV236" s="36"/>
      <c r="AW236" s="36"/>
      <c r="AX236" s="36"/>
      <c r="AY236" s="36"/>
      <c r="AZ236" s="36"/>
      <c r="BA236" s="36"/>
      <c r="BB236" s="36"/>
      <c r="BC236" s="36"/>
      <c r="BD236" s="36"/>
      <c r="BE236" s="36"/>
      <c r="BF236" s="36"/>
      <c r="BG236" s="36"/>
      <c r="BH236" s="36"/>
      <c r="BI236" s="36"/>
      <c r="BJ236" s="36"/>
      <c r="BK236" s="36"/>
      <c r="BL236" s="36"/>
      <c r="BM236" s="36"/>
      <c r="BN236" s="36"/>
      <c r="BO236" s="36"/>
      <c r="BP236" s="36"/>
      <c r="BQ236" s="36"/>
      <c r="BR236" s="36"/>
      <c r="BS236" s="36"/>
      <c r="BT236" s="36"/>
      <c r="BU236" s="36"/>
      <c r="BV236" s="36"/>
      <c r="BW236" s="36"/>
      <c r="BX236" s="36"/>
      <c r="BY236" s="36"/>
      <c r="BZ236" s="36"/>
      <c r="CA236" s="36"/>
      <c r="CB236" s="36"/>
      <c r="CC236" s="36"/>
      <c r="CD236" s="36"/>
      <c r="CE236" s="36"/>
      <c r="CF236" s="36"/>
      <c r="CG236" s="36"/>
      <c r="CH236" s="36"/>
      <c r="CI236" s="36"/>
      <c r="CJ236" s="36"/>
      <c r="CK236" s="36"/>
      <c r="CL236" s="36"/>
      <c r="CM236" s="36"/>
      <c r="CN236" s="36"/>
      <c r="CO236" s="36"/>
      <c r="CP236" s="36"/>
      <c r="CQ236" s="36"/>
      <c r="CR236" s="36"/>
      <c r="CS236" s="36"/>
      <c r="CT236" s="36"/>
      <c r="CU236" s="36"/>
      <c r="CV236" s="36"/>
      <c r="CW236" s="36"/>
      <c r="CX236" s="36"/>
      <c r="CY236" s="36"/>
      <c r="CZ236" s="36"/>
      <c r="DA236" s="36"/>
      <c r="DB236" s="36"/>
      <c r="DC236" s="36"/>
      <c r="DD236" s="36"/>
      <c r="DE236" s="36"/>
      <c r="DF236" s="36">
        <v>1</v>
      </c>
      <c r="DG236" s="36"/>
      <c r="DH236" s="36">
        <v>-1.02</v>
      </c>
      <c r="DI236" s="36"/>
      <c r="DJ236" s="36"/>
      <c r="DK236" s="36"/>
      <c r="DL236" s="36"/>
      <c r="DM236" s="36"/>
      <c r="DN236" s="36"/>
      <c r="DO236" s="36"/>
      <c r="DP236" s="36"/>
      <c r="DQ236" s="36"/>
      <c r="DR236" s="36"/>
      <c r="DS236" s="36"/>
      <c r="DT236" s="36"/>
      <c r="DU236" s="36"/>
      <c r="DV236" s="36"/>
      <c r="DW236" s="36"/>
      <c r="DX236" s="36"/>
      <c r="DY236" s="36"/>
      <c r="DZ236" s="36"/>
      <c r="EA236" s="36"/>
      <c r="EB236" s="36"/>
      <c r="EC236" s="36"/>
      <c r="ED236" s="36"/>
      <c r="EE236" s="36"/>
      <c r="EF236" s="36"/>
      <c r="EG236" s="36"/>
      <c r="EH236" s="36"/>
      <c r="EI236" s="36"/>
      <c r="EJ236" s="36"/>
      <c r="EK236" s="36"/>
      <c r="EL236" s="36"/>
      <c r="EM236" s="36"/>
      <c r="EN236" s="36"/>
      <c r="EO236" s="36"/>
      <c r="EP236" s="36"/>
      <c r="EQ236" s="36"/>
      <c r="ER236" s="36"/>
      <c r="ES236" s="36"/>
      <c r="ET236" s="36"/>
      <c r="EU236" s="36"/>
      <c r="EV236" s="36"/>
      <c r="EW236" s="36"/>
      <c r="EX236" s="36"/>
      <c r="EY236" s="36"/>
      <c r="EZ236" s="36"/>
      <c r="FA236" s="36"/>
      <c r="FB236" s="36"/>
      <c r="FC236" s="36"/>
      <c r="FD236" s="36"/>
      <c r="FE236" s="36"/>
      <c r="FF236" s="36"/>
      <c r="FG236" s="36"/>
      <c r="FH236" s="36"/>
      <c r="FI236" s="36"/>
      <c r="FJ236" s="36"/>
      <c r="FK236" s="36"/>
      <c r="FL236" s="36"/>
      <c r="FM236" s="36"/>
      <c r="FN236" s="36"/>
      <c r="FO236" s="36"/>
      <c r="FP236" s="36"/>
      <c r="FQ236" s="36"/>
      <c r="FR236" s="36"/>
      <c r="FS236" s="36"/>
      <c r="FT236" s="36"/>
      <c r="FU236" s="36"/>
      <c r="FV236" s="36"/>
      <c r="FW236" s="36"/>
      <c r="FX236" s="36"/>
      <c r="FY236" s="36"/>
      <c r="FZ236" s="36"/>
      <c r="GA236" s="36"/>
      <c r="GB236" s="319"/>
      <c r="GC236" s="179">
        <f t="shared" si="43"/>
        <v>0</v>
      </c>
      <c r="GD236" s="179">
        <f t="shared" si="44"/>
        <v>0</v>
      </c>
      <c r="GE236" s="179">
        <f t="shared" si="45"/>
        <v>0</v>
      </c>
      <c r="GF236" s="179">
        <f t="shared" si="46"/>
        <v>0</v>
      </c>
      <c r="GG236" s="179">
        <f t="shared" si="42"/>
        <v>0</v>
      </c>
    </row>
    <row r="237" spans="1:189" x14ac:dyDescent="0.35">
      <c r="A237" s="5" t="s">
        <v>1246</v>
      </c>
      <c r="B237" s="5" t="str">
        <f>IF(Technologies!B237&lt;&gt;0,Technologies!B237,"")</f>
        <v>Elektriciteit</v>
      </c>
      <c r="C237" s="5" t="str">
        <f>VLOOKUP($A237,Technologies!$A$7:$H$576,3,FALSE)</f>
        <v>Conversion</v>
      </c>
      <c r="D237" s="5" t="str">
        <f>VLOOKUP($A237,Technologies!$A$7:$H$576,4,FALSE)</f>
        <v>Power NL</v>
      </c>
      <c r="E237" s="5" t="str">
        <f>VLOOKUP($A237,Technologies!$A$7:$H$576,6,FALSE)</f>
        <v>Electricity NL - HVNS</v>
      </c>
      <c r="F237" s="5" t="str">
        <f>VLOOKUP($A237,Technologies!$A$7:$H$576,7,FALSE)</f>
        <v>Offshore Wind (far) - Power NL</v>
      </c>
      <c r="G237" s="23"/>
      <c r="H237" s="23"/>
      <c r="I237" s="104" cm="1">
        <f t="array" ref="I237">-SUMPRODUCT((Feedstocks!$C$4:$C$141=A237)*Feedstocks!$E$4:$E$141,Feedstocks!$F$4:$F$141,Feedstocks!$H$4:$H$141,Feedstocks!$I$4:$I$141)</f>
        <v>0</v>
      </c>
      <c r="J237" s="104" cm="1">
        <f t="array" ref="J237">-SUMPRODUCT((Feedstocks!$C$4:$C$141=A237)*Feedstocks!$E$4:$E$141,Feedstocks!$H$4:$H$141,Feedstocks!$I$4:$I$141)</f>
        <v>0</v>
      </c>
      <c r="K237" s="104"/>
      <c r="L237" s="104"/>
      <c r="M237" s="23">
        <v>1</v>
      </c>
      <c r="N237" s="23" t="str">
        <f>VLOOKUP(E237,Activities!$A$9:$M$227,13,FALSE)</f>
        <v>NL</v>
      </c>
      <c r="O237" s="23"/>
      <c r="P237" s="79" t="s">
        <v>415</v>
      </c>
      <c r="Q237" s="35"/>
      <c r="R237" s="35"/>
      <c r="S237" s="35"/>
      <c r="T237" s="35"/>
      <c r="U237" s="35"/>
      <c r="V237" s="35"/>
      <c r="W237" s="35"/>
      <c r="X237" s="35"/>
      <c r="Y237" s="35"/>
      <c r="Z237" s="35"/>
      <c r="AA237" s="35"/>
      <c r="AB237" s="35"/>
      <c r="AC237" s="35"/>
      <c r="AD237" s="35"/>
      <c r="AE237" s="35"/>
      <c r="AF237" s="35"/>
      <c r="AG237" s="35"/>
      <c r="AH237" s="35"/>
      <c r="AI237" s="35"/>
      <c r="AJ237" s="35"/>
      <c r="AK237" s="35"/>
      <c r="AL237" s="35"/>
      <c r="AM237" s="35"/>
      <c r="AN237" s="35"/>
      <c r="AO237" s="35"/>
      <c r="AP237" s="35"/>
      <c r="AQ237" s="35"/>
      <c r="AR237" s="35"/>
      <c r="AS237" s="35"/>
      <c r="AT237" s="35"/>
      <c r="AU237" s="35"/>
      <c r="AV237" s="35"/>
      <c r="AW237" s="35"/>
      <c r="AX237" s="35"/>
      <c r="AY237" s="35"/>
      <c r="AZ237" s="35"/>
      <c r="BA237" s="35"/>
      <c r="BB237" s="35"/>
      <c r="BC237" s="35"/>
      <c r="BD237" s="35"/>
      <c r="BE237" s="35"/>
      <c r="BF237" s="35"/>
      <c r="BG237" s="35"/>
      <c r="BH237" s="35"/>
      <c r="BI237" s="35"/>
      <c r="BJ237" s="35"/>
      <c r="BK237" s="35"/>
      <c r="BL237" s="35"/>
      <c r="BM237" s="35"/>
      <c r="BN237" s="35"/>
      <c r="BO237" s="35"/>
      <c r="BP237" s="35"/>
      <c r="BQ237" s="35"/>
      <c r="BR237" s="35"/>
      <c r="BS237" s="35"/>
      <c r="BT237" s="35"/>
      <c r="BU237" s="35"/>
      <c r="BV237" s="35"/>
      <c r="BW237" s="35"/>
      <c r="BX237" s="35"/>
      <c r="BY237" s="35"/>
      <c r="BZ237" s="35"/>
      <c r="CA237" s="35"/>
      <c r="CB237" s="35"/>
      <c r="CC237" s="35"/>
      <c r="CD237" s="35"/>
      <c r="CE237" s="35"/>
      <c r="CF237" s="35"/>
      <c r="CG237" s="35"/>
      <c r="CH237" s="35"/>
      <c r="CI237" s="35"/>
      <c r="CJ237" s="35"/>
      <c r="CK237" s="35"/>
      <c r="CL237" s="35"/>
      <c r="CM237" s="35"/>
      <c r="CN237" s="35"/>
      <c r="CO237" s="35"/>
      <c r="CP237" s="35"/>
      <c r="CQ237" s="35"/>
      <c r="CR237" s="35"/>
      <c r="CS237" s="35"/>
      <c r="CT237" s="35"/>
      <c r="CU237" s="35"/>
      <c r="CV237" s="35"/>
      <c r="CW237" s="35"/>
      <c r="CX237" s="35"/>
      <c r="CY237" s="35"/>
      <c r="CZ237" s="35"/>
      <c r="DA237" s="35"/>
      <c r="DB237" s="35"/>
      <c r="DC237" s="35"/>
      <c r="DD237" s="35"/>
      <c r="DE237" s="35"/>
      <c r="DF237" s="35"/>
      <c r="DG237" s="35">
        <v>1</v>
      </c>
      <c r="DH237" s="35"/>
      <c r="DI237" s="35"/>
      <c r="DJ237" s="35"/>
      <c r="DK237" s="35"/>
      <c r="DL237" s="35"/>
      <c r="DM237" s="35"/>
      <c r="DN237" s="35"/>
      <c r="DO237" s="35"/>
      <c r="DP237" s="35"/>
      <c r="DQ237" s="35"/>
      <c r="DR237" s="35"/>
      <c r="DS237" s="35"/>
      <c r="DT237" s="35"/>
      <c r="DU237" s="35"/>
      <c r="DV237" s="35"/>
      <c r="DW237" s="35"/>
      <c r="DX237" s="35"/>
      <c r="DY237" s="35"/>
      <c r="DZ237" s="35"/>
      <c r="EA237" s="35"/>
      <c r="EB237" s="35"/>
      <c r="EC237" s="35"/>
      <c r="ED237" s="35"/>
      <c r="EE237" s="35"/>
      <c r="EF237" s="35"/>
      <c r="EG237" s="35"/>
      <c r="EH237" s="35"/>
      <c r="EI237" s="35"/>
      <c r="EJ237" s="35"/>
      <c r="EK237" s="35"/>
      <c r="EL237" s="35"/>
      <c r="EM237" s="35"/>
      <c r="EN237" s="35"/>
      <c r="EO237" s="35"/>
      <c r="EP237" s="35"/>
      <c r="EQ237" s="35"/>
      <c r="ER237" s="35"/>
      <c r="ES237" s="35"/>
      <c r="ET237" s="35"/>
      <c r="EU237" s="35"/>
      <c r="EV237" s="35"/>
      <c r="EW237" s="35"/>
      <c r="EX237" s="35"/>
      <c r="EY237" s="35"/>
      <c r="EZ237" s="35"/>
      <c r="FA237" s="35"/>
      <c r="FB237" s="35"/>
      <c r="FC237" s="35"/>
      <c r="FD237" s="35"/>
      <c r="FE237" s="35"/>
      <c r="FF237" s="35"/>
      <c r="FG237" s="35"/>
      <c r="FH237" s="35"/>
      <c r="FI237" s="35"/>
      <c r="FJ237" s="35">
        <v>-1</v>
      </c>
      <c r="FK237" s="35"/>
      <c r="FL237" s="35"/>
      <c r="FM237" s="35"/>
      <c r="FN237" s="35"/>
      <c r="FO237" s="35"/>
      <c r="FP237" s="35"/>
      <c r="FQ237" s="35"/>
      <c r="FR237" s="35"/>
      <c r="FS237" s="35"/>
      <c r="FT237" s="35"/>
      <c r="FU237" s="35"/>
      <c r="FV237" s="35"/>
      <c r="FW237" s="35"/>
      <c r="FX237" s="35"/>
      <c r="FY237" s="35"/>
      <c r="FZ237" s="35"/>
      <c r="GA237" s="35"/>
      <c r="GB237" s="318"/>
      <c r="GC237" s="178">
        <f t="shared" si="43"/>
        <v>0</v>
      </c>
      <c r="GD237" s="178">
        <f t="shared" si="44"/>
        <v>0</v>
      </c>
      <c r="GE237" s="178">
        <f t="shared" si="45"/>
        <v>0</v>
      </c>
      <c r="GF237" s="178">
        <f t="shared" si="46"/>
        <v>0</v>
      </c>
      <c r="GG237" s="178">
        <f t="shared" si="42"/>
        <v>0</v>
      </c>
    </row>
    <row r="238" spans="1:189" x14ac:dyDescent="0.35">
      <c r="A238" s="6" t="s">
        <v>1252</v>
      </c>
      <c r="B238" s="6" t="str">
        <f>IF(Technologies!B238&lt;&gt;0,Technologies!B238,"")</f>
        <v>Elektriciteit</v>
      </c>
      <c r="C238" s="6" t="str">
        <f>VLOOKUP($A238,Technologies!$A$7:$H$576,3,FALSE)</f>
        <v>Conversion</v>
      </c>
      <c r="D238" s="6" t="str">
        <f>VLOOKUP($A238,Technologies!$A$7:$H$576,4,FALSE)</f>
        <v>Power NL</v>
      </c>
      <c r="E238" s="6" t="str">
        <f>VLOOKUP($A238,Technologies!$A$7:$H$576,6,FALSE)</f>
        <v>Electricity NL - HV</v>
      </c>
      <c r="F238" s="48" t="str">
        <f>VLOOKUP($A238,Technologies!$A$7:$H$576,7,FALSE)</f>
        <v>Coal old - Power NL</v>
      </c>
      <c r="G238" s="22"/>
      <c r="H238" s="22"/>
      <c r="I238" s="103" cm="1">
        <f t="array" ref="I238">-SUMPRODUCT((Feedstocks!$C$4:$C$141=A238)*Feedstocks!$E$4:$E$141,Feedstocks!$F$4:$F$141,Feedstocks!$H$4:$H$141,Feedstocks!$I$4:$I$141)</f>
        <v>0</v>
      </c>
      <c r="J238" s="103" cm="1">
        <f t="array" ref="J238">-SUMPRODUCT((Feedstocks!$C$4:$C$141=A238)*Feedstocks!$E$4:$E$141,Feedstocks!$H$4:$H$141,Feedstocks!$I$4:$I$141)</f>
        <v>0</v>
      </c>
      <c r="K238" s="103"/>
      <c r="L238" s="103"/>
      <c r="M238" s="22">
        <v>1</v>
      </c>
      <c r="N238" s="22" t="str">
        <f>VLOOKUP(E238,Activities!$A$9:$M$227,13,FALSE)</f>
        <v>NL</v>
      </c>
      <c r="O238" s="22"/>
      <c r="P238" s="80" t="s">
        <v>415</v>
      </c>
      <c r="Q238" s="36"/>
      <c r="R238" s="36"/>
      <c r="S238" s="36"/>
      <c r="T238" s="36"/>
      <c r="U238" s="36"/>
      <c r="V238" s="36"/>
      <c r="W238" s="36"/>
      <c r="X238" s="36"/>
      <c r="Y238" s="36"/>
      <c r="Z238" s="36"/>
      <c r="AA238" s="36"/>
      <c r="AB238" s="36"/>
      <c r="AC238" s="36"/>
      <c r="AD238" s="36"/>
      <c r="AE238" s="36"/>
      <c r="AF238" s="36"/>
      <c r="AG238" s="36"/>
      <c r="AH238" s="36"/>
      <c r="AI238" s="36"/>
      <c r="AJ238" s="36"/>
      <c r="AK238" s="36"/>
      <c r="AL238" s="36"/>
      <c r="AM238" s="36"/>
      <c r="AN238" s="36"/>
      <c r="AO238" s="36"/>
      <c r="AP238" s="36"/>
      <c r="AQ238" s="36"/>
      <c r="AR238" s="36"/>
      <c r="AS238" s="36"/>
      <c r="AT238" s="36"/>
      <c r="AU238" s="36"/>
      <c r="AV238" s="36"/>
      <c r="AW238" s="36"/>
      <c r="AX238" s="36"/>
      <c r="AY238" s="36"/>
      <c r="AZ238" s="36"/>
      <c r="BA238" s="36"/>
      <c r="BB238" s="36"/>
      <c r="BC238" s="36"/>
      <c r="BD238" s="36"/>
      <c r="BE238" s="36"/>
      <c r="BF238" s="36"/>
      <c r="BG238" s="36"/>
      <c r="BH238" s="36"/>
      <c r="BI238" s="36"/>
      <c r="BJ238" s="36"/>
      <c r="BK238" s="36"/>
      <c r="BL238" s="36"/>
      <c r="BM238" s="36"/>
      <c r="BN238" s="36"/>
      <c r="BO238" s="36"/>
      <c r="BP238" s="36"/>
      <c r="BQ238" s="36"/>
      <c r="BR238" s="36"/>
      <c r="BS238" s="36"/>
      <c r="BT238" s="36"/>
      <c r="BU238" s="36"/>
      <c r="BV238" s="36"/>
      <c r="BW238" s="36"/>
      <c r="BX238" s="36"/>
      <c r="BY238" s="36"/>
      <c r="BZ238" s="36"/>
      <c r="CA238" s="36"/>
      <c r="CB238" s="36"/>
      <c r="CC238" s="36"/>
      <c r="CD238" s="36"/>
      <c r="CE238" s="36"/>
      <c r="CF238" s="36"/>
      <c r="CG238" s="36"/>
      <c r="CH238" s="36"/>
      <c r="CI238" s="36"/>
      <c r="CJ238" s="36"/>
      <c r="CK238" s="36"/>
      <c r="CL238" s="36"/>
      <c r="CM238" s="36"/>
      <c r="CN238" s="36"/>
      <c r="CO238" s="36"/>
      <c r="CP238" s="36"/>
      <c r="CQ238" s="36"/>
      <c r="CR238" s="36"/>
      <c r="CS238" s="36"/>
      <c r="CT238" s="36"/>
      <c r="CU238" s="36"/>
      <c r="CV238" s="36"/>
      <c r="CW238" s="36"/>
      <c r="CX238" s="36"/>
      <c r="CY238" s="36"/>
      <c r="CZ238" s="36"/>
      <c r="DA238" s="36"/>
      <c r="DB238" s="36"/>
      <c r="DC238" s="36"/>
      <c r="DD238" s="36"/>
      <c r="DE238" s="36"/>
      <c r="DF238" s="36"/>
      <c r="DG238" s="36"/>
      <c r="DH238" s="36">
        <v>1</v>
      </c>
      <c r="DI238" s="36"/>
      <c r="DJ238" s="36"/>
      <c r="DK238" s="36"/>
      <c r="DL238" s="36"/>
      <c r="DM238" s="36"/>
      <c r="DN238" s="36"/>
      <c r="DO238" s="36"/>
      <c r="DP238" s="36"/>
      <c r="DQ238" s="36"/>
      <c r="DR238" s="36"/>
      <c r="DS238" s="36"/>
      <c r="DT238" s="36"/>
      <c r="DU238" s="36"/>
      <c r="DV238" s="36"/>
      <c r="DW238" s="36"/>
      <c r="DX238" s="36"/>
      <c r="DY238" s="36"/>
      <c r="DZ238" s="36"/>
      <c r="EA238" s="36"/>
      <c r="EB238" s="36"/>
      <c r="EC238" s="36"/>
      <c r="ED238" s="36"/>
      <c r="EE238" s="36"/>
      <c r="EF238" s="36"/>
      <c r="EG238" s="36"/>
      <c r="EH238" s="36"/>
      <c r="EI238" s="36"/>
      <c r="EJ238" s="36"/>
      <c r="EK238" s="36"/>
      <c r="EL238" s="36"/>
      <c r="EM238" s="36"/>
      <c r="EN238" s="36"/>
      <c r="EO238" s="36"/>
      <c r="EP238" s="36"/>
      <c r="EQ238" s="36"/>
      <c r="ER238" s="36"/>
      <c r="ES238" s="36">
        <v>-2.3500345600000001</v>
      </c>
      <c r="ET238" s="36"/>
      <c r="EU238" s="36"/>
      <c r="EV238" s="36"/>
      <c r="EW238" s="36"/>
      <c r="EX238" s="36"/>
      <c r="EY238" s="36"/>
      <c r="EZ238" s="36"/>
      <c r="FA238" s="36"/>
      <c r="FB238" s="36"/>
      <c r="FC238" s="36"/>
      <c r="FD238" s="36"/>
      <c r="FE238" s="36"/>
      <c r="FF238" s="36"/>
      <c r="FG238" s="36"/>
      <c r="FH238" s="36"/>
      <c r="FI238" s="36"/>
      <c r="FJ238" s="36"/>
      <c r="FK238" s="36"/>
      <c r="FL238" s="36"/>
      <c r="FM238" s="36"/>
      <c r="FN238" s="36"/>
      <c r="FO238" s="36"/>
      <c r="FP238" s="36"/>
      <c r="FQ238" s="36"/>
      <c r="FR238" s="36"/>
      <c r="FS238" s="36"/>
      <c r="FT238" s="36"/>
      <c r="FU238" s="36"/>
      <c r="FV238" s="36"/>
      <c r="FW238" s="36"/>
      <c r="FX238" s="36"/>
      <c r="FY238" s="36"/>
      <c r="FZ238" s="36"/>
      <c r="GA238" s="36"/>
      <c r="GB238" s="319"/>
      <c r="GC238" s="179">
        <f t="shared" si="43"/>
        <v>0</v>
      </c>
      <c r="GD238" s="179">
        <f t="shared" si="44"/>
        <v>0.23100000000000001</v>
      </c>
      <c r="GE238" s="179">
        <f t="shared" si="45"/>
        <v>0</v>
      </c>
      <c r="GF238" s="179">
        <f t="shared" si="46"/>
        <v>0</v>
      </c>
      <c r="GG238" s="179">
        <f t="shared" si="42"/>
        <v>0</v>
      </c>
    </row>
    <row r="239" spans="1:189" x14ac:dyDescent="0.35">
      <c r="A239" s="5" t="s">
        <v>1254</v>
      </c>
      <c r="B239" s="5" t="str">
        <f>IF(Technologies!B239&lt;&gt;0,Technologies!B239,"")</f>
        <v>Elektriciteit</v>
      </c>
      <c r="C239" s="5" t="str">
        <f>VLOOKUP($A239,Technologies!$A$7:$H$576,3,FALSE)</f>
        <v>Conversion</v>
      </c>
      <c r="D239" s="5" t="str">
        <f>VLOOKUP($A239,Technologies!$A$7:$H$576,4,FALSE)</f>
        <v>Power NL</v>
      </c>
      <c r="E239" s="5" t="str">
        <f>VLOOKUP($A239,Technologies!$A$7:$H$576,6,FALSE)</f>
        <v>Electricity NL - HV</v>
      </c>
      <c r="F239" s="5" t="str">
        <f>VLOOKUP($A239,Technologies!$A$7:$H$576,7,FALSE)</f>
        <v>Co-fired Coal - Power NL</v>
      </c>
      <c r="G239" s="23"/>
      <c r="H239" s="23"/>
      <c r="I239" s="104" cm="1">
        <f t="array" ref="I239">-SUMPRODUCT((Feedstocks!$C$4:$C$141=A239)*Feedstocks!$E$4:$E$141,Feedstocks!$F$4:$F$141,Feedstocks!$H$4:$H$141,Feedstocks!$I$4:$I$141)</f>
        <v>0</v>
      </c>
      <c r="J239" s="104" cm="1">
        <f t="array" ref="J239">-SUMPRODUCT((Feedstocks!$C$4:$C$141=A239)*Feedstocks!$E$4:$E$141,Feedstocks!$H$4:$H$141,Feedstocks!$I$4:$I$141)</f>
        <v>0</v>
      </c>
      <c r="K239" s="104"/>
      <c r="L239" s="104"/>
      <c r="M239" s="23">
        <v>1</v>
      </c>
      <c r="N239" s="23" t="str">
        <f>VLOOKUP(E239,Activities!$A$9:$M$227,13,FALSE)</f>
        <v>NL</v>
      </c>
      <c r="O239" s="23"/>
      <c r="P239" s="79" t="s">
        <v>415</v>
      </c>
      <c r="Q239" s="35"/>
      <c r="R239" s="35"/>
      <c r="S239" s="35"/>
      <c r="T239" s="35"/>
      <c r="U239" s="35"/>
      <c r="V239" s="35"/>
      <c r="W239" s="35"/>
      <c r="X239" s="35"/>
      <c r="Y239" s="35"/>
      <c r="Z239" s="35"/>
      <c r="AA239" s="35"/>
      <c r="AB239" s="35"/>
      <c r="AC239" s="35"/>
      <c r="AD239" s="35"/>
      <c r="AE239" s="35"/>
      <c r="AF239" s="35"/>
      <c r="AG239" s="35"/>
      <c r="AH239" s="35"/>
      <c r="AI239" s="35"/>
      <c r="AJ239" s="35"/>
      <c r="AK239" s="35"/>
      <c r="AL239" s="35"/>
      <c r="AM239" s="35"/>
      <c r="AN239" s="35"/>
      <c r="AO239" s="35"/>
      <c r="AP239" s="35"/>
      <c r="AQ239" s="35"/>
      <c r="AR239" s="35"/>
      <c r="AS239" s="35"/>
      <c r="AT239" s="35"/>
      <c r="AU239" s="35"/>
      <c r="AV239" s="35"/>
      <c r="AW239" s="35"/>
      <c r="AX239" s="35"/>
      <c r="AY239" s="35"/>
      <c r="AZ239" s="35"/>
      <c r="BA239" s="35"/>
      <c r="BB239" s="35"/>
      <c r="BC239" s="35"/>
      <c r="BD239" s="35"/>
      <c r="BE239" s="35"/>
      <c r="BF239" s="35"/>
      <c r="BG239" s="35"/>
      <c r="BH239" s="35"/>
      <c r="BI239" s="35"/>
      <c r="BJ239" s="35"/>
      <c r="BK239" s="35"/>
      <c r="BL239" s="35"/>
      <c r="BM239" s="35"/>
      <c r="BN239" s="35"/>
      <c r="BO239" s="35"/>
      <c r="BP239" s="35"/>
      <c r="BQ239" s="35"/>
      <c r="BR239" s="35"/>
      <c r="BS239" s="35"/>
      <c r="BT239" s="35"/>
      <c r="BU239" s="35"/>
      <c r="BV239" s="35"/>
      <c r="BW239" s="35"/>
      <c r="BX239" s="35"/>
      <c r="BY239" s="35"/>
      <c r="BZ239" s="35"/>
      <c r="CA239" s="35"/>
      <c r="CB239" s="35"/>
      <c r="CC239" s="35"/>
      <c r="CD239" s="35"/>
      <c r="CE239" s="35"/>
      <c r="CF239" s="35"/>
      <c r="CG239" s="35"/>
      <c r="CH239" s="35"/>
      <c r="CI239" s="35"/>
      <c r="CJ239" s="35"/>
      <c r="CK239" s="35"/>
      <c r="CL239" s="35"/>
      <c r="CM239" s="35"/>
      <c r="CN239" s="35"/>
      <c r="CO239" s="35"/>
      <c r="CP239" s="35"/>
      <c r="CQ239" s="35"/>
      <c r="CR239" s="35"/>
      <c r="CS239" s="35"/>
      <c r="CT239" s="35"/>
      <c r="CU239" s="35"/>
      <c r="CV239" s="35"/>
      <c r="CW239" s="35"/>
      <c r="CX239" s="35"/>
      <c r="CY239" s="35"/>
      <c r="CZ239" s="35"/>
      <c r="DA239" s="35"/>
      <c r="DB239" s="35"/>
      <c r="DC239" s="35"/>
      <c r="DD239" s="35"/>
      <c r="DE239" s="35"/>
      <c r="DF239" s="35"/>
      <c r="DG239" s="35"/>
      <c r="DH239" s="35">
        <v>1</v>
      </c>
      <c r="DI239" s="35"/>
      <c r="DJ239" s="35"/>
      <c r="DK239" s="35"/>
      <c r="DL239" s="35"/>
      <c r="DM239" s="35"/>
      <c r="DN239" s="35"/>
      <c r="DO239" s="35"/>
      <c r="DP239" s="35"/>
      <c r="DQ239" s="35"/>
      <c r="DR239" s="35"/>
      <c r="DS239" s="35"/>
      <c r="DT239" s="35"/>
      <c r="DU239" s="35"/>
      <c r="DV239" s="35"/>
      <c r="DW239" s="35"/>
      <c r="DX239" s="35"/>
      <c r="DY239" s="35"/>
      <c r="DZ239" s="35"/>
      <c r="EA239" s="35"/>
      <c r="EB239" s="35"/>
      <c r="EC239" s="35"/>
      <c r="ED239" s="35"/>
      <c r="EE239" s="35"/>
      <c r="EF239" s="35"/>
      <c r="EG239" s="35"/>
      <c r="EH239" s="35"/>
      <c r="EI239" s="35"/>
      <c r="EJ239" s="35"/>
      <c r="EK239" s="35"/>
      <c r="EL239" s="35"/>
      <c r="EM239" s="35"/>
      <c r="EN239" s="35"/>
      <c r="EO239" s="35"/>
      <c r="EP239" s="35"/>
      <c r="EQ239" s="35"/>
      <c r="ER239" s="35">
        <v>-0.38</v>
      </c>
      <c r="ES239" s="35">
        <v>-1.5800456000000001</v>
      </c>
      <c r="ET239" s="35"/>
      <c r="EU239" s="35"/>
      <c r="EV239" s="35"/>
      <c r="EW239" s="35"/>
      <c r="EX239" s="35"/>
      <c r="EY239" s="35"/>
      <c r="EZ239" s="35"/>
      <c r="FA239" s="35"/>
      <c r="FB239" s="35"/>
      <c r="FC239" s="35"/>
      <c r="FD239" s="35"/>
      <c r="FE239" s="35"/>
      <c r="FF239" s="35"/>
      <c r="FG239" s="35"/>
      <c r="FH239" s="35"/>
      <c r="FI239" s="35"/>
      <c r="FJ239" s="35"/>
      <c r="FK239" s="35"/>
      <c r="FL239" s="35"/>
      <c r="FM239" s="35"/>
      <c r="FN239" s="35"/>
      <c r="FO239" s="35"/>
      <c r="FP239" s="35"/>
      <c r="FQ239" s="35"/>
      <c r="FR239" s="35"/>
      <c r="FS239" s="35"/>
      <c r="FT239" s="35"/>
      <c r="FU239" s="35"/>
      <c r="FV239" s="35"/>
      <c r="FW239" s="35"/>
      <c r="FX239" s="35"/>
      <c r="FY239" s="35"/>
      <c r="FZ239" s="35"/>
      <c r="GA239" s="35"/>
      <c r="GB239" s="318"/>
      <c r="GC239" s="178">
        <f t="shared" si="43"/>
        <v>0</v>
      </c>
      <c r="GD239" s="178">
        <f t="shared" si="44"/>
        <v>0.15529999999999999</v>
      </c>
      <c r="GE239" s="178">
        <f t="shared" si="45"/>
        <v>0</v>
      </c>
      <c r="GF239" s="178">
        <f t="shared" si="46"/>
        <v>0</v>
      </c>
      <c r="GG239" s="178">
        <f t="shared" si="42"/>
        <v>0</v>
      </c>
    </row>
    <row r="240" spans="1:189" x14ac:dyDescent="0.35">
      <c r="A240" s="6" t="s">
        <v>1256</v>
      </c>
      <c r="B240" s="6" t="str">
        <f>IF(Technologies!B240&lt;&gt;0,Technologies!B240,"")</f>
        <v>Elektriciteit</v>
      </c>
      <c r="C240" s="6" t="str">
        <f>VLOOKUP($A240,Technologies!$A$7:$H$576,3,FALSE)</f>
        <v>Conversion</v>
      </c>
      <c r="D240" s="6" t="str">
        <f>VLOOKUP($A240,Technologies!$A$7:$H$576,4,FALSE)</f>
        <v>Power NL</v>
      </c>
      <c r="E240" s="6" t="str">
        <f>VLOOKUP($A240,Technologies!$A$7:$H$576,6,FALSE)</f>
        <v>Electricity NL - HV</v>
      </c>
      <c r="F240" s="48" t="str">
        <f>VLOOKUP($A240,Technologies!$A$7:$H$576,7,FALSE)</f>
        <v>Co-fired Coal wCCS - Power NL</v>
      </c>
      <c r="G240" s="22">
        <v>0.9</v>
      </c>
      <c r="H240" s="22"/>
      <c r="I240" s="103" cm="1">
        <f t="array" ref="I240">-SUMPRODUCT((Feedstocks!$C$4:$C$141=A240)*Feedstocks!$E$4:$E$141,Feedstocks!$F$4:$F$141,Feedstocks!$H$4:$H$141,Feedstocks!$I$4:$I$141)</f>
        <v>0</v>
      </c>
      <c r="J240" s="103" cm="1">
        <f t="array" ref="J240">-SUMPRODUCT((Feedstocks!$C$4:$C$141=A240)*Feedstocks!$E$4:$E$141,Feedstocks!$H$4:$H$141,Feedstocks!$I$4:$I$141)</f>
        <v>0</v>
      </c>
      <c r="K240" s="103"/>
      <c r="L240" s="103"/>
      <c r="M240" s="22">
        <v>1</v>
      </c>
      <c r="N240" s="22" t="str">
        <f>VLOOKUP(E240,Activities!$A$9:$M$227,13,FALSE)</f>
        <v>NL</v>
      </c>
      <c r="O240" s="22"/>
      <c r="P240" s="80" t="s">
        <v>415</v>
      </c>
      <c r="Q240" s="36"/>
      <c r="R240" s="36"/>
      <c r="S240" s="36"/>
      <c r="T240" s="36"/>
      <c r="U240" s="36"/>
      <c r="V240" s="36"/>
      <c r="W240" s="36"/>
      <c r="X240" s="36"/>
      <c r="Y240" s="36"/>
      <c r="Z240" s="36"/>
      <c r="AA240" s="36"/>
      <c r="AB240" s="36"/>
      <c r="AC240" s="36"/>
      <c r="AD240" s="36"/>
      <c r="AE240" s="36"/>
      <c r="AF240" s="36"/>
      <c r="AG240" s="36"/>
      <c r="AH240" s="36"/>
      <c r="AI240" s="36"/>
      <c r="AJ240" s="36"/>
      <c r="AK240" s="36"/>
      <c r="AL240" s="36"/>
      <c r="AM240" s="36"/>
      <c r="AN240" s="36"/>
      <c r="AO240" s="36"/>
      <c r="AP240" s="36"/>
      <c r="AQ240" s="36"/>
      <c r="AR240" s="36"/>
      <c r="AS240" s="36"/>
      <c r="AT240" s="36"/>
      <c r="AU240" s="36"/>
      <c r="AV240" s="36"/>
      <c r="AW240" s="36"/>
      <c r="AX240" s="36"/>
      <c r="AY240" s="36"/>
      <c r="AZ240" s="36"/>
      <c r="BA240" s="36"/>
      <c r="BB240" s="36"/>
      <c r="BC240" s="36"/>
      <c r="BD240" s="36"/>
      <c r="BE240" s="36"/>
      <c r="BF240" s="36"/>
      <c r="BG240" s="36"/>
      <c r="BH240" s="36"/>
      <c r="BI240" s="36"/>
      <c r="BJ240" s="36"/>
      <c r="BK240" s="36"/>
      <c r="BL240" s="36"/>
      <c r="BM240" s="36"/>
      <c r="BN240" s="36"/>
      <c r="BO240" s="36"/>
      <c r="BP240" s="36"/>
      <c r="BQ240" s="36"/>
      <c r="BR240" s="36"/>
      <c r="BS240" s="36"/>
      <c r="BT240" s="36"/>
      <c r="BU240" s="36"/>
      <c r="BV240" s="36"/>
      <c r="BW240" s="36"/>
      <c r="BX240" s="36"/>
      <c r="BY240" s="36"/>
      <c r="BZ240" s="36"/>
      <c r="CA240" s="36"/>
      <c r="CB240" s="36"/>
      <c r="CC240" s="36"/>
      <c r="CD240" s="36"/>
      <c r="CE240" s="36"/>
      <c r="CF240" s="36"/>
      <c r="CG240" s="36"/>
      <c r="CH240" s="36"/>
      <c r="CI240" s="36"/>
      <c r="CJ240" s="36"/>
      <c r="CK240" s="36"/>
      <c r="CL240" s="36"/>
      <c r="CM240" s="36"/>
      <c r="CN240" s="36"/>
      <c r="CO240" s="36"/>
      <c r="CP240" s="36"/>
      <c r="CQ240" s="36"/>
      <c r="CR240" s="36"/>
      <c r="CS240" s="36"/>
      <c r="CT240" s="36"/>
      <c r="CU240" s="36"/>
      <c r="CV240" s="36"/>
      <c r="CW240" s="36"/>
      <c r="CX240" s="36"/>
      <c r="CY240" s="36"/>
      <c r="CZ240" s="36"/>
      <c r="DA240" s="36"/>
      <c r="DB240" s="36"/>
      <c r="DC240" s="36"/>
      <c r="DD240" s="36"/>
      <c r="DE240" s="36"/>
      <c r="DF240" s="36"/>
      <c r="DG240" s="36"/>
      <c r="DH240" s="36">
        <v>1</v>
      </c>
      <c r="DI240" s="36"/>
      <c r="DJ240" s="36"/>
      <c r="DK240" s="36"/>
      <c r="DL240" s="36"/>
      <c r="DM240" s="36"/>
      <c r="DN240" s="36"/>
      <c r="DO240" s="36"/>
      <c r="DP240" s="36"/>
      <c r="DQ240" s="36"/>
      <c r="DR240" s="36"/>
      <c r="DS240" s="36"/>
      <c r="DT240" s="36"/>
      <c r="DU240" s="36"/>
      <c r="DV240" s="36"/>
      <c r="DW240" s="36"/>
      <c r="DX240" s="36"/>
      <c r="DY240" s="36"/>
      <c r="DZ240" s="36"/>
      <c r="EA240" s="36"/>
      <c r="EB240" s="36"/>
      <c r="EC240" s="36"/>
      <c r="ED240" s="36"/>
      <c r="EE240" s="36"/>
      <c r="EF240" s="36"/>
      <c r="EG240" s="36"/>
      <c r="EH240" s="36"/>
      <c r="EI240" s="36"/>
      <c r="EJ240" s="36"/>
      <c r="EK240" s="36"/>
      <c r="EL240" s="36"/>
      <c r="EM240" s="36"/>
      <c r="EN240" s="36"/>
      <c r="EO240" s="36"/>
      <c r="EP240" s="36"/>
      <c r="EQ240" s="36"/>
      <c r="ER240" s="36">
        <v>-0.47499999999999998</v>
      </c>
      <c r="ES240" s="36">
        <v>-1.9750570000000001</v>
      </c>
      <c r="ET240" s="36"/>
      <c r="EU240" s="36"/>
      <c r="EV240" s="36"/>
      <c r="EW240" s="36"/>
      <c r="EX240" s="36"/>
      <c r="EY240" s="36"/>
      <c r="EZ240" s="36"/>
      <c r="FA240" s="36"/>
      <c r="FB240" s="36"/>
      <c r="FC240" s="36"/>
      <c r="FD240" s="36"/>
      <c r="FE240" s="36"/>
      <c r="FF240" s="36"/>
      <c r="FG240" s="36"/>
      <c r="FH240" s="36"/>
      <c r="FI240" s="36"/>
      <c r="FJ240" s="36"/>
      <c r="FK240" s="36"/>
      <c r="FL240" s="36"/>
      <c r="FM240" s="36"/>
      <c r="FN240" s="36"/>
      <c r="FO240" s="36"/>
      <c r="FP240" s="36"/>
      <c r="FQ240" s="36"/>
      <c r="FR240" s="36"/>
      <c r="FS240" s="36"/>
      <c r="FT240" s="36"/>
      <c r="FU240" s="36"/>
      <c r="FV240" s="36"/>
      <c r="FW240" s="36"/>
      <c r="FX240" s="36"/>
      <c r="FY240" s="36"/>
      <c r="FZ240" s="36"/>
      <c r="GA240" s="36"/>
      <c r="GB240" s="319"/>
      <c r="GC240" s="179">
        <f t="shared" si="43"/>
        <v>0.22159999999999999</v>
      </c>
      <c r="GD240" s="179">
        <f t="shared" si="44"/>
        <v>-2.7400000000000001E-2</v>
      </c>
      <c r="GE240" s="179">
        <f t="shared" si="45"/>
        <v>0</v>
      </c>
      <c r="GF240" s="179">
        <f t="shared" si="46"/>
        <v>0</v>
      </c>
      <c r="GG240" s="179">
        <f t="shared" si="42"/>
        <v>0</v>
      </c>
    </row>
    <row r="241" spans="1:189" x14ac:dyDescent="0.35">
      <c r="A241" s="5" t="s">
        <v>1258</v>
      </c>
      <c r="B241" s="5" t="str">
        <f>IF(Technologies!B241&lt;&gt;0,Technologies!B241,"")</f>
        <v>Elektriciteit</v>
      </c>
      <c r="C241" s="5" t="str">
        <f>VLOOKUP($A241,Technologies!$A$7:$H$576,3,FALSE)</f>
        <v>Conversion</v>
      </c>
      <c r="D241" s="5" t="str">
        <f>VLOOKUP($A241,Technologies!$A$7:$H$576,4,FALSE)</f>
        <v>Power NL</v>
      </c>
      <c r="E241" s="5" t="str">
        <f>VLOOKUP($A241,Technologies!$A$7:$H$576,6,FALSE)</f>
        <v>Electricity NL - HV</v>
      </c>
      <c r="F241" s="5" t="str">
        <f>VLOOKUP($A241,Technologies!$A$7:$H$576,7,FALSE)</f>
        <v>CCGT - Power NL</v>
      </c>
      <c r="G241" s="23"/>
      <c r="H241" s="23"/>
      <c r="I241" s="104" cm="1">
        <f t="array" ref="I241">-SUMPRODUCT((Feedstocks!$C$4:$C$141=A241)*Feedstocks!$E$4:$E$141,Feedstocks!$F$4:$F$141,Feedstocks!$H$4:$H$141,Feedstocks!$I$4:$I$141)</f>
        <v>0</v>
      </c>
      <c r="J241" s="104" cm="1">
        <f t="array" ref="J241">-SUMPRODUCT((Feedstocks!$C$4:$C$141=A241)*Feedstocks!$E$4:$E$141,Feedstocks!$H$4:$H$141,Feedstocks!$I$4:$I$141)</f>
        <v>0</v>
      </c>
      <c r="K241" s="104"/>
      <c r="L241" s="104"/>
      <c r="M241" s="23">
        <v>1</v>
      </c>
      <c r="N241" s="23" t="str">
        <f>VLOOKUP(E241,Activities!$A$9:$M$227,13,FALSE)</f>
        <v>NL</v>
      </c>
      <c r="O241" s="23"/>
      <c r="P241" s="79" t="s">
        <v>415</v>
      </c>
      <c r="Q241" s="35"/>
      <c r="R241" s="35"/>
      <c r="S241" s="35"/>
      <c r="T241" s="35"/>
      <c r="U241" s="35"/>
      <c r="V241" s="35"/>
      <c r="W241" s="35"/>
      <c r="X241" s="35"/>
      <c r="Y241" s="35"/>
      <c r="Z241" s="35"/>
      <c r="AA241" s="35"/>
      <c r="AB241" s="35"/>
      <c r="AC241" s="35"/>
      <c r="AD241" s="35"/>
      <c r="AE241" s="35"/>
      <c r="AF241" s="35"/>
      <c r="AG241" s="35"/>
      <c r="AH241" s="35"/>
      <c r="AI241" s="35"/>
      <c r="AJ241" s="35"/>
      <c r="AK241" s="35"/>
      <c r="AL241" s="35"/>
      <c r="AM241" s="35"/>
      <c r="AN241" s="35"/>
      <c r="AO241" s="35"/>
      <c r="AP241" s="35"/>
      <c r="AQ241" s="35"/>
      <c r="AR241" s="35"/>
      <c r="AS241" s="35"/>
      <c r="AT241" s="35"/>
      <c r="AU241" s="35"/>
      <c r="AV241" s="35"/>
      <c r="AW241" s="35"/>
      <c r="AX241" s="35"/>
      <c r="AY241" s="35"/>
      <c r="AZ241" s="35"/>
      <c r="BA241" s="35"/>
      <c r="BB241" s="35"/>
      <c r="BC241" s="35"/>
      <c r="BD241" s="35"/>
      <c r="BE241" s="35"/>
      <c r="BF241" s="35"/>
      <c r="BG241" s="35"/>
      <c r="BH241" s="35"/>
      <c r="BI241" s="35"/>
      <c r="BJ241" s="35"/>
      <c r="BK241" s="35"/>
      <c r="BL241" s="35"/>
      <c r="BM241" s="35"/>
      <c r="BN241" s="35"/>
      <c r="BO241" s="35"/>
      <c r="BP241" s="35"/>
      <c r="BQ241" s="35"/>
      <c r="BR241" s="35"/>
      <c r="BS241" s="35"/>
      <c r="BT241" s="35"/>
      <c r="BU241" s="35"/>
      <c r="BV241" s="35"/>
      <c r="BW241" s="35"/>
      <c r="BX241" s="35"/>
      <c r="BY241" s="35"/>
      <c r="BZ241" s="35"/>
      <c r="CA241" s="35"/>
      <c r="CB241" s="35"/>
      <c r="CC241" s="35"/>
      <c r="CD241" s="35"/>
      <c r="CE241" s="35"/>
      <c r="CF241" s="35"/>
      <c r="CG241" s="35"/>
      <c r="CH241" s="35"/>
      <c r="CI241" s="35"/>
      <c r="CJ241" s="35"/>
      <c r="CK241" s="35"/>
      <c r="CL241" s="35"/>
      <c r="CM241" s="35"/>
      <c r="CN241" s="35"/>
      <c r="CO241" s="35"/>
      <c r="CP241" s="35"/>
      <c r="CQ241" s="35"/>
      <c r="CR241" s="35"/>
      <c r="CS241" s="35"/>
      <c r="CT241" s="35"/>
      <c r="CU241" s="35"/>
      <c r="CV241" s="35"/>
      <c r="CW241" s="35"/>
      <c r="CX241" s="35"/>
      <c r="CY241" s="35"/>
      <c r="CZ241" s="35"/>
      <c r="DA241" s="35"/>
      <c r="DB241" s="35"/>
      <c r="DC241" s="35"/>
      <c r="DD241" s="35"/>
      <c r="DE241" s="35"/>
      <c r="DF241" s="35"/>
      <c r="DG241" s="35"/>
      <c r="DH241" s="35">
        <v>1</v>
      </c>
      <c r="DI241" s="35"/>
      <c r="DJ241" s="35"/>
      <c r="DK241" s="35"/>
      <c r="DL241" s="35"/>
      <c r="DM241" s="35"/>
      <c r="DN241" s="35"/>
      <c r="DO241" s="35"/>
      <c r="DP241" s="35"/>
      <c r="DQ241" s="35"/>
      <c r="DR241" s="35"/>
      <c r="DS241" s="35"/>
      <c r="DT241" s="35"/>
      <c r="DU241" s="35"/>
      <c r="DV241" s="35"/>
      <c r="DW241" s="35"/>
      <c r="DX241" s="35"/>
      <c r="DY241" s="35"/>
      <c r="DZ241" s="35"/>
      <c r="EA241" s="35"/>
      <c r="EB241" s="35"/>
      <c r="EC241" s="35"/>
      <c r="ED241" s="35"/>
      <c r="EE241" s="35"/>
      <c r="EF241" s="35"/>
      <c r="EG241" s="35"/>
      <c r="EH241" s="35"/>
      <c r="EI241" s="35"/>
      <c r="EJ241" s="35">
        <v>-1.75</v>
      </c>
      <c r="EK241" s="35"/>
      <c r="EL241" s="35"/>
      <c r="EM241" s="35"/>
      <c r="EN241" s="35"/>
      <c r="EO241" s="35"/>
      <c r="EP241" s="35"/>
      <c r="EQ241" s="35"/>
      <c r="ER241" s="35"/>
      <c r="ES241" s="35"/>
      <c r="ET241" s="35"/>
      <c r="EU241" s="35"/>
      <c r="EV241" s="35"/>
      <c r="EW241" s="35"/>
      <c r="EX241" s="35"/>
      <c r="EY241" s="35"/>
      <c r="EZ241" s="35"/>
      <c r="FA241" s="35"/>
      <c r="FB241" s="35"/>
      <c r="FC241" s="35"/>
      <c r="FD241" s="35"/>
      <c r="FE241" s="35"/>
      <c r="FF241" s="35"/>
      <c r="FG241" s="35"/>
      <c r="FH241" s="35"/>
      <c r="FI241" s="35"/>
      <c r="FJ241" s="35"/>
      <c r="FK241" s="35"/>
      <c r="FL241" s="35"/>
      <c r="FM241" s="35"/>
      <c r="FN241" s="35"/>
      <c r="FO241" s="35"/>
      <c r="FP241" s="35"/>
      <c r="FQ241" s="35"/>
      <c r="FR241" s="35"/>
      <c r="FS241" s="35"/>
      <c r="FT241" s="35"/>
      <c r="FU241" s="35"/>
      <c r="FV241" s="35"/>
      <c r="FW241" s="35"/>
      <c r="FX241" s="35"/>
      <c r="FY241" s="35"/>
      <c r="FZ241" s="35"/>
      <c r="GA241" s="35"/>
      <c r="GB241" s="318"/>
      <c r="GC241" s="178">
        <f t="shared" si="43"/>
        <v>0</v>
      </c>
      <c r="GD241" s="178">
        <f t="shared" si="44"/>
        <v>9.9099999999999994E-2</v>
      </c>
      <c r="GE241" s="178">
        <f t="shared" si="45"/>
        <v>0</v>
      </c>
      <c r="GF241" s="178">
        <f t="shared" si="46"/>
        <v>0</v>
      </c>
      <c r="GG241" s="178">
        <f t="shared" si="42"/>
        <v>0</v>
      </c>
    </row>
    <row r="242" spans="1:189" x14ac:dyDescent="0.35">
      <c r="A242" s="6" t="s">
        <v>1260</v>
      </c>
      <c r="B242" s="6" t="str">
        <f>IF(Technologies!B242&lt;&gt;0,Technologies!B242,"")</f>
        <v>Elektriciteit</v>
      </c>
      <c r="C242" s="6" t="str">
        <f>VLOOKUP($A242,Technologies!$A$7:$H$576,3,FALSE)</f>
        <v>Conversion</v>
      </c>
      <c r="D242" s="6" t="str">
        <f>VLOOKUP($A242,Technologies!$A$7:$H$576,4,FALSE)</f>
        <v>Power NL</v>
      </c>
      <c r="E242" s="6" t="str">
        <f>VLOOKUP($A242,Technologies!$A$7:$H$576,6,FALSE)</f>
        <v>Electricity NL - HV</v>
      </c>
      <c r="F242" s="48" t="str">
        <f>VLOOKUP($A242,Technologies!$A$7:$H$576,7,FALSE)</f>
        <v>CCGT wCCS - Power NL</v>
      </c>
      <c r="G242" s="22">
        <v>0.85</v>
      </c>
      <c r="H242" s="22"/>
      <c r="I242" s="103" cm="1">
        <f t="array" ref="I242">-SUMPRODUCT((Feedstocks!$C$4:$C$141=A242)*Feedstocks!$E$4:$E$141,Feedstocks!$F$4:$F$141,Feedstocks!$H$4:$H$141,Feedstocks!$I$4:$I$141)</f>
        <v>0</v>
      </c>
      <c r="J242" s="103" cm="1">
        <f t="array" ref="J242">-SUMPRODUCT((Feedstocks!$C$4:$C$141=A242)*Feedstocks!$E$4:$E$141,Feedstocks!$H$4:$H$141,Feedstocks!$I$4:$I$141)</f>
        <v>0</v>
      </c>
      <c r="K242" s="103"/>
      <c r="L242" s="103"/>
      <c r="M242" s="22">
        <v>1</v>
      </c>
      <c r="N242" s="22" t="str">
        <f>VLOOKUP(E242,Activities!$A$9:$M$227,13,FALSE)</f>
        <v>NL</v>
      </c>
      <c r="O242" s="22"/>
      <c r="P242" s="80" t="s">
        <v>415</v>
      </c>
      <c r="Q242" s="36"/>
      <c r="R242" s="36"/>
      <c r="S242" s="36"/>
      <c r="T242" s="36"/>
      <c r="U242" s="36"/>
      <c r="V242" s="36"/>
      <c r="W242" s="36"/>
      <c r="X242" s="36"/>
      <c r="Y242" s="36"/>
      <c r="Z242" s="36"/>
      <c r="AA242" s="36"/>
      <c r="AB242" s="36"/>
      <c r="AC242" s="36"/>
      <c r="AD242" s="36"/>
      <c r="AE242" s="36"/>
      <c r="AF242" s="36"/>
      <c r="AG242" s="36"/>
      <c r="AH242" s="36"/>
      <c r="AI242" s="36"/>
      <c r="AJ242" s="36"/>
      <c r="AK242" s="36"/>
      <c r="AL242" s="36"/>
      <c r="AM242" s="36"/>
      <c r="AN242" s="36"/>
      <c r="AO242" s="36"/>
      <c r="AP242" s="36"/>
      <c r="AQ242" s="36"/>
      <c r="AR242" s="36"/>
      <c r="AS242" s="36"/>
      <c r="AT242" s="36"/>
      <c r="AU242" s="36"/>
      <c r="AV242" s="36"/>
      <c r="AW242" s="36"/>
      <c r="AX242" s="36"/>
      <c r="AY242" s="36"/>
      <c r="AZ242" s="36"/>
      <c r="BA242" s="36"/>
      <c r="BB242" s="36"/>
      <c r="BC242" s="36"/>
      <c r="BD242" s="36"/>
      <c r="BE242" s="36"/>
      <c r="BF242" s="36"/>
      <c r="BG242" s="36"/>
      <c r="BH242" s="36"/>
      <c r="BI242" s="36"/>
      <c r="BJ242" s="36"/>
      <c r="BK242" s="36"/>
      <c r="BL242" s="36"/>
      <c r="BM242" s="36"/>
      <c r="BN242" s="36"/>
      <c r="BO242" s="36"/>
      <c r="BP242" s="36"/>
      <c r="BQ242" s="36"/>
      <c r="BR242" s="36"/>
      <c r="BS242" s="36"/>
      <c r="BT242" s="36"/>
      <c r="BU242" s="36"/>
      <c r="BV242" s="36"/>
      <c r="BW242" s="36"/>
      <c r="BX242" s="36"/>
      <c r="BY242" s="36"/>
      <c r="BZ242" s="36"/>
      <c r="CA242" s="36"/>
      <c r="CB242" s="36"/>
      <c r="CC242" s="36"/>
      <c r="CD242" s="36"/>
      <c r="CE242" s="36"/>
      <c r="CF242" s="36"/>
      <c r="CG242" s="36"/>
      <c r="CH242" s="36"/>
      <c r="CI242" s="36"/>
      <c r="CJ242" s="36"/>
      <c r="CK242" s="36"/>
      <c r="CL242" s="36"/>
      <c r="CM242" s="36"/>
      <c r="CN242" s="36"/>
      <c r="CO242" s="36"/>
      <c r="CP242" s="36"/>
      <c r="CQ242" s="36"/>
      <c r="CR242" s="36"/>
      <c r="CS242" s="36"/>
      <c r="CT242" s="36"/>
      <c r="CU242" s="36"/>
      <c r="CV242" s="36"/>
      <c r="CW242" s="36"/>
      <c r="CX242" s="36"/>
      <c r="CY242" s="36"/>
      <c r="CZ242" s="36"/>
      <c r="DA242" s="36"/>
      <c r="DB242" s="36"/>
      <c r="DC242" s="36"/>
      <c r="DD242" s="36"/>
      <c r="DE242" s="36"/>
      <c r="DF242" s="36"/>
      <c r="DG242" s="36"/>
      <c r="DH242" s="36">
        <v>1</v>
      </c>
      <c r="DI242" s="36"/>
      <c r="DJ242" s="36"/>
      <c r="DK242" s="36"/>
      <c r="DL242" s="36"/>
      <c r="DM242" s="36"/>
      <c r="DN242" s="36"/>
      <c r="DO242" s="36"/>
      <c r="DP242" s="36"/>
      <c r="DQ242" s="36"/>
      <c r="DR242" s="36"/>
      <c r="DS242" s="36"/>
      <c r="DT242" s="36"/>
      <c r="DU242" s="36"/>
      <c r="DV242" s="36"/>
      <c r="DW242" s="36"/>
      <c r="DX242" s="36"/>
      <c r="DY242" s="36"/>
      <c r="DZ242" s="36"/>
      <c r="EA242" s="36"/>
      <c r="EB242" s="36"/>
      <c r="EC242" s="36"/>
      <c r="ED242" s="36"/>
      <c r="EE242" s="36"/>
      <c r="EF242" s="36"/>
      <c r="EG242" s="36"/>
      <c r="EH242" s="36"/>
      <c r="EI242" s="36"/>
      <c r="EJ242" s="36">
        <v>-2.15</v>
      </c>
      <c r="EK242" s="36"/>
      <c r="EL242" s="36"/>
      <c r="EM242" s="36"/>
      <c r="EN242" s="36"/>
      <c r="EO242" s="36"/>
      <c r="EP242" s="36"/>
      <c r="EQ242" s="36"/>
      <c r="ER242" s="36"/>
      <c r="ES242" s="36"/>
      <c r="ET242" s="36"/>
      <c r="EU242" s="36"/>
      <c r="EV242" s="36"/>
      <c r="EW242" s="36"/>
      <c r="EX242" s="36"/>
      <c r="EY242" s="36"/>
      <c r="EZ242" s="36"/>
      <c r="FA242" s="36"/>
      <c r="FB242" s="36"/>
      <c r="FC242" s="36"/>
      <c r="FD242" s="36"/>
      <c r="FE242" s="36"/>
      <c r="FF242" s="36"/>
      <c r="FG242" s="36"/>
      <c r="FH242" s="36"/>
      <c r="FI242" s="36"/>
      <c r="FJ242" s="36"/>
      <c r="FK242" s="36"/>
      <c r="FL242" s="36"/>
      <c r="FM242" s="36"/>
      <c r="FN242" s="36"/>
      <c r="FO242" s="36"/>
      <c r="FP242" s="36"/>
      <c r="FQ242" s="36"/>
      <c r="FR242" s="36"/>
      <c r="FS242" s="36"/>
      <c r="FT242" s="36"/>
      <c r="FU242" s="36"/>
      <c r="FV242" s="36"/>
      <c r="FW242" s="36"/>
      <c r="FX242" s="36"/>
      <c r="FY242" s="36"/>
      <c r="FZ242" s="36"/>
      <c r="GA242" s="36"/>
      <c r="GB242" s="319"/>
      <c r="GC242" s="179">
        <f t="shared" si="43"/>
        <v>0.10340000000000001</v>
      </c>
      <c r="GD242" s="179">
        <f t="shared" si="44"/>
        <v>1.83E-2</v>
      </c>
      <c r="GE242" s="179">
        <f t="shared" si="45"/>
        <v>0</v>
      </c>
      <c r="GF242" s="179">
        <f t="shared" si="46"/>
        <v>0</v>
      </c>
      <c r="GG242" s="179">
        <f t="shared" si="42"/>
        <v>0</v>
      </c>
    </row>
    <row r="243" spans="1:189" x14ac:dyDescent="0.35">
      <c r="A243" s="5" t="s">
        <v>1262</v>
      </c>
      <c r="B243" s="5" t="str">
        <f>IF(Technologies!B243&lt;&gt;0,Technologies!B243,"")</f>
        <v>Elektriciteit</v>
      </c>
      <c r="C243" s="5" t="str">
        <f>VLOOKUP($A243,Technologies!$A$7:$H$576,3,FALSE)</f>
        <v>Conversion</v>
      </c>
      <c r="D243" s="5" t="str">
        <f>VLOOKUP($A243,Technologies!$A$7:$H$576,4,FALSE)</f>
        <v>Power NL</v>
      </c>
      <c r="E243" s="5" t="str">
        <f>VLOOKUP($A243,Technologies!$A$7:$H$576,6,FALSE)</f>
        <v>Electricity NL - HV</v>
      </c>
      <c r="F243" s="5" t="str">
        <f>VLOOKUP($A243,Technologies!$A$7:$H$576,7,FALSE)</f>
        <v>CCGT BFG - Power NL</v>
      </c>
      <c r="G243" s="23"/>
      <c r="H243" s="23"/>
      <c r="I243" s="104" cm="1">
        <f t="array" ref="I243">-SUMPRODUCT((Feedstocks!$C$4:$C$141=A243)*Feedstocks!$E$4:$E$141,Feedstocks!$F$4:$F$141,Feedstocks!$H$4:$H$141,Feedstocks!$I$4:$I$141)</f>
        <v>0</v>
      </c>
      <c r="J243" s="104" cm="1">
        <f t="array" ref="J243">-SUMPRODUCT((Feedstocks!$C$4:$C$141=A243)*Feedstocks!$E$4:$E$141,Feedstocks!$H$4:$H$141,Feedstocks!$I$4:$I$141)</f>
        <v>0</v>
      </c>
      <c r="K243" s="104"/>
      <c r="L243" s="104"/>
      <c r="M243" s="23">
        <v>1</v>
      </c>
      <c r="N243" s="23" t="str">
        <f>VLOOKUP(E243,Activities!$A$9:$M$227,13,FALSE)</f>
        <v>NL</v>
      </c>
      <c r="O243" s="23"/>
      <c r="P243" s="79" t="s">
        <v>415</v>
      </c>
      <c r="Q243" s="35"/>
      <c r="R243" s="35"/>
      <c r="S243" s="35"/>
      <c r="T243" s="35"/>
      <c r="U243" s="35"/>
      <c r="V243" s="35"/>
      <c r="W243" s="35"/>
      <c r="X243" s="35"/>
      <c r="Y243" s="35"/>
      <c r="Z243" s="35"/>
      <c r="AA243" s="35"/>
      <c r="AB243" s="35"/>
      <c r="AC243" s="35"/>
      <c r="AD243" s="35"/>
      <c r="AE243" s="35"/>
      <c r="AF243" s="35"/>
      <c r="AG243" s="35"/>
      <c r="AH243" s="35"/>
      <c r="AI243" s="35"/>
      <c r="AJ243" s="35"/>
      <c r="AK243" s="35"/>
      <c r="AL243" s="35"/>
      <c r="AM243" s="35"/>
      <c r="AN243" s="35"/>
      <c r="AO243" s="35"/>
      <c r="AP243" s="35"/>
      <c r="AQ243" s="35"/>
      <c r="AR243" s="35"/>
      <c r="AS243" s="35"/>
      <c r="AT243" s="35"/>
      <c r="AU243" s="35"/>
      <c r="AV243" s="35"/>
      <c r="AW243" s="35"/>
      <c r="AX243" s="35"/>
      <c r="AY243" s="35"/>
      <c r="AZ243" s="35"/>
      <c r="BA243" s="35"/>
      <c r="BB243" s="35"/>
      <c r="BC243" s="35"/>
      <c r="BD243" s="35"/>
      <c r="BE243" s="35"/>
      <c r="BF243" s="35"/>
      <c r="BG243" s="35"/>
      <c r="BH243" s="35"/>
      <c r="BI243" s="35"/>
      <c r="BJ243" s="35"/>
      <c r="BK243" s="35"/>
      <c r="BL243" s="35"/>
      <c r="BM243" s="35"/>
      <c r="BN243" s="35"/>
      <c r="BO243" s="35"/>
      <c r="BP243" s="35"/>
      <c r="BQ243" s="35"/>
      <c r="BR243" s="35"/>
      <c r="BS243" s="35"/>
      <c r="BT243" s="35"/>
      <c r="BU243" s="35"/>
      <c r="BV243" s="35"/>
      <c r="BW243" s="35"/>
      <c r="BX243" s="35"/>
      <c r="BY243" s="35"/>
      <c r="BZ243" s="35"/>
      <c r="CA243" s="35"/>
      <c r="CB243" s="35"/>
      <c r="CC243" s="35"/>
      <c r="CD243" s="35"/>
      <c r="CE243" s="35"/>
      <c r="CF243" s="35"/>
      <c r="CG243" s="35"/>
      <c r="CH243" s="35"/>
      <c r="CI243" s="35"/>
      <c r="CJ243" s="35"/>
      <c r="CK243" s="35"/>
      <c r="CL243" s="35"/>
      <c r="CM243" s="35"/>
      <c r="CN243" s="35"/>
      <c r="CO243" s="35"/>
      <c r="CP243" s="35"/>
      <c r="CQ243" s="35"/>
      <c r="CR243" s="35"/>
      <c r="CS243" s="35"/>
      <c r="CT243" s="35"/>
      <c r="CU243" s="35"/>
      <c r="CV243" s="35"/>
      <c r="CW243" s="35"/>
      <c r="CX243" s="35"/>
      <c r="CY243" s="35"/>
      <c r="CZ243" s="35"/>
      <c r="DA243" s="35"/>
      <c r="DB243" s="35"/>
      <c r="DC243" s="35"/>
      <c r="DD243" s="35"/>
      <c r="DE243" s="35"/>
      <c r="DF243" s="35"/>
      <c r="DG243" s="35"/>
      <c r="DH243" s="35">
        <v>1</v>
      </c>
      <c r="DI243" s="35"/>
      <c r="DJ243" s="35"/>
      <c r="DK243" s="35"/>
      <c r="DL243" s="35"/>
      <c r="DM243" s="35"/>
      <c r="DN243" s="35"/>
      <c r="DO243" s="35"/>
      <c r="DP243" s="35"/>
      <c r="DQ243" s="35"/>
      <c r="DR243" s="35">
        <v>-1.96</v>
      </c>
      <c r="DS243" s="35"/>
      <c r="DT243" s="35"/>
      <c r="DU243" s="35"/>
      <c r="DV243" s="35"/>
      <c r="DW243" s="35"/>
      <c r="DX243" s="35"/>
      <c r="DY243" s="35"/>
      <c r="DZ243" s="35"/>
      <c r="EA243" s="35"/>
      <c r="EB243" s="35"/>
      <c r="EC243" s="35"/>
      <c r="ED243" s="35"/>
      <c r="EE243" s="35"/>
      <c r="EF243" s="35"/>
      <c r="EG243" s="35"/>
      <c r="EH243" s="35"/>
      <c r="EI243" s="35"/>
      <c r="EJ243" s="35"/>
      <c r="EK243" s="35"/>
      <c r="EL243" s="35"/>
      <c r="EM243" s="35"/>
      <c r="EN243" s="35"/>
      <c r="EO243" s="35"/>
      <c r="EP243" s="35"/>
      <c r="EQ243" s="35"/>
      <c r="ER243" s="35"/>
      <c r="ES243" s="35"/>
      <c r="ET243" s="35"/>
      <c r="EU243" s="35"/>
      <c r="EV243" s="35"/>
      <c r="EW243" s="35"/>
      <c r="EX243" s="35"/>
      <c r="EY243" s="35"/>
      <c r="EZ243" s="35"/>
      <c r="FA243" s="35"/>
      <c r="FB243" s="35"/>
      <c r="FC243" s="35"/>
      <c r="FD243" s="35"/>
      <c r="FE243" s="35"/>
      <c r="FF243" s="35"/>
      <c r="FG243" s="35"/>
      <c r="FH243" s="35"/>
      <c r="FI243" s="35"/>
      <c r="FJ243" s="35"/>
      <c r="FK243" s="35"/>
      <c r="FL243" s="35"/>
      <c r="FM243" s="35"/>
      <c r="FN243" s="35"/>
      <c r="FO243" s="35"/>
      <c r="FP243" s="35"/>
      <c r="FQ243" s="35"/>
      <c r="FR243" s="35"/>
      <c r="FS243" s="35"/>
      <c r="FT243" s="35"/>
      <c r="FU243" s="35"/>
      <c r="FV243" s="35"/>
      <c r="FW243" s="35"/>
      <c r="FX243" s="35"/>
      <c r="FY243" s="35"/>
      <c r="FZ243" s="35"/>
      <c r="GA243" s="35"/>
      <c r="GB243" s="318"/>
      <c r="GC243" s="178">
        <f t="shared" si="43"/>
        <v>0</v>
      </c>
      <c r="GD243" s="178">
        <f t="shared" si="44"/>
        <v>0.4849</v>
      </c>
      <c r="GE243" s="178">
        <f t="shared" si="45"/>
        <v>0</v>
      </c>
      <c r="GF243" s="178">
        <f t="shared" si="46"/>
        <v>0</v>
      </c>
      <c r="GG243" s="178">
        <f t="shared" si="42"/>
        <v>0</v>
      </c>
    </row>
    <row r="244" spans="1:189" x14ac:dyDescent="0.35">
      <c r="A244" s="6" t="s">
        <v>1264</v>
      </c>
      <c r="B244" s="6" t="str">
        <f>IF(Technologies!B244&lt;&gt;0,Technologies!B244,"")</f>
        <v>Elektriciteit</v>
      </c>
      <c r="C244" s="6" t="str">
        <f>VLOOKUP($A244,Technologies!$A$7:$H$576,3,FALSE)</f>
        <v>Conversion</v>
      </c>
      <c r="D244" s="6" t="str">
        <f>VLOOKUP($A244,Technologies!$A$7:$H$576,4,FALSE)</f>
        <v>Power NL</v>
      </c>
      <c r="E244" s="6" t="str">
        <f>VLOOKUP($A244,Technologies!$A$7:$H$576,6,FALSE)</f>
        <v>Electricity NL - HV</v>
      </c>
      <c r="F244" s="48" t="str">
        <f>VLOOKUP($A244,Technologies!$A$7:$H$576,7,FALSE)</f>
        <v>GT - Power NL</v>
      </c>
      <c r="G244" s="22"/>
      <c r="H244" s="22"/>
      <c r="I244" s="103" cm="1">
        <f t="array" ref="I244">-SUMPRODUCT((Feedstocks!$C$4:$C$141=A244)*Feedstocks!$E$4:$E$141,Feedstocks!$F$4:$F$141,Feedstocks!$H$4:$H$141,Feedstocks!$I$4:$I$141)</f>
        <v>0</v>
      </c>
      <c r="J244" s="103" cm="1">
        <f t="array" ref="J244">-SUMPRODUCT((Feedstocks!$C$4:$C$141=A244)*Feedstocks!$E$4:$E$141,Feedstocks!$H$4:$H$141,Feedstocks!$I$4:$I$141)</f>
        <v>0</v>
      </c>
      <c r="K244" s="103"/>
      <c r="L244" s="103"/>
      <c r="M244" s="22">
        <v>1</v>
      </c>
      <c r="N244" s="22" t="str">
        <f>VLOOKUP(E244,Activities!$A$9:$M$227,13,FALSE)</f>
        <v>NL</v>
      </c>
      <c r="O244" s="22"/>
      <c r="P244" s="80" t="s">
        <v>415</v>
      </c>
      <c r="Q244" s="36"/>
      <c r="R244" s="36"/>
      <c r="S244" s="36"/>
      <c r="T244" s="36"/>
      <c r="U244" s="36"/>
      <c r="V244" s="36"/>
      <c r="W244" s="36"/>
      <c r="X244" s="36"/>
      <c r="Y244" s="36"/>
      <c r="Z244" s="36"/>
      <c r="AA244" s="36"/>
      <c r="AB244" s="36"/>
      <c r="AC244" s="36"/>
      <c r="AD244" s="36"/>
      <c r="AE244" s="36"/>
      <c r="AF244" s="36"/>
      <c r="AG244" s="36"/>
      <c r="AH244" s="36"/>
      <c r="AI244" s="36"/>
      <c r="AJ244" s="36"/>
      <c r="AK244" s="36"/>
      <c r="AL244" s="36"/>
      <c r="AM244" s="36"/>
      <c r="AN244" s="36"/>
      <c r="AO244" s="36"/>
      <c r="AP244" s="36"/>
      <c r="AQ244" s="36"/>
      <c r="AR244" s="36"/>
      <c r="AS244" s="36"/>
      <c r="AT244" s="36"/>
      <c r="AU244" s="36"/>
      <c r="AV244" s="36"/>
      <c r="AW244" s="36"/>
      <c r="AX244" s="36"/>
      <c r="AY244" s="36"/>
      <c r="AZ244" s="36"/>
      <c r="BA244" s="36"/>
      <c r="BB244" s="36"/>
      <c r="BC244" s="36"/>
      <c r="BD244" s="36"/>
      <c r="BE244" s="36"/>
      <c r="BF244" s="36"/>
      <c r="BG244" s="36"/>
      <c r="BH244" s="36"/>
      <c r="BI244" s="36"/>
      <c r="BJ244" s="36"/>
      <c r="BK244" s="36"/>
      <c r="BL244" s="36"/>
      <c r="BM244" s="36"/>
      <c r="BN244" s="36"/>
      <c r="BO244" s="36"/>
      <c r="BP244" s="36"/>
      <c r="BQ244" s="36"/>
      <c r="BR244" s="36"/>
      <c r="BS244" s="36"/>
      <c r="BT244" s="36"/>
      <c r="BU244" s="36"/>
      <c r="BV244" s="36"/>
      <c r="BW244" s="36"/>
      <c r="BX244" s="36"/>
      <c r="BY244" s="36"/>
      <c r="BZ244" s="36"/>
      <c r="CA244" s="36"/>
      <c r="CB244" s="36"/>
      <c r="CC244" s="36"/>
      <c r="CD244" s="36"/>
      <c r="CE244" s="36"/>
      <c r="CF244" s="36"/>
      <c r="CG244" s="36"/>
      <c r="CH244" s="36"/>
      <c r="CI244" s="36"/>
      <c r="CJ244" s="36"/>
      <c r="CK244" s="36"/>
      <c r="CL244" s="36"/>
      <c r="CM244" s="36"/>
      <c r="CN244" s="36"/>
      <c r="CO244" s="36"/>
      <c r="CP244" s="36"/>
      <c r="CQ244" s="36"/>
      <c r="CR244" s="36"/>
      <c r="CS244" s="36"/>
      <c r="CT244" s="36"/>
      <c r="CU244" s="36"/>
      <c r="CV244" s="36"/>
      <c r="CW244" s="36"/>
      <c r="CX244" s="36"/>
      <c r="CY244" s="36"/>
      <c r="CZ244" s="36"/>
      <c r="DA244" s="36"/>
      <c r="DB244" s="36"/>
      <c r="DC244" s="36"/>
      <c r="DD244" s="36"/>
      <c r="DE244" s="36"/>
      <c r="DF244" s="36"/>
      <c r="DG244" s="36"/>
      <c r="DH244" s="36">
        <v>1</v>
      </c>
      <c r="DI244" s="36"/>
      <c r="DJ244" s="36"/>
      <c r="DK244" s="36"/>
      <c r="DL244" s="36"/>
      <c r="DM244" s="36"/>
      <c r="DN244" s="36"/>
      <c r="DO244" s="36"/>
      <c r="DP244" s="36"/>
      <c r="DQ244" s="36"/>
      <c r="DR244" s="36"/>
      <c r="DS244" s="36"/>
      <c r="DT244" s="36"/>
      <c r="DU244" s="36"/>
      <c r="DV244" s="36"/>
      <c r="DW244" s="36"/>
      <c r="DX244" s="36"/>
      <c r="DY244" s="36"/>
      <c r="DZ244" s="36"/>
      <c r="EA244" s="36"/>
      <c r="EB244" s="36"/>
      <c r="EC244" s="36"/>
      <c r="ED244" s="36"/>
      <c r="EE244" s="36"/>
      <c r="EF244" s="36"/>
      <c r="EG244" s="36"/>
      <c r="EH244" s="36"/>
      <c r="EI244" s="36"/>
      <c r="EJ244" s="36">
        <v>-2.74</v>
      </c>
      <c r="EK244" s="36"/>
      <c r="EL244" s="36"/>
      <c r="EM244" s="36"/>
      <c r="EN244" s="36"/>
      <c r="EO244" s="36"/>
      <c r="EP244" s="36"/>
      <c r="EQ244" s="36"/>
      <c r="ER244" s="36"/>
      <c r="ES244" s="36"/>
      <c r="ET244" s="36"/>
      <c r="EU244" s="36"/>
      <c r="EV244" s="36"/>
      <c r="EW244" s="36"/>
      <c r="EX244" s="36"/>
      <c r="EY244" s="36"/>
      <c r="EZ244" s="36"/>
      <c r="FA244" s="36"/>
      <c r="FB244" s="36"/>
      <c r="FC244" s="36"/>
      <c r="FD244" s="36"/>
      <c r="FE244" s="36"/>
      <c r="FF244" s="36"/>
      <c r="FG244" s="36"/>
      <c r="FH244" s="36"/>
      <c r="FI244" s="36"/>
      <c r="FJ244" s="36"/>
      <c r="FK244" s="36"/>
      <c r="FL244" s="36"/>
      <c r="FM244" s="36"/>
      <c r="FN244" s="36"/>
      <c r="FO244" s="36"/>
      <c r="FP244" s="36"/>
      <c r="FQ244" s="36"/>
      <c r="FR244" s="36"/>
      <c r="FS244" s="36"/>
      <c r="FT244" s="36"/>
      <c r="FU244" s="36"/>
      <c r="FV244" s="36"/>
      <c r="FW244" s="36"/>
      <c r="FX244" s="36"/>
      <c r="FY244" s="36"/>
      <c r="FZ244" s="36"/>
      <c r="GA244" s="36"/>
      <c r="GB244" s="319"/>
      <c r="GC244" s="179">
        <f t="shared" si="43"/>
        <v>0</v>
      </c>
      <c r="GD244" s="179">
        <f t="shared" si="44"/>
        <v>0.15509999999999999</v>
      </c>
      <c r="GE244" s="179">
        <f t="shared" si="45"/>
        <v>0</v>
      </c>
      <c r="GF244" s="179">
        <f t="shared" si="46"/>
        <v>0</v>
      </c>
      <c r="GG244" s="179">
        <f t="shared" si="42"/>
        <v>0</v>
      </c>
    </row>
    <row r="245" spans="1:189" x14ac:dyDescent="0.35">
      <c r="A245" s="5" t="s">
        <v>1266</v>
      </c>
      <c r="B245" s="5" t="str">
        <f>IF(Technologies!B245&lt;&gt;0,Technologies!B245,"")</f>
        <v>Elektriciteit</v>
      </c>
      <c r="C245" s="5" t="str">
        <f>VLOOKUP($A245,Technologies!$A$7:$H$576,3,FALSE)</f>
        <v>Conversion</v>
      </c>
      <c r="D245" s="5" t="str">
        <f>VLOOKUP($A245,Technologies!$A$7:$H$576,4,FALSE)</f>
        <v>Power NL</v>
      </c>
      <c r="E245" s="5" t="str">
        <f>VLOOKUP($A245,Technologies!$A$7:$H$576,6,FALSE)</f>
        <v>Electricity NL - HV</v>
      </c>
      <c r="F245" s="5" t="str">
        <f>VLOOKUP($A245,Technologies!$A$7:$H$576,7,FALSE)</f>
        <v>Hydrogen SOFC - Power NL</v>
      </c>
      <c r="G245" s="23"/>
      <c r="H245" s="23"/>
      <c r="I245" s="104" cm="1">
        <f t="array" ref="I245">-SUMPRODUCT((Feedstocks!$C$4:$C$141=A245)*Feedstocks!$E$4:$E$141,Feedstocks!$F$4:$F$141,Feedstocks!$H$4:$H$141,Feedstocks!$I$4:$I$141)</f>
        <v>0</v>
      </c>
      <c r="J245" s="104" cm="1">
        <f t="array" ref="J245">-SUMPRODUCT((Feedstocks!$C$4:$C$141=A245)*Feedstocks!$E$4:$E$141,Feedstocks!$H$4:$H$141,Feedstocks!$I$4:$I$141)</f>
        <v>0</v>
      </c>
      <c r="K245" s="104"/>
      <c r="L245" s="104"/>
      <c r="M245" s="23">
        <v>1</v>
      </c>
      <c r="N245" s="23" t="str">
        <f>VLOOKUP(E245,Activities!$A$9:$M$227,13,FALSE)</f>
        <v>NL</v>
      </c>
      <c r="O245" s="23"/>
      <c r="P245" s="79" t="s">
        <v>1268</v>
      </c>
      <c r="Q245" s="35"/>
      <c r="R245" s="35"/>
      <c r="S245" s="35"/>
      <c r="T245" s="35"/>
      <c r="U245" s="35"/>
      <c r="V245" s="35"/>
      <c r="W245" s="35"/>
      <c r="X245" s="35"/>
      <c r="Y245" s="35"/>
      <c r="Z245" s="35"/>
      <c r="AA245" s="35"/>
      <c r="AB245" s="35"/>
      <c r="AC245" s="35"/>
      <c r="AD245" s="35"/>
      <c r="AE245" s="35"/>
      <c r="AF245" s="35"/>
      <c r="AG245" s="35"/>
      <c r="AH245" s="35"/>
      <c r="AI245" s="35"/>
      <c r="AJ245" s="35"/>
      <c r="AK245" s="35"/>
      <c r="AL245" s="35"/>
      <c r="AM245" s="35"/>
      <c r="AN245" s="35"/>
      <c r="AO245" s="35"/>
      <c r="AP245" s="35"/>
      <c r="AQ245" s="35"/>
      <c r="AR245" s="35"/>
      <c r="AS245" s="35"/>
      <c r="AT245" s="35"/>
      <c r="AU245" s="35"/>
      <c r="AV245" s="35"/>
      <c r="AW245" s="35"/>
      <c r="AX245" s="35"/>
      <c r="AY245" s="35"/>
      <c r="AZ245" s="35"/>
      <c r="BA245" s="35"/>
      <c r="BB245" s="35"/>
      <c r="BC245" s="35"/>
      <c r="BD245" s="35"/>
      <c r="BE245" s="35"/>
      <c r="BF245" s="35"/>
      <c r="BG245" s="35"/>
      <c r="BH245" s="35"/>
      <c r="BI245" s="35"/>
      <c r="BJ245" s="35"/>
      <c r="BK245" s="35"/>
      <c r="BL245" s="35"/>
      <c r="BM245" s="35"/>
      <c r="BN245" s="35"/>
      <c r="BO245" s="35"/>
      <c r="BP245" s="35"/>
      <c r="BQ245" s="35"/>
      <c r="BR245" s="35"/>
      <c r="BS245" s="35"/>
      <c r="BT245" s="35"/>
      <c r="BU245" s="35"/>
      <c r="BV245" s="35"/>
      <c r="BW245" s="35"/>
      <c r="BX245" s="35"/>
      <c r="BY245" s="35"/>
      <c r="BZ245" s="35"/>
      <c r="CA245" s="35"/>
      <c r="CB245" s="35"/>
      <c r="CC245" s="35"/>
      <c r="CD245" s="35"/>
      <c r="CE245" s="35"/>
      <c r="CF245" s="35"/>
      <c r="CG245" s="35"/>
      <c r="CH245" s="35"/>
      <c r="CI245" s="35"/>
      <c r="CJ245" s="35"/>
      <c r="CK245" s="35"/>
      <c r="CL245" s="35"/>
      <c r="CM245" s="35"/>
      <c r="CN245" s="35"/>
      <c r="CO245" s="35"/>
      <c r="CP245" s="35"/>
      <c r="CQ245" s="35"/>
      <c r="CR245" s="35"/>
      <c r="CS245" s="35"/>
      <c r="CT245" s="35"/>
      <c r="CU245" s="35"/>
      <c r="CV245" s="35"/>
      <c r="CW245" s="35"/>
      <c r="CX245" s="35"/>
      <c r="CY245" s="35"/>
      <c r="CZ245" s="35"/>
      <c r="DA245" s="35"/>
      <c r="DB245" s="35"/>
      <c r="DC245" s="35"/>
      <c r="DD245" s="35"/>
      <c r="DE245" s="35"/>
      <c r="DF245" s="35"/>
      <c r="DG245" s="35"/>
      <c r="DH245" s="35">
        <v>1</v>
      </c>
      <c r="DI245" s="35"/>
      <c r="DJ245" s="35"/>
      <c r="DK245" s="35"/>
      <c r="DL245" s="35"/>
      <c r="DM245" s="35">
        <v>1.25</v>
      </c>
      <c r="DN245" s="35"/>
      <c r="DO245" s="35"/>
      <c r="DP245" s="35"/>
      <c r="DQ245" s="35"/>
      <c r="DR245" s="35"/>
      <c r="DS245" s="35"/>
      <c r="DT245" s="35"/>
      <c r="DU245" s="35"/>
      <c r="DV245" s="35"/>
      <c r="DW245" s="35"/>
      <c r="DX245" s="35"/>
      <c r="DY245" s="35"/>
      <c r="DZ245" s="35"/>
      <c r="EA245" s="35"/>
      <c r="EB245" s="35"/>
      <c r="EC245" s="35"/>
      <c r="ED245" s="35"/>
      <c r="EE245" s="35"/>
      <c r="EF245" s="35"/>
      <c r="EG245" s="35"/>
      <c r="EH245" s="35"/>
      <c r="EI245" s="35"/>
      <c r="EJ245" s="35"/>
      <c r="EK245" s="35"/>
      <c r="EL245" s="35"/>
      <c r="EM245" s="35">
        <v>-3.75</v>
      </c>
      <c r="EN245" s="35"/>
      <c r="EO245" s="35"/>
      <c r="EP245" s="35"/>
      <c r="EQ245" s="35"/>
      <c r="ER245" s="35"/>
      <c r="ES245" s="35"/>
      <c r="ET245" s="35"/>
      <c r="EU245" s="35"/>
      <c r="EV245" s="35"/>
      <c r="EW245" s="35"/>
      <c r="EX245" s="35"/>
      <c r="EY245" s="35"/>
      <c r="EZ245" s="35"/>
      <c r="FA245" s="35"/>
      <c r="FB245" s="35"/>
      <c r="FC245" s="35"/>
      <c r="FD245" s="35"/>
      <c r="FE245" s="35"/>
      <c r="FF245" s="35"/>
      <c r="FG245" s="35"/>
      <c r="FH245" s="35"/>
      <c r="FI245" s="35"/>
      <c r="FJ245" s="35"/>
      <c r="FK245" s="35"/>
      <c r="FL245" s="35"/>
      <c r="FM245" s="35"/>
      <c r="FN245" s="35"/>
      <c r="FO245" s="35"/>
      <c r="FP245" s="35"/>
      <c r="FQ245" s="35"/>
      <c r="FR245" s="35"/>
      <c r="FS245" s="35"/>
      <c r="FT245" s="35"/>
      <c r="FU245" s="35"/>
      <c r="FV245" s="35"/>
      <c r="FW245" s="35"/>
      <c r="FX245" s="35"/>
      <c r="FY245" s="35"/>
      <c r="FZ245" s="35"/>
      <c r="GA245" s="35"/>
      <c r="GB245" s="318"/>
      <c r="GC245" s="178">
        <f t="shared" si="43"/>
        <v>0</v>
      </c>
      <c r="GD245" s="178">
        <f t="shared" si="44"/>
        <v>0</v>
      </c>
      <c r="GE245" s="178">
        <f t="shared" si="45"/>
        <v>0</v>
      </c>
      <c r="GF245" s="178">
        <f t="shared" si="46"/>
        <v>0</v>
      </c>
      <c r="GG245" s="178">
        <f t="shared" si="42"/>
        <v>0</v>
      </c>
    </row>
    <row r="246" spans="1:189" x14ac:dyDescent="0.35">
      <c r="A246" s="6" t="s">
        <v>1269</v>
      </c>
      <c r="B246" s="5" t="str">
        <f>IF(Technologies!B246&lt;&gt;0,Technologies!B246,"")</f>
        <v>Elektriciteit</v>
      </c>
      <c r="C246" s="5" t="str">
        <f>VLOOKUP($A246,Technologies!$A$7:$H$576,3,FALSE)</f>
        <v>Conversion</v>
      </c>
      <c r="D246" s="5" t="str">
        <f>VLOOKUP($A246,Technologies!$A$7:$H$576,4,FALSE)</f>
        <v>Power NL</v>
      </c>
      <c r="E246" s="5" t="str">
        <f>VLOOKUP($A246,Technologies!$A$7:$H$576,6,FALSE)</f>
        <v>Electricity NL - HV</v>
      </c>
      <c r="F246" s="5" t="str">
        <f>VLOOKUP($A246,Technologies!$A$7:$H$576,7,FALSE)</f>
        <v>Hydrogen CCGT - Power NL</v>
      </c>
      <c r="G246" s="23"/>
      <c r="H246" s="23"/>
      <c r="I246" s="104" cm="1">
        <f t="array" ref="I246">-SUMPRODUCT((Feedstocks!$C$4:$C$141=A246)*Feedstocks!$E$4:$E$141,Feedstocks!$F$4:$F$141,Feedstocks!$H$4:$H$141,Feedstocks!$I$4:$I$141)</f>
        <v>0</v>
      </c>
      <c r="J246" s="104" cm="1">
        <f t="array" ref="J246">-SUMPRODUCT((Feedstocks!$C$4:$C$141=A246)*Feedstocks!$E$4:$E$141,Feedstocks!$H$4:$H$141,Feedstocks!$I$4:$I$141)</f>
        <v>0</v>
      </c>
      <c r="K246" s="104"/>
      <c r="L246" s="104"/>
      <c r="M246" s="23">
        <v>1</v>
      </c>
      <c r="N246" s="23" t="str">
        <f>VLOOKUP(E246,Activities!$A$9:$M$227,13,FALSE)</f>
        <v>NL</v>
      </c>
      <c r="O246" s="23"/>
      <c r="P246" s="79" t="s">
        <v>1268</v>
      </c>
      <c r="Q246" s="35"/>
      <c r="R246" s="35"/>
      <c r="S246" s="35"/>
      <c r="T246" s="35"/>
      <c r="U246" s="35"/>
      <c r="V246" s="35"/>
      <c r="W246" s="35"/>
      <c r="X246" s="35"/>
      <c r="Y246" s="35"/>
      <c r="Z246" s="35"/>
      <c r="AA246" s="35"/>
      <c r="AB246" s="35"/>
      <c r="AC246" s="35"/>
      <c r="AD246" s="35"/>
      <c r="AE246" s="35"/>
      <c r="AF246" s="35"/>
      <c r="AG246" s="35"/>
      <c r="AH246" s="35"/>
      <c r="AI246" s="35"/>
      <c r="AJ246" s="35"/>
      <c r="AK246" s="35"/>
      <c r="AL246" s="35"/>
      <c r="AM246" s="35"/>
      <c r="AN246" s="35"/>
      <c r="AO246" s="35"/>
      <c r="AP246" s="35"/>
      <c r="AQ246" s="35"/>
      <c r="AR246" s="35"/>
      <c r="AS246" s="35"/>
      <c r="AT246" s="35"/>
      <c r="AU246" s="35"/>
      <c r="AV246" s="35"/>
      <c r="AW246" s="35"/>
      <c r="AX246" s="35"/>
      <c r="AY246" s="35"/>
      <c r="AZ246" s="35"/>
      <c r="BA246" s="35"/>
      <c r="BB246" s="35"/>
      <c r="BC246" s="35"/>
      <c r="BD246" s="35"/>
      <c r="BE246" s="35"/>
      <c r="BF246" s="35"/>
      <c r="BG246" s="35"/>
      <c r="BH246" s="35"/>
      <c r="BI246" s="35"/>
      <c r="BJ246" s="35"/>
      <c r="BK246" s="35"/>
      <c r="BL246" s="35"/>
      <c r="BM246" s="35"/>
      <c r="BN246" s="35"/>
      <c r="BO246" s="35"/>
      <c r="BP246" s="35"/>
      <c r="BQ246" s="35"/>
      <c r="BR246" s="35"/>
      <c r="BS246" s="35"/>
      <c r="BT246" s="35"/>
      <c r="BU246" s="35"/>
      <c r="BV246" s="35"/>
      <c r="BW246" s="35"/>
      <c r="BX246" s="35"/>
      <c r="BY246" s="35"/>
      <c r="BZ246" s="35"/>
      <c r="CA246" s="35"/>
      <c r="CB246" s="35"/>
      <c r="CC246" s="35"/>
      <c r="CD246" s="35"/>
      <c r="CE246" s="35"/>
      <c r="CF246" s="35"/>
      <c r="CG246" s="35"/>
      <c r="CH246" s="35"/>
      <c r="CI246" s="35"/>
      <c r="CJ246" s="35"/>
      <c r="CK246" s="35"/>
      <c r="CL246" s="35"/>
      <c r="CM246" s="35"/>
      <c r="CN246" s="35"/>
      <c r="CO246" s="35"/>
      <c r="CP246" s="35"/>
      <c r="CQ246" s="35"/>
      <c r="CR246" s="35"/>
      <c r="CS246" s="35"/>
      <c r="CT246" s="35"/>
      <c r="CU246" s="35"/>
      <c r="CV246" s="35"/>
      <c r="CW246" s="35"/>
      <c r="CX246" s="35"/>
      <c r="CY246" s="35"/>
      <c r="CZ246" s="35"/>
      <c r="DA246" s="35"/>
      <c r="DB246" s="35"/>
      <c r="DC246" s="35"/>
      <c r="DD246" s="35"/>
      <c r="DE246" s="35"/>
      <c r="DF246" s="35"/>
      <c r="DG246" s="35"/>
      <c r="DH246" s="35">
        <v>1</v>
      </c>
      <c r="DI246" s="35"/>
      <c r="DJ246" s="35"/>
      <c r="DK246" s="35"/>
      <c r="DL246" s="35"/>
      <c r="DM246" s="35"/>
      <c r="DN246" s="35"/>
      <c r="DO246" s="35"/>
      <c r="DP246" s="35"/>
      <c r="DQ246" s="35"/>
      <c r="DR246" s="35"/>
      <c r="DS246" s="35"/>
      <c r="DT246" s="35"/>
      <c r="DU246" s="35"/>
      <c r="DV246" s="35"/>
      <c r="DW246" s="35"/>
      <c r="DX246" s="35"/>
      <c r="DY246" s="35"/>
      <c r="DZ246" s="35"/>
      <c r="EA246" s="35"/>
      <c r="EB246" s="35"/>
      <c r="EC246" s="35"/>
      <c r="ED246" s="35"/>
      <c r="EE246" s="35"/>
      <c r="EF246" s="35"/>
      <c r="EG246" s="35"/>
      <c r="EH246" s="35"/>
      <c r="EI246" s="35"/>
      <c r="EJ246" s="35"/>
      <c r="EK246" s="35"/>
      <c r="EL246" s="35"/>
      <c r="EM246" s="35">
        <v>-2.5</v>
      </c>
      <c r="EN246" s="35"/>
      <c r="EO246" s="35"/>
      <c r="EP246" s="35"/>
      <c r="EQ246" s="35"/>
      <c r="ER246" s="35"/>
      <c r="ES246" s="35"/>
      <c r="ET246" s="35"/>
      <c r="EU246" s="35"/>
      <c r="EV246" s="35"/>
      <c r="EW246" s="35"/>
      <c r="EX246" s="35"/>
      <c r="EY246" s="35"/>
      <c r="EZ246" s="35"/>
      <c r="FA246" s="35"/>
      <c r="FB246" s="35"/>
      <c r="FC246" s="35"/>
      <c r="FD246" s="35"/>
      <c r="FE246" s="35"/>
      <c r="FF246" s="35"/>
      <c r="FG246" s="35"/>
      <c r="FH246" s="35"/>
      <c r="FI246" s="35"/>
      <c r="FJ246" s="35"/>
      <c r="FK246" s="35"/>
      <c r="FL246" s="35"/>
      <c r="FM246" s="35"/>
      <c r="FN246" s="35"/>
      <c r="FO246" s="35"/>
      <c r="FP246" s="35"/>
      <c r="FQ246" s="35"/>
      <c r="FR246" s="35"/>
      <c r="FS246" s="35"/>
      <c r="FT246" s="35"/>
      <c r="FU246" s="35"/>
      <c r="FV246" s="35"/>
      <c r="FW246" s="35"/>
      <c r="FX246" s="35"/>
      <c r="FY246" s="35"/>
      <c r="FZ246" s="35"/>
      <c r="GA246" s="35"/>
      <c r="GB246" s="318"/>
      <c r="GC246" s="178">
        <f t="shared" si="43"/>
        <v>0</v>
      </c>
      <c r="GD246" s="178">
        <f t="shared" si="44"/>
        <v>0</v>
      </c>
      <c r="GE246" s="178">
        <f t="shared" si="45"/>
        <v>0</v>
      </c>
      <c r="GF246" s="178">
        <f t="shared" si="46"/>
        <v>0</v>
      </c>
      <c r="GG246" s="178">
        <f t="shared" si="42"/>
        <v>0</v>
      </c>
    </row>
    <row r="247" spans="1:189" x14ac:dyDescent="0.35">
      <c r="A247" s="5" t="s">
        <v>1271</v>
      </c>
      <c r="B247" s="6" t="str">
        <f>IF(Technologies!B247&lt;&gt;0,Technologies!B247,"")</f>
        <v>Elektriciteit</v>
      </c>
      <c r="C247" s="6" t="str">
        <f>VLOOKUP($A247,Technologies!$A$7:$H$576,3,FALSE)</f>
        <v>Conversion</v>
      </c>
      <c r="D247" s="6" t="str">
        <f>VLOOKUP($A247,Technologies!$A$7:$H$576,4,FALSE)</f>
        <v>Power NL</v>
      </c>
      <c r="E247" s="6" t="str">
        <f>VLOOKUP($A247,Technologies!$A$7:$H$576,6,FALSE)</f>
        <v>Electricity NL - HV</v>
      </c>
      <c r="F247" s="48" t="str">
        <f>VLOOKUP($A247,Technologies!$A$7:$H$576,7,FALSE)</f>
        <v>Nuclear - Borssele - Power NL</v>
      </c>
      <c r="G247" s="22"/>
      <c r="H247" s="22"/>
      <c r="I247" s="103" cm="1">
        <f t="array" ref="I247">-SUMPRODUCT((Feedstocks!$C$4:$C$141=A247)*Feedstocks!$E$4:$E$141,Feedstocks!$F$4:$F$141,Feedstocks!$H$4:$H$141,Feedstocks!$I$4:$I$141)</f>
        <v>0</v>
      </c>
      <c r="J247" s="103" cm="1">
        <f t="array" ref="J247">-SUMPRODUCT((Feedstocks!$C$4:$C$141=A247)*Feedstocks!$E$4:$E$141,Feedstocks!$H$4:$H$141,Feedstocks!$I$4:$I$141)</f>
        <v>0</v>
      </c>
      <c r="K247" s="103"/>
      <c r="L247" s="103"/>
      <c r="M247" s="22">
        <v>1</v>
      </c>
      <c r="N247" s="22" t="str">
        <f>VLOOKUP(E247,Activities!$A$9:$M$227,13,FALSE)</f>
        <v>NL</v>
      </c>
      <c r="O247" s="22"/>
      <c r="P247" s="80" t="s">
        <v>1823</v>
      </c>
      <c r="Q247" s="36"/>
      <c r="R247" s="36"/>
      <c r="S247" s="36"/>
      <c r="T247" s="36"/>
      <c r="U247" s="36"/>
      <c r="V247" s="36"/>
      <c r="W247" s="36"/>
      <c r="X247" s="36"/>
      <c r="Y247" s="36"/>
      <c r="Z247" s="36"/>
      <c r="AA247" s="36"/>
      <c r="AB247" s="36"/>
      <c r="AC247" s="36"/>
      <c r="AD247" s="36"/>
      <c r="AE247" s="36"/>
      <c r="AF247" s="36"/>
      <c r="AG247" s="36"/>
      <c r="AH247" s="36"/>
      <c r="AI247" s="36"/>
      <c r="AJ247" s="36"/>
      <c r="AK247" s="36"/>
      <c r="AL247" s="36"/>
      <c r="AM247" s="36"/>
      <c r="AN247" s="36"/>
      <c r="AO247" s="36"/>
      <c r="AP247" s="36"/>
      <c r="AQ247" s="36"/>
      <c r="AR247" s="36"/>
      <c r="AS247" s="36"/>
      <c r="AT247" s="36"/>
      <c r="AU247" s="36"/>
      <c r="AV247" s="36"/>
      <c r="AW247" s="36"/>
      <c r="AX247" s="36"/>
      <c r="AY247" s="36"/>
      <c r="AZ247" s="36"/>
      <c r="BA247" s="36"/>
      <c r="BB247" s="36"/>
      <c r="BC247" s="36"/>
      <c r="BD247" s="36"/>
      <c r="BE247" s="36"/>
      <c r="BF247" s="36"/>
      <c r="BG247" s="36"/>
      <c r="BH247" s="36"/>
      <c r="BI247" s="36"/>
      <c r="BJ247" s="36"/>
      <c r="BK247" s="36"/>
      <c r="BL247" s="36"/>
      <c r="BM247" s="36"/>
      <c r="BN247" s="36"/>
      <c r="BO247" s="36"/>
      <c r="BP247" s="36"/>
      <c r="BQ247" s="36"/>
      <c r="BR247" s="36"/>
      <c r="BS247" s="36"/>
      <c r="BT247" s="36"/>
      <c r="BU247" s="36"/>
      <c r="BV247" s="36"/>
      <c r="BW247" s="36"/>
      <c r="BX247" s="36"/>
      <c r="BY247" s="36"/>
      <c r="BZ247" s="36"/>
      <c r="CA247" s="36"/>
      <c r="CB247" s="36"/>
      <c r="CC247" s="36"/>
      <c r="CD247" s="36"/>
      <c r="CE247" s="36"/>
      <c r="CF247" s="36"/>
      <c r="CG247" s="36"/>
      <c r="CH247" s="36"/>
      <c r="CI247" s="36"/>
      <c r="CJ247" s="36"/>
      <c r="CK247" s="36"/>
      <c r="CL247" s="36"/>
      <c r="CM247" s="36"/>
      <c r="CN247" s="36"/>
      <c r="CO247" s="36"/>
      <c r="CP247" s="36"/>
      <c r="CQ247" s="36"/>
      <c r="CR247" s="36"/>
      <c r="CS247" s="36"/>
      <c r="CT247" s="36"/>
      <c r="CU247" s="36"/>
      <c r="CV247" s="36"/>
      <c r="CW247" s="36"/>
      <c r="CX247" s="36"/>
      <c r="CY247" s="36"/>
      <c r="CZ247" s="36"/>
      <c r="DA247" s="36"/>
      <c r="DB247" s="36"/>
      <c r="DC247" s="36"/>
      <c r="DD247" s="36"/>
      <c r="DE247" s="36"/>
      <c r="DF247" s="36"/>
      <c r="DG247" s="36"/>
      <c r="DH247" s="36">
        <v>1</v>
      </c>
      <c r="DI247" s="36"/>
      <c r="DJ247" s="36"/>
      <c r="DK247" s="36"/>
      <c r="DL247" s="36"/>
      <c r="DM247" s="36"/>
      <c r="DN247" s="36"/>
      <c r="DO247" s="36"/>
      <c r="DP247" s="36"/>
      <c r="DQ247" s="36"/>
      <c r="DR247" s="36"/>
      <c r="DS247" s="36"/>
      <c r="DT247" s="36"/>
      <c r="DU247" s="36"/>
      <c r="DV247" s="36"/>
      <c r="DW247" s="36"/>
      <c r="DX247" s="36"/>
      <c r="DY247" s="36"/>
      <c r="DZ247" s="36"/>
      <c r="EA247" s="36"/>
      <c r="EB247" s="36"/>
      <c r="EC247" s="36"/>
      <c r="ED247" s="36"/>
      <c r="EE247" s="36"/>
      <c r="EF247" s="36"/>
      <c r="EG247" s="36"/>
      <c r="EH247" s="36"/>
      <c r="EI247" s="36"/>
      <c r="EJ247" s="36"/>
      <c r="EK247" s="36"/>
      <c r="EL247" s="36"/>
      <c r="EM247" s="36"/>
      <c r="EN247" s="36"/>
      <c r="EO247" s="36"/>
      <c r="EP247" s="36"/>
      <c r="EQ247" s="36"/>
      <c r="ER247" s="36"/>
      <c r="ES247" s="36"/>
      <c r="ET247" s="36"/>
      <c r="EU247" s="36"/>
      <c r="EV247" s="36">
        <v>-2.86</v>
      </c>
      <c r="EW247" s="36"/>
      <c r="EX247" s="36"/>
      <c r="EY247" s="36"/>
      <c r="EZ247" s="36"/>
      <c r="FA247" s="36"/>
      <c r="FB247" s="36"/>
      <c r="FC247" s="36"/>
      <c r="FD247" s="36"/>
      <c r="FE247" s="36"/>
      <c r="FF247" s="36"/>
      <c r="FG247" s="36"/>
      <c r="FH247" s="36"/>
      <c r="FI247" s="36"/>
      <c r="FJ247" s="36"/>
      <c r="FK247" s="36"/>
      <c r="FL247" s="36"/>
      <c r="FM247" s="36"/>
      <c r="FN247" s="36"/>
      <c r="FO247" s="36"/>
      <c r="FP247" s="36"/>
      <c r="FQ247" s="36"/>
      <c r="FR247" s="36"/>
      <c r="FS247" s="36"/>
      <c r="FT247" s="36"/>
      <c r="FU247" s="36"/>
      <c r="FV247" s="36"/>
      <c r="FW247" s="36"/>
      <c r="FX247" s="36"/>
      <c r="FY247" s="36"/>
      <c r="FZ247" s="36"/>
      <c r="GA247" s="36"/>
      <c r="GB247" s="319"/>
      <c r="GC247" s="179">
        <f t="shared" si="43"/>
        <v>0</v>
      </c>
      <c r="GD247" s="179">
        <f t="shared" si="44"/>
        <v>0</v>
      </c>
      <c r="GE247" s="179">
        <f t="shared" si="45"/>
        <v>0</v>
      </c>
      <c r="GF247" s="179">
        <f t="shared" si="46"/>
        <v>0</v>
      </c>
      <c r="GG247" s="179">
        <f t="shared" si="42"/>
        <v>0</v>
      </c>
    </row>
    <row r="248" spans="1:189" x14ac:dyDescent="0.35">
      <c r="A248" s="6" t="s">
        <v>1274</v>
      </c>
      <c r="B248" s="5" t="str">
        <f>IF(Technologies!B248&lt;&gt;0,Technologies!B248,"")</f>
        <v>Elektriciteit</v>
      </c>
      <c r="C248" s="5" t="str">
        <f>VLOOKUP($A248,Technologies!$A$7:$H$576,3,FALSE)</f>
        <v>Conversion</v>
      </c>
      <c r="D248" s="5" t="str">
        <f>VLOOKUP($A248,Technologies!$A$7:$H$576,4,FALSE)</f>
        <v>Power NL</v>
      </c>
      <c r="E248" s="5" t="str">
        <f>VLOOKUP($A248,Technologies!$A$7:$H$576,6,FALSE)</f>
        <v>Electricity NL - HV</v>
      </c>
      <c r="F248" s="5" t="str">
        <f>VLOOKUP($A248,Technologies!$A$7:$H$576,7,FALSE)</f>
        <v>Nuclear - Gen III - Power NL</v>
      </c>
      <c r="G248" s="23"/>
      <c r="H248" s="23"/>
      <c r="I248" s="104" cm="1">
        <f t="array" ref="I248">-SUMPRODUCT((Feedstocks!$C$4:$C$141=A248)*Feedstocks!$E$4:$E$141,Feedstocks!$F$4:$F$141,Feedstocks!$H$4:$H$141,Feedstocks!$I$4:$I$141)</f>
        <v>0</v>
      </c>
      <c r="J248" s="104" cm="1">
        <f t="array" ref="J248">-SUMPRODUCT((Feedstocks!$C$4:$C$141=A248)*Feedstocks!$E$4:$E$141,Feedstocks!$H$4:$H$141,Feedstocks!$I$4:$I$141)</f>
        <v>0</v>
      </c>
      <c r="K248" s="104"/>
      <c r="L248" s="104"/>
      <c r="M248" s="23">
        <v>1</v>
      </c>
      <c r="N248" s="23" t="str">
        <f>VLOOKUP(E248,Activities!$A$9:$M$227,13,FALSE)</f>
        <v>NL</v>
      </c>
      <c r="O248" s="23"/>
      <c r="P248" s="79" t="s">
        <v>1824</v>
      </c>
      <c r="Q248" s="35"/>
      <c r="R248" s="35"/>
      <c r="S248" s="35"/>
      <c r="T248" s="35"/>
      <c r="U248" s="35"/>
      <c r="V248" s="35"/>
      <c r="W248" s="35"/>
      <c r="X248" s="35"/>
      <c r="Y248" s="35"/>
      <c r="Z248" s="35"/>
      <c r="AA248" s="35"/>
      <c r="AB248" s="35"/>
      <c r="AC248" s="35"/>
      <c r="AD248" s="35"/>
      <c r="AE248" s="35"/>
      <c r="AF248" s="35"/>
      <c r="AG248" s="35"/>
      <c r="AH248" s="35"/>
      <c r="AI248" s="35"/>
      <c r="AJ248" s="35"/>
      <c r="AK248" s="35"/>
      <c r="AL248" s="35"/>
      <c r="AM248" s="35"/>
      <c r="AN248" s="35"/>
      <c r="AO248" s="35"/>
      <c r="AP248" s="35"/>
      <c r="AQ248" s="35"/>
      <c r="AR248" s="35"/>
      <c r="AS248" s="35"/>
      <c r="AT248" s="35"/>
      <c r="AU248" s="35"/>
      <c r="AV248" s="35"/>
      <c r="AW248" s="35"/>
      <c r="AX248" s="35"/>
      <c r="AY248" s="35"/>
      <c r="AZ248" s="35"/>
      <c r="BA248" s="35"/>
      <c r="BB248" s="35"/>
      <c r="BC248" s="35"/>
      <c r="BD248" s="35"/>
      <c r="BE248" s="35"/>
      <c r="BF248" s="35"/>
      <c r="BG248" s="35"/>
      <c r="BH248" s="35"/>
      <c r="BI248" s="35"/>
      <c r="BJ248" s="35"/>
      <c r="BK248" s="35"/>
      <c r="BL248" s="35"/>
      <c r="BM248" s="35"/>
      <c r="BN248" s="35"/>
      <c r="BO248" s="35"/>
      <c r="BP248" s="35"/>
      <c r="BQ248" s="35"/>
      <c r="BR248" s="35"/>
      <c r="BS248" s="35"/>
      <c r="BT248" s="35"/>
      <c r="BU248" s="35"/>
      <c r="BV248" s="35"/>
      <c r="BW248" s="35"/>
      <c r="BX248" s="35"/>
      <c r="BY248" s="35"/>
      <c r="BZ248" s="35"/>
      <c r="CA248" s="35"/>
      <c r="CB248" s="35"/>
      <c r="CC248" s="35"/>
      <c r="CD248" s="35"/>
      <c r="CE248" s="35"/>
      <c r="CF248" s="35"/>
      <c r="CG248" s="35"/>
      <c r="CH248" s="35"/>
      <c r="CI248" s="35"/>
      <c r="CJ248" s="35"/>
      <c r="CK248" s="35"/>
      <c r="CL248" s="35"/>
      <c r="CM248" s="35"/>
      <c r="CN248" s="35"/>
      <c r="CO248" s="35"/>
      <c r="CP248" s="35"/>
      <c r="CQ248" s="35"/>
      <c r="CR248" s="35"/>
      <c r="CS248" s="35"/>
      <c r="CT248" s="35"/>
      <c r="CU248" s="35"/>
      <c r="CV248" s="35"/>
      <c r="CW248" s="35"/>
      <c r="CX248" s="35"/>
      <c r="CY248" s="35"/>
      <c r="CZ248" s="35"/>
      <c r="DA248" s="35"/>
      <c r="DB248" s="35"/>
      <c r="DC248" s="35"/>
      <c r="DD248" s="35"/>
      <c r="DE248" s="35"/>
      <c r="DF248" s="35"/>
      <c r="DG248" s="35"/>
      <c r="DH248" s="35">
        <v>1</v>
      </c>
      <c r="DI248" s="35"/>
      <c r="DJ248" s="35"/>
      <c r="DK248" s="35"/>
      <c r="DL248" s="35"/>
      <c r="DM248" s="35"/>
      <c r="DN248" s="35"/>
      <c r="DO248" s="35"/>
      <c r="DP248" s="35"/>
      <c r="DQ248" s="35"/>
      <c r="DR248" s="35"/>
      <c r="DS248" s="35"/>
      <c r="DT248" s="35"/>
      <c r="DU248" s="35"/>
      <c r="DV248" s="35"/>
      <c r="DW248" s="35"/>
      <c r="DX248" s="35"/>
      <c r="DY248" s="35"/>
      <c r="DZ248" s="35"/>
      <c r="EA248" s="35"/>
      <c r="EB248" s="35"/>
      <c r="EC248" s="35"/>
      <c r="ED248" s="35"/>
      <c r="EE248" s="35"/>
      <c r="EF248" s="35"/>
      <c r="EG248" s="35"/>
      <c r="EH248" s="35"/>
      <c r="EI248" s="35"/>
      <c r="EJ248" s="35"/>
      <c r="EK248" s="35"/>
      <c r="EL248" s="35"/>
      <c r="EM248" s="35"/>
      <c r="EN248" s="35"/>
      <c r="EO248" s="35"/>
      <c r="EP248" s="35"/>
      <c r="EQ248" s="35"/>
      <c r="ER248" s="35"/>
      <c r="ES248" s="35"/>
      <c r="ET248" s="35"/>
      <c r="EU248" s="35"/>
      <c r="EV248" s="35">
        <v>-2.86</v>
      </c>
      <c r="EW248" s="35"/>
      <c r="EX248" s="35"/>
      <c r="EY248" s="35"/>
      <c r="EZ248" s="35"/>
      <c r="FA248" s="35"/>
      <c r="FB248" s="35"/>
      <c r="FC248" s="35"/>
      <c r="FD248" s="35"/>
      <c r="FE248" s="35"/>
      <c r="FF248" s="35"/>
      <c r="FG248" s="35"/>
      <c r="FH248" s="35"/>
      <c r="FI248" s="35"/>
      <c r="FJ248" s="35"/>
      <c r="FK248" s="35"/>
      <c r="FL248" s="35"/>
      <c r="FM248" s="35"/>
      <c r="FN248" s="35"/>
      <c r="FO248" s="35"/>
      <c r="FP248" s="35"/>
      <c r="FQ248" s="35"/>
      <c r="FR248" s="35"/>
      <c r="FS248" s="35"/>
      <c r="FT248" s="35"/>
      <c r="FU248" s="35"/>
      <c r="FV248" s="35"/>
      <c r="FW248" s="35"/>
      <c r="FX248" s="35"/>
      <c r="FY248" s="35"/>
      <c r="FZ248" s="35"/>
      <c r="GA248" s="35"/>
      <c r="GB248" s="318"/>
      <c r="GC248" s="178">
        <f t="shared" si="43"/>
        <v>0</v>
      </c>
      <c r="GD248" s="178">
        <f t="shared" si="44"/>
        <v>0</v>
      </c>
      <c r="GE248" s="178">
        <f t="shared" si="45"/>
        <v>0</v>
      </c>
      <c r="GF248" s="178">
        <f t="shared" si="46"/>
        <v>0</v>
      </c>
      <c r="GG248" s="178">
        <f t="shared" si="42"/>
        <v>0</v>
      </c>
    </row>
    <row r="249" spans="1:189" x14ac:dyDescent="0.35">
      <c r="A249" s="5" t="s">
        <v>1276</v>
      </c>
      <c r="B249" s="5" t="str">
        <f>IF(Technologies!B249&lt;&gt;0,Technologies!B249,"")</f>
        <v>Elektriciteit</v>
      </c>
      <c r="C249" s="5" t="str">
        <f>VLOOKUP($A249,Technologies!$A$7:$H$576,3,FALSE)</f>
        <v>Conversion</v>
      </c>
      <c r="D249" s="5" t="str">
        <f>VLOOKUP($A249,Technologies!$A$7:$H$576,4,FALSE)</f>
        <v>Power NL</v>
      </c>
      <c r="E249" s="5" t="str">
        <f>VLOOKUP($A249,Technologies!$A$7:$H$576,6,FALSE)</f>
        <v>Electricity NL - HV</v>
      </c>
      <c r="F249" s="5" t="str">
        <f>VLOOKUP($A249,Technologies!$A$7:$H$576,7,FALSE)</f>
        <v>Nuclear SMR - Power NL</v>
      </c>
      <c r="G249" s="23"/>
      <c r="H249" s="23"/>
      <c r="I249" s="104" cm="1">
        <f t="array" ref="I249">-SUMPRODUCT((Feedstocks!$C$4:$C$141=A249)*Feedstocks!$E$4:$E$141,Feedstocks!$F$4:$F$141,Feedstocks!$H$4:$H$141,Feedstocks!$I$4:$I$141)</f>
        <v>0</v>
      </c>
      <c r="J249" s="104" cm="1">
        <f t="array" ref="J249">-SUMPRODUCT((Feedstocks!$C$4:$C$141=A249)*Feedstocks!$E$4:$E$141,Feedstocks!$H$4:$H$141,Feedstocks!$I$4:$I$141)</f>
        <v>0</v>
      </c>
      <c r="K249" s="104"/>
      <c r="L249" s="104"/>
      <c r="M249" s="23">
        <v>1</v>
      </c>
      <c r="N249" s="23" t="str">
        <f>VLOOKUP(E249,Activities!$A$9:$M$227,13,FALSE)</f>
        <v>NL</v>
      </c>
      <c r="O249" s="23"/>
      <c r="P249" s="79" t="s">
        <v>1824</v>
      </c>
      <c r="Q249" s="35"/>
      <c r="R249" s="35"/>
      <c r="S249" s="35"/>
      <c r="T249" s="35"/>
      <c r="U249" s="35"/>
      <c r="V249" s="35"/>
      <c r="W249" s="35"/>
      <c r="X249" s="35"/>
      <c r="Y249" s="35"/>
      <c r="Z249" s="35"/>
      <c r="AA249" s="35"/>
      <c r="AB249" s="35"/>
      <c r="AC249" s="35"/>
      <c r="AD249" s="35"/>
      <c r="AE249" s="35"/>
      <c r="AF249" s="36"/>
      <c r="AG249" s="36"/>
      <c r="AH249" s="36"/>
      <c r="AI249" s="36"/>
      <c r="AJ249" s="36"/>
      <c r="AK249" s="36"/>
      <c r="AL249" s="36"/>
      <c r="AM249" s="36"/>
      <c r="AN249" s="36"/>
      <c r="AO249" s="36"/>
      <c r="AP249" s="35"/>
      <c r="AQ249" s="35"/>
      <c r="AR249" s="35"/>
      <c r="AS249" s="35"/>
      <c r="AT249" s="35"/>
      <c r="AU249" s="35"/>
      <c r="AV249" s="35"/>
      <c r="AW249" s="35"/>
      <c r="AX249" s="35"/>
      <c r="AY249" s="35"/>
      <c r="AZ249" s="35"/>
      <c r="BA249" s="35"/>
      <c r="BB249" s="35"/>
      <c r="BC249" s="35"/>
      <c r="BD249" s="35"/>
      <c r="BE249" s="35"/>
      <c r="BF249" s="35"/>
      <c r="BG249" s="35"/>
      <c r="BH249" s="35"/>
      <c r="BI249" s="35"/>
      <c r="BJ249" s="35"/>
      <c r="BK249" s="35"/>
      <c r="BL249" s="35"/>
      <c r="BM249" s="35"/>
      <c r="BN249" s="35"/>
      <c r="BO249" s="35"/>
      <c r="BP249" s="35"/>
      <c r="BQ249" s="35"/>
      <c r="BR249" s="35"/>
      <c r="BS249" s="35"/>
      <c r="BT249" s="35"/>
      <c r="BU249" s="35"/>
      <c r="BV249" s="35"/>
      <c r="BW249" s="35"/>
      <c r="BX249" s="35"/>
      <c r="BY249" s="35"/>
      <c r="BZ249" s="35"/>
      <c r="CA249" s="35"/>
      <c r="CB249" s="35"/>
      <c r="CC249" s="35"/>
      <c r="CD249" s="35"/>
      <c r="CE249" s="35"/>
      <c r="CF249" s="35"/>
      <c r="CG249" s="35"/>
      <c r="CH249" s="35"/>
      <c r="CI249" s="35"/>
      <c r="CJ249" s="35"/>
      <c r="CK249" s="35"/>
      <c r="CL249" s="35"/>
      <c r="CM249" s="35"/>
      <c r="CN249" s="35"/>
      <c r="CO249" s="35"/>
      <c r="CP249" s="35"/>
      <c r="CQ249" s="35"/>
      <c r="CR249" s="35"/>
      <c r="CS249" s="35"/>
      <c r="CT249" s="35"/>
      <c r="CU249" s="35"/>
      <c r="CV249" s="35"/>
      <c r="CW249" s="35"/>
      <c r="CX249" s="35"/>
      <c r="CY249" s="35"/>
      <c r="CZ249" s="35"/>
      <c r="DA249" s="35"/>
      <c r="DB249" s="35"/>
      <c r="DC249" s="35"/>
      <c r="DD249" s="35"/>
      <c r="DE249" s="35"/>
      <c r="DF249" s="35"/>
      <c r="DG249" s="35"/>
      <c r="DH249" s="35">
        <v>1</v>
      </c>
      <c r="DI249" s="35"/>
      <c r="DJ249" s="35"/>
      <c r="DK249" s="35"/>
      <c r="DL249" s="35"/>
      <c r="DM249" s="35"/>
      <c r="DN249" s="35"/>
      <c r="DO249" s="35"/>
      <c r="DP249" s="35"/>
      <c r="DQ249" s="35"/>
      <c r="DR249" s="35"/>
      <c r="DS249" s="35"/>
      <c r="DT249" s="35"/>
      <c r="DU249" s="35"/>
      <c r="DV249" s="35"/>
      <c r="DW249" s="35"/>
      <c r="DX249" s="35"/>
      <c r="DY249" s="35"/>
      <c r="DZ249" s="35"/>
      <c r="EA249" s="35"/>
      <c r="EB249" s="35"/>
      <c r="EC249" s="35"/>
      <c r="ED249" s="35"/>
      <c r="EE249" s="35"/>
      <c r="EF249" s="35"/>
      <c r="EG249" s="35"/>
      <c r="EH249" s="35"/>
      <c r="EI249" s="35"/>
      <c r="EJ249" s="35"/>
      <c r="EK249" s="35"/>
      <c r="EL249" s="35"/>
      <c r="EM249" s="35"/>
      <c r="EN249" s="35"/>
      <c r="EO249" s="35"/>
      <c r="EP249" s="35"/>
      <c r="EQ249" s="35"/>
      <c r="ER249" s="35"/>
      <c r="ES249" s="35"/>
      <c r="ET249" s="35"/>
      <c r="EU249" s="35"/>
      <c r="EV249" s="35">
        <v>-2.5</v>
      </c>
      <c r="EW249" s="35"/>
      <c r="EX249" s="35"/>
      <c r="EY249" s="35"/>
      <c r="EZ249" s="35"/>
      <c r="FA249" s="35"/>
      <c r="FB249" s="35"/>
      <c r="FC249" s="35"/>
      <c r="FD249" s="35"/>
      <c r="FE249" s="35"/>
      <c r="FF249" s="35"/>
      <c r="FG249" s="35"/>
      <c r="FH249" s="35"/>
      <c r="FI249" s="35"/>
      <c r="FJ249" s="35"/>
      <c r="FK249" s="35"/>
      <c r="FL249" s="35"/>
      <c r="FM249" s="35"/>
      <c r="FN249" s="35"/>
      <c r="FO249" s="35"/>
      <c r="FP249" s="35"/>
      <c r="FQ249" s="35"/>
      <c r="FR249" s="35"/>
      <c r="FS249" s="35"/>
      <c r="FT249" s="35"/>
      <c r="FU249" s="35"/>
      <c r="FV249" s="35"/>
      <c r="FW249" s="35"/>
      <c r="FX249" s="35"/>
      <c r="FY249" s="35"/>
      <c r="FZ249" s="35"/>
      <c r="GA249" s="35"/>
      <c r="GB249" s="318"/>
      <c r="GC249" s="178">
        <f t="shared" si="43"/>
        <v>0</v>
      </c>
      <c r="GD249" s="178">
        <f t="shared" si="44"/>
        <v>0</v>
      </c>
      <c r="GE249" s="178">
        <f t="shared" si="45"/>
        <v>0</v>
      </c>
      <c r="GF249" s="178">
        <f t="shared" si="46"/>
        <v>0</v>
      </c>
      <c r="GG249" s="178">
        <f t="shared" si="42"/>
        <v>0</v>
      </c>
    </row>
    <row r="250" spans="1:189" x14ac:dyDescent="0.35">
      <c r="A250" s="6" t="s">
        <v>1279</v>
      </c>
      <c r="B250" s="6" t="str">
        <f>IF(Technologies!B250&lt;&gt;0,Technologies!B250,"")</f>
        <v>Elektriciteit</v>
      </c>
      <c r="C250" s="6" t="str">
        <f>VLOOKUP($A250,Technologies!$A$7:$H$576,3,FALSE)</f>
        <v>Conversion</v>
      </c>
      <c r="D250" s="6" t="str">
        <f>VLOOKUP($A250,Technologies!$A$7:$H$576,4,FALSE)</f>
        <v>Power NL</v>
      </c>
      <c r="E250" s="6" t="str">
        <f>VLOOKUP($A250,Technologies!$A$7:$H$576,6,FALSE)</f>
        <v>Electricity NL - HV</v>
      </c>
      <c r="F250" s="48" t="str">
        <f>VLOOKUP($A250,Technologies!$A$7:$H$576,7,FALSE)</f>
        <v>Biomass - Power NL</v>
      </c>
      <c r="G250" s="22"/>
      <c r="H250" s="22"/>
      <c r="I250" s="103" cm="1">
        <f t="array" ref="I250">-SUMPRODUCT((Feedstocks!$C$4:$C$141=A250)*Feedstocks!$E$4:$E$141,Feedstocks!$F$4:$F$141,Feedstocks!$H$4:$H$141,Feedstocks!$I$4:$I$141)</f>
        <v>0</v>
      </c>
      <c r="J250" s="103" cm="1">
        <f t="array" ref="J250">-SUMPRODUCT((Feedstocks!$C$4:$C$141=A250)*Feedstocks!$E$4:$E$141,Feedstocks!$H$4:$H$141,Feedstocks!$I$4:$I$141)</f>
        <v>0</v>
      </c>
      <c r="K250" s="103"/>
      <c r="L250" s="103"/>
      <c r="M250" s="22">
        <v>1</v>
      </c>
      <c r="N250" s="22" t="str">
        <f>VLOOKUP(E250,Activities!$A$9:$M$227,13,FALSE)</f>
        <v>NL</v>
      </c>
      <c r="O250" s="22"/>
      <c r="P250" s="80" t="s">
        <v>415</v>
      </c>
      <c r="Q250" s="36"/>
      <c r="R250" s="36"/>
      <c r="S250" s="36"/>
      <c r="T250" s="36"/>
      <c r="U250" s="36"/>
      <c r="V250" s="36"/>
      <c r="W250" s="36"/>
      <c r="X250" s="36"/>
      <c r="Y250" s="36"/>
      <c r="Z250" s="36"/>
      <c r="AA250" s="36"/>
      <c r="AB250" s="36"/>
      <c r="AC250" s="36"/>
      <c r="AD250" s="36"/>
      <c r="AE250" s="36"/>
      <c r="AF250" s="35"/>
      <c r="AG250" s="35"/>
      <c r="AH250" s="35"/>
      <c r="AI250" s="35"/>
      <c r="AJ250" s="35"/>
      <c r="AK250" s="35"/>
      <c r="AL250" s="35"/>
      <c r="AM250" s="35"/>
      <c r="AN250" s="35"/>
      <c r="AO250" s="35"/>
      <c r="AP250" s="36"/>
      <c r="AQ250" s="36"/>
      <c r="AR250" s="36"/>
      <c r="AS250" s="36"/>
      <c r="AT250" s="36"/>
      <c r="AU250" s="36"/>
      <c r="AV250" s="36"/>
      <c r="AW250" s="36"/>
      <c r="AX250" s="36"/>
      <c r="AY250" s="36"/>
      <c r="AZ250" s="36"/>
      <c r="BA250" s="36"/>
      <c r="BB250" s="36"/>
      <c r="BC250" s="36"/>
      <c r="BD250" s="36"/>
      <c r="BE250" s="36"/>
      <c r="BF250" s="36"/>
      <c r="BG250" s="36"/>
      <c r="BH250" s="36"/>
      <c r="BI250" s="36"/>
      <c r="BJ250" s="36"/>
      <c r="BK250" s="36"/>
      <c r="BL250" s="36"/>
      <c r="BM250" s="36"/>
      <c r="BN250" s="36"/>
      <c r="BO250" s="36"/>
      <c r="BP250" s="36"/>
      <c r="BQ250" s="36"/>
      <c r="BR250" s="36"/>
      <c r="BS250" s="36"/>
      <c r="BT250" s="36"/>
      <c r="BU250" s="36"/>
      <c r="BV250" s="36"/>
      <c r="BW250" s="36"/>
      <c r="BX250" s="36"/>
      <c r="BY250" s="36"/>
      <c r="BZ250" s="36"/>
      <c r="CA250" s="36"/>
      <c r="CB250" s="36"/>
      <c r="CC250" s="36"/>
      <c r="CD250" s="36"/>
      <c r="CE250" s="36"/>
      <c r="CF250" s="36"/>
      <c r="CG250" s="36"/>
      <c r="CH250" s="36"/>
      <c r="CI250" s="36"/>
      <c r="CJ250" s="36"/>
      <c r="CK250" s="36"/>
      <c r="CL250" s="36"/>
      <c r="CM250" s="36"/>
      <c r="CN250" s="36"/>
      <c r="CO250" s="36"/>
      <c r="CP250" s="36"/>
      <c r="CQ250" s="36"/>
      <c r="CR250" s="36"/>
      <c r="CS250" s="36"/>
      <c r="CT250" s="36"/>
      <c r="CU250" s="36"/>
      <c r="CV250" s="36"/>
      <c r="CW250" s="36"/>
      <c r="CX250" s="36"/>
      <c r="CY250" s="36"/>
      <c r="CZ250" s="36"/>
      <c r="DA250" s="36"/>
      <c r="DB250" s="36"/>
      <c r="DC250" s="36"/>
      <c r="DD250" s="36"/>
      <c r="DE250" s="36"/>
      <c r="DF250" s="36"/>
      <c r="DG250" s="36"/>
      <c r="DH250" s="36">
        <v>1</v>
      </c>
      <c r="DI250" s="36"/>
      <c r="DJ250" s="36"/>
      <c r="DK250" s="36"/>
      <c r="DL250" s="36"/>
      <c r="DM250" s="36"/>
      <c r="DN250" s="36"/>
      <c r="DO250" s="36"/>
      <c r="DP250" s="36"/>
      <c r="DQ250" s="36"/>
      <c r="DR250" s="36"/>
      <c r="DS250" s="36"/>
      <c r="DT250" s="36"/>
      <c r="DU250" s="36"/>
      <c r="DV250" s="36"/>
      <c r="DW250" s="36"/>
      <c r="DX250" s="36"/>
      <c r="DY250" s="36"/>
      <c r="DZ250" s="36"/>
      <c r="EA250" s="36"/>
      <c r="EB250" s="36"/>
      <c r="EC250" s="36"/>
      <c r="ED250" s="36"/>
      <c r="EE250" s="36"/>
      <c r="EF250" s="36"/>
      <c r="EG250" s="36"/>
      <c r="EH250" s="36"/>
      <c r="EI250" s="36"/>
      <c r="EJ250" s="36"/>
      <c r="EK250" s="36"/>
      <c r="EL250" s="36"/>
      <c r="EM250" s="36"/>
      <c r="EN250" s="36"/>
      <c r="EO250" s="36"/>
      <c r="EP250" s="36"/>
      <c r="EQ250" s="36"/>
      <c r="ER250" s="36">
        <v>-2.08</v>
      </c>
      <c r="ES250" s="36"/>
      <c r="ET250" s="36"/>
      <c r="EU250" s="36"/>
      <c r="EV250" s="36"/>
      <c r="EW250" s="36"/>
      <c r="EX250" s="36"/>
      <c r="EY250" s="36"/>
      <c r="EZ250" s="36"/>
      <c r="FA250" s="36"/>
      <c r="FB250" s="36"/>
      <c r="FC250" s="36"/>
      <c r="FD250" s="36"/>
      <c r="FE250" s="36"/>
      <c r="FF250" s="36"/>
      <c r="FG250" s="36"/>
      <c r="FH250" s="36"/>
      <c r="FI250" s="36"/>
      <c r="FJ250" s="36"/>
      <c r="FK250" s="36"/>
      <c r="FL250" s="36"/>
      <c r="FM250" s="36"/>
      <c r="FN250" s="36"/>
      <c r="FO250" s="36"/>
      <c r="FP250" s="36"/>
      <c r="FQ250" s="36"/>
      <c r="FR250" s="36"/>
      <c r="FS250" s="36"/>
      <c r="FT250" s="36"/>
      <c r="FU250" s="36"/>
      <c r="FV250" s="36"/>
      <c r="FW250" s="36"/>
      <c r="FX250" s="36"/>
      <c r="FY250" s="36"/>
      <c r="FZ250" s="36"/>
      <c r="GA250" s="36"/>
      <c r="GB250" s="319"/>
      <c r="GC250" s="179">
        <f t="shared" si="43"/>
        <v>0</v>
      </c>
      <c r="GD250" s="179">
        <f t="shared" si="44"/>
        <v>0</v>
      </c>
      <c r="GE250" s="179">
        <f t="shared" si="45"/>
        <v>0</v>
      </c>
      <c r="GF250" s="179">
        <f t="shared" si="46"/>
        <v>0</v>
      </c>
      <c r="GG250" s="179">
        <f t="shared" si="42"/>
        <v>0</v>
      </c>
    </row>
    <row r="251" spans="1:189" x14ac:dyDescent="0.35">
      <c r="A251" s="5" t="s">
        <v>1281</v>
      </c>
      <c r="B251" s="5" t="str">
        <f>IF(Technologies!B251&lt;&gt;0,Technologies!B251,"")</f>
        <v>Elektriciteit</v>
      </c>
      <c r="C251" s="5" t="str">
        <f>VLOOKUP($A251,Technologies!$A$7:$H$576,3,FALSE)</f>
        <v>Conversion</v>
      </c>
      <c r="D251" s="5" t="str">
        <f>VLOOKUP($A251,Technologies!$A$7:$H$576,4,FALSE)</f>
        <v>Power NL</v>
      </c>
      <c r="E251" s="5" t="str">
        <f>VLOOKUP($A251,Technologies!$A$7:$H$576,6,FALSE)</f>
        <v>Electricity NL - HV</v>
      </c>
      <c r="F251" s="5" t="str">
        <f>VLOOKUP($A251,Technologies!$A$7:$H$576,7,FALSE)</f>
        <v>Biomass wCCS - Power NL</v>
      </c>
      <c r="G251" s="23">
        <v>0.85</v>
      </c>
      <c r="H251" s="23"/>
      <c r="I251" s="104" cm="1">
        <f t="array" ref="I251">-SUMPRODUCT((Feedstocks!$C$4:$C$141=A251)*Feedstocks!$E$4:$E$141,Feedstocks!$F$4:$F$141,Feedstocks!$H$4:$H$141,Feedstocks!$I$4:$I$141)</f>
        <v>0</v>
      </c>
      <c r="J251" s="104" cm="1">
        <f t="array" ref="J251">-SUMPRODUCT((Feedstocks!$C$4:$C$141=A251)*Feedstocks!$E$4:$E$141,Feedstocks!$H$4:$H$141,Feedstocks!$I$4:$I$141)</f>
        <v>0</v>
      </c>
      <c r="K251" s="104"/>
      <c r="L251" s="104"/>
      <c r="M251" s="23">
        <v>1</v>
      </c>
      <c r="N251" s="23" t="str">
        <f>VLOOKUP(E251,Activities!$A$9:$M$227,13,FALSE)</f>
        <v>NL</v>
      </c>
      <c r="O251" s="23"/>
      <c r="P251" s="79" t="s">
        <v>415</v>
      </c>
      <c r="Q251" s="35"/>
      <c r="R251" s="35"/>
      <c r="S251" s="35"/>
      <c r="T251" s="35"/>
      <c r="U251" s="35"/>
      <c r="V251" s="35"/>
      <c r="W251" s="35"/>
      <c r="X251" s="35"/>
      <c r="Y251" s="35"/>
      <c r="Z251" s="35"/>
      <c r="AA251" s="35"/>
      <c r="AB251" s="35"/>
      <c r="AC251" s="35"/>
      <c r="AD251" s="35"/>
      <c r="AE251" s="35"/>
      <c r="AF251" s="36"/>
      <c r="AG251" s="36"/>
      <c r="AH251" s="36"/>
      <c r="AI251" s="36"/>
      <c r="AJ251" s="36"/>
      <c r="AK251" s="36"/>
      <c r="AL251" s="36"/>
      <c r="AM251" s="36"/>
      <c r="AN251" s="36"/>
      <c r="AO251" s="36"/>
      <c r="AP251" s="35"/>
      <c r="AQ251" s="35"/>
      <c r="AR251" s="35"/>
      <c r="AS251" s="35"/>
      <c r="AT251" s="35"/>
      <c r="AU251" s="35"/>
      <c r="AV251" s="35"/>
      <c r="AW251" s="35"/>
      <c r="AX251" s="35"/>
      <c r="AY251" s="35"/>
      <c r="AZ251" s="35"/>
      <c r="BA251" s="35"/>
      <c r="BB251" s="35"/>
      <c r="BC251" s="35"/>
      <c r="BD251" s="35"/>
      <c r="BE251" s="35"/>
      <c r="BF251" s="35"/>
      <c r="BG251" s="35"/>
      <c r="BH251" s="35"/>
      <c r="BI251" s="35"/>
      <c r="BJ251" s="35"/>
      <c r="BK251" s="35"/>
      <c r="BL251" s="35"/>
      <c r="BM251" s="35"/>
      <c r="BN251" s="35"/>
      <c r="BO251" s="35"/>
      <c r="BP251" s="35"/>
      <c r="BQ251" s="35"/>
      <c r="BR251" s="35"/>
      <c r="BS251" s="35"/>
      <c r="BT251" s="35"/>
      <c r="BU251" s="35"/>
      <c r="BV251" s="35"/>
      <c r="BW251" s="35"/>
      <c r="BX251" s="35"/>
      <c r="BY251" s="35"/>
      <c r="BZ251" s="35"/>
      <c r="CA251" s="35"/>
      <c r="CB251" s="35"/>
      <c r="CC251" s="35"/>
      <c r="CD251" s="35"/>
      <c r="CE251" s="35"/>
      <c r="CF251" s="35"/>
      <c r="CG251" s="35"/>
      <c r="CH251" s="35"/>
      <c r="CI251" s="35"/>
      <c r="CJ251" s="35"/>
      <c r="CK251" s="35"/>
      <c r="CL251" s="35"/>
      <c r="CM251" s="35"/>
      <c r="CN251" s="35"/>
      <c r="CO251" s="35"/>
      <c r="CP251" s="35"/>
      <c r="CQ251" s="35"/>
      <c r="CR251" s="35"/>
      <c r="CS251" s="35"/>
      <c r="CT251" s="35"/>
      <c r="CU251" s="35"/>
      <c r="CV251" s="35"/>
      <c r="CW251" s="35"/>
      <c r="CX251" s="35"/>
      <c r="CY251" s="35"/>
      <c r="CZ251" s="35"/>
      <c r="DA251" s="35"/>
      <c r="DB251" s="35"/>
      <c r="DC251" s="35"/>
      <c r="DD251" s="35"/>
      <c r="DE251" s="35"/>
      <c r="DF251" s="35"/>
      <c r="DG251" s="35"/>
      <c r="DH251" s="35">
        <v>1</v>
      </c>
      <c r="DI251" s="35"/>
      <c r="DJ251" s="35"/>
      <c r="DK251" s="35"/>
      <c r="DL251" s="35"/>
      <c r="DM251" s="35"/>
      <c r="DN251" s="35"/>
      <c r="DO251" s="35"/>
      <c r="DP251" s="35"/>
      <c r="DQ251" s="35"/>
      <c r="DR251" s="35"/>
      <c r="DS251" s="35"/>
      <c r="DT251" s="35"/>
      <c r="DU251" s="35"/>
      <c r="DV251" s="35"/>
      <c r="DW251" s="35"/>
      <c r="DX251" s="35"/>
      <c r="DY251" s="35"/>
      <c r="DZ251" s="35"/>
      <c r="EA251" s="35"/>
      <c r="EB251" s="35"/>
      <c r="EC251" s="35"/>
      <c r="ED251" s="35"/>
      <c r="EE251" s="35"/>
      <c r="EF251" s="35"/>
      <c r="EG251" s="35"/>
      <c r="EH251" s="35"/>
      <c r="EI251" s="35"/>
      <c r="EJ251" s="35"/>
      <c r="EK251" s="35"/>
      <c r="EL251" s="35"/>
      <c r="EM251" s="35"/>
      <c r="EN251" s="35"/>
      <c r="EO251" s="35"/>
      <c r="EP251" s="35"/>
      <c r="EQ251" s="35"/>
      <c r="ER251" s="35">
        <v>-2.08</v>
      </c>
      <c r="ES251" s="35"/>
      <c r="ET251" s="35"/>
      <c r="EU251" s="35"/>
      <c r="EV251" s="35"/>
      <c r="EW251" s="35"/>
      <c r="EX251" s="35"/>
      <c r="EY251" s="35"/>
      <c r="EZ251" s="35"/>
      <c r="FA251" s="35"/>
      <c r="FB251" s="35"/>
      <c r="FC251" s="35"/>
      <c r="FD251" s="35"/>
      <c r="FE251" s="35"/>
      <c r="FF251" s="35"/>
      <c r="FG251" s="35"/>
      <c r="FH251" s="35"/>
      <c r="FI251" s="35"/>
      <c r="FJ251" s="35"/>
      <c r="FK251" s="35"/>
      <c r="FL251" s="35"/>
      <c r="FM251" s="35"/>
      <c r="FN251" s="35"/>
      <c r="FO251" s="35"/>
      <c r="FP251" s="35"/>
      <c r="FQ251" s="35"/>
      <c r="FR251" s="35"/>
      <c r="FS251" s="35"/>
      <c r="FT251" s="35"/>
      <c r="FU251" s="35"/>
      <c r="FV251" s="35"/>
      <c r="FW251" s="35"/>
      <c r="FX251" s="35"/>
      <c r="FY251" s="35"/>
      <c r="FZ251" s="35"/>
      <c r="GA251" s="35"/>
      <c r="GB251" s="318">
        <f>GC251</f>
        <v>0.1938</v>
      </c>
      <c r="GC251" s="178">
        <f t="shared" si="43"/>
        <v>0.1938</v>
      </c>
      <c r="GD251" s="178">
        <f t="shared" si="44"/>
        <v>-0.1938</v>
      </c>
      <c r="GE251" s="178">
        <f t="shared" si="45"/>
        <v>0</v>
      </c>
      <c r="GF251" s="178">
        <f t="shared" si="46"/>
        <v>0</v>
      </c>
      <c r="GG251" s="178">
        <f t="shared" si="42"/>
        <v>0</v>
      </c>
    </row>
    <row r="252" spans="1:189" x14ac:dyDescent="0.35">
      <c r="A252" s="6" t="s">
        <v>1283</v>
      </c>
      <c r="B252" s="6" t="str">
        <f>IF(Technologies!B252&lt;&gt;0,Technologies!B252,"")</f>
        <v>Elektriciteit</v>
      </c>
      <c r="C252" s="6" t="str">
        <f>VLOOKUP($A252,Technologies!$A$7:$H$576,3,FALSE)</f>
        <v>Conversion</v>
      </c>
      <c r="D252" s="6" t="str">
        <f>VLOOKUP($A252,Technologies!$A$7:$H$576,4,FALSE)</f>
        <v>Power NL</v>
      </c>
      <c r="E252" s="6" t="str">
        <f>VLOOKUP($A252,Technologies!$A$7:$H$576,6,FALSE)</f>
        <v>Electricity NL - HV</v>
      </c>
      <c r="F252" s="48" t="str">
        <f>VLOOKUP($A252,Technologies!$A$7:$H$576,7,FALSE)</f>
        <v>Onshore Wind - Power NL</v>
      </c>
      <c r="G252" s="22"/>
      <c r="H252" s="22"/>
      <c r="I252" s="103" cm="1">
        <f t="array" ref="I252">-SUMPRODUCT((Feedstocks!$C$4:$C$141=A252)*Feedstocks!$E$4:$E$141,Feedstocks!$F$4:$F$141,Feedstocks!$H$4:$H$141,Feedstocks!$I$4:$I$141)</f>
        <v>0</v>
      </c>
      <c r="J252" s="103" cm="1">
        <f t="array" ref="J252">-SUMPRODUCT((Feedstocks!$C$4:$C$141=A252)*Feedstocks!$E$4:$E$141,Feedstocks!$H$4:$H$141,Feedstocks!$I$4:$I$141)</f>
        <v>0</v>
      </c>
      <c r="K252" s="103"/>
      <c r="L252" s="103"/>
      <c r="M252" s="22">
        <v>1</v>
      </c>
      <c r="N252" s="22" t="str">
        <f>VLOOKUP(E252,Activities!$A$9:$M$227,13,FALSE)</f>
        <v>NL</v>
      </c>
      <c r="O252" s="22"/>
      <c r="P252" s="80" t="s">
        <v>415</v>
      </c>
      <c r="Q252" s="36"/>
      <c r="R252" s="36"/>
      <c r="S252" s="36"/>
      <c r="T252" s="36"/>
      <c r="U252" s="36"/>
      <c r="V252" s="36"/>
      <c r="W252" s="36"/>
      <c r="X252" s="36"/>
      <c r="Y252" s="36"/>
      <c r="Z252" s="36"/>
      <c r="AA252" s="36"/>
      <c r="AB252" s="36"/>
      <c r="AC252" s="36"/>
      <c r="AD252" s="36"/>
      <c r="AE252" s="36"/>
      <c r="AF252" s="35"/>
      <c r="AG252" s="35"/>
      <c r="AH252" s="35"/>
      <c r="AI252" s="35"/>
      <c r="AJ252" s="35"/>
      <c r="AK252" s="35"/>
      <c r="AL252" s="35"/>
      <c r="AM252" s="35"/>
      <c r="AN252" s="35"/>
      <c r="AO252" s="35"/>
      <c r="AP252" s="36"/>
      <c r="AQ252" s="36"/>
      <c r="AR252" s="36"/>
      <c r="AS252" s="36"/>
      <c r="AT252" s="36"/>
      <c r="AU252" s="36"/>
      <c r="AV252" s="36"/>
      <c r="AW252" s="36"/>
      <c r="AX252" s="36"/>
      <c r="AY252" s="36"/>
      <c r="AZ252" s="36"/>
      <c r="BA252" s="36"/>
      <c r="BB252" s="36"/>
      <c r="BC252" s="36"/>
      <c r="BD252" s="36"/>
      <c r="BE252" s="36"/>
      <c r="BF252" s="36"/>
      <c r="BG252" s="36"/>
      <c r="BH252" s="36"/>
      <c r="BI252" s="36"/>
      <c r="BJ252" s="36"/>
      <c r="BK252" s="36"/>
      <c r="BL252" s="36"/>
      <c r="BM252" s="36"/>
      <c r="BN252" s="36"/>
      <c r="BO252" s="36"/>
      <c r="BP252" s="36"/>
      <c r="BQ252" s="36"/>
      <c r="BR252" s="36"/>
      <c r="BS252" s="36"/>
      <c r="BT252" s="36"/>
      <c r="BU252" s="36"/>
      <c r="BV252" s="36"/>
      <c r="BW252" s="36"/>
      <c r="BX252" s="36"/>
      <c r="BY252" s="36"/>
      <c r="BZ252" s="36"/>
      <c r="CA252" s="36"/>
      <c r="CB252" s="36"/>
      <c r="CC252" s="36"/>
      <c r="CD252" s="36"/>
      <c r="CE252" s="36"/>
      <c r="CF252" s="36"/>
      <c r="CG252" s="36"/>
      <c r="CH252" s="36"/>
      <c r="CI252" s="36"/>
      <c r="CJ252" s="36"/>
      <c r="CK252" s="36"/>
      <c r="CL252" s="36"/>
      <c r="CM252" s="36"/>
      <c r="CN252" s="36"/>
      <c r="CO252" s="36"/>
      <c r="CP252" s="36"/>
      <c r="CQ252" s="36"/>
      <c r="CR252" s="36"/>
      <c r="CS252" s="36"/>
      <c r="CT252" s="36"/>
      <c r="CU252" s="36"/>
      <c r="CV252" s="36"/>
      <c r="CW252" s="36"/>
      <c r="CX252" s="36"/>
      <c r="CY252" s="36"/>
      <c r="CZ252" s="36"/>
      <c r="DA252" s="36"/>
      <c r="DB252" s="36"/>
      <c r="DC252" s="36"/>
      <c r="DD252" s="36"/>
      <c r="DE252" s="36"/>
      <c r="DF252" s="36"/>
      <c r="DG252" s="36"/>
      <c r="DH252" s="36">
        <v>1</v>
      </c>
      <c r="DI252" s="36"/>
      <c r="DJ252" s="36"/>
      <c r="DK252" s="36"/>
      <c r="DL252" s="36"/>
      <c r="DM252" s="36"/>
      <c r="DN252" s="36"/>
      <c r="DO252" s="36"/>
      <c r="DP252" s="36"/>
      <c r="DQ252" s="36"/>
      <c r="DR252" s="36"/>
      <c r="DS252" s="36"/>
      <c r="DT252" s="36"/>
      <c r="DU252" s="36"/>
      <c r="DV252" s="36"/>
      <c r="DW252" s="36"/>
      <c r="DX252" s="36"/>
      <c r="DY252" s="36"/>
      <c r="DZ252" s="36"/>
      <c r="EA252" s="36"/>
      <c r="EB252" s="36"/>
      <c r="EC252" s="36"/>
      <c r="ED252" s="36"/>
      <c r="EE252" s="36"/>
      <c r="EF252" s="36"/>
      <c r="EG252" s="36"/>
      <c r="EH252" s="36"/>
      <c r="EI252" s="36"/>
      <c r="EJ252" s="36"/>
      <c r="EK252" s="36"/>
      <c r="EL252" s="36"/>
      <c r="EM252" s="36"/>
      <c r="EN252" s="36"/>
      <c r="EO252" s="36"/>
      <c r="EP252" s="36"/>
      <c r="EQ252" s="36"/>
      <c r="ER252" s="36"/>
      <c r="ES252" s="36"/>
      <c r="ET252" s="36"/>
      <c r="EU252" s="36"/>
      <c r="EV252" s="36"/>
      <c r="EW252" s="36"/>
      <c r="EX252" s="36"/>
      <c r="EY252" s="36"/>
      <c r="EZ252" s="36"/>
      <c r="FA252" s="36"/>
      <c r="FB252" s="36"/>
      <c r="FC252" s="36"/>
      <c r="FD252" s="36"/>
      <c r="FE252" s="36"/>
      <c r="FF252" s="36"/>
      <c r="FG252" s="36"/>
      <c r="FH252" s="36"/>
      <c r="FI252" s="36"/>
      <c r="FJ252" s="36">
        <v>-1</v>
      </c>
      <c r="FK252" s="36"/>
      <c r="FL252" s="36"/>
      <c r="FM252" s="36"/>
      <c r="FN252" s="36"/>
      <c r="FO252" s="36"/>
      <c r="FP252" s="36"/>
      <c r="FQ252" s="36"/>
      <c r="FR252" s="36"/>
      <c r="FS252" s="36"/>
      <c r="FT252" s="36"/>
      <c r="FU252" s="36"/>
      <c r="FV252" s="36"/>
      <c r="FW252" s="36"/>
      <c r="FX252" s="36"/>
      <c r="FY252" s="36"/>
      <c r="FZ252" s="36"/>
      <c r="GA252" s="36"/>
      <c r="GB252" s="319"/>
      <c r="GC252" s="179">
        <f t="shared" si="43"/>
        <v>0</v>
      </c>
      <c r="GD252" s="179">
        <f t="shared" si="44"/>
        <v>0</v>
      </c>
      <c r="GE252" s="179">
        <f t="shared" si="45"/>
        <v>0</v>
      </c>
      <c r="GF252" s="179">
        <f t="shared" si="46"/>
        <v>0</v>
      </c>
      <c r="GG252" s="179">
        <f t="shared" si="42"/>
        <v>0</v>
      </c>
    </row>
    <row r="253" spans="1:189" x14ac:dyDescent="0.35">
      <c r="A253" s="5" t="s">
        <v>1286</v>
      </c>
      <c r="B253" s="5" t="str">
        <f>IF(Technologies!B253&lt;&gt;0,Technologies!B253,"")</f>
        <v>Elektriciteit</v>
      </c>
      <c r="C253" s="5" t="str">
        <f>VLOOKUP($A253,Technologies!$A$7:$H$576,3,FALSE)</f>
        <v>Conversion</v>
      </c>
      <c r="D253" s="5" t="str">
        <f>VLOOKUP($A253,Technologies!$A$7:$H$576,4,FALSE)</f>
        <v>Power NL</v>
      </c>
      <c r="E253" s="5" t="str">
        <f>VLOOKUP($A253,Technologies!$A$7:$H$576,6,FALSE)</f>
        <v>Electricity NL - HV</v>
      </c>
      <c r="F253" s="5" t="str">
        <f>VLOOKUP($A253,Technologies!$A$7:$H$576,7,FALSE)</f>
        <v>Offshore Wind (near)- Power NL</v>
      </c>
      <c r="G253" s="23"/>
      <c r="H253" s="23"/>
      <c r="I253" s="104" cm="1">
        <f t="array" ref="I253">-SUMPRODUCT((Feedstocks!$C$4:$C$141=A253)*Feedstocks!$E$4:$E$141,Feedstocks!$F$4:$F$141,Feedstocks!$H$4:$H$141,Feedstocks!$I$4:$I$141)</f>
        <v>0</v>
      </c>
      <c r="J253" s="104" cm="1">
        <f t="array" ref="J253">-SUMPRODUCT((Feedstocks!$C$4:$C$141=A253)*Feedstocks!$E$4:$E$141,Feedstocks!$H$4:$H$141,Feedstocks!$I$4:$I$141)</f>
        <v>0</v>
      </c>
      <c r="K253" s="104"/>
      <c r="L253" s="104"/>
      <c r="M253" s="23">
        <v>1</v>
      </c>
      <c r="N253" s="23" t="str">
        <f>VLOOKUP(E253,Activities!$A$9:$M$227,13,FALSE)</f>
        <v>NL</v>
      </c>
      <c r="O253" s="23"/>
      <c r="P253" s="79" t="s">
        <v>415</v>
      </c>
      <c r="Q253" s="35"/>
      <c r="R253" s="35"/>
      <c r="S253" s="35"/>
      <c r="T253" s="35"/>
      <c r="U253" s="35"/>
      <c r="V253" s="35"/>
      <c r="W253" s="35"/>
      <c r="X253" s="35"/>
      <c r="Y253" s="35"/>
      <c r="Z253" s="35"/>
      <c r="AA253" s="35"/>
      <c r="AB253" s="35"/>
      <c r="AC253" s="35"/>
      <c r="AD253" s="35"/>
      <c r="AE253" s="35"/>
      <c r="AF253" s="36"/>
      <c r="AG253" s="36"/>
      <c r="AH253" s="36"/>
      <c r="AI253" s="36"/>
      <c r="AJ253" s="36"/>
      <c r="AK253" s="36"/>
      <c r="AL253" s="36"/>
      <c r="AM253" s="36"/>
      <c r="AN253" s="36"/>
      <c r="AO253" s="36"/>
      <c r="AP253" s="35"/>
      <c r="AQ253" s="35"/>
      <c r="AR253" s="35"/>
      <c r="AS253" s="35"/>
      <c r="AT253" s="35"/>
      <c r="AU253" s="35"/>
      <c r="AV253" s="35"/>
      <c r="AW253" s="35"/>
      <c r="AX253" s="35"/>
      <c r="AY253" s="35"/>
      <c r="AZ253" s="35"/>
      <c r="BA253" s="35"/>
      <c r="BB253" s="35"/>
      <c r="BC253" s="35"/>
      <c r="BD253" s="35"/>
      <c r="BE253" s="35"/>
      <c r="BF253" s="35"/>
      <c r="BG253" s="35"/>
      <c r="BH253" s="35"/>
      <c r="BI253" s="35"/>
      <c r="BJ253" s="35"/>
      <c r="BK253" s="35"/>
      <c r="BL253" s="35"/>
      <c r="BM253" s="35"/>
      <c r="BN253" s="35"/>
      <c r="BO253" s="35"/>
      <c r="BP253" s="35"/>
      <c r="BQ253" s="35"/>
      <c r="BR253" s="35"/>
      <c r="BS253" s="35"/>
      <c r="BT253" s="35"/>
      <c r="BU253" s="35"/>
      <c r="BV253" s="35"/>
      <c r="BW253" s="35"/>
      <c r="BX253" s="35"/>
      <c r="BY253" s="35"/>
      <c r="BZ253" s="35"/>
      <c r="CA253" s="35"/>
      <c r="CB253" s="35"/>
      <c r="CC253" s="35"/>
      <c r="CD253" s="35"/>
      <c r="CE253" s="35"/>
      <c r="CF253" s="35"/>
      <c r="CG253" s="35"/>
      <c r="CH253" s="35"/>
      <c r="CI253" s="35"/>
      <c r="CJ253" s="35"/>
      <c r="CK253" s="35"/>
      <c r="CL253" s="35"/>
      <c r="CM253" s="35"/>
      <c r="CN253" s="35"/>
      <c r="CO253" s="35"/>
      <c r="CP253" s="35"/>
      <c r="CQ253" s="35"/>
      <c r="CR253" s="35"/>
      <c r="CS253" s="35"/>
      <c r="CT253" s="35"/>
      <c r="CU253" s="35"/>
      <c r="CV253" s="35"/>
      <c r="CW253" s="35"/>
      <c r="CX253" s="35"/>
      <c r="CY253" s="35"/>
      <c r="CZ253" s="35"/>
      <c r="DA253" s="35"/>
      <c r="DB253" s="35"/>
      <c r="DC253" s="35"/>
      <c r="DD253" s="35"/>
      <c r="DE253" s="35"/>
      <c r="DF253" s="35"/>
      <c r="DG253" s="35"/>
      <c r="DH253" s="35">
        <v>1</v>
      </c>
      <c r="DI253" s="35"/>
      <c r="DJ253" s="35"/>
      <c r="DK253" s="35"/>
      <c r="DL253" s="35"/>
      <c r="DM253" s="35"/>
      <c r="DN253" s="35"/>
      <c r="DO253" s="35"/>
      <c r="DP253" s="35"/>
      <c r="DQ253" s="35"/>
      <c r="DR253" s="35"/>
      <c r="DS253" s="35"/>
      <c r="DT253" s="35"/>
      <c r="DU253" s="35"/>
      <c r="DV253" s="35"/>
      <c r="DW253" s="35"/>
      <c r="DX253" s="35"/>
      <c r="DY253" s="35"/>
      <c r="DZ253" s="35"/>
      <c r="EA253" s="35"/>
      <c r="EB253" s="35"/>
      <c r="EC253" s="35"/>
      <c r="ED253" s="35"/>
      <c r="EE253" s="35"/>
      <c r="EF253" s="35"/>
      <c r="EG253" s="35"/>
      <c r="EH253" s="35"/>
      <c r="EI253" s="35"/>
      <c r="EJ253" s="35"/>
      <c r="EK253" s="35"/>
      <c r="EL253" s="35"/>
      <c r="EM253" s="35"/>
      <c r="EN253" s="35"/>
      <c r="EO253" s="35"/>
      <c r="EP253" s="35"/>
      <c r="EQ253" s="35"/>
      <c r="ER253" s="35"/>
      <c r="ES253" s="35"/>
      <c r="ET253" s="35"/>
      <c r="EU253" s="35"/>
      <c r="EV253" s="35"/>
      <c r="EW253" s="35"/>
      <c r="EX253" s="35"/>
      <c r="EY253" s="35"/>
      <c r="EZ253" s="35"/>
      <c r="FA253" s="35"/>
      <c r="FB253" s="35"/>
      <c r="FC253" s="35"/>
      <c r="FD253" s="35"/>
      <c r="FE253" s="35"/>
      <c r="FF253" s="35"/>
      <c r="FG253" s="35"/>
      <c r="FH253" s="35"/>
      <c r="FI253" s="35"/>
      <c r="FJ253" s="35">
        <v>-1</v>
      </c>
      <c r="FK253" s="35"/>
      <c r="FL253" s="35"/>
      <c r="FM253" s="35"/>
      <c r="FN253" s="35"/>
      <c r="FO253" s="35"/>
      <c r="FP253" s="35"/>
      <c r="FQ253" s="35"/>
      <c r="FR253" s="35"/>
      <c r="FS253" s="35"/>
      <c r="FT253" s="35"/>
      <c r="FU253" s="35"/>
      <c r="FV253" s="35"/>
      <c r="FW253" s="35"/>
      <c r="FX253" s="35"/>
      <c r="FY253" s="35"/>
      <c r="FZ253" s="35"/>
      <c r="GA253" s="35"/>
      <c r="GB253" s="318"/>
      <c r="GC253" s="178">
        <f t="shared" si="43"/>
        <v>0</v>
      </c>
      <c r="GD253" s="178">
        <f t="shared" si="44"/>
        <v>0</v>
      </c>
      <c r="GE253" s="178">
        <f t="shared" si="45"/>
        <v>0</v>
      </c>
      <c r="GF253" s="178">
        <f t="shared" si="46"/>
        <v>0</v>
      </c>
      <c r="GG253" s="178">
        <f t="shared" si="42"/>
        <v>0</v>
      </c>
    </row>
    <row r="254" spans="1:189" x14ac:dyDescent="0.35">
      <c r="A254" s="6" t="s">
        <v>1288</v>
      </c>
      <c r="B254" s="6" t="str">
        <f>IF(Technologies!B254&lt;&gt;0,Technologies!B254,"")</f>
        <v>Gebouwde omgeving</v>
      </c>
      <c r="C254" s="6" t="str">
        <f>VLOOKUP($A254,Technologies!$A$7:$H$576,3,FALSE)</f>
        <v>Conversion</v>
      </c>
      <c r="D254" s="6" t="str">
        <f>VLOOKUP($A254,Technologies!$A$7:$H$576,4,FALSE)</f>
        <v>Power NL</v>
      </c>
      <c r="E254" s="6" t="str">
        <f>VLOOKUP($A254,Technologies!$A$7:$H$576,6,FALSE)</f>
        <v>Electricity NL - LV</v>
      </c>
      <c r="F254" s="48" t="str">
        <f>VLOOKUP($A254,Technologies!$A$7:$H$576,7,FALSE)</f>
        <v>Solar PV - Residential- Power NL</v>
      </c>
      <c r="G254" s="22"/>
      <c r="H254" s="22"/>
      <c r="I254" s="103" cm="1">
        <f t="array" ref="I254">-SUMPRODUCT((Feedstocks!$C$4:$C$141=A254)*Feedstocks!$E$4:$E$141,Feedstocks!$F$4:$F$141,Feedstocks!$H$4:$H$141,Feedstocks!$I$4:$I$141)</f>
        <v>0</v>
      </c>
      <c r="J254" s="103" cm="1">
        <f t="array" ref="J254">-SUMPRODUCT((Feedstocks!$C$4:$C$141=A254)*Feedstocks!$E$4:$E$141,Feedstocks!$H$4:$H$141,Feedstocks!$I$4:$I$141)</f>
        <v>0</v>
      </c>
      <c r="K254" s="103"/>
      <c r="L254" s="103"/>
      <c r="M254" s="22">
        <v>1</v>
      </c>
      <c r="N254" s="22" t="str">
        <f>VLOOKUP(E254,Activities!$A$9:$M$227,13,FALSE)</f>
        <v>NL</v>
      </c>
      <c r="O254" s="22"/>
      <c r="P254" s="80" t="s">
        <v>415</v>
      </c>
      <c r="Q254" s="36"/>
      <c r="R254" s="36"/>
      <c r="S254" s="36"/>
      <c r="T254" s="36"/>
      <c r="U254" s="36"/>
      <c r="V254" s="36"/>
      <c r="W254" s="36"/>
      <c r="X254" s="36"/>
      <c r="Y254" s="36"/>
      <c r="Z254" s="36"/>
      <c r="AA254" s="36"/>
      <c r="AB254" s="36"/>
      <c r="AC254" s="36"/>
      <c r="AD254" s="36"/>
      <c r="AE254" s="36"/>
      <c r="AF254" s="35"/>
      <c r="AG254" s="35"/>
      <c r="AH254" s="35"/>
      <c r="AI254" s="35"/>
      <c r="AJ254" s="35"/>
      <c r="AK254" s="35"/>
      <c r="AL254" s="35"/>
      <c r="AM254" s="35"/>
      <c r="AN254" s="35"/>
      <c r="AO254" s="35"/>
      <c r="AP254" s="36"/>
      <c r="AQ254" s="36"/>
      <c r="AR254" s="36"/>
      <c r="AS254" s="36"/>
      <c r="AT254" s="36"/>
      <c r="AU254" s="36"/>
      <c r="AV254" s="36"/>
      <c r="AW254" s="36"/>
      <c r="AX254" s="36"/>
      <c r="AY254" s="36"/>
      <c r="AZ254" s="36"/>
      <c r="BA254" s="36"/>
      <c r="BB254" s="36"/>
      <c r="BC254" s="36"/>
      <c r="BD254" s="36"/>
      <c r="BE254" s="36"/>
      <c r="BF254" s="36"/>
      <c r="BG254" s="36"/>
      <c r="BH254" s="36"/>
      <c r="BI254" s="36"/>
      <c r="BJ254" s="36"/>
      <c r="BK254" s="36"/>
      <c r="BL254" s="36"/>
      <c r="BM254" s="36"/>
      <c r="BN254" s="36"/>
      <c r="BO254" s="36"/>
      <c r="BP254" s="36"/>
      <c r="BQ254" s="36"/>
      <c r="BR254" s="36"/>
      <c r="BS254" s="36"/>
      <c r="BT254" s="36"/>
      <c r="BU254" s="36"/>
      <c r="BV254" s="36"/>
      <c r="BW254" s="36"/>
      <c r="BX254" s="36"/>
      <c r="BY254" s="36"/>
      <c r="BZ254" s="36"/>
      <c r="CA254" s="36"/>
      <c r="CB254" s="36"/>
      <c r="CC254" s="36"/>
      <c r="CD254" s="36"/>
      <c r="CE254" s="36"/>
      <c r="CF254" s="36"/>
      <c r="CG254" s="36"/>
      <c r="CH254" s="36"/>
      <c r="CI254" s="36"/>
      <c r="CJ254" s="36"/>
      <c r="CK254" s="36"/>
      <c r="CL254" s="36"/>
      <c r="CM254" s="36"/>
      <c r="CN254" s="36"/>
      <c r="CO254" s="36"/>
      <c r="CP254" s="36"/>
      <c r="CQ254" s="36"/>
      <c r="CR254" s="36"/>
      <c r="CS254" s="36"/>
      <c r="CT254" s="36"/>
      <c r="CU254" s="36"/>
      <c r="CV254" s="36"/>
      <c r="CW254" s="36"/>
      <c r="CX254" s="36"/>
      <c r="CY254" s="36"/>
      <c r="CZ254" s="36"/>
      <c r="DA254" s="36"/>
      <c r="DB254" s="36"/>
      <c r="DC254" s="36"/>
      <c r="DD254" s="36"/>
      <c r="DE254" s="36"/>
      <c r="DF254" s="36"/>
      <c r="DG254" s="36"/>
      <c r="DH254" s="36"/>
      <c r="DI254" s="36">
        <v>1</v>
      </c>
      <c r="DJ254" s="36"/>
      <c r="DK254" s="36"/>
      <c r="DL254" s="36"/>
      <c r="DM254" s="36"/>
      <c r="DN254" s="36"/>
      <c r="DO254" s="36"/>
      <c r="DP254" s="36"/>
      <c r="DQ254" s="36"/>
      <c r="DR254" s="36"/>
      <c r="DS254" s="36"/>
      <c r="DT254" s="36"/>
      <c r="DU254" s="36"/>
      <c r="DV254" s="36"/>
      <c r="DW254" s="36"/>
      <c r="DX254" s="36"/>
      <c r="DY254" s="36"/>
      <c r="DZ254" s="36"/>
      <c r="EA254" s="36"/>
      <c r="EB254" s="36"/>
      <c r="EC254" s="36"/>
      <c r="ED254" s="36"/>
      <c r="EE254" s="36"/>
      <c r="EF254" s="36"/>
      <c r="EG254" s="36"/>
      <c r="EH254" s="36"/>
      <c r="EI254" s="36"/>
      <c r="EJ254" s="36"/>
      <c r="EK254" s="36"/>
      <c r="EL254" s="36"/>
      <c r="EM254" s="36"/>
      <c r="EN254" s="36"/>
      <c r="EO254" s="36"/>
      <c r="EP254" s="36"/>
      <c r="EQ254" s="36"/>
      <c r="ER254" s="36"/>
      <c r="ES254" s="36"/>
      <c r="ET254" s="36"/>
      <c r="EU254" s="36"/>
      <c r="EV254" s="36"/>
      <c r="EW254" s="36"/>
      <c r="EX254" s="36"/>
      <c r="EY254" s="36"/>
      <c r="EZ254" s="36"/>
      <c r="FA254" s="36"/>
      <c r="FB254" s="36"/>
      <c r="FC254" s="36"/>
      <c r="FD254" s="36"/>
      <c r="FE254" s="36"/>
      <c r="FF254" s="36"/>
      <c r="FG254" s="36"/>
      <c r="FH254" s="36"/>
      <c r="FI254" s="36"/>
      <c r="FJ254" s="36"/>
      <c r="FK254" s="36">
        <v>-1</v>
      </c>
      <c r="FL254" s="36"/>
      <c r="FM254" s="36"/>
      <c r="FN254" s="36"/>
      <c r="FO254" s="36"/>
      <c r="FP254" s="36"/>
      <c r="FQ254" s="36"/>
      <c r="FR254" s="36"/>
      <c r="FS254" s="36"/>
      <c r="FT254" s="36"/>
      <c r="FU254" s="36"/>
      <c r="FV254" s="36"/>
      <c r="FW254" s="36"/>
      <c r="FX254" s="36"/>
      <c r="FY254" s="36"/>
      <c r="FZ254" s="36"/>
      <c r="GA254" s="36"/>
      <c r="GB254" s="319"/>
      <c r="GC254" s="179">
        <f t="shared" si="43"/>
        <v>0</v>
      </c>
      <c r="GD254" s="179">
        <f t="shared" si="44"/>
        <v>0</v>
      </c>
      <c r="GE254" s="179">
        <f t="shared" si="45"/>
        <v>0</v>
      </c>
      <c r="GF254" s="179">
        <f t="shared" si="46"/>
        <v>0</v>
      </c>
      <c r="GG254" s="179">
        <f t="shared" si="42"/>
        <v>0</v>
      </c>
    </row>
    <row r="255" spans="1:189" x14ac:dyDescent="0.35">
      <c r="A255" s="5" t="s">
        <v>1291</v>
      </c>
      <c r="B255" s="5" t="str">
        <f>IF(Technologies!B255&lt;&gt;0,Technologies!B255,"")</f>
        <v>Gebouwde omgeving</v>
      </c>
      <c r="C255" s="5" t="str">
        <f>VLOOKUP($A255,Technologies!$A$7:$H$576,3,FALSE)</f>
        <v>Conversion</v>
      </c>
      <c r="D255" s="5" t="str">
        <f>VLOOKUP($A255,Technologies!$A$7:$H$576,4,FALSE)</f>
        <v>Power NL</v>
      </c>
      <c r="E255" s="5" t="str">
        <f>VLOOKUP($A255,Technologies!$A$7:$H$576,6,FALSE)</f>
        <v>Electricity NL - LV</v>
      </c>
      <c r="F255" s="5" t="str">
        <f>VLOOKUP($A255,Technologies!$A$7:$H$576,7,FALSE)</f>
        <v>Solar PV - Services - Power NL</v>
      </c>
      <c r="G255" s="23"/>
      <c r="H255" s="23"/>
      <c r="I255" s="104" cm="1">
        <f t="array" ref="I255">-SUMPRODUCT((Feedstocks!$C$4:$C$141=A255)*Feedstocks!$E$4:$E$141,Feedstocks!$F$4:$F$141,Feedstocks!$H$4:$H$141,Feedstocks!$I$4:$I$141)</f>
        <v>0</v>
      </c>
      <c r="J255" s="104" cm="1">
        <f t="array" ref="J255">-SUMPRODUCT((Feedstocks!$C$4:$C$141=A255)*Feedstocks!$E$4:$E$141,Feedstocks!$H$4:$H$141,Feedstocks!$I$4:$I$141)</f>
        <v>0</v>
      </c>
      <c r="K255" s="104"/>
      <c r="L255" s="104"/>
      <c r="M255" s="23">
        <v>1</v>
      </c>
      <c r="N255" s="23" t="str">
        <f>VLOOKUP(E255,Activities!$A$9:$M$227,13,FALSE)</f>
        <v>NL</v>
      </c>
      <c r="O255" s="23"/>
      <c r="P255" s="79" t="s">
        <v>415</v>
      </c>
      <c r="Q255" s="35"/>
      <c r="R255" s="35"/>
      <c r="S255" s="35"/>
      <c r="T255" s="35"/>
      <c r="U255" s="35"/>
      <c r="V255" s="35"/>
      <c r="W255" s="35"/>
      <c r="X255" s="35"/>
      <c r="Y255" s="35"/>
      <c r="Z255" s="35"/>
      <c r="AA255" s="35"/>
      <c r="AB255" s="35"/>
      <c r="AC255" s="35"/>
      <c r="AD255" s="35"/>
      <c r="AE255" s="35"/>
      <c r="AF255" s="36"/>
      <c r="AG255" s="36"/>
      <c r="AH255" s="36"/>
      <c r="AI255" s="36"/>
      <c r="AJ255" s="36"/>
      <c r="AK255" s="36"/>
      <c r="AL255" s="36"/>
      <c r="AM255" s="36"/>
      <c r="AN255" s="36"/>
      <c r="AO255" s="36"/>
      <c r="AP255" s="35"/>
      <c r="AQ255" s="35"/>
      <c r="AR255" s="35"/>
      <c r="AS255" s="35"/>
      <c r="AT255" s="35"/>
      <c r="AU255" s="35"/>
      <c r="AV255" s="35"/>
      <c r="AW255" s="35"/>
      <c r="AX255" s="35"/>
      <c r="AY255" s="35"/>
      <c r="AZ255" s="35"/>
      <c r="BA255" s="35"/>
      <c r="BB255" s="35"/>
      <c r="BC255" s="35"/>
      <c r="BD255" s="35"/>
      <c r="BE255" s="35"/>
      <c r="BF255" s="35"/>
      <c r="BG255" s="35"/>
      <c r="BH255" s="35"/>
      <c r="BI255" s="35"/>
      <c r="BJ255" s="35"/>
      <c r="BK255" s="35"/>
      <c r="BL255" s="35"/>
      <c r="BM255" s="35"/>
      <c r="BN255" s="35"/>
      <c r="BO255" s="35"/>
      <c r="BP255" s="35"/>
      <c r="BQ255" s="35"/>
      <c r="BR255" s="35"/>
      <c r="BS255" s="35"/>
      <c r="BT255" s="35"/>
      <c r="BU255" s="35"/>
      <c r="BV255" s="35"/>
      <c r="BW255" s="35"/>
      <c r="BX255" s="35"/>
      <c r="BY255" s="35"/>
      <c r="BZ255" s="35"/>
      <c r="CA255" s="35"/>
      <c r="CB255" s="35"/>
      <c r="CC255" s="35"/>
      <c r="CD255" s="35"/>
      <c r="CE255" s="35"/>
      <c r="CF255" s="35"/>
      <c r="CG255" s="35"/>
      <c r="CH255" s="35"/>
      <c r="CI255" s="35"/>
      <c r="CJ255" s="35"/>
      <c r="CK255" s="35"/>
      <c r="CL255" s="35"/>
      <c r="CM255" s="35"/>
      <c r="CN255" s="35"/>
      <c r="CO255" s="35"/>
      <c r="CP255" s="35"/>
      <c r="CQ255" s="35"/>
      <c r="CR255" s="35"/>
      <c r="CS255" s="35"/>
      <c r="CT255" s="35"/>
      <c r="CU255" s="35"/>
      <c r="CV255" s="35"/>
      <c r="CW255" s="35"/>
      <c r="CX255" s="35"/>
      <c r="CY255" s="35"/>
      <c r="CZ255" s="35"/>
      <c r="DA255" s="35"/>
      <c r="DB255" s="35"/>
      <c r="DC255" s="35"/>
      <c r="DD255" s="35"/>
      <c r="DE255" s="35"/>
      <c r="DF255" s="35"/>
      <c r="DG255" s="35"/>
      <c r="DH255" s="35"/>
      <c r="DI255" s="35">
        <v>1</v>
      </c>
      <c r="DJ255" s="35"/>
      <c r="DK255" s="35"/>
      <c r="DL255" s="35"/>
      <c r="DM255" s="35"/>
      <c r="DN255" s="35"/>
      <c r="DO255" s="35"/>
      <c r="DP255" s="35"/>
      <c r="DQ255" s="35"/>
      <c r="DR255" s="35"/>
      <c r="DS255" s="35"/>
      <c r="DT255" s="35"/>
      <c r="DU255" s="35"/>
      <c r="DV255" s="35"/>
      <c r="DW255" s="35"/>
      <c r="DX255" s="35"/>
      <c r="DY255" s="35"/>
      <c r="DZ255" s="35"/>
      <c r="EA255" s="35"/>
      <c r="EB255" s="35"/>
      <c r="EC255" s="35"/>
      <c r="ED255" s="35"/>
      <c r="EE255" s="35"/>
      <c r="EF255" s="35"/>
      <c r="EG255" s="35"/>
      <c r="EH255" s="35"/>
      <c r="EI255" s="35"/>
      <c r="EJ255" s="35"/>
      <c r="EK255" s="35"/>
      <c r="EL255" s="35"/>
      <c r="EM255" s="35"/>
      <c r="EN255" s="35"/>
      <c r="EO255" s="35"/>
      <c r="EP255" s="35"/>
      <c r="EQ255" s="35"/>
      <c r="ER255" s="35"/>
      <c r="ES255" s="35"/>
      <c r="ET255" s="35"/>
      <c r="EU255" s="35"/>
      <c r="EV255" s="35"/>
      <c r="EW255" s="35"/>
      <c r="EX255" s="35"/>
      <c r="EY255" s="35"/>
      <c r="EZ255" s="35"/>
      <c r="FA255" s="35"/>
      <c r="FB255" s="35"/>
      <c r="FC255" s="35"/>
      <c r="FD255" s="35"/>
      <c r="FE255" s="35"/>
      <c r="FF255" s="35"/>
      <c r="FG255" s="35"/>
      <c r="FH255" s="35"/>
      <c r="FI255" s="35"/>
      <c r="FJ255" s="35"/>
      <c r="FK255" s="35">
        <v>-1</v>
      </c>
      <c r="FL255" s="35"/>
      <c r="FM255" s="35"/>
      <c r="FN255" s="35"/>
      <c r="FO255" s="35"/>
      <c r="FP255" s="35"/>
      <c r="FQ255" s="35"/>
      <c r="FR255" s="35"/>
      <c r="FS255" s="35"/>
      <c r="FT255" s="35"/>
      <c r="FU255" s="35"/>
      <c r="FV255" s="35"/>
      <c r="FW255" s="35"/>
      <c r="FX255" s="35"/>
      <c r="FY255" s="35"/>
      <c r="FZ255" s="35"/>
      <c r="GA255" s="35"/>
      <c r="GB255" s="318"/>
      <c r="GC255" s="178">
        <f t="shared" si="43"/>
        <v>0</v>
      </c>
      <c r="GD255" s="178">
        <f t="shared" si="44"/>
        <v>0</v>
      </c>
      <c r="GE255" s="178">
        <f t="shared" si="45"/>
        <v>0</v>
      </c>
      <c r="GF255" s="178">
        <f t="shared" si="46"/>
        <v>0</v>
      </c>
      <c r="GG255" s="178">
        <f t="shared" si="42"/>
        <v>0</v>
      </c>
    </row>
    <row r="256" spans="1:189" x14ac:dyDescent="0.35">
      <c r="A256" s="6" t="s">
        <v>1293</v>
      </c>
      <c r="B256" s="6" t="str">
        <f>IF(Technologies!B256&lt;&gt;0,Technologies!B256,"")</f>
        <v>Landbouw</v>
      </c>
      <c r="C256" s="6" t="str">
        <f>VLOOKUP($A256,Technologies!$A$7:$H$576,3,FALSE)</f>
        <v>Conversion</v>
      </c>
      <c r="D256" s="6" t="str">
        <f>VLOOKUP($A256,Technologies!$A$7:$H$576,4,FALSE)</f>
        <v>Power NL</v>
      </c>
      <c r="E256" s="6" t="str">
        <f>VLOOKUP($A256,Technologies!$A$7:$H$576,6,FALSE)</f>
        <v>Electricity NL - LV</v>
      </c>
      <c r="F256" s="48" t="str">
        <f>VLOOKUP($A256,Technologies!$A$7:$H$576,7,FALSE)</f>
        <v>Solar PV - Agriculture - Power NL</v>
      </c>
      <c r="G256" s="22"/>
      <c r="H256" s="22"/>
      <c r="I256" s="103" cm="1">
        <f t="array" ref="I256">-SUMPRODUCT((Feedstocks!$C$4:$C$141=A256)*Feedstocks!$E$4:$E$141,Feedstocks!$F$4:$F$141,Feedstocks!$H$4:$H$141,Feedstocks!$I$4:$I$141)</f>
        <v>0</v>
      </c>
      <c r="J256" s="103" cm="1">
        <f t="array" ref="J256">-SUMPRODUCT((Feedstocks!$C$4:$C$141=A256)*Feedstocks!$E$4:$E$141,Feedstocks!$H$4:$H$141,Feedstocks!$I$4:$I$141)</f>
        <v>0</v>
      </c>
      <c r="K256" s="103"/>
      <c r="L256" s="103"/>
      <c r="M256" s="22">
        <v>1</v>
      </c>
      <c r="N256" s="22" t="str">
        <f>VLOOKUP(E256,Activities!$A$9:$M$227,13,FALSE)</f>
        <v>NL</v>
      </c>
      <c r="O256" s="22"/>
      <c r="P256" s="80" t="s">
        <v>415</v>
      </c>
      <c r="Q256" s="36"/>
      <c r="R256" s="36"/>
      <c r="S256" s="36"/>
      <c r="T256" s="36"/>
      <c r="U256" s="36"/>
      <c r="V256" s="36"/>
      <c r="W256" s="36"/>
      <c r="X256" s="36"/>
      <c r="Y256" s="36"/>
      <c r="Z256" s="36"/>
      <c r="AA256" s="36"/>
      <c r="AB256" s="36"/>
      <c r="AC256" s="36"/>
      <c r="AD256" s="36"/>
      <c r="AE256" s="36"/>
      <c r="AF256" s="35"/>
      <c r="AG256" s="35"/>
      <c r="AH256" s="35"/>
      <c r="AI256" s="35"/>
      <c r="AJ256" s="35"/>
      <c r="AK256" s="35"/>
      <c r="AL256" s="35"/>
      <c r="AM256" s="35"/>
      <c r="AN256" s="35"/>
      <c r="AO256" s="35"/>
      <c r="AP256" s="36"/>
      <c r="AQ256" s="36"/>
      <c r="AR256" s="36"/>
      <c r="AS256" s="36"/>
      <c r="AT256" s="36"/>
      <c r="AU256" s="36"/>
      <c r="AV256" s="36"/>
      <c r="AW256" s="36"/>
      <c r="AX256" s="36"/>
      <c r="AY256" s="36"/>
      <c r="AZ256" s="36"/>
      <c r="BA256" s="36"/>
      <c r="BB256" s="36"/>
      <c r="BC256" s="36"/>
      <c r="BD256" s="36"/>
      <c r="BE256" s="36"/>
      <c r="BF256" s="36"/>
      <c r="BG256" s="36"/>
      <c r="BH256" s="36"/>
      <c r="BI256" s="36"/>
      <c r="BJ256" s="36"/>
      <c r="BK256" s="36"/>
      <c r="BL256" s="36"/>
      <c r="BM256" s="36"/>
      <c r="BN256" s="36"/>
      <c r="BO256" s="36"/>
      <c r="BP256" s="36"/>
      <c r="BQ256" s="36"/>
      <c r="BR256" s="36"/>
      <c r="BS256" s="36"/>
      <c r="BT256" s="36"/>
      <c r="BU256" s="36"/>
      <c r="BV256" s="36"/>
      <c r="BW256" s="36"/>
      <c r="BX256" s="36"/>
      <c r="BY256" s="36"/>
      <c r="BZ256" s="36"/>
      <c r="CA256" s="36"/>
      <c r="CB256" s="36"/>
      <c r="CC256" s="36"/>
      <c r="CD256" s="36"/>
      <c r="CE256" s="36"/>
      <c r="CF256" s="36"/>
      <c r="CG256" s="36"/>
      <c r="CH256" s="36"/>
      <c r="CI256" s="36"/>
      <c r="CJ256" s="36"/>
      <c r="CK256" s="36"/>
      <c r="CL256" s="36"/>
      <c r="CM256" s="36"/>
      <c r="CN256" s="36"/>
      <c r="CO256" s="36"/>
      <c r="CP256" s="36"/>
      <c r="CQ256" s="36"/>
      <c r="CR256" s="36"/>
      <c r="CS256" s="36"/>
      <c r="CT256" s="36"/>
      <c r="CU256" s="36"/>
      <c r="CV256" s="36"/>
      <c r="CW256" s="36"/>
      <c r="CX256" s="36"/>
      <c r="CY256" s="36"/>
      <c r="CZ256" s="36"/>
      <c r="DA256" s="36"/>
      <c r="DB256" s="36"/>
      <c r="DC256" s="36"/>
      <c r="DD256" s="36"/>
      <c r="DE256" s="36"/>
      <c r="DF256" s="36"/>
      <c r="DG256" s="36"/>
      <c r="DH256" s="36"/>
      <c r="DI256" s="36">
        <v>1</v>
      </c>
      <c r="DJ256" s="36"/>
      <c r="DK256" s="36"/>
      <c r="DL256" s="36"/>
      <c r="DM256" s="36"/>
      <c r="DN256" s="36"/>
      <c r="DO256" s="36"/>
      <c r="DP256" s="36"/>
      <c r="DQ256" s="36"/>
      <c r="DR256" s="36"/>
      <c r="DS256" s="36"/>
      <c r="DT256" s="36"/>
      <c r="DU256" s="36"/>
      <c r="DV256" s="36"/>
      <c r="DW256" s="36"/>
      <c r="DX256" s="36"/>
      <c r="DY256" s="36"/>
      <c r="DZ256" s="36"/>
      <c r="EA256" s="36"/>
      <c r="EB256" s="36"/>
      <c r="EC256" s="36"/>
      <c r="ED256" s="36"/>
      <c r="EE256" s="36"/>
      <c r="EF256" s="36"/>
      <c r="EG256" s="36"/>
      <c r="EH256" s="36"/>
      <c r="EI256" s="36"/>
      <c r="EJ256" s="36"/>
      <c r="EK256" s="36"/>
      <c r="EL256" s="36"/>
      <c r="EM256" s="36"/>
      <c r="EN256" s="36"/>
      <c r="EO256" s="36"/>
      <c r="EP256" s="36"/>
      <c r="EQ256" s="36"/>
      <c r="ER256" s="36"/>
      <c r="ES256" s="36"/>
      <c r="ET256" s="36"/>
      <c r="EU256" s="36"/>
      <c r="EV256" s="36"/>
      <c r="EW256" s="36"/>
      <c r="EX256" s="36"/>
      <c r="EY256" s="36"/>
      <c r="EZ256" s="36"/>
      <c r="FA256" s="36"/>
      <c r="FB256" s="36"/>
      <c r="FC256" s="36"/>
      <c r="FD256" s="36"/>
      <c r="FE256" s="36"/>
      <c r="FF256" s="36"/>
      <c r="FG256" s="36"/>
      <c r="FH256" s="36"/>
      <c r="FI256" s="36"/>
      <c r="FJ256" s="36"/>
      <c r="FK256" s="36">
        <v>-1</v>
      </c>
      <c r="FL256" s="36"/>
      <c r="FM256" s="36"/>
      <c r="FN256" s="36"/>
      <c r="FO256" s="36"/>
      <c r="FP256" s="36"/>
      <c r="FQ256" s="36"/>
      <c r="FR256" s="36"/>
      <c r="FS256" s="36"/>
      <c r="FT256" s="36"/>
      <c r="FU256" s="36"/>
      <c r="FV256" s="36"/>
      <c r="FW256" s="36"/>
      <c r="FX256" s="36"/>
      <c r="FY256" s="36"/>
      <c r="FZ256" s="36"/>
      <c r="GA256" s="36"/>
      <c r="GB256" s="319"/>
      <c r="GC256" s="179">
        <f t="shared" si="43"/>
        <v>0</v>
      </c>
      <c r="GD256" s="179">
        <f t="shared" si="44"/>
        <v>0</v>
      </c>
      <c r="GE256" s="179">
        <f t="shared" si="45"/>
        <v>0</v>
      </c>
      <c r="GF256" s="179">
        <f t="shared" si="46"/>
        <v>0</v>
      </c>
      <c r="GG256" s="179">
        <f t="shared" si="42"/>
        <v>0</v>
      </c>
    </row>
    <row r="257" spans="1:189" x14ac:dyDescent="0.35">
      <c r="A257" s="5" t="s">
        <v>1295</v>
      </c>
      <c r="B257" s="5" t="str">
        <f>IF(Technologies!B257&lt;&gt;0,Technologies!B257,"")</f>
        <v>Industrie</v>
      </c>
      <c r="C257" s="5" t="str">
        <f>VLOOKUP($A257,Technologies!$A$7:$H$576,3,FALSE)</f>
        <v>Conversion</v>
      </c>
      <c r="D257" s="5" t="str">
        <f>VLOOKUP($A257,Technologies!$A$7:$H$576,4,FALSE)</f>
        <v>Power NL</v>
      </c>
      <c r="E257" s="5" t="str">
        <f>VLOOKUP($A257,Technologies!$A$7:$H$576,6,FALSE)</f>
        <v>Electricity NL - HV</v>
      </c>
      <c r="F257" s="5" t="str">
        <f>VLOOKUP($A257,Technologies!$A$7:$H$576,7,FALSE)</f>
        <v>Solar PV - Industry - Power NL</v>
      </c>
      <c r="G257" s="23"/>
      <c r="H257" s="23"/>
      <c r="I257" s="104" cm="1">
        <f t="array" ref="I257">-SUMPRODUCT((Feedstocks!$C$4:$C$141=A257)*Feedstocks!$E$4:$E$141,Feedstocks!$F$4:$F$141,Feedstocks!$H$4:$H$141,Feedstocks!$I$4:$I$141)</f>
        <v>0</v>
      </c>
      <c r="J257" s="104" cm="1">
        <f t="array" ref="J257">-SUMPRODUCT((Feedstocks!$C$4:$C$141=A257)*Feedstocks!$E$4:$E$141,Feedstocks!$H$4:$H$141,Feedstocks!$I$4:$I$141)</f>
        <v>0</v>
      </c>
      <c r="K257" s="104"/>
      <c r="L257" s="104"/>
      <c r="M257" s="23">
        <v>1</v>
      </c>
      <c r="N257" s="23" t="str">
        <f>VLOOKUP(E257,Activities!$A$9:$M$227,13,FALSE)</f>
        <v>NL</v>
      </c>
      <c r="O257" s="23"/>
      <c r="P257" s="79" t="s">
        <v>415</v>
      </c>
      <c r="Q257" s="35"/>
      <c r="R257" s="35"/>
      <c r="S257" s="35"/>
      <c r="T257" s="35"/>
      <c r="U257" s="35"/>
      <c r="V257" s="35"/>
      <c r="W257" s="35"/>
      <c r="X257" s="35"/>
      <c r="Y257" s="35"/>
      <c r="Z257" s="35"/>
      <c r="AA257" s="35"/>
      <c r="AB257" s="35"/>
      <c r="AC257" s="35"/>
      <c r="AD257" s="35"/>
      <c r="AE257" s="35"/>
      <c r="AF257" s="36"/>
      <c r="AG257" s="36"/>
      <c r="AH257" s="36"/>
      <c r="AI257" s="36"/>
      <c r="AJ257" s="36"/>
      <c r="AK257" s="36"/>
      <c r="AL257" s="36"/>
      <c r="AM257" s="36"/>
      <c r="AN257" s="36"/>
      <c r="AO257" s="36"/>
      <c r="AP257" s="35"/>
      <c r="AQ257" s="35"/>
      <c r="AR257" s="35"/>
      <c r="AS257" s="35"/>
      <c r="AT257" s="35"/>
      <c r="AU257" s="35"/>
      <c r="AV257" s="35"/>
      <c r="AW257" s="35"/>
      <c r="AX257" s="35"/>
      <c r="AY257" s="35"/>
      <c r="AZ257" s="35"/>
      <c r="BA257" s="35"/>
      <c r="BB257" s="35"/>
      <c r="BC257" s="35"/>
      <c r="BD257" s="35"/>
      <c r="BE257" s="35"/>
      <c r="BF257" s="35"/>
      <c r="BG257" s="35"/>
      <c r="BH257" s="35"/>
      <c r="BI257" s="35"/>
      <c r="BJ257" s="35"/>
      <c r="BK257" s="35"/>
      <c r="BL257" s="35"/>
      <c r="BM257" s="35"/>
      <c r="BN257" s="35"/>
      <c r="BO257" s="35"/>
      <c r="BP257" s="35"/>
      <c r="BQ257" s="35"/>
      <c r="BR257" s="35"/>
      <c r="BS257" s="35"/>
      <c r="BT257" s="35"/>
      <c r="BU257" s="35"/>
      <c r="BV257" s="35"/>
      <c r="BW257" s="35"/>
      <c r="BX257" s="35"/>
      <c r="BY257" s="35"/>
      <c r="BZ257" s="35"/>
      <c r="CA257" s="35"/>
      <c r="CB257" s="35"/>
      <c r="CC257" s="35"/>
      <c r="CD257" s="35"/>
      <c r="CE257" s="35"/>
      <c r="CF257" s="35"/>
      <c r="CG257" s="35"/>
      <c r="CH257" s="35"/>
      <c r="CI257" s="35"/>
      <c r="CJ257" s="35"/>
      <c r="CK257" s="35"/>
      <c r="CL257" s="35"/>
      <c r="CM257" s="35"/>
      <c r="CN257" s="35"/>
      <c r="CO257" s="35"/>
      <c r="CP257" s="35"/>
      <c r="CQ257" s="35"/>
      <c r="CR257" s="35"/>
      <c r="CS257" s="35"/>
      <c r="CT257" s="35"/>
      <c r="CU257" s="35"/>
      <c r="CV257" s="35"/>
      <c r="CW257" s="35"/>
      <c r="CX257" s="35"/>
      <c r="CY257" s="35"/>
      <c r="CZ257" s="35"/>
      <c r="DA257" s="35"/>
      <c r="DB257" s="35"/>
      <c r="DC257" s="35"/>
      <c r="DD257" s="35"/>
      <c r="DE257" s="35"/>
      <c r="DF257" s="35"/>
      <c r="DG257" s="35"/>
      <c r="DH257" s="35">
        <v>1</v>
      </c>
      <c r="DI257" s="35"/>
      <c r="DJ257" s="35"/>
      <c r="DK257" s="35"/>
      <c r="DL257" s="35"/>
      <c r="DM257" s="35"/>
      <c r="DN257" s="35"/>
      <c r="DO257" s="35"/>
      <c r="DP257" s="35"/>
      <c r="DQ257" s="35"/>
      <c r="DR257" s="35"/>
      <c r="DS257" s="35"/>
      <c r="DT257" s="35"/>
      <c r="DU257" s="35"/>
      <c r="DV257" s="35"/>
      <c r="DW257" s="35"/>
      <c r="DX257" s="35"/>
      <c r="DY257" s="35"/>
      <c r="DZ257" s="35"/>
      <c r="EA257" s="35"/>
      <c r="EB257" s="35"/>
      <c r="EC257" s="35"/>
      <c r="ED257" s="35"/>
      <c r="EE257" s="35"/>
      <c r="EF257" s="35"/>
      <c r="EG257" s="35"/>
      <c r="EH257" s="35"/>
      <c r="EI257" s="35"/>
      <c r="EJ257" s="35"/>
      <c r="EK257" s="35"/>
      <c r="EL257" s="35"/>
      <c r="EM257" s="35"/>
      <c r="EN257" s="35"/>
      <c r="EO257" s="35"/>
      <c r="EP257" s="35"/>
      <c r="EQ257" s="35"/>
      <c r="ER257" s="35"/>
      <c r="ES257" s="35"/>
      <c r="ET257" s="35"/>
      <c r="EU257" s="35"/>
      <c r="EV257" s="35"/>
      <c r="EW257" s="35"/>
      <c r="EX257" s="35"/>
      <c r="EY257" s="35"/>
      <c r="EZ257" s="35"/>
      <c r="FA257" s="35"/>
      <c r="FB257" s="35"/>
      <c r="FC257" s="35"/>
      <c r="FD257" s="35"/>
      <c r="FE257" s="35"/>
      <c r="FF257" s="35"/>
      <c r="FG257" s="35"/>
      <c r="FH257" s="35"/>
      <c r="FI257" s="35"/>
      <c r="FJ257" s="35"/>
      <c r="FK257" s="35">
        <v>-1</v>
      </c>
      <c r="FL257" s="35"/>
      <c r="FM257" s="35"/>
      <c r="FN257" s="35"/>
      <c r="FO257" s="35"/>
      <c r="FP257" s="35"/>
      <c r="FQ257" s="35"/>
      <c r="FR257" s="35"/>
      <c r="FS257" s="35"/>
      <c r="FT257" s="35"/>
      <c r="FU257" s="35"/>
      <c r="FV257" s="35"/>
      <c r="FW257" s="35"/>
      <c r="FX257" s="35"/>
      <c r="FY257" s="35"/>
      <c r="FZ257" s="35"/>
      <c r="GA257" s="35"/>
      <c r="GB257" s="318"/>
      <c r="GC257" s="178">
        <f t="shared" ref="GC257:GC288" si="47">ROUND(IF($C257="Primary",0,-$G257*(SUMPRODUCT($Q$4:$GA$4,$Q257:$GA257)+$J257)-$H257)*IF($N257=GC$4,1,0),4)</f>
        <v>0</v>
      </c>
      <c r="GD257" s="178">
        <f t="shared" ref="GD257:GD288" si="48">ROUND(IF($C257="Primary",0,$M257*(1-$O257)*($G257*(SUMPRODUCT($Q$4:$GA$4,$Q257:$GA257)+$J257)+$H257-SUMPRODUCT($Q$5:$GA$5,$Q257:$GA257)-$I257+$K257))*IF($N257=GD$4,1,0),4)</f>
        <v>0</v>
      </c>
      <c r="GE257" s="178">
        <f t="shared" ref="GE257:GE288" si="49">ROUND(IF($C257="Primary",0,(1-$M257)*(1-$O257)*($G257*(SUMPRODUCT($Q$4:$GA$4,$Q257:$GA257)+$J257)+$H257-SUMPRODUCT($Q$5:$GA$5,$Q257:$GA257)-$I257+$L257))*IF($N257=GD$4,1,0),4)</f>
        <v>0</v>
      </c>
      <c r="GF257" s="178">
        <f t="shared" ref="GF257:GF288" si="50">ROUND(IF($C257="Primary",0,$O257*($G257*(SUMPRODUCT($Q$4:$GA$4,$Q257:$GA257)+$J257)-SUMPRODUCT($Q$5:$GA$5,$Q257:$GA257)-$I257))*IF($N257=GD$4,1,0),4)</f>
        <v>0</v>
      </c>
      <c r="GG257" s="178">
        <f t="shared" si="42"/>
        <v>0</v>
      </c>
    </row>
    <row r="258" spans="1:189" x14ac:dyDescent="0.35">
      <c r="A258" s="6" t="s">
        <v>1297</v>
      </c>
      <c r="B258" s="6" t="str">
        <f>IF(Technologies!B258&lt;&gt;0,Technologies!B258,"")</f>
        <v>Elektriciteit</v>
      </c>
      <c r="C258" s="6" t="str">
        <f>VLOOKUP($A258,Technologies!$A$7:$H$576,3,FALSE)</f>
        <v>Conversion</v>
      </c>
      <c r="D258" s="6" t="str">
        <f>VLOOKUP($A258,Technologies!$A$7:$H$576,4,FALSE)</f>
        <v>Power NL</v>
      </c>
      <c r="E258" s="6" t="str">
        <f>VLOOKUP($A258,Technologies!$A$7:$H$576,6,FALSE)</f>
        <v>Electricity NL - HV</v>
      </c>
      <c r="F258" s="48" t="str">
        <f>VLOOKUP($A258,Technologies!$A$7:$H$576,7,FALSE)</f>
        <v>Solar PV - Floating - Power NL</v>
      </c>
      <c r="G258" s="22"/>
      <c r="H258" s="22"/>
      <c r="I258" s="103" cm="1">
        <f t="array" ref="I258">-SUMPRODUCT((Feedstocks!$C$4:$C$141=A258)*Feedstocks!$E$4:$E$141,Feedstocks!$F$4:$F$141,Feedstocks!$H$4:$H$141,Feedstocks!$I$4:$I$141)</f>
        <v>0</v>
      </c>
      <c r="J258" s="103" cm="1">
        <f t="array" ref="J258">-SUMPRODUCT((Feedstocks!$C$4:$C$141=A258)*Feedstocks!$E$4:$E$141,Feedstocks!$H$4:$H$141,Feedstocks!$I$4:$I$141)</f>
        <v>0</v>
      </c>
      <c r="K258" s="103"/>
      <c r="L258" s="103"/>
      <c r="M258" s="22">
        <v>1</v>
      </c>
      <c r="N258" s="22" t="str">
        <f>VLOOKUP(E258,Activities!$A$9:$M$227,13,FALSE)</f>
        <v>NL</v>
      </c>
      <c r="O258" s="22"/>
      <c r="P258" s="80" t="s">
        <v>415</v>
      </c>
      <c r="Q258" s="36"/>
      <c r="R258" s="36"/>
      <c r="S258" s="36"/>
      <c r="T258" s="36"/>
      <c r="U258" s="36"/>
      <c r="V258" s="36"/>
      <c r="W258" s="36"/>
      <c r="X258" s="36"/>
      <c r="Y258" s="36"/>
      <c r="Z258" s="36"/>
      <c r="AA258" s="36"/>
      <c r="AB258" s="36"/>
      <c r="AC258" s="36"/>
      <c r="AD258" s="36"/>
      <c r="AE258" s="36"/>
      <c r="AF258" s="35"/>
      <c r="AG258" s="35"/>
      <c r="AH258" s="35"/>
      <c r="AI258" s="35"/>
      <c r="AJ258" s="35"/>
      <c r="AK258" s="35"/>
      <c r="AL258" s="35"/>
      <c r="AM258" s="35"/>
      <c r="AN258" s="35"/>
      <c r="AO258" s="35"/>
      <c r="AP258" s="36"/>
      <c r="AQ258" s="36"/>
      <c r="AR258" s="36"/>
      <c r="AS258" s="36"/>
      <c r="AT258" s="36"/>
      <c r="AU258" s="36"/>
      <c r="AV258" s="36"/>
      <c r="AW258" s="36"/>
      <c r="AX258" s="36"/>
      <c r="AY258" s="36"/>
      <c r="AZ258" s="36"/>
      <c r="BA258" s="36"/>
      <c r="BB258" s="36"/>
      <c r="BC258" s="36"/>
      <c r="BD258" s="36"/>
      <c r="BE258" s="36"/>
      <c r="BF258" s="36"/>
      <c r="BG258" s="36"/>
      <c r="BH258" s="36"/>
      <c r="BI258" s="36"/>
      <c r="BJ258" s="36"/>
      <c r="BK258" s="36"/>
      <c r="BL258" s="36"/>
      <c r="BM258" s="36"/>
      <c r="BN258" s="36"/>
      <c r="BO258" s="36"/>
      <c r="BP258" s="36"/>
      <c r="BQ258" s="36"/>
      <c r="BR258" s="36"/>
      <c r="BS258" s="36"/>
      <c r="BT258" s="36"/>
      <c r="BU258" s="36"/>
      <c r="BV258" s="36"/>
      <c r="BW258" s="36"/>
      <c r="BX258" s="36"/>
      <c r="BY258" s="36"/>
      <c r="BZ258" s="36"/>
      <c r="CA258" s="36"/>
      <c r="CB258" s="36"/>
      <c r="CC258" s="36"/>
      <c r="CD258" s="36"/>
      <c r="CE258" s="36"/>
      <c r="CF258" s="36"/>
      <c r="CG258" s="36"/>
      <c r="CH258" s="36"/>
      <c r="CI258" s="36"/>
      <c r="CJ258" s="36"/>
      <c r="CK258" s="36"/>
      <c r="CL258" s="36"/>
      <c r="CM258" s="36"/>
      <c r="CN258" s="36"/>
      <c r="CO258" s="36"/>
      <c r="CP258" s="36"/>
      <c r="CQ258" s="36"/>
      <c r="CR258" s="36"/>
      <c r="CS258" s="36"/>
      <c r="CT258" s="36"/>
      <c r="CU258" s="36"/>
      <c r="CV258" s="36"/>
      <c r="CW258" s="36"/>
      <c r="CX258" s="36"/>
      <c r="CY258" s="36"/>
      <c r="CZ258" s="36"/>
      <c r="DA258" s="36"/>
      <c r="DB258" s="36"/>
      <c r="DC258" s="36"/>
      <c r="DD258" s="36"/>
      <c r="DE258" s="36"/>
      <c r="DF258" s="36"/>
      <c r="DG258" s="36"/>
      <c r="DH258" s="36">
        <v>1</v>
      </c>
      <c r="DI258" s="36"/>
      <c r="DJ258" s="36"/>
      <c r="DK258" s="36"/>
      <c r="DL258" s="36"/>
      <c r="DM258" s="36"/>
      <c r="DN258" s="36"/>
      <c r="DO258" s="36"/>
      <c r="DP258" s="36"/>
      <c r="DQ258" s="36"/>
      <c r="DR258" s="36"/>
      <c r="DS258" s="36"/>
      <c r="DT258" s="36"/>
      <c r="DU258" s="36"/>
      <c r="DV258" s="36"/>
      <c r="DW258" s="36"/>
      <c r="DX258" s="36"/>
      <c r="DY258" s="36"/>
      <c r="DZ258" s="36"/>
      <c r="EA258" s="36"/>
      <c r="EB258" s="36"/>
      <c r="EC258" s="36"/>
      <c r="ED258" s="36"/>
      <c r="EE258" s="36"/>
      <c r="EF258" s="36"/>
      <c r="EG258" s="36"/>
      <c r="EH258" s="36"/>
      <c r="EI258" s="36"/>
      <c r="EJ258" s="36"/>
      <c r="EK258" s="36"/>
      <c r="EL258" s="36"/>
      <c r="EM258" s="36"/>
      <c r="EN258" s="36"/>
      <c r="EO258" s="36"/>
      <c r="EP258" s="36"/>
      <c r="EQ258" s="36"/>
      <c r="ER258" s="36"/>
      <c r="ES258" s="36"/>
      <c r="ET258" s="36"/>
      <c r="EU258" s="36"/>
      <c r="EV258" s="36"/>
      <c r="EW258" s="36"/>
      <c r="EX258" s="36"/>
      <c r="EY258" s="36"/>
      <c r="EZ258" s="36"/>
      <c r="FA258" s="36"/>
      <c r="FB258" s="36"/>
      <c r="FC258" s="36"/>
      <c r="FD258" s="36"/>
      <c r="FE258" s="36"/>
      <c r="FF258" s="36"/>
      <c r="FG258" s="36"/>
      <c r="FH258" s="36"/>
      <c r="FI258" s="36"/>
      <c r="FJ258" s="36"/>
      <c r="FK258" s="36">
        <v>-1</v>
      </c>
      <c r="FL258" s="36"/>
      <c r="FM258" s="36"/>
      <c r="FN258" s="36"/>
      <c r="FO258" s="36"/>
      <c r="FP258" s="36"/>
      <c r="FQ258" s="36"/>
      <c r="FR258" s="36"/>
      <c r="FS258" s="36"/>
      <c r="FT258" s="36"/>
      <c r="FU258" s="36"/>
      <c r="FV258" s="36"/>
      <c r="FW258" s="36"/>
      <c r="FX258" s="36"/>
      <c r="FY258" s="36"/>
      <c r="FZ258" s="36"/>
      <c r="GA258" s="36"/>
      <c r="GB258" s="319"/>
      <c r="GC258" s="179">
        <f t="shared" si="47"/>
        <v>0</v>
      </c>
      <c r="GD258" s="179">
        <f t="shared" si="48"/>
        <v>0</v>
      </c>
      <c r="GE258" s="179">
        <f t="shared" si="49"/>
        <v>0</v>
      </c>
      <c r="GF258" s="179">
        <f t="shared" si="50"/>
        <v>0</v>
      </c>
      <c r="GG258" s="179">
        <f t="shared" si="42"/>
        <v>0</v>
      </c>
    </row>
    <row r="259" spans="1:189" x14ac:dyDescent="0.35">
      <c r="A259" s="5" t="s">
        <v>1299</v>
      </c>
      <c r="B259" s="5" t="str">
        <f>IF(Technologies!B259&lt;&gt;0,Technologies!B259,"")</f>
        <v>Elektriciteit</v>
      </c>
      <c r="C259" s="5" t="str">
        <f>VLOOKUP($A259,Technologies!$A$7:$H$576,3,FALSE)</f>
        <v>Conversion</v>
      </c>
      <c r="D259" s="5" t="str">
        <f>VLOOKUP($A259,Technologies!$A$7:$H$576,4,FALSE)</f>
        <v>Power NL</v>
      </c>
      <c r="E259" s="5" t="str">
        <f>VLOOKUP($A259,Technologies!$A$7:$H$576,6,FALSE)</f>
        <v>Electricity NL - HV</v>
      </c>
      <c r="F259" s="5" t="str">
        <f>VLOOKUP($A259,Technologies!$A$7:$H$576,7,FALSE)</f>
        <v>Solar PV - Energy sector - Power NL</v>
      </c>
      <c r="G259" s="23"/>
      <c r="H259" s="23"/>
      <c r="I259" s="104" cm="1">
        <f t="array" ref="I259">-SUMPRODUCT((Feedstocks!$C$4:$C$141=A259)*Feedstocks!$E$4:$E$141,Feedstocks!$F$4:$F$141,Feedstocks!$H$4:$H$141,Feedstocks!$I$4:$I$141)</f>
        <v>0</v>
      </c>
      <c r="J259" s="104" cm="1">
        <f t="array" ref="J259">-SUMPRODUCT((Feedstocks!$C$4:$C$141=A259)*Feedstocks!$E$4:$E$141,Feedstocks!$H$4:$H$141,Feedstocks!$I$4:$I$141)</f>
        <v>0</v>
      </c>
      <c r="K259" s="104"/>
      <c r="L259" s="104"/>
      <c r="M259" s="23">
        <v>1</v>
      </c>
      <c r="N259" s="23" t="str">
        <f>VLOOKUP(E259,Activities!$A$9:$M$227,13,FALSE)</f>
        <v>NL</v>
      </c>
      <c r="O259" s="23"/>
      <c r="P259" s="79" t="s">
        <v>415</v>
      </c>
      <c r="Q259" s="35"/>
      <c r="R259" s="35"/>
      <c r="S259" s="35"/>
      <c r="T259" s="35"/>
      <c r="U259" s="35"/>
      <c r="V259" s="35"/>
      <c r="W259" s="35"/>
      <c r="X259" s="35"/>
      <c r="Y259" s="35"/>
      <c r="Z259" s="35"/>
      <c r="AA259" s="35"/>
      <c r="AB259" s="35"/>
      <c r="AC259" s="35"/>
      <c r="AD259" s="35"/>
      <c r="AE259" s="35"/>
      <c r="AF259" s="36"/>
      <c r="AG259" s="36"/>
      <c r="AH259" s="36"/>
      <c r="AI259" s="36"/>
      <c r="AJ259" s="36"/>
      <c r="AK259" s="36"/>
      <c r="AL259" s="36"/>
      <c r="AM259" s="36"/>
      <c r="AN259" s="36"/>
      <c r="AO259" s="36"/>
      <c r="AP259" s="35"/>
      <c r="AQ259" s="35"/>
      <c r="AR259" s="35"/>
      <c r="AS259" s="35"/>
      <c r="AT259" s="35"/>
      <c r="AU259" s="35"/>
      <c r="AV259" s="35"/>
      <c r="AW259" s="35"/>
      <c r="AX259" s="35"/>
      <c r="AY259" s="35"/>
      <c r="AZ259" s="35"/>
      <c r="BA259" s="35"/>
      <c r="BB259" s="35"/>
      <c r="BC259" s="35"/>
      <c r="BD259" s="35"/>
      <c r="BE259" s="35"/>
      <c r="BF259" s="35"/>
      <c r="BG259" s="35"/>
      <c r="BH259" s="35"/>
      <c r="BI259" s="35"/>
      <c r="BJ259" s="35"/>
      <c r="BK259" s="35"/>
      <c r="BL259" s="35"/>
      <c r="BM259" s="35"/>
      <c r="BN259" s="35"/>
      <c r="BO259" s="35"/>
      <c r="BP259" s="35"/>
      <c r="BQ259" s="35"/>
      <c r="BR259" s="35"/>
      <c r="BS259" s="35"/>
      <c r="BT259" s="35"/>
      <c r="BU259" s="35"/>
      <c r="BV259" s="35"/>
      <c r="BW259" s="35"/>
      <c r="BX259" s="35"/>
      <c r="BY259" s="35"/>
      <c r="BZ259" s="35"/>
      <c r="CA259" s="35"/>
      <c r="CB259" s="35"/>
      <c r="CC259" s="35"/>
      <c r="CD259" s="35"/>
      <c r="CE259" s="35"/>
      <c r="CF259" s="35"/>
      <c r="CG259" s="35"/>
      <c r="CH259" s="35"/>
      <c r="CI259" s="35"/>
      <c r="CJ259" s="35"/>
      <c r="CK259" s="35"/>
      <c r="CL259" s="35"/>
      <c r="CM259" s="35"/>
      <c r="CN259" s="35"/>
      <c r="CO259" s="35"/>
      <c r="CP259" s="35"/>
      <c r="CQ259" s="35"/>
      <c r="CR259" s="35"/>
      <c r="CS259" s="35"/>
      <c r="CT259" s="35"/>
      <c r="CU259" s="35"/>
      <c r="CV259" s="35"/>
      <c r="CW259" s="35"/>
      <c r="CX259" s="35"/>
      <c r="CY259" s="35"/>
      <c r="CZ259" s="35"/>
      <c r="DA259" s="35"/>
      <c r="DB259" s="35"/>
      <c r="DC259" s="35"/>
      <c r="DD259" s="35"/>
      <c r="DE259" s="35"/>
      <c r="DF259" s="35"/>
      <c r="DG259" s="35"/>
      <c r="DH259" s="35">
        <v>1</v>
      </c>
      <c r="DI259" s="35"/>
      <c r="DJ259" s="35"/>
      <c r="DK259" s="35"/>
      <c r="DL259" s="35"/>
      <c r="DM259" s="35"/>
      <c r="DN259" s="35"/>
      <c r="DO259" s="35"/>
      <c r="DP259" s="35"/>
      <c r="DQ259" s="35"/>
      <c r="DR259" s="35"/>
      <c r="DS259" s="35"/>
      <c r="DT259" s="35"/>
      <c r="DU259" s="35"/>
      <c r="DV259" s="35"/>
      <c r="DW259" s="35"/>
      <c r="DX259" s="35"/>
      <c r="DY259" s="35"/>
      <c r="DZ259" s="35"/>
      <c r="EA259" s="35"/>
      <c r="EB259" s="35"/>
      <c r="EC259" s="35"/>
      <c r="ED259" s="35"/>
      <c r="EE259" s="35"/>
      <c r="EF259" s="35"/>
      <c r="EG259" s="35"/>
      <c r="EH259" s="35"/>
      <c r="EI259" s="35"/>
      <c r="EJ259" s="35"/>
      <c r="EK259" s="35"/>
      <c r="EL259" s="35"/>
      <c r="EM259" s="35"/>
      <c r="EN259" s="35"/>
      <c r="EO259" s="35"/>
      <c r="EP259" s="35"/>
      <c r="EQ259" s="35"/>
      <c r="ER259" s="35"/>
      <c r="ES259" s="35"/>
      <c r="ET259" s="35"/>
      <c r="EU259" s="35"/>
      <c r="EV259" s="35"/>
      <c r="EW259" s="35"/>
      <c r="EX259" s="35"/>
      <c r="EY259" s="35"/>
      <c r="EZ259" s="35"/>
      <c r="FA259" s="35"/>
      <c r="FB259" s="35"/>
      <c r="FC259" s="35"/>
      <c r="FD259" s="35"/>
      <c r="FE259" s="35"/>
      <c r="FF259" s="35"/>
      <c r="FG259" s="35"/>
      <c r="FH259" s="35"/>
      <c r="FI259" s="35"/>
      <c r="FJ259" s="35"/>
      <c r="FK259" s="35">
        <v>-1</v>
      </c>
      <c r="FL259" s="35"/>
      <c r="FM259" s="35"/>
      <c r="FN259" s="35"/>
      <c r="FO259" s="35"/>
      <c r="FP259" s="35"/>
      <c r="FQ259" s="35"/>
      <c r="FR259" s="35"/>
      <c r="FS259" s="35"/>
      <c r="FT259" s="35"/>
      <c r="FU259" s="35"/>
      <c r="FV259" s="35"/>
      <c r="FW259" s="35"/>
      <c r="FX259" s="35"/>
      <c r="FY259" s="35"/>
      <c r="FZ259" s="35"/>
      <c r="GA259" s="35"/>
      <c r="GB259" s="318"/>
      <c r="GC259" s="178">
        <f t="shared" si="47"/>
        <v>0</v>
      </c>
      <c r="GD259" s="178">
        <f t="shared" si="48"/>
        <v>0</v>
      </c>
      <c r="GE259" s="178">
        <f t="shared" si="49"/>
        <v>0</v>
      </c>
      <c r="GF259" s="178">
        <f t="shared" si="50"/>
        <v>0</v>
      </c>
      <c r="GG259" s="178">
        <f t="shared" si="42"/>
        <v>0</v>
      </c>
    </row>
    <row r="260" spans="1:189" x14ac:dyDescent="0.35">
      <c r="A260" s="6" t="s">
        <v>1301</v>
      </c>
      <c r="B260" s="6" t="str">
        <f>IF(Technologies!B260&lt;&gt;0,Technologies!B260,"")</f>
        <v>Elektriciteit</v>
      </c>
      <c r="C260" s="6" t="str">
        <f>VLOOKUP($A260,Technologies!$A$7:$H$576,3,FALSE)</f>
        <v>Conversion</v>
      </c>
      <c r="D260" s="6" t="str">
        <f>VLOOKUP($A260,Technologies!$A$7:$H$576,4,FALSE)</f>
        <v>Power NL</v>
      </c>
      <c r="E260" s="6" t="str">
        <f>VLOOKUP($A260,Technologies!$A$7:$H$576,6,FALSE)</f>
        <v>Electricity NL - HV</v>
      </c>
      <c r="F260" s="48" t="str">
        <f>VLOOKUP($A260,Technologies!$A$7:$H$576,7,FALSE)</f>
        <v>Electricity from Hydro - Power NL</v>
      </c>
      <c r="G260" s="22"/>
      <c r="H260" s="22"/>
      <c r="I260" s="103" cm="1">
        <f t="array" ref="I260">-SUMPRODUCT((Feedstocks!$C$4:$C$141=A260)*Feedstocks!$E$4:$E$141,Feedstocks!$F$4:$F$141,Feedstocks!$H$4:$H$141,Feedstocks!$I$4:$I$141)</f>
        <v>0</v>
      </c>
      <c r="J260" s="103" cm="1">
        <f t="array" ref="J260">-SUMPRODUCT((Feedstocks!$C$4:$C$141=A260)*Feedstocks!$E$4:$E$141,Feedstocks!$H$4:$H$141,Feedstocks!$I$4:$I$141)</f>
        <v>0</v>
      </c>
      <c r="K260" s="103"/>
      <c r="L260" s="103"/>
      <c r="M260" s="22">
        <v>1</v>
      </c>
      <c r="N260" s="22" t="str">
        <f>VLOOKUP(E260,Activities!$A$9:$M$227,13,FALSE)</f>
        <v>NL</v>
      </c>
      <c r="O260" s="22"/>
      <c r="P260" s="80" t="s">
        <v>415</v>
      </c>
      <c r="Q260" s="36"/>
      <c r="R260" s="36"/>
      <c r="S260" s="36"/>
      <c r="T260" s="36"/>
      <c r="U260" s="36"/>
      <c r="V260" s="36"/>
      <c r="W260" s="36"/>
      <c r="X260" s="36"/>
      <c r="Y260" s="36"/>
      <c r="Z260" s="36"/>
      <c r="AA260" s="36"/>
      <c r="AB260" s="36"/>
      <c r="AC260" s="36"/>
      <c r="AD260" s="36"/>
      <c r="AE260" s="36"/>
      <c r="AF260" s="35"/>
      <c r="AG260" s="35"/>
      <c r="AH260" s="35"/>
      <c r="AI260" s="35"/>
      <c r="AJ260" s="35"/>
      <c r="AK260" s="35"/>
      <c r="AL260" s="35"/>
      <c r="AM260" s="35"/>
      <c r="AN260" s="35"/>
      <c r="AO260" s="35"/>
      <c r="AP260" s="36"/>
      <c r="AQ260" s="36"/>
      <c r="AR260" s="36"/>
      <c r="AS260" s="36"/>
      <c r="AT260" s="36"/>
      <c r="AU260" s="36"/>
      <c r="AV260" s="36"/>
      <c r="AW260" s="36"/>
      <c r="AX260" s="36"/>
      <c r="AY260" s="36"/>
      <c r="AZ260" s="36"/>
      <c r="BA260" s="36"/>
      <c r="BB260" s="36"/>
      <c r="BC260" s="36"/>
      <c r="BD260" s="36"/>
      <c r="BE260" s="36"/>
      <c r="BF260" s="36"/>
      <c r="BG260" s="36"/>
      <c r="BH260" s="36"/>
      <c r="BI260" s="36"/>
      <c r="BJ260" s="36"/>
      <c r="BK260" s="36"/>
      <c r="BL260" s="36"/>
      <c r="BM260" s="36"/>
      <c r="BN260" s="36"/>
      <c r="BO260" s="36"/>
      <c r="BP260" s="36"/>
      <c r="BQ260" s="36"/>
      <c r="BR260" s="36"/>
      <c r="BS260" s="36"/>
      <c r="BT260" s="36"/>
      <c r="BU260" s="36"/>
      <c r="BV260" s="36"/>
      <c r="BW260" s="36"/>
      <c r="BX260" s="36"/>
      <c r="BY260" s="36"/>
      <c r="BZ260" s="36"/>
      <c r="CA260" s="36"/>
      <c r="CB260" s="36"/>
      <c r="CC260" s="36"/>
      <c r="CD260" s="36"/>
      <c r="CE260" s="36"/>
      <c r="CF260" s="36"/>
      <c r="CG260" s="36"/>
      <c r="CH260" s="36"/>
      <c r="CI260" s="36"/>
      <c r="CJ260" s="36"/>
      <c r="CK260" s="36"/>
      <c r="CL260" s="36"/>
      <c r="CM260" s="36"/>
      <c r="CN260" s="36"/>
      <c r="CO260" s="36"/>
      <c r="CP260" s="36"/>
      <c r="CQ260" s="36"/>
      <c r="CR260" s="36"/>
      <c r="CS260" s="36"/>
      <c r="CT260" s="36"/>
      <c r="CU260" s="36"/>
      <c r="CV260" s="36"/>
      <c r="CW260" s="36"/>
      <c r="CX260" s="36"/>
      <c r="CY260" s="36"/>
      <c r="CZ260" s="36"/>
      <c r="DA260" s="36"/>
      <c r="DB260" s="36"/>
      <c r="DC260" s="36"/>
      <c r="DD260" s="36"/>
      <c r="DE260" s="36"/>
      <c r="DF260" s="36"/>
      <c r="DG260" s="36"/>
      <c r="DH260" s="36">
        <v>1</v>
      </c>
      <c r="DI260" s="36"/>
      <c r="DJ260" s="36"/>
      <c r="DK260" s="36"/>
      <c r="DL260" s="36"/>
      <c r="DM260" s="36"/>
      <c r="DN260" s="36"/>
      <c r="DO260" s="36"/>
      <c r="DP260" s="36"/>
      <c r="DQ260" s="36"/>
      <c r="DR260" s="36"/>
      <c r="DS260" s="36"/>
      <c r="DT260" s="36"/>
      <c r="DU260" s="36"/>
      <c r="DV260" s="36"/>
      <c r="DW260" s="36"/>
      <c r="DX260" s="36"/>
      <c r="DY260" s="36"/>
      <c r="DZ260" s="36"/>
      <c r="EA260" s="36"/>
      <c r="EB260" s="36"/>
      <c r="EC260" s="36"/>
      <c r="ED260" s="36"/>
      <c r="EE260" s="36"/>
      <c r="EF260" s="36"/>
      <c r="EG260" s="36"/>
      <c r="EH260" s="36"/>
      <c r="EI260" s="36"/>
      <c r="EJ260" s="36"/>
      <c r="EK260" s="36"/>
      <c r="EL260" s="36"/>
      <c r="EM260" s="36"/>
      <c r="EN260" s="36"/>
      <c r="EO260" s="36"/>
      <c r="EP260" s="36"/>
      <c r="EQ260" s="36"/>
      <c r="ER260" s="36"/>
      <c r="ES260" s="36"/>
      <c r="ET260" s="36"/>
      <c r="EU260" s="36"/>
      <c r="EV260" s="36"/>
      <c r="EW260" s="36"/>
      <c r="EX260" s="36"/>
      <c r="EY260" s="36"/>
      <c r="EZ260" s="36"/>
      <c r="FA260" s="36"/>
      <c r="FB260" s="36"/>
      <c r="FC260" s="36"/>
      <c r="FD260" s="36"/>
      <c r="FE260" s="36"/>
      <c r="FF260" s="36"/>
      <c r="FG260" s="36"/>
      <c r="FH260" s="36"/>
      <c r="FI260" s="36"/>
      <c r="FJ260" s="36"/>
      <c r="FK260" s="36"/>
      <c r="FL260" s="36"/>
      <c r="FM260" s="36"/>
      <c r="FN260" s="36"/>
      <c r="FO260" s="36"/>
      <c r="FP260" s="36"/>
      <c r="FQ260" s="36"/>
      <c r="FR260" s="36"/>
      <c r="FS260" s="36"/>
      <c r="FT260" s="36"/>
      <c r="FU260" s="36"/>
      <c r="FV260" s="36"/>
      <c r="FW260" s="36"/>
      <c r="FX260" s="36"/>
      <c r="FY260" s="36"/>
      <c r="FZ260" s="36"/>
      <c r="GA260" s="36"/>
      <c r="GB260" s="319"/>
      <c r="GC260" s="179">
        <f t="shared" si="47"/>
        <v>0</v>
      </c>
      <c r="GD260" s="179">
        <f t="shared" si="48"/>
        <v>0</v>
      </c>
      <c r="GE260" s="179">
        <f t="shared" si="49"/>
        <v>0</v>
      </c>
      <c r="GF260" s="179">
        <f t="shared" si="50"/>
        <v>0</v>
      </c>
      <c r="GG260" s="179">
        <f t="shared" si="42"/>
        <v>0</v>
      </c>
    </row>
    <row r="261" spans="1:189" x14ac:dyDescent="0.35">
      <c r="A261" s="5" t="s">
        <v>1305</v>
      </c>
      <c r="B261" s="5" t="str">
        <f>IF(Technologies!B261&lt;&gt;0,Technologies!B261,"")</f>
        <v>Elektriciteit</v>
      </c>
      <c r="C261" s="5" t="str">
        <f>VLOOKUP($A261,Technologies!$A$7:$H$576,3,FALSE)</f>
        <v>Conversion</v>
      </c>
      <c r="D261" s="5" t="str">
        <f>VLOOKUP($A261,Technologies!$A$7:$H$576,4,FALSE)</f>
        <v>Power NL</v>
      </c>
      <c r="E261" s="5" t="str">
        <f>VLOOKUP($A261,Technologies!$A$7:$H$576,6,FALSE)</f>
        <v>Electricity NL - HV</v>
      </c>
      <c r="F261" s="5" t="str">
        <f>VLOOKUP($A261,Technologies!$A$7:$H$576,7,FALSE)</f>
        <v>Undispatched Electricity (VOLL) - Power NL</v>
      </c>
      <c r="G261" s="23"/>
      <c r="H261" s="23"/>
      <c r="I261" s="104" cm="1">
        <f t="array" ref="I261">-SUMPRODUCT((Feedstocks!$C$4:$C$141=A261)*Feedstocks!$E$4:$E$141,Feedstocks!$F$4:$F$141,Feedstocks!$H$4:$H$141,Feedstocks!$I$4:$I$141)</f>
        <v>0</v>
      </c>
      <c r="J261" s="104" cm="1">
        <f t="array" ref="J261">-SUMPRODUCT((Feedstocks!$C$4:$C$141=A261)*Feedstocks!$E$4:$E$141,Feedstocks!$H$4:$H$141,Feedstocks!$I$4:$I$141)</f>
        <v>0</v>
      </c>
      <c r="K261" s="104"/>
      <c r="L261" s="104"/>
      <c r="M261" s="23">
        <v>1</v>
      </c>
      <c r="N261" s="23" t="str">
        <f>VLOOKUP(E261,Activities!$A$9:$M$227,13,FALSE)</f>
        <v>NL</v>
      </c>
      <c r="O261" s="23"/>
      <c r="P261" s="79" t="s">
        <v>415</v>
      </c>
      <c r="Q261" s="35"/>
      <c r="R261" s="35"/>
      <c r="S261" s="35"/>
      <c r="T261" s="35"/>
      <c r="U261" s="35"/>
      <c r="V261" s="35"/>
      <c r="W261" s="35"/>
      <c r="X261" s="35"/>
      <c r="Y261" s="35"/>
      <c r="Z261" s="35"/>
      <c r="AA261" s="35"/>
      <c r="AB261" s="35"/>
      <c r="AC261" s="35"/>
      <c r="AD261" s="35"/>
      <c r="AE261" s="35"/>
      <c r="AF261" s="36"/>
      <c r="AG261" s="36"/>
      <c r="AH261" s="36"/>
      <c r="AI261" s="36"/>
      <c r="AJ261" s="36"/>
      <c r="AK261" s="36"/>
      <c r="AL261" s="36"/>
      <c r="AM261" s="36"/>
      <c r="AN261" s="36"/>
      <c r="AO261" s="36"/>
      <c r="AP261" s="35"/>
      <c r="AQ261" s="35"/>
      <c r="AR261" s="35"/>
      <c r="AS261" s="35"/>
      <c r="AT261" s="35"/>
      <c r="AU261" s="35"/>
      <c r="AV261" s="35"/>
      <c r="AW261" s="35"/>
      <c r="AX261" s="35"/>
      <c r="AY261" s="35"/>
      <c r="AZ261" s="35"/>
      <c r="BA261" s="35"/>
      <c r="BB261" s="35"/>
      <c r="BC261" s="35"/>
      <c r="BD261" s="35"/>
      <c r="BE261" s="35"/>
      <c r="BF261" s="35"/>
      <c r="BG261" s="35"/>
      <c r="BH261" s="35"/>
      <c r="BI261" s="35"/>
      <c r="BJ261" s="35"/>
      <c r="BK261" s="35"/>
      <c r="BL261" s="35"/>
      <c r="BM261" s="35"/>
      <c r="BN261" s="35"/>
      <c r="BO261" s="35"/>
      <c r="BP261" s="35"/>
      <c r="BQ261" s="35"/>
      <c r="BR261" s="35"/>
      <c r="BS261" s="35"/>
      <c r="BT261" s="35"/>
      <c r="BU261" s="35"/>
      <c r="BV261" s="35"/>
      <c r="BW261" s="35"/>
      <c r="BX261" s="35"/>
      <c r="BY261" s="35"/>
      <c r="BZ261" s="35"/>
      <c r="CA261" s="35"/>
      <c r="CB261" s="35"/>
      <c r="CC261" s="35"/>
      <c r="CD261" s="35"/>
      <c r="CE261" s="35"/>
      <c r="CF261" s="35"/>
      <c r="CG261" s="35"/>
      <c r="CH261" s="35"/>
      <c r="CI261" s="35"/>
      <c r="CJ261" s="35"/>
      <c r="CK261" s="35"/>
      <c r="CL261" s="35"/>
      <c r="CM261" s="35"/>
      <c r="CN261" s="35"/>
      <c r="CO261" s="35"/>
      <c r="CP261" s="35"/>
      <c r="CQ261" s="35"/>
      <c r="CR261" s="35"/>
      <c r="CS261" s="35"/>
      <c r="CT261" s="35"/>
      <c r="CU261" s="35"/>
      <c r="CV261" s="35"/>
      <c r="CW261" s="35"/>
      <c r="CX261" s="35"/>
      <c r="CY261" s="35"/>
      <c r="CZ261" s="35"/>
      <c r="DA261" s="35"/>
      <c r="DB261" s="35"/>
      <c r="DC261" s="35"/>
      <c r="DD261" s="35"/>
      <c r="DE261" s="35"/>
      <c r="DF261" s="35"/>
      <c r="DG261" s="35"/>
      <c r="DH261" s="35">
        <v>1</v>
      </c>
      <c r="DI261" s="35"/>
      <c r="DJ261" s="35"/>
      <c r="DK261" s="35"/>
      <c r="DL261" s="35"/>
      <c r="DM261" s="35"/>
      <c r="DN261" s="35"/>
      <c r="DO261" s="35"/>
      <c r="DP261" s="35"/>
      <c r="DQ261" s="35"/>
      <c r="DR261" s="35"/>
      <c r="DS261" s="35"/>
      <c r="DT261" s="35"/>
      <c r="DU261" s="35"/>
      <c r="DV261" s="35"/>
      <c r="DW261" s="35"/>
      <c r="DX261" s="35"/>
      <c r="DY261" s="35"/>
      <c r="DZ261" s="35"/>
      <c r="EA261" s="35"/>
      <c r="EB261" s="35"/>
      <c r="EC261" s="35"/>
      <c r="ED261" s="35"/>
      <c r="EE261" s="35"/>
      <c r="EF261" s="35"/>
      <c r="EG261" s="35"/>
      <c r="EH261" s="35"/>
      <c r="EI261" s="35"/>
      <c r="EJ261" s="35"/>
      <c r="EK261" s="35"/>
      <c r="EL261" s="35"/>
      <c r="EM261" s="35"/>
      <c r="EN261" s="35"/>
      <c r="EO261" s="35"/>
      <c r="EP261" s="35"/>
      <c r="EQ261" s="35"/>
      <c r="ER261" s="35"/>
      <c r="ES261" s="35"/>
      <c r="ET261" s="35"/>
      <c r="EU261" s="35"/>
      <c r="EV261" s="35"/>
      <c r="EW261" s="35"/>
      <c r="EX261" s="35"/>
      <c r="EY261" s="35"/>
      <c r="EZ261" s="35"/>
      <c r="FA261" s="35"/>
      <c r="FB261" s="35"/>
      <c r="FC261" s="35"/>
      <c r="FD261" s="35"/>
      <c r="FE261" s="35"/>
      <c r="FF261" s="35"/>
      <c r="FG261" s="35"/>
      <c r="FH261" s="35"/>
      <c r="FI261" s="35"/>
      <c r="FJ261" s="35"/>
      <c r="FK261" s="35"/>
      <c r="FL261" s="35"/>
      <c r="FM261" s="35"/>
      <c r="FN261" s="35"/>
      <c r="FO261" s="35"/>
      <c r="FP261" s="35"/>
      <c r="FQ261" s="35"/>
      <c r="FR261" s="35"/>
      <c r="FS261" s="35"/>
      <c r="FT261" s="35"/>
      <c r="FU261" s="35"/>
      <c r="FV261" s="35"/>
      <c r="FW261" s="35"/>
      <c r="FX261" s="35"/>
      <c r="FY261" s="35"/>
      <c r="FZ261" s="35"/>
      <c r="GA261" s="35"/>
      <c r="GB261" s="318"/>
      <c r="GC261" s="178">
        <f t="shared" si="47"/>
        <v>0</v>
      </c>
      <c r="GD261" s="178">
        <f t="shared" si="48"/>
        <v>0</v>
      </c>
      <c r="GE261" s="178">
        <f t="shared" si="49"/>
        <v>0</v>
      </c>
      <c r="GF261" s="178">
        <f t="shared" si="50"/>
        <v>0</v>
      </c>
      <c r="GG261" s="178">
        <f t="shared" si="42"/>
        <v>0</v>
      </c>
    </row>
    <row r="262" spans="1:189" x14ac:dyDescent="0.35">
      <c r="A262" s="6" t="s">
        <v>1308</v>
      </c>
      <c r="B262" s="6" t="str">
        <f>IF(Technologies!B262&lt;&gt;0,Technologies!B262,"")</f>
        <v>Elektriciteit</v>
      </c>
      <c r="C262" s="6" t="str">
        <f>VLOOKUP($A262,Technologies!$A$7:$H$576,3,FALSE)</f>
        <v>Conversion</v>
      </c>
      <c r="D262" s="6" t="str">
        <f>VLOOKUP($A262,Technologies!$A$7:$H$576,4,FALSE)</f>
        <v>Power NL</v>
      </c>
      <c r="E262" s="6" t="str">
        <f>VLOOKUP($A262,Technologies!$A$7:$H$576,6,FALSE)</f>
        <v>Electricity NL - HV</v>
      </c>
      <c r="F262" s="48" t="str">
        <f>VLOOKUP($A262,Technologies!$A$7:$H$576,7,FALSE)</f>
        <v>Compresed Air Aboveground Storage - Power NL</v>
      </c>
      <c r="G262" s="22"/>
      <c r="H262" s="22"/>
      <c r="I262" s="103" cm="1">
        <f t="array" ref="I262">-SUMPRODUCT((Feedstocks!$C$4:$C$141=A262)*Feedstocks!$E$4:$E$141,Feedstocks!$F$4:$F$141,Feedstocks!$H$4:$H$141,Feedstocks!$I$4:$I$141)</f>
        <v>0</v>
      </c>
      <c r="J262" s="103" cm="1">
        <f t="array" ref="J262">-SUMPRODUCT((Feedstocks!$C$4:$C$141=A262)*Feedstocks!$E$4:$E$141,Feedstocks!$H$4:$H$141,Feedstocks!$I$4:$I$141)</f>
        <v>0</v>
      </c>
      <c r="K262" s="103"/>
      <c r="L262" s="103"/>
      <c r="M262" s="22">
        <v>1</v>
      </c>
      <c r="N262" s="22" t="str">
        <f>VLOOKUP(E262,Activities!$A$9:$M$227,13,FALSE)</f>
        <v>NL</v>
      </c>
      <c r="O262" s="22"/>
      <c r="P262" s="80" t="s">
        <v>415</v>
      </c>
      <c r="Q262" s="36"/>
      <c r="R262" s="36"/>
      <c r="S262" s="36"/>
      <c r="T262" s="36"/>
      <c r="U262" s="36"/>
      <c r="V262" s="36"/>
      <c r="W262" s="36"/>
      <c r="X262" s="36"/>
      <c r="Y262" s="36"/>
      <c r="Z262" s="36"/>
      <c r="AA262" s="36"/>
      <c r="AB262" s="36"/>
      <c r="AC262" s="36"/>
      <c r="AD262" s="36"/>
      <c r="AE262" s="36"/>
      <c r="AF262" s="35"/>
      <c r="AG262" s="35"/>
      <c r="AH262" s="35"/>
      <c r="AI262" s="35"/>
      <c r="AJ262" s="35"/>
      <c r="AK262" s="35"/>
      <c r="AL262" s="35"/>
      <c r="AM262" s="35"/>
      <c r="AN262" s="35"/>
      <c r="AO262" s="35"/>
      <c r="AP262" s="36"/>
      <c r="AQ262" s="36"/>
      <c r="AR262" s="36"/>
      <c r="AS262" s="36"/>
      <c r="AT262" s="36"/>
      <c r="AU262" s="36"/>
      <c r="AV262" s="36"/>
      <c r="AW262" s="36"/>
      <c r="AX262" s="36"/>
      <c r="AY262" s="36"/>
      <c r="AZ262" s="36"/>
      <c r="BA262" s="36"/>
      <c r="BB262" s="36"/>
      <c r="BC262" s="36"/>
      <c r="BD262" s="36"/>
      <c r="BE262" s="36"/>
      <c r="BF262" s="36"/>
      <c r="BG262" s="36"/>
      <c r="BH262" s="36"/>
      <c r="BI262" s="36"/>
      <c r="BJ262" s="36"/>
      <c r="BK262" s="36"/>
      <c r="BL262" s="36"/>
      <c r="BM262" s="36"/>
      <c r="BN262" s="36"/>
      <c r="BO262" s="36"/>
      <c r="BP262" s="36"/>
      <c r="BQ262" s="36"/>
      <c r="BR262" s="36"/>
      <c r="BS262" s="36"/>
      <c r="BT262" s="36"/>
      <c r="BU262" s="36"/>
      <c r="BV262" s="36"/>
      <c r="BW262" s="36"/>
      <c r="BX262" s="36"/>
      <c r="BY262" s="36"/>
      <c r="BZ262" s="36"/>
      <c r="CA262" s="36"/>
      <c r="CB262" s="36"/>
      <c r="CC262" s="36"/>
      <c r="CD262" s="36"/>
      <c r="CE262" s="36"/>
      <c r="CF262" s="36"/>
      <c r="CG262" s="36"/>
      <c r="CH262" s="36"/>
      <c r="CI262" s="36"/>
      <c r="CJ262" s="36"/>
      <c r="CK262" s="36"/>
      <c r="CL262" s="36"/>
      <c r="CM262" s="36"/>
      <c r="CN262" s="36"/>
      <c r="CO262" s="36"/>
      <c r="CP262" s="36"/>
      <c r="CQ262" s="36"/>
      <c r="CR262" s="36"/>
      <c r="CS262" s="36"/>
      <c r="CT262" s="36"/>
      <c r="CU262" s="36"/>
      <c r="CV262" s="36"/>
      <c r="CW262" s="36"/>
      <c r="CX262" s="36"/>
      <c r="CY262" s="36"/>
      <c r="CZ262" s="36"/>
      <c r="DA262" s="36"/>
      <c r="DB262" s="36"/>
      <c r="DC262" s="36"/>
      <c r="DD262" s="36"/>
      <c r="DE262" s="36"/>
      <c r="DF262" s="36"/>
      <c r="DG262" s="36"/>
      <c r="DH262" s="386">
        <v>-1.0000000000000001E-5</v>
      </c>
      <c r="DI262" s="36"/>
      <c r="DJ262" s="36"/>
      <c r="DK262" s="36"/>
      <c r="DL262" s="36"/>
      <c r="DM262" s="36"/>
      <c r="DN262" s="36"/>
      <c r="DO262" s="36"/>
      <c r="DP262" s="36"/>
      <c r="DQ262" s="36"/>
      <c r="DR262" s="36"/>
      <c r="DS262" s="36"/>
      <c r="DT262" s="36"/>
      <c r="DU262" s="36"/>
      <c r="DV262" s="36"/>
      <c r="DW262" s="36"/>
      <c r="DX262" s="36"/>
      <c r="DY262" s="36"/>
      <c r="DZ262" s="36"/>
      <c r="EA262" s="36"/>
      <c r="EB262" s="36"/>
      <c r="EC262" s="36"/>
      <c r="ED262" s="36"/>
      <c r="EE262" s="36"/>
      <c r="EF262" s="36"/>
      <c r="EG262" s="36"/>
      <c r="EH262" s="36"/>
      <c r="EI262" s="36"/>
      <c r="EJ262" s="36"/>
      <c r="EK262" s="36"/>
      <c r="EL262" s="36"/>
      <c r="EM262" s="36"/>
      <c r="EN262" s="36"/>
      <c r="EO262" s="36"/>
      <c r="EP262" s="36"/>
      <c r="EQ262" s="36"/>
      <c r="ER262" s="36"/>
      <c r="ES262" s="36"/>
      <c r="ET262" s="36"/>
      <c r="EU262" s="36"/>
      <c r="EV262" s="36"/>
      <c r="EW262" s="36"/>
      <c r="EX262" s="36"/>
      <c r="EY262" s="36"/>
      <c r="EZ262" s="36"/>
      <c r="FA262" s="36"/>
      <c r="FB262" s="36"/>
      <c r="FC262" s="36"/>
      <c r="FD262" s="36"/>
      <c r="FE262" s="36"/>
      <c r="FF262" s="36"/>
      <c r="FG262" s="36"/>
      <c r="FH262" s="36"/>
      <c r="FI262" s="36"/>
      <c r="FJ262" s="36"/>
      <c r="FK262" s="36"/>
      <c r="FL262" s="36"/>
      <c r="FM262" s="36"/>
      <c r="FN262" s="36"/>
      <c r="FO262" s="36"/>
      <c r="FP262" s="36"/>
      <c r="FQ262" s="36"/>
      <c r="FR262" s="36"/>
      <c r="FS262" s="36"/>
      <c r="FT262" s="36"/>
      <c r="FU262" s="36"/>
      <c r="FV262" s="36"/>
      <c r="FW262" s="36"/>
      <c r="FX262" s="36"/>
      <c r="FY262" s="36"/>
      <c r="FZ262" s="36"/>
      <c r="GA262" s="36"/>
      <c r="GB262" s="319"/>
      <c r="GC262" s="179">
        <f t="shared" si="47"/>
        <v>0</v>
      </c>
      <c r="GD262" s="179">
        <f t="shared" si="48"/>
        <v>0</v>
      </c>
      <c r="GE262" s="179">
        <f t="shared" si="49"/>
        <v>0</v>
      </c>
      <c r="GF262" s="179">
        <f t="shared" si="50"/>
        <v>0</v>
      </c>
      <c r="GG262" s="179">
        <f t="shared" si="42"/>
        <v>0</v>
      </c>
    </row>
    <row r="263" spans="1:189" x14ac:dyDescent="0.35">
      <c r="A263" s="5" t="s">
        <v>1311</v>
      </c>
      <c r="B263" s="5" t="str">
        <f>IF(Technologies!B263&lt;&gt;0,Technologies!B263,"")</f>
        <v>Elektriciteit</v>
      </c>
      <c r="C263" s="5" t="str">
        <f>VLOOKUP($A263,Technologies!$A$7:$H$576,3,FALSE)</f>
        <v>Conversion</v>
      </c>
      <c r="D263" s="5" t="str">
        <f>VLOOKUP($A263,Technologies!$A$7:$H$576,4,FALSE)</f>
        <v>Power NL</v>
      </c>
      <c r="E263" s="5" t="str">
        <f>VLOOKUP($A263,Technologies!$A$7:$H$576,6,FALSE)</f>
        <v>Electricity NL - HV</v>
      </c>
      <c r="F263" s="5" t="str">
        <f>VLOOKUP($A263,Technologies!$A$7:$H$576,7,FALSE)</f>
        <v>Compresed Air Underground Storage - Power NL</v>
      </c>
      <c r="G263" s="23"/>
      <c r="H263" s="23"/>
      <c r="I263" s="104" cm="1">
        <f t="array" ref="I263">-SUMPRODUCT((Feedstocks!$C$4:$C$141=A263)*Feedstocks!$E$4:$E$141,Feedstocks!$F$4:$F$141,Feedstocks!$H$4:$H$141,Feedstocks!$I$4:$I$141)</f>
        <v>0</v>
      </c>
      <c r="J263" s="104" cm="1">
        <f t="array" ref="J263">-SUMPRODUCT((Feedstocks!$C$4:$C$141=A263)*Feedstocks!$E$4:$E$141,Feedstocks!$H$4:$H$141,Feedstocks!$I$4:$I$141)</f>
        <v>0</v>
      </c>
      <c r="K263" s="104"/>
      <c r="L263" s="104"/>
      <c r="M263" s="23">
        <v>1</v>
      </c>
      <c r="N263" s="23" t="str">
        <f>VLOOKUP(E263,Activities!$A$9:$M$227,13,FALSE)</f>
        <v>NL</v>
      </c>
      <c r="O263" s="23"/>
      <c r="P263" s="79" t="s">
        <v>415</v>
      </c>
      <c r="Q263" s="35"/>
      <c r="R263" s="35"/>
      <c r="S263" s="35"/>
      <c r="T263" s="35"/>
      <c r="U263" s="35"/>
      <c r="V263" s="35"/>
      <c r="W263" s="35"/>
      <c r="X263" s="35"/>
      <c r="Y263" s="35"/>
      <c r="Z263" s="35"/>
      <c r="AA263" s="35"/>
      <c r="AB263" s="35"/>
      <c r="AC263" s="35"/>
      <c r="AD263" s="35"/>
      <c r="AE263" s="35"/>
      <c r="AF263" s="36"/>
      <c r="AG263" s="36"/>
      <c r="AH263" s="36"/>
      <c r="AI263" s="36"/>
      <c r="AJ263" s="36"/>
      <c r="AK263" s="36"/>
      <c r="AL263" s="36"/>
      <c r="AM263" s="36"/>
      <c r="AN263" s="36"/>
      <c r="AO263" s="36"/>
      <c r="AP263" s="35"/>
      <c r="AQ263" s="35"/>
      <c r="AR263" s="35"/>
      <c r="AS263" s="35"/>
      <c r="AT263" s="35"/>
      <c r="AU263" s="35"/>
      <c r="AV263" s="35"/>
      <c r="AW263" s="35"/>
      <c r="AX263" s="35"/>
      <c r="AY263" s="35"/>
      <c r="AZ263" s="35"/>
      <c r="BA263" s="35"/>
      <c r="BB263" s="35"/>
      <c r="BC263" s="35"/>
      <c r="BD263" s="35"/>
      <c r="BE263" s="35"/>
      <c r="BF263" s="35"/>
      <c r="BG263" s="35"/>
      <c r="BH263" s="35"/>
      <c r="BI263" s="35"/>
      <c r="BJ263" s="35"/>
      <c r="BK263" s="35"/>
      <c r="BL263" s="35"/>
      <c r="BM263" s="35"/>
      <c r="BN263" s="35"/>
      <c r="BO263" s="35"/>
      <c r="BP263" s="35"/>
      <c r="BQ263" s="35"/>
      <c r="BR263" s="35"/>
      <c r="BS263" s="35"/>
      <c r="BT263" s="35"/>
      <c r="BU263" s="35"/>
      <c r="BV263" s="35"/>
      <c r="BW263" s="35"/>
      <c r="BX263" s="35"/>
      <c r="BY263" s="35"/>
      <c r="BZ263" s="35"/>
      <c r="CA263" s="35"/>
      <c r="CB263" s="35"/>
      <c r="CC263" s="35"/>
      <c r="CD263" s="35"/>
      <c r="CE263" s="35"/>
      <c r="CF263" s="35"/>
      <c r="CG263" s="35"/>
      <c r="CH263" s="35"/>
      <c r="CI263" s="35"/>
      <c r="CJ263" s="35"/>
      <c r="CK263" s="35"/>
      <c r="CL263" s="35"/>
      <c r="CM263" s="35"/>
      <c r="CN263" s="35"/>
      <c r="CO263" s="35"/>
      <c r="CP263" s="35"/>
      <c r="CQ263" s="35"/>
      <c r="CR263" s="35"/>
      <c r="CS263" s="35"/>
      <c r="CT263" s="35"/>
      <c r="CU263" s="35"/>
      <c r="CV263" s="35"/>
      <c r="CW263" s="35"/>
      <c r="CX263" s="35"/>
      <c r="CY263" s="35"/>
      <c r="CZ263" s="35"/>
      <c r="DA263" s="35"/>
      <c r="DB263" s="35"/>
      <c r="DC263" s="35"/>
      <c r="DD263" s="35"/>
      <c r="DE263" s="35"/>
      <c r="DF263" s="35"/>
      <c r="DG263" s="35"/>
      <c r="DH263" s="386">
        <v>-1.0000000000000001E-5</v>
      </c>
      <c r="DI263" s="35"/>
      <c r="DJ263" s="35"/>
      <c r="DK263" s="35"/>
      <c r="DL263" s="35"/>
      <c r="DM263" s="35"/>
      <c r="DN263" s="35"/>
      <c r="DO263" s="35"/>
      <c r="DP263" s="35"/>
      <c r="DQ263" s="35"/>
      <c r="DR263" s="35"/>
      <c r="DS263" s="35"/>
      <c r="DT263" s="35"/>
      <c r="DU263" s="35"/>
      <c r="DV263" s="35"/>
      <c r="DW263" s="35"/>
      <c r="DX263" s="35"/>
      <c r="DY263" s="35"/>
      <c r="DZ263" s="35"/>
      <c r="EA263" s="35"/>
      <c r="EB263" s="35"/>
      <c r="EC263" s="35"/>
      <c r="ED263" s="35"/>
      <c r="EE263" s="35"/>
      <c r="EF263" s="35"/>
      <c r="EG263" s="35"/>
      <c r="EH263" s="35"/>
      <c r="EI263" s="35"/>
      <c r="EJ263" s="35"/>
      <c r="EK263" s="35"/>
      <c r="EL263" s="35"/>
      <c r="EM263" s="35"/>
      <c r="EN263" s="35"/>
      <c r="EO263" s="35"/>
      <c r="EP263" s="35"/>
      <c r="EQ263" s="35"/>
      <c r="ER263" s="35"/>
      <c r="ES263" s="35"/>
      <c r="ET263" s="35"/>
      <c r="EU263" s="35"/>
      <c r="EV263" s="35"/>
      <c r="EW263" s="35"/>
      <c r="EX263" s="35"/>
      <c r="EY263" s="35"/>
      <c r="EZ263" s="35"/>
      <c r="FA263" s="35"/>
      <c r="FB263" s="35"/>
      <c r="FC263" s="35"/>
      <c r="FD263" s="35"/>
      <c r="FE263" s="35"/>
      <c r="FF263" s="35"/>
      <c r="FG263" s="35"/>
      <c r="FH263" s="35"/>
      <c r="FI263" s="35"/>
      <c r="FJ263" s="35"/>
      <c r="FK263" s="35"/>
      <c r="FL263" s="35"/>
      <c r="FM263" s="35"/>
      <c r="FN263" s="35"/>
      <c r="FO263" s="35"/>
      <c r="FP263" s="35"/>
      <c r="FQ263" s="35"/>
      <c r="FR263" s="35"/>
      <c r="FS263" s="35"/>
      <c r="FT263" s="35"/>
      <c r="FU263" s="35"/>
      <c r="FV263" s="35"/>
      <c r="FW263" s="35"/>
      <c r="FX263" s="35"/>
      <c r="FY263" s="35"/>
      <c r="FZ263" s="35"/>
      <c r="GA263" s="35"/>
      <c r="GB263" s="318"/>
      <c r="GC263" s="178">
        <f t="shared" si="47"/>
        <v>0</v>
      </c>
      <c r="GD263" s="178">
        <f t="shared" si="48"/>
        <v>0</v>
      </c>
      <c r="GE263" s="178">
        <f t="shared" si="49"/>
        <v>0</v>
      </c>
      <c r="GF263" s="178">
        <f t="shared" si="50"/>
        <v>0</v>
      </c>
      <c r="GG263" s="178">
        <f t="shared" si="42"/>
        <v>0</v>
      </c>
    </row>
    <row r="264" spans="1:189" x14ac:dyDescent="0.35">
      <c r="A264" s="6" t="s">
        <v>1314</v>
      </c>
      <c r="B264" s="6" t="str">
        <f>IF(Technologies!B264&lt;&gt;0,Technologies!B264,"")</f>
        <v>Elektriciteit</v>
      </c>
      <c r="C264" s="6" t="str">
        <f>VLOOKUP($A264,Technologies!$A$7:$H$576,3,FALSE)</f>
        <v>Conversion</v>
      </c>
      <c r="D264" s="6" t="str">
        <f>VLOOKUP($A264,Technologies!$A$7:$H$576,4,FALSE)</f>
        <v>Power NL</v>
      </c>
      <c r="E264" s="6" t="str">
        <f>VLOOKUP($A264,Technologies!$A$7:$H$576,6,FALSE)</f>
        <v>Electricity NL - HV</v>
      </c>
      <c r="F264" s="48" t="str">
        <f>VLOOKUP($A264,Technologies!$A$7:$H$576,7,FALSE)</f>
        <v>Battery Storage Li-ion - Power NL</v>
      </c>
      <c r="G264" s="22"/>
      <c r="H264" s="22"/>
      <c r="I264" s="103" cm="1">
        <f t="array" ref="I264">-SUMPRODUCT((Feedstocks!$C$4:$C$141=A264)*Feedstocks!$E$4:$E$141,Feedstocks!$F$4:$F$141,Feedstocks!$H$4:$H$141,Feedstocks!$I$4:$I$141)</f>
        <v>0</v>
      </c>
      <c r="J264" s="103" cm="1">
        <f t="array" ref="J264">-SUMPRODUCT((Feedstocks!$C$4:$C$141=A264)*Feedstocks!$E$4:$E$141,Feedstocks!$H$4:$H$141,Feedstocks!$I$4:$I$141)</f>
        <v>0</v>
      </c>
      <c r="K264" s="103"/>
      <c r="L264" s="103"/>
      <c r="M264" s="22">
        <v>1</v>
      </c>
      <c r="N264" s="22" t="str">
        <f>VLOOKUP(E264,Activities!$A$9:$M$227,13,FALSE)</f>
        <v>NL</v>
      </c>
      <c r="O264" s="22"/>
      <c r="P264" s="80" t="s">
        <v>415</v>
      </c>
      <c r="Q264" s="36"/>
      <c r="R264" s="36"/>
      <c r="S264" s="36"/>
      <c r="T264" s="36"/>
      <c r="U264" s="36"/>
      <c r="V264" s="36"/>
      <c r="W264" s="36"/>
      <c r="X264" s="36"/>
      <c r="Y264" s="36"/>
      <c r="Z264" s="36"/>
      <c r="AA264" s="36"/>
      <c r="AB264" s="36"/>
      <c r="AC264" s="36"/>
      <c r="AD264" s="36"/>
      <c r="AE264" s="36"/>
      <c r="AF264" s="35"/>
      <c r="AG264" s="35"/>
      <c r="AH264" s="35"/>
      <c r="AI264" s="35"/>
      <c r="AJ264" s="35"/>
      <c r="AK264" s="35"/>
      <c r="AL264" s="35"/>
      <c r="AM264" s="35"/>
      <c r="AN264" s="35"/>
      <c r="AO264" s="35"/>
      <c r="AP264" s="36"/>
      <c r="AQ264" s="36"/>
      <c r="AR264" s="36"/>
      <c r="AS264" s="36"/>
      <c r="AT264" s="36"/>
      <c r="AU264" s="36"/>
      <c r="AV264" s="36"/>
      <c r="AW264" s="36"/>
      <c r="AX264" s="36"/>
      <c r="AY264" s="36"/>
      <c r="AZ264" s="36"/>
      <c r="BA264" s="36"/>
      <c r="BB264" s="36"/>
      <c r="BC264" s="36"/>
      <c r="BD264" s="36"/>
      <c r="BE264" s="36"/>
      <c r="BF264" s="36"/>
      <c r="BG264" s="36"/>
      <c r="BH264" s="36"/>
      <c r="BI264" s="36"/>
      <c r="BJ264" s="36"/>
      <c r="BK264" s="36"/>
      <c r="BL264" s="36"/>
      <c r="BM264" s="36"/>
      <c r="BN264" s="36"/>
      <c r="BO264" s="36"/>
      <c r="BP264" s="36"/>
      <c r="BQ264" s="36"/>
      <c r="BR264" s="36"/>
      <c r="BS264" s="36"/>
      <c r="BT264" s="36"/>
      <c r="BU264" s="36"/>
      <c r="BV264" s="36"/>
      <c r="BW264" s="36"/>
      <c r="BX264" s="36"/>
      <c r="BY264" s="36"/>
      <c r="BZ264" s="36"/>
      <c r="CA264" s="36"/>
      <c r="CB264" s="36"/>
      <c r="CC264" s="36"/>
      <c r="CD264" s="36"/>
      <c r="CE264" s="36"/>
      <c r="CF264" s="36"/>
      <c r="CG264" s="36"/>
      <c r="CH264" s="36"/>
      <c r="CI264" s="36"/>
      <c r="CJ264" s="36"/>
      <c r="CK264" s="36"/>
      <c r="CL264" s="36"/>
      <c r="CM264" s="36"/>
      <c r="CN264" s="36"/>
      <c r="CO264" s="36"/>
      <c r="CP264" s="36"/>
      <c r="CQ264" s="36"/>
      <c r="CR264" s="36"/>
      <c r="CS264" s="36"/>
      <c r="CT264" s="36"/>
      <c r="CU264" s="36"/>
      <c r="CV264" s="36"/>
      <c r="CW264" s="36"/>
      <c r="CX264" s="36"/>
      <c r="CY264" s="36"/>
      <c r="CZ264" s="36"/>
      <c r="DA264" s="36"/>
      <c r="DB264" s="36"/>
      <c r="DC264" s="36"/>
      <c r="DD264" s="36"/>
      <c r="DE264" s="36"/>
      <c r="DF264" s="36"/>
      <c r="DG264" s="36"/>
      <c r="DH264" s="386">
        <v>-1.0000000000000001E-5</v>
      </c>
      <c r="DI264" s="36"/>
      <c r="DJ264" s="36"/>
      <c r="DK264" s="36"/>
      <c r="DL264" s="36"/>
      <c r="DM264" s="36"/>
      <c r="DN264" s="36"/>
      <c r="DO264" s="36"/>
      <c r="DP264" s="36"/>
      <c r="DQ264" s="36"/>
      <c r="DR264" s="36"/>
      <c r="DS264" s="36"/>
      <c r="DT264" s="36"/>
      <c r="DU264" s="36"/>
      <c r="DV264" s="36"/>
      <c r="DW264" s="36"/>
      <c r="DX264" s="36"/>
      <c r="DY264" s="36"/>
      <c r="DZ264" s="36"/>
      <c r="EA264" s="36"/>
      <c r="EB264" s="36"/>
      <c r="EC264" s="36"/>
      <c r="ED264" s="36"/>
      <c r="EE264" s="36"/>
      <c r="EF264" s="36"/>
      <c r="EG264" s="36"/>
      <c r="EH264" s="36"/>
      <c r="EI264" s="36"/>
      <c r="EJ264" s="36"/>
      <c r="EK264" s="36"/>
      <c r="EL264" s="36"/>
      <c r="EM264" s="36"/>
      <c r="EN264" s="36"/>
      <c r="EO264" s="36"/>
      <c r="EP264" s="36"/>
      <c r="EQ264" s="36"/>
      <c r="ER264" s="36"/>
      <c r="ES264" s="36"/>
      <c r="ET264" s="36"/>
      <c r="EU264" s="36"/>
      <c r="EV264" s="36"/>
      <c r="EW264" s="36"/>
      <c r="EX264" s="36"/>
      <c r="EY264" s="36"/>
      <c r="EZ264" s="36"/>
      <c r="FA264" s="36"/>
      <c r="FB264" s="36"/>
      <c r="FC264" s="36"/>
      <c r="FD264" s="36"/>
      <c r="FE264" s="36"/>
      <c r="FF264" s="36"/>
      <c r="FG264" s="36"/>
      <c r="FH264" s="36"/>
      <c r="FI264" s="36"/>
      <c r="FJ264" s="36"/>
      <c r="FK264" s="36"/>
      <c r="FL264" s="36"/>
      <c r="FM264" s="36"/>
      <c r="FN264" s="36"/>
      <c r="FO264" s="36"/>
      <c r="FP264" s="36"/>
      <c r="FQ264" s="36"/>
      <c r="FR264" s="36"/>
      <c r="FS264" s="36"/>
      <c r="FT264" s="36"/>
      <c r="FU264" s="36"/>
      <c r="FV264" s="36"/>
      <c r="FW264" s="36"/>
      <c r="FX264" s="36"/>
      <c r="FY264" s="36"/>
      <c r="FZ264" s="36"/>
      <c r="GA264" s="36"/>
      <c r="GB264" s="319"/>
      <c r="GC264" s="179">
        <f t="shared" si="47"/>
        <v>0</v>
      </c>
      <c r="GD264" s="179">
        <f t="shared" si="48"/>
        <v>0</v>
      </c>
      <c r="GE264" s="179">
        <f t="shared" si="49"/>
        <v>0</v>
      </c>
      <c r="GF264" s="179">
        <f t="shared" si="50"/>
        <v>0</v>
      </c>
      <c r="GG264" s="179">
        <f t="shared" si="42"/>
        <v>0</v>
      </c>
    </row>
    <row r="265" spans="1:189" x14ac:dyDescent="0.35">
      <c r="A265" s="6" t="s">
        <v>1316</v>
      </c>
      <c r="B265" s="6" t="str">
        <f>IF(Technologies!B265&lt;&gt;0,Technologies!B265,"")</f>
        <v>Elektriciteit</v>
      </c>
      <c r="C265" s="6" t="str">
        <f>VLOOKUP($A265,Technologies!$A$7:$H$576,3,FALSE)</f>
        <v>Primary</v>
      </c>
      <c r="D265" s="6" t="str">
        <f>VLOOKUP($A265,Technologies!$A$7:$H$576,4,FALSE)</f>
        <v>Power NL</v>
      </c>
      <c r="E265" s="6" t="str">
        <f>VLOOKUP($A265,Technologies!$A$7:$H$576,6,FALSE)</f>
        <v>Electricity NL - HV</v>
      </c>
      <c r="F265" s="48" t="str">
        <f>VLOOKUP($A265,Technologies!$A$7:$H$576,7,FALSE)</f>
        <v>Import from EU - Power NL</v>
      </c>
      <c r="G265" s="22"/>
      <c r="H265" s="22"/>
      <c r="I265" s="103" cm="1">
        <f t="array" ref="I265">-SUMPRODUCT((Feedstocks!$C$4:$C$141=A265)*Feedstocks!$E$4:$E$141,Feedstocks!$F$4:$F$141,Feedstocks!$H$4:$H$141,Feedstocks!$I$4:$I$141)</f>
        <v>0</v>
      </c>
      <c r="J265" s="103" cm="1">
        <f t="array" ref="J265">-SUMPRODUCT((Feedstocks!$C$4:$C$141=A265)*Feedstocks!$E$4:$E$141,Feedstocks!$H$4:$H$141,Feedstocks!$I$4:$I$141)</f>
        <v>0</v>
      </c>
      <c r="K265" s="103"/>
      <c r="L265" s="103"/>
      <c r="M265" s="22"/>
      <c r="N265" s="22" t="str">
        <f>VLOOKUP(E265,Activities!$A$9:$M$227,13,FALSE)</f>
        <v>NL</v>
      </c>
      <c r="O265" s="22"/>
      <c r="P265" s="80" t="s">
        <v>415</v>
      </c>
      <c r="Q265" s="36"/>
      <c r="R265" s="36"/>
      <c r="S265" s="36"/>
      <c r="T265" s="36"/>
      <c r="U265" s="36"/>
      <c r="V265" s="36"/>
      <c r="W265" s="36"/>
      <c r="X265" s="36"/>
      <c r="Y265" s="36"/>
      <c r="Z265" s="36"/>
      <c r="AA265" s="36"/>
      <c r="AB265" s="36"/>
      <c r="AC265" s="36"/>
      <c r="AD265" s="36"/>
      <c r="AE265" s="36"/>
      <c r="AF265" s="35"/>
      <c r="AG265" s="35"/>
      <c r="AH265" s="35"/>
      <c r="AI265" s="35"/>
      <c r="AJ265" s="35"/>
      <c r="AK265" s="35"/>
      <c r="AL265" s="35"/>
      <c r="AM265" s="35"/>
      <c r="AN265" s="35"/>
      <c r="AO265" s="35"/>
      <c r="AP265" s="36"/>
      <c r="AQ265" s="36"/>
      <c r="AR265" s="36"/>
      <c r="AS265" s="36"/>
      <c r="AT265" s="36"/>
      <c r="AU265" s="36"/>
      <c r="AV265" s="36"/>
      <c r="AW265" s="36"/>
      <c r="AX265" s="36"/>
      <c r="AY265" s="36"/>
      <c r="AZ265" s="36"/>
      <c r="BA265" s="36"/>
      <c r="BB265" s="36"/>
      <c r="BC265" s="36"/>
      <c r="BD265" s="36"/>
      <c r="BE265" s="36"/>
      <c r="BF265" s="36"/>
      <c r="BG265" s="36"/>
      <c r="BH265" s="36"/>
      <c r="BI265" s="36"/>
      <c r="BJ265" s="36"/>
      <c r="BK265" s="36"/>
      <c r="BL265" s="36"/>
      <c r="BM265" s="36"/>
      <c r="BN265" s="36"/>
      <c r="BO265" s="36"/>
      <c r="BP265" s="36"/>
      <c r="BQ265" s="36"/>
      <c r="BR265" s="36"/>
      <c r="BS265" s="36"/>
      <c r="BT265" s="36"/>
      <c r="BU265" s="36"/>
      <c r="BV265" s="36"/>
      <c r="BW265" s="36"/>
      <c r="BX265" s="36"/>
      <c r="BY265" s="36"/>
      <c r="BZ265" s="36"/>
      <c r="CA265" s="36"/>
      <c r="CB265" s="36"/>
      <c r="CC265" s="36"/>
      <c r="CD265" s="36"/>
      <c r="CE265" s="36"/>
      <c r="CF265" s="36"/>
      <c r="CG265" s="36"/>
      <c r="CH265" s="36"/>
      <c r="CI265" s="36"/>
      <c r="CJ265" s="36"/>
      <c r="CK265" s="36"/>
      <c r="CL265" s="36"/>
      <c r="CM265" s="36"/>
      <c r="CN265" s="36"/>
      <c r="CO265" s="36"/>
      <c r="CP265" s="36"/>
      <c r="CQ265" s="36"/>
      <c r="CR265" s="36"/>
      <c r="CS265" s="36"/>
      <c r="CT265" s="36"/>
      <c r="CU265" s="36"/>
      <c r="CV265" s="36"/>
      <c r="CW265" s="36"/>
      <c r="CX265" s="36"/>
      <c r="CY265" s="36"/>
      <c r="CZ265" s="36"/>
      <c r="DA265" s="36"/>
      <c r="DB265" s="36"/>
      <c r="DC265" s="36"/>
      <c r="DD265" s="36"/>
      <c r="DE265" s="36"/>
      <c r="DF265" s="36">
        <f>-1-Parameters!$B$5</f>
        <v>-1.02</v>
      </c>
      <c r="DG265" s="36"/>
      <c r="DH265" s="36">
        <v>1</v>
      </c>
      <c r="DI265" s="36"/>
      <c r="DJ265" s="36"/>
      <c r="DK265" s="36"/>
      <c r="DL265" s="36"/>
      <c r="DM265" s="36"/>
      <c r="DN265" s="36"/>
      <c r="DO265" s="36"/>
      <c r="DP265" s="36"/>
      <c r="DQ265" s="36"/>
      <c r="DR265" s="36"/>
      <c r="DS265" s="36"/>
      <c r="DT265" s="36"/>
      <c r="DU265" s="36"/>
      <c r="DV265" s="36"/>
      <c r="DW265" s="36"/>
      <c r="DX265" s="36"/>
      <c r="DY265" s="36"/>
      <c r="DZ265" s="36"/>
      <c r="EA265" s="36"/>
      <c r="EB265" s="36"/>
      <c r="EC265" s="36"/>
      <c r="ED265" s="36"/>
      <c r="EE265" s="36"/>
      <c r="EF265" s="36"/>
      <c r="EG265" s="36"/>
      <c r="EH265" s="36"/>
      <c r="EI265" s="36"/>
      <c r="EJ265" s="36"/>
      <c r="EK265" s="36"/>
      <c r="EL265" s="36"/>
      <c r="EM265" s="36"/>
      <c r="EN265" s="36"/>
      <c r="EO265" s="36"/>
      <c r="EP265" s="36"/>
      <c r="EQ265" s="36"/>
      <c r="ER265" s="36"/>
      <c r="ES265" s="36"/>
      <c r="ET265" s="36"/>
      <c r="EU265" s="36"/>
      <c r="EV265" s="36"/>
      <c r="EW265" s="36"/>
      <c r="EX265" s="36"/>
      <c r="EY265" s="36"/>
      <c r="EZ265" s="36"/>
      <c r="FA265" s="36"/>
      <c r="FB265" s="36"/>
      <c r="FC265" s="36"/>
      <c r="FD265" s="36"/>
      <c r="FE265" s="36"/>
      <c r="FF265" s="36"/>
      <c r="FG265" s="36"/>
      <c r="FH265" s="36"/>
      <c r="FI265" s="36"/>
      <c r="FJ265" s="36"/>
      <c r="FK265" s="36"/>
      <c r="FL265" s="36"/>
      <c r="FM265" s="36"/>
      <c r="FN265" s="36"/>
      <c r="FO265" s="36"/>
      <c r="FP265" s="36"/>
      <c r="FQ265" s="36"/>
      <c r="FR265" s="36"/>
      <c r="FS265" s="36"/>
      <c r="FT265" s="36"/>
      <c r="FU265" s="36"/>
      <c r="FV265" s="36"/>
      <c r="FW265" s="36"/>
      <c r="FX265" s="36"/>
      <c r="FY265" s="36"/>
      <c r="FZ265" s="36"/>
      <c r="GA265" s="36"/>
      <c r="GB265" s="319"/>
      <c r="GC265" s="179">
        <f t="shared" si="47"/>
        <v>0</v>
      </c>
      <c r="GD265" s="179">
        <f t="shared" si="48"/>
        <v>0</v>
      </c>
      <c r="GE265" s="179">
        <f t="shared" si="49"/>
        <v>0</v>
      </c>
      <c r="GF265" s="179">
        <f t="shared" si="50"/>
        <v>0</v>
      </c>
      <c r="GG265" s="179">
        <f t="shared" si="42"/>
        <v>0</v>
      </c>
    </row>
    <row r="266" spans="1:189" x14ac:dyDescent="0.35">
      <c r="A266" s="5" t="s">
        <v>1318</v>
      </c>
      <c r="B266" s="5" t="str">
        <f>IF(Technologies!B266&lt;&gt;0,Technologies!B266,"")</f>
        <v>Elektriciteit</v>
      </c>
      <c r="C266" s="5" t="str">
        <f>VLOOKUP($A266,Technologies!$A$7:$H$576,3,FALSE)</f>
        <v>Conversion</v>
      </c>
      <c r="D266" s="5" t="str">
        <f>VLOOKUP($A266,Technologies!$A$7:$H$576,4,FALSE)</f>
        <v>Power NL</v>
      </c>
      <c r="E266" s="5" t="str">
        <f>VLOOKUP($A266,Technologies!$A$7:$H$576,6,FALSE)</f>
        <v>Electricity NL - HV</v>
      </c>
      <c r="F266" s="5" t="str">
        <f>VLOOKUP($A266,Technologies!$A$7:$H$576,7,FALSE)</f>
        <v>Import from NS - Power NL</v>
      </c>
      <c r="G266" s="23"/>
      <c r="H266" s="23"/>
      <c r="I266" s="104" cm="1">
        <f t="array" ref="I266">-SUMPRODUCT((Feedstocks!$C$4:$C$141=A266)*Feedstocks!$E$4:$E$141,Feedstocks!$F$4:$F$141,Feedstocks!$H$4:$H$141,Feedstocks!$I$4:$I$141)</f>
        <v>0</v>
      </c>
      <c r="J266" s="104" cm="1">
        <f t="array" ref="J266">-SUMPRODUCT((Feedstocks!$C$4:$C$141=A266)*Feedstocks!$E$4:$E$141,Feedstocks!$H$4:$H$141,Feedstocks!$I$4:$I$141)</f>
        <v>0</v>
      </c>
      <c r="K266" s="104"/>
      <c r="L266" s="104"/>
      <c r="M266" s="23"/>
      <c r="N266" s="23" t="str">
        <f>VLOOKUP(E266,Activities!$A$9:$M$227,13,FALSE)</f>
        <v>NL</v>
      </c>
      <c r="O266" s="23"/>
      <c r="P266" s="79" t="s">
        <v>415</v>
      </c>
      <c r="Q266" s="35"/>
      <c r="R266" s="35"/>
      <c r="S266" s="35"/>
      <c r="T266" s="35"/>
      <c r="U266" s="35"/>
      <c r="V266" s="35"/>
      <c r="W266" s="35"/>
      <c r="X266" s="35"/>
      <c r="Y266" s="35"/>
      <c r="Z266" s="35"/>
      <c r="AA266" s="35"/>
      <c r="AB266" s="35"/>
      <c r="AC266" s="35"/>
      <c r="AD266" s="35"/>
      <c r="AE266" s="35"/>
      <c r="AF266" s="36"/>
      <c r="AG266" s="36"/>
      <c r="AH266" s="36"/>
      <c r="AI266" s="36"/>
      <c r="AJ266" s="36"/>
      <c r="AK266" s="36"/>
      <c r="AL266" s="36"/>
      <c r="AM266" s="36"/>
      <c r="AN266" s="36"/>
      <c r="AO266" s="36"/>
      <c r="AP266" s="35"/>
      <c r="AQ266" s="35"/>
      <c r="AR266" s="35"/>
      <c r="AS266" s="35"/>
      <c r="AT266" s="35"/>
      <c r="AU266" s="35"/>
      <c r="AV266" s="35"/>
      <c r="AW266" s="35"/>
      <c r="AX266" s="35"/>
      <c r="AY266" s="35"/>
      <c r="AZ266" s="35"/>
      <c r="BA266" s="35"/>
      <c r="BB266" s="35"/>
      <c r="BC266" s="35"/>
      <c r="BD266" s="35"/>
      <c r="BE266" s="35"/>
      <c r="BF266" s="35"/>
      <c r="BG266" s="35"/>
      <c r="BH266" s="35"/>
      <c r="BI266" s="35"/>
      <c r="BJ266" s="35"/>
      <c r="BK266" s="35"/>
      <c r="BL266" s="35"/>
      <c r="BM266" s="35"/>
      <c r="BN266" s="35"/>
      <c r="BO266" s="35"/>
      <c r="BP266" s="35"/>
      <c r="BQ266" s="35"/>
      <c r="BR266" s="35"/>
      <c r="BS266" s="35"/>
      <c r="BT266" s="35"/>
      <c r="BU266" s="35"/>
      <c r="BV266" s="35"/>
      <c r="BW266" s="35"/>
      <c r="BX266" s="35"/>
      <c r="BY266" s="35"/>
      <c r="BZ266" s="35"/>
      <c r="CA266" s="35"/>
      <c r="CB266" s="35"/>
      <c r="CC266" s="35"/>
      <c r="CD266" s="35"/>
      <c r="CE266" s="35"/>
      <c r="CF266" s="35"/>
      <c r="CG266" s="35"/>
      <c r="CH266" s="35"/>
      <c r="CI266" s="35"/>
      <c r="CJ266" s="35"/>
      <c r="CK266" s="35"/>
      <c r="CL266" s="35"/>
      <c r="CM266" s="35"/>
      <c r="CN266" s="35"/>
      <c r="CO266" s="35"/>
      <c r="CP266" s="35"/>
      <c r="CQ266" s="35"/>
      <c r="CR266" s="35"/>
      <c r="CS266" s="35"/>
      <c r="CT266" s="35"/>
      <c r="CU266" s="35"/>
      <c r="CV266" s="35"/>
      <c r="CW266" s="35"/>
      <c r="CX266" s="35"/>
      <c r="CY266" s="35"/>
      <c r="CZ266" s="35"/>
      <c r="DA266" s="35"/>
      <c r="DB266" s="35"/>
      <c r="DC266" s="35"/>
      <c r="DD266" s="35"/>
      <c r="DE266" s="35"/>
      <c r="DF266" s="35"/>
      <c r="DG266" s="35">
        <f>-1-Parameters!$B$5</f>
        <v>-1.02</v>
      </c>
      <c r="DH266" s="35">
        <v>1</v>
      </c>
      <c r="DI266" s="35"/>
      <c r="DJ266" s="35"/>
      <c r="DK266" s="35"/>
      <c r="DL266" s="35"/>
      <c r="DM266" s="35"/>
      <c r="DN266" s="35"/>
      <c r="DO266" s="35"/>
      <c r="DP266" s="35"/>
      <c r="DQ266" s="35"/>
      <c r="DR266" s="35"/>
      <c r="DS266" s="35"/>
      <c r="DT266" s="35"/>
      <c r="DU266" s="35"/>
      <c r="DV266" s="35"/>
      <c r="DW266" s="35"/>
      <c r="DX266" s="35"/>
      <c r="DY266" s="35"/>
      <c r="DZ266" s="35"/>
      <c r="EA266" s="35"/>
      <c r="EB266" s="35"/>
      <c r="EC266" s="35"/>
      <c r="ED266" s="35"/>
      <c r="EE266" s="35"/>
      <c r="EF266" s="35"/>
      <c r="EG266" s="35"/>
      <c r="EH266" s="35"/>
      <c r="EI266" s="35"/>
      <c r="EJ266" s="35"/>
      <c r="EK266" s="35"/>
      <c r="EL266" s="35"/>
      <c r="EM266" s="35"/>
      <c r="EN266" s="35"/>
      <c r="EO266" s="35"/>
      <c r="EP266" s="35"/>
      <c r="EQ266" s="35"/>
      <c r="ER266" s="35"/>
      <c r="ES266" s="35"/>
      <c r="ET266" s="35"/>
      <c r="EU266" s="35"/>
      <c r="EV266" s="35"/>
      <c r="EW266" s="35"/>
      <c r="EX266" s="35"/>
      <c r="EY266" s="35"/>
      <c r="EZ266" s="35"/>
      <c r="FA266" s="35"/>
      <c r="FB266" s="35"/>
      <c r="FC266" s="35"/>
      <c r="FD266" s="35"/>
      <c r="FE266" s="35"/>
      <c r="FF266" s="35"/>
      <c r="FG266" s="35"/>
      <c r="FH266" s="35"/>
      <c r="FI266" s="35"/>
      <c r="FJ266" s="35"/>
      <c r="FK266" s="35"/>
      <c r="FL266" s="35"/>
      <c r="FM266" s="35"/>
      <c r="FN266" s="35"/>
      <c r="FO266" s="35"/>
      <c r="FP266" s="35"/>
      <c r="FQ266" s="35"/>
      <c r="FR266" s="35"/>
      <c r="FS266" s="35"/>
      <c r="FT266" s="35"/>
      <c r="FU266" s="35"/>
      <c r="FV266" s="35"/>
      <c r="FW266" s="35"/>
      <c r="FX266" s="35"/>
      <c r="FY266" s="35"/>
      <c r="FZ266" s="35"/>
      <c r="GA266" s="35"/>
      <c r="GB266" s="318"/>
      <c r="GC266" s="178">
        <f t="shared" si="47"/>
        <v>0</v>
      </c>
      <c r="GD266" s="178">
        <f t="shared" si="48"/>
        <v>0</v>
      </c>
      <c r="GE266" s="178">
        <f t="shared" si="49"/>
        <v>0</v>
      </c>
      <c r="GF266" s="178">
        <f t="shared" si="50"/>
        <v>0</v>
      </c>
      <c r="GG266" s="178">
        <f t="shared" si="42"/>
        <v>0</v>
      </c>
    </row>
    <row r="267" spans="1:189" x14ac:dyDescent="0.35">
      <c r="A267" s="6" t="s">
        <v>1320</v>
      </c>
      <c r="B267" s="6" t="str">
        <f>IF(Technologies!B267&lt;&gt;0,Technologies!B267,"")</f>
        <v>Elektriciteit</v>
      </c>
      <c r="C267" s="6" t="str">
        <f>VLOOKUP($A267,Technologies!$A$7:$H$576,3,FALSE)</f>
        <v>Conversion</v>
      </c>
      <c r="D267" s="6" t="str">
        <f>VLOOKUP($A267,Technologies!$A$7:$H$576,4,FALSE)</f>
        <v>Power NL</v>
      </c>
      <c r="E267" s="6" t="str">
        <f>VLOOKUP($A267,Technologies!$A$7:$H$576,6,FALSE)</f>
        <v>Electricity NL - HV</v>
      </c>
      <c r="F267" s="48" t="str">
        <f>VLOOKUP($A267,Technologies!$A$7:$H$576,7,FALSE)</f>
        <v>Transformer from LV  to HV - Power NL</v>
      </c>
      <c r="G267" s="22"/>
      <c r="H267" s="22"/>
      <c r="I267" s="103" cm="1">
        <f t="array" ref="I267">-SUMPRODUCT((Feedstocks!$C$4:$C$141=A267)*Feedstocks!$E$4:$E$141,Feedstocks!$F$4:$F$141,Feedstocks!$H$4:$H$141,Feedstocks!$I$4:$I$141)</f>
        <v>0</v>
      </c>
      <c r="J267" s="103" cm="1">
        <f t="array" ref="J267">-SUMPRODUCT((Feedstocks!$C$4:$C$141=A267)*Feedstocks!$E$4:$E$141,Feedstocks!$H$4:$H$141,Feedstocks!$I$4:$I$141)</f>
        <v>0</v>
      </c>
      <c r="K267" s="103"/>
      <c r="L267" s="103"/>
      <c r="M267" s="22"/>
      <c r="N267" s="22" t="str">
        <f>VLOOKUP(E267,Activities!$A$9:$M$227,13,FALSE)</f>
        <v>NL</v>
      </c>
      <c r="O267" s="22"/>
      <c r="P267" s="80" t="s">
        <v>415</v>
      </c>
      <c r="Q267" s="36"/>
      <c r="R267" s="36"/>
      <c r="S267" s="36"/>
      <c r="T267" s="36"/>
      <c r="U267" s="36"/>
      <c r="V267" s="36"/>
      <c r="W267" s="36"/>
      <c r="X267" s="36"/>
      <c r="Y267" s="36"/>
      <c r="Z267" s="36"/>
      <c r="AA267" s="36"/>
      <c r="AB267" s="36"/>
      <c r="AC267" s="36"/>
      <c r="AD267" s="36"/>
      <c r="AE267" s="36"/>
      <c r="AF267" s="35"/>
      <c r="AG267" s="35"/>
      <c r="AH267" s="35"/>
      <c r="AI267" s="35"/>
      <c r="AJ267" s="35"/>
      <c r="AK267" s="35"/>
      <c r="AL267" s="35"/>
      <c r="AM267" s="35"/>
      <c r="AN267" s="35"/>
      <c r="AO267" s="35"/>
      <c r="AP267" s="36"/>
      <c r="AQ267" s="36"/>
      <c r="AR267" s="36"/>
      <c r="AS267" s="36"/>
      <c r="AT267" s="36"/>
      <c r="AU267" s="36"/>
      <c r="AV267" s="36"/>
      <c r="AW267" s="36"/>
      <c r="AX267" s="36"/>
      <c r="AY267" s="36"/>
      <c r="AZ267" s="36"/>
      <c r="BA267" s="36"/>
      <c r="BB267" s="36"/>
      <c r="BC267" s="36"/>
      <c r="BD267" s="36"/>
      <c r="BE267" s="36"/>
      <c r="BF267" s="36"/>
      <c r="BG267" s="36"/>
      <c r="BH267" s="36"/>
      <c r="BI267" s="36"/>
      <c r="BJ267" s="36"/>
      <c r="BK267" s="36"/>
      <c r="BL267" s="36"/>
      <c r="BM267" s="36"/>
      <c r="BN267" s="36"/>
      <c r="BO267" s="36"/>
      <c r="BP267" s="36"/>
      <c r="BQ267" s="36"/>
      <c r="BR267" s="36"/>
      <c r="BS267" s="36"/>
      <c r="BT267" s="36"/>
      <c r="BU267" s="36"/>
      <c r="BV267" s="36"/>
      <c r="BW267" s="36"/>
      <c r="BX267" s="36"/>
      <c r="BY267" s="36"/>
      <c r="BZ267" s="36"/>
      <c r="CA267" s="36"/>
      <c r="CB267" s="36"/>
      <c r="CC267" s="36"/>
      <c r="CD267" s="36"/>
      <c r="CE267" s="36"/>
      <c r="CF267" s="36"/>
      <c r="CG267" s="36"/>
      <c r="CH267" s="36"/>
      <c r="CI267" s="36"/>
      <c r="CJ267" s="36"/>
      <c r="CK267" s="36"/>
      <c r="CL267" s="36"/>
      <c r="CM267" s="36"/>
      <c r="CN267" s="36"/>
      <c r="CO267" s="36"/>
      <c r="CP267" s="36"/>
      <c r="CQ267" s="36"/>
      <c r="CR267" s="36"/>
      <c r="CS267" s="36"/>
      <c r="CT267" s="36"/>
      <c r="CU267" s="36"/>
      <c r="CV267" s="36"/>
      <c r="CW267" s="36"/>
      <c r="CX267" s="36"/>
      <c r="CY267" s="36"/>
      <c r="CZ267" s="36"/>
      <c r="DA267" s="36"/>
      <c r="DB267" s="36"/>
      <c r="DC267" s="36"/>
      <c r="DD267" s="36"/>
      <c r="DE267" s="36"/>
      <c r="DF267" s="36"/>
      <c r="DG267" s="36"/>
      <c r="DH267" s="36">
        <v>1</v>
      </c>
      <c r="DI267" s="36">
        <f>-1-Parameters!$B$10</f>
        <v>-1.040144</v>
      </c>
      <c r="DJ267" s="36"/>
      <c r="DK267" s="36"/>
      <c r="DL267" s="36"/>
      <c r="DM267" s="36"/>
      <c r="DN267" s="36"/>
      <c r="DO267" s="36"/>
      <c r="DP267" s="36"/>
      <c r="DQ267" s="36"/>
      <c r="DR267" s="36"/>
      <c r="DS267" s="36"/>
      <c r="DT267" s="36"/>
      <c r="DU267" s="36"/>
      <c r="DV267" s="36"/>
      <c r="DW267" s="36"/>
      <c r="DX267" s="36"/>
      <c r="DY267" s="36"/>
      <c r="DZ267" s="36"/>
      <c r="EA267" s="36"/>
      <c r="EB267" s="36"/>
      <c r="EC267" s="36"/>
      <c r="ED267" s="36"/>
      <c r="EE267" s="36"/>
      <c r="EF267" s="36"/>
      <c r="EG267" s="36"/>
      <c r="EH267" s="36"/>
      <c r="EI267" s="36"/>
      <c r="EJ267" s="36"/>
      <c r="EK267" s="36"/>
      <c r="EL267" s="36"/>
      <c r="EM267" s="36"/>
      <c r="EN267" s="36"/>
      <c r="EO267" s="36"/>
      <c r="EP267" s="36"/>
      <c r="EQ267" s="36"/>
      <c r="ER267" s="36"/>
      <c r="ES267" s="36"/>
      <c r="ET267" s="36"/>
      <c r="EU267" s="36"/>
      <c r="EV267" s="36"/>
      <c r="EW267" s="36"/>
      <c r="EX267" s="36"/>
      <c r="EY267" s="36"/>
      <c r="EZ267" s="36"/>
      <c r="FA267" s="36"/>
      <c r="FB267" s="36"/>
      <c r="FC267" s="36"/>
      <c r="FD267" s="36"/>
      <c r="FE267" s="36"/>
      <c r="FF267" s="36"/>
      <c r="FG267" s="36"/>
      <c r="FH267" s="36"/>
      <c r="FI267" s="36"/>
      <c r="FJ267" s="36"/>
      <c r="FK267" s="36"/>
      <c r="FL267" s="36"/>
      <c r="FM267" s="36"/>
      <c r="FN267" s="36"/>
      <c r="FO267" s="36"/>
      <c r="FP267" s="36"/>
      <c r="FQ267" s="36"/>
      <c r="FR267" s="36"/>
      <c r="FS267" s="36"/>
      <c r="FT267" s="36"/>
      <c r="FU267" s="36"/>
      <c r="FV267" s="36"/>
      <c r="FW267" s="36"/>
      <c r="FX267" s="36"/>
      <c r="FY267" s="36"/>
      <c r="FZ267" s="36"/>
      <c r="GA267" s="36"/>
      <c r="GB267" s="319"/>
      <c r="GC267" s="179">
        <f t="shared" si="47"/>
        <v>0</v>
      </c>
      <c r="GD267" s="179">
        <f t="shared" si="48"/>
        <v>0</v>
      </c>
      <c r="GE267" s="179">
        <f t="shared" si="49"/>
        <v>0</v>
      </c>
      <c r="GF267" s="179">
        <f t="shared" si="50"/>
        <v>0</v>
      </c>
      <c r="GG267" s="179">
        <f t="shared" si="42"/>
        <v>0</v>
      </c>
    </row>
    <row r="268" spans="1:189" x14ac:dyDescent="0.35">
      <c r="A268" s="5" t="s">
        <v>1322</v>
      </c>
      <c r="B268" s="5" t="str">
        <f>IF(Technologies!B268&lt;&gt;0,Technologies!B268,"")</f>
        <v>Elektriciteit</v>
      </c>
      <c r="C268" s="5" t="str">
        <f>VLOOKUP($A268,Technologies!$A$7:$H$576,3,FALSE)</f>
        <v>Conversion</v>
      </c>
      <c r="D268" s="5" t="str">
        <f>VLOOKUP($A268,Technologies!$A$7:$H$576,4,FALSE)</f>
        <v>Power NL</v>
      </c>
      <c r="E268" s="5" t="str">
        <f>VLOOKUP($A268,Technologies!$A$7:$H$576,6,FALSE)</f>
        <v>Electricity NL - LV</v>
      </c>
      <c r="F268" s="5" t="str">
        <f>VLOOKUP($A268,Technologies!$A$7:$H$576,7,FALSE)</f>
        <v>Transformer from HV to LV - Power NL</v>
      </c>
      <c r="G268" s="23"/>
      <c r="H268" s="23"/>
      <c r="I268" s="104" cm="1">
        <f t="array" ref="I268">-SUMPRODUCT((Feedstocks!$C$4:$C$141=A268)*Feedstocks!$E$4:$E$141,Feedstocks!$F$4:$F$141,Feedstocks!$H$4:$H$141,Feedstocks!$I$4:$I$141)</f>
        <v>0</v>
      </c>
      <c r="J268" s="104" cm="1">
        <f t="array" ref="J268">-SUMPRODUCT((Feedstocks!$C$4:$C$141=A268)*Feedstocks!$E$4:$E$141,Feedstocks!$H$4:$H$141,Feedstocks!$I$4:$I$141)</f>
        <v>0</v>
      </c>
      <c r="K268" s="104"/>
      <c r="L268" s="104"/>
      <c r="M268" s="23"/>
      <c r="N268" s="23" t="str">
        <f>VLOOKUP(E268,Activities!$A$9:$M$227,13,FALSE)</f>
        <v>NL</v>
      </c>
      <c r="O268" s="23"/>
      <c r="P268" s="79" t="s">
        <v>415</v>
      </c>
      <c r="Q268" s="35"/>
      <c r="R268" s="35"/>
      <c r="S268" s="35"/>
      <c r="T268" s="35"/>
      <c r="U268" s="35"/>
      <c r="V268" s="35"/>
      <c r="W268" s="35"/>
      <c r="X268" s="35"/>
      <c r="Y268" s="35"/>
      <c r="Z268" s="35"/>
      <c r="AA268" s="35"/>
      <c r="AB268" s="35"/>
      <c r="AC268" s="35"/>
      <c r="AD268" s="35"/>
      <c r="AE268" s="35"/>
      <c r="AF268" s="36"/>
      <c r="AG268" s="36"/>
      <c r="AH268" s="36"/>
      <c r="AI268" s="36"/>
      <c r="AJ268" s="36"/>
      <c r="AK268" s="36"/>
      <c r="AL268" s="36"/>
      <c r="AM268" s="36"/>
      <c r="AN268" s="36"/>
      <c r="AO268" s="36"/>
      <c r="AP268" s="35"/>
      <c r="AQ268" s="35"/>
      <c r="AR268" s="35"/>
      <c r="AS268" s="35"/>
      <c r="AT268" s="35"/>
      <c r="AU268" s="35"/>
      <c r="AV268" s="35"/>
      <c r="AW268" s="35"/>
      <c r="AX268" s="35"/>
      <c r="AY268" s="35"/>
      <c r="AZ268" s="35"/>
      <c r="BA268" s="35"/>
      <c r="BB268" s="35"/>
      <c r="BC268" s="35"/>
      <c r="BD268" s="35"/>
      <c r="BE268" s="35"/>
      <c r="BF268" s="35"/>
      <c r="BG268" s="35"/>
      <c r="BH268" s="35"/>
      <c r="BI268" s="35"/>
      <c r="BJ268" s="35"/>
      <c r="BK268" s="35"/>
      <c r="BL268" s="35"/>
      <c r="BM268" s="35"/>
      <c r="BN268" s="35"/>
      <c r="BO268" s="35"/>
      <c r="BP268" s="35"/>
      <c r="BQ268" s="35"/>
      <c r="BR268" s="35"/>
      <c r="BS268" s="35"/>
      <c r="BT268" s="35"/>
      <c r="BU268" s="35"/>
      <c r="BV268" s="35"/>
      <c r="BW268" s="35"/>
      <c r="BX268" s="35"/>
      <c r="BY268" s="35"/>
      <c r="BZ268" s="35"/>
      <c r="CA268" s="35"/>
      <c r="CB268" s="35"/>
      <c r="CC268" s="35"/>
      <c r="CD268" s="35"/>
      <c r="CE268" s="35"/>
      <c r="CF268" s="35"/>
      <c r="CG268" s="35"/>
      <c r="CH268" s="35"/>
      <c r="CI268" s="35"/>
      <c r="CJ268" s="35"/>
      <c r="CK268" s="35"/>
      <c r="CL268" s="35"/>
      <c r="CM268" s="35"/>
      <c r="CN268" s="35"/>
      <c r="CO268" s="35"/>
      <c r="CP268" s="35"/>
      <c r="CQ268" s="35"/>
      <c r="CR268" s="35"/>
      <c r="CS268" s="35"/>
      <c r="CT268" s="35"/>
      <c r="CU268" s="35"/>
      <c r="CV268" s="35"/>
      <c r="CW268" s="35"/>
      <c r="CX268" s="35"/>
      <c r="CY268" s="35"/>
      <c r="CZ268" s="35"/>
      <c r="DA268" s="35"/>
      <c r="DB268" s="35"/>
      <c r="DC268" s="35"/>
      <c r="DD268" s="35"/>
      <c r="DE268" s="35"/>
      <c r="DF268" s="35"/>
      <c r="DG268" s="35"/>
      <c r="DH268" s="35">
        <f>-1-Parameters!$B$10</f>
        <v>-1.040144</v>
      </c>
      <c r="DI268" s="35">
        <v>1</v>
      </c>
      <c r="DJ268" s="35"/>
      <c r="DK268" s="35"/>
      <c r="DL268" s="35"/>
      <c r="DM268" s="35"/>
      <c r="DN268" s="35"/>
      <c r="DO268" s="35"/>
      <c r="DP268" s="35"/>
      <c r="DQ268" s="35"/>
      <c r="DR268" s="35"/>
      <c r="DS268" s="35"/>
      <c r="DT268" s="35"/>
      <c r="DU268" s="35"/>
      <c r="DV268" s="35"/>
      <c r="DW268" s="35"/>
      <c r="DX268" s="35"/>
      <c r="DY268" s="35"/>
      <c r="DZ268" s="35"/>
      <c r="EA268" s="35"/>
      <c r="EB268" s="35"/>
      <c r="EC268" s="35"/>
      <c r="ED268" s="35"/>
      <c r="EE268" s="35"/>
      <c r="EF268" s="35"/>
      <c r="EG268" s="35"/>
      <c r="EH268" s="35"/>
      <c r="EI268" s="35"/>
      <c r="EJ268" s="35"/>
      <c r="EK268" s="35"/>
      <c r="EL268" s="35"/>
      <c r="EM268" s="35"/>
      <c r="EN268" s="35"/>
      <c r="EO268" s="35"/>
      <c r="EP268" s="35"/>
      <c r="EQ268" s="35"/>
      <c r="ER268" s="35"/>
      <c r="ES268" s="35"/>
      <c r="ET268" s="35"/>
      <c r="EU268" s="35"/>
      <c r="EV268" s="35"/>
      <c r="EW268" s="35"/>
      <c r="EX268" s="35"/>
      <c r="EY268" s="35"/>
      <c r="EZ268" s="35"/>
      <c r="FA268" s="35"/>
      <c r="FB268" s="35"/>
      <c r="FC268" s="35"/>
      <c r="FD268" s="35"/>
      <c r="FE268" s="35"/>
      <c r="FF268" s="35"/>
      <c r="FG268" s="35"/>
      <c r="FH268" s="35"/>
      <c r="FI268" s="35"/>
      <c r="FJ268" s="35"/>
      <c r="FK268" s="35"/>
      <c r="FL268" s="35"/>
      <c r="FM268" s="35"/>
      <c r="FN268" s="35"/>
      <c r="FO268" s="35"/>
      <c r="FP268" s="35"/>
      <c r="FQ268" s="35"/>
      <c r="FR268" s="35"/>
      <c r="FS268" s="35"/>
      <c r="FT268" s="35"/>
      <c r="FU268" s="35"/>
      <c r="FV268" s="35"/>
      <c r="FW268" s="35"/>
      <c r="FX268" s="35"/>
      <c r="FY268" s="35"/>
      <c r="FZ268" s="35"/>
      <c r="GA268" s="35"/>
      <c r="GB268" s="318"/>
      <c r="GC268" s="178">
        <f t="shared" si="47"/>
        <v>0</v>
      </c>
      <c r="GD268" s="178">
        <f t="shared" si="48"/>
        <v>0</v>
      </c>
      <c r="GE268" s="178">
        <f t="shared" si="49"/>
        <v>0</v>
      </c>
      <c r="GF268" s="178">
        <f t="shared" si="50"/>
        <v>0</v>
      </c>
      <c r="GG268" s="178">
        <f t="shared" si="42"/>
        <v>0</v>
      </c>
    </row>
    <row r="269" spans="1:189" x14ac:dyDescent="0.35">
      <c r="A269" s="6" t="s">
        <v>1324</v>
      </c>
      <c r="B269" s="6" t="str">
        <f>IF(Technologies!B269&lt;&gt;0,Technologies!B269,"")</f>
        <v>Gebouwde omgeving</v>
      </c>
      <c r="C269" s="6" t="str">
        <f>VLOOKUP($A269,Technologies!$A$7:$H$576,3,FALSE)</f>
        <v>Conversion</v>
      </c>
      <c r="D269" s="6" t="str">
        <f>VLOOKUP($A269,Technologies!$A$7:$H$576,4,FALSE)</f>
        <v>Residential</v>
      </c>
      <c r="E269" s="6" t="str">
        <f>VLOOKUP($A269,Technologies!$A$7:$H$576,6,FALSE)</f>
        <v>Heat LT Houses C-G</v>
      </c>
      <c r="F269" s="48" t="str">
        <f>VLOOKUP($A269,Technologies!$A$7:$H$576,7,FALSE)</f>
        <v>Boiler Gas - LT Heat for Houses</v>
      </c>
      <c r="G269" s="22"/>
      <c r="H269" s="22"/>
      <c r="I269" s="103" cm="1">
        <f t="array" ref="I269">-SUMPRODUCT((Feedstocks!$C$4:$C$141=A269)*Feedstocks!$E$4:$E$141,Feedstocks!$F$4:$F$141,Feedstocks!$H$4:$H$141,Feedstocks!$I$4:$I$141)</f>
        <v>0</v>
      </c>
      <c r="J269" s="103" cm="1">
        <f t="array" ref="J269">-SUMPRODUCT((Feedstocks!$C$4:$C$141=A269)*Feedstocks!$E$4:$E$141,Feedstocks!$H$4:$H$141,Feedstocks!$I$4:$I$141)</f>
        <v>0</v>
      </c>
      <c r="K269" s="103"/>
      <c r="L269" s="103"/>
      <c r="M269" s="22"/>
      <c r="N269" s="22" t="str">
        <f>VLOOKUP(E269,Activities!$A$9:$M$227,13,FALSE)</f>
        <v>NL</v>
      </c>
      <c r="O269" s="22"/>
      <c r="P269" s="80" t="s">
        <v>415</v>
      </c>
      <c r="Q269" s="36"/>
      <c r="R269" s="36"/>
      <c r="S269" s="36"/>
      <c r="T269" s="36"/>
      <c r="U269" s="36"/>
      <c r="V269" s="36"/>
      <c r="W269" s="36"/>
      <c r="X269" s="36"/>
      <c r="Y269" s="36"/>
      <c r="Z269" s="36"/>
      <c r="AA269" s="36"/>
      <c r="AB269" s="36"/>
      <c r="AC269" s="36"/>
      <c r="AD269" s="36"/>
      <c r="AE269" s="36"/>
      <c r="AF269" s="35"/>
      <c r="AG269" s="35"/>
      <c r="AH269" s="35"/>
      <c r="AI269" s="35"/>
      <c r="AJ269" s="35"/>
      <c r="AK269" s="35"/>
      <c r="AL269" s="35"/>
      <c r="AM269" s="35"/>
      <c r="AN269" s="35"/>
      <c r="AO269" s="35"/>
      <c r="AP269" s="36"/>
      <c r="AQ269" s="36"/>
      <c r="AR269" s="36"/>
      <c r="AS269" s="36"/>
      <c r="AT269" s="36"/>
      <c r="AU269" s="36"/>
      <c r="AV269" s="36"/>
      <c r="AW269" s="36"/>
      <c r="AX269" s="36"/>
      <c r="AY269" s="36"/>
      <c r="AZ269" s="36"/>
      <c r="BA269" s="36"/>
      <c r="BB269" s="36"/>
      <c r="BC269" s="36"/>
      <c r="BD269" s="36"/>
      <c r="BE269" s="36"/>
      <c r="BF269" s="36"/>
      <c r="BG269" s="36"/>
      <c r="BH269" s="36"/>
      <c r="BI269" s="36"/>
      <c r="BJ269" s="36"/>
      <c r="BK269" s="36"/>
      <c r="BL269" s="36"/>
      <c r="BM269" s="36"/>
      <c r="BN269" s="36"/>
      <c r="BO269" s="36"/>
      <c r="BP269" s="36"/>
      <c r="BQ269" s="36"/>
      <c r="BR269" s="36"/>
      <c r="BS269" s="36"/>
      <c r="BT269" s="36"/>
      <c r="BU269" s="36"/>
      <c r="BV269" s="36"/>
      <c r="BW269" s="36"/>
      <c r="BX269" s="36"/>
      <c r="BY269" s="36"/>
      <c r="BZ269" s="36"/>
      <c r="CA269" s="36"/>
      <c r="CB269" s="36"/>
      <c r="CC269" s="36"/>
      <c r="CD269" s="36"/>
      <c r="CE269" s="36"/>
      <c r="CF269" s="36"/>
      <c r="CG269" s="36"/>
      <c r="CH269" s="36"/>
      <c r="CI269" s="36"/>
      <c r="CJ269" s="36"/>
      <c r="CK269" s="36"/>
      <c r="CL269" s="36"/>
      <c r="CM269" s="36"/>
      <c r="CN269" s="36"/>
      <c r="CO269" s="36"/>
      <c r="CP269" s="36"/>
      <c r="CQ269" s="36"/>
      <c r="CR269" s="36"/>
      <c r="CS269" s="36"/>
      <c r="CT269" s="36"/>
      <c r="CU269" s="36"/>
      <c r="CV269" s="36"/>
      <c r="CW269" s="36"/>
      <c r="CX269" s="36"/>
      <c r="CY269" s="36"/>
      <c r="CZ269" s="36"/>
      <c r="DA269" s="36"/>
      <c r="DB269" s="36"/>
      <c r="DC269" s="36"/>
      <c r="DD269" s="36"/>
      <c r="DE269" s="36"/>
      <c r="DF269" s="36"/>
      <c r="DG269" s="36"/>
      <c r="DH269" s="36"/>
      <c r="DI269" s="36"/>
      <c r="DJ269" s="36">
        <v>1</v>
      </c>
      <c r="DK269" s="36"/>
      <c r="DL269" s="36"/>
      <c r="DM269" s="36"/>
      <c r="DN269" s="36"/>
      <c r="DO269" s="36"/>
      <c r="DP269" s="36"/>
      <c r="DQ269" s="36"/>
      <c r="DR269" s="36"/>
      <c r="DS269" s="36"/>
      <c r="DT269" s="36"/>
      <c r="DU269" s="36"/>
      <c r="DV269" s="36"/>
      <c r="DW269" s="36"/>
      <c r="DX269" s="36"/>
      <c r="DY269" s="36"/>
      <c r="DZ269" s="36"/>
      <c r="EA269" s="36"/>
      <c r="EB269" s="36"/>
      <c r="EC269" s="36"/>
      <c r="ED269" s="36"/>
      <c r="EE269" s="36"/>
      <c r="EF269" s="36"/>
      <c r="EG269" s="36"/>
      <c r="EH269" s="36"/>
      <c r="EI269" s="36"/>
      <c r="EJ269" s="36"/>
      <c r="EK269" s="36">
        <v>-1.05</v>
      </c>
      <c r="EL269" s="36"/>
      <c r="EM269" s="36"/>
      <c r="EN269" s="36"/>
      <c r="EO269" s="36"/>
      <c r="EP269" s="36"/>
      <c r="EQ269" s="36"/>
      <c r="ER269" s="36"/>
      <c r="ES269" s="36"/>
      <c r="ET269" s="36"/>
      <c r="EU269" s="36"/>
      <c r="EV269" s="36"/>
      <c r="EW269" s="36"/>
      <c r="EX269" s="36"/>
      <c r="EY269" s="36"/>
      <c r="EZ269" s="36"/>
      <c r="FA269" s="36"/>
      <c r="FB269" s="36"/>
      <c r="FC269" s="36"/>
      <c r="FD269" s="36"/>
      <c r="FE269" s="36"/>
      <c r="FF269" s="36"/>
      <c r="FG269" s="36"/>
      <c r="FH269" s="36"/>
      <c r="FI269" s="36"/>
      <c r="FJ269" s="36"/>
      <c r="FK269" s="36"/>
      <c r="FL269" s="36"/>
      <c r="FM269" s="36"/>
      <c r="FN269" s="36"/>
      <c r="FO269" s="36"/>
      <c r="FP269" s="36"/>
      <c r="FQ269" s="36"/>
      <c r="FR269" s="36"/>
      <c r="FS269" s="36"/>
      <c r="FT269" s="36"/>
      <c r="FU269" s="36"/>
      <c r="FV269" s="36"/>
      <c r="FW269" s="36"/>
      <c r="FX269" s="36"/>
      <c r="FY269" s="36"/>
      <c r="FZ269" s="36"/>
      <c r="GA269" s="36"/>
      <c r="GB269" s="319"/>
      <c r="GC269" s="179">
        <f t="shared" si="47"/>
        <v>0</v>
      </c>
      <c r="GD269" s="179">
        <f t="shared" si="48"/>
        <v>0</v>
      </c>
      <c r="GE269" s="179">
        <f t="shared" si="49"/>
        <v>5.9400000000000001E-2</v>
      </c>
      <c r="GF269" s="179">
        <f t="shared" si="50"/>
        <v>0</v>
      </c>
      <c r="GG269" s="179">
        <f t="shared" si="42"/>
        <v>0</v>
      </c>
    </row>
    <row r="270" spans="1:189" x14ac:dyDescent="0.35">
      <c r="A270" s="5" t="s">
        <v>1326</v>
      </c>
      <c r="B270" s="5" t="str">
        <f>IF(Technologies!B270&lt;&gt;0,Technologies!B270,"")</f>
        <v>Gebouwde omgeving</v>
      </c>
      <c r="C270" s="5" t="str">
        <f>VLOOKUP($A270,Technologies!$A$7:$H$576,3,FALSE)</f>
        <v>Conversion</v>
      </c>
      <c r="D270" s="5" t="str">
        <f>VLOOKUP($A270,Technologies!$A$7:$H$576,4,FALSE)</f>
        <v>Residential</v>
      </c>
      <c r="E270" s="5" t="str">
        <f>VLOOKUP($A270,Technologies!$A$7:$H$576,6,FALSE)</f>
        <v>Heat LT Houses C-G</v>
      </c>
      <c r="F270" s="5" t="str">
        <f>VLOOKUP($A270,Technologies!$A$7:$H$576,7,FALSE)</f>
        <v>Boiler Gas wWood Stove - LT Heat for Houses</v>
      </c>
      <c r="G270" s="23"/>
      <c r="H270" s="23"/>
      <c r="I270" s="104" cm="1">
        <f t="array" ref="I270">-SUMPRODUCT((Feedstocks!$C$4:$C$141=A270)*Feedstocks!$E$4:$E$141,Feedstocks!$F$4:$F$141,Feedstocks!$H$4:$H$141,Feedstocks!$I$4:$I$141)</f>
        <v>0</v>
      </c>
      <c r="J270" s="104" cm="1">
        <f t="array" ref="J270">-SUMPRODUCT((Feedstocks!$C$4:$C$141=A270)*Feedstocks!$E$4:$E$141,Feedstocks!$H$4:$H$141,Feedstocks!$I$4:$I$141)</f>
        <v>0</v>
      </c>
      <c r="K270" s="104"/>
      <c r="L270" s="104"/>
      <c r="M270" s="23"/>
      <c r="N270" s="23" t="str">
        <f>VLOOKUP(E270,Activities!$A$9:$M$227,13,FALSE)</f>
        <v>NL</v>
      </c>
      <c r="O270" s="23"/>
      <c r="P270" s="79" t="s">
        <v>415</v>
      </c>
      <c r="Q270" s="35"/>
      <c r="R270" s="35"/>
      <c r="S270" s="35"/>
      <c r="T270" s="35"/>
      <c r="U270" s="35"/>
      <c r="V270" s="35"/>
      <c r="W270" s="35"/>
      <c r="X270" s="35"/>
      <c r="Y270" s="35"/>
      <c r="Z270" s="35"/>
      <c r="AA270" s="35"/>
      <c r="AB270" s="35"/>
      <c r="AC270" s="35"/>
      <c r="AD270" s="35"/>
      <c r="AE270" s="35"/>
      <c r="AF270" s="36"/>
      <c r="AG270" s="36"/>
      <c r="AH270" s="36"/>
      <c r="AI270" s="36"/>
      <c r="AJ270" s="36"/>
      <c r="AK270" s="36"/>
      <c r="AL270" s="36"/>
      <c r="AM270" s="36"/>
      <c r="AN270" s="36"/>
      <c r="AO270" s="36"/>
      <c r="AP270" s="35"/>
      <c r="AQ270" s="35"/>
      <c r="AR270" s="35"/>
      <c r="AS270" s="35"/>
      <c r="AT270" s="35"/>
      <c r="AU270" s="35"/>
      <c r="AV270" s="35"/>
      <c r="AW270" s="35"/>
      <c r="AX270" s="35"/>
      <c r="AY270" s="35"/>
      <c r="AZ270" s="35"/>
      <c r="BA270" s="35"/>
      <c r="BB270" s="35"/>
      <c r="BC270" s="35"/>
      <c r="BD270" s="35"/>
      <c r="BE270" s="35"/>
      <c r="BF270" s="35"/>
      <c r="BG270" s="35"/>
      <c r="BH270" s="35"/>
      <c r="BI270" s="35"/>
      <c r="BJ270" s="35"/>
      <c r="BK270" s="35"/>
      <c r="BL270" s="35"/>
      <c r="BM270" s="35"/>
      <c r="BN270" s="35"/>
      <c r="BO270" s="35"/>
      <c r="BP270" s="35"/>
      <c r="BQ270" s="35"/>
      <c r="BR270" s="35"/>
      <c r="BS270" s="35"/>
      <c r="BT270" s="35"/>
      <c r="BU270" s="35"/>
      <c r="BV270" s="35"/>
      <c r="BW270" s="35"/>
      <c r="BX270" s="35"/>
      <c r="BY270" s="35"/>
      <c r="BZ270" s="35"/>
      <c r="CA270" s="35"/>
      <c r="CB270" s="35"/>
      <c r="CC270" s="35"/>
      <c r="CD270" s="35"/>
      <c r="CE270" s="35"/>
      <c r="CF270" s="35"/>
      <c r="CG270" s="35"/>
      <c r="CH270" s="35"/>
      <c r="CI270" s="35"/>
      <c r="CJ270" s="35"/>
      <c r="CK270" s="35"/>
      <c r="CL270" s="35"/>
      <c r="CM270" s="35"/>
      <c r="CN270" s="35"/>
      <c r="CO270" s="35"/>
      <c r="CP270" s="35"/>
      <c r="CQ270" s="35"/>
      <c r="CR270" s="35"/>
      <c r="CS270" s="35"/>
      <c r="CT270" s="35"/>
      <c r="CU270" s="35"/>
      <c r="CV270" s="35"/>
      <c r="CW270" s="35"/>
      <c r="CX270" s="35"/>
      <c r="CY270" s="35"/>
      <c r="CZ270" s="35"/>
      <c r="DA270" s="35"/>
      <c r="DB270" s="35"/>
      <c r="DC270" s="35"/>
      <c r="DD270" s="35"/>
      <c r="DE270" s="35"/>
      <c r="DF270" s="35"/>
      <c r="DG270" s="35"/>
      <c r="DH270" s="35"/>
      <c r="DI270" s="35"/>
      <c r="DJ270" s="35">
        <v>1</v>
      </c>
      <c r="DK270" s="35"/>
      <c r="DL270" s="35"/>
      <c r="DM270" s="35"/>
      <c r="DN270" s="35"/>
      <c r="DO270" s="35"/>
      <c r="DP270" s="35"/>
      <c r="DQ270" s="35"/>
      <c r="DR270" s="35"/>
      <c r="DS270" s="35"/>
      <c r="DT270" s="35"/>
      <c r="DU270" s="35"/>
      <c r="DV270" s="35"/>
      <c r="DW270" s="35"/>
      <c r="DX270" s="35"/>
      <c r="DY270" s="35"/>
      <c r="DZ270" s="35"/>
      <c r="EA270" s="35"/>
      <c r="EB270" s="35"/>
      <c r="EC270" s="35"/>
      <c r="ED270" s="35"/>
      <c r="EE270" s="35"/>
      <c r="EF270" s="35"/>
      <c r="EG270" s="35"/>
      <c r="EH270" s="35"/>
      <c r="EI270" s="35"/>
      <c r="EJ270" s="35"/>
      <c r="EK270" s="35">
        <v>-0.8</v>
      </c>
      <c r="EL270" s="35"/>
      <c r="EM270" s="35"/>
      <c r="EN270" s="35"/>
      <c r="EO270" s="35"/>
      <c r="EP270" s="35"/>
      <c r="EQ270" s="35"/>
      <c r="ER270" s="35"/>
      <c r="ES270" s="35"/>
      <c r="ET270" s="35"/>
      <c r="EU270" s="35"/>
      <c r="EV270" s="35"/>
      <c r="EW270" s="35"/>
      <c r="EX270" s="35"/>
      <c r="EY270" s="35"/>
      <c r="EZ270" s="35"/>
      <c r="FA270" s="35">
        <v>-0.35</v>
      </c>
      <c r="FB270" s="35"/>
      <c r="FC270" s="35"/>
      <c r="FD270" s="35"/>
      <c r="FE270" s="35"/>
      <c r="FF270" s="35"/>
      <c r="FG270" s="35"/>
      <c r="FH270" s="35"/>
      <c r="FI270" s="35"/>
      <c r="FJ270" s="35"/>
      <c r="FK270" s="35"/>
      <c r="FL270" s="35"/>
      <c r="FM270" s="35"/>
      <c r="FN270" s="35"/>
      <c r="FO270" s="35"/>
      <c r="FP270" s="35"/>
      <c r="FQ270" s="35"/>
      <c r="FR270" s="35"/>
      <c r="FS270" s="35"/>
      <c r="FT270" s="35"/>
      <c r="FU270" s="35"/>
      <c r="FV270" s="35"/>
      <c r="FW270" s="35"/>
      <c r="FX270" s="35"/>
      <c r="FY270" s="35"/>
      <c r="FZ270" s="35"/>
      <c r="GA270" s="35"/>
      <c r="GB270" s="318"/>
      <c r="GC270" s="178">
        <f t="shared" si="47"/>
        <v>0</v>
      </c>
      <c r="GD270" s="178">
        <f t="shared" si="48"/>
        <v>0</v>
      </c>
      <c r="GE270" s="178">
        <f t="shared" si="49"/>
        <v>4.53E-2</v>
      </c>
      <c r="GF270" s="178">
        <f t="shared" si="50"/>
        <v>0</v>
      </c>
      <c r="GG270" s="178">
        <f t="shared" si="42"/>
        <v>0</v>
      </c>
    </row>
    <row r="271" spans="1:189" x14ac:dyDescent="0.35">
      <c r="A271" s="6" t="s">
        <v>1328</v>
      </c>
      <c r="B271" s="6" t="str">
        <f>IF(Technologies!B271&lt;&gt;0,Technologies!B271,"")</f>
        <v>Gebouwde omgeving</v>
      </c>
      <c r="C271" s="6" t="str">
        <f>VLOOKUP($A271,Technologies!$A$7:$H$576,3,FALSE)</f>
        <v>Conversion</v>
      </c>
      <c r="D271" s="6" t="str">
        <f>VLOOKUP($A271,Technologies!$A$7:$H$576,4,FALSE)</f>
        <v>Residential</v>
      </c>
      <c r="E271" s="6" t="str">
        <f>VLOOKUP($A271,Technologies!$A$7:$H$576,6,FALSE)</f>
        <v>Heat LT Houses C-G</v>
      </c>
      <c r="F271" s="48" t="str">
        <f>VLOOKUP($A271,Technologies!$A$7:$H$576,7,FALSE)</f>
        <v>District Heating - LT Heat for Houses</v>
      </c>
      <c r="G271" s="22"/>
      <c r="H271" s="22"/>
      <c r="I271" s="103" cm="1">
        <f t="array" ref="I271">-SUMPRODUCT((Feedstocks!$C$4:$C$141=A271)*Feedstocks!$E$4:$E$141,Feedstocks!$F$4:$F$141,Feedstocks!$H$4:$H$141,Feedstocks!$I$4:$I$141)</f>
        <v>0</v>
      </c>
      <c r="J271" s="103" cm="1">
        <f t="array" ref="J271">-SUMPRODUCT((Feedstocks!$C$4:$C$141=A271)*Feedstocks!$E$4:$E$141,Feedstocks!$H$4:$H$141,Feedstocks!$I$4:$I$141)</f>
        <v>0</v>
      </c>
      <c r="K271" s="103"/>
      <c r="L271" s="103"/>
      <c r="M271" s="22"/>
      <c r="N271" s="22" t="str">
        <f>VLOOKUP(E271,Activities!$A$9:$M$227,13,FALSE)</f>
        <v>NL</v>
      </c>
      <c r="O271" s="22"/>
      <c r="P271" s="80" t="s">
        <v>415</v>
      </c>
      <c r="Q271" s="36"/>
      <c r="R271" s="36"/>
      <c r="S271" s="36"/>
      <c r="T271" s="36"/>
      <c r="U271" s="36"/>
      <c r="V271" s="36"/>
      <c r="W271" s="36"/>
      <c r="X271" s="36"/>
      <c r="Y271" s="36"/>
      <c r="Z271" s="36"/>
      <c r="AA271" s="36"/>
      <c r="AB271" s="36"/>
      <c r="AC271" s="36"/>
      <c r="AD271" s="36"/>
      <c r="AE271" s="36"/>
      <c r="AF271" s="35"/>
      <c r="AG271" s="35"/>
      <c r="AH271" s="35"/>
      <c r="AI271" s="35"/>
      <c r="AJ271" s="35"/>
      <c r="AK271" s="35"/>
      <c r="AL271" s="35"/>
      <c r="AM271" s="35"/>
      <c r="AN271" s="35"/>
      <c r="AO271" s="35"/>
      <c r="AP271" s="36"/>
      <c r="AQ271" s="36"/>
      <c r="AR271" s="36"/>
      <c r="AS271" s="36"/>
      <c r="AT271" s="36"/>
      <c r="AU271" s="36"/>
      <c r="AV271" s="36"/>
      <c r="AW271" s="36"/>
      <c r="AX271" s="36"/>
      <c r="AY271" s="36"/>
      <c r="AZ271" s="36"/>
      <c r="BA271" s="36"/>
      <c r="BB271" s="36"/>
      <c r="BC271" s="36"/>
      <c r="BD271" s="36"/>
      <c r="BE271" s="36"/>
      <c r="BF271" s="36"/>
      <c r="BG271" s="36"/>
      <c r="BH271" s="36"/>
      <c r="BI271" s="36"/>
      <c r="BJ271" s="36"/>
      <c r="BK271" s="36"/>
      <c r="BL271" s="36"/>
      <c r="BM271" s="36"/>
      <c r="BN271" s="36"/>
      <c r="BO271" s="36"/>
      <c r="BP271" s="36"/>
      <c r="BQ271" s="36"/>
      <c r="BR271" s="36"/>
      <c r="BS271" s="36"/>
      <c r="BT271" s="36"/>
      <c r="BU271" s="36"/>
      <c r="BV271" s="36"/>
      <c r="BW271" s="36"/>
      <c r="BX271" s="36"/>
      <c r="BY271" s="36"/>
      <c r="BZ271" s="36"/>
      <c r="CA271" s="36"/>
      <c r="CB271" s="36"/>
      <c r="CC271" s="36"/>
      <c r="CD271" s="36"/>
      <c r="CE271" s="36"/>
      <c r="CF271" s="36"/>
      <c r="CG271" s="36"/>
      <c r="CH271" s="36"/>
      <c r="CI271" s="36"/>
      <c r="CJ271" s="36"/>
      <c r="CK271" s="36"/>
      <c r="CL271" s="36"/>
      <c r="CM271" s="36"/>
      <c r="CN271" s="36"/>
      <c r="CO271" s="36"/>
      <c r="CP271" s="36"/>
      <c r="CQ271" s="36"/>
      <c r="CR271" s="36"/>
      <c r="CS271" s="36"/>
      <c r="CT271" s="36"/>
      <c r="CU271" s="36"/>
      <c r="CV271" s="36"/>
      <c r="CW271" s="36"/>
      <c r="CX271" s="36"/>
      <c r="CY271" s="36"/>
      <c r="CZ271" s="36"/>
      <c r="DA271" s="36"/>
      <c r="DB271" s="36"/>
      <c r="DC271" s="36"/>
      <c r="DD271" s="36"/>
      <c r="DE271" s="36"/>
      <c r="DF271" s="36"/>
      <c r="DG271" s="36"/>
      <c r="DH271" s="36"/>
      <c r="DI271" s="36"/>
      <c r="DJ271" s="36">
        <v>1</v>
      </c>
      <c r="DK271" s="36"/>
      <c r="DL271" s="36"/>
      <c r="DM271" s="36">
        <v>-1</v>
      </c>
      <c r="DN271" s="36"/>
      <c r="DO271" s="36"/>
      <c r="DP271" s="36"/>
      <c r="DQ271" s="36"/>
      <c r="DR271" s="36"/>
      <c r="DS271" s="36"/>
      <c r="DT271" s="36"/>
      <c r="DU271" s="36"/>
      <c r="DV271" s="36"/>
      <c r="DW271" s="36"/>
      <c r="DX271" s="36"/>
      <c r="DY271" s="36"/>
      <c r="DZ271" s="36"/>
      <c r="EA271" s="36"/>
      <c r="EB271" s="36"/>
      <c r="EC271" s="36"/>
      <c r="ED271" s="36"/>
      <c r="EE271" s="36"/>
      <c r="EF271" s="36"/>
      <c r="EG271" s="36"/>
      <c r="EH271" s="36"/>
      <c r="EI271" s="36"/>
      <c r="EJ271" s="36"/>
      <c r="EK271" s="36"/>
      <c r="EL271" s="36"/>
      <c r="EM271" s="36"/>
      <c r="EN271" s="36"/>
      <c r="EO271" s="36"/>
      <c r="EP271" s="36"/>
      <c r="EQ271" s="36"/>
      <c r="ER271" s="36"/>
      <c r="ES271" s="36"/>
      <c r="ET271" s="36"/>
      <c r="EU271" s="36"/>
      <c r="EV271" s="36"/>
      <c r="EW271" s="36"/>
      <c r="EX271" s="36"/>
      <c r="EY271" s="36"/>
      <c r="EZ271" s="36"/>
      <c r="FA271" s="36"/>
      <c r="FB271" s="36"/>
      <c r="FC271" s="36"/>
      <c r="FD271" s="36"/>
      <c r="FE271" s="36"/>
      <c r="FF271" s="36"/>
      <c r="FG271" s="36"/>
      <c r="FH271" s="36"/>
      <c r="FI271" s="36"/>
      <c r="FJ271" s="36"/>
      <c r="FK271" s="36"/>
      <c r="FL271" s="36"/>
      <c r="FM271" s="36"/>
      <c r="FN271" s="36"/>
      <c r="FO271" s="36"/>
      <c r="FP271" s="36"/>
      <c r="FQ271" s="36"/>
      <c r="FR271" s="36"/>
      <c r="FS271" s="36"/>
      <c r="FT271" s="36"/>
      <c r="FU271" s="36"/>
      <c r="FV271" s="36"/>
      <c r="FW271" s="36"/>
      <c r="FX271" s="36"/>
      <c r="FY271" s="36"/>
      <c r="FZ271" s="36"/>
      <c r="GA271" s="36"/>
      <c r="GB271" s="319"/>
      <c r="GC271" s="179">
        <f t="shared" si="47"/>
        <v>0</v>
      </c>
      <c r="GD271" s="179">
        <f t="shared" si="48"/>
        <v>0</v>
      </c>
      <c r="GE271" s="179">
        <f t="shared" si="49"/>
        <v>0</v>
      </c>
      <c r="GF271" s="179">
        <f t="shared" si="50"/>
        <v>0</v>
      </c>
      <c r="GG271" s="179">
        <f t="shared" si="42"/>
        <v>0</v>
      </c>
    </row>
    <row r="272" spans="1:189" x14ac:dyDescent="0.35">
      <c r="A272" s="5" t="s">
        <v>1330</v>
      </c>
      <c r="B272" s="5" t="str">
        <f>IF(Technologies!B272&lt;&gt;0,Technologies!B272,"")</f>
        <v>Gebouwde omgeving</v>
      </c>
      <c r="C272" s="5" t="str">
        <f>VLOOKUP($A272,Technologies!$A$7:$H$576,3,FALSE)</f>
        <v>Conversion</v>
      </c>
      <c r="D272" s="5" t="str">
        <f>VLOOKUP($A272,Technologies!$A$7:$H$576,4,FALSE)</f>
        <v>Residential</v>
      </c>
      <c r="E272" s="5" t="str">
        <f>VLOOKUP($A272,Technologies!$A$7:$H$576,6,FALSE)</f>
        <v>Heat LT Houses C-G</v>
      </c>
      <c r="F272" s="5" t="str">
        <f>VLOOKUP($A272,Technologies!$A$7:$H$576,7,FALSE)</f>
        <v>Hybrid Heat Pump - LT Heat for Houses</v>
      </c>
      <c r="G272" s="23"/>
      <c r="H272" s="23"/>
      <c r="I272" s="104" cm="1">
        <f t="array" ref="I272">-SUMPRODUCT((Feedstocks!$C$4:$C$141=A272)*Feedstocks!$E$4:$E$141,Feedstocks!$F$4:$F$141,Feedstocks!$H$4:$H$141,Feedstocks!$I$4:$I$141)</f>
        <v>0</v>
      </c>
      <c r="J272" s="104" cm="1">
        <f t="array" ref="J272">-SUMPRODUCT((Feedstocks!$C$4:$C$141=A272)*Feedstocks!$E$4:$E$141,Feedstocks!$H$4:$H$141,Feedstocks!$I$4:$I$141)</f>
        <v>0</v>
      </c>
      <c r="K272" s="104"/>
      <c r="L272" s="104"/>
      <c r="M272" s="23"/>
      <c r="N272" s="23" t="str">
        <f>VLOOKUP(E272,Activities!$A$9:$M$227,13,FALSE)</f>
        <v>NL</v>
      </c>
      <c r="O272" s="23"/>
      <c r="P272" s="79" t="s">
        <v>415</v>
      </c>
      <c r="Q272" s="35"/>
      <c r="R272" s="35"/>
      <c r="S272" s="35"/>
      <c r="T272" s="35"/>
      <c r="U272" s="35"/>
      <c r="V272" s="35"/>
      <c r="W272" s="35"/>
      <c r="X272" s="35"/>
      <c r="Y272" s="35"/>
      <c r="Z272" s="35"/>
      <c r="AA272" s="35"/>
      <c r="AB272" s="35"/>
      <c r="AC272" s="35"/>
      <c r="AD272" s="35"/>
      <c r="AE272" s="35"/>
      <c r="AF272" s="36"/>
      <c r="AG272" s="36"/>
      <c r="AH272" s="36"/>
      <c r="AI272" s="36"/>
      <c r="AJ272" s="36"/>
      <c r="AK272" s="36"/>
      <c r="AL272" s="36"/>
      <c r="AM272" s="36"/>
      <c r="AN272" s="36"/>
      <c r="AO272" s="36"/>
      <c r="AP272" s="35"/>
      <c r="AQ272" s="35"/>
      <c r="AR272" s="35"/>
      <c r="AS272" s="35"/>
      <c r="AT272" s="35"/>
      <c r="AU272" s="35"/>
      <c r="AV272" s="35"/>
      <c r="AW272" s="35"/>
      <c r="AX272" s="35"/>
      <c r="AY272" s="35"/>
      <c r="AZ272" s="35"/>
      <c r="BA272" s="35"/>
      <c r="BB272" s="35"/>
      <c r="BC272" s="35"/>
      <c r="BD272" s="35"/>
      <c r="BE272" s="35"/>
      <c r="BF272" s="35"/>
      <c r="BG272" s="35"/>
      <c r="BH272" s="35"/>
      <c r="BI272" s="35"/>
      <c r="BJ272" s="35"/>
      <c r="BK272" s="35"/>
      <c r="BL272" s="35"/>
      <c r="BM272" s="35"/>
      <c r="BN272" s="35"/>
      <c r="BO272" s="35"/>
      <c r="BP272" s="35"/>
      <c r="BQ272" s="35"/>
      <c r="BR272" s="35"/>
      <c r="BS272" s="35"/>
      <c r="BT272" s="35"/>
      <c r="BU272" s="35"/>
      <c r="BV272" s="35"/>
      <c r="BW272" s="35"/>
      <c r="BX272" s="35"/>
      <c r="BY272" s="35"/>
      <c r="BZ272" s="35"/>
      <c r="CA272" s="35"/>
      <c r="CB272" s="35"/>
      <c r="CC272" s="35"/>
      <c r="CD272" s="35"/>
      <c r="CE272" s="35"/>
      <c r="CF272" s="35"/>
      <c r="CG272" s="35"/>
      <c r="CH272" s="35"/>
      <c r="CI272" s="35"/>
      <c r="CJ272" s="35"/>
      <c r="CK272" s="35"/>
      <c r="CL272" s="35"/>
      <c r="CM272" s="35"/>
      <c r="CN272" s="35"/>
      <c r="CO272" s="35"/>
      <c r="CP272" s="35"/>
      <c r="CQ272" s="35"/>
      <c r="CR272" s="35"/>
      <c r="CS272" s="35"/>
      <c r="CT272" s="35"/>
      <c r="CU272" s="35"/>
      <c r="CV272" s="35"/>
      <c r="CW272" s="35"/>
      <c r="CX272" s="35"/>
      <c r="CY272" s="35"/>
      <c r="CZ272" s="35"/>
      <c r="DA272" s="35"/>
      <c r="DB272" s="35"/>
      <c r="DC272" s="35"/>
      <c r="DD272" s="35"/>
      <c r="DE272" s="35"/>
      <c r="DF272" s="35"/>
      <c r="DG272" s="35"/>
      <c r="DH272" s="35"/>
      <c r="DI272" s="35">
        <v>-0.44444444444444448</v>
      </c>
      <c r="DJ272" s="35">
        <v>1</v>
      </c>
      <c r="DK272" s="35"/>
      <c r="DL272" s="35"/>
      <c r="DM272" s="35"/>
      <c r="DN272" s="35"/>
      <c r="DO272" s="35"/>
      <c r="DP272" s="35"/>
      <c r="DQ272" s="35"/>
      <c r="DR272" s="35"/>
      <c r="DS272" s="35"/>
      <c r="DT272" s="35"/>
      <c r="DU272" s="35"/>
      <c r="DV272" s="35"/>
      <c r="DW272" s="35"/>
      <c r="DX272" s="35"/>
      <c r="DY272" s="35"/>
      <c r="DZ272" s="35"/>
      <c r="EA272" s="35"/>
      <c r="EB272" s="35"/>
      <c r="EC272" s="35"/>
      <c r="ED272" s="35"/>
      <c r="EE272" s="35"/>
      <c r="EF272" s="35"/>
      <c r="EG272" s="35"/>
      <c r="EH272" s="35"/>
      <c r="EI272" s="35"/>
      <c r="EJ272" s="35"/>
      <c r="EK272" s="35">
        <v>-0.21052631578947367</v>
      </c>
      <c r="EL272" s="35"/>
      <c r="EM272" s="35"/>
      <c r="EN272" s="35"/>
      <c r="EO272" s="35"/>
      <c r="EP272" s="35"/>
      <c r="EQ272" s="35"/>
      <c r="ER272" s="35"/>
      <c r="ES272" s="35"/>
      <c r="ET272" s="35"/>
      <c r="EU272" s="35"/>
      <c r="EV272" s="35"/>
      <c r="EW272" s="35"/>
      <c r="EX272" s="35"/>
      <c r="EY272" s="35"/>
      <c r="EZ272" s="35"/>
      <c r="FA272" s="35"/>
      <c r="FB272" s="35"/>
      <c r="FC272" s="35"/>
      <c r="FD272" s="35"/>
      <c r="FE272" s="35"/>
      <c r="FF272" s="35"/>
      <c r="FG272" s="35"/>
      <c r="FH272" s="35"/>
      <c r="FI272" s="35"/>
      <c r="FJ272" s="35"/>
      <c r="FK272" s="35"/>
      <c r="FL272" s="35">
        <v>-0.35555555555555557</v>
      </c>
      <c r="FM272" s="35"/>
      <c r="FN272" s="35"/>
      <c r="FO272" s="35"/>
      <c r="FP272" s="35"/>
      <c r="FQ272" s="35"/>
      <c r="FR272" s="35"/>
      <c r="FS272" s="35"/>
      <c r="FT272" s="35"/>
      <c r="FU272" s="35"/>
      <c r="FV272" s="35"/>
      <c r="FW272" s="35"/>
      <c r="FX272" s="35"/>
      <c r="FY272" s="35"/>
      <c r="FZ272" s="35"/>
      <c r="GA272" s="35"/>
      <c r="GB272" s="318"/>
      <c r="GC272" s="178">
        <f t="shared" si="47"/>
        <v>0</v>
      </c>
      <c r="GD272" s="178">
        <f t="shared" si="48"/>
        <v>0</v>
      </c>
      <c r="GE272" s="178">
        <f t="shared" si="49"/>
        <v>1.1900000000000001E-2</v>
      </c>
      <c r="GF272" s="178">
        <f t="shared" si="50"/>
        <v>0</v>
      </c>
      <c r="GG272" s="178">
        <f t="shared" si="42"/>
        <v>0</v>
      </c>
    </row>
    <row r="273" spans="1:189" x14ac:dyDescent="0.35">
      <c r="A273" s="6" t="s">
        <v>1333</v>
      </c>
      <c r="B273" s="6" t="str">
        <f>IF(Technologies!B273&lt;&gt;0,Technologies!B273,"")</f>
        <v>Gebouwde omgeving</v>
      </c>
      <c r="C273" s="6" t="str">
        <f>VLOOKUP($A273,Technologies!$A$7:$H$576,3,FALSE)</f>
        <v>Conversion</v>
      </c>
      <c r="D273" s="6" t="str">
        <f>VLOOKUP($A273,Technologies!$A$7:$H$576,4,FALSE)</f>
        <v>Residential</v>
      </c>
      <c r="E273" s="6" t="str">
        <f>VLOOKUP($A273,Technologies!$A$7:$H$576,6,FALSE)</f>
        <v>Heat LT Houses C-G</v>
      </c>
      <c r="F273" s="48" t="str">
        <f>VLOOKUP($A273,Technologies!$A$7:$H$576,7,FALSE)</f>
        <v>Electric Boiler - LT Heat for Houses</v>
      </c>
      <c r="G273" s="22"/>
      <c r="H273" s="22"/>
      <c r="I273" s="103" cm="1">
        <f t="array" ref="I273">-SUMPRODUCT((Feedstocks!$C$4:$C$141=A273)*Feedstocks!$E$4:$E$141,Feedstocks!$F$4:$F$141,Feedstocks!$H$4:$H$141,Feedstocks!$I$4:$I$141)</f>
        <v>0</v>
      </c>
      <c r="J273" s="103" cm="1">
        <f t="array" ref="J273">-SUMPRODUCT((Feedstocks!$C$4:$C$141=A273)*Feedstocks!$E$4:$E$141,Feedstocks!$H$4:$H$141,Feedstocks!$I$4:$I$141)</f>
        <v>0</v>
      </c>
      <c r="K273" s="103"/>
      <c r="L273" s="103"/>
      <c r="M273" s="22"/>
      <c r="N273" s="22" t="str">
        <f>VLOOKUP(E273,Activities!$A$9:$M$227,13,FALSE)</f>
        <v>NL</v>
      </c>
      <c r="O273" s="22"/>
      <c r="P273" s="80" t="s">
        <v>415</v>
      </c>
      <c r="Q273" s="36"/>
      <c r="R273" s="36"/>
      <c r="S273" s="36"/>
      <c r="T273" s="36"/>
      <c r="U273" s="36"/>
      <c r="V273" s="36"/>
      <c r="W273" s="36"/>
      <c r="X273" s="36"/>
      <c r="Y273" s="36"/>
      <c r="Z273" s="36"/>
      <c r="AA273" s="36"/>
      <c r="AB273" s="36"/>
      <c r="AC273" s="36"/>
      <c r="AD273" s="36"/>
      <c r="AE273" s="36"/>
      <c r="AF273" s="35"/>
      <c r="AG273" s="35"/>
      <c r="AH273" s="35"/>
      <c r="AI273" s="35"/>
      <c r="AJ273" s="35"/>
      <c r="AK273" s="35"/>
      <c r="AL273" s="35"/>
      <c r="AM273" s="35"/>
      <c r="AN273" s="35"/>
      <c r="AO273" s="35"/>
      <c r="AP273" s="36"/>
      <c r="AQ273" s="36"/>
      <c r="AR273" s="36"/>
      <c r="AS273" s="36"/>
      <c r="AT273" s="36"/>
      <c r="AU273" s="36"/>
      <c r="AV273" s="36"/>
      <c r="AW273" s="36"/>
      <c r="AX273" s="36"/>
      <c r="AY273" s="36"/>
      <c r="AZ273" s="36"/>
      <c r="BA273" s="36"/>
      <c r="BB273" s="36"/>
      <c r="BC273" s="36"/>
      <c r="BD273" s="36"/>
      <c r="BE273" s="36"/>
      <c r="BF273" s="36"/>
      <c r="BG273" s="36"/>
      <c r="BH273" s="36"/>
      <c r="BI273" s="36"/>
      <c r="BJ273" s="36"/>
      <c r="BK273" s="36"/>
      <c r="BL273" s="36"/>
      <c r="BM273" s="36"/>
      <c r="BN273" s="36"/>
      <c r="BO273" s="36"/>
      <c r="BP273" s="36"/>
      <c r="BQ273" s="36"/>
      <c r="BR273" s="36"/>
      <c r="BS273" s="36"/>
      <c r="BT273" s="36"/>
      <c r="BU273" s="36"/>
      <c r="BV273" s="36"/>
      <c r="BW273" s="36"/>
      <c r="BX273" s="36"/>
      <c r="BY273" s="36"/>
      <c r="BZ273" s="36"/>
      <c r="CA273" s="36"/>
      <c r="CB273" s="36"/>
      <c r="CC273" s="36"/>
      <c r="CD273" s="36"/>
      <c r="CE273" s="36"/>
      <c r="CF273" s="36"/>
      <c r="CG273" s="36"/>
      <c r="CH273" s="36"/>
      <c r="CI273" s="36"/>
      <c r="CJ273" s="36"/>
      <c r="CK273" s="36"/>
      <c r="CL273" s="36"/>
      <c r="CM273" s="36"/>
      <c r="CN273" s="36"/>
      <c r="CO273" s="36"/>
      <c r="CP273" s="36"/>
      <c r="CQ273" s="36"/>
      <c r="CR273" s="36"/>
      <c r="CS273" s="36"/>
      <c r="CT273" s="36"/>
      <c r="CU273" s="36"/>
      <c r="CV273" s="36"/>
      <c r="CW273" s="36"/>
      <c r="CX273" s="36"/>
      <c r="CY273" s="36"/>
      <c r="CZ273" s="36"/>
      <c r="DA273" s="36"/>
      <c r="DB273" s="36"/>
      <c r="DC273" s="36"/>
      <c r="DD273" s="36"/>
      <c r="DE273" s="36"/>
      <c r="DF273" s="36"/>
      <c r="DG273" s="36"/>
      <c r="DH273" s="36"/>
      <c r="DI273" s="36">
        <f>-1/0.99</f>
        <v>-1.0101010101010102</v>
      </c>
      <c r="DJ273" s="36">
        <v>1</v>
      </c>
      <c r="DK273" s="36"/>
      <c r="DL273" s="36"/>
      <c r="DM273" s="36"/>
      <c r="DN273" s="36"/>
      <c r="DO273" s="36"/>
      <c r="DP273" s="36"/>
      <c r="DQ273" s="36"/>
      <c r="DR273" s="36"/>
      <c r="DS273" s="36"/>
      <c r="DT273" s="36"/>
      <c r="DU273" s="36"/>
      <c r="DV273" s="36"/>
      <c r="DW273" s="36"/>
      <c r="DX273" s="36"/>
      <c r="DY273" s="36"/>
      <c r="DZ273" s="36"/>
      <c r="EA273" s="36"/>
      <c r="EB273" s="36"/>
      <c r="EC273" s="36"/>
      <c r="ED273" s="36"/>
      <c r="EE273" s="36"/>
      <c r="EF273" s="36"/>
      <c r="EG273" s="36"/>
      <c r="EH273" s="36"/>
      <c r="EI273" s="36"/>
      <c r="EJ273" s="36"/>
      <c r="EK273" s="36"/>
      <c r="EL273" s="36"/>
      <c r="EM273" s="36"/>
      <c r="EN273" s="36"/>
      <c r="EO273" s="36"/>
      <c r="EP273" s="36"/>
      <c r="EQ273" s="36"/>
      <c r="ER273" s="36"/>
      <c r="ES273" s="36"/>
      <c r="ET273" s="36"/>
      <c r="EU273" s="36"/>
      <c r="EV273" s="36"/>
      <c r="EW273" s="36"/>
      <c r="EX273" s="36"/>
      <c r="EY273" s="36"/>
      <c r="EZ273" s="36"/>
      <c r="FA273" s="36"/>
      <c r="FB273" s="36"/>
      <c r="FC273" s="36"/>
      <c r="FD273" s="36"/>
      <c r="FE273" s="36"/>
      <c r="FF273" s="36"/>
      <c r="FG273" s="36"/>
      <c r="FH273" s="36"/>
      <c r="FI273" s="36"/>
      <c r="FJ273" s="36"/>
      <c r="FK273" s="36"/>
      <c r="FL273" s="36"/>
      <c r="FM273" s="36"/>
      <c r="FN273" s="36"/>
      <c r="FO273" s="36"/>
      <c r="FP273" s="36"/>
      <c r="FQ273" s="36"/>
      <c r="FR273" s="36"/>
      <c r="FS273" s="36"/>
      <c r="FT273" s="36"/>
      <c r="FU273" s="36"/>
      <c r="FV273" s="36"/>
      <c r="FW273" s="36"/>
      <c r="FX273" s="36"/>
      <c r="FY273" s="36"/>
      <c r="FZ273" s="36"/>
      <c r="GA273" s="36"/>
      <c r="GB273" s="319"/>
      <c r="GC273" s="179">
        <f t="shared" si="47"/>
        <v>0</v>
      </c>
      <c r="GD273" s="179">
        <f t="shared" si="48"/>
        <v>0</v>
      </c>
      <c r="GE273" s="179">
        <f t="shared" si="49"/>
        <v>0</v>
      </c>
      <c r="GF273" s="179">
        <f t="shared" si="50"/>
        <v>0</v>
      </c>
      <c r="GG273" s="179">
        <f t="shared" si="42"/>
        <v>0</v>
      </c>
    </row>
    <row r="274" spans="1:189" x14ac:dyDescent="0.35">
      <c r="A274" s="5" t="s">
        <v>1336</v>
      </c>
      <c r="B274" s="5" t="str">
        <f>IF(Technologies!B274&lt;&gt;0,Technologies!B274,"")</f>
        <v>Gebouwde omgeving</v>
      </c>
      <c r="C274" s="5" t="str">
        <f>VLOOKUP($A274,Technologies!$A$7:$H$576,3,FALSE)</f>
        <v>Conversion</v>
      </c>
      <c r="D274" s="5" t="str">
        <f>VLOOKUP($A274,Technologies!$A$7:$H$576,4,FALSE)</f>
        <v>Residential</v>
      </c>
      <c r="E274" s="5" t="str">
        <f>VLOOKUP($A274,Technologies!$A$7:$H$576,6,FALSE)</f>
        <v>Heat LT Houses C-G</v>
      </c>
      <c r="F274" s="5" t="str">
        <f>VLOOKUP($A274,Technologies!$A$7:$H$576,7,FALSE)</f>
        <v>Boiler Hydrogen - LT Heat for Houses</v>
      </c>
      <c r="G274" s="23"/>
      <c r="H274" s="23"/>
      <c r="I274" s="104" cm="1">
        <f t="array" ref="I274">-SUMPRODUCT((Feedstocks!$C$4:$C$141=A274)*Feedstocks!$E$4:$E$141,Feedstocks!$F$4:$F$141,Feedstocks!$H$4:$H$141,Feedstocks!$I$4:$I$141)</f>
        <v>0</v>
      </c>
      <c r="J274" s="104" cm="1">
        <f t="array" ref="J274">-SUMPRODUCT((Feedstocks!$C$4:$C$141=A274)*Feedstocks!$E$4:$E$141,Feedstocks!$H$4:$H$141,Feedstocks!$I$4:$I$141)</f>
        <v>0</v>
      </c>
      <c r="K274" s="104"/>
      <c r="L274" s="104"/>
      <c r="M274" s="23"/>
      <c r="N274" s="23" t="str">
        <f>VLOOKUP(E274,Activities!$A$9:$M$227,13,FALSE)</f>
        <v>NL</v>
      </c>
      <c r="O274" s="23"/>
      <c r="P274" s="79" t="s">
        <v>415</v>
      </c>
      <c r="Q274" s="35"/>
      <c r="R274" s="35"/>
      <c r="S274" s="35"/>
      <c r="T274" s="35"/>
      <c r="U274" s="35"/>
      <c r="V274" s="35"/>
      <c r="W274" s="35"/>
      <c r="X274" s="35"/>
      <c r="Y274" s="35"/>
      <c r="Z274" s="35"/>
      <c r="AA274" s="35"/>
      <c r="AB274" s="35"/>
      <c r="AC274" s="35"/>
      <c r="AD274" s="35"/>
      <c r="AE274" s="35"/>
      <c r="AF274" s="36"/>
      <c r="AG274" s="36"/>
      <c r="AH274" s="36"/>
      <c r="AI274" s="36"/>
      <c r="AJ274" s="36"/>
      <c r="AK274" s="36"/>
      <c r="AL274" s="36"/>
      <c r="AM274" s="36"/>
      <c r="AN274" s="36"/>
      <c r="AO274" s="36"/>
      <c r="AP274" s="35"/>
      <c r="AQ274" s="35"/>
      <c r="AR274" s="35"/>
      <c r="AS274" s="35"/>
      <c r="AT274" s="35"/>
      <c r="AU274" s="35"/>
      <c r="AV274" s="35"/>
      <c r="AW274" s="35"/>
      <c r="AX274" s="35"/>
      <c r="AY274" s="35"/>
      <c r="AZ274" s="35"/>
      <c r="BA274" s="35"/>
      <c r="BB274" s="35"/>
      <c r="BC274" s="35"/>
      <c r="BD274" s="35"/>
      <c r="BE274" s="35"/>
      <c r="BF274" s="35"/>
      <c r="BG274" s="35"/>
      <c r="BH274" s="35"/>
      <c r="BI274" s="35"/>
      <c r="BJ274" s="35"/>
      <c r="BK274" s="35"/>
      <c r="BL274" s="35"/>
      <c r="BM274" s="35"/>
      <c r="BN274" s="35"/>
      <c r="BO274" s="35"/>
      <c r="BP274" s="35"/>
      <c r="BQ274" s="35"/>
      <c r="BR274" s="35"/>
      <c r="BS274" s="35"/>
      <c r="BT274" s="35"/>
      <c r="BU274" s="35"/>
      <c r="BV274" s="35"/>
      <c r="BW274" s="35"/>
      <c r="BX274" s="35"/>
      <c r="BY274" s="35"/>
      <c r="BZ274" s="35"/>
      <c r="CA274" s="35"/>
      <c r="CB274" s="35"/>
      <c r="CC274" s="35"/>
      <c r="CD274" s="35"/>
      <c r="CE274" s="35"/>
      <c r="CF274" s="35"/>
      <c r="CG274" s="35"/>
      <c r="CH274" s="35"/>
      <c r="CI274" s="35"/>
      <c r="CJ274" s="35"/>
      <c r="CK274" s="35"/>
      <c r="CL274" s="35"/>
      <c r="CM274" s="35"/>
      <c r="CN274" s="35"/>
      <c r="CO274" s="35"/>
      <c r="CP274" s="35"/>
      <c r="CQ274" s="35"/>
      <c r="CR274" s="35"/>
      <c r="CS274" s="35"/>
      <c r="CT274" s="35"/>
      <c r="CU274" s="35"/>
      <c r="CV274" s="35"/>
      <c r="CW274" s="35"/>
      <c r="CX274" s="35"/>
      <c r="CY274" s="35"/>
      <c r="CZ274" s="35"/>
      <c r="DA274" s="35"/>
      <c r="DB274" s="35"/>
      <c r="DC274" s="35"/>
      <c r="DD274" s="35"/>
      <c r="DE274" s="35"/>
      <c r="DF274" s="35"/>
      <c r="DG274" s="35"/>
      <c r="DH274" s="35"/>
      <c r="DI274" s="35"/>
      <c r="DJ274" s="35">
        <v>1</v>
      </c>
      <c r="DK274" s="35"/>
      <c r="DL274" s="35"/>
      <c r="DM274" s="35"/>
      <c r="DN274" s="35"/>
      <c r="DO274" s="35"/>
      <c r="DP274" s="35"/>
      <c r="DQ274" s="35"/>
      <c r="DR274" s="35"/>
      <c r="DS274" s="35"/>
      <c r="DT274" s="35"/>
      <c r="DU274" s="35"/>
      <c r="DV274" s="35"/>
      <c r="DW274" s="35"/>
      <c r="DX274" s="35"/>
      <c r="DY274" s="35"/>
      <c r="DZ274" s="35"/>
      <c r="EA274" s="35"/>
      <c r="EB274" s="35"/>
      <c r="EC274" s="35"/>
      <c r="ED274" s="35"/>
      <c r="EE274" s="35"/>
      <c r="EF274" s="35"/>
      <c r="EG274" s="35"/>
      <c r="EH274" s="35"/>
      <c r="EI274" s="35"/>
      <c r="EJ274" s="35"/>
      <c r="EK274" s="35"/>
      <c r="EL274" s="35"/>
      <c r="EM274" s="35"/>
      <c r="EN274" s="35">
        <v>-1.05</v>
      </c>
      <c r="EO274" s="35"/>
      <c r="EP274" s="35"/>
      <c r="EQ274" s="35"/>
      <c r="ER274" s="35"/>
      <c r="ES274" s="35"/>
      <c r="ET274" s="35"/>
      <c r="EU274" s="35"/>
      <c r="EV274" s="35"/>
      <c r="EW274" s="35"/>
      <c r="EX274" s="35"/>
      <c r="EY274" s="35"/>
      <c r="EZ274" s="35"/>
      <c r="FA274" s="35"/>
      <c r="FB274" s="35"/>
      <c r="FC274" s="35"/>
      <c r="FD274" s="35"/>
      <c r="FE274" s="35"/>
      <c r="FF274" s="35"/>
      <c r="FG274" s="35"/>
      <c r="FH274" s="35"/>
      <c r="FI274" s="35"/>
      <c r="FJ274" s="35"/>
      <c r="FK274" s="35"/>
      <c r="FL274" s="35"/>
      <c r="FM274" s="35"/>
      <c r="FN274" s="35"/>
      <c r="FO274" s="35"/>
      <c r="FP274" s="35"/>
      <c r="FQ274" s="35"/>
      <c r="FR274" s="35"/>
      <c r="FS274" s="35"/>
      <c r="FT274" s="35"/>
      <c r="FU274" s="35"/>
      <c r="FV274" s="35"/>
      <c r="FW274" s="35"/>
      <c r="FX274" s="35"/>
      <c r="FY274" s="35"/>
      <c r="FZ274" s="35"/>
      <c r="GA274" s="35"/>
      <c r="GB274" s="318"/>
      <c r="GC274" s="178">
        <f t="shared" si="47"/>
        <v>0</v>
      </c>
      <c r="GD274" s="178">
        <f t="shared" si="48"/>
        <v>0</v>
      </c>
      <c r="GE274" s="178">
        <f t="shared" si="49"/>
        <v>0</v>
      </c>
      <c r="GF274" s="178">
        <f t="shared" si="50"/>
        <v>0</v>
      </c>
      <c r="GG274" s="178">
        <f t="shared" si="42"/>
        <v>0</v>
      </c>
    </row>
    <row r="275" spans="1:189" x14ac:dyDescent="0.35">
      <c r="A275" s="6" t="s">
        <v>1339</v>
      </c>
      <c r="B275" s="6" t="str">
        <f>IF(Technologies!B275&lt;&gt;0,Technologies!B275,"")</f>
        <v>Gebouwde omgeving</v>
      </c>
      <c r="C275" s="6" t="str">
        <f>VLOOKUP($A275,Technologies!$A$7:$H$576,3,FALSE)</f>
        <v>Conversion</v>
      </c>
      <c r="D275" s="6" t="str">
        <f>VLOOKUP($A275,Technologies!$A$7:$H$576,4,FALSE)</f>
        <v>Residential</v>
      </c>
      <c r="E275" s="6" t="str">
        <f>VLOOKUP($A275,Technologies!$A$7:$H$576,6,FALSE)</f>
        <v>Heat LT Houses A+,A,B</v>
      </c>
      <c r="F275" s="48" t="str">
        <f>VLOOKUP($A275,Technologies!$A$7:$H$576,7,FALSE)</f>
        <v>Dummy C-G tech into A+,A,B - LT Heat for Houses</v>
      </c>
      <c r="G275" s="22"/>
      <c r="H275" s="22"/>
      <c r="I275" s="103" cm="1">
        <f t="array" ref="I275">-SUMPRODUCT((Feedstocks!$C$4:$C$141=A275)*Feedstocks!$E$4:$E$141,Feedstocks!$F$4:$F$141,Feedstocks!$H$4:$H$141,Feedstocks!$I$4:$I$141)</f>
        <v>0</v>
      </c>
      <c r="J275" s="103" cm="1">
        <f t="array" ref="J275">-SUMPRODUCT((Feedstocks!$C$4:$C$141=A275)*Feedstocks!$E$4:$E$141,Feedstocks!$H$4:$H$141,Feedstocks!$I$4:$I$141)</f>
        <v>0</v>
      </c>
      <c r="K275" s="103"/>
      <c r="L275" s="103"/>
      <c r="M275" s="22"/>
      <c r="N275" s="22" t="str">
        <f>VLOOKUP(E275,Activities!$A$9:$M$227,13,FALSE)</f>
        <v>NL</v>
      </c>
      <c r="O275" s="22"/>
      <c r="P275" s="80" t="s">
        <v>415</v>
      </c>
      <c r="Q275" s="36"/>
      <c r="R275" s="36"/>
      <c r="S275" s="36"/>
      <c r="T275" s="36"/>
      <c r="U275" s="36"/>
      <c r="V275" s="36"/>
      <c r="W275" s="36"/>
      <c r="X275" s="36"/>
      <c r="Y275" s="36"/>
      <c r="Z275" s="36"/>
      <c r="AA275" s="36"/>
      <c r="AB275" s="36"/>
      <c r="AC275" s="36"/>
      <c r="AD275" s="36"/>
      <c r="AE275" s="36"/>
      <c r="AF275" s="35"/>
      <c r="AG275" s="35"/>
      <c r="AH275" s="35"/>
      <c r="AI275" s="35"/>
      <c r="AJ275" s="35"/>
      <c r="AK275" s="35"/>
      <c r="AL275" s="35"/>
      <c r="AM275" s="35"/>
      <c r="AN275" s="35"/>
      <c r="AO275" s="35"/>
      <c r="AP275" s="36"/>
      <c r="AQ275" s="36"/>
      <c r="AR275" s="36"/>
      <c r="AS275" s="36"/>
      <c r="AT275" s="36"/>
      <c r="AU275" s="36"/>
      <c r="AV275" s="36"/>
      <c r="AW275" s="36"/>
      <c r="AX275" s="36"/>
      <c r="AY275" s="36"/>
      <c r="AZ275" s="36"/>
      <c r="BA275" s="36"/>
      <c r="BB275" s="36"/>
      <c r="BC275" s="36"/>
      <c r="BD275" s="36"/>
      <c r="BE275" s="36"/>
      <c r="BF275" s="36"/>
      <c r="BG275" s="36"/>
      <c r="BH275" s="36"/>
      <c r="BI275" s="36"/>
      <c r="BJ275" s="36"/>
      <c r="BK275" s="36"/>
      <c r="BL275" s="36"/>
      <c r="BM275" s="36"/>
      <c r="BN275" s="36"/>
      <c r="BO275" s="36"/>
      <c r="BP275" s="36"/>
      <c r="BQ275" s="36"/>
      <c r="BR275" s="36"/>
      <c r="BS275" s="36"/>
      <c r="BT275" s="36"/>
      <c r="BU275" s="36"/>
      <c r="BV275" s="36"/>
      <c r="BW275" s="36"/>
      <c r="BX275" s="36"/>
      <c r="BY275" s="36"/>
      <c r="BZ275" s="36"/>
      <c r="CA275" s="36"/>
      <c r="CB275" s="36"/>
      <c r="CC275" s="36"/>
      <c r="CD275" s="36"/>
      <c r="CE275" s="36"/>
      <c r="CF275" s="36"/>
      <c r="CG275" s="36"/>
      <c r="CH275" s="36"/>
      <c r="CI275" s="36"/>
      <c r="CJ275" s="36"/>
      <c r="CK275" s="36"/>
      <c r="CL275" s="36"/>
      <c r="CM275" s="36"/>
      <c r="CN275" s="36"/>
      <c r="CO275" s="36"/>
      <c r="CP275" s="36"/>
      <c r="CQ275" s="36"/>
      <c r="CR275" s="36"/>
      <c r="CS275" s="36"/>
      <c r="CT275" s="36"/>
      <c r="CU275" s="36"/>
      <c r="CV275" s="36"/>
      <c r="CW275" s="36"/>
      <c r="CX275" s="36"/>
      <c r="CY275" s="36"/>
      <c r="CZ275" s="36"/>
      <c r="DA275" s="36"/>
      <c r="DB275" s="36"/>
      <c r="DC275" s="36"/>
      <c r="DD275" s="36"/>
      <c r="DE275" s="36"/>
      <c r="DF275" s="36"/>
      <c r="DG275" s="36"/>
      <c r="DH275" s="36"/>
      <c r="DI275" s="36"/>
      <c r="DJ275" s="36">
        <v>-1</v>
      </c>
      <c r="DK275" s="36">
        <v>1</v>
      </c>
      <c r="DL275" s="36"/>
      <c r="DM275" s="36"/>
      <c r="DN275" s="36"/>
      <c r="DO275" s="36"/>
      <c r="DP275" s="36"/>
      <c r="DQ275" s="36"/>
      <c r="DR275" s="36"/>
      <c r="DS275" s="36"/>
      <c r="DT275" s="36"/>
      <c r="DU275" s="36"/>
      <c r="DV275" s="36"/>
      <c r="DW275" s="36"/>
      <c r="DX275" s="36"/>
      <c r="DY275" s="36"/>
      <c r="DZ275" s="36"/>
      <c r="EA275" s="36"/>
      <c r="EB275" s="36"/>
      <c r="EC275" s="36"/>
      <c r="ED275" s="36"/>
      <c r="EE275" s="36"/>
      <c r="EF275" s="36"/>
      <c r="EG275" s="36"/>
      <c r="EH275" s="36"/>
      <c r="EI275" s="36"/>
      <c r="EJ275" s="36"/>
      <c r="EK275" s="36"/>
      <c r="EL275" s="36"/>
      <c r="EM275" s="36"/>
      <c r="EN275" s="36"/>
      <c r="EO275" s="36"/>
      <c r="EP275" s="36"/>
      <c r="EQ275" s="36"/>
      <c r="ER275" s="36"/>
      <c r="ES275" s="36"/>
      <c r="ET275" s="36"/>
      <c r="EU275" s="36"/>
      <c r="EV275" s="36"/>
      <c r="EW275" s="36"/>
      <c r="EX275" s="36"/>
      <c r="EY275" s="36"/>
      <c r="EZ275" s="36"/>
      <c r="FA275" s="36"/>
      <c r="FB275" s="36"/>
      <c r="FC275" s="36"/>
      <c r="FD275" s="36"/>
      <c r="FE275" s="36"/>
      <c r="FF275" s="36"/>
      <c r="FG275" s="36"/>
      <c r="FH275" s="36"/>
      <c r="FI275" s="36"/>
      <c r="FJ275" s="36"/>
      <c r="FK275" s="36"/>
      <c r="FL275" s="36"/>
      <c r="FM275" s="36"/>
      <c r="FN275" s="36"/>
      <c r="FO275" s="36"/>
      <c r="FP275" s="36"/>
      <c r="FQ275" s="36"/>
      <c r="FR275" s="36"/>
      <c r="FS275" s="36"/>
      <c r="FT275" s="36"/>
      <c r="FU275" s="36"/>
      <c r="FV275" s="36"/>
      <c r="FW275" s="36"/>
      <c r="FX275" s="36"/>
      <c r="FY275" s="36"/>
      <c r="FZ275" s="36"/>
      <c r="GA275" s="36"/>
      <c r="GB275" s="319"/>
      <c r="GC275" s="179">
        <f t="shared" si="47"/>
        <v>0</v>
      </c>
      <c r="GD275" s="179">
        <f t="shared" si="48"/>
        <v>0</v>
      </c>
      <c r="GE275" s="179">
        <f t="shared" si="49"/>
        <v>0</v>
      </c>
      <c r="GF275" s="179">
        <f t="shared" si="50"/>
        <v>0</v>
      </c>
      <c r="GG275" s="179">
        <f t="shared" si="42"/>
        <v>0</v>
      </c>
    </row>
    <row r="276" spans="1:189" x14ac:dyDescent="0.35">
      <c r="A276" s="5" t="s">
        <v>1341</v>
      </c>
      <c r="B276" s="5" t="str">
        <f>IF(Technologies!B276&lt;&gt;0,Technologies!B276,"")</f>
        <v>Gebouwde omgeving</v>
      </c>
      <c r="C276" s="5" t="str">
        <f>VLOOKUP($A276,Technologies!$A$7:$H$576,3,FALSE)</f>
        <v>Conversion</v>
      </c>
      <c r="D276" s="5" t="str">
        <f>VLOOKUP($A276,Technologies!$A$7:$H$576,4,FALSE)</f>
        <v>Residential</v>
      </c>
      <c r="E276" s="5" t="str">
        <f>VLOOKUP($A276,Technologies!$A$7:$H$576,6,FALSE)</f>
        <v>Heat LT Houses A+,A,B</v>
      </c>
      <c r="F276" s="5" t="str">
        <f>VLOOKUP($A276,Technologies!$A$7:$H$576,7,FALSE)</f>
        <v>Boiler Gas wSolar - LT Heat for Houses</v>
      </c>
      <c r="G276" s="23"/>
      <c r="H276" s="23"/>
      <c r="I276" s="104" cm="1">
        <f t="array" ref="I276">-SUMPRODUCT((Feedstocks!$C$4:$C$141=A276)*Feedstocks!$E$4:$E$141,Feedstocks!$F$4:$F$141,Feedstocks!$H$4:$H$141,Feedstocks!$I$4:$I$141)</f>
        <v>0</v>
      </c>
      <c r="J276" s="104" cm="1">
        <f t="array" ref="J276">-SUMPRODUCT((Feedstocks!$C$4:$C$141=A276)*Feedstocks!$E$4:$E$141,Feedstocks!$H$4:$H$141,Feedstocks!$I$4:$I$141)</f>
        <v>0</v>
      </c>
      <c r="K276" s="104"/>
      <c r="L276" s="104"/>
      <c r="M276" s="23"/>
      <c r="N276" s="23" t="str">
        <f>VLOOKUP(E276,Activities!$A$9:$M$227,13,FALSE)</f>
        <v>NL</v>
      </c>
      <c r="O276" s="23"/>
      <c r="P276" s="79" t="s">
        <v>1825</v>
      </c>
      <c r="Q276" s="35"/>
      <c r="R276" s="35"/>
      <c r="S276" s="35"/>
      <c r="T276" s="35"/>
      <c r="U276" s="35"/>
      <c r="V276" s="35"/>
      <c r="W276" s="35"/>
      <c r="X276" s="35"/>
      <c r="Y276" s="35"/>
      <c r="Z276" s="35"/>
      <c r="AA276" s="35"/>
      <c r="AB276" s="35"/>
      <c r="AC276" s="35"/>
      <c r="AD276" s="35"/>
      <c r="AE276" s="35"/>
      <c r="AF276" s="36"/>
      <c r="AG276" s="36"/>
      <c r="AH276" s="36"/>
      <c r="AI276" s="36"/>
      <c r="AJ276" s="36"/>
      <c r="AK276" s="36"/>
      <c r="AL276" s="36"/>
      <c r="AM276" s="36"/>
      <c r="AN276" s="36"/>
      <c r="AO276" s="36"/>
      <c r="AP276" s="35"/>
      <c r="AQ276" s="35"/>
      <c r="AR276" s="35"/>
      <c r="AS276" s="35"/>
      <c r="AT276" s="35"/>
      <c r="AU276" s="35"/>
      <c r="AV276" s="35"/>
      <c r="AW276" s="35"/>
      <c r="AX276" s="35"/>
      <c r="AY276" s="35"/>
      <c r="AZ276" s="35"/>
      <c r="BA276" s="35"/>
      <c r="BB276" s="35"/>
      <c r="BC276" s="35"/>
      <c r="BD276" s="35"/>
      <c r="BE276" s="35"/>
      <c r="BF276" s="35"/>
      <c r="BG276" s="35"/>
      <c r="BH276" s="35"/>
      <c r="BI276" s="35"/>
      <c r="BJ276" s="35"/>
      <c r="BK276" s="35"/>
      <c r="BL276" s="35"/>
      <c r="BM276" s="35"/>
      <c r="BN276" s="35"/>
      <c r="BO276" s="35"/>
      <c r="BP276" s="35"/>
      <c r="BQ276" s="35"/>
      <c r="BR276" s="35"/>
      <c r="BS276" s="35"/>
      <c r="BT276" s="35"/>
      <c r="BU276" s="35"/>
      <c r="BV276" s="35"/>
      <c r="BW276" s="35"/>
      <c r="BX276" s="35"/>
      <c r="BY276" s="35"/>
      <c r="BZ276" s="35"/>
      <c r="CA276" s="35"/>
      <c r="CB276" s="35"/>
      <c r="CC276" s="35"/>
      <c r="CD276" s="35"/>
      <c r="CE276" s="35"/>
      <c r="CF276" s="35"/>
      <c r="CG276" s="35"/>
      <c r="CH276" s="35"/>
      <c r="CI276" s="35"/>
      <c r="CJ276" s="35"/>
      <c r="CK276" s="35"/>
      <c r="CL276" s="35"/>
      <c r="CM276" s="35"/>
      <c r="CN276" s="35"/>
      <c r="CO276" s="35"/>
      <c r="CP276" s="35"/>
      <c r="CQ276" s="35"/>
      <c r="CR276" s="35"/>
      <c r="CS276" s="35"/>
      <c r="CT276" s="35"/>
      <c r="CU276" s="35"/>
      <c r="CV276" s="35"/>
      <c r="CW276" s="35"/>
      <c r="CX276" s="35"/>
      <c r="CY276" s="35"/>
      <c r="CZ276" s="35"/>
      <c r="DA276" s="35"/>
      <c r="DB276" s="35"/>
      <c r="DC276" s="35"/>
      <c r="DD276" s="35"/>
      <c r="DE276" s="35"/>
      <c r="DF276" s="35"/>
      <c r="DG276" s="35"/>
      <c r="DH276" s="35"/>
      <c r="DI276" s="35"/>
      <c r="DJ276" s="35"/>
      <c r="DK276" s="35">
        <v>1</v>
      </c>
      <c r="DL276" s="35"/>
      <c r="DM276" s="35"/>
      <c r="DN276" s="35"/>
      <c r="DO276" s="35"/>
      <c r="DP276" s="35"/>
      <c r="DQ276" s="35"/>
      <c r="DR276" s="35"/>
      <c r="DS276" s="35"/>
      <c r="DT276" s="35"/>
      <c r="DU276" s="35"/>
      <c r="DV276" s="35"/>
      <c r="DW276" s="35"/>
      <c r="DX276" s="35"/>
      <c r="DY276" s="35"/>
      <c r="DZ276" s="35"/>
      <c r="EA276" s="35"/>
      <c r="EB276" s="35"/>
      <c r="EC276" s="35"/>
      <c r="ED276" s="35"/>
      <c r="EE276" s="35"/>
      <c r="EF276" s="35"/>
      <c r="EG276" s="35"/>
      <c r="EH276" s="35"/>
      <c r="EI276" s="35"/>
      <c r="EJ276" s="35"/>
      <c r="EK276" s="35">
        <v>-1</v>
      </c>
      <c r="EL276" s="35"/>
      <c r="EM276" s="35"/>
      <c r="EN276" s="35"/>
      <c r="EO276" s="35"/>
      <c r="EP276" s="35"/>
      <c r="EQ276" s="35"/>
      <c r="ER276" s="35"/>
      <c r="ES276" s="35"/>
      <c r="ET276" s="35"/>
      <c r="EU276" s="35"/>
      <c r="EV276" s="35"/>
      <c r="EW276" s="35"/>
      <c r="EX276" s="35"/>
      <c r="EY276" s="35"/>
      <c r="EZ276" s="35"/>
      <c r="FA276" s="35"/>
      <c r="FB276" s="35"/>
      <c r="FC276" s="35"/>
      <c r="FD276" s="35"/>
      <c r="FE276" s="35"/>
      <c r="FF276" s="35"/>
      <c r="FG276" s="35"/>
      <c r="FH276" s="35"/>
      <c r="FI276" s="35"/>
      <c r="FJ276" s="35"/>
      <c r="FK276" s="35"/>
      <c r="FL276" s="35"/>
      <c r="FM276" s="35"/>
      <c r="FN276" s="35">
        <v>-0.82242546702767361</v>
      </c>
      <c r="FO276" s="35"/>
      <c r="FP276" s="35"/>
      <c r="FQ276" s="35"/>
      <c r="FR276" s="35"/>
      <c r="FS276" s="35"/>
      <c r="FT276" s="35"/>
      <c r="FU276" s="35"/>
      <c r="FV276" s="35"/>
      <c r="FW276" s="35"/>
      <c r="FX276" s="35"/>
      <c r="FY276" s="35"/>
      <c r="FZ276" s="35"/>
      <c r="GA276" s="35"/>
      <c r="GB276" s="318"/>
      <c r="GC276" s="178">
        <f t="shared" si="47"/>
        <v>0</v>
      </c>
      <c r="GD276" s="178">
        <f t="shared" si="48"/>
        <v>0</v>
      </c>
      <c r="GE276" s="178">
        <f t="shared" si="49"/>
        <v>5.6599999999999998E-2</v>
      </c>
      <c r="GF276" s="178">
        <f t="shared" si="50"/>
        <v>0</v>
      </c>
      <c r="GG276" s="178">
        <f t="shared" si="42"/>
        <v>0</v>
      </c>
    </row>
    <row r="277" spans="1:189" x14ac:dyDescent="0.35">
      <c r="A277" s="6" t="s">
        <v>1343</v>
      </c>
      <c r="B277" s="6" t="str">
        <f>IF(Technologies!B277&lt;&gt;0,Technologies!B277,"")</f>
        <v>Gebouwde omgeving</v>
      </c>
      <c r="C277" s="6" t="str">
        <f>VLOOKUP($A277,Technologies!$A$7:$H$576,3,FALSE)</f>
        <v>Conversion</v>
      </c>
      <c r="D277" s="6" t="str">
        <f>VLOOKUP($A277,Technologies!$A$7:$H$576,4,FALSE)</f>
        <v>Residential</v>
      </c>
      <c r="E277" s="6" t="str">
        <f>VLOOKUP($A277,Technologies!$A$7:$H$576,6,FALSE)</f>
        <v>Heat LT Houses A+,A,B</v>
      </c>
      <c r="F277" s="48" t="str">
        <f>VLOOKUP($A277,Technologies!$A$7:$H$576,7,FALSE)</f>
        <v>Electric Heater wSolar - LT Heat for Houses</v>
      </c>
      <c r="G277" s="22"/>
      <c r="H277" s="22"/>
      <c r="I277" s="103" cm="1">
        <f t="array" ref="I277">-SUMPRODUCT((Feedstocks!$C$4:$C$141=A277)*Feedstocks!$E$4:$E$141,Feedstocks!$F$4:$F$141,Feedstocks!$H$4:$H$141,Feedstocks!$I$4:$I$141)</f>
        <v>0</v>
      </c>
      <c r="J277" s="103" cm="1">
        <f t="array" ref="J277">-SUMPRODUCT((Feedstocks!$C$4:$C$141=A277)*Feedstocks!$E$4:$E$141,Feedstocks!$H$4:$H$141,Feedstocks!$I$4:$I$141)</f>
        <v>0</v>
      </c>
      <c r="K277" s="103"/>
      <c r="L277" s="103"/>
      <c r="M277" s="22"/>
      <c r="N277" s="22" t="str">
        <f>VLOOKUP(E277,Activities!$A$9:$M$227,13,FALSE)</f>
        <v>NL</v>
      </c>
      <c r="O277" s="22"/>
      <c r="P277" s="80" t="s">
        <v>415</v>
      </c>
      <c r="Q277" s="36"/>
      <c r="R277" s="36"/>
      <c r="S277" s="36"/>
      <c r="T277" s="36"/>
      <c r="U277" s="36"/>
      <c r="V277" s="36"/>
      <c r="W277" s="36"/>
      <c r="X277" s="36"/>
      <c r="Y277" s="36"/>
      <c r="Z277" s="36"/>
      <c r="AA277" s="36"/>
      <c r="AB277" s="36"/>
      <c r="AC277" s="36"/>
      <c r="AD277" s="36"/>
      <c r="AE277" s="36"/>
      <c r="AF277" s="35"/>
      <c r="AG277" s="35"/>
      <c r="AH277" s="35"/>
      <c r="AI277" s="35"/>
      <c r="AJ277" s="35"/>
      <c r="AK277" s="35"/>
      <c r="AL277" s="35"/>
      <c r="AM277" s="35"/>
      <c r="AN277" s="35"/>
      <c r="AO277" s="35"/>
      <c r="AP277" s="36"/>
      <c r="AQ277" s="36"/>
      <c r="AR277" s="36"/>
      <c r="AS277" s="36"/>
      <c r="AT277" s="36"/>
      <c r="AU277" s="36"/>
      <c r="AV277" s="36"/>
      <c r="AW277" s="36"/>
      <c r="AX277" s="36"/>
      <c r="AY277" s="36"/>
      <c r="AZ277" s="36"/>
      <c r="BA277" s="36"/>
      <c r="BB277" s="36"/>
      <c r="BC277" s="36"/>
      <c r="BD277" s="36"/>
      <c r="BE277" s="36"/>
      <c r="BF277" s="36"/>
      <c r="BG277" s="36"/>
      <c r="BH277" s="36"/>
      <c r="BI277" s="36"/>
      <c r="BJ277" s="36"/>
      <c r="BK277" s="36"/>
      <c r="BL277" s="36"/>
      <c r="BM277" s="36"/>
      <c r="BN277" s="36"/>
      <c r="BO277" s="36"/>
      <c r="BP277" s="36"/>
      <c r="BQ277" s="36"/>
      <c r="BR277" s="36"/>
      <c r="BS277" s="36"/>
      <c r="BT277" s="36"/>
      <c r="BU277" s="36"/>
      <c r="BV277" s="36"/>
      <c r="BW277" s="36"/>
      <c r="BX277" s="36"/>
      <c r="BY277" s="36"/>
      <c r="BZ277" s="36"/>
      <c r="CA277" s="36"/>
      <c r="CB277" s="36"/>
      <c r="CC277" s="36"/>
      <c r="CD277" s="36"/>
      <c r="CE277" s="36"/>
      <c r="CF277" s="36"/>
      <c r="CG277" s="36"/>
      <c r="CH277" s="36"/>
      <c r="CI277" s="36"/>
      <c r="CJ277" s="36"/>
      <c r="CK277" s="36"/>
      <c r="CL277" s="36"/>
      <c r="CM277" s="36"/>
      <c r="CN277" s="36"/>
      <c r="CO277" s="36"/>
      <c r="CP277" s="36"/>
      <c r="CQ277" s="36"/>
      <c r="CR277" s="36"/>
      <c r="CS277" s="36"/>
      <c r="CT277" s="36"/>
      <c r="CU277" s="36"/>
      <c r="CV277" s="36"/>
      <c r="CW277" s="36"/>
      <c r="CX277" s="36"/>
      <c r="CY277" s="36"/>
      <c r="CZ277" s="36"/>
      <c r="DA277" s="36"/>
      <c r="DB277" s="36"/>
      <c r="DC277" s="36"/>
      <c r="DD277" s="36"/>
      <c r="DE277" s="36"/>
      <c r="DF277" s="36"/>
      <c r="DG277" s="36"/>
      <c r="DH277" s="36"/>
      <c r="DI277" s="36">
        <v>-0.79627546461180276</v>
      </c>
      <c r="DJ277" s="36"/>
      <c r="DK277" s="36">
        <v>1</v>
      </c>
      <c r="DL277" s="36"/>
      <c r="DM277" s="36"/>
      <c r="DN277" s="36"/>
      <c r="DO277" s="36"/>
      <c r="DP277" s="36"/>
      <c r="DQ277" s="36"/>
      <c r="DR277" s="36"/>
      <c r="DS277" s="36"/>
      <c r="DT277" s="36"/>
      <c r="DU277" s="36"/>
      <c r="DV277" s="36"/>
      <c r="DW277" s="36"/>
      <c r="DX277" s="36"/>
      <c r="DY277" s="36"/>
      <c r="DZ277" s="36"/>
      <c r="EA277" s="36"/>
      <c r="EB277" s="36"/>
      <c r="EC277" s="36"/>
      <c r="ED277" s="36"/>
      <c r="EE277" s="36"/>
      <c r="EF277" s="36"/>
      <c r="EG277" s="36"/>
      <c r="EH277" s="36"/>
      <c r="EI277" s="36"/>
      <c r="EJ277" s="36"/>
      <c r="EK277" s="36"/>
      <c r="EL277" s="36"/>
      <c r="EM277" s="36"/>
      <c r="EN277" s="36"/>
      <c r="EO277" s="36"/>
      <c r="EP277" s="36"/>
      <c r="EQ277" s="36"/>
      <c r="ER277" s="36"/>
      <c r="ES277" s="36"/>
      <c r="ET277" s="36"/>
      <c r="EU277" s="36"/>
      <c r="EV277" s="36"/>
      <c r="EW277" s="36"/>
      <c r="EX277" s="36"/>
      <c r="EY277" s="36"/>
      <c r="EZ277" s="36"/>
      <c r="FA277" s="36"/>
      <c r="FB277" s="36"/>
      <c r="FC277" s="36"/>
      <c r="FD277" s="36"/>
      <c r="FE277" s="36"/>
      <c r="FF277" s="36"/>
      <c r="FG277" s="36"/>
      <c r="FH277" s="36"/>
      <c r="FI277" s="36"/>
      <c r="FJ277" s="36"/>
      <c r="FK277" s="36"/>
      <c r="FL277" s="36"/>
      <c r="FM277" s="36"/>
      <c r="FN277" s="36">
        <v>-0.20372453538819718</v>
      </c>
      <c r="FO277" s="36"/>
      <c r="FP277" s="36"/>
      <c r="FQ277" s="36"/>
      <c r="FR277" s="36"/>
      <c r="FS277" s="36"/>
      <c r="FT277" s="36"/>
      <c r="FU277" s="36"/>
      <c r="FV277" s="36"/>
      <c r="FW277" s="36"/>
      <c r="FX277" s="36"/>
      <c r="FY277" s="36"/>
      <c r="FZ277" s="36"/>
      <c r="GA277" s="36"/>
      <c r="GB277" s="319"/>
      <c r="GC277" s="179">
        <f t="shared" si="47"/>
        <v>0</v>
      </c>
      <c r="GD277" s="179">
        <f t="shared" si="48"/>
        <v>0</v>
      </c>
      <c r="GE277" s="179">
        <f t="shared" si="49"/>
        <v>0</v>
      </c>
      <c r="GF277" s="179">
        <f t="shared" si="50"/>
        <v>0</v>
      </c>
      <c r="GG277" s="179">
        <f t="shared" si="42"/>
        <v>0</v>
      </c>
    </row>
    <row r="278" spans="1:189" x14ac:dyDescent="0.35">
      <c r="A278" s="5" t="s">
        <v>1345</v>
      </c>
      <c r="B278" s="5" t="str">
        <f>IF(Technologies!B278&lt;&gt;0,Technologies!B278,"")</f>
        <v>Gebouwde omgeving</v>
      </c>
      <c r="C278" s="5" t="str">
        <f>VLOOKUP($A278,Technologies!$A$7:$H$576,3,FALSE)</f>
        <v>Conversion</v>
      </c>
      <c r="D278" s="5" t="str">
        <f>VLOOKUP($A278,Technologies!$A$7:$H$576,4,FALSE)</f>
        <v>Residential</v>
      </c>
      <c r="E278" s="5" t="str">
        <f>VLOOKUP($A278,Technologies!$A$7:$H$576,6,FALSE)</f>
        <v>Heat LT Houses A+,A,B</v>
      </c>
      <c r="F278" s="5" t="str">
        <f>VLOOKUP($A278,Technologies!$A$7:$H$576,7,FALSE)</f>
        <v>Electric Heat Pump Air - LT Heat for Houses</v>
      </c>
      <c r="G278" s="23"/>
      <c r="H278" s="23"/>
      <c r="I278" s="104" cm="1">
        <f t="array" ref="I278">-SUMPRODUCT((Feedstocks!$C$4:$C$141=A278)*Feedstocks!$E$4:$E$141,Feedstocks!$F$4:$F$141,Feedstocks!$H$4:$H$141,Feedstocks!$I$4:$I$141)</f>
        <v>0</v>
      </c>
      <c r="J278" s="104" cm="1">
        <f t="array" ref="J278">-SUMPRODUCT((Feedstocks!$C$4:$C$141=A278)*Feedstocks!$E$4:$E$141,Feedstocks!$H$4:$H$141,Feedstocks!$I$4:$I$141)</f>
        <v>0</v>
      </c>
      <c r="K278" s="104"/>
      <c r="L278" s="104"/>
      <c r="M278" s="23"/>
      <c r="N278" s="23" t="str">
        <f>VLOOKUP(E278,Activities!$A$9:$M$227,13,FALSE)</f>
        <v>NL</v>
      </c>
      <c r="O278" s="23"/>
      <c r="P278" s="79" t="s">
        <v>1826</v>
      </c>
      <c r="Q278" s="35"/>
      <c r="R278" s="35"/>
      <c r="S278" s="35"/>
      <c r="T278" s="35"/>
      <c r="U278" s="35"/>
      <c r="V278" s="35"/>
      <c r="W278" s="35"/>
      <c r="X278" s="35"/>
      <c r="Y278" s="35"/>
      <c r="Z278" s="35"/>
      <c r="AA278" s="35"/>
      <c r="AB278" s="35"/>
      <c r="AC278" s="35"/>
      <c r="AD278" s="35"/>
      <c r="AE278" s="35"/>
      <c r="AF278" s="36"/>
      <c r="AG278" s="36"/>
      <c r="AH278" s="36"/>
      <c r="AI278" s="36"/>
      <c r="AJ278" s="36"/>
      <c r="AK278" s="36"/>
      <c r="AL278" s="36"/>
      <c r="AM278" s="36"/>
      <c r="AN278" s="36"/>
      <c r="AO278" s="36"/>
      <c r="AP278" s="35"/>
      <c r="AQ278" s="35"/>
      <c r="AR278" s="35"/>
      <c r="AS278" s="35"/>
      <c r="AT278" s="35"/>
      <c r="AU278" s="35"/>
      <c r="AV278" s="35"/>
      <c r="AW278" s="35"/>
      <c r="AX278" s="35"/>
      <c r="AY278" s="35"/>
      <c r="AZ278" s="35"/>
      <c r="BA278" s="35"/>
      <c r="BB278" s="35"/>
      <c r="BC278" s="35"/>
      <c r="BD278" s="35"/>
      <c r="BE278" s="35"/>
      <c r="BF278" s="35"/>
      <c r="BG278" s="35"/>
      <c r="BH278" s="35"/>
      <c r="BI278" s="35"/>
      <c r="BJ278" s="35"/>
      <c r="BK278" s="35"/>
      <c r="BL278" s="35"/>
      <c r="BM278" s="35"/>
      <c r="BN278" s="35"/>
      <c r="BO278" s="35"/>
      <c r="BP278" s="35"/>
      <c r="BQ278" s="35"/>
      <c r="BR278" s="35"/>
      <c r="BS278" s="35"/>
      <c r="BT278" s="35"/>
      <c r="BU278" s="35"/>
      <c r="BV278" s="35"/>
      <c r="BW278" s="35"/>
      <c r="BX278" s="35"/>
      <c r="BY278" s="35"/>
      <c r="BZ278" s="35"/>
      <c r="CA278" s="35"/>
      <c r="CB278" s="35"/>
      <c r="CC278" s="35"/>
      <c r="CD278" s="35"/>
      <c r="CE278" s="35"/>
      <c r="CF278" s="35"/>
      <c r="CG278" s="35"/>
      <c r="CH278" s="35"/>
      <c r="CI278" s="35"/>
      <c r="CJ278" s="35"/>
      <c r="CK278" s="35"/>
      <c r="CL278" s="35"/>
      <c r="CM278" s="35"/>
      <c r="CN278" s="35"/>
      <c r="CO278" s="35"/>
      <c r="CP278" s="35"/>
      <c r="CQ278" s="35"/>
      <c r="CR278" s="35"/>
      <c r="CS278" s="35"/>
      <c r="CT278" s="35"/>
      <c r="CU278" s="35"/>
      <c r="CV278" s="35"/>
      <c r="CW278" s="35"/>
      <c r="CX278" s="35"/>
      <c r="CY278" s="35"/>
      <c r="CZ278" s="35"/>
      <c r="DA278" s="35"/>
      <c r="DB278" s="35"/>
      <c r="DC278" s="35"/>
      <c r="DD278" s="35"/>
      <c r="DE278" s="35"/>
      <c r="DF278" s="35"/>
      <c r="DG278" s="35"/>
      <c r="DH278" s="35"/>
      <c r="DI278" s="35">
        <v>-0.32</v>
      </c>
      <c r="DJ278" s="35"/>
      <c r="DK278" s="35">
        <v>1</v>
      </c>
      <c r="DL278" s="35"/>
      <c r="DM278" s="35"/>
      <c r="DN278" s="35"/>
      <c r="DO278" s="35"/>
      <c r="DP278" s="35"/>
      <c r="DQ278" s="35"/>
      <c r="DR278" s="35"/>
      <c r="DS278" s="35"/>
      <c r="DT278" s="35"/>
      <c r="DU278" s="35"/>
      <c r="DV278" s="35"/>
      <c r="DW278" s="35"/>
      <c r="DX278" s="35"/>
      <c r="DY278" s="35"/>
      <c r="DZ278" s="35"/>
      <c r="EA278" s="35"/>
      <c r="EB278" s="35"/>
      <c r="EC278" s="35"/>
      <c r="ED278" s="35"/>
      <c r="EE278" s="35"/>
      <c r="EF278" s="35"/>
      <c r="EG278" s="35"/>
      <c r="EH278" s="35"/>
      <c r="EI278" s="35"/>
      <c r="EJ278" s="35"/>
      <c r="EK278" s="35"/>
      <c r="EL278" s="35"/>
      <c r="EM278" s="35"/>
      <c r="EN278" s="35"/>
      <c r="EO278" s="35"/>
      <c r="EP278" s="35"/>
      <c r="EQ278" s="35"/>
      <c r="ER278" s="35"/>
      <c r="ES278" s="35"/>
      <c r="ET278" s="35"/>
      <c r="EU278" s="35"/>
      <c r="EV278" s="35"/>
      <c r="EW278" s="35"/>
      <c r="EX278" s="35"/>
      <c r="EY278" s="35"/>
      <c r="EZ278" s="35"/>
      <c r="FA278" s="35"/>
      <c r="FB278" s="35"/>
      <c r="FC278" s="35"/>
      <c r="FD278" s="35"/>
      <c r="FE278" s="35"/>
      <c r="FF278" s="35"/>
      <c r="FG278" s="35"/>
      <c r="FH278" s="35"/>
      <c r="FI278" s="35"/>
      <c r="FJ278" s="35"/>
      <c r="FK278" s="35"/>
      <c r="FL278" s="35">
        <v>-0.68</v>
      </c>
      <c r="FM278" s="35"/>
      <c r="FN278" s="35"/>
      <c r="FO278" s="35"/>
      <c r="FP278" s="35"/>
      <c r="FQ278" s="35"/>
      <c r="FR278" s="35"/>
      <c r="FS278" s="35"/>
      <c r="FT278" s="35"/>
      <c r="FU278" s="35"/>
      <c r="FV278" s="35"/>
      <c r="FW278" s="35"/>
      <c r="FX278" s="35"/>
      <c r="FY278" s="35"/>
      <c r="FZ278" s="35"/>
      <c r="GA278" s="35"/>
      <c r="GB278" s="318"/>
      <c r="GC278" s="178">
        <f t="shared" si="47"/>
        <v>0</v>
      </c>
      <c r="GD278" s="178">
        <f t="shared" si="48"/>
        <v>0</v>
      </c>
      <c r="GE278" s="178">
        <f t="shared" si="49"/>
        <v>0</v>
      </c>
      <c r="GF278" s="178">
        <f t="shared" si="50"/>
        <v>0</v>
      </c>
      <c r="GG278" s="178">
        <f t="shared" si="42"/>
        <v>0</v>
      </c>
    </row>
    <row r="279" spans="1:189" x14ac:dyDescent="0.35">
      <c r="A279" s="6" t="s">
        <v>1350</v>
      </c>
      <c r="B279" s="6" t="str">
        <f>IF(Technologies!B279&lt;&gt;0,Technologies!B279,"")</f>
        <v>Gebouwde omgeving</v>
      </c>
      <c r="C279" s="6" t="str">
        <f>VLOOKUP($A279,Technologies!$A$7:$H$576,3,FALSE)</f>
        <v>Conversion</v>
      </c>
      <c r="D279" s="6" t="str">
        <f>VLOOKUP($A279,Technologies!$A$7:$H$576,4,FALSE)</f>
        <v>Residential</v>
      </c>
      <c r="E279" s="6" t="str">
        <f>VLOOKUP($A279,Technologies!$A$7:$H$576,6,FALSE)</f>
        <v>Heat LT Houses A+,A,B</v>
      </c>
      <c r="F279" s="48" t="str">
        <f>VLOOKUP($A279,Technologies!$A$7:$H$576,7,FALSE)</f>
        <v>Electric Heat Pump GW - LT Heat for Houses</v>
      </c>
      <c r="G279" s="22"/>
      <c r="H279" s="22"/>
      <c r="I279" s="103" cm="1">
        <f t="array" ref="I279">-SUMPRODUCT((Feedstocks!$C$4:$C$141=A279)*Feedstocks!$E$4:$E$141,Feedstocks!$F$4:$F$141,Feedstocks!$H$4:$H$141,Feedstocks!$I$4:$I$141)</f>
        <v>0</v>
      </c>
      <c r="J279" s="103" cm="1">
        <f t="array" ref="J279">-SUMPRODUCT((Feedstocks!$C$4:$C$141=A279)*Feedstocks!$E$4:$E$141,Feedstocks!$H$4:$H$141,Feedstocks!$I$4:$I$141)</f>
        <v>0</v>
      </c>
      <c r="K279" s="103"/>
      <c r="L279" s="103"/>
      <c r="M279" s="22"/>
      <c r="N279" s="22" t="str">
        <f>VLOOKUP(E279,Activities!$A$9:$M$227,13,FALSE)</f>
        <v>NL</v>
      </c>
      <c r="O279" s="22"/>
      <c r="P279" s="80" t="s">
        <v>1827</v>
      </c>
      <c r="Q279" s="36"/>
      <c r="R279" s="36"/>
      <c r="S279" s="36"/>
      <c r="T279" s="36"/>
      <c r="U279" s="36"/>
      <c r="V279" s="36"/>
      <c r="W279" s="36"/>
      <c r="X279" s="36"/>
      <c r="Y279" s="36"/>
      <c r="Z279" s="36"/>
      <c r="AA279" s="36"/>
      <c r="AB279" s="36"/>
      <c r="AC279" s="36"/>
      <c r="AD279" s="36"/>
      <c r="AE279" s="36"/>
      <c r="AF279" s="35"/>
      <c r="AG279" s="35"/>
      <c r="AH279" s="35"/>
      <c r="AI279" s="35"/>
      <c r="AJ279" s="35"/>
      <c r="AK279" s="35"/>
      <c r="AL279" s="35"/>
      <c r="AM279" s="35"/>
      <c r="AN279" s="35"/>
      <c r="AO279" s="35"/>
      <c r="AP279" s="36"/>
      <c r="AQ279" s="36"/>
      <c r="AR279" s="36"/>
      <c r="AS279" s="36"/>
      <c r="AT279" s="36"/>
      <c r="AU279" s="36"/>
      <c r="AV279" s="36"/>
      <c r="AW279" s="36"/>
      <c r="AX279" s="36"/>
      <c r="AY279" s="36"/>
      <c r="AZ279" s="36"/>
      <c r="BA279" s="36"/>
      <c r="BB279" s="36"/>
      <c r="BC279" s="36"/>
      <c r="BD279" s="36"/>
      <c r="BE279" s="36"/>
      <c r="BF279" s="36"/>
      <c r="BG279" s="36"/>
      <c r="BH279" s="36"/>
      <c r="BI279" s="36"/>
      <c r="BJ279" s="36"/>
      <c r="BK279" s="36"/>
      <c r="BL279" s="36"/>
      <c r="BM279" s="36"/>
      <c r="BN279" s="36"/>
      <c r="BO279" s="36"/>
      <c r="BP279" s="36"/>
      <c r="BQ279" s="36"/>
      <c r="BR279" s="36"/>
      <c r="BS279" s="36"/>
      <c r="BT279" s="36"/>
      <c r="BU279" s="36"/>
      <c r="BV279" s="36"/>
      <c r="BW279" s="36"/>
      <c r="BX279" s="36"/>
      <c r="BY279" s="36"/>
      <c r="BZ279" s="36"/>
      <c r="CA279" s="36"/>
      <c r="CB279" s="36"/>
      <c r="CC279" s="36"/>
      <c r="CD279" s="36"/>
      <c r="CE279" s="36"/>
      <c r="CF279" s="36"/>
      <c r="CG279" s="36"/>
      <c r="CH279" s="36"/>
      <c r="CI279" s="36"/>
      <c r="CJ279" s="36"/>
      <c r="CK279" s="36"/>
      <c r="CL279" s="36"/>
      <c r="CM279" s="36"/>
      <c r="CN279" s="36"/>
      <c r="CO279" s="36"/>
      <c r="CP279" s="36"/>
      <c r="CQ279" s="36"/>
      <c r="CR279" s="36"/>
      <c r="CS279" s="36"/>
      <c r="CT279" s="36"/>
      <c r="CU279" s="36"/>
      <c r="CV279" s="36"/>
      <c r="CW279" s="36"/>
      <c r="CX279" s="36"/>
      <c r="CY279" s="36"/>
      <c r="CZ279" s="36"/>
      <c r="DA279" s="36"/>
      <c r="DB279" s="36"/>
      <c r="DC279" s="36"/>
      <c r="DD279" s="36"/>
      <c r="DE279" s="36"/>
      <c r="DF279" s="36"/>
      <c r="DG279" s="36"/>
      <c r="DH279" s="36"/>
      <c r="DI279" s="36">
        <v>-0.27</v>
      </c>
      <c r="DJ279" s="36"/>
      <c r="DK279" s="36">
        <v>1</v>
      </c>
      <c r="DL279" s="36"/>
      <c r="DM279" s="36"/>
      <c r="DN279" s="36"/>
      <c r="DO279" s="36"/>
      <c r="DP279" s="36"/>
      <c r="DQ279" s="36"/>
      <c r="DR279" s="36"/>
      <c r="DS279" s="36"/>
      <c r="DT279" s="36"/>
      <c r="DU279" s="36"/>
      <c r="DV279" s="36"/>
      <c r="DW279" s="36"/>
      <c r="DX279" s="36"/>
      <c r="DY279" s="36"/>
      <c r="DZ279" s="36"/>
      <c r="EA279" s="36"/>
      <c r="EB279" s="36"/>
      <c r="EC279" s="36"/>
      <c r="ED279" s="36"/>
      <c r="EE279" s="36"/>
      <c r="EF279" s="36"/>
      <c r="EG279" s="36"/>
      <c r="EH279" s="36"/>
      <c r="EI279" s="36"/>
      <c r="EJ279" s="36"/>
      <c r="EK279" s="36"/>
      <c r="EL279" s="36"/>
      <c r="EM279" s="36"/>
      <c r="EN279" s="36"/>
      <c r="EO279" s="36"/>
      <c r="EP279" s="36"/>
      <c r="EQ279" s="36"/>
      <c r="ER279" s="36"/>
      <c r="ES279" s="36"/>
      <c r="ET279" s="36"/>
      <c r="EU279" s="36"/>
      <c r="EV279" s="36"/>
      <c r="EW279" s="36"/>
      <c r="EX279" s="36"/>
      <c r="EY279" s="36"/>
      <c r="EZ279" s="36"/>
      <c r="FA279" s="36"/>
      <c r="FB279" s="36"/>
      <c r="FC279" s="36"/>
      <c r="FD279" s="36"/>
      <c r="FE279" s="36"/>
      <c r="FF279" s="36"/>
      <c r="FG279" s="36"/>
      <c r="FH279" s="36"/>
      <c r="FI279" s="36"/>
      <c r="FJ279" s="36"/>
      <c r="FK279" s="36"/>
      <c r="FL279" s="36">
        <v>-0.73</v>
      </c>
      <c r="FM279" s="36"/>
      <c r="FN279" s="36"/>
      <c r="FO279" s="36"/>
      <c r="FP279" s="36"/>
      <c r="FQ279" s="36"/>
      <c r="FR279" s="36"/>
      <c r="FS279" s="36"/>
      <c r="FT279" s="36"/>
      <c r="FU279" s="36"/>
      <c r="FV279" s="36"/>
      <c r="FW279" s="36"/>
      <c r="FX279" s="36"/>
      <c r="FY279" s="36"/>
      <c r="FZ279" s="36"/>
      <c r="GA279" s="36"/>
      <c r="GB279" s="319"/>
      <c r="GC279" s="179">
        <f t="shared" si="47"/>
        <v>0</v>
      </c>
      <c r="GD279" s="179">
        <f t="shared" si="48"/>
        <v>0</v>
      </c>
      <c r="GE279" s="179">
        <f t="shared" si="49"/>
        <v>0</v>
      </c>
      <c r="GF279" s="179">
        <f t="shared" si="50"/>
        <v>0</v>
      </c>
      <c r="GG279" s="179">
        <f t="shared" si="42"/>
        <v>0</v>
      </c>
    </row>
    <row r="280" spans="1:189" x14ac:dyDescent="0.35">
      <c r="A280" s="5" t="s">
        <v>1353</v>
      </c>
      <c r="B280" s="5" t="str">
        <f>IF(Technologies!B280&lt;&gt;0,Technologies!B280,"")</f>
        <v>Gebouwde omgeving</v>
      </c>
      <c r="C280" s="5" t="str">
        <f>VLOOKUP($A280,Technologies!$A$7:$H$576,3,FALSE)</f>
        <v>Conversion</v>
      </c>
      <c r="D280" s="5" t="str">
        <f>VLOOKUP($A280,Technologies!$A$7:$H$576,4,FALSE)</f>
        <v>Services</v>
      </c>
      <c r="E280" s="5" t="str">
        <f>VLOOKUP($A280,Technologies!$A$7:$H$576,6,FALSE)</f>
        <v>Heat LT Services</v>
      </c>
      <c r="F280" s="5" t="str">
        <f>VLOOKUP($A280,Technologies!$A$7:$H$576,7,FALSE)</f>
        <v>Boiler Gas Standard - LT Heat for Services</v>
      </c>
      <c r="G280" s="23"/>
      <c r="H280" s="23"/>
      <c r="I280" s="104" cm="1">
        <f t="array" ref="I280">-SUMPRODUCT((Feedstocks!$C$4:$C$141=A280)*Feedstocks!$E$4:$E$141,Feedstocks!$F$4:$F$141,Feedstocks!$H$4:$H$141,Feedstocks!$I$4:$I$141)</f>
        <v>0</v>
      </c>
      <c r="J280" s="104" cm="1">
        <f t="array" ref="J280">-SUMPRODUCT((Feedstocks!$C$4:$C$141=A280)*Feedstocks!$E$4:$E$141,Feedstocks!$H$4:$H$141,Feedstocks!$I$4:$I$141)</f>
        <v>0</v>
      </c>
      <c r="K280" s="104"/>
      <c r="L280" s="104"/>
      <c r="M280" s="23"/>
      <c r="N280" s="23" t="str">
        <f>VLOOKUP(E280,Activities!$A$9:$M$227,13,FALSE)</f>
        <v>NL</v>
      </c>
      <c r="O280" s="23"/>
      <c r="P280" s="79" t="s">
        <v>415</v>
      </c>
      <c r="Q280" s="35"/>
      <c r="R280" s="35"/>
      <c r="S280" s="35"/>
      <c r="T280" s="35"/>
      <c r="U280" s="35"/>
      <c r="V280" s="35"/>
      <c r="W280" s="35"/>
      <c r="X280" s="35"/>
      <c r="Y280" s="35"/>
      <c r="Z280" s="35"/>
      <c r="AA280" s="35"/>
      <c r="AB280" s="35"/>
      <c r="AC280" s="35"/>
      <c r="AD280" s="35"/>
      <c r="AE280" s="35"/>
      <c r="AF280" s="36"/>
      <c r="AG280" s="36"/>
      <c r="AH280" s="36"/>
      <c r="AI280" s="36"/>
      <c r="AJ280" s="36"/>
      <c r="AK280" s="36"/>
      <c r="AL280" s="36"/>
      <c r="AM280" s="36"/>
      <c r="AN280" s="36"/>
      <c r="AO280" s="36"/>
      <c r="AP280" s="35"/>
      <c r="AQ280" s="35"/>
      <c r="AR280" s="35"/>
      <c r="AS280" s="35"/>
      <c r="AT280" s="35"/>
      <c r="AU280" s="35"/>
      <c r="AV280" s="35"/>
      <c r="AW280" s="35"/>
      <c r="AX280" s="35"/>
      <c r="AY280" s="35"/>
      <c r="AZ280" s="35"/>
      <c r="BA280" s="35"/>
      <c r="BB280" s="35"/>
      <c r="BC280" s="35"/>
      <c r="BD280" s="35"/>
      <c r="BE280" s="35"/>
      <c r="BF280" s="35"/>
      <c r="BG280" s="35"/>
      <c r="BH280" s="35"/>
      <c r="BI280" s="35"/>
      <c r="BJ280" s="35"/>
      <c r="BK280" s="35"/>
      <c r="BL280" s="35"/>
      <c r="BM280" s="35"/>
      <c r="BN280" s="35"/>
      <c r="BO280" s="35"/>
      <c r="BP280" s="35"/>
      <c r="BQ280" s="35"/>
      <c r="BR280" s="35"/>
      <c r="BS280" s="35"/>
      <c r="BT280" s="35"/>
      <c r="BU280" s="35"/>
      <c r="BV280" s="35"/>
      <c r="BW280" s="35"/>
      <c r="BX280" s="35"/>
      <c r="BY280" s="35"/>
      <c r="BZ280" s="35"/>
      <c r="CA280" s="35"/>
      <c r="CB280" s="35"/>
      <c r="CC280" s="35"/>
      <c r="CD280" s="35"/>
      <c r="CE280" s="35"/>
      <c r="CF280" s="35"/>
      <c r="CG280" s="35"/>
      <c r="CH280" s="35"/>
      <c r="CI280" s="35"/>
      <c r="CJ280" s="35"/>
      <c r="CK280" s="35"/>
      <c r="CL280" s="35"/>
      <c r="CM280" s="35"/>
      <c r="CN280" s="35"/>
      <c r="CO280" s="35"/>
      <c r="CP280" s="35"/>
      <c r="CQ280" s="35"/>
      <c r="CR280" s="35"/>
      <c r="CS280" s="35"/>
      <c r="CT280" s="35"/>
      <c r="CU280" s="35"/>
      <c r="CV280" s="35"/>
      <c r="CW280" s="35"/>
      <c r="CX280" s="35"/>
      <c r="CY280" s="35"/>
      <c r="CZ280" s="35"/>
      <c r="DA280" s="35"/>
      <c r="DB280" s="35"/>
      <c r="DC280" s="35"/>
      <c r="DD280" s="35"/>
      <c r="DE280" s="35"/>
      <c r="DF280" s="35"/>
      <c r="DG280" s="35"/>
      <c r="DH280" s="35"/>
      <c r="DI280" s="35"/>
      <c r="DJ280" s="35"/>
      <c r="DK280" s="35"/>
      <c r="DL280" s="35">
        <v>1</v>
      </c>
      <c r="DM280" s="35"/>
      <c r="DN280" s="35"/>
      <c r="DO280" s="35"/>
      <c r="DP280" s="35"/>
      <c r="DQ280" s="35"/>
      <c r="DR280" s="35"/>
      <c r="DS280" s="35"/>
      <c r="DT280" s="35"/>
      <c r="DU280" s="35"/>
      <c r="DV280" s="35"/>
      <c r="DW280" s="35"/>
      <c r="DX280" s="35"/>
      <c r="DY280" s="35"/>
      <c r="DZ280" s="35"/>
      <c r="EA280" s="35"/>
      <c r="EB280" s="35"/>
      <c r="EC280" s="35"/>
      <c r="ED280" s="35"/>
      <c r="EE280" s="35"/>
      <c r="EF280" s="35"/>
      <c r="EG280" s="35"/>
      <c r="EH280" s="35"/>
      <c r="EI280" s="35"/>
      <c r="EJ280" s="35"/>
      <c r="EK280" s="35">
        <v>-1.1111111111111101</v>
      </c>
      <c r="EL280" s="35"/>
      <c r="EM280" s="35"/>
      <c r="EN280" s="35"/>
      <c r="EO280" s="35"/>
      <c r="EP280" s="35"/>
      <c r="EQ280" s="35"/>
      <c r="ER280" s="35"/>
      <c r="ES280" s="35"/>
      <c r="ET280" s="35"/>
      <c r="EU280" s="35"/>
      <c r="EV280" s="35"/>
      <c r="EW280" s="35"/>
      <c r="EX280" s="35"/>
      <c r="EY280" s="35"/>
      <c r="EZ280" s="35"/>
      <c r="FA280" s="35"/>
      <c r="FB280" s="35"/>
      <c r="FC280" s="35"/>
      <c r="FD280" s="35"/>
      <c r="FE280" s="35"/>
      <c r="FF280" s="35"/>
      <c r="FG280" s="35"/>
      <c r="FH280" s="35"/>
      <c r="FI280" s="35"/>
      <c r="FJ280" s="35"/>
      <c r="FK280" s="35"/>
      <c r="FL280" s="35"/>
      <c r="FM280" s="35"/>
      <c r="FN280" s="35"/>
      <c r="FO280" s="35"/>
      <c r="FP280" s="35"/>
      <c r="FQ280" s="35"/>
      <c r="FR280" s="35"/>
      <c r="FS280" s="35"/>
      <c r="FT280" s="35"/>
      <c r="FU280" s="35"/>
      <c r="FV280" s="35"/>
      <c r="FW280" s="35"/>
      <c r="FX280" s="35"/>
      <c r="FY280" s="35"/>
      <c r="FZ280" s="35"/>
      <c r="GA280" s="35"/>
      <c r="GB280" s="318"/>
      <c r="GC280" s="178">
        <f t="shared" si="47"/>
        <v>0</v>
      </c>
      <c r="GD280" s="178">
        <f t="shared" si="48"/>
        <v>0</v>
      </c>
      <c r="GE280" s="178">
        <f t="shared" si="49"/>
        <v>6.2899999999999998E-2</v>
      </c>
      <c r="GF280" s="178">
        <f t="shared" si="50"/>
        <v>0</v>
      </c>
      <c r="GG280" s="178">
        <f t="shared" si="42"/>
        <v>0</v>
      </c>
    </row>
    <row r="281" spans="1:189" x14ac:dyDescent="0.35">
      <c r="A281" s="6" t="s">
        <v>1355</v>
      </c>
      <c r="B281" s="6" t="str">
        <f>IF(Technologies!B281&lt;&gt;0,Technologies!B281,"")</f>
        <v>Gebouwde omgeving</v>
      </c>
      <c r="C281" s="6" t="str">
        <f>VLOOKUP($A281,Technologies!$A$7:$H$576,3,FALSE)</f>
        <v>Conversion</v>
      </c>
      <c r="D281" s="6" t="str">
        <f>VLOOKUP($A281,Technologies!$A$7:$H$576,4,FALSE)</f>
        <v>Services</v>
      </c>
      <c r="E281" s="6" t="str">
        <f>VLOOKUP($A281,Technologies!$A$7:$H$576,6,FALSE)</f>
        <v>Heat LT Services</v>
      </c>
      <c r="F281" s="48" t="str">
        <f>VLOOKUP($A281,Technologies!$A$7:$H$576,7,FALSE)</f>
        <v>Boiler Gas HR107 - LT Heat for Services</v>
      </c>
      <c r="G281" s="22"/>
      <c r="H281" s="22"/>
      <c r="I281" s="103" cm="1">
        <f t="array" ref="I281">-SUMPRODUCT((Feedstocks!$C$4:$C$141=A281)*Feedstocks!$E$4:$E$141,Feedstocks!$F$4:$F$141,Feedstocks!$H$4:$H$141,Feedstocks!$I$4:$I$141)</f>
        <v>0</v>
      </c>
      <c r="J281" s="103" cm="1">
        <f t="array" ref="J281">-SUMPRODUCT((Feedstocks!$C$4:$C$141=A281)*Feedstocks!$E$4:$E$141,Feedstocks!$H$4:$H$141,Feedstocks!$I$4:$I$141)</f>
        <v>0</v>
      </c>
      <c r="K281" s="103"/>
      <c r="L281" s="103"/>
      <c r="M281" s="22"/>
      <c r="N281" s="22" t="str">
        <f>VLOOKUP(E281,Activities!$A$9:$M$227,13,FALSE)</f>
        <v>NL</v>
      </c>
      <c r="O281" s="22"/>
      <c r="P281" s="80" t="s">
        <v>415</v>
      </c>
      <c r="Q281" s="36"/>
      <c r="R281" s="36"/>
      <c r="S281" s="36"/>
      <c r="T281" s="36"/>
      <c r="U281" s="36"/>
      <c r="V281" s="36"/>
      <c r="W281" s="36"/>
      <c r="X281" s="36"/>
      <c r="Y281" s="36"/>
      <c r="Z281" s="36"/>
      <c r="AA281" s="36"/>
      <c r="AB281" s="36"/>
      <c r="AC281" s="36"/>
      <c r="AD281" s="36"/>
      <c r="AE281" s="36"/>
      <c r="AF281" s="35"/>
      <c r="AG281" s="35"/>
      <c r="AH281" s="35"/>
      <c r="AI281" s="35"/>
      <c r="AJ281" s="35"/>
      <c r="AK281" s="35"/>
      <c r="AL281" s="35"/>
      <c r="AM281" s="35"/>
      <c r="AN281" s="35"/>
      <c r="AO281" s="35"/>
      <c r="AP281" s="36"/>
      <c r="AQ281" s="36"/>
      <c r="AR281" s="36"/>
      <c r="AS281" s="36"/>
      <c r="AT281" s="36"/>
      <c r="AU281" s="36"/>
      <c r="AV281" s="36"/>
      <c r="AW281" s="36"/>
      <c r="AX281" s="36"/>
      <c r="AY281" s="36"/>
      <c r="AZ281" s="36"/>
      <c r="BA281" s="36"/>
      <c r="BB281" s="36"/>
      <c r="BC281" s="36"/>
      <c r="BD281" s="36"/>
      <c r="BE281" s="36"/>
      <c r="BF281" s="36"/>
      <c r="BG281" s="36"/>
      <c r="BH281" s="36"/>
      <c r="BI281" s="36"/>
      <c r="BJ281" s="36"/>
      <c r="BK281" s="36"/>
      <c r="BL281" s="36"/>
      <c r="BM281" s="36"/>
      <c r="BN281" s="36"/>
      <c r="BO281" s="36"/>
      <c r="BP281" s="36"/>
      <c r="BQ281" s="36"/>
      <c r="BR281" s="36"/>
      <c r="BS281" s="36"/>
      <c r="BT281" s="36"/>
      <c r="BU281" s="36"/>
      <c r="BV281" s="36"/>
      <c r="BW281" s="36"/>
      <c r="BX281" s="36"/>
      <c r="BY281" s="36"/>
      <c r="BZ281" s="36"/>
      <c r="CA281" s="36"/>
      <c r="CB281" s="36"/>
      <c r="CC281" s="36"/>
      <c r="CD281" s="36"/>
      <c r="CE281" s="36"/>
      <c r="CF281" s="36"/>
      <c r="CG281" s="36"/>
      <c r="CH281" s="36"/>
      <c r="CI281" s="36"/>
      <c r="CJ281" s="36"/>
      <c r="CK281" s="36"/>
      <c r="CL281" s="36"/>
      <c r="CM281" s="36"/>
      <c r="CN281" s="36"/>
      <c r="CO281" s="36"/>
      <c r="CP281" s="36"/>
      <c r="CQ281" s="36"/>
      <c r="CR281" s="36"/>
      <c r="CS281" s="36"/>
      <c r="CT281" s="36"/>
      <c r="CU281" s="36"/>
      <c r="CV281" s="36"/>
      <c r="CW281" s="36"/>
      <c r="CX281" s="36"/>
      <c r="CY281" s="36"/>
      <c r="CZ281" s="36"/>
      <c r="DA281" s="36"/>
      <c r="DB281" s="36"/>
      <c r="DC281" s="36"/>
      <c r="DD281" s="36"/>
      <c r="DE281" s="36"/>
      <c r="DF281" s="36"/>
      <c r="DG281" s="36"/>
      <c r="DH281" s="36"/>
      <c r="DI281" s="36"/>
      <c r="DJ281" s="36"/>
      <c r="DK281" s="36"/>
      <c r="DL281" s="36">
        <v>1</v>
      </c>
      <c r="DM281" s="36"/>
      <c r="DN281" s="36"/>
      <c r="DO281" s="36"/>
      <c r="DP281" s="36"/>
      <c r="DQ281" s="36"/>
      <c r="DR281" s="36"/>
      <c r="DS281" s="36"/>
      <c r="DT281" s="36"/>
      <c r="DU281" s="36"/>
      <c r="DV281" s="36"/>
      <c r="DW281" s="36"/>
      <c r="DX281" s="36"/>
      <c r="DY281" s="36"/>
      <c r="DZ281" s="36"/>
      <c r="EA281" s="36"/>
      <c r="EB281" s="36"/>
      <c r="EC281" s="36"/>
      <c r="ED281" s="36"/>
      <c r="EE281" s="36"/>
      <c r="EF281" s="36"/>
      <c r="EG281" s="36"/>
      <c r="EH281" s="36"/>
      <c r="EI281" s="36"/>
      <c r="EJ281" s="36"/>
      <c r="EK281" s="36">
        <v>-1</v>
      </c>
      <c r="EL281" s="36"/>
      <c r="EM281" s="36"/>
      <c r="EN281" s="36"/>
      <c r="EO281" s="36"/>
      <c r="EP281" s="36"/>
      <c r="EQ281" s="36"/>
      <c r="ER281" s="36"/>
      <c r="ES281" s="36"/>
      <c r="ET281" s="36"/>
      <c r="EU281" s="36"/>
      <c r="EV281" s="36"/>
      <c r="EW281" s="36"/>
      <c r="EX281" s="36"/>
      <c r="EY281" s="36"/>
      <c r="EZ281" s="36"/>
      <c r="FA281" s="36"/>
      <c r="FB281" s="36"/>
      <c r="FC281" s="36"/>
      <c r="FD281" s="36"/>
      <c r="FE281" s="36"/>
      <c r="FF281" s="36"/>
      <c r="FG281" s="36"/>
      <c r="FH281" s="36"/>
      <c r="FI281" s="36"/>
      <c r="FJ281" s="36"/>
      <c r="FK281" s="36"/>
      <c r="FL281" s="36"/>
      <c r="FM281" s="36"/>
      <c r="FN281" s="36"/>
      <c r="FO281" s="36"/>
      <c r="FP281" s="36"/>
      <c r="FQ281" s="36"/>
      <c r="FR281" s="36"/>
      <c r="FS281" s="36"/>
      <c r="FT281" s="36"/>
      <c r="FU281" s="36"/>
      <c r="FV281" s="36"/>
      <c r="FW281" s="36"/>
      <c r="FX281" s="36"/>
      <c r="FY281" s="36"/>
      <c r="FZ281" s="36"/>
      <c r="GA281" s="36"/>
      <c r="GB281" s="319"/>
      <c r="GC281" s="179">
        <f t="shared" si="47"/>
        <v>0</v>
      </c>
      <c r="GD281" s="179">
        <f t="shared" si="48"/>
        <v>0</v>
      </c>
      <c r="GE281" s="179">
        <f t="shared" si="49"/>
        <v>5.6599999999999998E-2</v>
      </c>
      <c r="GF281" s="179">
        <f t="shared" si="50"/>
        <v>0</v>
      </c>
      <c r="GG281" s="179">
        <f t="shared" si="42"/>
        <v>0</v>
      </c>
    </row>
    <row r="282" spans="1:189" x14ac:dyDescent="0.35">
      <c r="A282" s="5" t="s">
        <v>1357</v>
      </c>
      <c r="B282" s="5" t="str">
        <f>IF(Technologies!B282&lt;&gt;0,Technologies!B282,"")</f>
        <v>Gebouwde omgeving</v>
      </c>
      <c r="C282" s="5" t="str">
        <f>VLOOKUP($A282,Technologies!$A$7:$H$576,3,FALSE)</f>
        <v>Conversion</v>
      </c>
      <c r="D282" s="5" t="str">
        <f>VLOOKUP($A282,Technologies!$A$7:$H$576,4,FALSE)</f>
        <v>Services</v>
      </c>
      <c r="E282" s="5" t="str">
        <f>VLOOKUP($A282,Technologies!$A$7:$H$576,6,FALSE)</f>
        <v>Heat LT Services</v>
      </c>
      <c r="F282" s="5" t="str">
        <f>VLOOKUP($A282,Technologies!$A$7:$H$576,7,FALSE)</f>
        <v>District Heating - LT Heat for Services</v>
      </c>
      <c r="G282" s="23"/>
      <c r="H282" s="23"/>
      <c r="I282" s="104" cm="1">
        <f t="array" ref="I282">-SUMPRODUCT((Feedstocks!$C$4:$C$141=A282)*Feedstocks!$E$4:$E$141,Feedstocks!$F$4:$F$141,Feedstocks!$H$4:$H$141,Feedstocks!$I$4:$I$141)</f>
        <v>0</v>
      </c>
      <c r="J282" s="104" cm="1">
        <f t="array" ref="J282">-SUMPRODUCT((Feedstocks!$C$4:$C$141=A282)*Feedstocks!$E$4:$E$141,Feedstocks!$H$4:$H$141,Feedstocks!$I$4:$I$141)</f>
        <v>0</v>
      </c>
      <c r="K282" s="104"/>
      <c r="L282" s="104"/>
      <c r="M282" s="23"/>
      <c r="N282" s="23" t="str">
        <f>VLOOKUP(E282,Activities!$A$9:$M$227,13,FALSE)</f>
        <v>NL</v>
      </c>
      <c r="O282" s="23"/>
      <c r="P282" s="79" t="s">
        <v>415</v>
      </c>
      <c r="Q282" s="35"/>
      <c r="R282" s="35"/>
      <c r="S282" s="35"/>
      <c r="T282" s="35"/>
      <c r="U282" s="35"/>
      <c r="V282" s="35"/>
      <c r="W282" s="35"/>
      <c r="X282" s="35"/>
      <c r="Y282" s="35"/>
      <c r="Z282" s="35"/>
      <c r="AA282" s="35"/>
      <c r="AB282" s="35"/>
      <c r="AC282" s="35"/>
      <c r="AD282" s="35"/>
      <c r="AE282" s="35"/>
      <c r="AF282" s="36"/>
      <c r="AG282" s="36"/>
      <c r="AH282" s="36"/>
      <c r="AI282" s="36"/>
      <c r="AJ282" s="36"/>
      <c r="AK282" s="36"/>
      <c r="AL282" s="36"/>
      <c r="AM282" s="36"/>
      <c r="AN282" s="36"/>
      <c r="AO282" s="36"/>
      <c r="AP282" s="35"/>
      <c r="AQ282" s="35"/>
      <c r="AR282" s="35"/>
      <c r="AS282" s="35"/>
      <c r="AT282" s="35"/>
      <c r="AU282" s="35"/>
      <c r="AV282" s="35"/>
      <c r="AW282" s="35"/>
      <c r="AX282" s="35"/>
      <c r="AY282" s="35"/>
      <c r="AZ282" s="35"/>
      <c r="BA282" s="35"/>
      <c r="BB282" s="35"/>
      <c r="BC282" s="35"/>
      <c r="BD282" s="35"/>
      <c r="BE282" s="35"/>
      <c r="BF282" s="35"/>
      <c r="BG282" s="35"/>
      <c r="BH282" s="35"/>
      <c r="BI282" s="35"/>
      <c r="BJ282" s="35"/>
      <c r="BK282" s="35"/>
      <c r="BL282" s="35"/>
      <c r="BM282" s="35"/>
      <c r="BN282" s="35"/>
      <c r="BO282" s="35"/>
      <c r="BP282" s="35"/>
      <c r="BQ282" s="35"/>
      <c r="BR282" s="35"/>
      <c r="BS282" s="35"/>
      <c r="BT282" s="35"/>
      <c r="BU282" s="35"/>
      <c r="BV282" s="35"/>
      <c r="BW282" s="35"/>
      <c r="BX282" s="35"/>
      <c r="BY282" s="35"/>
      <c r="BZ282" s="35"/>
      <c r="CA282" s="35"/>
      <c r="CB282" s="35"/>
      <c r="CC282" s="35"/>
      <c r="CD282" s="35"/>
      <c r="CE282" s="35"/>
      <c r="CF282" s="35"/>
      <c r="CG282" s="35"/>
      <c r="CH282" s="35"/>
      <c r="CI282" s="35"/>
      <c r="CJ282" s="35"/>
      <c r="CK282" s="35"/>
      <c r="CL282" s="35"/>
      <c r="CM282" s="35"/>
      <c r="CN282" s="35"/>
      <c r="CO282" s="35"/>
      <c r="CP282" s="35"/>
      <c r="CQ282" s="35"/>
      <c r="CR282" s="35"/>
      <c r="CS282" s="35"/>
      <c r="CT282" s="35"/>
      <c r="CU282" s="35"/>
      <c r="CV282" s="35"/>
      <c r="CW282" s="35"/>
      <c r="CX282" s="35"/>
      <c r="CY282" s="35"/>
      <c r="CZ282" s="35"/>
      <c r="DA282" s="35"/>
      <c r="DB282" s="35"/>
      <c r="DC282" s="35"/>
      <c r="DD282" s="35"/>
      <c r="DE282" s="35"/>
      <c r="DF282" s="35"/>
      <c r="DG282" s="35"/>
      <c r="DH282" s="35"/>
      <c r="DI282" s="35"/>
      <c r="DJ282" s="35"/>
      <c r="DK282" s="35"/>
      <c r="DL282" s="35">
        <v>1</v>
      </c>
      <c r="DM282" s="35">
        <v>-1</v>
      </c>
      <c r="DN282" s="35"/>
      <c r="DO282" s="35"/>
      <c r="DP282" s="35"/>
      <c r="DQ282" s="35"/>
      <c r="DR282" s="35"/>
      <c r="DS282" s="35"/>
      <c r="DT282" s="35"/>
      <c r="DU282" s="35"/>
      <c r="DV282" s="35"/>
      <c r="DW282" s="35"/>
      <c r="DX282" s="35"/>
      <c r="DY282" s="35"/>
      <c r="DZ282" s="35"/>
      <c r="EA282" s="35"/>
      <c r="EB282" s="35"/>
      <c r="EC282" s="35"/>
      <c r="ED282" s="35"/>
      <c r="EE282" s="35"/>
      <c r="EF282" s="35"/>
      <c r="EG282" s="35"/>
      <c r="EH282" s="35"/>
      <c r="EI282" s="35"/>
      <c r="EJ282" s="35"/>
      <c r="EK282" s="35"/>
      <c r="EL282" s="35"/>
      <c r="EM282" s="35"/>
      <c r="EN282" s="35"/>
      <c r="EO282" s="35"/>
      <c r="EP282" s="35"/>
      <c r="EQ282" s="35"/>
      <c r="ER282" s="35"/>
      <c r="ES282" s="35"/>
      <c r="ET282" s="35"/>
      <c r="EU282" s="35"/>
      <c r="EV282" s="35"/>
      <c r="EW282" s="35"/>
      <c r="EX282" s="35"/>
      <c r="EY282" s="35"/>
      <c r="EZ282" s="35"/>
      <c r="FA282" s="35"/>
      <c r="FB282" s="35"/>
      <c r="FC282" s="35"/>
      <c r="FD282" s="35"/>
      <c r="FE282" s="35"/>
      <c r="FF282" s="35"/>
      <c r="FG282" s="35"/>
      <c r="FH282" s="35"/>
      <c r="FI282" s="35"/>
      <c r="FJ282" s="35"/>
      <c r="FK282" s="35"/>
      <c r="FL282" s="35"/>
      <c r="FM282" s="35"/>
      <c r="FN282" s="35"/>
      <c r="FO282" s="35"/>
      <c r="FP282" s="35"/>
      <c r="FQ282" s="35"/>
      <c r="FR282" s="35"/>
      <c r="FS282" s="35"/>
      <c r="FT282" s="35"/>
      <c r="FU282" s="35"/>
      <c r="FV282" s="35"/>
      <c r="FW282" s="35"/>
      <c r="FX282" s="35"/>
      <c r="FY282" s="35"/>
      <c r="FZ282" s="35"/>
      <c r="GA282" s="35"/>
      <c r="GB282" s="318"/>
      <c r="GC282" s="178">
        <f t="shared" si="47"/>
        <v>0</v>
      </c>
      <c r="GD282" s="178">
        <f t="shared" si="48"/>
        <v>0</v>
      </c>
      <c r="GE282" s="178">
        <f t="shared" si="49"/>
        <v>0</v>
      </c>
      <c r="GF282" s="178">
        <f t="shared" si="50"/>
        <v>0</v>
      </c>
      <c r="GG282" s="178">
        <f t="shared" si="42"/>
        <v>0</v>
      </c>
    </row>
    <row r="283" spans="1:189" x14ac:dyDescent="0.35">
      <c r="A283" s="6" t="s">
        <v>1359</v>
      </c>
      <c r="B283" s="6" t="str">
        <f>IF(Technologies!B283&lt;&gt;0,Technologies!B283,"")</f>
        <v>Gebouwde omgeving</v>
      </c>
      <c r="C283" s="6" t="str">
        <f>VLOOKUP($A283,Technologies!$A$7:$H$576,3,FALSE)</f>
        <v>Conversion</v>
      </c>
      <c r="D283" s="6" t="str">
        <f>VLOOKUP($A283,Technologies!$A$7:$H$576,4,FALSE)</f>
        <v>Services</v>
      </c>
      <c r="E283" s="6" t="str">
        <f>VLOOKUP($A283,Technologies!$A$7:$H$576,6,FALSE)</f>
        <v>Heat LT Services</v>
      </c>
      <c r="F283" s="48" t="str">
        <f>VLOOKUP($A283,Technologies!$A$7:$H$576,7,FALSE)</f>
        <v>Hybrid Heat Pump - LT Heat for Services</v>
      </c>
      <c r="G283" s="22"/>
      <c r="H283" s="22"/>
      <c r="I283" s="103" cm="1">
        <f t="array" ref="I283">-SUMPRODUCT((Feedstocks!$C$4:$C$141=A283)*Feedstocks!$E$4:$E$141,Feedstocks!$F$4:$F$141,Feedstocks!$H$4:$H$141,Feedstocks!$I$4:$I$141)</f>
        <v>0</v>
      </c>
      <c r="J283" s="103" cm="1">
        <f t="array" ref="J283">-SUMPRODUCT((Feedstocks!$C$4:$C$141=A283)*Feedstocks!$E$4:$E$141,Feedstocks!$H$4:$H$141,Feedstocks!$I$4:$I$141)</f>
        <v>0</v>
      </c>
      <c r="K283" s="103"/>
      <c r="L283" s="103"/>
      <c r="M283" s="22"/>
      <c r="N283" s="22" t="str">
        <f>VLOOKUP(E283,Activities!$A$9:$M$227,13,FALSE)</f>
        <v>NL</v>
      </c>
      <c r="O283" s="22"/>
      <c r="P283" s="80" t="s">
        <v>415</v>
      </c>
      <c r="Q283" s="36"/>
      <c r="R283" s="36"/>
      <c r="S283" s="36"/>
      <c r="T283" s="36"/>
      <c r="U283" s="36"/>
      <c r="V283" s="36"/>
      <c r="W283" s="36"/>
      <c r="X283" s="36"/>
      <c r="Y283" s="36"/>
      <c r="Z283" s="36"/>
      <c r="AA283" s="36"/>
      <c r="AB283" s="36"/>
      <c r="AC283" s="36"/>
      <c r="AD283" s="36"/>
      <c r="AE283" s="36"/>
      <c r="AF283" s="35"/>
      <c r="AG283" s="35"/>
      <c r="AH283" s="35"/>
      <c r="AI283" s="35"/>
      <c r="AJ283" s="35"/>
      <c r="AK283" s="35"/>
      <c r="AL283" s="35"/>
      <c r="AM283" s="35"/>
      <c r="AN283" s="35"/>
      <c r="AO283" s="35"/>
      <c r="AP283" s="36"/>
      <c r="AQ283" s="36"/>
      <c r="AR283" s="36"/>
      <c r="AS283" s="36"/>
      <c r="AT283" s="36"/>
      <c r="AU283" s="36"/>
      <c r="AV283" s="36"/>
      <c r="AW283" s="36"/>
      <c r="AX283" s="36"/>
      <c r="AY283" s="36"/>
      <c r="AZ283" s="36"/>
      <c r="BA283" s="36"/>
      <c r="BB283" s="36"/>
      <c r="BC283" s="36"/>
      <c r="BD283" s="36"/>
      <c r="BE283" s="36"/>
      <c r="BF283" s="36"/>
      <c r="BG283" s="36"/>
      <c r="BH283" s="36"/>
      <c r="BI283" s="36"/>
      <c r="BJ283" s="36"/>
      <c r="BK283" s="36"/>
      <c r="BL283" s="36"/>
      <c r="BM283" s="36"/>
      <c r="BN283" s="36"/>
      <c r="BO283" s="36"/>
      <c r="BP283" s="36"/>
      <c r="BQ283" s="36"/>
      <c r="BR283" s="36"/>
      <c r="BS283" s="36"/>
      <c r="BT283" s="36"/>
      <c r="BU283" s="36"/>
      <c r="BV283" s="36"/>
      <c r="BW283" s="36"/>
      <c r="BX283" s="36"/>
      <c r="BY283" s="36"/>
      <c r="BZ283" s="36"/>
      <c r="CA283" s="36"/>
      <c r="CB283" s="36"/>
      <c r="CC283" s="36"/>
      <c r="CD283" s="36"/>
      <c r="CE283" s="36"/>
      <c r="CF283" s="36"/>
      <c r="CG283" s="36"/>
      <c r="CH283" s="36"/>
      <c r="CI283" s="36"/>
      <c r="CJ283" s="36"/>
      <c r="CK283" s="36"/>
      <c r="CL283" s="36"/>
      <c r="CM283" s="36"/>
      <c r="CN283" s="36"/>
      <c r="CO283" s="36"/>
      <c r="CP283" s="36"/>
      <c r="CQ283" s="36"/>
      <c r="CR283" s="36"/>
      <c r="CS283" s="36"/>
      <c r="CT283" s="36"/>
      <c r="CU283" s="36"/>
      <c r="CV283" s="36"/>
      <c r="CW283" s="36"/>
      <c r="CX283" s="36"/>
      <c r="CY283" s="36"/>
      <c r="CZ283" s="36"/>
      <c r="DA283" s="36"/>
      <c r="DB283" s="36"/>
      <c r="DC283" s="36"/>
      <c r="DD283" s="36"/>
      <c r="DE283" s="36"/>
      <c r="DF283" s="36"/>
      <c r="DG283" s="36"/>
      <c r="DH283" s="36"/>
      <c r="DI283" s="36">
        <v>-0.27361769352290699</v>
      </c>
      <c r="DJ283" s="36"/>
      <c r="DK283" s="36"/>
      <c r="DL283" s="36">
        <v>1</v>
      </c>
      <c r="DM283" s="36"/>
      <c r="DN283" s="36"/>
      <c r="DO283" s="36"/>
      <c r="DP283" s="36"/>
      <c r="DQ283" s="36"/>
      <c r="DR283" s="36"/>
      <c r="DS283" s="36"/>
      <c r="DT283" s="36"/>
      <c r="DU283" s="36"/>
      <c r="DV283" s="36"/>
      <c r="DW283" s="36"/>
      <c r="DX283" s="36"/>
      <c r="DY283" s="36"/>
      <c r="DZ283" s="36"/>
      <c r="EA283" s="36"/>
      <c r="EB283" s="36"/>
      <c r="EC283" s="36"/>
      <c r="ED283" s="36"/>
      <c r="EE283" s="36"/>
      <c r="EF283" s="36"/>
      <c r="EG283" s="36"/>
      <c r="EH283" s="36"/>
      <c r="EI283" s="36"/>
      <c r="EJ283" s="36"/>
      <c r="EK283" s="36">
        <v>-0.31595576619273302</v>
      </c>
      <c r="EL283" s="36"/>
      <c r="EM283" s="36"/>
      <c r="EN283" s="36"/>
      <c r="EO283" s="36"/>
      <c r="EP283" s="36"/>
      <c r="EQ283" s="36"/>
      <c r="ER283" s="36"/>
      <c r="ES283" s="36"/>
      <c r="ET283" s="36"/>
      <c r="EU283" s="36"/>
      <c r="EV283" s="36"/>
      <c r="EW283" s="36"/>
      <c r="EX283" s="36"/>
      <c r="EY283" s="36"/>
      <c r="EZ283" s="36"/>
      <c r="FA283" s="36"/>
      <c r="FB283" s="36"/>
      <c r="FC283" s="36"/>
      <c r="FD283" s="36"/>
      <c r="FE283" s="36"/>
      <c r="FF283" s="36"/>
      <c r="FG283" s="36"/>
      <c r="FH283" s="36"/>
      <c r="FI283" s="36"/>
      <c r="FJ283" s="36"/>
      <c r="FK283" s="36"/>
      <c r="FL283" s="36">
        <v>-0.41</v>
      </c>
      <c r="FM283" s="36"/>
      <c r="FN283" s="36"/>
      <c r="FO283" s="36"/>
      <c r="FP283" s="36"/>
      <c r="FQ283" s="36"/>
      <c r="FR283" s="36"/>
      <c r="FS283" s="36"/>
      <c r="FT283" s="36"/>
      <c r="FU283" s="36"/>
      <c r="FV283" s="36"/>
      <c r="FW283" s="36"/>
      <c r="FX283" s="36"/>
      <c r="FY283" s="36"/>
      <c r="FZ283" s="36"/>
      <c r="GA283" s="36"/>
      <c r="GB283" s="319"/>
      <c r="GC283" s="179">
        <f t="shared" si="47"/>
        <v>0</v>
      </c>
      <c r="GD283" s="179">
        <f t="shared" si="48"/>
        <v>0</v>
      </c>
      <c r="GE283" s="179">
        <f t="shared" si="49"/>
        <v>1.7899999999999999E-2</v>
      </c>
      <c r="GF283" s="179">
        <f t="shared" si="50"/>
        <v>0</v>
      </c>
      <c r="GG283" s="179">
        <f t="shared" si="42"/>
        <v>0</v>
      </c>
    </row>
    <row r="284" spans="1:189" x14ac:dyDescent="0.35">
      <c r="A284" s="5" t="s">
        <v>1361</v>
      </c>
      <c r="B284" s="5" t="str">
        <f>IF(Technologies!B284&lt;&gt;0,Technologies!B284,"")</f>
        <v>Gebouwde omgeving</v>
      </c>
      <c r="C284" s="5" t="str">
        <f>VLOOKUP($A284,Technologies!$A$7:$H$576,3,FALSE)</f>
        <v>Conversion</v>
      </c>
      <c r="D284" s="5" t="str">
        <f>VLOOKUP($A284,Technologies!$A$7:$H$576,4,FALSE)</f>
        <v>Services</v>
      </c>
      <c r="E284" s="5" t="str">
        <f>VLOOKUP($A284,Technologies!$A$7:$H$576,6,FALSE)</f>
        <v>Heat LT Services</v>
      </c>
      <c r="F284" s="5" t="str">
        <f>VLOOKUP($A284,Technologies!$A$7:$H$576,7,FALSE)</f>
        <v>Electric Boiler - LT Heat for Services</v>
      </c>
      <c r="G284" s="23"/>
      <c r="H284" s="23"/>
      <c r="I284" s="104" cm="1">
        <f t="array" ref="I284">-SUMPRODUCT((Feedstocks!$C$4:$C$141=A284)*Feedstocks!$E$4:$E$141,Feedstocks!$F$4:$F$141,Feedstocks!$H$4:$H$141,Feedstocks!$I$4:$I$141)</f>
        <v>0</v>
      </c>
      <c r="J284" s="104" cm="1">
        <f t="array" ref="J284">-SUMPRODUCT((Feedstocks!$C$4:$C$141=A284)*Feedstocks!$E$4:$E$141,Feedstocks!$H$4:$H$141,Feedstocks!$I$4:$I$141)</f>
        <v>0</v>
      </c>
      <c r="K284" s="104"/>
      <c r="L284" s="104"/>
      <c r="M284" s="23"/>
      <c r="N284" s="23" t="str">
        <f>VLOOKUP(E284,Activities!$A$9:$M$227,13,FALSE)</f>
        <v>NL</v>
      </c>
      <c r="O284" s="23"/>
      <c r="P284" s="79" t="s">
        <v>415</v>
      </c>
      <c r="Q284" s="35"/>
      <c r="R284" s="35"/>
      <c r="S284" s="35"/>
      <c r="T284" s="35"/>
      <c r="U284" s="35"/>
      <c r="V284" s="35"/>
      <c r="W284" s="35"/>
      <c r="X284" s="35"/>
      <c r="Y284" s="35"/>
      <c r="Z284" s="35"/>
      <c r="AA284" s="35"/>
      <c r="AB284" s="35"/>
      <c r="AC284" s="35"/>
      <c r="AD284" s="35"/>
      <c r="AE284" s="35"/>
      <c r="AF284" s="36"/>
      <c r="AG284" s="36"/>
      <c r="AH284" s="36"/>
      <c r="AI284" s="36"/>
      <c r="AJ284" s="36"/>
      <c r="AK284" s="36"/>
      <c r="AL284" s="36"/>
      <c r="AM284" s="36"/>
      <c r="AN284" s="36"/>
      <c r="AO284" s="36"/>
      <c r="AP284" s="35"/>
      <c r="AQ284" s="35"/>
      <c r="AR284" s="35"/>
      <c r="AS284" s="35"/>
      <c r="AT284" s="35"/>
      <c r="AU284" s="35"/>
      <c r="AV284" s="35"/>
      <c r="AW284" s="35"/>
      <c r="AX284" s="35"/>
      <c r="AY284" s="35"/>
      <c r="AZ284" s="35"/>
      <c r="BA284" s="35"/>
      <c r="BB284" s="35"/>
      <c r="BC284" s="35"/>
      <c r="BD284" s="35"/>
      <c r="BE284" s="35"/>
      <c r="BF284" s="35"/>
      <c r="BG284" s="35"/>
      <c r="BH284" s="35"/>
      <c r="BI284" s="35"/>
      <c r="BJ284" s="35"/>
      <c r="BK284" s="35"/>
      <c r="BL284" s="35"/>
      <c r="BM284" s="35"/>
      <c r="BN284" s="35"/>
      <c r="BO284" s="35"/>
      <c r="BP284" s="35"/>
      <c r="BQ284" s="35"/>
      <c r="BR284" s="35"/>
      <c r="BS284" s="35"/>
      <c r="BT284" s="35"/>
      <c r="BU284" s="35"/>
      <c r="BV284" s="35"/>
      <c r="BW284" s="35"/>
      <c r="BX284" s="35"/>
      <c r="BY284" s="35"/>
      <c r="BZ284" s="35"/>
      <c r="CA284" s="35"/>
      <c r="CB284" s="35"/>
      <c r="CC284" s="35"/>
      <c r="CD284" s="35"/>
      <c r="CE284" s="35"/>
      <c r="CF284" s="35"/>
      <c r="CG284" s="35"/>
      <c r="CH284" s="35"/>
      <c r="CI284" s="35"/>
      <c r="CJ284" s="35"/>
      <c r="CK284" s="35"/>
      <c r="CL284" s="35"/>
      <c r="CM284" s="35"/>
      <c r="CN284" s="35"/>
      <c r="CO284" s="35"/>
      <c r="CP284" s="35"/>
      <c r="CQ284" s="35"/>
      <c r="CR284" s="35"/>
      <c r="CS284" s="35"/>
      <c r="CT284" s="35"/>
      <c r="CU284" s="35"/>
      <c r="CV284" s="35"/>
      <c r="CW284" s="35"/>
      <c r="CX284" s="35"/>
      <c r="CY284" s="35"/>
      <c r="CZ284" s="35"/>
      <c r="DA284" s="35"/>
      <c r="DB284" s="35"/>
      <c r="DC284" s="35"/>
      <c r="DD284" s="35"/>
      <c r="DE284" s="35"/>
      <c r="DF284" s="35"/>
      <c r="DG284" s="35"/>
      <c r="DH284" s="35"/>
      <c r="DI284" s="36">
        <f>-1/0.99</f>
        <v>-1.0101010101010102</v>
      </c>
      <c r="DJ284" s="35"/>
      <c r="DK284" s="35"/>
      <c r="DL284" s="35">
        <v>1</v>
      </c>
      <c r="DM284" s="35"/>
      <c r="DN284" s="35"/>
      <c r="DO284" s="35"/>
      <c r="DP284" s="35"/>
      <c r="DQ284" s="35"/>
      <c r="DR284" s="35"/>
      <c r="DS284" s="35"/>
      <c r="DT284" s="35"/>
      <c r="DU284" s="35"/>
      <c r="DV284" s="35"/>
      <c r="DW284" s="35"/>
      <c r="DX284" s="35"/>
      <c r="DY284" s="35"/>
      <c r="DZ284" s="35"/>
      <c r="EA284" s="35"/>
      <c r="EB284" s="35"/>
      <c r="EC284" s="35"/>
      <c r="ED284" s="35"/>
      <c r="EE284" s="35"/>
      <c r="EF284" s="35"/>
      <c r="EG284" s="35"/>
      <c r="EH284" s="35"/>
      <c r="EI284" s="35"/>
      <c r="EJ284" s="35"/>
      <c r="EK284" s="35"/>
      <c r="EL284" s="35"/>
      <c r="EM284" s="35"/>
      <c r="EN284" s="35"/>
      <c r="EO284" s="35"/>
      <c r="EP284" s="35"/>
      <c r="EQ284" s="35"/>
      <c r="ER284" s="35"/>
      <c r="ES284" s="35"/>
      <c r="ET284" s="35"/>
      <c r="EU284" s="35"/>
      <c r="EV284" s="35"/>
      <c r="EW284" s="35"/>
      <c r="EX284" s="35"/>
      <c r="EY284" s="35"/>
      <c r="EZ284" s="35"/>
      <c r="FA284" s="35"/>
      <c r="FB284" s="35"/>
      <c r="FC284" s="35"/>
      <c r="FD284" s="35"/>
      <c r="FE284" s="35"/>
      <c r="FF284" s="35"/>
      <c r="FG284" s="35"/>
      <c r="FH284" s="35"/>
      <c r="FI284" s="35"/>
      <c r="FJ284" s="35"/>
      <c r="FK284" s="35"/>
      <c r="FL284" s="35"/>
      <c r="FM284" s="35"/>
      <c r="FN284" s="35"/>
      <c r="FO284" s="35"/>
      <c r="FP284" s="35"/>
      <c r="FQ284" s="35"/>
      <c r="FR284" s="35"/>
      <c r="FS284" s="35"/>
      <c r="FT284" s="35"/>
      <c r="FU284" s="35"/>
      <c r="FV284" s="35"/>
      <c r="FW284" s="35"/>
      <c r="FX284" s="35"/>
      <c r="FY284" s="35"/>
      <c r="FZ284" s="35"/>
      <c r="GA284" s="35"/>
      <c r="GB284" s="318"/>
      <c r="GC284" s="178">
        <f t="shared" si="47"/>
        <v>0</v>
      </c>
      <c r="GD284" s="178">
        <f t="shared" si="48"/>
        <v>0</v>
      </c>
      <c r="GE284" s="178">
        <f t="shared" si="49"/>
        <v>0</v>
      </c>
      <c r="GF284" s="178">
        <f t="shared" si="50"/>
        <v>0</v>
      </c>
      <c r="GG284" s="178">
        <f t="shared" ref="GG284:GG348" si="51">$I284</f>
        <v>0</v>
      </c>
    </row>
    <row r="285" spans="1:189" x14ac:dyDescent="0.35">
      <c r="A285" s="6" t="s">
        <v>1363</v>
      </c>
      <c r="B285" s="6" t="str">
        <f>IF(Technologies!B285&lt;&gt;0,Technologies!B285,"")</f>
        <v>Gebouwde omgeving</v>
      </c>
      <c r="C285" s="6" t="str">
        <f>VLOOKUP($A285,Technologies!$A$7:$H$576,3,FALSE)</f>
        <v>Conversion</v>
      </c>
      <c r="D285" s="6" t="str">
        <f>VLOOKUP($A285,Technologies!$A$7:$H$576,4,FALSE)</f>
        <v>Services</v>
      </c>
      <c r="E285" s="6" t="str">
        <f>VLOOKUP($A285,Technologies!$A$7:$H$576,6,FALSE)</f>
        <v>Heat LT Services</v>
      </c>
      <c r="F285" s="48" t="str">
        <f>VLOOKUP($A285,Technologies!$A$7:$H$576,7,FALSE)</f>
        <v>Electric Heat Pump Air - LT Heat for Services</v>
      </c>
      <c r="G285" s="22"/>
      <c r="H285" s="22"/>
      <c r="I285" s="103" cm="1">
        <f t="array" ref="I285">-SUMPRODUCT((Feedstocks!$C$4:$C$141=A285)*Feedstocks!$E$4:$E$141,Feedstocks!$F$4:$F$141,Feedstocks!$H$4:$H$141,Feedstocks!$I$4:$I$141)</f>
        <v>0</v>
      </c>
      <c r="J285" s="103" cm="1">
        <f t="array" ref="J285">-SUMPRODUCT((Feedstocks!$C$4:$C$141=A285)*Feedstocks!$E$4:$E$141,Feedstocks!$H$4:$H$141,Feedstocks!$I$4:$I$141)</f>
        <v>0</v>
      </c>
      <c r="K285" s="103"/>
      <c r="L285" s="103"/>
      <c r="M285" s="22"/>
      <c r="N285" s="22" t="str">
        <f>VLOOKUP(E285,Activities!$A$9:$M$227,13,FALSE)</f>
        <v>NL</v>
      </c>
      <c r="O285" s="22"/>
      <c r="P285" s="80" t="s">
        <v>415</v>
      </c>
      <c r="Q285" s="36"/>
      <c r="R285" s="36"/>
      <c r="S285" s="36"/>
      <c r="T285" s="36"/>
      <c r="U285" s="36"/>
      <c r="V285" s="36"/>
      <c r="W285" s="36"/>
      <c r="X285" s="36"/>
      <c r="Y285" s="36"/>
      <c r="Z285" s="36"/>
      <c r="AA285" s="36"/>
      <c r="AB285" s="36"/>
      <c r="AC285" s="36"/>
      <c r="AD285" s="36"/>
      <c r="AE285" s="36"/>
      <c r="AF285" s="35"/>
      <c r="AG285" s="35"/>
      <c r="AH285" s="35"/>
      <c r="AI285" s="35"/>
      <c r="AJ285" s="35"/>
      <c r="AK285" s="35"/>
      <c r="AL285" s="35"/>
      <c r="AM285" s="35"/>
      <c r="AN285" s="35"/>
      <c r="AO285" s="35"/>
      <c r="AP285" s="36"/>
      <c r="AQ285" s="36"/>
      <c r="AR285" s="36"/>
      <c r="AS285" s="36"/>
      <c r="AT285" s="36"/>
      <c r="AU285" s="36"/>
      <c r="AV285" s="36"/>
      <c r="AW285" s="36"/>
      <c r="AX285" s="36"/>
      <c r="AY285" s="36"/>
      <c r="AZ285" s="36"/>
      <c r="BA285" s="36"/>
      <c r="BB285" s="36"/>
      <c r="BC285" s="36"/>
      <c r="BD285" s="36"/>
      <c r="BE285" s="36"/>
      <c r="BF285" s="36"/>
      <c r="BG285" s="36"/>
      <c r="BH285" s="36"/>
      <c r="BI285" s="36"/>
      <c r="BJ285" s="36"/>
      <c r="BK285" s="36"/>
      <c r="BL285" s="36"/>
      <c r="BM285" s="36"/>
      <c r="BN285" s="36"/>
      <c r="BO285" s="36"/>
      <c r="BP285" s="36"/>
      <c r="BQ285" s="36"/>
      <c r="BR285" s="36"/>
      <c r="BS285" s="36"/>
      <c r="BT285" s="36"/>
      <c r="BU285" s="36"/>
      <c r="BV285" s="36"/>
      <c r="BW285" s="36"/>
      <c r="BX285" s="36"/>
      <c r="BY285" s="36"/>
      <c r="BZ285" s="36"/>
      <c r="CA285" s="36"/>
      <c r="CB285" s="36"/>
      <c r="CC285" s="36"/>
      <c r="CD285" s="36"/>
      <c r="CE285" s="36"/>
      <c r="CF285" s="36"/>
      <c r="CG285" s="36"/>
      <c r="CH285" s="36"/>
      <c r="CI285" s="36"/>
      <c r="CJ285" s="36"/>
      <c r="CK285" s="36"/>
      <c r="CL285" s="36"/>
      <c r="CM285" s="36"/>
      <c r="CN285" s="36"/>
      <c r="CO285" s="36"/>
      <c r="CP285" s="36"/>
      <c r="CQ285" s="36"/>
      <c r="CR285" s="36"/>
      <c r="CS285" s="36"/>
      <c r="CT285" s="36"/>
      <c r="CU285" s="36"/>
      <c r="CV285" s="36"/>
      <c r="CW285" s="36"/>
      <c r="CX285" s="36"/>
      <c r="CY285" s="36"/>
      <c r="CZ285" s="36"/>
      <c r="DA285" s="36"/>
      <c r="DB285" s="36"/>
      <c r="DC285" s="36"/>
      <c r="DD285" s="36"/>
      <c r="DE285" s="36"/>
      <c r="DF285" s="36"/>
      <c r="DG285" s="36"/>
      <c r="DH285" s="36"/>
      <c r="DI285" s="36">
        <v>-0.4</v>
      </c>
      <c r="DJ285" s="36"/>
      <c r="DK285" s="36"/>
      <c r="DL285" s="36">
        <v>1</v>
      </c>
      <c r="DM285" s="36"/>
      <c r="DN285" s="36"/>
      <c r="DO285" s="36"/>
      <c r="DP285" s="36"/>
      <c r="DQ285" s="36"/>
      <c r="DR285" s="36"/>
      <c r="DS285" s="36"/>
      <c r="DT285" s="36"/>
      <c r="DU285" s="36"/>
      <c r="DV285" s="36"/>
      <c r="DW285" s="36"/>
      <c r="DX285" s="36"/>
      <c r="DY285" s="36"/>
      <c r="DZ285" s="36"/>
      <c r="EA285" s="36"/>
      <c r="EB285" s="36"/>
      <c r="EC285" s="36"/>
      <c r="ED285" s="36"/>
      <c r="EE285" s="36"/>
      <c r="EF285" s="36"/>
      <c r="EG285" s="36"/>
      <c r="EH285" s="36"/>
      <c r="EI285" s="36"/>
      <c r="EJ285" s="36"/>
      <c r="EK285" s="36"/>
      <c r="EL285" s="36"/>
      <c r="EM285" s="36"/>
      <c r="EN285" s="36"/>
      <c r="EO285" s="36"/>
      <c r="EP285" s="36"/>
      <c r="EQ285" s="36"/>
      <c r="ER285" s="36"/>
      <c r="ES285" s="36"/>
      <c r="ET285" s="36"/>
      <c r="EU285" s="36"/>
      <c r="EV285" s="36"/>
      <c r="EW285" s="36"/>
      <c r="EX285" s="36"/>
      <c r="EY285" s="36"/>
      <c r="EZ285" s="36"/>
      <c r="FA285" s="36"/>
      <c r="FB285" s="36"/>
      <c r="FC285" s="36"/>
      <c r="FD285" s="36"/>
      <c r="FE285" s="36"/>
      <c r="FF285" s="36"/>
      <c r="FG285" s="36"/>
      <c r="FH285" s="36"/>
      <c r="FI285" s="36"/>
      <c r="FJ285" s="36"/>
      <c r="FK285" s="36"/>
      <c r="FL285" s="36">
        <v>-0.6</v>
      </c>
      <c r="FM285" s="36"/>
      <c r="FN285" s="36"/>
      <c r="FO285" s="36"/>
      <c r="FP285" s="36"/>
      <c r="FQ285" s="36"/>
      <c r="FR285" s="36"/>
      <c r="FS285" s="36"/>
      <c r="FT285" s="36"/>
      <c r="FU285" s="36"/>
      <c r="FV285" s="36"/>
      <c r="FW285" s="36"/>
      <c r="FX285" s="36"/>
      <c r="FY285" s="36"/>
      <c r="FZ285" s="36"/>
      <c r="GA285" s="36"/>
      <c r="GB285" s="319"/>
      <c r="GC285" s="179">
        <f t="shared" si="47"/>
        <v>0</v>
      </c>
      <c r="GD285" s="179">
        <f t="shared" si="48"/>
        <v>0</v>
      </c>
      <c r="GE285" s="179">
        <f t="shared" si="49"/>
        <v>0</v>
      </c>
      <c r="GF285" s="179">
        <f t="shared" si="50"/>
        <v>0</v>
      </c>
      <c r="GG285" s="179">
        <f t="shared" si="51"/>
        <v>0</v>
      </c>
    </row>
    <row r="286" spans="1:189" x14ac:dyDescent="0.35">
      <c r="A286" s="5" t="s">
        <v>1366</v>
      </c>
      <c r="B286" s="5" t="str">
        <f>IF(Technologies!B286&lt;&gt;0,Technologies!B286,"")</f>
        <v>Gebouwde omgeving</v>
      </c>
      <c r="C286" s="5" t="str">
        <f>VLOOKUP($A286,Technologies!$A$7:$H$576,3,FALSE)</f>
        <v>Conversion</v>
      </c>
      <c r="D286" s="5" t="str">
        <f>VLOOKUP($A286,Technologies!$A$7:$H$576,4,FALSE)</f>
        <v>Services</v>
      </c>
      <c r="E286" s="5" t="str">
        <f>VLOOKUP($A286,Technologies!$A$7:$H$576,6,FALSE)</f>
        <v>Heat LT Services</v>
      </c>
      <c r="F286" s="5" t="str">
        <f>VLOOKUP($A286,Technologies!$A$7:$H$576,7,FALSE)</f>
        <v>Electric Heat Pump Soil - LT Heat for Services</v>
      </c>
      <c r="G286" s="23"/>
      <c r="H286" s="23"/>
      <c r="I286" s="104" cm="1">
        <f t="array" ref="I286">-SUMPRODUCT((Feedstocks!$C$4:$C$141=A286)*Feedstocks!$E$4:$E$141,Feedstocks!$F$4:$F$141,Feedstocks!$H$4:$H$141,Feedstocks!$I$4:$I$141)</f>
        <v>0</v>
      </c>
      <c r="J286" s="104" cm="1">
        <f t="array" ref="J286">-SUMPRODUCT((Feedstocks!$C$4:$C$141=A286)*Feedstocks!$E$4:$E$141,Feedstocks!$H$4:$H$141,Feedstocks!$I$4:$I$141)</f>
        <v>0</v>
      </c>
      <c r="K286" s="104"/>
      <c r="L286" s="104"/>
      <c r="M286" s="23"/>
      <c r="N286" s="23" t="str">
        <f>VLOOKUP(E286,Activities!$A$9:$M$227,13,FALSE)</f>
        <v>NL</v>
      </c>
      <c r="O286" s="23"/>
      <c r="P286" s="79" t="s">
        <v>415</v>
      </c>
      <c r="Q286" s="35"/>
      <c r="R286" s="35"/>
      <c r="S286" s="35"/>
      <c r="T286" s="35"/>
      <c r="U286" s="35"/>
      <c r="V286" s="35"/>
      <c r="W286" s="35"/>
      <c r="X286" s="35"/>
      <c r="Y286" s="35"/>
      <c r="Z286" s="35"/>
      <c r="AA286" s="35"/>
      <c r="AB286" s="35"/>
      <c r="AC286" s="35"/>
      <c r="AD286" s="35"/>
      <c r="AE286" s="35"/>
      <c r="AF286" s="36"/>
      <c r="AG286" s="36"/>
      <c r="AH286" s="36"/>
      <c r="AI286" s="36"/>
      <c r="AJ286" s="36"/>
      <c r="AK286" s="36"/>
      <c r="AL286" s="36"/>
      <c r="AM286" s="36"/>
      <c r="AN286" s="36"/>
      <c r="AO286" s="36"/>
      <c r="AP286" s="35"/>
      <c r="AQ286" s="35"/>
      <c r="AR286" s="35"/>
      <c r="AS286" s="35"/>
      <c r="AT286" s="35"/>
      <c r="AU286" s="35"/>
      <c r="AV286" s="35"/>
      <c r="AW286" s="35"/>
      <c r="AX286" s="35"/>
      <c r="AY286" s="35"/>
      <c r="AZ286" s="35"/>
      <c r="BA286" s="35"/>
      <c r="BB286" s="35"/>
      <c r="BC286" s="35"/>
      <c r="BD286" s="35"/>
      <c r="BE286" s="35"/>
      <c r="BF286" s="35"/>
      <c r="BG286" s="35"/>
      <c r="BH286" s="35"/>
      <c r="BI286" s="35"/>
      <c r="BJ286" s="35"/>
      <c r="BK286" s="35"/>
      <c r="BL286" s="35"/>
      <c r="BM286" s="35"/>
      <c r="BN286" s="35"/>
      <c r="BO286" s="35"/>
      <c r="BP286" s="35"/>
      <c r="BQ286" s="35"/>
      <c r="BR286" s="35"/>
      <c r="BS286" s="35"/>
      <c r="BT286" s="35"/>
      <c r="BU286" s="35"/>
      <c r="BV286" s="35"/>
      <c r="BW286" s="35"/>
      <c r="BX286" s="35"/>
      <c r="BY286" s="35"/>
      <c r="BZ286" s="35"/>
      <c r="CA286" s="35"/>
      <c r="CB286" s="35"/>
      <c r="CC286" s="35"/>
      <c r="CD286" s="35"/>
      <c r="CE286" s="35"/>
      <c r="CF286" s="35"/>
      <c r="CG286" s="35"/>
      <c r="CH286" s="35"/>
      <c r="CI286" s="35"/>
      <c r="CJ286" s="35"/>
      <c r="CK286" s="35"/>
      <c r="CL286" s="35"/>
      <c r="CM286" s="35"/>
      <c r="CN286" s="35"/>
      <c r="CO286" s="35"/>
      <c r="CP286" s="35"/>
      <c r="CQ286" s="35"/>
      <c r="CR286" s="35"/>
      <c r="CS286" s="35"/>
      <c r="CT286" s="35"/>
      <c r="CU286" s="35"/>
      <c r="CV286" s="35"/>
      <c r="CW286" s="35"/>
      <c r="CX286" s="35"/>
      <c r="CY286" s="35"/>
      <c r="CZ286" s="35"/>
      <c r="DA286" s="35"/>
      <c r="DB286" s="35"/>
      <c r="DC286" s="35"/>
      <c r="DD286" s="35"/>
      <c r="DE286" s="35"/>
      <c r="DF286" s="35"/>
      <c r="DG286" s="35"/>
      <c r="DH286" s="35"/>
      <c r="DI286" s="35">
        <v>-0.25</v>
      </c>
      <c r="DJ286" s="35"/>
      <c r="DK286" s="35"/>
      <c r="DL286" s="35">
        <v>1</v>
      </c>
      <c r="DM286" s="35"/>
      <c r="DN286" s="35"/>
      <c r="DO286" s="35"/>
      <c r="DP286" s="35"/>
      <c r="DQ286" s="35"/>
      <c r="DR286" s="35"/>
      <c r="DS286" s="35"/>
      <c r="DT286" s="35"/>
      <c r="DU286" s="35"/>
      <c r="DV286" s="35"/>
      <c r="DW286" s="35"/>
      <c r="DX286" s="35"/>
      <c r="DY286" s="35"/>
      <c r="DZ286" s="35"/>
      <c r="EA286" s="35"/>
      <c r="EB286" s="35"/>
      <c r="EC286" s="35"/>
      <c r="ED286" s="35"/>
      <c r="EE286" s="35"/>
      <c r="EF286" s="35"/>
      <c r="EG286" s="35"/>
      <c r="EH286" s="35"/>
      <c r="EI286" s="35"/>
      <c r="EJ286" s="35"/>
      <c r="EK286" s="35"/>
      <c r="EL286" s="35"/>
      <c r="EM286" s="35"/>
      <c r="EN286" s="35"/>
      <c r="EO286" s="35"/>
      <c r="EP286" s="35"/>
      <c r="EQ286" s="35"/>
      <c r="ER286" s="35"/>
      <c r="ES286" s="35"/>
      <c r="ET286" s="35"/>
      <c r="EU286" s="35"/>
      <c r="EV286" s="35"/>
      <c r="EW286" s="35"/>
      <c r="EX286" s="35"/>
      <c r="EY286" s="35"/>
      <c r="EZ286" s="35"/>
      <c r="FA286" s="35"/>
      <c r="FB286" s="35"/>
      <c r="FC286" s="35"/>
      <c r="FD286" s="35"/>
      <c r="FE286" s="35"/>
      <c r="FF286" s="35"/>
      <c r="FG286" s="35"/>
      <c r="FH286" s="35"/>
      <c r="FI286" s="35"/>
      <c r="FJ286" s="35"/>
      <c r="FK286" s="35"/>
      <c r="FL286" s="35">
        <v>-0.75</v>
      </c>
      <c r="FM286" s="35"/>
      <c r="FN286" s="35"/>
      <c r="FO286" s="35"/>
      <c r="FP286" s="35"/>
      <c r="FQ286" s="35"/>
      <c r="FR286" s="35"/>
      <c r="FS286" s="35"/>
      <c r="FT286" s="35"/>
      <c r="FU286" s="35"/>
      <c r="FV286" s="35"/>
      <c r="FW286" s="35"/>
      <c r="FX286" s="35"/>
      <c r="FY286" s="35"/>
      <c r="FZ286" s="35"/>
      <c r="GA286" s="35"/>
      <c r="GB286" s="318"/>
      <c r="GC286" s="178">
        <f t="shared" si="47"/>
        <v>0</v>
      </c>
      <c r="GD286" s="178">
        <f t="shared" si="48"/>
        <v>0</v>
      </c>
      <c r="GE286" s="178">
        <f t="shared" si="49"/>
        <v>0</v>
      </c>
      <c r="GF286" s="178">
        <f t="shared" si="50"/>
        <v>0</v>
      </c>
      <c r="GG286" s="178">
        <f t="shared" si="51"/>
        <v>0</v>
      </c>
    </row>
    <row r="287" spans="1:189" x14ac:dyDescent="0.35">
      <c r="A287" s="6" t="s">
        <v>1368</v>
      </c>
      <c r="B287" s="6" t="str">
        <f>IF(Technologies!B287&lt;&gt;0,Technologies!B287,"")</f>
        <v>Gebouwde omgeving</v>
      </c>
      <c r="C287" s="6" t="str">
        <f>VLOOKUP($A287,Technologies!$A$7:$H$576,3,FALSE)</f>
        <v>Conversion</v>
      </c>
      <c r="D287" s="6" t="str">
        <f>VLOOKUP($A287,Technologies!$A$7:$H$576,4,FALSE)</f>
        <v>Services</v>
      </c>
      <c r="E287" s="6" t="str">
        <f>VLOOKUP($A287,Technologies!$A$7:$H$576,6,FALSE)</f>
        <v>Heat LT Services</v>
      </c>
      <c r="F287" s="48" t="str">
        <f>VLOOKUP($A287,Technologies!$A$7:$H$576,7,FALSE)</f>
        <v>CHP Gas  - LT Heat for Services</v>
      </c>
      <c r="G287" s="22"/>
      <c r="H287" s="22"/>
      <c r="I287" s="103" cm="1">
        <f t="array" ref="I287">-SUMPRODUCT((Feedstocks!$C$4:$C$141=A287)*Feedstocks!$E$4:$E$141,Feedstocks!$F$4:$F$141,Feedstocks!$H$4:$H$141,Feedstocks!$I$4:$I$141)</f>
        <v>0</v>
      </c>
      <c r="J287" s="103" cm="1">
        <f t="array" ref="J287">-SUMPRODUCT((Feedstocks!$C$4:$C$141=A287)*Feedstocks!$E$4:$E$141,Feedstocks!$H$4:$H$141,Feedstocks!$I$4:$I$141)</f>
        <v>0</v>
      </c>
      <c r="K287" s="103"/>
      <c r="L287" s="103"/>
      <c r="M287" s="22"/>
      <c r="N287" s="22" t="str">
        <f>VLOOKUP(E287,Activities!$A$9:$M$227,13,FALSE)</f>
        <v>NL</v>
      </c>
      <c r="O287" s="22"/>
      <c r="P287" s="80" t="s">
        <v>1519</v>
      </c>
      <c r="Q287" s="36"/>
      <c r="R287" s="36"/>
      <c r="S287" s="36"/>
      <c r="T287" s="36"/>
      <c r="U287" s="36"/>
      <c r="V287" s="36"/>
      <c r="W287" s="36"/>
      <c r="X287" s="36"/>
      <c r="Y287" s="36"/>
      <c r="Z287" s="36"/>
      <c r="AA287" s="36"/>
      <c r="AB287" s="36"/>
      <c r="AC287" s="36"/>
      <c r="AD287" s="36"/>
      <c r="AE287" s="36"/>
      <c r="AF287" s="35"/>
      <c r="AG287" s="35"/>
      <c r="AH287" s="35"/>
      <c r="AI287" s="35"/>
      <c r="AJ287" s="35"/>
      <c r="AK287" s="35"/>
      <c r="AL287" s="35"/>
      <c r="AM287" s="35"/>
      <c r="AN287" s="35"/>
      <c r="AO287" s="35"/>
      <c r="AP287" s="36"/>
      <c r="AQ287" s="36"/>
      <c r="AR287" s="36"/>
      <c r="AS287" s="36"/>
      <c r="AT287" s="36"/>
      <c r="AU287" s="36"/>
      <c r="AV287" s="36"/>
      <c r="AW287" s="36"/>
      <c r="AX287" s="36"/>
      <c r="AY287" s="36"/>
      <c r="AZ287" s="36"/>
      <c r="BA287" s="36"/>
      <c r="BB287" s="36"/>
      <c r="BC287" s="36"/>
      <c r="BD287" s="36"/>
      <c r="BE287" s="36"/>
      <c r="BF287" s="36"/>
      <c r="BG287" s="36"/>
      <c r="BH287" s="36"/>
      <c r="BI287" s="36"/>
      <c r="BJ287" s="36"/>
      <c r="BK287" s="36"/>
      <c r="BL287" s="36"/>
      <c r="BM287" s="36"/>
      <c r="BN287" s="36"/>
      <c r="BO287" s="36"/>
      <c r="BP287" s="36"/>
      <c r="BQ287" s="36"/>
      <c r="BR287" s="36"/>
      <c r="BS287" s="36"/>
      <c r="BT287" s="36"/>
      <c r="BU287" s="36"/>
      <c r="BV287" s="36"/>
      <c r="BW287" s="36"/>
      <c r="BX287" s="36"/>
      <c r="BY287" s="36"/>
      <c r="BZ287" s="36"/>
      <c r="CA287" s="36"/>
      <c r="CB287" s="36"/>
      <c r="CC287" s="36"/>
      <c r="CD287" s="36"/>
      <c r="CE287" s="36"/>
      <c r="CF287" s="36"/>
      <c r="CG287" s="36"/>
      <c r="CH287" s="36"/>
      <c r="CI287" s="36"/>
      <c r="CJ287" s="36"/>
      <c r="CK287" s="36"/>
      <c r="CL287" s="36"/>
      <c r="CM287" s="36"/>
      <c r="CN287" s="36"/>
      <c r="CO287" s="36"/>
      <c r="CP287" s="36"/>
      <c r="CQ287" s="36"/>
      <c r="CR287" s="36"/>
      <c r="CS287" s="36"/>
      <c r="CT287" s="36"/>
      <c r="CU287" s="36"/>
      <c r="CV287" s="36"/>
      <c r="CW287" s="36"/>
      <c r="CX287" s="36"/>
      <c r="CY287" s="36"/>
      <c r="CZ287" s="36"/>
      <c r="DA287" s="36"/>
      <c r="DB287" s="36"/>
      <c r="DC287" s="36"/>
      <c r="DD287" s="36"/>
      <c r="DE287" s="36"/>
      <c r="DF287" s="36"/>
      <c r="DG287" s="36"/>
      <c r="DH287" s="36"/>
      <c r="DI287" s="36">
        <v>0.63639999999999997</v>
      </c>
      <c r="DJ287" s="36"/>
      <c r="DK287" s="36"/>
      <c r="DL287" s="36">
        <v>1</v>
      </c>
      <c r="DM287" s="36"/>
      <c r="DN287" s="36"/>
      <c r="DO287" s="36"/>
      <c r="DP287" s="36"/>
      <c r="DQ287" s="36"/>
      <c r="DR287" s="36"/>
      <c r="DS287" s="36"/>
      <c r="DT287" s="36"/>
      <c r="DU287" s="36"/>
      <c r="DV287" s="36"/>
      <c r="DW287" s="36"/>
      <c r="DX287" s="36"/>
      <c r="DY287" s="36"/>
      <c r="DZ287" s="36"/>
      <c r="EA287" s="36"/>
      <c r="EB287" s="36"/>
      <c r="EC287" s="36"/>
      <c r="ED287" s="36"/>
      <c r="EE287" s="36"/>
      <c r="EF287" s="36"/>
      <c r="EG287" s="36"/>
      <c r="EH287" s="36"/>
      <c r="EI287" s="36"/>
      <c r="EJ287" s="36"/>
      <c r="EK287" s="36">
        <v>-1.95</v>
      </c>
      <c r="EL287" s="36"/>
      <c r="EM287" s="36"/>
      <c r="EN287" s="36"/>
      <c r="EO287" s="36"/>
      <c r="EP287" s="36"/>
      <c r="EQ287" s="36"/>
      <c r="ER287" s="36"/>
      <c r="ES287" s="36"/>
      <c r="ET287" s="36"/>
      <c r="EU287" s="36"/>
      <c r="EV287" s="36"/>
      <c r="EW287" s="36"/>
      <c r="EX287" s="36"/>
      <c r="EY287" s="36"/>
      <c r="EZ287" s="36"/>
      <c r="FA287" s="36"/>
      <c r="FB287" s="36"/>
      <c r="FC287" s="36"/>
      <c r="FD287" s="36"/>
      <c r="FE287" s="36"/>
      <c r="FF287" s="36"/>
      <c r="FG287" s="36"/>
      <c r="FH287" s="36"/>
      <c r="FI287" s="36"/>
      <c r="FJ287" s="36"/>
      <c r="FK287" s="36"/>
      <c r="FL287" s="36"/>
      <c r="FM287" s="36"/>
      <c r="FN287" s="36"/>
      <c r="FO287" s="36"/>
      <c r="FP287" s="36"/>
      <c r="FQ287" s="36"/>
      <c r="FR287" s="36"/>
      <c r="FS287" s="36"/>
      <c r="FT287" s="36"/>
      <c r="FU287" s="36"/>
      <c r="FV287" s="36"/>
      <c r="FW287" s="36"/>
      <c r="FX287" s="36"/>
      <c r="FY287" s="36"/>
      <c r="FZ287" s="36"/>
      <c r="GA287" s="36"/>
      <c r="GB287" s="319"/>
      <c r="GC287" s="179">
        <f t="shared" si="47"/>
        <v>0</v>
      </c>
      <c r="GD287" s="179">
        <f t="shared" si="48"/>
        <v>0</v>
      </c>
      <c r="GE287" s="179">
        <f t="shared" si="49"/>
        <v>0.1104</v>
      </c>
      <c r="GF287" s="179">
        <f t="shared" si="50"/>
        <v>0</v>
      </c>
      <c r="GG287" s="179">
        <f t="shared" si="51"/>
        <v>0</v>
      </c>
    </row>
    <row r="288" spans="1:189" x14ac:dyDescent="0.35">
      <c r="A288" s="5" t="s">
        <v>1370</v>
      </c>
      <c r="B288" s="5" t="str">
        <f>IF(Technologies!B288&lt;&gt;0,Technologies!B288,"")</f>
        <v>Gebouwde omgeving</v>
      </c>
      <c r="C288" s="5" t="str">
        <f>VLOOKUP($A288,Technologies!$A$7:$H$576,3,FALSE)</f>
        <v>Conversion</v>
      </c>
      <c r="D288" s="5" t="str">
        <f>VLOOKUP($A288,Technologies!$A$7:$H$576,4,FALSE)</f>
        <v>Services</v>
      </c>
      <c r="E288" s="5" t="str">
        <f>VLOOKUP($A288,Technologies!$A$7:$H$576,6,FALSE)</f>
        <v>Heat LT Services</v>
      </c>
      <c r="F288" s="5" t="str">
        <f>VLOOKUP($A288,Technologies!$A$7:$H$576,7,FALSE)</f>
        <v>CHP H2 - LT Heat for Services</v>
      </c>
      <c r="G288" s="23"/>
      <c r="H288" s="23"/>
      <c r="I288" s="104" cm="1">
        <f t="array" ref="I288">-SUMPRODUCT((Feedstocks!$C$4:$C$141=A288)*Feedstocks!$E$4:$E$141,Feedstocks!$F$4:$F$141,Feedstocks!$H$4:$H$141,Feedstocks!$I$4:$I$141)</f>
        <v>0</v>
      </c>
      <c r="J288" s="104" cm="1">
        <f t="array" ref="J288">-SUMPRODUCT((Feedstocks!$C$4:$C$141=A288)*Feedstocks!$E$4:$E$141,Feedstocks!$H$4:$H$141,Feedstocks!$I$4:$I$141)</f>
        <v>0</v>
      </c>
      <c r="K288" s="104"/>
      <c r="L288" s="104"/>
      <c r="M288" s="23"/>
      <c r="N288" s="23" t="str">
        <f>VLOOKUP(E288,Activities!$A$9:$M$227,13,FALSE)</f>
        <v>NL</v>
      </c>
      <c r="O288" s="23"/>
      <c r="P288" s="79" t="s">
        <v>415</v>
      </c>
      <c r="Q288" s="35"/>
      <c r="R288" s="35"/>
      <c r="S288" s="35"/>
      <c r="T288" s="35"/>
      <c r="U288" s="35"/>
      <c r="V288" s="35"/>
      <c r="W288" s="35"/>
      <c r="X288" s="35"/>
      <c r="Y288" s="35"/>
      <c r="Z288" s="35"/>
      <c r="AA288" s="35"/>
      <c r="AB288" s="35"/>
      <c r="AC288" s="35"/>
      <c r="AD288" s="35"/>
      <c r="AE288" s="35"/>
      <c r="AF288" s="36"/>
      <c r="AG288" s="36"/>
      <c r="AH288" s="36"/>
      <c r="AI288" s="36"/>
      <c r="AJ288" s="36"/>
      <c r="AK288" s="36"/>
      <c r="AL288" s="36"/>
      <c r="AM288" s="36"/>
      <c r="AN288" s="36"/>
      <c r="AO288" s="36"/>
      <c r="AP288" s="35"/>
      <c r="AQ288" s="35"/>
      <c r="AR288" s="35"/>
      <c r="AS288" s="35"/>
      <c r="AT288" s="35"/>
      <c r="AU288" s="35"/>
      <c r="AV288" s="35"/>
      <c r="AW288" s="35"/>
      <c r="AX288" s="35"/>
      <c r="AY288" s="35"/>
      <c r="AZ288" s="35"/>
      <c r="BA288" s="35"/>
      <c r="BB288" s="35"/>
      <c r="BC288" s="35"/>
      <c r="BD288" s="35"/>
      <c r="BE288" s="35"/>
      <c r="BF288" s="35"/>
      <c r="BG288" s="35"/>
      <c r="BH288" s="35"/>
      <c r="BI288" s="35"/>
      <c r="BJ288" s="35"/>
      <c r="BK288" s="35"/>
      <c r="BL288" s="35"/>
      <c r="BM288" s="35"/>
      <c r="BN288" s="35"/>
      <c r="BO288" s="35"/>
      <c r="BP288" s="35"/>
      <c r="BQ288" s="35"/>
      <c r="BR288" s="35"/>
      <c r="BS288" s="35"/>
      <c r="BT288" s="35"/>
      <c r="BU288" s="35"/>
      <c r="BV288" s="35"/>
      <c r="BW288" s="35"/>
      <c r="BX288" s="35"/>
      <c r="BY288" s="35"/>
      <c r="BZ288" s="35"/>
      <c r="CA288" s="35"/>
      <c r="CB288" s="35"/>
      <c r="CC288" s="35"/>
      <c r="CD288" s="35"/>
      <c r="CE288" s="35"/>
      <c r="CF288" s="35"/>
      <c r="CG288" s="35"/>
      <c r="CH288" s="35"/>
      <c r="CI288" s="35"/>
      <c r="CJ288" s="35"/>
      <c r="CK288" s="35"/>
      <c r="CL288" s="35"/>
      <c r="CM288" s="35"/>
      <c r="CN288" s="35"/>
      <c r="CO288" s="35"/>
      <c r="CP288" s="35"/>
      <c r="CQ288" s="35"/>
      <c r="CR288" s="35"/>
      <c r="CS288" s="35"/>
      <c r="CT288" s="35"/>
      <c r="CU288" s="35"/>
      <c r="CV288" s="35"/>
      <c r="CW288" s="35"/>
      <c r="CX288" s="35"/>
      <c r="CY288" s="35"/>
      <c r="CZ288" s="35"/>
      <c r="DA288" s="35"/>
      <c r="DB288" s="35"/>
      <c r="DC288" s="35"/>
      <c r="DD288" s="35"/>
      <c r="DE288" s="35"/>
      <c r="DF288" s="35"/>
      <c r="DG288" s="35"/>
      <c r="DH288" s="35"/>
      <c r="DI288" s="35">
        <v>0.6</v>
      </c>
      <c r="DJ288" s="35"/>
      <c r="DK288" s="35"/>
      <c r="DL288" s="35">
        <v>1</v>
      </c>
      <c r="DM288" s="35"/>
      <c r="DN288" s="35"/>
      <c r="DO288" s="35"/>
      <c r="DP288" s="35"/>
      <c r="DQ288" s="35"/>
      <c r="DR288" s="35"/>
      <c r="DS288" s="35"/>
      <c r="DT288" s="35"/>
      <c r="DU288" s="35"/>
      <c r="DV288" s="35"/>
      <c r="DW288" s="35"/>
      <c r="DX288" s="35"/>
      <c r="DY288" s="35"/>
      <c r="DZ288" s="35"/>
      <c r="EA288" s="35"/>
      <c r="EB288" s="35"/>
      <c r="EC288" s="35"/>
      <c r="ED288" s="35"/>
      <c r="EE288" s="35"/>
      <c r="EF288" s="35"/>
      <c r="EG288" s="35"/>
      <c r="EH288" s="35"/>
      <c r="EI288" s="35"/>
      <c r="EJ288" s="35"/>
      <c r="EK288" s="35"/>
      <c r="EL288" s="35"/>
      <c r="EM288" s="35"/>
      <c r="EN288" s="35">
        <v>-2</v>
      </c>
      <c r="EO288" s="35"/>
      <c r="EP288" s="35"/>
      <c r="EQ288" s="35"/>
      <c r="ER288" s="35"/>
      <c r="ES288" s="35"/>
      <c r="ET288" s="35"/>
      <c r="EU288" s="35"/>
      <c r="EV288" s="35"/>
      <c r="EW288" s="35"/>
      <c r="EX288" s="35"/>
      <c r="EY288" s="35"/>
      <c r="EZ288" s="35"/>
      <c r="FA288" s="35"/>
      <c r="FB288" s="35"/>
      <c r="FC288" s="35"/>
      <c r="FD288" s="35"/>
      <c r="FE288" s="35"/>
      <c r="FF288" s="35"/>
      <c r="FG288" s="35"/>
      <c r="FH288" s="35"/>
      <c r="FI288" s="35"/>
      <c r="FJ288" s="35"/>
      <c r="FK288" s="35"/>
      <c r="FL288" s="35"/>
      <c r="FM288" s="35"/>
      <c r="FN288" s="35"/>
      <c r="FO288" s="35"/>
      <c r="FP288" s="35"/>
      <c r="FQ288" s="35"/>
      <c r="FR288" s="35"/>
      <c r="FS288" s="35"/>
      <c r="FT288" s="35"/>
      <c r="FU288" s="35"/>
      <c r="FV288" s="35"/>
      <c r="FW288" s="35"/>
      <c r="FX288" s="35"/>
      <c r="FY288" s="35"/>
      <c r="FZ288" s="35"/>
      <c r="GA288" s="35"/>
      <c r="GB288" s="318"/>
      <c r="GC288" s="178">
        <f t="shared" si="47"/>
        <v>0</v>
      </c>
      <c r="GD288" s="178">
        <f t="shared" si="48"/>
        <v>0</v>
      </c>
      <c r="GE288" s="178">
        <f t="shared" si="49"/>
        <v>0</v>
      </c>
      <c r="GF288" s="178">
        <f t="shared" si="50"/>
        <v>0</v>
      </c>
      <c r="GG288" s="178">
        <f t="shared" si="51"/>
        <v>0</v>
      </c>
    </row>
    <row r="289" spans="1:189" x14ac:dyDescent="0.35">
      <c r="A289" s="6" t="s">
        <v>1372</v>
      </c>
      <c r="B289" s="6" t="str">
        <f>IF(Technologies!B289&lt;&gt;0,Technologies!B289,"")</f>
        <v>Gebouwde omgeving</v>
      </c>
      <c r="C289" s="6" t="str">
        <f>VLOOKUP($A289,Technologies!$A$7:$H$576,3,FALSE)</f>
        <v>Conversion</v>
      </c>
      <c r="D289" s="6" t="str">
        <f>VLOOKUP($A289,Technologies!$A$7:$H$576,4,FALSE)</f>
        <v>Services</v>
      </c>
      <c r="E289" s="6" t="str">
        <f>VLOOKUP($A289,Technologies!$A$7:$H$576,6,FALSE)</f>
        <v>Heat LT Services</v>
      </c>
      <c r="F289" s="48" t="str">
        <f>VLOOKUP($A289,Technologies!$A$7:$H$576,7,FALSE)</f>
        <v>Boiler Hydrogen - LT Heat for Services</v>
      </c>
      <c r="G289" s="22"/>
      <c r="H289" s="22"/>
      <c r="I289" s="103" cm="1">
        <f t="array" ref="I289">-SUMPRODUCT((Feedstocks!$C$4:$C$141=A289)*Feedstocks!$E$4:$E$141,Feedstocks!$F$4:$F$141,Feedstocks!$H$4:$H$141,Feedstocks!$I$4:$I$141)</f>
        <v>0</v>
      </c>
      <c r="J289" s="103" cm="1">
        <f t="array" ref="J289">-SUMPRODUCT((Feedstocks!$C$4:$C$141=A289)*Feedstocks!$E$4:$E$141,Feedstocks!$H$4:$H$141,Feedstocks!$I$4:$I$141)</f>
        <v>0</v>
      </c>
      <c r="K289" s="103"/>
      <c r="L289" s="103"/>
      <c r="M289" s="22"/>
      <c r="N289" s="22" t="str">
        <f>VLOOKUP(E289,Activities!$A$9:$M$227,13,FALSE)</f>
        <v>NL</v>
      </c>
      <c r="O289" s="22"/>
      <c r="P289" s="80" t="s">
        <v>415</v>
      </c>
      <c r="Q289" s="36"/>
      <c r="R289" s="36"/>
      <c r="S289" s="36"/>
      <c r="T289" s="36"/>
      <c r="U289" s="36"/>
      <c r="V289" s="36"/>
      <c r="W289" s="36"/>
      <c r="X289" s="36"/>
      <c r="Y289" s="36"/>
      <c r="Z289" s="36"/>
      <c r="AA289" s="36"/>
      <c r="AB289" s="36"/>
      <c r="AC289" s="36"/>
      <c r="AD289" s="36"/>
      <c r="AE289" s="36"/>
      <c r="AF289" s="35"/>
      <c r="AG289" s="35"/>
      <c r="AH289" s="35"/>
      <c r="AI289" s="35"/>
      <c r="AJ289" s="35"/>
      <c r="AK289" s="35"/>
      <c r="AL289" s="35"/>
      <c r="AM289" s="35"/>
      <c r="AN289" s="35"/>
      <c r="AO289" s="35"/>
      <c r="AP289" s="36"/>
      <c r="AQ289" s="36"/>
      <c r="AR289" s="36"/>
      <c r="AS289" s="36"/>
      <c r="AT289" s="36"/>
      <c r="AU289" s="36"/>
      <c r="AV289" s="36"/>
      <c r="AW289" s="36"/>
      <c r="AX289" s="36"/>
      <c r="AY289" s="36"/>
      <c r="AZ289" s="36"/>
      <c r="BA289" s="36"/>
      <c r="BB289" s="36"/>
      <c r="BC289" s="36"/>
      <c r="BD289" s="36"/>
      <c r="BE289" s="36"/>
      <c r="BF289" s="36"/>
      <c r="BG289" s="36"/>
      <c r="BH289" s="36"/>
      <c r="BI289" s="36"/>
      <c r="BJ289" s="36"/>
      <c r="BK289" s="36"/>
      <c r="BL289" s="36"/>
      <c r="BM289" s="36"/>
      <c r="BN289" s="36"/>
      <c r="BO289" s="36"/>
      <c r="BP289" s="36"/>
      <c r="BQ289" s="36"/>
      <c r="BR289" s="36"/>
      <c r="BS289" s="36"/>
      <c r="BT289" s="36"/>
      <c r="BU289" s="36"/>
      <c r="BV289" s="36"/>
      <c r="BW289" s="36"/>
      <c r="BX289" s="36"/>
      <c r="BY289" s="36"/>
      <c r="BZ289" s="36"/>
      <c r="CA289" s="36"/>
      <c r="CB289" s="36"/>
      <c r="CC289" s="36"/>
      <c r="CD289" s="36"/>
      <c r="CE289" s="36"/>
      <c r="CF289" s="36"/>
      <c r="CG289" s="36"/>
      <c r="CH289" s="36"/>
      <c r="CI289" s="36"/>
      <c r="CJ289" s="36"/>
      <c r="CK289" s="36"/>
      <c r="CL289" s="36"/>
      <c r="CM289" s="36"/>
      <c r="CN289" s="36"/>
      <c r="CO289" s="36"/>
      <c r="CP289" s="36"/>
      <c r="CQ289" s="36"/>
      <c r="CR289" s="36"/>
      <c r="CS289" s="36"/>
      <c r="CT289" s="36"/>
      <c r="CU289" s="36"/>
      <c r="CV289" s="36"/>
      <c r="CW289" s="36"/>
      <c r="CX289" s="36"/>
      <c r="CY289" s="36"/>
      <c r="CZ289" s="36"/>
      <c r="DA289" s="36"/>
      <c r="DB289" s="36"/>
      <c r="DC289" s="36"/>
      <c r="DD289" s="36"/>
      <c r="DE289" s="36"/>
      <c r="DF289" s="36"/>
      <c r="DG289" s="36"/>
      <c r="DH289" s="36"/>
      <c r="DI289" s="36"/>
      <c r="DJ289" s="36"/>
      <c r="DK289" s="36"/>
      <c r="DL289" s="36">
        <v>1</v>
      </c>
      <c r="DM289" s="36"/>
      <c r="DN289" s="36"/>
      <c r="DO289" s="36"/>
      <c r="DP289" s="36"/>
      <c r="DQ289" s="36"/>
      <c r="DR289" s="36"/>
      <c r="DS289" s="36"/>
      <c r="DT289" s="36"/>
      <c r="DU289" s="36"/>
      <c r="DV289" s="36"/>
      <c r="DW289" s="36"/>
      <c r="DX289" s="36"/>
      <c r="DY289" s="36"/>
      <c r="DZ289" s="36"/>
      <c r="EA289" s="36"/>
      <c r="EB289" s="36"/>
      <c r="EC289" s="36"/>
      <c r="ED289" s="36"/>
      <c r="EE289" s="36"/>
      <c r="EF289" s="36"/>
      <c r="EG289" s="36"/>
      <c r="EH289" s="36"/>
      <c r="EI289" s="36"/>
      <c r="EJ289" s="36"/>
      <c r="EK289" s="36"/>
      <c r="EL289" s="36"/>
      <c r="EM289" s="36"/>
      <c r="EN289" s="36">
        <v>-1.05</v>
      </c>
      <c r="EO289" s="36"/>
      <c r="EP289" s="36"/>
      <c r="EQ289" s="36"/>
      <c r="ER289" s="36"/>
      <c r="ES289" s="36"/>
      <c r="ET289" s="36"/>
      <c r="EU289" s="36"/>
      <c r="EV289" s="36"/>
      <c r="EW289" s="36"/>
      <c r="EX289" s="36"/>
      <c r="EY289" s="36"/>
      <c r="EZ289" s="36"/>
      <c r="FA289" s="36"/>
      <c r="FB289" s="36"/>
      <c r="FC289" s="36"/>
      <c r="FD289" s="36"/>
      <c r="FE289" s="36"/>
      <c r="FF289" s="36"/>
      <c r="FG289" s="36"/>
      <c r="FH289" s="36"/>
      <c r="FI289" s="36"/>
      <c r="FJ289" s="36"/>
      <c r="FK289" s="36"/>
      <c r="FL289" s="36"/>
      <c r="FM289" s="36"/>
      <c r="FN289" s="36"/>
      <c r="FO289" s="36"/>
      <c r="FP289" s="36"/>
      <c r="FQ289" s="36"/>
      <c r="FR289" s="36"/>
      <c r="FS289" s="36"/>
      <c r="FT289" s="36"/>
      <c r="FU289" s="36"/>
      <c r="FV289" s="36"/>
      <c r="FW289" s="36"/>
      <c r="FX289" s="36"/>
      <c r="FY289" s="36"/>
      <c r="FZ289" s="36"/>
      <c r="GA289" s="36"/>
      <c r="GB289" s="319"/>
      <c r="GC289" s="179">
        <f t="shared" ref="GC289:GC296" si="52">ROUND(IF($C289="Primary",0,-$G289*(SUMPRODUCT($Q$4:$GA$4,$Q289:$GA289)+$J289)-$H289)*IF($N289=GC$4,1,0),4)</f>
        <v>0</v>
      </c>
      <c r="GD289" s="179">
        <f t="shared" ref="GD289:GD296" si="53">ROUND(IF($C289="Primary",0,$M289*(1-$O289)*($G289*(SUMPRODUCT($Q$4:$GA$4,$Q289:$GA289)+$J289)+$H289-SUMPRODUCT($Q$5:$GA$5,$Q289:$GA289)-$I289+$K289))*IF($N289=GD$4,1,0),4)</f>
        <v>0</v>
      </c>
      <c r="GE289" s="179">
        <f t="shared" ref="GE289:GE296" si="54">ROUND(IF($C289="Primary",0,(1-$M289)*(1-$O289)*($G289*(SUMPRODUCT($Q$4:$GA$4,$Q289:$GA289)+$J289)+$H289-SUMPRODUCT($Q$5:$GA$5,$Q289:$GA289)-$I289+$L289))*IF($N289=GD$4,1,0),4)</f>
        <v>0</v>
      </c>
      <c r="GF289" s="179">
        <f t="shared" ref="GF289:GF296" si="55">ROUND(IF($C289="Primary",0,$O289*($G289*(SUMPRODUCT($Q$4:$GA$4,$Q289:$GA289)+$J289)-SUMPRODUCT($Q$5:$GA$5,$Q289:$GA289)-$I289))*IF($N289=GD$4,1,0),4)</f>
        <v>0</v>
      </c>
      <c r="GG289" s="179">
        <f t="shared" si="51"/>
        <v>0</v>
      </c>
    </row>
    <row r="290" spans="1:189" x14ac:dyDescent="0.35">
      <c r="A290" s="5" t="s">
        <v>1375</v>
      </c>
      <c r="B290" s="5" t="str">
        <f>IF(Technologies!B290&lt;&gt;0,Technologies!B290,"")</f>
        <v>Elektriciteit</v>
      </c>
      <c r="C290" s="5" t="str">
        <f>VLOOKUP($A290,Technologies!$A$7:$H$576,3,FALSE)</f>
        <v>Conversion</v>
      </c>
      <c r="D290" s="5" t="str">
        <f>VLOOKUP($A290,Technologies!$A$7:$H$576,4,FALSE)</f>
        <v>Heat Network</v>
      </c>
      <c r="E290" s="5" t="str">
        <f>VLOOKUP($A290,Technologies!$A$7:$H$576,6,FALSE)</f>
        <v>Heat LT Network</v>
      </c>
      <c r="F290" s="5" t="str">
        <f>VLOOKUP($A290,Technologies!$A$7:$H$576,7,FALSE)</f>
        <v>Boiler Gas - LT Heat for Network</v>
      </c>
      <c r="G290" s="23"/>
      <c r="H290" s="23"/>
      <c r="I290" s="104" cm="1">
        <f t="array" ref="I290">-SUMPRODUCT((Feedstocks!$C$4:$C$141=A290)*Feedstocks!$E$4:$E$141,Feedstocks!$F$4:$F$141,Feedstocks!$H$4:$H$141,Feedstocks!$I$4:$I$141)</f>
        <v>0</v>
      </c>
      <c r="J290" s="104" cm="1">
        <f t="array" ref="J290">-SUMPRODUCT((Feedstocks!$C$4:$C$141=A290)*Feedstocks!$E$4:$E$141,Feedstocks!$H$4:$H$141,Feedstocks!$I$4:$I$141)</f>
        <v>0</v>
      </c>
      <c r="K290" s="104"/>
      <c r="L290" s="104"/>
      <c r="M290" s="23">
        <v>1</v>
      </c>
      <c r="N290" s="23" t="str">
        <f>VLOOKUP(E290,Activities!$A$9:$M$227,13,FALSE)</f>
        <v>NL</v>
      </c>
      <c r="O290" s="23"/>
      <c r="P290" s="79" t="s">
        <v>415</v>
      </c>
      <c r="Q290" s="35"/>
      <c r="R290" s="35"/>
      <c r="S290" s="35"/>
      <c r="T290" s="35"/>
      <c r="U290" s="35"/>
      <c r="V290" s="35"/>
      <c r="W290" s="35"/>
      <c r="X290" s="35"/>
      <c r="Y290" s="35"/>
      <c r="Z290" s="35"/>
      <c r="AA290" s="35"/>
      <c r="AB290" s="35"/>
      <c r="AC290" s="35"/>
      <c r="AD290" s="35"/>
      <c r="AE290" s="35"/>
      <c r="AF290" s="36"/>
      <c r="AG290" s="36"/>
      <c r="AH290" s="36"/>
      <c r="AI290" s="36"/>
      <c r="AJ290" s="36"/>
      <c r="AK290" s="36"/>
      <c r="AL290" s="36"/>
      <c r="AM290" s="36"/>
      <c r="AN290" s="36"/>
      <c r="AO290" s="36"/>
      <c r="AP290" s="35"/>
      <c r="AQ290" s="35"/>
      <c r="AR290" s="35"/>
      <c r="AS290" s="35"/>
      <c r="AT290" s="35"/>
      <c r="AU290" s="35"/>
      <c r="AV290" s="35"/>
      <c r="AW290" s="35"/>
      <c r="AX290" s="35"/>
      <c r="AY290" s="35"/>
      <c r="AZ290" s="35"/>
      <c r="BA290" s="35"/>
      <c r="BB290" s="35"/>
      <c r="BC290" s="35"/>
      <c r="BD290" s="35"/>
      <c r="BE290" s="35"/>
      <c r="BF290" s="35"/>
      <c r="BG290" s="35"/>
      <c r="BH290" s="35"/>
      <c r="BI290" s="35"/>
      <c r="BJ290" s="35"/>
      <c r="BK290" s="35"/>
      <c r="BL290" s="35"/>
      <c r="BM290" s="35"/>
      <c r="BN290" s="35"/>
      <c r="BO290" s="35"/>
      <c r="BP290" s="35"/>
      <c r="BQ290" s="35"/>
      <c r="BR290" s="35"/>
      <c r="BS290" s="35"/>
      <c r="BT290" s="35"/>
      <c r="BU290" s="35"/>
      <c r="BV290" s="35"/>
      <c r="BW290" s="35"/>
      <c r="BX290" s="35"/>
      <c r="BY290" s="35"/>
      <c r="BZ290" s="35"/>
      <c r="CA290" s="35"/>
      <c r="CB290" s="35"/>
      <c r="CC290" s="35"/>
      <c r="CD290" s="35"/>
      <c r="CE290" s="35"/>
      <c r="CF290" s="35"/>
      <c r="CG290" s="35"/>
      <c r="CH290" s="35"/>
      <c r="CI290" s="35"/>
      <c r="CJ290" s="35"/>
      <c r="CK290" s="35"/>
      <c r="CL290" s="35"/>
      <c r="CM290" s="35"/>
      <c r="CN290" s="35"/>
      <c r="CO290" s="35"/>
      <c r="CP290" s="35"/>
      <c r="CQ290" s="35"/>
      <c r="CR290" s="35"/>
      <c r="CS290" s="35"/>
      <c r="CT290" s="35"/>
      <c r="CU290" s="35"/>
      <c r="CV290" s="35"/>
      <c r="CW290" s="35"/>
      <c r="CX290" s="35"/>
      <c r="CY290" s="35"/>
      <c r="CZ290" s="35"/>
      <c r="DA290" s="35"/>
      <c r="DB290" s="35"/>
      <c r="DC290" s="35"/>
      <c r="DD290" s="35"/>
      <c r="DE290" s="35"/>
      <c r="DF290" s="35"/>
      <c r="DG290" s="35"/>
      <c r="DH290" s="35"/>
      <c r="DI290" s="35"/>
      <c r="DJ290" s="35"/>
      <c r="DK290" s="35"/>
      <c r="DL290" s="35"/>
      <c r="DM290" s="35">
        <v>1</v>
      </c>
      <c r="DN290" s="35"/>
      <c r="DO290" s="35"/>
      <c r="DP290" s="35"/>
      <c r="DQ290" s="35"/>
      <c r="DR290" s="35"/>
      <c r="DS290" s="35"/>
      <c r="DT290" s="35"/>
      <c r="DU290" s="35"/>
      <c r="DV290" s="35"/>
      <c r="DW290" s="35"/>
      <c r="DX290" s="35"/>
      <c r="DY290" s="35"/>
      <c r="DZ290" s="35"/>
      <c r="EA290" s="35"/>
      <c r="EB290" s="35"/>
      <c r="EC290" s="35"/>
      <c r="ED290" s="35"/>
      <c r="EE290" s="35"/>
      <c r="EF290" s="35"/>
      <c r="EG290" s="35"/>
      <c r="EH290" s="35"/>
      <c r="EI290" s="35"/>
      <c r="EJ290" s="35">
        <v>-1.02</v>
      </c>
      <c r="EK290" s="35"/>
      <c r="EL290" s="35"/>
      <c r="EM290" s="35"/>
      <c r="EN290" s="35"/>
      <c r="EO290" s="35"/>
      <c r="EP290" s="35"/>
      <c r="EQ290" s="35"/>
      <c r="ER290" s="35"/>
      <c r="ES290" s="35"/>
      <c r="ET290" s="35"/>
      <c r="EU290" s="35"/>
      <c r="EV290" s="35"/>
      <c r="EW290" s="35"/>
      <c r="EX290" s="35"/>
      <c r="EY290" s="35"/>
      <c r="EZ290" s="35"/>
      <c r="FA290" s="35"/>
      <c r="FB290" s="35"/>
      <c r="FC290" s="35"/>
      <c r="FD290" s="35"/>
      <c r="FE290" s="35"/>
      <c r="FF290" s="35"/>
      <c r="FG290" s="35"/>
      <c r="FH290" s="35"/>
      <c r="FI290" s="35"/>
      <c r="FJ290" s="35"/>
      <c r="FK290" s="35"/>
      <c r="FL290" s="35"/>
      <c r="FM290" s="35"/>
      <c r="FN290" s="35"/>
      <c r="FO290" s="35"/>
      <c r="FP290" s="35"/>
      <c r="FQ290" s="35"/>
      <c r="FR290" s="35"/>
      <c r="FS290" s="35"/>
      <c r="FT290" s="35"/>
      <c r="FU290" s="35"/>
      <c r="FV290" s="35"/>
      <c r="FW290" s="35"/>
      <c r="FX290" s="35"/>
      <c r="FY290" s="35"/>
      <c r="FZ290" s="35"/>
      <c r="GA290" s="35"/>
      <c r="GB290" s="318"/>
      <c r="GC290" s="178">
        <f t="shared" si="52"/>
        <v>0</v>
      </c>
      <c r="GD290" s="178">
        <f t="shared" si="53"/>
        <v>5.7700000000000001E-2</v>
      </c>
      <c r="GE290" s="178">
        <f t="shared" si="54"/>
        <v>0</v>
      </c>
      <c r="GF290" s="178">
        <f t="shared" si="55"/>
        <v>0</v>
      </c>
      <c r="GG290" s="178">
        <f t="shared" si="51"/>
        <v>0</v>
      </c>
    </row>
    <row r="291" spans="1:189" x14ac:dyDescent="0.35">
      <c r="A291" s="6" t="s">
        <v>1378</v>
      </c>
      <c r="B291" s="6" t="str">
        <f>IF(Technologies!B291&lt;&gt;0,Technologies!B291,"")</f>
        <v>Elektriciteit</v>
      </c>
      <c r="C291" s="6" t="str">
        <f>VLOOKUP($A291,Technologies!$A$7:$H$576,3,FALSE)</f>
        <v>Conversion</v>
      </c>
      <c r="D291" s="6" t="str">
        <f>VLOOKUP($A291,Technologies!$A$7:$H$576,4,FALSE)</f>
        <v>Heat Network</v>
      </c>
      <c r="E291" s="6" t="str">
        <f>VLOOKUP($A291,Technologies!$A$7:$H$576,6,FALSE)</f>
        <v>Heat LT Network</v>
      </c>
      <c r="F291" s="48" t="str">
        <f>VLOOKUP($A291,Technologies!$A$7:$H$576,7,FALSE)</f>
        <v>Boiler Gas wCCS - LT Heat for Network</v>
      </c>
      <c r="G291" s="22">
        <v>0.8</v>
      </c>
      <c r="H291" s="22"/>
      <c r="I291" s="103" cm="1">
        <f t="array" ref="I291">-SUMPRODUCT((Feedstocks!$C$4:$C$141=A291)*Feedstocks!$E$4:$E$141,Feedstocks!$F$4:$F$141,Feedstocks!$H$4:$H$141,Feedstocks!$I$4:$I$141)</f>
        <v>0</v>
      </c>
      <c r="J291" s="103" cm="1">
        <f t="array" ref="J291">-SUMPRODUCT((Feedstocks!$C$4:$C$141=A291)*Feedstocks!$E$4:$E$141,Feedstocks!$H$4:$H$141,Feedstocks!$I$4:$I$141)</f>
        <v>0</v>
      </c>
      <c r="K291" s="103"/>
      <c r="L291" s="103"/>
      <c r="M291" s="22">
        <v>1</v>
      </c>
      <c r="N291" s="22" t="str">
        <f>VLOOKUP(E291,Activities!$A$9:$M$227,13,FALSE)</f>
        <v>NL</v>
      </c>
      <c r="O291" s="22"/>
      <c r="P291" s="80" t="s">
        <v>415</v>
      </c>
      <c r="Q291" s="36"/>
      <c r="R291" s="36"/>
      <c r="S291" s="36"/>
      <c r="T291" s="36"/>
      <c r="U291" s="36"/>
      <c r="V291" s="36"/>
      <c r="W291" s="36"/>
      <c r="X291" s="36"/>
      <c r="Y291" s="36"/>
      <c r="Z291" s="36"/>
      <c r="AA291" s="36"/>
      <c r="AB291" s="36"/>
      <c r="AC291" s="36"/>
      <c r="AD291" s="36"/>
      <c r="AE291" s="36"/>
      <c r="AF291" s="35"/>
      <c r="AG291" s="35"/>
      <c r="AH291" s="35"/>
      <c r="AI291" s="35"/>
      <c r="AJ291" s="35"/>
      <c r="AK291" s="35"/>
      <c r="AL291" s="35"/>
      <c r="AM291" s="35"/>
      <c r="AN291" s="35"/>
      <c r="AO291" s="35"/>
      <c r="AP291" s="36"/>
      <c r="AQ291" s="36"/>
      <c r="AR291" s="36"/>
      <c r="AS291" s="36"/>
      <c r="AT291" s="36"/>
      <c r="AU291" s="36"/>
      <c r="AV291" s="36"/>
      <c r="AW291" s="36"/>
      <c r="AX291" s="36"/>
      <c r="AY291" s="36"/>
      <c r="AZ291" s="36"/>
      <c r="BA291" s="36"/>
      <c r="BB291" s="36"/>
      <c r="BC291" s="36"/>
      <c r="BD291" s="36"/>
      <c r="BE291" s="36"/>
      <c r="BF291" s="36"/>
      <c r="BG291" s="36"/>
      <c r="BH291" s="36"/>
      <c r="BI291" s="36"/>
      <c r="BJ291" s="36"/>
      <c r="BK291" s="36"/>
      <c r="BL291" s="36"/>
      <c r="BM291" s="36"/>
      <c r="BN291" s="36"/>
      <c r="BO291" s="36"/>
      <c r="BP291" s="36"/>
      <c r="BQ291" s="36"/>
      <c r="BR291" s="36"/>
      <c r="BS291" s="36"/>
      <c r="BT291" s="36"/>
      <c r="BU291" s="36"/>
      <c r="BV291" s="36"/>
      <c r="BW291" s="36"/>
      <c r="BX291" s="36"/>
      <c r="BY291" s="36"/>
      <c r="BZ291" s="36"/>
      <c r="CA291" s="36"/>
      <c r="CB291" s="36"/>
      <c r="CC291" s="36"/>
      <c r="CD291" s="36"/>
      <c r="CE291" s="36"/>
      <c r="CF291" s="36"/>
      <c r="CG291" s="36"/>
      <c r="CH291" s="36"/>
      <c r="CI291" s="36"/>
      <c r="CJ291" s="36"/>
      <c r="CK291" s="36"/>
      <c r="CL291" s="36"/>
      <c r="CM291" s="36"/>
      <c r="CN291" s="36"/>
      <c r="CO291" s="36"/>
      <c r="CP291" s="36"/>
      <c r="CQ291" s="36"/>
      <c r="CR291" s="36"/>
      <c r="CS291" s="36"/>
      <c r="CT291" s="36"/>
      <c r="CU291" s="36"/>
      <c r="CV291" s="36"/>
      <c r="CW291" s="36"/>
      <c r="CX291" s="36"/>
      <c r="CY291" s="36"/>
      <c r="CZ291" s="36"/>
      <c r="DA291" s="36"/>
      <c r="DB291" s="36"/>
      <c r="DC291" s="36"/>
      <c r="DD291" s="36"/>
      <c r="DE291" s="36"/>
      <c r="DF291" s="36"/>
      <c r="DG291" s="36"/>
      <c r="DH291" s="36"/>
      <c r="DI291" s="36"/>
      <c r="DJ291" s="36"/>
      <c r="DK291" s="36"/>
      <c r="DL291" s="36"/>
      <c r="DM291" s="36">
        <v>1</v>
      </c>
      <c r="DN291" s="36"/>
      <c r="DO291" s="36"/>
      <c r="DP291" s="36"/>
      <c r="DQ291" s="36"/>
      <c r="DR291" s="36"/>
      <c r="DS291" s="36"/>
      <c r="DT291" s="36"/>
      <c r="DU291" s="36"/>
      <c r="DV291" s="36"/>
      <c r="DW291" s="36"/>
      <c r="DX291" s="36"/>
      <c r="DY291" s="36"/>
      <c r="DZ291" s="36"/>
      <c r="EA291" s="36"/>
      <c r="EB291" s="36"/>
      <c r="EC291" s="36"/>
      <c r="ED291" s="36"/>
      <c r="EE291" s="36"/>
      <c r="EF291" s="36"/>
      <c r="EG291" s="36"/>
      <c r="EH291" s="36"/>
      <c r="EI291" s="36"/>
      <c r="EJ291" s="36">
        <v>-1.17</v>
      </c>
      <c r="EK291" s="36"/>
      <c r="EL291" s="36"/>
      <c r="EM291" s="36"/>
      <c r="EN291" s="36"/>
      <c r="EO291" s="36"/>
      <c r="EP291" s="36"/>
      <c r="EQ291" s="36"/>
      <c r="ER291" s="36"/>
      <c r="ES291" s="36"/>
      <c r="ET291" s="36"/>
      <c r="EU291" s="36"/>
      <c r="EV291" s="36"/>
      <c r="EW291" s="36"/>
      <c r="EX291" s="36"/>
      <c r="EY291" s="36"/>
      <c r="EZ291" s="36"/>
      <c r="FA291" s="36"/>
      <c r="FB291" s="36"/>
      <c r="FC291" s="36"/>
      <c r="FD291" s="36"/>
      <c r="FE291" s="36"/>
      <c r="FF291" s="36"/>
      <c r="FG291" s="36"/>
      <c r="FH291" s="36"/>
      <c r="FI291" s="36"/>
      <c r="FJ291" s="36"/>
      <c r="FK291" s="36"/>
      <c r="FL291" s="36"/>
      <c r="FM291" s="36"/>
      <c r="FN291" s="36"/>
      <c r="FO291" s="36"/>
      <c r="FP291" s="36"/>
      <c r="FQ291" s="36"/>
      <c r="FR291" s="36"/>
      <c r="FS291" s="36"/>
      <c r="FT291" s="36"/>
      <c r="FU291" s="36"/>
      <c r="FV291" s="36"/>
      <c r="FW291" s="36"/>
      <c r="FX291" s="36"/>
      <c r="FY291" s="36"/>
      <c r="FZ291" s="36"/>
      <c r="GA291" s="36"/>
      <c r="GB291" s="319"/>
      <c r="GC291" s="179">
        <f t="shared" si="52"/>
        <v>5.2999999999999999E-2</v>
      </c>
      <c r="GD291" s="179">
        <f t="shared" si="53"/>
        <v>1.32E-2</v>
      </c>
      <c r="GE291" s="179">
        <f t="shared" si="54"/>
        <v>0</v>
      </c>
      <c r="GF291" s="179">
        <f t="shared" si="55"/>
        <v>0</v>
      </c>
      <c r="GG291" s="179">
        <f t="shared" si="51"/>
        <v>0</v>
      </c>
    </row>
    <row r="292" spans="1:189" x14ac:dyDescent="0.35">
      <c r="A292" s="5" t="s">
        <v>1380</v>
      </c>
      <c r="B292" s="5" t="str">
        <f>IF(Technologies!B292&lt;&gt;0,Technologies!B292,"")</f>
        <v>Elektriciteit</v>
      </c>
      <c r="C292" s="5" t="str">
        <f>VLOOKUP($A292,Technologies!$A$7:$H$576,3,FALSE)</f>
        <v>Conversion</v>
      </c>
      <c r="D292" s="5" t="str">
        <f>VLOOKUP($A292,Technologies!$A$7:$H$576,4,FALSE)</f>
        <v>Heat Network</v>
      </c>
      <c r="E292" s="5" t="str">
        <f>VLOOKUP($A292,Technologies!$A$7:$H$576,6,FALSE)</f>
        <v>Heat LT Network</v>
      </c>
      <c r="F292" s="5" t="str">
        <f>VLOOKUP($A292,Technologies!$A$7:$H$576,7,FALSE)</f>
        <v>Boiler Biomass - LT Heat for Network</v>
      </c>
      <c r="G292" s="23"/>
      <c r="H292" s="23"/>
      <c r="I292" s="104" cm="1">
        <f t="array" ref="I292">-SUMPRODUCT((Feedstocks!$C$4:$C$141=A292)*Feedstocks!$E$4:$E$141,Feedstocks!$F$4:$F$141,Feedstocks!$H$4:$H$141,Feedstocks!$I$4:$I$141)</f>
        <v>0</v>
      </c>
      <c r="J292" s="104" cm="1">
        <f t="array" ref="J292">-SUMPRODUCT((Feedstocks!$C$4:$C$141=A292)*Feedstocks!$E$4:$E$141,Feedstocks!$H$4:$H$141,Feedstocks!$I$4:$I$141)</f>
        <v>0</v>
      </c>
      <c r="K292" s="104"/>
      <c r="L292" s="104"/>
      <c r="M292" s="23">
        <v>1</v>
      </c>
      <c r="N292" s="23" t="str">
        <f>VLOOKUP(E292,Activities!$A$9:$M$227,13,FALSE)</f>
        <v>NL</v>
      </c>
      <c r="O292" s="23"/>
      <c r="P292" s="79" t="s">
        <v>415</v>
      </c>
      <c r="Q292" s="35"/>
      <c r="R292" s="35"/>
      <c r="S292" s="35"/>
      <c r="T292" s="35"/>
      <c r="U292" s="35"/>
      <c r="V292" s="35"/>
      <c r="W292" s="35"/>
      <c r="X292" s="35"/>
      <c r="Y292" s="35"/>
      <c r="Z292" s="35"/>
      <c r="AA292" s="35"/>
      <c r="AB292" s="35"/>
      <c r="AC292" s="35"/>
      <c r="AD292" s="35"/>
      <c r="AE292" s="35"/>
      <c r="AF292" s="36"/>
      <c r="AG292" s="36"/>
      <c r="AH292" s="36"/>
      <c r="AI292" s="36"/>
      <c r="AJ292" s="36"/>
      <c r="AK292" s="36"/>
      <c r="AL292" s="36"/>
      <c r="AM292" s="36"/>
      <c r="AN292" s="36"/>
      <c r="AO292" s="36"/>
      <c r="AP292" s="35"/>
      <c r="AQ292" s="35"/>
      <c r="AR292" s="35"/>
      <c r="AS292" s="35"/>
      <c r="AT292" s="35"/>
      <c r="AU292" s="35"/>
      <c r="AV292" s="35"/>
      <c r="AW292" s="35"/>
      <c r="AX292" s="35"/>
      <c r="AY292" s="35"/>
      <c r="AZ292" s="35"/>
      <c r="BA292" s="35"/>
      <c r="BB292" s="35"/>
      <c r="BC292" s="35"/>
      <c r="BD292" s="35"/>
      <c r="BE292" s="35"/>
      <c r="BF292" s="35"/>
      <c r="BG292" s="35"/>
      <c r="BH292" s="35"/>
      <c r="BI292" s="35"/>
      <c r="BJ292" s="35"/>
      <c r="BK292" s="35"/>
      <c r="BL292" s="35"/>
      <c r="BM292" s="35"/>
      <c r="BN292" s="35"/>
      <c r="BO292" s="35"/>
      <c r="BP292" s="35"/>
      <c r="BQ292" s="35"/>
      <c r="BR292" s="35"/>
      <c r="BS292" s="35"/>
      <c r="BT292" s="35"/>
      <c r="BU292" s="35"/>
      <c r="BV292" s="35"/>
      <c r="BW292" s="35"/>
      <c r="BX292" s="35"/>
      <c r="BY292" s="35"/>
      <c r="BZ292" s="35"/>
      <c r="CA292" s="35"/>
      <c r="CB292" s="35"/>
      <c r="CC292" s="35"/>
      <c r="CD292" s="35"/>
      <c r="CE292" s="35"/>
      <c r="CF292" s="35"/>
      <c r="CG292" s="35"/>
      <c r="CH292" s="35"/>
      <c r="CI292" s="35"/>
      <c r="CJ292" s="35"/>
      <c r="CK292" s="35"/>
      <c r="CL292" s="35"/>
      <c r="CM292" s="35"/>
      <c r="CN292" s="35"/>
      <c r="CO292" s="35"/>
      <c r="CP292" s="35"/>
      <c r="CQ292" s="35"/>
      <c r="CR292" s="35"/>
      <c r="CS292" s="35"/>
      <c r="CT292" s="35"/>
      <c r="CU292" s="35"/>
      <c r="CV292" s="35"/>
      <c r="CW292" s="35"/>
      <c r="CX292" s="35"/>
      <c r="CY292" s="35"/>
      <c r="CZ292" s="35"/>
      <c r="DA292" s="35"/>
      <c r="DB292" s="35"/>
      <c r="DC292" s="35"/>
      <c r="DD292" s="35"/>
      <c r="DE292" s="35"/>
      <c r="DF292" s="35"/>
      <c r="DG292" s="35"/>
      <c r="DH292" s="35"/>
      <c r="DI292" s="35"/>
      <c r="DJ292" s="35"/>
      <c r="DK292" s="35"/>
      <c r="DL292" s="35"/>
      <c r="DM292" s="35">
        <v>1</v>
      </c>
      <c r="DN292" s="35"/>
      <c r="DO292" s="35"/>
      <c r="DP292" s="35"/>
      <c r="DQ292" s="35"/>
      <c r="DR292" s="35"/>
      <c r="DS292" s="35"/>
      <c r="DT292" s="35"/>
      <c r="DU292" s="35"/>
      <c r="DV292" s="35"/>
      <c r="DW292" s="35"/>
      <c r="DX292" s="35"/>
      <c r="DY292" s="35"/>
      <c r="DZ292" s="35"/>
      <c r="EA292" s="35"/>
      <c r="EB292" s="35"/>
      <c r="EC292" s="35"/>
      <c r="ED292" s="35"/>
      <c r="EE292" s="35"/>
      <c r="EF292" s="35"/>
      <c r="EG292" s="35"/>
      <c r="EH292" s="35"/>
      <c r="EI292" s="35"/>
      <c r="EJ292" s="35"/>
      <c r="EK292" s="35"/>
      <c r="EL292" s="35"/>
      <c r="EM292" s="35"/>
      <c r="EN292" s="35"/>
      <c r="EO292" s="35"/>
      <c r="EP292" s="35"/>
      <c r="EQ292" s="35"/>
      <c r="ER292" s="35">
        <v>-1.333</v>
      </c>
      <c r="ES292" s="35"/>
      <c r="ET292" s="35"/>
      <c r="EU292" s="35"/>
      <c r="EV292" s="35"/>
      <c r="EW292" s="35"/>
      <c r="EX292" s="35"/>
      <c r="EY292" s="35"/>
      <c r="EZ292" s="35"/>
      <c r="FA292" s="35"/>
      <c r="FB292" s="35"/>
      <c r="FC292" s="35"/>
      <c r="FD292" s="35"/>
      <c r="FE292" s="35"/>
      <c r="FF292" s="35"/>
      <c r="FG292" s="35"/>
      <c r="FH292" s="35"/>
      <c r="FI292" s="35"/>
      <c r="FJ292" s="35"/>
      <c r="FK292" s="35"/>
      <c r="FL292" s="35"/>
      <c r="FM292" s="35"/>
      <c r="FN292" s="35"/>
      <c r="FO292" s="35"/>
      <c r="FP292" s="35"/>
      <c r="FQ292" s="35"/>
      <c r="FR292" s="35"/>
      <c r="FS292" s="35"/>
      <c r="FT292" s="35"/>
      <c r="FU292" s="35"/>
      <c r="FV292" s="35"/>
      <c r="FW292" s="35"/>
      <c r="FX292" s="35"/>
      <c r="FY292" s="35"/>
      <c r="FZ292" s="35"/>
      <c r="GA292" s="35"/>
      <c r="GB292" s="318"/>
      <c r="GC292" s="178">
        <f t="shared" si="52"/>
        <v>0</v>
      </c>
      <c r="GD292" s="178">
        <f t="shared" si="53"/>
        <v>0</v>
      </c>
      <c r="GE292" s="178">
        <f t="shared" si="54"/>
        <v>0</v>
      </c>
      <c r="GF292" s="178">
        <f t="shared" si="55"/>
        <v>0</v>
      </c>
      <c r="GG292" s="178">
        <f t="shared" si="51"/>
        <v>0</v>
      </c>
    </row>
    <row r="293" spans="1:189" x14ac:dyDescent="0.35">
      <c r="A293" s="6" t="s">
        <v>1382</v>
      </c>
      <c r="B293" s="6" t="str">
        <f>IF(Technologies!B293&lt;&gt;0,Technologies!B293,"")</f>
        <v>Elektriciteit</v>
      </c>
      <c r="C293" s="6" t="str">
        <f>VLOOKUP($A293,Technologies!$A$7:$H$576,3,FALSE)</f>
        <v>Conversion</v>
      </c>
      <c r="D293" s="6" t="str">
        <f>VLOOKUP($A293,Technologies!$A$7:$H$576,4,FALSE)</f>
        <v>Heat Network</v>
      </c>
      <c r="E293" s="6" t="str">
        <f>VLOOKUP($A293,Technologies!$A$7:$H$576,6,FALSE)</f>
        <v>Heat LT Network</v>
      </c>
      <c r="F293" s="48" t="str">
        <f>VLOOKUP($A293,Technologies!$A$7:$H$576,7,FALSE)</f>
        <v>Boiler Biomass wCCS - LT Heat for Network</v>
      </c>
      <c r="G293" s="22">
        <v>0.8</v>
      </c>
      <c r="H293" s="22"/>
      <c r="I293" s="103" cm="1">
        <f t="array" ref="I293">-SUMPRODUCT((Feedstocks!$C$4:$C$141=A293)*Feedstocks!$E$4:$E$141,Feedstocks!$F$4:$F$141,Feedstocks!$H$4:$H$141,Feedstocks!$I$4:$I$141)</f>
        <v>0</v>
      </c>
      <c r="J293" s="103" cm="1">
        <f t="array" ref="J293">-SUMPRODUCT((Feedstocks!$C$4:$C$141=A293)*Feedstocks!$E$4:$E$141,Feedstocks!$H$4:$H$141,Feedstocks!$I$4:$I$141)</f>
        <v>0</v>
      </c>
      <c r="K293" s="103"/>
      <c r="L293" s="103"/>
      <c r="M293" s="22">
        <v>1</v>
      </c>
      <c r="N293" s="22" t="str">
        <f>VLOOKUP(E293,Activities!$A$9:$M$227,13,FALSE)</f>
        <v>NL</v>
      </c>
      <c r="O293" s="22"/>
      <c r="P293" s="80" t="s">
        <v>415</v>
      </c>
      <c r="Q293" s="36"/>
      <c r="R293" s="36"/>
      <c r="S293" s="36"/>
      <c r="T293" s="36"/>
      <c r="U293" s="36"/>
      <c r="V293" s="36"/>
      <c r="W293" s="36"/>
      <c r="X293" s="36"/>
      <c r="Y293" s="36"/>
      <c r="Z293" s="36"/>
      <c r="AA293" s="36"/>
      <c r="AB293" s="36"/>
      <c r="AC293" s="36"/>
      <c r="AD293" s="36"/>
      <c r="AE293" s="36"/>
      <c r="AF293" s="35"/>
      <c r="AG293" s="35"/>
      <c r="AH293" s="35"/>
      <c r="AI293" s="35"/>
      <c r="AJ293" s="35"/>
      <c r="AK293" s="35"/>
      <c r="AL293" s="35"/>
      <c r="AM293" s="35"/>
      <c r="AN293" s="35"/>
      <c r="AO293" s="35"/>
      <c r="AP293" s="36"/>
      <c r="AQ293" s="36"/>
      <c r="AR293" s="36"/>
      <c r="AS293" s="36"/>
      <c r="AT293" s="36"/>
      <c r="AU293" s="36"/>
      <c r="AV293" s="36"/>
      <c r="AW293" s="36"/>
      <c r="AX293" s="36"/>
      <c r="AY293" s="36"/>
      <c r="AZ293" s="36"/>
      <c r="BA293" s="36"/>
      <c r="BB293" s="36"/>
      <c r="BC293" s="36"/>
      <c r="BD293" s="36"/>
      <c r="BE293" s="36"/>
      <c r="BF293" s="36"/>
      <c r="BG293" s="36"/>
      <c r="BH293" s="36"/>
      <c r="BI293" s="36"/>
      <c r="BJ293" s="36"/>
      <c r="BK293" s="36"/>
      <c r="BL293" s="36"/>
      <c r="BM293" s="36"/>
      <c r="BN293" s="36"/>
      <c r="BO293" s="36"/>
      <c r="BP293" s="36"/>
      <c r="BQ293" s="36"/>
      <c r="BR293" s="36"/>
      <c r="BS293" s="36"/>
      <c r="BT293" s="36"/>
      <c r="BU293" s="36"/>
      <c r="BV293" s="36"/>
      <c r="BW293" s="36"/>
      <c r="BX293" s="36"/>
      <c r="BY293" s="36"/>
      <c r="BZ293" s="36"/>
      <c r="CA293" s="36"/>
      <c r="CB293" s="36"/>
      <c r="CC293" s="36"/>
      <c r="CD293" s="36"/>
      <c r="CE293" s="36"/>
      <c r="CF293" s="36"/>
      <c r="CG293" s="36"/>
      <c r="CH293" s="36"/>
      <c r="CI293" s="36"/>
      <c r="CJ293" s="36"/>
      <c r="CK293" s="36"/>
      <c r="CL293" s="36"/>
      <c r="CM293" s="36"/>
      <c r="CN293" s="36"/>
      <c r="CO293" s="36"/>
      <c r="CP293" s="36"/>
      <c r="CQ293" s="36"/>
      <c r="CR293" s="36"/>
      <c r="CS293" s="36"/>
      <c r="CT293" s="36"/>
      <c r="CU293" s="36"/>
      <c r="CV293" s="36"/>
      <c r="CW293" s="36"/>
      <c r="CX293" s="36"/>
      <c r="CY293" s="36"/>
      <c r="CZ293" s="36"/>
      <c r="DA293" s="36"/>
      <c r="DB293" s="36"/>
      <c r="DC293" s="36"/>
      <c r="DD293" s="36"/>
      <c r="DE293" s="36"/>
      <c r="DF293" s="36"/>
      <c r="DG293" s="36"/>
      <c r="DH293" s="36"/>
      <c r="DI293" s="36"/>
      <c r="DJ293" s="36"/>
      <c r="DK293" s="36"/>
      <c r="DL293" s="36"/>
      <c r="DM293" s="36">
        <v>1</v>
      </c>
      <c r="DN293" s="36"/>
      <c r="DO293" s="36"/>
      <c r="DP293" s="36"/>
      <c r="DQ293" s="36"/>
      <c r="DR293" s="36"/>
      <c r="DS293" s="36"/>
      <c r="DT293" s="36"/>
      <c r="DU293" s="36"/>
      <c r="DV293" s="36"/>
      <c r="DW293" s="36"/>
      <c r="DX293" s="36"/>
      <c r="DY293" s="36"/>
      <c r="DZ293" s="36"/>
      <c r="EA293" s="36"/>
      <c r="EB293" s="36"/>
      <c r="EC293" s="36"/>
      <c r="ED293" s="36"/>
      <c r="EE293" s="36"/>
      <c r="EF293" s="36"/>
      <c r="EG293" s="36"/>
      <c r="EH293" s="36"/>
      <c r="EI293" s="36"/>
      <c r="EJ293" s="36"/>
      <c r="EK293" s="36"/>
      <c r="EL293" s="36"/>
      <c r="EM293" s="36"/>
      <c r="EN293" s="36"/>
      <c r="EO293" s="36"/>
      <c r="EP293" s="36"/>
      <c r="EQ293" s="36"/>
      <c r="ER293" s="36">
        <v>-1.4339999999999999</v>
      </c>
      <c r="ES293" s="36"/>
      <c r="ET293" s="36"/>
      <c r="EU293" s="36"/>
      <c r="EV293" s="36"/>
      <c r="EW293" s="36"/>
      <c r="EX293" s="36"/>
      <c r="EY293" s="36"/>
      <c r="EZ293" s="36"/>
      <c r="FA293" s="36"/>
      <c r="FB293" s="36"/>
      <c r="FC293" s="36"/>
      <c r="FD293" s="36"/>
      <c r="FE293" s="36"/>
      <c r="FF293" s="36"/>
      <c r="FG293" s="36"/>
      <c r="FH293" s="36"/>
      <c r="FI293" s="36"/>
      <c r="FJ293" s="36"/>
      <c r="FK293" s="36"/>
      <c r="FL293" s="36"/>
      <c r="FM293" s="36"/>
      <c r="FN293" s="36"/>
      <c r="FO293" s="36"/>
      <c r="FP293" s="36"/>
      <c r="FQ293" s="36"/>
      <c r="FR293" s="36"/>
      <c r="FS293" s="36"/>
      <c r="FT293" s="36"/>
      <c r="FU293" s="36"/>
      <c r="FV293" s="36"/>
      <c r="FW293" s="36"/>
      <c r="FX293" s="36"/>
      <c r="FY293" s="36"/>
      <c r="FZ293" s="36"/>
      <c r="GA293" s="36"/>
      <c r="GB293" s="319">
        <f>GC293</f>
        <v>0.12570000000000001</v>
      </c>
      <c r="GC293" s="179">
        <f t="shared" si="52"/>
        <v>0.12570000000000001</v>
      </c>
      <c r="GD293" s="179">
        <f t="shared" si="53"/>
        <v>-0.12570000000000001</v>
      </c>
      <c r="GE293" s="179">
        <f t="shared" si="54"/>
        <v>0</v>
      </c>
      <c r="GF293" s="179">
        <f t="shared" si="55"/>
        <v>0</v>
      </c>
      <c r="GG293" s="179">
        <f t="shared" si="51"/>
        <v>0</v>
      </c>
    </row>
    <row r="294" spans="1:189" x14ac:dyDescent="0.35">
      <c r="A294" s="5" t="s">
        <v>1384</v>
      </c>
      <c r="B294" s="5" t="str">
        <f>IF(Technologies!B294&lt;&gt;0,Technologies!B294,"")</f>
        <v>Elektriciteit</v>
      </c>
      <c r="C294" s="5" t="str">
        <f>VLOOKUP($A294,Technologies!$A$7:$H$576,3,FALSE)</f>
        <v>Conversion</v>
      </c>
      <c r="D294" s="5" t="str">
        <f>VLOOKUP($A294,Technologies!$A$7:$H$576,4,FALSE)</f>
        <v>Heat Network</v>
      </c>
      <c r="E294" s="5" t="str">
        <f>VLOOKUP($A294,Technologies!$A$7:$H$576,6,FALSE)</f>
        <v>Heat LT Network</v>
      </c>
      <c r="F294" s="5" t="str">
        <f>VLOOKUP($A294,Technologies!$A$7:$H$576,7,FALSE)</f>
        <v>Geothermal Gas HP - LT Heat for Network</v>
      </c>
      <c r="G294" s="23"/>
      <c r="H294" s="23"/>
      <c r="I294" s="104" cm="1">
        <f t="array" ref="I294">-SUMPRODUCT((Feedstocks!$C$4:$C$141=A294)*Feedstocks!$E$4:$E$141,Feedstocks!$F$4:$F$141,Feedstocks!$H$4:$H$141,Feedstocks!$I$4:$I$141)</f>
        <v>0</v>
      </c>
      <c r="J294" s="104" cm="1">
        <f t="array" ref="J294">-SUMPRODUCT((Feedstocks!$C$4:$C$141=A294)*Feedstocks!$E$4:$E$141,Feedstocks!$H$4:$H$141,Feedstocks!$I$4:$I$141)</f>
        <v>0</v>
      </c>
      <c r="K294" s="104"/>
      <c r="L294" s="104"/>
      <c r="M294" s="23">
        <v>1</v>
      </c>
      <c r="N294" s="23" t="str">
        <f>VLOOKUP(E294,Activities!$A$9:$M$227,13,FALSE)</f>
        <v>NL</v>
      </c>
      <c r="O294" s="23"/>
      <c r="P294" s="79" t="s">
        <v>415</v>
      </c>
      <c r="Q294" s="35"/>
      <c r="R294" s="35"/>
      <c r="S294" s="35"/>
      <c r="T294" s="35"/>
      <c r="U294" s="35"/>
      <c r="V294" s="35"/>
      <c r="W294" s="35"/>
      <c r="X294" s="35"/>
      <c r="Y294" s="35"/>
      <c r="Z294" s="35"/>
      <c r="AA294" s="35"/>
      <c r="AB294" s="35"/>
      <c r="AC294" s="35"/>
      <c r="AD294" s="35"/>
      <c r="AE294" s="35"/>
      <c r="AF294" s="36"/>
      <c r="AG294" s="36"/>
      <c r="AH294" s="36"/>
      <c r="AI294" s="36"/>
      <c r="AJ294" s="36"/>
      <c r="AK294" s="36"/>
      <c r="AL294" s="36"/>
      <c r="AM294" s="36"/>
      <c r="AN294" s="36"/>
      <c r="AO294" s="36"/>
      <c r="AP294" s="35"/>
      <c r="AQ294" s="35"/>
      <c r="AR294" s="35"/>
      <c r="AS294" s="35"/>
      <c r="AT294" s="35"/>
      <c r="AU294" s="35"/>
      <c r="AV294" s="35"/>
      <c r="AW294" s="35"/>
      <c r="AX294" s="35"/>
      <c r="AY294" s="35"/>
      <c r="AZ294" s="35"/>
      <c r="BA294" s="35"/>
      <c r="BB294" s="35"/>
      <c r="BC294" s="35"/>
      <c r="BD294" s="35"/>
      <c r="BE294" s="35"/>
      <c r="BF294" s="35"/>
      <c r="BG294" s="35"/>
      <c r="BH294" s="35"/>
      <c r="BI294" s="35"/>
      <c r="BJ294" s="35"/>
      <c r="BK294" s="35"/>
      <c r="BL294" s="35"/>
      <c r="BM294" s="35"/>
      <c r="BN294" s="35"/>
      <c r="BO294" s="35"/>
      <c r="BP294" s="35"/>
      <c r="BQ294" s="35"/>
      <c r="BR294" s="35"/>
      <c r="BS294" s="35"/>
      <c r="BT294" s="35"/>
      <c r="BU294" s="35"/>
      <c r="BV294" s="35"/>
      <c r="BW294" s="35"/>
      <c r="BX294" s="35"/>
      <c r="BY294" s="35"/>
      <c r="BZ294" s="35"/>
      <c r="CA294" s="35"/>
      <c r="CB294" s="35"/>
      <c r="CC294" s="35"/>
      <c r="CD294" s="35"/>
      <c r="CE294" s="35"/>
      <c r="CF294" s="35"/>
      <c r="CG294" s="35"/>
      <c r="CH294" s="35"/>
      <c r="CI294" s="35"/>
      <c r="CJ294" s="35"/>
      <c r="CK294" s="35"/>
      <c r="CL294" s="35"/>
      <c r="CM294" s="35"/>
      <c r="CN294" s="35"/>
      <c r="CO294" s="35"/>
      <c r="CP294" s="35"/>
      <c r="CQ294" s="35"/>
      <c r="CR294" s="35"/>
      <c r="CS294" s="35"/>
      <c r="CT294" s="35"/>
      <c r="CU294" s="35"/>
      <c r="CV294" s="35"/>
      <c r="CW294" s="35"/>
      <c r="CX294" s="35"/>
      <c r="CY294" s="35"/>
      <c r="CZ294" s="35"/>
      <c r="DA294" s="35"/>
      <c r="DB294" s="35"/>
      <c r="DC294" s="35"/>
      <c r="DD294" s="35"/>
      <c r="DE294" s="35"/>
      <c r="DF294" s="35"/>
      <c r="DG294" s="35"/>
      <c r="DH294" s="35"/>
      <c r="DI294" s="35">
        <v>-0.05</v>
      </c>
      <c r="DJ294" s="35"/>
      <c r="DK294" s="35"/>
      <c r="DL294" s="35"/>
      <c r="DM294" s="35">
        <v>1</v>
      </c>
      <c r="DN294" s="35"/>
      <c r="DO294" s="35"/>
      <c r="DP294" s="35"/>
      <c r="DQ294" s="35"/>
      <c r="DR294" s="35"/>
      <c r="DS294" s="35"/>
      <c r="DT294" s="35"/>
      <c r="DU294" s="35"/>
      <c r="DV294" s="35"/>
      <c r="DW294" s="35"/>
      <c r="DX294" s="35"/>
      <c r="DY294" s="35"/>
      <c r="DZ294" s="35"/>
      <c r="EA294" s="35"/>
      <c r="EB294" s="35"/>
      <c r="EC294" s="35"/>
      <c r="ED294" s="35"/>
      <c r="EE294" s="35"/>
      <c r="EF294" s="35"/>
      <c r="EG294" s="35"/>
      <c r="EH294" s="35"/>
      <c r="EI294" s="35"/>
      <c r="EJ294" s="35">
        <v>-0.25</v>
      </c>
      <c r="EK294" s="35"/>
      <c r="EL294" s="35"/>
      <c r="EM294" s="35"/>
      <c r="EN294" s="35"/>
      <c r="EO294" s="35"/>
      <c r="EP294" s="35"/>
      <c r="EQ294" s="35"/>
      <c r="ER294" s="35"/>
      <c r="ES294" s="35"/>
      <c r="ET294" s="35"/>
      <c r="EU294" s="35"/>
      <c r="EV294" s="35"/>
      <c r="EW294" s="35"/>
      <c r="EX294" s="35"/>
      <c r="EY294" s="35"/>
      <c r="EZ294" s="35"/>
      <c r="FA294" s="35"/>
      <c r="FB294" s="35"/>
      <c r="FC294" s="35"/>
      <c r="FD294" s="35"/>
      <c r="FE294" s="35"/>
      <c r="FF294" s="35"/>
      <c r="FG294" s="35"/>
      <c r="FH294" s="35"/>
      <c r="FI294" s="35"/>
      <c r="FJ294" s="35"/>
      <c r="FK294" s="35"/>
      <c r="FL294" s="35"/>
      <c r="FM294" s="35">
        <v>-0.75</v>
      </c>
      <c r="FN294" s="35"/>
      <c r="FO294" s="35"/>
      <c r="FP294" s="35"/>
      <c r="FQ294" s="35"/>
      <c r="FR294" s="35"/>
      <c r="FS294" s="35"/>
      <c r="FT294" s="35"/>
      <c r="FU294" s="35"/>
      <c r="FV294" s="35"/>
      <c r="FW294" s="35"/>
      <c r="FX294" s="35"/>
      <c r="FY294" s="35"/>
      <c r="FZ294" s="35"/>
      <c r="GA294" s="35"/>
      <c r="GB294" s="318"/>
      <c r="GC294" s="178">
        <f t="shared" si="52"/>
        <v>0</v>
      </c>
      <c r="GD294" s="178">
        <f t="shared" si="53"/>
        <v>1.4200000000000001E-2</v>
      </c>
      <c r="GE294" s="178">
        <f t="shared" si="54"/>
        <v>0</v>
      </c>
      <c r="GF294" s="178">
        <f t="shared" si="55"/>
        <v>0</v>
      </c>
      <c r="GG294" s="178">
        <f t="shared" si="51"/>
        <v>0</v>
      </c>
    </row>
    <row r="295" spans="1:189" x14ac:dyDescent="0.35">
      <c r="A295" s="6" t="s">
        <v>1386</v>
      </c>
      <c r="B295" s="6" t="str">
        <f>IF(Technologies!B295&lt;&gt;0,Technologies!B295,"")</f>
        <v>Elektriciteit</v>
      </c>
      <c r="C295" s="6" t="str">
        <f>VLOOKUP($A295,Technologies!$A$7:$H$576,3,FALSE)</f>
        <v>Conversion</v>
      </c>
      <c r="D295" s="6" t="str">
        <f>VLOOKUP($A295,Technologies!$A$7:$H$576,4,FALSE)</f>
        <v>Heat Network</v>
      </c>
      <c r="E295" s="6" t="str">
        <f>VLOOKUP($A295,Technologies!$A$7:$H$576,6,FALSE)</f>
        <v>Heat LT Network</v>
      </c>
      <c r="F295" s="48" t="str">
        <f>VLOOKUP($A295,Technologies!$A$7:$H$576,7,FALSE)</f>
        <v>Hot water storage tank - LT Heat for Network</v>
      </c>
      <c r="G295" s="22"/>
      <c r="H295" s="22"/>
      <c r="I295" s="103" cm="1">
        <f t="array" ref="I295">-SUMPRODUCT((Feedstocks!$C$4:$C$141=A295)*Feedstocks!$E$4:$E$141,Feedstocks!$F$4:$F$141,Feedstocks!$H$4:$H$141,Feedstocks!$I$4:$I$141)</f>
        <v>0</v>
      </c>
      <c r="J295" s="103" cm="1">
        <f t="array" ref="J295">-SUMPRODUCT((Feedstocks!$C$4:$C$141=A295)*Feedstocks!$E$4:$E$141,Feedstocks!$H$4:$H$141,Feedstocks!$I$4:$I$141)</f>
        <v>0</v>
      </c>
      <c r="K295" s="103"/>
      <c r="L295" s="103"/>
      <c r="M295" s="22"/>
      <c r="N295" s="22" t="str">
        <f>VLOOKUP(E295,Activities!$A$9:$M$227,13,FALSE)</f>
        <v>NL</v>
      </c>
      <c r="O295" s="22"/>
      <c r="P295" s="80" t="s">
        <v>415</v>
      </c>
      <c r="Q295" s="36"/>
      <c r="R295" s="36"/>
      <c r="S295" s="36"/>
      <c r="T295" s="36"/>
      <c r="U295" s="36"/>
      <c r="V295" s="36"/>
      <c r="W295" s="36"/>
      <c r="X295" s="36"/>
      <c r="Y295" s="36"/>
      <c r="Z295" s="36"/>
      <c r="AA295" s="36"/>
      <c r="AB295" s="36"/>
      <c r="AC295" s="36"/>
      <c r="AD295" s="36"/>
      <c r="AE295" s="36"/>
      <c r="AF295" s="35"/>
      <c r="AG295" s="35"/>
      <c r="AH295" s="35"/>
      <c r="AI295" s="35"/>
      <c r="AJ295" s="35"/>
      <c r="AK295" s="35"/>
      <c r="AL295" s="35"/>
      <c r="AM295" s="35"/>
      <c r="AN295" s="35"/>
      <c r="AO295" s="35"/>
      <c r="AP295" s="36"/>
      <c r="AQ295" s="36"/>
      <c r="AR295" s="36"/>
      <c r="AS295" s="36"/>
      <c r="AT295" s="36"/>
      <c r="AU295" s="36"/>
      <c r="AV295" s="36"/>
      <c r="AW295" s="36"/>
      <c r="AX295" s="36"/>
      <c r="AY295" s="36"/>
      <c r="AZ295" s="36"/>
      <c r="BA295" s="36"/>
      <c r="BB295" s="36"/>
      <c r="BC295" s="36"/>
      <c r="BD295" s="36"/>
      <c r="BE295" s="36"/>
      <c r="BF295" s="36"/>
      <c r="BG295" s="36"/>
      <c r="BH295" s="36"/>
      <c r="BI295" s="36"/>
      <c r="BJ295" s="36"/>
      <c r="BK295" s="36"/>
      <c r="BL295" s="36"/>
      <c r="BM295" s="36"/>
      <c r="BN295" s="36"/>
      <c r="BO295" s="36"/>
      <c r="BP295" s="36"/>
      <c r="BQ295" s="36"/>
      <c r="BR295" s="36"/>
      <c r="BS295" s="36"/>
      <c r="BT295" s="36"/>
      <c r="BU295" s="36"/>
      <c r="BV295" s="36"/>
      <c r="BW295" s="36"/>
      <c r="BX295" s="36"/>
      <c r="BY295" s="36"/>
      <c r="BZ295" s="36"/>
      <c r="CA295" s="36"/>
      <c r="CB295" s="36"/>
      <c r="CC295" s="36"/>
      <c r="CD295" s="36"/>
      <c r="CE295" s="36"/>
      <c r="CF295" s="36"/>
      <c r="CG295" s="36"/>
      <c r="CH295" s="36"/>
      <c r="CI295" s="36"/>
      <c r="CJ295" s="36"/>
      <c r="CK295" s="36"/>
      <c r="CL295" s="36"/>
      <c r="CM295" s="36"/>
      <c r="CN295" s="36"/>
      <c r="CO295" s="36"/>
      <c r="CP295" s="36"/>
      <c r="CQ295" s="36"/>
      <c r="CR295" s="36"/>
      <c r="CS295" s="36"/>
      <c r="CT295" s="36"/>
      <c r="CU295" s="36"/>
      <c r="CV295" s="36"/>
      <c r="CW295" s="36"/>
      <c r="CX295" s="36"/>
      <c r="CY295" s="36"/>
      <c r="CZ295" s="36"/>
      <c r="DA295" s="36"/>
      <c r="DB295" s="36"/>
      <c r="DC295" s="36"/>
      <c r="DD295" s="36"/>
      <c r="DE295" s="36"/>
      <c r="DF295" s="36"/>
      <c r="DG295" s="36"/>
      <c r="DH295" s="36"/>
      <c r="DI295" s="36"/>
      <c r="DJ295" s="36"/>
      <c r="DK295" s="36"/>
      <c r="DL295" s="36"/>
      <c r="DM295" s="36"/>
      <c r="DN295" s="36"/>
      <c r="DO295" s="36"/>
      <c r="DP295" s="36"/>
      <c r="DQ295" s="36"/>
      <c r="DR295" s="36"/>
      <c r="DS295" s="36"/>
      <c r="DT295" s="36"/>
      <c r="DU295" s="36"/>
      <c r="DV295" s="36"/>
      <c r="DW295" s="36"/>
      <c r="DX295" s="36"/>
      <c r="DY295" s="36"/>
      <c r="DZ295" s="36"/>
      <c r="EA295" s="36"/>
      <c r="EB295" s="36"/>
      <c r="EC295" s="36"/>
      <c r="ED295" s="36"/>
      <c r="EE295" s="36"/>
      <c r="EF295" s="36"/>
      <c r="EG295" s="36"/>
      <c r="EH295" s="36"/>
      <c r="EI295" s="36"/>
      <c r="EJ295" s="36"/>
      <c r="EK295" s="36"/>
      <c r="EL295" s="36"/>
      <c r="EM295" s="36"/>
      <c r="EN295" s="36"/>
      <c r="EO295" s="36"/>
      <c r="EP295" s="36"/>
      <c r="EQ295" s="36"/>
      <c r="ER295" s="36"/>
      <c r="ES295" s="36"/>
      <c r="ET295" s="36"/>
      <c r="EU295" s="36"/>
      <c r="EV295" s="36"/>
      <c r="EW295" s="36"/>
      <c r="EX295" s="36"/>
      <c r="EY295" s="36"/>
      <c r="EZ295" s="36"/>
      <c r="FA295" s="36"/>
      <c r="FB295" s="36"/>
      <c r="FC295" s="36"/>
      <c r="FD295" s="36"/>
      <c r="FE295" s="36"/>
      <c r="FF295" s="36"/>
      <c r="FG295" s="36"/>
      <c r="FH295" s="36"/>
      <c r="FI295" s="36"/>
      <c r="FJ295" s="36"/>
      <c r="FK295" s="36"/>
      <c r="FL295" s="36"/>
      <c r="FM295" s="36"/>
      <c r="FN295" s="36"/>
      <c r="FO295" s="36"/>
      <c r="FP295" s="36"/>
      <c r="FQ295" s="36"/>
      <c r="FR295" s="36"/>
      <c r="FS295" s="36"/>
      <c r="FT295" s="36"/>
      <c r="FU295" s="36"/>
      <c r="FV295" s="36"/>
      <c r="FW295" s="36"/>
      <c r="FX295" s="36"/>
      <c r="FY295" s="36"/>
      <c r="FZ295" s="36"/>
      <c r="GA295" s="36"/>
      <c r="GB295" s="319"/>
      <c r="GC295" s="179">
        <f t="shared" si="52"/>
        <v>0</v>
      </c>
      <c r="GD295" s="179">
        <f t="shared" si="53"/>
        <v>0</v>
      </c>
      <c r="GE295" s="179">
        <f t="shared" si="54"/>
        <v>0</v>
      </c>
      <c r="GF295" s="179">
        <f t="shared" si="55"/>
        <v>0</v>
      </c>
      <c r="GG295" s="179">
        <f t="shared" si="51"/>
        <v>0</v>
      </c>
    </row>
    <row r="296" spans="1:189" x14ac:dyDescent="0.35">
      <c r="A296" s="5" t="s">
        <v>1389</v>
      </c>
      <c r="B296" s="5" t="str">
        <f>IF(Technologies!B296&lt;&gt;0,Technologies!B296,"")</f>
        <v>Elektriciteit</v>
      </c>
      <c r="C296" s="5" t="str">
        <f>VLOOKUP($A296,Technologies!$A$7:$H$576,3,FALSE)</f>
        <v>Conversion</v>
      </c>
      <c r="D296" s="5" t="str">
        <f>VLOOKUP($A296,Technologies!$A$7:$H$576,4,FALSE)</f>
        <v>Heat Network</v>
      </c>
      <c r="E296" s="5" t="str">
        <f>VLOOKUP($A296,Technologies!$A$7:$H$576,6,FALSE)</f>
        <v>Heat LT Network</v>
      </c>
      <c r="F296" s="5" t="str">
        <f>VLOOKUP($A296,Technologies!$A$7:$H$576,7,FALSE)</f>
        <v>Boiler Hydrogen - LT Heat for Network</v>
      </c>
      <c r="G296" s="23"/>
      <c r="H296" s="23"/>
      <c r="I296" s="104" cm="1">
        <f t="array" ref="I296">-SUMPRODUCT((Feedstocks!$C$4:$C$141=A296)*Feedstocks!$E$4:$E$141,Feedstocks!$F$4:$F$141,Feedstocks!$H$4:$H$141,Feedstocks!$I$4:$I$141)</f>
        <v>0</v>
      </c>
      <c r="J296" s="104" cm="1">
        <f t="array" ref="J296">-SUMPRODUCT((Feedstocks!$C$4:$C$141=A296)*Feedstocks!$E$4:$E$141,Feedstocks!$H$4:$H$141,Feedstocks!$I$4:$I$141)</f>
        <v>0</v>
      </c>
      <c r="K296" s="104"/>
      <c r="L296" s="104"/>
      <c r="M296" s="23">
        <v>1</v>
      </c>
      <c r="N296" s="23" t="str">
        <f>VLOOKUP(E296,Activities!$A$9:$M$227,13,FALSE)</f>
        <v>NL</v>
      </c>
      <c r="O296" s="23"/>
      <c r="P296" s="79" t="s">
        <v>415</v>
      </c>
      <c r="Q296" s="35"/>
      <c r="R296" s="35"/>
      <c r="S296" s="35"/>
      <c r="T296" s="35"/>
      <c r="U296" s="35"/>
      <c r="V296" s="35"/>
      <c r="W296" s="35"/>
      <c r="X296" s="35"/>
      <c r="Y296" s="35"/>
      <c r="Z296" s="35"/>
      <c r="AA296" s="35"/>
      <c r="AB296" s="35"/>
      <c r="AC296" s="35"/>
      <c r="AD296" s="35"/>
      <c r="AE296" s="35"/>
      <c r="AF296" s="36"/>
      <c r="AG296" s="36"/>
      <c r="AH296" s="36"/>
      <c r="AI296" s="36"/>
      <c r="AJ296" s="36"/>
      <c r="AK296" s="36"/>
      <c r="AL296" s="36"/>
      <c r="AM296" s="36"/>
      <c r="AN296" s="36"/>
      <c r="AO296" s="36"/>
      <c r="AP296" s="35"/>
      <c r="AQ296" s="35"/>
      <c r="AR296" s="35"/>
      <c r="AS296" s="35"/>
      <c r="AT296" s="35"/>
      <c r="AU296" s="35"/>
      <c r="AV296" s="35"/>
      <c r="AW296" s="35"/>
      <c r="AX296" s="35"/>
      <c r="AY296" s="35"/>
      <c r="AZ296" s="35"/>
      <c r="BA296" s="35"/>
      <c r="BB296" s="35"/>
      <c r="BC296" s="35"/>
      <c r="BD296" s="35"/>
      <c r="BE296" s="35"/>
      <c r="BF296" s="35"/>
      <c r="BG296" s="35"/>
      <c r="BH296" s="35"/>
      <c r="BI296" s="35"/>
      <c r="BJ296" s="35"/>
      <c r="BK296" s="35"/>
      <c r="BL296" s="35"/>
      <c r="BM296" s="35"/>
      <c r="BN296" s="35"/>
      <c r="BO296" s="35"/>
      <c r="BP296" s="35"/>
      <c r="BQ296" s="35"/>
      <c r="BR296" s="35"/>
      <c r="BS296" s="35"/>
      <c r="BT296" s="35"/>
      <c r="BU296" s="35"/>
      <c r="BV296" s="35"/>
      <c r="BW296" s="35"/>
      <c r="BX296" s="35"/>
      <c r="BY296" s="35"/>
      <c r="BZ296" s="35"/>
      <c r="CA296" s="35"/>
      <c r="CB296" s="35"/>
      <c r="CC296" s="35"/>
      <c r="CD296" s="35"/>
      <c r="CE296" s="35"/>
      <c r="CF296" s="35"/>
      <c r="CG296" s="35"/>
      <c r="CH296" s="35"/>
      <c r="CI296" s="35"/>
      <c r="CJ296" s="35"/>
      <c r="CK296" s="35"/>
      <c r="CL296" s="35"/>
      <c r="CM296" s="35"/>
      <c r="CN296" s="35"/>
      <c r="CO296" s="35"/>
      <c r="CP296" s="35"/>
      <c r="CQ296" s="35"/>
      <c r="CR296" s="35"/>
      <c r="CS296" s="35"/>
      <c r="CT296" s="35"/>
      <c r="CU296" s="35"/>
      <c r="CV296" s="35"/>
      <c r="CW296" s="35"/>
      <c r="CX296" s="35"/>
      <c r="CY296" s="35"/>
      <c r="CZ296" s="35"/>
      <c r="DA296" s="35"/>
      <c r="DB296" s="35"/>
      <c r="DC296" s="35"/>
      <c r="DD296" s="35"/>
      <c r="DE296" s="35"/>
      <c r="DF296" s="35"/>
      <c r="DG296" s="35"/>
      <c r="DH296" s="35"/>
      <c r="DI296" s="35"/>
      <c r="DJ296" s="35"/>
      <c r="DK296" s="35"/>
      <c r="DL296" s="35"/>
      <c r="DM296" s="35">
        <v>1</v>
      </c>
      <c r="DN296" s="35"/>
      <c r="DO296" s="35"/>
      <c r="DP296" s="35"/>
      <c r="DQ296" s="35"/>
      <c r="DR296" s="35"/>
      <c r="DS296" s="35"/>
      <c r="DT296" s="35"/>
      <c r="DU296" s="35"/>
      <c r="DV296" s="35"/>
      <c r="DW296" s="35"/>
      <c r="DX296" s="35"/>
      <c r="DY296" s="35"/>
      <c r="DZ296" s="35"/>
      <c r="EA296" s="35"/>
      <c r="EB296" s="35"/>
      <c r="EC296" s="35"/>
      <c r="ED296" s="35"/>
      <c r="EE296" s="35"/>
      <c r="EF296" s="35"/>
      <c r="EG296" s="35"/>
      <c r="EH296" s="35"/>
      <c r="EI296" s="35"/>
      <c r="EJ296" s="35"/>
      <c r="EK296" s="35"/>
      <c r="EL296" s="35"/>
      <c r="EM296" s="35">
        <v>-1.02</v>
      </c>
      <c r="EN296" s="35"/>
      <c r="EO296" s="35"/>
      <c r="EP296" s="35"/>
      <c r="EQ296" s="35"/>
      <c r="ER296" s="35"/>
      <c r="ES296" s="35"/>
      <c r="ET296" s="35"/>
      <c r="EU296" s="35"/>
      <c r="EV296" s="35"/>
      <c r="EW296" s="35"/>
      <c r="EX296" s="35"/>
      <c r="EY296" s="35"/>
      <c r="EZ296" s="35"/>
      <c r="FA296" s="35"/>
      <c r="FB296" s="35"/>
      <c r="FC296" s="35"/>
      <c r="FD296" s="35"/>
      <c r="FE296" s="35"/>
      <c r="FF296" s="35"/>
      <c r="FG296" s="35"/>
      <c r="FH296" s="35"/>
      <c r="FI296" s="35"/>
      <c r="FJ296" s="35"/>
      <c r="FK296" s="35"/>
      <c r="FL296" s="35"/>
      <c r="FM296" s="35"/>
      <c r="FN296" s="35"/>
      <c r="FO296" s="35"/>
      <c r="FP296" s="35"/>
      <c r="FQ296" s="35"/>
      <c r="FR296" s="35"/>
      <c r="FS296" s="35"/>
      <c r="FT296" s="35"/>
      <c r="FU296" s="35"/>
      <c r="FV296" s="35"/>
      <c r="FW296" s="35"/>
      <c r="FX296" s="35"/>
      <c r="FY296" s="35"/>
      <c r="FZ296" s="35"/>
      <c r="GA296" s="35"/>
      <c r="GB296" s="318"/>
      <c r="GC296" s="178">
        <f t="shared" si="52"/>
        <v>0</v>
      </c>
      <c r="GD296" s="178">
        <f t="shared" si="53"/>
        <v>0</v>
      </c>
      <c r="GE296" s="178">
        <f t="shared" si="54"/>
        <v>0</v>
      </c>
      <c r="GF296" s="178">
        <f t="shared" si="55"/>
        <v>0</v>
      </c>
      <c r="GG296" s="178">
        <f t="shared" si="51"/>
        <v>0</v>
      </c>
    </row>
    <row r="297" spans="1:189" x14ac:dyDescent="0.35">
      <c r="A297" s="5" t="s">
        <v>1391</v>
      </c>
      <c r="B297" s="5" t="str">
        <f>IF(Technologies!B297&lt;&gt;0,Technologies!B297,"")</f>
        <v>Elektriciteit</v>
      </c>
      <c r="C297" s="5" t="str">
        <f>VLOOKUP($A297,Technologies!$A$7:$H$576,3,FALSE)</f>
        <v>Conversion</v>
      </c>
      <c r="D297" s="5" t="str">
        <f>VLOOKUP($A297,Technologies!$A$7:$H$576,4,FALSE)</f>
        <v>Heat Network</v>
      </c>
      <c r="E297" s="5" t="str">
        <f>VLOOKUP($A297,Technologies!$A$7:$H$576,6,FALSE)</f>
        <v>Heat LT Network</v>
      </c>
      <c r="F297" s="5" t="str">
        <f>VLOOKUP($A297,Technologies!$A$7:$H$576,7,FALSE)</f>
        <v>Electric Boiler - LT Heat for Network</v>
      </c>
      <c r="G297" s="23"/>
      <c r="H297" s="23"/>
      <c r="I297" s="104"/>
      <c r="J297" s="104"/>
      <c r="K297" s="104"/>
      <c r="L297" s="104"/>
      <c r="M297" s="23">
        <v>1</v>
      </c>
      <c r="N297" s="23" t="str">
        <f>VLOOKUP(E297,Activities!$A$9:$M$227,13,FALSE)</f>
        <v>NL</v>
      </c>
      <c r="O297" s="23"/>
      <c r="P297" s="79"/>
      <c r="Q297" s="35"/>
      <c r="R297" s="35"/>
      <c r="S297" s="35"/>
      <c r="T297" s="35"/>
      <c r="U297" s="35"/>
      <c r="V297" s="35"/>
      <c r="W297" s="35"/>
      <c r="X297" s="35"/>
      <c r="Y297" s="35"/>
      <c r="Z297" s="35"/>
      <c r="AA297" s="35"/>
      <c r="AB297" s="35"/>
      <c r="AC297" s="35"/>
      <c r="AD297" s="35"/>
      <c r="AE297" s="35"/>
      <c r="AF297" s="36"/>
      <c r="AG297" s="36"/>
      <c r="AH297" s="36"/>
      <c r="AI297" s="36"/>
      <c r="AJ297" s="36"/>
      <c r="AK297" s="36"/>
      <c r="AL297" s="36"/>
      <c r="AM297" s="36"/>
      <c r="AN297" s="36"/>
      <c r="AO297" s="36"/>
      <c r="AP297" s="35"/>
      <c r="AQ297" s="35"/>
      <c r="AR297" s="35"/>
      <c r="AS297" s="35"/>
      <c r="AT297" s="35"/>
      <c r="AU297" s="35"/>
      <c r="AV297" s="35"/>
      <c r="AW297" s="35"/>
      <c r="AX297" s="35"/>
      <c r="AY297" s="35"/>
      <c r="AZ297" s="35"/>
      <c r="BA297" s="35"/>
      <c r="BB297" s="35"/>
      <c r="BC297" s="35"/>
      <c r="BD297" s="35"/>
      <c r="BE297" s="35"/>
      <c r="BF297" s="35"/>
      <c r="BG297" s="35"/>
      <c r="BH297" s="35"/>
      <c r="BI297" s="35"/>
      <c r="BJ297" s="35"/>
      <c r="BK297" s="35"/>
      <c r="BL297" s="35"/>
      <c r="BM297" s="35"/>
      <c r="BN297" s="35"/>
      <c r="BO297" s="35"/>
      <c r="BP297" s="35"/>
      <c r="BQ297" s="35"/>
      <c r="BR297" s="35"/>
      <c r="BS297" s="35"/>
      <c r="BT297" s="35"/>
      <c r="BU297" s="35"/>
      <c r="BV297" s="35"/>
      <c r="BW297" s="35"/>
      <c r="BX297" s="35"/>
      <c r="BY297" s="35"/>
      <c r="BZ297" s="35"/>
      <c r="CA297" s="35"/>
      <c r="CB297" s="35"/>
      <c r="CC297" s="35"/>
      <c r="CD297" s="35"/>
      <c r="CE297" s="35"/>
      <c r="CF297" s="35"/>
      <c r="CG297" s="35"/>
      <c r="CH297" s="35"/>
      <c r="CI297" s="35"/>
      <c r="CJ297" s="35"/>
      <c r="CK297" s="35"/>
      <c r="CL297" s="35"/>
      <c r="CM297" s="35"/>
      <c r="CN297" s="35"/>
      <c r="CO297" s="35"/>
      <c r="CP297" s="35"/>
      <c r="CQ297" s="35"/>
      <c r="CR297" s="35"/>
      <c r="CS297" s="35"/>
      <c r="CT297" s="35"/>
      <c r="CU297" s="35"/>
      <c r="CV297" s="35"/>
      <c r="CW297" s="35"/>
      <c r="CX297" s="35"/>
      <c r="CY297" s="35"/>
      <c r="CZ297" s="35"/>
      <c r="DA297" s="35"/>
      <c r="DB297" s="35"/>
      <c r="DC297" s="35"/>
      <c r="DD297" s="35"/>
      <c r="DE297" s="35"/>
      <c r="DF297" s="35"/>
      <c r="DG297" s="35"/>
      <c r="DH297" s="35"/>
      <c r="DI297" s="36">
        <f>-1/0.99</f>
        <v>-1.0101010101010102</v>
      </c>
      <c r="DJ297" s="35"/>
      <c r="DK297" s="35"/>
      <c r="DL297" s="35"/>
      <c r="DM297" s="35">
        <v>1</v>
      </c>
      <c r="DN297" s="35"/>
      <c r="DO297" s="35"/>
      <c r="DP297" s="35"/>
      <c r="DQ297" s="35"/>
      <c r="DR297" s="35"/>
      <c r="DS297" s="35"/>
      <c r="DT297" s="35"/>
      <c r="DU297" s="35"/>
      <c r="DV297" s="35"/>
      <c r="DW297" s="35"/>
      <c r="DX297" s="35"/>
      <c r="DY297" s="35"/>
      <c r="DZ297" s="35"/>
      <c r="EA297" s="35"/>
      <c r="EB297" s="35"/>
      <c r="EC297" s="35"/>
      <c r="ED297" s="35"/>
      <c r="EE297" s="35"/>
      <c r="EF297" s="35"/>
      <c r="EG297" s="35"/>
      <c r="EH297" s="35"/>
      <c r="EI297" s="35"/>
      <c r="EJ297" s="35"/>
      <c r="EK297" s="35"/>
      <c r="EL297" s="35"/>
      <c r="EM297" s="35"/>
      <c r="EN297" s="35"/>
      <c r="EO297" s="35"/>
      <c r="EP297" s="35"/>
      <c r="EQ297" s="35"/>
      <c r="ER297" s="35"/>
      <c r="ES297" s="35"/>
      <c r="ET297" s="35"/>
      <c r="EU297" s="35"/>
      <c r="EV297" s="35"/>
      <c r="EW297" s="35"/>
      <c r="EX297" s="35"/>
      <c r="EY297" s="35"/>
      <c r="EZ297" s="35"/>
      <c r="FA297" s="35"/>
      <c r="FB297" s="35"/>
      <c r="FC297" s="35"/>
      <c r="FD297" s="35"/>
      <c r="FE297" s="35"/>
      <c r="FF297" s="35"/>
      <c r="FG297" s="35"/>
      <c r="FH297" s="35"/>
      <c r="FI297" s="35"/>
      <c r="FJ297" s="35"/>
      <c r="FK297" s="35"/>
      <c r="FL297" s="35"/>
      <c r="FM297" s="35"/>
      <c r="FN297" s="35"/>
      <c r="FO297" s="35"/>
      <c r="FP297" s="35"/>
      <c r="FQ297" s="35"/>
      <c r="FR297" s="35"/>
      <c r="FS297" s="35"/>
      <c r="FT297" s="35"/>
      <c r="FU297" s="35"/>
      <c r="FV297" s="35"/>
      <c r="FW297" s="35"/>
      <c r="FX297" s="35"/>
      <c r="FY297" s="35"/>
      <c r="FZ297" s="35"/>
      <c r="GA297" s="35"/>
      <c r="GB297" s="318"/>
      <c r="GC297" s="178"/>
      <c r="GD297" s="178"/>
      <c r="GE297" s="178"/>
      <c r="GF297" s="178"/>
      <c r="GG297" s="178"/>
    </row>
    <row r="298" spans="1:189" x14ac:dyDescent="0.35">
      <c r="A298" s="6" t="s">
        <v>1393</v>
      </c>
      <c r="B298" s="6" t="str">
        <f>IF(Technologies!B298&lt;&gt;0,Technologies!B298,"")</f>
        <v>Landbouw</v>
      </c>
      <c r="C298" s="6" t="str">
        <f>VLOOKUP($A298,Technologies!$A$7:$H$576,3,FALSE)</f>
        <v>Conversion</v>
      </c>
      <c r="D298" s="6" t="str">
        <f>VLOOKUP($A298,Technologies!$A$7:$H$576,4,FALSE)</f>
        <v>Agriculture</v>
      </c>
      <c r="E298" s="6" t="str">
        <f>VLOOKUP($A298,Technologies!$A$7:$H$576,6,FALSE)</f>
        <v>Heat LT Agriculture</v>
      </c>
      <c r="F298" s="48" t="str">
        <f>VLOOKUP($A298,Technologies!$A$7:$H$576,7,FALSE)</f>
        <v>CHP Gas - LT Heat for Agriculture</v>
      </c>
      <c r="G298" s="22"/>
      <c r="H298" s="22"/>
      <c r="I298" s="103" cm="1">
        <f t="array" ref="I298">-SUMPRODUCT((Feedstocks!$C$4:$C$141=A298)*Feedstocks!$E$4:$E$141,Feedstocks!$F$4:$F$141,Feedstocks!$H$4:$H$141,Feedstocks!$I$4:$I$141)</f>
        <v>0</v>
      </c>
      <c r="J298" s="103" cm="1">
        <f t="array" ref="J298">-SUMPRODUCT((Feedstocks!$C$4:$C$141=A298)*Feedstocks!$E$4:$E$141,Feedstocks!$H$4:$H$141,Feedstocks!$I$4:$I$141)</f>
        <v>0</v>
      </c>
      <c r="K298" s="103"/>
      <c r="L298" s="103"/>
      <c r="M298" s="22"/>
      <c r="N298" s="22" t="str">
        <f>VLOOKUP(E298,Activities!$A$9:$M$227,13,FALSE)</f>
        <v>NL</v>
      </c>
      <c r="O298" s="22"/>
      <c r="P298" s="80" t="s">
        <v>415</v>
      </c>
      <c r="Q298" s="36"/>
      <c r="R298" s="36"/>
      <c r="S298" s="36"/>
      <c r="T298" s="36"/>
      <c r="U298" s="36"/>
      <c r="V298" s="36"/>
      <c r="W298" s="36"/>
      <c r="X298" s="36"/>
      <c r="Y298" s="36"/>
      <c r="Z298" s="36"/>
      <c r="AA298" s="36"/>
      <c r="AB298" s="36"/>
      <c r="AC298" s="36"/>
      <c r="AD298" s="36"/>
      <c r="AE298" s="36"/>
      <c r="AF298" s="35"/>
      <c r="AG298" s="35"/>
      <c r="AH298" s="35"/>
      <c r="AI298" s="35"/>
      <c r="AJ298" s="35"/>
      <c r="AK298" s="35"/>
      <c r="AL298" s="35"/>
      <c r="AM298" s="35"/>
      <c r="AN298" s="35"/>
      <c r="AO298" s="35"/>
      <c r="AP298" s="36"/>
      <c r="AQ298" s="36"/>
      <c r="AR298" s="36"/>
      <c r="AS298" s="36"/>
      <c r="AT298" s="36"/>
      <c r="AU298" s="36"/>
      <c r="AV298" s="36"/>
      <c r="AW298" s="36"/>
      <c r="AX298" s="36"/>
      <c r="AY298" s="36"/>
      <c r="AZ298" s="36"/>
      <c r="BA298" s="36"/>
      <c r="BB298" s="36"/>
      <c r="BC298" s="36"/>
      <c r="BD298" s="36"/>
      <c r="BE298" s="36"/>
      <c r="BF298" s="36"/>
      <c r="BG298" s="36"/>
      <c r="BH298" s="36"/>
      <c r="BI298" s="36"/>
      <c r="BJ298" s="36"/>
      <c r="BK298" s="36"/>
      <c r="BL298" s="36"/>
      <c r="BM298" s="36"/>
      <c r="BN298" s="36"/>
      <c r="BO298" s="36"/>
      <c r="BP298" s="36"/>
      <c r="BQ298" s="36"/>
      <c r="BR298" s="36"/>
      <c r="BS298" s="36"/>
      <c r="BT298" s="36"/>
      <c r="BU298" s="36"/>
      <c r="BV298" s="36"/>
      <c r="BW298" s="36"/>
      <c r="BX298" s="36"/>
      <c r="BY298" s="36"/>
      <c r="BZ298" s="36"/>
      <c r="CA298" s="36"/>
      <c r="CB298" s="36"/>
      <c r="CC298" s="36"/>
      <c r="CD298" s="36"/>
      <c r="CE298" s="36"/>
      <c r="CF298" s="36"/>
      <c r="CG298" s="36"/>
      <c r="CH298" s="36"/>
      <c r="CI298" s="36"/>
      <c r="CJ298" s="36"/>
      <c r="CK298" s="36"/>
      <c r="CL298" s="36"/>
      <c r="CM298" s="36"/>
      <c r="CN298" s="36"/>
      <c r="CO298" s="36"/>
      <c r="CP298" s="36"/>
      <c r="CQ298" s="36"/>
      <c r="CR298" s="36"/>
      <c r="CS298" s="36"/>
      <c r="CT298" s="36"/>
      <c r="CU298" s="36"/>
      <c r="CV298" s="36"/>
      <c r="CW298" s="36"/>
      <c r="CX298" s="36"/>
      <c r="CY298" s="36"/>
      <c r="CZ298" s="36"/>
      <c r="DA298" s="36"/>
      <c r="DB298" s="36"/>
      <c r="DC298" s="36"/>
      <c r="DD298" s="36"/>
      <c r="DE298" s="36"/>
      <c r="DF298" s="36"/>
      <c r="DG298" s="36"/>
      <c r="DH298" s="36"/>
      <c r="DI298" s="36">
        <v>0.6</v>
      </c>
      <c r="DJ298" s="36"/>
      <c r="DK298" s="36"/>
      <c r="DL298" s="36"/>
      <c r="DM298" s="36"/>
      <c r="DN298" s="36">
        <v>1</v>
      </c>
      <c r="DO298" s="36"/>
      <c r="DP298" s="36"/>
      <c r="DQ298" s="36"/>
      <c r="DR298" s="36"/>
      <c r="DS298" s="36"/>
      <c r="DT298" s="36"/>
      <c r="DU298" s="36"/>
      <c r="DV298" s="36"/>
      <c r="DW298" s="36"/>
      <c r="DX298" s="36"/>
      <c r="DY298" s="36"/>
      <c r="DZ298" s="36"/>
      <c r="EA298" s="36"/>
      <c r="EB298" s="36"/>
      <c r="EC298" s="36"/>
      <c r="ED298" s="36"/>
      <c r="EE298" s="36"/>
      <c r="EF298" s="36"/>
      <c r="EG298" s="36"/>
      <c r="EH298" s="36"/>
      <c r="EI298" s="36"/>
      <c r="EJ298" s="36"/>
      <c r="EK298" s="36">
        <v>-1.9</v>
      </c>
      <c r="EL298" s="36"/>
      <c r="EM298" s="36"/>
      <c r="EN298" s="36"/>
      <c r="EO298" s="36"/>
      <c r="EP298" s="36"/>
      <c r="EQ298" s="36"/>
      <c r="ER298" s="36"/>
      <c r="ES298" s="36"/>
      <c r="ET298" s="36"/>
      <c r="EU298" s="36"/>
      <c r="EV298" s="36"/>
      <c r="EW298" s="36"/>
      <c r="EX298" s="36"/>
      <c r="EY298" s="36"/>
      <c r="EZ298" s="36"/>
      <c r="FA298" s="36"/>
      <c r="FB298" s="36"/>
      <c r="FC298" s="36"/>
      <c r="FD298" s="36"/>
      <c r="FE298" s="36"/>
      <c r="FF298" s="36"/>
      <c r="FG298" s="36"/>
      <c r="FH298" s="36"/>
      <c r="FI298" s="36"/>
      <c r="FJ298" s="36"/>
      <c r="FK298" s="36"/>
      <c r="FL298" s="36"/>
      <c r="FM298" s="36"/>
      <c r="FN298" s="36"/>
      <c r="FO298" s="36"/>
      <c r="FP298" s="36"/>
      <c r="FQ298" s="36"/>
      <c r="FR298" s="36"/>
      <c r="FS298" s="36"/>
      <c r="FT298" s="36"/>
      <c r="FU298" s="36"/>
      <c r="FV298" s="36"/>
      <c r="FW298" s="36"/>
      <c r="FX298" s="36"/>
      <c r="FY298" s="36"/>
      <c r="FZ298" s="36"/>
      <c r="GA298" s="36"/>
      <c r="GB298" s="319"/>
      <c r="GC298" s="179">
        <f t="shared" ref="GC298:GC303" si="56">ROUND(IF($C298="Primary",0,-$G298*(SUMPRODUCT($Q$4:$GA$4,$Q298:$GA298)+$J298)-$H298)*IF($N298=GC$4,1,0),4)</f>
        <v>0</v>
      </c>
      <c r="GD298" s="179">
        <f t="shared" ref="GD298:GD303" si="57">ROUND(IF($C298="Primary",0,$M298*(1-$O298)*($G298*(SUMPRODUCT($Q$4:$GA$4,$Q298:$GA298)+$J298)+$H298-SUMPRODUCT($Q$5:$GA$5,$Q298:$GA298)-$I298+$K298))*IF($N298=GD$4,1,0),4)</f>
        <v>0</v>
      </c>
      <c r="GE298" s="179">
        <f t="shared" ref="GE298:GE303" si="58">ROUND(IF($C298="Primary",0,(1-$M298)*(1-$O298)*($G298*(SUMPRODUCT($Q$4:$GA$4,$Q298:$GA298)+$J298)+$H298-SUMPRODUCT($Q$5:$GA$5,$Q298:$GA298)-$I298+$L298))*IF($N298=GD$4,1,0),4)</f>
        <v>0.1075</v>
      </c>
      <c r="GF298" s="179">
        <f t="shared" ref="GF298:GF303" si="59">ROUND(IF($C298="Primary",0,$O298*($G298*(SUMPRODUCT($Q$4:$GA$4,$Q298:$GA298)+$J298)-SUMPRODUCT($Q$5:$GA$5,$Q298:$GA298)-$I298))*IF($N298=GD$4,1,0),4)</f>
        <v>0</v>
      </c>
      <c r="GG298" s="179">
        <f t="shared" si="51"/>
        <v>0</v>
      </c>
    </row>
    <row r="299" spans="1:189" x14ac:dyDescent="0.35">
      <c r="A299" s="5" t="s">
        <v>1395</v>
      </c>
      <c r="B299" s="5" t="str">
        <f>IF(Technologies!B299&lt;&gt;0,Technologies!B299,"")</f>
        <v>Landbouw</v>
      </c>
      <c r="C299" s="5" t="str">
        <f>VLOOKUP($A299,Technologies!$A$7:$H$576,3,FALSE)</f>
        <v>Conversion</v>
      </c>
      <c r="D299" s="5" t="str">
        <f>VLOOKUP($A299,Technologies!$A$7:$H$576,4,FALSE)</f>
        <v>Agriculture</v>
      </c>
      <c r="E299" s="5" t="str">
        <f>VLOOKUP($A299,Technologies!$A$7:$H$576,6,FALSE)</f>
        <v>Heat LT Agriculture</v>
      </c>
      <c r="F299" s="5" t="str">
        <f>VLOOKUP($A299,Technologies!$A$7:$H$576,7,FALSE)</f>
        <v>Boiler Gas - LT Heat for Agriculture</v>
      </c>
      <c r="G299" s="23"/>
      <c r="H299" s="23"/>
      <c r="I299" s="104" cm="1">
        <f t="array" ref="I299">-SUMPRODUCT((Feedstocks!$C$4:$C$141=A299)*Feedstocks!$E$4:$E$141,Feedstocks!$F$4:$F$141,Feedstocks!$H$4:$H$141,Feedstocks!$I$4:$I$141)</f>
        <v>0</v>
      </c>
      <c r="J299" s="104" cm="1">
        <f t="array" ref="J299">-SUMPRODUCT((Feedstocks!$C$4:$C$141=A299)*Feedstocks!$E$4:$E$141,Feedstocks!$H$4:$H$141,Feedstocks!$I$4:$I$141)</f>
        <v>0</v>
      </c>
      <c r="K299" s="104"/>
      <c r="L299" s="104"/>
      <c r="M299" s="23"/>
      <c r="N299" s="23" t="str">
        <f>VLOOKUP(E299,Activities!$A$9:$M$227,13,FALSE)</f>
        <v>NL</v>
      </c>
      <c r="O299" s="23"/>
      <c r="P299" s="79" t="s">
        <v>415</v>
      </c>
      <c r="Q299" s="35"/>
      <c r="R299" s="35"/>
      <c r="S299" s="35"/>
      <c r="T299" s="35"/>
      <c r="U299" s="35"/>
      <c r="V299" s="35"/>
      <c r="W299" s="35"/>
      <c r="X299" s="35"/>
      <c r="Y299" s="35"/>
      <c r="Z299" s="35"/>
      <c r="AA299" s="35"/>
      <c r="AB299" s="35"/>
      <c r="AC299" s="35"/>
      <c r="AD299" s="35"/>
      <c r="AE299" s="35"/>
      <c r="AF299" s="36"/>
      <c r="AG299" s="36"/>
      <c r="AH299" s="36"/>
      <c r="AI299" s="36"/>
      <c r="AJ299" s="36"/>
      <c r="AK299" s="36"/>
      <c r="AL299" s="36"/>
      <c r="AM299" s="36"/>
      <c r="AN299" s="36"/>
      <c r="AO299" s="36"/>
      <c r="AP299" s="35"/>
      <c r="AQ299" s="35"/>
      <c r="AR299" s="35"/>
      <c r="AS299" s="35"/>
      <c r="AT299" s="35"/>
      <c r="AU299" s="35"/>
      <c r="AV299" s="35"/>
      <c r="AW299" s="35"/>
      <c r="AX299" s="35"/>
      <c r="AY299" s="35"/>
      <c r="AZ299" s="35"/>
      <c r="BA299" s="35"/>
      <c r="BB299" s="35"/>
      <c r="BC299" s="35"/>
      <c r="BD299" s="35"/>
      <c r="BE299" s="35"/>
      <c r="BF299" s="35"/>
      <c r="BG299" s="35"/>
      <c r="BH299" s="35"/>
      <c r="BI299" s="35"/>
      <c r="BJ299" s="35"/>
      <c r="BK299" s="35"/>
      <c r="BL299" s="35"/>
      <c r="BM299" s="35"/>
      <c r="BN299" s="35"/>
      <c r="BO299" s="35"/>
      <c r="BP299" s="35"/>
      <c r="BQ299" s="35"/>
      <c r="BR299" s="35"/>
      <c r="BS299" s="35"/>
      <c r="BT299" s="35"/>
      <c r="BU299" s="35"/>
      <c r="BV299" s="35"/>
      <c r="BW299" s="35"/>
      <c r="BX299" s="35"/>
      <c r="BY299" s="35"/>
      <c r="BZ299" s="35"/>
      <c r="CA299" s="35"/>
      <c r="CB299" s="35"/>
      <c r="CC299" s="35"/>
      <c r="CD299" s="35"/>
      <c r="CE299" s="35"/>
      <c r="CF299" s="35"/>
      <c r="CG299" s="35"/>
      <c r="CH299" s="35"/>
      <c r="CI299" s="35"/>
      <c r="CJ299" s="35"/>
      <c r="CK299" s="35"/>
      <c r="CL299" s="35"/>
      <c r="CM299" s="35"/>
      <c r="CN299" s="35"/>
      <c r="CO299" s="35"/>
      <c r="CP299" s="35"/>
      <c r="CQ299" s="35"/>
      <c r="CR299" s="35"/>
      <c r="CS299" s="35"/>
      <c r="CT299" s="35"/>
      <c r="CU299" s="35"/>
      <c r="CV299" s="35"/>
      <c r="CW299" s="35"/>
      <c r="CX299" s="35"/>
      <c r="CY299" s="35"/>
      <c r="CZ299" s="35"/>
      <c r="DA299" s="35"/>
      <c r="DB299" s="35"/>
      <c r="DC299" s="35"/>
      <c r="DD299" s="35"/>
      <c r="DE299" s="35"/>
      <c r="DF299" s="35"/>
      <c r="DG299" s="35"/>
      <c r="DH299" s="35"/>
      <c r="DI299" s="35"/>
      <c r="DJ299" s="35"/>
      <c r="DK299" s="35"/>
      <c r="DL299" s="35"/>
      <c r="DM299" s="35"/>
      <c r="DN299" s="35">
        <v>1</v>
      </c>
      <c r="DO299" s="35"/>
      <c r="DP299" s="35"/>
      <c r="DQ299" s="35"/>
      <c r="DR299" s="35"/>
      <c r="DS299" s="35"/>
      <c r="DT299" s="35"/>
      <c r="DU299" s="35"/>
      <c r="DV299" s="35"/>
      <c r="DW299" s="35"/>
      <c r="DX299" s="35"/>
      <c r="DY299" s="35"/>
      <c r="DZ299" s="35"/>
      <c r="EA299" s="35"/>
      <c r="EB299" s="35"/>
      <c r="EC299" s="35"/>
      <c r="ED299" s="35"/>
      <c r="EE299" s="35"/>
      <c r="EF299" s="35"/>
      <c r="EG299" s="35"/>
      <c r="EH299" s="35"/>
      <c r="EI299" s="35"/>
      <c r="EJ299" s="35"/>
      <c r="EK299" s="35">
        <v>-1.05</v>
      </c>
      <c r="EL299" s="35"/>
      <c r="EM299" s="35"/>
      <c r="EN299" s="35"/>
      <c r="EO299" s="35"/>
      <c r="EP299" s="35"/>
      <c r="EQ299" s="35"/>
      <c r="ER299" s="35"/>
      <c r="ES299" s="35"/>
      <c r="ET299" s="35"/>
      <c r="EU299" s="35"/>
      <c r="EV299" s="35"/>
      <c r="EW299" s="35"/>
      <c r="EX299" s="35"/>
      <c r="EY299" s="35"/>
      <c r="EZ299" s="35"/>
      <c r="FA299" s="35"/>
      <c r="FB299" s="35"/>
      <c r="FC299" s="35"/>
      <c r="FD299" s="35"/>
      <c r="FE299" s="35"/>
      <c r="FF299" s="35"/>
      <c r="FG299" s="35"/>
      <c r="FH299" s="35"/>
      <c r="FI299" s="35"/>
      <c r="FJ299" s="35"/>
      <c r="FK299" s="35"/>
      <c r="FL299" s="35"/>
      <c r="FM299" s="35"/>
      <c r="FN299" s="35"/>
      <c r="FO299" s="35"/>
      <c r="FP299" s="35"/>
      <c r="FQ299" s="35"/>
      <c r="FR299" s="35"/>
      <c r="FS299" s="35"/>
      <c r="FT299" s="35"/>
      <c r="FU299" s="35"/>
      <c r="FV299" s="35"/>
      <c r="FW299" s="35"/>
      <c r="FX299" s="35"/>
      <c r="FY299" s="35"/>
      <c r="FZ299" s="35"/>
      <c r="GA299" s="35"/>
      <c r="GB299" s="318"/>
      <c r="GC299" s="178">
        <f t="shared" si="56"/>
        <v>0</v>
      </c>
      <c r="GD299" s="178">
        <f t="shared" si="57"/>
        <v>0</v>
      </c>
      <c r="GE299" s="178">
        <f t="shared" si="58"/>
        <v>5.9400000000000001E-2</v>
      </c>
      <c r="GF299" s="178">
        <f t="shared" si="59"/>
        <v>0</v>
      </c>
      <c r="GG299" s="178">
        <f t="shared" si="51"/>
        <v>0</v>
      </c>
    </row>
    <row r="300" spans="1:189" x14ac:dyDescent="0.35">
      <c r="A300" s="6" t="s">
        <v>1397</v>
      </c>
      <c r="B300" s="6" t="str">
        <f>IF(Technologies!B300&lt;&gt;0,Technologies!B300,"")</f>
        <v>Landbouw</v>
      </c>
      <c r="C300" s="6" t="str">
        <f>VLOOKUP($A300,Technologies!$A$7:$H$576,3,FALSE)</f>
        <v>Conversion</v>
      </c>
      <c r="D300" s="6" t="str">
        <f>VLOOKUP($A300,Technologies!$A$7:$H$576,4,FALSE)</f>
        <v>Agriculture</v>
      </c>
      <c r="E300" s="6" t="str">
        <f>VLOOKUP($A300,Technologies!$A$7:$H$576,6,FALSE)</f>
        <v>Heat LT Agriculture</v>
      </c>
      <c r="F300" s="48" t="str">
        <f>VLOOKUP($A300,Technologies!$A$7:$H$576,7,FALSE)</f>
        <v>Geothermal HP - LT Heat for Agriculture</v>
      </c>
      <c r="G300" s="22"/>
      <c r="H300" s="22"/>
      <c r="I300" s="103" cm="1">
        <f t="array" ref="I300">-SUMPRODUCT((Feedstocks!$C$4:$C$141=A300)*Feedstocks!$E$4:$E$141,Feedstocks!$F$4:$F$141,Feedstocks!$H$4:$H$141,Feedstocks!$I$4:$I$141)</f>
        <v>0</v>
      </c>
      <c r="J300" s="103" cm="1">
        <f t="array" ref="J300">-SUMPRODUCT((Feedstocks!$C$4:$C$141=A300)*Feedstocks!$E$4:$E$141,Feedstocks!$H$4:$H$141,Feedstocks!$I$4:$I$141)</f>
        <v>0</v>
      </c>
      <c r="K300" s="103"/>
      <c r="L300" s="103"/>
      <c r="M300" s="22"/>
      <c r="N300" s="22" t="str">
        <f>VLOOKUP(E300,Activities!$A$9:$M$227,13,FALSE)</f>
        <v>NL</v>
      </c>
      <c r="O300" s="22"/>
      <c r="P300" s="80" t="s">
        <v>415</v>
      </c>
      <c r="Q300" s="36"/>
      <c r="R300" s="36"/>
      <c r="S300" s="36"/>
      <c r="T300" s="36"/>
      <c r="U300" s="36"/>
      <c r="V300" s="36"/>
      <c r="W300" s="36"/>
      <c r="X300" s="36"/>
      <c r="Y300" s="36"/>
      <c r="Z300" s="36"/>
      <c r="AA300" s="36"/>
      <c r="AB300" s="36"/>
      <c r="AC300" s="36"/>
      <c r="AD300" s="36"/>
      <c r="AE300" s="36"/>
      <c r="AF300" s="35"/>
      <c r="AG300" s="35"/>
      <c r="AH300" s="35"/>
      <c r="AI300" s="35"/>
      <c r="AJ300" s="35"/>
      <c r="AK300" s="35"/>
      <c r="AL300" s="35"/>
      <c r="AM300" s="35"/>
      <c r="AN300" s="35"/>
      <c r="AO300" s="35"/>
      <c r="AP300" s="36"/>
      <c r="AQ300" s="36"/>
      <c r="AR300" s="36"/>
      <c r="AS300" s="36"/>
      <c r="AT300" s="36"/>
      <c r="AU300" s="36"/>
      <c r="AV300" s="36"/>
      <c r="AW300" s="36"/>
      <c r="AX300" s="36"/>
      <c r="AY300" s="36"/>
      <c r="AZ300" s="36"/>
      <c r="BA300" s="36"/>
      <c r="BB300" s="36"/>
      <c r="BC300" s="36"/>
      <c r="BD300" s="36"/>
      <c r="BE300" s="36"/>
      <c r="BF300" s="36"/>
      <c r="BG300" s="36"/>
      <c r="BH300" s="36"/>
      <c r="BI300" s="36"/>
      <c r="BJ300" s="36"/>
      <c r="BK300" s="36"/>
      <c r="BL300" s="36"/>
      <c r="BM300" s="36"/>
      <c r="BN300" s="36"/>
      <c r="BO300" s="36"/>
      <c r="BP300" s="36"/>
      <c r="BQ300" s="36"/>
      <c r="BR300" s="36"/>
      <c r="BS300" s="36"/>
      <c r="BT300" s="36"/>
      <c r="BU300" s="36"/>
      <c r="BV300" s="36"/>
      <c r="BW300" s="36"/>
      <c r="BX300" s="36"/>
      <c r="BY300" s="36"/>
      <c r="BZ300" s="36"/>
      <c r="CA300" s="36"/>
      <c r="CB300" s="36"/>
      <c r="CC300" s="36"/>
      <c r="CD300" s="36"/>
      <c r="CE300" s="36"/>
      <c r="CF300" s="36"/>
      <c r="CG300" s="36"/>
      <c r="CH300" s="36"/>
      <c r="CI300" s="36"/>
      <c r="CJ300" s="36"/>
      <c r="CK300" s="36"/>
      <c r="CL300" s="36"/>
      <c r="CM300" s="36"/>
      <c r="CN300" s="36"/>
      <c r="CO300" s="36"/>
      <c r="CP300" s="36"/>
      <c r="CQ300" s="36"/>
      <c r="CR300" s="36"/>
      <c r="CS300" s="36"/>
      <c r="CT300" s="36"/>
      <c r="CU300" s="36"/>
      <c r="CV300" s="36"/>
      <c r="CW300" s="36"/>
      <c r="CX300" s="36"/>
      <c r="CY300" s="36"/>
      <c r="CZ300" s="36"/>
      <c r="DA300" s="36"/>
      <c r="DB300" s="36"/>
      <c r="DC300" s="36"/>
      <c r="DD300" s="36"/>
      <c r="DE300" s="36"/>
      <c r="DF300" s="36"/>
      <c r="DG300" s="36"/>
      <c r="DH300" s="36"/>
      <c r="DI300" s="36">
        <v>-0.25</v>
      </c>
      <c r="DJ300" s="36"/>
      <c r="DK300" s="36"/>
      <c r="DL300" s="36"/>
      <c r="DM300" s="36"/>
      <c r="DN300" s="36">
        <v>1</v>
      </c>
      <c r="DO300" s="36"/>
      <c r="DP300" s="36"/>
      <c r="DQ300" s="36"/>
      <c r="DR300" s="36"/>
      <c r="DS300" s="36"/>
      <c r="DT300" s="36"/>
      <c r="DU300" s="36"/>
      <c r="DV300" s="36"/>
      <c r="DW300" s="36"/>
      <c r="DX300" s="36"/>
      <c r="DY300" s="36"/>
      <c r="DZ300" s="36"/>
      <c r="EA300" s="36"/>
      <c r="EB300" s="36"/>
      <c r="EC300" s="36"/>
      <c r="ED300" s="36"/>
      <c r="EE300" s="36"/>
      <c r="EF300" s="36"/>
      <c r="EG300" s="36"/>
      <c r="EH300" s="36"/>
      <c r="EI300" s="36"/>
      <c r="EJ300" s="36"/>
      <c r="EK300" s="36"/>
      <c r="EL300" s="36"/>
      <c r="EM300" s="36"/>
      <c r="EN300" s="36"/>
      <c r="EO300" s="36"/>
      <c r="EP300" s="36"/>
      <c r="EQ300" s="36"/>
      <c r="ER300" s="36"/>
      <c r="ES300" s="36"/>
      <c r="ET300" s="36"/>
      <c r="EU300" s="36"/>
      <c r="EV300" s="36"/>
      <c r="EW300" s="36"/>
      <c r="EX300" s="36"/>
      <c r="EY300" s="36"/>
      <c r="EZ300" s="36"/>
      <c r="FA300" s="36"/>
      <c r="FB300" s="36"/>
      <c r="FC300" s="36"/>
      <c r="FD300" s="36"/>
      <c r="FE300" s="36"/>
      <c r="FF300" s="36"/>
      <c r="FG300" s="36"/>
      <c r="FH300" s="36"/>
      <c r="FI300" s="36"/>
      <c r="FJ300" s="36"/>
      <c r="FK300" s="36"/>
      <c r="FL300" s="36"/>
      <c r="FM300" s="36">
        <v>-0.75</v>
      </c>
      <c r="FN300" s="36"/>
      <c r="FO300" s="36"/>
      <c r="FP300" s="36"/>
      <c r="FQ300" s="36"/>
      <c r="FR300" s="36"/>
      <c r="FS300" s="36"/>
      <c r="FT300" s="36"/>
      <c r="FU300" s="36"/>
      <c r="FV300" s="36"/>
      <c r="FW300" s="36"/>
      <c r="FX300" s="36"/>
      <c r="FY300" s="36"/>
      <c r="FZ300" s="36"/>
      <c r="GA300" s="36"/>
      <c r="GB300" s="319"/>
      <c r="GC300" s="179">
        <f t="shared" si="56"/>
        <v>0</v>
      </c>
      <c r="GD300" s="179">
        <f t="shared" si="57"/>
        <v>0</v>
      </c>
      <c r="GE300" s="179">
        <f t="shared" si="58"/>
        <v>0</v>
      </c>
      <c r="GF300" s="179">
        <f t="shared" si="59"/>
        <v>0</v>
      </c>
      <c r="GG300" s="179">
        <f t="shared" si="51"/>
        <v>0</v>
      </c>
    </row>
    <row r="301" spans="1:189" x14ac:dyDescent="0.35">
      <c r="A301" s="5" t="s">
        <v>1399</v>
      </c>
      <c r="B301" s="5" t="str">
        <f>IF(Technologies!B301&lt;&gt;0,Technologies!B301,"")</f>
        <v>Landbouw</v>
      </c>
      <c r="C301" s="5" t="str">
        <f>VLOOKUP($A301,Technologies!$A$7:$H$576,3,FALSE)</f>
        <v>Conversion</v>
      </c>
      <c r="D301" s="5" t="str">
        <f>VLOOKUP($A301,Technologies!$A$7:$H$576,4,FALSE)</f>
        <v>Agriculture</v>
      </c>
      <c r="E301" s="5" t="str">
        <f>VLOOKUP($A301,Technologies!$A$7:$H$576,6,FALSE)</f>
        <v>Heat LT Agriculture</v>
      </c>
      <c r="F301" s="5" t="str">
        <f>VLOOKUP($A301,Technologies!$A$7:$H$576,7,FALSE)</f>
        <v>Shallow Soil Energy - LT Heat for Agriculture</v>
      </c>
      <c r="G301" s="23"/>
      <c r="H301" s="23"/>
      <c r="I301" s="104" cm="1">
        <f t="array" ref="I301">-SUMPRODUCT((Feedstocks!$C$4:$C$141=A301)*Feedstocks!$E$4:$E$141,Feedstocks!$F$4:$F$141,Feedstocks!$H$4:$H$141,Feedstocks!$I$4:$I$141)</f>
        <v>0</v>
      </c>
      <c r="J301" s="104" cm="1">
        <f t="array" ref="J301">-SUMPRODUCT((Feedstocks!$C$4:$C$141=A301)*Feedstocks!$E$4:$E$141,Feedstocks!$H$4:$H$141,Feedstocks!$I$4:$I$141)</f>
        <v>0</v>
      </c>
      <c r="K301" s="104"/>
      <c r="L301" s="104"/>
      <c r="M301" s="23"/>
      <c r="N301" s="23" t="str">
        <f>VLOOKUP(E301,Activities!$A$9:$M$227,13,FALSE)</f>
        <v>NL</v>
      </c>
      <c r="O301" s="23"/>
      <c r="P301" s="79" t="s">
        <v>415</v>
      </c>
      <c r="Q301" s="35"/>
      <c r="R301" s="35"/>
      <c r="S301" s="35"/>
      <c r="T301" s="35"/>
      <c r="U301" s="35"/>
      <c r="V301" s="35"/>
      <c r="W301" s="35"/>
      <c r="X301" s="35"/>
      <c r="Y301" s="35"/>
      <c r="Z301" s="35"/>
      <c r="AA301" s="35"/>
      <c r="AB301" s="35"/>
      <c r="AC301" s="35"/>
      <c r="AD301" s="35"/>
      <c r="AE301" s="35"/>
      <c r="AF301" s="36"/>
      <c r="AG301" s="36"/>
      <c r="AH301" s="36"/>
      <c r="AI301" s="36"/>
      <c r="AJ301" s="36"/>
      <c r="AK301" s="36"/>
      <c r="AL301" s="36"/>
      <c r="AM301" s="36"/>
      <c r="AN301" s="36"/>
      <c r="AO301" s="36"/>
      <c r="AP301" s="35"/>
      <c r="AQ301" s="35"/>
      <c r="AR301" s="35"/>
      <c r="AS301" s="35"/>
      <c r="AT301" s="35"/>
      <c r="AU301" s="35"/>
      <c r="AV301" s="35"/>
      <c r="AW301" s="35"/>
      <c r="AX301" s="35"/>
      <c r="AY301" s="35"/>
      <c r="AZ301" s="35"/>
      <c r="BA301" s="35"/>
      <c r="BB301" s="35"/>
      <c r="BC301" s="35"/>
      <c r="BD301" s="35"/>
      <c r="BE301" s="35"/>
      <c r="BF301" s="35"/>
      <c r="BG301" s="35"/>
      <c r="BH301" s="35"/>
      <c r="BI301" s="35"/>
      <c r="BJ301" s="35"/>
      <c r="BK301" s="35"/>
      <c r="BL301" s="35"/>
      <c r="BM301" s="35"/>
      <c r="BN301" s="35"/>
      <c r="BO301" s="35"/>
      <c r="BP301" s="35"/>
      <c r="BQ301" s="35"/>
      <c r="BR301" s="35"/>
      <c r="BS301" s="35"/>
      <c r="BT301" s="35"/>
      <c r="BU301" s="35"/>
      <c r="BV301" s="35"/>
      <c r="BW301" s="35"/>
      <c r="BX301" s="35"/>
      <c r="BY301" s="35"/>
      <c r="BZ301" s="35"/>
      <c r="CA301" s="35"/>
      <c r="CB301" s="35"/>
      <c r="CC301" s="35"/>
      <c r="CD301" s="35"/>
      <c r="CE301" s="35"/>
      <c r="CF301" s="35"/>
      <c r="CG301" s="35"/>
      <c r="CH301" s="35"/>
      <c r="CI301" s="35"/>
      <c r="CJ301" s="35"/>
      <c r="CK301" s="35"/>
      <c r="CL301" s="35"/>
      <c r="CM301" s="35"/>
      <c r="CN301" s="35"/>
      <c r="CO301" s="35"/>
      <c r="CP301" s="35"/>
      <c r="CQ301" s="35"/>
      <c r="CR301" s="35"/>
      <c r="CS301" s="35"/>
      <c r="CT301" s="35"/>
      <c r="CU301" s="35"/>
      <c r="CV301" s="35"/>
      <c r="CW301" s="35"/>
      <c r="CX301" s="35"/>
      <c r="CY301" s="35"/>
      <c r="CZ301" s="35"/>
      <c r="DA301" s="35"/>
      <c r="DB301" s="35"/>
      <c r="DC301" s="35"/>
      <c r="DD301" s="35"/>
      <c r="DE301" s="35"/>
      <c r="DF301" s="35"/>
      <c r="DG301" s="35"/>
      <c r="DH301" s="35"/>
      <c r="DI301" s="35">
        <v>-0.34</v>
      </c>
      <c r="DJ301" s="35"/>
      <c r="DK301" s="35"/>
      <c r="DL301" s="35"/>
      <c r="DM301" s="35"/>
      <c r="DN301" s="35">
        <v>1</v>
      </c>
      <c r="DO301" s="35"/>
      <c r="DP301" s="35"/>
      <c r="DQ301" s="35"/>
      <c r="DR301" s="35"/>
      <c r="DS301" s="35"/>
      <c r="DT301" s="35"/>
      <c r="DU301" s="35"/>
      <c r="DV301" s="35"/>
      <c r="DW301" s="35"/>
      <c r="DX301" s="35"/>
      <c r="DY301" s="35"/>
      <c r="DZ301" s="35"/>
      <c r="EA301" s="35"/>
      <c r="EB301" s="35"/>
      <c r="EC301" s="35"/>
      <c r="ED301" s="35"/>
      <c r="EE301" s="35"/>
      <c r="EF301" s="35"/>
      <c r="EG301" s="35"/>
      <c r="EH301" s="35"/>
      <c r="EI301" s="35"/>
      <c r="EJ301" s="35"/>
      <c r="EK301" s="35"/>
      <c r="EL301" s="35"/>
      <c r="EM301" s="35"/>
      <c r="EN301" s="35"/>
      <c r="EO301" s="35"/>
      <c r="EP301" s="35"/>
      <c r="EQ301" s="35"/>
      <c r="ER301" s="35"/>
      <c r="ES301" s="35"/>
      <c r="ET301" s="35"/>
      <c r="EU301" s="35"/>
      <c r="EV301" s="35"/>
      <c r="EW301" s="35"/>
      <c r="EX301" s="35"/>
      <c r="EY301" s="35"/>
      <c r="EZ301" s="35"/>
      <c r="FA301" s="35"/>
      <c r="FB301" s="35"/>
      <c r="FC301" s="35"/>
      <c r="FD301" s="35"/>
      <c r="FE301" s="35"/>
      <c r="FF301" s="35"/>
      <c r="FG301" s="35"/>
      <c r="FH301" s="35"/>
      <c r="FI301" s="35"/>
      <c r="FJ301" s="35"/>
      <c r="FK301" s="35"/>
      <c r="FL301" s="35"/>
      <c r="FM301" s="35">
        <v>-0.66</v>
      </c>
      <c r="FN301" s="35"/>
      <c r="FO301" s="35"/>
      <c r="FP301" s="35"/>
      <c r="FQ301" s="35"/>
      <c r="FR301" s="35"/>
      <c r="FS301" s="35"/>
      <c r="FT301" s="35"/>
      <c r="FU301" s="35"/>
      <c r="FV301" s="35"/>
      <c r="FW301" s="35"/>
      <c r="FX301" s="35"/>
      <c r="FY301" s="35"/>
      <c r="FZ301" s="35"/>
      <c r="GA301" s="35"/>
      <c r="GB301" s="318"/>
      <c r="GC301" s="178">
        <f t="shared" si="56"/>
        <v>0</v>
      </c>
      <c r="GD301" s="178">
        <f t="shared" si="57"/>
        <v>0</v>
      </c>
      <c r="GE301" s="178">
        <f t="shared" si="58"/>
        <v>0</v>
      </c>
      <c r="GF301" s="178">
        <f t="shared" si="59"/>
        <v>0</v>
      </c>
      <c r="GG301" s="178">
        <f t="shared" si="51"/>
        <v>0</v>
      </c>
    </row>
    <row r="302" spans="1:189" x14ac:dyDescent="0.35">
      <c r="A302" s="6" t="s">
        <v>1401</v>
      </c>
      <c r="B302" s="6" t="str">
        <f>IF(Technologies!B302&lt;&gt;0,Technologies!B302,"")</f>
        <v>Landbouw</v>
      </c>
      <c r="C302" s="6" t="str">
        <f>VLOOKUP($A302,Technologies!$A$7:$H$576,3,FALSE)</f>
        <v>Conversion</v>
      </c>
      <c r="D302" s="6" t="str">
        <f>VLOOKUP($A302,Technologies!$A$7:$H$576,4,FALSE)</f>
        <v>Agriculture</v>
      </c>
      <c r="E302" s="6" t="str">
        <f>VLOOKUP($A302,Technologies!$A$7:$H$576,6,FALSE)</f>
        <v>Heat LT Agriculture</v>
      </c>
      <c r="F302" s="48" t="str">
        <f>VLOOKUP($A302,Technologies!$A$7:$H$576,7,FALSE)</f>
        <v>Boiler Biomass - LT Heat for Agriculture</v>
      </c>
      <c r="G302" s="22"/>
      <c r="H302" s="22"/>
      <c r="I302" s="103" cm="1">
        <f t="array" ref="I302">-SUMPRODUCT((Feedstocks!$C$4:$C$141=A302)*Feedstocks!$E$4:$E$141,Feedstocks!$F$4:$F$141,Feedstocks!$H$4:$H$141,Feedstocks!$I$4:$I$141)</f>
        <v>0</v>
      </c>
      <c r="J302" s="103" cm="1">
        <f t="array" ref="J302">-SUMPRODUCT((Feedstocks!$C$4:$C$141=A302)*Feedstocks!$E$4:$E$141,Feedstocks!$H$4:$H$141,Feedstocks!$I$4:$I$141)</f>
        <v>0</v>
      </c>
      <c r="K302" s="103"/>
      <c r="L302" s="103"/>
      <c r="M302" s="22"/>
      <c r="N302" s="22" t="str">
        <f>VLOOKUP(E302,Activities!$A$9:$M$227,13,FALSE)</f>
        <v>NL</v>
      </c>
      <c r="O302" s="22"/>
      <c r="P302" s="80" t="s">
        <v>415</v>
      </c>
      <c r="Q302" s="36"/>
      <c r="R302" s="36"/>
      <c r="S302" s="36"/>
      <c r="T302" s="36"/>
      <c r="U302" s="36"/>
      <c r="V302" s="36"/>
      <c r="W302" s="36"/>
      <c r="X302" s="36"/>
      <c r="Y302" s="36"/>
      <c r="Z302" s="36"/>
      <c r="AA302" s="36"/>
      <c r="AB302" s="36"/>
      <c r="AC302" s="36"/>
      <c r="AD302" s="36"/>
      <c r="AE302" s="36"/>
      <c r="AF302" s="35"/>
      <c r="AG302" s="35"/>
      <c r="AH302" s="35"/>
      <c r="AI302" s="35"/>
      <c r="AJ302" s="35"/>
      <c r="AK302" s="35"/>
      <c r="AL302" s="35"/>
      <c r="AM302" s="35"/>
      <c r="AN302" s="35"/>
      <c r="AO302" s="35"/>
      <c r="AP302" s="36"/>
      <c r="AQ302" s="36"/>
      <c r="AR302" s="36"/>
      <c r="AS302" s="36"/>
      <c r="AT302" s="36"/>
      <c r="AU302" s="36"/>
      <c r="AV302" s="36"/>
      <c r="AW302" s="36"/>
      <c r="AX302" s="36"/>
      <c r="AY302" s="36"/>
      <c r="AZ302" s="36"/>
      <c r="BA302" s="36"/>
      <c r="BB302" s="36"/>
      <c r="BC302" s="36"/>
      <c r="BD302" s="36"/>
      <c r="BE302" s="36"/>
      <c r="BF302" s="36"/>
      <c r="BG302" s="36"/>
      <c r="BH302" s="36"/>
      <c r="BI302" s="36"/>
      <c r="BJ302" s="36"/>
      <c r="BK302" s="36"/>
      <c r="BL302" s="36"/>
      <c r="BM302" s="36"/>
      <c r="BN302" s="36"/>
      <c r="BO302" s="36"/>
      <c r="BP302" s="36"/>
      <c r="BQ302" s="36"/>
      <c r="BR302" s="36"/>
      <c r="BS302" s="36"/>
      <c r="BT302" s="36"/>
      <c r="BU302" s="36"/>
      <c r="BV302" s="36"/>
      <c r="BW302" s="36"/>
      <c r="BX302" s="36"/>
      <c r="BY302" s="36"/>
      <c r="BZ302" s="36"/>
      <c r="CA302" s="36"/>
      <c r="CB302" s="36"/>
      <c r="CC302" s="36"/>
      <c r="CD302" s="36"/>
      <c r="CE302" s="36"/>
      <c r="CF302" s="36"/>
      <c r="CG302" s="36"/>
      <c r="CH302" s="36"/>
      <c r="CI302" s="36"/>
      <c r="CJ302" s="36"/>
      <c r="CK302" s="36"/>
      <c r="CL302" s="36"/>
      <c r="CM302" s="36"/>
      <c r="CN302" s="36"/>
      <c r="CO302" s="36"/>
      <c r="CP302" s="36"/>
      <c r="CQ302" s="36"/>
      <c r="CR302" s="36"/>
      <c r="CS302" s="36"/>
      <c r="CT302" s="36"/>
      <c r="CU302" s="36"/>
      <c r="CV302" s="36"/>
      <c r="CW302" s="36"/>
      <c r="CX302" s="36"/>
      <c r="CY302" s="36"/>
      <c r="CZ302" s="36"/>
      <c r="DA302" s="36"/>
      <c r="DB302" s="36"/>
      <c r="DC302" s="36"/>
      <c r="DD302" s="36"/>
      <c r="DE302" s="36"/>
      <c r="DF302" s="36"/>
      <c r="DG302" s="36"/>
      <c r="DH302" s="36"/>
      <c r="DI302" s="36"/>
      <c r="DJ302" s="36"/>
      <c r="DK302" s="36"/>
      <c r="DL302" s="36"/>
      <c r="DM302" s="36"/>
      <c r="DN302" s="36">
        <v>1</v>
      </c>
      <c r="DO302" s="36"/>
      <c r="DP302" s="36"/>
      <c r="DQ302" s="36"/>
      <c r="DR302" s="36"/>
      <c r="DS302" s="36"/>
      <c r="DT302" s="36"/>
      <c r="DU302" s="36"/>
      <c r="DV302" s="36"/>
      <c r="DW302" s="36"/>
      <c r="DX302" s="36"/>
      <c r="DY302" s="36"/>
      <c r="DZ302" s="36"/>
      <c r="EA302" s="36"/>
      <c r="EB302" s="36"/>
      <c r="EC302" s="36"/>
      <c r="ED302" s="36"/>
      <c r="EE302" s="36"/>
      <c r="EF302" s="36"/>
      <c r="EG302" s="36"/>
      <c r="EH302" s="36"/>
      <c r="EI302" s="36"/>
      <c r="EJ302" s="36"/>
      <c r="EK302" s="36"/>
      <c r="EL302" s="36"/>
      <c r="EM302" s="36"/>
      <c r="EN302" s="36"/>
      <c r="EO302" s="36"/>
      <c r="EP302" s="36"/>
      <c r="EQ302" s="36"/>
      <c r="ER302" s="36">
        <v>-1.0900000000000001</v>
      </c>
      <c r="ES302" s="36"/>
      <c r="ET302" s="36"/>
      <c r="EU302" s="36"/>
      <c r="EV302" s="36"/>
      <c r="EW302" s="36"/>
      <c r="EX302" s="36"/>
      <c r="EY302" s="36"/>
      <c r="EZ302" s="36"/>
      <c r="FA302" s="36"/>
      <c r="FB302" s="36"/>
      <c r="FC302" s="36"/>
      <c r="FD302" s="36"/>
      <c r="FE302" s="36"/>
      <c r="FF302" s="36"/>
      <c r="FG302" s="36"/>
      <c r="FH302" s="36"/>
      <c r="FI302" s="36"/>
      <c r="FJ302" s="36"/>
      <c r="FK302" s="36"/>
      <c r="FL302" s="36"/>
      <c r="FM302" s="36"/>
      <c r="FN302" s="36"/>
      <c r="FO302" s="36"/>
      <c r="FP302" s="36"/>
      <c r="FQ302" s="36"/>
      <c r="FR302" s="36"/>
      <c r="FS302" s="36"/>
      <c r="FT302" s="36"/>
      <c r="FU302" s="36"/>
      <c r="FV302" s="36"/>
      <c r="FW302" s="36"/>
      <c r="FX302" s="36"/>
      <c r="FY302" s="36"/>
      <c r="FZ302" s="36"/>
      <c r="GA302" s="36"/>
      <c r="GB302" s="319"/>
      <c r="GC302" s="179">
        <f t="shared" si="56"/>
        <v>0</v>
      </c>
      <c r="GD302" s="179">
        <f t="shared" si="57"/>
        <v>0</v>
      </c>
      <c r="GE302" s="179">
        <f t="shared" si="58"/>
        <v>0</v>
      </c>
      <c r="GF302" s="179">
        <f t="shared" si="59"/>
        <v>0</v>
      </c>
      <c r="GG302" s="179">
        <f t="shared" si="51"/>
        <v>0</v>
      </c>
    </row>
    <row r="303" spans="1:189" x14ac:dyDescent="0.35">
      <c r="A303" s="5" t="s">
        <v>1403</v>
      </c>
      <c r="B303" s="5" t="str">
        <f>IF(Technologies!B303&lt;&gt;0,Technologies!B303,"")</f>
        <v>Landbouw</v>
      </c>
      <c r="C303" s="5" t="str">
        <f>VLOOKUP($A303,Technologies!$A$7:$H$576,3,FALSE)</f>
        <v>Conversion</v>
      </c>
      <c r="D303" s="5" t="str">
        <f>VLOOKUP($A303,Technologies!$A$7:$H$576,4,FALSE)</f>
        <v>Agriculture</v>
      </c>
      <c r="E303" s="5" t="str">
        <f>VLOOKUP($A303,Technologies!$A$7:$H$576,6,FALSE)</f>
        <v>Heat LT Agriculture</v>
      </c>
      <c r="F303" s="5" t="str">
        <f>VLOOKUP($A303,Technologies!$A$7:$H$576,7,FALSE)</f>
        <v>Boiler Hydrogen - LT Heat for Agriculture</v>
      </c>
      <c r="G303" s="23"/>
      <c r="H303" s="23"/>
      <c r="I303" s="104" cm="1">
        <f t="array" ref="I303">-SUMPRODUCT((Feedstocks!$C$4:$C$141=A303)*Feedstocks!$E$4:$E$141,Feedstocks!$F$4:$F$141,Feedstocks!$H$4:$H$141,Feedstocks!$I$4:$I$141)</f>
        <v>0</v>
      </c>
      <c r="J303" s="104" cm="1">
        <f t="array" ref="J303">-SUMPRODUCT((Feedstocks!$C$4:$C$141=A303)*Feedstocks!$E$4:$E$141,Feedstocks!$H$4:$H$141,Feedstocks!$I$4:$I$141)</f>
        <v>0</v>
      </c>
      <c r="K303" s="104"/>
      <c r="L303" s="104"/>
      <c r="M303" s="23"/>
      <c r="N303" s="23" t="str">
        <f>VLOOKUP(E303,Activities!$A$9:$M$227,13,FALSE)</f>
        <v>NL</v>
      </c>
      <c r="O303" s="23"/>
      <c r="P303" s="79" t="s">
        <v>415</v>
      </c>
      <c r="Q303" s="35"/>
      <c r="R303" s="35"/>
      <c r="S303" s="35"/>
      <c r="T303" s="35"/>
      <c r="U303" s="35"/>
      <c r="V303" s="35"/>
      <c r="W303" s="35"/>
      <c r="X303" s="35"/>
      <c r="Y303" s="35"/>
      <c r="Z303" s="35"/>
      <c r="AA303" s="35"/>
      <c r="AB303" s="35"/>
      <c r="AC303" s="35"/>
      <c r="AD303" s="35"/>
      <c r="AE303" s="35"/>
      <c r="AF303" s="36"/>
      <c r="AG303" s="36"/>
      <c r="AH303" s="36"/>
      <c r="AI303" s="36"/>
      <c r="AJ303" s="36"/>
      <c r="AK303" s="36"/>
      <c r="AL303" s="36"/>
      <c r="AM303" s="36"/>
      <c r="AN303" s="36"/>
      <c r="AO303" s="36"/>
      <c r="AP303" s="35"/>
      <c r="AQ303" s="35"/>
      <c r="AR303" s="35"/>
      <c r="AS303" s="35"/>
      <c r="AT303" s="35"/>
      <c r="AU303" s="35"/>
      <c r="AV303" s="35"/>
      <c r="AW303" s="35"/>
      <c r="AX303" s="35"/>
      <c r="AY303" s="35"/>
      <c r="AZ303" s="35"/>
      <c r="BA303" s="35"/>
      <c r="BB303" s="35"/>
      <c r="BC303" s="35"/>
      <c r="BD303" s="35"/>
      <c r="BE303" s="35"/>
      <c r="BF303" s="35"/>
      <c r="BG303" s="35"/>
      <c r="BH303" s="35"/>
      <c r="BI303" s="35"/>
      <c r="BJ303" s="35"/>
      <c r="BK303" s="35"/>
      <c r="BL303" s="35"/>
      <c r="BM303" s="35"/>
      <c r="BN303" s="35"/>
      <c r="BO303" s="35"/>
      <c r="BP303" s="35"/>
      <c r="BQ303" s="35"/>
      <c r="BR303" s="35"/>
      <c r="BS303" s="35"/>
      <c r="BT303" s="35"/>
      <c r="BU303" s="35"/>
      <c r="BV303" s="35"/>
      <c r="BW303" s="35"/>
      <c r="BX303" s="35"/>
      <c r="BY303" s="35"/>
      <c r="BZ303" s="35"/>
      <c r="CA303" s="35"/>
      <c r="CB303" s="35"/>
      <c r="CC303" s="35"/>
      <c r="CD303" s="35"/>
      <c r="CE303" s="35"/>
      <c r="CF303" s="35"/>
      <c r="CG303" s="35"/>
      <c r="CH303" s="35"/>
      <c r="CI303" s="35"/>
      <c r="CJ303" s="35"/>
      <c r="CK303" s="35"/>
      <c r="CL303" s="35"/>
      <c r="CM303" s="35"/>
      <c r="CN303" s="35"/>
      <c r="CO303" s="35"/>
      <c r="CP303" s="35"/>
      <c r="CQ303" s="35"/>
      <c r="CR303" s="35"/>
      <c r="CS303" s="35"/>
      <c r="CT303" s="35"/>
      <c r="CU303" s="35"/>
      <c r="CV303" s="35"/>
      <c r="CW303" s="35"/>
      <c r="CX303" s="35"/>
      <c r="CY303" s="35"/>
      <c r="CZ303" s="35"/>
      <c r="DA303" s="35"/>
      <c r="DB303" s="35"/>
      <c r="DC303" s="35"/>
      <c r="DD303" s="35"/>
      <c r="DE303" s="35"/>
      <c r="DF303" s="35"/>
      <c r="DG303" s="35"/>
      <c r="DH303" s="35"/>
      <c r="DI303" s="35"/>
      <c r="DJ303" s="35"/>
      <c r="DK303" s="35"/>
      <c r="DL303" s="35"/>
      <c r="DM303" s="35"/>
      <c r="DN303" s="35">
        <v>1</v>
      </c>
      <c r="DO303" s="35"/>
      <c r="DP303" s="35"/>
      <c r="DQ303" s="35"/>
      <c r="DR303" s="35"/>
      <c r="DS303" s="35"/>
      <c r="DT303" s="35"/>
      <c r="DU303" s="35"/>
      <c r="DV303" s="35"/>
      <c r="DW303" s="35"/>
      <c r="DX303" s="35"/>
      <c r="DY303" s="35"/>
      <c r="DZ303" s="35"/>
      <c r="EA303" s="35"/>
      <c r="EB303" s="35"/>
      <c r="EC303" s="35"/>
      <c r="ED303" s="35"/>
      <c r="EE303" s="35"/>
      <c r="EF303" s="35"/>
      <c r="EG303" s="35"/>
      <c r="EH303" s="35"/>
      <c r="EI303" s="35"/>
      <c r="EJ303" s="35"/>
      <c r="EK303" s="35"/>
      <c r="EL303" s="35"/>
      <c r="EM303" s="35"/>
      <c r="EN303" s="35">
        <v>-1.05</v>
      </c>
      <c r="EO303" s="35"/>
      <c r="EP303" s="35"/>
      <c r="EQ303" s="35"/>
      <c r="ER303" s="35"/>
      <c r="ES303" s="35"/>
      <c r="ET303" s="35"/>
      <c r="EU303" s="35"/>
      <c r="EV303" s="35"/>
      <c r="EW303" s="35"/>
      <c r="EX303" s="35"/>
      <c r="EY303" s="35"/>
      <c r="EZ303" s="35"/>
      <c r="FA303" s="35"/>
      <c r="FB303" s="35"/>
      <c r="FC303" s="35"/>
      <c r="FD303" s="35"/>
      <c r="FE303" s="35"/>
      <c r="FF303" s="35"/>
      <c r="FG303" s="35"/>
      <c r="FH303" s="35"/>
      <c r="FI303" s="35"/>
      <c r="FJ303" s="35"/>
      <c r="FK303" s="35"/>
      <c r="FL303" s="35"/>
      <c r="FM303" s="35"/>
      <c r="FN303" s="35"/>
      <c r="FO303" s="35"/>
      <c r="FP303" s="35"/>
      <c r="FQ303" s="35"/>
      <c r="FR303" s="35"/>
      <c r="FS303" s="35"/>
      <c r="FT303" s="35"/>
      <c r="FU303" s="35"/>
      <c r="FV303" s="35"/>
      <c r="FW303" s="35"/>
      <c r="FX303" s="35"/>
      <c r="FY303" s="35"/>
      <c r="FZ303" s="35"/>
      <c r="GA303" s="35"/>
      <c r="GB303" s="318"/>
      <c r="GC303" s="178">
        <f t="shared" si="56"/>
        <v>0</v>
      </c>
      <c r="GD303" s="178">
        <f t="shared" si="57"/>
        <v>0</v>
      </c>
      <c r="GE303" s="178">
        <f t="shared" si="58"/>
        <v>0</v>
      </c>
      <c r="GF303" s="178">
        <f t="shared" si="59"/>
        <v>0</v>
      </c>
      <c r="GG303" s="178">
        <f t="shared" si="51"/>
        <v>0</v>
      </c>
    </row>
    <row r="304" spans="1:189" x14ac:dyDescent="0.35">
      <c r="A304" s="5" t="s">
        <v>1405</v>
      </c>
      <c r="B304" s="5" t="str">
        <f>IF(Technologies!B304&lt;&gt;0,Technologies!B304,"")</f>
        <v>Landbouw</v>
      </c>
      <c r="C304" s="5" t="str">
        <f>VLOOKUP($A304,Technologies!$A$7:$H$576,3,FALSE)</f>
        <v>Conversion</v>
      </c>
      <c r="D304" s="5" t="str">
        <f>VLOOKUP($A304,Technologies!$A$7:$H$576,4,FALSE)</f>
        <v>Agriculture</v>
      </c>
      <c r="E304" s="5" t="str">
        <f>VLOOKUP($A304,Technologies!$A$7:$H$576,6,FALSE)</f>
        <v>Heat LT Agriculture</v>
      </c>
      <c r="F304" s="5" t="str">
        <f>VLOOKUP($A304,Technologies!$A$7:$H$576,7,FALSE)</f>
        <v>Electric Boiler - LT Heat for Agriculture</v>
      </c>
      <c r="G304" s="23"/>
      <c r="H304" s="23"/>
      <c r="I304" s="104"/>
      <c r="J304" s="104"/>
      <c r="K304" s="104"/>
      <c r="L304" s="104"/>
      <c r="M304" s="23"/>
      <c r="N304" s="23" t="str">
        <f>VLOOKUP(E304,Activities!$A$9:$M$227,13,FALSE)</f>
        <v>NL</v>
      </c>
      <c r="O304" s="23"/>
      <c r="P304" s="79"/>
      <c r="Q304" s="35"/>
      <c r="R304" s="35"/>
      <c r="S304" s="35"/>
      <c r="T304" s="35"/>
      <c r="U304" s="35"/>
      <c r="V304" s="35"/>
      <c r="W304" s="35"/>
      <c r="X304" s="35"/>
      <c r="Y304" s="35"/>
      <c r="Z304" s="35"/>
      <c r="AA304" s="35"/>
      <c r="AB304" s="35"/>
      <c r="AC304" s="35"/>
      <c r="AD304" s="35"/>
      <c r="AE304" s="35"/>
      <c r="AF304" s="36"/>
      <c r="AG304" s="36"/>
      <c r="AH304" s="36"/>
      <c r="AI304" s="36"/>
      <c r="AJ304" s="36"/>
      <c r="AK304" s="36"/>
      <c r="AL304" s="36"/>
      <c r="AM304" s="36"/>
      <c r="AN304" s="36"/>
      <c r="AO304" s="36"/>
      <c r="AP304" s="35"/>
      <c r="AQ304" s="35"/>
      <c r="AR304" s="35"/>
      <c r="AS304" s="35"/>
      <c r="AT304" s="35"/>
      <c r="AU304" s="35"/>
      <c r="AV304" s="35"/>
      <c r="AW304" s="35"/>
      <c r="AX304" s="35"/>
      <c r="AY304" s="35"/>
      <c r="AZ304" s="35"/>
      <c r="BA304" s="35"/>
      <c r="BB304" s="35"/>
      <c r="BC304" s="35"/>
      <c r="BD304" s="35"/>
      <c r="BE304" s="35"/>
      <c r="BF304" s="35"/>
      <c r="BG304" s="35"/>
      <c r="BH304" s="35"/>
      <c r="BI304" s="35"/>
      <c r="BJ304" s="35"/>
      <c r="BK304" s="35"/>
      <c r="BL304" s="35"/>
      <c r="BM304" s="35"/>
      <c r="BN304" s="35"/>
      <c r="BO304" s="35"/>
      <c r="BP304" s="35"/>
      <c r="BQ304" s="35"/>
      <c r="BR304" s="35"/>
      <c r="BS304" s="35"/>
      <c r="BT304" s="35"/>
      <c r="BU304" s="35"/>
      <c r="BV304" s="35"/>
      <c r="BW304" s="35"/>
      <c r="BX304" s="35"/>
      <c r="BY304" s="35"/>
      <c r="BZ304" s="35"/>
      <c r="CA304" s="35"/>
      <c r="CB304" s="35"/>
      <c r="CC304" s="35"/>
      <c r="CD304" s="35"/>
      <c r="CE304" s="35"/>
      <c r="CF304" s="35"/>
      <c r="CG304" s="35"/>
      <c r="CH304" s="35"/>
      <c r="CI304" s="35"/>
      <c r="CJ304" s="35"/>
      <c r="CK304" s="35"/>
      <c r="CL304" s="35"/>
      <c r="CM304" s="35"/>
      <c r="CN304" s="35"/>
      <c r="CO304" s="35"/>
      <c r="CP304" s="35"/>
      <c r="CQ304" s="35"/>
      <c r="CR304" s="35"/>
      <c r="CS304" s="35"/>
      <c r="CT304" s="35"/>
      <c r="CU304" s="35"/>
      <c r="CV304" s="35"/>
      <c r="CW304" s="35"/>
      <c r="CX304" s="35"/>
      <c r="CY304" s="35"/>
      <c r="CZ304" s="35"/>
      <c r="DA304" s="35"/>
      <c r="DB304" s="35"/>
      <c r="DC304" s="35"/>
      <c r="DD304" s="35"/>
      <c r="DE304" s="35"/>
      <c r="DF304" s="35"/>
      <c r="DG304" s="35"/>
      <c r="DH304" s="35"/>
      <c r="DI304" s="36">
        <f>-1/0.99</f>
        <v>-1.0101010101010102</v>
      </c>
      <c r="DJ304" s="35"/>
      <c r="DK304" s="35"/>
      <c r="DL304" s="35"/>
      <c r="DM304" s="35"/>
      <c r="DN304" s="35">
        <v>1</v>
      </c>
      <c r="DO304" s="35"/>
      <c r="DP304" s="35"/>
      <c r="DQ304" s="35"/>
      <c r="DR304" s="35"/>
      <c r="DS304" s="35"/>
      <c r="DT304" s="35"/>
      <c r="DU304" s="35"/>
      <c r="DV304" s="35"/>
      <c r="DW304" s="35"/>
      <c r="DX304" s="35"/>
      <c r="DY304" s="35"/>
      <c r="DZ304" s="35"/>
      <c r="EA304" s="35"/>
      <c r="EB304" s="35"/>
      <c r="EC304" s="35"/>
      <c r="ED304" s="35"/>
      <c r="EE304" s="35"/>
      <c r="EF304" s="35"/>
      <c r="EG304" s="35"/>
      <c r="EH304" s="35"/>
      <c r="EI304" s="35"/>
      <c r="EJ304" s="35"/>
      <c r="EK304" s="35"/>
      <c r="EL304" s="35"/>
      <c r="EM304" s="35"/>
      <c r="EN304" s="35"/>
      <c r="EO304" s="35"/>
      <c r="EP304" s="35"/>
      <c r="EQ304" s="35"/>
      <c r="ER304" s="35"/>
      <c r="ES304" s="35"/>
      <c r="ET304" s="35"/>
      <c r="EU304" s="35"/>
      <c r="EV304" s="35"/>
      <c r="EW304" s="35"/>
      <c r="EX304" s="35"/>
      <c r="EY304" s="35"/>
      <c r="EZ304" s="35"/>
      <c r="FA304" s="35"/>
      <c r="FB304" s="35"/>
      <c r="FC304" s="35"/>
      <c r="FD304" s="35"/>
      <c r="FE304" s="35"/>
      <c r="FF304" s="35"/>
      <c r="FG304" s="35"/>
      <c r="FH304" s="35"/>
      <c r="FI304" s="35"/>
      <c r="FJ304" s="35"/>
      <c r="FK304" s="35"/>
      <c r="FL304" s="35"/>
      <c r="FM304" s="35"/>
      <c r="FN304" s="35"/>
      <c r="FO304" s="35"/>
      <c r="FP304" s="35"/>
      <c r="FQ304" s="35"/>
      <c r="FR304" s="35"/>
      <c r="FS304" s="35"/>
      <c r="FT304" s="35"/>
      <c r="FU304" s="35"/>
      <c r="FV304" s="35"/>
      <c r="FW304" s="35"/>
      <c r="FX304" s="35"/>
      <c r="FY304" s="35"/>
      <c r="FZ304" s="35"/>
      <c r="GA304" s="35"/>
      <c r="GB304" s="318"/>
      <c r="GC304" s="178"/>
      <c r="GD304" s="178"/>
      <c r="GE304" s="178"/>
      <c r="GF304" s="178"/>
      <c r="GG304" s="178"/>
    </row>
    <row r="305" spans="1:189" x14ac:dyDescent="0.35">
      <c r="A305" s="6" t="s">
        <v>1407</v>
      </c>
      <c r="B305" s="6" t="str">
        <f>IF(Technologies!B305&lt;&gt;0,Technologies!B305,"")</f>
        <v>Industrie</v>
      </c>
      <c r="C305" s="6" t="str">
        <f>VLOOKUP($A305,Technologies!$A$7:$H$576,3,FALSE)</f>
        <v>Conversion</v>
      </c>
      <c r="D305" s="6" t="str">
        <f>VLOOKUP($A305,Technologies!$A$7:$H$576,4,FALSE)</f>
        <v>Industry</v>
      </c>
      <c r="E305" s="6" t="str">
        <f>VLOOKUP($A305,Technologies!$A$7:$H$576,6,FALSE)</f>
        <v>Heat HT Industry</v>
      </c>
      <c r="F305" s="48" t="str">
        <f>VLOOKUP($A305,Technologies!$A$7:$H$576,7,FALSE)</f>
        <v>Boiler Gas - HT Heat for Industry</v>
      </c>
      <c r="G305" s="22"/>
      <c r="H305" s="22"/>
      <c r="I305" s="103" cm="1">
        <f t="array" ref="I305">-SUMPRODUCT((Feedstocks!$C$4:$C$141=A305)*Feedstocks!$E$4:$E$141,Feedstocks!$F$4:$F$141,Feedstocks!$H$4:$H$141,Feedstocks!$I$4:$I$141)</f>
        <v>0</v>
      </c>
      <c r="J305" s="103" cm="1">
        <f t="array" ref="J305">-SUMPRODUCT((Feedstocks!$C$4:$C$141=A305)*Feedstocks!$E$4:$E$141,Feedstocks!$H$4:$H$141,Feedstocks!$I$4:$I$141)</f>
        <v>0</v>
      </c>
      <c r="K305" s="103"/>
      <c r="L305" s="103"/>
      <c r="M305" s="22">
        <v>1</v>
      </c>
      <c r="N305" s="22" t="str">
        <f>VLOOKUP(E305,Activities!$A$9:$M$227,13,FALSE)</f>
        <v>NL</v>
      </c>
      <c r="O305" s="22"/>
      <c r="P305" s="80" t="s">
        <v>415</v>
      </c>
      <c r="Q305" s="36"/>
      <c r="R305" s="36"/>
      <c r="S305" s="36"/>
      <c r="T305" s="36"/>
      <c r="U305" s="36"/>
      <c r="V305" s="36"/>
      <c r="W305" s="36"/>
      <c r="X305" s="36"/>
      <c r="Y305" s="36"/>
      <c r="Z305" s="36"/>
      <c r="AA305" s="36"/>
      <c r="AB305" s="36"/>
      <c r="AC305" s="36"/>
      <c r="AD305" s="36"/>
      <c r="AE305" s="36"/>
      <c r="AF305" s="35"/>
      <c r="AG305" s="35"/>
      <c r="AH305" s="35"/>
      <c r="AI305" s="35"/>
      <c r="AJ305" s="35"/>
      <c r="AK305" s="35"/>
      <c r="AL305" s="35"/>
      <c r="AM305" s="35"/>
      <c r="AN305" s="35"/>
      <c r="AO305" s="35"/>
      <c r="AP305" s="36"/>
      <c r="AQ305" s="36"/>
      <c r="AR305" s="36"/>
      <c r="AS305" s="36"/>
      <c r="AT305" s="36"/>
      <c r="AU305" s="36"/>
      <c r="AV305" s="36"/>
      <c r="AW305" s="36"/>
      <c r="AX305" s="36"/>
      <c r="AY305" s="36"/>
      <c r="AZ305" s="36"/>
      <c r="BA305" s="36"/>
      <c r="BB305" s="36"/>
      <c r="BC305" s="36"/>
      <c r="BD305" s="36"/>
      <c r="BE305" s="36"/>
      <c r="BF305" s="36"/>
      <c r="BG305" s="36"/>
      <c r="BH305" s="36"/>
      <c r="BI305" s="36"/>
      <c r="BJ305" s="36"/>
      <c r="BK305" s="36"/>
      <c r="BL305" s="36"/>
      <c r="BM305" s="36"/>
      <c r="BN305" s="36"/>
      <c r="BO305" s="36"/>
      <c r="BP305" s="36"/>
      <c r="BQ305" s="36"/>
      <c r="BR305" s="36"/>
      <c r="BS305" s="36"/>
      <c r="BT305" s="36"/>
      <c r="BU305" s="36"/>
      <c r="BV305" s="36"/>
      <c r="BW305" s="36"/>
      <c r="BX305" s="36"/>
      <c r="BY305" s="36"/>
      <c r="BZ305" s="36"/>
      <c r="CA305" s="36"/>
      <c r="CB305" s="36"/>
      <c r="CC305" s="36"/>
      <c r="CD305" s="36"/>
      <c r="CE305" s="36"/>
      <c r="CF305" s="36"/>
      <c r="CG305" s="36"/>
      <c r="CH305" s="36"/>
      <c r="CI305" s="36"/>
      <c r="CJ305" s="36"/>
      <c r="CK305" s="36"/>
      <c r="CL305" s="36"/>
      <c r="CM305" s="36"/>
      <c r="CN305" s="36"/>
      <c r="CO305" s="36"/>
      <c r="CP305" s="36"/>
      <c r="CQ305" s="36"/>
      <c r="CR305" s="36"/>
      <c r="CS305" s="36"/>
      <c r="CT305" s="36"/>
      <c r="CU305" s="36"/>
      <c r="CV305" s="36"/>
      <c r="CW305" s="36"/>
      <c r="CX305" s="36"/>
      <c r="CY305" s="36"/>
      <c r="CZ305" s="36"/>
      <c r="DA305" s="36"/>
      <c r="DB305" s="36"/>
      <c r="DC305" s="36"/>
      <c r="DD305" s="36"/>
      <c r="DE305" s="36"/>
      <c r="DF305" s="36"/>
      <c r="DG305" s="36"/>
      <c r="DH305" s="36"/>
      <c r="DI305" s="36"/>
      <c r="DJ305" s="36"/>
      <c r="DK305" s="36"/>
      <c r="DL305" s="36"/>
      <c r="DM305" s="36"/>
      <c r="DN305" s="36"/>
      <c r="DO305" s="36">
        <v>1</v>
      </c>
      <c r="DP305" s="36"/>
      <c r="DQ305" s="36"/>
      <c r="DR305" s="36"/>
      <c r="DS305" s="36"/>
      <c r="DT305" s="36"/>
      <c r="DU305" s="36"/>
      <c r="DV305" s="36"/>
      <c r="DW305" s="36"/>
      <c r="DX305" s="36"/>
      <c r="DY305" s="36"/>
      <c r="DZ305" s="36"/>
      <c r="EA305" s="36"/>
      <c r="EB305" s="36"/>
      <c r="EC305" s="36"/>
      <c r="ED305" s="36"/>
      <c r="EE305" s="36"/>
      <c r="EF305" s="36"/>
      <c r="EG305" s="36"/>
      <c r="EH305" s="36"/>
      <c r="EI305" s="36"/>
      <c r="EJ305" s="36">
        <v>-1.087</v>
      </c>
      <c r="EK305" s="36"/>
      <c r="EL305" s="36"/>
      <c r="EM305" s="36"/>
      <c r="EN305" s="36"/>
      <c r="EO305" s="36"/>
      <c r="EP305" s="36"/>
      <c r="EQ305" s="36"/>
      <c r="ER305" s="36"/>
      <c r="ES305" s="36"/>
      <c r="ET305" s="36"/>
      <c r="EU305" s="36"/>
      <c r="EV305" s="36"/>
      <c r="EW305" s="36"/>
      <c r="EX305" s="36"/>
      <c r="EY305" s="36"/>
      <c r="EZ305" s="36"/>
      <c r="FA305" s="36"/>
      <c r="FB305" s="36"/>
      <c r="FC305" s="36"/>
      <c r="FD305" s="36"/>
      <c r="FE305" s="36"/>
      <c r="FF305" s="36"/>
      <c r="FG305" s="36"/>
      <c r="FH305" s="36"/>
      <c r="FI305" s="36"/>
      <c r="FJ305" s="36"/>
      <c r="FK305" s="36"/>
      <c r="FL305" s="36"/>
      <c r="FM305" s="36"/>
      <c r="FN305" s="36"/>
      <c r="FO305" s="36"/>
      <c r="FP305" s="36"/>
      <c r="FQ305" s="36"/>
      <c r="FR305" s="36"/>
      <c r="FS305" s="36"/>
      <c r="FT305" s="36"/>
      <c r="FU305" s="36"/>
      <c r="FV305" s="36"/>
      <c r="FW305" s="36"/>
      <c r="FX305" s="36"/>
      <c r="FY305" s="36"/>
      <c r="FZ305" s="36"/>
      <c r="GA305" s="36"/>
      <c r="GB305" s="319"/>
      <c r="GC305" s="179">
        <f t="shared" ref="GC305:GC336" si="60">ROUND(IF($C305="Primary",0,-$G305*(SUMPRODUCT($Q$4:$GA$4,$Q305:$GA305)+$J305)-$H305)*IF($N305=GC$4,1,0),4)</f>
        <v>0</v>
      </c>
      <c r="GD305" s="179">
        <f t="shared" ref="GD305:GD336" si="61">ROUND(IF($C305="Primary",0,$M305*(1-$O305)*($G305*(SUMPRODUCT($Q$4:$GA$4,$Q305:$GA305)+$J305)+$H305-SUMPRODUCT($Q$5:$GA$5,$Q305:$GA305)-$I305+$K305))*IF($N305=GD$4,1,0),4)</f>
        <v>6.1499999999999999E-2</v>
      </c>
      <c r="GE305" s="179">
        <f t="shared" ref="GE305:GE336" si="62">ROUND(IF($C305="Primary",0,(1-$M305)*(1-$O305)*($G305*(SUMPRODUCT($Q$4:$GA$4,$Q305:$GA305)+$J305)+$H305-SUMPRODUCT($Q$5:$GA$5,$Q305:$GA305)-$I305+$L305))*IF($N305=GD$4,1,0),4)</f>
        <v>0</v>
      </c>
      <c r="GF305" s="179">
        <f t="shared" ref="GF305:GF336" si="63">ROUND(IF($C305="Primary",0,$O305*($G305*(SUMPRODUCT($Q$4:$GA$4,$Q305:$GA305)+$J305)-SUMPRODUCT($Q$5:$GA$5,$Q305:$GA305)-$I305))*IF($N305=GD$4,1,0),4)</f>
        <v>0</v>
      </c>
      <c r="GG305" s="179">
        <f t="shared" si="51"/>
        <v>0</v>
      </c>
    </row>
    <row r="306" spans="1:189" x14ac:dyDescent="0.35">
      <c r="A306" s="5" t="s">
        <v>1410</v>
      </c>
      <c r="B306" s="5" t="str">
        <f>IF(Technologies!B306&lt;&gt;0,Technologies!B306,"")</f>
        <v>Industrie</v>
      </c>
      <c r="C306" s="5" t="str">
        <f>VLOOKUP($A306,Technologies!$A$7:$H$576,3,FALSE)</f>
        <v>Conversion</v>
      </c>
      <c r="D306" s="5" t="str">
        <f>VLOOKUP($A306,Technologies!$A$7:$H$576,4,FALSE)</f>
        <v>Industry</v>
      </c>
      <c r="E306" s="5" t="str">
        <f>VLOOKUP($A306,Technologies!$A$7:$H$576,6,FALSE)</f>
        <v>Heat HT Industry</v>
      </c>
      <c r="F306" s="5" t="str">
        <f>VLOOKUP($A306,Technologies!$A$7:$H$576,7,FALSE)</f>
        <v>Boiler Gas wCCS - HT Heat for Industry</v>
      </c>
      <c r="G306" s="23">
        <v>0.8</v>
      </c>
      <c r="H306" s="23"/>
      <c r="I306" s="104" cm="1">
        <f t="array" ref="I306">-SUMPRODUCT((Feedstocks!$C$4:$C$141=A306)*Feedstocks!$E$4:$E$141,Feedstocks!$F$4:$F$141,Feedstocks!$H$4:$H$141,Feedstocks!$I$4:$I$141)</f>
        <v>0</v>
      </c>
      <c r="J306" s="104" cm="1">
        <f t="array" ref="J306">-SUMPRODUCT((Feedstocks!$C$4:$C$141=A306)*Feedstocks!$E$4:$E$141,Feedstocks!$H$4:$H$141,Feedstocks!$I$4:$I$141)</f>
        <v>0</v>
      </c>
      <c r="K306" s="104"/>
      <c r="L306" s="104"/>
      <c r="M306" s="23">
        <v>1</v>
      </c>
      <c r="N306" s="23" t="str">
        <f>VLOOKUP(E306,Activities!$A$9:$M$227,13,FALSE)</f>
        <v>NL</v>
      </c>
      <c r="O306" s="23"/>
      <c r="P306" s="79" t="s">
        <v>415</v>
      </c>
      <c r="Q306" s="35"/>
      <c r="R306" s="35"/>
      <c r="S306" s="35"/>
      <c r="T306" s="35"/>
      <c r="U306" s="35"/>
      <c r="V306" s="35"/>
      <c r="W306" s="35"/>
      <c r="X306" s="35"/>
      <c r="Y306" s="35"/>
      <c r="Z306" s="35"/>
      <c r="AA306" s="35"/>
      <c r="AB306" s="35"/>
      <c r="AC306" s="35"/>
      <c r="AD306" s="35"/>
      <c r="AE306" s="35"/>
      <c r="AF306" s="36"/>
      <c r="AG306" s="36"/>
      <c r="AH306" s="36"/>
      <c r="AI306" s="36"/>
      <c r="AJ306" s="36"/>
      <c r="AK306" s="36"/>
      <c r="AL306" s="36"/>
      <c r="AM306" s="36"/>
      <c r="AN306" s="36"/>
      <c r="AO306" s="36"/>
      <c r="AP306" s="35"/>
      <c r="AQ306" s="35"/>
      <c r="AR306" s="35"/>
      <c r="AS306" s="35"/>
      <c r="AT306" s="35"/>
      <c r="AU306" s="35"/>
      <c r="AV306" s="35"/>
      <c r="AW306" s="35"/>
      <c r="AX306" s="35"/>
      <c r="AY306" s="35"/>
      <c r="AZ306" s="35"/>
      <c r="BA306" s="35"/>
      <c r="BB306" s="35"/>
      <c r="BC306" s="35"/>
      <c r="BD306" s="35"/>
      <c r="BE306" s="35"/>
      <c r="BF306" s="35"/>
      <c r="BG306" s="35"/>
      <c r="BH306" s="35"/>
      <c r="BI306" s="35"/>
      <c r="BJ306" s="35"/>
      <c r="BK306" s="35"/>
      <c r="BL306" s="35"/>
      <c r="BM306" s="35"/>
      <c r="BN306" s="35"/>
      <c r="BO306" s="35"/>
      <c r="BP306" s="35"/>
      <c r="BQ306" s="35"/>
      <c r="BR306" s="35"/>
      <c r="BS306" s="35"/>
      <c r="BT306" s="35"/>
      <c r="BU306" s="35"/>
      <c r="BV306" s="35"/>
      <c r="BW306" s="35"/>
      <c r="BX306" s="35"/>
      <c r="BY306" s="35"/>
      <c r="BZ306" s="35"/>
      <c r="CA306" s="35"/>
      <c r="CB306" s="35"/>
      <c r="CC306" s="35"/>
      <c r="CD306" s="35"/>
      <c r="CE306" s="35"/>
      <c r="CF306" s="35"/>
      <c r="CG306" s="35"/>
      <c r="CH306" s="35"/>
      <c r="CI306" s="35"/>
      <c r="CJ306" s="35"/>
      <c r="CK306" s="35"/>
      <c r="CL306" s="35"/>
      <c r="CM306" s="35"/>
      <c r="CN306" s="35"/>
      <c r="CO306" s="35"/>
      <c r="CP306" s="35"/>
      <c r="CQ306" s="35"/>
      <c r="CR306" s="35"/>
      <c r="CS306" s="35"/>
      <c r="CT306" s="35"/>
      <c r="CU306" s="35"/>
      <c r="CV306" s="35"/>
      <c r="CW306" s="35"/>
      <c r="CX306" s="35"/>
      <c r="CY306" s="35"/>
      <c r="CZ306" s="35"/>
      <c r="DA306" s="35"/>
      <c r="DB306" s="35"/>
      <c r="DC306" s="35"/>
      <c r="DD306" s="35"/>
      <c r="DE306" s="35"/>
      <c r="DF306" s="35"/>
      <c r="DG306" s="35"/>
      <c r="DH306" s="35"/>
      <c r="DI306" s="35"/>
      <c r="DJ306" s="35"/>
      <c r="DK306" s="35"/>
      <c r="DL306" s="35"/>
      <c r="DM306" s="35"/>
      <c r="DN306" s="35"/>
      <c r="DO306" s="35">
        <v>1</v>
      </c>
      <c r="DP306" s="35"/>
      <c r="DQ306" s="35"/>
      <c r="DR306" s="35"/>
      <c r="DS306" s="35"/>
      <c r="DT306" s="35"/>
      <c r="DU306" s="35"/>
      <c r="DV306" s="35"/>
      <c r="DW306" s="35"/>
      <c r="DX306" s="35"/>
      <c r="DY306" s="35"/>
      <c r="DZ306" s="35"/>
      <c r="EA306" s="35"/>
      <c r="EB306" s="35"/>
      <c r="EC306" s="35"/>
      <c r="ED306" s="35"/>
      <c r="EE306" s="35"/>
      <c r="EF306" s="35"/>
      <c r="EG306" s="35"/>
      <c r="EH306" s="35"/>
      <c r="EI306" s="35"/>
      <c r="EJ306" s="35">
        <v>-1.169</v>
      </c>
      <c r="EK306" s="35"/>
      <c r="EL306" s="35"/>
      <c r="EM306" s="35"/>
      <c r="EN306" s="35"/>
      <c r="EO306" s="35"/>
      <c r="EP306" s="35"/>
      <c r="EQ306" s="35"/>
      <c r="ER306" s="35"/>
      <c r="ES306" s="35"/>
      <c r="ET306" s="35"/>
      <c r="EU306" s="35"/>
      <c r="EV306" s="35"/>
      <c r="EW306" s="35"/>
      <c r="EX306" s="35"/>
      <c r="EY306" s="35"/>
      <c r="EZ306" s="35"/>
      <c r="FA306" s="35"/>
      <c r="FB306" s="35"/>
      <c r="FC306" s="35"/>
      <c r="FD306" s="35"/>
      <c r="FE306" s="35"/>
      <c r="FF306" s="35"/>
      <c r="FG306" s="35"/>
      <c r="FH306" s="35"/>
      <c r="FI306" s="35"/>
      <c r="FJ306" s="35"/>
      <c r="FK306" s="35"/>
      <c r="FL306" s="35"/>
      <c r="FM306" s="35"/>
      <c r="FN306" s="35"/>
      <c r="FO306" s="35"/>
      <c r="FP306" s="35"/>
      <c r="FQ306" s="35"/>
      <c r="FR306" s="35"/>
      <c r="FS306" s="35"/>
      <c r="FT306" s="35"/>
      <c r="FU306" s="35"/>
      <c r="FV306" s="35"/>
      <c r="FW306" s="35"/>
      <c r="FX306" s="35"/>
      <c r="FY306" s="35"/>
      <c r="FZ306" s="35"/>
      <c r="GA306" s="35"/>
      <c r="GB306" s="318"/>
      <c r="GC306" s="178">
        <f t="shared" si="60"/>
        <v>5.2900000000000003E-2</v>
      </c>
      <c r="GD306" s="178">
        <f t="shared" si="61"/>
        <v>1.32E-2</v>
      </c>
      <c r="GE306" s="178">
        <f t="shared" si="62"/>
        <v>0</v>
      </c>
      <c r="GF306" s="178">
        <f t="shared" si="63"/>
        <v>0</v>
      </c>
      <c r="GG306" s="178">
        <f t="shared" si="51"/>
        <v>0</v>
      </c>
    </row>
    <row r="307" spans="1:189" x14ac:dyDescent="0.35">
      <c r="A307" s="6" t="s">
        <v>1412</v>
      </c>
      <c r="B307" s="6" t="str">
        <f>IF(Technologies!B307&lt;&gt;0,Technologies!B307,"")</f>
        <v>Industrie</v>
      </c>
      <c r="C307" s="6" t="str">
        <f>VLOOKUP($A307,Technologies!$A$7:$H$576,3,FALSE)</f>
        <v>Conversion</v>
      </c>
      <c r="D307" s="6" t="str">
        <f>VLOOKUP($A307,Technologies!$A$7:$H$576,4,FALSE)</f>
        <v>Industry</v>
      </c>
      <c r="E307" s="6" t="str">
        <f>VLOOKUP($A307,Technologies!$A$7:$H$576,6,FALSE)</f>
        <v>Heat HT Industry</v>
      </c>
      <c r="F307" s="48" t="str">
        <f>VLOOKUP($A307,Technologies!$A$7:$H$576,7,FALSE)</f>
        <v>Hybrid Boiler Gas - HT Heat for Industry</v>
      </c>
      <c r="G307" s="22"/>
      <c r="H307" s="22"/>
      <c r="I307" s="103" cm="1">
        <f t="array" ref="I307">-SUMPRODUCT((Feedstocks!$C$4:$C$141=A307)*Feedstocks!$E$4:$E$141,Feedstocks!$F$4:$F$141,Feedstocks!$H$4:$H$141,Feedstocks!$I$4:$I$141)</f>
        <v>0</v>
      </c>
      <c r="J307" s="103" cm="1">
        <f t="array" ref="J307">-SUMPRODUCT((Feedstocks!$C$4:$C$141=A307)*Feedstocks!$E$4:$E$141,Feedstocks!$H$4:$H$141,Feedstocks!$I$4:$I$141)</f>
        <v>0</v>
      </c>
      <c r="K307" s="103"/>
      <c r="L307" s="103"/>
      <c r="M307" s="22">
        <v>1</v>
      </c>
      <c r="N307" s="22" t="str">
        <f>VLOOKUP(E307,Activities!$A$9:$M$227,13,FALSE)</f>
        <v>NL</v>
      </c>
      <c r="O307" s="22"/>
      <c r="P307" s="80" t="s">
        <v>415</v>
      </c>
      <c r="Q307" s="36"/>
      <c r="R307" s="36"/>
      <c r="S307" s="36"/>
      <c r="T307" s="36"/>
      <c r="U307" s="36"/>
      <c r="V307" s="36"/>
      <c r="W307" s="36"/>
      <c r="X307" s="36"/>
      <c r="Y307" s="36"/>
      <c r="Z307" s="36"/>
      <c r="AA307" s="36"/>
      <c r="AB307" s="36"/>
      <c r="AC307" s="36"/>
      <c r="AD307" s="36"/>
      <c r="AE307" s="36"/>
      <c r="AF307" s="35"/>
      <c r="AG307" s="35"/>
      <c r="AH307" s="35"/>
      <c r="AI307" s="35"/>
      <c r="AJ307" s="35"/>
      <c r="AK307" s="35"/>
      <c r="AL307" s="35"/>
      <c r="AM307" s="35"/>
      <c r="AN307" s="35"/>
      <c r="AO307" s="35"/>
      <c r="AP307" s="36"/>
      <c r="AQ307" s="36"/>
      <c r="AR307" s="36"/>
      <c r="AS307" s="36"/>
      <c r="AT307" s="36"/>
      <c r="AU307" s="36"/>
      <c r="AV307" s="36"/>
      <c r="AW307" s="36"/>
      <c r="AX307" s="36"/>
      <c r="AY307" s="36"/>
      <c r="AZ307" s="36"/>
      <c r="BA307" s="36"/>
      <c r="BB307" s="36"/>
      <c r="BC307" s="36"/>
      <c r="BD307" s="36"/>
      <c r="BE307" s="36"/>
      <c r="BF307" s="36"/>
      <c r="BG307" s="36"/>
      <c r="BH307" s="36"/>
      <c r="BI307" s="36"/>
      <c r="BJ307" s="36"/>
      <c r="BK307" s="36"/>
      <c r="BL307" s="36"/>
      <c r="BM307" s="36"/>
      <c r="BN307" s="36"/>
      <c r="BO307" s="36"/>
      <c r="BP307" s="36"/>
      <c r="BQ307" s="36"/>
      <c r="BR307" s="36"/>
      <c r="BS307" s="36"/>
      <c r="BT307" s="36"/>
      <c r="BU307" s="36"/>
      <c r="BV307" s="36"/>
      <c r="BW307" s="36"/>
      <c r="BX307" s="36"/>
      <c r="BY307" s="36"/>
      <c r="BZ307" s="36"/>
      <c r="CA307" s="36"/>
      <c r="CB307" s="36"/>
      <c r="CC307" s="36"/>
      <c r="CD307" s="36"/>
      <c r="CE307" s="36"/>
      <c r="CF307" s="36"/>
      <c r="CG307" s="36"/>
      <c r="CH307" s="36"/>
      <c r="CI307" s="36"/>
      <c r="CJ307" s="36"/>
      <c r="CK307" s="36"/>
      <c r="CL307" s="36"/>
      <c r="CM307" s="36"/>
      <c r="CN307" s="36"/>
      <c r="CO307" s="36"/>
      <c r="CP307" s="36"/>
      <c r="CQ307" s="36"/>
      <c r="CR307" s="36"/>
      <c r="CS307" s="36"/>
      <c r="CT307" s="36"/>
      <c r="CU307" s="36"/>
      <c r="CV307" s="36"/>
      <c r="CW307" s="36"/>
      <c r="CX307" s="36"/>
      <c r="CY307" s="36"/>
      <c r="CZ307" s="36"/>
      <c r="DA307" s="36"/>
      <c r="DB307" s="36"/>
      <c r="DC307" s="36"/>
      <c r="DD307" s="36"/>
      <c r="DE307" s="36"/>
      <c r="DF307" s="36"/>
      <c r="DG307" s="36"/>
      <c r="DH307" s="36">
        <v>-0.54</v>
      </c>
      <c r="DI307" s="36"/>
      <c r="DJ307" s="36"/>
      <c r="DK307" s="36"/>
      <c r="DL307" s="36"/>
      <c r="DM307" s="36"/>
      <c r="DN307" s="36"/>
      <c r="DO307" s="36">
        <v>1</v>
      </c>
      <c r="DP307" s="36"/>
      <c r="DQ307" s="36"/>
      <c r="DR307" s="36"/>
      <c r="DS307" s="36"/>
      <c r="DT307" s="36"/>
      <c r="DU307" s="36"/>
      <c r="DV307" s="36"/>
      <c r="DW307" s="36"/>
      <c r="DX307" s="36"/>
      <c r="DY307" s="36"/>
      <c r="DZ307" s="36"/>
      <c r="EA307" s="36"/>
      <c r="EB307" s="36"/>
      <c r="EC307" s="36"/>
      <c r="ED307" s="36"/>
      <c r="EE307" s="36"/>
      <c r="EF307" s="36"/>
      <c r="EG307" s="36"/>
      <c r="EH307" s="36"/>
      <c r="EI307" s="36"/>
      <c r="EJ307" s="36">
        <v>-0.54300000000000004</v>
      </c>
      <c r="EK307" s="36"/>
      <c r="EL307" s="36"/>
      <c r="EM307" s="36"/>
      <c r="EN307" s="36"/>
      <c r="EO307" s="36"/>
      <c r="EP307" s="36"/>
      <c r="EQ307" s="36"/>
      <c r="ER307" s="36"/>
      <c r="ES307" s="36"/>
      <c r="ET307" s="36"/>
      <c r="EU307" s="36"/>
      <c r="EV307" s="36"/>
      <c r="EW307" s="36"/>
      <c r="EX307" s="36"/>
      <c r="EY307" s="36"/>
      <c r="EZ307" s="36"/>
      <c r="FA307" s="36"/>
      <c r="FB307" s="36"/>
      <c r="FC307" s="36"/>
      <c r="FD307" s="36"/>
      <c r="FE307" s="36"/>
      <c r="FF307" s="36"/>
      <c r="FG307" s="36"/>
      <c r="FH307" s="36"/>
      <c r="FI307" s="36"/>
      <c r="FJ307" s="36"/>
      <c r="FK307" s="36"/>
      <c r="FL307" s="36"/>
      <c r="FM307" s="36"/>
      <c r="FN307" s="36"/>
      <c r="FO307" s="36"/>
      <c r="FP307" s="36"/>
      <c r="FQ307" s="36"/>
      <c r="FR307" s="36"/>
      <c r="FS307" s="36"/>
      <c r="FT307" s="36"/>
      <c r="FU307" s="36"/>
      <c r="FV307" s="36"/>
      <c r="FW307" s="36"/>
      <c r="FX307" s="36"/>
      <c r="FY307" s="36"/>
      <c r="FZ307" s="36"/>
      <c r="GA307" s="36"/>
      <c r="GB307" s="319"/>
      <c r="GC307" s="179">
        <f t="shared" si="60"/>
        <v>0</v>
      </c>
      <c r="GD307" s="179">
        <f t="shared" si="61"/>
        <v>3.0700000000000002E-2</v>
      </c>
      <c r="GE307" s="179">
        <f t="shared" si="62"/>
        <v>0</v>
      </c>
      <c r="GF307" s="179">
        <f t="shared" si="63"/>
        <v>0</v>
      </c>
      <c r="GG307" s="179">
        <f t="shared" si="51"/>
        <v>0</v>
      </c>
    </row>
    <row r="308" spans="1:189" x14ac:dyDescent="0.35">
      <c r="A308" s="5" t="s">
        <v>1414</v>
      </c>
      <c r="B308" s="5" t="str">
        <f>IF(Technologies!B308&lt;&gt;0,Technologies!B308,"")</f>
        <v>Industrie</v>
      </c>
      <c r="C308" s="5" t="str">
        <f>VLOOKUP($A308,Technologies!$A$7:$H$576,3,FALSE)</f>
        <v>Conversion</v>
      </c>
      <c r="D308" s="5" t="str">
        <f>VLOOKUP($A308,Technologies!$A$7:$H$576,4,FALSE)</f>
        <v>Industry</v>
      </c>
      <c r="E308" s="5" t="str">
        <f>VLOOKUP($A308,Technologies!$A$7:$H$576,6,FALSE)</f>
        <v>Heat HT Industry</v>
      </c>
      <c r="F308" s="5" t="str">
        <f>VLOOKUP($A308,Technologies!$A$7:$H$576,7,FALSE)</f>
        <v>Hybrid Boiler Gas wCCS - HT Heat for Industry</v>
      </c>
      <c r="G308" s="23">
        <v>0.8</v>
      </c>
      <c r="H308" s="23"/>
      <c r="I308" s="104" cm="1">
        <f t="array" ref="I308">-SUMPRODUCT((Feedstocks!$C$4:$C$141=A308)*Feedstocks!$E$4:$E$141,Feedstocks!$F$4:$F$141,Feedstocks!$H$4:$H$141,Feedstocks!$I$4:$I$141)</f>
        <v>0</v>
      </c>
      <c r="J308" s="104" cm="1">
        <f t="array" ref="J308">-SUMPRODUCT((Feedstocks!$C$4:$C$141=A308)*Feedstocks!$E$4:$E$141,Feedstocks!$H$4:$H$141,Feedstocks!$I$4:$I$141)</f>
        <v>0</v>
      </c>
      <c r="K308" s="104"/>
      <c r="L308" s="104"/>
      <c r="M308" s="23">
        <v>1</v>
      </c>
      <c r="N308" s="23" t="str">
        <f>VLOOKUP(E308,Activities!$A$9:$M$227,13,FALSE)</f>
        <v>NL</v>
      </c>
      <c r="O308" s="23"/>
      <c r="P308" s="79" t="s">
        <v>415</v>
      </c>
      <c r="Q308" s="35"/>
      <c r="R308" s="35"/>
      <c r="S308" s="35"/>
      <c r="T308" s="35"/>
      <c r="U308" s="35"/>
      <c r="V308" s="35"/>
      <c r="W308" s="35"/>
      <c r="X308" s="35"/>
      <c r="Y308" s="35"/>
      <c r="Z308" s="35"/>
      <c r="AA308" s="35"/>
      <c r="AB308" s="35"/>
      <c r="AC308" s="35"/>
      <c r="AD308" s="35"/>
      <c r="AE308" s="35"/>
      <c r="AF308" s="36"/>
      <c r="AG308" s="36"/>
      <c r="AH308" s="36"/>
      <c r="AI308" s="36"/>
      <c r="AJ308" s="36"/>
      <c r="AK308" s="36"/>
      <c r="AL308" s="36"/>
      <c r="AM308" s="36"/>
      <c r="AN308" s="36"/>
      <c r="AO308" s="36"/>
      <c r="AP308" s="35"/>
      <c r="AQ308" s="35"/>
      <c r="AR308" s="35"/>
      <c r="AS308" s="35"/>
      <c r="AT308" s="35"/>
      <c r="AU308" s="35"/>
      <c r="AV308" s="35"/>
      <c r="AW308" s="35"/>
      <c r="AX308" s="35"/>
      <c r="AY308" s="35"/>
      <c r="AZ308" s="35"/>
      <c r="BA308" s="35"/>
      <c r="BB308" s="35"/>
      <c r="BC308" s="35"/>
      <c r="BD308" s="35"/>
      <c r="BE308" s="35"/>
      <c r="BF308" s="35"/>
      <c r="BG308" s="35"/>
      <c r="BH308" s="35"/>
      <c r="BI308" s="35"/>
      <c r="BJ308" s="35"/>
      <c r="BK308" s="35"/>
      <c r="BL308" s="35"/>
      <c r="BM308" s="35"/>
      <c r="BN308" s="35"/>
      <c r="BO308" s="35"/>
      <c r="BP308" s="35"/>
      <c r="BQ308" s="35"/>
      <c r="BR308" s="35"/>
      <c r="BS308" s="35"/>
      <c r="BT308" s="35"/>
      <c r="BU308" s="35"/>
      <c r="BV308" s="35"/>
      <c r="BW308" s="35"/>
      <c r="BX308" s="35"/>
      <c r="BY308" s="35"/>
      <c r="BZ308" s="35"/>
      <c r="CA308" s="35"/>
      <c r="CB308" s="35"/>
      <c r="CC308" s="35"/>
      <c r="CD308" s="35"/>
      <c r="CE308" s="35"/>
      <c r="CF308" s="35"/>
      <c r="CG308" s="35"/>
      <c r="CH308" s="35"/>
      <c r="CI308" s="35"/>
      <c r="CJ308" s="35"/>
      <c r="CK308" s="35"/>
      <c r="CL308" s="35"/>
      <c r="CM308" s="35"/>
      <c r="CN308" s="35"/>
      <c r="CO308" s="35"/>
      <c r="CP308" s="35"/>
      <c r="CQ308" s="35"/>
      <c r="CR308" s="35"/>
      <c r="CS308" s="35"/>
      <c r="CT308" s="35"/>
      <c r="CU308" s="35"/>
      <c r="CV308" s="35"/>
      <c r="CW308" s="35"/>
      <c r="CX308" s="35"/>
      <c r="CY308" s="35"/>
      <c r="CZ308" s="35"/>
      <c r="DA308" s="35"/>
      <c r="DB308" s="35"/>
      <c r="DC308" s="35"/>
      <c r="DD308" s="35"/>
      <c r="DE308" s="35"/>
      <c r="DF308" s="35"/>
      <c r="DG308" s="35"/>
      <c r="DH308" s="35">
        <v>-0.57999999999999996</v>
      </c>
      <c r="DI308" s="35"/>
      <c r="DJ308" s="35"/>
      <c r="DK308" s="35"/>
      <c r="DL308" s="35"/>
      <c r="DM308" s="35"/>
      <c r="DN308" s="35"/>
      <c r="DO308" s="35">
        <v>1</v>
      </c>
      <c r="DP308" s="35"/>
      <c r="DQ308" s="35"/>
      <c r="DR308" s="35"/>
      <c r="DS308" s="35"/>
      <c r="DT308" s="35"/>
      <c r="DU308" s="35"/>
      <c r="DV308" s="35"/>
      <c r="DW308" s="35"/>
      <c r="DX308" s="35"/>
      <c r="DY308" s="35"/>
      <c r="DZ308" s="35"/>
      <c r="EA308" s="35"/>
      <c r="EB308" s="35"/>
      <c r="EC308" s="35"/>
      <c r="ED308" s="35"/>
      <c r="EE308" s="35"/>
      <c r="EF308" s="35"/>
      <c r="EG308" s="35"/>
      <c r="EH308" s="35"/>
      <c r="EI308" s="35"/>
      <c r="EJ308" s="35">
        <v>-0.58399999999999996</v>
      </c>
      <c r="EK308" s="35"/>
      <c r="EL308" s="35"/>
      <c r="EM308" s="35"/>
      <c r="EN308" s="35"/>
      <c r="EO308" s="35"/>
      <c r="EP308" s="35"/>
      <c r="EQ308" s="35"/>
      <c r="ER308" s="35"/>
      <c r="ES308" s="35"/>
      <c r="ET308" s="35"/>
      <c r="EU308" s="35"/>
      <c r="EV308" s="35"/>
      <c r="EW308" s="35"/>
      <c r="EX308" s="35"/>
      <c r="EY308" s="35"/>
      <c r="EZ308" s="35"/>
      <c r="FA308" s="35"/>
      <c r="FB308" s="35"/>
      <c r="FC308" s="35"/>
      <c r="FD308" s="35"/>
      <c r="FE308" s="35"/>
      <c r="FF308" s="35"/>
      <c r="FG308" s="35"/>
      <c r="FH308" s="35"/>
      <c r="FI308" s="35"/>
      <c r="FJ308" s="35"/>
      <c r="FK308" s="35"/>
      <c r="FL308" s="35"/>
      <c r="FM308" s="35"/>
      <c r="FN308" s="35"/>
      <c r="FO308" s="35"/>
      <c r="FP308" s="35"/>
      <c r="FQ308" s="35"/>
      <c r="FR308" s="35"/>
      <c r="FS308" s="35"/>
      <c r="FT308" s="35"/>
      <c r="FU308" s="35"/>
      <c r="FV308" s="35"/>
      <c r="FW308" s="35"/>
      <c r="FX308" s="35"/>
      <c r="FY308" s="35"/>
      <c r="FZ308" s="35"/>
      <c r="GA308" s="35"/>
      <c r="GB308" s="318"/>
      <c r="GC308" s="178">
        <f t="shared" si="60"/>
        <v>2.64E-2</v>
      </c>
      <c r="GD308" s="178">
        <f t="shared" si="61"/>
        <v>6.6E-3</v>
      </c>
      <c r="GE308" s="178">
        <f t="shared" si="62"/>
        <v>0</v>
      </c>
      <c r="GF308" s="178">
        <f t="shared" si="63"/>
        <v>0</v>
      </c>
      <c r="GG308" s="178">
        <f t="shared" si="51"/>
        <v>0</v>
      </c>
    </row>
    <row r="309" spans="1:189" x14ac:dyDescent="0.35">
      <c r="A309" s="6" t="s">
        <v>1416</v>
      </c>
      <c r="B309" s="6" t="str">
        <f>IF(Technologies!B309&lt;&gt;0,Technologies!B309,"")</f>
        <v>Industrie</v>
      </c>
      <c r="C309" s="6" t="str">
        <f>VLOOKUP($A309,Technologies!$A$7:$H$576,3,FALSE)</f>
        <v>Conversion</v>
      </c>
      <c r="D309" s="6" t="str">
        <f>VLOOKUP($A309,Technologies!$A$7:$H$576,4,FALSE)</f>
        <v>Industry</v>
      </c>
      <c r="E309" s="6" t="str">
        <f>VLOOKUP($A309,Technologies!$A$7:$H$576,6,FALSE)</f>
        <v>Heat HT Industry</v>
      </c>
      <c r="F309" s="48" t="str">
        <f>VLOOKUP($A309,Technologies!$A$7:$H$576,7,FALSE)</f>
        <v>Boiler Coal - HT Heat for Industry</v>
      </c>
      <c r="G309" s="22"/>
      <c r="H309" s="22"/>
      <c r="I309" s="103" cm="1">
        <f t="array" ref="I309">-SUMPRODUCT((Feedstocks!$C$4:$C$141=A309)*Feedstocks!$E$4:$E$141,Feedstocks!$F$4:$F$141,Feedstocks!$H$4:$H$141,Feedstocks!$I$4:$I$141)</f>
        <v>0</v>
      </c>
      <c r="J309" s="103" cm="1">
        <f t="array" ref="J309">-SUMPRODUCT((Feedstocks!$C$4:$C$141=A309)*Feedstocks!$E$4:$E$141,Feedstocks!$H$4:$H$141,Feedstocks!$I$4:$I$141)</f>
        <v>0</v>
      </c>
      <c r="K309" s="103"/>
      <c r="L309" s="103"/>
      <c r="M309" s="22">
        <v>1</v>
      </c>
      <c r="N309" s="22" t="str">
        <f>VLOOKUP(E309,Activities!$A$9:$M$227,13,FALSE)</f>
        <v>NL</v>
      </c>
      <c r="O309" s="22"/>
      <c r="P309" s="80" t="s">
        <v>415</v>
      </c>
      <c r="Q309" s="36"/>
      <c r="R309" s="36"/>
      <c r="S309" s="36"/>
      <c r="T309" s="36"/>
      <c r="U309" s="36"/>
      <c r="V309" s="36"/>
      <c r="W309" s="36"/>
      <c r="X309" s="36"/>
      <c r="Y309" s="36"/>
      <c r="Z309" s="36"/>
      <c r="AA309" s="36"/>
      <c r="AB309" s="36"/>
      <c r="AC309" s="36"/>
      <c r="AD309" s="36"/>
      <c r="AE309" s="36"/>
      <c r="AF309" s="35"/>
      <c r="AG309" s="35"/>
      <c r="AH309" s="35"/>
      <c r="AI309" s="35"/>
      <c r="AJ309" s="35"/>
      <c r="AK309" s="35"/>
      <c r="AL309" s="35"/>
      <c r="AM309" s="35"/>
      <c r="AN309" s="35"/>
      <c r="AO309" s="35"/>
      <c r="AP309" s="36"/>
      <c r="AQ309" s="36"/>
      <c r="AR309" s="36"/>
      <c r="AS309" s="36"/>
      <c r="AT309" s="36"/>
      <c r="AU309" s="36"/>
      <c r="AV309" s="36"/>
      <c r="AW309" s="36"/>
      <c r="AX309" s="36"/>
      <c r="AY309" s="36"/>
      <c r="AZ309" s="36"/>
      <c r="BA309" s="36"/>
      <c r="BB309" s="36"/>
      <c r="BC309" s="36"/>
      <c r="BD309" s="36"/>
      <c r="BE309" s="36"/>
      <c r="BF309" s="36"/>
      <c r="BG309" s="36"/>
      <c r="BH309" s="36"/>
      <c r="BI309" s="36"/>
      <c r="BJ309" s="36"/>
      <c r="BK309" s="36"/>
      <c r="BL309" s="36"/>
      <c r="BM309" s="36"/>
      <c r="BN309" s="36"/>
      <c r="BO309" s="36"/>
      <c r="BP309" s="36"/>
      <c r="BQ309" s="36"/>
      <c r="BR309" s="36"/>
      <c r="BS309" s="36"/>
      <c r="BT309" s="36"/>
      <c r="BU309" s="36"/>
      <c r="BV309" s="36"/>
      <c r="BW309" s="36"/>
      <c r="BX309" s="36"/>
      <c r="BY309" s="36"/>
      <c r="BZ309" s="36"/>
      <c r="CA309" s="36"/>
      <c r="CB309" s="36"/>
      <c r="CC309" s="36"/>
      <c r="CD309" s="36"/>
      <c r="CE309" s="36"/>
      <c r="CF309" s="36"/>
      <c r="CG309" s="36"/>
      <c r="CH309" s="36"/>
      <c r="CI309" s="36"/>
      <c r="CJ309" s="36"/>
      <c r="CK309" s="36"/>
      <c r="CL309" s="36"/>
      <c r="CM309" s="36"/>
      <c r="CN309" s="36"/>
      <c r="CO309" s="36"/>
      <c r="CP309" s="36"/>
      <c r="CQ309" s="36"/>
      <c r="CR309" s="36"/>
      <c r="CS309" s="36"/>
      <c r="CT309" s="36"/>
      <c r="CU309" s="36"/>
      <c r="CV309" s="36"/>
      <c r="CW309" s="36"/>
      <c r="CX309" s="36"/>
      <c r="CY309" s="36"/>
      <c r="CZ309" s="36"/>
      <c r="DA309" s="36"/>
      <c r="DB309" s="36"/>
      <c r="DC309" s="36"/>
      <c r="DD309" s="36"/>
      <c r="DE309" s="36"/>
      <c r="DF309" s="36"/>
      <c r="DG309" s="36"/>
      <c r="DH309" s="36"/>
      <c r="DI309" s="36"/>
      <c r="DJ309" s="36"/>
      <c r="DK309" s="36"/>
      <c r="DL309" s="36"/>
      <c r="DM309" s="36"/>
      <c r="DN309" s="36"/>
      <c r="DO309" s="36">
        <v>1</v>
      </c>
      <c r="DP309" s="36"/>
      <c r="DQ309" s="36"/>
      <c r="DR309" s="36"/>
      <c r="DS309" s="36"/>
      <c r="DT309" s="36"/>
      <c r="DU309" s="36"/>
      <c r="DV309" s="36"/>
      <c r="DW309" s="36"/>
      <c r="DX309" s="36"/>
      <c r="DY309" s="36"/>
      <c r="DZ309" s="36"/>
      <c r="EA309" s="36"/>
      <c r="EB309" s="36"/>
      <c r="EC309" s="36"/>
      <c r="ED309" s="36"/>
      <c r="EE309" s="36"/>
      <c r="EF309" s="36"/>
      <c r="EG309" s="36"/>
      <c r="EH309" s="36"/>
      <c r="EI309" s="36"/>
      <c r="EJ309" s="36"/>
      <c r="EK309" s="36"/>
      <c r="EL309" s="36"/>
      <c r="EM309" s="36"/>
      <c r="EN309" s="36"/>
      <c r="EO309" s="36"/>
      <c r="EP309" s="36"/>
      <c r="EQ309" s="36"/>
      <c r="ER309" s="36"/>
      <c r="ES309" s="36">
        <v>-1.2350000000000001</v>
      </c>
      <c r="ET309" s="36"/>
      <c r="EU309" s="36"/>
      <c r="EV309" s="36"/>
      <c r="EW309" s="36"/>
      <c r="EX309" s="36"/>
      <c r="EY309" s="36"/>
      <c r="EZ309" s="36"/>
      <c r="FA309" s="36"/>
      <c r="FB309" s="36"/>
      <c r="FC309" s="36"/>
      <c r="FD309" s="36"/>
      <c r="FE309" s="36"/>
      <c r="FF309" s="36"/>
      <c r="FG309" s="36"/>
      <c r="FH309" s="36"/>
      <c r="FI309" s="36"/>
      <c r="FJ309" s="36"/>
      <c r="FK309" s="36"/>
      <c r="FL309" s="36"/>
      <c r="FM309" s="36"/>
      <c r="FN309" s="36"/>
      <c r="FO309" s="36"/>
      <c r="FP309" s="36"/>
      <c r="FQ309" s="36"/>
      <c r="FR309" s="36"/>
      <c r="FS309" s="36"/>
      <c r="FT309" s="36"/>
      <c r="FU309" s="36"/>
      <c r="FV309" s="36"/>
      <c r="FW309" s="36"/>
      <c r="FX309" s="36"/>
      <c r="FY309" s="36"/>
      <c r="FZ309" s="36"/>
      <c r="GA309" s="36"/>
      <c r="GB309" s="319"/>
      <c r="GC309" s="179">
        <f t="shared" si="60"/>
        <v>0</v>
      </c>
      <c r="GD309" s="179">
        <f t="shared" si="61"/>
        <v>0.12139999999999999</v>
      </c>
      <c r="GE309" s="179">
        <f t="shared" si="62"/>
        <v>0</v>
      </c>
      <c r="GF309" s="179">
        <f t="shared" si="63"/>
        <v>0</v>
      </c>
      <c r="GG309" s="179">
        <f t="shared" si="51"/>
        <v>0</v>
      </c>
    </row>
    <row r="310" spans="1:189" x14ac:dyDescent="0.35">
      <c r="A310" s="5" t="s">
        <v>1418</v>
      </c>
      <c r="B310" s="5" t="str">
        <f>IF(Technologies!B310&lt;&gt;0,Technologies!B310,"")</f>
        <v>Industrie</v>
      </c>
      <c r="C310" s="5" t="str">
        <f>VLOOKUP($A310,Technologies!$A$7:$H$576,3,FALSE)</f>
        <v>Conversion</v>
      </c>
      <c r="D310" s="5" t="str">
        <f>VLOOKUP($A310,Technologies!$A$7:$H$576,4,FALSE)</f>
        <v>Industry</v>
      </c>
      <c r="E310" s="5" t="str">
        <f>VLOOKUP($A310,Technologies!$A$7:$H$576,6,FALSE)</f>
        <v>Heat HT Industry</v>
      </c>
      <c r="F310" s="5" t="str">
        <f>VLOOKUP($A310,Technologies!$A$7:$H$576,7,FALSE)</f>
        <v>Boiler Coal wCCS - HT Heat for Industry</v>
      </c>
      <c r="G310" s="23">
        <v>0.8</v>
      </c>
      <c r="H310" s="23"/>
      <c r="I310" s="104" cm="1">
        <f t="array" ref="I310">-SUMPRODUCT((Feedstocks!$C$4:$C$141=A310)*Feedstocks!$E$4:$E$141,Feedstocks!$F$4:$F$141,Feedstocks!$H$4:$H$141,Feedstocks!$I$4:$I$141)</f>
        <v>0</v>
      </c>
      <c r="J310" s="104" cm="1">
        <f t="array" ref="J310">-SUMPRODUCT((Feedstocks!$C$4:$C$141=A310)*Feedstocks!$E$4:$E$141,Feedstocks!$H$4:$H$141,Feedstocks!$I$4:$I$141)</f>
        <v>0</v>
      </c>
      <c r="K310" s="104"/>
      <c r="L310" s="104"/>
      <c r="M310" s="23">
        <v>1</v>
      </c>
      <c r="N310" s="23" t="str">
        <f>VLOOKUP(E310,Activities!$A$9:$M$227,13,FALSE)</f>
        <v>NL</v>
      </c>
      <c r="O310" s="23"/>
      <c r="P310" s="79" t="s">
        <v>415</v>
      </c>
      <c r="Q310" s="35"/>
      <c r="R310" s="35"/>
      <c r="S310" s="35"/>
      <c r="T310" s="35"/>
      <c r="U310" s="35"/>
      <c r="V310" s="35"/>
      <c r="W310" s="35"/>
      <c r="X310" s="35"/>
      <c r="Y310" s="35"/>
      <c r="Z310" s="35"/>
      <c r="AA310" s="35"/>
      <c r="AB310" s="35"/>
      <c r="AC310" s="35"/>
      <c r="AD310" s="35"/>
      <c r="AE310" s="35"/>
      <c r="AF310" s="36"/>
      <c r="AG310" s="36"/>
      <c r="AH310" s="36"/>
      <c r="AI310" s="36"/>
      <c r="AJ310" s="36"/>
      <c r="AK310" s="36"/>
      <c r="AL310" s="36"/>
      <c r="AM310" s="36"/>
      <c r="AN310" s="36"/>
      <c r="AO310" s="36"/>
      <c r="AP310" s="35"/>
      <c r="AQ310" s="35"/>
      <c r="AR310" s="35"/>
      <c r="AS310" s="35"/>
      <c r="AT310" s="35"/>
      <c r="AU310" s="35"/>
      <c r="AV310" s="35"/>
      <c r="AW310" s="35"/>
      <c r="AX310" s="35"/>
      <c r="AY310" s="35"/>
      <c r="AZ310" s="35"/>
      <c r="BA310" s="35"/>
      <c r="BB310" s="35"/>
      <c r="BC310" s="35"/>
      <c r="BD310" s="35"/>
      <c r="BE310" s="35"/>
      <c r="BF310" s="35"/>
      <c r="BG310" s="35"/>
      <c r="BH310" s="35"/>
      <c r="BI310" s="35"/>
      <c r="BJ310" s="35"/>
      <c r="BK310" s="35"/>
      <c r="BL310" s="35"/>
      <c r="BM310" s="35"/>
      <c r="BN310" s="35"/>
      <c r="BO310" s="35"/>
      <c r="BP310" s="35"/>
      <c r="BQ310" s="35"/>
      <c r="BR310" s="35"/>
      <c r="BS310" s="35"/>
      <c r="BT310" s="35"/>
      <c r="BU310" s="35"/>
      <c r="BV310" s="35"/>
      <c r="BW310" s="35"/>
      <c r="BX310" s="35"/>
      <c r="BY310" s="35"/>
      <c r="BZ310" s="35"/>
      <c r="CA310" s="35"/>
      <c r="CB310" s="35"/>
      <c r="CC310" s="35"/>
      <c r="CD310" s="35"/>
      <c r="CE310" s="35"/>
      <c r="CF310" s="35"/>
      <c r="CG310" s="35"/>
      <c r="CH310" s="35"/>
      <c r="CI310" s="35"/>
      <c r="CJ310" s="35"/>
      <c r="CK310" s="35"/>
      <c r="CL310" s="35"/>
      <c r="CM310" s="35"/>
      <c r="CN310" s="35"/>
      <c r="CO310" s="35"/>
      <c r="CP310" s="35"/>
      <c r="CQ310" s="35"/>
      <c r="CR310" s="35"/>
      <c r="CS310" s="35"/>
      <c r="CT310" s="35"/>
      <c r="CU310" s="35"/>
      <c r="CV310" s="35"/>
      <c r="CW310" s="35"/>
      <c r="CX310" s="35"/>
      <c r="CY310" s="35"/>
      <c r="CZ310" s="35"/>
      <c r="DA310" s="35"/>
      <c r="DB310" s="35"/>
      <c r="DC310" s="35"/>
      <c r="DD310" s="35"/>
      <c r="DE310" s="35"/>
      <c r="DF310" s="35"/>
      <c r="DG310" s="35"/>
      <c r="DH310" s="35"/>
      <c r="DI310" s="35"/>
      <c r="DJ310" s="35"/>
      <c r="DK310" s="35"/>
      <c r="DL310" s="35"/>
      <c r="DM310" s="35"/>
      <c r="DN310" s="35"/>
      <c r="DO310" s="35">
        <v>1</v>
      </c>
      <c r="DP310" s="35"/>
      <c r="DQ310" s="35"/>
      <c r="DR310" s="35"/>
      <c r="DS310" s="35"/>
      <c r="DT310" s="35"/>
      <c r="DU310" s="35"/>
      <c r="DV310" s="35"/>
      <c r="DW310" s="35"/>
      <c r="DX310" s="35"/>
      <c r="DY310" s="35"/>
      <c r="DZ310" s="35"/>
      <c r="EA310" s="35"/>
      <c r="EB310" s="35"/>
      <c r="EC310" s="35"/>
      <c r="ED310" s="35"/>
      <c r="EE310" s="35"/>
      <c r="EF310" s="35"/>
      <c r="EG310" s="35"/>
      <c r="EH310" s="35"/>
      <c r="EI310" s="35"/>
      <c r="EJ310" s="35"/>
      <c r="EK310" s="35"/>
      <c r="EL310" s="35"/>
      <c r="EM310" s="35"/>
      <c r="EN310" s="35"/>
      <c r="EO310" s="35"/>
      <c r="EP310" s="35"/>
      <c r="EQ310" s="35"/>
      <c r="ER310" s="35"/>
      <c r="ES310" s="35">
        <v>-1.3280000000000001</v>
      </c>
      <c r="ET310" s="35"/>
      <c r="EU310" s="35"/>
      <c r="EV310" s="35"/>
      <c r="EW310" s="35"/>
      <c r="EX310" s="35"/>
      <c r="EY310" s="35"/>
      <c r="EZ310" s="35"/>
      <c r="FA310" s="35"/>
      <c r="FB310" s="35"/>
      <c r="FC310" s="35"/>
      <c r="FD310" s="35"/>
      <c r="FE310" s="35"/>
      <c r="FF310" s="35"/>
      <c r="FG310" s="35"/>
      <c r="FH310" s="35"/>
      <c r="FI310" s="35"/>
      <c r="FJ310" s="35"/>
      <c r="FK310" s="35"/>
      <c r="FL310" s="35"/>
      <c r="FM310" s="35"/>
      <c r="FN310" s="35"/>
      <c r="FO310" s="35"/>
      <c r="FP310" s="35"/>
      <c r="FQ310" s="35"/>
      <c r="FR310" s="35"/>
      <c r="FS310" s="35"/>
      <c r="FT310" s="35"/>
      <c r="FU310" s="35"/>
      <c r="FV310" s="35"/>
      <c r="FW310" s="35"/>
      <c r="FX310" s="35"/>
      <c r="FY310" s="35"/>
      <c r="FZ310" s="35"/>
      <c r="GA310" s="35"/>
      <c r="GB310" s="318"/>
      <c r="GC310" s="178">
        <f t="shared" si="60"/>
        <v>0.10440000000000001</v>
      </c>
      <c r="GD310" s="178">
        <f t="shared" si="61"/>
        <v>2.6100000000000002E-2</v>
      </c>
      <c r="GE310" s="178">
        <f t="shared" si="62"/>
        <v>0</v>
      </c>
      <c r="GF310" s="178">
        <f t="shared" si="63"/>
        <v>0</v>
      </c>
      <c r="GG310" s="178">
        <f t="shared" si="51"/>
        <v>0</v>
      </c>
    </row>
    <row r="311" spans="1:189" x14ac:dyDescent="0.35">
      <c r="A311" s="6" t="s">
        <v>1420</v>
      </c>
      <c r="B311" s="6" t="str">
        <f>IF(Technologies!B311&lt;&gt;0,Technologies!B311,"")</f>
        <v>Industrie</v>
      </c>
      <c r="C311" s="6" t="str">
        <f>VLOOKUP($A311,Technologies!$A$7:$H$576,3,FALSE)</f>
        <v>Conversion</v>
      </c>
      <c r="D311" s="6" t="str">
        <f>VLOOKUP($A311,Technologies!$A$7:$H$576,4,FALSE)</f>
        <v>Industry</v>
      </c>
      <c r="E311" s="6" t="str">
        <f>VLOOKUP($A311,Technologies!$A$7:$H$576,6,FALSE)</f>
        <v>Heat HT Industry</v>
      </c>
      <c r="F311" s="48" t="str">
        <f>VLOOKUP($A311,Technologies!$A$7:$H$576,7,FALSE)</f>
        <v>Boiler Biomass - HT Heat for Industry</v>
      </c>
      <c r="G311" s="22"/>
      <c r="H311" s="22"/>
      <c r="I311" s="103" cm="1">
        <f t="array" ref="I311">-SUMPRODUCT((Feedstocks!$C$4:$C$141=A311)*Feedstocks!$E$4:$E$141,Feedstocks!$F$4:$F$141,Feedstocks!$H$4:$H$141,Feedstocks!$I$4:$I$141)</f>
        <v>0</v>
      </c>
      <c r="J311" s="103" cm="1">
        <f t="array" ref="J311">-SUMPRODUCT((Feedstocks!$C$4:$C$141=A311)*Feedstocks!$E$4:$E$141,Feedstocks!$H$4:$H$141,Feedstocks!$I$4:$I$141)</f>
        <v>0</v>
      </c>
      <c r="K311" s="103"/>
      <c r="L311" s="103"/>
      <c r="M311" s="22">
        <v>1</v>
      </c>
      <c r="N311" s="22" t="str">
        <f>VLOOKUP(E311,Activities!$A$9:$M$227,13,FALSE)</f>
        <v>NL</v>
      </c>
      <c r="O311" s="22"/>
      <c r="P311" s="80" t="s">
        <v>415</v>
      </c>
      <c r="Q311" s="36"/>
      <c r="R311" s="36"/>
      <c r="S311" s="36"/>
      <c r="T311" s="36"/>
      <c r="U311" s="36"/>
      <c r="V311" s="36"/>
      <c r="W311" s="36"/>
      <c r="X311" s="36"/>
      <c r="Y311" s="36"/>
      <c r="Z311" s="36"/>
      <c r="AA311" s="36"/>
      <c r="AB311" s="36"/>
      <c r="AC311" s="36"/>
      <c r="AD311" s="36"/>
      <c r="AE311" s="36"/>
      <c r="AF311" s="35"/>
      <c r="AG311" s="35"/>
      <c r="AH311" s="35"/>
      <c r="AI311" s="35"/>
      <c r="AJ311" s="35"/>
      <c r="AK311" s="35"/>
      <c r="AL311" s="35"/>
      <c r="AM311" s="35"/>
      <c r="AN311" s="35"/>
      <c r="AO311" s="35"/>
      <c r="AP311" s="36"/>
      <c r="AQ311" s="36"/>
      <c r="AR311" s="36"/>
      <c r="AS311" s="36"/>
      <c r="AT311" s="36"/>
      <c r="AU311" s="36"/>
      <c r="AV311" s="36"/>
      <c r="AW311" s="36"/>
      <c r="AX311" s="36"/>
      <c r="AY311" s="36"/>
      <c r="AZ311" s="36"/>
      <c r="BA311" s="36"/>
      <c r="BB311" s="36"/>
      <c r="BC311" s="36"/>
      <c r="BD311" s="36"/>
      <c r="BE311" s="36"/>
      <c r="BF311" s="36"/>
      <c r="BG311" s="36"/>
      <c r="BH311" s="36"/>
      <c r="BI311" s="36"/>
      <c r="BJ311" s="36"/>
      <c r="BK311" s="36"/>
      <c r="BL311" s="36"/>
      <c r="BM311" s="36"/>
      <c r="BN311" s="36"/>
      <c r="BO311" s="36"/>
      <c r="BP311" s="36"/>
      <c r="BQ311" s="36"/>
      <c r="BR311" s="36"/>
      <c r="BS311" s="36"/>
      <c r="BT311" s="36"/>
      <c r="BU311" s="36"/>
      <c r="BV311" s="36"/>
      <c r="BW311" s="36"/>
      <c r="BX311" s="36"/>
      <c r="BY311" s="36"/>
      <c r="BZ311" s="36"/>
      <c r="CA311" s="36"/>
      <c r="CB311" s="36"/>
      <c r="CC311" s="36"/>
      <c r="CD311" s="36"/>
      <c r="CE311" s="36"/>
      <c r="CF311" s="36"/>
      <c r="CG311" s="36"/>
      <c r="CH311" s="36"/>
      <c r="CI311" s="36"/>
      <c r="CJ311" s="36"/>
      <c r="CK311" s="36"/>
      <c r="CL311" s="36"/>
      <c r="CM311" s="36"/>
      <c r="CN311" s="36"/>
      <c r="CO311" s="36"/>
      <c r="CP311" s="36"/>
      <c r="CQ311" s="36"/>
      <c r="CR311" s="36"/>
      <c r="CS311" s="36"/>
      <c r="CT311" s="36"/>
      <c r="CU311" s="36"/>
      <c r="CV311" s="36"/>
      <c r="CW311" s="36"/>
      <c r="CX311" s="36"/>
      <c r="CY311" s="36"/>
      <c r="CZ311" s="36"/>
      <c r="DA311" s="36"/>
      <c r="DB311" s="36"/>
      <c r="DC311" s="36"/>
      <c r="DD311" s="36"/>
      <c r="DE311" s="36"/>
      <c r="DF311" s="36"/>
      <c r="DG311" s="36"/>
      <c r="DH311" s="36"/>
      <c r="DI311" s="36"/>
      <c r="DJ311" s="36"/>
      <c r="DK311" s="36"/>
      <c r="DL311" s="36"/>
      <c r="DM311" s="36"/>
      <c r="DN311" s="36"/>
      <c r="DO311" s="36">
        <v>1</v>
      </c>
      <c r="DP311" s="36"/>
      <c r="DQ311" s="36"/>
      <c r="DR311" s="36"/>
      <c r="DS311" s="36"/>
      <c r="DT311" s="36"/>
      <c r="DU311" s="36"/>
      <c r="DV311" s="36"/>
      <c r="DW311" s="36"/>
      <c r="DX311" s="36"/>
      <c r="DY311" s="36"/>
      <c r="DZ311" s="36"/>
      <c r="EA311" s="36"/>
      <c r="EB311" s="36"/>
      <c r="EC311" s="36"/>
      <c r="ED311" s="36"/>
      <c r="EE311" s="36"/>
      <c r="EF311" s="36"/>
      <c r="EG311" s="36"/>
      <c r="EH311" s="36"/>
      <c r="EI311" s="36"/>
      <c r="EJ311" s="36"/>
      <c r="EK311" s="36"/>
      <c r="EL311" s="36"/>
      <c r="EM311" s="36"/>
      <c r="EN311" s="36"/>
      <c r="EO311" s="36"/>
      <c r="EP311" s="36"/>
      <c r="EQ311" s="36"/>
      <c r="ER311" s="36">
        <v>-1.25</v>
      </c>
      <c r="ES311" s="36"/>
      <c r="ET311" s="36"/>
      <c r="EU311" s="36"/>
      <c r="EV311" s="36"/>
      <c r="EW311" s="36"/>
      <c r="EX311" s="36"/>
      <c r="EY311" s="36"/>
      <c r="EZ311" s="36"/>
      <c r="FA311" s="36"/>
      <c r="FB311" s="36"/>
      <c r="FC311" s="36"/>
      <c r="FD311" s="36"/>
      <c r="FE311" s="36"/>
      <c r="FF311" s="36"/>
      <c r="FG311" s="36"/>
      <c r="FH311" s="36"/>
      <c r="FI311" s="36"/>
      <c r="FJ311" s="36"/>
      <c r="FK311" s="36"/>
      <c r="FL311" s="36"/>
      <c r="FM311" s="36"/>
      <c r="FN311" s="36"/>
      <c r="FO311" s="36"/>
      <c r="FP311" s="36"/>
      <c r="FQ311" s="36"/>
      <c r="FR311" s="36"/>
      <c r="FS311" s="36"/>
      <c r="FT311" s="36"/>
      <c r="FU311" s="36"/>
      <c r="FV311" s="36"/>
      <c r="FW311" s="36"/>
      <c r="FX311" s="36"/>
      <c r="FY311" s="36"/>
      <c r="FZ311" s="36"/>
      <c r="GA311" s="36"/>
      <c r="GB311" s="319"/>
      <c r="GC311" s="179">
        <f t="shared" si="60"/>
        <v>0</v>
      </c>
      <c r="GD311" s="179">
        <f t="shared" si="61"/>
        <v>0</v>
      </c>
      <c r="GE311" s="179">
        <f t="shared" si="62"/>
        <v>0</v>
      </c>
      <c r="GF311" s="179">
        <f t="shared" si="63"/>
        <v>0</v>
      </c>
      <c r="GG311" s="179">
        <f t="shared" si="51"/>
        <v>0</v>
      </c>
    </row>
    <row r="312" spans="1:189" ht="14.15" customHeight="1" x14ac:dyDescent="0.35">
      <c r="A312" s="5" t="s">
        <v>1422</v>
      </c>
      <c r="B312" s="5" t="str">
        <f>IF(Technologies!B312&lt;&gt;0,Technologies!B312,"")</f>
        <v>Industrie</v>
      </c>
      <c r="C312" s="5" t="str">
        <f>VLOOKUP($A312,Technologies!$A$7:$H$576,3,FALSE)</f>
        <v>Conversion</v>
      </c>
      <c r="D312" s="5" t="str">
        <f>VLOOKUP($A312,Technologies!$A$7:$H$576,4,FALSE)</f>
        <v>Industry</v>
      </c>
      <c r="E312" s="5" t="str">
        <f>VLOOKUP($A312,Technologies!$A$7:$H$576,6,FALSE)</f>
        <v>Heat HT Industry</v>
      </c>
      <c r="F312" s="5" t="str">
        <f>VLOOKUP($A312,Technologies!$A$7:$H$576,7,FALSE)</f>
        <v>Boiler Biomass wCCS - HT Heat for Industry</v>
      </c>
      <c r="G312" s="23">
        <v>0.8</v>
      </c>
      <c r="H312" s="23"/>
      <c r="I312" s="104" cm="1">
        <f t="array" ref="I312">-SUMPRODUCT((Feedstocks!$C$4:$C$141=A312)*Feedstocks!$E$4:$E$141,Feedstocks!$F$4:$F$141,Feedstocks!$H$4:$H$141,Feedstocks!$I$4:$I$141)</f>
        <v>0</v>
      </c>
      <c r="J312" s="104" cm="1">
        <f t="array" ref="J312">-SUMPRODUCT((Feedstocks!$C$4:$C$141=A312)*Feedstocks!$E$4:$E$141,Feedstocks!$H$4:$H$141,Feedstocks!$I$4:$I$141)</f>
        <v>0</v>
      </c>
      <c r="K312" s="104"/>
      <c r="L312" s="104"/>
      <c r="M312" s="23">
        <v>1</v>
      </c>
      <c r="N312" s="23" t="str">
        <f>VLOOKUP(E312,Activities!$A$9:$M$227,13,FALSE)</f>
        <v>NL</v>
      </c>
      <c r="O312" s="23"/>
      <c r="P312" s="79" t="s">
        <v>415</v>
      </c>
      <c r="Q312" s="35"/>
      <c r="R312" s="35"/>
      <c r="S312" s="35"/>
      <c r="T312" s="35"/>
      <c r="U312" s="35"/>
      <c r="V312" s="35"/>
      <c r="W312" s="35"/>
      <c r="X312" s="35"/>
      <c r="Y312" s="35"/>
      <c r="Z312" s="35"/>
      <c r="AA312" s="35"/>
      <c r="AB312" s="35"/>
      <c r="AC312" s="35"/>
      <c r="AD312" s="35"/>
      <c r="AE312" s="35"/>
      <c r="AF312" s="36"/>
      <c r="AG312" s="36"/>
      <c r="AH312" s="36"/>
      <c r="AI312" s="36"/>
      <c r="AJ312" s="36"/>
      <c r="AK312" s="36"/>
      <c r="AL312" s="36"/>
      <c r="AM312" s="36"/>
      <c r="AN312" s="36"/>
      <c r="AO312" s="36"/>
      <c r="AP312" s="35"/>
      <c r="AQ312" s="35"/>
      <c r="AR312" s="35"/>
      <c r="AS312" s="35"/>
      <c r="AT312" s="35"/>
      <c r="AU312" s="35"/>
      <c r="AV312" s="35"/>
      <c r="AW312" s="35"/>
      <c r="AX312" s="35"/>
      <c r="AY312" s="35"/>
      <c r="AZ312" s="35"/>
      <c r="BA312" s="35"/>
      <c r="BB312" s="35"/>
      <c r="BC312" s="35"/>
      <c r="BD312" s="35"/>
      <c r="BE312" s="35"/>
      <c r="BF312" s="35"/>
      <c r="BG312" s="35"/>
      <c r="BH312" s="35"/>
      <c r="BI312" s="35"/>
      <c r="BJ312" s="35"/>
      <c r="BK312" s="35"/>
      <c r="BL312" s="35"/>
      <c r="BM312" s="35"/>
      <c r="BN312" s="35"/>
      <c r="BO312" s="35"/>
      <c r="BP312" s="35"/>
      <c r="BQ312" s="35"/>
      <c r="BR312" s="35"/>
      <c r="BS312" s="35"/>
      <c r="BT312" s="35"/>
      <c r="BU312" s="35"/>
      <c r="BV312" s="35"/>
      <c r="BW312" s="35"/>
      <c r="BX312" s="35"/>
      <c r="BY312" s="35"/>
      <c r="BZ312" s="35"/>
      <c r="CA312" s="35"/>
      <c r="CB312" s="35"/>
      <c r="CC312" s="35"/>
      <c r="CD312" s="35"/>
      <c r="CE312" s="35"/>
      <c r="CF312" s="35"/>
      <c r="CG312" s="35"/>
      <c r="CH312" s="35"/>
      <c r="CI312" s="35"/>
      <c r="CJ312" s="35"/>
      <c r="CK312" s="35"/>
      <c r="CL312" s="35"/>
      <c r="CM312" s="35"/>
      <c r="CN312" s="35"/>
      <c r="CO312" s="35"/>
      <c r="CP312" s="35"/>
      <c r="CQ312" s="35"/>
      <c r="CR312" s="35"/>
      <c r="CS312" s="35"/>
      <c r="CT312" s="35"/>
      <c r="CU312" s="35"/>
      <c r="CV312" s="35"/>
      <c r="CW312" s="35"/>
      <c r="CX312" s="35"/>
      <c r="CY312" s="35"/>
      <c r="CZ312" s="35"/>
      <c r="DA312" s="35"/>
      <c r="DB312" s="35"/>
      <c r="DC312" s="35"/>
      <c r="DD312" s="35"/>
      <c r="DE312" s="35"/>
      <c r="DF312" s="35"/>
      <c r="DG312" s="35"/>
      <c r="DH312" s="35"/>
      <c r="DI312" s="35"/>
      <c r="DJ312" s="35"/>
      <c r="DK312" s="35"/>
      <c r="DL312" s="35"/>
      <c r="DM312" s="35"/>
      <c r="DN312" s="35"/>
      <c r="DO312" s="35">
        <v>1</v>
      </c>
      <c r="DP312" s="35"/>
      <c r="DQ312" s="35"/>
      <c r="DR312" s="35"/>
      <c r="DS312" s="35"/>
      <c r="DT312" s="35"/>
      <c r="DU312" s="35"/>
      <c r="DV312" s="35"/>
      <c r="DW312" s="35"/>
      <c r="DX312" s="35"/>
      <c r="DY312" s="35"/>
      <c r="DZ312" s="35"/>
      <c r="EA312" s="35"/>
      <c r="EB312" s="35"/>
      <c r="EC312" s="35"/>
      <c r="ED312" s="35"/>
      <c r="EE312" s="35"/>
      <c r="EF312" s="35"/>
      <c r="EG312" s="35"/>
      <c r="EH312" s="35"/>
      <c r="EI312" s="35"/>
      <c r="EJ312" s="35"/>
      <c r="EK312" s="35"/>
      <c r="EL312" s="35"/>
      <c r="EM312" s="35"/>
      <c r="EN312" s="35"/>
      <c r="EO312" s="35"/>
      <c r="EP312" s="35"/>
      <c r="EQ312" s="35"/>
      <c r="ER312" s="35">
        <v>-1.3440000000000001</v>
      </c>
      <c r="ES312" s="35"/>
      <c r="ET312" s="35"/>
      <c r="EU312" s="35"/>
      <c r="EV312" s="35"/>
      <c r="EW312" s="35"/>
      <c r="EX312" s="35"/>
      <c r="EY312" s="35"/>
      <c r="EZ312" s="35"/>
      <c r="FA312" s="35"/>
      <c r="FB312" s="35"/>
      <c r="FC312" s="35"/>
      <c r="FD312" s="35"/>
      <c r="FE312" s="35"/>
      <c r="FF312" s="35"/>
      <c r="FG312" s="35"/>
      <c r="FH312" s="35"/>
      <c r="FI312" s="35"/>
      <c r="FJ312" s="35"/>
      <c r="FK312" s="35"/>
      <c r="FL312" s="35"/>
      <c r="FM312" s="35"/>
      <c r="FN312" s="35"/>
      <c r="FO312" s="35"/>
      <c r="FP312" s="35"/>
      <c r="FQ312" s="35"/>
      <c r="FR312" s="35"/>
      <c r="FS312" s="35"/>
      <c r="FT312" s="35"/>
      <c r="FU312" s="35"/>
      <c r="FV312" s="35"/>
      <c r="FW312" s="35"/>
      <c r="FX312" s="35"/>
      <c r="FY312" s="35"/>
      <c r="FZ312" s="35"/>
      <c r="GA312" s="35"/>
      <c r="GB312" s="318">
        <f>GC312</f>
        <v>0.1178</v>
      </c>
      <c r="GC312" s="178">
        <f t="shared" si="60"/>
        <v>0.1178</v>
      </c>
      <c r="GD312" s="178">
        <f t="shared" si="61"/>
        <v>-0.1178</v>
      </c>
      <c r="GE312" s="178">
        <f t="shared" si="62"/>
        <v>0</v>
      </c>
      <c r="GF312" s="178">
        <f t="shared" si="63"/>
        <v>0</v>
      </c>
      <c r="GG312" s="178">
        <f t="shared" si="51"/>
        <v>0</v>
      </c>
    </row>
    <row r="313" spans="1:189" x14ac:dyDescent="0.35">
      <c r="A313" s="6" t="s">
        <v>1424</v>
      </c>
      <c r="B313" s="6" t="str">
        <f>IF(Technologies!B313&lt;&gt;0,Technologies!B313,"")</f>
        <v>Industrie</v>
      </c>
      <c r="C313" s="6" t="str">
        <f>VLOOKUP($A313,Technologies!$A$7:$H$576,3,FALSE)</f>
        <v>Conversion</v>
      </c>
      <c r="D313" s="6" t="str">
        <f>VLOOKUP($A313,Technologies!$A$7:$H$576,4,FALSE)</f>
        <v>Industry</v>
      </c>
      <c r="E313" s="6" t="str">
        <f>VLOOKUP($A313,Technologies!$A$7:$H$576,6,FALSE)</f>
        <v>Heat HT Industry</v>
      </c>
      <c r="F313" s="48" t="str">
        <f>VLOOKUP($A313,Technologies!$A$7:$H$576,7,FALSE)</f>
        <v>CHP Gas - HT Heat for Industry</v>
      </c>
      <c r="G313" s="22"/>
      <c r="H313" s="22"/>
      <c r="I313" s="103" cm="1">
        <f t="array" ref="I313">-SUMPRODUCT((Feedstocks!$C$4:$C$141=A313)*Feedstocks!$E$4:$E$141,Feedstocks!$F$4:$F$141,Feedstocks!$H$4:$H$141,Feedstocks!$I$4:$I$141)</f>
        <v>0</v>
      </c>
      <c r="J313" s="103" cm="1">
        <f t="array" ref="J313">-SUMPRODUCT((Feedstocks!$C$4:$C$141=A313)*Feedstocks!$E$4:$E$141,Feedstocks!$H$4:$H$141,Feedstocks!$I$4:$I$141)</f>
        <v>0</v>
      </c>
      <c r="K313" s="103"/>
      <c r="L313" s="103"/>
      <c r="M313" s="22">
        <v>1</v>
      </c>
      <c r="N313" s="22" t="str">
        <f>VLOOKUP(E313,Activities!$A$9:$M$227,13,FALSE)</f>
        <v>NL</v>
      </c>
      <c r="O313" s="22"/>
      <c r="P313" s="80" t="s">
        <v>415</v>
      </c>
      <c r="Q313" s="36"/>
      <c r="R313" s="36"/>
      <c r="S313" s="36"/>
      <c r="T313" s="36"/>
      <c r="U313" s="36"/>
      <c r="V313" s="36"/>
      <c r="W313" s="36"/>
      <c r="X313" s="36"/>
      <c r="Y313" s="36"/>
      <c r="Z313" s="36"/>
      <c r="AA313" s="36"/>
      <c r="AB313" s="36"/>
      <c r="AC313" s="36"/>
      <c r="AD313" s="36"/>
      <c r="AE313" s="36"/>
      <c r="AF313" s="35"/>
      <c r="AG313" s="35"/>
      <c r="AH313" s="35"/>
      <c r="AI313" s="35"/>
      <c r="AJ313" s="35"/>
      <c r="AK313" s="35"/>
      <c r="AL313" s="35"/>
      <c r="AM313" s="35"/>
      <c r="AN313" s="35"/>
      <c r="AO313" s="35"/>
      <c r="AP313" s="36"/>
      <c r="AQ313" s="36"/>
      <c r="AR313" s="36"/>
      <c r="AS313" s="36"/>
      <c r="AT313" s="36"/>
      <c r="AU313" s="36"/>
      <c r="AV313" s="36"/>
      <c r="AW313" s="36"/>
      <c r="AX313" s="36"/>
      <c r="AY313" s="36"/>
      <c r="AZ313" s="36"/>
      <c r="BA313" s="36"/>
      <c r="BB313" s="36"/>
      <c r="BC313" s="36"/>
      <c r="BD313" s="36"/>
      <c r="BE313" s="36"/>
      <c r="BF313" s="36"/>
      <c r="BG313" s="36"/>
      <c r="BH313" s="36"/>
      <c r="BI313" s="36"/>
      <c r="BJ313" s="36"/>
      <c r="BK313" s="36"/>
      <c r="BL313" s="36"/>
      <c r="BM313" s="36"/>
      <c r="BN313" s="36"/>
      <c r="BO313" s="36"/>
      <c r="BP313" s="36"/>
      <c r="BQ313" s="36"/>
      <c r="BR313" s="36"/>
      <c r="BS313" s="36"/>
      <c r="BT313" s="36"/>
      <c r="BU313" s="36"/>
      <c r="BV313" s="36"/>
      <c r="BW313" s="36"/>
      <c r="BX313" s="36"/>
      <c r="BY313" s="36"/>
      <c r="BZ313" s="36"/>
      <c r="CA313" s="36"/>
      <c r="CB313" s="36"/>
      <c r="CC313" s="36"/>
      <c r="CD313" s="36"/>
      <c r="CE313" s="36"/>
      <c r="CF313" s="36"/>
      <c r="CG313" s="36"/>
      <c r="CH313" s="36"/>
      <c r="CI313" s="36"/>
      <c r="CJ313" s="36"/>
      <c r="CK313" s="36"/>
      <c r="CL313" s="36"/>
      <c r="CM313" s="36"/>
      <c r="CN313" s="36"/>
      <c r="CO313" s="36"/>
      <c r="CP313" s="36"/>
      <c r="CQ313" s="36"/>
      <c r="CR313" s="36"/>
      <c r="CS313" s="36"/>
      <c r="CT313" s="36"/>
      <c r="CU313" s="36"/>
      <c r="CV313" s="36"/>
      <c r="CW313" s="36"/>
      <c r="CX313" s="36"/>
      <c r="CY313" s="36"/>
      <c r="CZ313" s="36"/>
      <c r="DA313" s="36"/>
      <c r="DB313" s="36"/>
      <c r="DC313" s="36"/>
      <c r="DD313" s="36"/>
      <c r="DE313" s="36"/>
      <c r="DF313" s="36"/>
      <c r="DG313" s="36"/>
      <c r="DH313" s="36">
        <v>0.6</v>
      </c>
      <c r="DI313" s="36"/>
      <c r="DJ313" s="36"/>
      <c r="DK313" s="36"/>
      <c r="DL313" s="36"/>
      <c r="DM313" s="36"/>
      <c r="DN313" s="36"/>
      <c r="DO313" s="36">
        <v>1</v>
      </c>
      <c r="DP313" s="36"/>
      <c r="DQ313" s="36"/>
      <c r="DR313" s="36"/>
      <c r="DS313" s="36"/>
      <c r="DT313" s="36"/>
      <c r="DU313" s="36"/>
      <c r="DV313" s="36"/>
      <c r="DW313" s="36"/>
      <c r="DX313" s="36"/>
      <c r="DY313" s="36"/>
      <c r="DZ313" s="36"/>
      <c r="EA313" s="36"/>
      <c r="EB313" s="36"/>
      <c r="EC313" s="36"/>
      <c r="ED313" s="36"/>
      <c r="EE313" s="36"/>
      <c r="EF313" s="36"/>
      <c r="EG313" s="36"/>
      <c r="EH313" s="36"/>
      <c r="EI313" s="36"/>
      <c r="EJ313" s="36">
        <v>-1.9</v>
      </c>
      <c r="EK313" s="36"/>
      <c r="EL313" s="36"/>
      <c r="EM313" s="36"/>
      <c r="EN313" s="36"/>
      <c r="EO313" s="36"/>
      <c r="EP313" s="36"/>
      <c r="EQ313" s="36"/>
      <c r="ER313" s="36"/>
      <c r="ES313" s="36"/>
      <c r="ET313" s="36"/>
      <c r="EU313" s="36"/>
      <c r="EV313" s="36"/>
      <c r="EW313" s="36"/>
      <c r="EX313" s="36"/>
      <c r="EY313" s="36"/>
      <c r="EZ313" s="36"/>
      <c r="FA313" s="36"/>
      <c r="FB313" s="36"/>
      <c r="FC313" s="36"/>
      <c r="FD313" s="36"/>
      <c r="FE313" s="36"/>
      <c r="FF313" s="36"/>
      <c r="FG313" s="36"/>
      <c r="FH313" s="36"/>
      <c r="FI313" s="36"/>
      <c r="FJ313" s="36"/>
      <c r="FK313" s="36"/>
      <c r="FL313" s="36"/>
      <c r="FM313" s="36"/>
      <c r="FN313" s="36"/>
      <c r="FO313" s="36"/>
      <c r="FP313" s="36"/>
      <c r="FQ313" s="36"/>
      <c r="FR313" s="36"/>
      <c r="FS313" s="36"/>
      <c r="FT313" s="36"/>
      <c r="FU313" s="36"/>
      <c r="FV313" s="36"/>
      <c r="FW313" s="36"/>
      <c r="FX313" s="36"/>
      <c r="FY313" s="36"/>
      <c r="FZ313" s="36"/>
      <c r="GA313" s="36"/>
      <c r="GB313" s="319"/>
      <c r="GC313" s="179">
        <f t="shared" si="60"/>
        <v>0</v>
      </c>
      <c r="GD313" s="179">
        <f t="shared" si="61"/>
        <v>0.1075</v>
      </c>
      <c r="GE313" s="179">
        <f t="shared" si="62"/>
        <v>0</v>
      </c>
      <c r="GF313" s="179">
        <f t="shared" si="63"/>
        <v>0</v>
      </c>
      <c r="GG313" s="179">
        <f t="shared" si="51"/>
        <v>0</v>
      </c>
    </row>
    <row r="314" spans="1:189" x14ac:dyDescent="0.35">
      <c r="A314" s="5" t="s">
        <v>1426</v>
      </c>
      <c r="B314" s="5" t="str">
        <f>IF(Technologies!B314&lt;&gt;0,Technologies!B314,"")</f>
        <v>Industrie</v>
      </c>
      <c r="C314" s="5" t="str">
        <f>VLOOKUP($A314,Technologies!$A$7:$H$576,3,FALSE)</f>
        <v>Conversion</v>
      </c>
      <c r="D314" s="5" t="str">
        <f>VLOOKUP($A314,Technologies!$A$7:$H$576,4,FALSE)</f>
        <v>Industry</v>
      </c>
      <c r="E314" s="5" t="str">
        <f>VLOOKUP($A314,Technologies!$A$7:$H$576,6,FALSE)</f>
        <v>Heat HT Industry</v>
      </c>
      <c r="F314" s="5" t="str">
        <f>VLOOKUP($A314,Technologies!$A$7:$H$576,7,FALSE)</f>
        <v>CHP Gas wCCS - HT Heat for Industry</v>
      </c>
      <c r="G314" s="23">
        <v>0.8</v>
      </c>
      <c r="H314" s="23"/>
      <c r="I314" s="104" cm="1">
        <f t="array" ref="I314">-SUMPRODUCT((Feedstocks!$C$4:$C$141=A314)*Feedstocks!$E$4:$E$141,Feedstocks!$F$4:$F$141,Feedstocks!$H$4:$H$141,Feedstocks!$I$4:$I$141)</f>
        <v>0</v>
      </c>
      <c r="J314" s="104" cm="1">
        <f t="array" ref="J314">-SUMPRODUCT((Feedstocks!$C$4:$C$141=A314)*Feedstocks!$E$4:$E$141,Feedstocks!$H$4:$H$141,Feedstocks!$I$4:$I$141)</f>
        <v>0</v>
      </c>
      <c r="K314" s="104"/>
      <c r="L314" s="104"/>
      <c r="M314" s="23">
        <v>1</v>
      </c>
      <c r="N314" s="23" t="str">
        <f>VLOOKUP(E314,Activities!$A$9:$M$227,13,FALSE)</f>
        <v>NL</v>
      </c>
      <c r="O314" s="23"/>
      <c r="P314" s="79" t="s">
        <v>415</v>
      </c>
      <c r="Q314" s="35"/>
      <c r="R314" s="35"/>
      <c r="S314" s="35"/>
      <c r="T314" s="35"/>
      <c r="U314" s="35"/>
      <c r="V314" s="35"/>
      <c r="W314" s="35"/>
      <c r="X314" s="35"/>
      <c r="Y314" s="35"/>
      <c r="Z314" s="35"/>
      <c r="AA314" s="35"/>
      <c r="AB314" s="35"/>
      <c r="AC314" s="35"/>
      <c r="AD314" s="35"/>
      <c r="AE314" s="35"/>
      <c r="AF314" s="36"/>
      <c r="AG314" s="36"/>
      <c r="AH314" s="36"/>
      <c r="AI314" s="36"/>
      <c r="AJ314" s="36"/>
      <c r="AK314" s="36"/>
      <c r="AL314" s="36"/>
      <c r="AM314" s="36"/>
      <c r="AN314" s="36"/>
      <c r="AO314" s="36"/>
      <c r="AP314" s="35"/>
      <c r="AQ314" s="35"/>
      <c r="AR314" s="35"/>
      <c r="AS314" s="35"/>
      <c r="AT314" s="35"/>
      <c r="AU314" s="35"/>
      <c r="AV314" s="35"/>
      <c r="AW314" s="35"/>
      <c r="AX314" s="35"/>
      <c r="AY314" s="35"/>
      <c r="AZ314" s="35"/>
      <c r="BA314" s="35"/>
      <c r="BB314" s="35"/>
      <c r="BC314" s="35"/>
      <c r="BD314" s="35"/>
      <c r="BE314" s="35"/>
      <c r="BF314" s="35"/>
      <c r="BG314" s="35"/>
      <c r="BH314" s="35"/>
      <c r="BI314" s="35"/>
      <c r="BJ314" s="35"/>
      <c r="BK314" s="35"/>
      <c r="BL314" s="35"/>
      <c r="BM314" s="35"/>
      <c r="BN314" s="35"/>
      <c r="BO314" s="35"/>
      <c r="BP314" s="35"/>
      <c r="BQ314" s="35"/>
      <c r="BR314" s="35"/>
      <c r="BS314" s="35"/>
      <c r="BT314" s="35"/>
      <c r="BU314" s="35"/>
      <c r="BV314" s="35"/>
      <c r="BW314" s="35"/>
      <c r="BX314" s="35"/>
      <c r="BY314" s="35"/>
      <c r="BZ314" s="35"/>
      <c r="CA314" s="35"/>
      <c r="CB314" s="35"/>
      <c r="CC314" s="35"/>
      <c r="CD314" s="35"/>
      <c r="CE314" s="35"/>
      <c r="CF314" s="35"/>
      <c r="CG314" s="35"/>
      <c r="CH314" s="35"/>
      <c r="CI314" s="35"/>
      <c r="CJ314" s="35"/>
      <c r="CK314" s="35"/>
      <c r="CL314" s="35"/>
      <c r="CM314" s="35"/>
      <c r="CN314" s="35"/>
      <c r="CO314" s="35"/>
      <c r="CP314" s="35"/>
      <c r="CQ314" s="35"/>
      <c r="CR314" s="35"/>
      <c r="CS314" s="35"/>
      <c r="CT314" s="35"/>
      <c r="CU314" s="35"/>
      <c r="CV314" s="35"/>
      <c r="CW314" s="35"/>
      <c r="CX314" s="35"/>
      <c r="CY314" s="35"/>
      <c r="CZ314" s="35"/>
      <c r="DA314" s="35"/>
      <c r="DB314" s="35"/>
      <c r="DC314" s="35"/>
      <c r="DD314" s="35"/>
      <c r="DE314" s="35"/>
      <c r="DF314" s="35"/>
      <c r="DG314" s="35"/>
      <c r="DH314" s="35">
        <v>0.6</v>
      </c>
      <c r="DI314" s="35"/>
      <c r="DJ314" s="35"/>
      <c r="DK314" s="35"/>
      <c r="DL314" s="35"/>
      <c r="DM314" s="35"/>
      <c r="DN314" s="35"/>
      <c r="DO314" s="35">
        <v>1</v>
      </c>
      <c r="DP314" s="35"/>
      <c r="DQ314" s="35"/>
      <c r="DR314" s="35"/>
      <c r="DS314" s="35"/>
      <c r="DT314" s="35"/>
      <c r="DU314" s="35"/>
      <c r="DV314" s="35"/>
      <c r="DW314" s="35"/>
      <c r="DX314" s="35"/>
      <c r="DY314" s="35"/>
      <c r="DZ314" s="35"/>
      <c r="EA314" s="35"/>
      <c r="EB314" s="35"/>
      <c r="EC314" s="35"/>
      <c r="ED314" s="35"/>
      <c r="EE314" s="35"/>
      <c r="EF314" s="35"/>
      <c r="EG314" s="35"/>
      <c r="EH314" s="35"/>
      <c r="EI314" s="35"/>
      <c r="EJ314" s="35">
        <v>-2</v>
      </c>
      <c r="EK314" s="35"/>
      <c r="EL314" s="35"/>
      <c r="EM314" s="35"/>
      <c r="EN314" s="35"/>
      <c r="EO314" s="35"/>
      <c r="EP314" s="35"/>
      <c r="EQ314" s="35"/>
      <c r="ER314" s="35"/>
      <c r="ES314" s="35"/>
      <c r="ET314" s="35"/>
      <c r="EU314" s="35"/>
      <c r="EV314" s="35"/>
      <c r="EW314" s="35"/>
      <c r="EX314" s="35"/>
      <c r="EY314" s="35"/>
      <c r="EZ314" s="35"/>
      <c r="FA314" s="35"/>
      <c r="FB314" s="35"/>
      <c r="FC314" s="35"/>
      <c r="FD314" s="35"/>
      <c r="FE314" s="35"/>
      <c r="FF314" s="35"/>
      <c r="FG314" s="35"/>
      <c r="FH314" s="35"/>
      <c r="FI314" s="35"/>
      <c r="FJ314" s="35"/>
      <c r="FK314" s="35"/>
      <c r="FL314" s="35"/>
      <c r="FM314" s="35"/>
      <c r="FN314" s="35"/>
      <c r="FO314" s="35"/>
      <c r="FP314" s="35"/>
      <c r="FQ314" s="35"/>
      <c r="FR314" s="35"/>
      <c r="FS314" s="35"/>
      <c r="FT314" s="35"/>
      <c r="FU314" s="35"/>
      <c r="FV314" s="35"/>
      <c r="FW314" s="35"/>
      <c r="FX314" s="35"/>
      <c r="FY314" s="35"/>
      <c r="FZ314" s="35"/>
      <c r="GA314" s="35"/>
      <c r="GB314" s="318"/>
      <c r="GC314" s="178">
        <f t="shared" si="60"/>
        <v>9.06E-2</v>
      </c>
      <c r="GD314" s="178">
        <f t="shared" si="61"/>
        <v>2.2599999999999999E-2</v>
      </c>
      <c r="GE314" s="178">
        <f t="shared" si="62"/>
        <v>0</v>
      </c>
      <c r="GF314" s="178">
        <f t="shared" si="63"/>
        <v>0</v>
      </c>
      <c r="GG314" s="178">
        <f t="shared" si="51"/>
        <v>0</v>
      </c>
    </row>
    <row r="315" spans="1:189" x14ac:dyDescent="0.35">
      <c r="A315" s="6" t="s">
        <v>1428</v>
      </c>
      <c r="B315" s="6" t="str">
        <f>IF(Technologies!B315&lt;&gt;0,Technologies!B315,"")</f>
        <v>Industrie</v>
      </c>
      <c r="C315" s="6" t="str">
        <f>VLOOKUP($A315,Technologies!$A$7:$H$576,3,FALSE)</f>
        <v>Conversion</v>
      </c>
      <c r="D315" s="6" t="str">
        <f>VLOOKUP($A315,Technologies!$A$7:$H$576,4,FALSE)</f>
        <v>Industry</v>
      </c>
      <c r="E315" s="6" t="str">
        <f>VLOOKUP($A315,Technologies!$A$7:$H$576,6,FALSE)</f>
        <v>Heat HT Industry</v>
      </c>
      <c r="F315" s="48" t="str">
        <f>VLOOKUP($A315,Technologies!$A$7:$H$576,7,FALSE)</f>
        <v>CHP Coal - HT Heat for Industry</v>
      </c>
      <c r="G315" s="22"/>
      <c r="H315" s="22"/>
      <c r="I315" s="103" cm="1">
        <f t="array" ref="I315">-SUMPRODUCT((Feedstocks!$C$4:$C$141=A315)*Feedstocks!$E$4:$E$141,Feedstocks!$F$4:$F$141,Feedstocks!$H$4:$H$141,Feedstocks!$I$4:$I$141)</f>
        <v>0</v>
      </c>
      <c r="J315" s="103" cm="1">
        <f t="array" ref="J315">-SUMPRODUCT((Feedstocks!$C$4:$C$141=A315)*Feedstocks!$E$4:$E$141,Feedstocks!$H$4:$H$141,Feedstocks!$I$4:$I$141)</f>
        <v>0</v>
      </c>
      <c r="K315" s="103"/>
      <c r="L315" s="103"/>
      <c r="M315" s="22">
        <v>1</v>
      </c>
      <c r="N315" s="22" t="str">
        <f>VLOOKUP(E315,Activities!$A$9:$M$227,13,FALSE)</f>
        <v>NL</v>
      </c>
      <c r="O315" s="22"/>
      <c r="P315" s="80" t="s">
        <v>415</v>
      </c>
      <c r="Q315" s="36"/>
      <c r="R315" s="36"/>
      <c r="S315" s="36"/>
      <c r="T315" s="36"/>
      <c r="U315" s="36"/>
      <c r="V315" s="36"/>
      <c r="W315" s="36"/>
      <c r="X315" s="36"/>
      <c r="Y315" s="36"/>
      <c r="Z315" s="36"/>
      <c r="AA315" s="36"/>
      <c r="AB315" s="36"/>
      <c r="AC315" s="36"/>
      <c r="AD315" s="36"/>
      <c r="AE315" s="36"/>
      <c r="AF315" s="35"/>
      <c r="AG315" s="35"/>
      <c r="AH315" s="35"/>
      <c r="AI315" s="35"/>
      <c r="AJ315" s="35"/>
      <c r="AK315" s="35"/>
      <c r="AL315" s="35"/>
      <c r="AM315" s="35"/>
      <c r="AN315" s="35"/>
      <c r="AO315" s="35"/>
      <c r="AP315" s="36"/>
      <c r="AQ315" s="36"/>
      <c r="AR315" s="36"/>
      <c r="AS315" s="36"/>
      <c r="AT315" s="36"/>
      <c r="AU315" s="36"/>
      <c r="AV315" s="36"/>
      <c r="AW315" s="36"/>
      <c r="AX315" s="36"/>
      <c r="AY315" s="36"/>
      <c r="AZ315" s="36"/>
      <c r="BA315" s="36"/>
      <c r="BB315" s="36"/>
      <c r="BC315" s="36"/>
      <c r="BD315" s="36"/>
      <c r="BE315" s="36"/>
      <c r="BF315" s="36"/>
      <c r="BG315" s="36"/>
      <c r="BH315" s="36"/>
      <c r="BI315" s="36"/>
      <c r="BJ315" s="36"/>
      <c r="BK315" s="36"/>
      <c r="BL315" s="36"/>
      <c r="BM315" s="36"/>
      <c r="BN315" s="36"/>
      <c r="BO315" s="36"/>
      <c r="BP315" s="36"/>
      <c r="BQ315" s="36"/>
      <c r="BR315" s="36"/>
      <c r="BS315" s="36"/>
      <c r="BT315" s="36"/>
      <c r="BU315" s="36"/>
      <c r="BV315" s="36"/>
      <c r="BW315" s="36"/>
      <c r="BX315" s="36"/>
      <c r="BY315" s="36"/>
      <c r="BZ315" s="36"/>
      <c r="CA315" s="36"/>
      <c r="CB315" s="36"/>
      <c r="CC315" s="36"/>
      <c r="CD315" s="36"/>
      <c r="CE315" s="36"/>
      <c r="CF315" s="36"/>
      <c r="CG315" s="36"/>
      <c r="CH315" s="36"/>
      <c r="CI315" s="36"/>
      <c r="CJ315" s="36"/>
      <c r="CK315" s="36"/>
      <c r="CL315" s="36"/>
      <c r="CM315" s="36"/>
      <c r="CN315" s="36"/>
      <c r="CO315" s="36"/>
      <c r="CP315" s="36"/>
      <c r="CQ315" s="36"/>
      <c r="CR315" s="36"/>
      <c r="CS315" s="36"/>
      <c r="CT315" s="36"/>
      <c r="CU315" s="36"/>
      <c r="CV315" s="36"/>
      <c r="CW315" s="36"/>
      <c r="CX315" s="36"/>
      <c r="CY315" s="36"/>
      <c r="CZ315" s="36"/>
      <c r="DA315" s="36"/>
      <c r="DB315" s="36"/>
      <c r="DC315" s="36"/>
      <c r="DD315" s="36"/>
      <c r="DE315" s="36"/>
      <c r="DF315" s="36"/>
      <c r="DG315" s="36"/>
      <c r="DH315" s="36">
        <v>0.6</v>
      </c>
      <c r="DI315" s="36"/>
      <c r="DJ315" s="36"/>
      <c r="DK315" s="36"/>
      <c r="DL315" s="36"/>
      <c r="DM315" s="36"/>
      <c r="DN315" s="36"/>
      <c r="DO315" s="36">
        <v>1</v>
      </c>
      <c r="DP315" s="36"/>
      <c r="DQ315" s="36"/>
      <c r="DR315" s="36"/>
      <c r="DS315" s="36"/>
      <c r="DT315" s="36"/>
      <c r="DU315" s="36"/>
      <c r="DV315" s="36"/>
      <c r="DW315" s="36"/>
      <c r="DX315" s="36"/>
      <c r="DY315" s="36"/>
      <c r="DZ315" s="36"/>
      <c r="EA315" s="36"/>
      <c r="EB315" s="36"/>
      <c r="EC315" s="36"/>
      <c r="ED315" s="36"/>
      <c r="EE315" s="36"/>
      <c r="EF315" s="36"/>
      <c r="EG315" s="36"/>
      <c r="EH315" s="36"/>
      <c r="EI315" s="36"/>
      <c r="EJ315" s="36">
        <v>-2</v>
      </c>
      <c r="EK315" s="36"/>
      <c r="EL315" s="36"/>
      <c r="EM315" s="36"/>
      <c r="EN315" s="36"/>
      <c r="EO315" s="36"/>
      <c r="EP315" s="36"/>
      <c r="EQ315" s="36"/>
      <c r="ER315" s="36"/>
      <c r="ES315" s="36"/>
      <c r="ET315" s="36"/>
      <c r="EU315" s="36"/>
      <c r="EV315" s="36"/>
      <c r="EW315" s="36"/>
      <c r="EX315" s="36"/>
      <c r="EY315" s="36"/>
      <c r="EZ315" s="36"/>
      <c r="FA315" s="36"/>
      <c r="FB315" s="36"/>
      <c r="FC315" s="36"/>
      <c r="FD315" s="36"/>
      <c r="FE315" s="36"/>
      <c r="FF315" s="36"/>
      <c r="FG315" s="36"/>
      <c r="FH315" s="36"/>
      <c r="FI315" s="36"/>
      <c r="FJ315" s="36"/>
      <c r="FK315" s="36"/>
      <c r="FL315" s="36"/>
      <c r="FM315" s="36"/>
      <c r="FN315" s="36"/>
      <c r="FO315" s="36"/>
      <c r="FP315" s="36"/>
      <c r="FQ315" s="36"/>
      <c r="FR315" s="36"/>
      <c r="FS315" s="36"/>
      <c r="FT315" s="36"/>
      <c r="FU315" s="36"/>
      <c r="FV315" s="36"/>
      <c r="FW315" s="36"/>
      <c r="FX315" s="36"/>
      <c r="FY315" s="36"/>
      <c r="FZ315" s="36"/>
      <c r="GA315" s="36"/>
      <c r="GB315" s="319"/>
      <c r="GC315" s="179">
        <f t="shared" si="60"/>
        <v>0</v>
      </c>
      <c r="GD315" s="179">
        <f t="shared" si="61"/>
        <v>0.1132</v>
      </c>
      <c r="GE315" s="179">
        <f t="shared" si="62"/>
        <v>0</v>
      </c>
      <c r="GF315" s="179">
        <f t="shared" si="63"/>
        <v>0</v>
      </c>
      <c r="GG315" s="179">
        <f t="shared" si="51"/>
        <v>0</v>
      </c>
    </row>
    <row r="316" spans="1:189" x14ac:dyDescent="0.35">
      <c r="A316" s="5" t="s">
        <v>1430</v>
      </c>
      <c r="B316" s="5" t="str">
        <f>IF(Technologies!B316&lt;&gt;0,Technologies!B316,"")</f>
        <v>Industrie</v>
      </c>
      <c r="C316" s="5" t="str">
        <f>VLOOKUP($A316,Technologies!$A$7:$H$576,3,FALSE)</f>
        <v>Conversion</v>
      </c>
      <c r="D316" s="5" t="str">
        <f>VLOOKUP($A316,Technologies!$A$7:$H$576,4,FALSE)</f>
        <v>Industry</v>
      </c>
      <c r="E316" s="5" t="str">
        <f>VLOOKUP($A316,Technologies!$A$7:$H$576,6,FALSE)</f>
        <v>Heat HT Industry</v>
      </c>
      <c r="F316" s="5" t="str">
        <f>VLOOKUP($A316,Technologies!$A$7:$H$576,7,FALSE)</f>
        <v>CHP Coal wCCS - HT Heat for Industry</v>
      </c>
      <c r="G316" s="23">
        <v>0.8</v>
      </c>
      <c r="H316" s="23"/>
      <c r="I316" s="104" cm="1">
        <f t="array" ref="I316">-SUMPRODUCT((Feedstocks!$C$4:$C$141=A316)*Feedstocks!$E$4:$E$141,Feedstocks!$F$4:$F$141,Feedstocks!$H$4:$H$141,Feedstocks!$I$4:$I$141)</f>
        <v>0</v>
      </c>
      <c r="J316" s="104" cm="1">
        <f t="array" ref="J316">-SUMPRODUCT((Feedstocks!$C$4:$C$141=A316)*Feedstocks!$E$4:$E$141,Feedstocks!$H$4:$H$141,Feedstocks!$I$4:$I$141)</f>
        <v>0</v>
      </c>
      <c r="K316" s="104"/>
      <c r="L316" s="104"/>
      <c r="M316" s="23">
        <v>1</v>
      </c>
      <c r="N316" s="23" t="str">
        <f>VLOOKUP(E316,Activities!$A$9:$M$227,13,FALSE)</f>
        <v>NL</v>
      </c>
      <c r="O316" s="23"/>
      <c r="P316" s="79" t="s">
        <v>415</v>
      </c>
      <c r="Q316" s="35"/>
      <c r="R316" s="35"/>
      <c r="S316" s="35"/>
      <c r="T316" s="35"/>
      <c r="U316" s="35"/>
      <c r="V316" s="35"/>
      <c r="W316" s="35"/>
      <c r="X316" s="35"/>
      <c r="Y316" s="35"/>
      <c r="Z316" s="35"/>
      <c r="AA316" s="35"/>
      <c r="AB316" s="35"/>
      <c r="AC316" s="35"/>
      <c r="AD316" s="35"/>
      <c r="AE316" s="35"/>
      <c r="AF316" s="36"/>
      <c r="AG316" s="36"/>
      <c r="AH316" s="36"/>
      <c r="AI316" s="36"/>
      <c r="AJ316" s="36"/>
      <c r="AK316" s="36"/>
      <c r="AL316" s="36"/>
      <c r="AM316" s="36"/>
      <c r="AN316" s="36"/>
      <c r="AO316" s="36"/>
      <c r="AP316" s="35"/>
      <c r="AQ316" s="35"/>
      <c r="AR316" s="35"/>
      <c r="AS316" s="35"/>
      <c r="AT316" s="35"/>
      <c r="AU316" s="35"/>
      <c r="AV316" s="35"/>
      <c r="AW316" s="35"/>
      <c r="AX316" s="35"/>
      <c r="AY316" s="35"/>
      <c r="AZ316" s="35"/>
      <c r="BA316" s="35"/>
      <c r="BB316" s="35"/>
      <c r="BC316" s="35"/>
      <c r="BD316" s="35"/>
      <c r="BE316" s="35"/>
      <c r="BF316" s="35"/>
      <c r="BG316" s="35"/>
      <c r="BH316" s="35"/>
      <c r="BI316" s="35"/>
      <c r="BJ316" s="35"/>
      <c r="BK316" s="35"/>
      <c r="BL316" s="35"/>
      <c r="BM316" s="35"/>
      <c r="BN316" s="35"/>
      <c r="BO316" s="35"/>
      <c r="BP316" s="35"/>
      <c r="BQ316" s="35"/>
      <c r="BR316" s="35"/>
      <c r="BS316" s="35"/>
      <c r="BT316" s="35"/>
      <c r="BU316" s="35"/>
      <c r="BV316" s="35"/>
      <c r="BW316" s="35"/>
      <c r="BX316" s="35"/>
      <c r="BY316" s="35"/>
      <c r="BZ316" s="35"/>
      <c r="CA316" s="35"/>
      <c r="CB316" s="35"/>
      <c r="CC316" s="35"/>
      <c r="CD316" s="35"/>
      <c r="CE316" s="35"/>
      <c r="CF316" s="35"/>
      <c r="CG316" s="35"/>
      <c r="CH316" s="35"/>
      <c r="CI316" s="35"/>
      <c r="CJ316" s="35"/>
      <c r="CK316" s="35"/>
      <c r="CL316" s="35"/>
      <c r="CM316" s="35"/>
      <c r="CN316" s="35"/>
      <c r="CO316" s="35"/>
      <c r="CP316" s="35"/>
      <c r="CQ316" s="35"/>
      <c r="CR316" s="35"/>
      <c r="CS316" s="35"/>
      <c r="CT316" s="35"/>
      <c r="CU316" s="35"/>
      <c r="CV316" s="35"/>
      <c r="CW316" s="35"/>
      <c r="CX316" s="35"/>
      <c r="CY316" s="35"/>
      <c r="CZ316" s="35"/>
      <c r="DA316" s="35"/>
      <c r="DB316" s="35"/>
      <c r="DC316" s="35"/>
      <c r="DD316" s="35"/>
      <c r="DE316" s="35"/>
      <c r="DF316" s="35"/>
      <c r="DG316" s="35"/>
      <c r="DH316" s="35">
        <v>0.6</v>
      </c>
      <c r="DI316" s="35"/>
      <c r="DJ316" s="35"/>
      <c r="DK316" s="35"/>
      <c r="DL316" s="35"/>
      <c r="DM316" s="35"/>
      <c r="DN316" s="35"/>
      <c r="DO316" s="35">
        <v>1</v>
      </c>
      <c r="DP316" s="35"/>
      <c r="DQ316" s="35"/>
      <c r="DR316" s="35"/>
      <c r="DS316" s="35"/>
      <c r="DT316" s="35"/>
      <c r="DU316" s="35"/>
      <c r="DV316" s="35"/>
      <c r="DW316" s="35"/>
      <c r="DX316" s="35"/>
      <c r="DY316" s="35"/>
      <c r="DZ316" s="35"/>
      <c r="EA316" s="35"/>
      <c r="EB316" s="35"/>
      <c r="EC316" s="35"/>
      <c r="ED316" s="35"/>
      <c r="EE316" s="35"/>
      <c r="EF316" s="35"/>
      <c r="EG316" s="35"/>
      <c r="EH316" s="35"/>
      <c r="EI316" s="35"/>
      <c r="EJ316" s="35">
        <v>-2.15</v>
      </c>
      <c r="EK316" s="35"/>
      <c r="EL316" s="35"/>
      <c r="EM316" s="35"/>
      <c r="EN316" s="35"/>
      <c r="EO316" s="35"/>
      <c r="EP316" s="35"/>
      <c r="EQ316" s="35"/>
      <c r="ER316" s="35"/>
      <c r="ES316" s="35"/>
      <c r="ET316" s="35"/>
      <c r="EU316" s="35"/>
      <c r="EV316" s="35"/>
      <c r="EW316" s="35"/>
      <c r="EX316" s="35"/>
      <c r="EY316" s="35"/>
      <c r="EZ316" s="35"/>
      <c r="FA316" s="35"/>
      <c r="FB316" s="35"/>
      <c r="FC316" s="35"/>
      <c r="FD316" s="35"/>
      <c r="FE316" s="35"/>
      <c r="FF316" s="35"/>
      <c r="FG316" s="35"/>
      <c r="FH316" s="35"/>
      <c r="FI316" s="35"/>
      <c r="FJ316" s="35"/>
      <c r="FK316" s="35"/>
      <c r="FL316" s="35"/>
      <c r="FM316" s="35"/>
      <c r="FN316" s="35"/>
      <c r="FO316" s="35"/>
      <c r="FP316" s="35"/>
      <c r="FQ316" s="35"/>
      <c r="FR316" s="35"/>
      <c r="FS316" s="35"/>
      <c r="FT316" s="35"/>
      <c r="FU316" s="35"/>
      <c r="FV316" s="35"/>
      <c r="FW316" s="35"/>
      <c r="FX316" s="35"/>
      <c r="FY316" s="35"/>
      <c r="FZ316" s="35"/>
      <c r="GA316" s="35"/>
      <c r="GB316" s="318"/>
      <c r="GC316" s="178">
        <f t="shared" si="60"/>
        <v>9.74E-2</v>
      </c>
      <c r="GD316" s="178">
        <f t="shared" si="61"/>
        <v>2.4299999999999999E-2</v>
      </c>
      <c r="GE316" s="178">
        <f t="shared" si="62"/>
        <v>0</v>
      </c>
      <c r="GF316" s="178">
        <f t="shared" si="63"/>
        <v>0</v>
      </c>
      <c r="GG316" s="178">
        <f t="shared" si="51"/>
        <v>0</v>
      </c>
    </row>
    <row r="317" spans="1:189" x14ac:dyDescent="0.35">
      <c r="A317" s="6" t="s">
        <v>1432</v>
      </c>
      <c r="B317" s="6" t="str">
        <f>IF(Technologies!B317&lt;&gt;0,Technologies!B317,"")</f>
        <v>Industrie</v>
      </c>
      <c r="C317" s="6" t="str">
        <f>VLOOKUP($A317,Technologies!$A$7:$H$576,3,FALSE)</f>
        <v>Conversion</v>
      </c>
      <c r="D317" s="6" t="str">
        <f>VLOOKUP($A317,Technologies!$A$7:$H$576,4,FALSE)</f>
        <v>Industry</v>
      </c>
      <c r="E317" s="6" t="str">
        <f>VLOOKUP($A317,Technologies!$A$7:$H$576,6,FALSE)</f>
        <v>Heat HT Industry</v>
      </c>
      <c r="F317" s="48" t="str">
        <f>VLOOKUP($A317,Technologies!$A$7:$H$576,7,FALSE)</f>
        <v>CHP BFG - LT Heat for Industry</v>
      </c>
      <c r="G317" s="22"/>
      <c r="H317" s="22"/>
      <c r="I317" s="103" cm="1">
        <f t="array" ref="I317">-SUMPRODUCT((Feedstocks!$C$4:$C$141=A317)*Feedstocks!$E$4:$E$141,Feedstocks!$F$4:$F$141,Feedstocks!$H$4:$H$141,Feedstocks!$I$4:$I$141)</f>
        <v>0</v>
      </c>
      <c r="J317" s="103" cm="1">
        <f t="array" ref="J317">-SUMPRODUCT((Feedstocks!$C$4:$C$141=A317)*Feedstocks!$E$4:$E$141,Feedstocks!$H$4:$H$141,Feedstocks!$I$4:$I$141)</f>
        <v>0</v>
      </c>
      <c r="K317" s="103"/>
      <c r="L317" s="103"/>
      <c r="M317" s="22">
        <v>1</v>
      </c>
      <c r="N317" s="22" t="str">
        <f>VLOOKUP(E317,Activities!$A$9:$M$227,13,FALSE)</f>
        <v>NL</v>
      </c>
      <c r="O317" s="22"/>
      <c r="P317" s="80" t="s">
        <v>415</v>
      </c>
      <c r="Q317" s="36"/>
      <c r="R317" s="36"/>
      <c r="S317" s="36"/>
      <c r="T317" s="36"/>
      <c r="U317" s="36"/>
      <c r="V317" s="36"/>
      <c r="W317" s="36"/>
      <c r="X317" s="36"/>
      <c r="Y317" s="36"/>
      <c r="Z317" s="36"/>
      <c r="AA317" s="36"/>
      <c r="AB317" s="36"/>
      <c r="AC317" s="36"/>
      <c r="AD317" s="36"/>
      <c r="AE317" s="36"/>
      <c r="AF317" s="35"/>
      <c r="AG317" s="35"/>
      <c r="AH317" s="35"/>
      <c r="AI317" s="35"/>
      <c r="AJ317" s="35"/>
      <c r="AK317" s="35"/>
      <c r="AL317" s="35"/>
      <c r="AM317" s="35"/>
      <c r="AN317" s="35"/>
      <c r="AO317" s="35"/>
      <c r="AP317" s="36"/>
      <c r="AQ317" s="36"/>
      <c r="AR317" s="36"/>
      <c r="AS317" s="36"/>
      <c r="AT317" s="36"/>
      <c r="AU317" s="36"/>
      <c r="AV317" s="36"/>
      <c r="AW317" s="36"/>
      <c r="AX317" s="36"/>
      <c r="AY317" s="36"/>
      <c r="AZ317" s="36"/>
      <c r="BA317" s="36"/>
      <c r="BB317" s="36"/>
      <c r="BC317" s="36"/>
      <c r="BD317" s="36"/>
      <c r="BE317" s="36"/>
      <c r="BF317" s="36"/>
      <c r="BG317" s="36"/>
      <c r="BH317" s="36"/>
      <c r="BI317" s="36"/>
      <c r="BJ317" s="36"/>
      <c r="BK317" s="36"/>
      <c r="BL317" s="36"/>
      <c r="BM317" s="36"/>
      <c r="BN317" s="36"/>
      <c r="BO317" s="36"/>
      <c r="BP317" s="36"/>
      <c r="BQ317" s="36"/>
      <c r="BR317" s="36"/>
      <c r="BS317" s="36"/>
      <c r="BT317" s="36"/>
      <c r="BU317" s="36"/>
      <c r="BV317" s="36"/>
      <c r="BW317" s="36"/>
      <c r="BX317" s="36"/>
      <c r="BY317" s="36"/>
      <c r="BZ317" s="36"/>
      <c r="CA317" s="36"/>
      <c r="CB317" s="36"/>
      <c r="CC317" s="36"/>
      <c r="CD317" s="36"/>
      <c r="CE317" s="36"/>
      <c r="CF317" s="36"/>
      <c r="CG317" s="36"/>
      <c r="CH317" s="36"/>
      <c r="CI317" s="36"/>
      <c r="CJ317" s="36"/>
      <c r="CK317" s="36"/>
      <c r="CL317" s="36"/>
      <c r="CM317" s="36"/>
      <c r="CN317" s="36"/>
      <c r="CO317" s="36"/>
      <c r="CP317" s="36"/>
      <c r="CQ317" s="36"/>
      <c r="CR317" s="36"/>
      <c r="CS317" s="36"/>
      <c r="CT317" s="36"/>
      <c r="CU317" s="36"/>
      <c r="CV317" s="36"/>
      <c r="CW317" s="36"/>
      <c r="CX317" s="36"/>
      <c r="CY317" s="36"/>
      <c r="CZ317" s="36"/>
      <c r="DA317" s="36"/>
      <c r="DB317" s="36"/>
      <c r="DC317" s="36"/>
      <c r="DD317" s="36"/>
      <c r="DE317" s="36"/>
      <c r="DF317" s="36"/>
      <c r="DG317" s="36"/>
      <c r="DH317" s="36">
        <v>0.7</v>
      </c>
      <c r="DI317" s="36"/>
      <c r="DJ317" s="36"/>
      <c r="DK317" s="36"/>
      <c r="DL317" s="36"/>
      <c r="DM317" s="36"/>
      <c r="DN317" s="36"/>
      <c r="DO317" s="36">
        <v>1</v>
      </c>
      <c r="DP317" s="36"/>
      <c r="DQ317" s="36"/>
      <c r="DR317" s="36">
        <v>-2.61</v>
      </c>
      <c r="DS317" s="36"/>
      <c r="DT317" s="36"/>
      <c r="DU317" s="36"/>
      <c r="DV317" s="36"/>
      <c r="DW317" s="36"/>
      <c r="DX317" s="36"/>
      <c r="DY317" s="36"/>
      <c r="DZ317" s="36"/>
      <c r="EA317" s="36"/>
      <c r="EB317" s="36"/>
      <c r="EC317" s="36"/>
      <c r="ED317" s="36"/>
      <c r="EE317" s="36"/>
      <c r="EF317" s="36"/>
      <c r="EG317" s="36"/>
      <c r="EH317" s="36"/>
      <c r="EI317" s="36"/>
      <c r="EJ317" s="36"/>
      <c r="EK317" s="36"/>
      <c r="EL317" s="36"/>
      <c r="EM317" s="36"/>
      <c r="EN317" s="36"/>
      <c r="EO317" s="36"/>
      <c r="EP317" s="36"/>
      <c r="EQ317" s="36"/>
      <c r="ER317" s="36"/>
      <c r="ES317" s="36"/>
      <c r="ET317" s="36"/>
      <c r="EU317" s="36"/>
      <c r="EV317" s="36"/>
      <c r="EW317" s="36"/>
      <c r="EX317" s="36"/>
      <c r="EY317" s="36"/>
      <c r="EZ317" s="36"/>
      <c r="FA317" s="36"/>
      <c r="FB317" s="36"/>
      <c r="FC317" s="36"/>
      <c r="FD317" s="36"/>
      <c r="FE317" s="36"/>
      <c r="FF317" s="36"/>
      <c r="FG317" s="36"/>
      <c r="FH317" s="36"/>
      <c r="FI317" s="36"/>
      <c r="FJ317" s="36"/>
      <c r="FK317" s="36"/>
      <c r="FL317" s="36"/>
      <c r="FM317" s="36"/>
      <c r="FN317" s="36"/>
      <c r="FO317" s="36"/>
      <c r="FP317" s="36"/>
      <c r="FQ317" s="36"/>
      <c r="FR317" s="36"/>
      <c r="FS317" s="36"/>
      <c r="FT317" s="36"/>
      <c r="FU317" s="36"/>
      <c r="FV317" s="36"/>
      <c r="FW317" s="36"/>
      <c r="FX317" s="36"/>
      <c r="FY317" s="36"/>
      <c r="FZ317" s="36"/>
      <c r="GA317" s="36"/>
      <c r="GB317" s="319"/>
      <c r="GC317" s="179">
        <f t="shared" si="60"/>
        <v>0</v>
      </c>
      <c r="GD317" s="179">
        <f t="shared" si="61"/>
        <v>0.64570000000000005</v>
      </c>
      <c r="GE317" s="179">
        <f t="shared" si="62"/>
        <v>0</v>
      </c>
      <c r="GF317" s="179">
        <f t="shared" si="63"/>
        <v>0</v>
      </c>
      <c r="GG317" s="179">
        <f t="shared" si="51"/>
        <v>0</v>
      </c>
    </row>
    <row r="318" spans="1:189" x14ac:dyDescent="0.35">
      <c r="A318" s="5" t="s">
        <v>1434</v>
      </c>
      <c r="B318" s="5" t="str">
        <f>IF(Technologies!B318&lt;&gt;0,Technologies!B318,"")</f>
        <v>Industrie</v>
      </c>
      <c r="C318" s="5" t="str">
        <f>VLOOKUP($A318,Technologies!$A$7:$H$576,3,FALSE)</f>
        <v>Conversion</v>
      </c>
      <c r="D318" s="5" t="str">
        <f>VLOOKUP($A318,Technologies!$A$7:$H$576,4,FALSE)</f>
        <v>Industry</v>
      </c>
      <c r="E318" s="5" t="str">
        <f>VLOOKUP($A318,Technologies!$A$7:$H$576,6,FALSE)</f>
        <v>Heat HT Industry</v>
      </c>
      <c r="F318" s="5" t="str">
        <f>VLOOKUP($A318,Technologies!$A$7:$H$576,7,FALSE)</f>
        <v>CHP Biomass - HT Heat for Industry</v>
      </c>
      <c r="G318" s="23"/>
      <c r="H318" s="23"/>
      <c r="I318" s="104" cm="1">
        <f t="array" ref="I318">-SUMPRODUCT((Feedstocks!$C$4:$C$141=A318)*Feedstocks!$E$4:$E$141,Feedstocks!$F$4:$F$141,Feedstocks!$H$4:$H$141,Feedstocks!$I$4:$I$141)</f>
        <v>0</v>
      </c>
      <c r="J318" s="104" cm="1">
        <f t="array" ref="J318">-SUMPRODUCT((Feedstocks!$C$4:$C$141=A318)*Feedstocks!$E$4:$E$141,Feedstocks!$H$4:$H$141,Feedstocks!$I$4:$I$141)</f>
        <v>0</v>
      </c>
      <c r="K318" s="104"/>
      <c r="L318" s="104"/>
      <c r="M318" s="23">
        <v>1</v>
      </c>
      <c r="N318" s="23" t="str">
        <f>VLOOKUP(E318,Activities!$A$9:$M$227,13,FALSE)</f>
        <v>NL</v>
      </c>
      <c r="O318" s="23"/>
      <c r="P318" s="79" t="s">
        <v>1825</v>
      </c>
      <c r="Q318" s="35"/>
      <c r="R318" s="35"/>
      <c r="S318" s="35"/>
      <c r="T318" s="35"/>
      <c r="U318" s="35"/>
      <c r="V318" s="35"/>
      <c r="W318" s="35"/>
      <c r="X318" s="35"/>
      <c r="Y318" s="35"/>
      <c r="Z318" s="35"/>
      <c r="AA318" s="35"/>
      <c r="AB318" s="35"/>
      <c r="AC318" s="35"/>
      <c r="AD318" s="35"/>
      <c r="AE318" s="35"/>
      <c r="AF318" s="36"/>
      <c r="AG318" s="36"/>
      <c r="AH318" s="36"/>
      <c r="AI318" s="36"/>
      <c r="AJ318" s="36"/>
      <c r="AK318" s="36"/>
      <c r="AL318" s="36"/>
      <c r="AM318" s="36"/>
      <c r="AN318" s="36"/>
      <c r="AO318" s="36"/>
      <c r="AP318" s="35"/>
      <c r="AQ318" s="35"/>
      <c r="AR318" s="35"/>
      <c r="AS318" s="35"/>
      <c r="AT318" s="35"/>
      <c r="AU318" s="35"/>
      <c r="AV318" s="35"/>
      <c r="AW318" s="35"/>
      <c r="AX318" s="35"/>
      <c r="AY318" s="35"/>
      <c r="AZ318" s="35"/>
      <c r="BA318" s="35"/>
      <c r="BB318" s="35"/>
      <c r="BC318" s="35"/>
      <c r="BD318" s="35"/>
      <c r="BE318" s="35"/>
      <c r="BF318" s="35"/>
      <c r="BG318" s="35"/>
      <c r="BH318" s="35"/>
      <c r="BI318" s="35"/>
      <c r="BJ318" s="35"/>
      <c r="BK318" s="35"/>
      <c r="BL318" s="35"/>
      <c r="BM318" s="35"/>
      <c r="BN318" s="35"/>
      <c r="BO318" s="35"/>
      <c r="BP318" s="35"/>
      <c r="BQ318" s="35"/>
      <c r="BR318" s="35"/>
      <c r="BS318" s="35"/>
      <c r="BT318" s="35"/>
      <c r="BU318" s="35"/>
      <c r="BV318" s="35"/>
      <c r="BW318" s="35"/>
      <c r="BX318" s="35"/>
      <c r="BY318" s="35"/>
      <c r="BZ318" s="35"/>
      <c r="CA318" s="35"/>
      <c r="CB318" s="35"/>
      <c r="CC318" s="35"/>
      <c r="CD318" s="35"/>
      <c r="CE318" s="35"/>
      <c r="CF318" s="35"/>
      <c r="CG318" s="35"/>
      <c r="CH318" s="35"/>
      <c r="CI318" s="35"/>
      <c r="CJ318" s="35"/>
      <c r="CK318" s="35"/>
      <c r="CL318" s="35"/>
      <c r="CM318" s="35"/>
      <c r="CN318" s="35"/>
      <c r="CO318" s="35"/>
      <c r="CP318" s="35"/>
      <c r="CQ318" s="35"/>
      <c r="CR318" s="35"/>
      <c r="CS318" s="35"/>
      <c r="CT318" s="35"/>
      <c r="CU318" s="35"/>
      <c r="CV318" s="35"/>
      <c r="CW318" s="35"/>
      <c r="CX318" s="35"/>
      <c r="CY318" s="35"/>
      <c r="CZ318" s="35"/>
      <c r="DA318" s="35"/>
      <c r="DB318" s="35"/>
      <c r="DC318" s="35"/>
      <c r="DD318" s="35"/>
      <c r="DE318" s="35"/>
      <c r="DF318" s="35"/>
      <c r="DG318" s="35"/>
      <c r="DH318" s="35">
        <v>0.75</v>
      </c>
      <c r="DI318" s="35"/>
      <c r="DJ318" s="35"/>
      <c r="DK318" s="35"/>
      <c r="DL318" s="35"/>
      <c r="DM318" s="35"/>
      <c r="DN318" s="35"/>
      <c r="DO318" s="35">
        <v>1</v>
      </c>
      <c r="DP318" s="35"/>
      <c r="DQ318" s="35"/>
      <c r="DR318" s="35"/>
      <c r="DS318" s="35"/>
      <c r="DT318" s="35"/>
      <c r="DU318" s="35"/>
      <c r="DV318" s="35"/>
      <c r="DW318" s="35"/>
      <c r="DX318" s="35"/>
      <c r="DY318" s="35"/>
      <c r="DZ318" s="35"/>
      <c r="EA318" s="35"/>
      <c r="EB318" s="35"/>
      <c r="EC318" s="35"/>
      <c r="ED318" s="35"/>
      <c r="EE318" s="35"/>
      <c r="EF318" s="35"/>
      <c r="EG318" s="35"/>
      <c r="EH318" s="35"/>
      <c r="EI318" s="35"/>
      <c r="EJ318" s="35"/>
      <c r="EK318" s="35"/>
      <c r="EL318" s="35"/>
      <c r="EM318" s="35"/>
      <c r="EN318" s="35"/>
      <c r="EO318" s="35"/>
      <c r="EP318" s="35"/>
      <c r="EQ318" s="35"/>
      <c r="ER318" s="35">
        <v>-3.5</v>
      </c>
      <c r="ES318" s="35"/>
      <c r="ET318" s="35"/>
      <c r="EU318" s="35"/>
      <c r="EV318" s="35"/>
      <c r="EW318" s="35"/>
      <c r="EX318" s="35"/>
      <c r="EY318" s="35"/>
      <c r="EZ318" s="35"/>
      <c r="FA318" s="35"/>
      <c r="FB318" s="35"/>
      <c r="FC318" s="35"/>
      <c r="FD318" s="35"/>
      <c r="FE318" s="35"/>
      <c r="FF318" s="35"/>
      <c r="FG318" s="35"/>
      <c r="FH318" s="35"/>
      <c r="FI318" s="35"/>
      <c r="FJ318" s="35"/>
      <c r="FK318" s="35"/>
      <c r="FL318" s="35"/>
      <c r="FM318" s="35"/>
      <c r="FN318" s="35"/>
      <c r="FO318" s="35"/>
      <c r="FP318" s="35"/>
      <c r="FQ318" s="35"/>
      <c r="FR318" s="35"/>
      <c r="FS318" s="35"/>
      <c r="FT318" s="35"/>
      <c r="FU318" s="35"/>
      <c r="FV318" s="35"/>
      <c r="FW318" s="35"/>
      <c r="FX318" s="35"/>
      <c r="FY318" s="35"/>
      <c r="FZ318" s="35"/>
      <c r="GA318" s="35"/>
      <c r="GB318" s="318"/>
      <c r="GC318" s="178">
        <f t="shared" si="60"/>
        <v>0</v>
      </c>
      <c r="GD318" s="178">
        <f t="shared" si="61"/>
        <v>0</v>
      </c>
      <c r="GE318" s="178">
        <f t="shared" si="62"/>
        <v>0</v>
      </c>
      <c r="GF318" s="178">
        <f t="shared" si="63"/>
        <v>0</v>
      </c>
      <c r="GG318" s="178">
        <f t="shared" si="51"/>
        <v>0</v>
      </c>
    </row>
    <row r="319" spans="1:189" x14ac:dyDescent="0.35">
      <c r="A319" s="6" t="s">
        <v>1436</v>
      </c>
      <c r="B319" s="6" t="str">
        <f>IF(Technologies!B319&lt;&gt;0,Technologies!B319,"")</f>
        <v>Industrie</v>
      </c>
      <c r="C319" s="6" t="str">
        <f>VLOOKUP($A319,Technologies!$A$7:$H$576,3,FALSE)</f>
        <v>Conversion</v>
      </c>
      <c r="D319" s="6" t="str">
        <f>VLOOKUP($A319,Technologies!$A$7:$H$576,4,FALSE)</f>
        <v>Industry</v>
      </c>
      <c r="E319" s="6" t="str">
        <f>VLOOKUP($A319,Technologies!$A$7:$H$576,6,FALSE)</f>
        <v>Heat HT Industry</v>
      </c>
      <c r="F319" s="48" t="str">
        <f>VLOOKUP($A319,Technologies!$A$7:$H$576,7,FALSE)</f>
        <v>CHP Biomass wCCS - HT Heat for Industry</v>
      </c>
      <c r="G319" s="22">
        <v>0.8</v>
      </c>
      <c r="H319" s="22"/>
      <c r="I319" s="103" cm="1">
        <f t="array" ref="I319">-SUMPRODUCT((Feedstocks!$C$4:$C$141=A319)*Feedstocks!$E$4:$E$141,Feedstocks!$F$4:$F$141,Feedstocks!$H$4:$H$141,Feedstocks!$I$4:$I$141)</f>
        <v>0</v>
      </c>
      <c r="J319" s="103" cm="1">
        <f t="array" ref="J319">-SUMPRODUCT((Feedstocks!$C$4:$C$141=A319)*Feedstocks!$E$4:$E$141,Feedstocks!$H$4:$H$141,Feedstocks!$I$4:$I$141)</f>
        <v>0</v>
      </c>
      <c r="K319" s="103"/>
      <c r="L319" s="103"/>
      <c r="M319" s="22">
        <v>1</v>
      </c>
      <c r="N319" s="22" t="str">
        <f>VLOOKUP(E319,Activities!$A$9:$M$227,13,FALSE)</f>
        <v>NL</v>
      </c>
      <c r="O319" s="22"/>
      <c r="P319" s="80" t="s">
        <v>1519</v>
      </c>
      <c r="Q319" s="36"/>
      <c r="R319" s="36"/>
      <c r="S319" s="36"/>
      <c r="T319" s="36"/>
      <c r="U319" s="36"/>
      <c r="V319" s="36"/>
      <c r="W319" s="36"/>
      <c r="X319" s="36"/>
      <c r="Y319" s="36"/>
      <c r="Z319" s="36"/>
      <c r="AA319" s="36"/>
      <c r="AB319" s="36"/>
      <c r="AC319" s="36"/>
      <c r="AD319" s="36"/>
      <c r="AE319" s="36"/>
      <c r="AF319" s="35"/>
      <c r="AG319" s="35"/>
      <c r="AH319" s="35"/>
      <c r="AI319" s="35"/>
      <c r="AJ319" s="35"/>
      <c r="AK319" s="35"/>
      <c r="AL319" s="35"/>
      <c r="AM319" s="35"/>
      <c r="AN319" s="35"/>
      <c r="AO319" s="35"/>
      <c r="AP319" s="36"/>
      <c r="AQ319" s="36"/>
      <c r="AR319" s="36"/>
      <c r="AS319" s="36"/>
      <c r="AT319" s="36"/>
      <c r="AU319" s="36"/>
      <c r="AV319" s="36"/>
      <c r="AW319" s="36"/>
      <c r="AX319" s="36"/>
      <c r="AY319" s="36"/>
      <c r="AZ319" s="36"/>
      <c r="BA319" s="36"/>
      <c r="BB319" s="36"/>
      <c r="BC319" s="36"/>
      <c r="BD319" s="36"/>
      <c r="BE319" s="36"/>
      <c r="BF319" s="36"/>
      <c r="BG319" s="36"/>
      <c r="BH319" s="36"/>
      <c r="BI319" s="36"/>
      <c r="BJ319" s="36"/>
      <c r="BK319" s="36"/>
      <c r="BL319" s="36"/>
      <c r="BM319" s="36"/>
      <c r="BN319" s="36"/>
      <c r="BO319" s="36"/>
      <c r="BP319" s="36"/>
      <c r="BQ319" s="36"/>
      <c r="BR319" s="36"/>
      <c r="BS319" s="36"/>
      <c r="BT319" s="36"/>
      <c r="BU319" s="36"/>
      <c r="BV319" s="36"/>
      <c r="BW319" s="36"/>
      <c r="BX319" s="36"/>
      <c r="BY319" s="36"/>
      <c r="BZ319" s="36"/>
      <c r="CA319" s="36"/>
      <c r="CB319" s="36"/>
      <c r="CC319" s="36"/>
      <c r="CD319" s="36"/>
      <c r="CE319" s="36"/>
      <c r="CF319" s="36"/>
      <c r="CG319" s="36"/>
      <c r="CH319" s="36"/>
      <c r="CI319" s="36"/>
      <c r="CJ319" s="36"/>
      <c r="CK319" s="36"/>
      <c r="CL319" s="36"/>
      <c r="CM319" s="36"/>
      <c r="CN319" s="36"/>
      <c r="CO319" s="36"/>
      <c r="CP319" s="36"/>
      <c r="CQ319" s="36"/>
      <c r="CR319" s="36"/>
      <c r="CS319" s="36"/>
      <c r="CT319" s="36"/>
      <c r="CU319" s="36"/>
      <c r="CV319" s="36"/>
      <c r="CW319" s="36"/>
      <c r="CX319" s="36"/>
      <c r="CY319" s="36"/>
      <c r="CZ319" s="36"/>
      <c r="DA319" s="36"/>
      <c r="DB319" s="36"/>
      <c r="DC319" s="36"/>
      <c r="DD319" s="36"/>
      <c r="DE319" s="36"/>
      <c r="DF319" s="36"/>
      <c r="DG319" s="36"/>
      <c r="DH319" s="36">
        <v>0.75</v>
      </c>
      <c r="DI319" s="36"/>
      <c r="DJ319" s="36"/>
      <c r="DK319" s="36"/>
      <c r="DL319" s="36"/>
      <c r="DM319" s="36"/>
      <c r="DN319" s="36"/>
      <c r="DO319" s="36">
        <v>1</v>
      </c>
      <c r="DP319" s="36"/>
      <c r="DQ319" s="36"/>
      <c r="DR319" s="36"/>
      <c r="DS319" s="36"/>
      <c r="DT319" s="36"/>
      <c r="DU319" s="36"/>
      <c r="DV319" s="36"/>
      <c r="DW319" s="36"/>
      <c r="DX319" s="36"/>
      <c r="DY319" s="36"/>
      <c r="DZ319" s="36"/>
      <c r="EA319" s="36"/>
      <c r="EB319" s="36"/>
      <c r="EC319" s="36"/>
      <c r="ED319" s="36"/>
      <c r="EE319" s="36"/>
      <c r="EF319" s="36"/>
      <c r="EG319" s="36"/>
      <c r="EH319" s="36"/>
      <c r="EI319" s="36"/>
      <c r="EJ319" s="36"/>
      <c r="EK319" s="36"/>
      <c r="EL319" s="36"/>
      <c r="EM319" s="36"/>
      <c r="EN319" s="36"/>
      <c r="EO319" s="36"/>
      <c r="EP319" s="36"/>
      <c r="EQ319" s="36"/>
      <c r="ER319" s="36">
        <v>-3.7</v>
      </c>
      <c r="ES319" s="36"/>
      <c r="ET319" s="36"/>
      <c r="EU319" s="36"/>
      <c r="EV319" s="36"/>
      <c r="EW319" s="36"/>
      <c r="EX319" s="36"/>
      <c r="EY319" s="36"/>
      <c r="EZ319" s="36"/>
      <c r="FA319" s="36"/>
      <c r="FB319" s="36"/>
      <c r="FC319" s="36"/>
      <c r="FD319" s="36"/>
      <c r="FE319" s="36"/>
      <c r="FF319" s="36"/>
      <c r="FG319" s="36"/>
      <c r="FH319" s="36"/>
      <c r="FI319" s="36"/>
      <c r="FJ319" s="36"/>
      <c r="FK319" s="36"/>
      <c r="FL319" s="36"/>
      <c r="FM319" s="36"/>
      <c r="FN319" s="36"/>
      <c r="FO319" s="36"/>
      <c r="FP319" s="36"/>
      <c r="FQ319" s="36"/>
      <c r="FR319" s="36"/>
      <c r="FS319" s="36"/>
      <c r="FT319" s="36"/>
      <c r="FU319" s="36"/>
      <c r="FV319" s="36"/>
      <c r="FW319" s="36"/>
      <c r="FX319" s="36"/>
      <c r="FY319" s="36"/>
      <c r="FZ319" s="36"/>
      <c r="GA319" s="36"/>
      <c r="GB319" s="319">
        <f>GC319</f>
        <v>0.32440000000000002</v>
      </c>
      <c r="GC319" s="179">
        <f t="shared" si="60"/>
        <v>0.32440000000000002</v>
      </c>
      <c r="GD319" s="179">
        <f t="shared" si="61"/>
        <v>-0.32440000000000002</v>
      </c>
      <c r="GE319" s="179">
        <f t="shared" si="62"/>
        <v>0</v>
      </c>
      <c r="GF319" s="179">
        <f t="shared" si="63"/>
        <v>0</v>
      </c>
      <c r="GG319" s="179">
        <f t="shared" si="51"/>
        <v>0</v>
      </c>
    </row>
    <row r="320" spans="1:189" x14ac:dyDescent="0.35">
      <c r="A320" s="5" t="s">
        <v>1438</v>
      </c>
      <c r="B320" s="5" t="str">
        <f>IF(Technologies!B320&lt;&gt;0,Technologies!B320,"")</f>
        <v>Industrie</v>
      </c>
      <c r="C320" s="5" t="str">
        <f>VLOOKUP($A320,Technologies!$A$7:$H$576,3,FALSE)</f>
        <v>Conversion</v>
      </c>
      <c r="D320" s="5" t="str">
        <f>VLOOKUP($A320,Technologies!$A$7:$H$576,4,FALSE)</f>
        <v>Industry</v>
      </c>
      <c r="E320" s="5" t="str">
        <f>VLOOKUP($A320,Technologies!$A$7:$H$576,6,FALSE)</f>
        <v>Heat HT Industry</v>
      </c>
      <c r="F320" s="5" t="str">
        <f>VLOOKUP($A320,Technologies!$A$7:$H$576,7,FALSE)</f>
        <v>Electric Boiler - HT Heat for Industry</v>
      </c>
      <c r="G320" s="23"/>
      <c r="H320" s="23"/>
      <c r="I320" s="104" cm="1">
        <f t="array" ref="I320">-SUMPRODUCT((Feedstocks!$C$4:$C$141=A320)*Feedstocks!$E$4:$E$141,Feedstocks!$F$4:$F$141,Feedstocks!$H$4:$H$141,Feedstocks!$I$4:$I$141)</f>
        <v>0</v>
      </c>
      <c r="J320" s="104" cm="1">
        <f t="array" ref="J320">-SUMPRODUCT((Feedstocks!$C$4:$C$141=A320)*Feedstocks!$E$4:$E$141,Feedstocks!$H$4:$H$141,Feedstocks!$I$4:$I$141)</f>
        <v>0</v>
      </c>
      <c r="K320" s="104"/>
      <c r="L320" s="104"/>
      <c r="M320" s="23">
        <v>1</v>
      </c>
      <c r="N320" s="23" t="str">
        <f>VLOOKUP(E320,Activities!$A$9:$M$227,13,FALSE)</f>
        <v>NL</v>
      </c>
      <c r="O320" s="23"/>
      <c r="P320" s="79" t="s">
        <v>415</v>
      </c>
      <c r="Q320" s="35"/>
      <c r="R320" s="35"/>
      <c r="S320" s="35"/>
      <c r="T320" s="35"/>
      <c r="U320" s="35"/>
      <c r="V320" s="35"/>
      <c r="W320" s="35"/>
      <c r="X320" s="35"/>
      <c r="Y320" s="35"/>
      <c r="Z320" s="35"/>
      <c r="AA320" s="35"/>
      <c r="AB320" s="35"/>
      <c r="AC320" s="35"/>
      <c r="AD320" s="35"/>
      <c r="AE320" s="35"/>
      <c r="AF320" s="36"/>
      <c r="AG320" s="36"/>
      <c r="AH320" s="36"/>
      <c r="AI320" s="36"/>
      <c r="AJ320" s="36"/>
      <c r="AK320" s="36"/>
      <c r="AL320" s="36"/>
      <c r="AM320" s="36"/>
      <c r="AN320" s="36"/>
      <c r="AO320" s="36"/>
      <c r="AP320" s="35"/>
      <c r="AQ320" s="35"/>
      <c r="AR320" s="35"/>
      <c r="AS320" s="35"/>
      <c r="AT320" s="35"/>
      <c r="AU320" s="35"/>
      <c r="AV320" s="35"/>
      <c r="AW320" s="35"/>
      <c r="AX320" s="35"/>
      <c r="AY320" s="35"/>
      <c r="AZ320" s="35"/>
      <c r="BA320" s="35"/>
      <c r="BB320" s="35"/>
      <c r="BC320" s="35"/>
      <c r="BD320" s="35"/>
      <c r="BE320" s="35"/>
      <c r="BF320" s="35"/>
      <c r="BG320" s="35"/>
      <c r="BH320" s="35"/>
      <c r="BI320" s="35"/>
      <c r="BJ320" s="35"/>
      <c r="BK320" s="35"/>
      <c r="BL320" s="35"/>
      <c r="BM320" s="35"/>
      <c r="BN320" s="35"/>
      <c r="BO320" s="35"/>
      <c r="BP320" s="35"/>
      <c r="BQ320" s="35"/>
      <c r="BR320" s="35"/>
      <c r="BS320" s="35"/>
      <c r="BT320" s="35"/>
      <c r="BU320" s="35"/>
      <c r="BV320" s="35"/>
      <c r="BW320" s="35"/>
      <c r="BX320" s="35"/>
      <c r="BY320" s="35"/>
      <c r="BZ320" s="35"/>
      <c r="CA320" s="35"/>
      <c r="CB320" s="35"/>
      <c r="CC320" s="35"/>
      <c r="CD320" s="35"/>
      <c r="CE320" s="35"/>
      <c r="CF320" s="35"/>
      <c r="CG320" s="35"/>
      <c r="CH320" s="35"/>
      <c r="CI320" s="35"/>
      <c r="CJ320" s="35"/>
      <c r="CK320" s="35"/>
      <c r="CL320" s="35"/>
      <c r="CM320" s="35"/>
      <c r="CN320" s="35"/>
      <c r="CO320" s="35"/>
      <c r="CP320" s="35"/>
      <c r="CQ320" s="35"/>
      <c r="CR320" s="35"/>
      <c r="CS320" s="35"/>
      <c r="CT320" s="35"/>
      <c r="CU320" s="35"/>
      <c r="CV320" s="35"/>
      <c r="CW320" s="35"/>
      <c r="CX320" s="35"/>
      <c r="CY320" s="35"/>
      <c r="CZ320" s="35"/>
      <c r="DA320" s="35"/>
      <c r="DB320" s="35"/>
      <c r="DC320" s="35"/>
      <c r="DD320" s="35"/>
      <c r="DE320" s="35"/>
      <c r="DF320" s="35"/>
      <c r="DG320" s="35"/>
      <c r="DH320" s="36">
        <f>-1/0.99</f>
        <v>-1.0101010101010102</v>
      </c>
      <c r="DI320" s="35"/>
      <c r="DJ320" s="35"/>
      <c r="DK320" s="35"/>
      <c r="DL320" s="35"/>
      <c r="DM320" s="35"/>
      <c r="DN320" s="35"/>
      <c r="DO320" s="35">
        <v>1</v>
      </c>
      <c r="DP320" s="35"/>
      <c r="DQ320" s="35"/>
      <c r="DR320" s="35"/>
      <c r="DS320" s="35"/>
      <c r="DT320" s="35"/>
      <c r="DU320" s="35"/>
      <c r="DV320" s="35"/>
      <c r="DW320" s="35"/>
      <c r="DX320" s="35"/>
      <c r="DY320" s="35"/>
      <c r="DZ320" s="35"/>
      <c r="EA320" s="35"/>
      <c r="EB320" s="35"/>
      <c r="EC320" s="35"/>
      <c r="ED320" s="35"/>
      <c r="EE320" s="35"/>
      <c r="EF320" s="35"/>
      <c r="EG320" s="35"/>
      <c r="EH320" s="35"/>
      <c r="EI320" s="35"/>
      <c r="EJ320" s="35"/>
      <c r="EK320" s="35"/>
      <c r="EL320" s="35"/>
      <c r="EM320" s="35"/>
      <c r="EN320" s="35"/>
      <c r="EO320" s="35"/>
      <c r="EP320" s="35"/>
      <c r="EQ320" s="35"/>
      <c r="ER320" s="35"/>
      <c r="ES320" s="35"/>
      <c r="ET320" s="35"/>
      <c r="EU320" s="35"/>
      <c r="EV320" s="35"/>
      <c r="EW320" s="35"/>
      <c r="EX320" s="35"/>
      <c r="EY320" s="35"/>
      <c r="EZ320" s="35"/>
      <c r="FA320" s="35"/>
      <c r="FB320" s="35"/>
      <c r="FC320" s="35"/>
      <c r="FD320" s="35"/>
      <c r="FE320" s="35"/>
      <c r="FF320" s="35"/>
      <c r="FG320" s="35"/>
      <c r="FH320" s="35"/>
      <c r="FI320" s="35"/>
      <c r="FJ320" s="35"/>
      <c r="FK320" s="35"/>
      <c r="FL320" s="35"/>
      <c r="FM320" s="35"/>
      <c r="FN320" s="35"/>
      <c r="FO320" s="35"/>
      <c r="FP320" s="35"/>
      <c r="FQ320" s="35"/>
      <c r="FR320" s="35"/>
      <c r="FS320" s="35"/>
      <c r="FT320" s="35"/>
      <c r="FU320" s="35"/>
      <c r="FV320" s="35"/>
      <c r="FW320" s="35"/>
      <c r="FX320" s="35"/>
      <c r="FY320" s="35"/>
      <c r="FZ320" s="35"/>
      <c r="GA320" s="35"/>
      <c r="GB320" s="318"/>
      <c r="GC320" s="178">
        <f t="shared" si="60"/>
        <v>0</v>
      </c>
      <c r="GD320" s="178">
        <f t="shared" si="61"/>
        <v>0</v>
      </c>
      <c r="GE320" s="178">
        <f t="shared" si="62"/>
        <v>0</v>
      </c>
      <c r="GF320" s="178">
        <f t="shared" si="63"/>
        <v>0</v>
      </c>
      <c r="GG320" s="178">
        <f t="shared" si="51"/>
        <v>0</v>
      </c>
    </row>
    <row r="321" spans="1:189" x14ac:dyDescent="0.35">
      <c r="A321" s="6" t="s">
        <v>1440</v>
      </c>
      <c r="B321" s="6" t="str">
        <f>IF(Technologies!B321&lt;&gt;0,Technologies!B321,"")</f>
        <v>Industrie</v>
      </c>
      <c r="C321" s="6" t="str">
        <f>VLOOKUP($A321,Technologies!$A$7:$H$576,3,FALSE)</f>
        <v>Conversion</v>
      </c>
      <c r="D321" s="6" t="str">
        <f>VLOOKUP($A321,Technologies!$A$7:$H$576,4,FALSE)</f>
        <v>Industry</v>
      </c>
      <c r="E321" s="6" t="str">
        <f>VLOOKUP($A321,Technologies!$A$7:$H$576,6,FALSE)</f>
        <v>Heat HT Industry</v>
      </c>
      <c r="F321" s="48" t="str">
        <f>VLOOKUP($A321,Technologies!$A$7:$H$576,7,FALSE)</f>
        <v>Boiler H2 - HT Heat for Industry</v>
      </c>
      <c r="G321" s="22"/>
      <c r="H321" s="22"/>
      <c r="I321" s="103" cm="1">
        <f t="array" ref="I321">-SUMPRODUCT((Feedstocks!$C$4:$C$141=A321)*Feedstocks!$E$4:$E$141,Feedstocks!$F$4:$F$141,Feedstocks!$H$4:$H$141,Feedstocks!$I$4:$I$141)</f>
        <v>0</v>
      </c>
      <c r="J321" s="103" cm="1">
        <f t="array" ref="J321">-SUMPRODUCT((Feedstocks!$C$4:$C$141=A321)*Feedstocks!$E$4:$E$141,Feedstocks!$H$4:$H$141,Feedstocks!$I$4:$I$141)</f>
        <v>0</v>
      </c>
      <c r="K321" s="103"/>
      <c r="L321" s="103"/>
      <c r="M321" s="22">
        <v>1</v>
      </c>
      <c r="N321" s="22" t="str">
        <f>VLOOKUP(E321,Activities!$A$9:$M$227,13,FALSE)</f>
        <v>NL</v>
      </c>
      <c r="O321" s="22"/>
      <c r="P321" s="80" t="s">
        <v>415</v>
      </c>
      <c r="Q321" s="36"/>
      <c r="R321" s="36"/>
      <c r="S321" s="36"/>
      <c r="T321" s="36"/>
      <c r="U321" s="36"/>
      <c r="V321" s="36"/>
      <c r="W321" s="36"/>
      <c r="X321" s="36"/>
      <c r="Y321" s="36"/>
      <c r="Z321" s="36"/>
      <c r="AA321" s="36"/>
      <c r="AB321" s="36"/>
      <c r="AC321" s="36"/>
      <c r="AD321" s="36"/>
      <c r="AE321" s="36"/>
      <c r="AF321" s="35"/>
      <c r="AG321" s="35"/>
      <c r="AH321" s="35"/>
      <c r="AI321" s="35"/>
      <c r="AJ321" s="35"/>
      <c r="AK321" s="35"/>
      <c r="AL321" s="35"/>
      <c r="AM321" s="35"/>
      <c r="AN321" s="35"/>
      <c r="AO321" s="35"/>
      <c r="AP321" s="36"/>
      <c r="AQ321" s="36"/>
      <c r="AR321" s="36"/>
      <c r="AS321" s="36"/>
      <c r="AT321" s="36"/>
      <c r="AU321" s="36"/>
      <c r="AV321" s="36"/>
      <c r="AW321" s="36"/>
      <c r="AX321" s="36"/>
      <c r="AY321" s="36"/>
      <c r="AZ321" s="36"/>
      <c r="BA321" s="36"/>
      <c r="BB321" s="36"/>
      <c r="BC321" s="36"/>
      <c r="BD321" s="36"/>
      <c r="BE321" s="36"/>
      <c r="BF321" s="36"/>
      <c r="BG321" s="36"/>
      <c r="BH321" s="36"/>
      <c r="BI321" s="36"/>
      <c r="BJ321" s="36"/>
      <c r="BK321" s="36"/>
      <c r="BL321" s="36"/>
      <c r="BM321" s="36"/>
      <c r="BN321" s="36"/>
      <c r="BO321" s="36"/>
      <c r="BP321" s="36"/>
      <c r="BQ321" s="36"/>
      <c r="BR321" s="36"/>
      <c r="BS321" s="36"/>
      <c r="BT321" s="36"/>
      <c r="BU321" s="36"/>
      <c r="BV321" s="36"/>
      <c r="BW321" s="36"/>
      <c r="BX321" s="36"/>
      <c r="BY321" s="36"/>
      <c r="BZ321" s="36"/>
      <c r="CA321" s="36"/>
      <c r="CB321" s="36"/>
      <c r="CC321" s="36"/>
      <c r="CD321" s="36"/>
      <c r="CE321" s="36"/>
      <c r="CF321" s="36"/>
      <c r="CG321" s="36"/>
      <c r="CH321" s="36"/>
      <c r="CI321" s="36"/>
      <c r="CJ321" s="36"/>
      <c r="CK321" s="36"/>
      <c r="CL321" s="36"/>
      <c r="CM321" s="36"/>
      <c r="CN321" s="36"/>
      <c r="CO321" s="36"/>
      <c r="CP321" s="36"/>
      <c r="CQ321" s="36"/>
      <c r="CR321" s="36"/>
      <c r="CS321" s="36"/>
      <c r="CT321" s="36"/>
      <c r="CU321" s="36"/>
      <c r="CV321" s="36"/>
      <c r="CW321" s="36"/>
      <c r="CX321" s="36"/>
      <c r="CY321" s="36"/>
      <c r="CZ321" s="36"/>
      <c r="DA321" s="36"/>
      <c r="DB321" s="36"/>
      <c r="DC321" s="36"/>
      <c r="DD321" s="36"/>
      <c r="DE321" s="36"/>
      <c r="DF321" s="36"/>
      <c r="DG321" s="36"/>
      <c r="DH321" s="36"/>
      <c r="DI321" s="36"/>
      <c r="DJ321" s="36"/>
      <c r="DK321" s="36"/>
      <c r="DL321" s="36"/>
      <c r="DM321" s="36"/>
      <c r="DN321" s="36"/>
      <c r="DO321" s="36">
        <v>1</v>
      </c>
      <c r="DP321" s="36"/>
      <c r="DQ321" s="36"/>
      <c r="DR321" s="36"/>
      <c r="DS321" s="36"/>
      <c r="DT321" s="36"/>
      <c r="DU321" s="36"/>
      <c r="DV321" s="36"/>
      <c r="DW321" s="36"/>
      <c r="DX321" s="36"/>
      <c r="DY321" s="36"/>
      <c r="DZ321" s="36"/>
      <c r="EA321" s="36"/>
      <c r="EB321" s="36"/>
      <c r="EC321" s="36"/>
      <c r="ED321" s="36"/>
      <c r="EE321" s="36"/>
      <c r="EF321" s="36"/>
      <c r="EG321" s="36"/>
      <c r="EH321" s="36"/>
      <c r="EI321" s="36"/>
      <c r="EJ321" s="36"/>
      <c r="EK321" s="36"/>
      <c r="EL321" s="36"/>
      <c r="EM321" s="36">
        <v>-1.087</v>
      </c>
      <c r="EN321" s="36"/>
      <c r="EO321" s="36"/>
      <c r="EP321" s="36"/>
      <c r="EQ321" s="36"/>
      <c r="ER321" s="36"/>
      <c r="ES321" s="36"/>
      <c r="ET321" s="36"/>
      <c r="EU321" s="36"/>
      <c r="EV321" s="36"/>
      <c r="EW321" s="36"/>
      <c r="EX321" s="36"/>
      <c r="EY321" s="36"/>
      <c r="EZ321" s="36"/>
      <c r="FA321" s="36"/>
      <c r="FB321" s="36"/>
      <c r="FC321" s="36"/>
      <c r="FD321" s="36"/>
      <c r="FE321" s="36"/>
      <c r="FF321" s="36"/>
      <c r="FG321" s="36"/>
      <c r="FH321" s="36"/>
      <c r="FI321" s="36"/>
      <c r="FJ321" s="36"/>
      <c r="FK321" s="36"/>
      <c r="FL321" s="36"/>
      <c r="FM321" s="36"/>
      <c r="FN321" s="36"/>
      <c r="FO321" s="36"/>
      <c r="FP321" s="36"/>
      <c r="FQ321" s="36"/>
      <c r="FR321" s="36"/>
      <c r="FS321" s="36"/>
      <c r="FT321" s="36"/>
      <c r="FU321" s="36"/>
      <c r="FV321" s="36"/>
      <c r="FW321" s="36"/>
      <c r="FX321" s="36"/>
      <c r="FY321" s="36"/>
      <c r="FZ321" s="36"/>
      <c r="GA321" s="36"/>
      <c r="GB321" s="319"/>
      <c r="GC321" s="179">
        <f t="shared" si="60"/>
        <v>0</v>
      </c>
      <c r="GD321" s="179">
        <f t="shared" si="61"/>
        <v>0</v>
      </c>
      <c r="GE321" s="179">
        <f t="shared" si="62"/>
        <v>0</v>
      </c>
      <c r="GF321" s="179">
        <f t="shared" si="63"/>
        <v>0</v>
      </c>
      <c r="GG321" s="179">
        <f t="shared" si="51"/>
        <v>0</v>
      </c>
    </row>
    <row r="322" spans="1:189" x14ac:dyDescent="0.35">
      <c r="A322" s="6" t="s">
        <v>1442</v>
      </c>
      <c r="B322" s="6" t="str">
        <f>IF(Technologies!B322&lt;&gt;0,Technologies!B322,"")</f>
        <v>Industrie</v>
      </c>
      <c r="C322" s="6" t="str">
        <f>VLOOKUP($A322,Technologies!$A$7:$H$576,3,FALSE)</f>
        <v>Conversion</v>
      </c>
      <c r="D322" s="6" t="str">
        <f>VLOOKUP($A322,Technologies!$A$7:$H$576,4,FALSE)</f>
        <v>Industry</v>
      </c>
      <c r="E322" s="6" t="str">
        <f>VLOOKUP($A322,Technologies!$A$7:$H$576,6,FALSE)</f>
        <v>Heat HT Industry</v>
      </c>
      <c r="F322" s="48" t="str">
        <f>VLOOKUP($A322,Technologies!$A$7:$H$576,7,FALSE)</f>
        <v>Nuclear SMR Heat - HT Heat for Industry</v>
      </c>
      <c r="G322" s="22"/>
      <c r="H322" s="22"/>
      <c r="I322" s="103" cm="1">
        <f t="array" ref="I322">-SUMPRODUCT((Feedstocks!$C$4:$C$141=A322)*Feedstocks!$E$4:$E$141,Feedstocks!$F$4:$F$141,Feedstocks!$H$4:$H$141,Feedstocks!$I$4:$I$141)</f>
        <v>0</v>
      </c>
      <c r="J322" s="103" cm="1">
        <f t="array" ref="J322">-SUMPRODUCT((Feedstocks!$C$4:$C$141=A322)*Feedstocks!$E$4:$E$141,Feedstocks!$H$4:$H$141,Feedstocks!$I$4:$I$141)</f>
        <v>0</v>
      </c>
      <c r="K322" s="103"/>
      <c r="L322" s="103"/>
      <c r="M322" s="22">
        <v>1</v>
      </c>
      <c r="N322" s="22" t="str">
        <f>VLOOKUP(E322,Activities!$A$9:$M$227,13,FALSE)</f>
        <v>NL</v>
      </c>
      <c r="O322" s="22"/>
      <c r="P322" s="80" t="s">
        <v>415</v>
      </c>
      <c r="Q322" s="36"/>
      <c r="R322" s="36"/>
      <c r="S322" s="36"/>
      <c r="T322" s="36"/>
      <c r="U322" s="36"/>
      <c r="V322" s="36"/>
      <c r="W322" s="36"/>
      <c r="X322" s="36"/>
      <c r="Y322" s="36"/>
      <c r="Z322" s="36"/>
      <c r="AA322" s="36"/>
      <c r="AB322" s="36"/>
      <c r="AC322" s="36"/>
      <c r="AD322" s="36"/>
      <c r="AE322" s="36"/>
      <c r="AF322" s="36"/>
      <c r="AG322" s="36"/>
      <c r="AH322" s="36"/>
      <c r="AI322" s="36"/>
      <c r="AJ322" s="36"/>
      <c r="AK322" s="36"/>
      <c r="AL322" s="36"/>
      <c r="AM322" s="36"/>
      <c r="AN322" s="36"/>
      <c r="AO322" s="36"/>
      <c r="AP322" s="36"/>
      <c r="AQ322" s="36"/>
      <c r="AR322" s="36"/>
      <c r="AS322" s="36"/>
      <c r="AT322" s="36"/>
      <c r="AU322" s="36"/>
      <c r="AV322" s="36"/>
      <c r="AW322" s="36"/>
      <c r="AX322" s="36"/>
      <c r="AY322" s="36"/>
      <c r="AZ322" s="36"/>
      <c r="BA322" s="36"/>
      <c r="BB322" s="36"/>
      <c r="BC322" s="36"/>
      <c r="BD322" s="36"/>
      <c r="BE322" s="36"/>
      <c r="BF322" s="36"/>
      <c r="BG322" s="36"/>
      <c r="BH322" s="36"/>
      <c r="BI322" s="36"/>
      <c r="BJ322" s="36"/>
      <c r="BK322" s="36"/>
      <c r="BL322" s="36"/>
      <c r="BM322" s="36"/>
      <c r="BN322" s="36"/>
      <c r="BO322" s="36"/>
      <c r="BP322" s="36"/>
      <c r="BQ322" s="36"/>
      <c r="BR322" s="36"/>
      <c r="BS322" s="36"/>
      <c r="BT322" s="36"/>
      <c r="BU322" s="36"/>
      <c r="BV322" s="36"/>
      <c r="BW322" s="36"/>
      <c r="BX322" s="36"/>
      <c r="BY322" s="36"/>
      <c r="BZ322" s="36"/>
      <c r="CA322" s="36"/>
      <c r="CB322" s="36"/>
      <c r="CC322" s="36"/>
      <c r="CD322" s="36"/>
      <c r="CE322" s="36"/>
      <c r="CF322" s="36"/>
      <c r="CG322" s="36"/>
      <c r="CH322" s="36"/>
      <c r="CI322" s="36"/>
      <c r="CJ322" s="36"/>
      <c r="CK322" s="36"/>
      <c r="CL322" s="36"/>
      <c r="CM322" s="36"/>
      <c r="CN322" s="36"/>
      <c r="CO322" s="36"/>
      <c r="CP322" s="36"/>
      <c r="CQ322" s="36"/>
      <c r="CR322" s="36"/>
      <c r="CS322" s="36"/>
      <c r="CT322" s="36"/>
      <c r="CU322" s="36"/>
      <c r="CV322" s="36"/>
      <c r="CW322" s="36"/>
      <c r="CX322" s="36"/>
      <c r="CY322" s="36"/>
      <c r="CZ322" s="36"/>
      <c r="DA322" s="36"/>
      <c r="DB322" s="36"/>
      <c r="DC322" s="36"/>
      <c r="DD322" s="36"/>
      <c r="DE322" s="36"/>
      <c r="DF322" s="36"/>
      <c r="DG322" s="36"/>
      <c r="DH322" s="36"/>
      <c r="DI322" s="36"/>
      <c r="DJ322" s="36"/>
      <c r="DK322" s="36"/>
      <c r="DL322" s="36"/>
      <c r="DM322" s="36"/>
      <c r="DN322" s="36"/>
      <c r="DO322" s="36">
        <v>1</v>
      </c>
      <c r="DP322" s="36"/>
      <c r="DQ322" s="36"/>
      <c r="DR322" s="36"/>
      <c r="DS322" s="36"/>
      <c r="DT322" s="36"/>
      <c r="DU322" s="36"/>
      <c r="DV322" s="36"/>
      <c r="DW322" s="36"/>
      <c r="DX322" s="36"/>
      <c r="DY322" s="36"/>
      <c r="DZ322" s="36"/>
      <c r="EA322" s="36"/>
      <c r="EB322" s="36"/>
      <c r="EC322" s="36"/>
      <c r="ED322" s="36"/>
      <c r="EE322" s="36"/>
      <c r="EF322" s="36"/>
      <c r="EG322" s="36"/>
      <c r="EH322" s="36"/>
      <c r="EI322" s="36"/>
      <c r="EJ322" s="36"/>
      <c r="EK322" s="36"/>
      <c r="EL322" s="36"/>
      <c r="EM322" s="36"/>
      <c r="EN322" s="36"/>
      <c r="EO322" s="36"/>
      <c r="EP322" s="36"/>
      <c r="EQ322" s="36"/>
      <c r="ER322" s="36"/>
      <c r="ES322" s="36"/>
      <c r="ET322" s="36"/>
      <c r="EU322" s="36"/>
      <c r="EV322" s="36">
        <v>-1</v>
      </c>
      <c r="EW322" s="36"/>
      <c r="EX322" s="36"/>
      <c r="EY322" s="36"/>
      <c r="EZ322" s="36"/>
      <c r="FA322" s="36"/>
      <c r="FB322" s="36"/>
      <c r="FC322" s="36"/>
      <c r="FD322" s="36"/>
      <c r="FE322" s="36"/>
      <c r="FF322" s="36"/>
      <c r="FG322" s="36"/>
      <c r="FH322" s="36"/>
      <c r="FI322" s="36"/>
      <c r="FJ322" s="36"/>
      <c r="FK322" s="36"/>
      <c r="FL322" s="36"/>
      <c r="FM322" s="36"/>
      <c r="FN322" s="36"/>
      <c r="FO322" s="36"/>
      <c r="FP322" s="36"/>
      <c r="FQ322" s="36"/>
      <c r="FR322" s="36"/>
      <c r="FS322" s="36"/>
      <c r="FT322" s="36"/>
      <c r="FU322" s="36"/>
      <c r="FV322" s="36"/>
      <c r="FW322" s="36"/>
      <c r="FX322" s="36"/>
      <c r="FY322" s="36"/>
      <c r="FZ322" s="36"/>
      <c r="GA322" s="36"/>
      <c r="GB322" s="319"/>
      <c r="GC322" s="179">
        <f t="shared" si="60"/>
        <v>0</v>
      </c>
      <c r="GD322" s="179">
        <f t="shared" si="61"/>
        <v>0</v>
      </c>
      <c r="GE322" s="179">
        <f t="shared" si="62"/>
        <v>0</v>
      </c>
      <c r="GF322" s="179">
        <f t="shared" si="63"/>
        <v>0</v>
      </c>
      <c r="GG322" s="179">
        <f t="shared" si="51"/>
        <v>0</v>
      </c>
    </row>
    <row r="323" spans="1:189" x14ac:dyDescent="0.35">
      <c r="A323" s="6" t="s">
        <v>1444</v>
      </c>
      <c r="B323" s="6" t="str">
        <f>IF(Technologies!B323&lt;&gt;0,Technologies!B323,"")</f>
        <v>Industrie</v>
      </c>
      <c r="C323" s="6" t="str">
        <f>VLOOKUP($A323,Technologies!$A$7:$H$576,3,FALSE)</f>
        <v>Conversion</v>
      </c>
      <c r="D323" s="6" t="str">
        <f>VLOOKUP($A323,Technologies!$A$7:$H$576,4,FALSE)</f>
        <v>Industry</v>
      </c>
      <c r="E323" s="6" t="str">
        <f>VLOOKUP($A323,Technologies!$A$7:$H$576,6,FALSE)</f>
        <v>Heat HT Industry</v>
      </c>
      <c r="F323" s="48" t="str">
        <f>VLOOKUP($A323,Technologies!$A$7:$H$576,7,FALSE)</f>
        <v>CHP Nuclear SMR - HT Heat for Industry</v>
      </c>
      <c r="G323" s="22"/>
      <c r="H323" s="22"/>
      <c r="I323" s="103" cm="1">
        <f t="array" ref="I323">-SUMPRODUCT((Feedstocks!$C$4:$C$141=A323)*Feedstocks!$E$4:$E$141,Feedstocks!$F$4:$F$141,Feedstocks!$H$4:$H$141,Feedstocks!$I$4:$I$141)</f>
        <v>0</v>
      </c>
      <c r="J323" s="103" cm="1">
        <f t="array" ref="J323">-SUMPRODUCT((Feedstocks!$C$4:$C$141=A323)*Feedstocks!$E$4:$E$141,Feedstocks!$H$4:$H$141,Feedstocks!$I$4:$I$141)</f>
        <v>0</v>
      </c>
      <c r="K323" s="103"/>
      <c r="L323" s="103"/>
      <c r="M323" s="22">
        <v>1</v>
      </c>
      <c r="N323" s="22" t="str">
        <f>VLOOKUP(E323,Activities!$A$9:$M$227,13,FALSE)</f>
        <v>NL</v>
      </c>
      <c r="O323" s="22"/>
      <c r="P323" s="80" t="s">
        <v>415</v>
      </c>
      <c r="Q323" s="36"/>
      <c r="R323" s="36"/>
      <c r="S323" s="36"/>
      <c r="T323" s="36"/>
      <c r="U323" s="36"/>
      <c r="V323" s="36"/>
      <c r="W323" s="36"/>
      <c r="X323" s="36"/>
      <c r="Y323" s="36"/>
      <c r="Z323" s="36"/>
      <c r="AA323" s="36"/>
      <c r="AB323" s="36"/>
      <c r="AC323" s="36"/>
      <c r="AD323" s="36"/>
      <c r="AE323" s="36"/>
      <c r="AF323" s="35"/>
      <c r="AG323" s="35"/>
      <c r="AH323" s="35"/>
      <c r="AI323" s="35"/>
      <c r="AJ323" s="35"/>
      <c r="AK323" s="35"/>
      <c r="AL323" s="35"/>
      <c r="AM323" s="35"/>
      <c r="AN323" s="35"/>
      <c r="AO323" s="35"/>
      <c r="AP323" s="36"/>
      <c r="AQ323" s="36"/>
      <c r="AR323" s="36"/>
      <c r="AS323" s="36"/>
      <c r="AT323" s="36"/>
      <c r="AU323" s="36"/>
      <c r="AV323" s="36"/>
      <c r="AW323" s="36"/>
      <c r="AX323" s="36"/>
      <c r="AY323" s="36"/>
      <c r="AZ323" s="36"/>
      <c r="BA323" s="36"/>
      <c r="BB323" s="36"/>
      <c r="BC323" s="36"/>
      <c r="BD323" s="36"/>
      <c r="BE323" s="36"/>
      <c r="BF323" s="36"/>
      <c r="BG323" s="36"/>
      <c r="BH323" s="36"/>
      <c r="BI323" s="36"/>
      <c r="BJ323" s="36"/>
      <c r="BK323" s="36"/>
      <c r="BL323" s="36"/>
      <c r="BM323" s="36"/>
      <c r="BN323" s="36"/>
      <c r="BO323" s="36"/>
      <c r="BP323" s="36"/>
      <c r="BQ323" s="36"/>
      <c r="BR323" s="36"/>
      <c r="BS323" s="36"/>
      <c r="BT323" s="36"/>
      <c r="BU323" s="36"/>
      <c r="BV323" s="36"/>
      <c r="BW323" s="36"/>
      <c r="BX323" s="36"/>
      <c r="BY323" s="36"/>
      <c r="BZ323" s="36"/>
      <c r="CA323" s="36"/>
      <c r="CB323" s="36"/>
      <c r="CC323" s="36"/>
      <c r="CD323" s="36"/>
      <c r="CE323" s="36"/>
      <c r="CF323" s="36"/>
      <c r="CG323" s="36"/>
      <c r="CH323" s="36"/>
      <c r="CI323" s="36"/>
      <c r="CJ323" s="36"/>
      <c r="CK323" s="36"/>
      <c r="CL323" s="36"/>
      <c r="CM323" s="36"/>
      <c r="CN323" s="36"/>
      <c r="CO323" s="36"/>
      <c r="CP323" s="36"/>
      <c r="CQ323" s="36"/>
      <c r="CR323" s="36"/>
      <c r="CS323" s="36"/>
      <c r="CT323" s="36"/>
      <c r="CU323" s="36"/>
      <c r="CV323" s="36"/>
      <c r="CW323" s="36"/>
      <c r="CX323" s="36"/>
      <c r="CY323" s="36"/>
      <c r="CZ323" s="36"/>
      <c r="DA323" s="36"/>
      <c r="DB323" s="36"/>
      <c r="DC323" s="36"/>
      <c r="DD323" s="36"/>
      <c r="DE323" s="36"/>
      <c r="DF323" s="36"/>
      <c r="DG323" s="36"/>
      <c r="DH323" s="36">
        <v>0.6</v>
      </c>
      <c r="DI323" s="36"/>
      <c r="DJ323" s="36"/>
      <c r="DK323" s="36"/>
      <c r="DL323" s="36"/>
      <c r="DM323" s="36"/>
      <c r="DN323" s="36"/>
      <c r="DO323" s="36">
        <v>1</v>
      </c>
      <c r="DP323" s="36"/>
      <c r="DQ323" s="36"/>
      <c r="DR323" s="36"/>
      <c r="DS323" s="36"/>
      <c r="DT323" s="36"/>
      <c r="DU323" s="36"/>
      <c r="DV323" s="36"/>
      <c r="DW323" s="36"/>
      <c r="DX323" s="36"/>
      <c r="DY323" s="36"/>
      <c r="DZ323" s="36"/>
      <c r="EA323" s="36"/>
      <c r="EB323" s="36"/>
      <c r="EC323" s="36"/>
      <c r="ED323" s="36"/>
      <c r="EE323" s="36"/>
      <c r="EF323" s="36"/>
      <c r="EG323" s="36"/>
      <c r="EH323" s="36"/>
      <c r="EI323" s="36"/>
      <c r="EJ323" s="36"/>
      <c r="EK323" s="36"/>
      <c r="EL323" s="36"/>
      <c r="EM323" s="36"/>
      <c r="EN323" s="36"/>
      <c r="EO323" s="36"/>
      <c r="EP323" s="36"/>
      <c r="EQ323" s="36"/>
      <c r="ER323" s="36"/>
      <c r="ES323" s="36"/>
      <c r="ET323" s="36"/>
      <c r="EU323" s="36"/>
      <c r="EV323" s="36">
        <v>-4</v>
      </c>
      <c r="EW323" s="36"/>
      <c r="EX323" s="36"/>
      <c r="EY323" s="36"/>
      <c r="EZ323" s="36"/>
      <c r="FA323" s="36"/>
      <c r="FB323" s="36"/>
      <c r="FC323" s="36"/>
      <c r="FD323" s="36"/>
      <c r="FE323" s="36"/>
      <c r="FF323" s="36"/>
      <c r="FG323" s="36"/>
      <c r="FH323" s="36"/>
      <c r="FI323" s="36"/>
      <c r="FJ323" s="36"/>
      <c r="FK323" s="36"/>
      <c r="FL323" s="36"/>
      <c r="FM323" s="36"/>
      <c r="FN323" s="36"/>
      <c r="FO323" s="36"/>
      <c r="FP323" s="36"/>
      <c r="FQ323" s="36"/>
      <c r="FR323" s="36"/>
      <c r="FS323" s="36"/>
      <c r="FT323" s="36"/>
      <c r="FU323" s="36"/>
      <c r="FV323" s="36"/>
      <c r="FW323" s="36"/>
      <c r="FX323" s="36"/>
      <c r="FY323" s="36"/>
      <c r="FZ323" s="36"/>
      <c r="GA323" s="36"/>
      <c r="GB323" s="319"/>
      <c r="GC323" s="179">
        <f t="shared" si="60"/>
        <v>0</v>
      </c>
      <c r="GD323" s="179">
        <f t="shared" si="61"/>
        <v>0</v>
      </c>
      <c r="GE323" s="179">
        <f t="shared" si="62"/>
        <v>0</v>
      </c>
      <c r="GF323" s="179">
        <f t="shared" si="63"/>
        <v>0</v>
      </c>
      <c r="GG323" s="179">
        <f t="shared" si="51"/>
        <v>0</v>
      </c>
    </row>
    <row r="324" spans="1:189" x14ac:dyDescent="0.35">
      <c r="A324" s="5" t="s">
        <v>1446</v>
      </c>
      <c r="B324" s="6" t="str">
        <f>IF(Technologies!B324&lt;&gt;0,Technologies!B324,"")</f>
        <v>Industrie</v>
      </c>
      <c r="C324" s="5" t="str">
        <f>VLOOKUP($A324,Technologies!$A$7:$H$576,3,FALSE)</f>
        <v>Conversion</v>
      </c>
      <c r="D324" s="5" t="str">
        <f>VLOOKUP($A324,Technologies!$A$7:$H$576,4,FALSE)</f>
        <v>Industry</v>
      </c>
      <c r="E324" s="5" t="str">
        <f>VLOOKUP($A324,Technologies!$A$7:$H$576,6,FALSE)</f>
        <v>Heat LT Industry</v>
      </c>
      <c r="F324" s="5" t="str">
        <f>VLOOKUP($A324,Technologies!$A$7:$H$576,7,FALSE)</f>
        <v>Dummy HT tech into LT - LT Heat for Industry</v>
      </c>
      <c r="G324" s="23"/>
      <c r="H324" s="23"/>
      <c r="I324" s="104" cm="1">
        <f t="array" ref="I324">-SUMPRODUCT((Feedstocks!$C$4:$C$141=A324)*Feedstocks!$E$4:$E$141,Feedstocks!$F$4:$F$141,Feedstocks!$H$4:$H$141,Feedstocks!$I$4:$I$141)</f>
        <v>0</v>
      </c>
      <c r="J324" s="104" cm="1">
        <f t="array" ref="J324">-SUMPRODUCT((Feedstocks!$C$4:$C$141=A324)*Feedstocks!$E$4:$E$141,Feedstocks!$H$4:$H$141,Feedstocks!$I$4:$I$141)</f>
        <v>0</v>
      </c>
      <c r="K324" s="104"/>
      <c r="L324" s="104"/>
      <c r="M324" s="23">
        <v>1</v>
      </c>
      <c r="N324" s="23" t="str">
        <f>VLOOKUP(E324,Activities!$A$9:$M$227,13,FALSE)</f>
        <v>NL</v>
      </c>
      <c r="O324" s="23"/>
      <c r="P324" s="79" t="s">
        <v>502</v>
      </c>
      <c r="Q324" s="35"/>
      <c r="R324" s="35"/>
      <c r="S324" s="35"/>
      <c r="T324" s="35"/>
      <c r="U324" s="35"/>
      <c r="V324" s="35"/>
      <c r="W324" s="35"/>
      <c r="X324" s="35"/>
      <c r="Y324" s="35"/>
      <c r="Z324" s="35"/>
      <c r="AA324" s="35"/>
      <c r="AB324" s="35"/>
      <c r="AC324" s="35"/>
      <c r="AD324" s="35"/>
      <c r="AE324" s="35"/>
      <c r="AF324" s="36"/>
      <c r="AG324" s="36"/>
      <c r="AH324" s="36"/>
      <c r="AI324" s="36"/>
      <c r="AJ324" s="36"/>
      <c r="AK324" s="36"/>
      <c r="AL324" s="36"/>
      <c r="AM324" s="36"/>
      <c r="AN324" s="36"/>
      <c r="AO324" s="36"/>
      <c r="AP324" s="35"/>
      <c r="AQ324" s="35"/>
      <c r="AR324" s="35"/>
      <c r="AS324" s="35"/>
      <c r="AT324" s="35"/>
      <c r="AU324" s="35"/>
      <c r="AV324" s="35"/>
      <c r="AW324" s="35"/>
      <c r="AX324" s="35"/>
      <c r="AY324" s="35"/>
      <c r="AZ324" s="35"/>
      <c r="BA324" s="35"/>
      <c r="BB324" s="35"/>
      <c r="BC324" s="35"/>
      <c r="BD324" s="35"/>
      <c r="BE324" s="35"/>
      <c r="BF324" s="35"/>
      <c r="BG324" s="35"/>
      <c r="BH324" s="35"/>
      <c r="BI324" s="35"/>
      <c r="BJ324" s="35"/>
      <c r="BK324" s="35"/>
      <c r="BL324" s="35"/>
      <c r="BM324" s="35"/>
      <c r="BN324" s="35"/>
      <c r="BO324" s="35"/>
      <c r="BP324" s="35"/>
      <c r="BQ324" s="35"/>
      <c r="BR324" s="35"/>
      <c r="BS324" s="35"/>
      <c r="BT324" s="35"/>
      <c r="BU324" s="35"/>
      <c r="BV324" s="35"/>
      <c r="BW324" s="35"/>
      <c r="BX324" s="35"/>
      <c r="BY324" s="35"/>
      <c r="BZ324" s="35"/>
      <c r="CA324" s="35"/>
      <c r="CB324" s="35"/>
      <c r="CC324" s="35"/>
      <c r="CD324" s="35"/>
      <c r="CE324" s="35"/>
      <c r="CF324" s="35"/>
      <c r="CG324" s="35"/>
      <c r="CH324" s="35"/>
      <c r="CI324" s="35"/>
      <c r="CJ324" s="35"/>
      <c r="CK324" s="35"/>
      <c r="CL324" s="35"/>
      <c r="CM324" s="35"/>
      <c r="CN324" s="35"/>
      <c r="CO324" s="35"/>
      <c r="CP324" s="35"/>
      <c r="CQ324" s="35"/>
      <c r="CR324" s="35"/>
      <c r="CS324" s="35"/>
      <c r="CT324" s="35"/>
      <c r="CU324" s="35"/>
      <c r="CV324" s="35"/>
      <c r="CW324" s="35"/>
      <c r="CX324" s="35"/>
      <c r="CY324" s="35"/>
      <c r="CZ324" s="35"/>
      <c r="DA324" s="35"/>
      <c r="DB324" s="35"/>
      <c r="DC324" s="35"/>
      <c r="DD324" s="35"/>
      <c r="DE324" s="35"/>
      <c r="DF324" s="35"/>
      <c r="DG324" s="35"/>
      <c r="DH324" s="35"/>
      <c r="DI324" s="35"/>
      <c r="DJ324" s="35"/>
      <c r="DK324" s="35"/>
      <c r="DL324" s="35"/>
      <c r="DM324" s="35"/>
      <c r="DN324" s="35"/>
      <c r="DO324" s="35">
        <v>-1</v>
      </c>
      <c r="DP324" s="35">
        <v>1</v>
      </c>
      <c r="DQ324" s="35"/>
      <c r="DR324" s="35"/>
      <c r="DS324" s="35"/>
      <c r="DT324" s="35"/>
      <c r="DU324" s="35"/>
      <c r="DV324" s="35"/>
      <c r="DW324" s="35"/>
      <c r="DX324" s="35"/>
      <c r="DY324" s="35"/>
      <c r="DZ324" s="35"/>
      <c r="EA324" s="35"/>
      <c r="EB324" s="35"/>
      <c r="EC324" s="35"/>
      <c r="ED324" s="35"/>
      <c r="EE324" s="35"/>
      <c r="EF324" s="35"/>
      <c r="EG324" s="35"/>
      <c r="EH324" s="35"/>
      <c r="EI324" s="35"/>
      <c r="EJ324" s="35"/>
      <c r="EK324" s="35"/>
      <c r="EL324" s="35"/>
      <c r="EM324" s="35"/>
      <c r="EN324" s="35"/>
      <c r="EO324" s="35"/>
      <c r="EP324" s="35"/>
      <c r="EQ324" s="35"/>
      <c r="ER324" s="35"/>
      <c r="ES324" s="35"/>
      <c r="ET324" s="35"/>
      <c r="EU324" s="35"/>
      <c r="EV324" s="35"/>
      <c r="EW324" s="35"/>
      <c r="EX324" s="35"/>
      <c r="EY324" s="35"/>
      <c r="EZ324" s="35"/>
      <c r="FA324" s="35"/>
      <c r="FB324" s="35"/>
      <c r="FC324" s="35"/>
      <c r="FD324" s="35"/>
      <c r="FE324" s="35"/>
      <c r="FF324" s="35"/>
      <c r="FG324" s="35"/>
      <c r="FH324" s="35"/>
      <c r="FI324" s="35"/>
      <c r="FJ324" s="35"/>
      <c r="FK324" s="35"/>
      <c r="FL324" s="35"/>
      <c r="FM324" s="35"/>
      <c r="FN324" s="35"/>
      <c r="FO324" s="35"/>
      <c r="FP324" s="35"/>
      <c r="FQ324" s="35"/>
      <c r="FR324" s="35"/>
      <c r="FS324" s="35"/>
      <c r="FT324" s="35"/>
      <c r="FU324" s="35"/>
      <c r="FV324" s="35"/>
      <c r="FW324" s="35"/>
      <c r="FX324" s="35"/>
      <c r="FY324" s="35"/>
      <c r="FZ324" s="35"/>
      <c r="GA324" s="35"/>
      <c r="GB324" s="318"/>
      <c r="GC324" s="178">
        <f t="shared" si="60"/>
        <v>0</v>
      </c>
      <c r="GD324" s="178">
        <f t="shared" si="61"/>
        <v>0</v>
      </c>
      <c r="GE324" s="178">
        <f t="shared" si="62"/>
        <v>0</v>
      </c>
      <c r="GF324" s="178">
        <f t="shared" si="63"/>
        <v>0</v>
      </c>
      <c r="GG324" s="178">
        <f t="shared" si="51"/>
        <v>0</v>
      </c>
    </row>
    <row r="325" spans="1:189" x14ac:dyDescent="0.35">
      <c r="A325" s="6" t="s">
        <v>1448</v>
      </c>
      <c r="B325" s="6" t="str">
        <f>IF(Technologies!B325&lt;&gt;0,Technologies!B325,"")</f>
        <v>Industrie</v>
      </c>
      <c r="C325" s="6" t="str">
        <f>VLOOKUP($A325,Technologies!$A$7:$H$576,3,FALSE)</f>
        <v>Conversion</v>
      </c>
      <c r="D325" s="6" t="str">
        <f>VLOOKUP($A325,Technologies!$A$7:$H$576,4,FALSE)</f>
        <v>Industry</v>
      </c>
      <c r="E325" s="6" t="str">
        <f>VLOOKUP($A325,Technologies!$A$7:$H$576,6,FALSE)</f>
        <v>Heat LT Industry</v>
      </c>
      <c r="F325" s="48" t="str">
        <f>VLOOKUP($A325,Technologies!$A$7:$H$576,7,FALSE)</f>
        <v>Heat Pump Gas - LT Heat for Industry</v>
      </c>
      <c r="G325" s="22"/>
      <c r="H325" s="22"/>
      <c r="I325" s="103" cm="1">
        <f t="array" ref="I325">-SUMPRODUCT((Feedstocks!$C$4:$C$141=A325)*Feedstocks!$E$4:$E$141,Feedstocks!$F$4:$F$141,Feedstocks!$H$4:$H$141,Feedstocks!$I$4:$I$141)</f>
        <v>0</v>
      </c>
      <c r="J325" s="103" cm="1">
        <f t="array" ref="J325">-SUMPRODUCT((Feedstocks!$C$4:$C$141=A325)*Feedstocks!$E$4:$E$141,Feedstocks!$H$4:$H$141,Feedstocks!$I$4:$I$141)</f>
        <v>0</v>
      </c>
      <c r="K325" s="103"/>
      <c r="L325" s="103"/>
      <c r="M325" s="22">
        <v>1</v>
      </c>
      <c r="N325" s="22" t="str">
        <f>VLOOKUP(E325,Activities!$A$9:$M$227,13,FALSE)</f>
        <v>NL</v>
      </c>
      <c r="O325" s="22"/>
      <c r="P325" s="80" t="s">
        <v>415</v>
      </c>
      <c r="Q325" s="36"/>
      <c r="R325" s="36"/>
      <c r="S325" s="36"/>
      <c r="T325" s="36"/>
      <c r="U325" s="36"/>
      <c r="V325" s="36"/>
      <c r="W325" s="36"/>
      <c r="X325" s="36"/>
      <c r="Y325" s="36"/>
      <c r="Z325" s="36"/>
      <c r="AA325" s="36"/>
      <c r="AB325" s="36"/>
      <c r="AC325" s="36"/>
      <c r="AD325" s="36"/>
      <c r="AE325" s="36"/>
      <c r="AF325" s="35"/>
      <c r="AG325" s="35"/>
      <c r="AH325" s="35"/>
      <c r="AI325" s="35"/>
      <c r="AJ325" s="35"/>
      <c r="AK325" s="35"/>
      <c r="AL325" s="35"/>
      <c r="AM325" s="35"/>
      <c r="AN325" s="35"/>
      <c r="AO325" s="35"/>
      <c r="AP325" s="36"/>
      <c r="AQ325" s="36"/>
      <c r="AR325" s="36"/>
      <c r="AS325" s="36"/>
      <c r="AT325" s="36"/>
      <c r="AU325" s="36"/>
      <c r="AV325" s="36"/>
      <c r="AW325" s="36"/>
      <c r="AX325" s="36"/>
      <c r="AY325" s="36"/>
      <c r="AZ325" s="36"/>
      <c r="BA325" s="36"/>
      <c r="BB325" s="36"/>
      <c r="BC325" s="36"/>
      <c r="BD325" s="36"/>
      <c r="BE325" s="36"/>
      <c r="BF325" s="36"/>
      <c r="BG325" s="36"/>
      <c r="BH325" s="36"/>
      <c r="BI325" s="36"/>
      <c r="BJ325" s="36"/>
      <c r="BK325" s="36"/>
      <c r="BL325" s="36"/>
      <c r="BM325" s="36"/>
      <c r="BN325" s="36"/>
      <c r="BO325" s="36"/>
      <c r="BP325" s="36"/>
      <c r="BQ325" s="36"/>
      <c r="BR325" s="36"/>
      <c r="BS325" s="36"/>
      <c r="BT325" s="36"/>
      <c r="BU325" s="36"/>
      <c r="BV325" s="36"/>
      <c r="BW325" s="36"/>
      <c r="BX325" s="36"/>
      <c r="BY325" s="36"/>
      <c r="BZ325" s="36"/>
      <c r="CA325" s="36"/>
      <c r="CB325" s="36"/>
      <c r="CC325" s="36"/>
      <c r="CD325" s="36"/>
      <c r="CE325" s="36"/>
      <c r="CF325" s="36"/>
      <c r="CG325" s="36"/>
      <c r="CH325" s="36"/>
      <c r="CI325" s="36"/>
      <c r="CJ325" s="36"/>
      <c r="CK325" s="36"/>
      <c r="CL325" s="36"/>
      <c r="CM325" s="36"/>
      <c r="CN325" s="36"/>
      <c r="CO325" s="36"/>
      <c r="CP325" s="36"/>
      <c r="CQ325" s="36"/>
      <c r="CR325" s="36"/>
      <c r="CS325" s="36"/>
      <c r="CT325" s="36"/>
      <c r="CU325" s="36"/>
      <c r="CV325" s="36"/>
      <c r="CW325" s="36"/>
      <c r="CX325" s="36"/>
      <c r="CY325" s="36"/>
      <c r="CZ325" s="36"/>
      <c r="DA325" s="36"/>
      <c r="DB325" s="36"/>
      <c r="DC325" s="36"/>
      <c r="DD325" s="36"/>
      <c r="DE325" s="36"/>
      <c r="DF325" s="36"/>
      <c r="DG325" s="36"/>
      <c r="DH325" s="36"/>
      <c r="DI325" s="36"/>
      <c r="DJ325" s="36"/>
      <c r="DK325" s="36"/>
      <c r="DL325" s="36"/>
      <c r="DM325" s="36"/>
      <c r="DN325" s="36"/>
      <c r="DO325" s="36"/>
      <c r="DP325" s="36">
        <v>1</v>
      </c>
      <c r="DQ325" s="36"/>
      <c r="DR325" s="36"/>
      <c r="DS325" s="36"/>
      <c r="DT325" s="36"/>
      <c r="DU325" s="36"/>
      <c r="DV325" s="36"/>
      <c r="DW325" s="36"/>
      <c r="DX325" s="36"/>
      <c r="DY325" s="36"/>
      <c r="DZ325" s="36"/>
      <c r="EA325" s="36"/>
      <c r="EB325" s="36"/>
      <c r="EC325" s="36"/>
      <c r="ED325" s="36"/>
      <c r="EE325" s="36"/>
      <c r="EF325" s="36"/>
      <c r="EG325" s="36"/>
      <c r="EH325" s="36"/>
      <c r="EI325" s="36"/>
      <c r="EJ325" s="36">
        <v>-0.71399999999999997</v>
      </c>
      <c r="EK325" s="36"/>
      <c r="EL325" s="36"/>
      <c r="EM325" s="36"/>
      <c r="EN325" s="36"/>
      <c r="EO325" s="36"/>
      <c r="EP325" s="36"/>
      <c r="EQ325" s="36"/>
      <c r="ER325" s="36"/>
      <c r="ES325" s="36"/>
      <c r="ET325" s="36"/>
      <c r="EU325" s="36"/>
      <c r="EV325" s="36"/>
      <c r="EW325" s="36"/>
      <c r="EX325" s="36"/>
      <c r="EY325" s="36"/>
      <c r="EZ325" s="36"/>
      <c r="FA325" s="36"/>
      <c r="FB325" s="36"/>
      <c r="FC325" s="36"/>
      <c r="FD325" s="36"/>
      <c r="FE325" s="36"/>
      <c r="FF325" s="36"/>
      <c r="FG325" s="36"/>
      <c r="FH325" s="36"/>
      <c r="FI325" s="36"/>
      <c r="FJ325" s="36"/>
      <c r="FK325" s="36"/>
      <c r="FL325" s="36">
        <v>-0.65</v>
      </c>
      <c r="FM325" s="36"/>
      <c r="FN325" s="36"/>
      <c r="FO325" s="36"/>
      <c r="FP325" s="36"/>
      <c r="FQ325" s="36"/>
      <c r="FR325" s="36"/>
      <c r="FS325" s="36"/>
      <c r="FT325" s="36"/>
      <c r="FU325" s="36"/>
      <c r="FV325" s="36"/>
      <c r="FW325" s="36"/>
      <c r="FX325" s="36"/>
      <c r="FY325" s="36"/>
      <c r="FZ325" s="36"/>
      <c r="GA325" s="36"/>
      <c r="GB325" s="319"/>
      <c r="GC325" s="179">
        <f t="shared" si="60"/>
        <v>0</v>
      </c>
      <c r="GD325" s="179">
        <f t="shared" si="61"/>
        <v>4.0399999999999998E-2</v>
      </c>
      <c r="GE325" s="179">
        <f t="shared" si="62"/>
        <v>0</v>
      </c>
      <c r="GF325" s="179">
        <f t="shared" si="63"/>
        <v>0</v>
      </c>
      <c r="GG325" s="179">
        <f t="shared" si="51"/>
        <v>0</v>
      </c>
    </row>
    <row r="326" spans="1:189" x14ac:dyDescent="0.35">
      <c r="A326" s="5" t="s">
        <v>1450</v>
      </c>
      <c r="B326" s="5" t="str">
        <f>IF(Technologies!B326&lt;&gt;0,Technologies!B326,"")</f>
        <v>Industrie</v>
      </c>
      <c r="C326" s="5" t="str">
        <f>VLOOKUP($A326,Technologies!$A$7:$H$576,3,FALSE)</f>
        <v>Conversion</v>
      </c>
      <c r="D326" s="5" t="str">
        <f>VLOOKUP($A326,Technologies!$A$7:$H$576,4,FALSE)</f>
        <v>Industry</v>
      </c>
      <c r="E326" s="5" t="str">
        <f>VLOOKUP($A326,Technologies!$A$7:$H$576,6,FALSE)</f>
        <v>Heat LT Industry</v>
      </c>
      <c r="F326" s="5" t="str">
        <f>VLOOKUP($A326,Technologies!$A$7:$H$576,7,FALSE)</f>
        <v>Heat Pump Electricity - LT Heat for Industry</v>
      </c>
      <c r="G326" s="23"/>
      <c r="H326" s="23"/>
      <c r="I326" s="104" cm="1">
        <f t="array" ref="I326">-SUMPRODUCT((Feedstocks!$C$4:$C$141=A326)*Feedstocks!$E$4:$E$141,Feedstocks!$F$4:$F$141,Feedstocks!$H$4:$H$141,Feedstocks!$I$4:$I$141)</f>
        <v>0</v>
      </c>
      <c r="J326" s="104" cm="1">
        <f t="array" ref="J326">-SUMPRODUCT((Feedstocks!$C$4:$C$141=A326)*Feedstocks!$E$4:$E$141,Feedstocks!$H$4:$H$141,Feedstocks!$I$4:$I$141)</f>
        <v>0</v>
      </c>
      <c r="K326" s="104"/>
      <c r="L326" s="104"/>
      <c r="M326" s="23">
        <v>1</v>
      </c>
      <c r="N326" s="23" t="str">
        <f>VLOOKUP(E326,Activities!$A$9:$M$227,13,FALSE)</f>
        <v>NL</v>
      </c>
      <c r="O326" s="23"/>
      <c r="P326" s="79" t="s">
        <v>415</v>
      </c>
      <c r="Q326" s="35"/>
      <c r="R326" s="35"/>
      <c r="S326" s="35"/>
      <c r="T326" s="35"/>
      <c r="U326" s="35"/>
      <c r="V326" s="35"/>
      <c r="W326" s="35"/>
      <c r="X326" s="35"/>
      <c r="Y326" s="35"/>
      <c r="Z326" s="35"/>
      <c r="AA326" s="35"/>
      <c r="AB326" s="35"/>
      <c r="AC326" s="35"/>
      <c r="AD326" s="35"/>
      <c r="AE326" s="35"/>
      <c r="AF326" s="36"/>
      <c r="AG326" s="36"/>
      <c r="AH326" s="36"/>
      <c r="AI326" s="36"/>
      <c r="AJ326" s="36"/>
      <c r="AK326" s="36"/>
      <c r="AL326" s="36"/>
      <c r="AM326" s="36"/>
      <c r="AN326" s="36"/>
      <c r="AO326" s="36"/>
      <c r="AP326" s="35"/>
      <c r="AQ326" s="35"/>
      <c r="AR326" s="35"/>
      <c r="AS326" s="35"/>
      <c r="AT326" s="35"/>
      <c r="AU326" s="35"/>
      <c r="AV326" s="35"/>
      <c r="AW326" s="35"/>
      <c r="AX326" s="35"/>
      <c r="AY326" s="35"/>
      <c r="AZ326" s="35"/>
      <c r="BA326" s="35"/>
      <c r="BB326" s="35"/>
      <c r="BC326" s="35"/>
      <c r="BD326" s="35"/>
      <c r="BE326" s="35"/>
      <c r="BF326" s="35"/>
      <c r="BG326" s="35"/>
      <c r="BH326" s="35"/>
      <c r="BI326" s="35"/>
      <c r="BJ326" s="35"/>
      <c r="BK326" s="35"/>
      <c r="BL326" s="35"/>
      <c r="BM326" s="35"/>
      <c r="BN326" s="35"/>
      <c r="BO326" s="35"/>
      <c r="BP326" s="35"/>
      <c r="BQ326" s="35"/>
      <c r="BR326" s="35"/>
      <c r="BS326" s="35"/>
      <c r="BT326" s="35"/>
      <c r="BU326" s="35"/>
      <c r="BV326" s="35"/>
      <c r="BW326" s="35"/>
      <c r="BX326" s="35"/>
      <c r="BY326" s="35"/>
      <c r="BZ326" s="35"/>
      <c r="CA326" s="35"/>
      <c r="CB326" s="35"/>
      <c r="CC326" s="35"/>
      <c r="CD326" s="35"/>
      <c r="CE326" s="35"/>
      <c r="CF326" s="35"/>
      <c r="CG326" s="35"/>
      <c r="CH326" s="35"/>
      <c r="CI326" s="35"/>
      <c r="CJ326" s="35"/>
      <c r="CK326" s="35"/>
      <c r="CL326" s="35"/>
      <c r="CM326" s="35"/>
      <c r="CN326" s="35"/>
      <c r="CO326" s="35"/>
      <c r="CP326" s="35"/>
      <c r="CQ326" s="35"/>
      <c r="CR326" s="35"/>
      <c r="CS326" s="35"/>
      <c r="CT326" s="35"/>
      <c r="CU326" s="35"/>
      <c r="CV326" s="35"/>
      <c r="CW326" s="35"/>
      <c r="CX326" s="35"/>
      <c r="CY326" s="35"/>
      <c r="CZ326" s="35"/>
      <c r="DA326" s="35"/>
      <c r="DB326" s="35"/>
      <c r="DC326" s="35"/>
      <c r="DD326" s="35"/>
      <c r="DE326" s="35"/>
      <c r="DF326" s="35"/>
      <c r="DG326" s="35"/>
      <c r="DH326" s="35">
        <v>-0.25</v>
      </c>
      <c r="DI326" s="35"/>
      <c r="DJ326" s="35"/>
      <c r="DK326" s="35"/>
      <c r="DL326" s="35"/>
      <c r="DM326" s="35"/>
      <c r="DN326" s="35"/>
      <c r="DO326" s="35"/>
      <c r="DP326" s="35">
        <v>1</v>
      </c>
      <c r="DQ326" s="35"/>
      <c r="DR326" s="35"/>
      <c r="DS326" s="35"/>
      <c r="DT326" s="35"/>
      <c r="DU326" s="35"/>
      <c r="DV326" s="35"/>
      <c r="DW326" s="35"/>
      <c r="DX326" s="35"/>
      <c r="DY326" s="35"/>
      <c r="DZ326" s="35"/>
      <c r="EA326" s="35"/>
      <c r="EB326" s="35"/>
      <c r="EC326" s="35"/>
      <c r="ED326" s="35"/>
      <c r="EE326" s="35"/>
      <c r="EF326" s="35"/>
      <c r="EG326" s="35"/>
      <c r="EH326" s="35"/>
      <c r="EI326" s="35"/>
      <c r="EJ326" s="35"/>
      <c r="EK326" s="35"/>
      <c r="EL326" s="35"/>
      <c r="EM326" s="35"/>
      <c r="EN326" s="35"/>
      <c r="EO326" s="35"/>
      <c r="EP326" s="35"/>
      <c r="EQ326" s="35"/>
      <c r="ER326" s="35"/>
      <c r="ES326" s="35"/>
      <c r="ET326" s="35"/>
      <c r="EU326" s="35"/>
      <c r="EV326" s="35"/>
      <c r="EW326" s="35"/>
      <c r="EX326" s="35"/>
      <c r="EY326" s="35"/>
      <c r="EZ326" s="35"/>
      <c r="FA326" s="35"/>
      <c r="FB326" s="35"/>
      <c r="FC326" s="35"/>
      <c r="FD326" s="35"/>
      <c r="FE326" s="35"/>
      <c r="FF326" s="35"/>
      <c r="FG326" s="35"/>
      <c r="FH326" s="35"/>
      <c r="FI326" s="35"/>
      <c r="FJ326" s="35"/>
      <c r="FK326" s="35"/>
      <c r="FL326" s="35">
        <v>-0.75</v>
      </c>
      <c r="FM326" s="35"/>
      <c r="FN326" s="35"/>
      <c r="FO326" s="35"/>
      <c r="FP326" s="35"/>
      <c r="FQ326" s="35"/>
      <c r="FR326" s="35"/>
      <c r="FS326" s="35"/>
      <c r="FT326" s="35"/>
      <c r="FU326" s="35"/>
      <c r="FV326" s="35"/>
      <c r="FW326" s="35"/>
      <c r="FX326" s="35"/>
      <c r="FY326" s="35"/>
      <c r="FZ326" s="35"/>
      <c r="GA326" s="35"/>
      <c r="GB326" s="318"/>
      <c r="GC326" s="178">
        <f t="shared" si="60"/>
        <v>0</v>
      </c>
      <c r="GD326" s="178">
        <f t="shared" si="61"/>
        <v>0</v>
      </c>
      <c r="GE326" s="178">
        <f t="shared" si="62"/>
        <v>0</v>
      </c>
      <c r="GF326" s="178">
        <f t="shared" si="63"/>
        <v>0</v>
      </c>
      <c r="GG326" s="178">
        <f t="shared" si="51"/>
        <v>0</v>
      </c>
    </row>
    <row r="327" spans="1:189" x14ac:dyDescent="0.35">
      <c r="A327" s="6" t="s">
        <v>1452</v>
      </c>
      <c r="B327" s="6" t="str">
        <f>IF(Technologies!B327&lt;&gt;0,Technologies!B327,"")</f>
        <v>Industrie</v>
      </c>
      <c r="C327" s="6" t="str">
        <f>VLOOKUP($A327,Technologies!$A$7:$H$576,3,FALSE)</f>
        <v>Conversion</v>
      </c>
      <c r="D327" s="6" t="str">
        <f>VLOOKUP($A327,Technologies!$A$7:$H$576,4,FALSE)</f>
        <v>Industry</v>
      </c>
      <c r="E327" s="6" t="str">
        <f>VLOOKUP($A327,Technologies!$A$7:$H$576,6,FALSE)</f>
        <v>Heat LT Industry</v>
      </c>
      <c r="F327" s="48" t="str">
        <f>VLOOKUP($A327,Technologies!$A$7:$H$576,7,FALSE)</f>
        <v>Geothermal HP - LT Heat for Industry</v>
      </c>
      <c r="G327" s="22"/>
      <c r="H327" s="22"/>
      <c r="I327" s="103" cm="1">
        <f t="array" ref="I327">-SUMPRODUCT((Feedstocks!$C$4:$C$141=A327)*Feedstocks!$E$4:$E$141,Feedstocks!$F$4:$F$141,Feedstocks!$H$4:$H$141,Feedstocks!$I$4:$I$141)</f>
        <v>0</v>
      </c>
      <c r="J327" s="103" cm="1">
        <f t="array" ref="J327">-SUMPRODUCT((Feedstocks!$C$4:$C$141=A327)*Feedstocks!$E$4:$E$141,Feedstocks!$H$4:$H$141,Feedstocks!$I$4:$I$141)</f>
        <v>0</v>
      </c>
      <c r="K327" s="103"/>
      <c r="L327" s="103"/>
      <c r="M327" s="22">
        <v>1</v>
      </c>
      <c r="N327" s="22" t="str">
        <f>VLOOKUP(E327,Activities!$A$9:$M$227,13,FALSE)</f>
        <v>NL</v>
      </c>
      <c r="O327" s="22"/>
      <c r="P327" s="80" t="s">
        <v>415</v>
      </c>
      <c r="Q327" s="36"/>
      <c r="R327" s="36"/>
      <c r="S327" s="36"/>
      <c r="T327" s="36"/>
      <c r="U327" s="36"/>
      <c r="V327" s="36"/>
      <c r="W327" s="36"/>
      <c r="X327" s="36"/>
      <c r="Y327" s="36"/>
      <c r="Z327" s="36"/>
      <c r="AA327" s="36"/>
      <c r="AB327" s="36"/>
      <c r="AC327" s="36"/>
      <c r="AD327" s="36"/>
      <c r="AE327" s="36"/>
      <c r="AF327" s="35"/>
      <c r="AG327" s="35"/>
      <c r="AH327" s="35"/>
      <c r="AI327" s="35"/>
      <c r="AJ327" s="35"/>
      <c r="AK327" s="35"/>
      <c r="AL327" s="35"/>
      <c r="AM327" s="35"/>
      <c r="AN327" s="35"/>
      <c r="AO327" s="35"/>
      <c r="AP327" s="36"/>
      <c r="AQ327" s="36"/>
      <c r="AR327" s="36"/>
      <c r="AS327" s="36"/>
      <c r="AT327" s="36"/>
      <c r="AU327" s="36"/>
      <c r="AV327" s="36"/>
      <c r="AW327" s="36"/>
      <c r="AX327" s="36"/>
      <c r="AY327" s="36"/>
      <c r="AZ327" s="36"/>
      <c r="BA327" s="36"/>
      <c r="BB327" s="36"/>
      <c r="BC327" s="36"/>
      <c r="BD327" s="36"/>
      <c r="BE327" s="36"/>
      <c r="BF327" s="36"/>
      <c r="BG327" s="36"/>
      <c r="BH327" s="36"/>
      <c r="BI327" s="36"/>
      <c r="BJ327" s="36"/>
      <c r="BK327" s="36"/>
      <c r="BL327" s="36"/>
      <c r="BM327" s="36"/>
      <c r="BN327" s="36"/>
      <c r="BO327" s="36"/>
      <c r="BP327" s="36"/>
      <c r="BQ327" s="36"/>
      <c r="BR327" s="36"/>
      <c r="BS327" s="36"/>
      <c r="BT327" s="36"/>
      <c r="BU327" s="36"/>
      <c r="BV327" s="36"/>
      <c r="BW327" s="36"/>
      <c r="BX327" s="36"/>
      <c r="BY327" s="36"/>
      <c r="BZ327" s="36"/>
      <c r="CA327" s="36"/>
      <c r="CB327" s="36"/>
      <c r="CC327" s="36"/>
      <c r="CD327" s="36"/>
      <c r="CE327" s="36"/>
      <c r="CF327" s="36"/>
      <c r="CG327" s="36"/>
      <c r="CH327" s="36"/>
      <c r="CI327" s="36"/>
      <c r="CJ327" s="36"/>
      <c r="CK327" s="36"/>
      <c r="CL327" s="36"/>
      <c r="CM327" s="36"/>
      <c r="CN327" s="36"/>
      <c r="CO327" s="36"/>
      <c r="CP327" s="36"/>
      <c r="CQ327" s="36"/>
      <c r="CR327" s="36"/>
      <c r="CS327" s="36"/>
      <c r="CT327" s="36"/>
      <c r="CU327" s="36"/>
      <c r="CV327" s="36"/>
      <c r="CW327" s="36"/>
      <c r="CX327" s="36"/>
      <c r="CY327" s="36"/>
      <c r="CZ327" s="36"/>
      <c r="DA327" s="36"/>
      <c r="DB327" s="36"/>
      <c r="DC327" s="36"/>
      <c r="DD327" s="36"/>
      <c r="DE327" s="36"/>
      <c r="DF327" s="36"/>
      <c r="DG327" s="36"/>
      <c r="DH327" s="36">
        <v>-0.25</v>
      </c>
      <c r="DI327" s="36"/>
      <c r="DJ327" s="36"/>
      <c r="DK327" s="36"/>
      <c r="DL327" s="36"/>
      <c r="DM327" s="36"/>
      <c r="DN327" s="36"/>
      <c r="DO327" s="36"/>
      <c r="DP327" s="36">
        <v>1</v>
      </c>
      <c r="DQ327" s="36"/>
      <c r="DR327" s="36"/>
      <c r="DS327" s="36"/>
      <c r="DT327" s="36"/>
      <c r="DU327" s="36"/>
      <c r="DV327" s="36"/>
      <c r="DW327" s="36"/>
      <c r="DX327" s="36"/>
      <c r="DY327" s="36"/>
      <c r="DZ327" s="36"/>
      <c r="EA327" s="36"/>
      <c r="EB327" s="36"/>
      <c r="EC327" s="36"/>
      <c r="ED327" s="36"/>
      <c r="EE327" s="36"/>
      <c r="EF327" s="36"/>
      <c r="EG327" s="36"/>
      <c r="EH327" s="36"/>
      <c r="EI327" s="36"/>
      <c r="EJ327" s="36"/>
      <c r="EK327" s="36"/>
      <c r="EL327" s="36"/>
      <c r="EM327" s="36"/>
      <c r="EN327" s="36"/>
      <c r="EO327" s="36"/>
      <c r="EP327" s="36"/>
      <c r="EQ327" s="36"/>
      <c r="ER327" s="36"/>
      <c r="ES327" s="36"/>
      <c r="ET327" s="36"/>
      <c r="EU327" s="36"/>
      <c r="EV327" s="36"/>
      <c r="EW327" s="36"/>
      <c r="EX327" s="36"/>
      <c r="EY327" s="36"/>
      <c r="EZ327" s="36"/>
      <c r="FA327" s="36"/>
      <c r="FB327" s="36"/>
      <c r="FC327" s="36"/>
      <c r="FD327" s="36"/>
      <c r="FE327" s="36"/>
      <c r="FF327" s="36"/>
      <c r="FG327" s="36"/>
      <c r="FH327" s="36"/>
      <c r="FI327" s="36"/>
      <c r="FJ327" s="36"/>
      <c r="FK327" s="36"/>
      <c r="FL327" s="36"/>
      <c r="FM327" s="36">
        <v>-0.75</v>
      </c>
      <c r="FN327" s="36"/>
      <c r="FO327" s="36"/>
      <c r="FP327" s="36"/>
      <c r="FQ327" s="36"/>
      <c r="FR327" s="36"/>
      <c r="FS327" s="36"/>
      <c r="FT327" s="36"/>
      <c r="FU327" s="36"/>
      <c r="FV327" s="36"/>
      <c r="FW327" s="36"/>
      <c r="FX327" s="36"/>
      <c r="FY327" s="36"/>
      <c r="FZ327" s="36"/>
      <c r="GA327" s="36"/>
      <c r="GB327" s="319"/>
      <c r="GC327" s="179">
        <f t="shared" si="60"/>
        <v>0</v>
      </c>
      <c r="GD327" s="179">
        <f t="shared" si="61"/>
        <v>0</v>
      </c>
      <c r="GE327" s="179">
        <f t="shared" si="62"/>
        <v>0</v>
      </c>
      <c r="GF327" s="179">
        <f t="shared" si="63"/>
        <v>0</v>
      </c>
      <c r="GG327" s="179">
        <f t="shared" si="51"/>
        <v>0</v>
      </c>
    </row>
    <row r="328" spans="1:189" x14ac:dyDescent="0.35">
      <c r="A328" s="5" t="s">
        <v>1454</v>
      </c>
      <c r="B328" s="5" t="str">
        <f>IF(Technologies!B328&lt;&gt;0,Technologies!B328,"")</f>
        <v>Industrie</v>
      </c>
      <c r="C328" s="5" t="str">
        <f>VLOOKUP($A328,Technologies!$A$7:$H$576,3,FALSE)</f>
        <v>Conversion</v>
      </c>
      <c r="D328" s="5" t="str">
        <f>VLOOKUP($A328,Technologies!$A$7:$H$576,4,FALSE)</f>
        <v>Industry</v>
      </c>
      <c r="E328" s="5" t="str">
        <f>VLOOKUP($A328,Technologies!$A$7:$H$576,6,FALSE)</f>
        <v>Heat LT Industry</v>
      </c>
      <c r="F328" s="5" t="str">
        <f>VLOOKUP($A328,Technologies!$A$7:$H$576,7,FALSE)</f>
        <v>Co-Digestion Biomass - LT Heat for Industry</v>
      </c>
      <c r="G328" s="23"/>
      <c r="H328" s="23"/>
      <c r="I328" s="104" cm="1">
        <f t="array" ref="I328">-SUMPRODUCT((Feedstocks!$C$4:$C$141=A328)*Feedstocks!$E$4:$E$141,Feedstocks!$F$4:$F$141,Feedstocks!$H$4:$H$141,Feedstocks!$I$4:$I$141)</f>
        <v>0</v>
      </c>
      <c r="J328" s="104" cm="1">
        <f t="array" ref="J328">-SUMPRODUCT((Feedstocks!$C$4:$C$141=A328)*Feedstocks!$E$4:$E$141,Feedstocks!$H$4:$H$141,Feedstocks!$I$4:$I$141)</f>
        <v>0</v>
      </c>
      <c r="K328" s="104"/>
      <c r="L328" s="104"/>
      <c r="M328" s="23">
        <v>1</v>
      </c>
      <c r="N328" s="23" t="str">
        <f>VLOOKUP(E328,Activities!$A$9:$M$227,13,FALSE)</f>
        <v>NL</v>
      </c>
      <c r="O328" s="23"/>
      <c r="P328" s="79" t="s">
        <v>1519</v>
      </c>
      <c r="Q328" s="35"/>
      <c r="R328" s="35"/>
      <c r="S328" s="35"/>
      <c r="T328" s="35"/>
      <c r="U328" s="35"/>
      <c r="V328" s="35"/>
      <c r="W328" s="35"/>
      <c r="X328" s="35"/>
      <c r="Y328" s="35"/>
      <c r="Z328" s="35"/>
      <c r="AA328" s="35"/>
      <c r="AB328" s="35"/>
      <c r="AC328" s="35"/>
      <c r="AD328" s="35"/>
      <c r="AE328" s="35"/>
      <c r="AF328" s="36"/>
      <c r="AG328" s="36"/>
      <c r="AH328" s="36"/>
      <c r="AI328" s="36"/>
      <c r="AJ328" s="36"/>
      <c r="AK328" s="36"/>
      <c r="AL328" s="36"/>
      <c r="AM328" s="36"/>
      <c r="AN328" s="36"/>
      <c r="AO328" s="36"/>
      <c r="AP328" s="35"/>
      <c r="AQ328" s="35"/>
      <c r="AR328" s="35"/>
      <c r="AS328" s="35"/>
      <c r="AT328" s="35"/>
      <c r="AU328" s="35"/>
      <c r="AV328" s="35"/>
      <c r="AW328" s="35"/>
      <c r="AX328" s="35"/>
      <c r="AY328" s="35"/>
      <c r="AZ328" s="35"/>
      <c r="BA328" s="35"/>
      <c r="BB328" s="35"/>
      <c r="BC328" s="35"/>
      <c r="BD328" s="35"/>
      <c r="BE328" s="35"/>
      <c r="BF328" s="35"/>
      <c r="BG328" s="35"/>
      <c r="BH328" s="35"/>
      <c r="BI328" s="35"/>
      <c r="BJ328" s="35"/>
      <c r="BK328" s="35"/>
      <c r="BL328" s="35"/>
      <c r="BM328" s="35"/>
      <c r="BN328" s="35"/>
      <c r="BO328" s="35"/>
      <c r="BP328" s="35"/>
      <c r="BQ328" s="35"/>
      <c r="BR328" s="35"/>
      <c r="BS328" s="35"/>
      <c r="BT328" s="35"/>
      <c r="BU328" s="35"/>
      <c r="BV328" s="35"/>
      <c r="BW328" s="35"/>
      <c r="BX328" s="35"/>
      <c r="BY328" s="35"/>
      <c r="BZ328" s="35"/>
      <c r="CA328" s="35"/>
      <c r="CB328" s="35"/>
      <c r="CC328" s="35"/>
      <c r="CD328" s="35"/>
      <c r="CE328" s="35"/>
      <c r="CF328" s="35"/>
      <c r="CG328" s="35"/>
      <c r="CH328" s="35"/>
      <c r="CI328" s="35"/>
      <c r="CJ328" s="35"/>
      <c r="CK328" s="35"/>
      <c r="CL328" s="35"/>
      <c r="CM328" s="35"/>
      <c r="CN328" s="35"/>
      <c r="CO328" s="35"/>
      <c r="CP328" s="35"/>
      <c r="CQ328" s="35"/>
      <c r="CR328" s="35"/>
      <c r="CS328" s="35"/>
      <c r="CT328" s="35"/>
      <c r="CU328" s="35"/>
      <c r="CV328" s="35"/>
      <c r="CW328" s="35"/>
      <c r="CX328" s="35"/>
      <c r="CY328" s="35"/>
      <c r="CZ328" s="35"/>
      <c r="DA328" s="35"/>
      <c r="DB328" s="35"/>
      <c r="DC328" s="35"/>
      <c r="DD328" s="35"/>
      <c r="DE328" s="35"/>
      <c r="DF328" s="35"/>
      <c r="DG328" s="35"/>
      <c r="DH328" s="35"/>
      <c r="DI328" s="35"/>
      <c r="DJ328" s="35"/>
      <c r="DK328" s="35"/>
      <c r="DL328" s="35"/>
      <c r="DM328" s="35"/>
      <c r="DN328" s="35"/>
      <c r="DO328" s="35"/>
      <c r="DP328" s="35">
        <v>1</v>
      </c>
      <c r="DQ328" s="35"/>
      <c r="DR328" s="35"/>
      <c r="DS328" s="35"/>
      <c r="DT328" s="35"/>
      <c r="DU328" s="35"/>
      <c r="DV328" s="35"/>
      <c r="DW328" s="35"/>
      <c r="DX328" s="35"/>
      <c r="DY328" s="35"/>
      <c r="DZ328" s="35"/>
      <c r="EA328" s="35"/>
      <c r="EB328" s="35"/>
      <c r="EC328" s="35"/>
      <c r="ED328" s="35"/>
      <c r="EE328" s="35"/>
      <c r="EF328" s="35"/>
      <c r="EG328" s="35"/>
      <c r="EH328" s="35"/>
      <c r="EI328" s="35"/>
      <c r="EJ328" s="35"/>
      <c r="EK328" s="35"/>
      <c r="EL328" s="35"/>
      <c r="EM328" s="35"/>
      <c r="EN328" s="35"/>
      <c r="EO328" s="35"/>
      <c r="EP328" s="35"/>
      <c r="EQ328" s="35"/>
      <c r="ER328" s="35"/>
      <c r="ES328" s="35"/>
      <c r="ET328" s="35"/>
      <c r="EU328" s="35"/>
      <c r="EV328" s="35"/>
      <c r="EW328" s="35"/>
      <c r="EX328" s="35"/>
      <c r="EY328" s="35"/>
      <c r="EZ328" s="35"/>
      <c r="FA328" s="35">
        <v>-1.1764705882352899</v>
      </c>
      <c r="FB328" s="35"/>
      <c r="FC328" s="35"/>
      <c r="FD328" s="35"/>
      <c r="FE328" s="35"/>
      <c r="FF328" s="35"/>
      <c r="FG328" s="35"/>
      <c r="FH328" s="35"/>
      <c r="FI328" s="35"/>
      <c r="FJ328" s="35"/>
      <c r="FK328" s="35"/>
      <c r="FL328" s="35"/>
      <c r="FM328" s="35"/>
      <c r="FN328" s="35"/>
      <c r="FO328" s="35"/>
      <c r="FP328" s="35"/>
      <c r="FQ328" s="35"/>
      <c r="FR328" s="35"/>
      <c r="FS328" s="35"/>
      <c r="FT328" s="35"/>
      <c r="FU328" s="35"/>
      <c r="FV328" s="35"/>
      <c r="FW328" s="35"/>
      <c r="FX328" s="35"/>
      <c r="FY328" s="35"/>
      <c r="FZ328" s="35"/>
      <c r="GA328" s="35"/>
      <c r="GB328" s="318"/>
      <c r="GC328" s="178">
        <f t="shared" si="60"/>
        <v>0</v>
      </c>
      <c r="GD328" s="178">
        <f t="shared" si="61"/>
        <v>0</v>
      </c>
      <c r="GE328" s="178">
        <f t="shared" si="62"/>
        <v>0</v>
      </c>
      <c r="GF328" s="178">
        <f t="shared" si="63"/>
        <v>0</v>
      </c>
      <c r="GG328" s="178">
        <f t="shared" si="51"/>
        <v>0</v>
      </c>
    </row>
    <row r="329" spans="1:189" x14ac:dyDescent="0.35">
      <c r="A329" s="6" t="s">
        <v>1456</v>
      </c>
      <c r="B329" s="6" t="str">
        <f>IF(Technologies!B329&lt;&gt;0,Technologies!B329,"")</f>
        <v>Industrie</v>
      </c>
      <c r="C329" s="6" t="str">
        <f>VLOOKUP($A329,Technologies!$A$7:$H$576,3,FALSE)</f>
        <v>Conversion</v>
      </c>
      <c r="D329" s="6" t="str">
        <f>VLOOKUP($A329,Technologies!$A$7:$H$576,4,FALSE)</f>
        <v>Industry</v>
      </c>
      <c r="E329" s="6" t="str">
        <f>VLOOKUP($A329,Technologies!$A$7:$H$576,6,FALSE)</f>
        <v>Furnace Heat Industry</v>
      </c>
      <c r="F329" s="48" t="str">
        <f>VLOOKUP($A329,Technologies!$A$7:$H$576,7,FALSE)</f>
        <v>Natural Gas Furnace - FH Industry</v>
      </c>
      <c r="G329" s="22"/>
      <c r="H329" s="22"/>
      <c r="I329" s="103" cm="1">
        <f t="array" ref="I329">-SUMPRODUCT((Feedstocks!$C$4:$C$141=A329)*Feedstocks!$E$4:$E$141,Feedstocks!$F$4:$F$141,Feedstocks!$H$4:$H$141,Feedstocks!$I$4:$I$141)</f>
        <v>0</v>
      </c>
      <c r="J329" s="103" cm="1">
        <f t="array" ref="J329">-SUMPRODUCT((Feedstocks!$C$4:$C$141=A329)*Feedstocks!$E$4:$E$141,Feedstocks!$H$4:$H$141,Feedstocks!$I$4:$I$141)</f>
        <v>0</v>
      </c>
      <c r="K329" s="103"/>
      <c r="L329" s="103"/>
      <c r="M329" s="22">
        <v>1</v>
      </c>
      <c r="N329" s="22" t="str">
        <f>VLOOKUP(E329,Activities!$A$9:$M$227,13,FALSE)</f>
        <v>NL</v>
      </c>
      <c r="O329" s="22"/>
      <c r="P329" s="80"/>
      <c r="Q329" s="36"/>
      <c r="R329" s="36"/>
      <c r="S329" s="36"/>
      <c r="T329" s="36"/>
      <c r="U329" s="36"/>
      <c r="V329" s="36"/>
      <c r="W329" s="36"/>
      <c r="X329" s="36"/>
      <c r="Y329" s="36"/>
      <c r="Z329" s="36"/>
      <c r="AA329" s="36"/>
      <c r="AB329" s="36"/>
      <c r="AC329" s="36"/>
      <c r="AD329" s="36"/>
      <c r="AE329" s="36"/>
      <c r="AF329" s="35"/>
      <c r="AG329" s="35"/>
      <c r="AH329" s="35"/>
      <c r="AI329" s="35"/>
      <c r="AJ329" s="35"/>
      <c r="AK329" s="35"/>
      <c r="AL329" s="35"/>
      <c r="AM329" s="35"/>
      <c r="AN329" s="35"/>
      <c r="AO329" s="35"/>
      <c r="AP329" s="36"/>
      <c r="AQ329" s="36"/>
      <c r="AR329" s="36"/>
      <c r="AS329" s="36"/>
      <c r="AT329" s="36"/>
      <c r="AU329" s="36"/>
      <c r="AV329" s="36"/>
      <c r="AW329" s="36"/>
      <c r="AX329" s="36"/>
      <c r="AY329" s="36"/>
      <c r="AZ329" s="36"/>
      <c r="BA329" s="36"/>
      <c r="BB329" s="36"/>
      <c r="BC329" s="36"/>
      <c r="BD329" s="36"/>
      <c r="BE329" s="36"/>
      <c r="BF329" s="36"/>
      <c r="BG329" s="36"/>
      <c r="BH329" s="36"/>
      <c r="BI329" s="36"/>
      <c r="BJ329" s="36"/>
      <c r="BK329" s="36"/>
      <c r="BL329" s="36"/>
      <c r="BM329" s="36"/>
      <c r="BN329" s="36"/>
      <c r="BO329" s="36"/>
      <c r="BP329" s="36"/>
      <c r="BQ329" s="36"/>
      <c r="BR329" s="36"/>
      <c r="BS329" s="36"/>
      <c r="BT329" s="36"/>
      <c r="BU329" s="36"/>
      <c r="BV329" s="36"/>
      <c r="BW329" s="36"/>
      <c r="BX329" s="36"/>
      <c r="BY329" s="36"/>
      <c r="BZ329" s="36"/>
      <c r="CA329" s="36"/>
      <c r="CB329" s="36"/>
      <c r="CC329" s="36"/>
      <c r="CD329" s="36"/>
      <c r="CE329" s="36"/>
      <c r="CF329" s="36"/>
      <c r="CG329" s="36"/>
      <c r="CH329" s="36"/>
      <c r="CI329" s="36"/>
      <c r="CJ329" s="36"/>
      <c r="CK329" s="36"/>
      <c r="CL329" s="36"/>
      <c r="CM329" s="36"/>
      <c r="CN329" s="36"/>
      <c r="CO329" s="36"/>
      <c r="CP329" s="36"/>
      <c r="CQ329" s="36"/>
      <c r="CR329" s="36"/>
      <c r="CS329" s="36"/>
      <c r="CT329" s="36"/>
      <c r="CU329" s="36"/>
      <c r="CV329" s="36"/>
      <c r="CW329" s="36"/>
      <c r="CX329" s="36"/>
      <c r="CY329" s="36"/>
      <c r="CZ329" s="36"/>
      <c r="DA329" s="36"/>
      <c r="DB329" s="36"/>
      <c r="DC329" s="36"/>
      <c r="DD329" s="36"/>
      <c r="DE329" s="36"/>
      <c r="DF329" s="36"/>
      <c r="DG329" s="36"/>
      <c r="DH329" s="36"/>
      <c r="DI329" s="36"/>
      <c r="DJ329" s="36"/>
      <c r="DK329" s="36"/>
      <c r="DL329" s="36"/>
      <c r="DM329" s="36"/>
      <c r="DN329" s="36"/>
      <c r="DO329" s="36"/>
      <c r="DP329" s="36"/>
      <c r="DQ329" s="36">
        <v>1</v>
      </c>
      <c r="DR329" s="36"/>
      <c r="DS329" s="36"/>
      <c r="DT329" s="36"/>
      <c r="DU329" s="36"/>
      <c r="DV329" s="36"/>
      <c r="DW329" s="36"/>
      <c r="DX329" s="36"/>
      <c r="DY329" s="36"/>
      <c r="DZ329" s="36"/>
      <c r="EA329" s="36"/>
      <c r="EB329" s="36"/>
      <c r="EC329" s="36"/>
      <c r="ED329" s="36"/>
      <c r="EE329" s="36"/>
      <c r="EF329" s="36"/>
      <c r="EG329" s="36"/>
      <c r="EH329" s="36"/>
      <c r="EI329" s="36"/>
      <c r="EJ329" s="36">
        <v>-1.2</v>
      </c>
      <c r="EK329" s="36"/>
      <c r="EL329" s="36"/>
      <c r="EM329" s="36"/>
      <c r="EN329" s="36"/>
      <c r="EO329" s="36"/>
      <c r="EP329" s="36"/>
      <c r="EQ329" s="36"/>
      <c r="ER329" s="36"/>
      <c r="ES329" s="36"/>
      <c r="ET329" s="36"/>
      <c r="EU329" s="36"/>
      <c r="EV329" s="36"/>
      <c r="EW329" s="36"/>
      <c r="EX329" s="36"/>
      <c r="EY329" s="36"/>
      <c r="EZ329" s="36"/>
      <c r="FA329" s="36"/>
      <c r="FB329" s="36"/>
      <c r="FC329" s="36"/>
      <c r="FD329" s="36"/>
      <c r="FE329" s="36"/>
      <c r="FF329" s="36"/>
      <c r="FG329" s="36"/>
      <c r="FH329" s="36"/>
      <c r="FI329" s="36"/>
      <c r="FJ329" s="36"/>
      <c r="FK329" s="36"/>
      <c r="FL329" s="36"/>
      <c r="FM329" s="36"/>
      <c r="FN329" s="36"/>
      <c r="FO329" s="36"/>
      <c r="FP329" s="36"/>
      <c r="FQ329" s="36"/>
      <c r="FR329" s="36"/>
      <c r="FS329" s="36"/>
      <c r="FT329" s="36"/>
      <c r="FU329" s="36"/>
      <c r="FV329" s="36"/>
      <c r="FW329" s="36"/>
      <c r="FX329" s="36"/>
      <c r="FY329" s="36"/>
      <c r="FZ329" s="36"/>
      <c r="GA329" s="36"/>
      <c r="GB329" s="319"/>
      <c r="GC329" s="179">
        <f t="shared" si="60"/>
        <v>0</v>
      </c>
      <c r="GD329" s="179">
        <f t="shared" si="61"/>
        <v>6.7900000000000002E-2</v>
      </c>
      <c r="GE329" s="179">
        <f t="shared" si="62"/>
        <v>0</v>
      </c>
      <c r="GF329" s="179">
        <f t="shared" si="63"/>
        <v>0</v>
      </c>
      <c r="GG329" s="179">
        <f t="shared" si="51"/>
        <v>0</v>
      </c>
    </row>
    <row r="330" spans="1:189" x14ac:dyDescent="0.35">
      <c r="A330" s="5" t="s">
        <v>1458</v>
      </c>
      <c r="B330" s="5" t="str">
        <f>IF(Technologies!B330&lt;&gt;0,Technologies!B330,"")</f>
        <v>Industrie</v>
      </c>
      <c r="C330" s="5" t="str">
        <f>VLOOKUP($A330,Technologies!$A$7:$H$576,3,FALSE)</f>
        <v>Conversion</v>
      </c>
      <c r="D330" s="5" t="str">
        <f>VLOOKUP($A330,Technologies!$A$7:$H$576,4,FALSE)</f>
        <v>Industry</v>
      </c>
      <c r="E330" s="5" t="str">
        <f>VLOOKUP($A330,Technologies!$A$7:$H$576,6,FALSE)</f>
        <v>Furnace Heat Industry</v>
      </c>
      <c r="F330" s="5" t="str">
        <f>VLOOKUP($A330,Technologies!$A$7:$H$576,7,FALSE)</f>
        <v>Natural Gas Furnace wCCUS - FH Industry</v>
      </c>
      <c r="G330" s="23">
        <v>0.8</v>
      </c>
      <c r="H330" s="23"/>
      <c r="I330" s="104" cm="1">
        <f t="array" ref="I330">-SUMPRODUCT((Feedstocks!$C$4:$C$141=A330)*Feedstocks!$E$4:$E$141,Feedstocks!$F$4:$F$141,Feedstocks!$H$4:$H$141,Feedstocks!$I$4:$I$141)</f>
        <v>0</v>
      </c>
      <c r="J330" s="104" cm="1">
        <f t="array" ref="J330">-SUMPRODUCT((Feedstocks!$C$4:$C$141=A330)*Feedstocks!$E$4:$E$141,Feedstocks!$H$4:$H$141,Feedstocks!$I$4:$I$141)</f>
        <v>0</v>
      </c>
      <c r="K330" s="104"/>
      <c r="L330" s="104"/>
      <c r="M330" s="23">
        <v>1</v>
      </c>
      <c r="N330" s="23" t="str">
        <f>VLOOKUP(E330,Activities!$A$9:$M$227,13,FALSE)</f>
        <v>NL</v>
      </c>
      <c r="O330" s="23"/>
      <c r="P330" s="79"/>
      <c r="Q330" s="35"/>
      <c r="R330" s="35"/>
      <c r="S330" s="35"/>
      <c r="T330" s="35"/>
      <c r="U330" s="35"/>
      <c r="V330" s="35"/>
      <c r="W330" s="35"/>
      <c r="X330" s="35"/>
      <c r="Y330" s="35"/>
      <c r="Z330" s="35"/>
      <c r="AA330" s="35"/>
      <c r="AB330" s="35"/>
      <c r="AC330" s="35"/>
      <c r="AD330" s="35"/>
      <c r="AE330" s="35"/>
      <c r="AF330" s="36"/>
      <c r="AG330" s="36"/>
      <c r="AH330" s="36"/>
      <c r="AI330" s="36"/>
      <c r="AJ330" s="36"/>
      <c r="AK330" s="36"/>
      <c r="AL330" s="36"/>
      <c r="AM330" s="36"/>
      <c r="AN330" s="36"/>
      <c r="AO330" s="36"/>
      <c r="AP330" s="35"/>
      <c r="AQ330" s="35"/>
      <c r="AR330" s="35"/>
      <c r="AS330" s="35"/>
      <c r="AT330" s="35"/>
      <c r="AU330" s="35"/>
      <c r="AV330" s="35"/>
      <c r="AW330" s="35"/>
      <c r="AX330" s="35"/>
      <c r="AY330" s="35"/>
      <c r="AZ330" s="35"/>
      <c r="BA330" s="35"/>
      <c r="BB330" s="35"/>
      <c r="BC330" s="35"/>
      <c r="BD330" s="35"/>
      <c r="BE330" s="35"/>
      <c r="BF330" s="35"/>
      <c r="BG330" s="35"/>
      <c r="BH330" s="35"/>
      <c r="BI330" s="35"/>
      <c r="BJ330" s="35"/>
      <c r="BK330" s="35"/>
      <c r="BL330" s="35"/>
      <c r="BM330" s="35"/>
      <c r="BN330" s="35"/>
      <c r="BO330" s="35"/>
      <c r="BP330" s="35"/>
      <c r="BQ330" s="35"/>
      <c r="BR330" s="35"/>
      <c r="BS330" s="35"/>
      <c r="BT330" s="35"/>
      <c r="BU330" s="35"/>
      <c r="BV330" s="35"/>
      <c r="BW330" s="35"/>
      <c r="BX330" s="35"/>
      <c r="BY330" s="35"/>
      <c r="BZ330" s="35"/>
      <c r="CA330" s="35"/>
      <c r="CB330" s="35"/>
      <c r="CC330" s="35"/>
      <c r="CD330" s="35"/>
      <c r="CE330" s="35"/>
      <c r="CF330" s="35"/>
      <c r="CG330" s="35"/>
      <c r="CH330" s="35"/>
      <c r="CI330" s="35"/>
      <c r="CJ330" s="35"/>
      <c r="CK330" s="35"/>
      <c r="CL330" s="35"/>
      <c r="CM330" s="35"/>
      <c r="CN330" s="35"/>
      <c r="CO330" s="35"/>
      <c r="CP330" s="35"/>
      <c r="CQ330" s="35"/>
      <c r="CR330" s="35"/>
      <c r="CS330" s="35"/>
      <c r="CT330" s="35"/>
      <c r="CU330" s="35"/>
      <c r="CV330" s="35"/>
      <c r="CW330" s="35"/>
      <c r="CX330" s="35"/>
      <c r="CY330" s="35"/>
      <c r="CZ330" s="35"/>
      <c r="DA330" s="35"/>
      <c r="DB330" s="35"/>
      <c r="DC330" s="35"/>
      <c r="DD330" s="35"/>
      <c r="DE330" s="35"/>
      <c r="DF330" s="35"/>
      <c r="DG330" s="35"/>
      <c r="DH330" s="35"/>
      <c r="DI330" s="35"/>
      <c r="DJ330" s="35"/>
      <c r="DK330" s="35"/>
      <c r="DL330" s="35"/>
      <c r="DM330" s="35"/>
      <c r="DN330" s="35"/>
      <c r="DO330" s="35"/>
      <c r="DP330" s="35"/>
      <c r="DQ330" s="35">
        <v>1</v>
      </c>
      <c r="DR330" s="35"/>
      <c r="DS330" s="35"/>
      <c r="DT330" s="35"/>
      <c r="DU330" s="35"/>
      <c r="DV330" s="35"/>
      <c r="DW330" s="35"/>
      <c r="DX330" s="35"/>
      <c r="DY330" s="35"/>
      <c r="DZ330" s="35"/>
      <c r="EA330" s="35"/>
      <c r="EB330" s="35"/>
      <c r="EC330" s="35"/>
      <c r="ED330" s="35"/>
      <c r="EE330" s="35"/>
      <c r="EF330" s="35"/>
      <c r="EG330" s="35"/>
      <c r="EH330" s="35"/>
      <c r="EI330" s="35"/>
      <c r="EJ330" s="35">
        <v>-1.3</v>
      </c>
      <c r="EK330" s="35"/>
      <c r="EL330" s="35"/>
      <c r="EM330" s="35"/>
      <c r="EN330" s="35"/>
      <c r="EO330" s="35"/>
      <c r="EP330" s="35"/>
      <c r="EQ330" s="35"/>
      <c r="ER330" s="35"/>
      <c r="ES330" s="35"/>
      <c r="ET330" s="35"/>
      <c r="EU330" s="35"/>
      <c r="EV330" s="35"/>
      <c r="EW330" s="35"/>
      <c r="EX330" s="35"/>
      <c r="EY330" s="35"/>
      <c r="EZ330" s="35"/>
      <c r="FA330" s="35"/>
      <c r="FB330" s="35"/>
      <c r="FC330" s="35"/>
      <c r="FD330" s="35"/>
      <c r="FE330" s="35"/>
      <c r="FF330" s="35"/>
      <c r="FG330" s="35"/>
      <c r="FH330" s="35"/>
      <c r="FI330" s="35"/>
      <c r="FJ330" s="35"/>
      <c r="FK330" s="35"/>
      <c r="FL330" s="35"/>
      <c r="FM330" s="35"/>
      <c r="FN330" s="35"/>
      <c r="FO330" s="35"/>
      <c r="FP330" s="35"/>
      <c r="FQ330" s="35"/>
      <c r="FR330" s="35"/>
      <c r="FS330" s="35"/>
      <c r="FT330" s="35"/>
      <c r="FU330" s="35"/>
      <c r="FV330" s="35"/>
      <c r="FW330" s="35"/>
      <c r="FX330" s="35"/>
      <c r="FY330" s="35"/>
      <c r="FZ330" s="35"/>
      <c r="GA330" s="35"/>
      <c r="GB330" s="318"/>
      <c r="GC330" s="178">
        <f t="shared" si="60"/>
        <v>5.8900000000000001E-2</v>
      </c>
      <c r="GD330" s="178">
        <f t="shared" si="61"/>
        <v>1.47E-2</v>
      </c>
      <c r="GE330" s="178">
        <f t="shared" si="62"/>
        <v>0</v>
      </c>
      <c r="GF330" s="178">
        <f t="shared" si="63"/>
        <v>0</v>
      </c>
      <c r="GG330" s="178">
        <f t="shared" si="51"/>
        <v>0</v>
      </c>
    </row>
    <row r="331" spans="1:189" x14ac:dyDescent="0.35">
      <c r="A331" s="6" t="s">
        <v>1460</v>
      </c>
      <c r="B331" s="6" t="str">
        <f>IF(Technologies!B331&lt;&gt;0,Technologies!B331,"")</f>
        <v>Industrie</v>
      </c>
      <c r="C331" s="6" t="str">
        <f>VLOOKUP($A331,Technologies!$A$7:$H$576,3,FALSE)</f>
        <v>Conversion</v>
      </c>
      <c r="D331" s="6" t="str">
        <f>VLOOKUP($A331,Technologies!$A$7:$H$576,4,FALSE)</f>
        <v>Industry</v>
      </c>
      <c r="E331" s="6" t="str">
        <f>VLOOKUP($A331,Technologies!$A$7:$H$576,6,FALSE)</f>
        <v>Furnace Heat Industry</v>
      </c>
      <c r="F331" s="48" t="str">
        <f>VLOOKUP($A331,Technologies!$A$7:$H$576,7,FALSE)</f>
        <v>Biomass Furnace - FH Industry</v>
      </c>
      <c r="G331" s="22"/>
      <c r="H331" s="22"/>
      <c r="I331" s="103" cm="1">
        <f t="array" ref="I331">-SUMPRODUCT((Feedstocks!$C$4:$C$141=A331)*Feedstocks!$E$4:$E$141,Feedstocks!$F$4:$F$141,Feedstocks!$H$4:$H$141,Feedstocks!$I$4:$I$141)</f>
        <v>0</v>
      </c>
      <c r="J331" s="103" cm="1">
        <f t="array" ref="J331">-SUMPRODUCT((Feedstocks!$C$4:$C$141=A331)*Feedstocks!$E$4:$E$141,Feedstocks!$H$4:$H$141,Feedstocks!$I$4:$I$141)</f>
        <v>0</v>
      </c>
      <c r="K331" s="103"/>
      <c r="L331" s="103"/>
      <c r="M331" s="22">
        <v>1</v>
      </c>
      <c r="N331" s="22" t="str">
        <f>VLOOKUP(E331,Activities!$A$9:$M$227,13,FALSE)</f>
        <v>NL</v>
      </c>
      <c r="O331" s="22"/>
      <c r="P331" s="80"/>
      <c r="Q331" s="36"/>
      <c r="R331" s="36"/>
      <c r="S331" s="36"/>
      <c r="T331" s="36"/>
      <c r="U331" s="36"/>
      <c r="V331" s="36"/>
      <c r="W331" s="36"/>
      <c r="X331" s="36"/>
      <c r="Y331" s="36"/>
      <c r="Z331" s="36"/>
      <c r="AA331" s="36"/>
      <c r="AB331" s="36"/>
      <c r="AC331" s="36"/>
      <c r="AD331" s="36"/>
      <c r="AE331" s="36"/>
      <c r="AF331" s="35"/>
      <c r="AG331" s="35"/>
      <c r="AH331" s="35"/>
      <c r="AI331" s="35"/>
      <c r="AJ331" s="35"/>
      <c r="AK331" s="35"/>
      <c r="AL331" s="35"/>
      <c r="AM331" s="35"/>
      <c r="AN331" s="35"/>
      <c r="AO331" s="35"/>
      <c r="AP331" s="36"/>
      <c r="AQ331" s="36"/>
      <c r="AR331" s="36"/>
      <c r="AS331" s="36"/>
      <c r="AT331" s="36"/>
      <c r="AU331" s="36"/>
      <c r="AV331" s="36"/>
      <c r="AW331" s="36"/>
      <c r="AX331" s="36"/>
      <c r="AY331" s="36"/>
      <c r="AZ331" s="36"/>
      <c r="BA331" s="36"/>
      <c r="BB331" s="36"/>
      <c r="BC331" s="36"/>
      <c r="BD331" s="36"/>
      <c r="BE331" s="36"/>
      <c r="BF331" s="36"/>
      <c r="BG331" s="36"/>
      <c r="BH331" s="36"/>
      <c r="BI331" s="36"/>
      <c r="BJ331" s="36"/>
      <c r="BK331" s="36"/>
      <c r="BL331" s="36"/>
      <c r="BM331" s="36"/>
      <c r="BN331" s="36"/>
      <c r="BO331" s="36"/>
      <c r="BP331" s="36"/>
      <c r="BQ331" s="36"/>
      <c r="BR331" s="36"/>
      <c r="BS331" s="36"/>
      <c r="BT331" s="36"/>
      <c r="BU331" s="36"/>
      <c r="BV331" s="36"/>
      <c r="BW331" s="36"/>
      <c r="BX331" s="36"/>
      <c r="BY331" s="36"/>
      <c r="BZ331" s="36"/>
      <c r="CA331" s="36"/>
      <c r="CB331" s="36"/>
      <c r="CC331" s="36"/>
      <c r="CD331" s="36"/>
      <c r="CE331" s="36"/>
      <c r="CF331" s="36"/>
      <c r="CG331" s="36"/>
      <c r="CH331" s="36"/>
      <c r="CI331" s="36"/>
      <c r="CJ331" s="36"/>
      <c r="CK331" s="36"/>
      <c r="CL331" s="36"/>
      <c r="CM331" s="36"/>
      <c r="CN331" s="36"/>
      <c r="CO331" s="36"/>
      <c r="CP331" s="36"/>
      <c r="CQ331" s="36"/>
      <c r="CR331" s="36"/>
      <c r="CS331" s="36"/>
      <c r="CT331" s="36"/>
      <c r="CU331" s="36"/>
      <c r="CV331" s="36"/>
      <c r="CW331" s="36"/>
      <c r="CX331" s="36"/>
      <c r="CY331" s="36"/>
      <c r="CZ331" s="36"/>
      <c r="DA331" s="36"/>
      <c r="DB331" s="36"/>
      <c r="DC331" s="36"/>
      <c r="DD331" s="36"/>
      <c r="DE331" s="36"/>
      <c r="DF331" s="36"/>
      <c r="DG331" s="36"/>
      <c r="DH331" s="36"/>
      <c r="DI331" s="36"/>
      <c r="DJ331" s="36"/>
      <c r="DK331" s="36"/>
      <c r="DL331" s="36"/>
      <c r="DM331" s="36"/>
      <c r="DN331" s="36"/>
      <c r="DO331" s="36"/>
      <c r="DP331" s="36"/>
      <c r="DQ331" s="36">
        <v>1</v>
      </c>
      <c r="DR331" s="36"/>
      <c r="DS331" s="36"/>
      <c r="DT331" s="36"/>
      <c r="DU331" s="36"/>
      <c r="DV331" s="36"/>
      <c r="DW331" s="36"/>
      <c r="DX331" s="36"/>
      <c r="DY331" s="36"/>
      <c r="DZ331" s="36"/>
      <c r="EA331" s="36"/>
      <c r="EB331" s="36"/>
      <c r="EC331" s="36"/>
      <c r="ED331" s="36"/>
      <c r="EE331" s="36"/>
      <c r="EF331" s="36"/>
      <c r="EG331" s="36"/>
      <c r="EH331" s="36"/>
      <c r="EI331" s="36"/>
      <c r="EJ331" s="36"/>
      <c r="EK331" s="36"/>
      <c r="EL331" s="36"/>
      <c r="EM331" s="36"/>
      <c r="EN331" s="36"/>
      <c r="EO331" s="36"/>
      <c r="EP331" s="36"/>
      <c r="EQ331" s="36"/>
      <c r="ER331" s="36">
        <v>-1.3</v>
      </c>
      <c r="ES331" s="36"/>
      <c r="ET331" s="36"/>
      <c r="EU331" s="36"/>
      <c r="EV331" s="36"/>
      <c r="EW331" s="36"/>
      <c r="EX331" s="36"/>
      <c r="EY331" s="36"/>
      <c r="EZ331" s="36"/>
      <c r="FA331" s="36"/>
      <c r="FB331" s="36"/>
      <c r="FC331" s="36"/>
      <c r="FD331" s="36"/>
      <c r="FE331" s="36"/>
      <c r="FF331" s="36"/>
      <c r="FG331" s="36"/>
      <c r="FH331" s="36"/>
      <c r="FI331" s="36"/>
      <c r="FJ331" s="36"/>
      <c r="FK331" s="36"/>
      <c r="FL331" s="36"/>
      <c r="FM331" s="36"/>
      <c r="FN331" s="36"/>
      <c r="FO331" s="36"/>
      <c r="FP331" s="36"/>
      <c r="FQ331" s="36"/>
      <c r="FR331" s="36"/>
      <c r="FS331" s="36"/>
      <c r="FT331" s="36"/>
      <c r="FU331" s="36"/>
      <c r="FV331" s="36"/>
      <c r="FW331" s="36"/>
      <c r="FX331" s="36"/>
      <c r="FY331" s="36"/>
      <c r="FZ331" s="36"/>
      <c r="GA331" s="36"/>
      <c r="GB331" s="319"/>
      <c r="GC331" s="179">
        <f t="shared" si="60"/>
        <v>0</v>
      </c>
      <c r="GD331" s="179">
        <f t="shared" si="61"/>
        <v>0</v>
      </c>
      <c r="GE331" s="179">
        <f t="shared" si="62"/>
        <v>0</v>
      </c>
      <c r="GF331" s="179">
        <f t="shared" si="63"/>
        <v>0</v>
      </c>
      <c r="GG331" s="179">
        <f t="shared" si="51"/>
        <v>0</v>
      </c>
    </row>
    <row r="332" spans="1:189" x14ac:dyDescent="0.35">
      <c r="A332" s="5" t="s">
        <v>1462</v>
      </c>
      <c r="B332" s="5" t="str">
        <f>IF(Technologies!B332&lt;&gt;0,Technologies!B332,"")</f>
        <v>Industrie</v>
      </c>
      <c r="C332" s="5" t="str">
        <f>VLOOKUP($A332,Technologies!$A$7:$H$576,3,FALSE)</f>
        <v>Conversion</v>
      </c>
      <c r="D332" s="5" t="str">
        <f>VLOOKUP($A332,Technologies!$A$7:$H$576,4,FALSE)</f>
        <v>Industry</v>
      </c>
      <c r="E332" s="5" t="str">
        <f>VLOOKUP($A332,Technologies!$A$7:$H$576,6,FALSE)</f>
        <v>Furnace Heat Industry</v>
      </c>
      <c r="F332" s="5" t="str">
        <f>VLOOKUP($A332,Technologies!$A$7:$H$576,7,FALSE)</f>
        <v>Biomass Furnace wCCUS - FH Industry</v>
      </c>
      <c r="G332" s="23">
        <v>0.8</v>
      </c>
      <c r="H332" s="23"/>
      <c r="I332" s="104" cm="1">
        <f t="array" ref="I332">-SUMPRODUCT((Feedstocks!$C$4:$C$141=A332)*Feedstocks!$E$4:$E$141,Feedstocks!$F$4:$F$141,Feedstocks!$H$4:$H$141,Feedstocks!$I$4:$I$141)</f>
        <v>0</v>
      </c>
      <c r="J332" s="104" cm="1">
        <f t="array" ref="J332">-SUMPRODUCT((Feedstocks!$C$4:$C$141=A332)*Feedstocks!$E$4:$E$141,Feedstocks!$H$4:$H$141,Feedstocks!$I$4:$I$141)</f>
        <v>0</v>
      </c>
      <c r="K332" s="104"/>
      <c r="L332" s="104"/>
      <c r="M332" s="23">
        <v>1</v>
      </c>
      <c r="N332" s="23" t="str">
        <f>VLOOKUP(E332,Activities!$A$9:$M$227,13,FALSE)</f>
        <v>NL</v>
      </c>
      <c r="O332" s="23"/>
      <c r="P332" s="79"/>
      <c r="Q332" s="35"/>
      <c r="R332" s="35"/>
      <c r="S332" s="35"/>
      <c r="T332" s="35"/>
      <c r="U332" s="35"/>
      <c r="V332" s="35"/>
      <c r="W332" s="35"/>
      <c r="X332" s="35"/>
      <c r="Y332" s="35"/>
      <c r="Z332" s="35"/>
      <c r="AA332" s="35"/>
      <c r="AB332" s="35"/>
      <c r="AC332" s="35"/>
      <c r="AD332" s="35"/>
      <c r="AE332" s="35"/>
      <c r="AF332" s="36"/>
      <c r="AG332" s="36"/>
      <c r="AH332" s="36"/>
      <c r="AI332" s="36"/>
      <c r="AJ332" s="36"/>
      <c r="AK332" s="36"/>
      <c r="AL332" s="36"/>
      <c r="AM332" s="36"/>
      <c r="AN332" s="36"/>
      <c r="AO332" s="36"/>
      <c r="AP332" s="35"/>
      <c r="AQ332" s="35"/>
      <c r="AR332" s="35"/>
      <c r="AS332" s="35"/>
      <c r="AT332" s="35"/>
      <c r="AU332" s="35"/>
      <c r="AV332" s="35"/>
      <c r="AW332" s="35"/>
      <c r="AX332" s="35"/>
      <c r="AY332" s="35"/>
      <c r="AZ332" s="35"/>
      <c r="BA332" s="35"/>
      <c r="BB332" s="35"/>
      <c r="BC332" s="35"/>
      <c r="BD332" s="35"/>
      <c r="BE332" s="35"/>
      <c r="BF332" s="35"/>
      <c r="BG332" s="35"/>
      <c r="BH332" s="35"/>
      <c r="BI332" s="35"/>
      <c r="BJ332" s="35"/>
      <c r="BK332" s="35"/>
      <c r="BL332" s="35"/>
      <c r="BM332" s="35"/>
      <c r="BN332" s="35"/>
      <c r="BO332" s="35"/>
      <c r="BP332" s="35"/>
      <c r="BQ332" s="35"/>
      <c r="BR332" s="35"/>
      <c r="BS332" s="35"/>
      <c r="BT332" s="35"/>
      <c r="BU332" s="35"/>
      <c r="BV332" s="35"/>
      <c r="BW332" s="35"/>
      <c r="BX332" s="35"/>
      <c r="BY332" s="35"/>
      <c r="BZ332" s="35"/>
      <c r="CA332" s="35"/>
      <c r="CB332" s="35"/>
      <c r="CC332" s="35"/>
      <c r="CD332" s="35"/>
      <c r="CE332" s="35"/>
      <c r="CF332" s="35"/>
      <c r="CG332" s="35"/>
      <c r="CH332" s="35"/>
      <c r="CI332" s="35"/>
      <c r="CJ332" s="35"/>
      <c r="CK332" s="35"/>
      <c r="CL332" s="35"/>
      <c r="CM332" s="35"/>
      <c r="CN332" s="35"/>
      <c r="CO332" s="35"/>
      <c r="CP332" s="35"/>
      <c r="CQ332" s="35"/>
      <c r="CR332" s="35"/>
      <c r="CS332" s="35"/>
      <c r="CT332" s="35"/>
      <c r="CU332" s="35"/>
      <c r="CV332" s="35"/>
      <c r="CW332" s="35"/>
      <c r="CX332" s="35"/>
      <c r="CY332" s="35"/>
      <c r="CZ332" s="35"/>
      <c r="DA332" s="35"/>
      <c r="DB332" s="35"/>
      <c r="DC332" s="35"/>
      <c r="DD332" s="35"/>
      <c r="DE332" s="35"/>
      <c r="DF332" s="35"/>
      <c r="DG332" s="35"/>
      <c r="DH332" s="35"/>
      <c r="DI332" s="35"/>
      <c r="DJ332" s="35"/>
      <c r="DK332" s="35"/>
      <c r="DL332" s="35"/>
      <c r="DM332" s="35"/>
      <c r="DN332" s="35"/>
      <c r="DO332" s="35"/>
      <c r="DP332" s="35"/>
      <c r="DQ332" s="35">
        <v>1</v>
      </c>
      <c r="DR332" s="35"/>
      <c r="DS332" s="35"/>
      <c r="DT332" s="35"/>
      <c r="DU332" s="35"/>
      <c r="DV332" s="35"/>
      <c r="DW332" s="35"/>
      <c r="DX332" s="35"/>
      <c r="DY332" s="35"/>
      <c r="DZ332" s="35"/>
      <c r="EA332" s="35"/>
      <c r="EB332" s="35"/>
      <c r="EC332" s="35"/>
      <c r="ED332" s="35"/>
      <c r="EE332" s="35"/>
      <c r="EF332" s="35"/>
      <c r="EG332" s="35"/>
      <c r="EH332" s="35"/>
      <c r="EI332" s="35"/>
      <c r="EJ332" s="35"/>
      <c r="EK332" s="35"/>
      <c r="EL332" s="35"/>
      <c r="EM332" s="35"/>
      <c r="EN332" s="35"/>
      <c r="EO332" s="35"/>
      <c r="EP332" s="35"/>
      <c r="EQ332" s="35"/>
      <c r="ER332" s="35">
        <v>-1.4</v>
      </c>
      <c r="ES332" s="35"/>
      <c r="ET332" s="35"/>
      <c r="EU332" s="35"/>
      <c r="EV332" s="35"/>
      <c r="EW332" s="35"/>
      <c r="EX332" s="35"/>
      <c r="EY332" s="35"/>
      <c r="EZ332" s="35"/>
      <c r="FA332" s="35"/>
      <c r="FB332" s="35"/>
      <c r="FC332" s="35"/>
      <c r="FD332" s="35"/>
      <c r="FE332" s="35"/>
      <c r="FF332" s="35"/>
      <c r="FG332" s="35"/>
      <c r="FH332" s="35"/>
      <c r="FI332" s="35"/>
      <c r="FJ332" s="35"/>
      <c r="FK332" s="35"/>
      <c r="FL332" s="35"/>
      <c r="FM332" s="35"/>
      <c r="FN332" s="35"/>
      <c r="FO332" s="35"/>
      <c r="FP332" s="35"/>
      <c r="FQ332" s="35"/>
      <c r="FR332" s="35"/>
      <c r="FS332" s="35"/>
      <c r="FT332" s="35"/>
      <c r="FU332" s="35"/>
      <c r="FV332" s="35"/>
      <c r="FW332" s="35"/>
      <c r="FX332" s="35"/>
      <c r="FY332" s="35"/>
      <c r="FZ332" s="35"/>
      <c r="GA332" s="35"/>
      <c r="GB332" s="318">
        <f>GC332</f>
        <v>0.12280000000000001</v>
      </c>
      <c r="GC332" s="178">
        <f t="shared" si="60"/>
        <v>0.12280000000000001</v>
      </c>
      <c r="GD332" s="178">
        <f t="shared" si="61"/>
        <v>-0.12280000000000001</v>
      </c>
      <c r="GE332" s="178">
        <f t="shared" si="62"/>
        <v>0</v>
      </c>
      <c r="GF332" s="178">
        <f t="shared" si="63"/>
        <v>0</v>
      </c>
      <c r="GG332" s="178">
        <f t="shared" si="51"/>
        <v>0</v>
      </c>
    </row>
    <row r="333" spans="1:189" x14ac:dyDescent="0.35">
      <c r="A333" s="6" t="s">
        <v>1464</v>
      </c>
      <c r="B333" s="6" t="str">
        <f>IF(Technologies!B333&lt;&gt;0,Technologies!B333,"")</f>
        <v>Industrie</v>
      </c>
      <c r="C333" s="6" t="str">
        <f>VLOOKUP($A333,Technologies!$A$7:$H$576,3,FALSE)</f>
        <v>Conversion</v>
      </c>
      <c r="D333" s="6" t="str">
        <f>VLOOKUP($A333,Technologies!$A$7:$H$576,4,FALSE)</f>
        <v>Industry</v>
      </c>
      <c r="E333" s="6" t="str">
        <f>VLOOKUP($A333,Technologies!$A$7:$H$576,6,FALSE)</f>
        <v>Furnace Heat Industry</v>
      </c>
      <c r="F333" s="48" t="str">
        <f>VLOOKUP($A333,Technologies!$A$7:$H$576,7,FALSE)</f>
        <v>Hydrogen Furnace - FH Industry</v>
      </c>
      <c r="G333" s="22"/>
      <c r="H333" s="22"/>
      <c r="I333" s="103" cm="1">
        <f t="array" ref="I333">-SUMPRODUCT((Feedstocks!$C$4:$C$141=A333)*Feedstocks!$E$4:$E$141,Feedstocks!$F$4:$F$141,Feedstocks!$H$4:$H$141,Feedstocks!$I$4:$I$141)</f>
        <v>0</v>
      </c>
      <c r="J333" s="103" cm="1">
        <f t="array" ref="J333">-SUMPRODUCT((Feedstocks!$C$4:$C$141=A333)*Feedstocks!$E$4:$E$141,Feedstocks!$H$4:$H$141,Feedstocks!$I$4:$I$141)</f>
        <v>0</v>
      </c>
      <c r="K333" s="103"/>
      <c r="L333" s="103"/>
      <c r="M333" s="22">
        <v>1</v>
      </c>
      <c r="N333" s="22" t="str">
        <f>VLOOKUP(E333,Activities!$A$9:$M$227,13,FALSE)</f>
        <v>NL</v>
      </c>
      <c r="O333" s="22"/>
      <c r="P333" s="80"/>
      <c r="Q333" s="36"/>
      <c r="R333" s="36"/>
      <c r="S333" s="36"/>
      <c r="T333" s="36"/>
      <c r="U333" s="36"/>
      <c r="V333" s="36"/>
      <c r="W333" s="36"/>
      <c r="X333" s="36"/>
      <c r="Y333" s="36"/>
      <c r="Z333" s="36"/>
      <c r="AA333" s="36"/>
      <c r="AB333" s="36"/>
      <c r="AC333" s="36"/>
      <c r="AD333" s="36"/>
      <c r="AE333" s="36"/>
      <c r="AF333" s="35"/>
      <c r="AG333" s="35"/>
      <c r="AH333" s="35"/>
      <c r="AI333" s="35"/>
      <c r="AJ333" s="35"/>
      <c r="AK333" s="35"/>
      <c r="AL333" s="35"/>
      <c r="AM333" s="35"/>
      <c r="AN333" s="35"/>
      <c r="AO333" s="35"/>
      <c r="AP333" s="36"/>
      <c r="AQ333" s="36"/>
      <c r="AR333" s="36"/>
      <c r="AS333" s="36"/>
      <c r="AT333" s="36"/>
      <c r="AU333" s="36"/>
      <c r="AV333" s="36"/>
      <c r="AW333" s="36"/>
      <c r="AX333" s="36"/>
      <c r="AY333" s="36"/>
      <c r="AZ333" s="36"/>
      <c r="BA333" s="36"/>
      <c r="BB333" s="36"/>
      <c r="BC333" s="36"/>
      <c r="BD333" s="36"/>
      <c r="BE333" s="36"/>
      <c r="BF333" s="36"/>
      <c r="BG333" s="36"/>
      <c r="BH333" s="36"/>
      <c r="BI333" s="36"/>
      <c r="BJ333" s="36"/>
      <c r="BK333" s="36"/>
      <c r="BL333" s="36"/>
      <c r="BM333" s="36"/>
      <c r="BN333" s="36"/>
      <c r="BO333" s="36"/>
      <c r="BP333" s="36"/>
      <c r="BQ333" s="36"/>
      <c r="BR333" s="36"/>
      <c r="BS333" s="36"/>
      <c r="BT333" s="36"/>
      <c r="BU333" s="36"/>
      <c r="BV333" s="36"/>
      <c r="BW333" s="36"/>
      <c r="BX333" s="36"/>
      <c r="BY333" s="36"/>
      <c r="BZ333" s="36"/>
      <c r="CA333" s="36"/>
      <c r="CB333" s="36"/>
      <c r="CC333" s="36"/>
      <c r="CD333" s="36"/>
      <c r="CE333" s="36"/>
      <c r="CF333" s="36"/>
      <c r="CG333" s="36"/>
      <c r="CH333" s="36"/>
      <c r="CI333" s="36"/>
      <c r="CJ333" s="36"/>
      <c r="CK333" s="36"/>
      <c r="CL333" s="36"/>
      <c r="CM333" s="36"/>
      <c r="CN333" s="36"/>
      <c r="CO333" s="36"/>
      <c r="CP333" s="36"/>
      <c r="CQ333" s="36"/>
      <c r="CR333" s="36"/>
      <c r="CS333" s="36"/>
      <c r="CT333" s="36"/>
      <c r="CU333" s="36"/>
      <c r="CV333" s="36"/>
      <c r="CW333" s="36"/>
      <c r="CX333" s="36"/>
      <c r="CY333" s="36"/>
      <c r="CZ333" s="36"/>
      <c r="DA333" s="36"/>
      <c r="DB333" s="36"/>
      <c r="DC333" s="36"/>
      <c r="DD333" s="36"/>
      <c r="DE333" s="36"/>
      <c r="DF333" s="36"/>
      <c r="DG333" s="36"/>
      <c r="DH333" s="36"/>
      <c r="DI333" s="36"/>
      <c r="DJ333" s="36"/>
      <c r="DK333" s="36"/>
      <c r="DL333" s="36"/>
      <c r="DM333" s="36"/>
      <c r="DN333" s="36"/>
      <c r="DO333" s="36"/>
      <c r="DP333" s="36"/>
      <c r="DQ333" s="36">
        <v>1</v>
      </c>
      <c r="DR333" s="36"/>
      <c r="DS333" s="36"/>
      <c r="DT333" s="36"/>
      <c r="DU333" s="36"/>
      <c r="DV333" s="36"/>
      <c r="DW333" s="36"/>
      <c r="DX333" s="36"/>
      <c r="DY333" s="36"/>
      <c r="DZ333" s="36"/>
      <c r="EA333" s="36"/>
      <c r="EB333" s="36"/>
      <c r="EC333" s="36"/>
      <c r="ED333" s="36"/>
      <c r="EE333" s="36"/>
      <c r="EF333" s="36"/>
      <c r="EG333" s="36"/>
      <c r="EH333" s="36"/>
      <c r="EI333" s="36"/>
      <c r="EJ333" s="36"/>
      <c r="EK333" s="36"/>
      <c r="EL333" s="36"/>
      <c r="EM333" s="36">
        <v>-1.1499999999999999</v>
      </c>
      <c r="EN333" s="36"/>
      <c r="EO333" s="36"/>
      <c r="EP333" s="36"/>
      <c r="EQ333" s="36"/>
      <c r="ER333" s="36"/>
      <c r="ES333" s="36"/>
      <c r="ET333" s="36"/>
      <c r="EU333" s="36"/>
      <c r="EV333" s="36"/>
      <c r="EW333" s="36"/>
      <c r="EX333" s="36"/>
      <c r="EY333" s="36"/>
      <c r="EZ333" s="36"/>
      <c r="FA333" s="36"/>
      <c r="FB333" s="36"/>
      <c r="FC333" s="36"/>
      <c r="FD333" s="36"/>
      <c r="FE333" s="36"/>
      <c r="FF333" s="36"/>
      <c r="FG333" s="36"/>
      <c r="FH333" s="36"/>
      <c r="FI333" s="36"/>
      <c r="FJ333" s="36"/>
      <c r="FK333" s="36"/>
      <c r="FL333" s="36"/>
      <c r="FM333" s="36"/>
      <c r="FN333" s="36"/>
      <c r="FO333" s="36"/>
      <c r="FP333" s="36"/>
      <c r="FQ333" s="36"/>
      <c r="FR333" s="36"/>
      <c r="FS333" s="36"/>
      <c r="FT333" s="36"/>
      <c r="FU333" s="36"/>
      <c r="FV333" s="36"/>
      <c r="FW333" s="36"/>
      <c r="FX333" s="36"/>
      <c r="FY333" s="36"/>
      <c r="FZ333" s="36"/>
      <c r="GA333" s="36"/>
      <c r="GB333" s="319"/>
      <c r="GC333" s="179">
        <f t="shared" si="60"/>
        <v>0</v>
      </c>
      <c r="GD333" s="179">
        <f t="shared" si="61"/>
        <v>0</v>
      </c>
      <c r="GE333" s="179">
        <f t="shared" si="62"/>
        <v>0</v>
      </c>
      <c r="GF333" s="179">
        <f t="shared" si="63"/>
        <v>0</v>
      </c>
      <c r="GG333" s="179">
        <f t="shared" si="51"/>
        <v>0</v>
      </c>
    </row>
    <row r="334" spans="1:189" x14ac:dyDescent="0.35">
      <c r="A334" s="5" t="s">
        <v>1466</v>
      </c>
      <c r="B334" s="5" t="str">
        <f>IF(Technologies!B334&lt;&gt;0,Technologies!B334,"")</f>
        <v>Industrie</v>
      </c>
      <c r="C334" s="5" t="str">
        <f>VLOOKUP($A334,Technologies!$A$7:$H$576,3,FALSE)</f>
        <v>Conversion</v>
      </c>
      <c r="D334" s="5" t="str">
        <f>VLOOKUP($A334,Technologies!$A$7:$H$576,4,FALSE)</f>
        <v>Industry</v>
      </c>
      <c r="E334" s="5" t="str">
        <f>VLOOKUP($A334,Technologies!$A$7:$H$576,6,FALSE)</f>
        <v>Furnace Heat Industry</v>
      </c>
      <c r="F334" s="5" t="str">
        <f>VLOOKUP($A334,Technologies!$A$7:$H$576,7,FALSE)</f>
        <v>Electric Furnace - FH Industry</v>
      </c>
      <c r="G334" s="23"/>
      <c r="H334" s="23"/>
      <c r="I334" s="104" cm="1">
        <f t="array" ref="I334">-SUMPRODUCT((Feedstocks!$C$4:$C$141=A334)*Feedstocks!$E$4:$E$141,Feedstocks!$F$4:$F$141,Feedstocks!$H$4:$H$141,Feedstocks!$I$4:$I$141)</f>
        <v>0</v>
      </c>
      <c r="J334" s="104" cm="1">
        <f t="array" ref="J334">-SUMPRODUCT((Feedstocks!$C$4:$C$141=A334)*Feedstocks!$E$4:$E$141,Feedstocks!$H$4:$H$141,Feedstocks!$I$4:$I$141)</f>
        <v>0</v>
      </c>
      <c r="K334" s="104"/>
      <c r="L334" s="104"/>
      <c r="M334" s="23">
        <v>1</v>
      </c>
      <c r="N334" s="23" t="str">
        <f>VLOOKUP(E334,Activities!$A$9:$M$227,13,FALSE)</f>
        <v>NL</v>
      </c>
      <c r="O334" s="23"/>
      <c r="P334" s="79"/>
      <c r="Q334" s="35"/>
      <c r="R334" s="35"/>
      <c r="S334" s="35"/>
      <c r="T334" s="35"/>
      <c r="U334" s="35"/>
      <c r="V334" s="35"/>
      <c r="W334" s="35"/>
      <c r="X334" s="35"/>
      <c r="Y334" s="35"/>
      <c r="Z334" s="35"/>
      <c r="AA334" s="35"/>
      <c r="AB334" s="35"/>
      <c r="AC334" s="35"/>
      <c r="AD334" s="35"/>
      <c r="AE334" s="35"/>
      <c r="AF334" s="36"/>
      <c r="AG334" s="36"/>
      <c r="AH334" s="36"/>
      <c r="AI334" s="36"/>
      <c r="AJ334" s="36"/>
      <c r="AK334" s="36"/>
      <c r="AL334" s="36"/>
      <c r="AM334" s="36"/>
      <c r="AN334" s="36"/>
      <c r="AO334" s="36"/>
      <c r="AP334" s="35"/>
      <c r="AQ334" s="35"/>
      <c r="AR334" s="35"/>
      <c r="AS334" s="35"/>
      <c r="AT334" s="35"/>
      <c r="AU334" s="35"/>
      <c r="AV334" s="35"/>
      <c r="AW334" s="35"/>
      <c r="AX334" s="35"/>
      <c r="AY334" s="35"/>
      <c r="AZ334" s="35"/>
      <c r="BA334" s="35"/>
      <c r="BB334" s="35"/>
      <c r="BC334" s="35"/>
      <c r="BD334" s="35"/>
      <c r="BE334" s="35"/>
      <c r="BF334" s="35"/>
      <c r="BG334" s="35"/>
      <c r="BH334" s="35"/>
      <c r="BI334" s="35"/>
      <c r="BJ334" s="35"/>
      <c r="BK334" s="35"/>
      <c r="BL334" s="35"/>
      <c r="BM334" s="35"/>
      <c r="BN334" s="35"/>
      <c r="BO334" s="35"/>
      <c r="BP334" s="35"/>
      <c r="BQ334" s="35"/>
      <c r="BR334" s="35"/>
      <c r="BS334" s="35"/>
      <c r="BT334" s="35"/>
      <c r="BU334" s="35"/>
      <c r="BV334" s="35"/>
      <c r="BW334" s="35"/>
      <c r="BX334" s="35"/>
      <c r="BY334" s="35"/>
      <c r="BZ334" s="35"/>
      <c r="CA334" s="35"/>
      <c r="CB334" s="35"/>
      <c r="CC334" s="35"/>
      <c r="CD334" s="35"/>
      <c r="CE334" s="35"/>
      <c r="CF334" s="35"/>
      <c r="CG334" s="35"/>
      <c r="CH334" s="35"/>
      <c r="CI334" s="35"/>
      <c r="CJ334" s="35"/>
      <c r="CK334" s="35"/>
      <c r="CL334" s="35"/>
      <c r="CM334" s="35"/>
      <c r="CN334" s="35"/>
      <c r="CO334" s="35"/>
      <c r="CP334" s="35"/>
      <c r="CQ334" s="35"/>
      <c r="CR334" s="35"/>
      <c r="CS334" s="35"/>
      <c r="CT334" s="35"/>
      <c r="CU334" s="35"/>
      <c r="CV334" s="35"/>
      <c r="CW334" s="35"/>
      <c r="CX334" s="35"/>
      <c r="CY334" s="35"/>
      <c r="CZ334" s="35"/>
      <c r="DA334" s="35"/>
      <c r="DB334" s="35"/>
      <c r="DC334" s="35"/>
      <c r="DD334" s="35"/>
      <c r="DE334" s="35"/>
      <c r="DF334" s="35"/>
      <c r="DG334" s="35"/>
      <c r="DH334" s="35">
        <v>-1.25</v>
      </c>
      <c r="DI334" s="35"/>
      <c r="DJ334" s="35"/>
      <c r="DK334" s="35"/>
      <c r="DL334" s="35"/>
      <c r="DM334" s="35"/>
      <c r="DN334" s="35"/>
      <c r="DO334" s="35"/>
      <c r="DP334" s="35"/>
      <c r="DQ334" s="35">
        <v>1</v>
      </c>
      <c r="DR334" s="35"/>
      <c r="DS334" s="35"/>
      <c r="DT334" s="35"/>
      <c r="DU334" s="35"/>
      <c r="DV334" s="35"/>
      <c r="DW334" s="35"/>
      <c r="DX334" s="35"/>
      <c r="DY334" s="35"/>
      <c r="DZ334" s="35"/>
      <c r="EA334" s="35"/>
      <c r="EB334" s="35"/>
      <c r="EC334" s="35"/>
      <c r="ED334" s="35"/>
      <c r="EE334" s="35"/>
      <c r="EF334" s="35"/>
      <c r="EG334" s="35"/>
      <c r="EH334" s="35"/>
      <c r="EI334" s="35"/>
      <c r="EJ334" s="35"/>
      <c r="EK334" s="35"/>
      <c r="EL334" s="35"/>
      <c r="EM334" s="35"/>
      <c r="EN334" s="35"/>
      <c r="EO334" s="35"/>
      <c r="EP334" s="35"/>
      <c r="EQ334" s="35"/>
      <c r="ER334" s="35"/>
      <c r="ES334" s="35"/>
      <c r="ET334" s="35"/>
      <c r="EU334" s="35"/>
      <c r="EV334" s="35"/>
      <c r="EW334" s="35"/>
      <c r="EX334" s="35"/>
      <c r="EY334" s="35"/>
      <c r="EZ334" s="35"/>
      <c r="FA334" s="35"/>
      <c r="FB334" s="35"/>
      <c r="FC334" s="35"/>
      <c r="FD334" s="35"/>
      <c r="FE334" s="35"/>
      <c r="FF334" s="35"/>
      <c r="FG334" s="35"/>
      <c r="FH334" s="35"/>
      <c r="FI334" s="35"/>
      <c r="FJ334" s="35"/>
      <c r="FK334" s="35"/>
      <c r="FL334" s="35"/>
      <c r="FM334" s="35"/>
      <c r="FN334" s="35"/>
      <c r="FO334" s="35"/>
      <c r="FP334" s="35"/>
      <c r="FQ334" s="35"/>
      <c r="FR334" s="35"/>
      <c r="FS334" s="35"/>
      <c r="FT334" s="35"/>
      <c r="FU334" s="35"/>
      <c r="FV334" s="35"/>
      <c r="FW334" s="35"/>
      <c r="FX334" s="35"/>
      <c r="FY334" s="35"/>
      <c r="FZ334" s="35"/>
      <c r="GA334" s="35"/>
      <c r="GB334" s="318"/>
      <c r="GC334" s="178">
        <f t="shared" si="60"/>
        <v>0</v>
      </c>
      <c r="GD334" s="178">
        <f t="shared" si="61"/>
        <v>0</v>
      </c>
      <c r="GE334" s="178">
        <f t="shared" si="62"/>
        <v>0</v>
      </c>
      <c r="GF334" s="178">
        <f t="shared" si="63"/>
        <v>0</v>
      </c>
      <c r="GG334" s="178">
        <f t="shared" si="51"/>
        <v>0</v>
      </c>
    </row>
    <row r="335" spans="1:189" x14ac:dyDescent="0.35">
      <c r="A335" s="6" t="s">
        <v>1468</v>
      </c>
      <c r="B335" s="6" t="str">
        <f>IF(Technologies!B335&lt;&gt;0,Technologies!B335,"")</f>
        <v>Industrie</v>
      </c>
      <c r="C335" s="6" t="str">
        <f>VLOOKUP($A335,Technologies!$A$7:$H$576,3,FALSE)</f>
        <v>Primary</v>
      </c>
      <c r="D335" s="6" t="str">
        <f>VLOOKUP($A335,Technologies!$A$7:$H$576,4,FALSE)</f>
        <v>Fossil</v>
      </c>
      <c r="E335" s="6" t="str">
        <f>VLOOKUP($A335,Technologies!$A$7:$H$576,6,FALSE)</f>
        <v>LPG</v>
      </c>
      <c r="F335" s="48" t="str">
        <f>VLOOKUP($A335,Technologies!$A$7:$H$576,7,FALSE)</f>
        <v>Imported LPG - Refineries</v>
      </c>
      <c r="G335" s="22"/>
      <c r="H335" s="22"/>
      <c r="I335" s="103" cm="1">
        <f t="array" ref="I335">-SUMPRODUCT((Feedstocks!$C$4:$C$141=A335)*Feedstocks!$E$4:$E$141,Feedstocks!$F$4:$F$141,Feedstocks!$H$4:$H$141,Feedstocks!$I$4:$I$141)</f>
        <v>0</v>
      </c>
      <c r="J335" s="103" cm="1">
        <f t="array" ref="J335">-SUMPRODUCT((Feedstocks!$C$4:$C$141=A335)*Feedstocks!$E$4:$E$141,Feedstocks!$H$4:$H$141,Feedstocks!$I$4:$I$141)</f>
        <v>0</v>
      </c>
      <c r="K335" s="103"/>
      <c r="L335" s="103"/>
      <c r="M335" s="22">
        <v>1</v>
      </c>
      <c r="N335" s="22" t="str">
        <f>VLOOKUP(E335,Activities!$A$9:$M$227,13,FALSE)</f>
        <v>NL</v>
      </c>
      <c r="O335" s="22"/>
      <c r="P335" s="80" t="s">
        <v>415</v>
      </c>
      <c r="Q335" s="36"/>
      <c r="R335" s="36"/>
      <c r="S335" s="36"/>
      <c r="T335" s="36"/>
      <c r="U335" s="36"/>
      <c r="V335" s="36"/>
      <c r="W335" s="36"/>
      <c r="X335" s="36"/>
      <c r="Y335" s="36"/>
      <c r="Z335" s="36"/>
      <c r="AA335" s="36"/>
      <c r="AB335" s="36"/>
      <c r="AC335" s="36"/>
      <c r="AD335" s="36"/>
      <c r="AE335" s="36"/>
      <c r="AF335" s="35"/>
      <c r="AG335" s="35"/>
      <c r="AH335" s="35"/>
      <c r="AI335" s="35"/>
      <c r="AJ335" s="35"/>
      <c r="AK335" s="35"/>
      <c r="AL335" s="35"/>
      <c r="AM335" s="35"/>
      <c r="AN335" s="35"/>
      <c r="AO335" s="35"/>
      <c r="AP335" s="36"/>
      <c r="AQ335" s="36"/>
      <c r="AR335" s="36"/>
      <c r="AS335" s="36"/>
      <c r="AT335" s="36"/>
      <c r="AU335" s="36"/>
      <c r="AV335" s="36"/>
      <c r="AW335" s="36"/>
      <c r="AX335" s="36"/>
      <c r="AY335" s="36"/>
      <c r="AZ335" s="36"/>
      <c r="BA335" s="36"/>
      <c r="BB335" s="36"/>
      <c r="BC335" s="36"/>
      <c r="BD335" s="36"/>
      <c r="BE335" s="36"/>
      <c r="BF335" s="36"/>
      <c r="BG335" s="36"/>
      <c r="BH335" s="36"/>
      <c r="BI335" s="36"/>
      <c r="BJ335" s="36"/>
      <c r="BK335" s="36"/>
      <c r="BL335" s="36"/>
      <c r="BM335" s="36"/>
      <c r="BN335" s="36"/>
      <c r="BO335" s="36"/>
      <c r="BP335" s="36"/>
      <c r="BQ335" s="36"/>
      <c r="BR335" s="36"/>
      <c r="BS335" s="36"/>
      <c r="BT335" s="36"/>
      <c r="BU335" s="36"/>
      <c r="BV335" s="36"/>
      <c r="BW335" s="36"/>
      <c r="BX335" s="36"/>
      <c r="BY335" s="36"/>
      <c r="BZ335" s="36"/>
      <c r="CA335" s="36"/>
      <c r="CB335" s="36"/>
      <c r="CC335" s="36"/>
      <c r="CD335" s="36"/>
      <c r="CE335" s="36"/>
      <c r="CF335" s="36"/>
      <c r="CG335" s="36"/>
      <c r="CH335" s="36"/>
      <c r="CI335" s="36"/>
      <c r="CJ335" s="36"/>
      <c r="CK335" s="36"/>
      <c r="CL335" s="36"/>
      <c r="CM335" s="36"/>
      <c r="CN335" s="36"/>
      <c r="CO335" s="36"/>
      <c r="CP335" s="36"/>
      <c r="CQ335" s="36"/>
      <c r="CR335" s="36"/>
      <c r="CS335" s="36"/>
      <c r="CT335" s="36"/>
      <c r="CU335" s="36"/>
      <c r="CV335" s="36"/>
      <c r="CW335" s="36"/>
      <c r="CX335" s="36"/>
      <c r="CY335" s="36"/>
      <c r="CZ335" s="36"/>
      <c r="DA335" s="36"/>
      <c r="DB335" s="36"/>
      <c r="DC335" s="36"/>
      <c r="DD335" s="36"/>
      <c r="DE335" s="36"/>
      <c r="DF335" s="36"/>
      <c r="DG335" s="36"/>
      <c r="DH335" s="36"/>
      <c r="DI335" s="36"/>
      <c r="DJ335" s="36"/>
      <c r="DK335" s="36"/>
      <c r="DL335" s="36"/>
      <c r="DM335" s="36"/>
      <c r="DN335" s="36"/>
      <c r="DO335" s="36"/>
      <c r="DP335" s="36"/>
      <c r="DQ335" s="36"/>
      <c r="DR335" s="36"/>
      <c r="DS335" s="36">
        <v>1</v>
      </c>
      <c r="DT335" s="36"/>
      <c r="DU335" s="36"/>
      <c r="DV335" s="36"/>
      <c r="DW335" s="36"/>
      <c r="DX335" s="36"/>
      <c r="DY335" s="36"/>
      <c r="DZ335" s="36"/>
      <c r="EA335" s="36"/>
      <c r="EB335" s="36"/>
      <c r="EC335" s="36"/>
      <c r="ED335" s="36"/>
      <c r="EE335" s="36"/>
      <c r="EF335" s="36"/>
      <c r="EG335" s="36"/>
      <c r="EH335" s="36"/>
      <c r="EI335" s="36"/>
      <c r="EJ335" s="36"/>
      <c r="EK335" s="36"/>
      <c r="EL335" s="36"/>
      <c r="EM335" s="36"/>
      <c r="EN335" s="36"/>
      <c r="EO335" s="36"/>
      <c r="EP335" s="36"/>
      <c r="EQ335" s="36"/>
      <c r="ER335" s="36"/>
      <c r="ES335" s="36"/>
      <c r="ET335" s="36"/>
      <c r="EU335" s="36"/>
      <c r="EV335" s="36"/>
      <c r="EW335" s="36"/>
      <c r="EX335" s="36"/>
      <c r="EY335" s="36"/>
      <c r="EZ335" s="36"/>
      <c r="FA335" s="36"/>
      <c r="FB335" s="36"/>
      <c r="FC335" s="36"/>
      <c r="FD335" s="36"/>
      <c r="FE335" s="36"/>
      <c r="FF335" s="36"/>
      <c r="FG335" s="36"/>
      <c r="FH335" s="36"/>
      <c r="FI335" s="36"/>
      <c r="FJ335" s="36"/>
      <c r="FK335" s="36"/>
      <c r="FL335" s="36"/>
      <c r="FM335" s="36"/>
      <c r="FN335" s="36"/>
      <c r="FO335" s="36"/>
      <c r="FP335" s="36"/>
      <c r="FQ335" s="36"/>
      <c r="FR335" s="36"/>
      <c r="FS335" s="36"/>
      <c r="FT335" s="36"/>
      <c r="FU335" s="36"/>
      <c r="FV335" s="36"/>
      <c r="FW335" s="36"/>
      <c r="FX335" s="36"/>
      <c r="FY335" s="36"/>
      <c r="FZ335" s="36"/>
      <c r="GA335" s="36"/>
      <c r="GB335" s="319"/>
      <c r="GC335" s="179">
        <f t="shared" si="60"/>
        <v>0</v>
      </c>
      <c r="GD335" s="179">
        <f t="shared" si="61"/>
        <v>0</v>
      </c>
      <c r="GE335" s="179">
        <f t="shared" si="62"/>
        <v>0</v>
      </c>
      <c r="GF335" s="179">
        <f t="shared" si="63"/>
        <v>0</v>
      </c>
      <c r="GG335" s="179">
        <f t="shared" si="51"/>
        <v>0</v>
      </c>
    </row>
    <row r="336" spans="1:189" x14ac:dyDescent="0.35">
      <c r="A336" s="5" t="s">
        <v>1472</v>
      </c>
      <c r="B336" s="5" t="str">
        <f>IF(Technologies!B336&lt;&gt;0,Technologies!B336,"")</f>
        <v>Industrie</v>
      </c>
      <c r="C336" s="5" t="str">
        <f>VLOOKUP($A336,Technologies!$A$7:$H$576,3,FALSE)</f>
        <v>Primary</v>
      </c>
      <c r="D336" s="5" t="str">
        <f>VLOOKUP($A336,Technologies!$A$7:$H$576,4,FALSE)</f>
        <v>Fossil</v>
      </c>
      <c r="E336" s="5" t="str">
        <f>VLOOKUP($A336,Technologies!$A$7:$H$576,6,FALSE)</f>
        <v>Naphtha</v>
      </c>
      <c r="F336" s="5" t="str">
        <f>VLOOKUP($A336,Technologies!$A$7:$H$576,7,FALSE)</f>
        <v>Imported Naphtha - Refineries</v>
      </c>
      <c r="G336" s="23"/>
      <c r="H336" s="23"/>
      <c r="I336" s="104" cm="1">
        <f t="array" ref="I336">-SUMPRODUCT((Feedstocks!$C$4:$C$141=A336)*Feedstocks!$E$4:$E$141,Feedstocks!$F$4:$F$141,Feedstocks!$H$4:$H$141,Feedstocks!$I$4:$I$141)</f>
        <v>0</v>
      </c>
      <c r="J336" s="104" cm="1">
        <f t="array" ref="J336">-SUMPRODUCT((Feedstocks!$C$4:$C$141=A336)*Feedstocks!$E$4:$E$141,Feedstocks!$H$4:$H$141,Feedstocks!$I$4:$I$141)</f>
        <v>0</v>
      </c>
      <c r="K336" s="104"/>
      <c r="L336" s="104"/>
      <c r="M336" s="23">
        <v>1</v>
      </c>
      <c r="N336" s="23" t="str">
        <f>VLOOKUP(E336,Activities!$A$9:$M$227,13,FALSE)</f>
        <v>NL</v>
      </c>
      <c r="O336" s="23"/>
      <c r="P336" s="79" t="s">
        <v>415</v>
      </c>
      <c r="Q336" s="35"/>
      <c r="R336" s="35"/>
      <c r="S336" s="35"/>
      <c r="T336" s="35"/>
      <c r="U336" s="35"/>
      <c r="V336" s="35"/>
      <c r="W336" s="35"/>
      <c r="X336" s="35"/>
      <c r="Y336" s="35"/>
      <c r="Z336" s="35"/>
      <c r="AA336" s="35"/>
      <c r="AB336" s="35"/>
      <c r="AC336" s="35"/>
      <c r="AD336" s="35"/>
      <c r="AE336" s="35"/>
      <c r="AF336" s="36"/>
      <c r="AG336" s="36"/>
      <c r="AH336" s="36"/>
      <c r="AI336" s="36"/>
      <c r="AJ336" s="36"/>
      <c r="AK336" s="36"/>
      <c r="AL336" s="36"/>
      <c r="AM336" s="36"/>
      <c r="AN336" s="36"/>
      <c r="AO336" s="36"/>
      <c r="AP336" s="35"/>
      <c r="AQ336" s="35"/>
      <c r="AR336" s="35"/>
      <c r="AS336" s="35"/>
      <c r="AT336" s="35"/>
      <c r="AU336" s="35"/>
      <c r="AV336" s="35"/>
      <c r="AW336" s="35"/>
      <c r="AX336" s="35"/>
      <c r="AY336" s="35"/>
      <c r="AZ336" s="35"/>
      <c r="BA336" s="35"/>
      <c r="BB336" s="35"/>
      <c r="BC336" s="35"/>
      <c r="BD336" s="35"/>
      <c r="BE336" s="35"/>
      <c r="BF336" s="35"/>
      <c r="BG336" s="35"/>
      <c r="BH336" s="35"/>
      <c r="BI336" s="35"/>
      <c r="BJ336" s="35"/>
      <c r="BK336" s="35"/>
      <c r="BL336" s="35"/>
      <c r="BM336" s="35"/>
      <c r="BN336" s="35"/>
      <c r="BO336" s="35"/>
      <c r="BP336" s="35"/>
      <c r="BQ336" s="35"/>
      <c r="BR336" s="35"/>
      <c r="BS336" s="35"/>
      <c r="BT336" s="35"/>
      <c r="BU336" s="35"/>
      <c r="BV336" s="35"/>
      <c r="BW336" s="35"/>
      <c r="BX336" s="35"/>
      <c r="BY336" s="35"/>
      <c r="BZ336" s="35"/>
      <c r="CA336" s="35"/>
      <c r="CB336" s="35"/>
      <c r="CC336" s="35"/>
      <c r="CD336" s="35"/>
      <c r="CE336" s="35"/>
      <c r="CF336" s="35"/>
      <c r="CG336" s="35"/>
      <c r="CH336" s="35"/>
      <c r="CI336" s="35"/>
      <c r="CJ336" s="35"/>
      <c r="CK336" s="35"/>
      <c r="CL336" s="35"/>
      <c r="CM336" s="35"/>
      <c r="CN336" s="35"/>
      <c r="CO336" s="35"/>
      <c r="CP336" s="35"/>
      <c r="CQ336" s="35"/>
      <c r="CR336" s="35"/>
      <c r="CS336" s="35"/>
      <c r="CT336" s="35"/>
      <c r="CU336" s="35"/>
      <c r="CV336" s="35"/>
      <c r="CW336" s="35"/>
      <c r="CX336" s="35"/>
      <c r="CY336" s="35"/>
      <c r="CZ336" s="35"/>
      <c r="DA336" s="35"/>
      <c r="DB336" s="35"/>
      <c r="DC336" s="35"/>
      <c r="DD336" s="35"/>
      <c r="DE336" s="35"/>
      <c r="DF336" s="35"/>
      <c r="DG336" s="35"/>
      <c r="DH336" s="35"/>
      <c r="DI336" s="35"/>
      <c r="DJ336" s="35"/>
      <c r="DK336" s="35"/>
      <c r="DL336" s="35"/>
      <c r="DM336" s="35"/>
      <c r="DN336" s="35"/>
      <c r="DO336" s="35"/>
      <c r="DP336" s="35"/>
      <c r="DQ336" s="35"/>
      <c r="DR336" s="35"/>
      <c r="DS336" s="35"/>
      <c r="DT336" s="35">
        <v>1</v>
      </c>
      <c r="DU336" s="35"/>
      <c r="DV336" s="35"/>
      <c r="DW336" s="35"/>
      <c r="DX336" s="35"/>
      <c r="DY336" s="35"/>
      <c r="DZ336" s="35"/>
      <c r="EA336" s="35"/>
      <c r="EB336" s="35"/>
      <c r="EC336" s="35"/>
      <c r="ED336" s="35"/>
      <c r="EE336" s="35"/>
      <c r="EF336" s="35"/>
      <c r="EG336" s="35"/>
      <c r="EH336" s="35"/>
      <c r="EI336" s="35"/>
      <c r="EJ336" s="35"/>
      <c r="EK336" s="35"/>
      <c r="EL336" s="35"/>
      <c r="EM336" s="35"/>
      <c r="EN336" s="35"/>
      <c r="EO336" s="35"/>
      <c r="EP336" s="35"/>
      <c r="EQ336" s="35"/>
      <c r="ER336" s="35"/>
      <c r="ES336" s="35"/>
      <c r="ET336" s="35"/>
      <c r="EU336" s="35"/>
      <c r="EV336" s="35"/>
      <c r="EW336" s="35"/>
      <c r="EX336" s="35"/>
      <c r="EY336" s="35"/>
      <c r="EZ336" s="35"/>
      <c r="FA336" s="35"/>
      <c r="FB336" s="35"/>
      <c r="FC336" s="35"/>
      <c r="FD336" s="35"/>
      <c r="FE336" s="35"/>
      <c r="FF336" s="35"/>
      <c r="FG336" s="35"/>
      <c r="FH336" s="35"/>
      <c r="FI336" s="35"/>
      <c r="FJ336" s="35"/>
      <c r="FK336" s="35"/>
      <c r="FL336" s="35"/>
      <c r="FM336" s="35"/>
      <c r="FN336" s="35"/>
      <c r="FO336" s="35"/>
      <c r="FP336" s="35"/>
      <c r="FQ336" s="35"/>
      <c r="FR336" s="35"/>
      <c r="FS336" s="35"/>
      <c r="FT336" s="35"/>
      <c r="FU336" s="35"/>
      <c r="FV336" s="35"/>
      <c r="FW336" s="35"/>
      <c r="FX336" s="35"/>
      <c r="FY336" s="35"/>
      <c r="FZ336" s="35"/>
      <c r="GA336" s="35"/>
      <c r="GB336" s="318"/>
      <c r="GC336" s="178">
        <f t="shared" si="60"/>
        <v>0</v>
      </c>
      <c r="GD336" s="178">
        <f t="shared" si="61"/>
        <v>0</v>
      </c>
      <c r="GE336" s="178">
        <f t="shared" si="62"/>
        <v>0</v>
      </c>
      <c r="GF336" s="178">
        <f t="shared" si="63"/>
        <v>0</v>
      </c>
      <c r="GG336" s="178">
        <f t="shared" si="51"/>
        <v>0</v>
      </c>
    </row>
    <row r="337" spans="1:189" x14ac:dyDescent="0.35">
      <c r="A337" s="6" t="s">
        <v>1474</v>
      </c>
      <c r="B337" s="6" t="str">
        <f>IF(Technologies!B337&lt;&gt;0,Technologies!B337,"")</f>
        <v>Industrie</v>
      </c>
      <c r="C337" s="6" t="str">
        <f>VLOOKUP($A337,Technologies!$A$7:$H$576,3,FALSE)</f>
        <v>Conversion</v>
      </c>
      <c r="D337" s="6" t="str">
        <f>VLOOKUP($A337,Technologies!$A$7:$H$576,4,FALSE)</f>
        <v>Refineries</v>
      </c>
      <c r="E337" s="6" t="str">
        <f>VLOOKUP($A337,Technologies!$A$7:$H$576,6,FALSE)</f>
        <v>Road Fuel</v>
      </c>
      <c r="F337" s="48" t="str">
        <f>VLOOKUP($A337,Technologies!$A$7:$H$576,7,FALSE)</f>
        <v>Deep cracking refinery - Refineries</v>
      </c>
      <c r="G337" s="22"/>
      <c r="H337" s="22"/>
      <c r="I337" s="103" cm="1">
        <f t="array" ref="I337">-SUMPRODUCT((Feedstocks!$C$4:$C$141=A337)*Feedstocks!$E$4:$E$141,Feedstocks!$F$4:$F$141,Feedstocks!$H$4:$H$141,Feedstocks!$I$4:$I$141)</f>
        <v>0</v>
      </c>
      <c r="J337" s="103" cm="1">
        <f t="array" ref="J337">-SUMPRODUCT((Feedstocks!$C$4:$C$141=A337)*Feedstocks!$E$4:$E$141,Feedstocks!$H$4:$H$141,Feedstocks!$I$4:$I$141)</f>
        <v>0</v>
      </c>
      <c r="K337" s="103"/>
      <c r="L337" s="103"/>
      <c r="M337" s="22">
        <v>1</v>
      </c>
      <c r="N337" s="22" t="str">
        <f>VLOOKUP(E337,Activities!$A$9:$M$227,13,FALSE)</f>
        <v>NL</v>
      </c>
      <c r="O337" s="22"/>
      <c r="P337" s="80" t="s">
        <v>415</v>
      </c>
      <c r="Q337" s="36"/>
      <c r="R337" s="36"/>
      <c r="S337" s="36"/>
      <c r="T337" s="36"/>
      <c r="U337" s="36"/>
      <c r="V337" s="36"/>
      <c r="W337" s="36"/>
      <c r="X337" s="36"/>
      <c r="Y337" s="36"/>
      <c r="Z337" s="36"/>
      <c r="AA337" s="36"/>
      <c r="AB337" s="36"/>
      <c r="AC337" s="36"/>
      <c r="AD337" s="36"/>
      <c r="AE337" s="36"/>
      <c r="AF337" s="35"/>
      <c r="AG337" s="203">
        <f>0.67*DV337/43</f>
        <v>7.7906976744186052E-3</v>
      </c>
      <c r="AH337" s="203"/>
      <c r="AI337" s="203"/>
      <c r="AJ337" s="203"/>
      <c r="AK337" s="203"/>
      <c r="AL337" s="203"/>
      <c r="AM337" s="203"/>
      <c r="AN337" s="203"/>
      <c r="AO337" s="203"/>
      <c r="AP337" s="36"/>
      <c r="AQ337" s="36"/>
      <c r="AR337" s="36"/>
      <c r="AS337" s="36"/>
      <c r="AT337" s="36"/>
      <c r="AU337" s="36"/>
      <c r="AV337" s="36"/>
      <c r="AW337" s="36"/>
      <c r="AX337" s="36"/>
      <c r="AY337" s="36"/>
      <c r="AZ337" s="36"/>
      <c r="BA337" s="36"/>
      <c r="BB337" s="36"/>
      <c r="BC337" s="36"/>
      <c r="BD337" s="36"/>
      <c r="BE337" s="36"/>
      <c r="BF337" s="36"/>
      <c r="BG337" s="36"/>
      <c r="BH337" s="36"/>
      <c r="BI337" s="36"/>
      <c r="BJ337" s="36"/>
      <c r="BK337" s="36"/>
      <c r="BL337" s="36"/>
      <c r="BM337" s="36"/>
      <c r="BN337" s="36"/>
      <c r="BO337" s="36"/>
      <c r="BP337" s="36"/>
      <c r="BQ337" s="36"/>
      <c r="BR337" s="36"/>
      <c r="BS337" s="36"/>
      <c r="BT337" s="36"/>
      <c r="BU337" s="36"/>
      <c r="BV337" s="36"/>
      <c r="BW337" s="36"/>
      <c r="BX337" s="36"/>
      <c r="BY337" s="36"/>
      <c r="BZ337" s="36"/>
      <c r="CA337" s="36"/>
      <c r="CB337" s="36"/>
      <c r="CC337" s="36"/>
      <c r="CD337" s="36"/>
      <c r="CE337" s="36"/>
      <c r="CF337" s="36"/>
      <c r="CG337" s="36"/>
      <c r="CH337" s="36"/>
      <c r="CI337" s="36"/>
      <c r="CJ337" s="36"/>
      <c r="CK337" s="36"/>
      <c r="CL337" s="36"/>
      <c r="CM337" s="36"/>
      <c r="CN337" s="36"/>
      <c r="CO337" s="36"/>
      <c r="CP337" s="36"/>
      <c r="CQ337" s="36"/>
      <c r="CR337" s="36"/>
      <c r="CS337" s="36"/>
      <c r="CT337" s="36"/>
      <c r="CU337" s="36"/>
      <c r="CV337" s="36"/>
      <c r="CW337" s="36"/>
      <c r="CX337" s="36"/>
      <c r="CY337" s="36"/>
      <c r="CZ337" s="36"/>
      <c r="DA337" s="36"/>
      <c r="DB337" s="36"/>
      <c r="DC337" s="36"/>
      <c r="DD337" s="36"/>
      <c r="DE337" s="36"/>
      <c r="DF337" s="36"/>
      <c r="DG337" s="36"/>
      <c r="DH337" s="36">
        <v>-0.02</v>
      </c>
      <c r="DI337" s="36"/>
      <c r="DJ337" s="36"/>
      <c r="DK337" s="36"/>
      <c r="DL337" s="36"/>
      <c r="DM337" s="36"/>
      <c r="DN337" s="36"/>
      <c r="DO337" s="36">
        <v>-0.01</v>
      </c>
      <c r="DP337" s="36"/>
      <c r="DQ337" s="36"/>
      <c r="DR337" s="36"/>
      <c r="DS337" s="36">
        <v>0.1</v>
      </c>
      <c r="DT337" s="36">
        <v>0.45</v>
      </c>
      <c r="DU337" s="36">
        <v>1</v>
      </c>
      <c r="DV337" s="36">
        <v>0.5</v>
      </c>
      <c r="DW337" s="36">
        <v>0.2</v>
      </c>
      <c r="DX337" s="36">
        <v>0.1</v>
      </c>
      <c r="DY337" s="36"/>
      <c r="DZ337" s="36"/>
      <c r="EA337" s="36"/>
      <c r="EB337" s="36"/>
      <c r="EC337" s="36"/>
      <c r="ED337" s="36"/>
      <c r="EE337" s="36"/>
      <c r="EF337" s="36"/>
      <c r="EG337" s="36"/>
      <c r="EH337" s="36"/>
      <c r="EI337" s="36"/>
      <c r="EJ337" s="36">
        <v>-0.05</v>
      </c>
      <c r="EK337" s="36"/>
      <c r="EL337" s="36"/>
      <c r="EM337" s="36"/>
      <c r="EN337" s="36"/>
      <c r="EO337" s="36"/>
      <c r="EP337" s="36"/>
      <c r="EQ337" s="36"/>
      <c r="ER337" s="36"/>
      <c r="ES337" s="36"/>
      <c r="ET337" s="36">
        <v>-2.5</v>
      </c>
      <c r="EU337" s="36"/>
      <c r="EV337" s="36"/>
      <c r="EW337" s="36"/>
      <c r="EX337" s="36"/>
      <c r="EY337" s="36"/>
      <c r="EZ337" s="36"/>
      <c r="FA337" s="36"/>
      <c r="FB337" s="36"/>
      <c r="FC337" s="36"/>
      <c r="FD337" s="36"/>
      <c r="FE337" s="36"/>
      <c r="FF337" s="36"/>
      <c r="FG337" s="36"/>
      <c r="FH337" s="36"/>
      <c r="FI337" s="36"/>
      <c r="FJ337" s="36"/>
      <c r="FK337" s="36"/>
      <c r="FL337" s="36"/>
      <c r="FM337" s="36"/>
      <c r="FN337" s="36"/>
      <c r="FO337" s="36"/>
      <c r="FP337" s="36"/>
      <c r="FQ337" s="36"/>
      <c r="FR337" s="36"/>
      <c r="FS337" s="36"/>
      <c r="FT337" s="36"/>
      <c r="FU337" s="36"/>
      <c r="FV337" s="36"/>
      <c r="FW337" s="36"/>
      <c r="FX337" s="36"/>
      <c r="FY337" s="36"/>
      <c r="FZ337" s="36"/>
      <c r="GA337" s="36"/>
      <c r="GB337" s="319"/>
      <c r="GC337" s="179">
        <f t="shared" ref="GC337:GC368" si="64">ROUND(IF($C337="Primary",0,-$G337*(SUMPRODUCT($Q$4:$GA$4,$Q337:$GA337)+$J337)-$H337)*IF($N337=GC$4,1,0),4)</f>
        <v>0</v>
      </c>
      <c r="GD337" s="179">
        <f t="shared" ref="GD337:GD368" si="65">ROUND(IF($C337="Primary",0,$M337*(1-$O337)*($G337*(SUMPRODUCT($Q$4:$GA$4,$Q337:$GA337)+$J337)+$H337-SUMPRODUCT($Q$5:$GA$5,$Q337:$GA337)-$I337+$K337))*IF($N337=GD$4,1,0),4)</f>
        <v>1.5299999999999999E-2</v>
      </c>
      <c r="GE337" s="179">
        <f t="shared" ref="GE337:GE368" si="66">ROUND(IF($C337="Primary",0,(1-$M337)*(1-$O337)*($G337*(SUMPRODUCT($Q$4:$GA$4,$Q337:$GA337)+$J337)+$H337-SUMPRODUCT($Q$5:$GA$5,$Q337:$GA337)-$I337+$L337))*IF($N337=GD$4,1,0),4)</f>
        <v>0</v>
      </c>
      <c r="GF337" s="179">
        <f t="shared" ref="GF337:GF368" si="67">ROUND(IF($C337="Primary",0,$O337*($G337*(SUMPRODUCT($Q$4:$GA$4,$Q337:$GA337)+$J337)-SUMPRODUCT($Q$5:$GA$5,$Q337:$GA337)-$I337))*IF($N337=GD$4,1,0),4)</f>
        <v>0</v>
      </c>
      <c r="GG337" s="179">
        <f t="shared" si="51"/>
        <v>0</v>
      </c>
    </row>
    <row r="338" spans="1:189" x14ac:dyDescent="0.35">
      <c r="A338" s="5" t="s">
        <v>1477</v>
      </c>
      <c r="B338" s="5" t="str">
        <f>IF(Technologies!B338&lt;&gt;0,Technologies!B338,"")</f>
        <v>Industrie</v>
      </c>
      <c r="C338" s="5" t="str">
        <f>VLOOKUP($A338,Technologies!$A$7:$H$576,3,FALSE)</f>
        <v>Conversion</v>
      </c>
      <c r="D338" s="5" t="str">
        <f>VLOOKUP($A338,Technologies!$A$7:$H$576,4,FALSE)</f>
        <v>Refineries</v>
      </c>
      <c r="E338" s="5" t="str">
        <f>VLOOKUP($A338,Technologies!$A$7:$H$576,6,FALSE)</f>
        <v>Road Fuel</v>
      </c>
      <c r="F338" s="5" t="str">
        <f>VLOOKUP($A338,Technologies!$A$7:$H$576,7,FALSE)</f>
        <v>Deep cracking refinery wCCS - Refineries</v>
      </c>
      <c r="G338" s="23">
        <v>0.8</v>
      </c>
      <c r="H338" s="23"/>
      <c r="I338" s="104" cm="1">
        <f t="array" ref="I338">-SUMPRODUCT((Feedstocks!$C$4:$C$141=A338)*Feedstocks!$E$4:$E$141,Feedstocks!$F$4:$F$141,Feedstocks!$H$4:$H$141,Feedstocks!$I$4:$I$141)</f>
        <v>0</v>
      </c>
      <c r="J338" s="104" cm="1">
        <f t="array" ref="J338">-SUMPRODUCT((Feedstocks!$C$4:$C$141=A338)*Feedstocks!$E$4:$E$141,Feedstocks!$H$4:$H$141,Feedstocks!$I$4:$I$141)</f>
        <v>0</v>
      </c>
      <c r="K338" s="104"/>
      <c r="L338" s="104"/>
      <c r="M338" s="23">
        <v>1</v>
      </c>
      <c r="N338" s="23" t="str">
        <f>VLOOKUP(E338,Activities!$A$9:$M$227,13,FALSE)</f>
        <v>NL</v>
      </c>
      <c r="O338" s="23"/>
      <c r="P338" s="79" t="s">
        <v>415</v>
      </c>
      <c r="Q338" s="35"/>
      <c r="R338" s="35"/>
      <c r="S338" s="35"/>
      <c r="T338" s="35"/>
      <c r="U338" s="35"/>
      <c r="V338" s="35"/>
      <c r="W338" s="35"/>
      <c r="X338" s="35"/>
      <c r="Y338" s="35"/>
      <c r="Z338" s="35"/>
      <c r="AA338" s="35"/>
      <c r="AB338" s="35"/>
      <c r="AC338" s="35"/>
      <c r="AD338" s="35"/>
      <c r="AE338" s="35"/>
      <c r="AF338" s="36"/>
      <c r="AG338" s="212">
        <f t="shared" ref="AG338:AG342" si="68">0.67*DV338/43</f>
        <v>7.7906976744186052E-3</v>
      </c>
      <c r="AH338" s="212"/>
      <c r="AI338" s="212"/>
      <c r="AJ338" s="212"/>
      <c r="AK338" s="212"/>
      <c r="AL338" s="212"/>
      <c r="AM338" s="212"/>
      <c r="AN338" s="212"/>
      <c r="AO338" s="212"/>
      <c r="AP338" s="35"/>
      <c r="AQ338" s="35"/>
      <c r="AR338" s="35"/>
      <c r="AS338" s="35"/>
      <c r="AT338" s="35"/>
      <c r="AU338" s="35"/>
      <c r="AV338" s="35"/>
      <c r="AW338" s="35"/>
      <c r="AX338" s="35"/>
      <c r="AY338" s="35"/>
      <c r="AZ338" s="35"/>
      <c r="BA338" s="35"/>
      <c r="BB338" s="35"/>
      <c r="BC338" s="35"/>
      <c r="BD338" s="35"/>
      <c r="BE338" s="35"/>
      <c r="BF338" s="35"/>
      <c r="BG338" s="35"/>
      <c r="BH338" s="35"/>
      <c r="BI338" s="35"/>
      <c r="BJ338" s="35"/>
      <c r="BK338" s="35"/>
      <c r="BL338" s="35"/>
      <c r="BM338" s="35"/>
      <c r="BN338" s="35"/>
      <c r="BO338" s="35"/>
      <c r="BP338" s="35"/>
      <c r="BQ338" s="35"/>
      <c r="BR338" s="35"/>
      <c r="BS338" s="35"/>
      <c r="BT338" s="35"/>
      <c r="BU338" s="35"/>
      <c r="BV338" s="35"/>
      <c r="BW338" s="35"/>
      <c r="BX338" s="35"/>
      <c r="BY338" s="35"/>
      <c r="BZ338" s="35"/>
      <c r="CA338" s="35"/>
      <c r="CB338" s="35"/>
      <c r="CC338" s="35"/>
      <c r="CD338" s="35"/>
      <c r="CE338" s="35"/>
      <c r="CF338" s="35"/>
      <c r="CG338" s="35"/>
      <c r="CH338" s="35"/>
      <c r="CI338" s="35"/>
      <c r="CJ338" s="35"/>
      <c r="CK338" s="35"/>
      <c r="CL338" s="35"/>
      <c r="CM338" s="35"/>
      <c r="CN338" s="35"/>
      <c r="CO338" s="35"/>
      <c r="CP338" s="35"/>
      <c r="CQ338" s="35"/>
      <c r="CR338" s="35"/>
      <c r="CS338" s="35"/>
      <c r="CT338" s="35"/>
      <c r="CU338" s="35"/>
      <c r="CV338" s="35"/>
      <c r="CW338" s="35"/>
      <c r="CX338" s="35"/>
      <c r="CY338" s="35"/>
      <c r="CZ338" s="35"/>
      <c r="DA338" s="35"/>
      <c r="DB338" s="35"/>
      <c r="DC338" s="35"/>
      <c r="DD338" s="35"/>
      <c r="DE338" s="35"/>
      <c r="DF338" s="35"/>
      <c r="DG338" s="35"/>
      <c r="DH338" s="35">
        <v>-0.05</v>
      </c>
      <c r="DI338" s="35"/>
      <c r="DJ338" s="35"/>
      <c r="DK338" s="35"/>
      <c r="DL338" s="35"/>
      <c r="DM338" s="35"/>
      <c r="DN338" s="35"/>
      <c r="DO338" s="35">
        <v>-0.06</v>
      </c>
      <c r="DP338" s="35"/>
      <c r="DQ338" s="35"/>
      <c r="DR338" s="35"/>
      <c r="DS338" s="35">
        <v>0.1</v>
      </c>
      <c r="DT338" s="35">
        <v>0.45</v>
      </c>
      <c r="DU338" s="35">
        <v>1</v>
      </c>
      <c r="DV338" s="35">
        <v>0.5</v>
      </c>
      <c r="DW338" s="35">
        <v>0.2</v>
      </c>
      <c r="DX338" s="35">
        <v>0.1</v>
      </c>
      <c r="DY338" s="35"/>
      <c r="DZ338" s="35"/>
      <c r="EA338" s="35"/>
      <c r="EB338" s="35"/>
      <c r="EC338" s="35"/>
      <c r="ED338" s="35"/>
      <c r="EE338" s="35"/>
      <c r="EF338" s="35"/>
      <c r="EG338" s="35"/>
      <c r="EH338" s="35"/>
      <c r="EI338" s="35"/>
      <c r="EJ338" s="35">
        <v>-0.05</v>
      </c>
      <c r="EK338" s="35"/>
      <c r="EL338" s="35"/>
      <c r="EM338" s="35"/>
      <c r="EN338" s="35"/>
      <c r="EO338" s="35"/>
      <c r="EP338" s="35"/>
      <c r="EQ338" s="35"/>
      <c r="ER338" s="35"/>
      <c r="ES338" s="35"/>
      <c r="ET338" s="35">
        <v>-2.5</v>
      </c>
      <c r="EU338" s="35"/>
      <c r="EV338" s="35"/>
      <c r="EW338" s="35"/>
      <c r="EX338" s="35"/>
      <c r="EY338" s="35"/>
      <c r="EZ338" s="35"/>
      <c r="FA338" s="35"/>
      <c r="FB338" s="35"/>
      <c r="FC338" s="35"/>
      <c r="FD338" s="35"/>
      <c r="FE338" s="35"/>
      <c r="FF338" s="35"/>
      <c r="FG338" s="35"/>
      <c r="FH338" s="35"/>
      <c r="FI338" s="35"/>
      <c r="FJ338" s="35"/>
      <c r="FK338" s="35"/>
      <c r="FL338" s="35"/>
      <c r="FM338" s="35"/>
      <c r="FN338" s="35"/>
      <c r="FO338" s="35"/>
      <c r="FP338" s="35"/>
      <c r="FQ338" s="35"/>
      <c r="FR338" s="35"/>
      <c r="FS338" s="35"/>
      <c r="FT338" s="35"/>
      <c r="FU338" s="35"/>
      <c r="FV338" s="35"/>
      <c r="FW338" s="35"/>
      <c r="FX338" s="35"/>
      <c r="FY338" s="35"/>
      <c r="FZ338" s="35"/>
      <c r="GA338" s="35"/>
      <c r="GB338" s="318"/>
      <c r="GC338" s="178">
        <f t="shared" si="64"/>
        <v>1.23E-2</v>
      </c>
      <c r="GD338" s="178">
        <f t="shared" si="65"/>
        <v>3.0999999999999999E-3</v>
      </c>
      <c r="GE338" s="178">
        <f t="shared" si="66"/>
        <v>0</v>
      </c>
      <c r="GF338" s="178">
        <f t="shared" si="67"/>
        <v>0</v>
      </c>
      <c r="GG338" s="178">
        <f t="shared" si="51"/>
        <v>0</v>
      </c>
    </row>
    <row r="339" spans="1:189" x14ac:dyDescent="0.35">
      <c r="A339" s="6" t="s">
        <v>1479</v>
      </c>
      <c r="B339" s="6" t="str">
        <f>IF(Technologies!B339&lt;&gt;0,Technologies!B339,"")</f>
        <v>Industrie</v>
      </c>
      <c r="C339" s="6" t="str">
        <f>VLOOKUP($A339,Technologies!$A$7:$H$576,3,FALSE)</f>
        <v>Conversion</v>
      </c>
      <c r="D339" s="6" t="str">
        <f>VLOOKUP($A339,Technologies!$A$7:$H$576,4,FALSE)</f>
        <v>Refineries</v>
      </c>
      <c r="E339" s="6" t="str">
        <f>VLOOKUP($A339,Technologies!$A$7:$H$576,6,FALSE)</f>
        <v>Road Fuel</v>
      </c>
      <c r="F339" s="48" t="str">
        <f>VLOOKUP($A339,Technologies!$A$7:$H$576,7,FALSE)</f>
        <v>Basic cracking refinery - Refineries</v>
      </c>
      <c r="G339" s="22"/>
      <c r="H339" s="22"/>
      <c r="I339" s="103" cm="1">
        <f t="array" ref="I339">-SUMPRODUCT((Feedstocks!$C$4:$C$141=A339)*Feedstocks!$E$4:$E$141,Feedstocks!$F$4:$F$141,Feedstocks!$H$4:$H$141,Feedstocks!$I$4:$I$141)</f>
        <v>0</v>
      </c>
      <c r="J339" s="103" cm="1">
        <f t="array" ref="J339">-SUMPRODUCT((Feedstocks!$C$4:$C$141=A339)*Feedstocks!$E$4:$E$141,Feedstocks!$H$4:$H$141,Feedstocks!$I$4:$I$141)</f>
        <v>0</v>
      </c>
      <c r="K339" s="103"/>
      <c r="L339" s="103"/>
      <c r="M339" s="22">
        <v>1</v>
      </c>
      <c r="N339" s="22" t="str">
        <f>VLOOKUP(E339,Activities!$A$9:$M$227,13,FALSE)</f>
        <v>NL</v>
      </c>
      <c r="O339" s="22"/>
      <c r="P339" s="80" t="s">
        <v>415</v>
      </c>
      <c r="Q339" s="36"/>
      <c r="R339" s="36"/>
      <c r="S339" s="36"/>
      <c r="T339" s="36"/>
      <c r="U339" s="36"/>
      <c r="V339" s="36"/>
      <c r="W339" s="36"/>
      <c r="X339" s="36"/>
      <c r="Y339" s="36"/>
      <c r="Z339" s="36"/>
      <c r="AA339" s="36"/>
      <c r="AB339" s="36"/>
      <c r="AC339" s="36"/>
      <c r="AD339" s="36"/>
      <c r="AE339" s="36"/>
      <c r="AF339" s="35"/>
      <c r="AG339" s="203">
        <f t="shared" si="68"/>
        <v>4.674418604651163E-3</v>
      </c>
      <c r="AH339" s="203"/>
      <c r="AI339" s="203"/>
      <c r="AJ339" s="203"/>
      <c r="AK339" s="203"/>
      <c r="AL339" s="203"/>
      <c r="AM339" s="203"/>
      <c r="AN339" s="203"/>
      <c r="AO339" s="203"/>
      <c r="AP339" s="36"/>
      <c r="AQ339" s="36"/>
      <c r="AR339" s="36"/>
      <c r="AS339" s="36"/>
      <c r="AT339" s="36"/>
      <c r="AU339" s="36"/>
      <c r="AV339" s="36"/>
      <c r="AW339" s="36"/>
      <c r="AX339" s="36"/>
      <c r="AY339" s="36"/>
      <c r="AZ339" s="36"/>
      <c r="BA339" s="36"/>
      <c r="BB339" s="36"/>
      <c r="BC339" s="36"/>
      <c r="BD339" s="36"/>
      <c r="BE339" s="36"/>
      <c r="BF339" s="36"/>
      <c r="BG339" s="36"/>
      <c r="BH339" s="36"/>
      <c r="BI339" s="36"/>
      <c r="BJ339" s="36"/>
      <c r="BK339" s="36"/>
      <c r="BL339" s="36"/>
      <c r="BM339" s="36"/>
      <c r="BN339" s="36"/>
      <c r="BO339" s="36"/>
      <c r="BP339" s="36"/>
      <c r="BQ339" s="36"/>
      <c r="BR339" s="36"/>
      <c r="BS339" s="36"/>
      <c r="BT339" s="36"/>
      <c r="BU339" s="36"/>
      <c r="BV339" s="36"/>
      <c r="BW339" s="36"/>
      <c r="BX339" s="36"/>
      <c r="BY339" s="36"/>
      <c r="BZ339" s="36"/>
      <c r="CA339" s="36"/>
      <c r="CB339" s="36"/>
      <c r="CC339" s="36"/>
      <c r="CD339" s="36"/>
      <c r="CE339" s="36"/>
      <c r="CF339" s="36"/>
      <c r="CG339" s="36"/>
      <c r="CH339" s="36"/>
      <c r="CI339" s="36"/>
      <c r="CJ339" s="36"/>
      <c r="CK339" s="36"/>
      <c r="CL339" s="36"/>
      <c r="CM339" s="36"/>
      <c r="CN339" s="36"/>
      <c r="CO339" s="36"/>
      <c r="CP339" s="36"/>
      <c r="CQ339" s="36"/>
      <c r="CR339" s="36"/>
      <c r="CS339" s="36"/>
      <c r="CT339" s="36"/>
      <c r="CU339" s="36"/>
      <c r="CV339" s="36"/>
      <c r="CW339" s="36"/>
      <c r="CX339" s="36"/>
      <c r="CY339" s="36"/>
      <c r="CZ339" s="36"/>
      <c r="DA339" s="36"/>
      <c r="DB339" s="36"/>
      <c r="DC339" s="36"/>
      <c r="DD339" s="36"/>
      <c r="DE339" s="36"/>
      <c r="DF339" s="36"/>
      <c r="DG339" s="36"/>
      <c r="DH339" s="36">
        <v>-0.02</v>
      </c>
      <c r="DI339" s="36"/>
      <c r="DJ339" s="36"/>
      <c r="DK339" s="36"/>
      <c r="DL339" s="36"/>
      <c r="DM339" s="36"/>
      <c r="DN339" s="36"/>
      <c r="DO339" s="36">
        <v>-0.01</v>
      </c>
      <c r="DP339" s="36"/>
      <c r="DQ339" s="36"/>
      <c r="DR339" s="36"/>
      <c r="DS339" s="36">
        <v>0.05</v>
      </c>
      <c r="DT339" s="36">
        <v>0.3</v>
      </c>
      <c r="DU339" s="36">
        <v>1</v>
      </c>
      <c r="DV339" s="36">
        <v>0.3</v>
      </c>
      <c r="DW339" s="36">
        <v>0.45</v>
      </c>
      <c r="DX339" s="36">
        <v>0.3</v>
      </c>
      <c r="DY339" s="36"/>
      <c r="DZ339" s="36"/>
      <c r="EA339" s="36"/>
      <c r="EB339" s="36"/>
      <c r="EC339" s="36"/>
      <c r="ED339" s="36"/>
      <c r="EE339" s="36"/>
      <c r="EF339" s="36"/>
      <c r="EG339" s="36"/>
      <c r="EH339" s="36"/>
      <c r="EI339" s="36"/>
      <c r="EJ339" s="36">
        <v>-0.02</v>
      </c>
      <c r="EK339" s="36"/>
      <c r="EL339" s="36"/>
      <c r="EM339" s="36"/>
      <c r="EN339" s="36"/>
      <c r="EO339" s="36"/>
      <c r="EP339" s="36"/>
      <c r="EQ339" s="36"/>
      <c r="ER339" s="36"/>
      <c r="ES339" s="36"/>
      <c r="ET339" s="36">
        <v>-2.5499999999999998</v>
      </c>
      <c r="EU339" s="36"/>
      <c r="EV339" s="36"/>
      <c r="EW339" s="36"/>
      <c r="EX339" s="36"/>
      <c r="EY339" s="36"/>
      <c r="EZ339" s="36"/>
      <c r="FA339" s="36"/>
      <c r="FB339" s="36"/>
      <c r="FC339" s="36"/>
      <c r="FD339" s="36"/>
      <c r="FE339" s="36"/>
      <c r="FF339" s="36"/>
      <c r="FG339" s="36"/>
      <c r="FH339" s="36"/>
      <c r="FI339" s="36"/>
      <c r="FJ339" s="36"/>
      <c r="FK339" s="36"/>
      <c r="FL339" s="36"/>
      <c r="FM339" s="36"/>
      <c r="FN339" s="36"/>
      <c r="FO339" s="36"/>
      <c r="FP339" s="36"/>
      <c r="FQ339" s="36"/>
      <c r="FR339" s="36"/>
      <c r="FS339" s="36"/>
      <c r="FT339" s="36"/>
      <c r="FU339" s="36"/>
      <c r="FV339" s="36"/>
      <c r="FW339" s="36"/>
      <c r="FX339" s="36"/>
      <c r="FY339" s="36"/>
      <c r="FZ339" s="36"/>
      <c r="GA339" s="36"/>
      <c r="GB339" s="319"/>
      <c r="GC339" s="179">
        <f t="shared" si="64"/>
        <v>0</v>
      </c>
      <c r="GD339" s="179">
        <f t="shared" si="65"/>
        <v>0.01</v>
      </c>
      <c r="GE339" s="179">
        <f t="shared" si="66"/>
        <v>0</v>
      </c>
      <c r="GF339" s="179">
        <f t="shared" si="67"/>
        <v>0</v>
      </c>
      <c r="GG339" s="179">
        <f t="shared" si="51"/>
        <v>0</v>
      </c>
    </row>
    <row r="340" spans="1:189" x14ac:dyDescent="0.35">
      <c r="A340" s="5" t="s">
        <v>1481</v>
      </c>
      <c r="B340" s="5" t="str">
        <f>IF(Technologies!B340&lt;&gt;0,Technologies!B340,"")</f>
        <v>Industrie</v>
      </c>
      <c r="C340" s="5" t="str">
        <f>VLOOKUP($A340,Technologies!$A$7:$H$576,3,FALSE)</f>
        <v>Conversion</v>
      </c>
      <c r="D340" s="5" t="str">
        <f>VLOOKUP($A340,Technologies!$A$7:$H$576,4,FALSE)</f>
        <v>Refineries</v>
      </c>
      <c r="E340" s="5" t="str">
        <f>VLOOKUP($A340,Technologies!$A$7:$H$576,6,FALSE)</f>
        <v>Road Fuel</v>
      </c>
      <c r="F340" s="5" t="str">
        <f>VLOOKUP($A340,Technologies!$A$7:$H$576,7,FALSE)</f>
        <v>Basic cracking refinery wCCS - Refineries</v>
      </c>
      <c r="G340" s="23">
        <v>0.8</v>
      </c>
      <c r="H340" s="23"/>
      <c r="I340" s="104" cm="1">
        <f t="array" ref="I340">-SUMPRODUCT((Feedstocks!$C$4:$C$141=A340)*Feedstocks!$E$4:$E$141,Feedstocks!$F$4:$F$141,Feedstocks!$H$4:$H$141,Feedstocks!$I$4:$I$141)</f>
        <v>0</v>
      </c>
      <c r="J340" s="104" cm="1">
        <f t="array" ref="J340">-SUMPRODUCT((Feedstocks!$C$4:$C$141=A340)*Feedstocks!$E$4:$E$141,Feedstocks!$H$4:$H$141,Feedstocks!$I$4:$I$141)</f>
        <v>0</v>
      </c>
      <c r="K340" s="104"/>
      <c r="L340" s="104"/>
      <c r="M340" s="23">
        <v>1</v>
      </c>
      <c r="N340" s="23" t="str">
        <f>VLOOKUP(E340,Activities!$A$9:$M$227,13,FALSE)</f>
        <v>NL</v>
      </c>
      <c r="O340" s="23"/>
      <c r="P340" s="79" t="s">
        <v>415</v>
      </c>
      <c r="Q340" s="35"/>
      <c r="R340" s="35"/>
      <c r="S340" s="35"/>
      <c r="T340" s="35"/>
      <c r="U340" s="35"/>
      <c r="V340" s="35"/>
      <c r="W340" s="35"/>
      <c r="X340" s="35"/>
      <c r="Y340" s="35"/>
      <c r="Z340" s="35"/>
      <c r="AA340" s="35"/>
      <c r="AB340" s="35"/>
      <c r="AC340" s="35"/>
      <c r="AD340" s="35"/>
      <c r="AE340" s="35"/>
      <c r="AF340" s="36"/>
      <c r="AG340" s="212">
        <f t="shared" si="68"/>
        <v>4.674418604651163E-3</v>
      </c>
      <c r="AH340" s="212"/>
      <c r="AI340" s="212"/>
      <c r="AJ340" s="212"/>
      <c r="AK340" s="212"/>
      <c r="AL340" s="212"/>
      <c r="AM340" s="212"/>
      <c r="AN340" s="212"/>
      <c r="AO340" s="212"/>
      <c r="AP340" s="35"/>
      <c r="AQ340" s="35"/>
      <c r="AR340" s="35"/>
      <c r="AS340" s="35"/>
      <c r="AT340" s="35"/>
      <c r="AU340" s="35"/>
      <c r="AV340" s="35"/>
      <c r="AW340" s="35"/>
      <c r="AX340" s="35"/>
      <c r="AY340" s="35"/>
      <c r="AZ340" s="35"/>
      <c r="BA340" s="35"/>
      <c r="BB340" s="35"/>
      <c r="BC340" s="35"/>
      <c r="BD340" s="35"/>
      <c r="BE340" s="35"/>
      <c r="BF340" s="35"/>
      <c r="BG340" s="35"/>
      <c r="BH340" s="35"/>
      <c r="BI340" s="35"/>
      <c r="BJ340" s="35"/>
      <c r="BK340" s="35"/>
      <c r="BL340" s="35"/>
      <c r="BM340" s="35"/>
      <c r="BN340" s="35"/>
      <c r="BO340" s="35"/>
      <c r="BP340" s="35"/>
      <c r="BQ340" s="35"/>
      <c r="BR340" s="35"/>
      <c r="BS340" s="35"/>
      <c r="BT340" s="35"/>
      <c r="BU340" s="35"/>
      <c r="BV340" s="35"/>
      <c r="BW340" s="35"/>
      <c r="BX340" s="35"/>
      <c r="BY340" s="35"/>
      <c r="BZ340" s="35"/>
      <c r="CA340" s="35"/>
      <c r="CB340" s="35"/>
      <c r="CC340" s="35"/>
      <c r="CD340" s="35"/>
      <c r="CE340" s="35"/>
      <c r="CF340" s="35"/>
      <c r="CG340" s="35"/>
      <c r="CH340" s="35"/>
      <c r="CI340" s="35"/>
      <c r="CJ340" s="35"/>
      <c r="CK340" s="35"/>
      <c r="CL340" s="35"/>
      <c r="CM340" s="35"/>
      <c r="CN340" s="35"/>
      <c r="CO340" s="35"/>
      <c r="CP340" s="35"/>
      <c r="CQ340" s="35"/>
      <c r="CR340" s="35"/>
      <c r="CS340" s="35"/>
      <c r="CT340" s="35"/>
      <c r="CU340" s="35"/>
      <c r="CV340" s="35"/>
      <c r="CW340" s="35"/>
      <c r="CX340" s="35"/>
      <c r="CY340" s="35"/>
      <c r="CZ340" s="35"/>
      <c r="DA340" s="35"/>
      <c r="DB340" s="35"/>
      <c r="DC340" s="35"/>
      <c r="DD340" s="35"/>
      <c r="DE340" s="35"/>
      <c r="DF340" s="35"/>
      <c r="DG340" s="35"/>
      <c r="DH340" s="35">
        <v>-0.05</v>
      </c>
      <c r="DI340" s="35"/>
      <c r="DJ340" s="35"/>
      <c r="DK340" s="35"/>
      <c r="DL340" s="35"/>
      <c r="DM340" s="35"/>
      <c r="DN340" s="35"/>
      <c r="DO340" s="35">
        <v>-0.06</v>
      </c>
      <c r="DP340" s="35"/>
      <c r="DQ340" s="35"/>
      <c r="DR340" s="35"/>
      <c r="DS340" s="35">
        <v>0.05</v>
      </c>
      <c r="DT340" s="35">
        <v>0.3</v>
      </c>
      <c r="DU340" s="35">
        <v>1</v>
      </c>
      <c r="DV340" s="35">
        <v>0.3</v>
      </c>
      <c r="DW340" s="35">
        <v>0.45</v>
      </c>
      <c r="DX340" s="35">
        <v>0.3</v>
      </c>
      <c r="DY340" s="35"/>
      <c r="DZ340" s="35"/>
      <c r="EA340" s="35"/>
      <c r="EB340" s="35"/>
      <c r="EC340" s="35"/>
      <c r="ED340" s="35"/>
      <c r="EE340" s="35"/>
      <c r="EF340" s="35"/>
      <c r="EG340" s="35"/>
      <c r="EH340" s="35"/>
      <c r="EI340" s="35"/>
      <c r="EJ340" s="35">
        <v>-0.02</v>
      </c>
      <c r="EK340" s="35"/>
      <c r="EL340" s="35"/>
      <c r="EM340" s="35"/>
      <c r="EN340" s="35"/>
      <c r="EO340" s="35"/>
      <c r="EP340" s="35"/>
      <c r="EQ340" s="35"/>
      <c r="ER340" s="35"/>
      <c r="ES340" s="35"/>
      <c r="ET340" s="35">
        <v>-2.5499999999999998</v>
      </c>
      <c r="EU340" s="35"/>
      <c r="EV340" s="35"/>
      <c r="EW340" s="35"/>
      <c r="EX340" s="35"/>
      <c r="EY340" s="35"/>
      <c r="EZ340" s="35"/>
      <c r="FA340" s="35"/>
      <c r="FB340" s="35"/>
      <c r="FC340" s="35"/>
      <c r="FD340" s="35"/>
      <c r="FE340" s="35"/>
      <c r="FF340" s="35"/>
      <c r="FG340" s="35"/>
      <c r="FH340" s="35"/>
      <c r="FI340" s="35"/>
      <c r="FJ340" s="35"/>
      <c r="FK340" s="35"/>
      <c r="FL340" s="35"/>
      <c r="FM340" s="35"/>
      <c r="FN340" s="35"/>
      <c r="FO340" s="35"/>
      <c r="FP340" s="35"/>
      <c r="FQ340" s="35"/>
      <c r="FR340" s="35"/>
      <c r="FS340" s="35"/>
      <c r="FT340" s="35"/>
      <c r="FU340" s="35"/>
      <c r="FV340" s="35"/>
      <c r="FW340" s="35"/>
      <c r="FX340" s="35"/>
      <c r="FY340" s="35"/>
      <c r="FZ340" s="35"/>
      <c r="GA340" s="35"/>
      <c r="GB340" s="318"/>
      <c r="GC340" s="178">
        <f t="shared" si="64"/>
        <v>8.0000000000000002E-3</v>
      </c>
      <c r="GD340" s="178">
        <f t="shared" si="65"/>
        <v>2E-3</v>
      </c>
      <c r="GE340" s="178">
        <f t="shared" si="66"/>
        <v>0</v>
      </c>
      <c r="GF340" s="178">
        <f t="shared" si="67"/>
        <v>0</v>
      </c>
      <c r="GG340" s="178">
        <f t="shared" si="51"/>
        <v>0</v>
      </c>
    </row>
    <row r="341" spans="1:189" x14ac:dyDescent="0.35">
      <c r="A341" s="6" t="s">
        <v>1483</v>
      </c>
      <c r="B341" s="6" t="str">
        <f>IF(Technologies!B341&lt;&gt;0,Technologies!B341,"")</f>
        <v>Industrie</v>
      </c>
      <c r="C341" s="6" t="str">
        <f>VLOOKUP($A341,Technologies!$A$7:$H$576,3,FALSE)</f>
        <v>Conversion</v>
      </c>
      <c r="D341" s="6" t="str">
        <f>VLOOKUP($A341,Technologies!$A$7:$H$576,4,FALSE)</f>
        <v>Refineries</v>
      </c>
      <c r="E341" s="6" t="str">
        <f>VLOOKUP($A341,Technologies!$A$7:$H$576,6,FALSE)</f>
        <v>Road Fuel</v>
      </c>
      <c r="F341" s="48" t="str">
        <f>VLOOKUP($A341,Technologies!$A$7:$H$576,7,FALSE)</f>
        <v>Koch refinery - Refineries</v>
      </c>
      <c r="G341" s="22"/>
      <c r="H341" s="22"/>
      <c r="I341" s="103" cm="1">
        <f t="array" ref="I341">-SUMPRODUCT((Feedstocks!$C$4:$C$141=A341)*Feedstocks!$E$4:$E$141,Feedstocks!$F$4:$F$141,Feedstocks!$H$4:$H$141,Feedstocks!$I$4:$I$141)</f>
        <v>0</v>
      </c>
      <c r="J341" s="103" cm="1">
        <f t="array" ref="J341">-SUMPRODUCT((Feedstocks!$C$4:$C$141=A341)*Feedstocks!$E$4:$E$141,Feedstocks!$H$4:$H$141,Feedstocks!$I$4:$I$141)</f>
        <v>0</v>
      </c>
      <c r="K341" s="103"/>
      <c r="L341" s="103"/>
      <c r="M341" s="22">
        <v>1</v>
      </c>
      <c r="N341" s="22" t="str">
        <f>VLOOKUP(E341,Activities!$A$9:$M$227,13,FALSE)</f>
        <v>NL</v>
      </c>
      <c r="O341" s="22"/>
      <c r="P341" s="80" t="s">
        <v>415</v>
      </c>
      <c r="Q341" s="36"/>
      <c r="R341" s="36"/>
      <c r="S341" s="36"/>
      <c r="T341" s="36"/>
      <c r="U341" s="36"/>
      <c r="V341" s="36"/>
      <c r="W341" s="36"/>
      <c r="X341" s="36"/>
      <c r="Y341" s="36"/>
      <c r="Z341" s="36"/>
      <c r="AA341" s="36"/>
      <c r="AB341" s="36"/>
      <c r="AC341" s="36"/>
      <c r="AD341" s="36"/>
      <c r="AE341" s="36"/>
      <c r="AF341" s="35"/>
      <c r="AG341" s="203">
        <f t="shared" si="68"/>
        <v>9.3488372093023259E-3</v>
      </c>
      <c r="AH341" s="203"/>
      <c r="AI341" s="203"/>
      <c r="AJ341" s="203"/>
      <c r="AK341" s="203"/>
      <c r="AL341" s="203"/>
      <c r="AM341" s="203"/>
      <c r="AN341" s="203"/>
      <c r="AO341" s="203"/>
      <c r="AP341" s="36"/>
      <c r="AQ341" s="36"/>
      <c r="AR341" s="36"/>
      <c r="AS341" s="36"/>
      <c r="AT341" s="36"/>
      <c r="AU341" s="36"/>
      <c r="AV341" s="36"/>
      <c r="AW341" s="36"/>
      <c r="AX341" s="36"/>
      <c r="AY341" s="36"/>
      <c r="AZ341" s="36"/>
      <c r="BA341" s="36"/>
      <c r="BB341" s="36"/>
      <c r="BC341" s="36"/>
      <c r="BD341" s="36"/>
      <c r="BE341" s="36"/>
      <c r="BF341" s="36"/>
      <c r="BG341" s="36"/>
      <c r="BH341" s="36"/>
      <c r="BI341" s="36"/>
      <c r="BJ341" s="36"/>
      <c r="BK341" s="36"/>
      <c r="BL341" s="36"/>
      <c r="BM341" s="36"/>
      <c r="BN341" s="36"/>
      <c r="BO341" s="36"/>
      <c r="BP341" s="36"/>
      <c r="BQ341" s="36"/>
      <c r="BR341" s="36"/>
      <c r="BS341" s="36"/>
      <c r="BT341" s="36"/>
      <c r="BU341" s="36"/>
      <c r="BV341" s="36"/>
      <c r="BW341" s="36"/>
      <c r="BX341" s="36"/>
      <c r="BY341" s="36"/>
      <c r="BZ341" s="36"/>
      <c r="CA341" s="36"/>
      <c r="CB341" s="36"/>
      <c r="CC341" s="36"/>
      <c r="CD341" s="36"/>
      <c r="CE341" s="36"/>
      <c r="CF341" s="36"/>
      <c r="CG341" s="36"/>
      <c r="CH341" s="36"/>
      <c r="CI341" s="36"/>
      <c r="CJ341" s="36"/>
      <c r="CK341" s="36"/>
      <c r="CL341" s="36"/>
      <c r="CM341" s="36"/>
      <c r="CN341" s="36"/>
      <c r="CO341" s="36"/>
      <c r="CP341" s="36"/>
      <c r="CQ341" s="36"/>
      <c r="CR341" s="36"/>
      <c r="CS341" s="36"/>
      <c r="CT341" s="36"/>
      <c r="CU341" s="36"/>
      <c r="CV341" s="36"/>
      <c r="CW341" s="36"/>
      <c r="CX341" s="36"/>
      <c r="CY341" s="36"/>
      <c r="CZ341" s="36"/>
      <c r="DA341" s="36"/>
      <c r="DB341" s="36"/>
      <c r="DC341" s="36"/>
      <c r="DD341" s="36"/>
      <c r="DE341" s="36"/>
      <c r="DF341" s="36"/>
      <c r="DG341" s="36"/>
      <c r="DH341" s="36">
        <v>-0.02</v>
      </c>
      <c r="DI341" s="36"/>
      <c r="DJ341" s="36"/>
      <c r="DK341" s="36"/>
      <c r="DL341" s="36"/>
      <c r="DM341" s="36"/>
      <c r="DN341" s="36"/>
      <c r="DO341" s="36">
        <v>-0.1</v>
      </c>
      <c r="DP341" s="36"/>
      <c r="DQ341" s="36"/>
      <c r="DR341" s="36"/>
      <c r="DS341" s="36">
        <v>0.3</v>
      </c>
      <c r="DT341" s="36">
        <v>2.5</v>
      </c>
      <c r="DU341" s="36">
        <v>1</v>
      </c>
      <c r="DV341" s="36">
        <v>0.6</v>
      </c>
      <c r="DW341" s="36">
        <v>0.15</v>
      </c>
      <c r="DX341" s="36"/>
      <c r="DY341" s="36"/>
      <c r="DZ341" s="36"/>
      <c r="EA341" s="36"/>
      <c r="EB341" s="36"/>
      <c r="EC341" s="36"/>
      <c r="ED341" s="36"/>
      <c r="EE341" s="36"/>
      <c r="EF341" s="36"/>
      <c r="EG341" s="36"/>
      <c r="EH341" s="36"/>
      <c r="EI341" s="36"/>
      <c r="EJ341" s="36"/>
      <c r="EK341" s="36"/>
      <c r="EL341" s="36"/>
      <c r="EM341" s="36"/>
      <c r="EN341" s="36"/>
      <c r="EO341" s="36"/>
      <c r="EP341" s="36"/>
      <c r="EQ341" s="36"/>
      <c r="ER341" s="36"/>
      <c r="ES341" s="36"/>
      <c r="ET341" s="36">
        <v>-4.8</v>
      </c>
      <c r="EU341" s="36"/>
      <c r="EV341" s="36"/>
      <c r="EW341" s="36"/>
      <c r="EX341" s="36"/>
      <c r="EY341" s="36"/>
      <c r="EZ341" s="36"/>
      <c r="FA341" s="36"/>
      <c r="FB341" s="36"/>
      <c r="FC341" s="36"/>
      <c r="FD341" s="36"/>
      <c r="FE341" s="36"/>
      <c r="FF341" s="36"/>
      <c r="FG341" s="36"/>
      <c r="FH341" s="36"/>
      <c r="FI341" s="36"/>
      <c r="FJ341" s="36"/>
      <c r="FK341" s="36"/>
      <c r="FL341" s="36"/>
      <c r="FM341" s="36"/>
      <c r="FN341" s="36"/>
      <c r="FO341" s="36"/>
      <c r="FP341" s="36"/>
      <c r="FQ341" s="36"/>
      <c r="FR341" s="36"/>
      <c r="FS341" s="36"/>
      <c r="FT341" s="36"/>
      <c r="FU341" s="36"/>
      <c r="FV341" s="36"/>
      <c r="FW341" s="36"/>
      <c r="FX341" s="36"/>
      <c r="FY341" s="36"/>
      <c r="FZ341" s="36"/>
      <c r="GA341" s="36"/>
      <c r="GB341" s="319"/>
      <c r="GC341" s="179">
        <f t="shared" si="64"/>
        <v>0</v>
      </c>
      <c r="GD341" s="179">
        <f t="shared" si="65"/>
        <v>2.7699999999999999E-2</v>
      </c>
      <c r="GE341" s="179">
        <f t="shared" si="66"/>
        <v>0</v>
      </c>
      <c r="GF341" s="179">
        <f t="shared" si="67"/>
        <v>0</v>
      </c>
      <c r="GG341" s="179">
        <f t="shared" si="51"/>
        <v>0</v>
      </c>
    </row>
    <row r="342" spans="1:189" x14ac:dyDescent="0.35">
      <c r="A342" s="5" t="s">
        <v>1485</v>
      </c>
      <c r="B342" s="5" t="str">
        <f>IF(Technologies!B342&lt;&gt;0,Technologies!B342,"")</f>
        <v>Industrie</v>
      </c>
      <c r="C342" s="5" t="str">
        <f>VLOOKUP($A342,Technologies!$A$7:$H$576,3,FALSE)</f>
        <v>Conversion</v>
      </c>
      <c r="D342" s="5" t="str">
        <f>VLOOKUP($A342,Technologies!$A$7:$H$576,4,FALSE)</f>
        <v>Refineries</v>
      </c>
      <c r="E342" s="5" t="str">
        <f>VLOOKUP($A342,Technologies!$A$7:$H$576,6,FALSE)</f>
        <v>Road Fuel</v>
      </c>
      <c r="F342" s="5" t="str">
        <f>VLOOKUP($A342,Technologies!$A$7:$H$576,7,FALSE)</f>
        <v>Koch refinery wCCS - Refineries</v>
      </c>
      <c r="G342" s="23">
        <v>0.8</v>
      </c>
      <c r="H342" s="23"/>
      <c r="I342" s="104" cm="1">
        <f t="array" ref="I342">-SUMPRODUCT((Feedstocks!$C$4:$C$141=A342)*Feedstocks!$E$4:$E$141,Feedstocks!$F$4:$F$141,Feedstocks!$H$4:$H$141,Feedstocks!$I$4:$I$141)</f>
        <v>0</v>
      </c>
      <c r="J342" s="104" cm="1">
        <f t="array" ref="J342">-SUMPRODUCT((Feedstocks!$C$4:$C$141=A342)*Feedstocks!$E$4:$E$141,Feedstocks!$H$4:$H$141,Feedstocks!$I$4:$I$141)</f>
        <v>0</v>
      </c>
      <c r="K342" s="104"/>
      <c r="L342" s="104"/>
      <c r="M342" s="23">
        <v>1</v>
      </c>
      <c r="N342" s="23" t="str">
        <f>VLOOKUP(E342,Activities!$A$9:$M$227,13,FALSE)</f>
        <v>NL</v>
      </c>
      <c r="O342" s="23"/>
      <c r="P342" s="79" t="s">
        <v>415</v>
      </c>
      <c r="Q342" s="35"/>
      <c r="R342" s="35"/>
      <c r="S342" s="35"/>
      <c r="T342" s="35"/>
      <c r="U342" s="35"/>
      <c r="V342" s="35"/>
      <c r="W342" s="35"/>
      <c r="X342" s="35"/>
      <c r="Y342" s="35"/>
      <c r="Z342" s="35"/>
      <c r="AA342" s="35"/>
      <c r="AB342" s="35"/>
      <c r="AC342" s="35"/>
      <c r="AD342" s="35"/>
      <c r="AE342" s="35"/>
      <c r="AF342" s="36"/>
      <c r="AG342" s="212">
        <f t="shared" si="68"/>
        <v>9.3488372093023259E-3</v>
      </c>
      <c r="AH342" s="212"/>
      <c r="AI342" s="212"/>
      <c r="AJ342" s="212"/>
      <c r="AK342" s="212"/>
      <c r="AL342" s="212"/>
      <c r="AM342" s="212"/>
      <c r="AN342" s="212"/>
      <c r="AO342" s="212"/>
      <c r="AP342" s="35"/>
      <c r="AQ342" s="35"/>
      <c r="AR342" s="35"/>
      <c r="AS342" s="35"/>
      <c r="AT342" s="35"/>
      <c r="AU342" s="35"/>
      <c r="AV342" s="35"/>
      <c r="AW342" s="35"/>
      <c r="AX342" s="35"/>
      <c r="AY342" s="35"/>
      <c r="AZ342" s="35"/>
      <c r="BA342" s="35"/>
      <c r="BB342" s="35"/>
      <c r="BC342" s="35"/>
      <c r="BD342" s="35"/>
      <c r="BE342" s="35"/>
      <c r="BF342" s="35"/>
      <c r="BG342" s="35"/>
      <c r="BH342" s="35"/>
      <c r="BI342" s="35"/>
      <c r="BJ342" s="35"/>
      <c r="BK342" s="35"/>
      <c r="BL342" s="35"/>
      <c r="BM342" s="35"/>
      <c r="BN342" s="35"/>
      <c r="BO342" s="35"/>
      <c r="BP342" s="35"/>
      <c r="BQ342" s="35"/>
      <c r="BR342" s="35"/>
      <c r="BS342" s="35"/>
      <c r="BT342" s="35"/>
      <c r="BU342" s="35"/>
      <c r="BV342" s="35"/>
      <c r="BW342" s="35"/>
      <c r="BX342" s="35"/>
      <c r="BY342" s="35"/>
      <c r="BZ342" s="35"/>
      <c r="CA342" s="35"/>
      <c r="CB342" s="35"/>
      <c r="CC342" s="35"/>
      <c r="CD342" s="35"/>
      <c r="CE342" s="35"/>
      <c r="CF342" s="35"/>
      <c r="CG342" s="35"/>
      <c r="CH342" s="35"/>
      <c r="CI342" s="35"/>
      <c r="CJ342" s="35"/>
      <c r="CK342" s="35"/>
      <c r="CL342" s="35"/>
      <c r="CM342" s="35"/>
      <c r="CN342" s="35"/>
      <c r="CO342" s="35"/>
      <c r="CP342" s="35"/>
      <c r="CQ342" s="35"/>
      <c r="CR342" s="35"/>
      <c r="CS342" s="35"/>
      <c r="CT342" s="35"/>
      <c r="CU342" s="35"/>
      <c r="CV342" s="35"/>
      <c r="CW342" s="35"/>
      <c r="CX342" s="35"/>
      <c r="CY342" s="35"/>
      <c r="CZ342" s="35"/>
      <c r="DA342" s="35"/>
      <c r="DB342" s="35"/>
      <c r="DC342" s="35"/>
      <c r="DD342" s="35"/>
      <c r="DE342" s="35"/>
      <c r="DF342" s="35"/>
      <c r="DG342" s="35"/>
      <c r="DH342" s="35">
        <v>-0.05</v>
      </c>
      <c r="DI342" s="35"/>
      <c r="DJ342" s="35"/>
      <c r="DK342" s="35"/>
      <c r="DL342" s="35"/>
      <c r="DM342" s="35"/>
      <c r="DN342" s="35"/>
      <c r="DO342" s="35">
        <v>-0.2</v>
      </c>
      <c r="DP342" s="35"/>
      <c r="DQ342" s="35"/>
      <c r="DR342" s="35"/>
      <c r="DS342" s="35">
        <v>0.3</v>
      </c>
      <c r="DT342" s="35">
        <v>2.5</v>
      </c>
      <c r="DU342" s="35">
        <v>1</v>
      </c>
      <c r="DV342" s="35">
        <v>0.6</v>
      </c>
      <c r="DW342" s="35">
        <v>0.15</v>
      </c>
      <c r="DX342" s="35"/>
      <c r="DY342" s="35"/>
      <c r="DZ342" s="35"/>
      <c r="EA342" s="35"/>
      <c r="EB342" s="35"/>
      <c r="EC342" s="35"/>
      <c r="ED342" s="35"/>
      <c r="EE342" s="35"/>
      <c r="EF342" s="35"/>
      <c r="EG342" s="35"/>
      <c r="EH342" s="35"/>
      <c r="EI342" s="35"/>
      <c r="EJ342" s="35"/>
      <c r="EK342" s="35"/>
      <c r="EL342" s="35"/>
      <c r="EM342" s="35"/>
      <c r="EN342" s="35"/>
      <c r="EO342" s="35"/>
      <c r="EP342" s="35"/>
      <c r="EQ342" s="35"/>
      <c r="ER342" s="35"/>
      <c r="ES342" s="35"/>
      <c r="ET342" s="35">
        <v>-4.8</v>
      </c>
      <c r="EU342" s="35"/>
      <c r="EV342" s="35"/>
      <c r="EW342" s="35"/>
      <c r="EX342" s="35"/>
      <c r="EY342" s="35"/>
      <c r="EZ342" s="35"/>
      <c r="FA342" s="35"/>
      <c r="FB342" s="35"/>
      <c r="FC342" s="35"/>
      <c r="FD342" s="35"/>
      <c r="FE342" s="35"/>
      <c r="FF342" s="35"/>
      <c r="FG342" s="35"/>
      <c r="FH342" s="35"/>
      <c r="FI342" s="35"/>
      <c r="FJ342" s="35"/>
      <c r="FK342" s="35"/>
      <c r="FL342" s="35"/>
      <c r="FM342" s="35"/>
      <c r="FN342" s="35"/>
      <c r="FO342" s="35"/>
      <c r="FP342" s="35"/>
      <c r="FQ342" s="35"/>
      <c r="FR342" s="35"/>
      <c r="FS342" s="35"/>
      <c r="FT342" s="35"/>
      <c r="FU342" s="35"/>
      <c r="FV342" s="35"/>
      <c r="FW342" s="35"/>
      <c r="FX342" s="35"/>
      <c r="FY342" s="35"/>
      <c r="FZ342" s="35"/>
      <c r="GA342" s="35"/>
      <c r="GB342" s="318"/>
      <c r="GC342" s="178">
        <f t="shared" si="64"/>
        <v>2.2100000000000002E-2</v>
      </c>
      <c r="GD342" s="178">
        <f t="shared" si="65"/>
        <v>5.4999999999999997E-3</v>
      </c>
      <c r="GE342" s="178">
        <f t="shared" si="66"/>
        <v>0</v>
      </c>
      <c r="GF342" s="178">
        <f t="shared" si="67"/>
        <v>0</v>
      </c>
      <c r="GG342" s="178">
        <f t="shared" si="51"/>
        <v>0</v>
      </c>
    </row>
    <row r="343" spans="1:189" x14ac:dyDescent="0.35">
      <c r="A343" s="5" t="s">
        <v>1487</v>
      </c>
      <c r="B343" s="5" t="str">
        <f>IF(Technologies!B343&lt;&gt;0,Technologies!B343,"")</f>
        <v>Industrie</v>
      </c>
      <c r="C343" s="5" t="str">
        <f>VLOOKUP($A343,Technologies!$A$7:$H$576,3,FALSE)</f>
        <v>Primary</v>
      </c>
      <c r="D343" s="5" t="str">
        <f>VLOOKUP($A343,Technologies!$A$7:$H$576,4,FALSE)</f>
        <v>Fossil</v>
      </c>
      <c r="E343" s="5" t="str">
        <f>VLOOKUP($A343,Technologies!$A$7:$H$576,6,FALSE)</f>
        <v>Road Fuel</v>
      </c>
      <c r="F343" s="5" t="str">
        <f>VLOOKUP($A343,Technologies!$A$7:$H$576,7,FALSE)</f>
        <v>Imported Road Fuel - Refineries</v>
      </c>
      <c r="G343" s="23"/>
      <c r="H343" s="23"/>
      <c r="I343" s="104" cm="1">
        <f t="array" ref="I343">-SUMPRODUCT((Feedstocks!$C$4:$C$141=A343)*Feedstocks!$E$4:$E$141,Feedstocks!$F$4:$F$141,Feedstocks!$H$4:$H$141,Feedstocks!$I$4:$I$141)</f>
        <v>0</v>
      </c>
      <c r="J343" s="104" cm="1">
        <f t="array" ref="J343">-SUMPRODUCT((Feedstocks!$C$4:$C$141=A343)*Feedstocks!$E$4:$E$141,Feedstocks!$H$4:$H$141,Feedstocks!$I$4:$I$141)</f>
        <v>0</v>
      </c>
      <c r="K343" s="104"/>
      <c r="L343" s="104"/>
      <c r="M343" s="23">
        <v>1</v>
      </c>
      <c r="N343" s="23" t="str">
        <f>VLOOKUP(E343,Activities!$A$9:$M$227,13,FALSE)</f>
        <v>NL</v>
      </c>
      <c r="O343" s="23"/>
      <c r="P343" s="79" t="s">
        <v>415</v>
      </c>
      <c r="Q343" s="35"/>
      <c r="R343" s="35"/>
      <c r="S343" s="35"/>
      <c r="T343" s="35"/>
      <c r="U343" s="35"/>
      <c r="V343" s="35"/>
      <c r="W343" s="35"/>
      <c r="X343" s="35"/>
      <c r="Y343" s="35"/>
      <c r="Z343" s="35"/>
      <c r="AA343" s="35"/>
      <c r="AB343" s="35"/>
      <c r="AC343" s="35"/>
      <c r="AD343" s="35"/>
      <c r="AE343" s="35"/>
      <c r="AF343" s="36"/>
      <c r="AG343" s="36"/>
      <c r="AH343" s="36"/>
      <c r="AI343" s="36"/>
      <c r="AJ343" s="36"/>
      <c r="AK343" s="36"/>
      <c r="AL343" s="36"/>
      <c r="AM343" s="36"/>
      <c r="AN343" s="36"/>
      <c r="AO343" s="36"/>
      <c r="AP343" s="35"/>
      <c r="AQ343" s="35"/>
      <c r="AR343" s="35"/>
      <c r="AS343" s="35"/>
      <c r="AT343" s="35"/>
      <c r="AU343" s="35"/>
      <c r="AV343" s="35"/>
      <c r="AW343" s="35"/>
      <c r="AX343" s="35"/>
      <c r="AY343" s="35"/>
      <c r="AZ343" s="35"/>
      <c r="BA343" s="35"/>
      <c r="BB343" s="35"/>
      <c r="BC343" s="35"/>
      <c r="BD343" s="35"/>
      <c r="BE343" s="35"/>
      <c r="BF343" s="35"/>
      <c r="BG343" s="35"/>
      <c r="BH343" s="35"/>
      <c r="BI343" s="35"/>
      <c r="BJ343" s="35"/>
      <c r="BK343" s="35"/>
      <c r="BL343" s="35"/>
      <c r="BM343" s="35"/>
      <c r="BN343" s="35"/>
      <c r="BO343" s="35"/>
      <c r="BP343" s="35"/>
      <c r="BQ343" s="35"/>
      <c r="BR343" s="35"/>
      <c r="BS343" s="35"/>
      <c r="BT343" s="35"/>
      <c r="BU343" s="35"/>
      <c r="BV343" s="35"/>
      <c r="BW343" s="35"/>
      <c r="BX343" s="35"/>
      <c r="BY343" s="35"/>
      <c r="BZ343" s="35"/>
      <c r="CA343" s="35"/>
      <c r="CB343" s="35"/>
      <c r="CC343" s="35"/>
      <c r="CD343" s="35"/>
      <c r="CE343" s="35"/>
      <c r="CF343" s="35"/>
      <c r="CG343" s="35"/>
      <c r="CH343" s="35"/>
      <c r="CI343" s="35"/>
      <c r="CJ343" s="35"/>
      <c r="CK343" s="35"/>
      <c r="CL343" s="35"/>
      <c r="CM343" s="35"/>
      <c r="CN343" s="35"/>
      <c r="CO343" s="35"/>
      <c r="CP343" s="35"/>
      <c r="CQ343" s="35"/>
      <c r="CR343" s="35"/>
      <c r="CS343" s="35"/>
      <c r="CT343" s="35"/>
      <c r="CU343" s="35"/>
      <c r="CV343" s="35"/>
      <c r="CW343" s="35"/>
      <c r="CX343" s="35"/>
      <c r="CY343" s="35"/>
      <c r="CZ343" s="35"/>
      <c r="DA343" s="35"/>
      <c r="DB343" s="35"/>
      <c r="DC343" s="35"/>
      <c r="DD343" s="35"/>
      <c r="DE343" s="35"/>
      <c r="DF343" s="35"/>
      <c r="DG343" s="35"/>
      <c r="DH343" s="35"/>
      <c r="DI343" s="35"/>
      <c r="DJ343" s="35"/>
      <c r="DK343" s="35"/>
      <c r="DL343" s="35"/>
      <c r="DM343" s="35"/>
      <c r="DN343" s="35"/>
      <c r="DO343" s="35"/>
      <c r="DP343" s="35"/>
      <c r="DQ343" s="35"/>
      <c r="DR343" s="35"/>
      <c r="DS343" s="35"/>
      <c r="DT343" s="35"/>
      <c r="DU343" s="35">
        <v>1</v>
      </c>
      <c r="DV343" s="35"/>
      <c r="DW343" s="35"/>
      <c r="DX343" s="35"/>
      <c r="DY343" s="35"/>
      <c r="DZ343" s="35"/>
      <c r="EA343" s="35"/>
      <c r="EB343" s="35"/>
      <c r="EC343" s="35"/>
      <c r="ED343" s="35"/>
      <c r="EE343" s="35"/>
      <c r="EF343" s="35"/>
      <c r="EG343" s="35"/>
      <c r="EH343" s="35"/>
      <c r="EI343" s="35"/>
      <c r="EJ343" s="35"/>
      <c r="EK343" s="35"/>
      <c r="EL343" s="35"/>
      <c r="EM343" s="35"/>
      <c r="EN343" s="35"/>
      <c r="EO343" s="35"/>
      <c r="EP343" s="35"/>
      <c r="EQ343" s="35"/>
      <c r="ER343" s="35"/>
      <c r="ES343" s="35"/>
      <c r="ET343" s="35"/>
      <c r="EU343" s="35"/>
      <c r="EV343" s="35"/>
      <c r="EW343" s="35"/>
      <c r="EX343" s="35"/>
      <c r="EY343" s="35"/>
      <c r="EZ343" s="35"/>
      <c r="FA343" s="35"/>
      <c r="FB343" s="35"/>
      <c r="FC343" s="35"/>
      <c r="FD343" s="35"/>
      <c r="FE343" s="35"/>
      <c r="FF343" s="35"/>
      <c r="FG343" s="35"/>
      <c r="FH343" s="35"/>
      <c r="FI343" s="35"/>
      <c r="FJ343" s="35"/>
      <c r="FK343" s="35"/>
      <c r="FL343" s="35"/>
      <c r="FM343" s="35"/>
      <c r="FN343" s="35"/>
      <c r="FO343" s="35"/>
      <c r="FP343" s="35"/>
      <c r="FQ343" s="35"/>
      <c r="FR343" s="35"/>
      <c r="FS343" s="35"/>
      <c r="FT343" s="35"/>
      <c r="FU343" s="35"/>
      <c r="FV343" s="35"/>
      <c r="FW343" s="35"/>
      <c r="FX343" s="35"/>
      <c r="FY343" s="35"/>
      <c r="FZ343" s="35"/>
      <c r="GA343" s="35"/>
      <c r="GB343" s="318"/>
      <c r="GC343" s="178">
        <f t="shared" si="64"/>
        <v>0</v>
      </c>
      <c r="GD343" s="178">
        <f t="shared" si="65"/>
        <v>0</v>
      </c>
      <c r="GE343" s="178">
        <f t="shared" si="66"/>
        <v>0</v>
      </c>
      <c r="GF343" s="178">
        <f t="shared" si="67"/>
        <v>0</v>
      </c>
      <c r="GG343" s="178">
        <f t="shared" si="51"/>
        <v>0</v>
      </c>
    </row>
    <row r="344" spans="1:189" x14ac:dyDescent="0.35">
      <c r="A344" s="6" t="s">
        <v>1489</v>
      </c>
      <c r="B344" s="6" t="str">
        <f>IF(Technologies!B344&lt;&gt;0,Technologies!B344,"")</f>
        <v>Industrie</v>
      </c>
      <c r="C344" s="6" t="str">
        <f>VLOOKUP($A344,Technologies!$A$7:$H$576,3,FALSE)</f>
        <v>Primary</v>
      </c>
      <c r="D344" s="6" t="str">
        <f>VLOOKUP($A344,Technologies!$A$7:$H$576,4,FALSE)</f>
        <v>Fossil</v>
      </c>
      <c r="E344" s="6" t="str">
        <f>VLOOKUP($A344,Technologies!$A$7:$H$576,6,FALSE)</f>
        <v>Kerosene</v>
      </c>
      <c r="F344" s="48" t="str">
        <f>VLOOKUP($A344,Technologies!$A$7:$H$576,7,FALSE)</f>
        <v>Imported Kerosene - Refineries</v>
      </c>
      <c r="G344" s="22"/>
      <c r="H344" s="22"/>
      <c r="I344" s="103" cm="1">
        <f t="array" ref="I344">-SUMPRODUCT((Feedstocks!$C$4:$C$141=A344)*Feedstocks!$E$4:$E$141,Feedstocks!$F$4:$F$141,Feedstocks!$H$4:$H$141,Feedstocks!$I$4:$I$141)</f>
        <v>0</v>
      </c>
      <c r="J344" s="103" cm="1">
        <f t="array" ref="J344">-SUMPRODUCT((Feedstocks!$C$4:$C$141=A344)*Feedstocks!$E$4:$E$141,Feedstocks!$H$4:$H$141,Feedstocks!$I$4:$I$141)</f>
        <v>0</v>
      </c>
      <c r="K344" s="103"/>
      <c r="L344" s="103"/>
      <c r="M344" s="22">
        <v>1</v>
      </c>
      <c r="N344" s="22" t="str">
        <f>VLOOKUP(E344,Activities!$A$9:$M$227,13,FALSE)</f>
        <v>NL</v>
      </c>
      <c r="O344" s="22"/>
      <c r="P344" s="80" t="s">
        <v>415</v>
      </c>
      <c r="Q344" s="36"/>
      <c r="R344" s="36"/>
      <c r="S344" s="36"/>
      <c r="T344" s="36"/>
      <c r="U344" s="36"/>
      <c r="V344" s="36"/>
      <c r="W344" s="36"/>
      <c r="X344" s="36"/>
      <c r="Y344" s="36"/>
      <c r="Z344" s="36"/>
      <c r="AA344" s="36"/>
      <c r="AB344" s="36"/>
      <c r="AC344" s="36"/>
      <c r="AD344" s="36"/>
      <c r="AE344" s="36"/>
      <c r="AF344" s="35"/>
      <c r="AG344" s="35"/>
      <c r="AH344" s="35"/>
      <c r="AI344" s="35"/>
      <c r="AJ344" s="35"/>
      <c r="AK344" s="35"/>
      <c r="AL344" s="35"/>
      <c r="AM344" s="35"/>
      <c r="AN344" s="35"/>
      <c r="AO344" s="35"/>
      <c r="AP344" s="36"/>
      <c r="AQ344" s="36"/>
      <c r="AR344" s="36"/>
      <c r="AS344" s="36"/>
      <c r="AT344" s="36"/>
      <c r="AU344" s="36"/>
      <c r="AV344" s="36"/>
      <c r="AW344" s="36"/>
      <c r="AX344" s="36"/>
      <c r="AY344" s="36"/>
      <c r="AZ344" s="36"/>
      <c r="BA344" s="36"/>
      <c r="BB344" s="36"/>
      <c r="BC344" s="36"/>
      <c r="BD344" s="36"/>
      <c r="BE344" s="36"/>
      <c r="BF344" s="36"/>
      <c r="BG344" s="36"/>
      <c r="BH344" s="36"/>
      <c r="BI344" s="36"/>
      <c r="BJ344" s="36"/>
      <c r="BK344" s="36"/>
      <c r="BL344" s="36"/>
      <c r="BM344" s="36"/>
      <c r="BN344" s="36"/>
      <c r="BO344" s="36"/>
      <c r="BP344" s="36"/>
      <c r="BQ344" s="36"/>
      <c r="BR344" s="36"/>
      <c r="BS344" s="36"/>
      <c r="BT344" s="36"/>
      <c r="BU344" s="36"/>
      <c r="BV344" s="36"/>
      <c r="BW344" s="36"/>
      <c r="BX344" s="36"/>
      <c r="BY344" s="36"/>
      <c r="BZ344" s="36"/>
      <c r="CA344" s="36"/>
      <c r="CB344" s="36"/>
      <c r="CC344" s="36"/>
      <c r="CD344" s="36"/>
      <c r="CE344" s="36"/>
      <c r="CF344" s="36"/>
      <c r="CG344" s="36"/>
      <c r="CH344" s="36"/>
      <c r="CI344" s="36"/>
      <c r="CJ344" s="36"/>
      <c r="CK344" s="36"/>
      <c r="CL344" s="36"/>
      <c r="CM344" s="36"/>
      <c r="CN344" s="36"/>
      <c r="CO344" s="36"/>
      <c r="CP344" s="36"/>
      <c r="CQ344" s="36"/>
      <c r="CR344" s="36"/>
      <c r="CS344" s="36"/>
      <c r="CT344" s="36"/>
      <c r="CU344" s="36"/>
      <c r="CV344" s="36"/>
      <c r="CW344" s="36"/>
      <c r="CX344" s="36"/>
      <c r="CY344" s="36"/>
      <c r="CZ344" s="36"/>
      <c r="DA344" s="36"/>
      <c r="DB344" s="36"/>
      <c r="DC344" s="36"/>
      <c r="DD344" s="36"/>
      <c r="DE344" s="36"/>
      <c r="DF344" s="36"/>
      <c r="DG344" s="36"/>
      <c r="DH344" s="36"/>
      <c r="DI344" s="36"/>
      <c r="DJ344" s="36"/>
      <c r="DK344" s="36"/>
      <c r="DL344" s="36"/>
      <c r="DM344" s="36"/>
      <c r="DN344" s="36"/>
      <c r="DO344" s="36"/>
      <c r="DP344" s="36"/>
      <c r="DQ344" s="36"/>
      <c r="DR344" s="36"/>
      <c r="DS344" s="36"/>
      <c r="DT344" s="36"/>
      <c r="DU344" s="36"/>
      <c r="DV344" s="36">
        <v>1</v>
      </c>
      <c r="DW344" s="36"/>
      <c r="DX344" s="36"/>
      <c r="DY344" s="36"/>
      <c r="DZ344" s="36"/>
      <c r="EA344" s="36"/>
      <c r="EB344" s="36"/>
      <c r="EC344" s="36"/>
      <c r="ED344" s="36"/>
      <c r="EE344" s="36"/>
      <c r="EF344" s="36"/>
      <c r="EG344" s="36"/>
      <c r="EH344" s="36"/>
      <c r="EI344" s="36"/>
      <c r="EJ344" s="36"/>
      <c r="EK344" s="36"/>
      <c r="EL344" s="36"/>
      <c r="EM344" s="36"/>
      <c r="EN344" s="36"/>
      <c r="EO344" s="36"/>
      <c r="EP344" s="36"/>
      <c r="EQ344" s="36"/>
      <c r="ER344" s="36"/>
      <c r="ES344" s="36"/>
      <c r="ET344" s="36"/>
      <c r="EU344" s="36"/>
      <c r="EV344" s="36"/>
      <c r="EW344" s="36"/>
      <c r="EX344" s="36"/>
      <c r="EY344" s="36"/>
      <c r="EZ344" s="36"/>
      <c r="FA344" s="36"/>
      <c r="FB344" s="36"/>
      <c r="FC344" s="36"/>
      <c r="FD344" s="36"/>
      <c r="FE344" s="36"/>
      <c r="FF344" s="36"/>
      <c r="FG344" s="36"/>
      <c r="FH344" s="36"/>
      <c r="FI344" s="36"/>
      <c r="FJ344" s="36"/>
      <c r="FK344" s="36"/>
      <c r="FL344" s="36"/>
      <c r="FM344" s="36"/>
      <c r="FN344" s="36"/>
      <c r="FO344" s="36"/>
      <c r="FP344" s="36"/>
      <c r="FQ344" s="36"/>
      <c r="FR344" s="36"/>
      <c r="FS344" s="36"/>
      <c r="FT344" s="36"/>
      <c r="FU344" s="36"/>
      <c r="FV344" s="36"/>
      <c r="FW344" s="36"/>
      <c r="FX344" s="36"/>
      <c r="FY344" s="36"/>
      <c r="FZ344" s="36"/>
      <c r="GA344" s="36"/>
      <c r="GB344" s="319"/>
      <c r="GC344" s="179">
        <f t="shared" si="64"/>
        <v>0</v>
      </c>
      <c r="GD344" s="179">
        <f t="shared" si="65"/>
        <v>0</v>
      </c>
      <c r="GE344" s="179">
        <f t="shared" si="66"/>
        <v>0</v>
      </c>
      <c r="GF344" s="179">
        <f t="shared" si="67"/>
        <v>0</v>
      </c>
      <c r="GG344" s="179">
        <f t="shared" si="51"/>
        <v>0</v>
      </c>
    </row>
    <row r="345" spans="1:189" x14ac:dyDescent="0.35">
      <c r="A345" s="5" t="s">
        <v>1491</v>
      </c>
      <c r="B345" s="5" t="str">
        <f>IF(Technologies!B345&lt;&gt;0,Technologies!B345,"")</f>
        <v>Industrie</v>
      </c>
      <c r="C345" s="5" t="str">
        <f>VLOOKUP($A345,Technologies!$A$7:$H$576,3,FALSE)</f>
        <v>Primary</v>
      </c>
      <c r="D345" s="5" t="str">
        <f>VLOOKUP($A345,Technologies!$A$7:$H$576,4,FALSE)</f>
        <v>Fossil</v>
      </c>
      <c r="E345" s="5" t="str">
        <f>VLOOKUP($A345,Technologies!$A$7:$H$576,6,FALSE)</f>
        <v>Fuel Oil</v>
      </c>
      <c r="F345" s="5" t="str">
        <f>VLOOKUP($A345,Technologies!$A$7:$H$576,7,FALSE)</f>
        <v>Imported Fuel Oil - Refineries</v>
      </c>
      <c r="G345" s="23"/>
      <c r="H345" s="23"/>
      <c r="I345" s="104" cm="1">
        <f t="array" ref="I345">-SUMPRODUCT((Feedstocks!$C$4:$C$141=A345)*Feedstocks!$E$4:$E$141,Feedstocks!$F$4:$F$141,Feedstocks!$H$4:$H$141,Feedstocks!$I$4:$I$141)</f>
        <v>0</v>
      </c>
      <c r="J345" s="104" cm="1">
        <f t="array" ref="J345">-SUMPRODUCT((Feedstocks!$C$4:$C$141=A345)*Feedstocks!$E$4:$E$141,Feedstocks!$H$4:$H$141,Feedstocks!$I$4:$I$141)</f>
        <v>0</v>
      </c>
      <c r="K345" s="104"/>
      <c r="L345" s="104"/>
      <c r="M345" s="23">
        <v>1</v>
      </c>
      <c r="N345" s="23" t="str">
        <f>VLOOKUP(E345,Activities!$A$9:$M$227,13,FALSE)</f>
        <v>NL</v>
      </c>
      <c r="O345" s="23"/>
      <c r="P345" s="79" t="s">
        <v>415</v>
      </c>
      <c r="Q345" s="35"/>
      <c r="R345" s="35"/>
      <c r="S345" s="35"/>
      <c r="T345" s="35"/>
      <c r="U345" s="35"/>
      <c r="V345" s="35"/>
      <c r="W345" s="35"/>
      <c r="X345" s="35"/>
      <c r="Y345" s="35"/>
      <c r="Z345" s="35"/>
      <c r="AA345" s="35"/>
      <c r="AB345" s="35"/>
      <c r="AC345" s="35"/>
      <c r="AD345" s="35"/>
      <c r="AE345" s="35"/>
      <c r="AF345" s="36"/>
      <c r="AG345" s="36"/>
      <c r="AH345" s="36"/>
      <c r="AI345" s="36"/>
      <c r="AJ345" s="36"/>
      <c r="AK345" s="36"/>
      <c r="AL345" s="36"/>
      <c r="AM345" s="36"/>
      <c r="AN345" s="36"/>
      <c r="AO345" s="36"/>
      <c r="AP345" s="35"/>
      <c r="AQ345" s="35"/>
      <c r="AR345" s="35"/>
      <c r="AS345" s="35"/>
      <c r="AT345" s="35"/>
      <c r="AU345" s="35"/>
      <c r="AV345" s="35"/>
      <c r="AW345" s="35"/>
      <c r="AX345" s="35"/>
      <c r="AY345" s="35"/>
      <c r="AZ345" s="35"/>
      <c r="BA345" s="35"/>
      <c r="BB345" s="35"/>
      <c r="BC345" s="35"/>
      <c r="BD345" s="35"/>
      <c r="BE345" s="35"/>
      <c r="BF345" s="35"/>
      <c r="BG345" s="35"/>
      <c r="BH345" s="35"/>
      <c r="BI345" s="35"/>
      <c r="BJ345" s="35"/>
      <c r="BK345" s="35"/>
      <c r="BL345" s="35"/>
      <c r="BM345" s="35"/>
      <c r="BN345" s="35"/>
      <c r="BO345" s="35"/>
      <c r="BP345" s="35"/>
      <c r="BQ345" s="35"/>
      <c r="BR345" s="35"/>
      <c r="BS345" s="35"/>
      <c r="BT345" s="35"/>
      <c r="BU345" s="35"/>
      <c r="BV345" s="35"/>
      <c r="BW345" s="35"/>
      <c r="BX345" s="35"/>
      <c r="BY345" s="35"/>
      <c r="BZ345" s="35"/>
      <c r="CA345" s="35"/>
      <c r="CB345" s="35"/>
      <c r="CC345" s="35"/>
      <c r="CD345" s="35"/>
      <c r="CE345" s="35"/>
      <c r="CF345" s="35"/>
      <c r="CG345" s="35"/>
      <c r="CH345" s="35"/>
      <c r="CI345" s="35"/>
      <c r="CJ345" s="35"/>
      <c r="CK345" s="35"/>
      <c r="CL345" s="35"/>
      <c r="CM345" s="35"/>
      <c r="CN345" s="35"/>
      <c r="CO345" s="35"/>
      <c r="CP345" s="35"/>
      <c r="CQ345" s="35"/>
      <c r="CR345" s="35"/>
      <c r="CS345" s="35"/>
      <c r="CT345" s="35"/>
      <c r="CU345" s="35"/>
      <c r="CV345" s="35"/>
      <c r="CW345" s="35"/>
      <c r="CX345" s="35"/>
      <c r="CY345" s="35"/>
      <c r="CZ345" s="35"/>
      <c r="DA345" s="35"/>
      <c r="DB345" s="35"/>
      <c r="DC345" s="35"/>
      <c r="DD345" s="35"/>
      <c r="DE345" s="35"/>
      <c r="DF345" s="35"/>
      <c r="DG345" s="35"/>
      <c r="DH345" s="35"/>
      <c r="DI345" s="35"/>
      <c r="DJ345" s="35"/>
      <c r="DK345" s="35"/>
      <c r="DL345" s="35"/>
      <c r="DM345" s="35"/>
      <c r="DN345" s="35"/>
      <c r="DO345" s="35"/>
      <c r="DP345" s="35"/>
      <c r="DQ345" s="35"/>
      <c r="DR345" s="35"/>
      <c r="DS345" s="35"/>
      <c r="DT345" s="35"/>
      <c r="DU345" s="35"/>
      <c r="DV345" s="35"/>
      <c r="DW345" s="35">
        <v>1</v>
      </c>
      <c r="DX345" s="35"/>
      <c r="DY345" s="35"/>
      <c r="DZ345" s="35"/>
      <c r="EA345" s="35"/>
      <c r="EB345" s="35"/>
      <c r="EC345" s="35"/>
      <c r="ED345" s="35"/>
      <c r="EE345" s="35"/>
      <c r="EF345" s="35"/>
      <c r="EG345" s="35"/>
      <c r="EH345" s="35"/>
      <c r="EI345" s="35"/>
      <c r="EJ345" s="35"/>
      <c r="EK345" s="35"/>
      <c r="EL345" s="35"/>
      <c r="EM345" s="35"/>
      <c r="EN345" s="35"/>
      <c r="EO345" s="35"/>
      <c r="EP345" s="35"/>
      <c r="EQ345" s="35"/>
      <c r="ER345" s="35"/>
      <c r="ES345" s="35"/>
      <c r="ET345" s="35"/>
      <c r="EU345" s="35"/>
      <c r="EV345" s="35"/>
      <c r="EW345" s="35"/>
      <c r="EX345" s="35"/>
      <c r="EY345" s="35"/>
      <c r="EZ345" s="35"/>
      <c r="FA345" s="35"/>
      <c r="FB345" s="35"/>
      <c r="FC345" s="35"/>
      <c r="FD345" s="35"/>
      <c r="FE345" s="35"/>
      <c r="FF345" s="35"/>
      <c r="FG345" s="35"/>
      <c r="FH345" s="35"/>
      <c r="FI345" s="35"/>
      <c r="FJ345" s="35"/>
      <c r="FK345" s="35"/>
      <c r="FL345" s="35"/>
      <c r="FM345" s="35"/>
      <c r="FN345" s="35"/>
      <c r="FO345" s="35"/>
      <c r="FP345" s="35"/>
      <c r="FQ345" s="35"/>
      <c r="FR345" s="35"/>
      <c r="FS345" s="35"/>
      <c r="FT345" s="35"/>
      <c r="FU345" s="35"/>
      <c r="FV345" s="35"/>
      <c r="FW345" s="35"/>
      <c r="FX345" s="35"/>
      <c r="FY345" s="35"/>
      <c r="FZ345" s="35"/>
      <c r="GA345" s="35"/>
      <c r="GB345" s="318"/>
      <c r="GC345" s="178">
        <f t="shared" si="64"/>
        <v>0</v>
      </c>
      <c r="GD345" s="178">
        <f t="shared" si="65"/>
        <v>0</v>
      </c>
      <c r="GE345" s="178">
        <f t="shared" si="66"/>
        <v>0</v>
      </c>
      <c r="GF345" s="178">
        <f t="shared" si="67"/>
        <v>0</v>
      </c>
      <c r="GG345" s="178">
        <f t="shared" si="51"/>
        <v>0</v>
      </c>
    </row>
    <row r="346" spans="1:189" x14ac:dyDescent="0.35">
      <c r="A346" s="6" t="s">
        <v>1493</v>
      </c>
      <c r="B346" s="6" t="str">
        <f>IF(Technologies!B346&lt;&gt;0,Technologies!B346,"")</f>
        <v>Industrie</v>
      </c>
      <c r="C346" s="6" t="str">
        <f>VLOOKUP($A346,Technologies!$A$7:$H$576,3,FALSE)</f>
        <v>Primary</v>
      </c>
      <c r="D346" s="6" t="str">
        <f>VLOOKUP($A346,Technologies!$A$7:$H$576,4,FALSE)</f>
        <v>Fossil</v>
      </c>
      <c r="E346" s="6" t="str">
        <f>VLOOKUP($A346,Technologies!$A$7:$H$576,6,FALSE)</f>
        <v>Other Oil Products</v>
      </c>
      <c r="F346" s="48" t="str">
        <f>VLOOKUP($A346,Technologies!$A$7:$H$576,7,FALSE)</f>
        <v>Imported Other Oil Products - Refineries</v>
      </c>
      <c r="G346" s="22"/>
      <c r="H346" s="22"/>
      <c r="I346" s="103" cm="1">
        <f t="array" ref="I346">-SUMPRODUCT((Feedstocks!$C$4:$C$141=A346)*Feedstocks!$E$4:$E$141,Feedstocks!$F$4:$F$141,Feedstocks!$H$4:$H$141,Feedstocks!$I$4:$I$141)</f>
        <v>0</v>
      </c>
      <c r="J346" s="103" cm="1">
        <f t="array" ref="J346">-SUMPRODUCT((Feedstocks!$C$4:$C$141=A346)*Feedstocks!$E$4:$E$141,Feedstocks!$H$4:$H$141,Feedstocks!$I$4:$I$141)</f>
        <v>0</v>
      </c>
      <c r="K346" s="103"/>
      <c r="L346" s="103"/>
      <c r="M346" s="22">
        <v>1</v>
      </c>
      <c r="N346" s="22" t="str">
        <f>VLOOKUP(E346,Activities!$A$9:$M$227,13,FALSE)</f>
        <v>NL</v>
      </c>
      <c r="O346" s="22"/>
      <c r="P346" s="80" t="s">
        <v>415</v>
      </c>
      <c r="Q346" s="36"/>
      <c r="R346" s="36"/>
      <c r="S346" s="36"/>
      <c r="T346" s="36"/>
      <c r="U346" s="36"/>
      <c r="V346" s="36"/>
      <c r="W346" s="36"/>
      <c r="X346" s="36"/>
      <c r="Y346" s="36"/>
      <c r="Z346" s="36"/>
      <c r="AA346" s="36"/>
      <c r="AB346" s="36"/>
      <c r="AC346" s="36"/>
      <c r="AD346" s="36"/>
      <c r="AE346" s="36"/>
      <c r="AF346" s="35"/>
      <c r="AG346" s="35"/>
      <c r="AH346" s="35"/>
      <c r="AI346" s="35"/>
      <c r="AJ346" s="35"/>
      <c r="AK346" s="35"/>
      <c r="AL346" s="35"/>
      <c r="AM346" s="35"/>
      <c r="AN346" s="35"/>
      <c r="AO346" s="35"/>
      <c r="AP346" s="36"/>
      <c r="AQ346" s="36"/>
      <c r="AR346" s="36"/>
      <c r="AS346" s="36"/>
      <c r="AT346" s="36"/>
      <c r="AU346" s="36"/>
      <c r="AV346" s="36"/>
      <c r="AW346" s="36"/>
      <c r="AX346" s="36"/>
      <c r="AY346" s="36"/>
      <c r="AZ346" s="36"/>
      <c r="BA346" s="36"/>
      <c r="BB346" s="36"/>
      <c r="BC346" s="36"/>
      <c r="BD346" s="36"/>
      <c r="BE346" s="36"/>
      <c r="BF346" s="36"/>
      <c r="BG346" s="36"/>
      <c r="BH346" s="36"/>
      <c r="BI346" s="36"/>
      <c r="BJ346" s="36"/>
      <c r="BK346" s="36"/>
      <c r="BL346" s="36"/>
      <c r="BM346" s="36"/>
      <c r="BN346" s="36"/>
      <c r="BO346" s="36"/>
      <c r="BP346" s="36"/>
      <c r="BQ346" s="36"/>
      <c r="BR346" s="36"/>
      <c r="BS346" s="36"/>
      <c r="BT346" s="36"/>
      <c r="BU346" s="36"/>
      <c r="BV346" s="36"/>
      <c r="BW346" s="36"/>
      <c r="BX346" s="36"/>
      <c r="BY346" s="36"/>
      <c r="BZ346" s="36"/>
      <c r="CA346" s="36"/>
      <c r="CB346" s="36"/>
      <c r="CC346" s="36"/>
      <c r="CD346" s="36"/>
      <c r="CE346" s="36"/>
      <c r="CF346" s="36"/>
      <c r="CG346" s="36"/>
      <c r="CH346" s="36"/>
      <c r="CI346" s="36"/>
      <c r="CJ346" s="36"/>
      <c r="CK346" s="36"/>
      <c r="CL346" s="36"/>
      <c r="CM346" s="36"/>
      <c r="CN346" s="36"/>
      <c r="CO346" s="36"/>
      <c r="CP346" s="36"/>
      <c r="CQ346" s="36"/>
      <c r="CR346" s="36"/>
      <c r="CS346" s="36"/>
      <c r="CT346" s="36"/>
      <c r="CU346" s="36"/>
      <c r="CV346" s="36"/>
      <c r="CW346" s="36"/>
      <c r="CX346" s="36"/>
      <c r="CY346" s="36"/>
      <c r="CZ346" s="36"/>
      <c r="DA346" s="36"/>
      <c r="DB346" s="36"/>
      <c r="DC346" s="36"/>
      <c r="DD346" s="36"/>
      <c r="DE346" s="36"/>
      <c r="DF346" s="36"/>
      <c r="DG346" s="36"/>
      <c r="DH346" s="36"/>
      <c r="DI346" s="36"/>
      <c r="DJ346" s="36"/>
      <c r="DK346" s="36"/>
      <c r="DL346" s="36"/>
      <c r="DM346" s="36"/>
      <c r="DN346" s="36"/>
      <c r="DO346" s="36"/>
      <c r="DP346" s="36"/>
      <c r="DQ346" s="36"/>
      <c r="DR346" s="36"/>
      <c r="DS346" s="36"/>
      <c r="DT346" s="36"/>
      <c r="DU346" s="36"/>
      <c r="DV346" s="36"/>
      <c r="DW346" s="36"/>
      <c r="DX346" s="36">
        <v>1</v>
      </c>
      <c r="DY346" s="36"/>
      <c r="DZ346" s="36"/>
      <c r="EA346" s="36"/>
      <c r="EB346" s="36"/>
      <c r="EC346" s="36"/>
      <c r="ED346" s="36"/>
      <c r="EE346" s="36"/>
      <c r="EF346" s="36"/>
      <c r="EG346" s="36"/>
      <c r="EH346" s="36"/>
      <c r="EI346" s="36"/>
      <c r="EJ346" s="36"/>
      <c r="EK346" s="36"/>
      <c r="EL346" s="36"/>
      <c r="EM346" s="36"/>
      <c r="EN346" s="36"/>
      <c r="EO346" s="36"/>
      <c r="EP346" s="36"/>
      <c r="EQ346" s="36"/>
      <c r="ER346" s="36"/>
      <c r="ES346" s="36"/>
      <c r="ET346" s="36"/>
      <c r="EU346" s="36"/>
      <c r="EV346" s="36"/>
      <c r="EW346" s="36"/>
      <c r="EX346" s="36"/>
      <c r="EY346" s="36"/>
      <c r="EZ346" s="36"/>
      <c r="FA346" s="36"/>
      <c r="FB346" s="36"/>
      <c r="FC346" s="36"/>
      <c r="FD346" s="36"/>
      <c r="FE346" s="36"/>
      <c r="FF346" s="36"/>
      <c r="FG346" s="36"/>
      <c r="FH346" s="36"/>
      <c r="FI346" s="36"/>
      <c r="FJ346" s="36"/>
      <c r="FK346" s="36"/>
      <c r="FL346" s="36"/>
      <c r="FM346" s="36"/>
      <c r="FN346" s="36"/>
      <c r="FO346" s="36"/>
      <c r="FP346" s="36"/>
      <c r="FQ346" s="36"/>
      <c r="FR346" s="36"/>
      <c r="FS346" s="36"/>
      <c r="FT346" s="36"/>
      <c r="FU346" s="36"/>
      <c r="FV346" s="36"/>
      <c r="FW346" s="36"/>
      <c r="FX346" s="36"/>
      <c r="FY346" s="36"/>
      <c r="FZ346" s="36"/>
      <c r="GA346" s="36"/>
      <c r="GB346" s="319"/>
      <c r="GC346" s="179">
        <f t="shared" si="64"/>
        <v>0</v>
      </c>
      <c r="GD346" s="179">
        <f t="shared" si="65"/>
        <v>0</v>
      </c>
      <c r="GE346" s="179">
        <f t="shared" si="66"/>
        <v>0</v>
      </c>
      <c r="GF346" s="179">
        <f t="shared" si="67"/>
        <v>0</v>
      </c>
      <c r="GG346" s="179">
        <f t="shared" si="51"/>
        <v>0</v>
      </c>
    </row>
    <row r="347" spans="1:189" x14ac:dyDescent="0.35">
      <c r="A347" s="5" t="s">
        <v>1495</v>
      </c>
      <c r="B347" s="5" t="str">
        <f>IF(Technologies!B347&lt;&gt;0,Technologies!B347,"")</f>
        <v>Industrie</v>
      </c>
      <c r="C347" s="5" t="str">
        <f>VLOOKUP($A347,Technologies!$A$7:$H$576,3,FALSE)</f>
        <v>Primary</v>
      </c>
      <c r="D347" s="5" t="str">
        <f>VLOOKUP($A347,Technologies!$A$7:$H$576,4,FALSE)</f>
        <v>Renewable</v>
      </c>
      <c r="E347" s="5" t="str">
        <f>VLOOKUP($A347,Technologies!$A$7:$H$576,6,FALSE)</f>
        <v>Bio Naphtha</v>
      </c>
      <c r="F347" s="5" t="str">
        <f>VLOOKUP($A347,Technologies!$A$7:$H$576,7,FALSE)</f>
        <v>Imported Bionaphtha - Refineries</v>
      </c>
      <c r="G347" s="23"/>
      <c r="H347" s="23"/>
      <c r="I347" s="104" cm="1">
        <f t="array" ref="I347">-SUMPRODUCT((Feedstocks!$C$4:$C$141=A347)*Feedstocks!$E$4:$E$141,Feedstocks!$F$4:$F$141,Feedstocks!$H$4:$H$141,Feedstocks!$I$4:$I$141)</f>
        <v>0</v>
      </c>
      <c r="J347" s="104" cm="1">
        <f t="array" ref="J347">-SUMPRODUCT((Feedstocks!$C$4:$C$141=A347)*Feedstocks!$E$4:$E$141,Feedstocks!$H$4:$H$141,Feedstocks!$I$4:$I$141)</f>
        <v>0</v>
      </c>
      <c r="K347" s="104"/>
      <c r="L347" s="104"/>
      <c r="M347" s="23">
        <v>1</v>
      </c>
      <c r="N347" s="23" t="str">
        <f>VLOOKUP(E347,Activities!$A$9:$M$227,13,FALSE)</f>
        <v>NL</v>
      </c>
      <c r="O347" s="23"/>
      <c r="P347" s="79" t="s">
        <v>415</v>
      </c>
      <c r="Q347" s="35"/>
      <c r="R347" s="35"/>
      <c r="S347" s="35"/>
      <c r="T347" s="35"/>
      <c r="U347" s="35"/>
      <c r="V347" s="35"/>
      <c r="W347" s="35"/>
      <c r="X347" s="35"/>
      <c r="Y347" s="35"/>
      <c r="Z347" s="35"/>
      <c r="AA347" s="35"/>
      <c r="AB347" s="35"/>
      <c r="AC347" s="35"/>
      <c r="AD347" s="35"/>
      <c r="AE347" s="35"/>
      <c r="AF347" s="36"/>
      <c r="AG347" s="36"/>
      <c r="AH347" s="36"/>
      <c r="AI347" s="36"/>
      <c r="AJ347" s="36"/>
      <c r="AK347" s="36"/>
      <c r="AL347" s="36"/>
      <c r="AM347" s="36"/>
      <c r="AN347" s="36"/>
      <c r="AO347" s="36"/>
      <c r="AP347" s="35"/>
      <c r="AQ347" s="35"/>
      <c r="AR347" s="35"/>
      <c r="AS347" s="35"/>
      <c r="AT347" s="35"/>
      <c r="AU347" s="35"/>
      <c r="AV347" s="35"/>
      <c r="AW347" s="35"/>
      <c r="AX347" s="35"/>
      <c r="AY347" s="35"/>
      <c r="AZ347" s="35"/>
      <c r="BA347" s="35"/>
      <c r="BB347" s="35"/>
      <c r="BC347" s="35"/>
      <c r="BD347" s="35"/>
      <c r="BE347" s="35"/>
      <c r="BF347" s="35"/>
      <c r="BG347" s="35"/>
      <c r="BH347" s="35"/>
      <c r="BI347" s="35"/>
      <c r="BJ347" s="35"/>
      <c r="BK347" s="35"/>
      <c r="BL347" s="35"/>
      <c r="BM347" s="35"/>
      <c r="BN347" s="35"/>
      <c r="BO347" s="35"/>
      <c r="BP347" s="35"/>
      <c r="BQ347" s="35"/>
      <c r="BR347" s="35"/>
      <c r="BS347" s="35"/>
      <c r="BT347" s="35"/>
      <c r="BU347" s="35"/>
      <c r="BV347" s="35"/>
      <c r="BW347" s="35"/>
      <c r="BX347" s="35"/>
      <c r="BY347" s="35"/>
      <c r="BZ347" s="35"/>
      <c r="CA347" s="35"/>
      <c r="CB347" s="35"/>
      <c r="CC347" s="35"/>
      <c r="CD347" s="35"/>
      <c r="CE347" s="35"/>
      <c r="CF347" s="35"/>
      <c r="CG347" s="35"/>
      <c r="CH347" s="35"/>
      <c r="CI347" s="35"/>
      <c r="CJ347" s="35"/>
      <c r="CK347" s="35"/>
      <c r="CL347" s="35"/>
      <c r="CM347" s="35"/>
      <c r="CN347" s="35"/>
      <c r="CO347" s="35"/>
      <c r="CP347" s="35"/>
      <c r="CQ347" s="35"/>
      <c r="CR347" s="35"/>
      <c r="CS347" s="35"/>
      <c r="CT347" s="35"/>
      <c r="CU347" s="35"/>
      <c r="CV347" s="35"/>
      <c r="CW347" s="35"/>
      <c r="CX347" s="35"/>
      <c r="CY347" s="35"/>
      <c r="CZ347" s="35"/>
      <c r="DA347" s="35"/>
      <c r="DB347" s="35"/>
      <c r="DC347" s="35"/>
      <c r="DD347" s="35"/>
      <c r="DE347" s="35"/>
      <c r="DF347" s="35"/>
      <c r="DG347" s="35"/>
      <c r="DH347" s="35"/>
      <c r="DI347" s="35"/>
      <c r="DJ347" s="35"/>
      <c r="DK347" s="35"/>
      <c r="DL347" s="35"/>
      <c r="DM347" s="35"/>
      <c r="DN347" s="35"/>
      <c r="DO347" s="35"/>
      <c r="DP347" s="35"/>
      <c r="DQ347" s="35"/>
      <c r="DR347" s="35"/>
      <c r="DS347" s="35"/>
      <c r="DT347" s="35"/>
      <c r="DU347" s="35"/>
      <c r="DV347" s="35"/>
      <c r="DW347" s="35"/>
      <c r="DX347" s="35"/>
      <c r="DY347" s="35">
        <v>1</v>
      </c>
      <c r="DZ347" s="35"/>
      <c r="EA347" s="35"/>
      <c r="EB347" s="35"/>
      <c r="EC347" s="35"/>
      <c r="ED347" s="35"/>
      <c r="EE347" s="35"/>
      <c r="EF347" s="35"/>
      <c r="EG347" s="35"/>
      <c r="EH347" s="35"/>
      <c r="EI347" s="35"/>
      <c r="EJ347" s="35"/>
      <c r="EK347" s="35"/>
      <c r="EL347" s="35"/>
      <c r="EM347" s="35"/>
      <c r="EN347" s="35"/>
      <c r="EO347" s="35"/>
      <c r="EP347" s="35"/>
      <c r="EQ347" s="35"/>
      <c r="ER347" s="35"/>
      <c r="ES347" s="35"/>
      <c r="ET347" s="35"/>
      <c r="EU347" s="35"/>
      <c r="EV347" s="35"/>
      <c r="EW347" s="35"/>
      <c r="EX347" s="35"/>
      <c r="EY347" s="35"/>
      <c r="EZ347" s="35"/>
      <c r="FA347" s="35"/>
      <c r="FB347" s="35"/>
      <c r="FC347" s="35"/>
      <c r="FD347" s="35"/>
      <c r="FE347" s="35"/>
      <c r="FF347" s="35"/>
      <c r="FG347" s="35"/>
      <c r="FH347" s="35"/>
      <c r="FI347" s="35"/>
      <c r="FJ347" s="35"/>
      <c r="FK347" s="35"/>
      <c r="FL347" s="35"/>
      <c r="FM347" s="35"/>
      <c r="FN347" s="35"/>
      <c r="FO347" s="35"/>
      <c r="FP347" s="35"/>
      <c r="FQ347" s="35"/>
      <c r="FR347" s="35"/>
      <c r="FS347" s="35"/>
      <c r="FT347" s="35"/>
      <c r="FU347" s="35"/>
      <c r="FV347" s="35"/>
      <c r="FW347" s="35"/>
      <c r="FX347" s="35"/>
      <c r="FY347" s="35"/>
      <c r="FZ347" s="35"/>
      <c r="GA347" s="35"/>
      <c r="GB347" s="318"/>
      <c r="GC347" s="178">
        <f t="shared" si="64"/>
        <v>0</v>
      </c>
      <c r="GD347" s="178">
        <f t="shared" si="65"/>
        <v>0</v>
      </c>
      <c r="GE347" s="178">
        <f t="shared" si="66"/>
        <v>0</v>
      </c>
      <c r="GF347" s="178">
        <f t="shared" si="67"/>
        <v>0</v>
      </c>
      <c r="GG347" s="178">
        <f t="shared" si="51"/>
        <v>0</v>
      </c>
    </row>
    <row r="348" spans="1:189" x14ac:dyDescent="0.35">
      <c r="A348" s="6" t="s">
        <v>1499</v>
      </c>
      <c r="B348" s="6" t="str">
        <f>IF(Technologies!B348&lt;&gt;0,Technologies!B348,"")</f>
        <v>Industrie</v>
      </c>
      <c r="C348" s="6" t="str">
        <f>VLOOKUP($A348,Technologies!$A$7:$H$576,3,FALSE)</f>
        <v>Conversion</v>
      </c>
      <c r="D348" s="6" t="str">
        <f>VLOOKUP($A348,Technologies!$A$7:$H$576,4,FALSE)</f>
        <v>Refineries</v>
      </c>
      <c r="E348" s="6" t="str">
        <f>VLOOKUP($A348,Technologies!$A$7:$H$576,6,FALSE)</f>
        <v>Bio Ethanol</v>
      </c>
      <c r="F348" s="48" t="str">
        <f>VLOOKUP($A348,Technologies!$A$7:$H$576,7,FALSE)</f>
        <v>Bioethanol from sugar fermentation - Refineries</v>
      </c>
      <c r="G348" s="22"/>
      <c r="H348" s="22"/>
      <c r="I348" s="103" cm="1">
        <f t="array" ref="I348">-SUMPRODUCT((Feedstocks!$C$4:$C$141=A348)*Feedstocks!$E$4:$E$141,Feedstocks!$F$4:$F$141,Feedstocks!$H$4:$H$141,Feedstocks!$I$4:$I$141)</f>
        <v>0</v>
      </c>
      <c r="J348" s="103" cm="1">
        <f t="array" ref="J348">-SUMPRODUCT((Feedstocks!$C$4:$C$141=A348)*Feedstocks!$E$4:$E$141,Feedstocks!$H$4:$H$141,Feedstocks!$I$4:$I$141)</f>
        <v>0</v>
      </c>
      <c r="K348" s="103"/>
      <c r="L348" s="103"/>
      <c r="M348" s="22">
        <v>1</v>
      </c>
      <c r="N348" s="22" t="str">
        <f>VLOOKUP(E348,Activities!$A$9:$M$227,13,FALSE)</f>
        <v>NL</v>
      </c>
      <c r="O348" s="22"/>
      <c r="P348" s="80" t="s">
        <v>415</v>
      </c>
      <c r="Q348" s="36"/>
      <c r="R348" s="36"/>
      <c r="S348" s="36"/>
      <c r="T348" s="36"/>
      <c r="U348" s="36"/>
      <c r="V348" s="36"/>
      <c r="W348" s="36"/>
      <c r="X348" s="36"/>
      <c r="Y348" s="36"/>
      <c r="Z348" s="36"/>
      <c r="AA348" s="36"/>
      <c r="AB348" s="36"/>
      <c r="AC348" s="36"/>
      <c r="AD348" s="36"/>
      <c r="AE348" s="36"/>
      <c r="AF348" s="35"/>
      <c r="AG348" s="35"/>
      <c r="AH348" s="35"/>
      <c r="AI348" s="35"/>
      <c r="AJ348" s="35"/>
      <c r="AK348" s="35"/>
      <c r="AL348" s="35"/>
      <c r="AM348" s="35"/>
      <c r="AN348" s="35"/>
      <c r="AO348" s="35"/>
      <c r="AP348" s="36"/>
      <c r="AQ348" s="36"/>
      <c r="AR348" s="36"/>
      <c r="AS348" s="36"/>
      <c r="AT348" s="36"/>
      <c r="AU348" s="36"/>
      <c r="AV348" s="36"/>
      <c r="AW348" s="36"/>
      <c r="AX348" s="36"/>
      <c r="AY348" s="36"/>
      <c r="AZ348" s="36"/>
      <c r="BA348" s="36"/>
      <c r="BB348" s="36"/>
      <c r="BC348" s="36"/>
      <c r="BD348" s="36"/>
      <c r="BE348" s="36"/>
      <c r="BF348" s="36"/>
      <c r="BG348" s="36"/>
      <c r="BH348" s="36"/>
      <c r="BI348" s="36"/>
      <c r="BJ348" s="36"/>
      <c r="BK348" s="36"/>
      <c r="BL348" s="36"/>
      <c r="BM348" s="36"/>
      <c r="BN348" s="36"/>
      <c r="BO348" s="36"/>
      <c r="BP348" s="36"/>
      <c r="BQ348" s="36"/>
      <c r="BR348" s="36"/>
      <c r="BS348" s="36"/>
      <c r="BT348" s="36"/>
      <c r="BU348" s="36"/>
      <c r="BV348" s="36"/>
      <c r="BW348" s="36"/>
      <c r="BX348" s="36"/>
      <c r="BY348" s="36"/>
      <c r="BZ348" s="36"/>
      <c r="CA348" s="36"/>
      <c r="CB348" s="36"/>
      <c r="CC348" s="36"/>
      <c r="CD348" s="36"/>
      <c r="CE348" s="36"/>
      <c r="CF348" s="36"/>
      <c r="CG348" s="36"/>
      <c r="CH348" s="36"/>
      <c r="CI348" s="36"/>
      <c r="CJ348" s="36"/>
      <c r="CK348" s="36"/>
      <c r="CL348" s="36"/>
      <c r="CM348" s="36"/>
      <c r="CN348" s="36"/>
      <c r="CO348" s="36"/>
      <c r="CP348" s="36"/>
      <c r="CQ348" s="36"/>
      <c r="CR348" s="36"/>
      <c r="CS348" s="36"/>
      <c r="CT348" s="36"/>
      <c r="CU348" s="36"/>
      <c r="CV348" s="36"/>
      <c r="CW348" s="36"/>
      <c r="CX348" s="36"/>
      <c r="CY348" s="36"/>
      <c r="CZ348" s="36"/>
      <c r="DA348" s="36"/>
      <c r="DB348" s="36"/>
      <c r="DC348" s="36"/>
      <c r="DD348" s="36"/>
      <c r="DE348" s="36"/>
      <c r="DF348" s="36"/>
      <c r="DG348" s="36"/>
      <c r="DH348" s="36">
        <v>-0.03</v>
      </c>
      <c r="DI348" s="36"/>
      <c r="DJ348" s="36"/>
      <c r="DK348" s="36"/>
      <c r="DL348" s="36"/>
      <c r="DM348" s="36"/>
      <c r="DN348" s="36"/>
      <c r="DO348" s="36"/>
      <c r="DP348" s="36">
        <v>-0.08</v>
      </c>
      <c r="DQ348" s="36"/>
      <c r="DR348" s="36"/>
      <c r="DS348" s="36"/>
      <c r="DT348" s="36"/>
      <c r="DU348" s="36"/>
      <c r="DV348" s="36"/>
      <c r="DW348" s="36"/>
      <c r="DX348" s="36"/>
      <c r="DY348" s="36"/>
      <c r="DZ348" s="36">
        <v>1</v>
      </c>
      <c r="EA348" s="36"/>
      <c r="EB348" s="36"/>
      <c r="EC348" s="36"/>
      <c r="ED348" s="36"/>
      <c r="EE348" s="36"/>
      <c r="EF348" s="36"/>
      <c r="EG348" s="36"/>
      <c r="EH348" s="36"/>
      <c r="EI348" s="36"/>
      <c r="EJ348" s="36"/>
      <c r="EK348" s="36"/>
      <c r="EL348" s="36"/>
      <c r="EM348" s="36"/>
      <c r="EN348" s="36"/>
      <c r="EO348" s="36"/>
      <c r="EP348" s="36"/>
      <c r="EQ348" s="36"/>
      <c r="ER348" s="36"/>
      <c r="ES348" s="36"/>
      <c r="ET348" s="36"/>
      <c r="EU348" s="36"/>
      <c r="EV348" s="36"/>
      <c r="EW348" s="36"/>
      <c r="EX348" s="36"/>
      <c r="EY348" s="36"/>
      <c r="EZ348" s="36"/>
      <c r="FA348" s="36"/>
      <c r="FB348" s="36"/>
      <c r="FC348" s="36"/>
      <c r="FD348" s="36"/>
      <c r="FE348" s="36"/>
      <c r="FF348" s="36">
        <v>-1.42</v>
      </c>
      <c r="FG348" s="36"/>
      <c r="FH348" s="36"/>
      <c r="FI348" s="36"/>
      <c r="FJ348" s="36"/>
      <c r="FK348" s="36"/>
      <c r="FL348" s="36"/>
      <c r="FM348" s="36"/>
      <c r="FN348" s="36"/>
      <c r="FO348" s="36"/>
      <c r="FP348" s="36"/>
      <c r="FQ348" s="36"/>
      <c r="FR348" s="36"/>
      <c r="FS348" s="36"/>
      <c r="FT348" s="36"/>
      <c r="FU348" s="36"/>
      <c r="FV348" s="36"/>
      <c r="FW348" s="36"/>
      <c r="FX348" s="36"/>
      <c r="FY348" s="36"/>
      <c r="FZ348" s="36"/>
      <c r="GA348" s="36"/>
      <c r="GB348" s="319"/>
      <c r="GC348" s="179">
        <f t="shared" si="64"/>
        <v>0</v>
      </c>
      <c r="GD348" s="179">
        <f t="shared" si="65"/>
        <v>0</v>
      </c>
      <c r="GE348" s="179">
        <f t="shared" si="66"/>
        <v>0</v>
      </c>
      <c r="GF348" s="179">
        <f t="shared" si="67"/>
        <v>0</v>
      </c>
      <c r="GG348" s="179">
        <f t="shared" si="51"/>
        <v>0</v>
      </c>
    </row>
    <row r="349" spans="1:189" x14ac:dyDescent="0.35">
      <c r="A349" s="5" t="s">
        <v>1502</v>
      </c>
      <c r="B349" s="5" t="str">
        <f>IF(Technologies!B349&lt;&gt;0,Technologies!B349,"")</f>
        <v>Industrie</v>
      </c>
      <c r="C349" s="5" t="str">
        <f>VLOOKUP($A349,Technologies!$A$7:$H$576,3,FALSE)</f>
        <v>Conversion</v>
      </c>
      <c r="D349" s="5" t="str">
        <f>VLOOKUP($A349,Technologies!$A$7:$H$576,4,FALSE)</f>
        <v>Refineries</v>
      </c>
      <c r="E349" s="5" t="str">
        <f>VLOOKUP($A349,Technologies!$A$7:$H$576,6,FALSE)</f>
        <v>Bio Ethanol</v>
      </c>
      <c r="F349" s="5" t="str">
        <f>VLOOKUP($A349,Technologies!$A$7:$H$576,7,FALSE)</f>
        <v>Bioethanol from starch fermentation - Refineries</v>
      </c>
      <c r="G349" s="23"/>
      <c r="H349" s="23"/>
      <c r="I349" s="104" cm="1">
        <f t="array" ref="I349">-SUMPRODUCT((Feedstocks!$C$4:$C$141=A349)*Feedstocks!$E$4:$E$141,Feedstocks!$F$4:$F$141,Feedstocks!$H$4:$H$141,Feedstocks!$I$4:$I$141)</f>
        <v>0</v>
      </c>
      <c r="J349" s="104" cm="1">
        <f t="array" ref="J349">-SUMPRODUCT((Feedstocks!$C$4:$C$141=A349)*Feedstocks!$E$4:$E$141,Feedstocks!$H$4:$H$141,Feedstocks!$I$4:$I$141)</f>
        <v>0</v>
      </c>
      <c r="K349" s="104"/>
      <c r="L349" s="104"/>
      <c r="M349" s="23">
        <v>1</v>
      </c>
      <c r="N349" s="23" t="str">
        <f>VLOOKUP(E349,Activities!$A$9:$M$227,13,FALSE)</f>
        <v>NL</v>
      </c>
      <c r="O349" s="23"/>
      <c r="P349" s="79" t="s">
        <v>415</v>
      </c>
      <c r="Q349" s="35"/>
      <c r="R349" s="35"/>
      <c r="S349" s="35"/>
      <c r="T349" s="35"/>
      <c r="U349" s="35"/>
      <c r="V349" s="35"/>
      <c r="W349" s="35"/>
      <c r="X349" s="35"/>
      <c r="Y349" s="35"/>
      <c r="Z349" s="35"/>
      <c r="AA349" s="35"/>
      <c r="AB349" s="35"/>
      <c r="AC349" s="35"/>
      <c r="AD349" s="35"/>
      <c r="AE349" s="35"/>
      <c r="AF349" s="36"/>
      <c r="AG349" s="36"/>
      <c r="AH349" s="36"/>
      <c r="AI349" s="36"/>
      <c r="AJ349" s="36"/>
      <c r="AK349" s="36"/>
      <c r="AL349" s="36"/>
      <c r="AM349" s="36"/>
      <c r="AN349" s="36"/>
      <c r="AO349" s="36"/>
      <c r="AP349" s="35"/>
      <c r="AQ349" s="35"/>
      <c r="AR349" s="35"/>
      <c r="AS349" s="35"/>
      <c r="AT349" s="35"/>
      <c r="AU349" s="35"/>
      <c r="AV349" s="35"/>
      <c r="AW349" s="35"/>
      <c r="AX349" s="35"/>
      <c r="AY349" s="35"/>
      <c r="AZ349" s="35"/>
      <c r="BA349" s="35"/>
      <c r="BB349" s="35"/>
      <c r="BC349" s="35"/>
      <c r="BD349" s="35"/>
      <c r="BE349" s="35"/>
      <c r="BF349" s="35"/>
      <c r="BG349" s="35"/>
      <c r="BH349" s="35"/>
      <c r="BI349" s="35"/>
      <c r="BJ349" s="35"/>
      <c r="BK349" s="35"/>
      <c r="BL349" s="35"/>
      <c r="BM349" s="35"/>
      <c r="BN349" s="35"/>
      <c r="BO349" s="35"/>
      <c r="BP349" s="35"/>
      <c r="BQ349" s="35"/>
      <c r="BR349" s="35"/>
      <c r="BS349" s="35"/>
      <c r="BT349" s="35"/>
      <c r="BU349" s="35"/>
      <c r="BV349" s="35"/>
      <c r="BW349" s="35"/>
      <c r="BX349" s="35"/>
      <c r="BY349" s="35"/>
      <c r="BZ349" s="35"/>
      <c r="CA349" s="35"/>
      <c r="CB349" s="35"/>
      <c r="CC349" s="35"/>
      <c r="CD349" s="35"/>
      <c r="CE349" s="35"/>
      <c r="CF349" s="35"/>
      <c r="CG349" s="35"/>
      <c r="CH349" s="35"/>
      <c r="CI349" s="35"/>
      <c r="CJ349" s="35"/>
      <c r="CK349" s="35"/>
      <c r="CL349" s="35"/>
      <c r="CM349" s="35"/>
      <c r="CN349" s="35"/>
      <c r="CO349" s="35"/>
      <c r="CP349" s="35"/>
      <c r="CQ349" s="35"/>
      <c r="CR349" s="35"/>
      <c r="CS349" s="35"/>
      <c r="CT349" s="35"/>
      <c r="CU349" s="35"/>
      <c r="CV349" s="35"/>
      <c r="CW349" s="35"/>
      <c r="CX349" s="35"/>
      <c r="CY349" s="35"/>
      <c r="CZ349" s="35"/>
      <c r="DA349" s="35"/>
      <c r="DB349" s="35"/>
      <c r="DC349" s="35"/>
      <c r="DD349" s="35"/>
      <c r="DE349" s="35"/>
      <c r="DF349" s="35"/>
      <c r="DG349" s="35"/>
      <c r="DH349" s="35">
        <v>-2.5000000000000001E-2</v>
      </c>
      <c r="DI349" s="35"/>
      <c r="DJ349" s="35"/>
      <c r="DK349" s="35"/>
      <c r="DL349" s="35"/>
      <c r="DM349" s="35"/>
      <c r="DN349" s="35"/>
      <c r="DO349" s="35"/>
      <c r="DP349" s="35">
        <v>-7.0000000000000007E-2</v>
      </c>
      <c r="DQ349" s="35"/>
      <c r="DR349" s="35"/>
      <c r="DS349" s="35"/>
      <c r="DT349" s="35"/>
      <c r="DU349" s="35"/>
      <c r="DV349" s="35"/>
      <c r="DW349" s="35"/>
      <c r="DX349" s="35"/>
      <c r="DY349" s="35"/>
      <c r="DZ349" s="35">
        <v>1</v>
      </c>
      <c r="EA349" s="35"/>
      <c r="EB349" s="35"/>
      <c r="EC349" s="35"/>
      <c r="ED349" s="35"/>
      <c r="EE349" s="35"/>
      <c r="EF349" s="35"/>
      <c r="EG349" s="35"/>
      <c r="EH349" s="35"/>
      <c r="EI349" s="35"/>
      <c r="EJ349" s="35"/>
      <c r="EK349" s="35"/>
      <c r="EL349" s="35"/>
      <c r="EM349" s="35"/>
      <c r="EN349" s="35"/>
      <c r="EO349" s="35"/>
      <c r="EP349" s="35"/>
      <c r="EQ349" s="35"/>
      <c r="ER349" s="35"/>
      <c r="ES349" s="35"/>
      <c r="ET349" s="35"/>
      <c r="EU349" s="35"/>
      <c r="EV349" s="35"/>
      <c r="EW349" s="35"/>
      <c r="EX349" s="35"/>
      <c r="EY349" s="35"/>
      <c r="EZ349" s="35"/>
      <c r="FA349" s="35"/>
      <c r="FB349" s="35"/>
      <c r="FC349" s="35"/>
      <c r="FD349" s="35"/>
      <c r="FE349" s="35"/>
      <c r="FF349" s="35"/>
      <c r="FG349" s="35">
        <v>-1.24</v>
      </c>
      <c r="FH349" s="35"/>
      <c r="FI349" s="35"/>
      <c r="FJ349" s="35"/>
      <c r="FK349" s="35"/>
      <c r="FL349" s="35"/>
      <c r="FM349" s="35"/>
      <c r="FN349" s="35"/>
      <c r="FO349" s="35"/>
      <c r="FP349" s="35"/>
      <c r="FQ349" s="35"/>
      <c r="FR349" s="35"/>
      <c r="FS349" s="35"/>
      <c r="FT349" s="35"/>
      <c r="FU349" s="35"/>
      <c r="FV349" s="35"/>
      <c r="FW349" s="35"/>
      <c r="FX349" s="35"/>
      <c r="FY349" s="35"/>
      <c r="FZ349" s="35"/>
      <c r="GA349" s="35"/>
      <c r="GB349" s="318"/>
      <c r="GC349" s="178">
        <f t="shared" si="64"/>
        <v>0</v>
      </c>
      <c r="GD349" s="178">
        <f t="shared" si="65"/>
        <v>0</v>
      </c>
      <c r="GE349" s="178">
        <f t="shared" si="66"/>
        <v>0</v>
      </c>
      <c r="GF349" s="178">
        <f t="shared" si="67"/>
        <v>0</v>
      </c>
      <c r="GG349" s="178">
        <f t="shared" ref="GG349:GG425" si="69">$I349</f>
        <v>0</v>
      </c>
    </row>
    <row r="350" spans="1:189" x14ac:dyDescent="0.35">
      <c r="A350" s="6" t="s">
        <v>1504</v>
      </c>
      <c r="B350" s="6" t="str">
        <f>IF(Technologies!B350&lt;&gt;0,Technologies!B350,"")</f>
        <v>Industrie</v>
      </c>
      <c r="C350" s="6" t="str">
        <f>VLOOKUP($A350,Technologies!$A$7:$H$576,3,FALSE)</f>
        <v>Conversion</v>
      </c>
      <c r="D350" s="6" t="str">
        <f>VLOOKUP($A350,Technologies!$A$7:$H$576,4,FALSE)</f>
        <v>Refineries</v>
      </c>
      <c r="E350" s="6" t="str">
        <f>VLOOKUP($A350,Technologies!$A$7:$H$576,6,FALSE)</f>
        <v>Bio Ethanol</v>
      </c>
      <c r="F350" s="48" t="str">
        <f>VLOOKUP($A350,Technologies!$A$7:$H$576,7,FALSE)</f>
        <v>Bioethanol from cellulosic biomass trough hydrolisis and fermentation - Refineries</v>
      </c>
      <c r="G350" s="22"/>
      <c r="H350" s="22"/>
      <c r="I350" s="103" cm="1">
        <f t="array" ref="I350">-SUMPRODUCT((Feedstocks!$C$4:$C$141=A350)*Feedstocks!$E$4:$E$141,Feedstocks!$F$4:$F$141,Feedstocks!$H$4:$H$141,Feedstocks!$I$4:$I$141)</f>
        <v>0</v>
      </c>
      <c r="J350" s="103" cm="1">
        <f t="array" ref="J350">-SUMPRODUCT((Feedstocks!$C$4:$C$141=A350)*Feedstocks!$E$4:$E$141,Feedstocks!$H$4:$H$141,Feedstocks!$I$4:$I$141)</f>
        <v>0</v>
      </c>
      <c r="K350" s="103"/>
      <c r="L350" s="103"/>
      <c r="M350" s="22">
        <v>1</v>
      </c>
      <c r="N350" s="22" t="str">
        <f>VLOOKUP(E350,Activities!$A$9:$M$227,13,FALSE)</f>
        <v>NL</v>
      </c>
      <c r="O350" s="22"/>
      <c r="P350" s="80" t="s">
        <v>415</v>
      </c>
      <c r="Q350" s="36"/>
      <c r="R350" s="36"/>
      <c r="S350" s="36"/>
      <c r="T350" s="36"/>
      <c r="U350" s="36"/>
      <c r="V350" s="36"/>
      <c r="W350" s="36"/>
      <c r="X350" s="36"/>
      <c r="Y350" s="36"/>
      <c r="Z350" s="36"/>
      <c r="AA350" s="36"/>
      <c r="AB350" s="36"/>
      <c r="AC350" s="36"/>
      <c r="AD350" s="36"/>
      <c r="AE350" s="36"/>
      <c r="AF350" s="35"/>
      <c r="AG350" s="35"/>
      <c r="AH350" s="35"/>
      <c r="AI350" s="35"/>
      <c r="AJ350" s="35"/>
      <c r="AK350" s="35"/>
      <c r="AL350" s="35"/>
      <c r="AM350" s="35"/>
      <c r="AN350" s="35"/>
      <c r="AO350" s="35"/>
      <c r="AP350" s="36"/>
      <c r="AQ350" s="36"/>
      <c r="AR350" s="36"/>
      <c r="AS350" s="36"/>
      <c r="AT350" s="36"/>
      <c r="AU350" s="36"/>
      <c r="AV350" s="36"/>
      <c r="AW350" s="36"/>
      <c r="AX350" s="36"/>
      <c r="AY350" s="36"/>
      <c r="AZ350" s="36"/>
      <c r="BA350" s="36"/>
      <c r="BB350" s="36"/>
      <c r="BC350" s="36"/>
      <c r="BD350" s="36"/>
      <c r="BE350" s="36"/>
      <c r="BF350" s="36"/>
      <c r="BG350" s="36"/>
      <c r="BH350" s="36"/>
      <c r="BI350" s="36"/>
      <c r="BJ350" s="36"/>
      <c r="BK350" s="36"/>
      <c r="BL350" s="36"/>
      <c r="BM350" s="36"/>
      <c r="BN350" s="36"/>
      <c r="BO350" s="36"/>
      <c r="BP350" s="36"/>
      <c r="BQ350" s="36"/>
      <c r="BR350" s="36"/>
      <c r="BS350" s="36"/>
      <c r="BT350" s="36"/>
      <c r="BU350" s="36"/>
      <c r="BV350" s="36"/>
      <c r="BW350" s="36"/>
      <c r="BX350" s="36"/>
      <c r="BY350" s="36"/>
      <c r="BZ350" s="36"/>
      <c r="CA350" s="36"/>
      <c r="CB350" s="36"/>
      <c r="CC350" s="36"/>
      <c r="CD350" s="36"/>
      <c r="CE350" s="36"/>
      <c r="CF350" s="36"/>
      <c r="CG350" s="36"/>
      <c r="CH350" s="36"/>
      <c r="CI350" s="36"/>
      <c r="CJ350" s="36"/>
      <c r="CK350" s="36"/>
      <c r="CL350" s="36"/>
      <c r="CM350" s="36"/>
      <c r="CN350" s="36"/>
      <c r="CO350" s="36"/>
      <c r="CP350" s="36"/>
      <c r="CQ350" s="36"/>
      <c r="CR350" s="36"/>
      <c r="CS350" s="36"/>
      <c r="CT350" s="36"/>
      <c r="CU350" s="36"/>
      <c r="CV350" s="36"/>
      <c r="CW350" s="36"/>
      <c r="CX350" s="36"/>
      <c r="CY350" s="36"/>
      <c r="CZ350" s="36"/>
      <c r="DA350" s="36"/>
      <c r="DB350" s="36"/>
      <c r="DC350" s="36"/>
      <c r="DD350" s="36"/>
      <c r="DE350" s="36"/>
      <c r="DF350" s="36"/>
      <c r="DG350" s="36"/>
      <c r="DH350" s="36">
        <v>-0.04</v>
      </c>
      <c r="DI350" s="36"/>
      <c r="DJ350" s="36"/>
      <c r="DK350" s="36"/>
      <c r="DL350" s="36"/>
      <c r="DM350" s="36"/>
      <c r="DN350" s="36"/>
      <c r="DO350" s="36"/>
      <c r="DP350" s="36">
        <v>-0.1</v>
      </c>
      <c r="DQ350" s="36"/>
      <c r="DR350" s="36"/>
      <c r="DS350" s="36"/>
      <c r="DT350" s="36"/>
      <c r="DU350" s="36"/>
      <c r="DV350" s="36"/>
      <c r="DW350" s="36"/>
      <c r="DX350" s="36"/>
      <c r="DY350" s="36"/>
      <c r="DZ350" s="36">
        <v>1</v>
      </c>
      <c r="EA350" s="36"/>
      <c r="EB350" s="36"/>
      <c r="EC350" s="36"/>
      <c r="ED350" s="36"/>
      <c r="EE350" s="36"/>
      <c r="EF350" s="36"/>
      <c r="EG350" s="36"/>
      <c r="EH350" s="36"/>
      <c r="EI350" s="36"/>
      <c r="EJ350" s="36"/>
      <c r="EK350" s="36"/>
      <c r="EL350" s="36"/>
      <c r="EM350" s="36"/>
      <c r="EN350" s="36"/>
      <c r="EO350" s="36"/>
      <c r="EP350" s="36"/>
      <c r="EQ350" s="36"/>
      <c r="ER350" s="36"/>
      <c r="ES350" s="36"/>
      <c r="ET350" s="36"/>
      <c r="EU350" s="36"/>
      <c r="EV350" s="36"/>
      <c r="EW350" s="36"/>
      <c r="EX350" s="36"/>
      <c r="EY350" s="36"/>
      <c r="EZ350" s="36"/>
      <c r="FA350" s="36">
        <v>-2</v>
      </c>
      <c r="FB350" s="36"/>
      <c r="FC350" s="36"/>
      <c r="FD350" s="36"/>
      <c r="FE350" s="36"/>
      <c r="FF350" s="36"/>
      <c r="FG350" s="36"/>
      <c r="FH350" s="36"/>
      <c r="FI350" s="36"/>
      <c r="FJ350" s="36"/>
      <c r="FK350" s="36"/>
      <c r="FL350" s="36"/>
      <c r="FM350" s="36"/>
      <c r="FN350" s="36"/>
      <c r="FO350" s="36"/>
      <c r="FP350" s="36"/>
      <c r="FQ350" s="36"/>
      <c r="FR350" s="36"/>
      <c r="FS350" s="36"/>
      <c r="FT350" s="36"/>
      <c r="FU350" s="36"/>
      <c r="FV350" s="36"/>
      <c r="FW350" s="36"/>
      <c r="FX350" s="36"/>
      <c r="FY350" s="36"/>
      <c r="FZ350" s="36"/>
      <c r="GA350" s="36"/>
      <c r="GB350" s="319"/>
      <c r="GC350" s="179">
        <f t="shared" si="64"/>
        <v>0</v>
      </c>
      <c r="GD350" s="179">
        <f t="shared" si="65"/>
        <v>0</v>
      </c>
      <c r="GE350" s="179">
        <f t="shared" si="66"/>
        <v>0</v>
      </c>
      <c r="GF350" s="179">
        <f t="shared" si="67"/>
        <v>0</v>
      </c>
      <c r="GG350" s="179">
        <f t="shared" si="69"/>
        <v>0</v>
      </c>
    </row>
    <row r="351" spans="1:189" x14ac:dyDescent="0.35">
      <c r="A351" s="5" t="s">
        <v>1506</v>
      </c>
      <c r="B351" s="5" t="str">
        <f>IF(Technologies!B351&lt;&gt;0,Technologies!B351,"")</f>
        <v>Industrie</v>
      </c>
      <c r="C351" s="5" t="str">
        <f>VLOOKUP($A351,Technologies!$A$7:$H$576,3,FALSE)</f>
        <v>Primary</v>
      </c>
      <c r="D351" s="5" t="str">
        <f>VLOOKUP($A351,Technologies!$A$7:$H$576,4,FALSE)</f>
        <v>Renewable</v>
      </c>
      <c r="E351" s="5" t="str">
        <f>VLOOKUP($A351,Technologies!$A$7:$H$576,6,FALSE)</f>
        <v>Bio Ethanol</v>
      </c>
      <c r="F351" s="5" t="str">
        <f>VLOOKUP($A351,Technologies!$A$7:$H$576,7,FALSE)</f>
        <v>Imported Bioethanol - Refineries</v>
      </c>
      <c r="G351" s="23"/>
      <c r="H351" s="23"/>
      <c r="I351" s="104" cm="1">
        <f t="array" ref="I351">-SUMPRODUCT((Feedstocks!$C$4:$C$141=A351)*Feedstocks!$E$4:$E$141,Feedstocks!$F$4:$F$141,Feedstocks!$H$4:$H$141,Feedstocks!$I$4:$I$141)</f>
        <v>0</v>
      </c>
      <c r="J351" s="104" cm="1">
        <f t="array" ref="J351">-SUMPRODUCT((Feedstocks!$C$4:$C$141=A351)*Feedstocks!$E$4:$E$141,Feedstocks!$H$4:$H$141,Feedstocks!$I$4:$I$141)</f>
        <v>0</v>
      </c>
      <c r="K351" s="104"/>
      <c r="L351" s="104"/>
      <c r="M351" s="23">
        <v>1</v>
      </c>
      <c r="N351" s="23" t="str">
        <f>VLOOKUP(E351,Activities!$A$9:$M$227,13,FALSE)</f>
        <v>NL</v>
      </c>
      <c r="O351" s="23"/>
      <c r="P351" s="79" t="s">
        <v>415</v>
      </c>
      <c r="Q351" s="35"/>
      <c r="R351" s="35"/>
      <c r="S351" s="35"/>
      <c r="T351" s="35"/>
      <c r="U351" s="35"/>
      <c r="V351" s="35"/>
      <c r="W351" s="35"/>
      <c r="X351" s="35"/>
      <c r="Y351" s="35"/>
      <c r="Z351" s="35"/>
      <c r="AA351" s="35"/>
      <c r="AB351" s="35"/>
      <c r="AC351" s="35"/>
      <c r="AD351" s="35"/>
      <c r="AE351" s="35"/>
      <c r="AF351" s="36"/>
      <c r="AG351" s="36"/>
      <c r="AH351" s="36"/>
      <c r="AI351" s="36"/>
      <c r="AJ351" s="36"/>
      <c r="AK351" s="36"/>
      <c r="AL351" s="36"/>
      <c r="AM351" s="36"/>
      <c r="AN351" s="36"/>
      <c r="AO351" s="36"/>
      <c r="AP351" s="35"/>
      <c r="AQ351" s="35"/>
      <c r="AR351" s="35"/>
      <c r="AS351" s="35"/>
      <c r="AT351" s="35"/>
      <c r="AU351" s="35"/>
      <c r="AV351" s="35"/>
      <c r="AW351" s="35"/>
      <c r="AX351" s="35"/>
      <c r="AY351" s="35"/>
      <c r="AZ351" s="35"/>
      <c r="BA351" s="35"/>
      <c r="BB351" s="35"/>
      <c r="BC351" s="35"/>
      <c r="BD351" s="35"/>
      <c r="BE351" s="35"/>
      <c r="BF351" s="35"/>
      <c r="BG351" s="35"/>
      <c r="BH351" s="35"/>
      <c r="BI351" s="35"/>
      <c r="BJ351" s="35"/>
      <c r="BK351" s="35"/>
      <c r="BL351" s="35"/>
      <c r="BM351" s="35"/>
      <c r="BN351" s="35"/>
      <c r="BO351" s="35"/>
      <c r="BP351" s="35"/>
      <c r="BQ351" s="35"/>
      <c r="BR351" s="35"/>
      <c r="BS351" s="35"/>
      <c r="BT351" s="35"/>
      <c r="BU351" s="35"/>
      <c r="BV351" s="35"/>
      <c r="BW351" s="35"/>
      <c r="BX351" s="35"/>
      <c r="BY351" s="35"/>
      <c r="BZ351" s="35"/>
      <c r="CA351" s="35"/>
      <c r="CB351" s="35"/>
      <c r="CC351" s="35"/>
      <c r="CD351" s="35"/>
      <c r="CE351" s="35"/>
      <c r="CF351" s="35"/>
      <c r="CG351" s="35"/>
      <c r="CH351" s="35"/>
      <c r="CI351" s="35"/>
      <c r="CJ351" s="35"/>
      <c r="CK351" s="35"/>
      <c r="CL351" s="35"/>
      <c r="CM351" s="35"/>
      <c r="CN351" s="35"/>
      <c r="CO351" s="35"/>
      <c r="CP351" s="35"/>
      <c r="CQ351" s="35"/>
      <c r="CR351" s="35"/>
      <c r="CS351" s="35"/>
      <c r="CT351" s="35"/>
      <c r="CU351" s="35"/>
      <c r="CV351" s="35"/>
      <c r="CW351" s="35"/>
      <c r="CX351" s="35"/>
      <c r="CY351" s="35"/>
      <c r="CZ351" s="35"/>
      <c r="DA351" s="35"/>
      <c r="DB351" s="35"/>
      <c r="DC351" s="35"/>
      <c r="DD351" s="35"/>
      <c r="DE351" s="35"/>
      <c r="DF351" s="35"/>
      <c r="DG351" s="35"/>
      <c r="DH351" s="35"/>
      <c r="DI351" s="35"/>
      <c r="DJ351" s="35"/>
      <c r="DK351" s="35"/>
      <c r="DL351" s="35"/>
      <c r="DM351" s="35"/>
      <c r="DN351" s="35"/>
      <c r="DO351" s="35"/>
      <c r="DP351" s="35"/>
      <c r="DQ351" s="35"/>
      <c r="DR351" s="35"/>
      <c r="DS351" s="35"/>
      <c r="DT351" s="35"/>
      <c r="DU351" s="35"/>
      <c r="DV351" s="35"/>
      <c r="DW351" s="35"/>
      <c r="DX351" s="35"/>
      <c r="DY351" s="35"/>
      <c r="DZ351" s="35">
        <v>1</v>
      </c>
      <c r="EA351" s="35"/>
      <c r="EB351" s="35"/>
      <c r="EC351" s="35"/>
      <c r="ED351" s="35"/>
      <c r="EE351" s="35"/>
      <c r="EF351" s="35"/>
      <c r="EG351" s="35"/>
      <c r="EH351" s="35"/>
      <c r="EI351" s="35"/>
      <c r="EJ351" s="35"/>
      <c r="EK351" s="35"/>
      <c r="EL351" s="35"/>
      <c r="EM351" s="35"/>
      <c r="EN351" s="35"/>
      <c r="EO351" s="35"/>
      <c r="EP351" s="35"/>
      <c r="EQ351" s="35"/>
      <c r="ER351" s="35"/>
      <c r="ES351" s="35"/>
      <c r="ET351" s="35"/>
      <c r="EU351" s="35"/>
      <c r="EV351" s="35"/>
      <c r="EW351" s="35"/>
      <c r="EX351" s="35"/>
      <c r="EY351" s="35"/>
      <c r="EZ351" s="35"/>
      <c r="FA351" s="35"/>
      <c r="FB351" s="35"/>
      <c r="FC351" s="35"/>
      <c r="FD351" s="35"/>
      <c r="FE351" s="35"/>
      <c r="FF351" s="35"/>
      <c r="FG351" s="35"/>
      <c r="FH351" s="35"/>
      <c r="FI351" s="35"/>
      <c r="FJ351" s="35"/>
      <c r="FK351" s="35"/>
      <c r="FL351" s="35"/>
      <c r="FM351" s="35"/>
      <c r="FN351" s="35"/>
      <c r="FO351" s="35"/>
      <c r="FP351" s="35"/>
      <c r="FQ351" s="35"/>
      <c r="FR351" s="35"/>
      <c r="FS351" s="35"/>
      <c r="FT351" s="35"/>
      <c r="FU351" s="35"/>
      <c r="FV351" s="35"/>
      <c r="FW351" s="35"/>
      <c r="FX351" s="35"/>
      <c r="FY351" s="35"/>
      <c r="FZ351" s="35"/>
      <c r="GA351" s="35"/>
      <c r="GB351" s="318"/>
      <c r="GC351" s="178">
        <f t="shared" si="64"/>
        <v>0</v>
      </c>
      <c r="GD351" s="178">
        <f t="shared" si="65"/>
        <v>0</v>
      </c>
      <c r="GE351" s="178">
        <f t="shared" si="66"/>
        <v>0</v>
      </c>
      <c r="GF351" s="178">
        <f t="shared" si="67"/>
        <v>0</v>
      </c>
      <c r="GG351" s="178">
        <f t="shared" si="69"/>
        <v>0</v>
      </c>
    </row>
    <row r="352" spans="1:189" x14ac:dyDescent="0.35">
      <c r="A352" s="6" t="s">
        <v>1508</v>
      </c>
      <c r="B352" s="6" t="str">
        <f>IF(Technologies!B352&lt;&gt;0,Technologies!B352,"")</f>
        <v>Industrie</v>
      </c>
      <c r="C352" s="6" t="str">
        <f>VLOOKUP($A352,Technologies!$A$7:$H$576,3,FALSE)</f>
        <v>Conversion</v>
      </c>
      <c r="D352" s="6" t="str">
        <f>VLOOKUP($A352,Technologies!$A$7:$H$576,4,FALSE)</f>
        <v>Refineries</v>
      </c>
      <c r="E352" s="6" t="str">
        <f>VLOOKUP($A352,Technologies!$A$7:$H$576,6,FALSE)</f>
        <v>Bio Diesel</v>
      </c>
      <c r="F352" s="48" t="str">
        <f>VLOOKUP($A352,Technologies!$A$7:$H$576,7,FALSE)</f>
        <v>Biodiesel from FAME  - Refineries</v>
      </c>
      <c r="G352" s="22"/>
      <c r="H352" s="22"/>
      <c r="I352" s="103" cm="1">
        <f t="array" ref="I352">-SUMPRODUCT((Feedstocks!$C$4:$C$141=A352)*Feedstocks!$E$4:$E$141,Feedstocks!$F$4:$F$141,Feedstocks!$H$4:$H$141,Feedstocks!$I$4:$I$141)</f>
        <v>0</v>
      </c>
      <c r="J352" s="103" cm="1">
        <f t="array" ref="J352">-SUMPRODUCT((Feedstocks!$C$4:$C$141=A352)*Feedstocks!$E$4:$E$141,Feedstocks!$H$4:$H$141,Feedstocks!$I$4:$I$141)</f>
        <v>0</v>
      </c>
      <c r="K352" s="103"/>
      <c r="L352" s="103"/>
      <c r="M352" s="22">
        <v>1</v>
      </c>
      <c r="N352" s="22" t="str">
        <f>VLOOKUP(E352,Activities!$A$9:$M$227,13,FALSE)</f>
        <v>NL</v>
      </c>
      <c r="O352" s="22"/>
      <c r="P352" s="80" t="s">
        <v>415</v>
      </c>
      <c r="Q352" s="36"/>
      <c r="R352" s="36"/>
      <c r="S352" s="36"/>
      <c r="T352" s="36"/>
      <c r="U352" s="36"/>
      <c r="V352" s="36"/>
      <c r="W352" s="36"/>
      <c r="X352" s="36"/>
      <c r="Y352" s="36"/>
      <c r="Z352" s="36"/>
      <c r="AA352" s="36"/>
      <c r="AB352" s="36"/>
      <c r="AC352" s="36"/>
      <c r="AD352" s="36"/>
      <c r="AE352" s="36"/>
      <c r="AF352" s="35"/>
      <c r="AG352" s="35"/>
      <c r="AH352" s="35"/>
      <c r="AI352" s="35"/>
      <c r="AJ352" s="35"/>
      <c r="AK352" s="35"/>
      <c r="AL352" s="35"/>
      <c r="AM352" s="35"/>
      <c r="AN352" s="35"/>
      <c r="AO352" s="35"/>
      <c r="AP352" s="36"/>
      <c r="AQ352" s="36"/>
      <c r="AR352" s="36"/>
      <c r="AS352" s="36"/>
      <c r="AT352" s="36"/>
      <c r="AU352" s="36"/>
      <c r="AV352" s="36"/>
      <c r="AW352" s="36"/>
      <c r="AX352" s="36"/>
      <c r="AY352" s="36"/>
      <c r="AZ352" s="36"/>
      <c r="BA352" s="36"/>
      <c r="BB352" s="36"/>
      <c r="BC352" s="36"/>
      <c r="BD352" s="36"/>
      <c r="BE352" s="36"/>
      <c r="BF352" s="36"/>
      <c r="BG352" s="36"/>
      <c r="BH352" s="36"/>
      <c r="BI352" s="36"/>
      <c r="BJ352" s="36"/>
      <c r="BK352" s="36"/>
      <c r="BL352" s="36"/>
      <c r="BM352" s="36"/>
      <c r="BN352" s="36"/>
      <c r="BO352" s="36"/>
      <c r="BP352" s="36"/>
      <c r="BQ352" s="36"/>
      <c r="BR352" s="36"/>
      <c r="BS352" s="36"/>
      <c r="BT352" s="36"/>
      <c r="BU352" s="36"/>
      <c r="BV352" s="36"/>
      <c r="BW352" s="36"/>
      <c r="BX352" s="36"/>
      <c r="BY352" s="36"/>
      <c r="BZ352" s="36"/>
      <c r="CA352" s="36"/>
      <c r="CB352" s="36"/>
      <c r="CC352" s="36"/>
      <c r="CD352" s="36"/>
      <c r="CE352" s="36"/>
      <c r="CF352" s="36"/>
      <c r="CG352" s="36"/>
      <c r="CH352" s="36"/>
      <c r="CI352" s="36"/>
      <c r="CJ352" s="36"/>
      <c r="CK352" s="36"/>
      <c r="CL352" s="36"/>
      <c r="CM352" s="36"/>
      <c r="CN352" s="36"/>
      <c r="CO352" s="36"/>
      <c r="CP352" s="36"/>
      <c r="CQ352" s="36"/>
      <c r="CR352" s="36"/>
      <c r="CS352" s="36"/>
      <c r="CT352" s="36"/>
      <c r="CU352" s="36"/>
      <c r="CV352" s="36"/>
      <c r="CW352" s="36"/>
      <c r="CX352" s="36"/>
      <c r="CY352" s="36"/>
      <c r="CZ352" s="36"/>
      <c r="DA352" s="36"/>
      <c r="DB352" s="36"/>
      <c r="DC352" s="36"/>
      <c r="DD352" s="36"/>
      <c r="DE352" s="36"/>
      <c r="DF352" s="36"/>
      <c r="DG352" s="36"/>
      <c r="DH352" s="36">
        <v>-1.72759930220075E-2</v>
      </c>
      <c r="DI352" s="36"/>
      <c r="DJ352" s="36"/>
      <c r="DK352" s="36"/>
      <c r="DL352" s="36"/>
      <c r="DM352" s="36"/>
      <c r="DN352" s="36"/>
      <c r="DO352" s="36">
        <v>-0.170568632581857</v>
      </c>
      <c r="DP352" s="36"/>
      <c r="DQ352" s="36"/>
      <c r="DR352" s="36"/>
      <c r="DS352" s="36"/>
      <c r="DT352" s="36"/>
      <c r="DU352" s="36"/>
      <c r="DV352" s="36"/>
      <c r="DW352" s="36"/>
      <c r="DX352" s="36"/>
      <c r="DY352" s="36"/>
      <c r="DZ352" s="36"/>
      <c r="EA352" s="36">
        <v>1</v>
      </c>
      <c r="EB352" s="36"/>
      <c r="EC352" s="36"/>
      <c r="ED352" s="36"/>
      <c r="EE352" s="36"/>
      <c r="EF352" s="36"/>
      <c r="EG352" s="36"/>
      <c r="EH352" s="36"/>
      <c r="EI352" s="36"/>
      <c r="EJ352" s="36"/>
      <c r="EK352" s="36"/>
      <c r="EL352" s="36"/>
      <c r="EM352" s="36"/>
      <c r="EN352" s="36"/>
      <c r="EO352" s="36"/>
      <c r="EP352" s="36"/>
      <c r="EQ352" s="36"/>
      <c r="ER352" s="36"/>
      <c r="ES352" s="36"/>
      <c r="ET352" s="36"/>
      <c r="EU352" s="36"/>
      <c r="EV352" s="36"/>
      <c r="EW352" s="36"/>
      <c r="EX352" s="36"/>
      <c r="EY352" s="36"/>
      <c r="EZ352" s="36"/>
      <c r="FA352" s="36"/>
      <c r="FB352" s="36"/>
      <c r="FC352" s="36"/>
      <c r="FD352" s="36"/>
      <c r="FE352" s="36"/>
      <c r="FF352" s="36"/>
      <c r="FG352" s="36"/>
      <c r="FH352" s="36">
        <v>-1.7</v>
      </c>
      <c r="FI352" s="36"/>
      <c r="FJ352" s="36"/>
      <c r="FK352" s="36"/>
      <c r="FL352" s="36"/>
      <c r="FM352" s="36"/>
      <c r="FN352" s="36"/>
      <c r="FO352" s="36"/>
      <c r="FP352" s="36"/>
      <c r="FQ352" s="36"/>
      <c r="FR352" s="36"/>
      <c r="FS352" s="36"/>
      <c r="FT352" s="36"/>
      <c r="FU352" s="36"/>
      <c r="FV352" s="36"/>
      <c r="FW352" s="36"/>
      <c r="FX352" s="36"/>
      <c r="FY352" s="36"/>
      <c r="FZ352" s="36"/>
      <c r="GA352" s="36"/>
      <c r="GB352" s="319"/>
      <c r="GC352" s="179">
        <f t="shared" si="64"/>
        <v>0</v>
      </c>
      <c r="GD352" s="179">
        <f t="shared" si="65"/>
        <v>0</v>
      </c>
      <c r="GE352" s="179">
        <f t="shared" si="66"/>
        <v>0</v>
      </c>
      <c r="GF352" s="179">
        <f t="shared" si="67"/>
        <v>0</v>
      </c>
      <c r="GG352" s="179">
        <f t="shared" si="69"/>
        <v>0</v>
      </c>
    </row>
    <row r="353" spans="1:342" x14ac:dyDescent="0.35">
      <c r="A353" s="5" t="s">
        <v>1510</v>
      </c>
      <c r="B353" s="5" t="str">
        <f>IF(Technologies!B353&lt;&gt;0,Technologies!B353,"")</f>
        <v>Industrie</v>
      </c>
      <c r="C353" s="5" t="str">
        <f>VLOOKUP($A353,Technologies!$A$7:$H$576,3,FALSE)</f>
        <v>Conversion</v>
      </c>
      <c r="D353" s="5" t="str">
        <f>VLOOKUP($A353,Technologies!$A$7:$H$576,4,FALSE)</f>
        <v>Refineries</v>
      </c>
      <c r="E353" s="5" t="str">
        <f>VLOOKUP($A353,Technologies!$A$7:$H$576,6,FALSE)</f>
        <v>Bio Diesel</v>
      </c>
      <c r="F353" s="5" t="str">
        <f>VLOOKUP($A353,Technologies!$A$7:$H$576,7,FALSE)</f>
        <v>Biodiesel oriented hydro pyrolisis - Refineries</v>
      </c>
      <c r="G353" s="23"/>
      <c r="H353" s="23"/>
      <c r="I353" s="104" cm="1">
        <f t="array" ref="I353">-SUMPRODUCT((Feedstocks!$C$4:$C$141=A353)*Feedstocks!$E$4:$E$141,Feedstocks!$F$4:$F$141,Feedstocks!$H$4:$H$141,Feedstocks!$I$4:$I$141)</f>
        <v>0</v>
      </c>
      <c r="J353" s="104" cm="1">
        <f t="array" ref="J353">-SUMPRODUCT((Feedstocks!$C$4:$C$141=A353)*Feedstocks!$E$4:$E$141,Feedstocks!$H$4:$H$141,Feedstocks!$I$4:$I$141)</f>
        <v>0</v>
      </c>
      <c r="K353" s="104"/>
      <c r="L353" s="104"/>
      <c r="M353" s="23">
        <v>1</v>
      </c>
      <c r="N353" s="23" t="str">
        <f>VLOOKUP(E353,Activities!$A$9:$M$227,13,FALSE)</f>
        <v>NL</v>
      </c>
      <c r="O353" s="23"/>
      <c r="P353" s="79" t="s">
        <v>1512</v>
      </c>
      <c r="Q353" s="35"/>
      <c r="R353" s="35"/>
      <c r="S353" s="35"/>
      <c r="T353" s="35"/>
      <c r="U353" s="35"/>
      <c r="V353" s="35"/>
      <c r="W353" s="35"/>
      <c r="X353" s="35"/>
      <c r="Y353" s="35"/>
      <c r="Z353" s="35"/>
      <c r="AA353" s="35"/>
      <c r="AB353" s="35"/>
      <c r="AC353" s="35"/>
      <c r="AD353" s="35"/>
      <c r="AE353" s="35"/>
      <c r="AF353" s="36"/>
      <c r="AG353" s="36"/>
      <c r="AH353" s="36"/>
      <c r="AI353" s="36"/>
      <c r="AJ353" s="36"/>
      <c r="AK353" s="36"/>
      <c r="AL353" s="36"/>
      <c r="AM353" s="36"/>
      <c r="AN353" s="36"/>
      <c r="AO353" s="36"/>
      <c r="AP353" s="35"/>
      <c r="AQ353" s="35"/>
      <c r="AR353" s="35"/>
      <c r="AS353" s="35"/>
      <c r="AT353" s="35"/>
      <c r="AU353" s="35"/>
      <c r="AV353" s="35"/>
      <c r="AW353" s="35"/>
      <c r="AX353" s="35"/>
      <c r="AY353" s="35"/>
      <c r="AZ353" s="35"/>
      <c r="BA353" s="35"/>
      <c r="BB353" s="35"/>
      <c r="BC353" s="35"/>
      <c r="BD353" s="35"/>
      <c r="BE353" s="35"/>
      <c r="BF353" s="35"/>
      <c r="BG353" s="35"/>
      <c r="BH353" s="35"/>
      <c r="BI353" s="35"/>
      <c r="BJ353" s="35"/>
      <c r="BK353" s="35"/>
      <c r="BL353" s="35"/>
      <c r="BM353" s="35"/>
      <c r="BN353" s="35"/>
      <c r="BO353" s="35"/>
      <c r="BP353" s="35"/>
      <c r="BQ353" s="35"/>
      <c r="BR353" s="35"/>
      <c r="BS353" s="35"/>
      <c r="BT353" s="35"/>
      <c r="BU353" s="35"/>
      <c r="BV353" s="35"/>
      <c r="BW353" s="35"/>
      <c r="BX353" s="35"/>
      <c r="BY353" s="35"/>
      <c r="BZ353" s="35"/>
      <c r="CA353" s="35"/>
      <c r="CB353" s="35"/>
      <c r="CC353" s="35"/>
      <c r="CD353" s="35"/>
      <c r="CE353" s="35"/>
      <c r="CF353" s="35"/>
      <c r="CG353" s="35"/>
      <c r="CH353" s="35"/>
      <c r="CI353" s="35"/>
      <c r="CJ353" s="35"/>
      <c r="CK353" s="35"/>
      <c r="CL353" s="35"/>
      <c r="CM353" s="35"/>
      <c r="CN353" s="35"/>
      <c r="CO353" s="35"/>
      <c r="CP353" s="35"/>
      <c r="CQ353" s="35"/>
      <c r="CR353" s="35"/>
      <c r="CS353" s="35"/>
      <c r="CT353" s="35"/>
      <c r="CU353" s="35"/>
      <c r="CV353" s="35"/>
      <c r="CW353" s="35"/>
      <c r="CX353" s="35"/>
      <c r="CY353" s="35"/>
      <c r="CZ353" s="35"/>
      <c r="DA353" s="35"/>
      <c r="DB353" s="35"/>
      <c r="DC353" s="35"/>
      <c r="DD353" s="35"/>
      <c r="DE353" s="35"/>
      <c r="DF353" s="35"/>
      <c r="DG353" s="35"/>
      <c r="DH353" s="35">
        <v>-7.0000000000000007E-2</v>
      </c>
      <c r="DI353" s="35"/>
      <c r="DJ353" s="35"/>
      <c r="DK353" s="35"/>
      <c r="DL353" s="35"/>
      <c r="DM353" s="35"/>
      <c r="DN353" s="35"/>
      <c r="DO353" s="35">
        <v>-0.34</v>
      </c>
      <c r="DP353" s="35"/>
      <c r="DQ353" s="35"/>
      <c r="DR353" s="35"/>
      <c r="DS353" s="35"/>
      <c r="DT353" s="35"/>
      <c r="DU353" s="35"/>
      <c r="DV353" s="35"/>
      <c r="DW353" s="35"/>
      <c r="DX353" s="35"/>
      <c r="DY353" s="35">
        <v>0.5</v>
      </c>
      <c r="DZ353" s="35"/>
      <c r="EA353" s="35">
        <v>1</v>
      </c>
      <c r="EB353" s="35">
        <v>0.5</v>
      </c>
      <c r="EC353" s="35"/>
      <c r="ED353" s="35"/>
      <c r="EE353" s="35"/>
      <c r="EF353" s="35"/>
      <c r="EG353" s="35"/>
      <c r="EH353" s="35"/>
      <c r="EI353" s="35"/>
      <c r="EJ353" s="35"/>
      <c r="EK353" s="35"/>
      <c r="EL353" s="35"/>
      <c r="EM353" s="35">
        <v>-0.4</v>
      </c>
      <c r="EN353" s="35"/>
      <c r="EO353" s="35"/>
      <c r="EP353" s="35"/>
      <c r="EQ353" s="35"/>
      <c r="ER353" s="35">
        <v>-2.36</v>
      </c>
      <c r="ES353" s="35"/>
      <c r="ET353" s="35"/>
      <c r="EU353" s="35"/>
      <c r="EV353" s="35"/>
      <c r="EW353" s="35"/>
      <c r="EX353" s="35"/>
      <c r="EY353" s="35"/>
      <c r="EZ353" s="35"/>
      <c r="FA353" s="35"/>
      <c r="FB353" s="35"/>
      <c r="FC353" s="35"/>
      <c r="FD353" s="35"/>
      <c r="FE353" s="35"/>
      <c r="FF353" s="35"/>
      <c r="FG353" s="35"/>
      <c r="FH353" s="35"/>
      <c r="FI353" s="35"/>
      <c r="FJ353" s="35"/>
      <c r="FK353" s="35"/>
      <c r="FL353" s="35"/>
      <c r="FM353" s="35"/>
      <c r="FN353" s="35"/>
      <c r="FO353" s="35"/>
      <c r="FP353" s="35"/>
      <c r="FQ353" s="35"/>
      <c r="FR353" s="35"/>
      <c r="FS353" s="35"/>
      <c r="FT353" s="35"/>
      <c r="FU353" s="35"/>
      <c r="FV353" s="35"/>
      <c r="FW353" s="35"/>
      <c r="FX353" s="35"/>
      <c r="FY353" s="35"/>
      <c r="FZ353" s="35"/>
      <c r="GA353" s="35"/>
      <c r="GB353" s="318"/>
      <c r="GC353" s="178">
        <f t="shared" si="64"/>
        <v>0</v>
      </c>
      <c r="GD353" s="178">
        <f t="shared" si="65"/>
        <v>0</v>
      </c>
      <c r="GE353" s="178">
        <f t="shared" si="66"/>
        <v>0</v>
      </c>
      <c r="GF353" s="178">
        <f t="shared" si="67"/>
        <v>0</v>
      </c>
      <c r="GG353" s="178">
        <f t="shared" si="69"/>
        <v>0</v>
      </c>
    </row>
    <row r="354" spans="1:342" x14ac:dyDescent="0.35">
      <c r="A354" s="6" t="s">
        <v>1513</v>
      </c>
      <c r="B354" s="6" t="str">
        <f>IF(Technologies!B354&lt;&gt;0,Technologies!B354,"")</f>
        <v>Industrie</v>
      </c>
      <c r="C354" s="6" t="str">
        <f>VLOOKUP($A354,Technologies!$A$7:$H$576,3,FALSE)</f>
        <v>Primary</v>
      </c>
      <c r="D354" s="6" t="str">
        <f>VLOOKUP($A354,Technologies!$A$7:$H$576,4,FALSE)</f>
        <v>Renewable</v>
      </c>
      <c r="E354" s="6" t="str">
        <f>VLOOKUP($A354,Technologies!$A$7:$H$576,6,FALSE)</f>
        <v>Bio Diesel</v>
      </c>
      <c r="F354" s="48" t="str">
        <f>VLOOKUP($A354,Technologies!$A$7:$H$576,7,FALSE)</f>
        <v>Imported Biodiesel - Refineries</v>
      </c>
      <c r="G354" s="22"/>
      <c r="H354" s="22"/>
      <c r="I354" s="103" cm="1">
        <f t="array" ref="I354">-SUMPRODUCT((Feedstocks!$C$4:$C$141=A354)*Feedstocks!$E$4:$E$141,Feedstocks!$F$4:$F$141,Feedstocks!$H$4:$H$141,Feedstocks!$I$4:$I$141)</f>
        <v>0</v>
      </c>
      <c r="J354" s="103" cm="1">
        <f t="array" ref="J354">-SUMPRODUCT((Feedstocks!$C$4:$C$141=A354)*Feedstocks!$E$4:$E$141,Feedstocks!$H$4:$H$141,Feedstocks!$I$4:$I$141)</f>
        <v>0</v>
      </c>
      <c r="K354" s="103"/>
      <c r="L354" s="103"/>
      <c r="M354" s="22">
        <v>1</v>
      </c>
      <c r="N354" s="22" t="str">
        <f>VLOOKUP(E354,Activities!$A$9:$M$227,13,FALSE)</f>
        <v>NL</v>
      </c>
      <c r="O354" s="22"/>
      <c r="P354" s="80" t="s">
        <v>415</v>
      </c>
      <c r="Q354" s="36"/>
      <c r="R354" s="36"/>
      <c r="S354" s="36"/>
      <c r="T354" s="36"/>
      <c r="U354" s="36"/>
      <c r="V354" s="36"/>
      <c r="W354" s="36"/>
      <c r="X354" s="36"/>
      <c r="Y354" s="36"/>
      <c r="Z354" s="36"/>
      <c r="AA354" s="36"/>
      <c r="AB354" s="36"/>
      <c r="AC354" s="36"/>
      <c r="AD354" s="36"/>
      <c r="AE354" s="36"/>
      <c r="AF354" s="35"/>
      <c r="AG354" s="35"/>
      <c r="AH354" s="35"/>
      <c r="AI354" s="35"/>
      <c r="AJ354" s="35"/>
      <c r="AK354" s="35"/>
      <c r="AL354" s="35"/>
      <c r="AM354" s="35"/>
      <c r="AN354" s="35"/>
      <c r="AO354" s="35"/>
      <c r="AP354" s="36"/>
      <c r="AQ354" s="36"/>
      <c r="AR354" s="36"/>
      <c r="AS354" s="36"/>
      <c r="AT354" s="36"/>
      <c r="AU354" s="36"/>
      <c r="AV354" s="36"/>
      <c r="AW354" s="36"/>
      <c r="AX354" s="36"/>
      <c r="AY354" s="36"/>
      <c r="AZ354" s="36"/>
      <c r="BA354" s="36"/>
      <c r="BB354" s="36"/>
      <c r="BC354" s="36"/>
      <c r="BD354" s="36"/>
      <c r="BE354" s="36"/>
      <c r="BF354" s="36"/>
      <c r="BG354" s="36"/>
      <c r="BH354" s="36"/>
      <c r="BI354" s="36"/>
      <c r="BJ354" s="36"/>
      <c r="BK354" s="36"/>
      <c r="BL354" s="36"/>
      <c r="BM354" s="36"/>
      <c r="BN354" s="36"/>
      <c r="BO354" s="36"/>
      <c r="BP354" s="36"/>
      <c r="BQ354" s="36"/>
      <c r="BR354" s="36"/>
      <c r="BS354" s="36"/>
      <c r="BT354" s="36"/>
      <c r="BU354" s="36"/>
      <c r="BV354" s="36"/>
      <c r="BW354" s="36"/>
      <c r="BX354" s="36"/>
      <c r="BY354" s="36"/>
      <c r="BZ354" s="36"/>
      <c r="CA354" s="36"/>
      <c r="CB354" s="36"/>
      <c r="CC354" s="36"/>
      <c r="CD354" s="36"/>
      <c r="CE354" s="36"/>
      <c r="CF354" s="36"/>
      <c r="CG354" s="36"/>
      <c r="CH354" s="36"/>
      <c r="CI354" s="36"/>
      <c r="CJ354" s="36"/>
      <c r="CK354" s="36"/>
      <c r="CL354" s="36"/>
      <c r="CM354" s="36"/>
      <c r="CN354" s="36"/>
      <c r="CO354" s="36"/>
      <c r="CP354" s="36"/>
      <c r="CQ354" s="36"/>
      <c r="CR354" s="36"/>
      <c r="CS354" s="36"/>
      <c r="CT354" s="36"/>
      <c r="CU354" s="36"/>
      <c r="CV354" s="36"/>
      <c r="CW354" s="36"/>
      <c r="CX354" s="36"/>
      <c r="CY354" s="36"/>
      <c r="CZ354" s="36"/>
      <c r="DA354" s="36"/>
      <c r="DB354" s="36"/>
      <c r="DC354" s="36"/>
      <c r="DD354" s="36"/>
      <c r="DE354" s="36"/>
      <c r="DF354" s="36"/>
      <c r="DG354" s="36"/>
      <c r="DH354" s="36"/>
      <c r="DI354" s="36"/>
      <c r="DJ354" s="36"/>
      <c r="DK354" s="36"/>
      <c r="DL354" s="36"/>
      <c r="DM354" s="36"/>
      <c r="DN354" s="36"/>
      <c r="DO354" s="36"/>
      <c r="DP354" s="36"/>
      <c r="DQ354" s="36"/>
      <c r="DR354" s="36"/>
      <c r="DS354" s="36"/>
      <c r="DT354" s="36"/>
      <c r="DU354" s="36"/>
      <c r="DV354" s="36"/>
      <c r="DW354" s="36"/>
      <c r="DX354" s="36"/>
      <c r="DY354" s="36"/>
      <c r="DZ354" s="36"/>
      <c r="EA354" s="36">
        <v>1</v>
      </c>
      <c r="EB354" s="36"/>
      <c r="EC354" s="36"/>
      <c r="ED354" s="36"/>
      <c r="EE354" s="36"/>
      <c r="EF354" s="36"/>
      <c r="EG354" s="36"/>
      <c r="EH354" s="36"/>
      <c r="EI354" s="36"/>
      <c r="EJ354" s="36"/>
      <c r="EK354" s="36"/>
      <c r="EL354" s="36"/>
      <c r="EM354" s="36"/>
      <c r="EN354" s="36"/>
      <c r="EO354" s="36"/>
      <c r="EP354" s="36"/>
      <c r="EQ354" s="36"/>
      <c r="ER354" s="36"/>
      <c r="ES354" s="36"/>
      <c r="ET354" s="36"/>
      <c r="EU354" s="36"/>
      <c r="EV354" s="36"/>
      <c r="EW354" s="36"/>
      <c r="EX354" s="36"/>
      <c r="EY354" s="36"/>
      <c r="EZ354" s="36"/>
      <c r="FA354" s="36"/>
      <c r="FB354" s="36"/>
      <c r="FC354" s="36"/>
      <c r="FD354" s="36"/>
      <c r="FE354" s="36"/>
      <c r="FF354" s="36"/>
      <c r="FG354" s="36"/>
      <c r="FH354" s="36"/>
      <c r="FI354" s="36"/>
      <c r="FJ354" s="36"/>
      <c r="FK354" s="36"/>
      <c r="FL354" s="36"/>
      <c r="FM354" s="36"/>
      <c r="FN354" s="36"/>
      <c r="FO354" s="36"/>
      <c r="FP354" s="36"/>
      <c r="FQ354" s="36"/>
      <c r="FR354" s="36"/>
      <c r="FS354" s="36"/>
      <c r="FT354" s="36"/>
      <c r="FU354" s="36"/>
      <c r="FV354" s="36"/>
      <c r="FW354" s="36"/>
      <c r="FX354" s="36"/>
      <c r="FY354" s="36"/>
      <c r="FZ354" s="36"/>
      <c r="GA354" s="36"/>
      <c r="GB354" s="319"/>
      <c r="GC354" s="179">
        <f t="shared" si="64"/>
        <v>0</v>
      </c>
      <c r="GD354" s="179">
        <f t="shared" si="65"/>
        <v>0</v>
      </c>
      <c r="GE354" s="179">
        <f t="shared" si="66"/>
        <v>0</v>
      </c>
      <c r="GF354" s="179">
        <f t="shared" si="67"/>
        <v>0</v>
      </c>
      <c r="GG354" s="179">
        <f t="shared" si="69"/>
        <v>0</v>
      </c>
    </row>
    <row r="355" spans="1:342" x14ac:dyDescent="0.35">
      <c r="A355" s="5" t="s">
        <v>1515</v>
      </c>
      <c r="B355" s="5" t="str">
        <f>IF(Technologies!B355&lt;&gt;0,Technologies!B355,"")</f>
        <v>Industrie</v>
      </c>
      <c r="C355" s="5" t="str">
        <f>VLOOKUP($A355,Technologies!$A$7:$H$576,3,FALSE)</f>
        <v>Conversion</v>
      </c>
      <c r="D355" s="5" t="str">
        <f>VLOOKUP($A355,Technologies!$A$7:$H$576,4,FALSE)</f>
        <v>Refineries</v>
      </c>
      <c r="E355" s="5" t="str">
        <f>VLOOKUP($A355,Technologies!$A$7:$H$576,6,FALSE)</f>
        <v>Bio Kerosene</v>
      </c>
      <c r="F355" s="5" t="str">
        <f>VLOOKUP($A355,Technologies!$A$7:$H$576,7,FALSE)</f>
        <v>Biokerosene oriented hydro pyrolisis - Refineries</v>
      </c>
      <c r="G355" s="23"/>
      <c r="H355" s="23"/>
      <c r="I355" s="104" cm="1">
        <f t="array" ref="I355">-SUMPRODUCT((Feedstocks!$C$4:$C$141=A355)*Feedstocks!$E$4:$E$141,Feedstocks!$F$4:$F$141,Feedstocks!$H$4:$H$141,Feedstocks!$I$4:$I$141)</f>
        <v>0</v>
      </c>
      <c r="J355" s="104" cm="1">
        <f t="array" ref="J355">-SUMPRODUCT((Feedstocks!$C$4:$C$141=A355)*Feedstocks!$E$4:$E$141,Feedstocks!$H$4:$H$141,Feedstocks!$I$4:$I$141)</f>
        <v>0</v>
      </c>
      <c r="K355" s="104"/>
      <c r="L355" s="104"/>
      <c r="M355" s="23">
        <v>1</v>
      </c>
      <c r="N355" s="23" t="str">
        <f>VLOOKUP(E355,Activities!$A$9:$M$227,13,FALSE)</f>
        <v>NL</v>
      </c>
      <c r="O355" s="23"/>
      <c r="P355" s="79" t="s">
        <v>1512</v>
      </c>
      <c r="Q355" s="35"/>
      <c r="R355" s="35"/>
      <c r="S355" s="35"/>
      <c r="T355" s="35"/>
      <c r="U355" s="35"/>
      <c r="V355" s="35"/>
      <c r="W355" s="35"/>
      <c r="X355" s="35"/>
      <c r="Y355" s="35"/>
      <c r="Z355" s="35"/>
      <c r="AA355" s="35"/>
      <c r="AB355" s="35"/>
      <c r="AC355" s="35"/>
      <c r="AD355" s="35"/>
      <c r="AE355" s="35"/>
      <c r="AF355" s="36"/>
      <c r="AG355" s="36"/>
      <c r="AH355" s="36"/>
      <c r="AI355" s="36"/>
      <c r="AJ355" s="36"/>
      <c r="AK355" s="36"/>
      <c r="AL355" s="36"/>
      <c r="AM355" s="36"/>
      <c r="AN355" s="36"/>
      <c r="AO355" s="36"/>
      <c r="AP355" s="35"/>
      <c r="AQ355" s="35"/>
      <c r="AR355" s="35"/>
      <c r="AS355" s="35"/>
      <c r="AT355" s="35"/>
      <c r="AU355" s="35"/>
      <c r="AV355" s="35"/>
      <c r="AW355" s="35"/>
      <c r="AX355" s="35"/>
      <c r="AY355" s="35"/>
      <c r="AZ355" s="35"/>
      <c r="BA355" s="35"/>
      <c r="BB355" s="35"/>
      <c r="BC355" s="35"/>
      <c r="BD355" s="35"/>
      <c r="BE355" s="35"/>
      <c r="BF355" s="35"/>
      <c r="BG355" s="35"/>
      <c r="BH355" s="35"/>
      <c r="BI355" s="35"/>
      <c r="BJ355" s="35"/>
      <c r="BK355" s="35"/>
      <c r="BL355" s="35"/>
      <c r="BM355" s="35"/>
      <c r="BN355" s="35"/>
      <c r="BO355" s="35"/>
      <c r="BP355" s="35"/>
      <c r="BQ355" s="35"/>
      <c r="BR355" s="35"/>
      <c r="BS355" s="35"/>
      <c r="BT355" s="35"/>
      <c r="BU355" s="35"/>
      <c r="BV355" s="35"/>
      <c r="BW355" s="35"/>
      <c r="BX355" s="35"/>
      <c r="BY355" s="35"/>
      <c r="BZ355" s="35"/>
      <c r="CA355" s="35"/>
      <c r="CB355" s="35"/>
      <c r="CC355" s="35"/>
      <c r="CD355" s="35"/>
      <c r="CE355" s="35"/>
      <c r="CF355" s="35"/>
      <c r="CG355" s="35"/>
      <c r="CH355" s="35"/>
      <c r="CI355" s="35"/>
      <c r="CJ355" s="35"/>
      <c r="CK355" s="35"/>
      <c r="CL355" s="35"/>
      <c r="CM355" s="35"/>
      <c r="CN355" s="35"/>
      <c r="CO355" s="35"/>
      <c r="CP355" s="35"/>
      <c r="CQ355" s="35"/>
      <c r="CR355" s="35"/>
      <c r="CS355" s="35"/>
      <c r="CT355" s="35"/>
      <c r="CU355" s="35"/>
      <c r="CV355" s="35"/>
      <c r="CW355" s="35"/>
      <c r="CX355" s="35"/>
      <c r="CY355" s="35"/>
      <c r="CZ355" s="35"/>
      <c r="DA355" s="35"/>
      <c r="DB355" s="35"/>
      <c r="DC355" s="35"/>
      <c r="DD355" s="35"/>
      <c r="DE355" s="35"/>
      <c r="DF355" s="35"/>
      <c r="DG355" s="35"/>
      <c r="DH355" s="35">
        <v>-7.0000000000000007E-2</v>
      </c>
      <c r="DI355" s="35"/>
      <c r="DJ355" s="35"/>
      <c r="DK355" s="35"/>
      <c r="DL355" s="35"/>
      <c r="DM355" s="35"/>
      <c r="DN355" s="35"/>
      <c r="DO355" s="35">
        <v>-0.34</v>
      </c>
      <c r="DP355" s="35"/>
      <c r="DQ355" s="35"/>
      <c r="DR355" s="35"/>
      <c r="DS355" s="35"/>
      <c r="DT355" s="35"/>
      <c r="DU355" s="35"/>
      <c r="DV355" s="35"/>
      <c r="DW355" s="35"/>
      <c r="DX355" s="35"/>
      <c r="DY355" s="35">
        <v>0.75</v>
      </c>
      <c r="DZ355" s="35"/>
      <c r="EA355" s="35">
        <v>0.25</v>
      </c>
      <c r="EB355" s="35">
        <v>1</v>
      </c>
      <c r="EC355" s="35"/>
      <c r="ED355" s="35"/>
      <c r="EE355" s="35"/>
      <c r="EF355" s="35"/>
      <c r="EG355" s="35"/>
      <c r="EH355" s="35"/>
      <c r="EI355" s="35"/>
      <c r="EJ355" s="35"/>
      <c r="EK355" s="35"/>
      <c r="EL355" s="35"/>
      <c r="EM355" s="35">
        <v>-0.4</v>
      </c>
      <c r="EN355" s="35"/>
      <c r="EO355" s="35"/>
      <c r="EP355" s="35"/>
      <c r="EQ355" s="35"/>
      <c r="ER355" s="35">
        <v>-2.36</v>
      </c>
      <c r="ES355" s="35"/>
      <c r="ET355" s="35"/>
      <c r="EU355" s="35"/>
      <c r="EV355" s="35"/>
      <c r="EW355" s="35"/>
      <c r="EX355" s="35"/>
      <c r="EY355" s="35"/>
      <c r="EZ355" s="35"/>
      <c r="FA355" s="35"/>
      <c r="FB355" s="35"/>
      <c r="FC355" s="35"/>
      <c r="FD355" s="35"/>
      <c r="FE355" s="35"/>
      <c r="FF355" s="35"/>
      <c r="FG355" s="35"/>
      <c r="FH355" s="35"/>
      <c r="FI355" s="35"/>
      <c r="FJ355" s="35"/>
      <c r="FK355" s="35"/>
      <c r="FL355" s="35"/>
      <c r="FM355" s="35"/>
      <c r="FN355" s="35"/>
      <c r="FO355" s="35"/>
      <c r="FP355" s="35"/>
      <c r="FQ355" s="35"/>
      <c r="FR355" s="35"/>
      <c r="FS355" s="35"/>
      <c r="FT355" s="35"/>
      <c r="FU355" s="35"/>
      <c r="FV355" s="35"/>
      <c r="FW355" s="35"/>
      <c r="FX355" s="35"/>
      <c r="FY355" s="35"/>
      <c r="FZ355" s="35"/>
      <c r="GA355" s="35"/>
      <c r="GB355" s="318"/>
      <c r="GC355" s="178">
        <f t="shared" si="64"/>
        <v>0</v>
      </c>
      <c r="GD355" s="178">
        <f t="shared" si="65"/>
        <v>0</v>
      </c>
      <c r="GE355" s="178">
        <f t="shared" si="66"/>
        <v>0</v>
      </c>
      <c r="GF355" s="178">
        <f t="shared" si="67"/>
        <v>0</v>
      </c>
      <c r="GG355" s="178">
        <f t="shared" si="69"/>
        <v>0</v>
      </c>
    </row>
    <row r="356" spans="1:342" x14ac:dyDescent="0.35">
      <c r="A356" s="6" t="s">
        <v>1517</v>
      </c>
      <c r="B356" s="6" t="str">
        <f>IF(Technologies!B356&lt;&gt;0,Technologies!B356,"")</f>
        <v>Industrie</v>
      </c>
      <c r="C356" s="6" t="str">
        <f>VLOOKUP($A356,Technologies!$A$7:$H$576,3,FALSE)</f>
        <v>Primary</v>
      </c>
      <c r="D356" s="6" t="str">
        <f>VLOOKUP($A356,Technologies!$A$7:$H$576,4,FALSE)</f>
        <v>Renewable</v>
      </c>
      <c r="E356" s="6" t="str">
        <f>VLOOKUP($A356,Technologies!$A$7:$H$576,6,FALSE)</f>
        <v>Bio Kerosene</v>
      </c>
      <c r="F356" s="48" t="str">
        <f>VLOOKUP($A356,Technologies!$A$7:$H$576,7,FALSE)</f>
        <v>Imported Biokerosene - Refineries</v>
      </c>
      <c r="G356" s="22"/>
      <c r="H356" s="22"/>
      <c r="I356" s="103" cm="1">
        <f t="array" ref="I356">-SUMPRODUCT((Feedstocks!$C$4:$C$141=A356)*Feedstocks!$E$4:$E$141,Feedstocks!$F$4:$F$141,Feedstocks!$H$4:$H$141,Feedstocks!$I$4:$I$141)</f>
        <v>0</v>
      </c>
      <c r="J356" s="103" cm="1">
        <f t="array" ref="J356">-SUMPRODUCT((Feedstocks!$C$4:$C$141=A356)*Feedstocks!$E$4:$E$141,Feedstocks!$H$4:$H$141,Feedstocks!$I$4:$I$141)</f>
        <v>0</v>
      </c>
      <c r="K356" s="103"/>
      <c r="L356" s="103"/>
      <c r="M356" s="22">
        <v>1</v>
      </c>
      <c r="N356" s="22" t="str">
        <f>VLOOKUP(E356,Activities!$A$9:$M$227,13,FALSE)</f>
        <v>NL</v>
      </c>
      <c r="O356" s="22"/>
      <c r="P356" s="80" t="s">
        <v>415</v>
      </c>
      <c r="Q356" s="36"/>
      <c r="R356" s="36"/>
      <c r="S356" s="36"/>
      <c r="T356" s="36"/>
      <c r="U356" s="36"/>
      <c r="V356" s="36"/>
      <c r="W356" s="36"/>
      <c r="X356" s="36"/>
      <c r="Y356" s="36"/>
      <c r="Z356" s="36"/>
      <c r="AA356" s="36"/>
      <c r="AB356" s="36"/>
      <c r="AC356" s="36"/>
      <c r="AD356" s="36"/>
      <c r="AE356" s="36"/>
      <c r="AF356" s="35"/>
      <c r="AG356" s="35"/>
      <c r="AH356" s="35"/>
      <c r="AI356" s="35"/>
      <c r="AJ356" s="35"/>
      <c r="AK356" s="35"/>
      <c r="AL356" s="35"/>
      <c r="AM356" s="35"/>
      <c r="AN356" s="35"/>
      <c r="AO356" s="35"/>
      <c r="AP356" s="36"/>
      <c r="AQ356" s="36"/>
      <c r="AR356" s="36"/>
      <c r="AS356" s="36"/>
      <c r="AT356" s="36"/>
      <c r="AU356" s="36"/>
      <c r="AV356" s="36"/>
      <c r="AW356" s="36"/>
      <c r="AX356" s="36"/>
      <c r="AY356" s="36"/>
      <c r="AZ356" s="36"/>
      <c r="BA356" s="36"/>
      <c r="BB356" s="36"/>
      <c r="BC356" s="36"/>
      <c r="BD356" s="36"/>
      <c r="BE356" s="36"/>
      <c r="BF356" s="36"/>
      <c r="BG356" s="36"/>
      <c r="BH356" s="36"/>
      <c r="BI356" s="36"/>
      <c r="BJ356" s="36"/>
      <c r="BK356" s="36"/>
      <c r="BL356" s="36"/>
      <c r="BM356" s="36"/>
      <c r="BN356" s="36"/>
      <c r="BO356" s="36"/>
      <c r="BP356" s="36"/>
      <c r="BQ356" s="36"/>
      <c r="BR356" s="36"/>
      <c r="BS356" s="36"/>
      <c r="BT356" s="36"/>
      <c r="BU356" s="36"/>
      <c r="BV356" s="36"/>
      <c r="BW356" s="36"/>
      <c r="BX356" s="36"/>
      <c r="BY356" s="36"/>
      <c r="BZ356" s="36"/>
      <c r="CA356" s="36"/>
      <c r="CB356" s="36"/>
      <c r="CC356" s="36"/>
      <c r="CD356" s="36"/>
      <c r="CE356" s="36"/>
      <c r="CF356" s="36"/>
      <c r="CG356" s="36"/>
      <c r="CH356" s="36"/>
      <c r="CI356" s="36"/>
      <c r="CJ356" s="36"/>
      <c r="CK356" s="36"/>
      <c r="CL356" s="36"/>
      <c r="CM356" s="36"/>
      <c r="CN356" s="36"/>
      <c r="CO356" s="36"/>
      <c r="CP356" s="36"/>
      <c r="CQ356" s="36"/>
      <c r="CR356" s="36"/>
      <c r="CS356" s="36"/>
      <c r="CT356" s="36"/>
      <c r="CU356" s="36"/>
      <c r="CV356" s="36"/>
      <c r="CW356" s="36"/>
      <c r="CX356" s="36"/>
      <c r="CY356" s="36"/>
      <c r="CZ356" s="36"/>
      <c r="DA356" s="36"/>
      <c r="DB356" s="36"/>
      <c r="DC356" s="36"/>
      <c r="DD356" s="36"/>
      <c r="DE356" s="36"/>
      <c r="DF356" s="36"/>
      <c r="DG356" s="36"/>
      <c r="DH356" s="36"/>
      <c r="DI356" s="36"/>
      <c r="DJ356" s="36"/>
      <c r="DK356" s="36"/>
      <c r="DL356" s="36"/>
      <c r="DM356" s="36"/>
      <c r="DN356" s="36"/>
      <c r="DO356" s="36"/>
      <c r="DP356" s="36"/>
      <c r="DQ356" s="36"/>
      <c r="DR356" s="36"/>
      <c r="DS356" s="36"/>
      <c r="DT356" s="36"/>
      <c r="DU356" s="36"/>
      <c r="DV356" s="36"/>
      <c r="DW356" s="36"/>
      <c r="DX356" s="36"/>
      <c r="DY356" s="36"/>
      <c r="DZ356" s="36"/>
      <c r="EA356" s="36"/>
      <c r="EB356" s="36">
        <v>1</v>
      </c>
      <c r="EC356" s="36"/>
      <c r="ED356" s="36"/>
      <c r="EE356" s="36"/>
      <c r="EF356" s="36"/>
      <c r="EG356" s="36"/>
      <c r="EH356" s="36"/>
      <c r="EI356" s="36"/>
      <c r="EJ356" s="36"/>
      <c r="EK356" s="36"/>
      <c r="EL356" s="36"/>
      <c r="EM356" s="36"/>
      <c r="EN356" s="36"/>
      <c r="EO356" s="36"/>
      <c r="EP356" s="36"/>
      <c r="EQ356" s="36"/>
      <c r="ER356" s="36"/>
      <c r="ES356" s="36"/>
      <c r="ET356" s="36"/>
      <c r="EU356" s="36"/>
      <c r="EV356" s="36"/>
      <c r="EW356" s="36"/>
      <c r="EX356" s="36"/>
      <c r="EY356" s="36"/>
      <c r="EZ356" s="36"/>
      <c r="FA356" s="36"/>
      <c r="FB356" s="36"/>
      <c r="FC356" s="36"/>
      <c r="FD356" s="36"/>
      <c r="FE356" s="36"/>
      <c r="FF356" s="36"/>
      <c r="FG356" s="36"/>
      <c r="FH356" s="36"/>
      <c r="FI356" s="36"/>
      <c r="FJ356" s="36"/>
      <c r="FK356" s="36"/>
      <c r="FL356" s="36"/>
      <c r="FM356" s="36"/>
      <c r="FN356" s="36"/>
      <c r="FO356" s="36"/>
      <c r="FP356" s="36"/>
      <c r="FQ356" s="36"/>
      <c r="FR356" s="36"/>
      <c r="FS356" s="36"/>
      <c r="FT356" s="36"/>
      <c r="FU356" s="36"/>
      <c r="FV356" s="36"/>
      <c r="FW356" s="36"/>
      <c r="FX356" s="36"/>
      <c r="FY356" s="36"/>
      <c r="FZ356" s="36"/>
      <c r="GA356" s="36"/>
      <c r="GB356" s="319"/>
      <c r="GC356" s="179">
        <f t="shared" si="64"/>
        <v>0</v>
      </c>
      <c r="GD356" s="179">
        <f t="shared" si="65"/>
        <v>0</v>
      </c>
      <c r="GE356" s="179">
        <f t="shared" si="66"/>
        <v>0</v>
      </c>
      <c r="GF356" s="179">
        <f t="shared" si="67"/>
        <v>0</v>
      </c>
      <c r="GG356" s="179">
        <f t="shared" si="69"/>
        <v>0</v>
      </c>
    </row>
    <row r="357" spans="1:342" s="261" customFormat="1" x14ac:dyDescent="0.35">
      <c r="A357" s="256" t="s">
        <v>1520</v>
      </c>
      <c r="B357" s="290" t="str">
        <f>IF(Technologies!B357&lt;&gt;0,Technologies!B357,"")</f>
        <v>Industrie</v>
      </c>
      <c r="C357" s="290" t="str">
        <f>VLOOKUP($A357,Technologies!$A$7:$H$576,3,FALSE)</f>
        <v>Conversion</v>
      </c>
      <c r="D357" s="290" t="str">
        <f>VLOOKUP($A357,Technologies!$A$7:$H$576,4,FALSE)</f>
        <v>Refineries</v>
      </c>
      <c r="E357" s="290" t="str">
        <f>VLOOKUP($A357,Technologies!$A$7:$H$576,6,FALSE)</f>
        <v>Bio Kerosene</v>
      </c>
      <c r="F357" s="268" t="str">
        <f>VLOOKUP($A357,Technologies!$A$7:$H$576,7,FALSE)</f>
        <v>Biokerosene from HEFA</v>
      </c>
      <c r="G357" s="262"/>
      <c r="H357" s="262"/>
      <c r="I357" s="264" cm="1">
        <f t="array" ref="I357">-SUMPRODUCT((Feedstocks!$C$4:$C$141=A357)*Feedstocks!$E$4:$E$141,Feedstocks!$F$4:$F$141,Feedstocks!$H$4:$H$141,Feedstocks!$I$4:$I$141)</f>
        <v>0</v>
      </c>
      <c r="J357" s="264" cm="1">
        <f t="array" ref="J357">-SUMPRODUCT((Feedstocks!$C$4:$C$141=A357)*Feedstocks!$E$4:$E$141,Feedstocks!$H$4:$H$141,Feedstocks!$I$4:$I$141)</f>
        <v>0</v>
      </c>
      <c r="K357" s="264"/>
      <c r="L357" s="264"/>
      <c r="M357" s="262">
        <v>1</v>
      </c>
      <c r="N357" s="262" t="str">
        <f>VLOOKUP(E357,Activities!$A$9:$M$227,13,FALSE)</f>
        <v>NL</v>
      </c>
      <c r="O357" s="262"/>
      <c r="P357" s="265"/>
      <c r="Q357" s="266"/>
      <c r="R357" s="266"/>
      <c r="S357" s="266"/>
      <c r="T357" s="266"/>
      <c r="U357" s="266"/>
      <c r="V357" s="266"/>
      <c r="W357" s="266"/>
      <c r="X357" s="266"/>
      <c r="Y357" s="266"/>
      <c r="Z357" s="266"/>
      <c r="AA357" s="266"/>
      <c r="AB357" s="266"/>
      <c r="AC357" s="266"/>
      <c r="AD357" s="266"/>
      <c r="AE357" s="266"/>
      <c r="AF357" s="266"/>
      <c r="AG357" s="266"/>
      <c r="AH357" s="266"/>
      <c r="AI357" s="266"/>
      <c r="AJ357" s="266"/>
      <c r="AK357" s="266"/>
      <c r="AL357" s="266"/>
      <c r="AM357" s="266"/>
      <c r="AN357" s="266"/>
      <c r="AO357" s="266"/>
      <c r="AP357" s="266"/>
      <c r="AQ357" s="266"/>
      <c r="AR357" s="266"/>
      <c r="AS357" s="266"/>
      <c r="AT357" s="266"/>
      <c r="AU357" s="266"/>
      <c r="AV357" s="266"/>
      <c r="AW357" s="266"/>
      <c r="AX357" s="266"/>
      <c r="AY357" s="266"/>
      <c r="AZ357" s="266"/>
      <c r="BA357" s="266"/>
      <c r="BB357" s="266"/>
      <c r="BC357" s="266"/>
      <c r="BD357" s="266"/>
      <c r="BE357" s="266"/>
      <c r="BF357" s="266"/>
      <c r="BG357" s="266"/>
      <c r="BH357" s="266"/>
      <c r="BI357" s="266"/>
      <c r="BJ357" s="266"/>
      <c r="BK357" s="266"/>
      <c r="BL357" s="266"/>
      <c r="BM357" s="266"/>
      <c r="BN357" s="266"/>
      <c r="BO357" s="266"/>
      <c r="BP357" s="266"/>
      <c r="BQ357" s="266"/>
      <c r="BR357" s="266"/>
      <c r="BS357" s="266"/>
      <c r="BT357" s="266"/>
      <c r="BU357" s="266"/>
      <c r="BV357" s="266"/>
      <c r="BW357" s="266"/>
      <c r="BX357" s="266"/>
      <c r="BY357" s="266"/>
      <c r="BZ357" s="266"/>
      <c r="CA357" s="266"/>
      <c r="CB357" s="266"/>
      <c r="CC357" s="266"/>
      <c r="CD357" s="266"/>
      <c r="CE357" s="266"/>
      <c r="CF357" s="266"/>
      <c r="CG357" s="266"/>
      <c r="CH357" s="266"/>
      <c r="CI357" s="266"/>
      <c r="CJ357" s="266"/>
      <c r="CK357" s="266"/>
      <c r="CL357" s="266"/>
      <c r="CM357" s="266"/>
      <c r="CN357" s="266"/>
      <c r="CO357" s="266"/>
      <c r="CP357" s="266"/>
      <c r="CQ357" s="266"/>
      <c r="CR357" s="266"/>
      <c r="CS357" s="266"/>
      <c r="CT357" s="266"/>
      <c r="CU357" s="266"/>
      <c r="CV357" s="266"/>
      <c r="CW357" s="266"/>
      <c r="CX357" s="266"/>
      <c r="CY357" s="266"/>
      <c r="CZ357" s="266"/>
      <c r="DA357" s="266"/>
      <c r="DB357" s="266"/>
      <c r="DC357" s="266"/>
      <c r="DD357" s="266"/>
      <c r="DE357" s="266"/>
      <c r="DF357" s="266"/>
      <c r="DG357" s="266"/>
      <c r="DH357" s="266">
        <v>-7.0000000000000007E-2</v>
      </c>
      <c r="DI357" s="266"/>
      <c r="DJ357" s="266"/>
      <c r="DK357" s="266"/>
      <c r="DL357" s="266"/>
      <c r="DM357" s="266"/>
      <c r="DN357" s="266"/>
      <c r="DO357" s="266">
        <v>-0.34</v>
      </c>
      <c r="DP357" s="266"/>
      <c r="DQ357" s="266"/>
      <c r="DR357" s="266"/>
      <c r="DS357" s="266"/>
      <c r="DT357" s="266"/>
      <c r="DU357" s="266"/>
      <c r="DV357" s="266"/>
      <c r="DW357" s="266"/>
      <c r="DX357" s="266"/>
      <c r="DY357" s="266"/>
      <c r="DZ357" s="266"/>
      <c r="EA357" s="266"/>
      <c r="EB357" s="266">
        <v>1</v>
      </c>
      <c r="EC357" s="266"/>
      <c r="ED357" s="266"/>
      <c r="EE357" s="266"/>
      <c r="EF357" s="266"/>
      <c r="EG357" s="266"/>
      <c r="EH357" s="266"/>
      <c r="EI357" s="266"/>
      <c r="EJ357" s="266"/>
      <c r="EK357" s="266"/>
      <c r="EL357" s="266"/>
      <c r="EM357" s="266">
        <v>-0.05</v>
      </c>
      <c r="EN357" s="266"/>
      <c r="EO357" s="266"/>
      <c r="EP357" s="266"/>
      <c r="EQ357" s="266"/>
      <c r="ER357" s="266"/>
      <c r="ES357" s="266"/>
      <c r="ET357" s="266"/>
      <c r="EU357" s="266"/>
      <c r="EV357" s="266"/>
      <c r="EW357" s="266"/>
      <c r="EX357" s="266"/>
      <c r="EY357" s="266"/>
      <c r="EZ357" s="266"/>
      <c r="FA357" s="266"/>
      <c r="FB357" s="266"/>
      <c r="FC357" s="266"/>
      <c r="FD357" s="266"/>
      <c r="FE357" s="266"/>
      <c r="FF357" s="266"/>
      <c r="FG357" s="266"/>
      <c r="FH357" s="266">
        <v>-1.1100000000000001</v>
      </c>
      <c r="FI357" s="266"/>
      <c r="FJ357" s="266"/>
      <c r="FK357" s="266"/>
      <c r="FL357" s="266"/>
      <c r="FM357" s="266"/>
      <c r="FN357" s="266"/>
      <c r="FO357" s="266"/>
      <c r="FP357" s="266"/>
      <c r="FQ357" s="266"/>
      <c r="FR357" s="266"/>
      <c r="FS357" s="266"/>
      <c r="FT357" s="266"/>
      <c r="FU357" s="266"/>
      <c r="FV357" s="266"/>
      <c r="FW357" s="266"/>
      <c r="FX357" s="266"/>
      <c r="FY357" s="266"/>
      <c r="FZ357" s="266"/>
      <c r="GA357" s="266"/>
      <c r="GB357" s="321"/>
      <c r="GC357" s="267">
        <f t="shared" si="64"/>
        <v>0</v>
      </c>
      <c r="GD357" s="267">
        <f t="shared" si="65"/>
        <v>0</v>
      </c>
      <c r="GE357" s="267">
        <f t="shared" si="66"/>
        <v>0</v>
      </c>
      <c r="GF357" s="267">
        <f t="shared" si="67"/>
        <v>0</v>
      </c>
      <c r="GG357" s="267">
        <f t="shared" si="69"/>
        <v>0</v>
      </c>
      <c r="GH357" s="1"/>
      <c r="GI357" s="1"/>
      <c r="GJ357" s="1"/>
      <c r="GK357" s="1"/>
      <c r="GL357" s="1"/>
      <c r="GM357" s="1"/>
      <c r="GN357" s="1"/>
      <c r="GO357" s="1"/>
      <c r="GP357" s="1"/>
      <c r="GQ357" s="1"/>
      <c r="GR357" s="1"/>
      <c r="GS357" s="1"/>
      <c r="GT357" s="1"/>
      <c r="GU357" s="1"/>
      <c r="GV357" s="1"/>
      <c r="GW357" s="1"/>
      <c r="GX357" s="1"/>
      <c r="GY357" s="1"/>
      <c r="GZ357" s="1"/>
      <c r="HA357" s="1"/>
      <c r="HB357" s="1"/>
      <c r="HC357" s="1"/>
      <c r="HD357" s="1"/>
      <c r="HE357" s="1"/>
      <c r="HF357" s="1"/>
      <c r="HG357" s="1"/>
      <c r="HH357" s="1"/>
      <c r="HI357" s="1"/>
      <c r="HJ357" s="1"/>
      <c r="HK357" s="1"/>
      <c r="HL357" s="1"/>
      <c r="HM357" s="1"/>
      <c r="HN357" s="1"/>
      <c r="HO357" s="1"/>
      <c r="HP357" s="1"/>
      <c r="HQ357" s="1"/>
      <c r="HR357" s="1"/>
      <c r="HS357" s="1"/>
      <c r="HT357" s="1"/>
      <c r="HU357" s="1"/>
      <c r="HV357" s="1"/>
      <c r="HW357" s="1"/>
      <c r="HX357" s="1"/>
      <c r="HY357" s="1"/>
      <c r="HZ357" s="1"/>
      <c r="IA357" s="1"/>
      <c r="IB357" s="1"/>
      <c r="IC357" s="1"/>
      <c r="ID357" s="1"/>
      <c r="IE357" s="1"/>
      <c r="IF357" s="1"/>
      <c r="IG357" s="1"/>
      <c r="IH357" s="1"/>
      <c r="II357" s="1"/>
      <c r="IJ357" s="1"/>
      <c r="IK357" s="1"/>
      <c r="IL357" s="1"/>
      <c r="IM357" s="1"/>
      <c r="IN357" s="1"/>
      <c r="IO357" s="1"/>
      <c r="IP357" s="1"/>
      <c r="IQ357" s="1"/>
      <c r="IR357" s="1"/>
      <c r="IS357" s="1"/>
      <c r="IT357" s="1"/>
      <c r="IU357" s="1"/>
      <c r="IV357" s="1"/>
      <c r="IW357" s="1"/>
      <c r="IX357" s="1"/>
      <c r="IY357" s="1"/>
      <c r="IZ357" s="1"/>
      <c r="JA357" s="1"/>
      <c r="JB357" s="1"/>
      <c r="JC357" s="1"/>
      <c r="JD357" s="1"/>
      <c r="JE357" s="1"/>
      <c r="JF357" s="1"/>
      <c r="JG357" s="1"/>
      <c r="JH357" s="1"/>
      <c r="JI357" s="1"/>
      <c r="JJ357" s="1"/>
      <c r="JK357" s="1"/>
      <c r="JL357" s="1"/>
      <c r="JM357" s="1"/>
      <c r="JN357" s="1"/>
      <c r="JO357" s="1"/>
      <c r="JP357" s="1"/>
      <c r="JQ357" s="1"/>
      <c r="JR357" s="1"/>
      <c r="JS357" s="1"/>
      <c r="JT357" s="1"/>
      <c r="JU357" s="1"/>
      <c r="JV357" s="1"/>
      <c r="JW357" s="1"/>
      <c r="JX357" s="1"/>
      <c r="JY357" s="1"/>
      <c r="JZ357" s="1"/>
      <c r="KA357" s="1"/>
      <c r="KB357" s="1"/>
      <c r="KC357" s="1"/>
      <c r="KD357" s="1"/>
      <c r="KE357" s="1"/>
      <c r="KF357" s="1"/>
      <c r="KG357" s="1"/>
      <c r="KH357" s="1"/>
      <c r="KI357" s="1"/>
      <c r="KJ357" s="1"/>
      <c r="KK357" s="1"/>
      <c r="KL357" s="1"/>
      <c r="KM357" s="1"/>
      <c r="KN357" s="1"/>
      <c r="KO357" s="1"/>
      <c r="KP357" s="1"/>
      <c r="KQ357" s="1"/>
      <c r="KR357" s="1"/>
      <c r="KS357" s="1"/>
      <c r="KT357" s="1"/>
      <c r="KU357" s="1"/>
      <c r="KV357" s="1"/>
      <c r="KW357" s="1"/>
      <c r="KX357" s="1"/>
      <c r="KY357" s="1"/>
      <c r="KZ357" s="1"/>
      <c r="LA357" s="1"/>
      <c r="LB357" s="1"/>
      <c r="LC357" s="1"/>
      <c r="LD357" s="1"/>
      <c r="LE357" s="1"/>
      <c r="LF357" s="1"/>
      <c r="LG357" s="1"/>
      <c r="LH357" s="1"/>
      <c r="LI357" s="1"/>
      <c r="LJ357" s="1"/>
      <c r="LK357" s="1"/>
      <c r="LL357" s="1"/>
      <c r="LM357" s="1"/>
      <c r="LN357" s="1"/>
      <c r="LO357" s="1"/>
      <c r="LP357" s="1"/>
      <c r="LQ357" s="1"/>
      <c r="LR357" s="1"/>
      <c r="LS357" s="1"/>
      <c r="LT357" s="1"/>
      <c r="LU357" s="1"/>
      <c r="LV357" s="1"/>
      <c r="LW357" s="1"/>
      <c r="LX357" s="1"/>
      <c r="LY357" s="1"/>
      <c r="LZ357" s="1"/>
      <c r="MA357" s="1"/>
      <c r="MB357" s="1"/>
      <c r="MC357" s="1"/>
      <c r="MD357" s="1"/>
    </row>
    <row r="358" spans="1:342" s="261" customFormat="1" x14ac:dyDescent="0.35">
      <c r="A358" s="256" t="s">
        <v>1522</v>
      </c>
      <c r="B358" s="290" t="str">
        <f>IF(Technologies!B358&lt;&gt;0,Technologies!B358,"")</f>
        <v>Industrie</v>
      </c>
      <c r="C358" s="290" t="str">
        <f>VLOOKUP($A358,Technologies!$A$7:$H$576,3,FALSE)</f>
        <v>Primary</v>
      </c>
      <c r="D358" s="290" t="str">
        <f>VLOOKUP($A358,Technologies!$A$7:$H$576,4,FALSE)</f>
        <v>Renewable</v>
      </c>
      <c r="E358" s="290" t="str">
        <f>VLOOKUP($A358,Technologies!$A$7:$H$576,6,FALSE)</f>
        <v>Bio LPG</v>
      </c>
      <c r="F358" s="268" t="str">
        <f>VLOOKUP($A358,Technologies!$A$7:$H$576,7,FALSE)</f>
        <v>Imported Bio LPG - Refineries</v>
      </c>
      <c r="G358" s="262"/>
      <c r="H358" s="262"/>
      <c r="I358" s="264"/>
      <c r="J358" s="264"/>
      <c r="K358" s="264"/>
      <c r="L358" s="264"/>
      <c r="M358" s="262">
        <v>1</v>
      </c>
      <c r="N358" s="262" t="str">
        <f>VLOOKUP(E358,Activities!$A$9:$M$227,13,FALSE)</f>
        <v>NL</v>
      </c>
      <c r="O358" s="262"/>
      <c r="P358" s="265"/>
      <c r="Q358" s="266"/>
      <c r="R358" s="266"/>
      <c r="S358" s="266"/>
      <c r="T358" s="266"/>
      <c r="U358" s="266"/>
      <c r="V358" s="266"/>
      <c r="W358" s="266"/>
      <c r="X358" s="266"/>
      <c r="Y358" s="266"/>
      <c r="Z358" s="266"/>
      <c r="AA358" s="266"/>
      <c r="AB358" s="266"/>
      <c r="AC358" s="266"/>
      <c r="AD358" s="266"/>
      <c r="AE358" s="266"/>
      <c r="AF358" s="266"/>
      <c r="AG358" s="266"/>
      <c r="AH358" s="266"/>
      <c r="AI358" s="266"/>
      <c r="AJ358" s="266"/>
      <c r="AK358" s="266"/>
      <c r="AL358" s="266"/>
      <c r="AM358" s="266"/>
      <c r="AN358" s="266"/>
      <c r="AO358" s="266"/>
      <c r="AP358" s="266"/>
      <c r="AQ358" s="266"/>
      <c r="AR358" s="266"/>
      <c r="AS358" s="266"/>
      <c r="AT358" s="266"/>
      <c r="AU358" s="266"/>
      <c r="AV358" s="266"/>
      <c r="AW358" s="266"/>
      <c r="AX358" s="266"/>
      <c r="AY358" s="266"/>
      <c r="AZ358" s="266"/>
      <c r="BA358" s="266"/>
      <c r="BB358" s="266"/>
      <c r="BC358" s="266"/>
      <c r="BD358" s="266"/>
      <c r="BE358" s="266"/>
      <c r="BF358" s="266"/>
      <c r="BG358" s="266"/>
      <c r="BH358" s="266"/>
      <c r="BI358" s="266"/>
      <c r="BJ358" s="266"/>
      <c r="BK358" s="266"/>
      <c r="BL358" s="266"/>
      <c r="BM358" s="266"/>
      <c r="BN358" s="266"/>
      <c r="BO358" s="266"/>
      <c r="BP358" s="266"/>
      <c r="BQ358" s="266"/>
      <c r="BR358" s="266"/>
      <c r="BS358" s="266"/>
      <c r="BT358" s="266"/>
      <c r="BU358" s="266"/>
      <c r="BV358" s="266"/>
      <c r="BW358" s="266"/>
      <c r="BX358" s="266"/>
      <c r="BY358" s="266"/>
      <c r="BZ358" s="266"/>
      <c r="CA358" s="266"/>
      <c r="CB358" s="266"/>
      <c r="CC358" s="266"/>
      <c r="CD358" s="266"/>
      <c r="CE358" s="266"/>
      <c r="CF358" s="266"/>
      <c r="CG358" s="266"/>
      <c r="CH358" s="266"/>
      <c r="CI358" s="266"/>
      <c r="CJ358" s="266"/>
      <c r="CK358" s="266"/>
      <c r="CL358" s="266"/>
      <c r="CM358" s="266"/>
      <c r="CN358" s="266"/>
      <c r="CO358" s="266"/>
      <c r="CP358" s="266"/>
      <c r="CQ358" s="266"/>
      <c r="CR358" s="266"/>
      <c r="CS358" s="266"/>
      <c r="CT358" s="266"/>
      <c r="CU358" s="266"/>
      <c r="CV358" s="266"/>
      <c r="CW358" s="266"/>
      <c r="CX358" s="266"/>
      <c r="CY358" s="266"/>
      <c r="CZ358" s="266"/>
      <c r="DA358" s="266"/>
      <c r="DB358" s="266"/>
      <c r="DC358" s="266"/>
      <c r="DD358" s="266"/>
      <c r="DE358" s="266"/>
      <c r="DF358" s="266"/>
      <c r="DG358" s="266"/>
      <c r="DH358" s="266"/>
      <c r="DI358" s="266"/>
      <c r="DJ358" s="266"/>
      <c r="DK358" s="266"/>
      <c r="DL358" s="266"/>
      <c r="DM358" s="266"/>
      <c r="DN358" s="266"/>
      <c r="DO358" s="266"/>
      <c r="DP358" s="266"/>
      <c r="DQ358" s="266"/>
      <c r="DR358" s="266"/>
      <c r="DS358" s="266"/>
      <c r="DT358" s="266"/>
      <c r="DU358" s="266"/>
      <c r="DV358" s="266"/>
      <c r="DW358" s="266"/>
      <c r="DX358" s="266"/>
      <c r="DY358" s="266"/>
      <c r="DZ358" s="266"/>
      <c r="EA358" s="266"/>
      <c r="EB358" s="266"/>
      <c r="EC358" s="266">
        <v>1</v>
      </c>
      <c r="ED358" s="266"/>
      <c r="EE358" s="266"/>
      <c r="EF358" s="266"/>
      <c r="EG358" s="266"/>
      <c r="EH358" s="266"/>
      <c r="EI358" s="266"/>
      <c r="EJ358" s="266"/>
      <c r="EK358" s="266"/>
      <c r="EL358" s="266"/>
      <c r="EM358" s="266"/>
      <c r="EN358" s="266"/>
      <c r="EO358" s="266"/>
      <c r="EP358" s="266"/>
      <c r="EQ358" s="266"/>
      <c r="ER358" s="266"/>
      <c r="ES358" s="266"/>
      <c r="ET358" s="266"/>
      <c r="EU358" s="266"/>
      <c r="EV358" s="266"/>
      <c r="EW358" s="266"/>
      <c r="EX358" s="266"/>
      <c r="EY358" s="266"/>
      <c r="EZ358" s="266"/>
      <c r="FA358" s="266"/>
      <c r="FB358" s="266"/>
      <c r="FC358" s="266"/>
      <c r="FD358" s="266"/>
      <c r="FE358" s="266"/>
      <c r="FF358" s="266"/>
      <c r="FG358" s="266"/>
      <c r="FH358" s="266"/>
      <c r="FI358" s="266"/>
      <c r="FJ358" s="266"/>
      <c r="FK358" s="266"/>
      <c r="FL358" s="266"/>
      <c r="FM358" s="266"/>
      <c r="FN358" s="266"/>
      <c r="FO358" s="266"/>
      <c r="FP358" s="266"/>
      <c r="FQ358" s="266"/>
      <c r="FR358" s="266"/>
      <c r="FS358" s="266"/>
      <c r="FT358" s="266"/>
      <c r="FU358" s="266"/>
      <c r="FV358" s="266"/>
      <c r="FW358" s="266"/>
      <c r="FX358" s="266"/>
      <c r="FY358" s="266"/>
      <c r="FZ358" s="266"/>
      <c r="GA358" s="266"/>
      <c r="GB358" s="321"/>
      <c r="GC358" s="267">
        <f t="shared" si="64"/>
        <v>0</v>
      </c>
      <c r="GD358" s="267">
        <f t="shared" si="65"/>
        <v>0</v>
      </c>
      <c r="GE358" s="267">
        <f t="shared" si="66"/>
        <v>0</v>
      </c>
      <c r="GF358" s="267">
        <f t="shared" si="67"/>
        <v>0</v>
      </c>
      <c r="GG358" s="267">
        <f t="shared" si="69"/>
        <v>0</v>
      </c>
      <c r="GH358" s="1"/>
      <c r="GI358" s="1"/>
      <c r="GJ358" s="1"/>
      <c r="GK358" s="1"/>
      <c r="GL358" s="1"/>
      <c r="GM358" s="1"/>
      <c r="GN358" s="1"/>
      <c r="GO358" s="1"/>
      <c r="GP358" s="1"/>
      <c r="GQ358" s="1"/>
      <c r="GR358" s="1"/>
      <c r="GS358" s="1"/>
      <c r="GT358" s="1"/>
      <c r="GU358" s="1"/>
      <c r="GV358" s="1"/>
      <c r="GW358" s="1"/>
      <c r="GX358" s="1"/>
      <c r="GY358" s="1"/>
      <c r="GZ358" s="1"/>
      <c r="HA358" s="1"/>
      <c r="HB358" s="1"/>
      <c r="HC358" s="1"/>
      <c r="HD358" s="1"/>
      <c r="HE358" s="1"/>
      <c r="HF358" s="1"/>
      <c r="HG358" s="1"/>
      <c r="HH358" s="1"/>
      <c r="HI358" s="1"/>
      <c r="HJ358" s="1"/>
      <c r="HK358" s="1"/>
      <c r="HL358" s="1"/>
      <c r="HM358" s="1"/>
      <c r="HN358" s="1"/>
      <c r="HO358" s="1"/>
      <c r="HP358" s="1"/>
      <c r="HQ358" s="1"/>
      <c r="HR358" s="1"/>
      <c r="HS358" s="1"/>
      <c r="HT358" s="1"/>
      <c r="HU358" s="1"/>
      <c r="HV358" s="1"/>
      <c r="HW358" s="1"/>
      <c r="HX358" s="1"/>
      <c r="HY358" s="1"/>
      <c r="HZ358" s="1"/>
      <c r="IA358" s="1"/>
      <c r="IB358" s="1"/>
      <c r="IC358" s="1"/>
      <c r="ID358" s="1"/>
      <c r="IE358" s="1"/>
      <c r="IF358" s="1"/>
      <c r="IG358" s="1"/>
      <c r="IH358" s="1"/>
      <c r="II358" s="1"/>
      <c r="IJ358" s="1"/>
      <c r="IK358" s="1"/>
      <c r="IL358" s="1"/>
      <c r="IM358" s="1"/>
      <c r="IN358" s="1"/>
      <c r="IO358" s="1"/>
      <c r="IP358" s="1"/>
      <c r="IQ358" s="1"/>
      <c r="IR358" s="1"/>
      <c r="IS358" s="1"/>
      <c r="IT358" s="1"/>
      <c r="IU358" s="1"/>
      <c r="IV358" s="1"/>
      <c r="IW358" s="1"/>
      <c r="IX358" s="1"/>
      <c r="IY358" s="1"/>
      <c r="IZ358" s="1"/>
      <c r="JA358" s="1"/>
      <c r="JB358" s="1"/>
      <c r="JC358" s="1"/>
      <c r="JD358" s="1"/>
      <c r="JE358" s="1"/>
      <c r="JF358" s="1"/>
      <c r="JG358" s="1"/>
      <c r="JH358" s="1"/>
      <c r="JI358" s="1"/>
      <c r="JJ358" s="1"/>
      <c r="JK358" s="1"/>
      <c r="JL358" s="1"/>
      <c r="JM358" s="1"/>
      <c r="JN358" s="1"/>
      <c r="JO358" s="1"/>
      <c r="JP358" s="1"/>
      <c r="JQ358" s="1"/>
      <c r="JR358" s="1"/>
      <c r="JS358" s="1"/>
      <c r="JT358" s="1"/>
      <c r="JU358" s="1"/>
      <c r="JV358" s="1"/>
      <c r="JW358" s="1"/>
      <c r="JX358" s="1"/>
      <c r="JY358" s="1"/>
      <c r="JZ358" s="1"/>
      <c r="KA358" s="1"/>
      <c r="KB358" s="1"/>
      <c r="KC358" s="1"/>
      <c r="KD358" s="1"/>
      <c r="KE358" s="1"/>
      <c r="KF358" s="1"/>
      <c r="KG358" s="1"/>
      <c r="KH358" s="1"/>
      <c r="KI358" s="1"/>
      <c r="KJ358" s="1"/>
      <c r="KK358" s="1"/>
      <c r="KL358" s="1"/>
      <c r="KM358" s="1"/>
      <c r="KN358" s="1"/>
      <c r="KO358" s="1"/>
      <c r="KP358" s="1"/>
      <c r="KQ358" s="1"/>
      <c r="KR358" s="1"/>
      <c r="KS358" s="1"/>
      <c r="KT358" s="1"/>
      <c r="KU358" s="1"/>
      <c r="KV358" s="1"/>
      <c r="KW358" s="1"/>
      <c r="KX358" s="1"/>
      <c r="KY358" s="1"/>
      <c r="KZ358" s="1"/>
      <c r="LA358" s="1"/>
      <c r="LB358" s="1"/>
      <c r="LC358" s="1"/>
      <c r="LD358" s="1"/>
      <c r="LE358" s="1"/>
      <c r="LF358" s="1"/>
      <c r="LG358" s="1"/>
      <c r="LH358" s="1"/>
      <c r="LI358" s="1"/>
      <c r="LJ358" s="1"/>
      <c r="LK358" s="1"/>
      <c r="LL358" s="1"/>
      <c r="LM358" s="1"/>
      <c r="LN358" s="1"/>
      <c r="LO358" s="1"/>
      <c r="LP358" s="1"/>
      <c r="LQ358" s="1"/>
      <c r="LR358" s="1"/>
      <c r="LS358" s="1"/>
      <c r="LT358" s="1"/>
      <c r="LU358" s="1"/>
      <c r="LV358" s="1"/>
      <c r="LW358" s="1"/>
      <c r="LX358" s="1"/>
      <c r="LY358" s="1"/>
      <c r="LZ358" s="1"/>
      <c r="MA358" s="1"/>
      <c r="MB358" s="1"/>
      <c r="MC358" s="1"/>
      <c r="MD358" s="1"/>
    </row>
    <row r="359" spans="1:342" x14ac:dyDescent="0.35">
      <c r="A359" s="5" t="s">
        <v>1524</v>
      </c>
      <c r="B359" s="5" t="str">
        <f>IF(Technologies!B359&lt;&gt;0,Technologies!B359,"")</f>
        <v>Industrie</v>
      </c>
      <c r="C359" s="5" t="str">
        <f>VLOOKUP($A359,Technologies!$A$7:$H$576,3,FALSE)</f>
        <v>Conversion</v>
      </c>
      <c r="D359" s="5" t="str">
        <f>VLOOKUP($A359,Technologies!$A$7:$H$576,4,FALSE)</f>
        <v>Refineries</v>
      </c>
      <c r="E359" s="5" t="str">
        <f>VLOOKUP($A359,Technologies!$A$7:$H$576,6,FALSE)</f>
        <v>Syn Diesel</v>
      </c>
      <c r="F359" s="5" t="str">
        <f>VLOOKUP($A359,Technologies!$A$7:$H$576,7,FALSE)</f>
        <v>Syndiesel oriented Fischer Tropsch - Refineries</v>
      </c>
      <c r="G359" s="23"/>
      <c r="H359" s="23"/>
      <c r="I359" s="104" cm="1">
        <f t="array" ref="I359">-SUMPRODUCT((Feedstocks!$C$4:$C$141=A359)*Feedstocks!$E$4:$E$141,Feedstocks!$F$4:$F$141,Feedstocks!$H$4:$H$141,Feedstocks!$I$4:$I$141)</f>
        <v>0</v>
      </c>
      <c r="J359" s="104" cm="1">
        <f t="array" ref="J359">-SUMPRODUCT((Feedstocks!$C$4:$C$141=A359)*Feedstocks!$E$4:$E$141,Feedstocks!$H$4:$H$141,Feedstocks!$I$4:$I$141)</f>
        <v>0</v>
      </c>
      <c r="K359" s="104"/>
      <c r="L359" s="104"/>
      <c r="M359" s="23">
        <v>1</v>
      </c>
      <c r="N359" s="23" t="str">
        <f>VLOOKUP(E359,Activities!$A$9:$M$227,13,FALSE)</f>
        <v>NL</v>
      </c>
      <c r="O359" s="23"/>
      <c r="P359" s="79" t="s">
        <v>1527</v>
      </c>
      <c r="Q359" s="35"/>
      <c r="R359" s="35"/>
      <c r="S359" s="35"/>
      <c r="T359" s="35"/>
      <c r="U359" s="35"/>
      <c r="V359" s="35"/>
      <c r="W359" s="35"/>
      <c r="X359" s="35"/>
      <c r="Y359" s="35"/>
      <c r="Z359" s="35"/>
      <c r="AA359" s="35"/>
      <c r="AB359" s="35"/>
      <c r="AC359" s="35"/>
      <c r="AD359" s="35"/>
      <c r="AE359" s="35"/>
      <c r="AF359" s="36"/>
      <c r="AG359" s="36"/>
      <c r="AH359" s="36"/>
      <c r="AI359" s="36"/>
      <c r="AJ359" s="36"/>
      <c r="AK359" s="36"/>
      <c r="AL359" s="36"/>
      <c r="AM359" s="36"/>
      <c r="AN359" s="36"/>
      <c r="AO359" s="36"/>
      <c r="AP359" s="35"/>
      <c r="AQ359" s="35"/>
      <c r="AR359" s="35"/>
      <c r="AS359" s="35"/>
      <c r="AT359" s="35"/>
      <c r="AU359" s="35"/>
      <c r="AV359" s="35"/>
      <c r="AW359" s="35"/>
      <c r="AX359" s="35"/>
      <c r="AY359" s="35"/>
      <c r="AZ359" s="35"/>
      <c r="BA359" s="35"/>
      <c r="BB359" s="35"/>
      <c r="BC359" s="35"/>
      <c r="BD359" s="35"/>
      <c r="BE359" s="35"/>
      <c r="BF359" s="35"/>
      <c r="BG359" s="35"/>
      <c r="BH359" s="35"/>
      <c r="BI359" s="35"/>
      <c r="BJ359" s="35"/>
      <c r="BK359" s="35"/>
      <c r="BL359" s="35"/>
      <c r="BM359" s="35"/>
      <c r="BN359" s="35"/>
      <c r="BO359" s="35"/>
      <c r="BP359" s="35"/>
      <c r="BQ359" s="35"/>
      <c r="BR359" s="35"/>
      <c r="BS359" s="35"/>
      <c r="BT359" s="35"/>
      <c r="BU359" s="35"/>
      <c r="BV359" s="35"/>
      <c r="BW359" s="35"/>
      <c r="BX359" s="35"/>
      <c r="BY359" s="35"/>
      <c r="BZ359" s="35"/>
      <c r="CA359" s="35"/>
      <c r="CB359" s="35"/>
      <c r="CC359" s="35"/>
      <c r="CD359" s="35"/>
      <c r="CE359" s="35"/>
      <c r="CF359" s="35"/>
      <c r="CG359" s="35"/>
      <c r="CH359" s="35"/>
      <c r="CI359" s="35"/>
      <c r="CJ359" s="35"/>
      <c r="CK359" s="35"/>
      <c r="CL359" s="35"/>
      <c r="CM359" s="35"/>
      <c r="CN359" s="35"/>
      <c r="CO359" s="35"/>
      <c r="CP359" s="35"/>
      <c r="CQ359" s="35"/>
      <c r="CR359" s="35"/>
      <c r="CS359" s="35"/>
      <c r="CT359" s="35"/>
      <c r="CU359" s="35"/>
      <c r="CV359" s="35"/>
      <c r="CW359" s="35"/>
      <c r="CX359" s="35"/>
      <c r="CY359" s="35"/>
      <c r="CZ359" s="35"/>
      <c r="DA359" s="35"/>
      <c r="DB359" s="35"/>
      <c r="DC359" s="35"/>
      <c r="DD359" s="35"/>
      <c r="DE359" s="35"/>
      <c r="DF359" s="35"/>
      <c r="DG359" s="35"/>
      <c r="DH359" s="266">
        <v>-0.03</v>
      </c>
      <c r="DI359" s="35"/>
      <c r="DJ359" s="35"/>
      <c r="DK359" s="35"/>
      <c r="DL359" s="35"/>
      <c r="DM359" s="35"/>
      <c r="DN359" s="35"/>
      <c r="DO359" s="35"/>
      <c r="DP359" s="266">
        <v>0.44</v>
      </c>
      <c r="DQ359" s="35"/>
      <c r="DR359" s="35"/>
      <c r="DS359" s="35"/>
      <c r="DT359" s="35"/>
      <c r="DU359" s="35"/>
      <c r="DV359" s="35"/>
      <c r="DW359" s="35"/>
      <c r="DX359" s="35"/>
      <c r="DY359" s="35"/>
      <c r="DZ359" s="35"/>
      <c r="EA359" s="35"/>
      <c r="EB359" s="35"/>
      <c r="EC359" s="35"/>
      <c r="ED359" s="266">
        <v>0.33</v>
      </c>
      <c r="EE359" s="266">
        <v>1</v>
      </c>
      <c r="EF359" s="35"/>
      <c r="EG359" s="266">
        <v>-1.6</v>
      </c>
      <c r="EH359" s="35"/>
      <c r="EI359" s="35"/>
      <c r="EJ359" s="35"/>
      <c r="EK359" s="35"/>
      <c r="EL359" s="35"/>
      <c r="EM359" s="35"/>
      <c r="EN359" s="35"/>
      <c r="EO359" s="35"/>
      <c r="EP359" s="35"/>
      <c r="EQ359" s="35"/>
      <c r="ER359" s="35"/>
      <c r="ES359" s="35"/>
      <c r="ET359" s="35"/>
      <c r="EU359" s="35"/>
      <c r="EV359" s="35"/>
      <c r="EW359" s="35"/>
      <c r="EX359" s="35"/>
      <c r="EY359" s="35"/>
      <c r="EZ359" s="35"/>
      <c r="FA359" s="35"/>
      <c r="FB359" s="35"/>
      <c r="FC359" s="35"/>
      <c r="FD359" s="35"/>
      <c r="FE359" s="35"/>
      <c r="FF359" s="35"/>
      <c r="FG359" s="35"/>
      <c r="FH359" s="35"/>
      <c r="FI359" s="35"/>
      <c r="FJ359" s="35"/>
      <c r="FK359" s="35"/>
      <c r="FL359" s="35"/>
      <c r="FM359" s="35"/>
      <c r="FN359" s="35"/>
      <c r="FO359" s="35"/>
      <c r="FP359" s="35"/>
      <c r="FQ359" s="35"/>
      <c r="FR359" s="35"/>
      <c r="FS359" s="35"/>
      <c r="FT359" s="35"/>
      <c r="FU359" s="35"/>
      <c r="FV359" s="35"/>
      <c r="FW359" s="35"/>
      <c r="FX359" s="35"/>
      <c r="FY359" s="35"/>
      <c r="FZ359" s="35"/>
      <c r="GA359" s="35"/>
      <c r="GB359" s="318"/>
      <c r="GC359" s="178">
        <f t="shared" si="64"/>
        <v>0</v>
      </c>
      <c r="GD359" s="178">
        <f t="shared" si="65"/>
        <v>2.1999999999999999E-2</v>
      </c>
      <c r="GE359" s="178">
        <f t="shared" si="66"/>
        <v>0</v>
      </c>
      <c r="GF359" s="178">
        <f t="shared" si="67"/>
        <v>0</v>
      </c>
      <c r="GG359" s="178">
        <f t="shared" si="69"/>
        <v>0</v>
      </c>
    </row>
    <row r="360" spans="1:342" x14ac:dyDescent="0.35">
      <c r="A360" s="6" t="s">
        <v>1528</v>
      </c>
      <c r="B360" s="6" t="str">
        <f>IF(Technologies!B360&lt;&gt;0,Technologies!B360,"")</f>
        <v>Industrie</v>
      </c>
      <c r="C360" s="6" t="str">
        <f>VLOOKUP($A360,Technologies!$A$7:$H$576,3,FALSE)</f>
        <v>Conversion</v>
      </c>
      <c r="D360" s="6" t="str">
        <f>VLOOKUP($A360,Technologies!$A$7:$H$576,4,FALSE)</f>
        <v>Refineries</v>
      </c>
      <c r="E360" s="6" t="str">
        <f>VLOOKUP($A360,Technologies!$A$7:$H$576,6,FALSE)</f>
        <v>Syn Diesel</v>
      </c>
      <c r="F360" s="48" t="str">
        <f>VLOOKUP($A360,Technologies!$A$7:$H$576,7,FALSE)</f>
        <v>Syndiesel oriented methanol to fuels - Refineries</v>
      </c>
      <c r="G360" s="22"/>
      <c r="H360" s="22"/>
      <c r="I360" s="103" cm="1">
        <f t="array" ref="I360">-SUMPRODUCT((Feedstocks!$C$4:$C$141=A360)*Feedstocks!$E$4:$E$141,Feedstocks!$F$4:$F$141,Feedstocks!$H$4:$H$141,Feedstocks!$I$4:$I$141)</f>
        <v>0</v>
      </c>
      <c r="J360" s="103" cm="1">
        <f t="array" ref="J360">-SUMPRODUCT((Feedstocks!$C$4:$C$141=A360)*Feedstocks!$E$4:$E$141,Feedstocks!$H$4:$H$141,Feedstocks!$I$4:$I$141)</f>
        <v>0</v>
      </c>
      <c r="K360" s="103"/>
      <c r="L360" s="103"/>
      <c r="M360" s="22">
        <v>1</v>
      </c>
      <c r="N360" s="22" t="str">
        <f>VLOOKUP(E360,Activities!$A$9:$M$227,13,FALSE)</f>
        <v>NL</v>
      </c>
      <c r="O360" s="22"/>
      <c r="P360" s="80" t="s">
        <v>1828</v>
      </c>
      <c r="Q360" s="36"/>
      <c r="R360" s="36"/>
      <c r="S360" s="36"/>
      <c r="T360" s="36"/>
      <c r="U360" s="36"/>
      <c r="V360" s="36"/>
      <c r="W360" s="36"/>
      <c r="X360" s="36"/>
      <c r="Y360" s="36"/>
      <c r="Z360" s="36"/>
      <c r="AA360" s="36"/>
      <c r="AB360" s="36"/>
      <c r="AC360" s="36"/>
      <c r="AD360" s="36"/>
      <c r="AE360" s="36"/>
      <c r="AF360" s="35"/>
      <c r="AG360" s="35"/>
      <c r="AH360" s="35"/>
      <c r="AI360" s="35"/>
      <c r="AJ360" s="35"/>
      <c r="AK360" s="35"/>
      <c r="AL360" s="35"/>
      <c r="AM360" s="35"/>
      <c r="AN360" s="35"/>
      <c r="AO360" s="35"/>
      <c r="AP360" s="36"/>
      <c r="AQ360" s="36"/>
      <c r="AR360" s="36"/>
      <c r="AS360" s="36"/>
      <c r="AT360" s="36"/>
      <c r="AU360" s="36"/>
      <c r="AV360" s="36"/>
      <c r="AW360" s="36"/>
      <c r="AX360" s="36"/>
      <c r="AY360" s="36"/>
      <c r="AZ360" s="36"/>
      <c r="BA360" s="36"/>
      <c r="BB360" s="36"/>
      <c r="BC360" s="36"/>
      <c r="BD360" s="36"/>
      <c r="BE360" s="36"/>
      <c r="BF360" s="36"/>
      <c r="BG360" s="36"/>
      <c r="BH360" s="36"/>
      <c r="BI360" s="36"/>
      <c r="BJ360" s="36"/>
      <c r="BK360" s="36"/>
      <c r="BL360" s="36"/>
      <c r="BM360" s="36"/>
      <c r="BN360" s="36"/>
      <c r="BO360" s="36"/>
      <c r="BP360" s="36"/>
      <c r="BQ360" s="36"/>
      <c r="BR360" s="36"/>
      <c r="BS360" s="36"/>
      <c r="BT360" s="36"/>
      <c r="BU360" s="36"/>
      <c r="BV360" s="36"/>
      <c r="BW360" s="36"/>
      <c r="BX360" s="36"/>
      <c r="BY360" s="36"/>
      <c r="BZ360" s="36"/>
      <c r="CA360" s="36"/>
      <c r="CB360" s="36"/>
      <c r="CC360" s="36"/>
      <c r="CD360" s="36"/>
      <c r="CE360" s="36"/>
      <c r="CF360" s="36"/>
      <c r="CG360" s="36"/>
      <c r="CH360" s="36"/>
      <c r="CI360" s="36"/>
      <c r="CJ360" s="36"/>
      <c r="CK360" s="36"/>
      <c r="CL360" s="36"/>
      <c r="CM360" s="36"/>
      <c r="CN360" s="36"/>
      <c r="CO360" s="36"/>
      <c r="CP360" s="36"/>
      <c r="CQ360" s="36"/>
      <c r="CR360" s="36"/>
      <c r="CS360" s="36"/>
      <c r="CT360" s="36"/>
      <c r="CU360" s="36"/>
      <c r="CV360" s="36"/>
      <c r="CW360" s="36"/>
      <c r="CX360" s="36"/>
      <c r="CY360" s="36"/>
      <c r="CZ360" s="36"/>
      <c r="DA360" s="36"/>
      <c r="DB360" s="36"/>
      <c r="DC360" s="36"/>
      <c r="DD360" s="36"/>
      <c r="DE360" s="36"/>
      <c r="DF360" s="36"/>
      <c r="DG360" s="36"/>
      <c r="DH360" s="36">
        <v>-0.02</v>
      </c>
      <c r="DI360" s="36"/>
      <c r="DJ360" s="36"/>
      <c r="DK360" s="36"/>
      <c r="DL360" s="36"/>
      <c r="DM360" s="36"/>
      <c r="DN360" s="36"/>
      <c r="DO360" s="36"/>
      <c r="DP360" s="36">
        <v>-0.21</v>
      </c>
      <c r="DQ360" s="36"/>
      <c r="DR360" s="36"/>
      <c r="DS360" s="36"/>
      <c r="DT360" s="36"/>
      <c r="DU360" s="36"/>
      <c r="DV360" s="36"/>
      <c r="DW360" s="36"/>
      <c r="DX360" s="36"/>
      <c r="DY360" s="36"/>
      <c r="DZ360" s="36"/>
      <c r="EA360" s="36"/>
      <c r="EB360" s="36"/>
      <c r="EC360" s="36"/>
      <c r="ED360" s="266">
        <v>0.33</v>
      </c>
      <c r="EE360" s="266">
        <v>1</v>
      </c>
      <c r="EF360" s="36"/>
      <c r="EG360" s="36"/>
      <c r="EH360" s="36"/>
      <c r="EI360" s="266">
        <v>-1.7</v>
      </c>
      <c r="EJ360" s="36"/>
      <c r="EK360" s="36"/>
      <c r="EL360" s="36"/>
      <c r="EM360" s="36"/>
      <c r="EN360" s="36"/>
      <c r="EO360" s="36"/>
      <c r="EP360" s="36"/>
      <c r="EQ360" s="36"/>
      <c r="ER360" s="36"/>
      <c r="ES360" s="36"/>
      <c r="ET360" s="36"/>
      <c r="EU360" s="36"/>
      <c r="EV360" s="36"/>
      <c r="EW360" s="36"/>
      <c r="EX360" s="36"/>
      <c r="EY360" s="36"/>
      <c r="EZ360" s="36"/>
      <c r="FA360" s="36"/>
      <c r="FB360" s="36"/>
      <c r="FC360" s="36"/>
      <c r="FD360" s="36"/>
      <c r="FE360" s="36"/>
      <c r="FF360" s="36"/>
      <c r="FG360" s="36"/>
      <c r="FH360" s="36"/>
      <c r="FI360" s="36"/>
      <c r="FJ360" s="36"/>
      <c r="FK360" s="36"/>
      <c r="FL360" s="36"/>
      <c r="FM360" s="36"/>
      <c r="FN360" s="36"/>
      <c r="FO360" s="36"/>
      <c r="FP360" s="36"/>
      <c r="FQ360" s="36"/>
      <c r="FR360" s="36"/>
      <c r="FS360" s="36"/>
      <c r="FT360" s="36"/>
      <c r="FU360" s="36"/>
      <c r="FV360" s="36"/>
      <c r="FW360" s="36"/>
      <c r="FX360" s="36"/>
      <c r="FY360" s="36"/>
      <c r="FZ360" s="36"/>
      <c r="GA360" s="36"/>
      <c r="GB360" s="319"/>
      <c r="GC360" s="179">
        <f t="shared" si="64"/>
        <v>0</v>
      </c>
      <c r="GD360" s="179">
        <f t="shared" si="65"/>
        <v>1.9199999999999998E-2</v>
      </c>
      <c r="GE360" s="179">
        <f t="shared" si="66"/>
        <v>0</v>
      </c>
      <c r="GF360" s="179">
        <f t="shared" si="67"/>
        <v>0</v>
      </c>
      <c r="GG360" s="179">
        <f t="shared" si="69"/>
        <v>0</v>
      </c>
    </row>
    <row r="361" spans="1:342" x14ac:dyDescent="0.35">
      <c r="A361" s="5" t="s">
        <v>1531</v>
      </c>
      <c r="B361" s="5" t="str">
        <f>IF(Technologies!B361&lt;&gt;0,Technologies!B361,"")</f>
        <v>Industrie</v>
      </c>
      <c r="C361" s="5" t="str">
        <f>VLOOKUP($A361,Technologies!$A$7:$H$576,3,FALSE)</f>
        <v>Conversion</v>
      </c>
      <c r="D361" s="5" t="str">
        <f>VLOOKUP($A361,Technologies!$A$7:$H$576,4,FALSE)</f>
        <v>Refineries</v>
      </c>
      <c r="E361" s="5" t="str">
        <f>VLOOKUP($A361,Technologies!$A$7:$H$576,6,FALSE)</f>
        <v>Syn Kerosene</v>
      </c>
      <c r="F361" s="5" t="str">
        <f>VLOOKUP($A361,Technologies!$A$7:$H$576,7,FALSE)</f>
        <v>Synkerosene oriented Fischer Tropsch - Refineries</v>
      </c>
      <c r="G361" s="23"/>
      <c r="H361" s="23"/>
      <c r="I361" s="104" cm="1">
        <f t="array" ref="I361">-SUMPRODUCT((Feedstocks!$C$4:$C$141=A361)*Feedstocks!$E$4:$E$141,Feedstocks!$F$4:$F$141,Feedstocks!$H$4:$H$141,Feedstocks!$I$4:$I$141)</f>
        <v>0</v>
      </c>
      <c r="J361" s="104" cm="1">
        <f t="array" ref="J361">-SUMPRODUCT((Feedstocks!$C$4:$C$141=A361)*Feedstocks!$E$4:$E$141,Feedstocks!$H$4:$H$141,Feedstocks!$I$4:$I$141)</f>
        <v>0</v>
      </c>
      <c r="K361" s="104"/>
      <c r="L361" s="104"/>
      <c r="M361" s="23">
        <v>1</v>
      </c>
      <c r="N361" s="23" t="str">
        <f>VLOOKUP(E361,Activities!$A$9:$M$227,13,FALSE)</f>
        <v>NL</v>
      </c>
      <c r="O361" s="23"/>
      <c r="P361" s="79" t="s">
        <v>1527</v>
      </c>
      <c r="Q361" s="35"/>
      <c r="R361" s="35"/>
      <c r="S361" s="35"/>
      <c r="T361" s="35"/>
      <c r="U361" s="35"/>
      <c r="V361" s="35"/>
      <c r="W361" s="35"/>
      <c r="X361" s="35"/>
      <c r="Y361" s="35"/>
      <c r="Z361" s="35"/>
      <c r="AA361" s="35"/>
      <c r="AB361" s="35"/>
      <c r="AC361" s="35"/>
      <c r="AD361" s="35"/>
      <c r="AE361" s="35"/>
      <c r="AF361" s="36"/>
      <c r="AG361" s="36"/>
      <c r="AH361" s="36"/>
      <c r="AI361" s="36"/>
      <c r="AJ361" s="36"/>
      <c r="AK361" s="36"/>
      <c r="AL361" s="36"/>
      <c r="AM361" s="36"/>
      <c r="AN361" s="36"/>
      <c r="AO361" s="36"/>
      <c r="AP361" s="35"/>
      <c r="AQ361" s="35"/>
      <c r="AR361" s="35"/>
      <c r="AS361" s="35"/>
      <c r="AT361" s="35"/>
      <c r="AU361" s="35"/>
      <c r="AV361" s="35"/>
      <c r="AW361" s="35"/>
      <c r="AX361" s="35"/>
      <c r="AY361" s="35"/>
      <c r="AZ361" s="35"/>
      <c r="BA361" s="35"/>
      <c r="BB361" s="35"/>
      <c r="BC361" s="35"/>
      <c r="BD361" s="35"/>
      <c r="BE361" s="35"/>
      <c r="BF361" s="35"/>
      <c r="BG361" s="35"/>
      <c r="BH361" s="35"/>
      <c r="BI361" s="35"/>
      <c r="BJ361" s="35"/>
      <c r="BK361" s="35"/>
      <c r="BL361" s="35"/>
      <c r="BM361" s="35"/>
      <c r="BN361" s="35"/>
      <c r="BO361" s="35"/>
      <c r="BP361" s="35"/>
      <c r="BQ361" s="35"/>
      <c r="BR361" s="35"/>
      <c r="BS361" s="35"/>
      <c r="BT361" s="35"/>
      <c r="BU361" s="35"/>
      <c r="BV361" s="35"/>
      <c r="BW361" s="35"/>
      <c r="BX361" s="35"/>
      <c r="BY361" s="35"/>
      <c r="BZ361" s="35"/>
      <c r="CA361" s="35"/>
      <c r="CB361" s="35"/>
      <c r="CC361" s="35"/>
      <c r="CD361" s="35"/>
      <c r="CE361" s="35"/>
      <c r="CF361" s="35"/>
      <c r="CG361" s="35"/>
      <c r="CH361" s="35"/>
      <c r="CI361" s="35"/>
      <c r="CJ361" s="35"/>
      <c r="CK361" s="35"/>
      <c r="CL361" s="35"/>
      <c r="CM361" s="35"/>
      <c r="CN361" s="35"/>
      <c r="CO361" s="35"/>
      <c r="CP361" s="35"/>
      <c r="CQ361" s="35"/>
      <c r="CR361" s="35"/>
      <c r="CS361" s="35"/>
      <c r="CT361" s="35"/>
      <c r="CU361" s="35"/>
      <c r="CV361" s="35"/>
      <c r="CW361" s="35"/>
      <c r="CX361" s="35"/>
      <c r="CY361" s="35"/>
      <c r="CZ361" s="35"/>
      <c r="DA361" s="35"/>
      <c r="DB361" s="35"/>
      <c r="DC361" s="35"/>
      <c r="DD361" s="35"/>
      <c r="DE361" s="35"/>
      <c r="DF361" s="35"/>
      <c r="DG361" s="35"/>
      <c r="DH361" s="266">
        <v>-0.03</v>
      </c>
      <c r="DI361" s="35"/>
      <c r="DJ361" s="35"/>
      <c r="DK361" s="35"/>
      <c r="DL361" s="35"/>
      <c r="DM361" s="35"/>
      <c r="DN361" s="35"/>
      <c r="DO361" s="35"/>
      <c r="DP361" s="266">
        <v>0.44</v>
      </c>
      <c r="DQ361" s="35"/>
      <c r="DR361" s="35"/>
      <c r="DS361" s="35"/>
      <c r="DT361" s="35"/>
      <c r="DU361" s="35"/>
      <c r="DV361" s="35"/>
      <c r="DW361" s="35"/>
      <c r="DX361" s="35"/>
      <c r="DY361" s="35"/>
      <c r="DZ361" s="35"/>
      <c r="EA361" s="35"/>
      <c r="EB361" s="35"/>
      <c r="EC361" s="35"/>
      <c r="ED361" s="266">
        <v>0.33</v>
      </c>
      <c r="EE361" s="35"/>
      <c r="EF361" s="266">
        <v>1</v>
      </c>
      <c r="EG361" s="266">
        <v>-1.6</v>
      </c>
      <c r="EH361" s="35"/>
      <c r="EI361" s="35"/>
      <c r="EJ361" s="35"/>
      <c r="EK361" s="35"/>
      <c r="EL361" s="35"/>
      <c r="EM361" s="35"/>
      <c r="EN361" s="35"/>
      <c r="EO361" s="35"/>
      <c r="EP361" s="35"/>
      <c r="EQ361" s="35"/>
      <c r="ER361" s="35"/>
      <c r="ES361" s="35"/>
      <c r="ET361" s="35"/>
      <c r="EU361" s="35"/>
      <c r="EV361" s="35"/>
      <c r="EW361" s="35"/>
      <c r="EX361" s="35"/>
      <c r="EY361" s="35"/>
      <c r="EZ361" s="35"/>
      <c r="FA361" s="35"/>
      <c r="FB361" s="35"/>
      <c r="FC361" s="35"/>
      <c r="FD361" s="35"/>
      <c r="FE361" s="35"/>
      <c r="FF361" s="35"/>
      <c r="FG361" s="35"/>
      <c r="FH361" s="35"/>
      <c r="FI361" s="35"/>
      <c r="FJ361" s="35"/>
      <c r="FK361" s="35"/>
      <c r="FL361" s="35"/>
      <c r="FM361" s="35"/>
      <c r="FN361" s="35"/>
      <c r="FO361" s="35"/>
      <c r="FP361" s="35"/>
      <c r="FQ361" s="35"/>
      <c r="FR361" s="35"/>
      <c r="FS361" s="35"/>
      <c r="FT361" s="35"/>
      <c r="FU361" s="35"/>
      <c r="FV361" s="35"/>
      <c r="FW361" s="35"/>
      <c r="FX361" s="35"/>
      <c r="FY361" s="35"/>
      <c r="FZ361" s="35"/>
      <c r="GA361" s="35"/>
      <c r="GB361" s="318"/>
      <c r="GC361" s="178">
        <f t="shared" si="64"/>
        <v>0</v>
      </c>
      <c r="GD361" s="178">
        <f t="shared" si="65"/>
        <v>2.3E-2</v>
      </c>
      <c r="GE361" s="178">
        <f t="shared" si="66"/>
        <v>0</v>
      </c>
      <c r="GF361" s="178">
        <f t="shared" si="67"/>
        <v>0</v>
      </c>
      <c r="GG361" s="178">
        <f t="shared" si="69"/>
        <v>0</v>
      </c>
    </row>
    <row r="362" spans="1:342" x14ac:dyDescent="0.35">
      <c r="A362" s="6" t="s">
        <v>1533</v>
      </c>
      <c r="B362" s="6" t="str">
        <f>IF(Technologies!B362&lt;&gt;0,Technologies!B362,"")</f>
        <v>Industrie</v>
      </c>
      <c r="C362" s="6" t="str">
        <f>VLOOKUP($A362,Technologies!$A$7:$H$576,3,FALSE)</f>
        <v>Conversion</v>
      </c>
      <c r="D362" s="6" t="str">
        <f>VLOOKUP($A362,Technologies!$A$7:$H$576,4,FALSE)</f>
        <v>Refineries</v>
      </c>
      <c r="E362" s="6" t="str">
        <f>VLOOKUP($A362,Technologies!$A$7:$H$576,6,FALSE)</f>
        <v>Syn Kerosene</v>
      </c>
      <c r="F362" s="48" t="str">
        <f>VLOOKUP($A362,Technologies!$A$7:$H$576,7,FALSE)</f>
        <v>Synkerosene oriented methanol to fuels - Refineries</v>
      </c>
      <c r="G362" s="22"/>
      <c r="H362" s="22"/>
      <c r="I362" s="103" cm="1">
        <f t="array" ref="I362">-SUMPRODUCT((Feedstocks!$C$4:$C$141=A362)*Feedstocks!$E$4:$E$141,Feedstocks!$F$4:$F$141,Feedstocks!$H$4:$H$141,Feedstocks!$I$4:$I$141)</f>
        <v>0</v>
      </c>
      <c r="J362" s="103" cm="1">
        <f t="array" ref="J362">-SUMPRODUCT((Feedstocks!$C$4:$C$141=A362)*Feedstocks!$E$4:$E$141,Feedstocks!$H$4:$H$141,Feedstocks!$I$4:$I$141)</f>
        <v>0</v>
      </c>
      <c r="K362" s="103"/>
      <c r="L362" s="103"/>
      <c r="M362" s="22">
        <v>1</v>
      </c>
      <c r="N362" s="22" t="str">
        <f>VLOOKUP(E362,Activities!$A$9:$M$227,13,FALSE)</f>
        <v>NL</v>
      </c>
      <c r="O362" s="22"/>
      <c r="P362" s="80" t="s">
        <v>1828</v>
      </c>
      <c r="Q362" s="36"/>
      <c r="R362" s="36"/>
      <c r="S362" s="36"/>
      <c r="T362" s="36"/>
      <c r="U362" s="36"/>
      <c r="V362" s="36"/>
      <c r="W362" s="36"/>
      <c r="X362" s="36"/>
      <c r="Y362" s="36"/>
      <c r="Z362" s="36"/>
      <c r="AA362" s="36"/>
      <c r="AB362" s="36"/>
      <c r="AC362" s="36"/>
      <c r="AD362" s="36"/>
      <c r="AE362" s="36"/>
      <c r="AF362" s="35"/>
      <c r="AG362" s="35"/>
      <c r="AH362" s="35"/>
      <c r="AI362" s="35"/>
      <c r="AJ362" s="35"/>
      <c r="AK362" s="35"/>
      <c r="AL362" s="35"/>
      <c r="AM362" s="35"/>
      <c r="AN362" s="35"/>
      <c r="AO362" s="35"/>
      <c r="AP362" s="36"/>
      <c r="AQ362" s="36"/>
      <c r="AR362" s="36"/>
      <c r="AS362" s="36"/>
      <c r="AT362" s="36"/>
      <c r="AU362" s="36"/>
      <c r="AV362" s="36"/>
      <c r="AW362" s="36"/>
      <c r="AX362" s="36"/>
      <c r="AY362" s="36"/>
      <c r="AZ362" s="36"/>
      <c r="BA362" s="36"/>
      <c r="BB362" s="36"/>
      <c r="BC362" s="36"/>
      <c r="BD362" s="36"/>
      <c r="BE362" s="36"/>
      <c r="BF362" s="36"/>
      <c r="BG362" s="36"/>
      <c r="BH362" s="36"/>
      <c r="BI362" s="36"/>
      <c r="BJ362" s="36"/>
      <c r="BK362" s="36"/>
      <c r="BL362" s="36"/>
      <c r="BM362" s="36"/>
      <c r="BN362" s="36"/>
      <c r="BO362" s="36"/>
      <c r="BP362" s="36"/>
      <c r="BQ362" s="36"/>
      <c r="BR362" s="36"/>
      <c r="BS362" s="36"/>
      <c r="BT362" s="36"/>
      <c r="BU362" s="36"/>
      <c r="BV362" s="36"/>
      <c r="BW362" s="36"/>
      <c r="BX362" s="36"/>
      <c r="BY362" s="36"/>
      <c r="BZ362" s="36"/>
      <c r="CA362" s="36"/>
      <c r="CB362" s="36"/>
      <c r="CC362" s="36"/>
      <c r="CD362" s="36"/>
      <c r="CE362" s="36"/>
      <c r="CF362" s="36"/>
      <c r="CG362" s="36"/>
      <c r="CH362" s="36"/>
      <c r="CI362" s="36"/>
      <c r="CJ362" s="36"/>
      <c r="CK362" s="36"/>
      <c r="CL362" s="36"/>
      <c r="CM362" s="36"/>
      <c r="CN362" s="36"/>
      <c r="CO362" s="36"/>
      <c r="CP362" s="36"/>
      <c r="CQ362" s="36"/>
      <c r="CR362" s="36"/>
      <c r="CS362" s="36"/>
      <c r="CT362" s="36"/>
      <c r="CU362" s="36"/>
      <c r="CV362" s="36"/>
      <c r="CW362" s="36"/>
      <c r="CX362" s="36"/>
      <c r="CY362" s="36"/>
      <c r="CZ362" s="36"/>
      <c r="DA362" s="36"/>
      <c r="DB362" s="36"/>
      <c r="DC362" s="36"/>
      <c r="DD362" s="36"/>
      <c r="DE362" s="36"/>
      <c r="DF362" s="36"/>
      <c r="DG362" s="36"/>
      <c r="DH362" s="36">
        <v>-0.02</v>
      </c>
      <c r="DI362" s="36"/>
      <c r="DJ362" s="36"/>
      <c r="DK362" s="36"/>
      <c r="DL362" s="36"/>
      <c r="DM362" s="36"/>
      <c r="DN362" s="36"/>
      <c r="DO362" s="36"/>
      <c r="DP362" s="36">
        <v>-0.21</v>
      </c>
      <c r="DQ362" s="36"/>
      <c r="DR362" s="36"/>
      <c r="DS362" s="36"/>
      <c r="DT362" s="36"/>
      <c r="DU362" s="36"/>
      <c r="DV362" s="36"/>
      <c r="DW362" s="36"/>
      <c r="DX362" s="36"/>
      <c r="DY362" s="36"/>
      <c r="DZ362" s="36"/>
      <c r="EA362" s="36"/>
      <c r="EB362" s="36"/>
      <c r="EC362" s="36"/>
      <c r="ED362" s="266">
        <v>0.33</v>
      </c>
      <c r="EE362" s="36"/>
      <c r="EF362" s="266">
        <v>1</v>
      </c>
      <c r="EG362" s="36"/>
      <c r="EH362" s="36"/>
      <c r="EI362" s="266">
        <v>-1.7</v>
      </c>
      <c r="EJ362" s="36"/>
      <c r="EK362" s="36"/>
      <c r="EL362" s="36"/>
      <c r="EM362" s="36"/>
      <c r="EN362" s="36"/>
      <c r="EO362" s="36"/>
      <c r="EP362" s="36"/>
      <c r="EQ362" s="36"/>
      <c r="ER362" s="36"/>
      <c r="ES362" s="36"/>
      <c r="ET362" s="36"/>
      <c r="EU362" s="36"/>
      <c r="EV362" s="36"/>
      <c r="EW362" s="36"/>
      <c r="EX362" s="36"/>
      <c r="EY362" s="36"/>
      <c r="EZ362" s="36"/>
      <c r="FA362" s="36"/>
      <c r="FB362" s="36"/>
      <c r="FC362" s="36"/>
      <c r="FD362" s="36"/>
      <c r="FE362" s="36"/>
      <c r="FF362" s="36"/>
      <c r="FG362" s="36"/>
      <c r="FH362" s="36"/>
      <c r="FI362" s="36"/>
      <c r="FJ362" s="36"/>
      <c r="FK362" s="36"/>
      <c r="FL362" s="36"/>
      <c r="FM362" s="36"/>
      <c r="FN362" s="36"/>
      <c r="FO362" s="36"/>
      <c r="FP362" s="36"/>
      <c r="FQ362" s="36"/>
      <c r="FR362" s="36"/>
      <c r="FS362" s="36"/>
      <c r="FT362" s="36"/>
      <c r="FU362" s="36"/>
      <c r="FV362" s="36"/>
      <c r="FW362" s="36"/>
      <c r="FX362" s="36"/>
      <c r="FY362" s="36"/>
      <c r="FZ362" s="36"/>
      <c r="GA362" s="36"/>
      <c r="GB362" s="319"/>
      <c r="GC362" s="179">
        <f t="shared" si="64"/>
        <v>0</v>
      </c>
      <c r="GD362" s="179">
        <f t="shared" si="65"/>
        <v>2.0199999999999999E-2</v>
      </c>
      <c r="GE362" s="179">
        <f t="shared" si="66"/>
        <v>0</v>
      </c>
      <c r="GF362" s="179">
        <f t="shared" si="67"/>
        <v>0</v>
      </c>
      <c r="GG362" s="179">
        <f t="shared" si="69"/>
        <v>0</v>
      </c>
    </row>
    <row r="363" spans="1:342" s="261" customFormat="1" x14ac:dyDescent="0.35">
      <c r="A363" s="256" t="s">
        <v>1535</v>
      </c>
      <c r="B363" s="256" t="str">
        <f>IF(Technologies!B363&lt;&gt;0,Technologies!B363,"")</f>
        <v>Industrie</v>
      </c>
      <c r="C363" s="256" t="str">
        <f>VLOOKUP($A363,Technologies!$A$7:$H$576,3,FALSE)</f>
        <v>Conversion</v>
      </c>
      <c r="D363" s="256" t="str">
        <f>VLOOKUP($A363,Technologies!$A$7:$H$576,4,FALSE)</f>
        <v>Refineries</v>
      </c>
      <c r="E363" s="256" t="str">
        <f>VLOOKUP($A363,Technologies!$A$7:$H$576,6,FALSE)</f>
        <v>E-Kerosene</v>
      </c>
      <c r="F363" s="256" t="str">
        <f>VLOOKUP($A363,Technologies!$A$7:$H$576,7,FALSE)</f>
        <v>E-Kerosene oriented Fischer Tropsch incl. RWGS</v>
      </c>
      <c r="G363" s="262"/>
      <c r="H363" s="262">
        <f>ROUND(H367*(-EG361),2)</f>
        <v>0.12</v>
      </c>
      <c r="I363" s="264" cm="1">
        <f t="array" ref="I363">-SUMPRODUCT((Feedstocks!$C$4:$C$141=A363)*Feedstocks!$E$4:$E$141,Feedstocks!$F$4:$F$141,Feedstocks!$H$4:$H$141,Feedstocks!$I$4:$I$141)</f>
        <v>0</v>
      </c>
      <c r="J363" s="264" cm="1">
        <f t="array" ref="J363">-SUMPRODUCT((Feedstocks!$C$4:$C$141=A363)*Feedstocks!$E$4:$E$141,Feedstocks!$H$4:$H$141,Feedstocks!$I$4:$I$141)</f>
        <v>0</v>
      </c>
      <c r="K363" s="264"/>
      <c r="L363" s="264"/>
      <c r="M363" s="262">
        <v>1</v>
      </c>
      <c r="N363" s="262" t="s">
        <v>320</v>
      </c>
      <c r="O363" s="262"/>
      <c r="P363" s="265"/>
      <c r="Q363" s="266"/>
      <c r="R363" s="266"/>
      <c r="S363" s="266"/>
      <c r="T363" s="266"/>
      <c r="U363" s="266"/>
      <c r="V363" s="266"/>
      <c r="W363" s="266"/>
      <c r="X363" s="266"/>
      <c r="Y363" s="266"/>
      <c r="Z363" s="266"/>
      <c r="AA363" s="266"/>
      <c r="AB363" s="266"/>
      <c r="AC363" s="266"/>
      <c r="AD363" s="266"/>
      <c r="AE363" s="266"/>
      <c r="AF363" s="266"/>
      <c r="AG363" s="266"/>
      <c r="AH363" s="266"/>
      <c r="AI363" s="266"/>
      <c r="AJ363" s="266"/>
      <c r="AK363" s="266"/>
      <c r="AL363" s="266"/>
      <c r="AM363" s="266"/>
      <c r="AN363" s="266"/>
      <c r="AO363" s="266"/>
      <c r="AP363" s="266"/>
      <c r="AQ363" s="266"/>
      <c r="AR363" s="266"/>
      <c r="AS363" s="266"/>
      <c r="AT363" s="266"/>
      <c r="AU363" s="266"/>
      <c r="AV363" s="266"/>
      <c r="AW363" s="266"/>
      <c r="AX363" s="266"/>
      <c r="AY363" s="266"/>
      <c r="AZ363" s="266"/>
      <c r="BA363" s="266"/>
      <c r="BB363" s="266"/>
      <c r="BC363" s="266"/>
      <c r="BD363" s="266"/>
      <c r="BE363" s="266"/>
      <c r="BF363" s="266"/>
      <c r="BG363" s="266"/>
      <c r="BH363" s="266"/>
      <c r="BI363" s="266"/>
      <c r="BJ363" s="266"/>
      <c r="BK363" s="266"/>
      <c r="BL363" s="266"/>
      <c r="BM363" s="266"/>
      <c r="BN363" s="266"/>
      <c r="BO363" s="266"/>
      <c r="BP363" s="266"/>
      <c r="BQ363" s="266"/>
      <c r="BR363" s="266"/>
      <c r="BS363" s="266"/>
      <c r="BT363" s="266"/>
      <c r="BU363" s="266"/>
      <c r="BV363" s="266"/>
      <c r="BW363" s="266"/>
      <c r="BX363" s="266"/>
      <c r="BY363" s="266"/>
      <c r="BZ363" s="266"/>
      <c r="CA363" s="266"/>
      <c r="CB363" s="266"/>
      <c r="CC363" s="266"/>
      <c r="CD363" s="266"/>
      <c r="CE363" s="266"/>
      <c r="CF363" s="266"/>
      <c r="CG363" s="266"/>
      <c r="CH363" s="266"/>
      <c r="CI363" s="266"/>
      <c r="CJ363" s="266"/>
      <c r="CK363" s="266"/>
      <c r="CL363" s="266"/>
      <c r="CM363" s="266"/>
      <c r="CN363" s="266"/>
      <c r="CO363" s="266"/>
      <c r="CP363" s="266"/>
      <c r="CQ363" s="266"/>
      <c r="CR363" s="266"/>
      <c r="CS363" s="266"/>
      <c r="CT363" s="266"/>
      <c r="CU363" s="266"/>
      <c r="CV363" s="266"/>
      <c r="CW363" s="266"/>
      <c r="CX363" s="266"/>
      <c r="CY363" s="266"/>
      <c r="CZ363" s="266"/>
      <c r="DA363" s="266"/>
      <c r="DB363" s="266"/>
      <c r="DC363" s="266"/>
      <c r="DD363" s="266"/>
      <c r="DE363" s="266"/>
      <c r="DF363" s="266"/>
      <c r="DG363" s="266"/>
      <c r="DH363" s="266">
        <f>ROUND(-0.03+(DH367*-EG361),2)</f>
        <v>-0.03</v>
      </c>
      <c r="DI363" s="266"/>
      <c r="DJ363" s="266"/>
      <c r="DK363" s="266"/>
      <c r="DL363" s="266"/>
      <c r="DM363" s="266"/>
      <c r="DN363" s="266"/>
      <c r="DO363" s="266"/>
      <c r="DP363" s="266">
        <v>0.44</v>
      </c>
      <c r="DQ363" s="266"/>
      <c r="DR363" s="266"/>
      <c r="DS363" s="266"/>
      <c r="DT363" s="266"/>
      <c r="DU363" s="266"/>
      <c r="DV363" s="266"/>
      <c r="DW363" s="266"/>
      <c r="DX363" s="266"/>
      <c r="DY363" s="266"/>
      <c r="DZ363" s="266"/>
      <c r="EA363" s="266"/>
      <c r="EB363" s="266"/>
      <c r="EC363" s="266"/>
      <c r="ED363" s="266">
        <v>0.33</v>
      </c>
      <c r="EE363" s="266"/>
      <c r="EF363" s="266"/>
      <c r="EG363" s="266"/>
      <c r="EH363" s="266">
        <v>1</v>
      </c>
      <c r="EI363" s="266"/>
      <c r="EJ363" s="266"/>
      <c r="EK363" s="266"/>
      <c r="EL363" s="266"/>
      <c r="EM363" s="266">
        <f>ROUND(EM367*-EG361,2)</f>
        <v>-2.16</v>
      </c>
      <c r="EN363" s="266"/>
      <c r="EO363" s="266"/>
      <c r="EP363" s="266"/>
      <c r="EQ363" s="266"/>
      <c r="ER363" s="266"/>
      <c r="ES363" s="266"/>
      <c r="ET363" s="266"/>
      <c r="EU363" s="266"/>
      <c r="EV363" s="266"/>
      <c r="EW363" s="266"/>
      <c r="EX363" s="266"/>
      <c r="EY363" s="266"/>
      <c r="EZ363" s="266"/>
      <c r="FA363" s="266"/>
      <c r="FB363" s="266"/>
      <c r="FC363" s="266"/>
      <c r="FD363" s="266"/>
      <c r="FE363" s="266"/>
      <c r="FF363" s="266"/>
      <c r="FG363" s="266"/>
      <c r="FH363" s="266"/>
      <c r="FI363" s="266"/>
      <c r="FJ363" s="266"/>
      <c r="FK363" s="266"/>
      <c r="FL363" s="266"/>
      <c r="FM363" s="266"/>
      <c r="FN363" s="266"/>
      <c r="FO363" s="266"/>
      <c r="FP363" s="266"/>
      <c r="FQ363" s="266"/>
      <c r="FR363" s="266"/>
      <c r="FS363" s="266"/>
      <c r="FT363" s="266"/>
      <c r="FU363" s="266"/>
      <c r="FV363" s="266"/>
      <c r="FW363" s="266"/>
      <c r="FX363" s="266"/>
      <c r="FY363" s="266"/>
      <c r="FZ363" s="266"/>
      <c r="GA363" s="266"/>
      <c r="GB363" s="321"/>
      <c r="GC363" s="267">
        <f t="shared" si="64"/>
        <v>-0.12</v>
      </c>
      <c r="GD363" s="267">
        <f t="shared" si="65"/>
        <v>2.46E-2</v>
      </c>
      <c r="GE363" s="267">
        <f t="shared" si="66"/>
        <v>0</v>
      </c>
      <c r="GF363" s="267">
        <f t="shared" si="67"/>
        <v>0</v>
      </c>
      <c r="GG363" s="267">
        <f t="shared" si="69"/>
        <v>0</v>
      </c>
      <c r="GH363" s="1"/>
      <c r="GI363" s="1"/>
      <c r="GJ363" s="1"/>
      <c r="GK363" s="1"/>
      <c r="GL363" s="1"/>
      <c r="GM363" s="1"/>
      <c r="GN363" s="1"/>
      <c r="GO363" s="1"/>
      <c r="GP363" s="1"/>
      <c r="GQ363" s="1"/>
      <c r="GR363" s="1"/>
      <c r="GS363" s="1"/>
      <c r="GT363" s="1"/>
      <c r="GU363" s="1"/>
      <c r="GV363" s="1"/>
      <c r="GW363" s="1"/>
      <c r="GX363" s="1"/>
      <c r="GY363" s="1"/>
      <c r="GZ363" s="1"/>
      <c r="HA363" s="1"/>
      <c r="HB363" s="1"/>
      <c r="HC363" s="1"/>
      <c r="HD363" s="1"/>
      <c r="HE363" s="1"/>
      <c r="HF363" s="1"/>
      <c r="HG363" s="1"/>
      <c r="HH363" s="1"/>
      <c r="HI363" s="1"/>
      <c r="HJ363" s="1"/>
      <c r="HK363" s="1"/>
      <c r="HL363" s="1"/>
      <c r="HM363" s="1"/>
      <c r="HN363" s="1"/>
      <c r="HO363" s="1"/>
      <c r="HP363" s="1"/>
      <c r="HQ363" s="1"/>
      <c r="HR363" s="1"/>
      <c r="HS363" s="1"/>
      <c r="HT363" s="1"/>
      <c r="HU363" s="1"/>
      <c r="HV363" s="1"/>
      <c r="HW363" s="1"/>
      <c r="HX363" s="1"/>
      <c r="HY363" s="1"/>
      <c r="HZ363" s="1"/>
      <c r="IA363" s="1"/>
      <c r="IB363" s="1"/>
      <c r="IC363" s="1"/>
      <c r="ID363" s="1"/>
      <c r="IE363" s="1"/>
      <c r="IF363" s="1"/>
      <c r="IG363" s="1"/>
      <c r="IH363" s="1"/>
      <c r="II363" s="1"/>
      <c r="IJ363" s="1"/>
      <c r="IK363" s="1"/>
      <c r="IL363" s="1"/>
      <c r="IM363" s="1"/>
      <c r="IN363" s="1"/>
      <c r="IO363" s="1"/>
      <c r="IP363" s="1"/>
      <c r="IQ363" s="1"/>
      <c r="IR363" s="1"/>
      <c r="IS363" s="1"/>
      <c r="IT363" s="1"/>
      <c r="IU363" s="1"/>
      <c r="IV363" s="1"/>
      <c r="IW363" s="1"/>
      <c r="IX363" s="1"/>
      <c r="IY363" s="1"/>
      <c r="IZ363" s="1"/>
      <c r="JA363" s="1"/>
      <c r="JB363" s="1"/>
      <c r="JC363" s="1"/>
      <c r="JD363" s="1"/>
      <c r="JE363" s="1"/>
      <c r="JF363" s="1"/>
      <c r="JG363" s="1"/>
      <c r="JH363" s="1"/>
      <c r="JI363" s="1"/>
      <c r="JJ363" s="1"/>
      <c r="JK363" s="1"/>
      <c r="JL363" s="1"/>
      <c r="JM363" s="1"/>
      <c r="JN363" s="1"/>
      <c r="JO363" s="1"/>
      <c r="JP363" s="1"/>
      <c r="JQ363" s="1"/>
      <c r="JR363" s="1"/>
      <c r="JS363" s="1"/>
      <c r="JT363" s="1"/>
      <c r="JU363" s="1"/>
      <c r="JV363" s="1"/>
      <c r="JW363" s="1"/>
      <c r="JX363" s="1"/>
      <c r="JY363" s="1"/>
      <c r="JZ363" s="1"/>
      <c r="KA363" s="1"/>
      <c r="KB363" s="1"/>
      <c r="KC363" s="1"/>
      <c r="KD363" s="1"/>
      <c r="KE363" s="1"/>
      <c r="KF363" s="1"/>
      <c r="KG363" s="1"/>
      <c r="KH363" s="1"/>
      <c r="KI363" s="1"/>
      <c r="KJ363" s="1"/>
      <c r="KK363" s="1"/>
      <c r="KL363" s="1"/>
      <c r="KM363" s="1"/>
      <c r="KN363" s="1"/>
      <c r="KO363" s="1"/>
      <c r="KP363" s="1"/>
      <c r="KQ363" s="1"/>
      <c r="KR363" s="1"/>
      <c r="KS363" s="1"/>
      <c r="KT363" s="1"/>
      <c r="KU363" s="1"/>
      <c r="KV363" s="1"/>
      <c r="KW363" s="1"/>
      <c r="KX363" s="1"/>
      <c r="KY363" s="1"/>
      <c r="KZ363" s="1"/>
      <c r="LA363" s="1"/>
      <c r="LB363" s="1"/>
      <c r="LC363" s="1"/>
      <c r="LD363" s="1"/>
      <c r="LE363" s="1"/>
      <c r="LF363" s="1"/>
      <c r="LG363" s="1"/>
      <c r="LH363" s="1"/>
      <c r="LI363" s="1"/>
      <c r="LJ363" s="1"/>
      <c r="LK363" s="1"/>
      <c r="LL363" s="1"/>
      <c r="LM363" s="1"/>
      <c r="LN363" s="1"/>
      <c r="LO363" s="1"/>
      <c r="LP363" s="1"/>
      <c r="LQ363" s="1"/>
      <c r="LR363" s="1"/>
      <c r="LS363" s="1"/>
      <c r="LT363" s="1"/>
      <c r="LU363" s="1"/>
      <c r="LV363" s="1"/>
      <c r="LW363" s="1"/>
      <c r="LX363" s="1"/>
      <c r="LY363" s="1"/>
      <c r="LZ363" s="1"/>
      <c r="MA363" s="1"/>
      <c r="MB363" s="1"/>
      <c r="MC363" s="1"/>
      <c r="MD363" s="1"/>
    </row>
    <row r="364" spans="1:342" s="261" customFormat="1" x14ac:dyDescent="0.35">
      <c r="A364" s="256" t="s">
        <v>1537</v>
      </c>
      <c r="B364" s="256" t="str">
        <f>IF(Technologies!B364&lt;&gt;0,Technologies!B364,"")</f>
        <v>Industrie</v>
      </c>
      <c r="C364" s="256" t="str">
        <f>VLOOKUP($A364,Technologies!$A$7:$H$576,3,FALSE)</f>
        <v>Conversion</v>
      </c>
      <c r="D364" s="256" t="str">
        <f>VLOOKUP($A364,Technologies!$A$7:$H$576,4,FALSE)</f>
        <v>Refineries</v>
      </c>
      <c r="E364" s="256" t="str">
        <f>VLOOKUP($A364,Technologies!$A$7:$H$576,6,FALSE)</f>
        <v>E-Kerosene</v>
      </c>
      <c r="F364" s="268" t="str">
        <f>VLOOKUP($A364,Technologies!$A$7:$H$576,7,FALSE)</f>
        <v>E-Kerosene oriented methanol to fuels incl. methanol production</v>
      </c>
      <c r="G364" s="262"/>
      <c r="H364" s="262">
        <f>ROUND(H372*-EI362,2)</f>
        <v>0.13</v>
      </c>
      <c r="I364" s="264" cm="1">
        <f t="array" ref="I364">-SUMPRODUCT((Feedstocks!$C$4:$C$141=A364)*Feedstocks!$E$4:$E$141,Feedstocks!$F$4:$F$141,Feedstocks!$H$4:$H$141,Feedstocks!$I$4:$I$141)</f>
        <v>0</v>
      </c>
      <c r="J364" s="264" cm="1">
        <f t="array" ref="J364">-SUMPRODUCT((Feedstocks!$C$4:$C$141=A364)*Feedstocks!$E$4:$E$141,Feedstocks!$H$4:$H$141,Feedstocks!$I$4:$I$141)</f>
        <v>0</v>
      </c>
      <c r="K364" s="264"/>
      <c r="L364" s="264"/>
      <c r="M364" s="262">
        <v>1</v>
      </c>
      <c r="N364" s="262" t="s">
        <v>320</v>
      </c>
      <c r="O364" s="262"/>
      <c r="P364" s="265"/>
      <c r="Q364" s="266"/>
      <c r="R364" s="266"/>
      <c r="S364" s="266"/>
      <c r="T364" s="266"/>
      <c r="U364" s="266"/>
      <c r="V364" s="266"/>
      <c r="W364" s="266"/>
      <c r="X364" s="266"/>
      <c r="Y364" s="266"/>
      <c r="Z364" s="266"/>
      <c r="AA364" s="266"/>
      <c r="AB364" s="266"/>
      <c r="AC364" s="266"/>
      <c r="AD364" s="266"/>
      <c r="AE364" s="266"/>
      <c r="AF364" s="266"/>
      <c r="AG364" s="266"/>
      <c r="AH364" s="266"/>
      <c r="AI364" s="266"/>
      <c r="AJ364" s="266"/>
      <c r="AK364" s="266"/>
      <c r="AL364" s="266"/>
      <c r="AM364" s="266"/>
      <c r="AN364" s="266"/>
      <c r="AO364" s="266"/>
      <c r="AP364" s="266"/>
      <c r="AQ364" s="266"/>
      <c r="AR364" s="266"/>
      <c r="AS364" s="266"/>
      <c r="AT364" s="266"/>
      <c r="AU364" s="266"/>
      <c r="AV364" s="266"/>
      <c r="AW364" s="266"/>
      <c r="AX364" s="266"/>
      <c r="AY364" s="266"/>
      <c r="AZ364" s="266"/>
      <c r="BA364" s="266"/>
      <c r="BB364" s="266"/>
      <c r="BC364" s="266"/>
      <c r="BD364" s="266"/>
      <c r="BE364" s="266"/>
      <c r="BF364" s="266"/>
      <c r="BG364" s="266"/>
      <c r="BH364" s="266"/>
      <c r="BI364" s="266"/>
      <c r="BJ364" s="266"/>
      <c r="BK364" s="266"/>
      <c r="BL364" s="266"/>
      <c r="BM364" s="266"/>
      <c r="BN364" s="266"/>
      <c r="BO364" s="266"/>
      <c r="BP364" s="266"/>
      <c r="BQ364" s="266"/>
      <c r="BR364" s="266"/>
      <c r="BS364" s="266"/>
      <c r="BT364" s="266"/>
      <c r="BU364" s="266"/>
      <c r="BV364" s="266"/>
      <c r="BW364" s="266"/>
      <c r="BX364" s="266"/>
      <c r="BY364" s="266"/>
      <c r="BZ364" s="266"/>
      <c r="CA364" s="266"/>
      <c r="CB364" s="266"/>
      <c r="CC364" s="266"/>
      <c r="CD364" s="266"/>
      <c r="CE364" s="266"/>
      <c r="CF364" s="266"/>
      <c r="CG364" s="266"/>
      <c r="CH364" s="266"/>
      <c r="CI364" s="266"/>
      <c r="CJ364" s="266"/>
      <c r="CK364" s="266"/>
      <c r="CL364" s="266"/>
      <c r="CM364" s="266"/>
      <c r="CN364" s="266"/>
      <c r="CO364" s="266"/>
      <c r="CP364" s="266"/>
      <c r="CQ364" s="266"/>
      <c r="CR364" s="266"/>
      <c r="CS364" s="266"/>
      <c r="CT364" s="266"/>
      <c r="CU364" s="266"/>
      <c r="CV364" s="266"/>
      <c r="CW364" s="266"/>
      <c r="CX364" s="266"/>
      <c r="CY364" s="266"/>
      <c r="CZ364" s="266"/>
      <c r="DA364" s="266"/>
      <c r="DB364" s="266"/>
      <c r="DC364" s="266"/>
      <c r="DD364" s="266"/>
      <c r="DE364" s="266"/>
      <c r="DF364" s="266"/>
      <c r="DG364" s="266"/>
      <c r="DH364" s="266">
        <f>ROUND(-0.02+(DH372*-EI362),2)</f>
        <v>-0.11</v>
      </c>
      <c r="DI364" s="266"/>
      <c r="DJ364" s="266"/>
      <c r="DK364" s="266"/>
      <c r="DL364" s="266"/>
      <c r="DM364" s="266"/>
      <c r="DN364" s="266"/>
      <c r="DO364" s="266"/>
      <c r="DP364" s="266">
        <v>-0.21</v>
      </c>
      <c r="DQ364" s="266"/>
      <c r="DR364" s="266"/>
      <c r="DS364" s="266"/>
      <c r="DT364" s="266"/>
      <c r="DU364" s="266"/>
      <c r="DV364" s="266"/>
      <c r="DW364" s="266"/>
      <c r="DX364" s="266"/>
      <c r="DY364" s="266"/>
      <c r="DZ364" s="266"/>
      <c r="EA364" s="266"/>
      <c r="EB364" s="266"/>
      <c r="EC364" s="266"/>
      <c r="ED364" s="266">
        <v>0.33</v>
      </c>
      <c r="EE364" s="266"/>
      <c r="EF364" s="266"/>
      <c r="EG364" s="266"/>
      <c r="EH364" s="266">
        <v>1</v>
      </c>
      <c r="EI364" s="266"/>
      <c r="EJ364" s="266"/>
      <c r="EK364" s="266"/>
      <c r="EL364" s="266"/>
      <c r="EM364" s="266">
        <f>ROUND(EM372*-EI362,2)</f>
        <v>-2.0699999999999998</v>
      </c>
      <c r="EN364" s="266"/>
      <c r="EO364" s="266"/>
      <c r="EP364" s="266"/>
      <c r="EQ364" s="266"/>
      <c r="ER364" s="266"/>
      <c r="ES364" s="266"/>
      <c r="ET364" s="266"/>
      <c r="EU364" s="266"/>
      <c r="EV364" s="266"/>
      <c r="EW364" s="266"/>
      <c r="EX364" s="266"/>
      <c r="EY364" s="266"/>
      <c r="EZ364" s="266"/>
      <c r="FA364" s="266"/>
      <c r="FB364" s="266"/>
      <c r="FC364" s="266"/>
      <c r="FD364" s="266"/>
      <c r="FE364" s="266"/>
      <c r="FF364" s="266"/>
      <c r="FG364" s="266"/>
      <c r="FH364" s="266"/>
      <c r="FI364" s="266"/>
      <c r="FJ364" s="266"/>
      <c r="FK364" s="266"/>
      <c r="FL364" s="266"/>
      <c r="FM364" s="266"/>
      <c r="FN364" s="266"/>
      <c r="FO364" s="266"/>
      <c r="FP364" s="266"/>
      <c r="FQ364" s="266"/>
      <c r="FR364" s="266"/>
      <c r="FS364" s="266"/>
      <c r="FT364" s="266"/>
      <c r="FU364" s="266"/>
      <c r="FV364" s="266"/>
      <c r="FW364" s="266"/>
      <c r="FX364" s="266"/>
      <c r="FY364" s="266"/>
      <c r="FZ364" s="266"/>
      <c r="GA364" s="266"/>
      <c r="GB364" s="321"/>
      <c r="GC364" s="267">
        <f t="shared" si="64"/>
        <v>-0.13</v>
      </c>
      <c r="GD364" s="267">
        <f t="shared" si="65"/>
        <v>3.4599999999999999E-2</v>
      </c>
      <c r="GE364" s="267">
        <f t="shared" si="66"/>
        <v>0</v>
      </c>
      <c r="GF364" s="267">
        <f t="shared" si="67"/>
        <v>0</v>
      </c>
      <c r="GG364" s="267">
        <f t="shared" si="69"/>
        <v>0</v>
      </c>
      <c r="GH364" s="1"/>
      <c r="GI364" s="1"/>
      <c r="GJ364" s="1"/>
      <c r="GK364" s="1"/>
      <c r="GL364" s="1"/>
      <c r="GM364" s="1"/>
      <c r="GN364" s="1"/>
      <c r="GO364" s="1"/>
      <c r="GP364" s="1"/>
      <c r="GQ364" s="1"/>
      <c r="GR364" s="1"/>
      <c r="GS364" s="1"/>
      <c r="GT364" s="1"/>
      <c r="GU364" s="1"/>
      <c r="GV364" s="1"/>
      <c r="GW364" s="1"/>
      <c r="GX364" s="1"/>
      <c r="GY364" s="1"/>
      <c r="GZ364" s="1"/>
      <c r="HA364" s="1"/>
      <c r="HB364" s="1"/>
      <c r="HC364" s="1"/>
      <c r="HD364" s="1"/>
      <c r="HE364" s="1"/>
      <c r="HF364" s="1"/>
      <c r="HG364" s="1"/>
      <c r="HH364" s="1"/>
      <c r="HI364" s="1"/>
      <c r="HJ364" s="1"/>
      <c r="HK364" s="1"/>
      <c r="HL364" s="1"/>
      <c r="HM364" s="1"/>
      <c r="HN364" s="1"/>
      <c r="HO364" s="1"/>
      <c r="HP364" s="1"/>
      <c r="HQ364" s="1"/>
      <c r="HR364" s="1"/>
      <c r="HS364" s="1"/>
      <c r="HT364" s="1"/>
      <c r="HU364" s="1"/>
      <c r="HV364" s="1"/>
      <c r="HW364" s="1"/>
      <c r="HX364" s="1"/>
      <c r="HY364" s="1"/>
      <c r="HZ364" s="1"/>
      <c r="IA364" s="1"/>
      <c r="IB364" s="1"/>
      <c r="IC364" s="1"/>
      <c r="ID364" s="1"/>
      <c r="IE364" s="1"/>
      <c r="IF364" s="1"/>
      <c r="IG364" s="1"/>
      <c r="IH364" s="1"/>
      <c r="II364" s="1"/>
      <c r="IJ364" s="1"/>
      <c r="IK364" s="1"/>
      <c r="IL364" s="1"/>
      <c r="IM364" s="1"/>
      <c r="IN364" s="1"/>
      <c r="IO364" s="1"/>
      <c r="IP364" s="1"/>
      <c r="IQ364" s="1"/>
      <c r="IR364" s="1"/>
      <c r="IS364" s="1"/>
      <c r="IT364" s="1"/>
      <c r="IU364" s="1"/>
      <c r="IV364" s="1"/>
      <c r="IW364" s="1"/>
      <c r="IX364" s="1"/>
      <c r="IY364" s="1"/>
      <c r="IZ364" s="1"/>
      <c r="JA364" s="1"/>
      <c r="JB364" s="1"/>
      <c r="JC364" s="1"/>
      <c r="JD364" s="1"/>
      <c r="JE364" s="1"/>
      <c r="JF364" s="1"/>
      <c r="JG364" s="1"/>
      <c r="JH364" s="1"/>
      <c r="JI364" s="1"/>
      <c r="JJ364" s="1"/>
      <c r="JK364" s="1"/>
      <c r="JL364" s="1"/>
      <c r="JM364" s="1"/>
      <c r="JN364" s="1"/>
      <c r="JO364" s="1"/>
      <c r="JP364" s="1"/>
      <c r="JQ364" s="1"/>
      <c r="JR364" s="1"/>
      <c r="JS364" s="1"/>
      <c r="JT364" s="1"/>
      <c r="JU364" s="1"/>
      <c r="JV364" s="1"/>
      <c r="JW364" s="1"/>
      <c r="JX364" s="1"/>
      <c r="JY364" s="1"/>
      <c r="JZ364" s="1"/>
      <c r="KA364" s="1"/>
      <c r="KB364" s="1"/>
      <c r="KC364" s="1"/>
      <c r="KD364" s="1"/>
      <c r="KE364" s="1"/>
      <c r="KF364" s="1"/>
      <c r="KG364" s="1"/>
      <c r="KH364" s="1"/>
      <c r="KI364" s="1"/>
      <c r="KJ364" s="1"/>
      <c r="KK364" s="1"/>
      <c r="KL364" s="1"/>
      <c r="KM364" s="1"/>
      <c r="KN364" s="1"/>
      <c r="KO364" s="1"/>
      <c r="KP364" s="1"/>
      <c r="KQ364" s="1"/>
      <c r="KR364" s="1"/>
      <c r="KS364" s="1"/>
      <c r="KT364" s="1"/>
      <c r="KU364" s="1"/>
      <c r="KV364" s="1"/>
      <c r="KW364" s="1"/>
      <c r="KX364" s="1"/>
      <c r="KY364" s="1"/>
      <c r="KZ364" s="1"/>
      <c r="LA364" s="1"/>
      <c r="LB364" s="1"/>
      <c r="LC364" s="1"/>
      <c r="LD364" s="1"/>
      <c r="LE364" s="1"/>
      <c r="LF364" s="1"/>
      <c r="LG364" s="1"/>
      <c r="LH364" s="1"/>
      <c r="LI364" s="1"/>
      <c r="LJ364" s="1"/>
      <c r="LK364" s="1"/>
      <c r="LL364" s="1"/>
      <c r="LM364" s="1"/>
      <c r="LN364" s="1"/>
      <c r="LO364" s="1"/>
      <c r="LP364" s="1"/>
      <c r="LQ364" s="1"/>
      <c r="LR364" s="1"/>
      <c r="LS364" s="1"/>
      <c r="LT364" s="1"/>
      <c r="LU364" s="1"/>
      <c r="LV364" s="1"/>
      <c r="LW364" s="1"/>
      <c r="LX364" s="1"/>
      <c r="LY364" s="1"/>
      <c r="LZ364" s="1"/>
      <c r="MA364" s="1"/>
      <c r="MB364" s="1"/>
      <c r="MC364" s="1"/>
      <c r="MD364" s="1"/>
    </row>
    <row r="365" spans="1:342" s="261" customFormat="1" x14ac:dyDescent="0.35">
      <c r="A365" s="5" t="s">
        <v>1539</v>
      </c>
      <c r="B365" s="5" t="str">
        <f>IF(Technologies!B365&lt;&gt;0,Technologies!B365,"")</f>
        <v>Industrie</v>
      </c>
      <c r="C365" s="5" t="str">
        <f>VLOOKUP($A365,Technologies!$A$7:$H$576,3,FALSE)</f>
        <v>Conversion</v>
      </c>
      <c r="D365" s="5" t="str">
        <f>VLOOKUP($A365,Technologies!$A$7:$H$576,4,FALSE)</f>
        <v>Refineries</v>
      </c>
      <c r="E365" s="5" t="str">
        <f>VLOOKUP($A365,Technologies!$A$7:$H$576,6,FALSE)</f>
        <v>Syngas</v>
      </c>
      <c r="F365" s="5" t="str">
        <f>VLOOKUP($A365,Technologies!$A$7:$H$576,7,FALSE)</f>
        <v>Syngas from biomass indirect gasification with pure stream capture - Refineries</v>
      </c>
      <c r="G365" s="23">
        <v>0.47903606817085026</v>
      </c>
      <c r="H365" s="23"/>
      <c r="I365" s="104" cm="1">
        <f t="array" ref="I365">-SUMPRODUCT((Feedstocks!$C$4:$C$141=A365)*Feedstocks!$E$4:$E$141,Feedstocks!$F$4:$F$141,Feedstocks!$H$4:$H$141,Feedstocks!$I$4:$I$141)</f>
        <v>0</v>
      </c>
      <c r="J365" s="104" cm="1">
        <f t="array" ref="J365">-SUMPRODUCT((Feedstocks!$C$4:$C$141=A365)*Feedstocks!$E$4:$E$141,Feedstocks!$H$4:$H$141,Feedstocks!$I$4:$I$141)</f>
        <v>0</v>
      </c>
      <c r="K365" s="104"/>
      <c r="L365" s="104"/>
      <c r="M365" s="23">
        <v>1</v>
      </c>
      <c r="N365" s="23" t="str">
        <f>VLOOKUP(E365,Activities!$A$9:$M$227,13,FALSE)</f>
        <v>NL</v>
      </c>
      <c r="O365" s="23"/>
      <c r="P365" s="289" t="s">
        <v>1829</v>
      </c>
      <c r="Q365" s="35"/>
      <c r="R365" s="35"/>
      <c r="S365" s="35"/>
      <c r="T365" s="35"/>
      <c r="U365" s="35"/>
      <c r="V365" s="35"/>
      <c r="W365" s="35"/>
      <c r="X365" s="35"/>
      <c r="Y365" s="35"/>
      <c r="Z365" s="35"/>
      <c r="AA365" s="35"/>
      <c r="AB365" s="35"/>
      <c r="AC365" s="35"/>
      <c r="AD365" s="35"/>
      <c r="AE365" s="35"/>
      <c r="AF365" s="35"/>
      <c r="AG365" s="35"/>
      <c r="AH365" s="35"/>
      <c r="AI365" s="35"/>
      <c r="AJ365" s="35"/>
      <c r="AK365" s="35"/>
      <c r="AL365" s="35"/>
      <c r="AM365" s="35"/>
      <c r="AN365" s="35"/>
      <c r="AO365" s="35"/>
      <c r="AP365" s="35"/>
      <c r="AQ365" s="35"/>
      <c r="AR365" s="35"/>
      <c r="AS365" s="35"/>
      <c r="AT365" s="35"/>
      <c r="AU365" s="35"/>
      <c r="AV365" s="35"/>
      <c r="AW365" s="35"/>
      <c r="AX365" s="35"/>
      <c r="AY365" s="35"/>
      <c r="AZ365" s="35"/>
      <c r="BA365" s="35"/>
      <c r="BB365" s="35"/>
      <c r="BC365" s="35"/>
      <c r="BD365" s="35"/>
      <c r="BE365" s="35"/>
      <c r="BF365" s="35"/>
      <c r="BG365" s="35"/>
      <c r="BH365" s="35"/>
      <c r="BI365" s="35"/>
      <c r="BJ365" s="35"/>
      <c r="BK365" s="35"/>
      <c r="BL365" s="35"/>
      <c r="BM365" s="35"/>
      <c r="BN365" s="35"/>
      <c r="BO365" s="35"/>
      <c r="BP365" s="35"/>
      <c r="BQ365" s="35"/>
      <c r="BR365" s="35"/>
      <c r="BS365" s="35"/>
      <c r="BT365" s="35"/>
      <c r="BU365" s="35"/>
      <c r="BV365" s="35"/>
      <c r="BW365" s="35"/>
      <c r="BX365" s="35"/>
      <c r="BY365" s="35"/>
      <c r="BZ365" s="35"/>
      <c r="CA365" s="35"/>
      <c r="CB365" s="35"/>
      <c r="CC365" s="35"/>
      <c r="CD365" s="35"/>
      <c r="CE365" s="35"/>
      <c r="CF365" s="35"/>
      <c r="CG365" s="35"/>
      <c r="CH365" s="35"/>
      <c r="CI365" s="35"/>
      <c r="CJ365" s="35"/>
      <c r="CK365" s="35"/>
      <c r="CL365" s="35"/>
      <c r="CM365" s="35"/>
      <c r="CN365" s="35"/>
      <c r="CO365" s="35"/>
      <c r="CP365" s="35"/>
      <c r="CQ365" s="35"/>
      <c r="CR365" s="35"/>
      <c r="CS365" s="35"/>
      <c r="CT365" s="35"/>
      <c r="CU365" s="35"/>
      <c r="CV365" s="35"/>
      <c r="CW365" s="35"/>
      <c r="CX365" s="35"/>
      <c r="CY365" s="35"/>
      <c r="CZ365" s="35"/>
      <c r="DA365" s="35"/>
      <c r="DB365" s="35"/>
      <c r="DC365" s="35"/>
      <c r="DD365" s="35"/>
      <c r="DE365" s="35"/>
      <c r="DF365" s="35"/>
      <c r="DG365" s="35"/>
      <c r="DH365" s="35"/>
      <c r="DI365" s="35"/>
      <c r="DJ365" s="35"/>
      <c r="DK365" s="35"/>
      <c r="DL365" s="35"/>
      <c r="DM365" s="35"/>
      <c r="DN365" s="35"/>
      <c r="DO365" s="35"/>
      <c r="DP365" s="35"/>
      <c r="DQ365" s="35"/>
      <c r="DR365" s="35"/>
      <c r="DS365" s="35"/>
      <c r="DT365" s="35"/>
      <c r="DU365" s="35"/>
      <c r="DV365" s="35"/>
      <c r="DW365" s="35"/>
      <c r="DX365" s="35"/>
      <c r="DY365" s="35"/>
      <c r="DZ365" s="35"/>
      <c r="EA365" s="35"/>
      <c r="EB365" s="35"/>
      <c r="EC365" s="35"/>
      <c r="ED365" s="35"/>
      <c r="EE365" s="35"/>
      <c r="EF365" s="35"/>
      <c r="EG365" s="35">
        <v>1</v>
      </c>
      <c r="EH365" s="35"/>
      <c r="EI365" s="35"/>
      <c r="EJ365" s="35"/>
      <c r="EK365" s="35"/>
      <c r="EL365" s="35"/>
      <c r="EM365" s="35"/>
      <c r="EN365" s="35"/>
      <c r="EO365" s="35"/>
      <c r="EP365" s="35"/>
      <c r="EQ365" s="35"/>
      <c r="ER365" s="35">
        <v>-2.4634811357447797</v>
      </c>
      <c r="ES365" s="35"/>
      <c r="ET365" s="35"/>
      <c r="EU365" s="35"/>
      <c r="EV365" s="35"/>
      <c r="EW365" s="35"/>
      <c r="EX365" s="35"/>
      <c r="EY365" s="35"/>
      <c r="EZ365" s="35"/>
      <c r="FA365" s="35"/>
      <c r="FB365" s="35"/>
      <c r="FC365" s="35"/>
      <c r="FD365" s="35"/>
      <c r="FE365" s="35"/>
      <c r="FF365" s="35"/>
      <c r="FG365" s="35"/>
      <c r="FH365" s="35"/>
      <c r="FI365" s="35"/>
      <c r="FJ365" s="35"/>
      <c r="FK365" s="35"/>
      <c r="FL365" s="35"/>
      <c r="FM365" s="35"/>
      <c r="FN365" s="35"/>
      <c r="FO365" s="35"/>
      <c r="FP365" s="35"/>
      <c r="FQ365" s="35"/>
      <c r="FR365" s="35"/>
      <c r="FS365" s="35"/>
      <c r="FT365" s="35"/>
      <c r="FU365" s="35"/>
      <c r="FV365" s="35"/>
      <c r="FW365" s="35"/>
      <c r="FX365" s="35"/>
      <c r="FY365" s="35"/>
      <c r="FZ365" s="35"/>
      <c r="GA365" s="35"/>
      <c r="GB365" s="353">
        <f>GC365</f>
        <v>9.3899999999999997E-2</v>
      </c>
      <c r="GC365" s="267">
        <f t="shared" si="64"/>
        <v>9.3899999999999997E-2</v>
      </c>
      <c r="GD365" s="267">
        <f t="shared" si="65"/>
        <v>-0.16789999999999999</v>
      </c>
      <c r="GE365" s="267">
        <f t="shared" si="66"/>
        <v>0</v>
      </c>
      <c r="GF365" s="267">
        <f t="shared" si="67"/>
        <v>0</v>
      </c>
      <c r="GG365" s="267">
        <f t="shared" si="69"/>
        <v>0</v>
      </c>
      <c r="GH365" s="1"/>
      <c r="GI365" s="1"/>
      <c r="GJ365" s="1"/>
      <c r="GK365" s="1"/>
      <c r="GL365" s="1"/>
      <c r="GM365" s="1"/>
      <c r="GN365" s="1"/>
      <c r="GO365" s="1"/>
      <c r="GP365" s="1"/>
      <c r="GQ365" s="1"/>
      <c r="GR365" s="1"/>
      <c r="GS365" s="1"/>
      <c r="GT365" s="1"/>
      <c r="GU365" s="1"/>
      <c r="GV365" s="1"/>
      <c r="GW365" s="1"/>
      <c r="GX365" s="1"/>
      <c r="GY365" s="1"/>
      <c r="GZ365" s="1"/>
      <c r="HA365" s="1"/>
      <c r="HB365" s="1"/>
      <c r="HC365" s="1"/>
      <c r="HD365" s="1"/>
      <c r="HE365" s="1"/>
      <c r="HF365" s="1"/>
      <c r="HG365" s="1"/>
      <c r="HH365" s="1"/>
      <c r="HI365" s="1"/>
      <c r="HJ365" s="1"/>
      <c r="HK365" s="1"/>
      <c r="HL365" s="1"/>
      <c r="HM365" s="1"/>
      <c r="HN365" s="1"/>
      <c r="HO365" s="1"/>
      <c r="HP365" s="1"/>
      <c r="HQ365" s="1"/>
      <c r="HR365" s="1"/>
      <c r="HS365" s="1"/>
      <c r="HT365" s="1"/>
      <c r="HU365" s="1"/>
      <c r="HV365" s="1"/>
      <c r="HW365" s="1"/>
      <c r="HX365" s="1"/>
      <c r="HY365" s="1"/>
      <c r="HZ365" s="1"/>
      <c r="IA365" s="1"/>
      <c r="IB365" s="1"/>
      <c r="IC365" s="1"/>
      <c r="ID365" s="1"/>
      <c r="IE365" s="1"/>
      <c r="IF365" s="1"/>
      <c r="IG365" s="1"/>
      <c r="IH365" s="1"/>
      <c r="II365" s="1"/>
      <c r="IJ365" s="1"/>
      <c r="IK365" s="1"/>
      <c r="IL365" s="1"/>
      <c r="IM365" s="1"/>
      <c r="IN365" s="1"/>
      <c r="IO365" s="1"/>
      <c r="IP365" s="1"/>
      <c r="IQ365" s="1"/>
      <c r="IR365" s="1"/>
      <c r="IS365" s="1"/>
      <c r="IT365" s="1"/>
      <c r="IU365" s="1"/>
      <c r="IV365" s="1"/>
      <c r="IW365" s="1"/>
      <c r="IX365" s="1"/>
      <c r="IY365" s="1"/>
      <c r="IZ365" s="1"/>
      <c r="JA365" s="1"/>
      <c r="JB365" s="1"/>
      <c r="JC365" s="1"/>
      <c r="JD365" s="1"/>
      <c r="JE365" s="1"/>
      <c r="JF365" s="1"/>
      <c r="JG365" s="1"/>
      <c r="JH365" s="1"/>
      <c r="JI365" s="1"/>
      <c r="JJ365" s="1"/>
      <c r="JK365" s="1"/>
      <c r="JL365" s="1"/>
      <c r="JM365" s="1"/>
      <c r="JN365" s="1"/>
      <c r="JO365" s="1"/>
      <c r="JP365" s="1"/>
      <c r="JQ365" s="1"/>
      <c r="JR365" s="1"/>
      <c r="JS365" s="1"/>
      <c r="JT365" s="1"/>
      <c r="JU365" s="1"/>
      <c r="JV365" s="1"/>
      <c r="JW365" s="1"/>
      <c r="JX365" s="1"/>
      <c r="JY365" s="1"/>
      <c r="JZ365" s="1"/>
      <c r="KA365" s="1"/>
      <c r="KB365" s="1"/>
      <c r="KC365" s="1"/>
      <c r="KD365" s="1"/>
      <c r="KE365" s="1"/>
      <c r="KF365" s="1"/>
      <c r="KG365" s="1"/>
      <c r="KH365" s="1"/>
      <c r="KI365" s="1"/>
      <c r="KJ365" s="1"/>
      <c r="KK365" s="1"/>
      <c r="KL365" s="1"/>
      <c r="KM365" s="1"/>
      <c r="KN365" s="1"/>
      <c r="KO365" s="1"/>
      <c r="KP365" s="1"/>
      <c r="KQ365" s="1"/>
      <c r="KR365" s="1"/>
      <c r="KS365" s="1"/>
      <c r="KT365" s="1"/>
      <c r="KU365" s="1"/>
      <c r="KV365" s="1"/>
      <c r="KW365" s="1"/>
      <c r="KX365" s="1"/>
      <c r="KY365" s="1"/>
      <c r="KZ365" s="1"/>
      <c r="LA365" s="1"/>
      <c r="LB365" s="1"/>
      <c r="LC365" s="1"/>
      <c r="LD365" s="1"/>
      <c r="LE365" s="1"/>
      <c r="LF365" s="1"/>
      <c r="LG365" s="1"/>
      <c r="LH365" s="1"/>
      <c r="LI365" s="1"/>
      <c r="LJ365" s="1"/>
      <c r="LK365" s="1"/>
      <c r="LL365" s="1"/>
      <c r="LM365" s="1"/>
      <c r="LN365" s="1"/>
      <c r="LO365" s="1"/>
      <c r="LP365" s="1"/>
      <c r="LQ365" s="1"/>
      <c r="LR365" s="1"/>
      <c r="LS365" s="1"/>
      <c r="LT365" s="1"/>
      <c r="LU365" s="1"/>
      <c r="LV365" s="1"/>
      <c r="LW365" s="1"/>
      <c r="LX365" s="1"/>
      <c r="LY365" s="1"/>
      <c r="LZ365" s="1"/>
      <c r="MA365" s="1"/>
      <c r="MB365" s="1"/>
      <c r="MC365" s="1"/>
      <c r="MD365" s="1"/>
    </row>
    <row r="366" spans="1:342" s="347" customFormat="1" x14ac:dyDescent="0.35">
      <c r="A366" s="327" t="s">
        <v>1542</v>
      </c>
      <c r="B366" s="5" t="str">
        <f>IF(Technologies!B366&lt;&gt;0,Technologies!B366,"")</f>
        <v>Industrie</v>
      </c>
      <c r="C366" s="5" t="str">
        <f>VLOOKUP($A366,Technologies!$A$7:$H$576,3,FALSE)</f>
        <v>Conversion</v>
      </c>
      <c r="D366" s="5" t="str">
        <f>VLOOKUP($A366,Technologies!$A$7:$H$576,4,FALSE)</f>
        <v>Refineries</v>
      </c>
      <c r="E366" s="5" t="str">
        <f>VLOOKUP($A366,Technologies!$A$7:$H$576,6,FALSE)</f>
        <v>Syngas</v>
      </c>
      <c r="F366" s="5" t="str">
        <f>VLOOKUP($A366,Technologies!$A$7:$H$576,7,FALSE)</f>
        <v>Syngas from biomass indirect gasification with pure stream and flue gas capture - Refineries</v>
      </c>
      <c r="G366" s="23">
        <v>0.94790360681708508</v>
      </c>
      <c r="H366" s="350"/>
      <c r="I366" s="104" cm="1">
        <f t="array" ref="I366">-SUMPRODUCT((Feedstocks!$C$4:$C$141=A366)*Feedstocks!$E$4:$E$141,Feedstocks!$F$4:$F$141,Feedstocks!$H$4:$H$141,Feedstocks!$I$4:$I$141)</f>
        <v>0</v>
      </c>
      <c r="J366" s="104" cm="1">
        <f t="array" ref="J366">-SUMPRODUCT((Feedstocks!$C$4:$C$141=A366)*Feedstocks!$E$4:$E$141,Feedstocks!$H$4:$H$141,Feedstocks!$I$4:$I$141)</f>
        <v>0</v>
      </c>
      <c r="K366" s="351"/>
      <c r="L366" s="351"/>
      <c r="M366" s="350">
        <v>1</v>
      </c>
      <c r="N366" s="23" t="str">
        <f>VLOOKUP(E366,Activities!$A$9:$M$227,13,FALSE)</f>
        <v>NL</v>
      </c>
      <c r="O366" s="350"/>
      <c r="P366" s="289" t="s">
        <v>1829</v>
      </c>
      <c r="Q366" s="352"/>
      <c r="R366" s="352"/>
      <c r="S366" s="352"/>
      <c r="T366" s="352"/>
      <c r="U366" s="352"/>
      <c r="V366" s="352"/>
      <c r="W366" s="352"/>
      <c r="X366" s="352"/>
      <c r="Y366" s="352"/>
      <c r="Z366" s="352"/>
      <c r="AA366" s="352"/>
      <c r="AB366" s="352"/>
      <c r="AC366" s="352"/>
      <c r="AD366" s="352"/>
      <c r="AE366" s="352"/>
      <c r="AF366" s="352"/>
      <c r="AG366" s="352"/>
      <c r="AH366" s="352"/>
      <c r="AI366" s="352"/>
      <c r="AJ366" s="352"/>
      <c r="AK366" s="352"/>
      <c r="AL366" s="352"/>
      <c r="AM366" s="352"/>
      <c r="AN366" s="352"/>
      <c r="AO366" s="352"/>
      <c r="AP366" s="352"/>
      <c r="AQ366" s="352"/>
      <c r="AR366" s="352"/>
      <c r="AS366" s="352"/>
      <c r="AT366" s="352"/>
      <c r="AU366" s="352"/>
      <c r="AV366" s="352"/>
      <c r="AW366" s="352"/>
      <c r="AX366" s="352"/>
      <c r="AY366" s="352"/>
      <c r="AZ366" s="352"/>
      <c r="BA366" s="352"/>
      <c r="BB366" s="352"/>
      <c r="BC366" s="352"/>
      <c r="BD366" s="352"/>
      <c r="BE366" s="352"/>
      <c r="BF366" s="352"/>
      <c r="BG366" s="352"/>
      <c r="BH366" s="352"/>
      <c r="BI366" s="352"/>
      <c r="BJ366" s="352"/>
      <c r="BK366" s="352"/>
      <c r="BL366" s="352"/>
      <c r="BM366" s="352"/>
      <c r="BN366" s="352"/>
      <c r="BO366" s="352"/>
      <c r="BP366" s="352"/>
      <c r="BQ366" s="352"/>
      <c r="BR366" s="352"/>
      <c r="BS366" s="352"/>
      <c r="BT366" s="352"/>
      <c r="BU366" s="352"/>
      <c r="BV366" s="352"/>
      <c r="BW366" s="352"/>
      <c r="BX366" s="352"/>
      <c r="BY366" s="352"/>
      <c r="BZ366" s="352"/>
      <c r="CA366" s="352"/>
      <c r="CB366" s="352"/>
      <c r="CC366" s="352"/>
      <c r="CD366" s="352"/>
      <c r="CE366" s="352"/>
      <c r="CF366" s="352"/>
      <c r="CG366" s="352"/>
      <c r="CH366" s="352"/>
      <c r="CI366" s="352"/>
      <c r="CJ366" s="352"/>
      <c r="CK366" s="352"/>
      <c r="CL366" s="352"/>
      <c r="CM366" s="352"/>
      <c r="CN366" s="352"/>
      <c r="CO366" s="352"/>
      <c r="CP366" s="352"/>
      <c r="CQ366" s="352"/>
      <c r="CR366" s="352"/>
      <c r="CS366" s="352"/>
      <c r="CT366" s="352"/>
      <c r="CU366" s="352"/>
      <c r="CV366" s="352"/>
      <c r="CW366" s="352"/>
      <c r="CX366" s="352"/>
      <c r="CY366" s="352"/>
      <c r="CZ366" s="352"/>
      <c r="DA366" s="352"/>
      <c r="DB366" s="352"/>
      <c r="DC366" s="352"/>
      <c r="DD366" s="352"/>
      <c r="DE366" s="352"/>
      <c r="DF366" s="352"/>
      <c r="DG366" s="352"/>
      <c r="DH366" s="387">
        <v>-1.2099332676061682E-3</v>
      </c>
      <c r="DI366" s="352"/>
      <c r="DJ366" s="352"/>
      <c r="DK366" s="352"/>
      <c r="DL366" s="352"/>
      <c r="DM366" s="352"/>
      <c r="DN366" s="352"/>
      <c r="DO366" s="352">
        <v>-0.69856540643296117</v>
      </c>
      <c r="DP366" s="352"/>
      <c r="DQ366" s="352"/>
      <c r="DR366" s="352"/>
      <c r="DS366" s="352"/>
      <c r="DT366" s="352"/>
      <c r="DU366" s="352"/>
      <c r="DV366" s="352"/>
      <c r="DW366" s="352"/>
      <c r="DX366" s="352"/>
      <c r="DY366" s="352"/>
      <c r="DZ366" s="352"/>
      <c r="EA366" s="352"/>
      <c r="EB366" s="352"/>
      <c r="EC366" s="352"/>
      <c r="ED366" s="352"/>
      <c r="EE366" s="352"/>
      <c r="EF366" s="352"/>
      <c r="EG366" s="352">
        <v>1</v>
      </c>
      <c r="EH366" s="352"/>
      <c r="EI366" s="352"/>
      <c r="EJ366" s="352"/>
      <c r="EK366" s="352"/>
      <c r="EL366" s="352"/>
      <c r="EM366" s="352"/>
      <c r="EN366" s="352"/>
      <c r="EO366" s="352"/>
      <c r="EP366" s="352"/>
      <c r="EQ366" s="352"/>
      <c r="ER366" s="35">
        <v>-2.4634811357447797</v>
      </c>
      <c r="ES366" s="352"/>
      <c r="ET366" s="352"/>
      <c r="EU366" s="352"/>
      <c r="EV366" s="352"/>
      <c r="EW366" s="352"/>
      <c r="EX366" s="352"/>
      <c r="EY366" s="352"/>
      <c r="EZ366" s="352"/>
      <c r="FA366" s="352"/>
      <c r="FB366" s="352"/>
      <c r="FC366" s="352"/>
      <c r="FD366" s="352"/>
      <c r="FE366" s="352"/>
      <c r="FF366" s="352"/>
      <c r="FG366" s="352"/>
      <c r="FH366" s="352"/>
      <c r="FI366" s="352"/>
      <c r="FJ366" s="352"/>
      <c r="FK366" s="352"/>
      <c r="FL366" s="352"/>
      <c r="FM366" s="352"/>
      <c r="FN366" s="352"/>
      <c r="FO366" s="352"/>
      <c r="FP366" s="352"/>
      <c r="FQ366" s="352"/>
      <c r="FR366" s="352"/>
      <c r="FS366" s="352"/>
      <c r="FT366" s="352"/>
      <c r="FU366" s="352"/>
      <c r="FV366" s="352"/>
      <c r="FW366" s="352"/>
      <c r="FX366" s="352"/>
      <c r="FY366" s="352"/>
      <c r="FZ366" s="352"/>
      <c r="GA366" s="352"/>
      <c r="GB366" s="353">
        <f>GC366</f>
        <v>0.18579999999999999</v>
      </c>
      <c r="GC366" s="178">
        <f t="shared" si="64"/>
        <v>0.18579999999999999</v>
      </c>
      <c r="GD366" s="178">
        <f t="shared" si="65"/>
        <v>-0.25979999999999998</v>
      </c>
      <c r="GE366" s="178">
        <f t="shared" si="66"/>
        <v>0</v>
      </c>
      <c r="GF366" s="178">
        <f t="shared" si="67"/>
        <v>0</v>
      </c>
      <c r="GG366" s="178">
        <f>$I366</f>
        <v>0</v>
      </c>
      <c r="GI366" s="1"/>
      <c r="GJ366" s="1"/>
      <c r="GK366" s="1"/>
      <c r="GL366" s="1"/>
      <c r="GM366" s="1"/>
      <c r="GN366" s="1"/>
      <c r="GO366" s="1"/>
      <c r="GP366" s="1"/>
      <c r="GQ366" s="1"/>
      <c r="GR366" s="1"/>
      <c r="GS366" s="1"/>
      <c r="GT366" s="1"/>
      <c r="GU366" s="1"/>
      <c r="GV366" s="1"/>
      <c r="GW366" s="1"/>
      <c r="GX366" s="1"/>
      <c r="GY366" s="1"/>
      <c r="GZ366" s="1"/>
      <c r="HA366" s="1"/>
      <c r="HB366" s="1"/>
      <c r="HC366" s="1"/>
      <c r="HD366" s="1"/>
      <c r="HE366" s="1"/>
      <c r="HF366" s="1"/>
      <c r="HG366" s="1"/>
      <c r="HH366" s="1"/>
      <c r="HI366" s="1"/>
      <c r="HJ366" s="1"/>
      <c r="HK366" s="1"/>
      <c r="HL366" s="1"/>
      <c r="HM366" s="1"/>
      <c r="HN366" s="1"/>
      <c r="HO366" s="1"/>
      <c r="HP366" s="1"/>
      <c r="HQ366" s="1"/>
      <c r="HR366" s="1"/>
      <c r="HS366" s="1"/>
      <c r="HT366" s="1"/>
      <c r="HU366" s="1"/>
      <c r="HV366" s="1"/>
      <c r="HW366" s="1"/>
      <c r="HX366" s="1"/>
      <c r="HY366" s="1"/>
      <c r="HZ366" s="1"/>
      <c r="IA366" s="1"/>
      <c r="IB366" s="1"/>
      <c r="IC366" s="1"/>
      <c r="ID366" s="1"/>
      <c r="IE366" s="1"/>
      <c r="IF366" s="1"/>
      <c r="IG366" s="1"/>
      <c r="IH366" s="1"/>
      <c r="II366" s="1"/>
      <c r="IJ366" s="1"/>
      <c r="IK366" s="1"/>
      <c r="IL366" s="1"/>
      <c r="IM366" s="1"/>
      <c r="IN366" s="1"/>
      <c r="IO366" s="1"/>
      <c r="IP366" s="1"/>
      <c r="IQ366" s="1"/>
      <c r="IR366" s="1"/>
      <c r="IS366" s="1"/>
      <c r="IT366" s="1"/>
      <c r="IU366" s="1"/>
      <c r="IV366" s="1"/>
      <c r="IW366" s="1"/>
      <c r="IX366" s="1"/>
      <c r="IY366" s="1"/>
      <c r="IZ366" s="1"/>
      <c r="JA366" s="1"/>
      <c r="JB366" s="1"/>
      <c r="JC366" s="1"/>
      <c r="JD366" s="1"/>
      <c r="JE366" s="1"/>
      <c r="JF366" s="1"/>
      <c r="JG366" s="1"/>
      <c r="JH366" s="1"/>
      <c r="JI366" s="1"/>
      <c r="JJ366" s="1"/>
      <c r="JK366" s="1"/>
      <c r="JL366" s="1"/>
      <c r="JM366" s="1"/>
      <c r="JN366" s="1"/>
      <c r="JO366" s="1"/>
      <c r="JP366" s="1"/>
      <c r="JQ366" s="1"/>
      <c r="JR366" s="1"/>
      <c r="JS366" s="1"/>
      <c r="JT366" s="1"/>
      <c r="JU366" s="1"/>
      <c r="JV366" s="1"/>
      <c r="JW366" s="1"/>
      <c r="JX366" s="1"/>
      <c r="JY366" s="1"/>
      <c r="JZ366" s="1"/>
      <c r="KA366" s="1"/>
      <c r="KB366" s="1"/>
      <c r="KC366" s="1"/>
      <c r="KD366" s="1"/>
      <c r="KE366" s="1"/>
      <c r="KF366" s="1"/>
      <c r="KG366" s="1"/>
      <c r="KH366" s="1"/>
      <c r="KI366" s="1"/>
      <c r="KJ366" s="1"/>
      <c r="KK366" s="1"/>
      <c r="KL366" s="1"/>
      <c r="KM366" s="1"/>
      <c r="KN366" s="1"/>
      <c r="KO366" s="1"/>
      <c r="KP366" s="1"/>
      <c r="KQ366" s="1"/>
      <c r="KR366" s="1"/>
      <c r="KS366" s="1"/>
      <c r="KT366" s="1"/>
      <c r="KU366" s="1"/>
      <c r="KV366" s="1"/>
      <c r="KW366" s="1"/>
      <c r="KX366" s="1"/>
      <c r="KY366" s="1"/>
      <c r="KZ366" s="1"/>
      <c r="LA366" s="1"/>
      <c r="LB366" s="1"/>
      <c r="LC366" s="1"/>
      <c r="LD366" s="1"/>
      <c r="LE366" s="1"/>
      <c r="LF366" s="1"/>
      <c r="LG366" s="1"/>
      <c r="LH366" s="1"/>
      <c r="LI366" s="1"/>
      <c r="LJ366" s="1"/>
      <c r="LK366" s="1"/>
      <c r="LL366" s="1"/>
      <c r="LM366" s="1"/>
      <c r="LN366" s="1"/>
      <c r="LO366" s="1"/>
      <c r="LP366" s="1"/>
      <c r="LQ366" s="1"/>
      <c r="LR366" s="1"/>
      <c r="LS366" s="1"/>
      <c r="LT366" s="1"/>
      <c r="LU366" s="1"/>
      <c r="LV366" s="1"/>
      <c r="LW366" s="1"/>
      <c r="LX366" s="1"/>
      <c r="LY366" s="1"/>
      <c r="LZ366" s="1"/>
      <c r="MA366" s="1"/>
      <c r="MB366" s="1"/>
      <c r="MC366" s="1"/>
      <c r="MD366" s="1"/>
    </row>
    <row r="367" spans="1:342" x14ac:dyDescent="0.35">
      <c r="A367" s="6" t="s">
        <v>1544</v>
      </c>
      <c r="B367" s="6" t="str">
        <f>IF(Technologies!B367&lt;&gt;0,Technologies!B367,"")</f>
        <v>Industrie</v>
      </c>
      <c r="C367" s="6" t="str">
        <f>VLOOKUP($A367,Technologies!$A$7:$H$576,3,FALSE)</f>
        <v>Conversion</v>
      </c>
      <c r="D367" s="6" t="str">
        <f>VLOOKUP($A367,Technologies!$A$7:$H$576,4,FALSE)</f>
        <v>Refineries</v>
      </c>
      <c r="E367" s="6" t="str">
        <f>VLOOKUP($A367,Technologies!$A$7:$H$576,6,FALSE)</f>
        <v>Syngas</v>
      </c>
      <c r="F367" s="48" t="str">
        <f>VLOOKUP($A367,Technologies!$A$7:$H$576,7,FALSE)</f>
        <v>Syngas from CO2 and H2 RWGS - Refineries</v>
      </c>
      <c r="G367" s="22"/>
      <c r="H367" s="207">
        <v>7.7974810767610231E-2</v>
      </c>
      <c r="I367" s="103" cm="1">
        <f t="array" ref="I367">-SUMPRODUCT((Feedstocks!$C$4:$C$141=A367)*Feedstocks!$E$4:$E$141,Feedstocks!$F$4:$F$141,Feedstocks!$H$4:$H$141,Feedstocks!$I$4:$I$141)</f>
        <v>0</v>
      </c>
      <c r="J367" s="103" cm="1">
        <f t="array" ref="J367">-SUMPRODUCT((Feedstocks!$C$4:$C$141=A367)*Feedstocks!$E$4:$E$141,Feedstocks!$H$4:$H$141,Feedstocks!$I$4:$I$141)</f>
        <v>0</v>
      </c>
      <c r="K367" s="103"/>
      <c r="L367" s="103"/>
      <c r="M367" s="22">
        <v>1</v>
      </c>
      <c r="N367" s="22" t="str">
        <f>VLOOKUP(E367,Activities!$A$9:$M$227,13,FALSE)</f>
        <v>NL</v>
      </c>
      <c r="O367" s="22"/>
      <c r="P367" s="80" t="s">
        <v>792</v>
      </c>
      <c r="Q367" s="36"/>
      <c r="R367" s="36"/>
      <c r="S367" s="36"/>
      <c r="T367" s="36"/>
      <c r="U367" s="36"/>
      <c r="V367" s="36"/>
      <c r="W367" s="36"/>
      <c r="X367" s="36"/>
      <c r="Y367" s="36"/>
      <c r="Z367" s="36"/>
      <c r="AA367" s="36"/>
      <c r="AB367" s="36"/>
      <c r="AC367" s="36"/>
      <c r="AD367" s="36"/>
      <c r="AE367" s="36"/>
      <c r="AF367" s="35"/>
      <c r="AG367" s="35"/>
      <c r="AH367" s="35"/>
      <c r="AI367" s="35"/>
      <c r="AJ367" s="35"/>
      <c r="AK367" s="35"/>
      <c r="AL367" s="35"/>
      <c r="AM367" s="35"/>
      <c r="AN367" s="35"/>
      <c r="AO367" s="35"/>
      <c r="AP367" s="36"/>
      <c r="AQ367" s="36"/>
      <c r="AR367" s="36"/>
      <c r="AS367" s="36"/>
      <c r="AT367" s="36"/>
      <c r="AU367" s="36"/>
      <c r="AV367" s="36"/>
      <c r="AW367" s="36"/>
      <c r="AX367" s="36"/>
      <c r="AY367" s="36"/>
      <c r="AZ367" s="36"/>
      <c r="BA367" s="36"/>
      <c r="BB367" s="36"/>
      <c r="BC367" s="36"/>
      <c r="BD367" s="36"/>
      <c r="BE367" s="36"/>
      <c r="BF367" s="36"/>
      <c r="BG367" s="36"/>
      <c r="BH367" s="36"/>
      <c r="BI367" s="36"/>
      <c r="BJ367" s="36"/>
      <c r="BK367" s="36"/>
      <c r="BL367" s="36"/>
      <c r="BM367" s="36"/>
      <c r="BN367" s="36"/>
      <c r="BO367" s="36"/>
      <c r="BP367" s="36"/>
      <c r="BQ367" s="36"/>
      <c r="BR367" s="36"/>
      <c r="BS367" s="36"/>
      <c r="BT367" s="36"/>
      <c r="BU367" s="36"/>
      <c r="BV367" s="36"/>
      <c r="BW367" s="36"/>
      <c r="BX367" s="36"/>
      <c r="BY367" s="36"/>
      <c r="BZ367" s="36"/>
      <c r="CA367" s="36"/>
      <c r="CB367" s="36"/>
      <c r="CC367" s="36"/>
      <c r="CD367" s="36"/>
      <c r="CE367" s="36"/>
      <c r="CF367" s="36"/>
      <c r="CG367" s="36"/>
      <c r="CH367" s="36"/>
      <c r="CI367" s="36"/>
      <c r="CJ367" s="36"/>
      <c r="CK367" s="36"/>
      <c r="CL367" s="36"/>
      <c r="CM367" s="36"/>
      <c r="CN367" s="36"/>
      <c r="CO367" s="36"/>
      <c r="CP367" s="36"/>
      <c r="CQ367" s="36"/>
      <c r="CR367" s="36"/>
      <c r="CS367" s="36"/>
      <c r="CT367" s="36"/>
      <c r="CU367" s="36"/>
      <c r="CV367" s="36"/>
      <c r="CW367" s="36"/>
      <c r="CX367" s="36"/>
      <c r="CY367" s="36"/>
      <c r="CZ367" s="36"/>
      <c r="DA367" s="36"/>
      <c r="DB367" s="36"/>
      <c r="DC367" s="36"/>
      <c r="DD367" s="36"/>
      <c r="DE367" s="36"/>
      <c r="DF367" s="36"/>
      <c r="DG367" s="36"/>
      <c r="DH367" s="36"/>
      <c r="DI367" s="36"/>
      <c r="DJ367" s="36"/>
      <c r="DK367" s="36"/>
      <c r="DL367" s="36"/>
      <c r="DM367" s="36"/>
      <c r="DN367" s="36"/>
      <c r="DO367" s="36"/>
      <c r="DP367" s="36"/>
      <c r="DQ367" s="36"/>
      <c r="DR367" s="36"/>
      <c r="DS367" s="36"/>
      <c r="DT367" s="36"/>
      <c r="DU367" s="36"/>
      <c r="DV367" s="36"/>
      <c r="DW367" s="36"/>
      <c r="DX367" s="36"/>
      <c r="DY367" s="36"/>
      <c r="DZ367" s="36"/>
      <c r="EA367" s="36"/>
      <c r="EB367" s="36"/>
      <c r="EC367" s="36"/>
      <c r="ED367" s="36"/>
      <c r="EE367" s="36"/>
      <c r="EF367" s="36"/>
      <c r="EG367" s="36">
        <v>1</v>
      </c>
      <c r="EH367" s="36"/>
      <c r="EI367" s="36"/>
      <c r="EJ367" s="36"/>
      <c r="EK367" s="36"/>
      <c r="EL367" s="36"/>
      <c r="EM367" s="36">
        <v>-1.3513346605269925</v>
      </c>
      <c r="EN367" s="36"/>
      <c r="EO367" s="36"/>
      <c r="EP367" s="36"/>
      <c r="EQ367" s="36"/>
      <c r="ER367" s="36"/>
      <c r="ES367" s="36"/>
      <c r="ET367" s="36"/>
      <c r="EU367" s="36"/>
      <c r="EV367" s="36"/>
      <c r="EW367" s="36"/>
      <c r="EX367" s="36"/>
      <c r="EY367" s="36"/>
      <c r="EZ367" s="36"/>
      <c r="FA367" s="36"/>
      <c r="FB367" s="36"/>
      <c r="FC367" s="36"/>
      <c r="FD367" s="36"/>
      <c r="FE367" s="36"/>
      <c r="FF367" s="36"/>
      <c r="FG367" s="36"/>
      <c r="FH367" s="36"/>
      <c r="FI367" s="36"/>
      <c r="FJ367" s="36"/>
      <c r="FK367" s="36"/>
      <c r="FL367" s="36"/>
      <c r="FM367" s="36"/>
      <c r="FN367" s="36"/>
      <c r="FO367" s="36"/>
      <c r="FP367" s="36"/>
      <c r="FQ367" s="36"/>
      <c r="FR367" s="36"/>
      <c r="FS367" s="36"/>
      <c r="FT367" s="36"/>
      <c r="FU367" s="36"/>
      <c r="FV367" s="36"/>
      <c r="FW367" s="36"/>
      <c r="FX367" s="36"/>
      <c r="FY367" s="36"/>
      <c r="FZ367" s="36"/>
      <c r="GA367" s="36"/>
      <c r="GB367" s="319"/>
      <c r="GC367" s="179">
        <f t="shared" si="64"/>
        <v>-7.8E-2</v>
      </c>
      <c r="GD367" s="179">
        <f t="shared" si="65"/>
        <v>4.0000000000000001E-3</v>
      </c>
      <c r="GE367" s="179">
        <f t="shared" si="66"/>
        <v>0</v>
      </c>
      <c r="GF367" s="179">
        <f t="shared" si="67"/>
        <v>0</v>
      </c>
      <c r="GG367" s="179">
        <f t="shared" si="69"/>
        <v>0</v>
      </c>
    </row>
    <row r="368" spans="1:342" x14ac:dyDescent="0.35">
      <c r="A368" s="5" t="s">
        <v>1546</v>
      </c>
      <c r="B368" s="5" t="str">
        <f>IF(Technologies!B368&lt;&gt;0,Technologies!B368,"")</f>
        <v>Industrie</v>
      </c>
      <c r="C368" s="5" t="str">
        <f>VLOOKUP($A368,Technologies!$A$7:$H$576,3,FALSE)</f>
        <v>Conversion</v>
      </c>
      <c r="D368" s="5" t="str">
        <f>VLOOKUP($A368,Technologies!$A$7:$H$576,4,FALSE)</f>
        <v>Refineries</v>
      </c>
      <c r="E368" s="5" t="str">
        <f>VLOOKUP($A368,Technologies!$A$7:$H$576,6,FALSE)</f>
        <v>Syngas</v>
      </c>
      <c r="F368" s="5" t="str">
        <f>VLOOKUP($A368,Technologies!$A$7:$H$576,7,FALSE)</f>
        <v>Syngas from SOEC  electrolysis - Refineries</v>
      </c>
      <c r="G368" s="23"/>
      <c r="H368" s="208">
        <v>7.3999999999999996E-2</v>
      </c>
      <c r="I368" s="104" cm="1">
        <f t="array" ref="I368">-SUMPRODUCT((Feedstocks!$C$4:$C$141=A368)*Feedstocks!$E$4:$E$141,Feedstocks!$F$4:$F$141,Feedstocks!$H$4:$H$141,Feedstocks!$I$4:$I$141)</f>
        <v>0</v>
      </c>
      <c r="J368" s="104" cm="1">
        <f t="array" ref="J368">-SUMPRODUCT((Feedstocks!$C$4:$C$141=A368)*Feedstocks!$E$4:$E$141,Feedstocks!$H$4:$H$141,Feedstocks!$I$4:$I$141)</f>
        <v>0</v>
      </c>
      <c r="K368" s="104"/>
      <c r="L368" s="104"/>
      <c r="M368" s="23">
        <v>1</v>
      </c>
      <c r="N368" s="23" t="str">
        <f>VLOOKUP(E368,Activities!$A$9:$M$227,13,FALSE)</f>
        <v>NL</v>
      </c>
      <c r="O368" s="23"/>
      <c r="P368" s="79" t="s">
        <v>1548</v>
      </c>
      <c r="Q368" s="35"/>
      <c r="R368" s="35"/>
      <c r="S368" s="35"/>
      <c r="T368" s="35"/>
      <c r="U368" s="35"/>
      <c r="V368" s="35"/>
      <c r="W368" s="35"/>
      <c r="X368" s="35"/>
      <c r="Y368" s="35"/>
      <c r="Z368" s="35"/>
      <c r="AA368" s="35"/>
      <c r="AB368" s="35"/>
      <c r="AC368" s="35"/>
      <c r="AD368" s="35"/>
      <c r="AE368" s="35"/>
      <c r="AF368" s="36"/>
      <c r="AG368" s="36"/>
      <c r="AH368" s="36"/>
      <c r="AI368" s="36"/>
      <c r="AJ368" s="36"/>
      <c r="AK368" s="36"/>
      <c r="AL368" s="36"/>
      <c r="AM368" s="36"/>
      <c r="AN368" s="36"/>
      <c r="AO368" s="36"/>
      <c r="AP368" s="35"/>
      <c r="AQ368" s="35"/>
      <c r="AR368" s="35"/>
      <c r="AS368" s="35"/>
      <c r="AT368" s="35"/>
      <c r="AU368" s="35"/>
      <c r="AV368" s="35"/>
      <c r="AW368" s="35"/>
      <c r="AX368" s="35"/>
      <c r="AY368" s="35"/>
      <c r="AZ368" s="35"/>
      <c r="BA368" s="35"/>
      <c r="BB368" s="35"/>
      <c r="BC368" s="35"/>
      <c r="BD368" s="35"/>
      <c r="BE368" s="35"/>
      <c r="BF368" s="35"/>
      <c r="BG368" s="35"/>
      <c r="BH368" s="35"/>
      <c r="BI368" s="35"/>
      <c r="BJ368" s="35"/>
      <c r="BK368" s="35"/>
      <c r="BL368" s="35"/>
      <c r="BM368" s="35"/>
      <c r="BN368" s="35"/>
      <c r="BO368" s="35"/>
      <c r="BP368" s="35"/>
      <c r="BQ368" s="35"/>
      <c r="BR368" s="35"/>
      <c r="BS368" s="35"/>
      <c r="BT368" s="35"/>
      <c r="BU368" s="35"/>
      <c r="BV368" s="35"/>
      <c r="BW368" s="35"/>
      <c r="BX368" s="35"/>
      <c r="BY368" s="35"/>
      <c r="BZ368" s="35"/>
      <c r="CA368" s="35"/>
      <c r="CB368" s="35"/>
      <c r="CC368" s="35"/>
      <c r="CD368" s="35"/>
      <c r="CE368" s="35"/>
      <c r="CF368" s="35"/>
      <c r="CG368" s="35"/>
      <c r="CH368" s="35"/>
      <c r="CI368" s="35"/>
      <c r="CJ368" s="35"/>
      <c r="CK368" s="35"/>
      <c r="CL368" s="35"/>
      <c r="CM368" s="35"/>
      <c r="CN368" s="35"/>
      <c r="CO368" s="35"/>
      <c r="CP368" s="35"/>
      <c r="CQ368" s="35"/>
      <c r="CR368" s="35"/>
      <c r="CS368" s="35"/>
      <c r="CT368" s="35"/>
      <c r="CU368" s="35"/>
      <c r="CV368" s="35"/>
      <c r="CW368" s="35"/>
      <c r="CX368" s="35"/>
      <c r="CY368" s="35"/>
      <c r="CZ368" s="35"/>
      <c r="DA368" s="35"/>
      <c r="DB368" s="35"/>
      <c r="DC368" s="35"/>
      <c r="DD368" s="35"/>
      <c r="DE368" s="35"/>
      <c r="DF368" s="35"/>
      <c r="DG368" s="35"/>
      <c r="DH368" s="35">
        <v>-0.85</v>
      </c>
      <c r="DI368" s="35"/>
      <c r="DJ368" s="35"/>
      <c r="DK368" s="35"/>
      <c r="DL368" s="35"/>
      <c r="DM368" s="35"/>
      <c r="DN368" s="35"/>
      <c r="DO368" s="35">
        <v>-0.5</v>
      </c>
      <c r="DP368" s="35"/>
      <c r="DQ368" s="35"/>
      <c r="DR368" s="35"/>
      <c r="DS368" s="35"/>
      <c r="DT368" s="35"/>
      <c r="DU368" s="35"/>
      <c r="DV368" s="35"/>
      <c r="DW368" s="35"/>
      <c r="DX368" s="35"/>
      <c r="DY368" s="35"/>
      <c r="DZ368" s="35"/>
      <c r="EA368" s="35"/>
      <c r="EB368" s="35"/>
      <c r="EC368" s="35"/>
      <c r="ED368" s="35"/>
      <c r="EE368" s="35"/>
      <c r="EF368" s="35"/>
      <c r="EG368" s="35">
        <v>1</v>
      </c>
      <c r="EH368" s="35"/>
      <c r="EI368" s="35"/>
      <c r="EJ368" s="35"/>
      <c r="EK368" s="35"/>
      <c r="EL368" s="35"/>
      <c r="EM368" s="35">
        <v>-0.12</v>
      </c>
      <c r="EN368" s="35"/>
      <c r="EO368" s="35"/>
      <c r="EP368" s="35"/>
      <c r="EQ368" s="35"/>
      <c r="ER368" s="35"/>
      <c r="ES368" s="35"/>
      <c r="ET368" s="35"/>
      <c r="EU368" s="35"/>
      <c r="EV368" s="35"/>
      <c r="EW368" s="35"/>
      <c r="EX368" s="35"/>
      <c r="EY368" s="35"/>
      <c r="EZ368" s="35"/>
      <c r="FA368" s="35"/>
      <c r="FB368" s="35"/>
      <c r="FC368" s="35"/>
      <c r="FD368" s="35"/>
      <c r="FE368" s="35"/>
      <c r="FF368" s="35"/>
      <c r="FG368" s="35"/>
      <c r="FH368" s="35"/>
      <c r="FI368" s="35"/>
      <c r="FJ368" s="35"/>
      <c r="FK368" s="35"/>
      <c r="FL368" s="35"/>
      <c r="FM368" s="35"/>
      <c r="FN368" s="35"/>
      <c r="FO368" s="35"/>
      <c r="FP368" s="35"/>
      <c r="FQ368" s="35"/>
      <c r="FR368" s="35"/>
      <c r="FS368" s="35"/>
      <c r="FT368" s="35"/>
      <c r="FU368" s="35"/>
      <c r="FV368" s="35"/>
      <c r="FW368" s="35"/>
      <c r="FX368" s="35"/>
      <c r="FY368" s="35"/>
      <c r="FZ368" s="35"/>
      <c r="GA368" s="35"/>
      <c r="GB368" s="318"/>
      <c r="GC368" s="178">
        <f t="shared" si="64"/>
        <v>-7.3999999999999996E-2</v>
      </c>
      <c r="GD368" s="178">
        <f t="shared" si="65"/>
        <v>0</v>
      </c>
      <c r="GE368" s="178">
        <f t="shared" si="66"/>
        <v>0</v>
      </c>
      <c r="GF368" s="178">
        <f t="shared" si="67"/>
        <v>0</v>
      </c>
      <c r="GG368" s="178">
        <f t="shared" si="69"/>
        <v>0</v>
      </c>
    </row>
    <row r="369" spans="1:342" s="261" customFormat="1" x14ac:dyDescent="0.35">
      <c r="A369" s="256" t="s">
        <v>1549</v>
      </c>
      <c r="B369" s="290" t="str">
        <f>IF(Technologies!B369&lt;&gt;0,Technologies!B369,"")</f>
        <v>Industrie</v>
      </c>
      <c r="C369" s="290" t="str">
        <f>VLOOKUP($A369,Technologies!$A$7:$H$576,3,FALSE)</f>
        <v>Conversion</v>
      </c>
      <c r="D369" s="290" t="str">
        <f>VLOOKUP($A369,Technologies!$A$7:$H$576,4,FALSE)</f>
        <v>Refineries</v>
      </c>
      <c r="E369" s="290" t="str">
        <f>VLOOKUP($A369,Technologies!$A$7:$H$576,6,FALSE)</f>
        <v>Syngas</v>
      </c>
      <c r="F369" s="256" t="str">
        <f>VLOOKUP($A369,Technologies!$A$7:$H$576,7,FALSE)</f>
        <v>Syngas from eSMR</v>
      </c>
      <c r="G369" s="262"/>
      <c r="H369" s="263"/>
      <c r="I369" s="264" cm="1">
        <f t="array" ref="I369">-SUMPRODUCT((Feedstocks!$C$4:$C$141=A369)*Feedstocks!$E$4:$E$141,Feedstocks!$F$4:$F$141,Feedstocks!$H$4:$H$141,Feedstocks!$I$4:$I$141)</f>
        <v>0</v>
      </c>
      <c r="J369" s="264" cm="1">
        <f t="array" ref="J369">-SUMPRODUCT((Feedstocks!$C$4:$C$141=A369)*Feedstocks!$E$4:$E$141,Feedstocks!$H$4:$H$141,Feedstocks!$I$4:$I$141)</f>
        <v>0</v>
      </c>
      <c r="K369" s="264"/>
      <c r="L369" s="264"/>
      <c r="M369" s="262">
        <v>1</v>
      </c>
      <c r="N369" s="262" t="str">
        <f>VLOOKUP(E369,Activities!$A$9:$M$227,13,FALSE)</f>
        <v>NL</v>
      </c>
      <c r="O369" s="262"/>
      <c r="P369" s="265"/>
      <c r="Q369" s="266"/>
      <c r="R369" s="266"/>
      <c r="S369" s="266"/>
      <c r="T369" s="266"/>
      <c r="U369" s="266"/>
      <c r="V369" s="266"/>
      <c r="W369" s="266"/>
      <c r="X369" s="266"/>
      <c r="Y369" s="266"/>
      <c r="Z369" s="266"/>
      <c r="AA369" s="266"/>
      <c r="AB369" s="266"/>
      <c r="AC369" s="266"/>
      <c r="AD369" s="266"/>
      <c r="AE369" s="266"/>
      <c r="AF369" s="266"/>
      <c r="AG369" s="266"/>
      <c r="AH369" s="266"/>
      <c r="AI369" s="266"/>
      <c r="AJ369" s="266"/>
      <c r="AK369" s="266"/>
      <c r="AL369" s="266"/>
      <c r="AM369" s="266"/>
      <c r="AN369" s="266"/>
      <c r="AO369" s="266"/>
      <c r="AP369" s="266"/>
      <c r="AQ369" s="266"/>
      <c r="AR369" s="266"/>
      <c r="AS369" s="266"/>
      <c r="AT369" s="266"/>
      <c r="AU369" s="266"/>
      <c r="AV369" s="266"/>
      <c r="AW369" s="266"/>
      <c r="AX369" s="266"/>
      <c r="AY369" s="266"/>
      <c r="AZ369" s="266"/>
      <c r="BA369" s="266"/>
      <c r="BB369" s="266"/>
      <c r="BC369" s="266"/>
      <c r="BD369" s="266"/>
      <c r="BE369" s="266"/>
      <c r="BF369" s="266"/>
      <c r="BG369" s="266"/>
      <c r="BH369" s="266"/>
      <c r="BI369" s="266"/>
      <c r="BJ369" s="266"/>
      <c r="BK369" s="266"/>
      <c r="BL369" s="266"/>
      <c r="BM369" s="266"/>
      <c r="BN369" s="266"/>
      <c r="BO369" s="266"/>
      <c r="BP369" s="266"/>
      <c r="BQ369" s="266"/>
      <c r="BR369" s="266"/>
      <c r="BS369" s="266"/>
      <c r="BT369" s="266"/>
      <c r="BU369" s="266"/>
      <c r="BV369" s="266"/>
      <c r="BW369" s="266"/>
      <c r="BX369" s="266"/>
      <c r="BY369" s="266"/>
      <c r="BZ369" s="266"/>
      <c r="CA369" s="266"/>
      <c r="CB369" s="266"/>
      <c r="CC369" s="266"/>
      <c r="CD369" s="266"/>
      <c r="CE369" s="266"/>
      <c r="CF369" s="266"/>
      <c r="CG369" s="266"/>
      <c r="CH369" s="266"/>
      <c r="CI369" s="266"/>
      <c r="CJ369" s="266"/>
      <c r="CK369" s="266"/>
      <c r="CL369" s="266"/>
      <c r="CM369" s="266"/>
      <c r="CN369" s="266"/>
      <c r="CO369" s="266"/>
      <c r="CP369" s="266"/>
      <c r="CQ369" s="266"/>
      <c r="CR369" s="266"/>
      <c r="CS369" s="266"/>
      <c r="CT369" s="266"/>
      <c r="CU369" s="266"/>
      <c r="CV369" s="266"/>
      <c r="CW369" s="266"/>
      <c r="CX369" s="266"/>
      <c r="CY369" s="266"/>
      <c r="CZ369" s="266"/>
      <c r="DA369" s="266"/>
      <c r="DB369" s="266"/>
      <c r="DC369" s="266"/>
      <c r="DD369" s="266"/>
      <c r="DE369" s="266"/>
      <c r="DF369" s="266"/>
      <c r="DG369" s="266"/>
      <c r="DH369" s="266">
        <v>-0.27200000000000002</v>
      </c>
      <c r="DI369" s="266"/>
      <c r="DJ369" s="266"/>
      <c r="DK369" s="266"/>
      <c r="DL369" s="266"/>
      <c r="DM369" s="266"/>
      <c r="DN369" s="266"/>
      <c r="DO369" s="266"/>
      <c r="DP369" s="266"/>
      <c r="DQ369" s="266"/>
      <c r="DR369" s="266"/>
      <c r="DS369" s="266"/>
      <c r="DT369" s="266"/>
      <c r="DU369" s="266"/>
      <c r="DV369" s="266"/>
      <c r="DW369" s="266"/>
      <c r="DX369" s="266"/>
      <c r="DY369" s="266"/>
      <c r="DZ369" s="266"/>
      <c r="EA369" s="266"/>
      <c r="EB369" s="266"/>
      <c r="EC369" s="266"/>
      <c r="ED369" s="266"/>
      <c r="EE369" s="266"/>
      <c r="EF369" s="266"/>
      <c r="EG369" s="266">
        <v>1</v>
      </c>
      <c r="EH369" s="266"/>
      <c r="EI369" s="266"/>
      <c r="EJ369" s="266">
        <f>-3.6/(0.187*14.4)</f>
        <v>-1.3368983957219251</v>
      </c>
      <c r="EK369" s="266"/>
      <c r="EL369" s="266"/>
      <c r="EM369" s="266"/>
      <c r="EN369" s="266"/>
      <c r="EO369" s="266"/>
      <c r="EP369" s="266"/>
      <c r="EQ369" s="266"/>
      <c r="ER369" s="266"/>
      <c r="ES369" s="266"/>
      <c r="ET369" s="266"/>
      <c r="EU369" s="266"/>
      <c r="EV369" s="266"/>
      <c r="EW369" s="266"/>
      <c r="EX369" s="266"/>
      <c r="EY369" s="266"/>
      <c r="EZ369" s="266"/>
      <c r="FA369" s="266"/>
      <c r="FB369" s="266"/>
      <c r="FC369" s="266"/>
      <c r="FD369" s="266"/>
      <c r="FE369" s="266"/>
      <c r="FF369" s="266"/>
      <c r="FG369" s="266"/>
      <c r="FH369" s="266"/>
      <c r="FI369" s="266"/>
      <c r="FJ369" s="266"/>
      <c r="FK369" s="266"/>
      <c r="FL369" s="266"/>
      <c r="FM369" s="266"/>
      <c r="FN369" s="266"/>
      <c r="FO369" s="266"/>
      <c r="FP369" s="266"/>
      <c r="FQ369" s="266"/>
      <c r="FR369" s="266"/>
      <c r="FS369" s="266"/>
      <c r="FT369" s="266"/>
      <c r="FU369" s="266"/>
      <c r="FV369" s="266"/>
      <c r="FW369" s="266"/>
      <c r="FX369" s="266"/>
      <c r="FY369" s="266"/>
      <c r="FZ369" s="266"/>
      <c r="GA369" s="266"/>
      <c r="GB369" s="321"/>
      <c r="GC369" s="267">
        <f t="shared" ref="GC369:GC400" si="70">ROUND(IF($C369="Primary",0,-$G369*(SUMPRODUCT($Q$4:$GA$4,$Q369:$GA369)+$J369)-$H369)*IF($N369=GC$4,1,0),4)</f>
        <v>0</v>
      </c>
      <c r="GD369" s="267">
        <f t="shared" ref="GD369:GD400" si="71">ROUND(IF($C369="Primary",0,$M369*(1-$O369)*($G369*(SUMPRODUCT($Q$4:$GA$4,$Q369:$GA369)+$J369)+$H369-SUMPRODUCT($Q$5:$GA$5,$Q369:$GA369)-$I369+$K369))*IF($N369=GD$4,1,0),4)</f>
        <v>1.6999999999999999E-3</v>
      </c>
      <c r="GE369" s="267">
        <f t="shared" ref="GE369:GE400" si="72">ROUND(IF($C369="Primary",0,(1-$M369)*(1-$O369)*($G369*(SUMPRODUCT($Q$4:$GA$4,$Q369:$GA369)+$J369)+$H369-SUMPRODUCT($Q$5:$GA$5,$Q369:$GA369)-$I369+$L369))*IF($N369=GD$4,1,0),4)</f>
        <v>0</v>
      </c>
      <c r="GF369" s="267"/>
      <c r="GG369" s="267">
        <f t="shared" si="69"/>
        <v>0</v>
      </c>
      <c r="GH369" s="1"/>
      <c r="GI369" s="1"/>
      <c r="GJ369" s="1"/>
      <c r="GK369" s="1"/>
      <c r="GL369" s="1"/>
      <c r="GM369" s="1"/>
      <c r="GN369" s="1"/>
      <c r="GO369" s="1"/>
      <c r="GP369" s="1"/>
      <c r="GQ369" s="1"/>
      <c r="GR369" s="1"/>
      <c r="GS369" s="1"/>
      <c r="GT369" s="1"/>
      <c r="GU369" s="1"/>
      <c r="GV369" s="1"/>
      <c r="GW369" s="1"/>
      <c r="GX369" s="1"/>
      <c r="GY369" s="1"/>
      <c r="GZ369" s="1"/>
      <c r="HA369" s="1"/>
      <c r="HB369" s="1"/>
      <c r="HC369" s="1"/>
      <c r="HD369" s="1"/>
      <c r="HE369" s="1"/>
      <c r="HF369" s="1"/>
      <c r="HG369" s="1"/>
      <c r="HH369" s="1"/>
      <c r="HI369" s="1"/>
      <c r="HJ369" s="1"/>
      <c r="HK369" s="1"/>
      <c r="HL369" s="1"/>
      <c r="HM369" s="1"/>
      <c r="HN369" s="1"/>
      <c r="HO369" s="1"/>
      <c r="HP369" s="1"/>
      <c r="HQ369" s="1"/>
      <c r="HR369" s="1"/>
      <c r="HS369" s="1"/>
      <c r="HT369" s="1"/>
      <c r="HU369" s="1"/>
      <c r="HV369" s="1"/>
      <c r="HW369" s="1"/>
      <c r="HX369" s="1"/>
      <c r="HY369" s="1"/>
      <c r="HZ369" s="1"/>
      <c r="IA369" s="1"/>
      <c r="IB369" s="1"/>
      <c r="IC369" s="1"/>
      <c r="ID369" s="1"/>
      <c r="IE369" s="1"/>
      <c r="IF369" s="1"/>
      <c r="IG369" s="1"/>
      <c r="IH369" s="1"/>
      <c r="II369" s="1"/>
      <c r="IJ369" s="1"/>
      <c r="IK369" s="1"/>
      <c r="IL369" s="1"/>
      <c r="IM369" s="1"/>
      <c r="IN369" s="1"/>
      <c r="IO369" s="1"/>
      <c r="IP369" s="1"/>
      <c r="IQ369" s="1"/>
      <c r="IR369" s="1"/>
      <c r="IS369" s="1"/>
      <c r="IT369" s="1"/>
      <c r="IU369" s="1"/>
      <c r="IV369" s="1"/>
      <c r="IW369" s="1"/>
      <c r="IX369" s="1"/>
      <c r="IY369" s="1"/>
      <c r="IZ369" s="1"/>
      <c r="JA369" s="1"/>
      <c r="JB369" s="1"/>
      <c r="JC369" s="1"/>
      <c r="JD369" s="1"/>
      <c r="JE369" s="1"/>
      <c r="JF369" s="1"/>
      <c r="JG369" s="1"/>
      <c r="JH369" s="1"/>
      <c r="JI369" s="1"/>
      <c r="JJ369" s="1"/>
      <c r="JK369" s="1"/>
      <c r="JL369" s="1"/>
      <c r="JM369" s="1"/>
      <c r="JN369" s="1"/>
      <c r="JO369" s="1"/>
      <c r="JP369" s="1"/>
      <c r="JQ369" s="1"/>
      <c r="JR369" s="1"/>
      <c r="JS369" s="1"/>
      <c r="JT369" s="1"/>
      <c r="JU369" s="1"/>
      <c r="JV369" s="1"/>
      <c r="JW369" s="1"/>
      <c r="JX369" s="1"/>
      <c r="JY369" s="1"/>
      <c r="JZ369" s="1"/>
      <c r="KA369" s="1"/>
      <c r="KB369" s="1"/>
      <c r="KC369" s="1"/>
      <c r="KD369" s="1"/>
      <c r="KE369" s="1"/>
      <c r="KF369" s="1"/>
      <c r="KG369" s="1"/>
      <c r="KH369" s="1"/>
      <c r="KI369" s="1"/>
      <c r="KJ369" s="1"/>
      <c r="KK369" s="1"/>
      <c r="KL369" s="1"/>
      <c r="KM369" s="1"/>
      <c r="KN369" s="1"/>
      <c r="KO369" s="1"/>
      <c r="KP369" s="1"/>
      <c r="KQ369" s="1"/>
      <c r="KR369" s="1"/>
      <c r="KS369" s="1"/>
      <c r="KT369" s="1"/>
      <c r="KU369" s="1"/>
      <c r="KV369" s="1"/>
      <c r="KW369" s="1"/>
      <c r="KX369" s="1"/>
      <c r="KY369" s="1"/>
      <c r="KZ369" s="1"/>
      <c r="LA369" s="1"/>
      <c r="LB369" s="1"/>
      <c r="LC369" s="1"/>
      <c r="LD369" s="1"/>
      <c r="LE369" s="1"/>
      <c r="LF369" s="1"/>
      <c r="LG369" s="1"/>
      <c r="LH369" s="1"/>
      <c r="LI369" s="1"/>
      <c r="LJ369" s="1"/>
      <c r="LK369" s="1"/>
      <c r="LL369" s="1"/>
      <c r="LM369" s="1"/>
      <c r="LN369" s="1"/>
      <c r="LO369" s="1"/>
      <c r="LP369" s="1"/>
      <c r="LQ369" s="1"/>
      <c r="LR369" s="1"/>
      <c r="LS369" s="1"/>
      <c r="LT369" s="1"/>
      <c r="LU369" s="1"/>
      <c r="LV369" s="1"/>
      <c r="LW369" s="1"/>
      <c r="LX369" s="1"/>
      <c r="LY369" s="1"/>
      <c r="LZ369" s="1"/>
      <c r="MA369" s="1"/>
      <c r="MB369" s="1"/>
      <c r="MC369" s="1"/>
      <c r="MD369" s="1"/>
    </row>
    <row r="370" spans="1:342" x14ac:dyDescent="0.35">
      <c r="A370" s="6" t="s">
        <v>1552</v>
      </c>
      <c r="B370" s="6" t="str">
        <f>IF(Technologies!B370&lt;&gt;0,Technologies!B370,"")</f>
        <v>Industrie</v>
      </c>
      <c r="C370" s="6" t="str">
        <f>VLOOKUP($A370,Technologies!$A$7:$H$576,3,FALSE)</f>
        <v>Conversion</v>
      </c>
      <c r="D370" s="6" t="str">
        <f>VLOOKUP($A370,Technologies!$A$7:$H$576,4,FALSE)</f>
        <v>Refineries</v>
      </c>
      <c r="E370" s="6" t="str">
        <f>VLOOKUP($A370,Technologies!$A$7:$H$576,6,FALSE)</f>
        <v>Methanol</v>
      </c>
      <c r="F370" s="48" t="str">
        <f>VLOOKUP($A370,Technologies!$A$7:$H$576,7,FALSE)</f>
        <v>Methanol from syngas - Refineries</v>
      </c>
      <c r="G370" s="22"/>
      <c r="H370" s="207"/>
      <c r="I370" s="103" cm="1">
        <f t="array" ref="I370">-SUMPRODUCT((Feedstocks!$C$4:$C$141=A370)*Feedstocks!$E$4:$E$141,Feedstocks!$F$4:$F$141,Feedstocks!$H$4:$H$141,Feedstocks!$I$4:$I$141)</f>
        <v>0</v>
      </c>
      <c r="J370" s="103" cm="1">
        <f t="array" ref="J370">-SUMPRODUCT((Feedstocks!$C$4:$C$141=A370)*Feedstocks!$E$4:$E$141,Feedstocks!$H$4:$H$141,Feedstocks!$I$4:$I$141)</f>
        <v>0</v>
      </c>
      <c r="K370" s="103"/>
      <c r="L370" s="103"/>
      <c r="M370" s="22">
        <v>1</v>
      </c>
      <c r="N370" s="22" t="str">
        <f>VLOOKUP(E370,Activities!$A$9:$M$227,13,FALSE)</f>
        <v>NL</v>
      </c>
      <c r="O370" s="22"/>
      <c r="P370" s="80" t="s">
        <v>792</v>
      </c>
      <c r="Q370" s="36"/>
      <c r="R370" s="36"/>
      <c r="S370" s="36"/>
      <c r="T370" s="36"/>
      <c r="U370" s="36"/>
      <c r="V370" s="36"/>
      <c r="W370" s="36"/>
      <c r="X370" s="36"/>
      <c r="Y370" s="36"/>
      <c r="Z370" s="36"/>
      <c r="AA370" s="36"/>
      <c r="AB370" s="36"/>
      <c r="AC370" s="36"/>
      <c r="AD370" s="36"/>
      <c r="AE370" s="36"/>
      <c r="AF370" s="35"/>
      <c r="AG370" s="35"/>
      <c r="AH370" s="35"/>
      <c r="AI370" s="35"/>
      <c r="AJ370" s="35"/>
      <c r="AK370" s="35"/>
      <c r="AL370" s="35"/>
      <c r="AM370" s="35"/>
      <c r="AN370" s="35"/>
      <c r="AO370" s="35"/>
      <c r="AP370" s="36"/>
      <c r="AQ370" s="36"/>
      <c r="AR370" s="36"/>
      <c r="AS370" s="36"/>
      <c r="AT370" s="36"/>
      <c r="AU370" s="36"/>
      <c r="AV370" s="36"/>
      <c r="AW370" s="36"/>
      <c r="AX370" s="36"/>
      <c r="AY370" s="36"/>
      <c r="AZ370" s="36"/>
      <c r="BA370" s="36"/>
      <c r="BB370" s="36"/>
      <c r="BC370" s="36"/>
      <c r="BD370" s="36"/>
      <c r="BE370" s="36"/>
      <c r="BF370" s="36"/>
      <c r="BG370" s="36"/>
      <c r="BH370" s="36"/>
      <c r="BI370" s="36"/>
      <c r="BJ370" s="36"/>
      <c r="BK370" s="36"/>
      <c r="BL370" s="36"/>
      <c r="BM370" s="36"/>
      <c r="BN370" s="36"/>
      <c r="BO370" s="36"/>
      <c r="BP370" s="36"/>
      <c r="BQ370" s="36"/>
      <c r="BR370" s="36"/>
      <c r="BS370" s="36"/>
      <c r="BT370" s="36"/>
      <c r="BU370" s="36"/>
      <c r="BV370" s="36"/>
      <c r="BW370" s="36"/>
      <c r="BX370" s="36"/>
      <c r="BY370" s="36"/>
      <c r="BZ370" s="36"/>
      <c r="CA370" s="36"/>
      <c r="CB370" s="36"/>
      <c r="CC370" s="36"/>
      <c r="CD370" s="36"/>
      <c r="CE370" s="36"/>
      <c r="CF370" s="36"/>
      <c r="CG370" s="36"/>
      <c r="CH370" s="36"/>
      <c r="CI370" s="36"/>
      <c r="CJ370" s="36"/>
      <c r="CK370" s="36"/>
      <c r="CL370" s="36"/>
      <c r="CM370" s="36"/>
      <c r="CN370" s="36"/>
      <c r="CO370" s="36"/>
      <c r="CP370" s="36"/>
      <c r="CQ370" s="36"/>
      <c r="CR370" s="36"/>
      <c r="CS370" s="36"/>
      <c r="CT370" s="36"/>
      <c r="CU370" s="36"/>
      <c r="CV370" s="36"/>
      <c r="CW370" s="36"/>
      <c r="CX370" s="36"/>
      <c r="CY370" s="36"/>
      <c r="CZ370" s="36"/>
      <c r="DA370" s="36"/>
      <c r="DB370" s="36"/>
      <c r="DC370" s="36"/>
      <c r="DD370" s="36"/>
      <c r="DE370" s="36"/>
      <c r="DF370" s="36"/>
      <c r="DG370" s="36"/>
      <c r="DH370" s="36">
        <v>-2.5717896896389602E-2</v>
      </c>
      <c r="DI370" s="36"/>
      <c r="DJ370" s="36"/>
      <c r="DK370" s="36"/>
      <c r="DL370" s="36"/>
      <c r="DM370" s="36"/>
      <c r="DN370" s="36"/>
      <c r="DO370" s="36">
        <v>-0.12573194038234917</v>
      </c>
      <c r="DP370" s="36"/>
      <c r="DQ370" s="36"/>
      <c r="DR370" s="36"/>
      <c r="DS370" s="36"/>
      <c r="DT370" s="36"/>
      <c r="DU370" s="36"/>
      <c r="DV370" s="36"/>
      <c r="DW370" s="36"/>
      <c r="DX370" s="36"/>
      <c r="DY370" s="36"/>
      <c r="DZ370" s="36"/>
      <c r="EA370" s="36"/>
      <c r="EB370" s="36"/>
      <c r="EC370" s="36"/>
      <c r="ED370" s="36"/>
      <c r="EE370" s="36"/>
      <c r="EF370" s="36"/>
      <c r="EG370" s="36">
        <v>-0.9223273109166733</v>
      </c>
      <c r="EH370" s="36"/>
      <c r="EI370" s="36">
        <v>1</v>
      </c>
      <c r="EJ370" s="36"/>
      <c r="EK370" s="36"/>
      <c r="EL370" s="36"/>
      <c r="EM370" s="36"/>
      <c r="EN370" s="36"/>
      <c r="EO370" s="36"/>
      <c r="EP370" s="36"/>
      <c r="EQ370" s="36"/>
      <c r="ER370" s="36"/>
      <c r="ES370" s="36"/>
      <c r="ET370" s="36"/>
      <c r="EU370" s="36"/>
      <c r="EV370" s="36"/>
      <c r="EW370" s="36"/>
      <c r="EX370" s="36"/>
      <c r="EY370" s="36"/>
      <c r="EZ370" s="36"/>
      <c r="FA370" s="36"/>
      <c r="FB370" s="36"/>
      <c r="FC370" s="36"/>
      <c r="FD370" s="36"/>
      <c r="FE370" s="36"/>
      <c r="FF370" s="36"/>
      <c r="FG370" s="36"/>
      <c r="FH370" s="36"/>
      <c r="FI370" s="36"/>
      <c r="FJ370" s="36"/>
      <c r="FK370" s="36"/>
      <c r="FL370" s="36"/>
      <c r="FM370" s="36"/>
      <c r="FN370" s="36"/>
      <c r="FO370" s="36"/>
      <c r="FP370" s="36"/>
      <c r="FQ370" s="36"/>
      <c r="FR370" s="36"/>
      <c r="FS370" s="36"/>
      <c r="FT370" s="36"/>
      <c r="FU370" s="36"/>
      <c r="FV370" s="36"/>
      <c r="FW370" s="36"/>
      <c r="FX370" s="36"/>
      <c r="FY370" s="36"/>
      <c r="FZ370" s="36"/>
      <c r="GA370" s="36"/>
      <c r="GB370" s="319"/>
      <c r="GC370" s="179">
        <f t="shared" si="70"/>
        <v>0</v>
      </c>
      <c r="GD370" s="179">
        <f t="shared" si="71"/>
        <v>2.9999999999999997E-4</v>
      </c>
      <c r="GE370" s="179">
        <f t="shared" si="72"/>
        <v>0</v>
      </c>
      <c r="GF370" s="179">
        <f t="shared" ref="GF370:GF401" si="73">ROUND(IF($C370="Primary",0,$O370*($G370*(SUMPRODUCT($Q$4:$GA$4,$Q370:$GA370)+$J370)-SUMPRODUCT($Q$5:$GA$5,$Q370:$GA370)-$I370))*IF($N370=GD$4,1,0),4)</f>
        <v>0</v>
      </c>
      <c r="GG370" s="179">
        <f t="shared" si="69"/>
        <v>0</v>
      </c>
    </row>
    <row r="371" spans="1:342" x14ac:dyDescent="0.35">
      <c r="A371" s="5" t="s">
        <v>1555</v>
      </c>
      <c r="B371" s="5" t="str">
        <f>IF(Technologies!B371&lt;&gt;0,Technologies!B371,"")</f>
        <v>Industrie</v>
      </c>
      <c r="C371" s="5" t="str">
        <f>VLOOKUP($A371,Technologies!$A$7:$H$576,3,FALSE)</f>
        <v>Conversion</v>
      </c>
      <c r="D371" s="5" t="str">
        <f>VLOOKUP($A371,Technologies!$A$7:$H$576,4,FALSE)</f>
        <v>Refineries</v>
      </c>
      <c r="E371" s="5" t="str">
        <f>VLOOKUP($A371,Technologies!$A$7:$H$576,6,FALSE)</f>
        <v>Methanol</v>
      </c>
      <c r="F371" s="5" t="str">
        <f>VLOOKUP($A371,Technologies!$A$7:$H$576,7,FALSE)</f>
        <v>Methanol direct synthesis from CO2 and H2 - Refineries</v>
      </c>
      <c r="G371" s="23"/>
      <c r="H371" s="208">
        <v>7.3999999999999996E-2</v>
      </c>
      <c r="I371" s="104" cm="1">
        <f t="array" ref="I371">-SUMPRODUCT((Feedstocks!$C$4:$C$141=A371)*Feedstocks!$E$4:$E$141,Feedstocks!$F$4:$F$141,Feedstocks!$H$4:$H$141,Feedstocks!$I$4:$I$141)</f>
        <v>0</v>
      </c>
      <c r="J371" s="104" cm="1">
        <f t="array" ref="J371">-SUMPRODUCT((Feedstocks!$C$4:$C$141=A371)*Feedstocks!$E$4:$E$141,Feedstocks!$H$4:$H$141,Feedstocks!$I$4:$I$141)</f>
        <v>0</v>
      </c>
      <c r="K371" s="209"/>
      <c r="L371" s="104"/>
      <c r="M371" s="23">
        <v>1</v>
      </c>
      <c r="N371" s="23" t="str">
        <f>VLOOKUP(E371,Activities!$A$9:$M$227,13,FALSE)</f>
        <v>NL</v>
      </c>
      <c r="O371" s="23"/>
      <c r="P371" s="79" t="s">
        <v>1557</v>
      </c>
      <c r="Q371" s="35"/>
      <c r="R371" s="35"/>
      <c r="S371" s="35"/>
      <c r="T371" s="35"/>
      <c r="U371" s="35"/>
      <c r="V371" s="35"/>
      <c r="W371" s="35"/>
      <c r="X371" s="35"/>
      <c r="Y371" s="35"/>
      <c r="Z371" s="35"/>
      <c r="AA371" s="35"/>
      <c r="AB371" s="35"/>
      <c r="AC371" s="35"/>
      <c r="AD371" s="35"/>
      <c r="AE371" s="35"/>
      <c r="AF371" s="36"/>
      <c r="AG371" s="36"/>
      <c r="AH371" s="36"/>
      <c r="AI371" s="36"/>
      <c r="AJ371" s="36"/>
      <c r="AK371" s="36"/>
      <c r="AL371" s="36"/>
      <c r="AM371" s="36"/>
      <c r="AN371" s="36"/>
      <c r="AO371" s="36"/>
      <c r="AP371" s="35"/>
      <c r="AQ371" s="35"/>
      <c r="AR371" s="35"/>
      <c r="AS371" s="35"/>
      <c r="AT371" s="35"/>
      <c r="AU371" s="35"/>
      <c r="AV371" s="35"/>
      <c r="AW371" s="35"/>
      <c r="AX371" s="35"/>
      <c r="AY371" s="35"/>
      <c r="AZ371" s="35"/>
      <c r="BA371" s="35"/>
      <c r="BB371" s="35"/>
      <c r="BC371" s="35"/>
      <c r="BD371" s="35"/>
      <c r="BE371" s="35"/>
      <c r="BF371" s="35"/>
      <c r="BG371" s="35"/>
      <c r="BH371" s="35"/>
      <c r="BI371" s="35"/>
      <c r="BJ371" s="35"/>
      <c r="BK371" s="35"/>
      <c r="BL371" s="35"/>
      <c r="BM371" s="35"/>
      <c r="BN371" s="35"/>
      <c r="BO371" s="35"/>
      <c r="BP371" s="35"/>
      <c r="BQ371" s="35"/>
      <c r="BR371" s="35"/>
      <c r="BS371" s="35"/>
      <c r="BT371" s="35"/>
      <c r="BU371" s="35"/>
      <c r="BV371" s="35"/>
      <c r="BW371" s="35"/>
      <c r="BX371" s="35"/>
      <c r="BY371" s="35"/>
      <c r="BZ371" s="35"/>
      <c r="CA371" s="35"/>
      <c r="CB371" s="35"/>
      <c r="CC371" s="35"/>
      <c r="CD371" s="35"/>
      <c r="CE371" s="35"/>
      <c r="CF371" s="35"/>
      <c r="CG371" s="35"/>
      <c r="CH371" s="35"/>
      <c r="CI371" s="35"/>
      <c r="CJ371" s="35"/>
      <c r="CK371" s="35"/>
      <c r="CL371" s="35"/>
      <c r="CM371" s="35"/>
      <c r="CN371" s="35"/>
      <c r="CO371" s="35"/>
      <c r="CP371" s="35"/>
      <c r="CQ371" s="35"/>
      <c r="CR371" s="35"/>
      <c r="CS371" s="35"/>
      <c r="CT371" s="35"/>
      <c r="CU371" s="35"/>
      <c r="CV371" s="35"/>
      <c r="CW371" s="35"/>
      <c r="CX371" s="35"/>
      <c r="CY371" s="35"/>
      <c r="CZ371" s="35"/>
      <c r="DA371" s="35"/>
      <c r="DB371" s="35"/>
      <c r="DC371" s="35"/>
      <c r="DD371" s="35"/>
      <c r="DE371" s="35"/>
      <c r="DF371" s="35"/>
      <c r="DG371" s="35"/>
      <c r="DH371" s="35">
        <v>-0.05</v>
      </c>
      <c r="DI371" s="35"/>
      <c r="DJ371" s="35"/>
      <c r="DK371" s="35"/>
      <c r="DL371" s="35"/>
      <c r="DM371" s="35"/>
      <c r="DN371" s="35"/>
      <c r="DO371" s="35"/>
      <c r="DP371" s="35">
        <v>0.09</v>
      </c>
      <c r="DQ371" s="35"/>
      <c r="DR371" s="35"/>
      <c r="DS371" s="35"/>
      <c r="DT371" s="35"/>
      <c r="DU371" s="35"/>
      <c r="DV371" s="35"/>
      <c r="DW371" s="35"/>
      <c r="DX371" s="35"/>
      <c r="DY371" s="35"/>
      <c r="DZ371" s="35"/>
      <c r="EA371" s="35"/>
      <c r="EB371" s="35"/>
      <c r="EC371" s="35"/>
      <c r="ED371" s="35"/>
      <c r="EE371" s="35"/>
      <c r="EF371" s="35"/>
      <c r="EG371" s="35"/>
      <c r="EH371" s="35"/>
      <c r="EI371" s="35">
        <v>1</v>
      </c>
      <c r="EJ371" s="35"/>
      <c r="EK371" s="35"/>
      <c r="EL371" s="35"/>
      <c r="EM371" s="35">
        <v>-1.22</v>
      </c>
      <c r="EN371" s="35"/>
      <c r="EO371" s="35"/>
      <c r="EP371" s="35"/>
      <c r="EQ371" s="35"/>
      <c r="ER371" s="35"/>
      <c r="ES371" s="35"/>
      <c r="ET371" s="35"/>
      <c r="EU371" s="35"/>
      <c r="EV371" s="35"/>
      <c r="EW371" s="35"/>
      <c r="EX371" s="35"/>
      <c r="EY371" s="35"/>
      <c r="EZ371" s="35"/>
      <c r="FA371" s="35"/>
      <c r="FB371" s="35"/>
      <c r="FC371" s="35"/>
      <c r="FD371" s="35"/>
      <c r="FE371" s="35"/>
      <c r="FF371" s="35"/>
      <c r="FG371" s="35"/>
      <c r="FH371" s="35"/>
      <c r="FI371" s="35"/>
      <c r="FJ371" s="35"/>
      <c r="FK371" s="35"/>
      <c r="FL371" s="35"/>
      <c r="FM371" s="35"/>
      <c r="FN371" s="35"/>
      <c r="FO371" s="35"/>
      <c r="FP371" s="35"/>
      <c r="FQ371" s="35"/>
      <c r="FR371" s="35"/>
      <c r="FS371" s="35"/>
      <c r="FT371" s="35"/>
      <c r="FU371" s="35"/>
      <c r="FV371" s="35"/>
      <c r="FW371" s="35"/>
      <c r="FX371" s="35"/>
      <c r="FY371" s="35"/>
      <c r="FZ371" s="35"/>
      <c r="GA371" s="35"/>
      <c r="GB371" s="318"/>
      <c r="GC371" s="178">
        <f t="shared" si="70"/>
        <v>-7.3999999999999996E-2</v>
      </c>
      <c r="GD371" s="178">
        <f t="shared" si="71"/>
        <v>6.0000000000000001E-3</v>
      </c>
      <c r="GE371" s="178">
        <f t="shared" si="72"/>
        <v>0</v>
      </c>
      <c r="GF371" s="178">
        <f t="shared" si="73"/>
        <v>0</v>
      </c>
      <c r="GG371" s="178">
        <f t="shared" si="69"/>
        <v>0</v>
      </c>
    </row>
    <row r="372" spans="1:342" s="310" customFormat="1" x14ac:dyDescent="0.35">
      <c r="A372" s="290" t="s">
        <v>1558</v>
      </c>
      <c r="B372" s="290" t="str">
        <f>IF(Technologies!B372&lt;&gt;0,Technologies!B372,"")</f>
        <v>Industrie</v>
      </c>
      <c r="C372" s="290" t="str">
        <f>VLOOKUP($A372,Technologies!$A$7:$H$576,3,FALSE)</f>
        <v>Conversion</v>
      </c>
      <c r="D372" s="290" t="str">
        <f>VLOOKUP($A372,Technologies!$A$7:$H$576,4,FALSE)</f>
        <v>Refineries</v>
      </c>
      <c r="E372" s="290" t="str">
        <f>VLOOKUP($A372,Technologies!$A$7:$H$576,6,FALSE)</f>
        <v>Methanol</v>
      </c>
      <c r="F372" s="290" t="str">
        <f>VLOOKUP($A372,Technologies!$A$7:$H$576,7,FALSE)</f>
        <v>E-Methanol direct synthesis from CO2 and H2 - Refineries</v>
      </c>
      <c r="G372" s="311"/>
      <c r="H372" s="312">
        <v>7.3999999999999996E-2</v>
      </c>
      <c r="I372" s="313" cm="1">
        <f t="array" ref="I372">-SUMPRODUCT((Feedstocks!$C$4:$C$141=A372)*Feedstocks!$E$4:$E$141,Feedstocks!$F$4:$F$141,Feedstocks!$H$4:$H$141,Feedstocks!$I$4:$I$141)</f>
        <v>0</v>
      </c>
      <c r="J372" s="313" cm="1">
        <f t="array" ref="J372">-SUMPRODUCT((Feedstocks!$C$4:$C$141=A372)*Feedstocks!$E$4:$E$141,Feedstocks!$H$4:$H$141,Feedstocks!$I$4:$I$141)</f>
        <v>0</v>
      </c>
      <c r="K372" s="314"/>
      <c r="L372" s="313"/>
      <c r="M372" s="311">
        <v>1</v>
      </c>
      <c r="N372" s="311" t="str">
        <f>VLOOKUP(E372,Activities!$A$9:$M$227,13,FALSE)</f>
        <v>NL</v>
      </c>
      <c r="O372" s="311"/>
      <c r="P372" s="308" t="s">
        <v>1557</v>
      </c>
      <c r="Q372" s="315"/>
      <c r="R372" s="315"/>
      <c r="S372" s="315"/>
      <c r="T372" s="315"/>
      <c r="U372" s="315"/>
      <c r="V372" s="315"/>
      <c r="W372" s="315"/>
      <c r="X372" s="315"/>
      <c r="Y372" s="315"/>
      <c r="Z372" s="315"/>
      <c r="AA372" s="315"/>
      <c r="AB372" s="315"/>
      <c r="AC372" s="315"/>
      <c r="AD372" s="315"/>
      <c r="AE372" s="315"/>
      <c r="AF372" s="315"/>
      <c r="AG372" s="315"/>
      <c r="AH372" s="315"/>
      <c r="AI372" s="315"/>
      <c r="AJ372" s="315"/>
      <c r="AK372" s="315"/>
      <c r="AL372" s="315"/>
      <c r="AM372" s="315"/>
      <c r="AN372" s="315"/>
      <c r="AO372" s="315"/>
      <c r="AP372" s="315"/>
      <c r="AQ372" s="315"/>
      <c r="AR372" s="315"/>
      <c r="AS372" s="315"/>
      <c r="AT372" s="315"/>
      <c r="AU372" s="315"/>
      <c r="AV372" s="315"/>
      <c r="AW372" s="315"/>
      <c r="AX372" s="315"/>
      <c r="AY372" s="315"/>
      <c r="AZ372" s="315"/>
      <c r="BA372" s="315"/>
      <c r="BB372" s="315"/>
      <c r="BC372" s="315"/>
      <c r="BD372" s="315"/>
      <c r="BE372" s="315"/>
      <c r="BF372" s="315"/>
      <c r="BG372" s="315"/>
      <c r="BH372" s="315"/>
      <c r="BI372" s="315"/>
      <c r="BJ372" s="315"/>
      <c r="BK372" s="315"/>
      <c r="BL372" s="315"/>
      <c r="BM372" s="315"/>
      <c r="BN372" s="315"/>
      <c r="BO372" s="315"/>
      <c r="BP372" s="315"/>
      <c r="BQ372" s="315"/>
      <c r="BR372" s="315"/>
      <c r="BS372" s="315"/>
      <c r="BT372" s="315"/>
      <c r="BU372" s="315"/>
      <c r="BV372" s="315"/>
      <c r="BW372" s="315"/>
      <c r="BX372" s="315"/>
      <c r="BY372" s="315"/>
      <c r="BZ372" s="315"/>
      <c r="CA372" s="315"/>
      <c r="CB372" s="315"/>
      <c r="CC372" s="315"/>
      <c r="CD372" s="315"/>
      <c r="CE372" s="315"/>
      <c r="CF372" s="315"/>
      <c r="CG372" s="315"/>
      <c r="CH372" s="315"/>
      <c r="CI372" s="315"/>
      <c r="CJ372" s="315"/>
      <c r="CK372" s="315"/>
      <c r="CL372" s="315"/>
      <c r="CM372" s="315"/>
      <c r="CN372" s="315"/>
      <c r="CO372" s="315"/>
      <c r="CP372" s="315"/>
      <c r="CQ372" s="315"/>
      <c r="CR372" s="315"/>
      <c r="CS372" s="315"/>
      <c r="CT372" s="315"/>
      <c r="CU372" s="315"/>
      <c r="CV372" s="315"/>
      <c r="CW372" s="315"/>
      <c r="CX372" s="315"/>
      <c r="CY372" s="315"/>
      <c r="CZ372" s="315"/>
      <c r="DA372" s="315"/>
      <c r="DB372" s="315"/>
      <c r="DC372" s="315"/>
      <c r="DD372" s="315"/>
      <c r="DE372" s="315"/>
      <c r="DF372" s="315"/>
      <c r="DG372" s="315"/>
      <c r="DH372" s="315">
        <v>-0.05</v>
      </c>
      <c r="DI372" s="315"/>
      <c r="DJ372" s="315"/>
      <c r="DK372" s="315"/>
      <c r="DL372" s="315"/>
      <c r="DM372" s="315"/>
      <c r="DN372" s="315"/>
      <c r="DO372" s="315"/>
      <c r="DP372" s="315">
        <v>0.09</v>
      </c>
      <c r="DQ372" s="315"/>
      <c r="DR372" s="315"/>
      <c r="DS372" s="315"/>
      <c r="DT372" s="315"/>
      <c r="DU372" s="315"/>
      <c r="DV372" s="315"/>
      <c r="DW372" s="315"/>
      <c r="DX372" s="315"/>
      <c r="DY372" s="315"/>
      <c r="DZ372" s="315"/>
      <c r="EA372" s="315"/>
      <c r="EB372" s="315"/>
      <c r="EC372" s="315"/>
      <c r="ED372" s="315"/>
      <c r="EE372" s="315"/>
      <c r="EF372" s="315"/>
      <c r="EG372" s="315"/>
      <c r="EH372" s="315"/>
      <c r="EI372" s="315">
        <v>1</v>
      </c>
      <c r="EJ372" s="315"/>
      <c r="EK372" s="315"/>
      <c r="EL372" s="315"/>
      <c r="EM372" s="315">
        <v>-1.22</v>
      </c>
      <c r="EN372" s="315"/>
      <c r="EO372" s="315"/>
      <c r="EP372" s="315"/>
      <c r="EQ372" s="315"/>
      <c r="ER372" s="315"/>
      <c r="ES372" s="315"/>
      <c r="ET372" s="315"/>
      <c r="EU372" s="315"/>
      <c r="EV372" s="315"/>
      <c r="EW372" s="315"/>
      <c r="EX372" s="315"/>
      <c r="EY372" s="315"/>
      <c r="EZ372" s="315"/>
      <c r="FA372" s="315"/>
      <c r="FB372" s="315"/>
      <c r="FC372" s="315"/>
      <c r="FD372" s="315"/>
      <c r="FE372" s="315"/>
      <c r="FF372" s="315"/>
      <c r="FG372" s="315"/>
      <c r="FH372" s="315"/>
      <c r="FI372" s="315"/>
      <c r="FJ372" s="315"/>
      <c r="FK372" s="315"/>
      <c r="FL372" s="315"/>
      <c r="FM372" s="315"/>
      <c r="FN372" s="315"/>
      <c r="FO372" s="315"/>
      <c r="FP372" s="315"/>
      <c r="FQ372" s="315"/>
      <c r="FR372" s="315"/>
      <c r="FS372" s="315"/>
      <c r="FT372" s="315"/>
      <c r="FU372" s="315"/>
      <c r="FV372" s="315"/>
      <c r="FW372" s="315"/>
      <c r="FX372" s="315"/>
      <c r="FY372" s="315"/>
      <c r="FZ372" s="315"/>
      <c r="GA372" s="315"/>
      <c r="GB372" s="322"/>
      <c r="GC372" s="316">
        <f t="shared" si="70"/>
        <v>-7.3999999999999996E-2</v>
      </c>
      <c r="GD372" s="316">
        <f t="shared" si="71"/>
        <v>6.0000000000000001E-3</v>
      </c>
      <c r="GE372" s="316">
        <f t="shared" si="72"/>
        <v>0</v>
      </c>
      <c r="GF372" s="316">
        <f t="shared" si="73"/>
        <v>0</v>
      </c>
      <c r="GG372" s="316">
        <f t="shared" si="69"/>
        <v>0</v>
      </c>
      <c r="GH372" s="1"/>
      <c r="GI372" s="1"/>
      <c r="GJ372" s="1"/>
      <c r="GK372" s="1"/>
      <c r="GL372" s="1"/>
      <c r="GM372" s="1"/>
      <c r="GN372" s="1"/>
      <c r="GO372" s="1"/>
      <c r="GP372" s="1"/>
      <c r="GQ372" s="1"/>
      <c r="GR372" s="1"/>
      <c r="GS372" s="1"/>
      <c r="GT372" s="1"/>
      <c r="GU372" s="1"/>
      <c r="GV372" s="1"/>
      <c r="GW372" s="1"/>
      <c r="GX372" s="1"/>
      <c r="GY372" s="1"/>
      <c r="GZ372" s="1"/>
      <c r="HA372" s="1"/>
      <c r="HB372" s="1"/>
      <c r="HC372" s="1"/>
      <c r="HD372" s="1"/>
      <c r="HE372" s="1"/>
      <c r="HF372" s="1"/>
      <c r="HG372" s="1"/>
      <c r="HH372" s="1"/>
      <c r="HI372" s="1"/>
      <c r="HJ372" s="1"/>
      <c r="HK372" s="1"/>
      <c r="HL372" s="1"/>
      <c r="HM372" s="1"/>
      <c r="HN372" s="1"/>
      <c r="HO372" s="1"/>
      <c r="HP372" s="1"/>
      <c r="HQ372" s="1"/>
      <c r="HR372" s="1"/>
      <c r="HS372" s="1"/>
      <c r="HT372" s="1"/>
      <c r="HU372" s="1"/>
      <c r="HV372" s="1"/>
      <c r="HW372" s="1"/>
      <c r="HX372" s="1"/>
      <c r="HY372" s="1"/>
      <c r="HZ372" s="1"/>
      <c r="IA372" s="1"/>
      <c r="IB372" s="1"/>
      <c r="IC372" s="1"/>
      <c r="ID372" s="1"/>
      <c r="IE372" s="1"/>
      <c r="IF372" s="1"/>
      <c r="IG372" s="1"/>
      <c r="IH372" s="1"/>
      <c r="II372" s="1"/>
      <c r="IJ372" s="1"/>
      <c r="IK372" s="1"/>
      <c r="IL372" s="1"/>
      <c r="IM372" s="1"/>
      <c r="IN372" s="1"/>
      <c r="IO372" s="1"/>
      <c r="IP372" s="1"/>
      <c r="IQ372" s="1"/>
      <c r="IR372" s="1"/>
      <c r="IS372" s="1"/>
      <c r="IT372" s="1"/>
      <c r="IU372" s="1"/>
      <c r="IV372" s="1"/>
      <c r="IW372" s="1"/>
      <c r="IX372" s="1"/>
      <c r="IY372" s="1"/>
      <c r="IZ372" s="1"/>
      <c r="JA372" s="1"/>
      <c r="JB372" s="1"/>
      <c r="JC372" s="1"/>
      <c r="JD372" s="1"/>
      <c r="JE372" s="1"/>
      <c r="JF372" s="1"/>
      <c r="JG372" s="1"/>
      <c r="JH372" s="1"/>
      <c r="JI372" s="1"/>
      <c r="JJ372" s="1"/>
      <c r="JK372" s="1"/>
      <c r="JL372" s="1"/>
      <c r="JM372" s="1"/>
      <c r="JN372" s="1"/>
      <c r="JO372" s="1"/>
      <c r="JP372" s="1"/>
      <c r="JQ372" s="1"/>
      <c r="JR372" s="1"/>
      <c r="JS372" s="1"/>
      <c r="JT372" s="1"/>
      <c r="JU372" s="1"/>
      <c r="JV372" s="1"/>
      <c r="JW372" s="1"/>
      <c r="JX372" s="1"/>
      <c r="JY372" s="1"/>
      <c r="JZ372" s="1"/>
      <c r="KA372" s="1"/>
      <c r="KB372" s="1"/>
      <c r="KC372" s="1"/>
      <c r="KD372" s="1"/>
      <c r="KE372" s="1"/>
      <c r="KF372" s="1"/>
      <c r="KG372" s="1"/>
      <c r="KH372" s="1"/>
      <c r="KI372" s="1"/>
      <c r="KJ372" s="1"/>
      <c r="KK372" s="1"/>
      <c r="KL372" s="1"/>
      <c r="KM372" s="1"/>
      <c r="KN372" s="1"/>
      <c r="KO372" s="1"/>
      <c r="KP372" s="1"/>
      <c r="KQ372" s="1"/>
      <c r="KR372" s="1"/>
      <c r="KS372" s="1"/>
      <c r="KT372" s="1"/>
      <c r="KU372" s="1"/>
      <c r="KV372" s="1"/>
      <c r="KW372" s="1"/>
      <c r="KX372" s="1"/>
      <c r="KY372" s="1"/>
      <c r="KZ372" s="1"/>
      <c r="LA372" s="1"/>
      <c r="LB372" s="1"/>
      <c r="LC372" s="1"/>
      <c r="LD372" s="1"/>
      <c r="LE372" s="1"/>
      <c r="LF372" s="1"/>
      <c r="LG372" s="1"/>
      <c r="LH372" s="1"/>
      <c r="LI372" s="1"/>
      <c r="LJ372" s="1"/>
      <c r="LK372" s="1"/>
      <c r="LL372" s="1"/>
      <c r="LM372" s="1"/>
      <c r="LN372" s="1"/>
      <c r="LO372" s="1"/>
      <c r="LP372" s="1"/>
      <c r="LQ372" s="1"/>
      <c r="LR372" s="1"/>
      <c r="LS372" s="1"/>
      <c r="LT372" s="1"/>
      <c r="LU372" s="1"/>
      <c r="LV372" s="1"/>
      <c r="LW372" s="1"/>
      <c r="LX372" s="1"/>
      <c r="LY372" s="1"/>
      <c r="LZ372" s="1"/>
      <c r="MA372" s="1"/>
      <c r="MB372" s="1"/>
      <c r="MC372" s="1"/>
      <c r="MD372" s="1"/>
    </row>
    <row r="373" spans="1:342" x14ac:dyDescent="0.35">
      <c r="A373" s="6" t="s">
        <v>1560</v>
      </c>
      <c r="B373" s="6" t="str">
        <f>IF(Technologies!B373&lt;&gt;0,Technologies!B373,"")</f>
        <v>Industrie</v>
      </c>
      <c r="C373" s="6" t="str">
        <f>VLOOKUP($A373,Technologies!$A$7:$H$576,3,FALSE)</f>
        <v>Conversion</v>
      </c>
      <c r="D373" s="6" t="str">
        <f>VLOOKUP($A373,Technologies!$A$7:$H$576,4,FALSE)</f>
        <v>Final Gas</v>
      </c>
      <c r="E373" s="6" t="str">
        <f>VLOOKUP($A373,Technologies!$A$7:$H$576,6,FALSE)</f>
        <v>Natural Gas HD</v>
      </c>
      <c r="F373" s="48" t="str">
        <f>VLOOKUP($A373,Technologies!$A$7:$H$576,7,FALSE)</f>
        <v>Gas Extraction - Final Gas</v>
      </c>
      <c r="G373" s="22"/>
      <c r="H373" s="22"/>
      <c r="I373" s="103" cm="1">
        <f t="array" ref="I373">-SUMPRODUCT((Feedstocks!$C$4:$C$141=A373)*Feedstocks!$E$4:$E$141,Feedstocks!$F$4:$F$141,Feedstocks!$H$4:$H$141,Feedstocks!$I$4:$I$141)</f>
        <v>0</v>
      </c>
      <c r="J373" s="103" cm="1">
        <f t="array" ref="J373">-SUMPRODUCT((Feedstocks!$C$4:$C$141=A373)*Feedstocks!$E$4:$E$141,Feedstocks!$H$4:$H$141,Feedstocks!$I$4:$I$141)</f>
        <v>0</v>
      </c>
      <c r="K373" s="103"/>
      <c r="L373" s="103"/>
      <c r="M373" s="22">
        <v>1</v>
      </c>
      <c r="N373" s="22" t="str">
        <f>VLOOKUP(E373,Activities!$A$9:$M$227,13,FALSE)</f>
        <v>NL</v>
      </c>
      <c r="O373" s="22"/>
      <c r="P373" s="80" t="s">
        <v>415</v>
      </c>
      <c r="Q373" s="36"/>
      <c r="R373" s="36"/>
      <c r="S373" s="36"/>
      <c r="T373" s="36"/>
      <c r="U373" s="36"/>
      <c r="V373" s="36"/>
      <c r="W373" s="36"/>
      <c r="X373" s="36"/>
      <c r="Y373" s="36"/>
      <c r="Z373" s="36"/>
      <c r="AA373" s="36"/>
      <c r="AB373" s="36"/>
      <c r="AC373" s="36"/>
      <c r="AD373" s="36"/>
      <c r="AE373" s="36"/>
      <c r="AF373" s="35"/>
      <c r="AG373" s="35"/>
      <c r="AH373" s="35"/>
      <c r="AI373" s="35"/>
      <c r="AJ373" s="35"/>
      <c r="AK373" s="35"/>
      <c r="AL373" s="35"/>
      <c r="AM373" s="35"/>
      <c r="AN373" s="35"/>
      <c r="AO373" s="35"/>
      <c r="AP373" s="36"/>
      <c r="AQ373" s="36"/>
      <c r="AR373" s="36"/>
      <c r="AS373" s="36"/>
      <c r="AT373" s="36"/>
      <c r="AU373" s="36"/>
      <c r="AV373" s="36"/>
      <c r="AW373" s="36"/>
      <c r="AX373" s="36"/>
      <c r="AY373" s="36"/>
      <c r="AZ373" s="36"/>
      <c r="BA373" s="36"/>
      <c r="BB373" s="36"/>
      <c r="BC373" s="36"/>
      <c r="BD373" s="36"/>
      <c r="BE373" s="36"/>
      <c r="BF373" s="36"/>
      <c r="BG373" s="36"/>
      <c r="BH373" s="36"/>
      <c r="BI373" s="36"/>
      <c r="BJ373" s="36"/>
      <c r="BK373" s="36"/>
      <c r="BL373" s="36"/>
      <c r="BM373" s="36"/>
      <c r="BN373" s="36"/>
      <c r="BO373" s="36"/>
      <c r="BP373" s="36"/>
      <c r="BQ373" s="36"/>
      <c r="BR373" s="36"/>
      <c r="BS373" s="36"/>
      <c r="BT373" s="36"/>
      <c r="BU373" s="36"/>
      <c r="BV373" s="36"/>
      <c r="BW373" s="36"/>
      <c r="BX373" s="36"/>
      <c r="BY373" s="36"/>
      <c r="BZ373" s="36"/>
      <c r="CA373" s="36"/>
      <c r="CB373" s="36"/>
      <c r="CC373" s="36"/>
      <c r="CD373" s="36"/>
      <c r="CE373" s="36"/>
      <c r="CF373" s="36"/>
      <c r="CG373" s="36"/>
      <c r="CH373" s="36"/>
      <c r="CI373" s="36"/>
      <c r="CJ373" s="36"/>
      <c r="CK373" s="36"/>
      <c r="CL373" s="36"/>
      <c r="CM373" s="36"/>
      <c r="CN373" s="36"/>
      <c r="CO373" s="36"/>
      <c r="CP373" s="36"/>
      <c r="CQ373" s="36"/>
      <c r="CR373" s="36"/>
      <c r="CS373" s="36"/>
      <c r="CT373" s="36"/>
      <c r="CU373" s="36"/>
      <c r="CV373" s="36"/>
      <c r="CW373" s="36"/>
      <c r="CX373" s="36"/>
      <c r="CY373" s="36"/>
      <c r="CZ373" s="36"/>
      <c r="DA373" s="36"/>
      <c r="DB373" s="36"/>
      <c r="DC373" s="36"/>
      <c r="DD373" s="36"/>
      <c r="DE373" s="36"/>
      <c r="DF373" s="36"/>
      <c r="DG373" s="36"/>
      <c r="DH373" s="36">
        <v>-3.65848150434351E-3</v>
      </c>
      <c r="DI373" s="36"/>
      <c r="DJ373" s="36"/>
      <c r="DK373" s="36"/>
      <c r="DL373" s="36"/>
      <c r="DM373" s="36"/>
      <c r="DN373" s="36"/>
      <c r="DO373" s="36"/>
      <c r="DP373" s="36"/>
      <c r="DQ373" s="36"/>
      <c r="DR373" s="36"/>
      <c r="DS373" s="36">
        <v>6.5189999999999996E-3</v>
      </c>
      <c r="DT373" s="36"/>
      <c r="DU373" s="36"/>
      <c r="DV373" s="36"/>
      <c r="DW373" s="36"/>
      <c r="DX373" s="36"/>
      <c r="DY373" s="36"/>
      <c r="DZ373" s="36"/>
      <c r="EA373" s="36"/>
      <c r="EB373" s="36"/>
      <c r="EC373" s="36"/>
      <c r="ED373" s="36"/>
      <c r="EE373" s="36"/>
      <c r="EF373" s="36"/>
      <c r="EG373" s="36"/>
      <c r="EH373" s="36"/>
      <c r="EI373" s="36"/>
      <c r="EJ373" s="36">
        <v>1</v>
      </c>
      <c r="EK373" s="36"/>
      <c r="EL373" s="36"/>
      <c r="EM373" s="36"/>
      <c r="EN373" s="36"/>
      <c r="EO373" s="36"/>
      <c r="EP373" s="36"/>
      <c r="EQ373" s="36"/>
      <c r="ER373" s="36"/>
      <c r="ES373" s="36"/>
      <c r="ET373" s="36"/>
      <c r="EU373" s="36">
        <v>-1.0167900000000001</v>
      </c>
      <c r="EV373" s="36"/>
      <c r="EW373" s="36"/>
      <c r="EX373" s="36"/>
      <c r="EY373" s="36"/>
      <c r="EZ373" s="36"/>
      <c r="FA373" s="36"/>
      <c r="FB373" s="36"/>
      <c r="FC373" s="36"/>
      <c r="FD373" s="36"/>
      <c r="FE373" s="36"/>
      <c r="FF373" s="36"/>
      <c r="FG373" s="36"/>
      <c r="FH373" s="36"/>
      <c r="FI373" s="36"/>
      <c r="FJ373" s="36"/>
      <c r="FK373" s="36"/>
      <c r="FL373" s="36"/>
      <c r="FM373" s="36"/>
      <c r="FN373" s="36"/>
      <c r="FO373" s="36"/>
      <c r="FP373" s="36"/>
      <c r="FQ373" s="36"/>
      <c r="FR373" s="36"/>
      <c r="FS373" s="36"/>
      <c r="FT373" s="36"/>
      <c r="FU373" s="36"/>
      <c r="FV373" s="36"/>
      <c r="FW373" s="36"/>
      <c r="FX373" s="36"/>
      <c r="FY373" s="36"/>
      <c r="FZ373" s="36"/>
      <c r="GA373" s="36"/>
      <c r="GB373" s="319"/>
      <c r="GC373" s="179">
        <f t="shared" si="70"/>
        <v>0</v>
      </c>
      <c r="GD373" s="179">
        <f t="shared" si="71"/>
        <v>5.0000000000000001E-4</v>
      </c>
      <c r="GE373" s="179">
        <f t="shared" si="72"/>
        <v>0</v>
      </c>
      <c r="GF373" s="179">
        <f t="shared" si="73"/>
        <v>0</v>
      </c>
      <c r="GG373" s="179">
        <f t="shared" si="69"/>
        <v>0</v>
      </c>
    </row>
    <row r="374" spans="1:342" x14ac:dyDescent="0.35">
      <c r="A374" s="5" t="s">
        <v>1564</v>
      </c>
      <c r="B374" s="5" t="str">
        <f>IF(Technologies!B374&lt;&gt;0,Technologies!B374,"")</f>
        <v>Industrie</v>
      </c>
      <c r="C374" s="5" t="str">
        <f>VLOOKUP($A374,Technologies!$A$7:$H$576,3,FALSE)</f>
        <v>Conversion</v>
      </c>
      <c r="D374" s="5" t="str">
        <f>VLOOKUP($A374,Technologies!$A$7:$H$576,4,FALSE)</f>
        <v>Final Gas</v>
      </c>
      <c r="E374" s="5" t="str">
        <f>VLOOKUP($A374,Technologies!$A$7:$H$576,6,FALSE)</f>
        <v>Natural Gas HD</v>
      </c>
      <c r="F374" s="5" t="str">
        <f>VLOOKUP($A374,Technologies!$A$7:$H$576,7,FALSE)</f>
        <v>Methane from Hydrogen - Final Gas</v>
      </c>
      <c r="G374" s="23"/>
      <c r="H374" s="126">
        <v>5.6599999999999998E-2</v>
      </c>
      <c r="I374" s="104" cm="1">
        <f t="array" ref="I374">-SUMPRODUCT((Feedstocks!$C$4:$C$141=A374)*Feedstocks!$E$4:$E$141,Feedstocks!$F$4:$F$141,Feedstocks!$H$4:$H$141,Feedstocks!$I$4:$I$141)</f>
        <v>0</v>
      </c>
      <c r="J374" s="104" cm="1">
        <f t="array" ref="J374">-SUMPRODUCT((Feedstocks!$C$4:$C$141=A374)*Feedstocks!$E$4:$E$141,Feedstocks!$H$4:$H$141,Feedstocks!$I$4:$I$141)</f>
        <v>0</v>
      </c>
      <c r="K374" s="104"/>
      <c r="L374" s="104"/>
      <c r="M374" s="23">
        <v>1</v>
      </c>
      <c r="N374" s="23" t="str">
        <f>VLOOKUP(E374,Activities!$A$9:$M$227,13,FALSE)</f>
        <v>NL</v>
      </c>
      <c r="O374" s="23"/>
      <c r="P374" s="79" t="s">
        <v>415</v>
      </c>
      <c r="Q374" s="35"/>
      <c r="R374" s="35"/>
      <c r="S374" s="35"/>
      <c r="T374" s="35"/>
      <c r="U374" s="35"/>
      <c r="V374" s="35"/>
      <c r="W374" s="35"/>
      <c r="X374" s="35"/>
      <c r="Y374" s="35"/>
      <c r="Z374" s="35"/>
      <c r="AA374" s="35"/>
      <c r="AB374" s="35"/>
      <c r="AC374" s="35"/>
      <c r="AD374" s="35"/>
      <c r="AE374" s="35"/>
      <c r="AF374" s="36"/>
      <c r="AG374" s="36"/>
      <c r="AH374" s="36"/>
      <c r="AI374" s="36"/>
      <c r="AJ374" s="36"/>
      <c r="AK374" s="36"/>
      <c r="AL374" s="36"/>
      <c r="AM374" s="36"/>
      <c r="AN374" s="36"/>
      <c r="AO374" s="36"/>
      <c r="AP374" s="35"/>
      <c r="AQ374" s="35"/>
      <c r="AR374" s="35"/>
      <c r="AS374" s="35"/>
      <c r="AT374" s="35"/>
      <c r="AU374" s="35"/>
      <c r="AV374" s="35"/>
      <c r="AW374" s="35"/>
      <c r="AX374" s="35"/>
      <c r="AY374" s="35"/>
      <c r="AZ374" s="35"/>
      <c r="BA374" s="35"/>
      <c r="BB374" s="35"/>
      <c r="BC374" s="35"/>
      <c r="BD374" s="35"/>
      <c r="BE374" s="35"/>
      <c r="BF374" s="35"/>
      <c r="BG374" s="35"/>
      <c r="BH374" s="35"/>
      <c r="BI374" s="35"/>
      <c r="BJ374" s="35"/>
      <c r="BK374" s="35"/>
      <c r="BL374" s="35"/>
      <c r="BM374" s="35"/>
      <c r="BN374" s="35"/>
      <c r="BO374" s="35"/>
      <c r="BP374" s="35"/>
      <c r="BQ374" s="35"/>
      <c r="BR374" s="35"/>
      <c r="BS374" s="35"/>
      <c r="BT374" s="35"/>
      <c r="BU374" s="35"/>
      <c r="BV374" s="35"/>
      <c r="BW374" s="35"/>
      <c r="BX374" s="35"/>
      <c r="BY374" s="35"/>
      <c r="BZ374" s="35"/>
      <c r="CA374" s="35"/>
      <c r="CB374" s="35"/>
      <c r="CC374" s="35"/>
      <c r="CD374" s="35"/>
      <c r="CE374" s="35"/>
      <c r="CF374" s="35"/>
      <c r="CG374" s="35"/>
      <c r="CH374" s="35"/>
      <c r="CI374" s="35"/>
      <c r="CJ374" s="35"/>
      <c r="CK374" s="35"/>
      <c r="CL374" s="35"/>
      <c r="CM374" s="35"/>
      <c r="CN374" s="35"/>
      <c r="CO374" s="35"/>
      <c r="CP374" s="35"/>
      <c r="CQ374" s="35"/>
      <c r="CR374" s="35"/>
      <c r="CS374" s="35"/>
      <c r="CT374" s="35"/>
      <c r="CU374" s="35"/>
      <c r="CV374" s="35"/>
      <c r="CW374" s="35"/>
      <c r="CX374" s="35"/>
      <c r="CY374" s="35"/>
      <c r="CZ374" s="35"/>
      <c r="DA374" s="35"/>
      <c r="DB374" s="35"/>
      <c r="DC374" s="35"/>
      <c r="DD374" s="35"/>
      <c r="DE374" s="35"/>
      <c r="DF374" s="35"/>
      <c r="DG374" s="35"/>
      <c r="DH374" s="35">
        <v>-0.1</v>
      </c>
      <c r="DI374" s="35"/>
      <c r="DJ374" s="35"/>
      <c r="DK374" s="35"/>
      <c r="DL374" s="35"/>
      <c r="DM374" s="35"/>
      <c r="DN374" s="35"/>
      <c r="DO374" s="35">
        <v>-0.08</v>
      </c>
      <c r="DP374" s="35"/>
      <c r="DQ374" s="35"/>
      <c r="DR374" s="35"/>
      <c r="DS374" s="35"/>
      <c r="DT374" s="35"/>
      <c r="DU374" s="35"/>
      <c r="DV374" s="35"/>
      <c r="DW374" s="35"/>
      <c r="DX374" s="35"/>
      <c r="DY374" s="35"/>
      <c r="DZ374" s="35"/>
      <c r="EA374" s="35"/>
      <c r="EB374" s="35"/>
      <c r="EC374" s="35"/>
      <c r="ED374" s="35"/>
      <c r="EE374" s="35"/>
      <c r="EF374" s="35"/>
      <c r="EG374" s="35"/>
      <c r="EH374" s="35"/>
      <c r="EI374" s="35"/>
      <c r="EJ374" s="35">
        <v>1</v>
      </c>
      <c r="EK374" s="35"/>
      <c r="EL374" s="35"/>
      <c r="EM374" s="35">
        <v>-1.2</v>
      </c>
      <c r="EN374" s="35"/>
      <c r="EO374" s="35"/>
      <c r="EP374" s="35"/>
      <c r="EQ374" s="35"/>
      <c r="ER374" s="35"/>
      <c r="ES374" s="35"/>
      <c r="ET374" s="35"/>
      <c r="EU374" s="35"/>
      <c r="EV374" s="35"/>
      <c r="EW374" s="35"/>
      <c r="EX374" s="35"/>
      <c r="EY374" s="35"/>
      <c r="EZ374" s="35"/>
      <c r="FA374" s="35"/>
      <c r="FB374" s="35"/>
      <c r="FC374" s="35"/>
      <c r="FD374" s="35"/>
      <c r="FE374" s="35"/>
      <c r="FF374" s="35"/>
      <c r="FG374" s="35"/>
      <c r="FH374" s="35"/>
      <c r="FI374" s="35"/>
      <c r="FJ374" s="35"/>
      <c r="FK374" s="35"/>
      <c r="FL374" s="35"/>
      <c r="FM374" s="35"/>
      <c r="FN374" s="35"/>
      <c r="FO374" s="35"/>
      <c r="FP374" s="35"/>
      <c r="FQ374" s="35"/>
      <c r="FR374" s="35"/>
      <c r="FS374" s="35"/>
      <c r="FT374" s="35"/>
      <c r="FU374" s="35"/>
      <c r="FV374" s="35"/>
      <c r="FW374" s="35"/>
      <c r="FX374" s="35"/>
      <c r="FY374" s="35"/>
      <c r="FZ374" s="35"/>
      <c r="GA374" s="35"/>
      <c r="GB374" s="318"/>
      <c r="GC374" s="178">
        <f t="shared" si="70"/>
        <v>-5.6599999999999998E-2</v>
      </c>
      <c r="GD374" s="178">
        <f t="shared" si="71"/>
        <v>0</v>
      </c>
      <c r="GE374" s="178">
        <f t="shared" si="72"/>
        <v>0</v>
      </c>
      <c r="GF374" s="178">
        <f t="shared" si="73"/>
        <v>0</v>
      </c>
      <c r="GG374" s="178">
        <f t="shared" si="69"/>
        <v>0</v>
      </c>
    </row>
    <row r="375" spans="1:342" x14ac:dyDescent="0.35">
      <c r="A375" s="6" t="s">
        <v>1566</v>
      </c>
      <c r="B375" s="6" t="str">
        <f>IF(Technologies!B375&lt;&gt;0,Technologies!B375,"")</f>
        <v>Industrie</v>
      </c>
      <c r="C375" s="6" t="str">
        <f>VLOOKUP($A375,Technologies!$A$7:$H$576,3,FALSE)</f>
        <v>Primary</v>
      </c>
      <c r="D375" s="6" t="str">
        <f>VLOOKUP($A375,Technologies!$A$7:$H$576,4,FALSE)</f>
        <v>Fossil</v>
      </c>
      <c r="E375" s="6" t="str">
        <f>VLOOKUP($A375,Technologies!$A$7:$H$576,6,FALSE)</f>
        <v>Natural Gas HD</v>
      </c>
      <c r="F375" s="48" t="str">
        <f>VLOOKUP($A375,Technologies!$A$7:$H$576,7,FALSE)</f>
        <v>Imported Natural Gas - Final Gas</v>
      </c>
      <c r="G375" s="22"/>
      <c r="H375" s="22"/>
      <c r="I375" s="103" cm="1">
        <f t="array" ref="I375">-SUMPRODUCT((Feedstocks!$C$4:$C$141=A375)*Feedstocks!$E$4:$E$141,Feedstocks!$F$4:$F$141,Feedstocks!$H$4:$H$141,Feedstocks!$I$4:$I$141)</f>
        <v>0</v>
      </c>
      <c r="J375" s="103" cm="1">
        <f t="array" ref="J375">-SUMPRODUCT((Feedstocks!$C$4:$C$141=A375)*Feedstocks!$E$4:$E$141,Feedstocks!$H$4:$H$141,Feedstocks!$I$4:$I$141)</f>
        <v>0</v>
      </c>
      <c r="K375" s="103"/>
      <c r="L375" s="103"/>
      <c r="M375" s="22"/>
      <c r="N375" s="22" t="str">
        <f>VLOOKUP(E375,Activities!$A$9:$M$227,13,FALSE)</f>
        <v>NL</v>
      </c>
      <c r="O375" s="22"/>
      <c r="P375" s="80" t="s">
        <v>415</v>
      </c>
      <c r="Q375" s="36"/>
      <c r="R375" s="36"/>
      <c r="S375" s="36"/>
      <c r="T375" s="36"/>
      <c r="U375" s="36"/>
      <c r="V375" s="36"/>
      <c r="W375" s="36"/>
      <c r="X375" s="36"/>
      <c r="Y375" s="36"/>
      <c r="Z375" s="36"/>
      <c r="AA375" s="36"/>
      <c r="AB375" s="36"/>
      <c r="AC375" s="36"/>
      <c r="AD375" s="36"/>
      <c r="AE375" s="36"/>
      <c r="AF375" s="35"/>
      <c r="AG375" s="35"/>
      <c r="AH375" s="35"/>
      <c r="AI375" s="35"/>
      <c r="AJ375" s="35"/>
      <c r="AK375" s="35"/>
      <c r="AL375" s="35"/>
      <c r="AM375" s="35"/>
      <c r="AN375" s="35"/>
      <c r="AO375" s="35"/>
      <c r="AP375" s="36"/>
      <c r="AQ375" s="36"/>
      <c r="AR375" s="36"/>
      <c r="AS375" s="36"/>
      <c r="AT375" s="36"/>
      <c r="AU375" s="36"/>
      <c r="AV375" s="36"/>
      <c r="AW375" s="36"/>
      <c r="AX375" s="36"/>
      <c r="AY375" s="36"/>
      <c r="AZ375" s="36"/>
      <c r="BA375" s="36"/>
      <c r="BB375" s="36"/>
      <c r="BC375" s="36"/>
      <c r="BD375" s="36"/>
      <c r="BE375" s="36"/>
      <c r="BF375" s="36"/>
      <c r="BG375" s="36"/>
      <c r="BH375" s="36"/>
      <c r="BI375" s="36"/>
      <c r="BJ375" s="36"/>
      <c r="BK375" s="36"/>
      <c r="BL375" s="36"/>
      <c r="BM375" s="36"/>
      <c r="BN375" s="36"/>
      <c r="BO375" s="36"/>
      <c r="BP375" s="36"/>
      <c r="BQ375" s="36"/>
      <c r="BR375" s="36"/>
      <c r="BS375" s="36"/>
      <c r="BT375" s="36"/>
      <c r="BU375" s="36"/>
      <c r="BV375" s="36"/>
      <c r="BW375" s="36"/>
      <c r="BX375" s="36"/>
      <c r="BY375" s="36"/>
      <c r="BZ375" s="36"/>
      <c r="CA375" s="36"/>
      <c r="CB375" s="36"/>
      <c r="CC375" s="36"/>
      <c r="CD375" s="36"/>
      <c r="CE375" s="36"/>
      <c r="CF375" s="36"/>
      <c r="CG375" s="36"/>
      <c r="CH375" s="36"/>
      <c r="CI375" s="36"/>
      <c r="CJ375" s="36"/>
      <c r="CK375" s="36"/>
      <c r="CL375" s="36"/>
      <c r="CM375" s="36"/>
      <c r="CN375" s="36"/>
      <c r="CO375" s="36"/>
      <c r="CP375" s="36"/>
      <c r="CQ375" s="36"/>
      <c r="CR375" s="36"/>
      <c r="CS375" s="36"/>
      <c r="CT375" s="36"/>
      <c r="CU375" s="36"/>
      <c r="CV375" s="36"/>
      <c r="CW375" s="36"/>
      <c r="CX375" s="36"/>
      <c r="CY375" s="36"/>
      <c r="CZ375" s="36"/>
      <c r="DA375" s="36"/>
      <c r="DB375" s="36"/>
      <c r="DC375" s="36"/>
      <c r="DD375" s="36"/>
      <c r="DE375" s="36"/>
      <c r="DF375" s="36"/>
      <c r="DG375" s="36"/>
      <c r="DH375" s="36"/>
      <c r="DI375" s="36"/>
      <c r="DJ375" s="36"/>
      <c r="DK375" s="36"/>
      <c r="DL375" s="36"/>
      <c r="DM375" s="36"/>
      <c r="DN375" s="36"/>
      <c r="DO375" s="36"/>
      <c r="DP375" s="36"/>
      <c r="DQ375" s="36"/>
      <c r="DR375" s="36"/>
      <c r="DS375" s="36"/>
      <c r="DT375" s="36"/>
      <c r="DU375" s="36"/>
      <c r="DV375" s="36"/>
      <c r="DW375" s="36"/>
      <c r="DX375" s="36"/>
      <c r="DY375" s="36"/>
      <c r="DZ375" s="36"/>
      <c r="EA375" s="36"/>
      <c r="EB375" s="36"/>
      <c r="EC375" s="36"/>
      <c r="ED375" s="36"/>
      <c r="EE375" s="36"/>
      <c r="EF375" s="36"/>
      <c r="EG375" s="36"/>
      <c r="EH375" s="36"/>
      <c r="EI375" s="36"/>
      <c r="EJ375" s="36">
        <v>1</v>
      </c>
      <c r="EK375" s="36"/>
      <c r="EL375" s="36"/>
      <c r="EM375" s="36"/>
      <c r="EN375" s="36"/>
      <c r="EO375" s="36"/>
      <c r="EP375" s="36"/>
      <c r="EQ375" s="36"/>
      <c r="ER375" s="36"/>
      <c r="ES375" s="36"/>
      <c r="ET375" s="36"/>
      <c r="EU375" s="36"/>
      <c r="EV375" s="36"/>
      <c r="EW375" s="36"/>
      <c r="EX375" s="36"/>
      <c r="EY375" s="36"/>
      <c r="EZ375" s="36"/>
      <c r="FA375" s="36"/>
      <c r="FB375" s="36"/>
      <c r="FC375" s="36"/>
      <c r="FD375" s="36"/>
      <c r="FE375" s="36"/>
      <c r="FF375" s="36"/>
      <c r="FG375" s="36"/>
      <c r="FH375" s="36"/>
      <c r="FI375" s="36"/>
      <c r="FJ375" s="36"/>
      <c r="FK375" s="36"/>
      <c r="FL375" s="36"/>
      <c r="FM375" s="36"/>
      <c r="FN375" s="36"/>
      <c r="FO375" s="36"/>
      <c r="FP375" s="36"/>
      <c r="FQ375" s="36"/>
      <c r="FR375" s="36"/>
      <c r="FS375" s="36"/>
      <c r="FT375" s="36"/>
      <c r="FU375" s="36"/>
      <c r="FV375" s="36"/>
      <c r="FW375" s="36"/>
      <c r="FX375" s="36"/>
      <c r="FY375" s="36"/>
      <c r="FZ375" s="36"/>
      <c r="GA375" s="36"/>
      <c r="GB375" s="319"/>
      <c r="GC375" s="179">
        <f t="shared" si="70"/>
        <v>0</v>
      </c>
      <c r="GD375" s="179">
        <f t="shared" si="71"/>
        <v>0</v>
      </c>
      <c r="GE375" s="179">
        <f t="shared" si="72"/>
        <v>0</v>
      </c>
      <c r="GF375" s="179">
        <f t="shared" si="73"/>
        <v>0</v>
      </c>
      <c r="GG375" s="179">
        <f t="shared" si="69"/>
        <v>0</v>
      </c>
    </row>
    <row r="376" spans="1:342" x14ac:dyDescent="0.35">
      <c r="A376" s="5" t="s">
        <v>1571</v>
      </c>
      <c r="B376" s="5" t="str">
        <f>IF(Technologies!B376&lt;&gt;0,Technologies!B376,"")</f>
        <v>Industrie</v>
      </c>
      <c r="C376" s="5" t="str">
        <f>VLOOKUP($A376,Technologies!$A$7:$H$576,3,FALSE)</f>
        <v>Conversion</v>
      </c>
      <c r="D376" s="5" t="str">
        <f>VLOOKUP($A376,Technologies!$A$7:$H$576,4,FALSE)</f>
        <v>Final Gas</v>
      </c>
      <c r="E376" s="5" t="str">
        <f>VLOOKUP($A376,Technologies!$A$7:$H$576,6,FALSE)</f>
        <v>Natural Gas HD</v>
      </c>
      <c r="F376" s="5" t="str">
        <f>VLOOKUP($A376,Technologies!$A$7:$H$576,7,FALSE)</f>
        <v>LNG decompression station - Final Gas</v>
      </c>
      <c r="G376" s="23"/>
      <c r="H376" s="23"/>
      <c r="I376" s="104" cm="1">
        <f t="array" ref="I376">-SUMPRODUCT((Feedstocks!$C$4:$C$141=A376)*Feedstocks!$E$4:$E$141,Feedstocks!$F$4:$F$141,Feedstocks!$H$4:$H$141,Feedstocks!$I$4:$I$141)</f>
        <v>0</v>
      </c>
      <c r="J376" s="104" cm="1">
        <f t="array" ref="J376">-SUMPRODUCT((Feedstocks!$C$4:$C$141=A376)*Feedstocks!$E$4:$E$141,Feedstocks!$H$4:$H$141,Feedstocks!$I$4:$I$141)</f>
        <v>0</v>
      </c>
      <c r="K376" s="104"/>
      <c r="L376" s="104"/>
      <c r="M376" s="23"/>
      <c r="N376" s="23" t="str">
        <f>VLOOKUP(E376,Activities!$A$9:$M$227,13,FALSE)</f>
        <v>NL</v>
      </c>
      <c r="O376" s="23"/>
      <c r="P376" s="79" t="s">
        <v>415</v>
      </c>
      <c r="Q376" s="35"/>
      <c r="R376" s="35"/>
      <c r="S376" s="35"/>
      <c r="T376" s="35"/>
      <c r="U376" s="35"/>
      <c r="V376" s="35"/>
      <c r="W376" s="35"/>
      <c r="X376" s="35"/>
      <c r="Y376" s="35"/>
      <c r="Z376" s="35"/>
      <c r="AA376" s="35"/>
      <c r="AB376" s="35"/>
      <c r="AC376" s="35"/>
      <c r="AD376" s="35"/>
      <c r="AE376" s="35"/>
      <c r="AF376" s="36"/>
      <c r="AG376" s="36"/>
      <c r="AH376" s="36"/>
      <c r="AI376" s="36"/>
      <c r="AJ376" s="36"/>
      <c r="AK376" s="36"/>
      <c r="AL376" s="36"/>
      <c r="AM376" s="36"/>
      <c r="AN376" s="36"/>
      <c r="AO376" s="36"/>
      <c r="AP376" s="35"/>
      <c r="AQ376" s="35"/>
      <c r="AR376" s="35"/>
      <c r="AS376" s="35"/>
      <c r="AT376" s="35"/>
      <c r="AU376" s="35"/>
      <c r="AV376" s="35"/>
      <c r="AW376" s="35"/>
      <c r="AX376" s="35"/>
      <c r="AY376" s="35"/>
      <c r="AZ376" s="35"/>
      <c r="BA376" s="35"/>
      <c r="BB376" s="35"/>
      <c r="BC376" s="35"/>
      <c r="BD376" s="35"/>
      <c r="BE376" s="35"/>
      <c r="BF376" s="35"/>
      <c r="BG376" s="35"/>
      <c r="BH376" s="35"/>
      <c r="BI376" s="35"/>
      <c r="BJ376" s="35"/>
      <c r="BK376" s="35"/>
      <c r="BL376" s="35"/>
      <c r="BM376" s="35"/>
      <c r="BN376" s="35"/>
      <c r="BO376" s="35"/>
      <c r="BP376" s="35"/>
      <c r="BQ376" s="35"/>
      <c r="BR376" s="35"/>
      <c r="BS376" s="35"/>
      <c r="BT376" s="35"/>
      <c r="BU376" s="35"/>
      <c r="BV376" s="35"/>
      <c r="BW376" s="35"/>
      <c r="BX376" s="35"/>
      <c r="BY376" s="35"/>
      <c r="BZ376" s="35"/>
      <c r="CA376" s="35"/>
      <c r="CB376" s="35"/>
      <c r="CC376" s="35"/>
      <c r="CD376" s="35"/>
      <c r="CE376" s="35"/>
      <c r="CF376" s="35"/>
      <c r="CG376" s="35"/>
      <c r="CH376" s="35"/>
      <c r="CI376" s="35"/>
      <c r="CJ376" s="35"/>
      <c r="CK376" s="35"/>
      <c r="CL376" s="35"/>
      <c r="CM376" s="35"/>
      <c r="CN376" s="35"/>
      <c r="CO376" s="35"/>
      <c r="CP376" s="35"/>
      <c r="CQ376" s="35"/>
      <c r="CR376" s="35"/>
      <c r="CS376" s="35"/>
      <c r="CT376" s="35"/>
      <c r="CU376" s="35"/>
      <c r="CV376" s="35"/>
      <c r="CW376" s="35"/>
      <c r="CX376" s="35"/>
      <c r="CY376" s="35"/>
      <c r="CZ376" s="35"/>
      <c r="DA376" s="35"/>
      <c r="DB376" s="35"/>
      <c r="DC376" s="35"/>
      <c r="DD376" s="35"/>
      <c r="DE376" s="35"/>
      <c r="DF376" s="35"/>
      <c r="DG376" s="35"/>
      <c r="DH376" s="35"/>
      <c r="DI376" s="35"/>
      <c r="DJ376" s="35"/>
      <c r="DK376" s="35"/>
      <c r="DL376" s="35"/>
      <c r="DM376" s="35"/>
      <c r="DN376" s="35"/>
      <c r="DO376" s="35"/>
      <c r="DP376" s="35"/>
      <c r="DQ376" s="35"/>
      <c r="DR376" s="35"/>
      <c r="DS376" s="35"/>
      <c r="DT376" s="35"/>
      <c r="DU376" s="35"/>
      <c r="DV376" s="35"/>
      <c r="DW376" s="35"/>
      <c r="DX376" s="35"/>
      <c r="DY376" s="35"/>
      <c r="DZ376" s="35"/>
      <c r="EA376" s="35"/>
      <c r="EB376" s="35"/>
      <c r="EC376" s="35"/>
      <c r="ED376" s="35"/>
      <c r="EE376" s="35"/>
      <c r="EF376" s="35"/>
      <c r="EG376" s="35"/>
      <c r="EH376" s="35"/>
      <c r="EI376" s="35"/>
      <c r="EJ376" s="35">
        <v>1</v>
      </c>
      <c r="EK376" s="35"/>
      <c r="EL376" s="35">
        <v>-1</v>
      </c>
      <c r="EM376" s="35"/>
      <c r="EN376" s="35"/>
      <c r="EO376" s="35"/>
      <c r="EP376" s="35"/>
      <c r="EQ376" s="35"/>
      <c r="ER376" s="35"/>
      <c r="ES376" s="35"/>
      <c r="ET376" s="35"/>
      <c r="EU376" s="35"/>
      <c r="EV376" s="35"/>
      <c r="EW376" s="35"/>
      <c r="EX376" s="35"/>
      <c r="EY376" s="35"/>
      <c r="EZ376" s="35"/>
      <c r="FA376" s="35"/>
      <c r="FB376" s="35"/>
      <c r="FC376" s="35"/>
      <c r="FD376" s="35"/>
      <c r="FE376" s="35"/>
      <c r="FF376" s="35"/>
      <c r="FG376" s="35"/>
      <c r="FH376" s="35"/>
      <c r="FI376" s="35"/>
      <c r="FJ376" s="35"/>
      <c r="FK376" s="35"/>
      <c r="FL376" s="35"/>
      <c r="FM376" s="35"/>
      <c r="FN376" s="35"/>
      <c r="FO376" s="35"/>
      <c r="FP376" s="35"/>
      <c r="FQ376" s="35"/>
      <c r="FR376" s="35"/>
      <c r="FS376" s="35"/>
      <c r="FT376" s="35"/>
      <c r="FU376" s="35"/>
      <c r="FV376" s="35"/>
      <c r="FW376" s="35"/>
      <c r="FX376" s="35"/>
      <c r="FY376" s="35"/>
      <c r="FZ376" s="35"/>
      <c r="GA376" s="35"/>
      <c r="GB376" s="318"/>
      <c r="GC376" s="178">
        <f t="shared" si="70"/>
        <v>0</v>
      </c>
      <c r="GD376" s="178">
        <f t="shared" si="71"/>
        <v>0</v>
      </c>
      <c r="GE376" s="178">
        <f t="shared" si="72"/>
        <v>0</v>
      </c>
      <c r="GF376" s="178">
        <f t="shared" si="73"/>
        <v>0</v>
      </c>
      <c r="GG376" s="178">
        <f t="shared" si="69"/>
        <v>0</v>
      </c>
    </row>
    <row r="377" spans="1:342" x14ac:dyDescent="0.35">
      <c r="A377" s="6" t="s">
        <v>1573</v>
      </c>
      <c r="B377" s="6" t="str">
        <f>IF(Technologies!B377&lt;&gt;0,Technologies!B377,"")</f>
        <v>Industrie</v>
      </c>
      <c r="C377" s="6" t="str">
        <f>VLOOKUP($A377,Technologies!$A$7:$H$576,3,FALSE)</f>
        <v>Conversion</v>
      </c>
      <c r="D377" s="6" t="str">
        <f>VLOOKUP($A377,Technologies!$A$7:$H$576,4,FALSE)</f>
        <v>Final Gas</v>
      </c>
      <c r="E377" s="6" t="str">
        <f>VLOOKUP($A377,Technologies!$A$7:$H$576,6,FALSE)</f>
        <v>Natural Gas HD</v>
      </c>
      <c r="F377" s="48" t="str">
        <f>VLOOKUP($A377,Technologies!$A$7:$H$576,7,FALSE)</f>
        <v>Small scale storage buffer - Final Gas</v>
      </c>
      <c r="G377" s="22"/>
      <c r="H377" s="22"/>
      <c r="I377" s="103" cm="1">
        <f t="array" ref="I377">-SUMPRODUCT((Feedstocks!$C$4:$C$141=A377)*Feedstocks!$E$4:$E$141,Feedstocks!$F$4:$F$141,Feedstocks!$H$4:$H$141,Feedstocks!$I$4:$I$141)</f>
        <v>0</v>
      </c>
      <c r="J377" s="103" cm="1">
        <f t="array" ref="J377">-SUMPRODUCT((Feedstocks!$C$4:$C$141=A377)*Feedstocks!$E$4:$E$141,Feedstocks!$H$4:$H$141,Feedstocks!$I$4:$I$141)</f>
        <v>0</v>
      </c>
      <c r="K377" s="103"/>
      <c r="L377" s="103"/>
      <c r="M377" s="22">
        <v>1</v>
      </c>
      <c r="N377" s="22" t="str">
        <f>VLOOKUP(E377,Activities!$A$9:$M$227,13,FALSE)</f>
        <v>NL</v>
      </c>
      <c r="O377" s="22"/>
      <c r="P377" s="80" t="s">
        <v>415</v>
      </c>
      <c r="Q377" s="36"/>
      <c r="R377" s="36"/>
      <c r="S377" s="36"/>
      <c r="T377" s="36"/>
      <c r="U377" s="36"/>
      <c r="V377" s="36"/>
      <c r="W377" s="36"/>
      <c r="X377" s="36"/>
      <c r="Y377" s="36"/>
      <c r="Z377" s="36"/>
      <c r="AA377" s="36"/>
      <c r="AB377" s="36"/>
      <c r="AC377" s="36"/>
      <c r="AD377" s="36"/>
      <c r="AE377" s="36"/>
      <c r="AF377" s="35"/>
      <c r="AG377" s="35"/>
      <c r="AH377" s="35"/>
      <c r="AI377" s="35"/>
      <c r="AJ377" s="35"/>
      <c r="AK377" s="35"/>
      <c r="AL377" s="35"/>
      <c r="AM377" s="35"/>
      <c r="AN377" s="35"/>
      <c r="AO377" s="35"/>
      <c r="AP377" s="36"/>
      <c r="AQ377" s="36"/>
      <c r="AR377" s="36"/>
      <c r="AS377" s="36"/>
      <c r="AT377" s="36"/>
      <c r="AU377" s="36"/>
      <c r="AV377" s="36"/>
      <c r="AW377" s="36"/>
      <c r="AX377" s="36"/>
      <c r="AY377" s="36"/>
      <c r="AZ377" s="36"/>
      <c r="BA377" s="36"/>
      <c r="BB377" s="36"/>
      <c r="BC377" s="36"/>
      <c r="BD377" s="36"/>
      <c r="BE377" s="36"/>
      <c r="BF377" s="36"/>
      <c r="BG377" s="36"/>
      <c r="BH377" s="36"/>
      <c r="BI377" s="36"/>
      <c r="BJ377" s="36"/>
      <c r="BK377" s="36"/>
      <c r="BL377" s="36"/>
      <c r="BM377" s="36"/>
      <c r="BN377" s="36"/>
      <c r="BO377" s="36"/>
      <c r="BP377" s="36"/>
      <c r="BQ377" s="36"/>
      <c r="BR377" s="36"/>
      <c r="BS377" s="36"/>
      <c r="BT377" s="36"/>
      <c r="BU377" s="36"/>
      <c r="BV377" s="36"/>
      <c r="BW377" s="36"/>
      <c r="BX377" s="36"/>
      <c r="BY377" s="36"/>
      <c r="BZ377" s="36"/>
      <c r="CA377" s="36"/>
      <c r="CB377" s="36"/>
      <c r="CC377" s="36"/>
      <c r="CD377" s="36"/>
      <c r="CE377" s="36"/>
      <c r="CF377" s="36"/>
      <c r="CG377" s="36"/>
      <c r="CH377" s="36"/>
      <c r="CI377" s="36"/>
      <c r="CJ377" s="36"/>
      <c r="CK377" s="36"/>
      <c r="CL377" s="36"/>
      <c r="CM377" s="36"/>
      <c r="CN377" s="36"/>
      <c r="CO377" s="36"/>
      <c r="CP377" s="36"/>
      <c r="CQ377" s="36"/>
      <c r="CR377" s="36"/>
      <c r="CS377" s="36"/>
      <c r="CT377" s="36"/>
      <c r="CU377" s="36"/>
      <c r="CV377" s="36"/>
      <c r="CW377" s="36"/>
      <c r="CX377" s="36"/>
      <c r="CY377" s="36"/>
      <c r="CZ377" s="36"/>
      <c r="DA377" s="36"/>
      <c r="DB377" s="36"/>
      <c r="DC377" s="36"/>
      <c r="DD377" s="36"/>
      <c r="DE377" s="36"/>
      <c r="DF377" s="36"/>
      <c r="DG377" s="36"/>
      <c r="DH377" s="36"/>
      <c r="DI377" s="36"/>
      <c r="DJ377" s="36"/>
      <c r="DK377" s="36"/>
      <c r="DL377" s="36"/>
      <c r="DM377" s="36"/>
      <c r="DN377" s="36"/>
      <c r="DO377" s="36"/>
      <c r="DP377" s="36"/>
      <c r="DQ377" s="36"/>
      <c r="DR377" s="36"/>
      <c r="DS377" s="36"/>
      <c r="DT377" s="36"/>
      <c r="DU377" s="36"/>
      <c r="DV377" s="36"/>
      <c r="DW377" s="36"/>
      <c r="DX377" s="36"/>
      <c r="DY377" s="36"/>
      <c r="DZ377" s="36"/>
      <c r="EA377" s="36"/>
      <c r="EB377" s="36"/>
      <c r="EC377" s="36"/>
      <c r="ED377" s="36"/>
      <c r="EE377" s="36"/>
      <c r="EF377" s="36"/>
      <c r="EG377" s="36"/>
      <c r="EH377" s="36"/>
      <c r="EI377" s="36"/>
      <c r="EJ377" s="36">
        <v>0</v>
      </c>
      <c r="EK377" s="36"/>
      <c r="EL377" s="36"/>
      <c r="EM377" s="36"/>
      <c r="EN377" s="36"/>
      <c r="EO377" s="36"/>
      <c r="EP377" s="36"/>
      <c r="EQ377" s="36"/>
      <c r="ER377" s="36"/>
      <c r="ES377" s="36"/>
      <c r="ET377" s="36"/>
      <c r="EU377" s="36"/>
      <c r="EV377" s="36"/>
      <c r="EW377" s="36"/>
      <c r="EX377" s="36"/>
      <c r="EY377" s="36"/>
      <c r="EZ377" s="36"/>
      <c r="FA377" s="36"/>
      <c r="FB377" s="36"/>
      <c r="FC377" s="36"/>
      <c r="FD377" s="36"/>
      <c r="FE377" s="36"/>
      <c r="FF377" s="36"/>
      <c r="FG377" s="36"/>
      <c r="FH377" s="36"/>
      <c r="FI377" s="36"/>
      <c r="FJ377" s="36"/>
      <c r="FK377" s="36"/>
      <c r="FL377" s="36"/>
      <c r="FM377" s="36"/>
      <c r="FN377" s="36"/>
      <c r="FO377" s="36"/>
      <c r="FP377" s="36"/>
      <c r="FQ377" s="36"/>
      <c r="FR377" s="36"/>
      <c r="FS377" s="36"/>
      <c r="FT377" s="36"/>
      <c r="FU377" s="36"/>
      <c r="FV377" s="36"/>
      <c r="FW377" s="36"/>
      <c r="FX377" s="36"/>
      <c r="FY377" s="36"/>
      <c r="FZ377" s="36"/>
      <c r="GA377" s="36"/>
      <c r="GB377" s="319"/>
      <c r="GC377" s="179">
        <f t="shared" si="70"/>
        <v>0</v>
      </c>
      <c r="GD377" s="179">
        <f t="shared" si="71"/>
        <v>0</v>
      </c>
      <c r="GE377" s="179">
        <f t="shared" si="72"/>
        <v>0</v>
      </c>
      <c r="GF377" s="179">
        <f t="shared" si="73"/>
        <v>0</v>
      </c>
      <c r="GG377" s="179">
        <f t="shared" si="69"/>
        <v>0</v>
      </c>
    </row>
    <row r="378" spans="1:342" x14ac:dyDescent="0.35">
      <c r="A378" s="5" t="s">
        <v>1576</v>
      </c>
      <c r="B378" s="5" t="str">
        <f>IF(Technologies!B378&lt;&gt;0,Technologies!B378,"")</f>
        <v>Industrie</v>
      </c>
      <c r="C378" s="5" t="str">
        <f>VLOOKUP($A378,Technologies!$A$7:$H$576,3,FALSE)</f>
        <v>Conversion</v>
      </c>
      <c r="D378" s="5" t="str">
        <f>VLOOKUP($A378,Technologies!$A$7:$H$576,4,FALSE)</f>
        <v>Final Gas</v>
      </c>
      <c r="E378" s="5" t="str">
        <f>VLOOKUP($A378,Technologies!$A$7:$H$576,6,FALSE)</f>
        <v>Natural Gas HD</v>
      </c>
      <c r="F378" s="5" t="str">
        <f>VLOOKUP($A378,Technologies!$A$7:$H$576,7,FALSE)</f>
        <v>Large scale storage buffer - Final Gas</v>
      </c>
      <c r="G378" s="23"/>
      <c r="H378" s="23"/>
      <c r="I378" s="104" cm="1">
        <f t="array" ref="I378">-SUMPRODUCT((Feedstocks!$C$4:$C$141=A378)*Feedstocks!$E$4:$E$141,Feedstocks!$F$4:$F$141,Feedstocks!$H$4:$H$141,Feedstocks!$I$4:$I$141)</f>
        <v>0</v>
      </c>
      <c r="J378" s="104" cm="1">
        <f t="array" ref="J378">-SUMPRODUCT((Feedstocks!$C$4:$C$141=A378)*Feedstocks!$E$4:$E$141,Feedstocks!$H$4:$H$141,Feedstocks!$I$4:$I$141)</f>
        <v>0</v>
      </c>
      <c r="K378" s="104"/>
      <c r="L378" s="104"/>
      <c r="M378" s="23">
        <v>1</v>
      </c>
      <c r="N378" s="23" t="str">
        <f>VLOOKUP(E378,Activities!$A$9:$M$227,13,FALSE)</f>
        <v>NL</v>
      </c>
      <c r="O378" s="23"/>
      <c r="P378" s="79" t="s">
        <v>415</v>
      </c>
      <c r="Q378" s="35"/>
      <c r="R378" s="35"/>
      <c r="S378" s="35"/>
      <c r="T378" s="35"/>
      <c r="U378" s="35"/>
      <c r="V378" s="35"/>
      <c r="W378" s="35"/>
      <c r="X378" s="35"/>
      <c r="Y378" s="35"/>
      <c r="Z378" s="35"/>
      <c r="AA378" s="35"/>
      <c r="AB378" s="35"/>
      <c r="AC378" s="35"/>
      <c r="AD378" s="35"/>
      <c r="AE378" s="35"/>
      <c r="AF378" s="36"/>
      <c r="AG378" s="36"/>
      <c r="AH378" s="36"/>
      <c r="AI378" s="36"/>
      <c r="AJ378" s="36"/>
      <c r="AK378" s="36"/>
      <c r="AL378" s="36"/>
      <c r="AM378" s="36"/>
      <c r="AN378" s="36"/>
      <c r="AO378" s="36"/>
      <c r="AP378" s="35"/>
      <c r="AQ378" s="35"/>
      <c r="AR378" s="35"/>
      <c r="AS378" s="35"/>
      <c r="AT378" s="35"/>
      <c r="AU378" s="35"/>
      <c r="AV378" s="35"/>
      <c r="AW378" s="35"/>
      <c r="AX378" s="35"/>
      <c r="AY378" s="35"/>
      <c r="AZ378" s="35"/>
      <c r="BA378" s="35"/>
      <c r="BB378" s="35"/>
      <c r="BC378" s="35"/>
      <c r="BD378" s="35"/>
      <c r="BE378" s="35"/>
      <c r="BF378" s="35"/>
      <c r="BG378" s="35"/>
      <c r="BH378" s="35"/>
      <c r="BI378" s="35"/>
      <c r="BJ378" s="35"/>
      <c r="BK378" s="35"/>
      <c r="BL378" s="35"/>
      <c r="BM378" s="35"/>
      <c r="BN378" s="35"/>
      <c r="BO378" s="35"/>
      <c r="BP378" s="35"/>
      <c r="BQ378" s="35"/>
      <c r="BR378" s="35"/>
      <c r="BS378" s="35"/>
      <c r="BT378" s="35"/>
      <c r="BU378" s="35"/>
      <c r="BV378" s="35"/>
      <c r="BW378" s="35"/>
      <c r="BX378" s="35"/>
      <c r="BY378" s="35"/>
      <c r="BZ378" s="35"/>
      <c r="CA378" s="35"/>
      <c r="CB378" s="35"/>
      <c r="CC378" s="35"/>
      <c r="CD378" s="35"/>
      <c r="CE378" s="35"/>
      <c r="CF378" s="35"/>
      <c r="CG378" s="35"/>
      <c r="CH378" s="35"/>
      <c r="CI378" s="35"/>
      <c r="CJ378" s="35"/>
      <c r="CK378" s="35"/>
      <c r="CL378" s="35"/>
      <c r="CM378" s="35"/>
      <c r="CN378" s="35"/>
      <c r="CO378" s="35"/>
      <c r="CP378" s="35"/>
      <c r="CQ378" s="35"/>
      <c r="CR378" s="35"/>
      <c r="CS378" s="35"/>
      <c r="CT378" s="35"/>
      <c r="CU378" s="35"/>
      <c r="CV378" s="35"/>
      <c r="CW378" s="35"/>
      <c r="CX378" s="35"/>
      <c r="CY378" s="35"/>
      <c r="CZ378" s="35"/>
      <c r="DA378" s="35"/>
      <c r="DB378" s="35"/>
      <c r="DC378" s="35"/>
      <c r="DD378" s="35"/>
      <c r="DE378" s="35"/>
      <c r="DF378" s="35"/>
      <c r="DG378" s="35"/>
      <c r="DH378" s="35"/>
      <c r="DI378" s="35"/>
      <c r="DJ378" s="35"/>
      <c r="DK378" s="35"/>
      <c r="DL378" s="35"/>
      <c r="DM378" s="35"/>
      <c r="DN378" s="35"/>
      <c r="DO378" s="35"/>
      <c r="DP378" s="35"/>
      <c r="DQ378" s="35"/>
      <c r="DR378" s="35"/>
      <c r="DS378" s="35"/>
      <c r="DT378" s="35"/>
      <c r="DU378" s="35"/>
      <c r="DV378" s="35"/>
      <c r="DW378" s="35"/>
      <c r="DX378" s="35"/>
      <c r="DY378" s="35"/>
      <c r="DZ378" s="35"/>
      <c r="EA378" s="35"/>
      <c r="EB378" s="35"/>
      <c r="EC378" s="35"/>
      <c r="ED378" s="35"/>
      <c r="EE378" s="35"/>
      <c r="EF378" s="35"/>
      <c r="EG378" s="35"/>
      <c r="EH378" s="35"/>
      <c r="EI378" s="35"/>
      <c r="EJ378" s="35">
        <v>0</v>
      </c>
      <c r="EK378" s="35"/>
      <c r="EL378" s="35"/>
      <c r="EM378" s="35"/>
      <c r="EN378" s="35"/>
      <c r="EO378" s="35"/>
      <c r="EP378" s="35"/>
      <c r="EQ378" s="35"/>
      <c r="ER378" s="35"/>
      <c r="ES378" s="35"/>
      <c r="ET378" s="35"/>
      <c r="EU378" s="35"/>
      <c r="EV378" s="35"/>
      <c r="EW378" s="35"/>
      <c r="EX378" s="35"/>
      <c r="EY378" s="35"/>
      <c r="EZ378" s="35"/>
      <c r="FA378" s="35"/>
      <c r="FB378" s="35"/>
      <c r="FC378" s="35"/>
      <c r="FD378" s="35"/>
      <c r="FE378" s="35"/>
      <c r="FF378" s="35"/>
      <c r="FG378" s="35"/>
      <c r="FH378" s="35"/>
      <c r="FI378" s="35"/>
      <c r="FJ378" s="35"/>
      <c r="FK378" s="35"/>
      <c r="FL378" s="35"/>
      <c r="FM378" s="35"/>
      <c r="FN378" s="35"/>
      <c r="FO378" s="35"/>
      <c r="FP378" s="35"/>
      <c r="FQ378" s="35"/>
      <c r="FR378" s="35"/>
      <c r="FS378" s="35"/>
      <c r="FT378" s="35"/>
      <c r="FU378" s="35"/>
      <c r="FV378" s="35"/>
      <c r="FW378" s="35"/>
      <c r="FX378" s="35"/>
      <c r="FY378" s="35"/>
      <c r="FZ378" s="35"/>
      <c r="GA378" s="35"/>
      <c r="GB378" s="318"/>
      <c r="GC378" s="178">
        <f t="shared" si="70"/>
        <v>0</v>
      </c>
      <c r="GD378" s="178">
        <f t="shared" si="71"/>
        <v>0</v>
      </c>
      <c r="GE378" s="178">
        <f t="shared" si="72"/>
        <v>0</v>
      </c>
      <c r="GF378" s="178">
        <f t="shared" si="73"/>
        <v>0</v>
      </c>
      <c r="GG378" s="178">
        <f t="shared" si="69"/>
        <v>0</v>
      </c>
    </row>
    <row r="379" spans="1:342" x14ac:dyDescent="0.35">
      <c r="A379" s="6" t="s">
        <v>1578</v>
      </c>
      <c r="B379" s="6" t="str">
        <f>IF(Technologies!B379&lt;&gt;0,Technologies!B379,"")</f>
        <v>Elektriciteit</v>
      </c>
      <c r="C379" s="6" t="str">
        <f>VLOOKUP($A379,Technologies!$A$7:$H$576,3,FALSE)</f>
        <v>Conversion</v>
      </c>
      <c r="D379" s="6" t="str">
        <f>VLOOKUP($A379,Technologies!$A$7:$H$576,4,FALSE)</f>
        <v>Final Gas</v>
      </c>
      <c r="E379" s="6" t="str">
        <f>VLOOKUP($A379,Technologies!$A$7:$H$576,6,FALSE)</f>
        <v>Natural Gas HD</v>
      </c>
      <c r="F379" s="48" t="str">
        <f>VLOOKUP($A379,Technologies!$A$7:$H$576,7,FALSE)</f>
        <v>LD to HD compressor - Final Gas</v>
      </c>
      <c r="G379" s="22"/>
      <c r="H379" s="22"/>
      <c r="I379" s="103" cm="1">
        <f t="array" ref="I379">-SUMPRODUCT((Feedstocks!$C$4:$C$141=A379)*Feedstocks!$E$4:$E$141,Feedstocks!$F$4:$F$141,Feedstocks!$H$4:$H$141,Feedstocks!$I$4:$I$141)</f>
        <v>0</v>
      </c>
      <c r="J379" s="103" cm="1">
        <f t="array" ref="J379">-SUMPRODUCT((Feedstocks!$C$4:$C$141=A379)*Feedstocks!$E$4:$E$141,Feedstocks!$H$4:$H$141,Feedstocks!$I$4:$I$141)</f>
        <v>0</v>
      </c>
      <c r="K379" s="103"/>
      <c r="L379" s="103"/>
      <c r="M379" s="22"/>
      <c r="N379" s="22" t="str">
        <f>VLOOKUP(E379,Activities!$A$9:$M$227,13,FALSE)</f>
        <v>NL</v>
      </c>
      <c r="O379" s="22"/>
      <c r="P379" s="80" t="s">
        <v>415</v>
      </c>
      <c r="Q379" s="36"/>
      <c r="R379" s="36"/>
      <c r="S379" s="36"/>
      <c r="T379" s="36"/>
      <c r="U379" s="36"/>
      <c r="V379" s="36"/>
      <c r="W379" s="36"/>
      <c r="X379" s="36"/>
      <c r="Y379" s="36"/>
      <c r="Z379" s="36"/>
      <c r="AA379" s="36"/>
      <c r="AB379" s="36"/>
      <c r="AC379" s="36"/>
      <c r="AD379" s="36"/>
      <c r="AE379" s="36"/>
      <c r="AF379" s="35"/>
      <c r="AG379" s="35"/>
      <c r="AH379" s="35"/>
      <c r="AI379" s="35"/>
      <c r="AJ379" s="35"/>
      <c r="AK379" s="35"/>
      <c r="AL379" s="35"/>
      <c r="AM379" s="35"/>
      <c r="AN379" s="35"/>
      <c r="AO379" s="35"/>
      <c r="AP379" s="36"/>
      <c r="AQ379" s="36"/>
      <c r="AR379" s="36"/>
      <c r="AS379" s="36"/>
      <c r="AT379" s="36"/>
      <c r="AU379" s="36"/>
      <c r="AV379" s="36"/>
      <c r="AW379" s="36"/>
      <c r="AX379" s="36"/>
      <c r="AY379" s="36"/>
      <c r="AZ379" s="36"/>
      <c r="BA379" s="36"/>
      <c r="BB379" s="36"/>
      <c r="BC379" s="36"/>
      <c r="BD379" s="36"/>
      <c r="BE379" s="36"/>
      <c r="BF379" s="36"/>
      <c r="BG379" s="36"/>
      <c r="BH379" s="36"/>
      <c r="BI379" s="36"/>
      <c r="BJ379" s="36"/>
      <c r="BK379" s="36"/>
      <c r="BL379" s="36"/>
      <c r="BM379" s="36"/>
      <c r="BN379" s="36"/>
      <c r="BO379" s="36"/>
      <c r="BP379" s="36"/>
      <c r="BQ379" s="36"/>
      <c r="BR379" s="36"/>
      <c r="BS379" s="36"/>
      <c r="BT379" s="36"/>
      <c r="BU379" s="36"/>
      <c r="BV379" s="36"/>
      <c r="BW379" s="36"/>
      <c r="BX379" s="36"/>
      <c r="BY379" s="36"/>
      <c r="BZ379" s="36"/>
      <c r="CA379" s="36"/>
      <c r="CB379" s="36"/>
      <c r="CC379" s="36"/>
      <c r="CD379" s="36"/>
      <c r="CE379" s="36"/>
      <c r="CF379" s="36"/>
      <c r="CG379" s="36"/>
      <c r="CH379" s="36"/>
      <c r="CI379" s="36"/>
      <c r="CJ379" s="36"/>
      <c r="CK379" s="36"/>
      <c r="CL379" s="36"/>
      <c r="CM379" s="36"/>
      <c r="CN379" s="36"/>
      <c r="CO379" s="36"/>
      <c r="CP379" s="36"/>
      <c r="CQ379" s="36"/>
      <c r="CR379" s="36"/>
      <c r="CS379" s="36"/>
      <c r="CT379" s="36"/>
      <c r="CU379" s="36"/>
      <c r="CV379" s="36"/>
      <c r="CW379" s="36"/>
      <c r="CX379" s="36"/>
      <c r="CY379" s="36"/>
      <c r="CZ379" s="36"/>
      <c r="DA379" s="36"/>
      <c r="DB379" s="36"/>
      <c r="DC379" s="36"/>
      <c r="DD379" s="36"/>
      <c r="DE379" s="36"/>
      <c r="DF379" s="36"/>
      <c r="DG379" s="36"/>
      <c r="DH379" s="36"/>
      <c r="DI379" s="36"/>
      <c r="DJ379" s="36"/>
      <c r="DK379" s="36"/>
      <c r="DL379" s="36"/>
      <c r="DM379" s="36"/>
      <c r="DN379" s="36"/>
      <c r="DO379" s="36"/>
      <c r="DP379" s="36"/>
      <c r="DQ379" s="36"/>
      <c r="DR379" s="36"/>
      <c r="DS379" s="36"/>
      <c r="DT379" s="36"/>
      <c r="DU379" s="36"/>
      <c r="DV379" s="36"/>
      <c r="DW379" s="36"/>
      <c r="DX379" s="36"/>
      <c r="DY379" s="36"/>
      <c r="DZ379" s="36"/>
      <c r="EA379" s="36"/>
      <c r="EB379" s="36"/>
      <c r="EC379" s="36"/>
      <c r="ED379" s="36"/>
      <c r="EE379" s="36"/>
      <c r="EF379" s="36"/>
      <c r="EG379" s="36"/>
      <c r="EH379" s="36"/>
      <c r="EI379" s="36"/>
      <c r="EJ379" s="36">
        <v>1</v>
      </c>
      <c r="EK379" s="36">
        <v>-1</v>
      </c>
      <c r="EL379" s="36"/>
      <c r="EM379" s="36"/>
      <c r="EN379" s="36"/>
      <c r="EO379" s="36"/>
      <c r="EP379" s="36"/>
      <c r="EQ379" s="36"/>
      <c r="ER379" s="36"/>
      <c r="ES379" s="36"/>
      <c r="ET379" s="36"/>
      <c r="EU379" s="36"/>
      <c r="EV379" s="36"/>
      <c r="EW379" s="36"/>
      <c r="EX379" s="36"/>
      <c r="EY379" s="36"/>
      <c r="EZ379" s="36"/>
      <c r="FA379" s="36"/>
      <c r="FB379" s="36"/>
      <c r="FC379" s="36"/>
      <c r="FD379" s="36"/>
      <c r="FE379" s="36"/>
      <c r="FF379" s="36"/>
      <c r="FG379" s="36"/>
      <c r="FH379" s="36"/>
      <c r="FI379" s="36"/>
      <c r="FJ379" s="36"/>
      <c r="FK379" s="36"/>
      <c r="FL379" s="36"/>
      <c r="FM379" s="36"/>
      <c r="FN379" s="36"/>
      <c r="FO379" s="36"/>
      <c r="FP379" s="36"/>
      <c r="FQ379" s="36"/>
      <c r="FR379" s="36"/>
      <c r="FS379" s="36"/>
      <c r="FT379" s="36"/>
      <c r="FU379" s="36"/>
      <c r="FV379" s="36"/>
      <c r="FW379" s="36"/>
      <c r="FX379" s="36"/>
      <c r="FY379" s="36"/>
      <c r="FZ379" s="36"/>
      <c r="GA379" s="36"/>
      <c r="GB379" s="319"/>
      <c r="GC379" s="179">
        <f t="shared" si="70"/>
        <v>0</v>
      </c>
      <c r="GD379" s="179">
        <f t="shared" si="71"/>
        <v>0</v>
      </c>
      <c r="GE379" s="179">
        <f t="shared" si="72"/>
        <v>0</v>
      </c>
      <c r="GF379" s="179">
        <f t="shared" si="73"/>
        <v>0</v>
      </c>
      <c r="GG379" s="179">
        <f t="shared" si="69"/>
        <v>0</v>
      </c>
    </row>
    <row r="380" spans="1:342" x14ac:dyDescent="0.35">
      <c r="A380" s="5" t="s">
        <v>1581</v>
      </c>
      <c r="B380" s="5" t="str">
        <f>IF(Technologies!B380&lt;&gt;0,Technologies!B380,"")</f>
        <v>Industrie</v>
      </c>
      <c r="C380" s="5" t="str">
        <f>VLOOKUP($A380,Technologies!$A$7:$H$576,3,FALSE)</f>
        <v>Conversion</v>
      </c>
      <c r="D380" s="5" t="str">
        <f>VLOOKUP($A380,Technologies!$A$7:$H$576,4,FALSE)</f>
        <v>Final Gas</v>
      </c>
      <c r="E380" s="5" t="str">
        <f>VLOOKUP($A380,Technologies!$A$7:$H$576,6,FALSE)</f>
        <v>Natural Gas LD</v>
      </c>
      <c r="F380" s="5" t="str">
        <f>VLOOKUP($A380,Technologies!$A$7:$H$576,7,FALSE)</f>
        <v>Gas from Manure Digestion - Final Gas</v>
      </c>
      <c r="G380" s="23"/>
      <c r="H380" s="23"/>
      <c r="I380" s="104" cm="1">
        <f t="array" ref="I380">-SUMPRODUCT((Feedstocks!$C$4:$C$141=A380)*Feedstocks!$E$4:$E$141,Feedstocks!$F$4:$F$141,Feedstocks!$H$4:$H$141,Feedstocks!$I$4:$I$141)</f>
        <v>0</v>
      </c>
      <c r="J380" s="104" cm="1">
        <f t="array" ref="J380">-SUMPRODUCT((Feedstocks!$C$4:$C$141=A380)*Feedstocks!$E$4:$E$141,Feedstocks!$H$4:$H$141,Feedstocks!$I$4:$I$141)</f>
        <v>0</v>
      </c>
      <c r="K380" s="104"/>
      <c r="L380" s="104"/>
      <c r="M380" s="23">
        <v>1</v>
      </c>
      <c r="N380" s="23" t="str">
        <f>VLOOKUP(E380,Activities!$A$9:$M$227,13,FALSE)</f>
        <v>NL</v>
      </c>
      <c r="O380" s="23"/>
      <c r="P380" s="79" t="s">
        <v>415</v>
      </c>
      <c r="Q380" s="35"/>
      <c r="R380" s="35"/>
      <c r="S380" s="35"/>
      <c r="T380" s="35"/>
      <c r="U380" s="35"/>
      <c r="V380" s="35"/>
      <c r="W380" s="35"/>
      <c r="X380" s="35"/>
      <c r="Y380" s="35"/>
      <c r="Z380" s="35"/>
      <c r="AA380" s="35"/>
      <c r="AB380" s="35"/>
      <c r="AC380" s="35"/>
      <c r="AD380" s="35"/>
      <c r="AE380" s="35"/>
      <c r="AF380" s="36"/>
      <c r="AG380" s="36"/>
      <c r="AH380" s="36"/>
      <c r="AI380" s="36"/>
      <c r="AJ380" s="36"/>
      <c r="AK380" s="36"/>
      <c r="AL380" s="36"/>
      <c r="AM380" s="36"/>
      <c r="AN380" s="36"/>
      <c r="AO380" s="36"/>
      <c r="AP380" s="35"/>
      <c r="AQ380" s="35"/>
      <c r="AR380" s="35"/>
      <c r="AS380" s="35"/>
      <c r="AT380" s="35"/>
      <c r="AU380" s="35"/>
      <c r="AV380" s="35"/>
      <c r="AW380" s="35"/>
      <c r="AX380" s="35"/>
      <c r="AY380" s="35"/>
      <c r="AZ380" s="35"/>
      <c r="BA380" s="35"/>
      <c r="BB380" s="35"/>
      <c r="BC380" s="35"/>
      <c r="BD380" s="35"/>
      <c r="BE380" s="35"/>
      <c r="BF380" s="35"/>
      <c r="BG380" s="35"/>
      <c r="BH380" s="35"/>
      <c r="BI380" s="35"/>
      <c r="BJ380" s="35"/>
      <c r="BK380" s="35"/>
      <c r="BL380" s="35"/>
      <c r="BM380" s="35"/>
      <c r="BN380" s="35"/>
      <c r="BO380" s="35"/>
      <c r="BP380" s="35"/>
      <c r="BQ380" s="35"/>
      <c r="BR380" s="35"/>
      <c r="BS380" s="35"/>
      <c r="BT380" s="35"/>
      <c r="BU380" s="35"/>
      <c r="BV380" s="35"/>
      <c r="BW380" s="35"/>
      <c r="BX380" s="35"/>
      <c r="BY380" s="35"/>
      <c r="BZ380" s="35"/>
      <c r="CA380" s="35"/>
      <c r="CB380" s="35"/>
      <c r="CC380" s="35"/>
      <c r="CD380" s="35"/>
      <c r="CE380" s="35"/>
      <c r="CF380" s="35"/>
      <c r="CG380" s="35"/>
      <c r="CH380" s="35"/>
      <c r="CI380" s="35"/>
      <c r="CJ380" s="35"/>
      <c r="CK380" s="35"/>
      <c r="CL380" s="35"/>
      <c r="CM380" s="35"/>
      <c r="CN380" s="35"/>
      <c r="CO380" s="35"/>
      <c r="CP380" s="35"/>
      <c r="CQ380" s="35"/>
      <c r="CR380" s="35"/>
      <c r="CS380" s="35"/>
      <c r="CT380" s="35"/>
      <c r="CU380" s="35"/>
      <c r="CV380" s="35"/>
      <c r="CW380" s="35"/>
      <c r="CX380" s="35"/>
      <c r="CY380" s="35"/>
      <c r="CZ380" s="35"/>
      <c r="DA380" s="35"/>
      <c r="DB380" s="35"/>
      <c r="DC380" s="35"/>
      <c r="DD380" s="35"/>
      <c r="DE380" s="35"/>
      <c r="DF380" s="35"/>
      <c r="DG380" s="35"/>
      <c r="DH380" s="35">
        <v>-8.4091257863334407E-2</v>
      </c>
      <c r="DI380" s="35"/>
      <c r="DJ380" s="35"/>
      <c r="DK380" s="35"/>
      <c r="DL380" s="35"/>
      <c r="DM380" s="35"/>
      <c r="DN380" s="35"/>
      <c r="DO380" s="35"/>
      <c r="DP380" s="35"/>
      <c r="DQ380" s="35"/>
      <c r="DR380" s="35"/>
      <c r="DS380" s="35"/>
      <c r="DT380" s="35"/>
      <c r="DU380" s="35"/>
      <c r="DV380" s="35"/>
      <c r="DW380" s="35"/>
      <c r="DX380" s="35"/>
      <c r="DY380" s="35"/>
      <c r="DZ380" s="35"/>
      <c r="EA380" s="35"/>
      <c r="EB380" s="35"/>
      <c r="EC380" s="35"/>
      <c r="ED380" s="35"/>
      <c r="EE380" s="35"/>
      <c r="EF380" s="35"/>
      <c r="EG380" s="35"/>
      <c r="EH380" s="35"/>
      <c r="EI380" s="35"/>
      <c r="EJ380" s="35"/>
      <c r="EK380" s="35">
        <v>1</v>
      </c>
      <c r="EL380" s="35"/>
      <c r="EM380" s="35"/>
      <c r="EN380" s="35"/>
      <c r="EO380" s="35"/>
      <c r="EP380" s="35"/>
      <c r="EQ380" s="35"/>
      <c r="ER380" s="35"/>
      <c r="ES380" s="35"/>
      <c r="ET380" s="35"/>
      <c r="EU380" s="35"/>
      <c r="EV380" s="35"/>
      <c r="EW380" s="35"/>
      <c r="EX380" s="35"/>
      <c r="EY380" s="35"/>
      <c r="EZ380" s="35"/>
      <c r="FA380" s="35"/>
      <c r="FB380" s="35"/>
      <c r="FC380" s="35"/>
      <c r="FD380" s="35"/>
      <c r="FE380" s="35">
        <v>-1.3698630136986301</v>
      </c>
      <c r="FF380" s="35"/>
      <c r="FG380" s="35"/>
      <c r="FH380" s="35"/>
      <c r="FI380" s="35"/>
      <c r="FJ380" s="35"/>
      <c r="FK380" s="35"/>
      <c r="FL380" s="35"/>
      <c r="FM380" s="35"/>
      <c r="FN380" s="35"/>
      <c r="FO380" s="35"/>
      <c r="FP380" s="35"/>
      <c r="FQ380" s="35"/>
      <c r="FR380" s="35"/>
      <c r="FS380" s="35"/>
      <c r="FT380" s="35"/>
      <c r="FU380" s="35"/>
      <c r="FV380" s="35"/>
      <c r="FW380" s="35"/>
      <c r="FX380" s="35"/>
      <c r="FY380" s="35"/>
      <c r="FZ380" s="35"/>
      <c r="GA380" s="35"/>
      <c r="GB380" s="318"/>
      <c r="GC380" s="178">
        <f t="shared" si="70"/>
        <v>0</v>
      </c>
      <c r="GD380" s="178">
        <f t="shared" si="71"/>
        <v>-5.6599999999999998E-2</v>
      </c>
      <c r="GE380" s="178">
        <f t="shared" si="72"/>
        <v>0</v>
      </c>
      <c r="GF380" s="178">
        <f t="shared" si="73"/>
        <v>0</v>
      </c>
      <c r="GG380" s="178">
        <f t="shared" si="69"/>
        <v>0</v>
      </c>
    </row>
    <row r="381" spans="1:342" x14ac:dyDescent="0.35">
      <c r="A381" s="6" t="s">
        <v>1583</v>
      </c>
      <c r="B381" s="6" t="str">
        <f>IF(Technologies!B381&lt;&gt;0,Technologies!B381,"")</f>
        <v>Industrie</v>
      </c>
      <c r="C381" s="6" t="str">
        <f>VLOOKUP($A381,Technologies!$A$7:$H$576,3,FALSE)</f>
        <v>Conversion</v>
      </c>
      <c r="D381" s="6" t="str">
        <f>VLOOKUP($A381,Technologies!$A$7:$H$576,4,FALSE)</f>
        <v>Final Gas</v>
      </c>
      <c r="E381" s="6" t="str">
        <f>VLOOKUP($A381,Technologies!$A$7:$H$576,6,FALSE)</f>
        <v>Natural Gas LD</v>
      </c>
      <c r="F381" s="48" t="str">
        <f>VLOOKUP($A381,Technologies!$A$7:$H$576,7,FALSE)</f>
        <v>Gas from Manure-Starch Co-Digestion - Final Gas</v>
      </c>
      <c r="G381" s="22"/>
      <c r="H381" s="22"/>
      <c r="I381" s="103" cm="1">
        <f t="array" ref="I381">-SUMPRODUCT((Feedstocks!$C$4:$C$141=A381)*Feedstocks!$E$4:$E$141,Feedstocks!$F$4:$F$141,Feedstocks!$H$4:$H$141,Feedstocks!$I$4:$I$141)</f>
        <v>0</v>
      </c>
      <c r="J381" s="103" cm="1">
        <f t="array" ref="J381">-SUMPRODUCT((Feedstocks!$C$4:$C$141=A381)*Feedstocks!$E$4:$E$141,Feedstocks!$H$4:$H$141,Feedstocks!$I$4:$I$141)</f>
        <v>0</v>
      </c>
      <c r="K381" s="103"/>
      <c r="L381" s="103"/>
      <c r="M381" s="22">
        <v>1</v>
      </c>
      <c r="N381" s="22" t="str">
        <f>VLOOKUP(E381,Activities!$A$9:$M$227,13,FALSE)</f>
        <v>NL</v>
      </c>
      <c r="O381" s="22"/>
      <c r="P381" s="80" t="s">
        <v>415</v>
      </c>
      <c r="Q381" s="36"/>
      <c r="R381" s="36"/>
      <c r="S381" s="36"/>
      <c r="T381" s="36"/>
      <c r="U381" s="36"/>
      <c r="V381" s="36"/>
      <c r="W381" s="36"/>
      <c r="X381" s="36"/>
      <c r="Y381" s="36"/>
      <c r="Z381" s="36"/>
      <c r="AA381" s="36"/>
      <c r="AB381" s="36"/>
      <c r="AC381" s="36"/>
      <c r="AD381" s="36"/>
      <c r="AE381" s="36"/>
      <c r="AF381" s="35"/>
      <c r="AG381" s="35"/>
      <c r="AH381" s="35"/>
      <c r="AI381" s="35"/>
      <c r="AJ381" s="35"/>
      <c r="AK381" s="35"/>
      <c r="AL381" s="35"/>
      <c r="AM381" s="35"/>
      <c r="AN381" s="35"/>
      <c r="AO381" s="35"/>
      <c r="AP381" s="36"/>
      <c r="AQ381" s="36"/>
      <c r="AR381" s="36"/>
      <c r="AS381" s="36"/>
      <c r="AT381" s="36"/>
      <c r="AU381" s="36"/>
      <c r="AV381" s="36"/>
      <c r="AW381" s="36"/>
      <c r="AX381" s="36"/>
      <c r="AY381" s="36"/>
      <c r="AZ381" s="36"/>
      <c r="BA381" s="36"/>
      <c r="BB381" s="36"/>
      <c r="BC381" s="36"/>
      <c r="BD381" s="36"/>
      <c r="BE381" s="36"/>
      <c r="BF381" s="36"/>
      <c r="BG381" s="36"/>
      <c r="BH381" s="36"/>
      <c r="BI381" s="36"/>
      <c r="BJ381" s="36"/>
      <c r="BK381" s="36"/>
      <c r="BL381" s="36"/>
      <c r="BM381" s="36"/>
      <c r="BN381" s="36"/>
      <c r="BO381" s="36"/>
      <c r="BP381" s="36"/>
      <c r="BQ381" s="36"/>
      <c r="BR381" s="36"/>
      <c r="BS381" s="36"/>
      <c r="BT381" s="36"/>
      <c r="BU381" s="36"/>
      <c r="BV381" s="36"/>
      <c r="BW381" s="36"/>
      <c r="BX381" s="36"/>
      <c r="BY381" s="36"/>
      <c r="BZ381" s="36"/>
      <c r="CA381" s="36"/>
      <c r="CB381" s="36"/>
      <c r="CC381" s="36"/>
      <c r="CD381" s="36"/>
      <c r="CE381" s="36"/>
      <c r="CF381" s="36"/>
      <c r="CG381" s="36"/>
      <c r="CH381" s="36"/>
      <c r="CI381" s="36"/>
      <c r="CJ381" s="36"/>
      <c r="CK381" s="36"/>
      <c r="CL381" s="36"/>
      <c r="CM381" s="36"/>
      <c r="CN381" s="36"/>
      <c r="CO381" s="36"/>
      <c r="CP381" s="36"/>
      <c r="CQ381" s="36"/>
      <c r="CR381" s="36"/>
      <c r="CS381" s="36"/>
      <c r="CT381" s="36"/>
      <c r="CU381" s="36"/>
      <c r="CV381" s="36"/>
      <c r="CW381" s="36"/>
      <c r="CX381" s="36"/>
      <c r="CY381" s="36"/>
      <c r="CZ381" s="36"/>
      <c r="DA381" s="36"/>
      <c r="DB381" s="36"/>
      <c r="DC381" s="36"/>
      <c r="DD381" s="36"/>
      <c r="DE381" s="36"/>
      <c r="DF381" s="36"/>
      <c r="DG381" s="36"/>
      <c r="DH381" s="36">
        <v>-8.2664866856129393E-2</v>
      </c>
      <c r="DI381" s="36"/>
      <c r="DJ381" s="36"/>
      <c r="DK381" s="36"/>
      <c r="DL381" s="36"/>
      <c r="DM381" s="36"/>
      <c r="DN381" s="36"/>
      <c r="DO381" s="36"/>
      <c r="DP381" s="36"/>
      <c r="DQ381" s="36"/>
      <c r="DR381" s="36"/>
      <c r="DS381" s="36"/>
      <c r="DT381" s="36"/>
      <c r="DU381" s="36"/>
      <c r="DV381" s="36"/>
      <c r="DW381" s="36"/>
      <c r="DX381" s="36"/>
      <c r="DY381" s="36"/>
      <c r="DZ381" s="36"/>
      <c r="EA381" s="36"/>
      <c r="EB381" s="36"/>
      <c r="EC381" s="36"/>
      <c r="ED381" s="36"/>
      <c r="EE381" s="36"/>
      <c r="EF381" s="36"/>
      <c r="EG381" s="36"/>
      <c r="EH381" s="36"/>
      <c r="EI381" s="36"/>
      <c r="EJ381" s="36"/>
      <c r="EK381" s="36">
        <v>1</v>
      </c>
      <c r="EL381" s="36"/>
      <c r="EM381" s="36"/>
      <c r="EN381" s="36"/>
      <c r="EO381" s="36"/>
      <c r="EP381" s="36"/>
      <c r="EQ381" s="36"/>
      <c r="ER381" s="36"/>
      <c r="ES381" s="36"/>
      <c r="ET381" s="36"/>
      <c r="EU381" s="36"/>
      <c r="EV381" s="36"/>
      <c r="EW381" s="36"/>
      <c r="EX381" s="36"/>
      <c r="EY381" s="36"/>
      <c r="EZ381" s="36"/>
      <c r="FA381" s="36"/>
      <c r="FB381" s="36"/>
      <c r="FC381" s="36"/>
      <c r="FD381" s="36"/>
      <c r="FE381" s="36">
        <v>-0.25</v>
      </c>
      <c r="FF381" s="36"/>
      <c r="FG381" s="36">
        <v>-1</v>
      </c>
      <c r="FH381" s="36"/>
      <c r="FI381" s="36"/>
      <c r="FJ381" s="36"/>
      <c r="FK381" s="36"/>
      <c r="FL381" s="36"/>
      <c r="FM381" s="36"/>
      <c r="FN381" s="36"/>
      <c r="FO381" s="36"/>
      <c r="FP381" s="36"/>
      <c r="FQ381" s="36"/>
      <c r="FR381" s="36"/>
      <c r="FS381" s="36"/>
      <c r="FT381" s="36"/>
      <c r="FU381" s="36"/>
      <c r="FV381" s="36"/>
      <c r="FW381" s="36"/>
      <c r="FX381" s="36"/>
      <c r="FY381" s="36"/>
      <c r="FZ381" s="36"/>
      <c r="GA381" s="36"/>
      <c r="GB381" s="319"/>
      <c r="GC381" s="179">
        <f t="shared" si="70"/>
        <v>0</v>
      </c>
      <c r="GD381" s="179">
        <f t="shared" si="71"/>
        <v>-5.6599999999999998E-2</v>
      </c>
      <c r="GE381" s="179">
        <f t="shared" si="72"/>
        <v>0</v>
      </c>
      <c r="GF381" s="179">
        <f t="shared" si="73"/>
        <v>0</v>
      </c>
      <c r="GG381" s="179">
        <f t="shared" si="69"/>
        <v>0</v>
      </c>
    </row>
    <row r="382" spans="1:342" x14ac:dyDescent="0.35">
      <c r="A382" s="5" t="s">
        <v>1585</v>
      </c>
      <c r="B382" s="5" t="str">
        <f>IF(Technologies!B382&lt;&gt;0,Technologies!B382,"")</f>
        <v>Industrie</v>
      </c>
      <c r="C382" s="5" t="str">
        <f>VLOOKUP($A382,Technologies!$A$7:$H$576,3,FALSE)</f>
        <v>Conversion</v>
      </c>
      <c r="D382" s="5" t="str">
        <f>VLOOKUP($A382,Technologies!$A$7:$H$576,4,FALSE)</f>
        <v>Final Gas</v>
      </c>
      <c r="E382" s="5" t="str">
        <f>VLOOKUP($A382,Technologies!$A$7:$H$576,6,FALSE)</f>
        <v>Natural Gas LD</v>
      </c>
      <c r="F382" s="5" t="str">
        <f>VLOOKUP($A382,Technologies!$A$7:$H$576,7,FALSE)</f>
        <v>Gas from Solid Biomass Gasification - Final Gas</v>
      </c>
      <c r="G382" s="23"/>
      <c r="H382" s="23"/>
      <c r="I382" s="104" cm="1">
        <f t="array" ref="I382">-SUMPRODUCT((Feedstocks!$C$4:$C$141=A382)*Feedstocks!$E$4:$E$141,Feedstocks!$F$4:$F$141,Feedstocks!$H$4:$H$141,Feedstocks!$I$4:$I$141)</f>
        <v>0</v>
      </c>
      <c r="J382" s="104" cm="1">
        <f t="array" ref="J382">-SUMPRODUCT((Feedstocks!$C$4:$C$141=A382)*Feedstocks!$E$4:$E$141,Feedstocks!$H$4:$H$141,Feedstocks!$I$4:$I$141)</f>
        <v>0</v>
      </c>
      <c r="K382" s="104"/>
      <c r="L382" s="104"/>
      <c r="M382" s="23">
        <v>1</v>
      </c>
      <c r="N382" s="23" t="str">
        <f>VLOOKUP(E382,Activities!$A$9:$M$227,13,FALSE)</f>
        <v>NL</v>
      </c>
      <c r="O382" s="23"/>
      <c r="P382" s="79" t="s">
        <v>415</v>
      </c>
      <c r="Q382" s="35"/>
      <c r="R382" s="35"/>
      <c r="S382" s="35"/>
      <c r="T382" s="35"/>
      <c r="U382" s="35"/>
      <c r="V382" s="35"/>
      <c r="W382" s="35"/>
      <c r="X382" s="35"/>
      <c r="Y382" s="35"/>
      <c r="Z382" s="35"/>
      <c r="AA382" s="35"/>
      <c r="AB382" s="35"/>
      <c r="AC382" s="35"/>
      <c r="AD382" s="35"/>
      <c r="AE382" s="35"/>
      <c r="AF382" s="36"/>
      <c r="AG382" s="36"/>
      <c r="AH382" s="36"/>
      <c r="AI382" s="36"/>
      <c r="AJ382" s="36"/>
      <c r="AK382" s="36"/>
      <c r="AL382" s="36"/>
      <c r="AM382" s="36"/>
      <c r="AN382" s="36"/>
      <c r="AO382" s="36"/>
      <c r="AP382" s="35"/>
      <c r="AQ382" s="35"/>
      <c r="AR382" s="35"/>
      <c r="AS382" s="35"/>
      <c r="AT382" s="35"/>
      <c r="AU382" s="35"/>
      <c r="AV382" s="35"/>
      <c r="AW382" s="35"/>
      <c r="AX382" s="35"/>
      <c r="AY382" s="35"/>
      <c r="AZ382" s="35"/>
      <c r="BA382" s="35"/>
      <c r="BB382" s="35"/>
      <c r="BC382" s="35"/>
      <c r="BD382" s="35"/>
      <c r="BE382" s="35"/>
      <c r="BF382" s="35"/>
      <c r="BG382" s="35"/>
      <c r="BH382" s="35"/>
      <c r="BI382" s="35"/>
      <c r="BJ382" s="35"/>
      <c r="BK382" s="35"/>
      <c r="BL382" s="35"/>
      <c r="BM382" s="35"/>
      <c r="BN382" s="35"/>
      <c r="BO382" s="35"/>
      <c r="BP382" s="35"/>
      <c r="BQ382" s="35"/>
      <c r="BR382" s="35"/>
      <c r="BS382" s="35"/>
      <c r="BT382" s="35"/>
      <c r="BU382" s="35"/>
      <c r="BV382" s="35"/>
      <c r="BW382" s="35"/>
      <c r="BX382" s="35"/>
      <c r="BY382" s="35"/>
      <c r="BZ382" s="35"/>
      <c r="CA382" s="35"/>
      <c r="CB382" s="35"/>
      <c r="CC382" s="35"/>
      <c r="CD382" s="35"/>
      <c r="CE382" s="35"/>
      <c r="CF382" s="35"/>
      <c r="CG382" s="35"/>
      <c r="CH382" s="35"/>
      <c r="CI382" s="35"/>
      <c r="CJ382" s="35"/>
      <c r="CK382" s="35"/>
      <c r="CL382" s="35"/>
      <c r="CM382" s="35"/>
      <c r="CN382" s="35"/>
      <c r="CO382" s="35"/>
      <c r="CP382" s="35"/>
      <c r="CQ382" s="35"/>
      <c r="CR382" s="35"/>
      <c r="CS382" s="35"/>
      <c r="CT382" s="35"/>
      <c r="CU382" s="35"/>
      <c r="CV382" s="35"/>
      <c r="CW382" s="35"/>
      <c r="CX382" s="35"/>
      <c r="CY382" s="35"/>
      <c r="CZ382" s="35"/>
      <c r="DA382" s="35"/>
      <c r="DB382" s="35"/>
      <c r="DC382" s="35"/>
      <c r="DD382" s="35"/>
      <c r="DE382" s="35"/>
      <c r="DF382" s="35"/>
      <c r="DG382" s="35"/>
      <c r="DH382" s="35">
        <v>-4.07442618497895E-2</v>
      </c>
      <c r="DI382" s="35"/>
      <c r="DJ382" s="35"/>
      <c r="DK382" s="35"/>
      <c r="DL382" s="35"/>
      <c r="DM382" s="35"/>
      <c r="DN382" s="35"/>
      <c r="DO382" s="35"/>
      <c r="DP382" s="35"/>
      <c r="DQ382" s="35"/>
      <c r="DR382" s="35"/>
      <c r="DS382" s="35"/>
      <c r="DT382" s="35"/>
      <c r="DU382" s="35"/>
      <c r="DV382" s="35"/>
      <c r="DW382" s="35"/>
      <c r="DX382" s="35"/>
      <c r="DY382" s="35"/>
      <c r="DZ382" s="35"/>
      <c r="EA382" s="35"/>
      <c r="EB382" s="35"/>
      <c r="EC382" s="35"/>
      <c r="ED382" s="35"/>
      <c r="EE382" s="35"/>
      <c r="EF382" s="35"/>
      <c r="EG382" s="35"/>
      <c r="EH382" s="35"/>
      <c r="EI382" s="35"/>
      <c r="EJ382" s="35"/>
      <c r="EK382" s="35">
        <v>1</v>
      </c>
      <c r="EL382" s="35"/>
      <c r="EM382" s="35"/>
      <c r="EN382" s="35"/>
      <c r="EO382" s="35"/>
      <c r="EP382" s="35"/>
      <c r="EQ382" s="35"/>
      <c r="ER382" s="35">
        <v>-0.43000143000142999</v>
      </c>
      <c r="ES382" s="35"/>
      <c r="ET382" s="35"/>
      <c r="EU382" s="35"/>
      <c r="EV382" s="35"/>
      <c r="EW382" s="35"/>
      <c r="EX382" s="35"/>
      <c r="EY382" s="35"/>
      <c r="EZ382" s="35"/>
      <c r="FA382" s="35">
        <v>-1</v>
      </c>
      <c r="FB382" s="35"/>
      <c r="FC382" s="35"/>
      <c r="FD382" s="35"/>
      <c r="FE382" s="35"/>
      <c r="FF382" s="35"/>
      <c r="FG382" s="35"/>
      <c r="FH382" s="35"/>
      <c r="FI382" s="35"/>
      <c r="FJ382" s="35"/>
      <c r="FK382" s="35"/>
      <c r="FL382" s="35"/>
      <c r="FM382" s="35"/>
      <c r="FN382" s="35"/>
      <c r="FO382" s="35"/>
      <c r="FP382" s="35"/>
      <c r="FQ382" s="35"/>
      <c r="FR382" s="35"/>
      <c r="FS382" s="35"/>
      <c r="FT382" s="35"/>
      <c r="FU382" s="35"/>
      <c r="FV382" s="35"/>
      <c r="FW382" s="35"/>
      <c r="FX382" s="35"/>
      <c r="FY382" s="35"/>
      <c r="FZ382" s="35"/>
      <c r="GA382" s="35"/>
      <c r="GB382" s="318"/>
      <c r="GC382" s="178">
        <f t="shared" si="70"/>
        <v>0</v>
      </c>
      <c r="GD382" s="178">
        <f t="shared" si="71"/>
        <v>-5.6599999999999998E-2</v>
      </c>
      <c r="GE382" s="178">
        <f t="shared" si="72"/>
        <v>0</v>
      </c>
      <c r="GF382" s="178">
        <f t="shared" si="73"/>
        <v>0</v>
      </c>
      <c r="GG382" s="178">
        <f t="shared" si="69"/>
        <v>0</v>
      </c>
    </row>
    <row r="383" spans="1:342" x14ac:dyDescent="0.35">
      <c r="A383" s="6" t="s">
        <v>1587</v>
      </c>
      <c r="B383" s="6" t="str">
        <f>IF(Technologies!B383&lt;&gt;0,Technologies!B383,"")</f>
        <v>Industrie</v>
      </c>
      <c r="C383" s="6" t="str">
        <f>VLOOKUP($A383,Technologies!$A$7:$H$576,3,FALSE)</f>
        <v>Conversion</v>
      </c>
      <c r="D383" s="6" t="str">
        <f>VLOOKUP($A383,Technologies!$A$7:$H$576,4,FALSE)</f>
        <v>Final Gas</v>
      </c>
      <c r="E383" s="6" t="str">
        <f>VLOOKUP($A383,Technologies!$A$7:$H$576,6,FALSE)</f>
        <v>Natural Gas LD</v>
      </c>
      <c r="F383" s="48" t="str">
        <f>VLOOKUP($A383,Technologies!$A$7:$H$576,7,FALSE)</f>
        <v>Gas from Solid Biomass Gasification wCCS - Final Gas</v>
      </c>
      <c r="G383" s="22">
        <v>0.8</v>
      </c>
      <c r="H383" s="22"/>
      <c r="I383" s="103" cm="1">
        <f t="array" ref="I383">-SUMPRODUCT((Feedstocks!$C$4:$C$141=A383)*Feedstocks!$E$4:$E$141,Feedstocks!$F$4:$F$141,Feedstocks!$H$4:$H$141,Feedstocks!$I$4:$I$141)</f>
        <v>0</v>
      </c>
      <c r="J383" s="103" cm="1">
        <f t="array" ref="J383">-SUMPRODUCT((Feedstocks!$C$4:$C$141=A383)*Feedstocks!$E$4:$E$141,Feedstocks!$H$4:$H$141,Feedstocks!$I$4:$I$141)</f>
        <v>0</v>
      </c>
      <c r="K383" s="103"/>
      <c r="L383" s="103"/>
      <c r="M383" s="22">
        <v>1</v>
      </c>
      <c r="N383" s="22" t="str">
        <f>VLOOKUP(E383,Activities!$A$9:$M$227,13,FALSE)</f>
        <v>NL</v>
      </c>
      <c r="O383" s="22"/>
      <c r="P383" s="80" t="s">
        <v>415</v>
      </c>
      <c r="Q383" s="36"/>
      <c r="R383" s="36"/>
      <c r="S383" s="36"/>
      <c r="T383" s="36"/>
      <c r="U383" s="36"/>
      <c r="V383" s="36"/>
      <c r="W383" s="36"/>
      <c r="X383" s="36"/>
      <c r="Y383" s="36"/>
      <c r="Z383" s="36"/>
      <c r="AA383" s="36"/>
      <c r="AB383" s="36"/>
      <c r="AC383" s="36"/>
      <c r="AD383" s="36"/>
      <c r="AE383" s="36"/>
      <c r="AF383" s="35"/>
      <c r="AG383" s="35"/>
      <c r="AH383" s="35"/>
      <c r="AI383" s="35"/>
      <c r="AJ383" s="35"/>
      <c r="AK383" s="35"/>
      <c r="AL383" s="35"/>
      <c r="AM383" s="35"/>
      <c r="AN383" s="35"/>
      <c r="AO383" s="35"/>
      <c r="AP383" s="36"/>
      <c r="AQ383" s="36"/>
      <c r="AR383" s="36"/>
      <c r="AS383" s="36"/>
      <c r="AT383" s="36"/>
      <c r="AU383" s="36"/>
      <c r="AV383" s="36"/>
      <c r="AW383" s="36"/>
      <c r="AX383" s="36"/>
      <c r="AY383" s="36"/>
      <c r="AZ383" s="36"/>
      <c r="BA383" s="36"/>
      <c r="BB383" s="36"/>
      <c r="BC383" s="36"/>
      <c r="BD383" s="36"/>
      <c r="BE383" s="36"/>
      <c r="BF383" s="36"/>
      <c r="BG383" s="36"/>
      <c r="BH383" s="36"/>
      <c r="BI383" s="36"/>
      <c r="BJ383" s="36"/>
      <c r="BK383" s="36"/>
      <c r="BL383" s="36"/>
      <c r="BM383" s="36"/>
      <c r="BN383" s="36"/>
      <c r="BO383" s="36"/>
      <c r="BP383" s="36"/>
      <c r="BQ383" s="36"/>
      <c r="BR383" s="36"/>
      <c r="BS383" s="36"/>
      <c r="BT383" s="36"/>
      <c r="BU383" s="36"/>
      <c r="BV383" s="36"/>
      <c r="BW383" s="36"/>
      <c r="BX383" s="36"/>
      <c r="BY383" s="36"/>
      <c r="BZ383" s="36"/>
      <c r="CA383" s="36"/>
      <c r="CB383" s="36"/>
      <c r="CC383" s="36"/>
      <c r="CD383" s="36"/>
      <c r="CE383" s="36"/>
      <c r="CF383" s="36"/>
      <c r="CG383" s="36"/>
      <c r="CH383" s="36"/>
      <c r="CI383" s="36"/>
      <c r="CJ383" s="36"/>
      <c r="CK383" s="36"/>
      <c r="CL383" s="36"/>
      <c r="CM383" s="36"/>
      <c r="CN383" s="36"/>
      <c r="CO383" s="36"/>
      <c r="CP383" s="36"/>
      <c r="CQ383" s="36"/>
      <c r="CR383" s="36"/>
      <c r="CS383" s="36"/>
      <c r="CT383" s="36"/>
      <c r="CU383" s="36"/>
      <c r="CV383" s="36"/>
      <c r="CW383" s="36"/>
      <c r="CX383" s="36"/>
      <c r="CY383" s="36"/>
      <c r="CZ383" s="36"/>
      <c r="DA383" s="36"/>
      <c r="DB383" s="36"/>
      <c r="DC383" s="36"/>
      <c r="DD383" s="36"/>
      <c r="DE383" s="36"/>
      <c r="DF383" s="36"/>
      <c r="DG383" s="36"/>
      <c r="DH383" s="36">
        <v>-4.07442618497895E-2</v>
      </c>
      <c r="DI383" s="36"/>
      <c r="DJ383" s="36"/>
      <c r="DK383" s="36"/>
      <c r="DL383" s="36"/>
      <c r="DM383" s="36"/>
      <c r="DN383" s="36"/>
      <c r="DO383" s="36"/>
      <c r="DP383" s="36"/>
      <c r="DQ383" s="36"/>
      <c r="DR383" s="36"/>
      <c r="DS383" s="36"/>
      <c r="DT383" s="36"/>
      <c r="DU383" s="36"/>
      <c r="DV383" s="36"/>
      <c r="DW383" s="36"/>
      <c r="DX383" s="36"/>
      <c r="DY383" s="36"/>
      <c r="DZ383" s="36"/>
      <c r="EA383" s="36"/>
      <c r="EB383" s="36"/>
      <c r="EC383" s="36"/>
      <c r="ED383" s="36"/>
      <c r="EE383" s="36"/>
      <c r="EF383" s="36"/>
      <c r="EG383" s="36"/>
      <c r="EH383" s="36"/>
      <c r="EI383" s="36"/>
      <c r="EJ383" s="36"/>
      <c r="EK383" s="36">
        <v>1</v>
      </c>
      <c r="EL383" s="36"/>
      <c r="EM383" s="36"/>
      <c r="EN383" s="36"/>
      <c r="EO383" s="36"/>
      <c r="EP383" s="36"/>
      <c r="EQ383" s="36"/>
      <c r="ER383" s="36">
        <v>-0.53750178750178701</v>
      </c>
      <c r="ES383" s="36"/>
      <c r="ET383" s="36"/>
      <c r="EU383" s="36"/>
      <c r="EV383" s="36"/>
      <c r="EW383" s="36"/>
      <c r="EX383" s="36"/>
      <c r="EY383" s="36"/>
      <c r="EZ383" s="36"/>
      <c r="FA383" s="36">
        <v>-1</v>
      </c>
      <c r="FB383" s="36"/>
      <c r="FC383" s="36"/>
      <c r="FD383" s="36"/>
      <c r="FE383" s="36"/>
      <c r="FF383" s="36"/>
      <c r="FG383" s="36"/>
      <c r="FH383" s="36"/>
      <c r="FI383" s="36"/>
      <c r="FJ383" s="36"/>
      <c r="FK383" s="36"/>
      <c r="FL383" s="36"/>
      <c r="FM383" s="36"/>
      <c r="FN383" s="36"/>
      <c r="FO383" s="36"/>
      <c r="FP383" s="36"/>
      <c r="FQ383" s="36"/>
      <c r="FR383" s="36"/>
      <c r="FS383" s="36"/>
      <c r="FT383" s="36"/>
      <c r="FU383" s="36"/>
      <c r="FV383" s="36"/>
      <c r="FW383" s="36"/>
      <c r="FX383" s="36"/>
      <c r="FY383" s="36"/>
      <c r="FZ383" s="36"/>
      <c r="GA383" s="36"/>
      <c r="GB383" s="319">
        <f>GC383</f>
        <v>8.9499999999999996E-2</v>
      </c>
      <c r="GC383" s="179">
        <f t="shared" si="70"/>
        <v>8.9499999999999996E-2</v>
      </c>
      <c r="GD383" s="179">
        <f t="shared" si="71"/>
        <v>-0.14610000000000001</v>
      </c>
      <c r="GE383" s="179">
        <f t="shared" si="72"/>
        <v>0</v>
      </c>
      <c r="GF383" s="179">
        <f t="shared" si="73"/>
        <v>0</v>
      </c>
      <c r="GG383" s="179">
        <f t="shared" si="69"/>
        <v>0</v>
      </c>
    </row>
    <row r="384" spans="1:342" x14ac:dyDescent="0.35">
      <c r="A384" s="6" t="s">
        <v>1589</v>
      </c>
      <c r="B384" s="6" t="str">
        <f>IF(Technologies!B384&lt;&gt;0,Technologies!B384,"")</f>
        <v>Industrie</v>
      </c>
      <c r="C384" s="6" t="str">
        <f>VLOOKUP($A384,Technologies!$A$7:$H$576,3,FALSE)</f>
        <v>Conversion</v>
      </c>
      <c r="D384" s="6" t="str">
        <f>VLOOKUP($A384,Technologies!$A$7:$H$576,4,FALSE)</f>
        <v>Final Gas</v>
      </c>
      <c r="E384" s="6" t="str">
        <f>VLOOKUP($A384,Technologies!$A$7:$H$576,6,FALSE)</f>
        <v>Natural Gas LD</v>
      </c>
      <c r="F384" s="48" t="str">
        <f>VLOOKUP($A384,Technologies!$A$7:$H$576,7,FALSE)</f>
        <v>Gas from imported biomethane</v>
      </c>
      <c r="G384" s="22"/>
      <c r="H384" s="22"/>
      <c r="I384" s="103"/>
      <c r="J384" s="103"/>
      <c r="K384" s="103"/>
      <c r="L384" s="103"/>
      <c r="M384" s="22"/>
      <c r="N384" s="22" t="s">
        <v>320</v>
      </c>
      <c r="O384" s="22"/>
      <c r="P384" s="80"/>
      <c r="Q384" s="36"/>
      <c r="R384" s="36"/>
      <c r="S384" s="36"/>
      <c r="T384" s="36"/>
      <c r="U384" s="36"/>
      <c r="V384" s="36"/>
      <c r="W384" s="36"/>
      <c r="X384" s="36"/>
      <c r="Y384" s="36"/>
      <c r="Z384" s="36"/>
      <c r="AA384" s="36"/>
      <c r="AB384" s="36"/>
      <c r="AC384" s="36"/>
      <c r="AD384" s="36"/>
      <c r="AE384" s="36"/>
      <c r="AF384" s="35"/>
      <c r="AG384" s="35"/>
      <c r="AH384" s="35"/>
      <c r="AI384" s="35"/>
      <c r="AJ384" s="35"/>
      <c r="AK384" s="35"/>
      <c r="AL384" s="35"/>
      <c r="AM384" s="35"/>
      <c r="AN384" s="35"/>
      <c r="AO384" s="35"/>
      <c r="AP384" s="36"/>
      <c r="AQ384" s="36"/>
      <c r="AR384" s="36"/>
      <c r="AS384" s="36"/>
      <c r="AT384" s="36"/>
      <c r="AU384" s="36"/>
      <c r="AV384" s="36"/>
      <c r="AW384" s="36"/>
      <c r="AX384" s="36"/>
      <c r="AY384" s="36"/>
      <c r="AZ384" s="36"/>
      <c r="BA384" s="36"/>
      <c r="BB384" s="36"/>
      <c r="BC384" s="36"/>
      <c r="BD384" s="36"/>
      <c r="BE384" s="36"/>
      <c r="BF384" s="36"/>
      <c r="BG384" s="36"/>
      <c r="BH384" s="36"/>
      <c r="BI384" s="36"/>
      <c r="BJ384" s="36"/>
      <c r="BK384" s="36"/>
      <c r="BL384" s="36"/>
      <c r="BM384" s="36"/>
      <c r="BN384" s="36"/>
      <c r="BO384" s="36"/>
      <c r="BP384" s="36"/>
      <c r="BQ384" s="36"/>
      <c r="BR384" s="36"/>
      <c r="BS384" s="36"/>
      <c r="BT384" s="36"/>
      <c r="BU384" s="36"/>
      <c r="BV384" s="36"/>
      <c r="BW384" s="36"/>
      <c r="BX384" s="36"/>
      <c r="BY384" s="36"/>
      <c r="BZ384" s="36"/>
      <c r="CA384" s="36"/>
      <c r="CB384" s="36"/>
      <c r="CC384" s="36"/>
      <c r="CD384" s="36"/>
      <c r="CE384" s="36"/>
      <c r="CF384" s="36"/>
      <c r="CG384" s="36"/>
      <c r="CH384" s="36"/>
      <c r="CI384" s="36"/>
      <c r="CJ384" s="36"/>
      <c r="CK384" s="36"/>
      <c r="CL384" s="36"/>
      <c r="CM384" s="36"/>
      <c r="CN384" s="36"/>
      <c r="CO384" s="36"/>
      <c r="CP384" s="36"/>
      <c r="CQ384" s="36"/>
      <c r="CR384" s="36"/>
      <c r="CS384" s="36"/>
      <c r="CT384" s="36"/>
      <c r="CU384" s="36"/>
      <c r="CV384" s="36"/>
      <c r="CW384" s="36"/>
      <c r="CX384" s="36"/>
      <c r="CY384" s="36"/>
      <c r="CZ384" s="36"/>
      <c r="DA384" s="36"/>
      <c r="DB384" s="36"/>
      <c r="DC384" s="36"/>
      <c r="DD384" s="36"/>
      <c r="DE384" s="36"/>
      <c r="DF384" s="36"/>
      <c r="DG384" s="36"/>
      <c r="DH384" s="36"/>
      <c r="DI384" s="36"/>
      <c r="DJ384" s="36"/>
      <c r="DK384" s="36"/>
      <c r="DL384" s="36"/>
      <c r="DM384" s="36"/>
      <c r="DN384" s="36"/>
      <c r="DO384" s="36"/>
      <c r="DP384" s="36"/>
      <c r="DQ384" s="36"/>
      <c r="DR384" s="36"/>
      <c r="DS384" s="36"/>
      <c r="DT384" s="36"/>
      <c r="DU384" s="36"/>
      <c r="DV384" s="36"/>
      <c r="DW384" s="36"/>
      <c r="DX384" s="36"/>
      <c r="DY384" s="36"/>
      <c r="DZ384" s="36"/>
      <c r="EA384" s="36"/>
      <c r="EB384" s="36"/>
      <c r="EC384" s="36"/>
      <c r="ED384" s="36"/>
      <c r="EE384" s="36"/>
      <c r="EF384" s="36"/>
      <c r="EG384" s="36"/>
      <c r="EH384" s="36"/>
      <c r="EI384" s="36"/>
      <c r="EJ384" s="36"/>
      <c r="EK384" s="36">
        <v>1</v>
      </c>
      <c r="EL384" s="36"/>
      <c r="EM384" s="36"/>
      <c r="EN384" s="36"/>
      <c r="EO384" s="36"/>
      <c r="EP384" s="36"/>
      <c r="EQ384" s="36"/>
      <c r="ER384" s="36"/>
      <c r="ES384" s="36"/>
      <c r="ET384" s="36"/>
      <c r="EU384" s="36"/>
      <c r="EV384" s="36"/>
      <c r="EW384" s="36"/>
      <c r="EX384" s="36"/>
      <c r="EY384" s="36"/>
      <c r="EZ384" s="36"/>
      <c r="FA384" s="36"/>
      <c r="FB384" s="36"/>
      <c r="FC384" s="36"/>
      <c r="FD384" s="36"/>
      <c r="FE384" s="36"/>
      <c r="FF384" s="36"/>
      <c r="FG384" s="36"/>
      <c r="FH384" s="36"/>
      <c r="FI384" s="36">
        <v>-1</v>
      </c>
      <c r="FJ384" s="36"/>
      <c r="FK384" s="36"/>
      <c r="FL384" s="36"/>
      <c r="FM384" s="36"/>
      <c r="FN384" s="36"/>
      <c r="FO384" s="36"/>
      <c r="FP384" s="36"/>
      <c r="FQ384" s="36"/>
      <c r="FR384" s="36"/>
      <c r="FS384" s="36"/>
      <c r="FT384" s="36"/>
      <c r="FU384" s="36"/>
      <c r="FV384" s="36"/>
      <c r="FW384" s="36"/>
      <c r="FX384" s="36"/>
      <c r="FY384" s="36"/>
      <c r="FZ384" s="36"/>
      <c r="GA384" s="36"/>
      <c r="GB384" s="319"/>
      <c r="GC384" s="179">
        <f t="shared" si="70"/>
        <v>0</v>
      </c>
      <c r="GD384" s="179">
        <f t="shared" si="71"/>
        <v>0</v>
      </c>
      <c r="GE384" s="179">
        <f t="shared" si="72"/>
        <v>-5.6599999999999998E-2</v>
      </c>
      <c r="GF384" s="179">
        <f t="shared" si="73"/>
        <v>0</v>
      </c>
      <c r="GG384" s="179">
        <f t="shared" si="69"/>
        <v>0</v>
      </c>
    </row>
    <row r="385" spans="1:189" x14ac:dyDescent="0.35">
      <c r="A385" s="5" t="s">
        <v>1591</v>
      </c>
      <c r="B385" s="5" t="str">
        <f>IF(Technologies!B385&lt;&gt;0,Technologies!B385,"")</f>
        <v>Elektriciteit</v>
      </c>
      <c r="C385" s="5" t="str">
        <f>VLOOKUP($A385,Technologies!$A$7:$H$576,3,FALSE)</f>
        <v>Conversion</v>
      </c>
      <c r="D385" s="5" t="str">
        <f>VLOOKUP($A385,Technologies!$A$7:$H$576,4,FALSE)</f>
        <v>Final Gas</v>
      </c>
      <c r="E385" s="5" t="str">
        <f>VLOOKUP($A385,Technologies!$A$7:$H$576,6,FALSE)</f>
        <v>Natural Gas LD</v>
      </c>
      <c r="F385" s="5" t="str">
        <f>VLOOKUP($A385,Technologies!$A$7:$H$576,7,FALSE)</f>
        <v>HD to LD compressor - Final Gas</v>
      </c>
      <c r="G385" s="23"/>
      <c r="H385" s="23"/>
      <c r="I385" s="104" cm="1">
        <f t="array" ref="I385">-SUMPRODUCT((Feedstocks!$C$4:$C$141=A385)*Feedstocks!$E$4:$E$141,Feedstocks!$F$4:$F$141,Feedstocks!$H$4:$H$141,Feedstocks!$I$4:$I$141)</f>
        <v>0</v>
      </c>
      <c r="J385" s="104" cm="1">
        <f t="array" ref="J385">-SUMPRODUCT((Feedstocks!$C$4:$C$141=A385)*Feedstocks!$E$4:$E$141,Feedstocks!$H$4:$H$141,Feedstocks!$I$4:$I$141)</f>
        <v>0</v>
      </c>
      <c r="K385" s="104"/>
      <c r="L385" s="104"/>
      <c r="M385" s="23"/>
      <c r="N385" s="23" t="str">
        <f>VLOOKUP(E385,Activities!$A$9:$M$227,13,FALSE)</f>
        <v>NL</v>
      </c>
      <c r="O385" s="23"/>
      <c r="P385" s="79" t="s">
        <v>415</v>
      </c>
      <c r="Q385" s="35"/>
      <c r="R385" s="35"/>
      <c r="S385" s="35"/>
      <c r="T385" s="35"/>
      <c r="U385" s="35"/>
      <c r="V385" s="35"/>
      <c r="W385" s="35"/>
      <c r="X385" s="35"/>
      <c r="Y385" s="35"/>
      <c r="Z385" s="35"/>
      <c r="AA385" s="35"/>
      <c r="AB385" s="35"/>
      <c r="AC385" s="35"/>
      <c r="AD385" s="35"/>
      <c r="AE385" s="35"/>
      <c r="AF385" s="36"/>
      <c r="AG385" s="36"/>
      <c r="AH385" s="36"/>
      <c r="AI385" s="36"/>
      <c r="AJ385" s="36"/>
      <c r="AK385" s="36"/>
      <c r="AL385" s="36"/>
      <c r="AM385" s="36"/>
      <c r="AN385" s="36"/>
      <c r="AO385" s="36"/>
      <c r="AP385" s="35"/>
      <c r="AQ385" s="35"/>
      <c r="AR385" s="35"/>
      <c r="AS385" s="35"/>
      <c r="AT385" s="35"/>
      <c r="AU385" s="35"/>
      <c r="AV385" s="35"/>
      <c r="AW385" s="35"/>
      <c r="AX385" s="35"/>
      <c r="AY385" s="35"/>
      <c r="AZ385" s="35"/>
      <c r="BA385" s="35"/>
      <c r="BB385" s="35"/>
      <c r="BC385" s="35"/>
      <c r="BD385" s="35"/>
      <c r="BE385" s="35"/>
      <c r="BF385" s="35"/>
      <c r="BG385" s="35"/>
      <c r="BH385" s="35"/>
      <c r="BI385" s="35"/>
      <c r="BJ385" s="35"/>
      <c r="BK385" s="35"/>
      <c r="BL385" s="35"/>
      <c r="BM385" s="35"/>
      <c r="BN385" s="35"/>
      <c r="BO385" s="35"/>
      <c r="BP385" s="35"/>
      <c r="BQ385" s="35"/>
      <c r="BR385" s="35"/>
      <c r="BS385" s="35"/>
      <c r="BT385" s="35"/>
      <c r="BU385" s="35"/>
      <c r="BV385" s="35"/>
      <c r="BW385" s="35"/>
      <c r="BX385" s="35"/>
      <c r="BY385" s="35"/>
      <c r="BZ385" s="35"/>
      <c r="CA385" s="35"/>
      <c r="CB385" s="35"/>
      <c r="CC385" s="35"/>
      <c r="CD385" s="35"/>
      <c r="CE385" s="35"/>
      <c r="CF385" s="35"/>
      <c r="CG385" s="35"/>
      <c r="CH385" s="35"/>
      <c r="CI385" s="35"/>
      <c r="CJ385" s="35"/>
      <c r="CK385" s="35"/>
      <c r="CL385" s="35"/>
      <c r="CM385" s="35"/>
      <c r="CN385" s="35"/>
      <c r="CO385" s="35"/>
      <c r="CP385" s="35"/>
      <c r="CQ385" s="35"/>
      <c r="CR385" s="35"/>
      <c r="CS385" s="35"/>
      <c r="CT385" s="35"/>
      <c r="CU385" s="35"/>
      <c r="CV385" s="35"/>
      <c r="CW385" s="35"/>
      <c r="CX385" s="35"/>
      <c r="CY385" s="35"/>
      <c r="CZ385" s="35"/>
      <c r="DA385" s="35"/>
      <c r="DB385" s="35"/>
      <c r="DC385" s="35"/>
      <c r="DD385" s="35"/>
      <c r="DE385" s="35"/>
      <c r="DF385" s="35"/>
      <c r="DG385" s="35"/>
      <c r="DH385" s="35"/>
      <c r="DI385" s="35"/>
      <c r="DJ385" s="35"/>
      <c r="DK385" s="35"/>
      <c r="DL385" s="35"/>
      <c r="DM385" s="35"/>
      <c r="DN385" s="35"/>
      <c r="DO385" s="35"/>
      <c r="DP385" s="35"/>
      <c r="DQ385" s="35"/>
      <c r="DR385" s="35"/>
      <c r="DS385" s="35"/>
      <c r="DT385" s="35"/>
      <c r="DU385" s="35"/>
      <c r="DV385" s="35"/>
      <c r="DW385" s="35"/>
      <c r="DX385" s="35"/>
      <c r="DY385" s="35"/>
      <c r="DZ385" s="35"/>
      <c r="EA385" s="35"/>
      <c r="EB385" s="35"/>
      <c r="EC385" s="35"/>
      <c r="ED385" s="35"/>
      <c r="EE385" s="35"/>
      <c r="EF385" s="35"/>
      <c r="EG385" s="35"/>
      <c r="EH385" s="35"/>
      <c r="EI385" s="35"/>
      <c r="EJ385" s="35">
        <v>-1</v>
      </c>
      <c r="EK385" s="35">
        <v>1</v>
      </c>
      <c r="EL385" s="35"/>
      <c r="EM385" s="35"/>
      <c r="EN385" s="35"/>
      <c r="EO385" s="35"/>
      <c r="EP385" s="35"/>
      <c r="EQ385" s="35"/>
      <c r="ER385" s="35"/>
      <c r="ES385" s="35"/>
      <c r="ET385" s="35"/>
      <c r="EU385" s="35"/>
      <c r="EV385" s="35"/>
      <c r="EW385" s="35"/>
      <c r="EX385" s="35"/>
      <c r="EY385" s="35"/>
      <c r="EZ385" s="35"/>
      <c r="FA385" s="35"/>
      <c r="FB385" s="35"/>
      <c r="FC385" s="35"/>
      <c r="FD385" s="35"/>
      <c r="FE385" s="35"/>
      <c r="FF385" s="35"/>
      <c r="FG385" s="35"/>
      <c r="FH385" s="35"/>
      <c r="FI385" s="35"/>
      <c r="FJ385" s="35"/>
      <c r="FK385" s="35"/>
      <c r="FL385" s="35"/>
      <c r="FM385" s="35"/>
      <c r="FN385" s="35"/>
      <c r="FO385" s="35"/>
      <c r="FP385" s="35"/>
      <c r="FQ385" s="35"/>
      <c r="FR385" s="35"/>
      <c r="FS385" s="35"/>
      <c r="FT385" s="35"/>
      <c r="FU385" s="35"/>
      <c r="FV385" s="35"/>
      <c r="FW385" s="35"/>
      <c r="FX385" s="35"/>
      <c r="FY385" s="35"/>
      <c r="FZ385" s="35"/>
      <c r="GA385" s="35"/>
      <c r="GB385" s="318"/>
      <c r="GC385" s="178">
        <f t="shared" si="70"/>
        <v>0</v>
      </c>
      <c r="GD385" s="178">
        <f t="shared" si="71"/>
        <v>0</v>
      </c>
      <c r="GE385" s="178">
        <f t="shared" si="72"/>
        <v>0</v>
      </c>
      <c r="GF385" s="178">
        <f t="shared" si="73"/>
        <v>0</v>
      </c>
      <c r="GG385" s="178">
        <f t="shared" si="69"/>
        <v>0</v>
      </c>
    </row>
    <row r="386" spans="1:189" x14ac:dyDescent="0.35">
      <c r="A386" s="6" t="s">
        <v>1593</v>
      </c>
      <c r="B386" s="6" t="str">
        <f>IF(Technologies!B386&lt;&gt;0,Technologies!B386,"")</f>
        <v>Industrie</v>
      </c>
      <c r="C386" s="6" t="str">
        <f>VLOOKUP($A386,Technologies!$A$7:$H$576,3,FALSE)</f>
        <v>Primary</v>
      </c>
      <c r="D386" s="6" t="str">
        <f>VLOOKUP($A386,Technologies!$A$7:$H$576,4,FALSE)</f>
        <v>Fossil</v>
      </c>
      <c r="E386" s="6" t="str">
        <f>VLOOKUP($A386,Technologies!$A$7:$H$576,6,FALSE)</f>
        <v>Natural Gas LNG</v>
      </c>
      <c r="F386" s="48" t="str">
        <f>VLOOKUP($A386,Technologies!$A$7:$H$576,7,FALSE)</f>
        <v>Imported LNG - Final Gas</v>
      </c>
      <c r="G386" s="22"/>
      <c r="H386" s="22"/>
      <c r="I386" s="103" cm="1">
        <f t="array" ref="I386">-SUMPRODUCT((Feedstocks!$C$4:$C$141=A386)*Feedstocks!$E$4:$E$141,Feedstocks!$F$4:$F$141,Feedstocks!$H$4:$H$141,Feedstocks!$I$4:$I$141)</f>
        <v>0</v>
      </c>
      <c r="J386" s="103" cm="1">
        <f t="array" ref="J386">-SUMPRODUCT((Feedstocks!$C$4:$C$141=A386)*Feedstocks!$E$4:$E$141,Feedstocks!$H$4:$H$141,Feedstocks!$I$4:$I$141)</f>
        <v>0</v>
      </c>
      <c r="K386" s="103"/>
      <c r="L386" s="103"/>
      <c r="M386" s="22"/>
      <c r="N386" s="22" t="str">
        <f>VLOOKUP(E386,Activities!$A$9:$M$227,13,FALSE)</f>
        <v>NL</v>
      </c>
      <c r="O386" s="22"/>
      <c r="P386" s="80" t="s">
        <v>415</v>
      </c>
      <c r="Q386" s="36"/>
      <c r="R386" s="36"/>
      <c r="S386" s="36"/>
      <c r="T386" s="36"/>
      <c r="U386" s="36"/>
      <c r="V386" s="36"/>
      <c r="W386" s="36"/>
      <c r="X386" s="36"/>
      <c r="Y386" s="36"/>
      <c r="Z386" s="36"/>
      <c r="AA386" s="36"/>
      <c r="AB386" s="36"/>
      <c r="AC386" s="36"/>
      <c r="AD386" s="36"/>
      <c r="AE386" s="36"/>
      <c r="AF386" s="35"/>
      <c r="AG386" s="35"/>
      <c r="AH386" s="35"/>
      <c r="AI386" s="35"/>
      <c r="AJ386" s="35"/>
      <c r="AK386" s="35"/>
      <c r="AL386" s="35"/>
      <c r="AM386" s="35"/>
      <c r="AN386" s="35"/>
      <c r="AO386" s="35"/>
      <c r="AP386" s="36"/>
      <c r="AQ386" s="36"/>
      <c r="AR386" s="36"/>
      <c r="AS386" s="36"/>
      <c r="AT386" s="36"/>
      <c r="AU386" s="36"/>
      <c r="AV386" s="36"/>
      <c r="AW386" s="36"/>
      <c r="AX386" s="36"/>
      <c r="AY386" s="36"/>
      <c r="AZ386" s="36"/>
      <c r="BA386" s="36"/>
      <c r="BB386" s="36"/>
      <c r="BC386" s="36"/>
      <c r="BD386" s="36"/>
      <c r="BE386" s="36"/>
      <c r="BF386" s="36"/>
      <c r="BG386" s="36"/>
      <c r="BH386" s="36"/>
      <c r="BI386" s="36"/>
      <c r="BJ386" s="36"/>
      <c r="BK386" s="36"/>
      <c r="BL386" s="36"/>
      <c r="BM386" s="36"/>
      <c r="BN386" s="36"/>
      <c r="BO386" s="36"/>
      <c r="BP386" s="36"/>
      <c r="BQ386" s="36"/>
      <c r="BR386" s="36"/>
      <c r="BS386" s="36"/>
      <c r="BT386" s="36"/>
      <c r="BU386" s="36"/>
      <c r="BV386" s="36"/>
      <c r="BW386" s="36"/>
      <c r="BX386" s="36"/>
      <c r="BY386" s="36"/>
      <c r="BZ386" s="36"/>
      <c r="CA386" s="36"/>
      <c r="CB386" s="36"/>
      <c r="CC386" s="36"/>
      <c r="CD386" s="36"/>
      <c r="CE386" s="36"/>
      <c r="CF386" s="36"/>
      <c r="CG386" s="36"/>
      <c r="CH386" s="36"/>
      <c r="CI386" s="36"/>
      <c r="CJ386" s="36"/>
      <c r="CK386" s="36"/>
      <c r="CL386" s="36"/>
      <c r="CM386" s="36"/>
      <c r="CN386" s="36"/>
      <c r="CO386" s="36"/>
      <c r="CP386" s="36"/>
      <c r="CQ386" s="36"/>
      <c r="CR386" s="36"/>
      <c r="CS386" s="36"/>
      <c r="CT386" s="36"/>
      <c r="CU386" s="36"/>
      <c r="CV386" s="36"/>
      <c r="CW386" s="36"/>
      <c r="CX386" s="36"/>
      <c r="CY386" s="36"/>
      <c r="CZ386" s="36"/>
      <c r="DA386" s="36"/>
      <c r="DB386" s="36"/>
      <c r="DC386" s="36"/>
      <c r="DD386" s="36"/>
      <c r="DE386" s="36"/>
      <c r="DF386" s="36"/>
      <c r="DG386" s="36"/>
      <c r="DH386" s="36"/>
      <c r="DI386" s="36"/>
      <c r="DJ386" s="36"/>
      <c r="DK386" s="36"/>
      <c r="DL386" s="36"/>
      <c r="DM386" s="36"/>
      <c r="DN386" s="36"/>
      <c r="DO386" s="36"/>
      <c r="DP386" s="36"/>
      <c r="DQ386" s="36"/>
      <c r="DR386" s="36"/>
      <c r="DS386" s="36"/>
      <c r="DT386" s="36"/>
      <c r="DU386" s="36"/>
      <c r="DV386" s="36"/>
      <c r="DW386" s="36"/>
      <c r="DX386" s="36"/>
      <c r="DY386" s="36"/>
      <c r="DZ386" s="36"/>
      <c r="EA386" s="36"/>
      <c r="EB386" s="36"/>
      <c r="EC386" s="36"/>
      <c r="ED386" s="36"/>
      <c r="EE386" s="36"/>
      <c r="EF386" s="36"/>
      <c r="EG386" s="36"/>
      <c r="EH386" s="36"/>
      <c r="EI386" s="36"/>
      <c r="EJ386" s="36"/>
      <c r="EK386" s="36"/>
      <c r="EL386" s="36">
        <v>1</v>
      </c>
      <c r="EM386" s="36"/>
      <c r="EN386" s="36"/>
      <c r="EO386" s="36"/>
      <c r="EP386" s="36"/>
      <c r="EQ386" s="36"/>
      <c r="ER386" s="36"/>
      <c r="ES386" s="36"/>
      <c r="ET386" s="36"/>
      <c r="EU386" s="36"/>
      <c r="EV386" s="36"/>
      <c r="EW386" s="36"/>
      <c r="EX386" s="36"/>
      <c r="EY386" s="36"/>
      <c r="EZ386" s="36"/>
      <c r="FA386" s="36"/>
      <c r="FB386" s="36"/>
      <c r="FC386" s="36"/>
      <c r="FD386" s="36"/>
      <c r="FE386" s="36"/>
      <c r="FF386" s="36"/>
      <c r="FG386" s="36"/>
      <c r="FH386" s="36"/>
      <c r="FI386" s="36"/>
      <c r="FJ386" s="36"/>
      <c r="FK386" s="36"/>
      <c r="FL386" s="36"/>
      <c r="FM386" s="36"/>
      <c r="FN386" s="36"/>
      <c r="FO386" s="36"/>
      <c r="FP386" s="36"/>
      <c r="FQ386" s="36"/>
      <c r="FR386" s="36"/>
      <c r="FS386" s="36"/>
      <c r="FT386" s="36"/>
      <c r="FU386" s="36"/>
      <c r="FV386" s="36"/>
      <c r="FW386" s="36"/>
      <c r="FX386" s="36"/>
      <c r="FY386" s="36"/>
      <c r="FZ386" s="36"/>
      <c r="GA386" s="36"/>
      <c r="GB386" s="319"/>
      <c r="GC386" s="179">
        <f t="shared" si="70"/>
        <v>0</v>
      </c>
      <c r="GD386" s="179">
        <f t="shared" si="71"/>
        <v>0</v>
      </c>
      <c r="GE386" s="179">
        <f t="shared" si="72"/>
        <v>0</v>
      </c>
      <c r="GF386" s="179">
        <f t="shared" si="73"/>
        <v>0</v>
      </c>
      <c r="GG386" s="179">
        <f t="shared" si="69"/>
        <v>0</v>
      </c>
    </row>
    <row r="387" spans="1:189" x14ac:dyDescent="0.35">
      <c r="A387" s="5" t="s">
        <v>1595</v>
      </c>
      <c r="B387" s="5" t="str">
        <f>IF(Technologies!B387&lt;&gt;0,Technologies!B387,"")</f>
        <v>Industrie</v>
      </c>
      <c r="C387" s="5" t="str">
        <f>VLOOKUP($A387,Technologies!$A$7:$H$576,3,FALSE)</f>
        <v>Conversion</v>
      </c>
      <c r="D387" s="5" t="str">
        <f>VLOOKUP($A387,Technologies!$A$7:$H$576,4,FALSE)</f>
        <v>Hydrogen</v>
      </c>
      <c r="E387" s="5" t="str">
        <f>VLOOKUP($A387,Technologies!$A$7:$H$576,6,FALSE)</f>
        <v>Hydrogen HD</v>
      </c>
      <c r="F387" s="5" t="str">
        <f>VLOOKUP($A387,Technologies!$A$7:$H$576,7,FALSE)</f>
        <v>Gas Reforming - Hydrogen Production</v>
      </c>
      <c r="G387" s="23"/>
      <c r="H387" s="23"/>
      <c r="I387" s="104" cm="1">
        <f t="array" ref="I387">-SUMPRODUCT((Feedstocks!$C$4:$C$141=A387)*Feedstocks!$E$4:$E$141,Feedstocks!$F$4:$F$141,Feedstocks!$H$4:$H$141,Feedstocks!$I$4:$I$141)</f>
        <v>0</v>
      </c>
      <c r="J387" s="104" cm="1">
        <f t="array" ref="J387">-SUMPRODUCT((Feedstocks!$C$4:$C$141=A387)*Feedstocks!$E$4:$E$141,Feedstocks!$H$4:$H$141,Feedstocks!$I$4:$I$141)</f>
        <v>0</v>
      </c>
      <c r="K387" s="104"/>
      <c r="L387" s="104"/>
      <c r="M387" s="23">
        <v>1</v>
      </c>
      <c r="N387" s="23" t="str">
        <f>VLOOKUP(E387,Activities!$A$9:$M$227,13,FALSE)</f>
        <v>NL</v>
      </c>
      <c r="O387" s="23"/>
      <c r="P387" s="79" t="s">
        <v>415</v>
      </c>
      <c r="Q387" s="35"/>
      <c r="R387" s="35"/>
      <c r="S387" s="35"/>
      <c r="T387" s="35"/>
      <c r="U387" s="35"/>
      <c r="V387" s="35"/>
      <c r="W387" s="35"/>
      <c r="X387" s="35"/>
      <c r="Y387" s="35"/>
      <c r="Z387" s="35"/>
      <c r="AA387" s="35"/>
      <c r="AB387" s="35"/>
      <c r="AC387" s="35"/>
      <c r="AD387" s="35"/>
      <c r="AE387" s="35"/>
      <c r="AF387" s="36"/>
      <c r="AG387" s="36"/>
      <c r="AH387" s="36"/>
      <c r="AI387" s="36"/>
      <c r="AJ387" s="36"/>
      <c r="AK387" s="36"/>
      <c r="AL387" s="36"/>
      <c r="AM387" s="36"/>
      <c r="AN387" s="36"/>
      <c r="AO387" s="36"/>
      <c r="AP387" s="35"/>
      <c r="AQ387" s="35"/>
      <c r="AR387" s="35"/>
      <c r="AS387" s="35"/>
      <c r="AT387" s="35"/>
      <c r="AU387" s="35"/>
      <c r="AV387" s="35"/>
      <c r="AW387" s="35"/>
      <c r="AX387" s="35"/>
      <c r="AY387" s="35"/>
      <c r="AZ387" s="35"/>
      <c r="BA387" s="35"/>
      <c r="BB387" s="35"/>
      <c r="BC387" s="35"/>
      <c r="BD387" s="35"/>
      <c r="BE387" s="35"/>
      <c r="BF387" s="35"/>
      <c r="BG387" s="35"/>
      <c r="BH387" s="35"/>
      <c r="BI387" s="35"/>
      <c r="BJ387" s="35"/>
      <c r="BK387" s="35"/>
      <c r="BL387" s="35"/>
      <c r="BM387" s="35"/>
      <c r="BN387" s="35"/>
      <c r="BO387" s="35"/>
      <c r="BP387" s="35"/>
      <c r="BQ387" s="35"/>
      <c r="BR387" s="35"/>
      <c r="BS387" s="35"/>
      <c r="BT387" s="35"/>
      <c r="BU387" s="35"/>
      <c r="BV387" s="35"/>
      <c r="BW387" s="35"/>
      <c r="BX387" s="35"/>
      <c r="BY387" s="35"/>
      <c r="BZ387" s="35"/>
      <c r="CA387" s="35"/>
      <c r="CB387" s="35"/>
      <c r="CC387" s="35"/>
      <c r="CD387" s="35"/>
      <c r="CE387" s="35"/>
      <c r="CF387" s="35"/>
      <c r="CG387" s="35"/>
      <c r="CH387" s="35"/>
      <c r="CI387" s="35"/>
      <c r="CJ387" s="35"/>
      <c r="CK387" s="35"/>
      <c r="CL387" s="35"/>
      <c r="CM387" s="35"/>
      <c r="CN387" s="35"/>
      <c r="CO387" s="35"/>
      <c r="CP387" s="35"/>
      <c r="CQ387" s="35"/>
      <c r="CR387" s="35"/>
      <c r="CS387" s="35"/>
      <c r="CT387" s="35"/>
      <c r="CU387" s="35"/>
      <c r="CV387" s="35"/>
      <c r="CW387" s="35"/>
      <c r="CX387" s="35"/>
      <c r="CY387" s="35"/>
      <c r="CZ387" s="35"/>
      <c r="DA387" s="35"/>
      <c r="DB387" s="35"/>
      <c r="DC387" s="35"/>
      <c r="DD387" s="35"/>
      <c r="DE387" s="35"/>
      <c r="DF387" s="35"/>
      <c r="DG387" s="35"/>
      <c r="DH387" s="35"/>
      <c r="DI387" s="35"/>
      <c r="DJ387" s="35"/>
      <c r="DK387" s="35"/>
      <c r="DL387" s="35"/>
      <c r="DM387" s="35"/>
      <c r="DN387" s="35"/>
      <c r="DO387" s="35"/>
      <c r="DP387" s="35"/>
      <c r="DQ387" s="35"/>
      <c r="DR387" s="35"/>
      <c r="DS387" s="35"/>
      <c r="DT387" s="35"/>
      <c r="DU387" s="35"/>
      <c r="DV387" s="35"/>
      <c r="DW387" s="35"/>
      <c r="DX387" s="35"/>
      <c r="DY387" s="35"/>
      <c r="DZ387" s="35"/>
      <c r="EA387" s="35"/>
      <c r="EB387" s="35"/>
      <c r="EC387" s="35"/>
      <c r="ED387" s="35"/>
      <c r="EE387" s="35"/>
      <c r="EF387" s="35"/>
      <c r="EG387" s="35"/>
      <c r="EH387" s="35"/>
      <c r="EI387" s="35"/>
      <c r="EJ387" s="35">
        <v>-1.35</v>
      </c>
      <c r="EK387" s="35"/>
      <c r="EL387" s="35"/>
      <c r="EM387" s="35">
        <v>1</v>
      </c>
      <c r="EN387" s="35"/>
      <c r="EO387" s="35"/>
      <c r="EP387" s="35"/>
      <c r="EQ387" s="35"/>
      <c r="ER387" s="35"/>
      <c r="ES387" s="35"/>
      <c r="ET387" s="35"/>
      <c r="EU387" s="35"/>
      <c r="EV387" s="35"/>
      <c r="EW387" s="35"/>
      <c r="EX387" s="35"/>
      <c r="EY387" s="35"/>
      <c r="EZ387" s="35"/>
      <c r="FA387" s="35"/>
      <c r="FB387" s="35"/>
      <c r="FC387" s="35"/>
      <c r="FD387" s="35"/>
      <c r="FE387" s="35"/>
      <c r="FF387" s="35"/>
      <c r="FG387" s="35"/>
      <c r="FH387" s="35"/>
      <c r="FI387" s="35"/>
      <c r="FJ387" s="35"/>
      <c r="FK387" s="35"/>
      <c r="FL387" s="35"/>
      <c r="FM387" s="35"/>
      <c r="FN387" s="35"/>
      <c r="FO387" s="35"/>
      <c r="FP387" s="35"/>
      <c r="FQ387" s="35"/>
      <c r="FR387" s="35"/>
      <c r="FS387" s="35"/>
      <c r="FT387" s="35"/>
      <c r="FU387" s="35"/>
      <c r="FV387" s="35"/>
      <c r="FW387" s="35"/>
      <c r="FX387" s="35"/>
      <c r="FY387" s="35"/>
      <c r="FZ387" s="35"/>
      <c r="GA387" s="35"/>
      <c r="GB387" s="318"/>
      <c r="GC387" s="178">
        <f t="shared" si="70"/>
        <v>0</v>
      </c>
      <c r="GD387" s="178">
        <f t="shared" si="71"/>
        <v>7.6399999999999996E-2</v>
      </c>
      <c r="GE387" s="178">
        <f t="shared" si="72"/>
        <v>0</v>
      </c>
      <c r="GF387" s="178">
        <f t="shared" si="73"/>
        <v>0</v>
      </c>
      <c r="GG387" s="178">
        <f t="shared" si="69"/>
        <v>0</v>
      </c>
    </row>
    <row r="388" spans="1:189" x14ac:dyDescent="0.35">
      <c r="A388" s="6" t="s">
        <v>1598</v>
      </c>
      <c r="B388" s="6" t="str">
        <f>IF(Technologies!B388&lt;&gt;0,Technologies!B388,"")</f>
        <v>Industrie</v>
      </c>
      <c r="C388" s="6" t="str">
        <f>VLOOKUP($A388,Technologies!$A$7:$H$576,3,FALSE)</f>
        <v>Conversion</v>
      </c>
      <c r="D388" s="6" t="str">
        <f>VLOOKUP($A388,Technologies!$A$7:$H$576,4,FALSE)</f>
        <v>Hydrogen</v>
      </c>
      <c r="E388" s="6" t="str">
        <f>VLOOKUP($A388,Technologies!$A$7:$H$576,6,FALSE)</f>
        <v>Hydrogen HD</v>
      </c>
      <c r="F388" s="48" t="str">
        <f>VLOOKUP($A388,Technologies!$A$7:$H$576,7,FALSE)</f>
        <v>Gas Reforming wCCS - Hydrogen Production</v>
      </c>
      <c r="G388" s="22">
        <v>0.6</v>
      </c>
      <c r="H388" s="22"/>
      <c r="I388" s="103" cm="1">
        <f t="array" ref="I388">-SUMPRODUCT((Feedstocks!$C$4:$C$141=A388)*Feedstocks!$E$4:$E$141,Feedstocks!$F$4:$F$141,Feedstocks!$H$4:$H$141,Feedstocks!$I$4:$I$141)</f>
        <v>0</v>
      </c>
      <c r="J388" s="103" cm="1">
        <f t="array" ref="J388">-SUMPRODUCT((Feedstocks!$C$4:$C$141=A388)*Feedstocks!$E$4:$E$141,Feedstocks!$H$4:$H$141,Feedstocks!$I$4:$I$141)</f>
        <v>0</v>
      </c>
      <c r="K388" s="103"/>
      <c r="L388" s="103"/>
      <c r="M388" s="22">
        <v>1</v>
      </c>
      <c r="N388" s="22" t="str">
        <f>VLOOKUP(E388,Activities!$A$9:$M$227,13,FALSE)</f>
        <v>NL</v>
      </c>
      <c r="O388" s="22"/>
      <c r="P388" s="80" t="s">
        <v>415</v>
      </c>
      <c r="Q388" s="36"/>
      <c r="R388" s="36"/>
      <c r="S388" s="36"/>
      <c r="T388" s="36"/>
      <c r="U388" s="36"/>
      <c r="V388" s="36"/>
      <c r="W388" s="36"/>
      <c r="X388" s="36"/>
      <c r="Y388" s="36"/>
      <c r="Z388" s="36"/>
      <c r="AA388" s="36"/>
      <c r="AB388" s="36"/>
      <c r="AC388" s="36"/>
      <c r="AD388" s="36"/>
      <c r="AE388" s="36"/>
      <c r="AF388" s="35"/>
      <c r="AG388" s="35"/>
      <c r="AH388" s="35"/>
      <c r="AI388" s="35"/>
      <c r="AJ388" s="35"/>
      <c r="AK388" s="35"/>
      <c r="AL388" s="35"/>
      <c r="AM388" s="35"/>
      <c r="AN388" s="35"/>
      <c r="AO388" s="35"/>
      <c r="AP388" s="36"/>
      <c r="AQ388" s="36"/>
      <c r="AR388" s="36"/>
      <c r="AS388" s="36"/>
      <c r="AT388" s="36"/>
      <c r="AU388" s="36"/>
      <c r="AV388" s="36"/>
      <c r="AW388" s="36"/>
      <c r="AX388" s="36"/>
      <c r="AY388" s="36"/>
      <c r="AZ388" s="36"/>
      <c r="BA388" s="36"/>
      <c r="BB388" s="36"/>
      <c r="BC388" s="36"/>
      <c r="BD388" s="36"/>
      <c r="BE388" s="36"/>
      <c r="BF388" s="36"/>
      <c r="BG388" s="36"/>
      <c r="BH388" s="36"/>
      <c r="BI388" s="36"/>
      <c r="BJ388" s="36"/>
      <c r="BK388" s="36"/>
      <c r="BL388" s="36"/>
      <c r="BM388" s="36"/>
      <c r="BN388" s="36"/>
      <c r="BO388" s="36"/>
      <c r="BP388" s="36"/>
      <c r="BQ388" s="36"/>
      <c r="BR388" s="36"/>
      <c r="BS388" s="36"/>
      <c r="BT388" s="36"/>
      <c r="BU388" s="36"/>
      <c r="BV388" s="36"/>
      <c r="BW388" s="36"/>
      <c r="BX388" s="36"/>
      <c r="BY388" s="36"/>
      <c r="BZ388" s="36"/>
      <c r="CA388" s="36"/>
      <c r="CB388" s="36"/>
      <c r="CC388" s="36"/>
      <c r="CD388" s="36"/>
      <c r="CE388" s="36"/>
      <c r="CF388" s="36"/>
      <c r="CG388" s="36"/>
      <c r="CH388" s="36"/>
      <c r="CI388" s="36"/>
      <c r="CJ388" s="36"/>
      <c r="CK388" s="36"/>
      <c r="CL388" s="36"/>
      <c r="CM388" s="36"/>
      <c r="CN388" s="36"/>
      <c r="CO388" s="36"/>
      <c r="CP388" s="36"/>
      <c r="CQ388" s="36"/>
      <c r="CR388" s="36"/>
      <c r="CS388" s="36"/>
      <c r="CT388" s="36"/>
      <c r="CU388" s="36"/>
      <c r="CV388" s="36"/>
      <c r="CW388" s="36"/>
      <c r="CX388" s="36"/>
      <c r="CY388" s="36"/>
      <c r="CZ388" s="36"/>
      <c r="DA388" s="36"/>
      <c r="DB388" s="36"/>
      <c r="DC388" s="36"/>
      <c r="DD388" s="36"/>
      <c r="DE388" s="36"/>
      <c r="DF388" s="36"/>
      <c r="DG388" s="36"/>
      <c r="DH388" s="36"/>
      <c r="DI388" s="36"/>
      <c r="DJ388" s="36"/>
      <c r="DK388" s="36"/>
      <c r="DL388" s="36"/>
      <c r="DM388" s="36"/>
      <c r="DN388" s="36"/>
      <c r="DO388" s="36"/>
      <c r="DP388" s="36"/>
      <c r="DQ388" s="36"/>
      <c r="DR388" s="36"/>
      <c r="DS388" s="36"/>
      <c r="DT388" s="36"/>
      <c r="DU388" s="36"/>
      <c r="DV388" s="36"/>
      <c r="DW388" s="36"/>
      <c r="DX388" s="36"/>
      <c r="DY388" s="36"/>
      <c r="DZ388" s="36"/>
      <c r="EA388" s="36"/>
      <c r="EB388" s="36"/>
      <c r="EC388" s="36"/>
      <c r="ED388" s="36"/>
      <c r="EE388" s="36"/>
      <c r="EF388" s="36"/>
      <c r="EG388" s="36"/>
      <c r="EH388" s="36"/>
      <c r="EI388" s="36"/>
      <c r="EJ388" s="36">
        <v>-2.2290000000000001</v>
      </c>
      <c r="EK388" s="36"/>
      <c r="EL388" s="36"/>
      <c r="EM388" s="36">
        <v>1</v>
      </c>
      <c r="EN388" s="36"/>
      <c r="EO388" s="36"/>
      <c r="EP388" s="36"/>
      <c r="EQ388" s="36"/>
      <c r="ER388" s="36"/>
      <c r="ES388" s="36"/>
      <c r="ET388" s="36"/>
      <c r="EU388" s="36"/>
      <c r="EV388" s="36"/>
      <c r="EW388" s="36"/>
      <c r="EX388" s="36"/>
      <c r="EY388" s="36"/>
      <c r="EZ388" s="36"/>
      <c r="FA388" s="36"/>
      <c r="FB388" s="36"/>
      <c r="FC388" s="36"/>
      <c r="FD388" s="36"/>
      <c r="FE388" s="36"/>
      <c r="FF388" s="36"/>
      <c r="FG388" s="36"/>
      <c r="FH388" s="36"/>
      <c r="FI388" s="36"/>
      <c r="FJ388" s="36"/>
      <c r="FK388" s="36"/>
      <c r="FL388" s="36"/>
      <c r="FM388" s="36"/>
      <c r="FN388" s="36"/>
      <c r="FO388" s="36"/>
      <c r="FP388" s="36"/>
      <c r="FQ388" s="36"/>
      <c r="FR388" s="36"/>
      <c r="FS388" s="36"/>
      <c r="FT388" s="36"/>
      <c r="FU388" s="36"/>
      <c r="FV388" s="36"/>
      <c r="FW388" s="36"/>
      <c r="FX388" s="36"/>
      <c r="FY388" s="36"/>
      <c r="FZ388" s="36"/>
      <c r="GA388" s="36"/>
      <c r="GB388" s="319"/>
      <c r="GC388" s="179">
        <f t="shared" si="70"/>
        <v>7.5700000000000003E-2</v>
      </c>
      <c r="GD388" s="179">
        <f t="shared" si="71"/>
        <v>5.0500000000000003E-2</v>
      </c>
      <c r="GE388" s="179">
        <f t="shared" si="72"/>
        <v>0</v>
      </c>
      <c r="GF388" s="179">
        <f t="shared" si="73"/>
        <v>0</v>
      </c>
      <c r="GG388" s="179">
        <f t="shared" si="69"/>
        <v>0</v>
      </c>
    </row>
    <row r="389" spans="1:189" x14ac:dyDescent="0.35">
      <c r="A389" s="5" t="s">
        <v>1600</v>
      </c>
      <c r="B389" s="5" t="str">
        <f>IF(Technologies!B389&lt;&gt;0,Technologies!B389,"")</f>
        <v>Industrie</v>
      </c>
      <c r="C389" s="5" t="str">
        <f>VLOOKUP($A389,Technologies!$A$7:$H$576,3,FALSE)</f>
        <v>Conversion</v>
      </c>
      <c r="D389" s="5" t="str">
        <f>VLOOKUP($A389,Technologies!$A$7:$H$576,4,FALSE)</f>
        <v>Hydrogen</v>
      </c>
      <c r="E389" s="5" t="str">
        <f>VLOOKUP($A389,Technologies!$A$7:$H$576,6,FALSE)</f>
        <v>Hydrogen HD</v>
      </c>
      <c r="F389" s="5" t="str">
        <f>VLOOKUP($A389,Technologies!$A$7:$H$576,7,FALSE)</f>
        <v>Nuclear Gen IV - Hydrogen Production</v>
      </c>
      <c r="G389" s="23"/>
      <c r="H389" s="23"/>
      <c r="I389" s="104" cm="1">
        <f t="array" ref="I389">-SUMPRODUCT((Feedstocks!$C$4:$C$141=A389)*Feedstocks!$E$4:$E$141,Feedstocks!$F$4:$F$141,Feedstocks!$H$4:$H$141,Feedstocks!$I$4:$I$141)</f>
        <v>0</v>
      </c>
      <c r="J389" s="104" cm="1">
        <f t="array" ref="J389">-SUMPRODUCT((Feedstocks!$C$4:$C$141=A389)*Feedstocks!$E$4:$E$141,Feedstocks!$H$4:$H$141,Feedstocks!$I$4:$I$141)</f>
        <v>0</v>
      </c>
      <c r="K389" s="104"/>
      <c r="L389" s="104"/>
      <c r="M389" s="23">
        <v>1</v>
      </c>
      <c r="N389" s="23" t="str">
        <f>VLOOKUP(E389,Activities!$A$9:$M$227,13,FALSE)</f>
        <v>NL</v>
      </c>
      <c r="O389" s="23"/>
      <c r="P389" s="79" t="s">
        <v>1603</v>
      </c>
      <c r="Q389" s="35"/>
      <c r="R389" s="35"/>
      <c r="S389" s="35"/>
      <c r="T389" s="35"/>
      <c r="U389" s="35"/>
      <c r="V389" s="35"/>
      <c r="W389" s="35"/>
      <c r="X389" s="35"/>
      <c r="Y389" s="35"/>
      <c r="Z389" s="35"/>
      <c r="AA389" s="35"/>
      <c r="AB389" s="35"/>
      <c r="AC389" s="35"/>
      <c r="AD389" s="35"/>
      <c r="AE389" s="35"/>
      <c r="AF389" s="36"/>
      <c r="AG389" s="36"/>
      <c r="AH389" s="36"/>
      <c r="AI389" s="36"/>
      <c r="AJ389" s="36"/>
      <c r="AK389" s="36"/>
      <c r="AL389" s="36"/>
      <c r="AM389" s="36"/>
      <c r="AN389" s="36"/>
      <c r="AO389" s="36"/>
      <c r="AP389" s="35"/>
      <c r="AQ389" s="35"/>
      <c r="AR389" s="35"/>
      <c r="AS389" s="35"/>
      <c r="AT389" s="35"/>
      <c r="AU389" s="35"/>
      <c r="AV389" s="35"/>
      <c r="AW389" s="35"/>
      <c r="AX389" s="35"/>
      <c r="AY389" s="35"/>
      <c r="AZ389" s="35"/>
      <c r="BA389" s="35"/>
      <c r="BB389" s="35"/>
      <c r="BC389" s="35"/>
      <c r="BD389" s="35"/>
      <c r="BE389" s="35"/>
      <c r="BF389" s="35"/>
      <c r="BG389" s="35"/>
      <c r="BH389" s="35"/>
      <c r="BI389" s="35"/>
      <c r="BJ389" s="35"/>
      <c r="BK389" s="35"/>
      <c r="BL389" s="35"/>
      <c r="BM389" s="35"/>
      <c r="BN389" s="35"/>
      <c r="BO389" s="35"/>
      <c r="BP389" s="35"/>
      <c r="BQ389" s="35"/>
      <c r="BR389" s="35"/>
      <c r="BS389" s="35"/>
      <c r="BT389" s="35"/>
      <c r="BU389" s="35"/>
      <c r="BV389" s="35"/>
      <c r="BW389" s="35"/>
      <c r="BX389" s="35"/>
      <c r="BY389" s="35"/>
      <c r="BZ389" s="35"/>
      <c r="CA389" s="35"/>
      <c r="CB389" s="35"/>
      <c r="CC389" s="35"/>
      <c r="CD389" s="35"/>
      <c r="CE389" s="35"/>
      <c r="CF389" s="35"/>
      <c r="CG389" s="35"/>
      <c r="CH389" s="35"/>
      <c r="CI389" s="35"/>
      <c r="CJ389" s="35"/>
      <c r="CK389" s="35"/>
      <c r="CL389" s="35"/>
      <c r="CM389" s="35"/>
      <c r="CN389" s="35"/>
      <c r="CO389" s="35"/>
      <c r="CP389" s="35"/>
      <c r="CQ389" s="35"/>
      <c r="CR389" s="35"/>
      <c r="CS389" s="35"/>
      <c r="CT389" s="35"/>
      <c r="CU389" s="35"/>
      <c r="CV389" s="35"/>
      <c r="CW389" s="35"/>
      <c r="CX389" s="35"/>
      <c r="CY389" s="35"/>
      <c r="CZ389" s="35"/>
      <c r="DA389" s="35"/>
      <c r="DB389" s="35"/>
      <c r="DC389" s="35"/>
      <c r="DD389" s="35"/>
      <c r="DE389" s="35"/>
      <c r="DF389" s="35"/>
      <c r="DG389" s="35"/>
      <c r="DH389" s="35"/>
      <c r="DI389" s="35"/>
      <c r="DJ389" s="35"/>
      <c r="DK389" s="35"/>
      <c r="DL389" s="35"/>
      <c r="DM389" s="35"/>
      <c r="DN389" s="35"/>
      <c r="DO389" s="35"/>
      <c r="DP389" s="35"/>
      <c r="DQ389" s="35"/>
      <c r="DR389" s="35"/>
      <c r="DS389" s="35"/>
      <c r="DT389" s="35"/>
      <c r="DU389" s="35"/>
      <c r="DV389" s="35"/>
      <c r="DW389" s="35"/>
      <c r="DX389" s="35"/>
      <c r="DY389" s="35"/>
      <c r="DZ389" s="35"/>
      <c r="EA389" s="35"/>
      <c r="EB389" s="35"/>
      <c r="EC389" s="35"/>
      <c r="ED389" s="35"/>
      <c r="EE389" s="35"/>
      <c r="EF389" s="35"/>
      <c r="EG389" s="35"/>
      <c r="EH389" s="35"/>
      <c r="EI389" s="35"/>
      <c r="EJ389" s="35"/>
      <c r="EK389" s="35"/>
      <c r="EL389" s="35"/>
      <c r="EM389" s="35">
        <v>1</v>
      </c>
      <c r="EN389" s="35"/>
      <c r="EO389" s="35"/>
      <c r="EP389" s="35"/>
      <c r="EQ389" s="35"/>
      <c r="ER389" s="35"/>
      <c r="ES389" s="35"/>
      <c r="ET389" s="35"/>
      <c r="EU389" s="35"/>
      <c r="EV389" s="35">
        <v>-2</v>
      </c>
      <c r="EW389" s="35"/>
      <c r="EX389" s="35"/>
      <c r="EY389" s="35"/>
      <c r="EZ389" s="35"/>
      <c r="FA389" s="35"/>
      <c r="FB389" s="35"/>
      <c r="FC389" s="35"/>
      <c r="FD389" s="35"/>
      <c r="FE389" s="35"/>
      <c r="FF389" s="35"/>
      <c r="FG389" s="35"/>
      <c r="FH389" s="35"/>
      <c r="FI389" s="35"/>
      <c r="FJ389" s="35"/>
      <c r="FK389" s="35"/>
      <c r="FL389" s="35"/>
      <c r="FM389" s="35"/>
      <c r="FN389" s="35"/>
      <c r="FO389" s="35"/>
      <c r="FP389" s="35"/>
      <c r="FQ389" s="35"/>
      <c r="FR389" s="35"/>
      <c r="FS389" s="35"/>
      <c r="FT389" s="35"/>
      <c r="FU389" s="35"/>
      <c r="FV389" s="35"/>
      <c r="FW389" s="35"/>
      <c r="FX389" s="35"/>
      <c r="FY389" s="35"/>
      <c r="FZ389" s="35"/>
      <c r="GA389" s="35"/>
      <c r="GB389" s="318"/>
      <c r="GC389" s="178">
        <f t="shared" si="70"/>
        <v>0</v>
      </c>
      <c r="GD389" s="178">
        <f t="shared" si="71"/>
        <v>0</v>
      </c>
      <c r="GE389" s="178">
        <f t="shared" si="72"/>
        <v>0</v>
      </c>
      <c r="GF389" s="178">
        <f t="shared" si="73"/>
        <v>0</v>
      </c>
      <c r="GG389" s="178">
        <f t="shared" si="69"/>
        <v>0</v>
      </c>
    </row>
    <row r="390" spans="1:189" x14ac:dyDescent="0.35">
      <c r="A390" s="6" t="s">
        <v>1604</v>
      </c>
      <c r="B390" s="6" t="str">
        <f>IF(Technologies!B390&lt;&gt;0,Technologies!B390,"")</f>
        <v>Industrie</v>
      </c>
      <c r="C390" s="6" t="str">
        <f>VLOOKUP($A390,Technologies!$A$7:$H$576,3,FALSE)</f>
        <v>Conversion</v>
      </c>
      <c r="D390" s="6" t="str">
        <f>VLOOKUP($A390,Technologies!$A$7:$H$576,4,FALSE)</f>
        <v>Hydrogen</v>
      </c>
      <c r="E390" s="6" t="str">
        <f>VLOOKUP($A390,Technologies!$A$7:$H$576,6,FALSE)</f>
        <v>Hydrogen HD</v>
      </c>
      <c r="F390" s="48" t="str">
        <f>VLOOKUP($A390,Technologies!$A$7:$H$576,7,FALSE)</f>
        <v>Alkaline Electrolyzer - Hydrogen Production</v>
      </c>
      <c r="G390" s="22"/>
      <c r="H390" s="22"/>
      <c r="I390" s="103" cm="1">
        <f t="array" ref="I390">-SUMPRODUCT((Feedstocks!$C$4:$C$141=A390)*Feedstocks!$E$4:$E$141,Feedstocks!$F$4:$F$141,Feedstocks!$H$4:$H$141,Feedstocks!$I$4:$I$141)</f>
        <v>0</v>
      </c>
      <c r="J390" s="103" cm="1">
        <f t="array" ref="J390">-SUMPRODUCT((Feedstocks!$C$4:$C$141=A390)*Feedstocks!$E$4:$E$141,Feedstocks!$H$4:$H$141,Feedstocks!$I$4:$I$141)</f>
        <v>0</v>
      </c>
      <c r="K390" s="103"/>
      <c r="L390" s="103"/>
      <c r="M390" s="22">
        <v>1</v>
      </c>
      <c r="N390" s="22" t="str">
        <f>VLOOKUP(E390,Activities!$A$9:$M$227,13,FALSE)</f>
        <v>NL</v>
      </c>
      <c r="O390" s="22"/>
      <c r="P390" s="80" t="s">
        <v>1830</v>
      </c>
      <c r="Q390" s="36"/>
      <c r="R390" s="36"/>
      <c r="S390" s="36"/>
      <c r="T390" s="36"/>
      <c r="U390" s="36"/>
      <c r="V390" s="36"/>
      <c r="W390" s="36"/>
      <c r="X390" s="36"/>
      <c r="Y390" s="36"/>
      <c r="Z390" s="36"/>
      <c r="AA390" s="36"/>
      <c r="AB390" s="36"/>
      <c r="AC390" s="36"/>
      <c r="AD390" s="36"/>
      <c r="AE390" s="36"/>
      <c r="AF390" s="35"/>
      <c r="AG390" s="35"/>
      <c r="AH390" s="35"/>
      <c r="AI390" s="35"/>
      <c r="AJ390" s="35"/>
      <c r="AK390" s="35"/>
      <c r="AL390" s="35"/>
      <c r="AM390" s="35"/>
      <c r="AN390" s="35"/>
      <c r="AO390" s="35"/>
      <c r="AP390" s="36"/>
      <c r="AQ390" s="36"/>
      <c r="AR390" s="36"/>
      <c r="AS390" s="36"/>
      <c r="AT390" s="36"/>
      <c r="AU390" s="36"/>
      <c r="AV390" s="36"/>
      <c r="AW390" s="36"/>
      <c r="AX390" s="36"/>
      <c r="AY390" s="36"/>
      <c r="AZ390" s="36"/>
      <c r="BA390" s="36"/>
      <c r="BB390" s="36"/>
      <c r="BC390" s="36"/>
      <c r="BD390" s="36"/>
      <c r="BE390" s="36"/>
      <c r="BF390" s="36"/>
      <c r="BG390" s="36"/>
      <c r="BH390" s="36"/>
      <c r="BI390" s="36"/>
      <c r="BJ390" s="36"/>
      <c r="BK390" s="36"/>
      <c r="BL390" s="36"/>
      <c r="BM390" s="36"/>
      <c r="BN390" s="36"/>
      <c r="BO390" s="36"/>
      <c r="BP390" s="36"/>
      <c r="BQ390" s="36"/>
      <c r="BR390" s="36"/>
      <c r="BS390" s="36"/>
      <c r="BT390" s="36"/>
      <c r="BU390" s="36"/>
      <c r="BV390" s="36"/>
      <c r="BW390" s="36"/>
      <c r="BX390" s="36"/>
      <c r="BY390" s="36"/>
      <c r="BZ390" s="36"/>
      <c r="CA390" s="36"/>
      <c r="CB390" s="36"/>
      <c r="CC390" s="36"/>
      <c r="CD390" s="36"/>
      <c r="CE390" s="36"/>
      <c r="CF390" s="36"/>
      <c r="CG390" s="36"/>
      <c r="CH390" s="36"/>
      <c r="CI390" s="36"/>
      <c r="CJ390" s="36"/>
      <c r="CK390" s="36"/>
      <c r="CL390" s="36"/>
      <c r="CM390" s="36"/>
      <c r="CN390" s="36"/>
      <c r="CO390" s="36"/>
      <c r="CP390" s="36"/>
      <c r="CQ390" s="36"/>
      <c r="CR390" s="36"/>
      <c r="CS390" s="36"/>
      <c r="CT390" s="36"/>
      <c r="CU390" s="36"/>
      <c r="CV390" s="36"/>
      <c r="CW390" s="36"/>
      <c r="CX390" s="36"/>
      <c r="CY390" s="36"/>
      <c r="CZ390" s="36"/>
      <c r="DA390" s="36"/>
      <c r="DB390" s="36"/>
      <c r="DC390" s="36"/>
      <c r="DD390" s="36"/>
      <c r="DE390" s="36"/>
      <c r="DF390" s="36"/>
      <c r="DG390" s="36"/>
      <c r="DH390" s="203">
        <f>-1/(19.1*120/3600)</f>
        <v>-1.5706806282722512</v>
      </c>
      <c r="DI390" s="36"/>
      <c r="DJ390" s="36"/>
      <c r="DK390" s="36"/>
      <c r="DL390" s="36"/>
      <c r="DM390" s="36"/>
      <c r="DN390" s="36"/>
      <c r="DO390" s="36"/>
      <c r="DP390" s="36"/>
      <c r="DQ390" s="36"/>
      <c r="DR390" s="36"/>
      <c r="DS390" s="36"/>
      <c r="DT390" s="36"/>
      <c r="DU390" s="36"/>
      <c r="DV390" s="36"/>
      <c r="DW390" s="36"/>
      <c r="DX390" s="36"/>
      <c r="DY390" s="36"/>
      <c r="DZ390" s="36"/>
      <c r="EA390" s="36"/>
      <c r="EB390" s="36"/>
      <c r="EC390" s="36"/>
      <c r="ED390" s="36"/>
      <c r="EE390" s="36"/>
      <c r="EF390" s="36"/>
      <c r="EG390" s="36"/>
      <c r="EH390" s="36"/>
      <c r="EI390" s="36"/>
      <c r="EJ390" s="36"/>
      <c r="EK390" s="36"/>
      <c r="EL390" s="36"/>
      <c r="EM390" s="36">
        <v>1</v>
      </c>
      <c r="EN390" s="36"/>
      <c r="EO390" s="36">
        <v>1</v>
      </c>
      <c r="EP390" s="36"/>
      <c r="EQ390" s="36"/>
      <c r="ER390" s="36"/>
      <c r="ES390" s="36"/>
      <c r="ET390" s="36"/>
      <c r="EU390" s="36"/>
      <c r="EV390" s="36"/>
      <c r="EW390" s="36"/>
      <c r="EX390" s="36"/>
      <c r="EY390" s="36"/>
      <c r="EZ390" s="36"/>
      <c r="FA390" s="36"/>
      <c r="FB390" s="36"/>
      <c r="FC390" s="36"/>
      <c r="FD390" s="36"/>
      <c r="FE390" s="36"/>
      <c r="FF390" s="36"/>
      <c r="FG390" s="36"/>
      <c r="FH390" s="36"/>
      <c r="FI390" s="36"/>
      <c r="FJ390" s="36"/>
      <c r="FK390" s="36"/>
      <c r="FL390" s="36"/>
      <c r="FM390" s="36"/>
      <c r="FN390" s="36"/>
      <c r="FO390" s="36"/>
      <c r="FP390" s="36"/>
      <c r="FQ390" s="36"/>
      <c r="FR390" s="36"/>
      <c r="FS390" s="36"/>
      <c r="FT390" s="36"/>
      <c r="FU390" s="36"/>
      <c r="FV390" s="36"/>
      <c r="FW390" s="36"/>
      <c r="FX390" s="36"/>
      <c r="FY390" s="36"/>
      <c r="FZ390" s="36"/>
      <c r="GA390" s="36"/>
      <c r="GB390" s="319"/>
      <c r="GC390" s="179">
        <f t="shared" si="70"/>
        <v>0</v>
      </c>
      <c r="GD390" s="179">
        <f t="shared" si="71"/>
        <v>0</v>
      </c>
      <c r="GE390" s="179">
        <f t="shared" si="72"/>
        <v>0</v>
      </c>
      <c r="GF390" s="179">
        <f t="shared" si="73"/>
        <v>0</v>
      </c>
      <c r="GG390" s="179">
        <f t="shared" si="69"/>
        <v>0</v>
      </c>
    </row>
    <row r="391" spans="1:189" x14ac:dyDescent="0.35">
      <c r="A391" s="5" t="s">
        <v>1608</v>
      </c>
      <c r="B391" s="5" t="str">
        <f>IF(Technologies!B391&lt;&gt;0,Technologies!B391,"")</f>
        <v>Industrie</v>
      </c>
      <c r="C391" s="5" t="str">
        <f>VLOOKUP($A391,Technologies!$A$7:$H$576,3,FALSE)</f>
        <v>Conversion</v>
      </c>
      <c r="D391" s="5" t="str">
        <f>VLOOKUP($A391,Technologies!$A$7:$H$576,4,FALSE)</f>
        <v>Hydrogen</v>
      </c>
      <c r="E391" s="5" t="str">
        <f>VLOOKUP($A391,Technologies!$A$7:$H$576,6,FALSE)</f>
        <v>Hydrogen HD</v>
      </c>
      <c r="F391" s="5" t="str">
        <f>VLOOKUP($A391,Technologies!$A$7:$H$576,7,FALSE)</f>
        <v>PEM Electrolyzer - Hydrogen Production</v>
      </c>
      <c r="G391" s="23"/>
      <c r="H391" s="23"/>
      <c r="I391" s="104" cm="1">
        <f t="array" ref="I391">-SUMPRODUCT((Feedstocks!$C$4:$C$141=A391)*Feedstocks!$E$4:$E$141,Feedstocks!$F$4:$F$141,Feedstocks!$H$4:$H$141,Feedstocks!$I$4:$I$141)</f>
        <v>0</v>
      </c>
      <c r="J391" s="104" cm="1">
        <f t="array" ref="J391">-SUMPRODUCT((Feedstocks!$C$4:$C$141=A391)*Feedstocks!$E$4:$E$141,Feedstocks!$H$4:$H$141,Feedstocks!$I$4:$I$141)</f>
        <v>0</v>
      </c>
      <c r="K391" s="104"/>
      <c r="L391" s="104"/>
      <c r="M391" s="23">
        <v>1</v>
      </c>
      <c r="N391" s="23" t="str">
        <f>VLOOKUP(E391,Activities!$A$9:$M$227,13,FALSE)</f>
        <v>NL</v>
      </c>
      <c r="O391" s="23"/>
      <c r="P391" s="79" t="s">
        <v>1610</v>
      </c>
      <c r="Q391" s="35"/>
      <c r="R391" s="35"/>
      <c r="S391" s="35"/>
      <c r="T391" s="35"/>
      <c r="U391" s="35"/>
      <c r="V391" s="35"/>
      <c r="W391" s="35"/>
      <c r="X391" s="35"/>
      <c r="Y391" s="35"/>
      <c r="Z391" s="35"/>
      <c r="AA391" s="35"/>
      <c r="AB391" s="35"/>
      <c r="AC391" s="35"/>
      <c r="AD391" s="35"/>
      <c r="AE391" s="35"/>
      <c r="AF391" s="36"/>
      <c r="AG391" s="36"/>
      <c r="AH391" s="36"/>
      <c r="AI391" s="36"/>
      <c r="AJ391" s="36"/>
      <c r="AK391" s="36"/>
      <c r="AL391" s="36"/>
      <c r="AM391" s="36"/>
      <c r="AN391" s="36"/>
      <c r="AO391" s="36"/>
      <c r="AP391" s="35"/>
      <c r="AQ391" s="35"/>
      <c r="AR391" s="35"/>
      <c r="AS391" s="35"/>
      <c r="AT391" s="35"/>
      <c r="AU391" s="35"/>
      <c r="AV391" s="35"/>
      <c r="AW391" s="35"/>
      <c r="AX391" s="35"/>
      <c r="AY391" s="35"/>
      <c r="AZ391" s="35"/>
      <c r="BA391" s="35"/>
      <c r="BB391" s="35"/>
      <c r="BC391" s="35"/>
      <c r="BD391" s="35"/>
      <c r="BE391" s="35"/>
      <c r="BF391" s="35"/>
      <c r="BG391" s="35"/>
      <c r="BH391" s="35"/>
      <c r="BI391" s="35"/>
      <c r="BJ391" s="35"/>
      <c r="BK391" s="35"/>
      <c r="BL391" s="35"/>
      <c r="BM391" s="35"/>
      <c r="BN391" s="35"/>
      <c r="BO391" s="35"/>
      <c r="BP391" s="35"/>
      <c r="BQ391" s="35"/>
      <c r="BR391" s="35"/>
      <c r="BS391" s="35"/>
      <c r="BT391" s="35"/>
      <c r="BU391" s="35"/>
      <c r="BV391" s="35"/>
      <c r="BW391" s="35"/>
      <c r="BX391" s="35"/>
      <c r="BY391" s="35"/>
      <c r="BZ391" s="35"/>
      <c r="CA391" s="35"/>
      <c r="CB391" s="35"/>
      <c r="CC391" s="35"/>
      <c r="CD391" s="35"/>
      <c r="CE391" s="35"/>
      <c r="CF391" s="35"/>
      <c r="CG391" s="35"/>
      <c r="CH391" s="35"/>
      <c r="CI391" s="35"/>
      <c r="CJ391" s="35"/>
      <c r="CK391" s="35"/>
      <c r="CL391" s="35"/>
      <c r="CM391" s="35"/>
      <c r="CN391" s="35"/>
      <c r="CO391" s="35"/>
      <c r="CP391" s="35"/>
      <c r="CQ391" s="35"/>
      <c r="CR391" s="35"/>
      <c r="CS391" s="35"/>
      <c r="CT391" s="35"/>
      <c r="CU391" s="35"/>
      <c r="CV391" s="35"/>
      <c r="CW391" s="35"/>
      <c r="CX391" s="35"/>
      <c r="CY391" s="35"/>
      <c r="CZ391" s="35"/>
      <c r="DA391" s="35"/>
      <c r="DB391" s="35"/>
      <c r="DC391" s="35"/>
      <c r="DD391" s="35"/>
      <c r="DE391" s="35"/>
      <c r="DF391" s="35"/>
      <c r="DG391" s="35"/>
      <c r="DH391" s="203">
        <f>-1/(17.8*120/3600)</f>
        <v>-1.6853932584269662</v>
      </c>
      <c r="DI391" s="35"/>
      <c r="DJ391" s="35"/>
      <c r="DK391" s="35"/>
      <c r="DL391" s="35"/>
      <c r="DM391" s="35"/>
      <c r="DN391" s="35"/>
      <c r="DO391" s="35"/>
      <c r="DP391" s="35"/>
      <c r="DQ391" s="35"/>
      <c r="DR391" s="35"/>
      <c r="DS391" s="35"/>
      <c r="DT391" s="35"/>
      <c r="DU391" s="35"/>
      <c r="DV391" s="35"/>
      <c r="DW391" s="35"/>
      <c r="DX391" s="35"/>
      <c r="DY391" s="35"/>
      <c r="DZ391" s="35"/>
      <c r="EA391" s="35"/>
      <c r="EB391" s="35"/>
      <c r="EC391" s="35"/>
      <c r="ED391" s="35"/>
      <c r="EE391" s="35"/>
      <c r="EF391" s="35"/>
      <c r="EG391" s="35"/>
      <c r="EH391" s="35"/>
      <c r="EI391" s="35"/>
      <c r="EJ391" s="35"/>
      <c r="EK391" s="35"/>
      <c r="EL391" s="35"/>
      <c r="EM391" s="35">
        <v>1</v>
      </c>
      <c r="EN391" s="35"/>
      <c r="EO391" s="35">
        <v>1</v>
      </c>
      <c r="EP391" s="35"/>
      <c r="EQ391" s="35"/>
      <c r="ER391" s="35"/>
      <c r="ES391" s="35"/>
      <c r="ET391" s="35"/>
      <c r="EU391" s="35"/>
      <c r="EV391" s="35"/>
      <c r="EW391" s="35"/>
      <c r="EX391" s="35"/>
      <c r="EY391" s="35"/>
      <c r="EZ391" s="35"/>
      <c r="FA391" s="35"/>
      <c r="FB391" s="35"/>
      <c r="FC391" s="35"/>
      <c r="FD391" s="35"/>
      <c r="FE391" s="35"/>
      <c r="FF391" s="35"/>
      <c r="FG391" s="35"/>
      <c r="FH391" s="35"/>
      <c r="FI391" s="35"/>
      <c r="FJ391" s="35"/>
      <c r="FK391" s="35"/>
      <c r="FL391" s="35"/>
      <c r="FM391" s="35"/>
      <c r="FN391" s="35"/>
      <c r="FO391" s="35"/>
      <c r="FP391" s="35"/>
      <c r="FQ391" s="35"/>
      <c r="FR391" s="35"/>
      <c r="FS391" s="35"/>
      <c r="FT391" s="35"/>
      <c r="FU391" s="35"/>
      <c r="FV391" s="35"/>
      <c r="FW391" s="35"/>
      <c r="FX391" s="35"/>
      <c r="FY391" s="35"/>
      <c r="FZ391" s="35"/>
      <c r="GA391" s="35"/>
      <c r="GB391" s="318"/>
      <c r="GC391" s="178">
        <f t="shared" si="70"/>
        <v>0</v>
      </c>
      <c r="GD391" s="178">
        <f t="shared" si="71"/>
        <v>0</v>
      </c>
      <c r="GE391" s="178">
        <f t="shared" si="72"/>
        <v>0</v>
      </c>
      <c r="GF391" s="178">
        <f t="shared" si="73"/>
        <v>0</v>
      </c>
      <c r="GG391" s="178">
        <f t="shared" si="69"/>
        <v>0</v>
      </c>
    </row>
    <row r="392" spans="1:189" x14ac:dyDescent="0.35">
      <c r="A392" s="6" t="s">
        <v>1611</v>
      </c>
      <c r="B392" s="6" t="str">
        <f>IF(Technologies!B392&lt;&gt;0,Technologies!B392,"")</f>
        <v>Industrie</v>
      </c>
      <c r="C392" s="6" t="str">
        <f>VLOOKUP($A392,Technologies!$A$7:$H$576,3,FALSE)</f>
        <v>Conversion</v>
      </c>
      <c r="D392" s="6" t="str">
        <f>VLOOKUP($A392,Technologies!$A$7:$H$576,4,FALSE)</f>
        <v>Hydrogen</v>
      </c>
      <c r="E392" s="6" t="str">
        <f>VLOOKUP($A392,Technologies!$A$7:$H$576,6,FALSE)</f>
        <v>Hydrogen HD</v>
      </c>
      <c r="F392" s="48" t="str">
        <f>VLOOKUP($A392,Technologies!$A$7:$H$576,7,FALSE)</f>
        <v>Solid Oxide Electrolyzer - Hydrogen Production</v>
      </c>
      <c r="G392" s="22"/>
      <c r="H392" s="22"/>
      <c r="I392" s="103" cm="1">
        <f t="array" ref="I392">-SUMPRODUCT((Feedstocks!$C$4:$C$141=A392)*Feedstocks!$E$4:$E$141,Feedstocks!$F$4:$F$141,Feedstocks!$H$4:$H$141,Feedstocks!$I$4:$I$141)</f>
        <v>0</v>
      </c>
      <c r="J392" s="103" cm="1">
        <f t="array" ref="J392">-SUMPRODUCT((Feedstocks!$C$4:$C$141=A392)*Feedstocks!$E$4:$E$141,Feedstocks!$H$4:$H$141,Feedstocks!$I$4:$I$141)</f>
        <v>0</v>
      </c>
      <c r="K392" s="103"/>
      <c r="L392" s="103"/>
      <c r="M392" s="22">
        <v>1</v>
      </c>
      <c r="N392" s="22" t="str">
        <f>VLOOKUP(E392,Activities!$A$9:$M$227,13,FALSE)</f>
        <v>NL</v>
      </c>
      <c r="O392" s="22"/>
      <c r="P392" s="80" t="s">
        <v>1613</v>
      </c>
      <c r="Q392" s="36"/>
      <c r="R392" s="36"/>
      <c r="S392" s="36"/>
      <c r="T392" s="36"/>
      <c r="U392" s="36"/>
      <c r="V392" s="36"/>
      <c r="W392" s="36"/>
      <c r="X392" s="36"/>
      <c r="Y392" s="36"/>
      <c r="Z392" s="36"/>
      <c r="AA392" s="36"/>
      <c r="AB392" s="36"/>
      <c r="AC392" s="36"/>
      <c r="AD392" s="36"/>
      <c r="AE392" s="36"/>
      <c r="AF392" s="35"/>
      <c r="AG392" s="35"/>
      <c r="AH392" s="35"/>
      <c r="AI392" s="35"/>
      <c r="AJ392" s="35"/>
      <c r="AK392" s="35"/>
      <c r="AL392" s="35"/>
      <c r="AM392" s="35"/>
      <c r="AN392" s="35"/>
      <c r="AO392" s="35"/>
      <c r="AP392" s="36"/>
      <c r="AQ392" s="36"/>
      <c r="AR392" s="36"/>
      <c r="AS392" s="36"/>
      <c r="AT392" s="36"/>
      <c r="AU392" s="36"/>
      <c r="AV392" s="36"/>
      <c r="AW392" s="36"/>
      <c r="AX392" s="36"/>
      <c r="AY392" s="36"/>
      <c r="AZ392" s="36"/>
      <c r="BA392" s="36"/>
      <c r="BB392" s="36"/>
      <c r="BC392" s="36"/>
      <c r="BD392" s="36"/>
      <c r="BE392" s="36"/>
      <c r="BF392" s="36"/>
      <c r="BG392" s="36"/>
      <c r="BH392" s="36"/>
      <c r="BI392" s="36"/>
      <c r="BJ392" s="36"/>
      <c r="BK392" s="36"/>
      <c r="BL392" s="36"/>
      <c r="BM392" s="36"/>
      <c r="BN392" s="36"/>
      <c r="BO392" s="36"/>
      <c r="BP392" s="36"/>
      <c r="BQ392" s="36"/>
      <c r="BR392" s="36"/>
      <c r="BS392" s="36"/>
      <c r="BT392" s="36"/>
      <c r="BU392" s="36"/>
      <c r="BV392" s="36"/>
      <c r="BW392" s="36"/>
      <c r="BX392" s="36"/>
      <c r="BY392" s="36"/>
      <c r="BZ392" s="36"/>
      <c r="CA392" s="36"/>
      <c r="CB392" s="36"/>
      <c r="CC392" s="36"/>
      <c r="CD392" s="36"/>
      <c r="CE392" s="36"/>
      <c r="CF392" s="36"/>
      <c r="CG392" s="36"/>
      <c r="CH392" s="36"/>
      <c r="CI392" s="36"/>
      <c r="CJ392" s="36"/>
      <c r="CK392" s="36"/>
      <c r="CL392" s="36"/>
      <c r="CM392" s="36"/>
      <c r="CN392" s="36"/>
      <c r="CO392" s="36"/>
      <c r="CP392" s="36"/>
      <c r="CQ392" s="36"/>
      <c r="CR392" s="36"/>
      <c r="CS392" s="36"/>
      <c r="CT392" s="36"/>
      <c r="CU392" s="36"/>
      <c r="CV392" s="36"/>
      <c r="CW392" s="36"/>
      <c r="CX392" s="36"/>
      <c r="CY392" s="36"/>
      <c r="CZ392" s="36"/>
      <c r="DA392" s="36"/>
      <c r="DB392" s="36"/>
      <c r="DC392" s="36"/>
      <c r="DD392" s="36"/>
      <c r="DE392" s="36"/>
      <c r="DF392" s="36"/>
      <c r="DG392" s="36"/>
      <c r="DH392" s="203">
        <f>-1/0.823*0.795</f>
        <v>-0.965978128797084</v>
      </c>
      <c r="DI392" s="36"/>
      <c r="DJ392" s="36"/>
      <c r="DK392" s="36"/>
      <c r="DL392" s="36"/>
      <c r="DM392" s="36"/>
      <c r="DN392" s="36"/>
      <c r="DO392" s="203">
        <f>-1/0.823*0.205</f>
        <v>-0.24908869987849333</v>
      </c>
      <c r="DP392" s="36"/>
      <c r="DQ392" s="36"/>
      <c r="DR392" s="36"/>
      <c r="DS392" s="36"/>
      <c r="DT392" s="36"/>
      <c r="DU392" s="36"/>
      <c r="DV392" s="36"/>
      <c r="DW392" s="36"/>
      <c r="DX392" s="36"/>
      <c r="DY392" s="36"/>
      <c r="DZ392" s="36"/>
      <c r="EA392" s="36"/>
      <c r="EB392" s="36"/>
      <c r="EC392" s="36"/>
      <c r="ED392" s="36"/>
      <c r="EE392" s="36"/>
      <c r="EF392" s="36"/>
      <c r="EG392" s="36"/>
      <c r="EH392" s="36"/>
      <c r="EI392" s="36"/>
      <c r="EJ392" s="36"/>
      <c r="EK392" s="36"/>
      <c r="EL392" s="36"/>
      <c r="EM392" s="36">
        <v>1</v>
      </c>
      <c r="EN392" s="36"/>
      <c r="EO392" s="36">
        <v>1</v>
      </c>
      <c r="EP392" s="36"/>
      <c r="EQ392" s="36"/>
      <c r="ER392" s="36"/>
      <c r="ES392" s="36"/>
      <c r="ET392" s="36"/>
      <c r="EU392" s="36"/>
      <c r="EV392" s="36"/>
      <c r="EW392" s="36"/>
      <c r="EX392" s="36"/>
      <c r="EY392" s="36"/>
      <c r="EZ392" s="36"/>
      <c r="FA392" s="36"/>
      <c r="FB392" s="36"/>
      <c r="FC392" s="36"/>
      <c r="FD392" s="36"/>
      <c r="FE392" s="36"/>
      <c r="FF392" s="36"/>
      <c r="FG392" s="36"/>
      <c r="FH392" s="36"/>
      <c r="FI392" s="36"/>
      <c r="FJ392" s="36"/>
      <c r="FK392" s="36"/>
      <c r="FL392" s="36"/>
      <c r="FM392" s="36"/>
      <c r="FN392" s="36"/>
      <c r="FO392" s="36"/>
      <c r="FP392" s="36"/>
      <c r="FQ392" s="36"/>
      <c r="FR392" s="36"/>
      <c r="FS392" s="36"/>
      <c r="FT392" s="36"/>
      <c r="FU392" s="36"/>
      <c r="FV392" s="36"/>
      <c r="FW392" s="36"/>
      <c r="FX392" s="36"/>
      <c r="FY392" s="36"/>
      <c r="FZ392" s="36"/>
      <c r="GA392" s="36"/>
      <c r="GB392" s="319"/>
      <c r="GC392" s="179">
        <f t="shared" si="70"/>
        <v>0</v>
      </c>
      <c r="GD392" s="179">
        <f t="shared" si="71"/>
        <v>0</v>
      </c>
      <c r="GE392" s="179">
        <f t="shared" si="72"/>
        <v>0</v>
      </c>
      <c r="GF392" s="179">
        <f t="shared" si="73"/>
        <v>0</v>
      </c>
      <c r="GG392" s="179">
        <f t="shared" si="69"/>
        <v>0</v>
      </c>
    </row>
    <row r="393" spans="1:189" x14ac:dyDescent="0.35">
      <c r="A393" s="6" t="s">
        <v>1614</v>
      </c>
      <c r="B393" s="6" t="str">
        <f>IF(Technologies!B393&lt;&gt;0,Technologies!B393,"")</f>
        <v>Industrie</v>
      </c>
      <c r="C393" s="6" t="str">
        <f>VLOOKUP($A393,Technologies!$A$7:$H$576,3,FALSE)</f>
        <v>Conversion</v>
      </c>
      <c r="D393" s="6" t="str">
        <f>VLOOKUP($A393,Technologies!$A$7:$H$576,4,FALSE)</f>
        <v>Hydrogen</v>
      </c>
      <c r="E393" s="6" t="str">
        <f>VLOOKUP($A393,Technologies!$A$7:$H$576,6,FALSE)</f>
        <v>Hydrogen HD</v>
      </c>
      <c r="F393" s="48" t="str">
        <f>VLOOKUP($A393,Technologies!$A$7:$H$576,7,FALSE)</f>
        <v>eSMR with CC - Hydrogen Production</v>
      </c>
      <c r="G393" s="22">
        <f>(0.060230133/SUM(0.000898957,0.060230133))</f>
        <v>0.98529412101505198</v>
      </c>
      <c r="H393" s="22"/>
      <c r="I393" s="103"/>
      <c r="J393" s="103"/>
      <c r="K393" s="103"/>
      <c r="L393" s="103"/>
      <c r="M393" s="22">
        <v>1</v>
      </c>
      <c r="N393" s="22" t="s">
        <v>320</v>
      </c>
      <c r="O393" s="22"/>
      <c r="P393" s="79" t="s">
        <v>792</v>
      </c>
      <c r="Q393" s="36"/>
      <c r="R393" s="36"/>
      <c r="S393" s="36"/>
      <c r="T393" s="36"/>
      <c r="U393" s="36"/>
      <c r="V393" s="36"/>
      <c r="W393" s="36"/>
      <c r="X393" s="36"/>
      <c r="Y393" s="36"/>
      <c r="Z393" s="36"/>
      <c r="AA393" s="36"/>
      <c r="AB393" s="36"/>
      <c r="AC393" s="36"/>
      <c r="AD393" s="36"/>
      <c r="AE393" s="36"/>
      <c r="AF393" s="35"/>
      <c r="AG393" s="35"/>
      <c r="AH393" s="35"/>
      <c r="AI393" s="35"/>
      <c r="AJ393" s="35"/>
      <c r="AK393" s="35"/>
      <c r="AL393" s="35"/>
      <c r="AM393" s="35"/>
      <c r="AN393" s="35"/>
      <c r="AO393" s="35"/>
      <c r="AP393" s="36"/>
      <c r="AQ393" s="36"/>
      <c r="AR393" s="36"/>
      <c r="AS393" s="36"/>
      <c r="AT393" s="36"/>
      <c r="AU393" s="36"/>
      <c r="AV393" s="36"/>
      <c r="AW393" s="36"/>
      <c r="AX393" s="36"/>
      <c r="AY393" s="36"/>
      <c r="AZ393" s="36"/>
      <c r="BA393" s="36"/>
      <c r="BB393" s="36"/>
      <c r="BC393" s="36"/>
      <c r="BD393" s="36"/>
      <c r="BE393" s="36"/>
      <c r="BF393" s="36"/>
      <c r="BG393" s="36"/>
      <c r="BH393" s="36"/>
      <c r="BI393" s="36"/>
      <c r="BJ393" s="36"/>
      <c r="BK393" s="36"/>
      <c r="BL393" s="36"/>
      <c r="BM393" s="36"/>
      <c r="BN393" s="36"/>
      <c r="BO393" s="36"/>
      <c r="BP393" s="36"/>
      <c r="BQ393" s="36"/>
      <c r="BR393" s="36"/>
      <c r="BS393" s="36"/>
      <c r="BT393" s="36"/>
      <c r="BU393" s="36"/>
      <c r="BV393" s="36"/>
      <c r="BW393" s="36"/>
      <c r="BX393" s="36"/>
      <c r="BY393" s="36"/>
      <c r="BZ393" s="36"/>
      <c r="CA393" s="36"/>
      <c r="CB393" s="36"/>
      <c r="CC393" s="36"/>
      <c r="CD393" s="36"/>
      <c r="CE393" s="36"/>
      <c r="CF393" s="36"/>
      <c r="CG393" s="36"/>
      <c r="CH393" s="36"/>
      <c r="CI393" s="36"/>
      <c r="CJ393" s="36"/>
      <c r="CK393" s="36"/>
      <c r="CL393" s="36"/>
      <c r="CM393" s="36"/>
      <c r="CN393" s="36"/>
      <c r="CO393" s="36"/>
      <c r="CP393" s="36"/>
      <c r="CQ393" s="36"/>
      <c r="CR393" s="36"/>
      <c r="CS393" s="36"/>
      <c r="CT393" s="36"/>
      <c r="CU393" s="36"/>
      <c r="CV393" s="36"/>
      <c r="CW393" s="36"/>
      <c r="CX393" s="36"/>
      <c r="CY393" s="36"/>
      <c r="CZ393" s="36"/>
      <c r="DA393" s="36"/>
      <c r="DB393" s="36"/>
      <c r="DC393" s="36"/>
      <c r="DD393" s="36"/>
      <c r="DE393" s="36"/>
      <c r="DF393" s="36"/>
      <c r="DG393" s="36"/>
      <c r="DH393" s="203">
        <f>-0.293</f>
        <v>-0.29299999999999998</v>
      </c>
      <c r="DI393" s="36"/>
      <c r="DJ393" s="36"/>
      <c r="DK393" s="36"/>
      <c r="DL393" s="36"/>
      <c r="DM393" s="36"/>
      <c r="DN393" s="36"/>
      <c r="DO393" s="203"/>
      <c r="DP393" s="36"/>
      <c r="DQ393" s="36"/>
      <c r="DR393" s="36"/>
      <c r="DS393" s="36"/>
      <c r="DT393" s="36"/>
      <c r="DU393" s="36"/>
      <c r="DV393" s="36"/>
      <c r="DW393" s="36"/>
      <c r="DX393" s="36"/>
      <c r="DY393" s="36"/>
      <c r="DZ393" s="36"/>
      <c r="EA393" s="36"/>
      <c r="EB393" s="36"/>
      <c r="EC393" s="36"/>
      <c r="ED393" s="36"/>
      <c r="EE393" s="36"/>
      <c r="EF393" s="36"/>
      <c r="EG393" s="36"/>
      <c r="EH393" s="36"/>
      <c r="EI393" s="36"/>
      <c r="EJ393" s="36">
        <f>-1.0788</f>
        <v>-1.0788</v>
      </c>
      <c r="EK393" s="36"/>
      <c r="EL393" s="36"/>
      <c r="EM393" s="36">
        <v>1</v>
      </c>
      <c r="EN393" s="36"/>
      <c r="EO393" s="36"/>
      <c r="EP393" s="36"/>
      <c r="EQ393" s="36"/>
      <c r="ER393" s="36"/>
      <c r="ES393" s="36"/>
      <c r="ET393" s="36"/>
      <c r="EU393" s="36"/>
      <c r="EV393" s="36"/>
      <c r="EW393" s="36"/>
      <c r="EX393" s="36"/>
      <c r="EY393" s="36"/>
      <c r="EZ393" s="36"/>
      <c r="FA393" s="36"/>
      <c r="FB393" s="36"/>
      <c r="FC393" s="36"/>
      <c r="FD393" s="36"/>
      <c r="FE393" s="36"/>
      <c r="FF393" s="36"/>
      <c r="FG393" s="36"/>
      <c r="FH393" s="36"/>
      <c r="FI393" s="36"/>
      <c r="FJ393" s="36"/>
      <c r="FK393" s="36"/>
      <c r="FL393" s="36"/>
      <c r="FM393" s="36"/>
      <c r="FN393" s="36"/>
      <c r="FO393" s="36"/>
      <c r="FP393" s="36"/>
      <c r="FQ393" s="36"/>
      <c r="FR393" s="36"/>
      <c r="FS393" s="36"/>
      <c r="FT393" s="36"/>
      <c r="FU393" s="36"/>
      <c r="FV393" s="36"/>
      <c r="FW393" s="36"/>
      <c r="FX393" s="36"/>
      <c r="FY393" s="36"/>
      <c r="FZ393" s="36"/>
      <c r="GA393" s="36"/>
      <c r="GB393" s="319"/>
      <c r="GC393" s="179">
        <f t="shared" si="70"/>
        <v>6.0199999999999997E-2</v>
      </c>
      <c r="GD393" s="179">
        <f t="shared" si="71"/>
        <v>8.9999999999999998E-4</v>
      </c>
      <c r="GE393" s="179">
        <f t="shared" si="72"/>
        <v>0</v>
      </c>
      <c r="GF393" s="179">
        <f t="shared" si="73"/>
        <v>0</v>
      </c>
      <c r="GG393" s="179">
        <f t="shared" si="69"/>
        <v>0</v>
      </c>
    </row>
    <row r="394" spans="1:189" x14ac:dyDescent="0.35">
      <c r="A394" s="5" t="s">
        <v>1616</v>
      </c>
      <c r="B394" s="5" t="str">
        <f>IF(Technologies!B394&lt;&gt;0,Technologies!B394,"")</f>
        <v>Industrie</v>
      </c>
      <c r="C394" s="5" t="str">
        <f>VLOOKUP($A394,Technologies!$A$7:$H$576,3,FALSE)</f>
        <v>Conversion</v>
      </c>
      <c r="D394" s="5" t="str">
        <f>VLOOKUP($A394,Technologies!$A$7:$H$576,4,FALSE)</f>
        <v>Hydrogen</v>
      </c>
      <c r="E394" s="5" t="str">
        <f>VLOOKUP($A394,Technologies!$A$7:$H$576,6,FALSE)</f>
        <v>Hydrogen HD</v>
      </c>
      <c r="F394" s="5" t="str">
        <f>VLOOKUP($A394,Technologies!$A$7:$H$576,7,FALSE)</f>
        <v>Small scale storage buffer - Hydrogen Production</v>
      </c>
      <c r="G394" s="23"/>
      <c r="H394" s="23"/>
      <c r="I394" s="104" cm="1">
        <f t="array" ref="I394">-SUMPRODUCT((Feedstocks!$C$4:$C$141=A394)*Feedstocks!$E$4:$E$141,Feedstocks!$F$4:$F$141,Feedstocks!$H$4:$H$141,Feedstocks!$I$4:$I$141)</f>
        <v>0</v>
      </c>
      <c r="J394" s="104" cm="1">
        <f t="array" ref="J394">-SUMPRODUCT((Feedstocks!$C$4:$C$141=A394)*Feedstocks!$E$4:$E$141,Feedstocks!$H$4:$H$141,Feedstocks!$I$4:$I$141)</f>
        <v>0</v>
      </c>
      <c r="K394" s="104"/>
      <c r="L394" s="104"/>
      <c r="M394" s="23">
        <v>1</v>
      </c>
      <c r="N394" s="23" t="str">
        <f>VLOOKUP(E394,Activities!$A$9:$M$227,13,FALSE)</f>
        <v>NL</v>
      </c>
      <c r="O394" s="23"/>
      <c r="P394" s="79" t="s">
        <v>415</v>
      </c>
      <c r="Q394" s="35"/>
      <c r="R394" s="35"/>
      <c r="S394" s="35"/>
      <c r="T394" s="35"/>
      <c r="U394" s="35"/>
      <c r="V394" s="35"/>
      <c r="W394" s="35"/>
      <c r="X394" s="35"/>
      <c r="Y394" s="35"/>
      <c r="Z394" s="35"/>
      <c r="AA394" s="35"/>
      <c r="AB394" s="35"/>
      <c r="AC394" s="35"/>
      <c r="AD394" s="35"/>
      <c r="AE394" s="35"/>
      <c r="AF394" s="36"/>
      <c r="AG394" s="36"/>
      <c r="AH394" s="36"/>
      <c r="AI394" s="36"/>
      <c r="AJ394" s="36"/>
      <c r="AK394" s="36"/>
      <c r="AL394" s="36"/>
      <c r="AM394" s="36"/>
      <c r="AN394" s="36"/>
      <c r="AO394" s="36"/>
      <c r="AP394" s="35"/>
      <c r="AQ394" s="35"/>
      <c r="AR394" s="35"/>
      <c r="AS394" s="35"/>
      <c r="AT394" s="35"/>
      <c r="AU394" s="35"/>
      <c r="AV394" s="35"/>
      <c r="AW394" s="35"/>
      <c r="AX394" s="35"/>
      <c r="AY394" s="35"/>
      <c r="AZ394" s="35"/>
      <c r="BA394" s="35"/>
      <c r="BB394" s="35"/>
      <c r="BC394" s="35"/>
      <c r="BD394" s="35"/>
      <c r="BE394" s="35"/>
      <c r="BF394" s="35"/>
      <c r="BG394" s="35"/>
      <c r="BH394" s="35"/>
      <c r="BI394" s="35"/>
      <c r="BJ394" s="35"/>
      <c r="BK394" s="35"/>
      <c r="BL394" s="35"/>
      <c r="BM394" s="35"/>
      <c r="BN394" s="35"/>
      <c r="BO394" s="35"/>
      <c r="BP394" s="35"/>
      <c r="BQ394" s="35"/>
      <c r="BR394" s="35"/>
      <c r="BS394" s="35"/>
      <c r="BT394" s="35"/>
      <c r="BU394" s="35"/>
      <c r="BV394" s="35"/>
      <c r="BW394" s="35"/>
      <c r="BX394" s="35"/>
      <c r="BY394" s="35"/>
      <c r="BZ394" s="35"/>
      <c r="CA394" s="35"/>
      <c r="CB394" s="35"/>
      <c r="CC394" s="35"/>
      <c r="CD394" s="35"/>
      <c r="CE394" s="35"/>
      <c r="CF394" s="35"/>
      <c r="CG394" s="35"/>
      <c r="CH394" s="35"/>
      <c r="CI394" s="35"/>
      <c r="CJ394" s="35"/>
      <c r="CK394" s="35"/>
      <c r="CL394" s="35"/>
      <c r="CM394" s="35"/>
      <c r="CN394" s="35"/>
      <c r="CO394" s="35"/>
      <c r="CP394" s="35"/>
      <c r="CQ394" s="35"/>
      <c r="CR394" s="35"/>
      <c r="CS394" s="35"/>
      <c r="CT394" s="35"/>
      <c r="CU394" s="35"/>
      <c r="CV394" s="35"/>
      <c r="CW394" s="35"/>
      <c r="CX394" s="35"/>
      <c r="CY394" s="35"/>
      <c r="CZ394" s="35"/>
      <c r="DA394" s="35"/>
      <c r="DB394" s="35"/>
      <c r="DC394" s="35"/>
      <c r="DD394" s="35"/>
      <c r="DE394" s="35"/>
      <c r="DF394" s="35"/>
      <c r="DG394" s="35"/>
      <c r="DH394" s="35"/>
      <c r="DI394" s="35"/>
      <c r="DJ394" s="35"/>
      <c r="DK394" s="35"/>
      <c r="DL394" s="35"/>
      <c r="DM394" s="35"/>
      <c r="DN394" s="35"/>
      <c r="DO394" s="35"/>
      <c r="DP394" s="35"/>
      <c r="DQ394" s="35"/>
      <c r="DR394" s="35"/>
      <c r="DS394" s="35"/>
      <c r="DT394" s="35"/>
      <c r="DU394" s="35"/>
      <c r="DV394" s="35"/>
      <c r="DW394" s="35"/>
      <c r="DX394" s="35"/>
      <c r="DY394" s="35"/>
      <c r="DZ394" s="35"/>
      <c r="EA394" s="35"/>
      <c r="EB394" s="35"/>
      <c r="EC394" s="35"/>
      <c r="ED394" s="35"/>
      <c r="EE394" s="35"/>
      <c r="EF394" s="35"/>
      <c r="EG394" s="35"/>
      <c r="EH394" s="35"/>
      <c r="EI394" s="35"/>
      <c r="EJ394" s="35"/>
      <c r="EK394" s="35"/>
      <c r="EL394" s="35"/>
      <c r="EM394" s="35">
        <v>0</v>
      </c>
      <c r="EN394" s="35"/>
      <c r="EO394" s="35"/>
      <c r="EP394" s="35"/>
      <c r="EQ394" s="35"/>
      <c r="ER394" s="35"/>
      <c r="ES394" s="35"/>
      <c r="ET394" s="35"/>
      <c r="EU394" s="35"/>
      <c r="EV394" s="35"/>
      <c r="EW394" s="35"/>
      <c r="EX394" s="35"/>
      <c r="EY394" s="35"/>
      <c r="EZ394" s="35"/>
      <c r="FA394" s="35"/>
      <c r="FB394" s="35"/>
      <c r="FC394" s="35"/>
      <c r="FD394" s="35"/>
      <c r="FE394" s="35"/>
      <c r="FF394" s="35"/>
      <c r="FG394" s="35"/>
      <c r="FH394" s="35"/>
      <c r="FI394" s="35"/>
      <c r="FJ394" s="35"/>
      <c r="FK394" s="35"/>
      <c r="FL394" s="35"/>
      <c r="FM394" s="35"/>
      <c r="FN394" s="35"/>
      <c r="FO394" s="35"/>
      <c r="FP394" s="35"/>
      <c r="FQ394" s="35"/>
      <c r="FR394" s="35"/>
      <c r="FS394" s="35"/>
      <c r="FT394" s="35"/>
      <c r="FU394" s="35"/>
      <c r="FV394" s="35"/>
      <c r="FW394" s="35"/>
      <c r="FX394" s="35"/>
      <c r="FY394" s="35"/>
      <c r="FZ394" s="35"/>
      <c r="GA394" s="35"/>
      <c r="GB394" s="318"/>
      <c r="GC394" s="178">
        <f t="shared" si="70"/>
        <v>0</v>
      </c>
      <c r="GD394" s="178">
        <f t="shared" si="71"/>
        <v>0</v>
      </c>
      <c r="GE394" s="178">
        <f t="shared" si="72"/>
        <v>0</v>
      </c>
      <c r="GF394" s="178">
        <f t="shared" si="73"/>
        <v>0</v>
      </c>
      <c r="GG394" s="178">
        <f t="shared" si="69"/>
        <v>0</v>
      </c>
    </row>
    <row r="395" spans="1:189" x14ac:dyDescent="0.35">
      <c r="A395" s="6" t="s">
        <v>1618</v>
      </c>
      <c r="B395" s="6" t="str">
        <f>IF(Technologies!B395&lt;&gt;0,Technologies!B395,"")</f>
        <v>Industrie</v>
      </c>
      <c r="C395" s="6" t="str">
        <f>VLOOKUP($A395,Technologies!$A$7:$H$576,3,FALSE)</f>
        <v>Conversion</v>
      </c>
      <c r="D395" s="6" t="str">
        <f>VLOOKUP($A395,Technologies!$A$7:$H$576,4,FALSE)</f>
        <v>Hydrogen</v>
      </c>
      <c r="E395" s="6" t="str">
        <f>VLOOKUP($A395,Technologies!$A$7:$H$576,6,FALSE)</f>
        <v>Hydrogen HD</v>
      </c>
      <c r="F395" s="48" t="str">
        <f>VLOOKUP($A395,Technologies!$A$7:$H$576,7,FALSE)</f>
        <v>Large scale storage buffer - Hydrogen Production</v>
      </c>
      <c r="G395" s="22"/>
      <c r="H395" s="22"/>
      <c r="I395" s="103" cm="1">
        <f t="array" ref="I395">-SUMPRODUCT((Feedstocks!$C$4:$C$141=A395)*Feedstocks!$E$4:$E$141,Feedstocks!$F$4:$F$141,Feedstocks!$H$4:$H$141,Feedstocks!$I$4:$I$141)</f>
        <v>0</v>
      </c>
      <c r="J395" s="103" cm="1">
        <f t="array" ref="J395">-SUMPRODUCT((Feedstocks!$C$4:$C$141=A395)*Feedstocks!$E$4:$E$141,Feedstocks!$H$4:$H$141,Feedstocks!$I$4:$I$141)</f>
        <v>0</v>
      </c>
      <c r="K395" s="103"/>
      <c r="L395" s="103"/>
      <c r="M395" s="22">
        <v>1</v>
      </c>
      <c r="N395" s="22" t="str">
        <f>VLOOKUP(E395,Activities!$A$9:$M$227,13,FALSE)</f>
        <v>NL</v>
      </c>
      <c r="O395" s="22"/>
      <c r="P395" s="80" t="s">
        <v>415</v>
      </c>
      <c r="Q395" s="36"/>
      <c r="R395" s="36"/>
      <c r="S395" s="36"/>
      <c r="T395" s="36"/>
      <c r="U395" s="36"/>
      <c r="V395" s="36"/>
      <c r="W395" s="36"/>
      <c r="X395" s="36"/>
      <c r="Y395" s="36"/>
      <c r="Z395" s="36"/>
      <c r="AA395" s="36"/>
      <c r="AB395" s="36"/>
      <c r="AC395" s="36"/>
      <c r="AD395" s="36"/>
      <c r="AE395" s="36"/>
      <c r="AF395" s="35"/>
      <c r="AG395" s="35"/>
      <c r="AH395" s="35"/>
      <c r="AI395" s="35"/>
      <c r="AJ395" s="35"/>
      <c r="AK395" s="35"/>
      <c r="AL395" s="35"/>
      <c r="AM395" s="35"/>
      <c r="AN395" s="35"/>
      <c r="AO395" s="35"/>
      <c r="AP395" s="36"/>
      <c r="AQ395" s="36"/>
      <c r="AR395" s="36"/>
      <c r="AS395" s="36"/>
      <c r="AT395" s="36"/>
      <c r="AU395" s="36"/>
      <c r="AV395" s="36"/>
      <c r="AW395" s="36"/>
      <c r="AX395" s="36"/>
      <c r="AY395" s="36"/>
      <c r="AZ395" s="36"/>
      <c r="BA395" s="36"/>
      <c r="BB395" s="36"/>
      <c r="BC395" s="36"/>
      <c r="BD395" s="36"/>
      <c r="BE395" s="36"/>
      <c r="BF395" s="36"/>
      <c r="BG395" s="36"/>
      <c r="BH395" s="36"/>
      <c r="BI395" s="36"/>
      <c r="BJ395" s="36"/>
      <c r="BK395" s="36"/>
      <c r="BL395" s="36"/>
      <c r="BM395" s="36"/>
      <c r="BN395" s="36"/>
      <c r="BO395" s="36"/>
      <c r="BP395" s="36"/>
      <c r="BQ395" s="36"/>
      <c r="BR395" s="36"/>
      <c r="BS395" s="36"/>
      <c r="BT395" s="36"/>
      <c r="BU395" s="36"/>
      <c r="BV395" s="36"/>
      <c r="BW395" s="36"/>
      <c r="BX395" s="36"/>
      <c r="BY395" s="36"/>
      <c r="BZ395" s="36"/>
      <c r="CA395" s="36"/>
      <c r="CB395" s="36"/>
      <c r="CC395" s="36"/>
      <c r="CD395" s="36"/>
      <c r="CE395" s="36"/>
      <c r="CF395" s="36"/>
      <c r="CG395" s="36"/>
      <c r="CH395" s="36"/>
      <c r="CI395" s="36"/>
      <c r="CJ395" s="36"/>
      <c r="CK395" s="36"/>
      <c r="CL395" s="36"/>
      <c r="CM395" s="36"/>
      <c r="CN395" s="36"/>
      <c r="CO395" s="36"/>
      <c r="CP395" s="36"/>
      <c r="CQ395" s="36"/>
      <c r="CR395" s="36"/>
      <c r="CS395" s="36"/>
      <c r="CT395" s="36"/>
      <c r="CU395" s="36"/>
      <c r="CV395" s="36"/>
      <c r="CW395" s="36"/>
      <c r="CX395" s="36"/>
      <c r="CY395" s="36"/>
      <c r="CZ395" s="36"/>
      <c r="DA395" s="36"/>
      <c r="DB395" s="36"/>
      <c r="DC395" s="36"/>
      <c r="DD395" s="36"/>
      <c r="DE395" s="36"/>
      <c r="DF395" s="36"/>
      <c r="DG395" s="36"/>
      <c r="DH395" s="36"/>
      <c r="DI395" s="36"/>
      <c r="DJ395" s="36"/>
      <c r="DK395" s="36"/>
      <c r="DL395" s="36"/>
      <c r="DM395" s="36"/>
      <c r="DN395" s="36"/>
      <c r="DO395" s="36"/>
      <c r="DP395" s="36"/>
      <c r="DQ395" s="36"/>
      <c r="DR395" s="36"/>
      <c r="DS395" s="36"/>
      <c r="DT395" s="36"/>
      <c r="DU395" s="36"/>
      <c r="DV395" s="36"/>
      <c r="DW395" s="36"/>
      <c r="DX395" s="36"/>
      <c r="DY395" s="36"/>
      <c r="DZ395" s="36"/>
      <c r="EA395" s="36"/>
      <c r="EB395" s="36"/>
      <c r="EC395" s="36"/>
      <c r="ED395" s="36"/>
      <c r="EE395" s="36"/>
      <c r="EF395" s="36"/>
      <c r="EG395" s="36"/>
      <c r="EH395" s="36"/>
      <c r="EI395" s="36"/>
      <c r="EJ395" s="36"/>
      <c r="EK395" s="36"/>
      <c r="EL395" s="36"/>
      <c r="EM395" s="36">
        <v>0</v>
      </c>
      <c r="EN395" s="36"/>
      <c r="EO395" s="36"/>
      <c r="EP395" s="36"/>
      <c r="EQ395" s="36"/>
      <c r="ER395" s="36"/>
      <c r="ES395" s="36"/>
      <c r="ET395" s="36"/>
      <c r="EU395" s="36"/>
      <c r="EV395" s="36"/>
      <c r="EW395" s="36"/>
      <c r="EX395" s="36"/>
      <c r="EY395" s="36"/>
      <c r="EZ395" s="36"/>
      <c r="FA395" s="36"/>
      <c r="FB395" s="36"/>
      <c r="FC395" s="36"/>
      <c r="FD395" s="36"/>
      <c r="FE395" s="36"/>
      <c r="FF395" s="36"/>
      <c r="FG395" s="36"/>
      <c r="FH395" s="36"/>
      <c r="FI395" s="36"/>
      <c r="FJ395" s="36"/>
      <c r="FK395" s="36"/>
      <c r="FL395" s="36"/>
      <c r="FM395" s="36"/>
      <c r="FN395" s="36"/>
      <c r="FO395" s="36"/>
      <c r="FP395" s="36"/>
      <c r="FQ395" s="36"/>
      <c r="FR395" s="36"/>
      <c r="FS395" s="36"/>
      <c r="FT395" s="36"/>
      <c r="FU395" s="36"/>
      <c r="FV395" s="36"/>
      <c r="FW395" s="36"/>
      <c r="FX395" s="36"/>
      <c r="FY395" s="36"/>
      <c r="FZ395" s="36"/>
      <c r="GA395" s="36"/>
      <c r="GB395" s="319"/>
      <c r="GC395" s="179">
        <f t="shared" si="70"/>
        <v>0</v>
      </c>
      <c r="GD395" s="179">
        <f t="shared" si="71"/>
        <v>0</v>
      </c>
      <c r="GE395" s="179">
        <f t="shared" si="72"/>
        <v>0</v>
      </c>
      <c r="GF395" s="179">
        <f t="shared" si="73"/>
        <v>0</v>
      </c>
      <c r="GG395" s="179">
        <f t="shared" si="69"/>
        <v>0</v>
      </c>
    </row>
    <row r="396" spans="1:189" x14ac:dyDescent="0.35">
      <c r="A396" s="5" t="s">
        <v>1620</v>
      </c>
      <c r="B396" s="5" t="str">
        <f>IF(Technologies!B396&lt;&gt;0,Technologies!B396,"")</f>
        <v>Industrie</v>
      </c>
      <c r="C396" s="5" t="str">
        <f>VLOOKUP($A396,Technologies!$A$7:$H$576,3,FALSE)</f>
        <v>Primary</v>
      </c>
      <c r="D396" s="5" t="str">
        <f>VLOOKUP($A396,Technologies!$A$7:$H$576,4,FALSE)</f>
        <v>Hydrogen</v>
      </c>
      <c r="E396" s="5" t="str">
        <f>VLOOKUP($A396,Technologies!$A$7:$H$576,6,FALSE)</f>
        <v>Hydrogen HD</v>
      </c>
      <c r="F396" s="5" t="str">
        <f>VLOOKUP($A396,Technologies!$A$7:$H$576,7,FALSE)</f>
        <v>Imported Hydrogen (liquid) - Hydrogen Production</v>
      </c>
      <c r="G396" s="23"/>
      <c r="H396" s="23"/>
      <c r="I396" s="104" cm="1">
        <f t="array" ref="I396">-SUMPRODUCT((Feedstocks!$C$4:$C$141=A396)*Feedstocks!$E$4:$E$141,Feedstocks!$F$4:$F$141,Feedstocks!$H$4:$H$141,Feedstocks!$I$4:$I$141)</f>
        <v>0</v>
      </c>
      <c r="J396" s="104" cm="1">
        <f t="array" ref="J396">-SUMPRODUCT((Feedstocks!$C$4:$C$141=A396)*Feedstocks!$E$4:$E$141,Feedstocks!$H$4:$H$141,Feedstocks!$I$4:$I$141)</f>
        <v>0</v>
      </c>
      <c r="K396" s="104"/>
      <c r="L396" s="104"/>
      <c r="M396" s="23">
        <v>1</v>
      </c>
      <c r="N396" s="23" t="str">
        <f>VLOOKUP(E396,Activities!$A$9:$M$227,13,FALSE)</f>
        <v>NL</v>
      </c>
      <c r="O396" s="23"/>
      <c r="P396" s="79"/>
      <c r="Q396" s="35"/>
      <c r="R396" s="35"/>
      <c r="S396" s="35"/>
      <c r="T396" s="35"/>
      <c r="U396" s="35"/>
      <c r="V396" s="35"/>
      <c r="W396" s="35"/>
      <c r="X396" s="35"/>
      <c r="Y396" s="35"/>
      <c r="Z396" s="35"/>
      <c r="AA396" s="35"/>
      <c r="AB396" s="35"/>
      <c r="AC396" s="35"/>
      <c r="AD396" s="35"/>
      <c r="AE396" s="35"/>
      <c r="AF396" s="36"/>
      <c r="AG396" s="36"/>
      <c r="AH396" s="36"/>
      <c r="AI396" s="36"/>
      <c r="AJ396" s="36"/>
      <c r="AK396" s="36"/>
      <c r="AL396" s="36"/>
      <c r="AM396" s="36"/>
      <c r="AN396" s="36"/>
      <c r="AO396" s="36"/>
      <c r="AP396" s="35"/>
      <c r="AQ396" s="35"/>
      <c r="AR396" s="35"/>
      <c r="AS396" s="35"/>
      <c r="AT396" s="35"/>
      <c r="AU396" s="35"/>
      <c r="AV396" s="35"/>
      <c r="AW396" s="35"/>
      <c r="AX396" s="35"/>
      <c r="AY396" s="35"/>
      <c r="AZ396" s="35"/>
      <c r="BA396" s="35"/>
      <c r="BB396" s="35"/>
      <c r="BC396" s="35"/>
      <c r="BD396" s="35"/>
      <c r="BE396" s="35"/>
      <c r="BF396" s="35"/>
      <c r="BG396" s="35"/>
      <c r="BH396" s="35"/>
      <c r="BI396" s="35"/>
      <c r="BJ396" s="35"/>
      <c r="BK396" s="35"/>
      <c r="BL396" s="35"/>
      <c r="BM396" s="35"/>
      <c r="BN396" s="35"/>
      <c r="BO396" s="35"/>
      <c r="BP396" s="35"/>
      <c r="BQ396" s="35"/>
      <c r="BR396" s="35"/>
      <c r="BS396" s="35"/>
      <c r="BT396" s="35"/>
      <c r="BU396" s="35"/>
      <c r="BV396" s="35"/>
      <c r="BW396" s="35"/>
      <c r="BX396" s="35"/>
      <c r="BY396" s="35"/>
      <c r="BZ396" s="35"/>
      <c r="CA396" s="35"/>
      <c r="CB396" s="35"/>
      <c r="CC396" s="35"/>
      <c r="CD396" s="35"/>
      <c r="CE396" s="35"/>
      <c r="CF396" s="35"/>
      <c r="CG396" s="35"/>
      <c r="CH396" s="35"/>
      <c r="CI396" s="35"/>
      <c r="CJ396" s="35"/>
      <c r="CK396" s="35"/>
      <c r="CL396" s="35"/>
      <c r="CM396" s="35"/>
      <c r="CN396" s="35"/>
      <c r="CO396" s="35"/>
      <c r="CP396" s="35"/>
      <c r="CQ396" s="35"/>
      <c r="CR396" s="35"/>
      <c r="CS396" s="35"/>
      <c r="CT396" s="35"/>
      <c r="CU396" s="35"/>
      <c r="CV396" s="35"/>
      <c r="CW396" s="35"/>
      <c r="CX396" s="35"/>
      <c r="CY396" s="35"/>
      <c r="CZ396" s="35"/>
      <c r="DA396" s="35"/>
      <c r="DB396" s="35"/>
      <c r="DC396" s="35"/>
      <c r="DD396" s="35"/>
      <c r="DE396" s="35"/>
      <c r="DF396" s="35"/>
      <c r="DG396" s="35"/>
      <c r="DH396" s="35"/>
      <c r="DI396" s="35"/>
      <c r="DJ396" s="35"/>
      <c r="DK396" s="35"/>
      <c r="DL396" s="35"/>
      <c r="DM396" s="35"/>
      <c r="DN396" s="35"/>
      <c r="DO396" s="35"/>
      <c r="DP396" s="35"/>
      <c r="DQ396" s="35"/>
      <c r="DR396" s="35"/>
      <c r="DS396" s="35"/>
      <c r="DT396" s="35"/>
      <c r="DU396" s="35"/>
      <c r="DV396" s="35"/>
      <c r="DW396" s="35"/>
      <c r="DX396" s="35"/>
      <c r="DY396" s="35"/>
      <c r="DZ396" s="35"/>
      <c r="EA396" s="35"/>
      <c r="EB396" s="35"/>
      <c r="EC396" s="35"/>
      <c r="ED396" s="35"/>
      <c r="EE396" s="35"/>
      <c r="EF396" s="35"/>
      <c r="EG396" s="35"/>
      <c r="EH396" s="35"/>
      <c r="EI396" s="35"/>
      <c r="EJ396" s="35"/>
      <c r="EK396" s="35"/>
      <c r="EL396" s="35"/>
      <c r="EM396" s="35">
        <v>1</v>
      </c>
      <c r="EN396" s="35"/>
      <c r="EO396" s="35"/>
      <c r="EP396" s="35"/>
      <c r="EQ396" s="35"/>
      <c r="ER396" s="35"/>
      <c r="ES396" s="35"/>
      <c r="ET396" s="35"/>
      <c r="EU396" s="35"/>
      <c r="EV396" s="35"/>
      <c r="EW396" s="35"/>
      <c r="EX396" s="35"/>
      <c r="EY396" s="35"/>
      <c r="EZ396" s="35"/>
      <c r="FA396" s="35"/>
      <c r="FB396" s="35"/>
      <c r="FC396" s="35"/>
      <c r="FD396" s="35"/>
      <c r="FE396" s="35"/>
      <c r="FF396" s="35"/>
      <c r="FG396" s="35"/>
      <c r="FH396" s="35"/>
      <c r="FI396" s="35"/>
      <c r="FJ396" s="35"/>
      <c r="FK396" s="35"/>
      <c r="FL396" s="35"/>
      <c r="FM396" s="35"/>
      <c r="FN396" s="35"/>
      <c r="FO396" s="35"/>
      <c r="FP396" s="35"/>
      <c r="FQ396" s="35"/>
      <c r="FR396" s="35"/>
      <c r="FS396" s="35"/>
      <c r="FT396" s="35"/>
      <c r="FU396" s="35"/>
      <c r="FV396" s="35"/>
      <c r="FW396" s="35"/>
      <c r="FX396" s="35"/>
      <c r="FY396" s="35"/>
      <c r="FZ396" s="35"/>
      <c r="GA396" s="35"/>
      <c r="GB396" s="318"/>
      <c r="GC396" s="178">
        <f t="shared" si="70"/>
        <v>0</v>
      </c>
      <c r="GD396" s="178">
        <f t="shared" si="71"/>
        <v>0</v>
      </c>
      <c r="GE396" s="178">
        <f t="shared" si="72"/>
        <v>0</v>
      </c>
      <c r="GF396" s="178">
        <f t="shared" si="73"/>
        <v>0</v>
      </c>
      <c r="GG396" s="178">
        <f t="shared" si="69"/>
        <v>0</v>
      </c>
    </row>
    <row r="397" spans="1:189" x14ac:dyDescent="0.35">
      <c r="A397" s="6" t="s">
        <v>1623</v>
      </c>
      <c r="B397" s="6" t="str">
        <f>IF(Technologies!B397&lt;&gt;0,Technologies!B397,"")</f>
        <v>Industrie</v>
      </c>
      <c r="C397" s="6" t="str">
        <f>VLOOKUP($A397,Technologies!$A$7:$H$576,3,FALSE)</f>
        <v>Primary</v>
      </c>
      <c r="D397" s="6" t="str">
        <f>VLOOKUP($A397,Technologies!$A$7:$H$576,4,FALSE)</f>
        <v>Hydrogen</v>
      </c>
      <c r="E397" s="6" t="str">
        <f>VLOOKUP($A397,Technologies!$A$7:$H$576,6,FALSE)</f>
        <v>Hydrogen HD</v>
      </c>
      <c r="F397" s="48" t="str">
        <f>VLOOKUP($A397,Technologies!$A$7:$H$576,7,FALSE)</f>
        <v>Exported Hydrogen - Hydrogen Production</v>
      </c>
      <c r="G397" s="22"/>
      <c r="H397" s="22"/>
      <c r="I397" s="103" cm="1">
        <f t="array" ref="I397">-SUMPRODUCT((Feedstocks!$C$4:$C$141=A397)*Feedstocks!$E$4:$E$141,Feedstocks!$F$4:$F$141,Feedstocks!$H$4:$H$141,Feedstocks!$I$4:$I$141)</f>
        <v>0</v>
      </c>
      <c r="J397" s="103" cm="1">
        <f t="array" ref="J397">-SUMPRODUCT((Feedstocks!$C$4:$C$141=A397)*Feedstocks!$E$4:$E$141,Feedstocks!$H$4:$H$141,Feedstocks!$I$4:$I$141)</f>
        <v>0</v>
      </c>
      <c r="K397" s="103"/>
      <c r="L397" s="103"/>
      <c r="M397" s="22">
        <v>1</v>
      </c>
      <c r="N397" s="22" t="str">
        <f>VLOOKUP(E397,Activities!$A$9:$M$227,13,FALSE)</f>
        <v>NL</v>
      </c>
      <c r="O397" s="22"/>
      <c r="P397" s="80"/>
      <c r="Q397" s="36"/>
      <c r="R397" s="36"/>
      <c r="S397" s="36"/>
      <c r="T397" s="36"/>
      <c r="U397" s="36"/>
      <c r="V397" s="36"/>
      <c r="W397" s="36"/>
      <c r="X397" s="36"/>
      <c r="Y397" s="36"/>
      <c r="Z397" s="36"/>
      <c r="AA397" s="36"/>
      <c r="AB397" s="36"/>
      <c r="AC397" s="36"/>
      <c r="AD397" s="36"/>
      <c r="AE397" s="36"/>
      <c r="AF397" s="35"/>
      <c r="AG397" s="35"/>
      <c r="AH397" s="35"/>
      <c r="AI397" s="35"/>
      <c r="AJ397" s="35"/>
      <c r="AK397" s="35"/>
      <c r="AL397" s="35"/>
      <c r="AM397" s="35"/>
      <c r="AN397" s="35"/>
      <c r="AO397" s="35"/>
      <c r="AP397" s="36"/>
      <c r="AQ397" s="36"/>
      <c r="AR397" s="36"/>
      <c r="AS397" s="36"/>
      <c r="AT397" s="36"/>
      <c r="AU397" s="36"/>
      <c r="AV397" s="36"/>
      <c r="AW397" s="36"/>
      <c r="AX397" s="36"/>
      <c r="AY397" s="36"/>
      <c r="AZ397" s="36"/>
      <c r="BA397" s="36"/>
      <c r="BB397" s="36"/>
      <c r="BC397" s="36"/>
      <c r="BD397" s="36"/>
      <c r="BE397" s="36"/>
      <c r="BF397" s="36"/>
      <c r="BG397" s="36"/>
      <c r="BH397" s="36"/>
      <c r="BI397" s="36"/>
      <c r="BJ397" s="36"/>
      <c r="BK397" s="36"/>
      <c r="BL397" s="36"/>
      <c r="BM397" s="36"/>
      <c r="BN397" s="36"/>
      <c r="BO397" s="36"/>
      <c r="BP397" s="36"/>
      <c r="BQ397" s="36"/>
      <c r="BR397" s="36"/>
      <c r="BS397" s="36"/>
      <c r="BT397" s="36"/>
      <c r="BU397" s="36"/>
      <c r="BV397" s="36"/>
      <c r="BW397" s="36"/>
      <c r="BX397" s="36"/>
      <c r="BY397" s="36"/>
      <c r="BZ397" s="36"/>
      <c r="CA397" s="36"/>
      <c r="CB397" s="36"/>
      <c r="CC397" s="36"/>
      <c r="CD397" s="36"/>
      <c r="CE397" s="36"/>
      <c r="CF397" s="36"/>
      <c r="CG397" s="36"/>
      <c r="CH397" s="36"/>
      <c r="CI397" s="36"/>
      <c r="CJ397" s="36"/>
      <c r="CK397" s="36"/>
      <c r="CL397" s="36"/>
      <c r="CM397" s="36"/>
      <c r="CN397" s="36"/>
      <c r="CO397" s="36"/>
      <c r="CP397" s="36"/>
      <c r="CQ397" s="36"/>
      <c r="CR397" s="36"/>
      <c r="CS397" s="36"/>
      <c r="CT397" s="36"/>
      <c r="CU397" s="36"/>
      <c r="CV397" s="36"/>
      <c r="CW397" s="36"/>
      <c r="CX397" s="36"/>
      <c r="CY397" s="36"/>
      <c r="CZ397" s="36"/>
      <c r="DA397" s="36"/>
      <c r="DB397" s="36"/>
      <c r="DC397" s="36"/>
      <c r="DD397" s="36"/>
      <c r="DE397" s="36"/>
      <c r="DF397" s="36"/>
      <c r="DG397" s="36"/>
      <c r="DH397" s="36"/>
      <c r="DI397" s="36"/>
      <c r="DJ397" s="36"/>
      <c r="DK397" s="36"/>
      <c r="DL397" s="36"/>
      <c r="DM397" s="36"/>
      <c r="DN397" s="36"/>
      <c r="DO397" s="36"/>
      <c r="DP397" s="36"/>
      <c r="DQ397" s="36"/>
      <c r="DR397" s="36"/>
      <c r="DS397" s="36"/>
      <c r="DT397" s="36"/>
      <c r="DU397" s="36"/>
      <c r="DV397" s="36"/>
      <c r="DW397" s="36"/>
      <c r="DX397" s="36"/>
      <c r="DY397" s="36"/>
      <c r="DZ397" s="36"/>
      <c r="EA397" s="36"/>
      <c r="EB397" s="36"/>
      <c r="EC397" s="36"/>
      <c r="ED397" s="36"/>
      <c r="EE397" s="36"/>
      <c r="EF397" s="36"/>
      <c r="EG397" s="36"/>
      <c r="EH397" s="36"/>
      <c r="EI397" s="36"/>
      <c r="EJ397" s="36"/>
      <c r="EK397" s="36"/>
      <c r="EL397" s="36"/>
      <c r="EM397" s="36">
        <v>-1</v>
      </c>
      <c r="EN397" s="36"/>
      <c r="EO397" s="36"/>
      <c r="EP397" s="36"/>
      <c r="EQ397" s="36"/>
      <c r="ER397" s="36"/>
      <c r="ES397" s="36"/>
      <c r="ET397" s="36"/>
      <c r="EU397" s="36"/>
      <c r="EV397" s="36"/>
      <c r="EW397" s="36"/>
      <c r="EX397" s="36"/>
      <c r="EY397" s="36"/>
      <c r="EZ397" s="36"/>
      <c r="FA397" s="36"/>
      <c r="FB397" s="36"/>
      <c r="FC397" s="36"/>
      <c r="FD397" s="36"/>
      <c r="FE397" s="36"/>
      <c r="FF397" s="36"/>
      <c r="FG397" s="36"/>
      <c r="FH397" s="36"/>
      <c r="FI397" s="36"/>
      <c r="FJ397" s="36"/>
      <c r="FK397" s="36"/>
      <c r="FL397" s="36"/>
      <c r="FM397" s="36"/>
      <c r="FN397" s="36"/>
      <c r="FO397" s="36"/>
      <c r="FP397" s="36"/>
      <c r="FQ397" s="36"/>
      <c r="FR397" s="36"/>
      <c r="FS397" s="36"/>
      <c r="FT397" s="36"/>
      <c r="FU397" s="36"/>
      <c r="FV397" s="36"/>
      <c r="FW397" s="36"/>
      <c r="FX397" s="36"/>
      <c r="FY397" s="36"/>
      <c r="FZ397" s="36"/>
      <c r="GA397" s="36"/>
      <c r="GB397" s="319"/>
      <c r="GC397" s="179">
        <f t="shared" si="70"/>
        <v>0</v>
      </c>
      <c r="GD397" s="179">
        <f t="shared" si="71"/>
        <v>0</v>
      </c>
      <c r="GE397" s="179">
        <f t="shared" si="72"/>
        <v>0</v>
      </c>
      <c r="GF397" s="179">
        <f t="shared" si="73"/>
        <v>0</v>
      </c>
      <c r="GG397" s="179">
        <f t="shared" si="69"/>
        <v>0</v>
      </c>
    </row>
    <row r="398" spans="1:189" x14ac:dyDescent="0.35">
      <c r="A398" s="6" t="s">
        <v>1626</v>
      </c>
      <c r="B398" s="6" t="str">
        <f>IF(Technologies!B398&lt;&gt;0,Technologies!B398,"")</f>
        <v>Industrie</v>
      </c>
      <c r="C398" s="6" t="str">
        <f>VLOOKUP($A398,Technologies!$A$7:$H$576,3,FALSE)</f>
        <v>Primary</v>
      </c>
      <c r="D398" s="6" t="str">
        <f>VLOOKUP($A398,Technologies!$A$7:$H$576,4,FALSE)</f>
        <v>Hydrogen</v>
      </c>
      <c r="E398" s="6" t="str">
        <f>VLOOKUP($A398,Technologies!$A$7:$H$576,6,FALSE)</f>
        <v>Hydrogen HD</v>
      </c>
      <c r="F398" s="48" t="str">
        <f>VLOOKUP($A398,Technologies!$A$7:$H$576,7,FALSE)</f>
        <v>Imported Hydrogen  (pipeline) - Hydrogen Production</v>
      </c>
      <c r="G398" s="22"/>
      <c r="H398" s="22"/>
      <c r="I398" s="103"/>
      <c r="J398" s="103"/>
      <c r="K398" s="103"/>
      <c r="L398" s="103"/>
      <c r="M398" s="22">
        <v>1</v>
      </c>
      <c r="N398" s="22" t="str">
        <f>VLOOKUP(E398,Activities!$A$9:$M$227,13,FALSE)</f>
        <v>NL</v>
      </c>
      <c r="O398" s="22"/>
      <c r="P398" s="80"/>
      <c r="Q398" s="36"/>
      <c r="R398" s="36"/>
      <c r="S398" s="36"/>
      <c r="T398" s="36"/>
      <c r="U398" s="36"/>
      <c r="V398" s="36"/>
      <c r="W398" s="36"/>
      <c r="X398" s="36"/>
      <c r="Y398" s="36"/>
      <c r="Z398" s="36"/>
      <c r="AA398" s="36"/>
      <c r="AB398" s="36"/>
      <c r="AC398" s="36"/>
      <c r="AD398" s="36"/>
      <c r="AE398" s="36"/>
      <c r="AF398" s="35"/>
      <c r="AG398" s="35"/>
      <c r="AH398" s="35"/>
      <c r="AI398" s="35"/>
      <c r="AJ398" s="35"/>
      <c r="AK398" s="35"/>
      <c r="AL398" s="35"/>
      <c r="AM398" s="35"/>
      <c r="AN398" s="35"/>
      <c r="AO398" s="35"/>
      <c r="AP398" s="36"/>
      <c r="AQ398" s="36"/>
      <c r="AR398" s="36"/>
      <c r="AS398" s="36"/>
      <c r="AT398" s="36"/>
      <c r="AU398" s="36"/>
      <c r="AV398" s="36"/>
      <c r="AW398" s="36"/>
      <c r="AX398" s="36"/>
      <c r="AY398" s="36"/>
      <c r="AZ398" s="36"/>
      <c r="BA398" s="36"/>
      <c r="BB398" s="36"/>
      <c r="BC398" s="36"/>
      <c r="BD398" s="36"/>
      <c r="BE398" s="36"/>
      <c r="BF398" s="36"/>
      <c r="BG398" s="36"/>
      <c r="BH398" s="36"/>
      <c r="BI398" s="36"/>
      <c r="BJ398" s="36"/>
      <c r="BK398" s="36"/>
      <c r="BL398" s="36"/>
      <c r="BM398" s="36"/>
      <c r="BN398" s="36"/>
      <c r="BO398" s="36"/>
      <c r="BP398" s="36"/>
      <c r="BQ398" s="36"/>
      <c r="BR398" s="36"/>
      <c r="BS398" s="36"/>
      <c r="BT398" s="36"/>
      <c r="BU398" s="36"/>
      <c r="BV398" s="36"/>
      <c r="BW398" s="36"/>
      <c r="BX398" s="36"/>
      <c r="BY398" s="36"/>
      <c r="BZ398" s="36"/>
      <c r="CA398" s="36"/>
      <c r="CB398" s="36"/>
      <c r="CC398" s="36"/>
      <c r="CD398" s="36"/>
      <c r="CE398" s="36"/>
      <c r="CF398" s="36"/>
      <c r="CG398" s="36"/>
      <c r="CH398" s="36"/>
      <c r="CI398" s="36"/>
      <c r="CJ398" s="36"/>
      <c r="CK398" s="36"/>
      <c r="CL398" s="36"/>
      <c r="CM398" s="36"/>
      <c r="CN398" s="36"/>
      <c r="CO398" s="36"/>
      <c r="CP398" s="36"/>
      <c r="CQ398" s="36"/>
      <c r="CR398" s="36"/>
      <c r="CS398" s="36"/>
      <c r="CT398" s="36"/>
      <c r="CU398" s="36"/>
      <c r="CV398" s="36"/>
      <c r="CW398" s="36"/>
      <c r="CX398" s="36"/>
      <c r="CY398" s="36"/>
      <c r="CZ398" s="36"/>
      <c r="DA398" s="36"/>
      <c r="DB398" s="36"/>
      <c r="DC398" s="36"/>
      <c r="DD398" s="36"/>
      <c r="DE398" s="36"/>
      <c r="DF398" s="36"/>
      <c r="DG398" s="36"/>
      <c r="DH398" s="36"/>
      <c r="DI398" s="36"/>
      <c r="DJ398" s="36"/>
      <c r="DK398" s="36"/>
      <c r="DL398" s="36"/>
      <c r="DM398" s="36"/>
      <c r="DN398" s="36"/>
      <c r="DO398" s="36"/>
      <c r="DP398" s="36"/>
      <c r="DQ398" s="36"/>
      <c r="DR398" s="36"/>
      <c r="DS398" s="36"/>
      <c r="DT398" s="36"/>
      <c r="DU398" s="36"/>
      <c r="DV398" s="36"/>
      <c r="DW398" s="36"/>
      <c r="DX398" s="36"/>
      <c r="DY398" s="36"/>
      <c r="DZ398" s="36"/>
      <c r="EA398" s="36"/>
      <c r="EB398" s="36"/>
      <c r="EC398" s="36"/>
      <c r="ED398" s="36"/>
      <c r="EE398" s="36"/>
      <c r="EF398" s="36"/>
      <c r="EG398" s="36"/>
      <c r="EH398" s="36"/>
      <c r="EI398" s="36"/>
      <c r="EJ398" s="36"/>
      <c r="EK398" s="36"/>
      <c r="EL398" s="36"/>
      <c r="EM398" s="35">
        <v>1</v>
      </c>
      <c r="EN398" s="36"/>
      <c r="EO398" s="36"/>
      <c r="EP398" s="36"/>
      <c r="EQ398" s="36"/>
      <c r="ER398" s="36"/>
      <c r="ES398" s="36"/>
      <c r="ET398" s="36"/>
      <c r="EU398" s="36"/>
      <c r="EV398" s="36"/>
      <c r="EW398" s="36"/>
      <c r="EX398" s="36"/>
      <c r="EY398" s="36"/>
      <c r="EZ398" s="36"/>
      <c r="FA398" s="36"/>
      <c r="FB398" s="36"/>
      <c r="FC398" s="36"/>
      <c r="FD398" s="36"/>
      <c r="FE398" s="36"/>
      <c r="FF398" s="36"/>
      <c r="FG398" s="36"/>
      <c r="FH398" s="36"/>
      <c r="FI398" s="36"/>
      <c r="FJ398" s="36"/>
      <c r="FK398" s="36"/>
      <c r="FL398" s="36"/>
      <c r="FM398" s="36"/>
      <c r="FN398" s="36"/>
      <c r="FO398" s="36"/>
      <c r="FP398" s="36"/>
      <c r="FQ398" s="36"/>
      <c r="FR398" s="36"/>
      <c r="FS398" s="36"/>
      <c r="FT398" s="36"/>
      <c r="FU398" s="36"/>
      <c r="FV398" s="36"/>
      <c r="FW398" s="36"/>
      <c r="FX398" s="36"/>
      <c r="FY398" s="36"/>
      <c r="FZ398" s="36"/>
      <c r="GA398" s="36"/>
      <c r="GB398" s="319"/>
      <c r="GC398" s="179">
        <f t="shared" si="70"/>
        <v>0</v>
      </c>
      <c r="GD398" s="179">
        <f t="shared" si="71"/>
        <v>0</v>
      </c>
      <c r="GE398" s="179">
        <f t="shared" si="72"/>
        <v>0</v>
      </c>
      <c r="GF398" s="179">
        <f t="shared" si="73"/>
        <v>0</v>
      </c>
      <c r="GG398" s="179">
        <f t="shared" si="69"/>
        <v>0</v>
      </c>
    </row>
    <row r="399" spans="1:189" x14ac:dyDescent="0.35">
      <c r="A399" s="5" t="s">
        <v>1628</v>
      </c>
      <c r="B399" s="6" t="str">
        <f>IF(Technologies!B399&lt;&gt;0,Technologies!B399,"")</f>
        <v>Elektriciteit</v>
      </c>
      <c r="C399" s="5" t="str">
        <f>VLOOKUP($A399,Technologies!$A$7:$H$576,3,FALSE)</f>
        <v>Conversion</v>
      </c>
      <c r="D399" s="5" t="str">
        <f>VLOOKUP($A399,Technologies!$A$7:$H$576,4,FALSE)</f>
        <v>Hydrogen</v>
      </c>
      <c r="E399" s="5" t="str">
        <f>VLOOKUP($A399,Technologies!$A$7:$H$576,6,FALSE)</f>
        <v>Hydrogen HD</v>
      </c>
      <c r="F399" s="5" t="str">
        <f>VLOOKUP($A399,Technologies!$A$7:$H$576,7,FALSE)</f>
        <v>LD to HD compressor - Hydrogen Production</v>
      </c>
      <c r="G399" s="23"/>
      <c r="H399" s="23"/>
      <c r="I399" s="104" cm="1">
        <f t="array" ref="I399">-SUMPRODUCT((Feedstocks!$C$4:$C$141=A399)*Feedstocks!$E$4:$E$141,Feedstocks!$F$4:$F$141,Feedstocks!$H$4:$H$141,Feedstocks!$I$4:$I$141)</f>
        <v>0</v>
      </c>
      <c r="J399" s="104" cm="1">
        <f t="array" ref="J399">-SUMPRODUCT((Feedstocks!$C$4:$C$141=A399)*Feedstocks!$E$4:$E$141,Feedstocks!$H$4:$H$141,Feedstocks!$I$4:$I$141)</f>
        <v>0</v>
      </c>
      <c r="K399" s="104"/>
      <c r="L399" s="104"/>
      <c r="M399" s="23"/>
      <c r="N399" s="23" t="str">
        <f>VLOOKUP(E399,Activities!$A$9:$M$227,13,FALSE)</f>
        <v>NL</v>
      </c>
      <c r="O399" s="23"/>
      <c r="P399" s="79" t="s">
        <v>415</v>
      </c>
      <c r="Q399" s="35"/>
      <c r="R399" s="35"/>
      <c r="S399" s="35"/>
      <c r="T399" s="35"/>
      <c r="U399" s="35"/>
      <c r="V399" s="35"/>
      <c r="W399" s="35"/>
      <c r="X399" s="35"/>
      <c r="Y399" s="35"/>
      <c r="Z399" s="35"/>
      <c r="AA399" s="35"/>
      <c r="AB399" s="35"/>
      <c r="AC399" s="35"/>
      <c r="AD399" s="35"/>
      <c r="AE399" s="35"/>
      <c r="AF399" s="36"/>
      <c r="AG399" s="36"/>
      <c r="AH399" s="36"/>
      <c r="AI399" s="36"/>
      <c r="AJ399" s="36"/>
      <c r="AK399" s="36"/>
      <c r="AL399" s="36"/>
      <c r="AM399" s="36"/>
      <c r="AN399" s="36"/>
      <c r="AO399" s="36"/>
      <c r="AP399" s="35"/>
      <c r="AQ399" s="35"/>
      <c r="AR399" s="35"/>
      <c r="AS399" s="35"/>
      <c r="AT399" s="35"/>
      <c r="AU399" s="35"/>
      <c r="AV399" s="35"/>
      <c r="AW399" s="35"/>
      <c r="AX399" s="35"/>
      <c r="AY399" s="35"/>
      <c r="AZ399" s="35"/>
      <c r="BA399" s="35"/>
      <c r="BB399" s="35"/>
      <c r="BC399" s="35"/>
      <c r="BD399" s="35"/>
      <c r="BE399" s="35"/>
      <c r="BF399" s="35"/>
      <c r="BG399" s="35"/>
      <c r="BH399" s="35"/>
      <c r="BI399" s="35"/>
      <c r="BJ399" s="35"/>
      <c r="BK399" s="35"/>
      <c r="BL399" s="35"/>
      <c r="BM399" s="35"/>
      <c r="BN399" s="35"/>
      <c r="BO399" s="35"/>
      <c r="BP399" s="35"/>
      <c r="BQ399" s="35"/>
      <c r="BR399" s="35"/>
      <c r="BS399" s="35"/>
      <c r="BT399" s="35"/>
      <c r="BU399" s="35"/>
      <c r="BV399" s="35"/>
      <c r="BW399" s="35"/>
      <c r="BX399" s="35"/>
      <c r="BY399" s="35"/>
      <c r="BZ399" s="35"/>
      <c r="CA399" s="35"/>
      <c r="CB399" s="35"/>
      <c r="CC399" s="35"/>
      <c r="CD399" s="35"/>
      <c r="CE399" s="35"/>
      <c r="CF399" s="35"/>
      <c r="CG399" s="35"/>
      <c r="CH399" s="35"/>
      <c r="CI399" s="35"/>
      <c r="CJ399" s="35"/>
      <c r="CK399" s="35"/>
      <c r="CL399" s="35"/>
      <c r="CM399" s="35"/>
      <c r="CN399" s="35"/>
      <c r="CO399" s="35"/>
      <c r="CP399" s="35"/>
      <c r="CQ399" s="35"/>
      <c r="CR399" s="35"/>
      <c r="CS399" s="35"/>
      <c r="CT399" s="35"/>
      <c r="CU399" s="35"/>
      <c r="CV399" s="35"/>
      <c r="CW399" s="35"/>
      <c r="CX399" s="35"/>
      <c r="CY399" s="35"/>
      <c r="CZ399" s="35"/>
      <c r="DA399" s="35"/>
      <c r="DB399" s="35"/>
      <c r="DC399" s="35"/>
      <c r="DD399" s="35"/>
      <c r="DE399" s="35"/>
      <c r="DF399" s="35"/>
      <c r="DG399" s="35"/>
      <c r="DH399" s="35"/>
      <c r="DI399" s="35"/>
      <c r="DJ399" s="35"/>
      <c r="DK399" s="35"/>
      <c r="DL399" s="35"/>
      <c r="DM399" s="35"/>
      <c r="DN399" s="35"/>
      <c r="DO399" s="35"/>
      <c r="DP399" s="35"/>
      <c r="DQ399" s="35"/>
      <c r="DR399" s="35"/>
      <c r="DS399" s="35"/>
      <c r="DT399" s="35"/>
      <c r="DU399" s="35"/>
      <c r="DV399" s="35"/>
      <c r="DW399" s="35"/>
      <c r="DX399" s="35"/>
      <c r="DY399" s="35"/>
      <c r="DZ399" s="35"/>
      <c r="EA399" s="35"/>
      <c r="EB399" s="35"/>
      <c r="EC399" s="35"/>
      <c r="ED399" s="35"/>
      <c r="EE399" s="35"/>
      <c r="EF399" s="35"/>
      <c r="EG399" s="35"/>
      <c r="EH399" s="35"/>
      <c r="EI399" s="35"/>
      <c r="EJ399" s="35"/>
      <c r="EK399" s="35"/>
      <c r="EL399" s="35"/>
      <c r="EM399" s="35">
        <v>1</v>
      </c>
      <c r="EN399" s="35">
        <v>-1</v>
      </c>
      <c r="EO399" s="35"/>
      <c r="EP399" s="35"/>
      <c r="EQ399" s="35"/>
      <c r="ER399" s="35"/>
      <c r="ES399" s="35"/>
      <c r="ET399" s="35"/>
      <c r="EU399" s="35"/>
      <c r="EV399" s="35"/>
      <c r="EW399" s="35"/>
      <c r="EX399" s="35"/>
      <c r="EY399" s="35"/>
      <c r="EZ399" s="35"/>
      <c r="FA399" s="35"/>
      <c r="FB399" s="35"/>
      <c r="FC399" s="35"/>
      <c r="FD399" s="35"/>
      <c r="FE399" s="35"/>
      <c r="FF399" s="35"/>
      <c r="FG399" s="35"/>
      <c r="FH399" s="35"/>
      <c r="FI399" s="35"/>
      <c r="FJ399" s="35"/>
      <c r="FK399" s="35"/>
      <c r="FL399" s="35"/>
      <c r="FM399" s="35"/>
      <c r="FN399" s="35"/>
      <c r="FO399" s="35"/>
      <c r="FP399" s="35"/>
      <c r="FQ399" s="35"/>
      <c r="FR399" s="35"/>
      <c r="FS399" s="35"/>
      <c r="FT399" s="35"/>
      <c r="FU399" s="35"/>
      <c r="FV399" s="35"/>
      <c r="FW399" s="35"/>
      <c r="FX399" s="35"/>
      <c r="FY399" s="35"/>
      <c r="FZ399" s="35"/>
      <c r="GA399" s="35"/>
      <c r="GB399" s="318"/>
      <c r="GC399" s="178">
        <f t="shared" si="70"/>
        <v>0</v>
      </c>
      <c r="GD399" s="178">
        <f t="shared" si="71"/>
        <v>0</v>
      </c>
      <c r="GE399" s="178">
        <f t="shared" si="72"/>
        <v>0</v>
      </c>
      <c r="GF399" s="178">
        <f t="shared" si="73"/>
        <v>0</v>
      </c>
      <c r="GG399" s="178">
        <f t="shared" si="69"/>
        <v>0</v>
      </c>
    </row>
    <row r="400" spans="1:189" x14ac:dyDescent="0.35">
      <c r="A400" s="6" t="s">
        <v>1631</v>
      </c>
      <c r="B400" s="6" t="str">
        <f>IF(Technologies!B400&lt;&gt;0,Technologies!B400,"")</f>
        <v>Elektriciteit</v>
      </c>
      <c r="C400" s="6" t="str">
        <f>VLOOKUP($A400,Technologies!$A$7:$H$576,3,FALSE)</f>
        <v>Conversion</v>
      </c>
      <c r="D400" s="6" t="str">
        <f>VLOOKUP($A400,Technologies!$A$7:$H$576,4,FALSE)</f>
        <v>Hydrogen</v>
      </c>
      <c r="E400" s="6" t="str">
        <f>VLOOKUP($A400,Technologies!$A$7:$H$576,6,FALSE)</f>
        <v>Hydrogen LD</v>
      </c>
      <c r="F400" s="48" t="str">
        <f>VLOOKUP($A400,Technologies!$A$7:$H$576,7,FALSE)</f>
        <v>HD to LD compressor - Hydrogen Production</v>
      </c>
      <c r="G400" s="22"/>
      <c r="H400" s="22"/>
      <c r="I400" s="103" cm="1">
        <f t="array" ref="I400">-SUMPRODUCT((Feedstocks!$C$4:$C$141=A400)*Feedstocks!$E$4:$E$141,Feedstocks!$F$4:$F$141,Feedstocks!$H$4:$H$141,Feedstocks!$I$4:$I$141)</f>
        <v>0</v>
      </c>
      <c r="J400" s="103" cm="1">
        <f t="array" ref="J400">-SUMPRODUCT((Feedstocks!$C$4:$C$141=A400)*Feedstocks!$E$4:$E$141,Feedstocks!$H$4:$H$141,Feedstocks!$I$4:$I$141)</f>
        <v>0</v>
      </c>
      <c r="K400" s="103"/>
      <c r="L400" s="103"/>
      <c r="M400" s="22"/>
      <c r="N400" s="22" t="str">
        <f>VLOOKUP(E400,Activities!$A$9:$M$227,13,FALSE)</f>
        <v>NL</v>
      </c>
      <c r="O400" s="22"/>
      <c r="P400" s="80" t="s">
        <v>415</v>
      </c>
      <c r="Q400" s="36"/>
      <c r="R400" s="36"/>
      <c r="S400" s="36"/>
      <c r="T400" s="36"/>
      <c r="U400" s="36"/>
      <c r="V400" s="36"/>
      <c r="W400" s="36"/>
      <c r="X400" s="36"/>
      <c r="Y400" s="36"/>
      <c r="Z400" s="36"/>
      <c r="AA400" s="36"/>
      <c r="AB400" s="36"/>
      <c r="AC400" s="36"/>
      <c r="AD400" s="36"/>
      <c r="AE400" s="36"/>
      <c r="AF400" s="35"/>
      <c r="AG400" s="35"/>
      <c r="AH400" s="35"/>
      <c r="AI400" s="35"/>
      <c r="AJ400" s="35"/>
      <c r="AK400" s="35"/>
      <c r="AL400" s="35"/>
      <c r="AM400" s="35"/>
      <c r="AN400" s="35"/>
      <c r="AO400" s="35"/>
      <c r="AP400" s="36"/>
      <c r="AQ400" s="36"/>
      <c r="AR400" s="36"/>
      <c r="AS400" s="36"/>
      <c r="AT400" s="36"/>
      <c r="AU400" s="36"/>
      <c r="AV400" s="36"/>
      <c r="AW400" s="36"/>
      <c r="AX400" s="36"/>
      <c r="AY400" s="36"/>
      <c r="AZ400" s="36"/>
      <c r="BA400" s="36"/>
      <c r="BB400" s="36"/>
      <c r="BC400" s="36"/>
      <c r="BD400" s="36"/>
      <c r="BE400" s="36"/>
      <c r="BF400" s="36"/>
      <c r="BG400" s="36"/>
      <c r="BH400" s="36"/>
      <c r="BI400" s="36"/>
      <c r="BJ400" s="36"/>
      <c r="BK400" s="36"/>
      <c r="BL400" s="36"/>
      <c r="BM400" s="36"/>
      <c r="BN400" s="36"/>
      <c r="BO400" s="36"/>
      <c r="BP400" s="36"/>
      <c r="BQ400" s="36"/>
      <c r="BR400" s="36"/>
      <c r="BS400" s="36"/>
      <c r="BT400" s="36"/>
      <c r="BU400" s="36"/>
      <c r="BV400" s="36"/>
      <c r="BW400" s="36"/>
      <c r="BX400" s="36"/>
      <c r="BY400" s="36"/>
      <c r="BZ400" s="36"/>
      <c r="CA400" s="36"/>
      <c r="CB400" s="36"/>
      <c r="CC400" s="36"/>
      <c r="CD400" s="36"/>
      <c r="CE400" s="36"/>
      <c r="CF400" s="36"/>
      <c r="CG400" s="36"/>
      <c r="CH400" s="36"/>
      <c r="CI400" s="36"/>
      <c r="CJ400" s="36"/>
      <c r="CK400" s="36"/>
      <c r="CL400" s="36"/>
      <c r="CM400" s="36"/>
      <c r="CN400" s="36"/>
      <c r="CO400" s="36"/>
      <c r="CP400" s="36"/>
      <c r="CQ400" s="36"/>
      <c r="CR400" s="36"/>
      <c r="CS400" s="36"/>
      <c r="CT400" s="36"/>
      <c r="CU400" s="36"/>
      <c r="CV400" s="36"/>
      <c r="CW400" s="36"/>
      <c r="CX400" s="36"/>
      <c r="CY400" s="36"/>
      <c r="CZ400" s="36"/>
      <c r="DA400" s="36"/>
      <c r="DB400" s="36"/>
      <c r="DC400" s="36"/>
      <c r="DD400" s="36"/>
      <c r="DE400" s="36"/>
      <c r="DF400" s="36"/>
      <c r="DG400" s="36"/>
      <c r="DH400" s="36"/>
      <c r="DI400" s="36"/>
      <c r="DJ400" s="36"/>
      <c r="DK400" s="36"/>
      <c r="DL400" s="36"/>
      <c r="DM400" s="36"/>
      <c r="DN400" s="36"/>
      <c r="DO400" s="36"/>
      <c r="DP400" s="36"/>
      <c r="DQ400" s="36"/>
      <c r="DR400" s="36"/>
      <c r="DS400" s="36"/>
      <c r="DT400" s="36"/>
      <c r="DU400" s="36"/>
      <c r="DV400" s="36"/>
      <c r="DW400" s="36"/>
      <c r="DX400" s="36"/>
      <c r="DY400" s="36"/>
      <c r="DZ400" s="36"/>
      <c r="EA400" s="36"/>
      <c r="EB400" s="36"/>
      <c r="EC400" s="36"/>
      <c r="ED400" s="36"/>
      <c r="EE400" s="36"/>
      <c r="EF400" s="36"/>
      <c r="EG400" s="36"/>
      <c r="EH400" s="36"/>
      <c r="EI400" s="36"/>
      <c r="EJ400" s="36"/>
      <c r="EK400" s="36"/>
      <c r="EL400" s="36"/>
      <c r="EM400" s="36">
        <v>-1</v>
      </c>
      <c r="EN400" s="36">
        <v>1</v>
      </c>
      <c r="EO400" s="36"/>
      <c r="EP400" s="36"/>
      <c r="EQ400" s="36"/>
      <c r="ER400" s="36"/>
      <c r="ES400" s="36"/>
      <c r="ET400" s="36"/>
      <c r="EU400" s="36"/>
      <c r="EV400" s="36"/>
      <c r="EW400" s="36"/>
      <c r="EX400" s="36"/>
      <c r="EY400" s="36"/>
      <c r="EZ400" s="36"/>
      <c r="FA400" s="36"/>
      <c r="FB400" s="36"/>
      <c r="FC400" s="36"/>
      <c r="FD400" s="36"/>
      <c r="FE400" s="36"/>
      <c r="FF400" s="36"/>
      <c r="FG400" s="36"/>
      <c r="FH400" s="36"/>
      <c r="FI400" s="36"/>
      <c r="FJ400" s="36"/>
      <c r="FK400" s="36"/>
      <c r="FL400" s="36"/>
      <c r="FM400" s="36"/>
      <c r="FN400" s="36"/>
      <c r="FO400" s="36"/>
      <c r="FP400" s="36"/>
      <c r="FQ400" s="36"/>
      <c r="FR400" s="36"/>
      <c r="FS400" s="36"/>
      <c r="FT400" s="36"/>
      <c r="FU400" s="36"/>
      <c r="FV400" s="36"/>
      <c r="FW400" s="36"/>
      <c r="FX400" s="36"/>
      <c r="FY400" s="36"/>
      <c r="FZ400" s="36"/>
      <c r="GA400" s="36"/>
      <c r="GB400" s="319"/>
      <c r="GC400" s="179">
        <f t="shared" si="70"/>
        <v>0</v>
      </c>
      <c r="GD400" s="179">
        <f t="shared" si="71"/>
        <v>0</v>
      </c>
      <c r="GE400" s="179">
        <f t="shared" si="72"/>
        <v>0</v>
      </c>
      <c r="GF400" s="179">
        <f t="shared" si="73"/>
        <v>0</v>
      </c>
      <c r="GG400" s="179">
        <f t="shared" si="69"/>
        <v>0</v>
      </c>
    </row>
    <row r="401" spans="1:342" x14ac:dyDescent="0.35">
      <c r="A401" s="5" t="s">
        <v>1633</v>
      </c>
      <c r="B401" s="6" t="str">
        <f>IF(Technologies!B401&lt;&gt;0,Technologies!B401,"")</f>
        <v>Industrie</v>
      </c>
      <c r="C401" s="5" t="str">
        <f>VLOOKUP($A401,Technologies!$A$7:$H$576,3,FALSE)</f>
        <v>Conversion</v>
      </c>
      <c r="D401" s="5" t="str">
        <f>VLOOKUP($A401,Technologies!$A$7:$H$576,4,FALSE)</f>
        <v>Ammonia</v>
      </c>
      <c r="E401" s="5" t="str">
        <f>VLOOKUP($A401,Technologies!$A$7:$H$576,6,FALSE)</f>
        <v>Ammonia</v>
      </c>
      <c r="F401" s="5" t="str">
        <f>VLOOKUP($A401,Technologies!$A$7:$H$576,7,FALSE)</f>
        <v>Haber Bosch with H2 from SMR - Ammonia Production</v>
      </c>
      <c r="G401" s="23">
        <v>0.5</v>
      </c>
      <c r="H401" s="23"/>
      <c r="I401" s="104" cm="1">
        <f t="array" ref="I401">-SUMPRODUCT((Feedstocks!$C$4:$C$141=A401)*Feedstocks!$E$4:$E$141,Feedstocks!$F$4:$F$141,Feedstocks!$H$4:$H$141,Feedstocks!$I$4:$I$141)</f>
        <v>0</v>
      </c>
      <c r="J401" s="104" cm="1">
        <f t="array" ref="J401">-SUMPRODUCT((Feedstocks!$C$4:$C$141=A401)*Feedstocks!$E$4:$E$141,Feedstocks!$H$4:$H$141,Feedstocks!$I$4:$I$141)</f>
        <v>0</v>
      </c>
      <c r="K401" s="104"/>
      <c r="L401" s="104"/>
      <c r="M401" s="23">
        <v>1</v>
      </c>
      <c r="N401" s="23" t="str">
        <f>VLOOKUP(E401,Activities!$A$9:$M$227,13,FALSE)</f>
        <v>NL</v>
      </c>
      <c r="O401" s="23"/>
      <c r="P401" s="79" t="s">
        <v>792</v>
      </c>
      <c r="Q401" s="35"/>
      <c r="R401" s="35"/>
      <c r="S401" s="35"/>
      <c r="T401" s="35"/>
      <c r="U401" s="35"/>
      <c r="V401" s="35"/>
      <c r="W401" s="35"/>
      <c r="X401" s="35"/>
      <c r="Y401" s="35"/>
      <c r="Z401" s="35"/>
      <c r="AA401" s="35"/>
      <c r="AB401" s="35"/>
      <c r="AC401" s="35"/>
      <c r="AD401" s="35"/>
      <c r="AE401" s="35"/>
      <c r="AF401" s="36"/>
      <c r="AG401" s="36"/>
      <c r="AH401" s="36"/>
      <c r="AI401" s="36"/>
      <c r="AJ401" s="36"/>
      <c r="AK401" s="36"/>
      <c r="AL401" s="36"/>
      <c r="AM401" s="36"/>
      <c r="AN401" s="36"/>
      <c r="AO401" s="36"/>
      <c r="AP401" s="35"/>
      <c r="AQ401" s="35"/>
      <c r="AR401" s="35"/>
      <c r="AS401" s="35"/>
      <c r="AT401" s="35"/>
      <c r="AU401" s="35"/>
      <c r="AV401" s="35"/>
      <c r="AW401" s="35"/>
      <c r="AX401" s="35"/>
      <c r="AY401" s="35"/>
      <c r="AZ401" s="35"/>
      <c r="BA401" s="35"/>
      <c r="BB401" s="35"/>
      <c r="BC401" s="35"/>
      <c r="BD401" s="35"/>
      <c r="BE401" s="35"/>
      <c r="BF401" s="35"/>
      <c r="BG401" s="35"/>
      <c r="BH401" s="35"/>
      <c r="BI401" s="35"/>
      <c r="BJ401" s="35"/>
      <c r="BK401" s="35"/>
      <c r="BL401" s="35"/>
      <c r="BM401" s="35"/>
      <c r="BN401" s="35"/>
      <c r="BO401" s="35"/>
      <c r="BP401" s="35"/>
      <c r="BQ401" s="35"/>
      <c r="BR401" s="35"/>
      <c r="BS401" s="35"/>
      <c r="BT401" s="35"/>
      <c r="BU401" s="35"/>
      <c r="BV401" s="35"/>
      <c r="BW401" s="35"/>
      <c r="BX401" s="35"/>
      <c r="BY401" s="35"/>
      <c r="BZ401" s="35"/>
      <c r="CA401" s="35"/>
      <c r="CB401" s="35"/>
      <c r="CC401" s="35"/>
      <c r="CD401" s="35"/>
      <c r="CE401" s="35"/>
      <c r="CF401" s="35"/>
      <c r="CG401" s="35"/>
      <c r="CH401" s="35"/>
      <c r="CI401" s="35"/>
      <c r="CJ401" s="35"/>
      <c r="CK401" s="35"/>
      <c r="CL401" s="35"/>
      <c r="CM401" s="35"/>
      <c r="CN401" s="35"/>
      <c r="CO401" s="35"/>
      <c r="CP401" s="35"/>
      <c r="CQ401" s="35"/>
      <c r="CR401" s="35"/>
      <c r="CS401" s="35"/>
      <c r="CT401" s="35"/>
      <c r="CU401" s="35"/>
      <c r="CV401" s="35"/>
      <c r="CW401" s="35"/>
      <c r="CX401" s="35"/>
      <c r="CY401" s="35"/>
      <c r="CZ401" s="35"/>
      <c r="DA401" s="35"/>
      <c r="DB401" s="35"/>
      <c r="DC401" s="35"/>
      <c r="DD401" s="35"/>
      <c r="DE401" s="35"/>
      <c r="DF401" s="35"/>
      <c r="DG401" s="35"/>
      <c r="DH401" s="35">
        <v>-6.4102564102564097E-2</v>
      </c>
      <c r="DI401" s="35"/>
      <c r="DJ401" s="35"/>
      <c r="DK401" s="35"/>
      <c r="DL401" s="35"/>
      <c r="DM401" s="35"/>
      <c r="DN401" s="35"/>
      <c r="DO401" s="35">
        <v>0</v>
      </c>
      <c r="DP401" s="35"/>
      <c r="DQ401" s="35"/>
      <c r="DR401" s="35"/>
      <c r="DS401" s="35"/>
      <c r="DT401" s="35"/>
      <c r="DU401" s="35"/>
      <c r="DV401" s="35"/>
      <c r="DW401" s="35"/>
      <c r="DX401" s="35"/>
      <c r="DY401" s="35"/>
      <c r="DZ401" s="35"/>
      <c r="EA401" s="35"/>
      <c r="EB401" s="35"/>
      <c r="EC401" s="35"/>
      <c r="ED401" s="35"/>
      <c r="EE401" s="35"/>
      <c r="EF401" s="35"/>
      <c r="EG401" s="35"/>
      <c r="EH401" s="35"/>
      <c r="EI401" s="35"/>
      <c r="EJ401" s="35">
        <v>-1.5138945239407278</v>
      </c>
      <c r="EK401" s="35"/>
      <c r="EL401" s="35"/>
      <c r="EM401" s="35"/>
      <c r="EN401" s="35"/>
      <c r="EO401" s="35"/>
      <c r="EP401" s="35"/>
      <c r="EQ401" s="35">
        <v>1</v>
      </c>
      <c r="ER401" s="35"/>
      <c r="ES401" s="35"/>
      <c r="ET401" s="35"/>
      <c r="EU401" s="35"/>
      <c r="EV401" s="35"/>
      <c r="EW401" s="35"/>
      <c r="EX401" s="35"/>
      <c r="EY401" s="35"/>
      <c r="EZ401" s="35"/>
      <c r="FA401" s="35"/>
      <c r="FB401" s="35"/>
      <c r="FC401" s="35"/>
      <c r="FD401" s="35"/>
      <c r="FE401" s="35"/>
      <c r="FF401" s="35"/>
      <c r="FG401" s="35"/>
      <c r="FH401" s="35"/>
      <c r="FI401" s="35"/>
      <c r="FJ401" s="35"/>
      <c r="FK401" s="35"/>
      <c r="FL401" s="35"/>
      <c r="FM401" s="35"/>
      <c r="FN401" s="35"/>
      <c r="FO401" s="35"/>
      <c r="FP401" s="35"/>
      <c r="FQ401" s="35"/>
      <c r="FR401" s="35"/>
      <c r="FS401" s="35"/>
      <c r="FT401" s="35"/>
      <c r="FU401" s="35"/>
      <c r="FV401" s="35"/>
      <c r="FW401" s="35"/>
      <c r="FX401" s="35"/>
      <c r="FY401" s="35"/>
      <c r="FZ401" s="35"/>
      <c r="GA401" s="35"/>
      <c r="GB401" s="318"/>
      <c r="GC401" s="178">
        <f t="shared" ref="GC401:GC435" si="74">ROUND(IF($C401="Primary",0,-$G401*(SUMPRODUCT($Q$4:$GA$4,$Q401:$GA401)+$J401)-$H401)*IF($N401=GC$4,1,0),4)</f>
        <v>4.2799999999999998E-2</v>
      </c>
      <c r="GD401" s="178">
        <f t="shared" ref="GD401:GD435" si="75">ROUND(IF($C401="Primary",0,$M401*(1-$O401)*($G401*(SUMPRODUCT($Q$4:$GA$4,$Q401:$GA401)+$J401)+$H401-SUMPRODUCT($Q$5:$GA$5,$Q401:$GA401)-$I401+$K401))*IF($N401=GD$4,1,0),4)</f>
        <v>4.2799999999999998E-2</v>
      </c>
      <c r="GE401" s="178">
        <f t="shared" ref="GE401:GE432" si="76">ROUND(IF($C401="Primary",0,(1-$M401)*(1-$O401)*($G401*(SUMPRODUCT($Q$4:$GA$4,$Q401:$GA401)+$J401)+$H401-SUMPRODUCT($Q$5:$GA$5,$Q401:$GA401)-$I401+$L401))*IF($N401=GD$4,1,0),4)</f>
        <v>0</v>
      </c>
      <c r="GF401" s="178">
        <f t="shared" si="73"/>
        <v>0</v>
      </c>
      <c r="GG401" s="178">
        <f t="shared" si="69"/>
        <v>0</v>
      </c>
    </row>
    <row r="402" spans="1:342" x14ac:dyDescent="0.35">
      <c r="A402" s="6" t="s">
        <v>1636</v>
      </c>
      <c r="B402" s="6" t="str">
        <f>IF(Technologies!B402&lt;&gt;0,Technologies!B402,"")</f>
        <v>Industrie</v>
      </c>
      <c r="C402" s="6" t="str">
        <f>VLOOKUP($A402,Technologies!$A$7:$H$576,3,FALSE)</f>
        <v>Conversion</v>
      </c>
      <c r="D402" s="6" t="str">
        <f>VLOOKUP($A402,Technologies!$A$7:$H$576,4,FALSE)</f>
        <v>Ammonia</v>
      </c>
      <c r="E402" s="6" t="str">
        <f>VLOOKUP($A402,Technologies!$A$7:$H$576,6,FALSE)</f>
        <v>Ammonia</v>
      </c>
      <c r="F402" s="5" t="str">
        <f>VLOOKUP($A402,Technologies!$A$7:$H$576,7,FALSE)</f>
        <v>Haber Bosch with H2 from SMR wCCUS - Ammonia Production</v>
      </c>
      <c r="G402" s="22">
        <v>0.96846846846846846</v>
      </c>
      <c r="H402" s="22"/>
      <c r="I402" s="103" cm="1">
        <f t="array" ref="I402">-SUMPRODUCT((Feedstocks!$C$4:$C$141=A402)*Feedstocks!$E$4:$E$141,Feedstocks!$F$4:$F$141,Feedstocks!$H$4:$H$141,Feedstocks!$I$4:$I$141)</f>
        <v>0</v>
      </c>
      <c r="J402" s="103" cm="1">
        <f t="array" ref="J402">-SUMPRODUCT((Feedstocks!$C$4:$C$141=A402)*Feedstocks!$E$4:$E$141,Feedstocks!$H$4:$H$141,Feedstocks!$I$4:$I$141)</f>
        <v>0</v>
      </c>
      <c r="K402" s="103"/>
      <c r="L402" s="103"/>
      <c r="M402" s="22">
        <v>1</v>
      </c>
      <c r="N402" s="22" t="str">
        <f>VLOOKUP(E402,Activities!$A$9:$M$227,13,FALSE)</f>
        <v>NL</v>
      </c>
      <c r="O402" s="22"/>
      <c r="P402" s="79" t="s">
        <v>792</v>
      </c>
      <c r="Q402" s="36"/>
      <c r="R402" s="36"/>
      <c r="S402" s="36"/>
      <c r="T402" s="36"/>
      <c r="U402" s="36"/>
      <c r="V402" s="36"/>
      <c r="W402" s="36"/>
      <c r="X402" s="36"/>
      <c r="Y402" s="36"/>
      <c r="Z402" s="36"/>
      <c r="AA402" s="36"/>
      <c r="AB402" s="36"/>
      <c r="AC402" s="36"/>
      <c r="AD402" s="36"/>
      <c r="AE402" s="36"/>
      <c r="AF402" s="35"/>
      <c r="AG402" s="35"/>
      <c r="AH402" s="35"/>
      <c r="AI402" s="35"/>
      <c r="AJ402" s="35"/>
      <c r="AK402" s="35"/>
      <c r="AL402" s="35"/>
      <c r="AM402" s="35"/>
      <c r="AN402" s="35"/>
      <c r="AO402" s="35"/>
      <c r="AP402" s="36"/>
      <c r="AQ402" s="36"/>
      <c r="AR402" s="36"/>
      <c r="AS402" s="36"/>
      <c r="AT402" s="36"/>
      <c r="AU402" s="36"/>
      <c r="AV402" s="36"/>
      <c r="AW402" s="36"/>
      <c r="AX402" s="36"/>
      <c r="AY402" s="36"/>
      <c r="AZ402" s="36"/>
      <c r="BA402" s="36"/>
      <c r="BB402" s="36"/>
      <c r="BC402" s="36"/>
      <c r="BD402" s="36"/>
      <c r="BE402" s="36"/>
      <c r="BF402" s="36"/>
      <c r="BG402" s="36"/>
      <c r="BH402" s="36"/>
      <c r="BI402" s="36"/>
      <c r="BJ402" s="36"/>
      <c r="BK402" s="36"/>
      <c r="BL402" s="36"/>
      <c r="BM402" s="36"/>
      <c r="BN402" s="36"/>
      <c r="BO402" s="36"/>
      <c r="BP402" s="36"/>
      <c r="BQ402" s="36"/>
      <c r="BR402" s="36"/>
      <c r="BS402" s="36"/>
      <c r="BT402" s="36"/>
      <c r="BU402" s="36"/>
      <c r="BV402" s="36"/>
      <c r="BW402" s="36"/>
      <c r="BX402" s="36"/>
      <c r="BY402" s="36"/>
      <c r="BZ402" s="36"/>
      <c r="CA402" s="36"/>
      <c r="CB402" s="36"/>
      <c r="CC402" s="36"/>
      <c r="CD402" s="36"/>
      <c r="CE402" s="36"/>
      <c r="CF402" s="36"/>
      <c r="CG402" s="36"/>
      <c r="CH402" s="36"/>
      <c r="CI402" s="36"/>
      <c r="CJ402" s="36"/>
      <c r="CK402" s="36"/>
      <c r="CL402" s="36"/>
      <c r="CM402" s="36"/>
      <c r="CN402" s="36"/>
      <c r="CO402" s="36"/>
      <c r="CP402" s="36"/>
      <c r="CQ402" s="36"/>
      <c r="CR402" s="36"/>
      <c r="CS402" s="36"/>
      <c r="CT402" s="36"/>
      <c r="CU402" s="36"/>
      <c r="CV402" s="36"/>
      <c r="CW402" s="36"/>
      <c r="CX402" s="36"/>
      <c r="CY402" s="36"/>
      <c r="CZ402" s="36"/>
      <c r="DA402" s="36"/>
      <c r="DB402" s="36"/>
      <c r="DC402" s="36"/>
      <c r="DD402" s="36"/>
      <c r="DE402" s="36"/>
      <c r="DF402" s="36"/>
      <c r="DG402" s="36"/>
      <c r="DH402" s="35">
        <v>-6.4102564102564097E-2</v>
      </c>
      <c r="DI402" s="36"/>
      <c r="DJ402" s="36"/>
      <c r="DK402" s="36"/>
      <c r="DL402" s="36"/>
      <c r="DM402" s="36"/>
      <c r="DN402" s="36"/>
      <c r="DO402" s="35">
        <v>0</v>
      </c>
      <c r="DP402" s="36"/>
      <c r="DQ402" s="36"/>
      <c r="DR402" s="36"/>
      <c r="DS402" s="36"/>
      <c r="DT402" s="36"/>
      <c r="DU402" s="36"/>
      <c r="DV402" s="36"/>
      <c r="DW402" s="36"/>
      <c r="DX402" s="36"/>
      <c r="DY402" s="36"/>
      <c r="DZ402" s="36"/>
      <c r="EA402" s="36"/>
      <c r="EB402" s="36"/>
      <c r="EC402" s="36"/>
      <c r="ED402" s="36"/>
      <c r="EE402" s="36"/>
      <c r="EF402" s="36"/>
      <c r="EG402" s="36"/>
      <c r="EH402" s="36"/>
      <c r="EI402" s="36"/>
      <c r="EJ402" s="35">
        <v>-1.5138945239407278</v>
      </c>
      <c r="EK402" s="36"/>
      <c r="EL402" s="36"/>
      <c r="EM402" s="36"/>
      <c r="EN402" s="36"/>
      <c r="EO402" s="36"/>
      <c r="EP402" s="36"/>
      <c r="EQ402" s="36">
        <v>1</v>
      </c>
      <c r="ER402" s="36"/>
      <c r="ES402" s="36"/>
      <c r="ET402" s="36"/>
      <c r="EU402" s="36"/>
      <c r="EV402" s="36"/>
      <c r="EW402" s="36"/>
      <c r="EX402" s="36"/>
      <c r="EY402" s="36"/>
      <c r="EZ402" s="36"/>
      <c r="FA402" s="36"/>
      <c r="FB402" s="36"/>
      <c r="FC402" s="36"/>
      <c r="FD402" s="36"/>
      <c r="FE402" s="36"/>
      <c r="FF402" s="36"/>
      <c r="FG402" s="36"/>
      <c r="FH402" s="36"/>
      <c r="FI402" s="36"/>
      <c r="FJ402" s="36"/>
      <c r="FK402" s="36"/>
      <c r="FL402" s="36"/>
      <c r="FM402" s="36"/>
      <c r="FN402" s="36"/>
      <c r="FO402" s="36"/>
      <c r="FP402" s="36"/>
      <c r="FQ402" s="36"/>
      <c r="FR402" s="36"/>
      <c r="FS402" s="36"/>
      <c r="FT402" s="36"/>
      <c r="FU402" s="36"/>
      <c r="FV402" s="36"/>
      <c r="FW402" s="36"/>
      <c r="FX402" s="36"/>
      <c r="FY402" s="36"/>
      <c r="FZ402" s="36"/>
      <c r="GA402" s="36"/>
      <c r="GB402" s="319"/>
      <c r="GC402" s="179">
        <f t="shared" si="74"/>
        <v>8.3000000000000004E-2</v>
      </c>
      <c r="GD402" s="179">
        <f t="shared" si="75"/>
        <v>2.7000000000000001E-3</v>
      </c>
      <c r="GE402" s="179">
        <f t="shared" si="76"/>
        <v>0</v>
      </c>
      <c r="GF402" s="179">
        <f t="shared" ref="GF402:GF435" si="77">ROUND(IF($C402="Primary",0,$O402*($G402*(SUMPRODUCT($Q$4:$GA$4,$Q402:$GA402)+$J402)-SUMPRODUCT($Q$5:$GA$5,$Q402:$GA402)-$I402))*IF($N402=GD$4,1,0),4)</f>
        <v>0</v>
      </c>
      <c r="GG402" s="179">
        <f t="shared" si="69"/>
        <v>0</v>
      </c>
    </row>
    <row r="403" spans="1:342" x14ac:dyDescent="0.35">
      <c r="A403" s="5" t="s">
        <v>1638</v>
      </c>
      <c r="B403" s="6" t="str">
        <f>IF(Technologies!B403&lt;&gt;0,Technologies!B403,"")</f>
        <v>Industrie</v>
      </c>
      <c r="C403" s="5" t="str">
        <f>VLOOKUP($A403,Technologies!$A$7:$H$576,3,FALSE)</f>
        <v>Conversion</v>
      </c>
      <c r="D403" s="5" t="str">
        <f>VLOOKUP($A403,Technologies!$A$7:$H$576,4,FALSE)</f>
        <v>Ammonia</v>
      </c>
      <c r="E403" s="5" t="str">
        <f>VLOOKUP($A403,Technologies!$A$7:$H$576,6,FALSE)</f>
        <v>Ammonia</v>
      </c>
      <c r="F403" s="5" t="str">
        <f>VLOOKUP($A403,Technologies!$A$7:$H$576,7,FALSE)</f>
        <v>Haber Bosch with external H2 - Ammonia Production</v>
      </c>
      <c r="G403" s="23"/>
      <c r="H403" s="23"/>
      <c r="I403" s="104" cm="1">
        <f t="array" ref="I403">-SUMPRODUCT((Feedstocks!$C$4:$C$141=A403)*Feedstocks!$E$4:$E$141,Feedstocks!$F$4:$F$141,Feedstocks!$H$4:$H$141,Feedstocks!$I$4:$I$141)</f>
        <v>0</v>
      </c>
      <c r="J403" s="104" cm="1">
        <f t="array" ref="J403">-SUMPRODUCT((Feedstocks!$C$4:$C$141=A403)*Feedstocks!$E$4:$E$141,Feedstocks!$H$4:$H$141,Feedstocks!$I$4:$I$141)</f>
        <v>0</v>
      </c>
      <c r="K403" s="104"/>
      <c r="L403" s="104"/>
      <c r="M403" s="23">
        <v>1</v>
      </c>
      <c r="N403" s="23" t="str">
        <f>VLOOKUP(E403,Activities!$A$9:$M$227,13,FALSE)</f>
        <v>NL</v>
      </c>
      <c r="O403" s="23"/>
      <c r="P403" s="79" t="s">
        <v>792</v>
      </c>
      <c r="Q403" s="35"/>
      <c r="R403" s="35"/>
      <c r="S403" s="35"/>
      <c r="T403" s="35"/>
      <c r="U403" s="35"/>
      <c r="V403" s="35"/>
      <c r="W403" s="35"/>
      <c r="X403" s="35"/>
      <c r="Y403" s="35"/>
      <c r="Z403" s="35"/>
      <c r="AA403" s="35"/>
      <c r="AB403" s="35"/>
      <c r="AC403" s="35"/>
      <c r="AD403" s="35"/>
      <c r="AE403" s="35"/>
      <c r="AF403" s="36"/>
      <c r="AG403" s="36"/>
      <c r="AH403" s="36"/>
      <c r="AI403" s="36"/>
      <c r="AJ403" s="36"/>
      <c r="AK403" s="36"/>
      <c r="AL403" s="36"/>
      <c r="AM403" s="36"/>
      <c r="AN403" s="36"/>
      <c r="AO403" s="36"/>
      <c r="AP403" s="35"/>
      <c r="AQ403" s="35"/>
      <c r="AR403" s="35"/>
      <c r="AS403" s="35"/>
      <c r="AT403" s="35"/>
      <c r="AU403" s="35"/>
      <c r="AV403" s="35"/>
      <c r="AW403" s="35"/>
      <c r="AX403" s="35"/>
      <c r="AY403" s="35"/>
      <c r="AZ403" s="35"/>
      <c r="BA403" s="35"/>
      <c r="BB403" s="35"/>
      <c r="BC403" s="35"/>
      <c r="BD403" s="35"/>
      <c r="BE403" s="35"/>
      <c r="BF403" s="35"/>
      <c r="BG403" s="35"/>
      <c r="BH403" s="35"/>
      <c r="BI403" s="35"/>
      <c r="BJ403" s="35"/>
      <c r="BK403" s="35"/>
      <c r="BL403" s="35"/>
      <c r="BM403" s="35"/>
      <c r="BN403" s="35"/>
      <c r="BO403" s="35"/>
      <c r="BP403" s="35"/>
      <c r="BQ403" s="35"/>
      <c r="BR403" s="35"/>
      <c r="BS403" s="35"/>
      <c r="BT403" s="35"/>
      <c r="BU403" s="35"/>
      <c r="BV403" s="35"/>
      <c r="BW403" s="35"/>
      <c r="BX403" s="35"/>
      <c r="BY403" s="35"/>
      <c r="BZ403" s="35"/>
      <c r="CA403" s="35"/>
      <c r="CB403" s="35"/>
      <c r="CC403" s="35"/>
      <c r="CD403" s="35"/>
      <c r="CE403" s="35"/>
      <c r="CF403" s="35"/>
      <c r="CG403" s="35"/>
      <c r="CH403" s="35"/>
      <c r="CI403" s="35"/>
      <c r="CJ403" s="35"/>
      <c r="CK403" s="35"/>
      <c r="CL403" s="35"/>
      <c r="CM403" s="35"/>
      <c r="CN403" s="35"/>
      <c r="CO403" s="35"/>
      <c r="CP403" s="35"/>
      <c r="CQ403" s="35"/>
      <c r="CR403" s="35"/>
      <c r="CS403" s="35"/>
      <c r="CT403" s="35"/>
      <c r="CU403" s="35"/>
      <c r="CV403" s="35"/>
      <c r="CW403" s="35"/>
      <c r="CX403" s="35"/>
      <c r="CY403" s="35"/>
      <c r="CZ403" s="35"/>
      <c r="DA403" s="35"/>
      <c r="DB403" s="35"/>
      <c r="DC403" s="35"/>
      <c r="DD403" s="35"/>
      <c r="DE403" s="35"/>
      <c r="DF403" s="35"/>
      <c r="DG403" s="35"/>
      <c r="DH403" s="35">
        <f>-0.1</f>
        <v>-0.1</v>
      </c>
      <c r="DI403" s="35"/>
      <c r="DJ403" s="35"/>
      <c r="DK403" s="35"/>
      <c r="DL403" s="35"/>
      <c r="DM403" s="35"/>
      <c r="DN403" s="35"/>
      <c r="DO403" s="35">
        <f>0.13</f>
        <v>0.13</v>
      </c>
      <c r="DP403" s="35"/>
      <c r="DQ403" s="35"/>
      <c r="DR403" s="35"/>
      <c r="DS403" s="35"/>
      <c r="DT403" s="35"/>
      <c r="DU403" s="35"/>
      <c r="DV403" s="35"/>
      <c r="DW403" s="35"/>
      <c r="DX403" s="35"/>
      <c r="DY403" s="35"/>
      <c r="DZ403" s="35"/>
      <c r="EA403" s="35"/>
      <c r="EB403" s="35"/>
      <c r="EC403" s="35"/>
      <c r="ED403" s="35"/>
      <c r="EE403" s="35"/>
      <c r="EF403" s="35"/>
      <c r="EG403" s="35"/>
      <c r="EH403" s="35"/>
      <c r="EI403" s="35"/>
      <c r="EJ403" s="35"/>
      <c r="EK403" s="35"/>
      <c r="EL403" s="35"/>
      <c r="EM403" s="35">
        <f>-1.145</f>
        <v>-1.145</v>
      </c>
      <c r="EN403" s="35"/>
      <c r="EO403" s="35"/>
      <c r="EP403" s="35"/>
      <c r="EQ403" s="35">
        <v>1</v>
      </c>
      <c r="ER403" s="35"/>
      <c r="ES403" s="35"/>
      <c r="ET403" s="35"/>
      <c r="EU403" s="35"/>
      <c r="EV403" s="35"/>
      <c r="EW403" s="35"/>
      <c r="EX403" s="35"/>
      <c r="EY403" s="35"/>
      <c r="EZ403" s="35"/>
      <c r="FA403" s="35"/>
      <c r="FB403" s="35"/>
      <c r="FC403" s="35"/>
      <c r="FD403" s="35"/>
      <c r="FE403" s="35"/>
      <c r="FF403" s="35"/>
      <c r="FG403" s="35"/>
      <c r="FH403" s="35"/>
      <c r="FI403" s="35"/>
      <c r="FJ403" s="35"/>
      <c r="FK403" s="35"/>
      <c r="FL403" s="35"/>
      <c r="FM403" s="35"/>
      <c r="FN403" s="35"/>
      <c r="FO403" s="35"/>
      <c r="FP403" s="35"/>
      <c r="FQ403" s="35"/>
      <c r="FR403" s="35"/>
      <c r="FS403" s="35"/>
      <c r="FT403" s="35"/>
      <c r="FU403" s="35"/>
      <c r="FV403" s="35"/>
      <c r="FW403" s="35"/>
      <c r="FX403" s="35"/>
      <c r="FY403" s="35"/>
      <c r="FZ403" s="35"/>
      <c r="GA403" s="35"/>
      <c r="GB403" s="318"/>
      <c r="GC403" s="178">
        <f t="shared" si="74"/>
        <v>0</v>
      </c>
      <c r="GD403" s="178">
        <f t="shared" si="75"/>
        <v>0</v>
      </c>
      <c r="GE403" s="178">
        <f t="shared" si="76"/>
        <v>0</v>
      </c>
      <c r="GF403" s="178">
        <f t="shared" si="77"/>
        <v>0</v>
      </c>
      <c r="GG403" s="178">
        <f t="shared" si="69"/>
        <v>0</v>
      </c>
    </row>
    <row r="404" spans="1:342" s="261" customFormat="1" x14ac:dyDescent="0.35">
      <c r="A404" s="256" t="s">
        <v>1640</v>
      </c>
      <c r="B404" s="6" t="str">
        <f>IF(Technologies!B404&lt;&gt;0,Technologies!B404,"")</f>
        <v>Industrie</v>
      </c>
      <c r="C404" s="256" t="str">
        <f>VLOOKUP($A404,Technologies!$A$7:$H$576,3,FALSE)</f>
        <v>Conversion</v>
      </c>
      <c r="D404" s="256" t="str">
        <f>VLOOKUP($A404,Technologies!$A$7:$H$576,4,FALSE)</f>
        <v>Ammonia</v>
      </c>
      <c r="E404" s="256" t="str">
        <f>VLOOKUP($A404,Technologies!$A$7:$H$576,6,FALSE)</f>
        <v>Ammonia</v>
      </c>
      <c r="F404" s="256" t="str">
        <f>VLOOKUP($A404,Technologies!$A$7:$H$576,7,FALSE)</f>
        <v>Haber Bosch with renewable external H2 - Ammonia Production</v>
      </c>
      <c r="G404" s="262"/>
      <c r="H404" s="262"/>
      <c r="I404" s="264" cm="1">
        <f t="array" ref="I404">-SUMPRODUCT((Feedstocks!$C$4:$C$141=A404)*Feedstocks!$E$4:$E$141,Feedstocks!$F$4:$F$141,Feedstocks!$H$4:$H$141,Feedstocks!$I$4:$I$141)</f>
        <v>0</v>
      </c>
      <c r="J404" s="264" cm="1">
        <f t="array" ref="J404">-SUMPRODUCT((Feedstocks!$C$4:$C$141=A404)*Feedstocks!$E$4:$E$141,Feedstocks!$H$4:$H$141,Feedstocks!$I$4:$I$141)</f>
        <v>0</v>
      </c>
      <c r="K404" s="264"/>
      <c r="L404" s="264"/>
      <c r="M404" s="262">
        <v>1</v>
      </c>
      <c r="N404" s="262" t="str">
        <f>VLOOKUP(E404,Activities!$A$9:$M$227,13,FALSE)</f>
        <v>NL</v>
      </c>
      <c r="O404" s="262"/>
      <c r="P404" s="79" t="s">
        <v>792</v>
      </c>
      <c r="Q404" s="266"/>
      <c r="R404" s="266"/>
      <c r="S404" s="266"/>
      <c r="T404" s="266"/>
      <c r="U404" s="266"/>
      <c r="V404" s="266"/>
      <c r="W404" s="266"/>
      <c r="X404" s="266"/>
      <c r="Y404" s="266"/>
      <c r="Z404" s="266"/>
      <c r="AA404" s="266"/>
      <c r="AB404" s="266"/>
      <c r="AC404" s="266"/>
      <c r="AD404" s="266"/>
      <c r="AE404" s="266"/>
      <c r="AF404" s="266"/>
      <c r="AG404" s="266"/>
      <c r="AH404" s="266"/>
      <c r="AI404" s="266"/>
      <c r="AJ404" s="266"/>
      <c r="AK404" s="266"/>
      <c r="AL404" s="266"/>
      <c r="AM404" s="266"/>
      <c r="AN404" s="266"/>
      <c r="AO404" s="266"/>
      <c r="AP404" s="266"/>
      <c r="AQ404" s="266"/>
      <c r="AR404" s="266"/>
      <c r="AS404" s="266"/>
      <c r="AT404" s="266"/>
      <c r="AU404" s="266"/>
      <c r="AV404" s="266"/>
      <c r="AW404" s="266"/>
      <c r="AX404" s="266"/>
      <c r="AY404" s="266"/>
      <c r="AZ404" s="266"/>
      <c r="BA404" s="266"/>
      <c r="BB404" s="266"/>
      <c r="BC404" s="266"/>
      <c r="BD404" s="266"/>
      <c r="BE404" s="266"/>
      <c r="BF404" s="266"/>
      <c r="BG404" s="266"/>
      <c r="BH404" s="266"/>
      <c r="BI404" s="266"/>
      <c r="BJ404" s="266"/>
      <c r="BK404" s="266"/>
      <c r="BL404" s="266"/>
      <c r="BM404" s="266"/>
      <c r="BN404" s="266"/>
      <c r="BO404" s="266"/>
      <c r="BP404" s="266"/>
      <c r="BQ404" s="266"/>
      <c r="BR404" s="266"/>
      <c r="BS404" s="266"/>
      <c r="BT404" s="266"/>
      <c r="BU404" s="266"/>
      <c r="BV404" s="266"/>
      <c r="BW404" s="266"/>
      <c r="BX404" s="266"/>
      <c r="BY404" s="266"/>
      <c r="BZ404" s="266"/>
      <c r="CA404" s="266"/>
      <c r="CB404" s="266"/>
      <c r="CC404" s="266"/>
      <c r="CD404" s="266"/>
      <c r="CE404" s="266"/>
      <c r="CF404" s="266"/>
      <c r="CG404" s="266"/>
      <c r="CH404" s="266"/>
      <c r="CI404" s="266"/>
      <c r="CJ404" s="266"/>
      <c r="CK404" s="266"/>
      <c r="CL404" s="266"/>
      <c r="CM404" s="266"/>
      <c r="CN404" s="266"/>
      <c r="CO404" s="266"/>
      <c r="CP404" s="266"/>
      <c r="CQ404" s="266"/>
      <c r="CR404" s="266"/>
      <c r="CS404" s="266"/>
      <c r="CT404" s="266"/>
      <c r="CU404" s="266"/>
      <c r="CV404" s="266"/>
      <c r="CW404" s="266"/>
      <c r="CX404" s="266"/>
      <c r="CY404" s="266"/>
      <c r="CZ404" s="266"/>
      <c r="DA404" s="266"/>
      <c r="DB404" s="266"/>
      <c r="DC404" s="266"/>
      <c r="DD404" s="266"/>
      <c r="DE404" s="266"/>
      <c r="DF404" s="266"/>
      <c r="DG404" s="266"/>
      <c r="DH404" s="266">
        <f>-0.1</f>
        <v>-0.1</v>
      </c>
      <c r="DI404" s="266"/>
      <c r="DJ404" s="266"/>
      <c r="DK404" s="266"/>
      <c r="DL404" s="266"/>
      <c r="DM404" s="266"/>
      <c r="DN404" s="266"/>
      <c r="DO404" s="266">
        <f>0.13</f>
        <v>0.13</v>
      </c>
      <c r="DP404" s="266"/>
      <c r="DQ404" s="266"/>
      <c r="DR404" s="266"/>
      <c r="DS404" s="266"/>
      <c r="DT404" s="266"/>
      <c r="DU404" s="266"/>
      <c r="DV404" s="266"/>
      <c r="DW404" s="266"/>
      <c r="DX404" s="266"/>
      <c r="DY404" s="266"/>
      <c r="DZ404" s="266"/>
      <c r="EA404" s="266"/>
      <c r="EB404" s="266"/>
      <c r="EC404" s="266"/>
      <c r="ED404" s="266"/>
      <c r="EE404" s="266"/>
      <c r="EF404" s="266"/>
      <c r="EG404" s="266"/>
      <c r="EH404" s="266"/>
      <c r="EI404" s="266"/>
      <c r="EJ404" s="266"/>
      <c r="EK404" s="266"/>
      <c r="EL404" s="266"/>
      <c r="EM404" s="266">
        <f>-1.145</f>
        <v>-1.145</v>
      </c>
      <c r="EN404" s="266"/>
      <c r="EO404" s="266"/>
      <c r="EP404" s="266"/>
      <c r="EQ404" s="266">
        <v>1</v>
      </c>
      <c r="ER404" s="266"/>
      <c r="ES404" s="266"/>
      <c r="ET404" s="266"/>
      <c r="EU404" s="266"/>
      <c r="EV404" s="266"/>
      <c r="EW404" s="266"/>
      <c r="EX404" s="266"/>
      <c r="EY404" s="266"/>
      <c r="EZ404" s="266"/>
      <c r="FA404" s="266"/>
      <c r="FB404" s="266"/>
      <c r="FC404" s="266"/>
      <c r="FD404" s="266"/>
      <c r="FE404" s="266"/>
      <c r="FF404" s="266"/>
      <c r="FG404" s="266"/>
      <c r="FH404" s="266"/>
      <c r="FI404" s="266"/>
      <c r="FJ404" s="266"/>
      <c r="FK404" s="266"/>
      <c r="FL404" s="266"/>
      <c r="FM404" s="266"/>
      <c r="FN404" s="266"/>
      <c r="FO404" s="266"/>
      <c r="FP404" s="266"/>
      <c r="FQ404" s="266"/>
      <c r="FR404" s="266"/>
      <c r="FS404" s="266"/>
      <c r="FT404" s="266"/>
      <c r="FU404" s="266"/>
      <c r="FV404" s="266"/>
      <c r="FW404" s="266"/>
      <c r="FX404" s="266"/>
      <c r="FY404" s="266"/>
      <c r="FZ404" s="266"/>
      <c r="GA404" s="266"/>
      <c r="GB404" s="321"/>
      <c r="GC404" s="267">
        <f t="shared" si="74"/>
        <v>0</v>
      </c>
      <c r="GD404" s="267">
        <f t="shared" si="75"/>
        <v>0</v>
      </c>
      <c r="GE404" s="267">
        <f t="shared" si="76"/>
        <v>0</v>
      </c>
      <c r="GF404" s="267">
        <f t="shared" si="77"/>
        <v>0</v>
      </c>
      <c r="GG404" s="267">
        <f t="shared" si="69"/>
        <v>0</v>
      </c>
      <c r="GI404" s="1"/>
      <c r="GJ404" s="1"/>
      <c r="GK404" s="1"/>
      <c r="GL404" s="1"/>
      <c r="GM404" s="1"/>
      <c r="GN404" s="1"/>
      <c r="GO404" s="1"/>
      <c r="GP404" s="1"/>
      <c r="GQ404" s="1"/>
      <c r="GR404" s="1"/>
      <c r="GS404" s="1"/>
      <c r="GT404" s="1"/>
      <c r="GU404" s="1"/>
      <c r="GV404" s="1"/>
      <c r="GW404" s="1"/>
      <c r="GX404" s="1"/>
      <c r="GY404" s="1"/>
      <c r="GZ404" s="1"/>
      <c r="HA404" s="1"/>
      <c r="HB404" s="1"/>
      <c r="HC404" s="1"/>
      <c r="HD404" s="1"/>
      <c r="HE404" s="1"/>
      <c r="HF404" s="1"/>
      <c r="HG404" s="1"/>
      <c r="HH404" s="1"/>
      <c r="HI404" s="1"/>
      <c r="HJ404" s="1"/>
      <c r="HK404" s="1"/>
      <c r="HL404" s="1"/>
      <c r="HM404" s="1"/>
      <c r="HN404" s="1"/>
      <c r="HO404" s="1"/>
      <c r="HP404" s="1"/>
      <c r="HQ404" s="1"/>
      <c r="HR404" s="1"/>
      <c r="HS404" s="1"/>
      <c r="HT404" s="1"/>
      <c r="HU404" s="1"/>
      <c r="HV404" s="1"/>
      <c r="HW404" s="1"/>
      <c r="HX404" s="1"/>
      <c r="HY404" s="1"/>
      <c r="HZ404" s="1"/>
      <c r="IA404" s="1"/>
      <c r="IB404" s="1"/>
      <c r="IC404" s="1"/>
      <c r="ID404" s="1"/>
      <c r="IE404" s="1"/>
      <c r="IF404" s="1"/>
      <c r="IG404" s="1"/>
      <c r="IH404" s="1"/>
      <c r="II404" s="1"/>
      <c r="IJ404" s="1"/>
      <c r="IK404" s="1"/>
      <c r="IL404" s="1"/>
      <c r="IM404" s="1"/>
      <c r="IN404" s="1"/>
      <c r="IO404" s="1"/>
      <c r="IP404" s="1"/>
      <c r="IQ404" s="1"/>
      <c r="IR404" s="1"/>
      <c r="IS404" s="1"/>
      <c r="IT404" s="1"/>
      <c r="IU404" s="1"/>
      <c r="IV404" s="1"/>
      <c r="IW404" s="1"/>
      <c r="IX404" s="1"/>
      <c r="IY404" s="1"/>
      <c r="IZ404" s="1"/>
      <c r="JA404" s="1"/>
      <c r="JB404" s="1"/>
      <c r="JC404" s="1"/>
      <c r="JD404" s="1"/>
      <c r="JE404" s="1"/>
      <c r="JF404" s="1"/>
      <c r="JG404" s="1"/>
      <c r="JH404" s="1"/>
      <c r="JI404" s="1"/>
      <c r="JJ404" s="1"/>
      <c r="JK404" s="1"/>
      <c r="JL404" s="1"/>
      <c r="JM404" s="1"/>
      <c r="JN404" s="1"/>
      <c r="JO404" s="1"/>
      <c r="JP404" s="1"/>
      <c r="JQ404" s="1"/>
      <c r="JR404" s="1"/>
      <c r="JS404" s="1"/>
      <c r="JT404" s="1"/>
      <c r="JU404" s="1"/>
      <c r="JV404" s="1"/>
      <c r="JW404" s="1"/>
      <c r="JX404" s="1"/>
      <c r="JY404" s="1"/>
      <c r="JZ404" s="1"/>
      <c r="KA404" s="1"/>
      <c r="KB404" s="1"/>
      <c r="KC404" s="1"/>
      <c r="KD404" s="1"/>
      <c r="KE404" s="1"/>
      <c r="KF404" s="1"/>
      <c r="KG404" s="1"/>
      <c r="KH404" s="1"/>
      <c r="KI404" s="1"/>
      <c r="KJ404" s="1"/>
      <c r="KK404" s="1"/>
      <c r="KL404" s="1"/>
      <c r="KM404" s="1"/>
      <c r="KN404" s="1"/>
      <c r="KO404" s="1"/>
      <c r="KP404" s="1"/>
      <c r="KQ404" s="1"/>
      <c r="KR404" s="1"/>
      <c r="KS404" s="1"/>
      <c r="KT404" s="1"/>
      <c r="KU404" s="1"/>
      <c r="KV404" s="1"/>
      <c r="KW404" s="1"/>
      <c r="KX404" s="1"/>
      <c r="KY404" s="1"/>
      <c r="KZ404" s="1"/>
      <c r="LA404" s="1"/>
      <c r="LB404" s="1"/>
      <c r="LC404" s="1"/>
      <c r="LD404" s="1"/>
      <c r="LE404" s="1"/>
      <c r="LF404" s="1"/>
      <c r="LG404" s="1"/>
      <c r="LH404" s="1"/>
      <c r="LI404" s="1"/>
      <c r="LJ404" s="1"/>
      <c r="LK404" s="1"/>
      <c r="LL404" s="1"/>
      <c r="LM404" s="1"/>
      <c r="LN404" s="1"/>
      <c r="LO404" s="1"/>
      <c r="LP404" s="1"/>
      <c r="LQ404" s="1"/>
      <c r="LR404" s="1"/>
      <c r="LS404" s="1"/>
      <c r="LT404" s="1"/>
      <c r="LU404" s="1"/>
      <c r="LV404" s="1"/>
      <c r="LW404" s="1"/>
      <c r="LX404" s="1"/>
      <c r="LY404" s="1"/>
      <c r="LZ404" s="1"/>
      <c r="MA404" s="1"/>
      <c r="MB404" s="1"/>
      <c r="MC404" s="1"/>
      <c r="MD404" s="1"/>
    </row>
    <row r="405" spans="1:342" x14ac:dyDescent="0.35">
      <c r="A405" s="6" t="s">
        <v>1642</v>
      </c>
      <c r="B405" s="6" t="str">
        <f>IF(Technologies!B405&lt;&gt;0,Technologies!B405,"")</f>
        <v>Industrie</v>
      </c>
      <c r="C405" s="6" t="str">
        <f>VLOOKUP($A405,Technologies!$A$7:$H$576,3,FALSE)</f>
        <v>Conversion</v>
      </c>
      <c r="D405" s="6" t="str">
        <f>VLOOKUP($A405,Technologies!$A$7:$H$576,4,FALSE)</f>
        <v>Ammonia</v>
      </c>
      <c r="E405" s="6" t="str">
        <f>VLOOKUP($A405,Technologies!$A$7:$H$576,6,FALSE)</f>
        <v>Ammonia</v>
      </c>
      <c r="F405" s="5" t="str">
        <f>VLOOKUP($A405,Technologies!$A$7:$H$576,7,FALSE)</f>
        <v>Haber Bosch with electrolyzer - Ammonia Production</v>
      </c>
      <c r="G405" s="22"/>
      <c r="H405" s="22"/>
      <c r="I405" s="103" cm="1">
        <f t="array" ref="I405">-SUMPRODUCT((Feedstocks!$C$4:$C$141=A405)*Feedstocks!$E$4:$E$141,Feedstocks!$F$4:$F$141,Feedstocks!$H$4:$H$141,Feedstocks!$I$4:$I$141)</f>
        <v>0</v>
      </c>
      <c r="J405" s="103" cm="1">
        <f t="array" ref="J405">-SUMPRODUCT((Feedstocks!$C$4:$C$141=A405)*Feedstocks!$E$4:$E$141,Feedstocks!$H$4:$H$141,Feedstocks!$I$4:$I$141)</f>
        <v>0</v>
      </c>
      <c r="K405" s="103"/>
      <c r="L405" s="103"/>
      <c r="M405" s="22">
        <v>1</v>
      </c>
      <c r="N405" s="22" t="str">
        <f>VLOOKUP(E405,Activities!$A$9:$M$227,13,FALSE)</f>
        <v>NL</v>
      </c>
      <c r="O405" s="22"/>
      <c r="P405" s="79" t="s">
        <v>792</v>
      </c>
      <c r="Q405" s="36"/>
      <c r="R405" s="36"/>
      <c r="S405" s="36"/>
      <c r="T405" s="36"/>
      <c r="U405" s="36"/>
      <c r="V405" s="36"/>
      <c r="W405" s="36"/>
      <c r="X405" s="36"/>
      <c r="Y405" s="36"/>
      <c r="Z405" s="36"/>
      <c r="AA405" s="36"/>
      <c r="AB405" s="36"/>
      <c r="AC405" s="36"/>
      <c r="AD405" s="36"/>
      <c r="AE405" s="36"/>
      <c r="AF405" s="35"/>
      <c r="AG405" s="35"/>
      <c r="AH405" s="35"/>
      <c r="AI405" s="35"/>
      <c r="AJ405" s="35"/>
      <c r="AK405" s="35"/>
      <c r="AL405" s="35"/>
      <c r="AM405" s="35"/>
      <c r="AN405" s="35"/>
      <c r="AO405" s="35"/>
      <c r="AP405" s="36"/>
      <c r="AQ405" s="36"/>
      <c r="AR405" s="36"/>
      <c r="AS405" s="36"/>
      <c r="AT405" s="36"/>
      <c r="AU405" s="36"/>
      <c r="AV405" s="36"/>
      <c r="AW405" s="36"/>
      <c r="AX405" s="36"/>
      <c r="AY405" s="36"/>
      <c r="AZ405" s="36"/>
      <c r="BA405" s="36"/>
      <c r="BB405" s="36"/>
      <c r="BC405" s="36"/>
      <c r="BD405" s="36"/>
      <c r="BE405" s="36"/>
      <c r="BF405" s="36"/>
      <c r="BG405" s="36"/>
      <c r="BH405" s="36"/>
      <c r="BI405" s="36"/>
      <c r="BJ405" s="36"/>
      <c r="BK405" s="36"/>
      <c r="BL405" s="36"/>
      <c r="BM405" s="36"/>
      <c r="BN405" s="36"/>
      <c r="BO405" s="36"/>
      <c r="BP405" s="36"/>
      <c r="BQ405" s="36"/>
      <c r="BR405" s="36"/>
      <c r="BS405" s="36"/>
      <c r="BT405" s="36"/>
      <c r="BU405" s="36"/>
      <c r="BV405" s="36"/>
      <c r="BW405" s="36"/>
      <c r="BX405" s="36"/>
      <c r="BY405" s="36"/>
      <c r="BZ405" s="36"/>
      <c r="CA405" s="36"/>
      <c r="CB405" s="36"/>
      <c r="CC405" s="36"/>
      <c r="CD405" s="36"/>
      <c r="CE405" s="36"/>
      <c r="CF405" s="36"/>
      <c r="CG405" s="36"/>
      <c r="CH405" s="36"/>
      <c r="CI405" s="36"/>
      <c r="CJ405" s="36"/>
      <c r="CK405" s="36"/>
      <c r="CL405" s="36"/>
      <c r="CM405" s="36"/>
      <c r="CN405" s="36"/>
      <c r="CO405" s="36"/>
      <c r="CP405" s="36"/>
      <c r="CQ405" s="36"/>
      <c r="CR405" s="36"/>
      <c r="CS405" s="36"/>
      <c r="CT405" s="36"/>
      <c r="CU405" s="36"/>
      <c r="CV405" s="36"/>
      <c r="CW405" s="36"/>
      <c r="CX405" s="36"/>
      <c r="CY405" s="36"/>
      <c r="CZ405" s="36"/>
      <c r="DA405" s="36"/>
      <c r="DB405" s="36"/>
      <c r="DC405" s="36"/>
      <c r="DD405" s="36"/>
      <c r="DE405" s="36"/>
      <c r="DF405" s="36"/>
      <c r="DG405" s="36"/>
      <c r="DH405" s="36">
        <v>-1.9237352555367262</v>
      </c>
      <c r="DI405" s="36"/>
      <c r="DJ405" s="36"/>
      <c r="DK405" s="36"/>
      <c r="DL405" s="36"/>
      <c r="DM405" s="36"/>
      <c r="DN405" s="36"/>
      <c r="DO405" s="36">
        <v>0.1304945054945055</v>
      </c>
      <c r="DP405" s="36"/>
      <c r="DQ405" s="36"/>
      <c r="DR405" s="36"/>
      <c r="DS405" s="36"/>
      <c r="DT405" s="36"/>
      <c r="DU405" s="36"/>
      <c r="DV405" s="36"/>
      <c r="DW405" s="36"/>
      <c r="DX405" s="36"/>
      <c r="DY405" s="36"/>
      <c r="DZ405" s="36"/>
      <c r="EA405" s="36"/>
      <c r="EB405" s="36"/>
      <c r="EC405" s="36"/>
      <c r="ED405" s="36"/>
      <c r="EE405" s="36"/>
      <c r="EF405" s="36"/>
      <c r="EG405" s="36"/>
      <c r="EH405" s="36"/>
      <c r="EI405" s="36"/>
      <c r="EJ405" s="36"/>
      <c r="EK405" s="36"/>
      <c r="EL405" s="36"/>
      <c r="EM405" s="36"/>
      <c r="EN405" s="36"/>
      <c r="EO405" s="36"/>
      <c r="EP405" s="36"/>
      <c r="EQ405" s="36">
        <v>1</v>
      </c>
      <c r="ER405" s="36"/>
      <c r="ES405" s="36"/>
      <c r="ET405" s="36"/>
      <c r="EU405" s="36"/>
      <c r="EV405" s="36"/>
      <c r="EW405" s="36"/>
      <c r="EX405" s="36"/>
      <c r="EY405" s="36"/>
      <c r="EZ405" s="36"/>
      <c r="FA405" s="36"/>
      <c r="FB405" s="36"/>
      <c r="FC405" s="36"/>
      <c r="FD405" s="36"/>
      <c r="FE405" s="36"/>
      <c r="FF405" s="36"/>
      <c r="FG405" s="36"/>
      <c r="FH405" s="36"/>
      <c r="FI405" s="36"/>
      <c r="FJ405" s="36"/>
      <c r="FK405" s="36"/>
      <c r="FL405" s="36"/>
      <c r="FM405" s="36"/>
      <c r="FN405" s="36"/>
      <c r="FO405" s="36"/>
      <c r="FP405" s="36"/>
      <c r="FQ405" s="36"/>
      <c r="FR405" s="36"/>
      <c r="FS405" s="36"/>
      <c r="FT405" s="36"/>
      <c r="FU405" s="36"/>
      <c r="FV405" s="36"/>
      <c r="FW405" s="36"/>
      <c r="FX405" s="36"/>
      <c r="FY405" s="36"/>
      <c r="FZ405" s="36"/>
      <c r="GA405" s="36"/>
      <c r="GB405" s="319"/>
      <c r="GC405" s="179">
        <f t="shared" si="74"/>
        <v>0</v>
      </c>
      <c r="GD405" s="179">
        <f t="shared" si="75"/>
        <v>0</v>
      </c>
      <c r="GE405" s="179">
        <f t="shared" si="76"/>
        <v>0</v>
      </c>
      <c r="GF405" s="179">
        <f t="shared" si="77"/>
        <v>0</v>
      </c>
      <c r="GG405" s="179">
        <f t="shared" si="69"/>
        <v>0</v>
      </c>
    </row>
    <row r="406" spans="1:342" x14ac:dyDescent="0.35">
      <c r="A406" s="5" t="s">
        <v>1644</v>
      </c>
      <c r="B406" s="6" t="str">
        <f>IF(Technologies!B406&lt;&gt;0,Technologies!B406,"")</f>
        <v>Industrie</v>
      </c>
      <c r="C406" s="5" t="str">
        <f>VLOOKUP($A406,Technologies!$A$7:$H$576,3,FALSE)</f>
        <v>Conversion</v>
      </c>
      <c r="D406" s="5" t="str">
        <f>VLOOKUP($A406,Technologies!$A$7:$H$576,4,FALSE)</f>
        <v>Ammonia</v>
      </c>
      <c r="E406" s="5" t="str">
        <f>VLOOKUP($A406,Technologies!$A$7:$H$576,6,FALSE)</f>
        <v>Ammonia</v>
      </c>
      <c r="F406" s="5" t="str">
        <f>VLOOKUP($A406,Technologies!$A$7:$H$576,7,FALSE)</f>
        <v>Solid State Ammonia Synthesis - Ammonia Production</v>
      </c>
      <c r="G406" s="23"/>
      <c r="H406" s="23"/>
      <c r="I406" s="104" cm="1">
        <f t="array" ref="I406">-SUMPRODUCT((Feedstocks!$C$4:$C$141=A406)*Feedstocks!$E$4:$E$141,Feedstocks!$F$4:$F$141,Feedstocks!$H$4:$H$141,Feedstocks!$I$4:$I$141)</f>
        <v>0</v>
      </c>
      <c r="J406" s="104" cm="1">
        <f t="array" ref="J406">-SUMPRODUCT((Feedstocks!$C$4:$C$141=A406)*Feedstocks!$E$4:$E$141,Feedstocks!$H$4:$H$141,Feedstocks!$I$4:$I$141)</f>
        <v>0</v>
      </c>
      <c r="K406" s="104"/>
      <c r="L406" s="104"/>
      <c r="M406" s="23">
        <v>1</v>
      </c>
      <c r="N406" s="23" t="str">
        <f>VLOOKUP(E406,Activities!$A$9:$M$227,13,FALSE)</f>
        <v>NL</v>
      </c>
      <c r="O406" s="23"/>
      <c r="P406" s="79"/>
      <c r="Q406" s="35"/>
      <c r="R406" s="35"/>
      <c r="S406" s="35"/>
      <c r="T406" s="35"/>
      <c r="U406" s="35"/>
      <c r="V406" s="35"/>
      <c r="W406" s="35"/>
      <c r="X406" s="35"/>
      <c r="Y406" s="35"/>
      <c r="Z406" s="35"/>
      <c r="AA406" s="35"/>
      <c r="AB406" s="35"/>
      <c r="AC406" s="35"/>
      <c r="AD406" s="35"/>
      <c r="AE406" s="35"/>
      <c r="AF406" s="36"/>
      <c r="AG406" s="36"/>
      <c r="AH406" s="36"/>
      <c r="AI406" s="36"/>
      <c r="AJ406" s="36"/>
      <c r="AK406" s="36"/>
      <c r="AL406" s="36"/>
      <c r="AM406" s="36"/>
      <c r="AN406" s="36"/>
      <c r="AO406" s="36"/>
      <c r="AP406" s="35"/>
      <c r="AQ406" s="35"/>
      <c r="AR406" s="35"/>
      <c r="AS406" s="35"/>
      <c r="AT406" s="35"/>
      <c r="AU406" s="35"/>
      <c r="AV406" s="35"/>
      <c r="AW406" s="35"/>
      <c r="AX406" s="35"/>
      <c r="AY406" s="35"/>
      <c r="AZ406" s="35"/>
      <c r="BA406" s="35"/>
      <c r="BB406" s="35"/>
      <c r="BC406" s="35"/>
      <c r="BD406" s="35"/>
      <c r="BE406" s="35"/>
      <c r="BF406" s="35"/>
      <c r="BG406" s="35"/>
      <c r="BH406" s="35"/>
      <c r="BI406" s="35"/>
      <c r="BJ406" s="35"/>
      <c r="BK406" s="35"/>
      <c r="BL406" s="35"/>
      <c r="BM406" s="35"/>
      <c r="BN406" s="35"/>
      <c r="BO406" s="35"/>
      <c r="BP406" s="35"/>
      <c r="BQ406" s="35"/>
      <c r="BR406" s="35"/>
      <c r="BS406" s="35"/>
      <c r="BT406" s="35"/>
      <c r="BU406" s="35"/>
      <c r="BV406" s="35"/>
      <c r="BW406" s="35"/>
      <c r="BX406" s="35"/>
      <c r="BY406" s="35"/>
      <c r="BZ406" s="35"/>
      <c r="CA406" s="35"/>
      <c r="CB406" s="35"/>
      <c r="CC406" s="35"/>
      <c r="CD406" s="35"/>
      <c r="CE406" s="35"/>
      <c r="CF406" s="35"/>
      <c r="CG406" s="35"/>
      <c r="CH406" s="35"/>
      <c r="CI406" s="35"/>
      <c r="CJ406" s="35"/>
      <c r="CK406" s="35"/>
      <c r="CL406" s="35"/>
      <c r="CM406" s="35"/>
      <c r="CN406" s="35"/>
      <c r="CO406" s="35"/>
      <c r="CP406" s="35"/>
      <c r="CQ406" s="35"/>
      <c r="CR406" s="35"/>
      <c r="CS406" s="35"/>
      <c r="CT406" s="35"/>
      <c r="CU406" s="35"/>
      <c r="CV406" s="35"/>
      <c r="CW406" s="35"/>
      <c r="CX406" s="35"/>
      <c r="CY406" s="35"/>
      <c r="CZ406" s="35"/>
      <c r="DA406" s="35"/>
      <c r="DB406" s="35"/>
      <c r="DC406" s="35"/>
      <c r="DD406" s="35"/>
      <c r="DE406" s="35"/>
      <c r="DF406" s="35"/>
      <c r="DG406" s="35"/>
      <c r="DH406" s="35">
        <v>-1.75</v>
      </c>
      <c r="DI406" s="35"/>
      <c r="DJ406" s="35"/>
      <c r="DK406" s="35"/>
      <c r="DL406" s="35"/>
      <c r="DM406" s="35"/>
      <c r="DN406" s="35"/>
      <c r="DO406" s="35"/>
      <c r="DP406" s="35"/>
      <c r="DQ406" s="35"/>
      <c r="DR406" s="35"/>
      <c r="DS406" s="35"/>
      <c r="DT406" s="35"/>
      <c r="DU406" s="35"/>
      <c r="DV406" s="35"/>
      <c r="DW406" s="35"/>
      <c r="DX406" s="35"/>
      <c r="DY406" s="35"/>
      <c r="DZ406" s="35"/>
      <c r="EA406" s="35"/>
      <c r="EB406" s="35"/>
      <c r="EC406" s="35"/>
      <c r="ED406" s="35"/>
      <c r="EE406" s="35"/>
      <c r="EF406" s="35"/>
      <c r="EG406" s="35"/>
      <c r="EH406" s="35"/>
      <c r="EI406" s="35"/>
      <c r="EJ406" s="35"/>
      <c r="EK406" s="35"/>
      <c r="EL406" s="35"/>
      <c r="EM406" s="35"/>
      <c r="EN406" s="35"/>
      <c r="EO406" s="35"/>
      <c r="EP406" s="35"/>
      <c r="EQ406" s="35">
        <v>1</v>
      </c>
      <c r="ER406" s="35"/>
      <c r="ES406" s="35"/>
      <c r="ET406" s="35"/>
      <c r="EU406" s="35"/>
      <c r="EV406" s="35"/>
      <c r="EW406" s="35"/>
      <c r="EX406" s="35"/>
      <c r="EY406" s="35"/>
      <c r="EZ406" s="35"/>
      <c r="FA406" s="35"/>
      <c r="FB406" s="35"/>
      <c r="FC406" s="35"/>
      <c r="FD406" s="35"/>
      <c r="FE406" s="35"/>
      <c r="FF406" s="35"/>
      <c r="FG406" s="35"/>
      <c r="FH406" s="35"/>
      <c r="FI406" s="35"/>
      <c r="FJ406" s="35"/>
      <c r="FK406" s="35"/>
      <c r="FL406" s="35"/>
      <c r="FM406" s="35"/>
      <c r="FN406" s="35"/>
      <c r="FO406" s="35"/>
      <c r="FP406" s="35"/>
      <c r="FQ406" s="35"/>
      <c r="FR406" s="35"/>
      <c r="FS406" s="35"/>
      <c r="FT406" s="35"/>
      <c r="FU406" s="35"/>
      <c r="FV406" s="35"/>
      <c r="FW406" s="35"/>
      <c r="FX406" s="35"/>
      <c r="FY406" s="35"/>
      <c r="FZ406" s="35"/>
      <c r="GA406" s="35"/>
      <c r="GB406" s="318"/>
      <c r="GC406" s="178">
        <f t="shared" si="74"/>
        <v>0</v>
      </c>
      <c r="GD406" s="178">
        <f t="shared" si="75"/>
        <v>0</v>
      </c>
      <c r="GE406" s="178">
        <f t="shared" si="76"/>
        <v>0</v>
      </c>
      <c r="GF406" s="178">
        <f t="shared" si="77"/>
        <v>0</v>
      </c>
      <c r="GG406" s="178">
        <f t="shared" si="69"/>
        <v>0</v>
      </c>
    </row>
    <row r="407" spans="1:342" x14ac:dyDescent="0.35">
      <c r="A407" s="6" t="s">
        <v>1646</v>
      </c>
      <c r="B407" s="6" t="str">
        <f>IF(Technologies!B407&lt;&gt;0,Technologies!B407,"")</f>
        <v>Industrie</v>
      </c>
      <c r="C407" s="6" t="str">
        <f>VLOOKUP($A407,Technologies!$A$7:$H$576,3,FALSE)</f>
        <v>Primary</v>
      </c>
      <c r="D407" s="6" t="str">
        <f>VLOOKUP($A407,Technologies!$A$7:$H$576,4,FALSE)</f>
        <v>Ammonia</v>
      </c>
      <c r="E407" s="6" t="str">
        <f>VLOOKUP($A407,Technologies!$A$7:$H$576,6,FALSE)</f>
        <v>Ammonia</v>
      </c>
      <c r="F407" s="5" t="str">
        <f>VLOOKUP($A407,Technologies!$A$7:$H$576,7,FALSE)</f>
        <v>Imported Ammonia - Ammonia Production</v>
      </c>
      <c r="G407" s="22"/>
      <c r="H407" s="22"/>
      <c r="I407" s="103" cm="1">
        <f t="array" ref="I407">-SUMPRODUCT((Feedstocks!$C$4:$C$141=A407)*Feedstocks!$E$4:$E$141,Feedstocks!$F$4:$F$141,Feedstocks!$H$4:$H$141,Feedstocks!$I$4:$I$141)</f>
        <v>0</v>
      </c>
      <c r="J407" s="103" cm="1">
        <f t="array" ref="J407">-SUMPRODUCT((Feedstocks!$C$4:$C$141=A407)*Feedstocks!$E$4:$E$141,Feedstocks!$H$4:$H$141,Feedstocks!$I$4:$I$141)</f>
        <v>0</v>
      </c>
      <c r="K407" s="103"/>
      <c r="L407" s="103"/>
      <c r="M407" s="22">
        <v>1</v>
      </c>
      <c r="N407" s="22" t="str">
        <f>VLOOKUP(E407,Activities!$A$9:$M$227,13,FALSE)</f>
        <v>NL</v>
      </c>
      <c r="O407" s="22"/>
      <c r="P407" s="80"/>
      <c r="Q407" s="36"/>
      <c r="R407" s="36"/>
      <c r="S407" s="36"/>
      <c r="T407" s="36"/>
      <c r="U407" s="36"/>
      <c r="V407" s="36"/>
      <c r="W407" s="36"/>
      <c r="X407" s="36"/>
      <c r="Y407" s="36"/>
      <c r="Z407" s="36"/>
      <c r="AA407" s="36"/>
      <c r="AB407" s="36"/>
      <c r="AC407" s="36"/>
      <c r="AD407" s="36"/>
      <c r="AE407" s="36"/>
      <c r="AF407" s="35"/>
      <c r="AG407" s="35"/>
      <c r="AH407" s="35"/>
      <c r="AI407" s="35"/>
      <c r="AJ407" s="35"/>
      <c r="AK407" s="35"/>
      <c r="AL407" s="35"/>
      <c r="AM407" s="35"/>
      <c r="AN407" s="35"/>
      <c r="AO407" s="35"/>
      <c r="AP407" s="36"/>
      <c r="AQ407" s="36"/>
      <c r="AR407" s="36"/>
      <c r="AS407" s="36"/>
      <c r="AT407" s="36"/>
      <c r="AU407" s="36"/>
      <c r="AV407" s="36"/>
      <c r="AW407" s="36"/>
      <c r="AX407" s="36"/>
      <c r="AY407" s="36"/>
      <c r="AZ407" s="36"/>
      <c r="BA407" s="36"/>
      <c r="BB407" s="36"/>
      <c r="BC407" s="36"/>
      <c r="BD407" s="36"/>
      <c r="BE407" s="36"/>
      <c r="BF407" s="36"/>
      <c r="BG407" s="36"/>
      <c r="BH407" s="36"/>
      <c r="BI407" s="36"/>
      <c r="BJ407" s="36"/>
      <c r="BK407" s="36"/>
      <c r="BL407" s="36"/>
      <c r="BM407" s="36"/>
      <c r="BN407" s="36"/>
      <c r="BO407" s="36"/>
      <c r="BP407" s="36"/>
      <c r="BQ407" s="36"/>
      <c r="BR407" s="36"/>
      <c r="BS407" s="36"/>
      <c r="BT407" s="36"/>
      <c r="BU407" s="36"/>
      <c r="BV407" s="36"/>
      <c r="BW407" s="36"/>
      <c r="BX407" s="36"/>
      <c r="BY407" s="36"/>
      <c r="BZ407" s="36"/>
      <c r="CA407" s="36"/>
      <c r="CB407" s="36"/>
      <c r="CC407" s="36"/>
      <c r="CD407" s="36"/>
      <c r="CE407" s="36"/>
      <c r="CF407" s="36"/>
      <c r="CG407" s="36"/>
      <c r="CH407" s="36"/>
      <c r="CI407" s="36"/>
      <c r="CJ407" s="36"/>
      <c r="CK407" s="36"/>
      <c r="CL407" s="36"/>
      <c r="CM407" s="36"/>
      <c r="CN407" s="36"/>
      <c r="CO407" s="36"/>
      <c r="CP407" s="36"/>
      <c r="CQ407" s="36"/>
      <c r="CR407" s="36"/>
      <c r="CS407" s="36"/>
      <c r="CT407" s="36"/>
      <c r="CU407" s="36"/>
      <c r="CV407" s="36"/>
      <c r="CW407" s="36"/>
      <c r="CX407" s="36"/>
      <c r="CY407" s="36"/>
      <c r="CZ407" s="36"/>
      <c r="DA407" s="36"/>
      <c r="DB407" s="36"/>
      <c r="DC407" s="36"/>
      <c r="DD407" s="36"/>
      <c r="DE407" s="36"/>
      <c r="DF407" s="36"/>
      <c r="DG407" s="36"/>
      <c r="DH407" s="36"/>
      <c r="DI407" s="36"/>
      <c r="DJ407" s="36"/>
      <c r="DK407" s="36"/>
      <c r="DL407" s="36"/>
      <c r="DM407" s="36"/>
      <c r="DN407" s="36"/>
      <c r="DO407" s="36"/>
      <c r="DP407" s="36"/>
      <c r="DQ407" s="36"/>
      <c r="DR407" s="36"/>
      <c r="DS407" s="36"/>
      <c r="DT407" s="36"/>
      <c r="DU407" s="36"/>
      <c r="DV407" s="36"/>
      <c r="DW407" s="36"/>
      <c r="DX407" s="36"/>
      <c r="DY407" s="36"/>
      <c r="DZ407" s="36"/>
      <c r="EA407" s="36"/>
      <c r="EB407" s="36"/>
      <c r="EC407" s="36"/>
      <c r="ED407" s="36"/>
      <c r="EE407" s="36"/>
      <c r="EF407" s="36"/>
      <c r="EG407" s="36"/>
      <c r="EH407" s="36"/>
      <c r="EI407" s="36"/>
      <c r="EJ407" s="36"/>
      <c r="EK407" s="36"/>
      <c r="EL407" s="36"/>
      <c r="EM407" s="36"/>
      <c r="EN407" s="36"/>
      <c r="EO407" s="36"/>
      <c r="EP407" s="36"/>
      <c r="EQ407" s="36">
        <v>1</v>
      </c>
      <c r="ER407" s="36"/>
      <c r="ES407" s="36"/>
      <c r="ET407" s="36"/>
      <c r="EU407" s="36"/>
      <c r="EV407" s="36"/>
      <c r="EW407" s="36"/>
      <c r="EX407" s="36"/>
      <c r="EY407" s="36"/>
      <c r="EZ407" s="36"/>
      <c r="FA407" s="36"/>
      <c r="FB407" s="36"/>
      <c r="FC407" s="36"/>
      <c r="FD407" s="36"/>
      <c r="FE407" s="36"/>
      <c r="FF407" s="36"/>
      <c r="FG407" s="36"/>
      <c r="FH407" s="36"/>
      <c r="FI407" s="36"/>
      <c r="FJ407" s="36"/>
      <c r="FK407" s="36"/>
      <c r="FL407" s="36"/>
      <c r="FM407" s="36"/>
      <c r="FN407" s="36"/>
      <c r="FO407" s="36"/>
      <c r="FP407" s="36"/>
      <c r="FQ407" s="36"/>
      <c r="FR407" s="36"/>
      <c r="FS407" s="36"/>
      <c r="FT407" s="36"/>
      <c r="FU407" s="36"/>
      <c r="FV407" s="36"/>
      <c r="FW407" s="36"/>
      <c r="FX407" s="36"/>
      <c r="FY407" s="36"/>
      <c r="FZ407" s="36"/>
      <c r="GA407" s="36"/>
      <c r="GB407" s="319"/>
      <c r="GC407" s="178">
        <f t="shared" si="74"/>
        <v>0</v>
      </c>
      <c r="GD407" s="178">
        <f t="shared" si="75"/>
        <v>0</v>
      </c>
      <c r="GE407" s="178">
        <f t="shared" si="76"/>
        <v>0</v>
      </c>
      <c r="GF407" s="178">
        <f t="shared" si="77"/>
        <v>0</v>
      </c>
      <c r="GG407" s="178">
        <f t="shared" si="69"/>
        <v>0</v>
      </c>
    </row>
    <row r="408" spans="1:342" x14ac:dyDescent="0.35">
      <c r="A408" s="6" t="s">
        <v>1649</v>
      </c>
      <c r="B408" s="6" t="str">
        <f>IF(Technologies!B408&lt;&gt;0,Technologies!B408,"")</f>
        <v>Industrie</v>
      </c>
      <c r="C408" s="6" t="str">
        <f>VLOOKUP($A408,Technologies!$A$7:$H$576,3,FALSE)</f>
        <v>Conversion</v>
      </c>
      <c r="D408" s="6" t="str">
        <f>VLOOKUP($A408,Technologies!$A$7:$H$576,4,FALSE)</f>
        <v>Ammonia</v>
      </c>
      <c r="E408" s="6" t="str">
        <f>VLOOKUP($A408,Technologies!$A$7:$H$576,6,FALSE)</f>
        <v>Ammonia</v>
      </c>
      <c r="F408" s="5" t="str">
        <f>VLOOKUP($A408,Technologies!$A$7:$H$576,7,FALSE)</f>
        <v>Haber Bosch with eSMR and CC - Ammonia Production</v>
      </c>
      <c r="G408" s="22">
        <v>0.98529411764705888</v>
      </c>
      <c r="H408" s="22"/>
      <c r="I408" s="103" cm="1">
        <f t="array" ref="I408">-SUMPRODUCT((Feedstocks!$C$4:$C$141=A408)*Feedstocks!$E$4:$E$141,Feedstocks!$F$4:$F$141,Feedstocks!$H$4:$H$141,Feedstocks!$I$4:$I$141)</f>
        <v>0</v>
      </c>
      <c r="J408" s="103" cm="1">
        <f t="array" ref="J408">-SUMPRODUCT((Feedstocks!$C$4:$C$141=A408)*Feedstocks!$E$4:$E$141,Feedstocks!$H$4:$H$141,Feedstocks!$I$4:$I$141)</f>
        <v>0</v>
      </c>
      <c r="K408" s="103"/>
      <c r="L408" s="103"/>
      <c r="M408" s="22">
        <v>1</v>
      </c>
      <c r="N408" s="22" t="s">
        <v>320</v>
      </c>
      <c r="O408" s="22"/>
      <c r="P408" s="79" t="s">
        <v>792</v>
      </c>
      <c r="Q408" s="36"/>
      <c r="R408" s="36"/>
      <c r="S408" s="36"/>
      <c r="T408" s="36"/>
      <c r="U408" s="36"/>
      <c r="V408" s="36"/>
      <c r="W408" s="36"/>
      <c r="X408" s="36"/>
      <c r="Y408" s="36"/>
      <c r="Z408" s="36"/>
      <c r="AA408" s="36"/>
      <c r="AB408" s="36"/>
      <c r="AC408" s="36"/>
      <c r="AD408" s="36"/>
      <c r="AE408" s="36"/>
      <c r="AF408" s="35"/>
      <c r="AG408" s="35"/>
      <c r="AH408" s="35"/>
      <c r="AI408" s="35"/>
      <c r="AJ408" s="35"/>
      <c r="AK408" s="35"/>
      <c r="AL408" s="35"/>
      <c r="AM408" s="35"/>
      <c r="AN408" s="35"/>
      <c r="AO408" s="35"/>
      <c r="AP408" s="36"/>
      <c r="AQ408" s="36"/>
      <c r="AR408" s="36"/>
      <c r="AS408" s="36"/>
      <c r="AT408" s="36"/>
      <c r="AU408" s="36"/>
      <c r="AV408" s="36"/>
      <c r="AW408" s="36"/>
      <c r="AX408" s="36"/>
      <c r="AY408" s="36"/>
      <c r="AZ408" s="36"/>
      <c r="BA408" s="36"/>
      <c r="BB408" s="36"/>
      <c r="BC408" s="36"/>
      <c r="BD408" s="36"/>
      <c r="BE408" s="36"/>
      <c r="BF408" s="36"/>
      <c r="BG408" s="36"/>
      <c r="BH408" s="36"/>
      <c r="BI408" s="36"/>
      <c r="BJ408" s="36"/>
      <c r="BK408" s="36"/>
      <c r="BL408" s="36"/>
      <c r="BM408" s="36"/>
      <c r="BN408" s="36"/>
      <c r="BO408" s="36"/>
      <c r="BP408" s="36"/>
      <c r="BQ408" s="36"/>
      <c r="BR408" s="36"/>
      <c r="BS408" s="36"/>
      <c r="BT408" s="36"/>
      <c r="BU408" s="36"/>
      <c r="BV408" s="36"/>
      <c r="BW408" s="36"/>
      <c r="BX408" s="36"/>
      <c r="BY408" s="36"/>
      <c r="BZ408" s="36"/>
      <c r="CA408" s="36"/>
      <c r="CB408" s="36"/>
      <c r="CC408" s="36"/>
      <c r="CD408" s="36"/>
      <c r="CE408" s="36"/>
      <c r="CF408" s="36"/>
      <c r="CG408" s="36"/>
      <c r="CH408" s="36"/>
      <c r="CI408" s="36"/>
      <c r="CJ408" s="36"/>
      <c r="CK408" s="36"/>
      <c r="CL408" s="36"/>
      <c r="CM408" s="36"/>
      <c r="CN408" s="36"/>
      <c r="CO408" s="36"/>
      <c r="CP408" s="36"/>
      <c r="CQ408" s="36"/>
      <c r="CR408" s="36"/>
      <c r="CS408" s="36"/>
      <c r="CT408" s="36"/>
      <c r="CU408" s="36"/>
      <c r="CV408" s="36"/>
      <c r="CW408" s="36"/>
      <c r="CX408" s="36"/>
      <c r="CY408" s="36"/>
      <c r="CZ408" s="36"/>
      <c r="DA408" s="36"/>
      <c r="DB408" s="36"/>
      <c r="DC408" s="36"/>
      <c r="DD408" s="36"/>
      <c r="DE408" s="36"/>
      <c r="DF408" s="36"/>
      <c r="DG408" s="36"/>
      <c r="DH408" s="36">
        <v>-0.44014423076923087</v>
      </c>
      <c r="DI408" s="36"/>
      <c r="DJ408" s="36"/>
      <c r="DK408" s="36"/>
      <c r="DL408" s="36"/>
      <c r="DM408" s="36"/>
      <c r="DN408" s="36"/>
      <c r="DO408" s="36">
        <v>0.1304945054945055</v>
      </c>
      <c r="DP408" s="36"/>
      <c r="DQ408" s="36"/>
      <c r="DR408" s="36"/>
      <c r="DS408" s="36"/>
      <c r="DT408" s="36"/>
      <c r="DU408" s="36"/>
      <c r="DV408" s="36"/>
      <c r="DW408" s="36"/>
      <c r="DX408" s="36"/>
      <c r="DY408" s="36"/>
      <c r="DZ408" s="36"/>
      <c r="EA408" s="36"/>
      <c r="EB408" s="36"/>
      <c r="EC408" s="36"/>
      <c r="ED408" s="36"/>
      <c r="EE408" s="36"/>
      <c r="EF408" s="36"/>
      <c r="EG408" s="36"/>
      <c r="EH408" s="36"/>
      <c r="EI408" s="36"/>
      <c r="EJ408" s="36">
        <v>-1.2362637362637363</v>
      </c>
      <c r="EK408" s="36"/>
      <c r="EL408" s="36"/>
      <c r="EM408" s="36"/>
      <c r="EN408" s="36"/>
      <c r="EO408" s="36"/>
      <c r="EP408" s="36"/>
      <c r="EQ408" s="36">
        <v>1</v>
      </c>
      <c r="ER408" s="36"/>
      <c r="ES408" s="36"/>
      <c r="ET408" s="36"/>
      <c r="EU408" s="36"/>
      <c r="EV408" s="36"/>
      <c r="EW408" s="36"/>
      <c r="EX408" s="36"/>
      <c r="EY408" s="36"/>
      <c r="EZ408" s="36"/>
      <c r="FA408" s="36"/>
      <c r="FB408" s="36"/>
      <c r="FC408" s="36"/>
      <c r="FD408" s="36"/>
      <c r="FE408" s="36"/>
      <c r="FF408" s="36"/>
      <c r="FG408" s="36"/>
      <c r="FH408" s="36"/>
      <c r="FI408" s="36"/>
      <c r="FJ408" s="36"/>
      <c r="FK408" s="36"/>
      <c r="FL408" s="36"/>
      <c r="FM408" s="36"/>
      <c r="FN408" s="36"/>
      <c r="FO408" s="36"/>
      <c r="FP408" s="36"/>
      <c r="FQ408" s="36"/>
      <c r="FR408" s="36"/>
      <c r="FS408" s="36"/>
      <c r="FT408" s="36"/>
      <c r="FU408" s="36"/>
      <c r="FV408" s="36"/>
      <c r="FW408" s="36"/>
      <c r="FX408" s="36"/>
      <c r="FY408" s="36"/>
      <c r="FZ408" s="36"/>
      <c r="GA408" s="36"/>
      <c r="GB408" s="319"/>
      <c r="GC408" s="178">
        <f t="shared" si="74"/>
        <v>6.8900000000000003E-2</v>
      </c>
      <c r="GD408" s="178">
        <f t="shared" si="75"/>
        <v>1E-3</v>
      </c>
      <c r="GE408" s="178">
        <f t="shared" si="76"/>
        <v>0</v>
      </c>
      <c r="GF408" s="178">
        <f t="shared" si="77"/>
        <v>0</v>
      </c>
      <c r="GG408" s="178">
        <f t="shared" si="69"/>
        <v>0</v>
      </c>
    </row>
    <row r="409" spans="1:342" x14ac:dyDescent="0.35">
      <c r="A409" s="5" t="s">
        <v>1651</v>
      </c>
      <c r="B409" s="6" t="str">
        <f>IF(Technologies!B409&lt;&gt;0,Technologies!B409,"")</f>
        <v>Industrie</v>
      </c>
      <c r="C409" s="5" t="str">
        <f>VLOOKUP($A409,Technologies!$A$7:$H$576,3,FALSE)</f>
        <v>Conversion</v>
      </c>
      <c r="D409" s="5" t="str">
        <f>VLOOKUP($A409,Technologies!$A$7:$H$576,4,FALSE)</f>
        <v>Final Biomass</v>
      </c>
      <c r="E409" s="5" t="str">
        <f>VLOOKUP($A409,Technologies!$A$7:$H$576,6,FALSE)</f>
        <v>Biomass</v>
      </c>
      <c r="F409" s="5" t="str">
        <f>VLOOKUP($A409,Technologies!$A$7:$H$576,7,FALSE)</f>
        <v>Biomass from wood - Final Biomass</v>
      </c>
      <c r="G409" s="23"/>
      <c r="H409" s="23"/>
      <c r="I409" s="104" cm="1">
        <f t="array" ref="I409">-SUMPRODUCT((Feedstocks!$C$4:$C$141=A409)*Feedstocks!$E$4:$E$141,Feedstocks!$F$4:$F$141,Feedstocks!$H$4:$H$141,Feedstocks!$I$4:$I$141)</f>
        <v>0</v>
      </c>
      <c r="J409" s="104" cm="1">
        <f t="array" ref="J409">-SUMPRODUCT((Feedstocks!$C$4:$C$141=A409)*Feedstocks!$E$4:$E$141,Feedstocks!$H$4:$H$141,Feedstocks!$I$4:$I$141)</f>
        <v>0</v>
      </c>
      <c r="K409" s="104"/>
      <c r="L409" s="104"/>
      <c r="M409" s="23"/>
      <c r="N409" s="23" t="str">
        <f>VLOOKUP(E409,Activities!$A$9:$M$227,13,FALSE)</f>
        <v>NL</v>
      </c>
      <c r="O409" s="23"/>
      <c r="P409" s="79" t="s">
        <v>415</v>
      </c>
      <c r="Q409" s="35"/>
      <c r="R409" s="35"/>
      <c r="S409" s="35"/>
      <c r="T409" s="35"/>
      <c r="U409" s="35"/>
      <c r="V409" s="35"/>
      <c r="W409" s="35"/>
      <c r="X409" s="35"/>
      <c r="Y409" s="35"/>
      <c r="Z409" s="35"/>
      <c r="AA409" s="35"/>
      <c r="AB409" s="35"/>
      <c r="AC409" s="35"/>
      <c r="AD409" s="35"/>
      <c r="AE409" s="35"/>
      <c r="AF409" s="36"/>
      <c r="AG409" s="36"/>
      <c r="AH409" s="36"/>
      <c r="AI409" s="36"/>
      <c r="AJ409" s="36"/>
      <c r="AK409" s="36"/>
      <c r="AL409" s="36"/>
      <c r="AM409" s="36"/>
      <c r="AN409" s="36"/>
      <c r="AO409" s="36"/>
      <c r="AP409" s="35"/>
      <c r="AQ409" s="35"/>
      <c r="AR409" s="35"/>
      <c r="AS409" s="35"/>
      <c r="AT409" s="35"/>
      <c r="AU409" s="35"/>
      <c r="AV409" s="35"/>
      <c r="AW409" s="35"/>
      <c r="AX409" s="35"/>
      <c r="AY409" s="35"/>
      <c r="AZ409" s="35"/>
      <c r="BA409" s="35"/>
      <c r="BB409" s="35"/>
      <c r="BC409" s="35"/>
      <c r="BD409" s="35"/>
      <c r="BE409" s="35"/>
      <c r="BF409" s="35"/>
      <c r="BG409" s="35"/>
      <c r="BH409" s="35"/>
      <c r="BI409" s="35"/>
      <c r="BJ409" s="35"/>
      <c r="BK409" s="35"/>
      <c r="BL409" s="35"/>
      <c r="BM409" s="35"/>
      <c r="BN409" s="35"/>
      <c r="BO409" s="35"/>
      <c r="BP409" s="35"/>
      <c r="BQ409" s="35"/>
      <c r="BR409" s="35"/>
      <c r="BS409" s="35"/>
      <c r="BT409" s="35"/>
      <c r="BU409" s="35"/>
      <c r="BV409" s="35"/>
      <c r="BW409" s="35"/>
      <c r="BX409" s="35"/>
      <c r="BY409" s="35"/>
      <c r="BZ409" s="35"/>
      <c r="CA409" s="35"/>
      <c r="CB409" s="35"/>
      <c r="CC409" s="35"/>
      <c r="CD409" s="35"/>
      <c r="CE409" s="35"/>
      <c r="CF409" s="35"/>
      <c r="CG409" s="35"/>
      <c r="CH409" s="35"/>
      <c r="CI409" s="35"/>
      <c r="CJ409" s="35"/>
      <c r="CK409" s="35"/>
      <c r="CL409" s="35"/>
      <c r="CM409" s="35"/>
      <c r="CN409" s="35"/>
      <c r="CO409" s="35"/>
      <c r="CP409" s="35"/>
      <c r="CQ409" s="35"/>
      <c r="CR409" s="35"/>
      <c r="CS409" s="35"/>
      <c r="CT409" s="35"/>
      <c r="CU409" s="35"/>
      <c r="CV409" s="35"/>
      <c r="CW409" s="35"/>
      <c r="CX409" s="35"/>
      <c r="CY409" s="35"/>
      <c r="CZ409" s="35"/>
      <c r="DA409" s="35"/>
      <c r="DB409" s="35"/>
      <c r="DC409" s="35"/>
      <c r="DD409" s="35"/>
      <c r="DE409" s="35"/>
      <c r="DF409" s="35"/>
      <c r="DG409" s="35"/>
      <c r="DH409" s="35"/>
      <c r="DI409" s="35"/>
      <c r="DJ409" s="35"/>
      <c r="DK409" s="35"/>
      <c r="DL409" s="35"/>
      <c r="DM409" s="35"/>
      <c r="DN409" s="35"/>
      <c r="DO409" s="35"/>
      <c r="DP409" s="35"/>
      <c r="DQ409" s="35"/>
      <c r="DR409" s="35"/>
      <c r="DS409" s="35"/>
      <c r="DT409" s="35"/>
      <c r="DU409" s="35"/>
      <c r="DV409" s="35"/>
      <c r="DW409" s="35"/>
      <c r="DX409" s="35"/>
      <c r="DY409" s="35"/>
      <c r="DZ409" s="35"/>
      <c r="EA409" s="35"/>
      <c r="EB409" s="35"/>
      <c r="EC409" s="35"/>
      <c r="ED409" s="35"/>
      <c r="EE409" s="35"/>
      <c r="EF409" s="35"/>
      <c r="EG409" s="35"/>
      <c r="EH409" s="35"/>
      <c r="EI409" s="35"/>
      <c r="EJ409" s="35"/>
      <c r="EK409" s="35"/>
      <c r="EL409" s="35"/>
      <c r="EM409" s="35"/>
      <c r="EN409" s="35"/>
      <c r="EO409" s="35"/>
      <c r="EP409" s="35"/>
      <c r="EQ409" s="35"/>
      <c r="ER409" s="35">
        <v>1</v>
      </c>
      <c r="ES409" s="35"/>
      <c r="ET409" s="35"/>
      <c r="EU409" s="35"/>
      <c r="EV409" s="35"/>
      <c r="EW409" s="35"/>
      <c r="EX409" s="35"/>
      <c r="EY409" s="35"/>
      <c r="EZ409" s="35"/>
      <c r="FA409" s="35">
        <v>-1</v>
      </c>
      <c r="FB409" s="35"/>
      <c r="FC409" s="35"/>
      <c r="FD409" s="35"/>
      <c r="FE409" s="35"/>
      <c r="FF409" s="35"/>
      <c r="FG409" s="35"/>
      <c r="FH409" s="35"/>
      <c r="FI409" s="35"/>
      <c r="FJ409" s="35"/>
      <c r="FK409" s="35"/>
      <c r="FL409" s="35"/>
      <c r="FM409" s="35"/>
      <c r="FN409" s="35"/>
      <c r="FO409" s="35"/>
      <c r="FP409" s="35"/>
      <c r="FQ409" s="35"/>
      <c r="FR409" s="35"/>
      <c r="FS409" s="35"/>
      <c r="FT409" s="35"/>
      <c r="FU409" s="35"/>
      <c r="FV409" s="35"/>
      <c r="FW409" s="35"/>
      <c r="FX409" s="35"/>
      <c r="FY409" s="35"/>
      <c r="FZ409" s="35"/>
      <c r="GA409" s="35"/>
      <c r="GB409" s="318"/>
      <c r="GC409" s="178">
        <f t="shared" si="74"/>
        <v>0</v>
      </c>
      <c r="GD409" s="178">
        <f t="shared" si="75"/>
        <v>0</v>
      </c>
      <c r="GE409" s="178">
        <f t="shared" si="76"/>
        <v>0</v>
      </c>
      <c r="GF409" s="178">
        <f t="shared" si="77"/>
        <v>0</v>
      </c>
      <c r="GG409" s="178">
        <f t="shared" si="69"/>
        <v>0</v>
      </c>
    </row>
    <row r="410" spans="1:342" x14ac:dyDescent="0.35">
      <c r="A410" s="6" t="s">
        <v>1654</v>
      </c>
      <c r="B410" s="6" t="str">
        <f>IF(Technologies!B410&lt;&gt;0,Technologies!B410,"")</f>
        <v>Industrie</v>
      </c>
      <c r="C410" s="6" t="str">
        <f>VLOOKUP($A410,Technologies!$A$7:$H$576,3,FALSE)</f>
        <v>Conversion</v>
      </c>
      <c r="D410" s="6" t="str">
        <f>VLOOKUP($A410,Technologies!$A$7:$H$576,4,FALSE)</f>
        <v>Final Biomass</v>
      </c>
      <c r="E410" s="6" t="str">
        <f>VLOOKUP($A410,Technologies!$A$7:$H$576,6,FALSE)</f>
        <v>Biomass</v>
      </c>
      <c r="F410" s="48" t="str">
        <f>VLOOKUP($A410,Technologies!$A$7:$H$576,7,FALSE)</f>
        <v>Biomass from grasscrops - Final Biomass</v>
      </c>
      <c r="G410" s="22"/>
      <c r="H410" s="22"/>
      <c r="I410" s="103" cm="1">
        <f t="array" ref="I410">-SUMPRODUCT((Feedstocks!$C$4:$C$141=A410)*Feedstocks!$E$4:$E$141,Feedstocks!$F$4:$F$141,Feedstocks!$H$4:$H$141,Feedstocks!$I$4:$I$141)</f>
        <v>0</v>
      </c>
      <c r="J410" s="103" cm="1">
        <f t="array" ref="J410">-SUMPRODUCT((Feedstocks!$C$4:$C$141=A410)*Feedstocks!$E$4:$E$141,Feedstocks!$H$4:$H$141,Feedstocks!$I$4:$I$141)</f>
        <v>0</v>
      </c>
      <c r="K410" s="103"/>
      <c r="L410" s="103"/>
      <c r="M410" s="22"/>
      <c r="N410" s="22" t="str">
        <f>VLOOKUP(E410,Activities!$A$9:$M$227,13,FALSE)</f>
        <v>NL</v>
      </c>
      <c r="O410" s="22"/>
      <c r="P410" s="80" t="s">
        <v>415</v>
      </c>
      <c r="Q410" s="36"/>
      <c r="R410" s="36"/>
      <c r="S410" s="36"/>
      <c r="T410" s="36"/>
      <c r="U410" s="36"/>
      <c r="V410" s="36"/>
      <c r="W410" s="36"/>
      <c r="X410" s="36"/>
      <c r="Y410" s="36"/>
      <c r="Z410" s="36"/>
      <c r="AA410" s="36"/>
      <c r="AB410" s="36"/>
      <c r="AC410" s="36"/>
      <c r="AD410" s="36"/>
      <c r="AE410" s="36"/>
      <c r="AF410" s="35"/>
      <c r="AG410" s="35"/>
      <c r="AH410" s="35"/>
      <c r="AI410" s="35"/>
      <c r="AJ410" s="35"/>
      <c r="AK410" s="35"/>
      <c r="AL410" s="35"/>
      <c r="AM410" s="35"/>
      <c r="AN410" s="35"/>
      <c r="AO410" s="35"/>
      <c r="AP410" s="36"/>
      <c r="AQ410" s="36"/>
      <c r="AR410" s="36"/>
      <c r="AS410" s="36"/>
      <c r="AT410" s="36"/>
      <c r="AU410" s="36"/>
      <c r="AV410" s="36"/>
      <c r="AW410" s="36"/>
      <c r="AX410" s="36"/>
      <c r="AY410" s="36"/>
      <c r="AZ410" s="36"/>
      <c r="BA410" s="36"/>
      <c r="BB410" s="36"/>
      <c r="BC410" s="36"/>
      <c r="BD410" s="36"/>
      <c r="BE410" s="36"/>
      <c r="BF410" s="36"/>
      <c r="BG410" s="36"/>
      <c r="BH410" s="36"/>
      <c r="BI410" s="36"/>
      <c r="BJ410" s="36"/>
      <c r="BK410" s="36"/>
      <c r="BL410" s="36"/>
      <c r="BM410" s="36"/>
      <c r="BN410" s="36"/>
      <c r="BO410" s="36"/>
      <c r="BP410" s="36"/>
      <c r="BQ410" s="36"/>
      <c r="BR410" s="36"/>
      <c r="BS410" s="36"/>
      <c r="BT410" s="36"/>
      <c r="BU410" s="36"/>
      <c r="BV410" s="36"/>
      <c r="BW410" s="36"/>
      <c r="BX410" s="36"/>
      <c r="BY410" s="36"/>
      <c r="BZ410" s="36"/>
      <c r="CA410" s="36"/>
      <c r="CB410" s="36"/>
      <c r="CC410" s="36"/>
      <c r="CD410" s="36"/>
      <c r="CE410" s="36"/>
      <c r="CF410" s="36"/>
      <c r="CG410" s="36"/>
      <c r="CH410" s="36"/>
      <c r="CI410" s="36"/>
      <c r="CJ410" s="36"/>
      <c r="CK410" s="36"/>
      <c r="CL410" s="36"/>
      <c r="CM410" s="36"/>
      <c r="CN410" s="36"/>
      <c r="CO410" s="36"/>
      <c r="CP410" s="36"/>
      <c r="CQ410" s="36"/>
      <c r="CR410" s="36"/>
      <c r="CS410" s="36"/>
      <c r="CT410" s="36"/>
      <c r="CU410" s="36"/>
      <c r="CV410" s="36"/>
      <c r="CW410" s="36"/>
      <c r="CX410" s="36"/>
      <c r="CY410" s="36"/>
      <c r="CZ410" s="36"/>
      <c r="DA410" s="36"/>
      <c r="DB410" s="36"/>
      <c r="DC410" s="36"/>
      <c r="DD410" s="36"/>
      <c r="DE410" s="36"/>
      <c r="DF410" s="36"/>
      <c r="DG410" s="36"/>
      <c r="DH410" s="36"/>
      <c r="DI410" s="36"/>
      <c r="DJ410" s="36"/>
      <c r="DK410" s="36"/>
      <c r="DL410" s="36"/>
      <c r="DM410" s="36"/>
      <c r="DN410" s="36"/>
      <c r="DO410" s="36"/>
      <c r="DP410" s="36"/>
      <c r="DQ410" s="36"/>
      <c r="DR410" s="36"/>
      <c r="DS410" s="36"/>
      <c r="DT410" s="36"/>
      <c r="DU410" s="36"/>
      <c r="DV410" s="36"/>
      <c r="DW410" s="36"/>
      <c r="DX410" s="36"/>
      <c r="DY410" s="36"/>
      <c r="DZ410" s="36"/>
      <c r="EA410" s="36"/>
      <c r="EB410" s="36"/>
      <c r="EC410" s="36"/>
      <c r="ED410" s="36"/>
      <c r="EE410" s="36"/>
      <c r="EF410" s="36"/>
      <c r="EG410" s="36"/>
      <c r="EH410" s="36"/>
      <c r="EI410" s="36"/>
      <c r="EJ410" s="36"/>
      <c r="EK410" s="36"/>
      <c r="EL410" s="36"/>
      <c r="EM410" s="36"/>
      <c r="EN410" s="36"/>
      <c r="EO410" s="36"/>
      <c r="EP410" s="36"/>
      <c r="EQ410" s="36"/>
      <c r="ER410" s="36">
        <v>1</v>
      </c>
      <c r="ES410" s="36"/>
      <c r="ET410" s="36"/>
      <c r="EU410" s="36"/>
      <c r="EV410" s="36"/>
      <c r="EW410" s="36"/>
      <c r="EX410" s="36"/>
      <c r="EY410" s="36"/>
      <c r="EZ410" s="36"/>
      <c r="FA410" s="36"/>
      <c r="FB410" s="36">
        <v>-1</v>
      </c>
      <c r="FC410" s="36"/>
      <c r="FD410" s="36"/>
      <c r="FE410" s="36"/>
      <c r="FF410" s="36"/>
      <c r="FG410" s="36"/>
      <c r="FH410" s="36"/>
      <c r="FI410" s="36"/>
      <c r="FJ410" s="36"/>
      <c r="FK410" s="36"/>
      <c r="FL410" s="36"/>
      <c r="FM410" s="36"/>
      <c r="FN410" s="36"/>
      <c r="FO410" s="36"/>
      <c r="FP410" s="36"/>
      <c r="FQ410" s="36"/>
      <c r="FR410" s="36"/>
      <c r="FS410" s="36"/>
      <c r="FT410" s="36"/>
      <c r="FU410" s="36"/>
      <c r="FV410" s="36"/>
      <c r="FW410" s="36"/>
      <c r="FX410" s="36"/>
      <c r="FY410" s="36"/>
      <c r="FZ410" s="36"/>
      <c r="GA410" s="36"/>
      <c r="GB410" s="319"/>
      <c r="GC410" s="179">
        <f t="shared" si="74"/>
        <v>0</v>
      </c>
      <c r="GD410" s="179">
        <f t="shared" si="75"/>
        <v>0</v>
      </c>
      <c r="GE410" s="179">
        <f t="shared" si="76"/>
        <v>0</v>
      </c>
      <c r="GF410" s="179">
        <f t="shared" si="77"/>
        <v>0</v>
      </c>
      <c r="GG410" s="179">
        <f t="shared" si="69"/>
        <v>0</v>
      </c>
    </row>
    <row r="411" spans="1:342" x14ac:dyDescent="0.35">
      <c r="A411" s="5" t="s">
        <v>1656</v>
      </c>
      <c r="B411" s="6" t="str">
        <f>IF(Technologies!B411&lt;&gt;0,Technologies!B411,"")</f>
        <v>Industrie</v>
      </c>
      <c r="C411" s="5" t="str">
        <f>VLOOKUP($A411,Technologies!$A$7:$H$576,3,FALSE)</f>
        <v>Conversion</v>
      </c>
      <c r="D411" s="5" t="str">
        <f>VLOOKUP($A411,Technologies!$A$7:$H$576,4,FALSE)</f>
        <v>Final Biomass</v>
      </c>
      <c r="E411" s="5" t="str">
        <f>VLOOKUP($A411,Technologies!$A$7:$H$576,6,FALSE)</f>
        <v>Biomass</v>
      </c>
      <c r="F411" s="5" t="str">
        <f>VLOOKUP($A411,Technologies!$A$7:$H$576,7,FALSE)</f>
        <v>Biomass from agriculture residues - Final Biomass</v>
      </c>
      <c r="G411" s="23"/>
      <c r="H411" s="23"/>
      <c r="I411" s="104" cm="1">
        <f t="array" ref="I411">-SUMPRODUCT((Feedstocks!$C$4:$C$141=A411)*Feedstocks!$E$4:$E$141,Feedstocks!$F$4:$F$141,Feedstocks!$H$4:$H$141,Feedstocks!$I$4:$I$141)</f>
        <v>0</v>
      </c>
      <c r="J411" s="104" cm="1">
        <f t="array" ref="J411">-SUMPRODUCT((Feedstocks!$C$4:$C$141=A411)*Feedstocks!$E$4:$E$141,Feedstocks!$H$4:$H$141,Feedstocks!$I$4:$I$141)</f>
        <v>0</v>
      </c>
      <c r="K411" s="104"/>
      <c r="L411" s="104"/>
      <c r="M411" s="23"/>
      <c r="N411" s="23" t="str">
        <f>VLOOKUP(E411,Activities!$A$9:$M$227,13,FALSE)</f>
        <v>NL</v>
      </c>
      <c r="O411" s="23"/>
      <c r="P411" s="79" t="s">
        <v>415</v>
      </c>
      <c r="Q411" s="35"/>
      <c r="R411" s="35"/>
      <c r="S411" s="35"/>
      <c r="T411" s="35"/>
      <c r="U411" s="35"/>
      <c r="V411" s="35"/>
      <c r="W411" s="35"/>
      <c r="X411" s="35"/>
      <c r="Y411" s="35"/>
      <c r="Z411" s="35"/>
      <c r="AA411" s="35"/>
      <c r="AB411" s="35"/>
      <c r="AC411" s="35"/>
      <c r="AD411" s="35"/>
      <c r="AE411" s="35"/>
      <c r="AF411" s="36"/>
      <c r="AG411" s="36"/>
      <c r="AH411" s="36"/>
      <c r="AI411" s="36"/>
      <c r="AJ411" s="36"/>
      <c r="AK411" s="36"/>
      <c r="AL411" s="36"/>
      <c r="AM411" s="36"/>
      <c r="AN411" s="36"/>
      <c r="AO411" s="36"/>
      <c r="AP411" s="35"/>
      <c r="AQ411" s="35"/>
      <c r="AR411" s="35"/>
      <c r="AS411" s="35"/>
      <c r="AT411" s="35"/>
      <c r="AU411" s="35"/>
      <c r="AV411" s="35"/>
      <c r="AW411" s="35"/>
      <c r="AX411" s="35"/>
      <c r="AY411" s="35"/>
      <c r="AZ411" s="35"/>
      <c r="BA411" s="35"/>
      <c r="BB411" s="35"/>
      <c r="BC411" s="35"/>
      <c r="BD411" s="35"/>
      <c r="BE411" s="35"/>
      <c r="BF411" s="35"/>
      <c r="BG411" s="35"/>
      <c r="BH411" s="35"/>
      <c r="BI411" s="35"/>
      <c r="BJ411" s="35"/>
      <c r="BK411" s="35"/>
      <c r="BL411" s="35"/>
      <c r="BM411" s="35"/>
      <c r="BN411" s="35"/>
      <c r="BO411" s="35"/>
      <c r="BP411" s="35"/>
      <c r="BQ411" s="35"/>
      <c r="BR411" s="35"/>
      <c r="BS411" s="35"/>
      <c r="BT411" s="35"/>
      <c r="BU411" s="35"/>
      <c r="BV411" s="35"/>
      <c r="BW411" s="35"/>
      <c r="BX411" s="35"/>
      <c r="BY411" s="35"/>
      <c r="BZ411" s="35"/>
      <c r="CA411" s="35"/>
      <c r="CB411" s="35"/>
      <c r="CC411" s="35"/>
      <c r="CD411" s="35"/>
      <c r="CE411" s="35"/>
      <c r="CF411" s="35"/>
      <c r="CG411" s="35"/>
      <c r="CH411" s="35"/>
      <c r="CI411" s="35"/>
      <c r="CJ411" s="35"/>
      <c r="CK411" s="35"/>
      <c r="CL411" s="35"/>
      <c r="CM411" s="35"/>
      <c r="CN411" s="35"/>
      <c r="CO411" s="35"/>
      <c r="CP411" s="35"/>
      <c r="CQ411" s="35"/>
      <c r="CR411" s="35"/>
      <c r="CS411" s="35"/>
      <c r="CT411" s="35"/>
      <c r="CU411" s="35"/>
      <c r="CV411" s="35"/>
      <c r="CW411" s="35"/>
      <c r="CX411" s="35"/>
      <c r="CY411" s="35"/>
      <c r="CZ411" s="35"/>
      <c r="DA411" s="35"/>
      <c r="DB411" s="35"/>
      <c r="DC411" s="35"/>
      <c r="DD411" s="35"/>
      <c r="DE411" s="35"/>
      <c r="DF411" s="35"/>
      <c r="DG411" s="35"/>
      <c r="DH411" s="35"/>
      <c r="DI411" s="35"/>
      <c r="DJ411" s="35"/>
      <c r="DK411" s="35"/>
      <c r="DL411" s="35"/>
      <c r="DM411" s="35"/>
      <c r="DN411" s="35"/>
      <c r="DO411" s="35"/>
      <c r="DP411" s="35"/>
      <c r="DQ411" s="35"/>
      <c r="DR411" s="35"/>
      <c r="DS411" s="35"/>
      <c r="DT411" s="35"/>
      <c r="DU411" s="35"/>
      <c r="DV411" s="35"/>
      <c r="DW411" s="35"/>
      <c r="DX411" s="35"/>
      <c r="DY411" s="35"/>
      <c r="DZ411" s="35"/>
      <c r="EA411" s="35"/>
      <c r="EB411" s="35"/>
      <c r="EC411" s="35"/>
      <c r="ED411" s="35"/>
      <c r="EE411" s="35"/>
      <c r="EF411" s="35"/>
      <c r="EG411" s="35"/>
      <c r="EH411" s="35"/>
      <c r="EI411" s="35"/>
      <c r="EJ411" s="35"/>
      <c r="EK411" s="35"/>
      <c r="EL411" s="35"/>
      <c r="EM411" s="35"/>
      <c r="EN411" s="35"/>
      <c r="EO411" s="35"/>
      <c r="EP411" s="35"/>
      <c r="EQ411" s="35"/>
      <c r="ER411" s="35">
        <v>1</v>
      </c>
      <c r="ES411" s="35"/>
      <c r="ET411" s="35"/>
      <c r="EU411" s="35"/>
      <c r="EV411" s="35"/>
      <c r="EW411" s="35"/>
      <c r="EX411" s="35"/>
      <c r="EY411" s="35"/>
      <c r="EZ411" s="35"/>
      <c r="FA411" s="35"/>
      <c r="FB411" s="35"/>
      <c r="FC411" s="35">
        <v>-1</v>
      </c>
      <c r="FD411" s="35"/>
      <c r="FE411" s="35"/>
      <c r="FF411" s="35"/>
      <c r="FG411" s="35"/>
      <c r="FH411" s="35"/>
      <c r="FI411" s="35"/>
      <c r="FJ411" s="35"/>
      <c r="FK411" s="35"/>
      <c r="FL411" s="35"/>
      <c r="FM411" s="35"/>
      <c r="FN411" s="35"/>
      <c r="FO411" s="35"/>
      <c r="FP411" s="35"/>
      <c r="FQ411" s="35"/>
      <c r="FR411" s="35"/>
      <c r="FS411" s="35"/>
      <c r="FT411" s="35"/>
      <c r="FU411" s="35"/>
      <c r="FV411" s="35"/>
      <c r="FW411" s="35"/>
      <c r="FX411" s="35"/>
      <c r="FY411" s="35"/>
      <c r="FZ411" s="35"/>
      <c r="GA411" s="35"/>
      <c r="GB411" s="318"/>
      <c r="GC411" s="178">
        <f t="shared" si="74"/>
        <v>0</v>
      </c>
      <c r="GD411" s="178">
        <f t="shared" si="75"/>
        <v>0</v>
      </c>
      <c r="GE411" s="178">
        <f t="shared" si="76"/>
        <v>0</v>
      </c>
      <c r="GF411" s="178">
        <f t="shared" si="77"/>
        <v>0</v>
      </c>
      <c r="GG411" s="178">
        <f t="shared" si="69"/>
        <v>0</v>
      </c>
    </row>
    <row r="412" spans="1:342" x14ac:dyDescent="0.35">
      <c r="A412" s="6" t="s">
        <v>1658</v>
      </c>
      <c r="B412" s="6" t="str">
        <f>IF(Technologies!B412&lt;&gt;0,Technologies!B412,"")</f>
        <v>Industrie</v>
      </c>
      <c r="C412" s="6" t="str">
        <f>VLOOKUP($A412,Technologies!$A$7:$H$576,3,FALSE)</f>
        <v>Primary</v>
      </c>
      <c r="D412" s="6" t="str">
        <f>VLOOKUP($A412,Technologies!$A$7:$H$576,4,FALSE)</f>
        <v>Fossil</v>
      </c>
      <c r="E412" s="6" t="str">
        <f>VLOOKUP($A412,Technologies!$A$7:$H$576,6,FALSE)</f>
        <v>Coal</v>
      </c>
      <c r="F412" s="48" t="str">
        <f>VLOOKUP($A412,Technologies!$A$7:$H$576,7,FALSE)</f>
        <v>Imported Coal</v>
      </c>
      <c r="G412" s="22"/>
      <c r="H412" s="22"/>
      <c r="I412" s="103" cm="1">
        <f t="array" ref="I412">-SUMPRODUCT((Feedstocks!$C$4:$C$141=A412)*Feedstocks!$E$4:$E$141,Feedstocks!$F$4:$F$141,Feedstocks!$H$4:$H$141,Feedstocks!$I$4:$I$141)</f>
        <v>0</v>
      </c>
      <c r="J412" s="103" cm="1">
        <f t="array" ref="J412">-SUMPRODUCT((Feedstocks!$C$4:$C$141=A412)*Feedstocks!$E$4:$E$141,Feedstocks!$H$4:$H$141,Feedstocks!$I$4:$I$141)</f>
        <v>0</v>
      </c>
      <c r="K412" s="103"/>
      <c r="L412" s="103"/>
      <c r="M412" s="22"/>
      <c r="N412" s="22" t="str">
        <f>VLOOKUP(E412,Activities!$A$9:$M$227,13,FALSE)</f>
        <v>NL</v>
      </c>
      <c r="O412" s="22"/>
      <c r="P412" s="80" t="s">
        <v>415</v>
      </c>
      <c r="Q412" s="36"/>
      <c r="R412" s="36"/>
      <c r="S412" s="36"/>
      <c r="T412" s="36"/>
      <c r="U412" s="36"/>
      <c r="V412" s="36"/>
      <c r="W412" s="36"/>
      <c r="X412" s="36"/>
      <c r="Y412" s="36"/>
      <c r="Z412" s="36"/>
      <c r="AA412" s="36"/>
      <c r="AB412" s="36"/>
      <c r="AC412" s="36"/>
      <c r="AD412" s="36"/>
      <c r="AE412" s="36"/>
      <c r="AF412" s="35"/>
      <c r="AG412" s="35"/>
      <c r="AH412" s="35"/>
      <c r="AI412" s="35"/>
      <c r="AJ412" s="35"/>
      <c r="AK412" s="35"/>
      <c r="AL412" s="35"/>
      <c r="AM412" s="35"/>
      <c r="AN412" s="35"/>
      <c r="AO412" s="35"/>
      <c r="AP412" s="36"/>
      <c r="AQ412" s="36"/>
      <c r="AR412" s="36"/>
      <c r="AS412" s="36"/>
      <c r="AT412" s="36"/>
      <c r="AU412" s="36"/>
      <c r="AV412" s="36"/>
      <c r="AW412" s="36"/>
      <c r="AX412" s="36"/>
      <c r="AY412" s="36"/>
      <c r="AZ412" s="36"/>
      <c r="BA412" s="36"/>
      <c r="BB412" s="36"/>
      <c r="BC412" s="36"/>
      <c r="BD412" s="36"/>
      <c r="BE412" s="36"/>
      <c r="BF412" s="36"/>
      <c r="BG412" s="36"/>
      <c r="BH412" s="36"/>
      <c r="BI412" s="36"/>
      <c r="BJ412" s="36"/>
      <c r="BK412" s="36"/>
      <c r="BL412" s="36"/>
      <c r="BM412" s="36"/>
      <c r="BN412" s="36"/>
      <c r="BO412" s="36"/>
      <c r="BP412" s="36"/>
      <c r="BQ412" s="36"/>
      <c r="BR412" s="36"/>
      <c r="BS412" s="36"/>
      <c r="BT412" s="36"/>
      <c r="BU412" s="36"/>
      <c r="BV412" s="36"/>
      <c r="BW412" s="36"/>
      <c r="BX412" s="36"/>
      <c r="BY412" s="36"/>
      <c r="BZ412" s="36"/>
      <c r="CA412" s="36"/>
      <c r="CB412" s="36"/>
      <c r="CC412" s="36"/>
      <c r="CD412" s="36"/>
      <c r="CE412" s="36"/>
      <c r="CF412" s="36"/>
      <c r="CG412" s="36"/>
      <c r="CH412" s="36"/>
      <c r="CI412" s="36"/>
      <c r="CJ412" s="36"/>
      <c r="CK412" s="36"/>
      <c r="CL412" s="36"/>
      <c r="CM412" s="36"/>
      <c r="CN412" s="36"/>
      <c r="CO412" s="36"/>
      <c r="CP412" s="36"/>
      <c r="CQ412" s="36"/>
      <c r="CR412" s="36"/>
      <c r="CS412" s="36"/>
      <c r="CT412" s="36"/>
      <c r="CU412" s="36"/>
      <c r="CV412" s="36"/>
      <c r="CW412" s="36"/>
      <c r="CX412" s="36"/>
      <c r="CY412" s="36"/>
      <c r="CZ412" s="36"/>
      <c r="DA412" s="36"/>
      <c r="DB412" s="36"/>
      <c r="DC412" s="36"/>
      <c r="DD412" s="36"/>
      <c r="DE412" s="36"/>
      <c r="DF412" s="36"/>
      <c r="DG412" s="36"/>
      <c r="DH412" s="36"/>
      <c r="DI412" s="36"/>
      <c r="DJ412" s="36"/>
      <c r="DK412" s="36"/>
      <c r="DL412" s="36"/>
      <c r="DM412" s="36"/>
      <c r="DN412" s="36"/>
      <c r="DO412" s="36"/>
      <c r="DP412" s="36"/>
      <c r="DQ412" s="36"/>
      <c r="DR412" s="36"/>
      <c r="DS412" s="36"/>
      <c r="DT412" s="36"/>
      <c r="DU412" s="36"/>
      <c r="DV412" s="36"/>
      <c r="DW412" s="36"/>
      <c r="DX412" s="36"/>
      <c r="DY412" s="36"/>
      <c r="DZ412" s="36"/>
      <c r="EA412" s="36"/>
      <c r="EB412" s="36"/>
      <c r="EC412" s="36"/>
      <c r="ED412" s="36"/>
      <c r="EE412" s="36"/>
      <c r="EF412" s="36"/>
      <c r="EG412" s="36"/>
      <c r="EH412" s="36"/>
      <c r="EI412" s="36"/>
      <c r="EJ412" s="36"/>
      <c r="EK412" s="36"/>
      <c r="EL412" s="36"/>
      <c r="EM412" s="36"/>
      <c r="EN412" s="36"/>
      <c r="EO412" s="36"/>
      <c r="EP412" s="36"/>
      <c r="EQ412" s="36"/>
      <c r="ER412" s="36"/>
      <c r="ES412" s="36">
        <v>1</v>
      </c>
      <c r="ET412" s="36"/>
      <c r="EU412" s="36"/>
      <c r="EV412" s="36"/>
      <c r="EW412" s="36"/>
      <c r="EX412" s="36"/>
      <c r="EY412" s="36"/>
      <c r="EZ412" s="36"/>
      <c r="FA412" s="36"/>
      <c r="FB412" s="36"/>
      <c r="FC412" s="36"/>
      <c r="FD412" s="36"/>
      <c r="FE412" s="36"/>
      <c r="FF412" s="36"/>
      <c r="FG412" s="36"/>
      <c r="FH412" s="36"/>
      <c r="FI412" s="36"/>
      <c r="FJ412" s="36"/>
      <c r="FK412" s="36"/>
      <c r="FL412" s="36"/>
      <c r="FM412" s="36"/>
      <c r="FN412" s="36"/>
      <c r="FO412" s="36"/>
      <c r="FP412" s="36"/>
      <c r="FQ412" s="36"/>
      <c r="FR412" s="36"/>
      <c r="FS412" s="36"/>
      <c r="FT412" s="36"/>
      <c r="FU412" s="36"/>
      <c r="FV412" s="36"/>
      <c r="FW412" s="36"/>
      <c r="FX412" s="36"/>
      <c r="FY412" s="36"/>
      <c r="FZ412" s="36"/>
      <c r="GA412" s="36"/>
      <c r="GB412" s="319"/>
      <c r="GC412" s="179">
        <f t="shared" si="74"/>
        <v>0</v>
      </c>
      <c r="GD412" s="179">
        <f t="shared" si="75"/>
        <v>0</v>
      </c>
      <c r="GE412" s="179">
        <f t="shared" si="76"/>
        <v>0</v>
      </c>
      <c r="GF412" s="179">
        <f t="shared" si="77"/>
        <v>0</v>
      </c>
      <c r="GG412" s="179">
        <f t="shared" si="69"/>
        <v>0</v>
      </c>
    </row>
    <row r="413" spans="1:342" x14ac:dyDescent="0.35">
      <c r="A413" s="5" t="s">
        <v>1660</v>
      </c>
      <c r="B413" s="6" t="str">
        <f>IF(Technologies!B413&lt;&gt;0,Technologies!B413,"")</f>
        <v>Industrie</v>
      </c>
      <c r="C413" s="5" t="str">
        <f>VLOOKUP($A413,Technologies!$A$7:$H$576,3,FALSE)</f>
        <v>Primary</v>
      </c>
      <c r="D413" s="5" t="str">
        <f>VLOOKUP($A413,Technologies!$A$7:$H$576,4,FALSE)</f>
        <v>Fossil</v>
      </c>
      <c r="E413" s="5" t="str">
        <f>VLOOKUP($A413,Technologies!$A$7:$H$576,6,FALSE)</f>
        <v>Crude Oil</v>
      </c>
      <c r="F413" s="5" t="str">
        <f>VLOOKUP($A413,Technologies!$A$7:$H$576,7,FALSE)</f>
        <v>Imported Crude Oil</v>
      </c>
      <c r="G413" s="23"/>
      <c r="H413" s="23"/>
      <c r="I413" s="104" cm="1">
        <f t="array" ref="I413">-SUMPRODUCT((Feedstocks!$C$4:$C$141=A413)*Feedstocks!$E$4:$E$141,Feedstocks!$F$4:$F$141,Feedstocks!$H$4:$H$141,Feedstocks!$I$4:$I$141)</f>
        <v>0</v>
      </c>
      <c r="J413" s="104" cm="1">
        <f t="array" ref="J413">-SUMPRODUCT((Feedstocks!$C$4:$C$141=A413)*Feedstocks!$E$4:$E$141,Feedstocks!$H$4:$H$141,Feedstocks!$I$4:$I$141)</f>
        <v>0</v>
      </c>
      <c r="K413" s="104"/>
      <c r="L413" s="104"/>
      <c r="M413" s="23"/>
      <c r="N413" s="23" t="str">
        <f>VLOOKUP(E413,Activities!$A$9:$M$227,13,FALSE)</f>
        <v>NL</v>
      </c>
      <c r="O413" s="23"/>
      <c r="P413" s="79" t="s">
        <v>415</v>
      </c>
      <c r="Q413" s="35"/>
      <c r="R413" s="35"/>
      <c r="S413" s="35"/>
      <c r="T413" s="35"/>
      <c r="U413" s="35"/>
      <c r="V413" s="35"/>
      <c r="W413" s="35"/>
      <c r="X413" s="35"/>
      <c r="Y413" s="35"/>
      <c r="Z413" s="35"/>
      <c r="AA413" s="35"/>
      <c r="AB413" s="35"/>
      <c r="AC413" s="35"/>
      <c r="AD413" s="35"/>
      <c r="AE413" s="35"/>
      <c r="AF413" s="36"/>
      <c r="AG413" s="36"/>
      <c r="AH413" s="36"/>
      <c r="AI413" s="36"/>
      <c r="AJ413" s="36"/>
      <c r="AK413" s="36"/>
      <c r="AL413" s="36"/>
      <c r="AM413" s="36"/>
      <c r="AN413" s="36"/>
      <c r="AO413" s="36"/>
      <c r="AP413" s="35"/>
      <c r="AQ413" s="35"/>
      <c r="AR413" s="35"/>
      <c r="AS413" s="35"/>
      <c r="AT413" s="35"/>
      <c r="AU413" s="35"/>
      <c r="AV413" s="35"/>
      <c r="AW413" s="35"/>
      <c r="AX413" s="35"/>
      <c r="AY413" s="35"/>
      <c r="AZ413" s="35"/>
      <c r="BA413" s="35"/>
      <c r="BB413" s="35"/>
      <c r="BC413" s="35"/>
      <c r="BD413" s="35"/>
      <c r="BE413" s="35"/>
      <c r="BF413" s="35"/>
      <c r="BG413" s="35"/>
      <c r="BH413" s="35"/>
      <c r="BI413" s="35"/>
      <c r="BJ413" s="35"/>
      <c r="BK413" s="35"/>
      <c r="BL413" s="35"/>
      <c r="BM413" s="35"/>
      <c r="BN413" s="35"/>
      <c r="BO413" s="35"/>
      <c r="BP413" s="35"/>
      <c r="BQ413" s="35"/>
      <c r="BR413" s="35"/>
      <c r="BS413" s="35"/>
      <c r="BT413" s="35"/>
      <c r="BU413" s="35"/>
      <c r="BV413" s="35"/>
      <c r="BW413" s="35"/>
      <c r="BX413" s="35"/>
      <c r="BY413" s="35"/>
      <c r="BZ413" s="35"/>
      <c r="CA413" s="35"/>
      <c r="CB413" s="35"/>
      <c r="CC413" s="35"/>
      <c r="CD413" s="35"/>
      <c r="CE413" s="35"/>
      <c r="CF413" s="35"/>
      <c r="CG413" s="35"/>
      <c r="CH413" s="35"/>
      <c r="CI413" s="35"/>
      <c r="CJ413" s="35"/>
      <c r="CK413" s="35"/>
      <c r="CL413" s="35"/>
      <c r="CM413" s="35"/>
      <c r="CN413" s="35"/>
      <c r="CO413" s="35"/>
      <c r="CP413" s="35"/>
      <c r="CQ413" s="35"/>
      <c r="CR413" s="35"/>
      <c r="CS413" s="35"/>
      <c r="CT413" s="35"/>
      <c r="CU413" s="35"/>
      <c r="CV413" s="35"/>
      <c r="CW413" s="35"/>
      <c r="CX413" s="35"/>
      <c r="CY413" s="35"/>
      <c r="CZ413" s="35"/>
      <c r="DA413" s="35"/>
      <c r="DB413" s="35"/>
      <c r="DC413" s="35"/>
      <c r="DD413" s="35"/>
      <c r="DE413" s="35"/>
      <c r="DF413" s="35"/>
      <c r="DG413" s="35"/>
      <c r="DH413" s="35"/>
      <c r="DI413" s="35"/>
      <c r="DJ413" s="35"/>
      <c r="DK413" s="35"/>
      <c r="DL413" s="35"/>
      <c r="DM413" s="35"/>
      <c r="DN413" s="35"/>
      <c r="DO413" s="35"/>
      <c r="DP413" s="35"/>
      <c r="DQ413" s="35"/>
      <c r="DR413" s="35"/>
      <c r="DS413" s="35"/>
      <c r="DT413" s="35"/>
      <c r="DU413" s="35"/>
      <c r="DV413" s="35"/>
      <c r="DW413" s="35"/>
      <c r="DX413" s="35"/>
      <c r="DY413" s="35"/>
      <c r="DZ413" s="35"/>
      <c r="EA413" s="35"/>
      <c r="EB413" s="35"/>
      <c r="EC413" s="35"/>
      <c r="ED413" s="35"/>
      <c r="EE413" s="35"/>
      <c r="EF413" s="35"/>
      <c r="EG413" s="35"/>
      <c r="EH413" s="35"/>
      <c r="EI413" s="35"/>
      <c r="EJ413" s="35"/>
      <c r="EK413" s="35"/>
      <c r="EL413" s="35"/>
      <c r="EM413" s="35"/>
      <c r="EN413" s="35"/>
      <c r="EO413" s="35"/>
      <c r="EP413" s="35"/>
      <c r="EQ413" s="35"/>
      <c r="ER413" s="35"/>
      <c r="ES413" s="35"/>
      <c r="ET413" s="35">
        <v>1</v>
      </c>
      <c r="EU413" s="35"/>
      <c r="EV413" s="35"/>
      <c r="EW413" s="35"/>
      <c r="EX413" s="35"/>
      <c r="EY413" s="35"/>
      <c r="EZ413" s="35"/>
      <c r="FA413" s="35"/>
      <c r="FB413" s="35"/>
      <c r="FC413" s="35"/>
      <c r="FD413" s="35"/>
      <c r="FE413" s="35"/>
      <c r="FF413" s="35"/>
      <c r="FG413" s="35"/>
      <c r="FH413" s="35"/>
      <c r="FI413" s="35"/>
      <c r="FJ413" s="35"/>
      <c r="FK413" s="35"/>
      <c r="FL413" s="35"/>
      <c r="FM413" s="35"/>
      <c r="FN413" s="35"/>
      <c r="FO413" s="35"/>
      <c r="FP413" s="35"/>
      <c r="FQ413" s="35"/>
      <c r="FR413" s="35"/>
      <c r="FS413" s="35"/>
      <c r="FT413" s="35"/>
      <c r="FU413" s="35"/>
      <c r="FV413" s="35"/>
      <c r="FW413" s="35"/>
      <c r="FX413" s="35"/>
      <c r="FY413" s="35"/>
      <c r="FZ413" s="35"/>
      <c r="GA413" s="35"/>
      <c r="GB413" s="318"/>
      <c r="GC413" s="178">
        <f t="shared" si="74"/>
        <v>0</v>
      </c>
      <c r="GD413" s="178">
        <f t="shared" si="75"/>
        <v>0</v>
      </c>
      <c r="GE413" s="178">
        <f t="shared" si="76"/>
        <v>0</v>
      </c>
      <c r="GF413" s="178">
        <f t="shared" si="77"/>
        <v>0</v>
      </c>
      <c r="GG413" s="178">
        <f t="shared" si="69"/>
        <v>0</v>
      </c>
    </row>
    <row r="414" spans="1:342" x14ac:dyDescent="0.35">
      <c r="A414" s="6" t="s">
        <v>1662</v>
      </c>
      <c r="B414" s="6" t="str">
        <f>IF(Technologies!B414&lt;&gt;0,Technologies!B414,"")</f>
        <v>Industrie</v>
      </c>
      <c r="C414" s="6" t="str">
        <f>VLOOKUP($A414,Technologies!$A$7:$H$576,3,FALSE)</f>
        <v>Primary</v>
      </c>
      <c r="D414" s="6" t="str">
        <f>VLOOKUP($A414,Technologies!$A$7:$H$576,4,FALSE)</f>
        <v>Fossil</v>
      </c>
      <c r="E414" s="6" t="str">
        <f>VLOOKUP($A414,Technologies!$A$7:$H$576,6,FALSE)</f>
        <v>National Natural Gas</v>
      </c>
      <c r="F414" s="48" t="str">
        <f>VLOOKUP($A414,Technologies!$A$7:$H$576,7,FALSE)</f>
        <v>National Natural Gas</v>
      </c>
      <c r="G414" s="22"/>
      <c r="H414" s="22"/>
      <c r="I414" s="103" cm="1">
        <f t="array" ref="I414">-SUMPRODUCT((Feedstocks!$C$4:$C$141=A414)*Feedstocks!$E$4:$E$141,Feedstocks!$F$4:$F$141,Feedstocks!$H$4:$H$141,Feedstocks!$I$4:$I$141)</f>
        <v>0</v>
      </c>
      <c r="J414" s="103" cm="1">
        <f t="array" ref="J414">-SUMPRODUCT((Feedstocks!$C$4:$C$141=A414)*Feedstocks!$E$4:$E$141,Feedstocks!$H$4:$H$141,Feedstocks!$I$4:$I$141)</f>
        <v>0</v>
      </c>
      <c r="K414" s="103"/>
      <c r="L414" s="103"/>
      <c r="M414" s="22"/>
      <c r="N414" s="22" t="str">
        <f>VLOOKUP(E414,Activities!$A$9:$M$227,13,FALSE)</f>
        <v>NL</v>
      </c>
      <c r="O414" s="22"/>
      <c r="P414" s="80" t="s">
        <v>415</v>
      </c>
      <c r="Q414" s="36"/>
      <c r="R414" s="36"/>
      <c r="S414" s="36"/>
      <c r="T414" s="36"/>
      <c r="U414" s="36"/>
      <c r="V414" s="36"/>
      <c r="W414" s="36"/>
      <c r="X414" s="36"/>
      <c r="Y414" s="36"/>
      <c r="Z414" s="36"/>
      <c r="AA414" s="36"/>
      <c r="AB414" s="36"/>
      <c r="AC414" s="36"/>
      <c r="AD414" s="36"/>
      <c r="AE414" s="36"/>
      <c r="AF414" s="35"/>
      <c r="AG414" s="35"/>
      <c r="AH414" s="35"/>
      <c r="AI414" s="35"/>
      <c r="AJ414" s="35"/>
      <c r="AK414" s="35"/>
      <c r="AL414" s="35"/>
      <c r="AM414" s="35"/>
      <c r="AN414" s="35"/>
      <c r="AO414" s="35"/>
      <c r="AP414" s="36"/>
      <c r="AQ414" s="36"/>
      <c r="AR414" s="36"/>
      <c r="AS414" s="36"/>
      <c r="AT414" s="36"/>
      <c r="AU414" s="36"/>
      <c r="AV414" s="36"/>
      <c r="AW414" s="36"/>
      <c r="AX414" s="36"/>
      <c r="AY414" s="36"/>
      <c r="AZ414" s="36"/>
      <c r="BA414" s="36"/>
      <c r="BB414" s="36"/>
      <c r="BC414" s="36"/>
      <c r="BD414" s="36"/>
      <c r="BE414" s="36"/>
      <c r="BF414" s="36"/>
      <c r="BG414" s="36"/>
      <c r="BH414" s="36"/>
      <c r="BI414" s="36"/>
      <c r="BJ414" s="36"/>
      <c r="BK414" s="36"/>
      <c r="BL414" s="36"/>
      <c r="BM414" s="36"/>
      <c r="BN414" s="36"/>
      <c r="BO414" s="36"/>
      <c r="BP414" s="36"/>
      <c r="BQ414" s="36"/>
      <c r="BR414" s="36"/>
      <c r="BS414" s="36"/>
      <c r="BT414" s="36"/>
      <c r="BU414" s="36"/>
      <c r="BV414" s="36"/>
      <c r="BW414" s="36"/>
      <c r="BX414" s="36"/>
      <c r="BY414" s="36"/>
      <c r="BZ414" s="36"/>
      <c r="CA414" s="36"/>
      <c r="CB414" s="36"/>
      <c r="CC414" s="36"/>
      <c r="CD414" s="36"/>
      <c r="CE414" s="36"/>
      <c r="CF414" s="36"/>
      <c r="CG414" s="36"/>
      <c r="CH414" s="36"/>
      <c r="CI414" s="36"/>
      <c r="CJ414" s="36"/>
      <c r="CK414" s="36"/>
      <c r="CL414" s="36"/>
      <c r="CM414" s="36"/>
      <c r="CN414" s="36"/>
      <c r="CO414" s="36"/>
      <c r="CP414" s="36"/>
      <c r="CQ414" s="36"/>
      <c r="CR414" s="36"/>
      <c r="CS414" s="36"/>
      <c r="CT414" s="36"/>
      <c r="CU414" s="36"/>
      <c r="CV414" s="36"/>
      <c r="CW414" s="36"/>
      <c r="CX414" s="36"/>
      <c r="CY414" s="36"/>
      <c r="CZ414" s="36"/>
      <c r="DA414" s="36"/>
      <c r="DB414" s="36"/>
      <c r="DC414" s="36"/>
      <c r="DD414" s="36"/>
      <c r="DE414" s="36"/>
      <c r="DF414" s="36"/>
      <c r="DG414" s="36"/>
      <c r="DH414" s="36"/>
      <c r="DI414" s="36"/>
      <c r="DJ414" s="36"/>
      <c r="DK414" s="36"/>
      <c r="DL414" s="36"/>
      <c r="DM414" s="36"/>
      <c r="DN414" s="36"/>
      <c r="DO414" s="36"/>
      <c r="DP414" s="36"/>
      <c r="DQ414" s="36"/>
      <c r="DR414" s="36"/>
      <c r="DS414" s="36"/>
      <c r="DT414" s="36"/>
      <c r="DU414" s="36"/>
      <c r="DV414" s="36"/>
      <c r="DW414" s="36"/>
      <c r="DX414" s="36"/>
      <c r="DY414" s="36"/>
      <c r="DZ414" s="36"/>
      <c r="EA414" s="36"/>
      <c r="EB414" s="36"/>
      <c r="EC414" s="36"/>
      <c r="ED414" s="36"/>
      <c r="EE414" s="36"/>
      <c r="EF414" s="36"/>
      <c r="EG414" s="36"/>
      <c r="EH414" s="36"/>
      <c r="EI414" s="36"/>
      <c r="EJ414" s="36"/>
      <c r="EK414" s="36"/>
      <c r="EL414" s="36"/>
      <c r="EM414" s="36"/>
      <c r="EN414" s="36"/>
      <c r="EO414" s="36"/>
      <c r="EP414" s="36"/>
      <c r="EQ414" s="36"/>
      <c r="ER414" s="36"/>
      <c r="ES414" s="36"/>
      <c r="ET414" s="36"/>
      <c r="EU414" s="36">
        <v>1</v>
      </c>
      <c r="EV414" s="36"/>
      <c r="EW414" s="36"/>
      <c r="EX414" s="36"/>
      <c r="EY414" s="36"/>
      <c r="EZ414" s="36"/>
      <c r="FA414" s="36"/>
      <c r="FB414" s="36"/>
      <c r="FC414" s="36"/>
      <c r="FD414" s="36"/>
      <c r="FE414" s="36"/>
      <c r="FF414" s="36"/>
      <c r="FG414" s="36"/>
      <c r="FH414" s="36"/>
      <c r="FI414" s="36"/>
      <c r="FJ414" s="36"/>
      <c r="FK414" s="36"/>
      <c r="FL414" s="36"/>
      <c r="FM414" s="36"/>
      <c r="FN414" s="36"/>
      <c r="FO414" s="36"/>
      <c r="FP414" s="36"/>
      <c r="FQ414" s="36"/>
      <c r="FR414" s="36"/>
      <c r="FS414" s="36"/>
      <c r="FT414" s="36"/>
      <c r="FU414" s="36"/>
      <c r="FV414" s="36"/>
      <c r="FW414" s="36"/>
      <c r="FX414" s="36"/>
      <c r="FY414" s="36"/>
      <c r="FZ414" s="36"/>
      <c r="GA414" s="36"/>
      <c r="GB414" s="319"/>
      <c r="GC414" s="179">
        <f t="shared" si="74"/>
        <v>0</v>
      </c>
      <c r="GD414" s="179">
        <f t="shared" si="75"/>
        <v>0</v>
      </c>
      <c r="GE414" s="179">
        <f t="shared" si="76"/>
        <v>0</v>
      </c>
      <c r="GF414" s="179">
        <f t="shared" si="77"/>
        <v>0</v>
      </c>
      <c r="GG414" s="179">
        <f t="shared" si="69"/>
        <v>0</v>
      </c>
    </row>
    <row r="415" spans="1:342" x14ac:dyDescent="0.35">
      <c r="A415" s="5" t="s">
        <v>1663</v>
      </c>
      <c r="B415" s="6" t="str">
        <f>IF(Technologies!B415&lt;&gt;0,Technologies!B415,"")</f>
        <v>Industrie</v>
      </c>
      <c r="C415" s="5" t="str">
        <f>VLOOKUP($A415,Technologies!$A$7:$H$576,3,FALSE)</f>
        <v>Primary</v>
      </c>
      <c r="D415" s="5" t="str">
        <f>VLOOKUP($A415,Technologies!$A$7:$H$576,4,FALSE)</f>
        <v>Other</v>
      </c>
      <c r="E415" s="5" t="str">
        <f>VLOOKUP($A415,Technologies!$A$7:$H$576,6,FALSE)</f>
        <v>Uranium</v>
      </c>
      <c r="F415" s="5" t="str">
        <f>VLOOKUP($A415,Technologies!$A$7:$H$576,7,FALSE)</f>
        <v>Imported Uranium NL</v>
      </c>
      <c r="G415" s="23"/>
      <c r="H415" s="23"/>
      <c r="I415" s="104" cm="1">
        <f t="array" ref="I415">-SUMPRODUCT((Feedstocks!$C$4:$C$141=A415)*Feedstocks!$E$4:$E$141,Feedstocks!$F$4:$F$141,Feedstocks!$H$4:$H$141,Feedstocks!$I$4:$I$141)</f>
        <v>0</v>
      </c>
      <c r="J415" s="104" cm="1">
        <f t="array" ref="J415">-SUMPRODUCT((Feedstocks!$C$4:$C$141=A415)*Feedstocks!$E$4:$E$141,Feedstocks!$H$4:$H$141,Feedstocks!$I$4:$I$141)</f>
        <v>0</v>
      </c>
      <c r="K415" s="104"/>
      <c r="L415" s="104"/>
      <c r="M415" s="23"/>
      <c r="N415" s="23" t="str">
        <f>VLOOKUP(E415,Activities!$A$9:$M$227,13,FALSE)</f>
        <v>NL</v>
      </c>
      <c r="O415" s="23"/>
      <c r="P415" s="79" t="s">
        <v>1519</v>
      </c>
      <c r="Q415" s="35"/>
      <c r="R415" s="35"/>
      <c r="S415" s="35"/>
      <c r="T415" s="35"/>
      <c r="U415" s="35"/>
      <c r="V415" s="35"/>
      <c r="W415" s="35"/>
      <c r="X415" s="35"/>
      <c r="Y415" s="35"/>
      <c r="Z415" s="35"/>
      <c r="AA415" s="35"/>
      <c r="AB415" s="35"/>
      <c r="AC415" s="35"/>
      <c r="AD415" s="35"/>
      <c r="AE415" s="35"/>
      <c r="AF415" s="36"/>
      <c r="AG415" s="36"/>
      <c r="AH415" s="36"/>
      <c r="AI415" s="36"/>
      <c r="AJ415" s="36"/>
      <c r="AK415" s="36"/>
      <c r="AL415" s="36"/>
      <c r="AM415" s="36"/>
      <c r="AN415" s="36"/>
      <c r="AO415" s="36"/>
      <c r="AP415" s="35"/>
      <c r="AQ415" s="35"/>
      <c r="AR415" s="35"/>
      <c r="AS415" s="35"/>
      <c r="AT415" s="35"/>
      <c r="AU415" s="35"/>
      <c r="AV415" s="35"/>
      <c r="AW415" s="35"/>
      <c r="AX415" s="35"/>
      <c r="AY415" s="35"/>
      <c r="AZ415" s="35"/>
      <c r="BA415" s="35"/>
      <c r="BB415" s="35"/>
      <c r="BC415" s="35"/>
      <c r="BD415" s="35"/>
      <c r="BE415" s="35"/>
      <c r="BF415" s="35"/>
      <c r="BG415" s="35"/>
      <c r="BH415" s="35"/>
      <c r="BI415" s="35"/>
      <c r="BJ415" s="35"/>
      <c r="BK415" s="35"/>
      <c r="BL415" s="35"/>
      <c r="BM415" s="35"/>
      <c r="BN415" s="35"/>
      <c r="BO415" s="35"/>
      <c r="BP415" s="35"/>
      <c r="BQ415" s="35"/>
      <c r="BR415" s="35"/>
      <c r="BS415" s="35"/>
      <c r="BT415" s="35"/>
      <c r="BU415" s="35"/>
      <c r="BV415" s="35"/>
      <c r="BW415" s="35"/>
      <c r="BX415" s="35"/>
      <c r="BY415" s="35"/>
      <c r="BZ415" s="35"/>
      <c r="CA415" s="35"/>
      <c r="CB415" s="35"/>
      <c r="CC415" s="35"/>
      <c r="CD415" s="35"/>
      <c r="CE415" s="35"/>
      <c r="CF415" s="35"/>
      <c r="CG415" s="35"/>
      <c r="CH415" s="35"/>
      <c r="CI415" s="35"/>
      <c r="CJ415" s="35"/>
      <c r="CK415" s="35"/>
      <c r="CL415" s="35"/>
      <c r="CM415" s="35"/>
      <c r="CN415" s="35"/>
      <c r="CO415" s="35"/>
      <c r="CP415" s="35"/>
      <c r="CQ415" s="35"/>
      <c r="CR415" s="35"/>
      <c r="CS415" s="35"/>
      <c r="CT415" s="35"/>
      <c r="CU415" s="35"/>
      <c r="CV415" s="35"/>
      <c r="CW415" s="35"/>
      <c r="CX415" s="35"/>
      <c r="CY415" s="35"/>
      <c r="CZ415" s="35"/>
      <c r="DA415" s="35"/>
      <c r="DB415" s="35"/>
      <c r="DC415" s="35"/>
      <c r="DD415" s="35"/>
      <c r="DE415" s="35"/>
      <c r="DF415" s="35"/>
      <c r="DG415" s="35"/>
      <c r="DH415" s="35"/>
      <c r="DI415" s="35"/>
      <c r="DJ415" s="35"/>
      <c r="DK415" s="35"/>
      <c r="DL415" s="35"/>
      <c r="DM415" s="35"/>
      <c r="DN415" s="35"/>
      <c r="DO415" s="35"/>
      <c r="DP415" s="35"/>
      <c r="DQ415" s="35"/>
      <c r="DR415" s="35"/>
      <c r="DS415" s="35"/>
      <c r="DT415" s="35"/>
      <c r="DU415" s="35"/>
      <c r="DV415" s="35"/>
      <c r="DW415" s="35"/>
      <c r="DX415" s="35"/>
      <c r="DY415" s="35"/>
      <c r="DZ415" s="35"/>
      <c r="EA415" s="35"/>
      <c r="EB415" s="35"/>
      <c r="EC415" s="35"/>
      <c r="ED415" s="35"/>
      <c r="EE415" s="35"/>
      <c r="EF415" s="35"/>
      <c r="EG415" s="35"/>
      <c r="EH415" s="35"/>
      <c r="EI415" s="35"/>
      <c r="EJ415" s="35"/>
      <c r="EK415" s="35"/>
      <c r="EL415" s="35"/>
      <c r="EM415" s="35"/>
      <c r="EN415" s="35"/>
      <c r="EO415" s="35"/>
      <c r="EP415" s="35"/>
      <c r="EQ415" s="35"/>
      <c r="ER415" s="35"/>
      <c r="ES415" s="35"/>
      <c r="ET415" s="35"/>
      <c r="EU415" s="35"/>
      <c r="EV415" s="35">
        <v>1</v>
      </c>
      <c r="EW415" s="35"/>
      <c r="EX415" s="35"/>
      <c r="EY415" s="35"/>
      <c r="EZ415" s="35"/>
      <c r="FA415" s="35"/>
      <c r="FB415" s="35"/>
      <c r="FC415" s="35"/>
      <c r="FD415" s="35"/>
      <c r="FE415" s="35"/>
      <c r="FF415" s="35"/>
      <c r="FG415" s="35"/>
      <c r="FH415" s="35"/>
      <c r="FI415" s="35"/>
      <c r="FJ415" s="35"/>
      <c r="FK415" s="35"/>
      <c r="FL415" s="35"/>
      <c r="FM415" s="35"/>
      <c r="FN415" s="35"/>
      <c r="FO415" s="35"/>
      <c r="FP415" s="35"/>
      <c r="FQ415" s="35"/>
      <c r="FR415" s="35"/>
      <c r="FS415" s="35"/>
      <c r="FT415" s="35"/>
      <c r="FU415" s="35"/>
      <c r="FV415" s="35"/>
      <c r="FW415" s="35"/>
      <c r="FX415" s="35"/>
      <c r="FY415" s="35"/>
      <c r="FZ415" s="35"/>
      <c r="GA415" s="35"/>
      <c r="GB415" s="318"/>
      <c r="GC415" s="178">
        <f t="shared" si="74"/>
        <v>0</v>
      </c>
      <c r="GD415" s="178">
        <f t="shared" si="75"/>
        <v>0</v>
      </c>
      <c r="GE415" s="178">
        <f t="shared" si="76"/>
        <v>0</v>
      </c>
      <c r="GF415" s="178">
        <f t="shared" si="77"/>
        <v>0</v>
      </c>
      <c r="GG415" s="178">
        <f t="shared" si="69"/>
        <v>0</v>
      </c>
    </row>
    <row r="416" spans="1:342" x14ac:dyDescent="0.35">
      <c r="A416" s="6" t="s">
        <v>1665</v>
      </c>
      <c r="B416" s="6" t="str">
        <f>IF(Technologies!B416&lt;&gt;0,Technologies!B416,"")</f>
        <v>Industrie</v>
      </c>
      <c r="C416" s="6" t="str">
        <f>VLOOKUP($A416,Technologies!$A$7:$H$576,3,FALSE)</f>
        <v>Primary</v>
      </c>
      <c r="D416" s="6" t="str">
        <f>VLOOKUP($A416,Technologies!$A$7:$H$576,4,FALSE)</f>
        <v>Other</v>
      </c>
      <c r="E416" s="6" t="str">
        <f>VLOOKUP($A416,Technologies!$A$7:$H$576,6,FALSE)</f>
        <v>Municipal Waste</v>
      </c>
      <c r="F416" s="48" t="str">
        <f>VLOOKUP($A416,Technologies!$A$7:$H$576,7,FALSE)</f>
        <v>Municipal Waste NL</v>
      </c>
      <c r="G416" s="22"/>
      <c r="H416" s="22"/>
      <c r="I416" s="103" cm="1">
        <f t="array" ref="I416">-SUMPRODUCT((Feedstocks!$C$4:$C$141=A416)*Feedstocks!$E$4:$E$141,Feedstocks!$F$4:$F$141,Feedstocks!$H$4:$H$141,Feedstocks!$I$4:$I$141)</f>
        <v>0</v>
      </c>
      <c r="J416" s="103" cm="1">
        <f t="array" ref="J416">-SUMPRODUCT((Feedstocks!$C$4:$C$141=A416)*Feedstocks!$E$4:$E$141,Feedstocks!$H$4:$H$141,Feedstocks!$I$4:$I$141)</f>
        <v>0</v>
      </c>
      <c r="K416" s="103"/>
      <c r="L416" s="103"/>
      <c r="M416" s="22"/>
      <c r="N416" s="22" t="str">
        <f>VLOOKUP(E416,Activities!$A$9:$M$227,13,FALSE)</f>
        <v>NL</v>
      </c>
      <c r="O416" s="22"/>
      <c r="P416" s="80" t="s">
        <v>415</v>
      </c>
      <c r="Q416" s="36"/>
      <c r="R416" s="36"/>
      <c r="S416" s="36"/>
      <c r="T416" s="36"/>
      <c r="U416" s="36"/>
      <c r="V416" s="36"/>
      <c r="W416" s="36"/>
      <c r="X416" s="36"/>
      <c r="Y416" s="36"/>
      <c r="Z416" s="36"/>
      <c r="AA416" s="36"/>
      <c r="AB416" s="36"/>
      <c r="AC416" s="36"/>
      <c r="AD416" s="36"/>
      <c r="AE416" s="36"/>
      <c r="AF416" s="35"/>
      <c r="AG416" s="35"/>
      <c r="AH416" s="35"/>
      <c r="AI416" s="35"/>
      <c r="AJ416" s="35"/>
      <c r="AK416" s="35"/>
      <c r="AL416" s="35"/>
      <c r="AM416" s="35"/>
      <c r="AN416" s="35"/>
      <c r="AO416" s="35"/>
      <c r="AP416" s="36"/>
      <c r="AQ416" s="36"/>
      <c r="AR416" s="36"/>
      <c r="AS416" s="36"/>
      <c r="AT416" s="36"/>
      <c r="AU416" s="36"/>
      <c r="AV416" s="36"/>
      <c r="AW416" s="36"/>
      <c r="AX416" s="36"/>
      <c r="AY416" s="36"/>
      <c r="AZ416" s="36"/>
      <c r="BA416" s="36"/>
      <c r="BB416" s="36"/>
      <c r="BC416" s="36"/>
      <c r="BD416" s="36"/>
      <c r="BE416" s="36"/>
      <c r="BF416" s="36"/>
      <c r="BG416" s="36"/>
      <c r="BH416" s="36"/>
      <c r="BI416" s="36"/>
      <c r="BJ416" s="36"/>
      <c r="BK416" s="36"/>
      <c r="BL416" s="36"/>
      <c r="BM416" s="36"/>
      <c r="BN416" s="36"/>
      <c r="BO416" s="36"/>
      <c r="BP416" s="36"/>
      <c r="BQ416" s="36"/>
      <c r="BR416" s="36"/>
      <c r="BS416" s="36"/>
      <c r="BT416" s="36"/>
      <c r="BU416" s="36"/>
      <c r="BV416" s="36"/>
      <c r="BW416" s="36"/>
      <c r="BX416" s="36"/>
      <c r="BY416" s="36"/>
      <c r="BZ416" s="36"/>
      <c r="CA416" s="36"/>
      <c r="CB416" s="36"/>
      <c r="CC416" s="36"/>
      <c r="CD416" s="36"/>
      <c r="CE416" s="36"/>
      <c r="CF416" s="36"/>
      <c r="CG416" s="36"/>
      <c r="CH416" s="36"/>
      <c r="CI416" s="36"/>
      <c r="CJ416" s="36"/>
      <c r="CK416" s="36"/>
      <c r="CL416" s="36"/>
      <c r="CM416" s="36"/>
      <c r="CN416" s="36"/>
      <c r="CO416" s="36"/>
      <c r="CP416" s="36"/>
      <c r="CQ416" s="36"/>
      <c r="CR416" s="36"/>
      <c r="CS416" s="36"/>
      <c r="CT416" s="36"/>
      <c r="CU416" s="36"/>
      <c r="CV416" s="36"/>
      <c r="CW416" s="36"/>
      <c r="CX416" s="36"/>
      <c r="CY416" s="36"/>
      <c r="CZ416" s="36"/>
      <c r="DA416" s="36"/>
      <c r="DB416" s="36"/>
      <c r="DC416" s="36"/>
      <c r="DD416" s="36"/>
      <c r="DE416" s="36"/>
      <c r="DF416" s="36"/>
      <c r="DG416" s="36"/>
      <c r="DH416" s="36"/>
      <c r="DI416" s="36"/>
      <c r="DJ416" s="36"/>
      <c r="DK416" s="36"/>
      <c r="DL416" s="36"/>
      <c r="DM416" s="36"/>
      <c r="DN416" s="36"/>
      <c r="DO416" s="36"/>
      <c r="DP416" s="36"/>
      <c r="DQ416" s="36"/>
      <c r="DR416" s="36"/>
      <c r="DS416" s="36"/>
      <c r="DT416" s="36"/>
      <c r="DU416" s="36"/>
      <c r="DV416" s="36"/>
      <c r="DW416" s="36"/>
      <c r="DX416" s="36"/>
      <c r="DY416" s="36"/>
      <c r="DZ416" s="36"/>
      <c r="EA416" s="36"/>
      <c r="EB416" s="36"/>
      <c r="EC416" s="36"/>
      <c r="ED416" s="36"/>
      <c r="EE416" s="36"/>
      <c r="EF416" s="36"/>
      <c r="EG416" s="36"/>
      <c r="EH416" s="36"/>
      <c r="EI416" s="36"/>
      <c r="EJ416" s="36"/>
      <c r="EK416" s="36"/>
      <c r="EL416" s="36"/>
      <c r="EM416" s="36"/>
      <c r="EN416" s="36"/>
      <c r="EO416" s="36"/>
      <c r="EP416" s="36"/>
      <c r="EQ416" s="36"/>
      <c r="ER416" s="36"/>
      <c r="ES416" s="36"/>
      <c r="ET416" s="36"/>
      <c r="EU416" s="36"/>
      <c r="EV416" s="36"/>
      <c r="EW416" s="36">
        <v>1</v>
      </c>
      <c r="EX416" s="36"/>
      <c r="EY416" s="36"/>
      <c r="EZ416" s="36"/>
      <c r="FA416" s="36"/>
      <c r="FB416" s="36"/>
      <c r="FC416" s="36"/>
      <c r="FD416" s="36"/>
      <c r="FE416" s="36"/>
      <c r="FF416" s="36"/>
      <c r="FG416" s="36"/>
      <c r="FH416" s="36"/>
      <c r="FI416" s="36"/>
      <c r="FJ416" s="36"/>
      <c r="FK416" s="36"/>
      <c r="FL416" s="36"/>
      <c r="FM416" s="36"/>
      <c r="FN416" s="36"/>
      <c r="FO416" s="36"/>
      <c r="FP416" s="36"/>
      <c r="FQ416" s="36"/>
      <c r="FR416" s="36"/>
      <c r="FS416" s="36"/>
      <c r="FT416" s="36"/>
      <c r="FU416" s="36"/>
      <c r="FV416" s="36"/>
      <c r="FW416" s="36"/>
      <c r="FX416" s="36"/>
      <c r="FY416" s="36"/>
      <c r="FZ416" s="36"/>
      <c r="GA416" s="36"/>
      <c r="GB416" s="319"/>
      <c r="GC416" s="178">
        <f t="shared" si="74"/>
        <v>0</v>
      </c>
      <c r="GD416" s="178">
        <f t="shared" si="75"/>
        <v>0</v>
      </c>
      <c r="GE416" s="178">
        <f t="shared" si="76"/>
        <v>0</v>
      </c>
      <c r="GF416" s="178">
        <f t="shared" si="77"/>
        <v>0</v>
      </c>
      <c r="GG416" s="178">
        <f t="shared" si="69"/>
        <v>0</v>
      </c>
    </row>
    <row r="417" spans="1:189" x14ac:dyDescent="0.35">
      <c r="A417" s="6" t="s">
        <v>1667</v>
      </c>
      <c r="B417" s="6" t="str">
        <f>IF(Technologies!B417&lt;&gt;0,Technologies!B417,"")</f>
        <v>Industrie</v>
      </c>
      <c r="C417" s="6" t="str">
        <f>VLOOKUP($A417,Technologies!$A$7:$H$576,3,FALSE)</f>
        <v>Primary</v>
      </c>
      <c r="D417" s="6" t="str">
        <f>VLOOKUP($A417,Technologies!$A$7:$H$576,4,FALSE)</f>
        <v>Other</v>
      </c>
      <c r="E417" s="6" t="str">
        <f>VLOOKUP($A417,Technologies!$A$7:$H$576,6,FALSE)</f>
        <v>Mixed Plastic Waste</v>
      </c>
      <c r="F417" s="48" t="str">
        <f>VLOOKUP($A417,Technologies!$A$7:$H$576,7,FALSE)</f>
        <v>Plastic Waste NL</v>
      </c>
      <c r="G417" s="22"/>
      <c r="H417" s="22"/>
      <c r="I417" s="103"/>
      <c r="J417" s="103"/>
      <c r="K417" s="103"/>
      <c r="L417" s="103"/>
      <c r="M417" s="22"/>
      <c r="N417" s="22" t="s">
        <v>320</v>
      </c>
      <c r="O417" s="22"/>
      <c r="P417" s="80"/>
      <c r="Q417" s="36"/>
      <c r="R417" s="36"/>
      <c r="S417" s="36"/>
      <c r="T417" s="36"/>
      <c r="U417" s="36"/>
      <c r="V417" s="36"/>
      <c r="W417" s="36"/>
      <c r="X417" s="36"/>
      <c r="Y417" s="36"/>
      <c r="Z417" s="36"/>
      <c r="AA417" s="36"/>
      <c r="AB417" s="36"/>
      <c r="AC417" s="36"/>
      <c r="AD417" s="36"/>
      <c r="AE417" s="36"/>
      <c r="AF417" s="35"/>
      <c r="AG417" s="35"/>
      <c r="AH417" s="35"/>
      <c r="AI417" s="35"/>
      <c r="AJ417" s="35"/>
      <c r="AK417" s="35"/>
      <c r="AL417" s="35"/>
      <c r="AM417" s="35"/>
      <c r="AN417" s="35"/>
      <c r="AO417" s="35"/>
      <c r="AP417" s="36"/>
      <c r="AQ417" s="36"/>
      <c r="AR417" s="36"/>
      <c r="AS417" s="36"/>
      <c r="AT417" s="36"/>
      <c r="AU417" s="36"/>
      <c r="AV417" s="36"/>
      <c r="AW417" s="36"/>
      <c r="AX417" s="36"/>
      <c r="AY417" s="36"/>
      <c r="AZ417" s="36"/>
      <c r="BA417" s="36"/>
      <c r="BB417" s="36"/>
      <c r="BC417" s="36"/>
      <c r="BD417" s="36"/>
      <c r="BE417" s="36"/>
      <c r="BF417" s="36"/>
      <c r="BG417" s="36"/>
      <c r="BH417" s="36"/>
      <c r="BI417" s="36"/>
      <c r="BJ417" s="36"/>
      <c r="BK417" s="36"/>
      <c r="BL417" s="36"/>
      <c r="BM417" s="36"/>
      <c r="BN417" s="36"/>
      <c r="BO417" s="36"/>
      <c r="BP417" s="36"/>
      <c r="BQ417" s="36"/>
      <c r="BR417" s="36"/>
      <c r="BS417" s="36"/>
      <c r="BT417" s="36"/>
      <c r="BU417" s="36"/>
      <c r="BV417" s="36"/>
      <c r="BW417" s="36"/>
      <c r="BX417" s="36"/>
      <c r="BY417" s="36"/>
      <c r="BZ417" s="36"/>
      <c r="CA417" s="36"/>
      <c r="CB417" s="36"/>
      <c r="CC417" s="36"/>
      <c r="CD417" s="36"/>
      <c r="CE417" s="36"/>
      <c r="CF417" s="36"/>
      <c r="CG417" s="36"/>
      <c r="CH417" s="36"/>
      <c r="CI417" s="36"/>
      <c r="CJ417" s="36"/>
      <c r="CK417" s="36"/>
      <c r="CL417" s="36"/>
      <c r="CM417" s="36"/>
      <c r="CN417" s="36"/>
      <c r="CO417" s="36"/>
      <c r="CP417" s="36"/>
      <c r="CQ417" s="36"/>
      <c r="CR417" s="36"/>
      <c r="CS417" s="36"/>
      <c r="CT417" s="36"/>
      <c r="CU417" s="36"/>
      <c r="CV417" s="36"/>
      <c r="CW417" s="36"/>
      <c r="CX417" s="36"/>
      <c r="CY417" s="36"/>
      <c r="CZ417" s="36"/>
      <c r="DA417" s="36"/>
      <c r="DB417" s="36"/>
      <c r="DC417" s="36"/>
      <c r="DD417" s="36"/>
      <c r="DE417" s="36"/>
      <c r="DF417" s="36"/>
      <c r="DG417" s="36"/>
      <c r="DH417" s="36"/>
      <c r="DI417" s="36"/>
      <c r="DJ417" s="36"/>
      <c r="DK417" s="36"/>
      <c r="DL417" s="36"/>
      <c r="DM417" s="36"/>
      <c r="DN417" s="36"/>
      <c r="DO417" s="36"/>
      <c r="DP417" s="36"/>
      <c r="DQ417" s="36"/>
      <c r="DR417" s="36"/>
      <c r="DS417" s="36"/>
      <c r="DT417" s="36"/>
      <c r="DU417" s="36"/>
      <c r="DV417" s="36"/>
      <c r="DW417" s="36"/>
      <c r="DX417" s="36"/>
      <c r="DY417" s="36"/>
      <c r="DZ417" s="36"/>
      <c r="EA417" s="36"/>
      <c r="EB417" s="36"/>
      <c r="EC417" s="36"/>
      <c r="ED417" s="36"/>
      <c r="EE417" s="36"/>
      <c r="EF417" s="36"/>
      <c r="EG417" s="36"/>
      <c r="EH417" s="36"/>
      <c r="EI417" s="36"/>
      <c r="EJ417" s="36"/>
      <c r="EK417" s="36"/>
      <c r="EL417" s="36"/>
      <c r="EM417" s="36"/>
      <c r="EN417" s="36"/>
      <c r="EO417" s="36"/>
      <c r="EP417" s="36"/>
      <c r="EQ417" s="36"/>
      <c r="ER417" s="36"/>
      <c r="ES417" s="36"/>
      <c r="ET417" s="36"/>
      <c r="EU417" s="36"/>
      <c r="EV417" s="36"/>
      <c r="EW417" s="36"/>
      <c r="EX417" s="36">
        <v>1</v>
      </c>
      <c r="EY417" s="36"/>
      <c r="EZ417" s="36"/>
      <c r="FA417" s="36"/>
      <c r="FB417" s="36"/>
      <c r="FC417" s="36"/>
      <c r="FD417" s="36"/>
      <c r="FE417" s="36"/>
      <c r="FF417" s="36"/>
      <c r="FG417" s="36"/>
      <c r="FH417" s="36"/>
      <c r="FI417" s="36"/>
      <c r="FJ417" s="36"/>
      <c r="FK417" s="36"/>
      <c r="FL417" s="36"/>
      <c r="FM417" s="36"/>
      <c r="FN417" s="36"/>
      <c r="FO417" s="36"/>
      <c r="FP417" s="36"/>
      <c r="FQ417" s="36"/>
      <c r="FR417" s="36"/>
      <c r="FS417" s="36"/>
      <c r="FT417" s="36"/>
      <c r="FU417" s="36"/>
      <c r="FV417" s="36"/>
      <c r="FW417" s="36"/>
      <c r="FX417" s="36"/>
      <c r="FY417" s="36"/>
      <c r="FZ417" s="36"/>
      <c r="GA417" s="36"/>
      <c r="GB417" s="319"/>
      <c r="GC417" s="178">
        <f t="shared" si="74"/>
        <v>0</v>
      </c>
      <c r="GD417" s="178">
        <f t="shared" si="75"/>
        <v>0</v>
      </c>
      <c r="GE417" s="178">
        <f t="shared" si="76"/>
        <v>0</v>
      </c>
      <c r="GF417" s="178">
        <f t="shared" si="77"/>
        <v>0</v>
      </c>
      <c r="GG417" s="178">
        <f t="shared" si="69"/>
        <v>0</v>
      </c>
    </row>
    <row r="418" spans="1:189" x14ac:dyDescent="0.35">
      <c r="A418" s="6" t="s">
        <v>1670</v>
      </c>
      <c r="B418" s="6" t="str">
        <f>IF(Technologies!B418&lt;&gt;0,Technologies!B418,"")</f>
        <v/>
      </c>
      <c r="C418" s="6" t="str">
        <f>VLOOKUP($A418,Technologies!$A$7:$H$576,3,FALSE)</f>
        <v>Primary</v>
      </c>
      <c r="D418" s="6" t="str">
        <f>VLOOKUP($A418,Technologies!$A$7:$H$576,4,FALSE)</f>
        <v>Renewable</v>
      </c>
      <c r="E418" s="6" t="str">
        <f>VLOOKUP($A418,Technologies!$A$7:$H$576,6,FALSE)</f>
        <v>Wood</v>
      </c>
      <c r="F418" s="48" t="str">
        <f>VLOOKUP($A418,Technologies!$A$7:$H$576,7,FALSE)</f>
        <v>Wood (crops, and others)</v>
      </c>
      <c r="G418" s="22"/>
      <c r="H418" s="22"/>
      <c r="I418" s="103" cm="1">
        <f t="array" ref="I418">-SUMPRODUCT((Feedstocks!$C$4:$C$141=A418)*Feedstocks!$E$4:$E$141,Feedstocks!$F$4:$F$141,Feedstocks!$H$4:$H$141,Feedstocks!$I$4:$I$141)</f>
        <v>0</v>
      </c>
      <c r="J418" s="103" cm="1">
        <f t="array" ref="J418">-SUMPRODUCT((Feedstocks!$C$4:$C$141=A418)*Feedstocks!$E$4:$E$141,Feedstocks!$H$4:$H$141,Feedstocks!$I$4:$I$141)</f>
        <v>0</v>
      </c>
      <c r="K418" s="103"/>
      <c r="L418" s="103"/>
      <c r="M418" s="22"/>
      <c r="N418" s="22" t="str">
        <f>VLOOKUP(E418,Activities!$A$9:$M$227,13,FALSE)</f>
        <v>NL</v>
      </c>
      <c r="O418" s="22"/>
      <c r="P418" s="80" t="s">
        <v>415</v>
      </c>
      <c r="Q418" s="36"/>
      <c r="R418" s="36"/>
      <c r="S418" s="36"/>
      <c r="T418" s="36"/>
      <c r="U418" s="36"/>
      <c r="V418" s="36"/>
      <c r="W418" s="36"/>
      <c r="X418" s="36"/>
      <c r="Y418" s="36"/>
      <c r="Z418" s="36"/>
      <c r="AA418" s="36"/>
      <c r="AB418" s="36"/>
      <c r="AC418" s="36"/>
      <c r="AD418" s="36"/>
      <c r="AE418" s="36"/>
      <c r="AF418" s="35"/>
      <c r="AG418" s="35"/>
      <c r="AH418" s="35"/>
      <c r="AI418" s="35"/>
      <c r="AJ418" s="35"/>
      <c r="AK418" s="35"/>
      <c r="AL418" s="35"/>
      <c r="AM418" s="35"/>
      <c r="AN418" s="35"/>
      <c r="AO418" s="35"/>
      <c r="AP418" s="36"/>
      <c r="AQ418" s="36"/>
      <c r="AR418" s="36"/>
      <c r="AS418" s="36"/>
      <c r="AT418" s="36"/>
      <c r="AU418" s="36"/>
      <c r="AV418" s="36"/>
      <c r="AW418" s="36"/>
      <c r="AX418" s="36"/>
      <c r="AY418" s="36"/>
      <c r="AZ418" s="36"/>
      <c r="BA418" s="36"/>
      <c r="BB418" s="36"/>
      <c r="BC418" s="36"/>
      <c r="BD418" s="36"/>
      <c r="BE418" s="36"/>
      <c r="BF418" s="36"/>
      <c r="BG418" s="36"/>
      <c r="BH418" s="36"/>
      <c r="BI418" s="36"/>
      <c r="BJ418" s="36"/>
      <c r="BK418" s="36"/>
      <c r="BL418" s="36"/>
      <c r="BM418" s="36"/>
      <c r="BN418" s="36"/>
      <c r="BO418" s="36"/>
      <c r="BP418" s="36"/>
      <c r="BQ418" s="36"/>
      <c r="BR418" s="36"/>
      <c r="BS418" s="36"/>
      <c r="BT418" s="36"/>
      <c r="BU418" s="36"/>
      <c r="BV418" s="36"/>
      <c r="BW418" s="36"/>
      <c r="BX418" s="36"/>
      <c r="BY418" s="36"/>
      <c r="BZ418" s="36"/>
      <c r="CA418" s="36"/>
      <c r="CB418" s="36"/>
      <c r="CC418" s="36"/>
      <c r="CD418" s="36"/>
      <c r="CE418" s="36"/>
      <c r="CF418" s="36"/>
      <c r="CG418" s="36"/>
      <c r="CH418" s="36"/>
      <c r="CI418" s="36"/>
      <c r="CJ418" s="36"/>
      <c r="CK418" s="36"/>
      <c r="CL418" s="36"/>
      <c r="CM418" s="36"/>
      <c r="CN418" s="36"/>
      <c r="CO418" s="36"/>
      <c r="CP418" s="36"/>
      <c r="CQ418" s="36"/>
      <c r="CR418" s="36"/>
      <c r="CS418" s="36"/>
      <c r="CT418" s="36"/>
      <c r="CU418" s="36"/>
      <c r="CV418" s="36"/>
      <c r="CW418" s="36"/>
      <c r="CX418" s="36"/>
      <c r="CY418" s="36"/>
      <c r="CZ418" s="36"/>
      <c r="DA418" s="36"/>
      <c r="DB418" s="36"/>
      <c r="DC418" s="36"/>
      <c r="DD418" s="36"/>
      <c r="DE418" s="36"/>
      <c r="DF418" s="36"/>
      <c r="DG418" s="36"/>
      <c r="DH418" s="36"/>
      <c r="DI418" s="36"/>
      <c r="DJ418" s="36"/>
      <c r="DK418" s="36"/>
      <c r="DL418" s="36"/>
      <c r="DM418" s="36"/>
      <c r="DN418" s="36"/>
      <c r="DO418" s="36"/>
      <c r="DP418" s="36"/>
      <c r="DQ418" s="36"/>
      <c r="DR418" s="36"/>
      <c r="DS418" s="36"/>
      <c r="DT418" s="36"/>
      <c r="DU418" s="36"/>
      <c r="DV418" s="36"/>
      <c r="DW418" s="36"/>
      <c r="DX418" s="36"/>
      <c r="DY418" s="36"/>
      <c r="DZ418" s="36"/>
      <c r="EA418" s="36"/>
      <c r="EB418" s="36"/>
      <c r="EC418" s="36"/>
      <c r="ED418" s="36"/>
      <c r="EE418" s="36"/>
      <c r="EF418" s="36"/>
      <c r="EG418" s="36"/>
      <c r="EH418" s="36"/>
      <c r="EI418" s="36"/>
      <c r="EJ418" s="36"/>
      <c r="EK418" s="36"/>
      <c r="EL418" s="36"/>
      <c r="EM418" s="36"/>
      <c r="EN418" s="36"/>
      <c r="EO418" s="36"/>
      <c r="EP418" s="36"/>
      <c r="EQ418" s="36"/>
      <c r="ER418" s="36"/>
      <c r="ES418" s="36"/>
      <c r="ET418" s="36"/>
      <c r="EU418" s="36"/>
      <c r="EV418" s="36"/>
      <c r="EW418" s="36"/>
      <c r="EX418" s="36"/>
      <c r="EY418" s="36"/>
      <c r="EZ418" s="36"/>
      <c r="FA418" s="36">
        <v>1</v>
      </c>
      <c r="FB418" s="36"/>
      <c r="FC418" s="36"/>
      <c r="FD418" s="36"/>
      <c r="FE418" s="36"/>
      <c r="FF418" s="36"/>
      <c r="FG418" s="36"/>
      <c r="FH418" s="36"/>
      <c r="FI418" s="36"/>
      <c r="FJ418" s="36"/>
      <c r="FK418" s="36"/>
      <c r="FL418" s="36"/>
      <c r="FM418" s="36"/>
      <c r="FN418" s="36"/>
      <c r="FO418" s="36"/>
      <c r="FP418" s="36"/>
      <c r="FQ418" s="36"/>
      <c r="FR418" s="36"/>
      <c r="FS418" s="36"/>
      <c r="FT418" s="36"/>
      <c r="FU418" s="36"/>
      <c r="FV418" s="36"/>
      <c r="FW418" s="36"/>
      <c r="FX418" s="36"/>
      <c r="FY418" s="36"/>
      <c r="FZ418" s="36"/>
      <c r="GA418" s="36"/>
      <c r="GB418" s="319"/>
      <c r="GC418" s="178">
        <f t="shared" si="74"/>
        <v>0</v>
      </c>
      <c r="GD418" s="178">
        <f t="shared" si="75"/>
        <v>0</v>
      </c>
      <c r="GE418" s="178">
        <f t="shared" si="76"/>
        <v>0</v>
      </c>
      <c r="GF418" s="178">
        <f t="shared" si="77"/>
        <v>0</v>
      </c>
      <c r="GG418" s="178">
        <f t="shared" si="69"/>
        <v>0</v>
      </c>
    </row>
    <row r="419" spans="1:189" x14ac:dyDescent="0.35">
      <c r="A419" s="5" t="s">
        <v>1673</v>
      </c>
      <c r="B419" s="6" t="str">
        <f>IF(Technologies!B419&lt;&gt;0,Technologies!B419,"")</f>
        <v/>
      </c>
      <c r="C419" s="5" t="str">
        <f>VLOOKUP($A419,Technologies!$A$7:$H$576,3,FALSE)</f>
        <v>Primary</v>
      </c>
      <c r="D419" s="5" t="str">
        <f>VLOOKUP($A419,Technologies!$A$7:$H$576,4,FALSE)</f>
        <v>Renewable</v>
      </c>
      <c r="E419" s="5" t="str">
        <f>VLOOKUP($A419,Technologies!$A$7:$H$576,6,FALSE)</f>
        <v>Wood</v>
      </c>
      <c r="F419" s="5" t="str">
        <f>VLOOKUP($A419,Technologies!$A$7:$H$576,7,FALSE)</f>
        <v>Imported Wood EU</v>
      </c>
      <c r="G419" s="23"/>
      <c r="H419" s="23"/>
      <c r="I419" s="104" cm="1">
        <f t="array" ref="I419">-SUMPRODUCT((Feedstocks!$C$4:$C$141=A419)*Feedstocks!$E$4:$E$141,Feedstocks!$F$4:$F$141,Feedstocks!$H$4:$H$141,Feedstocks!$I$4:$I$141)</f>
        <v>0</v>
      </c>
      <c r="J419" s="104" cm="1">
        <f t="array" ref="J419">-SUMPRODUCT((Feedstocks!$C$4:$C$141=A419)*Feedstocks!$E$4:$E$141,Feedstocks!$H$4:$H$141,Feedstocks!$I$4:$I$141)</f>
        <v>0</v>
      </c>
      <c r="K419" s="104"/>
      <c r="L419" s="104"/>
      <c r="M419" s="23"/>
      <c r="N419" s="23" t="str">
        <f>VLOOKUP(E419,Activities!$A$9:$M$227,13,FALSE)</f>
        <v>NL</v>
      </c>
      <c r="O419" s="23"/>
      <c r="P419" s="79" t="s">
        <v>415</v>
      </c>
      <c r="Q419" s="35"/>
      <c r="R419" s="35"/>
      <c r="S419" s="35"/>
      <c r="T419" s="35"/>
      <c r="U419" s="35"/>
      <c r="V419" s="35"/>
      <c r="W419" s="35"/>
      <c r="X419" s="35"/>
      <c r="Y419" s="35"/>
      <c r="Z419" s="35"/>
      <c r="AA419" s="35"/>
      <c r="AB419" s="35"/>
      <c r="AC419" s="35"/>
      <c r="AD419" s="35"/>
      <c r="AE419" s="35"/>
      <c r="AF419" s="36"/>
      <c r="AG419" s="36"/>
      <c r="AH419" s="36"/>
      <c r="AI419" s="36"/>
      <c r="AJ419" s="36"/>
      <c r="AK419" s="36"/>
      <c r="AL419" s="36"/>
      <c r="AM419" s="36"/>
      <c r="AN419" s="36"/>
      <c r="AO419" s="36"/>
      <c r="AP419" s="35"/>
      <c r="AQ419" s="35"/>
      <c r="AR419" s="35"/>
      <c r="AS419" s="35"/>
      <c r="AT419" s="35"/>
      <c r="AU419" s="35"/>
      <c r="AV419" s="35"/>
      <c r="AW419" s="35"/>
      <c r="AX419" s="35"/>
      <c r="AY419" s="35"/>
      <c r="AZ419" s="35"/>
      <c r="BA419" s="35"/>
      <c r="BB419" s="35"/>
      <c r="BC419" s="35"/>
      <c r="BD419" s="35"/>
      <c r="BE419" s="35"/>
      <c r="BF419" s="35"/>
      <c r="BG419" s="35"/>
      <c r="BH419" s="35"/>
      <c r="BI419" s="35"/>
      <c r="BJ419" s="35"/>
      <c r="BK419" s="35"/>
      <c r="BL419" s="35"/>
      <c r="BM419" s="35"/>
      <c r="BN419" s="35"/>
      <c r="BO419" s="35"/>
      <c r="BP419" s="35"/>
      <c r="BQ419" s="35"/>
      <c r="BR419" s="35"/>
      <c r="BS419" s="35"/>
      <c r="BT419" s="35"/>
      <c r="BU419" s="35"/>
      <c r="BV419" s="35"/>
      <c r="BW419" s="35"/>
      <c r="BX419" s="35"/>
      <c r="BY419" s="35"/>
      <c r="BZ419" s="35"/>
      <c r="CA419" s="35"/>
      <c r="CB419" s="35"/>
      <c r="CC419" s="35"/>
      <c r="CD419" s="35"/>
      <c r="CE419" s="35"/>
      <c r="CF419" s="35"/>
      <c r="CG419" s="35"/>
      <c r="CH419" s="35"/>
      <c r="CI419" s="35"/>
      <c r="CJ419" s="35"/>
      <c r="CK419" s="35"/>
      <c r="CL419" s="35"/>
      <c r="CM419" s="35"/>
      <c r="CN419" s="35"/>
      <c r="CO419" s="35"/>
      <c r="CP419" s="35"/>
      <c r="CQ419" s="35"/>
      <c r="CR419" s="35"/>
      <c r="CS419" s="35"/>
      <c r="CT419" s="35"/>
      <c r="CU419" s="35"/>
      <c r="CV419" s="35"/>
      <c r="CW419" s="35"/>
      <c r="CX419" s="35"/>
      <c r="CY419" s="35"/>
      <c r="CZ419" s="35"/>
      <c r="DA419" s="35"/>
      <c r="DB419" s="35"/>
      <c r="DC419" s="35"/>
      <c r="DD419" s="35"/>
      <c r="DE419" s="35"/>
      <c r="DF419" s="35"/>
      <c r="DG419" s="35"/>
      <c r="DH419" s="35"/>
      <c r="DI419" s="35"/>
      <c r="DJ419" s="35"/>
      <c r="DK419" s="35"/>
      <c r="DL419" s="35"/>
      <c r="DM419" s="35"/>
      <c r="DN419" s="35"/>
      <c r="DO419" s="35"/>
      <c r="DP419" s="35"/>
      <c r="DQ419" s="35"/>
      <c r="DR419" s="35"/>
      <c r="DS419" s="35"/>
      <c r="DT419" s="35"/>
      <c r="DU419" s="35"/>
      <c r="DV419" s="35"/>
      <c r="DW419" s="35"/>
      <c r="DX419" s="35"/>
      <c r="DY419" s="35"/>
      <c r="DZ419" s="35"/>
      <c r="EA419" s="35"/>
      <c r="EB419" s="35"/>
      <c r="EC419" s="35"/>
      <c r="ED419" s="35"/>
      <c r="EE419" s="35"/>
      <c r="EF419" s="35"/>
      <c r="EG419" s="35"/>
      <c r="EH419" s="35"/>
      <c r="EI419" s="35"/>
      <c r="EJ419" s="35"/>
      <c r="EK419" s="35"/>
      <c r="EL419" s="35"/>
      <c r="EM419" s="35"/>
      <c r="EN419" s="35"/>
      <c r="EO419" s="35"/>
      <c r="EP419" s="35"/>
      <c r="EQ419" s="35"/>
      <c r="ER419" s="35"/>
      <c r="ES419" s="35"/>
      <c r="ET419" s="35"/>
      <c r="EU419" s="35"/>
      <c r="EV419" s="35"/>
      <c r="EW419" s="35"/>
      <c r="EX419" s="35"/>
      <c r="EY419" s="35"/>
      <c r="EZ419" s="35"/>
      <c r="FA419" s="35">
        <v>1</v>
      </c>
      <c r="FB419" s="35"/>
      <c r="FC419" s="35"/>
      <c r="FD419" s="35"/>
      <c r="FE419" s="35"/>
      <c r="FF419" s="35"/>
      <c r="FG419" s="35"/>
      <c r="FH419" s="35"/>
      <c r="FI419" s="35"/>
      <c r="FJ419" s="35"/>
      <c r="FK419" s="35"/>
      <c r="FL419" s="35"/>
      <c r="FM419" s="35"/>
      <c r="FN419" s="35"/>
      <c r="FO419" s="35"/>
      <c r="FP419" s="35"/>
      <c r="FQ419" s="35"/>
      <c r="FR419" s="35"/>
      <c r="FS419" s="35"/>
      <c r="FT419" s="35"/>
      <c r="FU419" s="35"/>
      <c r="FV419" s="35"/>
      <c r="FW419" s="35"/>
      <c r="FX419" s="35"/>
      <c r="FY419" s="35"/>
      <c r="FZ419" s="35"/>
      <c r="GA419" s="35"/>
      <c r="GB419" s="318"/>
      <c r="GC419" s="178">
        <f t="shared" si="74"/>
        <v>0</v>
      </c>
      <c r="GD419" s="178">
        <f t="shared" si="75"/>
        <v>0</v>
      </c>
      <c r="GE419" s="178">
        <f t="shared" si="76"/>
        <v>0</v>
      </c>
      <c r="GF419" s="178">
        <f t="shared" si="77"/>
        <v>0</v>
      </c>
      <c r="GG419" s="178">
        <f t="shared" si="69"/>
        <v>0</v>
      </c>
    </row>
    <row r="420" spans="1:189" x14ac:dyDescent="0.35">
      <c r="A420" s="6" t="s">
        <v>1676</v>
      </c>
      <c r="B420" s="6" t="str">
        <f>IF(Technologies!B420&lt;&gt;0,Technologies!B420,"")</f>
        <v/>
      </c>
      <c r="C420" s="6" t="str">
        <f>VLOOKUP($A420,Technologies!$A$7:$H$576,3,FALSE)</f>
        <v>Primary</v>
      </c>
      <c r="D420" s="6" t="str">
        <f>VLOOKUP($A420,Technologies!$A$7:$H$576,4,FALSE)</f>
        <v>Renewable</v>
      </c>
      <c r="E420" s="6" t="str">
        <f>VLOOKUP($A420,Technologies!$A$7:$H$576,6,FALSE)</f>
        <v>Wood</v>
      </c>
      <c r="F420" s="48" t="str">
        <f>VLOOKUP($A420,Technologies!$A$7:$H$576,7,FALSE)</f>
        <v>Imported Wood America</v>
      </c>
      <c r="G420" s="22"/>
      <c r="H420" s="22"/>
      <c r="I420" s="103" cm="1">
        <f t="array" ref="I420">-SUMPRODUCT((Feedstocks!$C$4:$C$141=A420)*Feedstocks!$E$4:$E$141,Feedstocks!$F$4:$F$141,Feedstocks!$H$4:$H$141,Feedstocks!$I$4:$I$141)</f>
        <v>0</v>
      </c>
      <c r="J420" s="103" cm="1">
        <f t="array" ref="J420">-SUMPRODUCT((Feedstocks!$C$4:$C$141=A420)*Feedstocks!$E$4:$E$141,Feedstocks!$H$4:$H$141,Feedstocks!$I$4:$I$141)</f>
        <v>0</v>
      </c>
      <c r="K420" s="103"/>
      <c r="L420" s="103"/>
      <c r="M420" s="22"/>
      <c r="N420" s="22" t="str">
        <f>VLOOKUP(E420,Activities!$A$9:$M$227,13,FALSE)</f>
        <v>NL</v>
      </c>
      <c r="O420" s="22"/>
      <c r="P420" s="80" t="s">
        <v>415</v>
      </c>
      <c r="Q420" s="36"/>
      <c r="R420" s="36"/>
      <c r="S420" s="36"/>
      <c r="T420" s="36"/>
      <c r="U420" s="36"/>
      <c r="V420" s="36"/>
      <c r="W420" s="36"/>
      <c r="X420" s="36"/>
      <c r="Y420" s="36"/>
      <c r="Z420" s="36"/>
      <c r="AA420" s="36"/>
      <c r="AB420" s="36"/>
      <c r="AC420" s="36"/>
      <c r="AD420" s="36"/>
      <c r="AE420" s="36"/>
      <c r="AF420" s="35"/>
      <c r="AG420" s="35"/>
      <c r="AH420" s="35"/>
      <c r="AI420" s="35"/>
      <c r="AJ420" s="35"/>
      <c r="AK420" s="35"/>
      <c r="AL420" s="35"/>
      <c r="AM420" s="35"/>
      <c r="AN420" s="35"/>
      <c r="AO420" s="35"/>
      <c r="AP420" s="36"/>
      <c r="AQ420" s="36"/>
      <c r="AR420" s="36"/>
      <c r="AS420" s="36"/>
      <c r="AT420" s="36"/>
      <c r="AU420" s="36"/>
      <c r="AV420" s="36"/>
      <c r="AW420" s="36"/>
      <c r="AX420" s="36"/>
      <c r="AY420" s="36"/>
      <c r="AZ420" s="36"/>
      <c r="BA420" s="36"/>
      <c r="BB420" s="36"/>
      <c r="BC420" s="36"/>
      <c r="BD420" s="36"/>
      <c r="BE420" s="36"/>
      <c r="BF420" s="36"/>
      <c r="BG420" s="36"/>
      <c r="BH420" s="36"/>
      <c r="BI420" s="36"/>
      <c r="BJ420" s="36"/>
      <c r="BK420" s="36"/>
      <c r="BL420" s="36"/>
      <c r="BM420" s="36"/>
      <c r="BN420" s="36"/>
      <c r="BO420" s="36"/>
      <c r="BP420" s="36"/>
      <c r="BQ420" s="36"/>
      <c r="BR420" s="36"/>
      <c r="BS420" s="36"/>
      <c r="BT420" s="36"/>
      <c r="BU420" s="36"/>
      <c r="BV420" s="36"/>
      <c r="BW420" s="36"/>
      <c r="BX420" s="36"/>
      <c r="BY420" s="36"/>
      <c r="BZ420" s="36"/>
      <c r="CA420" s="36"/>
      <c r="CB420" s="36"/>
      <c r="CC420" s="36"/>
      <c r="CD420" s="36"/>
      <c r="CE420" s="36"/>
      <c r="CF420" s="36"/>
      <c r="CG420" s="36"/>
      <c r="CH420" s="36"/>
      <c r="CI420" s="36"/>
      <c r="CJ420" s="36"/>
      <c r="CK420" s="36"/>
      <c r="CL420" s="36"/>
      <c r="CM420" s="36"/>
      <c r="CN420" s="36"/>
      <c r="CO420" s="36"/>
      <c r="CP420" s="36"/>
      <c r="CQ420" s="36"/>
      <c r="CR420" s="36"/>
      <c r="CS420" s="36"/>
      <c r="CT420" s="36"/>
      <c r="CU420" s="36"/>
      <c r="CV420" s="36"/>
      <c r="CW420" s="36"/>
      <c r="CX420" s="36"/>
      <c r="CY420" s="36"/>
      <c r="CZ420" s="36"/>
      <c r="DA420" s="36"/>
      <c r="DB420" s="36"/>
      <c r="DC420" s="36"/>
      <c r="DD420" s="36"/>
      <c r="DE420" s="36"/>
      <c r="DF420" s="36"/>
      <c r="DG420" s="36"/>
      <c r="DH420" s="36"/>
      <c r="DI420" s="36"/>
      <c r="DJ420" s="36"/>
      <c r="DK420" s="36"/>
      <c r="DL420" s="36"/>
      <c r="DM420" s="36"/>
      <c r="DN420" s="36"/>
      <c r="DO420" s="36"/>
      <c r="DP420" s="36"/>
      <c r="DQ420" s="36"/>
      <c r="DR420" s="36"/>
      <c r="DS420" s="36"/>
      <c r="DT420" s="36"/>
      <c r="DU420" s="36"/>
      <c r="DV420" s="36"/>
      <c r="DW420" s="36"/>
      <c r="DX420" s="36"/>
      <c r="DY420" s="36"/>
      <c r="DZ420" s="36"/>
      <c r="EA420" s="36"/>
      <c r="EB420" s="36"/>
      <c r="EC420" s="36"/>
      <c r="ED420" s="36"/>
      <c r="EE420" s="36"/>
      <c r="EF420" s="36"/>
      <c r="EG420" s="36"/>
      <c r="EH420" s="36"/>
      <c r="EI420" s="36"/>
      <c r="EJ420" s="36"/>
      <c r="EK420" s="36"/>
      <c r="EL420" s="36"/>
      <c r="EM420" s="36"/>
      <c r="EN420" s="36"/>
      <c r="EO420" s="36"/>
      <c r="EP420" s="36"/>
      <c r="EQ420" s="36"/>
      <c r="ER420" s="36"/>
      <c r="ES420" s="36"/>
      <c r="ET420" s="36"/>
      <c r="EU420" s="36"/>
      <c r="EV420" s="36"/>
      <c r="EW420" s="36"/>
      <c r="EX420" s="36"/>
      <c r="EY420" s="36"/>
      <c r="EZ420" s="36"/>
      <c r="FA420" s="36">
        <v>1</v>
      </c>
      <c r="FB420" s="36"/>
      <c r="FC420" s="36"/>
      <c r="FD420" s="36"/>
      <c r="FE420" s="36"/>
      <c r="FF420" s="36"/>
      <c r="FG420" s="36"/>
      <c r="FH420" s="36"/>
      <c r="FI420" s="36"/>
      <c r="FJ420" s="36"/>
      <c r="FK420" s="36"/>
      <c r="FL420" s="36"/>
      <c r="FM420" s="36"/>
      <c r="FN420" s="36"/>
      <c r="FO420" s="36"/>
      <c r="FP420" s="36"/>
      <c r="FQ420" s="36"/>
      <c r="FR420" s="36"/>
      <c r="FS420" s="36"/>
      <c r="FT420" s="36"/>
      <c r="FU420" s="36"/>
      <c r="FV420" s="36"/>
      <c r="FW420" s="36"/>
      <c r="FX420" s="36"/>
      <c r="FY420" s="36"/>
      <c r="FZ420" s="36"/>
      <c r="GA420" s="36"/>
      <c r="GB420" s="319"/>
      <c r="GC420" s="178">
        <f t="shared" si="74"/>
        <v>0</v>
      </c>
      <c r="GD420" s="178">
        <f t="shared" si="75"/>
        <v>0</v>
      </c>
      <c r="GE420" s="178">
        <f t="shared" si="76"/>
        <v>0</v>
      </c>
      <c r="GF420" s="178">
        <f t="shared" si="77"/>
        <v>0</v>
      </c>
      <c r="GG420" s="178">
        <f t="shared" si="69"/>
        <v>0</v>
      </c>
    </row>
    <row r="421" spans="1:189" x14ac:dyDescent="0.35">
      <c r="A421" s="5" t="s">
        <v>1678</v>
      </c>
      <c r="B421" s="6" t="str">
        <f>IF(Technologies!B421&lt;&gt;0,Technologies!B421,"")</f>
        <v/>
      </c>
      <c r="C421" s="5" t="str">
        <f>VLOOKUP($A421,Technologies!$A$7:$H$576,3,FALSE)</f>
        <v>Primary</v>
      </c>
      <c r="D421" s="5" t="str">
        <f>VLOOKUP($A421,Technologies!$A$7:$H$576,4,FALSE)</f>
        <v>Renewable</v>
      </c>
      <c r="E421" s="5" t="str">
        <f>VLOOKUP($A421,Technologies!$A$7:$H$576,6,FALSE)</f>
        <v>Grasscrops</v>
      </c>
      <c r="F421" s="5" t="str">
        <f>VLOOKUP($A421,Technologies!$A$7:$H$576,7,FALSE)</f>
        <v>Grasscrops</v>
      </c>
      <c r="G421" s="23"/>
      <c r="H421" s="23"/>
      <c r="I421" s="104" cm="1">
        <f t="array" ref="I421">-SUMPRODUCT((Feedstocks!$C$4:$C$141=A421)*Feedstocks!$E$4:$E$141,Feedstocks!$F$4:$F$141,Feedstocks!$H$4:$H$141,Feedstocks!$I$4:$I$141)</f>
        <v>0</v>
      </c>
      <c r="J421" s="104" cm="1">
        <f t="array" ref="J421">-SUMPRODUCT((Feedstocks!$C$4:$C$141=A421)*Feedstocks!$E$4:$E$141,Feedstocks!$H$4:$H$141,Feedstocks!$I$4:$I$141)</f>
        <v>0</v>
      </c>
      <c r="K421" s="104"/>
      <c r="L421" s="104"/>
      <c r="M421" s="23"/>
      <c r="N421" s="23" t="str">
        <f>VLOOKUP(E421,Activities!$A$9:$M$227,13,FALSE)</f>
        <v>NL</v>
      </c>
      <c r="O421" s="23"/>
      <c r="P421" s="79" t="s">
        <v>415</v>
      </c>
      <c r="Q421" s="35"/>
      <c r="R421" s="35"/>
      <c r="S421" s="35"/>
      <c r="T421" s="35"/>
      <c r="U421" s="35"/>
      <c r="V421" s="35"/>
      <c r="W421" s="35"/>
      <c r="X421" s="35"/>
      <c r="Y421" s="35"/>
      <c r="Z421" s="35"/>
      <c r="AA421" s="35"/>
      <c r="AB421" s="35"/>
      <c r="AC421" s="35"/>
      <c r="AD421" s="35"/>
      <c r="AE421" s="35"/>
      <c r="AF421" s="36"/>
      <c r="AG421" s="36"/>
      <c r="AH421" s="36"/>
      <c r="AI421" s="36"/>
      <c r="AJ421" s="36"/>
      <c r="AK421" s="36"/>
      <c r="AL421" s="36"/>
      <c r="AM421" s="36"/>
      <c r="AN421" s="36"/>
      <c r="AO421" s="36"/>
      <c r="AP421" s="35"/>
      <c r="AQ421" s="35"/>
      <c r="AR421" s="35"/>
      <c r="AS421" s="35"/>
      <c r="AT421" s="35"/>
      <c r="AU421" s="35"/>
      <c r="AV421" s="35"/>
      <c r="AW421" s="35"/>
      <c r="AX421" s="35"/>
      <c r="AY421" s="35"/>
      <c r="AZ421" s="35"/>
      <c r="BA421" s="35"/>
      <c r="BB421" s="35"/>
      <c r="BC421" s="35"/>
      <c r="BD421" s="35"/>
      <c r="BE421" s="35"/>
      <c r="BF421" s="35"/>
      <c r="BG421" s="35"/>
      <c r="BH421" s="35"/>
      <c r="BI421" s="35"/>
      <c r="BJ421" s="35"/>
      <c r="BK421" s="35"/>
      <c r="BL421" s="35"/>
      <c r="BM421" s="35"/>
      <c r="BN421" s="35"/>
      <c r="BO421" s="35"/>
      <c r="BP421" s="35"/>
      <c r="BQ421" s="35"/>
      <c r="BR421" s="35"/>
      <c r="BS421" s="35"/>
      <c r="BT421" s="35"/>
      <c r="BU421" s="35"/>
      <c r="BV421" s="35"/>
      <c r="BW421" s="35"/>
      <c r="BX421" s="35"/>
      <c r="BY421" s="35"/>
      <c r="BZ421" s="35"/>
      <c r="CA421" s="35"/>
      <c r="CB421" s="35"/>
      <c r="CC421" s="35"/>
      <c r="CD421" s="35"/>
      <c r="CE421" s="35"/>
      <c r="CF421" s="35"/>
      <c r="CG421" s="35"/>
      <c r="CH421" s="35"/>
      <c r="CI421" s="35"/>
      <c r="CJ421" s="35"/>
      <c r="CK421" s="35"/>
      <c r="CL421" s="35"/>
      <c r="CM421" s="35"/>
      <c r="CN421" s="35"/>
      <c r="CO421" s="35"/>
      <c r="CP421" s="35"/>
      <c r="CQ421" s="35"/>
      <c r="CR421" s="35"/>
      <c r="CS421" s="35"/>
      <c r="CT421" s="35"/>
      <c r="CU421" s="35"/>
      <c r="CV421" s="35"/>
      <c r="CW421" s="35"/>
      <c r="CX421" s="35"/>
      <c r="CY421" s="35"/>
      <c r="CZ421" s="35"/>
      <c r="DA421" s="35"/>
      <c r="DB421" s="35"/>
      <c r="DC421" s="35"/>
      <c r="DD421" s="35"/>
      <c r="DE421" s="35"/>
      <c r="DF421" s="35"/>
      <c r="DG421" s="35"/>
      <c r="DH421" s="35"/>
      <c r="DI421" s="35"/>
      <c r="DJ421" s="35"/>
      <c r="DK421" s="35"/>
      <c r="DL421" s="35"/>
      <c r="DM421" s="35"/>
      <c r="DN421" s="35"/>
      <c r="DO421" s="35"/>
      <c r="DP421" s="35"/>
      <c r="DQ421" s="35"/>
      <c r="DR421" s="35"/>
      <c r="DS421" s="35"/>
      <c r="DT421" s="35"/>
      <c r="DU421" s="35"/>
      <c r="DV421" s="35"/>
      <c r="DW421" s="35"/>
      <c r="DX421" s="35"/>
      <c r="DY421" s="35"/>
      <c r="DZ421" s="35"/>
      <c r="EA421" s="35"/>
      <c r="EB421" s="35"/>
      <c r="EC421" s="35"/>
      <c r="ED421" s="35"/>
      <c r="EE421" s="35"/>
      <c r="EF421" s="35"/>
      <c r="EG421" s="35"/>
      <c r="EH421" s="35"/>
      <c r="EI421" s="35"/>
      <c r="EJ421" s="35"/>
      <c r="EK421" s="35"/>
      <c r="EL421" s="35"/>
      <c r="EM421" s="35"/>
      <c r="EN421" s="35"/>
      <c r="EO421" s="35"/>
      <c r="EP421" s="35"/>
      <c r="EQ421" s="35"/>
      <c r="ER421" s="35"/>
      <c r="ES421" s="35"/>
      <c r="ET421" s="35"/>
      <c r="EU421" s="35"/>
      <c r="EV421" s="35"/>
      <c r="EW421" s="35"/>
      <c r="EX421" s="35"/>
      <c r="EY421" s="35"/>
      <c r="EZ421" s="35"/>
      <c r="FA421" s="35"/>
      <c r="FB421" s="35">
        <v>1</v>
      </c>
      <c r="FC421" s="35"/>
      <c r="FD421" s="35"/>
      <c r="FE421" s="35"/>
      <c r="FF421" s="35"/>
      <c r="FG421" s="35"/>
      <c r="FH421" s="35"/>
      <c r="FI421" s="35"/>
      <c r="FJ421" s="35"/>
      <c r="FK421" s="35"/>
      <c r="FL421" s="35"/>
      <c r="FM421" s="35"/>
      <c r="FN421" s="35"/>
      <c r="FO421" s="35"/>
      <c r="FP421" s="35"/>
      <c r="FQ421" s="35"/>
      <c r="FR421" s="35"/>
      <c r="FS421" s="35"/>
      <c r="FT421" s="35"/>
      <c r="FU421" s="35"/>
      <c r="FV421" s="35"/>
      <c r="FW421" s="35"/>
      <c r="FX421" s="35"/>
      <c r="FY421" s="35"/>
      <c r="FZ421" s="35"/>
      <c r="GA421" s="35"/>
      <c r="GB421" s="318"/>
      <c r="GC421" s="178">
        <f t="shared" si="74"/>
        <v>0</v>
      </c>
      <c r="GD421" s="178">
        <f t="shared" si="75"/>
        <v>0</v>
      </c>
      <c r="GE421" s="178">
        <f t="shared" si="76"/>
        <v>0</v>
      </c>
      <c r="GF421" s="178">
        <f t="shared" si="77"/>
        <v>0</v>
      </c>
      <c r="GG421" s="178">
        <f t="shared" si="69"/>
        <v>0</v>
      </c>
    </row>
    <row r="422" spans="1:189" x14ac:dyDescent="0.35">
      <c r="A422" s="6" t="s">
        <v>1679</v>
      </c>
      <c r="B422" s="6" t="str">
        <f>IF(Technologies!B422&lt;&gt;0,Technologies!B422,"")</f>
        <v/>
      </c>
      <c r="C422" s="6" t="str">
        <f>VLOOKUP($A422,Technologies!$A$7:$H$576,3,FALSE)</f>
        <v>Primary</v>
      </c>
      <c r="D422" s="6" t="str">
        <f>VLOOKUP($A422,Technologies!$A$7:$H$576,4,FALSE)</f>
        <v>Renewable</v>
      </c>
      <c r="E422" s="6" t="str">
        <f>VLOOKUP($A422,Technologies!$A$7:$H$576,6,FALSE)</f>
        <v>Dry organic matter</v>
      </c>
      <c r="F422" s="48" t="str">
        <f>VLOOKUP($A422,Technologies!$A$7:$H$576,7,FALSE)</f>
        <v>Dry organic matter</v>
      </c>
      <c r="G422" s="22"/>
      <c r="H422" s="22"/>
      <c r="I422" s="103" cm="1">
        <f t="array" ref="I422">-SUMPRODUCT((Feedstocks!$C$4:$C$141=A422)*Feedstocks!$E$4:$E$141,Feedstocks!$F$4:$F$141,Feedstocks!$H$4:$H$141,Feedstocks!$I$4:$I$141)</f>
        <v>0</v>
      </c>
      <c r="J422" s="103" cm="1">
        <f t="array" ref="J422">-SUMPRODUCT((Feedstocks!$C$4:$C$141=A422)*Feedstocks!$E$4:$E$141,Feedstocks!$H$4:$H$141,Feedstocks!$I$4:$I$141)</f>
        <v>0</v>
      </c>
      <c r="K422" s="103"/>
      <c r="L422" s="103"/>
      <c r="M422" s="22"/>
      <c r="N422" s="22" t="str">
        <f>VLOOKUP(E422,Activities!$A$9:$M$227,13,FALSE)</f>
        <v>NL</v>
      </c>
      <c r="O422" s="22"/>
      <c r="P422" s="80" t="s">
        <v>415</v>
      </c>
      <c r="Q422" s="36"/>
      <c r="R422" s="36"/>
      <c r="S422" s="36"/>
      <c r="T422" s="36"/>
      <c r="U422" s="36"/>
      <c r="V422" s="36"/>
      <c r="W422" s="36"/>
      <c r="X422" s="36"/>
      <c r="Y422" s="36"/>
      <c r="Z422" s="36"/>
      <c r="AA422" s="36"/>
      <c r="AB422" s="36"/>
      <c r="AC422" s="36"/>
      <c r="AD422" s="36"/>
      <c r="AE422" s="36"/>
      <c r="AF422" s="35"/>
      <c r="AG422" s="35"/>
      <c r="AH422" s="35"/>
      <c r="AI422" s="35"/>
      <c r="AJ422" s="35"/>
      <c r="AK422" s="35"/>
      <c r="AL422" s="35"/>
      <c r="AM422" s="35"/>
      <c r="AN422" s="35"/>
      <c r="AO422" s="35"/>
      <c r="AP422" s="36"/>
      <c r="AQ422" s="36"/>
      <c r="AR422" s="36"/>
      <c r="AS422" s="36"/>
      <c r="AT422" s="36"/>
      <c r="AU422" s="36"/>
      <c r="AV422" s="36"/>
      <c r="AW422" s="36"/>
      <c r="AX422" s="36"/>
      <c r="AY422" s="36"/>
      <c r="AZ422" s="36"/>
      <c r="BA422" s="36"/>
      <c r="BB422" s="36"/>
      <c r="BC422" s="36"/>
      <c r="BD422" s="36"/>
      <c r="BE422" s="36"/>
      <c r="BF422" s="36"/>
      <c r="BG422" s="36"/>
      <c r="BH422" s="36"/>
      <c r="BI422" s="36"/>
      <c r="BJ422" s="36"/>
      <c r="BK422" s="36"/>
      <c r="BL422" s="36"/>
      <c r="BM422" s="36"/>
      <c r="BN422" s="36"/>
      <c r="BO422" s="36"/>
      <c r="BP422" s="36"/>
      <c r="BQ422" s="36"/>
      <c r="BR422" s="36"/>
      <c r="BS422" s="36"/>
      <c r="BT422" s="36"/>
      <c r="BU422" s="36"/>
      <c r="BV422" s="36"/>
      <c r="BW422" s="36"/>
      <c r="BX422" s="36"/>
      <c r="BY422" s="36"/>
      <c r="BZ422" s="36"/>
      <c r="CA422" s="36"/>
      <c r="CB422" s="36"/>
      <c r="CC422" s="36"/>
      <c r="CD422" s="36"/>
      <c r="CE422" s="36"/>
      <c r="CF422" s="36"/>
      <c r="CG422" s="36"/>
      <c r="CH422" s="36"/>
      <c r="CI422" s="36"/>
      <c r="CJ422" s="36"/>
      <c r="CK422" s="36"/>
      <c r="CL422" s="36"/>
      <c r="CM422" s="36"/>
      <c r="CN422" s="36"/>
      <c r="CO422" s="36"/>
      <c r="CP422" s="36"/>
      <c r="CQ422" s="36"/>
      <c r="CR422" s="36"/>
      <c r="CS422" s="36"/>
      <c r="CT422" s="36"/>
      <c r="CU422" s="36"/>
      <c r="CV422" s="36"/>
      <c r="CW422" s="36"/>
      <c r="CX422" s="36"/>
      <c r="CY422" s="36"/>
      <c r="CZ422" s="36"/>
      <c r="DA422" s="36"/>
      <c r="DB422" s="36"/>
      <c r="DC422" s="36"/>
      <c r="DD422" s="36"/>
      <c r="DE422" s="36"/>
      <c r="DF422" s="36"/>
      <c r="DG422" s="36"/>
      <c r="DH422" s="36"/>
      <c r="DI422" s="36"/>
      <c r="DJ422" s="36"/>
      <c r="DK422" s="36"/>
      <c r="DL422" s="36"/>
      <c r="DM422" s="36"/>
      <c r="DN422" s="36"/>
      <c r="DO422" s="36"/>
      <c r="DP422" s="36"/>
      <c r="DQ422" s="36"/>
      <c r="DR422" s="36"/>
      <c r="DS422" s="36"/>
      <c r="DT422" s="36"/>
      <c r="DU422" s="36"/>
      <c r="DV422" s="36"/>
      <c r="DW422" s="36"/>
      <c r="DX422" s="36"/>
      <c r="DY422" s="36"/>
      <c r="DZ422" s="36"/>
      <c r="EA422" s="36"/>
      <c r="EB422" s="36"/>
      <c r="EC422" s="36"/>
      <c r="ED422" s="36"/>
      <c r="EE422" s="36"/>
      <c r="EF422" s="36"/>
      <c r="EG422" s="36"/>
      <c r="EH422" s="36"/>
      <c r="EI422" s="36"/>
      <c r="EJ422" s="36"/>
      <c r="EK422" s="36"/>
      <c r="EL422" s="36"/>
      <c r="EM422" s="36"/>
      <c r="EN422" s="36"/>
      <c r="EO422" s="36"/>
      <c r="EP422" s="36"/>
      <c r="EQ422" s="36"/>
      <c r="ER422" s="36"/>
      <c r="ES422" s="36"/>
      <c r="ET422" s="36"/>
      <c r="EU422" s="36"/>
      <c r="EV422" s="36"/>
      <c r="EW422" s="36"/>
      <c r="EX422" s="36"/>
      <c r="EY422" s="36"/>
      <c r="EZ422" s="36"/>
      <c r="FA422" s="36"/>
      <c r="FB422" s="36"/>
      <c r="FC422" s="36">
        <v>1</v>
      </c>
      <c r="FD422" s="36"/>
      <c r="FE422" s="36"/>
      <c r="FF422" s="36"/>
      <c r="FG422" s="36"/>
      <c r="FH422" s="36"/>
      <c r="FI422" s="36"/>
      <c r="FJ422" s="36"/>
      <c r="FK422" s="36"/>
      <c r="FL422" s="36"/>
      <c r="FM422" s="36"/>
      <c r="FN422" s="36"/>
      <c r="FO422" s="36"/>
      <c r="FP422" s="36"/>
      <c r="FQ422" s="36"/>
      <c r="FR422" s="36"/>
      <c r="FS422" s="36"/>
      <c r="FT422" s="36"/>
      <c r="FU422" s="36"/>
      <c r="FV422" s="36"/>
      <c r="FW422" s="36"/>
      <c r="FX422" s="36"/>
      <c r="FY422" s="36"/>
      <c r="FZ422" s="36"/>
      <c r="GA422" s="36"/>
      <c r="GB422" s="319"/>
      <c r="GC422" s="179">
        <f t="shared" si="74"/>
        <v>0</v>
      </c>
      <c r="GD422" s="179">
        <f t="shared" si="75"/>
        <v>0</v>
      </c>
      <c r="GE422" s="179">
        <f t="shared" si="76"/>
        <v>0</v>
      </c>
      <c r="GF422" s="179">
        <f t="shared" si="77"/>
        <v>0</v>
      </c>
      <c r="GG422" s="179">
        <f t="shared" si="69"/>
        <v>0</v>
      </c>
    </row>
    <row r="423" spans="1:189" x14ac:dyDescent="0.35">
      <c r="A423" s="5" t="s">
        <v>1680</v>
      </c>
      <c r="B423" s="6" t="str">
        <f>IF(Technologies!B423&lt;&gt;0,Technologies!B423,"")</f>
        <v/>
      </c>
      <c r="C423" s="5" t="str">
        <f>VLOOKUP($A423,Technologies!$A$7:$H$576,3,FALSE)</f>
        <v>Primary</v>
      </c>
      <c r="D423" s="5" t="str">
        <f>VLOOKUP($A423,Technologies!$A$7:$H$576,4,FALSE)</f>
        <v>Renewable</v>
      </c>
      <c r="E423" s="5" t="str">
        <f>VLOOKUP($A423,Technologies!$A$7:$H$576,6,FALSE)</f>
        <v>Wet organic matter</v>
      </c>
      <c r="F423" s="5" t="str">
        <f>VLOOKUP($A423,Technologies!$A$7:$H$576,7,FALSE)</f>
        <v>Wet organic matter</v>
      </c>
      <c r="G423" s="23"/>
      <c r="H423" s="23"/>
      <c r="I423" s="104" cm="1">
        <f t="array" ref="I423">-SUMPRODUCT((Feedstocks!$C$4:$C$141=A423)*Feedstocks!$E$4:$E$141,Feedstocks!$F$4:$F$141,Feedstocks!$H$4:$H$141,Feedstocks!$I$4:$I$141)</f>
        <v>0</v>
      </c>
      <c r="J423" s="104" cm="1">
        <f t="array" ref="J423">-SUMPRODUCT((Feedstocks!$C$4:$C$141=A423)*Feedstocks!$E$4:$E$141,Feedstocks!$H$4:$H$141,Feedstocks!$I$4:$I$141)</f>
        <v>0</v>
      </c>
      <c r="K423" s="104"/>
      <c r="L423" s="104"/>
      <c r="M423" s="23"/>
      <c r="N423" s="23" t="str">
        <f>VLOOKUP(E423,Activities!$A$9:$M$227,13,FALSE)</f>
        <v>NL</v>
      </c>
      <c r="O423" s="23"/>
      <c r="P423" s="79" t="s">
        <v>415</v>
      </c>
      <c r="Q423" s="35"/>
      <c r="R423" s="35"/>
      <c r="S423" s="35"/>
      <c r="T423" s="35"/>
      <c r="U423" s="35"/>
      <c r="V423" s="35"/>
      <c r="W423" s="35"/>
      <c r="X423" s="35"/>
      <c r="Y423" s="35"/>
      <c r="Z423" s="35"/>
      <c r="AA423" s="35"/>
      <c r="AB423" s="35"/>
      <c r="AC423" s="35"/>
      <c r="AD423" s="35"/>
      <c r="AE423" s="35"/>
      <c r="AF423" s="36"/>
      <c r="AG423" s="36"/>
      <c r="AH423" s="36"/>
      <c r="AI423" s="36"/>
      <c r="AJ423" s="36"/>
      <c r="AK423" s="36"/>
      <c r="AL423" s="36"/>
      <c r="AM423" s="36"/>
      <c r="AN423" s="36"/>
      <c r="AO423" s="36"/>
      <c r="AP423" s="35"/>
      <c r="AQ423" s="35"/>
      <c r="AR423" s="35"/>
      <c r="AS423" s="35"/>
      <c r="AT423" s="35"/>
      <c r="AU423" s="35"/>
      <c r="AV423" s="35"/>
      <c r="AW423" s="35"/>
      <c r="AX423" s="35"/>
      <c r="AY423" s="35"/>
      <c r="AZ423" s="35"/>
      <c r="BA423" s="35"/>
      <c r="BB423" s="35"/>
      <c r="BC423" s="35"/>
      <c r="BD423" s="35"/>
      <c r="BE423" s="35"/>
      <c r="BF423" s="35"/>
      <c r="BG423" s="35"/>
      <c r="BH423" s="35"/>
      <c r="BI423" s="35"/>
      <c r="BJ423" s="35"/>
      <c r="BK423" s="35"/>
      <c r="BL423" s="35"/>
      <c r="BM423" s="35"/>
      <c r="BN423" s="35"/>
      <c r="BO423" s="35"/>
      <c r="BP423" s="35"/>
      <c r="BQ423" s="35"/>
      <c r="BR423" s="35"/>
      <c r="BS423" s="35"/>
      <c r="BT423" s="35"/>
      <c r="BU423" s="35"/>
      <c r="BV423" s="35"/>
      <c r="BW423" s="35"/>
      <c r="BX423" s="35"/>
      <c r="BY423" s="35"/>
      <c r="BZ423" s="35"/>
      <c r="CA423" s="35"/>
      <c r="CB423" s="35"/>
      <c r="CC423" s="35"/>
      <c r="CD423" s="35"/>
      <c r="CE423" s="35"/>
      <c r="CF423" s="35"/>
      <c r="CG423" s="35"/>
      <c r="CH423" s="35"/>
      <c r="CI423" s="35"/>
      <c r="CJ423" s="35"/>
      <c r="CK423" s="35"/>
      <c r="CL423" s="35"/>
      <c r="CM423" s="35"/>
      <c r="CN423" s="35"/>
      <c r="CO423" s="35"/>
      <c r="CP423" s="35"/>
      <c r="CQ423" s="35"/>
      <c r="CR423" s="35"/>
      <c r="CS423" s="35"/>
      <c r="CT423" s="35"/>
      <c r="CU423" s="35"/>
      <c r="CV423" s="35"/>
      <c r="CW423" s="35"/>
      <c r="CX423" s="35"/>
      <c r="CY423" s="35"/>
      <c r="CZ423" s="35"/>
      <c r="DA423" s="35"/>
      <c r="DB423" s="35"/>
      <c r="DC423" s="35"/>
      <c r="DD423" s="35"/>
      <c r="DE423" s="35"/>
      <c r="DF423" s="35"/>
      <c r="DG423" s="35"/>
      <c r="DH423" s="35"/>
      <c r="DI423" s="35"/>
      <c r="DJ423" s="35"/>
      <c r="DK423" s="35"/>
      <c r="DL423" s="35"/>
      <c r="DM423" s="35"/>
      <c r="DN423" s="35"/>
      <c r="DO423" s="35"/>
      <c r="DP423" s="35"/>
      <c r="DQ423" s="35"/>
      <c r="DR423" s="35"/>
      <c r="DS423" s="35"/>
      <c r="DT423" s="35"/>
      <c r="DU423" s="35"/>
      <c r="DV423" s="35"/>
      <c r="DW423" s="35"/>
      <c r="DX423" s="35"/>
      <c r="DY423" s="35"/>
      <c r="DZ423" s="35"/>
      <c r="EA423" s="35"/>
      <c r="EB423" s="35"/>
      <c r="EC423" s="35"/>
      <c r="ED423" s="35"/>
      <c r="EE423" s="35"/>
      <c r="EF423" s="35"/>
      <c r="EG423" s="35"/>
      <c r="EH423" s="35"/>
      <c r="EI423" s="35"/>
      <c r="EJ423" s="35"/>
      <c r="EK423" s="35"/>
      <c r="EL423" s="35"/>
      <c r="EM423" s="35"/>
      <c r="EN423" s="35"/>
      <c r="EO423" s="35"/>
      <c r="EP423" s="35"/>
      <c r="EQ423" s="35"/>
      <c r="ER423" s="35"/>
      <c r="ES423" s="35"/>
      <c r="ET423" s="35"/>
      <c r="EU423" s="35"/>
      <c r="EV423" s="35"/>
      <c r="EW423" s="35"/>
      <c r="EX423" s="35"/>
      <c r="EY423" s="35"/>
      <c r="EZ423" s="35"/>
      <c r="FA423" s="35"/>
      <c r="FB423" s="35"/>
      <c r="FC423" s="35"/>
      <c r="FD423" s="35">
        <v>1</v>
      </c>
      <c r="FE423" s="35"/>
      <c r="FF423" s="35"/>
      <c r="FG423" s="35"/>
      <c r="FH423" s="35"/>
      <c r="FI423" s="35"/>
      <c r="FJ423" s="35"/>
      <c r="FK423" s="35"/>
      <c r="FL423" s="35"/>
      <c r="FM423" s="35"/>
      <c r="FN423" s="35"/>
      <c r="FO423" s="35"/>
      <c r="FP423" s="35"/>
      <c r="FQ423" s="35"/>
      <c r="FR423" s="35"/>
      <c r="FS423" s="35"/>
      <c r="FT423" s="35"/>
      <c r="FU423" s="35"/>
      <c r="FV423" s="35"/>
      <c r="FW423" s="35"/>
      <c r="FX423" s="35"/>
      <c r="FY423" s="35"/>
      <c r="FZ423" s="35"/>
      <c r="GA423" s="35"/>
      <c r="GB423" s="318"/>
      <c r="GC423" s="178">
        <f t="shared" si="74"/>
        <v>0</v>
      </c>
      <c r="GD423" s="178">
        <f t="shared" si="75"/>
        <v>0</v>
      </c>
      <c r="GE423" s="178">
        <f t="shared" si="76"/>
        <v>0</v>
      </c>
      <c r="GF423" s="178">
        <f t="shared" si="77"/>
        <v>0</v>
      </c>
      <c r="GG423" s="178">
        <f t="shared" si="69"/>
        <v>0</v>
      </c>
    </row>
    <row r="424" spans="1:189" x14ac:dyDescent="0.35">
      <c r="A424" s="6" t="s">
        <v>1681</v>
      </c>
      <c r="B424" s="6" t="str">
        <f>IF(Technologies!B424&lt;&gt;0,Technologies!B424,"")</f>
        <v/>
      </c>
      <c r="C424" s="6" t="str">
        <f>VLOOKUP($A424,Technologies!$A$7:$H$576,3,FALSE)</f>
        <v>Primary</v>
      </c>
      <c r="D424" s="6" t="str">
        <f>VLOOKUP($A424,Technologies!$A$7:$H$576,4,FALSE)</f>
        <v>Renewable</v>
      </c>
      <c r="E424" s="6" t="str">
        <f>VLOOKUP($A424,Technologies!$A$7:$H$576,6,FALSE)</f>
        <v>Manure</v>
      </c>
      <c r="F424" s="48" t="str">
        <f>VLOOKUP($A424,Technologies!$A$7:$H$576,7,FALSE)</f>
        <v>Manure</v>
      </c>
      <c r="G424" s="22"/>
      <c r="H424" s="22"/>
      <c r="I424" s="103" cm="1">
        <f t="array" ref="I424">-SUMPRODUCT((Feedstocks!$C$4:$C$141=A424)*Feedstocks!$E$4:$E$141,Feedstocks!$F$4:$F$141,Feedstocks!$H$4:$H$141,Feedstocks!$I$4:$I$141)</f>
        <v>0</v>
      </c>
      <c r="J424" s="103" cm="1">
        <f t="array" ref="J424">-SUMPRODUCT((Feedstocks!$C$4:$C$141=A424)*Feedstocks!$E$4:$E$141,Feedstocks!$H$4:$H$141,Feedstocks!$I$4:$I$141)</f>
        <v>0</v>
      </c>
      <c r="K424" s="103"/>
      <c r="L424" s="103"/>
      <c r="M424" s="22"/>
      <c r="N424" s="22" t="str">
        <f>VLOOKUP(E424,Activities!$A$9:$M$227,13,FALSE)</f>
        <v>NL</v>
      </c>
      <c r="O424" s="22"/>
      <c r="P424" s="80" t="s">
        <v>415</v>
      </c>
      <c r="Q424" s="36"/>
      <c r="R424" s="36"/>
      <c r="S424" s="36"/>
      <c r="T424" s="36"/>
      <c r="U424" s="36"/>
      <c r="V424" s="36"/>
      <c r="W424" s="36"/>
      <c r="X424" s="36"/>
      <c r="Y424" s="36"/>
      <c r="Z424" s="36"/>
      <c r="AA424" s="36"/>
      <c r="AB424" s="36"/>
      <c r="AC424" s="36"/>
      <c r="AD424" s="36"/>
      <c r="AE424" s="36"/>
      <c r="AF424" s="35"/>
      <c r="AG424" s="35"/>
      <c r="AH424" s="35"/>
      <c r="AI424" s="35"/>
      <c r="AJ424" s="35"/>
      <c r="AK424" s="35"/>
      <c r="AL424" s="35"/>
      <c r="AM424" s="35"/>
      <c r="AN424" s="35"/>
      <c r="AO424" s="35"/>
      <c r="AP424" s="36"/>
      <c r="AQ424" s="36"/>
      <c r="AR424" s="36"/>
      <c r="AS424" s="36"/>
      <c r="AT424" s="36"/>
      <c r="AU424" s="36"/>
      <c r="AV424" s="36"/>
      <c r="AW424" s="36"/>
      <c r="AX424" s="36"/>
      <c r="AY424" s="36"/>
      <c r="AZ424" s="36"/>
      <c r="BA424" s="36"/>
      <c r="BB424" s="36"/>
      <c r="BC424" s="36"/>
      <c r="BD424" s="36"/>
      <c r="BE424" s="36"/>
      <c r="BF424" s="36"/>
      <c r="BG424" s="36"/>
      <c r="BH424" s="36"/>
      <c r="BI424" s="36"/>
      <c r="BJ424" s="36"/>
      <c r="BK424" s="36"/>
      <c r="BL424" s="36"/>
      <c r="BM424" s="36"/>
      <c r="BN424" s="36"/>
      <c r="BO424" s="36"/>
      <c r="BP424" s="36"/>
      <c r="BQ424" s="36"/>
      <c r="BR424" s="36"/>
      <c r="BS424" s="36"/>
      <c r="BT424" s="36"/>
      <c r="BU424" s="36"/>
      <c r="BV424" s="36"/>
      <c r="BW424" s="36"/>
      <c r="BX424" s="36"/>
      <c r="BY424" s="36"/>
      <c r="BZ424" s="36"/>
      <c r="CA424" s="36"/>
      <c r="CB424" s="36"/>
      <c r="CC424" s="36"/>
      <c r="CD424" s="36"/>
      <c r="CE424" s="36"/>
      <c r="CF424" s="36"/>
      <c r="CG424" s="36"/>
      <c r="CH424" s="36"/>
      <c r="CI424" s="36"/>
      <c r="CJ424" s="36"/>
      <c r="CK424" s="36"/>
      <c r="CL424" s="36"/>
      <c r="CM424" s="36"/>
      <c r="CN424" s="36"/>
      <c r="CO424" s="36"/>
      <c r="CP424" s="36"/>
      <c r="CQ424" s="36"/>
      <c r="CR424" s="36"/>
      <c r="CS424" s="36"/>
      <c r="CT424" s="36"/>
      <c r="CU424" s="36"/>
      <c r="CV424" s="36"/>
      <c r="CW424" s="36"/>
      <c r="CX424" s="36"/>
      <c r="CY424" s="36"/>
      <c r="CZ424" s="36"/>
      <c r="DA424" s="36"/>
      <c r="DB424" s="36"/>
      <c r="DC424" s="36"/>
      <c r="DD424" s="36"/>
      <c r="DE424" s="36"/>
      <c r="DF424" s="36"/>
      <c r="DG424" s="36"/>
      <c r="DH424" s="36"/>
      <c r="DI424" s="36"/>
      <c r="DJ424" s="36"/>
      <c r="DK424" s="36"/>
      <c r="DL424" s="36"/>
      <c r="DM424" s="36"/>
      <c r="DN424" s="36"/>
      <c r="DO424" s="36"/>
      <c r="DP424" s="36"/>
      <c r="DQ424" s="36"/>
      <c r="DR424" s="36"/>
      <c r="DS424" s="36"/>
      <c r="DT424" s="36"/>
      <c r="DU424" s="36"/>
      <c r="DV424" s="36"/>
      <c r="DW424" s="36"/>
      <c r="DX424" s="36"/>
      <c r="DY424" s="36"/>
      <c r="DZ424" s="36"/>
      <c r="EA424" s="36"/>
      <c r="EB424" s="36"/>
      <c r="EC424" s="36"/>
      <c r="ED424" s="36"/>
      <c r="EE424" s="36"/>
      <c r="EF424" s="36"/>
      <c r="EG424" s="36"/>
      <c r="EH424" s="36"/>
      <c r="EI424" s="36"/>
      <c r="EJ424" s="36"/>
      <c r="EK424" s="36"/>
      <c r="EL424" s="36"/>
      <c r="EM424" s="36"/>
      <c r="EN424" s="36"/>
      <c r="EO424" s="36"/>
      <c r="EP424" s="36"/>
      <c r="EQ424" s="36"/>
      <c r="ER424" s="36"/>
      <c r="ES424" s="36"/>
      <c r="ET424" s="36"/>
      <c r="EU424" s="36"/>
      <c r="EV424" s="36"/>
      <c r="EW424" s="36"/>
      <c r="EX424" s="36"/>
      <c r="EY424" s="36"/>
      <c r="EZ424" s="36"/>
      <c r="FA424" s="36"/>
      <c r="FB424" s="36"/>
      <c r="FC424" s="36"/>
      <c r="FD424" s="36"/>
      <c r="FE424" s="36">
        <v>1</v>
      </c>
      <c r="FF424" s="36"/>
      <c r="FG424" s="36"/>
      <c r="FH424" s="36"/>
      <c r="FI424" s="36"/>
      <c r="FJ424" s="36"/>
      <c r="FK424" s="36"/>
      <c r="FL424" s="36"/>
      <c r="FM424" s="36"/>
      <c r="FN424" s="36"/>
      <c r="FO424" s="36"/>
      <c r="FP424" s="36"/>
      <c r="FQ424" s="36"/>
      <c r="FR424" s="36"/>
      <c r="FS424" s="36"/>
      <c r="FT424" s="36"/>
      <c r="FU424" s="36"/>
      <c r="FV424" s="36"/>
      <c r="FW424" s="36"/>
      <c r="FX424" s="36"/>
      <c r="FY424" s="36"/>
      <c r="FZ424" s="36"/>
      <c r="GA424" s="36"/>
      <c r="GB424" s="319"/>
      <c r="GC424" s="179">
        <f t="shared" si="74"/>
        <v>0</v>
      </c>
      <c r="GD424" s="179">
        <f t="shared" si="75"/>
        <v>0</v>
      </c>
      <c r="GE424" s="179">
        <f t="shared" si="76"/>
        <v>0</v>
      </c>
      <c r="GF424" s="179">
        <f t="shared" si="77"/>
        <v>0</v>
      </c>
      <c r="GG424" s="179">
        <f t="shared" si="69"/>
        <v>0</v>
      </c>
    </row>
    <row r="425" spans="1:189" x14ac:dyDescent="0.35">
      <c r="A425" s="5" t="s">
        <v>1682</v>
      </c>
      <c r="B425" s="6" t="str">
        <f>IF(Technologies!B425&lt;&gt;0,Technologies!B425,"")</f>
        <v/>
      </c>
      <c r="C425" s="5" t="str">
        <f>VLOOKUP($A425,Technologies!$A$7:$H$576,3,FALSE)</f>
        <v>Primary</v>
      </c>
      <c r="D425" s="5" t="str">
        <f>VLOOKUP($A425,Technologies!$A$7:$H$576,4,FALSE)</f>
        <v>Renewable</v>
      </c>
      <c r="E425" s="5" t="str">
        <f>VLOOKUP($A425,Technologies!$A$7:$H$576,6,FALSE)</f>
        <v>Sugars</v>
      </c>
      <c r="F425" s="5" t="str">
        <f>VLOOKUP($A425,Technologies!$A$7:$H$576,7,FALSE)</f>
        <v>Sugars</v>
      </c>
      <c r="G425" s="23"/>
      <c r="H425" s="23"/>
      <c r="I425" s="104" cm="1">
        <f t="array" ref="I425">-SUMPRODUCT((Feedstocks!$C$4:$C$141=A425)*Feedstocks!$E$4:$E$141,Feedstocks!$F$4:$F$141,Feedstocks!$H$4:$H$141,Feedstocks!$I$4:$I$141)</f>
        <v>0</v>
      </c>
      <c r="J425" s="104" cm="1">
        <f t="array" ref="J425">-SUMPRODUCT((Feedstocks!$C$4:$C$141=A425)*Feedstocks!$E$4:$E$141,Feedstocks!$H$4:$H$141,Feedstocks!$I$4:$I$141)</f>
        <v>0</v>
      </c>
      <c r="K425" s="104"/>
      <c r="L425" s="104"/>
      <c r="M425" s="23"/>
      <c r="N425" s="23" t="str">
        <f>VLOOKUP(E425,Activities!$A$9:$M$227,13,FALSE)</f>
        <v>NL</v>
      </c>
      <c r="O425" s="23"/>
      <c r="P425" s="79" t="s">
        <v>415</v>
      </c>
      <c r="Q425" s="35"/>
      <c r="R425" s="35"/>
      <c r="S425" s="35"/>
      <c r="T425" s="35"/>
      <c r="U425" s="35"/>
      <c r="V425" s="35"/>
      <c r="W425" s="35"/>
      <c r="X425" s="35"/>
      <c r="Y425" s="35"/>
      <c r="Z425" s="35"/>
      <c r="AA425" s="35"/>
      <c r="AB425" s="35"/>
      <c r="AC425" s="35"/>
      <c r="AD425" s="35"/>
      <c r="AE425" s="35"/>
      <c r="AF425" s="36"/>
      <c r="AG425" s="36"/>
      <c r="AH425" s="36"/>
      <c r="AI425" s="36"/>
      <c r="AJ425" s="36"/>
      <c r="AK425" s="36"/>
      <c r="AL425" s="36"/>
      <c r="AM425" s="36"/>
      <c r="AN425" s="36"/>
      <c r="AO425" s="36"/>
      <c r="AP425" s="35"/>
      <c r="AQ425" s="35"/>
      <c r="AR425" s="35"/>
      <c r="AS425" s="35"/>
      <c r="AT425" s="35"/>
      <c r="AU425" s="35"/>
      <c r="AV425" s="35"/>
      <c r="AW425" s="35"/>
      <c r="AX425" s="35"/>
      <c r="AY425" s="35"/>
      <c r="AZ425" s="35"/>
      <c r="BA425" s="35"/>
      <c r="BB425" s="35"/>
      <c r="BC425" s="35"/>
      <c r="BD425" s="35"/>
      <c r="BE425" s="35"/>
      <c r="BF425" s="35"/>
      <c r="BG425" s="35"/>
      <c r="BH425" s="35"/>
      <c r="BI425" s="35"/>
      <c r="BJ425" s="35"/>
      <c r="BK425" s="35"/>
      <c r="BL425" s="35"/>
      <c r="BM425" s="35"/>
      <c r="BN425" s="35"/>
      <c r="BO425" s="35"/>
      <c r="BP425" s="35"/>
      <c r="BQ425" s="35"/>
      <c r="BR425" s="35"/>
      <c r="BS425" s="35"/>
      <c r="BT425" s="35"/>
      <c r="BU425" s="35"/>
      <c r="BV425" s="35"/>
      <c r="BW425" s="35"/>
      <c r="BX425" s="35"/>
      <c r="BY425" s="35"/>
      <c r="BZ425" s="35"/>
      <c r="CA425" s="35"/>
      <c r="CB425" s="35"/>
      <c r="CC425" s="35"/>
      <c r="CD425" s="35"/>
      <c r="CE425" s="35"/>
      <c r="CF425" s="35"/>
      <c r="CG425" s="35"/>
      <c r="CH425" s="35"/>
      <c r="CI425" s="35"/>
      <c r="CJ425" s="35"/>
      <c r="CK425" s="35"/>
      <c r="CL425" s="35"/>
      <c r="CM425" s="35"/>
      <c r="CN425" s="35"/>
      <c r="CO425" s="35"/>
      <c r="CP425" s="35"/>
      <c r="CQ425" s="35"/>
      <c r="CR425" s="35"/>
      <c r="CS425" s="35"/>
      <c r="CT425" s="35"/>
      <c r="CU425" s="35"/>
      <c r="CV425" s="35"/>
      <c r="CW425" s="35"/>
      <c r="CX425" s="35"/>
      <c r="CY425" s="35"/>
      <c r="CZ425" s="35"/>
      <c r="DA425" s="35"/>
      <c r="DB425" s="35"/>
      <c r="DC425" s="35"/>
      <c r="DD425" s="35"/>
      <c r="DE425" s="35"/>
      <c r="DF425" s="35"/>
      <c r="DG425" s="35"/>
      <c r="DH425" s="35"/>
      <c r="DI425" s="35"/>
      <c r="DJ425" s="35"/>
      <c r="DK425" s="35"/>
      <c r="DL425" s="35"/>
      <c r="DM425" s="35"/>
      <c r="DN425" s="35"/>
      <c r="DO425" s="35"/>
      <c r="DP425" s="35"/>
      <c r="DQ425" s="35"/>
      <c r="DR425" s="35"/>
      <c r="DS425" s="35"/>
      <c r="DT425" s="35"/>
      <c r="DU425" s="35"/>
      <c r="DV425" s="35"/>
      <c r="DW425" s="35"/>
      <c r="DX425" s="35"/>
      <c r="DY425" s="35"/>
      <c r="DZ425" s="35"/>
      <c r="EA425" s="35"/>
      <c r="EB425" s="35"/>
      <c r="EC425" s="35"/>
      <c r="ED425" s="35"/>
      <c r="EE425" s="35"/>
      <c r="EF425" s="35"/>
      <c r="EG425" s="35"/>
      <c r="EH425" s="35"/>
      <c r="EI425" s="35"/>
      <c r="EJ425" s="35"/>
      <c r="EK425" s="35"/>
      <c r="EL425" s="35"/>
      <c r="EM425" s="35"/>
      <c r="EN425" s="35"/>
      <c r="EO425" s="35"/>
      <c r="EP425" s="35"/>
      <c r="EQ425" s="35"/>
      <c r="ER425" s="35"/>
      <c r="ES425" s="35"/>
      <c r="ET425" s="35"/>
      <c r="EU425" s="35"/>
      <c r="EV425" s="35"/>
      <c r="EW425" s="35"/>
      <c r="EX425" s="35"/>
      <c r="EY425" s="35"/>
      <c r="EZ425" s="35"/>
      <c r="FA425" s="35"/>
      <c r="FB425" s="35"/>
      <c r="FC425" s="35"/>
      <c r="FD425" s="35"/>
      <c r="FE425" s="35"/>
      <c r="FF425" s="35">
        <v>1</v>
      </c>
      <c r="FG425" s="35"/>
      <c r="FH425" s="35"/>
      <c r="FI425" s="35"/>
      <c r="FJ425" s="35"/>
      <c r="FK425" s="35"/>
      <c r="FL425" s="35"/>
      <c r="FM425" s="35"/>
      <c r="FN425" s="35"/>
      <c r="FO425" s="35"/>
      <c r="FP425" s="35"/>
      <c r="FQ425" s="35"/>
      <c r="FR425" s="35"/>
      <c r="FS425" s="35"/>
      <c r="FT425" s="35"/>
      <c r="FU425" s="35"/>
      <c r="FV425" s="35"/>
      <c r="FW425" s="35"/>
      <c r="FX425" s="35"/>
      <c r="FY425" s="35"/>
      <c r="FZ425" s="35"/>
      <c r="GA425" s="35"/>
      <c r="GB425" s="318"/>
      <c r="GC425" s="178">
        <f t="shared" si="74"/>
        <v>0</v>
      </c>
      <c r="GD425" s="178">
        <f t="shared" si="75"/>
        <v>0</v>
      </c>
      <c r="GE425" s="178">
        <f t="shared" si="76"/>
        <v>0</v>
      </c>
      <c r="GF425" s="178">
        <f t="shared" si="77"/>
        <v>0</v>
      </c>
      <c r="GG425" s="178">
        <f t="shared" si="69"/>
        <v>0</v>
      </c>
    </row>
    <row r="426" spans="1:189" x14ac:dyDescent="0.35">
      <c r="A426" s="6" t="s">
        <v>1683</v>
      </c>
      <c r="B426" s="6" t="str">
        <f>IF(Technologies!B426&lt;&gt;0,Technologies!B426,"")</f>
        <v/>
      </c>
      <c r="C426" s="6" t="str">
        <f>VLOOKUP($A426,Technologies!$A$7:$H$576,3,FALSE)</f>
        <v>Primary</v>
      </c>
      <c r="D426" s="6" t="str">
        <f>VLOOKUP($A426,Technologies!$A$7:$H$576,4,FALSE)</f>
        <v>Renewable</v>
      </c>
      <c r="E426" s="6" t="str">
        <f>VLOOKUP($A426,Technologies!$A$7:$H$576,6,FALSE)</f>
        <v>Starch</v>
      </c>
      <c r="F426" s="48" t="str">
        <f>VLOOKUP($A426,Technologies!$A$7:$H$576,7,FALSE)</f>
        <v>Starch</v>
      </c>
      <c r="G426" s="22"/>
      <c r="H426" s="22"/>
      <c r="I426" s="103" cm="1">
        <f t="array" ref="I426">-SUMPRODUCT((Feedstocks!$C$4:$C$141=A426)*Feedstocks!$E$4:$E$141,Feedstocks!$F$4:$F$141,Feedstocks!$H$4:$H$141,Feedstocks!$I$4:$I$141)</f>
        <v>0</v>
      </c>
      <c r="J426" s="103" cm="1">
        <f t="array" ref="J426">-SUMPRODUCT((Feedstocks!$C$4:$C$141=A426)*Feedstocks!$E$4:$E$141,Feedstocks!$H$4:$H$141,Feedstocks!$I$4:$I$141)</f>
        <v>0</v>
      </c>
      <c r="K426" s="103"/>
      <c r="L426" s="103"/>
      <c r="M426" s="22"/>
      <c r="N426" s="22" t="str">
        <f>VLOOKUP(E426,Activities!$A$9:$M$227,13,FALSE)</f>
        <v>NL</v>
      </c>
      <c r="O426" s="22"/>
      <c r="P426" s="80" t="s">
        <v>415</v>
      </c>
      <c r="Q426" s="36"/>
      <c r="R426" s="36"/>
      <c r="S426" s="36"/>
      <c r="T426" s="36"/>
      <c r="U426" s="36"/>
      <c r="V426" s="36"/>
      <c r="W426" s="36"/>
      <c r="X426" s="36"/>
      <c r="Y426" s="36"/>
      <c r="Z426" s="36"/>
      <c r="AA426" s="36"/>
      <c r="AB426" s="36"/>
      <c r="AC426" s="36"/>
      <c r="AD426" s="36"/>
      <c r="AE426" s="36"/>
      <c r="AF426" s="35"/>
      <c r="AG426" s="35"/>
      <c r="AH426" s="35"/>
      <c r="AI426" s="35"/>
      <c r="AJ426" s="35"/>
      <c r="AK426" s="35"/>
      <c r="AL426" s="35"/>
      <c r="AM426" s="35"/>
      <c r="AN426" s="35"/>
      <c r="AO426" s="35"/>
      <c r="AP426" s="36"/>
      <c r="AQ426" s="36"/>
      <c r="AR426" s="36"/>
      <c r="AS426" s="36"/>
      <c r="AT426" s="36"/>
      <c r="AU426" s="36"/>
      <c r="AV426" s="36"/>
      <c r="AW426" s="36"/>
      <c r="AX426" s="36"/>
      <c r="AY426" s="36"/>
      <c r="AZ426" s="36"/>
      <c r="BA426" s="36"/>
      <c r="BB426" s="36"/>
      <c r="BC426" s="36"/>
      <c r="BD426" s="36"/>
      <c r="BE426" s="36"/>
      <c r="BF426" s="36"/>
      <c r="BG426" s="36"/>
      <c r="BH426" s="36"/>
      <c r="BI426" s="36"/>
      <c r="BJ426" s="36"/>
      <c r="BK426" s="36"/>
      <c r="BL426" s="36"/>
      <c r="BM426" s="36"/>
      <c r="BN426" s="36"/>
      <c r="BO426" s="36"/>
      <c r="BP426" s="36"/>
      <c r="BQ426" s="36"/>
      <c r="BR426" s="36"/>
      <c r="BS426" s="36"/>
      <c r="BT426" s="36"/>
      <c r="BU426" s="36"/>
      <c r="BV426" s="36"/>
      <c r="BW426" s="36"/>
      <c r="BX426" s="36"/>
      <c r="BY426" s="36"/>
      <c r="BZ426" s="36"/>
      <c r="CA426" s="36"/>
      <c r="CB426" s="36"/>
      <c r="CC426" s="36"/>
      <c r="CD426" s="36"/>
      <c r="CE426" s="36"/>
      <c r="CF426" s="36"/>
      <c r="CG426" s="36"/>
      <c r="CH426" s="36"/>
      <c r="CI426" s="36"/>
      <c r="CJ426" s="36"/>
      <c r="CK426" s="36"/>
      <c r="CL426" s="36"/>
      <c r="CM426" s="36"/>
      <c r="CN426" s="36"/>
      <c r="CO426" s="36"/>
      <c r="CP426" s="36"/>
      <c r="CQ426" s="36"/>
      <c r="CR426" s="36"/>
      <c r="CS426" s="36"/>
      <c r="CT426" s="36"/>
      <c r="CU426" s="36"/>
      <c r="CV426" s="36"/>
      <c r="CW426" s="36"/>
      <c r="CX426" s="36"/>
      <c r="CY426" s="36"/>
      <c r="CZ426" s="36"/>
      <c r="DA426" s="36"/>
      <c r="DB426" s="36"/>
      <c r="DC426" s="36"/>
      <c r="DD426" s="36"/>
      <c r="DE426" s="36"/>
      <c r="DF426" s="36"/>
      <c r="DG426" s="36"/>
      <c r="DH426" s="36"/>
      <c r="DI426" s="36"/>
      <c r="DJ426" s="36"/>
      <c r="DK426" s="36"/>
      <c r="DL426" s="36"/>
      <c r="DM426" s="36"/>
      <c r="DN426" s="36"/>
      <c r="DO426" s="36"/>
      <c r="DP426" s="36"/>
      <c r="DQ426" s="36"/>
      <c r="DR426" s="36"/>
      <c r="DS426" s="36"/>
      <c r="DT426" s="36"/>
      <c r="DU426" s="36"/>
      <c r="DV426" s="36"/>
      <c r="DW426" s="36"/>
      <c r="DX426" s="36"/>
      <c r="DY426" s="36"/>
      <c r="DZ426" s="36"/>
      <c r="EA426" s="36"/>
      <c r="EB426" s="36"/>
      <c r="EC426" s="36"/>
      <c r="ED426" s="36"/>
      <c r="EE426" s="36"/>
      <c r="EF426" s="36"/>
      <c r="EG426" s="36"/>
      <c r="EH426" s="36"/>
      <c r="EI426" s="36"/>
      <c r="EJ426" s="36"/>
      <c r="EK426" s="36"/>
      <c r="EL426" s="36"/>
      <c r="EM426" s="36"/>
      <c r="EN426" s="36"/>
      <c r="EO426" s="36"/>
      <c r="EP426" s="36"/>
      <c r="EQ426" s="36"/>
      <c r="ER426" s="36"/>
      <c r="ES426" s="36"/>
      <c r="ET426" s="36"/>
      <c r="EU426" s="36"/>
      <c r="EV426" s="36"/>
      <c r="EW426" s="36"/>
      <c r="EX426" s="36"/>
      <c r="EY426" s="36"/>
      <c r="EZ426" s="36"/>
      <c r="FA426" s="36"/>
      <c r="FB426" s="36"/>
      <c r="FC426" s="36"/>
      <c r="FD426" s="36"/>
      <c r="FE426" s="36"/>
      <c r="FF426" s="36"/>
      <c r="FG426" s="36">
        <v>1</v>
      </c>
      <c r="FH426" s="36"/>
      <c r="FI426" s="36"/>
      <c r="FJ426" s="36"/>
      <c r="FK426" s="36"/>
      <c r="FL426" s="36"/>
      <c r="FM426" s="36"/>
      <c r="FN426" s="36"/>
      <c r="FO426" s="36"/>
      <c r="FP426" s="36"/>
      <c r="FQ426" s="36"/>
      <c r="FR426" s="36"/>
      <c r="FS426" s="36"/>
      <c r="FT426" s="36"/>
      <c r="FU426" s="36"/>
      <c r="FV426" s="36"/>
      <c r="FW426" s="36"/>
      <c r="FX426" s="36"/>
      <c r="FY426" s="36"/>
      <c r="FZ426" s="36"/>
      <c r="GA426" s="36"/>
      <c r="GB426" s="319"/>
      <c r="GC426" s="179">
        <f t="shared" si="74"/>
        <v>0</v>
      </c>
      <c r="GD426" s="179">
        <f t="shared" si="75"/>
        <v>0</v>
      </c>
      <c r="GE426" s="179">
        <f t="shared" si="76"/>
        <v>0</v>
      </c>
      <c r="GF426" s="179">
        <f t="shared" si="77"/>
        <v>0</v>
      </c>
      <c r="GG426" s="179">
        <f t="shared" ref="GG426:GG460" si="78">$I426</f>
        <v>0</v>
      </c>
    </row>
    <row r="427" spans="1:189" x14ac:dyDescent="0.35">
      <c r="A427" s="5" t="s">
        <v>1684</v>
      </c>
      <c r="B427" s="6" t="str">
        <f>IF(Technologies!B427&lt;&gt;0,Technologies!B427,"")</f>
        <v/>
      </c>
      <c r="C427" s="5" t="str">
        <f>VLOOKUP($A427,Technologies!$A$7:$H$576,3,FALSE)</f>
        <v>Primary</v>
      </c>
      <c r="D427" s="5" t="str">
        <f>VLOOKUP($A427,Technologies!$A$7:$H$576,4,FALSE)</f>
        <v>Renewable</v>
      </c>
      <c r="E427" s="5" t="str">
        <f>VLOOKUP($A427,Technologies!$A$7:$H$576,6,FALSE)</f>
        <v>Vegetable Oil</v>
      </c>
      <c r="F427" s="5" t="str">
        <f>VLOOKUP($A427,Technologies!$A$7:$H$576,7,FALSE)</f>
        <v>Vegetable Oil</v>
      </c>
      <c r="G427" s="23"/>
      <c r="H427" s="23"/>
      <c r="I427" s="104" cm="1">
        <f t="array" ref="I427">-SUMPRODUCT((Feedstocks!$C$4:$C$141=A427)*Feedstocks!$E$4:$E$141,Feedstocks!$F$4:$F$141,Feedstocks!$H$4:$H$141,Feedstocks!$I$4:$I$141)</f>
        <v>0</v>
      </c>
      <c r="J427" s="104" cm="1">
        <f t="array" ref="J427">-SUMPRODUCT((Feedstocks!$C$4:$C$141=A427)*Feedstocks!$E$4:$E$141,Feedstocks!$H$4:$H$141,Feedstocks!$I$4:$I$141)</f>
        <v>0</v>
      </c>
      <c r="K427" s="104"/>
      <c r="L427" s="104"/>
      <c r="M427" s="23"/>
      <c r="N427" s="23" t="str">
        <f>VLOOKUP(E427,Activities!$A$9:$M$227,13,FALSE)</f>
        <v>NL</v>
      </c>
      <c r="O427" s="23"/>
      <c r="P427" s="79" t="s">
        <v>415</v>
      </c>
      <c r="Q427" s="35"/>
      <c r="R427" s="35"/>
      <c r="S427" s="35"/>
      <c r="T427" s="35"/>
      <c r="U427" s="35"/>
      <c r="V427" s="35"/>
      <c r="W427" s="35"/>
      <c r="X427" s="35"/>
      <c r="Y427" s="35"/>
      <c r="Z427" s="35"/>
      <c r="AA427" s="35"/>
      <c r="AB427" s="35"/>
      <c r="AC427" s="35"/>
      <c r="AD427" s="35"/>
      <c r="AE427" s="35"/>
      <c r="AF427" s="36"/>
      <c r="AG427" s="36"/>
      <c r="AH427" s="36"/>
      <c r="AI427" s="36"/>
      <c r="AJ427" s="36"/>
      <c r="AK427" s="36"/>
      <c r="AL427" s="36"/>
      <c r="AM427" s="36"/>
      <c r="AN427" s="36"/>
      <c r="AO427" s="36"/>
      <c r="AP427" s="35"/>
      <c r="AQ427" s="35"/>
      <c r="AR427" s="35"/>
      <c r="AS427" s="35"/>
      <c r="AT427" s="35"/>
      <c r="AU427" s="35"/>
      <c r="AV427" s="35"/>
      <c r="AW427" s="35"/>
      <c r="AX427" s="35"/>
      <c r="AY427" s="35"/>
      <c r="AZ427" s="35"/>
      <c r="BA427" s="35"/>
      <c r="BB427" s="35"/>
      <c r="BC427" s="35"/>
      <c r="BD427" s="35"/>
      <c r="BE427" s="35"/>
      <c r="BF427" s="35"/>
      <c r="BG427" s="35"/>
      <c r="BH427" s="35"/>
      <c r="BI427" s="35"/>
      <c r="BJ427" s="35"/>
      <c r="BK427" s="35"/>
      <c r="BL427" s="35"/>
      <c r="BM427" s="35"/>
      <c r="BN427" s="35"/>
      <c r="BO427" s="35"/>
      <c r="BP427" s="35"/>
      <c r="BQ427" s="35"/>
      <c r="BR427" s="35"/>
      <c r="BS427" s="35"/>
      <c r="BT427" s="35"/>
      <c r="BU427" s="35"/>
      <c r="BV427" s="35"/>
      <c r="BW427" s="35"/>
      <c r="BX427" s="35"/>
      <c r="BY427" s="35"/>
      <c r="BZ427" s="35"/>
      <c r="CA427" s="35"/>
      <c r="CB427" s="35"/>
      <c r="CC427" s="35"/>
      <c r="CD427" s="35"/>
      <c r="CE427" s="35"/>
      <c r="CF427" s="35"/>
      <c r="CG427" s="35"/>
      <c r="CH427" s="35"/>
      <c r="CI427" s="35"/>
      <c r="CJ427" s="35"/>
      <c r="CK427" s="35"/>
      <c r="CL427" s="35"/>
      <c r="CM427" s="35"/>
      <c r="CN427" s="35"/>
      <c r="CO427" s="35"/>
      <c r="CP427" s="35"/>
      <c r="CQ427" s="35"/>
      <c r="CR427" s="35"/>
      <c r="CS427" s="35"/>
      <c r="CT427" s="35"/>
      <c r="CU427" s="35"/>
      <c r="CV427" s="35"/>
      <c r="CW427" s="35"/>
      <c r="CX427" s="35"/>
      <c r="CY427" s="35"/>
      <c r="CZ427" s="35"/>
      <c r="DA427" s="35"/>
      <c r="DB427" s="35"/>
      <c r="DC427" s="35"/>
      <c r="DD427" s="35"/>
      <c r="DE427" s="35"/>
      <c r="DF427" s="35"/>
      <c r="DG427" s="35"/>
      <c r="DH427" s="35"/>
      <c r="DI427" s="35"/>
      <c r="DJ427" s="35"/>
      <c r="DK427" s="35"/>
      <c r="DL427" s="35"/>
      <c r="DM427" s="35"/>
      <c r="DN427" s="35"/>
      <c r="DO427" s="35"/>
      <c r="DP427" s="35"/>
      <c r="DQ427" s="35"/>
      <c r="DR427" s="35"/>
      <c r="DS427" s="35"/>
      <c r="DT427" s="35"/>
      <c r="DU427" s="35"/>
      <c r="DV427" s="35"/>
      <c r="DW427" s="35"/>
      <c r="DX427" s="35"/>
      <c r="DY427" s="35"/>
      <c r="DZ427" s="35"/>
      <c r="EA427" s="35"/>
      <c r="EB427" s="35"/>
      <c r="EC427" s="35"/>
      <c r="ED427" s="35"/>
      <c r="EE427" s="35"/>
      <c r="EF427" s="35"/>
      <c r="EG427" s="35"/>
      <c r="EH427" s="35"/>
      <c r="EI427" s="35"/>
      <c r="EJ427" s="35"/>
      <c r="EK427" s="35"/>
      <c r="EL427" s="35"/>
      <c r="EM427" s="35"/>
      <c r="EN427" s="35"/>
      <c r="EO427" s="35"/>
      <c r="EP427" s="35"/>
      <c r="EQ427" s="35"/>
      <c r="ER427" s="35"/>
      <c r="ES427" s="35"/>
      <c r="ET427" s="35"/>
      <c r="EU427" s="35"/>
      <c r="EV427" s="35"/>
      <c r="EW427" s="35"/>
      <c r="EX427" s="35"/>
      <c r="EY427" s="35"/>
      <c r="EZ427" s="35"/>
      <c r="FA427" s="35"/>
      <c r="FB427" s="35"/>
      <c r="FC427" s="35"/>
      <c r="FD427" s="35"/>
      <c r="FE427" s="35"/>
      <c r="FF427" s="35"/>
      <c r="FG427" s="35"/>
      <c r="FH427" s="35">
        <v>1</v>
      </c>
      <c r="FI427" s="35"/>
      <c r="FJ427" s="35"/>
      <c r="FK427" s="35"/>
      <c r="FL427" s="35"/>
      <c r="FM427" s="35"/>
      <c r="FN427" s="35"/>
      <c r="FO427" s="35"/>
      <c r="FP427" s="35"/>
      <c r="FQ427" s="35"/>
      <c r="FR427" s="35"/>
      <c r="FS427" s="35"/>
      <c r="FT427" s="35"/>
      <c r="FU427" s="35"/>
      <c r="FV427" s="35"/>
      <c r="FW427" s="35"/>
      <c r="FX427" s="35"/>
      <c r="FY427" s="35"/>
      <c r="FZ427" s="35"/>
      <c r="GA427" s="35"/>
      <c r="GB427" s="318"/>
      <c r="GC427" s="178">
        <f t="shared" si="74"/>
        <v>0</v>
      </c>
      <c r="GD427" s="178">
        <f t="shared" si="75"/>
        <v>0</v>
      </c>
      <c r="GE427" s="178">
        <f t="shared" si="76"/>
        <v>0</v>
      </c>
      <c r="GF427" s="178">
        <f t="shared" si="77"/>
        <v>0</v>
      </c>
      <c r="GG427" s="178">
        <f t="shared" si="78"/>
        <v>0</v>
      </c>
    </row>
    <row r="428" spans="1:189" x14ac:dyDescent="0.35">
      <c r="A428" s="6" t="s">
        <v>1685</v>
      </c>
      <c r="B428" s="6" t="str">
        <f>IF(Technologies!B428&lt;&gt;0,Technologies!B428,"")</f>
        <v/>
      </c>
      <c r="C428" s="6" t="str">
        <f>VLOOKUP($A428,Technologies!$A$7:$H$576,3,FALSE)</f>
        <v>Primary</v>
      </c>
      <c r="D428" s="6" t="str">
        <f>VLOOKUP($A428,Technologies!$A$7:$H$576,4,FALSE)</f>
        <v>Renewable</v>
      </c>
      <c r="E428" s="6" t="str">
        <f>VLOOKUP($A428,Technologies!$A$7:$H$576,6,FALSE)</f>
        <v>Vegetable Oil</v>
      </c>
      <c r="F428" s="48" t="str">
        <f>VLOOKUP($A428,Technologies!$A$7:$H$576,7,FALSE)</f>
        <v>Imported Vegetable Oil</v>
      </c>
      <c r="G428" s="22"/>
      <c r="H428" s="22"/>
      <c r="I428" s="103" cm="1">
        <f t="array" ref="I428">-SUMPRODUCT((Feedstocks!$C$4:$C$141=A428)*Feedstocks!$E$4:$E$141,Feedstocks!$F$4:$F$141,Feedstocks!$H$4:$H$141,Feedstocks!$I$4:$I$141)</f>
        <v>0</v>
      </c>
      <c r="J428" s="103" cm="1">
        <f t="array" ref="J428">-SUMPRODUCT((Feedstocks!$C$4:$C$141=A428)*Feedstocks!$E$4:$E$141,Feedstocks!$H$4:$H$141,Feedstocks!$I$4:$I$141)</f>
        <v>0</v>
      </c>
      <c r="K428" s="103"/>
      <c r="L428" s="103"/>
      <c r="M428" s="22"/>
      <c r="N428" s="22" t="str">
        <f>VLOOKUP(E428,Activities!$A$9:$M$227,13,FALSE)</f>
        <v>NL</v>
      </c>
      <c r="O428" s="22"/>
      <c r="P428" s="80" t="s">
        <v>415</v>
      </c>
      <c r="Q428" s="36"/>
      <c r="R428" s="36"/>
      <c r="S428" s="36"/>
      <c r="T428" s="36"/>
      <c r="U428" s="36"/>
      <c r="V428" s="36"/>
      <c r="W428" s="36"/>
      <c r="X428" s="36"/>
      <c r="Y428" s="36"/>
      <c r="Z428" s="36"/>
      <c r="AA428" s="36"/>
      <c r="AB428" s="36"/>
      <c r="AC428" s="36"/>
      <c r="AD428" s="36"/>
      <c r="AE428" s="36"/>
      <c r="AF428" s="35"/>
      <c r="AG428" s="35"/>
      <c r="AH428" s="35"/>
      <c r="AI428" s="35"/>
      <c r="AJ428" s="35"/>
      <c r="AK428" s="35"/>
      <c r="AL428" s="35"/>
      <c r="AM428" s="35"/>
      <c r="AN428" s="35"/>
      <c r="AO428" s="35"/>
      <c r="AP428" s="36"/>
      <c r="AQ428" s="36"/>
      <c r="AR428" s="36"/>
      <c r="AS428" s="36"/>
      <c r="AT428" s="36"/>
      <c r="AU428" s="36"/>
      <c r="AV428" s="36"/>
      <c r="AW428" s="36"/>
      <c r="AX428" s="36"/>
      <c r="AY428" s="36"/>
      <c r="AZ428" s="36"/>
      <c r="BA428" s="36"/>
      <c r="BB428" s="36"/>
      <c r="BC428" s="36"/>
      <c r="BD428" s="36"/>
      <c r="BE428" s="36"/>
      <c r="BF428" s="36"/>
      <c r="BG428" s="36"/>
      <c r="BH428" s="36"/>
      <c r="BI428" s="36"/>
      <c r="BJ428" s="36"/>
      <c r="BK428" s="36"/>
      <c r="BL428" s="36"/>
      <c r="BM428" s="36"/>
      <c r="BN428" s="36"/>
      <c r="BO428" s="36"/>
      <c r="BP428" s="36"/>
      <c r="BQ428" s="36"/>
      <c r="BR428" s="36"/>
      <c r="BS428" s="36"/>
      <c r="BT428" s="36"/>
      <c r="BU428" s="36"/>
      <c r="BV428" s="36"/>
      <c r="BW428" s="36"/>
      <c r="BX428" s="36"/>
      <c r="BY428" s="36"/>
      <c r="BZ428" s="36"/>
      <c r="CA428" s="36"/>
      <c r="CB428" s="36"/>
      <c r="CC428" s="36"/>
      <c r="CD428" s="36"/>
      <c r="CE428" s="36"/>
      <c r="CF428" s="36"/>
      <c r="CG428" s="36"/>
      <c r="CH428" s="36"/>
      <c r="CI428" s="36"/>
      <c r="CJ428" s="36"/>
      <c r="CK428" s="36"/>
      <c r="CL428" s="36"/>
      <c r="CM428" s="36"/>
      <c r="CN428" s="36"/>
      <c r="CO428" s="36"/>
      <c r="CP428" s="36"/>
      <c r="CQ428" s="36"/>
      <c r="CR428" s="36"/>
      <c r="CS428" s="36"/>
      <c r="CT428" s="36"/>
      <c r="CU428" s="36"/>
      <c r="CV428" s="36"/>
      <c r="CW428" s="36"/>
      <c r="CX428" s="36"/>
      <c r="CY428" s="36"/>
      <c r="CZ428" s="36"/>
      <c r="DA428" s="36"/>
      <c r="DB428" s="36"/>
      <c r="DC428" s="36"/>
      <c r="DD428" s="36"/>
      <c r="DE428" s="36"/>
      <c r="DF428" s="36"/>
      <c r="DG428" s="36"/>
      <c r="DH428" s="36"/>
      <c r="DI428" s="36"/>
      <c r="DJ428" s="36"/>
      <c r="DK428" s="36"/>
      <c r="DL428" s="36"/>
      <c r="DM428" s="36"/>
      <c r="DN428" s="36"/>
      <c r="DO428" s="36"/>
      <c r="DP428" s="36"/>
      <c r="DQ428" s="36"/>
      <c r="DR428" s="36"/>
      <c r="DS428" s="36"/>
      <c r="DT428" s="36"/>
      <c r="DU428" s="36"/>
      <c r="DV428" s="36"/>
      <c r="DW428" s="36"/>
      <c r="DX428" s="36"/>
      <c r="DY428" s="36"/>
      <c r="DZ428" s="36"/>
      <c r="EA428" s="36"/>
      <c r="EB428" s="36"/>
      <c r="EC428" s="36"/>
      <c r="ED428" s="36"/>
      <c r="EE428" s="36"/>
      <c r="EF428" s="36"/>
      <c r="EG428" s="36"/>
      <c r="EH428" s="36"/>
      <c r="EI428" s="36"/>
      <c r="EJ428" s="36"/>
      <c r="EK428" s="36"/>
      <c r="EL428" s="36"/>
      <c r="EM428" s="36"/>
      <c r="EN428" s="36"/>
      <c r="EO428" s="36"/>
      <c r="EP428" s="36"/>
      <c r="EQ428" s="36"/>
      <c r="ER428" s="36"/>
      <c r="ES428" s="36"/>
      <c r="ET428" s="36"/>
      <c r="EU428" s="36"/>
      <c r="EV428" s="36"/>
      <c r="EW428" s="36"/>
      <c r="EX428" s="36"/>
      <c r="EY428" s="36"/>
      <c r="EZ428" s="36"/>
      <c r="FA428" s="36"/>
      <c r="FB428" s="36"/>
      <c r="FC428" s="36"/>
      <c r="FD428" s="36"/>
      <c r="FE428" s="36"/>
      <c r="FF428" s="36"/>
      <c r="FG428" s="36"/>
      <c r="FH428" s="36">
        <v>1</v>
      </c>
      <c r="FI428" s="36"/>
      <c r="FJ428" s="36"/>
      <c r="FK428" s="36"/>
      <c r="FL428" s="36"/>
      <c r="FM428" s="36"/>
      <c r="FN428" s="36"/>
      <c r="FO428" s="36"/>
      <c r="FP428" s="36"/>
      <c r="FQ428" s="36"/>
      <c r="FR428" s="36"/>
      <c r="FS428" s="36"/>
      <c r="FT428" s="36"/>
      <c r="FU428" s="36"/>
      <c r="FV428" s="36"/>
      <c r="FW428" s="36"/>
      <c r="FX428" s="36"/>
      <c r="FY428" s="36"/>
      <c r="FZ428" s="36"/>
      <c r="GA428" s="36"/>
      <c r="GB428" s="319"/>
      <c r="GC428" s="179">
        <f t="shared" si="74"/>
        <v>0</v>
      </c>
      <c r="GD428" s="179">
        <f t="shared" si="75"/>
        <v>0</v>
      </c>
      <c r="GE428" s="179">
        <f t="shared" si="76"/>
        <v>0</v>
      </c>
      <c r="GF428" s="179">
        <f t="shared" si="77"/>
        <v>0</v>
      </c>
      <c r="GG428" s="179">
        <f t="shared" si="78"/>
        <v>0</v>
      </c>
    </row>
    <row r="429" spans="1:189" x14ac:dyDescent="0.35">
      <c r="A429" s="6" t="s">
        <v>1687</v>
      </c>
      <c r="B429" s="6" t="str">
        <f>IF(Technologies!B429&lt;&gt;0,Technologies!B429,"")</f>
        <v/>
      </c>
      <c r="C429" s="6" t="str">
        <f>VLOOKUP($A429,Technologies!$A$7:$H$576,3,FALSE)</f>
        <v>Primary</v>
      </c>
      <c r="D429" s="6" t="str">
        <f>VLOOKUP($A429,Technologies!$A$7:$H$576,4,FALSE)</f>
        <v>Renewable</v>
      </c>
      <c r="E429" s="6" t="str">
        <f>VLOOKUP($A429,Technologies!$A$7:$H$576,6,FALSE)</f>
        <v>Biomethane</v>
      </c>
      <c r="F429" s="48" t="str">
        <f>VLOOKUP($A429,Technologies!$A$7:$H$576,7,FALSE)</f>
        <v>Imported biomethane</v>
      </c>
      <c r="G429" s="22"/>
      <c r="H429" s="22"/>
      <c r="I429" s="103" cm="1">
        <f t="array" ref="I429">-SUMPRODUCT((Feedstocks!$C$4:$C$141=A429)*Feedstocks!$E$4:$E$141,Feedstocks!$F$4:$F$141,Feedstocks!$H$4:$H$141,Feedstocks!$I$4:$I$141)</f>
        <v>0</v>
      </c>
      <c r="J429" s="103" cm="1">
        <f t="array" ref="J429">-SUMPRODUCT((Feedstocks!$C$4:$C$141=A429)*Feedstocks!$E$4:$E$141,Feedstocks!$H$4:$H$141,Feedstocks!$I$4:$I$141)</f>
        <v>0</v>
      </c>
      <c r="K429" s="103"/>
      <c r="L429" s="103"/>
      <c r="M429" s="22"/>
      <c r="N429" s="22" t="s">
        <v>320</v>
      </c>
      <c r="O429" s="22"/>
      <c r="P429" s="80"/>
      <c r="Q429" s="36"/>
      <c r="R429" s="36"/>
      <c r="S429" s="36"/>
      <c r="T429" s="36"/>
      <c r="U429" s="36"/>
      <c r="V429" s="36"/>
      <c r="W429" s="36"/>
      <c r="X429" s="36"/>
      <c r="Y429" s="36"/>
      <c r="Z429" s="36"/>
      <c r="AA429" s="36"/>
      <c r="AB429" s="36"/>
      <c r="AC429" s="36"/>
      <c r="AD429" s="36"/>
      <c r="AE429" s="36"/>
      <c r="AF429" s="35"/>
      <c r="AG429" s="35"/>
      <c r="AH429" s="35"/>
      <c r="AI429" s="35"/>
      <c r="AJ429" s="35"/>
      <c r="AK429" s="35"/>
      <c r="AL429" s="35"/>
      <c r="AM429" s="35"/>
      <c r="AN429" s="35"/>
      <c r="AO429" s="35"/>
      <c r="AP429" s="36"/>
      <c r="AQ429" s="36"/>
      <c r="AR429" s="36"/>
      <c r="AS429" s="36"/>
      <c r="AT429" s="36"/>
      <c r="AU429" s="36"/>
      <c r="AV429" s="36"/>
      <c r="AW429" s="36"/>
      <c r="AX429" s="36"/>
      <c r="AY429" s="36"/>
      <c r="AZ429" s="36"/>
      <c r="BA429" s="36"/>
      <c r="BB429" s="36"/>
      <c r="BC429" s="36"/>
      <c r="BD429" s="36"/>
      <c r="BE429" s="36"/>
      <c r="BF429" s="36"/>
      <c r="BG429" s="36"/>
      <c r="BH429" s="36"/>
      <c r="BI429" s="36"/>
      <c r="BJ429" s="36"/>
      <c r="BK429" s="36"/>
      <c r="BL429" s="36"/>
      <c r="BM429" s="36"/>
      <c r="BN429" s="36"/>
      <c r="BO429" s="36"/>
      <c r="BP429" s="36"/>
      <c r="BQ429" s="36"/>
      <c r="BR429" s="36"/>
      <c r="BS429" s="36"/>
      <c r="BT429" s="36"/>
      <c r="BU429" s="36"/>
      <c r="BV429" s="36"/>
      <c r="BW429" s="36"/>
      <c r="BX429" s="36"/>
      <c r="BY429" s="36"/>
      <c r="BZ429" s="36"/>
      <c r="CA429" s="36"/>
      <c r="CB429" s="36"/>
      <c r="CC429" s="36"/>
      <c r="CD429" s="36"/>
      <c r="CE429" s="36"/>
      <c r="CF429" s="36"/>
      <c r="CG429" s="36"/>
      <c r="CH429" s="36"/>
      <c r="CI429" s="36"/>
      <c r="CJ429" s="36"/>
      <c r="CK429" s="36"/>
      <c r="CL429" s="36"/>
      <c r="CM429" s="36"/>
      <c r="CN429" s="36"/>
      <c r="CO429" s="36"/>
      <c r="CP429" s="36"/>
      <c r="CQ429" s="36"/>
      <c r="CR429" s="36"/>
      <c r="CS429" s="36"/>
      <c r="CT429" s="36"/>
      <c r="CU429" s="36"/>
      <c r="CV429" s="36"/>
      <c r="CW429" s="36"/>
      <c r="CX429" s="36"/>
      <c r="CY429" s="36"/>
      <c r="CZ429" s="36"/>
      <c r="DA429" s="36"/>
      <c r="DB429" s="36"/>
      <c r="DC429" s="36"/>
      <c r="DD429" s="36"/>
      <c r="DE429" s="36"/>
      <c r="DF429" s="36"/>
      <c r="DG429" s="36"/>
      <c r="DH429" s="36"/>
      <c r="DI429" s="36"/>
      <c r="DJ429" s="36"/>
      <c r="DK429" s="36"/>
      <c r="DL429" s="36"/>
      <c r="DM429" s="36"/>
      <c r="DN429" s="36"/>
      <c r="DO429" s="36"/>
      <c r="DP429" s="36"/>
      <c r="DQ429" s="36"/>
      <c r="DR429" s="36"/>
      <c r="DS429" s="36"/>
      <c r="DT429" s="36"/>
      <c r="DU429" s="36"/>
      <c r="DV429" s="36"/>
      <c r="DW429" s="36"/>
      <c r="DX429" s="36"/>
      <c r="DY429" s="36"/>
      <c r="DZ429" s="36"/>
      <c r="EA429" s="36"/>
      <c r="EB429" s="36"/>
      <c r="EC429" s="36"/>
      <c r="ED429" s="36"/>
      <c r="EE429" s="36"/>
      <c r="EF429" s="36"/>
      <c r="EG429" s="36"/>
      <c r="EH429" s="36"/>
      <c r="EI429" s="36"/>
      <c r="EJ429" s="36"/>
      <c r="EK429" s="36"/>
      <c r="EL429" s="36"/>
      <c r="EM429" s="36"/>
      <c r="EN429" s="36"/>
      <c r="EO429" s="36"/>
      <c r="EP429" s="36"/>
      <c r="EQ429" s="36"/>
      <c r="ER429" s="36"/>
      <c r="ES429" s="36"/>
      <c r="ET429" s="36"/>
      <c r="EU429" s="36"/>
      <c r="EV429" s="36"/>
      <c r="EW429" s="36"/>
      <c r="EX429" s="36"/>
      <c r="EY429" s="36"/>
      <c r="EZ429" s="36"/>
      <c r="FA429" s="36"/>
      <c r="FB429" s="36"/>
      <c r="FC429" s="36"/>
      <c r="FD429" s="36"/>
      <c r="FE429" s="36"/>
      <c r="FF429" s="36"/>
      <c r="FG429" s="36"/>
      <c r="FH429" s="36"/>
      <c r="FI429" s="36">
        <v>1</v>
      </c>
      <c r="FJ429" s="36"/>
      <c r="FK429" s="36"/>
      <c r="FL429" s="36"/>
      <c r="FM429" s="36"/>
      <c r="FN429" s="36"/>
      <c r="FO429" s="36"/>
      <c r="FP429" s="36"/>
      <c r="FQ429" s="36"/>
      <c r="FR429" s="36"/>
      <c r="FS429" s="36"/>
      <c r="FT429" s="36"/>
      <c r="FU429" s="36"/>
      <c r="FV429" s="36"/>
      <c r="FW429" s="36"/>
      <c r="FX429" s="36"/>
      <c r="FY429" s="36"/>
      <c r="FZ429" s="36"/>
      <c r="GA429" s="36"/>
      <c r="GB429" s="319"/>
      <c r="GC429" s="179">
        <f t="shared" si="74"/>
        <v>0</v>
      </c>
      <c r="GD429" s="179">
        <f t="shared" si="75"/>
        <v>0</v>
      </c>
      <c r="GE429" s="179">
        <f t="shared" si="76"/>
        <v>0</v>
      </c>
      <c r="GF429" s="179">
        <f t="shared" si="77"/>
        <v>0</v>
      </c>
      <c r="GG429" s="179">
        <f t="shared" si="78"/>
        <v>0</v>
      </c>
    </row>
    <row r="430" spans="1:189" x14ac:dyDescent="0.35">
      <c r="A430" s="5" t="s">
        <v>1689</v>
      </c>
      <c r="B430" s="6" t="str">
        <f>IF(Technologies!B430&lt;&gt;0,Technologies!B430,"")</f>
        <v/>
      </c>
      <c r="C430" s="5" t="str">
        <f>VLOOKUP($A430,Technologies!$A$7:$H$576,3,FALSE)</f>
        <v>Primary</v>
      </c>
      <c r="D430" s="5" t="str">
        <f>VLOOKUP($A430,Technologies!$A$7:$H$576,4,FALSE)</f>
        <v>Renewable</v>
      </c>
      <c r="E430" s="5" t="str">
        <f>VLOOKUP($A430,Technologies!$A$7:$H$576,6,FALSE)</f>
        <v>Wind Energy</v>
      </c>
      <c r="F430" s="5" t="str">
        <f>VLOOKUP($A430,Technologies!$A$7:$H$576,7,FALSE)</f>
        <v>Wind Energy</v>
      </c>
      <c r="G430" s="23"/>
      <c r="H430" s="23"/>
      <c r="I430" s="104" cm="1">
        <f t="array" ref="I430">-SUMPRODUCT((Feedstocks!$C$4:$C$141=A430)*Feedstocks!$E$4:$E$141,Feedstocks!$F$4:$F$141,Feedstocks!$H$4:$H$141,Feedstocks!$I$4:$I$141)</f>
        <v>0</v>
      </c>
      <c r="J430" s="104" cm="1">
        <f t="array" ref="J430">-SUMPRODUCT((Feedstocks!$C$4:$C$141=A430)*Feedstocks!$E$4:$E$141,Feedstocks!$H$4:$H$141,Feedstocks!$I$4:$I$141)</f>
        <v>0</v>
      </c>
      <c r="K430" s="104"/>
      <c r="L430" s="104"/>
      <c r="M430" s="23"/>
      <c r="N430" s="23" t="str">
        <f>VLOOKUP(E430,Activities!$A$9:$M$227,13,FALSE)</f>
        <v>NL</v>
      </c>
      <c r="O430" s="23"/>
      <c r="P430" s="79" t="s">
        <v>415</v>
      </c>
      <c r="Q430" s="35"/>
      <c r="R430" s="35"/>
      <c r="S430" s="35"/>
      <c r="T430" s="35"/>
      <c r="U430" s="35"/>
      <c r="V430" s="35"/>
      <c r="W430" s="35"/>
      <c r="X430" s="35"/>
      <c r="Y430" s="35"/>
      <c r="Z430" s="35"/>
      <c r="AA430" s="35"/>
      <c r="AB430" s="35"/>
      <c r="AC430" s="35"/>
      <c r="AD430" s="35"/>
      <c r="AE430" s="35"/>
      <c r="AF430" s="36"/>
      <c r="AG430" s="36"/>
      <c r="AH430" s="36"/>
      <c r="AI430" s="36"/>
      <c r="AJ430" s="36"/>
      <c r="AK430" s="36"/>
      <c r="AL430" s="36"/>
      <c r="AM430" s="36"/>
      <c r="AN430" s="36"/>
      <c r="AO430" s="36"/>
      <c r="AP430" s="35"/>
      <c r="AQ430" s="35"/>
      <c r="AR430" s="35"/>
      <c r="AS430" s="35"/>
      <c r="AT430" s="35"/>
      <c r="AU430" s="35"/>
      <c r="AV430" s="35"/>
      <c r="AW430" s="35"/>
      <c r="AX430" s="35"/>
      <c r="AY430" s="35"/>
      <c r="AZ430" s="35"/>
      <c r="BA430" s="35"/>
      <c r="BB430" s="35"/>
      <c r="BC430" s="35"/>
      <c r="BD430" s="35"/>
      <c r="BE430" s="35"/>
      <c r="BF430" s="35"/>
      <c r="BG430" s="35"/>
      <c r="BH430" s="35"/>
      <c r="BI430" s="35"/>
      <c r="BJ430" s="35"/>
      <c r="BK430" s="35"/>
      <c r="BL430" s="35"/>
      <c r="BM430" s="35"/>
      <c r="BN430" s="35"/>
      <c r="BO430" s="35"/>
      <c r="BP430" s="35"/>
      <c r="BQ430" s="35"/>
      <c r="BR430" s="35"/>
      <c r="BS430" s="35"/>
      <c r="BT430" s="35"/>
      <c r="BU430" s="35"/>
      <c r="BV430" s="35"/>
      <c r="BW430" s="35"/>
      <c r="BX430" s="35"/>
      <c r="BY430" s="35"/>
      <c r="BZ430" s="35"/>
      <c r="CA430" s="35"/>
      <c r="CB430" s="35"/>
      <c r="CC430" s="35"/>
      <c r="CD430" s="35"/>
      <c r="CE430" s="35"/>
      <c r="CF430" s="35"/>
      <c r="CG430" s="35"/>
      <c r="CH430" s="35"/>
      <c r="CI430" s="35"/>
      <c r="CJ430" s="35"/>
      <c r="CK430" s="35"/>
      <c r="CL430" s="35"/>
      <c r="CM430" s="35"/>
      <c r="CN430" s="35"/>
      <c r="CO430" s="35"/>
      <c r="CP430" s="35"/>
      <c r="CQ430" s="35"/>
      <c r="CR430" s="35"/>
      <c r="CS430" s="35"/>
      <c r="CT430" s="35"/>
      <c r="CU430" s="35"/>
      <c r="CV430" s="35"/>
      <c r="CW430" s="35"/>
      <c r="CX430" s="35"/>
      <c r="CY430" s="35"/>
      <c r="CZ430" s="35"/>
      <c r="DA430" s="35"/>
      <c r="DB430" s="35"/>
      <c r="DC430" s="35"/>
      <c r="DD430" s="35"/>
      <c r="DE430" s="35"/>
      <c r="DF430" s="35"/>
      <c r="DG430" s="35"/>
      <c r="DH430" s="35"/>
      <c r="DI430" s="35"/>
      <c r="DJ430" s="35"/>
      <c r="DK430" s="35"/>
      <c r="DL430" s="35"/>
      <c r="DM430" s="35"/>
      <c r="DN430" s="35"/>
      <c r="DO430" s="35"/>
      <c r="DP430" s="35"/>
      <c r="DQ430" s="35"/>
      <c r="DR430" s="35"/>
      <c r="DS430" s="35"/>
      <c r="DT430" s="35"/>
      <c r="DU430" s="35"/>
      <c r="DV430" s="35"/>
      <c r="DW430" s="35"/>
      <c r="DX430" s="35"/>
      <c r="DY430" s="35"/>
      <c r="DZ430" s="35"/>
      <c r="EA430" s="35"/>
      <c r="EB430" s="35"/>
      <c r="EC430" s="35"/>
      <c r="ED430" s="35"/>
      <c r="EE430" s="35"/>
      <c r="EF430" s="35"/>
      <c r="EG430" s="35"/>
      <c r="EH430" s="35"/>
      <c r="EI430" s="35"/>
      <c r="EJ430" s="35"/>
      <c r="EK430" s="35"/>
      <c r="EL430" s="35"/>
      <c r="EM430" s="35"/>
      <c r="EN430" s="35"/>
      <c r="EO430" s="35"/>
      <c r="EP430" s="35"/>
      <c r="EQ430" s="35"/>
      <c r="ER430" s="35"/>
      <c r="ES430" s="35"/>
      <c r="ET430" s="35"/>
      <c r="EU430" s="35"/>
      <c r="EV430" s="35"/>
      <c r="EW430" s="35"/>
      <c r="EX430" s="35"/>
      <c r="EY430" s="35"/>
      <c r="EZ430" s="35"/>
      <c r="FA430" s="35"/>
      <c r="FB430" s="35"/>
      <c r="FC430" s="35"/>
      <c r="FD430" s="35"/>
      <c r="FE430" s="35"/>
      <c r="FF430" s="35"/>
      <c r="FG430" s="35"/>
      <c r="FH430" s="35"/>
      <c r="FI430" s="35"/>
      <c r="FJ430" s="35">
        <v>1</v>
      </c>
      <c r="FK430" s="35"/>
      <c r="FL430" s="35"/>
      <c r="FM430" s="35"/>
      <c r="FN430" s="35"/>
      <c r="FO430" s="35"/>
      <c r="FP430" s="35"/>
      <c r="FQ430" s="35"/>
      <c r="FR430" s="35"/>
      <c r="FS430" s="35"/>
      <c r="FT430" s="35"/>
      <c r="FU430" s="35"/>
      <c r="FV430" s="35"/>
      <c r="FW430" s="35"/>
      <c r="FX430" s="35"/>
      <c r="FY430" s="35"/>
      <c r="FZ430" s="35"/>
      <c r="GA430" s="35"/>
      <c r="GB430" s="318"/>
      <c r="GC430" s="178">
        <f t="shared" si="74"/>
        <v>0</v>
      </c>
      <c r="GD430" s="178">
        <f t="shared" si="75"/>
        <v>0</v>
      </c>
      <c r="GE430" s="178">
        <f t="shared" si="76"/>
        <v>0</v>
      </c>
      <c r="GF430" s="178">
        <f t="shared" si="77"/>
        <v>0</v>
      </c>
      <c r="GG430" s="178">
        <f t="shared" si="78"/>
        <v>0</v>
      </c>
    </row>
    <row r="431" spans="1:189" x14ac:dyDescent="0.35">
      <c r="A431" s="6" t="s">
        <v>1690</v>
      </c>
      <c r="B431" s="6" t="str">
        <f>IF(Technologies!B431&lt;&gt;0,Technologies!B431,"")</f>
        <v/>
      </c>
      <c r="C431" s="6" t="str">
        <f>VLOOKUP($A431,Technologies!$A$7:$H$576,3,FALSE)</f>
        <v>Primary</v>
      </c>
      <c r="D431" s="6" t="str">
        <f>VLOOKUP($A431,Technologies!$A$7:$H$576,4,FALSE)</f>
        <v>Renewable</v>
      </c>
      <c r="E431" s="6" t="str">
        <f>VLOOKUP($A431,Technologies!$A$7:$H$576,6,FALSE)</f>
        <v>Solar Energy</v>
      </c>
      <c r="F431" s="48" t="str">
        <f>VLOOKUP($A431,Technologies!$A$7:$H$576,7,FALSE)</f>
        <v>Solar Energy</v>
      </c>
      <c r="G431" s="22"/>
      <c r="H431" s="22"/>
      <c r="I431" s="103" cm="1">
        <f t="array" ref="I431">-SUMPRODUCT((Feedstocks!$C$4:$C$141=A431)*Feedstocks!$E$4:$E$141,Feedstocks!$F$4:$F$141,Feedstocks!$H$4:$H$141,Feedstocks!$I$4:$I$141)</f>
        <v>0</v>
      </c>
      <c r="J431" s="103" cm="1">
        <f t="array" ref="J431">-SUMPRODUCT((Feedstocks!$C$4:$C$141=A431)*Feedstocks!$E$4:$E$141,Feedstocks!$H$4:$H$141,Feedstocks!$I$4:$I$141)</f>
        <v>0</v>
      </c>
      <c r="K431" s="103"/>
      <c r="L431" s="103"/>
      <c r="M431" s="22"/>
      <c r="N431" s="22" t="str">
        <f>VLOOKUP(E431,Activities!$A$9:$M$227,13,FALSE)</f>
        <v>NL</v>
      </c>
      <c r="O431" s="22"/>
      <c r="P431" s="80" t="s">
        <v>415</v>
      </c>
      <c r="Q431" s="36"/>
      <c r="R431" s="36"/>
      <c r="S431" s="36"/>
      <c r="T431" s="36"/>
      <c r="U431" s="36"/>
      <c r="V431" s="36"/>
      <c r="W431" s="36"/>
      <c r="X431" s="36"/>
      <c r="Y431" s="36"/>
      <c r="Z431" s="36"/>
      <c r="AA431" s="36"/>
      <c r="AB431" s="36"/>
      <c r="AC431" s="36"/>
      <c r="AD431" s="36"/>
      <c r="AE431" s="36"/>
      <c r="AF431" s="35"/>
      <c r="AG431" s="35"/>
      <c r="AH431" s="35"/>
      <c r="AI431" s="35"/>
      <c r="AJ431" s="35"/>
      <c r="AK431" s="35"/>
      <c r="AL431" s="35"/>
      <c r="AM431" s="35"/>
      <c r="AN431" s="35"/>
      <c r="AO431" s="35"/>
      <c r="AP431" s="36"/>
      <c r="AQ431" s="36"/>
      <c r="AR431" s="36"/>
      <c r="AS431" s="36"/>
      <c r="AT431" s="36"/>
      <c r="AU431" s="36"/>
      <c r="AV431" s="36"/>
      <c r="AW431" s="36"/>
      <c r="AX431" s="36"/>
      <c r="AY431" s="36"/>
      <c r="AZ431" s="36"/>
      <c r="BA431" s="36"/>
      <c r="BB431" s="36"/>
      <c r="BC431" s="36"/>
      <c r="BD431" s="36"/>
      <c r="BE431" s="36"/>
      <c r="BF431" s="36"/>
      <c r="BG431" s="36"/>
      <c r="BH431" s="36"/>
      <c r="BI431" s="36"/>
      <c r="BJ431" s="36"/>
      <c r="BK431" s="36"/>
      <c r="BL431" s="36"/>
      <c r="BM431" s="36"/>
      <c r="BN431" s="36"/>
      <c r="BO431" s="36"/>
      <c r="BP431" s="36"/>
      <c r="BQ431" s="36"/>
      <c r="BR431" s="36"/>
      <c r="BS431" s="36"/>
      <c r="BT431" s="36"/>
      <c r="BU431" s="36"/>
      <c r="BV431" s="36"/>
      <c r="BW431" s="36"/>
      <c r="BX431" s="36"/>
      <c r="BY431" s="36"/>
      <c r="BZ431" s="36"/>
      <c r="CA431" s="36"/>
      <c r="CB431" s="36"/>
      <c r="CC431" s="36"/>
      <c r="CD431" s="36"/>
      <c r="CE431" s="36"/>
      <c r="CF431" s="36"/>
      <c r="CG431" s="36"/>
      <c r="CH431" s="36"/>
      <c r="CI431" s="36"/>
      <c r="CJ431" s="36"/>
      <c r="CK431" s="36"/>
      <c r="CL431" s="36"/>
      <c r="CM431" s="36"/>
      <c r="CN431" s="36"/>
      <c r="CO431" s="36"/>
      <c r="CP431" s="36"/>
      <c r="CQ431" s="36"/>
      <c r="CR431" s="36"/>
      <c r="CS431" s="36"/>
      <c r="CT431" s="36"/>
      <c r="CU431" s="36"/>
      <c r="CV431" s="36"/>
      <c r="CW431" s="36"/>
      <c r="CX431" s="36"/>
      <c r="CY431" s="36"/>
      <c r="CZ431" s="36"/>
      <c r="DA431" s="36"/>
      <c r="DB431" s="36"/>
      <c r="DC431" s="36"/>
      <c r="DD431" s="36"/>
      <c r="DE431" s="36"/>
      <c r="DF431" s="36"/>
      <c r="DG431" s="36"/>
      <c r="DH431" s="36"/>
      <c r="DI431" s="36"/>
      <c r="DJ431" s="36"/>
      <c r="DK431" s="36"/>
      <c r="DL431" s="36"/>
      <c r="DM431" s="36"/>
      <c r="DN431" s="36"/>
      <c r="DO431" s="36"/>
      <c r="DP431" s="36"/>
      <c r="DQ431" s="36"/>
      <c r="DR431" s="36"/>
      <c r="DS431" s="36"/>
      <c r="DT431" s="36"/>
      <c r="DU431" s="36"/>
      <c r="DV431" s="36"/>
      <c r="DW431" s="36"/>
      <c r="DX431" s="36"/>
      <c r="DY431" s="36"/>
      <c r="DZ431" s="36"/>
      <c r="EA431" s="36"/>
      <c r="EB431" s="36"/>
      <c r="EC431" s="36"/>
      <c r="ED431" s="36"/>
      <c r="EE431" s="36"/>
      <c r="EF431" s="36"/>
      <c r="EG431" s="36"/>
      <c r="EH431" s="36"/>
      <c r="EI431" s="36"/>
      <c r="EJ431" s="36"/>
      <c r="EK431" s="36"/>
      <c r="EL431" s="36"/>
      <c r="EM431" s="36"/>
      <c r="EN431" s="36"/>
      <c r="EO431" s="36"/>
      <c r="EP431" s="36"/>
      <c r="EQ431" s="36"/>
      <c r="ER431" s="36"/>
      <c r="ES431" s="36"/>
      <c r="ET431" s="36"/>
      <c r="EU431" s="36"/>
      <c r="EV431" s="36"/>
      <c r="EW431" s="36"/>
      <c r="EX431" s="36"/>
      <c r="EY431" s="36"/>
      <c r="EZ431" s="36"/>
      <c r="FA431" s="36"/>
      <c r="FB431" s="36"/>
      <c r="FC431" s="36"/>
      <c r="FD431" s="36"/>
      <c r="FE431" s="36"/>
      <c r="FF431" s="36"/>
      <c r="FG431" s="36"/>
      <c r="FH431" s="36"/>
      <c r="FI431" s="36"/>
      <c r="FJ431" s="36"/>
      <c r="FK431" s="36">
        <v>1</v>
      </c>
      <c r="FL431" s="36"/>
      <c r="FM431" s="36"/>
      <c r="FN431" s="36"/>
      <c r="FO431" s="36"/>
      <c r="FP431" s="36"/>
      <c r="FQ431" s="36"/>
      <c r="FR431" s="36"/>
      <c r="FS431" s="36"/>
      <c r="FT431" s="36"/>
      <c r="FU431" s="36"/>
      <c r="FV431" s="36"/>
      <c r="FW431" s="36"/>
      <c r="FX431" s="36"/>
      <c r="FY431" s="36"/>
      <c r="FZ431" s="36"/>
      <c r="GA431" s="36"/>
      <c r="GB431" s="319"/>
      <c r="GC431" s="179">
        <f t="shared" si="74"/>
        <v>0</v>
      </c>
      <c r="GD431" s="179">
        <f t="shared" si="75"/>
        <v>0</v>
      </c>
      <c r="GE431" s="179">
        <f t="shared" si="76"/>
        <v>0</v>
      </c>
      <c r="GF431" s="179">
        <f t="shared" si="77"/>
        <v>0</v>
      </c>
      <c r="GG431" s="179">
        <f t="shared" si="78"/>
        <v>0</v>
      </c>
    </row>
    <row r="432" spans="1:189" x14ac:dyDescent="0.35">
      <c r="A432" s="5" t="s">
        <v>1691</v>
      </c>
      <c r="B432" s="6" t="str">
        <f>IF(Technologies!B432&lt;&gt;0,Technologies!B432,"")</f>
        <v/>
      </c>
      <c r="C432" s="5" t="str">
        <f>VLOOKUP($A432,Technologies!$A$7:$H$576,3,FALSE)</f>
        <v>Primary</v>
      </c>
      <c r="D432" s="5" t="str">
        <f>VLOOKUP($A432,Technologies!$A$7:$H$576,4,FALSE)</f>
        <v>Renewable</v>
      </c>
      <c r="E432" s="5" t="str">
        <f>VLOOKUP($A432,Technologies!$A$7:$H$576,6,FALSE)</f>
        <v>Ambient Energy</v>
      </c>
      <c r="F432" s="5" t="str">
        <f>VLOOKUP($A432,Technologies!$A$7:$H$576,7,FALSE)</f>
        <v>Ambient Energy</v>
      </c>
      <c r="G432" s="23"/>
      <c r="H432" s="23"/>
      <c r="I432" s="104" cm="1">
        <f t="array" ref="I432">-SUMPRODUCT((Feedstocks!$C$4:$C$141=A432)*Feedstocks!$E$4:$E$141,Feedstocks!$F$4:$F$141,Feedstocks!$H$4:$H$141,Feedstocks!$I$4:$I$141)</f>
        <v>0</v>
      </c>
      <c r="J432" s="104" cm="1">
        <f t="array" ref="J432">-SUMPRODUCT((Feedstocks!$C$4:$C$141=A432)*Feedstocks!$E$4:$E$141,Feedstocks!$H$4:$H$141,Feedstocks!$I$4:$I$141)</f>
        <v>0</v>
      </c>
      <c r="K432" s="104"/>
      <c r="L432" s="104"/>
      <c r="M432" s="23"/>
      <c r="N432" s="23" t="str">
        <f>VLOOKUP(E432,Activities!$A$9:$M$227,13,FALSE)</f>
        <v>NL</v>
      </c>
      <c r="O432" s="23"/>
      <c r="P432" s="79" t="s">
        <v>415</v>
      </c>
      <c r="Q432" s="35"/>
      <c r="R432" s="35"/>
      <c r="S432" s="35"/>
      <c r="T432" s="35"/>
      <c r="U432" s="35"/>
      <c r="V432" s="35"/>
      <c r="W432" s="35"/>
      <c r="X432" s="35"/>
      <c r="Y432" s="35"/>
      <c r="Z432" s="35"/>
      <c r="AA432" s="35"/>
      <c r="AB432" s="35"/>
      <c r="AC432" s="35"/>
      <c r="AD432" s="35"/>
      <c r="AE432" s="35"/>
      <c r="AF432" s="36"/>
      <c r="AG432" s="36"/>
      <c r="AH432" s="36"/>
      <c r="AI432" s="36"/>
      <c r="AJ432" s="36"/>
      <c r="AK432" s="36"/>
      <c r="AL432" s="36"/>
      <c r="AM432" s="36"/>
      <c r="AN432" s="36"/>
      <c r="AO432" s="36"/>
      <c r="AP432" s="35"/>
      <c r="AQ432" s="35"/>
      <c r="AR432" s="35"/>
      <c r="AS432" s="35"/>
      <c r="AT432" s="35"/>
      <c r="AU432" s="35"/>
      <c r="AV432" s="35"/>
      <c r="AW432" s="35"/>
      <c r="AX432" s="35"/>
      <c r="AY432" s="35"/>
      <c r="AZ432" s="35"/>
      <c r="BA432" s="35"/>
      <c r="BB432" s="35"/>
      <c r="BC432" s="35"/>
      <c r="BD432" s="35"/>
      <c r="BE432" s="35"/>
      <c r="BF432" s="35"/>
      <c r="BG432" s="35"/>
      <c r="BH432" s="35"/>
      <c r="BI432" s="35"/>
      <c r="BJ432" s="35"/>
      <c r="BK432" s="35"/>
      <c r="BL432" s="35"/>
      <c r="BM432" s="35"/>
      <c r="BN432" s="35"/>
      <c r="BO432" s="35"/>
      <c r="BP432" s="35"/>
      <c r="BQ432" s="35"/>
      <c r="BR432" s="35"/>
      <c r="BS432" s="35"/>
      <c r="BT432" s="35"/>
      <c r="BU432" s="35"/>
      <c r="BV432" s="35"/>
      <c r="BW432" s="35"/>
      <c r="BX432" s="35"/>
      <c r="BY432" s="35"/>
      <c r="BZ432" s="35"/>
      <c r="CA432" s="35"/>
      <c r="CB432" s="35"/>
      <c r="CC432" s="35"/>
      <c r="CD432" s="35"/>
      <c r="CE432" s="35"/>
      <c r="CF432" s="35"/>
      <c r="CG432" s="35"/>
      <c r="CH432" s="35"/>
      <c r="CI432" s="35"/>
      <c r="CJ432" s="35"/>
      <c r="CK432" s="35"/>
      <c r="CL432" s="35"/>
      <c r="CM432" s="35"/>
      <c r="CN432" s="35"/>
      <c r="CO432" s="35"/>
      <c r="CP432" s="35"/>
      <c r="CQ432" s="35"/>
      <c r="CR432" s="35"/>
      <c r="CS432" s="35"/>
      <c r="CT432" s="35"/>
      <c r="CU432" s="35"/>
      <c r="CV432" s="35"/>
      <c r="CW432" s="35"/>
      <c r="CX432" s="35"/>
      <c r="CY432" s="35"/>
      <c r="CZ432" s="35"/>
      <c r="DA432" s="35"/>
      <c r="DB432" s="35"/>
      <c r="DC432" s="35"/>
      <c r="DD432" s="35"/>
      <c r="DE432" s="35"/>
      <c r="DF432" s="35"/>
      <c r="DG432" s="35"/>
      <c r="DH432" s="35"/>
      <c r="DI432" s="35"/>
      <c r="DJ432" s="35"/>
      <c r="DK432" s="35"/>
      <c r="DL432" s="35"/>
      <c r="DM432" s="35"/>
      <c r="DN432" s="35"/>
      <c r="DO432" s="35"/>
      <c r="DP432" s="35"/>
      <c r="DQ432" s="35"/>
      <c r="DR432" s="35"/>
      <c r="DS432" s="35"/>
      <c r="DT432" s="35"/>
      <c r="DU432" s="35"/>
      <c r="DV432" s="35"/>
      <c r="DW432" s="35"/>
      <c r="DX432" s="35"/>
      <c r="DY432" s="35"/>
      <c r="DZ432" s="35"/>
      <c r="EA432" s="35"/>
      <c r="EB432" s="35"/>
      <c r="EC432" s="35"/>
      <c r="ED432" s="35"/>
      <c r="EE432" s="35"/>
      <c r="EF432" s="35"/>
      <c r="EG432" s="35"/>
      <c r="EH432" s="35"/>
      <c r="EI432" s="35"/>
      <c r="EJ432" s="35"/>
      <c r="EK432" s="35"/>
      <c r="EL432" s="35"/>
      <c r="EM432" s="35"/>
      <c r="EN432" s="35"/>
      <c r="EO432" s="35"/>
      <c r="EP432" s="35"/>
      <c r="EQ432" s="35"/>
      <c r="ER432" s="35"/>
      <c r="ES432" s="35"/>
      <c r="ET432" s="35"/>
      <c r="EU432" s="35"/>
      <c r="EV432" s="35"/>
      <c r="EW432" s="35"/>
      <c r="EX432" s="35"/>
      <c r="EY432" s="35"/>
      <c r="EZ432" s="35"/>
      <c r="FA432" s="35"/>
      <c r="FB432" s="35"/>
      <c r="FC432" s="35"/>
      <c r="FD432" s="35"/>
      <c r="FE432" s="35"/>
      <c r="FF432" s="35"/>
      <c r="FG432" s="35"/>
      <c r="FH432" s="35"/>
      <c r="FI432" s="35"/>
      <c r="FJ432" s="35"/>
      <c r="FK432" s="35"/>
      <c r="FL432" s="35">
        <v>1</v>
      </c>
      <c r="FM432" s="35"/>
      <c r="FN432" s="35"/>
      <c r="FO432" s="35"/>
      <c r="FP432" s="35"/>
      <c r="FQ432" s="35"/>
      <c r="FR432" s="35"/>
      <c r="FS432" s="35"/>
      <c r="FT432" s="35"/>
      <c r="FU432" s="35"/>
      <c r="FV432" s="35"/>
      <c r="FW432" s="35"/>
      <c r="FX432" s="35"/>
      <c r="FY432" s="35"/>
      <c r="FZ432" s="35"/>
      <c r="GA432" s="35"/>
      <c r="GB432" s="318"/>
      <c r="GC432" s="178">
        <f t="shared" si="74"/>
        <v>0</v>
      </c>
      <c r="GD432" s="178">
        <f t="shared" si="75"/>
        <v>0</v>
      </c>
      <c r="GE432" s="178">
        <f t="shared" si="76"/>
        <v>0</v>
      </c>
      <c r="GF432" s="178">
        <f t="shared" si="77"/>
        <v>0</v>
      </c>
      <c r="GG432" s="178">
        <f t="shared" si="78"/>
        <v>0</v>
      </c>
    </row>
    <row r="433" spans="1:189" x14ac:dyDescent="0.35">
      <c r="A433" s="6" t="s">
        <v>1693</v>
      </c>
      <c r="B433" s="6" t="str">
        <f>IF(Technologies!B433&lt;&gt;0,Technologies!B433,"")</f>
        <v/>
      </c>
      <c r="C433" s="6" t="str">
        <f>VLOOKUP($A433,Technologies!$A$7:$H$576,3,FALSE)</f>
        <v>Primary</v>
      </c>
      <c r="D433" s="6" t="str">
        <f>VLOOKUP($A433,Technologies!$A$7:$H$576,4,FALSE)</f>
        <v>Renewable</v>
      </c>
      <c r="E433" s="6" t="str">
        <f>VLOOKUP($A433,Technologies!$A$7:$H$576,6,FALSE)</f>
        <v>Geothermal Energy</v>
      </c>
      <c r="F433" s="48" t="str">
        <f>VLOOKUP($A433,Technologies!$A$7:$H$576,7,FALSE)</f>
        <v>Geothermal Energy</v>
      </c>
      <c r="G433" s="22"/>
      <c r="H433" s="22"/>
      <c r="I433" s="103" cm="1">
        <f t="array" ref="I433">-SUMPRODUCT((Feedstocks!$C$4:$C$141=A433)*Feedstocks!$E$4:$E$141,Feedstocks!$F$4:$F$141,Feedstocks!$H$4:$H$141,Feedstocks!$I$4:$I$141)</f>
        <v>0</v>
      </c>
      <c r="J433" s="103" cm="1">
        <f t="array" ref="J433">-SUMPRODUCT((Feedstocks!$C$4:$C$141=A433)*Feedstocks!$E$4:$E$141,Feedstocks!$H$4:$H$141,Feedstocks!$I$4:$I$141)</f>
        <v>0</v>
      </c>
      <c r="K433" s="103"/>
      <c r="L433" s="103"/>
      <c r="M433" s="22"/>
      <c r="N433" s="22" t="str">
        <f>VLOOKUP(E433,Activities!$A$9:$M$227,13,FALSE)</f>
        <v>NL</v>
      </c>
      <c r="O433" s="22"/>
      <c r="P433" s="80" t="s">
        <v>415</v>
      </c>
      <c r="Q433" s="36"/>
      <c r="R433" s="36"/>
      <c r="S433" s="36"/>
      <c r="T433" s="36"/>
      <c r="U433" s="36"/>
      <c r="V433" s="36"/>
      <c r="W433" s="36"/>
      <c r="X433" s="36"/>
      <c r="Y433" s="36"/>
      <c r="Z433" s="36"/>
      <c r="AA433" s="36"/>
      <c r="AB433" s="36"/>
      <c r="AC433" s="36"/>
      <c r="AD433" s="36"/>
      <c r="AE433" s="36"/>
      <c r="AF433" s="35"/>
      <c r="AG433" s="35"/>
      <c r="AH433" s="35"/>
      <c r="AI433" s="35"/>
      <c r="AJ433" s="35"/>
      <c r="AK433" s="35"/>
      <c r="AL433" s="35"/>
      <c r="AM433" s="35"/>
      <c r="AN433" s="35"/>
      <c r="AO433" s="35"/>
      <c r="AP433" s="36"/>
      <c r="AQ433" s="36"/>
      <c r="AR433" s="36"/>
      <c r="AS433" s="36"/>
      <c r="AT433" s="36"/>
      <c r="AU433" s="36"/>
      <c r="AV433" s="36"/>
      <c r="AW433" s="36"/>
      <c r="AX433" s="36"/>
      <c r="AY433" s="36"/>
      <c r="AZ433" s="36"/>
      <c r="BA433" s="36"/>
      <c r="BB433" s="36"/>
      <c r="BC433" s="36"/>
      <c r="BD433" s="36"/>
      <c r="BE433" s="36"/>
      <c r="BF433" s="36"/>
      <c r="BG433" s="36"/>
      <c r="BH433" s="36"/>
      <c r="BI433" s="36"/>
      <c r="BJ433" s="36"/>
      <c r="BK433" s="36"/>
      <c r="BL433" s="36"/>
      <c r="BM433" s="36"/>
      <c r="BN433" s="36"/>
      <c r="BO433" s="36"/>
      <c r="BP433" s="36"/>
      <c r="BQ433" s="36"/>
      <c r="BR433" s="36"/>
      <c r="BS433" s="36"/>
      <c r="BT433" s="36"/>
      <c r="BU433" s="36"/>
      <c r="BV433" s="36"/>
      <c r="BW433" s="36"/>
      <c r="BX433" s="36"/>
      <c r="BY433" s="36"/>
      <c r="BZ433" s="36"/>
      <c r="CA433" s="36"/>
      <c r="CB433" s="36"/>
      <c r="CC433" s="36"/>
      <c r="CD433" s="36"/>
      <c r="CE433" s="36"/>
      <c r="CF433" s="36"/>
      <c r="CG433" s="36"/>
      <c r="CH433" s="36"/>
      <c r="CI433" s="36"/>
      <c r="CJ433" s="36"/>
      <c r="CK433" s="36"/>
      <c r="CL433" s="36"/>
      <c r="CM433" s="36"/>
      <c r="CN433" s="36"/>
      <c r="CO433" s="36"/>
      <c r="CP433" s="36"/>
      <c r="CQ433" s="36"/>
      <c r="CR433" s="36"/>
      <c r="CS433" s="36"/>
      <c r="CT433" s="36"/>
      <c r="CU433" s="36"/>
      <c r="CV433" s="36"/>
      <c r="CW433" s="36"/>
      <c r="CX433" s="36"/>
      <c r="CY433" s="36"/>
      <c r="CZ433" s="36"/>
      <c r="DA433" s="36"/>
      <c r="DB433" s="36"/>
      <c r="DC433" s="36"/>
      <c r="DD433" s="36"/>
      <c r="DE433" s="36"/>
      <c r="DF433" s="36"/>
      <c r="DG433" s="36"/>
      <c r="DH433" s="36"/>
      <c r="DI433" s="36"/>
      <c r="DJ433" s="36"/>
      <c r="DK433" s="36"/>
      <c r="DL433" s="36"/>
      <c r="DM433" s="36"/>
      <c r="DN433" s="36"/>
      <c r="DO433" s="36"/>
      <c r="DP433" s="36"/>
      <c r="DQ433" s="36"/>
      <c r="DR433" s="36"/>
      <c r="DS433" s="36"/>
      <c r="DT433" s="36"/>
      <c r="DU433" s="36"/>
      <c r="DV433" s="36"/>
      <c r="DW433" s="36"/>
      <c r="DX433" s="36"/>
      <c r="DY433" s="36"/>
      <c r="DZ433" s="36"/>
      <c r="EA433" s="36"/>
      <c r="EB433" s="36"/>
      <c r="EC433" s="36"/>
      <c r="ED433" s="36"/>
      <c r="EE433" s="36"/>
      <c r="EF433" s="36"/>
      <c r="EG433" s="36"/>
      <c r="EH433" s="36"/>
      <c r="EI433" s="36"/>
      <c r="EJ433" s="36"/>
      <c r="EK433" s="36"/>
      <c r="EL433" s="36"/>
      <c r="EM433" s="36"/>
      <c r="EN433" s="36"/>
      <c r="EO433" s="36"/>
      <c r="EP433" s="36"/>
      <c r="EQ433" s="36"/>
      <c r="ER433" s="36"/>
      <c r="ES433" s="36"/>
      <c r="ET433" s="36"/>
      <c r="EU433" s="36"/>
      <c r="EV433" s="36"/>
      <c r="EW433" s="36"/>
      <c r="EX433" s="36"/>
      <c r="EY433" s="36"/>
      <c r="EZ433" s="36"/>
      <c r="FA433" s="36"/>
      <c r="FB433" s="36"/>
      <c r="FC433" s="36"/>
      <c r="FD433" s="36"/>
      <c r="FE433" s="36"/>
      <c r="FF433" s="36"/>
      <c r="FG433" s="36"/>
      <c r="FH433" s="36"/>
      <c r="FI433" s="36"/>
      <c r="FJ433" s="36"/>
      <c r="FK433" s="36"/>
      <c r="FL433" s="36"/>
      <c r="FM433" s="36">
        <v>1</v>
      </c>
      <c r="FN433" s="36"/>
      <c r="FO433" s="36"/>
      <c r="FP433" s="36"/>
      <c r="FQ433" s="36"/>
      <c r="FR433" s="36"/>
      <c r="FS433" s="36"/>
      <c r="FT433" s="36"/>
      <c r="FU433" s="36"/>
      <c r="FV433" s="36"/>
      <c r="FW433" s="36"/>
      <c r="FX433" s="36"/>
      <c r="FY433" s="36"/>
      <c r="FZ433" s="36"/>
      <c r="GA433" s="36"/>
      <c r="GB433" s="319"/>
      <c r="GC433" s="179">
        <f t="shared" si="74"/>
        <v>0</v>
      </c>
      <c r="GD433" s="179">
        <f t="shared" si="75"/>
        <v>0</v>
      </c>
      <c r="GE433" s="179">
        <f t="shared" ref="GE433:GE435" si="79">ROUND(IF($C433="Primary",0,(1-$M433)*(1-$O433)*($G433*(SUMPRODUCT($Q$4:$GA$4,$Q433:$GA433)+$J433)+$H433-SUMPRODUCT($Q$5:$GA$5,$Q433:$GA433)-$I433+$L433))*IF($N433=GD$4,1,0),4)</f>
        <v>0</v>
      </c>
      <c r="GF433" s="179">
        <f t="shared" si="77"/>
        <v>0</v>
      </c>
      <c r="GG433" s="179">
        <f t="shared" si="78"/>
        <v>0</v>
      </c>
    </row>
    <row r="434" spans="1:189" x14ac:dyDescent="0.35">
      <c r="A434" s="5" t="s">
        <v>1695</v>
      </c>
      <c r="B434" s="6" t="str">
        <f>IF(Technologies!B434&lt;&gt;0,Technologies!B434,"")</f>
        <v/>
      </c>
      <c r="C434" s="5" t="str">
        <f>VLOOKUP($A434,Technologies!$A$7:$H$576,3,FALSE)</f>
        <v>Primary</v>
      </c>
      <c r="D434" s="5" t="str">
        <f>VLOOKUP($A434,Technologies!$A$7:$H$576,4,FALSE)</f>
        <v>Renewable</v>
      </c>
      <c r="E434" s="5" t="str">
        <f>VLOOKUP($A434,Technologies!$A$7:$H$576,6,FALSE)</f>
        <v>Solar Heat</v>
      </c>
      <c r="F434" s="5" t="str">
        <f>VLOOKUP($A434,Technologies!$A$7:$H$576,7,FALSE)</f>
        <v>Solar Heat</v>
      </c>
      <c r="G434" s="23"/>
      <c r="H434" s="23"/>
      <c r="I434" s="103" cm="1">
        <f t="array" ref="I434">-SUMPRODUCT((Feedstocks!$C$4:$C$141=A434)*Feedstocks!$E$4:$E$141,Feedstocks!$F$4:$F$141,Feedstocks!$H$4:$H$141,Feedstocks!$I$4:$I$141)</f>
        <v>0</v>
      </c>
      <c r="J434" s="103" cm="1">
        <f t="array" ref="J434">-SUMPRODUCT((Feedstocks!$C$4:$C$141=A434)*Feedstocks!$E$4:$E$141,Feedstocks!$H$4:$H$141,Feedstocks!$I$4:$I$141)</f>
        <v>0</v>
      </c>
      <c r="K434" s="103"/>
      <c r="L434" s="104"/>
      <c r="M434" s="23"/>
      <c r="N434" s="23" t="str">
        <f>VLOOKUP(E434,Activities!$A$9:$M$227,13,FALSE)</f>
        <v>NL</v>
      </c>
      <c r="O434" s="23"/>
      <c r="P434" s="79" t="s">
        <v>415</v>
      </c>
      <c r="Q434" s="35"/>
      <c r="R434" s="35"/>
      <c r="S434" s="35"/>
      <c r="T434" s="35"/>
      <c r="U434" s="35"/>
      <c r="V434" s="35"/>
      <c r="W434" s="35"/>
      <c r="X434" s="35"/>
      <c r="Y434" s="35"/>
      <c r="Z434" s="35"/>
      <c r="AA434" s="35"/>
      <c r="AB434" s="35"/>
      <c r="AC434" s="35"/>
      <c r="AD434" s="35"/>
      <c r="AE434" s="35"/>
      <c r="AF434" s="36"/>
      <c r="AG434" s="36"/>
      <c r="AH434" s="36"/>
      <c r="AI434" s="36"/>
      <c r="AJ434" s="36"/>
      <c r="AK434" s="36"/>
      <c r="AL434" s="36"/>
      <c r="AM434" s="36"/>
      <c r="AN434" s="36"/>
      <c r="AO434" s="36"/>
      <c r="AP434" s="35"/>
      <c r="AQ434" s="35"/>
      <c r="AR434" s="35"/>
      <c r="AS434" s="35"/>
      <c r="AT434" s="35"/>
      <c r="AU434" s="35"/>
      <c r="AV434" s="35"/>
      <c r="AW434" s="35"/>
      <c r="AX434" s="35"/>
      <c r="AY434" s="35"/>
      <c r="AZ434" s="35"/>
      <c r="BA434" s="35"/>
      <c r="BB434" s="35"/>
      <c r="BC434" s="35"/>
      <c r="BD434" s="35"/>
      <c r="BE434" s="35"/>
      <c r="BF434" s="35"/>
      <c r="BG434" s="35"/>
      <c r="BH434" s="35"/>
      <c r="BI434" s="35"/>
      <c r="BJ434" s="35"/>
      <c r="BK434" s="35"/>
      <c r="BL434" s="35"/>
      <c r="BM434" s="35"/>
      <c r="BN434" s="35"/>
      <c r="BO434" s="35"/>
      <c r="BP434" s="35"/>
      <c r="BQ434" s="35"/>
      <c r="BR434" s="35"/>
      <c r="BS434" s="35"/>
      <c r="BT434" s="35"/>
      <c r="BU434" s="35"/>
      <c r="BV434" s="35"/>
      <c r="BW434" s="35"/>
      <c r="BX434" s="35"/>
      <c r="BY434" s="35"/>
      <c r="BZ434" s="35"/>
      <c r="CA434" s="35"/>
      <c r="CB434" s="35"/>
      <c r="CC434" s="35"/>
      <c r="CD434" s="35"/>
      <c r="CE434" s="35"/>
      <c r="CF434" s="35"/>
      <c r="CG434" s="35"/>
      <c r="CH434" s="35"/>
      <c r="CI434" s="35"/>
      <c r="CJ434" s="35"/>
      <c r="CK434" s="35"/>
      <c r="CL434" s="35"/>
      <c r="CM434" s="35"/>
      <c r="CN434" s="35"/>
      <c r="CO434" s="35"/>
      <c r="CP434" s="35"/>
      <c r="CQ434" s="35"/>
      <c r="CR434" s="35"/>
      <c r="CS434" s="35"/>
      <c r="CT434" s="35"/>
      <c r="CU434" s="35"/>
      <c r="CV434" s="35"/>
      <c r="CW434" s="35"/>
      <c r="CX434" s="35"/>
      <c r="CY434" s="35"/>
      <c r="CZ434" s="35"/>
      <c r="DA434" s="35"/>
      <c r="DB434" s="35"/>
      <c r="DC434" s="35"/>
      <c r="DD434" s="35"/>
      <c r="DE434" s="35"/>
      <c r="DF434" s="35"/>
      <c r="DG434" s="35"/>
      <c r="DH434" s="35"/>
      <c r="DI434" s="35"/>
      <c r="DJ434" s="35"/>
      <c r="DK434" s="35"/>
      <c r="DL434" s="35"/>
      <c r="DM434" s="35"/>
      <c r="DN434" s="35"/>
      <c r="DO434" s="35"/>
      <c r="DP434" s="35"/>
      <c r="DQ434" s="35"/>
      <c r="DR434" s="35"/>
      <c r="DS434" s="35"/>
      <c r="DT434" s="35"/>
      <c r="DU434" s="35"/>
      <c r="DV434" s="35"/>
      <c r="DW434" s="35"/>
      <c r="DX434" s="35"/>
      <c r="DY434" s="35"/>
      <c r="DZ434" s="35"/>
      <c r="EA434" s="35"/>
      <c r="EB434" s="35"/>
      <c r="EC434" s="35"/>
      <c r="ED434" s="35"/>
      <c r="EE434" s="35"/>
      <c r="EF434" s="35"/>
      <c r="EG434" s="35"/>
      <c r="EH434" s="35"/>
      <c r="EI434" s="35"/>
      <c r="EJ434" s="35"/>
      <c r="EK434" s="35"/>
      <c r="EL434" s="35"/>
      <c r="EM434" s="35"/>
      <c r="EN434" s="35"/>
      <c r="EO434" s="35"/>
      <c r="EP434" s="35"/>
      <c r="EQ434" s="35"/>
      <c r="ER434" s="35"/>
      <c r="ES434" s="35"/>
      <c r="ET434" s="35"/>
      <c r="EU434" s="35"/>
      <c r="EV434" s="35"/>
      <c r="EW434" s="35"/>
      <c r="EX434" s="35"/>
      <c r="EY434" s="35"/>
      <c r="EZ434" s="35"/>
      <c r="FA434" s="35"/>
      <c r="FB434" s="35"/>
      <c r="FC434" s="35"/>
      <c r="FD434" s="35"/>
      <c r="FE434" s="35"/>
      <c r="FF434" s="35"/>
      <c r="FG434" s="35"/>
      <c r="FH434" s="35"/>
      <c r="FI434" s="35"/>
      <c r="FJ434" s="35"/>
      <c r="FK434" s="35"/>
      <c r="FL434" s="35"/>
      <c r="FM434" s="35"/>
      <c r="FN434" s="35">
        <v>1</v>
      </c>
      <c r="FO434" s="35"/>
      <c r="FP434" s="35"/>
      <c r="FQ434" s="35"/>
      <c r="FR434" s="35"/>
      <c r="FS434" s="35"/>
      <c r="FT434" s="35"/>
      <c r="FU434" s="35"/>
      <c r="FV434" s="35"/>
      <c r="FW434" s="35"/>
      <c r="FX434" s="35"/>
      <c r="FY434" s="35"/>
      <c r="FZ434" s="35"/>
      <c r="GA434" s="35"/>
      <c r="GB434" s="318"/>
      <c r="GC434" s="178">
        <f t="shared" si="74"/>
        <v>0</v>
      </c>
      <c r="GD434" s="178">
        <f t="shared" si="75"/>
        <v>0</v>
      </c>
      <c r="GE434" s="178">
        <f t="shared" si="79"/>
        <v>0</v>
      </c>
      <c r="GF434" s="178">
        <f t="shared" si="77"/>
        <v>0</v>
      </c>
      <c r="GG434" s="178">
        <f t="shared" si="78"/>
        <v>0</v>
      </c>
    </row>
    <row r="435" spans="1:189" x14ac:dyDescent="0.35">
      <c r="A435" s="6" t="s">
        <v>1696</v>
      </c>
      <c r="B435" s="6" t="str">
        <f>IF(Technologies!B435&lt;&gt;0,Technologies!B435,"")</f>
        <v/>
      </c>
      <c r="C435" s="6" t="str">
        <f>VLOOKUP($A435,Technologies!$A$7:$H$576,3,FALSE)</f>
        <v>Primary</v>
      </c>
      <c r="D435" s="6" t="str">
        <f>VLOOKUP($A435,Technologies!$A$7:$H$576,4,FALSE)</f>
        <v>Material</v>
      </c>
      <c r="E435" s="6" t="str">
        <f>VLOOKUP($A435,Technologies!$A$7:$H$576,6,FALSE)</f>
        <v>DRI</v>
      </c>
      <c r="F435" s="48" t="str">
        <f>VLOOKUP($A435,Technologies!$A$7:$H$576,7,FALSE)</f>
        <v>Imported DRI briquettes</v>
      </c>
      <c r="G435" s="22"/>
      <c r="H435" s="22"/>
      <c r="I435" s="103" cm="1">
        <f t="array" ref="I435">-SUMPRODUCT((Feedstocks!$C$4:$C$141=A435)*Feedstocks!$E$4:$E$141,Feedstocks!$F$4:$F$141,Feedstocks!$H$4:$H$141,Feedstocks!$I$4:$I$141)</f>
        <v>0</v>
      </c>
      <c r="J435" s="103" cm="1">
        <f t="array" ref="J435">-SUMPRODUCT((Feedstocks!$C$4:$C$141=A435)*Feedstocks!$E$4:$E$141,Feedstocks!$H$4:$H$141,Feedstocks!$I$4:$I$141)</f>
        <v>0</v>
      </c>
      <c r="K435" s="103"/>
      <c r="L435" s="103"/>
      <c r="M435" s="22"/>
      <c r="N435" s="22" t="str">
        <f>VLOOKUP(E435,Activities!$A$9:$M$227,13,FALSE)</f>
        <v>NL</v>
      </c>
      <c r="O435" s="22"/>
      <c r="P435" s="80" t="s">
        <v>415</v>
      </c>
      <c r="Q435" s="36"/>
      <c r="R435" s="36"/>
      <c r="S435" s="36"/>
      <c r="T435" s="36"/>
      <c r="U435" s="36"/>
      <c r="V435" s="36"/>
      <c r="W435" s="36"/>
      <c r="X435" s="36"/>
      <c r="Y435" s="36"/>
      <c r="Z435" s="36"/>
      <c r="AA435" s="36"/>
      <c r="AB435" s="36"/>
      <c r="AC435" s="36"/>
      <c r="AD435" s="36"/>
      <c r="AE435" s="36"/>
      <c r="AF435" s="35"/>
      <c r="AG435" s="35"/>
      <c r="AH435" s="35"/>
      <c r="AI435" s="35"/>
      <c r="AJ435" s="35"/>
      <c r="AK435" s="35"/>
      <c r="AL435" s="35"/>
      <c r="AM435" s="35"/>
      <c r="AN435" s="35"/>
      <c r="AO435" s="35"/>
      <c r="AP435" s="36"/>
      <c r="AQ435" s="36"/>
      <c r="AR435" s="36"/>
      <c r="AS435" s="36"/>
      <c r="AT435" s="36"/>
      <c r="AU435" s="36"/>
      <c r="AV435" s="36"/>
      <c r="AW435" s="36"/>
      <c r="AX435" s="36"/>
      <c r="AY435" s="36"/>
      <c r="AZ435" s="36"/>
      <c r="BA435" s="36"/>
      <c r="BB435" s="36"/>
      <c r="BC435" s="36"/>
      <c r="BD435" s="36"/>
      <c r="BE435" s="36"/>
      <c r="BF435" s="36"/>
      <c r="BG435" s="36"/>
      <c r="BH435" s="36"/>
      <c r="BI435" s="36"/>
      <c r="BJ435" s="36"/>
      <c r="BK435" s="36"/>
      <c r="BL435" s="36"/>
      <c r="BM435" s="36"/>
      <c r="BN435" s="36"/>
      <c r="BO435" s="36"/>
      <c r="BP435" s="36"/>
      <c r="BQ435" s="36"/>
      <c r="BR435" s="36"/>
      <c r="BS435" s="36"/>
      <c r="BT435" s="36"/>
      <c r="BU435" s="36"/>
      <c r="BV435" s="36"/>
      <c r="BW435" s="36"/>
      <c r="BX435" s="36"/>
      <c r="BY435" s="36"/>
      <c r="BZ435" s="36"/>
      <c r="CA435" s="36"/>
      <c r="CB435" s="36"/>
      <c r="CC435" s="36"/>
      <c r="CD435" s="36"/>
      <c r="CE435" s="36"/>
      <c r="CF435" s="36"/>
      <c r="CG435" s="36"/>
      <c r="CH435" s="36"/>
      <c r="CI435" s="36"/>
      <c r="CJ435" s="36"/>
      <c r="CK435" s="36"/>
      <c r="CL435" s="36"/>
      <c r="CM435" s="36"/>
      <c r="CN435" s="36"/>
      <c r="CO435" s="36">
        <v>1</v>
      </c>
      <c r="CP435" s="36"/>
      <c r="CQ435" s="36"/>
      <c r="CR435" s="36"/>
      <c r="CS435" s="36"/>
      <c r="CT435" s="36"/>
      <c r="CU435" s="36"/>
      <c r="CV435" s="36"/>
      <c r="CW435" s="36"/>
      <c r="CX435" s="36"/>
      <c r="CY435" s="36"/>
      <c r="CZ435" s="36"/>
      <c r="DA435" s="36"/>
      <c r="DB435" s="36"/>
      <c r="DC435" s="36"/>
      <c r="DD435" s="36"/>
      <c r="DE435" s="36"/>
      <c r="DF435" s="36"/>
      <c r="DG435" s="36"/>
      <c r="DH435" s="36"/>
      <c r="DI435" s="36"/>
      <c r="DJ435" s="36"/>
      <c r="DK435" s="36"/>
      <c r="DL435" s="36"/>
      <c r="DM435" s="36"/>
      <c r="DN435" s="36"/>
      <c r="DO435" s="36"/>
      <c r="DP435" s="36"/>
      <c r="DQ435" s="36"/>
      <c r="DR435" s="36"/>
      <c r="DS435" s="36"/>
      <c r="DT435" s="36"/>
      <c r="DU435" s="36"/>
      <c r="DV435" s="36"/>
      <c r="DW435" s="36"/>
      <c r="DX435" s="36"/>
      <c r="DY435" s="36"/>
      <c r="DZ435" s="36"/>
      <c r="EA435" s="36"/>
      <c r="EB435" s="36"/>
      <c r="EC435" s="36"/>
      <c r="ED435" s="36"/>
      <c r="EE435" s="36"/>
      <c r="EF435" s="36"/>
      <c r="EG435" s="36"/>
      <c r="EH435" s="36"/>
      <c r="EI435" s="36"/>
      <c r="EJ435" s="36"/>
      <c r="EK435" s="36"/>
      <c r="EL435" s="36"/>
      <c r="EM435" s="36"/>
      <c r="EN435" s="36"/>
      <c r="EO435" s="36"/>
      <c r="EP435" s="36"/>
      <c r="EQ435" s="36"/>
      <c r="ER435" s="36"/>
      <c r="ES435" s="36"/>
      <c r="ET435" s="36"/>
      <c r="EU435" s="36"/>
      <c r="EV435" s="36"/>
      <c r="EW435" s="36"/>
      <c r="EX435" s="36"/>
      <c r="EY435" s="36"/>
      <c r="EZ435" s="36"/>
      <c r="FA435" s="36"/>
      <c r="FB435" s="36"/>
      <c r="FC435" s="36"/>
      <c r="FD435" s="36"/>
      <c r="FE435" s="36"/>
      <c r="FF435" s="36"/>
      <c r="FG435" s="36"/>
      <c r="FH435" s="36"/>
      <c r="FI435" s="36"/>
      <c r="FJ435" s="36"/>
      <c r="FK435" s="36"/>
      <c r="FL435" s="36"/>
      <c r="FM435" s="36"/>
      <c r="FN435" s="36"/>
      <c r="FO435" s="36"/>
      <c r="FP435" s="36"/>
      <c r="FQ435" s="36"/>
      <c r="FR435" s="36"/>
      <c r="FS435" s="36"/>
      <c r="FT435" s="36"/>
      <c r="FU435" s="36"/>
      <c r="FV435" s="36"/>
      <c r="FW435" s="36"/>
      <c r="FX435" s="36"/>
      <c r="FY435" s="36"/>
      <c r="FZ435" s="36"/>
      <c r="GA435" s="36"/>
      <c r="GB435" s="319"/>
      <c r="GC435" s="179">
        <f t="shared" si="74"/>
        <v>0</v>
      </c>
      <c r="GD435" s="179">
        <f t="shared" si="75"/>
        <v>0</v>
      </c>
      <c r="GE435" s="179">
        <f t="shared" si="79"/>
        <v>0</v>
      </c>
      <c r="GF435" s="179">
        <f t="shared" si="77"/>
        <v>0</v>
      </c>
      <c r="GG435" s="179">
        <f t="shared" si="78"/>
        <v>0</v>
      </c>
    </row>
    <row r="436" spans="1:189" x14ac:dyDescent="0.35">
      <c r="A436" s="5" t="s">
        <v>1699</v>
      </c>
      <c r="B436" s="6" t="str">
        <f>IF(Technologies!B436&lt;&gt;0,Technologies!B436,"")</f>
        <v/>
      </c>
      <c r="C436" s="5" t="str">
        <f>VLOOKUP($A436,Technologies!$A$7:$H$576,3,FALSE)</f>
        <v>Primary</v>
      </c>
      <c r="D436" s="5" t="str">
        <f>VLOOKUP($A436,Technologies!$A$7:$H$576,4,FALSE)</f>
        <v>Material</v>
      </c>
      <c r="E436" s="5" t="str">
        <f>VLOOKUP($A436,Technologies!$A$7:$H$576,6,FALSE)</f>
        <v>Steel scrap</v>
      </c>
      <c r="F436" s="5" t="str">
        <f>VLOOKUP($A436,Technologies!$A$7:$H$576,7,FALSE)</f>
        <v>Imported or purchased steel scrap</v>
      </c>
      <c r="G436" s="23"/>
      <c r="H436" s="23"/>
      <c r="I436" s="103" cm="1">
        <f t="array" ref="I436">-SUMPRODUCT((Feedstocks!$C$4:$C$141=A436)*Feedstocks!$E$4:$E$141,Feedstocks!$F$4:$F$141,Feedstocks!$H$4:$H$141,Feedstocks!$I$4:$I$141)</f>
        <v>0</v>
      </c>
      <c r="J436" s="103" cm="1">
        <f t="array" ref="J436">-SUMPRODUCT((Feedstocks!$C$4:$C$141=A436)*Feedstocks!$E$4:$E$141,Feedstocks!$H$4:$H$141,Feedstocks!$I$4:$I$141)</f>
        <v>0</v>
      </c>
      <c r="K436" s="103"/>
      <c r="L436" s="104"/>
      <c r="M436" s="23"/>
      <c r="N436" s="23" t="str">
        <f>VLOOKUP(E436,Activities!$A$9:$M$227,13,FALSE)</f>
        <v>NL</v>
      </c>
      <c r="O436" s="23"/>
      <c r="P436" s="79" t="s">
        <v>415</v>
      </c>
      <c r="Q436" s="35"/>
      <c r="R436" s="35"/>
      <c r="S436" s="35"/>
      <c r="T436" s="35"/>
      <c r="U436" s="35"/>
      <c r="V436" s="35"/>
      <c r="W436" s="35"/>
      <c r="X436" s="35"/>
      <c r="Y436" s="35"/>
      <c r="Z436" s="35"/>
      <c r="AA436" s="35"/>
      <c r="AB436" s="35"/>
      <c r="AC436" s="35"/>
      <c r="AD436" s="35"/>
      <c r="AE436" s="35"/>
      <c r="AF436" s="36"/>
      <c r="AG436" s="36"/>
      <c r="AH436" s="36"/>
      <c r="AI436" s="36"/>
      <c r="AJ436" s="36"/>
      <c r="AK436" s="36"/>
      <c r="AL436" s="36"/>
      <c r="AM436" s="36"/>
      <c r="AN436" s="36"/>
      <c r="AO436" s="36"/>
      <c r="AP436" s="35"/>
      <c r="AQ436" s="35"/>
      <c r="AR436" s="35"/>
      <c r="AS436" s="35"/>
      <c r="AT436" s="35"/>
      <c r="AU436" s="35"/>
      <c r="AV436" s="35"/>
      <c r="AW436" s="35"/>
      <c r="AX436" s="35"/>
      <c r="AY436" s="35"/>
      <c r="AZ436" s="35"/>
      <c r="BA436" s="35"/>
      <c r="BB436" s="35"/>
      <c r="BC436" s="35"/>
      <c r="BD436" s="35"/>
      <c r="BE436" s="35"/>
      <c r="BF436" s="35"/>
      <c r="BG436" s="35"/>
      <c r="BH436" s="35"/>
      <c r="BI436" s="35"/>
      <c r="BJ436" s="35"/>
      <c r="BK436" s="35"/>
      <c r="BL436" s="35"/>
      <c r="BM436" s="35"/>
      <c r="BN436" s="35"/>
      <c r="BO436" s="35"/>
      <c r="BP436" s="35"/>
      <c r="BQ436" s="35"/>
      <c r="BR436" s="35"/>
      <c r="BS436" s="35"/>
      <c r="BT436" s="35"/>
      <c r="BU436" s="35"/>
      <c r="BV436" s="35"/>
      <c r="BW436" s="35"/>
      <c r="BX436" s="35"/>
      <c r="BY436" s="35"/>
      <c r="BZ436" s="35"/>
      <c r="CA436" s="35"/>
      <c r="CB436" s="35"/>
      <c r="CC436" s="35"/>
      <c r="CD436" s="35"/>
      <c r="CE436" s="35"/>
      <c r="CF436" s="35"/>
      <c r="CG436" s="35"/>
      <c r="CH436" s="35"/>
      <c r="CI436" s="35"/>
      <c r="CJ436" s="35"/>
      <c r="CK436" s="35"/>
      <c r="CL436" s="35"/>
      <c r="CM436" s="35"/>
      <c r="CN436" s="35"/>
      <c r="CO436" s="35"/>
      <c r="CP436" s="35">
        <v>1</v>
      </c>
      <c r="CQ436" s="35"/>
      <c r="CR436" s="35"/>
      <c r="CS436" s="35"/>
      <c r="CT436" s="35"/>
      <c r="CU436" s="35"/>
      <c r="CV436" s="35"/>
      <c r="CW436" s="35"/>
      <c r="CX436" s="35"/>
      <c r="CY436" s="35"/>
      <c r="CZ436" s="35"/>
      <c r="DA436" s="35"/>
      <c r="DB436" s="35"/>
      <c r="DC436" s="35"/>
      <c r="DD436" s="35"/>
      <c r="DE436" s="35"/>
      <c r="DF436" s="35"/>
      <c r="DG436" s="35"/>
      <c r="DH436" s="35"/>
      <c r="DI436" s="35"/>
      <c r="DJ436" s="35"/>
      <c r="DK436" s="35"/>
      <c r="DL436" s="35"/>
      <c r="DM436" s="35"/>
      <c r="DN436" s="35"/>
      <c r="DO436" s="35"/>
      <c r="DP436" s="35"/>
      <c r="DQ436" s="35"/>
      <c r="DR436" s="35"/>
      <c r="DS436" s="35"/>
      <c r="DT436" s="35"/>
      <c r="DU436" s="35"/>
      <c r="DV436" s="35"/>
      <c r="DW436" s="35"/>
      <c r="DX436" s="35"/>
      <c r="DY436" s="35"/>
      <c r="DZ436" s="35"/>
      <c r="EA436" s="35"/>
      <c r="EB436" s="35"/>
      <c r="EC436" s="35"/>
      <c r="ED436" s="35"/>
      <c r="EE436" s="35"/>
      <c r="EF436" s="35"/>
      <c r="EG436" s="35"/>
      <c r="EH436" s="35"/>
      <c r="EI436" s="35"/>
      <c r="EJ436" s="35"/>
      <c r="EK436" s="35"/>
      <c r="EL436" s="35"/>
      <c r="EM436" s="35"/>
      <c r="EN436" s="35"/>
      <c r="EO436" s="35"/>
      <c r="EP436" s="35"/>
      <c r="EQ436" s="35"/>
      <c r="ER436" s="35"/>
      <c r="ES436" s="35"/>
      <c r="ET436" s="35"/>
      <c r="EU436" s="35"/>
      <c r="EV436" s="35"/>
      <c r="EW436" s="35"/>
      <c r="EX436" s="35"/>
      <c r="EY436" s="35"/>
      <c r="EZ436" s="35"/>
      <c r="FA436" s="35"/>
      <c r="FB436" s="35"/>
      <c r="FC436" s="35"/>
      <c r="FD436" s="35"/>
      <c r="FE436" s="35"/>
      <c r="FF436" s="35"/>
      <c r="FG436" s="35"/>
      <c r="FH436" s="35"/>
      <c r="FI436" s="35"/>
      <c r="FJ436" s="35"/>
      <c r="FK436" s="35"/>
      <c r="FL436" s="35"/>
      <c r="FM436" s="35"/>
      <c r="FN436" s="35"/>
      <c r="FO436" s="35"/>
      <c r="FP436" s="35"/>
      <c r="FQ436" s="35"/>
      <c r="FR436" s="35"/>
      <c r="FS436" s="35"/>
      <c r="FT436" s="35"/>
      <c r="FU436" s="35"/>
      <c r="FV436" s="35"/>
      <c r="FW436" s="35"/>
      <c r="FX436" s="35"/>
      <c r="FY436" s="35"/>
      <c r="FZ436" s="35"/>
      <c r="GA436" s="35"/>
      <c r="GB436" s="318"/>
      <c r="GC436" s="178">
        <f t="shared" ref="GC436:GC460" si="80">ROUND(IF($C436="Primary",0,-$G436*(SUMPRODUCT($Q$4:$GA$4,$Q436:$GA436)+$J436)-$H436)*IF($N436=GC$4,1,0),4)</f>
        <v>0</v>
      </c>
      <c r="GD436" s="178">
        <f t="shared" ref="GD436:GD460" si="81">ROUND(IF($C436="Primary",0,$M436*(1-$O436)*($G436*(SUMPRODUCT($Q$4:$GA$4,$Q436:$GA436)+$J436)+$H436-SUMPRODUCT($Q$5:$GA$5,$Q436:$GA436)-$I436+$K436))*IF($N436=GD$4,1,0),4)</f>
        <v>0</v>
      </c>
      <c r="GE436" s="178">
        <f t="shared" ref="GE436:GE460" si="82">ROUND(IF($C436="Primary",0,(1-$M436)*(1-$O436)*($G436*(SUMPRODUCT($Q$4:$GA$4,$Q436:$GA436)+$J436)+$H436-SUMPRODUCT($Q$5:$GA$5,$Q436:$GA436)-$I436+$L436))*IF($N436=GD$4,1,0),4)</f>
        <v>0</v>
      </c>
      <c r="GF436" s="178">
        <f t="shared" ref="GF436:GF460" si="83">ROUND(IF($C436="Primary",0,$O436*($G436*(SUMPRODUCT($Q$4:$GA$4,$Q436:$GA436)+$J436)-SUMPRODUCT($Q$5:$GA$5,$Q436:$GA436)-$I436))*IF($N436=GD$4,1,0),4)</f>
        <v>0</v>
      </c>
      <c r="GG436" s="178">
        <f t="shared" si="78"/>
        <v>0</v>
      </c>
    </row>
    <row r="437" spans="1:189" x14ac:dyDescent="0.35">
      <c r="A437" s="357" t="s">
        <v>1702</v>
      </c>
      <c r="B437" s="6" t="str">
        <f>IF(Technologies!B437&lt;&gt;0,Technologies!B437,"")</f>
        <v/>
      </c>
      <c r="C437" s="5" t="str">
        <f>VLOOKUP($A437,Technologies!$A$7:$H$576,3,FALSE)</f>
        <v>Primary</v>
      </c>
      <c r="D437" s="5" t="str">
        <f>VLOOKUP($A437,Technologies!$A$7:$H$576,4,FALSE)</f>
        <v>Material</v>
      </c>
      <c r="E437" s="5" t="str">
        <f>VLOOKUP($A437,Technologies!$A$7:$H$576,6,FALSE)</f>
        <v>Iron ore</v>
      </c>
      <c r="F437" s="5" t="str">
        <f>VLOOKUP($A437,Technologies!$A$7:$H$576,7,FALSE)</f>
        <v>Imported or purchased iron ore</v>
      </c>
      <c r="G437" s="23"/>
      <c r="H437" s="23"/>
      <c r="I437" s="103" cm="1">
        <f t="array" ref="I437">-SUMPRODUCT((Feedstocks!$C$4:$C$141=A437)*Feedstocks!$E$4:$E$141,Feedstocks!$F$4:$F$141,Feedstocks!$H$4:$H$141,Feedstocks!$I$4:$I$141)</f>
        <v>0</v>
      </c>
      <c r="J437" s="103" cm="1">
        <f t="array" ref="J437">-SUMPRODUCT((Feedstocks!$C$4:$C$141=A437)*Feedstocks!$E$4:$E$141,Feedstocks!$H$4:$H$141,Feedstocks!$I$4:$I$141)</f>
        <v>0</v>
      </c>
      <c r="K437" s="103"/>
      <c r="L437" s="104"/>
      <c r="M437" s="23"/>
      <c r="N437" s="23" t="str">
        <f>VLOOKUP(E437,Activities!$A$9:$M$227,13,FALSE)</f>
        <v>NL</v>
      </c>
      <c r="O437" s="23"/>
      <c r="P437" s="79"/>
      <c r="Q437" s="35"/>
      <c r="R437" s="35"/>
      <c r="S437" s="35"/>
      <c r="T437" s="35"/>
      <c r="U437" s="35"/>
      <c r="V437" s="35"/>
      <c r="W437" s="35"/>
      <c r="X437" s="35"/>
      <c r="Y437" s="35"/>
      <c r="Z437" s="35"/>
      <c r="AA437" s="35"/>
      <c r="AB437" s="35"/>
      <c r="AC437" s="35"/>
      <c r="AD437" s="35"/>
      <c r="AE437" s="35"/>
      <c r="AF437" s="36"/>
      <c r="AG437" s="36"/>
      <c r="AH437" s="36"/>
      <c r="AI437" s="36"/>
      <c r="AJ437" s="36"/>
      <c r="AK437" s="36"/>
      <c r="AL437" s="36"/>
      <c r="AM437" s="36"/>
      <c r="AN437" s="36"/>
      <c r="AO437" s="36"/>
      <c r="AP437" s="35"/>
      <c r="AQ437" s="35"/>
      <c r="AR437" s="35"/>
      <c r="AS437" s="35"/>
      <c r="AT437" s="35"/>
      <c r="AU437" s="35"/>
      <c r="AV437" s="35"/>
      <c r="AW437" s="35"/>
      <c r="AX437" s="35"/>
      <c r="AY437" s="35"/>
      <c r="AZ437" s="35"/>
      <c r="BA437" s="35"/>
      <c r="BB437" s="35"/>
      <c r="BC437" s="35"/>
      <c r="BD437" s="35"/>
      <c r="BE437" s="35"/>
      <c r="BF437" s="35"/>
      <c r="BG437" s="35"/>
      <c r="BH437" s="35"/>
      <c r="BI437" s="35"/>
      <c r="BJ437" s="35"/>
      <c r="BK437" s="35"/>
      <c r="BL437" s="35"/>
      <c r="BM437" s="35"/>
      <c r="BN437" s="35"/>
      <c r="BO437" s="35"/>
      <c r="BP437" s="35"/>
      <c r="BQ437" s="35"/>
      <c r="BR437" s="35"/>
      <c r="BS437" s="35"/>
      <c r="BT437" s="35"/>
      <c r="BU437" s="35"/>
      <c r="BV437" s="35"/>
      <c r="BW437" s="35"/>
      <c r="BX437" s="35"/>
      <c r="BY437" s="35"/>
      <c r="BZ437" s="35"/>
      <c r="CA437" s="35"/>
      <c r="CB437" s="35"/>
      <c r="CC437" s="35"/>
      <c r="CD437" s="35"/>
      <c r="CE437" s="35"/>
      <c r="CF437" s="35"/>
      <c r="CG437" s="35"/>
      <c r="CH437" s="35"/>
      <c r="CI437" s="35"/>
      <c r="CJ437" s="35"/>
      <c r="CK437" s="35"/>
      <c r="CL437" s="35"/>
      <c r="CM437" s="35"/>
      <c r="CN437" s="35"/>
      <c r="CO437" s="35"/>
      <c r="CP437" s="35"/>
      <c r="CQ437" s="318">
        <v>1</v>
      </c>
      <c r="CR437" s="318"/>
      <c r="CS437" s="35"/>
      <c r="CT437" s="35"/>
      <c r="CU437" s="35"/>
      <c r="CV437" s="35"/>
      <c r="CW437" s="35"/>
      <c r="CX437" s="35"/>
      <c r="CY437" s="35"/>
      <c r="CZ437" s="35"/>
      <c r="DA437" s="35"/>
      <c r="DB437" s="35"/>
      <c r="DC437" s="35"/>
      <c r="DD437" s="35"/>
      <c r="DE437" s="35"/>
      <c r="DF437" s="35"/>
      <c r="DG437" s="35"/>
      <c r="DH437" s="35"/>
      <c r="DI437" s="35"/>
      <c r="DJ437" s="35"/>
      <c r="DK437" s="35"/>
      <c r="DL437" s="35"/>
      <c r="DM437" s="35"/>
      <c r="DN437" s="35"/>
      <c r="DO437" s="35"/>
      <c r="DP437" s="35"/>
      <c r="DQ437" s="35"/>
      <c r="DR437" s="35"/>
      <c r="DS437" s="35"/>
      <c r="DT437" s="35"/>
      <c r="DU437" s="35"/>
      <c r="DV437" s="35"/>
      <c r="DW437" s="35"/>
      <c r="DX437" s="35"/>
      <c r="DY437" s="35"/>
      <c r="DZ437" s="35"/>
      <c r="EA437" s="35"/>
      <c r="EB437" s="35"/>
      <c r="EC437" s="35"/>
      <c r="ED437" s="35"/>
      <c r="EE437" s="35"/>
      <c r="EF437" s="35"/>
      <c r="EG437" s="35"/>
      <c r="EH437" s="35"/>
      <c r="EI437" s="35"/>
      <c r="EJ437" s="35"/>
      <c r="EK437" s="35"/>
      <c r="EL437" s="35"/>
      <c r="EM437" s="35"/>
      <c r="EN437" s="35"/>
      <c r="EO437" s="35"/>
      <c r="EP437" s="35"/>
      <c r="EQ437" s="35"/>
      <c r="ER437" s="35"/>
      <c r="ES437" s="35"/>
      <c r="ET437" s="35"/>
      <c r="EU437" s="35"/>
      <c r="EV437" s="35"/>
      <c r="EW437" s="35"/>
      <c r="EX437" s="35"/>
      <c r="EY437" s="35"/>
      <c r="EZ437" s="35"/>
      <c r="FA437" s="35"/>
      <c r="FB437" s="35"/>
      <c r="FC437" s="35"/>
      <c r="FD437" s="35"/>
      <c r="FE437" s="35"/>
      <c r="FF437" s="35"/>
      <c r="FG437" s="35"/>
      <c r="FH437" s="35"/>
      <c r="FI437" s="35"/>
      <c r="FJ437" s="35"/>
      <c r="FK437" s="35"/>
      <c r="FL437" s="35"/>
      <c r="FM437" s="35"/>
      <c r="FN437" s="35"/>
      <c r="FO437" s="35"/>
      <c r="FP437" s="35"/>
      <c r="FQ437" s="35"/>
      <c r="FR437" s="35"/>
      <c r="FS437" s="35"/>
      <c r="FT437" s="35"/>
      <c r="FU437" s="35"/>
      <c r="FV437" s="35"/>
      <c r="FW437" s="35"/>
      <c r="FX437" s="35"/>
      <c r="FY437" s="35"/>
      <c r="FZ437" s="35"/>
      <c r="GA437" s="35"/>
      <c r="GB437" s="318"/>
      <c r="GC437" s="179">
        <f t="shared" si="80"/>
        <v>0</v>
      </c>
      <c r="GD437" s="179">
        <f t="shared" si="81"/>
        <v>0</v>
      </c>
      <c r="GE437" s="179">
        <f t="shared" si="82"/>
        <v>0</v>
      </c>
      <c r="GF437" s="179">
        <f t="shared" si="83"/>
        <v>0</v>
      </c>
      <c r="GG437" s="179">
        <f t="shared" si="78"/>
        <v>0</v>
      </c>
    </row>
    <row r="438" spans="1:189" x14ac:dyDescent="0.35">
      <c r="A438" s="357" t="s">
        <v>1705</v>
      </c>
      <c r="B438" s="6" t="str">
        <f>IF(Technologies!B438&lt;&gt;0,Technologies!B438,"")</f>
        <v/>
      </c>
      <c r="C438" s="5" t="str">
        <f>VLOOKUP($A438,Technologies!$A$7:$H$576,3,FALSE)</f>
        <v>Primary</v>
      </c>
      <c r="D438" s="5" t="str">
        <f>VLOOKUP($A438,Technologies!$A$7:$H$576,4,FALSE)</f>
        <v>Material</v>
      </c>
      <c r="E438" s="5" t="str">
        <f>VLOOKUP($A438,Technologies!$A$7:$H$576,6,FALSE)</f>
        <v>Limestone</v>
      </c>
      <c r="F438" s="5" t="str">
        <f>VLOOKUP($A438,Technologies!$A$7:$H$576,7,FALSE)</f>
        <v>Imported or purchased limestone</v>
      </c>
      <c r="G438" s="23"/>
      <c r="H438" s="23"/>
      <c r="I438" s="103" cm="1">
        <f t="array" ref="I438">-SUMPRODUCT((Feedstocks!$C$4:$C$141=A438)*Feedstocks!$E$4:$E$141,Feedstocks!$F$4:$F$141,Feedstocks!$H$4:$H$141,Feedstocks!$I$4:$I$141)</f>
        <v>0</v>
      </c>
      <c r="J438" s="103" cm="1">
        <f t="array" ref="J438">-SUMPRODUCT((Feedstocks!$C$4:$C$141=A438)*Feedstocks!$E$4:$E$141,Feedstocks!$H$4:$H$141,Feedstocks!$I$4:$I$141)</f>
        <v>0</v>
      </c>
      <c r="K438" s="103"/>
      <c r="L438" s="104"/>
      <c r="M438" s="23"/>
      <c r="N438" s="23" t="str">
        <f>VLOOKUP(E438,Activities!$A$9:$M$227,13,FALSE)</f>
        <v>NL</v>
      </c>
      <c r="O438" s="23"/>
      <c r="P438" s="79"/>
      <c r="Q438" s="35"/>
      <c r="R438" s="35"/>
      <c r="S438" s="35"/>
      <c r="T438" s="35"/>
      <c r="U438" s="35"/>
      <c r="V438" s="35"/>
      <c r="W438" s="35"/>
      <c r="X438" s="35"/>
      <c r="Y438" s="35"/>
      <c r="Z438" s="35"/>
      <c r="AA438" s="35"/>
      <c r="AB438" s="35"/>
      <c r="AC438" s="35"/>
      <c r="AD438" s="35"/>
      <c r="AE438" s="35"/>
      <c r="AF438" s="36"/>
      <c r="AG438" s="36"/>
      <c r="AH438" s="36"/>
      <c r="AI438" s="36"/>
      <c r="AJ438" s="36"/>
      <c r="AK438" s="36"/>
      <c r="AL438" s="36"/>
      <c r="AM438" s="36"/>
      <c r="AN438" s="36"/>
      <c r="AO438" s="36"/>
      <c r="AP438" s="35"/>
      <c r="AQ438" s="35"/>
      <c r="AR438" s="35"/>
      <c r="AS438" s="35"/>
      <c r="AT438" s="35"/>
      <c r="AU438" s="35"/>
      <c r="AV438" s="35"/>
      <c r="AW438" s="35"/>
      <c r="AX438" s="35"/>
      <c r="AY438" s="35"/>
      <c r="AZ438" s="35"/>
      <c r="BA438" s="35"/>
      <c r="BB438" s="35"/>
      <c r="BC438" s="35"/>
      <c r="BD438" s="35"/>
      <c r="BE438" s="35"/>
      <c r="BF438" s="35"/>
      <c r="BG438" s="35"/>
      <c r="BH438" s="35"/>
      <c r="BI438" s="35"/>
      <c r="BJ438" s="35"/>
      <c r="BK438" s="35"/>
      <c r="BL438" s="35"/>
      <c r="BM438" s="35"/>
      <c r="BN438" s="35"/>
      <c r="BO438" s="35"/>
      <c r="BP438" s="35"/>
      <c r="BQ438" s="35"/>
      <c r="BR438" s="35"/>
      <c r="BS438" s="35"/>
      <c r="BT438" s="35"/>
      <c r="BU438" s="35"/>
      <c r="BV438" s="35"/>
      <c r="BW438" s="35"/>
      <c r="BX438" s="35"/>
      <c r="BY438" s="35"/>
      <c r="BZ438" s="35"/>
      <c r="CA438" s="35"/>
      <c r="CB438" s="35"/>
      <c r="CC438" s="35"/>
      <c r="CD438" s="35"/>
      <c r="CE438" s="35"/>
      <c r="CF438" s="35"/>
      <c r="CG438" s="35"/>
      <c r="CH438" s="35"/>
      <c r="CI438" s="35"/>
      <c r="CJ438" s="35"/>
      <c r="CK438" s="35"/>
      <c r="CL438" s="35"/>
      <c r="CM438" s="35"/>
      <c r="CN438" s="35"/>
      <c r="CO438" s="35"/>
      <c r="CP438" s="35"/>
      <c r="CQ438" s="318"/>
      <c r="CR438" s="318">
        <v>1</v>
      </c>
      <c r="CS438" s="35"/>
      <c r="CT438" s="35"/>
      <c r="CU438" s="35"/>
      <c r="CV438" s="35"/>
      <c r="CW438" s="35"/>
      <c r="CX438" s="35"/>
      <c r="CY438" s="35"/>
      <c r="CZ438" s="35"/>
      <c r="DA438" s="35"/>
      <c r="DB438" s="35"/>
      <c r="DC438" s="35"/>
      <c r="DD438" s="35"/>
      <c r="DE438" s="35"/>
      <c r="DF438" s="35"/>
      <c r="DG438" s="35"/>
      <c r="DH438" s="35"/>
      <c r="DI438" s="35"/>
      <c r="DJ438" s="35"/>
      <c r="DK438" s="35"/>
      <c r="DL438" s="35"/>
      <c r="DM438" s="35"/>
      <c r="DN438" s="35"/>
      <c r="DO438" s="35"/>
      <c r="DP438" s="35"/>
      <c r="DQ438" s="35"/>
      <c r="DR438" s="35"/>
      <c r="DS438" s="35"/>
      <c r="DT438" s="35"/>
      <c r="DU438" s="35"/>
      <c r="DV438" s="35"/>
      <c r="DW438" s="35"/>
      <c r="DX438" s="35"/>
      <c r="DY438" s="35"/>
      <c r="DZ438" s="35"/>
      <c r="EA438" s="35"/>
      <c r="EB438" s="35"/>
      <c r="EC438" s="35"/>
      <c r="ED438" s="35"/>
      <c r="EE438" s="35"/>
      <c r="EF438" s="35"/>
      <c r="EG438" s="35"/>
      <c r="EH438" s="35"/>
      <c r="EI438" s="35"/>
      <c r="EJ438" s="35"/>
      <c r="EK438" s="35"/>
      <c r="EL438" s="35"/>
      <c r="EM438" s="35"/>
      <c r="EN438" s="35"/>
      <c r="EO438" s="35"/>
      <c r="EP438" s="35"/>
      <c r="EQ438" s="35"/>
      <c r="ER438" s="35"/>
      <c r="ES438" s="35"/>
      <c r="ET438" s="35"/>
      <c r="EU438" s="35"/>
      <c r="EV438" s="35"/>
      <c r="EW438" s="35"/>
      <c r="EX438" s="35"/>
      <c r="EY438" s="35"/>
      <c r="EZ438" s="35"/>
      <c r="FA438" s="35"/>
      <c r="FB438" s="35"/>
      <c r="FC438" s="35"/>
      <c r="FD438" s="35"/>
      <c r="FE438" s="35"/>
      <c r="FF438" s="35"/>
      <c r="FG438" s="35"/>
      <c r="FH438" s="35"/>
      <c r="FI438" s="35"/>
      <c r="FJ438" s="35"/>
      <c r="FK438" s="35"/>
      <c r="FL438" s="35"/>
      <c r="FM438" s="35"/>
      <c r="FN438" s="35"/>
      <c r="FO438" s="35"/>
      <c r="FP438" s="35"/>
      <c r="FQ438" s="35"/>
      <c r="FR438" s="35"/>
      <c r="FS438" s="35"/>
      <c r="FT438" s="35"/>
      <c r="FU438" s="35"/>
      <c r="FV438" s="35"/>
      <c r="FW438" s="35"/>
      <c r="FX438" s="35"/>
      <c r="FY438" s="35"/>
      <c r="FZ438" s="35"/>
      <c r="GA438" s="35"/>
      <c r="GB438" s="318"/>
      <c r="GC438" s="178">
        <f t="shared" si="80"/>
        <v>0</v>
      </c>
      <c r="GD438" s="178">
        <f t="shared" si="81"/>
        <v>0</v>
      </c>
      <c r="GE438" s="178">
        <f t="shared" si="82"/>
        <v>0</v>
      </c>
      <c r="GF438" s="178">
        <f t="shared" si="83"/>
        <v>0</v>
      </c>
      <c r="GG438" s="178">
        <f t="shared" si="78"/>
        <v>0</v>
      </c>
    </row>
    <row r="439" spans="1:189" x14ac:dyDescent="0.35">
      <c r="A439" s="357" t="s">
        <v>2038</v>
      </c>
      <c r="B439" s="6" t="str">
        <f>IF(Technologies!B439&lt;&gt;0,Technologies!B439,"")</f>
        <v/>
      </c>
      <c r="C439" s="5" t="str">
        <f>VLOOKUP($A439,Technologies!$A$7:$H$576,3,FALSE)</f>
        <v>Primary</v>
      </c>
      <c r="D439" s="5" t="str">
        <f>VLOOKUP($A439,Technologies!$A$7:$H$576,4,FALSE)</f>
        <v>Material</v>
      </c>
      <c r="E439" s="5" t="str">
        <f>VLOOKUP($A439,Technologies!$A$7:$H$576,6,FALSE)</f>
        <v>Extracted salt</v>
      </c>
      <c r="F439" s="5" t="str">
        <f>VLOOKUP($A439,Technologies!$A$7:$H$576,7,FALSE)</f>
        <v>Extracted salt</v>
      </c>
      <c r="G439" s="23"/>
      <c r="H439" s="23"/>
      <c r="I439" s="103"/>
      <c r="J439" s="103"/>
      <c r="K439" s="103"/>
      <c r="L439" s="104"/>
      <c r="M439" s="23"/>
      <c r="N439" s="23" t="str">
        <f>VLOOKUP(E439,Activities!$A$9:$M$227,13,FALSE)</f>
        <v>NL</v>
      </c>
      <c r="O439" s="23"/>
      <c r="P439" s="79"/>
      <c r="Q439" s="35"/>
      <c r="R439" s="35"/>
      <c r="S439" s="35"/>
      <c r="T439" s="35"/>
      <c r="U439" s="35"/>
      <c r="V439" s="35"/>
      <c r="W439" s="35"/>
      <c r="X439" s="35"/>
      <c r="Y439" s="35"/>
      <c r="Z439" s="35"/>
      <c r="AA439" s="35"/>
      <c r="AB439" s="35"/>
      <c r="AC439" s="35"/>
      <c r="AD439" s="35"/>
      <c r="AE439" s="35"/>
      <c r="AF439" s="36"/>
      <c r="AG439" s="36"/>
      <c r="AH439" s="36"/>
      <c r="AI439" s="36"/>
      <c r="AJ439" s="36"/>
      <c r="AK439" s="36"/>
      <c r="AL439" s="36"/>
      <c r="AM439" s="36"/>
      <c r="AN439" s="36"/>
      <c r="AO439" s="36"/>
      <c r="AP439" s="35"/>
      <c r="AQ439" s="35"/>
      <c r="AR439" s="35"/>
      <c r="AS439" s="35"/>
      <c r="AT439" s="35"/>
      <c r="AU439" s="35"/>
      <c r="AV439" s="35"/>
      <c r="AW439" s="35"/>
      <c r="AX439" s="35"/>
      <c r="AY439" s="35"/>
      <c r="AZ439" s="35"/>
      <c r="BA439" s="35"/>
      <c r="BB439" s="35"/>
      <c r="BC439" s="35"/>
      <c r="BD439" s="35"/>
      <c r="BE439" s="35"/>
      <c r="BF439" s="35"/>
      <c r="BG439" s="35"/>
      <c r="BH439" s="35"/>
      <c r="BI439" s="35"/>
      <c r="BJ439" s="35"/>
      <c r="BK439" s="35"/>
      <c r="BL439" s="35"/>
      <c r="BM439" s="35"/>
      <c r="BN439" s="35"/>
      <c r="BO439" s="35"/>
      <c r="BP439" s="35"/>
      <c r="BQ439" s="35"/>
      <c r="BR439" s="35"/>
      <c r="BS439" s="35"/>
      <c r="BT439" s="35"/>
      <c r="BU439" s="35"/>
      <c r="BV439" s="35"/>
      <c r="BW439" s="35"/>
      <c r="BX439" s="35"/>
      <c r="BY439" s="35"/>
      <c r="BZ439" s="35"/>
      <c r="CA439" s="35"/>
      <c r="CB439" s="35"/>
      <c r="CC439" s="35"/>
      <c r="CD439" s="35"/>
      <c r="CE439" s="319"/>
      <c r="CF439" s="319"/>
      <c r="CG439" s="319"/>
      <c r="CH439" s="319"/>
      <c r="CI439" s="319"/>
      <c r="CJ439" s="319"/>
      <c r="CK439" s="319"/>
      <c r="CL439" s="319">
        <v>1</v>
      </c>
      <c r="CM439" s="319"/>
      <c r="CN439" s="319"/>
      <c r="CO439" s="35"/>
      <c r="CP439" s="35"/>
      <c r="CQ439" s="318"/>
      <c r="CR439" s="318"/>
      <c r="CS439" s="35"/>
      <c r="CT439" s="35"/>
      <c r="CU439" s="35"/>
      <c r="CV439" s="35"/>
      <c r="CW439" s="35"/>
      <c r="CX439" s="35"/>
      <c r="CY439" s="35"/>
      <c r="CZ439" s="35"/>
      <c r="DA439" s="35"/>
      <c r="DB439" s="35"/>
      <c r="DC439" s="35"/>
      <c r="DD439" s="35"/>
      <c r="DE439" s="35"/>
      <c r="DF439" s="35"/>
      <c r="DG439" s="35"/>
      <c r="DH439" s="35"/>
      <c r="DI439" s="35"/>
      <c r="DJ439" s="35"/>
      <c r="DK439" s="35"/>
      <c r="DL439" s="35"/>
      <c r="DM439" s="35"/>
      <c r="DN439" s="35"/>
      <c r="DO439" s="35"/>
      <c r="DP439" s="35"/>
      <c r="DQ439" s="35"/>
      <c r="DR439" s="35"/>
      <c r="DS439" s="35"/>
      <c r="DT439" s="35"/>
      <c r="DU439" s="35"/>
      <c r="DV439" s="35"/>
      <c r="DW439" s="35"/>
      <c r="DX439" s="35"/>
      <c r="DY439" s="35"/>
      <c r="DZ439" s="35"/>
      <c r="EA439" s="35"/>
      <c r="EB439" s="35"/>
      <c r="EC439" s="35"/>
      <c r="ED439" s="35"/>
      <c r="EE439" s="35"/>
      <c r="EF439" s="35"/>
      <c r="EG439" s="35"/>
      <c r="EH439" s="35"/>
      <c r="EI439" s="35"/>
      <c r="EJ439" s="35"/>
      <c r="EK439" s="35"/>
      <c r="EL439" s="35"/>
      <c r="EM439" s="35"/>
      <c r="EN439" s="35"/>
      <c r="EO439" s="35"/>
      <c r="EP439" s="35"/>
      <c r="EQ439" s="35"/>
      <c r="ER439" s="35"/>
      <c r="ES439" s="35"/>
      <c r="ET439" s="35"/>
      <c r="EU439" s="35"/>
      <c r="EV439" s="35"/>
      <c r="EW439" s="35"/>
      <c r="EX439" s="35"/>
      <c r="EY439" s="35"/>
      <c r="EZ439" s="35"/>
      <c r="FA439" s="35"/>
      <c r="FB439" s="35"/>
      <c r="FC439" s="35"/>
      <c r="FD439" s="35"/>
      <c r="FE439" s="35"/>
      <c r="FF439" s="35"/>
      <c r="FG439" s="35"/>
      <c r="FH439" s="35"/>
      <c r="FI439" s="35"/>
      <c r="FJ439" s="35"/>
      <c r="FK439" s="35"/>
      <c r="FL439" s="35"/>
      <c r="FM439" s="35"/>
      <c r="FN439" s="35"/>
      <c r="FO439" s="35"/>
      <c r="FP439" s="35"/>
      <c r="FQ439" s="35"/>
      <c r="FR439" s="35"/>
      <c r="FS439" s="35"/>
      <c r="FT439" s="35"/>
      <c r="FU439" s="35"/>
      <c r="FV439" s="35"/>
      <c r="FW439" s="35"/>
      <c r="FX439" s="35"/>
      <c r="FY439" s="35"/>
      <c r="FZ439" s="35"/>
      <c r="GA439" s="35"/>
      <c r="GB439" s="318"/>
      <c r="GC439" s="179">
        <f t="shared" si="80"/>
        <v>0</v>
      </c>
      <c r="GD439" s="179">
        <f t="shared" si="81"/>
        <v>0</v>
      </c>
      <c r="GE439" s="179">
        <f t="shared" si="82"/>
        <v>0</v>
      </c>
      <c r="GF439" s="179">
        <f t="shared" si="83"/>
        <v>0</v>
      </c>
      <c r="GG439" s="179">
        <f t="shared" si="78"/>
        <v>0</v>
      </c>
    </row>
    <row r="440" spans="1:189" x14ac:dyDescent="0.35">
      <c r="A440" s="357" t="s">
        <v>2041</v>
      </c>
      <c r="B440" s="6" t="str">
        <f>IF(Technologies!B440&lt;&gt;0,Technologies!B440,"")</f>
        <v/>
      </c>
      <c r="C440" s="5" t="str">
        <f>VLOOKUP($A440,Technologies!$A$7:$H$576,3,FALSE)</f>
        <v>Final</v>
      </c>
      <c r="D440" s="5" t="str">
        <f>VLOOKUP($A440,Technologies!$A$7:$H$576,4,FALSE)</f>
        <v>Material</v>
      </c>
      <c r="E440" s="5" t="str">
        <f>VLOOKUP($A440,Technologies!$A$7:$H$576,6,FALSE)</f>
        <v>Salt production</v>
      </c>
      <c r="F440" s="5" t="str">
        <f>VLOOKUP($A440,Technologies!$A$7:$H$576,7,FALSE)</f>
        <v>Imported salt</v>
      </c>
      <c r="G440" s="23"/>
      <c r="H440" s="23"/>
      <c r="I440" s="103"/>
      <c r="J440" s="103"/>
      <c r="K440" s="103"/>
      <c r="L440" s="104"/>
      <c r="M440" s="23"/>
      <c r="N440" s="23" t="str">
        <f>VLOOKUP(E440,Activities!$A$9:$M$227,13,FALSE)</f>
        <v>NL</v>
      </c>
      <c r="O440" s="23"/>
      <c r="P440" s="79"/>
      <c r="Q440" s="35"/>
      <c r="R440" s="35"/>
      <c r="S440" s="35"/>
      <c r="T440" s="35"/>
      <c r="U440" s="35"/>
      <c r="V440" s="35"/>
      <c r="W440" s="35"/>
      <c r="X440" s="35"/>
      <c r="Y440" s="35"/>
      <c r="Z440" s="35"/>
      <c r="AA440" s="35"/>
      <c r="AB440" s="35"/>
      <c r="AC440" s="35"/>
      <c r="AD440" s="35"/>
      <c r="AE440" s="35"/>
      <c r="AF440" s="36"/>
      <c r="AG440" s="36"/>
      <c r="AH440" s="36"/>
      <c r="AI440" s="36"/>
      <c r="AJ440" s="36"/>
      <c r="AK440" s="36"/>
      <c r="AL440" s="36"/>
      <c r="AM440" s="36"/>
      <c r="AN440" s="36"/>
      <c r="AO440" s="36"/>
      <c r="AP440" s="35"/>
      <c r="AQ440" s="35"/>
      <c r="AR440" s="35"/>
      <c r="AS440" s="35"/>
      <c r="AT440" s="35"/>
      <c r="AU440" s="35"/>
      <c r="AV440" s="35"/>
      <c r="AW440" s="35"/>
      <c r="AX440" s="35"/>
      <c r="AY440" s="35"/>
      <c r="AZ440" s="35"/>
      <c r="BA440" s="35"/>
      <c r="BB440" s="35"/>
      <c r="BC440" s="35"/>
      <c r="BD440" s="35"/>
      <c r="BE440" s="35"/>
      <c r="BF440" s="35"/>
      <c r="BG440" s="35"/>
      <c r="BH440" s="35"/>
      <c r="BI440" s="35"/>
      <c r="BJ440" s="35"/>
      <c r="BK440" s="35"/>
      <c r="BL440" s="35"/>
      <c r="BM440" s="35"/>
      <c r="BN440" s="35"/>
      <c r="BO440" s="35"/>
      <c r="BP440" s="35"/>
      <c r="BQ440" s="35"/>
      <c r="BR440" s="35"/>
      <c r="BS440" s="35"/>
      <c r="BT440" s="35"/>
      <c r="BU440" s="35"/>
      <c r="BV440" s="35"/>
      <c r="BW440" s="35"/>
      <c r="BX440" s="35"/>
      <c r="BY440" s="35"/>
      <c r="BZ440" s="35"/>
      <c r="CA440" s="35"/>
      <c r="CB440" s="35"/>
      <c r="CC440" s="35"/>
      <c r="CD440" s="35"/>
      <c r="CE440" s="319">
        <v>1</v>
      </c>
      <c r="CF440" s="319"/>
      <c r="CG440" s="319"/>
      <c r="CH440" s="319"/>
      <c r="CI440" s="319"/>
      <c r="CJ440" s="319"/>
      <c r="CK440" s="319"/>
      <c r="CL440" s="319"/>
      <c r="CM440" s="319"/>
      <c r="CN440" s="319"/>
      <c r="CO440" s="35"/>
      <c r="CP440" s="35"/>
      <c r="CQ440" s="318"/>
      <c r="CR440" s="318"/>
      <c r="CS440" s="35"/>
      <c r="CT440" s="35"/>
      <c r="CU440" s="35"/>
      <c r="CV440" s="35"/>
      <c r="CW440" s="35"/>
      <c r="CX440" s="35"/>
      <c r="CY440" s="35"/>
      <c r="CZ440" s="35"/>
      <c r="DA440" s="35"/>
      <c r="DB440" s="35"/>
      <c r="DC440" s="35"/>
      <c r="DD440" s="35"/>
      <c r="DE440" s="35"/>
      <c r="DF440" s="35"/>
      <c r="DG440" s="35"/>
      <c r="DH440" s="35"/>
      <c r="DI440" s="35"/>
      <c r="DJ440" s="35"/>
      <c r="DK440" s="35"/>
      <c r="DL440" s="35"/>
      <c r="DM440" s="35"/>
      <c r="DN440" s="35"/>
      <c r="DO440" s="35"/>
      <c r="DP440" s="35"/>
      <c r="DQ440" s="35"/>
      <c r="DR440" s="35"/>
      <c r="DS440" s="35"/>
      <c r="DT440" s="35"/>
      <c r="DU440" s="35"/>
      <c r="DV440" s="35"/>
      <c r="DW440" s="35"/>
      <c r="DX440" s="35"/>
      <c r="DY440" s="35"/>
      <c r="DZ440" s="35"/>
      <c r="EA440" s="35"/>
      <c r="EB440" s="35"/>
      <c r="EC440" s="35"/>
      <c r="ED440" s="35"/>
      <c r="EE440" s="35"/>
      <c r="EF440" s="35"/>
      <c r="EG440" s="35"/>
      <c r="EH440" s="35"/>
      <c r="EI440" s="35"/>
      <c r="EJ440" s="35"/>
      <c r="EK440" s="35"/>
      <c r="EL440" s="35"/>
      <c r="EM440" s="35"/>
      <c r="EN440" s="35"/>
      <c r="EO440" s="35"/>
      <c r="EP440" s="35"/>
      <c r="EQ440" s="35"/>
      <c r="ER440" s="35"/>
      <c r="ES440" s="35"/>
      <c r="ET440" s="35"/>
      <c r="EU440" s="35"/>
      <c r="EV440" s="35"/>
      <c r="EW440" s="35"/>
      <c r="EX440" s="35"/>
      <c r="EY440" s="35"/>
      <c r="EZ440" s="35"/>
      <c r="FA440" s="35"/>
      <c r="FB440" s="35"/>
      <c r="FC440" s="35"/>
      <c r="FD440" s="35"/>
      <c r="FE440" s="35"/>
      <c r="FF440" s="35"/>
      <c r="FG440" s="35"/>
      <c r="FH440" s="35"/>
      <c r="FI440" s="35"/>
      <c r="FJ440" s="35"/>
      <c r="FK440" s="35"/>
      <c r="FL440" s="35"/>
      <c r="FM440" s="35"/>
      <c r="FN440" s="35"/>
      <c r="FO440" s="35"/>
      <c r="FP440" s="35"/>
      <c r="FQ440" s="35"/>
      <c r="FR440" s="35"/>
      <c r="FS440" s="35"/>
      <c r="FT440" s="35"/>
      <c r="FU440" s="35"/>
      <c r="FV440" s="35"/>
      <c r="FW440" s="35"/>
      <c r="FX440" s="35"/>
      <c r="FY440" s="35"/>
      <c r="FZ440" s="35"/>
      <c r="GA440" s="35"/>
      <c r="GB440" s="318"/>
      <c r="GC440" s="178">
        <f t="shared" si="80"/>
        <v>0</v>
      </c>
      <c r="GD440" s="178">
        <f t="shared" si="81"/>
        <v>0</v>
      </c>
      <c r="GE440" s="178">
        <f t="shared" si="82"/>
        <v>0</v>
      </c>
      <c r="GF440" s="178">
        <f t="shared" si="83"/>
        <v>0</v>
      </c>
      <c r="GG440" s="178">
        <f t="shared" si="78"/>
        <v>0</v>
      </c>
    </row>
    <row r="441" spans="1:189" x14ac:dyDescent="0.35">
      <c r="A441" s="357" t="s">
        <v>2043</v>
      </c>
      <c r="B441" s="6" t="str">
        <f>IF(Technologies!B441&lt;&gt;0,Technologies!B441,"")</f>
        <v/>
      </c>
      <c r="C441" s="5" t="str">
        <f>VLOOKUP($A441,Technologies!$A$7:$H$576,3,FALSE)</f>
        <v>Primary</v>
      </c>
      <c r="D441" s="5" t="str">
        <f>VLOOKUP($A441,Technologies!$A$7:$H$576,4,FALSE)</f>
        <v>Material</v>
      </c>
      <c r="E441" s="5" t="str">
        <f>VLOOKUP($A441,Technologies!$A$7:$H$576,6,FALSE)</f>
        <v>Clay</v>
      </c>
      <c r="F441" s="5" t="str">
        <f>VLOOKUP($A441,Technologies!$A$7:$H$576,7,FALSE)</f>
        <v>Extracted clay</v>
      </c>
      <c r="G441" s="23"/>
      <c r="H441" s="23"/>
      <c r="I441" s="103"/>
      <c r="J441" s="103"/>
      <c r="K441" s="103"/>
      <c r="L441" s="104"/>
      <c r="M441" s="23"/>
      <c r="N441" s="23" t="str">
        <f>VLOOKUP(E441,Activities!$A$9:$M$227,13,FALSE)</f>
        <v>NL</v>
      </c>
      <c r="O441" s="23"/>
      <c r="P441" s="79"/>
      <c r="Q441" s="35"/>
      <c r="R441" s="35"/>
      <c r="S441" s="35"/>
      <c r="T441" s="35"/>
      <c r="U441" s="35"/>
      <c r="V441" s="35"/>
      <c r="W441" s="35"/>
      <c r="X441" s="35"/>
      <c r="Y441" s="35"/>
      <c r="Z441" s="35"/>
      <c r="AA441" s="35"/>
      <c r="AB441" s="35"/>
      <c r="AC441" s="35"/>
      <c r="AD441" s="35"/>
      <c r="AE441" s="35"/>
      <c r="AF441" s="36"/>
      <c r="AG441" s="36"/>
      <c r="AH441" s="36"/>
      <c r="AI441" s="36"/>
      <c r="AJ441" s="36"/>
      <c r="AK441" s="36"/>
      <c r="AL441" s="36"/>
      <c r="AM441" s="36"/>
      <c r="AN441" s="36"/>
      <c r="AO441" s="36"/>
      <c r="AP441" s="35"/>
      <c r="AQ441" s="35"/>
      <c r="AR441" s="35"/>
      <c r="AS441" s="35"/>
      <c r="AT441" s="35"/>
      <c r="AU441" s="35"/>
      <c r="AV441" s="35"/>
      <c r="AW441" s="35"/>
      <c r="AX441" s="35"/>
      <c r="AY441" s="35"/>
      <c r="AZ441" s="35"/>
      <c r="BA441" s="35"/>
      <c r="BB441" s="35"/>
      <c r="BC441" s="35"/>
      <c r="BD441" s="35"/>
      <c r="BE441" s="35"/>
      <c r="BF441" s="35"/>
      <c r="BG441" s="35"/>
      <c r="BH441" s="35"/>
      <c r="BI441" s="35"/>
      <c r="BJ441" s="35"/>
      <c r="BK441" s="35"/>
      <c r="BL441" s="35"/>
      <c r="BM441" s="35"/>
      <c r="BN441" s="35"/>
      <c r="BO441" s="35"/>
      <c r="BP441" s="35"/>
      <c r="BQ441" s="35"/>
      <c r="BR441" s="35"/>
      <c r="BS441" s="35"/>
      <c r="BT441" s="35"/>
      <c r="BU441" s="35"/>
      <c r="BV441" s="35"/>
      <c r="BW441" s="35"/>
      <c r="BX441" s="35"/>
      <c r="BY441" s="35"/>
      <c r="BZ441" s="35"/>
      <c r="CA441" s="35"/>
      <c r="CB441" s="35"/>
      <c r="CC441" s="35"/>
      <c r="CD441" s="35"/>
      <c r="CE441" s="319"/>
      <c r="CF441" s="319"/>
      <c r="CG441" s="319"/>
      <c r="CH441" s="319"/>
      <c r="CI441" s="319"/>
      <c r="CJ441" s="319"/>
      <c r="CK441" s="319"/>
      <c r="CL441" s="319"/>
      <c r="CM441" s="319">
        <v>1</v>
      </c>
      <c r="CN441" s="319"/>
      <c r="CO441" s="35"/>
      <c r="CP441" s="35"/>
      <c r="CQ441" s="318"/>
      <c r="CR441" s="318"/>
      <c r="CS441" s="35"/>
      <c r="CT441" s="35"/>
      <c r="CU441" s="35"/>
      <c r="CV441" s="35"/>
      <c r="CW441" s="35"/>
      <c r="CX441" s="35"/>
      <c r="CY441" s="35"/>
      <c r="CZ441" s="35"/>
      <c r="DA441" s="35"/>
      <c r="DB441" s="35"/>
      <c r="DC441" s="35"/>
      <c r="DD441" s="35"/>
      <c r="DE441" s="35"/>
      <c r="DF441" s="35"/>
      <c r="DG441" s="35"/>
      <c r="DH441" s="35"/>
      <c r="DI441" s="35"/>
      <c r="DJ441" s="35"/>
      <c r="DK441" s="35"/>
      <c r="DL441" s="35"/>
      <c r="DM441" s="35"/>
      <c r="DN441" s="35"/>
      <c r="DO441" s="35"/>
      <c r="DP441" s="35"/>
      <c r="DQ441" s="35"/>
      <c r="DR441" s="35"/>
      <c r="DS441" s="35"/>
      <c r="DT441" s="35"/>
      <c r="DU441" s="35"/>
      <c r="DV441" s="35"/>
      <c r="DW441" s="35"/>
      <c r="DX441" s="35"/>
      <c r="DY441" s="35"/>
      <c r="DZ441" s="35"/>
      <c r="EA441" s="35"/>
      <c r="EB441" s="35"/>
      <c r="EC441" s="35"/>
      <c r="ED441" s="35"/>
      <c r="EE441" s="35"/>
      <c r="EF441" s="35"/>
      <c r="EG441" s="35"/>
      <c r="EH441" s="35"/>
      <c r="EI441" s="35"/>
      <c r="EJ441" s="35"/>
      <c r="EK441" s="35"/>
      <c r="EL441" s="35"/>
      <c r="EM441" s="35"/>
      <c r="EN441" s="35"/>
      <c r="EO441" s="35"/>
      <c r="EP441" s="35"/>
      <c r="EQ441" s="35"/>
      <c r="ER441" s="35"/>
      <c r="ES441" s="35"/>
      <c r="ET441" s="35"/>
      <c r="EU441" s="35"/>
      <c r="EV441" s="35"/>
      <c r="EW441" s="35"/>
      <c r="EX441" s="35"/>
      <c r="EY441" s="35"/>
      <c r="EZ441" s="35"/>
      <c r="FA441" s="35"/>
      <c r="FB441" s="35"/>
      <c r="FC441" s="35"/>
      <c r="FD441" s="35"/>
      <c r="FE441" s="35"/>
      <c r="FF441" s="35"/>
      <c r="FG441" s="35"/>
      <c r="FH441" s="35"/>
      <c r="FI441" s="35"/>
      <c r="FJ441" s="35"/>
      <c r="FK441" s="35"/>
      <c r="FL441" s="35"/>
      <c r="FM441" s="35"/>
      <c r="FN441" s="35"/>
      <c r="FO441" s="35"/>
      <c r="FP441" s="35"/>
      <c r="FQ441" s="35"/>
      <c r="FR441" s="35"/>
      <c r="FS441" s="35"/>
      <c r="FT441" s="35"/>
      <c r="FU441" s="35"/>
      <c r="FV441" s="35"/>
      <c r="FW441" s="35"/>
      <c r="FX441" s="35"/>
      <c r="FY441" s="35"/>
      <c r="FZ441" s="35"/>
      <c r="GA441" s="35"/>
      <c r="GB441" s="318"/>
      <c r="GC441" s="179">
        <f t="shared" si="80"/>
        <v>0</v>
      </c>
      <c r="GD441" s="179">
        <f t="shared" si="81"/>
        <v>0</v>
      </c>
      <c r="GE441" s="179">
        <f t="shared" si="82"/>
        <v>0</v>
      </c>
      <c r="GF441" s="179">
        <f t="shared" si="83"/>
        <v>0</v>
      </c>
      <c r="GG441" s="179">
        <f t="shared" si="78"/>
        <v>0</v>
      </c>
    </row>
    <row r="442" spans="1:189" x14ac:dyDescent="0.35">
      <c r="A442" s="357" t="s">
        <v>2046</v>
      </c>
      <c r="B442" s="6" t="str">
        <f>IF(Technologies!B442&lt;&gt;0,Technologies!B442,"")</f>
        <v>Industrie</v>
      </c>
      <c r="C442" s="5" t="str">
        <f>VLOOKUP($A442,Technologies!$A$7:$H$576,3,FALSE)</f>
        <v>Final</v>
      </c>
      <c r="D442" s="5" t="str">
        <f>VLOOKUP($A442,Technologies!$A$7:$H$576,4,FALSE)</f>
        <v>Industry</v>
      </c>
      <c r="E442" s="5" t="str">
        <f>VLOOKUP($A442,Technologies!$A$7:$H$576,6,FALSE)</f>
        <v>Salt production</v>
      </c>
      <c r="F442" s="5" t="str">
        <f>VLOOKUP($A442,Technologies!$A$7:$H$576,7,FALSE)</f>
        <v>Salt production (4,5 MEV and MVR)</v>
      </c>
      <c r="G442" s="23"/>
      <c r="H442" s="23"/>
      <c r="I442" s="103"/>
      <c r="J442" s="103"/>
      <c r="K442" s="103"/>
      <c r="L442" s="104"/>
      <c r="M442" s="23"/>
      <c r="N442" s="23" t="str">
        <f>VLOOKUP(E442,Activities!$A$9:$M$227,13,FALSE)</f>
        <v>NL</v>
      </c>
      <c r="O442" s="23"/>
      <c r="P442" s="79"/>
      <c r="Q442" s="35"/>
      <c r="R442" s="35"/>
      <c r="S442" s="35"/>
      <c r="T442" s="35"/>
      <c r="U442" s="35"/>
      <c r="V442" s="35"/>
      <c r="W442" s="35"/>
      <c r="X442" s="35"/>
      <c r="Y442" s="35"/>
      <c r="Z442" s="35"/>
      <c r="AA442" s="35"/>
      <c r="AB442" s="35"/>
      <c r="AC442" s="35"/>
      <c r="AD442" s="35"/>
      <c r="AE442" s="35"/>
      <c r="AF442" s="36"/>
      <c r="AG442" s="36"/>
      <c r="AH442" s="36"/>
      <c r="AI442" s="36"/>
      <c r="AJ442" s="36"/>
      <c r="AK442" s="36"/>
      <c r="AL442" s="36"/>
      <c r="AM442" s="36"/>
      <c r="AN442" s="36"/>
      <c r="AO442" s="36"/>
      <c r="AP442" s="35"/>
      <c r="AQ442" s="35"/>
      <c r="AR442" s="35"/>
      <c r="AS442" s="35"/>
      <c r="AT442" s="35"/>
      <c r="AU442" s="35"/>
      <c r="AV442" s="35"/>
      <c r="AW442" s="35"/>
      <c r="AX442" s="35"/>
      <c r="AY442" s="35"/>
      <c r="AZ442" s="35"/>
      <c r="BA442" s="35"/>
      <c r="BB442" s="35"/>
      <c r="BC442" s="35"/>
      <c r="BD442" s="35"/>
      <c r="BE442" s="35"/>
      <c r="BF442" s="35"/>
      <c r="BG442" s="35"/>
      <c r="BH442" s="35"/>
      <c r="BI442" s="35"/>
      <c r="BJ442" s="35"/>
      <c r="BK442" s="35"/>
      <c r="BL442" s="35"/>
      <c r="BM442" s="35"/>
      <c r="BN442" s="35"/>
      <c r="BO442" s="35"/>
      <c r="BP442" s="35"/>
      <c r="BQ442" s="35"/>
      <c r="BR442" s="35"/>
      <c r="BS442" s="35"/>
      <c r="BT442" s="35"/>
      <c r="BU442" s="35"/>
      <c r="BV442" s="35"/>
      <c r="BW442" s="35"/>
      <c r="BX442" s="35"/>
      <c r="BY442" s="35"/>
      <c r="BZ442" s="35"/>
      <c r="CA442" s="35"/>
      <c r="CB442" s="35"/>
      <c r="CC442" s="35"/>
      <c r="CD442" s="35"/>
      <c r="CE442" s="319">
        <v>1</v>
      </c>
      <c r="CF442" s="319"/>
      <c r="CG442" s="319"/>
      <c r="CH442" s="319"/>
      <c r="CI442" s="319"/>
      <c r="CJ442" s="319"/>
      <c r="CK442" s="319"/>
      <c r="CL442" s="319">
        <v>-1</v>
      </c>
      <c r="CM442" s="319"/>
      <c r="CN442" s="319"/>
      <c r="CO442" s="35"/>
      <c r="CP442" s="35"/>
      <c r="CQ442" s="318"/>
      <c r="CR442" s="318"/>
      <c r="CS442" s="35"/>
      <c r="CT442" s="35"/>
      <c r="CU442" s="35"/>
      <c r="CV442" s="35"/>
      <c r="CW442" s="35"/>
      <c r="CX442" s="35"/>
      <c r="CY442" s="35"/>
      <c r="CZ442" s="35"/>
      <c r="DA442" s="35"/>
      <c r="DB442" s="35"/>
      <c r="DC442" s="35"/>
      <c r="DD442" s="35"/>
      <c r="DE442" s="35"/>
      <c r="DF442" s="35"/>
      <c r="DG442" s="35"/>
      <c r="DH442" s="318">
        <v>-0.26</v>
      </c>
      <c r="DI442" s="35"/>
      <c r="DJ442" s="35"/>
      <c r="DK442" s="35"/>
      <c r="DL442" s="35"/>
      <c r="DM442" s="35"/>
      <c r="DN442" s="35"/>
      <c r="DO442" s="318">
        <v>-1.5</v>
      </c>
      <c r="DP442" s="35"/>
      <c r="DQ442" s="35"/>
      <c r="DR442" s="35"/>
      <c r="DS442" s="35"/>
      <c r="DT442" s="35"/>
      <c r="DU442" s="35"/>
      <c r="DV442" s="35"/>
      <c r="DW442" s="35"/>
      <c r="DX442" s="35"/>
      <c r="DY442" s="35"/>
      <c r="DZ442" s="35"/>
      <c r="EA442" s="35"/>
      <c r="EB442" s="35"/>
      <c r="EC442" s="35"/>
      <c r="ED442" s="35"/>
      <c r="EE442" s="35"/>
      <c r="EF442" s="35"/>
      <c r="EG442" s="35"/>
      <c r="EH442" s="35"/>
      <c r="EI442" s="35"/>
      <c r="EJ442" s="35"/>
      <c r="EK442" s="35"/>
      <c r="EL442" s="35"/>
      <c r="EM442" s="35"/>
      <c r="EN442" s="35"/>
      <c r="EO442" s="35"/>
      <c r="EP442" s="35"/>
      <c r="EQ442" s="35"/>
      <c r="ER442" s="35"/>
      <c r="ES442" s="35"/>
      <c r="ET442" s="35"/>
      <c r="EU442" s="35"/>
      <c r="EV442" s="35"/>
      <c r="EW442" s="35"/>
      <c r="EX442" s="35"/>
      <c r="EY442" s="35"/>
      <c r="EZ442" s="35"/>
      <c r="FA442" s="35"/>
      <c r="FB442" s="35"/>
      <c r="FC442" s="35"/>
      <c r="FD442" s="35"/>
      <c r="FE442" s="35"/>
      <c r="FF442" s="35"/>
      <c r="FG442" s="35"/>
      <c r="FH442" s="35"/>
      <c r="FI442" s="35"/>
      <c r="FJ442" s="35"/>
      <c r="FK442" s="35"/>
      <c r="FL442" s="35"/>
      <c r="FM442" s="35"/>
      <c r="FN442" s="35"/>
      <c r="FO442" s="35"/>
      <c r="FP442" s="35"/>
      <c r="FQ442" s="35"/>
      <c r="FR442" s="35"/>
      <c r="FS442" s="35"/>
      <c r="FT442" s="35"/>
      <c r="FU442" s="35"/>
      <c r="FV442" s="35"/>
      <c r="FW442" s="35"/>
      <c r="FX442" s="35"/>
      <c r="FY442" s="35"/>
      <c r="FZ442" s="35"/>
      <c r="GA442" s="35"/>
      <c r="GB442" s="318"/>
      <c r="GC442" s="178">
        <f t="shared" si="80"/>
        <v>0</v>
      </c>
      <c r="GD442" s="178">
        <f t="shared" si="81"/>
        <v>0</v>
      </c>
      <c r="GE442" s="178">
        <f t="shared" si="82"/>
        <v>0</v>
      </c>
      <c r="GF442" s="178">
        <f t="shared" si="83"/>
        <v>0</v>
      </c>
      <c r="GG442" s="178">
        <f t="shared" si="78"/>
        <v>0</v>
      </c>
    </row>
    <row r="443" spans="1:189" x14ac:dyDescent="0.35">
      <c r="A443" s="357" t="s">
        <v>2048</v>
      </c>
      <c r="B443" s="6" t="str">
        <f>IF(Technologies!B443&lt;&gt;0,Technologies!B443,"")</f>
        <v/>
      </c>
      <c r="C443" s="5" t="str">
        <f>VLOOKUP($A443,Technologies!$A$7:$H$576,3,FALSE)</f>
        <v>Primary</v>
      </c>
      <c r="D443" s="5" t="str">
        <f>VLOOKUP($A443,Technologies!$A$7:$H$576,4,FALSE)</f>
        <v>Material</v>
      </c>
      <c r="E443" s="5" t="str">
        <f>VLOOKUP($A443,Technologies!$A$7:$H$576,6,FALSE)</f>
        <v>End-of-life concrete</v>
      </c>
      <c r="F443" s="5" t="str">
        <f>VLOOKUP($A443,Technologies!$A$7:$H$576,7,FALSE)</f>
        <v>Stock of end-of-life concrete</v>
      </c>
      <c r="G443" s="23"/>
      <c r="H443" s="23"/>
      <c r="I443" s="103"/>
      <c r="J443" s="103"/>
      <c r="K443" s="103"/>
      <c r="L443" s="104"/>
      <c r="M443" s="23"/>
      <c r="N443" s="23" t="str">
        <f>VLOOKUP(E443,Activities!$A$9:$M$227,13,FALSE)</f>
        <v>NL</v>
      </c>
      <c r="O443" s="23"/>
      <c r="P443" s="79"/>
      <c r="Q443" s="35"/>
      <c r="R443" s="35"/>
      <c r="S443" s="35"/>
      <c r="T443" s="35"/>
      <c r="U443" s="35"/>
      <c r="V443" s="35"/>
      <c r="W443" s="35"/>
      <c r="X443" s="35"/>
      <c r="Y443" s="35"/>
      <c r="Z443" s="35"/>
      <c r="AA443" s="35"/>
      <c r="AB443" s="35"/>
      <c r="AC443" s="35"/>
      <c r="AD443" s="35"/>
      <c r="AE443" s="35"/>
      <c r="AF443" s="36"/>
      <c r="AG443" s="36"/>
      <c r="AH443" s="36"/>
      <c r="AI443" s="36"/>
      <c r="AJ443" s="36"/>
      <c r="AK443" s="36"/>
      <c r="AL443" s="36"/>
      <c r="AM443" s="36"/>
      <c r="AN443" s="36"/>
      <c r="AO443" s="36"/>
      <c r="AP443" s="35"/>
      <c r="AQ443" s="35"/>
      <c r="AR443" s="35"/>
      <c r="AS443" s="35"/>
      <c r="AT443" s="35"/>
      <c r="AU443" s="35"/>
      <c r="AV443" s="35"/>
      <c r="AW443" s="35"/>
      <c r="AX443" s="35"/>
      <c r="AY443" s="35"/>
      <c r="AZ443" s="35"/>
      <c r="BA443" s="35"/>
      <c r="BB443" s="35"/>
      <c r="BC443" s="35"/>
      <c r="BD443" s="35"/>
      <c r="BE443" s="35"/>
      <c r="BF443" s="35"/>
      <c r="BG443" s="35"/>
      <c r="BH443" s="35"/>
      <c r="BI443" s="35"/>
      <c r="BJ443" s="35"/>
      <c r="BK443" s="35"/>
      <c r="BL443" s="35"/>
      <c r="BM443" s="35"/>
      <c r="BN443" s="35"/>
      <c r="BO443" s="35"/>
      <c r="BP443" s="35"/>
      <c r="BQ443" s="35"/>
      <c r="BR443" s="35"/>
      <c r="BS443" s="35"/>
      <c r="BT443" s="35"/>
      <c r="BU443" s="35"/>
      <c r="BV443" s="35"/>
      <c r="BW443" s="35"/>
      <c r="BX443" s="35"/>
      <c r="BY443" s="35"/>
      <c r="BZ443" s="35"/>
      <c r="CA443" s="35"/>
      <c r="CB443" s="35"/>
      <c r="CC443" s="35"/>
      <c r="CD443" s="35"/>
      <c r="CF443" s="1">
        <v>1</v>
      </c>
      <c r="CO443" s="35"/>
      <c r="CP443" s="35"/>
      <c r="CQ443" s="318"/>
      <c r="CR443" s="318"/>
      <c r="CS443" s="35"/>
      <c r="CT443" s="35"/>
      <c r="CU443" s="35"/>
      <c r="CV443" s="35"/>
      <c r="CW443" s="35"/>
      <c r="CX443" s="35"/>
      <c r="CY443" s="35"/>
      <c r="CZ443" s="35"/>
      <c r="DA443" s="35"/>
      <c r="DB443" s="35"/>
      <c r="DC443" s="35"/>
      <c r="DD443" s="35"/>
      <c r="DE443" s="35"/>
      <c r="DF443" s="35"/>
      <c r="DG443" s="35"/>
      <c r="DH443" s="35"/>
      <c r="DI443" s="35"/>
      <c r="DJ443" s="35"/>
      <c r="DK443" s="35"/>
      <c r="DL443" s="35"/>
      <c r="DM443" s="35"/>
      <c r="DN443" s="35"/>
      <c r="DO443" s="35"/>
      <c r="DP443" s="35"/>
      <c r="DQ443" s="35"/>
      <c r="DR443" s="35"/>
      <c r="DS443" s="35"/>
      <c r="DT443" s="35"/>
      <c r="DU443" s="35"/>
      <c r="DV443" s="35"/>
      <c r="DW443" s="35"/>
      <c r="DX443" s="35"/>
      <c r="DY443" s="35"/>
      <c r="DZ443" s="35"/>
      <c r="EA443" s="35"/>
      <c r="EB443" s="35"/>
      <c r="EC443" s="35"/>
      <c r="ED443" s="35"/>
      <c r="EE443" s="35"/>
      <c r="EF443" s="35"/>
      <c r="EG443" s="35"/>
      <c r="EH443" s="35"/>
      <c r="EI443" s="35"/>
      <c r="EJ443" s="35"/>
      <c r="EK443" s="35"/>
      <c r="EL443" s="35"/>
      <c r="EM443" s="35"/>
      <c r="EN443" s="35"/>
      <c r="EO443" s="35"/>
      <c r="EP443" s="35"/>
      <c r="EQ443" s="35"/>
      <c r="ER443" s="35"/>
      <c r="ES443" s="35"/>
      <c r="ET443" s="35"/>
      <c r="EU443" s="35"/>
      <c r="EV443" s="35"/>
      <c r="EW443" s="35"/>
      <c r="EX443" s="35"/>
      <c r="EY443" s="35"/>
      <c r="EZ443" s="35"/>
      <c r="FA443" s="35"/>
      <c r="FB443" s="35"/>
      <c r="FC443" s="35"/>
      <c r="FD443" s="35"/>
      <c r="FE443" s="35"/>
      <c r="FF443" s="35"/>
      <c r="FG443" s="35"/>
      <c r="FH443" s="35"/>
      <c r="FI443" s="35"/>
      <c r="FJ443" s="35"/>
      <c r="FK443" s="35"/>
      <c r="FL443" s="35"/>
      <c r="FM443" s="35"/>
      <c r="FN443" s="35"/>
      <c r="FO443" s="35"/>
      <c r="FP443" s="35"/>
      <c r="FQ443" s="35"/>
      <c r="FR443" s="35"/>
      <c r="FS443" s="35"/>
      <c r="FT443" s="35"/>
      <c r="FU443" s="35"/>
      <c r="FV443" s="35"/>
      <c r="FW443" s="35"/>
      <c r="FX443" s="35"/>
      <c r="FY443" s="35"/>
      <c r="FZ443" s="35"/>
      <c r="GA443" s="35"/>
      <c r="GB443" s="318"/>
      <c r="GC443" s="179">
        <f t="shared" si="80"/>
        <v>0</v>
      </c>
      <c r="GD443" s="179">
        <f t="shared" si="81"/>
        <v>0</v>
      </c>
      <c r="GE443" s="179">
        <f t="shared" si="82"/>
        <v>0</v>
      </c>
      <c r="GF443" s="179">
        <f t="shared" si="83"/>
        <v>0</v>
      </c>
      <c r="GG443" s="179">
        <f t="shared" si="78"/>
        <v>0</v>
      </c>
    </row>
    <row r="444" spans="1:189" x14ac:dyDescent="0.35">
      <c r="A444" s="357" t="s">
        <v>2052</v>
      </c>
      <c r="B444" s="6" t="str">
        <f>IF(Technologies!B444&lt;&gt;0,Technologies!B444,"")</f>
        <v/>
      </c>
      <c r="C444" s="5" t="str">
        <f>VLOOKUP($A444,Technologies!$A$7:$H$576,3,FALSE)</f>
        <v>Primary</v>
      </c>
      <c r="D444" s="5" t="str">
        <f>VLOOKUP($A444,Technologies!$A$7:$H$576,4,FALSE)</f>
        <v>Material</v>
      </c>
      <c r="E444" s="5" t="str">
        <f>VLOOKUP($A444,Technologies!$A$7:$H$576,6,FALSE)</f>
        <v>End-of-life ceramic</v>
      </c>
      <c r="F444" s="5" t="str">
        <f>VLOOKUP($A444,Technologies!$A$7:$H$576,7,FALSE)</f>
        <v>Stock of end-of-life ceramic (CTW)</v>
      </c>
      <c r="G444" s="23"/>
      <c r="H444" s="23"/>
      <c r="I444" s="103"/>
      <c r="J444" s="103"/>
      <c r="K444" s="103"/>
      <c r="L444" s="104"/>
      <c r="M444" s="23"/>
      <c r="N444" s="23" t="str">
        <f>VLOOKUP(E444,Activities!$A$9:$M$227,13,FALSE)</f>
        <v>NL</v>
      </c>
      <c r="O444" s="23"/>
      <c r="P444" s="79"/>
      <c r="Q444" s="35"/>
      <c r="R444" s="35"/>
      <c r="S444" s="35"/>
      <c r="T444" s="35"/>
      <c r="U444" s="35"/>
      <c r="V444" s="35"/>
      <c r="W444" s="35"/>
      <c r="X444" s="35"/>
      <c r="Y444" s="35"/>
      <c r="Z444" s="35"/>
      <c r="AA444" s="35"/>
      <c r="AB444" s="35"/>
      <c r="AC444" s="35"/>
      <c r="AD444" s="35"/>
      <c r="AE444" s="35"/>
      <c r="AF444" s="36"/>
      <c r="AG444" s="36"/>
      <c r="AH444" s="36"/>
      <c r="AI444" s="36"/>
      <c r="AJ444" s="36"/>
      <c r="AK444" s="36"/>
      <c r="AL444" s="36"/>
      <c r="AM444" s="36"/>
      <c r="AN444" s="36"/>
      <c r="AO444" s="36"/>
      <c r="AP444" s="35"/>
      <c r="AQ444" s="35"/>
      <c r="AR444" s="35"/>
      <c r="AS444" s="35"/>
      <c r="AT444" s="35"/>
      <c r="AU444" s="35"/>
      <c r="AV444" s="35"/>
      <c r="AW444" s="35"/>
      <c r="AX444" s="35"/>
      <c r="AY444" s="35"/>
      <c r="AZ444" s="35"/>
      <c r="BA444" s="35"/>
      <c r="BB444" s="35"/>
      <c r="BC444" s="35"/>
      <c r="BD444" s="35"/>
      <c r="BE444" s="35"/>
      <c r="BF444" s="35"/>
      <c r="BG444" s="35"/>
      <c r="BH444" s="35"/>
      <c r="BI444" s="35"/>
      <c r="BJ444" s="35"/>
      <c r="BK444" s="35"/>
      <c r="BL444" s="35"/>
      <c r="BM444" s="35"/>
      <c r="BN444" s="35"/>
      <c r="BO444" s="35"/>
      <c r="BP444" s="35"/>
      <c r="BQ444" s="35"/>
      <c r="BR444" s="35"/>
      <c r="BS444" s="35"/>
      <c r="BT444" s="35"/>
      <c r="BU444" s="35"/>
      <c r="BV444" s="35"/>
      <c r="BW444" s="35"/>
      <c r="BX444" s="35"/>
      <c r="BY444" s="35"/>
      <c r="BZ444" s="35"/>
      <c r="CA444" s="35"/>
      <c r="CB444" s="35"/>
      <c r="CC444" s="35"/>
      <c r="CD444" s="35"/>
      <c r="CJ444" s="1">
        <v>1</v>
      </c>
      <c r="CO444" s="35"/>
      <c r="CP444" s="35"/>
      <c r="CQ444" s="318"/>
      <c r="CR444" s="318"/>
      <c r="CS444" s="35"/>
      <c r="CT444" s="35"/>
      <c r="CU444" s="35"/>
      <c r="CV444" s="35"/>
      <c r="CW444" s="35"/>
      <c r="CX444" s="35"/>
      <c r="CY444" s="35"/>
      <c r="CZ444" s="35"/>
      <c r="DA444" s="35"/>
      <c r="DB444" s="35"/>
      <c r="DC444" s="35"/>
      <c r="DD444" s="35"/>
      <c r="DE444" s="35"/>
      <c r="DF444" s="35"/>
      <c r="DG444" s="35"/>
      <c r="DH444" s="35"/>
      <c r="DI444" s="35"/>
      <c r="DJ444" s="35"/>
      <c r="DK444" s="35"/>
      <c r="DL444" s="35"/>
      <c r="DM444" s="35"/>
      <c r="DN444" s="35"/>
      <c r="DO444" s="35"/>
      <c r="DP444" s="35"/>
      <c r="DQ444" s="35"/>
      <c r="DR444" s="35"/>
      <c r="DS444" s="35"/>
      <c r="DT444" s="35"/>
      <c r="DU444" s="35"/>
      <c r="DV444" s="35"/>
      <c r="DW444" s="35"/>
      <c r="DX444" s="35"/>
      <c r="DY444" s="35"/>
      <c r="DZ444" s="35"/>
      <c r="EA444" s="35"/>
      <c r="EB444" s="35"/>
      <c r="EC444" s="35"/>
      <c r="ED444" s="35"/>
      <c r="EE444" s="35"/>
      <c r="EF444" s="35"/>
      <c r="EG444" s="35"/>
      <c r="EH444" s="35"/>
      <c r="EI444" s="35"/>
      <c r="EJ444" s="35"/>
      <c r="EK444" s="35"/>
      <c r="EL444" s="35"/>
      <c r="EM444" s="35"/>
      <c r="EN444" s="35"/>
      <c r="EO444" s="35"/>
      <c r="EP444" s="35"/>
      <c r="EQ444" s="35"/>
      <c r="ER444" s="35"/>
      <c r="ES444" s="35"/>
      <c r="ET444" s="35"/>
      <c r="EU444" s="35"/>
      <c r="EV444" s="35"/>
      <c r="EW444" s="35"/>
      <c r="EX444" s="35"/>
      <c r="EY444" s="35"/>
      <c r="EZ444" s="35"/>
      <c r="FA444" s="35"/>
      <c r="FB444" s="35"/>
      <c r="FC444" s="35"/>
      <c r="FD444" s="35"/>
      <c r="FE444" s="35"/>
      <c r="FF444" s="35"/>
      <c r="FG444" s="35"/>
      <c r="FH444" s="35"/>
      <c r="FI444" s="35"/>
      <c r="FJ444" s="35"/>
      <c r="FK444" s="35"/>
      <c r="FL444" s="35"/>
      <c r="FM444" s="35"/>
      <c r="FN444" s="35"/>
      <c r="FO444" s="35"/>
      <c r="FP444" s="35"/>
      <c r="FQ444" s="35"/>
      <c r="FR444" s="35"/>
      <c r="FS444" s="35"/>
      <c r="FT444" s="35"/>
      <c r="FU444" s="35"/>
      <c r="FV444" s="35"/>
      <c r="FW444" s="35"/>
      <c r="FX444" s="35"/>
      <c r="FY444" s="35"/>
      <c r="FZ444" s="35"/>
      <c r="GA444" s="35"/>
      <c r="GB444" s="318"/>
      <c r="GC444" s="178">
        <f t="shared" si="80"/>
        <v>0</v>
      </c>
      <c r="GD444" s="178">
        <f t="shared" si="81"/>
        <v>0</v>
      </c>
      <c r="GE444" s="178">
        <f t="shared" si="82"/>
        <v>0</v>
      </c>
      <c r="GF444" s="178">
        <f t="shared" si="83"/>
        <v>0</v>
      </c>
      <c r="GG444" s="178">
        <f t="shared" si="78"/>
        <v>0</v>
      </c>
    </row>
    <row r="445" spans="1:189" x14ac:dyDescent="0.35">
      <c r="A445" s="357" t="s">
        <v>2055</v>
      </c>
      <c r="B445" s="6" t="str">
        <f>IF(Technologies!B445&lt;&gt;0,Technologies!B445,"")</f>
        <v>Industrie</v>
      </c>
      <c r="C445" s="5" t="str">
        <f>VLOOKUP($A445,Technologies!$A$7:$H$576,3,FALSE)</f>
        <v>Final</v>
      </c>
      <c r="D445" s="5" t="str">
        <f>VLOOKUP($A445,Technologies!$A$7:$H$576,4,FALSE)</f>
        <v>Industry</v>
      </c>
      <c r="E445" s="5" t="str">
        <f>VLOOKUP($A445,Technologies!$A$7:$H$576,6,FALSE)</f>
        <v>Concrete demand</v>
      </c>
      <c r="F445" s="5" t="str">
        <f>VLOOKUP($A445,Technologies!$A$7:$H$576,7,FALSE)</f>
        <v>Concrete production</v>
      </c>
      <c r="G445" s="23"/>
      <c r="H445" s="23"/>
      <c r="I445" s="103"/>
      <c r="J445" s="103"/>
      <c r="K445" s="103"/>
      <c r="L445" s="104"/>
      <c r="M445" s="23"/>
      <c r="N445" s="23" t="str">
        <f>VLOOKUP(E445,Activities!$A$9:$M$227,13,FALSE)</f>
        <v>NL</v>
      </c>
      <c r="O445" s="23"/>
      <c r="P445" s="79"/>
      <c r="Q445" s="35"/>
      <c r="R445" s="35"/>
      <c r="S445" s="35"/>
      <c r="T445" s="35"/>
      <c r="U445" s="35"/>
      <c r="V445" s="35"/>
      <c r="W445" s="35"/>
      <c r="X445" s="35"/>
      <c r="Y445" s="35"/>
      <c r="Z445" s="35"/>
      <c r="AA445" s="35"/>
      <c r="AB445" s="35"/>
      <c r="AC445" s="35"/>
      <c r="AD445" s="35"/>
      <c r="AE445" s="35"/>
      <c r="AF445" s="36"/>
      <c r="AG445" s="36"/>
      <c r="AH445" s="36"/>
      <c r="AI445" s="36"/>
      <c r="AJ445" s="36"/>
      <c r="AK445" s="36"/>
      <c r="AL445" s="36"/>
      <c r="AM445" s="36"/>
      <c r="AN445" s="36"/>
      <c r="AO445" s="36"/>
      <c r="AP445" s="35"/>
      <c r="AQ445" s="35"/>
      <c r="AR445" s="35"/>
      <c r="AS445" s="35"/>
      <c r="AT445" s="35"/>
      <c r="AU445" s="35"/>
      <c r="AV445" s="35"/>
      <c r="AW445" s="35"/>
      <c r="AX445" s="35"/>
      <c r="AY445" s="35"/>
      <c r="AZ445" s="35"/>
      <c r="BA445" s="35"/>
      <c r="BB445" s="35"/>
      <c r="BC445" s="35"/>
      <c r="BD445" s="35"/>
      <c r="BE445" s="35"/>
      <c r="BF445" s="35"/>
      <c r="BG445" s="35"/>
      <c r="BH445" s="35"/>
      <c r="BI445" s="35"/>
      <c r="BJ445" s="35"/>
      <c r="BK445" s="35"/>
      <c r="BL445" s="35"/>
      <c r="BM445" s="35"/>
      <c r="BN445" s="35"/>
      <c r="BO445" s="35"/>
      <c r="BP445" s="35"/>
      <c r="BQ445" s="35"/>
      <c r="BR445" s="35"/>
      <c r="BS445" s="35"/>
      <c r="BT445" s="35"/>
      <c r="BU445" s="35"/>
      <c r="BV445" s="35"/>
      <c r="BW445" s="35"/>
      <c r="BX445" s="35"/>
      <c r="BY445" s="35"/>
      <c r="BZ445" s="35"/>
      <c r="CA445" s="35"/>
      <c r="CB445" s="35"/>
      <c r="CC445" s="35"/>
      <c r="CD445" s="35">
        <v>1</v>
      </c>
      <c r="CG445" s="1">
        <f>-0.3125</f>
        <v>-0.3125</v>
      </c>
      <c r="CH445" s="1">
        <f>-0.4792</f>
        <v>-0.47920000000000001</v>
      </c>
      <c r="CI445" s="1">
        <f>-0.1458</f>
        <v>-0.14580000000000001</v>
      </c>
      <c r="CO445" s="35"/>
      <c r="CP445" s="35"/>
      <c r="CQ445" s="318"/>
      <c r="CR445" s="318"/>
      <c r="CS445" s="35"/>
      <c r="CT445" s="35"/>
      <c r="CU445" s="35"/>
      <c r="CV445" s="35"/>
      <c r="CW445" s="35"/>
      <c r="CX445" s="35"/>
      <c r="CY445" s="35"/>
      <c r="CZ445" s="35"/>
      <c r="DA445" s="35"/>
      <c r="DB445" s="35"/>
      <c r="DC445" s="35"/>
      <c r="DD445" s="35"/>
      <c r="DE445" s="35"/>
      <c r="DF445" s="35"/>
      <c r="DG445" s="35"/>
      <c r="DH445" s="35"/>
      <c r="DI445" s="35"/>
      <c r="DJ445" s="35"/>
      <c r="DK445" s="35"/>
      <c r="DL445" s="35"/>
      <c r="DM445" s="35"/>
      <c r="DN445" s="35"/>
      <c r="DO445" s="35"/>
      <c r="DP445" s="35"/>
      <c r="DQ445" s="35"/>
      <c r="DR445" s="35"/>
      <c r="DS445" s="35"/>
      <c r="DT445" s="35"/>
      <c r="DU445" s="35"/>
      <c r="DV445" s="35"/>
      <c r="DW445" s="35"/>
      <c r="DX445" s="35"/>
      <c r="DY445" s="35"/>
      <c r="DZ445" s="35"/>
      <c r="EA445" s="35"/>
      <c r="EB445" s="35"/>
      <c r="EC445" s="35"/>
      <c r="ED445" s="35"/>
      <c r="EE445" s="35"/>
      <c r="EF445" s="35"/>
      <c r="EG445" s="35"/>
      <c r="EH445" s="35"/>
      <c r="EI445" s="35"/>
      <c r="EJ445" s="35"/>
      <c r="EK445" s="35"/>
      <c r="EL445" s="35"/>
      <c r="EM445" s="35"/>
      <c r="EN445" s="35"/>
      <c r="EO445" s="35"/>
      <c r="EP445" s="35"/>
      <c r="EQ445" s="35"/>
      <c r="ER445" s="35"/>
      <c r="ES445" s="35"/>
      <c r="ET445" s="35"/>
      <c r="EU445" s="35"/>
      <c r="EV445" s="35"/>
      <c r="EW445" s="35"/>
      <c r="EX445" s="35"/>
      <c r="EY445" s="35"/>
      <c r="EZ445" s="35"/>
      <c r="FA445" s="35"/>
      <c r="FB445" s="35"/>
      <c r="FC445" s="35"/>
      <c r="FD445" s="35"/>
      <c r="FE445" s="35"/>
      <c r="FF445" s="35"/>
      <c r="FG445" s="35"/>
      <c r="FH445" s="35"/>
      <c r="FI445" s="35"/>
      <c r="FJ445" s="35"/>
      <c r="FK445" s="35"/>
      <c r="FL445" s="35"/>
      <c r="FM445" s="35"/>
      <c r="FN445" s="35"/>
      <c r="FO445" s="35"/>
      <c r="FP445" s="35"/>
      <c r="FQ445" s="35"/>
      <c r="FR445" s="35"/>
      <c r="FS445" s="35"/>
      <c r="FT445" s="35"/>
      <c r="FU445" s="35"/>
      <c r="FV445" s="35"/>
      <c r="FW445" s="35"/>
      <c r="FX445" s="35"/>
      <c r="FY445" s="35"/>
      <c r="FZ445" s="35"/>
      <c r="GA445" s="35"/>
      <c r="GB445" s="318"/>
      <c r="GC445" s="179">
        <f t="shared" si="80"/>
        <v>0</v>
      </c>
      <c r="GD445" s="179">
        <f t="shared" si="81"/>
        <v>0</v>
      </c>
      <c r="GE445" s="179">
        <f t="shared" si="82"/>
        <v>0</v>
      </c>
      <c r="GF445" s="179">
        <f t="shared" si="83"/>
        <v>0</v>
      </c>
      <c r="GG445" s="179">
        <f t="shared" si="78"/>
        <v>0</v>
      </c>
    </row>
    <row r="446" spans="1:189" x14ac:dyDescent="0.35">
      <c r="A446" s="357" t="s">
        <v>2063</v>
      </c>
      <c r="B446" s="6" t="str">
        <f>IF(Technologies!B446&lt;&gt;0,Technologies!B446,"")</f>
        <v>Industrie</v>
      </c>
      <c r="C446" s="5" t="str">
        <f>VLOOKUP($A446,Technologies!$A$7:$H$576,3,FALSE)</f>
        <v>Primary</v>
      </c>
      <c r="D446" s="5" t="str">
        <f>VLOOKUP($A446,Technologies!$A$7:$H$576,4,FALSE)</f>
        <v>Material</v>
      </c>
      <c r="E446" s="5" t="str">
        <f>VLOOKUP($A446,Technologies!$A$7:$H$576,6,FALSE)</f>
        <v>Sand</v>
      </c>
      <c r="F446" s="5" t="str">
        <f>VLOOKUP($A446,Technologies!$A$7:$H$576,7,FALSE)</f>
        <v>Imported/purchased sand</v>
      </c>
      <c r="G446" s="23"/>
      <c r="H446" s="23"/>
      <c r="I446" s="103"/>
      <c r="J446" s="103"/>
      <c r="K446" s="103"/>
      <c r="L446" s="104"/>
      <c r="M446" s="23"/>
      <c r="N446" s="23" t="str">
        <f>VLOOKUP(E446,Activities!$A$9:$M$227,13,FALSE)</f>
        <v>NL</v>
      </c>
      <c r="O446" s="23"/>
      <c r="P446" s="79"/>
      <c r="Q446" s="35"/>
      <c r="R446" s="35"/>
      <c r="S446" s="35"/>
      <c r="T446" s="35"/>
      <c r="U446" s="35"/>
      <c r="V446" s="35"/>
      <c r="W446" s="35"/>
      <c r="X446" s="35"/>
      <c r="Y446" s="35"/>
      <c r="Z446" s="35"/>
      <c r="AA446" s="35"/>
      <c r="AB446" s="35"/>
      <c r="AC446" s="35"/>
      <c r="AD446" s="35"/>
      <c r="AE446" s="35"/>
      <c r="AF446" s="36"/>
      <c r="AG446" s="36"/>
      <c r="AH446" s="36"/>
      <c r="AI446" s="36"/>
      <c r="AJ446" s="36"/>
      <c r="AK446" s="36"/>
      <c r="AL446" s="36"/>
      <c r="AM446" s="36"/>
      <c r="AN446" s="36"/>
      <c r="AO446" s="36"/>
      <c r="AP446" s="35"/>
      <c r="AQ446" s="35"/>
      <c r="AR446" s="35"/>
      <c r="AS446" s="35"/>
      <c r="AT446" s="35"/>
      <c r="AU446" s="35"/>
      <c r="AV446" s="35"/>
      <c r="AW446" s="35"/>
      <c r="AX446" s="35"/>
      <c r="AY446" s="35"/>
      <c r="AZ446" s="35"/>
      <c r="BA446" s="35"/>
      <c r="BB446" s="35"/>
      <c r="BC446" s="35"/>
      <c r="BD446" s="35"/>
      <c r="BE446" s="35"/>
      <c r="BF446" s="35"/>
      <c r="BG446" s="35"/>
      <c r="BH446" s="35"/>
      <c r="BI446" s="35"/>
      <c r="BJ446" s="35"/>
      <c r="BK446" s="35"/>
      <c r="BL446" s="35"/>
      <c r="BM446" s="35"/>
      <c r="BN446" s="35"/>
      <c r="BO446" s="35"/>
      <c r="BP446" s="35"/>
      <c r="BQ446" s="35"/>
      <c r="BR446" s="35"/>
      <c r="BS446" s="35"/>
      <c r="BT446" s="35"/>
      <c r="BU446" s="35"/>
      <c r="BV446" s="35"/>
      <c r="BW446" s="35"/>
      <c r="BX446" s="35"/>
      <c r="BY446" s="35"/>
      <c r="BZ446" s="35"/>
      <c r="CA446" s="35"/>
      <c r="CB446" s="35"/>
      <c r="CC446" s="35"/>
      <c r="CD446" s="35"/>
      <c r="CG446" s="1">
        <v>1</v>
      </c>
      <c r="CO446" s="35"/>
      <c r="CP446" s="35"/>
      <c r="CQ446" s="318"/>
      <c r="CR446" s="318"/>
      <c r="CS446" s="35"/>
      <c r="CT446" s="35"/>
      <c r="CU446" s="35"/>
      <c r="CV446" s="35"/>
      <c r="CW446" s="35"/>
      <c r="CX446" s="35"/>
      <c r="CY446" s="35"/>
      <c r="CZ446" s="35"/>
      <c r="DA446" s="35"/>
      <c r="DB446" s="35"/>
      <c r="DC446" s="35"/>
      <c r="DD446" s="35"/>
      <c r="DE446" s="35"/>
      <c r="DF446" s="35"/>
      <c r="DG446" s="35"/>
      <c r="DH446" s="35"/>
      <c r="DI446" s="35"/>
      <c r="DJ446" s="35"/>
      <c r="DK446" s="35"/>
      <c r="DL446" s="35"/>
      <c r="DM446" s="35"/>
      <c r="DN446" s="35"/>
      <c r="DO446" s="35"/>
      <c r="DP446" s="35"/>
      <c r="DQ446" s="35"/>
      <c r="DR446" s="35"/>
      <c r="DS446" s="35"/>
      <c r="DT446" s="35"/>
      <c r="DU446" s="35"/>
      <c r="DV446" s="35"/>
      <c r="DW446" s="35"/>
      <c r="DX446" s="35"/>
      <c r="DY446" s="35"/>
      <c r="DZ446" s="35"/>
      <c r="EA446" s="35"/>
      <c r="EB446" s="35"/>
      <c r="EC446" s="35"/>
      <c r="ED446" s="35"/>
      <c r="EE446" s="35"/>
      <c r="EF446" s="35"/>
      <c r="EG446" s="35"/>
      <c r="EH446" s="35"/>
      <c r="EI446" s="35"/>
      <c r="EJ446" s="35"/>
      <c r="EK446" s="35"/>
      <c r="EL446" s="35"/>
      <c r="EM446" s="35"/>
      <c r="EN446" s="35"/>
      <c r="EO446" s="35"/>
      <c r="EP446" s="35"/>
      <c r="EQ446" s="35"/>
      <c r="ER446" s="35"/>
      <c r="ES446" s="35"/>
      <c r="ET446" s="35"/>
      <c r="EU446" s="35"/>
      <c r="EV446" s="35"/>
      <c r="EW446" s="35"/>
      <c r="EX446" s="35"/>
      <c r="EY446" s="35"/>
      <c r="EZ446" s="35"/>
      <c r="FA446" s="35"/>
      <c r="FB446" s="35"/>
      <c r="FC446" s="35"/>
      <c r="FD446" s="35"/>
      <c r="FE446" s="35"/>
      <c r="FF446" s="35"/>
      <c r="FG446" s="35"/>
      <c r="FH446" s="35"/>
      <c r="FI446" s="35"/>
      <c r="FJ446" s="35"/>
      <c r="FK446" s="35"/>
      <c r="FL446" s="35"/>
      <c r="FM446" s="35"/>
      <c r="FN446" s="35"/>
      <c r="FO446" s="35"/>
      <c r="FP446" s="35"/>
      <c r="FQ446" s="35"/>
      <c r="FR446" s="35"/>
      <c r="FS446" s="35"/>
      <c r="FT446" s="35"/>
      <c r="FU446" s="35"/>
      <c r="FV446" s="35"/>
      <c r="FW446" s="35"/>
      <c r="FX446" s="35"/>
      <c r="FY446" s="35"/>
      <c r="FZ446" s="35"/>
      <c r="GA446" s="35"/>
      <c r="GB446" s="318"/>
      <c r="GC446" s="178">
        <f t="shared" si="80"/>
        <v>0</v>
      </c>
      <c r="GD446" s="178">
        <f t="shared" si="81"/>
        <v>0</v>
      </c>
      <c r="GE446" s="178">
        <f t="shared" si="82"/>
        <v>0</v>
      </c>
      <c r="GF446" s="178">
        <f t="shared" si="83"/>
        <v>0</v>
      </c>
      <c r="GG446" s="178">
        <f t="shared" si="78"/>
        <v>0</v>
      </c>
    </row>
    <row r="447" spans="1:189" x14ac:dyDescent="0.35">
      <c r="A447" s="357" t="s">
        <v>2066</v>
      </c>
      <c r="B447" s="6" t="str">
        <f>IF(Technologies!B447&lt;&gt;0,Technologies!B447,"")</f>
        <v>Industrie</v>
      </c>
      <c r="C447" s="5" t="str">
        <f>VLOOKUP($A447,Technologies!$A$7:$H$576,3,FALSE)</f>
        <v>Primary</v>
      </c>
      <c r="D447" s="5" t="str">
        <f>VLOOKUP($A447,Technologies!$A$7:$H$576,4,FALSE)</f>
        <v>Material</v>
      </c>
      <c r="E447" s="5" t="str">
        <f>VLOOKUP($A447,Technologies!$A$7:$H$576,6,FALSE)</f>
        <v>Gravel/aggregate</v>
      </c>
      <c r="F447" s="5" t="str">
        <f>VLOOKUP($A447,Technologies!$A$7:$H$576,7,FALSE)</f>
        <v>Imported/purchased gravel/aggregate</v>
      </c>
      <c r="G447" s="23"/>
      <c r="H447" s="23"/>
      <c r="I447" s="103"/>
      <c r="J447" s="103"/>
      <c r="K447" s="103"/>
      <c r="L447" s="104"/>
      <c r="M447" s="23"/>
      <c r="N447" s="23" t="str">
        <f>VLOOKUP(E447,Activities!$A$9:$M$227,13,FALSE)</f>
        <v>NL</v>
      </c>
      <c r="O447" s="23"/>
      <c r="P447" s="79"/>
      <c r="Q447" s="35"/>
      <c r="R447" s="35"/>
      <c r="S447" s="35"/>
      <c r="T447" s="35"/>
      <c r="U447" s="35"/>
      <c r="V447" s="35"/>
      <c r="W447" s="35"/>
      <c r="X447" s="35"/>
      <c r="Y447" s="35"/>
      <c r="Z447" s="35"/>
      <c r="AA447" s="35"/>
      <c r="AB447" s="35"/>
      <c r="AC447" s="35"/>
      <c r="AD447" s="35"/>
      <c r="AE447" s="35"/>
      <c r="AF447" s="36"/>
      <c r="AG447" s="36"/>
      <c r="AH447" s="36"/>
      <c r="AI447" s="36"/>
      <c r="AJ447" s="36"/>
      <c r="AK447" s="36"/>
      <c r="AL447" s="36"/>
      <c r="AM447" s="36"/>
      <c r="AN447" s="36"/>
      <c r="AO447" s="36"/>
      <c r="AP447" s="35"/>
      <c r="AQ447" s="35"/>
      <c r="AR447" s="35"/>
      <c r="AS447" s="35"/>
      <c r="AT447" s="35"/>
      <c r="AU447" s="35"/>
      <c r="AV447" s="35"/>
      <c r="AW447" s="35"/>
      <c r="AX447" s="35"/>
      <c r="AY447" s="35"/>
      <c r="AZ447" s="35"/>
      <c r="BA447" s="35"/>
      <c r="BB447" s="35"/>
      <c r="BC447" s="35"/>
      <c r="BD447" s="35"/>
      <c r="BE447" s="35"/>
      <c r="BF447" s="35"/>
      <c r="BG447" s="35"/>
      <c r="BH447" s="35"/>
      <c r="BI447" s="35"/>
      <c r="BJ447" s="35"/>
      <c r="BK447" s="35"/>
      <c r="BL447" s="35"/>
      <c r="BM447" s="35"/>
      <c r="BN447" s="35"/>
      <c r="BO447" s="35"/>
      <c r="BP447" s="35"/>
      <c r="BQ447" s="35"/>
      <c r="BR447" s="35"/>
      <c r="BS447" s="35"/>
      <c r="BT447" s="35"/>
      <c r="BU447" s="35"/>
      <c r="BV447" s="35"/>
      <c r="BW447" s="35"/>
      <c r="BX447" s="35"/>
      <c r="BY447" s="35"/>
      <c r="BZ447" s="35"/>
      <c r="CA447" s="35"/>
      <c r="CB447" s="35"/>
      <c r="CC447" s="35"/>
      <c r="CD447" s="35"/>
      <c r="CH447" s="1">
        <v>1</v>
      </c>
      <c r="CO447" s="35"/>
      <c r="CP447" s="35"/>
      <c r="CQ447" s="318"/>
      <c r="CR447" s="318"/>
      <c r="CS447" s="35"/>
      <c r="CT447" s="35"/>
      <c r="CU447" s="35"/>
      <c r="CV447" s="35"/>
      <c r="CW447" s="35"/>
      <c r="CX447" s="35"/>
      <c r="CY447" s="35"/>
      <c r="CZ447" s="35"/>
      <c r="DA447" s="35"/>
      <c r="DB447" s="35"/>
      <c r="DC447" s="35"/>
      <c r="DD447" s="35"/>
      <c r="DE447" s="35"/>
      <c r="DF447" s="35"/>
      <c r="DG447" s="35"/>
      <c r="DH447" s="35"/>
      <c r="DI447" s="35"/>
      <c r="DJ447" s="35"/>
      <c r="DK447" s="35"/>
      <c r="DL447" s="35"/>
      <c r="DM447" s="35"/>
      <c r="DN447" s="35"/>
      <c r="DO447" s="35"/>
      <c r="DP447" s="35"/>
      <c r="DQ447" s="35"/>
      <c r="DR447" s="35"/>
      <c r="DS447" s="35"/>
      <c r="DT447" s="35"/>
      <c r="DU447" s="35"/>
      <c r="DV447" s="35"/>
      <c r="DW447" s="35"/>
      <c r="DX447" s="35"/>
      <c r="DY447" s="35"/>
      <c r="DZ447" s="35"/>
      <c r="EA447" s="35"/>
      <c r="EB447" s="35"/>
      <c r="EC447" s="35"/>
      <c r="ED447" s="35"/>
      <c r="EE447" s="35"/>
      <c r="EF447" s="35"/>
      <c r="EG447" s="35"/>
      <c r="EH447" s="35"/>
      <c r="EI447" s="35"/>
      <c r="EJ447" s="35"/>
      <c r="EK447" s="35"/>
      <c r="EL447" s="35"/>
      <c r="EM447" s="35"/>
      <c r="EN447" s="35"/>
      <c r="EO447" s="35"/>
      <c r="EP447" s="35"/>
      <c r="EQ447" s="35"/>
      <c r="ER447" s="35"/>
      <c r="ES447" s="35"/>
      <c r="ET447" s="35"/>
      <c r="EU447" s="35"/>
      <c r="EV447" s="35"/>
      <c r="EW447" s="35"/>
      <c r="EX447" s="35"/>
      <c r="EY447" s="35"/>
      <c r="EZ447" s="35"/>
      <c r="FA447" s="35"/>
      <c r="FB447" s="35"/>
      <c r="FC447" s="35"/>
      <c r="FD447" s="35"/>
      <c r="FE447" s="35"/>
      <c r="FF447" s="35"/>
      <c r="FG447" s="35"/>
      <c r="FH447" s="35"/>
      <c r="FI447" s="35"/>
      <c r="FJ447" s="35"/>
      <c r="FK447" s="35"/>
      <c r="FL447" s="35"/>
      <c r="FM447" s="35"/>
      <c r="FN447" s="35"/>
      <c r="FO447" s="35"/>
      <c r="FP447" s="35"/>
      <c r="FQ447" s="35"/>
      <c r="FR447" s="35"/>
      <c r="FS447" s="35"/>
      <c r="FT447" s="35"/>
      <c r="FU447" s="35"/>
      <c r="FV447" s="35"/>
      <c r="FW447" s="35"/>
      <c r="FX447" s="35"/>
      <c r="FY447" s="35"/>
      <c r="FZ447" s="35"/>
      <c r="GA447" s="35"/>
      <c r="GB447" s="318"/>
      <c r="GC447" s="179">
        <f t="shared" si="80"/>
        <v>0</v>
      </c>
      <c r="GD447" s="179">
        <f t="shared" si="81"/>
        <v>0</v>
      </c>
      <c r="GE447" s="179">
        <f t="shared" si="82"/>
        <v>0</v>
      </c>
      <c r="GF447" s="179">
        <f t="shared" si="83"/>
        <v>0</v>
      </c>
      <c r="GG447" s="179">
        <f t="shared" si="78"/>
        <v>0</v>
      </c>
    </row>
    <row r="448" spans="1:189" x14ac:dyDescent="0.35">
      <c r="A448" s="357" t="s">
        <v>2069</v>
      </c>
      <c r="B448" s="6" t="str">
        <f>IF(Technologies!B448&lt;&gt;0,Technologies!B448,"")</f>
        <v/>
      </c>
      <c r="C448" s="5" t="str">
        <f>VLOOKUP($A448,Technologies!$A$7:$H$576,3,FALSE)</f>
        <v>Primary</v>
      </c>
      <c r="D448" s="5" t="str">
        <f>VLOOKUP($A448,Technologies!$A$7:$H$576,4,FALSE)</f>
        <v>Material</v>
      </c>
      <c r="E448" s="5" t="str">
        <f>VLOOKUP($A448,Technologies!$A$7:$H$576,6,FALSE)</f>
        <v>Cement</v>
      </c>
      <c r="F448" s="5" t="str">
        <f>VLOOKUP($A448,Technologies!$A$7:$H$576,7,FALSE)</f>
        <v>Imported/purchased cement</v>
      </c>
      <c r="G448" s="23"/>
      <c r="H448" s="23"/>
      <c r="I448" s="103"/>
      <c r="J448" s="103"/>
      <c r="K448" s="103"/>
      <c r="L448" s="104"/>
      <c r="M448" s="23"/>
      <c r="N448" s="23" t="str">
        <f>VLOOKUP(E448,Activities!$A$9:$M$227,13,FALSE)</f>
        <v>NL</v>
      </c>
      <c r="O448" s="23"/>
      <c r="P448" s="79"/>
      <c r="Q448" s="35"/>
      <c r="R448" s="35"/>
      <c r="S448" s="35"/>
      <c r="T448" s="35"/>
      <c r="U448" s="35"/>
      <c r="V448" s="35"/>
      <c r="W448" s="35"/>
      <c r="X448" s="35"/>
      <c r="Y448" s="35"/>
      <c r="Z448" s="35"/>
      <c r="AA448" s="35"/>
      <c r="AB448" s="35"/>
      <c r="AC448" s="35"/>
      <c r="AD448" s="35"/>
      <c r="AE448" s="35"/>
      <c r="AF448" s="36"/>
      <c r="AG448" s="36"/>
      <c r="AH448" s="36"/>
      <c r="AI448" s="36"/>
      <c r="AJ448" s="36"/>
      <c r="AK448" s="36"/>
      <c r="AL448" s="36"/>
      <c r="AM448" s="36"/>
      <c r="AN448" s="36"/>
      <c r="AO448" s="36"/>
      <c r="AP448" s="35"/>
      <c r="AQ448" s="35"/>
      <c r="AR448" s="35"/>
      <c r="AS448" s="35"/>
      <c r="AT448" s="35"/>
      <c r="AU448" s="35"/>
      <c r="AV448" s="35"/>
      <c r="AW448" s="35"/>
      <c r="AX448" s="35"/>
      <c r="AY448" s="35"/>
      <c r="AZ448" s="35"/>
      <c r="BA448" s="35"/>
      <c r="BB448" s="35"/>
      <c r="BC448" s="35"/>
      <c r="BD448" s="35"/>
      <c r="BE448" s="35"/>
      <c r="BF448" s="35"/>
      <c r="BG448" s="35"/>
      <c r="BH448" s="35"/>
      <c r="BI448" s="35"/>
      <c r="BJ448" s="35"/>
      <c r="BK448" s="35"/>
      <c r="BL448" s="35"/>
      <c r="BM448" s="35"/>
      <c r="BN448" s="35"/>
      <c r="BO448" s="35"/>
      <c r="BP448" s="35"/>
      <c r="BQ448" s="35"/>
      <c r="BR448" s="35"/>
      <c r="BS448" s="35"/>
      <c r="BT448" s="35"/>
      <c r="BU448" s="35"/>
      <c r="BV448" s="35"/>
      <c r="BW448" s="35"/>
      <c r="BX448" s="35"/>
      <c r="BY448" s="35"/>
      <c r="BZ448" s="35"/>
      <c r="CA448" s="35"/>
      <c r="CB448" s="35"/>
      <c r="CC448" s="35"/>
      <c r="CD448" s="35"/>
      <c r="CI448" s="1">
        <v>1</v>
      </c>
      <c r="CO448" s="35"/>
      <c r="CP448" s="35"/>
      <c r="CQ448" s="318"/>
      <c r="CR448" s="318"/>
      <c r="CS448" s="35"/>
      <c r="CT448" s="35"/>
      <c r="CU448" s="35"/>
      <c r="CV448" s="35"/>
      <c r="CW448" s="35"/>
      <c r="CX448" s="35"/>
      <c r="CY448" s="35"/>
      <c r="CZ448" s="35"/>
      <c r="DA448" s="35"/>
      <c r="DB448" s="35"/>
      <c r="DC448" s="35"/>
      <c r="DD448" s="35"/>
      <c r="DE448" s="35"/>
      <c r="DF448" s="35"/>
      <c r="DG448" s="35"/>
      <c r="DI448" s="35"/>
      <c r="DJ448" s="35"/>
      <c r="DK448" s="35"/>
      <c r="DL448" s="35"/>
      <c r="DM448" s="35"/>
      <c r="DN448" s="35"/>
      <c r="DO448" s="35"/>
      <c r="DP448" s="35"/>
      <c r="DQ448" s="35"/>
      <c r="DR448" s="35"/>
      <c r="DS448" s="35"/>
      <c r="DT448" s="35"/>
      <c r="DU448" s="35"/>
      <c r="DV448" s="35"/>
      <c r="DW448" s="35"/>
      <c r="DX448" s="35"/>
      <c r="DY448" s="35"/>
      <c r="DZ448" s="35"/>
      <c r="EA448" s="35"/>
      <c r="EB448" s="35"/>
      <c r="EC448" s="35"/>
      <c r="ED448" s="35"/>
      <c r="EE448" s="35"/>
      <c r="EF448" s="35"/>
      <c r="EG448" s="35"/>
      <c r="EH448" s="35"/>
      <c r="EI448" s="35"/>
      <c r="EJ448" s="35"/>
      <c r="EK448" s="35"/>
      <c r="EL448" s="35"/>
      <c r="EM448" s="35"/>
      <c r="EN448" s="35"/>
      <c r="EO448" s="35"/>
      <c r="EP448" s="35"/>
      <c r="EQ448" s="35"/>
      <c r="ER448" s="35"/>
      <c r="ES448" s="35"/>
      <c r="ET448" s="35"/>
      <c r="EU448" s="35"/>
      <c r="EV448" s="35"/>
      <c r="EW448" s="35"/>
      <c r="EX448" s="35"/>
      <c r="EY448" s="35"/>
      <c r="EZ448" s="35"/>
      <c r="FA448" s="35"/>
      <c r="FB448" s="35"/>
      <c r="FC448" s="35"/>
      <c r="FD448" s="35"/>
      <c r="FE448" s="35"/>
      <c r="FF448" s="35"/>
      <c r="FG448" s="35"/>
      <c r="FH448" s="35"/>
      <c r="FI448" s="35"/>
      <c r="FJ448" s="35"/>
      <c r="FK448" s="35"/>
      <c r="FL448" s="35"/>
      <c r="FM448" s="35"/>
      <c r="FN448" s="35"/>
      <c r="FO448" s="35"/>
      <c r="FP448" s="35"/>
      <c r="FQ448" s="35"/>
      <c r="FR448" s="35"/>
      <c r="FS448" s="35"/>
      <c r="FT448" s="35"/>
      <c r="FU448" s="35"/>
      <c r="FV448" s="35"/>
      <c r="FW448" s="35"/>
      <c r="FX448" s="35"/>
      <c r="FY448" s="35"/>
      <c r="FZ448" s="35"/>
      <c r="GA448" s="35"/>
      <c r="GB448" s="318"/>
      <c r="GC448" s="178">
        <f t="shared" si="80"/>
        <v>0</v>
      </c>
      <c r="GD448" s="178">
        <f t="shared" si="81"/>
        <v>0</v>
      </c>
      <c r="GE448" s="178">
        <f t="shared" si="82"/>
        <v>0</v>
      </c>
      <c r="GF448" s="178">
        <f t="shared" si="83"/>
        <v>0</v>
      </c>
      <c r="GG448" s="178">
        <f t="shared" si="78"/>
        <v>0</v>
      </c>
    </row>
    <row r="449" spans="1:189" x14ac:dyDescent="0.35">
      <c r="A449" s="357" t="s">
        <v>2072</v>
      </c>
      <c r="B449" s="6" t="str">
        <f>IF(Technologies!B449&lt;&gt;0,Technologies!B449,"")</f>
        <v/>
      </c>
      <c r="C449" s="5" t="str">
        <f>VLOOKUP($A449,Technologies!$A$7:$H$576,3,FALSE)</f>
        <v>Primary</v>
      </c>
      <c r="D449" s="5" t="str">
        <f>VLOOKUP($A449,Technologies!$A$7:$H$576,4,FALSE)</f>
        <v>Material</v>
      </c>
      <c r="E449" s="5" t="str">
        <f>VLOOKUP($A449,Technologies!$A$7:$H$576,6,FALSE)</f>
        <v>Cement</v>
      </c>
      <c r="F449" s="5" t="str">
        <f>VLOOKUP($A449,Technologies!$A$7:$H$576,7,FALSE)</f>
        <v>Stock of recovered cement</v>
      </c>
      <c r="G449" s="23"/>
      <c r="H449" s="23"/>
      <c r="I449" s="103"/>
      <c r="J449" s="103"/>
      <c r="K449" s="103"/>
      <c r="L449" s="104"/>
      <c r="M449" s="23"/>
      <c r="N449" s="23" t="str">
        <f>VLOOKUP(E449,Activities!$A$9:$M$227,13,FALSE)</f>
        <v>NL</v>
      </c>
      <c r="O449" s="23"/>
      <c r="P449" s="79"/>
      <c r="Q449" s="35"/>
      <c r="R449" s="35"/>
      <c r="S449" s="35"/>
      <c r="T449" s="35"/>
      <c r="U449" s="35"/>
      <c r="V449" s="35"/>
      <c r="W449" s="35"/>
      <c r="X449" s="35"/>
      <c r="Y449" s="35"/>
      <c r="Z449" s="35"/>
      <c r="AA449" s="35"/>
      <c r="AB449" s="35"/>
      <c r="AC449" s="35"/>
      <c r="AD449" s="35"/>
      <c r="AE449" s="35"/>
      <c r="AF449" s="36"/>
      <c r="AG449" s="36"/>
      <c r="AH449" s="36"/>
      <c r="AI449" s="36"/>
      <c r="AJ449" s="36"/>
      <c r="AK449" s="36"/>
      <c r="AL449" s="36"/>
      <c r="AM449" s="36"/>
      <c r="AN449" s="36"/>
      <c r="AO449" s="36"/>
      <c r="AP449" s="35"/>
      <c r="AQ449" s="35"/>
      <c r="AR449" s="35"/>
      <c r="AS449" s="35"/>
      <c r="AT449" s="35"/>
      <c r="AU449" s="35"/>
      <c r="AV449" s="35"/>
      <c r="AW449" s="35"/>
      <c r="AX449" s="35"/>
      <c r="AY449" s="35"/>
      <c r="AZ449" s="35"/>
      <c r="BA449" s="35"/>
      <c r="BB449" s="35"/>
      <c r="BC449" s="35"/>
      <c r="BD449" s="35"/>
      <c r="BE449" s="35"/>
      <c r="BF449" s="35"/>
      <c r="BG449" s="35"/>
      <c r="BH449" s="35"/>
      <c r="BI449" s="35"/>
      <c r="BJ449" s="35"/>
      <c r="BK449" s="35"/>
      <c r="BL449" s="35"/>
      <c r="BM449" s="35"/>
      <c r="BN449" s="35"/>
      <c r="BO449" s="35"/>
      <c r="BP449" s="35"/>
      <c r="BQ449" s="35"/>
      <c r="BR449" s="35"/>
      <c r="BS449" s="35"/>
      <c r="BT449" s="35"/>
      <c r="BU449" s="35"/>
      <c r="BV449" s="35"/>
      <c r="BW449" s="35"/>
      <c r="BX449" s="35"/>
      <c r="BY449" s="35"/>
      <c r="BZ449" s="35"/>
      <c r="CA449" s="35"/>
      <c r="CB449" s="35"/>
      <c r="CC449" s="35"/>
      <c r="CD449" s="35"/>
      <c r="CI449" s="1">
        <v>1</v>
      </c>
      <c r="CO449" s="35"/>
      <c r="CP449" s="35"/>
      <c r="CQ449" s="318"/>
      <c r="CR449" s="318"/>
      <c r="CS449" s="35"/>
      <c r="CT449" s="35"/>
      <c r="CU449" s="35"/>
      <c r="CV449" s="35"/>
      <c r="CW449" s="35"/>
      <c r="CX449" s="35"/>
      <c r="CY449" s="35"/>
      <c r="CZ449" s="35"/>
      <c r="DA449" s="35"/>
      <c r="DB449" s="35"/>
      <c r="DC449" s="35"/>
      <c r="DD449" s="35"/>
      <c r="DE449" s="35"/>
      <c r="DF449" s="35"/>
      <c r="DG449" s="35"/>
      <c r="DI449" s="35"/>
      <c r="DJ449" s="35"/>
      <c r="DK449" s="35"/>
      <c r="DL449" s="35"/>
      <c r="DM449" s="35"/>
      <c r="DN449" s="35"/>
      <c r="DO449" s="35"/>
      <c r="DP449" s="35"/>
      <c r="DQ449" s="35"/>
      <c r="DR449" s="35"/>
      <c r="DS449" s="35"/>
      <c r="DT449" s="35"/>
      <c r="DU449" s="35"/>
      <c r="DV449" s="35"/>
      <c r="DW449" s="35"/>
      <c r="DX449" s="35"/>
      <c r="DY449" s="35"/>
      <c r="DZ449" s="35"/>
      <c r="EA449" s="35"/>
      <c r="EB449" s="35"/>
      <c r="EC449" s="35"/>
      <c r="ED449" s="35"/>
      <c r="EE449" s="35"/>
      <c r="EF449" s="35"/>
      <c r="EG449" s="35"/>
      <c r="EH449" s="35"/>
      <c r="EI449" s="35"/>
      <c r="EJ449" s="35"/>
      <c r="EK449" s="35"/>
      <c r="EL449" s="35"/>
      <c r="EM449" s="35"/>
      <c r="EN449" s="35"/>
      <c r="EO449" s="35"/>
      <c r="EP449" s="35"/>
      <c r="EQ449" s="35"/>
      <c r="ER449" s="35"/>
      <c r="ES449" s="35"/>
      <c r="ET449" s="35"/>
      <c r="EU449" s="35"/>
      <c r="EV449" s="35"/>
      <c r="EW449" s="35"/>
      <c r="EX449" s="35"/>
      <c r="EY449" s="35"/>
      <c r="EZ449" s="35"/>
      <c r="FA449" s="35"/>
      <c r="FB449" s="35"/>
      <c r="FC449" s="35"/>
      <c r="FD449" s="35"/>
      <c r="FE449" s="35"/>
      <c r="FF449" s="35"/>
      <c r="FG449" s="35"/>
      <c r="FH449" s="35"/>
      <c r="FI449" s="35"/>
      <c r="FJ449" s="35"/>
      <c r="FK449" s="35"/>
      <c r="FL449" s="35"/>
      <c r="FM449" s="35"/>
      <c r="FN449" s="35"/>
      <c r="FO449" s="35"/>
      <c r="FP449" s="35"/>
      <c r="FQ449" s="35"/>
      <c r="FR449" s="35"/>
      <c r="FS449" s="35"/>
      <c r="FT449" s="35"/>
      <c r="FU449" s="35"/>
      <c r="FV449" s="35"/>
      <c r="FW449" s="35"/>
      <c r="FX449" s="35"/>
      <c r="FY449" s="35"/>
      <c r="FZ449" s="35"/>
      <c r="GA449" s="35"/>
      <c r="GB449" s="318"/>
      <c r="GC449" s="179">
        <f t="shared" si="80"/>
        <v>0</v>
      </c>
      <c r="GD449" s="179">
        <f t="shared" si="81"/>
        <v>0</v>
      </c>
      <c r="GE449" s="179">
        <f t="shared" si="82"/>
        <v>0</v>
      </c>
      <c r="GF449" s="179">
        <f t="shared" si="83"/>
        <v>0</v>
      </c>
      <c r="GG449" s="179">
        <f t="shared" si="78"/>
        <v>0</v>
      </c>
    </row>
    <row r="450" spans="1:189" x14ac:dyDescent="0.35">
      <c r="A450" s="357" t="s">
        <v>2074</v>
      </c>
      <c r="B450" s="6" t="str">
        <f>IF(Technologies!B450&lt;&gt;0,Technologies!B450,"")</f>
        <v/>
      </c>
      <c r="C450" s="5" t="str">
        <f>VLOOKUP($A450,Technologies!$A$7:$H$576,3,FALSE)</f>
        <v>Material</v>
      </c>
      <c r="D450" s="5" t="str">
        <f>VLOOKUP($A450,Technologies!$A$7:$H$576,4,FALSE)</f>
        <v>Material</v>
      </c>
      <c r="E450" s="5" t="str">
        <f>VLOOKUP($A450,Technologies!$A$7:$H$576,6,FALSE)</f>
        <v>End-of-life concrete</v>
      </c>
      <c r="F450" s="5" t="str">
        <f>VLOOKUP($A450,Technologies!$A$7:$H$576,7,FALSE)</f>
        <v>Crushing, advanced dry recovery and heating air classification system for EOL concrete</v>
      </c>
      <c r="G450" s="23"/>
      <c r="H450" s="23"/>
      <c r="I450" s="103"/>
      <c r="J450" s="103"/>
      <c r="K450" s="103"/>
      <c r="L450" s="104"/>
      <c r="M450" s="23"/>
      <c r="N450" s="23" t="str">
        <f>VLOOKUP(E450,Activities!$A$9:$M$227,13,FALSE)</f>
        <v>NL</v>
      </c>
      <c r="O450" s="23"/>
      <c r="P450" s="79"/>
      <c r="Q450" s="35"/>
      <c r="R450" s="35"/>
      <c r="S450" s="35"/>
      <c r="T450" s="35"/>
      <c r="U450" s="35"/>
      <c r="V450" s="35"/>
      <c r="W450" s="35"/>
      <c r="X450" s="35"/>
      <c r="Y450" s="35"/>
      <c r="Z450" s="35"/>
      <c r="AA450" s="35"/>
      <c r="AB450" s="35"/>
      <c r="AC450" s="35"/>
      <c r="AD450" s="35"/>
      <c r="AE450" s="35"/>
      <c r="AF450" s="36"/>
      <c r="AG450" s="36"/>
      <c r="AH450" s="36"/>
      <c r="AI450" s="36"/>
      <c r="AJ450" s="36"/>
      <c r="AK450" s="36"/>
      <c r="AL450" s="36"/>
      <c r="AM450" s="36"/>
      <c r="AN450" s="36"/>
      <c r="AO450" s="36"/>
      <c r="AP450" s="35"/>
      <c r="AQ450" s="35"/>
      <c r="AR450" s="35"/>
      <c r="AS450" s="35"/>
      <c r="AT450" s="35"/>
      <c r="AU450" s="35"/>
      <c r="AV450" s="35"/>
      <c r="AW450" s="35"/>
      <c r="AX450" s="35"/>
      <c r="AY450" s="35"/>
      <c r="AZ450" s="35"/>
      <c r="BA450" s="35"/>
      <c r="BB450" s="35"/>
      <c r="BC450" s="35"/>
      <c r="BD450" s="35"/>
      <c r="BE450" s="35"/>
      <c r="BF450" s="35"/>
      <c r="BG450" s="35"/>
      <c r="BH450" s="35"/>
      <c r="BI450" s="35"/>
      <c r="BJ450" s="35"/>
      <c r="BK450" s="35"/>
      <c r="BL450" s="35"/>
      <c r="BM450" s="35"/>
      <c r="BN450" s="35"/>
      <c r="BO450" s="35"/>
      <c r="BP450" s="35"/>
      <c r="BQ450" s="35"/>
      <c r="BR450" s="35"/>
      <c r="BS450" s="35"/>
      <c r="BT450" s="35"/>
      <c r="BU450" s="35"/>
      <c r="BV450" s="35"/>
      <c r="BW450" s="35"/>
      <c r="BX450" s="35"/>
      <c r="BY450" s="35"/>
      <c r="BZ450" s="35"/>
      <c r="CA450" s="35"/>
      <c r="CB450" s="35"/>
      <c r="CC450" s="35"/>
      <c r="CD450" s="35"/>
      <c r="CF450" s="1">
        <v>-1</v>
      </c>
      <c r="CG450" s="1">
        <v>0.25600000000000001</v>
      </c>
      <c r="CH450" s="1">
        <v>0.68</v>
      </c>
      <c r="CI450" s="1">
        <v>6.4000000000000001E-2</v>
      </c>
      <c r="CO450" s="35"/>
      <c r="CP450" s="35"/>
      <c r="CQ450" s="318"/>
      <c r="CR450" s="318"/>
      <c r="CS450" s="35"/>
      <c r="CT450" s="35"/>
      <c r="CU450" s="35"/>
      <c r="CV450" s="35"/>
      <c r="CW450" s="35"/>
      <c r="CX450" s="35"/>
      <c r="CY450" s="35"/>
      <c r="CZ450" s="35"/>
      <c r="DA450" s="35"/>
      <c r="DB450" s="35"/>
      <c r="DC450" s="35"/>
      <c r="DD450" s="35"/>
      <c r="DE450" s="35"/>
      <c r="DF450" s="35"/>
      <c r="DG450" s="35"/>
      <c r="DH450" s="404">
        <f>-(36.8+0.32)*0.0036/100</f>
        <v>-1.33632E-3</v>
      </c>
      <c r="DI450" s="35"/>
      <c r="DJ450" s="35"/>
      <c r="DK450" s="35"/>
      <c r="DL450" s="35"/>
      <c r="DM450" s="35"/>
      <c r="DN450" s="35"/>
      <c r="DO450" s="35"/>
      <c r="DP450" s="35"/>
      <c r="DQ450" s="35"/>
      <c r="DR450" s="35"/>
      <c r="DS450" s="35"/>
      <c r="DT450" s="35"/>
      <c r="DU450" s="406">
        <f>-(0.84*1300*43.2)/(100*10^3)</f>
        <v>-0.471744</v>
      </c>
      <c r="DV450" s="35"/>
      <c r="DW450" s="35"/>
      <c r="DX450" s="35"/>
      <c r="DY450" s="35"/>
      <c r="DZ450" s="35"/>
      <c r="EA450" s="35"/>
      <c r="EB450" s="35"/>
      <c r="EC450" s="35"/>
      <c r="ED450" s="35"/>
      <c r="EE450" s="35"/>
      <c r="EF450" s="35"/>
      <c r="EG450" s="35"/>
      <c r="EH450" s="35"/>
      <c r="EI450" s="35"/>
      <c r="EJ450" s="35"/>
      <c r="EK450" s="35"/>
      <c r="EL450" s="35"/>
      <c r="EM450" s="35"/>
      <c r="EN450" s="35"/>
      <c r="EO450" s="35"/>
      <c r="EP450" s="35"/>
      <c r="EQ450" s="35"/>
      <c r="ER450" s="35"/>
      <c r="ES450" s="35"/>
      <c r="ET450" s="35"/>
      <c r="EU450" s="35"/>
      <c r="EV450" s="35"/>
      <c r="EW450" s="35"/>
      <c r="EX450" s="35"/>
      <c r="EY450" s="35"/>
      <c r="EZ450" s="35"/>
      <c r="FA450" s="35"/>
      <c r="FB450" s="35"/>
      <c r="FC450" s="35"/>
      <c r="FD450" s="35"/>
      <c r="FE450" s="35"/>
      <c r="FF450" s="35"/>
      <c r="FG450" s="35"/>
      <c r="FH450" s="35"/>
      <c r="FI450" s="35"/>
      <c r="FJ450" s="35"/>
      <c r="FK450" s="35"/>
      <c r="FL450" s="35"/>
      <c r="FM450" s="35"/>
      <c r="FN450" s="35"/>
      <c r="FO450" s="35"/>
      <c r="FP450" s="35"/>
      <c r="FQ450" s="35"/>
      <c r="FR450" s="35"/>
      <c r="FS450" s="35"/>
      <c r="FT450" s="35"/>
      <c r="FU450" s="35"/>
      <c r="FV450" s="35"/>
      <c r="FW450" s="35"/>
      <c r="FX450" s="35"/>
      <c r="FY450" s="35"/>
      <c r="FZ450" s="35"/>
      <c r="GA450" s="35"/>
      <c r="GB450" s="318"/>
      <c r="GC450" s="178">
        <f t="shared" si="80"/>
        <v>0</v>
      </c>
      <c r="GD450" s="178">
        <f t="shared" si="81"/>
        <v>0</v>
      </c>
      <c r="GE450" s="178">
        <f t="shared" si="82"/>
        <v>3.44E-2</v>
      </c>
      <c r="GF450" s="178">
        <f t="shared" si="83"/>
        <v>0</v>
      </c>
      <c r="GG450" s="178">
        <f t="shared" si="78"/>
        <v>0</v>
      </c>
    </row>
    <row r="451" spans="1:189" x14ac:dyDescent="0.35">
      <c r="A451" s="357" t="s">
        <v>2077</v>
      </c>
      <c r="B451" s="6" t="str">
        <f>IF(Technologies!B451&lt;&gt;0,Technologies!B451,"")</f>
        <v/>
      </c>
      <c r="C451" s="5" t="str">
        <f>VLOOKUP($A451,Technologies!$A$7:$H$576,3,FALSE)</f>
        <v>Material</v>
      </c>
      <c r="D451" s="5" t="str">
        <f>VLOOKUP($A451,Technologies!$A$7:$H$576,4,FALSE)</f>
        <v>Material</v>
      </c>
      <c r="E451" s="5" t="str">
        <f>VLOOKUP($A451,Technologies!$A$7:$H$576,6,FALSE)</f>
        <v>End-of-life ceramic</v>
      </c>
      <c r="F451" s="5" t="str">
        <f>VLOOKUP($A451,Technologies!$A$7:$H$576,7,FALSE)</f>
        <v>Crushing of ceramic tile waste (CTW) for use as aggregate</v>
      </c>
      <c r="G451" s="23"/>
      <c r="H451" s="23"/>
      <c r="I451" s="103"/>
      <c r="J451" s="103"/>
      <c r="K451" s="103"/>
      <c r="L451" s="104"/>
      <c r="M451" s="23"/>
      <c r="N451" s="23" t="str">
        <f>VLOOKUP(E451,Activities!$A$9:$M$227,13,FALSE)</f>
        <v>NL</v>
      </c>
      <c r="O451" s="23"/>
      <c r="P451" s="79"/>
      <c r="Q451" s="35"/>
      <c r="R451" s="35"/>
      <c r="S451" s="35"/>
      <c r="T451" s="35"/>
      <c r="U451" s="35"/>
      <c r="V451" s="35"/>
      <c r="W451" s="35"/>
      <c r="X451" s="35"/>
      <c r="Y451" s="35"/>
      <c r="Z451" s="35"/>
      <c r="AA451" s="35"/>
      <c r="AB451" s="35"/>
      <c r="AC451" s="35"/>
      <c r="AD451" s="35"/>
      <c r="AE451" s="35"/>
      <c r="AF451" s="36"/>
      <c r="AG451" s="36"/>
      <c r="AH451" s="36"/>
      <c r="AI451" s="36"/>
      <c r="AJ451" s="36"/>
      <c r="AK451" s="36"/>
      <c r="AL451" s="36"/>
      <c r="AM451" s="36"/>
      <c r="AN451" s="36"/>
      <c r="AO451" s="36"/>
      <c r="AP451" s="35"/>
      <c r="AQ451" s="35"/>
      <c r="AR451" s="35"/>
      <c r="AS451" s="35"/>
      <c r="AT451" s="35"/>
      <c r="AU451" s="35"/>
      <c r="AV451" s="35"/>
      <c r="AW451" s="35"/>
      <c r="AX451" s="35"/>
      <c r="AY451" s="35"/>
      <c r="AZ451" s="35"/>
      <c r="BA451" s="35"/>
      <c r="BB451" s="35"/>
      <c r="BC451" s="35"/>
      <c r="BD451" s="35"/>
      <c r="BE451" s="35"/>
      <c r="BF451" s="35"/>
      <c r="BG451" s="35"/>
      <c r="BH451" s="35"/>
      <c r="BI451" s="35"/>
      <c r="BJ451" s="35"/>
      <c r="BK451" s="35"/>
      <c r="BL451" s="35"/>
      <c r="BM451" s="35"/>
      <c r="BN451" s="35"/>
      <c r="BO451" s="35"/>
      <c r="BP451" s="35"/>
      <c r="BQ451" s="35"/>
      <c r="BR451" s="35"/>
      <c r="BS451" s="35"/>
      <c r="BT451" s="35"/>
      <c r="BU451" s="35"/>
      <c r="BV451" s="35"/>
      <c r="BW451" s="35"/>
      <c r="BX451" s="35"/>
      <c r="BY451" s="35"/>
      <c r="BZ451" s="35"/>
      <c r="CA451" s="35"/>
      <c r="CB451" s="35"/>
      <c r="CC451" s="35"/>
      <c r="CD451" s="35"/>
      <c r="CH451" s="211">
        <f>CH453</f>
        <v>0.9652173913043478</v>
      </c>
      <c r="CJ451" s="1">
        <v>-1</v>
      </c>
      <c r="CO451" s="35"/>
      <c r="CP451" s="35"/>
      <c r="CQ451" s="318"/>
      <c r="CR451" s="318"/>
      <c r="CS451" s="35"/>
      <c r="CT451" s="35"/>
      <c r="CU451" s="35"/>
      <c r="CV451" s="35"/>
      <c r="CW451" s="35"/>
      <c r="CX451" s="35"/>
      <c r="CY451" s="35"/>
      <c r="CZ451" s="35"/>
      <c r="DA451" s="35"/>
      <c r="DB451" s="35"/>
      <c r="DC451" s="35"/>
      <c r="DD451" s="35"/>
      <c r="DE451" s="35"/>
      <c r="DF451" s="35"/>
      <c r="DG451" s="35"/>
      <c r="DH451" s="405">
        <v>-0.111</v>
      </c>
      <c r="DI451" s="35"/>
      <c r="DJ451" s="35"/>
      <c r="DK451" s="35"/>
      <c r="DL451" s="35"/>
      <c r="DM451" s="35"/>
      <c r="DN451" s="35"/>
      <c r="DO451" s="35"/>
      <c r="DP451" s="35"/>
      <c r="DQ451" s="35"/>
      <c r="DR451" s="35"/>
      <c r="DS451" s="35"/>
      <c r="DT451" s="35"/>
      <c r="DU451" s="35"/>
      <c r="DV451" s="35"/>
      <c r="DW451" s="35"/>
      <c r="DX451" s="35"/>
      <c r="DY451" s="35"/>
      <c r="DZ451" s="35"/>
      <c r="EA451" s="35"/>
      <c r="EB451" s="35"/>
      <c r="EC451" s="35"/>
      <c r="ED451" s="35"/>
      <c r="EE451" s="35"/>
      <c r="EF451" s="35"/>
      <c r="EG451" s="35"/>
      <c r="EH451" s="35"/>
      <c r="EI451" s="35"/>
      <c r="EJ451" s="35"/>
      <c r="EK451" s="35"/>
      <c r="EL451" s="35"/>
      <c r="EM451" s="35"/>
      <c r="EN451" s="35"/>
      <c r="EO451" s="35"/>
      <c r="EP451" s="35"/>
      <c r="EQ451" s="35"/>
      <c r="ER451" s="35"/>
      <c r="ES451" s="35"/>
      <c r="ET451" s="35"/>
      <c r="EU451" s="35"/>
      <c r="EV451" s="35"/>
      <c r="EW451" s="35"/>
      <c r="EX451" s="35"/>
      <c r="EY451" s="35"/>
      <c r="EZ451" s="35"/>
      <c r="FA451" s="35"/>
      <c r="FB451" s="35"/>
      <c r="FC451" s="35"/>
      <c r="FD451" s="35"/>
      <c r="FE451" s="35"/>
      <c r="FF451" s="35"/>
      <c r="FG451" s="35"/>
      <c r="FH451" s="35"/>
      <c r="FI451" s="35"/>
      <c r="FJ451" s="35"/>
      <c r="FK451" s="35"/>
      <c r="FL451" s="35"/>
      <c r="FM451" s="35"/>
      <c r="FN451" s="35"/>
      <c r="FO451" s="35"/>
      <c r="FP451" s="35"/>
      <c r="FQ451" s="35"/>
      <c r="FR451" s="35"/>
      <c r="FS451" s="35"/>
      <c r="FT451" s="35"/>
      <c r="FU451" s="35"/>
      <c r="FV451" s="35"/>
      <c r="FW451" s="35"/>
      <c r="FX451" s="35"/>
      <c r="FY451" s="35"/>
      <c r="FZ451" s="35"/>
      <c r="GA451" s="35"/>
      <c r="GB451" s="318"/>
      <c r="GC451" s="179">
        <f t="shared" si="80"/>
        <v>0</v>
      </c>
      <c r="GD451" s="179">
        <f t="shared" si="81"/>
        <v>0</v>
      </c>
      <c r="GE451" s="179">
        <f t="shared" si="82"/>
        <v>0</v>
      </c>
      <c r="GF451" s="179">
        <f t="shared" si="83"/>
        <v>0</v>
      </c>
      <c r="GG451" s="179">
        <f t="shared" si="78"/>
        <v>0</v>
      </c>
    </row>
    <row r="452" spans="1:189" x14ac:dyDescent="0.35">
      <c r="A452" s="357" t="s">
        <v>2080</v>
      </c>
      <c r="B452" s="6" t="str">
        <f>IF(Technologies!B452&lt;&gt;0,Technologies!B452,"")</f>
        <v/>
      </c>
      <c r="C452" s="5" t="str">
        <f>VLOOKUP($A452,Technologies!$A$7:$H$576,3,FALSE)</f>
        <v>Material</v>
      </c>
      <c r="D452" s="5" t="str">
        <f>VLOOKUP($A452,Technologies!$A$7:$H$576,4,FALSE)</f>
        <v>Material</v>
      </c>
      <c r="E452" s="5" t="str">
        <f>VLOOKUP($A452,Technologies!$A$7:$H$576,6,FALSE)</f>
        <v>End-of-life ceramic</v>
      </c>
      <c r="F452" s="5" t="str">
        <f>VLOOKUP($A452,Technologies!$A$7:$H$576,7,FALSE)</f>
        <v>Crushing of ceramic tile waste (CTW) for use as supplementary cementitious material (SCM)</v>
      </c>
      <c r="G452" s="23"/>
      <c r="H452" s="23"/>
      <c r="I452" s="103"/>
      <c r="J452" s="103"/>
      <c r="K452" s="103"/>
      <c r="L452" s="104"/>
      <c r="M452" s="23"/>
      <c r="N452" s="23" t="str">
        <f>VLOOKUP(E452,Activities!$A$9:$M$227,13,FALSE)</f>
        <v>NL</v>
      </c>
      <c r="O452" s="23"/>
      <c r="P452" s="79"/>
      <c r="Q452" s="35"/>
      <c r="R452" s="35"/>
      <c r="S452" s="35"/>
      <c r="T452" s="35"/>
      <c r="U452" s="35"/>
      <c r="V452" s="35"/>
      <c r="W452" s="35"/>
      <c r="X452" s="35"/>
      <c r="Y452" s="35"/>
      <c r="Z452" s="35"/>
      <c r="AA452" s="35"/>
      <c r="AB452" s="35"/>
      <c r="AC452" s="35"/>
      <c r="AD452" s="35"/>
      <c r="AE452" s="35"/>
      <c r="AF452" s="36"/>
      <c r="AG452" s="36"/>
      <c r="AH452" s="36"/>
      <c r="AI452" s="36"/>
      <c r="AJ452" s="36"/>
      <c r="AK452" s="36"/>
      <c r="AL452" s="36"/>
      <c r="AM452" s="36"/>
      <c r="AN452" s="36"/>
      <c r="AO452" s="36"/>
      <c r="AP452" s="35"/>
      <c r="AQ452" s="35"/>
      <c r="AR452" s="35"/>
      <c r="AS452" s="35"/>
      <c r="AT452" s="35"/>
      <c r="AU452" s="35"/>
      <c r="AV452" s="35"/>
      <c r="AW452" s="35"/>
      <c r="AX452" s="35"/>
      <c r="AY452" s="35"/>
      <c r="AZ452" s="35"/>
      <c r="BA452" s="35"/>
      <c r="BB452" s="35"/>
      <c r="BC452" s="35"/>
      <c r="BD452" s="35"/>
      <c r="BE452" s="35"/>
      <c r="BF452" s="35"/>
      <c r="BG452" s="35"/>
      <c r="BH452" s="35"/>
      <c r="BI452" s="35"/>
      <c r="BJ452" s="35"/>
      <c r="BK452" s="35"/>
      <c r="BL452" s="35"/>
      <c r="BM452" s="35"/>
      <c r="BN452" s="35"/>
      <c r="BO452" s="35"/>
      <c r="BP452" s="35"/>
      <c r="BQ452" s="35"/>
      <c r="BR452" s="35"/>
      <c r="BS452" s="35"/>
      <c r="BT452" s="35"/>
      <c r="BU452" s="35"/>
      <c r="BV452" s="35"/>
      <c r="BW452" s="35"/>
      <c r="BX452" s="35"/>
      <c r="BY452" s="35"/>
      <c r="BZ452" s="35"/>
      <c r="CA452" s="35"/>
      <c r="CB452" s="35"/>
      <c r="CC452" s="35"/>
      <c r="CD452" s="35"/>
      <c r="CH452" s="211"/>
      <c r="CJ452" s="1">
        <v>-1</v>
      </c>
      <c r="CK452" s="211">
        <v>0.95</v>
      </c>
      <c r="CL452" s="211"/>
      <c r="CM452" s="211"/>
      <c r="CN452" s="211"/>
      <c r="CO452" s="35"/>
      <c r="CP452" s="35"/>
      <c r="CQ452" s="318"/>
      <c r="CR452" s="318"/>
      <c r="CS452" s="35"/>
      <c r="CT452" s="35"/>
      <c r="CU452" s="35"/>
      <c r="CV452" s="35"/>
      <c r="CW452" s="35"/>
      <c r="CX452" s="35"/>
      <c r="CY452" s="35"/>
      <c r="CZ452" s="35"/>
      <c r="DA452" s="35"/>
      <c r="DB452" s="35"/>
      <c r="DC452" s="35"/>
      <c r="DD452" s="35"/>
      <c r="DE452" s="35"/>
      <c r="DF452" s="35"/>
      <c r="DG452" s="35"/>
      <c r="DH452" s="405">
        <v>-1.1200000000000001</v>
      </c>
      <c r="DI452" s="35"/>
      <c r="DJ452" s="35"/>
      <c r="DK452" s="35"/>
      <c r="DL452" s="35"/>
      <c r="DM452" s="35"/>
      <c r="DN452" s="35"/>
      <c r="DO452" s="35"/>
      <c r="DP452" s="35"/>
      <c r="DQ452" s="35"/>
      <c r="DR452" s="35"/>
      <c r="DS452" s="35"/>
      <c r="DT452" s="35"/>
      <c r="DU452" s="406"/>
      <c r="DV452" s="35"/>
      <c r="DW452" s="35"/>
      <c r="DX452" s="35"/>
      <c r="DY452" s="35"/>
      <c r="DZ452" s="35"/>
      <c r="EA452" s="35"/>
      <c r="EB452" s="35"/>
      <c r="EC452" s="35"/>
      <c r="ED452" s="35"/>
      <c r="EE452" s="35"/>
      <c r="EF452" s="35"/>
      <c r="EG452" s="35"/>
      <c r="EH452" s="35"/>
      <c r="EI452" s="35"/>
      <c r="EJ452" s="35"/>
      <c r="EK452" s="35"/>
      <c r="EL452" s="35"/>
      <c r="EM452" s="35"/>
      <c r="EN452" s="35"/>
      <c r="EO452" s="35"/>
      <c r="EP452" s="35"/>
      <c r="EQ452" s="35"/>
      <c r="ER452" s="35"/>
      <c r="ES452" s="35"/>
      <c r="ET452" s="35"/>
      <c r="EU452" s="35"/>
      <c r="EV452" s="35"/>
      <c r="EW452" s="35"/>
      <c r="EX452" s="35"/>
      <c r="EY452" s="35"/>
      <c r="EZ452" s="35"/>
      <c r="FA452" s="35"/>
      <c r="FB452" s="35"/>
      <c r="FC452" s="35"/>
      <c r="FD452" s="35"/>
      <c r="FE452" s="35"/>
      <c r="FF452" s="35"/>
      <c r="FG452" s="35"/>
      <c r="FH452" s="35"/>
      <c r="FI452" s="35"/>
      <c r="FJ452" s="35"/>
      <c r="FK452" s="35"/>
      <c r="FL452" s="35"/>
      <c r="FM452" s="35"/>
      <c r="FN452" s="35"/>
      <c r="FO452" s="35"/>
      <c r="FP452" s="35"/>
      <c r="FQ452" s="35"/>
      <c r="FR452" s="35"/>
      <c r="FS452" s="35"/>
      <c r="FT452" s="35"/>
      <c r="FU452" s="35"/>
      <c r="FV452" s="35"/>
      <c r="FW452" s="35"/>
      <c r="FX452" s="35"/>
      <c r="FY452" s="35"/>
      <c r="FZ452" s="35"/>
      <c r="GA452" s="35"/>
      <c r="GB452" s="318"/>
      <c r="GC452" s="178">
        <f t="shared" si="80"/>
        <v>0</v>
      </c>
      <c r="GD452" s="178">
        <f t="shared" si="81"/>
        <v>0</v>
      </c>
      <c r="GE452" s="178">
        <f t="shared" si="82"/>
        <v>0</v>
      </c>
      <c r="GF452" s="178">
        <f t="shared" si="83"/>
        <v>0</v>
      </c>
      <c r="GG452" s="178">
        <f t="shared" si="78"/>
        <v>0</v>
      </c>
    </row>
    <row r="453" spans="1:189" x14ac:dyDescent="0.35">
      <c r="A453" s="357" t="s">
        <v>2082</v>
      </c>
      <c r="B453" s="6" t="str">
        <f>IF(Technologies!B453&lt;&gt;0,Technologies!B453,"")</f>
        <v/>
      </c>
      <c r="C453" s="5" t="str">
        <f>VLOOKUP($A453,Technologies!$A$7:$H$576,3,FALSE)</f>
        <v>Material</v>
      </c>
      <c r="D453" s="5" t="str">
        <f>VLOOKUP($A453,Technologies!$A$7:$H$576,4,FALSE)</f>
        <v>Material</v>
      </c>
      <c r="E453" s="5" t="str">
        <f>VLOOKUP($A453,Technologies!$A$7:$H$576,6,FALSE)</f>
        <v>End-of-life concrete</v>
      </c>
      <c r="F453" s="5" t="str">
        <f>VLOOKUP($A453,Technologies!$A$7:$H$576,7,FALSE)</f>
        <v>Coarse recycled concrete aggregate production</v>
      </c>
      <c r="G453" s="23"/>
      <c r="H453" s="23"/>
      <c r="I453" s="103"/>
      <c r="J453" s="103"/>
      <c r="K453" s="103"/>
      <c r="L453" s="104"/>
      <c r="M453" s="23"/>
      <c r="N453" s="23" t="str">
        <f>VLOOKUP(E453,Activities!$A$9:$M$227,13,FALSE)</f>
        <v>NL</v>
      </c>
      <c r="O453" s="23"/>
      <c r="P453" s="79"/>
      <c r="Q453" s="35"/>
      <c r="R453" s="35"/>
      <c r="S453" s="35"/>
      <c r="T453" s="35"/>
      <c r="U453" s="35"/>
      <c r="V453" s="35"/>
      <c r="W453" s="35"/>
      <c r="X453" s="35"/>
      <c r="Y453" s="35"/>
      <c r="Z453" s="35"/>
      <c r="AA453" s="35"/>
      <c r="AB453" s="35"/>
      <c r="AC453" s="35"/>
      <c r="AD453" s="35"/>
      <c r="AE453" s="35"/>
      <c r="AF453" s="36"/>
      <c r="AG453" s="36"/>
      <c r="AH453" s="36"/>
      <c r="AI453" s="36"/>
      <c r="AJ453" s="36"/>
      <c r="AK453" s="36"/>
      <c r="AL453" s="36"/>
      <c r="AM453" s="36"/>
      <c r="AN453" s="36"/>
      <c r="AO453" s="36"/>
      <c r="AP453" s="35"/>
      <c r="AQ453" s="35"/>
      <c r="AR453" s="35"/>
      <c r="AS453" s="35"/>
      <c r="AT453" s="35"/>
      <c r="AU453" s="35"/>
      <c r="AV453" s="35"/>
      <c r="AW453" s="35"/>
      <c r="AX453" s="35"/>
      <c r="AY453" s="35"/>
      <c r="AZ453" s="35"/>
      <c r="BA453" s="35"/>
      <c r="BB453" s="35"/>
      <c r="BC453" s="35"/>
      <c r="BD453" s="35"/>
      <c r="BE453" s="35"/>
      <c r="BF453" s="35"/>
      <c r="BG453" s="35"/>
      <c r="BH453" s="35"/>
      <c r="BI453" s="35"/>
      <c r="BJ453" s="35"/>
      <c r="BK453" s="35"/>
      <c r="BL453" s="35"/>
      <c r="BM453" s="35"/>
      <c r="BN453" s="35"/>
      <c r="BO453" s="35"/>
      <c r="BP453" s="35"/>
      <c r="BQ453" s="35"/>
      <c r="BR453" s="35"/>
      <c r="BS453" s="35"/>
      <c r="BT453" s="35"/>
      <c r="BU453" s="35"/>
      <c r="BV453" s="35"/>
      <c r="BW453" s="35"/>
      <c r="BX453" s="35"/>
      <c r="BY453" s="35"/>
      <c r="BZ453" s="35"/>
      <c r="CA453" s="35"/>
      <c r="CB453" s="35"/>
      <c r="CC453" s="35"/>
      <c r="CD453" s="35"/>
      <c r="CF453" s="1">
        <v>-1</v>
      </c>
      <c r="CH453" s="211">
        <f>(23+40+18+30)/115</f>
        <v>0.9652173913043478</v>
      </c>
      <c r="CO453" s="35"/>
      <c r="CP453" s="35"/>
      <c r="CQ453" s="318"/>
      <c r="CR453" s="318"/>
      <c r="CS453" s="35"/>
      <c r="CT453" s="35"/>
      <c r="CU453" s="35"/>
      <c r="CV453" s="35"/>
      <c r="CW453" s="35"/>
      <c r="CX453" s="35"/>
      <c r="CY453" s="35"/>
      <c r="CZ453" s="35"/>
      <c r="DA453" s="35"/>
      <c r="DB453" s="35"/>
      <c r="DC453" s="35"/>
      <c r="DD453" s="35"/>
      <c r="DE453" s="35"/>
      <c r="DF453" s="35"/>
      <c r="DG453" s="35"/>
      <c r="DH453" s="35"/>
      <c r="DI453" s="35"/>
      <c r="DJ453" s="35"/>
      <c r="DK453" s="35"/>
      <c r="DL453" s="35"/>
      <c r="DM453" s="35"/>
      <c r="DN453" s="35"/>
      <c r="DO453" s="35"/>
      <c r="DP453" s="35"/>
      <c r="DQ453" s="35"/>
      <c r="DR453" s="35"/>
      <c r="DS453" s="35"/>
      <c r="DT453" s="35"/>
      <c r="DU453" s="35"/>
      <c r="DV453" s="35"/>
      <c r="DW453" s="35"/>
      <c r="DX453" s="35"/>
      <c r="DY453" s="35"/>
      <c r="DZ453" s="35"/>
      <c r="EA453" s="35"/>
      <c r="EB453" s="35"/>
      <c r="EC453" s="35"/>
      <c r="ED453" s="35"/>
      <c r="EE453" s="35"/>
      <c r="EF453" s="35"/>
      <c r="EG453" s="35"/>
      <c r="EH453" s="35"/>
      <c r="EI453" s="35"/>
      <c r="EJ453" s="35"/>
      <c r="EK453" s="35"/>
      <c r="EL453" s="35"/>
      <c r="EM453" s="35"/>
      <c r="EN453" s="35"/>
      <c r="EO453" s="35"/>
      <c r="EP453" s="35"/>
      <c r="EQ453" s="35"/>
      <c r="ER453" s="35"/>
      <c r="ES453" s="35"/>
      <c r="ET453" s="35"/>
      <c r="EU453" s="35"/>
      <c r="EV453" s="35"/>
      <c r="EW453" s="35"/>
      <c r="EX453" s="35"/>
      <c r="EY453" s="35"/>
      <c r="EZ453" s="35"/>
      <c r="FA453" s="35"/>
      <c r="FB453" s="35"/>
      <c r="FC453" s="35"/>
      <c r="FD453" s="35"/>
      <c r="FE453" s="35"/>
      <c r="FF453" s="35"/>
      <c r="FG453" s="35"/>
      <c r="FH453" s="35"/>
      <c r="FI453" s="35"/>
      <c r="FJ453" s="35"/>
      <c r="FK453" s="35"/>
      <c r="FL453" s="35"/>
      <c r="FM453" s="35"/>
      <c r="FN453" s="35"/>
      <c r="FO453" s="35"/>
      <c r="FP453" s="35"/>
      <c r="FQ453" s="35"/>
      <c r="FR453" s="35"/>
      <c r="FS453" s="35"/>
      <c r="FT453" s="35"/>
      <c r="FU453" s="35"/>
      <c r="FV453" s="35"/>
      <c r="FW453" s="35"/>
      <c r="FX453" s="35"/>
      <c r="FY453" s="35"/>
      <c r="FZ453" s="35"/>
      <c r="GA453" s="35"/>
      <c r="GB453" s="318"/>
      <c r="GC453" s="179">
        <f t="shared" si="80"/>
        <v>0</v>
      </c>
      <c r="GD453" s="179">
        <f t="shared" si="81"/>
        <v>0</v>
      </c>
      <c r="GE453" s="179">
        <f t="shared" si="82"/>
        <v>0</v>
      </c>
      <c r="GF453" s="179">
        <f t="shared" si="83"/>
        <v>0</v>
      </c>
      <c r="GG453" s="179">
        <f t="shared" si="78"/>
        <v>0</v>
      </c>
    </row>
    <row r="454" spans="1:189" x14ac:dyDescent="0.35">
      <c r="A454" s="357" t="s">
        <v>2084</v>
      </c>
      <c r="B454" s="6" t="str">
        <f>IF(Technologies!B454&lt;&gt;0,Technologies!B454,"")</f>
        <v/>
      </c>
      <c r="C454" s="5" t="str">
        <f>VLOOKUP($A454,Technologies!$A$7:$H$576,3,FALSE)</f>
        <v>Material</v>
      </c>
      <c r="D454" s="5" t="str">
        <f>VLOOKUP($A454,Technologies!$A$7:$H$576,4,FALSE)</f>
        <v>Material</v>
      </c>
      <c r="E454" s="5" t="str">
        <f>VLOOKUP($A454,Technologies!$A$7:$H$576,6,FALSE)</f>
        <v>End-of-life ceramic</v>
      </c>
      <c r="F454" s="5" t="str">
        <f>VLOOKUP($A454,Technologies!$A$7:$H$576,7,FALSE)</f>
        <v>Crushing of ceramic tile waste (CTW) for use as clay substitute in ceramic production</v>
      </c>
      <c r="G454" s="23"/>
      <c r="H454" s="23"/>
      <c r="I454" s="103"/>
      <c r="J454" s="103"/>
      <c r="K454" s="103"/>
      <c r="L454" s="104"/>
      <c r="M454" s="23"/>
      <c r="N454" s="23" t="str">
        <f>VLOOKUP(E454,Activities!$A$9:$M$227,13,FALSE)</f>
        <v>NL</v>
      </c>
      <c r="O454" s="23"/>
      <c r="P454" s="79"/>
      <c r="Q454" s="35"/>
      <c r="R454" s="35"/>
      <c r="S454" s="35"/>
      <c r="T454" s="35"/>
      <c r="U454" s="35"/>
      <c r="V454" s="35"/>
      <c r="W454" s="35"/>
      <c r="X454" s="35"/>
      <c r="Y454" s="35"/>
      <c r="Z454" s="35"/>
      <c r="AA454" s="35"/>
      <c r="AB454" s="35"/>
      <c r="AC454" s="35"/>
      <c r="AD454" s="35"/>
      <c r="AE454" s="35"/>
      <c r="AF454" s="36"/>
      <c r="AG454" s="36"/>
      <c r="AH454" s="36"/>
      <c r="AI454" s="36"/>
      <c r="AJ454" s="36"/>
      <c r="AK454" s="36"/>
      <c r="AL454" s="36"/>
      <c r="AM454" s="36"/>
      <c r="AN454" s="36"/>
      <c r="AO454" s="36"/>
      <c r="AP454" s="35"/>
      <c r="AQ454" s="35"/>
      <c r="AR454" s="35"/>
      <c r="AS454" s="35"/>
      <c r="AT454" s="35"/>
      <c r="AU454" s="35"/>
      <c r="AV454" s="35"/>
      <c r="AW454" s="35"/>
      <c r="AX454" s="35"/>
      <c r="AY454" s="35"/>
      <c r="AZ454" s="35"/>
      <c r="BA454" s="35"/>
      <c r="BB454" s="35"/>
      <c r="BC454" s="35"/>
      <c r="BD454" s="35"/>
      <c r="BE454" s="35"/>
      <c r="BF454" s="35"/>
      <c r="BG454" s="35"/>
      <c r="BH454" s="35"/>
      <c r="BI454" s="35"/>
      <c r="BJ454" s="35"/>
      <c r="BK454" s="35"/>
      <c r="BL454" s="35"/>
      <c r="BM454" s="35"/>
      <c r="BN454" s="35"/>
      <c r="BO454" s="35"/>
      <c r="BP454" s="35"/>
      <c r="BQ454" s="35"/>
      <c r="BR454" s="35"/>
      <c r="BS454" s="35"/>
      <c r="BT454" s="35"/>
      <c r="BU454" s="35"/>
      <c r="BV454" s="35"/>
      <c r="BW454" s="35"/>
      <c r="BX454" s="35"/>
      <c r="BY454" s="35"/>
      <c r="BZ454" s="35"/>
      <c r="CA454" s="35"/>
      <c r="CB454" s="35"/>
      <c r="CC454" s="35"/>
      <c r="CD454" s="35"/>
      <c r="CH454" s="211"/>
      <c r="CJ454" s="1">
        <v>-1</v>
      </c>
      <c r="CM454" s="1">
        <v>1</v>
      </c>
      <c r="CO454" s="35"/>
      <c r="CP454" s="35"/>
      <c r="CQ454" s="318"/>
      <c r="CR454" s="318"/>
      <c r="CS454" s="35"/>
      <c r="CT454" s="35"/>
      <c r="CU454" s="35"/>
      <c r="CV454" s="35"/>
      <c r="CW454" s="35"/>
      <c r="CX454" s="35"/>
      <c r="CY454" s="35"/>
      <c r="CZ454" s="35"/>
      <c r="DA454" s="35"/>
      <c r="DB454" s="35"/>
      <c r="DC454" s="35"/>
      <c r="DD454" s="35"/>
      <c r="DE454" s="35"/>
      <c r="DF454" s="35"/>
      <c r="DG454" s="35"/>
      <c r="DH454" s="35"/>
      <c r="DI454" s="35"/>
      <c r="DJ454" s="35"/>
      <c r="DK454" s="35"/>
      <c r="DL454" s="35"/>
      <c r="DM454" s="35"/>
      <c r="DN454" s="35"/>
      <c r="DO454" s="35"/>
      <c r="DP454" s="35"/>
      <c r="DQ454" s="35"/>
      <c r="DR454" s="35"/>
      <c r="DS454" s="35"/>
      <c r="DT454" s="35"/>
      <c r="DU454" s="35"/>
      <c r="DV454" s="35"/>
      <c r="DW454" s="35"/>
      <c r="DX454" s="35"/>
      <c r="DY454" s="35"/>
      <c r="DZ454" s="35"/>
      <c r="EA454" s="35"/>
      <c r="EB454" s="35"/>
      <c r="EC454" s="35"/>
      <c r="ED454" s="35"/>
      <c r="EE454" s="35"/>
      <c r="EF454" s="35"/>
      <c r="EG454" s="35"/>
      <c r="EH454" s="35"/>
      <c r="EI454" s="35"/>
      <c r="EJ454" s="35"/>
      <c r="EK454" s="35"/>
      <c r="EL454" s="35"/>
      <c r="EM454" s="35"/>
      <c r="EN454" s="35"/>
      <c r="EO454" s="35"/>
      <c r="EP454" s="35"/>
      <c r="EQ454" s="35"/>
      <c r="ER454" s="35"/>
      <c r="ES454" s="35"/>
      <c r="ET454" s="35"/>
      <c r="EU454" s="35"/>
      <c r="EV454" s="35"/>
      <c r="EW454" s="35"/>
      <c r="EX454" s="35"/>
      <c r="EY454" s="35"/>
      <c r="EZ454" s="35"/>
      <c r="FA454" s="35"/>
      <c r="FB454" s="35"/>
      <c r="FC454" s="35"/>
      <c r="FD454" s="35"/>
      <c r="FE454" s="35"/>
      <c r="FF454" s="35"/>
      <c r="FG454" s="35"/>
      <c r="FH454" s="35"/>
      <c r="FI454" s="35"/>
      <c r="FJ454" s="35"/>
      <c r="FK454" s="35"/>
      <c r="FL454" s="35"/>
      <c r="FM454" s="35"/>
      <c r="FN454" s="35"/>
      <c r="FO454" s="35"/>
      <c r="FP454" s="35"/>
      <c r="FQ454" s="35"/>
      <c r="FR454" s="35"/>
      <c r="FS454" s="35"/>
      <c r="FT454" s="35"/>
      <c r="FU454" s="35"/>
      <c r="FV454" s="35"/>
      <c r="FW454" s="35"/>
      <c r="FX454" s="35"/>
      <c r="FY454" s="35"/>
      <c r="FZ454" s="35"/>
      <c r="GA454" s="35"/>
      <c r="GB454" s="318"/>
      <c r="GC454" s="178">
        <f t="shared" si="80"/>
        <v>0</v>
      </c>
      <c r="GD454" s="178">
        <f t="shared" si="81"/>
        <v>0</v>
      </c>
      <c r="GE454" s="178">
        <f t="shared" si="82"/>
        <v>0</v>
      </c>
      <c r="GF454" s="178">
        <f t="shared" si="83"/>
        <v>0</v>
      </c>
      <c r="GG454" s="178">
        <f t="shared" si="78"/>
        <v>0</v>
      </c>
    </row>
    <row r="455" spans="1:189" x14ac:dyDescent="0.35">
      <c r="A455" s="357" t="s">
        <v>2059</v>
      </c>
      <c r="B455" s="6" t="str">
        <f>IF(Technologies!B455&lt;&gt;0,Technologies!B455,"")</f>
        <v/>
      </c>
      <c r="C455" s="5" t="str">
        <f>VLOOKUP($A455,Technologies!$A$7:$H$576,3,FALSE)</f>
        <v>Final</v>
      </c>
      <c r="D455" s="5" t="str">
        <f>VLOOKUP($A455,Technologies!$A$7:$H$576,4,FALSE)</f>
        <v>Industry</v>
      </c>
      <c r="E455" s="5" t="str">
        <f>VLOOKUP($A455,Technologies!$A$7:$H$576,6,FALSE)</f>
        <v>Concrete demand</v>
      </c>
      <c r="F455" s="5" t="str">
        <f>VLOOKUP($A455,Technologies!$A$7:$H$576,7,FALSE)</f>
        <v>Renovation of existing structures - demand reduction</v>
      </c>
      <c r="G455" s="23"/>
      <c r="H455" s="23"/>
      <c r="I455" s="103"/>
      <c r="J455" s="103"/>
      <c r="K455" s="103"/>
      <c r="L455" s="104"/>
      <c r="M455" s="23"/>
      <c r="N455" s="23" t="str">
        <f>VLOOKUP(E455,Activities!$A$9:$M$227,13,FALSE)</f>
        <v>NL</v>
      </c>
      <c r="O455" s="23"/>
      <c r="P455" s="79"/>
      <c r="Q455" s="35"/>
      <c r="R455" s="35"/>
      <c r="S455" s="35"/>
      <c r="T455" s="35"/>
      <c r="U455" s="35"/>
      <c r="V455" s="35"/>
      <c r="W455" s="35"/>
      <c r="X455" s="35"/>
      <c r="Y455" s="35"/>
      <c r="Z455" s="35"/>
      <c r="AA455" s="35"/>
      <c r="AB455" s="35"/>
      <c r="AC455" s="35"/>
      <c r="AD455" s="35"/>
      <c r="AE455" s="35"/>
      <c r="AF455" s="36"/>
      <c r="AG455" s="36"/>
      <c r="AH455" s="36"/>
      <c r="AI455" s="36"/>
      <c r="AJ455" s="36"/>
      <c r="AK455" s="36"/>
      <c r="AL455" s="36"/>
      <c r="AM455" s="36"/>
      <c r="AN455" s="36"/>
      <c r="AO455" s="36"/>
      <c r="AP455" s="35"/>
      <c r="AQ455" s="35"/>
      <c r="AR455" s="35"/>
      <c r="AS455" s="35"/>
      <c r="AT455" s="35"/>
      <c r="AU455" s="35"/>
      <c r="AV455" s="35"/>
      <c r="AW455" s="35"/>
      <c r="AX455" s="35"/>
      <c r="AY455" s="35"/>
      <c r="AZ455" s="35"/>
      <c r="BA455" s="35"/>
      <c r="BB455" s="35"/>
      <c r="BC455" s="35"/>
      <c r="BD455" s="35"/>
      <c r="BE455" s="35"/>
      <c r="BF455" s="35"/>
      <c r="BG455" s="35"/>
      <c r="BH455" s="35"/>
      <c r="BI455" s="35"/>
      <c r="BJ455" s="35"/>
      <c r="BK455" s="35"/>
      <c r="BL455" s="35"/>
      <c r="BM455" s="35"/>
      <c r="BN455" s="35"/>
      <c r="BO455" s="35"/>
      <c r="BP455" s="35"/>
      <c r="BQ455" s="35"/>
      <c r="BR455" s="35"/>
      <c r="BS455" s="35"/>
      <c r="BT455" s="35"/>
      <c r="BU455" s="35"/>
      <c r="BV455" s="35"/>
      <c r="BW455" s="35"/>
      <c r="BX455" s="35"/>
      <c r="BY455" s="35"/>
      <c r="BZ455" s="35"/>
      <c r="CA455" s="35"/>
      <c r="CB455" s="35"/>
      <c r="CC455" s="35"/>
      <c r="CD455" s="35">
        <v>1</v>
      </c>
      <c r="CO455" s="35"/>
      <c r="CP455" s="35"/>
      <c r="CQ455" s="318"/>
      <c r="CR455" s="318"/>
      <c r="CS455" s="35"/>
      <c r="CT455" s="35"/>
      <c r="CU455" s="35"/>
      <c r="CV455" s="35"/>
      <c r="CW455" s="35"/>
      <c r="CX455" s="35"/>
      <c r="CY455" s="35"/>
      <c r="CZ455" s="35"/>
      <c r="DA455" s="35"/>
      <c r="DB455" s="35"/>
      <c r="DC455" s="35"/>
      <c r="DD455" s="35"/>
      <c r="DE455" s="35"/>
      <c r="DF455" s="35"/>
      <c r="DG455" s="35"/>
      <c r="DH455" s="35"/>
      <c r="DI455" s="35"/>
      <c r="DJ455" s="35"/>
      <c r="DK455" s="35"/>
      <c r="DL455" s="35"/>
      <c r="DM455" s="35"/>
      <c r="DN455" s="35"/>
      <c r="DO455" s="35"/>
      <c r="DP455" s="35"/>
      <c r="DQ455" s="35"/>
      <c r="DR455" s="35"/>
      <c r="DS455" s="35"/>
      <c r="DT455" s="35"/>
      <c r="DU455" s="35"/>
      <c r="DV455" s="35"/>
      <c r="DW455" s="35"/>
      <c r="DX455" s="35"/>
      <c r="DY455" s="35"/>
      <c r="DZ455" s="35"/>
      <c r="EA455" s="35"/>
      <c r="EB455" s="35"/>
      <c r="EC455" s="35"/>
      <c r="ED455" s="35"/>
      <c r="EE455" s="35"/>
      <c r="EF455" s="35"/>
      <c r="EG455" s="35"/>
      <c r="EH455" s="35"/>
      <c r="EI455" s="35"/>
      <c r="EJ455" s="35"/>
      <c r="EK455" s="35"/>
      <c r="EL455" s="35"/>
      <c r="EM455" s="35"/>
      <c r="EN455" s="35"/>
      <c r="EO455" s="35"/>
      <c r="EP455" s="35"/>
      <c r="EQ455" s="35"/>
      <c r="ER455" s="35"/>
      <c r="ES455" s="35"/>
      <c r="ET455" s="35"/>
      <c r="EU455" s="35"/>
      <c r="EV455" s="35"/>
      <c r="EW455" s="35"/>
      <c r="EX455" s="35"/>
      <c r="EY455" s="35"/>
      <c r="EZ455" s="35"/>
      <c r="FA455" s="35"/>
      <c r="FB455" s="35"/>
      <c r="FC455" s="35"/>
      <c r="FD455" s="35"/>
      <c r="FE455" s="35"/>
      <c r="FF455" s="35"/>
      <c r="FG455" s="35"/>
      <c r="FH455" s="35"/>
      <c r="FI455" s="35"/>
      <c r="FJ455" s="35"/>
      <c r="FK455" s="35"/>
      <c r="FL455" s="35"/>
      <c r="FM455" s="35"/>
      <c r="FN455" s="35"/>
      <c r="FO455" s="35"/>
      <c r="FP455" s="35"/>
      <c r="FQ455" s="35"/>
      <c r="FR455" s="35"/>
      <c r="FS455" s="35"/>
      <c r="FT455" s="35"/>
      <c r="FU455" s="35"/>
      <c r="FV455" s="35"/>
      <c r="FW455" s="35"/>
      <c r="FX455" s="35"/>
      <c r="FY455" s="35"/>
      <c r="FZ455" s="35"/>
      <c r="GA455" s="35"/>
      <c r="GB455" s="318"/>
      <c r="GC455" s="179">
        <f t="shared" si="80"/>
        <v>0</v>
      </c>
      <c r="GD455" s="179">
        <f t="shared" si="81"/>
        <v>0</v>
      </c>
      <c r="GE455" s="179">
        <f t="shared" si="82"/>
        <v>0</v>
      </c>
      <c r="GF455" s="179">
        <f t="shared" si="83"/>
        <v>0</v>
      </c>
      <c r="GG455" s="179">
        <f t="shared" si="78"/>
        <v>0</v>
      </c>
    </row>
    <row r="456" spans="1:189" x14ac:dyDescent="0.35">
      <c r="A456" s="357" t="s">
        <v>2061</v>
      </c>
      <c r="B456" s="6" t="str">
        <f>IF(Technologies!B456&lt;&gt;0,Technologies!B456,"")</f>
        <v/>
      </c>
      <c r="C456" s="5" t="str">
        <f>VLOOKUP($A456,Technologies!$A$7:$H$576,3,FALSE)</f>
        <v>Final</v>
      </c>
      <c r="D456" s="5" t="str">
        <f>VLOOKUP($A456,Technologies!$A$7:$H$576,4,FALSE)</f>
        <v>Industry</v>
      </c>
      <c r="E456" s="5" t="str">
        <f>VLOOKUP($A456,Technologies!$A$7:$H$576,6,FALSE)</f>
        <v>Concrete demand</v>
      </c>
      <c r="F456" s="5" t="str">
        <f>VLOOKUP($A456,Technologies!$A$7:$H$576,7,FALSE)</f>
        <v>Reuse of concrete beams and columns as foundation - demand reduction</v>
      </c>
      <c r="G456" s="23"/>
      <c r="H456" s="23"/>
      <c r="I456" s="103"/>
      <c r="J456" s="103"/>
      <c r="K456" s="103"/>
      <c r="L456" s="104"/>
      <c r="M456" s="23"/>
      <c r="N456" s="23" t="str">
        <f>VLOOKUP(E456,Activities!$A$9:$M$227,13,FALSE)</f>
        <v>NL</v>
      </c>
      <c r="O456" s="23"/>
      <c r="P456" s="79"/>
      <c r="Q456" s="35"/>
      <c r="R456" s="35"/>
      <c r="S456" s="35"/>
      <c r="T456" s="35"/>
      <c r="U456" s="35"/>
      <c r="V456" s="35"/>
      <c r="W456" s="35"/>
      <c r="X456" s="35"/>
      <c r="Y456" s="35"/>
      <c r="Z456" s="35"/>
      <c r="AA456" s="35"/>
      <c r="AB456" s="35"/>
      <c r="AC456" s="35"/>
      <c r="AD456" s="35"/>
      <c r="AE456" s="35"/>
      <c r="AF456" s="36"/>
      <c r="AG456" s="36"/>
      <c r="AH456" s="36"/>
      <c r="AI456" s="36"/>
      <c r="AJ456" s="36"/>
      <c r="AK456" s="36"/>
      <c r="AL456" s="36"/>
      <c r="AM456" s="36"/>
      <c r="AN456" s="36"/>
      <c r="AO456" s="36"/>
      <c r="AP456" s="35"/>
      <c r="AQ456" s="35"/>
      <c r="AR456" s="35"/>
      <c r="AS456" s="35"/>
      <c r="AT456" s="35"/>
      <c r="AU456" s="35"/>
      <c r="AV456" s="35"/>
      <c r="AW456" s="35"/>
      <c r="AX456" s="35"/>
      <c r="AY456" s="35"/>
      <c r="AZ456" s="35"/>
      <c r="BA456" s="35"/>
      <c r="BB456" s="35"/>
      <c r="BC456" s="35"/>
      <c r="BD456" s="35"/>
      <c r="BE456" s="35"/>
      <c r="BF456" s="35"/>
      <c r="BG456" s="35"/>
      <c r="BH456" s="35"/>
      <c r="BI456" s="35"/>
      <c r="BJ456" s="35"/>
      <c r="BK456" s="35"/>
      <c r="BL456" s="35"/>
      <c r="BM456" s="35"/>
      <c r="BN456" s="35"/>
      <c r="BO456" s="35"/>
      <c r="BP456" s="35"/>
      <c r="BQ456" s="35"/>
      <c r="BR456" s="35"/>
      <c r="BS456" s="35"/>
      <c r="BT456" s="35"/>
      <c r="BU456" s="35"/>
      <c r="BV456" s="35"/>
      <c r="BW456" s="35"/>
      <c r="BX456" s="35"/>
      <c r="BY456" s="35"/>
      <c r="BZ456" s="35"/>
      <c r="CA456" s="35"/>
      <c r="CB456" s="35"/>
      <c r="CC456" s="35"/>
      <c r="CD456" s="35">
        <v>1</v>
      </c>
      <c r="CO456" s="35"/>
      <c r="CP456" s="35"/>
      <c r="CQ456" s="318"/>
      <c r="CR456" s="318"/>
      <c r="CS456" s="35"/>
      <c r="CT456" s="35"/>
      <c r="CU456" s="35"/>
      <c r="CV456" s="35"/>
      <c r="CW456" s="35"/>
      <c r="CX456" s="35"/>
      <c r="CY456" s="35"/>
      <c r="CZ456" s="35"/>
      <c r="DA456" s="35"/>
      <c r="DB456" s="35"/>
      <c r="DC456" s="35"/>
      <c r="DD456" s="35"/>
      <c r="DE456" s="35"/>
      <c r="DF456" s="35"/>
      <c r="DG456" s="35"/>
      <c r="DH456" s="35"/>
      <c r="DI456" s="35"/>
      <c r="DJ456" s="35"/>
      <c r="DK456" s="35"/>
      <c r="DL456" s="35"/>
      <c r="DM456" s="35"/>
      <c r="DN456" s="35"/>
      <c r="DO456" s="35"/>
      <c r="DP456" s="35"/>
      <c r="DQ456" s="35"/>
      <c r="DR456" s="35"/>
      <c r="DS456" s="35"/>
      <c r="DT456" s="35"/>
      <c r="DU456" s="35"/>
      <c r="DV456" s="35"/>
      <c r="DW456" s="35"/>
      <c r="DX456" s="35"/>
      <c r="DY456" s="35"/>
      <c r="DZ456" s="35"/>
      <c r="EA456" s="35"/>
      <c r="EB456" s="35"/>
      <c r="EC456" s="35"/>
      <c r="ED456" s="35"/>
      <c r="EE456" s="35"/>
      <c r="EF456" s="35"/>
      <c r="EG456" s="35"/>
      <c r="EH456" s="35"/>
      <c r="EI456" s="35"/>
      <c r="EJ456" s="35"/>
      <c r="EK456" s="35"/>
      <c r="EL456" s="35"/>
      <c r="EM456" s="35"/>
      <c r="EN456" s="35"/>
      <c r="EO456" s="35"/>
      <c r="EP456" s="35"/>
      <c r="EQ456" s="35"/>
      <c r="ER456" s="35"/>
      <c r="ES456" s="35"/>
      <c r="ET456" s="35"/>
      <c r="EU456" s="35"/>
      <c r="EV456" s="35"/>
      <c r="EW456" s="35"/>
      <c r="EX456" s="35"/>
      <c r="EY456" s="35"/>
      <c r="EZ456" s="35"/>
      <c r="FA456" s="35"/>
      <c r="FB456" s="35"/>
      <c r="FC456" s="35"/>
      <c r="FD456" s="35"/>
      <c r="FE456" s="35"/>
      <c r="FF456" s="35"/>
      <c r="FG456" s="35"/>
      <c r="FH456" s="35"/>
      <c r="FI456" s="35"/>
      <c r="FJ456" s="35"/>
      <c r="FK456" s="35"/>
      <c r="FL456" s="35"/>
      <c r="FM456" s="35"/>
      <c r="FN456" s="35"/>
      <c r="FO456" s="35"/>
      <c r="FP456" s="35"/>
      <c r="FQ456" s="35"/>
      <c r="FR456" s="35"/>
      <c r="FS456" s="35"/>
      <c r="FT456" s="35"/>
      <c r="FU456" s="35"/>
      <c r="FV456" s="35"/>
      <c r="FW456" s="35"/>
      <c r="FX456" s="35"/>
      <c r="FY456" s="35"/>
      <c r="FZ456" s="35"/>
      <c r="GA456" s="35"/>
      <c r="GB456" s="318"/>
      <c r="GC456" s="178">
        <f t="shared" si="80"/>
        <v>0</v>
      </c>
      <c r="GD456" s="178">
        <f t="shared" si="81"/>
        <v>0</v>
      </c>
      <c r="GE456" s="178">
        <f t="shared" si="82"/>
        <v>0</v>
      </c>
      <c r="GF456" s="178">
        <f t="shared" si="83"/>
        <v>0</v>
      </c>
      <c r="GG456" s="178">
        <f t="shared" si="78"/>
        <v>0</v>
      </c>
    </row>
    <row r="457" spans="1:189" x14ac:dyDescent="0.35">
      <c r="A457" s="357" t="s">
        <v>2086</v>
      </c>
      <c r="B457" s="6" t="str">
        <f>IF(Technologies!B457&lt;&gt;0,Technologies!B457,"")</f>
        <v>Industrie</v>
      </c>
      <c r="C457" s="5" t="str">
        <f>VLOOKUP($A457,Technologies!$A$7:$H$576,3,FALSE)</f>
        <v>Final</v>
      </c>
      <c r="D457" s="5" t="str">
        <f>VLOOKUP($A457,Technologies!$A$7:$H$576,4,FALSE)</f>
        <v>Industry</v>
      </c>
      <c r="E457" s="5" t="str">
        <f>VLOOKUP($A457,Technologies!$A$7:$H$576,6,FALSE)</f>
        <v>Concrete demand</v>
      </c>
      <c r="F457" s="5" t="str">
        <f>VLOOKUP($A457,Technologies!$A$7:$H$576,7,FALSE)</f>
        <v>Concrete production with SCM</v>
      </c>
      <c r="G457" s="23"/>
      <c r="H457" s="23"/>
      <c r="I457" s="103"/>
      <c r="J457" s="103"/>
      <c r="K457" s="103"/>
      <c r="L457" s="104"/>
      <c r="M457" s="23"/>
      <c r="N457" s="23" t="str">
        <f>VLOOKUP(E457,Activities!$A$9:$M$227,13,FALSE)</f>
        <v>NL</v>
      </c>
      <c r="O457" s="23"/>
      <c r="P457" s="79"/>
      <c r="Q457" s="35"/>
      <c r="R457" s="35"/>
      <c r="S457" s="35"/>
      <c r="T457" s="35"/>
      <c r="U457" s="35"/>
      <c r="V457" s="35"/>
      <c r="W457" s="35"/>
      <c r="X457" s="35"/>
      <c r="Y457" s="35"/>
      <c r="Z457" s="35"/>
      <c r="AA457" s="35"/>
      <c r="AB457" s="35"/>
      <c r="AC457" s="35"/>
      <c r="AD457" s="35"/>
      <c r="AE457" s="35"/>
      <c r="AF457" s="36"/>
      <c r="AG457" s="36"/>
      <c r="AH457" s="36"/>
      <c r="AI457" s="36"/>
      <c r="AJ457" s="36"/>
      <c r="AK457" s="36"/>
      <c r="AL457" s="36"/>
      <c r="AM457" s="36"/>
      <c r="AN457" s="36"/>
      <c r="AO457" s="36"/>
      <c r="AP457" s="35"/>
      <c r="AQ457" s="35"/>
      <c r="AR457" s="35"/>
      <c r="AS457" s="35"/>
      <c r="AT457" s="35"/>
      <c r="AU457" s="35"/>
      <c r="AV457" s="35"/>
      <c r="AW457" s="35"/>
      <c r="AX457" s="35"/>
      <c r="AY457" s="35"/>
      <c r="AZ457" s="35"/>
      <c r="BA457" s="35"/>
      <c r="BB457" s="35"/>
      <c r="BC457" s="35"/>
      <c r="BD457" s="35"/>
      <c r="BE457" s="35"/>
      <c r="BF457" s="35"/>
      <c r="BG457" s="35"/>
      <c r="BH457" s="35"/>
      <c r="BI457" s="35"/>
      <c r="BJ457" s="35"/>
      <c r="BK457" s="35"/>
      <c r="BL457" s="35"/>
      <c r="BM457" s="35"/>
      <c r="BN457" s="35"/>
      <c r="BO457" s="35"/>
      <c r="BP457" s="35"/>
      <c r="BQ457" s="35"/>
      <c r="BR457" s="35"/>
      <c r="BS457" s="35"/>
      <c r="BT457" s="35"/>
      <c r="BU457" s="35"/>
      <c r="BV457" s="35"/>
      <c r="BW457" s="35"/>
      <c r="BX457" s="35"/>
      <c r="BY457" s="35"/>
      <c r="BZ457" s="35"/>
      <c r="CA457" s="35"/>
      <c r="CB457" s="35"/>
      <c r="CC457" s="35"/>
      <c r="CD457" s="1">
        <v>1</v>
      </c>
      <c r="CG457" s="1">
        <f>-0.3125</f>
        <v>-0.3125</v>
      </c>
      <c r="CH457" s="1">
        <f>-0.4792</f>
        <v>-0.47920000000000001</v>
      </c>
      <c r="CI457" s="1">
        <f>CI445-CK457</f>
        <v>-0.11664000000000001</v>
      </c>
      <c r="CK457" s="1">
        <f>CI445*0.2</f>
        <v>-2.9160000000000005E-2</v>
      </c>
      <c r="CO457" s="35"/>
      <c r="CP457" s="35"/>
      <c r="CQ457" s="318"/>
      <c r="CR457" s="318"/>
      <c r="CS457" s="35"/>
      <c r="CT457" s="35"/>
      <c r="CU457" s="35"/>
      <c r="CV457" s="35"/>
      <c r="CW457" s="35"/>
      <c r="CX457" s="35"/>
      <c r="CY457" s="35"/>
      <c r="CZ457" s="35"/>
      <c r="DA457" s="35"/>
      <c r="DB457" s="35"/>
      <c r="DC457" s="35"/>
      <c r="DD457" s="35"/>
      <c r="DE457" s="35"/>
      <c r="DF457" s="35"/>
      <c r="DG457" s="35"/>
      <c r="DH457" s="35"/>
      <c r="DI457" s="35"/>
      <c r="DJ457" s="35"/>
      <c r="DK457" s="35"/>
      <c r="DL457" s="35"/>
      <c r="DM457" s="35"/>
      <c r="DN457" s="35"/>
      <c r="DO457" s="35"/>
      <c r="DP457" s="35"/>
      <c r="DQ457" s="35"/>
      <c r="DR457" s="35"/>
      <c r="DS457" s="35"/>
      <c r="DT457" s="35"/>
      <c r="DU457" s="35"/>
      <c r="DV457" s="35"/>
      <c r="DW457" s="35"/>
      <c r="DX457" s="35"/>
      <c r="DY457" s="35"/>
      <c r="DZ457" s="35"/>
      <c r="EA457" s="35"/>
      <c r="EB457" s="35"/>
      <c r="EC457" s="35"/>
      <c r="ED457" s="35"/>
      <c r="EE457" s="35"/>
      <c r="EF457" s="35"/>
      <c r="EG457" s="35"/>
      <c r="EH457" s="35"/>
      <c r="EI457" s="35"/>
      <c r="EJ457" s="35"/>
      <c r="EK457" s="35"/>
      <c r="EL457" s="35"/>
      <c r="EM457" s="35"/>
      <c r="EN457" s="35"/>
      <c r="EO457" s="35"/>
      <c r="EP457" s="35"/>
      <c r="EQ457" s="35"/>
      <c r="ER457" s="35"/>
      <c r="ES457" s="35"/>
      <c r="ET457" s="35"/>
      <c r="EU457" s="35"/>
      <c r="EV457" s="35"/>
      <c r="EW457" s="35"/>
      <c r="EX457" s="35"/>
      <c r="EY457" s="35"/>
      <c r="EZ457" s="35"/>
      <c r="FA457" s="35"/>
      <c r="FB457" s="35"/>
      <c r="FC457" s="35"/>
      <c r="FD457" s="35"/>
      <c r="FE457" s="35"/>
      <c r="FF457" s="35"/>
      <c r="FG457" s="35"/>
      <c r="FH457" s="35"/>
      <c r="FI457" s="35"/>
      <c r="FJ457" s="35"/>
      <c r="FK457" s="35"/>
      <c r="FL457" s="35"/>
      <c r="FM457" s="35"/>
      <c r="FN457" s="35"/>
      <c r="FO457" s="35"/>
      <c r="FP457" s="35"/>
      <c r="FQ457" s="35"/>
      <c r="FR457" s="35"/>
      <c r="FS457" s="35"/>
      <c r="FT457" s="35"/>
      <c r="FU457" s="35"/>
      <c r="FV457" s="35"/>
      <c r="FW457" s="35"/>
      <c r="FX457" s="35"/>
      <c r="FY457" s="35"/>
      <c r="FZ457" s="35"/>
      <c r="GA457" s="35"/>
      <c r="GB457" s="318"/>
      <c r="GC457" s="179">
        <f t="shared" si="80"/>
        <v>0</v>
      </c>
      <c r="GD457" s="179">
        <f t="shared" si="81"/>
        <v>0</v>
      </c>
      <c r="GE457" s="179">
        <f t="shared" si="82"/>
        <v>0</v>
      </c>
      <c r="GF457" s="179">
        <f t="shared" si="83"/>
        <v>0</v>
      </c>
      <c r="GG457" s="179">
        <f t="shared" si="78"/>
        <v>0</v>
      </c>
    </row>
    <row r="458" spans="1:189" x14ac:dyDescent="0.35">
      <c r="A458" s="1" t="s">
        <v>2088</v>
      </c>
      <c r="B458" s="6" t="str">
        <f>IF(Technologies!B458&lt;&gt;0,Technologies!B458,"")</f>
        <v>Industrie</v>
      </c>
      <c r="C458" s="5" t="str">
        <f>VLOOKUP($A458,Technologies!$A$7:$H$576,3,FALSE)</f>
        <v>Final</v>
      </c>
      <c r="D458" s="5" t="str">
        <f>VLOOKUP($A458,Technologies!$A$7:$H$576,4,FALSE)</f>
        <v>Industry</v>
      </c>
      <c r="E458" s="5" t="str">
        <f>VLOOKUP($A458,Technologies!$A$7:$H$576,6,FALSE)</f>
        <v>Steel production - Basic Metals Industry</v>
      </c>
      <c r="F458" s="5" t="str">
        <f>VLOOKUP($A458,Technologies!$A$7:$H$576,7,FALSE)</f>
        <v>Material efficiency in steel production</v>
      </c>
      <c r="G458" s="23"/>
      <c r="H458" s="23"/>
      <c r="I458" s="103"/>
      <c r="J458" s="103"/>
      <c r="K458" s="103"/>
      <c r="L458" s="104"/>
      <c r="M458" s="23"/>
      <c r="N458" s="23" t="str">
        <f>VLOOKUP(E458,Activities!$A$9:$M$227,13,FALSE)</f>
        <v>NL</v>
      </c>
      <c r="O458" s="23"/>
      <c r="P458" s="79"/>
      <c r="Q458" s="35"/>
      <c r="R458" s="35"/>
      <c r="S458" s="35"/>
      <c r="T458" s="35"/>
      <c r="U458" s="35"/>
      <c r="V458" s="35"/>
      <c r="W458" s="35"/>
      <c r="X458" s="35"/>
      <c r="Y458" s="35"/>
      <c r="Z458" s="35">
        <v>1</v>
      </c>
      <c r="AA458" s="35"/>
      <c r="AB458" s="35"/>
      <c r="AC458" s="35"/>
      <c r="AD458" s="35"/>
      <c r="AE458" s="35"/>
      <c r="AF458" s="36"/>
      <c r="AG458" s="36"/>
      <c r="AH458" s="36"/>
      <c r="AI458" s="36"/>
      <c r="AJ458" s="36"/>
      <c r="AK458" s="36"/>
      <c r="AL458" s="36"/>
      <c r="AM458" s="36"/>
      <c r="AN458" s="36"/>
      <c r="AO458" s="36"/>
      <c r="AP458" s="35"/>
      <c r="AQ458" s="35"/>
      <c r="AR458" s="35"/>
      <c r="AS458" s="35"/>
      <c r="AT458" s="35"/>
      <c r="AU458" s="35"/>
      <c r="AV458" s="35"/>
      <c r="AW458" s="35"/>
      <c r="AX458" s="35"/>
      <c r="AY458" s="35"/>
      <c r="AZ458" s="35"/>
      <c r="BA458" s="35"/>
      <c r="BB458" s="35"/>
      <c r="BC458" s="35"/>
      <c r="BD458" s="35"/>
      <c r="BE458" s="35"/>
      <c r="BF458" s="35"/>
      <c r="BG458" s="35"/>
      <c r="BH458" s="35"/>
      <c r="BI458" s="35"/>
      <c r="BJ458" s="35"/>
      <c r="BK458" s="35"/>
      <c r="BL458" s="35"/>
      <c r="BM458" s="35"/>
      <c r="BN458" s="35"/>
      <c r="BO458" s="35"/>
      <c r="BP458" s="35"/>
      <c r="BQ458" s="35"/>
      <c r="BR458" s="35"/>
      <c r="BS458" s="35"/>
      <c r="BT458" s="35"/>
      <c r="BU458" s="35"/>
      <c r="BV458" s="35"/>
      <c r="BW458" s="35"/>
      <c r="BX458" s="35"/>
      <c r="BY458" s="35"/>
      <c r="BZ458" s="35"/>
      <c r="CA458" s="35"/>
      <c r="CB458" s="35"/>
      <c r="CC458" s="35"/>
      <c r="CO458" s="35"/>
      <c r="CP458" s="35"/>
      <c r="CQ458" s="318"/>
      <c r="CR458" s="318"/>
      <c r="CS458" s="35"/>
      <c r="CT458" s="35"/>
      <c r="CU458" s="35"/>
      <c r="CV458" s="35"/>
      <c r="CW458" s="35"/>
      <c r="CX458" s="35"/>
      <c r="CY458" s="35"/>
      <c r="CZ458" s="35"/>
      <c r="DA458" s="35"/>
      <c r="DB458" s="35"/>
      <c r="DC458" s="35"/>
      <c r="DD458" s="35"/>
      <c r="DE458" s="35"/>
      <c r="DF458" s="35"/>
      <c r="DG458" s="35"/>
      <c r="DH458" s="35"/>
      <c r="DI458" s="35"/>
      <c r="DJ458" s="35"/>
      <c r="DK458" s="35"/>
      <c r="DL458" s="35"/>
      <c r="DM458" s="35"/>
      <c r="DN458" s="35"/>
      <c r="DO458" s="35"/>
      <c r="DP458" s="35"/>
      <c r="DQ458" s="35"/>
      <c r="DR458" s="35"/>
      <c r="DS458" s="35"/>
      <c r="DT458" s="35"/>
      <c r="DU458" s="35"/>
      <c r="DV458" s="35"/>
      <c r="DW458" s="35"/>
      <c r="DX458" s="35"/>
      <c r="DY458" s="35"/>
      <c r="DZ458" s="35"/>
      <c r="EA458" s="35"/>
      <c r="EB458" s="35"/>
      <c r="EC458" s="35"/>
      <c r="ED458" s="35"/>
      <c r="EE458" s="35"/>
      <c r="EF458" s="35"/>
      <c r="EG458" s="35"/>
      <c r="EH458" s="35"/>
      <c r="EI458" s="35"/>
      <c r="EJ458" s="35"/>
      <c r="EK458" s="35"/>
      <c r="EL458" s="35"/>
      <c r="EM458" s="35"/>
      <c r="EN458" s="35"/>
      <c r="EO458" s="35"/>
      <c r="EP458" s="35"/>
      <c r="EQ458" s="35"/>
      <c r="ER458" s="35"/>
      <c r="ES458" s="35"/>
      <c r="ET458" s="35"/>
      <c r="EU458" s="35"/>
      <c r="EV458" s="35"/>
      <c r="EW458" s="35"/>
      <c r="EX458" s="35"/>
      <c r="EY458" s="35"/>
      <c r="EZ458" s="35"/>
      <c r="FA458" s="35"/>
      <c r="FB458" s="35"/>
      <c r="FC458" s="35"/>
      <c r="FD458" s="35"/>
      <c r="FE458" s="35"/>
      <c r="FF458" s="35"/>
      <c r="FG458" s="35"/>
      <c r="FH458" s="35"/>
      <c r="FI458" s="35"/>
      <c r="FJ458" s="35"/>
      <c r="FK458" s="35"/>
      <c r="FL458" s="35"/>
      <c r="FM458" s="35"/>
      <c r="FN458" s="35"/>
      <c r="FO458" s="35"/>
      <c r="FP458" s="35"/>
      <c r="FQ458" s="35"/>
      <c r="FR458" s="35"/>
      <c r="FS458" s="35"/>
      <c r="FT458" s="35"/>
      <c r="FU458" s="35"/>
      <c r="FV458" s="35"/>
      <c r="FW458" s="35"/>
      <c r="FX458" s="35"/>
      <c r="FY458" s="35"/>
      <c r="FZ458" s="35"/>
      <c r="GA458" s="35"/>
      <c r="GB458" s="318"/>
      <c r="GC458" s="178">
        <f t="shared" si="80"/>
        <v>0</v>
      </c>
      <c r="GD458" s="178">
        <f t="shared" si="81"/>
        <v>0</v>
      </c>
      <c r="GE458" s="178">
        <f t="shared" si="82"/>
        <v>0</v>
      </c>
      <c r="GF458" s="178">
        <f t="shared" si="83"/>
        <v>0</v>
      </c>
      <c r="GG458" s="178">
        <f t="shared" si="78"/>
        <v>0</v>
      </c>
    </row>
    <row r="459" spans="1:189" x14ac:dyDescent="0.35">
      <c r="A459" s="1" t="s">
        <v>2090</v>
      </c>
      <c r="B459" s="6" t="str">
        <f>IF(Technologies!B459&lt;&gt;0,Technologies!B459,"")</f>
        <v>Industrie</v>
      </c>
      <c r="C459" s="5" t="str">
        <f>VLOOKUP($A459,Technologies!$A$7:$H$576,3,FALSE)</f>
        <v>Final</v>
      </c>
      <c r="D459" s="5" t="str">
        <f>VLOOKUP($A459,Technologies!$A$7:$H$576,4,FALSE)</f>
        <v>Industry</v>
      </c>
      <c r="E459" s="5" t="str">
        <f>VLOOKUP($A459,Technologies!$A$7:$H$576,6,FALSE)</f>
        <v>Glass production - ETS Industry</v>
      </c>
      <c r="F459" s="5" t="str">
        <f>VLOOKUP($A459,Technologies!$A$7:$H$576,7,FALSE)</f>
        <v>Material efficiency in glass production</v>
      </c>
      <c r="G459" s="23"/>
      <c r="H459" s="23"/>
      <c r="I459" s="103"/>
      <c r="J459" s="103"/>
      <c r="K459" s="103"/>
      <c r="L459" s="104"/>
      <c r="M459" s="23"/>
      <c r="N459" s="23" t="str">
        <f>VLOOKUP(E459,Activities!$A$9:$M$227,13,FALSE)</f>
        <v>NL</v>
      </c>
      <c r="O459" s="23"/>
      <c r="P459" s="79"/>
      <c r="Q459" s="35"/>
      <c r="R459" s="35"/>
      <c r="S459" s="35"/>
      <c r="T459" s="35"/>
      <c r="U459" s="35"/>
      <c r="V459" s="35"/>
      <c r="W459" s="35"/>
      <c r="X459" s="35"/>
      <c r="Y459" s="35"/>
      <c r="Z459" s="35"/>
      <c r="AA459" s="35"/>
      <c r="AB459" s="35"/>
      <c r="AC459" s="35"/>
      <c r="AD459" s="35"/>
      <c r="AE459" s="35"/>
      <c r="AF459" s="36"/>
      <c r="AG459" s="36"/>
      <c r="AH459" s="36"/>
      <c r="AI459" s="36"/>
      <c r="AJ459" s="36"/>
      <c r="AK459" s="36"/>
      <c r="AL459" s="36"/>
      <c r="AM459" s="36"/>
      <c r="AN459" s="36"/>
      <c r="AO459" s="36"/>
      <c r="AP459" s="35"/>
      <c r="AQ459" s="35"/>
      <c r="AR459" s="35">
        <v>1</v>
      </c>
      <c r="AS459" s="35"/>
      <c r="AT459" s="35"/>
      <c r="AU459" s="35"/>
      <c r="AV459" s="35"/>
      <c r="AW459" s="35"/>
      <c r="AX459" s="35"/>
      <c r="AY459" s="35"/>
      <c r="AZ459" s="35"/>
      <c r="BA459" s="35"/>
      <c r="BB459" s="35"/>
      <c r="BC459" s="35"/>
      <c r="BD459" s="35"/>
      <c r="BE459" s="35"/>
      <c r="BF459" s="35"/>
      <c r="BG459" s="35"/>
      <c r="BH459" s="35"/>
      <c r="BI459" s="35"/>
      <c r="BJ459" s="35"/>
      <c r="BK459" s="35"/>
      <c r="BL459" s="35"/>
      <c r="BM459" s="35"/>
      <c r="BN459" s="35"/>
      <c r="BO459" s="35"/>
      <c r="BP459" s="35"/>
      <c r="BQ459" s="35"/>
      <c r="BR459" s="35"/>
      <c r="BS459" s="35"/>
      <c r="BT459" s="35"/>
      <c r="BU459" s="35"/>
      <c r="BV459" s="35"/>
      <c r="BW459" s="35"/>
      <c r="BX459" s="35"/>
      <c r="BY459" s="35"/>
      <c r="BZ459" s="35"/>
      <c r="CA459" s="35"/>
      <c r="CB459" s="35"/>
      <c r="CC459" s="35"/>
      <c r="CO459" s="35"/>
      <c r="CP459" s="35"/>
      <c r="CQ459" s="318"/>
      <c r="CR459" s="318"/>
      <c r="CS459" s="35"/>
      <c r="CT459" s="35"/>
      <c r="CU459" s="35"/>
      <c r="CV459" s="35"/>
      <c r="CW459" s="35"/>
      <c r="CX459" s="35"/>
      <c r="CY459" s="35"/>
      <c r="CZ459" s="35"/>
      <c r="DA459" s="35"/>
      <c r="DB459" s="35"/>
      <c r="DC459" s="35"/>
      <c r="DD459" s="35"/>
      <c r="DE459" s="35"/>
      <c r="DF459" s="35"/>
      <c r="DG459" s="35"/>
      <c r="DH459" s="35"/>
      <c r="DI459" s="35"/>
      <c r="DJ459" s="35"/>
      <c r="DK459" s="35"/>
      <c r="DL459" s="35"/>
      <c r="DM459" s="35"/>
      <c r="DN459" s="35"/>
      <c r="DO459" s="35"/>
      <c r="DP459" s="35"/>
      <c r="DQ459" s="35"/>
      <c r="DR459" s="35"/>
      <c r="DS459" s="35"/>
      <c r="DT459" s="35"/>
      <c r="DU459" s="35"/>
      <c r="DV459" s="35"/>
      <c r="DW459" s="35"/>
      <c r="DX459" s="35"/>
      <c r="DY459" s="35"/>
      <c r="DZ459" s="35"/>
      <c r="EA459" s="35"/>
      <c r="EB459" s="35"/>
      <c r="EC459" s="35"/>
      <c r="ED459" s="35"/>
      <c r="EE459" s="35"/>
      <c r="EF459" s="35"/>
      <c r="EG459" s="35"/>
      <c r="EH459" s="35"/>
      <c r="EI459" s="35"/>
      <c r="EJ459" s="35"/>
      <c r="EK459" s="35"/>
      <c r="EL459" s="35"/>
      <c r="EM459" s="35"/>
      <c r="EN459" s="35"/>
      <c r="EO459" s="35"/>
      <c r="EP459" s="35"/>
      <c r="EQ459" s="35"/>
      <c r="ER459" s="35"/>
      <c r="ES459" s="35"/>
      <c r="ET459" s="35"/>
      <c r="EU459" s="35"/>
      <c r="EV459" s="35"/>
      <c r="EW459" s="35"/>
      <c r="EX459" s="35"/>
      <c r="EY459" s="35"/>
      <c r="EZ459" s="35"/>
      <c r="FA459" s="35"/>
      <c r="FB459" s="35"/>
      <c r="FC459" s="35"/>
      <c r="FD459" s="35"/>
      <c r="FE459" s="35"/>
      <c r="FF459" s="35"/>
      <c r="FG459" s="35"/>
      <c r="FH459" s="35"/>
      <c r="FI459" s="35"/>
      <c r="FJ459" s="35"/>
      <c r="FK459" s="35"/>
      <c r="FL459" s="35"/>
      <c r="FM459" s="35"/>
      <c r="FN459" s="35"/>
      <c r="FO459" s="35"/>
      <c r="FP459" s="35"/>
      <c r="FQ459" s="35"/>
      <c r="FR459" s="35"/>
      <c r="FS459" s="35"/>
      <c r="FT459" s="35"/>
      <c r="FU459" s="35"/>
      <c r="FV459" s="35"/>
      <c r="FW459" s="35"/>
      <c r="FX459" s="35"/>
      <c r="FY459" s="35"/>
      <c r="FZ459" s="35"/>
      <c r="GA459" s="35"/>
      <c r="GB459" s="318"/>
      <c r="GC459" s="179">
        <f t="shared" si="80"/>
        <v>0</v>
      </c>
      <c r="GD459" s="179">
        <f t="shared" si="81"/>
        <v>0</v>
      </c>
      <c r="GE459" s="179">
        <f t="shared" si="82"/>
        <v>0</v>
      </c>
      <c r="GF459" s="179">
        <f t="shared" si="83"/>
        <v>0</v>
      </c>
      <c r="GG459" s="179">
        <f t="shared" si="78"/>
        <v>0</v>
      </c>
    </row>
    <row r="460" spans="1:189" x14ac:dyDescent="0.35">
      <c r="A460" s="1" t="s">
        <v>2092</v>
      </c>
      <c r="B460" s="6" t="str">
        <f>IF(Technologies!B460&lt;&gt;0,Technologies!B460,"")</f>
        <v/>
      </c>
      <c r="C460" s="5" t="str">
        <f>VLOOKUP($A460,Technologies!$A$7:$H$576,3,FALSE)</f>
        <v>Primary</v>
      </c>
      <c r="D460" s="5" t="str">
        <f>VLOOKUP($A460,Technologies!$A$7:$H$576,4,FALSE)</f>
        <v>Material</v>
      </c>
      <c r="E460" s="5" t="str">
        <f>VLOOKUP($A460,Technologies!$A$7:$H$576,6,FALSE)</f>
        <v>Recycled glass</v>
      </c>
      <c r="F460" s="5" t="str">
        <f>VLOOKUP($A460,Technologies!$A$7:$H$576,7,FALSE)</f>
        <v>Stock of recycled glass</v>
      </c>
      <c r="G460" s="23"/>
      <c r="H460" s="23"/>
      <c r="I460" s="103"/>
      <c r="J460" s="103"/>
      <c r="K460" s="103"/>
      <c r="L460" s="104"/>
      <c r="M460" s="23"/>
      <c r="N460" s="23" t="str">
        <f>VLOOKUP(E460,Activities!$A$9:$M$227,13,FALSE)</f>
        <v>NL</v>
      </c>
      <c r="O460" s="23"/>
      <c r="P460" s="79"/>
      <c r="Q460" s="35"/>
      <c r="R460" s="35"/>
      <c r="S460" s="35"/>
      <c r="T460" s="35"/>
      <c r="U460" s="35"/>
      <c r="V460" s="35"/>
      <c r="W460" s="35"/>
      <c r="X460" s="35"/>
      <c r="Y460" s="35"/>
      <c r="Z460" s="35"/>
      <c r="AA460" s="35"/>
      <c r="AB460" s="35"/>
      <c r="AC460" s="35"/>
      <c r="AD460" s="35"/>
      <c r="AE460" s="35"/>
      <c r="AF460" s="36"/>
      <c r="AG460" s="36"/>
      <c r="AH460" s="36"/>
      <c r="AI460" s="36"/>
      <c r="AJ460" s="36"/>
      <c r="AK460" s="36"/>
      <c r="AL460" s="36"/>
      <c r="AM460" s="36"/>
      <c r="AN460" s="36"/>
      <c r="AO460" s="36"/>
      <c r="AP460" s="35"/>
      <c r="AQ460" s="35"/>
      <c r="AR460" s="35"/>
      <c r="AS460" s="35"/>
      <c r="AT460" s="35"/>
      <c r="AU460" s="35"/>
      <c r="AV460" s="35"/>
      <c r="AW460" s="35"/>
      <c r="AX460" s="35"/>
      <c r="AY460" s="35"/>
      <c r="AZ460" s="35"/>
      <c r="BA460" s="35"/>
      <c r="BB460" s="35"/>
      <c r="BC460" s="35"/>
      <c r="BD460" s="35"/>
      <c r="BE460" s="35"/>
      <c r="BF460" s="35"/>
      <c r="BG460" s="35"/>
      <c r="BH460" s="35"/>
      <c r="BI460" s="35"/>
      <c r="BJ460" s="35"/>
      <c r="BK460" s="35"/>
      <c r="BL460" s="35"/>
      <c r="BM460" s="35"/>
      <c r="BN460" s="35"/>
      <c r="BO460" s="35"/>
      <c r="BP460" s="35"/>
      <c r="BQ460" s="35"/>
      <c r="BR460" s="35"/>
      <c r="BS460" s="35"/>
      <c r="BT460" s="35"/>
      <c r="BU460" s="35"/>
      <c r="BV460" s="35"/>
      <c r="BW460" s="35"/>
      <c r="BX460" s="35"/>
      <c r="BY460" s="35"/>
      <c r="BZ460" s="35"/>
      <c r="CA460" s="35"/>
      <c r="CB460" s="35"/>
      <c r="CC460" s="35"/>
      <c r="CN460" s="1">
        <v>1</v>
      </c>
      <c r="CO460" s="35"/>
      <c r="CP460" s="35"/>
      <c r="CQ460" s="318"/>
      <c r="CR460" s="318"/>
      <c r="CS460" s="35"/>
      <c r="CT460" s="35"/>
      <c r="CU460" s="35"/>
      <c r="CV460" s="35"/>
      <c r="CW460" s="35"/>
      <c r="CX460" s="35"/>
      <c r="CY460" s="35"/>
      <c r="CZ460" s="35"/>
      <c r="DA460" s="35"/>
      <c r="DB460" s="35"/>
      <c r="DC460" s="35"/>
      <c r="DD460" s="35"/>
      <c r="DE460" s="35"/>
      <c r="DF460" s="35"/>
      <c r="DG460" s="35"/>
      <c r="DH460" s="35"/>
      <c r="DI460" s="35"/>
      <c r="DJ460" s="35"/>
      <c r="DK460" s="35"/>
      <c r="DL460" s="35"/>
      <c r="DM460" s="35"/>
      <c r="DN460" s="35"/>
      <c r="DO460" s="35"/>
      <c r="DP460" s="35"/>
      <c r="DQ460" s="35"/>
      <c r="DR460" s="35"/>
      <c r="DS460" s="35"/>
      <c r="DT460" s="35"/>
      <c r="DU460" s="35"/>
      <c r="DV460" s="35"/>
      <c r="DW460" s="35"/>
      <c r="DX460" s="35"/>
      <c r="DY460" s="35"/>
      <c r="DZ460" s="35"/>
      <c r="EA460" s="35"/>
      <c r="EB460" s="35"/>
      <c r="EC460" s="35"/>
      <c r="ED460" s="35"/>
      <c r="EE460" s="35"/>
      <c r="EF460" s="35"/>
      <c r="EG460" s="35"/>
      <c r="EH460" s="35"/>
      <c r="EI460" s="35"/>
      <c r="EJ460" s="35"/>
      <c r="EK460" s="35"/>
      <c r="EL460" s="35"/>
      <c r="EM460" s="35"/>
      <c r="EN460" s="35"/>
      <c r="EO460" s="35"/>
      <c r="EP460" s="35"/>
      <c r="EQ460" s="35"/>
      <c r="ER460" s="35"/>
      <c r="ES460" s="35"/>
      <c r="ET460" s="35"/>
      <c r="EU460" s="35"/>
      <c r="EV460" s="35"/>
      <c r="EW460" s="35"/>
      <c r="EX460" s="35"/>
      <c r="EY460" s="35"/>
      <c r="EZ460" s="35"/>
      <c r="FA460" s="35"/>
      <c r="FB460" s="35"/>
      <c r="FC460" s="35"/>
      <c r="FD460" s="35"/>
      <c r="FE460" s="35"/>
      <c r="FF460" s="35"/>
      <c r="FG460" s="35"/>
      <c r="FH460" s="35"/>
      <c r="FI460" s="35"/>
      <c r="FJ460" s="35"/>
      <c r="FK460" s="35"/>
      <c r="FL460" s="35"/>
      <c r="FM460" s="35"/>
      <c r="FN460" s="35"/>
      <c r="FO460" s="35"/>
      <c r="FP460" s="35"/>
      <c r="FQ460" s="35"/>
      <c r="FR460" s="35"/>
      <c r="FS460" s="35"/>
      <c r="FT460" s="35"/>
      <c r="FU460" s="35"/>
      <c r="FV460" s="35"/>
      <c r="FW460" s="35"/>
      <c r="FX460" s="35"/>
      <c r="FY460" s="35"/>
      <c r="FZ460" s="35"/>
      <c r="GA460" s="35"/>
      <c r="GB460" s="318"/>
      <c r="GC460" s="178">
        <f t="shared" si="80"/>
        <v>0</v>
      </c>
      <c r="GD460" s="178">
        <f t="shared" si="81"/>
        <v>0</v>
      </c>
      <c r="GE460" s="178">
        <f t="shared" si="82"/>
        <v>0</v>
      </c>
      <c r="GF460" s="178">
        <f t="shared" si="83"/>
        <v>0</v>
      </c>
      <c r="GG460" s="178">
        <f t="shared" si="78"/>
        <v>0</v>
      </c>
    </row>
    <row r="461" spans="1:189" x14ac:dyDescent="0.35">
      <c r="A461" s="6" t="s">
        <v>1708</v>
      </c>
      <c r="B461" s="6" t="str">
        <f>IF(Technologies!B461&lt;&gt;0,Technologies!B461,"")</f>
        <v>Gebouwde omgeving</v>
      </c>
      <c r="C461" s="6" t="str">
        <f>VLOOKUP($A461,Technologies!$A$7:$H$576,3,FALSE)</f>
        <v>Emission</v>
      </c>
      <c r="D461" s="6" t="str">
        <f>VLOOKUP($A461,Technologies!$A$7:$H$576,4,FALSE)</f>
        <v>Residential</v>
      </c>
      <c r="E461" s="6" t="str">
        <f>VLOOKUP($A461,Technologies!$A$7:$H$576,6,FALSE)</f>
        <v>Emitted neGHG - Residential - CO2</v>
      </c>
      <c r="F461" s="48" t="str">
        <f>VLOOKUP($A461,Technologies!$A$7:$H$576,7,FALSE)</f>
        <v>Emitted neGHG - Residential - CO2</v>
      </c>
      <c r="G461" s="22"/>
      <c r="H461" s="22"/>
      <c r="I461" s="103" cm="1">
        <f t="array" ref="I461">-SUMPRODUCT((Feedstocks!$C$4:$C$141=A461)*Feedstocks!$E$4:$E$141,Feedstocks!$F$4:$F$141,Feedstocks!$H$4:$H$141,Feedstocks!$I$4:$I$141)</f>
        <v>0</v>
      </c>
      <c r="J461" s="103" cm="1">
        <f t="array" ref="J461">-SUMPRODUCT((Feedstocks!$C$4:$C$141=A461)*Feedstocks!$E$4:$E$141,Feedstocks!$H$4:$H$141,Feedstocks!$I$4:$I$141)</f>
        <v>0</v>
      </c>
      <c r="K461" s="103"/>
      <c r="L461" s="103">
        <v>1</v>
      </c>
      <c r="M461" s="22"/>
      <c r="N461" s="22" t="str">
        <f>VLOOKUP(E461,Activities!$A$9:$M$227,13,FALSE)</f>
        <v>NL</v>
      </c>
      <c r="O461" s="22"/>
      <c r="P461" s="80" t="s">
        <v>415</v>
      </c>
      <c r="Q461" s="36"/>
      <c r="R461" s="36"/>
      <c r="S461" s="36"/>
      <c r="T461" s="36"/>
      <c r="U461" s="36"/>
      <c r="V461" s="36"/>
      <c r="W461" s="36"/>
      <c r="X461" s="36"/>
      <c r="Y461" s="36"/>
      <c r="Z461" s="36"/>
      <c r="AA461" s="36"/>
      <c r="AB461" s="36"/>
      <c r="AC461" s="36"/>
      <c r="AD461" s="36"/>
      <c r="AE461" s="36"/>
      <c r="AF461" s="35"/>
      <c r="AG461" s="35"/>
      <c r="AH461" s="35"/>
      <c r="AI461" s="35"/>
      <c r="AJ461" s="35"/>
      <c r="AK461" s="35"/>
      <c r="AL461" s="35"/>
      <c r="AM461" s="35"/>
      <c r="AN461" s="35"/>
      <c r="AO461" s="35"/>
      <c r="AP461" s="36"/>
      <c r="AQ461" s="36"/>
      <c r="AR461" s="36"/>
      <c r="AS461" s="36"/>
      <c r="AT461" s="36"/>
      <c r="AU461" s="36"/>
      <c r="AV461" s="36"/>
      <c r="AW461" s="36"/>
      <c r="AX461" s="36"/>
      <c r="AY461" s="36"/>
      <c r="AZ461" s="36"/>
      <c r="BA461" s="36"/>
      <c r="BB461" s="36"/>
      <c r="BC461" s="36"/>
      <c r="BD461" s="36"/>
      <c r="BE461" s="36"/>
      <c r="BF461" s="36"/>
      <c r="BG461" s="36"/>
      <c r="BH461" s="36"/>
      <c r="BI461" s="36"/>
      <c r="BJ461" s="36"/>
      <c r="BK461" s="36"/>
      <c r="BL461" s="36"/>
      <c r="BM461" s="36"/>
      <c r="BN461" s="36"/>
      <c r="BO461" s="36"/>
      <c r="BP461" s="36"/>
      <c r="BQ461" s="36"/>
      <c r="BR461" s="36"/>
      <c r="BS461" s="36"/>
      <c r="BT461" s="36"/>
      <c r="BU461" s="36"/>
      <c r="BV461" s="36"/>
      <c r="BW461" s="36"/>
      <c r="BX461" s="36"/>
      <c r="BY461" s="36"/>
      <c r="BZ461" s="36"/>
      <c r="CA461" s="36"/>
      <c r="CB461" s="36"/>
      <c r="CC461" s="36"/>
      <c r="CD461" s="36"/>
      <c r="CE461" s="36"/>
      <c r="CF461" s="36"/>
      <c r="CG461" s="36"/>
      <c r="CH461" s="36"/>
      <c r="CI461" s="36"/>
      <c r="CJ461" s="36"/>
      <c r="CK461" s="36"/>
      <c r="CL461" s="36"/>
      <c r="CM461" s="36"/>
      <c r="CN461" s="36"/>
      <c r="CO461" s="36"/>
      <c r="CP461" s="36"/>
      <c r="CQ461" s="36"/>
      <c r="CR461" s="36"/>
      <c r="CS461" s="36"/>
      <c r="CT461" s="36"/>
      <c r="CU461" s="36"/>
      <c r="CV461" s="36"/>
      <c r="CW461" s="36"/>
      <c r="CX461" s="36"/>
      <c r="CY461" s="36"/>
      <c r="CZ461" s="36"/>
      <c r="DA461" s="36"/>
      <c r="DB461" s="36"/>
      <c r="DC461" s="36"/>
      <c r="DD461" s="36"/>
      <c r="DE461" s="36"/>
      <c r="DF461" s="36"/>
      <c r="DG461" s="36"/>
      <c r="DH461" s="36"/>
      <c r="DI461" s="36"/>
      <c r="DJ461" s="36"/>
      <c r="DK461" s="36"/>
      <c r="DL461" s="36"/>
      <c r="DM461" s="36"/>
      <c r="DN461" s="36"/>
      <c r="DO461" s="36"/>
      <c r="DP461" s="36"/>
      <c r="DQ461" s="36"/>
      <c r="DR461" s="36"/>
      <c r="DS461" s="36"/>
      <c r="DT461" s="36"/>
      <c r="DU461" s="36"/>
      <c r="DV461" s="36"/>
      <c r="DW461" s="36"/>
      <c r="DX461" s="36"/>
      <c r="DY461" s="36"/>
      <c r="DZ461" s="36"/>
      <c r="EA461" s="36"/>
      <c r="EB461" s="36"/>
      <c r="EC461" s="36"/>
      <c r="ED461" s="36"/>
      <c r="EE461" s="36"/>
      <c r="EF461" s="36"/>
      <c r="EG461" s="36"/>
      <c r="EH461" s="36"/>
      <c r="EI461" s="36"/>
      <c r="EJ461" s="36"/>
      <c r="EK461" s="36"/>
      <c r="EL461" s="36"/>
      <c r="EM461" s="36"/>
      <c r="EN461" s="36"/>
      <c r="EO461" s="36"/>
      <c r="EP461" s="36"/>
      <c r="EQ461" s="36"/>
      <c r="ER461" s="36"/>
      <c r="ES461" s="36"/>
      <c r="ET461" s="36"/>
      <c r="EU461" s="36"/>
      <c r="EV461" s="36"/>
      <c r="EW461" s="36"/>
      <c r="EX461" s="36"/>
      <c r="EY461" s="36"/>
      <c r="EZ461" s="36"/>
      <c r="FA461" s="36"/>
      <c r="FB461" s="36"/>
      <c r="FC461" s="36"/>
      <c r="FD461" s="36"/>
      <c r="FE461" s="36"/>
      <c r="FF461" s="36"/>
      <c r="FG461" s="36"/>
      <c r="FH461" s="36"/>
      <c r="FI461" s="36"/>
      <c r="FJ461" s="36"/>
      <c r="FK461" s="36"/>
      <c r="FL461" s="36"/>
      <c r="FM461" s="36"/>
      <c r="FN461" s="36"/>
      <c r="FO461" s="36">
        <v>-1</v>
      </c>
      <c r="FP461" s="36"/>
      <c r="FQ461" s="36"/>
      <c r="FR461" s="36"/>
      <c r="FS461" s="36"/>
      <c r="FT461" s="36"/>
      <c r="FU461" s="36"/>
      <c r="FV461" s="36"/>
      <c r="FW461" s="36"/>
      <c r="FX461" s="36"/>
      <c r="FY461" s="36"/>
      <c r="FZ461" s="36"/>
      <c r="GA461" s="36"/>
      <c r="GB461" s="319"/>
      <c r="GC461" s="324"/>
      <c r="GD461" s="324"/>
      <c r="GE461" s="324">
        <v>1</v>
      </c>
      <c r="GF461" s="324"/>
      <c r="GG461" s="324"/>
    </row>
    <row r="462" spans="1:189" x14ac:dyDescent="0.35">
      <c r="A462" s="5" t="s">
        <v>1710</v>
      </c>
      <c r="B462" s="6" t="str">
        <f>IF(Technologies!B462&lt;&gt;0,Technologies!B462,"")</f>
        <v>Gebouwde omgeving</v>
      </c>
      <c r="C462" s="5" t="str">
        <f>VLOOKUP($A462,Technologies!$A$7:$H$576,3,FALSE)</f>
        <v>Emission</v>
      </c>
      <c r="D462" s="5" t="str">
        <f>VLOOKUP($A462,Technologies!$A$7:$H$576,4,FALSE)</f>
        <v>Residential</v>
      </c>
      <c r="E462" s="5" t="str">
        <f>VLOOKUP($A462,Technologies!$A$7:$H$576,6,FALSE)</f>
        <v>Emitted neGHG - Residential - CO2</v>
      </c>
      <c r="F462" s="5" t="str">
        <f>VLOOKUP($A462,Technologies!$A$7:$H$576,7,FALSE)</f>
        <v>MACC Component 1 - neGHG CO2 Other</v>
      </c>
      <c r="G462" s="23"/>
      <c r="H462" s="23"/>
      <c r="I462" s="104" cm="1">
        <f t="array" ref="I462">-SUMPRODUCT((Feedstocks!$C$4:$C$141=A462)*Feedstocks!$E$4:$E$141,Feedstocks!$F$4:$F$141,Feedstocks!$H$4:$H$141,Feedstocks!$I$4:$I$141)</f>
        <v>0</v>
      </c>
      <c r="J462" s="104" cm="1">
        <f t="array" ref="J462">-SUMPRODUCT((Feedstocks!$C$4:$C$141=A462)*Feedstocks!$E$4:$E$141,Feedstocks!$H$4:$H$141,Feedstocks!$I$4:$I$141)</f>
        <v>0</v>
      </c>
      <c r="K462" s="104"/>
      <c r="L462" s="104"/>
      <c r="M462" s="23"/>
      <c r="N462" s="23" t="str">
        <f>VLOOKUP(E462,Activities!$A$9:$M$227,13,FALSE)</f>
        <v>NL</v>
      </c>
      <c r="O462" s="23"/>
      <c r="P462" s="79" t="s">
        <v>415</v>
      </c>
      <c r="Q462" s="35"/>
      <c r="R462" s="35"/>
      <c r="S462" s="35"/>
      <c r="T462" s="35"/>
      <c r="U462" s="35"/>
      <c r="V462" s="35"/>
      <c r="W462" s="35"/>
      <c r="X462" s="35"/>
      <c r="Y462" s="35"/>
      <c r="Z462" s="35"/>
      <c r="AA462" s="35"/>
      <c r="AB462" s="35"/>
      <c r="AC462" s="35"/>
      <c r="AD462" s="35"/>
      <c r="AE462" s="35"/>
      <c r="AF462" s="36"/>
      <c r="AG462" s="36"/>
      <c r="AH462" s="36"/>
      <c r="AI462" s="36"/>
      <c r="AJ462" s="36"/>
      <c r="AK462" s="36"/>
      <c r="AL462" s="36"/>
      <c r="AM462" s="36"/>
      <c r="AN462" s="36"/>
      <c r="AO462" s="36"/>
      <c r="AP462" s="35"/>
      <c r="AQ462" s="35"/>
      <c r="AR462" s="35"/>
      <c r="AS462" s="35"/>
      <c r="AT462" s="35"/>
      <c r="AU462" s="35"/>
      <c r="AV462" s="35"/>
      <c r="AW462" s="35"/>
      <c r="AX462" s="35"/>
      <c r="AY462" s="35"/>
      <c r="AZ462" s="35"/>
      <c r="BA462" s="35"/>
      <c r="BB462" s="35"/>
      <c r="BC462" s="35"/>
      <c r="BD462" s="35"/>
      <c r="BE462" s="35"/>
      <c r="BF462" s="35"/>
      <c r="BG462" s="35"/>
      <c r="BH462" s="35"/>
      <c r="BI462" s="35"/>
      <c r="BJ462" s="35"/>
      <c r="BK462" s="35"/>
      <c r="BL462" s="35"/>
      <c r="BM462" s="35"/>
      <c r="BN462" s="35"/>
      <c r="BO462" s="35"/>
      <c r="BP462" s="35"/>
      <c r="BQ462" s="35"/>
      <c r="BR462" s="35"/>
      <c r="BS462" s="35"/>
      <c r="BT462" s="35"/>
      <c r="BU462" s="35"/>
      <c r="BV462" s="35"/>
      <c r="BW462" s="35"/>
      <c r="BX462" s="35"/>
      <c r="BY462" s="35"/>
      <c r="BZ462" s="35"/>
      <c r="CA462" s="35"/>
      <c r="CB462" s="35"/>
      <c r="CC462" s="35"/>
      <c r="CD462" s="35"/>
      <c r="CE462" s="35"/>
      <c r="CF462" s="35"/>
      <c r="CG462" s="35"/>
      <c r="CH462" s="35"/>
      <c r="CI462" s="35"/>
      <c r="CJ462" s="35"/>
      <c r="CK462" s="35"/>
      <c r="CL462" s="35"/>
      <c r="CM462" s="35"/>
      <c r="CN462" s="35"/>
      <c r="CO462" s="35"/>
      <c r="CP462" s="35"/>
      <c r="CQ462" s="35"/>
      <c r="CR462" s="35"/>
      <c r="CS462" s="35"/>
      <c r="CT462" s="35"/>
      <c r="CU462" s="35"/>
      <c r="CV462" s="35"/>
      <c r="CW462" s="35"/>
      <c r="CX462" s="35"/>
      <c r="CY462" s="35"/>
      <c r="CZ462" s="35"/>
      <c r="DA462" s="35"/>
      <c r="DB462" s="35"/>
      <c r="DC462" s="35"/>
      <c r="DD462" s="35"/>
      <c r="DE462" s="35"/>
      <c r="DF462" s="35"/>
      <c r="DG462" s="35"/>
      <c r="DH462" s="35"/>
      <c r="DI462" s="35"/>
      <c r="DJ462" s="35"/>
      <c r="DK462" s="35"/>
      <c r="DL462" s="35"/>
      <c r="DM462" s="35"/>
      <c r="DN462" s="35"/>
      <c r="DO462" s="35"/>
      <c r="DP462" s="35"/>
      <c r="DQ462" s="35"/>
      <c r="DR462" s="35"/>
      <c r="DS462" s="35"/>
      <c r="DT462" s="35"/>
      <c r="DU462" s="35"/>
      <c r="DV462" s="35"/>
      <c r="DW462" s="35"/>
      <c r="DX462" s="35"/>
      <c r="DY462" s="35"/>
      <c r="DZ462" s="35"/>
      <c r="EA462" s="35"/>
      <c r="EB462" s="35"/>
      <c r="EC462" s="35"/>
      <c r="ED462" s="35"/>
      <c r="EE462" s="35"/>
      <c r="EF462" s="35"/>
      <c r="EG462" s="35"/>
      <c r="EH462" s="35"/>
      <c r="EI462" s="35"/>
      <c r="EJ462" s="35"/>
      <c r="EK462" s="35"/>
      <c r="EL462" s="35"/>
      <c r="EM462" s="35"/>
      <c r="EN462" s="35"/>
      <c r="EO462" s="35"/>
      <c r="EP462" s="35"/>
      <c r="EQ462" s="35"/>
      <c r="ER462" s="35"/>
      <c r="ES462" s="35"/>
      <c r="ET462" s="35"/>
      <c r="EU462" s="35"/>
      <c r="EV462" s="35"/>
      <c r="EW462" s="35"/>
      <c r="EX462" s="35"/>
      <c r="EY462" s="35"/>
      <c r="EZ462" s="35"/>
      <c r="FA462" s="35"/>
      <c r="FB462" s="35"/>
      <c r="FC462" s="35"/>
      <c r="FD462" s="35"/>
      <c r="FE462" s="35"/>
      <c r="FF462" s="35"/>
      <c r="FG462" s="35"/>
      <c r="FH462" s="35"/>
      <c r="FI462" s="35"/>
      <c r="FJ462" s="35"/>
      <c r="FK462" s="35"/>
      <c r="FL462" s="35"/>
      <c r="FM462" s="35"/>
      <c r="FN462" s="35"/>
      <c r="FO462" s="35">
        <v>-1</v>
      </c>
      <c r="FP462" s="35"/>
      <c r="FQ462" s="35"/>
      <c r="FR462" s="35"/>
      <c r="FS462" s="35"/>
      <c r="FT462" s="35"/>
      <c r="FU462" s="35"/>
      <c r="FV462" s="35"/>
      <c r="FW462" s="35"/>
      <c r="FX462" s="35"/>
      <c r="FY462" s="35"/>
      <c r="FZ462" s="35"/>
      <c r="GA462" s="35"/>
      <c r="GB462" s="318"/>
      <c r="GC462" s="325"/>
      <c r="GD462" s="325"/>
      <c r="GE462" s="325"/>
      <c r="GF462" s="325"/>
      <c r="GG462" s="325"/>
    </row>
    <row r="463" spans="1:189" x14ac:dyDescent="0.35">
      <c r="A463" s="6" t="s">
        <v>1712</v>
      </c>
      <c r="B463" s="6" t="str">
        <f>IF(Technologies!B463&lt;&gt;0,Technologies!B463,"")</f>
        <v>Gebouwde omgeving</v>
      </c>
      <c r="C463" s="6" t="str">
        <f>VLOOKUP($A463,Technologies!$A$7:$H$576,3,FALSE)</f>
        <v>Emission</v>
      </c>
      <c r="D463" s="6" t="str">
        <f>VLOOKUP($A463,Technologies!$A$7:$H$576,4,FALSE)</f>
        <v>Services</v>
      </c>
      <c r="E463" s="6" t="str">
        <f>VLOOKUP($A463,Technologies!$A$7:$H$576,6,FALSE)</f>
        <v>Emitted neGHG - Services - CH4</v>
      </c>
      <c r="F463" s="48" t="str">
        <f>VLOOKUP($A463,Technologies!$A$7:$H$576,7,FALSE)</f>
        <v>Emitted neGHG - Services - CH4</v>
      </c>
      <c r="G463" s="22"/>
      <c r="H463" s="22"/>
      <c r="I463" s="103" cm="1">
        <f t="array" ref="I463">-SUMPRODUCT((Feedstocks!$C$4:$C$141=A463)*Feedstocks!$E$4:$E$141,Feedstocks!$F$4:$F$141,Feedstocks!$H$4:$H$141,Feedstocks!$I$4:$I$141)</f>
        <v>0</v>
      </c>
      <c r="J463" s="103" cm="1">
        <f t="array" ref="J463">-SUMPRODUCT((Feedstocks!$C$4:$C$141=A463)*Feedstocks!$E$4:$E$141,Feedstocks!$H$4:$H$141,Feedstocks!$I$4:$I$141)</f>
        <v>0</v>
      </c>
      <c r="K463" s="103"/>
      <c r="L463" s="103">
        <v>1</v>
      </c>
      <c r="M463" s="22"/>
      <c r="N463" s="22" t="str">
        <f>VLOOKUP(E463,Activities!$A$9:$M$227,13,FALSE)</f>
        <v>NL</v>
      </c>
      <c r="O463" s="22"/>
      <c r="P463" s="80" t="s">
        <v>415</v>
      </c>
      <c r="Q463" s="36"/>
      <c r="R463" s="36"/>
      <c r="S463" s="36"/>
      <c r="T463" s="36"/>
      <c r="U463" s="36"/>
      <c r="V463" s="36"/>
      <c r="W463" s="36"/>
      <c r="X463" s="36"/>
      <c r="Y463" s="36"/>
      <c r="Z463" s="36"/>
      <c r="AA463" s="36"/>
      <c r="AB463" s="36"/>
      <c r="AC463" s="36"/>
      <c r="AD463" s="36"/>
      <c r="AE463" s="36"/>
      <c r="AF463" s="35"/>
      <c r="AG463" s="35"/>
      <c r="AH463" s="35"/>
      <c r="AI463" s="35"/>
      <c r="AJ463" s="35"/>
      <c r="AK463" s="35"/>
      <c r="AL463" s="35"/>
      <c r="AM463" s="35"/>
      <c r="AN463" s="35"/>
      <c r="AO463" s="35"/>
      <c r="AP463" s="36"/>
      <c r="AQ463" s="36"/>
      <c r="AR463" s="36"/>
      <c r="AS463" s="36"/>
      <c r="AT463" s="36"/>
      <c r="AU463" s="36"/>
      <c r="AV463" s="36"/>
      <c r="AW463" s="36"/>
      <c r="AX463" s="36"/>
      <c r="AY463" s="36"/>
      <c r="AZ463" s="36"/>
      <c r="BA463" s="36"/>
      <c r="BB463" s="36"/>
      <c r="BC463" s="36"/>
      <c r="BD463" s="36"/>
      <c r="BE463" s="36"/>
      <c r="BF463" s="36"/>
      <c r="BG463" s="36"/>
      <c r="BH463" s="36"/>
      <c r="BI463" s="36"/>
      <c r="BJ463" s="36"/>
      <c r="BK463" s="36"/>
      <c r="BL463" s="36"/>
      <c r="BM463" s="36"/>
      <c r="BN463" s="36"/>
      <c r="BO463" s="36"/>
      <c r="BP463" s="36"/>
      <c r="BQ463" s="36"/>
      <c r="BR463" s="36"/>
      <c r="BS463" s="36"/>
      <c r="BT463" s="36"/>
      <c r="BU463" s="36"/>
      <c r="BV463" s="36"/>
      <c r="BW463" s="36"/>
      <c r="BX463" s="36"/>
      <c r="BY463" s="36"/>
      <c r="BZ463" s="36"/>
      <c r="CA463" s="36"/>
      <c r="CB463" s="36"/>
      <c r="CC463" s="36"/>
      <c r="CD463" s="36"/>
      <c r="CE463" s="36"/>
      <c r="CF463" s="36"/>
      <c r="CG463" s="36"/>
      <c r="CH463" s="36"/>
      <c r="CI463" s="36"/>
      <c r="CJ463" s="36"/>
      <c r="CK463" s="36"/>
      <c r="CL463" s="36"/>
      <c r="CM463" s="36"/>
      <c r="CN463" s="36"/>
      <c r="CO463" s="36"/>
      <c r="CP463" s="36"/>
      <c r="CQ463" s="36"/>
      <c r="CR463" s="36"/>
      <c r="CS463" s="36"/>
      <c r="CT463" s="36"/>
      <c r="CU463" s="36"/>
      <c r="CV463" s="36"/>
      <c r="CW463" s="36"/>
      <c r="CX463" s="36"/>
      <c r="CY463" s="36"/>
      <c r="CZ463" s="36"/>
      <c r="DA463" s="36"/>
      <c r="DB463" s="36"/>
      <c r="DC463" s="36"/>
      <c r="DD463" s="36"/>
      <c r="DE463" s="36"/>
      <c r="DF463" s="36"/>
      <c r="DG463" s="36"/>
      <c r="DH463" s="36"/>
      <c r="DI463" s="36"/>
      <c r="DJ463" s="36"/>
      <c r="DK463" s="36"/>
      <c r="DL463" s="36"/>
      <c r="DM463" s="36"/>
      <c r="DN463" s="36"/>
      <c r="DO463" s="36"/>
      <c r="DP463" s="36"/>
      <c r="DQ463" s="36"/>
      <c r="DR463" s="36"/>
      <c r="DS463" s="36"/>
      <c r="DT463" s="36"/>
      <c r="DU463" s="36"/>
      <c r="DV463" s="36"/>
      <c r="DW463" s="36"/>
      <c r="DX463" s="36"/>
      <c r="DY463" s="36"/>
      <c r="DZ463" s="36"/>
      <c r="EA463" s="36"/>
      <c r="EB463" s="36"/>
      <c r="EC463" s="36"/>
      <c r="ED463" s="36"/>
      <c r="EE463" s="36"/>
      <c r="EF463" s="36"/>
      <c r="EG463" s="36"/>
      <c r="EH463" s="36"/>
      <c r="EI463" s="36"/>
      <c r="EJ463" s="36"/>
      <c r="EK463" s="36"/>
      <c r="EL463" s="36"/>
      <c r="EM463" s="36"/>
      <c r="EN463" s="36"/>
      <c r="EO463" s="36"/>
      <c r="EP463" s="36"/>
      <c r="EQ463" s="36"/>
      <c r="ER463" s="36"/>
      <c r="ES463" s="36"/>
      <c r="ET463" s="36"/>
      <c r="EU463" s="36"/>
      <c r="EV463" s="36"/>
      <c r="EW463" s="36"/>
      <c r="EX463" s="36"/>
      <c r="EY463" s="36"/>
      <c r="EZ463" s="36"/>
      <c r="FA463" s="36"/>
      <c r="FB463" s="36"/>
      <c r="FC463" s="36"/>
      <c r="FD463" s="36"/>
      <c r="FE463" s="36"/>
      <c r="FF463" s="36"/>
      <c r="FG463" s="36"/>
      <c r="FH463" s="36"/>
      <c r="FI463" s="36"/>
      <c r="FJ463" s="36"/>
      <c r="FK463" s="36"/>
      <c r="FL463" s="36"/>
      <c r="FM463" s="36"/>
      <c r="FN463" s="36"/>
      <c r="FO463" s="36"/>
      <c r="FP463" s="36">
        <v>-1</v>
      </c>
      <c r="FQ463" s="36"/>
      <c r="FR463" s="36"/>
      <c r="FS463" s="36"/>
      <c r="FT463" s="36"/>
      <c r="FU463" s="36"/>
      <c r="FV463" s="36"/>
      <c r="FW463" s="36"/>
      <c r="FX463" s="36"/>
      <c r="FY463" s="36"/>
      <c r="FZ463" s="36"/>
      <c r="GA463" s="36"/>
      <c r="GB463" s="319"/>
      <c r="GC463" s="324"/>
      <c r="GD463" s="324"/>
      <c r="GE463" s="324">
        <v>1</v>
      </c>
      <c r="GF463" s="324"/>
      <c r="GG463" s="324"/>
    </row>
    <row r="464" spans="1:189" x14ac:dyDescent="0.35">
      <c r="A464" s="5" t="s">
        <v>1714</v>
      </c>
      <c r="B464" s="6" t="str">
        <f>IF(Technologies!B464&lt;&gt;0,Technologies!B464,"")</f>
        <v>Gebouwde omgeving</v>
      </c>
      <c r="C464" s="5" t="str">
        <f>VLOOKUP($A464,Technologies!$A$7:$H$576,3,FALSE)</f>
        <v>Emission</v>
      </c>
      <c r="D464" s="5" t="str">
        <f>VLOOKUP($A464,Technologies!$A$7:$H$576,4,FALSE)</f>
        <v>Services</v>
      </c>
      <c r="E464" s="5" t="str">
        <f>VLOOKUP($A464,Technologies!$A$7:$H$576,6,FALSE)</f>
        <v>Emitted neGHG - Services - CH4</v>
      </c>
      <c r="F464" s="5" t="str">
        <f>VLOOKUP($A464,Technologies!$A$7:$H$576,7,FALSE)</f>
        <v>MACC Component 1 - neGHG CH4 Other</v>
      </c>
      <c r="G464" s="23"/>
      <c r="H464" s="23"/>
      <c r="I464" s="104" cm="1">
        <f t="array" ref="I464">-SUMPRODUCT((Feedstocks!$C$4:$C$141=A464)*Feedstocks!$E$4:$E$141,Feedstocks!$F$4:$F$141,Feedstocks!$H$4:$H$141,Feedstocks!$I$4:$I$141)</f>
        <v>0</v>
      </c>
      <c r="J464" s="104" cm="1">
        <f t="array" ref="J464">-SUMPRODUCT((Feedstocks!$C$4:$C$141=A464)*Feedstocks!$E$4:$E$141,Feedstocks!$H$4:$H$141,Feedstocks!$I$4:$I$141)</f>
        <v>0</v>
      </c>
      <c r="K464" s="104"/>
      <c r="L464" s="104"/>
      <c r="M464" s="23"/>
      <c r="N464" s="23" t="str">
        <f>VLOOKUP(E464,Activities!$A$9:$M$227,13,FALSE)</f>
        <v>NL</v>
      </c>
      <c r="O464" s="23"/>
      <c r="P464" s="79" t="s">
        <v>415</v>
      </c>
      <c r="Q464" s="35"/>
      <c r="R464" s="35"/>
      <c r="S464" s="35"/>
      <c r="T464" s="35"/>
      <c r="U464" s="35"/>
      <c r="V464" s="35"/>
      <c r="W464" s="35"/>
      <c r="X464" s="35"/>
      <c r="Y464" s="35"/>
      <c r="Z464" s="35"/>
      <c r="AA464" s="35"/>
      <c r="AB464" s="35"/>
      <c r="AC464" s="35"/>
      <c r="AD464" s="35"/>
      <c r="AE464" s="35"/>
      <c r="AF464" s="36"/>
      <c r="AG464" s="36"/>
      <c r="AH464" s="36"/>
      <c r="AI464" s="36"/>
      <c r="AJ464" s="36"/>
      <c r="AK464" s="36"/>
      <c r="AL464" s="36"/>
      <c r="AM464" s="36"/>
      <c r="AN464" s="36"/>
      <c r="AO464" s="36"/>
      <c r="AP464" s="35"/>
      <c r="AQ464" s="35"/>
      <c r="AR464" s="35"/>
      <c r="AS464" s="35"/>
      <c r="AT464" s="35"/>
      <c r="AU464" s="35"/>
      <c r="AV464" s="35"/>
      <c r="AW464" s="35"/>
      <c r="AX464" s="35"/>
      <c r="AY464" s="35"/>
      <c r="AZ464" s="35"/>
      <c r="BA464" s="35"/>
      <c r="BB464" s="35"/>
      <c r="BC464" s="35"/>
      <c r="BD464" s="35"/>
      <c r="BE464" s="35"/>
      <c r="BF464" s="35"/>
      <c r="BG464" s="35"/>
      <c r="BH464" s="35"/>
      <c r="BI464" s="35"/>
      <c r="BJ464" s="35"/>
      <c r="BK464" s="35"/>
      <c r="BL464" s="35"/>
      <c r="BM464" s="35"/>
      <c r="BN464" s="35"/>
      <c r="BO464" s="35"/>
      <c r="BP464" s="35"/>
      <c r="BQ464" s="35"/>
      <c r="BR464" s="35"/>
      <c r="BS464" s="35"/>
      <c r="BT464" s="35"/>
      <c r="BU464" s="35"/>
      <c r="BV464" s="35"/>
      <c r="BW464" s="35"/>
      <c r="BX464" s="35"/>
      <c r="BY464" s="35"/>
      <c r="BZ464" s="35"/>
      <c r="CA464" s="35"/>
      <c r="CB464" s="35"/>
      <c r="CC464" s="35"/>
      <c r="CD464" s="35"/>
      <c r="CE464" s="35"/>
      <c r="CF464" s="35"/>
      <c r="CG464" s="35"/>
      <c r="CH464" s="35"/>
      <c r="CI464" s="35"/>
      <c r="CJ464" s="35"/>
      <c r="CK464" s="35"/>
      <c r="CL464" s="35"/>
      <c r="CM464" s="35"/>
      <c r="CN464" s="35"/>
      <c r="CO464" s="35"/>
      <c r="CP464" s="35"/>
      <c r="CQ464" s="35"/>
      <c r="CR464" s="35"/>
      <c r="CS464" s="35"/>
      <c r="CT464" s="35"/>
      <c r="CU464" s="35"/>
      <c r="CV464" s="35"/>
      <c r="CW464" s="35"/>
      <c r="CX464" s="35"/>
      <c r="CY464" s="35"/>
      <c r="CZ464" s="35"/>
      <c r="DA464" s="35"/>
      <c r="DB464" s="35"/>
      <c r="DC464" s="35"/>
      <c r="DD464" s="35"/>
      <c r="DE464" s="35"/>
      <c r="DF464" s="35"/>
      <c r="DG464" s="35"/>
      <c r="DH464" s="35"/>
      <c r="DI464" s="35"/>
      <c r="DJ464" s="35"/>
      <c r="DK464" s="35"/>
      <c r="DL464" s="35"/>
      <c r="DM464" s="35"/>
      <c r="DN464" s="35"/>
      <c r="DO464" s="35"/>
      <c r="DP464" s="35"/>
      <c r="DQ464" s="35"/>
      <c r="DR464" s="35"/>
      <c r="DS464" s="35"/>
      <c r="DT464" s="35"/>
      <c r="DU464" s="35"/>
      <c r="DV464" s="35"/>
      <c r="DW464" s="35"/>
      <c r="DX464" s="35"/>
      <c r="DY464" s="35"/>
      <c r="DZ464" s="35"/>
      <c r="EA464" s="35"/>
      <c r="EB464" s="35"/>
      <c r="EC464" s="35"/>
      <c r="ED464" s="35"/>
      <c r="EE464" s="35"/>
      <c r="EF464" s="35"/>
      <c r="EG464" s="35"/>
      <c r="EH464" s="35"/>
      <c r="EI464" s="35"/>
      <c r="EJ464" s="35"/>
      <c r="EK464" s="35"/>
      <c r="EL464" s="35"/>
      <c r="EM464" s="35"/>
      <c r="EN464" s="35"/>
      <c r="EO464" s="35"/>
      <c r="EP464" s="35"/>
      <c r="EQ464" s="35"/>
      <c r="ER464" s="35"/>
      <c r="ES464" s="35"/>
      <c r="ET464" s="35"/>
      <c r="EU464" s="35"/>
      <c r="EV464" s="35"/>
      <c r="EW464" s="35"/>
      <c r="EX464" s="35"/>
      <c r="EY464" s="35"/>
      <c r="EZ464" s="35"/>
      <c r="FA464" s="35"/>
      <c r="FB464" s="35"/>
      <c r="FC464" s="35"/>
      <c r="FD464" s="35"/>
      <c r="FE464" s="35"/>
      <c r="FF464" s="35"/>
      <c r="FG464" s="35"/>
      <c r="FH464" s="35"/>
      <c r="FI464" s="35"/>
      <c r="FJ464" s="35"/>
      <c r="FK464" s="35"/>
      <c r="FL464" s="35"/>
      <c r="FM464" s="35"/>
      <c r="FN464" s="35"/>
      <c r="FO464" s="35"/>
      <c r="FP464" s="35">
        <v>-1</v>
      </c>
      <c r="FQ464" s="35"/>
      <c r="FR464" s="35"/>
      <c r="FS464" s="35"/>
      <c r="FT464" s="35"/>
      <c r="FU464" s="35"/>
      <c r="FV464" s="35"/>
      <c r="FW464" s="35"/>
      <c r="FX464" s="35"/>
      <c r="FY464" s="35"/>
      <c r="FZ464" s="35"/>
      <c r="GA464" s="35"/>
      <c r="GB464" s="318"/>
      <c r="GC464" s="325"/>
      <c r="GD464" s="325"/>
      <c r="GE464" s="325"/>
      <c r="GF464" s="325"/>
      <c r="GG464" s="325"/>
    </row>
    <row r="465" spans="1:189" x14ac:dyDescent="0.35">
      <c r="A465" s="6" t="s">
        <v>1716</v>
      </c>
      <c r="B465" s="6" t="str">
        <f>IF(Technologies!B465&lt;&gt;0,Technologies!B465,"")</f>
        <v>Landbouw</v>
      </c>
      <c r="C465" s="6" t="str">
        <f>VLOOKUP($A465,Technologies!$A$7:$H$576,3,FALSE)</f>
        <v>Emission</v>
      </c>
      <c r="D465" s="6" t="str">
        <f>VLOOKUP($A465,Technologies!$A$7:$H$576,4,FALSE)</f>
        <v>Agriculture</v>
      </c>
      <c r="E465" s="6" t="str">
        <f>VLOOKUP($A465,Technologies!$A$7:$H$576,6,FALSE)</f>
        <v>Emitted neGHG - Agriculture - CO2</v>
      </c>
      <c r="F465" s="48" t="str">
        <f>VLOOKUP($A465,Technologies!$A$7:$H$576,7,FALSE)</f>
        <v>Emitted neGHG - Agriculture - CO2</v>
      </c>
      <c r="G465" s="22"/>
      <c r="H465" s="22"/>
      <c r="I465" s="103" cm="1">
        <f t="array" ref="I465">-SUMPRODUCT((Feedstocks!$C$4:$C$141=A465)*Feedstocks!$E$4:$E$141,Feedstocks!$F$4:$F$141,Feedstocks!$H$4:$H$141,Feedstocks!$I$4:$I$141)</f>
        <v>0</v>
      </c>
      <c r="J465" s="103" cm="1">
        <f t="array" ref="J465">-SUMPRODUCT((Feedstocks!$C$4:$C$141=A465)*Feedstocks!$E$4:$E$141,Feedstocks!$H$4:$H$141,Feedstocks!$I$4:$I$141)</f>
        <v>0</v>
      </c>
      <c r="K465" s="103"/>
      <c r="L465" s="103"/>
      <c r="M465" s="22"/>
      <c r="N465" s="22" t="str">
        <f>VLOOKUP(E465,Activities!$A$9:$M$227,13,FALSE)</f>
        <v>NL</v>
      </c>
      <c r="O465" s="22"/>
      <c r="P465" s="80" t="s">
        <v>415</v>
      </c>
      <c r="Q465" s="36"/>
      <c r="R465" s="36"/>
      <c r="S465" s="36"/>
      <c r="T465" s="36"/>
      <c r="U465" s="36"/>
      <c r="V465" s="36"/>
      <c r="W465" s="36"/>
      <c r="X465" s="36"/>
      <c r="Y465" s="36"/>
      <c r="Z465" s="36"/>
      <c r="AA465" s="36"/>
      <c r="AB465" s="36"/>
      <c r="AC465" s="36"/>
      <c r="AD465" s="36"/>
      <c r="AE465" s="36"/>
      <c r="AF465" s="35"/>
      <c r="AG465" s="35"/>
      <c r="AH465" s="35"/>
      <c r="AI465" s="35"/>
      <c r="AJ465" s="35"/>
      <c r="AK465" s="35"/>
      <c r="AL465" s="35"/>
      <c r="AM465" s="35"/>
      <c r="AN465" s="35"/>
      <c r="AO465" s="35"/>
      <c r="AP465" s="36"/>
      <c r="AQ465" s="36"/>
      <c r="AR465" s="36"/>
      <c r="AS465" s="36"/>
      <c r="AT465" s="36"/>
      <c r="AU465" s="36"/>
      <c r="AV465" s="36"/>
      <c r="AW465" s="36"/>
      <c r="AX465" s="36"/>
      <c r="AY465" s="36"/>
      <c r="AZ465" s="36"/>
      <c r="BA465" s="36"/>
      <c r="BB465" s="36"/>
      <c r="BC465" s="36"/>
      <c r="BD465" s="36"/>
      <c r="BE465" s="36"/>
      <c r="BF465" s="36"/>
      <c r="BG465" s="36"/>
      <c r="BH465" s="36"/>
      <c r="BI465" s="36"/>
      <c r="BJ465" s="36"/>
      <c r="BK465" s="36"/>
      <c r="BL465" s="36"/>
      <c r="BM465" s="36"/>
      <c r="BN465" s="36"/>
      <c r="BO465" s="36"/>
      <c r="BP465" s="36"/>
      <c r="BQ465" s="36"/>
      <c r="BR465" s="36"/>
      <c r="BS465" s="36"/>
      <c r="BT465" s="36"/>
      <c r="BU465" s="36"/>
      <c r="BV465" s="36"/>
      <c r="BW465" s="36"/>
      <c r="BX465" s="36"/>
      <c r="BY465" s="36"/>
      <c r="BZ465" s="36"/>
      <c r="CA465" s="36"/>
      <c r="CB465" s="36"/>
      <c r="CC465" s="36"/>
      <c r="CD465" s="36"/>
      <c r="CE465" s="36"/>
      <c r="CF465" s="36"/>
      <c r="CG465" s="36"/>
      <c r="CH465" s="36"/>
      <c r="CI465" s="36"/>
      <c r="CJ465" s="36"/>
      <c r="CK465" s="36"/>
      <c r="CL465" s="36"/>
      <c r="CM465" s="36"/>
      <c r="CN465" s="36"/>
      <c r="CO465" s="36"/>
      <c r="CP465" s="36"/>
      <c r="CQ465" s="36"/>
      <c r="CR465" s="36"/>
      <c r="CS465" s="36"/>
      <c r="CT465" s="36"/>
      <c r="CU465" s="36"/>
      <c r="CV465" s="36"/>
      <c r="CW465" s="36"/>
      <c r="CX465" s="36"/>
      <c r="CY465" s="36"/>
      <c r="CZ465" s="36"/>
      <c r="DA465" s="36"/>
      <c r="DB465" s="36"/>
      <c r="DC465" s="36"/>
      <c r="DD465" s="36"/>
      <c r="DE465" s="36"/>
      <c r="DF465" s="36"/>
      <c r="DG465" s="36"/>
      <c r="DH465" s="36"/>
      <c r="DI465" s="36"/>
      <c r="DJ465" s="36"/>
      <c r="DK465" s="36"/>
      <c r="DL465" s="36"/>
      <c r="DM465" s="36"/>
      <c r="DN465" s="36"/>
      <c r="DO465" s="36"/>
      <c r="DP465" s="36"/>
      <c r="DQ465" s="36"/>
      <c r="DR465" s="36"/>
      <c r="DS465" s="36"/>
      <c r="DT465" s="36"/>
      <c r="DU465" s="36"/>
      <c r="DV465" s="36"/>
      <c r="DW465" s="36"/>
      <c r="DX465" s="36"/>
      <c r="DY465" s="36"/>
      <c r="DZ465" s="36"/>
      <c r="EA465" s="36"/>
      <c r="EB465" s="36"/>
      <c r="EC465" s="36"/>
      <c r="ED465" s="36"/>
      <c r="EE465" s="36"/>
      <c r="EF465" s="36"/>
      <c r="EG465" s="36"/>
      <c r="EH465" s="36"/>
      <c r="EI465" s="36"/>
      <c r="EJ465" s="36"/>
      <c r="EK465" s="36"/>
      <c r="EL465" s="36"/>
      <c r="EM465" s="36"/>
      <c r="EN465" s="36"/>
      <c r="EO465" s="36"/>
      <c r="EP465" s="36"/>
      <c r="EQ465" s="36"/>
      <c r="ER465" s="36"/>
      <c r="ES465" s="36"/>
      <c r="ET465" s="36"/>
      <c r="EU465" s="36"/>
      <c r="EV465" s="36"/>
      <c r="EW465" s="36"/>
      <c r="EX465" s="36"/>
      <c r="EY465" s="36"/>
      <c r="EZ465" s="36"/>
      <c r="FA465" s="36"/>
      <c r="FB465" s="36"/>
      <c r="FC465" s="36"/>
      <c r="FD465" s="36"/>
      <c r="FE465" s="36"/>
      <c r="FF465" s="36"/>
      <c r="FG465" s="36"/>
      <c r="FH465" s="36"/>
      <c r="FI465" s="36"/>
      <c r="FJ465" s="36"/>
      <c r="FK465" s="36"/>
      <c r="FL465" s="36"/>
      <c r="FM465" s="36"/>
      <c r="FN465" s="36"/>
      <c r="FO465" s="36"/>
      <c r="FP465" s="36"/>
      <c r="FQ465" s="36">
        <v>-1</v>
      </c>
      <c r="FR465" s="36"/>
      <c r="FS465" s="36"/>
      <c r="FT465" s="36"/>
      <c r="FU465" s="36"/>
      <c r="FV465" s="36"/>
      <c r="FW465" s="36"/>
      <c r="FX465" s="36"/>
      <c r="FY465" s="36"/>
      <c r="FZ465" s="36"/>
      <c r="GA465" s="36"/>
      <c r="GB465" s="319"/>
      <c r="GC465" s="324"/>
      <c r="GD465" s="324"/>
      <c r="GE465" s="324">
        <v>1</v>
      </c>
      <c r="GF465" s="324"/>
      <c r="GG465" s="324"/>
    </row>
    <row r="466" spans="1:189" x14ac:dyDescent="0.35">
      <c r="A466" s="5" t="s">
        <v>1717</v>
      </c>
      <c r="B466" s="6" t="str">
        <f>IF(Technologies!B466&lt;&gt;0,Technologies!B466,"")</f>
        <v>Landbouw</v>
      </c>
      <c r="C466" s="5" t="str">
        <f>VLOOKUP($A466,Technologies!$A$7:$H$576,3,FALSE)</f>
        <v>Emission</v>
      </c>
      <c r="D466" s="5" t="str">
        <f>VLOOKUP($A466,Technologies!$A$7:$H$576,4,FALSE)</f>
        <v>Agriculture</v>
      </c>
      <c r="E466" s="5" t="str">
        <f>VLOOKUP($A466,Technologies!$A$7:$H$576,6,FALSE)</f>
        <v>Emitted neGHG - Agriculture - CO2</v>
      </c>
      <c r="F466" s="5" t="str">
        <f>VLOOKUP($A466,Technologies!$A$7:$H$576,7,FALSE)</f>
        <v>MACC Component 1 - neGHG CO2 Other</v>
      </c>
      <c r="G466" s="23"/>
      <c r="H466" s="23"/>
      <c r="I466" s="104" cm="1">
        <f t="array" ref="I466">-SUMPRODUCT((Feedstocks!$C$4:$C$141=A466)*Feedstocks!$E$4:$E$141,Feedstocks!$F$4:$F$141,Feedstocks!$H$4:$H$141,Feedstocks!$I$4:$I$141)</f>
        <v>0</v>
      </c>
      <c r="J466" s="104" cm="1">
        <f t="array" ref="J466">-SUMPRODUCT((Feedstocks!$C$4:$C$141=A466)*Feedstocks!$E$4:$E$141,Feedstocks!$H$4:$H$141,Feedstocks!$I$4:$I$141)</f>
        <v>0</v>
      </c>
      <c r="K466" s="104"/>
      <c r="L466" s="104"/>
      <c r="M466" s="23"/>
      <c r="N466" s="23" t="str">
        <f>VLOOKUP(E466,Activities!$A$9:$M$227,13,FALSE)</f>
        <v>NL</v>
      </c>
      <c r="O466" s="23"/>
      <c r="P466" s="79" t="s">
        <v>415</v>
      </c>
      <c r="Q466" s="35"/>
      <c r="R466" s="35"/>
      <c r="S466" s="35"/>
      <c r="T466" s="35"/>
      <c r="U466" s="35"/>
      <c r="V466" s="35"/>
      <c r="W466" s="35"/>
      <c r="X466" s="35"/>
      <c r="Y466" s="35"/>
      <c r="Z466" s="35"/>
      <c r="AA466" s="35"/>
      <c r="AB466" s="35"/>
      <c r="AC466" s="35"/>
      <c r="AD466" s="35"/>
      <c r="AE466" s="35"/>
      <c r="AF466" s="36"/>
      <c r="AG466" s="36"/>
      <c r="AH466" s="36"/>
      <c r="AI466" s="36"/>
      <c r="AJ466" s="36"/>
      <c r="AK466" s="36"/>
      <c r="AL466" s="36"/>
      <c r="AM466" s="36"/>
      <c r="AN466" s="36"/>
      <c r="AO466" s="36"/>
      <c r="AP466" s="35"/>
      <c r="AQ466" s="35"/>
      <c r="AR466" s="35"/>
      <c r="AS466" s="35"/>
      <c r="AT466" s="35"/>
      <c r="AU466" s="35"/>
      <c r="AV466" s="35"/>
      <c r="AW466" s="35"/>
      <c r="AX466" s="35"/>
      <c r="AY466" s="35"/>
      <c r="AZ466" s="35"/>
      <c r="BA466" s="35"/>
      <c r="BB466" s="35"/>
      <c r="BC466" s="35"/>
      <c r="BD466" s="35"/>
      <c r="BE466" s="35"/>
      <c r="BF466" s="35"/>
      <c r="BG466" s="35"/>
      <c r="BH466" s="35"/>
      <c r="BI466" s="35"/>
      <c r="BJ466" s="35"/>
      <c r="BK466" s="35"/>
      <c r="BL466" s="35"/>
      <c r="BM466" s="35"/>
      <c r="BN466" s="35"/>
      <c r="BO466" s="35"/>
      <c r="BP466" s="35"/>
      <c r="BQ466" s="35"/>
      <c r="BR466" s="35"/>
      <c r="BS466" s="35"/>
      <c r="BT466" s="35"/>
      <c r="BU466" s="35"/>
      <c r="BV466" s="35"/>
      <c r="BW466" s="35"/>
      <c r="BX466" s="35"/>
      <c r="BY466" s="35"/>
      <c r="BZ466" s="35"/>
      <c r="CA466" s="35"/>
      <c r="CB466" s="35"/>
      <c r="CC466" s="35"/>
      <c r="CD466" s="35"/>
      <c r="CE466" s="35"/>
      <c r="CF466" s="35"/>
      <c r="CG466" s="35"/>
      <c r="CH466" s="35"/>
      <c r="CI466" s="35"/>
      <c r="CJ466" s="35"/>
      <c r="CK466" s="35"/>
      <c r="CL466" s="35"/>
      <c r="CM466" s="35"/>
      <c r="CN466" s="35"/>
      <c r="CO466" s="35"/>
      <c r="CP466" s="35"/>
      <c r="CQ466" s="35"/>
      <c r="CR466" s="35"/>
      <c r="CS466" s="35"/>
      <c r="CT466" s="35"/>
      <c r="CU466" s="35"/>
      <c r="CV466" s="35"/>
      <c r="CW466" s="35"/>
      <c r="CX466" s="35"/>
      <c r="CY466" s="35"/>
      <c r="CZ466" s="35"/>
      <c r="DA466" s="35"/>
      <c r="DB466" s="35"/>
      <c r="DC466" s="35"/>
      <c r="DD466" s="35"/>
      <c r="DE466" s="35"/>
      <c r="DF466" s="35"/>
      <c r="DG466" s="35"/>
      <c r="DH466" s="35"/>
      <c r="DI466" s="35"/>
      <c r="DJ466" s="35"/>
      <c r="DK466" s="35"/>
      <c r="DL466" s="35"/>
      <c r="DM466" s="35"/>
      <c r="DN466" s="35"/>
      <c r="DO466" s="35"/>
      <c r="DP466" s="35"/>
      <c r="DQ466" s="35"/>
      <c r="DR466" s="35"/>
      <c r="DS466" s="35"/>
      <c r="DT466" s="35"/>
      <c r="DU466" s="35"/>
      <c r="DV466" s="35"/>
      <c r="DW466" s="35"/>
      <c r="DX466" s="35"/>
      <c r="DY466" s="35"/>
      <c r="DZ466" s="35"/>
      <c r="EA466" s="35"/>
      <c r="EB466" s="35"/>
      <c r="EC466" s="35"/>
      <c r="ED466" s="35"/>
      <c r="EE466" s="35"/>
      <c r="EF466" s="35"/>
      <c r="EG466" s="35"/>
      <c r="EH466" s="35"/>
      <c r="EI466" s="35"/>
      <c r="EJ466" s="35"/>
      <c r="EK466" s="35"/>
      <c r="EL466" s="35"/>
      <c r="EM466" s="35"/>
      <c r="EN466" s="35"/>
      <c r="EO466" s="35"/>
      <c r="EP466" s="35"/>
      <c r="EQ466" s="35"/>
      <c r="ER466" s="35"/>
      <c r="ES466" s="35"/>
      <c r="ET466" s="35"/>
      <c r="EU466" s="35"/>
      <c r="EV466" s="35"/>
      <c r="EW466" s="35"/>
      <c r="EX466" s="35"/>
      <c r="EY466" s="35"/>
      <c r="EZ466" s="35"/>
      <c r="FA466" s="35"/>
      <c r="FB466" s="35"/>
      <c r="FC466" s="35"/>
      <c r="FD466" s="35"/>
      <c r="FE466" s="35"/>
      <c r="FF466" s="35"/>
      <c r="FG466" s="35"/>
      <c r="FH466" s="35"/>
      <c r="FI466" s="35"/>
      <c r="FJ466" s="35"/>
      <c r="FK466" s="35"/>
      <c r="FL466" s="35"/>
      <c r="FM466" s="35"/>
      <c r="FN466" s="35"/>
      <c r="FO466" s="35"/>
      <c r="FP466" s="35"/>
      <c r="FQ466" s="35">
        <v>-1</v>
      </c>
      <c r="FR466" s="35"/>
      <c r="FS466" s="35"/>
      <c r="FT466" s="35"/>
      <c r="FU466" s="35"/>
      <c r="FV466" s="35"/>
      <c r="FW466" s="35"/>
      <c r="FX466" s="35"/>
      <c r="FY466" s="35"/>
      <c r="FZ466" s="35"/>
      <c r="GA466" s="35"/>
      <c r="GB466" s="318"/>
      <c r="GC466" s="325"/>
      <c r="GD466" s="325"/>
      <c r="GE466" s="325"/>
      <c r="GF466" s="325"/>
      <c r="GG466" s="325"/>
    </row>
    <row r="467" spans="1:189" x14ac:dyDescent="0.35">
      <c r="A467" s="6" t="s">
        <v>1718</v>
      </c>
      <c r="B467" s="6" t="str">
        <f>IF(Technologies!B467&lt;&gt;0,Technologies!B467,"")</f>
        <v>Landbouw</v>
      </c>
      <c r="C467" s="6" t="str">
        <f>VLOOKUP($A467,Technologies!$A$7:$H$576,3,FALSE)</f>
        <v>Emission</v>
      </c>
      <c r="D467" s="6" t="str">
        <f>VLOOKUP($A467,Technologies!$A$7:$H$576,4,FALSE)</f>
        <v>Agriculture</v>
      </c>
      <c r="E467" s="6" t="str">
        <f>VLOOKUP($A467,Technologies!$A$7:$H$576,6,FALSE)</f>
        <v>Emitted neGHG - Agriculture - CH4</v>
      </c>
      <c r="F467" s="48" t="str">
        <f>VLOOKUP($A467,Technologies!$A$7:$H$576,7,FALSE)</f>
        <v>Emitted neGHG - Agriculture - CH4</v>
      </c>
      <c r="G467" s="22"/>
      <c r="H467" s="22"/>
      <c r="I467" s="103" cm="1">
        <f t="array" ref="I467">-SUMPRODUCT((Feedstocks!$C$4:$C$141=A467)*Feedstocks!$E$4:$E$141,Feedstocks!$F$4:$F$141,Feedstocks!$H$4:$H$141,Feedstocks!$I$4:$I$141)</f>
        <v>0</v>
      </c>
      <c r="J467" s="103" cm="1">
        <f t="array" ref="J467">-SUMPRODUCT((Feedstocks!$C$4:$C$141=A467)*Feedstocks!$E$4:$E$141,Feedstocks!$H$4:$H$141,Feedstocks!$I$4:$I$141)</f>
        <v>0</v>
      </c>
      <c r="K467" s="103"/>
      <c r="L467" s="103"/>
      <c r="M467" s="22"/>
      <c r="N467" s="22" t="str">
        <f>VLOOKUP(E467,Activities!$A$9:$M$227,13,FALSE)</f>
        <v>NL</v>
      </c>
      <c r="O467" s="22"/>
      <c r="P467" s="80" t="s">
        <v>415</v>
      </c>
      <c r="Q467" s="36"/>
      <c r="R467" s="36"/>
      <c r="S467" s="36"/>
      <c r="T467" s="36"/>
      <c r="U467" s="36"/>
      <c r="V467" s="36"/>
      <c r="W467" s="36"/>
      <c r="X467" s="36"/>
      <c r="Y467" s="36"/>
      <c r="Z467" s="36"/>
      <c r="AA467" s="36"/>
      <c r="AB467" s="36"/>
      <c r="AC467" s="36"/>
      <c r="AD467" s="36"/>
      <c r="AE467" s="36"/>
      <c r="AF467" s="35"/>
      <c r="AG467" s="35"/>
      <c r="AH467" s="35"/>
      <c r="AI467" s="35"/>
      <c r="AJ467" s="35"/>
      <c r="AK467" s="35"/>
      <c r="AL467" s="35"/>
      <c r="AM467" s="35"/>
      <c r="AN467" s="35"/>
      <c r="AO467" s="35"/>
      <c r="AP467" s="36"/>
      <c r="AQ467" s="36"/>
      <c r="AR467" s="36"/>
      <c r="AS467" s="36"/>
      <c r="AT467" s="36"/>
      <c r="AU467" s="36"/>
      <c r="AV467" s="36"/>
      <c r="AW467" s="36"/>
      <c r="AX467" s="36"/>
      <c r="AY467" s="36"/>
      <c r="AZ467" s="36"/>
      <c r="BA467" s="36"/>
      <c r="BB467" s="36"/>
      <c r="BC467" s="36"/>
      <c r="BD467" s="36"/>
      <c r="BE467" s="36"/>
      <c r="BF467" s="36"/>
      <c r="BG467" s="36"/>
      <c r="BH467" s="36"/>
      <c r="BI467" s="36"/>
      <c r="BJ467" s="36"/>
      <c r="BK467" s="36"/>
      <c r="BL467" s="36"/>
      <c r="BM467" s="36"/>
      <c r="BN467" s="36"/>
      <c r="BO467" s="36"/>
      <c r="BP467" s="36"/>
      <c r="BQ467" s="36"/>
      <c r="BR467" s="36"/>
      <c r="BS467" s="36"/>
      <c r="BT467" s="36"/>
      <c r="BU467" s="36"/>
      <c r="BV467" s="36"/>
      <c r="BW467" s="36"/>
      <c r="BX467" s="36"/>
      <c r="BY467" s="36"/>
      <c r="BZ467" s="36"/>
      <c r="CA467" s="36"/>
      <c r="CB467" s="36"/>
      <c r="CC467" s="36"/>
      <c r="CD467" s="36"/>
      <c r="CE467" s="36"/>
      <c r="CF467" s="36"/>
      <c r="CG467" s="36"/>
      <c r="CH467" s="36"/>
      <c r="CI467" s="36"/>
      <c r="CJ467" s="36"/>
      <c r="CK467" s="36"/>
      <c r="CL467" s="36"/>
      <c r="CM467" s="36"/>
      <c r="CN467" s="36"/>
      <c r="CO467" s="36"/>
      <c r="CP467" s="36"/>
      <c r="CQ467" s="36"/>
      <c r="CR467" s="36"/>
      <c r="CS467" s="36"/>
      <c r="CT467" s="36"/>
      <c r="CU467" s="36"/>
      <c r="CV467" s="36"/>
      <c r="CW467" s="36"/>
      <c r="CX467" s="36"/>
      <c r="CY467" s="36"/>
      <c r="CZ467" s="36"/>
      <c r="DA467" s="36"/>
      <c r="DB467" s="36"/>
      <c r="DC467" s="36"/>
      <c r="DD467" s="36"/>
      <c r="DE467" s="36"/>
      <c r="DF467" s="36"/>
      <c r="DG467" s="36"/>
      <c r="DH467" s="36"/>
      <c r="DI467" s="36"/>
      <c r="DJ467" s="36"/>
      <c r="DK467" s="36"/>
      <c r="DL467" s="36"/>
      <c r="DM467" s="36"/>
      <c r="DN467" s="36"/>
      <c r="DO467" s="36"/>
      <c r="DP467" s="36"/>
      <c r="DQ467" s="36"/>
      <c r="DR467" s="36"/>
      <c r="DS467" s="36"/>
      <c r="DT467" s="36"/>
      <c r="DU467" s="36"/>
      <c r="DV467" s="36"/>
      <c r="DW467" s="36"/>
      <c r="DX467" s="36"/>
      <c r="DY467" s="36"/>
      <c r="DZ467" s="36"/>
      <c r="EA467" s="36"/>
      <c r="EB467" s="36"/>
      <c r="EC467" s="36"/>
      <c r="ED467" s="36"/>
      <c r="EE467" s="36"/>
      <c r="EF467" s="36"/>
      <c r="EG467" s="36"/>
      <c r="EH467" s="36"/>
      <c r="EI467" s="36"/>
      <c r="EJ467" s="36"/>
      <c r="EK467" s="36"/>
      <c r="EL467" s="36"/>
      <c r="EM467" s="36"/>
      <c r="EN467" s="36"/>
      <c r="EO467" s="36"/>
      <c r="EP467" s="36"/>
      <c r="EQ467" s="36"/>
      <c r="ER467" s="36"/>
      <c r="ES467" s="36"/>
      <c r="ET467" s="36"/>
      <c r="EU467" s="36"/>
      <c r="EV467" s="36"/>
      <c r="EW467" s="36"/>
      <c r="EX467" s="36"/>
      <c r="EY467" s="36"/>
      <c r="EZ467" s="36"/>
      <c r="FA467" s="36"/>
      <c r="FB467" s="36"/>
      <c r="FC467" s="36"/>
      <c r="FD467" s="36"/>
      <c r="FE467" s="36"/>
      <c r="FF467" s="36"/>
      <c r="FG467" s="36"/>
      <c r="FH467" s="36"/>
      <c r="FI467" s="36"/>
      <c r="FJ467" s="36"/>
      <c r="FK467" s="36"/>
      <c r="FL467" s="36"/>
      <c r="FM467" s="36"/>
      <c r="FN467" s="36"/>
      <c r="FO467" s="36"/>
      <c r="FP467" s="36"/>
      <c r="FQ467" s="36"/>
      <c r="FR467" s="36">
        <v>-1</v>
      </c>
      <c r="FS467" s="36"/>
      <c r="FT467" s="36"/>
      <c r="FU467" s="36"/>
      <c r="FV467" s="36"/>
      <c r="FW467" s="36"/>
      <c r="FX467" s="36"/>
      <c r="FY467" s="36"/>
      <c r="FZ467" s="36"/>
      <c r="GA467" s="36"/>
      <c r="GB467" s="319"/>
      <c r="GC467" s="324"/>
      <c r="GD467" s="324"/>
      <c r="GE467" s="324">
        <v>1</v>
      </c>
      <c r="GF467" s="324"/>
      <c r="GG467" s="324"/>
    </row>
    <row r="468" spans="1:189" x14ac:dyDescent="0.35">
      <c r="A468" s="5" t="s">
        <v>1719</v>
      </c>
      <c r="B468" s="6" t="str">
        <f>IF(Technologies!B468&lt;&gt;0,Technologies!B468,"")</f>
        <v>Landbouw</v>
      </c>
      <c r="C468" s="5" t="str">
        <f>VLOOKUP($A468,Technologies!$A$7:$H$576,3,FALSE)</f>
        <v>Emission</v>
      </c>
      <c r="D468" s="5" t="str">
        <f>VLOOKUP($A468,Technologies!$A$7:$H$576,4,FALSE)</f>
        <v>Agriculture</v>
      </c>
      <c r="E468" s="5" t="str">
        <f>VLOOKUP($A468,Technologies!$A$7:$H$576,6,FALSE)</f>
        <v>Emitted neGHG - Agriculture - CH4</v>
      </c>
      <c r="F468" s="5" t="str">
        <f>VLOOKUP($A468,Technologies!$A$7:$H$576,7,FALSE)</f>
        <v>MACC Component 1 - neGHG CH4 Enteric Fermentation</v>
      </c>
      <c r="G468" s="23"/>
      <c r="H468" s="23"/>
      <c r="I468" s="104" cm="1">
        <f t="array" ref="I468">-SUMPRODUCT((Feedstocks!$C$4:$C$141=A468)*Feedstocks!$E$4:$E$141,Feedstocks!$F$4:$F$141,Feedstocks!$H$4:$H$141,Feedstocks!$I$4:$I$141)</f>
        <v>0</v>
      </c>
      <c r="J468" s="104" cm="1">
        <f t="array" ref="J468">-SUMPRODUCT((Feedstocks!$C$4:$C$141=A468)*Feedstocks!$E$4:$E$141,Feedstocks!$H$4:$H$141,Feedstocks!$I$4:$I$141)</f>
        <v>0</v>
      </c>
      <c r="K468" s="104"/>
      <c r="L468" s="104"/>
      <c r="M468" s="23"/>
      <c r="N468" s="23" t="str">
        <f>VLOOKUP(E468,Activities!$A$9:$M$227,13,FALSE)</f>
        <v>NL</v>
      </c>
      <c r="O468" s="23"/>
      <c r="P468" s="79" t="s">
        <v>415</v>
      </c>
      <c r="Q468" s="35"/>
      <c r="R468" s="35"/>
      <c r="S468" s="35"/>
      <c r="T468" s="35"/>
      <c r="U468" s="35"/>
      <c r="V468" s="35"/>
      <c r="W468" s="35"/>
      <c r="X468" s="35"/>
      <c r="Y468" s="35"/>
      <c r="Z468" s="35"/>
      <c r="AA468" s="35"/>
      <c r="AB468" s="35"/>
      <c r="AC468" s="35"/>
      <c r="AD468" s="35"/>
      <c r="AE468" s="35"/>
      <c r="AF468" s="36"/>
      <c r="AG468" s="36"/>
      <c r="AH468" s="36"/>
      <c r="AI468" s="36"/>
      <c r="AJ468" s="36"/>
      <c r="AK468" s="36"/>
      <c r="AL468" s="36"/>
      <c r="AM468" s="36"/>
      <c r="AN468" s="36"/>
      <c r="AO468" s="36"/>
      <c r="AP468" s="35"/>
      <c r="AQ468" s="35"/>
      <c r="AR468" s="35"/>
      <c r="AS468" s="35"/>
      <c r="AT468" s="35"/>
      <c r="AU468" s="35"/>
      <c r="AV468" s="35"/>
      <c r="AW468" s="35"/>
      <c r="AX468" s="35"/>
      <c r="AY468" s="35"/>
      <c r="AZ468" s="35"/>
      <c r="BA468" s="35"/>
      <c r="BB468" s="35"/>
      <c r="BC468" s="35"/>
      <c r="BD468" s="35"/>
      <c r="BE468" s="35"/>
      <c r="BF468" s="35"/>
      <c r="BG468" s="35"/>
      <c r="BH468" s="35"/>
      <c r="BI468" s="35"/>
      <c r="BJ468" s="35"/>
      <c r="BK468" s="35"/>
      <c r="BL468" s="35"/>
      <c r="BM468" s="35"/>
      <c r="BN468" s="35"/>
      <c r="BO468" s="35"/>
      <c r="BP468" s="35"/>
      <c r="BQ468" s="35"/>
      <c r="BR468" s="35"/>
      <c r="BS468" s="35"/>
      <c r="BT468" s="35"/>
      <c r="BU468" s="35"/>
      <c r="BV468" s="35"/>
      <c r="BW468" s="35"/>
      <c r="BX468" s="35"/>
      <c r="BY468" s="35"/>
      <c r="BZ468" s="35"/>
      <c r="CA468" s="35"/>
      <c r="CB468" s="35"/>
      <c r="CC468" s="35"/>
      <c r="CD468" s="35"/>
      <c r="CE468" s="35"/>
      <c r="CF468" s="35"/>
      <c r="CG468" s="35"/>
      <c r="CH468" s="35"/>
      <c r="CI468" s="35"/>
      <c r="CJ468" s="35"/>
      <c r="CK468" s="35"/>
      <c r="CL468" s="35"/>
      <c r="CM468" s="35"/>
      <c r="CN468" s="35"/>
      <c r="CO468" s="35"/>
      <c r="CP468" s="35"/>
      <c r="CQ468" s="35"/>
      <c r="CR468" s="35"/>
      <c r="CS468" s="35"/>
      <c r="CT468" s="35"/>
      <c r="CU468" s="35"/>
      <c r="CV468" s="35"/>
      <c r="CW468" s="35"/>
      <c r="CX468" s="35"/>
      <c r="CY468" s="35"/>
      <c r="CZ468" s="35"/>
      <c r="DA468" s="35"/>
      <c r="DB468" s="35"/>
      <c r="DC468" s="35"/>
      <c r="DD468" s="35"/>
      <c r="DE468" s="35"/>
      <c r="DF468" s="35"/>
      <c r="DG468" s="35"/>
      <c r="DH468" s="35"/>
      <c r="DI468" s="35"/>
      <c r="DJ468" s="35"/>
      <c r="DK468" s="35"/>
      <c r="DL468" s="35"/>
      <c r="DM468" s="35"/>
      <c r="DN468" s="35"/>
      <c r="DO468" s="35"/>
      <c r="DP468" s="35"/>
      <c r="DQ468" s="35"/>
      <c r="DR468" s="35"/>
      <c r="DS468" s="35"/>
      <c r="DT468" s="35"/>
      <c r="DU468" s="35"/>
      <c r="DV468" s="35"/>
      <c r="DW468" s="35"/>
      <c r="DX468" s="35"/>
      <c r="DY468" s="35"/>
      <c r="DZ468" s="35"/>
      <c r="EA468" s="35"/>
      <c r="EB468" s="35"/>
      <c r="EC468" s="35"/>
      <c r="ED468" s="35"/>
      <c r="EE468" s="35"/>
      <c r="EF468" s="35"/>
      <c r="EG468" s="35"/>
      <c r="EH468" s="35"/>
      <c r="EI468" s="35"/>
      <c r="EJ468" s="35"/>
      <c r="EK468" s="35"/>
      <c r="EL468" s="35"/>
      <c r="EM468" s="35"/>
      <c r="EN468" s="35"/>
      <c r="EO468" s="35"/>
      <c r="EP468" s="35"/>
      <c r="EQ468" s="35"/>
      <c r="ER468" s="35"/>
      <c r="ES468" s="35"/>
      <c r="ET468" s="35"/>
      <c r="EU468" s="35"/>
      <c r="EV468" s="35"/>
      <c r="EW468" s="35"/>
      <c r="EX468" s="35"/>
      <c r="EY468" s="35"/>
      <c r="EZ468" s="35"/>
      <c r="FA468" s="35"/>
      <c r="FB468" s="35"/>
      <c r="FC468" s="35"/>
      <c r="FD468" s="35"/>
      <c r="FE468" s="35"/>
      <c r="FF468" s="35"/>
      <c r="FG468" s="35"/>
      <c r="FH468" s="35"/>
      <c r="FI468" s="35"/>
      <c r="FJ468" s="35"/>
      <c r="FK468" s="35"/>
      <c r="FL468" s="35"/>
      <c r="FM468" s="35"/>
      <c r="FN468" s="35"/>
      <c r="FO468" s="35"/>
      <c r="FP468" s="35"/>
      <c r="FQ468" s="35"/>
      <c r="FR468" s="35">
        <v>-1</v>
      </c>
      <c r="FS468" s="35"/>
      <c r="FT468" s="35"/>
      <c r="FU468" s="35"/>
      <c r="FV468" s="35"/>
      <c r="FW468" s="35"/>
      <c r="FX468" s="35"/>
      <c r="FY468" s="35"/>
      <c r="FZ468" s="35"/>
      <c r="GA468" s="35"/>
      <c r="GB468" s="318"/>
      <c r="GC468" s="325"/>
      <c r="GD468" s="325"/>
      <c r="GE468" s="325"/>
      <c r="GF468" s="325"/>
      <c r="GG468" s="325"/>
    </row>
    <row r="469" spans="1:189" x14ac:dyDescent="0.35">
      <c r="A469" s="6" t="s">
        <v>1721</v>
      </c>
      <c r="B469" s="6" t="str">
        <f>IF(Technologies!B469&lt;&gt;0,Technologies!B469,"")</f>
        <v>Landbouw</v>
      </c>
      <c r="C469" s="6" t="str">
        <f>VLOOKUP($A469,Technologies!$A$7:$H$576,3,FALSE)</f>
        <v>Emission</v>
      </c>
      <c r="D469" s="6" t="str">
        <f>VLOOKUP($A469,Technologies!$A$7:$H$576,4,FALSE)</f>
        <v>Agriculture</v>
      </c>
      <c r="E469" s="6" t="str">
        <f>VLOOKUP($A469,Technologies!$A$7:$H$576,6,FALSE)</f>
        <v>Emitted neGHG - Agriculture - CH4</v>
      </c>
      <c r="F469" s="48" t="str">
        <f>VLOOKUP($A469,Technologies!$A$7:$H$576,7,FALSE)</f>
        <v>MACC Component 2 - neGHG CH4 Enteric Fermentation</v>
      </c>
      <c r="G469" s="22"/>
      <c r="H469" s="22"/>
      <c r="I469" s="103" cm="1">
        <f t="array" ref="I469">-SUMPRODUCT((Feedstocks!$C$4:$C$141=A469)*Feedstocks!$E$4:$E$141,Feedstocks!$F$4:$F$141,Feedstocks!$H$4:$H$141,Feedstocks!$I$4:$I$141)</f>
        <v>0</v>
      </c>
      <c r="J469" s="103" cm="1">
        <f t="array" ref="J469">-SUMPRODUCT((Feedstocks!$C$4:$C$141=A469)*Feedstocks!$E$4:$E$141,Feedstocks!$H$4:$H$141,Feedstocks!$I$4:$I$141)</f>
        <v>0</v>
      </c>
      <c r="K469" s="103"/>
      <c r="L469" s="103"/>
      <c r="M469" s="22"/>
      <c r="N469" s="22" t="str">
        <f>VLOOKUP(E469,Activities!$A$9:$M$227,13,FALSE)</f>
        <v>NL</v>
      </c>
      <c r="O469" s="22"/>
      <c r="P469" s="80" t="s">
        <v>415</v>
      </c>
      <c r="Q469" s="36"/>
      <c r="R469" s="36"/>
      <c r="S469" s="36"/>
      <c r="T469" s="36"/>
      <c r="U469" s="36"/>
      <c r="V469" s="36"/>
      <c r="W469" s="36"/>
      <c r="X469" s="36"/>
      <c r="Y469" s="36"/>
      <c r="Z469" s="36"/>
      <c r="AA469" s="36"/>
      <c r="AB469" s="36"/>
      <c r="AC469" s="36"/>
      <c r="AD469" s="36"/>
      <c r="AE469" s="36"/>
      <c r="AF469" s="35"/>
      <c r="AG469" s="35"/>
      <c r="AH469" s="35"/>
      <c r="AI469" s="35"/>
      <c r="AJ469" s="35"/>
      <c r="AK469" s="35"/>
      <c r="AL469" s="35"/>
      <c r="AM469" s="35"/>
      <c r="AN469" s="35"/>
      <c r="AO469" s="35"/>
      <c r="AP469" s="36"/>
      <c r="AQ469" s="36"/>
      <c r="AR469" s="36"/>
      <c r="AS469" s="36"/>
      <c r="AT469" s="36"/>
      <c r="AU469" s="36"/>
      <c r="AV469" s="36"/>
      <c r="AW469" s="36"/>
      <c r="AX469" s="36"/>
      <c r="AY469" s="36"/>
      <c r="AZ469" s="36"/>
      <c r="BA469" s="36"/>
      <c r="BB469" s="36"/>
      <c r="BC469" s="36"/>
      <c r="BD469" s="36"/>
      <c r="BE469" s="36"/>
      <c r="BF469" s="36"/>
      <c r="BG469" s="36"/>
      <c r="BH469" s="36"/>
      <c r="BI469" s="36"/>
      <c r="BJ469" s="36"/>
      <c r="BK469" s="36"/>
      <c r="BL469" s="36"/>
      <c r="BM469" s="36"/>
      <c r="BN469" s="36"/>
      <c r="BO469" s="36"/>
      <c r="BP469" s="36"/>
      <c r="BQ469" s="36"/>
      <c r="BR469" s="36"/>
      <c r="BS469" s="36"/>
      <c r="BT469" s="36"/>
      <c r="BU469" s="36"/>
      <c r="BV469" s="36"/>
      <c r="BW469" s="36"/>
      <c r="BX469" s="36"/>
      <c r="BY469" s="36"/>
      <c r="BZ469" s="36"/>
      <c r="CA469" s="36"/>
      <c r="CB469" s="36"/>
      <c r="CC469" s="36"/>
      <c r="CD469" s="36"/>
      <c r="CE469" s="36"/>
      <c r="CF469" s="36"/>
      <c r="CG469" s="36"/>
      <c r="CH469" s="36"/>
      <c r="CI469" s="36"/>
      <c r="CJ469" s="36"/>
      <c r="CK469" s="36"/>
      <c r="CL469" s="36"/>
      <c r="CM469" s="36"/>
      <c r="CN469" s="36"/>
      <c r="CO469" s="36"/>
      <c r="CP469" s="36"/>
      <c r="CQ469" s="36"/>
      <c r="CR469" s="36"/>
      <c r="CS469" s="36"/>
      <c r="CT469" s="36"/>
      <c r="CU469" s="36"/>
      <c r="CV469" s="36"/>
      <c r="CW469" s="36"/>
      <c r="CX469" s="36"/>
      <c r="CY469" s="36"/>
      <c r="CZ469" s="36"/>
      <c r="DA469" s="36"/>
      <c r="DB469" s="36"/>
      <c r="DC469" s="36"/>
      <c r="DD469" s="36"/>
      <c r="DE469" s="36"/>
      <c r="DF469" s="36"/>
      <c r="DG469" s="36"/>
      <c r="DH469" s="36"/>
      <c r="DI469" s="36"/>
      <c r="DJ469" s="36"/>
      <c r="DK469" s="36"/>
      <c r="DL469" s="36"/>
      <c r="DM469" s="36"/>
      <c r="DN469" s="36"/>
      <c r="DO469" s="36"/>
      <c r="DP469" s="36"/>
      <c r="DQ469" s="36"/>
      <c r="DR469" s="36"/>
      <c r="DS469" s="36"/>
      <c r="DT469" s="36"/>
      <c r="DU469" s="36"/>
      <c r="DV469" s="36"/>
      <c r="DW469" s="36"/>
      <c r="DX469" s="36"/>
      <c r="DY469" s="36"/>
      <c r="DZ469" s="36"/>
      <c r="EA469" s="36"/>
      <c r="EB469" s="36"/>
      <c r="EC469" s="36"/>
      <c r="ED469" s="36"/>
      <c r="EE469" s="36"/>
      <c r="EF469" s="36"/>
      <c r="EG469" s="36"/>
      <c r="EH469" s="36"/>
      <c r="EI469" s="36"/>
      <c r="EJ469" s="36"/>
      <c r="EK469" s="36"/>
      <c r="EL469" s="36"/>
      <c r="EM469" s="36"/>
      <c r="EN469" s="36"/>
      <c r="EO469" s="36"/>
      <c r="EP469" s="36"/>
      <c r="EQ469" s="36"/>
      <c r="ER469" s="36"/>
      <c r="ES469" s="36"/>
      <c r="ET469" s="36"/>
      <c r="EU469" s="36"/>
      <c r="EV469" s="36"/>
      <c r="EW469" s="36"/>
      <c r="EX469" s="36"/>
      <c r="EY469" s="36"/>
      <c r="EZ469" s="36"/>
      <c r="FA469" s="36"/>
      <c r="FB469" s="36"/>
      <c r="FC469" s="36"/>
      <c r="FD469" s="36"/>
      <c r="FE469" s="36"/>
      <c r="FF469" s="36"/>
      <c r="FG469" s="36"/>
      <c r="FH469" s="36"/>
      <c r="FI469" s="36"/>
      <c r="FJ469" s="36"/>
      <c r="FK469" s="36"/>
      <c r="FL469" s="36"/>
      <c r="FM469" s="36"/>
      <c r="FN469" s="36"/>
      <c r="FO469" s="36"/>
      <c r="FP469" s="36"/>
      <c r="FQ469" s="36"/>
      <c r="FR469" s="36">
        <v>-1</v>
      </c>
      <c r="FS469" s="36"/>
      <c r="FT469" s="36"/>
      <c r="FU469" s="36"/>
      <c r="FV469" s="36"/>
      <c r="FW469" s="36"/>
      <c r="FX469" s="36"/>
      <c r="FY469" s="36"/>
      <c r="FZ469" s="36"/>
      <c r="GA469" s="36"/>
      <c r="GB469" s="319"/>
      <c r="GC469" s="324"/>
      <c r="GD469" s="324"/>
      <c r="GE469" s="324"/>
      <c r="GF469" s="324"/>
      <c r="GG469" s="324"/>
    </row>
    <row r="470" spans="1:189" x14ac:dyDescent="0.35">
      <c r="A470" s="5" t="s">
        <v>1723</v>
      </c>
      <c r="B470" s="6" t="str">
        <f>IF(Technologies!B470&lt;&gt;0,Technologies!B470,"")</f>
        <v>Landbouw</v>
      </c>
      <c r="C470" s="5" t="str">
        <f>VLOOKUP($A470,Technologies!$A$7:$H$576,3,FALSE)</f>
        <v>Emission</v>
      </c>
      <c r="D470" s="5" t="str">
        <f>VLOOKUP($A470,Technologies!$A$7:$H$576,4,FALSE)</f>
        <v>Agriculture</v>
      </c>
      <c r="E470" s="5" t="str">
        <f>VLOOKUP($A470,Technologies!$A$7:$H$576,6,FALSE)</f>
        <v>Emitted neGHG - Agriculture - CH4</v>
      </c>
      <c r="F470" s="5" t="str">
        <f>VLOOKUP($A470,Technologies!$A$7:$H$576,7,FALSE)</f>
        <v>MACC Component 3 - neGHG CH4 Enteric Fermentation</v>
      </c>
      <c r="G470" s="23"/>
      <c r="H470" s="23"/>
      <c r="I470" s="104" cm="1">
        <f t="array" ref="I470">-SUMPRODUCT((Feedstocks!$C$4:$C$141=A470)*Feedstocks!$E$4:$E$141,Feedstocks!$F$4:$F$141,Feedstocks!$H$4:$H$141,Feedstocks!$I$4:$I$141)</f>
        <v>0</v>
      </c>
      <c r="J470" s="104" cm="1">
        <f t="array" ref="J470">-SUMPRODUCT((Feedstocks!$C$4:$C$141=A470)*Feedstocks!$E$4:$E$141,Feedstocks!$H$4:$H$141,Feedstocks!$I$4:$I$141)</f>
        <v>0</v>
      </c>
      <c r="K470" s="104"/>
      <c r="L470" s="104">
        <v>1</v>
      </c>
      <c r="M470" s="23"/>
      <c r="N470" s="23" t="str">
        <f>VLOOKUP(E470,Activities!$A$9:$M$227,13,FALSE)</f>
        <v>NL</v>
      </c>
      <c r="O470" s="23"/>
      <c r="P470" s="79" t="s">
        <v>415</v>
      </c>
      <c r="Q470" s="35"/>
      <c r="R470" s="35"/>
      <c r="S470" s="35"/>
      <c r="T470" s="35"/>
      <c r="U470" s="35"/>
      <c r="V470" s="35"/>
      <c r="W470" s="35"/>
      <c r="X470" s="35"/>
      <c r="Y470" s="35"/>
      <c r="Z470" s="35"/>
      <c r="AA470" s="35"/>
      <c r="AB470" s="35"/>
      <c r="AC470" s="35"/>
      <c r="AD470" s="35"/>
      <c r="AE470" s="35"/>
      <c r="AF470" s="36"/>
      <c r="AG470" s="36"/>
      <c r="AH470" s="36"/>
      <c r="AI470" s="36"/>
      <c r="AJ470" s="36"/>
      <c r="AK470" s="36"/>
      <c r="AL470" s="36"/>
      <c r="AM470" s="36"/>
      <c r="AN470" s="36"/>
      <c r="AO470" s="36"/>
      <c r="AP470" s="35"/>
      <c r="AQ470" s="35"/>
      <c r="AR470" s="35"/>
      <c r="AS470" s="35"/>
      <c r="AT470" s="35"/>
      <c r="AU470" s="35"/>
      <c r="AV470" s="35"/>
      <c r="AW470" s="35"/>
      <c r="AX470" s="35"/>
      <c r="AY470" s="35"/>
      <c r="AZ470" s="35"/>
      <c r="BA470" s="35"/>
      <c r="BB470" s="35"/>
      <c r="BC470" s="35"/>
      <c r="BD470" s="35"/>
      <c r="BE470" s="35"/>
      <c r="BF470" s="35"/>
      <c r="BG470" s="35"/>
      <c r="BH470" s="35"/>
      <c r="BI470" s="35"/>
      <c r="BJ470" s="35"/>
      <c r="BK470" s="35"/>
      <c r="BL470" s="35"/>
      <c r="BM470" s="35"/>
      <c r="BN470" s="35"/>
      <c r="BO470" s="35"/>
      <c r="BP470" s="35"/>
      <c r="BQ470" s="35"/>
      <c r="BR470" s="35"/>
      <c r="BS470" s="35"/>
      <c r="BT470" s="35"/>
      <c r="BU470" s="35"/>
      <c r="BV470" s="35"/>
      <c r="BW470" s="35"/>
      <c r="BX470" s="35"/>
      <c r="BY470" s="35"/>
      <c r="BZ470" s="35"/>
      <c r="CA470" s="35"/>
      <c r="CB470" s="35"/>
      <c r="CC470" s="35"/>
      <c r="CD470" s="35"/>
      <c r="CE470" s="35"/>
      <c r="CF470" s="35"/>
      <c r="CG470" s="35"/>
      <c r="CH470" s="35"/>
      <c r="CI470" s="35"/>
      <c r="CJ470" s="35"/>
      <c r="CK470" s="35"/>
      <c r="CL470" s="35"/>
      <c r="CM470" s="35"/>
      <c r="CN470" s="35"/>
      <c r="CO470" s="35"/>
      <c r="CP470" s="35"/>
      <c r="CQ470" s="35"/>
      <c r="CR470" s="35"/>
      <c r="CS470" s="35"/>
      <c r="CT470" s="35"/>
      <c r="CU470" s="35"/>
      <c r="CV470" s="35"/>
      <c r="CW470" s="35"/>
      <c r="CX470" s="35"/>
      <c r="CY470" s="35"/>
      <c r="CZ470" s="35"/>
      <c r="DA470" s="35"/>
      <c r="DB470" s="35"/>
      <c r="DC470" s="35"/>
      <c r="DD470" s="35"/>
      <c r="DE470" s="35"/>
      <c r="DF470" s="35"/>
      <c r="DG470" s="35"/>
      <c r="DH470" s="35"/>
      <c r="DI470" s="35"/>
      <c r="DJ470" s="35"/>
      <c r="DK470" s="35"/>
      <c r="DL470" s="35"/>
      <c r="DM470" s="35"/>
      <c r="DN470" s="35"/>
      <c r="DO470" s="35"/>
      <c r="DP470" s="35"/>
      <c r="DQ470" s="35"/>
      <c r="DR470" s="35"/>
      <c r="DS470" s="35"/>
      <c r="DT470" s="35"/>
      <c r="DU470" s="35"/>
      <c r="DV470" s="35"/>
      <c r="DW470" s="35"/>
      <c r="DX470" s="35"/>
      <c r="DY470" s="35"/>
      <c r="DZ470" s="35"/>
      <c r="EA470" s="35"/>
      <c r="EB470" s="35"/>
      <c r="EC470" s="35"/>
      <c r="ED470" s="35"/>
      <c r="EE470" s="35"/>
      <c r="EF470" s="35"/>
      <c r="EG470" s="35"/>
      <c r="EH470" s="35"/>
      <c r="EI470" s="35"/>
      <c r="EJ470" s="35"/>
      <c r="EK470" s="35"/>
      <c r="EL470" s="35"/>
      <c r="EM470" s="35"/>
      <c r="EN470" s="35"/>
      <c r="EO470" s="35"/>
      <c r="EP470" s="35"/>
      <c r="EQ470" s="35"/>
      <c r="ER470" s="35"/>
      <c r="ES470" s="35"/>
      <c r="ET470" s="35"/>
      <c r="EU470" s="35"/>
      <c r="EV470" s="35"/>
      <c r="EW470" s="35"/>
      <c r="EX470" s="35"/>
      <c r="EY470" s="35"/>
      <c r="EZ470" s="35"/>
      <c r="FA470" s="35"/>
      <c r="FB470" s="35"/>
      <c r="FC470" s="35"/>
      <c r="FD470" s="35"/>
      <c r="FE470" s="35"/>
      <c r="FF470" s="35"/>
      <c r="FG470" s="35"/>
      <c r="FH470" s="35"/>
      <c r="FI470" s="35"/>
      <c r="FJ470" s="35"/>
      <c r="FK470" s="35"/>
      <c r="FL470" s="35"/>
      <c r="FM470" s="35"/>
      <c r="FN470" s="35"/>
      <c r="FO470" s="35"/>
      <c r="FP470" s="35"/>
      <c r="FQ470" s="35"/>
      <c r="FR470" s="35">
        <v>-1</v>
      </c>
      <c r="FS470" s="35"/>
      <c r="FT470" s="35"/>
      <c r="FU470" s="35"/>
      <c r="FV470" s="35"/>
      <c r="FW470" s="35"/>
      <c r="FX470" s="35"/>
      <c r="FY470" s="35"/>
      <c r="FZ470" s="35"/>
      <c r="GA470" s="35"/>
      <c r="GB470" s="318"/>
      <c r="GC470" s="325"/>
      <c r="GD470" s="325"/>
      <c r="GE470" s="325"/>
      <c r="GF470" s="325"/>
      <c r="GG470" s="325"/>
    </row>
    <row r="471" spans="1:189" x14ac:dyDescent="0.35">
      <c r="A471" s="6" t="s">
        <v>1725</v>
      </c>
      <c r="B471" s="6" t="str">
        <f>IF(Technologies!B471&lt;&gt;0,Technologies!B471,"")</f>
        <v>Landbouw</v>
      </c>
      <c r="C471" s="6" t="str">
        <f>VLOOKUP($A471,Technologies!$A$7:$H$576,3,FALSE)</f>
        <v>Emission</v>
      </c>
      <c r="D471" s="6" t="str">
        <f>VLOOKUP($A471,Technologies!$A$7:$H$576,4,FALSE)</f>
        <v>Agriculture</v>
      </c>
      <c r="E471" s="6" t="str">
        <f>VLOOKUP($A471,Technologies!$A$7:$H$576,6,FALSE)</f>
        <v>Emitted neGHG - Agriculture - CH4</v>
      </c>
      <c r="F471" s="48" t="str">
        <f>VLOOKUP($A471,Technologies!$A$7:$H$576,7,FALSE)</f>
        <v>MACC Component 1 - neGHG CH4 Manure Management</v>
      </c>
      <c r="G471" s="22"/>
      <c r="H471" s="22"/>
      <c r="I471" s="103" cm="1">
        <f t="array" ref="I471">-SUMPRODUCT((Feedstocks!$C$4:$C$141=A471)*Feedstocks!$E$4:$E$141,Feedstocks!$F$4:$F$141,Feedstocks!$H$4:$H$141,Feedstocks!$I$4:$I$141)</f>
        <v>0</v>
      </c>
      <c r="J471" s="103" cm="1">
        <f t="array" ref="J471">-SUMPRODUCT((Feedstocks!$C$4:$C$141=A471)*Feedstocks!$E$4:$E$141,Feedstocks!$H$4:$H$141,Feedstocks!$I$4:$I$141)</f>
        <v>0</v>
      </c>
      <c r="K471" s="103"/>
      <c r="L471" s="103"/>
      <c r="M471" s="22"/>
      <c r="N471" s="22" t="str">
        <f>VLOOKUP(E471,Activities!$A$9:$M$227,13,FALSE)</f>
        <v>NL</v>
      </c>
      <c r="O471" s="22"/>
      <c r="P471" s="80" t="s">
        <v>1519</v>
      </c>
      <c r="Q471" s="36"/>
      <c r="R471" s="36"/>
      <c r="S471" s="36"/>
      <c r="T471" s="36"/>
      <c r="U471" s="36"/>
      <c r="V471" s="36"/>
      <c r="W471" s="36"/>
      <c r="X471" s="36"/>
      <c r="Y471" s="36"/>
      <c r="Z471" s="36"/>
      <c r="AA471" s="36"/>
      <c r="AB471" s="36"/>
      <c r="AC471" s="36"/>
      <c r="AD471" s="36"/>
      <c r="AE471" s="36"/>
      <c r="AF471" s="35"/>
      <c r="AG471" s="35"/>
      <c r="AH471" s="35"/>
      <c r="AI471" s="35"/>
      <c r="AJ471" s="35"/>
      <c r="AK471" s="35"/>
      <c r="AL471" s="35"/>
      <c r="AM471" s="35"/>
      <c r="AN471" s="35"/>
      <c r="AO471" s="35"/>
      <c r="AP471" s="36"/>
      <c r="AQ471" s="36"/>
      <c r="AR471" s="36"/>
      <c r="AS471" s="36"/>
      <c r="AT471" s="36"/>
      <c r="AU471" s="36"/>
      <c r="AV471" s="36"/>
      <c r="AW471" s="36"/>
      <c r="AX471" s="36"/>
      <c r="AY471" s="36"/>
      <c r="AZ471" s="36"/>
      <c r="BA471" s="36"/>
      <c r="BB471" s="36"/>
      <c r="BC471" s="36"/>
      <c r="BD471" s="36"/>
      <c r="BE471" s="36"/>
      <c r="BF471" s="36"/>
      <c r="BG471" s="36"/>
      <c r="BH471" s="36"/>
      <c r="BI471" s="36"/>
      <c r="BJ471" s="36"/>
      <c r="BK471" s="36"/>
      <c r="BL471" s="36"/>
      <c r="BM471" s="36"/>
      <c r="BN471" s="36"/>
      <c r="BO471" s="36"/>
      <c r="BP471" s="36"/>
      <c r="BQ471" s="36"/>
      <c r="BR471" s="36"/>
      <c r="BS471" s="36"/>
      <c r="BT471" s="36"/>
      <c r="BU471" s="36"/>
      <c r="BV471" s="36"/>
      <c r="BW471" s="36"/>
      <c r="BX471" s="36"/>
      <c r="BY471" s="36"/>
      <c r="BZ471" s="36"/>
      <c r="CA471" s="36"/>
      <c r="CB471" s="36"/>
      <c r="CC471" s="36"/>
      <c r="CD471" s="36"/>
      <c r="CE471" s="36"/>
      <c r="CF471" s="36"/>
      <c r="CG471" s="36"/>
      <c r="CH471" s="36"/>
      <c r="CI471" s="36"/>
      <c r="CJ471" s="36"/>
      <c r="CK471" s="36"/>
      <c r="CL471" s="36"/>
      <c r="CM471" s="36"/>
      <c r="CN471" s="36"/>
      <c r="CO471" s="36"/>
      <c r="CP471" s="36"/>
      <c r="CQ471" s="36"/>
      <c r="CR471" s="36"/>
      <c r="CS471" s="36"/>
      <c r="CT471" s="36"/>
      <c r="CU471" s="36"/>
      <c r="CV471" s="36"/>
      <c r="CW471" s="36"/>
      <c r="CX471" s="36"/>
      <c r="CY471" s="36"/>
      <c r="CZ471" s="36"/>
      <c r="DA471" s="36"/>
      <c r="DB471" s="36"/>
      <c r="DC471" s="36"/>
      <c r="DD471" s="36"/>
      <c r="DE471" s="36"/>
      <c r="DF471" s="36"/>
      <c r="DG471" s="36"/>
      <c r="DH471" s="36"/>
      <c r="DI471" s="36"/>
      <c r="DJ471" s="36"/>
      <c r="DK471" s="36"/>
      <c r="DL471" s="36"/>
      <c r="DM471" s="36"/>
      <c r="DN471" s="36"/>
      <c r="DO471" s="36"/>
      <c r="DP471" s="36"/>
      <c r="DQ471" s="36"/>
      <c r="DR471" s="36"/>
      <c r="DS471" s="36"/>
      <c r="DT471" s="36"/>
      <c r="DU471" s="36"/>
      <c r="DV471" s="36"/>
      <c r="DW471" s="36"/>
      <c r="DX471" s="36"/>
      <c r="DY471" s="36"/>
      <c r="DZ471" s="36"/>
      <c r="EA471" s="36"/>
      <c r="EB471" s="36"/>
      <c r="EC471" s="36"/>
      <c r="ED471" s="36"/>
      <c r="EE471" s="36"/>
      <c r="EF471" s="36"/>
      <c r="EG471" s="36"/>
      <c r="EH471" s="36"/>
      <c r="EI471" s="36"/>
      <c r="EJ471" s="36"/>
      <c r="EK471" s="36"/>
      <c r="EL471" s="36"/>
      <c r="EM471" s="36"/>
      <c r="EN471" s="36"/>
      <c r="EO471" s="36"/>
      <c r="EP471" s="36"/>
      <c r="EQ471" s="36"/>
      <c r="ER471" s="36"/>
      <c r="ES471" s="36"/>
      <c r="ET471" s="36"/>
      <c r="EU471" s="36"/>
      <c r="EV471" s="36"/>
      <c r="EW471" s="36"/>
      <c r="EX471" s="36"/>
      <c r="EY471" s="36"/>
      <c r="EZ471" s="36"/>
      <c r="FA471" s="36"/>
      <c r="FB471" s="36"/>
      <c r="FC471" s="36"/>
      <c r="FD471" s="36"/>
      <c r="FE471" s="36"/>
      <c r="FF471" s="36"/>
      <c r="FG471" s="36"/>
      <c r="FH471" s="36"/>
      <c r="FI471" s="36"/>
      <c r="FJ471" s="36"/>
      <c r="FK471" s="36"/>
      <c r="FL471" s="36"/>
      <c r="FM471" s="36"/>
      <c r="FN471" s="36"/>
      <c r="FO471" s="36"/>
      <c r="FP471" s="36"/>
      <c r="FQ471" s="36"/>
      <c r="FR471" s="36">
        <v>-1</v>
      </c>
      <c r="FS471" s="36"/>
      <c r="FT471" s="36"/>
      <c r="FU471" s="36"/>
      <c r="FV471" s="36"/>
      <c r="FW471" s="36"/>
      <c r="FX471" s="36"/>
      <c r="FY471" s="36"/>
      <c r="FZ471" s="36"/>
      <c r="GA471" s="36"/>
      <c r="GB471" s="319"/>
      <c r="GC471" s="324"/>
      <c r="GD471" s="324"/>
      <c r="GE471" s="324"/>
      <c r="GF471" s="324"/>
      <c r="GG471" s="324"/>
    </row>
    <row r="472" spans="1:189" x14ac:dyDescent="0.35">
      <c r="A472" s="5" t="s">
        <v>1727</v>
      </c>
      <c r="B472" s="6" t="str">
        <f>IF(Technologies!B472&lt;&gt;0,Technologies!B472,"")</f>
        <v>Landbouw</v>
      </c>
      <c r="C472" s="5" t="str">
        <f>VLOOKUP($A472,Technologies!$A$7:$H$576,3,FALSE)</f>
        <v>Emission</v>
      </c>
      <c r="D472" s="5" t="str">
        <f>VLOOKUP($A472,Technologies!$A$7:$H$576,4,FALSE)</f>
        <v>Agriculture</v>
      </c>
      <c r="E472" s="5" t="str">
        <f>VLOOKUP($A472,Technologies!$A$7:$H$576,6,FALSE)</f>
        <v>Emitted neGHG - Agriculture - CH4</v>
      </c>
      <c r="F472" s="5" t="str">
        <f>VLOOKUP($A472,Technologies!$A$7:$H$576,7,FALSE)</f>
        <v>MACC Component 2 - neGHG CH4 Manure Management</v>
      </c>
      <c r="G472" s="23"/>
      <c r="H472" s="23"/>
      <c r="I472" s="104" cm="1">
        <f t="array" ref="I472">-SUMPRODUCT((Feedstocks!$C$4:$C$141=A472)*Feedstocks!$E$4:$E$141,Feedstocks!$F$4:$F$141,Feedstocks!$H$4:$H$141,Feedstocks!$I$4:$I$141)</f>
        <v>0</v>
      </c>
      <c r="J472" s="104" cm="1">
        <f t="array" ref="J472">-SUMPRODUCT((Feedstocks!$C$4:$C$141=A472)*Feedstocks!$E$4:$E$141,Feedstocks!$H$4:$H$141,Feedstocks!$I$4:$I$141)</f>
        <v>0</v>
      </c>
      <c r="K472" s="104"/>
      <c r="L472" s="104"/>
      <c r="M472" s="23"/>
      <c r="N472" s="23" t="str">
        <f>VLOOKUP(E472,Activities!$A$9:$M$227,13,FALSE)</f>
        <v>NL</v>
      </c>
      <c r="O472" s="23"/>
      <c r="P472" s="79" t="s">
        <v>415</v>
      </c>
      <c r="Q472" s="35"/>
      <c r="R472" s="35"/>
      <c r="S472" s="35"/>
      <c r="T472" s="35"/>
      <c r="U472" s="35"/>
      <c r="V472" s="35"/>
      <c r="W472" s="35"/>
      <c r="X472" s="35"/>
      <c r="Y472" s="35"/>
      <c r="Z472" s="35"/>
      <c r="AA472" s="35"/>
      <c r="AB472" s="35"/>
      <c r="AC472" s="35"/>
      <c r="AD472" s="35"/>
      <c r="AE472" s="35"/>
      <c r="AF472" s="36"/>
      <c r="AG472" s="36"/>
      <c r="AH472" s="36"/>
      <c r="AI472" s="36"/>
      <c r="AJ472" s="36"/>
      <c r="AK472" s="36"/>
      <c r="AL472" s="36"/>
      <c r="AM472" s="36"/>
      <c r="AN472" s="36"/>
      <c r="AO472" s="36"/>
      <c r="AP472" s="35"/>
      <c r="AQ472" s="35"/>
      <c r="AR472" s="35"/>
      <c r="AS472" s="35"/>
      <c r="AT472" s="35"/>
      <c r="AU472" s="35"/>
      <c r="AV472" s="35"/>
      <c r="AW472" s="35"/>
      <c r="AX472" s="35"/>
      <c r="AY472" s="35"/>
      <c r="AZ472" s="35"/>
      <c r="BA472" s="35"/>
      <c r="BB472" s="35"/>
      <c r="BC472" s="35"/>
      <c r="BD472" s="35"/>
      <c r="BE472" s="35"/>
      <c r="BF472" s="35"/>
      <c r="BG472" s="35"/>
      <c r="BH472" s="35"/>
      <c r="BI472" s="35"/>
      <c r="BJ472" s="35"/>
      <c r="BK472" s="35"/>
      <c r="BL472" s="35"/>
      <c r="BM472" s="35"/>
      <c r="BN472" s="35"/>
      <c r="BO472" s="35"/>
      <c r="BP472" s="35"/>
      <c r="BQ472" s="35"/>
      <c r="BR472" s="35"/>
      <c r="BS472" s="35"/>
      <c r="BT472" s="35"/>
      <c r="BU472" s="35"/>
      <c r="BV472" s="35"/>
      <c r="BW472" s="35"/>
      <c r="BX472" s="35"/>
      <c r="BY472" s="35"/>
      <c r="BZ472" s="35"/>
      <c r="CA472" s="35"/>
      <c r="CB472" s="35"/>
      <c r="CC472" s="35"/>
      <c r="CD472" s="35"/>
      <c r="CE472" s="35"/>
      <c r="CF472" s="35"/>
      <c r="CG472" s="35"/>
      <c r="CH472" s="35"/>
      <c r="CI472" s="35"/>
      <c r="CJ472" s="35"/>
      <c r="CK472" s="35"/>
      <c r="CL472" s="35"/>
      <c r="CM472" s="35"/>
      <c r="CN472" s="35"/>
      <c r="CO472" s="35"/>
      <c r="CP472" s="35"/>
      <c r="CQ472" s="35"/>
      <c r="CR472" s="35"/>
      <c r="CS472" s="35"/>
      <c r="CT472" s="35"/>
      <c r="CU472" s="35"/>
      <c r="CV472" s="35"/>
      <c r="CW472" s="35"/>
      <c r="CX472" s="35"/>
      <c r="CY472" s="35"/>
      <c r="CZ472" s="35"/>
      <c r="DA472" s="35"/>
      <c r="DB472" s="35"/>
      <c r="DC472" s="35"/>
      <c r="DD472" s="35"/>
      <c r="DE472" s="35"/>
      <c r="DF472" s="35"/>
      <c r="DG472" s="35"/>
      <c r="DH472" s="35"/>
      <c r="DI472" s="35"/>
      <c r="DJ472" s="35"/>
      <c r="DK472" s="35"/>
      <c r="DL472" s="35"/>
      <c r="DM472" s="35"/>
      <c r="DN472" s="35"/>
      <c r="DO472" s="35"/>
      <c r="DP472" s="35"/>
      <c r="DQ472" s="35"/>
      <c r="DR472" s="35"/>
      <c r="DS472" s="35"/>
      <c r="DT472" s="35"/>
      <c r="DU472" s="35"/>
      <c r="DV472" s="35"/>
      <c r="DW472" s="35"/>
      <c r="DX472" s="35"/>
      <c r="DY472" s="35"/>
      <c r="DZ472" s="35"/>
      <c r="EA472" s="35"/>
      <c r="EB472" s="35"/>
      <c r="EC472" s="35"/>
      <c r="ED472" s="35"/>
      <c r="EE472" s="35"/>
      <c r="EF472" s="35"/>
      <c r="EG472" s="35"/>
      <c r="EH472" s="35"/>
      <c r="EI472" s="35"/>
      <c r="EJ472" s="35"/>
      <c r="EK472" s="35"/>
      <c r="EL472" s="35"/>
      <c r="EM472" s="35"/>
      <c r="EN472" s="35"/>
      <c r="EO472" s="35"/>
      <c r="EP472" s="35"/>
      <c r="EQ472" s="35"/>
      <c r="ER472" s="35"/>
      <c r="ES472" s="35"/>
      <c r="ET472" s="35"/>
      <c r="EU472" s="35"/>
      <c r="EV472" s="35"/>
      <c r="EW472" s="35"/>
      <c r="EX472" s="35"/>
      <c r="EY472" s="35"/>
      <c r="EZ472" s="35"/>
      <c r="FA472" s="35"/>
      <c r="FB472" s="35"/>
      <c r="FC472" s="35"/>
      <c r="FD472" s="35"/>
      <c r="FE472" s="35"/>
      <c r="FF472" s="35"/>
      <c r="FG472" s="35"/>
      <c r="FH472" s="35"/>
      <c r="FI472" s="35"/>
      <c r="FJ472" s="35"/>
      <c r="FK472" s="35"/>
      <c r="FL472" s="35"/>
      <c r="FM472" s="35"/>
      <c r="FN472" s="35"/>
      <c r="FO472" s="35"/>
      <c r="FP472" s="35"/>
      <c r="FQ472" s="35"/>
      <c r="FR472" s="35">
        <v>-1</v>
      </c>
      <c r="FS472" s="35"/>
      <c r="FT472" s="35"/>
      <c r="FU472" s="35"/>
      <c r="FV472" s="35"/>
      <c r="FW472" s="35"/>
      <c r="FX472" s="35"/>
      <c r="FY472" s="35"/>
      <c r="FZ472" s="35"/>
      <c r="GA472" s="35"/>
      <c r="GB472" s="318"/>
      <c r="GC472" s="325"/>
      <c r="GD472" s="325"/>
      <c r="GE472" s="325"/>
      <c r="GF472" s="325"/>
      <c r="GG472" s="325"/>
    </row>
    <row r="473" spans="1:189" x14ac:dyDescent="0.35">
      <c r="A473" s="6" t="s">
        <v>1729</v>
      </c>
      <c r="B473" s="6" t="str">
        <f>IF(Technologies!B473&lt;&gt;0,Technologies!B473,"")</f>
        <v>Landbouw</v>
      </c>
      <c r="C473" s="6" t="str">
        <f>VLOOKUP($A473,Technologies!$A$7:$H$576,3,FALSE)</f>
        <v>Emission</v>
      </c>
      <c r="D473" s="6" t="str">
        <f>VLOOKUP($A473,Technologies!$A$7:$H$576,4,FALSE)</f>
        <v>Agriculture</v>
      </c>
      <c r="E473" s="6" t="str">
        <f>VLOOKUP($A473,Technologies!$A$7:$H$576,6,FALSE)</f>
        <v>Emitted neGHG - Agriculture - CH4</v>
      </c>
      <c r="F473" s="48" t="str">
        <f>VLOOKUP($A473,Technologies!$A$7:$H$576,7,FALSE)</f>
        <v>MACC Component 1 - neGHG CH4 Other</v>
      </c>
      <c r="G473" s="22"/>
      <c r="H473" s="22"/>
      <c r="I473" s="103" cm="1">
        <f t="array" ref="I473">-SUMPRODUCT((Feedstocks!$C$4:$C$141=A473)*Feedstocks!$E$4:$E$141,Feedstocks!$F$4:$F$141,Feedstocks!$H$4:$H$141,Feedstocks!$I$4:$I$141)</f>
        <v>0</v>
      </c>
      <c r="J473" s="103" cm="1">
        <f t="array" ref="J473">-SUMPRODUCT((Feedstocks!$C$4:$C$141=A473)*Feedstocks!$E$4:$E$141,Feedstocks!$H$4:$H$141,Feedstocks!$I$4:$I$141)</f>
        <v>0</v>
      </c>
      <c r="K473" s="103"/>
      <c r="L473" s="103"/>
      <c r="M473" s="22"/>
      <c r="N473" s="22" t="str">
        <f>VLOOKUP(E473,Activities!$A$9:$M$227,13,FALSE)</f>
        <v>NL</v>
      </c>
      <c r="O473" s="22"/>
      <c r="P473" s="80" t="s">
        <v>415</v>
      </c>
      <c r="Q473" s="36"/>
      <c r="R473" s="36"/>
      <c r="S473" s="36"/>
      <c r="T473" s="36"/>
      <c r="U473" s="36"/>
      <c r="V473" s="36"/>
      <c r="W473" s="36"/>
      <c r="X473" s="36"/>
      <c r="Y473" s="36"/>
      <c r="Z473" s="36"/>
      <c r="AA473" s="36"/>
      <c r="AB473" s="36"/>
      <c r="AC473" s="36"/>
      <c r="AD473" s="36"/>
      <c r="AE473" s="36"/>
      <c r="AF473" s="35"/>
      <c r="AG473" s="35"/>
      <c r="AH473" s="35"/>
      <c r="AI473" s="35"/>
      <c r="AJ473" s="35"/>
      <c r="AK473" s="35"/>
      <c r="AL473" s="35"/>
      <c r="AM473" s="35"/>
      <c r="AN473" s="35"/>
      <c r="AO473" s="35"/>
      <c r="AP473" s="36"/>
      <c r="AQ473" s="36"/>
      <c r="AR473" s="36"/>
      <c r="AS473" s="36"/>
      <c r="AT473" s="36"/>
      <c r="AU473" s="36"/>
      <c r="AV473" s="36"/>
      <c r="AW473" s="36"/>
      <c r="AX473" s="36"/>
      <c r="AY473" s="36"/>
      <c r="AZ473" s="36"/>
      <c r="BA473" s="36"/>
      <c r="BB473" s="36"/>
      <c r="BC473" s="36"/>
      <c r="BD473" s="36"/>
      <c r="BE473" s="36"/>
      <c r="BF473" s="36"/>
      <c r="BG473" s="36"/>
      <c r="BH473" s="36"/>
      <c r="BI473" s="36"/>
      <c r="BJ473" s="36"/>
      <c r="BK473" s="36"/>
      <c r="BL473" s="36"/>
      <c r="BM473" s="36"/>
      <c r="BN473" s="36"/>
      <c r="BO473" s="36"/>
      <c r="BP473" s="36"/>
      <c r="BQ473" s="36"/>
      <c r="BR473" s="36"/>
      <c r="BS473" s="36"/>
      <c r="BT473" s="36"/>
      <c r="BU473" s="36"/>
      <c r="BV473" s="36"/>
      <c r="BW473" s="36"/>
      <c r="BX473" s="36"/>
      <c r="BY473" s="36"/>
      <c r="BZ473" s="36"/>
      <c r="CA473" s="36"/>
      <c r="CB473" s="36"/>
      <c r="CC473" s="36"/>
      <c r="CD473" s="36"/>
      <c r="CE473" s="36"/>
      <c r="CF473" s="36"/>
      <c r="CG473" s="36"/>
      <c r="CH473" s="36"/>
      <c r="CI473" s="36"/>
      <c r="CJ473" s="36"/>
      <c r="CK473" s="36"/>
      <c r="CL473" s="36"/>
      <c r="CM473" s="36"/>
      <c r="CN473" s="36"/>
      <c r="CO473" s="36"/>
      <c r="CP473" s="36"/>
      <c r="CQ473" s="36"/>
      <c r="CR473" s="36"/>
      <c r="CS473" s="36"/>
      <c r="CT473" s="36"/>
      <c r="CU473" s="36"/>
      <c r="CV473" s="36"/>
      <c r="CW473" s="36"/>
      <c r="CX473" s="36"/>
      <c r="CY473" s="36"/>
      <c r="CZ473" s="36"/>
      <c r="DA473" s="36"/>
      <c r="DB473" s="36"/>
      <c r="DC473" s="36"/>
      <c r="DD473" s="36"/>
      <c r="DE473" s="36"/>
      <c r="DF473" s="36"/>
      <c r="DG473" s="36"/>
      <c r="DH473" s="36"/>
      <c r="DI473" s="36"/>
      <c r="DJ473" s="36"/>
      <c r="DK473" s="36"/>
      <c r="DL473" s="36"/>
      <c r="DM473" s="36"/>
      <c r="DN473" s="36"/>
      <c r="DO473" s="36"/>
      <c r="DP473" s="36"/>
      <c r="DQ473" s="36"/>
      <c r="DR473" s="36"/>
      <c r="DS473" s="36"/>
      <c r="DT473" s="36"/>
      <c r="DU473" s="36"/>
      <c r="DV473" s="36"/>
      <c r="DW473" s="36"/>
      <c r="DX473" s="36"/>
      <c r="DY473" s="36"/>
      <c r="DZ473" s="36"/>
      <c r="EA473" s="36"/>
      <c r="EB473" s="36"/>
      <c r="EC473" s="36"/>
      <c r="ED473" s="36"/>
      <c r="EE473" s="36"/>
      <c r="EF473" s="36"/>
      <c r="EG473" s="36"/>
      <c r="EH473" s="36"/>
      <c r="EI473" s="36"/>
      <c r="EJ473" s="36"/>
      <c r="EK473" s="36"/>
      <c r="EL473" s="36"/>
      <c r="EM473" s="36"/>
      <c r="EN473" s="36"/>
      <c r="EO473" s="36"/>
      <c r="EP473" s="36"/>
      <c r="EQ473" s="36"/>
      <c r="ER473" s="36"/>
      <c r="ES473" s="36"/>
      <c r="ET473" s="36"/>
      <c r="EU473" s="36"/>
      <c r="EV473" s="36"/>
      <c r="EW473" s="36"/>
      <c r="EX473" s="36"/>
      <c r="EY473" s="36"/>
      <c r="EZ473" s="36"/>
      <c r="FA473" s="36"/>
      <c r="FB473" s="36"/>
      <c r="FC473" s="36"/>
      <c r="FD473" s="36"/>
      <c r="FE473" s="36"/>
      <c r="FF473" s="36"/>
      <c r="FG473" s="36"/>
      <c r="FH473" s="36"/>
      <c r="FI473" s="36"/>
      <c r="FJ473" s="36"/>
      <c r="FK473" s="36"/>
      <c r="FL473" s="36"/>
      <c r="FM473" s="36"/>
      <c r="FN473" s="36"/>
      <c r="FO473" s="36"/>
      <c r="FP473" s="36"/>
      <c r="FQ473" s="36"/>
      <c r="FR473" s="36">
        <v>-1</v>
      </c>
      <c r="FS473" s="36"/>
      <c r="FT473" s="36"/>
      <c r="FU473" s="36"/>
      <c r="FV473" s="36"/>
      <c r="FW473" s="36"/>
      <c r="FX473" s="36"/>
      <c r="FY473" s="36"/>
      <c r="FZ473" s="36"/>
      <c r="GA473" s="36"/>
      <c r="GB473" s="319"/>
      <c r="GC473" s="324"/>
      <c r="GD473" s="324"/>
      <c r="GE473" s="324"/>
      <c r="GF473" s="324"/>
      <c r="GG473" s="324"/>
    </row>
    <row r="474" spans="1:189" x14ac:dyDescent="0.35">
      <c r="A474" s="5" t="s">
        <v>1730</v>
      </c>
      <c r="B474" s="6" t="str">
        <f>IF(Technologies!B474&lt;&gt;0,Technologies!B474,"")</f>
        <v>Landbouw</v>
      </c>
      <c r="C474" s="5" t="str">
        <f>VLOOKUP($A474,Technologies!$A$7:$H$576,3,FALSE)</f>
        <v>Emission</v>
      </c>
      <c r="D474" s="5" t="str">
        <f>VLOOKUP($A474,Technologies!$A$7:$H$576,4,FALSE)</f>
        <v>Agriculture</v>
      </c>
      <c r="E474" s="5" t="str">
        <f>VLOOKUP($A474,Technologies!$A$7:$H$576,6,FALSE)</f>
        <v>Emitted neGHG - Agriculture - N2O</v>
      </c>
      <c r="F474" s="5" t="str">
        <f>VLOOKUP($A474,Technologies!$A$7:$H$576,7,FALSE)</f>
        <v>Emitted neGHG - Agriculture - N2O</v>
      </c>
      <c r="G474" s="23"/>
      <c r="H474" s="23"/>
      <c r="I474" s="104" cm="1">
        <f t="array" ref="I474">-SUMPRODUCT((Feedstocks!$C$4:$C$141=A474)*Feedstocks!$E$4:$E$141,Feedstocks!$F$4:$F$141,Feedstocks!$H$4:$H$141,Feedstocks!$I$4:$I$141)</f>
        <v>0</v>
      </c>
      <c r="J474" s="104" cm="1">
        <f t="array" ref="J474">-SUMPRODUCT((Feedstocks!$C$4:$C$141=A474)*Feedstocks!$E$4:$E$141,Feedstocks!$H$4:$H$141,Feedstocks!$I$4:$I$141)</f>
        <v>0</v>
      </c>
      <c r="K474" s="104"/>
      <c r="L474" s="104"/>
      <c r="M474" s="23"/>
      <c r="N474" s="23" t="str">
        <f>VLOOKUP(E474,Activities!$A$9:$M$227,13,FALSE)</f>
        <v>NL</v>
      </c>
      <c r="O474" s="23"/>
      <c r="P474" s="79" t="s">
        <v>415</v>
      </c>
      <c r="Q474" s="35"/>
      <c r="R474" s="35"/>
      <c r="S474" s="35"/>
      <c r="T474" s="35"/>
      <c r="U474" s="35"/>
      <c r="V474" s="35"/>
      <c r="W474" s="35"/>
      <c r="X474" s="35"/>
      <c r="Y474" s="35"/>
      <c r="Z474" s="35"/>
      <c r="AA474" s="35"/>
      <c r="AB474" s="35"/>
      <c r="AC474" s="35"/>
      <c r="AD474" s="35"/>
      <c r="AE474" s="35"/>
      <c r="AF474" s="36"/>
      <c r="AG474" s="36"/>
      <c r="AH474" s="36"/>
      <c r="AI474" s="36"/>
      <c r="AJ474" s="36"/>
      <c r="AK474" s="36"/>
      <c r="AL474" s="36"/>
      <c r="AM474" s="36"/>
      <c r="AN474" s="36"/>
      <c r="AO474" s="36"/>
      <c r="AP474" s="35"/>
      <c r="AQ474" s="35"/>
      <c r="AR474" s="35"/>
      <c r="AS474" s="35"/>
      <c r="AT474" s="35"/>
      <c r="AU474" s="35"/>
      <c r="AV474" s="35"/>
      <c r="AW474" s="35"/>
      <c r="AX474" s="35"/>
      <c r="AY474" s="35"/>
      <c r="AZ474" s="35"/>
      <c r="BA474" s="35"/>
      <c r="BB474" s="35"/>
      <c r="BC474" s="35"/>
      <c r="BD474" s="35"/>
      <c r="BE474" s="35"/>
      <c r="BF474" s="35"/>
      <c r="BG474" s="35"/>
      <c r="BH474" s="35"/>
      <c r="BI474" s="35"/>
      <c r="BJ474" s="35"/>
      <c r="BK474" s="35"/>
      <c r="BL474" s="35"/>
      <c r="BM474" s="35"/>
      <c r="BN474" s="35"/>
      <c r="BO474" s="35"/>
      <c r="BP474" s="35"/>
      <c r="BQ474" s="35"/>
      <c r="BR474" s="35"/>
      <c r="BS474" s="35"/>
      <c r="BT474" s="35"/>
      <c r="BU474" s="35"/>
      <c r="BV474" s="35"/>
      <c r="BW474" s="35"/>
      <c r="BX474" s="35"/>
      <c r="BY474" s="35"/>
      <c r="BZ474" s="35"/>
      <c r="CA474" s="35"/>
      <c r="CB474" s="35"/>
      <c r="CC474" s="35"/>
      <c r="CD474" s="35"/>
      <c r="CE474" s="35"/>
      <c r="CF474" s="35"/>
      <c r="CG474" s="35"/>
      <c r="CH474" s="35"/>
      <c r="CI474" s="35"/>
      <c r="CJ474" s="35"/>
      <c r="CK474" s="35"/>
      <c r="CL474" s="35"/>
      <c r="CM474" s="35"/>
      <c r="CN474" s="35"/>
      <c r="CO474" s="35"/>
      <c r="CP474" s="35"/>
      <c r="CQ474" s="35"/>
      <c r="CR474" s="35"/>
      <c r="CS474" s="35"/>
      <c r="CT474" s="35"/>
      <c r="CU474" s="35"/>
      <c r="CV474" s="35"/>
      <c r="CW474" s="35"/>
      <c r="CX474" s="35"/>
      <c r="CY474" s="35"/>
      <c r="CZ474" s="35"/>
      <c r="DA474" s="35"/>
      <c r="DB474" s="35"/>
      <c r="DC474" s="35"/>
      <c r="DD474" s="35"/>
      <c r="DE474" s="35"/>
      <c r="DF474" s="35"/>
      <c r="DG474" s="35"/>
      <c r="DH474" s="35"/>
      <c r="DI474" s="35"/>
      <c r="DJ474" s="35"/>
      <c r="DK474" s="35"/>
      <c r="DL474" s="35"/>
      <c r="DM474" s="35"/>
      <c r="DN474" s="35"/>
      <c r="DO474" s="35"/>
      <c r="DP474" s="35"/>
      <c r="DQ474" s="35"/>
      <c r="DR474" s="35"/>
      <c r="DS474" s="35"/>
      <c r="DT474" s="35"/>
      <c r="DU474" s="35"/>
      <c r="DV474" s="35"/>
      <c r="DW474" s="35"/>
      <c r="DX474" s="35"/>
      <c r="DY474" s="35"/>
      <c r="DZ474" s="35"/>
      <c r="EA474" s="35"/>
      <c r="EB474" s="35"/>
      <c r="EC474" s="35"/>
      <c r="ED474" s="35"/>
      <c r="EE474" s="35"/>
      <c r="EF474" s="35"/>
      <c r="EG474" s="35"/>
      <c r="EH474" s="35"/>
      <c r="EI474" s="35"/>
      <c r="EJ474" s="35"/>
      <c r="EK474" s="35"/>
      <c r="EL474" s="35"/>
      <c r="EM474" s="35"/>
      <c r="EN474" s="35"/>
      <c r="EO474" s="35"/>
      <c r="EP474" s="35"/>
      <c r="EQ474" s="35"/>
      <c r="ER474" s="35"/>
      <c r="ES474" s="35"/>
      <c r="ET474" s="35"/>
      <c r="EU474" s="35"/>
      <c r="EV474" s="35"/>
      <c r="EW474" s="35"/>
      <c r="EX474" s="35"/>
      <c r="EY474" s="35"/>
      <c r="EZ474" s="35"/>
      <c r="FA474" s="35"/>
      <c r="FB474" s="35"/>
      <c r="FC474" s="35"/>
      <c r="FD474" s="35"/>
      <c r="FE474" s="35"/>
      <c r="FF474" s="35"/>
      <c r="FG474" s="35"/>
      <c r="FH474" s="35"/>
      <c r="FI474" s="35"/>
      <c r="FJ474" s="35"/>
      <c r="FK474" s="35"/>
      <c r="FL474" s="35"/>
      <c r="FM474" s="35"/>
      <c r="FN474" s="35"/>
      <c r="FO474" s="35"/>
      <c r="FP474" s="35"/>
      <c r="FQ474" s="35"/>
      <c r="FR474" s="35"/>
      <c r="FS474" s="35">
        <v>-1</v>
      </c>
      <c r="FT474" s="35"/>
      <c r="FU474" s="35"/>
      <c r="FV474" s="35"/>
      <c r="FW474" s="35"/>
      <c r="FX474" s="35"/>
      <c r="FY474" s="35"/>
      <c r="FZ474" s="35"/>
      <c r="GA474" s="35"/>
      <c r="GB474" s="318"/>
      <c r="GC474" s="325"/>
      <c r="GD474" s="325"/>
      <c r="GE474" s="325">
        <v>1</v>
      </c>
      <c r="GF474" s="325"/>
      <c r="GG474" s="325"/>
    </row>
    <row r="475" spans="1:189" x14ac:dyDescent="0.35">
      <c r="A475" s="6" t="s">
        <v>1732</v>
      </c>
      <c r="B475" s="6" t="str">
        <f>IF(Technologies!B475&lt;&gt;0,Technologies!B475,"")</f>
        <v>Landbouw</v>
      </c>
      <c r="C475" s="6" t="str">
        <f>VLOOKUP($A475,Technologies!$A$7:$H$576,3,FALSE)</f>
        <v>Emission</v>
      </c>
      <c r="D475" s="6" t="str">
        <f>VLOOKUP($A475,Technologies!$A$7:$H$576,4,FALSE)</f>
        <v>Agriculture</v>
      </c>
      <c r="E475" s="6" t="str">
        <f>VLOOKUP($A475,Technologies!$A$7:$H$576,6,FALSE)</f>
        <v>Emitted neGHG - Agriculture - N2O</v>
      </c>
      <c r="F475" s="48" t="str">
        <f>VLOOKUP($A475,Technologies!$A$7:$H$576,7,FALSE)</f>
        <v>MACC Component 1 - neGHG N2O Fertilizer</v>
      </c>
      <c r="G475" s="22"/>
      <c r="H475" s="22"/>
      <c r="I475" s="103" cm="1">
        <f t="array" ref="I475">-SUMPRODUCT((Feedstocks!$C$4:$C$141=A475)*Feedstocks!$E$4:$E$141,Feedstocks!$F$4:$F$141,Feedstocks!$H$4:$H$141,Feedstocks!$I$4:$I$141)</f>
        <v>0</v>
      </c>
      <c r="J475" s="103" cm="1">
        <f t="array" ref="J475">-SUMPRODUCT((Feedstocks!$C$4:$C$141=A475)*Feedstocks!$E$4:$E$141,Feedstocks!$H$4:$H$141,Feedstocks!$I$4:$I$141)</f>
        <v>0</v>
      </c>
      <c r="K475" s="103"/>
      <c r="L475" s="103"/>
      <c r="M475" s="22"/>
      <c r="N475" s="22" t="str">
        <f>VLOOKUP(E475,Activities!$A$9:$M$227,13,FALSE)</f>
        <v>NL</v>
      </c>
      <c r="O475" s="22"/>
      <c r="P475" s="80" t="s">
        <v>415</v>
      </c>
      <c r="Q475" s="36"/>
      <c r="R475" s="36"/>
      <c r="S475" s="36"/>
      <c r="T475" s="36"/>
      <c r="U475" s="36"/>
      <c r="V475" s="36"/>
      <c r="W475" s="36"/>
      <c r="X475" s="36"/>
      <c r="Y475" s="36"/>
      <c r="Z475" s="36"/>
      <c r="AA475" s="36"/>
      <c r="AB475" s="36"/>
      <c r="AC475" s="36"/>
      <c r="AD475" s="36"/>
      <c r="AE475" s="36"/>
      <c r="AF475" s="35"/>
      <c r="AG475" s="35"/>
      <c r="AH475" s="35"/>
      <c r="AI475" s="35"/>
      <c r="AJ475" s="35"/>
      <c r="AK475" s="35"/>
      <c r="AL475" s="35"/>
      <c r="AM475" s="35"/>
      <c r="AN475" s="35"/>
      <c r="AO475" s="35"/>
      <c r="AP475" s="36"/>
      <c r="AQ475" s="36"/>
      <c r="AR475" s="36"/>
      <c r="AS475" s="36"/>
      <c r="AT475" s="36"/>
      <c r="AU475" s="36"/>
      <c r="AV475" s="36"/>
      <c r="AW475" s="36"/>
      <c r="AX475" s="36"/>
      <c r="AY475" s="36"/>
      <c r="AZ475" s="36"/>
      <c r="BA475" s="36"/>
      <c r="BB475" s="36"/>
      <c r="BC475" s="36"/>
      <c r="BD475" s="36"/>
      <c r="BE475" s="36"/>
      <c r="BF475" s="36"/>
      <c r="BG475" s="36"/>
      <c r="BH475" s="36"/>
      <c r="BI475" s="36"/>
      <c r="BJ475" s="36"/>
      <c r="BK475" s="36"/>
      <c r="BL475" s="36"/>
      <c r="BM475" s="36"/>
      <c r="BN475" s="36"/>
      <c r="BO475" s="36"/>
      <c r="BP475" s="36"/>
      <c r="BQ475" s="36"/>
      <c r="BR475" s="36"/>
      <c r="BS475" s="36"/>
      <c r="BT475" s="36"/>
      <c r="BU475" s="36"/>
      <c r="BV475" s="36"/>
      <c r="BW475" s="36"/>
      <c r="BX475" s="36"/>
      <c r="BY475" s="36"/>
      <c r="BZ475" s="36"/>
      <c r="CA475" s="36"/>
      <c r="CB475" s="36"/>
      <c r="CC475" s="36"/>
      <c r="CD475" s="36"/>
      <c r="CE475" s="36"/>
      <c r="CF475" s="36"/>
      <c r="CG475" s="36"/>
      <c r="CH475" s="36"/>
      <c r="CI475" s="36"/>
      <c r="CJ475" s="36"/>
      <c r="CK475" s="36"/>
      <c r="CL475" s="36"/>
      <c r="CM475" s="36"/>
      <c r="CN475" s="36"/>
      <c r="CO475" s="36"/>
      <c r="CP475" s="36"/>
      <c r="CQ475" s="36"/>
      <c r="CR475" s="36"/>
      <c r="CS475" s="36"/>
      <c r="CT475" s="36"/>
      <c r="CU475" s="36"/>
      <c r="CV475" s="36"/>
      <c r="CW475" s="36"/>
      <c r="CX475" s="36"/>
      <c r="CY475" s="36"/>
      <c r="CZ475" s="36"/>
      <c r="DA475" s="36"/>
      <c r="DB475" s="36"/>
      <c r="DC475" s="36"/>
      <c r="DD475" s="36"/>
      <c r="DE475" s="36"/>
      <c r="DF475" s="36"/>
      <c r="DG475" s="36"/>
      <c r="DH475" s="36"/>
      <c r="DI475" s="36"/>
      <c r="DJ475" s="36"/>
      <c r="DK475" s="36"/>
      <c r="DL475" s="36"/>
      <c r="DM475" s="36"/>
      <c r="DN475" s="36"/>
      <c r="DO475" s="36"/>
      <c r="DP475" s="36"/>
      <c r="DQ475" s="36"/>
      <c r="DR475" s="36"/>
      <c r="DS475" s="36"/>
      <c r="DT475" s="36"/>
      <c r="DU475" s="36"/>
      <c r="DV475" s="36"/>
      <c r="DW475" s="36"/>
      <c r="DX475" s="36"/>
      <c r="DY475" s="36"/>
      <c r="DZ475" s="36"/>
      <c r="EA475" s="36"/>
      <c r="EB475" s="36"/>
      <c r="EC475" s="36"/>
      <c r="ED475" s="36"/>
      <c r="EE475" s="36"/>
      <c r="EF475" s="36"/>
      <c r="EG475" s="36"/>
      <c r="EH475" s="36"/>
      <c r="EI475" s="36"/>
      <c r="EJ475" s="36"/>
      <c r="EK475" s="36"/>
      <c r="EL475" s="36"/>
      <c r="EM475" s="36"/>
      <c r="EN475" s="36"/>
      <c r="EO475" s="36"/>
      <c r="EP475" s="36"/>
      <c r="EQ475" s="36"/>
      <c r="ER475" s="36"/>
      <c r="ES475" s="36"/>
      <c r="ET475" s="36"/>
      <c r="EU475" s="36"/>
      <c r="EV475" s="36"/>
      <c r="EW475" s="36"/>
      <c r="EX475" s="36"/>
      <c r="EY475" s="36"/>
      <c r="EZ475" s="36"/>
      <c r="FA475" s="36"/>
      <c r="FB475" s="36"/>
      <c r="FC475" s="36"/>
      <c r="FD475" s="36"/>
      <c r="FE475" s="36"/>
      <c r="FF475" s="36"/>
      <c r="FG475" s="36"/>
      <c r="FH475" s="36"/>
      <c r="FI475" s="36"/>
      <c r="FJ475" s="36"/>
      <c r="FK475" s="36"/>
      <c r="FL475" s="36"/>
      <c r="FM475" s="36"/>
      <c r="FN475" s="36"/>
      <c r="FO475" s="36"/>
      <c r="FP475" s="36"/>
      <c r="FQ475" s="36"/>
      <c r="FR475" s="36"/>
      <c r="FS475" s="36">
        <v>-1</v>
      </c>
      <c r="FT475" s="36"/>
      <c r="FU475" s="36"/>
      <c r="FV475" s="36"/>
      <c r="FW475" s="36"/>
      <c r="FX475" s="36"/>
      <c r="FY475" s="36"/>
      <c r="FZ475" s="36"/>
      <c r="GA475" s="36"/>
      <c r="GB475" s="319"/>
      <c r="GC475" s="324"/>
      <c r="GD475" s="324"/>
      <c r="GE475" s="324"/>
      <c r="GF475" s="324"/>
      <c r="GG475" s="324"/>
    </row>
    <row r="476" spans="1:189" x14ac:dyDescent="0.35">
      <c r="A476" s="5" t="s">
        <v>1734</v>
      </c>
      <c r="B476" s="6" t="str">
        <f>IF(Technologies!B476&lt;&gt;0,Technologies!B476,"")</f>
        <v>Landbouw</v>
      </c>
      <c r="C476" s="5" t="str">
        <f>VLOOKUP($A476,Technologies!$A$7:$H$576,3,FALSE)</f>
        <v>Emission</v>
      </c>
      <c r="D476" s="5" t="str">
        <f>VLOOKUP($A476,Technologies!$A$7:$H$576,4,FALSE)</f>
        <v>Agriculture</v>
      </c>
      <c r="E476" s="5" t="str">
        <f>VLOOKUP($A476,Technologies!$A$7:$H$576,6,FALSE)</f>
        <v>Emitted neGHG - Agriculture - N2O</v>
      </c>
      <c r="F476" s="5" t="str">
        <f>VLOOKUP($A476,Technologies!$A$7:$H$576,7,FALSE)</f>
        <v>MACC Component 2 - neGHG N2O Fertilizer</v>
      </c>
      <c r="G476" s="23"/>
      <c r="H476" s="23"/>
      <c r="I476" s="104" cm="1">
        <f t="array" ref="I476">-SUMPRODUCT((Feedstocks!$C$4:$C$141=A476)*Feedstocks!$E$4:$E$141,Feedstocks!$F$4:$F$141,Feedstocks!$H$4:$H$141,Feedstocks!$I$4:$I$141)</f>
        <v>0</v>
      </c>
      <c r="J476" s="104" cm="1">
        <f t="array" ref="J476">-SUMPRODUCT((Feedstocks!$C$4:$C$141=A476)*Feedstocks!$E$4:$E$141,Feedstocks!$H$4:$H$141,Feedstocks!$I$4:$I$141)</f>
        <v>0</v>
      </c>
      <c r="K476" s="104"/>
      <c r="L476" s="104"/>
      <c r="M476" s="23"/>
      <c r="N476" s="23" t="str">
        <f>VLOOKUP(E476,Activities!$A$9:$M$227,13,FALSE)</f>
        <v>NL</v>
      </c>
      <c r="O476" s="23"/>
      <c r="P476" s="79" t="s">
        <v>415</v>
      </c>
      <c r="Q476" s="35"/>
      <c r="R476" s="35"/>
      <c r="S476" s="35"/>
      <c r="T476" s="35"/>
      <c r="U476" s="35"/>
      <c r="V476" s="35"/>
      <c r="W476" s="35"/>
      <c r="X476" s="35"/>
      <c r="Y476" s="35"/>
      <c r="Z476" s="35"/>
      <c r="AA476" s="35"/>
      <c r="AB476" s="35"/>
      <c r="AC476" s="35"/>
      <c r="AD476" s="35"/>
      <c r="AE476" s="35"/>
      <c r="AF476" s="36"/>
      <c r="AG476" s="36"/>
      <c r="AH476" s="36"/>
      <c r="AI476" s="36"/>
      <c r="AJ476" s="36"/>
      <c r="AK476" s="36"/>
      <c r="AL476" s="36"/>
      <c r="AM476" s="36"/>
      <c r="AN476" s="36"/>
      <c r="AO476" s="36"/>
      <c r="AP476" s="35"/>
      <c r="AQ476" s="35"/>
      <c r="AR476" s="35"/>
      <c r="AS476" s="35"/>
      <c r="AT476" s="35"/>
      <c r="AU476" s="35"/>
      <c r="AV476" s="35"/>
      <c r="AW476" s="35"/>
      <c r="AX476" s="35"/>
      <c r="AY476" s="35"/>
      <c r="AZ476" s="35"/>
      <c r="BA476" s="35"/>
      <c r="BB476" s="35"/>
      <c r="BC476" s="35"/>
      <c r="BD476" s="35"/>
      <c r="BE476" s="35"/>
      <c r="BF476" s="35"/>
      <c r="BG476" s="35"/>
      <c r="BH476" s="35"/>
      <c r="BI476" s="35"/>
      <c r="BJ476" s="35"/>
      <c r="BK476" s="35"/>
      <c r="BL476" s="35"/>
      <c r="BM476" s="35"/>
      <c r="BN476" s="35"/>
      <c r="BO476" s="35"/>
      <c r="BP476" s="35"/>
      <c r="BQ476" s="35"/>
      <c r="BR476" s="35"/>
      <c r="BS476" s="35"/>
      <c r="BT476" s="35"/>
      <c r="BU476" s="35"/>
      <c r="BV476" s="35"/>
      <c r="BW476" s="35"/>
      <c r="BX476" s="35"/>
      <c r="BY476" s="35"/>
      <c r="BZ476" s="35"/>
      <c r="CA476" s="35"/>
      <c r="CB476" s="35"/>
      <c r="CC476" s="35"/>
      <c r="CD476" s="35"/>
      <c r="CE476" s="35"/>
      <c r="CF476" s="35"/>
      <c r="CG476" s="35"/>
      <c r="CH476" s="35"/>
      <c r="CI476" s="35"/>
      <c r="CJ476" s="35"/>
      <c r="CK476" s="35"/>
      <c r="CL476" s="35"/>
      <c r="CM476" s="35"/>
      <c r="CN476" s="35"/>
      <c r="CO476" s="35"/>
      <c r="CP476" s="35"/>
      <c r="CQ476" s="35"/>
      <c r="CR476" s="35"/>
      <c r="CS476" s="35"/>
      <c r="CT476" s="35"/>
      <c r="CU476" s="35"/>
      <c r="CV476" s="35"/>
      <c r="CW476" s="35"/>
      <c r="CX476" s="35"/>
      <c r="CY476" s="35"/>
      <c r="CZ476" s="35"/>
      <c r="DA476" s="35"/>
      <c r="DB476" s="35"/>
      <c r="DC476" s="35"/>
      <c r="DD476" s="35"/>
      <c r="DE476" s="35"/>
      <c r="DF476" s="35"/>
      <c r="DG476" s="35"/>
      <c r="DH476" s="35"/>
      <c r="DI476" s="35"/>
      <c r="DJ476" s="35"/>
      <c r="DK476" s="35"/>
      <c r="DL476" s="35"/>
      <c r="DM476" s="35"/>
      <c r="DN476" s="35"/>
      <c r="DO476" s="35"/>
      <c r="DP476" s="35"/>
      <c r="DQ476" s="35"/>
      <c r="DR476" s="35"/>
      <c r="DS476" s="35"/>
      <c r="DT476" s="35"/>
      <c r="DU476" s="35"/>
      <c r="DV476" s="35"/>
      <c r="DW476" s="35"/>
      <c r="DX476" s="35"/>
      <c r="DY476" s="35"/>
      <c r="DZ476" s="35"/>
      <c r="EA476" s="35"/>
      <c r="EB476" s="35"/>
      <c r="EC476" s="35"/>
      <c r="ED476" s="35"/>
      <c r="EE476" s="35"/>
      <c r="EF476" s="35"/>
      <c r="EG476" s="35"/>
      <c r="EH476" s="35"/>
      <c r="EI476" s="35"/>
      <c r="EJ476" s="35"/>
      <c r="EK476" s="35"/>
      <c r="EL476" s="35"/>
      <c r="EM476" s="35"/>
      <c r="EN476" s="35"/>
      <c r="EO476" s="35"/>
      <c r="EP476" s="35"/>
      <c r="EQ476" s="35"/>
      <c r="ER476" s="35"/>
      <c r="ES476" s="35"/>
      <c r="ET476" s="35"/>
      <c r="EU476" s="35"/>
      <c r="EV476" s="35"/>
      <c r="EW476" s="35"/>
      <c r="EX476" s="35"/>
      <c r="EY476" s="35"/>
      <c r="EZ476" s="35"/>
      <c r="FA476" s="35"/>
      <c r="FB476" s="35"/>
      <c r="FC476" s="35"/>
      <c r="FD476" s="35"/>
      <c r="FE476" s="35"/>
      <c r="FF476" s="35"/>
      <c r="FG476" s="35"/>
      <c r="FH476" s="35"/>
      <c r="FI476" s="35"/>
      <c r="FJ476" s="35"/>
      <c r="FK476" s="35"/>
      <c r="FL476" s="35"/>
      <c r="FM476" s="35"/>
      <c r="FN476" s="35"/>
      <c r="FO476" s="35"/>
      <c r="FP476" s="35"/>
      <c r="FQ476" s="35"/>
      <c r="FR476" s="35"/>
      <c r="FS476" s="35">
        <v>-1</v>
      </c>
      <c r="FT476" s="35"/>
      <c r="FU476" s="35"/>
      <c r="FV476" s="35"/>
      <c r="FW476" s="35"/>
      <c r="FX476" s="35"/>
      <c r="FY476" s="35"/>
      <c r="FZ476" s="35"/>
      <c r="GA476" s="35"/>
      <c r="GB476" s="318"/>
      <c r="GC476" s="325"/>
      <c r="GD476" s="325"/>
      <c r="GE476" s="325"/>
      <c r="GF476" s="325"/>
      <c r="GG476" s="325"/>
    </row>
    <row r="477" spans="1:189" x14ac:dyDescent="0.35">
      <c r="A477" s="6" t="s">
        <v>1736</v>
      </c>
      <c r="B477" s="6" t="str">
        <f>IF(Technologies!B477&lt;&gt;0,Technologies!B477,"")</f>
        <v>Landbouw</v>
      </c>
      <c r="C477" s="6" t="str">
        <f>VLOOKUP($A477,Technologies!$A$7:$H$576,3,FALSE)</f>
        <v>Emission</v>
      </c>
      <c r="D477" s="6" t="str">
        <f>VLOOKUP($A477,Technologies!$A$7:$H$576,4,FALSE)</f>
        <v>Agriculture</v>
      </c>
      <c r="E477" s="6" t="str">
        <f>VLOOKUP($A477,Technologies!$A$7:$H$576,6,FALSE)</f>
        <v>Emitted neGHG - Agriculture - N2O</v>
      </c>
      <c r="F477" s="48" t="str">
        <f>VLOOKUP($A477,Technologies!$A$7:$H$576,7,FALSE)</f>
        <v>MACC Component 3 - neGHG N2O Fertilizer</v>
      </c>
      <c r="G477" s="22"/>
      <c r="H477" s="22"/>
      <c r="I477" s="103" cm="1">
        <f t="array" ref="I477">-SUMPRODUCT((Feedstocks!$C$4:$C$141=A477)*Feedstocks!$E$4:$E$141,Feedstocks!$F$4:$F$141,Feedstocks!$H$4:$H$141,Feedstocks!$I$4:$I$141)</f>
        <v>0</v>
      </c>
      <c r="J477" s="103" cm="1">
        <f t="array" ref="J477">-SUMPRODUCT((Feedstocks!$C$4:$C$141=A477)*Feedstocks!$E$4:$E$141,Feedstocks!$H$4:$H$141,Feedstocks!$I$4:$I$141)</f>
        <v>0</v>
      </c>
      <c r="K477" s="103"/>
      <c r="L477" s="103"/>
      <c r="M477" s="22"/>
      <c r="N477" s="22" t="str">
        <f>VLOOKUP(E477,Activities!$A$9:$M$227,13,FALSE)</f>
        <v>NL</v>
      </c>
      <c r="O477" s="22"/>
      <c r="P477" s="80" t="s">
        <v>415</v>
      </c>
      <c r="Q477" s="36"/>
      <c r="R477" s="36"/>
      <c r="S477" s="36"/>
      <c r="T477" s="36"/>
      <c r="U477" s="36"/>
      <c r="V477" s="36"/>
      <c r="W477" s="36"/>
      <c r="X477" s="36"/>
      <c r="Y477" s="36"/>
      <c r="Z477" s="36"/>
      <c r="AA477" s="36"/>
      <c r="AB477" s="36"/>
      <c r="AC477" s="36"/>
      <c r="AD477" s="36"/>
      <c r="AE477" s="36"/>
      <c r="AF477" s="35"/>
      <c r="AG477" s="35"/>
      <c r="AH477" s="35"/>
      <c r="AI477" s="35"/>
      <c r="AJ477" s="35"/>
      <c r="AK477" s="35"/>
      <c r="AL477" s="35"/>
      <c r="AM477" s="35"/>
      <c r="AN477" s="35"/>
      <c r="AO477" s="35"/>
      <c r="AP477" s="36"/>
      <c r="AQ477" s="36"/>
      <c r="AR477" s="36"/>
      <c r="AS477" s="36"/>
      <c r="AT477" s="36"/>
      <c r="AU477" s="36"/>
      <c r="AV477" s="36"/>
      <c r="AW477" s="36"/>
      <c r="AX477" s="36"/>
      <c r="AY477" s="36"/>
      <c r="AZ477" s="36"/>
      <c r="BA477" s="36"/>
      <c r="BB477" s="36"/>
      <c r="BC477" s="36"/>
      <c r="BD477" s="36"/>
      <c r="BE477" s="36"/>
      <c r="BF477" s="36"/>
      <c r="BG477" s="36"/>
      <c r="BH477" s="36"/>
      <c r="BI477" s="36"/>
      <c r="BJ477" s="36"/>
      <c r="BK477" s="36"/>
      <c r="BL477" s="36"/>
      <c r="BM477" s="36"/>
      <c r="BN477" s="36"/>
      <c r="BO477" s="36"/>
      <c r="BP477" s="36"/>
      <c r="BQ477" s="36"/>
      <c r="BR477" s="36"/>
      <c r="BS477" s="36"/>
      <c r="BT477" s="36"/>
      <c r="BU477" s="36"/>
      <c r="BV477" s="36"/>
      <c r="BW477" s="36"/>
      <c r="BX477" s="36"/>
      <c r="BY477" s="36"/>
      <c r="BZ477" s="36"/>
      <c r="CA477" s="36"/>
      <c r="CB477" s="36"/>
      <c r="CC477" s="36"/>
      <c r="CD477" s="36"/>
      <c r="CE477" s="36"/>
      <c r="CF477" s="36"/>
      <c r="CG477" s="36"/>
      <c r="CH477" s="36"/>
      <c r="CI477" s="36"/>
      <c r="CJ477" s="36"/>
      <c r="CK477" s="36"/>
      <c r="CL477" s="36"/>
      <c r="CM477" s="36"/>
      <c r="CN477" s="36"/>
      <c r="CO477" s="36"/>
      <c r="CP477" s="36"/>
      <c r="CQ477" s="36"/>
      <c r="CR477" s="36"/>
      <c r="CS477" s="36"/>
      <c r="CT477" s="36"/>
      <c r="CU477" s="36"/>
      <c r="CV477" s="36"/>
      <c r="CW477" s="36"/>
      <c r="CX477" s="36"/>
      <c r="CY477" s="36"/>
      <c r="CZ477" s="36"/>
      <c r="DA477" s="36"/>
      <c r="DB477" s="36"/>
      <c r="DC477" s="36"/>
      <c r="DD477" s="36"/>
      <c r="DE477" s="36"/>
      <c r="DF477" s="36"/>
      <c r="DG477" s="36"/>
      <c r="DH477" s="36"/>
      <c r="DI477" s="36"/>
      <c r="DJ477" s="36"/>
      <c r="DK477" s="36"/>
      <c r="DL477" s="36"/>
      <c r="DM477" s="36"/>
      <c r="DN477" s="36"/>
      <c r="DO477" s="36"/>
      <c r="DP477" s="36"/>
      <c r="DQ477" s="36"/>
      <c r="DR477" s="36"/>
      <c r="DS477" s="36"/>
      <c r="DT477" s="36"/>
      <c r="DU477" s="36"/>
      <c r="DV477" s="36"/>
      <c r="DW477" s="36"/>
      <c r="DX477" s="36"/>
      <c r="DY477" s="36"/>
      <c r="DZ477" s="36"/>
      <c r="EA477" s="36"/>
      <c r="EB477" s="36"/>
      <c r="EC477" s="36"/>
      <c r="ED477" s="36"/>
      <c r="EE477" s="36"/>
      <c r="EF477" s="36"/>
      <c r="EG477" s="36"/>
      <c r="EH477" s="36"/>
      <c r="EI477" s="36"/>
      <c r="EJ477" s="36"/>
      <c r="EK477" s="36"/>
      <c r="EL477" s="36"/>
      <c r="EM477" s="36"/>
      <c r="EN477" s="36"/>
      <c r="EO477" s="36"/>
      <c r="EP477" s="36"/>
      <c r="EQ477" s="36"/>
      <c r="ER477" s="36"/>
      <c r="ES477" s="36"/>
      <c r="ET477" s="36"/>
      <c r="EU477" s="36"/>
      <c r="EV477" s="36"/>
      <c r="EW477" s="36"/>
      <c r="EX477" s="36"/>
      <c r="EY477" s="36"/>
      <c r="EZ477" s="36"/>
      <c r="FA477" s="36"/>
      <c r="FB477" s="36"/>
      <c r="FC477" s="36"/>
      <c r="FD477" s="36"/>
      <c r="FE477" s="36"/>
      <c r="FF477" s="36"/>
      <c r="FG477" s="36"/>
      <c r="FH477" s="36"/>
      <c r="FI477" s="36"/>
      <c r="FJ477" s="36"/>
      <c r="FK477" s="36"/>
      <c r="FL477" s="36"/>
      <c r="FM477" s="36"/>
      <c r="FN477" s="36"/>
      <c r="FO477" s="36"/>
      <c r="FP477" s="36"/>
      <c r="FQ477" s="36"/>
      <c r="FR477" s="36"/>
      <c r="FS477" s="36">
        <v>-1</v>
      </c>
      <c r="FT477" s="36"/>
      <c r="FU477" s="36"/>
      <c r="FV477" s="36"/>
      <c r="FW477" s="36"/>
      <c r="FX477" s="36"/>
      <c r="FY477" s="36"/>
      <c r="FZ477" s="36"/>
      <c r="GA477" s="36"/>
      <c r="GB477" s="319"/>
      <c r="GC477" s="324"/>
      <c r="GD477" s="324"/>
      <c r="GE477" s="324"/>
      <c r="GF477" s="324"/>
      <c r="GG477" s="324"/>
    </row>
    <row r="478" spans="1:189" x14ac:dyDescent="0.35">
      <c r="A478" s="5" t="s">
        <v>1738</v>
      </c>
      <c r="B478" s="6" t="str">
        <f>IF(Technologies!B478&lt;&gt;0,Technologies!B478,"")</f>
        <v>Landbouw</v>
      </c>
      <c r="C478" s="5" t="str">
        <f>VLOOKUP($A478,Technologies!$A$7:$H$576,3,FALSE)</f>
        <v>Emission</v>
      </c>
      <c r="D478" s="5" t="str">
        <f>VLOOKUP($A478,Technologies!$A$7:$H$576,4,FALSE)</f>
        <v>Agriculture</v>
      </c>
      <c r="E478" s="5" t="str">
        <f>VLOOKUP($A478,Technologies!$A$7:$H$576,6,FALSE)</f>
        <v>Emitted neGHG - Agriculture - N2O</v>
      </c>
      <c r="F478" s="5" t="str">
        <f>VLOOKUP($A478,Technologies!$A$7:$H$576,7,FALSE)</f>
        <v>MACC Component 1 - neGHG N2O Manure Management</v>
      </c>
      <c r="G478" s="23"/>
      <c r="H478" s="23"/>
      <c r="I478" s="104" cm="1">
        <f t="array" ref="I478">-SUMPRODUCT((Feedstocks!$C$4:$C$141=A478)*Feedstocks!$E$4:$E$141,Feedstocks!$F$4:$F$141,Feedstocks!$H$4:$H$141,Feedstocks!$I$4:$I$141)</f>
        <v>0</v>
      </c>
      <c r="J478" s="104" cm="1">
        <f t="array" ref="J478">-SUMPRODUCT((Feedstocks!$C$4:$C$141=A478)*Feedstocks!$E$4:$E$141,Feedstocks!$H$4:$H$141,Feedstocks!$I$4:$I$141)</f>
        <v>0</v>
      </c>
      <c r="K478" s="104"/>
      <c r="L478" s="104">
        <v>1</v>
      </c>
      <c r="M478" s="23"/>
      <c r="N478" s="23" t="str">
        <f>VLOOKUP(E478,Activities!$A$9:$M$227,13,FALSE)</f>
        <v>NL</v>
      </c>
      <c r="O478" s="23"/>
      <c r="P478" s="79" t="s">
        <v>415</v>
      </c>
      <c r="Q478" s="35"/>
      <c r="R478" s="35"/>
      <c r="S478" s="35"/>
      <c r="T478" s="35"/>
      <c r="U478" s="35"/>
      <c r="V478" s="35"/>
      <c r="W478" s="35"/>
      <c r="X478" s="35"/>
      <c r="Y478" s="35"/>
      <c r="Z478" s="35"/>
      <c r="AA478" s="35"/>
      <c r="AB478" s="35"/>
      <c r="AC478" s="35"/>
      <c r="AD478" s="35"/>
      <c r="AE478" s="35"/>
      <c r="AF478" s="36"/>
      <c r="AG478" s="36"/>
      <c r="AH478" s="36"/>
      <c r="AI478" s="36"/>
      <c r="AJ478" s="36"/>
      <c r="AK478" s="36"/>
      <c r="AL478" s="36"/>
      <c r="AM478" s="36"/>
      <c r="AN478" s="36"/>
      <c r="AO478" s="36"/>
      <c r="AP478" s="35"/>
      <c r="AQ478" s="35"/>
      <c r="AR478" s="35"/>
      <c r="AS478" s="35"/>
      <c r="AT478" s="35"/>
      <c r="AU478" s="35"/>
      <c r="AV478" s="35"/>
      <c r="AW478" s="35"/>
      <c r="AX478" s="35"/>
      <c r="AY478" s="35"/>
      <c r="AZ478" s="35"/>
      <c r="BA478" s="35"/>
      <c r="BB478" s="35"/>
      <c r="BC478" s="35"/>
      <c r="BD478" s="35"/>
      <c r="BE478" s="35"/>
      <c r="BF478" s="35"/>
      <c r="BG478" s="35"/>
      <c r="BH478" s="35"/>
      <c r="BI478" s="35"/>
      <c r="BJ478" s="35"/>
      <c r="BK478" s="35"/>
      <c r="BL478" s="35"/>
      <c r="BM478" s="35"/>
      <c r="BN478" s="35"/>
      <c r="BO478" s="35"/>
      <c r="BP478" s="35"/>
      <c r="BQ478" s="35"/>
      <c r="BR478" s="35"/>
      <c r="BS478" s="35"/>
      <c r="BT478" s="35"/>
      <c r="BU478" s="35"/>
      <c r="BV478" s="35"/>
      <c r="BW478" s="35"/>
      <c r="BX478" s="35"/>
      <c r="BY478" s="35"/>
      <c r="BZ478" s="35"/>
      <c r="CA478" s="35"/>
      <c r="CB478" s="35"/>
      <c r="CC478" s="35"/>
      <c r="CD478" s="35"/>
      <c r="CE478" s="35"/>
      <c r="CF478" s="35"/>
      <c r="CG478" s="35"/>
      <c r="CH478" s="35"/>
      <c r="CI478" s="35"/>
      <c r="CJ478" s="35"/>
      <c r="CK478" s="35"/>
      <c r="CL478" s="35"/>
      <c r="CM478" s="35"/>
      <c r="CN478" s="35"/>
      <c r="CO478" s="35"/>
      <c r="CP478" s="35"/>
      <c r="CQ478" s="35"/>
      <c r="CR478" s="35"/>
      <c r="CS478" s="35"/>
      <c r="CT478" s="35"/>
      <c r="CU478" s="35"/>
      <c r="CV478" s="35"/>
      <c r="CW478" s="35"/>
      <c r="CX478" s="35"/>
      <c r="CY478" s="35"/>
      <c r="CZ478" s="35"/>
      <c r="DA478" s="35"/>
      <c r="DB478" s="35"/>
      <c r="DC478" s="35"/>
      <c r="DD478" s="35"/>
      <c r="DE478" s="35"/>
      <c r="DF478" s="35"/>
      <c r="DG478" s="35"/>
      <c r="DH478" s="35"/>
      <c r="DI478" s="35"/>
      <c r="DJ478" s="35"/>
      <c r="DK478" s="35"/>
      <c r="DL478" s="35"/>
      <c r="DM478" s="35"/>
      <c r="DN478" s="35"/>
      <c r="DO478" s="35"/>
      <c r="DP478" s="35"/>
      <c r="DQ478" s="35"/>
      <c r="DR478" s="35"/>
      <c r="DS478" s="35"/>
      <c r="DT478" s="35"/>
      <c r="DU478" s="35"/>
      <c r="DV478" s="35"/>
      <c r="DW478" s="35"/>
      <c r="DX478" s="35"/>
      <c r="DY478" s="35"/>
      <c r="DZ478" s="35"/>
      <c r="EA478" s="35"/>
      <c r="EB478" s="35"/>
      <c r="EC478" s="35"/>
      <c r="ED478" s="35"/>
      <c r="EE478" s="35"/>
      <c r="EF478" s="35"/>
      <c r="EG478" s="35"/>
      <c r="EH478" s="35"/>
      <c r="EI478" s="35"/>
      <c r="EJ478" s="35"/>
      <c r="EK478" s="35"/>
      <c r="EL478" s="35"/>
      <c r="EM478" s="35"/>
      <c r="EN478" s="35"/>
      <c r="EO478" s="35"/>
      <c r="EP478" s="35"/>
      <c r="EQ478" s="35"/>
      <c r="ER478" s="35"/>
      <c r="ES478" s="35"/>
      <c r="ET478" s="35"/>
      <c r="EU478" s="35"/>
      <c r="EV478" s="35"/>
      <c r="EW478" s="35"/>
      <c r="EX478" s="35"/>
      <c r="EY478" s="35"/>
      <c r="EZ478" s="35"/>
      <c r="FA478" s="35"/>
      <c r="FB478" s="35"/>
      <c r="FC478" s="35"/>
      <c r="FD478" s="35"/>
      <c r="FE478" s="35"/>
      <c r="FF478" s="35"/>
      <c r="FG478" s="35"/>
      <c r="FH478" s="35"/>
      <c r="FI478" s="35"/>
      <c r="FJ478" s="35"/>
      <c r="FK478" s="35"/>
      <c r="FL478" s="35"/>
      <c r="FM478" s="35"/>
      <c r="FN478" s="35"/>
      <c r="FO478" s="35"/>
      <c r="FP478" s="35"/>
      <c r="FQ478" s="35"/>
      <c r="FR478" s="35"/>
      <c r="FS478" s="35">
        <v>-1</v>
      </c>
      <c r="FT478" s="35"/>
      <c r="FU478" s="35"/>
      <c r="FV478" s="35"/>
      <c r="FW478" s="35"/>
      <c r="FX478" s="35"/>
      <c r="FY478" s="35"/>
      <c r="FZ478" s="35"/>
      <c r="GA478" s="35"/>
      <c r="GB478" s="318"/>
      <c r="GC478" s="325"/>
      <c r="GD478" s="325"/>
      <c r="GE478" s="325"/>
      <c r="GF478" s="325"/>
      <c r="GG478" s="325"/>
    </row>
    <row r="479" spans="1:189" x14ac:dyDescent="0.35">
      <c r="A479" s="6" t="s">
        <v>1740</v>
      </c>
      <c r="B479" s="6" t="str">
        <f>IF(Technologies!B479&lt;&gt;0,Technologies!B479,"")</f>
        <v>Landbouw</v>
      </c>
      <c r="C479" s="6" t="str">
        <f>VLOOKUP($A479,Technologies!$A$7:$H$576,3,FALSE)</f>
        <v>Emission</v>
      </c>
      <c r="D479" s="6" t="str">
        <f>VLOOKUP($A479,Technologies!$A$7:$H$576,4,FALSE)</f>
        <v>Agriculture</v>
      </c>
      <c r="E479" s="6" t="str">
        <f>VLOOKUP($A479,Technologies!$A$7:$H$576,6,FALSE)</f>
        <v>Emitted neGHG - Agriculture - N2O</v>
      </c>
      <c r="F479" s="48" t="str">
        <f>VLOOKUP($A479,Technologies!$A$7:$H$576,7,FALSE)</f>
        <v>MACC Component 2 - neGHG N2O Manure Management</v>
      </c>
      <c r="G479" s="22"/>
      <c r="H479" s="22"/>
      <c r="I479" s="103" cm="1">
        <f t="array" ref="I479">-SUMPRODUCT((Feedstocks!$C$4:$C$141=A479)*Feedstocks!$E$4:$E$141,Feedstocks!$F$4:$F$141,Feedstocks!$H$4:$H$141,Feedstocks!$I$4:$I$141)</f>
        <v>0</v>
      </c>
      <c r="J479" s="103" cm="1">
        <f t="array" ref="J479">-SUMPRODUCT((Feedstocks!$C$4:$C$141=A479)*Feedstocks!$E$4:$E$141,Feedstocks!$H$4:$H$141,Feedstocks!$I$4:$I$141)</f>
        <v>0</v>
      </c>
      <c r="K479" s="103"/>
      <c r="L479" s="103"/>
      <c r="M479" s="22"/>
      <c r="N479" s="22" t="str">
        <f>VLOOKUP(E479,Activities!$A$9:$M$227,13,FALSE)</f>
        <v>NL</v>
      </c>
      <c r="O479" s="22"/>
      <c r="P479" s="80" t="s">
        <v>415</v>
      </c>
      <c r="Q479" s="36"/>
      <c r="R479" s="36"/>
      <c r="S479" s="36"/>
      <c r="T479" s="36"/>
      <c r="U479" s="36"/>
      <c r="V479" s="36"/>
      <c r="W479" s="36"/>
      <c r="X479" s="36"/>
      <c r="Y479" s="36"/>
      <c r="Z479" s="36"/>
      <c r="AA479" s="36"/>
      <c r="AB479" s="36"/>
      <c r="AC479" s="36"/>
      <c r="AD479" s="36"/>
      <c r="AE479" s="36"/>
      <c r="AF479" s="35"/>
      <c r="AG479" s="35"/>
      <c r="AH479" s="35"/>
      <c r="AI479" s="35"/>
      <c r="AJ479" s="35"/>
      <c r="AK479" s="35"/>
      <c r="AL479" s="35"/>
      <c r="AM479" s="35"/>
      <c r="AN479" s="35"/>
      <c r="AO479" s="35"/>
      <c r="AP479" s="36"/>
      <c r="AQ479" s="36"/>
      <c r="AR479" s="36"/>
      <c r="AS479" s="36"/>
      <c r="AT479" s="36"/>
      <c r="AU479" s="36"/>
      <c r="AV479" s="36"/>
      <c r="AW479" s="36"/>
      <c r="AX479" s="36"/>
      <c r="AY479" s="36"/>
      <c r="AZ479" s="36"/>
      <c r="BA479" s="36"/>
      <c r="BB479" s="36"/>
      <c r="BC479" s="36"/>
      <c r="BD479" s="36"/>
      <c r="BE479" s="36"/>
      <c r="BF479" s="36"/>
      <c r="BG479" s="36"/>
      <c r="BH479" s="36"/>
      <c r="BI479" s="36"/>
      <c r="BJ479" s="36"/>
      <c r="BK479" s="36"/>
      <c r="BL479" s="36"/>
      <c r="BM479" s="36"/>
      <c r="BN479" s="36"/>
      <c r="BO479" s="36"/>
      <c r="BP479" s="36"/>
      <c r="BQ479" s="36"/>
      <c r="BR479" s="36"/>
      <c r="BS479" s="36"/>
      <c r="BT479" s="36"/>
      <c r="BU479" s="36"/>
      <c r="BV479" s="36"/>
      <c r="BW479" s="36"/>
      <c r="BX479" s="36"/>
      <c r="BY479" s="36"/>
      <c r="BZ479" s="36"/>
      <c r="CA479" s="36"/>
      <c r="CB479" s="36"/>
      <c r="CC479" s="36"/>
      <c r="CD479" s="36"/>
      <c r="CE479" s="36"/>
      <c r="CF479" s="36"/>
      <c r="CG479" s="36"/>
      <c r="CH479" s="36"/>
      <c r="CI479" s="36"/>
      <c r="CJ479" s="36"/>
      <c r="CK479" s="36"/>
      <c r="CL479" s="36"/>
      <c r="CM479" s="36"/>
      <c r="CN479" s="36"/>
      <c r="CO479" s="36"/>
      <c r="CP479" s="36"/>
      <c r="CQ479" s="36"/>
      <c r="CR479" s="36"/>
      <c r="CS479" s="36"/>
      <c r="CT479" s="36"/>
      <c r="CU479" s="36"/>
      <c r="CV479" s="36"/>
      <c r="CW479" s="36"/>
      <c r="CX479" s="36"/>
      <c r="CY479" s="36"/>
      <c r="CZ479" s="36"/>
      <c r="DA479" s="36"/>
      <c r="DB479" s="36"/>
      <c r="DC479" s="36"/>
      <c r="DD479" s="36"/>
      <c r="DE479" s="36"/>
      <c r="DF479" s="36"/>
      <c r="DG479" s="36"/>
      <c r="DH479" s="36"/>
      <c r="DI479" s="36"/>
      <c r="DJ479" s="36"/>
      <c r="DK479" s="36"/>
      <c r="DL479" s="36"/>
      <c r="DM479" s="36"/>
      <c r="DN479" s="36"/>
      <c r="DO479" s="36"/>
      <c r="DP479" s="36"/>
      <c r="DQ479" s="36"/>
      <c r="DR479" s="36"/>
      <c r="DS479" s="36"/>
      <c r="DT479" s="36"/>
      <c r="DU479" s="36"/>
      <c r="DV479" s="36"/>
      <c r="DW479" s="36"/>
      <c r="DX479" s="36"/>
      <c r="DY479" s="36"/>
      <c r="DZ479" s="36"/>
      <c r="EA479" s="36"/>
      <c r="EB479" s="36"/>
      <c r="EC479" s="36"/>
      <c r="ED479" s="36"/>
      <c r="EE479" s="36"/>
      <c r="EF479" s="36"/>
      <c r="EG479" s="36"/>
      <c r="EH479" s="36"/>
      <c r="EI479" s="36"/>
      <c r="EJ479" s="36"/>
      <c r="EK479" s="36"/>
      <c r="EL479" s="36"/>
      <c r="EM479" s="36"/>
      <c r="EN479" s="36"/>
      <c r="EO479" s="36"/>
      <c r="EP479" s="36"/>
      <c r="EQ479" s="36"/>
      <c r="ER479" s="36"/>
      <c r="ES479" s="36"/>
      <c r="ET479" s="36"/>
      <c r="EU479" s="36"/>
      <c r="EV479" s="36"/>
      <c r="EW479" s="36"/>
      <c r="EX479" s="36"/>
      <c r="EY479" s="36"/>
      <c r="EZ479" s="36"/>
      <c r="FA479" s="36"/>
      <c r="FB479" s="36"/>
      <c r="FC479" s="36"/>
      <c r="FD479" s="36"/>
      <c r="FE479" s="36"/>
      <c r="FF479" s="36"/>
      <c r="FG479" s="36"/>
      <c r="FH479" s="36"/>
      <c r="FI479" s="36"/>
      <c r="FJ479" s="36"/>
      <c r="FK479" s="36"/>
      <c r="FL479" s="36"/>
      <c r="FM479" s="36"/>
      <c r="FN479" s="36"/>
      <c r="FO479" s="36"/>
      <c r="FP479" s="36"/>
      <c r="FQ479" s="36"/>
      <c r="FR479" s="36"/>
      <c r="FS479" s="36">
        <v>-1</v>
      </c>
      <c r="FT479" s="36"/>
      <c r="FU479" s="36"/>
      <c r="FV479" s="36"/>
      <c r="FW479" s="36"/>
      <c r="FX479" s="36"/>
      <c r="FY479" s="36"/>
      <c r="FZ479" s="36"/>
      <c r="GA479" s="36"/>
      <c r="GB479" s="319"/>
      <c r="GC479" s="324"/>
      <c r="GD479" s="324"/>
      <c r="GE479" s="324"/>
      <c r="GF479" s="324"/>
      <c r="GG479" s="324"/>
    </row>
    <row r="480" spans="1:189" x14ac:dyDescent="0.35">
      <c r="A480" s="5" t="s">
        <v>1742</v>
      </c>
      <c r="B480" s="6" t="str">
        <f>IF(Technologies!B480&lt;&gt;0,Technologies!B480,"")</f>
        <v>Landbouw</v>
      </c>
      <c r="C480" s="5" t="str">
        <f>VLOOKUP($A480,Technologies!$A$7:$H$576,3,FALSE)</f>
        <v>Emission</v>
      </c>
      <c r="D480" s="5" t="str">
        <f>VLOOKUP($A480,Technologies!$A$7:$H$576,4,FALSE)</f>
        <v>Agriculture</v>
      </c>
      <c r="E480" s="5" t="str">
        <f>VLOOKUP($A480,Technologies!$A$7:$H$576,6,FALSE)</f>
        <v>Emitted neGHG - Agriculture - N2O</v>
      </c>
      <c r="F480" s="5" t="str">
        <f>VLOOKUP($A480,Technologies!$A$7:$H$576,7,FALSE)</f>
        <v>MACC Component 3 - neGHG N2O Manure Management</v>
      </c>
      <c r="G480" s="23"/>
      <c r="H480" s="23"/>
      <c r="I480" s="104" cm="1">
        <f t="array" ref="I480">-SUMPRODUCT((Feedstocks!$C$4:$C$141=A480)*Feedstocks!$E$4:$E$141,Feedstocks!$F$4:$F$141,Feedstocks!$H$4:$H$141,Feedstocks!$I$4:$I$141)</f>
        <v>0</v>
      </c>
      <c r="J480" s="104" cm="1">
        <f t="array" ref="J480">-SUMPRODUCT((Feedstocks!$C$4:$C$141=A480)*Feedstocks!$E$4:$E$141,Feedstocks!$H$4:$H$141,Feedstocks!$I$4:$I$141)</f>
        <v>0</v>
      </c>
      <c r="K480" s="104"/>
      <c r="L480" s="104"/>
      <c r="M480" s="23"/>
      <c r="N480" s="23" t="str">
        <f>VLOOKUP(E480,Activities!$A$9:$M$227,13,FALSE)</f>
        <v>NL</v>
      </c>
      <c r="O480" s="23"/>
      <c r="P480" s="79" t="s">
        <v>415</v>
      </c>
      <c r="Q480" s="35"/>
      <c r="R480" s="35"/>
      <c r="S480" s="35"/>
      <c r="T480" s="35"/>
      <c r="U480" s="35"/>
      <c r="V480" s="35"/>
      <c r="W480" s="35"/>
      <c r="X480" s="35"/>
      <c r="Y480" s="35"/>
      <c r="Z480" s="35"/>
      <c r="AA480" s="35"/>
      <c r="AB480" s="35"/>
      <c r="AC480" s="35"/>
      <c r="AD480" s="35"/>
      <c r="AE480" s="35"/>
      <c r="AF480" s="36"/>
      <c r="AG480" s="36"/>
      <c r="AH480" s="36"/>
      <c r="AI480" s="36"/>
      <c r="AJ480" s="36"/>
      <c r="AK480" s="36"/>
      <c r="AL480" s="36"/>
      <c r="AM480" s="36"/>
      <c r="AN480" s="36"/>
      <c r="AO480" s="36"/>
      <c r="AP480" s="35"/>
      <c r="AQ480" s="35"/>
      <c r="AR480" s="35"/>
      <c r="AS480" s="35"/>
      <c r="AT480" s="35"/>
      <c r="AU480" s="35"/>
      <c r="AV480" s="35"/>
      <c r="AW480" s="35"/>
      <c r="AX480" s="35"/>
      <c r="AY480" s="35"/>
      <c r="AZ480" s="35"/>
      <c r="BA480" s="35"/>
      <c r="BB480" s="35"/>
      <c r="BC480" s="35"/>
      <c r="BD480" s="35"/>
      <c r="BE480" s="35"/>
      <c r="BF480" s="35"/>
      <c r="BG480" s="35"/>
      <c r="BH480" s="35"/>
      <c r="BI480" s="35"/>
      <c r="BJ480" s="35"/>
      <c r="BK480" s="35"/>
      <c r="BL480" s="35"/>
      <c r="BM480" s="35"/>
      <c r="BN480" s="35"/>
      <c r="BO480" s="35"/>
      <c r="BP480" s="35"/>
      <c r="BQ480" s="35"/>
      <c r="BR480" s="35"/>
      <c r="BS480" s="35"/>
      <c r="BT480" s="35"/>
      <c r="BU480" s="35"/>
      <c r="BV480" s="35"/>
      <c r="BW480" s="35"/>
      <c r="BX480" s="35"/>
      <c r="BY480" s="35"/>
      <c r="BZ480" s="35"/>
      <c r="CA480" s="35"/>
      <c r="CB480" s="35"/>
      <c r="CC480" s="35"/>
      <c r="CD480" s="35"/>
      <c r="CE480" s="35"/>
      <c r="CF480" s="35"/>
      <c r="CG480" s="35"/>
      <c r="CH480" s="35"/>
      <c r="CI480" s="35"/>
      <c r="CJ480" s="35"/>
      <c r="CK480" s="35"/>
      <c r="CL480" s="35"/>
      <c r="CM480" s="35"/>
      <c r="CN480" s="35"/>
      <c r="CO480" s="35"/>
      <c r="CP480" s="35"/>
      <c r="CQ480" s="35"/>
      <c r="CR480" s="35"/>
      <c r="CS480" s="35"/>
      <c r="CT480" s="35"/>
      <c r="CU480" s="35"/>
      <c r="CV480" s="35"/>
      <c r="CW480" s="35"/>
      <c r="CX480" s="35"/>
      <c r="CY480" s="35"/>
      <c r="CZ480" s="35"/>
      <c r="DA480" s="35"/>
      <c r="DB480" s="35"/>
      <c r="DC480" s="35"/>
      <c r="DD480" s="35"/>
      <c r="DE480" s="35"/>
      <c r="DF480" s="35"/>
      <c r="DG480" s="35"/>
      <c r="DH480" s="35"/>
      <c r="DI480" s="35"/>
      <c r="DJ480" s="35"/>
      <c r="DK480" s="35"/>
      <c r="DL480" s="35"/>
      <c r="DM480" s="35"/>
      <c r="DN480" s="35"/>
      <c r="DO480" s="35"/>
      <c r="DP480" s="35"/>
      <c r="DQ480" s="35"/>
      <c r="DR480" s="35"/>
      <c r="DS480" s="35"/>
      <c r="DT480" s="35"/>
      <c r="DU480" s="35"/>
      <c r="DV480" s="35"/>
      <c r="DW480" s="35"/>
      <c r="DX480" s="35"/>
      <c r="DY480" s="35"/>
      <c r="DZ480" s="35"/>
      <c r="EA480" s="35"/>
      <c r="EB480" s="35"/>
      <c r="EC480" s="35"/>
      <c r="ED480" s="35"/>
      <c r="EE480" s="35"/>
      <c r="EF480" s="35"/>
      <c r="EG480" s="35"/>
      <c r="EH480" s="35"/>
      <c r="EI480" s="35"/>
      <c r="EJ480" s="35"/>
      <c r="EK480" s="35"/>
      <c r="EL480" s="35"/>
      <c r="EM480" s="35"/>
      <c r="EN480" s="35"/>
      <c r="EO480" s="35"/>
      <c r="EP480" s="35"/>
      <c r="EQ480" s="35"/>
      <c r="ER480" s="35"/>
      <c r="ES480" s="35"/>
      <c r="ET480" s="35"/>
      <c r="EU480" s="35"/>
      <c r="EV480" s="35"/>
      <c r="EW480" s="35"/>
      <c r="EX480" s="35"/>
      <c r="EY480" s="35"/>
      <c r="EZ480" s="35"/>
      <c r="FA480" s="35"/>
      <c r="FB480" s="35"/>
      <c r="FC480" s="35"/>
      <c r="FD480" s="35"/>
      <c r="FE480" s="35"/>
      <c r="FF480" s="35"/>
      <c r="FG480" s="35"/>
      <c r="FH480" s="35"/>
      <c r="FI480" s="35"/>
      <c r="FJ480" s="35"/>
      <c r="FK480" s="35"/>
      <c r="FL480" s="35"/>
      <c r="FM480" s="35"/>
      <c r="FN480" s="35"/>
      <c r="FO480" s="35"/>
      <c r="FP480" s="35"/>
      <c r="FQ480" s="35"/>
      <c r="FR480" s="35"/>
      <c r="FS480" s="35">
        <v>-1</v>
      </c>
      <c r="FT480" s="35"/>
      <c r="FU480" s="35"/>
      <c r="FV480" s="35"/>
      <c r="FW480" s="35"/>
      <c r="FX480" s="35"/>
      <c r="FY480" s="35"/>
      <c r="FZ480" s="35"/>
      <c r="GA480" s="35"/>
      <c r="GB480" s="318"/>
      <c r="GC480" s="325"/>
      <c r="GD480" s="325"/>
      <c r="GE480" s="325"/>
      <c r="GF480" s="325"/>
      <c r="GG480" s="325"/>
    </row>
    <row r="481" spans="1:189" x14ac:dyDescent="0.35">
      <c r="A481" s="6" t="s">
        <v>1744</v>
      </c>
      <c r="B481" s="6" t="str">
        <f>IF(Technologies!B481&lt;&gt;0,Technologies!B481,"")</f>
        <v>Landbouw</v>
      </c>
      <c r="C481" s="6" t="str">
        <f>VLOOKUP($A481,Technologies!$A$7:$H$576,3,FALSE)</f>
        <v>Emission</v>
      </c>
      <c r="D481" s="6" t="str">
        <f>VLOOKUP($A481,Technologies!$A$7:$H$576,4,FALSE)</f>
        <v>Agriculture</v>
      </c>
      <c r="E481" s="6" t="str">
        <f>VLOOKUP($A481,Technologies!$A$7:$H$576,6,FALSE)</f>
        <v>Emitted neGHG - Agriculture - N2O</v>
      </c>
      <c r="F481" s="48" t="str">
        <f>VLOOKUP($A481,Technologies!$A$7:$H$576,7,FALSE)</f>
        <v>MACC Component 1 - neGHG N2O Other</v>
      </c>
      <c r="G481" s="22"/>
      <c r="H481" s="22"/>
      <c r="I481" s="103" cm="1">
        <f t="array" ref="I481">-SUMPRODUCT((Feedstocks!$C$4:$C$141=A481)*Feedstocks!$E$4:$E$141,Feedstocks!$F$4:$F$141,Feedstocks!$H$4:$H$141,Feedstocks!$I$4:$I$141)</f>
        <v>0</v>
      </c>
      <c r="J481" s="103" cm="1">
        <f t="array" ref="J481">-SUMPRODUCT((Feedstocks!$C$4:$C$141=A481)*Feedstocks!$E$4:$E$141,Feedstocks!$H$4:$H$141,Feedstocks!$I$4:$I$141)</f>
        <v>0</v>
      </c>
      <c r="K481" s="103"/>
      <c r="L481" s="103"/>
      <c r="M481" s="22"/>
      <c r="N481" s="22" t="str">
        <f>VLOOKUP(E481,Activities!$A$9:$M$227,13,FALSE)</f>
        <v>NL</v>
      </c>
      <c r="O481" s="22"/>
      <c r="P481" s="80" t="s">
        <v>415</v>
      </c>
      <c r="Q481" s="36"/>
      <c r="R481" s="36"/>
      <c r="S481" s="36"/>
      <c r="T481" s="36"/>
      <c r="U481" s="36"/>
      <c r="V481" s="36"/>
      <c r="W481" s="36"/>
      <c r="X481" s="36"/>
      <c r="Y481" s="36"/>
      <c r="Z481" s="36"/>
      <c r="AA481" s="36"/>
      <c r="AB481" s="36"/>
      <c r="AC481" s="36"/>
      <c r="AD481" s="36"/>
      <c r="AE481" s="36"/>
      <c r="AF481" s="35"/>
      <c r="AG481" s="35"/>
      <c r="AH481" s="35"/>
      <c r="AI481" s="35"/>
      <c r="AJ481" s="35"/>
      <c r="AK481" s="35"/>
      <c r="AL481" s="35"/>
      <c r="AM481" s="35"/>
      <c r="AN481" s="35"/>
      <c r="AO481" s="35"/>
      <c r="AP481" s="36"/>
      <c r="AQ481" s="36"/>
      <c r="AR481" s="36"/>
      <c r="AS481" s="36"/>
      <c r="AT481" s="36"/>
      <c r="AU481" s="36"/>
      <c r="AV481" s="36"/>
      <c r="AW481" s="36"/>
      <c r="AX481" s="36"/>
      <c r="AY481" s="36"/>
      <c r="AZ481" s="36"/>
      <c r="BA481" s="36"/>
      <c r="BB481" s="36"/>
      <c r="BC481" s="36"/>
      <c r="BD481" s="36"/>
      <c r="BE481" s="36"/>
      <c r="BF481" s="36"/>
      <c r="BG481" s="36"/>
      <c r="BH481" s="36"/>
      <c r="BI481" s="36"/>
      <c r="BJ481" s="36"/>
      <c r="BK481" s="36"/>
      <c r="BL481" s="36"/>
      <c r="BM481" s="36"/>
      <c r="BN481" s="36"/>
      <c r="BO481" s="36"/>
      <c r="BP481" s="36"/>
      <c r="BQ481" s="36"/>
      <c r="BR481" s="36"/>
      <c r="BS481" s="36"/>
      <c r="BT481" s="36"/>
      <c r="BU481" s="36"/>
      <c r="BV481" s="36"/>
      <c r="BW481" s="36"/>
      <c r="BX481" s="36"/>
      <c r="BY481" s="36"/>
      <c r="BZ481" s="36"/>
      <c r="CA481" s="36"/>
      <c r="CB481" s="36"/>
      <c r="CC481" s="36"/>
      <c r="CD481" s="36"/>
      <c r="CE481" s="36"/>
      <c r="CF481" s="36"/>
      <c r="CG481" s="36"/>
      <c r="CH481" s="36"/>
      <c r="CI481" s="36"/>
      <c r="CJ481" s="36"/>
      <c r="CK481" s="36"/>
      <c r="CL481" s="36"/>
      <c r="CM481" s="36"/>
      <c r="CN481" s="36"/>
      <c r="CO481" s="36"/>
      <c r="CP481" s="36"/>
      <c r="CQ481" s="36"/>
      <c r="CR481" s="36"/>
      <c r="CS481" s="36"/>
      <c r="CT481" s="36"/>
      <c r="CU481" s="36"/>
      <c r="CV481" s="36"/>
      <c r="CW481" s="36"/>
      <c r="CX481" s="36"/>
      <c r="CY481" s="36"/>
      <c r="CZ481" s="36"/>
      <c r="DA481" s="36"/>
      <c r="DB481" s="36"/>
      <c r="DC481" s="36"/>
      <c r="DD481" s="36"/>
      <c r="DE481" s="36"/>
      <c r="DF481" s="36"/>
      <c r="DG481" s="36"/>
      <c r="DH481" s="36"/>
      <c r="DI481" s="36"/>
      <c r="DJ481" s="36"/>
      <c r="DK481" s="36"/>
      <c r="DL481" s="36"/>
      <c r="DM481" s="36"/>
      <c r="DN481" s="36"/>
      <c r="DO481" s="36"/>
      <c r="DP481" s="36"/>
      <c r="DQ481" s="36"/>
      <c r="DR481" s="36"/>
      <c r="DS481" s="36"/>
      <c r="DT481" s="36"/>
      <c r="DU481" s="36"/>
      <c r="DV481" s="36"/>
      <c r="DW481" s="36"/>
      <c r="DX481" s="36"/>
      <c r="DY481" s="36"/>
      <c r="DZ481" s="36"/>
      <c r="EA481" s="36"/>
      <c r="EB481" s="36"/>
      <c r="EC481" s="36"/>
      <c r="ED481" s="36"/>
      <c r="EE481" s="36"/>
      <c r="EF481" s="36"/>
      <c r="EG481" s="36"/>
      <c r="EH481" s="36"/>
      <c r="EI481" s="36"/>
      <c r="EJ481" s="36"/>
      <c r="EK481" s="36"/>
      <c r="EL481" s="36"/>
      <c r="EM481" s="36"/>
      <c r="EN481" s="36"/>
      <c r="EO481" s="36"/>
      <c r="EP481" s="36"/>
      <c r="EQ481" s="36"/>
      <c r="ER481" s="36"/>
      <c r="ES481" s="36"/>
      <c r="ET481" s="36"/>
      <c r="EU481" s="36"/>
      <c r="EV481" s="36"/>
      <c r="EW481" s="36"/>
      <c r="EX481" s="36"/>
      <c r="EY481" s="36"/>
      <c r="EZ481" s="36"/>
      <c r="FA481" s="36"/>
      <c r="FB481" s="36"/>
      <c r="FC481" s="36"/>
      <c r="FD481" s="36"/>
      <c r="FE481" s="36"/>
      <c r="FF481" s="36"/>
      <c r="FG481" s="36"/>
      <c r="FH481" s="36"/>
      <c r="FI481" s="36"/>
      <c r="FJ481" s="36"/>
      <c r="FK481" s="36"/>
      <c r="FL481" s="36"/>
      <c r="FM481" s="36"/>
      <c r="FN481" s="36"/>
      <c r="FO481" s="36"/>
      <c r="FP481" s="36"/>
      <c r="FQ481" s="36"/>
      <c r="FR481" s="36"/>
      <c r="FS481" s="36">
        <v>-1</v>
      </c>
      <c r="FT481" s="36"/>
      <c r="FU481" s="36"/>
      <c r="FV481" s="36"/>
      <c r="FW481" s="36"/>
      <c r="FX481" s="36"/>
      <c r="FY481" s="36"/>
      <c r="FZ481" s="36"/>
      <c r="GA481" s="36"/>
      <c r="GB481" s="319"/>
      <c r="GC481" s="324"/>
      <c r="GD481" s="324"/>
      <c r="GE481" s="324"/>
      <c r="GF481" s="324"/>
      <c r="GG481" s="324"/>
    </row>
    <row r="482" spans="1:189" x14ac:dyDescent="0.35">
      <c r="A482" s="5" t="s">
        <v>1746</v>
      </c>
      <c r="B482" s="6" t="str">
        <f>IF(Technologies!B482&lt;&gt;0,Technologies!B482,"")</f>
        <v>Industrie</v>
      </c>
      <c r="C482" s="5" t="str">
        <f>VLOOKUP($A482,Technologies!$A$7:$H$576,3,FALSE)</f>
        <v>Emission</v>
      </c>
      <c r="D482" s="5" t="str">
        <f>VLOOKUP($A482,Technologies!$A$7:$H$576,4,FALSE)</f>
        <v>Industry</v>
      </c>
      <c r="E482" s="5" t="str">
        <f>VLOOKUP($A482,Technologies!$A$7:$H$576,6,FALSE)</f>
        <v>Emitted neGHG - Industry - CO2</v>
      </c>
      <c r="F482" s="5" t="str">
        <f>VLOOKUP($A482,Technologies!$A$7:$H$576,7,FALSE)</f>
        <v>Emitted neGHG - Industry - CO2</v>
      </c>
      <c r="G482" s="23"/>
      <c r="H482" s="23"/>
      <c r="I482" s="104" cm="1">
        <f t="array" ref="I482">-SUMPRODUCT((Feedstocks!$C$4:$C$141=A482)*Feedstocks!$E$4:$E$141,Feedstocks!$F$4:$F$141,Feedstocks!$H$4:$H$141,Feedstocks!$I$4:$I$141)</f>
        <v>0</v>
      </c>
      <c r="J482" s="104" cm="1">
        <f t="array" ref="J482">-SUMPRODUCT((Feedstocks!$C$4:$C$141=A482)*Feedstocks!$E$4:$E$141,Feedstocks!$H$4:$H$141,Feedstocks!$I$4:$I$141)</f>
        <v>0</v>
      </c>
      <c r="K482" s="104"/>
      <c r="L482" s="104">
        <v>1</v>
      </c>
      <c r="M482" s="23"/>
      <c r="N482" s="23" t="str">
        <f>VLOOKUP(E482,Activities!$A$9:$M$227,13,FALSE)</f>
        <v>NL</v>
      </c>
      <c r="O482" s="23"/>
      <c r="P482" s="79" t="s">
        <v>415</v>
      </c>
      <c r="Q482" s="35"/>
      <c r="R482" s="35"/>
      <c r="S482" s="35"/>
      <c r="T482" s="35"/>
      <c r="U482" s="35"/>
      <c r="V482" s="35"/>
      <c r="W482" s="35"/>
      <c r="X482" s="35"/>
      <c r="Y482" s="35"/>
      <c r="Z482" s="35"/>
      <c r="AA482" s="35"/>
      <c r="AB482" s="35"/>
      <c r="AC482" s="35"/>
      <c r="AD482" s="35"/>
      <c r="AE482" s="35"/>
      <c r="AF482" s="36"/>
      <c r="AG482" s="36"/>
      <c r="AH482" s="36"/>
      <c r="AI482" s="36"/>
      <c r="AJ482" s="36"/>
      <c r="AK482" s="36"/>
      <c r="AL482" s="36"/>
      <c r="AM482" s="36"/>
      <c r="AN482" s="36"/>
      <c r="AO482" s="36"/>
      <c r="AP482" s="35"/>
      <c r="AQ482" s="35"/>
      <c r="AR482" s="35"/>
      <c r="AS482" s="35"/>
      <c r="AT482" s="35"/>
      <c r="AU482" s="35"/>
      <c r="AV482" s="35"/>
      <c r="AW482" s="35"/>
      <c r="AX482" s="35"/>
      <c r="AY482" s="35"/>
      <c r="AZ482" s="35"/>
      <c r="BA482" s="35"/>
      <c r="BB482" s="35"/>
      <c r="BC482" s="35"/>
      <c r="BD482" s="35"/>
      <c r="BE482" s="35"/>
      <c r="BF482" s="35"/>
      <c r="BG482" s="35"/>
      <c r="BH482" s="35"/>
      <c r="BI482" s="35"/>
      <c r="BJ482" s="35"/>
      <c r="BK482" s="35"/>
      <c r="BL482" s="35"/>
      <c r="BM482" s="35"/>
      <c r="BN482" s="35"/>
      <c r="BO482" s="35"/>
      <c r="BP482" s="35"/>
      <c r="BQ482" s="35"/>
      <c r="BR482" s="35"/>
      <c r="BS482" s="35"/>
      <c r="BT482" s="35"/>
      <c r="BU482" s="35"/>
      <c r="BV482" s="35"/>
      <c r="BW482" s="35"/>
      <c r="BX482" s="35"/>
      <c r="BY482" s="35"/>
      <c r="BZ482" s="35"/>
      <c r="CA482" s="35"/>
      <c r="CB482" s="35"/>
      <c r="CC482" s="35"/>
      <c r="CD482" s="35"/>
      <c r="CE482" s="35"/>
      <c r="CF482" s="35"/>
      <c r="CG482" s="35"/>
      <c r="CH482" s="35"/>
      <c r="CI482" s="35"/>
      <c r="CJ482" s="35"/>
      <c r="CK482" s="35"/>
      <c r="CL482" s="35"/>
      <c r="CM482" s="35"/>
      <c r="CN482" s="35"/>
      <c r="CO482" s="35"/>
      <c r="CP482" s="35"/>
      <c r="CQ482" s="35"/>
      <c r="CR482" s="35"/>
      <c r="CS482" s="35"/>
      <c r="CT482" s="35"/>
      <c r="CU482" s="35"/>
      <c r="CV482" s="35"/>
      <c r="CW482" s="35"/>
      <c r="CX482" s="35"/>
      <c r="CY482" s="35"/>
      <c r="CZ482" s="35"/>
      <c r="DA482" s="35"/>
      <c r="DB482" s="35"/>
      <c r="DC482" s="35"/>
      <c r="DD482" s="35"/>
      <c r="DE482" s="35"/>
      <c r="DF482" s="35"/>
      <c r="DG482" s="35"/>
      <c r="DH482" s="35"/>
      <c r="DI482" s="35"/>
      <c r="DJ482" s="35"/>
      <c r="DK482" s="35"/>
      <c r="DL482" s="35"/>
      <c r="DM482" s="35"/>
      <c r="DN482" s="35"/>
      <c r="DO482" s="35"/>
      <c r="DP482" s="35"/>
      <c r="DQ482" s="35"/>
      <c r="DR482" s="35"/>
      <c r="DS482" s="35"/>
      <c r="DT482" s="35"/>
      <c r="DU482" s="35"/>
      <c r="DV482" s="35"/>
      <c r="DW482" s="35"/>
      <c r="DX482" s="35"/>
      <c r="DY482" s="35"/>
      <c r="DZ482" s="35"/>
      <c r="EA482" s="35"/>
      <c r="EB482" s="35"/>
      <c r="EC482" s="35"/>
      <c r="ED482" s="35"/>
      <c r="EE482" s="35"/>
      <c r="EF482" s="35"/>
      <c r="EG482" s="35"/>
      <c r="EH482" s="35"/>
      <c r="EI482" s="35"/>
      <c r="EJ482" s="35"/>
      <c r="EK482" s="35"/>
      <c r="EL482" s="35"/>
      <c r="EM482" s="35"/>
      <c r="EN482" s="35"/>
      <c r="EO482" s="35"/>
      <c r="EP482" s="35"/>
      <c r="EQ482" s="35"/>
      <c r="ER482" s="35"/>
      <c r="ES482" s="35"/>
      <c r="ET482" s="35"/>
      <c r="EU482" s="35"/>
      <c r="EV482" s="35"/>
      <c r="EW482" s="35"/>
      <c r="EX482" s="35"/>
      <c r="EY482" s="35"/>
      <c r="EZ482" s="35"/>
      <c r="FA482" s="35"/>
      <c r="FB482" s="35"/>
      <c r="FC482" s="35"/>
      <c r="FD482" s="35"/>
      <c r="FE482" s="35"/>
      <c r="FF482" s="35"/>
      <c r="FG482" s="35"/>
      <c r="FH482" s="35"/>
      <c r="FI482" s="35"/>
      <c r="FJ482" s="35"/>
      <c r="FK482" s="35"/>
      <c r="FL482" s="35"/>
      <c r="FM482" s="35"/>
      <c r="FN482" s="35"/>
      <c r="FO482" s="35"/>
      <c r="FP482" s="35"/>
      <c r="FQ482" s="35"/>
      <c r="FR482" s="35"/>
      <c r="FS482" s="35"/>
      <c r="FT482" s="35">
        <v>-1</v>
      </c>
      <c r="FU482" s="35"/>
      <c r="FV482" s="35"/>
      <c r="FW482" s="35"/>
      <c r="FX482" s="35"/>
      <c r="FY482" s="35"/>
      <c r="FZ482" s="35"/>
      <c r="GA482" s="35"/>
      <c r="GB482" s="318"/>
      <c r="GC482" s="325"/>
      <c r="GD482" s="325"/>
      <c r="GE482" s="325">
        <v>1</v>
      </c>
      <c r="GF482" s="325"/>
      <c r="GG482" s="325"/>
    </row>
    <row r="483" spans="1:189" x14ac:dyDescent="0.35">
      <c r="A483" s="6" t="s">
        <v>1747</v>
      </c>
      <c r="B483" s="6" t="str">
        <f>IF(Technologies!B483&lt;&gt;0,Technologies!B483,"")</f>
        <v>Industrie</v>
      </c>
      <c r="C483" s="6" t="str">
        <f>VLOOKUP($A483,Technologies!$A$7:$H$576,3,FALSE)</f>
        <v>Emission</v>
      </c>
      <c r="D483" s="6" t="str">
        <f>VLOOKUP($A483,Technologies!$A$7:$H$576,4,FALSE)</f>
        <v>Industry</v>
      </c>
      <c r="E483" s="6" t="str">
        <f>VLOOKUP($A483,Technologies!$A$7:$H$576,6,FALSE)</f>
        <v>Emitted neGHG - Industry - CO2</v>
      </c>
      <c r="F483" s="48" t="str">
        <f>VLOOKUP($A483,Technologies!$A$7:$H$576,7,FALSE)</f>
        <v>MACC Component 1 - neGHG CO2 Other</v>
      </c>
      <c r="G483" s="22"/>
      <c r="H483" s="22"/>
      <c r="I483" s="103" cm="1">
        <f t="array" ref="I483">-SUMPRODUCT((Feedstocks!$C$4:$C$141=A483)*Feedstocks!$E$4:$E$141,Feedstocks!$F$4:$F$141,Feedstocks!$H$4:$H$141,Feedstocks!$I$4:$I$141)</f>
        <v>0</v>
      </c>
      <c r="J483" s="103" cm="1">
        <f t="array" ref="J483">-SUMPRODUCT((Feedstocks!$C$4:$C$141=A483)*Feedstocks!$E$4:$E$141,Feedstocks!$H$4:$H$141,Feedstocks!$I$4:$I$141)</f>
        <v>0</v>
      </c>
      <c r="K483" s="103"/>
      <c r="L483" s="103"/>
      <c r="M483" s="22"/>
      <c r="N483" s="22" t="str">
        <f>VLOOKUP(E483,Activities!$A$9:$M$227,13,FALSE)</f>
        <v>NL</v>
      </c>
      <c r="O483" s="22"/>
      <c r="P483" s="80" t="s">
        <v>415</v>
      </c>
      <c r="Q483" s="36"/>
      <c r="R483" s="36"/>
      <c r="S483" s="36"/>
      <c r="T483" s="36"/>
      <c r="U483" s="36"/>
      <c r="V483" s="36"/>
      <c r="W483" s="36"/>
      <c r="X483" s="36"/>
      <c r="Y483" s="36"/>
      <c r="Z483" s="36"/>
      <c r="AA483" s="36"/>
      <c r="AB483" s="36"/>
      <c r="AC483" s="36"/>
      <c r="AD483" s="36"/>
      <c r="AE483" s="36"/>
      <c r="AF483" s="35"/>
      <c r="AG483" s="35"/>
      <c r="AH483" s="35"/>
      <c r="AI483" s="35"/>
      <c r="AJ483" s="35"/>
      <c r="AK483" s="35"/>
      <c r="AL483" s="35"/>
      <c r="AM483" s="35"/>
      <c r="AN483" s="35"/>
      <c r="AO483" s="35"/>
      <c r="AP483" s="36"/>
      <c r="AQ483" s="36"/>
      <c r="AR483" s="36"/>
      <c r="AS483" s="36"/>
      <c r="AT483" s="36"/>
      <c r="AU483" s="36"/>
      <c r="AV483" s="36"/>
      <c r="AW483" s="36"/>
      <c r="AX483" s="36"/>
      <c r="AY483" s="36"/>
      <c r="AZ483" s="36"/>
      <c r="BA483" s="36"/>
      <c r="BB483" s="36"/>
      <c r="BC483" s="36"/>
      <c r="BD483" s="36"/>
      <c r="BE483" s="36"/>
      <c r="BF483" s="36"/>
      <c r="BG483" s="36"/>
      <c r="BH483" s="36"/>
      <c r="BI483" s="36"/>
      <c r="BJ483" s="36"/>
      <c r="BK483" s="36"/>
      <c r="BL483" s="36"/>
      <c r="BM483" s="36"/>
      <c r="BN483" s="36"/>
      <c r="BO483" s="36"/>
      <c r="BP483" s="36"/>
      <c r="BQ483" s="36"/>
      <c r="BR483" s="36"/>
      <c r="BS483" s="36"/>
      <c r="BT483" s="36"/>
      <c r="BU483" s="36"/>
      <c r="BV483" s="36"/>
      <c r="BW483" s="36"/>
      <c r="BX483" s="36"/>
      <c r="BY483" s="36"/>
      <c r="BZ483" s="36"/>
      <c r="CA483" s="36"/>
      <c r="CB483" s="36"/>
      <c r="CC483" s="36"/>
      <c r="CD483" s="36"/>
      <c r="CE483" s="36"/>
      <c r="CF483" s="36"/>
      <c r="CG483" s="36"/>
      <c r="CH483" s="36"/>
      <c r="CI483" s="36"/>
      <c r="CJ483" s="36"/>
      <c r="CK483" s="36"/>
      <c r="CL483" s="36"/>
      <c r="CM483" s="36"/>
      <c r="CN483" s="36"/>
      <c r="CO483" s="36"/>
      <c r="CP483" s="36"/>
      <c r="CQ483" s="36"/>
      <c r="CR483" s="36"/>
      <c r="CS483" s="36"/>
      <c r="CT483" s="36"/>
      <c r="CU483" s="36"/>
      <c r="CV483" s="36"/>
      <c r="CW483" s="36"/>
      <c r="CX483" s="36"/>
      <c r="CY483" s="36"/>
      <c r="CZ483" s="36"/>
      <c r="DA483" s="36"/>
      <c r="DB483" s="36"/>
      <c r="DC483" s="36"/>
      <c r="DD483" s="36"/>
      <c r="DE483" s="36"/>
      <c r="DF483" s="36"/>
      <c r="DG483" s="36"/>
      <c r="DH483" s="36"/>
      <c r="DI483" s="36"/>
      <c r="DJ483" s="36"/>
      <c r="DK483" s="36"/>
      <c r="DL483" s="36"/>
      <c r="DM483" s="36"/>
      <c r="DN483" s="36"/>
      <c r="DO483" s="36"/>
      <c r="DP483" s="36"/>
      <c r="DQ483" s="36"/>
      <c r="DR483" s="36"/>
      <c r="DS483" s="36"/>
      <c r="DT483" s="36"/>
      <c r="DU483" s="36"/>
      <c r="DV483" s="36"/>
      <c r="DW483" s="36"/>
      <c r="DX483" s="36"/>
      <c r="DY483" s="36"/>
      <c r="DZ483" s="36"/>
      <c r="EA483" s="36"/>
      <c r="EB483" s="36"/>
      <c r="EC483" s="36"/>
      <c r="ED483" s="36"/>
      <c r="EE483" s="36"/>
      <c r="EF483" s="36"/>
      <c r="EG483" s="36"/>
      <c r="EH483" s="36"/>
      <c r="EI483" s="36"/>
      <c r="EJ483" s="36"/>
      <c r="EK483" s="36"/>
      <c r="EL483" s="36"/>
      <c r="EM483" s="36"/>
      <c r="EN483" s="36"/>
      <c r="EO483" s="36"/>
      <c r="EP483" s="36"/>
      <c r="EQ483" s="36"/>
      <c r="ER483" s="36"/>
      <c r="ES483" s="36"/>
      <c r="ET483" s="36"/>
      <c r="EU483" s="36"/>
      <c r="EV483" s="36"/>
      <c r="EW483" s="36"/>
      <c r="EX483" s="36"/>
      <c r="EY483" s="36"/>
      <c r="EZ483" s="36"/>
      <c r="FA483" s="36"/>
      <c r="FB483" s="36"/>
      <c r="FC483" s="36"/>
      <c r="FD483" s="36"/>
      <c r="FE483" s="36"/>
      <c r="FF483" s="36"/>
      <c r="FG483" s="36"/>
      <c r="FH483" s="36"/>
      <c r="FI483" s="36"/>
      <c r="FJ483" s="36"/>
      <c r="FK483" s="36"/>
      <c r="FL483" s="36"/>
      <c r="FM483" s="36"/>
      <c r="FN483" s="36"/>
      <c r="FO483" s="36"/>
      <c r="FP483" s="36"/>
      <c r="FQ483" s="36"/>
      <c r="FR483" s="36"/>
      <c r="FS483" s="36"/>
      <c r="FT483" s="36">
        <v>-1</v>
      </c>
      <c r="FU483" s="36"/>
      <c r="FV483" s="36"/>
      <c r="FW483" s="36"/>
      <c r="FX483" s="36"/>
      <c r="FY483" s="36"/>
      <c r="FZ483" s="36"/>
      <c r="GA483" s="36"/>
      <c r="GB483" s="319"/>
      <c r="GC483" s="324"/>
      <c r="GD483" s="324"/>
      <c r="GE483" s="324"/>
      <c r="GF483" s="324"/>
      <c r="GG483" s="324"/>
    </row>
    <row r="484" spans="1:189" x14ac:dyDescent="0.35">
      <c r="A484" s="5" t="s">
        <v>1748</v>
      </c>
      <c r="B484" s="6" t="str">
        <f>IF(Technologies!B484&lt;&gt;0,Technologies!B484,"")</f>
        <v>Industrie</v>
      </c>
      <c r="C484" s="5" t="str">
        <f>VLOOKUP($A484,Technologies!$A$7:$H$576,3,FALSE)</f>
        <v>Emission</v>
      </c>
      <c r="D484" s="5" t="str">
        <f>VLOOKUP($A484,Technologies!$A$7:$H$576,4,FALSE)</f>
        <v>Industry</v>
      </c>
      <c r="E484" s="5" t="str">
        <f>VLOOKUP($A484,Technologies!$A$7:$H$576,6,FALSE)</f>
        <v>Emitted neGHG - Industry - CH4</v>
      </c>
      <c r="F484" s="5" t="str">
        <f>VLOOKUP($A484,Technologies!$A$7:$H$576,7,FALSE)</f>
        <v>Emitted neGHG - Industry - CH4</v>
      </c>
      <c r="G484" s="23"/>
      <c r="H484" s="23"/>
      <c r="I484" s="104" cm="1">
        <f t="array" ref="I484">-SUMPRODUCT((Feedstocks!$C$4:$C$141=A484)*Feedstocks!$E$4:$E$141,Feedstocks!$F$4:$F$141,Feedstocks!$H$4:$H$141,Feedstocks!$I$4:$I$141)</f>
        <v>0</v>
      </c>
      <c r="J484" s="104" cm="1">
        <f t="array" ref="J484">-SUMPRODUCT((Feedstocks!$C$4:$C$141=A484)*Feedstocks!$E$4:$E$141,Feedstocks!$H$4:$H$141,Feedstocks!$I$4:$I$141)</f>
        <v>0</v>
      </c>
      <c r="K484" s="104"/>
      <c r="L484" s="104">
        <v>1</v>
      </c>
      <c r="M484" s="23"/>
      <c r="N484" s="23" t="str">
        <f>VLOOKUP(E484,Activities!$A$9:$M$227,13,FALSE)</f>
        <v>NL</v>
      </c>
      <c r="O484" s="23"/>
      <c r="P484" s="79" t="s">
        <v>415</v>
      </c>
      <c r="Q484" s="35"/>
      <c r="R484" s="35"/>
      <c r="S484" s="35"/>
      <c r="T484" s="35"/>
      <c r="U484" s="35"/>
      <c r="V484" s="35"/>
      <c r="W484" s="35"/>
      <c r="X484" s="35"/>
      <c r="Y484" s="35"/>
      <c r="Z484" s="35"/>
      <c r="AA484" s="35"/>
      <c r="AB484" s="35"/>
      <c r="AC484" s="35"/>
      <c r="AD484" s="35"/>
      <c r="AE484" s="35"/>
      <c r="AF484" s="36"/>
      <c r="AG484" s="36"/>
      <c r="AH484" s="36"/>
      <c r="AI484" s="36"/>
      <c r="AJ484" s="36"/>
      <c r="AK484" s="36"/>
      <c r="AL484" s="36"/>
      <c r="AM484" s="36"/>
      <c r="AN484" s="36"/>
      <c r="AO484" s="36"/>
      <c r="AP484" s="35"/>
      <c r="AQ484" s="35"/>
      <c r="AR484" s="35"/>
      <c r="AS484" s="35"/>
      <c r="AT484" s="35"/>
      <c r="AU484" s="35"/>
      <c r="AV484" s="35"/>
      <c r="AW484" s="35"/>
      <c r="AX484" s="35"/>
      <c r="AY484" s="35"/>
      <c r="AZ484" s="35"/>
      <c r="BA484" s="35"/>
      <c r="BB484" s="35"/>
      <c r="BC484" s="35"/>
      <c r="BD484" s="35"/>
      <c r="BE484" s="35"/>
      <c r="BF484" s="35"/>
      <c r="BG484" s="35"/>
      <c r="BH484" s="35"/>
      <c r="BI484" s="35"/>
      <c r="BJ484" s="35"/>
      <c r="BK484" s="35"/>
      <c r="BL484" s="35"/>
      <c r="BM484" s="35"/>
      <c r="BN484" s="35"/>
      <c r="BO484" s="35"/>
      <c r="BP484" s="35"/>
      <c r="BQ484" s="35"/>
      <c r="BR484" s="35"/>
      <c r="BS484" s="35"/>
      <c r="BT484" s="35"/>
      <c r="BU484" s="35"/>
      <c r="BV484" s="35"/>
      <c r="BW484" s="35"/>
      <c r="BX484" s="35"/>
      <c r="BY484" s="35"/>
      <c r="BZ484" s="35"/>
      <c r="CA484" s="35"/>
      <c r="CB484" s="35"/>
      <c r="CC484" s="35"/>
      <c r="CD484" s="35"/>
      <c r="CE484" s="35"/>
      <c r="CF484" s="35"/>
      <c r="CG484" s="35"/>
      <c r="CH484" s="35"/>
      <c r="CI484" s="35"/>
      <c r="CJ484" s="35"/>
      <c r="CK484" s="35"/>
      <c r="CL484" s="35"/>
      <c r="CM484" s="35"/>
      <c r="CN484" s="35"/>
      <c r="CO484" s="35"/>
      <c r="CP484" s="35"/>
      <c r="CQ484" s="35"/>
      <c r="CR484" s="35"/>
      <c r="CS484" s="35"/>
      <c r="CT484" s="35"/>
      <c r="CU484" s="35"/>
      <c r="CV484" s="35"/>
      <c r="CW484" s="35"/>
      <c r="CX484" s="35"/>
      <c r="CY484" s="35"/>
      <c r="CZ484" s="35"/>
      <c r="DA484" s="35"/>
      <c r="DB484" s="35"/>
      <c r="DC484" s="35"/>
      <c r="DD484" s="35"/>
      <c r="DE484" s="35"/>
      <c r="DF484" s="35"/>
      <c r="DG484" s="35"/>
      <c r="DH484" s="35"/>
      <c r="DI484" s="35"/>
      <c r="DJ484" s="35"/>
      <c r="DK484" s="35"/>
      <c r="DL484" s="35"/>
      <c r="DM484" s="35"/>
      <c r="DN484" s="35"/>
      <c r="DO484" s="35"/>
      <c r="DP484" s="35"/>
      <c r="DQ484" s="35"/>
      <c r="DR484" s="35"/>
      <c r="DS484" s="35"/>
      <c r="DT484" s="35"/>
      <c r="DU484" s="35"/>
      <c r="DV484" s="35"/>
      <c r="DW484" s="35"/>
      <c r="DX484" s="35"/>
      <c r="DY484" s="35"/>
      <c r="DZ484" s="35"/>
      <c r="EA484" s="35"/>
      <c r="EB484" s="35"/>
      <c r="EC484" s="35"/>
      <c r="ED484" s="35"/>
      <c r="EE484" s="35"/>
      <c r="EF484" s="35"/>
      <c r="EG484" s="35"/>
      <c r="EH484" s="35"/>
      <c r="EI484" s="35"/>
      <c r="EJ484" s="35"/>
      <c r="EK484" s="35"/>
      <c r="EL484" s="35"/>
      <c r="EM484" s="35"/>
      <c r="EN484" s="35"/>
      <c r="EO484" s="35"/>
      <c r="EP484" s="35"/>
      <c r="EQ484" s="35"/>
      <c r="ER484" s="35"/>
      <c r="ES484" s="35"/>
      <c r="ET484" s="35"/>
      <c r="EU484" s="35"/>
      <c r="EV484" s="35"/>
      <c r="EW484" s="35"/>
      <c r="EX484" s="35"/>
      <c r="EY484" s="35"/>
      <c r="EZ484" s="35"/>
      <c r="FA484" s="35"/>
      <c r="FB484" s="35"/>
      <c r="FC484" s="35"/>
      <c r="FD484" s="35"/>
      <c r="FE484" s="35"/>
      <c r="FF484" s="35"/>
      <c r="FG484" s="35"/>
      <c r="FH484" s="35"/>
      <c r="FI484" s="35"/>
      <c r="FJ484" s="35"/>
      <c r="FK484" s="35"/>
      <c r="FL484" s="35"/>
      <c r="FM484" s="35"/>
      <c r="FN484" s="35"/>
      <c r="FO484" s="35"/>
      <c r="FP484" s="35"/>
      <c r="FQ484" s="35"/>
      <c r="FR484" s="35"/>
      <c r="FS484" s="35"/>
      <c r="FT484" s="35"/>
      <c r="FU484" s="35">
        <v>-1</v>
      </c>
      <c r="FV484" s="35"/>
      <c r="FW484" s="35"/>
      <c r="FX484" s="35"/>
      <c r="FY484" s="35"/>
      <c r="FZ484" s="35"/>
      <c r="GA484" s="35"/>
      <c r="GB484" s="318"/>
      <c r="GC484" s="325"/>
      <c r="GD484" s="325"/>
      <c r="GE484" s="325">
        <v>1</v>
      </c>
      <c r="GF484" s="325"/>
      <c r="GG484" s="325"/>
    </row>
    <row r="485" spans="1:189" x14ac:dyDescent="0.35">
      <c r="A485" s="6" t="s">
        <v>1749</v>
      </c>
      <c r="B485" s="6" t="str">
        <f>IF(Technologies!B485&lt;&gt;0,Technologies!B485,"")</f>
        <v>Industrie</v>
      </c>
      <c r="C485" s="6" t="str">
        <f>VLOOKUP($A485,Technologies!$A$7:$H$576,3,FALSE)</f>
        <v>Emission</v>
      </c>
      <c r="D485" s="6" t="str">
        <f>VLOOKUP($A485,Technologies!$A$7:$H$576,4,FALSE)</f>
        <v>Industry</v>
      </c>
      <c r="E485" s="6" t="str">
        <f>VLOOKUP($A485,Technologies!$A$7:$H$576,6,FALSE)</f>
        <v>Emitted neGHG - Industry - CH4</v>
      </c>
      <c r="F485" s="48" t="str">
        <f>VLOOKUP($A485,Technologies!$A$7:$H$576,7,FALSE)</f>
        <v>MACC Component 1 - neGHG CH4 Other</v>
      </c>
      <c r="G485" s="22"/>
      <c r="H485" s="22"/>
      <c r="I485" s="103" cm="1">
        <f t="array" ref="I485">-SUMPRODUCT((Feedstocks!$C$4:$C$141=A485)*Feedstocks!$E$4:$E$141,Feedstocks!$F$4:$F$141,Feedstocks!$H$4:$H$141,Feedstocks!$I$4:$I$141)</f>
        <v>0</v>
      </c>
      <c r="J485" s="103" cm="1">
        <f t="array" ref="J485">-SUMPRODUCT((Feedstocks!$C$4:$C$141=A485)*Feedstocks!$E$4:$E$141,Feedstocks!$H$4:$H$141,Feedstocks!$I$4:$I$141)</f>
        <v>0</v>
      </c>
      <c r="K485" s="103"/>
      <c r="L485" s="103"/>
      <c r="M485" s="22"/>
      <c r="N485" s="22" t="str">
        <f>VLOOKUP(E485,Activities!$A$9:$M$227,13,FALSE)</f>
        <v>NL</v>
      </c>
      <c r="O485" s="22"/>
      <c r="P485" s="80" t="s">
        <v>415</v>
      </c>
      <c r="Q485" s="36"/>
      <c r="R485" s="36"/>
      <c r="S485" s="36"/>
      <c r="T485" s="36"/>
      <c r="U485" s="36"/>
      <c r="V485" s="36"/>
      <c r="W485" s="36"/>
      <c r="X485" s="36"/>
      <c r="Y485" s="36"/>
      <c r="Z485" s="36"/>
      <c r="AA485" s="36"/>
      <c r="AB485" s="36"/>
      <c r="AC485" s="36"/>
      <c r="AD485" s="36"/>
      <c r="AE485" s="36"/>
      <c r="AF485" s="35"/>
      <c r="AG485" s="35"/>
      <c r="AH485" s="35"/>
      <c r="AI485" s="35"/>
      <c r="AJ485" s="35"/>
      <c r="AK485" s="35"/>
      <c r="AL485" s="35"/>
      <c r="AM485" s="35"/>
      <c r="AN485" s="35"/>
      <c r="AO485" s="35"/>
      <c r="AP485" s="36"/>
      <c r="AQ485" s="36"/>
      <c r="AR485" s="36"/>
      <c r="AS485" s="36"/>
      <c r="AT485" s="36"/>
      <c r="AU485" s="36"/>
      <c r="AV485" s="36"/>
      <c r="AW485" s="36"/>
      <c r="AX485" s="36"/>
      <c r="AY485" s="36"/>
      <c r="AZ485" s="36"/>
      <c r="BA485" s="36"/>
      <c r="BB485" s="36"/>
      <c r="BC485" s="36"/>
      <c r="BD485" s="36"/>
      <c r="BE485" s="36"/>
      <c r="BF485" s="36"/>
      <c r="BG485" s="36"/>
      <c r="BH485" s="36"/>
      <c r="BI485" s="36"/>
      <c r="BJ485" s="36"/>
      <c r="BK485" s="36"/>
      <c r="BL485" s="36"/>
      <c r="BM485" s="36"/>
      <c r="BN485" s="36"/>
      <c r="BO485" s="36"/>
      <c r="BP485" s="36"/>
      <c r="BQ485" s="36"/>
      <c r="BR485" s="36"/>
      <c r="BS485" s="36"/>
      <c r="BT485" s="36"/>
      <c r="BU485" s="36"/>
      <c r="BV485" s="36"/>
      <c r="BW485" s="36"/>
      <c r="BX485" s="36"/>
      <c r="BY485" s="36"/>
      <c r="BZ485" s="36"/>
      <c r="CA485" s="36"/>
      <c r="CB485" s="36"/>
      <c r="CC485" s="36"/>
      <c r="CD485" s="36"/>
      <c r="CE485" s="36"/>
      <c r="CF485" s="36"/>
      <c r="CG485" s="36"/>
      <c r="CH485" s="36"/>
      <c r="CI485" s="36"/>
      <c r="CJ485" s="36"/>
      <c r="CK485" s="36"/>
      <c r="CL485" s="36"/>
      <c r="CM485" s="36"/>
      <c r="CN485" s="36"/>
      <c r="CO485" s="36"/>
      <c r="CP485" s="36"/>
      <c r="CQ485" s="36"/>
      <c r="CR485" s="36"/>
      <c r="CS485" s="36"/>
      <c r="CT485" s="36"/>
      <c r="CU485" s="36"/>
      <c r="CV485" s="36"/>
      <c r="CW485" s="36"/>
      <c r="CX485" s="36"/>
      <c r="CY485" s="36"/>
      <c r="CZ485" s="36"/>
      <c r="DA485" s="36"/>
      <c r="DB485" s="36"/>
      <c r="DC485" s="36"/>
      <c r="DD485" s="36"/>
      <c r="DE485" s="36"/>
      <c r="DF485" s="36"/>
      <c r="DG485" s="36"/>
      <c r="DH485" s="36"/>
      <c r="DI485" s="36"/>
      <c r="DJ485" s="36"/>
      <c r="DK485" s="36"/>
      <c r="DL485" s="36"/>
      <c r="DM485" s="36"/>
      <c r="DN485" s="36"/>
      <c r="DO485" s="36"/>
      <c r="DP485" s="36"/>
      <c r="DQ485" s="36"/>
      <c r="DR485" s="36"/>
      <c r="DS485" s="36"/>
      <c r="DT485" s="36"/>
      <c r="DU485" s="36"/>
      <c r="DV485" s="36"/>
      <c r="DW485" s="36"/>
      <c r="DX485" s="36"/>
      <c r="DY485" s="36"/>
      <c r="DZ485" s="36"/>
      <c r="EA485" s="36"/>
      <c r="EB485" s="36"/>
      <c r="EC485" s="36"/>
      <c r="ED485" s="36"/>
      <c r="EE485" s="36"/>
      <c r="EF485" s="36"/>
      <c r="EG485" s="36"/>
      <c r="EH485" s="36"/>
      <c r="EI485" s="36"/>
      <c r="EJ485" s="36"/>
      <c r="EK485" s="36"/>
      <c r="EL485" s="36"/>
      <c r="EM485" s="36"/>
      <c r="EN485" s="36"/>
      <c r="EO485" s="36"/>
      <c r="EP485" s="36"/>
      <c r="EQ485" s="36"/>
      <c r="ER485" s="36"/>
      <c r="ES485" s="36"/>
      <c r="ET485" s="36"/>
      <c r="EU485" s="36"/>
      <c r="EV485" s="36"/>
      <c r="EW485" s="36"/>
      <c r="EX485" s="36"/>
      <c r="EY485" s="36"/>
      <c r="EZ485" s="36"/>
      <c r="FA485" s="36"/>
      <c r="FB485" s="36"/>
      <c r="FC485" s="36"/>
      <c r="FD485" s="36"/>
      <c r="FE485" s="36"/>
      <c r="FF485" s="36"/>
      <c r="FG485" s="36"/>
      <c r="FH485" s="36"/>
      <c r="FI485" s="36"/>
      <c r="FJ485" s="36"/>
      <c r="FK485" s="36"/>
      <c r="FL485" s="36"/>
      <c r="FM485" s="36"/>
      <c r="FN485" s="36"/>
      <c r="FO485" s="36"/>
      <c r="FP485" s="36"/>
      <c r="FQ485" s="36"/>
      <c r="FR485" s="36"/>
      <c r="FS485" s="36"/>
      <c r="FT485" s="36"/>
      <c r="FU485" s="36">
        <v>-1</v>
      </c>
      <c r="FV485" s="36"/>
      <c r="FW485" s="36"/>
      <c r="FX485" s="36"/>
      <c r="FY485" s="36"/>
      <c r="FZ485" s="36"/>
      <c r="GA485" s="36"/>
      <c r="GB485" s="319"/>
      <c r="GC485" s="324"/>
      <c r="GD485" s="324"/>
      <c r="GE485" s="324"/>
      <c r="GF485" s="324"/>
      <c r="GG485" s="324"/>
    </row>
    <row r="486" spans="1:189" x14ac:dyDescent="0.35">
      <c r="A486" s="5" t="s">
        <v>1750</v>
      </c>
      <c r="B486" s="6" t="str">
        <f>IF(Technologies!B486&lt;&gt;0,Technologies!B486,"")</f>
        <v>Industrie</v>
      </c>
      <c r="C486" s="5" t="str">
        <f>VLOOKUP($A486,Technologies!$A$7:$H$576,3,FALSE)</f>
        <v>Emission</v>
      </c>
      <c r="D486" s="5" t="str">
        <f>VLOOKUP($A486,Technologies!$A$7:$H$576,4,FALSE)</f>
        <v>Industry</v>
      </c>
      <c r="E486" s="5" t="str">
        <f>VLOOKUP($A486,Technologies!$A$7:$H$576,6,FALSE)</f>
        <v>Emitted neGHG - Industry - N2O</v>
      </c>
      <c r="F486" s="5" t="str">
        <f>VLOOKUP($A486,Technologies!$A$7:$H$576,7,FALSE)</f>
        <v>Emitted neGHG - Industry - N2O</v>
      </c>
      <c r="G486" s="23"/>
      <c r="H486" s="23"/>
      <c r="I486" s="104" cm="1">
        <f t="array" ref="I486">-SUMPRODUCT((Feedstocks!$C$4:$C$141=A486)*Feedstocks!$E$4:$E$141,Feedstocks!$F$4:$F$141,Feedstocks!$H$4:$H$141,Feedstocks!$I$4:$I$141)</f>
        <v>0</v>
      </c>
      <c r="J486" s="104" cm="1">
        <f t="array" ref="J486">-SUMPRODUCT((Feedstocks!$C$4:$C$141=A486)*Feedstocks!$E$4:$E$141,Feedstocks!$H$4:$H$141,Feedstocks!$I$4:$I$141)</f>
        <v>0</v>
      </c>
      <c r="K486" s="104"/>
      <c r="L486" s="104"/>
      <c r="M486" s="23"/>
      <c r="N486" s="23" t="str">
        <f>VLOOKUP(E486,Activities!$A$9:$M$227,13,FALSE)</f>
        <v>NL</v>
      </c>
      <c r="O486" s="23"/>
      <c r="P486" s="79" t="s">
        <v>415</v>
      </c>
      <c r="Q486" s="35"/>
      <c r="R486" s="35"/>
      <c r="S486" s="35"/>
      <c r="T486" s="35"/>
      <c r="U486" s="35"/>
      <c r="V486" s="35"/>
      <c r="W486" s="35"/>
      <c r="X486" s="35"/>
      <c r="Y486" s="35"/>
      <c r="Z486" s="35"/>
      <c r="AA486" s="35"/>
      <c r="AB486" s="35"/>
      <c r="AC486" s="35"/>
      <c r="AD486" s="35"/>
      <c r="AE486" s="35"/>
      <c r="AF486" s="36"/>
      <c r="AG486" s="36"/>
      <c r="AH486" s="36"/>
      <c r="AI486" s="36"/>
      <c r="AJ486" s="36"/>
      <c r="AK486" s="36"/>
      <c r="AL486" s="36"/>
      <c r="AM486" s="36"/>
      <c r="AN486" s="36"/>
      <c r="AO486" s="36"/>
      <c r="AP486" s="35"/>
      <c r="AQ486" s="35"/>
      <c r="AR486" s="35"/>
      <c r="AS486" s="35"/>
      <c r="AT486" s="35"/>
      <c r="AU486" s="35"/>
      <c r="AV486" s="35"/>
      <c r="AW486" s="35"/>
      <c r="AX486" s="35"/>
      <c r="AY486" s="35"/>
      <c r="AZ486" s="35"/>
      <c r="BA486" s="35"/>
      <c r="BB486" s="35"/>
      <c r="BC486" s="35"/>
      <c r="BD486" s="35"/>
      <c r="BE486" s="35"/>
      <c r="BF486" s="35"/>
      <c r="BG486" s="35"/>
      <c r="BH486" s="35"/>
      <c r="BI486" s="35"/>
      <c r="BJ486" s="35"/>
      <c r="BK486" s="35"/>
      <c r="BL486" s="35"/>
      <c r="BM486" s="35"/>
      <c r="BN486" s="35"/>
      <c r="BO486" s="35"/>
      <c r="BP486" s="35"/>
      <c r="BQ486" s="35"/>
      <c r="BR486" s="35"/>
      <c r="BS486" s="35"/>
      <c r="BT486" s="35"/>
      <c r="BU486" s="35"/>
      <c r="BV486" s="35"/>
      <c r="BW486" s="35"/>
      <c r="BX486" s="35"/>
      <c r="BY486" s="35"/>
      <c r="BZ486" s="35"/>
      <c r="CA486" s="35"/>
      <c r="CB486" s="35"/>
      <c r="CC486" s="35"/>
      <c r="CD486" s="35"/>
      <c r="CE486" s="35"/>
      <c r="CF486" s="35"/>
      <c r="CG486" s="35"/>
      <c r="CH486" s="35"/>
      <c r="CI486" s="35"/>
      <c r="CJ486" s="35"/>
      <c r="CK486" s="35"/>
      <c r="CL486" s="35"/>
      <c r="CM486" s="35"/>
      <c r="CN486" s="35"/>
      <c r="CO486" s="35"/>
      <c r="CP486" s="35"/>
      <c r="CQ486" s="35"/>
      <c r="CR486" s="35"/>
      <c r="CS486" s="35"/>
      <c r="CT486" s="35"/>
      <c r="CU486" s="35"/>
      <c r="CV486" s="35"/>
      <c r="CW486" s="35"/>
      <c r="CX486" s="35"/>
      <c r="CY486" s="35"/>
      <c r="CZ486" s="35"/>
      <c r="DA486" s="35"/>
      <c r="DB486" s="35"/>
      <c r="DC486" s="35"/>
      <c r="DD486" s="35"/>
      <c r="DE486" s="35"/>
      <c r="DF486" s="35"/>
      <c r="DG486" s="35"/>
      <c r="DH486" s="35"/>
      <c r="DI486" s="35"/>
      <c r="DJ486" s="35"/>
      <c r="DK486" s="35"/>
      <c r="DL486" s="35"/>
      <c r="DM486" s="35"/>
      <c r="DN486" s="35"/>
      <c r="DO486" s="35"/>
      <c r="DP486" s="35"/>
      <c r="DQ486" s="35"/>
      <c r="DR486" s="35"/>
      <c r="DS486" s="35"/>
      <c r="DT486" s="35"/>
      <c r="DU486" s="35"/>
      <c r="DV486" s="35"/>
      <c r="DW486" s="35"/>
      <c r="DX486" s="35"/>
      <c r="DY486" s="35"/>
      <c r="DZ486" s="35"/>
      <c r="EA486" s="35"/>
      <c r="EB486" s="35"/>
      <c r="EC486" s="35"/>
      <c r="ED486" s="35"/>
      <c r="EE486" s="35"/>
      <c r="EF486" s="35"/>
      <c r="EG486" s="35"/>
      <c r="EH486" s="35"/>
      <c r="EI486" s="35"/>
      <c r="EJ486" s="35"/>
      <c r="EK486" s="35"/>
      <c r="EL486" s="35"/>
      <c r="EM486" s="35"/>
      <c r="EN486" s="35"/>
      <c r="EO486" s="35"/>
      <c r="EP486" s="35"/>
      <c r="EQ486" s="35"/>
      <c r="ER486" s="35"/>
      <c r="ES486" s="35"/>
      <c r="ET486" s="35"/>
      <c r="EU486" s="35"/>
      <c r="EV486" s="35"/>
      <c r="EW486" s="35"/>
      <c r="EX486" s="35"/>
      <c r="EY486" s="35"/>
      <c r="EZ486" s="35"/>
      <c r="FA486" s="35"/>
      <c r="FB486" s="35"/>
      <c r="FC486" s="35"/>
      <c r="FD486" s="35"/>
      <c r="FE486" s="35"/>
      <c r="FF486" s="35"/>
      <c r="FG486" s="35"/>
      <c r="FH486" s="35"/>
      <c r="FI486" s="35"/>
      <c r="FJ486" s="35"/>
      <c r="FK486" s="35"/>
      <c r="FL486" s="35"/>
      <c r="FM486" s="35"/>
      <c r="FN486" s="35"/>
      <c r="FO486" s="35"/>
      <c r="FP486" s="35"/>
      <c r="FQ486" s="35"/>
      <c r="FR486" s="35"/>
      <c r="FS486" s="35"/>
      <c r="FT486" s="35"/>
      <c r="FU486" s="35"/>
      <c r="FV486" s="35">
        <v>-1</v>
      </c>
      <c r="FW486" s="35"/>
      <c r="FX486" s="35"/>
      <c r="FY486" s="35"/>
      <c r="FZ486" s="35"/>
      <c r="GA486" s="35"/>
      <c r="GB486" s="318"/>
      <c r="GC486" s="325"/>
      <c r="GD486" s="325"/>
      <c r="GE486" s="325">
        <v>1</v>
      </c>
      <c r="GF486" s="325"/>
      <c r="GG486" s="325"/>
    </row>
    <row r="487" spans="1:189" x14ac:dyDescent="0.35">
      <c r="A487" s="6" t="s">
        <v>1751</v>
      </c>
      <c r="B487" s="6" t="str">
        <f>IF(Technologies!B487&lt;&gt;0,Technologies!B487,"")</f>
        <v>Industrie</v>
      </c>
      <c r="C487" s="6" t="str">
        <f>VLOOKUP($A487,Technologies!$A$7:$H$576,3,FALSE)</f>
        <v>Emission</v>
      </c>
      <c r="D487" s="6" t="str">
        <f>VLOOKUP($A487,Technologies!$A$7:$H$576,4,FALSE)</f>
        <v>Industry</v>
      </c>
      <c r="E487" s="6" t="str">
        <f>VLOOKUP($A487,Technologies!$A$7:$H$576,6,FALSE)</f>
        <v>Emitted neGHG - Industry - N2O</v>
      </c>
      <c r="F487" s="48" t="str">
        <f>VLOOKUP($A487,Technologies!$A$7:$H$576,7,FALSE)</f>
        <v>MACC Component 1 - neGHG N2O Other</v>
      </c>
      <c r="G487" s="22"/>
      <c r="H487" s="22"/>
      <c r="I487" s="103" cm="1">
        <f t="array" ref="I487">-SUMPRODUCT((Feedstocks!$C$4:$C$141=A487)*Feedstocks!$E$4:$E$141,Feedstocks!$F$4:$F$141,Feedstocks!$H$4:$H$141,Feedstocks!$I$4:$I$141)</f>
        <v>0</v>
      </c>
      <c r="J487" s="103" cm="1">
        <f t="array" ref="J487">-SUMPRODUCT((Feedstocks!$C$4:$C$141=A487)*Feedstocks!$E$4:$E$141,Feedstocks!$H$4:$H$141,Feedstocks!$I$4:$I$141)</f>
        <v>0</v>
      </c>
      <c r="K487" s="103"/>
      <c r="L487" s="103"/>
      <c r="M487" s="22"/>
      <c r="N487" s="22" t="str">
        <f>VLOOKUP(E487,Activities!$A$9:$M$227,13,FALSE)</f>
        <v>NL</v>
      </c>
      <c r="O487" s="22"/>
      <c r="P487" s="80" t="s">
        <v>415</v>
      </c>
      <c r="Q487" s="36"/>
      <c r="R487" s="36"/>
      <c r="S487" s="36"/>
      <c r="T487" s="36"/>
      <c r="U487" s="36"/>
      <c r="V487" s="36"/>
      <c r="W487" s="36"/>
      <c r="X487" s="36"/>
      <c r="Y487" s="36"/>
      <c r="Z487" s="36"/>
      <c r="AA487" s="36"/>
      <c r="AB487" s="36"/>
      <c r="AC487" s="36"/>
      <c r="AD487" s="36"/>
      <c r="AE487" s="36"/>
      <c r="AF487" s="35"/>
      <c r="AG487" s="35"/>
      <c r="AH487" s="35"/>
      <c r="AI487" s="35"/>
      <c r="AJ487" s="35"/>
      <c r="AK487" s="35"/>
      <c r="AL487" s="35"/>
      <c r="AM487" s="35"/>
      <c r="AN487" s="35"/>
      <c r="AO487" s="35"/>
      <c r="AP487" s="36"/>
      <c r="AQ487" s="36"/>
      <c r="AR487" s="36"/>
      <c r="AS487" s="36"/>
      <c r="AT487" s="36"/>
      <c r="AU487" s="36"/>
      <c r="AV487" s="36"/>
      <c r="AW487" s="36"/>
      <c r="AX487" s="36"/>
      <c r="AY487" s="36"/>
      <c r="AZ487" s="36"/>
      <c r="BA487" s="36"/>
      <c r="BB487" s="36"/>
      <c r="BC487" s="36"/>
      <c r="BD487" s="36"/>
      <c r="BE487" s="36"/>
      <c r="BF487" s="36"/>
      <c r="BG487" s="36"/>
      <c r="BH487" s="36"/>
      <c r="BI487" s="36"/>
      <c r="BJ487" s="36"/>
      <c r="BK487" s="36"/>
      <c r="BL487" s="36"/>
      <c r="BM487" s="36"/>
      <c r="BN487" s="36"/>
      <c r="BO487" s="36"/>
      <c r="BP487" s="36"/>
      <c r="BQ487" s="36"/>
      <c r="BR487" s="36"/>
      <c r="BS487" s="36"/>
      <c r="BT487" s="36"/>
      <c r="BU487" s="36"/>
      <c r="BV487" s="36"/>
      <c r="BW487" s="36"/>
      <c r="BX487" s="36"/>
      <c r="BY487" s="36"/>
      <c r="BZ487" s="36"/>
      <c r="CA487" s="36"/>
      <c r="CB487" s="36"/>
      <c r="CC487" s="36"/>
      <c r="CD487" s="36"/>
      <c r="CE487" s="36"/>
      <c r="CF487" s="36"/>
      <c r="CG487" s="36"/>
      <c r="CH487" s="36"/>
      <c r="CI487" s="36"/>
      <c r="CJ487" s="36"/>
      <c r="CK487" s="36"/>
      <c r="CL487" s="36"/>
      <c r="CM487" s="36"/>
      <c r="CN487" s="36"/>
      <c r="CO487" s="36"/>
      <c r="CP487" s="36"/>
      <c r="CQ487" s="36"/>
      <c r="CR487" s="36"/>
      <c r="CS487" s="36"/>
      <c r="CT487" s="36"/>
      <c r="CU487" s="36"/>
      <c r="CV487" s="36"/>
      <c r="CW487" s="36"/>
      <c r="CX487" s="36"/>
      <c r="CY487" s="36"/>
      <c r="CZ487" s="36"/>
      <c r="DA487" s="36"/>
      <c r="DB487" s="36"/>
      <c r="DC487" s="36"/>
      <c r="DD487" s="36"/>
      <c r="DE487" s="36"/>
      <c r="DF487" s="36"/>
      <c r="DG487" s="36"/>
      <c r="DH487" s="36"/>
      <c r="DI487" s="36"/>
      <c r="DJ487" s="36"/>
      <c r="DK487" s="36"/>
      <c r="DL487" s="36"/>
      <c r="DM487" s="36"/>
      <c r="DN487" s="36"/>
      <c r="DO487" s="36"/>
      <c r="DP487" s="36"/>
      <c r="DQ487" s="36"/>
      <c r="DR487" s="36"/>
      <c r="DS487" s="36"/>
      <c r="DT487" s="36"/>
      <c r="DU487" s="36"/>
      <c r="DV487" s="36"/>
      <c r="DW487" s="36"/>
      <c r="DX487" s="36"/>
      <c r="DY487" s="36"/>
      <c r="DZ487" s="36"/>
      <c r="EA487" s="36"/>
      <c r="EB487" s="36"/>
      <c r="EC487" s="36"/>
      <c r="ED487" s="36"/>
      <c r="EE487" s="36"/>
      <c r="EF487" s="36"/>
      <c r="EG487" s="36"/>
      <c r="EH487" s="36"/>
      <c r="EI487" s="36"/>
      <c r="EJ487" s="36"/>
      <c r="EK487" s="36"/>
      <c r="EL487" s="36"/>
      <c r="EM487" s="36"/>
      <c r="EN487" s="36"/>
      <c r="EO487" s="36"/>
      <c r="EP487" s="36"/>
      <c r="EQ487" s="36"/>
      <c r="ER487" s="36"/>
      <c r="ES487" s="36"/>
      <c r="ET487" s="36"/>
      <c r="EU487" s="36"/>
      <c r="EV487" s="36"/>
      <c r="EW487" s="36"/>
      <c r="EX487" s="36"/>
      <c r="EY487" s="36"/>
      <c r="EZ487" s="36"/>
      <c r="FA487" s="36"/>
      <c r="FB487" s="36"/>
      <c r="FC487" s="36"/>
      <c r="FD487" s="36"/>
      <c r="FE487" s="36"/>
      <c r="FF487" s="36"/>
      <c r="FG487" s="36"/>
      <c r="FH487" s="36"/>
      <c r="FI487" s="36"/>
      <c r="FJ487" s="36"/>
      <c r="FK487" s="36"/>
      <c r="FL487" s="36"/>
      <c r="FM487" s="36"/>
      <c r="FN487" s="36"/>
      <c r="FO487" s="36"/>
      <c r="FP487" s="36"/>
      <c r="FQ487" s="36"/>
      <c r="FR487" s="36"/>
      <c r="FS487" s="36"/>
      <c r="FT487" s="36"/>
      <c r="FU487" s="36"/>
      <c r="FV487" s="36">
        <v>-1</v>
      </c>
      <c r="FW487" s="36"/>
      <c r="FX487" s="36"/>
      <c r="FY487" s="36"/>
      <c r="FZ487" s="36"/>
      <c r="GA487" s="36"/>
      <c r="GB487" s="319"/>
      <c r="GC487" s="324"/>
      <c r="GD487" s="324"/>
      <c r="GE487" s="324"/>
      <c r="GF487" s="324"/>
      <c r="GG487" s="324"/>
    </row>
    <row r="488" spans="1:189" x14ac:dyDescent="0.35">
      <c r="A488" s="5" t="s">
        <v>1752</v>
      </c>
      <c r="B488" s="6" t="str">
        <f>IF(Technologies!B488&lt;&gt;0,Technologies!B488,"")</f>
        <v>Industrie</v>
      </c>
      <c r="C488" s="5" t="str">
        <f>VLOOKUP($A488,Technologies!$A$7:$H$576,3,FALSE)</f>
        <v>Emission</v>
      </c>
      <c r="D488" s="5" t="str">
        <f>VLOOKUP($A488,Technologies!$A$7:$H$576,4,FALSE)</f>
        <v>Industry</v>
      </c>
      <c r="E488" s="5" t="str">
        <f>VLOOKUP($A488,Technologies!$A$7:$H$576,6,FALSE)</f>
        <v>Emitted neGHG - Industry - F-gas</v>
      </c>
      <c r="F488" s="5" t="str">
        <f>VLOOKUP($A488,Technologies!$A$7:$H$576,7,FALSE)</f>
        <v>Emitted neGHG - Industry - F-gas</v>
      </c>
      <c r="G488" s="23"/>
      <c r="H488" s="23"/>
      <c r="I488" s="104" cm="1">
        <f t="array" ref="I488">-SUMPRODUCT((Feedstocks!$C$4:$C$141=A488)*Feedstocks!$E$4:$E$141,Feedstocks!$F$4:$F$141,Feedstocks!$H$4:$H$141,Feedstocks!$I$4:$I$141)</f>
        <v>0</v>
      </c>
      <c r="J488" s="104" cm="1">
        <f t="array" ref="J488">-SUMPRODUCT((Feedstocks!$C$4:$C$141=A488)*Feedstocks!$E$4:$E$141,Feedstocks!$H$4:$H$141,Feedstocks!$I$4:$I$141)</f>
        <v>0</v>
      </c>
      <c r="K488" s="104"/>
      <c r="L488" s="104"/>
      <c r="M488" s="23"/>
      <c r="N488" s="23" t="str">
        <f>VLOOKUP(E488,Activities!$A$9:$M$227,13,FALSE)</f>
        <v>NL</v>
      </c>
      <c r="O488" s="23"/>
      <c r="P488" s="79" t="s">
        <v>415</v>
      </c>
      <c r="Q488" s="35"/>
      <c r="R488" s="35"/>
      <c r="S488" s="35"/>
      <c r="T488" s="35"/>
      <c r="U488" s="35"/>
      <c r="V488" s="35"/>
      <c r="W488" s="35"/>
      <c r="X488" s="35"/>
      <c r="Y488" s="35"/>
      <c r="Z488" s="35"/>
      <c r="AA488" s="35"/>
      <c r="AB488" s="35"/>
      <c r="AC488" s="35"/>
      <c r="AD488" s="35"/>
      <c r="AE488" s="35"/>
      <c r="AF488" s="36"/>
      <c r="AG488" s="36"/>
      <c r="AH488" s="36"/>
      <c r="AI488" s="36"/>
      <c r="AJ488" s="36"/>
      <c r="AK488" s="36"/>
      <c r="AL488" s="36"/>
      <c r="AM488" s="36"/>
      <c r="AN488" s="36"/>
      <c r="AO488" s="36"/>
      <c r="AP488" s="35"/>
      <c r="AQ488" s="35"/>
      <c r="AR488" s="35"/>
      <c r="AS488" s="35"/>
      <c r="AT488" s="35"/>
      <c r="AU488" s="35"/>
      <c r="AV488" s="35"/>
      <c r="AW488" s="35"/>
      <c r="AX488" s="35"/>
      <c r="AY488" s="35"/>
      <c r="AZ488" s="35"/>
      <c r="BA488" s="35"/>
      <c r="BB488" s="35"/>
      <c r="BC488" s="35"/>
      <c r="BD488" s="35"/>
      <c r="BE488" s="35"/>
      <c r="BF488" s="35"/>
      <c r="BG488" s="35"/>
      <c r="BH488" s="35"/>
      <c r="BI488" s="35"/>
      <c r="BJ488" s="35"/>
      <c r="BK488" s="35"/>
      <c r="BL488" s="35"/>
      <c r="BM488" s="35"/>
      <c r="BN488" s="35"/>
      <c r="BO488" s="35"/>
      <c r="BP488" s="35"/>
      <c r="BQ488" s="35"/>
      <c r="BR488" s="35"/>
      <c r="BS488" s="35"/>
      <c r="BT488" s="35"/>
      <c r="BU488" s="35"/>
      <c r="BV488" s="35"/>
      <c r="BW488" s="35"/>
      <c r="BX488" s="35"/>
      <c r="BY488" s="35"/>
      <c r="BZ488" s="35"/>
      <c r="CA488" s="35"/>
      <c r="CB488" s="35"/>
      <c r="CC488" s="35"/>
      <c r="CD488" s="35"/>
      <c r="CE488" s="35"/>
      <c r="CF488" s="35"/>
      <c r="CG488" s="35"/>
      <c r="CH488" s="35"/>
      <c r="CI488" s="35"/>
      <c r="CJ488" s="35"/>
      <c r="CK488" s="35"/>
      <c r="CL488" s="35"/>
      <c r="CM488" s="35"/>
      <c r="CN488" s="35"/>
      <c r="CO488" s="35"/>
      <c r="CP488" s="35"/>
      <c r="CQ488" s="35"/>
      <c r="CR488" s="35"/>
      <c r="CS488" s="35"/>
      <c r="CT488" s="35"/>
      <c r="CU488" s="35"/>
      <c r="CV488" s="35"/>
      <c r="CW488" s="35"/>
      <c r="CX488" s="35"/>
      <c r="CY488" s="35"/>
      <c r="CZ488" s="35"/>
      <c r="DA488" s="35"/>
      <c r="DB488" s="35"/>
      <c r="DC488" s="35"/>
      <c r="DD488" s="35"/>
      <c r="DE488" s="35"/>
      <c r="DF488" s="35"/>
      <c r="DG488" s="35"/>
      <c r="DH488" s="35"/>
      <c r="DI488" s="35"/>
      <c r="DJ488" s="35"/>
      <c r="DK488" s="35"/>
      <c r="DL488" s="35"/>
      <c r="DM488" s="35"/>
      <c r="DN488" s="35"/>
      <c r="DO488" s="35"/>
      <c r="DP488" s="35"/>
      <c r="DQ488" s="35"/>
      <c r="DR488" s="35"/>
      <c r="DS488" s="35"/>
      <c r="DT488" s="35"/>
      <c r="DU488" s="35"/>
      <c r="DV488" s="35"/>
      <c r="DW488" s="35"/>
      <c r="DX488" s="35"/>
      <c r="DY488" s="35"/>
      <c r="DZ488" s="35"/>
      <c r="EA488" s="35"/>
      <c r="EB488" s="35"/>
      <c r="EC488" s="35"/>
      <c r="ED488" s="35"/>
      <c r="EE488" s="35"/>
      <c r="EF488" s="35"/>
      <c r="EG488" s="35"/>
      <c r="EH488" s="35"/>
      <c r="EI488" s="35"/>
      <c r="EJ488" s="35"/>
      <c r="EK488" s="35"/>
      <c r="EL488" s="35"/>
      <c r="EM488" s="35"/>
      <c r="EN488" s="35"/>
      <c r="EO488" s="35"/>
      <c r="EP488" s="35"/>
      <c r="EQ488" s="35"/>
      <c r="ER488" s="35"/>
      <c r="ES488" s="35"/>
      <c r="ET488" s="35"/>
      <c r="EU488" s="35"/>
      <c r="EV488" s="35"/>
      <c r="EW488" s="35"/>
      <c r="EX488" s="35"/>
      <c r="EY488" s="35"/>
      <c r="EZ488" s="35"/>
      <c r="FA488" s="35"/>
      <c r="FB488" s="35"/>
      <c r="FC488" s="35"/>
      <c r="FD488" s="35"/>
      <c r="FE488" s="35"/>
      <c r="FF488" s="35"/>
      <c r="FG488" s="35"/>
      <c r="FH488" s="35"/>
      <c r="FI488" s="35"/>
      <c r="FJ488" s="35"/>
      <c r="FK488" s="35"/>
      <c r="FL488" s="35"/>
      <c r="FM488" s="35"/>
      <c r="FN488" s="35"/>
      <c r="FO488" s="35"/>
      <c r="FP488" s="35"/>
      <c r="FQ488" s="35"/>
      <c r="FR488" s="35"/>
      <c r="FS488" s="35"/>
      <c r="FT488" s="35"/>
      <c r="FU488" s="35"/>
      <c r="FV488" s="35"/>
      <c r="FW488" s="35">
        <v>-1</v>
      </c>
      <c r="FX488" s="35"/>
      <c r="FY488" s="35"/>
      <c r="FZ488" s="35"/>
      <c r="GA488" s="35"/>
      <c r="GB488" s="318"/>
      <c r="GC488" s="325"/>
      <c r="GD488" s="325"/>
      <c r="GE488" s="325">
        <v>1</v>
      </c>
      <c r="GF488" s="325"/>
      <c r="GG488" s="325"/>
    </row>
    <row r="489" spans="1:189" x14ac:dyDescent="0.35">
      <c r="A489" s="6" t="s">
        <v>1754</v>
      </c>
      <c r="B489" s="6" t="str">
        <f>IF(Technologies!B489&lt;&gt;0,Technologies!B489,"")</f>
        <v>Industrie</v>
      </c>
      <c r="C489" s="6" t="str">
        <f>VLOOKUP($A489,Technologies!$A$7:$H$576,3,FALSE)</f>
        <v>Emission</v>
      </c>
      <c r="D489" s="6" t="str">
        <f>VLOOKUP($A489,Technologies!$A$7:$H$576,4,FALSE)</f>
        <v>Industry</v>
      </c>
      <c r="E489" s="6" t="str">
        <f>VLOOKUP($A489,Technologies!$A$7:$H$576,6,FALSE)</f>
        <v>Emitted neGHG - Industry - F-gas</v>
      </c>
      <c r="F489" s="48" t="str">
        <f>VLOOKUP($A489,Technologies!$A$7:$H$576,7,FALSE)</f>
        <v>MACC Component 1 - neGHG F-gas Refrigerator</v>
      </c>
      <c r="G489" s="22"/>
      <c r="H489" s="22"/>
      <c r="I489" s="103" cm="1">
        <f t="array" ref="I489">-SUMPRODUCT((Feedstocks!$C$4:$C$141=A489)*Feedstocks!$E$4:$E$141,Feedstocks!$F$4:$F$141,Feedstocks!$H$4:$H$141,Feedstocks!$I$4:$I$141)</f>
        <v>0</v>
      </c>
      <c r="J489" s="103" cm="1">
        <f t="array" ref="J489">-SUMPRODUCT((Feedstocks!$C$4:$C$141=A489)*Feedstocks!$E$4:$E$141,Feedstocks!$H$4:$H$141,Feedstocks!$I$4:$I$141)</f>
        <v>0</v>
      </c>
      <c r="K489" s="103"/>
      <c r="L489" s="103"/>
      <c r="M489" s="22"/>
      <c r="N489" s="22" t="str">
        <f>VLOOKUP(E489,Activities!$A$9:$M$227,13,FALSE)</f>
        <v>NL</v>
      </c>
      <c r="O489" s="22"/>
      <c r="P489" s="80" t="s">
        <v>415</v>
      </c>
      <c r="Q489" s="36"/>
      <c r="R489" s="36"/>
      <c r="S489" s="36"/>
      <c r="T489" s="36"/>
      <c r="U489" s="36"/>
      <c r="V489" s="36"/>
      <c r="W489" s="36"/>
      <c r="X489" s="36"/>
      <c r="Y489" s="36"/>
      <c r="Z489" s="36"/>
      <c r="AA489" s="36"/>
      <c r="AB489" s="36"/>
      <c r="AC489" s="36"/>
      <c r="AD489" s="36"/>
      <c r="AE489" s="36"/>
      <c r="AF489" s="35"/>
      <c r="AG489" s="35"/>
      <c r="AH489" s="35"/>
      <c r="AI489" s="35"/>
      <c r="AJ489" s="35"/>
      <c r="AK489" s="35"/>
      <c r="AL489" s="35"/>
      <c r="AM489" s="35"/>
      <c r="AN489" s="35"/>
      <c r="AO489" s="35"/>
      <c r="AP489" s="36"/>
      <c r="AQ489" s="36"/>
      <c r="AR489" s="36"/>
      <c r="AS489" s="36"/>
      <c r="AT489" s="36"/>
      <c r="AU489" s="36"/>
      <c r="AV489" s="36"/>
      <c r="AW489" s="36"/>
      <c r="AX489" s="36"/>
      <c r="AY489" s="36"/>
      <c r="AZ489" s="36"/>
      <c r="BA489" s="36"/>
      <c r="BB489" s="36"/>
      <c r="BC489" s="36"/>
      <c r="BD489" s="36"/>
      <c r="BE489" s="36"/>
      <c r="BF489" s="36"/>
      <c r="BG489" s="36"/>
      <c r="BH489" s="36"/>
      <c r="BI489" s="36"/>
      <c r="BJ489" s="36"/>
      <c r="BK489" s="36"/>
      <c r="BL489" s="36"/>
      <c r="BM489" s="36"/>
      <c r="BN489" s="36"/>
      <c r="BO489" s="36"/>
      <c r="BP489" s="36"/>
      <c r="BQ489" s="36"/>
      <c r="BR489" s="36"/>
      <c r="BS489" s="36"/>
      <c r="BT489" s="36"/>
      <c r="BU489" s="36"/>
      <c r="BV489" s="36"/>
      <c r="BW489" s="36"/>
      <c r="BX489" s="36"/>
      <c r="BY489" s="36"/>
      <c r="BZ489" s="36"/>
      <c r="CA489" s="36"/>
      <c r="CB489" s="36"/>
      <c r="CC489" s="36"/>
      <c r="CD489" s="36"/>
      <c r="CE489" s="36"/>
      <c r="CF489" s="36"/>
      <c r="CG489" s="36"/>
      <c r="CH489" s="36"/>
      <c r="CI489" s="36"/>
      <c r="CJ489" s="36"/>
      <c r="CK489" s="36"/>
      <c r="CL489" s="36"/>
      <c r="CM489" s="36"/>
      <c r="CN489" s="36"/>
      <c r="CO489" s="36"/>
      <c r="CP489" s="36"/>
      <c r="CQ489" s="36"/>
      <c r="CR489" s="36"/>
      <c r="CS489" s="36"/>
      <c r="CT489" s="36"/>
      <c r="CU489" s="36"/>
      <c r="CV489" s="36"/>
      <c r="CW489" s="36"/>
      <c r="CX489" s="36"/>
      <c r="CY489" s="36"/>
      <c r="CZ489" s="36"/>
      <c r="DA489" s="36"/>
      <c r="DB489" s="36"/>
      <c r="DC489" s="36"/>
      <c r="DD489" s="36"/>
      <c r="DE489" s="36"/>
      <c r="DF489" s="36"/>
      <c r="DG489" s="36"/>
      <c r="DH489" s="36"/>
      <c r="DI489" s="36"/>
      <c r="DJ489" s="36"/>
      <c r="DK489" s="36"/>
      <c r="DL489" s="36"/>
      <c r="DM489" s="36"/>
      <c r="DN489" s="36"/>
      <c r="DO489" s="36"/>
      <c r="DP489" s="36"/>
      <c r="DQ489" s="36"/>
      <c r="DR489" s="36"/>
      <c r="DS489" s="36"/>
      <c r="DT489" s="36"/>
      <c r="DU489" s="36"/>
      <c r="DV489" s="36"/>
      <c r="DW489" s="36"/>
      <c r="DX489" s="36"/>
      <c r="DY489" s="36"/>
      <c r="DZ489" s="36"/>
      <c r="EA489" s="36"/>
      <c r="EB489" s="36"/>
      <c r="EC489" s="36"/>
      <c r="ED489" s="36"/>
      <c r="EE489" s="36"/>
      <c r="EF489" s="36"/>
      <c r="EG489" s="36"/>
      <c r="EH489" s="36"/>
      <c r="EI489" s="36"/>
      <c r="EJ489" s="36"/>
      <c r="EK489" s="36"/>
      <c r="EL489" s="36"/>
      <c r="EM489" s="36"/>
      <c r="EN489" s="36"/>
      <c r="EO489" s="36"/>
      <c r="EP489" s="36"/>
      <c r="EQ489" s="36"/>
      <c r="ER489" s="36"/>
      <c r="ES489" s="36"/>
      <c r="ET489" s="36"/>
      <c r="EU489" s="36"/>
      <c r="EV489" s="36"/>
      <c r="EW489" s="36"/>
      <c r="EX489" s="36"/>
      <c r="EY489" s="36"/>
      <c r="EZ489" s="36"/>
      <c r="FA489" s="36"/>
      <c r="FB489" s="36"/>
      <c r="FC489" s="36"/>
      <c r="FD489" s="36"/>
      <c r="FE489" s="36"/>
      <c r="FF489" s="36"/>
      <c r="FG489" s="36"/>
      <c r="FH489" s="36"/>
      <c r="FI489" s="36"/>
      <c r="FJ489" s="36"/>
      <c r="FK489" s="36"/>
      <c r="FL489" s="36"/>
      <c r="FM489" s="36"/>
      <c r="FN489" s="36"/>
      <c r="FO489" s="36"/>
      <c r="FP489" s="36"/>
      <c r="FQ489" s="36"/>
      <c r="FR489" s="36"/>
      <c r="FS489" s="36"/>
      <c r="FT489" s="36"/>
      <c r="FU489" s="36"/>
      <c r="FV489" s="36"/>
      <c r="FW489" s="36">
        <v>-1</v>
      </c>
      <c r="FX489" s="36"/>
      <c r="FY489" s="36"/>
      <c r="FZ489" s="36"/>
      <c r="GA489" s="36"/>
      <c r="GB489" s="319"/>
      <c r="GC489" s="324"/>
      <c r="GD489" s="324"/>
      <c r="GE489" s="324"/>
      <c r="GF489" s="324"/>
      <c r="GG489" s="324"/>
    </row>
    <row r="490" spans="1:189" x14ac:dyDescent="0.35">
      <c r="A490" s="5" t="s">
        <v>1756</v>
      </c>
      <c r="B490" s="6" t="str">
        <f>IF(Technologies!B490&lt;&gt;0,Technologies!B490,"")</f>
        <v>Industrie</v>
      </c>
      <c r="C490" s="5" t="str">
        <f>VLOOKUP($A490,Technologies!$A$7:$H$576,3,FALSE)</f>
        <v>Emission</v>
      </c>
      <c r="D490" s="5" t="str">
        <f>VLOOKUP($A490,Technologies!$A$7:$H$576,4,FALSE)</f>
        <v>Industry</v>
      </c>
      <c r="E490" s="5" t="str">
        <f>VLOOKUP($A490,Technologies!$A$7:$H$576,6,FALSE)</f>
        <v>Emitted neGHG - Industry - F-gas</v>
      </c>
      <c r="F490" s="5" t="str">
        <f>VLOOKUP($A490,Technologies!$A$7:$H$576,7,FALSE)</f>
        <v>MACC Component 2 - neGHG F-gas Refrigerator</v>
      </c>
      <c r="G490" s="23"/>
      <c r="H490" s="23"/>
      <c r="I490" s="104" cm="1">
        <f t="array" ref="I490">-SUMPRODUCT((Feedstocks!$C$4:$C$141=A490)*Feedstocks!$E$4:$E$141,Feedstocks!$F$4:$F$141,Feedstocks!$H$4:$H$141,Feedstocks!$I$4:$I$141)</f>
        <v>0</v>
      </c>
      <c r="J490" s="104" cm="1">
        <f t="array" ref="J490">-SUMPRODUCT((Feedstocks!$C$4:$C$141=A490)*Feedstocks!$E$4:$E$141,Feedstocks!$H$4:$H$141,Feedstocks!$I$4:$I$141)</f>
        <v>0</v>
      </c>
      <c r="K490" s="104"/>
      <c r="L490" s="104"/>
      <c r="M490" s="23"/>
      <c r="N490" s="23" t="str">
        <f>VLOOKUP(E490,Activities!$A$9:$M$227,13,FALSE)</f>
        <v>NL</v>
      </c>
      <c r="O490" s="23"/>
      <c r="P490" s="79" t="s">
        <v>415</v>
      </c>
      <c r="Q490" s="35"/>
      <c r="R490" s="35"/>
      <c r="S490" s="35"/>
      <c r="T490" s="35"/>
      <c r="U490" s="35"/>
      <c r="V490" s="35"/>
      <c r="W490" s="35"/>
      <c r="X490" s="35"/>
      <c r="Y490" s="35"/>
      <c r="Z490" s="35"/>
      <c r="AA490" s="35"/>
      <c r="AB490" s="35"/>
      <c r="AC490" s="35"/>
      <c r="AD490" s="35"/>
      <c r="AE490" s="35"/>
      <c r="AF490" s="36"/>
      <c r="AG490" s="36"/>
      <c r="AH490" s="36"/>
      <c r="AI490" s="36"/>
      <c r="AJ490" s="36"/>
      <c r="AK490" s="36"/>
      <c r="AL490" s="36"/>
      <c r="AM490" s="36"/>
      <c r="AN490" s="36"/>
      <c r="AO490" s="36"/>
      <c r="AP490" s="35"/>
      <c r="AQ490" s="35"/>
      <c r="AR490" s="35"/>
      <c r="AS490" s="35"/>
      <c r="AT490" s="35"/>
      <c r="AU490" s="35"/>
      <c r="AV490" s="35"/>
      <c r="AW490" s="35"/>
      <c r="AX490" s="35"/>
      <c r="AY490" s="35"/>
      <c r="AZ490" s="35"/>
      <c r="BA490" s="35"/>
      <c r="BB490" s="35"/>
      <c r="BC490" s="35"/>
      <c r="BD490" s="35"/>
      <c r="BE490" s="35"/>
      <c r="BF490" s="35"/>
      <c r="BG490" s="35"/>
      <c r="BH490" s="35"/>
      <c r="BI490" s="35"/>
      <c r="BJ490" s="35"/>
      <c r="BK490" s="35"/>
      <c r="BL490" s="35"/>
      <c r="BM490" s="35"/>
      <c r="BN490" s="35"/>
      <c r="BO490" s="35"/>
      <c r="BP490" s="35"/>
      <c r="BQ490" s="35"/>
      <c r="BR490" s="35"/>
      <c r="BS490" s="35"/>
      <c r="BT490" s="35"/>
      <c r="BU490" s="35"/>
      <c r="BV490" s="35"/>
      <c r="BW490" s="35"/>
      <c r="BX490" s="35"/>
      <c r="BY490" s="35"/>
      <c r="BZ490" s="35"/>
      <c r="CA490" s="35"/>
      <c r="CB490" s="35"/>
      <c r="CC490" s="35"/>
      <c r="CD490" s="35"/>
      <c r="CE490" s="35"/>
      <c r="CF490" s="35"/>
      <c r="CG490" s="35"/>
      <c r="CH490" s="35"/>
      <c r="CI490" s="35"/>
      <c r="CJ490" s="35"/>
      <c r="CK490" s="35"/>
      <c r="CL490" s="35"/>
      <c r="CM490" s="35"/>
      <c r="CN490" s="35"/>
      <c r="CO490" s="35"/>
      <c r="CP490" s="35"/>
      <c r="CQ490" s="35"/>
      <c r="CR490" s="35"/>
      <c r="CS490" s="35"/>
      <c r="CT490" s="35"/>
      <c r="CU490" s="35"/>
      <c r="CV490" s="35"/>
      <c r="CW490" s="35"/>
      <c r="CX490" s="35"/>
      <c r="CY490" s="35"/>
      <c r="CZ490" s="35"/>
      <c r="DA490" s="35"/>
      <c r="DB490" s="35"/>
      <c r="DC490" s="35"/>
      <c r="DD490" s="35"/>
      <c r="DE490" s="35"/>
      <c r="DF490" s="35"/>
      <c r="DG490" s="35"/>
      <c r="DH490" s="35"/>
      <c r="DI490" s="35"/>
      <c r="DJ490" s="35"/>
      <c r="DK490" s="35"/>
      <c r="DL490" s="35"/>
      <c r="DM490" s="35"/>
      <c r="DN490" s="35"/>
      <c r="DO490" s="35"/>
      <c r="DP490" s="35"/>
      <c r="DQ490" s="35"/>
      <c r="DR490" s="35"/>
      <c r="DS490" s="35"/>
      <c r="DT490" s="35"/>
      <c r="DU490" s="35"/>
      <c r="DV490" s="35"/>
      <c r="DW490" s="35"/>
      <c r="DX490" s="35"/>
      <c r="DY490" s="35"/>
      <c r="DZ490" s="35"/>
      <c r="EA490" s="35"/>
      <c r="EB490" s="35"/>
      <c r="EC490" s="35"/>
      <c r="ED490" s="35"/>
      <c r="EE490" s="35"/>
      <c r="EF490" s="35"/>
      <c r="EG490" s="35"/>
      <c r="EH490" s="35"/>
      <c r="EI490" s="35"/>
      <c r="EJ490" s="35"/>
      <c r="EK490" s="35"/>
      <c r="EL490" s="35"/>
      <c r="EM490" s="35"/>
      <c r="EN490" s="35"/>
      <c r="EO490" s="35"/>
      <c r="EP490" s="35"/>
      <c r="EQ490" s="35"/>
      <c r="ER490" s="35"/>
      <c r="ES490" s="35"/>
      <c r="ET490" s="35"/>
      <c r="EU490" s="35"/>
      <c r="EV490" s="35"/>
      <c r="EW490" s="35"/>
      <c r="EX490" s="35"/>
      <c r="EY490" s="35"/>
      <c r="EZ490" s="35"/>
      <c r="FA490" s="35"/>
      <c r="FB490" s="35"/>
      <c r="FC490" s="35"/>
      <c r="FD490" s="35"/>
      <c r="FE490" s="35"/>
      <c r="FF490" s="35"/>
      <c r="FG490" s="35"/>
      <c r="FH490" s="35"/>
      <c r="FI490" s="35"/>
      <c r="FJ490" s="35"/>
      <c r="FK490" s="35"/>
      <c r="FL490" s="35"/>
      <c r="FM490" s="35"/>
      <c r="FN490" s="35"/>
      <c r="FO490" s="35"/>
      <c r="FP490" s="35"/>
      <c r="FQ490" s="35"/>
      <c r="FR490" s="35"/>
      <c r="FS490" s="35"/>
      <c r="FT490" s="35"/>
      <c r="FU490" s="35"/>
      <c r="FV490" s="35"/>
      <c r="FW490" s="35">
        <v>-1</v>
      </c>
      <c r="FX490" s="35"/>
      <c r="FY490" s="35"/>
      <c r="FZ490" s="35"/>
      <c r="GA490" s="35"/>
      <c r="GB490" s="318"/>
      <c r="GC490" s="325"/>
      <c r="GD490" s="325"/>
      <c r="GE490" s="325"/>
      <c r="GF490" s="325"/>
      <c r="GG490" s="325"/>
    </row>
    <row r="491" spans="1:189" x14ac:dyDescent="0.35">
      <c r="A491" s="6" t="s">
        <v>1758</v>
      </c>
      <c r="B491" s="6" t="str">
        <f>IF(Technologies!B491&lt;&gt;0,Technologies!B491,"")</f>
        <v>Industrie</v>
      </c>
      <c r="C491" s="6" t="str">
        <f>VLOOKUP($A491,Technologies!$A$7:$H$576,3,FALSE)</f>
        <v>Emission</v>
      </c>
      <c r="D491" s="6" t="str">
        <f>VLOOKUP($A491,Technologies!$A$7:$H$576,4,FALSE)</f>
        <v>Industry</v>
      </c>
      <c r="E491" s="6" t="str">
        <f>VLOOKUP($A491,Technologies!$A$7:$H$576,6,FALSE)</f>
        <v>Emitted neGHG - Industry - F-gas</v>
      </c>
      <c r="F491" s="48" t="str">
        <f>VLOOKUP($A491,Technologies!$A$7:$H$576,7,FALSE)</f>
        <v>MACC Component 1 - neGHG F-gas Other</v>
      </c>
      <c r="G491" s="22"/>
      <c r="H491" s="22"/>
      <c r="I491" s="103" cm="1">
        <f t="array" ref="I491">-SUMPRODUCT((Feedstocks!$C$4:$C$141=A491)*Feedstocks!$E$4:$E$141,Feedstocks!$F$4:$F$141,Feedstocks!$H$4:$H$141,Feedstocks!$I$4:$I$141)</f>
        <v>0</v>
      </c>
      <c r="J491" s="103" cm="1">
        <f t="array" ref="J491">-SUMPRODUCT((Feedstocks!$C$4:$C$141=A491)*Feedstocks!$E$4:$E$141,Feedstocks!$H$4:$H$141,Feedstocks!$I$4:$I$141)</f>
        <v>0</v>
      </c>
      <c r="K491" s="103"/>
      <c r="L491" s="103">
        <v>1</v>
      </c>
      <c r="M491" s="22"/>
      <c r="N491" s="22" t="str">
        <f>VLOOKUP(E491,Activities!$A$9:$M$227,13,FALSE)</f>
        <v>NL</v>
      </c>
      <c r="O491" s="22"/>
      <c r="P491" s="80" t="s">
        <v>415</v>
      </c>
      <c r="Q491" s="36"/>
      <c r="R491" s="36"/>
      <c r="S491" s="36"/>
      <c r="T491" s="36"/>
      <c r="U491" s="36"/>
      <c r="V491" s="36"/>
      <c r="W491" s="36"/>
      <c r="X491" s="36"/>
      <c r="Y491" s="36"/>
      <c r="Z491" s="36"/>
      <c r="AA491" s="36"/>
      <c r="AB491" s="36"/>
      <c r="AC491" s="36"/>
      <c r="AD491" s="36"/>
      <c r="AE491" s="36"/>
      <c r="AF491" s="35"/>
      <c r="AG491" s="35"/>
      <c r="AH491" s="35"/>
      <c r="AI491" s="35"/>
      <c r="AJ491" s="35"/>
      <c r="AK491" s="35"/>
      <c r="AL491" s="35"/>
      <c r="AM491" s="35"/>
      <c r="AN491" s="35"/>
      <c r="AO491" s="35"/>
      <c r="AP491" s="36"/>
      <c r="AQ491" s="36"/>
      <c r="AR491" s="36"/>
      <c r="AS491" s="36"/>
      <c r="AT491" s="36"/>
      <c r="AU491" s="36"/>
      <c r="AV491" s="36"/>
      <c r="AW491" s="36"/>
      <c r="AX491" s="36"/>
      <c r="AY491" s="36"/>
      <c r="AZ491" s="36"/>
      <c r="BA491" s="36"/>
      <c r="BB491" s="36"/>
      <c r="BC491" s="36"/>
      <c r="BD491" s="36"/>
      <c r="BE491" s="36"/>
      <c r="BF491" s="36"/>
      <c r="BG491" s="36"/>
      <c r="BH491" s="36"/>
      <c r="BI491" s="36"/>
      <c r="BJ491" s="36"/>
      <c r="BK491" s="36"/>
      <c r="BL491" s="36"/>
      <c r="BM491" s="36"/>
      <c r="BN491" s="36"/>
      <c r="BO491" s="36"/>
      <c r="BP491" s="36"/>
      <c r="BQ491" s="36"/>
      <c r="BR491" s="36"/>
      <c r="BS491" s="36"/>
      <c r="BT491" s="36"/>
      <c r="BU491" s="36"/>
      <c r="BV491" s="36"/>
      <c r="BW491" s="36"/>
      <c r="BX491" s="36"/>
      <c r="BY491" s="36"/>
      <c r="BZ491" s="36"/>
      <c r="CA491" s="36"/>
      <c r="CB491" s="36"/>
      <c r="CC491" s="36"/>
      <c r="CD491" s="36"/>
      <c r="CE491" s="36"/>
      <c r="CF491" s="36"/>
      <c r="CG491" s="36"/>
      <c r="CH491" s="36"/>
      <c r="CI491" s="36"/>
      <c r="CJ491" s="36"/>
      <c r="CK491" s="36"/>
      <c r="CL491" s="36"/>
      <c r="CM491" s="36"/>
      <c r="CN491" s="36"/>
      <c r="CO491" s="36"/>
      <c r="CP491" s="36"/>
      <c r="CQ491" s="36"/>
      <c r="CR491" s="36"/>
      <c r="CS491" s="36"/>
      <c r="CT491" s="36"/>
      <c r="CU491" s="36"/>
      <c r="CV491" s="36"/>
      <c r="CW491" s="36"/>
      <c r="CX491" s="36"/>
      <c r="CY491" s="36"/>
      <c r="CZ491" s="36"/>
      <c r="DA491" s="36"/>
      <c r="DB491" s="36"/>
      <c r="DC491" s="36"/>
      <c r="DD491" s="36"/>
      <c r="DE491" s="36"/>
      <c r="DF491" s="36"/>
      <c r="DG491" s="36"/>
      <c r="DH491" s="36"/>
      <c r="DI491" s="36"/>
      <c r="DJ491" s="36"/>
      <c r="DK491" s="36"/>
      <c r="DL491" s="36"/>
      <c r="DM491" s="36"/>
      <c r="DN491" s="36"/>
      <c r="DO491" s="36"/>
      <c r="DP491" s="36"/>
      <c r="DQ491" s="36"/>
      <c r="DR491" s="36"/>
      <c r="DS491" s="36"/>
      <c r="DT491" s="36"/>
      <c r="DU491" s="36"/>
      <c r="DV491" s="36"/>
      <c r="DW491" s="36"/>
      <c r="DX491" s="36"/>
      <c r="DY491" s="36"/>
      <c r="DZ491" s="36"/>
      <c r="EA491" s="36"/>
      <c r="EB491" s="36"/>
      <c r="EC491" s="36"/>
      <c r="ED491" s="36"/>
      <c r="EE491" s="36"/>
      <c r="EF491" s="36"/>
      <c r="EG491" s="36"/>
      <c r="EH491" s="36"/>
      <c r="EI491" s="36"/>
      <c r="EJ491" s="36"/>
      <c r="EK491" s="36"/>
      <c r="EL491" s="36"/>
      <c r="EM491" s="36"/>
      <c r="EN491" s="36"/>
      <c r="EO491" s="36"/>
      <c r="EP491" s="36"/>
      <c r="EQ491" s="36"/>
      <c r="ER491" s="36"/>
      <c r="ES491" s="36"/>
      <c r="ET491" s="36"/>
      <c r="EU491" s="36"/>
      <c r="EV491" s="36"/>
      <c r="EW491" s="36"/>
      <c r="EX491" s="36"/>
      <c r="EY491" s="36"/>
      <c r="EZ491" s="36"/>
      <c r="FA491" s="36"/>
      <c r="FB491" s="36"/>
      <c r="FC491" s="36"/>
      <c r="FD491" s="36"/>
      <c r="FE491" s="36"/>
      <c r="FF491" s="36"/>
      <c r="FG491" s="36"/>
      <c r="FH491" s="36"/>
      <c r="FI491" s="36"/>
      <c r="FJ491" s="36"/>
      <c r="FK491" s="36"/>
      <c r="FL491" s="36"/>
      <c r="FM491" s="36"/>
      <c r="FN491" s="36"/>
      <c r="FO491" s="36"/>
      <c r="FP491" s="36"/>
      <c r="FQ491" s="36"/>
      <c r="FR491" s="36"/>
      <c r="FS491" s="36"/>
      <c r="FT491" s="36"/>
      <c r="FU491" s="36"/>
      <c r="FV491" s="36"/>
      <c r="FW491" s="36">
        <v>-1</v>
      </c>
      <c r="FX491" s="36"/>
      <c r="FY491" s="36"/>
      <c r="FZ491" s="36"/>
      <c r="GA491" s="36"/>
      <c r="GB491" s="319"/>
      <c r="GC491" s="324"/>
      <c r="GD491" s="324"/>
      <c r="GE491" s="324"/>
      <c r="GF491" s="324"/>
      <c r="GG491" s="324"/>
    </row>
    <row r="492" spans="1:189" x14ac:dyDescent="0.35">
      <c r="A492" s="5" t="s">
        <v>1760</v>
      </c>
      <c r="B492" s="6" t="str">
        <f>IF(Technologies!B492&lt;&gt;0,Technologies!B492,"")</f>
        <v>Mobiliteit</v>
      </c>
      <c r="C492" s="5" t="str">
        <f>VLOOKUP($A492,Technologies!$A$7:$H$576,3,FALSE)</f>
        <v>Emission</v>
      </c>
      <c r="D492" s="5" t="str">
        <f>VLOOKUP($A492,Technologies!$A$7:$H$576,4,FALSE)</f>
        <v>Transport</v>
      </c>
      <c r="E492" s="5" t="str">
        <f>VLOOKUP($A492,Technologies!$A$7:$H$576,6,FALSE)</f>
        <v>Emitted neGHG - Transport - CH4</v>
      </c>
      <c r="F492" s="5" t="str">
        <f>VLOOKUP($A492,Technologies!$A$7:$H$576,7,FALSE)</f>
        <v>Emitted neGHG - Transport - CH4</v>
      </c>
      <c r="G492" s="23"/>
      <c r="H492" s="23"/>
      <c r="I492" s="104" cm="1">
        <f t="array" ref="I492">-SUMPRODUCT((Feedstocks!$C$4:$C$141=A492)*Feedstocks!$E$4:$E$141,Feedstocks!$F$4:$F$141,Feedstocks!$H$4:$H$141,Feedstocks!$I$4:$I$141)</f>
        <v>0</v>
      </c>
      <c r="J492" s="104" cm="1">
        <f t="array" ref="J492">-SUMPRODUCT((Feedstocks!$C$4:$C$141=A492)*Feedstocks!$E$4:$E$141,Feedstocks!$H$4:$H$141,Feedstocks!$I$4:$I$141)</f>
        <v>0</v>
      </c>
      <c r="K492" s="104"/>
      <c r="L492" s="104"/>
      <c r="M492" s="23"/>
      <c r="N492" s="23" t="str">
        <f>VLOOKUP(E492,Activities!$A$9:$M$227,13,FALSE)</f>
        <v>NL</v>
      </c>
      <c r="O492" s="23"/>
      <c r="P492" s="79" t="s">
        <v>1519</v>
      </c>
      <c r="Q492" s="35"/>
      <c r="R492" s="35"/>
      <c r="S492" s="35"/>
      <c r="T492" s="35"/>
      <c r="U492" s="35"/>
      <c r="V492" s="35"/>
      <c r="W492" s="35"/>
      <c r="X492" s="35"/>
      <c r="Y492" s="35"/>
      <c r="Z492" s="35"/>
      <c r="AA492" s="35"/>
      <c r="AB492" s="35"/>
      <c r="AC492" s="35"/>
      <c r="AD492" s="35"/>
      <c r="AE492" s="35"/>
      <c r="AF492" s="36"/>
      <c r="AG492" s="36"/>
      <c r="AH492" s="36"/>
      <c r="AI492" s="36"/>
      <c r="AJ492" s="36"/>
      <c r="AK492" s="36"/>
      <c r="AL492" s="36"/>
      <c r="AM492" s="36"/>
      <c r="AN492" s="36"/>
      <c r="AO492" s="36"/>
      <c r="AP492" s="35"/>
      <c r="AQ492" s="35"/>
      <c r="AR492" s="35"/>
      <c r="AS492" s="35"/>
      <c r="AT492" s="35"/>
      <c r="AU492" s="35"/>
      <c r="AV492" s="35"/>
      <c r="AW492" s="35"/>
      <c r="AX492" s="35"/>
      <c r="AY492" s="35"/>
      <c r="AZ492" s="35"/>
      <c r="BA492" s="35"/>
      <c r="BB492" s="35"/>
      <c r="BC492" s="35"/>
      <c r="BD492" s="35"/>
      <c r="BE492" s="35"/>
      <c r="BF492" s="35"/>
      <c r="BG492" s="35"/>
      <c r="BH492" s="35"/>
      <c r="BI492" s="35"/>
      <c r="BJ492" s="35"/>
      <c r="BK492" s="35"/>
      <c r="BL492" s="35"/>
      <c r="BM492" s="35"/>
      <c r="BN492" s="35"/>
      <c r="BO492" s="35"/>
      <c r="BP492" s="35"/>
      <c r="BQ492" s="35"/>
      <c r="BR492" s="35"/>
      <c r="BS492" s="35"/>
      <c r="BT492" s="35"/>
      <c r="BU492" s="35"/>
      <c r="BV492" s="35"/>
      <c r="BW492" s="35"/>
      <c r="BX492" s="35"/>
      <c r="BY492" s="35"/>
      <c r="BZ492" s="35"/>
      <c r="CA492" s="35"/>
      <c r="CB492" s="35"/>
      <c r="CC492" s="35"/>
      <c r="CD492" s="35"/>
      <c r="CE492" s="35"/>
      <c r="CF492" s="35"/>
      <c r="CG492" s="35"/>
      <c r="CH492" s="35"/>
      <c r="CI492" s="35"/>
      <c r="CJ492" s="35"/>
      <c r="CK492" s="35"/>
      <c r="CL492" s="35"/>
      <c r="CM492" s="35"/>
      <c r="CN492" s="35"/>
      <c r="CO492" s="35"/>
      <c r="CP492" s="35"/>
      <c r="CQ492" s="35"/>
      <c r="CR492" s="35"/>
      <c r="CS492" s="35"/>
      <c r="CT492" s="35"/>
      <c r="CU492" s="35"/>
      <c r="CV492" s="35"/>
      <c r="CW492" s="35"/>
      <c r="CX492" s="35"/>
      <c r="CY492" s="35"/>
      <c r="CZ492" s="35"/>
      <c r="DA492" s="35"/>
      <c r="DB492" s="35"/>
      <c r="DC492" s="35"/>
      <c r="DD492" s="35"/>
      <c r="DE492" s="35"/>
      <c r="DF492" s="35"/>
      <c r="DG492" s="35"/>
      <c r="DH492" s="35"/>
      <c r="DI492" s="35"/>
      <c r="DJ492" s="35"/>
      <c r="DK492" s="35"/>
      <c r="DL492" s="35"/>
      <c r="DM492" s="35"/>
      <c r="DN492" s="35"/>
      <c r="DO492" s="35"/>
      <c r="DP492" s="35"/>
      <c r="DQ492" s="35"/>
      <c r="DR492" s="35"/>
      <c r="DS492" s="35"/>
      <c r="DT492" s="35"/>
      <c r="DU492" s="35"/>
      <c r="DV492" s="35"/>
      <c r="DW492" s="35"/>
      <c r="DX492" s="35"/>
      <c r="DY492" s="35"/>
      <c r="DZ492" s="35"/>
      <c r="EA492" s="35"/>
      <c r="EB492" s="35"/>
      <c r="EC492" s="35"/>
      <c r="ED492" s="35"/>
      <c r="EE492" s="35"/>
      <c r="EF492" s="35"/>
      <c r="EG492" s="35"/>
      <c r="EH492" s="35"/>
      <c r="EI492" s="35"/>
      <c r="EJ492" s="35"/>
      <c r="EK492" s="35"/>
      <c r="EL492" s="35"/>
      <c r="EM492" s="35"/>
      <c r="EN492" s="35"/>
      <c r="EO492" s="35"/>
      <c r="EP492" s="35"/>
      <c r="EQ492" s="35"/>
      <c r="ER492" s="35"/>
      <c r="ES492" s="35"/>
      <c r="ET492" s="35"/>
      <c r="EU492" s="35"/>
      <c r="EV492" s="35"/>
      <c r="EW492" s="35"/>
      <c r="EX492" s="35"/>
      <c r="EY492" s="35"/>
      <c r="EZ492" s="35"/>
      <c r="FA492" s="35"/>
      <c r="FB492" s="35"/>
      <c r="FC492" s="35"/>
      <c r="FD492" s="35"/>
      <c r="FE492" s="35"/>
      <c r="FF492" s="35"/>
      <c r="FG492" s="35"/>
      <c r="FH492" s="35"/>
      <c r="FI492" s="35"/>
      <c r="FJ492" s="35"/>
      <c r="FK492" s="35"/>
      <c r="FL492" s="35"/>
      <c r="FM492" s="35"/>
      <c r="FN492" s="35"/>
      <c r="FO492" s="35"/>
      <c r="FP492" s="35"/>
      <c r="FQ492" s="35"/>
      <c r="FR492" s="35"/>
      <c r="FS492" s="35"/>
      <c r="FT492" s="35"/>
      <c r="FU492" s="35"/>
      <c r="FV492" s="35"/>
      <c r="FW492" s="35"/>
      <c r="FX492" s="35">
        <v>-1</v>
      </c>
      <c r="FY492" s="35"/>
      <c r="FZ492" s="35"/>
      <c r="GA492" s="35"/>
      <c r="GB492" s="318"/>
      <c r="GC492" s="325"/>
      <c r="GD492" s="325"/>
      <c r="GE492" s="325">
        <v>1</v>
      </c>
      <c r="GF492" s="325"/>
      <c r="GG492" s="325"/>
    </row>
    <row r="493" spans="1:189" x14ac:dyDescent="0.35">
      <c r="A493" s="6" t="s">
        <v>1761</v>
      </c>
      <c r="B493" s="6" t="str">
        <f>IF(Technologies!B493&lt;&gt;0,Technologies!B493,"")</f>
        <v>Mobiliteit</v>
      </c>
      <c r="C493" s="6" t="str">
        <f>VLOOKUP($A493,Technologies!$A$7:$H$576,3,FALSE)</f>
        <v>Emission</v>
      </c>
      <c r="D493" s="6" t="str">
        <f>VLOOKUP($A493,Technologies!$A$7:$H$576,4,FALSE)</f>
        <v>Transport</v>
      </c>
      <c r="E493" s="6" t="str">
        <f>VLOOKUP($A493,Technologies!$A$7:$H$576,6,FALSE)</f>
        <v>Emitted neGHG - Transport - CH4</v>
      </c>
      <c r="F493" s="48" t="str">
        <f>VLOOKUP($A493,Technologies!$A$7:$H$576,7,FALSE)</f>
        <v>MACC Component 1 - neGHG CH4 Other</v>
      </c>
      <c r="G493" s="22"/>
      <c r="H493" s="22"/>
      <c r="I493" s="103" cm="1">
        <f t="array" ref="I493">-SUMPRODUCT((Feedstocks!$C$4:$C$141=A493)*Feedstocks!$E$4:$E$141,Feedstocks!$F$4:$F$141,Feedstocks!$H$4:$H$141,Feedstocks!$I$4:$I$141)</f>
        <v>0</v>
      </c>
      <c r="J493" s="103" cm="1">
        <f t="array" ref="J493">-SUMPRODUCT((Feedstocks!$C$4:$C$141=A493)*Feedstocks!$E$4:$E$141,Feedstocks!$H$4:$H$141,Feedstocks!$I$4:$I$141)</f>
        <v>0</v>
      </c>
      <c r="K493" s="103"/>
      <c r="L493" s="103"/>
      <c r="M493" s="22"/>
      <c r="N493" s="22" t="str">
        <f>VLOOKUP(E493,Activities!$A$9:$M$227,13,FALSE)</f>
        <v>NL</v>
      </c>
      <c r="O493" s="22"/>
      <c r="P493" s="80" t="s">
        <v>415</v>
      </c>
      <c r="Q493" s="36"/>
      <c r="R493" s="36"/>
      <c r="S493" s="36"/>
      <c r="T493" s="36"/>
      <c r="U493" s="36"/>
      <c r="V493" s="36"/>
      <c r="W493" s="36"/>
      <c r="X493" s="36"/>
      <c r="Y493" s="36"/>
      <c r="Z493" s="36"/>
      <c r="AA493" s="36"/>
      <c r="AB493" s="36"/>
      <c r="AC493" s="36"/>
      <c r="AD493" s="36"/>
      <c r="AE493" s="36"/>
      <c r="AF493" s="35"/>
      <c r="AG493" s="35"/>
      <c r="AH493" s="35"/>
      <c r="AI493" s="35"/>
      <c r="AJ493" s="35"/>
      <c r="AK493" s="35"/>
      <c r="AL493" s="35"/>
      <c r="AM493" s="35"/>
      <c r="AN493" s="35"/>
      <c r="AO493" s="35"/>
      <c r="AP493" s="36"/>
      <c r="AQ493" s="36"/>
      <c r="AR493" s="36"/>
      <c r="AS493" s="36"/>
      <c r="AT493" s="36"/>
      <c r="AU493" s="36"/>
      <c r="AV493" s="36"/>
      <c r="AW493" s="36"/>
      <c r="AX493" s="36"/>
      <c r="AY493" s="36"/>
      <c r="AZ493" s="36"/>
      <c r="BA493" s="36"/>
      <c r="BB493" s="36"/>
      <c r="BC493" s="36"/>
      <c r="BD493" s="36"/>
      <c r="BE493" s="36"/>
      <c r="BF493" s="36"/>
      <c r="BG493" s="36"/>
      <c r="BH493" s="36"/>
      <c r="BI493" s="36"/>
      <c r="BJ493" s="36"/>
      <c r="BK493" s="36"/>
      <c r="BL493" s="36"/>
      <c r="BM493" s="36"/>
      <c r="BN493" s="36"/>
      <c r="BO493" s="36"/>
      <c r="BP493" s="36"/>
      <c r="BQ493" s="36"/>
      <c r="BR493" s="36"/>
      <c r="BS493" s="36"/>
      <c r="BT493" s="36"/>
      <c r="BU493" s="36"/>
      <c r="BV493" s="36"/>
      <c r="BW493" s="36"/>
      <c r="BX493" s="36"/>
      <c r="BY493" s="36"/>
      <c r="BZ493" s="36"/>
      <c r="CA493" s="36"/>
      <c r="CB493" s="36"/>
      <c r="CC493" s="36"/>
      <c r="CD493" s="36"/>
      <c r="CE493" s="36"/>
      <c r="CF493" s="36"/>
      <c r="CG493" s="36"/>
      <c r="CH493" s="36"/>
      <c r="CI493" s="36"/>
      <c r="CJ493" s="36"/>
      <c r="CK493" s="36"/>
      <c r="CL493" s="36"/>
      <c r="CM493" s="36"/>
      <c r="CN493" s="36"/>
      <c r="CO493" s="36"/>
      <c r="CP493" s="36"/>
      <c r="CQ493" s="36"/>
      <c r="CR493" s="36"/>
      <c r="CS493" s="36"/>
      <c r="CT493" s="36"/>
      <c r="CU493" s="36"/>
      <c r="CV493" s="36"/>
      <c r="CW493" s="36"/>
      <c r="CX493" s="36"/>
      <c r="CY493" s="36"/>
      <c r="CZ493" s="36"/>
      <c r="DA493" s="36"/>
      <c r="DB493" s="36"/>
      <c r="DC493" s="36"/>
      <c r="DD493" s="36"/>
      <c r="DE493" s="36"/>
      <c r="DF493" s="36"/>
      <c r="DG493" s="36"/>
      <c r="DH493" s="36"/>
      <c r="DI493" s="36"/>
      <c r="DJ493" s="36"/>
      <c r="DK493" s="36"/>
      <c r="DL493" s="36"/>
      <c r="DM493" s="36"/>
      <c r="DN493" s="36"/>
      <c r="DO493" s="36"/>
      <c r="DP493" s="36"/>
      <c r="DQ493" s="36"/>
      <c r="DR493" s="36"/>
      <c r="DS493" s="36"/>
      <c r="DT493" s="36"/>
      <c r="DU493" s="36"/>
      <c r="DV493" s="36"/>
      <c r="DW493" s="36"/>
      <c r="DX493" s="36"/>
      <c r="DY493" s="36"/>
      <c r="DZ493" s="36"/>
      <c r="EA493" s="36"/>
      <c r="EB493" s="36"/>
      <c r="EC493" s="36"/>
      <c r="ED493" s="36"/>
      <c r="EE493" s="36"/>
      <c r="EF493" s="36"/>
      <c r="EG493" s="36"/>
      <c r="EH493" s="36"/>
      <c r="EI493" s="36"/>
      <c r="EJ493" s="36"/>
      <c r="EK493" s="36"/>
      <c r="EL493" s="36"/>
      <c r="EM493" s="36"/>
      <c r="EN493" s="36"/>
      <c r="EO493" s="36"/>
      <c r="EP493" s="36"/>
      <c r="EQ493" s="36"/>
      <c r="ER493" s="36"/>
      <c r="ES493" s="36"/>
      <c r="ET493" s="36"/>
      <c r="EU493" s="36"/>
      <c r="EV493" s="36"/>
      <c r="EW493" s="36"/>
      <c r="EX493" s="36"/>
      <c r="EY493" s="36"/>
      <c r="EZ493" s="36"/>
      <c r="FA493" s="36"/>
      <c r="FB493" s="36"/>
      <c r="FC493" s="36"/>
      <c r="FD493" s="36"/>
      <c r="FE493" s="36"/>
      <c r="FF493" s="36"/>
      <c r="FG493" s="36"/>
      <c r="FH493" s="36"/>
      <c r="FI493" s="36"/>
      <c r="FJ493" s="36"/>
      <c r="FK493" s="36"/>
      <c r="FL493" s="36"/>
      <c r="FM493" s="36"/>
      <c r="FN493" s="36"/>
      <c r="FO493" s="36"/>
      <c r="FP493" s="36"/>
      <c r="FQ493" s="36"/>
      <c r="FR493" s="36"/>
      <c r="FS493" s="36"/>
      <c r="FT493" s="36"/>
      <c r="FU493" s="36"/>
      <c r="FV493" s="36"/>
      <c r="FW493" s="36"/>
      <c r="FX493" s="36">
        <v>-1</v>
      </c>
      <c r="FY493" s="36"/>
      <c r="FZ493" s="36"/>
      <c r="GA493" s="36"/>
      <c r="GB493" s="319"/>
      <c r="GC493" s="324"/>
      <c r="GD493" s="324"/>
      <c r="GE493" s="324"/>
      <c r="GF493" s="324"/>
      <c r="GG493" s="324"/>
    </row>
    <row r="494" spans="1:189" x14ac:dyDescent="0.35">
      <c r="A494" s="5" t="s">
        <v>1762</v>
      </c>
      <c r="B494" s="6" t="str">
        <f>IF(Technologies!B494&lt;&gt;0,Technologies!B494,"")</f>
        <v>Mobiliteit</v>
      </c>
      <c r="C494" s="5" t="str">
        <f>VLOOKUP($A494,Technologies!$A$7:$H$576,3,FALSE)</f>
        <v>Emission</v>
      </c>
      <c r="D494" s="5" t="str">
        <f>VLOOKUP($A494,Technologies!$A$7:$H$576,4,FALSE)</f>
        <v>Transport</v>
      </c>
      <c r="E494" s="5" t="str">
        <f>VLOOKUP($A494,Technologies!$A$7:$H$576,6,FALSE)</f>
        <v>Emitted neGHG - Transport - N2O</v>
      </c>
      <c r="F494" s="5" t="str">
        <f>VLOOKUP($A494,Technologies!$A$7:$H$576,7,FALSE)</f>
        <v>Emitted neGHG - Transport - N2O</v>
      </c>
      <c r="G494" s="23"/>
      <c r="H494" s="23"/>
      <c r="I494" s="104" cm="1">
        <f t="array" ref="I494">-SUMPRODUCT((Feedstocks!$C$4:$C$141=A494)*Feedstocks!$E$4:$E$141,Feedstocks!$F$4:$F$141,Feedstocks!$H$4:$H$141,Feedstocks!$I$4:$I$141)</f>
        <v>0</v>
      </c>
      <c r="J494" s="104" cm="1">
        <f t="array" ref="J494">-SUMPRODUCT((Feedstocks!$C$4:$C$141=A494)*Feedstocks!$E$4:$E$141,Feedstocks!$H$4:$H$141,Feedstocks!$I$4:$I$141)</f>
        <v>0</v>
      </c>
      <c r="K494" s="104"/>
      <c r="L494" s="104"/>
      <c r="M494" s="23"/>
      <c r="N494" s="23" t="str">
        <f>VLOOKUP(E494,Activities!$A$9:$M$227,13,FALSE)</f>
        <v>NL</v>
      </c>
      <c r="O494" s="23"/>
      <c r="P494" s="79" t="s">
        <v>415</v>
      </c>
      <c r="Q494" s="35"/>
      <c r="R494" s="35"/>
      <c r="S494" s="35"/>
      <c r="T494" s="35"/>
      <c r="U494" s="35"/>
      <c r="V494" s="35"/>
      <c r="W494" s="35"/>
      <c r="X494" s="35"/>
      <c r="Y494" s="35"/>
      <c r="Z494" s="35"/>
      <c r="AA494" s="35"/>
      <c r="AB494" s="35"/>
      <c r="AC494" s="35"/>
      <c r="AD494" s="35"/>
      <c r="AE494" s="35"/>
      <c r="AF494" s="36"/>
      <c r="AG494" s="36"/>
      <c r="AH494" s="36"/>
      <c r="AI494" s="36"/>
      <c r="AJ494" s="36"/>
      <c r="AK494" s="36"/>
      <c r="AL494" s="36"/>
      <c r="AM494" s="36"/>
      <c r="AN494" s="36"/>
      <c r="AO494" s="36"/>
      <c r="AP494" s="35"/>
      <c r="AQ494" s="35"/>
      <c r="AR494" s="35"/>
      <c r="AS494" s="35"/>
      <c r="AT494" s="35"/>
      <c r="AU494" s="35"/>
      <c r="AV494" s="35"/>
      <c r="AW494" s="35"/>
      <c r="AX494" s="35"/>
      <c r="AY494" s="35"/>
      <c r="AZ494" s="35"/>
      <c r="BA494" s="35"/>
      <c r="BB494" s="35"/>
      <c r="BC494" s="35"/>
      <c r="BD494" s="35"/>
      <c r="BE494" s="35"/>
      <c r="BF494" s="35"/>
      <c r="BG494" s="35"/>
      <c r="BH494" s="35"/>
      <c r="BI494" s="35"/>
      <c r="BJ494" s="35"/>
      <c r="BK494" s="35"/>
      <c r="BL494" s="35"/>
      <c r="BM494" s="35"/>
      <c r="BN494" s="35"/>
      <c r="BO494" s="35"/>
      <c r="BP494" s="35"/>
      <c r="BQ494" s="35"/>
      <c r="BR494" s="35"/>
      <c r="BS494" s="35"/>
      <c r="BT494" s="35"/>
      <c r="BU494" s="35"/>
      <c r="BV494" s="35"/>
      <c r="BW494" s="35"/>
      <c r="BX494" s="35"/>
      <c r="BY494" s="35"/>
      <c r="BZ494" s="35"/>
      <c r="CA494" s="35"/>
      <c r="CB494" s="35"/>
      <c r="CC494" s="35"/>
      <c r="CD494" s="35"/>
      <c r="CE494" s="35"/>
      <c r="CF494" s="35"/>
      <c r="CG494" s="35"/>
      <c r="CH494" s="35"/>
      <c r="CI494" s="35"/>
      <c r="CJ494" s="35"/>
      <c r="CK494" s="35"/>
      <c r="CL494" s="35"/>
      <c r="CM494" s="35"/>
      <c r="CN494" s="35"/>
      <c r="CO494" s="35"/>
      <c r="CP494" s="35"/>
      <c r="CQ494" s="35"/>
      <c r="CR494" s="35"/>
      <c r="CS494" s="35"/>
      <c r="CT494" s="35"/>
      <c r="CU494" s="35"/>
      <c r="CV494" s="35"/>
      <c r="CW494" s="35"/>
      <c r="CX494" s="35"/>
      <c r="CY494" s="35"/>
      <c r="CZ494" s="35"/>
      <c r="DA494" s="35"/>
      <c r="DB494" s="35"/>
      <c r="DC494" s="35"/>
      <c r="DD494" s="35"/>
      <c r="DE494" s="35"/>
      <c r="DF494" s="35"/>
      <c r="DG494" s="35"/>
      <c r="DH494" s="35"/>
      <c r="DI494" s="35"/>
      <c r="DJ494" s="35"/>
      <c r="DK494" s="35"/>
      <c r="DL494" s="35"/>
      <c r="DM494" s="35"/>
      <c r="DN494" s="35"/>
      <c r="DO494" s="35"/>
      <c r="DP494" s="35"/>
      <c r="DQ494" s="35"/>
      <c r="DR494" s="35"/>
      <c r="DS494" s="35"/>
      <c r="DT494" s="35"/>
      <c r="DU494" s="35"/>
      <c r="DV494" s="35"/>
      <c r="DW494" s="35"/>
      <c r="DX494" s="35"/>
      <c r="DY494" s="35"/>
      <c r="DZ494" s="35"/>
      <c r="EA494" s="35"/>
      <c r="EB494" s="35"/>
      <c r="EC494" s="35"/>
      <c r="ED494" s="35"/>
      <c r="EE494" s="35"/>
      <c r="EF494" s="35"/>
      <c r="EG494" s="35"/>
      <c r="EH494" s="35"/>
      <c r="EI494" s="35"/>
      <c r="EJ494" s="35"/>
      <c r="EK494" s="35"/>
      <c r="EL494" s="35"/>
      <c r="EM494" s="35"/>
      <c r="EN494" s="35"/>
      <c r="EO494" s="35"/>
      <c r="EP494" s="35"/>
      <c r="EQ494" s="35"/>
      <c r="ER494" s="35"/>
      <c r="ES494" s="35"/>
      <c r="ET494" s="35"/>
      <c r="EU494" s="35"/>
      <c r="EV494" s="35"/>
      <c r="EW494" s="35"/>
      <c r="EX494" s="35"/>
      <c r="EY494" s="35"/>
      <c r="EZ494" s="35"/>
      <c r="FA494" s="35"/>
      <c r="FB494" s="35"/>
      <c r="FC494" s="35"/>
      <c r="FD494" s="35"/>
      <c r="FE494" s="35"/>
      <c r="FF494" s="35"/>
      <c r="FG494" s="35"/>
      <c r="FH494" s="35"/>
      <c r="FI494" s="35"/>
      <c r="FJ494" s="35"/>
      <c r="FK494" s="35"/>
      <c r="FL494" s="35"/>
      <c r="FM494" s="35"/>
      <c r="FN494" s="35"/>
      <c r="FO494" s="35"/>
      <c r="FP494" s="35"/>
      <c r="FQ494" s="35"/>
      <c r="FR494" s="35"/>
      <c r="FS494" s="35"/>
      <c r="FT494" s="35"/>
      <c r="FU494" s="35"/>
      <c r="FV494" s="35"/>
      <c r="FW494" s="35"/>
      <c r="FX494" s="35"/>
      <c r="FY494" s="35">
        <v>-1</v>
      </c>
      <c r="FZ494" s="35"/>
      <c r="GA494" s="35"/>
      <c r="GB494" s="318"/>
      <c r="GC494" s="325"/>
      <c r="GD494" s="325"/>
      <c r="GE494" s="325">
        <v>1</v>
      </c>
      <c r="GF494" s="325"/>
      <c r="GG494" s="325"/>
    </row>
    <row r="495" spans="1:189" x14ac:dyDescent="0.35">
      <c r="A495" s="6" t="s">
        <v>1763</v>
      </c>
      <c r="B495" s="6" t="str">
        <f>IF(Technologies!B495&lt;&gt;0,Technologies!B495,"")</f>
        <v>Mobiliteit</v>
      </c>
      <c r="C495" s="6" t="str">
        <f>VLOOKUP($A495,Technologies!$A$7:$H$576,3,FALSE)</f>
        <v>Emission</v>
      </c>
      <c r="D495" s="6" t="str">
        <f>VLOOKUP($A495,Technologies!$A$7:$H$576,4,FALSE)</f>
        <v>Transport</v>
      </c>
      <c r="E495" s="6" t="str">
        <f>VLOOKUP($A495,Technologies!$A$7:$H$576,6,FALSE)</f>
        <v>Emitted neGHG - Transport - N2O</v>
      </c>
      <c r="F495" s="48" t="str">
        <f>VLOOKUP($A495,Technologies!$A$7:$H$576,7,FALSE)</f>
        <v>MACC Component 1 - neGHG N2O Other</v>
      </c>
      <c r="G495" s="22"/>
      <c r="H495" s="22"/>
      <c r="I495" s="103" cm="1">
        <f t="array" ref="I495">-SUMPRODUCT((Feedstocks!$C$4:$C$141=A495)*Feedstocks!$E$4:$E$141,Feedstocks!$F$4:$F$141,Feedstocks!$H$4:$H$141,Feedstocks!$I$4:$I$141)</f>
        <v>0</v>
      </c>
      <c r="J495" s="103" cm="1">
        <f t="array" ref="J495">-SUMPRODUCT((Feedstocks!$C$4:$C$141=A495)*Feedstocks!$E$4:$E$141,Feedstocks!$H$4:$H$141,Feedstocks!$I$4:$I$141)</f>
        <v>0</v>
      </c>
      <c r="K495" s="103"/>
      <c r="L495" s="103"/>
      <c r="M495" s="22"/>
      <c r="N495" s="22" t="str">
        <f>VLOOKUP(E495,Activities!$A$9:$M$227,13,FALSE)</f>
        <v>NL</v>
      </c>
      <c r="O495" s="22"/>
      <c r="P495" s="80" t="s">
        <v>415</v>
      </c>
      <c r="Q495" s="36"/>
      <c r="R495" s="36"/>
      <c r="S495" s="36"/>
      <c r="T495" s="36"/>
      <c r="U495" s="36"/>
      <c r="V495" s="36"/>
      <c r="W495" s="36"/>
      <c r="X495" s="36"/>
      <c r="Y495" s="36"/>
      <c r="Z495" s="36"/>
      <c r="AA495" s="36"/>
      <c r="AB495" s="36"/>
      <c r="AC495" s="36"/>
      <c r="AD495" s="36"/>
      <c r="AE495" s="36"/>
      <c r="AF495" s="35"/>
      <c r="AG495" s="35"/>
      <c r="AH495" s="35"/>
      <c r="AI495" s="35"/>
      <c r="AJ495" s="35"/>
      <c r="AK495" s="35"/>
      <c r="AL495" s="35"/>
      <c r="AM495" s="35"/>
      <c r="AN495" s="35"/>
      <c r="AO495" s="35"/>
      <c r="AP495" s="36"/>
      <c r="AQ495" s="36"/>
      <c r="AR495" s="36"/>
      <c r="AS495" s="36"/>
      <c r="AT495" s="36"/>
      <c r="AU495" s="36"/>
      <c r="AV495" s="36"/>
      <c r="AW495" s="36"/>
      <c r="AX495" s="36"/>
      <c r="AY495" s="36"/>
      <c r="AZ495" s="36"/>
      <c r="BA495" s="36"/>
      <c r="BB495" s="36"/>
      <c r="BC495" s="36"/>
      <c r="BD495" s="36"/>
      <c r="BE495" s="36"/>
      <c r="BF495" s="36"/>
      <c r="BG495" s="36"/>
      <c r="BH495" s="36"/>
      <c r="BI495" s="36"/>
      <c r="BJ495" s="36"/>
      <c r="BK495" s="36"/>
      <c r="BL495" s="36"/>
      <c r="BM495" s="36"/>
      <c r="BN495" s="36"/>
      <c r="BO495" s="36"/>
      <c r="BP495" s="36"/>
      <c r="BQ495" s="36"/>
      <c r="BR495" s="36"/>
      <c r="BS495" s="36"/>
      <c r="BT495" s="36"/>
      <c r="BU495" s="36"/>
      <c r="BV495" s="36"/>
      <c r="BW495" s="36"/>
      <c r="BX495" s="36"/>
      <c r="BY495" s="36"/>
      <c r="BZ495" s="36"/>
      <c r="CA495" s="36"/>
      <c r="CB495" s="36"/>
      <c r="CC495" s="36"/>
      <c r="CD495" s="36"/>
      <c r="CE495" s="36"/>
      <c r="CF495" s="36"/>
      <c r="CG495" s="36"/>
      <c r="CH495" s="36"/>
      <c r="CI495" s="36"/>
      <c r="CJ495" s="36"/>
      <c r="CK495" s="36"/>
      <c r="CL495" s="36"/>
      <c r="CM495" s="36"/>
      <c r="CN495" s="36"/>
      <c r="CO495" s="36"/>
      <c r="CP495" s="36"/>
      <c r="CQ495" s="36"/>
      <c r="CR495" s="36"/>
      <c r="CS495" s="36"/>
      <c r="CT495" s="36"/>
      <c r="CU495" s="36"/>
      <c r="CV495" s="36"/>
      <c r="CW495" s="36"/>
      <c r="CX495" s="36"/>
      <c r="CY495" s="36"/>
      <c r="CZ495" s="36"/>
      <c r="DA495" s="36"/>
      <c r="DB495" s="36"/>
      <c r="DC495" s="36"/>
      <c r="DD495" s="36"/>
      <c r="DE495" s="36"/>
      <c r="DF495" s="36"/>
      <c r="DG495" s="36"/>
      <c r="DH495" s="36"/>
      <c r="DI495" s="36"/>
      <c r="DJ495" s="36"/>
      <c r="DK495" s="36"/>
      <c r="DL495" s="36"/>
      <c r="DM495" s="36"/>
      <c r="DN495" s="36"/>
      <c r="DO495" s="36"/>
      <c r="DP495" s="36"/>
      <c r="DQ495" s="36"/>
      <c r="DR495" s="36"/>
      <c r="DS495" s="36"/>
      <c r="DT495" s="36"/>
      <c r="DU495" s="36"/>
      <c r="DV495" s="36"/>
      <c r="DW495" s="36"/>
      <c r="DX495" s="36"/>
      <c r="DY495" s="36"/>
      <c r="DZ495" s="36"/>
      <c r="EA495" s="36"/>
      <c r="EB495" s="36"/>
      <c r="EC495" s="36"/>
      <c r="ED495" s="36"/>
      <c r="EE495" s="36"/>
      <c r="EF495" s="36"/>
      <c r="EG495" s="36"/>
      <c r="EH495" s="36"/>
      <c r="EI495" s="36"/>
      <c r="EJ495" s="36"/>
      <c r="EK495" s="36"/>
      <c r="EL495" s="36"/>
      <c r="EM495" s="36"/>
      <c r="EN495" s="36"/>
      <c r="EO495" s="36"/>
      <c r="EP495" s="36"/>
      <c r="EQ495" s="36"/>
      <c r="ER495" s="36"/>
      <c r="ES495" s="36"/>
      <c r="ET495" s="36"/>
      <c r="EU495" s="36"/>
      <c r="EV495" s="36"/>
      <c r="EW495" s="36"/>
      <c r="EX495" s="36"/>
      <c r="EY495" s="36"/>
      <c r="EZ495" s="36"/>
      <c r="FA495" s="36"/>
      <c r="FB495" s="36"/>
      <c r="FC495" s="36"/>
      <c r="FD495" s="36"/>
      <c r="FE495" s="36"/>
      <c r="FF495" s="36"/>
      <c r="FG495" s="36"/>
      <c r="FH495" s="36"/>
      <c r="FI495" s="36"/>
      <c r="FJ495" s="36"/>
      <c r="FK495" s="36"/>
      <c r="FL495" s="36"/>
      <c r="FM495" s="36"/>
      <c r="FN495" s="36"/>
      <c r="FO495" s="36"/>
      <c r="FP495" s="36"/>
      <c r="FQ495" s="36"/>
      <c r="FR495" s="36"/>
      <c r="FS495" s="36"/>
      <c r="FT495" s="36"/>
      <c r="FU495" s="36"/>
      <c r="FV495" s="36"/>
      <c r="FW495" s="36"/>
      <c r="FX495" s="36"/>
      <c r="FY495" s="36">
        <v>-1</v>
      </c>
      <c r="FZ495" s="36"/>
      <c r="GA495" s="36"/>
      <c r="GB495" s="319"/>
      <c r="GC495" s="324"/>
      <c r="GD495" s="324"/>
      <c r="GE495" s="324"/>
      <c r="GF495" s="324"/>
      <c r="GG495" s="324"/>
    </row>
    <row r="496" spans="1:189" x14ac:dyDescent="0.35">
      <c r="A496" s="5" t="s">
        <v>1764</v>
      </c>
      <c r="B496" s="6" t="str">
        <f>IF(Technologies!B496&lt;&gt;0,Technologies!B496,"")</f>
        <v>Mobiliteit</v>
      </c>
      <c r="C496" s="5" t="str">
        <f>VLOOKUP($A496,Technologies!$A$7:$H$576,3,FALSE)</f>
        <v>Emission</v>
      </c>
      <c r="D496" s="5" t="str">
        <f>VLOOKUP($A496,Technologies!$A$7:$H$576,4,FALSE)</f>
        <v>Transport</v>
      </c>
      <c r="E496" s="5" t="str">
        <f>VLOOKUP($A496,Technologies!$A$7:$H$576,6,FALSE)</f>
        <v>Emitted neGHG - Transport - F-gas</v>
      </c>
      <c r="F496" s="5" t="str">
        <f>VLOOKUP($A496,Technologies!$A$7:$H$576,7,FALSE)</f>
        <v>Emitted neGHG - Transport - F-gas</v>
      </c>
      <c r="G496" s="23"/>
      <c r="H496" s="23"/>
      <c r="I496" s="104" cm="1">
        <f t="array" ref="I496">-SUMPRODUCT((Feedstocks!$C$4:$C$141=A496)*Feedstocks!$E$4:$E$141,Feedstocks!$F$4:$F$141,Feedstocks!$H$4:$H$141,Feedstocks!$I$4:$I$141)</f>
        <v>0</v>
      </c>
      <c r="J496" s="104" cm="1">
        <f t="array" ref="J496">-SUMPRODUCT((Feedstocks!$C$4:$C$141=A496)*Feedstocks!$E$4:$E$141,Feedstocks!$H$4:$H$141,Feedstocks!$I$4:$I$141)</f>
        <v>0</v>
      </c>
      <c r="K496" s="104"/>
      <c r="L496" s="104"/>
      <c r="M496" s="23"/>
      <c r="N496" s="23" t="str">
        <f>VLOOKUP(E496,Activities!$A$9:$M$227,13,FALSE)</f>
        <v>NL</v>
      </c>
      <c r="O496" s="23"/>
      <c r="P496" s="79" t="s">
        <v>415</v>
      </c>
      <c r="Q496" s="35"/>
      <c r="R496" s="35"/>
      <c r="S496" s="35"/>
      <c r="T496" s="35"/>
      <c r="U496" s="35"/>
      <c r="V496" s="35"/>
      <c r="W496" s="35"/>
      <c r="X496" s="35"/>
      <c r="Y496" s="35"/>
      <c r="Z496" s="35"/>
      <c r="AA496" s="35"/>
      <c r="AB496" s="35"/>
      <c r="AC496" s="35"/>
      <c r="AD496" s="35"/>
      <c r="AE496" s="35"/>
      <c r="AF496" s="36"/>
      <c r="AG496" s="36"/>
      <c r="AH496" s="36"/>
      <c r="AI496" s="36"/>
      <c r="AJ496" s="36"/>
      <c r="AK496" s="36"/>
      <c r="AL496" s="36"/>
      <c r="AM496" s="36"/>
      <c r="AN496" s="36"/>
      <c r="AO496" s="36"/>
      <c r="AP496" s="35"/>
      <c r="AQ496" s="35"/>
      <c r="AR496" s="35"/>
      <c r="AS496" s="35"/>
      <c r="AT496" s="35"/>
      <c r="AU496" s="35"/>
      <c r="AV496" s="35"/>
      <c r="AW496" s="35"/>
      <c r="AX496" s="35"/>
      <c r="AY496" s="35"/>
      <c r="AZ496" s="35"/>
      <c r="BA496" s="35"/>
      <c r="BB496" s="35"/>
      <c r="BC496" s="35"/>
      <c r="BD496" s="35"/>
      <c r="BE496" s="35"/>
      <c r="BF496" s="35"/>
      <c r="BG496" s="35"/>
      <c r="BH496" s="35"/>
      <c r="BI496" s="35"/>
      <c r="BJ496" s="35"/>
      <c r="BK496" s="35"/>
      <c r="BL496" s="35"/>
      <c r="BM496" s="35"/>
      <c r="BN496" s="35"/>
      <c r="BO496" s="35"/>
      <c r="BP496" s="35"/>
      <c r="BQ496" s="35"/>
      <c r="BR496" s="35"/>
      <c r="BS496" s="35"/>
      <c r="BT496" s="35"/>
      <c r="BU496" s="35"/>
      <c r="BV496" s="35"/>
      <c r="BW496" s="35"/>
      <c r="BX496" s="35"/>
      <c r="BY496" s="35"/>
      <c r="BZ496" s="35"/>
      <c r="CA496" s="35"/>
      <c r="CB496" s="35"/>
      <c r="CC496" s="35"/>
      <c r="CD496" s="35"/>
      <c r="CE496" s="35"/>
      <c r="CF496" s="35"/>
      <c r="CG496" s="35"/>
      <c r="CH496" s="35"/>
      <c r="CI496" s="35"/>
      <c r="CJ496" s="35"/>
      <c r="CK496" s="35"/>
      <c r="CL496" s="35"/>
      <c r="CM496" s="35"/>
      <c r="CN496" s="35"/>
      <c r="CO496" s="35"/>
      <c r="CP496" s="35"/>
      <c r="CQ496" s="35"/>
      <c r="CR496" s="35"/>
      <c r="CS496" s="35"/>
      <c r="CT496" s="35"/>
      <c r="CU496" s="35"/>
      <c r="CV496" s="35"/>
      <c r="CW496" s="35"/>
      <c r="CX496" s="35"/>
      <c r="CY496" s="35"/>
      <c r="CZ496" s="35"/>
      <c r="DA496" s="35"/>
      <c r="DB496" s="35"/>
      <c r="DC496" s="35"/>
      <c r="DD496" s="35"/>
      <c r="DE496" s="35"/>
      <c r="DF496" s="35"/>
      <c r="DG496" s="35"/>
      <c r="DH496" s="35"/>
      <c r="DI496" s="35"/>
      <c r="DJ496" s="35"/>
      <c r="DK496" s="35"/>
      <c r="DL496" s="35"/>
      <c r="DM496" s="35"/>
      <c r="DN496" s="35"/>
      <c r="DO496" s="35"/>
      <c r="DP496" s="35"/>
      <c r="DQ496" s="35"/>
      <c r="DR496" s="35"/>
      <c r="DS496" s="35"/>
      <c r="DT496" s="35"/>
      <c r="DU496" s="35"/>
      <c r="DV496" s="35"/>
      <c r="DW496" s="35"/>
      <c r="DX496" s="35"/>
      <c r="DY496" s="35"/>
      <c r="DZ496" s="35"/>
      <c r="EA496" s="35"/>
      <c r="EB496" s="35"/>
      <c r="EC496" s="35"/>
      <c r="ED496" s="35"/>
      <c r="EE496" s="35"/>
      <c r="EF496" s="35"/>
      <c r="EG496" s="35"/>
      <c r="EH496" s="35"/>
      <c r="EI496" s="35"/>
      <c r="EJ496" s="35"/>
      <c r="EK496" s="35"/>
      <c r="EL496" s="35"/>
      <c r="EM496" s="35"/>
      <c r="EN496" s="35"/>
      <c r="EO496" s="35"/>
      <c r="EP496" s="35"/>
      <c r="EQ496" s="35"/>
      <c r="ER496" s="35"/>
      <c r="ES496" s="35"/>
      <c r="ET496" s="35"/>
      <c r="EU496" s="35"/>
      <c r="EV496" s="35"/>
      <c r="EW496" s="35"/>
      <c r="EX496" s="35"/>
      <c r="EY496" s="35"/>
      <c r="EZ496" s="35"/>
      <c r="FA496" s="35"/>
      <c r="FB496" s="35"/>
      <c r="FC496" s="35"/>
      <c r="FD496" s="35"/>
      <c r="FE496" s="35"/>
      <c r="FF496" s="35"/>
      <c r="FG496" s="35"/>
      <c r="FH496" s="35"/>
      <c r="FI496" s="35"/>
      <c r="FJ496" s="35"/>
      <c r="FK496" s="35"/>
      <c r="FL496" s="35"/>
      <c r="FM496" s="35"/>
      <c r="FN496" s="35"/>
      <c r="FO496" s="35"/>
      <c r="FP496" s="35"/>
      <c r="FQ496" s="35"/>
      <c r="FR496" s="35"/>
      <c r="FS496" s="35"/>
      <c r="FT496" s="35"/>
      <c r="FU496" s="35"/>
      <c r="FV496" s="35"/>
      <c r="FW496" s="35"/>
      <c r="FX496" s="35"/>
      <c r="FY496" s="35"/>
      <c r="FZ496" s="35">
        <v>-1</v>
      </c>
      <c r="GA496" s="35"/>
      <c r="GB496" s="318"/>
      <c r="GC496" s="325"/>
      <c r="GD496" s="325"/>
      <c r="GE496" s="325">
        <v>1</v>
      </c>
      <c r="GF496" s="325"/>
      <c r="GG496" s="325"/>
    </row>
    <row r="497" spans="1:189" x14ac:dyDescent="0.35">
      <c r="A497" s="6" t="s">
        <v>1765</v>
      </c>
      <c r="B497" s="6" t="str">
        <f>IF(Technologies!B497&lt;&gt;0,Technologies!B497,"")</f>
        <v>Mobiliteit</v>
      </c>
      <c r="C497" s="6" t="str">
        <f>VLOOKUP($A497,Technologies!$A$7:$H$576,3,FALSE)</f>
        <v>Emission</v>
      </c>
      <c r="D497" s="6" t="str">
        <f>VLOOKUP($A497,Technologies!$A$7:$H$576,4,FALSE)</f>
        <v>Transport</v>
      </c>
      <c r="E497" s="6" t="str">
        <f>VLOOKUP($A497,Technologies!$A$7:$H$576,6,FALSE)</f>
        <v>Emitted neGHG - Transport - F-gas</v>
      </c>
      <c r="F497" s="48" t="str">
        <f>VLOOKUP($A497,Technologies!$A$7:$H$576,7,FALSE)</f>
        <v>MACC Component 1 - neGHG F-gas Other</v>
      </c>
      <c r="G497" s="22"/>
      <c r="H497" s="22"/>
      <c r="I497" s="103" cm="1">
        <f t="array" ref="I497">-SUMPRODUCT((Feedstocks!$C$4:$C$141=A497)*Feedstocks!$E$4:$E$141,Feedstocks!$F$4:$F$141,Feedstocks!$H$4:$H$141,Feedstocks!$I$4:$I$141)</f>
        <v>0</v>
      </c>
      <c r="J497" s="103" cm="1">
        <f t="array" ref="J497">-SUMPRODUCT((Feedstocks!$C$4:$C$141=A497)*Feedstocks!$E$4:$E$141,Feedstocks!$H$4:$H$141,Feedstocks!$I$4:$I$141)</f>
        <v>0</v>
      </c>
      <c r="K497" s="103"/>
      <c r="L497" s="103"/>
      <c r="M497" s="22"/>
      <c r="N497" s="22" t="str">
        <f>VLOOKUP(E497,Activities!$A$9:$M$227,13,FALSE)</f>
        <v>NL</v>
      </c>
      <c r="O497" s="22"/>
      <c r="P497" s="80" t="s">
        <v>415</v>
      </c>
      <c r="Q497" s="36"/>
      <c r="R497" s="36"/>
      <c r="S497" s="36"/>
      <c r="T497" s="36"/>
      <c r="U497" s="36"/>
      <c r="V497" s="36"/>
      <c r="W497" s="36"/>
      <c r="X497" s="36"/>
      <c r="Y497" s="36"/>
      <c r="Z497" s="36"/>
      <c r="AA497" s="36"/>
      <c r="AB497" s="36"/>
      <c r="AC497" s="36"/>
      <c r="AD497" s="36"/>
      <c r="AE497" s="36"/>
      <c r="AF497" s="35"/>
      <c r="AG497" s="35"/>
      <c r="AH497" s="35"/>
      <c r="AI497" s="35"/>
      <c r="AJ497" s="35"/>
      <c r="AK497" s="35"/>
      <c r="AL497" s="35"/>
      <c r="AM497" s="35"/>
      <c r="AN497" s="35"/>
      <c r="AO497" s="35"/>
      <c r="AP497" s="36"/>
      <c r="AQ497" s="36"/>
      <c r="AR497" s="36"/>
      <c r="AS497" s="36"/>
      <c r="AT497" s="36"/>
      <c r="AU497" s="36"/>
      <c r="AV497" s="36"/>
      <c r="AW497" s="36"/>
      <c r="AX497" s="36"/>
      <c r="AY497" s="36"/>
      <c r="AZ497" s="36"/>
      <c r="BA497" s="36"/>
      <c r="BB497" s="36"/>
      <c r="BC497" s="36"/>
      <c r="BD497" s="36"/>
      <c r="BE497" s="36"/>
      <c r="BF497" s="36"/>
      <c r="BG497" s="36"/>
      <c r="BH497" s="36"/>
      <c r="BI497" s="36"/>
      <c r="BJ497" s="36"/>
      <c r="BK497" s="36"/>
      <c r="BL497" s="36"/>
      <c r="BM497" s="36"/>
      <c r="BN497" s="36"/>
      <c r="BO497" s="36"/>
      <c r="BP497" s="36"/>
      <c r="BQ497" s="36"/>
      <c r="BR497" s="36"/>
      <c r="BS497" s="36"/>
      <c r="BT497" s="36"/>
      <c r="BU497" s="36"/>
      <c r="BV497" s="36"/>
      <c r="BW497" s="36"/>
      <c r="BX497" s="36"/>
      <c r="BY497" s="36"/>
      <c r="BZ497" s="36"/>
      <c r="CA497" s="36"/>
      <c r="CB497" s="36"/>
      <c r="CC497" s="36"/>
      <c r="CD497" s="36"/>
      <c r="CE497" s="36"/>
      <c r="CF497" s="36"/>
      <c r="CG497" s="36"/>
      <c r="CH497" s="36"/>
      <c r="CI497" s="36"/>
      <c r="CJ497" s="36"/>
      <c r="CK497" s="36"/>
      <c r="CL497" s="36"/>
      <c r="CM497" s="36"/>
      <c r="CN497" s="36"/>
      <c r="CO497" s="36"/>
      <c r="CP497" s="36"/>
      <c r="CQ497" s="36"/>
      <c r="CR497" s="36"/>
      <c r="CS497" s="36"/>
      <c r="CT497" s="36"/>
      <c r="CU497" s="36"/>
      <c r="CV497" s="36"/>
      <c r="CW497" s="36"/>
      <c r="CX497" s="36"/>
      <c r="CY497" s="36"/>
      <c r="CZ497" s="36"/>
      <c r="DA497" s="36"/>
      <c r="DB497" s="36"/>
      <c r="DC497" s="36"/>
      <c r="DD497" s="36"/>
      <c r="DE497" s="36"/>
      <c r="DF497" s="36"/>
      <c r="DG497" s="36"/>
      <c r="DH497" s="36"/>
      <c r="DI497" s="36"/>
      <c r="DJ497" s="36"/>
      <c r="DK497" s="36"/>
      <c r="DL497" s="36"/>
      <c r="DM497" s="36"/>
      <c r="DN497" s="36"/>
      <c r="DO497" s="36"/>
      <c r="DP497" s="36"/>
      <c r="DQ497" s="36"/>
      <c r="DR497" s="36"/>
      <c r="DS497" s="36"/>
      <c r="DT497" s="36"/>
      <c r="DU497" s="36"/>
      <c r="DV497" s="36"/>
      <c r="DW497" s="36"/>
      <c r="DX497" s="36"/>
      <c r="DY497" s="36"/>
      <c r="DZ497" s="36"/>
      <c r="EA497" s="36"/>
      <c r="EB497" s="36"/>
      <c r="EC497" s="36"/>
      <c r="ED497" s="36"/>
      <c r="EE497" s="36"/>
      <c r="EF497" s="36"/>
      <c r="EG497" s="36"/>
      <c r="EH497" s="36"/>
      <c r="EI497" s="36"/>
      <c r="EJ497" s="36"/>
      <c r="EK497" s="36"/>
      <c r="EL497" s="36"/>
      <c r="EM497" s="36"/>
      <c r="EN497" s="36"/>
      <c r="EO497" s="36"/>
      <c r="EP497" s="36"/>
      <c r="EQ497" s="36"/>
      <c r="ER497" s="36"/>
      <c r="ES497" s="36"/>
      <c r="ET497" s="36"/>
      <c r="EU497" s="36"/>
      <c r="EV497" s="36"/>
      <c r="EW497" s="36"/>
      <c r="EX497" s="36"/>
      <c r="EY497" s="36"/>
      <c r="EZ497" s="36"/>
      <c r="FA497" s="36"/>
      <c r="FB497" s="36"/>
      <c r="FC497" s="36"/>
      <c r="FD497" s="36"/>
      <c r="FE497" s="36"/>
      <c r="FF497" s="36"/>
      <c r="FG497" s="36"/>
      <c r="FH497" s="36"/>
      <c r="FI497" s="36"/>
      <c r="FJ497" s="36"/>
      <c r="FK497" s="36"/>
      <c r="FL497" s="36"/>
      <c r="FM497" s="36"/>
      <c r="FN497" s="36"/>
      <c r="FO497" s="36"/>
      <c r="FP497" s="36"/>
      <c r="FQ497" s="36"/>
      <c r="FR497" s="36"/>
      <c r="FS497" s="36"/>
      <c r="FT497" s="36"/>
      <c r="FU497" s="36"/>
      <c r="FV497" s="36"/>
      <c r="FW497" s="36"/>
      <c r="FX497" s="36"/>
      <c r="FY497" s="36"/>
      <c r="FZ497" s="36">
        <v>-1</v>
      </c>
      <c r="GA497" s="36"/>
      <c r="GB497" s="319"/>
      <c r="GC497" s="324"/>
      <c r="GD497" s="324"/>
      <c r="GE497" s="324"/>
      <c r="GF497" s="324"/>
      <c r="GG497" s="324"/>
    </row>
    <row r="498" spans="1:189" x14ac:dyDescent="0.35">
      <c r="A498" s="5" t="s">
        <v>1766</v>
      </c>
      <c r="B498" s="6" t="str">
        <f>IF(Technologies!B498&lt;&gt;0,Technologies!B498,"")</f>
        <v>Landgebruik</v>
      </c>
      <c r="C498" s="5" t="str">
        <f>VLOOKUP($A498,Technologies!$A$7:$H$576,3,FALSE)</f>
        <v>Emission</v>
      </c>
      <c r="D498" s="5" t="str">
        <f>VLOOKUP($A498,Technologies!$A$7:$H$576,4,FALSE)</f>
        <v>LULUCF</v>
      </c>
      <c r="E498" s="5" t="str">
        <f>VLOOKUP($A498,Technologies!$A$7:$H$576,6,FALSE)</f>
        <v>Emitted neGHG - LULUCF - CO2</v>
      </c>
      <c r="F498" s="5" t="str">
        <f>VLOOKUP($A498,Technologies!$A$7:$H$576,7,FALSE)</f>
        <v>Emitted neGHG - LULUCF - CO2</v>
      </c>
      <c r="G498" s="23"/>
      <c r="H498" s="23"/>
      <c r="I498" s="104" cm="1">
        <f t="array" ref="I498">-SUMPRODUCT((Feedstocks!$C$4:$C$141=A498)*Feedstocks!$E$4:$E$141,Feedstocks!$F$4:$F$141,Feedstocks!$H$4:$H$141,Feedstocks!$I$4:$I$141)</f>
        <v>0</v>
      </c>
      <c r="J498" s="104" cm="1">
        <f t="array" ref="J498">-SUMPRODUCT((Feedstocks!$C$4:$C$141=A498)*Feedstocks!$E$4:$E$141,Feedstocks!$H$4:$H$141,Feedstocks!$I$4:$I$141)</f>
        <v>0</v>
      </c>
      <c r="K498" s="104"/>
      <c r="L498" s="104"/>
      <c r="M498" s="23"/>
      <c r="N498" s="23" t="str">
        <f>VLOOKUP(E498,Activities!$A$9:$M$227,13,FALSE)</f>
        <v>NL</v>
      </c>
      <c r="O498" s="23"/>
      <c r="P498" s="79" t="s">
        <v>415</v>
      </c>
      <c r="Q498" s="35"/>
      <c r="R498" s="35"/>
      <c r="S498" s="35"/>
      <c r="T498" s="35"/>
      <c r="U498" s="35"/>
      <c r="V498" s="35"/>
      <c r="W498" s="35"/>
      <c r="X498" s="35"/>
      <c r="Y498" s="35"/>
      <c r="Z498" s="35"/>
      <c r="AA498" s="35"/>
      <c r="AB498" s="35"/>
      <c r="AC498" s="35"/>
      <c r="AD498" s="35"/>
      <c r="AE498" s="35"/>
      <c r="AF498" s="36"/>
      <c r="AG498" s="36"/>
      <c r="AH498" s="36"/>
      <c r="AI498" s="36"/>
      <c r="AJ498" s="36"/>
      <c r="AK498" s="36"/>
      <c r="AL498" s="36"/>
      <c r="AM498" s="36"/>
      <c r="AN498" s="36"/>
      <c r="AO498" s="36"/>
      <c r="AP498" s="35"/>
      <c r="AQ498" s="35"/>
      <c r="AR498" s="35"/>
      <c r="AS498" s="35"/>
      <c r="AT498" s="35"/>
      <c r="AU498" s="35"/>
      <c r="AV498" s="35"/>
      <c r="AW498" s="35"/>
      <c r="AX498" s="35"/>
      <c r="AY498" s="35"/>
      <c r="AZ498" s="35"/>
      <c r="BA498" s="35"/>
      <c r="BB498" s="35"/>
      <c r="BC498" s="35"/>
      <c r="BD498" s="35"/>
      <c r="BE498" s="35"/>
      <c r="BF498" s="35"/>
      <c r="BG498" s="35"/>
      <c r="BH498" s="35"/>
      <c r="BI498" s="35"/>
      <c r="BJ498" s="35"/>
      <c r="BK498" s="35"/>
      <c r="BL498" s="35"/>
      <c r="BM498" s="35"/>
      <c r="BN498" s="35"/>
      <c r="BO498" s="35"/>
      <c r="BP498" s="35"/>
      <c r="BQ498" s="35"/>
      <c r="BR498" s="35"/>
      <c r="BS498" s="35"/>
      <c r="BT498" s="35"/>
      <c r="BU498" s="35"/>
      <c r="BV498" s="35"/>
      <c r="BW498" s="35"/>
      <c r="BX498" s="35"/>
      <c r="BY498" s="35"/>
      <c r="BZ498" s="35"/>
      <c r="CA498" s="35"/>
      <c r="CB498" s="35"/>
      <c r="CC498" s="35"/>
      <c r="CD498" s="35"/>
      <c r="CE498" s="35"/>
      <c r="CF498" s="35"/>
      <c r="CG498" s="35"/>
      <c r="CH498" s="35"/>
      <c r="CI498" s="35"/>
      <c r="CJ498" s="35"/>
      <c r="CK498" s="35"/>
      <c r="CL498" s="35"/>
      <c r="CM498" s="35"/>
      <c r="CN498" s="35"/>
      <c r="CO498" s="35"/>
      <c r="CP498" s="35"/>
      <c r="CQ498" s="35"/>
      <c r="CR498" s="35"/>
      <c r="CS498" s="35"/>
      <c r="CT498" s="35"/>
      <c r="CU498" s="35"/>
      <c r="CV498" s="35"/>
      <c r="CW498" s="35"/>
      <c r="CX498" s="35"/>
      <c r="CY498" s="35"/>
      <c r="CZ498" s="35"/>
      <c r="DA498" s="35"/>
      <c r="DB498" s="35"/>
      <c r="DC498" s="35"/>
      <c r="DD498" s="35"/>
      <c r="DE498" s="35"/>
      <c r="DF498" s="35"/>
      <c r="DG498" s="35"/>
      <c r="DH498" s="35"/>
      <c r="DI498" s="35"/>
      <c r="DJ498" s="35"/>
      <c r="DK498" s="35"/>
      <c r="DL498" s="35"/>
      <c r="DM498" s="35"/>
      <c r="DN498" s="35"/>
      <c r="DO498" s="35"/>
      <c r="DP498" s="35"/>
      <c r="DQ498" s="35"/>
      <c r="DR498" s="35"/>
      <c r="DS498" s="35"/>
      <c r="DT498" s="35"/>
      <c r="DU498" s="35"/>
      <c r="DV498" s="35"/>
      <c r="DW498" s="35"/>
      <c r="DX498" s="35"/>
      <c r="DY498" s="35"/>
      <c r="DZ498" s="35"/>
      <c r="EA498" s="35"/>
      <c r="EB498" s="35"/>
      <c r="EC498" s="35"/>
      <c r="ED498" s="35"/>
      <c r="EE498" s="35"/>
      <c r="EF498" s="35"/>
      <c r="EG498" s="35"/>
      <c r="EH498" s="35"/>
      <c r="EI498" s="35"/>
      <c r="EJ498" s="35"/>
      <c r="EK498" s="35"/>
      <c r="EL498" s="35"/>
      <c r="EM498" s="35"/>
      <c r="EN498" s="35"/>
      <c r="EO498" s="35"/>
      <c r="EP498" s="35"/>
      <c r="EQ498" s="35"/>
      <c r="ER498" s="35"/>
      <c r="ES498" s="35"/>
      <c r="ET498" s="35"/>
      <c r="EU498" s="35"/>
      <c r="EV498" s="35"/>
      <c r="EW498" s="35"/>
      <c r="EX498" s="35"/>
      <c r="EY498" s="35"/>
      <c r="EZ498" s="35"/>
      <c r="FA498" s="35"/>
      <c r="FB498" s="35"/>
      <c r="FC498" s="35"/>
      <c r="FD498" s="35"/>
      <c r="FE498" s="35"/>
      <c r="FF498" s="35"/>
      <c r="FG498" s="35"/>
      <c r="FH498" s="35"/>
      <c r="FI498" s="35"/>
      <c r="FJ498" s="35"/>
      <c r="FK498" s="35"/>
      <c r="FL498" s="35"/>
      <c r="FM498" s="35"/>
      <c r="FN498" s="35"/>
      <c r="FO498" s="35"/>
      <c r="FP498" s="35"/>
      <c r="FQ498" s="35"/>
      <c r="FR498" s="35"/>
      <c r="FS498" s="35"/>
      <c r="FT498" s="35"/>
      <c r="FU498" s="35"/>
      <c r="FV498" s="35"/>
      <c r="FW498" s="35"/>
      <c r="FX498" s="35"/>
      <c r="FY498" s="35"/>
      <c r="FZ498" s="35"/>
      <c r="GA498" s="35">
        <v>-1</v>
      </c>
      <c r="GB498" s="318"/>
      <c r="GC498" s="325"/>
      <c r="GD498" s="325"/>
      <c r="GE498" s="325">
        <v>1</v>
      </c>
      <c r="GF498" s="325"/>
      <c r="GG498" s="325"/>
    </row>
    <row r="499" spans="1:189" x14ac:dyDescent="0.35">
      <c r="A499" s="6" t="s">
        <v>1767</v>
      </c>
      <c r="B499" s="6" t="str">
        <f>IF(Technologies!B499&lt;&gt;0,Technologies!B499,"")</f>
        <v>Landgebruik</v>
      </c>
      <c r="C499" s="6" t="str">
        <f>VLOOKUP($A499,Technologies!$A$7:$H$576,3,FALSE)</f>
        <v>Emission</v>
      </c>
      <c r="D499" s="6" t="str">
        <f>VLOOKUP($A499,Technologies!$A$7:$H$576,4,FALSE)</f>
        <v>LULUCF</v>
      </c>
      <c r="E499" s="6" t="str">
        <f>VLOOKUP($A499,Technologies!$A$7:$H$576,6,FALSE)</f>
        <v>Emitted neGHG - LULUCF - CO2</v>
      </c>
      <c r="F499" s="48" t="str">
        <f>VLOOKUP($A499,Technologies!$A$7:$H$576,7,FALSE)</f>
        <v>MACC Component 1 - neGHG CO2 Other</v>
      </c>
      <c r="G499" s="22"/>
      <c r="H499" s="22"/>
      <c r="I499" s="103" cm="1">
        <f t="array" ref="I499">-SUMPRODUCT((Feedstocks!$C$4:$C$141=A499)*Feedstocks!$E$4:$E$141,Feedstocks!$F$4:$F$141,Feedstocks!$H$4:$H$141,Feedstocks!$I$4:$I$141)</f>
        <v>0</v>
      </c>
      <c r="J499" s="103" cm="1">
        <f t="array" ref="J499">-SUMPRODUCT((Feedstocks!$C$4:$C$141=A499)*Feedstocks!$E$4:$E$141,Feedstocks!$H$4:$H$141,Feedstocks!$I$4:$I$141)</f>
        <v>0</v>
      </c>
      <c r="K499" s="103"/>
      <c r="L499" s="103">
        <v>1</v>
      </c>
      <c r="M499" s="22"/>
      <c r="N499" s="22" t="str">
        <f>VLOOKUP(E499,Activities!$A$9:$M$227,13,FALSE)</f>
        <v>NL</v>
      </c>
      <c r="O499" s="22"/>
      <c r="P499" s="80" t="s">
        <v>415</v>
      </c>
      <c r="Q499" s="36"/>
      <c r="R499" s="36"/>
      <c r="S499" s="36"/>
      <c r="T499" s="36"/>
      <c r="U499" s="36"/>
      <c r="V499" s="36"/>
      <c r="W499" s="36"/>
      <c r="X499" s="36"/>
      <c r="Y499" s="36"/>
      <c r="Z499" s="36"/>
      <c r="AA499" s="36"/>
      <c r="AB499" s="36"/>
      <c r="AC499" s="36"/>
      <c r="AD499" s="36"/>
      <c r="AE499" s="36"/>
      <c r="AF499" s="35"/>
      <c r="AG499" s="35"/>
      <c r="AH499" s="35"/>
      <c r="AI499" s="35"/>
      <c r="AJ499" s="35"/>
      <c r="AK499" s="35"/>
      <c r="AL499" s="35"/>
      <c r="AM499" s="35"/>
      <c r="AN499" s="35"/>
      <c r="AO499" s="35"/>
      <c r="AP499" s="36"/>
      <c r="AQ499" s="36"/>
      <c r="AR499" s="36"/>
      <c r="AS499" s="36"/>
      <c r="AT499" s="36"/>
      <c r="AU499" s="36"/>
      <c r="AV499" s="36"/>
      <c r="AW499" s="36"/>
      <c r="AX499" s="36"/>
      <c r="AY499" s="36"/>
      <c r="AZ499" s="36"/>
      <c r="BA499" s="36"/>
      <c r="BB499" s="36"/>
      <c r="BC499" s="36"/>
      <c r="BD499" s="36"/>
      <c r="BE499" s="36"/>
      <c r="BF499" s="36"/>
      <c r="BG499" s="36"/>
      <c r="BH499" s="36"/>
      <c r="BI499" s="36"/>
      <c r="BJ499" s="36"/>
      <c r="BK499" s="36"/>
      <c r="BL499" s="36"/>
      <c r="BM499" s="36"/>
      <c r="BN499" s="36"/>
      <c r="BO499" s="36"/>
      <c r="BP499" s="36"/>
      <c r="BQ499" s="36"/>
      <c r="BR499" s="36"/>
      <c r="BS499" s="36"/>
      <c r="BT499" s="36"/>
      <c r="BU499" s="36"/>
      <c r="BV499" s="36"/>
      <c r="BW499" s="36"/>
      <c r="BX499" s="36"/>
      <c r="BY499" s="36"/>
      <c r="BZ499" s="36"/>
      <c r="CA499" s="36"/>
      <c r="CB499" s="36"/>
      <c r="CC499" s="36"/>
      <c r="CD499" s="36"/>
      <c r="CE499" s="36"/>
      <c r="CF499" s="36"/>
      <c r="CG499" s="36"/>
      <c r="CH499" s="36"/>
      <c r="CI499" s="36"/>
      <c r="CJ499" s="36"/>
      <c r="CK499" s="36"/>
      <c r="CL499" s="36"/>
      <c r="CM499" s="36"/>
      <c r="CN499" s="36"/>
      <c r="CO499" s="36"/>
      <c r="CP499" s="36"/>
      <c r="CQ499" s="36"/>
      <c r="CR499" s="36"/>
      <c r="CS499" s="36"/>
      <c r="CT499" s="36"/>
      <c r="CU499" s="36"/>
      <c r="CV499" s="36"/>
      <c r="CW499" s="36"/>
      <c r="CX499" s="36"/>
      <c r="CY499" s="36"/>
      <c r="CZ499" s="36"/>
      <c r="DA499" s="36"/>
      <c r="DB499" s="36"/>
      <c r="DC499" s="36"/>
      <c r="DD499" s="36"/>
      <c r="DE499" s="36"/>
      <c r="DF499" s="36"/>
      <c r="DG499" s="36"/>
      <c r="DH499" s="36"/>
      <c r="DI499" s="36"/>
      <c r="DJ499" s="36"/>
      <c r="DK499" s="36"/>
      <c r="DL499" s="36"/>
      <c r="DM499" s="36"/>
      <c r="DN499" s="36"/>
      <c r="DO499" s="36"/>
      <c r="DP499" s="36"/>
      <c r="DQ499" s="36"/>
      <c r="DR499" s="36"/>
      <c r="DS499" s="36"/>
      <c r="DT499" s="36"/>
      <c r="DU499" s="36"/>
      <c r="DV499" s="36"/>
      <c r="DW499" s="36"/>
      <c r="DX499" s="36"/>
      <c r="DY499" s="36"/>
      <c r="DZ499" s="36"/>
      <c r="EA499" s="36"/>
      <c r="EB499" s="36"/>
      <c r="EC499" s="36"/>
      <c r="ED499" s="36"/>
      <c r="EE499" s="36"/>
      <c r="EF499" s="36"/>
      <c r="EG499" s="36"/>
      <c r="EH499" s="36"/>
      <c r="EI499" s="36"/>
      <c r="EJ499" s="36"/>
      <c r="EK499" s="36"/>
      <c r="EL499" s="36"/>
      <c r="EM499" s="36"/>
      <c r="EN499" s="36"/>
      <c r="EO499" s="36"/>
      <c r="EP499" s="36"/>
      <c r="EQ499" s="36"/>
      <c r="ER499" s="36"/>
      <c r="ES499" s="36"/>
      <c r="ET499" s="36"/>
      <c r="EU499" s="36"/>
      <c r="EV499" s="36"/>
      <c r="EW499" s="36"/>
      <c r="EX499" s="36"/>
      <c r="EY499" s="36"/>
      <c r="EZ499" s="36"/>
      <c r="FA499" s="36"/>
      <c r="FB499" s="36"/>
      <c r="FC499" s="36"/>
      <c r="FD499" s="36"/>
      <c r="FE499" s="36"/>
      <c r="FF499" s="36"/>
      <c r="FG499" s="36"/>
      <c r="FH499" s="36"/>
      <c r="FI499" s="36"/>
      <c r="FJ499" s="36"/>
      <c r="FK499" s="36"/>
      <c r="FL499" s="36"/>
      <c r="FM499" s="36"/>
      <c r="FN499" s="36"/>
      <c r="FO499" s="36"/>
      <c r="FP499" s="36"/>
      <c r="FQ499" s="36"/>
      <c r="FR499" s="36"/>
      <c r="FS499" s="36"/>
      <c r="FT499" s="36"/>
      <c r="FU499" s="36"/>
      <c r="FV499" s="36"/>
      <c r="FW499" s="36"/>
      <c r="FX499" s="36"/>
      <c r="FY499" s="36"/>
      <c r="FZ499" s="36"/>
      <c r="GA499" s="36">
        <v>-1</v>
      </c>
      <c r="GB499" s="319"/>
      <c r="GC499" s="324"/>
      <c r="GD499" s="324"/>
      <c r="GE499" s="324"/>
      <c r="GF499" s="324"/>
      <c r="GG499" s="324"/>
    </row>
    <row r="500" spans="1:189" x14ac:dyDescent="0.35">
      <c r="A500" s="5" t="s">
        <v>1768</v>
      </c>
      <c r="B500" s="6" t="str">
        <f>IF(Technologies!B500&lt;&gt;0,Technologies!B500,"")</f>
        <v>Industrie</v>
      </c>
      <c r="C500" s="5" t="str">
        <f>VLOOKUP($A500,Technologies!$A$7:$H$576,3,FALSE)</f>
        <v>Emission</v>
      </c>
      <c r="D500" s="5" t="str">
        <f>VLOOKUP($A500,Technologies!$A$7:$H$576,4,FALSE)</f>
        <v>Industry</v>
      </c>
      <c r="E500" s="5" t="str">
        <f>VLOOKUP($A500,Technologies!$A$7:$H$576,6,FALSE)</f>
        <v>CO2 CCUS Network</v>
      </c>
      <c r="F500" s="5" t="str">
        <f>VLOOKUP($A500,Technologies!$A$7:$H$576,7,FALSE)</f>
        <v>CO2 Storage</v>
      </c>
      <c r="G500" s="23"/>
      <c r="H500" s="23">
        <v>1</v>
      </c>
      <c r="I500" s="104" cm="1">
        <f t="array" ref="I500">-SUMPRODUCT((Feedstocks!$C$4:$C$141=A500)*Feedstocks!$E$4:$E$141,Feedstocks!$F$4:$F$141,Feedstocks!$H$4:$H$141,Feedstocks!$I$4:$I$141)</f>
        <v>0</v>
      </c>
      <c r="J500" s="104" cm="1">
        <f t="array" ref="J500">-SUMPRODUCT((Feedstocks!$C$4:$C$141=A500)*Feedstocks!$E$4:$E$141,Feedstocks!$H$4:$H$141,Feedstocks!$I$4:$I$141)</f>
        <v>0</v>
      </c>
      <c r="K500" s="104"/>
      <c r="L500" s="104"/>
      <c r="M500" s="23"/>
      <c r="N500" s="23" t="str">
        <f>VLOOKUP(E500,Activities!$A$9:$M$227,13,FALSE)</f>
        <v>NL</v>
      </c>
      <c r="O500" s="23"/>
      <c r="P500" s="79" t="s">
        <v>415</v>
      </c>
      <c r="Q500" s="35"/>
      <c r="R500" s="35"/>
      <c r="S500" s="35"/>
      <c r="T500" s="35"/>
      <c r="U500" s="35"/>
      <c r="V500" s="35"/>
      <c r="W500" s="35"/>
      <c r="X500" s="35"/>
      <c r="Y500" s="35"/>
      <c r="Z500" s="35"/>
      <c r="AA500" s="35"/>
      <c r="AB500" s="35"/>
      <c r="AC500" s="35"/>
      <c r="AD500" s="35"/>
      <c r="AE500" s="35"/>
      <c r="AF500" s="36"/>
      <c r="AG500" s="36"/>
      <c r="AH500" s="36"/>
      <c r="AI500" s="36"/>
      <c r="AJ500" s="36"/>
      <c r="AK500" s="36"/>
      <c r="AL500" s="36"/>
      <c r="AM500" s="36"/>
      <c r="AN500" s="36"/>
      <c r="AO500" s="36"/>
      <c r="AP500" s="35"/>
      <c r="AQ500" s="35"/>
      <c r="AR500" s="35"/>
      <c r="AS500" s="35"/>
      <c r="AT500" s="35"/>
      <c r="AU500" s="35"/>
      <c r="AV500" s="35"/>
      <c r="AW500" s="35"/>
      <c r="AX500" s="35"/>
      <c r="AY500" s="35"/>
      <c r="AZ500" s="35"/>
      <c r="BA500" s="35"/>
      <c r="BB500" s="35"/>
      <c r="BC500" s="35"/>
      <c r="BD500" s="35"/>
      <c r="BE500" s="35"/>
      <c r="BF500" s="35"/>
      <c r="BG500" s="35"/>
      <c r="BH500" s="35"/>
      <c r="BI500" s="35"/>
      <c r="BJ500" s="35"/>
      <c r="BK500" s="35"/>
      <c r="BL500" s="35"/>
      <c r="BM500" s="35"/>
      <c r="BN500" s="35"/>
      <c r="BO500" s="35"/>
      <c r="BP500" s="35"/>
      <c r="BQ500" s="35"/>
      <c r="BR500" s="35"/>
      <c r="BS500" s="35"/>
      <c r="BT500" s="35"/>
      <c r="BU500" s="35"/>
      <c r="BV500" s="35"/>
      <c r="BW500" s="35"/>
      <c r="BX500" s="35"/>
      <c r="BY500" s="35"/>
      <c r="BZ500" s="35"/>
      <c r="CA500" s="35"/>
      <c r="CB500" s="35"/>
      <c r="CC500" s="35"/>
      <c r="CD500" s="35"/>
      <c r="CE500" s="35"/>
      <c r="CF500" s="35"/>
      <c r="CG500" s="35"/>
      <c r="CH500" s="35"/>
      <c r="CI500" s="35"/>
      <c r="CJ500" s="35"/>
      <c r="CK500" s="35"/>
      <c r="CL500" s="35"/>
      <c r="CM500" s="35"/>
      <c r="CN500" s="35"/>
      <c r="CO500" s="35"/>
      <c r="CP500" s="35"/>
      <c r="CQ500" s="35"/>
      <c r="CR500" s="35"/>
      <c r="CS500" s="35"/>
      <c r="CT500" s="35"/>
      <c r="CU500" s="35"/>
      <c r="CV500" s="35"/>
      <c r="CW500" s="35"/>
      <c r="CX500" s="35"/>
      <c r="CY500" s="35"/>
      <c r="CZ500" s="35"/>
      <c r="DA500" s="35"/>
      <c r="DB500" s="35"/>
      <c r="DC500" s="35"/>
      <c r="DD500" s="35"/>
      <c r="DE500" s="35"/>
      <c r="DF500" s="35"/>
      <c r="DG500" s="35"/>
      <c r="DH500" s="35"/>
      <c r="DI500" s="35"/>
      <c r="DJ500" s="35"/>
      <c r="DK500" s="35"/>
      <c r="DL500" s="35"/>
      <c r="DM500" s="35"/>
      <c r="DN500" s="35"/>
      <c r="DO500" s="35"/>
      <c r="DP500" s="35"/>
      <c r="DQ500" s="35"/>
      <c r="DR500" s="35"/>
      <c r="DS500" s="35"/>
      <c r="DT500" s="35"/>
      <c r="DU500" s="35"/>
      <c r="DV500" s="35"/>
      <c r="DW500" s="35"/>
      <c r="DX500" s="35"/>
      <c r="DY500" s="35"/>
      <c r="DZ500" s="35"/>
      <c r="EA500" s="35"/>
      <c r="EB500" s="35"/>
      <c r="EC500" s="35"/>
      <c r="ED500" s="35"/>
      <c r="EE500" s="35"/>
      <c r="EF500" s="35"/>
      <c r="EG500" s="35"/>
      <c r="EH500" s="35"/>
      <c r="EI500" s="35"/>
      <c r="EJ500" s="35"/>
      <c r="EK500" s="35"/>
      <c r="EL500" s="35"/>
      <c r="EM500" s="35"/>
      <c r="EN500" s="35"/>
      <c r="EO500" s="35"/>
      <c r="EP500" s="35"/>
      <c r="EQ500" s="35"/>
      <c r="ER500" s="35"/>
      <c r="ES500" s="35"/>
      <c r="ET500" s="35"/>
      <c r="EU500" s="35"/>
      <c r="EV500" s="35"/>
      <c r="EW500" s="35"/>
      <c r="EX500" s="35"/>
      <c r="EY500" s="35"/>
      <c r="EZ500" s="35"/>
      <c r="FA500" s="35"/>
      <c r="FB500" s="35"/>
      <c r="FC500" s="35"/>
      <c r="FD500" s="35"/>
      <c r="FE500" s="35"/>
      <c r="FF500" s="35"/>
      <c r="FG500" s="35"/>
      <c r="FH500" s="35"/>
      <c r="FI500" s="35"/>
      <c r="FJ500" s="35"/>
      <c r="FK500" s="35"/>
      <c r="FL500" s="35"/>
      <c r="FM500" s="35"/>
      <c r="FN500" s="35"/>
      <c r="FO500" s="35"/>
      <c r="FP500" s="35"/>
      <c r="FQ500" s="35"/>
      <c r="FR500" s="35"/>
      <c r="FS500" s="35"/>
      <c r="FT500" s="35"/>
      <c r="FU500" s="35"/>
      <c r="FV500" s="35"/>
      <c r="FW500" s="35"/>
      <c r="FX500" s="35"/>
      <c r="FY500" s="35"/>
      <c r="FZ500" s="35"/>
      <c r="GA500" s="35"/>
      <c r="GB500" s="318"/>
      <c r="GC500" s="325">
        <v>-1</v>
      </c>
      <c r="GD500" s="325"/>
      <c r="GE500" s="325"/>
      <c r="GF500" s="325"/>
      <c r="GG500" s="325"/>
    </row>
    <row r="501" spans="1:189" x14ac:dyDescent="0.35">
      <c r="A501" s="6" t="s">
        <v>1772</v>
      </c>
      <c r="B501" s="6" t="str">
        <f>IF(Technologies!B501&lt;&gt;0,Technologies!B501,"")</f>
        <v>Industrie</v>
      </c>
      <c r="C501" s="6" t="str">
        <f>VLOOKUP($A501,Technologies!$A$7:$H$576,3,FALSE)</f>
        <v>Emission</v>
      </c>
      <c r="D501" s="6" t="str">
        <f>VLOOKUP($A501,Technologies!$A$7:$H$576,4,FALSE)</f>
        <v>Industry</v>
      </c>
      <c r="E501" s="6" t="str">
        <f>VLOOKUP($A501,Technologies!$A$7:$H$576,6,FALSE)</f>
        <v>CO2 CCUS Network</v>
      </c>
      <c r="F501" s="48" t="str">
        <f>VLOOKUP($A501,Technologies!$A$7:$H$576,7,FALSE)</f>
        <v>CO2 from Direct Air Capture under ETS scheme</v>
      </c>
      <c r="G501" s="22"/>
      <c r="H501" s="22"/>
      <c r="I501" s="103" cm="1">
        <f t="array" ref="I501">-SUMPRODUCT((Feedstocks!$C$4:$C$141=A501)*Feedstocks!$E$4:$E$141,Feedstocks!$F$4:$F$141,Feedstocks!$H$4:$H$141,Feedstocks!$I$4:$I$141)</f>
        <v>0</v>
      </c>
      <c r="J501" s="103" cm="1">
        <f t="array" ref="J501">-SUMPRODUCT((Feedstocks!$C$4:$C$141=A501)*Feedstocks!$E$4:$E$141,Feedstocks!$H$4:$H$141,Feedstocks!$I$4:$I$141)</f>
        <v>0</v>
      </c>
      <c r="K501" s="103"/>
      <c r="L501" s="103"/>
      <c r="M501" s="22">
        <v>1</v>
      </c>
      <c r="N501" s="22" t="str">
        <f>VLOOKUP(E501,Activities!$A$9:$M$227,13,FALSE)</f>
        <v>NL</v>
      </c>
      <c r="O501" s="22"/>
      <c r="P501" s="80" t="s">
        <v>415</v>
      </c>
      <c r="Q501" s="36"/>
      <c r="R501" s="36"/>
      <c r="S501" s="36"/>
      <c r="T501" s="36"/>
      <c r="U501" s="36"/>
      <c r="V501" s="36"/>
      <c r="W501" s="36"/>
      <c r="X501" s="36"/>
      <c r="Y501" s="36"/>
      <c r="Z501" s="36"/>
      <c r="AA501" s="36"/>
      <c r="AB501" s="36"/>
      <c r="AC501" s="36"/>
      <c r="AD501" s="36"/>
      <c r="AE501" s="36"/>
      <c r="AF501" s="35"/>
      <c r="AG501" s="35"/>
      <c r="AH501" s="35"/>
      <c r="AI501" s="35"/>
      <c r="AJ501" s="35"/>
      <c r="AK501" s="35"/>
      <c r="AL501" s="35"/>
      <c r="AM501" s="35"/>
      <c r="AN501" s="35"/>
      <c r="AO501" s="35"/>
      <c r="AP501" s="36"/>
      <c r="AQ501" s="36"/>
      <c r="AR501" s="36"/>
      <c r="AS501" s="36"/>
      <c r="AT501" s="36"/>
      <c r="AU501" s="36"/>
      <c r="AV501" s="36"/>
      <c r="AW501" s="36"/>
      <c r="AX501" s="36"/>
      <c r="AY501" s="36"/>
      <c r="AZ501" s="36"/>
      <c r="BA501" s="36"/>
      <c r="BB501" s="36"/>
      <c r="BC501" s="36"/>
      <c r="BD501" s="36"/>
      <c r="BE501" s="36"/>
      <c r="BF501" s="36"/>
      <c r="BG501" s="36"/>
      <c r="BH501" s="36"/>
      <c r="BI501" s="36"/>
      <c r="BJ501" s="36"/>
      <c r="BK501" s="36"/>
      <c r="BL501" s="36"/>
      <c r="BM501" s="36"/>
      <c r="BN501" s="36"/>
      <c r="BO501" s="36"/>
      <c r="BP501" s="36"/>
      <c r="BQ501" s="36"/>
      <c r="BR501" s="36"/>
      <c r="BS501" s="36"/>
      <c r="BT501" s="36"/>
      <c r="BU501" s="36"/>
      <c r="BV501" s="36"/>
      <c r="BW501" s="36"/>
      <c r="BX501" s="36"/>
      <c r="BY501" s="36"/>
      <c r="BZ501" s="36"/>
      <c r="CA501" s="36"/>
      <c r="CB501" s="36"/>
      <c r="CC501" s="36"/>
      <c r="CD501" s="36"/>
      <c r="CE501" s="36"/>
      <c r="CF501" s="36"/>
      <c r="CG501" s="36"/>
      <c r="CH501" s="36"/>
      <c r="CI501" s="36"/>
      <c r="CJ501" s="36"/>
      <c r="CK501" s="36"/>
      <c r="CL501" s="36"/>
      <c r="CM501" s="36"/>
      <c r="CN501" s="36"/>
      <c r="CO501" s="36"/>
      <c r="CP501" s="36"/>
      <c r="CQ501" s="36"/>
      <c r="CR501" s="36"/>
      <c r="CS501" s="36"/>
      <c r="CT501" s="36"/>
      <c r="CU501" s="36"/>
      <c r="CV501" s="36"/>
      <c r="CW501" s="36"/>
      <c r="CX501" s="36"/>
      <c r="CY501" s="36"/>
      <c r="CZ501" s="36"/>
      <c r="DA501" s="36"/>
      <c r="DB501" s="36"/>
      <c r="DC501" s="36"/>
      <c r="DD501" s="36"/>
      <c r="DE501" s="36"/>
      <c r="DF501" s="36"/>
      <c r="DG501" s="36"/>
      <c r="DH501" s="36">
        <v>-0.9</v>
      </c>
      <c r="DI501" s="36"/>
      <c r="DJ501" s="36"/>
      <c r="DK501" s="36"/>
      <c r="DL501" s="36"/>
      <c r="DM501" s="36"/>
      <c r="DN501" s="36"/>
      <c r="DO501" s="36">
        <v>-5</v>
      </c>
      <c r="DP501" s="36"/>
      <c r="DQ501" s="36"/>
      <c r="DR501" s="36"/>
      <c r="DS501" s="36"/>
      <c r="DT501" s="36"/>
      <c r="DU501" s="36"/>
      <c r="DV501" s="36"/>
      <c r="DW501" s="36"/>
      <c r="DX501" s="36"/>
      <c r="DY501" s="36"/>
      <c r="DZ501" s="36"/>
      <c r="EA501" s="36"/>
      <c r="EB501" s="36"/>
      <c r="EC501" s="36"/>
      <c r="ED501" s="36"/>
      <c r="EE501" s="36"/>
      <c r="EF501" s="36"/>
      <c r="EG501" s="36"/>
      <c r="EH501" s="36"/>
      <c r="EI501" s="36"/>
      <c r="EJ501" s="36"/>
      <c r="EK501" s="36"/>
      <c r="EL501" s="36"/>
      <c r="EM501" s="36"/>
      <c r="EN501" s="36"/>
      <c r="EO501" s="36"/>
      <c r="EP501" s="36"/>
      <c r="EQ501" s="36"/>
      <c r="ER501" s="36"/>
      <c r="ES501" s="36"/>
      <c r="ET501" s="36"/>
      <c r="EU501" s="36"/>
      <c r="EV501" s="36"/>
      <c r="EW501" s="36"/>
      <c r="EX501" s="36"/>
      <c r="EY501" s="36"/>
      <c r="EZ501" s="36"/>
      <c r="FA501" s="36"/>
      <c r="FB501" s="36"/>
      <c r="FC501" s="36"/>
      <c r="FD501" s="36"/>
      <c r="FE501" s="36"/>
      <c r="FF501" s="36"/>
      <c r="FG501" s="36"/>
      <c r="FH501" s="36"/>
      <c r="FI501" s="36"/>
      <c r="FJ501" s="36"/>
      <c r="FK501" s="36"/>
      <c r="FL501" s="36"/>
      <c r="FM501" s="36"/>
      <c r="FN501" s="36"/>
      <c r="FO501" s="36"/>
      <c r="FP501" s="36"/>
      <c r="FQ501" s="36"/>
      <c r="FR501" s="36"/>
      <c r="FS501" s="36"/>
      <c r="FT501" s="36"/>
      <c r="FU501" s="36"/>
      <c r="FV501" s="36"/>
      <c r="FW501" s="36"/>
      <c r="FX501" s="36"/>
      <c r="FY501" s="36"/>
      <c r="FZ501" s="36"/>
      <c r="GA501" s="36"/>
      <c r="GB501" s="319">
        <f>GC501</f>
        <v>1</v>
      </c>
      <c r="GC501" s="324">
        <v>1</v>
      </c>
      <c r="GD501" s="324">
        <v>-1</v>
      </c>
      <c r="GE501" s="324"/>
      <c r="GF501" s="324"/>
      <c r="GG501" s="324"/>
    </row>
    <row r="502" spans="1:189" x14ac:dyDescent="0.35">
      <c r="A502" s="5" t="s">
        <v>1775</v>
      </c>
      <c r="B502" s="6" t="str">
        <f>IF(Technologies!B502&lt;&gt;0,Technologies!B502,"")</f>
        <v>Industrie</v>
      </c>
      <c r="C502" s="5" t="str">
        <f>VLOOKUP($A502,Technologies!$A$7:$H$576,3,FALSE)</f>
        <v>Emission</v>
      </c>
      <c r="D502" s="5" t="str">
        <f>VLOOKUP($A502,Technologies!$A$7:$H$576,4,FALSE)</f>
        <v>Industry</v>
      </c>
      <c r="E502" s="5" t="str">
        <f>VLOOKUP($A502,Technologies!$A$7:$H$576,6,FALSE)</f>
        <v>CO2 CCUS Network</v>
      </c>
      <c r="F502" s="5" t="str">
        <f>VLOOKUP($A502,Technologies!$A$7:$H$576,7,FALSE)</f>
        <v>CO2 from Direct Air Capture outside ETS scheme</v>
      </c>
      <c r="G502" s="23"/>
      <c r="H502" s="23"/>
      <c r="I502" s="104" cm="1">
        <f t="array" ref="I502">-SUMPRODUCT((Feedstocks!$C$4:$C$141=A502)*Feedstocks!$E$4:$E$141,Feedstocks!$F$4:$F$141,Feedstocks!$H$4:$H$141,Feedstocks!$I$4:$I$141)</f>
        <v>0</v>
      </c>
      <c r="J502" s="104" cm="1">
        <f t="array" ref="J502">-SUMPRODUCT((Feedstocks!$C$4:$C$141=A502)*Feedstocks!$E$4:$E$141,Feedstocks!$H$4:$H$141,Feedstocks!$I$4:$I$141)</f>
        <v>0</v>
      </c>
      <c r="K502" s="104"/>
      <c r="L502" s="104"/>
      <c r="M502" s="23"/>
      <c r="N502" s="23" t="str">
        <f>VLOOKUP(E502,Activities!$A$9:$M$227,13,FALSE)</f>
        <v>NL</v>
      </c>
      <c r="O502" s="23"/>
      <c r="P502" s="79" t="s">
        <v>415</v>
      </c>
      <c r="Q502" s="35"/>
      <c r="R502" s="35"/>
      <c r="S502" s="35"/>
      <c r="T502" s="35"/>
      <c r="U502" s="35"/>
      <c r="V502" s="35"/>
      <c r="W502" s="35"/>
      <c r="X502" s="35"/>
      <c r="Y502" s="35"/>
      <c r="Z502" s="35"/>
      <c r="AA502" s="35"/>
      <c r="AB502" s="35"/>
      <c r="AC502" s="35"/>
      <c r="AD502" s="35"/>
      <c r="AE502" s="35"/>
      <c r="AF502" s="36"/>
      <c r="AG502" s="36"/>
      <c r="AH502" s="36"/>
      <c r="AI502" s="36"/>
      <c r="AJ502" s="36"/>
      <c r="AK502" s="36"/>
      <c r="AL502" s="36"/>
      <c r="AM502" s="36"/>
      <c r="AN502" s="36"/>
      <c r="AO502" s="36"/>
      <c r="AP502" s="35"/>
      <c r="AQ502" s="35"/>
      <c r="AR502" s="35"/>
      <c r="AS502" s="35"/>
      <c r="AT502" s="35"/>
      <c r="AU502" s="35"/>
      <c r="AV502" s="35"/>
      <c r="AW502" s="35"/>
      <c r="AX502" s="35"/>
      <c r="AY502" s="35"/>
      <c r="AZ502" s="35"/>
      <c r="BA502" s="35"/>
      <c r="BB502" s="35"/>
      <c r="BC502" s="35"/>
      <c r="BD502" s="35"/>
      <c r="BE502" s="35"/>
      <c r="BF502" s="35"/>
      <c r="BG502" s="35"/>
      <c r="BH502" s="35"/>
      <c r="BI502" s="35"/>
      <c r="BJ502" s="35"/>
      <c r="BK502" s="35"/>
      <c r="BL502" s="35"/>
      <c r="BM502" s="35"/>
      <c r="BN502" s="35"/>
      <c r="BO502" s="35"/>
      <c r="BP502" s="35"/>
      <c r="BQ502" s="35"/>
      <c r="BR502" s="35"/>
      <c r="BS502" s="35"/>
      <c r="BT502" s="35"/>
      <c r="BU502" s="35"/>
      <c r="BV502" s="35"/>
      <c r="BW502" s="35"/>
      <c r="BX502" s="35"/>
      <c r="BY502" s="35"/>
      <c r="BZ502" s="35"/>
      <c r="CA502" s="35"/>
      <c r="CB502" s="35"/>
      <c r="CC502" s="35"/>
      <c r="CD502" s="35"/>
      <c r="CE502" s="35"/>
      <c r="CF502" s="35"/>
      <c r="CG502" s="35"/>
      <c r="CH502" s="35"/>
      <c r="CI502" s="35"/>
      <c r="CJ502" s="35"/>
      <c r="CK502" s="35"/>
      <c r="CL502" s="35"/>
      <c r="CM502" s="35"/>
      <c r="CN502" s="35"/>
      <c r="CO502" s="35"/>
      <c r="CP502" s="35"/>
      <c r="CQ502" s="35"/>
      <c r="CR502" s="35"/>
      <c r="CS502" s="35"/>
      <c r="CT502" s="35"/>
      <c r="CU502" s="35"/>
      <c r="CV502" s="35"/>
      <c r="CW502" s="35"/>
      <c r="CX502" s="35"/>
      <c r="CY502" s="35"/>
      <c r="CZ502" s="35"/>
      <c r="DA502" s="35"/>
      <c r="DB502" s="35"/>
      <c r="DC502" s="35"/>
      <c r="DD502" s="35"/>
      <c r="DE502" s="35"/>
      <c r="DF502" s="35"/>
      <c r="DG502" s="35"/>
      <c r="DH502" s="35">
        <v>-0.9</v>
      </c>
      <c r="DI502" s="35"/>
      <c r="DJ502" s="35"/>
      <c r="DK502" s="35"/>
      <c r="DL502" s="35"/>
      <c r="DM502" s="35"/>
      <c r="DN502" s="35"/>
      <c r="DO502" s="35">
        <v>-5</v>
      </c>
      <c r="DP502" s="35"/>
      <c r="DQ502" s="35"/>
      <c r="DR502" s="35"/>
      <c r="DS502" s="35"/>
      <c r="DT502" s="35"/>
      <c r="DU502" s="35"/>
      <c r="DV502" s="35"/>
      <c r="DW502" s="35"/>
      <c r="DX502" s="35"/>
      <c r="DY502" s="35"/>
      <c r="DZ502" s="35"/>
      <c r="EA502" s="35"/>
      <c r="EB502" s="35"/>
      <c r="EC502" s="35"/>
      <c r="ED502" s="35"/>
      <c r="EE502" s="35"/>
      <c r="EF502" s="35"/>
      <c r="EG502" s="35"/>
      <c r="EH502" s="35"/>
      <c r="EI502" s="35"/>
      <c r="EJ502" s="35"/>
      <c r="EK502" s="35"/>
      <c r="EL502" s="35"/>
      <c r="EM502" s="35"/>
      <c r="EN502" s="35"/>
      <c r="EO502" s="35"/>
      <c r="EP502" s="35"/>
      <c r="EQ502" s="35"/>
      <c r="ER502" s="35"/>
      <c r="ES502" s="35"/>
      <c r="ET502" s="35"/>
      <c r="EU502" s="35"/>
      <c r="EV502" s="35"/>
      <c r="EW502" s="35"/>
      <c r="EX502" s="35"/>
      <c r="EY502" s="35"/>
      <c r="EZ502" s="35"/>
      <c r="FA502" s="35"/>
      <c r="FB502" s="35"/>
      <c r="FC502" s="35"/>
      <c r="FD502" s="35"/>
      <c r="FE502" s="35"/>
      <c r="FF502" s="35"/>
      <c r="FG502" s="35"/>
      <c r="FH502" s="35"/>
      <c r="FI502" s="35"/>
      <c r="FJ502" s="35"/>
      <c r="FK502" s="35"/>
      <c r="FL502" s="35"/>
      <c r="FM502" s="35"/>
      <c r="FN502" s="35"/>
      <c r="FO502" s="35"/>
      <c r="FP502" s="35"/>
      <c r="FQ502" s="35"/>
      <c r="FR502" s="35"/>
      <c r="FS502" s="35"/>
      <c r="FT502" s="35"/>
      <c r="FU502" s="35"/>
      <c r="FV502" s="35"/>
      <c r="FW502" s="35"/>
      <c r="FX502" s="35"/>
      <c r="FY502" s="35"/>
      <c r="FZ502" s="35"/>
      <c r="GA502" s="35"/>
      <c r="GB502" s="318">
        <f>GC502</f>
        <v>1</v>
      </c>
      <c r="GC502" s="325">
        <v>1</v>
      </c>
      <c r="GD502" s="325"/>
      <c r="GE502" s="325">
        <v>-1</v>
      </c>
      <c r="GF502" s="325"/>
      <c r="GG502" s="325"/>
    </row>
    <row r="503" spans="1:189" x14ac:dyDescent="0.35">
      <c r="A503" s="6" t="s">
        <v>1777</v>
      </c>
      <c r="B503" s="6" t="str">
        <f>IF(Technologies!B503&lt;&gt;0,Technologies!B503,"")</f>
        <v>Industrie</v>
      </c>
      <c r="C503" s="6" t="str">
        <f>VLOOKUP($A503,Technologies!$A$7:$H$576,3,FALSE)</f>
        <v>Emission</v>
      </c>
      <c r="D503" s="6" t="str">
        <f>VLOOKUP($A503,Technologies!$A$7:$H$576,4,FALSE)</f>
        <v>Industry</v>
      </c>
      <c r="E503" s="6" t="str">
        <f>VLOOKUP($A503,Technologies!$A$7:$H$576,6,FALSE)</f>
        <v>CO2 CCUS Network</v>
      </c>
      <c r="F503" s="48" t="str">
        <f>VLOOKUP($A503,Technologies!$A$7:$H$576,7,FALSE)</f>
        <v>Small scale storage buffer - CCUS Network</v>
      </c>
      <c r="G503" s="22"/>
      <c r="H503" s="22"/>
      <c r="I503" s="103" cm="1">
        <f t="array" ref="I503">-SUMPRODUCT((Feedstocks!$C$4:$C$141=A503)*Feedstocks!$E$4:$E$141,Feedstocks!$F$4:$F$141,Feedstocks!$H$4:$H$141,Feedstocks!$I$4:$I$141)</f>
        <v>0</v>
      </c>
      <c r="J503" s="103" cm="1">
        <f t="array" ref="J503">-SUMPRODUCT((Feedstocks!$C$4:$C$141=A503)*Feedstocks!$E$4:$E$141,Feedstocks!$H$4:$H$141,Feedstocks!$I$4:$I$141)</f>
        <v>0</v>
      </c>
      <c r="K503" s="103"/>
      <c r="L503" s="103"/>
      <c r="M503" s="22"/>
      <c r="N503" s="22" t="str">
        <f>VLOOKUP(E503,Activities!$A$9:$M$227,13,FALSE)</f>
        <v>NL</v>
      </c>
      <c r="O503" s="22"/>
      <c r="P503" s="80" t="s">
        <v>415</v>
      </c>
      <c r="Q503" s="36"/>
      <c r="R503" s="36"/>
      <c r="S503" s="36"/>
      <c r="T503" s="36"/>
      <c r="U503" s="36"/>
      <c r="V503" s="36"/>
      <c r="W503" s="36"/>
      <c r="X503" s="36"/>
      <c r="Y503" s="36"/>
      <c r="Z503" s="36"/>
      <c r="AA503" s="36"/>
      <c r="AB503" s="36"/>
      <c r="AC503" s="36"/>
      <c r="AD503" s="36"/>
      <c r="AE503" s="36"/>
      <c r="AF503" s="35"/>
      <c r="AG503" s="35"/>
      <c r="AH503" s="35"/>
      <c r="AI503" s="35"/>
      <c r="AJ503" s="35"/>
      <c r="AK503" s="35"/>
      <c r="AL503" s="35"/>
      <c r="AM503" s="35"/>
      <c r="AN503" s="35"/>
      <c r="AO503" s="35"/>
      <c r="AP503" s="36"/>
      <c r="AQ503" s="36"/>
      <c r="AR503" s="36"/>
      <c r="AS503" s="36"/>
      <c r="AT503" s="36"/>
      <c r="AU503" s="36"/>
      <c r="AV503" s="36"/>
      <c r="AW503" s="36"/>
      <c r="AX503" s="36"/>
      <c r="AY503" s="36"/>
      <c r="AZ503" s="36"/>
      <c r="BA503" s="36"/>
      <c r="BB503" s="36"/>
      <c r="BC503" s="36"/>
      <c r="BD503" s="36"/>
      <c r="BE503" s="36"/>
      <c r="BF503" s="36"/>
      <c r="BG503" s="36"/>
      <c r="BH503" s="36"/>
      <c r="BI503" s="36"/>
      <c r="BJ503" s="36"/>
      <c r="BK503" s="36"/>
      <c r="BL503" s="36"/>
      <c r="BM503" s="36"/>
      <c r="BN503" s="36"/>
      <c r="BO503" s="36"/>
      <c r="BP503" s="36"/>
      <c r="BQ503" s="36"/>
      <c r="BR503" s="36"/>
      <c r="BS503" s="36"/>
      <c r="BT503" s="36"/>
      <c r="BU503" s="36"/>
      <c r="BV503" s="36"/>
      <c r="BW503" s="36"/>
      <c r="BX503" s="36"/>
      <c r="BY503" s="36"/>
      <c r="BZ503" s="36"/>
      <c r="CA503" s="36"/>
      <c r="CB503" s="36"/>
      <c r="CC503" s="36"/>
      <c r="CD503" s="36"/>
      <c r="CE503" s="36"/>
      <c r="CF503" s="36"/>
      <c r="CG503" s="36"/>
      <c r="CH503" s="36"/>
      <c r="CI503" s="36"/>
      <c r="CJ503" s="36"/>
      <c r="CK503" s="36"/>
      <c r="CL503" s="36"/>
      <c r="CM503" s="36"/>
      <c r="CN503" s="36"/>
      <c r="CO503" s="36"/>
      <c r="CP503" s="36"/>
      <c r="CQ503" s="36"/>
      <c r="CR503" s="36"/>
      <c r="CS503" s="36"/>
      <c r="CT503" s="36"/>
      <c r="CU503" s="36"/>
      <c r="CV503" s="36"/>
      <c r="CW503" s="36"/>
      <c r="CX503" s="36"/>
      <c r="CY503" s="36"/>
      <c r="CZ503" s="36"/>
      <c r="DA503" s="36"/>
      <c r="DB503" s="36"/>
      <c r="DC503" s="36"/>
      <c r="DD503" s="36"/>
      <c r="DE503" s="36"/>
      <c r="DF503" s="36"/>
      <c r="DG503" s="36"/>
      <c r="DH503" s="36"/>
      <c r="DI503" s="36"/>
      <c r="DJ503" s="36"/>
      <c r="DK503" s="36"/>
      <c r="DL503" s="36"/>
      <c r="DM503" s="36"/>
      <c r="DN503" s="36"/>
      <c r="DO503" s="36"/>
      <c r="DP503" s="36"/>
      <c r="DQ503" s="36"/>
      <c r="DR503" s="36"/>
      <c r="DS503" s="36"/>
      <c r="DT503" s="36"/>
      <c r="DU503" s="36"/>
      <c r="DV503" s="36"/>
      <c r="DW503" s="36"/>
      <c r="DX503" s="36"/>
      <c r="DY503" s="36"/>
      <c r="DZ503" s="36"/>
      <c r="EA503" s="36"/>
      <c r="EB503" s="36"/>
      <c r="EC503" s="36"/>
      <c r="ED503" s="36"/>
      <c r="EE503" s="36"/>
      <c r="EF503" s="36"/>
      <c r="EG503" s="36"/>
      <c r="EH503" s="36"/>
      <c r="EI503" s="36"/>
      <c r="EJ503" s="36"/>
      <c r="EK503" s="36"/>
      <c r="EL503" s="36"/>
      <c r="EM503" s="36"/>
      <c r="EN503" s="36"/>
      <c r="EO503" s="36"/>
      <c r="EP503" s="36"/>
      <c r="EQ503" s="36"/>
      <c r="ER503" s="36"/>
      <c r="ES503" s="36"/>
      <c r="ET503" s="36"/>
      <c r="EU503" s="36"/>
      <c r="EV503" s="36"/>
      <c r="EW503" s="36"/>
      <c r="EX503" s="36"/>
      <c r="EY503" s="36"/>
      <c r="EZ503" s="36"/>
      <c r="FA503" s="36"/>
      <c r="FB503" s="36"/>
      <c r="FC503" s="36"/>
      <c r="FD503" s="36"/>
      <c r="FE503" s="36"/>
      <c r="FF503" s="36"/>
      <c r="FG503" s="36"/>
      <c r="FH503" s="36"/>
      <c r="FI503" s="36"/>
      <c r="FJ503" s="36"/>
      <c r="FK503" s="36"/>
      <c r="FL503" s="36"/>
      <c r="FM503" s="36"/>
      <c r="FN503" s="36"/>
      <c r="FO503" s="36"/>
      <c r="FP503" s="36"/>
      <c r="FQ503" s="36"/>
      <c r="FR503" s="36"/>
      <c r="FS503" s="36"/>
      <c r="FT503" s="36"/>
      <c r="FU503" s="36"/>
      <c r="FV503" s="36"/>
      <c r="FW503" s="36"/>
      <c r="FX503" s="36"/>
      <c r="FY503" s="36"/>
      <c r="FZ503" s="36"/>
      <c r="GA503" s="36"/>
      <c r="GB503" s="319"/>
      <c r="GC503" s="324"/>
      <c r="GD503" s="324"/>
      <c r="GE503" s="324"/>
      <c r="GF503" s="324"/>
      <c r="GG503" s="324"/>
    </row>
    <row r="504" spans="1:189" x14ac:dyDescent="0.35">
      <c r="A504" s="5" t="s">
        <v>1780</v>
      </c>
      <c r="B504" s="6" t="str">
        <f>IF(Technologies!B504&lt;&gt;0,Technologies!B504,"")</f>
        <v/>
      </c>
      <c r="C504" s="5" t="str">
        <f>VLOOKUP($A504,Technologies!$A$7:$H$576,3,FALSE)</f>
        <v>Emission</v>
      </c>
      <c r="D504" s="5" t="str">
        <f>VLOOKUP($A504,Technologies!$A$7:$H$576,4,FALSE)</f>
        <v>Emission</v>
      </c>
      <c r="E504" s="5" t="str">
        <f>VLOOKUP($A504,Technologies!$A$7:$H$576,6,FALSE)</f>
        <v>CO2 Air ETS</v>
      </c>
      <c r="F504" s="5" t="str">
        <f>VLOOKUP($A504,Technologies!$A$7:$H$576,7,FALSE)</f>
        <v>CO2 ETS quota</v>
      </c>
      <c r="G504" s="23"/>
      <c r="H504" s="23"/>
      <c r="I504" s="104" cm="1">
        <f t="array" ref="I504">-SUMPRODUCT((Feedstocks!$C$4:$C$141=A504)*Feedstocks!$E$4:$E$141,Feedstocks!$F$4:$F$141,Feedstocks!$H$4:$H$141,Feedstocks!$I$4:$I$141)</f>
        <v>0</v>
      </c>
      <c r="J504" s="104" cm="1">
        <f t="array" ref="J504">-SUMPRODUCT((Feedstocks!$C$4:$C$141=A504)*Feedstocks!$E$4:$E$141,Feedstocks!$H$4:$H$141,Feedstocks!$I$4:$I$141)</f>
        <v>0</v>
      </c>
      <c r="K504" s="104"/>
      <c r="L504" s="104"/>
      <c r="M504" s="23"/>
      <c r="N504" s="23" t="str">
        <f>VLOOKUP(E504,Activities!$A$9:$M$227,13,FALSE)</f>
        <v>NL</v>
      </c>
      <c r="O504" s="23"/>
      <c r="P504" s="79" t="s">
        <v>415</v>
      </c>
      <c r="Q504" s="35"/>
      <c r="R504" s="35"/>
      <c r="S504" s="35"/>
      <c r="T504" s="35"/>
      <c r="U504" s="35"/>
      <c r="V504" s="35"/>
      <c r="W504" s="35"/>
      <c r="X504" s="35"/>
      <c r="Y504" s="35"/>
      <c r="Z504" s="35"/>
      <c r="AA504" s="35"/>
      <c r="AB504" s="35"/>
      <c r="AC504" s="35"/>
      <c r="AD504" s="35"/>
      <c r="AE504" s="35"/>
      <c r="AF504" s="36"/>
      <c r="AG504" s="36"/>
      <c r="AH504" s="36"/>
      <c r="AI504" s="36"/>
      <c r="AJ504" s="36"/>
      <c r="AK504" s="36"/>
      <c r="AL504" s="36"/>
      <c r="AM504" s="36"/>
      <c r="AN504" s="36"/>
      <c r="AO504" s="36"/>
      <c r="AP504" s="35"/>
      <c r="AQ504" s="35"/>
      <c r="AR504" s="35"/>
      <c r="AS504" s="35"/>
      <c r="AT504" s="35"/>
      <c r="AU504" s="35"/>
      <c r="AV504" s="35"/>
      <c r="AW504" s="35"/>
      <c r="AX504" s="35"/>
      <c r="AY504" s="35"/>
      <c r="AZ504" s="35"/>
      <c r="BA504" s="35"/>
      <c r="BB504" s="35"/>
      <c r="BC504" s="35"/>
      <c r="BD504" s="35"/>
      <c r="BE504" s="35"/>
      <c r="BF504" s="35"/>
      <c r="BG504" s="35"/>
      <c r="BH504" s="35"/>
      <c r="BI504" s="35"/>
      <c r="BJ504" s="35"/>
      <c r="BK504" s="35"/>
      <c r="BL504" s="35"/>
      <c r="BM504" s="35"/>
      <c r="BN504" s="35"/>
      <c r="BO504" s="35"/>
      <c r="BP504" s="35"/>
      <c r="BQ504" s="35"/>
      <c r="BR504" s="35"/>
      <c r="BS504" s="35"/>
      <c r="BT504" s="35"/>
      <c r="BU504" s="35"/>
      <c r="BV504" s="35"/>
      <c r="BW504" s="35"/>
      <c r="BX504" s="35"/>
      <c r="BY504" s="35"/>
      <c r="BZ504" s="35"/>
      <c r="CA504" s="35"/>
      <c r="CB504" s="35"/>
      <c r="CC504" s="35"/>
      <c r="CD504" s="35"/>
      <c r="CE504" s="35"/>
      <c r="CF504" s="35"/>
      <c r="CG504" s="35"/>
      <c r="CH504" s="35"/>
      <c r="CI504" s="35"/>
      <c r="CJ504" s="35"/>
      <c r="CK504" s="35"/>
      <c r="CL504" s="35"/>
      <c r="CM504" s="35"/>
      <c r="CN504" s="35"/>
      <c r="CO504" s="35"/>
      <c r="CP504" s="35"/>
      <c r="CQ504" s="35"/>
      <c r="CR504" s="35"/>
      <c r="CS504" s="35"/>
      <c r="CT504" s="35"/>
      <c r="CU504" s="35"/>
      <c r="CV504" s="35"/>
      <c r="CW504" s="35"/>
      <c r="CX504" s="35"/>
      <c r="CY504" s="35"/>
      <c r="CZ504" s="35"/>
      <c r="DA504" s="35"/>
      <c r="DB504" s="35"/>
      <c r="DC504" s="35"/>
      <c r="DD504" s="35"/>
      <c r="DE504" s="35"/>
      <c r="DF504" s="35"/>
      <c r="DG504" s="35"/>
      <c r="DH504" s="35"/>
      <c r="DI504" s="35"/>
      <c r="DJ504" s="35"/>
      <c r="DK504" s="35"/>
      <c r="DL504" s="35"/>
      <c r="DM504" s="35"/>
      <c r="DN504" s="35"/>
      <c r="DO504" s="35"/>
      <c r="DP504" s="35"/>
      <c r="DQ504" s="35"/>
      <c r="DR504" s="35"/>
      <c r="DS504" s="35"/>
      <c r="DT504" s="35"/>
      <c r="DU504" s="35"/>
      <c r="DV504" s="35"/>
      <c r="DW504" s="35"/>
      <c r="DX504" s="35"/>
      <c r="DY504" s="35"/>
      <c r="DZ504" s="35"/>
      <c r="EA504" s="35"/>
      <c r="EB504" s="35"/>
      <c r="EC504" s="35"/>
      <c r="ED504" s="35"/>
      <c r="EE504" s="35"/>
      <c r="EF504" s="35"/>
      <c r="EG504" s="35"/>
      <c r="EH504" s="35"/>
      <c r="EI504" s="35"/>
      <c r="EJ504" s="35"/>
      <c r="EK504" s="35"/>
      <c r="EL504" s="35"/>
      <c r="EM504" s="35"/>
      <c r="EN504" s="35"/>
      <c r="EO504" s="35"/>
      <c r="EP504" s="35"/>
      <c r="EQ504" s="35"/>
      <c r="ER504" s="35"/>
      <c r="ES504" s="35"/>
      <c r="ET504" s="35"/>
      <c r="EU504" s="35"/>
      <c r="EV504" s="35"/>
      <c r="EW504" s="35"/>
      <c r="EX504" s="35"/>
      <c r="EY504" s="35"/>
      <c r="EZ504" s="35"/>
      <c r="FA504" s="35"/>
      <c r="FB504" s="35"/>
      <c r="FC504" s="35"/>
      <c r="FD504" s="35"/>
      <c r="FE504" s="35"/>
      <c r="FF504" s="35"/>
      <c r="FG504" s="35"/>
      <c r="FH504" s="35"/>
      <c r="FI504" s="35"/>
      <c r="FJ504" s="35"/>
      <c r="FK504" s="35"/>
      <c r="FL504" s="35"/>
      <c r="FM504" s="35"/>
      <c r="FN504" s="35"/>
      <c r="FO504" s="35"/>
      <c r="FP504" s="35"/>
      <c r="FQ504" s="35"/>
      <c r="FR504" s="35"/>
      <c r="FS504" s="35"/>
      <c r="FT504" s="35"/>
      <c r="FU504" s="35"/>
      <c r="FV504" s="35"/>
      <c r="FW504" s="35"/>
      <c r="FX504" s="35"/>
      <c r="FY504" s="35"/>
      <c r="FZ504" s="35"/>
      <c r="GA504" s="35"/>
      <c r="GB504" s="318"/>
      <c r="GC504" s="325"/>
      <c r="GD504" s="325">
        <v>-1</v>
      </c>
      <c r="GE504" s="325"/>
      <c r="GF504" s="325"/>
      <c r="GG504" s="325"/>
    </row>
    <row r="505" spans="1:189" x14ac:dyDescent="0.35">
      <c r="A505" s="6" t="s">
        <v>1783</v>
      </c>
      <c r="B505" s="6" t="str">
        <f>IF(Technologies!B505&lt;&gt;0,Technologies!B505,"")</f>
        <v/>
      </c>
      <c r="C505" s="6" t="str">
        <f>VLOOKUP($A505,Technologies!$A$7:$H$576,3,FALSE)</f>
        <v>Emission</v>
      </c>
      <c r="D505" s="6" t="str">
        <f>VLOOKUP($A505,Technologies!$A$7:$H$576,4,FALSE)</f>
        <v>Emission</v>
      </c>
      <c r="E505" s="6" t="str">
        <f>VLOOKUP($A505,Technologies!$A$7:$H$576,6,FALSE)</f>
        <v>CO2 Air n-ETS</v>
      </c>
      <c r="F505" s="48" t="str">
        <f>VLOOKUP($A505,Technologies!$A$7:$H$576,7,FALSE)</f>
        <v>CO2 Emission non-ETS</v>
      </c>
      <c r="G505" s="22"/>
      <c r="H505" s="22"/>
      <c r="I505" s="103" cm="1">
        <f t="array" ref="I505">-SUMPRODUCT((Feedstocks!$C$4:$C$141=A505)*Feedstocks!$E$4:$E$141,Feedstocks!$F$4:$F$141,Feedstocks!$H$4:$H$141,Feedstocks!$I$4:$I$141)</f>
        <v>0</v>
      </c>
      <c r="J505" s="103" cm="1">
        <f t="array" ref="J505">-SUMPRODUCT((Feedstocks!$C$4:$C$141=A505)*Feedstocks!$E$4:$E$141,Feedstocks!$H$4:$H$141,Feedstocks!$I$4:$I$141)</f>
        <v>0</v>
      </c>
      <c r="K505" s="103"/>
      <c r="L505" s="103"/>
      <c r="M505" s="22"/>
      <c r="N505" s="22" t="str">
        <f>VLOOKUP(E505,Activities!$A$9:$M$227,13,FALSE)</f>
        <v>NL</v>
      </c>
      <c r="O505" s="22"/>
      <c r="P505" s="80" t="s">
        <v>415</v>
      </c>
      <c r="Q505" s="36"/>
      <c r="R505" s="36"/>
      <c r="S505" s="36"/>
      <c r="T505" s="36"/>
      <c r="U505" s="36"/>
      <c r="V505" s="36"/>
      <c r="W505" s="36"/>
      <c r="X505" s="36"/>
      <c r="Y505" s="36"/>
      <c r="Z505" s="36"/>
      <c r="AA505" s="36"/>
      <c r="AB505" s="36"/>
      <c r="AC505" s="36"/>
      <c r="AD505" s="36"/>
      <c r="AE505" s="36"/>
      <c r="AF505" s="35"/>
      <c r="AG505" s="35"/>
      <c r="AH505" s="35"/>
      <c r="AI505" s="35"/>
      <c r="AJ505" s="35"/>
      <c r="AK505" s="35"/>
      <c r="AL505" s="35"/>
      <c r="AM505" s="35"/>
      <c r="AN505" s="35"/>
      <c r="AO505" s="35"/>
      <c r="AP505" s="36"/>
      <c r="AQ505" s="36"/>
      <c r="AR505" s="36"/>
      <c r="AS505" s="36"/>
      <c r="AT505" s="36"/>
      <c r="AU505" s="36"/>
      <c r="AV505" s="36"/>
      <c r="AW505" s="36"/>
      <c r="AX505" s="36"/>
      <c r="AY505" s="36"/>
      <c r="AZ505" s="36"/>
      <c r="BA505" s="36"/>
      <c r="BB505" s="36"/>
      <c r="BC505" s="36"/>
      <c r="BD505" s="36"/>
      <c r="BE505" s="36"/>
      <c r="BF505" s="36"/>
      <c r="BG505" s="36"/>
      <c r="BH505" s="36"/>
      <c r="BI505" s="36"/>
      <c r="BJ505" s="36"/>
      <c r="BK505" s="36"/>
      <c r="BL505" s="36"/>
      <c r="BM505" s="36"/>
      <c r="BN505" s="36"/>
      <c r="BO505" s="36"/>
      <c r="BP505" s="36"/>
      <c r="BQ505" s="36"/>
      <c r="BR505" s="36"/>
      <c r="BS505" s="36"/>
      <c r="BT505" s="36"/>
      <c r="BU505" s="36"/>
      <c r="BV505" s="36"/>
      <c r="BW505" s="36"/>
      <c r="BX505" s="36"/>
      <c r="BY505" s="36"/>
      <c r="BZ505" s="36"/>
      <c r="CA505" s="36"/>
      <c r="CB505" s="36"/>
      <c r="CC505" s="36"/>
      <c r="CD505" s="36"/>
      <c r="CE505" s="36"/>
      <c r="CF505" s="36"/>
      <c r="CG505" s="36"/>
      <c r="CH505" s="36"/>
      <c r="CI505" s="36"/>
      <c r="CJ505" s="36"/>
      <c r="CK505" s="36"/>
      <c r="CL505" s="36"/>
      <c r="CM505" s="36"/>
      <c r="CN505" s="36"/>
      <c r="CO505" s="36"/>
      <c r="CP505" s="36"/>
      <c r="CQ505" s="36"/>
      <c r="CR505" s="36"/>
      <c r="CS505" s="36"/>
      <c r="CT505" s="36"/>
      <c r="CU505" s="36"/>
      <c r="CV505" s="36"/>
      <c r="CW505" s="36"/>
      <c r="CX505" s="36"/>
      <c r="CY505" s="36"/>
      <c r="CZ505" s="36"/>
      <c r="DA505" s="36"/>
      <c r="DB505" s="36"/>
      <c r="DC505" s="36"/>
      <c r="DD505" s="36"/>
      <c r="DE505" s="36"/>
      <c r="DF505" s="36"/>
      <c r="DG505" s="36"/>
      <c r="DH505" s="36"/>
      <c r="DI505" s="36"/>
      <c r="DJ505" s="36"/>
      <c r="DK505" s="36"/>
      <c r="DL505" s="36"/>
      <c r="DM505" s="36"/>
      <c r="DN505" s="36"/>
      <c r="DO505" s="36"/>
      <c r="DP505" s="36"/>
      <c r="DQ505" s="36"/>
      <c r="DR505" s="36"/>
      <c r="DS505" s="36"/>
      <c r="DT505" s="36"/>
      <c r="DU505" s="36"/>
      <c r="DV505" s="36"/>
      <c r="DW505" s="36"/>
      <c r="DX505" s="36"/>
      <c r="DY505" s="36"/>
      <c r="DZ505" s="36"/>
      <c r="EA505" s="36"/>
      <c r="EB505" s="36"/>
      <c r="EC505" s="36"/>
      <c r="ED505" s="36"/>
      <c r="EE505" s="36"/>
      <c r="EF505" s="36"/>
      <c r="EG505" s="36"/>
      <c r="EH505" s="36"/>
      <c r="EI505" s="36"/>
      <c r="EJ505" s="36"/>
      <c r="EK505" s="36"/>
      <c r="EL505" s="36"/>
      <c r="EM505" s="36"/>
      <c r="EN505" s="36"/>
      <c r="EO505" s="36"/>
      <c r="EP505" s="36"/>
      <c r="EQ505" s="36"/>
      <c r="ER505" s="36"/>
      <c r="ES505" s="36"/>
      <c r="ET505" s="36"/>
      <c r="EU505" s="36"/>
      <c r="EV505" s="36"/>
      <c r="EW505" s="36"/>
      <c r="EX505" s="36"/>
      <c r="EY505" s="36"/>
      <c r="EZ505" s="36"/>
      <c r="FA505" s="36"/>
      <c r="FB505" s="36"/>
      <c r="FC505" s="36"/>
      <c r="FD505" s="36"/>
      <c r="FE505" s="36"/>
      <c r="FF505" s="36"/>
      <c r="FG505" s="36"/>
      <c r="FH505" s="36"/>
      <c r="FI505" s="36"/>
      <c r="FJ505" s="36"/>
      <c r="FK505" s="36"/>
      <c r="FL505" s="36"/>
      <c r="FM505" s="36"/>
      <c r="FN505" s="36"/>
      <c r="FO505" s="36"/>
      <c r="FP505" s="36"/>
      <c r="FQ505" s="36"/>
      <c r="FR505" s="36"/>
      <c r="FS505" s="36"/>
      <c r="FT505" s="36"/>
      <c r="FU505" s="36"/>
      <c r="FV505" s="36"/>
      <c r="FW505" s="36"/>
      <c r="FX505" s="36"/>
      <c r="FY505" s="36"/>
      <c r="FZ505" s="36"/>
      <c r="GA505" s="36"/>
      <c r="GB505" s="319"/>
      <c r="GC505" s="324"/>
      <c r="GD505" s="324"/>
      <c r="GE505" s="324">
        <v>-1</v>
      </c>
      <c r="GF505" s="324"/>
      <c r="GG505" s="324"/>
    </row>
    <row r="506" spans="1:189" x14ac:dyDescent="0.35">
      <c r="A506" s="5" t="s">
        <v>1786</v>
      </c>
      <c r="B506" s="6" t="str">
        <f>IF(Technologies!B506&lt;&gt;0,Technologies!B506,"")</f>
        <v/>
      </c>
      <c r="C506" s="5" t="str">
        <f>VLOOKUP($A506,Technologies!$A$7:$H$576,3,FALSE)</f>
        <v>Emission</v>
      </c>
      <c r="D506" s="5" t="str">
        <f>VLOOKUP($A506,Technologies!$A$7:$H$576,4,FALSE)</f>
        <v>Emission</v>
      </c>
      <c r="E506" s="5" t="str">
        <f>VLOOKUP($A506,Technologies!$A$7:$H$576,6,FALSE)</f>
        <v>CO2 Air Int. Transport</v>
      </c>
      <c r="F506" s="5" t="str">
        <f>VLOOKUP($A506,Technologies!$A$7:$H$576,7,FALSE)</f>
        <v>CO2 Emission Int. Transport</v>
      </c>
      <c r="G506" s="23"/>
      <c r="H506" s="23"/>
      <c r="I506" s="104" cm="1">
        <f t="array" ref="I506">-SUMPRODUCT((Feedstocks!$C$4:$C$141=A506)*Feedstocks!$E$4:$E$141,Feedstocks!$F$4:$F$141,Feedstocks!$H$4:$H$141,Feedstocks!$I$4:$I$141)</f>
        <v>0</v>
      </c>
      <c r="J506" s="104" cm="1">
        <f t="array" ref="J506">-SUMPRODUCT((Feedstocks!$C$4:$C$141=A506)*Feedstocks!$E$4:$E$141,Feedstocks!$H$4:$H$141,Feedstocks!$I$4:$I$141)</f>
        <v>0</v>
      </c>
      <c r="K506" s="104"/>
      <c r="L506" s="104"/>
      <c r="M506" s="23"/>
      <c r="N506" s="23" t="str">
        <f>VLOOKUP(E506,Activities!$A$9:$M$227,13,FALSE)</f>
        <v>NL</v>
      </c>
      <c r="O506" s="23"/>
      <c r="P506" s="79" t="s">
        <v>1519</v>
      </c>
      <c r="Q506" s="35"/>
      <c r="R506" s="35"/>
      <c r="S506" s="35"/>
      <c r="T506" s="35"/>
      <c r="U506" s="35"/>
      <c r="V506" s="35"/>
      <c r="W506" s="35"/>
      <c r="X506" s="35"/>
      <c r="Y506" s="35"/>
      <c r="Z506" s="35"/>
      <c r="AA506" s="35"/>
      <c r="AB506" s="35"/>
      <c r="AC506" s="35"/>
      <c r="AD506" s="35"/>
      <c r="AE506" s="35"/>
      <c r="AF506" s="36"/>
      <c r="AG506" s="36"/>
      <c r="AH506" s="36"/>
      <c r="AI506" s="36"/>
      <c r="AJ506" s="36"/>
      <c r="AK506" s="36"/>
      <c r="AL506" s="36"/>
      <c r="AM506" s="36"/>
      <c r="AN506" s="36"/>
      <c r="AO506" s="36"/>
      <c r="AP506" s="35"/>
      <c r="AQ506" s="35"/>
      <c r="AR506" s="35"/>
      <c r="AS506" s="35"/>
      <c r="AT506" s="35"/>
      <c r="AU506" s="35"/>
      <c r="AV506" s="35"/>
      <c r="AW506" s="35"/>
      <c r="AX506" s="35"/>
      <c r="AY506" s="35"/>
      <c r="AZ506" s="35"/>
      <c r="BA506" s="35"/>
      <c r="BB506" s="35"/>
      <c r="BC506" s="35"/>
      <c r="BD506" s="35"/>
      <c r="BE506" s="35"/>
      <c r="BF506" s="35"/>
      <c r="BG506" s="35"/>
      <c r="BH506" s="35"/>
      <c r="BI506" s="35"/>
      <c r="BJ506" s="35"/>
      <c r="BK506" s="35"/>
      <c r="BL506" s="35"/>
      <c r="BM506" s="35"/>
      <c r="BN506" s="35"/>
      <c r="BO506" s="35"/>
      <c r="BP506" s="35"/>
      <c r="BQ506" s="35"/>
      <c r="BR506" s="35"/>
      <c r="BS506" s="35"/>
      <c r="BT506" s="35"/>
      <c r="BU506" s="35"/>
      <c r="BV506" s="35"/>
      <c r="BW506" s="35"/>
      <c r="BX506" s="35"/>
      <c r="BY506" s="35"/>
      <c r="BZ506" s="35"/>
      <c r="CA506" s="35"/>
      <c r="CB506" s="35"/>
      <c r="CC506" s="35"/>
      <c r="CD506" s="35"/>
      <c r="CE506" s="35"/>
      <c r="CF506" s="35"/>
      <c r="CG506" s="35"/>
      <c r="CH506" s="35"/>
      <c r="CI506" s="35"/>
      <c r="CJ506" s="35"/>
      <c r="CK506" s="35"/>
      <c r="CL506" s="35"/>
      <c r="CM506" s="35"/>
      <c r="CN506" s="35"/>
      <c r="CO506" s="35"/>
      <c r="CP506" s="35"/>
      <c r="CQ506" s="35"/>
      <c r="CR506" s="35"/>
      <c r="CS506" s="35"/>
      <c r="CT506" s="35"/>
      <c r="CU506" s="35"/>
      <c r="CV506" s="35"/>
      <c r="CW506" s="35"/>
      <c r="CX506" s="35"/>
      <c r="CY506" s="35"/>
      <c r="CZ506" s="35"/>
      <c r="DA506" s="35"/>
      <c r="DB506" s="35"/>
      <c r="DC506" s="35"/>
      <c r="DD506" s="35"/>
      <c r="DE506" s="35"/>
      <c r="DF506" s="35"/>
      <c r="DG506" s="35"/>
      <c r="DH506" s="35"/>
      <c r="DI506" s="35"/>
      <c r="DJ506" s="35"/>
      <c r="DK506" s="35"/>
      <c r="DL506" s="35"/>
      <c r="DM506" s="35"/>
      <c r="DN506" s="35"/>
      <c r="DO506" s="35"/>
      <c r="DP506" s="35"/>
      <c r="DQ506" s="35"/>
      <c r="DR506" s="35"/>
      <c r="DS506" s="35"/>
      <c r="DT506" s="35"/>
      <c r="DU506" s="35"/>
      <c r="DV506" s="35"/>
      <c r="DW506" s="35"/>
      <c r="DX506" s="35"/>
      <c r="DY506" s="35"/>
      <c r="DZ506" s="35"/>
      <c r="EA506" s="35"/>
      <c r="EB506" s="35"/>
      <c r="EC506" s="35"/>
      <c r="ED506" s="35"/>
      <c r="EE506" s="35"/>
      <c r="EF506" s="35"/>
      <c r="EG506" s="35"/>
      <c r="EH506" s="35"/>
      <c r="EI506" s="35"/>
      <c r="EJ506" s="35"/>
      <c r="EK506" s="35"/>
      <c r="EL506" s="35"/>
      <c r="EM506" s="35"/>
      <c r="EN506" s="35"/>
      <c r="EO506" s="35"/>
      <c r="EP506" s="35"/>
      <c r="EQ506" s="35"/>
      <c r="ER506" s="35"/>
      <c r="ES506" s="35"/>
      <c r="ET506" s="35"/>
      <c r="EU506" s="35"/>
      <c r="EV506" s="35"/>
      <c r="EW506" s="35"/>
      <c r="EX506" s="35"/>
      <c r="EY506" s="35"/>
      <c r="EZ506" s="35"/>
      <c r="FA506" s="35"/>
      <c r="FB506" s="35"/>
      <c r="FC506" s="35"/>
      <c r="FD506" s="35"/>
      <c r="FE506" s="35"/>
      <c r="FF506" s="35"/>
      <c r="FG506" s="35"/>
      <c r="FH506" s="35"/>
      <c r="FI506" s="35"/>
      <c r="FJ506" s="35"/>
      <c r="FK506" s="35"/>
      <c r="FL506" s="35"/>
      <c r="FM506" s="35"/>
      <c r="FN506" s="35"/>
      <c r="FO506" s="35"/>
      <c r="FP506" s="35"/>
      <c r="FQ506" s="35"/>
      <c r="FR506" s="35"/>
      <c r="FS506" s="35"/>
      <c r="FT506" s="35"/>
      <c r="FU506" s="35"/>
      <c r="FV506" s="35"/>
      <c r="FW506" s="35"/>
      <c r="FX506" s="35"/>
      <c r="FY506" s="35"/>
      <c r="FZ506" s="35"/>
      <c r="GA506" s="35"/>
      <c r="GB506" s="318"/>
      <c r="GC506" s="325"/>
      <c r="GD506" s="325"/>
      <c r="GE506" s="325"/>
      <c r="GF506" s="325">
        <v>-1</v>
      </c>
      <c r="GG506" s="325"/>
    </row>
    <row r="507" spans="1:189" x14ac:dyDescent="0.35">
      <c r="A507" s="6" t="s">
        <v>1788</v>
      </c>
      <c r="B507" s="6" t="str">
        <f>IF(Technologies!B507&lt;&gt;0,Technologies!B507,"")</f>
        <v/>
      </c>
      <c r="C507" s="6" t="str">
        <f>VLOOKUP($A507,Technologies!$A$7:$H$576,3,FALSE)</f>
        <v>Emission</v>
      </c>
      <c r="D507" s="6" t="str">
        <f>VLOOKUP($A507,Technologies!$A$7:$H$576,4,FALSE)</f>
        <v>Emission</v>
      </c>
      <c r="E507" s="6" t="str">
        <f>VLOOKUP($A507,Technologies!$A$7:$H$576,6,FALSE)</f>
        <v>CO2 Air Feedstock end of lifetime</v>
      </c>
      <c r="F507" s="48" t="str">
        <f>VLOOKUP($A507,Technologies!$A$7:$H$576,7,FALSE)</f>
        <v>CO2 Emission Feedstock</v>
      </c>
      <c r="G507" s="22"/>
      <c r="H507" s="22"/>
      <c r="I507" s="103" cm="1">
        <f t="array" ref="I507">-SUMPRODUCT((Feedstocks!$C$4:$C$141=A507)*Feedstocks!$E$4:$E$141,Feedstocks!$F$4:$F$141,Feedstocks!$H$4:$H$141,Feedstocks!$I$4:$I$141)</f>
        <v>0</v>
      </c>
      <c r="J507" s="103" cm="1">
        <f t="array" ref="J507">-SUMPRODUCT((Feedstocks!$C$4:$C$141=A507)*Feedstocks!$E$4:$E$141,Feedstocks!$H$4:$H$141,Feedstocks!$I$4:$I$141)</f>
        <v>0</v>
      </c>
      <c r="K507" s="103"/>
      <c r="L507" s="103"/>
      <c r="M507" s="22"/>
      <c r="N507" s="22" t="str">
        <f>VLOOKUP(E507,Activities!$A$9:$M$227,13,FALSE)</f>
        <v>NL</v>
      </c>
      <c r="O507" s="22"/>
      <c r="P507" s="80" t="s">
        <v>1519</v>
      </c>
      <c r="Q507" s="36"/>
      <c r="R507" s="36"/>
      <c r="S507" s="36"/>
      <c r="T507" s="36"/>
      <c r="U507" s="36"/>
      <c r="V507" s="36"/>
      <c r="W507" s="36"/>
      <c r="X507" s="36"/>
      <c r="Y507" s="36"/>
      <c r="Z507" s="36"/>
      <c r="AA507" s="36"/>
      <c r="AB507" s="36"/>
      <c r="AC507" s="36"/>
      <c r="AD507" s="36"/>
      <c r="AE507" s="36"/>
      <c r="AF507" s="35"/>
      <c r="AG507" s="35"/>
      <c r="AH507" s="35"/>
      <c r="AI507" s="35"/>
      <c r="AJ507" s="35"/>
      <c r="AK507" s="35"/>
      <c r="AL507" s="35"/>
      <c r="AM507" s="35"/>
      <c r="AN507" s="35"/>
      <c r="AO507" s="35"/>
      <c r="AP507" s="36"/>
      <c r="AQ507" s="36"/>
      <c r="AR507" s="36"/>
      <c r="AS507" s="36"/>
      <c r="AT507" s="36"/>
      <c r="AU507" s="36"/>
      <c r="AV507" s="36"/>
      <c r="AW507" s="36"/>
      <c r="AX507" s="36"/>
      <c r="AY507" s="36"/>
      <c r="AZ507" s="36"/>
      <c r="BA507" s="36"/>
      <c r="BB507" s="36"/>
      <c r="BC507" s="36"/>
      <c r="BD507" s="36"/>
      <c r="BE507" s="36"/>
      <c r="BF507" s="36"/>
      <c r="BG507" s="36"/>
      <c r="BH507" s="36"/>
      <c r="BI507" s="36"/>
      <c r="BJ507" s="36"/>
      <c r="BK507" s="36"/>
      <c r="BL507" s="36"/>
      <c r="BM507" s="36"/>
      <c r="BN507" s="36"/>
      <c r="BO507" s="36"/>
      <c r="BP507" s="36"/>
      <c r="BQ507" s="36"/>
      <c r="BR507" s="36"/>
      <c r="BS507" s="36"/>
      <c r="BT507" s="36"/>
      <c r="BU507" s="36"/>
      <c r="BV507" s="36"/>
      <c r="BW507" s="36"/>
      <c r="BX507" s="36"/>
      <c r="BY507" s="36"/>
      <c r="BZ507" s="36"/>
      <c r="CA507" s="36"/>
      <c r="CB507" s="36"/>
      <c r="CC507" s="36"/>
      <c r="CD507" s="36"/>
      <c r="CE507" s="36"/>
      <c r="CF507" s="36"/>
      <c r="CG507" s="36"/>
      <c r="CH507" s="36"/>
      <c r="CI507" s="36"/>
      <c r="CJ507" s="36"/>
      <c r="CK507" s="36"/>
      <c r="CL507" s="36"/>
      <c r="CM507" s="36"/>
      <c r="CN507" s="36"/>
      <c r="CO507" s="36"/>
      <c r="CP507" s="36"/>
      <c r="CQ507" s="36"/>
      <c r="CR507" s="36"/>
      <c r="CS507" s="36"/>
      <c r="CT507" s="36"/>
      <c r="CU507" s="36"/>
      <c r="CV507" s="36"/>
      <c r="CW507" s="36"/>
      <c r="CX507" s="36"/>
      <c r="CY507" s="36"/>
      <c r="CZ507" s="36"/>
      <c r="DA507" s="36"/>
      <c r="DB507" s="36"/>
      <c r="DC507" s="36"/>
      <c r="DD507" s="36"/>
      <c r="DE507" s="36"/>
      <c r="DF507" s="36"/>
      <c r="DG507" s="36"/>
      <c r="DH507" s="36"/>
      <c r="DI507" s="36"/>
      <c r="DJ507" s="36"/>
      <c r="DK507" s="36"/>
      <c r="DL507" s="36"/>
      <c r="DM507" s="36"/>
      <c r="DN507" s="36"/>
      <c r="DO507" s="36"/>
      <c r="DP507" s="36"/>
      <c r="DQ507" s="36"/>
      <c r="DR507" s="36"/>
      <c r="DS507" s="36"/>
      <c r="DT507" s="36"/>
      <c r="DU507" s="36"/>
      <c r="DV507" s="36"/>
      <c r="DW507" s="36"/>
      <c r="DX507" s="36"/>
      <c r="DY507" s="36"/>
      <c r="DZ507" s="36"/>
      <c r="EA507" s="36"/>
      <c r="EB507" s="36"/>
      <c r="EC507" s="36"/>
      <c r="ED507" s="36"/>
      <c r="EE507" s="36"/>
      <c r="EF507" s="36"/>
      <c r="EG507" s="36"/>
      <c r="EH507" s="36"/>
      <c r="EI507" s="36"/>
      <c r="EJ507" s="36"/>
      <c r="EK507" s="36"/>
      <c r="EL507" s="36"/>
      <c r="EM507" s="36"/>
      <c r="EN507" s="36"/>
      <c r="EO507" s="36"/>
      <c r="EP507" s="36"/>
      <c r="EQ507" s="36"/>
      <c r="ER507" s="36"/>
      <c r="ES507" s="36"/>
      <c r="ET507" s="36"/>
      <c r="EU507" s="36"/>
      <c r="EV507" s="36"/>
      <c r="EW507" s="36"/>
      <c r="EX507" s="36"/>
      <c r="EY507" s="36"/>
      <c r="EZ507" s="36"/>
      <c r="FA507" s="36"/>
      <c r="FB507" s="36"/>
      <c r="FC507" s="36"/>
      <c r="FD507" s="36"/>
      <c r="FE507" s="36"/>
      <c r="FF507" s="36"/>
      <c r="FG507" s="36"/>
      <c r="FH507" s="36"/>
      <c r="FI507" s="36"/>
      <c r="FJ507" s="36"/>
      <c r="FK507" s="36"/>
      <c r="FL507" s="36"/>
      <c r="FM507" s="36"/>
      <c r="FN507" s="36"/>
      <c r="FO507" s="36"/>
      <c r="FP507" s="36"/>
      <c r="FQ507" s="36"/>
      <c r="FR507" s="36"/>
      <c r="FS507" s="36"/>
      <c r="FT507" s="36"/>
      <c r="FU507" s="36"/>
      <c r="FV507" s="36"/>
      <c r="FW507" s="36"/>
      <c r="FX507" s="36"/>
      <c r="FY507" s="36"/>
      <c r="FZ507" s="36"/>
      <c r="GA507" s="36"/>
      <c r="GB507" s="319"/>
      <c r="GC507" s="324"/>
      <c r="GD507" s="324"/>
      <c r="GE507" s="324"/>
      <c r="GF507" s="324"/>
      <c r="GG507" s="324">
        <v>-1</v>
      </c>
    </row>
    <row r="508" spans="1:189" x14ac:dyDescent="0.35">
      <c r="GC508" s="73"/>
      <c r="GD508" s="73"/>
      <c r="GE508" s="73"/>
      <c r="GF508" s="73"/>
      <c r="GG508" s="73"/>
    </row>
  </sheetData>
  <autoFilter ref="A3:MD507" xr:uid="{00000000-0001-0000-0400-000000000000}"/>
  <mergeCells count="2">
    <mergeCell ref="A2:F2"/>
    <mergeCell ref="G2:O2"/>
  </mergeCells>
  <phoneticPr fontId="26" type="noConversion"/>
  <pageMargins left="0.7" right="0.7" top="0.75" bottom="0.75" header="0.3" footer="0.3"/>
  <pageSetup orientation="portrait" horizontalDpi="1200" verticalDpi="1200" r:id="rId1"/>
  <legacy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4">
    <tabColor rgb="FF0070C0"/>
  </sheetPr>
  <dimension ref="A1:AZ26"/>
  <sheetViews>
    <sheetView topLeftCell="AA1" zoomScale="85" zoomScaleNormal="85" workbookViewId="0">
      <selection activeCell="A10" sqref="A10:XFD10"/>
    </sheetView>
  </sheetViews>
  <sheetFormatPr defaultColWidth="15.453125" defaultRowHeight="14.5" x14ac:dyDescent="0.35"/>
  <cols>
    <col min="1" max="1" width="11.54296875" style="1" bestFit="1" customWidth="1"/>
    <col min="2" max="2" width="11.54296875" style="1" customWidth="1"/>
    <col min="3" max="3" width="14.453125" style="1" bestFit="1" customWidth="1"/>
    <col min="4" max="4" width="14.90625" style="1" bestFit="1" customWidth="1"/>
    <col min="5" max="5" width="12.08984375" style="1" bestFit="1" customWidth="1"/>
    <col min="6" max="6" width="40" style="1" bestFit="1" customWidth="1"/>
    <col min="7" max="7" width="7" style="1" bestFit="1" customWidth="1"/>
    <col min="8" max="14" width="12.08984375" style="1" bestFit="1" customWidth="1"/>
    <col min="15" max="15" width="18" style="1" bestFit="1" customWidth="1"/>
    <col min="16" max="22" width="12.08984375" style="1" bestFit="1" customWidth="1"/>
    <col min="23" max="23" width="6.453125" style="1" customWidth="1"/>
    <col min="24" max="24" width="12.90625" style="1" bestFit="1" customWidth="1"/>
    <col min="25" max="25" width="15.08984375" style="1" bestFit="1" customWidth="1"/>
    <col min="26" max="26" width="18" style="1" bestFit="1" customWidth="1"/>
    <col min="27" max="27" width="14.90625" style="1" customWidth="1"/>
    <col min="28" max="28" width="21.90625" style="1" bestFit="1" customWidth="1"/>
    <col min="29" max="29" width="18.90625" style="1" customWidth="1"/>
    <col min="30" max="30" width="15.54296875" style="1" customWidth="1"/>
    <col min="31" max="31" width="9" style="1" bestFit="1" customWidth="1"/>
    <col min="32" max="37" width="6.08984375" style="1" bestFit="1" customWidth="1"/>
    <col min="38" max="38" width="7.453125" style="1" bestFit="1" customWidth="1"/>
    <col min="39" max="44" width="6.08984375" style="1" bestFit="1" customWidth="1"/>
    <col min="45" max="51" width="9" style="1" bestFit="1" customWidth="1"/>
    <col min="52" max="52" width="13.453125" style="1" bestFit="1" customWidth="1"/>
    <col min="53" max="16384" width="15.453125" style="1"/>
  </cols>
  <sheetData>
    <row r="1" spans="1:52" x14ac:dyDescent="0.35">
      <c r="A1" s="68"/>
      <c r="B1" s="68"/>
      <c r="C1" s="68"/>
      <c r="D1" s="2"/>
      <c r="E1" s="2"/>
      <c r="F1" s="45"/>
      <c r="G1" s="45"/>
      <c r="H1" s="2"/>
      <c r="I1" s="2"/>
      <c r="J1" s="2"/>
      <c r="K1" s="2"/>
      <c r="L1" s="2"/>
      <c r="M1" s="2"/>
      <c r="N1" s="2"/>
      <c r="O1" s="2"/>
      <c r="P1" s="2"/>
      <c r="Q1" s="2"/>
      <c r="R1" s="2"/>
      <c r="S1" s="2"/>
      <c r="T1" s="2"/>
      <c r="U1" s="2"/>
      <c r="V1" s="2"/>
      <c r="W1" s="2"/>
      <c r="X1" s="2"/>
      <c r="Y1" s="2"/>
      <c r="Z1" s="2"/>
      <c r="AA1" s="2"/>
      <c r="AB1" s="2"/>
      <c r="AC1" s="2"/>
      <c r="AD1" s="2"/>
      <c r="AE1" s="2"/>
      <c r="AF1" s="2"/>
      <c r="AG1" s="2"/>
      <c r="AH1" s="2"/>
      <c r="AI1" s="2"/>
      <c r="AJ1" s="2"/>
      <c r="AK1" s="2"/>
      <c r="AL1" s="2"/>
      <c r="AM1" s="2"/>
      <c r="AN1" s="2"/>
      <c r="AO1" s="2"/>
      <c r="AP1" s="2"/>
      <c r="AQ1" s="2"/>
      <c r="AR1" s="2"/>
      <c r="AS1" s="2"/>
      <c r="AT1" s="2"/>
      <c r="AU1" s="2"/>
      <c r="AV1" s="2"/>
      <c r="AW1" s="2"/>
      <c r="AX1" s="2"/>
      <c r="AY1" s="2"/>
      <c r="AZ1" s="2"/>
    </row>
    <row r="2" spans="1:52" x14ac:dyDescent="0.35">
      <c r="A2" s="423" t="s">
        <v>556</v>
      </c>
      <c r="B2" s="423"/>
      <c r="C2" s="423"/>
      <c r="D2" s="423"/>
      <c r="E2" s="423"/>
      <c r="F2" s="423"/>
      <c r="G2" s="110"/>
      <c r="H2" s="421" t="s">
        <v>557</v>
      </c>
      <c r="I2" s="421"/>
      <c r="J2" s="421"/>
      <c r="K2" s="421"/>
      <c r="L2" s="421"/>
      <c r="M2" s="421"/>
      <c r="N2" s="421"/>
      <c r="O2" s="421"/>
      <c r="P2" s="421"/>
      <c r="Q2" s="421"/>
      <c r="R2" s="421"/>
      <c r="S2" s="421"/>
      <c r="T2" s="421"/>
      <c r="U2" s="421"/>
      <c r="V2" s="421"/>
      <c r="W2" s="421"/>
      <c r="X2" s="421"/>
      <c r="Y2" s="421"/>
      <c r="Z2" s="426" t="s">
        <v>1831</v>
      </c>
      <c r="AA2" s="426"/>
      <c r="AB2" s="426"/>
      <c r="AC2" s="69"/>
      <c r="AD2" s="69"/>
      <c r="AE2" s="69" t="s">
        <v>1832</v>
      </c>
      <c r="AF2" s="421" t="s">
        <v>1833</v>
      </c>
      <c r="AG2" s="421"/>
      <c r="AH2" s="421"/>
      <c r="AI2" s="421"/>
      <c r="AJ2" s="421"/>
      <c r="AK2" s="421"/>
      <c r="AL2" s="420" t="s">
        <v>565</v>
      </c>
      <c r="AM2" s="420"/>
      <c r="AN2" s="420"/>
      <c r="AO2" s="420"/>
      <c r="AP2" s="420"/>
      <c r="AQ2" s="420"/>
      <c r="AR2" s="420"/>
      <c r="AS2" s="422" t="s">
        <v>566</v>
      </c>
      <c r="AT2" s="422"/>
      <c r="AU2" s="422"/>
      <c r="AV2" s="422"/>
      <c r="AW2" s="422"/>
      <c r="AX2" s="422"/>
      <c r="AY2" s="422"/>
      <c r="AZ2" s="77" t="s">
        <v>17</v>
      </c>
    </row>
    <row r="3" spans="1:52" ht="30" customHeight="1" x14ac:dyDescent="0.35">
      <c r="A3" s="8" t="s">
        <v>572</v>
      </c>
      <c r="B3" s="8" t="s">
        <v>573</v>
      </c>
      <c r="C3" s="8" t="s">
        <v>574</v>
      </c>
      <c r="D3" s="8" t="s">
        <v>575</v>
      </c>
      <c r="E3" s="8" t="s">
        <v>576</v>
      </c>
      <c r="F3" s="46" t="s">
        <v>578</v>
      </c>
      <c r="G3" s="46" t="s">
        <v>579</v>
      </c>
      <c r="H3" s="3" t="s">
        <v>580</v>
      </c>
      <c r="I3" s="3" t="s">
        <v>580</v>
      </c>
      <c r="J3" s="3" t="s">
        <v>580</v>
      </c>
      <c r="K3" s="3" t="s">
        <v>580</v>
      </c>
      <c r="L3" s="3" t="s">
        <v>580</v>
      </c>
      <c r="M3" s="3" t="s">
        <v>580</v>
      </c>
      <c r="N3" s="3" t="s">
        <v>580</v>
      </c>
      <c r="O3" s="3" t="s">
        <v>1834</v>
      </c>
      <c r="P3" s="3" t="s">
        <v>582</v>
      </c>
      <c r="Q3" s="3" t="s">
        <v>582</v>
      </c>
      <c r="R3" s="3" t="s">
        <v>582</v>
      </c>
      <c r="S3" s="3" t="s">
        <v>582</v>
      </c>
      <c r="T3" s="3" t="s">
        <v>582</v>
      </c>
      <c r="U3" s="3" t="s">
        <v>582</v>
      </c>
      <c r="V3" s="3" t="s">
        <v>582</v>
      </c>
      <c r="W3" s="3" t="s">
        <v>584</v>
      </c>
      <c r="X3" s="3" t="s">
        <v>586</v>
      </c>
      <c r="Y3" s="3" t="s">
        <v>587</v>
      </c>
      <c r="Z3" s="15" t="s">
        <v>588</v>
      </c>
      <c r="AA3" s="15" t="s">
        <v>1835</v>
      </c>
      <c r="AB3" s="15" t="s">
        <v>1836</v>
      </c>
      <c r="AC3" s="429" t="s">
        <v>616</v>
      </c>
      <c r="AD3" s="428" t="s">
        <v>617</v>
      </c>
      <c r="AE3" s="70">
        <f>Parameters!$B$13</f>
        <v>2022</v>
      </c>
      <c r="AF3" s="71">
        <v>2025</v>
      </c>
      <c r="AG3" s="71">
        <v>2030</v>
      </c>
      <c r="AH3" s="71">
        <v>2035</v>
      </c>
      <c r="AI3" s="71">
        <v>2040</v>
      </c>
      <c r="AJ3" s="71">
        <v>2045</v>
      </c>
      <c r="AK3" s="71">
        <v>2050</v>
      </c>
      <c r="AL3" s="20">
        <f>Parameters!$B$13</f>
        <v>2022</v>
      </c>
      <c r="AM3" s="20">
        <v>2025</v>
      </c>
      <c r="AN3" s="20">
        <v>2030</v>
      </c>
      <c r="AO3" s="20">
        <v>2035</v>
      </c>
      <c r="AP3" s="20">
        <v>2040</v>
      </c>
      <c r="AQ3" s="20">
        <v>2045</v>
      </c>
      <c r="AR3" s="20">
        <v>2050</v>
      </c>
      <c r="AS3" s="21">
        <f>Parameters!$B$13</f>
        <v>2022</v>
      </c>
      <c r="AT3" s="21">
        <v>2025</v>
      </c>
      <c r="AU3" s="21">
        <v>2030</v>
      </c>
      <c r="AV3" s="21">
        <v>2035</v>
      </c>
      <c r="AW3" s="21">
        <v>2040</v>
      </c>
      <c r="AX3" s="21">
        <v>2045</v>
      </c>
      <c r="AY3" s="21">
        <v>2050</v>
      </c>
      <c r="AZ3" s="85"/>
    </row>
    <row r="4" spans="1:52" x14ac:dyDescent="0.35">
      <c r="A4" s="8"/>
      <c r="B4" s="8"/>
      <c r="C4" s="8"/>
      <c r="D4" s="8"/>
      <c r="E4" s="8"/>
      <c r="F4" s="46"/>
      <c r="G4" s="46"/>
      <c r="H4" s="3">
        <f>Parameters!$B$13</f>
        <v>2022</v>
      </c>
      <c r="I4" s="3">
        <v>2025</v>
      </c>
      <c r="J4" s="3">
        <v>2030</v>
      </c>
      <c r="K4" s="3">
        <v>2035</v>
      </c>
      <c r="L4" s="3">
        <v>2040</v>
      </c>
      <c r="M4" s="3">
        <v>2045</v>
      </c>
      <c r="N4" s="3">
        <v>2050</v>
      </c>
      <c r="O4" s="3" t="s">
        <v>1837</v>
      </c>
      <c r="P4" s="3">
        <f>Parameters!$B$13</f>
        <v>2022</v>
      </c>
      <c r="Q4" s="3">
        <v>2025</v>
      </c>
      <c r="R4" s="3">
        <v>2030</v>
      </c>
      <c r="S4" s="3">
        <v>2035</v>
      </c>
      <c r="T4" s="3">
        <v>2040</v>
      </c>
      <c r="U4" s="3">
        <v>2045</v>
      </c>
      <c r="V4" s="3">
        <v>2050</v>
      </c>
      <c r="W4" s="3"/>
      <c r="X4" s="3"/>
      <c r="Y4" s="3"/>
      <c r="Z4" s="15"/>
      <c r="AA4" s="15"/>
      <c r="AB4" s="15"/>
      <c r="AC4" s="429"/>
      <c r="AD4" s="428"/>
      <c r="AE4" s="70"/>
      <c r="AF4" s="71"/>
      <c r="AG4" s="71"/>
      <c r="AH4" s="71"/>
      <c r="AI4" s="71"/>
      <c r="AJ4" s="71"/>
      <c r="AK4" s="71"/>
      <c r="AL4" s="20"/>
      <c r="AM4" s="20"/>
      <c r="AN4" s="20"/>
      <c r="AO4" s="20"/>
      <c r="AP4" s="20"/>
      <c r="AQ4" s="20"/>
      <c r="AR4" s="20"/>
      <c r="AS4" s="21"/>
      <c r="AT4" s="21"/>
      <c r="AU4" s="21"/>
      <c r="AV4" s="21"/>
      <c r="AW4" s="21"/>
      <c r="AX4" s="21"/>
      <c r="AY4" s="21"/>
      <c r="AZ4" s="85"/>
    </row>
    <row r="5" spans="1:52" x14ac:dyDescent="0.35">
      <c r="A5" s="8"/>
      <c r="B5" s="8"/>
      <c r="C5" s="8"/>
      <c r="D5" s="8"/>
      <c r="E5" s="8"/>
      <c r="F5" s="46"/>
      <c r="G5" s="46"/>
      <c r="H5" s="3" t="s">
        <v>637</v>
      </c>
      <c r="I5" s="3" t="s">
        <v>637</v>
      </c>
      <c r="J5" s="3" t="s">
        <v>637</v>
      </c>
      <c r="K5" s="3" t="s">
        <v>637</v>
      </c>
      <c r="L5" s="3" t="s">
        <v>637</v>
      </c>
      <c r="M5" s="3" t="s">
        <v>637</v>
      </c>
      <c r="N5" s="3" t="s">
        <v>637</v>
      </c>
      <c r="O5" s="3" t="s">
        <v>315</v>
      </c>
      <c r="P5" s="3" t="s">
        <v>638</v>
      </c>
      <c r="Q5" s="3" t="s">
        <v>638</v>
      </c>
      <c r="R5" s="3" t="s">
        <v>638</v>
      </c>
      <c r="S5" s="3" t="s">
        <v>638</v>
      </c>
      <c r="T5" s="3" t="s">
        <v>638</v>
      </c>
      <c r="U5" s="3" t="s">
        <v>638</v>
      </c>
      <c r="V5" s="3" t="s">
        <v>638</v>
      </c>
      <c r="W5" s="3" t="s">
        <v>640</v>
      </c>
      <c r="X5" s="3" t="s">
        <v>641</v>
      </c>
      <c r="Y5" s="3" t="s">
        <v>642</v>
      </c>
      <c r="Z5" s="15" t="s">
        <v>1838</v>
      </c>
      <c r="AA5" s="15" t="s">
        <v>645</v>
      </c>
      <c r="AB5" s="15" t="s">
        <v>644</v>
      </c>
      <c r="AC5" s="70" t="s">
        <v>313</v>
      </c>
      <c r="AD5" s="70" t="s">
        <v>650</v>
      </c>
      <c r="AE5" s="70"/>
      <c r="AF5" s="124">
        <v>1</v>
      </c>
      <c r="AG5" s="124">
        <v>2</v>
      </c>
      <c r="AH5" s="124">
        <v>3</v>
      </c>
      <c r="AI5" s="124">
        <v>4</v>
      </c>
      <c r="AJ5" s="124">
        <v>5</v>
      </c>
      <c r="AK5" s="124">
        <v>6</v>
      </c>
      <c r="AL5" s="20"/>
      <c r="AM5" s="20"/>
      <c r="AN5" s="20"/>
      <c r="AO5" s="20"/>
      <c r="AP5" s="20"/>
      <c r="AQ5" s="20"/>
      <c r="AR5" s="20"/>
      <c r="AS5" s="21"/>
      <c r="AT5" s="21"/>
      <c r="AU5" s="21"/>
      <c r="AV5" s="21"/>
      <c r="AW5" s="21"/>
      <c r="AX5" s="21"/>
      <c r="AY5" s="21"/>
      <c r="AZ5" s="78" t="s">
        <v>26</v>
      </c>
    </row>
    <row r="6" spans="1:52" x14ac:dyDescent="0.35">
      <c r="A6" s="5" t="s">
        <v>1839</v>
      </c>
      <c r="B6" s="5" t="s">
        <v>1243</v>
      </c>
      <c r="C6" s="5" t="s">
        <v>1840</v>
      </c>
      <c r="D6" s="5" t="s">
        <v>1561</v>
      </c>
      <c r="E6" s="5" t="s">
        <v>1561</v>
      </c>
      <c r="F6" s="47" t="s">
        <v>1841</v>
      </c>
      <c r="G6" s="47" t="s">
        <v>981</v>
      </c>
      <c r="H6" s="18">
        <v>60.3</v>
      </c>
      <c r="I6" s="18">
        <v>60.3</v>
      </c>
      <c r="J6" s="18">
        <v>60.3</v>
      </c>
      <c r="K6" s="18">
        <v>60.3</v>
      </c>
      <c r="L6" s="18">
        <v>60.3</v>
      </c>
      <c r="M6" s="18">
        <v>60.3</v>
      </c>
      <c r="N6" s="18">
        <v>60.3</v>
      </c>
      <c r="O6" s="18">
        <v>0.9</v>
      </c>
      <c r="P6" s="18">
        <v>1.51</v>
      </c>
      <c r="Q6" s="18">
        <v>1.51</v>
      </c>
      <c r="R6" s="18">
        <v>1.51</v>
      </c>
      <c r="S6" s="18">
        <v>1.51</v>
      </c>
      <c r="T6" s="18">
        <v>1.51</v>
      </c>
      <c r="U6" s="18">
        <v>1.51</v>
      </c>
      <c r="V6" s="18">
        <v>1.51</v>
      </c>
      <c r="W6" s="18">
        <v>0.05</v>
      </c>
      <c r="X6" s="18">
        <v>50</v>
      </c>
      <c r="Y6" s="18">
        <v>50</v>
      </c>
      <c r="Z6" s="126">
        <f>3.6/1000*24</f>
        <v>8.6400000000000005E-2</v>
      </c>
      <c r="AA6" s="16" t="s">
        <v>667</v>
      </c>
      <c r="AB6" s="23" t="s">
        <v>491</v>
      </c>
      <c r="AC6" s="136">
        <f t="shared" ref="AC6:AC13" si="0">IF(Y6=1,0,1)</f>
        <v>1</v>
      </c>
      <c r="AD6" s="122"/>
      <c r="AE6" s="138">
        <v>170</v>
      </c>
      <c r="AF6" s="93">
        <f t="shared" ref="AF6:AK13" si="1">IF($Y6/5&lt;AF$5,0,$AE6*5/$Y6)</f>
        <v>17</v>
      </c>
      <c r="AG6" s="93">
        <f t="shared" si="1"/>
        <v>17</v>
      </c>
      <c r="AH6" s="93">
        <f t="shared" si="1"/>
        <v>17</v>
      </c>
      <c r="AI6" s="93">
        <f t="shared" si="1"/>
        <v>17</v>
      </c>
      <c r="AJ6" s="93">
        <f t="shared" si="1"/>
        <v>17</v>
      </c>
      <c r="AK6" s="93">
        <f t="shared" si="1"/>
        <v>17</v>
      </c>
      <c r="AL6" s="96">
        <v>170</v>
      </c>
      <c r="AM6" s="96"/>
      <c r="AN6" s="96"/>
      <c r="AO6" s="96"/>
      <c r="AP6" s="96"/>
      <c r="AQ6" s="96"/>
      <c r="AR6" s="96"/>
      <c r="AS6" s="97">
        <v>200</v>
      </c>
      <c r="AT6" s="97">
        <v>200</v>
      </c>
      <c r="AU6" s="97">
        <v>200</v>
      </c>
      <c r="AV6" s="97">
        <v>200</v>
      </c>
      <c r="AW6" s="97">
        <v>200</v>
      </c>
      <c r="AX6" s="97">
        <v>200</v>
      </c>
      <c r="AY6" s="97">
        <v>200</v>
      </c>
      <c r="AZ6" s="79" t="s">
        <v>1842</v>
      </c>
    </row>
    <row r="7" spans="1:52" x14ac:dyDescent="0.35">
      <c r="A7" s="5" t="s">
        <v>1843</v>
      </c>
      <c r="B7" s="5" t="s">
        <v>1243</v>
      </c>
      <c r="C7" s="5" t="s">
        <v>1840</v>
      </c>
      <c r="D7" s="5" t="s">
        <v>1561</v>
      </c>
      <c r="E7" s="5" t="s">
        <v>1561</v>
      </c>
      <c r="F7" s="47" t="s">
        <v>1844</v>
      </c>
      <c r="G7" s="47" t="s">
        <v>981</v>
      </c>
      <c r="H7" s="18">
        <v>494.46</v>
      </c>
      <c r="I7" s="18">
        <v>494.46</v>
      </c>
      <c r="J7" s="18">
        <v>494.46</v>
      </c>
      <c r="K7" s="18">
        <v>494.46</v>
      </c>
      <c r="L7" s="18">
        <v>494.46</v>
      </c>
      <c r="M7" s="18">
        <v>494.46</v>
      </c>
      <c r="N7" s="18">
        <v>494.46</v>
      </c>
      <c r="O7" s="18">
        <v>0.9</v>
      </c>
      <c r="P7" s="18">
        <v>12.36</v>
      </c>
      <c r="Q7" s="18">
        <v>12.36</v>
      </c>
      <c r="R7" s="18">
        <v>12.36</v>
      </c>
      <c r="S7" s="18">
        <v>12.36</v>
      </c>
      <c r="T7" s="18">
        <v>12.36</v>
      </c>
      <c r="U7" s="18">
        <v>12.36</v>
      </c>
      <c r="V7" s="18">
        <v>12.36</v>
      </c>
      <c r="W7" s="18">
        <v>0.05</v>
      </c>
      <c r="X7" s="18">
        <v>50</v>
      </c>
      <c r="Y7" s="18">
        <v>50</v>
      </c>
      <c r="Z7" s="126">
        <f>3.6/1000*24</f>
        <v>8.6400000000000005E-2</v>
      </c>
      <c r="AA7" s="16" t="s">
        <v>667</v>
      </c>
      <c r="AB7" s="23" t="s">
        <v>494</v>
      </c>
      <c r="AC7" s="136">
        <f t="shared" si="0"/>
        <v>1</v>
      </c>
      <c r="AD7" s="122"/>
      <c r="AE7" s="138">
        <v>54</v>
      </c>
      <c r="AF7" s="93">
        <f t="shared" si="1"/>
        <v>5.4</v>
      </c>
      <c r="AG7" s="93">
        <f t="shared" si="1"/>
        <v>5.4</v>
      </c>
      <c r="AH7" s="93">
        <f t="shared" si="1"/>
        <v>5.4</v>
      </c>
      <c r="AI7" s="93">
        <f t="shared" si="1"/>
        <v>5.4</v>
      </c>
      <c r="AJ7" s="93">
        <f t="shared" si="1"/>
        <v>5.4</v>
      </c>
      <c r="AK7" s="93">
        <f t="shared" si="1"/>
        <v>5.4</v>
      </c>
      <c r="AL7" s="96">
        <v>54</v>
      </c>
      <c r="AM7" s="96"/>
      <c r="AN7" s="96"/>
      <c r="AO7" s="96"/>
      <c r="AP7" s="96"/>
      <c r="AQ7" s="96"/>
      <c r="AR7" s="96"/>
      <c r="AS7" s="97">
        <v>150</v>
      </c>
      <c r="AT7" s="97">
        <v>150</v>
      </c>
      <c r="AU7" s="97">
        <v>150</v>
      </c>
      <c r="AV7" s="97">
        <v>150</v>
      </c>
      <c r="AW7" s="97">
        <v>150</v>
      </c>
      <c r="AX7" s="97">
        <v>150</v>
      </c>
      <c r="AY7" s="97">
        <v>150</v>
      </c>
      <c r="AZ7" s="79" t="s">
        <v>1845</v>
      </c>
    </row>
    <row r="8" spans="1:52" x14ac:dyDescent="0.35">
      <c r="A8" s="6" t="s">
        <v>1846</v>
      </c>
      <c r="B8" s="6" t="s">
        <v>1243</v>
      </c>
      <c r="C8" s="6" t="s">
        <v>1840</v>
      </c>
      <c r="D8" s="6" t="s">
        <v>497</v>
      </c>
      <c r="E8" s="6" t="s">
        <v>497</v>
      </c>
      <c r="F8" s="48" t="s">
        <v>1847</v>
      </c>
      <c r="G8" s="48" t="s">
        <v>981</v>
      </c>
      <c r="H8" s="19">
        <v>90.45</v>
      </c>
      <c r="I8" s="19">
        <v>90.45</v>
      </c>
      <c r="J8" s="19">
        <v>90.45</v>
      </c>
      <c r="K8" s="19">
        <v>90.45</v>
      </c>
      <c r="L8" s="19">
        <v>90.45</v>
      </c>
      <c r="M8" s="19">
        <v>90.45</v>
      </c>
      <c r="N8" s="19">
        <v>90.45</v>
      </c>
      <c r="O8" s="19">
        <v>0.9</v>
      </c>
      <c r="P8" s="19">
        <v>2.2599999999999998</v>
      </c>
      <c r="Q8" s="19">
        <v>2.2599999999999998</v>
      </c>
      <c r="R8" s="19">
        <v>2.2599999999999998</v>
      </c>
      <c r="S8" s="19">
        <v>2.2599999999999998</v>
      </c>
      <c r="T8" s="19">
        <v>2.2599999999999998</v>
      </c>
      <c r="U8" s="19">
        <v>2.2599999999999998</v>
      </c>
      <c r="V8" s="19">
        <v>2.2599999999999998</v>
      </c>
      <c r="W8" s="19">
        <v>0.05</v>
      </c>
      <c r="X8" s="19">
        <v>50</v>
      </c>
      <c r="Y8" s="19">
        <v>50</v>
      </c>
      <c r="Z8" s="127">
        <f>3.6/1000*24</f>
        <v>8.6400000000000005E-2</v>
      </c>
      <c r="AA8" s="17" t="s">
        <v>667</v>
      </c>
      <c r="AB8" s="22" t="s">
        <v>496</v>
      </c>
      <c r="AC8" s="137">
        <f t="shared" si="0"/>
        <v>1</v>
      </c>
      <c r="AD8" s="123"/>
      <c r="AE8" s="139">
        <v>0</v>
      </c>
      <c r="AF8" s="94">
        <f t="shared" si="1"/>
        <v>0</v>
      </c>
      <c r="AG8" s="94">
        <f t="shared" si="1"/>
        <v>0</v>
      </c>
      <c r="AH8" s="94">
        <f t="shared" si="1"/>
        <v>0</v>
      </c>
      <c r="AI8" s="94">
        <f t="shared" si="1"/>
        <v>0</v>
      </c>
      <c r="AJ8" s="94">
        <f t="shared" si="1"/>
        <v>0</v>
      </c>
      <c r="AK8" s="94">
        <f t="shared" si="1"/>
        <v>0</v>
      </c>
      <c r="AL8" s="98">
        <v>0</v>
      </c>
      <c r="AM8" s="98"/>
      <c r="AN8" s="98"/>
      <c r="AO8" s="98"/>
      <c r="AP8" s="98"/>
      <c r="AQ8" s="98"/>
      <c r="AR8" s="98"/>
      <c r="AS8" s="185">
        <v>1</v>
      </c>
      <c r="AT8" s="99">
        <v>1</v>
      </c>
      <c r="AU8" s="99">
        <v>100</v>
      </c>
      <c r="AV8" s="99">
        <v>100</v>
      </c>
      <c r="AW8" s="99">
        <v>100</v>
      </c>
      <c r="AX8" s="99">
        <v>100</v>
      </c>
      <c r="AY8" s="99">
        <v>100</v>
      </c>
      <c r="AZ8" s="80" t="s">
        <v>1845</v>
      </c>
    </row>
    <row r="9" spans="1:52" x14ac:dyDescent="0.35">
      <c r="A9" s="5" t="s">
        <v>1848</v>
      </c>
      <c r="B9" s="5" t="s">
        <v>1243</v>
      </c>
      <c r="C9" s="5" t="s">
        <v>1840</v>
      </c>
      <c r="D9" s="5" t="s">
        <v>497</v>
      </c>
      <c r="E9" s="5" t="s">
        <v>497</v>
      </c>
      <c r="F9" s="47" t="s">
        <v>1849</v>
      </c>
      <c r="G9" s="47" t="s">
        <v>981</v>
      </c>
      <c r="H9" s="18">
        <v>741.68</v>
      </c>
      <c r="I9" s="18">
        <v>741.68</v>
      </c>
      <c r="J9" s="18">
        <v>741.68</v>
      </c>
      <c r="K9" s="18">
        <v>741.68</v>
      </c>
      <c r="L9" s="18">
        <v>741.68</v>
      </c>
      <c r="M9" s="18">
        <v>741.68</v>
      </c>
      <c r="N9" s="18">
        <v>741.68</v>
      </c>
      <c r="O9" s="18">
        <v>0.9</v>
      </c>
      <c r="P9" s="18">
        <v>18.54</v>
      </c>
      <c r="Q9" s="18">
        <v>18.54</v>
      </c>
      <c r="R9" s="18">
        <v>18.54</v>
      </c>
      <c r="S9" s="18">
        <v>18.54</v>
      </c>
      <c r="T9" s="18">
        <v>18.54</v>
      </c>
      <c r="U9" s="18">
        <v>18.54</v>
      </c>
      <c r="V9" s="18">
        <v>18.54</v>
      </c>
      <c r="W9" s="18">
        <v>0.05</v>
      </c>
      <c r="X9" s="18">
        <v>50</v>
      </c>
      <c r="Y9" s="18">
        <v>50</v>
      </c>
      <c r="Z9" s="126">
        <f>3.6/1000*24</f>
        <v>8.6400000000000005E-2</v>
      </c>
      <c r="AA9" s="16" t="s">
        <v>667</v>
      </c>
      <c r="AB9" s="23" t="s">
        <v>498</v>
      </c>
      <c r="AC9" s="136">
        <f t="shared" si="0"/>
        <v>1</v>
      </c>
      <c r="AD9" s="122"/>
      <c r="AE9" s="138">
        <v>0</v>
      </c>
      <c r="AF9" s="93">
        <f t="shared" si="1"/>
        <v>0</v>
      </c>
      <c r="AG9" s="93">
        <f t="shared" si="1"/>
        <v>0</v>
      </c>
      <c r="AH9" s="93">
        <f t="shared" si="1"/>
        <v>0</v>
      </c>
      <c r="AI9" s="93">
        <f t="shared" si="1"/>
        <v>0</v>
      </c>
      <c r="AJ9" s="93">
        <f t="shared" si="1"/>
        <v>0</v>
      </c>
      <c r="AK9" s="93">
        <f t="shared" si="1"/>
        <v>0</v>
      </c>
      <c r="AL9" s="96">
        <v>0</v>
      </c>
      <c r="AM9" s="96"/>
      <c r="AN9" s="96"/>
      <c r="AO9" s="96"/>
      <c r="AP9" s="96"/>
      <c r="AQ9" s="96"/>
      <c r="AR9" s="96"/>
      <c r="AS9" s="97">
        <v>0.5</v>
      </c>
      <c r="AT9" s="97">
        <v>1</v>
      </c>
      <c r="AU9" s="97">
        <v>100</v>
      </c>
      <c r="AV9" s="97">
        <v>100</v>
      </c>
      <c r="AW9" s="97">
        <v>100</v>
      </c>
      <c r="AX9" s="97">
        <v>100</v>
      </c>
      <c r="AY9" s="97">
        <v>100</v>
      </c>
      <c r="AZ9" s="79" t="s">
        <v>1845</v>
      </c>
    </row>
    <row r="10" spans="1:52" x14ac:dyDescent="0.35">
      <c r="A10" s="6" t="s">
        <v>1850</v>
      </c>
      <c r="B10" s="6" t="s">
        <v>1243</v>
      </c>
      <c r="C10" s="6" t="s">
        <v>1840</v>
      </c>
      <c r="D10" s="6" t="s">
        <v>1773</v>
      </c>
      <c r="E10" s="6" t="s">
        <v>1773</v>
      </c>
      <c r="F10" s="48" t="s">
        <v>1851</v>
      </c>
      <c r="G10" s="48" t="s">
        <v>1852</v>
      </c>
      <c r="H10" s="19">
        <v>1389</v>
      </c>
      <c r="I10" s="19">
        <v>1389</v>
      </c>
      <c r="J10" s="19">
        <v>1389</v>
      </c>
      <c r="K10" s="19">
        <v>1389</v>
      </c>
      <c r="L10" s="19">
        <v>1389</v>
      </c>
      <c r="M10" s="19">
        <v>1389</v>
      </c>
      <c r="N10" s="19">
        <v>1389</v>
      </c>
      <c r="O10" s="19">
        <v>0.9</v>
      </c>
      <c r="P10" s="19">
        <v>34.729999999999997</v>
      </c>
      <c r="Q10" s="19">
        <v>34.729999999999997</v>
      </c>
      <c r="R10" s="19">
        <v>34.729999999999997</v>
      </c>
      <c r="S10" s="19">
        <v>34.729999999999997</v>
      </c>
      <c r="T10" s="19">
        <v>34.729999999999997</v>
      </c>
      <c r="U10" s="19">
        <v>34.729999999999997</v>
      </c>
      <c r="V10" s="19">
        <v>34.729999999999997</v>
      </c>
      <c r="W10" s="19">
        <v>0.05</v>
      </c>
      <c r="X10" s="19">
        <v>40</v>
      </c>
      <c r="Y10" s="19">
        <v>40</v>
      </c>
      <c r="Z10" s="127">
        <f>13.9/365</f>
        <v>3.8082191780821915E-2</v>
      </c>
      <c r="AA10" s="17" t="s">
        <v>667</v>
      </c>
      <c r="AB10" s="22" t="s">
        <v>548</v>
      </c>
      <c r="AC10" s="137">
        <f t="shared" si="0"/>
        <v>1</v>
      </c>
      <c r="AD10" s="123"/>
      <c r="AE10" s="139">
        <v>0</v>
      </c>
      <c r="AF10" s="94">
        <f t="shared" si="1"/>
        <v>0</v>
      </c>
      <c r="AG10" s="94">
        <f t="shared" si="1"/>
        <v>0</v>
      </c>
      <c r="AH10" s="94">
        <f t="shared" si="1"/>
        <v>0</v>
      </c>
      <c r="AI10" s="94">
        <f t="shared" si="1"/>
        <v>0</v>
      </c>
      <c r="AJ10" s="94">
        <f t="shared" si="1"/>
        <v>0</v>
      </c>
      <c r="AK10" s="94">
        <f t="shared" si="1"/>
        <v>0</v>
      </c>
      <c r="AL10" s="98">
        <v>0</v>
      </c>
      <c r="AM10" s="98"/>
      <c r="AN10" s="98"/>
      <c r="AO10" s="98"/>
      <c r="AP10" s="98"/>
      <c r="AQ10" s="98"/>
      <c r="AR10" s="98"/>
      <c r="AS10" s="99">
        <v>0.5</v>
      </c>
      <c r="AT10" s="99">
        <v>1</v>
      </c>
      <c r="AU10" s="99">
        <v>10</v>
      </c>
      <c r="AV10" s="99">
        <v>10</v>
      </c>
      <c r="AW10" s="99">
        <v>10</v>
      </c>
      <c r="AX10" s="99">
        <v>10</v>
      </c>
      <c r="AY10" s="99">
        <v>10</v>
      </c>
      <c r="AZ10" s="80" t="s">
        <v>452</v>
      </c>
    </row>
    <row r="11" spans="1:52" x14ac:dyDescent="0.35">
      <c r="A11" s="5" t="s">
        <v>1853</v>
      </c>
      <c r="B11" s="5" t="s">
        <v>1243</v>
      </c>
      <c r="C11" s="5" t="s">
        <v>1840</v>
      </c>
      <c r="D11" s="5" t="s">
        <v>1247</v>
      </c>
      <c r="E11" s="5" t="s">
        <v>1854</v>
      </c>
      <c r="F11" s="47" t="s">
        <v>1855</v>
      </c>
      <c r="G11" s="47" t="s">
        <v>981</v>
      </c>
      <c r="H11" s="18">
        <v>379.6</v>
      </c>
      <c r="I11" s="18">
        <v>379.6</v>
      </c>
      <c r="J11" s="18">
        <v>379.6</v>
      </c>
      <c r="K11" s="18">
        <v>379.6</v>
      </c>
      <c r="L11" s="18">
        <v>379.6</v>
      </c>
      <c r="M11" s="18">
        <v>379.6</v>
      </c>
      <c r="N11" s="18">
        <v>379.6</v>
      </c>
      <c r="O11" s="18">
        <v>0.9</v>
      </c>
      <c r="P11" s="18">
        <v>9.49</v>
      </c>
      <c r="Q11" s="18">
        <v>9.49</v>
      </c>
      <c r="R11" s="18">
        <v>9.49</v>
      </c>
      <c r="S11" s="18">
        <v>9.49</v>
      </c>
      <c r="T11" s="18">
        <v>9.49</v>
      </c>
      <c r="U11" s="18">
        <v>9.49</v>
      </c>
      <c r="V11" s="18">
        <v>9.49</v>
      </c>
      <c r="W11" s="18">
        <v>0.05</v>
      </c>
      <c r="X11" s="18">
        <v>30</v>
      </c>
      <c r="Y11" s="18">
        <v>60</v>
      </c>
      <c r="Z11" s="126">
        <f>3.6/1000</f>
        <v>3.5999999999999999E-3</v>
      </c>
      <c r="AA11" s="16" t="s">
        <v>766</v>
      </c>
      <c r="AB11" s="23" t="s">
        <v>455</v>
      </c>
      <c r="AC11" s="136">
        <f t="shared" si="0"/>
        <v>1</v>
      </c>
      <c r="AD11" s="122"/>
      <c r="AE11" s="138">
        <v>25</v>
      </c>
      <c r="AF11" s="93">
        <f t="shared" si="1"/>
        <v>2.0833333333333335</v>
      </c>
      <c r="AG11" s="93">
        <f t="shared" si="1"/>
        <v>2.0833333333333335</v>
      </c>
      <c r="AH11" s="93">
        <f t="shared" si="1"/>
        <v>2.0833333333333335</v>
      </c>
      <c r="AI11" s="93">
        <f t="shared" si="1"/>
        <v>2.0833333333333335</v>
      </c>
      <c r="AJ11" s="93">
        <f t="shared" si="1"/>
        <v>2.0833333333333335</v>
      </c>
      <c r="AK11" s="93">
        <f t="shared" si="1"/>
        <v>2.0833333333333335</v>
      </c>
      <c r="AL11" s="96">
        <v>25</v>
      </c>
      <c r="AM11" s="96"/>
      <c r="AN11" s="96"/>
      <c r="AO11" s="96"/>
      <c r="AP11" s="96"/>
      <c r="AQ11" s="96"/>
      <c r="AR11" s="96"/>
      <c r="AS11" s="97">
        <v>200</v>
      </c>
      <c r="AT11" s="97">
        <v>200</v>
      </c>
      <c r="AU11" s="97">
        <v>200</v>
      </c>
      <c r="AV11" s="97">
        <v>200</v>
      </c>
      <c r="AW11" s="97">
        <v>200</v>
      </c>
      <c r="AX11" s="97">
        <v>200</v>
      </c>
      <c r="AY11" s="97">
        <v>200</v>
      </c>
      <c r="AZ11" s="79" t="s">
        <v>1845</v>
      </c>
    </row>
    <row r="12" spans="1:52" x14ac:dyDescent="0.35">
      <c r="A12" s="5" t="s">
        <v>1856</v>
      </c>
      <c r="B12" s="5" t="s">
        <v>1243</v>
      </c>
      <c r="C12" s="5" t="s">
        <v>1840</v>
      </c>
      <c r="D12" s="5" t="s">
        <v>1247</v>
      </c>
      <c r="E12" s="5" t="s">
        <v>1857</v>
      </c>
      <c r="F12" s="47" t="s">
        <v>1858</v>
      </c>
      <c r="G12" s="47" t="s">
        <v>981</v>
      </c>
      <c r="H12" s="18">
        <v>955.26</v>
      </c>
      <c r="I12" s="18">
        <v>955.26</v>
      </c>
      <c r="J12" s="18">
        <v>955.26</v>
      </c>
      <c r="K12" s="18">
        <v>955.26</v>
      </c>
      <c r="L12" s="18">
        <v>955.26</v>
      </c>
      <c r="M12" s="18">
        <v>955.26</v>
      </c>
      <c r="N12" s="18">
        <v>955.26</v>
      </c>
      <c r="O12" s="18">
        <v>0.9</v>
      </c>
      <c r="P12" s="18">
        <v>23.88</v>
      </c>
      <c r="Q12" s="18">
        <v>23.88</v>
      </c>
      <c r="R12" s="18">
        <v>23.88</v>
      </c>
      <c r="S12" s="18">
        <v>23.88</v>
      </c>
      <c r="T12" s="18">
        <v>23.88</v>
      </c>
      <c r="U12" s="18">
        <v>23.88</v>
      </c>
      <c r="V12" s="18">
        <v>23.88</v>
      </c>
      <c r="W12" s="18">
        <v>0.05</v>
      </c>
      <c r="X12" s="18">
        <v>30</v>
      </c>
      <c r="Y12" s="18">
        <v>60</v>
      </c>
      <c r="Z12" s="126">
        <f>3.6/1000</f>
        <v>3.5999999999999999E-3</v>
      </c>
      <c r="AA12" s="16" t="s">
        <v>766</v>
      </c>
      <c r="AB12" s="23" t="s">
        <v>456</v>
      </c>
      <c r="AC12" s="136">
        <f t="shared" si="0"/>
        <v>1</v>
      </c>
      <c r="AD12" s="122"/>
      <c r="AE12" s="138">
        <v>10</v>
      </c>
      <c r="AF12" s="93">
        <f t="shared" si="1"/>
        <v>0.83333333333333337</v>
      </c>
      <c r="AG12" s="93">
        <f t="shared" si="1"/>
        <v>0.83333333333333337</v>
      </c>
      <c r="AH12" s="93">
        <f t="shared" si="1"/>
        <v>0.83333333333333337</v>
      </c>
      <c r="AI12" s="93">
        <f t="shared" si="1"/>
        <v>0.83333333333333337</v>
      </c>
      <c r="AJ12" s="93">
        <f t="shared" si="1"/>
        <v>0.83333333333333337</v>
      </c>
      <c r="AK12" s="93">
        <f t="shared" si="1"/>
        <v>0.83333333333333337</v>
      </c>
      <c r="AL12" s="96">
        <v>10</v>
      </c>
      <c r="AM12" s="96"/>
      <c r="AN12" s="96"/>
      <c r="AO12" s="96"/>
      <c r="AP12" s="96"/>
      <c r="AQ12" s="96"/>
      <c r="AR12" s="96"/>
      <c r="AS12" s="97">
        <v>200</v>
      </c>
      <c r="AT12" s="97">
        <v>200</v>
      </c>
      <c r="AU12" s="97">
        <v>200</v>
      </c>
      <c r="AV12" s="97">
        <v>200</v>
      </c>
      <c r="AW12" s="97">
        <v>200</v>
      </c>
      <c r="AX12" s="97">
        <v>200</v>
      </c>
      <c r="AY12" s="97">
        <v>200</v>
      </c>
      <c r="AZ12" s="79" t="s">
        <v>1845</v>
      </c>
    </row>
    <row r="13" spans="1:52" x14ac:dyDescent="0.35">
      <c r="A13" s="6" t="s">
        <v>1859</v>
      </c>
      <c r="B13" s="6" t="s">
        <v>1243</v>
      </c>
      <c r="C13" s="6" t="s">
        <v>1840</v>
      </c>
      <c r="D13" s="6" t="s">
        <v>1376</v>
      </c>
      <c r="E13" s="6" t="s">
        <v>1860</v>
      </c>
      <c r="F13" s="48" t="s">
        <v>1861</v>
      </c>
      <c r="G13" s="48" t="s">
        <v>1852</v>
      </c>
      <c r="H13" s="19">
        <v>1000</v>
      </c>
      <c r="I13" s="19">
        <v>1000</v>
      </c>
      <c r="J13" s="19">
        <v>1000</v>
      </c>
      <c r="K13" s="19">
        <v>1000</v>
      </c>
      <c r="L13" s="19">
        <v>1000</v>
      </c>
      <c r="M13" s="19">
        <v>1000</v>
      </c>
      <c r="N13" s="19">
        <v>1000</v>
      </c>
      <c r="O13" s="19">
        <v>0.9</v>
      </c>
      <c r="P13" s="19">
        <v>25</v>
      </c>
      <c r="Q13" s="19">
        <v>25</v>
      </c>
      <c r="R13" s="19">
        <v>25</v>
      </c>
      <c r="S13" s="19">
        <v>25</v>
      </c>
      <c r="T13" s="19">
        <v>25</v>
      </c>
      <c r="U13" s="19">
        <v>25</v>
      </c>
      <c r="V13" s="19">
        <v>25</v>
      </c>
      <c r="W13" s="19">
        <v>0.05</v>
      </c>
      <c r="X13" s="19">
        <v>30</v>
      </c>
      <c r="Y13" s="19">
        <v>60</v>
      </c>
      <c r="Z13" s="127">
        <f>63.83/8760</f>
        <v>7.286529680365297E-3</v>
      </c>
      <c r="AA13" s="17" t="s">
        <v>766</v>
      </c>
      <c r="AB13" s="22" t="s">
        <v>462</v>
      </c>
      <c r="AC13" s="137">
        <f t="shared" si="0"/>
        <v>1</v>
      </c>
      <c r="AD13" s="123"/>
      <c r="AE13" s="139">
        <v>2.4</v>
      </c>
      <c r="AF13" s="94">
        <f t="shared" si="1"/>
        <v>0.2</v>
      </c>
      <c r="AG13" s="94">
        <f t="shared" si="1"/>
        <v>0.2</v>
      </c>
      <c r="AH13" s="94">
        <f t="shared" si="1"/>
        <v>0.2</v>
      </c>
      <c r="AI13" s="94">
        <f t="shared" si="1"/>
        <v>0.2</v>
      </c>
      <c r="AJ13" s="94">
        <f t="shared" si="1"/>
        <v>0.2</v>
      </c>
      <c r="AK13" s="94">
        <f t="shared" si="1"/>
        <v>0.2</v>
      </c>
      <c r="AL13" s="98">
        <v>2.4</v>
      </c>
      <c r="AM13" s="98"/>
      <c r="AN13" s="98"/>
      <c r="AO13" s="98"/>
      <c r="AP13" s="98"/>
      <c r="AQ13" s="98"/>
      <c r="AR13" s="98"/>
      <c r="AS13" s="99">
        <v>2.4</v>
      </c>
      <c r="AT13" s="99">
        <v>5</v>
      </c>
      <c r="AU13" s="99">
        <v>10</v>
      </c>
      <c r="AV13" s="99">
        <v>20</v>
      </c>
      <c r="AW13" s="99">
        <v>50</v>
      </c>
      <c r="AX13" s="99">
        <v>100</v>
      </c>
      <c r="AY13" s="99">
        <v>150</v>
      </c>
      <c r="AZ13" s="80" t="s">
        <v>452</v>
      </c>
    </row>
    <row r="17" spans="8:25" x14ac:dyDescent="0.35">
      <c r="H17" s="73"/>
      <c r="I17" s="73"/>
      <c r="J17" s="73"/>
      <c r="K17" s="73"/>
      <c r="L17" s="73"/>
      <c r="M17" s="73"/>
      <c r="N17" s="73"/>
      <c r="O17" s="73"/>
      <c r="P17" s="73"/>
      <c r="Q17" s="73"/>
      <c r="R17" s="73"/>
      <c r="S17" s="73"/>
      <c r="T17" s="73"/>
      <c r="U17" s="73"/>
      <c r="V17" s="73"/>
      <c r="W17" s="73"/>
      <c r="X17" s="73"/>
      <c r="Y17" s="73"/>
    </row>
    <row r="18" spans="8:25" x14ac:dyDescent="0.35">
      <c r="H18" s="73"/>
      <c r="I18" s="73"/>
      <c r="J18" s="73"/>
      <c r="K18" s="73"/>
      <c r="L18" s="73"/>
      <c r="M18" s="73"/>
      <c r="N18" s="73"/>
      <c r="O18" s="73"/>
      <c r="P18" s="73"/>
      <c r="Q18" s="73"/>
      <c r="R18" s="73"/>
      <c r="S18" s="73"/>
      <c r="T18" s="73"/>
      <c r="U18" s="73"/>
      <c r="V18" s="73"/>
      <c r="W18" s="73"/>
      <c r="X18" s="73"/>
      <c r="Y18" s="73"/>
    </row>
    <row r="19" spans="8:25" x14ac:dyDescent="0.35">
      <c r="H19" s="73"/>
      <c r="I19" s="73"/>
      <c r="J19" s="73"/>
      <c r="K19" s="73"/>
      <c r="L19" s="73"/>
      <c r="M19" s="73"/>
      <c r="N19" s="73"/>
      <c r="O19" s="73"/>
      <c r="P19" s="73"/>
      <c r="Q19" s="73"/>
      <c r="R19" s="73"/>
      <c r="S19" s="73"/>
      <c r="T19" s="73"/>
      <c r="U19" s="73"/>
      <c r="V19" s="73"/>
      <c r="W19" s="73"/>
      <c r="X19" s="73"/>
      <c r="Y19" s="73"/>
    </row>
    <row r="20" spans="8:25" x14ac:dyDescent="0.35">
      <c r="H20" s="73"/>
      <c r="I20" s="73"/>
      <c r="J20" s="73"/>
      <c r="K20" s="73"/>
      <c r="L20" s="73"/>
      <c r="M20" s="73"/>
      <c r="N20" s="73"/>
      <c r="O20" s="73"/>
      <c r="P20" s="73"/>
      <c r="Q20" s="73"/>
      <c r="R20" s="73"/>
      <c r="S20" s="73"/>
      <c r="T20" s="73"/>
      <c r="U20" s="73"/>
      <c r="V20" s="73"/>
      <c r="W20" s="73"/>
      <c r="X20" s="73"/>
      <c r="Y20" s="73"/>
    </row>
    <row r="21" spans="8:25" x14ac:dyDescent="0.35">
      <c r="H21" s="73"/>
      <c r="I21" s="73"/>
      <c r="J21" s="73"/>
      <c r="K21" s="73"/>
      <c r="L21" s="73"/>
      <c r="M21" s="73"/>
      <c r="N21" s="73"/>
      <c r="O21" s="73"/>
      <c r="P21" s="73"/>
      <c r="Q21" s="73"/>
      <c r="R21" s="73"/>
      <c r="S21" s="73"/>
      <c r="T21" s="73"/>
      <c r="U21" s="73"/>
      <c r="V21" s="73"/>
      <c r="W21" s="73"/>
      <c r="X21" s="73"/>
      <c r="Y21" s="73"/>
    </row>
    <row r="22" spans="8:25" x14ac:dyDescent="0.35">
      <c r="H22" s="73"/>
      <c r="I22" s="73"/>
      <c r="J22" s="73"/>
      <c r="K22" s="73"/>
      <c r="L22" s="73"/>
      <c r="M22" s="73"/>
      <c r="N22" s="73"/>
      <c r="O22" s="73"/>
      <c r="P22" s="73"/>
      <c r="Q22" s="73"/>
      <c r="R22" s="73"/>
      <c r="S22" s="73"/>
      <c r="T22" s="73"/>
      <c r="U22" s="73"/>
      <c r="V22" s="73"/>
      <c r="W22" s="73"/>
      <c r="X22" s="73"/>
      <c r="Y22" s="73"/>
    </row>
    <row r="23" spans="8:25" x14ac:dyDescent="0.35">
      <c r="H23" s="73"/>
      <c r="I23" s="73"/>
      <c r="J23" s="73"/>
      <c r="K23" s="73"/>
      <c r="L23" s="73"/>
      <c r="M23" s="73"/>
      <c r="N23" s="73"/>
      <c r="O23" s="73"/>
      <c r="P23" s="73"/>
      <c r="Q23" s="73"/>
      <c r="R23" s="73"/>
      <c r="S23" s="73"/>
      <c r="T23" s="73"/>
      <c r="U23" s="73"/>
      <c r="V23" s="73"/>
      <c r="W23" s="73"/>
      <c r="X23" s="73"/>
      <c r="Y23" s="73"/>
    </row>
    <row r="24" spans="8:25" x14ac:dyDescent="0.35">
      <c r="H24" s="73"/>
      <c r="I24" s="73"/>
      <c r="J24" s="73"/>
      <c r="K24" s="73"/>
      <c r="L24" s="73"/>
      <c r="M24" s="73"/>
      <c r="N24" s="73"/>
      <c r="O24" s="73"/>
      <c r="P24" s="73"/>
      <c r="Q24" s="73"/>
      <c r="R24" s="73"/>
      <c r="S24" s="73"/>
      <c r="T24" s="73"/>
      <c r="U24" s="73"/>
      <c r="V24" s="73"/>
      <c r="W24" s="73"/>
      <c r="X24" s="73"/>
      <c r="Y24" s="73"/>
    </row>
    <row r="25" spans="8:25" x14ac:dyDescent="0.35">
      <c r="H25" s="73"/>
      <c r="I25" s="73"/>
      <c r="J25" s="73"/>
      <c r="K25" s="73"/>
      <c r="L25" s="73"/>
      <c r="M25" s="73"/>
      <c r="N25" s="73"/>
      <c r="O25" s="73"/>
      <c r="P25" s="73"/>
      <c r="Q25" s="73"/>
      <c r="R25" s="73"/>
      <c r="S25" s="73"/>
      <c r="T25" s="73"/>
      <c r="U25" s="73"/>
      <c r="V25" s="73"/>
      <c r="W25" s="73"/>
      <c r="X25" s="73"/>
      <c r="Y25" s="73"/>
    </row>
    <row r="26" spans="8:25" x14ac:dyDescent="0.35">
      <c r="H26" s="73"/>
      <c r="I26" s="73"/>
      <c r="J26" s="73"/>
      <c r="K26" s="73"/>
      <c r="L26" s="73"/>
      <c r="M26" s="73"/>
      <c r="N26" s="73"/>
      <c r="O26" s="73"/>
      <c r="P26" s="73"/>
      <c r="Q26" s="73"/>
      <c r="R26" s="73"/>
      <c r="S26" s="73"/>
      <c r="T26" s="73"/>
      <c r="U26" s="73"/>
      <c r="V26" s="73"/>
      <c r="W26" s="73"/>
      <c r="X26" s="73"/>
      <c r="Y26" s="73"/>
    </row>
  </sheetData>
  <mergeCells count="8">
    <mergeCell ref="AD3:AD4"/>
    <mergeCell ref="AS2:AY2"/>
    <mergeCell ref="A2:F2"/>
    <mergeCell ref="H2:Y2"/>
    <mergeCell ref="Z2:AB2"/>
    <mergeCell ref="AF2:AK2"/>
    <mergeCell ref="AL2:AR2"/>
    <mergeCell ref="AC3:AC4"/>
  </mergeCells>
  <conditionalFormatting sqref="AE6:AE13">
    <cfRule type="expression" dxfId="6" priority="6">
      <formula>(AE6=0)</formula>
    </cfRule>
  </conditionalFormatting>
  <conditionalFormatting sqref="AE6:AK7">
    <cfRule type="expression" dxfId="5" priority="5">
      <formula>($AC6=0)</formula>
    </cfRule>
    <cfRule type="expression" dxfId="4" priority="11">
      <formula>($AC6=2)</formula>
    </cfRule>
  </conditionalFormatting>
  <conditionalFormatting sqref="AE8:AK8 AE10:AK10 AE13:AK13">
    <cfRule type="expression" dxfId="3" priority="4">
      <formula>($AC8=0)</formula>
    </cfRule>
    <cfRule type="expression" dxfId="2" priority="10">
      <formula>($AC8=2)</formula>
    </cfRule>
  </conditionalFormatting>
  <conditionalFormatting sqref="AE9:AK9 AE11:AK12">
    <cfRule type="expression" dxfId="1" priority="35">
      <formula>($AC9=0)</formula>
    </cfRule>
    <cfRule type="expression" dxfId="0" priority="41">
      <formula>($AC9=2)</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7">
    <tabColor rgb="FF0070C0"/>
  </sheetPr>
  <dimension ref="A1:N34"/>
  <sheetViews>
    <sheetView zoomScaleNormal="100" workbookViewId="0">
      <selection activeCell="G18" sqref="G18"/>
    </sheetView>
  </sheetViews>
  <sheetFormatPr defaultColWidth="8.90625" defaultRowHeight="14.5" x14ac:dyDescent="0.35"/>
  <cols>
    <col min="1" max="1" width="13.08984375" style="1" bestFit="1" customWidth="1"/>
    <col min="2" max="2" width="63.08984375" style="1" bestFit="1" customWidth="1"/>
    <col min="3" max="3" width="11.54296875" style="1" bestFit="1" customWidth="1"/>
    <col min="4" max="4" width="25.54296875" style="1" bestFit="1" customWidth="1"/>
    <col min="5" max="5" width="6.08984375" style="1" bestFit="1" customWidth="1"/>
    <col min="6" max="6" width="9" style="1" bestFit="1" customWidth="1"/>
    <col min="7" max="7" width="6.54296875" style="1" bestFit="1" customWidth="1"/>
    <col min="8" max="10" width="7.08984375" style="1" bestFit="1" customWidth="1"/>
    <col min="11" max="11" width="7.90625" style="1" bestFit="1" customWidth="1"/>
    <col min="12" max="12" width="13.90625" style="1" bestFit="1" customWidth="1"/>
    <col min="13" max="13" width="41.90625" style="1" bestFit="1" customWidth="1"/>
    <col min="14" max="14" width="19" style="1" bestFit="1" customWidth="1"/>
    <col min="15" max="16384" width="8.90625" style="1"/>
  </cols>
  <sheetData>
    <row r="1" spans="1:14" x14ac:dyDescent="0.35">
      <c r="A1" s="2"/>
      <c r="B1" s="2"/>
      <c r="C1" s="2"/>
      <c r="D1" s="2"/>
      <c r="E1" s="2"/>
      <c r="F1" s="2"/>
      <c r="G1" s="2"/>
      <c r="H1" s="2"/>
      <c r="I1" s="2"/>
      <c r="J1" s="2"/>
      <c r="K1" s="2"/>
      <c r="L1" s="2"/>
    </row>
    <row r="2" spans="1:14" ht="16.5" x14ac:dyDescent="0.45">
      <c r="A2" s="423" t="s">
        <v>556</v>
      </c>
      <c r="B2" s="423"/>
      <c r="C2" s="423"/>
      <c r="D2" s="32" t="s">
        <v>1862</v>
      </c>
      <c r="E2" s="420" t="s">
        <v>1863</v>
      </c>
      <c r="F2" s="420"/>
      <c r="G2" s="420"/>
      <c r="H2" s="420"/>
      <c r="I2" s="420"/>
      <c r="J2" s="420"/>
      <c r="K2" s="420"/>
      <c r="L2" s="77" t="s">
        <v>17</v>
      </c>
    </row>
    <row r="3" spans="1:14" x14ac:dyDescent="0.35">
      <c r="A3" s="46" t="s">
        <v>575</v>
      </c>
      <c r="B3" s="46" t="s">
        <v>578</v>
      </c>
      <c r="C3" s="46" t="s">
        <v>572</v>
      </c>
      <c r="D3" s="52"/>
      <c r="E3" s="53">
        <f>Parameters!$B$13</f>
        <v>2022</v>
      </c>
      <c r="F3" s="53" t="s">
        <v>636</v>
      </c>
      <c r="G3" s="53" t="s">
        <v>1864</v>
      </c>
      <c r="H3" s="53" t="s">
        <v>1865</v>
      </c>
      <c r="I3" s="53" t="s">
        <v>1866</v>
      </c>
      <c r="J3" s="53" t="s">
        <v>1867</v>
      </c>
      <c r="K3" s="53" t="s">
        <v>1868</v>
      </c>
      <c r="L3" s="78" t="s">
        <v>26</v>
      </c>
    </row>
    <row r="4" spans="1:14" x14ac:dyDescent="0.35">
      <c r="A4" s="5" t="str">
        <f>VLOOKUP(C4,Technologies!$A$7:$G$506,3,FALSE)</f>
        <v>Emission</v>
      </c>
      <c r="B4" s="5" t="str">
        <f>VLOOKUP(C4,Technologies!$A$7:$G$506,7,FALSE)</f>
        <v>CO2 from Direct Air Capture under ETS scheme</v>
      </c>
      <c r="C4" s="5" t="s">
        <v>1772</v>
      </c>
      <c r="D4" s="54" t="s">
        <v>456</v>
      </c>
      <c r="E4" s="55"/>
      <c r="F4" s="55"/>
      <c r="G4" s="55">
        <v>0.1</v>
      </c>
      <c r="H4" s="55">
        <v>0.125</v>
      </c>
      <c r="I4" s="55">
        <v>0.15</v>
      </c>
      <c r="J4" s="55">
        <v>0.17499999999999999</v>
      </c>
      <c r="K4" s="55">
        <v>0.2</v>
      </c>
      <c r="L4" s="79" t="s">
        <v>1869</v>
      </c>
    </row>
    <row r="5" spans="1:14" x14ac:dyDescent="0.35">
      <c r="A5" s="6" t="str">
        <f>VLOOKUP(C5,Technologies!$A$7:$G$506,3,FALSE)</f>
        <v>Emission</v>
      </c>
      <c r="B5" s="6" t="str">
        <f>VLOOKUP(C5,Technologies!$A$7:$G$506,7,FALSE)</f>
        <v>CO2 from Direct Air Capture under ETS scheme</v>
      </c>
      <c r="C5" s="6" t="s">
        <v>1772</v>
      </c>
      <c r="D5" s="9" t="s">
        <v>464</v>
      </c>
      <c r="E5" s="56"/>
      <c r="F5" s="56"/>
      <c r="G5" s="56">
        <f>1-5/6</f>
        <v>0.16666666666666663</v>
      </c>
      <c r="H5" s="56">
        <f>(I5+G5)/2</f>
        <v>0.24999999999999997</v>
      </c>
      <c r="I5" s="56">
        <f>(G5+K5)/2</f>
        <v>0.33333333333333331</v>
      </c>
      <c r="J5" s="56">
        <f>(K5+I5)/2</f>
        <v>0.41666666666666663</v>
      </c>
      <c r="K5" s="56">
        <f>0.5</f>
        <v>0.5</v>
      </c>
      <c r="L5" s="80" t="s">
        <v>1869</v>
      </c>
    </row>
    <row r="6" spans="1:14" x14ac:dyDescent="0.35">
      <c r="A6" s="5" t="str">
        <f>VLOOKUP(C6,Technologies!$A$7:$G$506,3,FALSE)</f>
        <v>Conversion</v>
      </c>
      <c r="B6" s="5" t="str">
        <f>VLOOKUP(C6,Technologies!$A$7:$G$506,7,FALSE)</f>
        <v>Alkaline Electrolyzer - Hydrogen Production</v>
      </c>
      <c r="C6" s="5" t="s">
        <v>1604</v>
      </c>
      <c r="D6" s="54" t="s">
        <v>455</v>
      </c>
      <c r="E6" s="55"/>
      <c r="F6" s="55"/>
      <c r="G6" s="222"/>
      <c r="H6" s="56"/>
      <c r="I6" s="222"/>
      <c r="J6" s="56"/>
      <c r="K6" s="222"/>
      <c r="L6" s="79"/>
      <c r="M6" s="1" t="s">
        <v>1870</v>
      </c>
    </row>
    <row r="7" spans="1:14" x14ac:dyDescent="0.35">
      <c r="A7" s="6" t="str">
        <f>VLOOKUP(C7,Technologies!$A$7:$G$506,3,FALSE)</f>
        <v>Conversion</v>
      </c>
      <c r="B7" s="6" t="str">
        <f>VLOOKUP(C7,Technologies!$A$7:$G$506,7,FALSE)</f>
        <v>PEM Electrolyzer - Hydrogen Production</v>
      </c>
      <c r="C7" s="6" t="s">
        <v>1608</v>
      </c>
      <c r="D7" s="9" t="s">
        <v>455</v>
      </c>
      <c r="E7" s="56"/>
      <c r="F7" s="56"/>
      <c r="G7" s="222"/>
      <c r="H7" s="56"/>
      <c r="I7" s="222"/>
      <c r="J7" s="56"/>
      <c r="K7" s="222"/>
      <c r="L7" s="79"/>
      <c r="M7" s="1" t="s">
        <v>1870</v>
      </c>
    </row>
    <row r="8" spans="1:14" x14ac:dyDescent="0.35">
      <c r="A8" s="5" t="str">
        <f>VLOOKUP(C8,Technologies!$A$7:$G$506,3,FALSE)</f>
        <v>Conversion</v>
      </c>
      <c r="B8" s="5" t="str">
        <f>VLOOKUP(C8,Technologies!$A$7:$G$506,7,FALSE)</f>
        <v>Solid Oxide Electrolyzer - Hydrogen Production</v>
      </c>
      <c r="C8" s="5" t="s">
        <v>1611</v>
      </c>
      <c r="D8" s="54" t="s">
        <v>455</v>
      </c>
      <c r="E8" s="55"/>
      <c r="F8" s="55"/>
      <c r="G8" s="222"/>
      <c r="H8" s="56"/>
      <c r="I8" s="222"/>
      <c r="J8" s="56"/>
      <c r="K8" s="222"/>
      <c r="L8" s="79"/>
      <c r="M8" s="1" t="s">
        <v>1870</v>
      </c>
      <c r="N8" s="323"/>
    </row>
    <row r="9" spans="1:14" x14ac:dyDescent="0.35">
      <c r="A9" s="6" t="str">
        <f>VLOOKUP(C9,Technologies!$A$7:$G$506,3,FALSE)</f>
        <v>Conversion</v>
      </c>
      <c r="B9" s="6" t="str">
        <f>VLOOKUP(C9,Technologies!$A$7:$G$506,7,FALSE)</f>
        <v>Methanol direct synthesis from CO2 and H2 - Refineries</v>
      </c>
      <c r="C9" s="6" t="s">
        <v>1555</v>
      </c>
      <c r="D9" s="9" t="s">
        <v>465</v>
      </c>
      <c r="E9" s="56"/>
      <c r="F9" s="56"/>
      <c r="G9" s="56"/>
      <c r="H9" s="56"/>
      <c r="I9" s="56"/>
      <c r="J9" s="56"/>
      <c r="K9" s="56"/>
      <c r="L9" s="80" t="s">
        <v>1871</v>
      </c>
      <c r="M9" s="1" t="s">
        <v>1872</v>
      </c>
    </row>
    <row r="10" spans="1:14" x14ac:dyDescent="0.35">
      <c r="A10" s="5" t="str">
        <f>VLOOKUP(C10,Technologies!$A$7:$G$506,3,FALSE)</f>
        <v>Conversion</v>
      </c>
      <c r="B10" s="5" t="str">
        <f>VLOOKUP(C10,Technologies!$A$7:$G$506,7,FALSE)</f>
        <v>Methanol direct synthesis from CO2 and H2 - Refineries</v>
      </c>
      <c r="C10" s="5" t="s">
        <v>1555</v>
      </c>
      <c r="D10" s="54" t="s">
        <v>456</v>
      </c>
      <c r="E10" s="55"/>
      <c r="F10" s="55"/>
      <c r="G10" s="55"/>
      <c r="H10" s="55"/>
      <c r="I10" s="55"/>
      <c r="J10" s="55"/>
      <c r="K10" s="55"/>
      <c r="L10" s="79" t="s">
        <v>1871</v>
      </c>
      <c r="M10" s="1" t="s">
        <v>1870</v>
      </c>
    </row>
    <row r="11" spans="1:14" x14ac:dyDescent="0.35">
      <c r="A11" s="6" t="str">
        <f>VLOOKUP(C11,Technologies!$A$7:$G$506,3,FALSE)</f>
        <v>Conversion</v>
      </c>
      <c r="B11" s="6" t="str">
        <f>VLOOKUP(C11,Technologies!$A$7:$G$506,7,FALSE)</f>
        <v>Syngas from SOEC  electrolysis - Refineries</v>
      </c>
      <c r="C11" s="6" t="s">
        <v>1546</v>
      </c>
      <c r="D11" s="9" t="s">
        <v>464</v>
      </c>
      <c r="E11" s="56"/>
      <c r="F11" s="56"/>
      <c r="G11" s="56">
        <f>1-0.3/0.32</f>
        <v>6.25E-2</v>
      </c>
      <c r="H11" s="56">
        <f t="shared" ref="H11" si="0">(I11+G11)/2</f>
        <v>0.125</v>
      </c>
      <c r="I11" s="56">
        <f t="shared" ref="I11" si="1">(G11+K11)/2</f>
        <v>0.1875</v>
      </c>
      <c r="J11" s="56">
        <f t="shared" ref="J11" si="2">(K11+I11)/2</f>
        <v>0.25</v>
      </c>
      <c r="K11" s="56">
        <f>1-0.22/0.32</f>
        <v>0.3125</v>
      </c>
      <c r="L11" s="80" t="s">
        <v>1871</v>
      </c>
    </row>
    <row r="12" spans="1:14" x14ac:dyDescent="0.35">
      <c r="A12" s="5" t="str">
        <f>VLOOKUP(C12,Technologies!$A$7:$G$506,3,FALSE)</f>
        <v>Conversion</v>
      </c>
      <c r="B12" s="5" t="str">
        <f>VLOOKUP(C12,Technologies!$A$7:$G$506,7,FALSE)</f>
        <v>Syngas from SOEC  electrolysis - Refineries</v>
      </c>
      <c r="C12" s="5" t="s">
        <v>1546</v>
      </c>
      <c r="D12" s="54" t="s">
        <v>456</v>
      </c>
      <c r="E12" s="55"/>
      <c r="F12" s="55"/>
      <c r="G12" s="55">
        <v>7.1428571428571508E-2</v>
      </c>
      <c r="H12" s="55">
        <v>0.10714285714285721</v>
      </c>
      <c r="I12" s="55">
        <v>0.1428571428571429</v>
      </c>
      <c r="J12" s="55">
        <v>0.1785714285714286</v>
      </c>
      <c r="K12" s="55">
        <v>0.2142857142857143</v>
      </c>
      <c r="L12" s="79" t="s">
        <v>1871</v>
      </c>
    </row>
    <row r="13" spans="1:14" x14ac:dyDescent="0.35">
      <c r="A13" s="6" t="str">
        <f>VLOOKUP(C13,Technologies!$A$7:$G$506,3,FALSE)</f>
        <v>Final</v>
      </c>
      <c r="B13" s="6" t="str">
        <f>VLOOKUP(C13,Technologies!$A$7:$G$506,7,FALSE)</f>
        <v>House with insulation GFE - Residential Flats</v>
      </c>
      <c r="C13" s="6" t="s">
        <v>668</v>
      </c>
      <c r="D13" s="9" t="s">
        <v>457</v>
      </c>
      <c r="E13" s="56">
        <f>(2900-Activities!C$6)*Parameters!$B17/(Parameters!$B17*2900+Parameters!$B14)</f>
        <v>0</v>
      </c>
      <c r="F13" s="56">
        <f>(2900-Activities!D$6)*Parameters!$B17/(Parameters!$B17*2900+Parameters!$B14)</f>
        <v>1.5077814634657996E-2</v>
      </c>
      <c r="G13" s="56">
        <f>(2900-Activities!E$6)*Parameters!$B17/(Parameters!$B17*2900+Parameters!$B14)</f>
        <v>3.0155629269315993E-2</v>
      </c>
      <c r="H13" s="56">
        <f>(2900-Activities!F$6)*Parameters!$B17/(Parameters!$B17*2900+Parameters!$B14)</f>
        <v>5.7295695611700385E-2</v>
      </c>
      <c r="I13" s="56">
        <f>(2900-Activities!G$6)*Parameters!$B17/(Parameters!$B17*2900+Parameters!$B14)</f>
        <v>8.4435761954084781E-2</v>
      </c>
      <c r="J13" s="56">
        <f>(2900-Activities!H$6)*Parameters!$B17/(Parameters!$B17*2900+Parameters!$B14)</f>
        <v>0.11157582829646917</v>
      </c>
      <c r="K13" s="56">
        <f>(2900-Activities!I$6)*Parameters!$B17/(Parameters!$B17*2900+Parameters!$B14)</f>
        <v>0.13871589463885356</v>
      </c>
      <c r="L13" s="80" t="s">
        <v>452</v>
      </c>
    </row>
    <row r="14" spans="1:14" x14ac:dyDescent="0.35">
      <c r="A14" s="5" t="str">
        <f>VLOOKUP(C14,Technologies!$A$7:$G$506,3,FALSE)</f>
        <v>Final</v>
      </c>
      <c r="B14" s="5" t="str">
        <f>VLOOKUP(C14,Technologies!$A$7:$G$506,7,FALSE)</f>
        <v>House with insulation DC - Residential Flats</v>
      </c>
      <c r="C14" s="5" t="s">
        <v>673</v>
      </c>
      <c r="D14" s="54" t="s">
        <v>457</v>
      </c>
      <c r="E14" s="55">
        <f>(2900-Activities!C$6)*Parameters!$B18/(Parameters!$B18*2900+Parameters!$B14)</f>
        <v>0</v>
      </c>
      <c r="F14" s="55">
        <f>(2900-Activities!D$6)*Parameters!$B18/(Parameters!$B18*2900+Parameters!$B14)</f>
        <v>1.4992299409848578E-2</v>
      </c>
      <c r="G14" s="55">
        <f>(2900-Activities!E$6)*Parameters!$B18/(Parameters!$B18*2900+Parameters!$B14)</f>
        <v>2.9984598819697155E-2</v>
      </c>
      <c r="H14" s="55">
        <f>(2900-Activities!F$6)*Parameters!$B18/(Parameters!$B18*2900+Parameters!$B14)</f>
        <v>5.6970737757424596E-2</v>
      </c>
      <c r="I14" s="55">
        <f>(2900-Activities!G$6)*Parameters!$B18/(Parameters!$B18*2900+Parameters!$B14)</f>
        <v>8.3956876695152033E-2</v>
      </c>
      <c r="J14" s="55">
        <f>(2900-Activities!H$6)*Parameters!$B18/(Parameters!$B18*2900+Parameters!$B14)</f>
        <v>0.11094301563287948</v>
      </c>
      <c r="K14" s="55">
        <f>(2900-Activities!I$6)*Parameters!$B18/(Parameters!$B18*2900+Parameters!$B14)</f>
        <v>0.13792915457060692</v>
      </c>
      <c r="L14" s="79" t="s">
        <v>452</v>
      </c>
    </row>
    <row r="15" spans="1:14" x14ac:dyDescent="0.35">
      <c r="A15" s="6" t="str">
        <f>VLOOKUP(C15,Technologies!$A$7:$G$506,3,FALSE)</f>
        <v>Final</v>
      </c>
      <c r="B15" s="6" t="str">
        <f>VLOOKUP(C15,Technologies!$A$7:$G$506,7,FALSE)</f>
        <v>House with insulation B - Residential Flats</v>
      </c>
      <c r="C15" s="6" t="s">
        <v>675</v>
      </c>
      <c r="D15" s="9" t="s">
        <v>460</v>
      </c>
      <c r="E15" s="56">
        <f>(2900-Activities!C$6)*Parameters!$B19/(Parameters!$B19*2900+Parameters!$B14)</f>
        <v>0</v>
      </c>
      <c r="F15" s="56">
        <f>(2900-Activities!D$6)*Parameters!$B19/(Parameters!$B19*2900+Parameters!$B14)</f>
        <v>1.477276127217784E-2</v>
      </c>
      <c r="G15" s="56">
        <f>(2900-Activities!E$6)*Parameters!$B19/(Parameters!$B19*2900+Parameters!$B14)</f>
        <v>2.954552254435568E-2</v>
      </c>
      <c r="H15" s="56">
        <f>(2900-Activities!F$6)*Parameters!$B19/(Parameters!$B19*2900+Parameters!$B14)</f>
        <v>5.6136492834275797E-2</v>
      </c>
      <c r="I15" s="56">
        <f>(2900-Activities!G$6)*Parameters!$B19/(Parameters!$B19*2900+Parameters!$B14)</f>
        <v>8.2727463124195905E-2</v>
      </c>
      <c r="J15" s="56">
        <f>(2900-Activities!H$6)*Parameters!$B19/(Parameters!$B19*2900+Parameters!$B14)</f>
        <v>0.10931843341411603</v>
      </c>
      <c r="K15" s="56">
        <f>(2900-Activities!I$6)*Parameters!$B19/(Parameters!$B19*2900+Parameters!$B14)</f>
        <v>0.13590940370403615</v>
      </c>
      <c r="L15" s="80" t="s">
        <v>452</v>
      </c>
    </row>
    <row r="16" spans="1:14" x14ac:dyDescent="0.35">
      <c r="A16" s="5" t="str">
        <f>VLOOKUP(C16,Technologies!$A$7:$G$506,3,FALSE)</f>
        <v>Final</v>
      </c>
      <c r="B16" s="5" t="str">
        <f>VLOOKUP(C16,Technologies!$A$7:$G$506,7,FALSE)</f>
        <v>House with insulation A - Residential Flats</v>
      </c>
      <c r="C16" s="5" t="s">
        <v>677</v>
      </c>
      <c r="D16" s="54" t="s">
        <v>460</v>
      </c>
      <c r="E16" s="55">
        <f>(2900-Activities!C$6)*Parameters!$B20/(Parameters!$B20*2900+Parameters!$B14)</f>
        <v>0</v>
      </c>
      <c r="F16" s="55">
        <f>(2900-Activities!D$6)*Parameters!$B20/(Parameters!$B20*2900+Parameters!$B14)</f>
        <v>1.4044671742120455E-2</v>
      </c>
      <c r="G16" s="55">
        <f>(2900-Activities!E$6)*Parameters!$B20/(Parameters!$B20*2900+Parameters!$B14)</f>
        <v>2.8089343484240911E-2</v>
      </c>
      <c r="H16" s="55">
        <f>(2900-Activities!F$6)*Parameters!$B20/(Parameters!$B20*2900+Parameters!$B14)</f>
        <v>5.3369752620057734E-2</v>
      </c>
      <c r="I16" s="55">
        <f>(2900-Activities!G$6)*Parameters!$B20/(Parameters!$B20*2900+Parameters!$B14)</f>
        <v>7.865016175587454E-2</v>
      </c>
      <c r="J16" s="55">
        <f>(2900-Activities!H$6)*Parameters!$B20/(Parameters!$B20*2900+Parameters!$B14)</f>
        <v>0.10393057089169137</v>
      </c>
      <c r="K16" s="55">
        <f>(2900-Activities!I$6)*Parameters!$B20/(Parameters!$B20*2900+Parameters!$B14)</f>
        <v>0.12921098002750819</v>
      </c>
      <c r="L16" s="79" t="s">
        <v>452</v>
      </c>
    </row>
    <row r="17" spans="1:12" x14ac:dyDescent="0.35">
      <c r="A17" s="6" t="str">
        <f>VLOOKUP(C17,Technologies!$A$7:$G$506,3,FALSE)</f>
        <v>Final</v>
      </c>
      <c r="B17" s="6" t="str">
        <f>VLOOKUP(C17,Technologies!$A$7:$G$506,7,FALSE)</f>
        <v>House with insulation A+ - Residential Flats</v>
      </c>
      <c r="C17" s="6" t="s">
        <v>679</v>
      </c>
      <c r="D17" s="9" t="s">
        <v>460</v>
      </c>
      <c r="E17" s="56">
        <f>(2900-Activities!C$6)*Parameters!$B21/(Parameters!$B21*2900+Parameters!$B14)</f>
        <v>0</v>
      </c>
      <c r="F17" s="56">
        <f>(2900-Activities!D$6)*Parameters!$B21/(Parameters!$B21*2900+Parameters!$B14)</f>
        <v>1.3460569124318381E-2</v>
      </c>
      <c r="G17" s="56">
        <f>(2900-Activities!E$6)*Parameters!$B21/(Parameters!$B21*2900+Parameters!$B14)</f>
        <v>2.6921138248636761E-2</v>
      </c>
      <c r="H17" s="56">
        <f>(2900-Activities!F$6)*Parameters!$B21/(Parameters!$B21*2900+Parameters!$B14)</f>
        <v>5.1150162672409849E-2</v>
      </c>
      <c r="I17" s="56">
        <f>(2900-Activities!G$6)*Parameters!$B21/(Parameters!$B21*2900+Parameters!$B14)</f>
        <v>7.5379187096182923E-2</v>
      </c>
      <c r="J17" s="56">
        <f>(2900-Activities!H$6)*Parameters!$B21/(Parameters!$B21*2900+Parameters!$B14)</f>
        <v>9.9608211519956011E-2</v>
      </c>
      <c r="K17" s="56">
        <f>(2900-Activities!I$6)*Parameters!$B21/(Parameters!$B21*2900+Parameters!$B14)</f>
        <v>0.1238372359437291</v>
      </c>
      <c r="L17" s="80" t="s">
        <v>452</v>
      </c>
    </row>
    <row r="18" spans="1:12" x14ac:dyDescent="0.35">
      <c r="A18" s="5" t="str">
        <f>VLOOKUP(C18,Technologies!$A$7:$G$506,3,FALSE)</f>
        <v>Final</v>
      </c>
      <c r="B18" s="5" t="str">
        <f>VLOOKUP(C18,Technologies!$A$7:$G$506,7,FALSE)</f>
        <v>House with insulation GFE - Residential Terrace</v>
      </c>
      <c r="C18" s="5" t="s">
        <v>682</v>
      </c>
      <c r="D18" s="54" t="s">
        <v>457</v>
      </c>
      <c r="E18" s="55">
        <f>(2900-Activities!C$6)*Parameters!$B22/(Parameters!$B22*2900+Parameters!$B15)</f>
        <v>0</v>
      </c>
      <c r="F18" s="55">
        <f>(2900-Activities!D$6)*Parameters!$B22/(Parameters!$B22*2900+Parameters!$B15)</f>
        <v>1.5355625313967697E-2</v>
      </c>
      <c r="G18" s="55">
        <f>(2900-Activities!E$6)*Parameters!$B22/(Parameters!$B22*2900+Parameters!$B15)</f>
        <v>3.0711250627935394E-2</v>
      </c>
      <c r="H18" s="55">
        <f>(2900-Activities!F$6)*Parameters!$B22/(Parameters!$B22*2900+Parameters!$B15)</f>
        <v>5.8351376193077245E-2</v>
      </c>
      <c r="I18" s="55">
        <f>(2900-Activities!G$6)*Parameters!$B22/(Parameters!$B22*2900+Parameters!$B15)</f>
        <v>8.5991501758219097E-2</v>
      </c>
      <c r="J18" s="55">
        <f>(2900-Activities!H$6)*Parameters!$B22/(Parameters!$B22*2900+Parameters!$B15)</f>
        <v>0.11363162732336095</v>
      </c>
      <c r="K18" s="55">
        <f>(2900-Activities!I$6)*Parameters!$B22/(Parameters!$B22*2900+Parameters!$B15)</f>
        <v>0.1412717528885028</v>
      </c>
      <c r="L18" s="79" t="s">
        <v>452</v>
      </c>
    </row>
    <row r="19" spans="1:12" x14ac:dyDescent="0.35">
      <c r="A19" s="6" t="str">
        <f>VLOOKUP(C19,Technologies!$A$7:$G$506,3,FALSE)</f>
        <v>Final</v>
      </c>
      <c r="B19" s="6" t="str">
        <f>VLOOKUP(C19,Technologies!$A$7:$G$506,7,FALSE)</f>
        <v>House with insulation DC - Residential Terrace</v>
      </c>
      <c r="C19" s="6" t="s">
        <v>685</v>
      </c>
      <c r="D19" s="9" t="s">
        <v>457</v>
      </c>
      <c r="E19" s="56">
        <f>(2900-Activities!C$6)*Parameters!$B23/(Parameters!$B23*2900+Parameters!$B15)</f>
        <v>0</v>
      </c>
      <c r="F19" s="56">
        <f>(2900-Activities!D$6)*Parameters!$B23/(Parameters!$B23*2900+Parameters!$B15)</f>
        <v>1.5048755416914292E-2</v>
      </c>
      <c r="G19" s="56">
        <f>(2900-Activities!E$6)*Parameters!$B23/(Parameters!$B23*2900+Parameters!$B15)</f>
        <v>3.0097510833828583E-2</v>
      </c>
      <c r="H19" s="56">
        <f>(2900-Activities!F$6)*Parameters!$B23/(Parameters!$B23*2900+Parameters!$B15)</f>
        <v>5.7185270584274306E-2</v>
      </c>
      <c r="I19" s="56">
        <f>(2900-Activities!G$6)*Parameters!$B23/(Parameters!$B23*2900+Parameters!$B15)</f>
        <v>8.4273030334720028E-2</v>
      </c>
      <c r="J19" s="56">
        <f>(2900-Activities!H$6)*Parameters!$B23/(Parameters!$B23*2900+Parameters!$B15)</f>
        <v>0.11136079008516575</v>
      </c>
      <c r="K19" s="56">
        <f>(2900-Activities!I$6)*Parameters!$B23/(Parameters!$B23*2900+Parameters!$B15)</f>
        <v>0.13844854983561147</v>
      </c>
      <c r="L19" s="80" t="s">
        <v>452</v>
      </c>
    </row>
    <row r="20" spans="1:12" x14ac:dyDescent="0.35">
      <c r="A20" s="5" t="str">
        <f>VLOOKUP(C20,Technologies!$A$7:$G$506,3,FALSE)</f>
        <v>Final</v>
      </c>
      <c r="B20" s="5" t="str">
        <f>VLOOKUP(C20,Technologies!$A$7:$G$506,7,FALSE)</f>
        <v>House with insulation B - Residential Terrace</v>
      </c>
      <c r="C20" s="5" t="s">
        <v>688</v>
      </c>
      <c r="D20" s="54" t="s">
        <v>460</v>
      </c>
      <c r="E20" s="55">
        <f>(2900-Activities!C$6)*Parameters!$B24/(Parameters!$B24*2900+Parameters!$B15)</f>
        <v>0</v>
      </c>
      <c r="F20" s="55">
        <f>(2900-Activities!D$6)*Parameters!$B24/(Parameters!$B24*2900+Parameters!$B15)</f>
        <v>1.483517560089459E-2</v>
      </c>
      <c r="G20" s="55">
        <f>(2900-Activities!E$6)*Parameters!$B24/(Parameters!$B24*2900+Parameters!$B15)</f>
        <v>2.967035120178918E-2</v>
      </c>
      <c r="H20" s="55">
        <f>(2900-Activities!F$6)*Parameters!$B24/(Parameters!$B24*2900+Parameters!$B15)</f>
        <v>5.6373667283399445E-2</v>
      </c>
      <c r="I20" s="55">
        <f>(2900-Activities!G$6)*Parameters!$B24/(Parameters!$B24*2900+Parameters!$B15)</f>
        <v>8.307698336500971E-2</v>
      </c>
      <c r="J20" s="55">
        <f>(2900-Activities!H$6)*Parameters!$B24/(Parameters!$B24*2900+Parameters!$B15)</f>
        <v>0.10978029944661997</v>
      </c>
      <c r="K20" s="55">
        <f>(2900-Activities!I$6)*Parameters!$B24/(Parameters!$B24*2900+Parameters!$B15)</f>
        <v>0.13648361552823024</v>
      </c>
      <c r="L20" s="79" t="s">
        <v>452</v>
      </c>
    </row>
    <row r="21" spans="1:12" x14ac:dyDescent="0.35">
      <c r="A21" s="6" t="str">
        <f>VLOOKUP(C21,Technologies!$A$7:$G$506,3,FALSE)</f>
        <v>Final</v>
      </c>
      <c r="B21" s="6" t="str">
        <f>VLOOKUP(C21,Technologies!$A$7:$G$506,7,FALSE)</f>
        <v>House with insulation A - Residential Terrace</v>
      </c>
      <c r="C21" s="6" t="s">
        <v>690</v>
      </c>
      <c r="D21" s="9" t="s">
        <v>460</v>
      </c>
      <c r="E21" s="56">
        <f>(2900-Activities!C$6)*Parameters!$B25/(Parameters!$B25*2900+Parameters!$B15)</f>
        <v>0</v>
      </c>
      <c r="F21" s="56">
        <f>(2900-Activities!D$6)*Parameters!$B25/(Parameters!$B25*2900+Parameters!$B15)</f>
        <v>1.4127414791765526E-2</v>
      </c>
      <c r="G21" s="56">
        <f>(2900-Activities!E$6)*Parameters!$B25/(Parameters!$B25*2900+Parameters!$B15)</f>
        <v>2.8254829583531052E-2</v>
      </c>
      <c r="H21" s="56">
        <f>(2900-Activities!F$6)*Parameters!$B25/(Parameters!$B25*2900+Parameters!$B15)</f>
        <v>5.3684176208709002E-2</v>
      </c>
      <c r="I21" s="56">
        <f>(2900-Activities!G$6)*Parameters!$B25/(Parameters!$B25*2900+Parameters!$B15)</f>
        <v>7.9113522833886951E-2</v>
      </c>
      <c r="J21" s="56">
        <f>(2900-Activities!H$6)*Parameters!$B25/(Parameters!$B25*2900+Parameters!$B15)</f>
        <v>0.10454286945906491</v>
      </c>
      <c r="K21" s="56">
        <f>(2900-Activities!I$6)*Parameters!$B25/(Parameters!$B25*2900+Parameters!$B15)</f>
        <v>0.12997221608424284</v>
      </c>
      <c r="L21" s="80" t="s">
        <v>452</v>
      </c>
    </row>
    <row r="22" spans="1:12" x14ac:dyDescent="0.35">
      <c r="A22" s="5" t="str">
        <f>VLOOKUP(C22,Technologies!$A$7:$G$506,3,FALSE)</f>
        <v>Final</v>
      </c>
      <c r="B22" s="5" t="str">
        <f>VLOOKUP(C22,Technologies!$A$7:$G$506,7,FALSE)</f>
        <v>House with insulation A+ - Residential Terrace</v>
      </c>
      <c r="C22" s="5" t="s">
        <v>692</v>
      </c>
      <c r="D22" s="54" t="s">
        <v>460</v>
      </c>
      <c r="E22" s="55">
        <f>(2900-Activities!C$6)*Parameters!$B26/(Parameters!$B26*2900+Parameters!$B15)</f>
        <v>0</v>
      </c>
      <c r="F22" s="55">
        <f>(2900-Activities!D$6)*Parameters!$B26/(Parameters!$B26*2900+Parameters!$B15)</f>
        <v>1.3544949883685433E-2</v>
      </c>
      <c r="G22" s="55">
        <f>(2900-Activities!E$6)*Parameters!$B26/(Parameters!$B26*2900+Parameters!$B15)</f>
        <v>2.7089899767370865E-2</v>
      </c>
      <c r="H22" s="55">
        <f>(2900-Activities!F$6)*Parameters!$B26/(Parameters!$B26*2900+Parameters!$B15)</f>
        <v>5.1470809558004642E-2</v>
      </c>
      <c r="I22" s="55">
        <f>(2900-Activities!G$6)*Parameters!$B26/(Parameters!$B26*2900+Parameters!$B15)</f>
        <v>7.5851719348638422E-2</v>
      </c>
      <c r="J22" s="55">
        <f>(2900-Activities!H$6)*Parameters!$B26/(Parameters!$B26*2900+Parameters!$B15)</f>
        <v>0.10023262913927219</v>
      </c>
      <c r="K22" s="55">
        <f>(2900-Activities!I$6)*Parameters!$B26/(Parameters!$B26*2900+Parameters!$B15)</f>
        <v>0.12461353892990598</v>
      </c>
      <c r="L22" s="79" t="s">
        <v>452</v>
      </c>
    </row>
    <row r="23" spans="1:12" x14ac:dyDescent="0.35">
      <c r="A23" s="6" t="str">
        <f>VLOOKUP(C23,Technologies!$A$7:$G$506,3,FALSE)</f>
        <v>Final</v>
      </c>
      <c r="B23" s="6" t="str">
        <f>VLOOKUP(C23,Technologies!$A$7:$G$506,7,FALSE)</f>
        <v>House with insulation GFE - Residential Dwellings</v>
      </c>
      <c r="C23" s="6" t="s">
        <v>694</v>
      </c>
      <c r="D23" s="9" t="s">
        <v>457</v>
      </c>
      <c r="E23" s="56">
        <f>(2900-Activities!C$6)*Parameters!$B27/(Parameters!$B27*2900+Parameters!$B16)</f>
        <v>0</v>
      </c>
      <c r="F23" s="56">
        <f>(2900-Activities!D$6)*Parameters!$B27/(Parameters!$B27*2900+Parameters!$B16)</f>
        <v>1.5707928088091797E-2</v>
      </c>
      <c r="G23" s="56">
        <f>(2900-Activities!E$6)*Parameters!$B27/(Parameters!$B27*2900+Parameters!$B16)</f>
        <v>3.1415856176183594E-2</v>
      </c>
      <c r="H23" s="56">
        <f>(2900-Activities!F$6)*Parameters!$B27/(Parameters!$B27*2900+Parameters!$B16)</f>
        <v>5.9690126734748827E-2</v>
      </c>
      <c r="I23" s="56">
        <f>(2900-Activities!G$6)*Parameters!$B27/(Parameters!$B27*2900+Parameters!$B16)</f>
        <v>8.7964397293314053E-2</v>
      </c>
      <c r="J23" s="56">
        <f>(2900-Activities!H$6)*Parameters!$B27/(Parameters!$B27*2900+Parameters!$B16)</f>
        <v>0.11623866785187929</v>
      </c>
      <c r="K23" s="56">
        <f>(2900-Activities!I$6)*Parameters!$B27/(Parameters!$B27*2900+Parameters!$B16)</f>
        <v>0.14451293841044452</v>
      </c>
      <c r="L23" s="80" t="s">
        <v>452</v>
      </c>
    </row>
    <row r="24" spans="1:12" x14ac:dyDescent="0.35">
      <c r="A24" s="5" t="str">
        <f>VLOOKUP(C24,Technologies!$A$7:$G$506,3,FALSE)</f>
        <v>Final</v>
      </c>
      <c r="B24" s="5" t="str">
        <f>VLOOKUP(C24,Technologies!$A$7:$G$506,7,FALSE)</f>
        <v>House with insulation DC - Residential Dwellings</v>
      </c>
      <c r="C24" s="5" t="s">
        <v>697</v>
      </c>
      <c r="D24" s="54" t="s">
        <v>457</v>
      </c>
      <c r="E24" s="55">
        <f>(2900-Activities!C$6)*Parameters!$B28/(Parameters!$B28*2900+Parameters!$B16)</f>
        <v>0</v>
      </c>
      <c r="F24" s="55">
        <f>(2900-Activities!D$6)*Parameters!$B28/(Parameters!$B28*2900+Parameters!$B16)</f>
        <v>1.5478484905980687E-2</v>
      </c>
      <c r="G24" s="55">
        <f>(2900-Activities!E$6)*Parameters!$B28/(Parameters!$B28*2900+Parameters!$B16)</f>
        <v>3.0956969811961374E-2</v>
      </c>
      <c r="H24" s="55">
        <f>(2900-Activities!F$6)*Parameters!$B28/(Parameters!$B28*2900+Parameters!$B16)</f>
        <v>5.8818242642726615E-2</v>
      </c>
      <c r="I24" s="55">
        <f>(2900-Activities!G$6)*Parameters!$B28/(Parameters!$B28*2900+Parameters!$B16)</f>
        <v>8.6679515473491855E-2</v>
      </c>
      <c r="J24" s="55">
        <f>(2900-Activities!H$6)*Parameters!$B28/(Parameters!$B28*2900+Parameters!$B16)</f>
        <v>0.1145407883042571</v>
      </c>
      <c r="K24" s="55">
        <f>(2900-Activities!I$6)*Parameters!$B28/(Parameters!$B28*2900+Parameters!$B16)</f>
        <v>0.14240206113502232</v>
      </c>
      <c r="L24" s="79" t="s">
        <v>452</v>
      </c>
    </row>
    <row r="25" spans="1:12" x14ac:dyDescent="0.35">
      <c r="A25" s="6" t="str">
        <f>VLOOKUP(C25,Technologies!$A$7:$G$506,3,FALSE)</f>
        <v>Final</v>
      </c>
      <c r="B25" s="6" t="str">
        <f>VLOOKUP(C25,Technologies!$A$7:$G$506,7,FALSE)</f>
        <v>House with insulation B - Residential Dwellings</v>
      </c>
      <c r="C25" s="6" t="s">
        <v>700</v>
      </c>
      <c r="D25" s="9" t="s">
        <v>460</v>
      </c>
      <c r="E25" s="56">
        <f>(2900-Activities!C$6)*Parameters!$B29/(Parameters!$B29*2900+Parameters!$B16)</f>
        <v>0</v>
      </c>
      <c r="F25" s="56">
        <f>(2900-Activities!D$6)*Parameters!$B29/(Parameters!$B29*2900+Parameters!$B16)</f>
        <v>1.5269051866362279E-2</v>
      </c>
      <c r="G25" s="56">
        <f>(2900-Activities!E$6)*Parameters!$B29/(Parameters!$B29*2900+Parameters!$B16)</f>
        <v>3.0538103732724559E-2</v>
      </c>
      <c r="H25" s="56">
        <f>(2900-Activities!F$6)*Parameters!$B29/(Parameters!$B29*2900+Parameters!$B16)</f>
        <v>5.8022397092176659E-2</v>
      </c>
      <c r="I25" s="56">
        <f>(2900-Activities!G$6)*Parameters!$B29/(Parameters!$B29*2900+Parameters!$B16)</f>
        <v>8.5506690451628758E-2</v>
      </c>
      <c r="J25" s="56">
        <f>(2900-Activities!H$6)*Parameters!$B29/(Parameters!$B29*2900+Parameters!$B16)</f>
        <v>0.11299098381108086</v>
      </c>
      <c r="K25" s="56">
        <f>(2900-Activities!I$6)*Parameters!$B29/(Parameters!$B29*2900+Parameters!$B16)</f>
        <v>0.14047527717053296</v>
      </c>
      <c r="L25" s="80" t="s">
        <v>452</v>
      </c>
    </row>
    <row r="26" spans="1:12" x14ac:dyDescent="0.35">
      <c r="A26" s="5" t="str">
        <f>VLOOKUP(C26,Technologies!$A$7:$G$506,3,FALSE)</f>
        <v>Final</v>
      </c>
      <c r="B26" s="5" t="str">
        <f>VLOOKUP(C26,Technologies!$A$7:$G$506,7,FALSE)</f>
        <v>House with insulation A - Residential Dwellings</v>
      </c>
      <c r="C26" s="5" t="s">
        <v>702</v>
      </c>
      <c r="D26" s="54" t="s">
        <v>460</v>
      </c>
      <c r="E26" s="55">
        <f>(2900-Activities!C$6)*Parameters!$B30/(Parameters!$B30*2900+Parameters!$B16)</f>
        <v>0</v>
      </c>
      <c r="F26" s="55">
        <f>(2900-Activities!D$6)*Parameters!$B30/(Parameters!$B30*2900+Parameters!$B16)</f>
        <v>1.4672571265042417E-2</v>
      </c>
      <c r="G26" s="55">
        <f>(2900-Activities!E$6)*Parameters!$B30/(Parameters!$B30*2900+Parameters!$B16)</f>
        <v>2.9345142530084835E-2</v>
      </c>
      <c r="H26" s="55">
        <f>(2900-Activities!F$6)*Parameters!$B30/(Parameters!$B30*2900+Parameters!$B16)</f>
        <v>5.5755770807161188E-2</v>
      </c>
      <c r="I26" s="55">
        <f>(2900-Activities!G$6)*Parameters!$B30/(Parameters!$B30*2900+Parameters!$B16)</f>
        <v>8.2166399084237535E-2</v>
      </c>
      <c r="J26" s="55">
        <f>(2900-Activities!H$6)*Parameters!$B30/(Parameters!$B30*2900+Parameters!$B16)</f>
        <v>0.1085770273613139</v>
      </c>
      <c r="K26" s="55">
        <f>(2900-Activities!I$6)*Parameters!$B30/(Parameters!$B30*2900+Parameters!$B16)</f>
        <v>0.13498765563839024</v>
      </c>
      <c r="L26" s="79" t="s">
        <v>452</v>
      </c>
    </row>
    <row r="27" spans="1:12" x14ac:dyDescent="0.35">
      <c r="A27" s="6" t="str">
        <f>VLOOKUP(C27,Technologies!$A$7:$G$506,3,FALSE)</f>
        <v>Final</v>
      </c>
      <c r="B27" s="6" t="str">
        <f>VLOOKUP(C27,Technologies!$A$7:$G$506,7,FALSE)</f>
        <v>House with insulation A+ - Residential Dwellings</v>
      </c>
      <c r="C27" s="6" t="s">
        <v>704</v>
      </c>
      <c r="D27" s="9" t="s">
        <v>460</v>
      </c>
      <c r="E27" s="56">
        <f>(2900-Activities!C$6)*Parameters!$B31/(Parameters!$B31*2900+Parameters!$B16)</f>
        <v>0</v>
      </c>
      <c r="F27" s="56">
        <f>(2900-Activities!D$6)*Parameters!$B31/(Parameters!$B31*2900+Parameters!$B16)</f>
        <v>1.4176846027879204E-2</v>
      </c>
      <c r="G27" s="56">
        <f>(2900-Activities!E$6)*Parameters!$B31/(Parameters!$B31*2900+Parameters!$B16)</f>
        <v>2.8353692055758408E-2</v>
      </c>
      <c r="H27" s="56">
        <f>(2900-Activities!F$6)*Parameters!$B31/(Parameters!$B31*2900+Parameters!$B16)</f>
        <v>5.3872014905940971E-2</v>
      </c>
      <c r="I27" s="56">
        <f>(2900-Activities!G$6)*Parameters!$B31/(Parameters!$B31*2900+Parameters!$B16)</f>
        <v>7.9390337756123544E-2</v>
      </c>
      <c r="J27" s="56">
        <f>(2900-Activities!H$6)*Parameters!$B31/(Parameters!$B31*2900+Parameters!$B16)</f>
        <v>0.1049086606063061</v>
      </c>
      <c r="K27" s="56">
        <f>(2900-Activities!I$6)*Parameters!$B31/(Parameters!$B31*2900+Parameters!$B16)</f>
        <v>0.13042698345648868</v>
      </c>
      <c r="L27" s="80" t="s">
        <v>452</v>
      </c>
    </row>
    <row r="28" spans="1:12" x14ac:dyDescent="0.35">
      <c r="A28" s="5" t="str">
        <f>VLOOKUP(C28,Technologies!$A$7:$G$506,3,FALSE)</f>
        <v>Final</v>
      </c>
      <c r="B28" s="5" t="str">
        <f>VLOOKUP(C28,Technologies!$A$7:$G$506,7,FALSE)</f>
        <v>Space with insulation GFE - Services</v>
      </c>
      <c r="C28" s="5" t="s">
        <v>713</v>
      </c>
      <c r="D28" s="54" t="s">
        <v>461</v>
      </c>
      <c r="E28" s="55">
        <f>(2900-Activities!C$6)*Parameters!$B33/(Parameters!$B33*2900+Parameters!$B$32)</f>
        <v>0</v>
      </c>
      <c r="F28" s="55">
        <f>(2900-Activities!D$6)*Parameters!$B33/(Parameters!$B33*2900+Parameters!$B$32)</f>
        <v>1.6009280742459397E-2</v>
      </c>
      <c r="G28" s="55">
        <f>(2900-Activities!E$6)*Parameters!$B33/(Parameters!$B33*2900+Parameters!$B$32)</f>
        <v>3.2018561484918794E-2</v>
      </c>
      <c r="H28" s="55">
        <f>(2900-Activities!F$6)*Parameters!$B33/(Parameters!$B33*2900+Parameters!$B$32)</f>
        <v>6.0835266821345706E-2</v>
      </c>
      <c r="I28" s="55">
        <f>(2900-Activities!G$6)*Parameters!$B33/(Parameters!$B33*2900+Parameters!$B$32)</f>
        <v>8.9651972157772611E-2</v>
      </c>
      <c r="J28" s="55">
        <f>(2900-Activities!H$6)*Parameters!$B33/(Parameters!$B33*2900+Parameters!$B$32)</f>
        <v>0.11846867749419952</v>
      </c>
      <c r="K28" s="55">
        <f>(2900-Activities!I$6)*Parameters!$B33/(Parameters!$B33*2900+Parameters!$B$32)</f>
        <v>0.14728538283062645</v>
      </c>
      <c r="L28" s="79" t="s">
        <v>1873</v>
      </c>
    </row>
    <row r="29" spans="1:12" x14ac:dyDescent="0.35">
      <c r="A29" s="6" t="str">
        <f>VLOOKUP(C29,Technologies!$A$7:$G$506,3,FALSE)</f>
        <v>Final</v>
      </c>
      <c r="B29" s="6" t="str">
        <f>VLOOKUP(C29,Technologies!$A$7:$G$506,7,FALSE)</f>
        <v>Space with insulation DC - Services</v>
      </c>
      <c r="C29" s="6" t="s">
        <v>717</v>
      </c>
      <c r="D29" s="9" t="s">
        <v>461</v>
      </c>
      <c r="E29" s="56">
        <f>(2900-Activities!C$6)*Parameters!$B34/(Parameters!$B34*2900+Parameters!$B$32)</f>
        <v>0</v>
      </c>
      <c r="F29" s="56">
        <f>(2900-Activities!D$6)*Parameters!$B34/(Parameters!$B34*2900+Parameters!$B$32)</f>
        <v>1.5043661796962296E-2</v>
      </c>
      <c r="G29" s="56">
        <f>(2900-Activities!E$6)*Parameters!$B34/(Parameters!$B34*2900+Parameters!$B$32)</f>
        <v>3.0087323593924593E-2</v>
      </c>
      <c r="H29" s="56">
        <f>(2900-Activities!F$6)*Parameters!$B34/(Parameters!$B34*2900+Parameters!$B$32)</f>
        <v>5.7165914828456725E-2</v>
      </c>
      <c r="I29" s="56">
        <f>(2900-Activities!G$6)*Parameters!$B34/(Parameters!$B34*2900+Parameters!$B$32)</f>
        <v>8.4244506062988861E-2</v>
      </c>
      <c r="J29" s="56">
        <f>(2900-Activities!H$6)*Parameters!$B34/(Parameters!$B34*2900+Parameters!$B$32)</f>
        <v>0.11132309729752099</v>
      </c>
      <c r="K29" s="56">
        <f>(2900-Activities!I$6)*Parameters!$B34/(Parameters!$B34*2900+Parameters!$B$32)</f>
        <v>0.13840168853205312</v>
      </c>
      <c r="L29" s="80" t="s">
        <v>1873</v>
      </c>
    </row>
    <row r="30" spans="1:12" x14ac:dyDescent="0.35">
      <c r="A30" s="5" t="str">
        <f>VLOOKUP(C30,Technologies!$A$7:$G$506,3,FALSE)</f>
        <v>Final</v>
      </c>
      <c r="B30" s="5" t="str">
        <f>VLOOKUP(C30,Technologies!$A$7:$G$506,7,FALSE)</f>
        <v>Space with insulation B - Services</v>
      </c>
      <c r="C30" s="5" t="s">
        <v>719</v>
      </c>
      <c r="D30" s="54" t="s">
        <v>461</v>
      </c>
      <c r="E30" s="55">
        <f>(2900-Activities!C$6)*Parameters!$B35/(Parameters!$B35*2900+Parameters!$B$32)</f>
        <v>0</v>
      </c>
      <c r="F30" s="55">
        <f>(2900-Activities!D$6)*Parameters!$B35/(Parameters!$B35*2900+Parameters!$B$32)</f>
        <v>1.4595994819169074E-2</v>
      </c>
      <c r="G30" s="55">
        <f>(2900-Activities!E$6)*Parameters!$B35/(Parameters!$B35*2900+Parameters!$B$32)</f>
        <v>2.9191989638338148E-2</v>
      </c>
      <c r="H30" s="55">
        <f>(2900-Activities!F$6)*Parameters!$B35/(Parameters!$B35*2900+Parameters!$B$32)</f>
        <v>5.5464780312842479E-2</v>
      </c>
      <c r="I30" s="55">
        <f>(2900-Activities!G$6)*Parameters!$B35/(Parameters!$B35*2900+Parameters!$B$32)</f>
        <v>8.1737570987346825E-2</v>
      </c>
      <c r="J30" s="55">
        <f>(2900-Activities!H$6)*Parameters!$B35/(Parameters!$B35*2900+Parameters!$B$32)</f>
        <v>0.10801036166185114</v>
      </c>
      <c r="K30" s="55">
        <f>(2900-Activities!I$6)*Parameters!$B35/(Parameters!$B35*2900+Parameters!$B$32)</f>
        <v>0.13428315233635549</v>
      </c>
      <c r="L30" s="79" t="s">
        <v>1873</v>
      </c>
    </row>
    <row r="31" spans="1:12" x14ac:dyDescent="0.35">
      <c r="A31" s="6" t="str">
        <f>VLOOKUP(C31,Technologies!$A$7:$G$506,3,FALSE)</f>
        <v>Final</v>
      </c>
      <c r="B31" s="6" t="str">
        <f>VLOOKUP(C31,Technologies!$A$7:$G$506,7,FALSE)</f>
        <v>Space with insulation A - Services</v>
      </c>
      <c r="C31" s="6" t="s">
        <v>721</v>
      </c>
      <c r="D31" s="9" t="s">
        <v>461</v>
      </c>
      <c r="E31" s="56">
        <f>(2900-Activities!C$6)*Parameters!$B36/(Parameters!$B36*2900+Parameters!$B$32)</f>
        <v>0</v>
      </c>
      <c r="F31" s="56">
        <f>(2900-Activities!D$6)*Parameters!$B36/(Parameters!$B36*2900+Parameters!$B$32)</f>
        <v>1.3882739864651193E-2</v>
      </c>
      <c r="G31" s="56">
        <f>(2900-Activities!E$6)*Parameters!$B36/(Parameters!$B36*2900+Parameters!$B$32)</f>
        <v>2.7765479729302385E-2</v>
      </c>
      <c r="H31" s="56">
        <f>(2900-Activities!F$6)*Parameters!$B36/(Parameters!$B36*2900+Parameters!$B$32)</f>
        <v>5.2754411485674529E-2</v>
      </c>
      <c r="I31" s="56">
        <f>(2900-Activities!G$6)*Parameters!$B36/(Parameters!$B36*2900+Parameters!$B$32)</f>
        <v>7.7743343242046667E-2</v>
      </c>
      <c r="J31" s="56">
        <f>(2900-Activities!H$6)*Parameters!$B36/(Parameters!$B36*2900+Parameters!$B$32)</f>
        <v>0.10273227499841883</v>
      </c>
      <c r="K31" s="56">
        <f>(2900-Activities!I$6)*Parameters!$B36/(Parameters!$B36*2900+Parameters!$B$32)</f>
        <v>0.12772120675479096</v>
      </c>
      <c r="L31" s="80" t="s">
        <v>1873</v>
      </c>
    </row>
    <row r="32" spans="1:12" x14ac:dyDescent="0.35">
      <c r="A32" s="5" t="str">
        <f>VLOOKUP(C32,Technologies!$A$7:$G$506,3,FALSE)</f>
        <v>Final</v>
      </c>
      <c r="B32" s="5" t="str">
        <f>VLOOKUP(C32,Technologies!$A$7:$G$506,7,FALSE)</f>
        <v>Space with insulation A+ - Services</v>
      </c>
      <c r="C32" s="5" t="s">
        <v>723</v>
      </c>
      <c r="D32" s="54" t="s">
        <v>461</v>
      </c>
      <c r="E32" s="55">
        <f>(2900-Activities!C$6)*Parameters!$B37/(Parameters!$B37*2900+Parameters!$B$32)</f>
        <v>0</v>
      </c>
      <c r="F32" s="55">
        <f>(2900-Activities!D$6)*Parameters!$B37/(Parameters!$B37*2900+Parameters!$B$32)</f>
        <v>1.3322016384973059E-2</v>
      </c>
      <c r="G32" s="55">
        <f>(2900-Activities!E$6)*Parameters!$B37/(Parameters!$B37*2900+Parameters!$B$32)</f>
        <v>2.6644032769946119E-2</v>
      </c>
      <c r="H32" s="55">
        <f>(2900-Activities!F$6)*Parameters!$B37/(Parameters!$B37*2900+Parameters!$B$32)</f>
        <v>5.0623662262897627E-2</v>
      </c>
      <c r="I32" s="55">
        <f>(2900-Activities!G$6)*Parameters!$B37/(Parameters!$B37*2900+Parameters!$B$32)</f>
        <v>7.4603291755849135E-2</v>
      </c>
      <c r="J32" s="55">
        <f>(2900-Activities!H$6)*Parameters!$B37/(Parameters!$B37*2900+Parameters!$B$32)</f>
        <v>9.8582921248800637E-2</v>
      </c>
      <c r="K32" s="55">
        <f>(2900-Activities!I$6)*Parameters!$B37/(Parameters!$B37*2900+Parameters!$B$32)</f>
        <v>0.12256255074175217</v>
      </c>
      <c r="L32" s="79" t="s">
        <v>1873</v>
      </c>
    </row>
    <row r="33" spans="1:12" x14ac:dyDescent="0.35">
      <c r="A33" s="6" t="str">
        <f>VLOOKUP(C33,Technologies!$A$7:$G$506,3,FALSE)</f>
        <v>Conversion</v>
      </c>
      <c r="B33" s="6" t="str">
        <f>VLOOKUP(C33,Technologies!$A$7:$G$506,7,FALSE)</f>
        <v>Electric Heat Pump Air - LT Heat for Houses</v>
      </c>
      <c r="C33" s="6" t="s">
        <v>1345</v>
      </c>
      <c r="D33" s="9" t="s">
        <v>456</v>
      </c>
      <c r="E33" s="56"/>
      <c r="F33" s="56">
        <v>0.02</v>
      </c>
      <c r="G33" s="56">
        <v>0.05</v>
      </c>
      <c r="H33" s="56">
        <v>0.06</v>
      </c>
      <c r="I33" s="56">
        <v>7.0000000000000007E-2</v>
      </c>
      <c r="J33" s="56">
        <v>0.08</v>
      </c>
      <c r="K33" s="56">
        <v>0.09</v>
      </c>
      <c r="L33" s="80" t="s">
        <v>1874</v>
      </c>
    </row>
    <row r="34" spans="1:12" x14ac:dyDescent="0.35">
      <c r="A34" s="5" t="str">
        <f>VLOOKUP(C34,Technologies!$A$7:$G$506,3,FALSE)</f>
        <v>Conversion</v>
      </c>
      <c r="B34" s="5" t="str">
        <f>VLOOKUP(C34,Technologies!$A$7:$G$506,7,FALSE)</f>
        <v>Electric Heat Pump GW - LT Heat for Houses</v>
      </c>
      <c r="C34" s="5" t="s">
        <v>1350</v>
      </c>
      <c r="D34" s="54" t="s">
        <v>456</v>
      </c>
      <c r="E34" s="55"/>
      <c r="F34" s="55">
        <v>0.02</v>
      </c>
      <c r="G34" s="55">
        <v>3.5000000000000003E-2</v>
      </c>
      <c r="H34" s="55">
        <v>4.4999999999999998E-2</v>
      </c>
      <c r="I34" s="55">
        <v>5.5E-2</v>
      </c>
      <c r="J34" s="55">
        <v>6.5000000000000002E-2</v>
      </c>
      <c r="K34" s="55">
        <v>7.0000000000000007E-2</v>
      </c>
      <c r="L34" s="79" t="s">
        <v>1875</v>
      </c>
    </row>
  </sheetData>
  <mergeCells count="2">
    <mergeCell ref="E2:K2"/>
    <mergeCell ref="A2:C2"/>
  </mergeCells>
  <pageMargins left="0.7" right="0.7" top="0.75" bottom="0.75" header="0.3" footer="0.3"/>
  <pageSetup orientation="portrait" r:id="rId1"/>
  <legacy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9">
    <tabColor rgb="FF0070C0"/>
  </sheetPr>
  <dimension ref="A1:AY8764"/>
  <sheetViews>
    <sheetView topLeftCell="L1" zoomScale="85" zoomScaleNormal="85" workbookViewId="0">
      <selection activeCell="V1" sqref="V1:AA1048576"/>
    </sheetView>
  </sheetViews>
  <sheetFormatPr defaultColWidth="15" defaultRowHeight="14.5" x14ac:dyDescent="0.35"/>
  <cols>
    <col min="1" max="1" width="5" style="1" bestFit="1" customWidth="1"/>
    <col min="2" max="2" width="5" style="1" customWidth="1"/>
    <col min="3" max="3" width="6.08984375" style="1" bestFit="1" customWidth="1"/>
    <col min="4" max="5" width="12" style="1" bestFit="1" customWidth="1"/>
    <col min="6" max="8" width="12" style="1" customWidth="1"/>
    <col min="9" max="9" width="12" style="1" bestFit="1" customWidth="1"/>
    <col min="10" max="10" width="12.90625" style="1" bestFit="1" customWidth="1"/>
    <col min="11" max="11" width="15.54296875" style="1" bestFit="1" customWidth="1"/>
    <col min="12" max="12" width="14.08984375" style="1" bestFit="1" customWidth="1"/>
    <col min="13" max="14" width="14.08984375" style="1" customWidth="1"/>
    <col min="15" max="15" width="17.08984375" style="1" customWidth="1"/>
    <col min="16" max="17" width="14.08984375" style="1" customWidth="1"/>
    <col min="18" max="20" width="12" style="1" bestFit="1" customWidth="1"/>
    <col min="21" max="21" width="13.90625" style="1" bestFit="1" customWidth="1"/>
    <col min="22" max="26" width="15" style="1"/>
    <col min="52" max="16384" width="15" style="1"/>
  </cols>
  <sheetData>
    <row r="1" spans="1:27" x14ac:dyDescent="0.35">
      <c r="A1" s="2"/>
      <c r="B1" s="2"/>
      <c r="C1" s="2"/>
      <c r="D1" s="2"/>
      <c r="E1" s="2"/>
      <c r="F1" s="2"/>
      <c r="G1" s="2"/>
      <c r="H1" s="2"/>
      <c r="I1" s="2"/>
      <c r="J1" s="2"/>
      <c r="K1" s="2"/>
      <c r="L1" s="2"/>
      <c r="M1" s="2"/>
      <c r="N1" s="2"/>
      <c r="O1" s="2"/>
      <c r="P1" s="2"/>
      <c r="Q1" s="2"/>
      <c r="R1" s="2"/>
      <c r="S1" s="2"/>
      <c r="T1" s="2"/>
      <c r="U1" s="2"/>
      <c r="AA1" s="1"/>
    </row>
    <row r="2" spans="1:27" x14ac:dyDescent="0.35">
      <c r="A2" s="7"/>
      <c r="B2" s="7"/>
      <c r="C2" s="7"/>
      <c r="D2" s="24" t="s">
        <v>1876</v>
      </c>
      <c r="E2" s="24"/>
      <c r="F2" s="24"/>
      <c r="G2" s="24"/>
      <c r="H2" s="24"/>
      <c r="I2" s="32"/>
      <c r="J2" s="32">
        <f>MAX(J5:J8764)</f>
        <v>1.5972E-4</v>
      </c>
      <c r="K2" s="32"/>
      <c r="L2" s="38"/>
      <c r="M2" s="38"/>
      <c r="N2" s="38"/>
      <c r="O2" s="38"/>
      <c r="P2" s="38"/>
      <c r="Q2" s="38"/>
      <c r="R2" s="50" t="s">
        <v>1877</v>
      </c>
      <c r="S2" s="50"/>
      <c r="T2" s="50"/>
      <c r="U2" s="50"/>
      <c r="AA2" s="1"/>
    </row>
    <row r="3" spans="1:27" ht="29" x14ac:dyDescent="0.35">
      <c r="A3" s="8" t="s">
        <v>1878</v>
      </c>
      <c r="B3" s="8" t="s">
        <v>1879</v>
      </c>
      <c r="C3" s="8" t="s">
        <v>1880</v>
      </c>
      <c r="D3" s="15" t="s">
        <v>745</v>
      </c>
      <c r="E3" s="15" t="s">
        <v>1881</v>
      </c>
      <c r="F3" s="15" t="s">
        <v>732</v>
      </c>
      <c r="G3" s="15" t="s">
        <v>965</v>
      </c>
      <c r="H3" s="15" t="s">
        <v>974</v>
      </c>
      <c r="I3" s="4" t="s">
        <v>1237</v>
      </c>
      <c r="J3" s="4" t="s">
        <v>661</v>
      </c>
      <c r="K3" s="4" t="s">
        <v>672</v>
      </c>
      <c r="L3" s="4" t="s">
        <v>1035</v>
      </c>
      <c r="M3" s="4" t="s">
        <v>1071</v>
      </c>
      <c r="N3" s="4" t="s">
        <v>1091</v>
      </c>
      <c r="O3" s="4" t="s">
        <v>1882</v>
      </c>
      <c r="P3" s="4" t="s">
        <v>1883</v>
      </c>
      <c r="Q3" s="4" t="s">
        <v>1884</v>
      </c>
      <c r="R3" s="3" t="s">
        <v>1285</v>
      </c>
      <c r="S3" s="3" t="s">
        <v>1250</v>
      </c>
      <c r="T3" s="3" t="s">
        <v>1290</v>
      </c>
      <c r="U3" s="3" t="s">
        <v>1303</v>
      </c>
      <c r="AA3" s="1"/>
    </row>
    <row r="4" spans="1:27" ht="15" customHeight="1" x14ac:dyDescent="0.35">
      <c r="A4" s="430" t="s">
        <v>1885</v>
      </c>
      <c r="B4" s="430"/>
      <c r="C4" s="430"/>
      <c r="D4" s="91" t="s">
        <v>502</v>
      </c>
      <c r="E4" s="91" t="s">
        <v>502</v>
      </c>
      <c r="F4" s="91" t="s">
        <v>502</v>
      </c>
      <c r="G4" s="91" t="s">
        <v>502</v>
      </c>
      <c r="H4" s="91" t="s">
        <v>502</v>
      </c>
      <c r="I4" s="91" t="s">
        <v>415</v>
      </c>
      <c r="J4" s="91" t="s">
        <v>415</v>
      </c>
      <c r="K4" s="91" t="s">
        <v>452</v>
      </c>
      <c r="L4" s="91" t="s">
        <v>502</v>
      </c>
      <c r="M4" s="91" t="s">
        <v>502</v>
      </c>
      <c r="N4" s="91" t="s">
        <v>502</v>
      </c>
      <c r="O4" s="91" t="s">
        <v>502</v>
      </c>
      <c r="P4" s="91" t="s">
        <v>502</v>
      </c>
      <c r="Q4" s="91" t="s">
        <v>502</v>
      </c>
      <c r="R4" s="91" t="s">
        <v>1886</v>
      </c>
      <c r="S4" s="91" t="s">
        <v>1886</v>
      </c>
      <c r="T4" s="91" t="s">
        <v>1886</v>
      </c>
      <c r="U4" s="91" t="s">
        <v>1887</v>
      </c>
      <c r="V4" s="91"/>
      <c r="W4" s="91"/>
      <c r="X4" s="91"/>
      <c r="Y4" s="91"/>
      <c r="Z4" s="91"/>
      <c r="AA4" s="91"/>
    </row>
    <row r="5" spans="1:27" x14ac:dyDescent="0.35">
      <c r="A5" s="5">
        <v>1</v>
      </c>
      <c r="B5" s="5">
        <v>1</v>
      </c>
      <c r="C5" s="5">
        <v>1</v>
      </c>
      <c r="D5" s="25">
        <v>1.1416E-4</v>
      </c>
      <c r="E5" s="25">
        <v>1.1806E-4</v>
      </c>
      <c r="F5" s="25">
        <v>1.3708000000000001E-4</v>
      </c>
      <c r="G5" s="25">
        <v>5.2590000000000003E-5</v>
      </c>
      <c r="H5" s="25">
        <v>6.6190000000000002E-5</v>
      </c>
      <c r="I5" s="9">
        <v>1.0355E-4</v>
      </c>
      <c r="J5" s="9">
        <v>9.9569999999999997E-5</v>
      </c>
      <c r="K5" s="9">
        <v>1.6742999999999999E-4</v>
      </c>
      <c r="L5" s="9">
        <v>6.7070000000000007E-5</v>
      </c>
      <c r="M5" s="9">
        <v>7.3919999999999997E-5</v>
      </c>
      <c r="N5" s="9">
        <v>8.0950000000000003E-5</v>
      </c>
      <c r="O5" s="9">
        <v>5.4759999999999997E-5</v>
      </c>
      <c r="P5" s="9">
        <v>5.4169999999999998E-5</v>
      </c>
      <c r="Q5" s="9">
        <v>5.3749999999999999E-5</v>
      </c>
      <c r="R5" s="10">
        <v>2.0737761377952505E-4</v>
      </c>
      <c r="S5" s="10">
        <v>1.9026816040385589E-4</v>
      </c>
      <c r="T5" s="10">
        <v>0</v>
      </c>
      <c r="U5" s="10">
        <v>1.7122E-4</v>
      </c>
      <c r="V5" s="25"/>
      <c r="W5" s="25"/>
      <c r="X5" s="25"/>
      <c r="Y5" s="25"/>
      <c r="Z5" s="25"/>
      <c r="AA5" s="25"/>
    </row>
    <row r="6" spans="1:27" x14ac:dyDescent="0.35">
      <c r="A6" s="5">
        <v>2</v>
      </c>
      <c r="B6" s="5">
        <v>1</v>
      </c>
      <c r="C6" s="5">
        <v>1</v>
      </c>
      <c r="D6" s="25">
        <v>1.1415000000000001E-4</v>
      </c>
      <c r="E6" s="25">
        <v>1.1415E-4</v>
      </c>
      <c r="F6" s="25">
        <v>1.3297999999999999E-4</v>
      </c>
      <c r="G6" s="25">
        <v>6.3529999999999997E-5</v>
      </c>
      <c r="H6" s="25">
        <v>6.5510000000000001E-5</v>
      </c>
      <c r="I6" s="9">
        <v>9.7759999999999999E-5</v>
      </c>
      <c r="J6" s="9">
        <v>9.7200000000000004E-5</v>
      </c>
      <c r="K6" s="9">
        <v>1.7590999999999999E-4</v>
      </c>
      <c r="L6" s="9">
        <v>5.7840000000000002E-5</v>
      </c>
      <c r="M6" s="9">
        <v>6.4010000000000005E-5</v>
      </c>
      <c r="N6" s="9">
        <v>7.1979999999999999E-5</v>
      </c>
      <c r="O6" s="9">
        <v>1.8099999999999999E-5</v>
      </c>
      <c r="P6" s="9">
        <v>3.7410000000000003E-5</v>
      </c>
      <c r="Q6" s="9">
        <v>5.5680000000000002E-5</v>
      </c>
      <c r="R6" s="10">
        <v>2.0737761377952505E-4</v>
      </c>
      <c r="S6" s="10">
        <v>1.9026816040385589E-4</v>
      </c>
      <c r="T6" s="10">
        <v>0</v>
      </c>
      <c r="U6" s="10">
        <v>1.7122E-4</v>
      </c>
      <c r="V6" s="25"/>
      <c r="W6" s="25"/>
      <c r="X6" s="25"/>
      <c r="Y6" s="25"/>
      <c r="Z6" s="25"/>
      <c r="AA6" s="25"/>
    </row>
    <row r="7" spans="1:27" x14ac:dyDescent="0.35">
      <c r="A7" s="5">
        <v>3</v>
      </c>
      <c r="B7" s="5">
        <v>1</v>
      </c>
      <c r="C7" s="5">
        <v>1</v>
      </c>
      <c r="D7" s="25">
        <v>1.1416E-4</v>
      </c>
      <c r="E7" s="25">
        <v>1.2021E-4</v>
      </c>
      <c r="F7" s="25">
        <v>1.204E-4</v>
      </c>
      <c r="G7" s="25">
        <v>5.8189999999999997E-5</v>
      </c>
      <c r="H7" s="25">
        <v>6.3239999999999998E-5</v>
      </c>
      <c r="I7" s="9">
        <v>9.276E-5</v>
      </c>
      <c r="J7" s="9">
        <v>9.3300000000000005E-5</v>
      </c>
      <c r="K7" s="9">
        <v>1.8650000000000001E-4</v>
      </c>
      <c r="L7" s="9">
        <v>2.705E-5</v>
      </c>
      <c r="M7" s="9">
        <v>5.2169999999999997E-5</v>
      </c>
      <c r="N7" s="9">
        <v>6.5370000000000006E-5</v>
      </c>
      <c r="O7" s="9">
        <v>1.261E-5</v>
      </c>
      <c r="P7" s="9">
        <v>3.752E-5</v>
      </c>
      <c r="Q7" s="9">
        <v>6.1160000000000004E-5</v>
      </c>
      <c r="R7" s="10">
        <v>2.0788368840074162E-4</v>
      </c>
      <c r="S7" s="10">
        <v>1.9026164296897656E-4</v>
      </c>
      <c r="T7" s="10">
        <v>0</v>
      </c>
      <c r="U7" s="10">
        <v>1.7122E-4</v>
      </c>
      <c r="V7" s="25"/>
      <c r="W7" s="25"/>
      <c r="X7" s="25"/>
      <c r="Y7" s="25"/>
      <c r="Z7" s="25"/>
      <c r="AA7" s="25"/>
    </row>
    <row r="8" spans="1:27" x14ac:dyDescent="0.35">
      <c r="A8" s="5">
        <v>4</v>
      </c>
      <c r="B8" s="5">
        <v>1</v>
      </c>
      <c r="C8" s="5">
        <v>1</v>
      </c>
      <c r="D8" s="25">
        <v>1.1415E-4</v>
      </c>
      <c r="E8" s="25">
        <v>1.2446000000000001E-4</v>
      </c>
      <c r="F8" s="25">
        <v>1.2808000000000001E-4</v>
      </c>
      <c r="G8" s="25">
        <v>5.3170000000000001E-5</v>
      </c>
      <c r="H8" s="25">
        <v>7.4430000000000004E-5</v>
      </c>
      <c r="I8" s="9">
        <v>8.9499999999999994E-5</v>
      </c>
      <c r="J8" s="9">
        <v>8.9629999999999994E-5</v>
      </c>
      <c r="K8" s="9">
        <v>2.2041000000000001E-4</v>
      </c>
      <c r="L8" s="9">
        <v>1.6549999999999999E-5</v>
      </c>
      <c r="M8" s="9">
        <v>4.4060000000000002E-5</v>
      </c>
      <c r="N8" s="9">
        <v>6.1749999999999997E-5</v>
      </c>
      <c r="O8" s="9">
        <v>1.276E-5</v>
      </c>
      <c r="P8" s="9">
        <v>4.744E-5</v>
      </c>
      <c r="Q8" s="9">
        <v>8.0690000000000002E-5</v>
      </c>
      <c r="R8" s="10">
        <v>2.0821444596859579E-4</v>
      </c>
      <c r="S8" s="10">
        <v>1.9023686207885666E-4</v>
      </c>
      <c r="T8" s="10">
        <v>0</v>
      </c>
      <c r="U8" s="10">
        <v>1.7122E-4</v>
      </c>
      <c r="V8" s="25"/>
      <c r="W8" s="25"/>
      <c r="X8" s="25"/>
      <c r="Y8" s="25"/>
      <c r="Z8" s="25"/>
      <c r="AA8" s="25"/>
    </row>
    <row r="9" spans="1:27" x14ac:dyDescent="0.35">
      <c r="A9" s="5">
        <v>5</v>
      </c>
      <c r="B9" s="5">
        <v>1</v>
      </c>
      <c r="C9" s="5">
        <v>1</v>
      </c>
      <c r="D9" s="25">
        <v>1.1416E-4</v>
      </c>
      <c r="E9" s="25">
        <v>1.2438999999999999E-4</v>
      </c>
      <c r="F9" s="25">
        <v>1.2299000000000001E-4</v>
      </c>
      <c r="G9" s="25">
        <v>6.3369999999999998E-5</v>
      </c>
      <c r="H9" s="25">
        <v>6.7630000000000001E-5</v>
      </c>
      <c r="I9" s="9">
        <v>8.7849999999999994E-5</v>
      </c>
      <c r="J9" s="9">
        <v>8.7709999999999999E-5</v>
      </c>
      <c r="K9" s="9">
        <v>2.4372E-4</v>
      </c>
      <c r="L9" s="9">
        <v>1.384E-5</v>
      </c>
      <c r="M9" s="9">
        <v>4.3449999999999999E-5</v>
      </c>
      <c r="N9" s="9">
        <v>6.4399999999999993E-5</v>
      </c>
      <c r="O9" s="9">
        <v>1.8369999999999999E-5</v>
      </c>
      <c r="P9" s="9">
        <v>5.6959999999999997E-5</v>
      </c>
      <c r="Q9" s="9">
        <v>9.4179999999999996E-5</v>
      </c>
      <c r="R9" s="10">
        <v>2.0868450222657386E-4</v>
      </c>
      <c r="S9" s="10">
        <v>1.9022954730777686E-4</v>
      </c>
      <c r="T9" s="10">
        <v>0</v>
      </c>
      <c r="U9" s="10">
        <v>1.7122E-4</v>
      </c>
      <c r="V9" s="25"/>
      <c r="W9" s="25"/>
      <c r="X9" s="25"/>
      <c r="Y9" s="25"/>
      <c r="Z9" s="25"/>
      <c r="AA9" s="25"/>
    </row>
    <row r="10" spans="1:27" x14ac:dyDescent="0.35">
      <c r="A10" s="5">
        <v>6</v>
      </c>
      <c r="B10" s="5">
        <v>1</v>
      </c>
      <c r="C10" s="5">
        <v>1</v>
      </c>
      <c r="D10" s="25">
        <v>1.1415000000000001E-4</v>
      </c>
      <c r="E10" s="25">
        <v>1.1429000000000001E-4</v>
      </c>
      <c r="F10" s="25">
        <v>1.3333E-4</v>
      </c>
      <c r="G10" s="25">
        <v>1.1257E-4</v>
      </c>
      <c r="H10" s="25">
        <v>1.3349999999999999E-4</v>
      </c>
      <c r="I10" s="9">
        <v>8.7849999999999994E-5</v>
      </c>
      <c r="J10" s="9">
        <v>8.7709999999999999E-5</v>
      </c>
      <c r="K10" s="9">
        <v>2.3735999999999999E-4</v>
      </c>
      <c r="L10" s="9">
        <v>1.7240000000000001E-5</v>
      </c>
      <c r="M10" s="9">
        <v>4.8520000000000003E-5</v>
      </c>
      <c r="N10" s="9">
        <v>7.1080000000000004E-5</v>
      </c>
      <c r="O10" s="9">
        <v>4.5710000000000001E-5</v>
      </c>
      <c r="P10" s="9">
        <v>7.6130000000000005E-5</v>
      </c>
      <c r="Q10" s="9">
        <v>1.0601E-4</v>
      </c>
      <c r="R10" s="10">
        <v>2.0910455107470233E-4</v>
      </c>
      <c r="S10" s="10">
        <v>1.8984220863108283E-4</v>
      </c>
      <c r="T10" s="10">
        <v>0</v>
      </c>
      <c r="U10" s="10">
        <v>1.7122E-4</v>
      </c>
      <c r="V10" s="25"/>
      <c r="W10" s="25"/>
      <c r="X10" s="25"/>
      <c r="Y10" s="25"/>
      <c r="Z10" s="25"/>
      <c r="AA10" s="25"/>
    </row>
    <row r="11" spans="1:27" x14ac:dyDescent="0.35">
      <c r="A11" s="5">
        <v>7</v>
      </c>
      <c r="B11" s="5">
        <v>1</v>
      </c>
      <c r="C11" s="5">
        <v>1</v>
      </c>
      <c r="D11" s="25">
        <v>1.1416E-4</v>
      </c>
      <c r="E11" s="25">
        <v>1.2515000000000001E-4</v>
      </c>
      <c r="F11" s="25">
        <v>1.2234E-4</v>
      </c>
      <c r="G11" s="25">
        <v>1.1147E-4</v>
      </c>
      <c r="H11" s="25">
        <v>1.3521E-4</v>
      </c>
      <c r="I11" s="9">
        <v>8.8789999999999995E-5</v>
      </c>
      <c r="J11" s="9">
        <v>8.9569999999999998E-5</v>
      </c>
      <c r="K11" s="9">
        <v>2.3525E-4</v>
      </c>
      <c r="L11" s="9">
        <v>3.93E-5</v>
      </c>
      <c r="M11" s="9">
        <v>5.9880000000000003E-5</v>
      </c>
      <c r="N11" s="9">
        <v>8.0569999999999996E-5</v>
      </c>
      <c r="O11" s="9">
        <v>1.2511E-4</v>
      </c>
      <c r="P11" s="9">
        <v>1.1813E-4</v>
      </c>
      <c r="Q11" s="9">
        <v>1.1315999999999999E-4</v>
      </c>
      <c r="R11" s="10">
        <v>2.0792199784329751E-4</v>
      </c>
      <c r="S11" s="10">
        <v>1.9026722285553265E-4</v>
      </c>
      <c r="T11" s="10">
        <v>0</v>
      </c>
      <c r="U11" s="10">
        <v>1.7122E-4</v>
      </c>
      <c r="V11" s="25"/>
      <c r="W11" s="25"/>
      <c r="X11" s="25"/>
      <c r="Y11" s="25"/>
      <c r="Z11" s="25"/>
      <c r="AA11" s="25"/>
    </row>
    <row r="12" spans="1:27" x14ac:dyDescent="0.35">
      <c r="A12" s="5">
        <v>8</v>
      </c>
      <c r="B12" s="5">
        <v>1</v>
      </c>
      <c r="C12" s="5">
        <v>1</v>
      </c>
      <c r="D12" s="25">
        <v>1.1415000000000001E-4</v>
      </c>
      <c r="E12" s="25">
        <v>1.2375E-4</v>
      </c>
      <c r="F12" s="25">
        <v>1.1951E-4</v>
      </c>
      <c r="G12" s="25">
        <v>1.5893999999999999E-4</v>
      </c>
      <c r="H12" s="25">
        <v>1.8765000000000001E-4</v>
      </c>
      <c r="I12" s="9">
        <v>8.755E-5</v>
      </c>
      <c r="J12" s="9">
        <v>9.2380000000000007E-5</v>
      </c>
      <c r="K12" s="9">
        <v>2.4372E-4</v>
      </c>
      <c r="L12" s="9">
        <v>1.0561E-4</v>
      </c>
      <c r="M12" s="9">
        <v>8.3770000000000006E-5</v>
      </c>
      <c r="N12" s="9">
        <v>9.0849999999999999E-5</v>
      </c>
      <c r="O12" s="9">
        <v>2.2236000000000001E-4</v>
      </c>
      <c r="P12" s="9">
        <v>1.7704999999999999E-4</v>
      </c>
      <c r="Q12" s="9">
        <v>1.3677000000000001E-4</v>
      </c>
      <c r="R12" s="10">
        <v>2.1064154031304175E-4</v>
      </c>
      <c r="S12" s="10">
        <v>1.9028986692580275E-4</v>
      </c>
      <c r="T12" s="10">
        <v>0</v>
      </c>
      <c r="U12" s="10">
        <v>1.7122E-4</v>
      </c>
      <c r="V12" s="25"/>
      <c r="W12" s="25"/>
      <c r="X12" s="25"/>
      <c r="Y12" s="25"/>
      <c r="Z12" s="25"/>
      <c r="AA12" s="25"/>
    </row>
    <row r="13" spans="1:27" x14ac:dyDescent="0.35">
      <c r="A13" s="5">
        <v>9</v>
      </c>
      <c r="B13" s="5">
        <v>1</v>
      </c>
      <c r="C13" s="5">
        <v>1</v>
      </c>
      <c r="D13" s="25">
        <v>1.1416E-4</v>
      </c>
      <c r="E13" s="25">
        <v>1.2396999999999999E-4</v>
      </c>
      <c r="F13" s="25">
        <v>1.2040999999999999E-4</v>
      </c>
      <c r="G13" s="25">
        <v>1.5833000000000001E-4</v>
      </c>
      <c r="H13" s="25">
        <v>1.8851999999999999E-4</v>
      </c>
      <c r="I13" s="9">
        <v>8.8140000000000007E-5</v>
      </c>
      <c r="J13" s="9">
        <v>9.4770000000000002E-5</v>
      </c>
      <c r="K13" s="9">
        <v>2.1193000000000001E-4</v>
      </c>
      <c r="L13" s="9">
        <v>1.9485999999999999E-4</v>
      </c>
      <c r="M13" s="9">
        <v>1.2354E-4</v>
      </c>
      <c r="N13" s="9">
        <v>1.0462E-4</v>
      </c>
      <c r="O13" s="9">
        <v>2.1199000000000001E-4</v>
      </c>
      <c r="P13" s="9">
        <v>1.9148E-4</v>
      </c>
      <c r="Q13" s="9">
        <v>1.7536E-4</v>
      </c>
      <c r="R13" s="10">
        <v>2.1205235669121035E-4</v>
      </c>
      <c r="S13" s="10">
        <v>1.9028543238359426E-4</v>
      </c>
      <c r="T13" s="10">
        <v>0</v>
      </c>
      <c r="U13" s="10">
        <v>1.7122E-4</v>
      </c>
      <c r="V13" s="25"/>
      <c r="W13" s="25"/>
      <c r="X13" s="25"/>
      <c r="Y13" s="25"/>
      <c r="Z13" s="25"/>
      <c r="AA13" s="25"/>
    </row>
    <row r="14" spans="1:27" x14ac:dyDescent="0.35">
      <c r="A14" s="5">
        <v>10</v>
      </c>
      <c r="B14" s="5">
        <v>1</v>
      </c>
      <c r="C14" s="5">
        <v>1</v>
      </c>
      <c r="D14" s="25">
        <v>1.1415000000000001E-4</v>
      </c>
      <c r="E14" s="25">
        <v>1.2212E-4</v>
      </c>
      <c r="F14" s="25">
        <v>1.3464E-4</v>
      </c>
      <c r="G14" s="25">
        <v>1.5791000000000001E-4</v>
      </c>
      <c r="H14" s="25">
        <v>1.9006000000000001E-4</v>
      </c>
      <c r="I14" s="9">
        <v>9.001E-5</v>
      </c>
      <c r="J14" s="9">
        <v>9.734E-5</v>
      </c>
      <c r="K14" s="9">
        <v>1.7803E-4</v>
      </c>
      <c r="L14" s="9">
        <v>2.0587000000000001E-4</v>
      </c>
      <c r="M14" s="9">
        <v>1.5808E-4</v>
      </c>
      <c r="N14" s="9">
        <v>1.2430000000000001E-4</v>
      </c>
      <c r="O14" s="9">
        <v>1.6974000000000001E-4</v>
      </c>
      <c r="P14" s="9">
        <v>1.7485999999999999E-4</v>
      </c>
      <c r="Q14" s="9">
        <v>1.829E-4</v>
      </c>
      <c r="R14" s="10">
        <v>2.1214311180979423E-4</v>
      </c>
      <c r="S14" s="10">
        <v>1.9024486595066469E-4</v>
      </c>
      <c r="T14" s="10">
        <v>2.081368316576962E-4</v>
      </c>
      <c r="U14" s="10">
        <v>1.7122E-4</v>
      </c>
      <c r="V14" s="25"/>
      <c r="W14" s="25"/>
      <c r="X14" s="25"/>
      <c r="Y14" s="25"/>
      <c r="Z14" s="25"/>
      <c r="AA14" s="25"/>
    </row>
    <row r="15" spans="1:27" x14ac:dyDescent="0.35">
      <c r="A15" s="5">
        <v>11</v>
      </c>
      <c r="B15" s="5">
        <v>1</v>
      </c>
      <c r="C15" s="5">
        <v>1</v>
      </c>
      <c r="D15" s="25">
        <v>1.1416E-4</v>
      </c>
      <c r="E15" s="25">
        <v>1.1862E-4</v>
      </c>
      <c r="F15" s="25">
        <v>1.3829000000000001E-4</v>
      </c>
      <c r="G15" s="25">
        <v>1.6309000000000001E-4</v>
      </c>
      <c r="H15" s="25">
        <v>1.9023E-4</v>
      </c>
      <c r="I15" s="9">
        <v>9.3209999999999997E-5</v>
      </c>
      <c r="J15" s="9">
        <v>1.0208E-4</v>
      </c>
      <c r="K15" s="9">
        <v>1.7166999999999999E-4</v>
      </c>
      <c r="L15" s="9">
        <v>1.7782E-4</v>
      </c>
      <c r="M15" s="9">
        <v>1.7207999999999999E-4</v>
      </c>
      <c r="N15" s="9">
        <v>1.4255999999999999E-4</v>
      </c>
      <c r="O15" s="9">
        <v>1.6808E-4</v>
      </c>
      <c r="P15" s="9">
        <v>1.7181E-4</v>
      </c>
      <c r="Q15" s="9">
        <v>1.7845E-4</v>
      </c>
      <c r="R15" s="10">
        <v>2.0735172297994142E-4</v>
      </c>
      <c r="S15" s="10">
        <v>1.902897732054548E-4</v>
      </c>
      <c r="T15" s="10">
        <v>1.6210102338382293E-4</v>
      </c>
      <c r="U15" s="10">
        <v>1.7122E-4</v>
      </c>
      <c r="V15" s="25"/>
      <c r="W15" s="25"/>
      <c r="X15" s="25"/>
      <c r="Y15" s="25"/>
      <c r="Z15" s="25"/>
      <c r="AA15" s="25"/>
    </row>
    <row r="16" spans="1:27" x14ac:dyDescent="0.35">
      <c r="A16" s="5">
        <v>12</v>
      </c>
      <c r="B16" s="5">
        <v>1</v>
      </c>
      <c r="C16" s="5">
        <v>1</v>
      </c>
      <c r="D16" s="25">
        <v>1.1415000000000001E-4</v>
      </c>
      <c r="E16" s="25">
        <v>1.1777000000000001E-4</v>
      </c>
      <c r="F16" s="25">
        <v>1.3132000000000001E-4</v>
      </c>
      <c r="G16" s="25">
        <v>1.6294000000000001E-4</v>
      </c>
      <c r="H16" s="25">
        <v>1.9986E-4</v>
      </c>
      <c r="I16" s="9">
        <v>9.6440000000000005E-5</v>
      </c>
      <c r="J16" s="9">
        <v>1.0459E-4</v>
      </c>
      <c r="K16" s="9">
        <v>1.7166999999999999E-4</v>
      </c>
      <c r="L16" s="9">
        <v>1.7160999999999999E-4</v>
      </c>
      <c r="M16" s="9">
        <v>1.7441000000000001E-4</v>
      </c>
      <c r="N16" s="9">
        <v>1.5644000000000001E-4</v>
      </c>
      <c r="O16" s="9">
        <v>1.7128E-4</v>
      </c>
      <c r="P16" s="9">
        <v>1.7087999999999999E-4</v>
      </c>
      <c r="Q16" s="9">
        <v>1.7354E-4</v>
      </c>
      <c r="R16" s="10">
        <v>2.1137817956996203E-4</v>
      </c>
      <c r="S16" s="10">
        <v>1.9028987911692236E-4</v>
      </c>
      <c r="T16" s="10">
        <v>3.1517475225909425E-4</v>
      </c>
      <c r="U16" s="10">
        <v>1.7122E-4</v>
      </c>
      <c r="V16" s="25"/>
      <c r="W16" s="25"/>
      <c r="X16" s="25"/>
      <c r="Y16" s="25"/>
      <c r="Z16" s="25"/>
      <c r="AA16" s="25"/>
    </row>
    <row r="17" spans="1:27" x14ac:dyDescent="0.35">
      <c r="A17" s="5">
        <v>13</v>
      </c>
      <c r="B17" s="5">
        <v>1</v>
      </c>
      <c r="C17" s="5">
        <v>1</v>
      </c>
      <c r="D17" s="25">
        <v>1.1416E-4</v>
      </c>
      <c r="E17" s="25">
        <v>1.2243000000000001E-4</v>
      </c>
      <c r="F17" s="25">
        <v>1.3333E-4</v>
      </c>
      <c r="G17" s="25">
        <v>1.6133E-4</v>
      </c>
      <c r="H17" s="25">
        <v>1.9001000000000001E-4</v>
      </c>
      <c r="I17" s="9">
        <v>9.836E-5</v>
      </c>
      <c r="J17" s="9">
        <v>1.054E-4</v>
      </c>
      <c r="K17" s="9">
        <v>1.5683E-4</v>
      </c>
      <c r="L17" s="9">
        <v>1.7153000000000001E-4</v>
      </c>
      <c r="M17" s="9">
        <v>1.7325000000000001E-4</v>
      </c>
      <c r="N17" s="9">
        <v>1.6579E-4</v>
      </c>
      <c r="O17" s="9">
        <v>1.6359999999999999E-4</v>
      </c>
      <c r="P17" s="9">
        <v>1.6415000000000001E-4</v>
      </c>
      <c r="Q17" s="9">
        <v>1.6755000000000001E-4</v>
      </c>
      <c r="R17" s="10">
        <v>2.1220031339338729E-4</v>
      </c>
      <c r="S17" s="10">
        <v>1.9029019106916355E-4</v>
      </c>
      <c r="T17" s="10">
        <v>2.2843976000258724E-4</v>
      </c>
      <c r="U17" s="10">
        <v>1.7122E-4</v>
      </c>
      <c r="V17" s="25"/>
      <c r="W17" s="25"/>
      <c r="X17" s="25"/>
      <c r="Y17" s="25"/>
      <c r="Z17" s="25"/>
      <c r="AA17" s="25"/>
    </row>
    <row r="18" spans="1:27" x14ac:dyDescent="0.35">
      <c r="A18" s="5">
        <v>14</v>
      </c>
      <c r="B18" s="5">
        <v>1</v>
      </c>
      <c r="C18" s="5">
        <v>1</v>
      </c>
      <c r="D18" s="25">
        <v>1.1415000000000001E-4</v>
      </c>
      <c r="E18" s="25">
        <v>1.2268000000000001E-4</v>
      </c>
      <c r="F18" s="25">
        <v>1.1893E-4</v>
      </c>
      <c r="G18" s="25">
        <v>1.6391999999999999E-4</v>
      </c>
      <c r="H18" s="25">
        <v>1.9830999999999999E-4</v>
      </c>
      <c r="I18" s="9">
        <v>9.8770000000000005E-5</v>
      </c>
      <c r="J18" s="9">
        <v>1.0590999999999999E-4</v>
      </c>
      <c r="K18" s="9">
        <v>1.5683E-4</v>
      </c>
      <c r="L18" s="9">
        <v>1.651E-4</v>
      </c>
      <c r="M18" s="9">
        <v>1.6962999999999999E-4</v>
      </c>
      <c r="N18" s="9">
        <v>1.7018E-4</v>
      </c>
      <c r="O18" s="9">
        <v>1.8013E-4</v>
      </c>
      <c r="P18" s="9">
        <v>1.6867E-4</v>
      </c>
      <c r="Q18" s="9">
        <v>1.6065E-4</v>
      </c>
      <c r="R18" s="10">
        <v>2.1105775302369923E-4</v>
      </c>
      <c r="S18" s="10">
        <v>1.9029020334761037E-4</v>
      </c>
      <c r="T18" s="10">
        <v>1.2595790815221581E-4</v>
      </c>
      <c r="U18" s="10">
        <v>1.7122E-4</v>
      </c>
      <c r="V18" s="25"/>
      <c r="W18" s="25"/>
      <c r="X18" s="25"/>
      <c r="Y18" s="25"/>
      <c r="Z18" s="25"/>
      <c r="AA18" s="25"/>
    </row>
    <row r="19" spans="1:27" x14ac:dyDescent="0.35">
      <c r="A19" s="5">
        <v>15</v>
      </c>
      <c r="B19" s="5">
        <v>1</v>
      </c>
      <c r="C19" s="5">
        <v>1</v>
      </c>
      <c r="D19" s="25">
        <v>1.1416E-4</v>
      </c>
      <c r="E19" s="25">
        <v>1.189E-4</v>
      </c>
      <c r="F19" s="25">
        <v>1.3239E-4</v>
      </c>
      <c r="G19" s="25">
        <v>1.5694E-4</v>
      </c>
      <c r="H19" s="25">
        <v>1.9332999999999999E-4</v>
      </c>
      <c r="I19" s="9">
        <v>9.8499999999999995E-5</v>
      </c>
      <c r="J19" s="9">
        <v>1.069E-4</v>
      </c>
      <c r="K19" s="9">
        <v>1.5259E-4</v>
      </c>
      <c r="L19" s="9">
        <v>1.7697000000000001E-4</v>
      </c>
      <c r="M19" s="9">
        <v>1.6825999999999999E-4</v>
      </c>
      <c r="N19" s="9">
        <v>1.6976E-4</v>
      </c>
      <c r="O19" s="9">
        <v>1.8715E-4</v>
      </c>
      <c r="P19" s="9">
        <v>1.6861E-4</v>
      </c>
      <c r="Q19" s="9">
        <v>1.5379E-4</v>
      </c>
      <c r="R19" s="10">
        <v>2.0992081690017207E-4</v>
      </c>
      <c r="S19" s="10">
        <v>1.9029020759484994E-4</v>
      </c>
      <c r="T19" s="10">
        <v>1.4739773261002593E-4</v>
      </c>
      <c r="U19" s="10">
        <v>1.7122E-4</v>
      </c>
      <c r="V19" s="25"/>
      <c r="W19" s="25"/>
      <c r="X19" s="25"/>
      <c r="Y19" s="25"/>
      <c r="Z19" s="25"/>
      <c r="AA19" s="25"/>
    </row>
    <row r="20" spans="1:27" x14ac:dyDescent="0.35">
      <c r="A20" s="5">
        <v>16</v>
      </c>
      <c r="B20" s="5">
        <v>1</v>
      </c>
      <c r="C20" s="5">
        <v>1</v>
      </c>
      <c r="D20" s="25">
        <v>1.1415000000000001E-4</v>
      </c>
      <c r="E20" s="25">
        <v>1.2499000000000001E-4</v>
      </c>
      <c r="F20" s="25">
        <v>1.1773999999999999E-4</v>
      </c>
      <c r="G20" s="25">
        <v>1.6462000000000001E-4</v>
      </c>
      <c r="H20" s="25">
        <v>1.9092999999999999E-4</v>
      </c>
      <c r="I20" s="9">
        <v>9.8330000000000002E-5</v>
      </c>
      <c r="J20" s="9">
        <v>1.0772000000000001E-4</v>
      </c>
      <c r="K20" s="9">
        <v>1.5470999999999999E-4</v>
      </c>
      <c r="L20" s="9">
        <v>1.8459999999999999E-4</v>
      </c>
      <c r="M20" s="9">
        <v>1.6812000000000001E-4</v>
      </c>
      <c r="N20" s="9">
        <v>1.6619000000000001E-4</v>
      </c>
      <c r="O20" s="9">
        <v>1.9765000000000001E-4</v>
      </c>
      <c r="P20" s="9">
        <v>1.5092999999999999E-4</v>
      </c>
      <c r="Q20" s="9">
        <v>1.0866000000000001E-4</v>
      </c>
      <c r="R20" s="10">
        <v>2.1131194347670377E-4</v>
      </c>
      <c r="S20" s="10">
        <v>1.9029012426328312E-4</v>
      </c>
      <c r="T20" s="10">
        <v>0</v>
      </c>
      <c r="U20" s="10">
        <v>1.7122E-4</v>
      </c>
      <c r="V20" s="25"/>
      <c r="W20" s="25"/>
      <c r="X20" s="25"/>
      <c r="Y20" s="25"/>
      <c r="Z20" s="25"/>
      <c r="AA20" s="25"/>
    </row>
    <row r="21" spans="1:27" x14ac:dyDescent="0.35">
      <c r="A21" s="5">
        <v>17</v>
      </c>
      <c r="B21" s="5">
        <v>1</v>
      </c>
      <c r="C21" s="5">
        <v>1</v>
      </c>
      <c r="D21" s="25">
        <v>1.1416E-4</v>
      </c>
      <c r="E21" s="25">
        <v>1.2026E-4</v>
      </c>
      <c r="F21" s="25">
        <v>1.1998999999999999E-4</v>
      </c>
      <c r="G21" s="25">
        <v>1.5883999999999999E-4</v>
      </c>
      <c r="H21" s="25">
        <v>1.9057000000000001E-4</v>
      </c>
      <c r="I21" s="9">
        <v>9.9519999999999996E-5</v>
      </c>
      <c r="J21" s="9">
        <v>1.117E-4</v>
      </c>
      <c r="K21" s="9">
        <v>1.5683E-4</v>
      </c>
      <c r="L21" s="9">
        <v>1.9451000000000001E-4</v>
      </c>
      <c r="M21" s="9">
        <v>1.6200000000000001E-4</v>
      </c>
      <c r="N21" s="9">
        <v>1.5231000000000001E-4</v>
      </c>
      <c r="O21" s="9">
        <v>2.1431E-4</v>
      </c>
      <c r="P21" s="9">
        <v>1.5767E-4</v>
      </c>
      <c r="Q21" s="9">
        <v>1.0606E-4</v>
      </c>
      <c r="R21" s="10">
        <v>2.1230892378191107E-4</v>
      </c>
      <c r="S21" s="10">
        <v>1.9028484264966362E-4</v>
      </c>
      <c r="T21" s="10">
        <v>0</v>
      </c>
      <c r="U21" s="10">
        <v>1.7122E-4</v>
      </c>
      <c r="V21" s="25"/>
      <c r="W21" s="25"/>
      <c r="X21" s="25"/>
      <c r="Y21" s="25"/>
      <c r="Z21" s="25"/>
      <c r="AA21" s="25"/>
    </row>
    <row r="22" spans="1:27" x14ac:dyDescent="0.35">
      <c r="A22" s="5">
        <v>18</v>
      </c>
      <c r="B22" s="5">
        <v>1</v>
      </c>
      <c r="C22" s="5">
        <v>1</v>
      </c>
      <c r="D22" s="25">
        <v>1.1415000000000001E-4</v>
      </c>
      <c r="E22" s="25">
        <v>1.1703E-4</v>
      </c>
      <c r="F22" s="25">
        <v>1.2527E-4</v>
      </c>
      <c r="G22" s="25">
        <v>1.5686000000000001E-4</v>
      </c>
      <c r="H22" s="25">
        <v>1.9451000000000001E-4</v>
      </c>
      <c r="I22" s="9">
        <v>1.0556E-4</v>
      </c>
      <c r="J22" s="9">
        <v>1.2087E-4</v>
      </c>
      <c r="K22" s="9">
        <v>1.5470999999999999E-4</v>
      </c>
      <c r="L22" s="9">
        <v>2.0976999999999999E-4</v>
      </c>
      <c r="M22" s="9">
        <v>1.5872999999999999E-4</v>
      </c>
      <c r="N22" s="9">
        <v>1.3878E-4</v>
      </c>
      <c r="O22" s="9">
        <v>2.0752999999999999E-4</v>
      </c>
      <c r="P22" s="9">
        <v>1.6018E-4</v>
      </c>
      <c r="Q22" s="9">
        <v>1.1752E-4</v>
      </c>
      <c r="R22" s="10">
        <v>2.1239315520106219E-4</v>
      </c>
      <c r="S22" s="10">
        <v>1.9013294740319678E-4</v>
      </c>
      <c r="T22" s="10">
        <v>0</v>
      </c>
      <c r="U22" s="10">
        <v>1.7122E-4</v>
      </c>
      <c r="V22" s="25"/>
      <c r="W22" s="25"/>
      <c r="X22" s="25"/>
      <c r="Y22" s="25"/>
      <c r="Z22" s="25"/>
      <c r="AA22" s="25"/>
    </row>
    <row r="23" spans="1:27" x14ac:dyDescent="0.35">
      <c r="A23" s="5">
        <v>19</v>
      </c>
      <c r="B23" s="5">
        <v>1</v>
      </c>
      <c r="C23" s="5">
        <v>1</v>
      </c>
      <c r="D23" s="25">
        <v>1.1416E-4</v>
      </c>
      <c r="E23" s="25">
        <v>1.2307999999999999E-4</v>
      </c>
      <c r="F23" s="25">
        <v>1.2572000000000001E-4</v>
      </c>
      <c r="G23" s="25">
        <v>1.0685E-4</v>
      </c>
      <c r="H23" s="25">
        <v>1.303E-4</v>
      </c>
      <c r="I23" s="9">
        <v>1.0739999999999999E-4</v>
      </c>
      <c r="J23" s="9">
        <v>1.2123E-4</v>
      </c>
      <c r="K23" s="9">
        <v>1.4200000000000001E-4</v>
      </c>
      <c r="L23" s="9">
        <v>2.0765000000000001E-4</v>
      </c>
      <c r="M23" s="9">
        <v>1.5856E-4</v>
      </c>
      <c r="N23" s="9">
        <v>1.2970000000000001E-4</v>
      </c>
      <c r="O23" s="9">
        <v>1.6708000000000001E-4</v>
      </c>
      <c r="P23" s="9">
        <v>1.3566000000000001E-4</v>
      </c>
      <c r="Q23" s="9">
        <v>1.0768E-4</v>
      </c>
      <c r="R23" s="10">
        <v>2.1243721348201567E-4</v>
      </c>
      <c r="S23" s="10">
        <v>1.8907851433948322E-4</v>
      </c>
      <c r="T23" s="10">
        <v>0</v>
      </c>
      <c r="U23" s="10">
        <v>1.7122E-4</v>
      </c>
      <c r="V23" s="25"/>
      <c r="W23" s="25"/>
      <c r="X23" s="25"/>
      <c r="Y23" s="25"/>
      <c r="Z23" s="25"/>
      <c r="AA23" s="25"/>
    </row>
    <row r="24" spans="1:27" x14ac:dyDescent="0.35">
      <c r="A24" s="5">
        <v>20</v>
      </c>
      <c r="B24" s="5">
        <v>1</v>
      </c>
      <c r="C24" s="5">
        <v>1</v>
      </c>
      <c r="D24" s="25">
        <v>1.1415000000000001E-4</v>
      </c>
      <c r="E24" s="25">
        <v>1.192E-4</v>
      </c>
      <c r="F24" s="25">
        <v>1.3715999999999999E-4</v>
      </c>
      <c r="G24" s="25">
        <v>1.1029E-4</v>
      </c>
      <c r="H24" s="25">
        <v>1.2684999999999999E-4</v>
      </c>
      <c r="I24" s="9">
        <v>1.0635E-4</v>
      </c>
      <c r="J24" s="9">
        <v>1.1911E-4</v>
      </c>
      <c r="K24" s="9">
        <v>1.314E-4</v>
      </c>
      <c r="L24" s="9">
        <v>1.7611999999999999E-4</v>
      </c>
      <c r="M24" s="9">
        <v>1.5046999999999999E-4</v>
      </c>
      <c r="N24" s="9">
        <v>1.2076E-4</v>
      </c>
      <c r="O24" s="9">
        <v>1.3007000000000001E-4</v>
      </c>
      <c r="P24" s="9">
        <v>1.1484000000000001E-4</v>
      </c>
      <c r="Q24" s="9">
        <v>1.0187E-4</v>
      </c>
      <c r="R24" s="10">
        <v>2.124492895976162E-4</v>
      </c>
      <c r="S24" s="10">
        <v>1.8938249370771388E-4</v>
      </c>
      <c r="T24" s="10">
        <v>0</v>
      </c>
      <c r="U24" s="10">
        <v>1.7122E-4</v>
      </c>
      <c r="V24" s="25"/>
      <c r="W24" s="25"/>
      <c r="X24" s="25"/>
      <c r="Y24" s="25"/>
      <c r="Z24" s="25"/>
      <c r="AA24" s="25"/>
    </row>
    <row r="25" spans="1:27" x14ac:dyDescent="0.35">
      <c r="A25" s="5">
        <v>21</v>
      </c>
      <c r="B25" s="5">
        <v>1</v>
      </c>
      <c r="C25" s="5">
        <v>1</v>
      </c>
      <c r="D25" s="25">
        <v>1.1416E-4</v>
      </c>
      <c r="E25" s="25">
        <v>1.2254E-4</v>
      </c>
      <c r="F25" s="25">
        <v>1.3737999999999999E-4</v>
      </c>
      <c r="G25" s="25">
        <v>5.7720000000000003E-5</v>
      </c>
      <c r="H25" s="25">
        <v>6.6790000000000003E-5</v>
      </c>
      <c r="I25" s="9">
        <v>1.0340000000000001E-4</v>
      </c>
      <c r="J25" s="9">
        <v>1.1567E-4</v>
      </c>
      <c r="K25" s="9">
        <v>1.0597E-4</v>
      </c>
      <c r="L25" s="9">
        <v>1.4118E-4</v>
      </c>
      <c r="M25" s="9">
        <v>1.3537E-4</v>
      </c>
      <c r="N25" s="9">
        <v>1.1307999999999999E-4</v>
      </c>
      <c r="O25" s="9">
        <v>8.5840000000000005E-5</v>
      </c>
      <c r="P25" s="9">
        <v>8.6949999999999999E-5</v>
      </c>
      <c r="Q25" s="9">
        <v>8.8960000000000002E-5</v>
      </c>
      <c r="R25" s="10">
        <v>2.1244936787709023E-4</v>
      </c>
      <c r="S25" s="10">
        <v>1.8879594607202095E-4</v>
      </c>
      <c r="T25" s="10">
        <v>0</v>
      </c>
      <c r="U25" s="10">
        <v>1.7122E-4</v>
      </c>
      <c r="V25" s="25"/>
      <c r="W25" s="25"/>
      <c r="X25" s="25"/>
      <c r="Y25" s="25"/>
      <c r="Z25" s="25"/>
      <c r="AA25" s="25"/>
    </row>
    <row r="26" spans="1:27" x14ac:dyDescent="0.35">
      <c r="A26" s="5">
        <v>22</v>
      </c>
      <c r="B26" s="5">
        <v>1</v>
      </c>
      <c r="C26" s="5">
        <v>1</v>
      </c>
      <c r="D26" s="25">
        <v>1.1415000000000001E-4</v>
      </c>
      <c r="E26" s="25">
        <v>1.2407999999999999E-4</v>
      </c>
      <c r="F26" s="25">
        <v>1.3436000000000001E-4</v>
      </c>
      <c r="G26" s="25">
        <v>5.766E-5</v>
      </c>
      <c r="H26" s="25">
        <v>7.2479999999999997E-5</v>
      </c>
      <c r="I26" s="9">
        <v>1.0097E-4</v>
      </c>
      <c r="J26" s="9">
        <v>1.1069999999999999E-4</v>
      </c>
      <c r="K26" s="9">
        <v>9.7490000000000003E-5</v>
      </c>
      <c r="L26" s="9">
        <v>9.8969999999999996E-5</v>
      </c>
      <c r="M26" s="9">
        <v>1.1403E-4</v>
      </c>
      <c r="N26" s="9">
        <v>1.0569E-4</v>
      </c>
      <c r="O26" s="9">
        <v>8.7340000000000001E-5</v>
      </c>
      <c r="P26" s="9">
        <v>8.7009999999999995E-5</v>
      </c>
      <c r="Q26" s="9">
        <v>8.7650000000000003E-5</v>
      </c>
      <c r="R26" s="10">
        <v>2.1244936787709023E-4</v>
      </c>
      <c r="S26" s="10">
        <v>1.8539650912075898E-4</v>
      </c>
      <c r="T26" s="10">
        <v>0</v>
      </c>
      <c r="U26" s="10">
        <v>1.7122E-4</v>
      </c>
      <c r="V26" s="25"/>
      <c r="W26" s="25"/>
      <c r="X26" s="25"/>
      <c r="Y26" s="25"/>
      <c r="Z26" s="25"/>
      <c r="AA26" s="25"/>
    </row>
    <row r="27" spans="1:27" x14ac:dyDescent="0.35">
      <c r="A27" s="5">
        <v>23</v>
      </c>
      <c r="B27" s="5">
        <v>1</v>
      </c>
      <c r="C27" s="5">
        <v>1</v>
      </c>
      <c r="D27" s="25">
        <v>1.1416E-4</v>
      </c>
      <c r="E27" s="25">
        <v>1.2515000000000001E-4</v>
      </c>
      <c r="F27" s="25">
        <v>1.3517999999999999E-4</v>
      </c>
      <c r="G27" s="25">
        <v>5.435E-5</v>
      </c>
      <c r="H27" s="25">
        <v>7.5679999999999994E-5</v>
      </c>
      <c r="I27" s="9">
        <v>1.0537E-4</v>
      </c>
      <c r="J27" s="9">
        <v>1.0569E-4</v>
      </c>
      <c r="K27" s="9">
        <v>1.2292E-4</v>
      </c>
      <c r="L27" s="9">
        <v>9.0849999999999999E-5</v>
      </c>
      <c r="M27" s="9">
        <v>9.9069999999999998E-5</v>
      </c>
      <c r="N27" s="9">
        <v>9.9809999999999995E-5</v>
      </c>
      <c r="O27" s="9">
        <v>7.7589999999999994E-5</v>
      </c>
      <c r="P27" s="9">
        <v>7.1550000000000004E-5</v>
      </c>
      <c r="Q27" s="9">
        <v>6.635E-5</v>
      </c>
      <c r="R27" s="10">
        <v>2.1244936787709023E-4</v>
      </c>
      <c r="S27" s="10">
        <v>1.8089551311833819E-4</v>
      </c>
      <c r="T27" s="10">
        <v>0</v>
      </c>
      <c r="U27" s="10">
        <v>1.7122E-4</v>
      </c>
      <c r="V27" s="25"/>
      <c r="W27" s="25"/>
      <c r="X27" s="25"/>
      <c r="Y27" s="25"/>
      <c r="Z27" s="25"/>
      <c r="AA27" s="25"/>
    </row>
    <row r="28" spans="1:27" x14ac:dyDescent="0.35">
      <c r="A28" s="5">
        <v>24</v>
      </c>
      <c r="B28" s="5">
        <v>1</v>
      </c>
      <c r="C28" s="5">
        <v>1</v>
      </c>
      <c r="D28" s="25">
        <v>1.1415000000000001E-4</v>
      </c>
      <c r="E28" s="25">
        <v>1.1988E-4</v>
      </c>
      <c r="F28" s="25">
        <v>1.1989000000000001E-4</v>
      </c>
      <c r="G28" s="25">
        <v>6.0430000000000002E-5</v>
      </c>
      <c r="H28" s="25">
        <v>6.8609999999999995E-5</v>
      </c>
      <c r="I28" s="9">
        <v>1.0582999999999999E-4</v>
      </c>
      <c r="J28" s="9">
        <v>9.9939999999999995E-5</v>
      </c>
      <c r="K28" s="9">
        <v>1.3564E-4</v>
      </c>
      <c r="L28" s="9">
        <v>8.051E-5</v>
      </c>
      <c r="M28" s="9">
        <v>8.585E-5</v>
      </c>
      <c r="N28" s="9">
        <v>9.0450000000000003E-5</v>
      </c>
      <c r="O28" s="9">
        <v>6.3399999999999996E-5</v>
      </c>
      <c r="P28" s="9">
        <v>6.1179999999999994E-5</v>
      </c>
      <c r="Q28" s="9">
        <v>5.9349999999999999E-5</v>
      </c>
      <c r="R28" s="10">
        <v>2.1244936787709023E-4</v>
      </c>
      <c r="S28" s="10">
        <v>1.7610145917380747E-4</v>
      </c>
      <c r="T28" s="10">
        <v>0</v>
      </c>
      <c r="U28" s="10">
        <v>1.7122E-4</v>
      </c>
      <c r="V28" s="25"/>
      <c r="W28" s="25"/>
      <c r="X28" s="25"/>
      <c r="Y28" s="25"/>
      <c r="Z28" s="25"/>
      <c r="AA28" s="25"/>
    </row>
    <row r="29" spans="1:27" x14ac:dyDescent="0.35">
      <c r="A29" s="5">
        <v>25</v>
      </c>
      <c r="B29" s="5">
        <v>2</v>
      </c>
      <c r="C29" s="5">
        <v>1</v>
      </c>
      <c r="D29" s="25">
        <v>1.1416E-4</v>
      </c>
      <c r="E29" s="25">
        <v>1.0904E-4</v>
      </c>
      <c r="F29" s="25">
        <v>9.7020000000000003E-5</v>
      </c>
      <c r="G29" s="25">
        <v>5.4500000000000003E-5</v>
      </c>
      <c r="H29" s="25">
        <v>6.4999999999999994E-5</v>
      </c>
      <c r="I29" s="9">
        <v>9.8330000000000002E-5</v>
      </c>
      <c r="J29" s="9">
        <v>9.4790000000000006E-5</v>
      </c>
      <c r="K29" s="9">
        <v>1.5259E-4</v>
      </c>
      <c r="L29" s="9">
        <v>6.7180000000000004E-5</v>
      </c>
      <c r="M29" s="9">
        <v>7.3930000000000005E-5</v>
      </c>
      <c r="N29" s="9">
        <v>8.1149999999999994E-5</v>
      </c>
      <c r="O29" s="9">
        <v>5.4129999999999998E-5</v>
      </c>
      <c r="P29" s="9">
        <v>5.3560000000000002E-5</v>
      </c>
      <c r="Q29" s="9">
        <v>5.3130000000000001E-5</v>
      </c>
      <c r="R29" s="10">
        <v>2.1244936787709023E-4</v>
      </c>
      <c r="S29" s="10">
        <v>1.7635803742270024E-4</v>
      </c>
      <c r="T29" s="10">
        <v>0</v>
      </c>
      <c r="U29" s="10">
        <v>1.6904999999999999E-4</v>
      </c>
      <c r="V29" s="25"/>
      <c r="W29" s="25"/>
      <c r="X29" s="25"/>
      <c r="Y29" s="25"/>
      <c r="Z29" s="25"/>
      <c r="AA29" s="25"/>
    </row>
    <row r="30" spans="1:27" x14ac:dyDescent="0.35">
      <c r="A30" s="5">
        <v>26</v>
      </c>
      <c r="B30" s="5">
        <v>2</v>
      </c>
      <c r="C30" s="5">
        <v>1</v>
      </c>
      <c r="D30" s="25">
        <v>1.1415000000000001E-4</v>
      </c>
      <c r="E30" s="25">
        <v>1.1383999999999999E-4</v>
      </c>
      <c r="F30" s="25">
        <v>9.5429999999999999E-5</v>
      </c>
      <c r="G30" s="25">
        <v>6.1169999999999999E-5</v>
      </c>
      <c r="H30" s="25">
        <v>7.1740000000000001E-5</v>
      </c>
      <c r="I30" s="9">
        <v>9.1979999999999997E-5</v>
      </c>
      <c r="J30" s="9">
        <v>9.0179999999999994E-5</v>
      </c>
      <c r="K30" s="9">
        <v>1.6107E-4</v>
      </c>
      <c r="L30" s="9">
        <v>5.736E-5</v>
      </c>
      <c r="M30" s="9">
        <v>6.3780000000000003E-5</v>
      </c>
      <c r="N30" s="9">
        <v>7.1979999999999999E-5</v>
      </c>
      <c r="O30" s="9">
        <v>1.8289999999999999E-5</v>
      </c>
      <c r="P30" s="9">
        <v>3.7809999999999999E-5</v>
      </c>
      <c r="Q30" s="9">
        <v>5.6270000000000002E-5</v>
      </c>
      <c r="R30" s="10">
        <v>2.1244936787709023E-4</v>
      </c>
      <c r="S30" s="10">
        <v>1.7540601138605041E-4</v>
      </c>
      <c r="T30" s="10">
        <v>0</v>
      </c>
      <c r="U30" s="10">
        <v>1.6904999999999999E-4</v>
      </c>
      <c r="V30" s="25"/>
      <c r="W30" s="25"/>
      <c r="X30" s="25"/>
      <c r="Y30" s="25"/>
      <c r="Z30" s="25"/>
      <c r="AA30" s="25"/>
    </row>
    <row r="31" spans="1:27" x14ac:dyDescent="0.35">
      <c r="A31" s="5">
        <v>27</v>
      </c>
      <c r="B31" s="5">
        <v>2</v>
      </c>
      <c r="C31" s="5">
        <v>1</v>
      </c>
      <c r="D31" s="25">
        <v>1.1416E-4</v>
      </c>
      <c r="E31" s="25">
        <v>1.1025E-4</v>
      </c>
      <c r="F31" s="25">
        <v>9.4069999999999999E-5</v>
      </c>
      <c r="G31" s="25">
        <v>6.266E-5</v>
      </c>
      <c r="H31" s="25">
        <v>7.5149999999999997E-5</v>
      </c>
      <c r="I31" s="9">
        <v>8.8109999999999995E-5</v>
      </c>
      <c r="J31" s="9">
        <v>8.7570000000000004E-5</v>
      </c>
      <c r="K31" s="9">
        <v>1.7589999999999999E-4</v>
      </c>
      <c r="L31" s="9">
        <v>2.711E-5</v>
      </c>
      <c r="M31" s="9">
        <v>5.2110000000000001E-5</v>
      </c>
      <c r="N31" s="9">
        <v>6.5419999999999994E-5</v>
      </c>
      <c r="O31" s="9">
        <v>1.271E-5</v>
      </c>
      <c r="P31" s="9">
        <v>3.7830000000000002E-5</v>
      </c>
      <c r="Q31" s="9">
        <v>6.1649999999999994E-5</v>
      </c>
      <c r="R31" s="10">
        <v>2.1244936787709023E-4</v>
      </c>
      <c r="S31" s="10">
        <v>1.788094463918E-4</v>
      </c>
      <c r="T31" s="10">
        <v>0</v>
      </c>
      <c r="U31" s="10">
        <v>1.6904999999999999E-4</v>
      </c>
      <c r="V31" s="25"/>
      <c r="W31" s="25"/>
      <c r="X31" s="25"/>
      <c r="Y31" s="25"/>
      <c r="Z31" s="25"/>
      <c r="AA31" s="25"/>
    </row>
    <row r="32" spans="1:27" x14ac:dyDescent="0.35">
      <c r="A32" s="5">
        <v>28</v>
      </c>
      <c r="B32" s="5">
        <v>2</v>
      </c>
      <c r="C32" s="5">
        <v>1</v>
      </c>
      <c r="D32" s="25">
        <v>1.1415000000000001E-4</v>
      </c>
      <c r="E32" s="25">
        <v>1.1283E-4</v>
      </c>
      <c r="F32" s="25">
        <v>9.323E-5</v>
      </c>
      <c r="G32" s="25">
        <v>6.2160000000000001E-5</v>
      </c>
      <c r="H32" s="25">
        <v>6.5110000000000005E-5</v>
      </c>
      <c r="I32" s="9">
        <v>8.6089999999999997E-5</v>
      </c>
      <c r="J32" s="9">
        <v>8.6680000000000004E-5</v>
      </c>
      <c r="K32" s="9">
        <v>1.8226000000000001E-4</v>
      </c>
      <c r="L32" s="9">
        <v>1.6629999999999998E-5</v>
      </c>
      <c r="M32" s="9">
        <v>4.4180000000000001E-5</v>
      </c>
      <c r="N32" s="9">
        <v>6.1879999999999997E-5</v>
      </c>
      <c r="O32" s="9">
        <v>1.26E-5</v>
      </c>
      <c r="P32" s="9">
        <v>4.6879999999999998E-5</v>
      </c>
      <c r="Q32" s="9">
        <v>7.9729999999999997E-5</v>
      </c>
      <c r="R32" s="10">
        <v>2.1244936787709023E-4</v>
      </c>
      <c r="S32" s="10">
        <v>1.8301362951755215E-4</v>
      </c>
      <c r="T32" s="10">
        <v>0</v>
      </c>
      <c r="U32" s="10">
        <v>1.6904999999999999E-4</v>
      </c>
      <c r="V32" s="25"/>
      <c r="W32" s="25"/>
      <c r="X32" s="25"/>
      <c r="Y32" s="25"/>
      <c r="Z32" s="25"/>
      <c r="AA32" s="25"/>
    </row>
    <row r="33" spans="1:27" x14ac:dyDescent="0.35">
      <c r="A33" s="5">
        <v>29</v>
      </c>
      <c r="B33" s="5">
        <v>2</v>
      </c>
      <c r="C33" s="5">
        <v>1</v>
      </c>
      <c r="D33" s="25">
        <v>1.1416E-4</v>
      </c>
      <c r="E33" s="25">
        <v>1.0702E-4</v>
      </c>
      <c r="F33" s="25">
        <v>9.2570000000000003E-5</v>
      </c>
      <c r="G33" s="25">
        <v>6.3150000000000004E-5</v>
      </c>
      <c r="H33" s="25">
        <v>7.3520000000000001E-5</v>
      </c>
      <c r="I33" s="9">
        <v>8.6059999999999999E-5</v>
      </c>
      <c r="J33" s="9">
        <v>8.6589999999999996E-5</v>
      </c>
      <c r="K33" s="9">
        <v>1.9498000000000001E-4</v>
      </c>
      <c r="L33" s="9">
        <v>1.3740000000000001E-5</v>
      </c>
      <c r="M33" s="9">
        <v>4.3380000000000001E-5</v>
      </c>
      <c r="N33" s="9">
        <v>6.4300000000000004E-5</v>
      </c>
      <c r="O33" s="9">
        <v>1.821E-5</v>
      </c>
      <c r="P33" s="9">
        <v>5.6440000000000002E-5</v>
      </c>
      <c r="Q33" s="9">
        <v>9.3330000000000003E-5</v>
      </c>
      <c r="R33" s="10">
        <v>2.1244936787709023E-4</v>
      </c>
      <c r="S33" s="10">
        <v>1.8601010208644066E-4</v>
      </c>
      <c r="T33" s="10">
        <v>0</v>
      </c>
      <c r="U33" s="10">
        <v>1.6904999999999999E-4</v>
      </c>
      <c r="V33" s="25"/>
      <c r="W33" s="25"/>
      <c r="X33" s="25"/>
      <c r="Y33" s="25"/>
      <c r="Z33" s="25"/>
      <c r="AA33" s="25"/>
    </row>
    <row r="34" spans="1:27" x14ac:dyDescent="0.35">
      <c r="A34" s="5">
        <v>30</v>
      </c>
      <c r="B34" s="5">
        <v>2</v>
      </c>
      <c r="C34" s="5">
        <v>1</v>
      </c>
      <c r="D34" s="25">
        <v>1.1415000000000001E-4</v>
      </c>
      <c r="E34" s="25">
        <v>1.1001999999999999E-4</v>
      </c>
      <c r="F34" s="25">
        <v>9.7349999999999995E-5</v>
      </c>
      <c r="G34" s="25">
        <v>1.1236E-4</v>
      </c>
      <c r="H34" s="25">
        <v>1.2716999999999999E-4</v>
      </c>
      <c r="I34" s="9">
        <v>8.7750000000000005E-5</v>
      </c>
      <c r="J34" s="9">
        <v>8.7819999999999996E-5</v>
      </c>
      <c r="K34" s="9">
        <v>1.9285999999999999E-4</v>
      </c>
      <c r="L34" s="9">
        <v>1.7090000000000001E-5</v>
      </c>
      <c r="M34" s="9">
        <v>4.8220000000000002E-5</v>
      </c>
      <c r="N34" s="9">
        <v>7.08E-5</v>
      </c>
      <c r="O34" s="9">
        <v>4.6159999999999999E-5</v>
      </c>
      <c r="P34" s="9">
        <v>7.6879999999999996E-5</v>
      </c>
      <c r="Q34" s="9">
        <v>1.0705E-4</v>
      </c>
      <c r="R34" s="10">
        <v>2.1244936787709023E-4</v>
      </c>
      <c r="S34" s="10">
        <v>1.8951960536548745E-4</v>
      </c>
      <c r="T34" s="10">
        <v>0</v>
      </c>
      <c r="U34" s="10">
        <v>1.6904999999999999E-4</v>
      </c>
      <c r="V34" s="25"/>
      <c r="W34" s="25"/>
      <c r="X34" s="25"/>
      <c r="Y34" s="25"/>
      <c r="Z34" s="25"/>
      <c r="AA34" s="25"/>
    </row>
    <row r="35" spans="1:27" x14ac:dyDescent="0.35">
      <c r="A35" s="5">
        <v>31</v>
      </c>
      <c r="B35" s="5">
        <v>2</v>
      </c>
      <c r="C35" s="5">
        <v>1</v>
      </c>
      <c r="D35" s="25">
        <v>1.1416E-4</v>
      </c>
      <c r="E35" s="25">
        <v>1.0406E-4</v>
      </c>
      <c r="F35" s="25">
        <v>8.5069999999999997E-5</v>
      </c>
      <c r="G35" s="25">
        <v>1.1197E-4</v>
      </c>
      <c r="H35" s="25">
        <v>1.2688E-4</v>
      </c>
      <c r="I35" s="9">
        <v>9.187E-5</v>
      </c>
      <c r="J35" s="9">
        <v>9.2269999999999996E-5</v>
      </c>
      <c r="K35" s="9">
        <v>1.9709999999999999E-4</v>
      </c>
      <c r="L35" s="9">
        <v>3.9619999999999997E-5</v>
      </c>
      <c r="M35" s="9">
        <v>5.9899999999999999E-5</v>
      </c>
      <c r="N35" s="9">
        <v>8.0550000000000006E-5</v>
      </c>
      <c r="O35" s="9">
        <v>1.2469E-4</v>
      </c>
      <c r="P35" s="9">
        <v>1.1773999999999999E-4</v>
      </c>
      <c r="Q35" s="9">
        <v>1.1278E-4</v>
      </c>
      <c r="R35" s="10">
        <v>2.1244936787709023E-4</v>
      </c>
      <c r="S35" s="10">
        <v>1.8883727401026949E-4</v>
      </c>
      <c r="T35" s="10">
        <v>0</v>
      </c>
      <c r="U35" s="10">
        <v>1.6904999999999999E-4</v>
      </c>
      <c r="V35" s="25"/>
      <c r="W35" s="25"/>
      <c r="X35" s="25"/>
      <c r="Y35" s="25"/>
      <c r="Z35" s="25"/>
      <c r="AA35" s="25"/>
    </row>
    <row r="36" spans="1:27" x14ac:dyDescent="0.35">
      <c r="A36" s="5">
        <v>32</v>
      </c>
      <c r="B36" s="5">
        <v>2</v>
      </c>
      <c r="C36" s="5">
        <v>1</v>
      </c>
      <c r="D36" s="25">
        <v>1.1415000000000001E-4</v>
      </c>
      <c r="E36" s="25">
        <v>1.114E-4</v>
      </c>
      <c r="F36" s="25">
        <v>1.0716E-4</v>
      </c>
      <c r="G36" s="25">
        <v>1.5936999999999999E-4</v>
      </c>
      <c r="H36" s="25">
        <v>1.9079000000000001E-4</v>
      </c>
      <c r="I36" s="9">
        <v>9.488E-5</v>
      </c>
      <c r="J36" s="9">
        <v>9.9209999999999994E-5</v>
      </c>
      <c r="K36" s="9">
        <v>1.9709999999999999E-4</v>
      </c>
      <c r="L36" s="9">
        <v>1.0534E-4</v>
      </c>
      <c r="M36" s="9">
        <v>8.3739999999999994E-5</v>
      </c>
      <c r="N36" s="9">
        <v>9.0749999999999997E-5</v>
      </c>
      <c r="O36" s="9">
        <v>2.2076999999999999E-4</v>
      </c>
      <c r="P36" s="9">
        <v>1.7579E-4</v>
      </c>
      <c r="Q36" s="9">
        <v>1.3579999999999999E-4</v>
      </c>
      <c r="R36" s="10">
        <v>2.1244936787709023E-4</v>
      </c>
      <c r="S36" s="10">
        <v>1.8910867659508769E-4</v>
      </c>
      <c r="T36" s="10">
        <v>0</v>
      </c>
      <c r="U36" s="10">
        <v>1.6904999999999999E-4</v>
      </c>
      <c r="V36" s="25"/>
      <c r="W36" s="25"/>
      <c r="X36" s="25"/>
      <c r="Y36" s="25"/>
      <c r="Z36" s="25"/>
      <c r="AA36" s="25"/>
    </row>
    <row r="37" spans="1:27" x14ac:dyDescent="0.35">
      <c r="A37" s="5">
        <v>33</v>
      </c>
      <c r="B37" s="5">
        <v>2</v>
      </c>
      <c r="C37" s="5">
        <v>1</v>
      </c>
      <c r="D37" s="25">
        <v>1.1416E-4</v>
      </c>
      <c r="E37" s="25">
        <v>1.1306000000000001E-4</v>
      </c>
      <c r="F37" s="25">
        <v>9.4439999999999997E-5</v>
      </c>
      <c r="G37" s="25">
        <v>1.6665000000000001E-4</v>
      </c>
      <c r="H37" s="25">
        <v>1.9803999999999999E-4</v>
      </c>
      <c r="I37" s="9">
        <v>1.0087E-4</v>
      </c>
      <c r="J37" s="9">
        <v>1.0835E-4</v>
      </c>
      <c r="K37" s="9">
        <v>1.9285999999999999E-4</v>
      </c>
      <c r="L37" s="9">
        <v>1.9358E-4</v>
      </c>
      <c r="M37" s="9">
        <v>1.2303999999999999E-4</v>
      </c>
      <c r="N37" s="9">
        <v>1.0432E-4</v>
      </c>
      <c r="O37" s="9">
        <v>2.1311999999999999E-4</v>
      </c>
      <c r="P37" s="9">
        <v>1.9251000000000001E-4</v>
      </c>
      <c r="Q37" s="9">
        <v>1.763E-4</v>
      </c>
      <c r="R37" s="10">
        <v>2.1244936787709023E-4</v>
      </c>
      <c r="S37" s="10">
        <v>1.8976262801343962E-4</v>
      </c>
      <c r="T37" s="10">
        <v>0</v>
      </c>
      <c r="U37" s="10">
        <v>1.6904999999999999E-4</v>
      </c>
      <c r="V37" s="25"/>
      <c r="W37" s="25"/>
      <c r="X37" s="25"/>
      <c r="Y37" s="25"/>
      <c r="Z37" s="25"/>
      <c r="AA37" s="25"/>
    </row>
    <row r="38" spans="1:27" x14ac:dyDescent="0.35">
      <c r="A38" s="5">
        <v>34</v>
      </c>
      <c r="B38" s="5">
        <v>2</v>
      </c>
      <c r="C38" s="5">
        <v>1</v>
      </c>
      <c r="D38" s="25">
        <v>1.1415000000000001E-4</v>
      </c>
      <c r="E38" s="25">
        <v>1.0487E-4</v>
      </c>
      <c r="F38" s="25">
        <v>9.857E-5</v>
      </c>
      <c r="G38" s="25">
        <v>1.6233999999999999E-4</v>
      </c>
      <c r="H38" s="25">
        <v>1.8825E-4</v>
      </c>
      <c r="I38" s="9">
        <v>1.0568E-4</v>
      </c>
      <c r="J38" s="9">
        <v>1.169E-4</v>
      </c>
      <c r="K38" s="9">
        <v>1.8650000000000001E-4</v>
      </c>
      <c r="L38" s="9">
        <v>2.0651E-4</v>
      </c>
      <c r="M38" s="9">
        <v>1.5799E-4</v>
      </c>
      <c r="N38" s="9">
        <v>1.2426000000000001E-4</v>
      </c>
      <c r="O38" s="9">
        <v>1.6958000000000001E-4</v>
      </c>
      <c r="P38" s="9">
        <v>1.7469E-4</v>
      </c>
      <c r="Q38" s="9">
        <v>1.8272000000000001E-4</v>
      </c>
      <c r="R38" s="10">
        <v>2.1244936787709023E-4</v>
      </c>
      <c r="S38" s="10">
        <v>1.9025108823881971E-4</v>
      </c>
      <c r="T38" s="10">
        <v>6.1977806752791084E-5</v>
      </c>
      <c r="U38" s="10">
        <v>1.6904999999999999E-4</v>
      </c>
      <c r="V38" s="25"/>
      <c r="W38" s="25"/>
      <c r="X38" s="25"/>
      <c r="Y38" s="25"/>
      <c r="Z38" s="25"/>
      <c r="AA38" s="25"/>
    </row>
    <row r="39" spans="1:27" x14ac:dyDescent="0.35">
      <c r="A39" s="5">
        <v>35</v>
      </c>
      <c r="B39" s="5">
        <v>2</v>
      </c>
      <c r="C39" s="5">
        <v>1</v>
      </c>
      <c r="D39" s="25">
        <v>1.1416E-4</v>
      </c>
      <c r="E39" s="25">
        <v>1.0585E-4</v>
      </c>
      <c r="F39" s="25">
        <v>8.7399999999999997E-5</v>
      </c>
      <c r="G39" s="25">
        <v>1.6358E-4</v>
      </c>
      <c r="H39" s="25">
        <v>1.9363E-4</v>
      </c>
      <c r="I39" s="9">
        <v>1.0984000000000001E-4</v>
      </c>
      <c r="J39" s="9">
        <v>1.2266999999999999E-4</v>
      </c>
      <c r="K39" s="9">
        <v>1.8438999999999999E-4</v>
      </c>
      <c r="L39" s="9">
        <v>1.7777E-4</v>
      </c>
      <c r="M39" s="9">
        <v>1.7210000000000001E-4</v>
      </c>
      <c r="N39" s="9">
        <v>1.4252000000000001E-4</v>
      </c>
      <c r="O39" s="9">
        <v>1.6991E-4</v>
      </c>
      <c r="P39" s="9">
        <v>1.7368E-4</v>
      </c>
      <c r="Q39" s="9">
        <v>1.8039E-4</v>
      </c>
      <c r="R39" s="10">
        <v>2.1244912958967316E-4</v>
      </c>
      <c r="S39" s="10">
        <v>1.901903461591014E-4</v>
      </c>
      <c r="T39" s="10">
        <v>3.9334060217195726E-4</v>
      </c>
      <c r="U39" s="10">
        <v>1.6904999999999999E-4</v>
      </c>
      <c r="V39" s="25"/>
      <c r="W39" s="25"/>
      <c r="X39" s="25"/>
      <c r="Y39" s="25"/>
      <c r="Z39" s="25"/>
      <c r="AA39" s="25"/>
    </row>
    <row r="40" spans="1:27" x14ac:dyDescent="0.35">
      <c r="A40" s="5">
        <v>36</v>
      </c>
      <c r="B40" s="5">
        <v>2</v>
      </c>
      <c r="C40" s="5">
        <v>1</v>
      </c>
      <c r="D40" s="25">
        <v>1.1415000000000001E-4</v>
      </c>
      <c r="E40" s="25">
        <v>1.1048E-4</v>
      </c>
      <c r="F40" s="25">
        <v>9.1340000000000003E-5</v>
      </c>
      <c r="G40" s="25">
        <v>1.6028E-4</v>
      </c>
      <c r="H40" s="25">
        <v>1.9641999999999999E-4</v>
      </c>
      <c r="I40" s="9">
        <v>1.1187E-4</v>
      </c>
      <c r="J40" s="9">
        <v>1.2554999999999999E-4</v>
      </c>
      <c r="K40" s="9">
        <v>1.8013999999999999E-4</v>
      </c>
      <c r="L40" s="9">
        <v>1.7304000000000001E-4</v>
      </c>
      <c r="M40" s="9">
        <v>1.7511E-4</v>
      </c>
      <c r="N40" s="9">
        <v>1.5684E-4</v>
      </c>
      <c r="O40" s="9">
        <v>1.7157000000000001E-4</v>
      </c>
      <c r="P40" s="9">
        <v>1.7118E-4</v>
      </c>
      <c r="Q40" s="9">
        <v>1.7384E-4</v>
      </c>
      <c r="R40" s="10">
        <v>2.1234823830937129E-4</v>
      </c>
      <c r="S40" s="10">
        <v>1.8987455266866916E-4</v>
      </c>
      <c r="T40" s="10">
        <v>4.5467360217413743E-4</v>
      </c>
      <c r="U40" s="10">
        <v>1.6904999999999999E-4</v>
      </c>
      <c r="V40" s="25"/>
      <c r="W40" s="25"/>
      <c r="X40" s="25"/>
      <c r="Y40" s="25"/>
      <c r="Z40" s="25"/>
      <c r="AA40" s="25"/>
    </row>
    <row r="41" spans="1:27" x14ac:dyDescent="0.35">
      <c r="A41" s="5">
        <v>37</v>
      </c>
      <c r="B41" s="5">
        <v>2</v>
      </c>
      <c r="C41" s="5">
        <v>1</v>
      </c>
      <c r="D41" s="25">
        <v>1.1416E-4</v>
      </c>
      <c r="E41" s="25">
        <v>1.0815999999999999E-4</v>
      </c>
      <c r="F41" s="25">
        <v>9.1539999999999994E-5</v>
      </c>
      <c r="G41" s="25">
        <v>1.5796000000000001E-4</v>
      </c>
      <c r="H41" s="25">
        <v>1.8974000000000001E-4</v>
      </c>
      <c r="I41" s="9">
        <v>1.1319000000000001E-4</v>
      </c>
      <c r="J41" s="9">
        <v>1.2583000000000001E-4</v>
      </c>
      <c r="K41" s="9">
        <v>1.7802000000000001E-4</v>
      </c>
      <c r="L41" s="9">
        <v>1.7206E-4</v>
      </c>
      <c r="M41" s="9">
        <v>1.7398000000000001E-4</v>
      </c>
      <c r="N41" s="9">
        <v>1.6626E-4</v>
      </c>
      <c r="O41" s="9">
        <v>1.6309000000000001E-4</v>
      </c>
      <c r="P41" s="9">
        <v>1.6364999999999999E-4</v>
      </c>
      <c r="Q41" s="9">
        <v>1.6704E-4</v>
      </c>
      <c r="R41" s="10">
        <v>2.1200893471493758E-4</v>
      </c>
      <c r="S41" s="10">
        <v>1.8970347525636928E-4</v>
      </c>
      <c r="T41" s="10">
        <v>4.5153441141458476E-4</v>
      </c>
      <c r="U41" s="10">
        <v>1.6904999999999999E-4</v>
      </c>
      <c r="V41" s="25"/>
      <c r="W41" s="25"/>
      <c r="X41" s="25"/>
      <c r="Y41" s="25"/>
      <c r="Z41" s="25"/>
      <c r="AA41" s="25"/>
    </row>
    <row r="42" spans="1:27" x14ac:dyDescent="0.35">
      <c r="A42" s="5">
        <v>38</v>
      </c>
      <c r="B42" s="5">
        <v>2</v>
      </c>
      <c r="C42" s="5">
        <v>1</v>
      </c>
      <c r="D42" s="25">
        <v>1.1415000000000001E-4</v>
      </c>
      <c r="E42" s="25">
        <v>1.1302999999999999E-4</v>
      </c>
      <c r="F42" s="25">
        <v>9.8659999999999994E-5</v>
      </c>
      <c r="G42" s="25">
        <v>1.6196E-4</v>
      </c>
      <c r="H42" s="25">
        <v>1.8723000000000001E-4</v>
      </c>
      <c r="I42" s="9">
        <v>1.1156E-4</v>
      </c>
      <c r="J42" s="9">
        <v>1.2399000000000001E-4</v>
      </c>
      <c r="K42" s="9">
        <v>1.8014999999999999E-4</v>
      </c>
      <c r="L42" s="9">
        <v>1.6484E-4</v>
      </c>
      <c r="M42" s="9">
        <v>1.6991E-4</v>
      </c>
      <c r="N42" s="9">
        <v>1.7051999999999999E-4</v>
      </c>
      <c r="O42" s="9">
        <v>1.7925999999999999E-4</v>
      </c>
      <c r="P42" s="9">
        <v>1.6784999999999999E-4</v>
      </c>
      <c r="Q42" s="9">
        <v>1.5987E-4</v>
      </c>
      <c r="R42" s="10">
        <v>2.1225461009451093E-4</v>
      </c>
      <c r="S42" s="10">
        <v>1.9017389023806081E-4</v>
      </c>
      <c r="T42" s="10">
        <v>6.3708603820220163E-5</v>
      </c>
      <c r="U42" s="10">
        <v>1.6904999999999999E-4</v>
      </c>
      <c r="V42" s="25"/>
      <c r="W42" s="25"/>
      <c r="X42" s="25"/>
      <c r="Y42" s="25"/>
      <c r="Z42" s="25"/>
      <c r="AA42" s="25"/>
    </row>
    <row r="43" spans="1:27" x14ac:dyDescent="0.35">
      <c r="A43" s="5">
        <v>39</v>
      </c>
      <c r="B43" s="5">
        <v>2</v>
      </c>
      <c r="C43" s="5">
        <v>1</v>
      </c>
      <c r="D43" s="25">
        <v>1.1416E-4</v>
      </c>
      <c r="E43" s="25">
        <v>1.1056999999999999E-4</v>
      </c>
      <c r="F43" s="25">
        <v>9.5160000000000004E-5</v>
      </c>
      <c r="G43" s="25">
        <v>1.5851999999999999E-4</v>
      </c>
      <c r="H43" s="25">
        <v>1.9942000000000001E-4</v>
      </c>
      <c r="I43" s="9">
        <v>1.1042E-4</v>
      </c>
      <c r="J43" s="9">
        <v>1.2212E-4</v>
      </c>
      <c r="K43" s="9">
        <v>1.8861999999999999E-4</v>
      </c>
      <c r="L43" s="9">
        <v>1.7626999999999999E-4</v>
      </c>
      <c r="M43" s="9">
        <v>1.6801000000000001E-4</v>
      </c>
      <c r="N43" s="9">
        <v>1.6985000000000001E-4</v>
      </c>
      <c r="O43" s="9">
        <v>1.8666000000000001E-4</v>
      </c>
      <c r="P43" s="9">
        <v>1.6815999999999999E-4</v>
      </c>
      <c r="Q43" s="9">
        <v>1.5338999999999999E-4</v>
      </c>
      <c r="R43" s="10">
        <v>2.123789140173877E-4</v>
      </c>
      <c r="S43" s="10">
        <v>1.9010277157607546E-4</v>
      </c>
      <c r="T43" s="10">
        <v>2.3437876954768703E-4</v>
      </c>
      <c r="U43" s="10">
        <v>1.6904999999999999E-4</v>
      </c>
      <c r="V43" s="25"/>
      <c r="W43" s="25"/>
      <c r="X43" s="25"/>
      <c r="Y43" s="25"/>
      <c r="Z43" s="25"/>
      <c r="AA43" s="25"/>
    </row>
    <row r="44" spans="1:27" x14ac:dyDescent="0.35">
      <c r="A44" s="5">
        <v>40</v>
      </c>
      <c r="B44" s="5">
        <v>2</v>
      </c>
      <c r="C44" s="5">
        <v>1</v>
      </c>
      <c r="D44" s="25">
        <v>1.1415000000000001E-4</v>
      </c>
      <c r="E44" s="25">
        <v>1.0459999999999999E-4</v>
      </c>
      <c r="F44" s="25">
        <v>1.0369000000000001E-4</v>
      </c>
      <c r="G44" s="25">
        <v>1.5639000000000001E-4</v>
      </c>
      <c r="H44" s="25">
        <v>1.9633000000000001E-4</v>
      </c>
      <c r="I44" s="9">
        <v>1.1011E-4</v>
      </c>
      <c r="J44" s="9">
        <v>1.2153E-4</v>
      </c>
      <c r="K44" s="9">
        <v>1.9285999999999999E-4</v>
      </c>
      <c r="L44" s="9">
        <v>1.8406999999999999E-4</v>
      </c>
      <c r="M44" s="9">
        <v>1.6767E-4</v>
      </c>
      <c r="N44" s="9">
        <v>1.6613000000000001E-4</v>
      </c>
      <c r="O44" s="9">
        <v>1.9806000000000001E-4</v>
      </c>
      <c r="P44" s="9">
        <v>1.5124999999999999E-4</v>
      </c>
      <c r="Q44" s="9">
        <v>1.0889E-4</v>
      </c>
      <c r="R44" s="10">
        <v>2.1231367620170048E-4</v>
      </c>
      <c r="S44" s="10">
        <v>1.8929116418349323E-4</v>
      </c>
      <c r="T44" s="10">
        <v>2.1422855859109856E-5</v>
      </c>
      <c r="U44" s="10">
        <v>1.6904999999999999E-4</v>
      </c>
      <c r="V44" s="25"/>
      <c r="W44" s="25"/>
      <c r="X44" s="25"/>
      <c r="Y44" s="25"/>
      <c r="Z44" s="25"/>
      <c r="AA44" s="25"/>
    </row>
    <row r="45" spans="1:27" x14ac:dyDescent="0.35">
      <c r="A45" s="5">
        <v>41</v>
      </c>
      <c r="B45" s="5">
        <v>2</v>
      </c>
      <c r="C45" s="5">
        <v>1</v>
      </c>
      <c r="D45" s="25">
        <v>1.1416E-4</v>
      </c>
      <c r="E45" s="25">
        <v>1.1226E-4</v>
      </c>
      <c r="F45" s="25">
        <v>1.0278E-4</v>
      </c>
      <c r="G45" s="25">
        <v>1.594E-4</v>
      </c>
      <c r="H45" s="25">
        <v>1.9472000000000001E-4</v>
      </c>
      <c r="I45" s="9">
        <v>1.1228E-4</v>
      </c>
      <c r="J45" s="9">
        <v>1.2574E-4</v>
      </c>
      <c r="K45" s="9">
        <v>1.8650000000000001E-4</v>
      </c>
      <c r="L45" s="9">
        <v>1.9471000000000001E-4</v>
      </c>
      <c r="M45" s="9">
        <v>1.618E-4</v>
      </c>
      <c r="N45" s="9">
        <v>1.5220000000000001E-4</v>
      </c>
      <c r="O45" s="9">
        <v>2.1719E-4</v>
      </c>
      <c r="P45" s="9">
        <v>1.5980000000000001E-4</v>
      </c>
      <c r="Q45" s="9">
        <v>1.0749E-4</v>
      </c>
      <c r="R45" s="10">
        <v>2.1240792668884782E-4</v>
      </c>
      <c r="S45" s="10">
        <v>1.8954116386276E-4</v>
      </c>
      <c r="T45" s="10">
        <v>0</v>
      </c>
      <c r="U45" s="10">
        <v>1.6904999999999999E-4</v>
      </c>
      <c r="V45" s="25"/>
      <c r="W45" s="25"/>
      <c r="X45" s="25"/>
      <c r="Y45" s="25"/>
      <c r="Z45" s="25"/>
      <c r="AA45" s="25"/>
    </row>
    <row r="46" spans="1:27" x14ac:dyDescent="0.35">
      <c r="A46" s="5">
        <v>42</v>
      </c>
      <c r="B46" s="5">
        <v>2</v>
      </c>
      <c r="C46" s="5">
        <v>1</v>
      </c>
      <c r="D46" s="25">
        <v>1.1415000000000001E-4</v>
      </c>
      <c r="E46" s="25">
        <v>1.1239E-4</v>
      </c>
      <c r="F46" s="25">
        <v>9.4010000000000003E-5</v>
      </c>
      <c r="G46" s="25">
        <v>1.6495E-4</v>
      </c>
      <c r="H46" s="25">
        <v>1.8908999999999999E-4</v>
      </c>
      <c r="I46" s="9">
        <v>1.1993999999999999E-4</v>
      </c>
      <c r="J46" s="9">
        <v>1.3420000000000001E-4</v>
      </c>
      <c r="K46" s="9">
        <v>1.8226000000000001E-4</v>
      </c>
      <c r="L46" s="9">
        <v>2.1204000000000001E-4</v>
      </c>
      <c r="M46" s="9">
        <v>1.5944E-4</v>
      </c>
      <c r="N46" s="9">
        <v>1.3894999999999999E-4</v>
      </c>
      <c r="O46" s="9">
        <v>2.062E-4</v>
      </c>
      <c r="P46" s="9">
        <v>1.5914999999999999E-4</v>
      </c>
      <c r="Q46" s="9">
        <v>1.1677E-4</v>
      </c>
      <c r="R46" s="10">
        <v>2.1244400925554948E-4</v>
      </c>
      <c r="S46" s="10">
        <v>1.9025379652557972E-4</v>
      </c>
      <c r="T46" s="10">
        <v>0</v>
      </c>
      <c r="U46" s="10">
        <v>1.6904999999999999E-4</v>
      </c>
      <c r="V46" s="25"/>
      <c r="W46" s="25"/>
      <c r="X46" s="25"/>
      <c r="Y46" s="25"/>
      <c r="Z46" s="25"/>
      <c r="AA46" s="25"/>
    </row>
    <row r="47" spans="1:27" x14ac:dyDescent="0.35">
      <c r="A47" s="5">
        <v>43</v>
      </c>
      <c r="B47" s="5">
        <v>2</v>
      </c>
      <c r="C47" s="5">
        <v>1</v>
      </c>
      <c r="D47" s="25">
        <v>1.1416E-4</v>
      </c>
      <c r="E47" s="25">
        <v>1.1055E-4</v>
      </c>
      <c r="F47" s="25">
        <v>1.0661E-4</v>
      </c>
      <c r="G47" s="25">
        <v>1.0579E-4</v>
      </c>
      <c r="H47" s="25">
        <v>1.3096000000000001E-4</v>
      </c>
      <c r="I47" s="9">
        <v>1.2155E-4</v>
      </c>
      <c r="J47" s="9">
        <v>1.3121000000000001E-4</v>
      </c>
      <c r="K47" s="9">
        <v>1.8226000000000001E-4</v>
      </c>
      <c r="L47" s="9">
        <v>2.0704999999999999E-4</v>
      </c>
      <c r="M47" s="9">
        <v>1.5888999999999999E-4</v>
      </c>
      <c r="N47" s="9">
        <v>1.2972E-4</v>
      </c>
      <c r="O47" s="9">
        <v>1.6501999999999999E-4</v>
      </c>
      <c r="P47" s="9">
        <v>1.3399000000000001E-4</v>
      </c>
      <c r="Q47" s="9">
        <v>1.0635E-4</v>
      </c>
      <c r="R47" s="10">
        <v>2.1244426724851485E-4</v>
      </c>
      <c r="S47" s="10">
        <v>1.9024704437692856E-4</v>
      </c>
      <c r="T47" s="10">
        <v>0</v>
      </c>
      <c r="U47" s="10">
        <v>1.6904999999999999E-4</v>
      </c>
      <c r="V47" s="25"/>
      <c r="W47" s="25"/>
      <c r="X47" s="25"/>
      <c r="Y47" s="25"/>
      <c r="Z47" s="25"/>
      <c r="AA47" s="25"/>
    </row>
    <row r="48" spans="1:27" x14ac:dyDescent="0.35">
      <c r="A48" s="5">
        <v>44</v>
      </c>
      <c r="B48" s="5">
        <v>2</v>
      </c>
      <c r="C48" s="5">
        <v>1</v>
      </c>
      <c r="D48" s="25">
        <v>1.1415000000000001E-4</v>
      </c>
      <c r="E48" s="25">
        <v>1.1389E-4</v>
      </c>
      <c r="F48" s="25">
        <v>9.9450000000000005E-5</v>
      </c>
      <c r="G48" s="25">
        <v>1.1120000000000001E-4</v>
      </c>
      <c r="H48" s="25">
        <v>1.3297999999999999E-4</v>
      </c>
      <c r="I48" s="9">
        <v>1.1853000000000001E-4</v>
      </c>
      <c r="J48" s="9">
        <v>1.2734000000000001E-4</v>
      </c>
      <c r="K48" s="9">
        <v>1.7589999999999999E-4</v>
      </c>
      <c r="L48" s="9">
        <v>1.7446000000000001E-4</v>
      </c>
      <c r="M48" s="9">
        <v>1.4993999999999999E-4</v>
      </c>
      <c r="N48" s="9">
        <v>1.2051E-4</v>
      </c>
      <c r="O48" s="9">
        <v>1.3114999999999999E-4</v>
      </c>
      <c r="P48" s="9">
        <v>1.1579E-4</v>
      </c>
      <c r="Q48" s="9">
        <v>1.0272000000000001E-4</v>
      </c>
      <c r="R48" s="10">
        <v>2.1241977769857108E-4</v>
      </c>
      <c r="S48" s="10">
        <v>1.9020955032277988E-4</v>
      </c>
      <c r="T48" s="10">
        <v>0</v>
      </c>
      <c r="U48" s="10">
        <v>1.6904999999999999E-4</v>
      </c>
      <c r="V48" s="25"/>
      <c r="W48" s="25"/>
      <c r="X48" s="25"/>
      <c r="Y48" s="25"/>
      <c r="Z48" s="25"/>
      <c r="AA48" s="25"/>
    </row>
    <row r="49" spans="1:27" x14ac:dyDescent="0.35">
      <c r="A49" s="5">
        <v>45</v>
      </c>
      <c r="B49" s="5">
        <v>2</v>
      </c>
      <c r="C49" s="5">
        <v>1</v>
      </c>
      <c r="D49" s="25">
        <v>1.1416E-4</v>
      </c>
      <c r="E49" s="25">
        <v>1.0768E-4</v>
      </c>
      <c r="F49" s="25">
        <v>9.6340000000000003E-5</v>
      </c>
      <c r="G49" s="25">
        <v>6.0640000000000002E-5</v>
      </c>
      <c r="H49" s="25">
        <v>6.4610000000000007E-5</v>
      </c>
      <c r="I49" s="9">
        <v>1.1396999999999999E-4</v>
      </c>
      <c r="J49" s="9">
        <v>1.2210000000000001E-4</v>
      </c>
      <c r="K49" s="9">
        <v>1.8013999999999999E-4</v>
      </c>
      <c r="L49" s="9">
        <v>1.417E-4</v>
      </c>
      <c r="M49" s="9">
        <v>1.3514000000000001E-4</v>
      </c>
      <c r="N49" s="9">
        <v>1.1305E-4</v>
      </c>
      <c r="O49" s="9">
        <v>8.4820000000000004E-5</v>
      </c>
      <c r="P49" s="9">
        <v>8.5909999999999996E-5</v>
      </c>
      <c r="Q49" s="9">
        <v>8.7899999999999995E-5</v>
      </c>
      <c r="R49" s="10">
        <v>2.1236537451310854E-4</v>
      </c>
      <c r="S49" s="10">
        <v>1.9011949968898717E-4</v>
      </c>
      <c r="T49" s="10">
        <v>0</v>
      </c>
      <c r="U49" s="10">
        <v>1.6904999999999999E-4</v>
      </c>
      <c r="V49" s="25"/>
      <c r="W49" s="25"/>
      <c r="X49" s="25"/>
      <c r="Y49" s="25"/>
      <c r="Z49" s="25"/>
      <c r="AA49" s="25"/>
    </row>
    <row r="50" spans="1:27" x14ac:dyDescent="0.35">
      <c r="A50" s="5">
        <v>46</v>
      </c>
      <c r="B50" s="5">
        <v>2</v>
      </c>
      <c r="C50" s="5">
        <v>1</v>
      </c>
      <c r="D50" s="25">
        <v>1.1415000000000001E-4</v>
      </c>
      <c r="E50" s="25">
        <v>1.1239999999999999E-4</v>
      </c>
      <c r="F50" s="25">
        <v>9.3469999999999998E-5</v>
      </c>
      <c r="G50" s="25">
        <v>5.7540000000000001E-5</v>
      </c>
      <c r="H50" s="25">
        <v>7.4469999999999997E-5</v>
      </c>
      <c r="I50" s="9">
        <v>1.0823999999999999E-4</v>
      </c>
      <c r="J50" s="9">
        <v>1.1516E-4</v>
      </c>
      <c r="K50" s="9">
        <v>1.8651E-4</v>
      </c>
      <c r="L50" s="9">
        <v>9.8200000000000002E-5</v>
      </c>
      <c r="M50" s="9">
        <v>1.1364E-4</v>
      </c>
      <c r="N50" s="9">
        <v>1.0543E-4</v>
      </c>
      <c r="O50" s="9">
        <v>8.8029999999999996E-5</v>
      </c>
      <c r="P50" s="9">
        <v>8.7689999999999996E-5</v>
      </c>
      <c r="Q50" s="9">
        <v>8.8339999999999998E-5</v>
      </c>
      <c r="R50" s="10">
        <v>2.1235859099370504E-4</v>
      </c>
      <c r="S50" s="10">
        <v>1.9023807131483762E-4</v>
      </c>
      <c r="T50" s="10">
        <v>0</v>
      </c>
      <c r="U50" s="10">
        <v>1.6904999999999999E-4</v>
      </c>
      <c r="V50" s="25"/>
      <c r="W50" s="25"/>
      <c r="X50" s="25"/>
      <c r="Y50" s="25"/>
      <c r="Z50" s="25"/>
      <c r="AA50" s="25"/>
    </row>
    <row r="51" spans="1:27" x14ac:dyDescent="0.35">
      <c r="A51" s="5">
        <v>47</v>
      </c>
      <c r="B51" s="5">
        <v>2</v>
      </c>
      <c r="C51" s="5">
        <v>1</v>
      </c>
      <c r="D51" s="25">
        <v>1.1416E-4</v>
      </c>
      <c r="E51" s="25">
        <v>1.1137999999999999E-4</v>
      </c>
      <c r="F51" s="25">
        <v>8.5329999999999998E-5</v>
      </c>
      <c r="G51" s="25">
        <v>6.2399999999999999E-5</v>
      </c>
      <c r="H51" s="25">
        <v>7.4320000000000007E-5</v>
      </c>
      <c r="I51" s="9">
        <v>1.1027999999999999E-4</v>
      </c>
      <c r="J51" s="9">
        <v>1.0978E-4</v>
      </c>
      <c r="K51" s="9">
        <v>1.8438999999999999E-4</v>
      </c>
      <c r="L51" s="9">
        <v>9.1240000000000001E-5</v>
      </c>
      <c r="M51" s="9">
        <v>9.9010000000000002E-5</v>
      </c>
      <c r="N51" s="9">
        <v>9.9690000000000003E-5</v>
      </c>
      <c r="O51" s="9">
        <v>7.8170000000000005E-5</v>
      </c>
      <c r="P51" s="9">
        <v>7.2089999999999996E-5</v>
      </c>
      <c r="Q51" s="9">
        <v>6.6840000000000004E-5</v>
      </c>
      <c r="R51" s="10">
        <v>2.1238824276617805E-4</v>
      </c>
      <c r="S51" s="10">
        <v>1.9024563037671696E-4</v>
      </c>
      <c r="T51" s="10">
        <v>0</v>
      </c>
      <c r="U51" s="10">
        <v>1.6904999999999999E-4</v>
      </c>
      <c r="V51" s="25"/>
      <c r="W51" s="25"/>
      <c r="X51" s="25"/>
      <c r="Y51" s="25"/>
      <c r="Z51" s="25"/>
      <c r="AA51" s="25"/>
    </row>
    <row r="52" spans="1:27" x14ac:dyDescent="0.35">
      <c r="A52" s="5">
        <v>48</v>
      </c>
      <c r="B52" s="5">
        <v>2</v>
      </c>
      <c r="C52" s="5">
        <v>1</v>
      </c>
      <c r="D52" s="25">
        <v>1.1415000000000001E-4</v>
      </c>
      <c r="E52" s="25">
        <v>1.0565000000000001E-4</v>
      </c>
      <c r="F52" s="25">
        <v>9.8659999999999994E-5</v>
      </c>
      <c r="G52" s="25">
        <v>5.9500000000000003E-5</v>
      </c>
      <c r="H52" s="25">
        <v>6.6639999999999999E-5</v>
      </c>
      <c r="I52" s="9">
        <v>1.0988E-4</v>
      </c>
      <c r="J52" s="9">
        <v>1.0436E-4</v>
      </c>
      <c r="K52" s="9">
        <v>1.7802000000000001E-4</v>
      </c>
      <c r="L52" s="9">
        <v>8.1039999999999997E-5</v>
      </c>
      <c r="M52" s="9">
        <v>8.6089999999999997E-5</v>
      </c>
      <c r="N52" s="9">
        <v>9.0470000000000006E-5</v>
      </c>
      <c r="O52" s="9">
        <v>6.2589999999999995E-5</v>
      </c>
      <c r="P52" s="9">
        <v>6.0390000000000003E-5</v>
      </c>
      <c r="Q52" s="9">
        <v>5.859E-5</v>
      </c>
      <c r="R52" s="10">
        <v>2.1220648814735698E-4</v>
      </c>
      <c r="S52" s="10">
        <v>1.8988564813129092E-4</v>
      </c>
      <c r="T52" s="10">
        <v>0</v>
      </c>
      <c r="U52" s="10">
        <v>1.6904999999999999E-4</v>
      </c>
      <c r="V52" s="25"/>
      <c r="W52" s="25"/>
      <c r="X52" s="25"/>
      <c r="Y52" s="25"/>
      <c r="Z52" s="25"/>
      <c r="AA52" s="25"/>
    </row>
    <row r="53" spans="1:27" x14ac:dyDescent="0.35">
      <c r="A53" s="5">
        <v>49</v>
      </c>
      <c r="B53" s="5">
        <v>3</v>
      </c>
      <c r="C53" s="5">
        <v>1</v>
      </c>
      <c r="D53" s="25">
        <v>1.1416E-4</v>
      </c>
      <c r="E53" s="25">
        <v>1.2142999999999999E-4</v>
      </c>
      <c r="F53" s="25">
        <v>1.2201000000000001E-4</v>
      </c>
      <c r="G53" s="25">
        <v>5.2179999999999998E-5</v>
      </c>
      <c r="H53" s="25">
        <v>7.3009999999999994E-5</v>
      </c>
      <c r="I53" s="9">
        <v>1.0253E-4</v>
      </c>
      <c r="J53" s="9">
        <v>9.8430000000000005E-5</v>
      </c>
      <c r="K53" s="9">
        <v>1.8226000000000001E-4</v>
      </c>
      <c r="L53" s="9">
        <v>6.6639999999999999E-5</v>
      </c>
      <c r="M53" s="9">
        <v>7.3880000000000004E-5</v>
      </c>
      <c r="N53" s="9">
        <v>8.106E-5</v>
      </c>
      <c r="O53" s="9">
        <v>5.4339999999999998E-5</v>
      </c>
      <c r="P53" s="9">
        <v>5.376E-5</v>
      </c>
      <c r="Q53" s="9">
        <v>5.3329999999999999E-5</v>
      </c>
      <c r="R53" s="10">
        <v>2.116486655188828E-4</v>
      </c>
      <c r="S53" s="10">
        <v>1.8947128971806519E-4</v>
      </c>
      <c r="T53" s="10">
        <v>0</v>
      </c>
      <c r="U53" s="10">
        <v>1.7945999999999999E-4</v>
      </c>
      <c r="V53" s="25"/>
      <c r="W53" s="25"/>
      <c r="X53" s="25"/>
      <c r="Y53" s="25"/>
      <c r="Z53" s="25"/>
      <c r="AA53" s="25"/>
    </row>
    <row r="54" spans="1:27" x14ac:dyDescent="0.35">
      <c r="A54" s="5">
        <v>50</v>
      </c>
      <c r="B54" s="5">
        <v>3</v>
      </c>
      <c r="C54" s="5">
        <v>1</v>
      </c>
      <c r="D54" s="25">
        <v>1.1415000000000001E-4</v>
      </c>
      <c r="E54" s="25">
        <v>1.1243000000000001E-4</v>
      </c>
      <c r="F54" s="25">
        <v>1.3023000000000001E-4</v>
      </c>
      <c r="G54" s="25">
        <v>5.6339999999999999E-5</v>
      </c>
      <c r="H54" s="25">
        <v>6.8020000000000003E-5</v>
      </c>
      <c r="I54" s="9">
        <v>9.6069999999999993E-5</v>
      </c>
      <c r="J54" s="9">
        <v>9.3259999999999998E-5</v>
      </c>
      <c r="K54" s="9">
        <v>1.8014999999999999E-4</v>
      </c>
      <c r="L54" s="9">
        <v>5.7439999999999999E-5</v>
      </c>
      <c r="M54" s="9">
        <v>6.3730000000000001E-5</v>
      </c>
      <c r="N54" s="9">
        <v>7.1940000000000006E-5</v>
      </c>
      <c r="O54" s="9">
        <v>1.8309999999999999E-5</v>
      </c>
      <c r="P54" s="9">
        <v>3.7839999999999997E-5</v>
      </c>
      <c r="Q54" s="9">
        <v>5.6310000000000001E-5</v>
      </c>
      <c r="R54" s="10">
        <v>2.0896285251678016E-4</v>
      </c>
      <c r="S54" s="10">
        <v>1.8935484168233093E-4</v>
      </c>
      <c r="T54" s="10">
        <v>0</v>
      </c>
      <c r="U54" s="10">
        <v>1.7945999999999999E-4</v>
      </c>
      <c r="V54" s="25"/>
      <c r="W54" s="25"/>
      <c r="X54" s="25"/>
      <c r="Y54" s="25"/>
      <c r="Z54" s="25"/>
      <c r="AA54" s="25"/>
    </row>
    <row r="55" spans="1:27" x14ac:dyDescent="0.35">
      <c r="A55" s="5">
        <v>51</v>
      </c>
      <c r="B55" s="5">
        <v>3</v>
      </c>
      <c r="C55" s="5">
        <v>1</v>
      </c>
      <c r="D55" s="25">
        <v>1.1416E-4</v>
      </c>
      <c r="E55" s="25">
        <v>1.1819000000000001E-4</v>
      </c>
      <c r="F55" s="25">
        <v>1.3978999999999999E-4</v>
      </c>
      <c r="G55" s="25">
        <v>6.054E-5</v>
      </c>
      <c r="H55" s="25">
        <v>7.2349999999999997E-5</v>
      </c>
      <c r="I55" s="9">
        <v>9.1219999999999997E-5</v>
      </c>
      <c r="J55" s="9">
        <v>9.001E-5</v>
      </c>
      <c r="K55" s="9">
        <v>1.7803E-4</v>
      </c>
      <c r="L55" s="9">
        <v>2.7120000000000001E-5</v>
      </c>
      <c r="M55" s="9">
        <v>5.2089999999999998E-5</v>
      </c>
      <c r="N55" s="9">
        <v>6.5430000000000002E-5</v>
      </c>
      <c r="O55" s="9">
        <v>1.2619999999999999E-5</v>
      </c>
      <c r="P55" s="9">
        <v>3.7549999999999998E-5</v>
      </c>
      <c r="Q55" s="9">
        <v>6.1210000000000005E-5</v>
      </c>
      <c r="R55" s="10">
        <v>2.0955263278276575E-4</v>
      </c>
      <c r="S55" s="10">
        <v>1.8759142255717515E-4</v>
      </c>
      <c r="T55" s="10">
        <v>0</v>
      </c>
      <c r="U55" s="10">
        <v>1.7945999999999999E-4</v>
      </c>
      <c r="V55" s="25"/>
      <c r="W55" s="25"/>
      <c r="X55" s="25"/>
      <c r="Y55" s="25"/>
      <c r="Z55" s="25"/>
      <c r="AA55" s="25"/>
    </row>
    <row r="56" spans="1:27" x14ac:dyDescent="0.35">
      <c r="A56" s="5">
        <v>52</v>
      </c>
      <c r="B56" s="5">
        <v>3</v>
      </c>
      <c r="C56" s="5">
        <v>1</v>
      </c>
      <c r="D56" s="25">
        <v>1.1415000000000001E-4</v>
      </c>
      <c r="E56" s="25">
        <v>1.1553E-4</v>
      </c>
      <c r="F56" s="25">
        <v>1.2522999999999999E-4</v>
      </c>
      <c r="G56" s="25">
        <v>5.8529999999999997E-5</v>
      </c>
      <c r="H56" s="25">
        <v>7.3670000000000004E-5</v>
      </c>
      <c r="I56" s="9">
        <v>8.8269999999999993E-5</v>
      </c>
      <c r="J56" s="9">
        <v>8.8360000000000001E-5</v>
      </c>
      <c r="K56" s="9">
        <v>1.8438999999999999E-4</v>
      </c>
      <c r="L56" s="9">
        <v>1.6560000000000001E-5</v>
      </c>
      <c r="M56" s="9">
        <v>4.409E-5</v>
      </c>
      <c r="N56" s="9">
        <v>6.1779999999999995E-5</v>
      </c>
      <c r="O56" s="9">
        <v>1.272E-5</v>
      </c>
      <c r="P56" s="9">
        <v>4.7309999999999999E-5</v>
      </c>
      <c r="Q56" s="9">
        <v>8.0459999999999999E-5</v>
      </c>
      <c r="R56" s="10">
        <v>2.0573537280718391E-4</v>
      </c>
      <c r="S56" s="10">
        <v>1.8695864352713927E-4</v>
      </c>
      <c r="T56" s="10">
        <v>0</v>
      </c>
      <c r="U56" s="10">
        <v>1.7945999999999999E-4</v>
      </c>
      <c r="V56" s="25"/>
      <c r="W56" s="25"/>
      <c r="X56" s="25"/>
      <c r="Y56" s="25"/>
      <c r="Z56" s="25"/>
      <c r="AA56" s="25"/>
    </row>
    <row r="57" spans="1:27" x14ac:dyDescent="0.35">
      <c r="A57" s="5">
        <v>53</v>
      </c>
      <c r="B57" s="5">
        <v>3</v>
      </c>
      <c r="C57" s="5">
        <v>1</v>
      </c>
      <c r="D57" s="25">
        <v>1.1416E-4</v>
      </c>
      <c r="E57" s="25">
        <v>1.1285000000000001E-4</v>
      </c>
      <c r="F57" s="25">
        <v>1.2126E-4</v>
      </c>
      <c r="G57" s="25">
        <v>6.0220000000000003E-5</v>
      </c>
      <c r="H57" s="25">
        <v>6.4839999999999996E-5</v>
      </c>
      <c r="I57" s="9">
        <v>8.7499999999999999E-5</v>
      </c>
      <c r="J57" s="9">
        <v>8.8040000000000004E-5</v>
      </c>
      <c r="K57" s="9">
        <v>1.9285999999999999E-4</v>
      </c>
      <c r="L57" s="9">
        <v>1.382E-5</v>
      </c>
      <c r="M57" s="9">
        <v>4.3449999999999999E-5</v>
      </c>
      <c r="N57" s="9">
        <v>6.436E-5</v>
      </c>
      <c r="O57" s="9">
        <v>1.8450000000000001E-5</v>
      </c>
      <c r="P57" s="9">
        <v>5.7210000000000003E-5</v>
      </c>
      <c r="Q57" s="9">
        <v>9.4610000000000004E-5</v>
      </c>
      <c r="R57" s="10">
        <v>2.0525852537995324E-4</v>
      </c>
      <c r="S57" s="10">
        <v>1.8816167935679367E-4</v>
      </c>
      <c r="T57" s="10">
        <v>0</v>
      </c>
      <c r="U57" s="10">
        <v>1.7945999999999999E-4</v>
      </c>
      <c r="V57" s="25"/>
      <c r="W57" s="25"/>
      <c r="X57" s="25"/>
      <c r="Y57" s="25"/>
      <c r="Z57" s="25"/>
      <c r="AA57" s="25"/>
    </row>
    <row r="58" spans="1:27" x14ac:dyDescent="0.35">
      <c r="A58" s="5">
        <v>54</v>
      </c>
      <c r="B58" s="5">
        <v>3</v>
      </c>
      <c r="C58" s="5">
        <v>1</v>
      </c>
      <c r="D58" s="25">
        <v>1.1415000000000001E-4</v>
      </c>
      <c r="E58" s="25">
        <v>1.2021E-4</v>
      </c>
      <c r="F58" s="25">
        <v>1.3489E-4</v>
      </c>
      <c r="G58" s="25">
        <v>1.0594000000000001E-4</v>
      </c>
      <c r="H58" s="25">
        <v>1.2941999999999999E-4</v>
      </c>
      <c r="I58" s="9">
        <v>8.844E-5</v>
      </c>
      <c r="J58" s="9">
        <v>8.8759999999999997E-5</v>
      </c>
      <c r="K58" s="9">
        <v>1.8651E-4</v>
      </c>
      <c r="L58" s="9">
        <v>1.73E-5</v>
      </c>
      <c r="M58" s="9">
        <v>4.8590000000000001E-5</v>
      </c>
      <c r="N58" s="9">
        <v>7.1149999999999995E-5</v>
      </c>
      <c r="O58" s="9">
        <v>4.634E-5</v>
      </c>
      <c r="P58" s="9">
        <v>7.7169999999999995E-5</v>
      </c>
      <c r="Q58" s="9">
        <v>1.0746E-4</v>
      </c>
      <c r="R58" s="10">
        <v>2.0967067264392463E-4</v>
      </c>
      <c r="S58" s="10">
        <v>1.8915545999066867E-4</v>
      </c>
      <c r="T58" s="10">
        <v>0</v>
      </c>
      <c r="U58" s="10">
        <v>1.7945999999999999E-4</v>
      </c>
      <c r="V58" s="25"/>
      <c r="W58" s="25"/>
      <c r="X58" s="25"/>
      <c r="Y58" s="25"/>
      <c r="Z58" s="25"/>
      <c r="AA58" s="25"/>
    </row>
    <row r="59" spans="1:27" x14ac:dyDescent="0.35">
      <c r="A59" s="5">
        <v>55</v>
      </c>
      <c r="B59" s="5">
        <v>3</v>
      </c>
      <c r="C59" s="5">
        <v>1</v>
      </c>
      <c r="D59" s="25">
        <v>1.1416E-4</v>
      </c>
      <c r="E59" s="25">
        <v>1.1601E-4</v>
      </c>
      <c r="F59" s="25">
        <v>1.3755000000000001E-4</v>
      </c>
      <c r="G59" s="25">
        <v>1.1143E-4</v>
      </c>
      <c r="H59" s="25">
        <v>1.3871000000000001E-4</v>
      </c>
      <c r="I59" s="9">
        <v>9.1189999999999999E-5</v>
      </c>
      <c r="J59" s="9">
        <v>9.0359999999999995E-5</v>
      </c>
      <c r="K59" s="9">
        <v>1.7379E-4</v>
      </c>
      <c r="L59" s="9">
        <v>3.9799999999999998E-5</v>
      </c>
      <c r="M59" s="9">
        <v>6.033E-5</v>
      </c>
      <c r="N59" s="9">
        <v>8.0970000000000006E-5</v>
      </c>
      <c r="O59" s="9">
        <v>1.2323999999999999E-4</v>
      </c>
      <c r="P59" s="9">
        <v>1.1637E-4</v>
      </c>
      <c r="Q59" s="9">
        <v>1.1148E-4</v>
      </c>
      <c r="R59" s="10">
        <v>2.0979002950523713E-4</v>
      </c>
      <c r="S59" s="10">
        <v>1.9001296702462513E-4</v>
      </c>
      <c r="T59" s="10">
        <v>0</v>
      </c>
      <c r="U59" s="10">
        <v>1.7945999999999999E-4</v>
      </c>
      <c r="V59" s="25"/>
      <c r="W59" s="25"/>
      <c r="X59" s="25"/>
      <c r="Y59" s="25"/>
      <c r="Z59" s="25"/>
      <c r="AA59" s="25"/>
    </row>
    <row r="60" spans="1:27" x14ac:dyDescent="0.35">
      <c r="A60" s="5">
        <v>56</v>
      </c>
      <c r="B60" s="5">
        <v>3</v>
      </c>
      <c r="C60" s="5">
        <v>1</v>
      </c>
      <c r="D60" s="25">
        <v>1.1415000000000001E-4</v>
      </c>
      <c r="E60" s="25">
        <v>1.1451E-4</v>
      </c>
      <c r="F60" s="25">
        <v>1.2833000000000001E-4</v>
      </c>
      <c r="G60" s="25">
        <v>1.6495E-4</v>
      </c>
      <c r="H60" s="25">
        <v>1.9560000000000001E-4</v>
      </c>
      <c r="I60" s="9">
        <v>9.3499999999999996E-5</v>
      </c>
      <c r="J60" s="9">
        <v>9.4660000000000005E-5</v>
      </c>
      <c r="K60" s="9">
        <v>1.7803E-4</v>
      </c>
      <c r="L60" s="9">
        <v>1.0425999999999999E-4</v>
      </c>
      <c r="M60" s="9">
        <v>8.352E-5</v>
      </c>
      <c r="N60" s="9">
        <v>9.0849999999999999E-5</v>
      </c>
      <c r="O60" s="9">
        <v>2.2076999999999999E-4</v>
      </c>
      <c r="P60" s="9">
        <v>1.7579E-4</v>
      </c>
      <c r="Q60" s="9">
        <v>1.3579999999999999E-4</v>
      </c>
      <c r="R60" s="10">
        <v>2.1220926101013951E-4</v>
      </c>
      <c r="S60" s="10">
        <v>1.9009136406679768E-4</v>
      </c>
      <c r="T60" s="10">
        <v>0</v>
      </c>
      <c r="U60" s="10">
        <v>1.7945999999999999E-4</v>
      </c>
      <c r="V60" s="25"/>
      <c r="W60" s="25"/>
      <c r="X60" s="25"/>
      <c r="Y60" s="25"/>
      <c r="Z60" s="25"/>
      <c r="AA60" s="25"/>
    </row>
    <row r="61" spans="1:27" x14ac:dyDescent="0.35">
      <c r="A61" s="5">
        <v>57</v>
      </c>
      <c r="B61" s="5">
        <v>3</v>
      </c>
      <c r="C61" s="5">
        <v>1</v>
      </c>
      <c r="D61" s="25">
        <v>1.1416E-4</v>
      </c>
      <c r="E61" s="25">
        <v>1.2182E-4</v>
      </c>
      <c r="F61" s="25">
        <v>1.1856E-4</v>
      </c>
      <c r="G61" s="25">
        <v>1.6626999999999999E-4</v>
      </c>
      <c r="H61" s="25">
        <v>1.9865E-4</v>
      </c>
      <c r="I61" s="9">
        <v>9.7689999999999995E-5</v>
      </c>
      <c r="J61" s="9">
        <v>1.0085E-4</v>
      </c>
      <c r="K61" s="9">
        <v>1.6742999999999999E-4</v>
      </c>
      <c r="L61" s="9">
        <v>1.9337E-4</v>
      </c>
      <c r="M61" s="9">
        <v>1.2271999999999999E-4</v>
      </c>
      <c r="N61" s="9">
        <v>1.0438999999999999E-4</v>
      </c>
      <c r="O61" s="9">
        <v>2.1368E-4</v>
      </c>
      <c r="P61" s="9">
        <v>1.9301E-4</v>
      </c>
      <c r="Q61" s="9">
        <v>1.7676000000000001E-4</v>
      </c>
      <c r="R61" s="10">
        <v>2.1180504060355648E-4</v>
      </c>
      <c r="S61" s="10">
        <v>1.8995727876761238E-4</v>
      </c>
      <c r="T61" s="10">
        <v>0</v>
      </c>
      <c r="U61" s="10">
        <v>1.7945999999999999E-4</v>
      </c>
      <c r="V61" s="25"/>
      <c r="W61" s="25"/>
      <c r="X61" s="25"/>
      <c r="Y61" s="25"/>
      <c r="Z61" s="25"/>
      <c r="AA61" s="25"/>
    </row>
    <row r="62" spans="1:27" x14ac:dyDescent="0.35">
      <c r="A62" s="5">
        <v>58</v>
      </c>
      <c r="B62" s="5">
        <v>3</v>
      </c>
      <c r="C62" s="5">
        <v>1</v>
      </c>
      <c r="D62" s="25">
        <v>1.1415000000000001E-4</v>
      </c>
      <c r="E62" s="25">
        <v>1.1124E-4</v>
      </c>
      <c r="F62" s="25">
        <v>1.194E-4</v>
      </c>
      <c r="G62" s="25">
        <v>1.6529000000000001E-4</v>
      </c>
      <c r="H62" s="25">
        <v>1.8901000000000001E-4</v>
      </c>
      <c r="I62" s="9">
        <v>1.0318E-4</v>
      </c>
      <c r="J62" s="9">
        <v>1.065E-4</v>
      </c>
      <c r="K62" s="9">
        <v>1.5046999999999999E-4</v>
      </c>
      <c r="L62" s="9">
        <v>2.0688E-4</v>
      </c>
      <c r="M62" s="9">
        <v>1.5797000000000001E-4</v>
      </c>
      <c r="N62" s="9">
        <v>1.2436000000000001E-4</v>
      </c>
      <c r="O62" s="9">
        <v>1.6950999999999999E-4</v>
      </c>
      <c r="P62" s="9">
        <v>1.7461000000000001E-4</v>
      </c>
      <c r="Q62" s="9">
        <v>1.8264E-4</v>
      </c>
      <c r="R62" s="10">
        <v>2.1099191527643244E-4</v>
      </c>
      <c r="S62" s="10">
        <v>1.8708918253546657E-4</v>
      </c>
      <c r="T62" s="10">
        <v>2.0820470605249737E-5</v>
      </c>
      <c r="U62" s="10">
        <v>1.7945999999999999E-4</v>
      </c>
      <c r="V62" s="25"/>
      <c r="W62" s="25"/>
      <c r="X62" s="25"/>
      <c r="Y62" s="25"/>
      <c r="Z62" s="25"/>
      <c r="AA62" s="25"/>
    </row>
    <row r="63" spans="1:27" x14ac:dyDescent="0.35">
      <c r="A63" s="5">
        <v>59</v>
      </c>
      <c r="B63" s="5">
        <v>3</v>
      </c>
      <c r="C63" s="5">
        <v>1</v>
      </c>
      <c r="D63" s="25">
        <v>1.1416E-4</v>
      </c>
      <c r="E63" s="25">
        <v>1.1404E-4</v>
      </c>
      <c r="F63" s="25">
        <v>1.2224E-4</v>
      </c>
      <c r="G63" s="25">
        <v>1.6468E-4</v>
      </c>
      <c r="H63" s="25">
        <v>1.9837000000000001E-4</v>
      </c>
      <c r="I63" s="9">
        <v>1.086E-4</v>
      </c>
      <c r="J63" s="9">
        <v>1.1166E-4</v>
      </c>
      <c r="K63" s="9">
        <v>1.4200000000000001E-4</v>
      </c>
      <c r="L63" s="9">
        <v>1.7777E-4</v>
      </c>
      <c r="M63" s="9">
        <v>1.7215000000000001E-4</v>
      </c>
      <c r="N63" s="9">
        <v>1.4254E-4</v>
      </c>
      <c r="O63" s="9">
        <v>1.6789999999999999E-4</v>
      </c>
      <c r="P63" s="9">
        <v>1.7161999999999999E-4</v>
      </c>
      <c r="Q63" s="9">
        <v>1.7825E-4</v>
      </c>
      <c r="R63" s="10">
        <v>2.0741834841233643E-4</v>
      </c>
      <c r="S63" s="10">
        <v>1.8471779924645701E-4</v>
      </c>
      <c r="T63" s="10">
        <v>2.4511140822561731E-5</v>
      </c>
      <c r="U63" s="10">
        <v>1.7945999999999999E-4</v>
      </c>
      <c r="V63" s="25"/>
      <c r="W63" s="25"/>
      <c r="X63" s="25"/>
      <c r="Y63" s="25"/>
      <c r="Z63" s="25"/>
      <c r="AA63" s="25"/>
    </row>
    <row r="64" spans="1:27" x14ac:dyDescent="0.35">
      <c r="A64" s="5">
        <v>60</v>
      </c>
      <c r="B64" s="5">
        <v>3</v>
      </c>
      <c r="C64" s="5">
        <v>1</v>
      </c>
      <c r="D64" s="25">
        <v>1.1415000000000001E-4</v>
      </c>
      <c r="E64" s="25">
        <v>1.1584E-4</v>
      </c>
      <c r="F64" s="25">
        <v>1.3294000000000001E-4</v>
      </c>
      <c r="G64" s="25">
        <v>1.6364E-4</v>
      </c>
      <c r="H64" s="25">
        <v>1.9676000000000001E-4</v>
      </c>
      <c r="I64" s="9">
        <v>1.133E-4</v>
      </c>
      <c r="J64" s="9">
        <v>1.1504E-4</v>
      </c>
      <c r="K64" s="9">
        <v>1.3776000000000001E-4</v>
      </c>
      <c r="L64" s="9">
        <v>1.7148E-4</v>
      </c>
      <c r="M64" s="9">
        <v>1.7440000000000001E-4</v>
      </c>
      <c r="N64" s="9">
        <v>1.5635000000000001E-4</v>
      </c>
      <c r="O64" s="9">
        <v>1.7333999999999999E-4</v>
      </c>
      <c r="P64" s="9">
        <v>1.7294000000000001E-4</v>
      </c>
      <c r="Q64" s="9">
        <v>1.7563E-4</v>
      </c>
      <c r="R64" s="10">
        <v>1.7502846128661785E-4</v>
      </c>
      <c r="S64" s="10">
        <v>1.791509808889877E-4</v>
      </c>
      <c r="T64" s="10">
        <v>5.6827837047254578E-5</v>
      </c>
      <c r="U64" s="10">
        <v>1.7945999999999999E-4</v>
      </c>
      <c r="V64" s="25"/>
      <c r="W64" s="25"/>
      <c r="X64" s="25"/>
      <c r="Y64" s="25"/>
      <c r="Z64" s="25"/>
      <c r="AA64" s="25"/>
    </row>
    <row r="65" spans="1:27" x14ac:dyDescent="0.35">
      <c r="A65" s="5">
        <v>61</v>
      </c>
      <c r="B65" s="5">
        <v>3</v>
      </c>
      <c r="C65" s="5">
        <v>1</v>
      </c>
      <c r="D65" s="25">
        <v>1.1416E-4</v>
      </c>
      <c r="E65" s="25">
        <v>1.1874E-4</v>
      </c>
      <c r="F65" s="25">
        <v>1.2155E-4</v>
      </c>
      <c r="G65" s="25">
        <v>1.6604E-4</v>
      </c>
      <c r="H65" s="25">
        <v>1.9780000000000001E-4</v>
      </c>
      <c r="I65" s="9">
        <v>1.1620000000000001E-4</v>
      </c>
      <c r="J65" s="9">
        <v>1.1701000000000001E-4</v>
      </c>
      <c r="K65" s="9">
        <v>1.3564E-4</v>
      </c>
      <c r="L65" s="9">
        <v>1.7314000000000001E-4</v>
      </c>
      <c r="M65" s="9">
        <v>1.7395E-4</v>
      </c>
      <c r="N65" s="9">
        <v>1.6621E-4</v>
      </c>
      <c r="O65" s="9">
        <v>1.6265E-4</v>
      </c>
      <c r="P65" s="9">
        <v>1.6320000000000001E-4</v>
      </c>
      <c r="Q65" s="9">
        <v>1.6657999999999999E-4</v>
      </c>
      <c r="R65" s="10">
        <v>1.5661224311749793E-4</v>
      </c>
      <c r="S65" s="10">
        <v>1.747169609346507E-4</v>
      </c>
      <c r="T65" s="10">
        <v>4.1471255223496623E-5</v>
      </c>
      <c r="U65" s="10">
        <v>1.7945999999999999E-4</v>
      </c>
      <c r="V65" s="25"/>
      <c r="W65" s="25"/>
      <c r="X65" s="25"/>
      <c r="Y65" s="25"/>
      <c r="Z65" s="25"/>
      <c r="AA65" s="25"/>
    </row>
    <row r="66" spans="1:27" x14ac:dyDescent="0.35">
      <c r="A66" s="5">
        <v>62</v>
      </c>
      <c r="B66" s="5">
        <v>3</v>
      </c>
      <c r="C66" s="5">
        <v>1</v>
      </c>
      <c r="D66" s="25">
        <v>1.1415000000000001E-4</v>
      </c>
      <c r="E66" s="25">
        <v>1.1985E-4</v>
      </c>
      <c r="F66" s="25">
        <v>1.3124999999999999E-4</v>
      </c>
      <c r="G66" s="25">
        <v>1.6747999999999999E-4</v>
      </c>
      <c r="H66" s="25">
        <v>2.0102999999999999E-4</v>
      </c>
      <c r="I66" s="9">
        <v>1.1354E-4</v>
      </c>
      <c r="J66" s="9">
        <v>1.1597E-4</v>
      </c>
      <c r="K66" s="9">
        <v>1.3988E-4</v>
      </c>
      <c r="L66" s="9">
        <v>1.6464999999999999E-4</v>
      </c>
      <c r="M66" s="9">
        <v>1.6993999999999999E-4</v>
      </c>
      <c r="N66" s="9">
        <v>1.7039999999999999E-4</v>
      </c>
      <c r="O66" s="9">
        <v>1.7885000000000001E-4</v>
      </c>
      <c r="P66" s="9">
        <v>1.6746999999999999E-4</v>
      </c>
      <c r="Q66" s="9">
        <v>1.595E-4</v>
      </c>
      <c r="R66" s="10">
        <v>1.419800201501501E-4</v>
      </c>
      <c r="S66" s="10">
        <v>1.6415201878960633E-4</v>
      </c>
      <c r="T66" s="10">
        <v>1.3193085489471615E-5</v>
      </c>
      <c r="U66" s="10">
        <v>1.7945999999999999E-4</v>
      </c>
      <c r="V66" s="25"/>
      <c r="W66" s="25"/>
      <c r="X66" s="25"/>
      <c r="Y66" s="25"/>
      <c r="Z66" s="25"/>
      <c r="AA66" s="25"/>
    </row>
    <row r="67" spans="1:27" x14ac:dyDescent="0.35">
      <c r="A67" s="5">
        <v>63</v>
      </c>
      <c r="B67" s="5">
        <v>3</v>
      </c>
      <c r="C67" s="5">
        <v>1</v>
      </c>
      <c r="D67" s="25">
        <v>1.1416E-4</v>
      </c>
      <c r="E67" s="25">
        <v>1.1514E-4</v>
      </c>
      <c r="F67" s="25">
        <v>1.3127000000000001E-4</v>
      </c>
      <c r="G67" s="25">
        <v>1.5684E-4</v>
      </c>
      <c r="H67" s="25">
        <v>1.9871E-4</v>
      </c>
      <c r="I67" s="9">
        <v>1.1118E-4</v>
      </c>
      <c r="J67" s="9">
        <v>1.1488E-4</v>
      </c>
      <c r="K67" s="9">
        <v>1.3988E-4</v>
      </c>
      <c r="L67" s="9">
        <v>1.7593E-4</v>
      </c>
      <c r="M67" s="9">
        <v>1.6789999999999999E-4</v>
      </c>
      <c r="N67" s="9">
        <v>1.6966999999999999E-4</v>
      </c>
      <c r="O67" s="9">
        <v>1.8592000000000001E-4</v>
      </c>
      <c r="P67" s="9">
        <v>1.6751E-4</v>
      </c>
      <c r="Q67" s="9">
        <v>1.5279000000000001E-4</v>
      </c>
      <c r="R67" s="10">
        <v>1.1113744636919283E-4</v>
      </c>
      <c r="S67" s="10">
        <v>1.5728936337168665E-4</v>
      </c>
      <c r="T67" s="10">
        <v>1.186105049149924E-5</v>
      </c>
      <c r="U67" s="10">
        <v>1.7945999999999999E-4</v>
      </c>
      <c r="V67" s="25"/>
      <c r="W67" s="25"/>
      <c r="X67" s="25"/>
      <c r="Y67" s="25"/>
      <c r="Z67" s="25"/>
      <c r="AA67" s="25"/>
    </row>
    <row r="68" spans="1:27" x14ac:dyDescent="0.35">
      <c r="A68" s="5">
        <v>64</v>
      </c>
      <c r="B68" s="5">
        <v>3</v>
      </c>
      <c r="C68" s="5">
        <v>1</v>
      </c>
      <c r="D68" s="25">
        <v>1.1415000000000001E-4</v>
      </c>
      <c r="E68" s="25">
        <v>1.2079E-4</v>
      </c>
      <c r="F68" s="25">
        <v>1.2048999999999999E-4</v>
      </c>
      <c r="G68" s="25">
        <v>1.6222E-4</v>
      </c>
      <c r="H68" s="25">
        <v>1.9176999999999999E-4</v>
      </c>
      <c r="I68" s="9">
        <v>1.1115E-4</v>
      </c>
      <c r="J68" s="9">
        <v>1.1506E-4</v>
      </c>
      <c r="K68" s="9">
        <v>1.5470999999999999E-4</v>
      </c>
      <c r="L68" s="9">
        <v>1.8344999999999999E-4</v>
      </c>
      <c r="M68" s="9">
        <v>1.673E-4</v>
      </c>
      <c r="N68" s="9">
        <v>1.6587000000000001E-4</v>
      </c>
      <c r="O68" s="9">
        <v>1.9871E-4</v>
      </c>
      <c r="P68" s="9">
        <v>1.5174000000000001E-4</v>
      </c>
      <c r="Q68" s="9">
        <v>1.0925E-4</v>
      </c>
      <c r="R68" s="10">
        <v>8.7493706712637816E-5</v>
      </c>
      <c r="S68" s="10">
        <v>1.5653428357523383E-4</v>
      </c>
      <c r="T68" s="10">
        <v>0</v>
      </c>
      <c r="U68" s="10">
        <v>1.7945999999999999E-4</v>
      </c>
      <c r="V68" s="25"/>
      <c r="W68" s="25"/>
      <c r="X68" s="25"/>
      <c r="Y68" s="25"/>
      <c r="Z68" s="25"/>
      <c r="AA68" s="25"/>
    </row>
    <row r="69" spans="1:27" x14ac:dyDescent="0.35">
      <c r="A69" s="5">
        <v>65</v>
      </c>
      <c r="B69" s="5">
        <v>3</v>
      </c>
      <c r="C69" s="5">
        <v>1</v>
      </c>
      <c r="D69" s="25">
        <v>1.1416E-4</v>
      </c>
      <c r="E69" s="25">
        <v>1.1568E-4</v>
      </c>
      <c r="F69" s="25">
        <v>1.2489000000000001E-4</v>
      </c>
      <c r="G69" s="25">
        <v>1.5955E-4</v>
      </c>
      <c r="H69" s="25">
        <v>1.9571000000000001E-4</v>
      </c>
      <c r="I69" s="9">
        <v>1.1370999999999999E-4</v>
      </c>
      <c r="J69" s="9">
        <v>1.1982E-4</v>
      </c>
      <c r="K69" s="9">
        <v>1.5894999999999999E-4</v>
      </c>
      <c r="L69" s="9">
        <v>1.9506999999999999E-4</v>
      </c>
      <c r="M69" s="9">
        <v>1.6168000000000001E-4</v>
      </c>
      <c r="N69" s="9">
        <v>1.5210000000000001E-4</v>
      </c>
      <c r="O69" s="9">
        <v>2.1515E-4</v>
      </c>
      <c r="P69" s="9">
        <v>1.583E-4</v>
      </c>
      <c r="Q69" s="9">
        <v>1.0648E-4</v>
      </c>
      <c r="R69" s="10">
        <v>7.0672347550698511E-5</v>
      </c>
      <c r="S69" s="10">
        <v>1.6118554067055203E-4</v>
      </c>
      <c r="T69" s="10">
        <v>0</v>
      </c>
      <c r="U69" s="10">
        <v>1.7945999999999999E-4</v>
      </c>
      <c r="V69" s="25"/>
      <c r="W69" s="25"/>
      <c r="X69" s="25"/>
      <c r="Y69" s="25"/>
      <c r="Z69" s="25"/>
      <c r="AA69" s="25"/>
    </row>
    <row r="70" spans="1:27" x14ac:dyDescent="0.35">
      <c r="A70" s="5">
        <v>66</v>
      </c>
      <c r="B70" s="5">
        <v>3</v>
      </c>
      <c r="C70" s="5">
        <v>1</v>
      </c>
      <c r="D70" s="25">
        <v>1.1415000000000001E-4</v>
      </c>
      <c r="E70" s="25">
        <v>1.2119E-4</v>
      </c>
      <c r="F70" s="25">
        <v>1.27E-4</v>
      </c>
      <c r="G70" s="25">
        <v>1.5789999999999999E-4</v>
      </c>
      <c r="H70" s="25">
        <v>1.9257000000000001E-4</v>
      </c>
      <c r="I70" s="9">
        <v>1.2166E-4</v>
      </c>
      <c r="J70" s="9">
        <v>1.2951E-4</v>
      </c>
      <c r="K70" s="9">
        <v>1.6742999999999999E-4</v>
      </c>
      <c r="L70" s="9">
        <v>2.1049999999999999E-4</v>
      </c>
      <c r="M70" s="9">
        <v>1.5891000000000001E-4</v>
      </c>
      <c r="N70" s="9">
        <v>1.3862E-4</v>
      </c>
      <c r="O70" s="9">
        <v>2.0926000000000001E-4</v>
      </c>
      <c r="P70" s="9">
        <v>1.6150999999999999E-4</v>
      </c>
      <c r="Q70" s="9">
        <v>1.1849999999999999E-4</v>
      </c>
      <c r="R70" s="10">
        <v>6.7816933663581875E-5</v>
      </c>
      <c r="S70" s="10">
        <v>1.7047997447116009E-4</v>
      </c>
      <c r="T70" s="10">
        <v>0</v>
      </c>
      <c r="U70" s="10">
        <v>1.7945999999999999E-4</v>
      </c>
      <c r="V70" s="25"/>
      <c r="W70" s="25"/>
      <c r="X70" s="25"/>
      <c r="Y70" s="25"/>
      <c r="Z70" s="25"/>
      <c r="AA70" s="25"/>
    </row>
    <row r="71" spans="1:27" x14ac:dyDescent="0.35">
      <c r="A71" s="5">
        <v>67</v>
      </c>
      <c r="B71" s="5">
        <v>3</v>
      </c>
      <c r="C71" s="5">
        <v>1</v>
      </c>
      <c r="D71" s="25">
        <v>1.1416E-4</v>
      </c>
      <c r="E71" s="25">
        <v>1.1809E-4</v>
      </c>
      <c r="F71" s="25">
        <v>1.2893E-4</v>
      </c>
      <c r="G71" s="25">
        <v>1.0904E-4</v>
      </c>
      <c r="H71" s="25">
        <v>1.3035999999999999E-4</v>
      </c>
      <c r="I71" s="9">
        <v>1.2327E-4</v>
      </c>
      <c r="J71" s="9">
        <v>1.2788E-4</v>
      </c>
      <c r="K71" s="9">
        <v>1.6530000000000001E-4</v>
      </c>
      <c r="L71" s="9">
        <v>2.0914999999999999E-4</v>
      </c>
      <c r="M71" s="9">
        <v>1.5927000000000001E-4</v>
      </c>
      <c r="N71" s="9">
        <v>1.2982E-4</v>
      </c>
      <c r="O71" s="9">
        <v>1.6568999999999999E-4</v>
      </c>
      <c r="P71" s="9">
        <v>1.3454E-4</v>
      </c>
      <c r="Q71" s="9">
        <v>1.0678E-4</v>
      </c>
      <c r="R71" s="10">
        <v>8.2769656320066647E-5</v>
      </c>
      <c r="S71" s="10">
        <v>1.7954343014563718E-4</v>
      </c>
      <c r="T71" s="10">
        <v>0</v>
      </c>
      <c r="U71" s="10">
        <v>1.7945999999999999E-4</v>
      </c>
      <c r="V71" s="25"/>
      <c r="W71" s="25"/>
      <c r="X71" s="25"/>
      <c r="Y71" s="25"/>
      <c r="Z71" s="25"/>
      <c r="AA71" s="25"/>
    </row>
    <row r="72" spans="1:27" x14ac:dyDescent="0.35">
      <c r="A72" s="5">
        <v>68</v>
      </c>
      <c r="B72" s="5">
        <v>3</v>
      </c>
      <c r="C72" s="5">
        <v>1</v>
      </c>
      <c r="D72" s="25">
        <v>1.1415000000000001E-4</v>
      </c>
      <c r="E72" s="25">
        <v>1.1538E-4</v>
      </c>
      <c r="F72" s="25">
        <v>1.2302E-4</v>
      </c>
      <c r="G72" s="25">
        <v>1.1416E-4</v>
      </c>
      <c r="H72" s="25">
        <v>1.3627999999999999E-4</v>
      </c>
      <c r="I72" s="9">
        <v>1.2219999999999999E-4</v>
      </c>
      <c r="J72" s="9">
        <v>1.2530000000000001E-4</v>
      </c>
      <c r="K72" s="9">
        <v>1.5470999999999999E-4</v>
      </c>
      <c r="L72" s="9">
        <v>1.7536E-4</v>
      </c>
      <c r="M72" s="9">
        <v>1.5065E-4</v>
      </c>
      <c r="N72" s="9">
        <v>1.2074999999999999E-4</v>
      </c>
      <c r="O72" s="9">
        <v>1.2892000000000001E-4</v>
      </c>
      <c r="P72" s="9">
        <v>1.1383E-4</v>
      </c>
      <c r="Q72" s="9">
        <v>1.0098E-4</v>
      </c>
      <c r="R72" s="10">
        <v>1.0626066815920692E-4</v>
      </c>
      <c r="S72" s="10">
        <v>1.8368649985382285E-4</v>
      </c>
      <c r="T72" s="10">
        <v>0</v>
      </c>
      <c r="U72" s="10">
        <v>1.7945999999999999E-4</v>
      </c>
      <c r="V72" s="25"/>
      <c r="W72" s="25"/>
      <c r="X72" s="25"/>
      <c r="Y72" s="25"/>
      <c r="Z72" s="25"/>
      <c r="AA72" s="25"/>
    </row>
    <row r="73" spans="1:27" x14ac:dyDescent="0.35">
      <c r="A73" s="5">
        <v>69</v>
      </c>
      <c r="B73" s="5">
        <v>3</v>
      </c>
      <c r="C73" s="5">
        <v>1</v>
      </c>
      <c r="D73" s="25">
        <v>1.1416E-4</v>
      </c>
      <c r="E73" s="25">
        <v>1.2082999999999999E-4</v>
      </c>
      <c r="F73" s="25">
        <v>1.3082E-4</v>
      </c>
      <c r="G73" s="25">
        <v>5.9729999999999999E-5</v>
      </c>
      <c r="H73" s="25">
        <v>6.6290000000000004E-5</v>
      </c>
      <c r="I73" s="9">
        <v>1.1791E-4</v>
      </c>
      <c r="J73" s="9">
        <v>1.2174E-4</v>
      </c>
      <c r="K73" s="9">
        <v>1.4198999999999999E-4</v>
      </c>
      <c r="L73" s="9">
        <v>1.4018E-4</v>
      </c>
      <c r="M73" s="9">
        <v>1.3495E-4</v>
      </c>
      <c r="N73" s="9">
        <v>1.1292E-4</v>
      </c>
      <c r="O73" s="9">
        <v>8.4809999999999996E-5</v>
      </c>
      <c r="P73" s="9">
        <v>8.5900000000000001E-5</v>
      </c>
      <c r="Q73" s="9">
        <v>8.789E-5</v>
      </c>
      <c r="R73" s="10">
        <v>1.3631044583209631E-4</v>
      </c>
      <c r="S73" s="10">
        <v>1.870288795729673E-4</v>
      </c>
      <c r="T73" s="10">
        <v>0</v>
      </c>
      <c r="U73" s="10">
        <v>1.7945999999999999E-4</v>
      </c>
      <c r="V73" s="25"/>
      <c r="W73" s="25"/>
      <c r="X73" s="25"/>
      <c r="Y73" s="25"/>
      <c r="Z73" s="25"/>
      <c r="AA73" s="25"/>
    </row>
    <row r="74" spans="1:27" x14ac:dyDescent="0.35">
      <c r="A74" s="5">
        <v>70</v>
      </c>
      <c r="B74" s="5">
        <v>3</v>
      </c>
      <c r="C74" s="5">
        <v>1</v>
      </c>
      <c r="D74" s="25">
        <v>1.1415000000000001E-4</v>
      </c>
      <c r="E74" s="25">
        <v>1.1644E-4</v>
      </c>
      <c r="F74" s="25">
        <v>1.2386999999999999E-4</v>
      </c>
      <c r="G74" s="25">
        <v>5.7240000000000001E-5</v>
      </c>
      <c r="H74" s="25">
        <v>6.5489999999999998E-5</v>
      </c>
      <c r="I74" s="9">
        <v>1.1325E-4</v>
      </c>
      <c r="J74" s="9">
        <v>1.1574E-4</v>
      </c>
      <c r="K74" s="9">
        <v>1.314E-4</v>
      </c>
      <c r="L74" s="9">
        <v>9.7960000000000004E-5</v>
      </c>
      <c r="M74" s="9">
        <v>1.1323999999999999E-4</v>
      </c>
      <c r="N74" s="9">
        <v>1.053E-4</v>
      </c>
      <c r="O74" s="9">
        <v>8.8250000000000004E-5</v>
      </c>
      <c r="P74" s="9">
        <v>8.7919999999999998E-5</v>
      </c>
      <c r="Q74" s="9">
        <v>8.8570000000000001E-5</v>
      </c>
      <c r="R74" s="10">
        <v>1.6632661445955353E-4</v>
      </c>
      <c r="S74" s="10">
        <v>1.8829424912028097E-4</v>
      </c>
      <c r="T74" s="10">
        <v>0</v>
      </c>
      <c r="U74" s="10">
        <v>1.7945999999999999E-4</v>
      </c>
      <c r="V74" s="25"/>
      <c r="W74" s="25"/>
      <c r="X74" s="25"/>
      <c r="Y74" s="25"/>
      <c r="Z74" s="25"/>
      <c r="AA74" s="25"/>
    </row>
    <row r="75" spans="1:27" x14ac:dyDescent="0.35">
      <c r="A75" s="5">
        <v>71</v>
      </c>
      <c r="B75" s="5">
        <v>3</v>
      </c>
      <c r="C75" s="5">
        <v>1</v>
      </c>
      <c r="D75" s="25">
        <v>1.1416E-4</v>
      </c>
      <c r="E75" s="25">
        <v>1.106E-4</v>
      </c>
      <c r="F75" s="25">
        <v>1.2655000000000001E-4</v>
      </c>
      <c r="G75" s="25">
        <v>5.834E-5</v>
      </c>
      <c r="H75" s="25">
        <v>6.7879999999999994E-5</v>
      </c>
      <c r="I75" s="9">
        <v>1.1391999999999999E-4</v>
      </c>
      <c r="J75" s="9">
        <v>1.0867E-4</v>
      </c>
      <c r="K75" s="9">
        <v>1.5048000000000001E-4</v>
      </c>
      <c r="L75" s="9">
        <v>9.132E-5</v>
      </c>
      <c r="M75" s="9">
        <v>9.8820000000000006E-5</v>
      </c>
      <c r="N75" s="9">
        <v>9.9630000000000007E-5</v>
      </c>
      <c r="O75" s="9">
        <v>7.8100000000000001E-5</v>
      </c>
      <c r="P75" s="9">
        <v>7.2020000000000005E-5</v>
      </c>
      <c r="Q75" s="9">
        <v>6.6779999999999994E-5</v>
      </c>
      <c r="R75" s="10">
        <v>1.7831116616882589E-4</v>
      </c>
      <c r="S75" s="10">
        <v>1.8778792159420703E-4</v>
      </c>
      <c r="T75" s="10">
        <v>0</v>
      </c>
      <c r="U75" s="10">
        <v>1.7945999999999999E-4</v>
      </c>
      <c r="V75" s="25"/>
      <c r="W75" s="25"/>
      <c r="X75" s="25"/>
      <c r="Y75" s="25"/>
      <c r="Z75" s="25"/>
      <c r="AA75" s="25"/>
    </row>
    <row r="76" spans="1:27" x14ac:dyDescent="0.35">
      <c r="A76" s="5">
        <v>72</v>
      </c>
      <c r="B76" s="5">
        <v>3</v>
      </c>
      <c r="C76" s="5">
        <v>1</v>
      </c>
      <c r="D76" s="25">
        <v>1.1415000000000001E-4</v>
      </c>
      <c r="E76" s="25">
        <v>1.1379000000000001E-4</v>
      </c>
      <c r="F76" s="25">
        <v>1.2120000000000001E-4</v>
      </c>
      <c r="G76" s="25">
        <v>5.9110000000000002E-5</v>
      </c>
      <c r="H76" s="25">
        <v>6.6630000000000004E-5</v>
      </c>
      <c r="I76" s="9">
        <v>1.1277000000000001E-4</v>
      </c>
      <c r="J76" s="9">
        <v>1.0176E-4</v>
      </c>
      <c r="K76" s="9">
        <v>1.4624000000000001E-4</v>
      </c>
      <c r="L76" s="9">
        <v>8.0970000000000006E-5</v>
      </c>
      <c r="M76" s="9">
        <v>8.6020000000000007E-5</v>
      </c>
      <c r="N76" s="9">
        <v>9.0359999999999995E-5</v>
      </c>
      <c r="O76" s="9">
        <v>6.2739999999999999E-5</v>
      </c>
      <c r="P76" s="9">
        <v>6.054E-5</v>
      </c>
      <c r="Q76" s="9">
        <v>5.8730000000000002E-5</v>
      </c>
      <c r="R76" s="10">
        <v>1.9730578571361588E-4</v>
      </c>
      <c r="S76" s="10">
        <v>1.8672287238861629E-4</v>
      </c>
      <c r="T76" s="10">
        <v>0</v>
      </c>
      <c r="U76" s="10">
        <v>1.7945999999999999E-4</v>
      </c>
      <c r="V76" s="25"/>
      <c r="W76" s="25"/>
      <c r="X76" s="25"/>
      <c r="Y76" s="25"/>
      <c r="Z76" s="25"/>
      <c r="AA76" s="25"/>
    </row>
    <row r="77" spans="1:27" x14ac:dyDescent="0.35">
      <c r="A77" s="5">
        <v>73</v>
      </c>
      <c r="B77" s="5">
        <v>4</v>
      </c>
      <c r="C77" s="5">
        <v>1</v>
      </c>
      <c r="D77" s="25">
        <v>1.1416E-4</v>
      </c>
      <c r="E77" s="25">
        <v>1.2018E-4</v>
      </c>
      <c r="F77" s="25">
        <v>1.272E-4</v>
      </c>
      <c r="G77" s="25">
        <v>5.5850000000000002E-5</v>
      </c>
      <c r="H77" s="25">
        <v>6.5030000000000006E-5</v>
      </c>
      <c r="I77" s="9">
        <v>1.0451E-4</v>
      </c>
      <c r="J77" s="9">
        <v>9.5749999999999996E-5</v>
      </c>
      <c r="K77" s="9">
        <v>1.4411E-4</v>
      </c>
      <c r="L77" s="9">
        <v>6.6760000000000005E-5</v>
      </c>
      <c r="M77" s="9">
        <v>7.3899999999999994E-5</v>
      </c>
      <c r="N77" s="9">
        <v>8.0980000000000001E-5</v>
      </c>
      <c r="O77" s="9">
        <v>5.41E-5</v>
      </c>
      <c r="P77" s="9">
        <v>5.3520000000000003E-5</v>
      </c>
      <c r="Q77" s="9">
        <v>5.3100000000000003E-5</v>
      </c>
      <c r="R77" s="10">
        <v>1.9957327833025607E-4</v>
      </c>
      <c r="S77" s="10">
        <v>1.8658818478895116E-4</v>
      </c>
      <c r="T77" s="10">
        <v>0</v>
      </c>
      <c r="U77" s="10">
        <v>1.8589E-4</v>
      </c>
      <c r="V77" s="25"/>
      <c r="W77" s="25"/>
      <c r="X77" s="25"/>
      <c r="Y77" s="25"/>
      <c r="Z77" s="25"/>
      <c r="AA77" s="25"/>
    </row>
    <row r="78" spans="1:27" x14ac:dyDescent="0.35">
      <c r="A78" s="5">
        <v>74</v>
      </c>
      <c r="B78" s="5">
        <v>4</v>
      </c>
      <c r="C78" s="5">
        <v>1</v>
      </c>
      <c r="D78" s="25">
        <v>1.1415000000000001E-4</v>
      </c>
      <c r="E78" s="25">
        <v>1.1386E-4</v>
      </c>
      <c r="F78" s="25">
        <v>1.1228E-4</v>
      </c>
      <c r="G78" s="25">
        <v>5.3399999999999997E-5</v>
      </c>
      <c r="H78" s="25">
        <v>6.5190000000000004E-5</v>
      </c>
      <c r="I78" s="9">
        <v>9.9519999999999996E-5</v>
      </c>
      <c r="J78" s="9">
        <v>9.2670000000000006E-5</v>
      </c>
      <c r="K78" s="9">
        <v>1.2504000000000001E-4</v>
      </c>
      <c r="L78" s="9">
        <v>5.728E-5</v>
      </c>
      <c r="M78" s="9">
        <v>6.368E-5</v>
      </c>
      <c r="N78" s="9">
        <v>7.1870000000000001E-5</v>
      </c>
      <c r="O78" s="9">
        <v>1.827E-5</v>
      </c>
      <c r="P78" s="9">
        <v>3.7759999999999998E-5</v>
      </c>
      <c r="Q78" s="9">
        <v>5.6199999999999997E-5</v>
      </c>
      <c r="R78" s="10">
        <v>2.0365104453743784E-4</v>
      </c>
      <c r="S78" s="10">
        <v>1.8558010581745448E-4</v>
      </c>
      <c r="T78" s="10">
        <v>0</v>
      </c>
      <c r="U78" s="10">
        <v>1.8589E-4</v>
      </c>
      <c r="V78" s="25"/>
      <c r="W78" s="25"/>
      <c r="X78" s="25"/>
      <c r="Y78" s="25"/>
      <c r="Z78" s="25"/>
      <c r="AA78" s="25"/>
    </row>
    <row r="79" spans="1:27" x14ac:dyDescent="0.35">
      <c r="A79" s="5">
        <v>75</v>
      </c>
      <c r="B79" s="5">
        <v>4</v>
      </c>
      <c r="C79" s="5">
        <v>1</v>
      </c>
      <c r="D79" s="25">
        <v>1.1416E-4</v>
      </c>
      <c r="E79" s="25">
        <v>1.1364E-4</v>
      </c>
      <c r="F79" s="25">
        <v>1.16E-4</v>
      </c>
      <c r="G79" s="25">
        <v>6.1400000000000002E-5</v>
      </c>
      <c r="H79" s="25">
        <v>7.7169999999999995E-5</v>
      </c>
      <c r="I79" s="9">
        <v>9.5569999999999995E-5</v>
      </c>
      <c r="J79" s="9">
        <v>9.1340000000000003E-5</v>
      </c>
      <c r="K79" s="9">
        <v>1.3352000000000001E-4</v>
      </c>
      <c r="L79" s="9">
        <v>2.7059999999999998E-5</v>
      </c>
      <c r="M79" s="9">
        <v>5.202E-5</v>
      </c>
      <c r="N79" s="9">
        <v>6.5359999999999998E-5</v>
      </c>
      <c r="O79" s="9">
        <v>1.274E-5</v>
      </c>
      <c r="P79" s="9">
        <v>3.7910000000000001E-5</v>
      </c>
      <c r="Q79" s="9">
        <v>6.1790000000000003E-5</v>
      </c>
      <c r="R79" s="10">
        <v>2.018728599267758E-4</v>
      </c>
      <c r="S79" s="10">
        <v>1.8517012598974806E-4</v>
      </c>
      <c r="T79" s="10">
        <v>0</v>
      </c>
      <c r="U79" s="10">
        <v>1.8589E-4</v>
      </c>
      <c r="V79" s="25"/>
      <c r="W79" s="25"/>
      <c r="X79" s="25"/>
      <c r="Y79" s="25"/>
      <c r="Z79" s="25"/>
      <c r="AA79" s="25"/>
    </row>
    <row r="80" spans="1:27" x14ac:dyDescent="0.35">
      <c r="A80" s="5">
        <v>76</v>
      </c>
      <c r="B80" s="5">
        <v>4</v>
      </c>
      <c r="C80" s="5">
        <v>1</v>
      </c>
      <c r="D80" s="25">
        <v>1.1415000000000001E-4</v>
      </c>
      <c r="E80" s="25">
        <v>1.2072E-4</v>
      </c>
      <c r="F80" s="25">
        <v>1.2244999999999999E-4</v>
      </c>
      <c r="G80" s="25">
        <v>5.5930000000000002E-5</v>
      </c>
      <c r="H80" s="25">
        <v>6.7879999999999994E-5</v>
      </c>
      <c r="I80" s="9">
        <v>9.3579999999999995E-5</v>
      </c>
      <c r="J80" s="9">
        <v>9.1420000000000002E-5</v>
      </c>
      <c r="K80" s="9">
        <v>1.3352000000000001E-4</v>
      </c>
      <c r="L80" s="9">
        <v>1.664E-5</v>
      </c>
      <c r="M80" s="9">
        <v>4.4159999999999997E-5</v>
      </c>
      <c r="N80" s="9">
        <v>6.1859999999999994E-5</v>
      </c>
      <c r="O80" s="9">
        <v>1.273E-5</v>
      </c>
      <c r="P80" s="9">
        <v>4.7360000000000001E-5</v>
      </c>
      <c r="Q80" s="9">
        <v>8.0550000000000006E-5</v>
      </c>
      <c r="R80" s="10">
        <v>1.9956098494168449E-4</v>
      </c>
      <c r="S80" s="10">
        <v>1.8473339376283345E-4</v>
      </c>
      <c r="T80" s="10">
        <v>0</v>
      </c>
      <c r="U80" s="10">
        <v>1.8589E-4</v>
      </c>
      <c r="V80" s="25"/>
      <c r="W80" s="25"/>
      <c r="X80" s="25"/>
      <c r="Y80" s="25"/>
      <c r="Z80" s="25"/>
      <c r="AA80" s="25"/>
    </row>
    <row r="81" spans="1:27" x14ac:dyDescent="0.35">
      <c r="A81" s="5">
        <v>77</v>
      </c>
      <c r="B81" s="5">
        <v>4</v>
      </c>
      <c r="C81" s="5">
        <v>1</v>
      </c>
      <c r="D81" s="25">
        <v>1.1416E-4</v>
      </c>
      <c r="E81" s="25">
        <v>1.1445E-4</v>
      </c>
      <c r="F81" s="25">
        <v>1.167E-4</v>
      </c>
      <c r="G81" s="25">
        <v>5.9490000000000001E-5</v>
      </c>
      <c r="H81" s="25">
        <v>6.3849999999999993E-5</v>
      </c>
      <c r="I81" s="9">
        <v>9.4939999999999996E-5</v>
      </c>
      <c r="J81" s="9">
        <v>9.1780000000000006E-5</v>
      </c>
      <c r="K81" s="9">
        <v>1.3988E-4</v>
      </c>
      <c r="L81" s="9">
        <v>1.384E-5</v>
      </c>
      <c r="M81" s="9">
        <v>4.3550000000000001E-5</v>
      </c>
      <c r="N81" s="9">
        <v>6.4460000000000003E-5</v>
      </c>
      <c r="O81" s="9">
        <v>1.8450000000000001E-5</v>
      </c>
      <c r="P81" s="9">
        <v>5.7219999999999998E-5</v>
      </c>
      <c r="Q81" s="9">
        <v>9.4610000000000004E-5</v>
      </c>
      <c r="R81" s="10">
        <v>1.9927417693211459E-4</v>
      </c>
      <c r="S81" s="10">
        <v>1.8451050180257023E-4</v>
      </c>
      <c r="T81" s="10">
        <v>0</v>
      </c>
      <c r="U81" s="10">
        <v>1.8589E-4</v>
      </c>
      <c r="V81" s="25"/>
      <c r="W81" s="25"/>
      <c r="X81" s="25"/>
      <c r="Y81" s="25"/>
      <c r="Z81" s="25"/>
      <c r="AA81" s="25"/>
    </row>
    <row r="82" spans="1:27" x14ac:dyDescent="0.35">
      <c r="A82" s="5">
        <v>78</v>
      </c>
      <c r="B82" s="5">
        <v>4</v>
      </c>
      <c r="C82" s="5">
        <v>1</v>
      </c>
      <c r="D82" s="25">
        <v>1.1415000000000001E-4</v>
      </c>
      <c r="E82" s="25">
        <v>1.1906E-4</v>
      </c>
      <c r="F82" s="25">
        <v>1.1454E-4</v>
      </c>
      <c r="G82" s="25">
        <v>1.0857E-4</v>
      </c>
      <c r="H82" s="25">
        <v>1.3354E-4</v>
      </c>
      <c r="I82" s="9">
        <v>1.003E-4</v>
      </c>
      <c r="J82" s="9">
        <v>9.6329999999999994E-5</v>
      </c>
      <c r="K82" s="9">
        <v>1.3987E-4</v>
      </c>
      <c r="L82" s="9">
        <v>1.7309999999999999E-5</v>
      </c>
      <c r="M82" s="9">
        <v>4.8659999999999998E-5</v>
      </c>
      <c r="N82" s="9">
        <v>7.1249999999999997E-5</v>
      </c>
      <c r="O82" s="9">
        <v>4.6270000000000003E-5</v>
      </c>
      <c r="P82" s="9">
        <v>7.7050000000000003E-5</v>
      </c>
      <c r="Q82" s="9">
        <v>1.0729E-4</v>
      </c>
      <c r="R82" s="10">
        <v>2.0103529845231149E-4</v>
      </c>
      <c r="S82" s="10">
        <v>1.8273922505964899E-4</v>
      </c>
      <c r="T82" s="10">
        <v>0</v>
      </c>
      <c r="U82" s="10">
        <v>1.8589E-4</v>
      </c>
      <c r="V82" s="25"/>
      <c r="W82" s="25"/>
      <c r="X82" s="25"/>
      <c r="Y82" s="25"/>
      <c r="Z82" s="25"/>
      <c r="AA82" s="25"/>
    </row>
    <row r="83" spans="1:27" x14ac:dyDescent="0.35">
      <c r="A83" s="5">
        <v>79</v>
      </c>
      <c r="B83" s="5">
        <v>4</v>
      </c>
      <c r="C83" s="5">
        <v>1</v>
      </c>
      <c r="D83" s="25">
        <v>1.1416E-4</v>
      </c>
      <c r="E83" s="25">
        <v>1.1864E-4</v>
      </c>
      <c r="F83" s="25">
        <v>1.2899E-4</v>
      </c>
      <c r="G83" s="25">
        <v>1.1254E-4</v>
      </c>
      <c r="H83" s="25">
        <v>1.2761000000000001E-4</v>
      </c>
      <c r="I83" s="9">
        <v>1.1471E-4</v>
      </c>
      <c r="J83" s="9">
        <v>1.0779E-4</v>
      </c>
      <c r="K83" s="9">
        <v>1.4411E-4</v>
      </c>
      <c r="L83" s="9">
        <v>3.9749999999999997E-5</v>
      </c>
      <c r="M83" s="9">
        <v>6.0319999999999998E-5</v>
      </c>
      <c r="N83" s="9">
        <v>8.1019999999999993E-5</v>
      </c>
      <c r="O83" s="9">
        <v>1.2548E-4</v>
      </c>
      <c r="P83" s="9">
        <v>1.1849E-4</v>
      </c>
      <c r="Q83" s="9">
        <v>1.1349999999999999E-4</v>
      </c>
      <c r="R83" s="10">
        <v>1.9783921103677397E-4</v>
      </c>
      <c r="S83" s="10">
        <v>1.8257810467917521E-4</v>
      </c>
      <c r="T83" s="10">
        <v>0</v>
      </c>
      <c r="U83" s="10">
        <v>1.8589E-4</v>
      </c>
      <c r="V83" s="25"/>
      <c r="W83" s="25"/>
      <c r="X83" s="25"/>
      <c r="Y83" s="25"/>
      <c r="Z83" s="25"/>
      <c r="AA83" s="25"/>
    </row>
    <row r="84" spans="1:27" x14ac:dyDescent="0.35">
      <c r="A84" s="5">
        <v>80</v>
      </c>
      <c r="B84" s="5">
        <v>4</v>
      </c>
      <c r="C84" s="5">
        <v>1</v>
      </c>
      <c r="D84" s="25">
        <v>1.1415000000000001E-4</v>
      </c>
      <c r="E84" s="25">
        <v>1.1684999999999999E-4</v>
      </c>
      <c r="F84" s="25">
        <v>1.2908E-4</v>
      </c>
      <c r="G84" s="25">
        <v>1.6656E-4</v>
      </c>
      <c r="H84" s="25">
        <v>1.9022E-4</v>
      </c>
      <c r="I84" s="9">
        <v>1.2776000000000001E-4</v>
      </c>
      <c r="J84" s="9">
        <v>1.2554999999999999E-4</v>
      </c>
      <c r="K84" s="9">
        <v>1.5046999999999999E-4</v>
      </c>
      <c r="L84" s="9">
        <v>1.0599000000000001E-4</v>
      </c>
      <c r="M84" s="9">
        <v>8.4259999999999996E-5</v>
      </c>
      <c r="N84" s="9">
        <v>9.1329999999999995E-5</v>
      </c>
      <c r="O84" s="9">
        <v>2.2084000000000001E-4</v>
      </c>
      <c r="P84" s="9">
        <v>1.7584E-4</v>
      </c>
      <c r="Q84" s="9">
        <v>1.3584E-4</v>
      </c>
      <c r="R84" s="10">
        <v>1.9961934914380781E-4</v>
      </c>
      <c r="S84" s="10">
        <v>1.8120468906814737E-4</v>
      </c>
      <c r="T84" s="10">
        <v>0</v>
      </c>
      <c r="U84" s="10">
        <v>1.8589E-4</v>
      </c>
      <c r="V84" s="25"/>
      <c r="W84" s="25"/>
      <c r="X84" s="25"/>
      <c r="Y84" s="25"/>
      <c r="Z84" s="25"/>
      <c r="AA84" s="25"/>
    </row>
    <row r="85" spans="1:27" x14ac:dyDescent="0.35">
      <c r="A85" s="5">
        <v>81</v>
      </c>
      <c r="B85" s="5">
        <v>4</v>
      </c>
      <c r="C85" s="5">
        <v>1</v>
      </c>
      <c r="D85" s="25">
        <v>1.1416E-4</v>
      </c>
      <c r="E85" s="25">
        <v>1.1705999999999999E-4</v>
      </c>
      <c r="F85" s="25">
        <v>1.3014E-4</v>
      </c>
      <c r="G85" s="25">
        <v>1.5935E-4</v>
      </c>
      <c r="H85" s="25">
        <v>2.0371000000000001E-4</v>
      </c>
      <c r="I85" s="9">
        <v>1.3491999999999999E-4</v>
      </c>
      <c r="J85" s="9">
        <v>1.3739000000000001E-4</v>
      </c>
      <c r="K85" s="9">
        <v>1.5472000000000001E-4</v>
      </c>
      <c r="L85" s="9">
        <v>1.9375999999999999E-4</v>
      </c>
      <c r="M85" s="9">
        <v>1.2342000000000001E-4</v>
      </c>
      <c r="N85" s="9">
        <v>1.0483E-4</v>
      </c>
      <c r="O85" s="9">
        <v>2.1342E-4</v>
      </c>
      <c r="P85" s="9">
        <v>1.9277000000000001E-4</v>
      </c>
      <c r="Q85" s="9">
        <v>1.7653999999999999E-4</v>
      </c>
      <c r="R85" s="10">
        <v>1.9552249039925121E-4</v>
      </c>
      <c r="S85" s="10">
        <v>1.7874850321218267E-4</v>
      </c>
      <c r="T85" s="10">
        <v>0</v>
      </c>
      <c r="U85" s="10">
        <v>1.8589E-4</v>
      </c>
      <c r="V85" s="25"/>
      <c r="W85" s="25"/>
      <c r="X85" s="25"/>
      <c r="Y85" s="25"/>
      <c r="Z85" s="25"/>
      <c r="AA85" s="25"/>
    </row>
    <row r="86" spans="1:27" x14ac:dyDescent="0.35">
      <c r="A86" s="5">
        <v>82</v>
      </c>
      <c r="B86" s="5">
        <v>4</v>
      </c>
      <c r="C86" s="5">
        <v>1</v>
      </c>
      <c r="D86" s="25">
        <v>1.1415000000000001E-4</v>
      </c>
      <c r="E86" s="25">
        <v>1.1817E-4</v>
      </c>
      <c r="F86" s="25">
        <v>1.2917000000000001E-4</v>
      </c>
      <c r="G86" s="25">
        <v>1.6754000000000001E-4</v>
      </c>
      <c r="H86" s="25">
        <v>2.029E-4</v>
      </c>
      <c r="I86" s="9">
        <v>1.3517E-4</v>
      </c>
      <c r="J86" s="9">
        <v>1.4107E-4</v>
      </c>
      <c r="K86" s="9">
        <v>1.5894999999999999E-4</v>
      </c>
      <c r="L86" s="9">
        <v>2.0678999999999999E-4</v>
      </c>
      <c r="M86" s="9">
        <v>1.5829E-4</v>
      </c>
      <c r="N86" s="9">
        <v>1.247E-4</v>
      </c>
      <c r="O86" s="9">
        <v>1.6959000000000001E-4</v>
      </c>
      <c r="P86" s="9">
        <v>1.7469999999999999E-4</v>
      </c>
      <c r="Q86" s="9">
        <v>1.8274E-4</v>
      </c>
      <c r="R86" s="10">
        <v>1.9534708358614721E-4</v>
      </c>
      <c r="S86" s="10">
        <v>1.743177493066855E-4</v>
      </c>
      <c r="T86" s="10">
        <v>2.6575370854451405E-4</v>
      </c>
      <c r="U86" s="10">
        <v>1.8589E-4</v>
      </c>
      <c r="V86" s="25"/>
      <c r="W86" s="25"/>
      <c r="X86" s="25"/>
      <c r="Y86" s="25"/>
      <c r="Z86" s="25"/>
      <c r="AA86" s="25"/>
    </row>
    <row r="87" spans="1:27" x14ac:dyDescent="0.35">
      <c r="A87" s="5">
        <v>83</v>
      </c>
      <c r="B87" s="5">
        <v>4</v>
      </c>
      <c r="C87" s="5">
        <v>1</v>
      </c>
      <c r="D87" s="25">
        <v>1.1416E-4</v>
      </c>
      <c r="E87" s="25">
        <v>1.2004E-4</v>
      </c>
      <c r="F87" s="25">
        <v>1.304E-4</v>
      </c>
      <c r="G87" s="25">
        <v>1.6558999999999999E-4</v>
      </c>
      <c r="H87" s="25">
        <v>1.9158000000000001E-4</v>
      </c>
      <c r="I87" s="9">
        <v>1.3532999999999999E-4</v>
      </c>
      <c r="J87" s="9">
        <v>1.4228E-4</v>
      </c>
      <c r="K87" s="9">
        <v>1.6107E-4</v>
      </c>
      <c r="L87" s="9">
        <v>1.7785000000000001E-4</v>
      </c>
      <c r="M87" s="9">
        <v>1.7228E-4</v>
      </c>
      <c r="N87" s="9">
        <v>1.4283000000000001E-4</v>
      </c>
      <c r="O87" s="9">
        <v>1.7024999999999999E-4</v>
      </c>
      <c r="P87" s="9">
        <v>1.7401999999999999E-4</v>
      </c>
      <c r="Q87" s="9">
        <v>1.8075E-4</v>
      </c>
      <c r="R87" s="10">
        <v>1.9321446062849814E-4</v>
      </c>
      <c r="S87" s="10">
        <v>1.6865248553977121E-4</v>
      </c>
      <c r="T87" s="10">
        <v>3.7671985974502801E-4</v>
      </c>
      <c r="U87" s="10">
        <v>1.8589E-4</v>
      </c>
      <c r="V87" s="25"/>
      <c r="W87" s="25"/>
      <c r="X87" s="25"/>
      <c r="Y87" s="25"/>
      <c r="Z87" s="25"/>
      <c r="AA87" s="25"/>
    </row>
    <row r="88" spans="1:27" x14ac:dyDescent="0.35">
      <c r="A88" s="5">
        <v>84</v>
      </c>
      <c r="B88" s="5">
        <v>4</v>
      </c>
      <c r="C88" s="5">
        <v>1</v>
      </c>
      <c r="D88" s="25">
        <v>1.1415000000000001E-4</v>
      </c>
      <c r="E88" s="25">
        <v>1.1079E-4</v>
      </c>
      <c r="F88" s="25">
        <v>1.1607000000000001E-4</v>
      </c>
      <c r="G88" s="25">
        <v>1.5737999999999999E-4</v>
      </c>
      <c r="H88" s="25">
        <v>1.9406E-4</v>
      </c>
      <c r="I88" s="9">
        <v>1.3705999999999999E-4</v>
      </c>
      <c r="J88" s="9">
        <v>1.4347000000000001E-4</v>
      </c>
      <c r="K88" s="9">
        <v>1.7378000000000001E-4</v>
      </c>
      <c r="L88" s="9">
        <v>1.7332E-4</v>
      </c>
      <c r="M88" s="9">
        <v>1.7532E-4</v>
      </c>
      <c r="N88" s="9">
        <v>1.5712000000000001E-4</v>
      </c>
      <c r="O88" s="9">
        <v>1.7189000000000001E-4</v>
      </c>
      <c r="P88" s="9">
        <v>1.7149E-4</v>
      </c>
      <c r="Q88" s="9">
        <v>1.7416E-4</v>
      </c>
      <c r="R88" s="10">
        <v>1.5723813666579232E-4</v>
      </c>
      <c r="S88" s="10">
        <v>1.4499227300917333E-4</v>
      </c>
      <c r="T88" s="10">
        <v>4.662122492903313E-4</v>
      </c>
      <c r="U88" s="10">
        <v>1.8589E-4</v>
      </c>
      <c r="V88" s="25"/>
      <c r="W88" s="25"/>
      <c r="X88" s="25"/>
      <c r="Y88" s="25"/>
      <c r="Z88" s="25"/>
      <c r="AA88" s="25"/>
    </row>
    <row r="89" spans="1:27" x14ac:dyDescent="0.35">
      <c r="A89" s="5">
        <v>85</v>
      </c>
      <c r="B89" s="5">
        <v>4</v>
      </c>
      <c r="C89" s="5">
        <v>1</v>
      </c>
      <c r="D89" s="25">
        <v>1.1416E-4</v>
      </c>
      <c r="E89" s="25">
        <v>1.2055E-4</v>
      </c>
      <c r="F89" s="25">
        <v>1.1459E-4</v>
      </c>
      <c r="G89" s="25">
        <v>1.6487000000000001E-4</v>
      </c>
      <c r="H89" s="25">
        <v>1.9987999999999999E-4</v>
      </c>
      <c r="I89" s="9">
        <v>1.3477000000000001E-4</v>
      </c>
      <c r="J89" s="9">
        <v>1.4322E-4</v>
      </c>
      <c r="K89" s="9">
        <v>1.7803E-4</v>
      </c>
      <c r="L89" s="9">
        <v>1.7236000000000001E-4</v>
      </c>
      <c r="M89" s="9">
        <v>1.7424000000000001E-4</v>
      </c>
      <c r="N89" s="9">
        <v>1.6652E-4</v>
      </c>
      <c r="O89" s="9">
        <v>1.6306E-4</v>
      </c>
      <c r="P89" s="9">
        <v>1.6360999999999999E-4</v>
      </c>
      <c r="Q89" s="9">
        <v>1.6699999999999999E-4</v>
      </c>
      <c r="R89" s="10">
        <v>1.7068710962739295E-4</v>
      </c>
      <c r="S89" s="10">
        <v>1.4342408341141933E-4</v>
      </c>
      <c r="T89" s="10">
        <v>4.6355666359373671E-4</v>
      </c>
      <c r="U89" s="10">
        <v>1.8589E-4</v>
      </c>
      <c r="V89" s="25"/>
      <c r="W89" s="25"/>
      <c r="X89" s="25"/>
      <c r="Y89" s="25"/>
      <c r="Z89" s="25"/>
      <c r="AA89" s="25"/>
    </row>
    <row r="90" spans="1:27" x14ac:dyDescent="0.35">
      <c r="A90" s="5">
        <v>86</v>
      </c>
      <c r="B90" s="5">
        <v>4</v>
      </c>
      <c r="C90" s="5">
        <v>1</v>
      </c>
      <c r="D90" s="25">
        <v>1.1415000000000001E-4</v>
      </c>
      <c r="E90" s="25">
        <v>1.1856E-4</v>
      </c>
      <c r="F90" s="25">
        <v>1.2676000000000001E-4</v>
      </c>
      <c r="G90" s="25">
        <v>1.6286999999999999E-4</v>
      </c>
      <c r="H90" s="25">
        <v>1.9724E-4</v>
      </c>
      <c r="I90" s="9">
        <v>1.3512999999999999E-4</v>
      </c>
      <c r="J90" s="9">
        <v>1.4441000000000001E-4</v>
      </c>
      <c r="K90" s="9">
        <v>1.6531E-4</v>
      </c>
      <c r="L90" s="9">
        <v>1.6487000000000001E-4</v>
      </c>
      <c r="M90" s="9">
        <v>1.7007E-4</v>
      </c>
      <c r="N90" s="9">
        <v>1.7071E-4</v>
      </c>
      <c r="O90" s="9">
        <v>1.7944E-4</v>
      </c>
      <c r="P90" s="9">
        <v>1.6802000000000001E-4</v>
      </c>
      <c r="Q90" s="9">
        <v>1.6003E-4</v>
      </c>
      <c r="R90" s="10">
        <v>1.6910792050308887E-4</v>
      </c>
      <c r="S90" s="10">
        <v>1.4051959050732118E-4</v>
      </c>
      <c r="T90" s="10">
        <v>3.9987351267156695E-4</v>
      </c>
      <c r="U90" s="10">
        <v>1.8589E-4</v>
      </c>
      <c r="V90" s="25"/>
      <c r="W90" s="25"/>
      <c r="X90" s="25"/>
      <c r="Y90" s="25"/>
      <c r="Z90" s="25"/>
      <c r="AA90" s="25"/>
    </row>
    <row r="91" spans="1:27" x14ac:dyDescent="0.35">
      <c r="A91" s="5">
        <v>87</v>
      </c>
      <c r="B91" s="5">
        <v>4</v>
      </c>
      <c r="C91" s="5">
        <v>1</v>
      </c>
      <c r="D91" s="25">
        <v>1.1416E-4</v>
      </c>
      <c r="E91" s="25">
        <v>1.1085E-4</v>
      </c>
      <c r="F91" s="25">
        <v>1.1038E-4</v>
      </c>
      <c r="G91" s="25">
        <v>1.5678999999999999E-4</v>
      </c>
      <c r="H91" s="25">
        <v>1.9346000000000001E-4</v>
      </c>
      <c r="I91" s="9">
        <v>1.3457000000000001E-4</v>
      </c>
      <c r="J91" s="9">
        <v>1.439E-4</v>
      </c>
      <c r="K91" s="9">
        <v>1.6107E-4</v>
      </c>
      <c r="L91" s="9">
        <v>1.7641999999999999E-4</v>
      </c>
      <c r="M91" s="9">
        <v>1.6814999999999999E-4</v>
      </c>
      <c r="N91" s="9">
        <v>1.7002E-4</v>
      </c>
      <c r="O91" s="9">
        <v>1.8615999999999999E-4</v>
      </c>
      <c r="P91" s="9">
        <v>1.6772E-4</v>
      </c>
      <c r="Q91" s="9">
        <v>1.5297999999999999E-4</v>
      </c>
      <c r="R91" s="10">
        <v>1.6044102414649781E-4</v>
      </c>
      <c r="S91" s="10">
        <v>1.2291087415282646E-4</v>
      </c>
      <c r="T91" s="10">
        <v>2.548089623828302E-4</v>
      </c>
      <c r="U91" s="10">
        <v>1.8589E-4</v>
      </c>
      <c r="V91" s="25"/>
      <c r="W91" s="25"/>
      <c r="X91" s="25"/>
      <c r="Y91" s="25"/>
      <c r="Z91" s="25"/>
      <c r="AA91" s="25"/>
    </row>
    <row r="92" spans="1:27" x14ac:dyDescent="0.35">
      <c r="A92" s="5">
        <v>88</v>
      </c>
      <c r="B92" s="5">
        <v>4</v>
      </c>
      <c r="C92" s="5">
        <v>1</v>
      </c>
      <c r="D92" s="25">
        <v>1.1415000000000001E-4</v>
      </c>
      <c r="E92" s="25">
        <v>1.2005E-4</v>
      </c>
      <c r="F92" s="25">
        <v>1.2879999999999999E-4</v>
      </c>
      <c r="G92" s="25">
        <v>1.5746999999999999E-4</v>
      </c>
      <c r="H92" s="25">
        <v>2.0342E-4</v>
      </c>
      <c r="I92" s="9">
        <v>1.3383000000000001E-4</v>
      </c>
      <c r="J92" s="9">
        <v>1.4401999999999999E-4</v>
      </c>
      <c r="K92" s="9">
        <v>1.526E-4</v>
      </c>
      <c r="L92" s="9">
        <v>1.8370999999999999E-4</v>
      </c>
      <c r="M92" s="9">
        <v>1.6760000000000001E-4</v>
      </c>
      <c r="N92" s="9">
        <v>1.6616999999999999E-4</v>
      </c>
      <c r="O92" s="9">
        <v>2.0111E-4</v>
      </c>
      <c r="P92" s="9">
        <v>1.5358E-4</v>
      </c>
      <c r="Q92" s="9">
        <v>1.1056999999999999E-4</v>
      </c>
      <c r="R92" s="10">
        <v>1.437597739093771E-4</v>
      </c>
      <c r="S92" s="10">
        <v>1.1362905503069974E-4</v>
      </c>
      <c r="T92" s="10">
        <v>3.4666847144682321E-5</v>
      </c>
      <c r="U92" s="10">
        <v>1.8589E-4</v>
      </c>
      <c r="V92" s="25"/>
      <c r="W92" s="25"/>
      <c r="X92" s="25"/>
      <c r="Y92" s="25"/>
      <c r="Z92" s="25"/>
      <c r="AA92" s="25"/>
    </row>
    <row r="93" spans="1:27" x14ac:dyDescent="0.35">
      <c r="A93" s="5">
        <v>89</v>
      </c>
      <c r="B93" s="5">
        <v>4</v>
      </c>
      <c r="C93" s="5">
        <v>1</v>
      </c>
      <c r="D93" s="25">
        <v>1.1416E-4</v>
      </c>
      <c r="E93" s="25">
        <v>1.2059E-4</v>
      </c>
      <c r="F93" s="25">
        <v>1.0944E-4</v>
      </c>
      <c r="G93" s="25">
        <v>1.5846999999999999E-4</v>
      </c>
      <c r="H93" s="25">
        <v>1.9227E-4</v>
      </c>
      <c r="I93" s="9">
        <v>1.3522E-4</v>
      </c>
      <c r="J93" s="9">
        <v>1.4836999999999999E-4</v>
      </c>
      <c r="K93" s="9">
        <v>1.5683E-4</v>
      </c>
      <c r="L93" s="9">
        <v>1.9702000000000001E-4</v>
      </c>
      <c r="M93" s="9">
        <v>1.6253E-4</v>
      </c>
      <c r="N93" s="9">
        <v>1.5257000000000001E-4</v>
      </c>
      <c r="O93" s="9">
        <v>2.1675000000000001E-4</v>
      </c>
      <c r="P93" s="9">
        <v>1.5946999999999999E-4</v>
      </c>
      <c r="Q93" s="9">
        <v>1.0726E-4</v>
      </c>
      <c r="R93" s="10">
        <v>1.3636845695354363E-4</v>
      </c>
      <c r="S93" s="10">
        <v>1.0633853528315937E-4</v>
      </c>
      <c r="T93" s="10">
        <v>0</v>
      </c>
      <c r="U93" s="10">
        <v>1.8589E-4</v>
      </c>
      <c r="V93" s="25"/>
      <c r="W93" s="25"/>
      <c r="X93" s="25"/>
      <c r="Y93" s="25"/>
      <c r="Z93" s="25"/>
      <c r="AA93" s="25"/>
    </row>
    <row r="94" spans="1:27" x14ac:dyDescent="0.35">
      <c r="A94" s="5">
        <v>90</v>
      </c>
      <c r="B94" s="5">
        <v>4</v>
      </c>
      <c r="C94" s="5">
        <v>1</v>
      </c>
      <c r="D94" s="25">
        <v>1.1415000000000001E-4</v>
      </c>
      <c r="E94" s="25">
        <v>1.1642999999999999E-4</v>
      </c>
      <c r="F94" s="25">
        <v>1.1825E-4</v>
      </c>
      <c r="G94" s="25">
        <v>1.6468E-4</v>
      </c>
      <c r="H94" s="25">
        <v>1.9704999999999999E-4</v>
      </c>
      <c r="I94" s="9">
        <v>1.4495999999999999E-4</v>
      </c>
      <c r="J94" s="9">
        <v>1.5300000000000001E-4</v>
      </c>
      <c r="K94" s="9">
        <v>1.5894999999999999E-4</v>
      </c>
      <c r="L94" s="9">
        <v>2.1212999999999999E-4</v>
      </c>
      <c r="M94" s="9">
        <v>1.6002E-4</v>
      </c>
      <c r="N94" s="9">
        <v>1.3923000000000001E-4</v>
      </c>
      <c r="O94" s="9">
        <v>2.0663999999999999E-4</v>
      </c>
      <c r="P94" s="9">
        <v>1.5949000000000001E-4</v>
      </c>
      <c r="Q94" s="9">
        <v>1.1702E-4</v>
      </c>
      <c r="R94" s="10">
        <v>1.4967438791800534E-4</v>
      </c>
      <c r="S94" s="10">
        <v>1.0477710558543482E-4</v>
      </c>
      <c r="T94" s="10">
        <v>0</v>
      </c>
      <c r="U94" s="10">
        <v>1.8589E-4</v>
      </c>
      <c r="V94" s="25"/>
      <c r="W94" s="25"/>
      <c r="X94" s="25"/>
      <c r="Y94" s="25"/>
      <c r="Z94" s="25"/>
      <c r="AA94" s="25"/>
    </row>
    <row r="95" spans="1:27" x14ac:dyDescent="0.35">
      <c r="A95" s="5">
        <v>91</v>
      </c>
      <c r="B95" s="5">
        <v>4</v>
      </c>
      <c r="C95" s="5">
        <v>1</v>
      </c>
      <c r="D95" s="25">
        <v>1.1416E-4</v>
      </c>
      <c r="E95" s="25">
        <v>1.1075E-4</v>
      </c>
      <c r="F95" s="25">
        <v>1.1606E-4</v>
      </c>
      <c r="G95" s="25">
        <v>1.1464E-4</v>
      </c>
      <c r="H95" s="25">
        <v>1.2794999999999999E-4</v>
      </c>
      <c r="I95" s="9">
        <v>1.4489E-4</v>
      </c>
      <c r="J95" s="9">
        <v>1.4664999999999999E-4</v>
      </c>
      <c r="K95" s="9">
        <v>1.6955E-4</v>
      </c>
      <c r="L95" s="9">
        <v>2.0746999999999999E-4</v>
      </c>
      <c r="M95" s="9">
        <v>1.5932000000000001E-4</v>
      </c>
      <c r="N95" s="9">
        <v>1.3001000000000001E-4</v>
      </c>
      <c r="O95" s="9">
        <v>1.6551000000000001E-4</v>
      </c>
      <c r="P95" s="9">
        <v>1.3438999999999999E-4</v>
      </c>
      <c r="Q95" s="9">
        <v>1.0666999999999999E-4</v>
      </c>
      <c r="R95" s="10">
        <v>1.6545579584566198E-4</v>
      </c>
      <c r="S95" s="10">
        <v>1.1210553301795258E-4</v>
      </c>
      <c r="T95" s="10">
        <v>0</v>
      </c>
      <c r="U95" s="10">
        <v>1.8589E-4</v>
      </c>
      <c r="V95" s="25"/>
      <c r="W95" s="25"/>
      <c r="X95" s="25"/>
      <c r="Y95" s="25"/>
      <c r="Z95" s="25"/>
      <c r="AA95" s="25"/>
    </row>
    <row r="96" spans="1:27" x14ac:dyDescent="0.35">
      <c r="A96" s="5">
        <v>92</v>
      </c>
      <c r="B96" s="5">
        <v>4</v>
      </c>
      <c r="C96" s="5">
        <v>1</v>
      </c>
      <c r="D96" s="25">
        <v>1.1415000000000001E-4</v>
      </c>
      <c r="E96" s="25">
        <v>1.1087E-4</v>
      </c>
      <c r="F96" s="25">
        <v>1.1252E-4</v>
      </c>
      <c r="G96" s="25">
        <v>1.1019E-4</v>
      </c>
      <c r="H96" s="25">
        <v>1.3485E-4</v>
      </c>
      <c r="I96" s="9">
        <v>1.3770000000000001E-4</v>
      </c>
      <c r="J96" s="9">
        <v>1.4201E-4</v>
      </c>
      <c r="K96" s="9">
        <v>1.6742999999999999E-4</v>
      </c>
      <c r="L96" s="9">
        <v>1.7495E-4</v>
      </c>
      <c r="M96" s="9">
        <v>1.5030999999999999E-4</v>
      </c>
      <c r="N96" s="9">
        <v>1.2082E-4</v>
      </c>
      <c r="O96" s="9">
        <v>1.3054000000000001E-4</v>
      </c>
      <c r="P96" s="9">
        <v>1.1525E-4</v>
      </c>
      <c r="Q96" s="9">
        <v>1.0224E-4</v>
      </c>
      <c r="R96" s="10">
        <v>1.7293640591100663E-4</v>
      </c>
      <c r="S96" s="10">
        <v>1.0976811030253558E-4</v>
      </c>
      <c r="T96" s="10">
        <v>0</v>
      </c>
      <c r="U96" s="10">
        <v>1.8589E-4</v>
      </c>
      <c r="V96" s="25"/>
      <c r="W96" s="25"/>
      <c r="X96" s="25"/>
      <c r="Y96" s="25"/>
      <c r="Z96" s="25"/>
      <c r="AA96" s="25"/>
    </row>
    <row r="97" spans="1:27" x14ac:dyDescent="0.35">
      <c r="A97" s="5">
        <v>93</v>
      </c>
      <c r="B97" s="5">
        <v>4</v>
      </c>
      <c r="C97" s="5">
        <v>1</v>
      </c>
      <c r="D97" s="25">
        <v>1.1416E-4</v>
      </c>
      <c r="E97" s="25">
        <v>1.2128E-4</v>
      </c>
      <c r="F97" s="25">
        <v>1.1212E-4</v>
      </c>
      <c r="G97" s="25">
        <v>6.2780000000000005E-5</v>
      </c>
      <c r="H97" s="25">
        <v>7.4530000000000006E-5</v>
      </c>
      <c r="I97" s="9">
        <v>1.2972E-4</v>
      </c>
      <c r="J97" s="9">
        <v>1.3498000000000001E-4</v>
      </c>
      <c r="K97" s="9">
        <v>1.7166999999999999E-4</v>
      </c>
      <c r="L97" s="9">
        <v>1.4130999999999999E-4</v>
      </c>
      <c r="M97" s="9">
        <v>1.3519000000000001E-4</v>
      </c>
      <c r="N97" s="9">
        <v>1.1321E-4</v>
      </c>
      <c r="O97" s="9">
        <v>8.4829999999999999E-5</v>
      </c>
      <c r="P97" s="9">
        <v>8.5929999999999999E-5</v>
      </c>
      <c r="Q97" s="9">
        <v>8.7919999999999998E-5</v>
      </c>
      <c r="R97" s="10">
        <v>1.6462073949063586E-4</v>
      </c>
      <c r="S97" s="10">
        <v>1.1316496221246817E-4</v>
      </c>
      <c r="T97" s="10">
        <v>0</v>
      </c>
      <c r="U97" s="10">
        <v>1.8589E-4</v>
      </c>
      <c r="V97" s="25"/>
      <c r="W97" s="25"/>
      <c r="X97" s="25"/>
      <c r="Y97" s="25"/>
      <c r="Z97" s="25"/>
      <c r="AA97" s="25"/>
    </row>
    <row r="98" spans="1:27" x14ac:dyDescent="0.35">
      <c r="A98" s="5">
        <v>94</v>
      </c>
      <c r="B98" s="5">
        <v>4</v>
      </c>
      <c r="C98" s="5">
        <v>1</v>
      </c>
      <c r="D98" s="25">
        <v>1.1415000000000001E-4</v>
      </c>
      <c r="E98" s="25">
        <v>1.1396999999999999E-4</v>
      </c>
      <c r="F98" s="25">
        <v>1.2881000000000001E-4</v>
      </c>
      <c r="G98" s="25">
        <v>6.2409999999999994E-5</v>
      </c>
      <c r="H98" s="25">
        <v>7.2719999999999995E-5</v>
      </c>
      <c r="I98" s="9">
        <v>1.2234999999999999E-4</v>
      </c>
      <c r="J98" s="9">
        <v>1.2698000000000001E-4</v>
      </c>
      <c r="K98" s="9">
        <v>1.7379E-4</v>
      </c>
      <c r="L98" s="9">
        <v>9.8159999999999995E-5</v>
      </c>
      <c r="M98" s="9">
        <v>1.1357999999999999E-4</v>
      </c>
      <c r="N98" s="9">
        <v>1.055E-4</v>
      </c>
      <c r="O98" s="9">
        <v>8.7650000000000003E-5</v>
      </c>
      <c r="P98" s="9">
        <v>8.7319999999999997E-5</v>
      </c>
      <c r="Q98" s="9">
        <v>8.7960000000000005E-5</v>
      </c>
      <c r="R98" s="10">
        <v>1.6858422117110478E-4</v>
      </c>
      <c r="S98" s="10">
        <v>1.2330152209967483E-4</v>
      </c>
      <c r="T98" s="10">
        <v>0</v>
      </c>
      <c r="U98" s="10">
        <v>1.8589E-4</v>
      </c>
      <c r="V98" s="25"/>
      <c r="W98" s="25"/>
      <c r="X98" s="25"/>
      <c r="Y98" s="25"/>
      <c r="Z98" s="25"/>
      <c r="AA98" s="25"/>
    </row>
    <row r="99" spans="1:27" x14ac:dyDescent="0.35">
      <c r="A99" s="5">
        <v>95</v>
      </c>
      <c r="B99" s="5">
        <v>4</v>
      </c>
      <c r="C99" s="5">
        <v>1</v>
      </c>
      <c r="D99" s="25">
        <v>1.1416E-4</v>
      </c>
      <c r="E99" s="25">
        <v>1.1103999999999999E-4</v>
      </c>
      <c r="F99" s="25">
        <v>1.2095E-4</v>
      </c>
      <c r="G99" s="25">
        <v>5.9729999999999999E-5</v>
      </c>
      <c r="H99" s="25">
        <v>7.6979999999999998E-5</v>
      </c>
      <c r="I99" s="9">
        <v>1.2259E-4</v>
      </c>
      <c r="J99" s="9">
        <v>1.1764000000000001E-4</v>
      </c>
      <c r="K99" s="9">
        <v>1.7378000000000001E-4</v>
      </c>
      <c r="L99" s="9">
        <v>9.0929999999999998E-5</v>
      </c>
      <c r="M99" s="9">
        <v>9.8820000000000006E-5</v>
      </c>
      <c r="N99" s="9">
        <v>9.9630000000000007E-5</v>
      </c>
      <c r="O99" s="9">
        <v>7.8919999999999997E-5</v>
      </c>
      <c r="P99" s="9">
        <v>7.2780000000000005E-5</v>
      </c>
      <c r="Q99" s="9">
        <v>6.7490000000000006E-5</v>
      </c>
      <c r="R99" s="10">
        <v>1.8466513785230651E-4</v>
      </c>
      <c r="S99" s="10">
        <v>1.3116181240236614E-4</v>
      </c>
      <c r="T99" s="10">
        <v>0</v>
      </c>
      <c r="U99" s="10">
        <v>1.8589E-4</v>
      </c>
      <c r="V99" s="25"/>
      <c r="W99" s="25"/>
      <c r="X99" s="25"/>
      <c r="Y99" s="25"/>
      <c r="Z99" s="25"/>
      <c r="AA99" s="25"/>
    </row>
    <row r="100" spans="1:27" x14ac:dyDescent="0.35">
      <c r="A100" s="5">
        <v>96</v>
      </c>
      <c r="B100" s="5">
        <v>4</v>
      </c>
      <c r="C100" s="5">
        <v>1</v>
      </c>
      <c r="D100" s="25">
        <v>1.1415000000000001E-4</v>
      </c>
      <c r="E100" s="25">
        <v>1.2073E-4</v>
      </c>
      <c r="F100" s="25">
        <v>1.2303999999999999E-4</v>
      </c>
      <c r="G100" s="25">
        <v>5.5290000000000001E-5</v>
      </c>
      <c r="H100" s="25">
        <v>6.9469999999999997E-5</v>
      </c>
      <c r="I100" s="9">
        <v>1.2165E-4</v>
      </c>
      <c r="J100" s="9">
        <v>1.094E-4</v>
      </c>
      <c r="K100" s="9">
        <v>1.7589999999999999E-4</v>
      </c>
      <c r="L100" s="9">
        <v>8.1559999999999998E-5</v>
      </c>
      <c r="M100" s="9">
        <v>8.619E-5</v>
      </c>
      <c r="N100" s="9">
        <v>9.0530000000000002E-5</v>
      </c>
      <c r="O100" s="9">
        <v>6.3520000000000002E-5</v>
      </c>
      <c r="P100" s="9">
        <v>6.1299999999999999E-5</v>
      </c>
      <c r="Q100" s="9">
        <v>5.9460000000000003E-5</v>
      </c>
      <c r="R100" s="10">
        <v>1.9975449956858665E-4</v>
      </c>
      <c r="S100" s="10">
        <v>1.3917708707672741E-4</v>
      </c>
      <c r="T100" s="10">
        <v>0</v>
      </c>
      <c r="U100" s="10">
        <v>1.8589E-4</v>
      </c>
      <c r="V100" s="25"/>
      <c r="W100" s="25"/>
      <c r="X100" s="25"/>
      <c r="Y100" s="25"/>
      <c r="Z100" s="25"/>
      <c r="AA100" s="25"/>
    </row>
    <row r="101" spans="1:27" x14ac:dyDescent="0.35">
      <c r="A101" s="5">
        <v>97</v>
      </c>
      <c r="B101" s="5">
        <v>5</v>
      </c>
      <c r="C101" s="5">
        <v>1</v>
      </c>
      <c r="D101" s="25">
        <v>1.1416E-4</v>
      </c>
      <c r="E101" s="25">
        <v>1.1812E-4</v>
      </c>
      <c r="F101" s="25">
        <v>1.2642999999999999E-4</v>
      </c>
      <c r="G101" s="25">
        <v>5.9939999999999999E-5</v>
      </c>
      <c r="H101" s="25">
        <v>6.9330000000000002E-5</v>
      </c>
      <c r="I101" s="9">
        <v>1.1242E-4</v>
      </c>
      <c r="J101" s="9">
        <v>1.0164E-4</v>
      </c>
      <c r="K101" s="9">
        <v>1.7803E-4</v>
      </c>
      <c r="L101" s="9">
        <v>6.7470000000000003E-5</v>
      </c>
      <c r="M101" s="9">
        <v>7.4350000000000005E-5</v>
      </c>
      <c r="N101" s="9">
        <v>8.1290000000000003E-5</v>
      </c>
      <c r="O101" s="9">
        <v>5.452E-5</v>
      </c>
      <c r="P101" s="9">
        <v>5.3940000000000002E-5</v>
      </c>
      <c r="Q101" s="9">
        <v>5.3510000000000001E-5</v>
      </c>
      <c r="R101" s="10">
        <v>2.0103542312339349E-4</v>
      </c>
      <c r="S101" s="10">
        <v>1.2972296141130457E-4</v>
      </c>
      <c r="T101" s="10">
        <v>0</v>
      </c>
      <c r="U101" s="10">
        <v>1.8623000000000001E-4</v>
      </c>
      <c r="V101" s="25"/>
      <c r="W101" s="25"/>
      <c r="X101" s="25"/>
      <c r="Y101" s="25"/>
      <c r="Z101" s="25"/>
      <c r="AA101" s="25"/>
    </row>
    <row r="102" spans="1:27" x14ac:dyDescent="0.35">
      <c r="A102" s="5">
        <v>98</v>
      </c>
      <c r="B102" s="5">
        <v>5</v>
      </c>
      <c r="C102" s="5">
        <v>1</v>
      </c>
      <c r="D102" s="25">
        <v>1.1415000000000001E-4</v>
      </c>
      <c r="E102" s="25">
        <v>1.1661E-4</v>
      </c>
      <c r="F102" s="25">
        <v>1.3378000000000001E-4</v>
      </c>
      <c r="G102" s="25">
        <v>5.384E-5</v>
      </c>
      <c r="H102" s="25">
        <v>7.4999999999999993E-5</v>
      </c>
      <c r="I102" s="9">
        <v>1.061E-4</v>
      </c>
      <c r="J102" s="9">
        <v>9.7209999999999999E-5</v>
      </c>
      <c r="K102" s="9">
        <v>1.8226000000000001E-4</v>
      </c>
      <c r="L102" s="9">
        <v>5.7750000000000001E-5</v>
      </c>
      <c r="M102" s="9">
        <v>6.4189999999999994E-5</v>
      </c>
      <c r="N102" s="9">
        <v>7.2210000000000002E-5</v>
      </c>
      <c r="O102" s="9">
        <v>1.8329999999999999E-5</v>
      </c>
      <c r="P102" s="9">
        <v>3.7880000000000003E-5</v>
      </c>
      <c r="Q102" s="9">
        <v>5.6369999999999997E-5</v>
      </c>
      <c r="R102" s="10">
        <v>2.0228568167277031E-4</v>
      </c>
      <c r="S102" s="10">
        <v>1.2268537445955468E-4</v>
      </c>
      <c r="T102" s="10">
        <v>0</v>
      </c>
      <c r="U102" s="10">
        <v>1.8623000000000001E-4</v>
      </c>
      <c r="V102" s="25"/>
      <c r="W102" s="25"/>
      <c r="X102" s="25"/>
      <c r="Y102" s="25"/>
      <c r="Z102" s="25"/>
      <c r="AA102" s="25"/>
    </row>
    <row r="103" spans="1:27" x14ac:dyDescent="0.35">
      <c r="A103" s="5">
        <v>99</v>
      </c>
      <c r="B103" s="5">
        <v>5</v>
      </c>
      <c r="C103" s="5">
        <v>1</v>
      </c>
      <c r="D103" s="25">
        <v>1.1416E-4</v>
      </c>
      <c r="E103" s="25">
        <v>1.1831E-4</v>
      </c>
      <c r="F103" s="25">
        <v>1.2381E-4</v>
      </c>
      <c r="G103" s="25">
        <v>6.067E-5</v>
      </c>
      <c r="H103" s="25">
        <v>6.3230000000000003E-5</v>
      </c>
      <c r="I103" s="9">
        <v>1.0251000000000001E-4</v>
      </c>
      <c r="J103" s="9">
        <v>9.5050000000000006E-5</v>
      </c>
      <c r="K103" s="9">
        <v>1.8862999999999999E-4</v>
      </c>
      <c r="L103" s="9">
        <v>2.7229999999999998E-5</v>
      </c>
      <c r="M103" s="9">
        <v>5.2380000000000003E-5</v>
      </c>
      <c r="N103" s="9">
        <v>6.5699999999999998E-5</v>
      </c>
      <c r="O103" s="9">
        <v>1.272E-5</v>
      </c>
      <c r="P103" s="9">
        <v>3.7839999999999997E-5</v>
      </c>
      <c r="Q103" s="9">
        <v>6.1690000000000001E-5</v>
      </c>
      <c r="R103" s="10">
        <v>2.057021295878047E-4</v>
      </c>
      <c r="S103" s="10">
        <v>1.4633706767740263E-4</v>
      </c>
      <c r="T103" s="10">
        <v>0</v>
      </c>
      <c r="U103" s="10">
        <v>1.8623000000000001E-4</v>
      </c>
      <c r="V103" s="25"/>
      <c r="W103" s="25"/>
      <c r="X103" s="25"/>
      <c r="Y103" s="25"/>
      <c r="Z103" s="25"/>
      <c r="AA103" s="25"/>
    </row>
    <row r="104" spans="1:27" x14ac:dyDescent="0.35">
      <c r="A104" s="5">
        <v>100</v>
      </c>
      <c r="B104" s="5">
        <v>5</v>
      </c>
      <c r="C104" s="5">
        <v>1</v>
      </c>
      <c r="D104" s="25">
        <v>1.1415000000000001E-4</v>
      </c>
      <c r="E104" s="25">
        <v>1.1686E-4</v>
      </c>
      <c r="F104" s="25">
        <v>1.295E-4</v>
      </c>
      <c r="G104" s="25">
        <v>5.8629999999999999E-5</v>
      </c>
      <c r="H104" s="25">
        <v>6.7139999999999998E-5</v>
      </c>
      <c r="I104" s="9">
        <v>1.0089E-4</v>
      </c>
      <c r="J104" s="9">
        <v>9.4259999999999995E-5</v>
      </c>
      <c r="K104" s="9">
        <v>2.1829E-4</v>
      </c>
      <c r="L104" s="9">
        <v>1.6670000000000001E-5</v>
      </c>
      <c r="M104" s="9">
        <v>4.4329999999999997E-5</v>
      </c>
      <c r="N104" s="9">
        <v>6.2130000000000003E-5</v>
      </c>
      <c r="O104" s="9">
        <v>1.269E-5</v>
      </c>
      <c r="P104" s="9">
        <v>4.7190000000000001E-5</v>
      </c>
      <c r="Q104" s="9">
        <v>8.0259999999999994E-5</v>
      </c>
      <c r="R104" s="10">
        <v>2.07308657455887E-4</v>
      </c>
      <c r="S104" s="10">
        <v>1.6741830051529271E-4</v>
      </c>
      <c r="T104" s="10">
        <v>0</v>
      </c>
      <c r="U104" s="10">
        <v>1.8623000000000001E-4</v>
      </c>
      <c r="V104" s="25"/>
      <c r="W104" s="25"/>
      <c r="X104" s="25"/>
      <c r="Y104" s="25"/>
      <c r="Z104" s="25"/>
      <c r="AA104" s="25"/>
    </row>
    <row r="105" spans="1:27" x14ac:dyDescent="0.35">
      <c r="A105" s="5">
        <v>101</v>
      </c>
      <c r="B105" s="5">
        <v>5</v>
      </c>
      <c r="C105" s="5">
        <v>1</v>
      </c>
      <c r="D105" s="25">
        <v>1.1416E-4</v>
      </c>
      <c r="E105" s="25">
        <v>1.1721E-4</v>
      </c>
      <c r="F105" s="25">
        <v>1.2386E-4</v>
      </c>
      <c r="G105" s="25">
        <v>5.8669999999999999E-5</v>
      </c>
      <c r="H105" s="25">
        <v>6.6370000000000003E-5</v>
      </c>
      <c r="I105" s="9">
        <v>1.0276E-4</v>
      </c>
      <c r="J105" s="9">
        <v>9.5080000000000004E-5</v>
      </c>
      <c r="K105" s="9">
        <v>2.3525E-4</v>
      </c>
      <c r="L105" s="9">
        <v>1.381E-5</v>
      </c>
      <c r="M105" s="9">
        <v>4.3560000000000003E-5</v>
      </c>
      <c r="N105" s="9">
        <v>6.4590000000000003E-5</v>
      </c>
      <c r="O105" s="9">
        <v>1.8159999999999999E-5</v>
      </c>
      <c r="P105" s="9">
        <v>5.6289999999999998E-5</v>
      </c>
      <c r="Q105" s="9">
        <v>9.3079999999999997E-5</v>
      </c>
      <c r="R105" s="10">
        <v>2.067400303158906E-4</v>
      </c>
      <c r="S105" s="10">
        <v>1.6779440779257003E-4</v>
      </c>
      <c r="T105" s="10">
        <v>0</v>
      </c>
      <c r="U105" s="10">
        <v>1.8623000000000001E-4</v>
      </c>
      <c r="V105" s="25"/>
      <c r="W105" s="25"/>
      <c r="X105" s="25"/>
      <c r="Y105" s="25"/>
      <c r="Z105" s="25"/>
      <c r="AA105" s="25"/>
    </row>
    <row r="106" spans="1:27" x14ac:dyDescent="0.35">
      <c r="A106" s="5">
        <v>102</v>
      </c>
      <c r="B106" s="5">
        <v>5</v>
      </c>
      <c r="C106" s="5">
        <v>1</v>
      </c>
      <c r="D106" s="25">
        <v>1.1415000000000001E-4</v>
      </c>
      <c r="E106" s="25">
        <v>1.1191E-4</v>
      </c>
      <c r="F106" s="25">
        <v>1.3452000000000001E-4</v>
      </c>
      <c r="G106" s="25">
        <v>1.1502000000000001E-4</v>
      </c>
      <c r="H106" s="25">
        <v>1.3348E-4</v>
      </c>
      <c r="I106" s="9">
        <v>1.0815E-4</v>
      </c>
      <c r="J106" s="9">
        <v>9.8670000000000002E-5</v>
      </c>
      <c r="K106" s="9">
        <v>2.3735999999999999E-4</v>
      </c>
      <c r="L106" s="9">
        <v>1.7070000000000001E-5</v>
      </c>
      <c r="M106" s="9">
        <v>4.829E-5</v>
      </c>
      <c r="N106" s="9">
        <v>7.0970000000000007E-5</v>
      </c>
      <c r="O106" s="9">
        <v>4.6060000000000003E-5</v>
      </c>
      <c r="P106" s="9">
        <v>7.6710000000000002E-5</v>
      </c>
      <c r="Q106" s="9">
        <v>1.0682E-4</v>
      </c>
      <c r="R106" s="10">
        <v>2.0300847653869565E-4</v>
      </c>
      <c r="S106" s="10">
        <v>1.6443969959579493E-4</v>
      </c>
      <c r="T106" s="10">
        <v>0</v>
      </c>
      <c r="U106" s="10">
        <v>1.8623000000000001E-4</v>
      </c>
      <c r="V106" s="25"/>
      <c r="W106" s="25"/>
      <c r="X106" s="25"/>
      <c r="Y106" s="25"/>
      <c r="Z106" s="25"/>
      <c r="AA106" s="25"/>
    </row>
    <row r="107" spans="1:27" x14ac:dyDescent="0.35">
      <c r="A107" s="5">
        <v>103</v>
      </c>
      <c r="B107" s="5">
        <v>5</v>
      </c>
      <c r="C107" s="5">
        <v>1</v>
      </c>
      <c r="D107" s="25">
        <v>1.1416E-4</v>
      </c>
      <c r="E107" s="25">
        <v>1.1752999999999999E-4</v>
      </c>
      <c r="F107" s="25">
        <v>1.3252000000000001E-4</v>
      </c>
      <c r="G107" s="25">
        <v>1.115E-4</v>
      </c>
      <c r="H107" s="25">
        <v>1.3156999999999999E-4</v>
      </c>
      <c r="I107" s="9">
        <v>1.219E-4</v>
      </c>
      <c r="J107" s="9">
        <v>1.1022999999999999E-4</v>
      </c>
      <c r="K107" s="9">
        <v>2.5008000000000002E-4</v>
      </c>
      <c r="L107" s="9">
        <v>3.9539999999999998E-5</v>
      </c>
      <c r="M107" s="9">
        <v>5.9859999999999999E-5</v>
      </c>
      <c r="N107" s="9">
        <v>8.0599999999999994E-5</v>
      </c>
      <c r="O107" s="9">
        <v>1.2324999999999999E-4</v>
      </c>
      <c r="P107" s="9">
        <v>1.1637999999999999E-4</v>
      </c>
      <c r="Q107" s="9">
        <v>1.1149E-4</v>
      </c>
      <c r="R107" s="10">
        <v>1.9460008466343345E-4</v>
      </c>
      <c r="S107" s="10">
        <v>1.5765674617254058E-4</v>
      </c>
      <c r="T107" s="10">
        <v>0</v>
      </c>
      <c r="U107" s="10">
        <v>1.8623000000000001E-4</v>
      </c>
      <c r="V107" s="25"/>
      <c r="W107" s="25"/>
      <c r="X107" s="25"/>
      <c r="Y107" s="25"/>
      <c r="Z107" s="25"/>
      <c r="AA107" s="25"/>
    </row>
    <row r="108" spans="1:27" x14ac:dyDescent="0.35">
      <c r="A108" s="5">
        <v>104</v>
      </c>
      <c r="B108" s="5">
        <v>5</v>
      </c>
      <c r="C108" s="5">
        <v>1</v>
      </c>
      <c r="D108" s="25">
        <v>1.1415000000000001E-4</v>
      </c>
      <c r="E108" s="25">
        <v>1.1601E-4</v>
      </c>
      <c r="F108" s="25">
        <v>1.3342000000000001E-4</v>
      </c>
      <c r="G108" s="25">
        <v>1.5629000000000001E-4</v>
      </c>
      <c r="H108" s="25">
        <v>1.9001000000000001E-4</v>
      </c>
      <c r="I108" s="9">
        <v>1.3378000000000001E-4</v>
      </c>
      <c r="J108" s="9">
        <v>1.2879999999999999E-4</v>
      </c>
      <c r="K108" s="9">
        <v>2.4159999999999999E-4</v>
      </c>
      <c r="L108" s="9">
        <v>1.0420999999999999E-4</v>
      </c>
      <c r="M108" s="9">
        <v>8.3200000000000003E-5</v>
      </c>
      <c r="N108" s="9">
        <v>9.0470000000000006E-5</v>
      </c>
      <c r="O108" s="9">
        <v>2.2185999999999999E-4</v>
      </c>
      <c r="P108" s="9">
        <v>1.7665000000000001E-4</v>
      </c>
      <c r="Q108" s="9">
        <v>1.3647E-4</v>
      </c>
      <c r="R108" s="10">
        <v>1.8496870581730817E-4</v>
      </c>
      <c r="S108" s="10">
        <v>1.5039222542750412E-4</v>
      </c>
      <c r="T108" s="10">
        <v>0</v>
      </c>
      <c r="U108" s="10">
        <v>1.8623000000000001E-4</v>
      </c>
      <c r="V108" s="25"/>
      <c r="W108" s="25"/>
      <c r="X108" s="25"/>
      <c r="Y108" s="25"/>
      <c r="Z108" s="25"/>
      <c r="AA108" s="25"/>
    </row>
    <row r="109" spans="1:27" x14ac:dyDescent="0.35">
      <c r="A109" s="5">
        <v>105</v>
      </c>
      <c r="B109" s="5">
        <v>5</v>
      </c>
      <c r="C109" s="5">
        <v>1</v>
      </c>
      <c r="D109" s="25">
        <v>1.1416E-4</v>
      </c>
      <c r="E109" s="25">
        <v>1.1579E-4</v>
      </c>
      <c r="F109" s="25">
        <v>1.1489000000000001E-4</v>
      </c>
      <c r="G109" s="25">
        <v>1.6482000000000001E-4</v>
      </c>
      <c r="H109" s="25">
        <v>1.9269999999999999E-4</v>
      </c>
      <c r="I109" s="9">
        <v>1.4006000000000001E-4</v>
      </c>
      <c r="J109" s="9">
        <v>1.4151999999999999E-4</v>
      </c>
      <c r="K109" s="9">
        <v>2.2041000000000001E-4</v>
      </c>
      <c r="L109" s="9">
        <v>1.942E-4</v>
      </c>
      <c r="M109" s="9">
        <v>1.2286999999999999E-4</v>
      </c>
      <c r="N109" s="9">
        <v>1.0418E-4</v>
      </c>
      <c r="O109" s="9">
        <v>2.1226E-4</v>
      </c>
      <c r="P109" s="9">
        <v>1.9171999999999999E-4</v>
      </c>
      <c r="Q109" s="9">
        <v>1.7558E-4</v>
      </c>
      <c r="R109" s="10">
        <v>1.7901945759442989E-4</v>
      </c>
      <c r="S109" s="10">
        <v>1.3992846543676977E-4</v>
      </c>
      <c r="T109" s="10">
        <v>0</v>
      </c>
      <c r="U109" s="10">
        <v>1.8623000000000001E-4</v>
      </c>
      <c r="V109" s="25"/>
      <c r="W109" s="25"/>
      <c r="X109" s="25"/>
      <c r="Y109" s="25"/>
      <c r="Z109" s="25"/>
      <c r="AA109" s="25"/>
    </row>
    <row r="110" spans="1:27" x14ac:dyDescent="0.35">
      <c r="A110" s="5">
        <v>106</v>
      </c>
      <c r="B110" s="5">
        <v>5</v>
      </c>
      <c r="C110" s="5">
        <v>1</v>
      </c>
      <c r="D110" s="25">
        <v>1.1415000000000001E-4</v>
      </c>
      <c r="E110" s="25">
        <v>1.1469E-4</v>
      </c>
      <c r="F110" s="25">
        <v>1.2909999999999999E-4</v>
      </c>
      <c r="G110" s="25">
        <v>1.6513000000000001E-4</v>
      </c>
      <c r="H110" s="25">
        <v>1.8956999999999999E-4</v>
      </c>
      <c r="I110" s="9">
        <v>1.3998999999999999E-4</v>
      </c>
      <c r="J110" s="9">
        <v>1.4501E-4</v>
      </c>
      <c r="K110" s="9">
        <v>2.0769000000000001E-4</v>
      </c>
      <c r="L110" s="9">
        <v>2.0592000000000001E-4</v>
      </c>
      <c r="M110" s="9">
        <v>1.5773E-4</v>
      </c>
      <c r="N110" s="9">
        <v>1.2396E-4</v>
      </c>
      <c r="O110" s="9">
        <v>1.6992999999999999E-4</v>
      </c>
      <c r="P110" s="9">
        <v>1.7505999999999999E-4</v>
      </c>
      <c r="Q110" s="9">
        <v>1.8310000000000001E-4</v>
      </c>
      <c r="R110" s="10">
        <v>1.8155613914146997E-4</v>
      </c>
      <c r="S110" s="10">
        <v>1.2687879451411501E-4</v>
      </c>
      <c r="T110" s="10">
        <v>3.2800301287650967E-5</v>
      </c>
      <c r="U110" s="10">
        <v>1.8623000000000001E-4</v>
      </c>
      <c r="V110" s="25"/>
      <c r="W110" s="25"/>
      <c r="X110" s="25"/>
      <c r="Y110" s="25"/>
      <c r="Z110" s="25"/>
      <c r="AA110" s="25"/>
    </row>
    <row r="111" spans="1:27" x14ac:dyDescent="0.35">
      <c r="A111" s="5">
        <v>107</v>
      </c>
      <c r="B111" s="5">
        <v>5</v>
      </c>
      <c r="C111" s="5">
        <v>1</v>
      </c>
      <c r="D111" s="25">
        <v>1.1416E-4</v>
      </c>
      <c r="E111" s="25">
        <v>1.1388E-4</v>
      </c>
      <c r="F111" s="25">
        <v>1.2757E-4</v>
      </c>
      <c r="G111" s="25">
        <v>1.6610999999999999E-4</v>
      </c>
      <c r="H111" s="25">
        <v>1.9411E-4</v>
      </c>
      <c r="I111" s="9">
        <v>1.4071E-4</v>
      </c>
      <c r="J111" s="9">
        <v>1.4579E-4</v>
      </c>
      <c r="K111" s="9">
        <v>1.9709E-4</v>
      </c>
      <c r="L111" s="9">
        <v>1.7793999999999999E-4</v>
      </c>
      <c r="M111" s="9">
        <v>1.7202999999999999E-4</v>
      </c>
      <c r="N111" s="9">
        <v>1.4234999999999999E-4</v>
      </c>
      <c r="O111" s="9">
        <v>1.6759000000000001E-4</v>
      </c>
      <c r="P111" s="9">
        <v>1.7129999999999999E-4</v>
      </c>
      <c r="Q111" s="9">
        <v>1.7793E-4</v>
      </c>
      <c r="R111" s="10">
        <v>1.8610516407611283E-4</v>
      </c>
      <c r="S111" s="10">
        <v>1.1878822501145531E-4</v>
      </c>
      <c r="T111" s="10">
        <v>2.336576041029249E-5</v>
      </c>
      <c r="U111" s="10">
        <v>1.8623000000000001E-4</v>
      </c>
      <c r="V111" s="25"/>
      <c r="W111" s="25"/>
      <c r="X111" s="25"/>
      <c r="Y111" s="25"/>
      <c r="Z111" s="25"/>
      <c r="AA111" s="25"/>
    </row>
    <row r="112" spans="1:27" x14ac:dyDescent="0.35">
      <c r="A112" s="5">
        <v>108</v>
      </c>
      <c r="B112" s="5">
        <v>5</v>
      </c>
      <c r="C112" s="5">
        <v>1</v>
      </c>
      <c r="D112" s="25">
        <v>1.1415000000000001E-4</v>
      </c>
      <c r="E112" s="25">
        <v>1.1926000000000001E-4</v>
      </c>
      <c r="F112" s="25">
        <v>1.2582000000000001E-4</v>
      </c>
      <c r="G112" s="25">
        <v>1.5718000000000001E-4</v>
      </c>
      <c r="H112" s="25">
        <v>1.9972999999999999E-4</v>
      </c>
      <c r="I112" s="9">
        <v>1.4242000000000001E-4</v>
      </c>
      <c r="J112" s="9">
        <v>1.4627999999999999E-4</v>
      </c>
      <c r="K112" s="9">
        <v>1.9285999999999999E-4</v>
      </c>
      <c r="L112" s="9">
        <v>1.7126000000000001E-4</v>
      </c>
      <c r="M112" s="9">
        <v>1.7426E-4</v>
      </c>
      <c r="N112" s="9">
        <v>1.5616999999999999E-4</v>
      </c>
      <c r="O112" s="9">
        <v>1.7223E-4</v>
      </c>
      <c r="P112" s="9">
        <v>1.7183000000000001E-4</v>
      </c>
      <c r="Q112" s="9">
        <v>1.7451000000000001E-4</v>
      </c>
      <c r="R112" s="10">
        <v>1.6689275893497097E-4</v>
      </c>
      <c r="S112" s="10">
        <v>1.1978985764871801E-4</v>
      </c>
      <c r="T112" s="10">
        <v>4.3295379583777264E-5</v>
      </c>
      <c r="U112" s="10">
        <v>1.8623000000000001E-4</v>
      </c>
      <c r="V112" s="25"/>
      <c r="W112" s="25"/>
      <c r="X112" s="25"/>
      <c r="Y112" s="25"/>
      <c r="Z112" s="25"/>
      <c r="AA112" s="25"/>
    </row>
    <row r="113" spans="1:27" x14ac:dyDescent="0.35">
      <c r="A113" s="5">
        <v>109</v>
      </c>
      <c r="B113" s="5">
        <v>5</v>
      </c>
      <c r="C113" s="5">
        <v>1</v>
      </c>
      <c r="D113" s="25">
        <v>1.1416E-4</v>
      </c>
      <c r="E113" s="25">
        <v>1.2014E-4</v>
      </c>
      <c r="F113" s="25">
        <v>1.1653E-4</v>
      </c>
      <c r="G113" s="25">
        <v>1.6614000000000001E-4</v>
      </c>
      <c r="H113" s="25">
        <v>1.9578E-4</v>
      </c>
      <c r="I113" s="9">
        <v>1.4004999999999999E-4</v>
      </c>
      <c r="J113" s="9">
        <v>1.4499000000000001E-4</v>
      </c>
      <c r="K113" s="9">
        <v>1.8861999999999999E-4</v>
      </c>
      <c r="L113" s="9">
        <v>1.7222E-4</v>
      </c>
      <c r="M113" s="9">
        <v>1.7344999999999999E-4</v>
      </c>
      <c r="N113" s="9">
        <v>1.6584E-4</v>
      </c>
      <c r="O113" s="9">
        <v>1.6254E-4</v>
      </c>
      <c r="P113" s="9">
        <v>1.6309000000000001E-4</v>
      </c>
      <c r="Q113" s="9">
        <v>1.6647E-4</v>
      </c>
      <c r="R113" s="10">
        <v>1.2760118871406421E-4</v>
      </c>
      <c r="S113" s="10">
        <v>1.2170858469725789E-4</v>
      </c>
      <c r="T113" s="10">
        <v>4.6358211649178712E-5</v>
      </c>
      <c r="U113" s="10">
        <v>1.8623000000000001E-4</v>
      </c>
      <c r="V113" s="25"/>
      <c r="W113" s="25"/>
      <c r="X113" s="25"/>
      <c r="Y113" s="25"/>
      <c r="Z113" s="25"/>
      <c r="AA113" s="25"/>
    </row>
    <row r="114" spans="1:27" x14ac:dyDescent="0.35">
      <c r="A114" s="5">
        <v>110</v>
      </c>
      <c r="B114" s="5">
        <v>5</v>
      </c>
      <c r="C114" s="5">
        <v>1</v>
      </c>
      <c r="D114" s="25">
        <v>1.1415000000000001E-4</v>
      </c>
      <c r="E114" s="25">
        <v>1.1945E-4</v>
      </c>
      <c r="F114" s="25">
        <v>1.3191E-4</v>
      </c>
      <c r="G114" s="25">
        <v>1.6259E-4</v>
      </c>
      <c r="H114" s="25">
        <v>1.8953000000000001E-4</v>
      </c>
      <c r="I114" s="9">
        <v>1.3982999999999999E-4</v>
      </c>
      <c r="J114" s="9">
        <v>1.4548E-4</v>
      </c>
      <c r="K114" s="9">
        <v>1.8437999999999999E-4</v>
      </c>
      <c r="L114" s="9">
        <v>1.6438999999999999E-4</v>
      </c>
      <c r="M114" s="9">
        <v>1.6949000000000001E-4</v>
      </c>
      <c r="N114" s="9">
        <v>1.7003999999999999E-4</v>
      </c>
      <c r="O114" s="9">
        <v>1.8139999999999999E-4</v>
      </c>
      <c r="P114" s="9">
        <v>1.6985000000000001E-4</v>
      </c>
      <c r="Q114" s="9">
        <v>1.6178000000000001E-4</v>
      </c>
      <c r="R114" s="10">
        <v>1.0532791311570148E-4</v>
      </c>
      <c r="S114" s="10">
        <v>1.2894664456850549E-4</v>
      </c>
      <c r="T114" s="10">
        <v>3.9155041500907712E-5</v>
      </c>
      <c r="U114" s="10">
        <v>1.8623000000000001E-4</v>
      </c>
      <c r="V114" s="25"/>
      <c r="W114" s="25"/>
      <c r="X114" s="25"/>
      <c r="Y114" s="25"/>
      <c r="Z114" s="25"/>
      <c r="AA114" s="25"/>
    </row>
    <row r="115" spans="1:27" x14ac:dyDescent="0.35">
      <c r="A115" s="5">
        <v>111</v>
      </c>
      <c r="B115" s="5">
        <v>5</v>
      </c>
      <c r="C115" s="5">
        <v>1</v>
      </c>
      <c r="D115" s="25">
        <v>1.1416E-4</v>
      </c>
      <c r="E115" s="25">
        <v>1.1335E-4</v>
      </c>
      <c r="F115" s="25">
        <v>1.169E-4</v>
      </c>
      <c r="G115" s="25">
        <v>1.5964000000000001E-4</v>
      </c>
      <c r="H115" s="25">
        <v>1.9073000000000001E-4</v>
      </c>
      <c r="I115" s="9">
        <v>1.3949000000000001E-4</v>
      </c>
      <c r="J115" s="9">
        <v>1.4479E-4</v>
      </c>
      <c r="K115" s="9">
        <v>1.8437999999999999E-4</v>
      </c>
      <c r="L115" s="9">
        <v>1.7783E-4</v>
      </c>
      <c r="M115" s="9">
        <v>1.6849000000000001E-4</v>
      </c>
      <c r="N115" s="9">
        <v>1.6988999999999999E-4</v>
      </c>
      <c r="O115" s="9">
        <v>1.8667999999999999E-4</v>
      </c>
      <c r="P115" s="9">
        <v>1.6819E-4</v>
      </c>
      <c r="Q115" s="9">
        <v>1.5341000000000001E-4</v>
      </c>
      <c r="R115" s="10">
        <v>9.4562909890740966E-5</v>
      </c>
      <c r="S115" s="10">
        <v>1.4653072340503192E-4</v>
      </c>
      <c r="T115" s="10">
        <v>1.8029136119052851E-5</v>
      </c>
      <c r="U115" s="10">
        <v>1.8623000000000001E-4</v>
      </c>
      <c r="V115" s="25"/>
      <c r="W115" s="25"/>
      <c r="X115" s="25"/>
      <c r="Y115" s="25"/>
      <c r="Z115" s="25"/>
      <c r="AA115" s="25"/>
    </row>
    <row r="116" spans="1:27" x14ac:dyDescent="0.35">
      <c r="A116" s="5">
        <v>112</v>
      </c>
      <c r="B116" s="5">
        <v>5</v>
      </c>
      <c r="C116" s="5">
        <v>1</v>
      </c>
      <c r="D116" s="25">
        <v>1.1415000000000001E-4</v>
      </c>
      <c r="E116" s="25">
        <v>1.1765E-4</v>
      </c>
      <c r="F116" s="25">
        <v>1.197E-4</v>
      </c>
      <c r="G116" s="25">
        <v>1.594E-4</v>
      </c>
      <c r="H116" s="25">
        <v>1.9233E-4</v>
      </c>
      <c r="I116" s="9">
        <v>1.3954000000000001E-4</v>
      </c>
      <c r="J116" s="9">
        <v>1.4485999999999999E-4</v>
      </c>
      <c r="K116" s="9">
        <v>1.8437999999999999E-4</v>
      </c>
      <c r="L116" s="9">
        <v>1.8438999999999999E-4</v>
      </c>
      <c r="M116" s="9">
        <v>1.6822000000000001E-4</v>
      </c>
      <c r="N116" s="9">
        <v>1.6624000000000001E-4</v>
      </c>
      <c r="O116" s="9">
        <v>1.9912E-4</v>
      </c>
      <c r="P116" s="9">
        <v>1.5206E-4</v>
      </c>
      <c r="Q116" s="9">
        <v>1.0948E-4</v>
      </c>
      <c r="R116" s="10">
        <v>8.8380118957566512E-5</v>
      </c>
      <c r="S116" s="10">
        <v>1.500560517618415E-4</v>
      </c>
      <c r="T116" s="10">
        <v>4.1573066815698333E-7</v>
      </c>
      <c r="U116" s="10">
        <v>1.8623000000000001E-4</v>
      </c>
      <c r="V116" s="25"/>
      <c r="W116" s="25"/>
      <c r="X116" s="25"/>
      <c r="Y116" s="25"/>
      <c r="Z116" s="25"/>
      <c r="AA116" s="25"/>
    </row>
    <row r="117" spans="1:27" x14ac:dyDescent="0.35">
      <c r="A117" s="5">
        <v>113</v>
      </c>
      <c r="B117" s="5">
        <v>5</v>
      </c>
      <c r="C117" s="5">
        <v>1</v>
      </c>
      <c r="D117" s="25">
        <v>1.1416E-4</v>
      </c>
      <c r="E117" s="25">
        <v>1.1005000000000001E-4</v>
      </c>
      <c r="F117" s="25">
        <v>1.3601999999999999E-4</v>
      </c>
      <c r="G117" s="25">
        <v>1.5887E-4</v>
      </c>
      <c r="H117" s="25">
        <v>2.0008999999999999E-4</v>
      </c>
      <c r="I117" s="9">
        <v>1.407E-4</v>
      </c>
      <c r="J117" s="9">
        <v>1.4731E-4</v>
      </c>
      <c r="K117" s="9">
        <v>1.8014999999999999E-4</v>
      </c>
      <c r="L117" s="9">
        <v>1.9563999999999999E-4</v>
      </c>
      <c r="M117" s="9">
        <v>1.6243E-4</v>
      </c>
      <c r="N117" s="9">
        <v>1.5254E-4</v>
      </c>
      <c r="O117" s="9">
        <v>2.1680000000000001E-4</v>
      </c>
      <c r="P117" s="9">
        <v>1.5951E-4</v>
      </c>
      <c r="Q117" s="9">
        <v>1.0729E-4</v>
      </c>
      <c r="R117" s="10">
        <v>1.0009085642570549E-4</v>
      </c>
      <c r="S117" s="10">
        <v>1.314073821002396E-4</v>
      </c>
      <c r="T117" s="10">
        <v>0</v>
      </c>
      <c r="U117" s="10">
        <v>1.8623000000000001E-4</v>
      </c>
      <c r="V117" s="25"/>
      <c r="W117" s="25"/>
      <c r="X117" s="25"/>
      <c r="Y117" s="25"/>
      <c r="Z117" s="25"/>
      <c r="AA117" s="25"/>
    </row>
    <row r="118" spans="1:27" x14ac:dyDescent="0.35">
      <c r="A118" s="5">
        <v>114</v>
      </c>
      <c r="B118" s="5">
        <v>5</v>
      </c>
      <c r="C118" s="5">
        <v>1</v>
      </c>
      <c r="D118" s="25">
        <v>1.1415000000000001E-4</v>
      </c>
      <c r="E118" s="25">
        <v>1.1533E-4</v>
      </c>
      <c r="F118" s="25">
        <v>1.2111E-4</v>
      </c>
      <c r="G118" s="25">
        <v>1.6608000000000001E-4</v>
      </c>
      <c r="H118" s="25">
        <v>1.8866E-4</v>
      </c>
      <c r="I118" s="9">
        <v>1.4788E-4</v>
      </c>
      <c r="J118" s="9">
        <v>1.5270999999999999E-4</v>
      </c>
      <c r="K118" s="9">
        <v>1.7165999999999999E-4</v>
      </c>
      <c r="L118" s="9">
        <v>2.1193000000000001E-4</v>
      </c>
      <c r="M118" s="9">
        <v>1.5976E-4</v>
      </c>
      <c r="N118" s="9">
        <v>1.3924E-4</v>
      </c>
      <c r="O118" s="9">
        <v>2.0896000000000001E-4</v>
      </c>
      <c r="P118" s="9">
        <v>1.6128E-4</v>
      </c>
      <c r="Q118" s="9">
        <v>1.1833E-4</v>
      </c>
      <c r="R118" s="10">
        <v>1.2422200908164649E-4</v>
      </c>
      <c r="S118" s="10">
        <v>1.1055338088056242E-4</v>
      </c>
      <c r="T118" s="10">
        <v>0</v>
      </c>
      <c r="U118" s="10">
        <v>1.8623000000000001E-4</v>
      </c>
      <c r="V118" s="25"/>
      <c r="W118" s="25"/>
      <c r="X118" s="25"/>
      <c r="Y118" s="25"/>
      <c r="Z118" s="25"/>
      <c r="AA118" s="25"/>
    </row>
    <row r="119" spans="1:27" x14ac:dyDescent="0.35">
      <c r="A119" s="5">
        <v>115</v>
      </c>
      <c r="B119" s="5">
        <v>5</v>
      </c>
      <c r="C119" s="5">
        <v>1</v>
      </c>
      <c r="D119" s="25">
        <v>1.1416E-4</v>
      </c>
      <c r="E119" s="25">
        <v>1.1799E-4</v>
      </c>
      <c r="F119" s="25">
        <v>1.3150999999999999E-4</v>
      </c>
      <c r="G119" s="25">
        <v>1.0914E-4</v>
      </c>
      <c r="H119" s="25">
        <v>1.3255999999999999E-4</v>
      </c>
      <c r="I119" s="9">
        <v>1.4757999999999999E-4</v>
      </c>
      <c r="J119" s="9">
        <v>1.4637999999999999E-4</v>
      </c>
      <c r="K119" s="9">
        <v>1.6742999999999999E-4</v>
      </c>
      <c r="L119" s="9">
        <v>2.0919999999999999E-4</v>
      </c>
      <c r="M119" s="9">
        <v>1.5977E-4</v>
      </c>
      <c r="N119" s="9">
        <v>1.3033000000000001E-4</v>
      </c>
      <c r="O119" s="9">
        <v>1.6611999999999999E-4</v>
      </c>
      <c r="P119" s="9">
        <v>1.3488000000000001E-4</v>
      </c>
      <c r="Q119" s="9">
        <v>1.0705999999999999E-4</v>
      </c>
      <c r="R119" s="10">
        <v>1.3972668390114869E-4</v>
      </c>
      <c r="S119" s="10">
        <v>1.0054037027282692E-4</v>
      </c>
      <c r="T119" s="10">
        <v>0</v>
      </c>
      <c r="U119" s="10">
        <v>1.8623000000000001E-4</v>
      </c>
      <c r="V119" s="25"/>
      <c r="W119" s="25"/>
      <c r="X119" s="25"/>
      <c r="Y119" s="25"/>
      <c r="Z119" s="25"/>
      <c r="AA119" s="25"/>
    </row>
    <row r="120" spans="1:27" x14ac:dyDescent="0.35">
      <c r="A120" s="5">
        <v>116</v>
      </c>
      <c r="B120" s="5">
        <v>5</v>
      </c>
      <c r="C120" s="5">
        <v>1</v>
      </c>
      <c r="D120" s="25">
        <v>1.1415000000000001E-4</v>
      </c>
      <c r="E120" s="25">
        <v>1.1348E-4</v>
      </c>
      <c r="F120" s="25">
        <v>1.2205E-4</v>
      </c>
      <c r="G120" s="25">
        <v>1.0881E-4</v>
      </c>
      <c r="H120" s="25">
        <v>1.2812000000000001E-4</v>
      </c>
      <c r="I120" s="9">
        <v>1.4118999999999999E-4</v>
      </c>
      <c r="J120" s="9">
        <v>1.4160999999999999E-4</v>
      </c>
      <c r="K120" s="9">
        <v>1.6107E-4</v>
      </c>
      <c r="L120" s="9">
        <v>1.7573999999999999E-4</v>
      </c>
      <c r="M120" s="9">
        <v>1.5100000000000001E-4</v>
      </c>
      <c r="N120" s="9">
        <v>1.2116E-4</v>
      </c>
      <c r="O120" s="9">
        <v>1.2866E-4</v>
      </c>
      <c r="P120" s="9">
        <v>1.1359E-4</v>
      </c>
      <c r="Q120" s="9">
        <v>1.0077E-4</v>
      </c>
      <c r="R120" s="10">
        <v>1.3912096637784535E-4</v>
      </c>
      <c r="S120" s="10">
        <v>8.2923438094653862E-5</v>
      </c>
      <c r="T120" s="10">
        <v>0</v>
      </c>
      <c r="U120" s="10">
        <v>1.8623000000000001E-4</v>
      </c>
      <c r="V120" s="25"/>
      <c r="W120" s="25"/>
      <c r="X120" s="25"/>
      <c r="Y120" s="25"/>
      <c r="Z120" s="25"/>
      <c r="AA120" s="25"/>
    </row>
    <row r="121" spans="1:27" x14ac:dyDescent="0.35">
      <c r="A121" s="5">
        <v>117</v>
      </c>
      <c r="B121" s="5">
        <v>5</v>
      </c>
      <c r="C121" s="5">
        <v>1</v>
      </c>
      <c r="D121" s="25">
        <v>1.1416E-4</v>
      </c>
      <c r="E121" s="25">
        <v>1.1593E-4</v>
      </c>
      <c r="F121" s="25">
        <v>1.3578E-4</v>
      </c>
      <c r="G121" s="25">
        <v>5.5210000000000002E-5</v>
      </c>
      <c r="H121" s="25">
        <v>6.3390000000000001E-5</v>
      </c>
      <c r="I121" s="9">
        <v>1.3299000000000001E-4</v>
      </c>
      <c r="J121" s="9">
        <v>1.3446000000000001E-4</v>
      </c>
      <c r="K121" s="9">
        <v>1.5894999999999999E-4</v>
      </c>
      <c r="L121" s="9">
        <v>1.4004999999999999E-4</v>
      </c>
      <c r="M121" s="9">
        <v>1.3505E-4</v>
      </c>
      <c r="N121" s="9">
        <v>1.1315999999999999E-4</v>
      </c>
      <c r="O121" s="9">
        <v>8.5179999999999994E-5</v>
      </c>
      <c r="P121" s="9">
        <v>8.6290000000000002E-5</v>
      </c>
      <c r="Q121" s="9">
        <v>8.8280000000000002E-5</v>
      </c>
      <c r="R121" s="10">
        <v>1.3917359534366846E-4</v>
      </c>
      <c r="S121" s="10">
        <v>6.4903573038436132E-5</v>
      </c>
      <c r="T121" s="10">
        <v>0</v>
      </c>
      <c r="U121" s="10">
        <v>1.8623000000000001E-4</v>
      </c>
      <c r="V121" s="25"/>
      <c r="W121" s="25"/>
      <c r="X121" s="25"/>
      <c r="Y121" s="25"/>
      <c r="Z121" s="25"/>
      <c r="AA121" s="25"/>
    </row>
    <row r="122" spans="1:27" x14ac:dyDescent="0.35">
      <c r="A122" s="5">
        <v>118</v>
      </c>
      <c r="B122" s="5">
        <v>5</v>
      </c>
      <c r="C122" s="5">
        <v>1</v>
      </c>
      <c r="D122" s="25">
        <v>1.1415000000000001E-4</v>
      </c>
      <c r="E122" s="25">
        <v>1.1135E-4</v>
      </c>
      <c r="F122" s="25">
        <v>1.1485999999999999E-4</v>
      </c>
      <c r="G122" s="25">
        <v>5.9910000000000001E-5</v>
      </c>
      <c r="H122" s="25">
        <v>7.4610000000000006E-5</v>
      </c>
      <c r="I122" s="9">
        <v>1.2521E-4</v>
      </c>
      <c r="J122" s="9">
        <v>1.2684999999999999E-4</v>
      </c>
      <c r="K122" s="9">
        <v>1.5683E-4</v>
      </c>
      <c r="L122" s="9">
        <v>9.823E-5</v>
      </c>
      <c r="M122" s="9">
        <v>1.1338E-4</v>
      </c>
      <c r="N122" s="9">
        <v>1.0552000000000001E-4</v>
      </c>
      <c r="O122" s="9">
        <v>8.763E-5</v>
      </c>
      <c r="P122" s="9">
        <v>8.7289999999999999E-5</v>
      </c>
      <c r="Q122" s="9">
        <v>8.7940000000000002E-5</v>
      </c>
      <c r="R122" s="10">
        <v>1.3561577408041002E-4</v>
      </c>
      <c r="S122" s="10">
        <v>5.5345666607109755E-5</v>
      </c>
      <c r="T122" s="10">
        <v>0</v>
      </c>
      <c r="U122" s="10">
        <v>1.8623000000000001E-4</v>
      </c>
      <c r="V122" s="25"/>
      <c r="W122" s="25"/>
      <c r="X122" s="25"/>
      <c r="Y122" s="25"/>
      <c r="Z122" s="25"/>
      <c r="AA122" s="25"/>
    </row>
    <row r="123" spans="1:27" x14ac:dyDescent="0.35">
      <c r="A123" s="5">
        <v>119</v>
      </c>
      <c r="B123" s="5">
        <v>5</v>
      </c>
      <c r="C123" s="5">
        <v>1</v>
      </c>
      <c r="D123" s="25">
        <v>1.1416E-4</v>
      </c>
      <c r="E123" s="25">
        <v>1.0995E-4</v>
      </c>
      <c r="F123" s="25">
        <v>1.1370999999999999E-4</v>
      </c>
      <c r="G123" s="25">
        <v>5.329E-5</v>
      </c>
      <c r="H123" s="25">
        <v>7.5920000000000005E-5</v>
      </c>
      <c r="I123" s="9">
        <v>1.25E-4</v>
      </c>
      <c r="J123" s="9">
        <v>1.1776E-4</v>
      </c>
      <c r="K123" s="9">
        <v>1.6742999999999999E-4</v>
      </c>
      <c r="L123" s="9">
        <v>9.0879999999999997E-5</v>
      </c>
      <c r="M123" s="9">
        <v>9.8709999999999995E-5</v>
      </c>
      <c r="N123" s="9">
        <v>9.9619999999999998E-5</v>
      </c>
      <c r="O123" s="9">
        <v>7.7849999999999995E-5</v>
      </c>
      <c r="P123" s="9">
        <v>7.1799999999999997E-5</v>
      </c>
      <c r="Q123" s="9">
        <v>6.6569999999999995E-5</v>
      </c>
      <c r="R123" s="10">
        <v>1.3459077617746065E-4</v>
      </c>
      <c r="S123" s="10">
        <v>5.5090253738826855E-5</v>
      </c>
      <c r="T123" s="10">
        <v>0</v>
      </c>
      <c r="U123" s="10">
        <v>1.8623000000000001E-4</v>
      </c>
      <c r="V123" s="25"/>
      <c r="W123" s="25"/>
      <c r="X123" s="25"/>
      <c r="Y123" s="25"/>
      <c r="Z123" s="25"/>
      <c r="AA123" s="25"/>
    </row>
    <row r="124" spans="1:27" x14ac:dyDescent="0.35">
      <c r="A124" s="5">
        <v>120</v>
      </c>
      <c r="B124" s="5">
        <v>5</v>
      </c>
      <c r="C124" s="5">
        <v>1</v>
      </c>
      <c r="D124" s="25">
        <v>1.1415000000000001E-4</v>
      </c>
      <c r="E124" s="25">
        <v>1.1385E-4</v>
      </c>
      <c r="F124" s="25">
        <v>1.3436000000000001E-4</v>
      </c>
      <c r="G124" s="25">
        <v>5.448E-5</v>
      </c>
      <c r="H124" s="25">
        <v>6.3529999999999997E-5</v>
      </c>
      <c r="I124" s="9">
        <v>1.2394000000000001E-4</v>
      </c>
      <c r="J124" s="9">
        <v>1.1003E-4</v>
      </c>
      <c r="K124" s="9">
        <v>1.6318999999999999E-4</v>
      </c>
      <c r="L124" s="9">
        <v>8.0699999999999996E-5</v>
      </c>
      <c r="M124" s="9">
        <v>8.5790000000000004E-5</v>
      </c>
      <c r="N124" s="9">
        <v>9.0270000000000001E-5</v>
      </c>
      <c r="O124" s="9">
        <v>6.2669999999999995E-5</v>
      </c>
      <c r="P124" s="9">
        <v>6.0470000000000002E-5</v>
      </c>
      <c r="Q124" s="9">
        <v>5.8659999999999997E-5</v>
      </c>
      <c r="R124" s="10">
        <v>1.1686587403026301E-4</v>
      </c>
      <c r="S124" s="10">
        <v>5.6544717642747575E-5</v>
      </c>
      <c r="T124" s="10">
        <v>0</v>
      </c>
      <c r="U124" s="10">
        <v>1.8623000000000001E-4</v>
      </c>
      <c r="V124" s="25"/>
      <c r="W124" s="25"/>
      <c r="X124" s="25"/>
      <c r="Y124" s="25"/>
      <c r="Z124" s="25"/>
      <c r="AA124" s="25"/>
    </row>
    <row r="125" spans="1:27" x14ac:dyDescent="0.35">
      <c r="A125" s="5">
        <v>121</v>
      </c>
      <c r="B125" s="5">
        <v>6</v>
      </c>
      <c r="C125" s="5">
        <v>1</v>
      </c>
      <c r="D125" s="25">
        <v>1.1416E-4</v>
      </c>
      <c r="E125" s="25">
        <v>1.0653E-4</v>
      </c>
      <c r="F125" s="25">
        <v>9.5320000000000002E-5</v>
      </c>
      <c r="G125" s="25">
        <v>6.012E-5</v>
      </c>
      <c r="H125" s="25">
        <v>4.4660000000000003E-5</v>
      </c>
      <c r="I125" s="9">
        <v>1.1627E-4</v>
      </c>
      <c r="J125" s="9">
        <v>1.0278E-4</v>
      </c>
      <c r="K125" s="9">
        <v>1.3988E-4</v>
      </c>
      <c r="L125" s="9">
        <v>6.6639999999999999E-5</v>
      </c>
      <c r="M125" s="9">
        <v>7.3709999999999997E-5</v>
      </c>
      <c r="N125" s="9">
        <v>8.0859999999999995E-5</v>
      </c>
      <c r="O125" s="9">
        <v>6.8529999999999996E-5</v>
      </c>
      <c r="P125" s="9">
        <v>6.1020000000000002E-5</v>
      </c>
      <c r="Q125" s="9">
        <v>5.3810000000000001E-5</v>
      </c>
      <c r="R125" s="10">
        <v>1.0482370705979557E-4</v>
      </c>
      <c r="S125" s="10">
        <v>6.0362617855759877E-5</v>
      </c>
      <c r="T125" s="10">
        <v>0</v>
      </c>
      <c r="U125" s="10">
        <v>1.8406E-4</v>
      </c>
      <c r="V125" s="25"/>
      <c r="W125" s="25"/>
      <c r="X125" s="25"/>
      <c r="Y125" s="25"/>
      <c r="Z125" s="25"/>
      <c r="AA125" s="25"/>
    </row>
    <row r="126" spans="1:27" x14ac:dyDescent="0.35">
      <c r="A126" s="5">
        <v>122</v>
      </c>
      <c r="B126" s="5">
        <v>6</v>
      </c>
      <c r="C126" s="5">
        <v>1</v>
      </c>
      <c r="D126" s="25">
        <v>1.1415000000000001E-4</v>
      </c>
      <c r="E126" s="25">
        <v>1.1323999999999999E-4</v>
      </c>
      <c r="F126" s="25">
        <v>1.0596E-4</v>
      </c>
      <c r="G126" s="25">
        <v>6.1050000000000007E-5</v>
      </c>
      <c r="H126" s="25">
        <v>4.0410000000000001E-5</v>
      </c>
      <c r="I126" s="9">
        <v>1.0929000000000001E-4</v>
      </c>
      <c r="J126" s="9">
        <v>9.8209999999999997E-5</v>
      </c>
      <c r="K126" s="9">
        <v>1.4411E-4</v>
      </c>
      <c r="L126" s="9">
        <v>6.8499999999999998E-5</v>
      </c>
      <c r="M126" s="9">
        <v>6.6270000000000001E-5</v>
      </c>
      <c r="N126" s="9">
        <v>7.1909999999999994E-5</v>
      </c>
      <c r="O126" s="9">
        <v>3.4539999999999998E-5</v>
      </c>
      <c r="P126" s="9">
        <v>4.566E-5</v>
      </c>
      <c r="Q126" s="9">
        <v>5.596E-5</v>
      </c>
      <c r="R126" s="10">
        <v>1.0352014738461483E-4</v>
      </c>
      <c r="S126" s="10">
        <v>6.6379538365173347E-5</v>
      </c>
      <c r="T126" s="10">
        <v>0</v>
      </c>
      <c r="U126" s="10">
        <v>1.8406E-4</v>
      </c>
      <c r="V126" s="25"/>
      <c r="W126" s="25"/>
      <c r="X126" s="25"/>
      <c r="Y126" s="25"/>
      <c r="Z126" s="25"/>
      <c r="AA126" s="25"/>
    </row>
    <row r="127" spans="1:27" x14ac:dyDescent="0.35">
      <c r="A127" s="5">
        <v>123</v>
      </c>
      <c r="B127" s="5">
        <v>6</v>
      </c>
      <c r="C127" s="5">
        <v>1</v>
      </c>
      <c r="D127" s="25">
        <v>1.1416E-4</v>
      </c>
      <c r="E127" s="25">
        <v>1.0391999999999999E-4</v>
      </c>
      <c r="F127" s="25">
        <v>1.1504E-4</v>
      </c>
      <c r="G127" s="25">
        <v>5.9370000000000002E-5</v>
      </c>
      <c r="H127" s="25">
        <v>3.9900000000000001E-5</v>
      </c>
      <c r="I127" s="9">
        <v>1.0546E-4</v>
      </c>
      <c r="J127" s="9">
        <v>9.5630000000000004E-5</v>
      </c>
      <c r="K127" s="9">
        <v>1.5048000000000001E-4</v>
      </c>
      <c r="L127" s="9">
        <v>4.1909999999999997E-5</v>
      </c>
      <c r="M127" s="9">
        <v>5.7290000000000002E-5</v>
      </c>
      <c r="N127" s="9">
        <v>6.5350000000000003E-5</v>
      </c>
      <c r="O127" s="9">
        <v>2.1189999999999999E-5</v>
      </c>
      <c r="P127" s="9">
        <v>4.1850000000000001E-5</v>
      </c>
      <c r="Q127" s="9">
        <v>6.1210000000000005E-5</v>
      </c>
      <c r="R127" s="10">
        <v>1.0486554129864665E-4</v>
      </c>
      <c r="S127" s="10">
        <v>7.8776815542645385E-5</v>
      </c>
      <c r="T127" s="10">
        <v>0</v>
      </c>
      <c r="U127" s="10">
        <v>1.8406E-4</v>
      </c>
      <c r="V127" s="25"/>
      <c r="W127" s="25"/>
      <c r="X127" s="25"/>
      <c r="Y127" s="25"/>
      <c r="Z127" s="25"/>
      <c r="AA127" s="25"/>
    </row>
    <row r="128" spans="1:27" x14ac:dyDescent="0.35">
      <c r="A128" s="5">
        <v>124</v>
      </c>
      <c r="B128" s="5">
        <v>6</v>
      </c>
      <c r="C128" s="5">
        <v>1</v>
      </c>
      <c r="D128" s="25">
        <v>1.1415000000000001E-4</v>
      </c>
      <c r="E128" s="25">
        <v>1.1167000000000001E-4</v>
      </c>
      <c r="F128" s="25">
        <v>1.052E-4</v>
      </c>
      <c r="G128" s="25">
        <v>6.2000000000000003E-5</v>
      </c>
      <c r="H128" s="25">
        <v>4.5040000000000002E-5</v>
      </c>
      <c r="I128" s="9">
        <v>1.0353000000000001E-4</v>
      </c>
      <c r="J128" s="9">
        <v>9.5119999999999997E-5</v>
      </c>
      <c r="K128" s="9">
        <v>1.6107E-4</v>
      </c>
      <c r="L128" s="9">
        <v>2.639E-5</v>
      </c>
      <c r="M128" s="9">
        <v>4.9589999999999998E-5</v>
      </c>
      <c r="N128" s="9">
        <v>6.1749999999999997E-5</v>
      </c>
      <c r="O128" s="9">
        <v>2.0950000000000001E-5</v>
      </c>
      <c r="P128" s="9">
        <v>5.1759999999999999E-5</v>
      </c>
      <c r="Q128" s="9">
        <v>8.1080000000000003E-5</v>
      </c>
      <c r="R128" s="10">
        <v>9.1931641359854519E-5</v>
      </c>
      <c r="S128" s="10">
        <v>9.2174849750228043E-5</v>
      </c>
      <c r="T128" s="10">
        <v>0</v>
      </c>
      <c r="U128" s="10">
        <v>1.8406E-4</v>
      </c>
      <c r="V128" s="25"/>
      <c r="W128" s="25"/>
      <c r="X128" s="25"/>
      <c r="Y128" s="25"/>
      <c r="Z128" s="25"/>
      <c r="AA128" s="25"/>
    </row>
    <row r="129" spans="1:27" x14ac:dyDescent="0.35">
      <c r="A129" s="5">
        <v>125</v>
      </c>
      <c r="B129" s="5">
        <v>6</v>
      </c>
      <c r="C129" s="5">
        <v>1</v>
      </c>
      <c r="D129" s="25">
        <v>1.1416E-4</v>
      </c>
      <c r="E129" s="25">
        <v>1.1458E-4</v>
      </c>
      <c r="F129" s="25">
        <v>9.4640000000000002E-5</v>
      </c>
      <c r="G129" s="25">
        <v>5.8019999999999997E-5</v>
      </c>
      <c r="H129" s="25">
        <v>4.596E-5</v>
      </c>
      <c r="I129" s="9">
        <v>1.0391999999999999E-4</v>
      </c>
      <c r="J129" s="9">
        <v>9.5669999999999997E-5</v>
      </c>
      <c r="K129" s="9">
        <v>1.6742999999999999E-4</v>
      </c>
      <c r="L129" s="9">
        <v>2.262E-5</v>
      </c>
      <c r="M129" s="9">
        <v>4.8529999999999998E-5</v>
      </c>
      <c r="N129" s="9">
        <v>6.4490000000000001E-5</v>
      </c>
      <c r="O129" s="9">
        <v>2.266E-5</v>
      </c>
      <c r="P129" s="9">
        <v>5.8829999999999997E-5</v>
      </c>
      <c r="Q129" s="9">
        <v>9.3490000000000001E-5</v>
      </c>
      <c r="R129" s="10">
        <v>8.5466997003283302E-5</v>
      </c>
      <c r="S129" s="10">
        <v>1.0757780904529673E-4</v>
      </c>
      <c r="T129" s="10">
        <v>0</v>
      </c>
      <c r="U129" s="10">
        <v>1.8406E-4</v>
      </c>
      <c r="V129" s="25"/>
      <c r="W129" s="25"/>
      <c r="X129" s="25"/>
      <c r="Y129" s="25"/>
      <c r="Z129" s="25"/>
      <c r="AA129" s="25"/>
    </row>
    <row r="130" spans="1:27" x14ac:dyDescent="0.35">
      <c r="A130" s="5">
        <v>126</v>
      </c>
      <c r="B130" s="5">
        <v>6</v>
      </c>
      <c r="C130" s="5">
        <v>1</v>
      </c>
      <c r="D130" s="25">
        <v>1.1415000000000001E-4</v>
      </c>
      <c r="E130" s="25">
        <v>1.0602E-4</v>
      </c>
      <c r="F130" s="25">
        <v>1.1487E-4</v>
      </c>
      <c r="G130" s="25">
        <v>1.0852E-4</v>
      </c>
      <c r="H130" s="25">
        <v>8.0580000000000004E-5</v>
      </c>
      <c r="I130" s="9">
        <v>1.0822E-4</v>
      </c>
      <c r="J130" s="9">
        <v>9.959E-5</v>
      </c>
      <c r="K130" s="9">
        <v>1.7802000000000001E-4</v>
      </c>
      <c r="L130" s="9">
        <v>2.2569999999999999E-5</v>
      </c>
      <c r="M130" s="9">
        <v>5.2299999999999997E-5</v>
      </c>
      <c r="N130" s="9">
        <v>7.1030000000000003E-5</v>
      </c>
      <c r="O130" s="9">
        <v>2.9329999999999999E-5</v>
      </c>
      <c r="P130" s="9">
        <v>6.9300000000000004E-5</v>
      </c>
      <c r="Q130" s="9">
        <v>1.0784E-4</v>
      </c>
      <c r="R130" s="10">
        <v>9.3073540484299685E-5</v>
      </c>
      <c r="S130" s="10">
        <v>1.314469426979318E-4</v>
      </c>
      <c r="T130" s="10">
        <v>0</v>
      </c>
      <c r="U130" s="10">
        <v>1.8406E-4</v>
      </c>
      <c r="V130" s="25"/>
      <c r="W130" s="25"/>
      <c r="X130" s="25"/>
      <c r="Y130" s="25"/>
      <c r="Z130" s="25"/>
      <c r="AA130" s="25"/>
    </row>
    <row r="131" spans="1:27" x14ac:dyDescent="0.35">
      <c r="A131" s="5">
        <v>127</v>
      </c>
      <c r="B131" s="5">
        <v>6</v>
      </c>
      <c r="C131" s="5">
        <v>1</v>
      </c>
      <c r="D131" s="25">
        <v>1.1416E-4</v>
      </c>
      <c r="E131" s="25">
        <v>1.1430999999999999E-4</v>
      </c>
      <c r="F131" s="25">
        <v>1.0606E-4</v>
      </c>
      <c r="G131" s="25">
        <v>1.0597E-4</v>
      </c>
      <c r="H131" s="25">
        <v>8.2880000000000006E-5</v>
      </c>
      <c r="I131" s="9">
        <v>1.2006E-4</v>
      </c>
      <c r="J131" s="9">
        <v>1.1114E-4</v>
      </c>
      <c r="K131" s="9">
        <v>1.8650000000000001E-4</v>
      </c>
      <c r="L131" s="9">
        <v>2.775E-5</v>
      </c>
      <c r="M131" s="9">
        <v>5.9519999999999999E-5</v>
      </c>
      <c r="N131" s="9">
        <v>8.0929999999999999E-5</v>
      </c>
      <c r="O131" s="9">
        <v>4.5630000000000002E-5</v>
      </c>
      <c r="P131" s="9">
        <v>7.9200000000000001E-5</v>
      </c>
      <c r="Q131" s="9">
        <v>1.1187E-4</v>
      </c>
      <c r="R131" s="10">
        <v>1.0998883121807818E-4</v>
      </c>
      <c r="S131" s="10">
        <v>1.5312240715472243E-4</v>
      </c>
      <c r="T131" s="10">
        <v>0</v>
      </c>
      <c r="U131" s="10">
        <v>1.8406E-4</v>
      </c>
      <c r="V131" s="25"/>
      <c r="W131" s="25"/>
      <c r="X131" s="25"/>
      <c r="Y131" s="25"/>
      <c r="Z131" s="25"/>
      <c r="AA131" s="25"/>
    </row>
    <row r="132" spans="1:27" x14ac:dyDescent="0.35">
      <c r="A132" s="5">
        <v>128</v>
      </c>
      <c r="B132" s="5">
        <v>6</v>
      </c>
      <c r="C132" s="5">
        <v>1</v>
      </c>
      <c r="D132" s="25">
        <v>1.1415000000000001E-4</v>
      </c>
      <c r="E132" s="25">
        <v>1.0648E-4</v>
      </c>
      <c r="F132" s="25">
        <v>1.0621E-4</v>
      </c>
      <c r="G132" s="25">
        <v>1.6506999999999999E-4</v>
      </c>
      <c r="H132" s="25">
        <v>1.1797E-4</v>
      </c>
      <c r="I132" s="9">
        <v>1.3180000000000001E-4</v>
      </c>
      <c r="J132" s="9">
        <v>1.2988999999999999E-4</v>
      </c>
      <c r="K132" s="9">
        <v>1.9285999999999999E-4</v>
      </c>
      <c r="L132" s="9">
        <v>4.1539999999999999E-5</v>
      </c>
      <c r="M132" s="9">
        <v>6.8410000000000004E-5</v>
      </c>
      <c r="N132" s="9">
        <v>9.09E-5</v>
      </c>
      <c r="O132" s="9">
        <v>6.8759999999999999E-5</v>
      </c>
      <c r="P132" s="9">
        <v>1.0339E-4</v>
      </c>
      <c r="Q132" s="9">
        <v>1.3768E-4</v>
      </c>
      <c r="R132" s="10">
        <v>1.1416008113499296E-4</v>
      </c>
      <c r="S132" s="10">
        <v>1.6057966087495128E-4</v>
      </c>
      <c r="T132" s="10">
        <v>0</v>
      </c>
      <c r="U132" s="10">
        <v>1.8406E-4</v>
      </c>
      <c r="V132" s="25"/>
      <c r="W132" s="25"/>
      <c r="X132" s="25"/>
      <c r="Y132" s="25"/>
      <c r="Z132" s="25"/>
      <c r="AA132" s="25"/>
    </row>
    <row r="133" spans="1:27" x14ac:dyDescent="0.35">
      <c r="A133" s="5">
        <v>129</v>
      </c>
      <c r="B133" s="5">
        <v>6</v>
      </c>
      <c r="C133" s="5">
        <v>1</v>
      </c>
      <c r="D133" s="25">
        <v>1.1416E-4</v>
      </c>
      <c r="E133" s="25">
        <v>1.1127E-4</v>
      </c>
      <c r="F133" s="25">
        <v>1.0103E-4</v>
      </c>
      <c r="G133" s="25">
        <v>1.6629000000000001E-4</v>
      </c>
      <c r="H133" s="25">
        <v>1.2176999999999999E-4</v>
      </c>
      <c r="I133" s="9">
        <v>1.3850000000000001E-4</v>
      </c>
      <c r="J133" s="9">
        <v>1.4244E-4</v>
      </c>
      <c r="K133" s="9">
        <v>1.7802000000000001E-4</v>
      </c>
      <c r="L133" s="9">
        <v>6.2399999999999999E-5</v>
      </c>
      <c r="M133" s="9">
        <v>8.3200000000000003E-5</v>
      </c>
      <c r="N133" s="9">
        <v>1.0485E-4</v>
      </c>
      <c r="O133" s="9">
        <v>1.0116E-4</v>
      </c>
      <c r="P133" s="9">
        <v>1.3951E-4</v>
      </c>
      <c r="Q133" s="9">
        <v>1.7825E-4</v>
      </c>
      <c r="R133" s="10">
        <v>1.2139519788817897E-4</v>
      </c>
      <c r="S133" s="10">
        <v>1.6472122821056251E-4</v>
      </c>
      <c r="T133" s="10">
        <v>0</v>
      </c>
      <c r="U133" s="10">
        <v>1.8406E-4</v>
      </c>
      <c r="V133" s="25"/>
      <c r="W133" s="25"/>
      <c r="X133" s="25"/>
      <c r="Y133" s="25"/>
      <c r="Z133" s="25"/>
      <c r="AA133" s="25"/>
    </row>
    <row r="134" spans="1:27" x14ac:dyDescent="0.35">
      <c r="A134" s="5">
        <v>130</v>
      </c>
      <c r="B134" s="5">
        <v>6</v>
      </c>
      <c r="C134" s="5">
        <v>1</v>
      </c>
      <c r="D134" s="25">
        <v>1.1415000000000001E-4</v>
      </c>
      <c r="E134" s="25">
        <v>1.0959E-4</v>
      </c>
      <c r="F134" s="25">
        <v>1.1535E-4</v>
      </c>
      <c r="G134" s="25">
        <v>1.5619000000000001E-4</v>
      </c>
      <c r="H134" s="25">
        <v>1.1854999999999999E-4</v>
      </c>
      <c r="I134" s="9">
        <v>1.4038000000000001E-4</v>
      </c>
      <c r="J134" s="9">
        <v>1.4635000000000001E-4</v>
      </c>
      <c r="K134" s="9">
        <v>1.7166999999999999E-4</v>
      </c>
      <c r="L134" s="9">
        <v>9.2089999999999994E-5</v>
      </c>
      <c r="M134" s="9">
        <v>1.0721999999999999E-4</v>
      </c>
      <c r="N134" s="9">
        <v>1.2511999999999999E-4</v>
      </c>
      <c r="O134" s="9">
        <v>1.3049000000000001E-4</v>
      </c>
      <c r="P134" s="9">
        <v>1.5625E-4</v>
      </c>
      <c r="Q134" s="9">
        <v>1.8332999999999999E-4</v>
      </c>
      <c r="R134" s="10">
        <v>1.2818829165546418E-4</v>
      </c>
      <c r="S134" s="10">
        <v>1.6524077316785771E-4</v>
      </c>
      <c r="T134" s="10">
        <v>1.7981624042692049E-4</v>
      </c>
      <c r="U134" s="10">
        <v>1.8406E-4</v>
      </c>
      <c r="V134" s="25"/>
      <c r="W134" s="25"/>
      <c r="X134" s="25"/>
      <c r="Y134" s="25"/>
      <c r="Z134" s="25"/>
      <c r="AA134" s="25"/>
    </row>
    <row r="135" spans="1:27" x14ac:dyDescent="0.35">
      <c r="A135" s="5">
        <v>131</v>
      </c>
      <c r="B135" s="5">
        <v>6</v>
      </c>
      <c r="C135" s="5">
        <v>1</v>
      </c>
      <c r="D135" s="25">
        <v>1.1416E-4</v>
      </c>
      <c r="E135" s="25">
        <v>1.1383999999999999E-4</v>
      </c>
      <c r="F135" s="25">
        <v>1.0859E-4</v>
      </c>
      <c r="G135" s="25">
        <v>1.6489E-4</v>
      </c>
      <c r="H135" s="25">
        <v>1.1928E-4</v>
      </c>
      <c r="I135" s="9">
        <v>1.4059000000000001E-4</v>
      </c>
      <c r="J135" s="9">
        <v>1.4741E-4</v>
      </c>
      <c r="K135" s="9">
        <v>1.5470999999999999E-4</v>
      </c>
      <c r="L135" s="9">
        <v>1.2129999999999999E-4</v>
      </c>
      <c r="M135" s="9">
        <v>1.3093999999999999E-4</v>
      </c>
      <c r="N135" s="9">
        <v>1.4342000000000001E-4</v>
      </c>
      <c r="O135" s="9">
        <v>1.3893999999999999E-4</v>
      </c>
      <c r="P135" s="9">
        <v>1.5898999999999999E-4</v>
      </c>
      <c r="Q135" s="9">
        <v>1.8065999999999999E-4</v>
      </c>
      <c r="R135" s="10">
        <v>1.2945181730449445E-4</v>
      </c>
      <c r="S135" s="10">
        <v>1.6716262295611047E-4</v>
      </c>
      <c r="T135" s="10">
        <v>3.152171737558449E-4</v>
      </c>
      <c r="U135" s="10">
        <v>1.8406E-4</v>
      </c>
      <c r="V135" s="25"/>
      <c r="W135" s="25"/>
      <c r="X135" s="25"/>
      <c r="Y135" s="25"/>
      <c r="Z135" s="25"/>
      <c r="AA135" s="25"/>
    </row>
    <row r="136" spans="1:27" x14ac:dyDescent="0.35">
      <c r="A136" s="5">
        <v>132</v>
      </c>
      <c r="B136" s="5">
        <v>6</v>
      </c>
      <c r="C136" s="5">
        <v>1</v>
      </c>
      <c r="D136" s="25">
        <v>1.1415000000000001E-4</v>
      </c>
      <c r="E136" s="25">
        <v>1.1404E-4</v>
      </c>
      <c r="F136" s="25">
        <v>1.1383E-4</v>
      </c>
      <c r="G136" s="25">
        <v>1.6237000000000001E-4</v>
      </c>
      <c r="H136" s="25">
        <v>1.2199E-4</v>
      </c>
      <c r="I136" s="9">
        <v>1.4158000000000001E-4</v>
      </c>
      <c r="J136" s="9">
        <v>1.4766000000000001E-4</v>
      </c>
      <c r="K136" s="9">
        <v>1.4624000000000001E-4</v>
      </c>
      <c r="L136" s="9">
        <v>1.3438E-4</v>
      </c>
      <c r="M136" s="9">
        <v>1.4663999999999999E-4</v>
      </c>
      <c r="N136" s="9">
        <v>1.5765000000000001E-4</v>
      </c>
      <c r="O136" s="9">
        <v>1.4061E-4</v>
      </c>
      <c r="P136" s="9">
        <v>1.5725E-4</v>
      </c>
      <c r="Q136" s="9">
        <v>1.7560000000000001E-4</v>
      </c>
      <c r="R136" s="10">
        <v>1.079503968083251E-4</v>
      </c>
      <c r="S136" s="10">
        <v>1.6434130927157263E-4</v>
      </c>
      <c r="T136" s="10">
        <v>3.1580259041100482E-4</v>
      </c>
      <c r="U136" s="10">
        <v>1.8406E-4</v>
      </c>
      <c r="V136" s="25"/>
      <c r="W136" s="25"/>
      <c r="X136" s="25"/>
      <c r="Y136" s="25"/>
      <c r="Z136" s="25"/>
      <c r="AA136" s="25"/>
    </row>
    <row r="137" spans="1:27" x14ac:dyDescent="0.35">
      <c r="A137" s="5">
        <v>133</v>
      </c>
      <c r="B137" s="5">
        <v>6</v>
      </c>
      <c r="C137" s="5">
        <v>1</v>
      </c>
      <c r="D137" s="25">
        <v>1.1416E-4</v>
      </c>
      <c r="E137" s="25">
        <v>1.0585E-4</v>
      </c>
      <c r="F137" s="25">
        <v>1.1239E-4</v>
      </c>
      <c r="G137" s="25">
        <v>1.6670000000000001E-4</v>
      </c>
      <c r="H137" s="25">
        <v>1.1696000000000001E-4</v>
      </c>
      <c r="I137" s="9">
        <v>1.3893E-4</v>
      </c>
      <c r="J137" s="9">
        <v>1.4684E-4</v>
      </c>
      <c r="K137" s="9">
        <v>1.3564E-4</v>
      </c>
      <c r="L137" s="9">
        <v>1.3907000000000001E-4</v>
      </c>
      <c r="M137" s="9">
        <v>1.5381999999999999E-4</v>
      </c>
      <c r="N137" s="9">
        <v>1.6733000000000001E-4</v>
      </c>
      <c r="O137" s="9">
        <v>1.3174000000000001E-4</v>
      </c>
      <c r="P137" s="9">
        <v>1.4929E-4</v>
      </c>
      <c r="Q137" s="9">
        <v>1.6830999999999999E-4</v>
      </c>
      <c r="R137" s="10">
        <v>8.3041524102824311E-5</v>
      </c>
      <c r="S137" s="10">
        <v>1.6546305196597883E-4</v>
      </c>
      <c r="T137" s="10">
        <v>2.8676083373546695E-4</v>
      </c>
      <c r="U137" s="10">
        <v>1.8406E-4</v>
      </c>
      <c r="V137" s="25"/>
      <c r="W137" s="25"/>
      <c r="X137" s="25"/>
      <c r="Y137" s="25"/>
      <c r="Z137" s="25"/>
      <c r="AA137" s="25"/>
    </row>
    <row r="138" spans="1:27" x14ac:dyDescent="0.35">
      <c r="A138" s="5">
        <v>134</v>
      </c>
      <c r="B138" s="5">
        <v>6</v>
      </c>
      <c r="C138" s="5">
        <v>1</v>
      </c>
      <c r="D138" s="25">
        <v>1.1415000000000001E-4</v>
      </c>
      <c r="E138" s="25">
        <v>1.0527E-4</v>
      </c>
      <c r="F138" s="25">
        <v>1.0404999999999999E-4</v>
      </c>
      <c r="G138" s="25">
        <v>1.5750000000000001E-4</v>
      </c>
      <c r="H138" s="25">
        <v>1.16E-4</v>
      </c>
      <c r="I138" s="9">
        <v>1.3889999999999999E-4</v>
      </c>
      <c r="J138" s="9">
        <v>1.4744000000000001E-4</v>
      </c>
      <c r="K138" s="9">
        <v>1.4835E-4</v>
      </c>
      <c r="L138" s="9">
        <v>1.3341000000000001E-4</v>
      </c>
      <c r="M138" s="9">
        <v>1.5355999999999999E-4</v>
      </c>
      <c r="N138" s="9">
        <v>1.7165E-4</v>
      </c>
      <c r="O138" s="9">
        <v>1.1353000000000001E-4</v>
      </c>
      <c r="P138" s="9">
        <v>1.3690999999999999E-4</v>
      </c>
      <c r="Q138" s="9">
        <v>1.6123E-4</v>
      </c>
      <c r="R138" s="10">
        <v>6.5616632484539707E-5</v>
      </c>
      <c r="S138" s="10">
        <v>1.6679040912523642E-4</v>
      </c>
      <c r="T138" s="10">
        <v>2.4696946978329851E-4</v>
      </c>
      <c r="U138" s="10">
        <v>1.8406E-4</v>
      </c>
      <c r="V138" s="25"/>
      <c r="W138" s="25"/>
      <c r="X138" s="25"/>
      <c r="Y138" s="25"/>
      <c r="Z138" s="25"/>
      <c r="AA138" s="25"/>
    </row>
    <row r="139" spans="1:27" x14ac:dyDescent="0.35">
      <c r="A139" s="5">
        <v>135</v>
      </c>
      <c r="B139" s="5">
        <v>6</v>
      </c>
      <c r="C139" s="5">
        <v>1</v>
      </c>
      <c r="D139" s="25">
        <v>1.1416E-4</v>
      </c>
      <c r="E139" s="25">
        <v>1.1423E-4</v>
      </c>
      <c r="F139" s="25">
        <v>1.1081E-4</v>
      </c>
      <c r="G139" s="25">
        <v>1.5677000000000001E-4</v>
      </c>
      <c r="H139" s="25">
        <v>1.1896E-4</v>
      </c>
      <c r="I139" s="9">
        <v>1.3699E-4</v>
      </c>
      <c r="J139" s="9">
        <v>1.4715E-4</v>
      </c>
      <c r="K139" s="9">
        <v>1.526E-4</v>
      </c>
      <c r="L139" s="9">
        <v>1.1813E-4</v>
      </c>
      <c r="M139" s="9">
        <v>1.4723000000000001E-4</v>
      </c>
      <c r="N139" s="9">
        <v>1.7102999999999999E-4</v>
      </c>
      <c r="O139" s="9">
        <v>1.2741E-4</v>
      </c>
      <c r="P139" s="9">
        <v>1.3880000000000001E-4</v>
      </c>
      <c r="Q139" s="9">
        <v>1.5168000000000001E-4</v>
      </c>
      <c r="R139" s="10">
        <v>6.7855341846012455E-5</v>
      </c>
      <c r="S139" s="10">
        <v>1.6774194265813434E-4</v>
      </c>
      <c r="T139" s="10">
        <v>1.2744266053849076E-4</v>
      </c>
      <c r="U139" s="10">
        <v>1.8406E-4</v>
      </c>
      <c r="V139" s="25"/>
      <c r="W139" s="25"/>
      <c r="X139" s="25"/>
      <c r="Y139" s="25"/>
      <c r="Z139" s="25"/>
      <c r="AA139" s="25"/>
    </row>
    <row r="140" spans="1:27" x14ac:dyDescent="0.35">
      <c r="A140" s="5">
        <v>136</v>
      </c>
      <c r="B140" s="5">
        <v>6</v>
      </c>
      <c r="C140" s="5">
        <v>1</v>
      </c>
      <c r="D140" s="25">
        <v>1.1415000000000001E-4</v>
      </c>
      <c r="E140" s="25">
        <v>1.1332000000000001E-4</v>
      </c>
      <c r="F140" s="25">
        <v>9.802E-5</v>
      </c>
      <c r="G140" s="25">
        <v>1.5815999999999999E-4</v>
      </c>
      <c r="H140" s="25">
        <v>1.1937E-4</v>
      </c>
      <c r="I140" s="9">
        <v>1.3711999999999999E-4</v>
      </c>
      <c r="J140" s="9">
        <v>1.4640000000000001E-4</v>
      </c>
      <c r="K140" s="9">
        <v>1.7166999999999999E-4</v>
      </c>
      <c r="L140" s="9">
        <v>1.2580999999999999E-4</v>
      </c>
      <c r="M140" s="9">
        <v>1.4242000000000001E-4</v>
      </c>
      <c r="N140" s="9">
        <v>1.6671000000000001E-4</v>
      </c>
      <c r="O140" s="9">
        <v>1.3520000000000001E-4</v>
      </c>
      <c r="P140" s="9">
        <v>1.2146000000000001E-4</v>
      </c>
      <c r="Q140" s="9">
        <v>1.098E-4</v>
      </c>
      <c r="R140" s="10">
        <v>8.0997315828221564E-5</v>
      </c>
      <c r="S140" s="10">
        <v>1.7103647497200799E-4</v>
      </c>
      <c r="T140" s="10">
        <v>2.7319443907458908E-6</v>
      </c>
      <c r="U140" s="10">
        <v>1.8406E-4</v>
      </c>
      <c r="V140" s="25"/>
      <c r="W140" s="25"/>
      <c r="X140" s="25"/>
      <c r="Y140" s="25"/>
      <c r="Z140" s="25"/>
      <c r="AA140" s="25"/>
    </row>
    <row r="141" spans="1:27" x14ac:dyDescent="0.35">
      <c r="A141" s="5">
        <v>137</v>
      </c>
      <c r="B141" s="5">
        <v>6</v>
      </c>
      <c r="C141" s="5">
        <v>1</v>
      </c>
      <c r="D141" s="25">
        <v>1.1416E-4</v>
      </c>
      <c r="E141" s="25">
        <v>1.0689E-4</v>
      </c>
      <c r="F141" s="25">
        <v>1.0602E-4</v>
      </c>
      <c r="G141" s="25">
        <v>1.5760000000000001E-4</v>
      </c>
      <c r="H141" s="25">
        <v>1.1953E-4</v>
      </c>
      <c r="I141" s="9">
        <v>1.3679E-4</v>
      </c>
      <c r="J141" s="9">
        <v>1.4875000000000001E-4</v>
      </c>
      <c r="K141" s="9">
        <v>1.6318999999999999E-4</v>
      </c>
      <c r="L141" s="9">
        <v>1.3287999999999999E-4</v>
      </c>
      <c r="M141" s="9">
        <v>1.3379E-4</v>
      </c>
      <c r="N141" s="9">
        <v>1.5275999999999999E-4</v>
      </c>
      <c r="O141" s="9">
        <v>1.4108E-4</v>
      </c>
      <c r="P141" s="9">
        <v>1.2286E-4</v>
      </c>
      <c r="Q141" s="9">
        <v>1.0692E-4</v>
      </c>
      <c r="R141" s="10">
        <v>1.0362674696345711E-4</v>
      </c>
      <c r="S141" s="10">
        <v>1.775561960906657E-4</v>
      </c>
      <c r="T141" s="10">
        <v>0</v>
      </c>
      <c r="U141" s="10">
        <v>1.8406E-4</v>
      </c>
      <c r="V141" s="25"/>
      <c r="W141" s="25"/>
      <c r="X141" s="25"/>
      <c r="Y141" s="25"/>
      <c r="Z141" s="25"/>
      <c r="AA141" s="25"/>
    </row>
    <row r="142" spans="1:27" x14ac:dyDescent="0.35">
      <c r="A142" s="5">
        <v>138</v>
      </c>
      <c r="B142" s="5">
        <v>6</v>
      </c>
      <c r="C142" s="5">
        <v>1</v>
      </c>
      <c r="D142" s="25">
        <v>1.1415000000000001E-4</v>
      </c>
      <c r="E142" s="25">
        <v>1.1478E-4</v>
      </c>
      <c r="F142" s="25">
        <v>1.091E-4</v>
      </c>
      <c r="G142" s="25">
        <v>1.6611999999999999E-4</v>
      </c>
      <c r="H142" s="25">
        <v>1.2210000000000001E-4</v>
      </c>
      <c r="I142" s="9">
        <v>1.4374E-4</v>
      </c>
      <c r="J142" s="9">
        <v>1.5475999999999999E-4</v>
      </c>
      <c r="K142" s="9">
        <v>1.5683E-4</v>
      </c>
      <c r="L142" s="9">
        <v>1.3896000000000001E-4</v>
      </c>
      <c r="M142" s="9">
        <v>1.2768999999999999E-4</v>
      </c>
      <c r="N142" s="9">
        <v>1.3918000000000001E-4</v>
      </c>
      <c r="O142" s="9">
        <v>1.4171E-4</v>
      </c>
      <c r="P142" s="9">
        <v>1.2846E-4</v>
      </c>
      <c r="Q142" s="9">
        <v>1.1745E-4</v>
      </c>
      <c r="R142" s="10">
        <v>1.2964006466575933E-4</v>
      </c>
      <c r="S142" s="10">
        <v>1.846639910652243E-4</v>
      </c>
      <c r="T142" s="10">
        <v>0</v>
      </c>
      <c r="U142" s="10">
        <v>1.8406E-4</v>
      </c>
      <c r="V142" s="25"/>
      <c r="W142" s="25"/>
      <c r="X142" s="25"/>
      <c r="Y142" s="25"/>
      <c r="Z142" s="25"/>
      <c r="AA142" s="25"/>
    </row>
    <row r="143" spans="1:27" x14ac:dyDescent="0.35">
      <c r="A143" s="5">
        <v>139</v>
      </c>
      <c r="B143" s="5">
        <v>6</v>
      </c>
      <c r="C143" s="5">
        <v>1</v>
      </c>
      <c r="D143" s="25">
        <v>1.1416E-4</v>
      </c>
      <c r="E143" s="25">
        <v>1.0894E-4</v>
      </c>
      <c r="F143" s="25">
        <v>1.0064999999999999E-4</v>
      </c>
      <c r="G143" s="25">
        <v>1.1197E-4</v>
      </c>
      <c r="H143" s="25">
        <v>7.5959999999999998E-5</v>
      </c>
      <c r="I143" s="9">
        <v>1.4405E-4</v>
      </c>
      <c r="J143" s="9">
        <v>1.4768E-4</v>
      </c>
      <c r="K143" s="9">
        <v>1.4411E-4</v>
      </c>
      <c r="L143" s="9">
        <v>1.4100000000000001E-4</v>
      </c>
      <c r="M143" s="9">
        <v>1.2657E-4</v>
      </c>
      <c r="N143" s="9">
        <v>1.2993999999999999E-4</v>
      </c>
      <c r="O143" s="9">
        <v>1.4384000000000001E-4</v>
      </c>
      <c r="P143" s="9">
        <v>1.2472000000000001E-4</v>
      </c>
      <c r="Q143" s="9">
        <v>1.0794999999999999E-4</v>
      </c>
      <c r="R143" s="10">
        <v>1.5443975091632644E-4</v>
      </c>
      <c r="S143" s="10">
        <v>1.8758161481888548E-4</v>
      </c>
      <c r="T143" s="10">
        <v>0</v>
      </c>
      <c r="U143" s="10">
        <v>1.8406E-4</v>
      </c>
      <c r="V143" s="25"/>
      <c r="W143" s="25"/>
      <c r="X143" s="25"/>
      <c r="Y143" s="25"/>
      <c r="Z143" s="25"/>
      <c r="AA143" s="25"/>
    </row>
    <row r="144" spans="1:27" x14ac:dyDescent="0.35">
      <c r="A144" s="5">
        <v>140</v>
      </c>
      <c r="B144" s="5">
        <v>6</v>
      </c>
      <c r="C144" s="5">
        <v>1</v>
      </c>
      <c r="D144" s="25">
        <v>1.1415000000000001E-4</v>
      </c>
      <c r="E144" s="25">
        <v>1.053E-4</v>
      </c>
      <c r="F144" s="25">
        <v>1.1593E-4</v>
      </c>
      <c r="G144" s="25">
        <v>1.1016E-4</v>
      </c>
      <c r="H144" s="25">
        <v>8.1329999999999996E-5</v>
      </c>
      <c r="I144" s="9">
        <v>1.3902000000000001E-4</v>
      </c>
      <c r="J144" s="9">
        <v>1.4245999999999999E-4</v>
      </c>
      <c r="K144" s="9">
        <v>1.3988E-4</v>
      </c>
      <c r="L144" s="9">
        <v>1.4321000000000001E-4</v>
      </c>
      <c r="M144" s="9">
        <v>1.2588000000000001E-4</v>
      </c>
      <c r="N144" s="9">
        <v>1.2098E-4</v>
      </c>
      <c r="O144" s="9">
        <v>1.4611999999999999E-4</v>
      </c>
      <c r="P144" s="9">
        <v>1.2311000000000001E-4</v>
      </c>
      <c r="Q144" s="9">
        <v>1.0257E-4</v>
      </c>
      <c r="R144" s="10">
        <v>1.7643166590677393E-4</v>
      </c>
      <c r="S144" s="10">
        <v>1.879758302925021E-4</v>
      </c>
      <c r="T144" s="10">
        <v>0</v>
      </c>
      <c r="U144" s="10">
        <v>1.8406E-4</v>
      </c>
      <c r="V144" s="25"/>
      <c r="W144" s="25"/>
      <c r="X144" s="25"/>
      <c r="Y144" s="25"/>
      <c r="Z144" s="25"/>
      <c r="AA144" s="25"/>
    </row>
    <row r="145" spans="1:27" x14ac:dyDescent="0.35">
      <c r="A145" s="5">
        <v>141</v>
      </c>
      <c r="B145" s="5">
        <v>6</v>
      </c>
      <c r="C145" s="5">
        <v>1</v>
      </c>
      <c r="D145" s="25">
        <v>1.1416E-4</v>
      </c>
      <c r="E145" s="25">
        <v>1.1425999999999999E-4</v>
      </c>
      <c r="F145" s="25">
        <v>1.1404999999999999E-4</v>
      </c>
      <c r="G145" s="25">
        <v>6.0619999999999999E-5</v>
      </c>
      <c r="H145" s="25">
        <v>4.2339999999999998E-5</v>
      </c>
      <c r="I145" s="9">
        <v>1.3079000000000001E-4</v>
      </c>
      <c r="J145" s="9">
        <v>1.3564E-4</v>
      </c>
      <c r="K145" s="9">
        <v>1.3776000000000001E-4</v>
      </c>
      <c r="L145" s="9">
        <v>1.4545000000000001E-4</v>
      </c>
      <c r="M145" s="9">
        <v>1.2474E-4</v>
      </c>
      <c r="N145" s="9">
        <v>1.1345000000000001E-4</v>
      </c>
      <c r="O145" s="9">
        <v>8.5530000000000003E-5</v>
      </c>
      <c r="P145" s="9">
        <v>8.6959999999999994E-5</v>
      </c>
      <c r="Q145" s="9">
        <v>8.8969999999999997E-5</v>
      </c>
      <c r="R145" s="10">
        <v>1.9254865805069424E-4</v>
      </c>
      <c r="S145" s="10">
        <v>1.8740288299039538E-4</v>
      </c>
      <c r="T145" s="10">
        <v>0</v>
      </c>
      <c r="U145" s="10">
        <v>1.8406E-4</v>
      </c>
      <c r="V145" s="25"/>
      <c r="W145" s="25"/>
      <c r="X145" s="25"/>
      <c r="Y145" s="25"/>
      <c r="Z145" s="25"/>
      <c r="AA145" s="25"/>
    </row>
    <row r="146" spans="1:27" x14ac:dyDescent="0.35">
      <c r="A146" s="5">
        <v>142</v>
      </c>
      <c r="B146" s="5">
        <v>6</v>
      </c>
      <c r="C146" s="5">
        <v>1</v>
      </c>
      <c r="D146" s="25">
        <v>1.1415000000000001E-4</v>
      </c>
      <c r="E146" s="25">
        <v>1.0886E-4</v>
      </c>
      <c r="F146" s="25">
        <v>9.6139999999999998E-5</v>
      </c>
      <c r="G146" s="25">
        <v>6.2869999999999999E-5</v>
      </c>
      <c r="H146" s="25">
        <v>3.8439999999999998E-5</v>
      </c>
      <c r="I146" s="9">
        <v>1.2453E-4</v>
      </c>
      <c r="J146" s="9">
        <v>1.2736E-4</v>
      </c>
      <c r="K146" s="9">
        <v>1.3564E-4</v>
      </c>
      <c r="L146" s="9">
        <v>9.8659999999999994E-5</v>
      </c>
      <c r="M146" s="9">
        <v>1.108E-4</v>
      </c>
      <c r="N146" s="9">
        <v>1.06E-4</v>
      </c>
      <c r="O146" s="9">
        <v>8.7150000000000004E-5</v>
      </c>
      <c r="P146" s="9">
        <v>8.7130000000000001E-5</v>
      </c>
      <c r="Q146" s="9">
        <v>8.7769999999999995E-5</v>
      </c>
      <c r="R146" s="10">
        <v>1.9800074305580166E-4</v>
      </c>
      <c r="S146" s="10">
        <v>1.8822969150215083E-4</v>
      </c>
      <c r="T146" s="10">
        <v>0</v>
      </c>
      <c r="U146" s="10">
        <v>1.8406E-4</v>
      </c>
      <c r="V146" s="25"/>
      <c r="W146" s="25"/>
      <c r="X146" s="25"/>
      <c r="Y146" s="25"/>
      <c r="Z146" s="25"/>
      <c r="AA146" s="25"/>
    </row>
    <row r="147" spans="1:27" x14ac:dyDescent="0.35">
      <c r="A147" s="5">
        <v>143</v>
      </c>
      <c r="B147" s="5">
        <v>6</v>
      </c>
      <c r="C147" s="5">
        <v>1</v>
      </c>
      <c r="D147" s="25">
        <v>1.1416E-4</v>
      </c>
      <c r="E147" s="25">
        <v>1.081E-4</v>
      </c>
      <c r="F147" s="25">
        <v>1.0103999999999999E-4</v>
      </c>
      <c r="G147" s="25">
        <v>5.4639999999999999E-5</v>
      </c>
      <c r="H147" s="25">
        <v>3.9190000000000003E-5</v>
      </c>
      <c r="I147" s="9">
        <v>1.2562000000000001E-4</v>
      </c>
      <c r="J147" s="9">
        <v>1.1817E-4</v>
      </c>
      <c r="K147" s="9">
        <v>1.2504000000000001E-4</v>
      </c>
      <c r="L147" s="9">
        <v>9.0989999999999994E-5</v>
      </c>
      <c r="M147" s="9">
        <v>9.8510000000000004E-5</v>
      </c>
      <c r="N147" s="9">
        <v>1.0007E-4</v>
      </c>
      <c r="O147" s="9">
        <v>8.5130000000000007E-5</v>
      </c>
      <c r="P147" s="9">
        <v>7.5740000000000003E-5</v>
      </c>
      <c r="Q147" s="9">
        <v>6.7089999999999996E-5</v>
      </c>
      <c r="R147" s="10">
        <v>1.9615198106303413E-4</v>
      </c>
      <c r="S147" s="10">
        <v>1.8727927462621158E-4</v>
      </c>
      <c r="T147" s="10">
        <v>0</v>
      </c>
      <c r="U147" s="10">
        <v>1.8406E-4</v>
      </c>
      <c r="V147" s="25"/>
      <c r="W147" s="25"/>
      <c r="X147" s="25"/>
      <c r="Y147" s="25"/>
      <c r="Z147" s="25"/>
      <c r="AA147" s="25"/>
    </row>
    <row r="148" spans="1:27" x14ac:dyDescent="0.35">
      <c r="A148" s="5">
        <v>144</v>
      </c>
      <c r="B148" s="5">
        <v>6</v>
      </c>
      <c r="C148" s="5">
        <v>1</v>
      </c>
      <c r="D148" s="25">
        <v>1.1415000000000001E-4</v>
      </c>
      <c r="E148" s="25">
        <v>1.1409E-4</v>
      </c>
      <c r="F148" s="25">
        <v>1.1103E-4</v>
      </c>
      <c r="G148" s="25">
        <v>5.2080000000000003E-5</v>
      </c>
      <c r="H148" s="25">
        <v>4.4150000000000003E-5</v>
      </c>
      <c r="I148" s="9">
        <v>1.2363000000000001E-4</v>
      </c>
      <c r="J148" s="9">
        <v>1.1045E-4</v>
      </c>
      <c r="K148" s="9">
        <v>1.1869E-4</v>
      </c>
      <c r="L148" s="9">
        <v>8.6680000000000004E-5</v>
      </c>
      <c r="M148" s="9">
        <v>8.7410000000000005E-5</v>
      </c>
      <c r="N148" s="9">
        <v>9.0810000000000006E-5</v>
      </c>
      <c r="O148" s="9">
        <v>7.9880000000000001E-5</v>
      </c>
      <c r="P148" s="9">
        <v>6.9270000000000006E-5</v>
      </c>
      <c r="Q148" s="9">
        <v>5.9290000000000003E-5</v>
      </c>
      <c r="R148" s="10">
        <v>1.8527300531315122E-4</v>
      </c>
      <c r="S148" s="10">
        <v>1.7800177790207514E-4</v>
      </c>
      <c r="T148" s="10">
        <v>0</v>
      </c>
      <c r="U148" s="10">
        <v>1.8406E-4</v>
      </c>
      <c r="V148" s="25"/>
      <c r="W148" s="25"/>
      <c r="X148" s="25"/>
      <c r="Y148" s="25"/>
      <c r="Z148" s="25"/>
      <c r="AA148" s="25"/>
    </row>
    <row r="149" spans="1:27" x14ac:dyDescent="0.35">
      <c r="A149" s="5">
        <v>145</v>
      </c>
      <c r="B149" s="5">
        <v>7</v>
      </c>
      <c r="C149" s="5">
        <v>1</v>
      </c>
      <c r="D149" s="25">
        <v>1.1416E-4</v>
      </c>
      <c r="E149" s="25">
        <v>1.0757E-4</v>
      </c>
      <c r="F149" s="25">
        <v>1.1963E-4</v>
      </c>
      <c r="G149" s="25">
        <v>6.1870000000000002E-5</v>
      </c>
      <c r="H149" s="25">
        <v>1.411E-5</v>
      </c>
      <c r="I149" s="9">
        <v>1.1579E-4</v>
      </c>
      <c r="J149" s="9">
        <v>1.0314000000000001E-4</v>
      </c>
      <c r="K149" s="9">
        <v>1.1232E-4</v>
      </c>
      <c r="L149" s="9">
        <v>8.1139999999999999E-5</v>
      </c>
      <c r="M149" s="9">
        <v>7.8380000000000005E-5</v>
      </c>
      <c r="N149" s="9">
        <v>8.1420000000000003E-5</v>
      </c>
      <c r="O149" s="9">
        <v>6.8730000000000001E-5</v>
      </c>
      <c r="P149" s="9">
        <v>6.1199999999999997E-5</v>
      </c>
      <c r="Q149" s="9">
        <v>5.397E-5</v>
      </c>
      <c r="R149" s="10">
        <v>1.8894802537021402E-4</v>
      </c>
      <c r="S149" s="10">
        <v>1.6294625654830565E-4</v>
      </c>
      <c r="T149" s="10">
        <v>0</v>
      </c>
      <c r="U149" s="10">
        <v>1.8233E-4</v>
      </c>
      <c r="V149" s="25"/>
      <c r="W149" s="25"/>
      <c r="X149" s="25"/>
      <c r="Y149" s="25"/>
      <c r="Z149" s="25"/>
      <c r="AA149" s="25"/>
    </row>
    <row r="150" spans="1:27" x14ac:dyDescent="0.35">
      <c r="A150" s="5">
        <v>146</v>
      </c>
      <c r="B150" s="5">
        <v>7</v>
      </c>
      <c r="C150" s="5">
        <v>1</v>
      </c>
      <c r="D150" s="25">
        <v>1.1415000000000001E-4</v>
      </c>
      <c r="E150" s="25">
        <v>1.0661E-4</v>
      </c>
      <c r="F150" s="25">
        <v>1.1183000000000001E-4</v>
      </c>
      <c r="G150" s="25">
        <v>5.4750000000000003E-5</v>
      </c>
      <c r="H150" s="25">
        <v>1.312E-5</v>
      </c>
      <c r="I150" s="9">
        <v>1.0974E-4</v>
      </c>
      <c r="J150" s="9">
        <v>9.8900000000000005E-5</v>
      </c>
      <c r="K150" s="9">
        <v>1.0809E-4</v>
      </c>
      <c r="L150" s="9">
        <v>7.1589999999999997E-5</v>
      </c>
      <c r="M150" s="9">
        <v>7.0090000000000001E-5</v>
      </c>
      <c r="N150" s="9">
        <v>7.2360000000000005E-5</v>
      </c>
      <c r="O150" s="9">
        <v>3.464E-5</v>
      </c>
      <c r="P150" s="9">
        <v>4.579E-5</v>
      </c>
      <c r="Q150" s="9">
        <v>5.6119999999999998E-5</v>
      </c>
      <c r="R150" s="10">
        <v>1.7693157755409024E-4</v>
      </c>
      <c r="S150" s="10">
        <v>1.444622959789488E-4</v>
      </c>
      <c r="T150" s="10">
        <v>0</v>
      </c>
      <c r="U150" s="10">
        <v>1.8233E-4</v>
      </c>
      <c r="V150" s="25"/>
      <c r="W150" s="25"/>
      <c r="X150" s="25"/>
      <c r="Y150" s="25"/>
      <c r="Z150" s="25"/>
      <c r="AA150" s="25"/>
    </row>
    <row r="151" spans="1:27" x14ac:dyDescent="0.35">
      <c r="A151" s="5">
        <v>147</v>
      </c>
      <c r="B151" s="5">
        <v>7</v>
      </c>
      <c r="C151" s="5">
        <v>1</v>
      </c>
      <c r="D151" s="25">
        <v>1.1416E-4</v>
      </c>
      <c r="E151" s="25">
        <v>1.0877E-4</v>
      </c>
      <c r="F151" s="25">
        <v>1.2284000000000001E-4</v>
      </c>
      <c r="G151" s="25">
        <v>5.5670000000000001E-5</v>
      </c>
      <c r="H151" s="25">
        <v>1.4589999999999999E-5</v>
      </c>
      <c r="I151" s="9">
        <v>1.052E-4</v>
      </c>
      <c r="J151" s="9">
        <v>9.6199999999999994E-5</v>
      </c>
      <c r="K151" s="9">
        <v>1.1233E-4</v>
      </c>
      <c r="L151" s="9">
        <v>4.303E-5</v>
      </c>
      <c r="M151" s="9">
        <v>5.9379999999999997E-5</v>
      </c>
      <c r="N151" s="9">
        <v>6.5710000000000006E-5</v>
      </c>
      <c r="O151" s="9">
        <v>2.1299999999999999E-5</v>
      </c>
      <c r="P151" s="9">
        <v>4.206E-5</v>
      </c>
      <c r="Q151" s="9">
        <v>6.1530000000000002E-5</v>
      </c>
      <c r="R151" s="10">
        <v>1.7580219710127562E-4</v>
      </c>
      <c r="S151" s="10">
        <v>1.3702293494433922E-4</v>
      </c>
      <c r="T151" s="10">
        <v>0</v>
      </c>
      <c r="U151" s="10">
        <v>1.8233E-4</v>
      </c>
      <c r="V151" s="25"/>
      <c r="W151" s="25"/>
      <c r="X151" s="25"/>
      <c r="Y151" s="25"/>
      <c r="Z151" s="25"/>
      <c r="AA151" s="25"/>
    </row>
    <row r="152" spans="1:27" x14ac:dyDescent="0.35">
      <c r="A152" s="5">
        <v>148</v>
      </c>
      <c r="B152" s="5">
        <v>7</v>
      </c>
      <c r="C152" s="5">
        <v>1</v>
      </c>
      <c r="D152" s="25">
        <v>1.1415000000000001E-4</v>
      </c>
      <c r="E152" s="25">
        <v>1.0712E-4</v>
      </c>
      <c r="F152" s="25">
        <v>1.1016E-4</v>
      </c>
      <c r="G152" s="25">
        <v>5.3789999999999998E-5</v>
      </c>
      <c r="H152" s="25">
        <v>1.3550000000000001E-5</v>
      </c>
      <c r="I152" s="9">
        <v>1.0331E-4</v>
      </c>
      <c r="J152" s="9">
        <v>9.5149999999999995E-5</v>
      </c>
      <c r="K152" s="9">
        <v>1.0597E-4</v>
      </c>
      <c r="L152" s="9">
        <v>2.6840000000000001E-5</v>
      </c>
      <c r="M152" s="9">
        <v>5.0559999999999997E-5</v>
      </c>
      <c r="N152" s="9">
        <v>6.2069999999999994E-5</v>
      </c>
      <c r="O152" s="9">
        <v>2.0950000000000001E-5</v>
      </c>
      <c r="P152" s="9">
        <v>5.1759999999999999E-5</v>
      </c>
      <c r="Q152" s="9">
        <v>8.1089999999999998E-5</v>
      </c>
      <c r="R152" s="10">
        <v>1.7363247290908215E-4</v>
      </c>
      <c r="S152" s="10">
        <v>1.2315466585057953E-4</v>
      </c>
      <c r="T152" s="10">
        <v>0</v>
      </c>
      <c r="U152" s="10">
        <v>1.8233E-4</v>
      </c>
      <c r="V152" s="25"/>
      <c r="W152" s="25"/>
      <c r="X152" s="25"/>
      <c r="Y152" s="25"/>
      <c r="Z152" s="25"/>
      <c r="AA152" s="25"/>
    </row>
    <row r="153" spans="1:27" x14ac:dyDescent="0.35">
      <c r="A153" s="5">
        <v>149</v>
      </c>
      <c r="B153" s="5">
        <v>7</v>
      </c>
      <c r="C153" s="5">
        <v>1</v>
      </c>
      <c r="D153" s="25">
        <v>1.1416E-4</v>
      </c>
      <c r="E153" s="25">
        <v>1.078E-4</v>
      </c>
      <c r="F153" s="25">
        <v>1.0713E-4</v>
      </c>
      <c r="G153" s="25">
        <v>6.2680000000000003E-5</v>
      </c>
      <c r="H153" s="25">
        <v>1.428E-5</v>
      </c>
      <c r="I153" s="9">
        <v>1.0328E-4</v>
      </c>
      <c r="J153" s="9">
        <v>9.5550000000000005E-5</v>
      </c>
      <c r="K153" s="9">
        <v>1.0385E-4</v>
      </c>
      <c r="L153" s="9">
        <v>2.264E-5</v>
      </c>
      <c r="M153" s="9">
        <v>4.8949999999999997E-5</v>
      </c>
      <c r="N153" s="9">
        <v>6.4720000000000004E-5</v>
      </c>
      <c r="O153" s="9">
        <v>2.2730000000000001E-5</v>
      </c>
      <c r="P153" s="9">
        <v>5.9009999999999999E-5</v>
      </c>
      <c r="Q153" s="9">
        <v>9.378E-5</v>
      </c>
      <c r="R153" s="10">
        <v>1.6342999746343155E-4</v>
      </c>
      <c r="S153" s="10">
        <v>1.0935531529946019E-4</v>
      </c>
      <c r="T153" s="10">
        <v>0</v>
      </c>
      <c r="U153" s="10">
        <v>1.8233E-4</v>
      </c>
      <c r="V153" s="25"/>
      <c r="W153" s="25"/>
      <c r="X153" s="25"/>
      <c r="Y153" s="25"/>
      <c r="Z153" s="25"/>
      <c r="AA153" s="25"/>
    </row>
    <row r="154" spans="1:27" x14ac:dyDescent="0.35">
      <c r="A154" s="5">
        <v>150</v>
      </c>
      <c r="B154" s="5">
        <v>7</v>
      </c>
      <c r="C154" s="5">
        <v>1</v>
      </c>
      <c r="D154" s="25">
        <v>1.1415000000000001E-4</v>
      </c>
      <c r="E154" s="25">
        <v>1.1196000000000001E-4</v>
      </c>
      <c r="F154" s="25">
        <v>1.0261E-4</v>
      </c>
      <c r="G154" s="25">
        <v>1.0450000000000001E-4</v>
      </c>
      <c r="H154" s="25">
        <v>2.6699999999999998E-5</v>
      </c>
      <c r="I154" s="9">
        <v>1.0767E-4</v>
      </c>
      <c r="J154" s="9">
        <v>9.9329999999999999E-5</v>
      </c>
      <c r="K154" s="9">
        <v>9.9610000000000003E-5</v>
      </c>
      <c r="L154" s="9">
        <v>2.2629999999999998E-5</v>
      </c>
      <c r="M154" s="9">
        <v>5.2509999999999997E-5</v>
      </c>
      <c r="N154" s="9">
        <v>7.1249999999999997E-5</v>
      </c>
      <c r="O154" s="9">
        <v>2.9099999999999999E-5</v>
      </c>
      <c r="P154" s="9">
        <v>6.8750000000000004E-5</v>
      </c>
      <c r="Q154" s="9">
        <v>1.07E-4</v>
      </c>
      <c r="R154" s="10">
        <v>1.4450670728659578E-4</v>
      </c>
      <c r="S154" s="10">
        <v>1.0628473929751649E-4</v>
      </c>
      <c r="T154" s="10">
        <v>0</v>
      </c>
      <c r="U154" s="10">
        <v>1.8233E-4</v>
      </c>
      <c r="V154" s="25"/>
      <c r="W154" s="25"/>
      <c r="X154" s="25"/>
      <c r="Y154" s="25"/>
      <c r="Z154" s="25"/>
      <c r="AA154" s="25"/>
    </row>
    <row r="155" spans="1:27" x14ac:dyDescent="0.35">
      <c r="A155" s="5">
        <v>151</v>
      </c>
      <c r="B155" s="5">
        <v>7</v>
      </c>
      <c r="C155" s="5">
        <v>1</v>
      </c>
      <c r="D155" s="25">
        <v>1.1416E-4</v>
      </c>
      <c r="E155" s="25">
        <v>1.1022E-4</v>
      </c>
      <c r="F155" s="25">
        <v>1.1046E-4</v>
      </c>
      <c r="G155" s="25">
        <v>1.1149E-4</v>
      </c>
      <c r="H155" s="25">
        <v>2.6210000000000001E-5</v>
      </c>
      <c r="I155" s="9">
        <v>1.2019999999999999E-4</v>
      </c>
      <c r="J155" s="9">
        <v>1.1090999999999999E-4</v>
      </c>
      <c r="K155" s="9">
        <v>9.7499999999999998E-5</v>
      </c>
      <c r="L155" s="9">
        <v>2.758E-5</v>
      </c>
      <c r="M155" s="9">
        <v>5.9410000000000002E-5</v>
      </c>
      <c r="N155" s="9">
        <v>8.0909999999999996E-5</v>
      </c>
      <c r="O155" s="9">
        <v>4.545E-5</v>
      </c>
      <c r="P155" s="9">
        <v>7.8880000000000004E-5</v>
      </c>
      <c r="Q155" s="9">
        <v>1.1143E-4</v>
      </c>
      <c r="R155" s="10">
        <v>1.4786584065457553E-4</v>
      </c>
      <c r="S155" s="10">
        <v>1.2074113371802122E-4</v>
      </c>
      <c r="T155" s="10">
        <v>0</v>
      </c>
      <c r="U155" s="10">
        <v>1.8233E-4</v>
      </c>
      <c r="V155" s="25"/>
      <c r="W155" s="25"/>
      <c r="X155" s="25"/>
      <c r="Y155" s="25"/>
      <c r="Z155" s="25"/>
      <c r="AA155" s="25"/>
    </row>
    <row r="156" spans="1:27" x14ac:dyDescent="0.35">
      <c r="A156" s="5">
        <v>152</v>
      </c>
      <c r="B156" s="5">
        <v>7</v>
      </c>
      <c r="C156" s="5">
        <v>1</v>
      </c>
      <c r="D156" s="25">
        <v>1.1415000000000001E-4</v>
      </c>
      <c r="E156" s="25">
        <v>1.1328999999999999E-4</v>
      </c>
      <c r="F156" s="25">
        <v>1.1054E-4</v>
      </c>
      <c r="G156" s="25">
        <v>1.6566000000000001E-4</v>
      </c>
      <c r="H156" s="25">
        <v>3.9870000000000003E-5</v>
      </c>
      <c r="I156" s="9">
        <v>1.3213999999999999E-4</v>
      </c>
      <c r="J156" s="9">
        <v>1.2938000000000001E-4</v>
      </c>
      <c r="K156" s="9">
        <v>9.5370000000000003E-5</v>
      </c>
      <c r="L156" s="9">
        <v>4.1369999999999999E-5</v>
      </c>
      <c r="M156" s="9">
        <v>6.8159999999999998E-5</v>
      </c>
      <c r="N156" s="9">
        <v>9.0740000000000002E-5</v>
      </c>
      <c r="O156" s="9">
        <v>6.7799999999999995E-5</v>
      </c>
      <c r="P156" s="9">
        <v>1.0195E-4</v>
      </c>
      <c r="Q156" s="9">
        <v>1.3574999999999999E-4</v>
      </c>
      <c r="R156" s="10">
        <v>1.5923184125917446E-4</v>
      </c>
      <c r="S156" s="10">
        <v>1.236368628974878E-4</v>
      </c>
      <c r="T156" s="10">
        <v>0</v>
      </c>
      <c r="U156" s="10">
        <v>1.8233E-4</v>
      </c>
      <c r="V156" s="25"/>
      <c r="W156" s="25"/>
      <c r="X156" s="25"/>
      <c r="Y156" s="25"/>
      <c r="Z156" s="25"/>
      <c r="AA156" s="25"/>
    </row>
    <row r="157" spans="1:27" x14ac:dyDescent="0.35">
      <c r="A157" s="5">
        <v>153</v>
      </c>
      <c r="B157" s="5">
        <v>7</v>
      </c>
      <c r="C157" s="5">
        <v>1</v>
      </c>
      <c r="D157" s="25">
        <v>1.1416E-4</v>
      </c>
      <c r="E157" s="25">
        <v>1.1305E-4</v>
      </c>
      <c r="F157" s="25">
        <v>1.2301E-4</v>
      </c>
      <c r="G157" s="25">
        <v>1.6744000000000001E-4</v>
      </c>
      <c r="H157" s="25">
        <v>3.8890000000000002E-5</v>
      </c>
      <c r="I157" s="9">
        <v>1.3810999999999999E-4</v>
      </c>
      <c r="J157" s="9">
        <v>1.4200000000000001E-4</v>
      </c>
      <c r="K157" s="9">
        <v>9.5370000000000003E-5</v>
      </c>
      <c r="L157" s="9">
        <v>6.1610000000000001E-5</v>
      </c>
      <c r="M157" s="9">
        <v>8.2490000000000005E-5</v>
      </c>
      <c r="N157" s="9">
        <v>1.0424E-4</v>
      </c>
      <c r="O157" s="9">
        <v>1.0030999999999999E-4</v>
      </c>
      <c r="P157" s="9">
        <v>1.3834000000000001E-4</v>
      </c>
      <c r="Q157" s="9">
        <v>1.7674999999999999E-4</v>
      </c>
      <c r="R157" s="10">
        <v>1.6433569545752731E-4</v>
      </c>
      <c r="S157" s="10">
        <v>1.359273309312097E-4</v>
      </c>
      <c r="T157" s="10">
        <v>0</v>
      </c>
      <c r="U157" s="10">
        <v>1.8233E-4</v>
      </c>
      <c r="V157" s="25"/>
      <c r="W157" s="25"/>
      <c r="X157" s="25"/>
      <c r="Y157" s="25"/>
      <c r="Z157" s="25"/>
      <c r="AA157" s="25"/>
    </row>
    <row r="158" spans="1:27" x14ac:dyDescent="0.35">
      <c r="A158" s="5">
        <v>154</v>
      </c>
      <c r="B158" s="5">
        <v>7</v>
      </c>
      <c r="C158" s="5">
        <v>1</v>
      </c>
      <c r="D158" s="25">
        <v>1.1415000000000001E-4</v>
      </c>
      <c r="E158" s="25">
        <v>1.0745E-4</v>
      </c>
      <c r="F158" s="25">
        <v>1.0762E-4</v>
      </c>
      <c r="G158" s="25">
        <v>1.6231000000000001E-4</v>
      </c>
      <c r="H158" s="25">
        <v>3.9010000000000001E-5</v>
      </c>
      <c r="I158" s="9">
        <v>1.3803E-4</v>
      </c>
      <c r="J158" s="9">
        <v>1.4498000000000001E-4</v>
      </c>
      <c r="K158" s="9">
        <v>8.2659999999999998E-5</v>
      </c>
      <c r="L158" s="9">
        <v>9.1269999999999999E-5</v>
      </c>
      <c r="M158" s="9">
        <v>1.0622E-4</v>
      </c>
      <c r="N158" s="9">
        <v>1.2421000000000001E-4</v>
      </c>
      <c r="O158" s="9">
        <v>1.292E-4</v>
      </c>
      <c r="P158" s="9">
        <v>1.5470999999999999E-4</v>
      </c>
      <c r="Q158" s="9">
        <v>1.8153000000000001E-4</v>
      </c>
      <c r="R158" s="10">
        <v>1.8279254182927037E-4</v>
      </c>
      <c r="S158" s="10">
        <v>1.590633315072955E-4</v>
      </c>
      <c r="T158" s="10">
        <v>2.7768263343081444E-4</v>
      </c>
      <c r="U158" s="10">
        <v>1.8233E-4</v>
      </c>
      <c r="V158" s="25"/>
      <c r="W158" s="25"/>
      <c r="X158" s="25"/>
      <c r="Y158" s="25"/>
      <c r="Z158" s="25"/>
      <c r="AA158" s="25"/>
    </row>
    <row r="159" spans="1:27" x14ac:dyDescent="0.35">
      <c r="A159" s="5">
        <v>155</v>
      </c>
      <c r="B159" s="5">
        <v>7</v>
      </c>
      <c r="C159" s="5">
        <v>1</v>
      </c>
      <c r="D159" s="25">
        <v>1.1416E-4</v>
      </c>
      <c r="E159" s="25">
        <v>1.0446E-4</v>
      </c>
      <c r="F159" s="25">
        <v>1.1827E-4</v>
      </c>
      <c r="G159" s="25">
        <v>1.5693E-4</v>
      </c>
      <c r="H159" s="25">
        <v>3.7809999999999999E-5</v>
      </c>
      <c r="I159" s="9">
        <v>1.3886000000000001E-4</v>
      </c>
      <c r="J159" s="9">
        <v>1.4642999999999999E-4</v>
      </c>
      <c r="K159" s="9">
        <v>7.4179999999999998E-5</v>
      </c>
      <c r="L159" s="9">
        <v>1.2012E-4</v>
      </c>
      <c r="M159" s="9">
        <v>1.2967999999999999E-4</v>
      </c>
      <c r="N159" s="9">
        <v>1.4218999999999999E-4</v>
      </c>
      <c r="O159" s="9">
        <v>1.3823000000000001E-4</v>
      </c>
      <c r="P159" s="9">
        <v>1.5818000000000001E-4</v>
      </c>
      <c r="Q159" s="9">
        <v>1.7974000000000001E-4</v>
      </c>
      <c r="R159" s="10">
        <v>1.9728556550032507E-4</v>
      </c>
      <c r="S159" s="10">
        <v>1.7539023279106956E-4</v>
      </c>
      <c r="T159" s="10">
        <v>4.1248966580522886E-4</v>
      </c>
      <c r="U159" s="10">
        <v>1.8233E-4</v>
      </c>
      <c r="V159" s="25"/>
      <c r="W159" s="25"/>
      <c r="X159" s="25"/>
      <c r="Y159" s="25"/>
      <c r="Z159" s="25"/>
      <c r="AA159" s="25"/>
    </row>
    <row r="160" spans="1:27" x14ac:dyDescent="0.35">
      <c r="A160" s="5">
        <v>156</v>
      </c>
      <c r="B160" s="5">
        <v>7</v>
      </c>
      <c r="C160" s="5">
        <v>1</v>
      </c>
      <c r="D160" s="25">
        <v>1.1415000000000001E-4</v>
      </c>
      <c r="E160" s="25">
        <v>1.1013E-4</v>
      </c>
      <c r="F160" s="25">
        <v>1.0444E-4</v>
      </c>
      <c r="G160" s="25">
        <v>1.6090000000000001E-4</v>
      </c>
      <c r="H160" s="25">
        <v>3.9379999999999999E-5</v>
      </c>
      <c r="I160" s="9">
        <v>1.4249999999999999E-4</v>
      </c>
      <c r="J160" s="9">
        <v>1.4761E-4</v>
      </c>
      <c r="K160" s="9">
        <v>6.7819999999999998E-5</v>
      </c>
      <c r="L160" s="9">
        <v>1.3357000000000001E-4</v>
      </c>
      <c r="M160" s="9">
        <v>1.4550000000000001E-4</v>
      </c>
      <c r="N160" s="9">
        <v>1.5637999999999999E-4</v>
      </c>
      <c r="O160" s="9">
        <v>1.3985000000000001E-4</v>
      </c>
      <c r="P160" s="9">
        <v>1.5641E-4</v>
      </c>
      <c r="Q160" s="9">
        <v>1.7466000000000001E-4</v>
      </c>
      <c r="R160" s="10">
        <v>2.0443846789458227E-4</v>
      </c>
      <c r="S160" s="10">
        <v>1.8477468944798667E-4</v>
      </c>
      <c r="T160" s="10">
        <v>5.0843860715599058E-4</v>
      </c>
      <c r="U160" s="10">
        <v>1.8233E-4</v>
      </c>
      <c r="V160" s="25"/>
      <c r="W160" s="25"/>
      <c r="X160" s="25"/>
      <c r="Y160" s="25"/>
      <c r="Z160" s="25"/>
      <c r="AA160" s="25"/>
    </row>
    <row r="161" spans="1:27" x14ac:dyDescent="0.35">
      <c r="A161" s="5">
        <v>157</v>
      </c>
      <c r="B161" s="5">
        <v>7</v>
      </c>
      <c r="C161" s="5">
        <v>1</v>
      </c>
      <c r="D161" s="25">
        <v>1.1416E-4</v>
      </c>
      <c r="E161" s="25">
        <v>1.1307999999999999E-4</v>
      </c>
      <c r="F161" s="25">
        <v>1.0979E-4</v>
      </c>
      <c r="G161" s="25">
        <v>1.6003E-4</v>
      </c>
      <c r="H161" s="25">
        <v>3.7880000000000003E-5</v>
      </c>
      <c r="I161" s="9">
        <v>1.3970000000000001E-4</v>
      </c>
      <c r="J161" s="9">
        <v>1.4715999999999999E-4</v>
      </c>
      <c r="K161" s="9">
        <v>6.3579999999999998E-5</v>
      </c>
      <c r="L161" s="9">
        <v>1.3829000000000001E-4</v>
      </c>
      <c r="M161" s="9">
        <v>1.5281999999999999E-4</v>
      </c>
      <c r="N161" s="9">
        <v>1.6605999999999999E-4</v>
      </c>
      <c r="O161" s="9">
        <v>1.3071E-4</v>
      </c>
      <c r="P161" s="9">
        <v>1.4812000000000001E-4</v>
      </c>
      <c r="Q161" s="9">
        <v>1.6699E-4</v>
      </c>
      <c r="R161" s="10">
        <v>2.0601871023468178E-4</v>
      </c>
      <c r="S161" s="10">
        <v>1.8898183464996295E-4</v>
      </c>
      <c r="T161" s="10">
        <v>1.6114229755725683E-4</v>
      </c>
      <c r="U161" s="10">
        <v>1.8233E-4</v>
      </c>
      <c r="V161" s="25"/>
      <c r="W161" s="25"/>
      <c r="X161" s="25"/>
      <c r="Y161" s="25"/>
      <c r="Z161" s="25"/>
      <c r="AA161" s="25"/>
    </row>
    <row r="162" spans="1:27" x14ac:dyDescent="0.35">
      <c r="A162" s="5">
        <v>158</v>
      </c>
      <c r="B162" s="5">
        <v>7</v>
      </c>
      <c r="C162" s="5">
        <v>1</v>
      </c>
      <c r="D162" s="25">
        <v>1.1415000000000001E-4</v>
      </c>
      <c r="E162" s="25">
        <v>1.1374000000000001E-4</v>
      </c>
      <c r="F162" s="25">
        <v>1.0473E-4</v>
      </c>
      <c r="G162" s="25">
        <v>1.6105000000000001E-4</v>
      </c>
      <c r="H162" s="25">
        <v>3.9969999999999998E-5</v>
      </c>
      <c r="I162" s="9">
        <v>1.3952999999999999E-4</v>
      </c>
      <c r="J162" s="9">
        <v>1.4794999999999999E-4</v>
      </c>
      <c r="K162" s="9">
        <v>5.5109999999999999E-5</v>
      </c>
      <c r="L162" s="9">
        <v>1.3243E-4</v>
      </c>
      <c r="M162" s="9">
        <v>1.5254E-4</v>
      </c>
      <c r="N162" s="9">
        <v>1.7038000000000001E-4</v>
      </c>
      <c r="O162" s="9">
        <v>1.1331E-4</v>
      </c>
      <c r="P162" s="9">
        <v>1.3663999999999999E-4</v>
      </c>
      <c r="Q162" s="9">
        <v>1.6091E-4</v>
      </c>
      <c r="R162" s="10">
        <v>2.0096550099464494E-4</v>
      </c>
      <c r="S162" s="10">
        <v>1.9013790653390754E-4</v>
      </c>
      <c r="T162" s="10">
        <v>4.06660952151681E-4</v>
      </c>
      <c r="U162" s="10">
        <v>1.8233E-4</v>
      </c>
      <c r="V162" s="25"/>
      <c r="W162" s="25"/>
      <c r="X162" s="25"/>
      <c r="Y162" s="25"/>
      <c r="Z162" s="25"/>
      <c r="AA162" s="25"/>
    </row>
    <row r="163" spans="1:27" x14ac:dyDescent="0.35">
      <c r="A163" s="5">
        <v>159</v>
      </c>
      <c r="B163" s="5">
        <v>7</v>
      </c>
      <c r="C163" s="5">
        <v>1</v>
      </c>
      <c r="D163" s="25">
        <v>1.1416E-4</v>
      </c>
      <c r="E163" s="25">
        <v>1.0715E-4</v>
      </c>
      <c r="F163" s="25">
        <v>1.083E-4</v>
      </c>
      <c r="G163" s="25">
        <v>1.6097E-4</v>
      </c>
      <c r="H163" s="25">
        <v>3.875E-5</v>
      </c>
      <c r="I163" s="9">
        <v>1.3778999999999999E-4</v>
      </c>
      <c r="J163" s="9">
        <v>1.4807000000000001E-4</v>
      </c>
      <c r="K163" s="9">
        <v>6.1459999999999998E-5</v>
      </c>
      <c r="L163" s="9">
        <v>1.1775E-4</v>
      </c>
      <c r="M163" s="9">
        <v>1.4647E-4</v>
      </c>
      <c r="N163" s="9">
        <v>1.6998999999999999E-4</v>
      </c>
      <c r="O163" s="9">
        <v>1.2729000000000001E-4</v>
      </c>
      <c r="P163" s="9">
        <v>1.3867E-4</v>
      </c>
      <c r="Q163" s="9">
        <v>1.5154E-4</v>
      </c>
      <c r="R163" s="10">
        <v>1.9431824859015103E-4</v>
      </c>
      <c r="S163" s="10">
        <v>1.9025655679031844E-4</v>
      </c>
      <c r="T163" s="10">
        <v>8.6013826811744834E-5</v>
      </c>
      <c r="U163" s="10">
        <v>1.8233E-4</v>
      </c>
      <c r="V163" s="25"/>
      <c r="W163" s="25"/>
      <c r="X163" s="25"/>
      <c r="Y163" s="25"/>
      <c r="Z163" s="25"/>
      <c r="AA163" s="25"/>
    </row>
    <row r="164" spans="1:27" x14ac:dyDescent="0.35">
      <c r="A164" s="5">
        <v>160</v>
      </c>
      <c r="B164" s="5">
        <v>7</v>
      </c>
      <c r="C164" s="5">
        <v>1</v>
      </c>
      <c r="D164" s="25">
        <v>1.1415000000000001E-4</v>
      </c>
      <c r="E164" s="25">
        <v>1.0435E-4</v>
      </c>
      <c r="F164" s="25">
        <v>1.1644E-4</v>
      </c>
      <c r="G164" s="25">
        <v>1.66E-4</v>
      </c>
      <c r="H164" s="25">
        <v>3.9950000000000002E-5</v>
      </c>
      <c r="I164" s="9">
        <v>1.3663999999999999E-4</v>
      </c>
      <c r="J164" s="9">
        <v>1.4846E-4</v>
      </c>
      <c r="K164" s="9">
        <v>6.1470000000000006E-5</v>
      </c>
      <c r="L164" s="9">
        <v>1.2562000000000001E-4</v>
      </c>
      <c r="M164" s="9">
        <v>1.4196E-4</v>
      </c>
      <c r="N164" s="9">
        <v>1.6592000000000001E-4</v>
      </c>
      <c r="O164" s="9">
        <v>1.3640000000000001E-4</v>
      </c>
      <c r="P164" s="9">
        <v>1.2254E-4</v>
      </c>
      <c r="Q164" s="9">
        <v>1.1077E-4</v>
      </c>
      <c r="R164" s="10">
        <v>1.9443084966543536E-4</v>
      </c>
      <c r="S164" s="10">
        <v>1.9028608632756444E-4</v>
      </c>
      <c r="T164" s="10">
        <v>1.4228170010189002E-5</v>
      </c>
      <c r="U164" s="10">
        <v>1.8233E-4</v>
      </c>
      <c r="V164" s="25"/>
      <c r="W164" s="25"/>
      <c r="X164" s="25"/>
      <c r="Y164" s="25"/>
      <c r="Z164" s="25"/>
      <c r="AA164" s="25"/>
    </row>
    <row r="165" spans="1:27" x14ac:dyDescent="0.35">
      <c r="A165" s="5">
        <v>161</v>
      </c>
      <c r="B165" s="5">
        <v>7</v>
      </c>
      <c r="C165" s="5">
        <v>1</v>
      </c>
      <c r="D165" s="25">
        <v>1.1416E-4</v>
      </c>
      <c r="E165" s="25">
        <v>1.0734E-4</v>
      </c>
      <c r="F165" s="25">
        <v>1.0534E-4</v>
      </c>
      <c r="G165" s="25">
        <v>1.6540000000000001E-4</v>
      </c>
      <c r="H165" s="25">
        <v>3.8519999999999997E-5</v>
      </c>
      <c r="I165" s="9">
        <v>1.3793E-4</v>
      </c>
      <c r="J165" s="9">
        <v>1.5139999999999999E-4</v>
      </c>
      <c r="K165" s="9">
        <v>5.9349999999999999E-5</v>
      </c>
      <c r="L165" s="9">
        <v>1.3376999999999999E-4</v>
      </c>
      <c r="M165" s="9">
        <v>1.3396E-4</v>
      </c>
      <c r="N165" s="9">
        <v>1.5244E-4</v>
      </c>
      <c r="O165" s="9">
        <v>1.4071E-4</v>
      </c>
      <c r="P165" s="9">
        <v>1.2254E-4</v>
      </c>
      <c r="Q165" s="9">
        <v>1.0665E-4</v>
      </c>
      <c r="R165" s="10">
        <v>2.0323378758352187E-4</v>
      </c>
      <c r="S165" s="10">
        <v>1.9029020759484994E-4</v>
      </c>
      <c r="T165" s="10">
        <v>0</v>
      </c>
      <c r="U165" s="10">
        <v>1.8233E-4</v>
      </c>
      <c r="V165" s="25"/>
      <c r="W165" s="25"/>
      <c r="X165" s="25"/>
      <c r="Y165" s="25"/>
      <c r="Z165" s="25"/>
      <c r="AA165" s="25"/>
    </row>
    <row r="166" spans="1:27" x14ac:dyDescent="0.35">
      <c r="A166" s="5">
        <v>162</v>
      </c>
      <c r="B166" s="5">
        <v>7</v>
      </c>
      <c r="C166" s="5">
        <v>1</v>
      </c>
      <c r="D166" s="25">
        <v>1.1415000000000001E-4</v>
      </c>
      <c r="E166" s="25">
        <v>1.0425E-4</v>
      </c>
      <c r="F166" s="25">
        <v>1.1046E-4</v>
      </c>
      <c r="G166" s="25">
        <v>1.6069000000000001E-4</v>
      </c>
      <c r="H166" s="25">
        <v>3.8720000000000002E-5</v>
      </c>
      <c r="I166" s="9">
        <v>1.4548999999999999E-4</v>
      </c>
      <c r="J166" s="9">
        <v>1.5606999999999999E-4</v>
      </c>
      <c r="K166" s="9">
        <v>6.5710000000000006E-5</v>
      </c>
      <c r="L166" s="9">
        <v>1.3884999999999999E-4</v>
      </c>
      <c r="M166" s="9">
        <v>1.2784E-4</v>
      </c>
      <c r="N166" s="9">
        <v>1.3899E-4</v>
      </c>
      <c r="O166" s="9">
        <v>1.4155E-4</v>
      </c>
      <c r="P166" s="9">
        <v>1.2831999999999999E-4</v>
      </c>
      <c r="Q166" s="9">
        <v>1.1731E-4</v>
      </c>
      <c r="R166" s="10">
        <v>2.100547836439772E-4</v>
      </c>
      <c r="S166" s="10">
        <v>1.9029019849357476E-4</v>
      </c>
      <c r="T166" s="10">
        <v>0</v>
      </c>
      <c r="U166" s="10">
        <v>1.8233E-4</v>
      </c>
      <c r="V166" s="25"/>
      <c r="W166" s="25"/>
      <c r="X166" s="25"/>
      <c r="Y166" s="25"/>
      <c r="Z166" s="25"/>
      <c r="AA166" s="25"/>
    </row>
    <row r="167" spans="1:27" x14ac:dyDescent="0.35">
      <c r="A167" s="5">
        <v>163</v>
      </c>
      <c r="B167" s="5">
        <v>7</v>
      </c>
      <c r="C167" s="5">
        <v>1</v>
      </c>
      <c r="D167" s="25">
        <v>1.1416E-4</v>
      </c>
      <c r="E167" s="25">
        <v>1.0539000000000001E-4</v>
      </c>
      <c r="F167" s="25">
        <v>1.1697E-4</v>
      </c>
      <c r="G167" s="25">
        <v>1.0482E-4</v>
      </c>
      <c r="H167" s="25">
        <v>2.6480000000000001E-5</v>
      </c>
      <c r="I167" s="9">
        <v>1.4540000000000001E-4</v>
      </c>
      <c r="J167" s="9">
        <v>1.4972E-4</v>
      </c>
      <c r="K167" s="9">
        <v>7.2059999999999998E-5</v>
      </c>
      <c r="L167" s="9">
        <v>1.4087999999999999E-4</v>
      </c>
      <c r="M167" s="9">
        <v>1.2658999999999999E-4</v>
      </c>
      <c r="N167" s="9">
        <v>1.2986000000000001E-4</v>
      </c>
      <c r="O167" s="9">
        <v>1.4369E-4</v>
      </c>
      <c r="P167" s="9">
        <v>1.2459E-4</v>
      </c>
      <c r="Q167" s="9">
        <v>1.0784E-4</v>
      </c>
      <c r="R167" s="10">
        <v>2.115054398451963E-4</v>
      </c>
      <c r="S167" s="10">
        <v>1.9029020759484994E-4</v>
      </c>
      <c r="T167" s="10">
        <v>0</v>
      </c>
      <c r="U167" s="10">
        <v>1.8233E-4</v>
      </c>
      <c r="V167" s="25"/>
      <c r="W167" s="25"/>
      <c r="X167" s="25"/>
      <c r="Y167" s="25"/>
      <c r="Z167" s="25"/>
      <c r="AA167" s="25"/>
    </row>
    <row r="168" spans="1:27" x14ac:dyDescent="0.35">
      <c r="A168" s="5">
        <v>164</v>
      </c>
      <c r="B168" s="5">
        <v>7</v>
      </c>
      <c r="C168" s="5">
        <v>1</v>
      </c>
      <c r="D168" s="25">
        <v>1.1415000000000001E-4</v>
      </c>
      <c r="E168" s="25">
        <v>1.0863E-4</v>
      </c>
      <c r="F168" s="25">
        <v>1.0347E-4</v>
      </c>
      <c r="G168" s="25">
        <v>1.1158999999999999E-4</v>
      </c>
      <c r="H168" s="25">
        <v>2.6299999999999999E-5</v>
      </c>
      <c r="I168" s="9">
        <v>1.3889999999999999E-4</v>
      </c>
      <c r="J168" s="9">
        <v>1.4489E-4</v>
      </c>
      <c r="K168" s="9">
        <v>6.9939999999999998E-5</v>
      </c>
      <c r="L168" s="9">
        <v>1.4307999999999999E-4</v>
      </c>
      <c r="M168" s="9">
        <v>1.2580999999999999E-4</v>
      </c>
      <c r="N168" s="9">
        <v>1.2094E-4</v>
      </c>
      <c r="O168" s="9">
        <v>1.4535000000000001E-4</v>
      </c>
      <c r="P168" s="9">
        <v>1.2245999999999999E-4</v>
      </c>
      <c r="Q168" s="9">
        <v>1.0203E-4</v>
      </c>
      <c r="R168" s="10">
        <v>2.119611338040707E-4</v>
      </c>
      <c r="S168" s="10">
        <v>1.9028987455616266E-4</v>
      </c>
      <c r="T168" s="10">
        <v>0</v>
      </c>
      <c r="U168" s="10">
        <v>1.8233E-4</v>
      </c>
      <c r="V168" s="25"/>
      <c r="W168" s="25"/>
      <c r="X168" s="25"/>
      <c r="Y168" s="25"/>
      <c r="Z168" s="25"/>
      <c r="AA168" s="25"/>
    </row>
    <row r="169" spans="1:27" x14ac:dyDescent="0.35">
      <c r="A169" s="5">
        <v>165</v>
      </c>
      <c r="B169" s="5">
        <v>7</v>
      </c>
      <c r="C169" s="5">
        <v>1</v>
      </c>
      <c r="D169" s="25">
        <v>1.1416E-4</v>
      </c>
      <c r="E169" s="25">
        <v>1.0631E-4</v>
      </c>
      <c r="F169" s="25">
        <v>1.1896E-4</v>
      </c>
      <c r="G169" s="25">
        <v>6.2570000000000006E-5</v>
      </c>
      <c r="H169" s="25">
        <v>1.483E-5</v>
      </c>
      <c r="I169" s="9">
        <v>1.3108E-4</v>
      </c>
      <c r="J169" s="9">
        <v>1.3745000000000001E-4</v>
      </c>
      <c r="K169" s="9">
        <v>7.2059999999999998E-5</v>
      </c>
      <c r="L169" s="9">
        <v>1.4482000000000001E-4</v>
      </c>
      <c r="M169" s="9">
        <v>1.2444999999999999E-4</v>
      </c>
      <c r="N169" s="9">
        <v>1.1333E-4</v>
      </c>
      <c r="O169" s="9">
        <v>8.4289999999999994E-5</v>
      </c>
      <c r="P169" s="9">
        <v>8.5699999999999996E-5</v>
      </c>
      <c r="Q169" s="9">
        <v>8.7689999999999996E-5</v>
      </c>
      <c r="R169" s="10">
        <v>2.1215460029767365E-4</v>
      </c>
      <c r="S169" s="10">
        <v>1.9028889904783278E-4</v>
      </c>
      <c r="T169" s="10">
        <v>0</v>
      </c>
      <c r="U169" s="10">
        <v>1.8233E-4</v>
      </c>
      <c r="V169" s="25"/>
      <c r="W169" s="25"/>
      <c r="X169" s="25"/>
      <c r="Y169" s="25"/>
      <c r="Z169" s="25"/>
      <c r="AA169" s="25"/>
    </row>
    <row r="170" spans="1:27" x14ac:dyDescent="0.35">
      <c r="A170" s="5">
        <v>166</v>
      </c>
      <c r="B170" s="5">
        <v>7</v>
      </c>
      <c r="C170" s="5">
        <v>1</v>
      </c>
      <c r="D170" s="25">
        <v>1.1415000000000001E-4</v>
      </c>
      <c r="E170" s="25">
        <v>1.1217000000000001E-4</v>
      </c>
      <c r="F170" s="25">
        <v>1.1114E-4</v>
      </c>
      <c r="G170" s="25">
        <v>6.1459999999999998E-5</v>
      </c>
      <c r="H170" s="25">
        <v>1.366E-5</v>
      </c>
      <c r="I170" s="9">
        <v>1.2332000000000001E-4</v>
      </c>
      <c r="J170" s="9">
        <v>1.2882E-4</v>
      </c>
      <c r="K170" s="9">
        <v>6.9939999999999998E-5</v>
      </c>
      <c r="L170" s="9">
        <v>9.7570000000000003E-5</v>
      </c>
      <c r="M170" s="9">
        <v>1.1010000000000001E-4</v>
      </c>
      <c r="N170" s="9">
        <v>1.0558E-4</v>
      </c>
      <c r="O170" s="9">
        <v>8.7200000000000005E-5</v>
      </c>
      <c r="P170" s="9">
        <v>8.7169999999999994E-5</v>
      </c>
      <c r="Q170" s="9">
        <v>8.7819999999999996E-5</v>
      </c>
      <c r="R170" s="10">
        <v>2.1225638923105437E-4</v>
      </c>
      <c r="S170" s="10">
        <v>1.902866436300898E-4</v>
      </c>
      <c r="T170" s="10">
        <v>0</v>
      </c>
      <c r="U170" s="10">
        <v>1.8233E-4</v>
      </c>
      <c r="V170" s="25"/>
      <c r="W170" s="25"/>
      <c r="X170" s="25"/>
      <c r="Y170" s="25"/>
      <c r="Z170" s="25"/>
      <c r="AA170" s="25"/>
    </row>
    <row r="171" spans="1:27" x14ac:dyDescent="0.35">
      <c r="A171" s="5">
        <v>167</v>
      </c>
      <c r="B171" s="5">
        <v>7</v>
      </c>
      <c r="C171" s="5">
        <v>1</v>
      </c>
      <c r="D171" s="25">
        <v>1.1416E-4</v>
      </c>
      <c r="E171" s="25">
        <v>1.0554E-4</v>
      </c>
      <c r="F171" s="25">
        <v>1.1484000000000001E-4</v>
      </c>
      <c r="G171" s="25">
        <v>5.7269999999999999E-5</v>
      </c>
      <c r="H171" s="25">
        <v>1.4070000000000001E-5</v>
      </c>
      <c r="I171" s="9">
        <v>1.2506999999999999E-4</v>
      </c>
      <c r="J171" s="9">
        <v>1.1951999999999999E-4</v>
      </c>
      <c r="K171" s="9">
        <v>6.9939999999999998E-5</v>
      </c>
      <c r="L171" s="9">
        <v>9.0799999999999998E-5</v>
      </c>
      <c r="M171" s="9">
        <v>9.7969999999999999E-5</v>
      </c>
      <c r="N171" s="9">
        <v>9.9690000000000003E-5</v>
      </c>
      <c r="O171" s="9">
        <v>8.4859999999999997E-5</v>
      </c>
      <c r="P171" s="9">
        <v>7.5489999999999997E-5</v>
      </c>
      <c r="Q171" s="9">
        <v>6.6879999999999997E-5</v>
      </c>
      <c r="R171" s="10">
        <v>2.1239265977875062E-4</v>
      </c>
      <c r="S171" s="10">
        <v>1.9028181250658232E-4</v>
      </c>
      <c r="T171" s="10">
        <v>0</v>
      </c>
      <c r="U171" s="10">
        <v>1.8233E-4</v>
      </c>
      <c r="V171" s="25"/>
      <c r="W171" s="25"/>
      <c r="X171" s="25"/>
      <c r="Y171" s="25"/>
      <c r="Z171" s="25"/>
      <c r="AA171" s="25"/>
    </row>
    <row r="172" spans="1:27" x14ac:dyDescent="0.35">
      <c r="A172" s="5">
        <v>168</v>
      </c>
      <c r="B172" s="5">
        <v>7</v>
      </c>
      <c r="C172" s="5">
        <v>1</v>
      </c>
      <c r="D172" s="25">
        <v>1.1415000000000001E-4</v>
      </c>
      <c r="E172" s="25">
        <v>1.0347E-4</v>
      </c>
      <c r="F172" s="25">
        <v>1.1379000000000001E-4</v>
      </c>
      <c r="G172" s="25">
        <v>5.2889999999999997E-5</v>
      </c>
      <c r="H172" s="25">
        <v>1.4430000000000001E-5</v>
      </c>
      <c r="I172" s="9">
        <v>1.2523999999999999E-4</v>
      </c>
      <c r="J172" s="9">
        <v>1.1184E-4</v>
      </c>
      <c r="K172" s="9">
        <v>7.2059999999999998E-5</v>
      </c>
      <c r="L172" s="9">
        <v>8.6390000000000005E-5</v>
      </c>
      <c r="M172" s="9">
        <v>8.7050000000000002E-5</v>
      </c>
      <c r="N172" s="9">
        <v>9.043E-5</v>
      </c>
      <c r="O172" s="9">
        <v>7.894E-5</v>
      </c>
      <c r="P172" s="9">
        <v>6.8449999999999997E-5</v>
      </c>
      <c r="Q172" s="9">
        <v>5.859E-5</v>
      </c>
      <c r="R172" s="10">
        <v>2.1240085027643662E-4</v>
      </c>
      <c r="S172" s="10">
        <v>1.9028943726426238E-4</v>
      </c>
      <c r="T172" s="10">
        <v>0</v>
      </c>
      <c r="U172" s="10">
        <v>1.8233E-4</v>
      </c>
      <c r="V172" s="25"/>
      <c r="W172" s="25"/>
      <c r="X172" s="25"/>
      <c r="Y172" s="25"/>
      <c r="Z172" s="25"/>
      <c r="AA172" s="25"/>
    </row>
    <row r="173" spans="1:27" x14ac:dyDescent="0.35">
      <c r="A173" s="5">
        <v>169</v>
      </c>
      <c r="B173" s="5">
        <v>8</v>
      </c>
      <c r="C173" s="5">
        <v>1</v>
      </c>
      <c r="D173" s="25">
        <v>1.1416E-4</v>
      </c>
      <c r="E173" s="25">
        <v>1.109E-4</v>
      </c>
      <c r="F173" s="25">
        <v>8.8880000000000003E-5</v>
      </c>
      <c r="G173" s="25">
        <v>5.3959999999999998E-5</v>
      </c>
      <c r="H173" s="25">
        <v>6.9159999999999995E-5</v>
      </c>
      <c r="I173" s="9">
        <v>1.1765E-4</v>
      </c>
      <c r="J173" s="9">
        <v>1.0462E-4</v>
      </c>
      <c r="K173" s="9">
        <v>7.2059999999999998E-5</v>
      </c>
      <c r="L173" s="9">
        <v>8.0350000000000001E-5</v>
      </c>
      <c r="M173" s="9">
        <v>7.7890000000000001E-5</v>
      </c>
      <c r="N173" s="9">
        <v>8.0950000000000003E-5</v>
      </c>
      <c r="O173" s="9">
        <v>5.4119999999999997E-5</v>
      </c>
      <c r="P173" s="9">
        <v>5.3539999999999999E-5</v>
      </c>
      <c r="Q173" s="9">
        <v>5.312E-5</v>
      </c>
      <c r="R173" s="10">
        <v>2.1243147299835295E-4</v>
      </c>
      <c r="S173" s="10">
        <v>1.9028882052524003E-4</v>
      </c>
      <c r="T173" s="10">
        <v>0</v>
      </c>
      <c r="U173" s="10">
        <v>1.838E-4</v>
      </c>
      <c r="V173" s="25"/>
      <c r="W173" s="25"/>
      <c r="X173" s="25"/>
      <c r="Y173" s="25"/>
      <c r="Z173" s="25"/>
      <c r="AA173" s="25"/>
    </row>
    <row r="174" spans="1:27" x14ac:dyDescent="0.35">
      <c r="A174" s="5">
        <v>170</v>
      </c>
      <c r="B174" s="5">
        <v>8</v>
      </c>
      <c r="C174" s="5">
        <v>1</v>
      </c>
      <c r="D174" s="25">
        <v>1.1415000000000001E-4</v>
      </c>
      <c r="E174" s="25">
        <v>1.1067E-4</v>
      </c>
      <c r="F174" s="25">
        <v>9.692E-5</v>
      </c>
      <c r="G174" s="25">
        <v>5.7340000000000003E-5</v>
      </c>
      <c r="H174" s="25">
        <v>6.8620000000000004E-5</v>
      </c>
      <c r="I174" s="9">
        <v>1.1162000000000001E-4</v>
      </c>
      <c r="J174" s="9">
        <v>9.9679999999999994E-5</v>
      </c>
      <c r="K174" s="9">
        <v>7.6299999999999998E-5</v>
      </c>
      <c r="L174" s="9">
        <v>6.0040000000000001E-5</v>
      </c>
      <c r="M174" s="9">
        <v>6.6979999999999999E-5</v>
      </c>
      <c r="N174" s="9">
        <v>7.1799999999999997E-5</v>
      </c>
      <c r="O174" s="9">
        <v>1.8119999999999999E-5</v>
      </c>
      <c r="P174" s="9">
        <v>3.7450000000000002E-5</v>
      </c>
      <c r="Q174" s="9">
        <v>5.5739999999999998E-5</v>
      </c>
      <c r="R174" s="10">
        <v>2.1244346464893894E-4</v>
      </c>
      <c r="S174" s="10">
        <v>1.9028955163550315E-4</v>
      </c>
      <c r="T174" s="10">
        <v>0</v>
      </c>
      <c r="U174" s="10">
        <v>1.838E-4</v>
      </c>
      <c r="V174" s="25"/>
      <c r="W174" s="25"/>
      <c r="X174" s="25"/>
      <c r="Y174" s="25"/>
      <c r="Z174" s="25"/>
      <c r="AA174" s="25"/>
    </row>
    <row r="175" spans="1:27" x14ac:dyDescent="0.35">
      <c r="A175" s="5">
        <v>171</v>
      </c>
      <c r="B175" s="5">
        <v>8</v>
      </c>
      <c r="C175" s="5">
        <v>1</v>
      </c>
      <c r="D175" s="25">
        <v>1.1416E-4</v>
      </c>
      <c r="E175" s="25">
        <v>1.1022999999999999E-4</v>
      </c>
      <c r="F175" s="25">
        <v>8.9380000000000001E-5</v>
      </c>
      <c r="G175" s="25">
        <v>5.9299999999999998E-5</v>
      </c>
      <c r="H175" s="25">
        <v>7.3620000000000003E-5</v>
      </c>
      <c r="I175" s="9">
        <v>1.0784E-4</v>
      </c>
      <c r="J175" s="9">
        <v>9.6840000000000001E-5</v>
      </c>
      <c r="K175" s="9">
        <v>8.2650000000000003E-5</v>
      </c>
      <c r="L175" s="9">
        <v>2.7900000000000001E-5</v>
      </c>
      <c r="M175" s="9">
        <v>5.3669999999999999E-5</v>
      </c>
      <c r="N175" s="9">
        <v>6.5190000000000004E-5</v>
      </c>
      <c r="O175" s="9">
        <v>1.2629999999999999E-5</v>
      </c>
      <c r="P175" s="9">
        <v>3.7580000000000003E-5</v>
      </c>
      <c r="Q175" s="9">
        <v>6.1260000000000006E-5</v>
      </c>
      <c r="R175" s="10">
        <v>2.1244689902830897E-4</v>
      </c>
      <c r="S175" s="10">
        <v>1.9029020759484994E-4</v>
      </c>
      <c r="T175" s="10">
        <v>0</v>
      </c>
      <c r="U175" s="10">
        <v>1.838E-4</v>
      </c>
      <c r="V175" s="25"/>
      <c r="W175" s="25"/>
      <c r="X175" s="25"/>
      <c r="Y175" s="25"/>
      <c r="Z175" s="25"/>
      <c r="AA175" s="25"/>
    </row>
    <row r="176" spans="1:27" x14ac:dyDescent="0.35">
      <c r="A176" s="5">
        <v>172</v>
      </c>
      <c r="B176" s="5">
        <v>8</v>
      </c>
      <c r="C176" s="5">
        <v>1</v>
      </c>
      <c r="D176" s="25">
        <v>1.1415000000000001E-4</v>
      </c>
      <c r="E176" s="25">
        <v>1.1377E-4</v>
      </c>
      <c r="F176" s="25">
        <v>1.1029E-4</v>
      </c>
      <c r="G176" s="25">
        <v>6.2440000000000005E-5</v>
      </c>
      <c r="H176" s="25">
        <v>6.5049999999999996E-5</v>
      </c>
      <c r="I176" s="9">
        <v>1.0611E-4</v>
      </c>
      <c r="J176" s="9">
        <v>9.5859999999999994E-5</v>
      </c>
      <c r="K176" s="9">
        <v>9.3250000000000003E-5</v>
      </c>
      <c r="L176" s="9">
        <v>1.6860000000000001E-5</v>
      </c>
      <c r="M176" s="9">
        <v>4.4679999999999999E-5</v>
      </c>
      <c r="N176" s="9">
        <v>6.1600000000000007E-5</v>
      </c>
      <c r="O176" s="9">
        <v>1.26E-5</v>
      </c>
      <c r="P176" s="9">
        <v>4.6860000000000002E-5</v>
      </c>
      <c r="Q176" s="9">
        <v>7.9690000000000004E-5</v>
      </c>
      <c r="R176" s="10">
        <v>2.1244795580147672E-4</v>
      </c>
      <c r="S176" s="10">
        <v>1.9029020759484994E-4</v>
      </c>
      <c r="T176" s="10">
        <v>0</v>
      </c>
      <c r="U176" s="10">
        <v>1.838E-4</v>
      </c>
      <c r="V176" s="25"/>
      <c r="W176" s="25"/>
      <c r="X176" s="25"/>
      <c r="Y176" s="25"/>
      <c r="Z176" s="25"/>
      <c r="AA176" s="25"/>
    </row>
    <row r="177" spans="1:27" x14ac:dyDescent="0.35">
      <c r="A177" s="5">
        <v>173</v>
      </c>
      <c r="B177" s="5">
        <v>8</v>
      </c>
      <c r="C177" s="5">
        <v>1</v>
      </c>
      <c r="D177" s="25">
        <v>1.1416E-4</v>
      </c>
      <c r="E177" s="25">
        <v>1.0650999999999999E-4</v>
      </c>
      <c r="F177" s="25">
        <v>1.0308E-4</v>
      </c>
      <c r="G177" s="25">
        <v>5.2719999999999997E-5</v>
      </c>
      <c r="H177" s="25">
        <v>7.2760000000000001E-5</v>
      </c>
      <c r="I177" s="9">
        <v>1.0589E-4</v>
      </c>
      <c r="J177" s="9">
        <v>9.6409999999999993E-5</v>
      </c>
      <c r="K177" s="9">
        <v>1.0385E-4</v>
      </c>
      <c r="L177" s="9">
        <v>1.3709999999999999E-5</v>
      </c>
      <c r="M177" s="9">
        <v>4.3479999999999997E-5</v>
      </c>
      <c r="N177" s="9">
        <v>6.4040000000000003E-5</v>
      </c>
      <c r="O177" s="9">
        <v>1.8150000000000001E-5</v>
      </c>
      <c r="P177" s="9">
        <v>5.626E-5</v>
      </c>
      <c r="Q177" s="9">
        <v>9.3029999999999995E-5</v>
      </c>
      <c r="R177" s="10">
        <v>2.1244888835225933E-4</v>
      </c>
      <c r="S177" s="10">
        <v>1.9029020759484994E-4</v>
      </c>
      <c r="T177" s="10">
        <v>0</v>
      </c>
      <c r="U177" s="10">
        <v>1.838E-4</v>
      </c>
      <c r="V177" s="25"/>
      <c r="W177" s="25"/>
      <c r="X177" s="25"/>
      <c r="Y177" s="25"/>
      <c r="Z177" s="25"/>
      <c r="AA177" s="25"/>
    </row>
    <row r="178" spans="1:27" x14ac:dyDescent="0.35">
      <c r="A178" s="5">
        <v>174</v>
      </c>
      <c r="B178" s="5">
        <v>8</v>
      </c>
      <c r="C178" s="5">
        <v>1</v>
      </c>
      <c r="D178" s="25">
        <v>1.1415000000000001E-4</v>
      </c>
      <c r="E178" s="25">
        <v>1.0937E-4</v>
      </c>
      <c r="F178" s="25">
        <v>9.2070000000000004E-5</v>
      </c>
      <c r="G178" s="25">
        <v>1.1459E-4</v>
      </c>
      <c r="H178" s="25">
        <v>1.3511999999999999E-4</v>
      </c>
      <c r="I178" s="9">
        <v>1.1176E-4</v>
      </c>
      <c r="J178" s="9">
        <v>1.0041E-4</v>
      </c>
      <c r="K178" s="9">
        <v>1.0173E-4</v>
      </c>
      <c r="L178" s="9">
        <v>1.7039999999999999E-5</v>
      </c>
      <c r="M178" s="9">
        <v>4.8140000000000003E-5</v>
      </c>
      <c r="N178" s="9">
        <v>7.0530000000000004E-5</v>
      </c>
      <c r="O178" s="9">
        <v>4.6199999999999998E-5</v>
      </c>
      <c r="P178" s="9">
        <v>7.6929999999999997E-5</v>
      </c>
      <c r="Q178" s="9">
        <v>1.0713E-4</v>
      </c>
      <c r="R178" s="10">
        <v>2.1244925592284297E-4</v>
      </c>
      <c r="S178" s="10">
        <v>1.9029020759484994E-4</v>
      </c>
      <c r="T178" s="10">
        <v>0</v>
      </c>
      <c r="U178" s="10">
        <v>1.838E-4</v>
      </c>
      <c r="V178" s="25"/>
      <c r="W178" s="25"/>
      <c r="X178" s="25"/>
      <c r="Y178" s="25"/>
      <c r="Z178" s="25"/>
      <c r="AA178" s="25"/>
    </row>
    <row r="179" spans="1:27" x14ac:dyDescent="0.35">
      <c r="A179" s="5">
        <v>175</v>
      </c>
      <c r="B179" s="5">
        <v>8</v>
      </c>
      <c r="C179" s="5">
        <v>1</v>
      </c>
      <c r="D179" s="25">
        <v>1.1416E-4</v>
      </c>
      <c r="E179" s="25">
        <v>1.0556E-4</v>
      </c>
      <c r="F179" s="25">
        <v>1.0527999999999999E-4</v>
      </c>
      <c r="G179" s="25">
        <v>1.0758E-4</v>
      </c>
      <c r="H179" s="25">
        <v>1.3800999999999999E-4</v>
      </c>
      <c r="I179" s="9">
        <v>1.2642999999999999E-4</v>
      </c>
      <c r="J179" s="9">
        <v>1.1311000000000001E-4</v>
      </c>
      <c r="K179" s="9">
        <v>1.0173E-4</v>
      </c>
      <c r="L179" s="9">
        <v>3.964E-5</v>
      </c>
      <c r="M179" s="9">
        <v>5.9830000000000001E-5</v>
      </c>
      <c r="N179" s="9">
        <v>8.0350000000000001E-5</v>
      </c>
      <c r="O179" s="9">
        <v>1.238E-4</v>
      </c>
      <c r="P179" s="9">
        <v>1.169E-4</v>
      </c>
      <c r="Q179" s="9">
        <v>1.1198E-4</v>
      </c>
      <c r="R179" s="10">
        <v>2.1244931496307623E-4</v>
      </c>
      <c r="S179" s="10">
        <v>1.9029020759484994E-4</v>
      </c>
      <c r="T179" s="10">
        <v>0</v>
      </c>
      <c r="U179" s="10">
        <v>1.838E-4</v>
      </c>
      <c r="V179" s="25"/>
      <c r="W179" s="25"/>
      <c r="X179" s="25"/>
      <c r="Y179" s="25"/>
      <c r="Z179" s="25"/>
      <c r="AA179" s="25"/>
    </row>
    <row r="180" spans="1:27" x14ac:dyDescent="0.35">
      <c r="A180" s="5">
        <v>176</v>
      </c>
      <c r="B180" s="5">
        <v>8</v>
      </c>
      <c r="C180" s="5">
        <v>1</v>
      </c>
      <c r="D180" s="25">
        <v>1.1415000000000001E-4</v>
      </c>
      <c r="E180" s="25">
        <v>1.1129E-4</v>
      </c>
      <c r="F180" s="25">
        <v>1.0594000000000001E-4</v>
      </c>
      <c r="G180" s="25">
        <v>1.6592000000000001E-4</v>
      </c>
      <c r="H180" s="25">
        <v>1.9535E-4</v>
      </c>
      <c r="I180" s="9">
        <v>1.3800999999999999E-4</v>
      </c>
      <c r="J180" s="9">
        <v>1.314E-4</v>
      </c>
      <c r="K180" s="9">
        <v>1.0809E-4</v>
      </c>
      <c r="L180" s="9">
        <v>1.0465E-4</v>
      </c>
      <c r="M180" s="9">
        <v>8.3410000000000003E-5</v>
      </c>
      <c r="N180" s="9">
        <v>9.043E-5</v>
      </c>
      <c r="O180" s="9">
        <v>2.2159999999999999E-4</v>
      </c>
      <c r="P180" s="9">
        <v>1.7645000000000001E-4</v>
      </c>
      <c r="Q180" s="9">
        <v>1.3631E-4</v>
      </c>
      <c r="R180" s="10">
        <v>2.1244880750097723E-4</v>
      </c>
      <c r="S180" s="10">
        <v>1.9028633224032422E-4</v>
      </c>
      <c r="T180" s="10">
        <v>0</v>
      </c>
      <c r="U180" s="10">
        <v>1.838E-4</v>
      </c>
      <c r="V180" s="25"/>
      <c r="W180" s="25"/>
      <c r="X180" s="25"/>
      <c r="Y180" s="25"/>
      <c r="Z180" s="25"/>
      <c r="AA180" s="25"/>
    </row>
    <row r="181" spans="1:27" x14ac:dyDescent="0.35">
      <c r="A181" s="5">
        <v>177</v>
      </c>
      <c r="B181" s="5">
        <v>8</v>
      </c>
      <c r="C181" s="5">
        <v>1</v>
      </c>
      <c r="D181" s="25">
        <v>1.1416E-4</v>
      </c>
      <c r="E181" s="25">
        <v>1.0798000000000001E-4</v>
      </c>
      <c r="F181" s="25">
        <v>9.802E-5</v>
      </c>
      <c r="G181" s="25">
        <v>1.5741999999999999E-4</v>
      </c>
      <c r="H181" s="25">
        <v>1.9018999999999999E-4</v>
      </c>
      <c r="I181" s="9">
        <v>1.4406999999999999E-4</v>
      </c>
      <c r="J181" s="9">
        <v>1.4320000000000001E-4</v>
      </c>
      <c r="K181" s="9">
        <v>9.3259999999999998E-5</v>
      </c>
      <c r="L181" s="9">
        <v>1.9409000000000001E-4</v>
      </c>
      <c r="M181" s="9">
        <v>1.2300000000000001E-4</v>
      </c>
      <c r="N181" s="9">
        <v>1.0418E-4</v>
      </c>
      <c r="O181" s="9">
        <v>2.1295999999999999E-4</v>
      </c>
      <c r="P181" s="9">
        <v>1.9236000000000001E-4</v>
      </c>
      <c r="Q181" s="9">
        <v>1.7616999999999999E-4</v>
      </c>
      <c r="R181" s="10">
        <v>2.1244744429333186E-4</v>
      </c>
      <c r="S181" s="10">
        <v>1.9007799616522244E-4</v>
      </c>
      <c r="T181" s="10">
        <v>0</v>
      </c>
      <c r="U181" s="10">
        <v>1.838E-4</v>
      </c>
      <c r="V181" s="25"/>
      <c r="W181" s="25"/>
      <c r="X181" s="25"/>
      <c r="Y181" s="25"/>
      <c r="Z181" s="25"/>
      <c r="AA181" s="25"/>
    </row>
    <row r="182" spans="1:27" x14ac:dyDescent="0.35">
      <c r="A182" s="5">
        <v>178</v>
      </c>
      <c r="B182" s="5">
        <v>8</v>
      </c>
      <c r="C182" s="5">
        <v>1</v>
      </c>
      <c r="D182" s="25">
        <v>1.1415000000000001E-4</v>
      </c>
      <c r="E182" s="25">
        <v>1.0715E-4</v>
      </c>
      <c r="F182" s="25">
        <v>9.2429999999999994E-5</v>
      </c>
      <c r="G182" s="25">
        <v>1.5755000000000001E-4</v>
      </c>
      <c r="H182" s="25">
        <v>1.9169E-4</v>
      </c>
      <c r="I182" s="9">
        <v>1.4354999999999999E-4</v>
      </c>
      <c r="J182" s="9">
        <v>1.4571000000000001E-4</v>
      </c>
      <c r="K182" s="9">
        <v>8.6899999999999998E-5</v>
      </c>
      <c r="L182" s="9">
        <v>2.0646E-4</v>
      </c>
      <c r="M182" s="9">
        <v>1.5799999999999999E-4</v>
      </c>
      <c r="N182" s="9">
        <v>1.2413999999999999E-4</v>
      </c>
      <c r="O182" s="9">
        <v>1.6848000000000001E-4</v>
      </c>
      <c r="P182" s="9">
        <v>1.7356000000000001E-4</v>
      </c>
      <c r="Q182" s="9">
        <v>1.8154E-4</v>
      </c>
      <c r="R182" s="10">
        <v>2.1244373001407028E-4</v>
      </c>
      <c r="S182" s="10">
        <v>1.8959239771008978E-4</v>
      </c>
      <c r="T182" s="10">
        <v>1.5628079402962517E-5</v>
      </c>
      <c r="U182" s="10">
        <v>1.838E-4</v>
      </c>
      <c r="V182" s="25"/>
      <c r="W182" s="25"/>
      <c r="X182" s="25"/>
      <c r="Y182" s="25"/>
      <c r="Z182" s="25"/>
      <c r="AA182" s="25"/>
    </row>
    <row r="183" spans="1:27" x14ac:dyDescent="0.35">
      <c r="A183" s="5">
        <v>179</v>
      </c>
      <c r="B183" s="5">
        <v>8</v>
      </c>
      <c r="C183" s="5">
        <v>1</v>
      </c>
      <c r="D183" s="25">
        <v>1.1416E-4</v>
      </c>
      <c r="E183" s="25">
        <v>1.1489000000000001E-4</v>
      </c>
      <c r="F183" s="25">
        <v>1.0437000000000001E-4</v>
      </c>
      <c r="G183" s="25">
        <v>1.5658999999999999E-4</v>
      </c>
      <c r="H183" s="25">
        <v>1.9633000000000001E-4</v>
      </c>
      <c r="I183" s="9">
        <v>1.4055E-4</v>
      </c>
      <c r="J183" s="9">
        <v>1.4486999999999999E-4</v>
      </c>
      <c r="K183" s="9">
        <v>8.0530000000000003E-5</v>
      </c>
      <c r="L183" s="9">
        <v>1.7691000000000001E-4</v>
      </c>
      <c r="M183" s="9">
        <v>1.7170999999999999E-4</v>
      </c>
      <c r="N183" s="9">
        <v>1.4218999999999999E-4</v>
      </c>
      <c r="O183" s="9">
        <v>1.6843000000000001E-4</v>
      </c>
      <c r="P183" s="9">
        <v>1.7216000000000001E-4</v>
      </c>
      <c r="Q183" s="9">
        <v>1.7881E-4</v>
      </c>
      <c r="R183" s="10">
        <v>2.1242718144127219E-4</v>
      </c>
      <c r="S183" s="10">
        <v>1.8800483138358838E-4</v>
      </c>
      <c r="T183" s="10">
        <v>2.8583604510630136E-5</v>
      </c>
      <c r="U183" s="10">
        <v>1.838E-4</v>
      </c>
      <c r="V183" s="25"/>
      <c r="W183" s="25"/>
      <c r="X183" s="25"/>
      <c r="Y183" s="25"/>
      <c r="Z183" s="25"/>
      <c r="AA183" s="25"/>
    </row>
    <row r="184" spans="1:27" x14ac:dyDescent="0.35">
      <c r="A184" s="5">
        <v>180</v>
      </c>
      <c r="B184" s="5">
        <v>8</v>
      </c>
      <c r="C184" s="5">
        <v>1</v>
      </c>
      <c r="D184" s="25">
        <v>1.1415000000000001E-4</v>
      </c>
      <c r="E184" s="25">
        <v>1.1129E-4</v>
      </c>
      <c r="F184" s="25">
        <v>9.8649999999999999E-5</v>
      </c>
      <c r="G184" s="25">
        <v>1.6092E-4</v>
      </c>
      <c r="H184" s="25">
        <v>1.94E-4</v>
      </c>
      <c r="I184" s="9">
        <v>1.3924E-4</v>
      </c>
      <c r="J184" s="9">
        <v>1.4325000000000001E-4</v>
      </c>
      <c r="K184" s="9">
        <v>8.0539999999999998E-5</v>
      </c>
      <c r="L184" s="9">
        <v>1.7173000000000001E-4</v>
      </c>
      <c r="M184" s="9">
        <v>1.7419000000000001E-4</v>
      </c>
      <c r="N184" s="9">
        <v>1.562E-4</v>
      </c>
      <c r="O184" s="9">
        <v>1.7205000000000001E-4</v>
      </c>
      <c r="P184" s="9">
        <v>1.7165E-4</v>
      </c>
      <c r="Q184" s="9">
        <v>1.7432E-4</v>
      </c>
      <c r="R184" s="10">
        <v>2.0967604489850926E-4</v>
      </c>
      <c r="S184" s="10">
        <v>1.7877584567096833E-4</v>
      </c>
      <c r="T184" s="10">
        <v>1.597593567631836E-4</v>
      </c>
      <c r="U184" s="10">
        <v>1.838E-4</v>
      </c>
      <c r="V184" s="25"/>
      <c r="W184" s="25"/>
      <c r="X184" s="25"/>
      <c r="Y184" s="25"/>
      <c r="Z184" s="25"/>
      <c r="AA184" s="25"/>
    </row>
    <row r="185" spans="1:27" x14ac:dyDescent="0.35">
      <c r="A185" s="5">
        <v>181</v>
      </c>
      <c r="B185" s="5">
        <v>8</v>
      </c>
      <c r="C185" s="5">
        <v>1</v>
      </c>
      <c r="D185" s="25">
        <v>1.1416E-4</v>
      </c>
      <c r="E185" s="25">
        <v>1.1489000000000001E-4</v>
      </c>
      <c r="F185" s="25">
        <v>1.0429000000000001E-4</v>
      </c>
      <c r="G185" s="25">
        <v>1.6304000000000001E-4</v>
      </c>
      <c r="H185" s="25">
        <v>1.9577E-4</v>
      </c>
      <c r="I185" s="9">
        <v>1.3569E-4</v>
      </c>
      <c r="J185" s="9">
        <v>1.3998E-4</v>
      </c>
      <c r="K185" s="9">
        <v>9.7490000000000003E-5</v>
      </c>
      <c r="L185" s="9">
        <v>1.7213999999999999E-4</v>
      </c>
      <c r="M185" s="9">
        <v>1.7343E-4</v>
      </c>
      <c r="N185" s="9">
        <v>1.6579999999999999E-4</v>
      </c>
      <c r="O185" s="9">
        <v>1.627E-4</v>
      </c>
      <c r="P185" s="9">
        <v>1.6325000000000001E-4</v>
      </c>
      <c r="Q185" s="9">
        <v>1.6663E-4</v>
      </c>
      <c r="R185" s="10">
        <v>2.0157511368476552E-4</v>
      </c>
      <c r="S185" s="10">
        <v>1.661868946885478E-4</v>
      </c>
      <c r="T185" s="10">
        <v>3.2299727625992563E-5</v>
      </c>
      <c r="U185" s="10">
        <v>1.838E-4</v>
      </c>
      <c r="V185" s="25"/>
      <c r="W185" s="25"/>
      <c r="X185" s="25"/>
      <c r="Y185" s="25"/>
      <c r="Z185" s="25"/>
      <c r="AA185" s="25"/>
    </row>
    <row r="186" spans="1:27" x14ac:dyDescent="0.35">
      <c r="A186" s="5">
        <v>182</v>
      </c>
      <c r="B186" s="5">
        <v>8</v>
      </c>
      <c r="C186" s="5">
        <v>1</v>
      </c>
      <c r="D186" s="25">
        <v>1.1415000000000001E-4</v>
      </c>
      <c r="E186" s="25">
        <v>1.0695E-4</v>
      </c>
      <c r="F186" s="25">
        <v>9.6710000000000001E-5</v>
      </c>
      <c r="G186" s="25">
        <v>1.5773999999999999E-4</v>
      </c>
      <c r="H186" s="25">
        <v>1.9023999999999999E-4</v>
      </c>
      <c r="I186" s="9">
        <v>1.3392999999999999E-4</v>
      </c>
      <c r="J186" s="9">
        <v>1.3966E-4</v>
      </c>
      <c r="K186" s="9">
        <v>1.0809E-4</v>
      </c>
      <c r="L186" s="9">
        <v>1.6449999999999999E-4</v>
      </c>
      <c r="M186" s="9">
        <v>1.6954000000000001E-4</v>
      </c>
      <c r="N186" s="9">
        <v>1.7003999999999999E-4</v>
      </c>
      <c r="O186" s="9">
        <v>1.7929999999999999E-4</v>
      </c>
      <c r="P186" s="9">
        <v>1.6788999999999999E-4</v>
      </c>
      <c r="Q186" s="9">
        <v>1.5990000000000001E-4</v>
      </c>
      <c r="R186" s="10">
        <v>1.9209964197536183E-4</v>
      </c>
      <c r="S186" s="10">
        <v>1.6672870635181332E-4</v>
      </c>
      <c r="T186" s="10">
        <v>6.339468474426488E-5</v>
      </c>
      <c r="U186" s="10">
        <v>1.838E-4</v>
      </c>
      <c r="V186" s="25"/>
      <c r="W186" s="25"/>
      <c r="X186" s="25"/>
      <c r="Y186" s="25"/>
      <c r="Z186" s="25"/>
      <c r="AA186" s="25"/>
    </row>
    <row r="187" spans="1:27" x14ac:dyDescent="0.35">
      <c r="A187" s="5">
        <v>183</v>
      </c>
      <c r="B187" s="5">
        <v>8</v>
      </c>
      <c r="C187" s="5">
        <v>1</v>
      </c>
      <c r="D187" s="25">
        <v>1.1416E-4</v>
      </c>
      <c r="E187" s="25">
        <v>1.0959E-4</v>
      </c>
      <c r="F187" s="25">
        <v>1.05E-4</v>
      </c>
      <c r="G187" s="25">
        <v>1.6252000000000001E-4</v>
      </c>
      <c r="H187" s="25">
        <v>1.9843000000000001E-4</v>
      </c>
      <c r="I187" s="9">
        <v>1.3113E-4</v>
      </c>
      <c r="J187" s="9">
        <v>1.3936999999999999E-4</v>
      </c>
      <c r="K187" s="9">
        <v>1.3988E-4</v>
      </c>
      <c r="L187" s="9">
        <v>1.7623000000000001E-4</v>
      </c>
      <c r="M187" s="9">
        <v>1.6783E-4</v>
      </c>
      <c r="N187" s="9">
        <v>1.6946999999999999E-4</v>
      </c>
      <c r="O187" s="9">
        <v>1.8516999999999999E-4</v>
      </c>
      <c r="P187" s="9">
        <v>1.6683E-4</v>
      </c>
      <c r="Q187" s="9">
        <v>1.5217E-4</v>
      </c>
      <c r="R187" s="10">
        <v>1.6478678634317001E-4</v>
      </c>
      <c r="S187" s="10">
        <v>1.7219409284679611E-4</v>
      </c>
      <c r="T187" s="10">
        <v>2.0481098631244037E-5</v>
      </c>
      <c r="U187" s="10">
        <v>1.838E-4</v>
      </c>
      <c r="V187" s="25"/>
      <c r="W187" s="25"/>
      <c r="X187" s="25"/>
      <c r="Y187" s="25"/>
      <c r="Z187" s="25"/>
      <c r="AA187" s="25"/>
    </row>
    <row r="188" spans="1:27" x14ac:dyDescent="0.35">
      <c r="A188" s="5">
        <v>184</v>
      </c>
      <c r="B188" s="5">
        <v>8</v>
      </c>
      <c r="C188" s="5">
        <v>1</v>
      </c>
      <c r="D188" s="25">
        <v>1.1415000000000001E-4</v>
      </c>
      <c r="E188" s="25">
        <v>1.0685E-4</v>
      </c>
      <c r="F188" s="25">
        <v>9.2600000000000001E-5</v>
      </c>
      <c r="G188" s="25">
        <v>1.5951999999999999E-4</v>
      </c>
      <c r="H188" s="25">
        <v>2.0068000000000001E-4</v>
      </c>
      <c r="I188" s="9">
        <v>1.3092E-4</v>
      </c>
      <c r="J188" s="9">
        <v>1.3875000000000001E-4</v>
      </c>
      <c r="K188" s="9">
        <v>1.4622999999999999E-4</v>
      </c>
      <c r="L188" s="9">
        <v>1.8291E-4</v>
      </c>
      <c r="M188" s="9">
        <v>1.6710999999999999E-4</v>
      </c>
      <c r="N188" s="9">
        <v>1.6561000000000001E-4</v>
      </c>
      <c r="O188" s="9">
        <v>1.9835E-4</v>
      </c>
      <c r="P188" s="9">
        <v>1.5147000000000001E-4</v>
      </c>
      <c r="Q188" s="9">
        <v>1.0904999999999999E-4</v>
      </c>
      <c r="R188" s="10">
        <v>1.7248056938960144E-4</v>
      </c>
      <c r="S188" s="10">
        <v>1.7931319608197882E-4</v>
      </c>
      <c r="T188" s="10">
        <v>0</v>
      </c>
      <c r="U188" s="10">
        <v>1.838E-4</v>
      </c>
      <c r="V188" s="25"/>
      <c r="W188" s="25"/>
      <c r="X188" s="25"/>
      <c r="Y188" s="25"/>
      <c r="Z188" s="25"/>
      <c r="AA188" s="25"/>
    </row>
    <row r="189" spans="1:27" x14ac:dyDescent="0.35">
      <c r="A189" s="5">
        <v>185</v>
      </c>
      <c r="B189" s="5">
        <v>8</v>
      </c>
      <c r="C189" s="5">
        <v>1</v>
      </c>
      <c r="D189" s="25">
        <v>1.1416E-4</v>
      </c>
      <c r="E189" s="25">
        <v>1.0479E-4</v>
      </c>
      <c r="F189" s="25">
        <v>9.3839999999999996E-5</v>
      </c>
      <c r="G189" s="25">
        <v>1.6296999999999999E-4</v>
      </c>
      <c r="H189" s="25">
        <v>1.9662E-4</v>
      </c>
      <c r="I189" s="9">
        <v>1.329E-4</v>
      </c>
      <c r="J189" s="9">
        <v>1.4113E-4</v>
      </c>
      <c r="K189" s="9">
        <v>1.4835E-4</v>
      </c>
      <c r="L189" s="9">
        <v>1.9471000000000001E-4</v>
      </c>
      <c r="M189" s="9">
        <v>1.6140999999999999E-4</v>
      </c>
      <c r="N189" s="9">
        <v>1.5184000000000001E-4</v>
      </c>
      <c r="O189" s="9">
        <v>2.1539000000000001E-4</v>
      </c>
      <c r="P189" s="9">
        <v>1.5846999999999999E-4</v>
      </c>
      <c r="Q189" s="9">
        <v>1.0658999999999999E-4</v>
      </c>
      <c r="R189" s="10">
        <v>1.9510513326376818E-4</v>
      </c>
      <c r="S189" s="10">
        <v>1.8572416012567288E-4</v>
      </c>
      <c r="T189" s="10">
        <v>0</v>
      </c>
      <c r="U189" s="10">
        <v>1.838E-4</v>
      </c>
      <c r="V189" s="25"/>
      <c r="W189" s="25"/>
      <c r="X189" s="25"/>
      <c r="Y189" s="25"/>
      <c r="Z189" s="25"/>
      <c r="AA189" s="25"/>
    </row>
    <row r="190" spans="1:27" x14ac:dyDescent="0.35">
      <c r="A190" s="5">
        <v>186</v>
      </c>
      <c r="B190" s="5">
        <v>8</v>
      </c>
      <c r="C190" s="5">
        <v>1</v>
      </c>
      <c r="D190" s="25">
        <v>1.1415000000000001E-4</v>
      </c>
      <c r="E190" s="25">
        <v>1.1234999999999999E-4</v>
      </c>
      <c r="F190" s="25">
        <v>9.6940000000000004E-5</v>
      </c>
      <c r="G190" s="25">
        <v>1.6017000000000001E-4</v>
      </c>
      <c r="H190" s="25">
        <v>1.9050999999999999E-4</v>
      </c>
      <c r="I190" s="9">
        <v>1.4184000000000001E-4</v>
      </c>
      <c r="J190" s="9">
        <v>1.5009999999999999E-4</v>
      </c>
      <c r="K190" s="9">
        <v>1.5470999999999999E-4</v>
      </c>
      <c r="L190" s="9">
        <v>2.106E-4</v>
      </c>
      <c r="M190" s="9">
        <v>1.5877999999999999E-4</v>
      </c>
      <c r="N190" s="9">
        <v>1.3847999999999999E-4</v>
      </c>
      <c r="O190" s="9">
        <v>2.0766E-4</v>
      </c>
      <c r="P190" s="9">
        <v>1.6028E-4</v>
      </c>
      <c r="Q190" s="9">
        <v>1.1759E-4</v>
      </c>
      <c r="R190" s="10">
        <v>1.9992747326370006E-4</v>
      </c>
      <c r="S190" s="10">
        <v>1.8869189531134546E-4</v>
      </c>
      <c r="T190" s="10">
        <v>0</v>
      </c>
      <c r="U190" s="10">
        <v>1.838E-4</v>
      </c>
      <c r="V190" s="25"/>
      <c r="W190" s="25"/>
      <c r="X190" s="25"/>
      <c r="Y190" s="25"/>
      <c r="Z190" s="25"/>
      <c r="AA190" s="25"/>
    </row>
    <row r="191" spans="1:27" x14ac:dyDescent="0.35">
      <c r="A191" s="5">
        <v>187</v>
      </c>
      <c r="B191" s="5">
        <v>8</v>
      </c>
      <c r="C191" s="5">
        <v>1</v>
      </c>
      <c r="D191" s="25">
        <v>1.1416E-4</v>
      </c>
      <c r="E191" s="25">
        <v>1.0734999999999999E-4</v>
      </c>
      <c r="F191" s="25">
        <v>1.0962E-4</v>
      </c>
      <c r="G191" s="25">
        <v>1.0775E-4</v>
      </c>
      <c r="H191" s="25">
        <v>1.3027000000000001E-4</v>
      </c>
      <c r="I191" s="9">
        <v>1.4433999999999999E-4</v>
      </c>
      <c r="J191" s="9">
        <v>1.459E-4</v>
      </c>
      <c r="K191" s="9">
        <v>1.6107E-4</v>
      </c>
      <c r="L191" s="9">
        <v>2.0791000000000001E-4</v>
      </c>
      <c r="M191" s="9">
        <v>1.5878999999999999E-4</v>
      </c>
      <c r="N191" s="9">
        <v>1.2952999999999999E-4</v>
      </c>
      <c r="O191" s="9">
        <v>1.6540000000000001E-4</v>
      </c>
      <c r="P191" s="9">
        <v>1.3430000000000001E-4</v>
      </c>
      <c r="Q191" s="9">
        <v>1.0658999999999999E-4</v>
      </c>
      <c r="R191" s="10">
        <v>2.0851229241742323E-4</v>
      </c>
      <c r="S191" s="10">
        <v>1.8894045703102025E-4</v>
      </c>
      <c r="T191" s="10">
        <v>0</v>
      </c>
      <c r="U191" s="10">
        <v>1.838E-4</v>
      </c>
      <c r="V191" s="25"/>
      <c r="W191" s="25"/>
      <c r="X191" s="25"/>
      <c r="Y191" s="25"/>
      <c r="Z191" s="25"/>
      <c r="AA191" s="25"/>
    </row>
    <row r="192" spans="1:27" x14ac:dyDescent="0.35">
      <c r="A192" s="5">
        <v>188</v>
      </c>
      <c r="B192" s="5">
        <v>8</v>
      </c>
      <c r="C192" s="5">
        <v>1</v>
      </c>
      <c r="D192" s="25">
        <v>1.1415000000000001E-4</v>
      </c>
      <c r="E192" s="25">
        <v>1.1152E-4</v>
      </c>
      <c r="F192" s="25">
        <v>9.4840000000000007E-5</v>
      </c>
      <c r="G192" s="25">
        <v>1.1014999999999999E-4</v>
      </c>
      <c r="H192" s="25">
        <v>1.3373000000000001E-4</v>
      </c>
      <c r="I192" s="9">
        <v>1.3777E-4</v>
      </c>
      <c r="J192" s="9">
        <v>1.4037000000000001E-4</v>
      </c>
      <c r="K192" s="9">
        <v>1.7379E-4</v>
      </c>
      <c r="L192" s="9">
        <v>1.749E-4</v>
      </c>
      <c r="M192" s="9">
        <v>1.5014999999999999E-4</v>
      </c>
      <c r="N192" s="9">
        <v>1.2044000000000001E-4</v>
      </c>
      <c r="O192" s="9">
        <v>1.3102E-4</v>
      </c>
      <c r="P192" s="9">
        <v>1.1568E-4</v>
      </c>
      <c r="Q192" s="9">
        <v>1.0262E-4</v>
      </c>
      <c r="R192" s="10">
        <v>2.0956130670015337E-4</v>
      </c>
      <c r="S192" s="10">
        <v>1.9026508730706838E-4</v>
      </c>
      <c r="T192" s="10">
        <v>0</v>
      </c>
      <c r="U192" s="10">
        <v>1.838E-4</v>
      </c>
      <c r="V192" s="25"/>
      <c r="W192" s="25"/>
      <c r="X192" s="25"/>
      <c r="Y192" s="25"/>
      <c r="Z192" s="25"/>
      <c r="AA192" s="25"/>
    </row>
    <row r="193" spans="1:27" x14ac:dyDescent="0.35">
      <c r="A193" s="5">
        <v>189</v>
      </c>
      <c r="B193" s="5">
        <v>8</v>
      </c>
      <c r="C193" s="5">
        <v>1</v>
      </c>
      <c r="D193" s="25">
        <v>1.1416E-4</v>
      </c>
      <c r="E193" s="25">
        <v>1.0828999999999999E-4</v>
      </c>
      <c r="F193" s="25">
        <v>9.09E-5</v>
      </c>
      <c r="G193" s="25">
        <v>6.2299999999999996E-5</v>
      </c>
      <c r="H193" s="25">
        <v>6.8830000000000003E-5</v>
      </c>
      <c r="I193" s="9">
        <v>1.2975000000000001E-4</v>
      </c>
      <c r="J193" s="9">
        <v>1.3333999999999999E-4</v>
      </c>
      <c r="K193" s="9">
        <v>1.8226000000000001E-4</v>
      </c>
      <c r="L193" s="9">
        <v>1.4169000000000001E-4</v>
      </c>
      <c r="M193" s="9">
        <v>1.3530000000000001E-4</v>
      </c>
      <c r="N193" s="9">
        <v>1.1304E-4</v>
      </c>
      <c r="O193" s="9">
        <v>8.5560000000000001E-5</v>
      </c>
      <c r="P193" s="9">
        <v>8.6669999999999995E-5</v>
      </c>
      <c r="Q193" s="9">
        <v>8.8670000000000003E-5</v>
      </c>
      <c r="R193" s="10">
        <v>2.1221944927632538E-4</v>
      </c>
      <c r="S193" s="10">
        <v>1.9027387074761992E-4</v>
      </c>
      <c r="T193" s="10">
        <v>0</v>
      </c>
      <c r="U193" s="10">
        <v>1.838E-4</v>
      </c>
      <c r="V193" s="25"/>
      <c r="W193" s="25"/>
      <c r="X193" s="25"/>
      <c r="Y193" s="25"/>
      <c r="Z193" s="25"/>
      <c r="AA193" s="25"/>
    </row>
    <row r="194" spans="1:27" x14ac:dyDescent="0.35">
      <c r="A194" s="5">
        <v>190</v>
      </c>
      <c r="B194" s="5">
        <v>8</v>
      </c>
      <c r="C194" s="5">
        <v>1</v>
      </c>
      <c r="D194" s="25">
        <v>1.1415000000000001E-4</v>
      </c>
      <c r="E194" s="25">
        <v>1.0875E-4</v>
      </c>
      <c r="F194" s="25">
        <v>1.0280000000000001E-4</v>
      </c>
      <c r="G194" s="25">
        <v>6.3139999999999995E-5</v>
      </c>
      <c r="H194" s="25">
        <v>6.2420000000000002E-5</v>
      </c>
      <c r="I194" s="9">
        <v>1.2354999999999999E-4</v>
      </c>
      <c r="J194" s="9">
        <v>1.2480999999999999E-4</v>
      </c>
      <c r="K194" s="9">
        <v>1.9498000000000001E-4</v>
      </c>
      <c r="L194" s="9">
        <v>9.8809999999999998E-5</v>
      </c>
      <c r="M194" s="9">
        <v>1.1398E-4</v>
      </c>
      <c r="N194" s="9">
        <v>1.0562E-4</v>
      </c>
      <c r="O194" s="9">
        <v>8.7520000000000002E-5</v>
      </c>
      <c r="P194" s="9">
        <v>8.7180000000000002E-5</v>
      </c>
      <c r="Q194" s="9">
        <v>8.7830000000000004E-5</v>
      </c>
      <c r="R194" s="10">
        <v>2.1240547398347439E-4</v>
      </c>
      <c r="S194" s="10">
        <v>1.9027563099935821E-4</v>
      </c>
      <c r="T194" s="10">
        <v>0</v>
      </c>
      <c r="U194" s="10">
        <v>1.838E-4</v>
      </c>
      <c r="V194" s="25"/>
      <c r="W194" s="25"/>
      <c r="X194" s="25"/>
      <c r="Y194" s="25"/>
      <c r="Z194" s="25"/>
      <c r="AA194" s="25"/>
    </row>
    <row r="195" spans="1:27" x14ac:dyDescent="0.35">
      <c r="A195" s="5">
        <v>191</v>
      </c>
      <c r="B195" s="5">
        <v>8</v>
      </c>
      <c r="C195" s="5">
        <v>1</v>
      </c>
      <c r="D195" s="25">
        <v>1.1416E-4</v>
      </c>
      <c r="E195" s="25">
        <v>1.1082E-4</v>
      </c>
      <c r="F195" s="25">
        <v>9.2120000000000006E-5</v>
      </c>
      <c r="G195" s="25">
        <v>6.1249999999999998E-5</v>
      </c>
      <c r="H195" s="25">
        <v>6.5300000000000002E-5</v>
      </c>
      <c r="I195" s="9">
        <v>1.262E-4</v>
      </c>
      <c r="J195" s="9">
        <v>1.1687E-4</v>
      </c>
      <c r="K195" s="9">
        <v>1.9074000000000001E-4</v>
      </c>
      <c r="L195" s="9">
        <v>9.0959999999999996E-5</v>
      </c>
      <c r="M195" s="9">
        <v>9.9099999999999996E-5</v>
      </c>
      <c r="N195" s="9">
        <v>9.98E-5</v>
      </c>
      <c r="O195" s="9">
        <v>7.7490000000000005E-5</v>
      </c>
      <c r="P195" s="9">
        <v>7.1470000000000005E-5</v>
      </c>
      <c r="Q195" s="9">
        <v>6.6270000000000001E-5</v>
      </c>
      <c r="R195" s="10">
        <v>2.1236703074329672E-4</v>
      </c>
      <c r="S195" s="10">
        <v>1.9022796592758499E-4</v>
      </c>
      <c r="T195" s="10">
        <v>0</v>
      </c>
      <c r="U195" s="10">
        <v>1.838E-4</v>
      </c>
      <c r="V195" s="25"/>
      <c r="W195" s="25"/>
      <c r="X195" s="25"/>
      <c r="Y195" s="25"/>
      <c r="Z195" s="25"/>
      <c r="AA195" s="25"/>
    </row>
    <row r="196" spans="1:27" x14ac:dyDescent="0.35">
      <c r="A196" s="5">
        <v>192</v>
      </c>
      <c r="B196" s="5">
        <v>8</v>
      </c>
      <c r="C196" s="5">
        <v>1</v>
      </c>
      <c r="D196" s="25">
        <v>1.1415000000000001E-4</v>
      </c>
      <c r="E196" s="25">
        <v>1.1198E-4</v>
      </c>
      <c r="F196" s="25">
        <v>9.5470000000000006E-5</v>
      </c>
      <c r="G196" s="25">
        <v>5.5050000000000003E-5</v>
      </c>
      <c r="H196" s="25">
        <v>6.9549999999999996E-5</v>
      </c>
      <c r="I196" s="9">
        <v>1.2635000000000001E-4</v>
      </c>
      <c r="J196" s="9">
        <v>1.1107000000000001E-4</v>
      </c>
      <c r="K196" s="9">
        <v>2.0345000000000001E-4</v>
      </c>
      <c r="L196" s="9">
        <v>8.0469999999999994E-5</v>
      </c>
      <c r="M196" s="9">
        <v>8.585E-5</v>
      </c>
      <c r="N196" s="9">
        <v>9.0420000000000005E-5</v>
      </c>
      <c r="O196" s="9">
        <v>6.2830000000000007E-5</v>
      </c>
      <c r="P196" s="9">
        <v>6.0619999999999999E-5</v>
      </c>
      <c r="Q196" s="9">
        <v>5.8810000000000001E-5</v>
      </c>
      <c r="R196" s="10">
        <v>2.122661219103156E-4</v>
      </c>
      <c r="S196" s="10">
        <v>1.9027888921022853E-4</v>
      </c>
      <c r="T196" s="10">
        <v>0</v>
      </c>
      <c r="U196" s="10">
        <v>1.838E-4</v>
      </c>
      <c r="V196" s="25"/>
      <c r="W196" s="25"/>
      <c r="X196" s="25"/>
      <c r="Y196" s="25"/>
      <c r="Z196" s="25"/>
      <c r="AA196" s="25"/>
    </row>
    <row r="197" spans="1:27" x14ac:dyDescent="0.35">
      <c r="A197" s="5">
        <v>193</v>
      </c>
      <c r="B197" s="5">
        <v>9</v>
      </c>
      <c r="C197" s="5">
        <v>1</v>
      </c>
      <c r="D197" s="25">
        <v>1.1416E-4</v>
      </c>
      <c r="E197" s="25">
        <v>1.1697E-4</v>
      </c>
      <c r="F197" s="25">
        <v>9.9779999999999997E-5</v>
      </c>
      <c r="G197" s="25">
        <v>6.355E-5</v>
      </c>
      <c r="H197" s="25">
        <v>6.9579999999999995E-5</v>
      </c>
      <c r="I197" s="9">
        <v>1.1784E-4</v>
      </c>
      <c r="J197" s="9">
        <v>1.0499E-4</v>
      </c>
      <c r="K197" s="9">
        <v>2.0345000000000001E-4</v>
      </c>
      <c r="L197" s="9">
        <v>6.6710000000000003E-5</v>
      </c>
      <c r="M197" s="9">
        <v>7.3720000000000006E-5</v>
      </c>
      <c r="N197" s="9">
        <v>8.1030000000000002E-5</v>
      </c>
      <c r="O197" s="9">
        <v>5.401E-5</v>
      </c>
      <c r="P197" s="9">
        <v>5.3440000000000003E-5</v>
      </c>
      <c r="Q197" s="9">
        <v>5.3019999999999997E-5</v>
      </c>
      <c r="R197" s="10">
        <v>2.1206506599330468E-4</v>
      </c>
      <c r="S197" s="10">
        <v>1.9025262580494809E-4</v>
      </c>
      <c r="T197" s="10">
        <v>0</v>
      </c>
      <c r="U197" s="10">
        <v>1.8597000000000001E-4</v>
      </c>
      <c r="V197" s="25"/>
      <c r="W197" s="25"/>
      <c r="X197" s="25"/>
      <c r="Y197" s="25"/>
      <c r="Z197" s="25"/>
      <c r="AA197" s="25"/>
    </row>
    <row r="198" spans="1:27" x14ac:dyDescent="0.35">
      <c r="A198" s="5">
        <v>194</v>
      </c>
      <c r="B198" s="5">
        <v>9</v>
      </c>
      <c r="C198" s="5">
        <v>1</v>
      </c>
      <c r="D198" s="25">
        <v>1.1415000000000001E-4</v>
      </c>
      <c r="E198" s="25">
        <v>1.1959999999999999E-4</v>
      </c>
      <c r="F198" s="25">
        <v>9.0580000000000004E-5</v>
      </c>
      <c r="G198" s="25">
        <v>5.8619999999999998E-5</v>
      </c>
      <c r="H198" s="25">
        <v>6.8609999999999995E-5</v>
      </c>
      <c r="I198" s="9">
        <v>1.1061999999999999E-4</v>
      </c>
      <c r="J198" s="9">
        <v>9.9199999999999999E-5</v>
      </c>
      <c r="K198" s="9">
        <v>2.0346000000000001E-4</v>
      </c>
      <c r="L198" s="9">
        <v>5.7179999999999998E-5</v>
      </c>
      <c r="M198" s="9">
        <v>6.355E-5</v>
      </c>
      <c r="N198" s="9">
        <v>7.1829999999999995E-5</v>
      </c>
      <c r="O198" s="9">
        <v>1.8340000000000001E-5</v>
      </c>
      <c r="P198" s="9">
        <v>3.7910000000000001E-5</v>
      </c>
      <c r="Q198" s="9">
        <v>5.6419999999999999E-5</v>
      </c>
      <c r="R198" s="10">
        <v>2.1232109540085813E-4</v>
      </c>
      <c r="S198" s="10">
        <v>1.9029020759484994E-4</v>
      </c>
      <c r="T198" s="10">
        <v>0</v>
      </c>
      <c r="U198" s="10">
        <v>1.8597000000000001E-4</v>
      </c>
      <c r="V198" s="25"/>
      <c r="W198" s="25"/>
      <c r="X198" s="25"/>
      <c r="Y198" s="25"/>
      <c r="Z198" s="25"/>
      <c r="AA198" s="25"/>
    </row>
    <row r="199" spans="1:27" x14ac:dyDescent="0.35">
      <c r="A199" s="5">
        <v>195</v>
      </c>
      <c r="B199" s="5">
        <v>9</v>
      </c>
      <c r="C199" s="5">
        <v>1</v>
      </c>
      <c r="D199" s="25">
        <v>1.1416E-4</v>
      </c>
      <c r="E199" s="25">
        <v>1.2338E-4</v>
      </c>
      <c r="F199" s="25">
        <v>1.0441E-4</v>
      </c>
      <c r="G199" s="25">
        <v>6.2420000000000002E-5</v>
      </c>
      <c r="H199" s="25">
        <v>7.5859999999999995E-5</v>
      </c>
      <c r="I199" s="9">
        <v>1.0552000000000001E-4</v>
      </c>
      <c r="J199" s="9">
        <v>9.5680000000000005E-5</v>
      </c>
      <c r="K199" s="9">
        <v>1.9709E-4</v>
      </c>
      <c r="L199" s="9">
        <v>2.7100000000000001E-5</v>
      </c>
      <c r="M199" s="9">
        <v>5.1999999999999997E-5</v>
      </c>
      <c r="N199" s="9">
        <v>6.533E-5</v>
      </c>
      <c r="O199" s="9">
        <v>1.2670000000000001E-5</v>
      </c>
      <c r="P199" s="9">
        <v>3.769E-5</v>
      </c>
      <c r="Q199" s="9">
        <v>6.1439999999999995E-5</v>
      </c>
      <c r="R199" s="10">
        <v>2.1244734504641252E-4</v>
      </c>
      <c r="S199" s="10">
        <v>1.9029020759484994E-4</v>
      </c>
      <c r="T199" s="10">
        <v>0</v>
      </c>
      <c r="U199" s="10">
        <v>1.8597000000000001E-4</v>
      </c>
      <c r="V199" s="25"/>
      <c r="W199" s="25"/>
      <c r="X199" s="25"/>
      <c r="Y199" s="25"/>
      <c r="Z199" s="25"/>
      <c r="AA199" s="25"/>
    </row>
    <row r="200" spans="1:27" x14ac:dyDescent="0.35">
      <c r="A200" s="5">
        <v>196</v>
      </c>
      <c r="B200" s="5">
        <v>9</v>
      </c>
      <c r="C200" s="5">
        <v>1</v>
      </c>
      <c r="D200" s="25">
        <v>1.1415000000000001E-4</v>
      </c>
      <c r="E200" s="25">
        <v>1.1938E-4</v>
      </c>
      <c r="F200" s="25">
        <v>1.0258E-4</v>
      </c>
      <c r="G200" s="25">
        <v>6.2169999999999996E-5</v>
      </c>
      <c r="H200" s="25">
        <v>6.9610000000000006E-5</v>
      </c>
      <c r="I200" s="9">
        <v>1.0224E-4</v>
      </c>
      <c r="J200" s="9">
        <v>9.3859999999999999E-5</v>
      </c>
      <c r="K200" s="9">
        <v>1.9709999999999999E-4</v>
      </c>
      <c r="L200" s="9">
        <v>1.6589999999999999E-5</v>
      </c>
      <c r="M200" s="9">
        <v>4.4100000000000001E-5</v>
      </c>
      <c r="N200" s="9">
        <v>6.1749999999999997E-5</v>
      </c>
      <c r="O200" s="9">
        <v>1.2670000000000001E-5</v>
      </c>
      <c r="P200" s="9">
        <v>4.7129999999999998E-5</v>
      </c>
      <c r="Q200" s="9">
        <v>8.0160000000000005E-5</v>
      </c>
      <c r="R200" s="10">
        <v>2.1244936787709023E-4</v>
      </c>
      <c r="S200" s="10">
        <v>1.9028989991720744E-4</v>
      </c>
      <c r="T200" s="10">
        <v>0</v>
      </c>
      <c r="U200" s="10">
        <v>1.8597000000000001E-4</v>
      </c>
      <c r="V200" s="25"/>
      <c r="W200" s="25"/>
      <c r="X200" s="25"/>
      <c r="Y200" s="25"/>
      <c r="Z200" s="25"/>
      <c r="AA200" s="25"/>
    </row>
    <row r="201" spans="1:27" x14ac:dyDescent="0.35">
      <c r="A201" s="5">
        <v>197</v>
      </c>
      <c r="B201" s="5">
        <v>9</v>
      </c>
      <c r="C201" s="5">
        <v>1</v>
      </c>
      <c r="D201" s="25">
        <v>1.1416E-4</v>
      </c>
      <c r="E201" s="25">
        <v>1.1814E-4</v>
      </c>
      <c r="F201" s="25">
        <v>8.6199999999999995E-5</v>
      </c>
      <c r="G201" s="25">
        <v>5.8950000000000003E-5</v>
      </c>
      <c r="H201" s="25">
        <v>7.3709999999999997E-5</v>
      </c>
      <c r="I201" s="9">
        <v>1.0071E-4</v>
      </c>
      <c r="J201" s="9">
        <v>9.3319999999999994E-5</v>
      </c>
      <c r="K201" s="9">
        <v>1.9498000000000001E-4</v>
      </c>
      <c r="L201" s="9">
        <v>1.378E-5</v>
      </c>
      <c r="M201" s="9">
        <v>4.3420000000000001E-5</v>
      </c>
      <c r="N201" s="9">
        <v>6.4289999999999996E-5</v>
      </c>
      <c r="O201" s="9">
        <v>1.8309999999999999E-5</v>
      </c>
      <c r="P201" s="9">
        <v>5.6759999999999999E-5</v>
      </c>
      <c r="Q201" s="9">
        <v>9.3859999999999999E-5</v>
      </c>
      <c r="R201" s="10">
        <v>2.1244936787709023E-4</v>
      </c>
      <c r="S201" s="10">
        <v>1.8799463791937043E-4</v>
      </c>
      <c r="T201" s="10">
        <v>0</v>
      </c>
      <c r="U201" s="10">
        <v>1.8597000000000001E-4</v>
      </c>
      <c r="V201" s="25"/>
      <c r="W201" s="25"/>
      <c r="X201" s="25"/>
      <c r="Y201" s="25"/>
      <c r="Z201" s="25"/>
      <c r="AA201" s="25"/>
    </row>
    <row r="202" spans="1:27" x14ac:dyDescent="0.35">
      <c r="A202" s="5">
        <v>198</v>
      </c>
      <c r="B202" s="5">
        <v>9</v>
      </c>
      <c r="C202" s="5">
        <v>1</v>
      </c>
      <c r="D202" s="25">
        <v>1.1415000000000001E-4</v>
      </c>
      <c r="E202" s="25">
        <v>1.1875E-4</v>
      </c>
      <c r="F202" s="25">
        <v>9.8980000000000004E-5</v>
      </c>
      <c r="G202" s="25">
        <v>1.0632999999999999E-4</v>
      </c>
      <c r="H202" s="25">
        <v>1.3417E-4</v>
      </c>
      <c r="I202" s="9">
        <v>1.0095E-4</v>
      </c>
      <c r="J202" s="9">
        <v>9.4519999999999996E-5</v>
      </c>
      <c r="K202" s="9">
        <v>1.9709999999999999E-4</v>
      </c>
      <c r="L202" s="9">
        <v>1.7180000000000002E-5</v>
      </c>
      <c r="M202" s="9">
        <v>4.8390000000000003E-5</v>
      </c>
      <c r="N202" s="9">
        <v>7.0939999999999995E-5</v>
      </c>
      <c r="O202" s="9">
        <v>4.6220000000000001E-5</v>
      </c>
      <c r="P202" s="9">
        <v>7.6970000000000003E-5</v>
      </c>
      <c r="Q202" s="9">
        <v>1.0718E-4</v>
      </c>
      <c r="R202" s="10">
        <v>2.1244936787709023E-4</v>
      </c>
      <c r="S202" s="10">
        <v>1.651760470656765E-4</v>
      </c>
      <c r="T202" s="10">
        <v>0</v>
      </c>
      <c r="U202" s="10">
        <v>1.8597000000000001E-4</v>
      </c>
      <c r="V202" s="25"/>
      <c r="W202" s="25"/>
      <c r="X202" s="25"/>
      <c r="Y202" s="25"/>
      <c r="Z202" s="25"/>
      <c r="AA202" s="25"/>
    </row>
    <row r="203" spans="1:27" x14ac:dyDescent="0.35">
      <c r="A203" s="5">
        <v>199</v>
      </c>
      <c r="B203" s="5">
        <v>9</v>
      </c>
      <c r="C203" s="5">
        <v>1</v>
      </c>
      <c r="D203" s="25">
        <v>1.1416E-4</v>
      </c>
      <c r="E203" s="25">
        <v>1.2134E-4</v>
      </c>
      <c r="F203" s="25">
        <v>9.8079999999999996E-5</v>
      </c>
      <c r="G203" s="25">
        <v>1.1391E-4</v>
      </c>
      <c r="H203" s="25">
        <v>1.3781000000000001E-4</v>
      </c>
      <c r="I203" s="9">
        <v>1.0323E-4</v>
      </c>
      <c r="J203" s="9">
        <v>9.8579999999999995E-5</v>
      </c>
      <c r="K203" s="9">
        <v>1.9285999999999999E-4</v>
      </c>
      <c r="L203" s="9">
        <v>3.968E-5</v>
      </c>
      <c r="M203" s="9">
        <v>6.0080000000000001E-5</v>
      </c>
      <c r="N203" s="9">
        <v>8.0729999999999994E-5</v>
      </c>
      <c r="O203" s="9">
        <v>1.2307E-4</v>
      </c>
      <c r="P203" s="9">
        <v>1.1621E-4</v>
      </c>
      <c r="Q203" s="9">
        <v>1.1132E-4</v>
      </c>
      <c r="R203" s="10">
        <v>2.1244936787709023E-4</v>
      </c>
      <c r="S203" s="10">
        <v>1.6095171984924079E-4</v>
      </c>
      <c r="T203" s="10">
        <v>0</v>
      </c>
      <c r="U203" s="10">
        <v>1.8597000000000001E-4</v>
      </c>
      <c r="V203" s="25"/>
      <c r="W203" s="25"/>
      <c r="X203" s="25"/>
      <c r="Y203" s="25"/>
      <c r="Z203" s="25"/>
      <c r="AA203" s="25"/>
    </row>
    <row r="204" spans="1:27" x14ac:dyDescent="0.35">
      <c r="A204" s="5">
        <v>200</v>
      </c>
      <c r="B204" s="5">
        <v>9</v>
      </c>
      <c r="C204" s="5">
        <v>1</v>
      </c>
      <c r="D204" s="25">
        <v>1.1415000000000001E-4</v>
      </c>
      <c r="E204" s="25">
        <v>1.1534E-4</v>
      </c>
      <c r="F204" s="25">
        <v>9.1689999999999998E-5</v>
      </c>
      <c r="G204" s="25">
        <v>1.6572000000000001E-4</v>
      </c>
      <c r="H204" s="25">
        <v>1.9581000000000001E-4</v>
      </c>
      <c r="I204" s="9">
        <v>1.0695E-4</v>
      </c>
      <c r="J204" s="9">
        <v>1.0598E-4</v>
      </c>
      <c r="K204" s="9">
        <v>1.8861999999999999E-4</v>
      </c>
      <c r="L204" s="9">
        <v>1.041E-4</v>
      </c>
      <c r="M204" s="9">
        <v>8.3300000000000005E-5</v>
      </c>
      <c r="N204" s="9">
        <v>9.0589999999999998E-5</v>
      </c>
      <c r="O204" s="9">
        <v>2.2016000000000001E-4</v>
      </c>
      <c r="P204" s="9">
        <v>1.7530000000000001E-4</v>
      </c>
      <c r="Q204" s="9">
        <v>1.3542E-4</v>
      </c>
      <c r="R204" s="10">
        <v>2.1244936787709023E-4</v>
      </c>
      <c r="S204" s="10">
        <v>1.6236635414088103E-4</v>
      </c>
      <c r="T204" s="10">
        <v>0</v>
      </c>
      <c r="U204" s="10">
        <v>1.8597000000000001E-4</v>
      </c>
      <c r="V204" s="25"/>
      <c r="W204" s="25"/>
      <c r="X204" s="25"/>
      <c r="Y204" s="25"/>
      <c r="Z204" s="25"/>
      <c r="AA204" s="25"/>
    </row>
    <row r="205" spans="1:27" x14ac:dyDescent="0.35">
      <c r="A205" s="5">
        <v>201</v>
      </c>
      <c r="B205" s="5">
        <v>9</v>
      </c>
      <c r="C205" s="5">
        <v>1</v>
      </c>
      <c r="D205" s="25">
        <v>1.1416E-4</v>
      </c>
      <c r="E205" s="25">
        <v>1.238E-4</v>
      </c>
      <c r="F205" s="25">
        <v>9.3560000000000005E-5</v>
      </c>
      <c r="G205" s="25">
        <v>1.5668E-4</v>
      </c>
      <c r="H205" s="25">
        <v>1.9773999999999999E-4</v>
      </c>
      <c r="I205" s="9">
        <v>1.1502000000000001E-4</v>
      </c>
      <c r="J205" s="9">
        <v>1.1510000000000001E-4</v>
      </c>
      <c r="K205" s="9">
        <v>1.7802000000000001E-4</v>
      </c>
      <c r="L205" s="9">
        <v>1.9285999999999999E-4</v>
      </c>
      <c r="M205" s="9">
        <v>1.2242000000000001E-4</v>
      </c>
      <c r="N205" s="9">
        <v>1.0408000000000001E-4</v>
      </c>
      <c r="O205" s="9">
        <v>2.1285E-4</v>
      </c>
      <c r="P205" s="9">
        <v>1.9226000000000001E-4</v>
      </c>
      <c r="Q205" s="9">
        <v>1.7608000000000001E-4</v>
      </c>
      <c r="R205" s="10">
        <v>2.1244936787709023E-4</v>
      </c>
      <c r="S205" s="10">
        <v>1.6647908496789728E-4</v>
      </c>
      <c r="T205" s="10">
        <v>0</v>
      </c>
      <c r="U205" s="10">
        <v>1.8597000000000001E-4</v>
      </c>
      <c r="V205" s="25"/>
      <c r="W205" s="25"/>
      <c r="X205" s="25"/>
      <c r="Y205" s="25"/>
      <c r="Z205" s="25"/>
      <c r="AA205" s="25"/>
    </row>
    <row r="206" spans="1:27" x14ac:dyDescent="0.35">
      <c r="A206" s="5">
        <v>202</v>
      </c>
      <c r="B206" s="5">
        <v>9</v>
      </c>
      <c r="C206" s="5">
        <v>1</v>
      </c>
      <c r="D206" s="25">
        <v>1.1415000000000001E-4</v>
      </c>
      <c r="E206" s="25">
        <v>1.1369E-4</v>
      </c>
      <c r="F206" s="25">
        <v>1.0090999999999999E-4</v>
      </c>
      <c r="G206" s="25">
        <v>1.5904999999999999E-4</v>
      </c>
      <c r="H206" s="25">
        <v>1.9909999999999999E-4</v>
      </c>
      <c r="I206" s="9">
        <v>1.2004E-4</v>
      </c>
      <c r="J206" s="9">
        <v>1.2245999999999999E-4</v>
      </c>
      <c r="K206" s="9">
        <v>1.6531E-4</v>
      </c>
      <c r="L206" s="9">
        <v>2.0613000000000001E-4</v>
      </c>
      <c r="M206" s="9">
        <v>1.5747999999999999E-4</v>
      </c>
      <c r="N206" s="9">
        <v>1.2396E-4</v>
      </c>
      <c r="O206" s="9">
        <v>1.6830999999999999E-4</v>
      </c>
      <c r="P206" s="9">
        <v>1.7338E-4</v>
      </c>
      <c r="Q206" s="9">
        <v>1.8136000000000001E-4</v>
      </c>
      <c r="R206" s="10">
        <v>2.1244936787709023E-4</v>
      </c>
      <c r="S206" s="10">
        <v>1.6502947929394134E-4</v>
      </c>
      <c r="T206" s="10">
        <v>2.502019878357028E-5</v>
      </c>
      <c r="U206" s="10">
        <v>1.8597000000000001E-4</v>
      </c>
      <c r="V206" s="25"/>
      <c r="W206" s="25"/>
      <c r="X206" s="25"/>
      <c r="Y206" s="25"/>
      <c r="Z206" s="25"/>
      <c r="AA206" s="25"/>
    </row>
    <row r="207" spans="1:27" x14ac:dyDescent="0.35">
      <c r="A207" s="5">
        <v>203</v>
      </c>
      <c r="B207" s="5">
        <v>9</v>
      </c>
      <c r="C207" s="5">
        <v>1</v>
      </c>
      <c r="D207" s="25">
        <v>1.1416E-4</v>
      </c>
      <c r="E207" s="25">
        <v>1.22E-4</v>
      </c>
      <c r="F207" s="25">
        <v>8.3809999999999999E-5</v>
      </c>
      <c r="G207" s="25">
        <v>1.5729000000000001E-4</v>
      </c>
      <c r="H207" s="25">
        <v>1.8975E-4</v>
      </c>
      <c r="I207" s="9">
        <v>1.2274000000000001E-4</v>
      </c>
      <c r="J207" s="9">
        <v>1.2673E-4</v>
      </c>
      <c r="K207" s="9">
        <v>1.4624000000000001E-4</v>
      </c>
      <c r="L207" s="9">
        <v>1.7668E-4</v>
      </c>
      <c r="M207" s="9">
        <v>1.7134999999999999E-4</v>
      </c>
      <c r="N207" s="9">
        <v>1.4192999999999999E-4</v>
      </c>
      <c r="O207" s="9">
        <v>1.6778999999999999E-4</v>
      </c>
      <c r="P207" s="9">
        <v>1.7150999999999999E-4</v>
      </c>
      <c r="Q207" s="9">
        <v>1.7814E-4</v>
      </c>
      <c r="R207" s="10">
        <v>2.1244936787709023E-4</v>
      </c>
      <c r="S207" s="10">
        <v>1.7480847445473696E-4</v>
      </c>
      <c r="T207" s="10">
        <v>3.7288495643876364E-5</v>
      </c>
      <c r="U207" s="10">
        <v>1.8597000000000001E-4</v>
      </c>
      <c r="V207" s="25"/>
      <c r="W207" s="25"/>
      <c r="X207" s="25"/>
      <c r="Y207" s="25"/>
      <c r="Z207" s="25"/>
      <c r="AA207" s="25"/>
    </row>
    <row r="208" spans="1:27" x14ac:dyDescent="0.35">
      <c r="A208" s="5">
        <v>204</v>
      </c>
      <c r="B208" s="5">
        <v>9</v>
      </c>
      <c r="C208" s="5">
        <v>1</v>
      </c>
      <c r="D208" s="25">
        <v>1.1415000000000001E-4</v>
      </c>
      <c r="E208" s="25">
        <v>1.2231000000000001E-4</v>
      </c>
      <c r="F208" s="25">
        <v>1.0349E-4</v>
      </c>
      <c r="G208" s="25">
        <v>1.661E-4</v>
      </c>
      <c r="H208" s="25">
        <v>1.8834E-4</v>
      </c>
      <c r="I208" s="9">
        <v>1.2412E-4</v>
      </c>
      <c r="J208" s="9">
        <v>1.2815E-4</v>
      </c>
      <c r="K208" s="9">
        <v>1.3564E-4</v>
      </c>
      <c r="L208" s="9">
        <v>1.7117E-4</v>
      </c>
      <c r="M208" s="9">
        <v>1.7377000000000001E-4</v>
      </c>
      <c r="N208" s="9">
        <v>1.5579999999999999E-4</v>
      </c>
      <c r="O208" s="9">
        <v>1.7185E-4</v>
      </c>
      <c r="P208" s="9">
        <v>1.7144999999999999E-4</v>
      </c>
      <c r="Q208" s="9">
        <v>1.7411999999999999E-4</v>
      </c>
      <c r="R208" s="10">
        <v>2.1244936787709023E-4</v>
      </c>
      <c r="S208" s="10">
        <v>1.6448027810532704E-4</v>
      </c>
      <c r="T208" s="10">
        <v>4.5611593306366169E-5</v>
      </c>
      <c r="U208" s="10">
        <v>1.8597000000000001E-4</v>
      </c>
      <c r="V208" s="25"/>
      <c r="W208" s="25"/>
      <c r="X208" s="25"/>
      <c r="Y208" s="25"/>
      <c r="Z208" s="25"/>
      <c r="AA208" s="25"/>
    </row>
    <row r="209" spans="1:27" x14ac:dyDescent="0.35">
      <c r="A209" s="5">
        <v>205</v>
      </c>
      <c r="B209" s="5">
        <v>9</v>
      </c>
      <c r="C209" s="5">
        <v>1</v>
      </c>
      <c r="D209" s="25">
        <v>1.1416E-4</v>
      </c>
      <c r="E209" s="25">
        <v>1.2331000000000001E-4</v>
      </c>
      <c r="F209" s="25">
        <v>8.9240000000000006E-5</v>
      </c>
      <c r="G209" s="25">
        <v>1.6080000000000001E-4</v>
      </c>
      <c r="H209" s="25">
        <v>1.9777E-4</v>
      </c>
      <c r="I209" s="9">
        <v>1.2397999999999999E-4</v>
      </c>
      <c r="J209" s="9">
        <v>1.2736E-4</v>
      </c>
      <c r="K209" s="9">
        <v>1.2716E-4</v>
      </c>
      <c r="L209" s="9">
        <v>1.7187999999999999E-4</v>
      </c>
      <c r="M209" s="9">
        <v>1.7306999999999999E-4</v>
      </c>
      <c r="N209" s="9">
        <v>1.6542999999999999E-4</v>
      </c>
      <c r="O209" s="9">
        <v>1.6341000000000001E-4</v>
      </c>
      <c r="P209" s="9">
        <v>1.6396E-4</v>
      </c>
      <c r="Q209" s="9">
        <v>1.6736E-4</v>
      </c>
      <c r="R209" s="10">
        <v>2.1244936787709023E-4</v>
      </c>
      <c r="S209" s="10">
        <v>1.8037964955066549E-4</v>
      </c>
      <c r="T209" s="10">
        <v>4.7062408495240541E-5</v>
      </c>
      <c r="U209" s="10">
        <v>1.8597000000000001E-4</v>
      </c>
      <c r="V209" s="25"/>
      <c r="W209" s="25"/>
      <c r="X209" s="25"/>
      <c r="Y209" s="25"/>
      <c r="Z209" s="25"/>
      <c r="AA209" s="25"/>
    </row>
    <row r="210" spans="1:27" x14ac:dyDescent="0.35">
      <c r="A210" s="5">
        <v>206</v>
      </c>
      <c r="B210" s="5">
        <v>9</v>
      </c>
      <c r="C210" s="5">
        <v>1</v>
      </c>
      <c r="D210" s="25">
        <v>1.1415000000000001E-4</v>
      </c>
      <c r="E210" s="25">
        <v>1.2339999999999999E-4</v>
      </c>
      <c r="F210" s="25">
        <v>9.7230000000000003E-5</v>
      </c>
      <c r="G210" s="25">
        <v>1.5890000000000001E-4</v>
      </c>
      <c r="H210" s="25">
        <v>1.9023E-4</v>
      </c>
      <c r="I210" s="9">
        <v>1.2233E-4</v>
      </c>
      <c r="J210" s="9">
        <v>1.2619000000000001E-4</v>
      </c>
      <c r="K210" s="9">
        <v>1.2716E-4</v>
      </c>
      <c r="L210" s="9">
        <v>1.6499E-4</v>
      </c>
      <c r="M210" s="9">
        <v>1.6958000000000001E-4</v>
      </c>
      <c r="N210" s="9">
        <v>1.6991E-4</v>
      </c>
      <c r="O210" s="9">
        <v>1.8189000000000001E-4</v>
      </c>
      <c r="P210" s="9">
        <v>1.7030999999999999E-4</v>
      </c>
      <c r="Q210" s="9">
        <v>1.6221000000000001E-4</v>
      </c>
      <c r="R210" s="10">
        <v>2.1244936787709023E-4</v>
      </c>
      <c r="S210" s="10">
        <v>1.7992802134636317E-4</v>
      </c>
      <c r="T210" s="10">
        <v>3.4072946190172344E-5</v>
      </c>
      <c r="U210" s="10">
        <v>1.8597000000000001E-4</v>
      </c>
      <c r="V210" s="25"/>
      <c r="W210" s="25"/>
      <c r="X210" s="25"/>
      <c r="Y210" s="25"/>
      <c r="Z210" s="25"/>
      <c r="AA210" s="25"/>
    </row>
    <row r="211" spans="1:27" x14ac:dyDescent="0.35">
      <c r="A211" s="5">
        <v>207</v>
      </c>
      <c r="B211" s="5">
        <v>9</v>
      </c>
      <c r="C211" s="5">
        <v>1</v>
      </c>
      <c r="D211" s="25">
        <v>1.1416E-4</v>
      </c>
      <c r="E211" s="25">
        <v>1.1904E-4</v>
      </c>
      <c r="F211" s="25">
        <v>9.9759999999999994E-5</v>
      </c>
      <c r="G211" s="25">
        <v>1.6144999999999999E-4</v>
      </c>
      <c r="H211" s="25">
        <v>1.8833000000000001E-4</v>
      </c>
      <c r="I211" s="9">
        <v>1.1953E-4</v>
      </c>
      <c r="J211" s="9">
        <v>1.2494000000000001E-4</v>
      </c>
      <c r="K211" s="9">
        <v>1.314E-4</v>
      </c>
      <c r="L211" s="9">
        <v>1.7833000000000001E-4</v>
      </c>
      <c r="M211" s="9">
        <v>1.6883999999999999E-4</v>
      </c>
      <c r="N211" s="9">
        <v>1.6992E-4</v>
      </c>
      <c r="O211" s="9">
        <v>1.8453E-4</v>
      </c>
      <c r="P211" s="9">
        <v>1.6625E-4</v>
      </c>
      <c r="Q211" s="9">
        <v>1.5164000000000001E-4</v>
      </c>
      <c r="R211" s="10">
        <v>2.1244936787709023E-4</v>
      </c>
      <c r="S211" s="10">
        <v>1.8737572826320206E-4</v>
      </c>
      <c r="T211" s="10">
        <v>1.4669353576396412E-5</v>
      </c>
      <c r="U211" s="10">
        <v>1.8597000000000001E-4</v>
      </c>
      <c r="V211" s="25"/>
      <c r="W211" s="25"/>
      <c r="X211" s="25"/>
      <c r="Y211" s="25"/>
      <c r="Z211" s="25"/>
      <c r="AA211" s="25"/>
    </row>
    <row r="212" spans="1:27" x14ac:dyDescent="0.35">
      <c r="A212" s="5">
        <v>208</v>
      </c>
      <c r="B212" s="5">
        <v>9</v>
      </c>
      <c r="C212" s="5">
        <v>1</v>
      </c>
      <c r="D212" s="25">
        <v>1.1415000000000001E-4</v>
      </c>
      <c r="E212" s="25">
        <v>1.1265E-4</v>
      </c>
      <c r="F212" s="25">
        <v>8.4919999999999993E-5</v>
      </c>
      <c r="G212" s="25">
        <v>1.6311E-4</v>
      </c>
      <c r="H212" s="25">
        <v>1.9891E-4</v>
      </c>
      <c r="I212" s="9">
        <v>1.1958E-4</v>
      </c>
      <c r="J212" s="9">
        <v>1.2416E-4</v>
      </c>
      <c r="K212" s="9">
        <v>1.6107E-4</v>
      </c>
      <c r="L212" s="9">
        <v>1.8281999999999999E-4</v>
      </c>
      <c r="M212" s="9">
        <v>1.6780000000000001E-4</v>
      </c>
      <c r="N212" s="9">
        <v>1.6598000000000001E-4</v>
      </c>
      <c r="O212" s="9">
        <v>1.9956999999999999E-4</v>
      </c>
      <c r="P212" s="9">
        <v>1.5239999999999999E-4</v>
      </c>
      <c r="Q212" s="9">
        <v>1.0972E-4</v>
      </c>
      <c r="R212" s="10">
        <v>2.1244936787709023E-4</v>
      </c>
      <c r="S212" s="10">
        <v>1.9019547405119984E-4</v>
      </c>
      <c r="T212" s="10">
        <v>1.1708333103196673E-6</v>
      </c>
      <c r="U212" s="10">
        <v>1.8597000000000001E-4</v>
      </c>
      <c r="V212" s="25"/>
      <c r="W212" s="25"/>
      <c r="X212" s="25"/>
      <c r="Y212" s="25"/>
      <c r="Z212" s="25"/>
      <c r="AA212" s="25"/>
    </row>
    <row r="213" spans="1:27" x14ac:dyDescent="0.35">
      <c r="A213" s="5">
        <v>209</v>
      </c>
      <c r="B213" s="5">
        <v>9</v>
      </c>
      <c r="C213" s="5">
        <v>1</v>
      </c>
      <c r="D213" s="25">
        <v>1.1416E-4</v>
      </c>
      <c r="E213" s="25">
        <v>1.1283E-4</v>
      </c>
      <c r="F213" s="25">
        <v>9.4840000000000007E-5</v>
      </c>
      <c r="G213" s="25">
        <v>1.6547E-4</v>
      </c>
      <c r="H213" s="25">
        <v>1.8896000000000001E-4</v>
      </c>
      <c r="I213" s="9">
        <v>1.2023000000000001E-4</v>
      </c>
      <c r="J213" s="9">
        <v>1.2727999999999999E-4</v>
      </c>
      <c r="K213" s="9">
        <v>1.5472000000000001E-4</v>
      </c>
      <c r="L213" s="9">
        <v>1.9570000000000001E-4</v>
      </c>
      <c r="M213" s="9">
        <v>1.6206E-4</v>
      </c>
      <c r="N213" s="9">
        <v>1.5237000000000001E-4</v>
      </c>
      <c r="O213" s="9">
        <v>2.1807E-4</v>
      </c>
      <c r="P213" s="9">
        <v>1.6044E-4</v>
      </c>
      <c r="Q213" s="9">
        <v>1.0792E-4</v>
      </c>
      <c r="R213" s="10">
        <v>2.1244936787709023E-4</v>
      </c>
      <c r="S213" s="10">
        <v>1.9028592027584386E-4</v>
      </c>
      <c r="T213" s="10">
        <v>0</v>
      </c>
      <c r="U213" s="10">
        <v>1.8597000000000001E-4</v>
      </c>
      <c r="V213" s="25"/>
      <c r="W213" s="25"/>
      <c r="X213" s="25"/>
      <c r="Y213" s="25"/>
      <c r="Z213" s="25"/>
      <c r="AA213" s="25"/>
    </row>
    <row r="214" spans="1:27" x14ac:dyDescent="0.35">
      <c r="A214" s="5">
        <v>210</v>
      </c>
      <c r="B214" s="5">
        <v>9</v>
      </c>
      <c r="C214" s="5">
        <v>1</v>
      </c>
      <c r="D214" s="25">
        <v>1.1415000000000001E-4</v>
      </c>
      <c r="E214" s="25">
        <v>1.2216000000000001E-4</v>
      </c>
      <c r="F214" s="25">
        <v>8.5459999999999998E-5</v>
      </c>
      <c r="G214" s="25">
        <v>1.6513000000000001E-4</v>
      </c>
      <c r="H214" s="25">
        <v>1.9097E-4</v>
      </c>
      <c r="I214" s="9">
        <v>1.2741E-4</v>
      </c>
      <c r="J214" s="9">
        <v>1.3551000000000001E-4</v>
      </c>
      <c r="K214" s="9">
        <v>1.5046999999999999E-4</v>
      </c>
      <c r="L214" s="9">
        <v>2.1289E-4</v>
      </c>
      <c r="M214" s="9">
        <v>1.5990000000000001E-4</v>
      </c>
      <c r="N214" s="9">
        <v>1.3924E-4</v>
      </c>
      <c r="O214" s="9">
        <v>2.0748000000000001E-4</v>
      </c>
      <c r="P214" s="9">
        <v>1.6013999999999999E-4</v>
      </c>
      <c r="Q214" s="9">
        <v>1.1749E-4</v>
      </c>
      <c r="R214" s="10">
        <v>2.1244803237352851E-4</v>
      </c>
      <c r="S214" s="10">
        <v>1.9028979461016706E-4</v>
      </c>
      <c r="T214" s="10">
        <v>0</v>
      </c>
      <c r="U214" s="10">
        <v>1.8597000000000001E-4</v>
      </c>
      <c r="V214" s="25"/>
      <c r="W214" s="25"/>
      <c r="X214" s="25"/>
      <c r="Y214" s="25"/>
      <c r="Z214" s="25"/>
      <c r="AA214" s="25"/>
    </row>
    <row r="215" spans="1:27" x14ac:dyDescent="0.35">
      <c r="A215" s="5">
        <v>211</v>
      </c>
      <c r="B215" s="5">
        <v>9</v>
      </c>
      <c r="C215" s="5">
        <v>1</v>
      </c>
      <c r="D215" s="25">
        <v>1.1416E-4</v>
      </c>
      <c r="E215" s="25">
        <v>1.1543E-4</v>
      </c>
      <c r="F215" s="25">
        <v>1.0244E-4</v>
      </c>
      <c r="G215" s="25">
        <v>1.149E-4</v>
      </c>
      <c r="H215" s="25">
        <v>1.3870000000000001E-4</v>
      </c>
      <c r="I215" s="9">
        <v>1.3008E-4</v>
      </c>
      <c r="J215" s="9">
        <v>1.328E-4</v>
      </c>
      <c r="K215" s="9">
        <v>1.3987E-4</v>
      </c>
      <c r="L215" s="9">
        <v>2.0822000000000001E-4</v>
      </c>
      <c r="M215" s="9">
        <v>1.596E-4</v>
      </c>
      <c r="N215" s="9">
        <v>1.3013E-4</v>
      </c>
      <c r="O215" s="9">
        <v>1.6609E-4</v>
      </c>
      <c r="P215" s="9">
        <v>1.3485999999999999E-4</v>
      </c>
      <c r="Q215" s="9">
        <v>1.0704000000000001E-4</v>
      </c>
      <c r="R215" s="10">
        <v>2.1241974890654939E-4</v>
      </c>
      <c r="S215" s="10">
        <v>1.8288706058403287E-4</v>
      </c>
      <c r="T215" s="10">
        <v>0</v>
      </c>
      <c r="U215" s="10">
        <v>1.8597000000000001E-4</v>
      </c>
      <c r="V215" s="25"/>
      <c r="W215" s="25"/>
      <c r="X215" s="25"/>
      <c r="Y215" s="25"/>
      <c r="Z215" s="25"/>
      <c r="AA215" s="25"/>
    </row>
    <row r="216" spans="1:27" x14ac:dyDescent="0.35">
      <c r="A216" s="5">
        <v>212</v>
      </c>
      <c r="B216" s="5">
        <v>9</v>
      </c>
      <c r="C216" s="5">
        <v>1</v>
      </c>
      <c r="D216" s="25">
        <v>1.1415000000000001E-4</v>
      </c>
      <c r="E216" s="25">
        <v>1.1278E-4</v>
      </c>
      <c r="F216" s="25">
        <v>8.5039999999999999E-5</v>
      </c>
      <c r="G216" s="25">
        <v>1.1182E-4</v>
      </c>
      <c r="H216" s="25">
        <v>1.3233E-4</v>
      </c>
      <c r="I216" s="9">
        <v>1.2473000000000001E-4</v>
      </c>
      <c r="J216" s="9">
        <v>1.2799999999999999E-4</v>
      </c>
      <c r="K216" s="9">
        <v>1.5259E-4</v>
      </c>
      <c r="L216" s="9">
        <v>1.7557E-4</v>
      </c>
      <c r="M216" s="9">
        <v>1.5076E-4</v>
      </c>
      <c r="N216" s="9">
        <v>1.2097E-4</v>
      </c>
      <c r="O216" s="9">
        <v>1.2888999999999999E-4</v>
      </c>
      <c r="P216" s="9">
        <v>1.138E-4</v>
      </c>
      <c r="Q216" s="9">
        <v>1.0095E-4</v>
      </c>
      <c r="R216" s="10">
        <v>2.120964313173046E-4</v>
      </c>
      <c r="S216" s="10">
        <v>1.6850689252581567E-4</v>
      </c>
      <c r="T216" s="10">
        <v>0</v>
      </c>
      <c r="U216" s="10">
        <v>1.8597000000000001E-4</v>
      </c>
      <c r="V216" s="25"/>
      <c r="W216" s="25"/>
      <c r="X216" s="25"/>
      <c r="Y216" s="25"/>
      <c r="Z216" s="25"/>
      <c r="AA216" s="25"/>
    </row>
    <row r="217" spans="1:27" x14ac:dyDescent="0.35">
      <c r="A217" s="5">
        <v>213</v>
      </c>
      <c r="B217" s="5">
        <v>9</v>
      </c>
      <c r="C217" s="5">
        <v>1</v>
      </c>
      <c r="D217" s="25">
        <v>1.1416E-4</v>
      </c>
      <c r="E217" s="25">
        <v>1.1370999999999999E-4</v>
      </c>
      <c r="F217" s="25">
        <v>9.5089999999999999E-5</v>
      </c>
      <c r="G217" s="25">
        <v>5.9719999999999997E-5</v>
      </c>
      <c r="H217" s="25">
        <v>7.5140000000000002E-5</v>
      </c>
      <c r="I217" s="9">
        <v>1.1812E-4</v>
      </c>
      <c r="J217" s="9">
        <v>1.2224E-4</v>
      </c>
      <c r="K217" s="9">
        <v>1.3776000000000001E-4</v>
      </c>
      <c r="L217" s="9">
        <v>1.4019E-4</v>
      </c>
      <c r="M217" s="9">
        <v>1.3496999999999999E-4</v>
      </c>
      <c r="N217" s="9">
        <v>1.1307999999999999E-4</v>
      </c>
      <c r="O217" s="9">
        <v>8.5680000000000006E-5</v>
      </c>
      <c r="P217" s="9">
        <v>8.6790000000000001E-5</v>
      </c>
      <c r="Q217" s="9">
        <v>8.8800000000000004E-5</v>
      </c>
      <c r="R217" s="10">
        <v>2.1102696457928755E-4</v>
      </c>
      <c r="S217" s="10">
        <v>1.7611485982478917E-4</v>
      </c>
      <c r="T217" s="10">
        <v>0</v>
      </c>
      <c r="U217" s="10">
        <v>1.8597000000000001E-4</v>
      </c>
      <c r="V217" s="25"/>
      <c r="W217" s="25"/>
      <c r="X217" s="25"/>
      <c r="Y217" s="25"/>
      <c r="Z217" s="25"/>
      <c r="AA217" s="25"/>
    </row>
    <row r="218" spans="1:27" x14ac:dyDescent="0.35">
      <c r="A218" s="5">
        <v>214</v>
      </c>
      <c r="B218" s="5">
        <v>9</v>
      </c>
      <c r="C218" s="5">
        <v>1</v>
      </c>
      <c r="D218" s="25">
        <v>1.1415000000000001E-4</v>
      </c>
      <c r="E218" s="25">
        <v>1.2434999999999999E-4</v>
      </c>
      <c r="F218" s="25">
        <v>9.7260000000000001E-5</v>
      </c>
      <c r="G218" s="25">
        <v>5.7510000000000003E-5</v>
      </c>
      <c r="H218" s="25">
        <v>6.3150000000000004E-5</v>
      </c>
      <c r="I218" s="9">
        <v>1.1189E-4</v>
      </c>
      <c r="J218" s="9">
        <v>1.1601E-4</v>
      </c>
      <c r="K218" s="9">
        <v>1.3988E-4</v>
      </c>
      <c r="L218" s="9">
        <v>9.8620000000000001E-5</v>
      </c>
      <c r="M218" s="9">
        <v>1.1357E-4</v>
      </c>
      <c r="N218" s="9">
        <v>1.0558E-4</v>
      </c>
      <c r="O218" s="9">
        <v>8.8839999999999996E-5</v>
      </c>
      <c r="P218" s="9">
        <v>8.8499999999999996E-5</v>
      </c>
      <c r="Q218" s="9">
        <v>8.9149999999999999E-5</v>
      </c>
      <c r="R218" s="10">
        <v>2.0975352910203516E-4</v>
      </c>
      <c r="S218" s="10">
        <v>1.5563461409003545E-4</v>
      </c>
      <c r="T218" s="10">
        <v>0</v>
      </c>
      <c r="U218" s="10">
        <v>1.8597000000000001E-4</v>
      </c>
      <c r="V218" s="25"/>
      <c r="W218" s="25"/>
      <c r="X218" s="25"/>
      <c r="Y218" s="25"/>
      <c r="Z218" s="25"/>
      <c r="AA218" s="25"/>
    </row>
    <row r="219" spans="1:27" x14ac:dyDescent="0.35">
      <c r="A219" s="5">
        <v>215</v>
      </c>
      <c r="B219" s="5">
        <v>9</v>
      </c>
      <c r="C219" s="5">
        <v>1</v>
      </c>
      <c r="D219" s="25">
        <v>1.1416E-4</v>
      </c>
      <c r="E219" s="25">
        <v>1.2213E-4</v>
      </c>
      <c r="F219" s="25">
        <v>1.0211E-4</v>
      </c>
      <c r="G219" s="25">
        <v>5.7970000000000002E-5</v>
      </c>
      <c r="H219" s="25">
        <v>7.1459999999999997E-5</v>
      </c>
      <c r="I219" s="9">
        <v>1.1341E-4</v>
      </c>
      <c r="J219" s="9">
        <v>1.1108E-4</v>
      </c>
      <c r="K219" s="9">
        <v>1.1657E-4</v>
      </c>
      <c r="L219" s="9">
        <v>9.1910000000000006E-5</v>
      </c>
      <c r="M219" s="9">
        <v>9.9320000000000005E-5</v>
      </c>
      <c r="N219" s="9">
        <v>9.9950000000000004E-5</v>
      </c>
      <c r="O219" s="9">
        <v>7.7789999999999999E-5</v>
      </c>
      <c r="P219" s="9">
        <v>7.1740000000000001E-5</v>
      </c>
      <c r="Q219" s="9">
        <v>6.6519999999999993E-5</v>
      </c>
      <c r="R219" s="10">
        <v>2.1054749974713156E-4</v>
      </c>
      <c r="S219" s="10">
        <v>1.4066872295753077E-4</v>
      </c>
      <c r="T219" s="10">
        <v>0</v>
      </c>
      <c r="U219" s="10">
        <v>1.8597000000000001E-4</v>
      </c>
      <c r="V219" s="25"/>
      <c r="W219" s="25"/>
      <c r="X219" s="25"/>
      <c r="Y219" s="25"/>
      <c r="Z219" s="25"/>
      <c r="AA219" s="25"/>
    </row>
    <row r="220" spans="1:27" x14ac:dyDescent="0.35">
      <c r="A220" s="5">
        <v>216</v>
      </c>
      <c r="B220" s="5">
        <v>9</v>
      </c>
      <c r="C220" s="5">
        <v>1</v>
      </c>
      <c r="D220" s="25">
        <v>1.1415000000000001E-4</v>
      </c>
      <c r="E220" s="25">
        <v>1.2306E-4</v>
      </c>
      <c r="F220" s="25">
        <v>8.386E-5</v>
      </c>
      <c r="G220" s="25">
        <v>6.0720000000000001E-5</v>
      </c>
      <c r="H220" s="25">
        <v>6.6940000000000006E-5</v>
      </c>
      <c r="I220" s="9">
        <v>1.1463000000000001E-4</v>
      </c>
      <c r="J220" s="9">
        <v>1.0518000000000001E-4</v>
      </c>
      <c r="K220" s="9">
        <v>8.9010000000000003E-5</v>
      </c>
      <c r="L220" s="9">
        <v>8.0859999999999995E-5</v>
      </c>
      <c r="M220" s="9">
        <v>8.6269999999999999E-5</v>
      </c>
      <c r="N220" s="9">
        <v>9.0610000000000002E-5</v>
      </c>
      <c r="O220" s="9">
        <v>6.3360000000000003E-5</v>
      </c>
      <c r="P220" s="9">
        <v>6.1130000000000006E-5</v>
      </c>
      <c r="Q220" s="9">
        <v>5.931E-5</v>
      </c>
      <c r="R220" s="10">
        <v>2.1238916529765258E-4</v>
      </c>
      <c r="S220" s="10">
        <v>1.7322573098594267E-4</v>
      </c>
      <c r="T220" s="10">
        <v>0</v>
      </c>
      <c r="U220" s="10">
        <v>1.8597000000000001E-4</v>
      </c>
      <c r="V220" s="25"/>
      <c r="W220" s="25"/>
      <c r="X220" s="25"/>
      <c r="Y220" s="25"/>
      <c r="Z220" s="25"/>
      <c r="AA220" s="25"/>
    </row>
    <row r="221" spans="1:27" x14ac:dyDescent="0.35">
      <c r="A221" s="5">
        <v>217</v>
      </c>
      <c r="B221" s="5">
        <v>10</v>
      </c>
      <c r="C221" s="5">
        <v>1</v>
      </c>
      <c r="D221" s="25">
        <v>1.1416E-4</v>
      </c>
      <c r="E221" s="25">
        <v>1.0984000000000001E-4</v>
      </c>
      <c r="F221" s="25">
        <v>1.1492E-4</v>
      </c>
      <c r="G221" s="25">
        <v>5.6230000000000002E-5</v>
      </c>
      <c r="H221" s="25">
        <v>7.3360000000000002E-5</v>
      </c>
      <c r="I221" s="9">
        <v>1.0812E-4</v>
      </c>
      <c r="J221" s="9">
        <v>9.9309999999999996E-5</v>
      </c>
      <c r="K221" s="9">
        <v>6.9939999999999998E-5</v>
      </c>
      <c r="L221" s="9">
        <v>6.724E-5</v>
      </c>
      <c r="M221" s="9">
        <v>7.4200000000000001E-5</v>
      </c>
      <c r="N221" s="9">
        <v>8.1299999999999997E-5</v>
      </c>
      <c r="O221" s="9">
        <v>5.4929999999999998E-5</v>
      </c>
      <c r="P221" s="9">
        <v>5.4339999999999998E-5</v>
      </c>
      <c r="Q221" s="9">
        <v>5.3909999999999997E-5</v>
      </c>
      <c r="R221" s="10">
        <v>2.1244936787709023E-4</v>
      </c>
      <c r="S221" s="10">
        <v>1.888287093203129E-4</v>
      </c>
      <c r="T221" s="10">
        <v>0</v>
      </c>
      <c r="U221" s="10">
        <v>1.8745E-4</v>
      </c>
      <c r="V221" s="25"/>
      <c r="W221" s="25"/>
      <c r="X221" s="25"/>
      <c r="Y221" s="25"/>
      <c r="Z221" s="25"/>
      <c r="AA221" s="25"/>
    </row>
    <row r="222" spans="1:27" x14ac:dyDescent="0.35">
      <c r="A222" s="5">
        <v>218</v>
      </c>
      <c r="B222" s="5">
        <v>10</v>
      </c>
      <c r="C222" s="5">
        <v>1</v>
      </c>
      <c r="D222" s="25">
        <v>1.1415000000000001E-4</v>
      </c>
      <c r="E222" s="25">
        <v>1.1161E-4</v>
      </c>
      <c r="F222" s="25">
        <v>1.2485E-4</v>
      </c>
      <c r="G222" s="25">
        <v>6.334E-5</v>
      </c>
      <c r="H222" s="25">
        <v>7.3750000000000004E-5</v>
      </c>
      <c r="I222" s="9">
        <v>1.0135E-4</v>
      </c>
      <c r="J222" s="9">
        <v>9.4430000000000002E-5</v>
      </c>
      <c r="K222" s="9">
        <v>6.5699999999999998E-5</v>
      </c>
      <c r="L222" s="9">
        <v>5.8010000000000002E-5</v>
      </c>
      <c r="M222" s="9">
        <v>6.4189999999999994E-5</v>
      </c>
      <c r="N222" s="9">
        <v>7.2319999999999999E-5</v>
      </c>
      <c r="O222" s="9">
        <v>1.8179999999999999E-5</v>
      </c>
      <c r="P222" s="9">
        <v>3.7570000000000001E-5</v>
      </c>
      <c r="Q222" s="9">
        <v>5.592E-5</v>
      </c>
      <c r="R222" s="10">
        <v>2.1244936787709023E-4</v>
      </c>
      <c r="S222" s="10">
        <v>1.9027268754900239E-4</v>
      </c>
      <c r="T222" s="10">
        <v>0</v>
      </c>
      <c r="U222" s="10">
        <v>1.8745E-4</v>
      </c>
      <c r="V222" s="25"/>
      <c r="W222" s="25"/>
      <c r="X222" s="25"/>
      <c r="Y222" s="25"/>
      <c r="Z222" s="25"/>
      <c r="AA222" s="25"/>
    </row>
    <row r="223" spans="1:27" x14ac:dyDescent="0.35">
      <c r="A223" s="5">
        <v>219</v>
      </c>
      <c r="B223" s="5">
        <v>10</v>
      </c>
      <c r="C223" s="5">
        <v>1</v>
      </c>
      <c r="D223" s="25">
        <v>1.1416E-4</v>
      </c>
      <c r="E223" s="25">
        <v>1.1987E-4</v>
      </c>
      <c r="F223" s="25">
        <v>1.0878E-4</v>
      </c>
      <c r="G223" s="25">
        <v>5.8289999999999999E-5</v>
      </c>
      <c r="H223" s="25">
        <v>7.0309999999999996E-5</v>
      </c>
      <c r="I223" s="9">
        <v>9.6600000000000003E-5</v>
      </c>
      <c r="J223" s="9">
        <v>9.1180000000000005E-5</v>
      </c>
      <c r="K223" s="9">
        <v>6.1470000000000006E-5</v>
      </c>
      <c r="L223" s="9">
        <v>2.7140000000000001E-5</v>
      </c>
      <c r="M223" s="9">
        <v>5.2339999999999997E-5</v>
      </c>
      <c r="N223" s="9">
        <v>6.5660000000000005E-5</v>
      </c>
      <c r="O223" s="9">
        <v>1.275E-5</v>
      </c>
      <c r="P223" s="9">
        <v>3.7929999999999998E-5</v>
      </c>
      <c r="Q223" s="9">
        <v>6.1820000000000001E-5</v>
      </c>
      <c r="R223" s="10">
        <v>2.1244936787709023E-4</v>
      </c>
      <c r="S223" s="10">
        <v>1.9016948049430934E-4</v>
      </c>
      <c r="T223" s="10">
        <v>0</v>
      </c>
      <c r="U223" s="10">
        <v>1.8745E-4</v>
      </c>
      <c r="V223" s="25"/>
      <c r="W223" s="25"/>
      <c r="X223" s="25"/>
      <c r="Y223" s="25"/>
      <c r="Z223" s="25"/>
      <c r="AA223" s="25"/>
    </row>
    <row r="224" spans="1:27" x14ac:dyDescent="0.35">
      <c r="A224" s="5">
        <v>220</v>
      </c>
      <c r="B224" s="5">
        <v>10</v>
      </c>
      <c r="C224" s="5">
        <v>1</v>
      </c>
      <c r="D224" s="25">
        <v>1.1415000000000001E-4</v>
      </c>
      <c r="E224" s="25">
        <v>1.1449E-4</v>
      </c>
      <c r="F224" s="25">
        <v>1.0739999999999999E-4</v>
      </c>
      <c r="G224" s="25">
        <v>6.2990000000000005E-5</v>
      </c>
      <c r="H224" s="25">
        <v>6.5019999999999998E-5</v>
      </c>
      <c r="I224" s="9">
        <v>9.4580000000000006E-5</v>
      </c>
      <c r="J224" s="9">
        <v>8.9359999999999998E-5</v>
      </c>
      <c r="K224" s="9">
        <v>6.7819999999999998E-5</v>
      </c>
      <c r="L224" s="9">
        <v>1.668E-5</v>
      </c>
      <c r="M224" s="9">
        <v>4.4310000000000001E-5</v>
      </c>
      <c r="N224" s="9">
        <v>6.2080000000000002E-5</v>
      </c>
      <c r="O224" s="9">
        <v>1.275E-5</v>
      </c>
      <c r="P224" s="9">
        <v>4.7429999999999998E-5</v>
      </c>
      <c r="Q224" s="9">
        <v>8.0660000000000004E-5</v>
      </c>
      <c r="R224" s="10">
        <v>2.1244936787709023E-4</v>
      </c>
      <c r="S224" s="10">
        <v>1.9022617664617012E-4</v>
      </c>
      <c r="T224" s="10">
        <v>0</v>
      </c>
      <c r="U224" s="10">
        <v>1.8745E-4</v>
      </c>
      <c r="V224" s="25"/>
      <c r="W224" s="25"/>
      <c r="X224" s="25"/>
      <c r="Y224" s="25"/>
      <c r="Z224" s="25"/>
      <c r="AA224" s="25"/>
    </row>
    <row r="225" spans="1:27" x14ac:dyDescent="0.35">
      <c r="A225" s="5">
        <v>221</v>
      </c>
      <c r="B225" s="5">
        <v>10</v>
      </c>
      <c r="C225" s="5">
        <v>1</v>
      </c>
      <c r="D225" s="25">
        <v>1.1416E-4</v>
      </c>
      <c r="E225" s="25">
        <v>1.1430999999999999E-4</v>
      </c>
      <c r="F225" s="25">
        <v>1.2425000000000001E-4</v>
      </c>
      <c r="G225" s="25">
        <v>6.3029999999999998E-5</v>
      </c>
      <c r="H225" s="25">
        <v>7.7029999999999999E-5</v>
      </c>
      <c r="I225" s="9">
        <v>9.3300000000000005E-5</v>
      </c>
      <c r="J225" s="9">
        <v>8.8560000000000006E-5</v>
      </c>
      <c r="K225" s="9">
        <v>7.4179999999999998E-5</v>
      </c>
      <c r="L225" s="9">
        <v>1.3869999999999999E-5</v>
      </c>
      <c r="M225" s="9">
        <v>4.3630000000000001E-5</v>
      </c>
      <c r="N225" s="9">
        <v>6.4649999999999999E-5</v>
      </c>
      <c r="O225" s="9">
        <v>1.8090000000000001E-5</v>
      </c>
      <c r="P225" s="9">
        <v>5.6100000000000002E-5</v>
      </c>
      <c r="Q225" s="9">
        <v>9.276E-5</v>
      </c>
      <c r="R225" s="10">
        <v>2.1244936787709023E-4</v>
      </c>
      <c r="S225" s="10">
        <v>1.9025004964294819E-4</v>
      </c>
      <c r="T225" s="10">
        <v>0</v>
      </c>
      <c r="U225" s="10">
        <v>1.8745E-4</v>
      </c>
      <c r="V225" s="25"/>
      <c r="W225" s="25"/>
      <c r="X225" s="25"/>
      <c r="Y225" s="25"/>
      <c r="Z225" s="25"/>
      <c r="AA225" s="25"/>
    </row>
    <row r="226" spans="1:27" x14ac:dyDescent="0.35">
      <c r="A226" s="5">
        <v>222</v>
      </c>
      <c r="B226" s="5">
        <v>10</v>
      </c>
      <c r="C226" s="5">
        <v>1</v>
      </c>
      <c r="D226" s="25">
        <v>1.1415000000000001E-4</v>
      </c>
      <c r="E226" s="25">
        <v>1.0993999999999999E-4</v>
      </c>
      <c r="F226" s="25">
        <v>1.1641000000000001E-4</v>
      </c>
      <c r="G226" s="25">
        <v>1.1327E-4</v>
      </c>
      <c r="H226" s="25">
        <v>1.3914E-4</v>
      </c>
      <c r="I226" s="9">
        <v>9.3720000000000004E-5</v>
      </c>
      <c r="J226" s="9">
        <v>8.9460000000000001E-5</v>
      </c>
      <c r="K226" s="9">
        <v>7.8419999999999998E-5</v>
      </c>
      <c r="L226" s="9">
        <v>1.7030000000000001E-5</v>
      </c>
      <c r="M226" s="9">
        <v>4.8300000000000002E-5</v>
      </c>
      <c r="N226" s="9">
        <v>7.0959999999999998E-5</v>
      </c>
      <c r="O226" s="9">
        <v>4.579E-5</v>
      </c>
      <c r="P226" s="9">
        <v>7.6249999999999997E-5</v>
      </c>
      <c r="Q226" s="9">
        <v>1.0618E-4</v>
      </c>
      <c r="R226" s="10">
        <v>2.1244936787709023E-4</v>
      </c>
      <c r="S226" s="10">
        <v>1.8936565356145627E-4</v>
      </c>
      <c r="T226" s="10">
        <v>0</v>
      </c>
      <c r="U226" s="10">
        <v>1.8745E-4</v>
      </c>
      <c r="V226" s="25"/>
      <c r="W226" s="25"/>
      <c r="X226" s="25"/>
      <c r="Y226" s="25"/>
      <c r="Z226" s="25"/>
      <c r="AA226" s="25"/>
    </row>
    <row r="227" spans="1:27" x14ac:dyDescent="0.35">
      <c r="A227" s="5">
        <v>223</v>
      </c>
      <c r="B227" s="5">
        <v>10</v>
      </c>
      <c r="C227" s="5">
        <v>1</v>
      </c>
      <c r="D227" s="25">
        <v>1.1416E-4</v>
      </c>
      <c r="E227" s="25">
        <v>1.1972E-4</v>
      </c>
      <c r="F227" s="25">
        <v>1.1089E-4</v>
      </c>
      <c r="G227" s="25">
        <v>1.131E-4</v>
      </c>
      <c r="H227" s="25">
        <v>1.326E-4</v>
      </c>
      <c r="I227" s="9">
        <v>9.6379999999999995E-5</v>
      </c>
      <c r="J227" s="9">
        <v>9.1840000000000002E-5</v>
      </c>
      <c r="K227" s="9">
        <v>7.4179999999999998E-5</v>
      </c>
      <c r="L227" s="9">
        <v>3.9320000000000003E-5</v>
      </c>
      <c r="M227" s="9">
        <v>5.9679999999999998E-5</v>
      </c>
      <c r="N227" s="9">
        <v>8.0450000000000004E-5</v>
      </c>
      <c r="O227" s="9">
        <v>1.2412999999999999E-4</v>
      </c>
      <c r="P227" s="9">
        <v>1.1721E-4</v>
      </c>
      <c r="Q227" s="9">
        <v>1.1228E-4</v>
      </c>
      <c r="R227" s="10">
        <v>2.1244936787709023E-4</v>
      </c>
      <c r="S227" s="10">
        <v>1.8708239289290263E-4</v>
      </c>
      <c r="T227" s="10">
        <v>0</v>
      </c>
      <c r="U227" s="10">
        <v>1.8745E-4</v>
      </c>
      <c r="V227" s="25"/>
      <c r="W227" s="25"/>
      <c r="X227" s="25"/>
      <c r="Y227" s="25"/>
      <c r="Z227" s="25"/>
      <c r="AA227" s="25"/>
    </row>
    <row r="228" spans="1:27" x14ac:dyDescent="0.35">
      <c r="A228" s="5">
        <v>224</v>
      </c>
      <c r="B228" s="5">
        <v>10</v>
      </c>
      <c r="C228" s="5">
        <v>1</v>
      </c>
      <c r="D228" s="25">
        <v>1.1415000000000001E-4</v>
      </c>
      <c r="E228" s="25">
        <v>1.0909E-4</v>
      </c>
      <c r="F228" s="25">
        <v>1.1294E-4</v>
      </c>
      <c r="G228" s="25">
        <v>1.6110000000000001E-4</v>
      </c>
      <c r="H228" s="25">
        <v>2.0264999999999999E-4</v>
      </c>
      <c r="I228" s="9">
        <v>9.8490000000000001E-5</v>
      </c>
      <c r="J228" s="9">
        <v>9.6009999999999997E-5</v>
      </c>
      <c r="K228" s="9">
        <v>7.6299999999999998E-5</v>
      </c>
      <c r="L228" s="9">
        <v>1.0485E-4</v>
      </c>
      <c r="M228" s="9">
        <v>8.3330000000000003E-5</v>
      </c>
      <c r="N228" s="9">
        <v>9.0509999999999999E-5</v>
      </c>
      <c r="O228" s="9">
        <v>2.2136000000000001E-4</v>
      </c>
      <c r="P228" s="9">
        <v>1.7626E-4</v>
      </c>
      <c r="Q228" s="9">
        <v>1.3616E-4</v>
      </c>
      <c r="R228" s="10">
        <v>2.1244936787709023E-4</v>
      </c>
      <c r="S228" s="10">
        <v>1.813934321786534E-4</v>
      </c>
      <c r="T228" s="10">
        <v>0</v>
      </c>
      <c r="U228" s="10">
        <v>1.8745E-4</v>
      </c>
      <c r="V228" s="25"/>
      <c r="W228" s="25"/>
      <c r="X228" s="25"/>
      <c r="Y228" s="25"/>
      <c r="Z228" s="25"/>
      <c r="AA228" s="25"/>
    </row>
    <row r="229" spans="1:27" x14ac:dyDescent="0.35">
      <c r="A229" s="5">
        <v>225</v>
      </c>
      <c r="B229" s="5">
        <v>10</v>
      </c>
      <c r="C229" s="5">
        <v>1</v>
      </c>
      <c r="D229" s="25">
        <v>1.1416E-4</v>
      </c>
      <c r="E229" s="25">
        <v>1.1629E-4</v>
      </c>
      <c r="F229" s="25">
        <v>1.0389E-4</v>
      </c>
      <c r="G229" s="25">
        <v>1.5694999999999999E-4</v>
      </c>
      <c r="H229" s="25">
        <v>2.0241000000000001E-4</v>
      </c>
      <c r="I229" s="9">
        <v>1.0312E-4</v>
      </c>
      <c r="J229" s="9">
        <v>1.0217000000000001E-4</v>
      </c>
      <c r="K229" s="9">
        <v>7.2059999999999998E-5</v>
      </c>
      <c r="L229" s="9">
        <v>1.9393000000000001E-4</v>
      </c>
      <c r="M229" s="9">
        <v>1.2291E-4</v>
      </c>
      <c r="N229" s="9">
        <v>1.0416000000000001E-4</v>
      </c>
      <c r="O229" s="9">
        <v>2.1279E-4</v>
      </c>
      <c r="P229" s="9">
        <v>1.9221E-4</v>
      </c>
      <c r="Q229" s="9">
        <v>1.7603000000000001E-4</v>
      </c>
      <c r="R229" s="10">
        <v>2.1244936787709023E-4</v>
      </c>
      <c r="S229" s="10">
        <v>1.7537357203505001E-4</v>
      </c>
      <c r="T229" s="10">
        <v>6.5753319963604506E-6</v>
      </c>
      <c r="U229" s="10">
        <v>1.8745E-4</v>
      </c>
      <c r="V229" s="25"/>
      <c r="W229" s="25"/>
      <c r="X229" s="25"/>
      <c r="Y229" s="25"/>
      <c r="Z229" s="25"/>
      <c r="AA229" s="25"/>
    </row>
    <row r="230" spans="1:27" x14ac:dyDescent="0.35">
      <c r="A230" s="5">
        <v>226</v>
      </c>
      <c r="B230" s="5">
        <v>10</v>
      </c>
      <c r="C230" s="5">
        <v>1</v>
      </c>
      <c r="D230" s="25">
        <v>1.1415000000000001E-4</v>
      </c>
      <c r="E230" s="25">
        <v>1.1908000000000001E-4</v>
      </c>
      <c r="F230" s="25">
        <v>1.2442E-4</v>
      </c>
      <c r="G230" s="25">
        <v>1.5998E-4</v>
      </c>
      <c r="H230" s="25">
        <v>1.9462E-4</v>
      </c>
      <c r="I230" s="9">
        <v>1.0731E-4</v>
      </c>
      <c r="J230" s="9">
        <v>1.0724E-4</v>
      </c>
      <c r="K230" s="9">
        <v>6.5699999999999998E-5</v>
      </c>
      <c r="L230" s="9">
        <v>2.0630999999999999E-4</v>
      </c>
      <c r="M230" s="9">
        <v>1.5788999999999999E-4</v>
      </c>
      <c r="N230" s="9">
        <v>1.2402999999999999E-4</v>
      </c>
      <c r="O230" s="9">
        <v>1.673E-4</v>
      </c>
      <c r="P230" s="9">
        <v>1.7233999999999999E-4</v>
      </c>
      <c r="Q230" s="9">
        <v>1.8026000000000001E-4</v>
      </c>
      <c r="R230" s="10">
        <v>2.1244936787709023E-4</v>
      </c>
      <c r="S230" s="10">
        <v>1.668960427898392E-4</v>
      </c>
      <c r="T230" s="10">
        <v>1.9488435607277358E-5</v>
      </c>
      <c r="U230" s="10">
        <v>1.8745E-4</v>
      </c>
      <c r="V230" s="25"/>
      <c r="W230" s="25"/>
      <c r="X230" s="25"/>
      <c r="Y230" s="25"/>
      <c r="Z230" s="25"/>
      <c r="AA230" s="25"/>
    </row>
    <row r="231" spans="1:27" x14ac:dyDescent="0.35">
      <c r="A231" s="5">
        <v>227</v>
      </c>
      <c r="B231" s="5">
        <v>10</v>
      </c>
      <c r="C231" s="5">
        <v>1</v>
      </c>
      <c r="D231" s="25">
        <v>1.1416E-4</v>
      </c>
      <c r="E231" s="25">
        <v>1.1031000000000001E-4</v>
      </c>
      <c r="F231" s="25">
        <v>1.0592E-4</v>
      </c>
      <c r="G231" s="25">
        <v>1.6228E-4</v>
      </c>
      <c r="H231" s="25">
        <v>1.9786000000000001E-4</v>
      </c>
      <c r="I231" s="9">
        <v>1.1013E-4</v>
      </c>
      <c r="J231" s="9">
        <v>1.1106E-4</v>
      </c>
      <c r="K231" s="9">
        <v>5.9339999999999998E-5</v>
      </c>
      <c r="L231" s="9">
        <v>1.7595999999999999E-4</v>
      </c>
      <c r="M231" s="9">
        <v>1.7118E-4</v>
      </c>
      <c r="N231" s="9">
        <v>1.418E-4</v>
      </c>
      <c r="O231" s="9">
        <v>1.6756E-4</v>
      </c>
      <c r="P231" s="9">
        <v>1.7128E-4</v>
      </c>
      <c r="Q231" s="9">
        <v>1.7789999999999999E-4</v>
      </c>
      <c r="R231" s="10">
        <v>2.1244936787709023E-4</v>
      </c>
      <c r="S231" s="10">
        <v>1.6052152350578045E-4</v>
      </c>
      <c r="T231" s="10">
        <v>4.7486623462747668E-5</v>
      </c>
      <c r="U231" s="10">
        <v>1.8745E-4</v>
      </c>
      <c r="V231" s="25"/>
      <c r="W231" s="25"/>
      <c r="X231" s="25"/>
      <c r="Y231" s="25"/>
      <c r="Z231" s="25"/>
      <c r="AA231" s="25"/>
    </row>
    <row r="232" spans="1:27" x14ac:dyDescent="0.35">
      <c r="A232" s="5">
        <v>228</v>
      </c>
      <c r="B232" s="5">
        <v>10</v>
      </c>
      <c r="C232" s="5">
        <v>1</v>
      </c>
      <c r="D232" s="25">
        <v>1.1415000000000001E-4</v>
      </c>
      <c r="E232" s="25">
        <v>1.1682E-4</v>
      </c>
      <c r="F232" s="25">
        <v>1.1254E-4</v>
      </c>
      <c r="G232" s="25">
        <v>1.6080000000000001E-4</v>
      </c>
      <c r="H232" s="25">
        <v>1.9877E-4</v>
      </c>
      <c r="I232" s="9">
        <v>1.1427E-4</v>
      </c>
      <c r="J232" s="9">
        <v>1.1307999999999999E-4</v>
      </c>
      <c r="K232" s="9">
        <v>4.0269999999999999E-5</v>
      </c>
      <c r="L232" s="9">
        <v>1.7086E-4</v>
      </c>
      <c r="M232" s="9">
        <v>1.7343E-4</v>
      </c>
      <c r="N232" s="9">
        <v>1.5566000000000001E-4</v>
      </c>
      <c r="O232" s="9">
        <v>1.7045999999999999E-4</v>
      </c>
      <c r="P232" s="9">
        <v>1.7006000000000001E-4</v>
      </c>
      <c r="Q232" s="9">
        <v>1.7270999999999999E-4</v>
      </c>
      <c r="R232" s="10">
        <v>2.1244936787709023E-4</v>
      </c>
      <c r="S232" s="10">
        <v>1.5070423865314381E-4</v>
      </c>
      <c r="T232" s="10">
        <v>2.5463079209647722E-4</v>
      </c>
      <c r="U232" s="10">
        <v>1.8745E-4</v>
      </c>
      <c r="V232" s="25"/>
      <c r="W232" s="25"/>
      <c r="X232" s="25"/>
      <c r="Y232" s="25"/>
      <c r="Z232" s="25"/>
      <c r="AA232" s="25"/>
    </row>
    <row r="233" spans="1:27" x14ac:dyDescent="0.35">
      <c r="A233" s="5">
        <v>229</v>
      </c>
      <c r="B233" s="5">
        <v>10</v>
      </c>
      <c r="C233" s="5">
        <v>1</v>
      </c>
      <c r="D233" s="25">
        <v>1.1416E-4</v>
      </c>
      <c r="E233" s="25">
        <v>1.1175000000000001E-4</v>
      </c>
      <c r="F233" s="25">
        <v>1.0689E-4</v>
      </c>
      <c r="G233" s="25">
        <v>1.6749000000000001E-4</v>
      </c>
      <c r="H233" s="25">
        <v>1.9823E-4</v>
      </c>
      <c r="I233" s="9">
        <v>1.1628E-4</v>
      </c>
      <c r="J233" s="9">
        <v>1.1417999999999999E-4</v>
      </c>
      <c r="K233" s="9">
        <v>4.4509999999999999E-5</v>
      </c>
      <c r="L233" s="9">
        <v>1.7071E-4</v>
      </c>
      <c r="M233" s="9">
        <v>1.7233E-4</v>
      </c>
      <c r="N233" s="9">
        <v>1.6495999999999999E-4</v>
      </c>
      <c r="O233" s="9">
        <v>1.6259E-4</v>
      </c>
      <c r="P233" s="9">
        <v>1.6314000000000001E-4</v>
      </c>
      <c r="Q233" s="9">
        <v>1.6652999999999999E-4</v>
      </c>
      <c r="R233" s="10">
        <v>2.1244936787709023E-4</v>
      </c>
      <c r="S233" s="10">
        <v>1.671499969150519E-4</v>
      </c>
      <c r="T233" s="10">
        <v>2.1516183151961423E-5</v>
      </c>
      <c r="U233" s="10">
        <v>1.8745E-4</v>
      </c>
      <c r="V233" s="25"/>
      <c r="W233" s="25"/>
      <c r="X233" s="25"/>
      <c r="Y233" s="25"/>
      <c r="Z233" s="25"/>
      <c r="AA233" s="25"/>
    </row>
    <row r="234" spans="1:27" x14ac:dyDescent="0.35">
      <c r="A234" s="5">
        <v>230</v>
      </c>
      <c r="B234" s="5">
        <v>10</v>
      </c>
      <c r="C234" s="5">
        <v>1</v>
      </c>
      <c r="D234" s="25">
        <v>1.1415000000000001E-4</v>
      </c>
      <c r="E234" s="25">
        <v>1.1699E-4</v>
      </c>
      <c r="F234" s="25">
        <v>1.0653E-4</v>
      </c>
      <c r="G234" s="25">
        <v>1.5991000000000001E-4</v>
      </c>
      <c r="H234" s="25">
        <v>2.0225000000000001E-4</v>
      </c>
      <c r="I234" s="9">
        <v>1.1566E-4</v>
      </c>
      <c r="J234" s="9">
        <v>1.1499E-4</v>
      </c>
      <c r="K234" s="9">
        <v>4.0269999999999999E-5</v>
      </c>
      <c r="L234" s="9">
        <v>1.6411999999999999E-4</v>
      </c>
      <c r="M234" s="9">
        <v>1.6871E-4</v>
      </c>
      <c r="N234" s="9">
        <v>1.6927000000000001E-4</v>
      </c>
      <c r="O234" s="9">
        <v>1.8148E-4</v>
      </c>
      <c r="P234" s="9">
        <v>1.6992E-4</v>
      </c>
      <c r="Q234" s="9">
        <v>1.6184000000000001E-4</v>
      </c>
      <c r="R234" s="10">
        <v>2.1244936787709023E-4</v>
      </c>
      <c r="S234" s="10">
        <v>1.6024109713123745E-4</v>
      </c>
      <c r="T234" s="10">
        <v>1.161161209060505E-4</v>
      </c>
      <c r="U234" s="10">
        <v>1.8745E-4</v>
      </c>
      <c r="V234" s="25"/>
      <c r="W234" s="25"/>
      <c r="X234" s="25"/>
      <c r="Y234" s="25"/>
      <c r="Z234" s="25"/>
      <c r="AA234" s="25"/>
    </row>
    <row r="235" spans="1:27" x14ac:dyDescent="0.35">
      <c r="A235" s="5">
        <v>231</v>
      </c>
      <c r="B235" s="5">
        <v>10</v>
      </c>
      <c r="C235" s="5">
        <v>1</v>
      </c>
      <c r="D235" s="25">
        <v>1.1416E-4</v>
      </c>
      <c r="E235" s="25">
        <v>1.1539E-4</v>
      </c>
      <c r="F235" s="25">
        <v>1.1107000000000001E-4</v>
      </c>
      <c r="G235" s="25">
        <v>1.5908E-4</v>
      </c>
      <c r="H235" s="25">
        <v>2.0275999999999999E-4</v>
      </c>
      <c r="I235" s="9">
        <v>1.1417E-4</v>
      </c>
      <c r="J235" s="9">
        <v>1.1506999999999999E-4</v>
      </c>
      <c r="K235" s="9">
        <v>5.7219999999999998E-5</v>
      </c>
      <c r="L235" s="9">
        <v>1.7781000000000001E-4</v>
      </c>
      <c r="M235" s="9">
        <v>1.6812000000000001E-4</v>
      </c>
      <c r="N235" s="9">
        <v>1.6925999999999999E-4</v>
      </c>
      <c r="O235" s="9">
        <v>1.8582000000000001E-4</v>
      </c>
      <c r="P235" s="9">
        <v>1.6741999999999999E-4</v>
      </c>
      <c r="Q235" s="9">
        <v>1.527E-4</v>
      </c>
      <c r="R235" s="10">
        <v>2.1244936787709023E-4</v>
      </c>
      <c r="S235" s="10">
        <v>1.7037131743000505E-4</v>
      </c>
      <c r="T235" s="10">
        <v>5.8796194496487639E-6</v>
      </c>
      <c r="U235" s="10">
        <v>1.8745E-4</v>
      </c>
      <c r="V235" s="25"/>
      <c r="W235" s="25"/>
      <c r="X235" s="25"/>
      <c r="Y235" s="25"/>
      <c r="Z235" s="25"/>
      <c r="AA235" s="25"/>
    </row>
    <row r="236" spans="1:27" x14ac:dyDescent="0.35">
      <c r="A236" s="5">
        <v>232</v>
      </c>
      <c r="B236" s="5">
        <v>10</v>
      </c>
      <c r="C236" s="5">
        <v>1</v>
      </c>
      <c r="D236" s="25">
        <v>1.1415000000000001E-4</v>
      </c>
      <c r="E236" s="25">
        <v>1.1838E-4</v>
      </c>
      <c r="F236" s="25">
        <v>1.2011E-4</v>
      </c>
      <c r="G236" s="25">
        <v>1.5647E-4</v>
      </c>
      <c r="H236" s="25">
        <v>1.9442E-4</v>
      </c>
      <c r="I236" s="9">
        <v>1.1387000000000001E-4</v>
      </c>
      <c r="J236" s="9">
        <v>1.1548E-4</v>
      </c>
      <c r="K236" s="9">
        <v>6.1459999999999998E-5</v>
      </c>
      <c r="L236" s="9">
        <v>1.8369999999999999E-4</v>
      </c>
      <c r="M236" s="9">
        <v>1.6781000000000001E-4</v>
      </c>
      <c r="N236" s="9">
        <v>1.6566000000000001E-4</v>
      </c>
      <c r="O236" s="9">
        <v>2.0044999999999999E-4</v>
      </c>
      <c r="P236" s="9">
        <v>1.5307E-4</v>
      </c>
      <c r="Q236" s="9">
        <v>1.1021E-4</v>
      </c>
      <c r="R236" s="10">
        <v>2.1244936787709023E-4</v>
      </c>
      <c r="S236" s="10">
        <v>1.797141253473301E-4</v>
      </c>
      <c r="T236" s="10">
        <v>1.5670500899713228E-5</v>
      </c>
      <c r="U236" s="10">
        <v>1.8745E-4</v>
      </c>
      <c r="V236" s="25"/>
      <c r="W236" s="25"/>
      <c r="X236" s="25"/>
      <c r="Y236" s="25"/>
      <c r="Z236" s="25"/>
      <c r="AA236" s="25"/>
    </row>
    <row r="237" spans="1:27" x14ac:dyDescent="0.35">
      <c r="A237" s="5">
        <v>233</v>
      </c>
      <c r="B237" s="5">
        <v>10</v>
      </c>
      <c r="C237" s="5">
        <v>1</v>
      </c>
      <c r="D237" s="25">
        <v>1.1416E-4</v>
      </c>
      <c r="E237" s="25">
        <v>1.1718E-4</v>
      </c>
      <c r="F237" s="25">
        <v>1.1463000000000001E-4</v>
      </c>
      <c r="G237" s="25">
        <v>1.6579999999999999E-4</v>
      </c>
      <c r="H237" s="25">
        <v>1.9158000000000001E-4</v>
      </c>
      <c r="I237" s="9">
        <v>1.1436E-4</v>
      </c>
      <c r="J237" s="9">
        <v>1.1913000000000001E-4</v>
      </c>
      <c r="K237" s="9">
        <v>6.1459999999999998E-5</v>
      </c>
      <c r="L237" s="9">
        <v>1.9655000000000001E-4</v>
      </c>
      <c r="M237" s="9">
        <v>1.6249999999999999E-4</v>
      </c>
      <c r="N237" s="9">
        <v>1.5228E-4</v>
      </c>
      <c r="O237" s="9">
        <v>2.1502000000000001E-4</v>
      </c>
      <c r="P237" s="9">
        <v>1.582E-4</v>
      </c>
      <c r="Q237" s="9">
        <v>1.0641000000000001E-4</v>
      </c>
      <c r="R237" s="10">
        <v>2.1244936787709023E-4</v>
      </c>
      <c r="S237" s="10">
        <v>1.7875326286465301E-4</v>
      </c>
      <c r="T237" s="10">
        <v>0</v>
      </c>
      <c r="U237" s="10">
        <v>1.8745E-4</v>
      </c>
      <c r="V237" s="25"/>
      <c r="W237" s="25"/>
      <c r="X237" s="25"/>
      <c r="Y237" s="25"/>
      <c r="Z237" s="25"/>
      <c r="AA237" s="25"/>
    </row>
    <row r="238" spans="1:27" x14ac:dyDescent="0.35">
      <c r="A238" s="5">
        <v>234</v>
      </c>
      <c r="B238" s="5">
        <v>10</v>
      </c>
      <c r="C238" s="5">
        <v>1</v>
      </c>
      <c r="D238" s="25">
        <v>1.1415000000000001E-4</v>
      </c>
      <c r="E238" s="25">
        <v>1.1487E-4</v>
      </c>
      <c r="F238" s="25">
        <v>1.0797E-4</v>
      </c>
      <c r="G238" s="25">
        <v>1.5726999999999999E-4</v>
      </c>
      <c r="H238" s="25">
        <v>1.9722000000000001E-4</v>
      </c>
      <c r="I238" s="9">
        <v>1.2313999999999999E-4</v>
      </c>
      <c r="J238" s="9">
        <v>1.3069000000000001E-4</v>
      </c>
      <c r="K238" s="9">
        <v>7.8419999999999998E-5</v>
      </c>
      <c r="L238" s="9">
        <v>2.107E-4</v>
      </c>
      <c r="M238" s="9">
        <v>1.5945999999999999E-4</v>
      </c>
      <c r="N238" s="9">
        <v>1.3894999999999999E-4</v>
      </c>
      <c r="O238" s="9">
        <v>2.0607000000000001E-4</v>
      </c>
      <c r="P238" s="9">
        <v>1.5904999999999999E-4</v>
      </c>
      <c r="Q238" s="9">
        <v>1.1669E-4</v>
      </c>
      <c r="R238" s="10">
        <v>2.1244936787709023E-4</v>
      </c>
      <c r="S238" s="10">
        <v>1.7736368883996723E-4</v>
      </c>
      <c r="T238" s="10">
        <v>0</v>
      </c>
      <c r="U238" s="10">
        <v>1.8745E-4</v>
      </c>
      <c r="V238" s="25"/>
      <c r="W238" s="25"/>
      <c r="X238" s="25"/>
      <c r="Y238" s="25"/>
      <c r="Z238" s="25"/>
      <c r="AA238" s="25"/>
    </row>
    <row r="239" spans="1:27" x14ac:dyDescent="0.35">
      <c r="A239" s="5">
        <v>235</v>
      </c>
      <c r="B239" s="5">
        <v>10</v>
      </c>
      <c r="C239" s="5">
        <v>1</v>
      </c>
      <c r="D239" s="25">
        <v>1.1416E-4</v>
      </c>
      <c r="E239" s="25">
        <v>1.1435E-4</v>
      </c>
      <c r="F239" s="25">
        <v>1.2018E-4</v>
      </c>
      <c r="G239" s="25">
        <v>1.1137E-4</v>
      </c>
      <c r="H239" s="25">
        <v>1.349E-4</v>
      </c>
      <c r="I239" s="9">
        <v>1.2611E-4</v>
      </c>
      <c r="J239" s="9">
        <v>1.2971E-4</v>
      </c>
      <c r="K239" s="9">
        <v>1.1232E-4</v>
      </c>
      <c r="L239" s="9">
        <v>2.0672999999999999E-4</v>
      </c>
      <c r="M239" s="9">
        <v>1.5867E-4</v>
      </c>
      <c r="N239" s="9">
        <v>1.2976E-4</v>
      </c>
      <c r="O239" s="9">
        <v>1.6637999999999999E-4</v>
      </c>
      <c r="P239" s="9">
        <v>1.351E-4</v>
      </c>
      <c r="Q239" s="9">
        <v>1.0723E-4</v>
      </c>
      <c r="R239" s="10">
        <v>2.1244835721978883E-4</v>
      </c>
      <c r="S239" s="10">
        <v>1.8281916839923143E-4</v>
      </c>
      <c r="T239" s="10">
        <v>0</v>
      </c>
      <c r="U239" s="10">
        <v>1.8745E-4</v>
      </c>
      <c r="V239" s="25"/>
      <c r="W239" s="25"/>
      <c r="X239" s="25"/>
      <c r="Y239" s="25"/>
      <c r="Z239" s="25"/>
      <c r="AA239" s="25"/>
    </row>
    <row r="240" spans="1:27" x14ac:dyDescent="0.35">
      <c r="A240" s="5">
        <v>236</v>
      </c>
      <c r="B240" s="5">
        <v>10</v>
      </c>
      <c r="C240" s="5">
        <v>1</v>
      </c>
      <c r="D240" s="25">
        <v>1.1415000000000001E-4</v>
      </c>
      <c r="E240" s="25">
        <v>1.0911E-4</v>
      </c>
      <c r="F240" s="25">
        <v>1.1225E-4</v>
      </c>
      <c r="G240" s="25">
        <v>1.1307E-4</v>
      </c>
      <c r="H240" s="25">
        <v>1.2716E-4</v>
      </c>
      <c r="I240" s="9">
        <v>1.2485999999999999E-4</v>
      </c>
      <c r="J240" s="9">
        <v>1.2666000000000001E-4</v>
      </c>
      <c r="K240" s="9">
        <v>1.1868E-4</v>
      </c>
      <c r="L240" s="9">
        <v>1.7545000000000001E-4</v>
      </c>
      <c r="M240" s="9">
        <v>1.5014999999999999E-4</v>
      </c>
      <c r="N240" s="9">
        <v>1.2070000000000001E-4</v>
      </c>
      <c r="O240" s="9">
        <v>1.3090000000000001E-4</v>
      </c>
      <c r="P240" s="9">
        <v>1.1557000000000001E-4</v>
      </c>
      <c r="Q240" s="9">
        <v>1.0252E-4</v>
      </c>
      <c r="R240" s="10">
        <v>2.1243940071804333E-4</v>
      </c>
      <c r="S240" s="10">
        <v>1.8612656281100358E-4</v>
      </c>
      <c r="T240" s="10">
        <v>0</v>
      </c>
      <c r="U240" s="10">
        <v>1.8745E-4</v>
      </c>
      <c r="V240" s="25"/>
      <c r="W240" s="25"/>
      <c r="X240" s="25"/>
      <c r="Y240" s="25"/>
      <c r="Z240" s="25"/>
      <c r="AA240" s="25"/>
    </row>
    <row r="241" spans="1:27" x14ac:dyDescent="0.35">
      <c r="A241" s="5">
        <v>237</v>
      </c>
      <c r="B241" s="5">
        <v>10</v>
      </c>
      <c r="C241" s="5">
        <v>1</v>
      </c>
      <c r="D241" s="25">
        <v>1.1416E-4</v>
      </c>
      <c r="E241" s="25">
        <v>1.1315999999999999E-4</v>
      </c>
      <c r="F241" s="25">
        <v>1.1434000000000001E-4</v>
      </c>
      <c r="G241" s="25">
        <v>5.7089999999999997E-5</v>
      </c>
      <c r="H241" s="25">
        <v>7.5370000000000005E-5</v>
      </c>
      <c r="I241" s="9">
        <v>1.2077E-4</v>
      </c>
      <c r="J241" s="9">
        <v>1.2179E-4</v>
      </c>
      <c r="K241" s="9">
        <v>1.208E-4</v>
      </c>
      <c r="L241" s="9">
        <v>1.4166E-4</v>
      </c>
      <c r="M241" s="9">
        <v>1.3532999999999999E-4</v>
      </c>
      <c r="N241" s="9">
        <v>1.1318E-4</v>
      </c>
      <c r="O241" s="9">
        <v>8.5309999999999995E-5</v>
      </c>
      <c r="P241" s="9">
        <v>8.6409999999999994E-5</v>
      </c>
      <c r="Q241" s="9">
        <v>8.8410000000000002E-5</v>
      </c>
      <c r="R241" s="10">
        <v>2.1241486889692849E-4</v>
      </c>
      <c r="S241" s="10">
        <v>1.8747119039554745E-4</v>
      </c>
      <c r="T241" s="10">
        <v>0</v>
      </c>
      <c r="U241" s="10">
        <v>1.8745E-4</v>
      </c>
      <c r="V241" s="25"/>
      <c r="W241" s="25"/>
      <c r="X241" s="25"/>
      <c r="Y241" s="25"/>
      <c r="Z241" s="25"/>
      <c r="AA241" s="25"/>
    </row>
    <row r="242" spans="1:27" x14ac:dyDescent="0.35">
      <c r="A242" s="5">
        <v>238</v>
      </c>
      <c r="B242" s="5">
        <v>10</v>
      </c>
      <c r="C242" s="5">
        <v>1</v>
      </c>
      <c r="D242" s="25">
        <v>1.1415000000000001E-4</v>
      </c>
      <c r="E242" s="25">
        <v>1.155E-4</v>
      </c>
      <c r="F242" s="25">
        <v>1.0524E-4</v>
      </c>
      <c r="G242" s="25">
        <v>5.3890000000000001E-5</v>
      </c>
      <c r="H242" s="25">
        <v>6.6859999999999993E-5</v>
      </c>
      <c r="I242" s="9">
        <v>1.1497000000000001E-4</v>
      </c>
      <c r="J242" s="9">
        <v>1.1594E-4</v>
      </c>
      <c r="K242" s="9">
        <v>1.2504000000000001E-4</v>
      </c>
      <c r="L242" s="9">
        <v>9.8620000000000001E-5</v>
      </c>
      <c r="M242" s="9">
        <v>1.1391999999999999E-4</v>
      </c>
      <c r="N242" s="9">
        <v>1.0561E-4</v>
      </c>
      <c r="O242" s="9">
        <v>8.7499999999999999E-5</v>
      </c>
      <c r="P242" s="9">
        <v>8.7159999999999999E-5</v>
      </c>
      <c r="Q242" s="9">
        <v>8.7810000000000001E-5</v>
      </c>
      <c r="R242" s="10">
        <v>2.1237198111511465E-4</v>
      </c>
      <c r="S242" s="10">
        <v>1.8885373801510411E-4</v>
      </c>
      <c r="T242" s="10">
        <v>0</v>
      </c>
      <c r="U242" s="10">
        <v>1.8745E-4</v>
      </c>
      <c r="V242" s="25"/>
      <c r="W242" s="25"/>
      <c r="X242" s="25"/>
      <c r="Y242" s="25"/>
      <c r="Z242" s="25"/>
      <c r="AA242" s="25"/>
    </row>
    <row r="243" spans="1:27" x14ac:dyDescent="0.35">
      <c r="A243" s="5">
        <v>239</v>
      </c>
      <c r="B243" s="5">
        <v>10</v>
      </c>
      <c r="C243" s="5">
        <v>1</v>
      </c>
      <c r="D243" s="25">
        <v>1.1416E-4</v>
      </c>
      <c r="E243" s="25">
        <v>1.1183000000000001E-4</v>
      </c>
      <c r="F243" s="25">
        <v>1.0946E-4</v>
      </c>
      <c r="G243" s="25">
        <v>5.2849999999999997E-5</v>
      </c>
      <c r="H243" s="25">
        <v>6.8289999999999998E-5</v>
      </c>
      <c r="I243" s="9">
        <v>1.1682E-4</v>
      </c>
      <c r="J243" s="9">
        <v>1.0974E-4</v>
      </c>
      <c r="K243" s="9">
        <v>1.2928000000000001E-4</v>
      </c>
      <c r="L243" s="9">
        <v>9.0920000000000004E-5</v>
      </c>
      <c r="M243" s="9">
        <v>9.9010000000000002E-5</v>
      </c>
      <c r="N243" s="9">
        <v>9.9740000000000004E-5</v>
      </c>
      <c r="O243" s="9">
        <v>7.894E-5</v>
      </c>
      <c r="P243" s="9">
        <v>7.2799999999999994E-5</v>
      </c>
      <c r="Q243" s="9">
        <v>6.7500000000000001E-5</v>
      </c>
      <c r="R243" s="10">
        <v>2.1231579600059953E-4</v>
      </c>
      <c r="S243" s="10">
        <v>1.8867727095720684E-4</v>
      </c>
      <c r="T243" s="10">
        <v>0</v>
      </c>
      <c r="U243" s="10">
        <v>1.8745E-4</v>
      </c>
      <c r="V243" s="25"/>
      <c r="W243" s="25"/>
      <c r="X243" s="25"/>
      <c r="Y243" s="25"/>
      <c r="Z243" s="25"/>
      <c r="AA243" s="25"/>
    </row>
    <row r="244" spans="1:27" x14ac:dyDescent="0.35">
      <c r="A244" s="5">
        <v>240</v>
      </c>
      <c r="B244" s="5">
        <v>10</v>
      </c>
      <c r="C244" s="5">
        <v>1</v>
      </c>
      <c r="D244" s="25">
        <v>1.1415000000000001E-4</v>
      </c>
      <c r="E244" s="25">
        <v>1.1820999999999999E-4</v>
      </c>
      <c r="F244" s="25">
        <v>1.2063E-4</v>
      </c>
      <c r="G244" s="25">
        <v>6.0170000000000002E-5</v>
      </c>
      <c r="H244" s="25">
        <v>6.5060000000000004E-5</v>
      </c>
      <c r="I244" s="9">
        <v>1.161E-4</v>
      </c>
      <c r="J244" s="9">
        <v>1.0259000000000001E-4</v>
      </c>
      <c r="K244" s="9">
        <v>1.2504000000000001E-4</v>
      </c>
      <c r="L244" s="9">
        <v>8.1580000000000002E-5</v>
      </c>
      <c r="M244" s="9">
        <v>8.6279999999999994E-5</v>
      </c>
      <c r="N244" s="9">
        <v>9.0649999999999994E-5</v>
      </c>
      <c r="O244" s="9">
        <v>6.3280000000000004E-5</v>
      </c>
      <c r="P244" s="9">
        <v>6.1060000000000002E-5</v>
      </c>
      <c r="Q244" s="9">
        <v>5.923E-5</v>
      </c>
      <c r="R244" s="10">
        <v>2.1161474054316292E-4</v>
      </c>
      <c r="S244" s="10">
        <v>1.8954998305102278E-4</v>
      </c>
      <c r="T244" s="10">
        <v>0</v>
      </c>
      <c r="U244" s="10">
        <v>1.8745E-4</v>
      </c>
      <c r="V244" s="25"/>
      <c r="W244" s="25"/>
      <c r="X244" s="25"/>
      <c r="Y244" s="25"/>
      <c r="Z244" s="25"/>
      <c r="AA244" s="25"/>
    </row>
    <row r="245" spans="1:27" x14ac:dyDescent="0.35">
      <c r="A245" s="5">
        <v>241</v>
      </c>
      <c r="B245" s="5">
        <v>11</v>
      </c>
      <c r="C245" s="5">
        <v>1</v>
      </c>
      <c r="D245" s="25">
        <v>1.1416E-4</v>
      </c>
      <c r="E245" s="25">
        <v>1.1272E-4</v>
      </c>
      <c r="F245" s="25">
        <v>1.1964E-4</v>
      </c>
      <c r="G245" s="25">
        <v>5.9979999999999998E-5</v>
      </c>
      <c r="H245" s="25">
        <v>6.6829999999999995E-5</v>
      </c>
      <c r="I245" s="9">
        <v>1.0914E-4</v>
      </c>
      <c r="J245" s="9">
        <v>9.7070000000000004E-5</v>
      </c>
      <c r="K245" s="9">
        <v>1.208E-4</v>
      </c>
      <c r="L245" s="9">
        <v>6.7280000000000006E-5</v>
      </c>
      <c r="M245" s="9">
        <v>7.4300000000000004E-5</v>
      </c>
      <c r="N245" s="9">
        <v>8.1340000000000004E-5</v>
      </c>
      <c r="O245" s="9">
        <v>5.4889999999999998E-5</v>
      </c>
      <c r="P245" s="9">
        <v>5.431E-5</v>
      </c>
      <c r="Q245" s="9">
        <v>5.3879999999999999E-5</v>
      </c>
      <c r="R245" s="10">
        <v>2.1181401201534122E-4</v>
      </c>
      <c r="S245" s="10">
        <v>1.9018600829214392E-4</v>
      </c>
      <c r="T245" s="10">
        <v>0</v>
      </c>
      <c r="U245" s="10">
        <v>1.8857999999999999E-4</v>
      </c>
      <c r="V245" s="25"/>
      <c r="W245" s="25"/>
      <c r="X245" s="25"/>
      <c r="Y245" s="25"/>
      <c r="Z245" s="25"/>
      <c r="AA245" s="25"/>
    </row>
    <row r="246" spans="1:27" x14ac:dyDescent="0.35">
      <c r="A246" s="5">
        <v>242</v>
      </c>
      <c r="B246" s="5">
        <v>11</v>
      </c>
      <c r="C246" s="5">
        <v>1</v>
      </c>
      <c r="D246" s="25">
        <v>1.1415000000000001E-4</v>
      </c>
      <c r="E246" s="25">
        <v>1.2037E-4</v>
      </c>
      <c r="F246" s="25">
        <v>1.1027999999999999E-4</v>
      </c>
      <c r="G246" s="25">
        <v>6.0449999999999999E-5</v>
      </c>
      <c r="H246" s="25">
        <v>7.2520000000000004E-5</v>
      </c>
      <c r="I246" s="9">
        <v>1.0394E-4</v>
      </c>
      <c r="J246" s="9">
        <v>9.3620000000000002E-5</v>
      </c>
      <c r="K246" s="9">
        <v>1.208E-4</v>
      </c>
      <c r="L246" s="9">
        <v>5.8010000000000002E-5</v>
      </c>
      <c r="M246" s="9">
        <v>6.4250000000000003E-5</v>
      </c>
      <c r="N246" s="9">
        <v>7.2310000000000004E-5</v>
      </c>
      <c r="O246" s="9">
        <v>1.821E-5</v>
      </c>
      <c r="P246" s="9">
        <v>3.7639999999999999E-5</v>
      </c>
      <c r="Q246" s="9">
        <v>5.6010000000000001E-5</v>
      </c>
      <c r="R246" s="10">
        <v>2.1228404605960153E-4</v>
      </c>
      <c r="S246" s="10">
        <v>1.9020763190172446E-4</v>
      </c>
      <c r="T246" s="10">
        <v>0</v>
      </c>
      <c r="U246" s="10">
        <v>1.8857999999999999E-4</v>
      </c>
      <c r="V246" s="25"/>
      <c r="W246" s="25"/>
      <c r="X246" s="25"/>
      <c r="Y246" s="25"/>
      <c r="Z246" s="25"/>
      <c r="AA246" s="25"/>
    </row>
    <row r="247" spans="1:27" x14ac:dyDescent="0.35">
      <c r="A247" s="5">
        <v>243</v>
      </c>
      <c r="B247" s="5">
        <v>11</v>
      </c>
      <c r="C247" s="5">
        <v>1</v>
      </c>
      <c r="D247" s="25">
        <v>1.1416E-4</v>
      </c>
      <c r="E247" s="25">
        <v>1.2263000000000001E-4</v>
      </c>
      <c r="F247" s="25">
        <v>1.1376E-4</v>
      </c>
      <c r="G247" s="25">
        <v>5.8669999999999999E-5</v>
      </c>
      <c r="H247" s="25">
        <v>6.7600000000000003E-5</v>
      </c>
      <c r="I247" s="9">
        <v>1.0073000000000001E-4</v>
      </c>
      <c r="J247" s="9">
        <v>9.2419999999999999E-5</v>
      </c>
      <c r="K247" s="9">
        <v>1.3352000000000001E-4</v>
      </c>
      <c r="L247" s="9">
        <v>2.7180000000000001E-5</v>
      </c>
      <c r="M247" s="9">
        <v>5.2370000000000002E-5</v>
      </c>
      <c r="N247" s="9">
        <v>6.5679999999999995E-5</v>
      </c>
      <c r="O247" s="9">
        <v>1.257E-5</v>
      </c>
      <c r="P247" s="9">
        <v>3.7400000000000001E-5</v>
      </c>
      <c r="Q247" s="9">
        <v>6.0949999999999998E-5</v>
      </c>
      <c r="R247" s="10">
        <v>2.1231885220159531E-4</v>
      </c>
      <c r="S247" s="10">
        <v>1.9021643551782471E-4</v>
      </c>
      <c r="T247" s="10">
        <v>0</v>
      </c>
      <c r="U247" s="10">
        <v>1.8857999999999999E-4</v>
      </c>
      <c r="V247" s="25"/>
      <c r="W247" s="25"/>
      <c r="X247" s="25"/>
      <c r="Y247" s="25"/>
      <c r="Z247" s="25"/>
      <c r="AA247" s="25"/>
    </row>
    <row r="248" spans="1:27" x14ac:dyDescent="0.35">
      <c r="A248" s="5">
        <v>244</v>
      </c>
      <c r="B248" s="5">
        <v>11</v>
      </c>
      <c r="C248" s="5">
        <v>1</v>
      </c>
      <c r="D248" s="25">
        <v>1.1415000000000001E-4</v>
      </c>
      <c r="E248" s="25">
        <v>1.2087E-4</v>
      </c>
      <c r="F248" s="25">
        <v>1.1729E-4</v>
      </c>
      <c r="G248" s="25">
        <v>5.8159999999999999E-5</v>
      </c>
      <c r="H248" s="25">
        <v>6.5879999999999999E-5</v>
      </c>
      <c r="I248" s="9">
        <v>9.9279999999999998E-5</v>
      </c>
      <c r="J248" s="9">
        <v>9.221E-5</v>
      </c>
      <c r="K248" s="9">
        <v>1.3350999999999999E-4</v>
      </c>
      <c r="L248" s="9">
        <v>1.6549999999999999E-5</v>
      </c>
      <c r="M248" s="9">
        <v>4.4140000000000001E-5</v>
      </c>
      <c r="N248" s="9">
        <v>6.1929999999999998E-5</v>
      </c>
      <c r="O248" s="9">
        <v>1.279E-5</v>
      </c>
      <c r="P248" s="9">
        <v>4.7580000000000002E-5</v>
      </c>
      <c r="Q248" s="9">
        <v>8.0920000000000005E-5</v>
      </c>
      <c r="R248" s="10">
        <v>2.1232945461178965E-4</v>
      </c>
      <c r="S248" s="10">
        <v>1.9025521474312808E-4</v>
      </c>
      <c r="T248" s="10">
        <v>0</v>
      </c>
      <c r="U248" s="10">
        <v>1.8857999999999999E-4</v>
      </c>
      <c r="V248" s="25"/>
      <c r="W248" s="25"/>
      <c r="X248" s="25"/>
      <c r="Y248" s="25"/>
      <c r="Z248" s="25"/>
      <c r="AA248" s="25"/>
    </row>
    <row r="249" spans="1:27" x14ac:dyDescent="0.35">
      <c r="A249" s="5">
        <v>245</v>
      </c>
      <c r="B249" s="5">
        <v>11</v>
      </c>
      <c r="C249" s="5">
        <v>1</v>
      </c>
      <c r="D249" s="25">
        <v>1.1416E-4</v>
      </c>
      <c r="E249" s="25">
        <v>1.2428E-4</v>
      </c>
      <c r="F249" s="25">
        <v>1.0902E-4</v>
      </c>
      <c r="G249" s="25">
        <v>5.6110000000000003E-5</v>
      </c>
      <c r="H249" s="25">
        <v>7.4129999999999997E-5</v>
      </c>
      <c r="I249" s="9">
        <v>1.003E-4</v>
      </c>
      <c r="J249" s="9">
        <v>9.3259999999999998E-5</v>
      </c>
      <c r="K249" s="9">
        <v>1.2504000000000001E-4</v>
      </c>
      <c r="L249" s="9">
        <v>1.3869999999999999E-5</v>
      </c>
      <c r="M249" s="9">
        <v>4.3519999999999997E-5</v>
      </c>
      <c r="N249" s="9">
        <v>6.4540000000000002E-5</v>
      </c>
      <c r="O249" s="9">
        <v>1.8329999999999999E-5</v>
      </c>
      <c r="P249" s="9">
        <v>5.681E-5</v>
      </c>
      <c r="Q249" s="9">
        <v>9.3949999999999993E-5</v>
      </c>
      <c r="R249" s="10">
        <v>2.123390476724397E-4</v>
      </c>
      <c r="S249" s="10">
        <v>1.9026633513902848E-4</v>
      </c>
      <c r="T249" s="10">
        <v>0</v>
      </c>
      <c r="U249" s="10">
        <v>1.8857999999999999E-4</v>
      </c>
      <c r="V249" s="25"/>
      <c r="W249" s="25"/>
      <c r="X249" s="25"/>
      <c r="Y249" s="25"/>
      <c r="Z249" s="25"/>
      <c r="AA249" s="25"/>
    </row>
    <row r="250" spans="1:27" x14ac:dyDescent="0.35">
      <c r="A250" s="5">
        <v>246</v>
      </c>
      <c r="B250" s="5">
        <v>11</v>
      </c>
      <c r="C250" s="5">
        <v>1</v>
      </c>
      <c r="D250" s="25">
        <v>1.1415000000000001E-4</v>
      </c>
      <c r="E250" s="25">
        <v>1.1288E-4</v>
      </c>
      <c r="F250" s="25">
        <v>1.025E-4</v>
      </c>
      <c r="G250" s="25">
        <v>1.1459E-4</v>
      </c>
      <c r="H250" s="25">
        <v>1.3908E-4</v>
      </c>
      <c r="I250" s="9">
        <v>1.0629E-4</v>
      </c>
      <c r="J250" s="9">
        <v>9.8029999999999995E-5</v>
      </c>
      <c r="K250" s="9">
        <v>1.208E-4</v>
      </c>
      <c r="L250" s="9">
        <v>1.721E-5</v>
      </c>
      <c r="M250" s="9">
        <v>4.8510000000000001E-5</v>
      </c>
      <c r="N250" s="9">
        <v>7.1130000000000005E-5</v>
      </c>
      <c r="O250" s="9">
        <v>4.6629999999999999E-5</v>
      </c>
      <c r="P250" s="9">
        <v>7.7650000000000004E-5</v>
      </c>
      <c r="Q250" s="9">
        <v>1.0813E-4</v>
      </c>
      <c r="R250" s="10">
        <v>2.1243560910755605E-4</v>
      </c>
      <c r="S250" s="10">
        <v>1.9028351010095341E-4</v>
      </c>
      <c r="T250" s="10">
        <v>0</v>
      </c>
      <c r="U250" s="10">
        <v>1.8857999999999999E-4</v>
      </c>
      <c r="V250" s="25"/>
      <c r="W250" s="25"/>
      <c r="X250" s="25"/>
      <c r="Y250" s="25"/>
      <c r="Z250" s="25"/>
      <c r="AA250" s="25"/>
    </row>
    <row r="251" spans="1:27" x14ac:dyDescent="0.35">
      <c r="A251" s="5">
        <v>247</v>
      </c>
      <c r="B251" s="5">
        <v>11</v>
      </c>
      <c r="C251" s="5">
        <v>1</v>
      </c>
      <c r="D251" s="25">
        <v>1.1416E-4</v>
      </c>
      <c r="E251" s="25">
        <v>1.1702E-4</v>
      </c>
      <c r="F251" s="25">
        <v>1.0143E-4</v>
      </c>
      <c r="G251" s="25">
        <v>1.061E-4</v>
      </c>
      <c r="H251" s="25">
        <v>1.3713000000000001E-4</v>
      </c>
      <c r="I251" s="9">
        <v>1.2193000000000001E-4</v>
      </c>
      <c r="J251" s="9">
        <v>1.0998E-4</v>
      </c>
      <c r="K251" s="9">
        <v>1.1869E-4</v>
      </c>
      <c r="L251" s="9">
        <v>4.0009999999999998E-5</v>
      </c>
      <c r="M251" s="9">
        <v>6.0409999999999999E-5</v>
      </c>
      <c r="N251" s="9">
        <v>8.1050000000000005E-5</v>
      </c>
      <c r="O251" s="9">
        <v>1.2427E-4</v>
      </c>
      <c r="P251" s="9">
        <v>1.1735000000000001E-4</v>
      </c>
      <c r="Q251" s="9">
        <v>1.1241E-4</v>
      </c>
      <c r="R251" s="10">
        <v>2.1244902746599844E-4</v>
      </c>
      <c r="S251" s="10">
        <v>1.9028978475527818E-4</v>
      </c>
      <c r="T251" s="10">
        <v>0</v>
      </c>
      <c r="U251" s="10">
        <v>1.8857999999999999E-4</v>
      </c>
      <c r="V251" s="25"/>
      <c r="W251" s="25"/>
      <c r="X251" s="25"/>
      <c r="Y251" s="25"/>
      <c r="Z251" s="25"/>
      <c r="AA251" s="25"/>
    </row>
    <row r="252" spans="1:27" x14ac:dyDescent="0.35">
      <c r="A252" s="5">
        <v>248</v>
      </c>
      <c r="B252" s="5">
        <v>11</v>
      </c>
      <c r="C252" s="5">
        <v>1</v>
      </c>
      <c r="D252" s="25">
        <v>1.1415000000000001E-4</v>
      </c>
      <c r="E252" s="25">
        <v>1.1797E-4</v>
      </c>
      <c r="F252" s="25">
        <v>1.0212E-4</v>
      </c>
      <c r="G252" s="25">
        <v>1.5777E-4</v>
      </c>
      <c r="H252" s="25">
        <v>1.9762999999999999E-4</v>
      </c>
      <c r="I252" s="9">
        <v>1.3448999999999999E-4</v>
      </c>
      <c r="J252" s="9">
        <v>1.2956E-4</v>
      </c>
      <c r="K252" s="9">
        <v>1.1444E-4</v>
      </c>
      <c r="L252" s="9">
        <v>1.0509999999999999E-4</v>
      </c>
      <c r="M252" s="9">
        <v>8.3969999999999997E-5</v>
      </c>
      <c r="N252" s="9">
        <v>9.1119999999999995E-5</v>
      </c>
      <c r="O252" s="9">
        <v>2.2397000000000001E-4</v>
      </c>
      <c r="P252" s="9">
        <v>1.7834E-4</v>
      </c>
      <c r="Q252" s="9">
        <v>1.3777E-4</v>
      </c>
      <c r="R252" s="10">
        <v>2.1244936787709023E-4</v>
      </c>
      <c r="S252" s="10">
        <v>1.9028053777404052E-4</v>
      </c>
      <c r="T252" s="10">
        <v>0</v>
      </c>
      <c r="U252" s="10">
        <v>1.8857999999999999E-4</v>
      </c>
      <c r="V252" s="25"/>
      <c r="W252" s="25"/>
      <c r="X252" s="25"/>
      <c r="Y252" s="25"/>
      <c r="Z252" s="25"/>
      <c r="AA252" s="25"/>
    </row>
    <row r="253" spans="1:27" x14ac:dyDescent="0.35">
      <c r="A253" s="5">
        <v>249</v>
      </c>
      <c r="B253" s="5">
        <v>11</v>
      </c>
      <c r="C253" s="5">
        <v>1</v>
      </c>
      <c r="D253" s="25">
        <v>1.1416E-4</v>
      </c>
      <c r="E253" s="25">
        <v>1.1679E-4</v>
      </c>
      <c r="F253" s="25">
        <v>1.1488E-4</v>
      </c>
      <c r="G253" s="25">
        <v>1.5621999999999999E-4</v>
      </c>
      <c r="H253" s="25">
        <v>2.0303000000000001E-4</v>
      </c>
      <c r="I253" s="9">
        <v>1.4158000000000001E-4</v>
      </c>
      <c r="J253" s="9">
        <v>1.4291999999999999E-4</v>
      </c>
      <c r="K253" s="9">
        <v>1.1445E-4</v>
      </c>
      <c r="L253" s="9">
        <v>1.9604E-4</v>
      </c>
      <c r="M253" s="9">
        <v>1.2402999999999999E-4</v>
      </c>
      <c r="N253" s="9">
        <v>1.0508E-4</v>
      </c>
      <c r="O253" s="9">
        <v>2.1277000000000001E-4</v>
      </c>
      <c r="P253" s="9">
        <v>1.9218999999999999E-4</v>
      </c>
      <c r="Q253" s="9">
        <v>1.7600999999999999E-4</v>
      </c>
      <c r="R253" s="10">
        <v>2.1244936787709023E-4</v>
      </c>
      <c r="S253" s="10">
        <v>1.9024637232179181E-4</v>
      </c>
      <c r="T253" s="10">
        <v>3.3920228801869778E-5</v>
      </c>
      <c r="U253" s="10">
        <v>1.8857999999999999E-4</v>
      </c>
      <c r="V253" s="25"/>
      <c r="W253" s="25"/>
      <c r="X253" s="25"/>
      <c r="Y253" s="25"/>
      <c r="Z253" s="25"/>
      <c r="AA253" s="25"/>
    </row>
    <row r="254" spans="1:27" x14ac:dyDescent="0.35">
      <c r="A254" s="5">
        <v>250</v>
      </c>
      <c r="B254" s="5">
        <v>11</v>
      </c>
      <c r="C254" s="5">
        <v>1</v>
      </c>
      <c r="D254" s="25">
        <v>1.1415000000000001E-4</v>
      </c>
      <c r="E254" s="25">
        <v>1.1852E-4</v>
      </c>
      <c r="F254" s="25">
        <v>1.1054E-4</v>
      </c>
      <c r="G254" s="25">
        <v>1.616E-4</v>
      </c>
      <c r="H254" s="25">
        <v>1.9394E-4</v>
      </c>
      <c r="I254" s="9">
        <v>1.4304000000000001E-4</v>
      </c>
      <c r="J254" s="9">
        <v>1.4572000000000001E-4</v>
      </c>
      <c r="K254" s="9">
        <v>1.1021E-4</v>
      </c>
      <c r="L254" s="9">
        <v>2.0670000000000001E-4</v>
      </c>
      <c r="M254" s="9">
        <v>1.5872999999999999E-4</v>
      </c>
      <c r="N254" s="9">
        <v>1.2483000000000001E-4</v>
      </c>
      <c r="O254" s="9">
        <v>1.6888E-4</v>
      </c>
      <c r="P254" s="9">
        <v>1.7396999999999999E-4</v>
      </c>
      <c r="Q254" s="9">
        <v>1.8196999999999999E-4</v>
      </c>
      <c r="R254" s="10">
        <v>2.1244936787709023E-4</v>
      </c>
      <c r="S254" s="10">
        <v>1.9028313522862872E-4</v>
      </c>
      <c r="T254" s="10">
        <v>4.6078229770624011E-5</v>
      </c>
      <c r="U254" s="10">
        <v>1.8857999999999999E-4</v>
      </c>
      <c r="V254" s="25"/>
      <c r="W254" s="25"/>
      <c r="X254" s="25"/>
      <c r="Y254" s="25"/>
      <c r="Z254" s="25"/>
      <c r="AA254" s="25"/>
    </row>
    <row r="255" spans="1:27" x14ac:dyDescent="0.35">
      <c r="A255" s="5">
        <v>251</v>
      </c>
      <c r="B255" s="5">
        <v>11</v>
      </c>
      <c r="C255" s="5">
        <v>1</v>
      </c>
      <c r="D255" s="25">
        <v>1.1416E-4</v>
      </c>
      <c r="E255" s="25">
        <v>1.1792E-4</v>
      </c>
      <c r="F255" s="25">
        <v>1.0342E-4</v>
      </c>
      <c r="G255" s="25">
        <v>1.5611999999999999E-4</v>
      </c>
      <c r="H255" s="25">
        <v>1.9163000000000001E-4</v>
      </c>
      <c r="I255" s="9">
        <v>1.4328999999999999E-4</v>
      </c>
      <c r="J255" s="9">
        <v>1.4639000000000001E-4</v>
      </c>
      <c r="K255" s="9">
        <v>1.0385E-4</v>
      </c>
      <c r="L255" s="9">
        <v>1.7733000000000001E-4</v>
      </c>
      <c r="M255" s="9">
        <v>1.7222E-4</v>
      </c>
      <c r="N255" s="9">
        <v>1.4281E-4</v>
      </c>
      <c r="O255" s="9">
        <v>1.7019999999999999E-4</v>
      </c>
      <c r="P255" s="9">
        <v>1.7396999999999999E-4</v>
      </c>
      <c r="Q255" s="9">
        <v>1.807E-4</v>
      </c>
      <c r="R255" s="10">
        <v>2.1244936787709023E-4</v>
      </c>
      <c r="S255" s="10">
        <v>1.9023801599609357E-4</v>
      </c>
      <c r="T255" s="10">
        <v>1.5790129520550241E-4</v>
      </c>
      <c r="U255" s="10">
        <v>1.8857999999999999E-4</v>
      </c>
      <c r="V255" s="25"/>
      <c r="W255" s="25"/>
      <c r="X255" s="25"/>
      <c r="Y255" s="25"/>
      <c r="Z255" s="25"/>
      <c r="AA255" s="25"/>
    </row>
    <row r="256" spans="1:27" x14ac:dyDescent="0.35">
      <c r="A256" s="5">
        <v>252</v>
      </c>
      <c r="B256" s="5">
        <v>11</v>
      </c>
      <c r="C256" s="5">
        <v>1</v>
      </c>
      <c r="D256" s="25">
        <v>1.1415000000000001E-4</v>
      </c>
      <c r="E256" s="25">
        <v>1.1896E-4</v>
      </c>
      <c r="F256" s="25">
        <v>1.1067E-4</v>
      </c>
      <c r="G256" s="25">
        <v>1.6536E-4</v>
      </c>
      <c r="H256" s="25">
        <v>1.9186999999999999E-4</v>
      </c>
      <c r="I256" s="9">
        <v>1.4428999999999999E-4</v>
      </c>
      <c r="J256" s="9">
        <v>1.4796000000000001E-4</v>
      </c>
      <c r="K256" s="9">
        <v>9.3259999999999998E-5</v>
      </c>
      <c r="L256" s="9">
        <v>1.7321E-4</v>
      </c>
      <c r="M256" s="9">
        <v>1.7511999999999999E-4</v>
      </c>
      <c r="N256" s="9">
        <v>1.5705999999999999E-4</v>
      </c>
      <c r="O256" s="9">
        <v>1.7030999999999999E-4</v>
      </c>
      <c r="P256" s="9">
        <v>1.6991E-4</v>
      </c>
      <c r="Q256" s="9">
        <v>1.7255999999999999E-4</v>
      </c>
      <c r="R256" s="10">
        <v>2.1244936787709023E-4</v>
      </c>
      <c r="S256" s="10">
        <v>1.8779594242564562E-4</v>
      </c>
      <c r="T256" s="10">
        <v>4.8285844461531089E-4</v>
      </c>
      <c r="U256" s="10">
        <v>1.8857999999999999E-4</v>
      </c>
      <c r="V256" s="25"/>
      <c r="W256" s="25"/>
      <c r="X256" s="25"/>
      <c r="Y256" s="25"/>
      <c r="Z256" s="25"/>
      <c r="AA256" s="25"/>
    </row>
    <row r="257" spans="1:27" x14ac:dyDescent="0.35">
      <c r="A257" s="5">
        <v>253</v>
      </c>
      <c r="B257" s="5">
        <v>11</v>
      </c>
      <c r="C257" s="5">
        <v>1</v>
      </c>
      <c r="D257" s="25">
        <v>1.1416E-4</v>
      </c>
      <c r="E257" s="25">
        <v>1.1569999999999999E-4</v>
      </c>
      <c r="F257" s="25">
        <v>1.1237E-4</v>
      </c>
      <c r="G257" s="25">
        <v>1.6712000000000001E-4</v>
      </c>
      <c r="H257" s="25">
        <v>1.9154999999999999E-4</v>
      </c>
      <c r="I257" s="9">
        <v>1.4173000000000001E-4</v>
      </c>
      <c r="J257" s="9">
        <v>1.4711999999999999E-4</v>
      </c>
      <c r="K257" s="9">
        <v>8.6890000000000003E-5</v>
      </c>
      <c r="L257" s="9">
        <v>1.7107E-4</v>
      </c>
      <c r="M257" s="9">
        <v>1.7353E-4</v>
      </c>
      <c r="N257" s="9">
        <v>1.6610999999999999E-4</v>
      </c>
      <c r="O257" s="9">
        <v>1.6189000000000001E-4</v>
      </c>
      <c r="P257" s="9">
        <v>1.6244E-4</v>
      </c>
      <c r="Q257" s="9">
        <v>1.6581000000000001E-4</v>
      </c>
      <c r="R257" s="10">
        <v>2.1244936787709023E-4</v>
      </c>
      <c r="S257" s="10">
        <v>1.8694673413864547E-4</v>
      </c>
      <c r="T257" s="10">
        <v>1.5344703804667757E-4</v>
      </c>
      <c r="U257" s="10">
        <v>1.8857999999999999E-4</v>
      </c>
      <c r="V257" s="25"/>
      <c r="W257" s="25"/>
      <c r="X257" s="25"/>
      <c r="Y257" s="25"/>
      <c r="Z257" s="25"/>
      <c r="AA257" s="25"/>
    </row>
    <row r="258" spans="1:27" x14ac:dyDescent="0.35">
      <c r="A258" s="5">
        <v>254</v>
      </c>
      <c r="B258" s="5">
        <v>11</v>
      </c>
      <c r="C258" s="5">
        <v>1</v>
      </c>
      <c r="D258" s="25">
        <v>1.1415000000000001E-4</v>
      </c>
      <c r="E258" s="25">
        <v>1.1526E-4</v>
      </c>
      <c r="F258" s="25">
        <v>1.0632999999999999E-4</v>
      </c>
      <c r="G258" s="25">
        <v>1.6101000000000001E-4</v>
      </c>
      <c r="H258" s="25">
        <v>2.0258E-4</v>
      </c>
      <c r="I258" s="9">
        <v>1.4153000000000001E-4</v>
      </c>
      <c r="J258" s="9">
        <v>1.4752999999999999E-4</v>
      </c>
      <c r="K258" s="9">
        <v>9.7499999999999998E-5</v>
      </c>
      <c r="L258" s="9">
        <v>1.6370999999999999E-4</v>
      </c>
      <c r="M258" s="9">
        <v>1.6907000000000001E-4</v>
      </c>
      <c r="N258" s="9">
        <v>1.7000000000000001E-4</v>
      </c>
      <c r="O258" s="9">
        <v>1.8045999999999999E-4</v>
      </c>
      <c r="P258" s="9">
        <v>1.6897E-4</v>
      </c>
      <c r="Q258" s="9">
        <v>1.6093999999999999E-4</v>
      </c>
      <c r="R258" s="10">
        <v>2.1244936787709023E-4</v>
      </c>
      <c r="S258" s="10">
        <v>1.8734844616858254E-4</v>
      </c>
      <c r="T258" s="10">
        <v>1.664874061478466E-4</v>
      </c>
      <c r="U258" s="10">
        <v>1.8857999999999999E-4</v>
      </c>
      <c r="V258" s="25"/>
      <c r="W258" s="25"/>
      <c r="X258" s="25"/>
      <c r="Y258" s="25"/>
      <c r="Z258" s="25"/>
      <c r="AA258" s="25"/>
    </row>
    <row r="259" spans="1:27" x14ac:dyDescent="0.35">
      <c r="A259" s="5">
        <v>255</v>
      </c>
      <c r="B259" s="5">
        <v>11</v>
      </c>
      <c r="C259" s="5">
        <v>1</v>
      </c>
      <c r="D259" s="25">
        <v>1.1416E-4</v>
      </c>
      <c r="E259" s="25">
        <v>1.2368000000000001E-4</v>
      </c>
      <c r="F259" s="25">
        <v>1.011E-4</v>
      </c>
      <c r="G259" s="25">
        <v>1.6636999999999999E-4</v>
      </c>
      <c r="H259" s="25">
        <v>1.9672E-4</v>
      </c>
      <c r="I259" s="9">
        <v>1.4024999999999999E-4</v>
      </c>
      <c r="J259" s="9">
        <v>1.4582000000000001E-4</v>
      </c>
      <c r="K259" s="9">
        <v>9.7490000000000003E-5</v>
      </c>
      <c r="L259" s="9">
        <v>1.7696000000000001E-4</v>
      </c>
      <c r="M259" s="9">
        <v>1.6778E-4</v>
      </c>
      <c r="N259" s="9">
        <v>1.6958000000000001E-4</v>
      </c>
      <c r="O259" s="9">
        <v>1.8629000000000001E-4</v>
      </c>
      <c r="P259" s="9">
        <v>1.6783999999999999E-4</v>
      </c>
      <c r="Q259" s="9">
        <v>1.5309000000000001E-4</v>
      </c>
      <c r="R259" s="10">
        <v>2.1244936787709023E-4</v>
      </c>
      <c r="S259" s="10">
        <v>1.8769984593899241E-4</v>
      </c>
      <c r="T259" s="10">
        <v>8.880516129794172E-5</v>
      </c>
      <c r="U259" s="10">
        <v>1.8857999999999999E-4</v>
      </c>
      <c r="V259" s="25"/>
      <c r="W259" s="25"/>
      <c r="X259" s="25"/>
      <c r="Y259" s="25"/>
      <c r="Z259" s="25"/>
      <c r="AA259" s="25"/>
    </row>
    <row r="260" spans="1:27" x14ac:dyDescent="0.35">
      <c r="A260" s="5">
        <v>256</v>
      </c>
      <c r="B260" s="5">
        <v>11</v>
      </c>
      <c r="C260" s="5">
        <v>1</v>
      </c>
      <c r="D260" s="25">
        <v>1.1415000000000001E-4</v>
      </c>
      <c r="E260" s="25">
        <v>1.1285000000000001E-4</v>
      </c>
      <c r="F260" s="25">
        <v>1.2242000000000001E-4</v>
      </c>
      <c r="G260" s="25">
        <v>1.5846E-4</v>
      </c>
      <c r="H260" s="25">
        <v>1.986E-4</v>
      </c>
      <c r="I260" s="9">
        <v>1.3969000000000001E-4</v>
      </c>
      <c r="J260" s="9">
        <v>1.4516E-4</v>
      </c>
      <c r="K260" s="9">
        <v>9.5370000000000003E-5</v>
      </c>
      <c r="L260" s="9">
        <v>1.8388000000000001E-4</v>
      </c>
      <c r="M260" s="9">
        <v>1.6760000000000001E-4</v>
      </c>
      <c r="N260" s="9">
        <v>1.6584999999999999E-4</v>
      </c>
      <c r="O260" s="9">
        <v>1.9866E-4</v>
      </c>
      <c r="P260" s="9">
        <v>1.517E-4</v>
      </c>
      <c r="Q260" s="9">
        <v>1.0922E-4</v>
      </c>
      <c r="R260" s="10">
        <v>2.1244936787709023E-4</v>
      </c>
      <c r="S260" s="10">
        <v>1.9003753741840749E-4</v>
      </c>
      <c r="T260" s="10">
        <v>3.2011261448087717E-5</v>
      </c>
      <c r="U260" s="10">
        <v>1.8857999999999999E-4</v>
      </c>
      <c r="V260" s="25"/>
      <c r="W260" s="25"/>
      <c r="X260" s="25"/>
      <c r="Y260" s="25"/>
      <c r="Z260" s="25"/>
      <c r="AA260" s="25"/>
    </row>
    <row r="261" spans="1:27" x14ac:dyDescent="0.35">
      <c r="A261" s="5">
        <v>257</v>
      </c>
      <c r="B261" s="5">
        <v>11</v>
      </c>
      <c r="C261" s="5">
        <v>1</v>
      </c>
      <c r="D261" s="25">
        <v>1.1416E-4</v>
      </c>
      <c r="E261" s="25">
        <v>1.2265999999999999E-4</v>
      </c>
      <c r="F261" s="25">
        <v>1.0225000000000001E-4</v>
      </c>
      <c r="G261" s="25">
        <v>1.6147000000000001E-4</v>
      </c>
      <c r="H261" s="25">
        <v>1.9275E-4</v>
      </c>
      <c r="I261" s="9">
        <v>1.3993999999999999E-4</v>
      </c>
      <c r="J261" s="9">
        <v>1.47E-4</v>
      </c>
      <c r="K261" s="9">
        <v>9.3250000000000003E-5</v>
      </c>
      <c r="L261" s="9">
        <v>1.9515999999999999E-4</v>
      </c>
      <c r="M261" s="9">
        <v>1.6194000000000001E-4</v>
      </c>
      <c r="N261" s="9">
        <v>1.5205000000000001E-4</v>
      </c>
      <c r="O261" s="9">
        <v>2.1421999999999999E-4</v>
      </c>
      <c r="P261" s="9">
        <v>1.5761E-4</v>
      </c>
      <c r="Q261" s="9">
        <v>1.0602E-4</v>
      </c>
      <c r="R261" s="10">
        <v>2.1244936787709023E-4</v>
      </c>
      <c r="S261" s="10">
        <v>1.9024783564515753E-4</v>
      </c>
      <c r="T261" s="10">
        <v>0</v>
      </c>
      <c r="U261" s="10">
        <v>1.8857999999999999E-4</v>
      </c>
      <c r="V261" s="25"/>
      <c r="W261" s="25"/>
      <c r="X261" s="25"/>
      <c r="Y261" s="25"/>
      <c r="Z261" s="25"/>
      <c r="AA261" s="25"/>
    </row>
    <row r="262" spans="1:27" x14ac:dyDescent="0.35">
      <c r="A262" s="5">
        <v>258</v>
      </c>
      <c r="B262" s="5">
        <v>11</v>
      </c>
      <c r="C262" s="5">
        <v>1</v>
      </c>
      <c r="D262" s="25">
        <v>1.1415000000000001E-4</v>
      </c>
      <c r="E262" s="25">
        <v>1.1849999999999999E-4</v>
      </c>
      <c r="F262" s="25">
        <v>1.0141000000000001E-4</v>
      </c>
      <c r="G262" s="25">
        <v>1.6417999999999999E-4</v>
      </c>
      <c r="H262" s="25">
        <v>1.9115000000000001E-4</v>
      </c>
      <c r="I262" s="9">
        <v>1.4792000000000001E-4</v>
      </c>
      <c r="J262" s="9">
        <v>1.5330000000000001E-4</v>
      </c>
      <c r="K262" s="9">
        <v>9.9610000000000003E-5</v>
      </c>
      <c r="L262" s="9">
        <v>2.0981999999999999E-4</v>
      </c>
      <c r="M262" s="9">
        <v>1.5877999999999999E-4</v>
      </c>
      <c r="N262" s="9">
        <v>1.3859000000000001E-4</v>
      </c>
      <c r="O262" s="9">
        <v>2.0608000000000001E-4</v>
      </c>
      <c r="P262" s="9">
        <v>1.5906000000000001E-4</v>
      </c>
      <c r="Q262" s="9">
        <v>1.167E-4</v>
      </c>
      <c r="R262" s="10">
        <v>2.1244936787709023E-4</v>
      </c>
      <c r="S262" s="10">
        <v>1.9027857434423241E-4</v>
      </c>
      <c r="T262" s="10">
        <v>0</v>
      </c>
      <c r="U262" s="10">
        <v>1.8857999999999999E-4</v>
      </c>
      <c r="V262" s="25"/>
      <c r="W262" s="25"/>
      <c r="X262" s="25"/>
      <c r="Y262" s="25"/>
      <c r="Z262" s="25"/>
      <c r="AA262" s="25"/>
    </row>
    <row r="263" spans="1:27" x14ac:dyDescent="0.35">
      <c r="A263" s="5">
        <v>259</v>
      </c>
      <c r="B263" s="5">
        <v>11</v>
      </c>
      <c r="C263" s="5">
        <v>1</v>
      </c>
      <c r="D263" s="25">
        <v>1.1416E-4</v>
      </c>
      <c r="E263" s="25">
        <v>1.1608999999999999E-4</v>
      </c>
      <c r="F263" s="25">
        <v>1.0883E-4</v>
      </c>
      <c r="G263" s="25">
        <v>1.0854E-4</v>
      </c>
      <c r="H263" s="25">
        <v>1.2805E-4</v>
      </c>
      <c r="I263" s="9">
        <v>1.4846E-4</v>
      </c>
      <c r="J263" s="9">
        <v>1.4767E-4</v>
      </c>
      <c r="K263" s="9">
        <v>9.9610000000000003E-5</v>
      </c>
      <c r="L263" s="9">
        <v>2.0654000000000001E-4</v>
      </c>
      <c r="M263" s="9">
        <v>1.5822000000000001E-4</v>
      </c>
      <c r="N263" s="9">
        <v>1.2943000000000001E-4</v>
      </c>
      <c r="O263" s="9">
        <v>1.6778E-4</v>
      </c>
      <c r="P263" s="9">
        <v>1.3622999999999999E-4</v>
      </c>
      <c r="Q263" s="9">
        <v>1.0813E-4</v>
      </c>
      <c r="R263" s="10">
        <v>2.1244936787709023E-4</v>
      </c>
      <c r="S263" s="10">
        <v>1.9028114478877314E-4</v>
      </c>
      <c r="T263" s="10">
        <v>0</v>
      </c>
      <c r="U263" s="10">
        <v>1.8857999999999999E-4</v>
      </c>
      <c r="V263" s="25"/>
      <c r="W263" s="25"/>
      <c r="X263" s="25"/>
      <c r="Y263" s="25"/>
      <c r="Z263" s="25"/>
      <c r="AA263" s="25"/>
    </row>
    <row r="264" spans="1:27" x14ac:dyDescent="0.35">
      <c r="A264" s="5">
        <v>260</v>
      </c>
      <c r="B264" s="5">
        <v>11</v>
      </c>
      <c r="C264" s="5">
        <v>1</v>
      </c>
      <c r="D264" s="25">
        <v>1.1415000000000001E-4</v>
      </c>
      <c r="E264" s="25">
        <v>1.1697E-4</v>
      </c>
      <c r="F264" s="25">
        <v>1.1942000000000001E-4</v>
      </c>
      <c r="G264" s="25">
        <v>1.0685E-4</v>
      </c>
      <c r="H264" s="25">
        <v>1.3072999999999999E-4</v>
      </c>
      <c r="I264" s="9">
        <v>1.4127000000000001E-4</v>
      </c>
      <c r="J264" s="9">
        <v>1.4294000000000001E-4</v>
      </c>
      <c r="K264" s="9">
        <v>8.9019999999999998E-5</v>
      </c>
      <c r="L264" s="9">
        <v>1.7646E-4</v>
      </c>
      <c r="M264" s="9">
        <v>1.5034E-4</v>
      </c>
      <c r="N264" s="9">
        <v>1.2064E-4</v>
      </c>
      <c r="O264" s="9">
        <v>1.2904E-4</v>
      </c>
      <c r="P264" s="9">
        <v>1.1393E-4</v>
      </c>
      <c r="Q264" s="9">
        <v>1.0107000000000001E-4</v>
      </c>
      <c r="R264" s="10">
        <v>2.1244936787709023E-4</v>
      </c>
      <c r="S264" s="10">
        <v>1.9026110748403415E-4</v>
      </c>
      <c r="T264" s="10">
        <v>0</v>
      </c>
      <c r="U264" s="10">
        <v>1.8857999999999999E-4</v>
      </c>
      <c r="V264" s="25"/>
      <c r="W264" s="25"/>
      <c r="X264" s="25"/>
      <c r="Y264" s="25"/>
      <c r="Z264" s="25"/>
      <c r="AA264" s="25"/>
    </row>
    <row r="265" spans="1:27" x14ac:dyDescent="0.35">
      <c r="A265" s="5">
        <v>261</v>
      </c>
      <c r="B265" s="5">
        <v>11</v>
      </c>
      <c r="C265" s="5">
        <v>1</v>
      </c>
      <c r="D265" s="25">
        <v>1.1416E-4</v>
      </c>
      <c r="E265" s="25">
        <v>1.2E-4</v>
      </c>
      <c r="F265" s="25">
        <v>1.0938E-4</v>
      </c>
      <c r="G265" s="25">
        <v>5.9769999999999999E-5</v>
      </c>
      <c r="H265" s="25">
        <v>7.3410000000000004E-5</v>
      </c>
      <c r="I265" s="9">
        <v>1.3365999999999999E-4</v>
      </c>
      <c r="J265" s="9">
        <v>1.3543E-4</v>
      </c>
      <c r="K265" s="9">
        <v>8.0539999999999998E-5</v>
      </c>
      <c r="L265" s="9">
        <v>1.4040999999999999E-4</v>
      </c>
      <c r="M265" s="9">
        <v>1.3503000000000001E-4</v>
      </c>
      <c r="N265" s="9">
        <v>1.1286E-4</v>
      </c>
      <c r="O265" s="9">
        <v>8.5450000000000003E-5</v>
      </c>
      <c r="P265" s="9">
        <v>8.6559999999999998E-5</v>
      </c>
      <c r="Q265" s="9">
        <v>8.8560000000000006E-5</v>
      </c>
      <c r="R265" s="10">
        <v>2.1244936787709023E-4</v>
      </c>
      <c r="S265" s="10">
        <v>1.9028350397244114E-4</v>
      </c>
      <c r="T265" s="10">
        <v>0</v>
      </c>
      <c r="U265" s="10">
        <v>1.8857999999999999E-4</v>
      </c>
      <c r="V265" s="25"/>
      <c r="W265" s="25"/>
      <c r="X265" s="25"/>
      <c r="Y265" s="25"/>
      <c r="Z265" s="25"/>
      <c r="AA265" s="25"/>
    </row>
    <row r="266" spans="1:27" x14ac:dyDescent="0.35">
      <c r="A266" s="5">
        <v>262</v>
      </c>
      <c r="B266" s="5">
        <v>11</v>
      </c>
      <c r="C266" s="5">
        <v>1</v>
      </c>
      <c r="D266" s="25">
        <v>1.1415000000000001E-4</v>
      </c>
      <c r="E266" s="25">
        <v>1.1579E-4</v>
      </c>
      <c r="F266" s="25">
        <v>1.1716E-4</v>
      </c>
      <c r="G266" s="25">
        <v>6.1439999999999995E-5</v>
      </c>
      <c r="H266" s="25">
        <v>6.5049999999999996E-5</v>
      </c>
      <c r="I266" s="9">
        <v>1.2680999999999999E-4</v>
      </c>
      <c r="J266" s="9">
        <v>1.2777E-4</v>
      </c>
      <c r="K266" s="9">
        <v>7.6299999999999998E-5</v>
      </c>
      <c r="L266" s="9">
        <v>9.8519999999999999E-5</v>
      </c>
      <c r="M266" s="9">
        <v>1.1361E-4</v>
      </c>
      <c r="N266" s="9">
        <v>1.054E-4</v>
      </c>
      <c r="O266" s="9">
        <v>8.8720000000000004E-5</v>
      </c>
      <c r="P266" s="9">
        <v>8.8380000000000004E-5</v>
      </c>
      <c r="Q266" s="9">
        <v>8.9040000000000001E-5</v>
      </c>
      <c r="R266" s="10">
        <v>2.1244936787709023E-4</v>
      </c>
      <c r="S266" s="10">
        <v>1.9028752914602856E-4</v>
      </c>
      <c r="T266" s="10">
        <v>0</v>
      </c>
      <c r="U266" s="10">
        <v>1.8857999999999999E-4</v>
      </c>
      <c r="V266" s="25"/>
      <c r="W266" s="25"/>
      <c r="X266" s="25"/>
      <c r="Y266" s="25"/>
      <c r="Z266" s="25"/>
      <c r="AA266" s="25"/>
    </row>
    <row r="267" spans="1:27" x14ac:dyDescent="0.35">
      <c r="A267" s="5">
        <v>263</v>
      </c>
      <c r="B267" s="5">
        <v>11</v>
      </c>
      <c r="C267" s="5">
        <v>1</v>
      </c>
      <c r="D267" s="25">
        <v>1.1416E-4</v>
      </c>
      <c r="E267" s="25">
        <v>1.1327E-4</v>
      </c>
      <c r="F267" s="25">
        <v>1.1423E-4</v>
      </c>
      <c r="G267" s="25">
        <v>5.4950000000000001E-5</v>
      </c>
      <c r="H267" s="25">
        <v>7.5970000000000006E-5</v>
      </c>
      <c r="I267" s="9">
        <v>1.2778E-4</v>
      </c>
      <c r="J267" s="9">
        <v>1.1846E-4</v>
      </c>
      <c r="K267" s="9">
        <v>8.0539999999999998E-5</v>
      </c>
      <c r="L267" s="9">
        <v>9.1829999999999993E-5</v>
      </c>
      <c r="M267" s="9">
        <v>9.9279999999999998E-5</v>
      </c>
      <c r="N267" s="9">
        <v>9.9859999999999996E-5</v>
      </c>
      <c r="O267" s="9">
        <v>7.8430000000000006E-5</v>
      </c>
      <c r="P267" s="9">
        <v>7.2329999999999994E-5</v>
      </c>
      <c r="Q267" s="9">
        <v>6.7070000000000007E-5</v>
      </c>
      <c r="R267" s="10">
        <v>2.1244936787709023E-4</v>
      </c>
      <c r="S267" s="10">
        <v>1.9029020759484994E-4</v>
      </c>
      <c r="T267" s="10">
        <v>0</v>
      </c>
      <c r="U267" s="10">
        <v>1.8857999999999999E-4</v>
      </c>
      <c r="V267" s="25"/>
      <c r="W267" s="25"/>
      <c r="X267" s="25"/>
      <c r="Y267" s="25"/>
      <c r="Z267" s="25"/>
      <c r="AA267" s="25"/>
    </row>
    <row r="268" spans="1:27" x14ac:dyDescent="0.35">
      <c r="A268" s="5">
        <v>264</v>
      </c>
      <c r="B268" s="5">
        <v>11</v>
      </c>
      <c r="C268" s="5">
        <v>1</v>
      </c>
      <c r="D268" s="25">
        <v>1.1415000000000001E-4</v>
      </c>
      <c r="E268" s="25">
        <v>1.1989000000000001E-4</v>
      </c>
      <c r="F268" s="25">
        <v>1.1656E-4</v>
      </c>
      <c r="G268" s="25">
        <v>5.791E-5</v>
      </c>
      <c r="H268" s="25">
        <v>6.6080000000000004E-5</v>
      </c>
      <c r="I268" s="9">
        <v>1.2656000000000001E-4</v>
      </c>
      <c r="J268" s="9">
        <v>1.1046E-4</v>
      </c>
      <c r="K268" s="9">
        <v>8.9019999999999998E-5</v>
      </c>
      <c r="L268" s="9">
        <v>8.1340000000000004E-5</v>
      </c>
      <c r="M268" s="9">
        <v>8.6440000000000006E-5</v>
      </c>
      <c r="N268" s="9">
        <v>9.0699999999999996E-5</v>
      </c>
      <c r="O268" s="9">
        <v>6.2650000000000005E-5</v>
      </c>
      <c r="P268" s="9">
        <v>6.0449999999999999E-5</v>
      </c>
      <c r="Q268" s="9">
        <v>5.8640000000000001E-5</v>
      </c>
      <c r="R268" s="10">
        <v>2.1244936787709023E-4</v>
      </c>
      <c r="S268" s="10">
        <v>1.9029020759484994E-4</v>
      </c>
      <c r="T268" s="10">
        <v>0</v>
      </c>
      <c r="U268" s="10">
        <v>1.8857999999999999E-4</v>
      </c>
      <c r="V268" s="25"/>
      <c r="W268" s="25"/>
      <c r="X268" s="25"/>
      <c r="Y268" s="25"/>
      <c r="Z268" s="25"/>
      <c r="AA268" s="25"/>
    </row>
    <row r="269" spans="1:27" x14ac:dyDescent="0.35">
      <c r="A269" s="5">
        <v>265</v>
      </c>
      <c r="B269" s="5">
        <v>12</v>
      </c>
      <c r="C269" s="5">
        <v>1</v>
      </c>
      <c r="D269" s="25">
        <v>1.1416E-4</v>
      </c>
      <c r="E269" s="25">
        <v>1.1535E-4</v>
      </c>
      <c r="F269" s="25">
        <v>1.091E-4</v>
      </c>
      <c r="G269" s="25">
        <v>5.3709999999999999E-5</v>
      </c>
      <c r="H269" s="25">
        <v>7.3300000000000006E-5</v>
      </c>
      <c r="I269" s="9">
        <v>1.1844E-4</v>
      </c>
      <c r="J269" s="9">
        <v>1.0307E-4</v>
      </c>
      <c r="K269" s="9">
        <v>1.0809E-4</v>
      </c>
      <c r="L269" s="9">
        <v>6.6769999999999999E-5</v>
      </c>
      <c r="M269" s="9">
        <v>7.4129999999999997E-5</v>
      </c>
      <c r="N269" s="9">
        <v>8.1249999999999996E-5</v>
      </c>
      <c r="O269" s="9">
        <v>5.4769999999999999E-5</v>
      </c>
      <c r="P269" s="9">
        <v>5.4190000000000001E-5</v>
      </c>
      <c r="Q269" s="9">
        <v>5.376E-5</v>
      </c>
      <c r="R269" s="10">
        <v>2.1244924562597423E-4</v>
      </c>
      <c r="S269" s="10">
        <v>1.9028861478059741E-4</v>
      </c>
      <c r="T269" s="10">
        <v>0</v>
      </c>
      <c r="U269" s="10">
        <v>1.8927000000000001E-4</v>
      </c>
      <c r="V269" s="25"/>
      <c r="W269" s="25"/>
      <c r="X269" s="25"/>
      <c r="Y269" s="25"/>
      <c r="Z269" s="25"/>
      <c r="AA269" s="25"/>
    </row>
    <row r="270" spans="1:27" x14ac:dyDescent="0.35">
      <c r="A270" s="5">
        <v>266</v>
      </c>
      <c r="B270" s="5">
        <v>12</v>
      </c>
      <c r="C270" s="5">
        <v>1</v>
      </c>
      <c r="D270" s="25">
        <v>1.1415000000000001E-4</v>
      </c>
      <c r="E270" s="25">
        <v>1.1631E-4</v>
      </c>
      <c r="F270" s="25">
        <v>1.1181E-4</v>
      </c>
      <c r="G270" s="25">
        <v>5.8780000000000003E-5</v>
      </c>
      <c r="H270" s="25">
        <v>7.1860000000000007E-5</v>
      </c>
      <c r="I270" s="9">
        <v>1.1183000000000001E-4</v>
      </c>
      <c r="J270" s="9">
        <v>9.8239999999999995E-5</v>
      </c>
      <c r="K270" s="9">
        <v>1.1445E-4</v>
      </c>
      <c r="L270" s="9">
        <v>5.7809999999999997E-5</v>
      </c>
      <c r="M270" s="9">
        <v>6.3999999999999997E-5</v>
      </c>
      <c r="N270" s="9">
        <v>7.2230000000000005E-5</v>
      </c>
      <c r="O270" s="9">
        <v>1.8150000000000001E-5</v>
      </c>
      <c r="P270" s="9">
        <v>3.7509999999999998E-5</v>
      </c>
      <c r="Q270" s="9">
        <v>5.5829999999999999E-5</v>
      </c>
      <c r="R270" s="10">
        <v>2.1244846617357187E-4</v>
      </c>
      <c r="S270" s="10">
        <v>1.9029020759484994E-4</v>
      </c>
      <c r="T270" s="10">
        <v>0</v>
      </c>
      <c r="U270" s="10">
        <v>1.8927000000000001E-4</v>
      </c>
      <c r="V270" s="25"/>
      <c r="W270" s="25"/>
      <c r="X270" s="25"/>
      <c r="Y270" s="25"/>
      <c r="Z270" s="25"/>
      <c r="AA270" s="25"/>
    </row>
    <row r="271" spans="1:27" x14ac:dyDescent="0.35">
      <c r="A271" s="5">
        <v>267</v>
      </c>
      <c r="B271" s="5">
        <v>12</v>
      </c>
      <c r="C271" s="5">
        <v>1</v>
      </c>
      <c r="D271" s="25">
        <v>1.1416E-4</v>
      </c>
      <c r="E271" s="25">
        <v>1.1702E-4</v>
      </c>
      <c r="F271" s="25">
        <v>1.1163999999999999E-4</v>
      </c>
      <c r="G271" s="25">
        <v>6.1870000000000002E-5</v>
      </c>
      <c r="H271" s="25">
        <v>6.8960000000000004E-5</v>
      </c>
      <c r="I271" s="9">
        <v>1.0751000000000001E-4</v>
      </c>
      <c r="J271" s="9">
        <v>9.5870000000000002E-5</v>
      </c>
      <c r="K271" s="9">
        <v>1.1445E-4</v>
      </c>
      <c r="L271" s="9">
        <v>2.707E-5</v>
      </c>
      <c r="M271" s="9">
        <v>5.2169999999999997E-5</v>
      </c>
      <c r="N271" s="9">
        <v>6.5560000000000002E-5</v>
      </c>
      <c r="O271" s="9">
        <v>1.2619999999999999E-5</v>
      </c>
      <c r="P271" s="9">
        <v>3.756E-5</v>
      </c>
      <c r="Q271" s="9">
        <v>6.122E-5</v>
      </c>
      <c r="R271" s="10">
        <v>2.1244856883967053E-4</v>
      </c>
      <c r="S271" s="10">
        <v>1.9029020759484994E-4</v>
      </c>
      <c r="T271" s="10">
        <v>0</v>
      </c>
      <c r="U271" s="10">
        <v>1.8927000000000001E-4</v>
      </c>
      <c r="V271" s="25"/>
      <c r="W271" s="25"/>
      <c r="X271" s="25"/>
      <c r="Y271" s="25"/>
      <c r="Z271" s="25"/>
      <c r="AA271" s="25"/>
    </row>
    <row r="272" spans="1:27" x14ac:dyDescent="0.35">
      <c r="A272" s="5">
        <v>268</v>
      </c>
      <c r="B272" s="5">
        <v>12</v>
      </c>
      <c r="C272" s="5">
        <v>1</v>
      </c>
      <c r="D272" s="25">
        <v>1.1415000000000001E-4</v>
      </c>
      <c r="E272" s="25">
        <v>1.0726E-4</v>
      </c>
      <c r="F272" s="25">
        <v>1.1157E-4</v>
      </c>
      <c r="G272" s="25">
        <v>6.3159999999999998E-5</v>
      </c>
      <c r="H272" s="25">
        <v>7.6429999999999998E-5</v>
      </c>
      <c r="I272" s="9">
        <v>1.0543E-4</v>
      </c>
      <c r="J272" s="9">
        <v>9.4699999999999998E-5</v>
      </c>
      <c r="K272" s="9">
        <v>1.2292E-4</v>
      </c>
      <c r="L272" s="9">
        <v>1.6560000000000001E-5</v>
      </c>
      <c r="M272" s="9">
        <v>4.4079999999999998E-5</v>
      </c>
      <c r="N272" s="9">
        <v>6.1849999999999999E-5</v>
      </c>
      <c r="O272" s="9">
        <v>1.272E-5</v>
      </c>
      <c r="P272" s="9">
        <v>4.7299999999999998E-5</v>
      </c>
      <c r="Q272" s="9">
        <v>8.0450000000000004E-5</v>
      </c>
      <c r="R272" s="10">
        <v>2.1244824261567693E-4</v>
      </c>
      <c r="S272" s="10">
        <v>1.9029020759484994E-4</v>
      </c>
      <c r="T272" s="10">
        <v>0</v>
      </c>
      <c r="U272" s="10">
        <v>1.8927000000000001E-4</v>
      </c>
      <c r="V272" s="25"/>
      <c r="W272" s="25"/>
      <c r="X272" s="25"/>
      <c r="Y272" s="25"/>
      <c r="Z272" s="25"/>
      <c r="AA272" s="25"/>
    </row>
    <row r="273" spans="1:27" x14ac:dyDescent="0.35">
      <c r="A273" s="5">
        <v>269</v>
      </c>
      <c r="B273" s="5">
        <v>12</v>
      </c>
      <c r="C273" s="5">
        <v>1</v>
      </c>
      <c r="D273" s="25">
        <v>1.1416E-4</v>
      </c>
      <c r="E273" s="25">
        <v>1.1333E-4</v>
      </c>
      <c r="F273" s="25">
        <v>1.1644E-4</v>
      </c>
      <c r="G273" s="25">
        <v>5.8109999999999998E-5</v>
      </c>
      <c r="H273" s="25">
        <v>6.6099999999999994E-5</v>
      </c>
      <c r="I273" s="9">
        <v>1.0635E-4</v>
      </c>
      <c r="J273" s="9">
        <v>9.5400000000000001E-5</v>
      </c>
      <c r="K273" s="9">
        <v>1.3776000000000001E-4</v>
      </c>
      <c r="L273" s="9">
        <v>1.382E-5</v>
      </c>
      <c r="M273" s="9">
        <v>4.3420000000000001E-5</v>
      </c>
      <c r="N273" s="9">
        <v>6.4380000000000004E-5</v>
      </c>
      <c r="O273" s="9">
        <v>1.8430000000000001E-5</v>
      </c>
      <c r="P273" s="9">
        <v>5.7129999999999997E-5</v>
      </c>
      <c r="Q273" s="9">
        <v>9.446E-5</v>
      </c>
      <c r="R273" s="10">
        <v>2.1244935674146493E-4</v>
      </c>
      <c r="S273" s="10">
        <v>1.9029020759484994E-4</v>
      </c>
      <c r="T273" s="10">
        <v>0</v>
      </c>
      <c r="U273" s="10">
        <v>1.8927000000000001E-4</v>
      </c>
      <c r="V273" s="25"/>
      <c r="W273" s="25"/>
      <c r="X273" s="25"/>
      <c r="Y273" s="25"/>
      <c r="Z273" s="25"/>
      <c r="AA273" s="25"/>
    </row>
    <row r="274" spans="1:27" x14ac:dyDescent="0.35">
      <c r="A274" s="5">
        <v>270</v>
      </c>
      <c r="B274" s="5">
        <v>12</v>
      </c>
      <c r="C274" s="5">
        <v>1</v>
      </c>
      <c r="D274" s="25">
        <v>1.1415000000000001E-4</v>
      </c>
      <c r="E274" s="25">
        <v>1.1239999999999999E-4</v>
      </c>
      <c r="F274" s="25">
        <v>9.8350000000000005E-5</v>
      </c>
      <c r="G274" s="25">
        <v>1.0887000000000001E-4</v>
      </c>
      <c r="H274" s="25">
        <v>1.3855000000000001E-4</v>
      </c>
      <c r="I274" s="9">
        <v>1.1194E-4</v>
      </c>
      <c r="J274" s="9">
        <v>9.9469999999999995E-5</v>
      </c>
      <c r="K274" s="9">
        <v>1.4835E-4</v>
      </c>
      <c r="L274" s="9">
        <v>1.7269999999999999E-5</v>
      </c>
      <c r="M274" s="9">
        <v>4.8539999999999999E-5</v>
      </c>
      <c r="N274" s="9">
        <v>7.1110000000000002E-5</v>
      </c>
      <c r="O274" s="9">
        <v>4.6430000000000001E-5</v>
      </c>
      <c r="P274" s="9">
        <v>7.7319999999999998E-5</v>
      </c>
      <c r="Q274" s="9">
        <v>1.0767E-4</v>
      </c>
      <c r="R274" s="10">
        <v>2.1244936787709023E-4</v>
      </c>
      <c r="S274" s="10">
        <v>1.9029020759484994E-4</v>
      </c>
      <c r="T274" s="10">
        <v>0</v>
      </c>
      <c r="U274" s="10">
        <v>1.8927000000000001E-4</v>
      </c>
      <c r="V274" s="25"/>
      <c r="W274" s="25"/>
      <c r="X274" s="25"/>
      <c r="Y274" s="25"/>
      <c r="Z274" s="25"/>
      <c r="AA274" s="25"/>
    </row>
    <row r="275" spans="1:27" x14ac:dyDescent="0.35">
      <c r="A275" s="5">
        <v>271</v>
      </c>
      <c r="B275" s="5">
        <v>12</v>
      </c>
      <c r="C275" s="5">
        <v>1</v>
      </c>
      <c r="D275" s="25">
        <v>1.1416E-4</v>
      </c>
      <c r="E275" s="25">
        <v>1.0796E-4</v>
      </c>
      <c r="F275" s="25">
        <v>1.0865E-4</v>
      </c>
      <c r="G275" s="25">
        <v>1.0526000000000001E-4</v>
      </c>
      <c r="H275" s="25">
        <v>1.3103999999999999E-4</v>
      </c>
      <c r="I275" s="9">
        <v>1.2627999999999999E-4</v>
      </c>
      <c r="J275" s="9">
        <v>1.1154000000000001E-4</v>
      </c>
      <c r="K275" s="9">
        <v>1.5046999999999999E-4</v>
      </c>
      <c r="L275" s="9">
        <v>3.9870000000000003E-5</v>
      </c>
      <c r="M275" s="9">
        <v>6.0350000000000003E-5</v>
      </c>
      <c r="N275" s="9">
        <v>8.0959999999999997E-5</v>
      </c>
      <c r="O275" s="9">
        <v>1.2446000000000001E-4</v>
      </c>
      <c r="P275" s="9">
        <v>1.1752E-4</v>
      </c>
      <c r="Q275" s="9">
        <v>1.1258E-4</v>
      </c>
      <c r="R275" s="10">
        <v>2.1244936787709023E-4</v>
      </c>
      <c r="S275" s="10">
        <v>1.9029019241097013E-4</v>
      </c>
      <c r="T275" s="10">
        <v>0</v>
      </c>
      <c r="U275" s="10">
        <v>1.8927000000000001E-4</v>
      </c>
      <c r="V275" s="25"/>
      <c r="W275" s="25"/>
      <c r="X275" s="25"/>
      <c r="Y275" s="25"/>
      <c r="Z275" s="25"/>
      <c r="AA275" s="25"/>
    </row>
    <row r="276" spans="1:27" x14ac:dyDescent="0.35">
      <c r="A276" s="5">
        <v>272</v>
      </c>
      <c r="B276" s="5">
        <v>12</v>
      </c>
      <c r="C276" s="5">
        <v>1</v>
      </c>
      <c r="D276" s="25">
        <v>1.1415000000000001E-4</v>
      </c>
      <c r="E276" s="25">
        <v>1.1009E-4</v>
      </c>
      <c r="F276" s="25">
        <v>1.0498E-4</v>
      </c>
      <c r="G276" s="25">
        <v>1.5802000000000001E-4</v>
      </c>
      <c r="H276" s="25">
        <v>2.0239999999999999E-4</v>
      </c>
      <c r="I276" s="9">
        <v>1.3901000000000001E-4</v>
      </c>
      <c r="J276" s="9">
        <v>1.3070000000000001E-4</v>
      </c>
      <c r="K276" s="9">
        <v>1.6317999999999999E-4</v>
      </c>
      <c r="L276" s="9">
        <v>1.0522E-4</v>
      </c>
      <c r="M276" s="9">
        <v>8.3960000000000003E-5</v>
      </c>
      <c r="N276" s="9">
        <v>9.1089999999999997E-5</v>
      </c>
      <c r="O276" s="9">
        <v>2.2416E-4</v>
      </c>
      <c r="P276" s="9">
        <v>1.7849000000000001E-4</v>
      </c>
      <c r="Q276" s="9">
        <v>1.3788E-4</v>
      </c>
      <c r="R276" s="10">
        <v>2.1244936787709023E-4</v>
      </c>
      <c r="S276" s="10">
        <v>1.9028821204446138E-4</v>
      </c>
      <c r="T276" s="10">
        <v>0</v>
      </c>
      <c r="U276" s="10">
        <v>1.8927000000000001E-4</v>
      </c>
      <c r="V276" s="25"/>
      <c r="W276" s="25"/>
      <c r="X276" s="25"/>
      <c r="Y276" s="25"/>
      <c r="Z276" s="25"/>
      <c r="AA276" s="25"/>
    </row>
    <row r="277" spans="1:27" x14ac:dyDescent="0.35">
      <c r="A277" s="5">
        <v>273</v>
      </c>
      <c r="B277" s="5">
        <v>12</v>
      </c>
      <c r="C277" s="5">
        <v>1</v>
      </c>
      <c r="D277" s="25">
        <v>1.1416E-4</v>
      </c>
      <c r="E277" s="25">
        <v>1.0766E-4</v>
      </c>
      <c r="F277" s="25">
        <v>1.0585E-4</v>
      </c>
      <c r="G277" s="25">
        <v>1.6013999999999999E-4</v>
      </c>
      <c r="H277" s="25">
        <v>2.0066999999999999E-4</v>
      </c>
      <c r="I277" s="9">
        <v>1.4306E-4</v>
      </c>
      <c r="J277" s="9">
        <v>1.4244E-4</v>
      </c>
      <c r="K277" s="9">
        <v>1.6107E-4</v>
      </c>
      <c r="L277" s="9">
        <v>1.962E-4</v>
      </c>
      <c r="M277" s="9">
        <v>1.2409000000000001E-4</v>
      </c>
      <c r="N277" s="9">
        <v>1.0509E-4</v>
      </c>
      <c r="O277" s="9">
        <v>2.1460000000000001E-4</v>
      </c>
      <c r="P277" s="9">
        <v>1.9384E-4</v>
      </c>
      <c r="Q277" s="9">
        <v>1.7751999999999999E-4</v>
      </c>
      <c r="R277" s="10">
        <v>2.1244936787709023E-4</v>
      </c>
      <c r="S277" s="10">
        <v>1.9026690447704252E-4</v>
      </c>
      <c r="T277" s="10">
        <v>2.5452898050427548E-8</v>
      </c>
      <c r="U277" s="10">
        <v>1.8927000000000001E-4</v>
      </c>
      <c r="V277" s="25"/>
      <c r="W277" s="25"/>
      <c r="X277" s="25"/>
      <c r="Y277" s="25"/>
      <c r="Z277" s="25"/>
      <c r="AA277" s="25"/>
    </row>
    <row r="278" spans="1:27" x14ac:dyDescent="0.35">
      <c r="A278" s="5">
        <v>274</v>
      </c>
      <c r="B278" s="5">
        <v>12</v>
      </c>
      <c r="C278" s="5">
        <v>1</v>
      </c>
      <c r="D278" s="25">
        <v>1.1415000000000001E-4</v>
      </c>
      <c r="E278" s="25">
        <v>1.169E-4</v>
      </c>
      <c r="F278" s="25">
        <v>1.0102000000000001E-4</v>
      </c>
      <c r="G278" s="25">
        <v>1.5870000000000001E-4</v>
      </c>
      <c r="H278" s="25">
        <v>1.8949E-4</v>
      </c>
      <c r="I278" s="9">
        <v>1.4249E-4</v>
      </c>
      <c r="J278" s="9">
        <v>1.4483000000000001E-4</v>
      </c>
      <c r="K278" s="9">
        <v>1.3988E-4</v>
      </c>
      <c r="L278" s="9">
        <v>2.0816000000000001E-4</v>
      </c>
      <c r="M278" s="9">
        <v>1.5938000000000001E-4</v>
      </c>
      <c r="N278" s="9">
        <v>1.2517999999999999E-4</v>
      </c>
      <c r="O278" s="9">
        <v>1.6902E-4</v>
      </c>
      <c r="P278" s="9">
        <v>1.7411E-4</v>
      </c>
      <c r="Q278" s="9">
        <v>1.8211E-4</v>
      </c>
      <c r="R278" s="10">
        <v>2.1244936787709023E-4</v>
      </c>
      <c r="S278" s="10">
        <v>1.901871087723267E-4</v>
      </c>
      <c r="T278" s="10">
        <v>3.1307064602025888E-6</v>
      </c>
      <c r="U278" s="10">
        <v>1.8927000000000001E-4</v>
      </c>
      <c r="V278" s="25"/>
      <c r="W278" s="25"/>
      <c r="X278" s="25"/>
      <c r="Y278" s="25"/>
      <c r="Z278" s="25"/>
      <c r="AA278" s="25"/>
    </row>
    <row r="279" spans="1:27" x14ac:dyDescent="0.35">
      <c r="A279" s="5">
        <v>275</v>
      </c>
      <c r="B279" s="5">
        <v>12</v>
      </c>
      <c r="C279" s="5">
        <v>1</v>
      </c>
      <c r="D279" s="25">
        <v>1.1416E-4</v>
      </c>
      <c r="E279" s="25">
        <v>1.1341999999999999E-4</v>
      </c>
      <c r="F279" s="25">
        <v>1.0611999999999999E-4</v>
      </c>
      <c r="G279" s="25">
        <v>1.6254999999999999E-4</v>
      </c>
      <c r="H279" s="25">
        <v>2.0298000000000001E-4</v>
      </c>
      <c r="I279" s="9">
        <v>1.418E-4</v>
      </c>
      <c r="J279" s="9">
        <v>1.4486999999999999E-4</v>
      </c>
      <c r="K279" s="9">
        <v>1.314E-4</v>
      </c>
      <c r="L279" s="9">
        <v>1.7772E-4</v>
      </c>
      <c r="M279" s="9">
        <v>1.7285E-4</v>
      </c>
      <c r="N279" s="9">
        <v>1.4317E-4</v>
      </c>
      <c r="O279" s="9">
        <v>1.6991E-4</v>
      </c>
      <c r="P279" s="9">
        <v>1.7367000000000001E-4</v>
      </c>
      <c r="Q279" s="9">
        <v>1.8039E-4</v>
      </c>
      <c r="R279" s="10">
        <v>2.1244936787709023E-4</v>
      </c>
      <c r="S279" s="10">
        <v>1.8996290256930549E-4</v>
      </c>
      <c r="T279" s="10">
        <v>2.0447161433843465E-5</v>
      </c>
      <c r="U279" s="10">
        <v>1.8927000000000001E-4</v>
      </c>
      <c r="V279" s="25"/>
      <c r="W279" s="25"/>
      <c r="X279" s="25"/>
      <c r="Y279" s="25"/>
      <c r="Z279" s="25"/>
      <c r="AA279" s="25"/>
    </row>
    <row r="280" spans="1:27" x14ac:dyDescent="0.35">
      <c r="A280" s="5">
        <v>276</v>
      </c>
      <c r="B280" s="5">
        <v>12</v>
      </c>
      <c r="C280" s="5">
        <v>1</v>
      </c>
      <c r="D280" s="25">
        <v>1.1415000000000001E-4</v>
      </c>
      <c r="E280" s="25">
        <v>1.0841E-4</v>
      </c>
      <c r="F280" s="25">
        <v>1.0978E-4</v>
      </c>
      <c r="G280" s="25">
        <v>1.5613000000000001E-4</v>
      </c>
      <c r="H280" s="25">
        <v>1.9100000000000001E-4</v>
      </c>
      <c r="I280" s="9">
        <v>1.4181E-4</v>
      </c>
      <c r="J280" s="9">
        <v>1.4452000000000001E-4</v>
      </c>
      <c r="K280" s="9">
        <v>1.1869E-4</v>
      </c>
      <c r="L280" s="9">
        <v>1.7310000000000001E-4</v>
      </c>
      <c r="M280" s="9">
        <v>1.7539000000000001E-4</v>
      </c>
      <c r="N280" s="9">
        <v>1.5733000000000001E-4</v>
      </c>
      <c r="O280" s="9">
        <v>1.7143E-4</v>
      </c>
      <c r="P280" s="9">
        <v>1.7103999999999999E-4</v>
      </c>
      <c r="Q280" s="9">
        <v>1.7369999999999999E-4</v>
      </c>
      <c r="R280" s="10">
        <v>2.1244936787709023E-4</v>
      </c>
      <c r="S280" s="10">
        <v>1.8877264188070172E-4</v>
      </c>
      <c r="T280" s="10">
        <v>1.6188043160071923E-5</v>
      </c>
      <c r="U280" s="10">
        <v>1.8927000000000001E-4</v>
      </c>
      <c r="V280" s="25"/>
      <c r="W280" s="25"/>
      <c r="X280" s="25"/>
      <c r="Y280" s="25"/>
      <c r="Z280" s="25"/>
      <c r="AA280" s="25"/>
    </row>
    <row r="281" spans="1:27" x14ac:dyDescent="0.35">
      <c r="A281" s="5">
        <v>277</v>
      </c>
      <c r="B281" s="5">
        <v>12</v>
      </c>
      <c r="C281" s="5">
        <v>1</v>
      </c>
      <c r="D281" s="25">
        <v>1.1416E-4</v>
      </c>
      <c r="E281" s="25">
        <v>1.1555E-4</v>
      </c>
      <c r="F281" s="25">
        <v>1.0174E-4</v>
      </c>
      <c r="G281" s="25">
        <v>1.5928000000000001E-4</v>
      </c>
      <c r="H281" s="25">
        <v>1.9887999999999999E-4</v>
      </c>
      <c r="I281" s="9">
        <v>1.3844000000000001E-4</v>
      </c>
      <c r="J281" s="9">
        <v>1.4365E-4</v>
      </c>
      <c r="K281" s="9">
        <v>1.2292E-4</v>
      </c>
      <c r="L281" s="9">
        <v>1.7195000000000001E-4</v>
      </c>
      <c r="M281" s="9">
        <v>1.74E-4</v>
      </c>
      <c r="N281" s="9">
        <v>1.6657999999999999E-4</v>
      </c>
      <c r="O281" s="9">
        <v>1.6406999999999999E-4</v>
      </c>
      <c r="P281" s="9">
        <v>1.6462000000000001E-4</v>
      </c>
      <c r="Q281" s="9">
        <v>1.6803E-4</v>
      </c>
      <c r="R281" s="10">
        <v>2.1244936787709023E-4</v>
      </c>
      <c r="S281" s="10">
        <v>1.888197740884989E-4</v>
      </c>
      <c r="T281" s="10">
        <v>3.6592783097164674E-5</v>
      </c>
      <c r="U281" s="10">
        <v>1.8927000000000001E-4</v>
      </c>
      <c r="V281" s="25"/>
      <c r="W281" s="25"/>
      <c r="X281" s="25"/>
      <c r="Y281" s="25"/>
      <c r="Z281" s="25"/>
      <c r="AA281" s="25"/>
    </row>
    <row r="282" spans="1:27" x14ac:dyDescent="0.35">
      <c r="A282" s="5">
        <v>278</v>
      </c>
      <c r="B282" s="5">
        <v>12</v>
      </c>
      <c r="C282" s="5">
        <v>1</v>
      </c>
      <c r="D282" s="25">
        <v>1.1415000000000001E-4</v>
      </c>
      <c r="E282" s="25">
        <v>1.1586000000000001E-4</v>
      </c>
      <c r="F282" s="25">
        <v>1.1627E-4</v>
      </c>
      <c r="G282" s="25">
        <v>1.6001000000000001E-4</v>
      </c>
      <c r="H282" s="25">
        <v>1.9457E-4</v>
      </c>
      <c r="I282" s="9">
        <v>1.3872E-4</v>
      </c>
      <c r="J282" s="9">
        <v>1.4381999999999999E-4</v>
      </c>
      <c r="K282" s="9">
        <v>1.1869E-4</v>
      </c>
      <c r="L282" s="9">
        <v>1.6556000000000001E-4</v>
      </c>
      <c r="M282" s="9">
        <v>1.7023E-4</v>
      </c>
      <c r="N282" s="9">
        <v>1.7089000000000001E-4</v>
      </c>
      <c r="O282" s="9">
        <v>1.7984000000000001E-4</v>
      </c>
      <c r="P282" s="9">
        <v>1.6839000000000001E-4</v>
      </c>
      <c r="Q282" s="9">
        <v>1.6039E-4</v>
      </c>
      <c r="R282" s="10">
        <v>2.1244936787709023E-4</v>
      </c>
      <c r="S282" s="10">
        <v>1.8591447488085656E-4</v>
      </c>
      <c r="T282" s="10">
        <v>8.3120680733346242E-5</v>
      </c>
      <c r="U282" s="10">
        <v>1.8927000000000001E-4</v>
      </c>
      <c r="V282" s="25"/>
      <c r="W282" s="25"/>
      <c r="X282" s="25"/>
      <c r="Y282" s="25"/>
      <c r="Z282" s="25"/>
      <c r="AA282" s="25"/>
    </row>
    <row r="283" spans="1:27" x14ac:dyDescent="0.35">
      <c r="A283" s="5">
        <v>279</v>
      </c>
      <c r="B283" s="5">
        <v>12</v>
      </c>
      <c r="C283" s="5">
        <v>1</v>
      </c>
      <c r="D283" s="25">
        <v>1.1416E-4</v>
      </c>
      <c r="E283" s="25">
        <v>1.1145999999999999E-4</v>
      </c>
      <c r="F283" s="25">
        <v>1.115E-4</v>
      </c>
      <c r="G283" s="25">
        <v>1.5751E-4</v>
      </c>
      <c r="H283" s="25">
        <v>1.8984000000000001E-4</v>
      </c>
      <c r="I283" s="9">
        <v>1.3700999999999999E-4</v>
      </c>
      <c r="J283" s="9">
        <v>1.4332E-4</v>
      </c>
      <c r="K283" s="9">
        <v>1.3352000000000001E-4</v>
      </c>
      <c r="L283" s="9">
        <v>1.7686000000000001E-4</v>
      </c>
      <c r="M283" s="9">
        <v>1.685E-4</v>
      </c>
      <c r="N283" s="9">
        <v>1.7019999999999999E-4</v>
      </c>
      <c r="O283" s="9">
        <v>1.8510999999999999E-4</v>
      </c>
      <c r="P283" s="9">
        <v>1.6677E-4</v>
      </c>
      <c r="Q283" s="9">
        <v>1.5211000000000001E-4</v>
      </c>
      <c r="R283" s="10">
        <v>2.1244936787709023E-4</v>
      </c>
      <c r="S283" s="10">
        <v>1.8598100270902939E-4</v>
      </c>
      <c r="T283" s="10">
        <v>5.8388948127680795E-5</v>
      </c>
      <c r="U283" s="10">
        <v>1.8927000000000001E-4</v>
      </c>
      <c r="V283" s="25"/>
      <c r="W283" s="25"/>
      <c r="X283" s="25"/>
      <c r="Y283" s="25"/>
      <c r="Z283" s="25"/>
      <c r="AA283" s="25"/>
    </row>
    <row r="284" spans="1:27" x14ac:dyDescent="0.35">
      <c r="A284" s="5">
        <v>280</v>
      </c>
      <c r="B284" s="5">
        <v>12</v>
      </c>
      <c r="C284" s="5">
        <v>1</v>
      </c>
      <c r="D284" s="25">
        <v>1.1415000000000001E-4</v>
      </c>
      <c r="E284" s="25">
        <v>1.1747E-4</v>
      </c>
      <c r="F284" s="25">
        <v>1.0665E-4</v>
      </c>
      <c r="G284" s="25">
        <v>1.6050999999999999E-4</v>
      </c>
      <c r="H284" s="25">
        <v>1.9337E-4</v>
      </c>
      <c r="I284" s="9">
        <v>1.3638999999999999E-4</v>
      </c>
      <c r="J284" s="9">
        <v>1.437E-4</v>
      </c>
      <c r="K284" s="9">
        <v>1.4836E-4</v>
      </c>
      <c r="L284" s="9">
        <v>1.8299000000000001E-4</v>
      </c>
      <c r="M284" s="9">
        <v>1.6752E-4</v>
      </c>
      <c r="N284" s="9">
        <v>1.6614000000000001E-4</v>
      </c>
      <c r="O284" s="9">
        <v>2.0043E-4</v>
      </c>
      <c r="P284" s="9">
        <v>1.5306E-4</v>
      </c>
      <c r="Q284" s="9">
        <v>1.102E-4</v>
      </c>
      <c r="R284" s="10">
        <v>2.1244936787709023E-4</v>
      </c>
      <c r="S284" s="10">
        <v>1.8958592756027453E-4</v>
      </c>
      <c r="T284" s="10">
        <v>1.1114432148686696E-5</v>
      </c>
      <c r="U284" s="10">
        <v>1.8927000000000001E-4</v>
      </c>
      <c r="V284" s="25"/>
      <c r="W284" s="25"/>
      <c r="X284" s="25"/>
      <c r="Y284" s="25"/>
      <c r="Z284" s="25"/>
      <c r="AA284" s="25"/>
    </row>
    <row r="285" spans="1:27" x14ac:dyDescent="0.35">
      <c r="A285" s="5">
        <v>281</v>
      </c>
      <c r="B285" s="5">
        <v>12</v>
      </c>
      <c r="C285" s="5">
        <v>1</v>
      </c>
      <c r="D285" s="25">
        <v>1.1416E-4</v>
      </c>
      <c r="E285" s="25">
        <v>1.1217000000000001E-4</v>
      </c>
      <c r="F285" s="25">
        <v>1.1637999999999999E-4</v>
      </c>
      <c r="G285" s="25">
        <v>1.6080000000000001E-4</v>
      </c>
      <c r="H285" s="25">
        <v>1.9396999999999999E-4</v>
      </c>
      <c r="I285" s="9">
        <v>1.3794E-4</v>
      </c>
      <c r="J285" s="9">
        <v>1.4618000000000001E-4</v>
      </c>
      <c r="K285" s="9">
        <v>1.7379E-4</v>
      </c>
      <c r="L285" s="9">
        <v>1.9637999999999999E-4</v>
      </c>
      <c r="M285" s="9">
        <v>1.6217E-4</v>
      </c>
      <c r="N285" s="9">
        <v>1.5244999999999999E-4</v>
      </c>
      <c r="O285" s="9">
        <v>2.1732000000000001E-4</v>
      </c>
      <c r="P285" s="9">
        <v>1.5988999999999999E-4</v>
      </c>
      <c r="Q285" s="9">
        <v>1.0755E-4</v>
      </c>
      <c r="R285" s="10">
        <v>2.1244936787709023E-4</v>
      </c>
      <c r="S285" s="10">
        <v>1.9019489361720595E-4</v>
      </c>
      <c r="T285" s="10">
        <v>0</v>
      </c>
      <c r="U285" s="10">
        <v>1.8927000000000001E-4</v>
      </c>
      <c r="V285" s="25"/>
      <c r="W285" s="25"/>
      <c r="X285" s="25"/>
      <c r="Y285" s="25"/>
      <c r="Z285" s="25"/>
      <c r="AA285" s="25"/>
    </row>
    <row r="286" spans="1:27" x14ac:dyDescent="0.35">
      <c r="A286" s="5">
        <v>282</v>
      </c>
      <c r="B286" s="5">
        <v>12</v>
      </c>
      <c r="C286" s="5">
        <v>1</v>
      </c>
      <c r="D286" s="25">
        <v>1.1415000000000001E-4</v>
      </c>
      <c r="E286" s="25">
        <v>1.1318E-4</v>
      </c>
      <c r="F286" s="25">
        <v>1.0119E-4</v>
      </c>
      <c r="G286" s="25">
        <v>1.641E-4</v>
      </c>
      <c r="H286" s="25">
        <v>1.9081E-4</v>
      </c>
      <c r="I286" s="9">
        <v>1.4725E-4</v>
      </c>
      <c r="J286" s="9">
        <v>1.537E-4</v>
      </c>
      <c r="K286" s="9">
        <v>1.7803E-4</v>
      </c>
      <c r="L286" s="9">
        <v>2.1243E-4</v>
      </c>
      <c r="M286" s="9">
        <v>1.5987999999999999E-4</v>
      </c>
      <c r="N286" s="9">
        <v>1.3918000000000001E-4</v>
      </c>
      <c r="O286" s="9">
        <v>2.0984000000000001E-4</v>
      </c>
      <c r="P286" s="9">
        <v>1.6196E-4</v>
      </c>
      <c r="Q286" s="9">
        <v>1.1883E-4</v>
      </c>
      <c r="R286" s="10">
        <v>2.1244936787709023E-4</v>
      </c>
      <c r="S286" s="10">
        <v>1.9027859714583343E-4</v>
      </c>
      <c r="T286" s="10">
        <v>0</v>
      </c>
      <c r="U286" s="10">
        <v>1.8927000000000001E-4</v>
      </c>
      <c r="V286" s="25"/>
      <c r="W286" s="25"/>
      <c r="X286" s="25"/>
      <c r="Y286" s="25"/>
      <c r="Z286" s="25"/>
      <c r="AA286" s="25"/>
    </row>
    <row r="287" spans="1:27" x14ac:dyDescent="0.35">
      <c r="A287" s="5">
        <v>283</v>
      </c>
      <c r="B287" s="5">
        <v>12</v>
      </c>
      <c r="C287" s="5">
        <v>1</v>
      </c>
      <c r="D287" s="25">
        <v>1.1416E-4</v>
      </c>
      <c r="E287" s="25">
        <v>1.0755999999999999E-4</v>
      </c>
      <c r="F287" s="25">
        <v>1.1525E-4</v>
      </c>
      <c r="G287" s="25">
        <v>1.0491E-4</v>
      </c>
      <c r="H287" s="25">
        <v>1.3484E-4</v>
      </c>
      <c r="I287" s="9">
        <v>1.4834000000000001E-4</v>
      </c>
      <c r="J287" s="9">
        <v>1.4799999999999999E-4</v>
      </c>
      <c r="K287" s="9">
        <v>1.8013999999999999E-4</v>
      </c>
      <c r="L287" s="9">
        <v>2.1000000000000001E-4</v>
      </c>
      <c r="M287" s="9">
        <v>1.6019E-4</v>
      </c>
      <c r="N287" s="9">
        <v>1.3035E-4</v>
      </c>
      <c r="O287" s="9">
        <v>1.6563999999999999E-4</v>
      </c>
      <c r="P287" s="9">
        <v>1.3449999999999999E-4</v>
      </c>
      <c r="Q287" s="9">
        <v>1.0675000000000001E-4</v>
      </c>
      <c r="R287" s="10">
        <v>2.1244936787709023E-4</v>
      </c>
      <c r="S287" s="10">
        <v>1.9028953358169565E-4</v>
      </c>
      <c r="T287" s="10">
        <v>0</v>
      </c>
      <c r="U287" s="10">
        <v>1.8927000000000001E-4</v>
      </c>
      <c r="V287" s="25"/>
      <c r="W287" s="25"/>
      <c r="X287" s="25"/>
      <c r="Y287" s="25"/>
      <c r="Z287" s="25"/>
      <c r="AA287" s="25"/>
    </row>
    <row r="288" spans="1:27" x14ac:dyDescent="0.35">
      <c r="A288" s="5">
        <v>284</v>
      </c>
      <c r="B288" s="5">
        <v>12</v>
      </c>
      <c r="C288" s="5">
        <v>1</v>
      </c>
      <c r="D288" s="25">
        <v>1.1415000000000001E-4</v>
      </c>
      <c r="E288" s="25">
        <v>1.1019E-4</v>
      </c>
      <c r="F288" s="25">
        <v>1.0054E-4</v>
      </c>
      <c r="G288" s="25">
        <v>1.0716E-4</v>
      </c>
      <c r="H288" s="25">
        <v>1.2943000000000001E-4</v>
      </c>
      <c r="I288" s="9">
        <v>1.4257000000000001E-4</v>
      </c>
      <c r="J288" s="9">
        <v>1.4327E-4</v>
      </c>
      <c r="K288" s="9">
        <v>1.8437999999999999E-4</v>
      </c>
      <c r="L288" s="9">
        <v>1.7555000000000001E-4</v>
      </c>
      <c r="M288" s="9">
        <v>1.5118E-4</v>
      </c>
      <c r="N288" s="9">
        <v>1.2116E-4</v>
      </c>
      <c r="O288" s="9">
        <v>1.2946E-4</v>
      </c>
      <c r="P288" s="9">
        <v>1.143E-4</v>
      </c>
      <c r="Q288" s="9">
        <v>1.014E-4</v>
      </c>
      <c r="R288" s="10">
        <v>2.1244936787709023E-4</v>
      </c>
      <c r="S288" s="10">
        <v>1.902901730851427E-4</v>
      </c>
      <c r="T288" s="10">
        <v>0</v>
      </c>
      <c r="U288" s="10">
        <v>1.8927000000000001E-4</v>
      </c>
      <c r="V288" s="25"/>
      <c r="W288" s="25"/>
      <c r="X288" s="25"/>
      <c r="Y288" s="25"/>
      <c r="Z288" s="25"/>
      <c r="AA288" s="25"/>
    </row>
    <row r="289" spans="1:27" x14ac:dyDescent="0.35">
      <c r="A289" s="5">
        <v>285</v>
      </c>
      <c r="B289" s="5">
        <v>12</v>
      </c>
      <c r="C289" s="5">
        <v>1</v>
      </c>
      <c r="D289" s="25">
        <v>1.1416E-4</v>
      </c>
      <c r="E289" s="25">
        <v>1.1066E-4</v>
      </c>
      <c r="F289" s="25">
        <v>9.9240000000000005E-5</v>
      </c>
      <c r="G289" s="25">
        <v>6.003E-5</v>
      </c>
      <c r="H289" s="25">
        <v>6.3089999999999994E-5</v>
      </c>
      <c r="I289" s="9">
        <v>1.3441000000000001E-4</v>
      </c>
      <c r="J289" s="9">
        <v>1.3632999999999999E-4</v>
      </c>
      <c r="K289" s="9">
        <v>1.8437999999999999E-4</v>
      </c>
      <c r="L289" s="9">
        <v>1.4066E-4</v>
      </c>
      <c r="M289" s="9">
        <v>1.3536000000000001E-4</v>
      </c>
      <c r="N289" s="9">
        <v>1.1335E-4</v>
      </c>
      <c r="O289" s="9">
        <v>8.5920000000000004E-5</v>
      </c>
      <c r="P289" s="9">
        <v>8.7029999999999999E-5</v>
      </c>
      <c r="Q289" s="9">
        <v>8.9049999999999996E-5</v>
      </c>
      <c r="R289" s="10">
        <v>2.1244936787709023E-4</v>
      </c>
      <c r="S289" s="10">
        <v>1.8989585601189181E-4</v>
      </c>
      <c r="T289" s="10">
        <v>0</v>
      </c>
      <c r="U289" s="10">
        <v>1.8927000000000001E-4</v>
      </c>
      <c r="V289" s="25"/>
      <c r="W289" s="25"/>
      <c r="X289" s="25"/>
      <c r="Y289" s="25"/>
      <c r="Z289" s="25"/>
      <c r="AA289" s="25"/>
    </row>
    <row r="290" spans="1:27" x14ac:dyDescent="0.35">
      <c r="A290" s="5">
        <v>286</v>
      </c>
      <c r="B290" s="5">
        <v>12</v>
      </c>
      <c r="C290" s="5">
        <v>1</v>
      </c>
      <c r="D290" s="25">
        <v>1.1415000000000001E-4</v>
      </c>
      <c r="E290" s="25">
        <v>1.0917999999999999E-4</v>
      </c>
      <c r="F290" s="25">
        <v>9.8070000000000001E-5</v>
      </c>
      <c r="G290" s="25">
        <v>5.4920000000000003E-5</v>
      </c>
      <c r="H290" s="25">
        <v>6.5099999999999997E-5</v>
      </c>
      <c r="I290" s="9">
        <v>1.2776000000000001E-4</v>
      </c>
      <c r="J290" s="9">
        <v>1.2857E-4</v>
      </c>
      <c r="K290" s="9">
        <v>1.9285999999999999E-4</v>
      </c>
      <c r="L290" s="9">
        <v>9.8919999999999995E-5</v>
      </c>
      <c r="M290" s="9">
        <v>1.1389E-4</v>
      </c>
      <c r="N290" s="9">
        <v>1.0586000000000001E-4</v>
      </c>
      <c r="O290" s="9">
        <v>8.7579999999999998E-5</v>
      </c>
      <c r="P290" s="9">
        <v>8.7239999999999998E-5</v>
      </c>
      <c r="Q290" s="9">
        <v>8.789E-5</v>
      </c>
      <c r="R290" s="10">
        <v>2.1244936787709023E-4</v>
      </c>
      <c r="S290" s="10">
        <v>1.8581945198574421E-4</v>
      </c>
      <c r="T290" s="10">
        <v>0</v>
      </c>
      <c r="U290" s="10">
        <v>1.8927000000000001E-4</v>
      </c>
      <c r="V290" s="25"/>
      <c r="W290" s="25"/>
      <c r="X290" s="25"/>
      <c r="Y290" s="25"/>
      <c r="Z290" s="25"/>
      <c r="AA290" s="25"/>
    </row>
    <row r="291" spans="1:27" x14ac:dyDescent="0.35">
      <c r="A291" s="5">
        <v>287</v>
      </c>
      <c r="B291" s="5">
        <v>12</v>
      </c>
      <c r="C291" s="5">
        <v>1</v>
      </c>
      <c r="D291" s="25">
        <v>1.1416E-4</v>
      </c>
      <c r="E291" s="25">
        <v>1.0781E-4</v>
      </c>
      <c r="F291" s="25">
        <v>1.0592E-4</v>
      </c>
      <c r="G291" s="25">
        <v>5.7729999999999998E-5</v>
      </c>
      <c r="H291" s="25">
        <v>7.1290000000000004E-5</v>
      </c>
      <c r="I291" s="9">
        <v>1.2875000000000001E-4</v>
      </c>
      <c r="J291" s="9">
        <v>1.1936E-4</v>
      </c>
      <c r="K291" s="9">
        <v>1.9709E-4</v>
      </c>
      <c r="L291" s="9">
        <v>9.0989999999999994E-5</v>
      </c>
      <c r="M291" s="9">
        <v>9.9060000000000004E-5</v>
      </c>
      <c r="N291" s="9">
        <v>9.9920000000000006E-5</v>
      </c>
      <c r="O291" s="9">
        <v>7.8090000000000006E-5</v>
      </c>
      <c r="P291" s="9">
        <v>7.2020000000000005E-5</v>
      </c>
      <c r="Q291" s="9">
        <v>6.6779999999999994E-5</v>
      </c>
      <c r="R291" s="10">
        <v>2.1244883038787704E-4</v>
      </c>
      <c r="S291" s="10">
        <v>1.7281900134992468E-4</v>
      </c>
      <c r="T291" s="10">
        <v>0</v>
      </c>
      <c r="U291" s="10">
        <v>1.8927000000000001E-4</v>
      </c>
      <c r="V291" s="25"/>
      <c r="W291" s="25"/>
      <c r="X291" s="25"/>
      <c r="Y291" s="25"/>
      <c r="Z291" s="25"/>
      <c r="AA291" s="25"/>
    </row>
    <row r="292" spans="1:27" x14ac:dyDescent="0.35">
      <c r="A292" s="5">
        <v>288</v>
      </c>
      <c r="B292" s="5">
        <v>12</v>
      </c>
      <c r="C292" s="5">
        <v>1</v>
      </c>
      <c r="D292" s="25">
        <v>1.1415000000000001E-4</v>
      </c>
      <c r="E292" s="25">
        <v>1.1198E-4</v>
      </c>
      <c r="F292" s="25">
        <v>1.0411E-4</v>
      </c>
      <c r="G292" s="25">
        <v>5.3619999999999998E-5</v>
      </c>
      <c r="H292" s="25">
        <v>6.3310000000000002E-5</v>
      </c>
      <c r="I292" s="9">
        <v>1.2735000000000001E-4</v>
      </c>
      <c r="J292" s="9">
        <v>1.1174E-4</v>
      </c>
      <c r="K292" s="9">
        <v>1.8226000000000001E-4</v>
      </c>
      <c r="L292" s="9">
        <v>8.0929999999999999E-5</v>
      </c>
      <c r="M292" s="9">
        <v>8.6050000000000005E-5</v>
      </c>
      <c r="N292" s="9">
        <v>9.056E-5</v>
      </c>
      <c r="O292" s="9">
        <v>6.2940000000000004E-5</v>
      </c>
      <c r="P292" s="9">
        <v>6.0730000000000003E-5</v>
      </c>
      <c r="Q292" s="9">
        <v>5.8909999999999997E-5</v>
      </c>
      <c r="R292" s="10">
        <v>2.1218195063624941E-4</v>
      </c>
      <c r="S292" s="10">
        <v>1.3386014780993692E-4</v>
      </c>
      <c r="T292" s="10">
        <v>0</v>
      </c>
      <c r="U292" s="10">
        <v>1.8927000000000001E-4</v>
      </c>
      <c r="V292" s="25"/>
      <c r="W292" s="25"/>
      <c r="X292" s="25"/>
      <c r="Y292" s="25"/>
      <c r="Z292" s="25"/>
      <c r="AA292" s="25"/>
    </row>
    <row r="293" spans="1:27" x14ac:dyDescent="0.35">
      <c r="A293" s="5">
        <v>289</v>
      </c>
      <c r="B293" s="5">
        <v>13</v>
      </c>
      <c r="C293" s="5">
        <v>1</v>
      </c>
      <c r="D293" s="25">
        <v>1.1416E-4</v>
      </c>
      <c r="E293" s="25">
        <v>1.0911E-4</v>
      </c>
      <c r="F293" s="25">
        <v>1.3046999999999999E-4</v>
      </c>
      <c r="G293" s="25">
        <v>5.7200000000000001E-5</v>
      </c>
      <c r="H293" s="25">
        <v>4.2400000000000001E-5</v>
      </c>
      <c r="I293" s="9">
        <v>1.1993999999999999E-4</v>
      </c>
      <c r="J293" s="9">
        <v>1.0471000000000001E-4</v>
      </c>
      <c r="K293" s="9">
        <v>1.7802000000000001E-4</v>
      </c>
      <c r="L293" s="9">
        <v>6.69E-5</v>
      </c>
      <c r="M293" s="9">
        <v>7.394E-5</v>
      </c>
      <c r="N293" s="9">
        <v>8.1139999999999999E-5</v>
      </c>
      <c r="O293" s="9">
        <v>6.7860000000000004E-5</v>
      </c>
      <c r="P293" s="9">
        <v>6.0420000000000001E-5</v>
      </c>
      <c r="Q293" s="9">
        <v>5.329E-5</v>
      </c>
      <c r="R293" s="10">
        <v>2.1026863825336032E-4</v>
      </c>
      <c r="S293" s="10">
        <v>1.4049277756327213E-4</v>
      </c>
      <c r="T293" s="10">
        <v>0</v>
      </c>
      <c r="U293" s="10">
        <v>1.9075E-4</v>
      </c>
      <c r="V293" s="25"/>
      <c r="W293" s="25"/>
      <c r="X293" s="25"/>
      <c r="Y293" s="25"/>
      <c r="Z293" s="25"/>
      <c r="AA293" s="25"/>
    </row>
    <row r="294" spans="1:27" x14ac:dyDescent="0.35">
      <c r="A294" s="5">
        <v>290</v>
      </c>
      <c r="B294" s="5">
        <v>13</v>
      </c>
      <c r="C294" s="5">
        <v>1</v>
      </c>
      <c r="D294" s="25">
        <v>1.1415000000000001E-4</v>
      </c>
      <c r="E294" s="25">
        <v>1.0903E-4</v>
      </c>
      <c r="F294" s="25">
        <v>1.133E-4</v>
      </c>
      <c r="G294" s="25">
        <v>5.9110000000000002E-5</v>
      </c>
      <c r="H294" s="25">
        <v>3.8529999999999999E-5</v>
      </c>
      <c r="I294" s="9">
        <v>1.1336999999999999E-4</v>
      </c>
      <c r="J294" s="9">
        <v>9.9469999999999995E-5</v>
      </c>
      <c r="K294" s="9">
        <v>1.9074000000000001E-4</v>
      </c>
      <c r="L294" s="9">
        <v>6.8029999999999997E-5</v>
      </c>
      <c r="M294" s="9">
        <v>6.6210000000000005E-5</v>
      </c>
      <c r="N294" s="9">
        <v>7.2000000000000002E-5</v>
      </c>
      <c r="O294" s="9">
        <v>3.4980000000000001E-5</v>
      </c>
      <c r="P294" s="9">
        <v>4.6239999999999998E-5</v>
      </c>
      <c r="Q294" s="9">
        <v>5.6669999999999998E-5</v>
      </c>
      <c r="R294" s="10">
        <v>2.1078814449328585E-4</v>
      </c>
      <c r="S294" s="10">
        <v>1.4142238804596151E-4</v>
      </c>
      <c r="T294" s="10">
        <v>0</v>
      </c>
      <c r="U294" s="10">
        <v>1.9075E-4</v>
      </c>
      <c r="V294" s="25"/>
      <c r="W294" s="25"/>
      <c r="X294" s="25"/>
      <c r="Y294" s="25"/>
      <c r="Z294" s="25"/>
      <c r="AA294" s="25"/>
    </row>
    <row r="295" spans="1:27" x14ac:dyDescent="0.35">
      <c r="A295" s="5">
        <v>291</v>
      </c>
      <c r="B295" s="5">
        <v>13</v>
      </c>
      <c r="C295" s="5">
        <v>1</v>
      </c>
      <c r="D295" s="25">
        <v>1.1416E-4</v>
      </c>
      <c r="E295" s="25">
        <v>1.1026E-4</v>
      </c>
      <c r="F295" s="25">
        <v>1.1492E-4</v>
      </c>
      <c r="G295" s="25">
        <v>6.232E-5</v>
      </c>
      <c r="H295" s="25">
        <v>4.1709999999999999E-5</v>
      </c>
      <c r="I295" s="9">
        <v>1.0856E-4</v>
      </c>
      <c r="J295" s="9">
        <v>9.6949999999999998E-5</v>
      </c>
      <c r="K295" s="9">
        <v>1.8227E-4</v>
      </c>
      <c r="L295" s="9">
        <v>4.2169999999999998E-5</v>
      </c>
      <c r="M295" s="9">
        <v>5.7370000000000001E-5</v>
      </c>
      <c r="N295" s="9">
        <v>6.5530000000000004E-5</v>
      </c>
      <c r="O295" s="9">
        <v>2.1489999999999999E-5</v>
      </c>
      <c r="P295" s="9">
        <v>4.244E-5</v>
      </c>
      <c r="Q295" s="9">
        <v>6.2080000000000002E-5</v>
      </c>
      <c r="R295" s="10">
        <v>2.1157486285938918E-4</v>
      </c>
      <c r="S295" s="10">
        <v>1.6432108759549961E-4</v>
      </c>
      <c r="T295" s="10">
        <v>0</v>
      </c>
      <c r="U295" s="10">
        <v>1.9075E-4</v>
      </c>
      <c r="V295" s="25"/>
      <c r="W295" s="25"/>
      <c r="X295" s="25"/>
      <c r="Y295" s="25"/>
      <c r="Z295" s="25"/>
      <c r="AA295" s="25"/>
    </row>
    <row r="296" spans="1:27" x14ac:dyDescent="0.35">
      <c r="A296" s="5">
        <v>292</v>
      </c>
      <c r="B296" s="5">
        <v>13</v>
      </c>
      <c r="C296" s="5">
        <v>1</v>
      </c>
      <c r="D296" s="25">
        <v>1.1415000000000001E-4</v>
      </c>
      <c r="E296" s="25">
        <v>1.1128000000000001E-4</v>
      </c>
      <c r="F296" s="25">
        <v>1.2485999999999999E-4</v>
      </c>
      <c r="G296" s="25">
        <v>5.8430000000000001E-5</v>
      </c>
      <c r="H296" s="25">
        <v>4.1119999999999999E-5</v>
      </c>
      <c r="I296" s="9">
        <v>1.0721E-4</v>
      </c>
      <c r="J296" s="9">
        <v>9.5719999999999998E-5</v>
      </c>
      <c r="K296" s="9">
        <v>1.9285999999999999E-4</v>
      </c>
      <c r="L296" s="9">
        <v>2.6659999999999999E-5</v>
      </c>
      <c r="M296" s="9">
        <v>4.9910000000000002E-5</v>
      </c>
      <c r="N296" s="9">
        <v>6.2080000000000002E-5</v>
      </c>
      <c r="O296" s="9">
        <v>2.084E-5</v>
      </c>
      <c r="P296" s="9">
        <v>5.1480000000000002E-5</v>
      </c>
      <c r="Q296" s="9">
        <v>8.064E-5</v>
      </c>
      <c r="R296" s="10">
        <v>2.1228639240722285E-4</v>
      </c>
      <c r="S296" s="10">
        <v>1.716032303943012E-4</v>
      </c>
      <c r="T296" s="10">
        <v>0</v>
      </c>
      <c r="U296" s="10">
        <v>1.9075E-4</v>
      </c>
      <c r="V296" s="25"/>
      <c r="W296" s="25"/>
      <c r="X296" s="25"/>
      <c r="Y296" s="25"/>
      <c r="Z296" s="25"/>
      <c r="AA296" s="25"/>
    </row>
    <row r="297" spans="1:27" x14ac:dyDescent="0.35">
      <c r="A297" s="5">
        <v>293</v>
      </c>
      <c r="B297" s="5">
        <v>13</v>
      </c>
      <c r="C297" s="5">
        <v>1</v>
      </c>
      <c r="D297" s="25">
        <v>1.1416E-4</v>
      </c>
      <c r="E297" s="25">
        <v>1.102E-4</v>
      </c>
      <c r="F297" s="25">
        <v>1.1365E-4</v>
      </c>
      <c r="G297" s="25">
        <v>6.0850000000000002E-5</v>
      </c>
      <c r="H297" s="25">
        <v>4.3229999999999998E-5</v>
      </c>
      <c r="I297" s="9">
        <v>1.0866000000000001E-4</v>
      </c>
      <c r="J297" s="9">
        <v>9.6390000000000004E-5</v>
      </c>
      <c r="K297" s="9">
        <v>1.8861999999999999E-4</v>
      </c>
      <c r="L297" s="9">
        <v>2.2580000000000001E-5</v>
      </c>
      <c r="M297" s="9">
        <v>4.8699999999999998E-5</v>
      </c>
      <c r="N297" s="9">
        <v>6.4670000000000003E-5</v>
      </c>
      <c r="O297" s="9">
        <v>2.2929999999999999E-5</v>
      </c>
      <c r="P297" s="9">
        <v>5.9540000000000003E-5</v>
      </c>
      <c r="Q297" s="9">
        <v>9.4619999999999999E-5</v>
      </c>
      <c r="R297" s="10">
        <v>2.1243185713345952E-4</v>
      </c>
      <c r="S297" s="10">
        <v>1.7594310133864209E-4</v>
      </c>
      <c r="T297" s="10">
        <v>0</v>
      </c>
      <c r="U297" s="10">
        <v>1.9075E-4</v>
      </c>
      <c r="V297" s="25"/>
      <c r="W297" s="25"/>
      <c r="X297" s="25"/>
      <c r="Y297" s="25"/>
      <c r="Z297" s="25"/>
      <c r="AA297" s="25"/>
    </row>
    <row r="298" spans="1:27" x14ac:dyDescent="0.35">
      <c r="A298" s="5">
        <v>294</v>
      </c>
      <c r="B298" s="5">
        <v>13</v>
      </c>
      <c r="C298" s="5">
        <v>1</v>
      </c>
      <c r="D298" s="25">
        <v>1.1415000000000001E-4</v>
      </c>
      <c r="E298" s="25">
        <v>1.1145E-4</v>
      </c>
      <c r="F298" s="25">
        <v>1.3051E-4</v>
      </c>
      <c r="G298" s="25">
        <v>1.0784E-4</v>
      </c>
      <c r="H298" s="25">
        <v>7.6810000000000005E-5</v>
      </c>
      <c r="I298" s="9">
        <v>1.131E-4</v>
      </c>
      <c r="J298" s="9">
        <v>1.0055E-4</v>
      </c>
      <c r="K298" s="9">
        <v>1.9497000000000001E-4</v>
      </c>
      <c r="L298" s="9">
        <v>2.279E-5</v>
      </c>
      <c r="M298" s="9">
        <v>5.2599999999999998E-5</v>
      </c>
      <c r="N298" s="9">
        <v>7.1420000000000004E-5</v>
      </c>
      <c r="O298" s="9">
        <v>2.9070000000000001E-5</v>
      </c>
      <c r="P298" s="9">
        <v>6.868E-5</v>
      </c>
      <c r="Q298" s="9">
        <v>1.0688000000000001E-4</v>
      </c>
      <c r="R298" s="10">
        <v>2.1244936787709023E-4</v>
      </c>
      <c r="S298" s="10">
        <v>1.6460644071886345E-4</v>
      </c>
      <c r="T298" s="10">
        <v>0</v>
      </c>
      <c r="U298" s="10">
        <v>1.9075E-4</v>
      </c>
      <c r="V298" s="25"/>
      <c r="W298" s="25"/>
      <c r="X298" s="25"/>
      <c r="Y298" s="25"/>
      <c r="Z298" s="25"/>
      <c r="AA298" s="25"/>
    </row>
    <row r="299" spans="1:27" x14ac:dyDescent="0.35">
      <c r="A299" s="5">
        <v>295</v>
      </c>
      <c r="B299" s="5">
        <v>13</v>
      </c>
      <c r="C299" s="5">
        <v>1</v>
      </c>
      <c r="D299" s="25">
        <v>1.1416E-4</v>
      </c>
      <c r="E299" s="25">
        <v>1.1488E-4</v>
      </c>
      <c r="F299" s="25">
        <v>1.3023000000000001E-4</v>
      </c>
      <c r="G299" s="25">
        <v>1.1216E-4</v>
      </c>
      <c r="H299" s="25">
        <v>8.1769999999999998E-5</v>
      </c>
      <c r="I299" s="9">
        <v>1.2725E-4</v>
      </c>
      <c r="J299" s="9">
        <v>1.1256000000000001E-4</v>
      </c>
      <c r="K299" s="9">
        <v>1.9073000000000001E-4</v>
      </c>
      <c r="L299" s="9">
        <v>2.758E-5</v>
      </c>
      <c r="M299" s="9">
        <v>5.9540000000000003E-5</v>
      </c>
      <c r="N299" s="9">
        <v>8.1069999999999995E-5</v>
      </c>
      <c r="O299" s="9">
        <v>4.6090000000000001E-5</v>
      </c>
      <c r="P299" s="9">
        <v>7.9980000000000003E-5</v>
      </c>
      <c r="Q299" s="9">
        <v>1.1298000000000001E-4</v>
      </c>
      <c r="R299" s="10">
        <v>2.1244936787709023E-4</v>
      </c>
      <c r="S299" s="10">
        <v>1.6694363025700548E-4</v>
      </c>
      <c r="T299" s="10">
        <v>0</v>
      </c>
      <c r="U299" s="10">
        <v>1.9075E-4</v>
      </c>
      <c r="V299" s="25"/>
      <c r="W299" s="25"/>
      <c r="X299" s="25"/>
      <c r="Y299" s="25"/>
      <c r="Z299" s="25"/>
      <c r="AA299" s="25"/>
    </row>
    <row r="300" spans="1:27" x14ac:dyDescent="0.35">
      <c r="A300" s="5">
        <v>296</v>
      </c>
      <c r="B300" s="5">
        <v>13</v>
      </c>
      <c r="C300" s="5">
        <v>1</v>
      </c>
      <c r="D300" s="25">
        <v>1.1415000000000001E-4</v>
      </c>
      <c r="E300" s="25">
        <v>1.1476000000000001E-4</v>
      </c>
      <c r="F300" s="25">
        <v>1.226E-4</v>
      </c>
      <c r="G300" s="25">
        <v>1.6463E-4</v>
      </c>
      <c r="H300" s="25">
        <v>1.1853000000000001E-4</v>
      </c>
      <c r="I300" s="9">
        <v>1.394E-4</v>
      </c>
      <c r="J300" s="9">
        <v>1.3166E-4</v>
      </c>
      <c r="K300" s="9">
        <v>1.8437999999999999E-4</v>
      </c>
      <c r="L300" s="9">
        <v>4.1869999999999997E-5</v>
      </c>
      <c r="M300" s="9">
        <v>6.8620000000000004E-5</v>
      </c>
      <c r="N300" s="9">
        <v>9.1219999999999997E-5</v>
      </c>
      <c r="O300" s="9">
        <v>6.7830000000000006E-5</v>
      </c>
      <c r="P300" s="9">
        <v>1.0199E-4</v>
      </c>
      <c r="Q300" s="9">
        <v>1.3580999999999999E-4</v>
      </c>
      <c r="R300" s="10">
        <v>2.1244936787709023E-4</v>
      </c>
      <c r="S300" s="10">
        <v>1.8197359591825922E-4</v>
      </c>
      <c r="T300" s="10">
        <v>0</v>
      </c>
      <c r="U300" s="10">
        <v>1.9075E-4</v>
      </c>
      <c r="V300" s="25"/>
      <c r="W300" s="25"/>
      <c r="X300" s="25"/>
      <c r="Y300" s="25"/>
      <c r="Z300" s="25"/>
      <c r="AA300" s="25"/>
    </row>
    <row r="301" spans="1:27" x14ac:dyDescent="0.35">
      <c r="A301" s="5">
        <v>297</v>
      </c>
      <c r="B301" s="5">
        <v>13</v>
      </c>
      <c r="C301" s="5">
        <v>1</v>
      </c>
      <c r="D301" s="25">
        <v>1.1416E-4</v>
      </c>
      <c r="E301" s="25">
        <v>1.1789E-4</v>
      </c>
      <c r="F301" s="25">
        <v>1.1412E-4</v>
      </c>
      <c r="G301" s="25">
        <v>1.574E-4</v>
      </c>
      <c r="H301" s="25">
        <v>1.1869E-4</v>
      </c>
      <c r="I301" s="9">
        <v>1.4470999999999999E-4</v>
      </c>
      <c r="J301" s="9">
        <v>1.4337E-4</v>
      </c>
      <c r="K301" s="9">
        <v>1.8226000000000001E-4</v>
      </c>
      <c r="L301" s="9">
        <v>6.1729999999999993E-5</v>
      </c>
      <c r="M301" s="9">
        <v>8.2890000000000001E-5</v>
      </c>
      <c r="N301" s="9">
        <v>1.0467999999999999E-4</v>
      </c>
      <c r="O301" s="9">
        <v>1.0049E-4</v>
      </c>
      <c r="P301" s="9">
        <v>1.3859000000000001E-4</v>
      </c>
      <c r="Q301" s="9">
        <v>1.7707000000000001E-4</v>
      </c>
      <c r="R301" s="10">
        <v>2.1244936787709023E-4</v>
      </c>
      <c r="S301" s="10">
        <v>1.8986271779803217E-4</v>
      </c>
      <c r="T301" s="10">
        <v>0</v>
      </c>
      <c r="U301" s="10">
        <v>1.9075E-4</v>
      </c>
      <c r="V301" s="25"/>
      <c r="W301" s="25"/>
      <c r="X301" s="25"/>
      <c r="Y301" s="25"/>
      <c r="Z301" s="25"/>
      <c r="AA301" s="25"/>
    </row>
    <row r="302" spans="1:27" x14ac:dyDescent="0.35">
      <c r="A302" s="5">
        <v>298</v>
      </c>
      <c r="B302" s="5">
        <v>13</v>
      </c>
      <c r="C302" s="5">
        <v>1</v>
      </c>
      <c r="D302" s="25">
        <v>1.1415000000000001E-4</v>
      </c>
      <c r="E302" s="25">
        <v>1.1169E-4</v>
      </c>
      <c r="F302" s="25">
        <v>1.3161E-4</v>
      </c>
      <c r="G302" s="25">
        <v>1.5755000000000001E-4</v>
      </c>
      <c r="H302" s="25">
        <v>1.1529E-4</v>
      </c>
      <c r="I302" s="9">
        <v>1.4574E-4</v>
      </c>
      <c r="J302" s="9">
        <v>1.4548E-4</v>
      </c>
      <c r="K302" s="9">
        <v>1.7379E-4</v>
      </c>
      <c r="L302" s="9">
        <v>9.1440000000000005E-5</v>
      </c>
      <c r="M302" s="9">
        <v>1.0654000000000001E-4</v>
      </c>
      <c r="N302" s="9">
        <v>1.2465999999999999E-4</v>
      </c>
      <c r="O302" s="9">
        <v>1.2983999999999999E-4</v>
      </c>
      <c r="P302" s="9">
        <v>1.5547E-4</v>
      </c>
      <c r="Q302" s="9">
        <v>1.8241000000000001E-4</v>
      </c>
      <c r="R302" s="10">
        <v>2.124390222750207E-4</v>
      </c>
      <c r="S302" s="10">
        <v>1.9025209793541558E-4</v>
      </c>
      <c r="T302" s="10">
        <v>1.3405192973225178E-5</v>
      </c>
      <c r="U302" s="10">
        <v>1.9075E-4</v>
      </c>
      <c r="V302" s="25"/>
      <c r="W302" s="25"/>
      <c r="X302" s="25"/>
      <c r="Y302" s="25"/>
      <c r="Z302" s="25"/>
      <c r="AA302" s="25"/>
    </row>
    <row r="303" spans="1:27" x14ac:dyDescent="0.35">
      <c r="A303" s="5">
        <v>299</v>
      </c>
      <c r="B303" s="5">
        <v>13</v>
      </c>
      <c r="C303" s="5">
        <v>1</v>
      </c>
      <c r="D303" s="25">
        <v>1.1416E-4</v>
      </c>
      <c r="E303" s="25">
        <v>1.1403E-4</v>
      </c>
      <c r="F303" s="25">
        <v>1.2889999999999999E-4</v>
      </c>
      <c r="G303" s="25">
        <v>1.6521999999999999E-4</v>
      </c>
      <c r="H303" s="25">
        <v>1.1523000000000001E-4</v>
      </c>
      <c r="I303" s="9">
        <v>1.4553E-4</v>
      </c>
      <c r="J303" s="9">
        <v>1.4635000000000001E-4</v>
      </c>
      <c r="K303" s="9">
        <v>1.7165999999999999E-4</v>
      </c>
      <c r="L303" s="9">
        <v>1.2066E-4</v>
      </c>
      <c r="M303" s="9">
        <v>1.3014E-4</v>
      </c>
      <c r="N303" s="9">
        <v>1.4274000000000001E-4</v>
      </c>
      <c r="O303" s="9">
        <v>1.3792000000000001E-4</v>
      </c>
      <c r="P303" s="9">
        <v>1.5783E-4</v>
      </c>
      <c r="Q303" s="9">
        <v>1.7934E-4</v>
      </c>
      <c r="R303" s="10">
        <v>2.1169867734968322E-4</v>
      </c>
      <c r="S303" s="10">
        <v>1.8977971645826836E-4</v>
      </c>
      <c r="T303" s="10">
        <v>4.2582698438365289E-5</v>
      </c>
      <c r="U303" s="10">
        <v>1.9075E-4</v>
      </c>
      <c r="V303" s="25"/>
      <c r="W303" s="25"/>
      <c r="X303" s="25"/>
      <c r="Y303" s="25"/>
      <c r="Z303" s="25"/>
      <c r="AA303" s="25"/>
    </row>
    <row r="304" spans="1:27" x14ac:dyDescent="0.35">
      <c r="A304" s="5">
        <v>300</v>
      </c>
      <c r="B304" s="5">
        <v>13</v>
      </c>
      <c r="C304" s="5">
        <v>1</v>
      </c>
      <c r="D304" s="25">
        <v>1.1415000000000001E-4</v>
      </c>
      <c r="E304" s="25">
        <v>1.0705999999999999E-4</v>
      </c>
      <c r="F304" s="25">
        <v>1.1192E-4</v>
      </c>
      <c r="G304" s="25">
        <v>1.6393000000000001E-4</v>
      </c>
      <c r="H304" s="25">
        <v>1.2171E-4</v>
      </c>
      <c r="I304" s="9">
        <v>1.4721999999999999E-4</v>
      </c>
      <c r="J304" s="9">
        <v>1.4686000000000001E-4</v>
      </c>
      <c r="K304" s="9">
        <v>1.6531E-4</v>
      </c>
      <c r="L304" s="9">
        <v>1.3344E-4</v>
      </c>
      <c r="M304" s="9">
        <v>1.4569999999999999E-4</v>
      </c>
      <c r="N304" s="9">
        <v>1.5674999999999999E-4</v>
      </c>
      <c r="O304" s="9">
        <v>1.3905999999999999E-4</v>
      </c>
      <c r="P304" s="9">
        <v>1.5551000000000001E-4</v>
      </c>
      <c r="Q304" s="9">
        <v>1.7365999999999999E-4</v>
      </c>
      <c r="R304" s="10">
        <v>1.9161454668520432E-4</v>
      </c>
      <c r="S304" s="10">
        <v>1.8881533827080281E-4</v>
      </c>
      <c r="T304" s="10">
        <v>2.677644874904978E-5</v>
      </c>
      <c r="U304" s="10">
        <v>1.9075E-4</v>
      </c>
      <c r="V304" s="25"/>
      <c r="W304" s="25"/>
      <c r="X304" s="25"/>
      <c r="Y304" s="25"/>
      <c r="Z304" s="25"/>
      <c r="AA304" s="25"/>
    </row>
    <row r="305" spans="1:27" x14ac:dyDescent="0.35">
      <c r="A305" s="5">
        <v>301</v>
      </c>
      <c r="B305" s="5">
        <v>13</v>
      </c>
      <c r="C305" s="5">
        <v>1</v>
      </c>
      <c r="D305" s="25">
        <v>1.1416E-4</v>
      </c>
      <c r="E305" s="25">
        <v>1.127E-4</v>
      </c>
      <c r="F305" s="25">
        <v>1.3092E-4</v>
      </c>
      <c r="G305" s="25">
        <v>1.6367000000000001E-4</v>
      </c>
      <c r="H305" s="25">
        <v>1.2188000000000001E-4</v>
      </c>
      <c r="I305" s="9">
        <v>1.4454E-4</v>
      </c>
      <c r="J305" s="9">
        <v>1.4603000000000001E-4</v>
      </c>
      <c r="K305" s="9">
        <v>1.5894999999999999E-4</v>
      </c>
      <c r="L305" s="9">
        <v>1.3766000000000001E-4</v>
      </c>
      <c r="M305" s="9">
        <v>1.5254999999999999E-4</v>
      </c>
      <c r="N305" s="9">
        <v>1.6609E-4</v>
      </c>
      <c r="O305" s="9">
        <v>1.3189000000000001E-4</v>
      </c>
      <c r="P305" s="9">
        <v>1.4946E-4</v>
      </c>
      <c r="Q305" s="9">
        <v>1.685E-4</v>
      </c>
      <c r="R305" s="10">
        <v>1.9171123221244327E-4</v>
      </c>
      <c r="S305" s="10">
        <v>1.8665890055798436E-4</v>
      </c>
      <c r="T305" s="10">
        <v>5.4299515840912109E-5</v>
      </c>
      <c r="U305" s="10">
        <v>1.9075E-4</v>
      </c>
      <c r="V305" s="25"/>
      <c r="W305" s="25"/>
      <c r="X305" s="25"/>
      <c r="Y305" s="25"/>
      <c r="Z305" s="25"/>
      <c r="AA305" s="25"/>
    </row>
    <row r="306" spans="1:27" x14ac:dyDescent="0.35">
      <c r="A306" s="5">
        <v>302</v>
      </c>
      <c r="B306" s="5">
        <v>13</v>
      </c>
      <c r="C306" s="5">
        <v>1</v>
      </c>
      <c r="D306" s="25">
        <v>1.1415000000000001E-4</v>
      </c>
      <c r="E306" s="25">
        <v>1.0709000000000001E-4</v>
      </c>
      <c r="F306" s="25">
        <v>1.2306E-4</v>
      </c>
      <c r="G306" s="25">
        <v>1.6368E-4</v>
      </c>
      <c r="H306" s="25">
        <v>1.2336000000000001E-4</v>
      </c>
      <c r="I306" s="9">
        <v>1.4349E-4</v>
      </c>
      <c r="J306" s="9">
        <v>1.4708000000000001E-4</v>
      </c>
      <c r="K306" s="9">
        <v>1.7589999999999999E-4</v>
      </c>
      <c r="L306" s="9">
        <v>1.3323E-4</v>
      </c>
      <c r="M306" s="9">
        <v>1.5273000000000001E-4</v>
      </c>
      <c r="N306" s="9">
        <v>1.7066E-4</v>
      </c>
      <c r="O306" s="9">
        <v>1.1292E-4</v>
      </c>
      <c r="P306" s="9">
        <v>1.3616999999999999E-4</v>
      </c>
      <c r="Q306" s="9">
        <v>1.6034999999999999E-4</v>
      </c>
      <c r="R306" s="10">
        <v>1.8795056973265771E-4</v>
      </c>
      <c r="S306" s="10">
        <v>1.7689092459486443E-4</v>
      </c>
      <c r="T306" s="10">
        <v>2.6878260341251492E-5</v>
      </c>
      <c r="U306" s="10">
        <v>1.9075E-4</v>
      </c>
      <c r="V306" s="25"/>
      <c r="W306" s="25"/>
      <c r="X306" s="25"/>
      <c r="Y306" s="25"/>
      <c r="Z306" s="25"/>
      <c r="AA306" s="25"/>
    </row>
    <row r="307" spans="1:27" x14ac:dyDescent="0.35">
      <c r="A307" s="5">
        <v>303</v>
      </c>
      <c r="B307" s="5">
        <v>13</v>
      </c>
      <c r="C307" s="5">
        <v>1</v>
      </c>
      <c r="D307" s="25">
        <v>1.1416E-4</v>
      </c>
      <c r="E307" s="25">
        <v>1.1545E-4</v>
      </c>
      <c r="F307" s="25">
        <v>1.2594E-4</v>
      </c>
      <c r="G307" s="25">
        <v>1.6129E-4</v>
      </c>
      <c r="H307" s="25">
        <v>1.1763E-4</v>
      </c>
      <c r="I307" s="9">
        <v>1.4118E-4</v>
      </c>
      <c r="J307" s="9">
        <v>1.4678E-4</v>
      </c>
      <c r="K307" s="9">
        <v>1.8438999999999999E-4</v>
      </c>
      <c r="L307" s="9">
        <v>1.1757E-4</v>
      </c>
      <c r="M307" s="9">
        <v>1.4656000000000001E-4</v>
      </c>
      <c r="N307" s="9">
        <v>1.7007E-4</v>
      </c>
      <c r="O307" s="9">
        <v>1.2778999999999999E-4</v>
      </c>
      <c r="P307" s="9">
        <v>1.3920999999999999E-4</v>
      </c>
      <c r="Q307" s="9">
        <v>1.5213E-4</v>
      </c>
      <c r="R307" s="10">
        <v>1.8188364165825871E-4</v>
      </c>
      <c r="S307" s="10">
        <v>1.6064262246930907E-4</v>
      </c>
      <c r="T307" s="10">
        <v>1.0574830710017633E-4</v>
      </c>
      <c r="U307" s="10">
        <v>1.9075E-4</v>
      </c>
      <c r="V307" s="25"/>
      <c r="W307" s="25"/>
      <c r="X307" s="25"/>
      <c r="Y307" s="25"/>
      <c r="Z307" s="25"/>
      <c r="AA307" s="25"/>
    </row>
    <row r="308" spans="1:27" x14ac:dyDescent="0.35">
      <c r="A308" s="5">
        <v>304</v>
      </c>
      <c r="B308" s="5">
        <v>13</v>
      </c>
      <c r="C308" s="5">
        <v>1</v>
      </c>
      <c r="D308" s="25">
        <v>1.1415000000000001E-4</v>
      </c>
      <c r="E308" s="25">
        <v>1.1662E-4</v>
      </c>
      <c r="F308" s="25">
        <v>1.1567E-4</v>
      </c>
      <c r="G308" s="25">
        <v>1.6584E-4</v>
      </c>
      <c r="H308" s="25">
        <v>1.2211000000000001E-4</v>
      </c>
      <c r="I308" s="9">
        <v>1.4065E-4</v>
      </c>
      <c r="J308" s="9">
        <v>1.4585999999999999E-4</v>
      </c>
      <c r="K308" s="9">
        <v>1.9921000000000001E-4</v>
      </c>
      <c r="L308" s="9">
        <v>1.2599E-4</v>
      </c>
      <c r="M308" s="9">
        <v>1.4218E-4</v>
      </c>
      <c r="N308" s="9">
        <v>1.6608000000000001E-4</v>
      </c>
      <c r="O308" s="9">
        <v>1.3533999999999999E-4</v>
      </c>
      <c r="P308" s="9">
        <v>1.216E-4</v>
      </c>
      <c r="Q308" s="9">
        <v>1.0992E-4</v>
      </c>
      <c r="R308" s="10">
        <v>1.6962259585689569E-4</v>
      </c>
      <c r="S308" s="10">
        <v>1.5495871951307907E-4</v>
      </c>
      <c r="T308" s="10">
        <v>3.6567330199114245E-6</v>
      </c>
      <c r="U308" s="10">
        <v>1.9075E-4</v>
      </c>
      <c r="V308" s="25"/>
      <c r="W308" s="25"/>
      <c r="X308" s="25"/>
      <c r="Y308" s="25"/>
      <c r="Z308" s="25"/>
      <c r="AA308" s="25"/>
    </row>
    <row r="309" spans="1:27" x14ac:dyDescent="0.35">
      <c r="A309" s="5">
        <v>305</v>
      </c>
      <c r="B309" s="5">
        <v>13</v>
      </c>
      <c r="C309" s="5">
        <v>1</v>
      </c>
      <c r="D309" s="25">
        <v>1.1416E-4</v>
      </c>
      <c r="E309" s="25">
        <v>1.1545E-4</v>
      </c>
      <c r="F309" s="25">
        <v>1.1568E-4</v>
      </c>
      <c r="G309" s="25">
        <v>1.5679999999999999E-4</v>
      </c>
      <c r="H309" s="25">
        <v>1.1548999999999999E-4</v>
      </c>
      <c r="I309" s="9">
        <v>1.4045999999999999E-4</v>
      </c>
      <c r="J309" s="9">
        <v>1.4677000000000001E-4</v>
      </c>
      <c r="K309" s="9">
        <v>2.0133999999999999E-4</v>
      </c>
      <c r="L309" s="9">
        <v>1.3302E-4</v>
      </c>
      <c r="M309" s="9">
        <v>1.3379E-4</v>
      </c>
      <c r="N309" s="9">
        <v>1.5239999999999999E-4</v>
      </c>
      <c r="O309" s="9">
        <v>1.4252000000000001E-4</v>
      </c>
      <c r="P309" s="9">
        <v>1.2412E-4</v>
      </c>
      <c r="Q309" s="9">
        <v>1.0802E-4</v>
      </c>
      <c r="R309" s="10">
        <v>1.7094775481643591E-4</v>
      </c>
      <c r="S309" s="10">
        <v>1.5106782985003147E-4</v>
      </c>
      <c r="T309" s="10">
        <v>0</v>
      </c>
      <c r="U309" s="10">
        <v>1.9075E-4</v>
      </c>
      <c r="V309" s="25"/>
      <c r="W309" s="25"/>
      <c r="X309" s="25"/>
      <c r="Y309" s="25"/>
      <c r="Z309" s="25"/>
      <c r="AA309" s="25"/>
    </row>
    <row r="310" spans="1:27" x14ac:dyDescent="0.35">
      <c r="A310" s="5">
        <v>306</v>
      </c>
      <c r="B310" s="5">
        <v>13</v>
      </c>
      <c r="C310" s="5">
        <v>1</v>
      </c>
      <c r="D310" s="25">
        <v>1.1415000000000001E-4</v>
      </c>
      <c r="E310" s="25">
        <v>1.1344E-4</v>
      </c>
      <c r="F310" s="25">
        <v>1.2180000000000001E-4</v>
      </c>
      <c r="G310" s="25">
        <v>1.6028E-4</v>
      </c>
      <c r="H310" s="25">
        <v>1.1825E-4</v>
      </c>
      <c r="I310" s="9">
        <v>1.4867999999999999E-4</v>
      </c>
      <c r="J310" s="9">
        <v>1.5438999999999999E-4</v>
      </c>
      <c r="K310" s="9">
        <v>2.1829E-4</v>
      </c>
      <c r="L310" s="9">
        <v>1.4012000000000001E-4</v>
      </c>
      <c r="M310" s="9">
        <v>1.2819E-4</v>
      </c>
      <c r="N310" s="9">
        <v>1.3925E-4</v>
      </c>
      <c r="O310" s="9">
        <v>1.4231000000000001E-4</v>
      </c>
      <c r="P310" s="9">
        <v>1.2901000000000001E-4</v>
      </c>
      <c r="Q310" s="9">
        <v>1.1794E-4</v>
      </c>
      <c r="R310" s="10">
        <v>1.8500182568726339E-4</v>
      </c>
      <c r="S310" s="10">
        <v>1.5028428384579888E-4</v>
      </c>
      <c r="T310" s="10">
        <v>0</v>
      </c>
      <c r="U310" s="10">
        <v>1.9075E-4</v>
      </c>
      <c r="V310" s="25"/>
      <c r="W310" s="25"/>
      <c r="X310" s="25"/>
      <c r="Y310" s="25"/>
      <c r="Z310" s="25"/>
      <c r="AA310" s="25"/>
    </row>
    <row r="311" spans="1:27" x14ac:dyDescent="0.35">
      <c r="A311" s="5">
        <v>307</v>
      </c>
      <c r="B311" s="5">
        <v>13</v>
      </c>
      <c r="C311" s="5">
        <v>1</v>
      </c>
      <c r="D311" s="25">
        <v>1.1416E-4</v>
      </c>
      <c r="E311" s="25">
        <v>1.1499E-4</v>
      </c>
      <c r="F311" s="25">
        <v>1.2846999999999999E-4</v>
      </c>
      <c r="G311" s="25">
        <v>1.0967999999999999E-4</v>
      </c>
      <c r="H311" s="25">
        <v>8.4170000000000002E-5</v>
      </c>
      <c r="I311" s="9">
        <v>1.5046999999999999E-4</v>
      </c>
      <c r="J311" s="9">
        <v>1.4951E-4</v>
      </c>
      <c r="K311" s="9">
        <v>2.2253E-4</v>
      </c>
      <c r="L311" s="9">
        <v>1.417E-4</v>
      </c>
      <c r="M311" s="9">
        <v>1.2721999999999999E-4</v>
      </c>
      <c r="N311" s="9">
        <v>1.3020999999999999E-4</v>
      </c>
      <c r="O311" s="9">
        <v>1.4203999999999999E-4</v>
      </c>
      <c r="P311" s="9">
        <v>1.2316000000000001E-4</v>
      </c>
      <c r="Q311" s="9">
        <v>1.066E-4</v>
      </c>
      <c r="R311" s="10">
        <v>1.9481382433610017E-4</v>
      </c>
      <c r="S311" s="10">
        <v>1.5208869353915643E-4</v>
      </c>
      <c r="T311" s="10">
        <v>0</v>
      </c>
      <c r="U311" s="10">
        <v>1.9075E-4</v>
      </c>
      <c r="V311" s="25"/>
      <c r="W311" s="25"/>
      <c r="X311" s="25"/>
      <c r="Y311" s="25"/>
      <c r="Z311" s="25"/>
      <c r="AA311" s="25"/>
    </row>
    <row r="312" spans="1:27" x14ac:dyDescent="0.35">
      <c r="A312" s="5">
        <v>308</v>
      </c>
      <c r="B312" s="5">
        <v>13</v>
      </c>
      <c r="C312" s="5">
        <v>1</v>
      </c>
      <c r="D312" s="25">
        <v>1.1415000000000001E-4</v>
      </c>
      <c r="E312" s="25">
        <v>1.1737E-4</v>
      </c>
      <c r="F312" s="25">
        <v>1.1175000000000001E-4</v>
      </c>
      <c r="G312" s="25">
        <v>1.0924E-4</v>
      </c>
      <c r="H312" s="25">
        <v>8.4530000000000006E-5</v>
      </c>
      <c r="I312" s="9">
        <v>1.4446000000000001E-4</v>
      </c>
      <c r="J312" s="9">
        <v>1.4454999999999999E-4</v>
      </c>
      <c r="K312" s="9">
        <v>2.4159999999999999E-4</v>
      </c>
      <c r="L312" s="9">
        <v>1.4197E-4</v>
      </c>
      <c r="M312" s="9">
        <v>1.2575999999999999E-4</v>
      </c>
      <c r="N312" s="9">
        <v>1.21E-4</v>
      </c>
      <c r="O312" s="9">
        <v>1.4538999999999999E-4</v>
      </c>
      <c r="P312" s="9">
        <v>1.2249E-4</v>
      </c>
      <c r="Q312" s="9">
        <v>1.0206E-4</v>
      </c>
      <c r="R312" s="10">
        <v>1.9733400334600597E-4</v>
      </c>
      <c r="S312" s="10">
        <v>1.47315337937452E-4</v>
      </c>
      <c r="T312" s="10">
        <v>0</v>
      </c>
      <c r="U312" s="10">
        <v>1.9075E-4</v>
      </c>
      <c r="V312" s="25"/>
      <c r="W312" s="25"/>
      <c r="X312" s="25"/>
      <c r="Y312" s="25"/>
      <c r="Z312" s="25"/>
      <c r="AA312" s="25"/>
    </row>
    <row r="313" spans="1:27" x14ac:dyDescent="0.35">
      <c r="A313" s="5">
        <v>309</v>
      </c>
      <c r="B313" s="5">
        <v>13</v>
      </c>
      <c r="C313" s="5">
        <v>1</v>
      </c>
      <c r="D313" s="25">
        <v>1.1416E-4</v>
      </c>
      <c r="E313" s="25">
        <v>1.1322E-4</v>
      </c>
      <c r="F313" s="25">
        <v>1.1396E-4</v>
      </c>
      <c r="G313" s="25">
        <v>5.537E-5</v>
      </c>
      <c r="H313" s="25">
        <v>4.1749999999999998E-5</v>
      </c>
      <c r="I313" s="9">
        <v>1.3681000000000001E-4</v>
      </c>
      <c r="J313" s="9">
        <v>1.372E-4</v>
      </c>
      <c r="K313" s="9">
        <v>2.2889000000000001E-4</v>
      </c>
      <c r="L313" s="9">
        <v>1.4467000000000001E-4</v>
      </c>
      <c r="M313" s="9">
        <v>1.2422E-4</v>
      </c>
      <c r="N313" s="9">
        <v>1.1334E-4</v>
      </c>
      <c r="O313" s="9">
        <v>8.5690000000000001E-5</v>
      </c>
      <c r="P313" s="9">
        <v>8.7120000000000006E-5</v>
      </c>
      <c r="Q313" s="9">
        <v>8.9140000000000004E-5</v>
      </c>
      <c r="R313" s="10">
        <v>2.021508216782664E-4</v>
      </c>
      <c r="S313" s="10">
        <v>1.3379314383701334E-4</v>
      </c>
      <c r="T313" s="10">
        <v>0</v>
      </c>
      <c r="U313" s="10">
        <v>1.9075E-4</v>
      </c>
      <c r="V313" s="25"/>
      <c r="W313" s="25"/>
      <c r="X313" s="25"/>
      <c r="Y313" s="25"/>
      <c r="Z313" s="25"/>
      <c r="AA313" s="25"/>
    </row>
    <row r="314" spans="1:27" x14ac:dyDescent="0.35">
      <c r="A314" s="5">
        <v>310</v>
      </c>
      <c r="B314" s="5">
        <v>13</v>
      </c>
      <c r="C314" s="5">
        <v>1</v>
      </c>
      <c r="D314" s="25">
        <v>1.1415000000000001E-4</v>
      </c>
      <c r="E314" s="25">
        <v>1.0988E-4</v>
      </c>
      <c r="F314" s="25">
        <v>1.1991E-4</v>
      </c>
      <c r="G314" s="25">
        <v>5.503E-5</v>
      </c>
      <c r="H314" s="25">
        <v>4.1470000000000001E-5</v>
      </c>
      <c r="I314" s="9">
        <v>1.3004E-4</v>
      </c>
      <c r="J314" s="9">
        <v>1.2934000000000001E-4</v>
      </c>
      <c r="K314" s="9">
        <v>2.2887999999999999E-4</v>
      </c>
      <c r="L314" s="9">
        <v>9.8599999999999998E-5</v>
      </c>
      <c r="M314" s="9">
        <v>1.1045E-4</v>
      </c>
      <c r="N314" s="9">
        <v>1.0589E-4</v>
      </c>
      <c r="O314" s="9">
        <v>8.7769999999999995E-5</v>
      </c>
      <c r="P314" s="9">
        <v>8.7750000000000005E-5</v>
      </c>
      <c r="Q314" s="9">
        <v>8.8399999999999994E-5</v>
      </c>
      <c r="R314" s="10">
        <v>1.984519826354598E-4</v>
      </c>
      <c r="S314" s="10">
        <v>1.591648063748243E-4</v>
      </c>
      <c r="T314" s="10">
        <v>0</v>
      </c>
      <c r="U314" s="10">
        <v>1.9075E-4</v>
      </c>
      <c r="V314" s="25"/>
      <c r="W314" s="25"/>
      <c r="X314" s="25"/>
      <c r="Y314" s="25"/>
      <c r="Z314" s="25"/>
      <c r="AA314" s="25"/>
    </row>
    <row r="315" spans="1:27" x14ac:dyDescent="0.35">
      <c r="A315" s="5">
        <v>311</v>
      </c>
      <c r="B315" s="5">
        <v>13</v>
      </c>
      <c r="C315" s="5">
        <v>1</v>
      </c>
      <c r="D315" s="25">
        <v>1.1416E-4</v>
      </c>
      <c r="E315" s="25">
        <v>1.1293E-4</v>
      </c>
      <c r="F315" s="25">
        <v>1.1979E-4</v>
      </c>
      <c r="G315" s="25">
        <v>5.2750000000000001E-5</v>
      </c>
      <c r="H315" s="25">
        <v>4.4610000000000001E-5</v>
      </c>
      <c r="I315" s="9">
        <v>1.3077999999999999E-4</v>
      </c>
      <c r="J315" s="9">
        <v>1.1992E-4</v>
      </c>
      <c r="K315" s="9">
        <v>2.522E-4</v>
      </c>
      <c r="L315" s="9">
        <v>9.1429999999999997E-5</v>
      </c>
      <c r="M315" s="9">
        <v>9.8579999999999995E-5</v>
      </c>
      <c r="N315" s="9">
        <v>1.0007E-4</v>
      </c>
      <c r="O315" s="9">
        <v>8.53E-5</v>
      </c>
      <c r="P315" s="9">
        <v>7.5879999999999999E-5</v>
      </c>
      <c r="Q315" s="9">
        <v>6.7219999999999997E-5</v>
      </c>
      <c r="R315" s="10">
        <v>1.9774759246194527E-4</v>
      </c>
      <c r="S315" s="10">
        <v>1.8243437372506536E-4</v>
      </c>
      <c r="T315" s="10">
        <v>0</v>
      </c>
      <c r="U315" s="10">
        <v>1.9075E-4</v>
      </c>
      <c r="V315" s="25"/>
      <c r="W315" s="25"/>
      <c r="X315" s="25"/>
      <c r="Y315" s="25"/>
      <c r="Z315" s="25"/>
      <c r="AA315" s="25"/>
    </row>
    <row r="316" spans="1:27" x14ac:dyDescent="0.35">
      <c r="A316" s="5">
        <v>312</v>
      </c>
      <c r="B316" s="5">
        <v>13</v>
      </c>
      <c r="C316" s="5">
        <v>1</v>
      </c>
      <c r="D316" s="25">
        <v>1.1415000000000001E-4</v>
      </c>
      <c r="E316" s="25">
        <v>1.1495E-4</v>
      </c>
      <c r="F316" s="25">
        <v>1.1484000000000001E-4</v>
      </c>
      <c r="G316" s="25">
        <v>5.9389999999999999E-5</v>
      </c>
      <c r="H316" s="25">
        <v>4.5229999999999999E-5</v>
      </c>
      <c r="I316" s="9">
        <v>1.3011000000000001E-4</v>
      </c>
      <c r="J316" s="9">
        <v>1.1198E-4</v>
      </c>
      <c r="K316" s="9">
        <v>2.5008000000000002E-4</v>
      </c>
      <c r="L316" s="9">
        <v>8.6890000000000003E-5</v>
      </c>
      <c r="M316" s="9">
        <v>8.7609999999999996E-5</v>
      </c>
      <c r="N316" s="9">
        <v>9.0829999999999996E-5</v>
      </c>
      <c r="O316" s="9">
        <v>7.8960000000000003E-5</v>
      </c>
      <c r="P316" s="9">
        <v>6.847E-5</v>
      </c>
      <c r="Q316" s="9">
        <v>5.8610000000000003E-5</v>
      </c>
      <c r="R316" s="10">
        <v>1.9571570612790198E-4</v>
      </c>
      <c r="S316" s="10">
        <v>1.7432809366900142E-4</v>
      </c>
      <c r="T316" s="10">
        <v>0</v>
      </c>
      <c r="U316" s="10">
        <v>1.9075E-4</v>
      </c>
      <c r="V316" s="25"/>
      <c r="W316" s="25"/>
      <c r="X316" s="25"/>
      <c r="Y316" s="25"/>
      <c r="Z316" s="25"/>
      <c r="AA316" s="25"/>
    </row>
    <row r="317" spans="1:27" x14ac:dyDescent="0.35">
      <c r="A317" s="5">
        <v>313</v>
      </c>
      <c r="B317" s="5">
        <v>14</v>
      </c>
      <c r="C317" s="5">
        <v>1</v>
      </c>
      <c r="D317" s="25">
        <v>1.1416E-4</v>
      </c>
      <c r="E317" s="25">
        <v>1.0508E-4</v>
      </c>
      <c r="F317" s="25">
        <v>1.2039E-4</v>
      </c>
      <c r="G317" s="25">
        <v>6.0399999999999998E-5</v>
      </c>
      <c r="H317" s="25">
        <v>1.348E-5</v>
      </c>
      <c r="I317" s="9">
        <v>1.2349999999999999E-4</v>
      </c>
      <c r="J317" s="9">
        <v>1.048E-4</v>
      </c>
      <c r="K317" s="9">
        <v>2.2677E-4</v>
      </c>
      <c r="L317" s="9">
        <v>8.0489999999999997E-5</v>
      </c>
      <c r="M317" s="9">
        <v>7.8239999999999996E-5</v>
      </c>
      <c r="N317" s="9">
        <v>8.1329999999999996E-5</v>
      </c>
      <c r="O317" s="9">
        <v>6.8050000000000001E-5</v>
      </c>
      <c r="P317" s="9">
        <v>6.0590000000000001E-5</v>
      </c>
      <c r="Q317" s="9">
        <v>5.3440000000000003E-5</v>
      </c>
      <c r="R317" s="10">
        <v>1.8863120345020433E-4</v>
      </c>
      <c r="S317" s="10">
        <v>1.7695137428295942E-4</v>
      </c>
      <c r="T317" s="10">
        <v>0</v>
      </c>
      <c r="U317" s="10">
        <v>1.9049E-4</v>
      </c>
      <c r="V317" s="25"/>
      <c r="W317" s="25"/>
      <c r="X317" s="25"/>
      <c r="Y317" s="25"/>
      <c r="Z317" s="25"/>
      <c r="AA317" s="25"/>
    </row>
    <row r="318" spans="1:27" x14ac:dyDescent="0.35">
      <c r="A318" s="5">
        <v>314</v>
      </c>
      <c r="B318" s="5">
        <v>14</v>
      </c>
      <c r="C318" s="5">
        <v>1</v>
      </c>
      <c r="D318" s="25">
        <v>1.1415000000000001E-4</v>
      </c>
      <c r="E318" s="25">
        <v>1.0823E-4</v>
      </c>
      <c r="F318" s="25">
        <v>1.0719E-4</v>
      </c>
      <c r="G318" s="25">
        <v>5.9219999999999999E-5</v>
      </c>
      <c r="H318" s="25">
        <v>1.482E-5</v>
      </c>
      <c r="I318" s="9">
        <v>1.1762E-4</v>
      </c>
      <c r="J318" s="9">
        <v>9.9079999999999993E-5</v>
      </c>
      <c r="K318" s="9">
        <v>2.6915000000000001E-4</v>
      </c>
      <c r="L318" s="9">
        <v>7.0950000000000003E-5</v>
      </c>
      <c r="M318" s="9">
        <v>6.9679999999999997E-5</v>
      </c>
      <c r="N318" s="9">
        <v>7.2180000000000003E-5</v>
      </c>
      <c r="O318" s="9">
        <v>3.447E-5</v>
      </c>
      <c r="P318" s="9">
        <v>4.5559999999999997E-5</v>
      </c>
      <c r="Q318" s="9">
        <v>5.5840000000000001E-5</v>
      </c>
      <c r="R318" s="10">
        <v>1.9360898505185197E-4</v>
      </c>
      <c r="S318" s="10">
        <v>1.8193221437676191E-4</v>
      </c>
      <c r="T318" s="10">
        <v>0</v>
      </c>
      <c r="U318" s="10">
        <v>1.9049E-4</v>
      </c>
      <c r="V318" s="25"/>
      <c r="W318" s="25"/>
      <c r="X318" s="25"/>
      <c r="Y318" s="25"/>
      <c r="Z318" s="25"/>
      <c r="AA318" s="25"/>
    </row>
    <row r="319" spans="1:27" x14ac:dyDescent="0.35">
      <c r="A319" s="5">
        <v>315</v>
      </c>
      <c r="B319" s="5">
        <v>14</v>
      </c>
      <c r="C319" s="5">
        <v>1</v>
      </c>
      <c r="D319" s="25">
        <v>1.1416E-4</v>
      </c>
      <c r="E319" s="25">
        <v>1.0538E-4</v>
      </c>
      <c r="F319" s="25">
        <v>1.0700999999999999E-4</v>
      </c>
      <c r="G319" s="25">
        <v>5.7620000000000001E-5</v>
      </c>
      <c r="H319" s="25">
        <v>1.3040000000000001E-5</v>
      </c>
      <c r="I319" s="9">
        <v>1.1187E-4</v>
      </c>
      <c r="J319" s="9">
        <v>9.6529999999999999E-5</v>
      </c>
      <c r="K319" s="9">
        <v>2.3524E-4</v>
      </c>
      <c r="L319" s="9">
        <v>4.2750000000000002E-5</v>
      </c>
      <c r="M319" s="9">
        <v>5.8980000000000001E-5</v>
      </c>
      <c r="N319" s="9">
        <v>6.5480000000000003E-5</v>
      </c>
      <c r="O319" s="9">
        <v>2.1160000000000001E-5</v>
      </c>
      <c r="P319" s="9">
        <v>4.18E-5</v>
      </c>
      <c r="Q319" s="9">
        <v>6.1149999999999996E-5</v>
      </c>
      <c r="R319" s="10">
        <v>2.0500527780356468E-4</v>
      </c>
      <c r="S319" s="10">
        <v>1.8587671003305817E-4</v>
      </c>
      <c r="T319" s="10">
        <v>0</v>
      </c>
      <c r="U319" s="10">
        <v>1.9049E-4</v>
      </c>
      <c r="V319" s="25"/>
      <c r="W319" s="25"/>
      <c r="X319" s="25"/>
      <c r="Y319" s="25"/>
      <c r="Z319" s="25"/>
      <c r="AA319" s="25"/>
    </row>
    <row r="320" spans="1:27" x14ac:dyDescent="0.35">
      <c r="A320" s="5">
        <v>316</v>
      </c>
      <c r="B320" s="5">
        <v>14</v>
      </c>
      <c r="C320" s="5">
        <v>1</v>
      </c>
      <c r="D320" s="25">
        <v>1.1415000000000001E-4</v>
      </c>
      <c r="E320" s="25">
        <v>1.0466E-4</v>
      </c>
      <c r="F320" s="25">
        <v>1.1938999999999999E-4</v>
      </c>
      <c r="G320" s="25">
        <v>5.2389999999999998E-5</v>
      </c>
      <c r="H320" s="25">
        <v>1.311E-5</v>
      </c>
      <c r="I320" s="9">
        <v>1.0866000000000001E-4</v>
      </c>
      <c r="J320" s="9">
        <v>9.5680000000000005E-5</v>
      </c>
      <c r="K320" s="9">
        <v>2.7339999999999998E-4</v>
      </c>
      <c r="L320" s="9">
        <v>2.6659999999999999E-5</v>
      </c>
      <c r="M320" s="9">
        <v>5.0229999999999998E-5</v>
      </c>
      <c r="N320" s="9">
        <v>6.177E-5</v>
      </c>
      <c r="O320" s="9">
        <v>2.0639999999999999E-5</v>
      </c>
      <c r="P320" s="9">
        <v>5.0989999999999998E-5</v>
      </c>
      <c r="Q320" s="9">
        <v>7.9880000000000001E-5</v>
      </c>
      <c r="R320" s="10">
        <v>2.0778056406670499E-4</v>
      </c>
      <c r="S320" s="10">
        <v>1.8994507146789281E-4</v>
      </c>
      <c r="T320" s="10">
        <v>0</v>
      </c>
      <c r="U320" s="10">
        <v>1.9049E-4</v>
      </c>
      <c r="V320" s="25"/>
      <c r="W320" s="25"/>
      <c r="X320" s="25"/>
      <c r="Y320" s="25"/>
      <c r="Z320" s="25"/>
      <c r="AA320" s="25"/>
    </row>
    <row r="321" spans="1:27" x14ac:dyDescent="0.35">
      <c r="A321" s="5">
        <v>317</v>
      </c>
      <c r="B321" s="5">
        <v>14</v>
      </c>
      <c r="C321" s="5">
        <v>1</v>
      </c>
      <c r="D321" s="25">
        <v>1.1416E-4</v>
      </c>
      <c r="E321" s="25">
        <v>1.0931E-4</v>
      </c>
      <c r="F321" s="25">
        <v>1.1616E-4</v>
      </c>
      <c r="G321" s="25">
        <v>5.736E-5</v>
      </c>
      <c r="H321" s="25">
        <v>1.5590000000000002E-5</v>
      </c>
      <c r="I321" s="9">
        <v>1.088E-4</v>
      </c>
      <c r="J321" s="9">
        <v>9.6069999999999993E-5</v>
      </c>
      <c r="K321" s="9">
        <v>2.6703000000000002E-4</v>
      </c>
      <c r="L321" s="9">
        <v>2.2359999999999999E-5</v>
      </c>
      <c r="M321" s="9">
        <v>4.8470000000000002E-5</v>
      </c>
      <c r="N321" s="9">
        <v>6.4179999999999999E-5</v>
      </c>
      <c r="O321" s="9">
        <v>2.2909999999999999E-5</v>
      </c>
      <c r="P321" s="9">
        <v>5.9490000000000001E-5</v>
      </c>
      <c r="Q321" s="9">
        <v>9.4549999999999994E-5</v>
      </c>
      <c r="R321" s="10">
        <v>2.0852022170541104E-4</v>
      </c>
      <c r="S321" s="10">
        <v>1.9028861291405097E-4</v>
      </c>
      <c r="T321" s="10">
        <v>0</v>
      </c>
      <c r="U321" s="10">
        <v>1.9049E-4</v>
      </c>
      <c r="V321" s="25"/>
      <c r="W321" s="25"/>
      <c r="X321" s="25"/>
      <c r="Y321" s="25"/>
      <c r="Z321" s="25"/>
      <c r="AA321" s="25"/>
    </row>
    <row r="322" spans="1:27" x14ac:dyDescent="0.35">
      <c r="A322" s="5">
        <v>318</v>
      </c>
      <c r="B322" s="5">
        <v>14</v>
      </c>
      <c r="C322" s="5">
        <v>1</v>
      </c>
      <c r="D322" s="25">
        <v>1.1415000000000001E-4</v>
      </c>
      <c r="E322" s="25">
        <v>1.0626E-4</v>
      </c>
      <c r="F322" s="25">
        <v>1.0613E-4</v>
      </c>
      <c r="G322" s="25">
        <v>1.1052000000000001E-4</v>
      </c>
      <c r="H322" s="25">
        <v>2.7869999999999999E-5</v>
      </c>
      <c r="I322" s="9">
        <v>1.1336E-4</v>
      </c>
      <c r="J322" s="9">
        <v>1.004E-4</v>
      </c>
      <c r="K322" s="9">
        <v>3.0306000000000002E-4</v>
      </c>
      <c r="L322" s="9">
        <v>2.2719999999999999E-5</v>
      </c>
      <c r="M322" s="9">
        <v>5.2330000000000002E-5</v>
      </c>
      <c r="N322" s="9">
        <v>7.0959999999999998E-5</v>
      </c>
      <c r="O322" s="9">
        <v>2.8920000000000001E-5</v>
      </c>
      <c r="P322" s="9">
        <v>6.8319999999999996E-5</v>
      </c>
      <c r="Q322" s="9">
        <v>1.0632E-4</v>
      </c>
      <c r="R322" s="10">
        <v>2.1199729229646143E-4</v>
      </c>
      <c r="S322" s="10">
        <v>1.9028633362418233E-4</v>
      </c>
      <c r="T322" s="10">
        <v>0</v>
      </c>
      <c r="U322" s="10">
        <v>1.9049E-4</v>
      </c>
      <c r="V322" s="25"/>
      <c r="W322" s="25"/>
      <c r="X322" s="25"/>
      <c r="Y322" s="25"/>
      <c r="Z322" s="25"/>
      <c r="AA322" s="25"/>
    </row>
    <row r="323" spans="1:27" x14ac:dyDescent="0.35">
      <c r="A323" s="5">
        <v>319</v>
      </c>
      <c r="B323" s="5">
        <v>14</v>
      </c>
      <c r="C323" s="5">
        <v>1</v>
      </c>
      <c r="D323" s="25">
        <v>1.1416E-4</v>
      </c>
      <c r="E323" s="25">
        <v>1.1215E-4</v>
      </c>
      <c r="F323" s="25">
        <v>1.1268E-4</v>
      </c>
      <c r="G323" s="25">
        <v>1.0908000000000001E-4</v>
      </c>
      <c r="H323" s="25">
        <v>2.7330000000000001E-5</v>
      </c>
      <c r="I323" s="9">
        <v>1.2668E-4</v>
      </c>
      <c r="J323" s="9">
        <v>1.1223E-4</v>
      </c>
      <c r="K323" s="9">
        <v>3.2214E-4</v>
      </c>
      <c r="L323" s="9">
        <v>2.745E-5</v>
      </c>
      <c r="M323" s="9">
        <v>5.923E-5</v>
      </c>
      <c r="N323" s="9">
        <v>8.0539999999999998E-5</v>
      </c>
      <c r="O323" s="9">
        <v>4.6069999999999998E-5</v>
      </c>
      <c r="P323" s="9">
        <v>7.996E-5</v>
      </c>
      <c r="Q323" s="9">
        <v>1.1294999999999999E-4</v>
      </c>
      <c r="R323" s="10">
        <v>2.1240259335849078E-4</v>
      </c>
      <c r="S323" s="10">
        <v>1.9024964101258562E-4</v>
      </c>
      <c r="T323" s="10">
        <v>0</v>
      </c>
      <c r="U323" s="10">
        <v>1.9049E-4</v>
      </c>
      <c r="V323" s="25"/>
      <c r="W323" s="25"/>
      <c r="X323" s="25"/>
      <c r="Y323" s="25"/>
      <c r="Z323" s="25"/>
      <c r="AA323" s="25"/>
    </row>
    <row r="324" spans="1:27" x14ac:dyDescent="0.35">
      <c r="A324" s="5">
        <v>320</v>
      </c>
      <c r="B324" s="5">
        <v>14</v>
      </c>
      <c r="C324" s="5">
        <v>1</v>
      </c>
      <c r="D324" s="25">
        <v>1.1415000000000001E-4</v>
      </c>
      <c r="E324" s="25">
        <v>1.0935E-4</v>
      </c>
      <c r="F324" s="25">
        <v>1.0768999999999999E-4</v>
      </c>
      <c r="G324" s="25">
        <v>1.6409000000000001E-4</v>
      </c>
      <c r="H324" s="25">
        <v>4.0609999999999999E-5</v>
      </c>
      <c r="I324" s="9">
        <v>1.3928000000000001E-4</v>
      </c>
      <c r="J324" s="9">
        <v>1.3244999999999999E-4</v>
      </c>
      <c r="K324" s="9">
        <v>3.3484999999999998E-4</v>
      </c>
      <c r="L324" s="9">
        <v>4.1829999999999998E-5</v>
      </c>
      <c r="M324" s="9">
        <v>6.8419999999999999E-5</v>
      </c>
      <c r="N324" s="9">
        <v>9.0799999999999998E-5</v>
      </c>
      <c r="O324" s="9">
        <v>6.8189999999999996E-5</v>
      </c>
      <c r="P324" s="9">
        <v>1.0254E-4</v>
      </c>
      <c r="Q324" s="9">
        <v>1.3653999999999999E-4</v>
      </c>
      <c r="R324" s="10">
        <v>2.1243974208421334E-4</v>
      </c>
      <c r="S324" s="10">
        <v>1.9022564219040025E-4</v>
      </c>
      <c r="T324" s="10">
        <v>0</v>
      </c>
      <c r="U324" s="10">
        <v>1.9049E-4</v>
      </c>
      <c r="V324" s="25"/>
      <c r="W324" s="25"/>
      <c r="X324" s="25"/>
      <c r="Y324" s="25"/>
      <c r="Z324" s="25"/>
      <c r="AA324" s="25"/>
    </row>
    <row r="325" spans="1:27" x14ac:dyDescent="0.35">
      <c r="A325" s="5">
        <v>321</v>
      </c>
      <c r="B325" s="5">
        <v>14</v>
      </c>
      <c r="C325" s="5">
        <v>1</v>
      </c>
      <c r="D325" s="25">
        <v>1.1416E-4</v>
      </c>
      <c r="E325" s="25">
        <v>1.0777000000000001E-4</v>
      </c>
      <c r="F325" s="25">
        <v>1.0901E-4</v>
      </c>
      <c r="G325" s="25">
        <v>1.6139999999999999E-4</v>
      </c>
      <c r="H325" s="25">
        <v>4.1510000000000001E-5</v>
      </c>
      <c r="I325" s="9">
        <v>1.4496999999999999E-4</v>
      </c>
      <c r="J325" s="9">
        <v>1.449E-4</v>
      </c>
      <c r="K325" s="9">
        <v>2.7127E-4</v>
      </c>
      <c r="L325" s="9">
        <v>6.2000000000000003E-5</v>
      </c>
      <c r="M325" s="9">
        <v>8.2990000000000003E-5</v>
      </c>
      <c r="N325" s="9">
        <v>1.0454999999999999E-4</v>
      </c>
      <c r="O325" s="9">
        <v>9.9859999999999996E-5</v>
      </c>
      <c r="P325" s="9">
        <v>1.3772E-4</v>
      </c>
      <c r="Q325" s="9">
        <v>1.7595999999999999E-4</v>
      </c>
      <c r="R325" s="10">
        <v>2.1242869885127909E-4</v>
      </c>
      <c r="S325" s="10">
        <v>1.9002290712577741E-4</v>
      </c>
      <c r="T325" s="10">
        <v>7.3389189378732771E-6</v>
      </c>
      <c r="U325" s="10">
        <v>1.9049E-4</v>
      </c>
      <c r="V325" s="25"/>
      <c r="W325" s="25"/>
      <c r="X325" s="25"/>
      <c r="Y325" s="25"/>
      <c r="Z325" s="25"/>
      <c r="AA325" s="25"/>
    </row>
    <row r="326" spans="1:27" x14ac:dyDescent="0.35">
      <c r="A326" s="5">
        <v>322</v>
      </c>
      <c r="B326" s="5">
        <v>14</v>
      </c>
      <c r="C326" s="5">
        <v>1</v>
      </c>
      <c r="D326" s="25">
        <v>1.1415000000000001E-4</v>
      </c>
      <c r="E326" s="25">
        <v>1.1132E-4</v>
      </c>
      <c r="F326" s="25">
        <v>1.0671999999999999E-4</v>
      </c>
      <c r="G326" s="25">
        <v>1.5709E-4</v>
      </c>
      <c r="H326" s="25">
        <v>4.1019999999999997E-5</v>
      </c>
      <c r="I326" s="9">
        <v>1.4608000000000001E-4</v>
      </c>
      <c r="J326" s="9">
        <v>1.4927000000000001E-4</v>
      </c>
      <c r="K326" s="9">
        <v>2.1617000000000001E-4</v>
      </c>
      <c r="L326" s="9">
        <v>9.1000000000000003E-5</v>
      </c>
      <c r="M326" s="9">
        <v>1.0637E-4</v>
      </c>
      <c r="N326" s="9">
        <v>1.2438999999999999E-4</v>
      </c>
      <c r="O326" s="9">
        <v>1.2915999999999999E-4</v>
      </c>
      <c r="P326" s="9">
        <v>1.5466000000000001E-4</v>
      </c>
      <c r="Q326" s="9">
        <v>1.8147000000000001E-4</v>
      </c>
      <c r="R326" s="10">
        <v>2.1216406628625099E-4</v>
      </c>
      <c r="S326" s="10">
        <v>1.8976165818382926E-4</v>
      </c>
      <c r="T326" s="10">
        <v>1.1122916448036839E-5</v>
      </c>
      <c r="U326" s="10">
        <v>1.9049E-4</v>
      </c>
      <c r="V326" s="25"/>
      <c r="W326" s="25"/>
      <c r="X326" s="25"/>
      <c r="Y326" s="25"/>
      <c r="Z326" s="25"/>
      <c r="AA326" s="25"/>
    </row>
    <row r="327" spans="1:27" x14ac:dyDescent="0.35">
      <c r="A327" s="5">
        <v>323</v>
      </c>
      <c r="B327" s="5">
        <v>14</v>
      </c>
      <c r="C327" s="5">
        <v>1</v>
      </c>
      <c r="D327" s="25">
        <v>1.1416E-4</v>
      </c>
      <c r="E327" s="25">
        <v>1.1209000000000001E-4</v>
      </c>
      <c r="F327" s="25">
        <v>1.069E-4</v>
      </c>
      <c r="G327" s="25">
        <v>1.6080000000000001E-4</v>
      </c>
      <c r="H327" s="25">
        <v>4.0250000000000003E-5</v>
      </c>
      <c r="I327" s="9">
        <v>1.4734000000000001E-4</v>
      </c>
      <c r="J327" s="9">
        <v>1.5051999999999999E-4</v>
      </c>
      <c r="K327" s="9">
        <v>1.8862999999999999E-4</v>
      </c>
      <c r="L327" s="9">
        <v>1.2006E-4</v>
      </c>
      <c r="M327" s="9">
        <v>1.2965000000000001E-4</v>
      </c>
      <c r="N327" s="9">
        <v>1.4233E-4</v>
      </c>
      <c r="O327" s="9">
        <v>1.3683E-4</v>
      </c>
      <c r="P327" s="9">
        <v>1.5658E-4</v>
      </c>
      <c r="Q327" s="9">
        <v>1.7792E-4</v>
      </c>
      <c r="R327" s="10">
        <v>2.1214942666879897E-4</v>
      </c>
      <c r="S327" s="10">
        <v>1.8973142606943622E-4</v>
      </c>
      <c r="T327" s="10">
        <v>1.3494278116401676E-4</v>
      </c>
      <c r="U327" s="10">
        <v>1.9049E-4</v>
      </c>
      <c r="V327" s="25"/>
      <c r="W327" s="25"/>
      <c r="X327" s="25"/>
      <c r="Y327" s="25"/>
      <c r="Z327" s="25"/>
      <c r="AA327" s="25"/>
    </row>
    <row r="328" spans="1:27" x14ac:dyDescent="0.35">
      <c r="A328" s="5">
        <v>324</v>
      </c>
      <c r="B328" s="5">
        <v>14</v>
      </c>
      <c r="C328" s="5">
        <v>1</v>
      </c>
      <c r="D328" s="25">
        <v>1.1415000000000001E-4</v>
      </c>
      <c r="E328" s="25">
        <v>1.1011E-4</v>
      </c>
      <c r="F328" s="25">
        <v>1.0801E-4</v>
      </c>
      <c r="G328" s="25">
        <v>1.5925999999999999E-4</v>
      </c>
      <c r="H328" s="25">
        <v>3.8930000000000002E-5</v>
      </c>
      <c r="I328" s="9">
        <v>1.4886000000000001E-4</v>
      </c>
      <c r="J328" s="9">
        <v>1.5082E-4</v>
      </c>
      <c r="K328" s="9">
        <v>1.6531E-4</v>
      </c>
      <c r="L328" s="9">
        <v>1.3245999999999999E-4</v>
      </c>
      <c r="M328" s="9">
        <v>1.4485999999999999E-4</v>
      </c>
      <c r="N328" s="9">
        <v>1.561E-4</v>
      </c>
      <c r="O328" s="9">
        <v>1.4014999999999999E-4</v>
      </c>
      <c r="P328" s="9">
        <v>1.5673999999999999E-4</v>
      </c>
      <c r="Q328" s="9">
        <v>1.7503000000000001E-4</v>
      </c>
      <c r="R328" s="10">
        <v>2.0244593394641103E-4</v>
      </c>
      <c r="S328" s="10">
        <v>1.7747774132116379E-4</v>
      </c>
      <c r="T328" s="10">
        <v>1.8849567866211628E-4</v>
      </c>
      <c r="U328" s="10">
        <v>1.9049E-4</v>
      </c>
      <c r="V328" s="25"/>
      <c r="W328" s="25"/>
      <c r="X328" s="25"/>
      <c r="Y328" s="25"/>
      <c r="Z328" s="25"/>
      <c r="AA328" s="25"/>
    </row>
    <row r="329" spans="1:27" x14ac:dyDescent="0.35">
      <c r="A329" s="5">
        <v>325</v>
      </c>
      <c r="B329" s="5">
        <v>14</v>
      </c>
      <c r="C329" s="5">
        <v>1</v>
      </c>
      <c r="D329" s="25">
        <v>1.1416E-4</v>
      </c>
      <c r="E329" s="25">
        <v>1.0826E-4</v>
      </c>
      <c r="F329" s="25">
        <v>1.1681E-4</v>
      </c>
      <c r="G329" s="25">
        <v>1.6558E-4</v>
      </c>
      <c r="H329" s="25">
        <v>4.1310000000000003E-5</v>
      </c>
      <c r="I329" s="9">
        <v>1.4554999999999999E-4</v>
      </c>
      <c r="J329" s="9">
        <v>1.4761E-4</v>
      </c>
      <c r="K329" s="9">
        <v>1.5259E-4</v>
      </c>
      <c r="L329" s="9">
        <v>1.383E-4</v>
      </c>
      <c r="M329" s="9">
        <v>1.5238E-4</v>
      </c>
      <c r="N329" s="9">
        <v>1.6579999999999999E-4</v>
      </c>
      <c r="O329" s="9">
        <v>1.3154E-4</v>
      </c>
      <c r="P329" s="9">
        <v>1.4904999999999999E-4</v>
      </c>
      <c r="Q329" s="9">
        <v>1.6804999999999999E-4</v>
      </c>
      <c r="R329" s="10">
        <v>2.0790196632264265E-4</v>
      </c>
      <c r="S329" s="10">
        <v>1.7616895887632384E-4</v>
      </c>
      <c r="T329" s="10">
        <v>9.7603379724039519E-5</v>
      </c>
      <c r="U329" s="10">
        <v>1.9049E-4</v>
      </c>
      <c r="V329" s="25"/>
      <c r="W329" s="25"/>
      <c r="X329" s="25"/>
      <c r="Y329" s="25"/>
      <c r="Z329" s="25"/>
      <c r="AA329" s="25"/>
    </row>
    <row r="330" spans="1:27" x14ac:dyDescent="0.35">
      <c r="A330" s="5">
        <v>326</v>
      </c>
      <c r="B330" s="5">
        <v>14</v>
      </c>
      <c r="C330" s="5">
        <v>1</v>
      </c>
      <c r="D330" s="25">
        <v>1.1415000000000001E-4</v>
      </c>
      <c r="E330" s="25">
        <v>1.0922E-4</v>
      </c>
      <c r="F330" s="25">
        <v>1.1315999999999999E-4</v>
      </c>
      <c r="G330" s="25">
        <v>1.606E-4</v>
      </c>
      <c r="H330" s="25">
        <v>4.0760000000000003E-5</v>
      </c>
      <c r="I330" s="9">
        <v>1.4423999999999999E-4</v>
      </c>
      <c r="J330" s="9">
        <v>1.4642E-4</v>
      </c>
      <c r="K330" s="9">
        <v>1.6531E-4</v>
      </c>
      <c r="L330" s="9">
        <v>1.3305000000000001E-4</v>
      </c>
      <c r="M330" s="9">
        <v>1.5265999999999999E-4</v>
      </c>
      <c r="N330" s="9">
        <v>1.7033E-4</v>
      </c>
      <c r="O330" s="9">
        <v>1.1296E-4</v>
      </c>
      <c r="P330" s="9">
        <v>1.3621999999999999E-4</v>
      </c>
      <c r="Q330" s="9">
        <v>1.6042000000000001E-4</v>
      </c>
      <c r="R330" s="10">
        <v>2.0774653410330122E-4</v>
      </c>
      <c r="S330" s="10">
        <v>1.7959346288869509E-4</v>
      </c>
      <c r="T330" s="10">
        <v>1.9420561212476221E-5</v>
      </c>
      <c r="U330" s="10">
        <v>1.9049E-4</v>
      </c>
      <c r="V330" s="25"/>
      <c r="W330" s="25"/>
      <c r="X330" s="25"/>
      <c r="Y330" s="25"/>
      <c r="Z330" s="25"/>
      <c r="AA330" s="25"/>
    </row>
    <row r="331" spans="1:27" x14ac:dyDescent="0.35">
      <c r="A331" s="5">
        <v>327</v>
      </c>
      <c r="B331" s="5">
        <v>14</v>
      </c>
      <c r="C331" s="5">
        <v>1</v>
      </c>
      <c r="D331" s="25">
        <v>1.1416E-4</v>
      </c>
      <c r="E331" s="25">
        <v>1.1179999999999999E-4</v>
      </c>
      <c r="F331" s="25">
        <v>1.0535E-4</v>
      </c>
      <c r="G331" s="25">
        <v>1.6456000000000001E-4</v>
      </c>
      <c r="H331" s="25">
        <v>4.002E-5</v>
      </c>
      <c r="I331" s="9">
        <v>1.4059000000000001E-4</v>
      </c>
      <c r="J331" s="9">
        <v>1.459E-4</v>
      </c>
      <c r="K331" s="9">
        <v>1.8861999999999999E-4</v>
      </c>
      <c r="L331" s="9">
        <v>1.1759E-4</v>
      </c>
      <c r="M331" s="9">
        <v>1.4655000000000001E-4</v>
      </c>
      <c r="N331" s="9">
        <v>1.6986E-4</v>
      </c>
      <c r="O331" s="9">
        <v>1.2761000000000001E-4</v>
      </c>
      <c r="P331" s="9">
        <v>1.3902000000000001E-4</v>
      </c>
      <c r="Q331" s="9">
        <v>1.5192E-4</v>
      </c>
      <c r="R331" s="10">
        <v>2.0783895294231703E-4</v>
      </c>
      <c r="S331" s="10">
        <v>1.8294127930803592E-4</v>
      </c>
      <c r="T331" s="10">
        <v>8.287463605219211E-5</v>
      </c>
      <c r="U331" s="10">
        <v>1.9049E-4</v>
      </c>
      <c r="V331" s="25"/>
      <c r="W331" s="25"/>
      <c r="X331" s="25"/>
      <c r="Y331" s="25"/>
      <c r="Z331" s="25"/>
      <c r="AA331" s="25"/>
    </row>
    <row r="332" spans="1:27" x14ac:dyDescent="0.35">
      <c r="A332" s="5">
        <v>328</v>
      </c>
      <c r="B332" s="5">
        <v>14</v>
      </c>
      <c r="C332" s="5">
        <v>1</v>
      </c>
      <c r="D332" s="25">
        <v>1.1415000000000001E-4</v>
      </c>
      <c r="E332" s="25">
        <v>1.0385E-4</v>
      </c>
      <c r="F332" s="25">
        <v>1.105E-4</v>
      </c>
      <c r="G332" s="25">
        <v>1.6406E-4</v>
      </c>
      <c r="H332" s="25">
        <v>3.9669999999999998E-5</v>
      </c>
      <c r="I332" s="9">
        <v>1.4119999999999999E-4</v>
      </c>
      <c r="J332" s="9">
        <v>1.4704E-4</v>
      </c>
      <c r="K332" s="9">
        <v>2.2889000000000001E-4</v>
      </c>
      <c r="L332" s="9">
        <v>1.2585999999999999E-4</v>
      </c>
      <c r="M332" s="9">
        <v>1.4210000000000001E-4</v>
      </c>
      <c r="N332" s="9">
        <v>1.6593000000000001E-4</v>
      </c>
      <c r="O332" s="9">
        <v>1.3452000000000001E-4</v>
      </c>
      <c r="P332" s="9">
        <v>1.2086E-4</v>
      </c>
      <c r="Q332" s="9">
        <v>1.0925E-4</v>
      </c>
      <c r="R332" s="10">
        <v>2.0954679594739072E-4</v>
      </c>
      <c r="S332" s="10">
        <v>1.866662622472461E-4</v>
      </c>
      <c r="T332" s="10">
        <v>9.6678591094873987E-5</v>
      </c>
      <c r="U332" s="10">
        <v>1.9049E-4</v>
      </c>
      <c r="V332" s="25"/>
      <c r="W332" s="25"/>
      <c r="X332" s="25"/>
      <c r="Y332" s="25"/>
      <c r="Z332" s="25"/>
      <c r="AA332" s="25"/>
    </row>
    <row r="333" spans="1:27" x14ac:dyDescent="0.35">
      <c r="A333" s="5">
        <v>329</v>
      </c>
      <c r="B333" s="5">
        <v>14</v>
      </c>
      <c r="C333" s="5">
        <v>1</v>
      </c>
      <c r="D333" s="25">
        <v>1.1416E-4</v>
      </c>
      <c r="E333" s="25">
        <v>1.0982E-4</v>
      </c>
      <c r="F333" s="25">
        <v>1.0239E-4</v>
      </c>
      <c r="G333" s="25">
        <v>1.5662E-4</v>
      </c>
      <c r="H333" s="25">
        <v>4.0219999999999998E-5</v>
      </c>
      <c r="I333" s="9">
        <v>1.4237000000000001E-4</v>
      </c>
      <c r="J333" s="9">
        <v>1.4966E-4</v>
      </c>
      <c r="K333" s="9">
        <v>2.7127E-4</v>
      </c>
      <c r="L333" s="9">
        <v>1.3234999999999999E-4</v>
      </c>
      <c r="M333" s="9">
        <v>1.3346000000000001E-4</v>
      </c>
      <c r="N333" s="9">
        <v>1.5218999999999999E-4</v>
      </c>
      <c r="O333" s="9">
        <v>1.4119999999999999E-4</v>
      </c>
      <c r="P333" s="9">
        <v>1.2296E-4</v>
      </c>
      <c r="Q333" s="9">
        <v>1.0702E-4</v>
      </c>
      <c r="R333" s="10">
        <v>2.0995312590604671E-4</v>
      </c>
      <c r="S333" s="10">
        <v>1.8663813370080489E-4</v>
      </c>
      <c r="T333" s="10">
        <v>0</v>
      </c>
      <c r="U333" s="10">
        <v>1.9049E-4</v>
      </c>
      <c r="V333" s="25"/>
      <c r="W333" s="25"/>
      <c r="X333" s="25"/>
      <c r="Y333" s="25"/>
      <c r="Z333" s="25"/>
      <c r="AA333" s="25"/>
    </row>
    <row r="334" spans="1:27" x14ac:dyDescent="0.35">
      <c r="A334" s="5">
        <v>330</v>
      </c>
      <c r="B334" s="5">
        <v>14</v>
      </c>
      <c r="C334" s="5">
        <v>1</v>
      </c>
      <c r="D334" s="25">
        <v>1.1415000000000001E-4</v>
      </c>
      <c r="E334" s="25">
        <v>1.0419E-4</v>
      </c>
      <c r="F334" s="25">
        <v>1.166E-4</v>
      </c>
      <c r="G334" s="25">
        <v>1.6631999999999999E-4</v>
      </c>
      <c r="H334" s="25">
        <v>4.1499999999999999E-5</v>
      </c>
      <c r="I334" s="9">
        <v>1.5008E-4</v>
      </c>
      <c r="J334" s="9">
        <v>1.5545000000000001E-4</v>
      </c>
      <c r="K334" s="9">
        <v>2.8399000000000002E-4</v>
      </c>
      <c r="L334" s="9">
        <v>1.3894999999999999E-4</v>
      </c>
      <c r="M334" s="9">
        <v>1.2750000000000001E-4</v>
      </c>
      <c r="N334" s="9">
        <v>1.3883999999999999E-4</v>
      </c>
      <c r="O334" s="9">
        <v>1.4159E-4</v>
      </c>
      <c r="P334" s="9">
        <v>1.2836E-4</v>
      </c>
      <c r="Q334" s="9">
        <v>1.1735000000000001E-4</v>
      </c>
      <c r="R334" s="10">
        <v>1.9223160355268457E-4</v>
      </c>
      <c r="S334" s="10">
        <v>1.8302680657871268E-4</v>
      </c>
      <c r="T334" s="10">
        <v>0</v>
      </c>
      <c r="U334" s="10">
        <v>1.9049E-4</v>
      </c>
      <c r="V334" s="25"/>
      <c r="W334" s="25"/>
      <c r="X334" s="25"/>
      <c r="Y334" s="25"/>
      <c r="Z334" s="25"/>
      <c r="AA334" s="25"/>
    </row>
    <row r="335" spans="1:27" x14ac:dyDescent="0.35">
      <c r="A335" s="5">
        <v>331</v>
      </c>
      <c r="B335" s="5">
        <v>14</v>
      </c>
      <c r="C335" s="5">
        <v>1</v>
      </c>
      <c r="D335" s="25">
        <v>1.1416E-4</v>
      </c>
      <c r="E335" s="25">
        <v>1.1378E-4</v>
      </c>
      <c r="F335" s="25">
        <v>9.8560000000000005E-5</v>
      </c>
      <c r="G335" s="25">
        <v>1.1178E-4</v>
      </c>
      <c r="H335" s="25">
        <v>2.781E-5</v>
      </c>
      <c r="I335" s="9">
        <v>1.5165999999999999E-4</v>
      </c>
      <c r="J335" s="9">
        <v>1.5033000000000001E-4</v>
      </c>
      <c r="K335" s="9">
        <v>3.0729999999999999E-4</v>
      </c>
      <c r="L335" s="9">
        <v>1.4090000000000001E-4</v>
      </c>
      <c r="M335" s="9">
        <v>1.2645000000000001E-4</v>
      </c>
      <c r="N335" s="9">
        <v>1.2972E-4</v>
      </c>
      <c r="O335" s="9">
        <v>1.4233E-4</v>
      </c>
      <c r="P335" s="9">
        <v>1.2341000000000001E-4</v>
      </c>
      <c r="Q335" s="9">
        <v>1.0682E-4</v>
      </c>
      <c r="R335" s="10">
        <v>1.8663392082229628E-4</v>
      </c>
      <c r="S335" s="10">
        <v>1.888288389054905E-4</v>
      </c>
      <c r="T335" s="10">
        <v>0</v>
      </c>
      <c r="U335" s="10">
        <v>1.9049E-4</v>
      </c>
      <c r="V335" s="25"/>
      <c r="W335" s="25"/>
      <c r="X335" s="25"/>
      <c r="Y335" s="25"/>
      <c r="Z335" s="25"/>
      <c r="AA335" s="25"/>
    </row>
    <row r="336" spans="1:27" x14ac:dyDescent="0.35">
      <c r="A336" s="5">
        <v>332</v>
      </c>
      <c r="B336" s="5">
        <v>14</v>
      </c>
      <c r="C336" s="5">
        <v>1</v>
      </c>
      <c r="D336" s="25">
        <v>1.1415000000000001E-4</v>
      </c>
      <c r="E336" s="25">
        <v>1.1315999999999999E-4</v>
      </c>
      <c r="F336" s="25">
        <v>1.1084E-4</v>
      </c>
      <c r="G336" s="25">
        <v>1.0914E-4</v>
      </c>
      <c r="H336" s="25">
        <v>2.7719999999999999E-5</v>
      </c>
      <c r="I336" s="9">
        <v>1.4416E-4</v>
      </c>
      <c r="J336" s="9">
        <v>1.4558E-4</v>
      </c>
      <c r="K336" s="9">
        <v>2.8186999999999998E-4</v>
      </c>
      <c r="L336" s="9">
        <v>1.4201E-4</v>
      </c>
      <c r="M336" s="9">
        <v>1.2535000000000001E-4</v>
      </c>
      <c r="N336" s="9">
        <v>1.206E-4</v>
      </c>
      <c r="O336" s="9">
        <v>1.4574999999999999E-4</v>
      </c>
      <c r="P336" s="9">
        <v>1.228E-4</v>
      </c>
      <c r="Q336" s="9">
        <v>1.0232E-4</v>
      </c>
      <c r="R336" s="10">
        <v>1.9854751335756111E-4</v>
      </c>
      <c r="S336" s="10">
        <v>1.9016864906293382E-4</v>
      </c>
      <c r="T336" s="10">
        <v>0</v>
      </c>
      <c r="U336" s="10">
        <v>1.9049E-4</v>
      </c>
      <c r="V336" s="25"/>
      <c r="W336" s="25"/>
      <c r="X336" s="25"/>
      <c r="Y336" s="25"/>
      <c r="Z336" s="25"/>
      <c r="AA336" s="25"/>
    </row>
    <row r="337" spans="1:27" x14ac:dyDescent="0.35">
      <c r="A337" s="5">
        <v>333</v>
      </c>
      <c r="B337" s="5">
        <v>14</v>
      </c>
      <c r="C337" s="5">
        <v>1</v>
      </c>
      <c r="D337" s="25">
        <v>1.1416E-4</v>
      </c>
      <c r="E337" s="25">
        <v>1.0713999999999999E-4</v>
      </c>
      <c r="F337" s="25">
        <v>1.0676E-4</v>
      </c>
      <c r="G337" s="25">
        <v>5.7059999999999999E-5</v>
      </c>
      <c r="H337" s="25">
        <v>1.489E-5</v>
      </c>
      <c r="I337" s="9">
        <v>1.3704E-4</v>
      </c>
      <c r="J337" s="9">
        <v>1.3863999999999999E-4</v>
      </c>
      <c r="K337" s="9">
        <v>2.9881999999999999E-4</v>
      </c>
      <c r="L337" s="9">
        <v>1.4494E-4</v>
      </c>
      <c r="M337" s="9">
        <v>1.2417E-4</v>
      </c>
      <c r="N337" s="9">
        <v>1.1307999999999999E-4</v>
      </c>
      <c r="O337" s="9">
        <v>8.5500000000000005E-5</v>
      </c>
      <c r="P337" s="9">
        <v>8.6929999999999996E-5</v>
      </c>
      <c r="Q337" s="9">
        <v>8.8939999999999999E-5</v>
      </c>
      <c r="R337" s="10">
        <v>2.0769819913482097E-4</v>
      </c>
      <c r="S337" s="10">
        <v>1.9028873582520298E-4</v>
      </c>
      <c r="T337" s="10">
        <v>0</v>
      </c>
      <c r="U337" s="10">
        <v>1.9049E-4</v>
      </c>
      <c r="V337" s="25"/>
      <c r="W337" s="25"/>
      <c r="X337" s="25"/>
      <c r="Y337" s="25"/>
      <c r="Z337" s="25"/>
      <c r="AA337" s="25"/>
    </row>
    <row r="338" spans="1:27" x14ac:dyDescent="0.35">
      <c r="A338" s="5">
        <v>334</v>
      </c>
      <c r="B338" s="5">
        <v>14</v>
      </c>
      <c r="C338" s="5">
        <v>1</v>
      </c>
      <c r="D338" s="25">
        <v>1.1415000000000001E-4</v>
      </c>
      <c r="E338" s="25">
        <v>1.0679E-4</v>
      </c>
      <c r="F338" s="25">
        <v>1.156E-4</v>
      </c>
      <c r="G338" s="25">
        <v>5.2630000000000003E-5</v>
      </c>
      <c r="H338" s="25">
        <v>1.5659999999999999E-5</v>
      </c>
      <c r="I338" s="9">
        <v>1.2975000000000001E-4</v>
      </c>
      <c r="J338" s="9">
        <v>1.3009E-4</v>
      </c>
      <c r="K338" s="9">
        <v>3.0306000000000002E-4</v>
      </c>
      <c r="L338" s="9">
        <v>9.8499999999999995E-5</v>
      </c>
      <c r="M338" s="9">
        <v>1.1043E-4</v>
      </c>
      <c r="N338" s="9">
        <v>1.0568E-4</v>
      </c>
      <c r="O338" s="9">
        <v>8.7200000000000005E-5</v>
      </c>
      <c r="P338" s="9">
        <v>8.7169999999999994E-5</v>
      </c>
      <c r="Q338" s="9">
        <v>8.7819999999999996E-5</v>
      </c>
      <c r="R338" s="10">
        <v>2.1128448458434E-4</v>
      </c>
      <c r="S338" s="10">
        <v>1.9028746866402851E-4</v>
      </c>
      <c r="T338" s="10">
        <v>0</v>
      </c>
      <c r="U338" s="10">
        <v>1.9049E-4</v>
      </c>
      <c r="V338" s="25"/>
      <c r="W338" s="25"/>
      <c r="X338" s="25"/>
      <c r="Y338" s="25"/>
      <c r="Z338" s="25"/>
      <c r="AA338" s="25"/>
    </row>
    <row r="339" spans="1:27" x14ac:dyDescent="0.35">
      <c r="A339" s="5">
        <v>335</v>
      </c>
      <c r="B339" s="5">
        <v>14</v>
      </c>
      <c r="C339" s="5">
        <v>1</v>
      </c>
      <c r="D339" s="25">
        <v>1.1416E-4</v>
      </c>
      <c r="E339" s="25">
        <v>1.0497000000000001E-4</v>
      </c>
      <c r="F339" s="25">
        <v>1.0919E-4</v>
      </c>
      <c r="G339" s="25">
        <v>5.7439999999999999E-5</v>
      </c>
      <c r="H339" s="25">
        <v>1.4800000000000001E-5</v>
      </c>
      <c r="I339" s="9">
        <v>1.3191E-4</v>
      </c>
      <c r="J339" s="9">
        <v>1.2105E-4</v>
      </c>
      <c r="K339" s="9">
        <v>3.0306000000000002E-4</v>
      </c>
      <c r="L339" s="9">
        <v>9.0970000000000005E-5</v>
      </c>
      <c r="M339" s="9">
        <v>9.8350000000000005E-5</v>
      </c>
      <c r="N339" s="9">
        <v>9.9829999999999998E-5</v>
      </c>
      <c r="O339" s="9">
        <v>8.5110000000000003E-5</v>
      </c>
      <c r="P339" s="9">
        <v>7.5710000000000005E-5</v>
      </c>
      <c r="Q339" s="9">
        <v>6.7070000000000007E-5</v>
      </c>
      <c r="R339" s="10">
        <v>2.1209169742259469E-4</v>
      </c>
      <c r="S339" s="10">
        <v>1.9029016935358299E-4</v>
      </c>
      <c r="T339" s="10">
        <v>0</v>
      </c>
      <c r="U339" s="10">
        <v>1.9049E-4</v>
      </c>
      <c r="V339" s="25"/>
      <c r="W339" s="25"/>
      <c r="X339" s="25"/>
      <c r="Y339" s="25"/>
      <c r="Z339" s="25"/>
      <c r="AA339" s="25"/>
    </row>
    <row r="340" spans="1:27" x14ac:dyDescent="0.35">
      <c r="A340" s="5">
        <v>336</v>
      </c>
      <c r="B340" s="5">
        <v>14</v>
      </c>
      <c r="C340" s="5">
        <v>1</v>
      </c>
      <c r="D340" s="25">
        <v>1.1415000000000001E-4</v>
      </c>
      <c r="E340" s="25">
        <v>1.1184E-4</v>
      </c>
      <c r="F340" s="25">
        <v>1.1073000000000001E-4</v>
      </c>
      <c r="G340" s="25">
        <v>5.5139999999999997E-5</v>
      </c>
      <c r="H340" s="25">
        <v>1.541E-5</v>
      </c>
      <c r="I340" s="9">
        <v>1.3168000000000001E-4</v>
      </c>
      <c r="J340" s="9">
        <v>1.1334E-4</v>
      </c>
      <c r="K340" s="9">
        <v>2.9881999999999999E-4</v>
      </c>
      <c r="L340" s="9">
        <v>8.666E-5</v>
      </c>
      <c r="M340" s="9">
        <v>8.7349999999999995E-5</v>
      </c>
      <c r="N340" s="9">
        <v>9.0630000000000005E-5</v>
      </c>
      <c r="O340" s="9">
        <v>7.8830000000000002E-5</v>
      </c>
      <c r="P340" s="9">
        <v>6.8360000000000003E-5</v>
      </c>
      <c r="Q340" s="9">
        <v>5.8510000000000001E-5</v>
      </c>
      <c r="R340" s="10">
        <v>2.1240173317480508E-4</v>
      </c>
      <c r="S340" s="10">
        <v>1.9029020759484994E-4</v>
      </c>
      <c r="T340" s="10">
        <v>0</v>
      </c>
      <c r="U340" s="10">
        <v>1.9049E-4</v>
      </c>
      <c r="V340" s="25"/>
      <c r="W340" s="25"/>
      <c r="X340" s="25"/>
      <c r="Y340" s="25"/>
      <c r="Z340" s="25"/>
      <c r="AA340" s="25"/>
    </row>
    <row r="341" spans="1:27" x14ac:dyDescent="0.35">
      <c r="A341" s="5">
        <v>337</v>
      </c>
      <c r="B341" s="5">
        <v>15</v>
      </c>
      <c r="C341" s="5">
        <v>1</v>
      </c>
      <c r="D341" s="25">
        <v>1.1416E-4</v>
      </c>
      <c r="E341" s="25">
        <v>1.1996E-4</v>
      </c>
      <c r="F341" s="25">
        <v>9.8330000000000002E-5</v>
      </c>
      <c r="G341" s="25">
        <v>6.2879999999999994E-5</v>
      </c>
      <c r="H341" s="25">
        <v>6.3739999999999996E-5</v>
      </c>
      <c r="I341" s="9">
        <v>1.2541000000000001E-4</v>
      </c>
      <c r="J341" s="9">
        <v>1.0614E-4</v>
      </c>
      <c r="K341" s="9">
        <v>3.2636999999999998E-4</v>
      </c>
      <c r="L341" s="9">
        <v>8.0329999999999998E-5</v>
      </c>
      <c r="M341" s="9">
        <v>7.8029999999999997E-5</v>
      </c>
      <c r="N341" s="9">
        <v>8.1149999999999994E-5</v>
      </c>
      <c r="O341" s="9">
        <v>5.5059999999999998E-5</v>
      </c>
      <c r="P341" s="9">
        <v>5.4469999999999999E-5</v>
      </c>
      <c r="Q341" s="9">
        <v>5.4049999999999999E-5</v>
      </c>
      <c r="R341" s="10">
        <v>2.1242160774911537E-4</v>
      </c>
      <c r="S341" s="10">
        <v>1.902394483873756E-4</v>
      </c>
      <c r="T341" s="10">
        <v>0</v>
      </c>
      <c r="U341" s="10">
        <v>1.8961999999999999E-4</v>
      </c>
      <c r="V341" s="25"/>
      <c r="W341" s="25"/>
      <c r="X341" s="25"/>
      <c r="Y341" s="25"/>
      <c r="Z341" s="25"/>
      <c r="AA341" s="25"/>
    </row>
    <row r="342" spans="1:27" x14ac:dyDescent="0.35">
      <c r="A342" s="5">
        <v>338</v>
      </c>
      <c r="B342" s="5">
        <v>15</v>
      </c>
      <c r="C342" s="5">
        <v>1</v>
      </c>
      <c r="D342" s="25">
        <v>1.1415000000000001E-4</v>
      </c>
      <c r="E342" s="25">
        <v>1.1353000000000001E-4</v>
      </c>
      <c r="F342" s="25">
        <v>9.9829999999999998E-5</v>
      </c>
      <c r="G342" s="25">
        <v>6.0010000000000003E-5</v>
      </c>
      <c r="H342" s="25">
        <v>7.3419999999999998E-5</v>
      </c>
      <c r="I342" s="9">
        <v>1.1945E-4</v>
      </c>
      <c r="J342" s="9">
        <v>1.0131E-4</v>
      </c>
      <c r="K342" s="9">
        <v>3.3061000000000001E-4</v>
      </c>
      <c r="L342" s="9">
        <v>6.0770000000000003E-5</v>
      </c>
      <c r="M342" s="9">
        <v>6.737E-5</v>
      </c>
      <c r="N342" s="9">
        <v>7.216E-5</v>
      </c>
      <c r="O342" s="9">
        <v>1.8430000000000001E-5</v>
      </c>
      <c r="P342" s="9">
        <v>3.8080000000000001E-5</v>
      </c>
      <c r="Q342" s="9">
        <v>5.6669999999999998E-5</v>
      </c>
      <c r="R342" s="10">
        <v>2.1244885775622809E-4</v>
      </c>
      <c r="S342" s="10">
        <v>1.8264521490892125E-4</v>
      </c>
      <c r="T342" s="10">
        <v>0</v>
      </c>
      <c r="U342" s="10">
        <v>1.8961999999999999E-4</v>
      </c>
      <c r="V342" s="25"/>
      <c r="W342" s="25"/>
      <c r="X342" s="25"/>
      <c r="Y342" s="25"/>
      <c r="Z342" s="25"/>
      <c r="AA342" s="25"/>
    </row>
    <row r="343" spans="1:27" x14ac:dyDescent="0.35">
      <c r="A343" s="5">
        <v>339</v>
      </c>
      <c r="B343" s="5">
        <v>15</v>
      </c>
      <c r="C343" s="5">
        <v>1</v>
      </c>
      <c r="D343" s="25">
        <v>1.1416E-4</v>
      </c>
      <c r="E343" s="25">
        <v>1.2433999999999999E-4</v>
      </c>
      <c r="F343" s="25">
        <v>1.0296E-4</v>
      </c>
      <c r="G343" s="25">
        <v>6.1619999999999996E-5</v>
      </c>
      <c r="H343" s="25">
        <v>6.4510000000000004E-5</v>
      </c>
      <c r="I343" s="9">
        <v>1.1572E-4</v>
      </c>
      <c r="J343" s="9">
        <v>9.8880000000000002E-5</v>
      </c>
      <c r="K343" s="9">
        <v>3.3062E-4</v>
      </c>
      <c r="L343" s="9">
        <v>2.8269999999999999E-5</v>
      </c>
      <c r="M343" s="9">
        <v>5.4219999999999999E-5</v>
      </c>
      <c r="N343" s="9">
        <v>6.5679999999999995E-5</v>
      </c>
      <c r="O343" s="9">
        <v>1.261E-5</v>
      </c>
      <c r="P343" s="9">
        <v>3.7499999999999997E-5</v>
      </c>
      <c r="Q343" s="9">
        <v>6.1130000000000006E-5</v>
      </c>
      <c r="R343" s="10">
        <v>2.1244936787709023E-4</v>
      </c>
      <c r="S343" s="10">
        <v>1.7553835300793613E-4</v>
      </c>
      <c r="T343" s="10">
        <v>0</v>
      </c>
      <c r="U343" s="10">
        <v>1.8961999999999999E-4</v>
      </c>
      <c r="V343" s="25"/>
      <c r="W343" s="25"/>
      <c r="X343" s="25"/>
      <c r="Y343" s="25"/>
      <c r="Z343" s="25"/>
      <c r="AA343" s="25"/>
    </row>
    <row r="344" spans="1:27" x14ac:dyDescent="0.35">
      <c r="A344" s="5">
        <v>340</v>
      </c>
      <c r="B344" s="5">
        <v>15</v>
      </c>
      <c r="C344" s="5">
        <v>1</v>
      </c>
      <c r="D344" s="25">
        <v>1.1415000000000001E-4</v>
      </c>
      <c r="E344" s="25">
        <v>1.1289E-4</v>
      </c>
      <c r="F344" s="25">
        <v>1.039E-4</v>
      </c>
      <c r="G344" s="25">
        <v>5.2540000000000002E-5</v>
      </c>
      <c r="H344" s="25">
        <v>6.5599999999999995E-5</v>
      </c>
      <c r="I344" s="9">
        <v>1.1312E-4</v>
      </c>
      <c r="J344" s="9">
        <v>9.7789999999999997E-5</v>
      </c>
      <c r="K344" s="9">
        <v>3.4120999999999999E-4</v>
      </c>
      <c r="L344" s="9">
        <v>1.6929999999999999E-5</v>
      </c>
      <c r="M344" s="9">
        <v>4.5030000000000001E-5</v>
      </c>
      <c r="N344" s="9">
        <v>6.1989999999999994E-5</v>
      </c>
      <c r="O344" s="9">
        <v>1.276E-5</v>
      </c>
      <c r="P344" s="9">
        <v>4.7469999999999998E-5</v>
      </c>
      <c r="Q344" s="9">
        <v>8.0740000000000003E-5</v>
      </c>
      <c r="R344" s="10">
        <v>2.1244936787709023E-4</v>
      </c>
      <c r="S344" s="10">
        <v>1.6295444748346867E-4</v>
      </c>
      <c r="T344" s="10">
        <v>0</v>
      </c>
      <c r="U344" s="10">
        <v>1.8961999999999999E-4</v>
      </c>
      <c r="V344" s="25"/>
      <c r="W344" s="25"/>
      <c r="X344" s="25"/>
      <c r="Y344" s="25"/>
      <c r="Z344" s="25"/>
      <c r="AA344" s="25"/>
    </row>
    <row r="345" spans="1:27" x14ac:dyDescent="0.35">
      <c r="A345" s="5">
        <v>341</v>
      </c>
      <c r="B345" s="5">
        <v>15</v>
      </c>
      <c r="C345" s="5">
        <v>1</v>
      </c>
      <c r="D345" s="25">
        <v>1.1416E-4</v>
      </c>
      <c r="E345" s="25">
        <v>1.2065000000000001E-4</v>
      </c>
      <c r="F345" s="25">
        <v>1.0219E-4</v>
      </c>
      <c r="G345" s="25">
        <v>5.872E-5</v>
      </c>
      <c r="H345" s="25">
        <v>6.7550000000000002E-5</v>
      </c>
      <c r="I345" s="9">
        <v>1.1230000000000001E-4</v>
      </c>
      <c r="J345" s="9">
        <v>9.8339999999999997E-5</v>
      </c>
      <c r="K345" s="9">
        <v>3.6240000000000003E-4</v>
      </c>
      <c r="L345" s="9">
        <v>1.3869999999999999E-5</v>
      </c>
      <c r="M345" s="9">
        <v>4.3869999999999998E-5</v>
      </c>
      <c r="N345" s="9">
        <v>6.4590000000000003E-5</v>
      </c>
      <c r="O345" s="9">
        <v>1.8179999999999999E-5</v>
      </c>
      <c r="P345" s="9">
        <v>5.6360000000000002E-5</v>
      </c>
      <c r="Q345" s="9">
        <v>9.3189999999999994E-5</v>
      </c>
      <c r="R345" s="10">
        <v>2.1244936787709023E-4</v>
      </c>
      <c r="S345" s="10">
        <v>1.5362246362645443E-4</v>
      </c>
      <c r="T345" s="10">
        <v>0</v>
      </c>
      <c r="U345" s="10">
        <v>1.8961999999999999E-4</v>
      </c>
      <c r="V345" s="25"/>
      <c r="W345" s="25"/>
      <c r="X345" s="25"/>
      <c r="Y345" s="25"/>
      <c r="Z345" s="25"/>
      <c r="AA345" s="25"/>
    </row>
    <row r="346" spans="1:27" x14ac:dyDescent="0.35">
      <c r="A346" s="5">
        <v>342</v>
      </c>
      <c r="B346" s="5">
        <v>15</v>
      </c>
      <c r="C346" s="5">
        <v>1</v>
      </c>
      <c r="D346" s="25">
        <v>1.1415000000000001E-4</v>
      </c>
      <c r="E346" s="25">
        <v>1.2066E-4</v>
      </c>
      <c r="F346" s="25">
        <v>1.0117E-4</v>
      </c>
      <c r="G346" s="25">
        <v>1.0601E-4</v>
      </c>
      <c r="H346" s="25">
        <v>1.2646000000000001E-4</v>
      </c>
      <c r="I346" s="9">
        <v>1.17E-4</v>
      </c>
      <c r="J346" s="9">
        <v>1.0198E-4</v>
      </c>
      <c r="K346" s="9">
        <v>3.6875999999999999E-4</v>
      </c>
      <c r="L346" s="9">
        <v>1.7090000000000001E-5</v>
      </c>
      <c r="M346" s="9">
        <v>4.8449999999999999E-5</v>
      </c>
      <c r="N346" s="9">
        <v>7.1030000000000003E-5</v>
      </c>
      <c r="O346" s="9">
        <v>4.6010000000000002E-5</v>
      </c>
      <c r="P346" s="9">
        <v>7.6619999999999995E-5</v>
      </c>
      <c r="Q346" s="9">
        <v>1.0669E-4</v>
      </c>
      <c r="R346" s="10">
        <v>2.1244936787709023E-4</v>
      </c>
      <c r="S346" s="10">
        <v>1.5790328536912032E-4</v>
      </c>
      <c r="T346" s="10">
        <v>0</v>
      </c>
      <c r="U346" s="10">
        <v>1.8961999999999999E-4</v>
      </c>
      <c r="V346" s="25"/>
      <c r="W346" s="25"/>
      <c r="X346" s="25"/>
      <c r="Y346" s="25"/>
      <c r="Z346" s="25"/>
      <c r="AA346" s="25"/>
    </row>
    <row r="347" spans="1:27" x14ac:dyDescent="0.35">
      <c r="A347" s="5">
        <v>343</v>
      </c>
      <c r="B347" s="5">
        <v>15</v>
      </c>
      <c r="C347" s="5">
        <v>1</v>
      </c>
      <c r="D347" s="25">
        <v>1.1416E-4</v>
      </c>
      <c r="E347" s="25">
        <v>1.1653E-4</v>
      </c>
      <c r="F347" s="25">
        <v>1.1197E-4</v>
      </c>
      <c r="G347" s="25">
        <v>1.1158999999999999E-4</v>
      </c>
      <c r="H347" s="25">
        <v>1.2695999999999999E-4</v>
      </c>
      <c r="I347" s="9">
        <v>1.3033000000000001E-4</v>
      </c>
      <c r="J347" s="9">
        <v>1.1396999999999999E-4</v>
      </c>
      <c r="K347" s="9">
        <v>3.6875999999999999E-4</v>
      </c>
      <c r="L347" s="9">
        <v>3.9499999999999998E-5</v>
      </c>
      <c r="M347" s="9">
        <v>5.9889999999999997E-5</v>
      </c>
      <c r="N347" s="9">
        <v>8.0630000000000006E-5</v>
      </c>
      <c r="O347" s="9">
        <v>1.2434999999999999E-4</v>
      </c>
      <c r="P347" s="9">
        <v>1.1742E-4</v>
      </c>
      <c r="Q347" s="9">
        <v>1.1247999999999999E-4</v>
      </c>
      <c r="R347" s="10">
        <v>2.1244936787709023E-4</v>
      </c>
      <c r="S347" s="10">
        <v>1.6128671115761079E-4</v>
      </c>
      <c r="T347" s="10">
        <v>0</v>
      </c>
      <c r="U347" s="10">
        <v>1.8961999999999999E-4</v>
      </c>
      <c r="V347" s="25"/>
      <c r="W347" s="25"/>
      <c r="X347" s="25"/>
      <c r="Y347" s="25"/>
      <c r="Z347" s="25"/>
      <c r="AA347" s="25"/>
    </row>
    <row r="348" spans="1:27" x14ac:dyDescent="0.35">
      <c r="A348" s="5">
        <v>344</v>
      </c>
      <c r="B348" s="5">
        <v>15</v>
      </c>
      <c r="C348" s="5">
        <v>1</v>
      </c>
      <c r="D348" s="25">
        <v>1.1415000000000001E-4</v>
      </c>
      <c r="E348" s="25">
        <v>1.2350999999999999E-4</v>
      </c>
      <c r="F348" s="25">
        <v>9.2629999999999999E-5</v>
      </c>
      <c r="G348" s="25">
        <v>1.6604E-4</v>
      </c>
      <c r="H348" s="25">
        <v>2.0125000000000001E-4</v>
      </c>
      <c r="I348" s="9">
        <v>1.4252000000000001E-4</v>
      </c>
      <c r="J348" s="9">
        <v>1.3239E-4</v>
      </c>
      <c r="K348" s="9">
        <v>3.6664E-4</v>
      </c>
      <c r="L348" s="9">
        <v>1.0506E-4</v>
      </c>
      <c r="M348" s="9">
        <v>8.3570000000000001E-5</v>
      </c>
      <c r="N348" s="9">
        <v>9.0719999999999999E-5</v>
      </c>
      <c r="O348" s="9">
        <v>2.2313000000000001E-4</v>
      </c>
      <c r="P348" s="9">
        <v>1.7767E-4</v>
      </c>
      <c r="Q348" s="9">
        <v>1.3725E-4</v>
      </c>
      <c r="R348" s="10">
        <v>2.1244936787709023E-4</v>
      </c>
      <c r="S348" s="10">
        <v>1.6708852126300186E-4</v>
      </c>
      <c r="T348" s="10">
        <v>0</v>
      </c>
      <c r="U348" s="10">
        <v>1.8961999999999999E-4</v>
      </c>
      <c r="V348" s="25"/>
      <c r="W348" s="25"/>
      <c r="X348" s="25"/>
      <c r="Y348" s="25"/>
      <c r="Z348" s="25"/>
      <c r="AA348" s="25"/>
    </row>
    <row r="349" spans="1:27" x14ac:dyDescent="0.35">
      <c r="A349" s="5">
        <v>345</v>
      </c>
      <c r="B349" s="5">
        <v>15</v>
      </c>
      <c r="C349" s="5">
        <v>1</v>
      </c>
      <c r="D349" s="25">
        <v>1.1416E-4</v>
      </c>
      <c r="E349" s="25">
        <v>1.2184999999999999E-4</v>
      </c>
      <c r="F349" s="25">
        <v>9.0920000000000004E-5</v>
      </c>
      <c r="G349" s="25">
        <v>1.6636999999999999E-4</v>
      </c>
      <c r="H349" s="25">
        <v>2.0298000000000001E-4</v>
      </c>
      <c r="I349" s="9">
        <v>1.4728000000000001E-4</v>
      </c>
      <c r="J349" s="9">
        <v>1.4501E-4</v>
      </c>
      <c r="K349" s="9">
        <v>3.5816999999999999E-4</v>
      </c>
      <c r="L349" s="9">
        <v>1.9536E-4</v>
      </c>
      <c r="M349" s="9">
        <v>1.2357000000000001E-4</v>
      </c>
      <c r="N349" s="9">
        <v>1.0459E-4</v>
      </c>
      <c r="O349" s="9">
        <v>2.1278000000000001E-4</v>
      </c>
      <c r="P349" s="9">
        <v>1.9220000000000001E-4</v>
      </c>
      <c r="Q349" s="9">
        <v>1.7602000000000001E-4</v>
      </c>
      <c r="R349" s="10">
        <v>2.1244936787709023E-4</v>
      </c>
      <c r="S349" s="10">
        <v>1.7778035895583345E-4</v>
      </c>
      <c r="T349" s="10">
        <v>2.5164431872522704E-5</v>
      </c>
      <c r="U349" s="10">
        <v>1.8961999999999999E-4</v>
      </c>
      <c r="V349" s="25"/>
      <c r="W349" s="25"/>
      <c r="X349" s="25"/>
      <c r="Y349" s="25"/>
      <c r="Z349" s="25"/>
      <c r="AA349" s="25"/>
    </row>
    <row r="350" spans="1:27" x14ac:dyDescent="0.35">
      <c r="A350" s="5">
        <v>346</v>
      </c>
      <c r="B350" s="5">
        <v>15</v>
      </c>
      <c r="C350" s="5">
        <v>1</v>
      </c>
      <c r="D350" s="25">
        <v>1.1415000000000001E-4</v>
      </c>
      <c r="E350" s="25">
        <v>1.2114E-4</v>
      </c>
      <c r="F350" s="25">
        <v>9.577E-5</v>
      </c>
      <c r="G350" s="25">
        <v>1.6700999999999999E-4</v>
      </c>
      <c r="H350" s="25">
        <v>1.9474999999999999E-4</v>
      </c>
      <c r="I350" s="9">
        <v>1.4888E-4</v>
      </c>
      <c r="J350" s="9">
        <v>1.4896000000000001E-4</v>
      </c>
      <c r="K350" s="9">
        <v>3.2636999999999998E-4</v>
      </c>
      <c r="L350" s="9">
        <v>2.0657999999999999E-4</v>
      </c>
      <c r="M350" s="9">
        <v>1.5843000000000001E-4</v>
      </c>
      <c r="N350" s="9">
        <v>1.2442E-4</v>
      </c>
      <c r="O350" s="9">
        <v>1.682E-4</v>
      </c>
      <c r="P350" s="9">
        <v>1.7327E-4</v>
      </c>
      <c r="Q350" s="9">
        <v>1.8123E-4</v>
      </c>
      <c r="R350" s="10">
        <v>2.1244936787709023E-4</v>
      </c>
      <c r="S350" s="10">
        <v>1.8814524615693446E-4</v>
      </c>
      <c r="T350" s="10">
        <v>4.175972140140147E-5</v>
      </c>
      <c r="U350" s="10">
        <v>1.8961999999999999E-4</v>
      </c>
      <c r="V350" s="25"/>
      <c r="W350" s="25"/>
      <c r="X350" s="25"/>
      <c r="Y350" s="25"/>
      <c r="Z350" s="25"/>
      <c r="AA350" s="25"/>
    </row>
    <row r="351" spans="1:27" x14ac:dyDescent="0.35">
      <c r="A351" s="5">
        <v>347</v>
      </c>
      <c r="B351" s="5">
        <v>15</v>
      </c>
      <c r="C351" s="5">
        <v>1</v>
      </c>
      <c r="D351" s="25">
        <v>1.1416E-4</v>
      </c>
      <c r="E351" s="25">
        <v>1.2437E-4</v>
      </c>
      <c r="F351" s="25">
        <v>9.9900000000000002E-5</v>
      </c>
      <c r="G351" s="25">
        <v>1.6363E-4</v>
      </c>
      <c r="H351" s="25">
        <v>1.928E-4</v>
      </c>
      <c r="I351" s="9">
        <v>1.5019E-4</v>
      </c>
      <c r="J351" s="9">
        <v>1.5103E-4</v>
      </c>
      <c r="K351" s="9">
        <v>2.8397999999999997E-4</v>
      </c>
      <c r="L351" s="9">
        <v>1.7674999999999999E-4</v>
      </c>
      <c r="M351" s="9">
        <v>1.7181E-4</v>
      </c>
      <c r="N351" s="9">
        <v>1.4234E-4</v>
      </c>
      <c r="O351" s="9">
        <v>1.7017000000000001E-4</v>
      </c>
      <c r="P351" s="9">
        <v>1.7394E-4</v>
      </c>
      <c r="Q351" s="9">
        <v>1.8066999999999999E-4</v>
      </c>
      <c r="R351" s="10">
        <v>2.1244936787709023E-4</v>
      </c>
      <c r="S351" s="10">
        <v>1.9019686457416018E-4</v>
      </c>
      <c r="T351" s="10">
        <v>8.6981036937661086E-5</v>
      </c>
      <c r="U351" s="10">
        <v>1.8961999999999999E-4</v>
      </c>
      <c r="V351" s="25"/>
      <c r="W351" s="25"/>
      <c r="X351" s="25"/>
      <c r="Y351" s="25"/>
      <c r="Z351" s="25"/>
      <c r="AA351" s="25"/>
    </row>
    <row r="352" spans="1:27" x14ac:dyDescent="0.35">
      <c r="A352" s="5">
        <v>348</v>
      </c>
      <c r="B352" s="5">
        <v>15</v>
      </c>
      <c r="C352" s="5">
        <v>1</v>
      </c>
      <c r="D352" s="25">
        <v>1.1415000000000001E-4</v>
      </c>
      <c r="E352" s="25">
        <v>1.2411E-4</v>
      </c>
      <c r="F352" s="25">
        <v>1.027E-4</v>
      </c>
      <c r="G352" s="25">
        <v>1.5622999999999999E-4</v>
      </c>
      <c r="H352" s="25">
        <v>1.9882E-4</v>
      </c>
      <c r="I352" s="9">
        <v>1.5067999999999999E-4</v>
      </c>
      <c r="J352" s="9">
        <v>1.5133E-4</v>
      </c>
      <c r="K352" s="9">
        <v>2.5642999999999998E-4</v>
      </c>
      <c r="L352" s="9">
        <v>1.7306999999999999E-4</v>
      </c>
      <c r="M352" s="9">
        <v>1.7482000000000001E-4</v>
      </c>
      <c r="N352" s="9">
        <v>1.5671000000000001E-4</v>
      </c>
      <c r="O352" s="9">
        <v>1.7081E-4</v>
      </c>
      <c r="P352" s="9">
        <v>1.7042000000000001E-4</v>
      </c>
      <c r="Q352" s="9">
        <v>1.7306999999999999E-4</v>
      </c>
      <c r="R352" s="10">
        <v>2.1244936787709023E-4</v>
      </c>
      <c r="S352" s="10">
        <v>1.9028777106725052E-4</v>
      </c>
      <c r="T352" s="10">
        <v>2.8354528428176291E-5</v>
      </c>
      <c r="U352" s="10">
        <v>1.8961999999999999E-4</v>
      </c>
      <c r="V352" s="25"/>
      <c r="W352" s="25"/>
      <c r="X352" s="25"/>
      <c r="Y352" s="25"/>
      <c r="Z352" s="25"/>
      <c r="AA352" s="25"/>
    </row>
    <row r="353" spans="1:27" x14ac:dyDescent="0.35">
      <c r="A353" s="5">
        <v>349</v>
      </c>
      <c r="B353" s="5">
        <v>15</v>
      </c>
      <c r="C353" s="5">
        <v>1</v>
      </c>
      <c r="D353" s="25">
        <v>1.1416E-4</v>
      </c>
      <c r="E353" s="25">
        <v>1.1889E-4</v>
      </c>
      <c r="F353" s="25">
        <v>9.5680000000000005E-5</v>
      </c>
      <c r="G353" s="25">
        <v>1.6132000000000001E-4</v>
      </c>
      <c r="H353" s="25">
        <v>1.917E-4</v>
      </c>
      <c r="I353" s="9">
        <v>1.4747999999999999E-4</v>
      </c>
      <c r="J353" s="9">
        <v>1.495E-4</v>
      </c>
      <c r="K353" s="9">
        <v>2.4159999999999999E-4</v>
      </c>
      <c r="L353" s="9">
        <v>1.7143E-4</v>
      </c>
      <c r="M353" s="9">
        <v>1.7354999999999999E-4</v>
      </c>
      <c r="N353" s="9">
        <v>1.6595999999999999E-4</v>
      </c>
      <c r="O353" s="9">
        <v>1.6364E-4</v>
      </c>
      <c r="P353" s="9">
        <v>1.6419000000000001E-4</v>
      </c>
      <c r="Q353" s="9">
        <v>1.6759000000000001E-4</v>
      </c>
      <c r="R353" s="10">
        <v>2.1244896306969768E-4</v>
      </c>
      <c r="S353" s="10">
        <v>1.8998826794929845E-4</v>
      </c>
      <c r="T353" s="10">
        <v>6.4268567577329566E-5</v>
      </c>
      <c r="U353" s="10">
        <v>1.8961999999999999E-4</v>
      </c>
      <c r="V353" s="25"/>
      <c r="W353" s="25"/>
      <c r="X353" s="25"/>
      <c r="Y353" s="25"/>
      <c r="Z353" s="25"/>
      <c r="AA353" s="25"/>
    </row>
    <row r="354" spans="1:27" x14ac:dyDescent="0.35">
      <c r="A354" s="5">
        <v>350</v>
      </c>
      <c r="B354" s="5">
        <v>15</v>
      </c>
      <c r="C354" s="5">
        <v>1</v>
      </c>
      <c r="D354" s="25">
        <v>1.1415000000000001E-4</v>
      </c>
      <c r="E354" s="25">
        <v>1.2281999999999999E-4</v>
      </c>
      <c r="F354" s="25">
        <v>1.0869E-4</v>
      </c>
      <c r="G354" s="25">
        <v>1.5794999999999999E-4</v>
      </c>
      <c r="H354" s="25">
        <v>2.0220000000000001E-4</v>
      </c>
      <c r="I354" s="9">
        <v>1.4663E-4</v>
      </c>
      <c r="J354" s="9">
        <v>1.484E-4</v>
      </c>
      <c r="K354" s="9">
        <v>2.3949E-4</v>
      </c>
      <c r="L354" s="9">
        <v>1.6513000000000001E-4</v>
      </c>
      <c r="M354" s="9">
        <v>1.6980000000000001E-4</v>
      </c>
      <c r="N354" s="9">
        <v>1.7034E-4</v>
      </c>
      <c r="O354" s="9">
        <v>1.7939E-4</v>
      </c>
      <c r="P354" s="9">
        <v>1.6797000000000001E-4</v>
      </c>
      <c r="Q354" s="9">
        <v>1.5998E-4</v>
      </c>
      <c r="R354" s="10">
        <v>2.1223242287634944E-4</v>
      </c>
      <c r="S354" s="10">
        <v>1.9026618849474116E-4</v>
      </c>
      <c r="T354" s="10">
        <v>3.6677626090666095E-5</v>
      </c>
      <c r="U354" s="10">
        <v>1.8961999999999999E-4</v>
      </c>
      <c r="V354" s="25"/>
      <c r="W354" s="25"/>
      <c r="X354" s="25"/>
      <c r="Y354" s="25"/>
      <c r="Z354" s="25"/>
      <c r="AA354" s="25"/>
    </row>
    <row r="355" spans="1:27" x14ac:dyDescent="0.35">
      <c r="A355" s="5">
        <v>351</v>
      </c>
      <c r="B355" s="5">
        <v>15</v>
      </c>
      <c r="C355" s="5">
        <v>1</v>
      </c>
      <c r="D355" s="25">
        <v>1.1416E-4</v>
      </c>
      <c r="E355" s="25">
        <v>1.1348E-4</v>
      </c>
      <c r="F355" s="25">
        <v>1.1237E-4</v>
      </c>
      <c r="G355" s="25">
        <v>1.6044E-4</v>
      </c>
      <c r="H355" s="25">
        <v>1.8903E-4</v>
      </c>
      <c r="I355" s="9">
        <v>1.4404000000000001E-4</v>
      </c>
      <c r="J355" s="9">
        <v>1.4684E-4</v>
      </c>
      <c r="K355" s="9">
        <v>2.4159999999999999E-4</v>
      </c>
      <c r="L355" s="9">
        <v>1.7641E-4</v>
      </c>
      <c r="M355" s="9">
        <v>1.6807000000000001E-4</v>
      </c>
      <c r="N355" s="9">
        <v>1.6972999999999999E-4</v>
      </c>
      <c r="O355" s="9">
        <v>1.8654000000000001E-4</v>
      </c>
      <c r="P355" s="9">
        <v>1.6805999999999999E-4</v>
      </c>
      <c r="Q355" s="9">
        <v>1.5330000000000001E-4</v>
      </c>
      <c r="R355" s="10">
        <v>2.1102853156594066E-4</v>
      </c>
      <c r="S355" s="10">
        <v>1.9029020759484994E-4</v>
      </c>
      <c r="T355" s="10">
        <v>2.3263948818090784E-5</v>
      </c>
      <c r="U355" s="10">
        <v>1.8961999999999999E-4</v>
      </c>
      <c r="V355" s="25"/>
      <c r="W355" s="25"/>
      <c r="X355" s="25"/>
      <c r="Y355" s="25"/>
      <c r="Z355" s="25"/>
      <c r="AA355" s="25"/>
    </row>
    <row r="356" spans="1:27" x14ac:dyDescent="0.35">
      <c r="A356" s="5">
        <v>352</v>
      </c>
      <c r="B356" s="5">
        <v>15</v>
      </c>
      <c r="C356" s="5">
        <v>1</v>
      </c>
      <c r="D356" s="25">
        <v>1.1415000000000001E-4</v>
      </c>
      <c r="E356" s="25">
        <v>1.1656E-4</v>
      </c>
      <c r="F356" s="25">
        <v>9.3670000000000003E-5</v>
      </c>
      <c r="G356" s="25">
        <v>1.6566000000000001E-4</v>
      </c>
      <c r="H356" s="25">
        <v>2.0209000000000001E-4</v>
      </c>
      <c r="I356" s="9">
        <v>1.4240999999999999E-4</v>
      </c>
      <c r="J356" s="9">
        <v>1.4568E-4</v>
      </c>
      <c r="K356" s="9">
        <v>2.6704000000000002E-4</v>
      </c>
      <c r="L356" s="9">
        <v>1.8400999999999999E-4</v>
      </c>
      <c r="M356" s="9">
        <v>1.6771000000000001E-4</v>
      </c>
      <c r="N356" s="9">
        <v>1.6605999999999999E-4</v>
      </c>
      <c r="O356" s="9">
        <v>2.0022E-4</v>
      </c>
      <c r="P356" s="9">
        <v>1.529E-4</v>
      </c>
      <c r="Q356" s="9">
        <v>1.1008E-4</v>
      </c>
      <c r="R356" s="10">
        <v>2.105690418667281E-4</v>
      </c>
      <c r="S356" s="10">
        <v>1.9029020759484994E-4</v>
      </c>
      <c r="T356" s="10">
        <v>1.1402898326591542E-5</v>
      </c>
      <c r="U356" s="10">
        <v>1.8961999999999999E-4</v>
      </c>
      <c r="V356" s="25"/>
      <c r="W356" s="25"/>
      <c r="X356" s="25"/>
      <c r="Y356" s="25"/>
      <c r="Z356" s="25"/>
      <c r="AA356" s="25"/>
    </row>
    <row r="357" spans="1:27" x14ac:dyDescent="0.35">
      <c r="A357" s="5">
        <v>353</v>
      </c>
      <c r="B357" s="5">
        <v>15</v>
      </c>
      <c r="C357" s="5">
        <v>1</v>
      </c>
      <c r="D357" s="25">
        <v>1.1416E-4</v>
      </c>
      <c r="E357" s="25">
        <v>1.2302999999999999E-4</v>
      </c>
      <c r="F357" s="25">
        <v>1.0870999999999999E-4</v>
      </c>
      <c r="G357" s="25">
        <v>1.5802000000000001E-4</v>
      </c>
      <c r="H357" s="25">
        <v>1.896E-4</v>
      </c>
      <c r="I357" s="9">
        <v>1.4255999999999999E-4</v>
      </c>
      <c r="J357" s="9">
        <v>1.4652E-4</v>
      </c>
      <c r="K357" s="9">
        <v>2.7763000000000001E-4</v>
      </c>
      <c r="L357" s="9">
        <v>1.964E-4</v>
      </c>
      <c r="M357" s="9">
        <v>1.6241000000000001E-4</v>
      </c>
      <c r="N357" s="9">
        <v>1.5243E-4</v>
      </c>
      <c r="O357" s="9">
        <v>2.1421E-4</v>
      </c>
      <c r="P357" s="9">
        <v>1.5760000000000001E-4</v>
      </c>
      <c r="Q357" s="9">
        <v>1.0601E-4</v>
      </c>
      <c r="R357" s="10">
        <v>2.1102075444365465E-4</v>
      </c>
      <c r="S357" s="10">
        <v>1.9029020759484994E-4</v>
      </c>
      <c r="T357" s="10">
        <v>0</v>
      </c>
      <c r="U357" s="10">
        <v>1.8961999999999999E-4</v>
      </c>
      <c r="V357" s="25"/>
      <c r="W357" s="25"/>
      <c r="X357" s="25"/>
      <c r="Y357" s="25"/>
      <c r="Z357" s="25"/>
      <c r="AA357" s="25"/>
    </row>
    <row r="358" spans="1:27" x14ac:dyDescent="0.35">
      <c r="A358" s="5">
        <v>354</v>
      </c>
      <c r="B358" s="5">
        <v>15</v>
      </c>
      <c r="C358" s="5">
        <v>1</v>
      </c>
      <c r="D358" s="25">
        <v>1.1415000000000001E-4</v>
      </c>
      <c r="E358" s="25">
        <v>1.1859E-4</v>
      </c>
      <c r="F358" s="25">
        <v>9.569E-5</v>
      </c>
      <c r="G358" s="25">
        <v>1.6411E-4</v>
      </c>
      <c r="H358" s="25">
        <v>1.9526999999999999E-4</v>
      </c>
      <c r="I358" s="9">
        <v>1.484E-4</v>
      </c>
      <c r="J358" s="9">
        <v>1.5279000000000001E-4</v>
      </c>
      <c r="K358" s="9">
        <v>2.8611000000000001E-4</v>
      </c>
      <c r="L358" s="9">
        <v>2.1002999999999999E-4</v>
      </c>
      <c r="M358" s="9">
        <v>1.5919E-4</v>
      </c>
      <c r="N358" s="9">
        <v>1.3888999999999999E-4</v>
      </c>
      <c r="O358" s="9">
        <v>2.0792E-4</v>
      </c>
      <c r="P358" s="9">
        <v>1.6048000000000001E-4</v>
      </c>
      <c r="Q358" s="9">
        <v>1.1773999999999999E-4</v>
      </c>
      <c r="R358" s="10">
        <v>2.1185733981002905E-4</v>
      </c>
      <c r="S358" s="10">
        <v>1.902893075904195E-4</v>
      </c>
      <c r="T358" s="10">
        <v>0</v>
      </c>
      <c r="U358" s="10">
        <v>1.8961999999999999E-4</v>
      </c>
      <c r="V358" s="25"/>
      <c r="W358" s="25"/>
      <c r="X358" s="25"/>
      <c r="Y358" s="25"/>
      <c r="Z358" s="25"/>
      <c r="AA358" s="25"/>
    </row>
    <row r="359" spans="1:27" x14ac:dyDescent="0.35">
      <c r="A359" s="5">
        <v>355</v>
      </c>
      <c r="B359" s="5">
        <v>15</v>
      </c>
      <c r="C359" s="5">
        <v>1</v>
      </c>
      <c r="D359" s="25">
        <v>1.1416E-4</v>
      </c>
      <c r="E359" s="25">
        <v>1.2014E-4</v>
      </c>
      <c r="F359" s="25">
        <v>1.0158999999999999E-4</v>
      </c>
      <c r="G359" s="25">
        <v>1.0921000000000001E-4</v>
      </c>
      <c r="H359" s="25">
        <v>1.3589E-4</v>
      </c>
      <c r="I359" s="9">
        <v>1.4755000000000001E-4</v>
      </c>
      <c r="J359" s="9">
        <v>1.4833000000000001E-4</v>
      </c>
      <c r="K359" s="9">
        <v>3.0093999999999997E-4</v>
      </c>
      <c r="L359" s="9">
        <v>2.0804999999999999E-4</v>
      </c>
      <c r="M359" s="9">
        <v>1.5896000000000001E-4</v>
      </c>
      <c r="N359" s="9">
        <v>1.2986000000000001E-4</v>
      </c>
      <c r="O359" s="9">
        <v>1.6499E-4</v>
      </c>
      <c r="P359" s="9">
        <v>1.3396999999999999E-4</v>
      </c>
      <c r="Q359" s="9">
        <v>1.0632999999999999E-4</v>
      </c>
      <c r="R359" s="10">
        <v>2.1244156163688899E-4</v>
      </c>
      <c r="S359" s="10">
        <v>1.9011358156237709E-4</v>
      </c>
      <c r="T359" s="10">
        <v>0</v>
      </c>
      <c r="U359" s="10">
        <v>1.8961999999999999E-4</v>
      </c>
      <c r="V359" s="25"/>
      <c r="W359" s="25"/>
      <c r="X359" s="25"/>
      <c r="Y359" s="25"/>
      <c r="Z359" s="25"/>
      <c r="AA359" s="25"/>
    </row>
    <row r="360" spans="1:27" x14ac:dyDescent="0.35">
      <c r="A360" s="5">
        <v>356</v>
      </c>
      <c r="B360" s="5">
        <v>15</v>
      </c>
      <c r="C360" s="5">
        <v>1</v>
      </c>
      <c r="D360" s="25">
        <v>1.1415000000000001E-4</v>
      </c>
      <c r="E360" s="25">
        <v>1.1286E-4</v>
      </c>
      <c r="F360" s="25">
        <v>1.0242E-4</v>
      </c>
      <c r="G360" s="25">
        <v>1.1483E-4</v>
      </c>
      <c r="H360" s="25">
        <v>1.3951999999999999E-4</v>
      </c>
      <c r="I360" s="9">
        <v>1.4132000000000001E-4</v>
      </c>
      <c r="J360" s="9">
        <v>1.4237000000000001E-4</v>
      </c>
      <c r="K360" s="9">
        <v>2.967E-4</v>
      </c>
      <c r="L360" s="9">
        <v>1.7459999999999999E-4</v>
      </c>
      <c r="M360" s="9">
        <v>1.5008E-4</v>
      </c>
      <c r="N360" s="9">
        <v>1.2063E-4</v>
      </c>
      <c r="O360" s="9">
        <v>1.2934000000000001E-4</v>
      </c>
      <c r="P360" s="9">
        <v>1.142E-4</v>
      </c>
      <c r="Q360" s="9">
        <v>1.013E-4</v>
      </c>
      <c r="R360" s="10">
        <v>2.1244936787709023E-4</v>
      </c>
      <c r="S360" s="10">
        <v>1.8931345583691922E-4</v>
      </c>
      <c r="T360" s="10">
        <v>0</v>
      </c>
      <c r="U360" s="10">
        <v>1.8961999999999999E-4</v>
      </c>
      <c r="V360" s="25"/>
      <c r="W360" s="25"/>
      <c r="X360" s="25"/>
      <c r="Y360" s="25"/>
      <c r="Z360" s="25"/>
      <c r="AA360" s="25"/>
    </row>
    <row r="361" spans="1:27" x14ac:dyDescent="0.35">
      <c r="A361" s="5">
        <v>357</v>
      </c>
      <c r="B361" s="5">
        <v>15</v>
      </c>
      <c r="C361" s="5">
        <v>1</v>
      </c>
      <c r="D361" s="25">
        <v>1.1416E-4</v>
      </c>
      <c r="E361" s="25">
        <v>1.1900000000000001E-4</v>
      </c>
      <c r="F361" s="25">
        <v>1.0621E-4</v>
      </c>
      <c r="G361" s="25">
        <v>5.533E-5</v>
      </c>
      <c r="H361" s="25">
        <v>7.0660000000000004E-5</v>
      </c>
      <c r="I361" s="9">
        <v>1.3464999999999999E-4</v>
      </c>
      <c r="J361" s="9">
        <v>1.3485E-4</v>
      </c>
      <c r="K361" s="9">
        <v>3.0729999999999999E-4</v>
      </c>
      <c r="L361" s="9">
        <v>1.4030999999999999E-4</v>
      </c>
      <c r="M361" s="9">
        <v>1.3469E-4</v>
      </c>
      <c r="N361" s="9">
        <v>1.1283E-4</v>
      </c>
      <c r="O361" s="9">
        <v>8.4569999999999998E-5</v>
      </c>
      <c r="P361" s="9">
        <v>8.5660000000000003E-5</v>
      </c>
      <c r="Q361" s="9">
        <v>8.7650000000000003E-5</v>
      </c>
      <c r="R361" s="10">
        <v>2.1244936787709023E-4</v>
      </c>
      <c r="S361" s="10">
        <v>1.8776736032572575E-4</v>
      </c>
      <c r="T361" s="10">
        <v>0</v>
      </c>
      <c r="U361" s="10">
        <v>1.8961999999999999E-4</v>
      </c>
      <c r="V361" s="25"/>
      <c r="W361" s="25"/>
      <c r="X361" s="25"/>
      <c r="Y361" s="25"/>
      <c r="Z361" s="25"/>
      <c r="AA361" s="25"/>
    </row>
    <row r="362" spans="1:27" x14ac:dyDescent="0.35">
      <c r="A362" s="5">
        <v>358</v>
      </c>
      <c r="B362" s="5">
        <v>15</v>
      </c>
      <c r="C362" s="5">
        <v>1</v>
      </c>
      <c r="D362" s="25">
        <v>1.1415000000000001E-4</v>
      </c>
      <c r="E362" s="25">
        <v>1.1443E-4</v>
      </c>
      <c r="F362" s="25">
        <v>1.0203E-4</v>
      </c>
      <c r="G362" s="25">
        <v>5.3100000000000003E-5</v>
      </c>
      <c r="H362" s="25">
        <v>6.3170000000000007E-5</v>
      </c>
      <c r="I362" s="9">
        <v>1.2858999999999999E-4</v>
      </c>
      <c r="J362" s="9">
        <v>1.2657E-4</v>
      </c>
      <c r="K362" s="9">
        <v>3.2002000000000002E-4</v>
      </c>
      <c r="L362" s="9">
        <v>9.7769999999999994E-5</v>
      </c>
      <c r="M362" s="9">
        <v>1.1307E-4</v>
      </c>
      <c r="N362" s="9">
        <v>1.0512E-4</v>
      </c>
      <c r="O362" s="9">
        <v>8.8549999999999998E-5</v>
      </c>
      <c r="P362" s="9">
        <v>8.8209999999999997E-5</v>
      </c>
      <c r="Q362" s="9">
        <v>8.8869999999999994E-5</v>
      </c>
      <c r="R362" s="10">
        <v>2.1244936787709023E-4</v>
      </c>
      <c r="S362" s="10">
        <v>1.8775788682528059E-4</v>
      </c>
      <c r="T362" s="10">
        <v>0</v>
      </c>
      <c r="U362" s="10">
        <v>1.8961999999999999E-4</v>
      </c>
      <c r="V362" s="25"/>
      <c r="W362" s="25"/>
      <c r="X362" s="25"/>
      <c r="Y362" s="25"/>
      <c r="Z362" s="25"/>
      <c r="AA362" s="25"/>
    </row>
    <row r="363" spans="1:27" x14ac:dyDescent="0.35">
      <c r="A363" s="5">
        <v>359</v>
      </c>
      <c r="B363" s="5">
        <v>15</v>
      </c>
      <c r="C363" s="5">
        <v>1</v>
      </c>
      <c r="D363" s="25">
        <v>1.1416E-4</v>
      </c>
      <c r="E363" s="25">
        <v>1.2056E-4</v>
      </c>
      <c r="F363" s="25">
        <v>1.1095E-4</v>
      </c>
      <c r="G363" s="25">
        <v>5.4330000000000003E-5</v>
      </c>
      <c r="H363" s="25">
        <v>6.9560000000000005E-5</v>
      </c>
      <c r="I363" s="9">
        <v>1.3046999999999999E-4</v>
      </c>
      <c r="J363" s="9">
        <v>1.1877E-4</v>
      </c>
      <c r="K363" s="9">
        <v>3.2637999999999998E-4</v>
      </c>
      <c r="L363" s="9">
        <v>9.1520000000000005E-5</v>
      </c>
      <c r="M363" s="9">
        <v>9.8830000000000001E-5</v>
      </c>
      <c r="N363" s="9">
        <v>9.9539999999999999E-5</v>
      </c>
      <c r="O363" s="9">
        <v>7.8670000000000004E-5</v>
      </c>
      <c r="P363" s="9">
        <v>7.2550000000000002E-5</v>
      </c>
      <c r="Q363" s="9">
        <v>6.7269999999999998E-5</v>
      </c>
      <c r="R363" s="10">
        <v>2.1244933042296419E-4</v>
      </c>
      <c r="S363" s="10">
        <v>1.7703178884326788E-4</v>
      </c>
      <c r="T363" s="10">
        <v>0</v>
      </c>
      <c r="U363" s="10">
        <v>1.8961999999999999E-4</v>
      </c>
      <c r="V363" s="25"/>
      <c r="W363" s="25"/>
      <c r="X363" s="25"/>
      <c r="Y363" s="25"/>
      <c r="Z363" s="25"/>
      <c r="AA363" s="25"/>
    </row>
    <row r="364" spans="1:27" x14ac:dyDescent="0.35">
      <c r="A364" s="5">
        <v>360</v>
      </c>
      <c r="B364" s="5">
        <v>15</v>
      </c>
      <c r="C364" s="5">
        <v>1</v>
      </c>
      <c r="D364" s="25">
        <v>1.1415000000000001E-4</v>
      </c>
      <c r="E364" s="25">
        <v>1.2018E-4</v>
      </c>
      <c r="F364" s="25">
        <v>1.0956E-4</v>
      </c>
      <c r="G364" s="25">
        <v>5.4719999999999998E-5</v>
      </c>
      <c r="H364" s="25">
        <v>7.1810000000000005E-5</v>
      </c>
      <c r="I364" s="9">
        <v>1.3097E-4</v>
      </c>
      <c r="J364" s="9">
        <v>1.1266E-4</v>
      </c>
      <c r="K364" s="9">
        <v>3.3272999999999999E-4</v>
      </c>
      <c r="L364" s="9">
        <v>8.1459999999999996E-5</v>
      </c>
      <c r="M364" s="9">
        <v>8.6269999999999999E-5</v>
      </c>
      <c r="N364" s="9">
        <v>9.043E-5</v>
      </c>
      <c r="O364" s="9">
        <v>6.3050000000000001E-5</v>
      </c>
      <c r="P364" s="9">
        <v>6.084E-5</v>
      </c>
      <c r="Q364" s="9">
        <v>5.9020000000000001E-5</v>
      </c>
      <c r="R364" s="10">
        <v>2.124478282294053E-4</v>
      </c>
      <c r="S364" s="10">
        <v>1.6630628244153922E-4</v>
      </c>
      <c r="T364" s="10">
        <v>0</v>
      </c>
      <c r="U364" s="10">
        <v>1.8961999999999999E-4</v>
      </c>
      <c r="V364" s="25"/>
      <c r="W364" s="25"/>
      <c r="X364" s="25"/>
      <c r="Y364" s="25"/>
      <c r="Z364" s="25"/>
      <c r="AA364" s="25"/>
    </row>
    <row r="365" spans="1:27" x14ac:dyDescent="0.35">
      <c r="A365" s="5">
        <v>361</v>
      </c>
      <c r="B365" s="5">
        <v>16</v>
      </c>
      <c r="C365" s="5">
        <v>1</v>
      </c>
      <c r="D365" s="25">
        <v>1.1416E-4</v>
      </c>
      <c r="E365" s="25">
        <v>1.1276E-4</v>
      </c>
      <c r="F365" s="25">
        <v>1.381E-4</v>
      </c>
      <c r="G365" s="25">
        <v>5.859E-5</v>
      </c>
      <c r="H365" s="25">
        <v>7.551E-5</v>
      </c>
      <c r="I365" s="9">
        <v>1.2460999999999999E-4</v>
      </c>
      <c r="J365" s="9">
        <v>1.0652E-4</v>
      </c>
      <c r="K365" s="9">
        <v>3.3062E-4</v>
      </c>
      <c r="L365" s="9">
        <v>6.7100000000000005E-5</v>
      </c>
      <c r="M365" s="9">
        <v>7.4220000000000004E-5</v>
      </c>
      <c r="N365" s="9">
        <v>8.1149999999999994E-5</v>
      </c>
      <c r="O365" s="9">
        <v>5.4849999999999998E-5</v>
      </c>
      <c r="P365" s="9">
        <v>5.4259999999999999E-5</v>
      </c>
      <c r="Q365" s="9">
        <v>5.3829999999999998E-5</v>
      </c>
      <c r="R365" s="10">
        <v>2.1244936787709023E-4</v>
      </c>
      <c r="S365" s="10">
        <v>1.6282241034162143E-4</v>
      </c>
      <c r="T365" s="10">
        <v>0</v>
      </c>
      <c r="U365" s="10">
        <v>1.8866E-4</v>
      </c>
      <c r="V365" s="25"/>
      <c r="W365" s="25"/>
      <c r="X365" s="25"/>
      <c r="Y365" s="25"/>
      <c r="Z365" s="25"/>
      <c r="AA365" s="25"/>
    </row>
    <row r="366" spans="1:27" x14ac:dyDescent="0.35">
      <c r="A366" s="5">
        <v>362</v>
      </c>
      <c r="B366" s="5">
        <v>16</v>
      </c>
      <c r="C366" s="5">
        <v>1</v>
      </c>
      <c r="D366" s="25">
        <v>1.1415000000000001E-4</v>
      </c>
      <c r="E366" s="25">
        <v>1.1436E-4</v>
      </c>
      <c r="F366" s="25">
        <v>1.2166E-4</v>
      </c>
      <c r="G366" s="25">
        <v>5.9299999999999998E-5</v>
      </c>
      <c r="H366" s="25">
        <v>6.949E-5</v>
      </c>
      <c r="I366" s="9">
        <v>1.1864E-4</v>
      </c>
      <c r="J366" s="9">
        <v>1.0089E-4</v>
      </c>
      <c r="K366" s="9">
        <v>3.4120999999999999E-4</v>
      </c>
      <c r="L366" s="9">
        <v>5.7939999999999998E-5</v>
      </c>
      <c r="M366" s="9">
        <v>6.4159999999999996E-5</v>
      </c>
      <c r="N366" s="9">
        <v>7.2200000000000007E-5</v>
      </c>
      <c r="O366" s="9">
        <v>1.8110000000000001E-5</v>
      </c>
      <c r="P366" s="9">
        <v>3.7429999999999999E-5</v>
      </c>
      <c r="Q366" s="9">
        <v>5.5699999999999999E-5</v>
      </c>
      <c r="R366" s="10">
        <v>2.1244936787709023E-4</v>
      </c>
      <c r="S366" s="10">
        <v>1.639672536099943E-4</v>
      </c>
      <c r="T366" s="10">
        <v>0</v>
      </c>
      <c r="U366" s="10">
        <v>1.8866E-4</v>
      </c>
      <c r="V366" s="25"/>
      <c r="W366" s="25"/>
      <c r="X366" s="25"/>
      <c r="Y366" s="25"/>
      <c r="Z366" s="25"/>
      <c r="AA366" s="25"/>
    </row>
    <row r="367" spans="1:27" x14ac:dyDescent="0.35">
      <c r="A367" s="5">
        <v>363</v>
      </c>
      <c r="B367" s="5">
        <v>16</v>
      </c>
      <c r="C367" s="5">
        <v>1</v>
      </c>
      <c r="D367" s="25">
        <v>1.1416E-4</v>
      </c>
      <c r="E367" s="25">
        <v>1.1942000000000001E-4</v>
      </c>
      <c r="F367" s="25">
        <v>1.3857E-4</v>
      </c>
      <c r="G367" s="25">
        <v>5.3909999999999997E-5</v>
      </c>
      <c r="H367" s="25">
        <v>6.779E-5</v>
      </c>
      <c r="I367" s="9">
        <v>1.1373E-4</v>
      </c>
      <c r="J367" s="9">
        <v>9.7189999999999996E-5</v>
      </c>
      <c r="K367" s="9">
        <v>3.4545000000000002E-4</v>
      </c>
      <c r="L367" s="9">
        <v>2.7080000000000002E-5</v>
      </c>
      <c r="M367" s="9">
        <v>5.2250000000000003E-5</v>
      </c>
      <c r="N367" s="9">
        <v>6.5560000000000002E-5</v>
      </c>
      <c r="O367" s="9">
        <v>1.277E-5</v>
      </c>
      <c r="P367" s="9">
        <v>3.8009999999999997E-5</v>
      </c>
      <c r="Q367" s="9">
        <v>6.1950000000000001E-5</v>
      </c>
      <c r="R367" s="10">
        <v>2.1244936787709023E-4</v>
      </c>
      <c r="S367" s="10">
        <v>1.6417657102138443E-4</v>
      </c>
      <c r="T367" s="10">
        <v>0</v>
      </c>
      <c r="U367" s="10">
        <v>1.8866E-4</v>
      </c>
      <c r="V367" s="25"/>
      <c r="W367" s="25"/>
      <c r="X367" s="25"/>
      <c r="Y367" s="25"/>
      <c r="Z367" s="25"/>
      <c r="AA367" s="25"/>
    </row>
    <row r="368" spans="1:27" x14ac:dyDescent="0.35">
      <c r="A368" s="5">
        <v>364</v>
      </c>
      <c r="B368" s="5">
        <v>16</v>
      </c>
      <c r="C368" s="5">
        <v>1</v>
      </c>
      <c r="D368" s="25">
        <v>1.1415000000000001E-4</v>
      </c>
      <c r="E368" s="25">
        <v>1.2142E-4</v>
      </c>
      <c r="F368" s="25">
        <v>1.2029E-4</v>
      </c>
      <c r="G368" s="25">
        <v>5.8109999999999998E-5</v>
      </c>
      <c r="H368" s="25">
        <v>7.5199999999999998E-5</v>
      </c>
      <c r="I368" s="9">
        <v>1.0950000000000001E-4</v>
      </c>
      <c r="J368" s="9">
        <v>9.5740000000000002E-5</v>
      </c>
      <c r="K368" s="9">
        <v>3.4968999999999999E-4</v>
      </c>
      <c r="L368" s="9">
        <v>1.668E-5</v>
      </c>
      <c r="M368" s="9">
        <v>4.4270000000000001E-5</v>
      </c>
      <c r="N368" s="9">
        <v>6.2039999999999996E-5</v>
      </c>
      <c r="O368" s="9">
        <v>1.276E-5</v>
      </c>
      <c r="P368" s="9">
        <v>4.7460000000000003E-5</v>
      </c>
      <c r="Q368" s="9">
        <v>8.0710000000000005E-5</v>
      </c>
      <c r="R368" s="10">
        <v>2.124475310903172E-4</v>
      </c>
      <c r="S368" s="10">
        <v>1.7225765963822267E-4</v>
      </c>
      <c r="T368" s="10">
        <v>0</v>
      </c>
      <c r="U368" s="10">
        <v>1.8866E-4</v>
      </c>
      <c r="V368" s="25"/>
      <c r="W368" s="25"/>
      <c r="X368" s="25"/>
      <c r="Y368" s="25"/>
      <c r="Z368" s="25"/>
      <c r="AA368" s="25"/>
    </row>
    <row r="369" spans="1:27" x14ac:dyDescent="0.35">
      <c r="A369" s="5">
        <v>365</v>
      </c>
      <c r="B369" s="5">
        <v>16</v>
      </c>
      <c r="C369" s="5">
        <v>1</v>
      </c>
      <c r="D369" s="25">
        <v>1.1416E-4</v>
      </c>
      <c r="E369" s="25">
        <v>1.2008E-4</v>
      </c>
      <c r="F369" s="25">
        <v>1.2867E-4</v>
      </c>
      <c r="G369" s="25">
        <v>6.1329999999999997E-5</v>
      </c>
      <c r="H369" s="25">
        <v>7.3780000000000002E-5</v>
      </c>
      <c r="I369" s="9">
        <v>1.0691E-4</v>
      </c>
      <c r="J369" s="9">
        <v>9.5299999999999999E-5</v>
      </c>
      <c r="K369" s="9">
        <v>3.5604000000000001E-4</v>
      </c>
      <c r="L369" s="9">
        <v>1.3869999999999999E-5</v>
      </c>
      <c r="M369" s="9">
        <v>4.3630000000000001E-5</v>
      </c>
      <c r="N369" s="9">
        <v>6.4620000000000001E-5</v>
      </c>
      <c r="O369" s="9">
        <v>1.842E-5</v>
      </c>
      <c r="P369" s="9">
        <v>5.7099999999999999E-5</v>
      </c>
      <c r="Q369" s="9">
        <v>9.4419999999999994E-5</v>
      </c>
      <c r="R369" s="10">
        <v>2.1243550186491046E-4</v>
      </c>
      <c r="S369" s="10">
        <v>1.8438454701327563E-4</v>
      </c>
      <c r="T369" s="10">
        <v>0</v>
      </c>
      <c r="U369" s="10">
        <v>1.8866E-4</v>
      </c>
      <c r="V369" s="25"/>
      <c r="W369" s="25"/>
      <c r="X369" s="25"/>
      <c r="Y369" s="25"/>
      <c r="Z369" s="25"/>
      <c r="AA369" s="25"/>
    </row>
    <row r="370" spans="1:27" x14ac:dyDescent="0.35">
      <c r="A370" s="5">
        <v>366</v>
      </c>
      <c r="B370" s="5">
        <v>16</v>
      </c>
      <c r="C370" s="5">
        <v>1</v>
      </c>
      <c r="D370" s="25">
        <v>1.1415000000000001E-4</v>
      </c>
      <c r="E370" s="25">
        <v>1.2180000000000001E-4</v>
      </c>
      <c r="F370" s="25">
        <v>1.3227000000000001E-4</v>
      </c>
      <c r="G370" s="25">
        <v>1.061E-4</v>
      </c>
      <c r="H370" s="25">
        <v>1.3815999999999999E-4</v>
      </c>
      <c r="I370" s="9">
        <v>1.0661E-4</v>
      </c>
      <c r="J370" s="9">
        <v>9.6550000000000002E-5</v>
      </c>
      <c r="K370" s="9">
        <v>3.6240000000000003E-4</v>
      </c>
      <c r="L370" s="9">
        <v>1.7280000000000001E-5</v>
      </c>
      <c r="M370" s="9">
        <v>4.867E-5</v>
      </c>
      <c r="N370" s="9">
        <v>7.1310000000000007E-5</v>
      </c>
      <c r="O370" s="9">
        <v>4.5880000000000001E-5</v>
      </c>
      <c r="P370" s="9">
        <v>7.6409999999999995E-5</v>
      </c>
      <c r="Q370" s="9">
        <v>1.0639E-4</v>
      </c>
      <c r="R370" s="10">
        <v>2.1228503216542721E-4</v>
      </c>
      <c r="S370" s="10">
        <v>1.8823836435091394E-4</v>
      </c>
      <c r="T370" s="10">
        <v>0</v>
      </c>
      <c r="U370" s="10">
        <v>1.8866E-4</v>
      </c>
      <c r="V370" s="25"/>
      <c r="W370" s="25"/>
      <c r="X370" s="25"/>
      <c r="Y370" s="25"/>
      <c r="Z370" s="25"/>
      <c r="AA370" s="25"/>
    </row>
    <row r="371" spans="1:27" x14ac:dyDescent="0.35">
      <c r="A371" s="5">
        <v>367</v>
      </c>
      <c r="B371" s="5">
        <v>16</v>
      </c>
      <c r="C371" s="5">
        <v>1</v>
      </c>
      <c r="D371" s="25">
        <v>1.1416E-4</v>
      </c>
      <c r="E371" s="25">
        <v>1.1222000000000001E-4</v>
      </c>
      <c r="F371" s="25">
        <v>1.1824000000000001E-4</v>
      </c>
      <c r="G371" s="25">
        <v>1.1087E-4</v>
      </c>
      <c r="H371" s="25">
        <v>1.2841E-4</v>
      </c>
      <c r="I371" s="9">
        <v>1.0936E-4</v>
      </c>
      <c r="J371" s="9">
        <v>1.0089E-4</v>
      </c>
      <c r="K371" s="9">
        <v>3.5393000000000002E-4</v>
      </c>
      <c r="L371" s="9">
        <v>3.9440000000000002E-5</v>
      </c>
      <c r="M371" s="9">
        <v>6.0069999999999999E-5</v>
      </c>
      <c r="N371" s="9">
        <v>8.0840000000000005E-5</v>
      </c>
      <c r="O371" s="9">
        <v>1.2484E-4</v>
      </c>
      <c r="P371" s="9">
        <v>1.1788E-4</v>
      </c>
      <c r="Q371" s="9">
        <v>1.1292E-4</v>
      </c>
      <c r="R371" s="10">
        <v>2.1147948937857414E-4</v>
      </c>
      <c r="S371" s="10">
        <v>1.8979530456199461E-4</v>
      </c>
      <c r="T371" s="10">
        <v>0</v>
      </c>
      <c r="U371" s="10">
        <v>1.8866E-4</v>
      </c>
      <c r="V371" s="25"/>
      <c r="W371" s="25"/>
      <c r="X371" s="25"/>
      <c r="Y371" s="25"/>
      <c r="Z371" s="25"/>
      <c r="AA371" s="25"/>
    </row>
    <row r="372" spans="1:27" x14ac:dyDescent="0.35">
      <c r="A372" s="5">
        <v>368</v>
      </c>
      <c r="B372" s="5">
        <v>16</v>
      </c>
      <c r="C372" s="5">
        <v>1</v>
      </c>
      <c r="D372" s="25">
        <v>1.1415000000000001E-4</v>
      </c>
      <c r="E372" s="25">
        <v>1.2029E-4</v>
      </c>
      <c r="F372" s="25">
        <v>1.3391E-4</v>
      </c>
      <c r="G372" s="25">
        <v>1.6582000000000001E-4</v>
      </c>
      <c r="H372" s="25">
        <v>1.9154999999999999E-4</v>
      </c>
      <c r="I372" s="9">
        <v>1.1267E-4</v>
      </c>
      <c r="J372" s="9">
        <v>1.0861000000000001E-4</v>
      </c>
      <c r="K372" s="9">
        <v>3.5392000000000003E-4</v>
      </c>
      <c r="L372" s="9">
        <v>1.0543E-4</v>
      </c>
      <c r="M372" s="9">
        <v>8.3809999999999999E-5</v>
      </c>
      <c r="N372" s="9">
        <v>9.1020000000000006E-5</v>
      </c>
      <c r="O372" s="9">
        <v>2.2131000000000001E-4</v>
      </c>
      <c r="P372" s="9">
        <v>1.7621999999999999E-4</v>
      </c>
      <c r="Q372" s="9">
        <v>1.3613000000000001E-4</v>
      </c>
      <c r="R372" s="10">
        <v>2.085155241677778E-4</v>
      </c>
      <c r="S372" s="10">
        <v>1.9025588400490616E-4</v>
      </c>
      <c r="T372" s="10">
        <v>0</v>
      </c>
      <c r="U372" s="10">
        <v>1.8866E-4</v>
      </c>
      <c r="V372" s="25"/>
      <c r="W372" s="25"/>
      <c r="X372" s="25"/>
      <c r="Y372" s="25"/>
      <c r="Z372" s="25"/>
      <c r="AA372" s="25"/>
    </row>
    <row r="373" spans="1:27" x14ac:dyDescent="0.35">
      <c r="A373" s="5">
        <v>369</v>
      </c>
      <c r="B373" s="5">
        <v>16</v>
      </c>
      <c r="C373" s="5">
        <v>1</v>
      </c>
      <c r="D373" s="25">
        <v>1.1416E-4</v>
      </c>
      <c r="E373" s="25">
        <v>1.2213E-4</v>
      </c>
      <c r="F373" s="25">
        <v>1.3027000000000001E-4</v>
      </c>
      <c r="G373" s="25">
        <v>1.5782E-4</v>
      </c>
      <c r="H373" s="25">
        <v>1.9903999999999999E-4</v>
      </c>
      <c r="I373" s="9">
        <v>1.2019E-4</v>
      </c>
      <c r="J373" s="9">
        <v>1.181E-4</v>
      </c>
      <c r="K373" s="9">
        <v>3.3484999999999998E-4</v>
      </c>
      <c r="L373" s="9">
        <v>1.9400999999999999E-4</v>
      </c>
      <c r="M373" s="9">
        <v>1.2323E-4</v>
      </c>
      <c r="N373" s="9">
        <v>1.0459999999999999E-4</v>
      </c>
      <c r="O373" s="9">
        <v>2.1155999999999999E-4</v>
      </c>
      <c r="P373" s="9">
        <v>1.9108999999999999E-4</v>
      </c>
      <c r="Q373" s="9">
        <v>1.7500999999999999E-4</v>
      </c>
      <c r="R373" s="10">
        <v>2.0537546950570508E-4</v>
      </c>
      <c r="S373" s="10">
        <v>1.9029013523105804E-4</v>
      </c>
      <c r="T373" s="10">
        <v>1.3922735233583871E-5</v>
      </c>
      <c r="U373" s="10">
        <v>1.8866E-4</v>
      </c>
      <c r="V373" s="25"/>
      <c r="W373" s="25"/>
      <c r="X373" s="25"/>
      <c r="Y373" s="25"/>
      <c r="Z373" s="25"/>
      <c r="AA373" s="25"/>
    </row>
    <row r="374" spans="1:27" x14ac:dyDescent="0.35">
      <c r="A374" s="5">
        <v>370</v>
      </c>
      <c r="B374" s="5">
        <v>16</v>
      </c>
      <c r="C374" s="5">
        <v>1</v>
      </c>
      <c r="D374" s="25">
        <v>1.1415000000000001E-4</v>
      </c>
      <c r="E374" s="25">
        <v>1.2313999999999999E-4</v>
      </c>
      <c r="F374" s="25">
        <v>1.1951999999999999E-4</v>
      </c>
      <c r="G374" s="25">
        <v>1.6236000000000001E-4</v>
      </c>
      <c r="H374" s="25">
        <v>1.9705999999999999E-4</v>
      </c>
      <c r="I374" s="9">
        <v>1.2585E-4</v>
      </c>
      <c r="J374" s="9">
        <v>1.2558E-4</v>
      </c>
      <c r="K374" s="9">
        <v>3.1154000000000002E-4</v>
      </c>
      <c r="L374" s="9">
        <v>2.0536999999999999E-4</v>
      </c>
      <c r="M374" s="9">
        <v>1.5763999999999999E-4</v>
      </c>
      <c r="N374" s="9">
        <v>1.2416E-4</v>
      </c>
      <c r="O374" s="9">
        <v>1.6849000000000001E-4</v>
      </c>
      <c r="P374" s="9">
        <v>1.7357000000000001E-4</v>
      </c>
      <c r="Q374" s="9">
        <v>1.8154999999999999E-4</v>
      </c>
      <c r="R374" s="10">
        <v>2.0367220627782356E-4</v>
      </c>
      <c r="S374" s="10">
        <v>1.9028689783032404E-4</v>
      </c>
      <c r="T374" s="10">
        <v>1.686424181827828E-4</v>
      </c>
      <c r="U374" s="10">
        <v>1.8866E-4</v>
      </c>
      <c r="V374" s="25"/>
      <c r="W374" s="25"/>
      <c r="X374" s="25"/>
      <c r="Y374" s="25"/>
      <c r="Z374" s="25"/>
      <c r="AA374" s="25"/>
    </row>
    <row r="375" spans="1:27" x14ac:dyDescent="0.35">
      <c r="A375" s="5">
        <v>371</v>
      </c>
      <c r="B375" s="5">
        <v>16</v>
      </c>
      <c r="C375" s="5">
        <v>1</v>
      </c>
      <c r="D375" s="25">
        <v>1.1416E-4</v>
      </c>
      <c r="E375" s="25">
        <v>1.1424E-4</v>
      </c>
      <c r="F375" s="25">
        <v>1.2395E-4</v>
      </c>
      <c r="G375" s="25">
        <v>1.6184000000000001E-4</v>
      </c>
      <c r="H375" s="25">
        <v>1.9519000000000001E-4</v>
      </c>
      <c r="I375" s="9">
        <v>1.2844000000000001E-4</v>
      </c>
      <c r="J375" s="9">
        <v>1.2973999999999999E-4</v>
      </c>
      <c r="K375" s="9">
        <v>2.8186999999999998E-4</v>
      </c>
      <c r="L375" s="9">
        <v>1.7672E-4</v>
      </c>
      <c r="M375" s="9">
        <v>1.7132000000000001E-4</v>
      </c>
      <c r="N375" s="9">
        <v>1.4210000000000001E-4</v>
      </c>
      <c r="O375" s="9">
        <v>1.6787E-4</v>
      </c>
      <c r="P375" s="9">
        <v>1.7159E-4</v>
      </c>
      <c r="Q375" s="9">
        <v>1.7823000000000001E-4</v>
      </c>
      <c r="R375" s="10">
        <v>2.0167057316433735E-4</v>
      </c>
      <c r="S375" s="10">
        <v>1.9027306849904625E-4</v>
      </c>
      <c r="T375" s="10">
        <v>2.5559800222239344E-4</v>
      </c>
      <c r="U375" s="10">
        <v>1.8866E-4</v>
      </c>
      <c r="V375" s="25"/>
      <c r="W375" s="25"/>
      <c r="X375" s="25"/>
      <c r="Y375" s="25"/>
      <c r="Z375" s="25"/>
      <c r="AA375" s="25"/>
    </row>
    <row r="376" spans="1:27" x14ac:dyDescent="0.35">
      <c r="A376" s="5">
        <v>372</v>
      </c>
      <c r="B376" s="5">
        <v>16</v>
      </c>
      <c r="C376" s="5">
        <v>1</v>
      </c>
      <c r="D376" s="25">
        <v>1.1415000000000001E-4</v>
      </c>
      <c r="E376" s="25">
        <v>1.1187E-4</v>
      </c>
      <c r="F376" s="25">
        <v>1.3773999999999999E-4</v>
      </c>
      <c r="G376" s="25">
        <v>1.6684999999999999E-4</v>
      </c>
      <c r="H376" s="25">
        <v>1.9939E-4</v>
      </c>
      <c r="I376" s="9">
        <v>1.2923000000000001E-4</v>
      </c>
      <c r="J376" s="9">
        <v>1.3053000000000001E-4</v>
      </c>
      <c r="K376" s="9">
        <v>2.4159999999999999E-4</v>
      </c>
      <c r="L376" s="9">
        <v>1.7122E-4</v>
      </c>
      <c r="M376" s="9">
        <v>1.7375999999999999E-4</v>
      </c>
      <c r="N376" s="9">
        <v>1.5594E-4</v>
      </c>
      <c r="O376" s="9">
        <v>1.7181999999999999E-4</v>
      </c>
      <c r="P376" s="9">
        <v>1.7142000000000001E-4</v>
      </c>
      <c r="Q376" s="9">
        <v>1.7409000000000001E-4</v>
      </c>
      <c r="R376" s="10">
        <v>1.7308547401797685E-4</v>
      </c>
      <c r="S376" s="10">
        <v>1.8875455197910773E-4</v>
      </c>
      <c r="T376" s="10">
        <v>4.2516520903434184E-4</v>
      </c>
      <c r="U376" s="10">
        <v>1.8866E-4</v>
      </c>
      <c r="V376" s="25"/>
      <c r="W376" s="25"/>
      <c r="X376" s="25"/>
      <c r="Y376" s="25"/>
      <c r="Z376" s="25"/>
      <c r="AA376" s="25"/>
    </row>
    <row r="377" spans="1:27" x14ac:dyDescent="0.35">
      <c r="A377" s="5">
        <v>373</v>
      </c>
      <c r="B377" s="5">
        <v>16</v>
      </c>
      <c r="C377" s="5">
        <v>1</v>
      </c>
      <c r="D377" s="25">
        <v>1.1416E-4</v>
      </c>
      <c r="E377" s="25">
        <v>1.2081E-4</v>
      </c>
      <c r="F377" s="25">
        <v>1.3186E-4</v>
      </c>
      <c r="G377" s="25">
        <v>1.6406E-4</v>
      </c>
      <c r="H377" s="25">
        <v>1.9325000000000001E-4</v>
      </c>
      <c r="I377" s="9">
        <v>1.2854000000000001E-4</v>
      </c>
      <c r="J377" s="9">
        <v>1.2896000000000001E-4</v>
      </c>
      <c r="K377" s="9">
        <v>2.3313000000000001E-4</v>
      </c>
      <c r="L377" s="9">
        <v>1.7186E-4</v>
      </c>
      <c r="M377" s="9">
        <v>1.7306999999999999E-4</v>
      </c>
      <c r="N377" s="9">
        <v>1.6547E-4</v>
      </c>
      <c r="O377" s="9">
        <v>1.6312E-4</v>
      </c>
      <c r="P377" s="9">
        <v>1.6367000000000001E-4</v>
      </c>
      <c r="Q377" s="9">
        <v>1.6705999999999999E-4</v>
      </c>
      <c r="R377" s="10">
        <v>1.6182389420080174E-4</v>
      </c>
      <c r="S377" s="10">
        <v>1.8557324357259514E-4</v>
      </c>
      <c r="T377" s="10">
        <v>5.0377224251341223E-4</v>
      </c>
      <c r="U377" s="10">
        <v>1.8866E-4</v>
      </c>
      <c r="V377" s="25"/>
      <c r="W377" s="25"/>
      <c r="X377" s="25"/>
      <c r="Y377" s="25"/>
      <c r="Z377" s="25"/>
      <c r="AA377" s="25"/>
    </row>
    <row r="378" spans="1:27" x14ac:dyDescent="0.35">
      <c r="A378" s="5">
        <v>374</v>
      </c>
      <c r="B378" s="5">
        <v>16</v>
      </c>
      <c r="C378" s="5">
        <v>1</v>
      </c>
      <c r="D378" s="25">
        <v>1.1415000000000001E-4</v>
      </c>
      <c r="E378" s="25">
        <v>1.1381E-4</v>
      </c>
      <c r="F378" s="25">
        <v>1.2878E-4</v>
      </c>
      <c r="G378" s="25">
        <v>1.6093999999999999E-4</v>
      </c>
      <c r="H378" s="25">
        <v>1.9736999999999999E-4</v>
      </c>
      <c r="I378" s="9">
        <v>1.2591999999999999E-4</v>
      </c>
      <c r="J378" s="9">
        <v>1.2634000000000001E-4</v>
      </c>
      <c r="K378" s="9">
        <v>2.3101E-4</v>
      </c>
      <c r="L378" s="9">
        <v>1.6477000000000001E-4</v>
      </c>
      <c r="M378" s="9">
        <v>1.6946999999999999E-4</v>
      </c>
      <c r="N378" s="9">
        <v>1.6983999999999999E-4</v>
      </c>
      <c r="O378" s="9">
        <v>1.8055E-4</v>
      </c>
      <c r="P378" s="9">
        <v>1.6906000000000001E-4</v>
      </c>
      <c r="Q378" s="9">
        <v>1.6102E-4</v>
      </c>
      <c r="R378" s="10">
        <v>1.4237908424712941E-4</v>
      </c>
      <c r="S378" s="10">
        <v>1.8048946294093763E-4</v>
      </c>
      <c r="T378" s="10">
        <v>4.6247067327691852E-4</v>
      </c>
      <c r="U378" s="10">
        <v>1.8866E-4</v>
      </c>
      <c r="V378" s="25"/>
      <c r="W378" s="25"/>
      <c r="X378" s="25"/>
      <c r="Y378" s="25"/>
      <c r="Z378" s="25"/>
      <c r="AA378" s="25"/>
    </row>
    <row r="379" spans="1:27" x14ac:dyDescent="0.35">
      <c r="A379" s="5">
        <v>375</v>
      </c>
      <c r="B379" s="5">
        <v>16</v>
      </c>
      <c r="C379" s="5">
        <v>1</v>
      </c>
      <c r="D379" s="25">
        <v>1.1416E-4</v>
      </c>
      <c r="E379" s="25">
        <v>1.2207E-4</v>
      </c>
      <c r="F379" s="25">
        <v>1.2805999999999999E-4</v>
      </c>
      <c r="G379" s="25">
        <v>1.6212E-4</v>
      </c>
      <c r="H379" s="25">
        <v>1.8977999999999999E-4</v>
      </c>
      <c r="I379" s="9">
        <v>1.2328E-4</v>
      </c>
      <c r="J379" s="9">
        <v>1.2453E-4</v>
      </c>
      <c r="K379" s="9">
        <v>2.3949E-4</v>
      </c>
      <c r="L379" s="9">
        <v>1.7724E-4</v>
      </c>
      <c r="M379" s="9">
        <v>1.6829E-4</v>
      </c>
      <c r="N379" s="9">
        <v>1.696E-4</v>
      </c>
      <c r="O379" s="9">
        <v>1.8663999999999999E-4</v>
      </c>
      <c r="P379" s="9">
        <v>1.6814999999999999E-4</v>
      </c>
      <c r="Q379" s="9">
        <v>1.5338E-4</v>
      </c>
      <c r="R379" s="10">
        <v>1.1758372114293012E-4</v>
      </c>
      <c r="S379" s="10">
        <v>1.6400349799102577E-4</v>
      </c>
      <c r="T379" s="10">
        <v>3.3224516255158098E-4</v>
      </c>
      <c r="U379" s="10">
        <v>1.8866E-4</v>
      </c>
      <c r="V379" s="25"/>
      <c r="W379" s="25"/>
      <c r="X379" s="25"/>
      <c r="Y379" s="25"/>
      <c r="Z379" s="25"/>
      <c r="AA379" s="25"/>
    </row>
    <row r="380" spans="1:27" x14ac:dyDescent="0.35">
      <c r="A380" s="5">
        <v>376</v>
      </c>
      <c r="B380" s="5">
        <v>16</v>
      </c>
      <c r="C380" s="5">
        <v>1</v>
      </c>
      <c r="D380" s="25">
        <v>1.1415000000000001E-4</v>
      </c>
      <c r="E380" s="25">
        <v>1.15E-4</v>
      </c>
      <c r="F380" s="25">
        <v>1.2300000000000001E-4</v>
      </c>
      <c r="G380" s="25">
        <v>1.6320000000000001E-4</v>
      </c>
      <c r="H380" s="25">
        <v>1.9689999999999999E-4</v>
      </c>
      <c r="I380" s="9">
        <v>1.2333E-4</v>
      </c>
      <c r="J380" s="9">
        <v>1.237E-4</v>
      </c>
      <c r="K380" s="9">
        <v>2.6068E-4</v>
      </c>
      <c r="L380" s="9">
        <v>1.8426E-4</v>
      </c>
      <c r="M380" s="9">
        <v>1.6802000000000001E-4</v>
      </c>
      <c r="N380" s="9">
        <v>1.6605E-4</v>
      </c>
      <c r="O380" s="9">
        <v>1.9859000000000001E-4</v>
      </c>
      <c r="P380" s="9">
        <v>1.5165E-4</v>
      </c>
      <c r="Q380" s="9">
        <v>1.0917999999999999E-4</v>
      </c>
      <c r="R380" s="10">
        <v>1.028557164748293E-4</v>
      </c>
      <c r="S380" s="10">
        <v>1.5305626194183332E-4</v>
      </c>
      <c r="T380" s="10">
        <v>1.2422711108478672E-4</v>
      </c>
      <c r="U380" s="10">
        <v>1.8866E-4</v>
      </c>
      <c r="V380" s="25"/>
      <c r="W380" s="25"/>
      <c r="X380" s="25"/>
      <c r="Y380" s="25"/>
      <c r="Z380" s="25"/>
      <c r="AA380" s="25"/>
    </row>
    <row r="381" spans="1:27" x14ac:dyDescent="0.35">
      <c r="A381" s="5">
        <v>377</v>
      </c>
      <c r="B381" s="5">
        <v>16</v>
      </c>
      <c r="C381" s="5">
        <v>1</v>
      </c>
      <c r="D381" s="25">
        <v>1.1416E-4</v>
      </c>
      <c r="E381" s="25">
        <v>1.1705999999999999E-4</v>
      </c>
      <c r="F381" s="25">
        <v>1.2265999999999999E-4</v>
      </c>
      <c r="G381" s="25">
        <v>1.574E-4</v>
      </c>
      <c r="H381" s="25">
        <v>2.0217999999999999E-4</v>
      </c>
      <c r="I381" s="9">
        <v>1.2366999999999999E-4</v>
      </c>
      <c r="J381" s="9">
        <v>1.2606E-4</v>
      </c>
      <c r="K381" s="9">
        <v>2.7127E-4</v>
      </c>
      <c r="L381" s="9">
        <v>1.9518000000000001E-4</v>
      </c>
      <c r="M381" s="9">
        <v>1.6216000000000001E-4</v>
      </c>
      <c r="N381" s="9">
        <v>1.5233E-4</v>
      </c>
      <c r="O381" s="9">
        <v>2.1493E-4</v>
      </c>
      <c r="P381" s="9">
        <v>1.5813000000000001E-4</v>
      </c>
      <c r="Q381" s="9">
        <v>1.0637E-4</v>
      </c>
      <c r="R381" s="10">
        <v>1.0360218194701628E-4</v>
      </c>
      <c r="S381" s="10">
        <v>1.4403445626329697E-4</v>
      </c>
      <c r="T381" s="10">
        <v>0</v>
      </c>
      <c r="U381" s="10">
        <v>1.8866E-4</v>
      </c>
      <c r="V381" s="25"/>
      <c r="W381" s="25"/>
      <c r="X381" s="25"/>
      <c r="Y381" s="25"/>
      <c r="Z381" s="25"/>
      <c r="AA381" s="25"/>
    </row>
    <row r="382" spans="1:27" x14ac:dyDescent="0.35">
      <c r="A382" s="5">
        <v>378</v>
      </c>
      <c r="B382" s="5">
        <v>16</v>
      </c>
      <c r="C382" s="5">
        <v>1</v>
      </c>
      <c r="D382" s="25">
        <v>1.1415000000000001E-4</v>
      </c>
      <c r="E382" s="25">
        <v>1.194E-4</v>
      </c>
      <c r="F382" s="25">
        <v>1.2313999999999999E-4</v>
      </c>
      <c r="G382" s="25">
        <v>1.5870000000000001E-4</v>
      </c>
      <c r="H382" s="25">
        <v>1.9945E-4</v>
      </c>
      <c r="I382" s="9">
        <v>1.3240999999999999E-4</v>
      </c>
      <c r="J382" s="9">
        <v>1.3569E-4</v>
      </c>
      <c r="K382" s="9">
        <v>2.7975E-4</v>
      </c>
      <c r="L382" s="9">
        <v>2.1038E-4</v>
      </c>
      <c r="M382" s="9">
        <v>1.5907000000000001E-4</v>
      </c>
      <c r="N382" s="9">
        <v>1.3888999999999999E-4</v>
      </c>
      <c r="O382" s="9">
        <v>2.0673999999999999E-4</v>
      </c>
      <c r="P382" s="9">
        <v>1.5956999999999999E-4</v>
      </c>
      <c r="Q382" s="9">
        <v>1.1707E-4</v>
      </c>
      <c r="R382" s="10">
        <v>1.0129721604352263E-4</v>
      </c>
      <c r="S382" s="10">
        <v>1.2929812387861724E-4</v>
      </c>
      <c r="T382" s="10">
        <v>0</v>
      </c>
      <c r="U382" s="10">
        <v>1.8866E-4</v>
      </c>
      <c r="V382" s="25"/>
      <c r="W382" s="25"/>
      <c r="X382" s="25"/>
      <c r="Y382" s="25"/>
      <c r="Z382" s="25"/>
      <c r="AA382" s="25"/>
    </row>
    <row r="383" spans="1:27" x14ac:dyDescent="0.35">
      <c r="A383" s="5">
        <v>379</v>
      </c>
      <c r="B383" s="5">
        <v>16</v>
      </c>
      <c r="C383" s="5">
        <v>1</v>
      </c>
      <c r="D383" s="25">
        <v>1.1416E-4</v>
      </c>
      <c r="E383" s="25">
        <v>1.1684999999999999E-4</v>
      </c>
      <c r="F383" s="25">
        <v>1.1900000000000001E-4</v>
      </c>
      <c r="G383" s="25">
        <v>1.1184E-4</v>
      </c>
      <c r="H383" s="25">
        <v>1.3548E-4</v>
      </c>
      <c r="I383" s="9">
        <v>1.3605999999999999E-4</v>
      </c>
      <c r="J383" s="9">
        <v>1.35E-4</v>
      </c>
      <c r="K383" s="9">
        <v>2.7338999999999998E-4</v>
      </c>
      <c r="L383" s="9">
        <v>2.0715999999999999E-4</v>
      </c>
      <c r="M383" s="9">
        <v>1.5860000000000001E-4</v>
      </c>
      <c r="N383" s="9">
        <v>1.2972999999999999E-4</v>
      </c>
      <c r="O383" s="9">
        <v>1.6663E-4</v>
      </c>
      <c r="P383" s="9">
        <v>1.3530000000000001E-4</v>
      </c>
      <c r="Q383" s="9">
        <v>1.0739E-4</v>
      </c>
      <c r="R383" s="10">
        <v>9.8642159019370231E-5</v>
      </c>
      <c r="S383" s="10">
        <v>1.2317800876842174E-4</v>
      </c>
      <c r="T383" s="10">
        <v>0</v>
      </c>
      <c r="U383" s="10">
        <v>1.8866E-4</v>
      </c>
      <c r="V383" s="25"/>
      <c r="W383" s="25"/>
      <c r="X383" s="25"/>
      <c r="Y383" s="25"/>
      <c r="Z383" s="25"/>
      <c r="AA383" s="25"/>
    </row>
    <row r="384" spans="1:27" x14ac:dyDescent="0.35">
      <c r="A384" s="5">
        <v>380</v>
      </c>
      <c r="B384" s="5">
        <v>16</v>
      </c>
      <c r="C384" s="5">
        <v>1</v>
      </c>
      <c r="D384" s="25">
        <v>1.1415000000000001E-4</v>
      </c>
      <c r="E384" s="25">
        <v>1.1946E-4</v>
      </c>
      <c r="F384" s="25">
        <v>1.3462000000000001E-4</v>
      </c>
      <c r="G384" s="25">
        <v>1.0509E-4</v>
      </c>
      <c r="H384" s="25">
        <v>1.3835E-4</v>
      </c>
      <c r="I384" s="9">
        <v>1.3108999999999999E-4</v>
      </c>
      <c r="J384" s="9">
        <v>1.3041999999999999E-4</v>
      </c>
      <c r="K384" s="9">
        <v>2.5856000000000002E-4</v>
      </c>
      <c r="L384" s="9">
        <v>1.7569999999999999E-4</v>
      </c>
      <c r="M384" s="9">
        <v>1.5028E-4</v>
      </c>
      <c r="N384" s="9">
        <v>1.2071E-4</v>
      </c>
      <c r="O384" s="9">
        <v>1.3104999999999999E-4</v>
      </c>
      <c r="P384" s="9">
        <v>1.1569999999999999E-4</v>
      </c>
      <c r="Q384" s="9">
        <v>1.0264000000000001E-4</v>
      </c>
      <c r="R384" s="10">
        <v>9.6250168062000726E-5</v>
      </c>
      <c r="S384" s="10">
        <v>1.3333336453821799E-4</v>
      </c>
      <c r="T384" s="10">
        <v>0</v>
      </c>
      <c r="U384" s="10">
        <v>1.8866E-4</v>
      </c>
      <c r="V384" s="25"/>
      <c r="W384" s="25"/>
      <c r="X384" s="25"/>
      <c r="Y384" s="25"/>
      <c r="Z384" s="25"/>
      <c r="AA384" s="25"/>
    </row>
    <row r="385" spans="1:27" x14ac:dyDescent="0.35">
      <c r="A385" s="5">
        <v>381</v>
      </c>
      <c r="B385" s="5">
        <v>16</v>
      </c>
      <c r="C385" s="5">
        <v>1</v>
      </c>
      <c r="D385" s="25">
        <v>1.1416E-4</v>
      </c>
      <c r="E385" s="25">
        <v>1.2003E-4</v>
      </c>
      <c r="F385" s="25">
        <v>1.3255E-4</v>
      </c>
      <c r="G385" s="25">
        <v>5.7179999999999998E-5</v>
      </c>
      <c r="H385" s="25">
        <v>7.1470000000000005E-5</v>
      </c>
      <c r="I385" s="9">
        <v>1.2506999999999999E-4</v>
      </c>
      <c r="J385" s="9">
        <v>1.2506999999999999E-4</v>
      </c>
      <c r="K385" s="9">
        <v>2.5431999999999999E-4</v>
      </c>
      <c r="L385" s="9">
        <v>1.4185000000000001E-4</v>
      </c>
      <c r="M385" s="9">
        <v>1.3549999999999999E-4</v>
      </c>
      <c r="N385" s="9">
        <v>1.132E-4</v>
      </c>
      <c r="O385" s="9">
        <v>8.4519999999999997E-5</v>
      </c>
      <c r="P385" s="9">
        <v>8.5619999999999997E-5</v>
      </c>
      <c r="Q385" s="9">
        <v>8.7600000000000002E-5</v>
      </c>
      <c r="R385" s="10">
        <v>9.830823532468298E-5</v>
      </c>
      <c r="S385" s="10">
        <v>1.463734175509868E-4</v>
      </c>
      <c r="T385" s="10">
        <v>0</v>
      </c>
      <c r="U385" s="10">
        <v>1.8866E-4</v>
      </c>
      <c r="V385" s="25"/>
      <c r="W385" s="25"/>
      <c r="X385" s="25"/>
      <c r="Y385" s="25"/>
      <c r="Z385" s="25"/>
      <c r="AA385" s="25"/>
    </row>
    <row r="386" spans="1:27" x14ac:dyDescent="0.35">
      <c r="A386" s="5">
        <v>382</v>
      </c>
      <c r="B386" s="5">
        <v>16</v>
      </c>
      <c r="C386" s="5">
        <v>1</v>
      </c>
      <c r="D386" s="25">
        <v>1.1415000000000001E-4</v>
      </c>
      <c r="E386" s="25">
        <v>1.1705E-4</v>
      </c>
      <c r="F386" s="25">
        <v>1.404E-4</v>
      </c>
      <c r="G386" s="25">
        <v>5.2710000000000002E-5</v>
      </c>
      <c r="H386" s="25">
        <v>7.2089999999999996E-5</v>
      </c>
      <c r="I386" s="9">
        <v>1.1953E-4</v>
      </c>
      <c r="J386" s="9">
        <v>1.1862E-4</v>
      </c>
      <c r="K386" s="9">
        <v>2.6490999999999998E-4</v>
      </c>
      <c r="L386" s="9">
        <v>9.8049999999999998E-5</v>
      </c>
      <c r="M386" s="9">
        <v>1.1374000000000001E-4</v>
      </c>
      <c r="N386" s="9">
        <v>1.0548999999999999E-4</v>
      </c>
      <c r="O386" s="9">
        <v>8.8850000000000005E-5</v>
      </c>
      <c r="P386" s="9">
        <v>8.8510000000000005E-5</v>
      </c>
      <c r="Q386" s="9">
        <v>8.9159999999999993E-5</v>
      </c>
      <c r="R386" s="10">
        <v>1.0064797298344895E-4</v>
      </c>
      <c r="S386" s="10">
        <v>1.4996577954667627E-4</v>
      </c>
      <c r="T386" s="10">
        <v>0</v>
      </c>
      <c r="U386" s="10">
        <v>1.8866E-4</v>
      </c>
      <c r="V386" s="25"/>
      <c r="W386" s="25"/>
      <c r="X386" s="25"/>
      <c r="Y386" s="25"/>
      <c r="Z386" s="25"/>
      <c r="AA386" s="25"/>
    </row>
    <row r="387" spans="1:27" x14ac:dyDescent="0.35">
      <c r="A387" s="5">
        <v>383</v>
      </c>
      <c r="B387" s="5">
        <v>16</v>
      </c>
      <c r="C387" s="5">
        <v>1</v>
      </c>
      <c r="D387" s="25">
        <v>1.1416E-4</v>
      </c>
      <c r="E387" s="25">
        <v>1.2116999999999999E-4</v>
      </c>
      <c r="F387" s="25">
        <v>1.3866E-4</v>
      </c>
      <c r="G387" s="25">
        <v>5.2250000000000003E-5</v>
      </c>
      <c r="H387" s="25">
        <v>6.9859999999999999E-5</v>
      </c>
      <c r="I387" s="9">
        <v>1.2224999999999999E-4</v>
      </c>
      <c r="J387" s="9">
        <v>1.1314E-4</v>
      </c>
      <c r="K387" s="9">
        <v>2.6704000000000002E-4</v>
      </c>
      <c r="L387" s="9">
        <v>9.1860000000000005E-5</v>
      </c>
      <c r="M387" s="9">
        <v>9.9290000000000007E-5</v>
      </c>
      <c r="N387" s="9">
        <v>9.993E-5</v>
      </c>
      <c r="O387" s="9">
        <v>7.8670000000000004E-5</v>
      </c>
      <c r="P387" s="9">
        <v>7.2550000000000002E-5</v>
      </c>
      <c r="Q387" s="9">
        <v>6.7269999999999998E-5</v>
      </c>
      <c r="R387" s="10">
        <v>9.035662094237403E-5</v>
      </c>
      <c r="S387" s="10">
        <v>1.5965946635061501E-4</v>
      </c>
      <c r="T387" s="10">
        <v>0</v>
      </c>
      <c r="U387" s="10">
        <v>1.8866E-4</v>
      </c>
      <c r="V387" s="25"/>
      <c r="W387" s="25"/>
      <c r="X387" s="25"/>
      <c r="Y387" s="25"/>
      <c r="Z387" s="25"/>
      <c r="AA387" s="25"/>
    </row>
    <row r="388" spans="1:27" x14ac:dyDescent="0.35">
      <c r="A388" s="5">
        <v>384</v>
      </c>
      <c r="B388" s="5">
        <v>16</v>
      </c>
      <c r="C388" s="5">
        <v>1</v>
      </c>
      <c r="D388" s="25">
        <v>1.1415000000000001E-4</v>
      </c>
      <c r="E388" s="25">
        <v>1.1618E-4</v>
      </c>
      <c r="F388" s="25">
        <v>1.1827E-4</v>
      </c>
      <c r="G388" s="25">
        <v>6.2470000000000003E-5</v>
      </c>
      <c r="H388" s="25">
        <v>6.813E-5</v>
      </c>
      <c r="I388" s="9">
        <v>1.2381E-4</v>
      </c>
      <c r="J388" s="9">
        <v>1.0700999999999999E-4</v>
      </c>
      <c r="K388" s="9">
        <v>2.4583999999999999E-4</v>
      </c>
      <c r="L388" s="9">
        <v>8.153E-5</v>
      </c>
      <c r="M388" s="9">
        <v>8.6500000000000002E-5</v>
      </c>
      <c r="N388" s="9">
        <v>9.0779999999999995E-5</v>
      </c>
      <c r="O388" s="9">
        <v>6.3070000000000004E-5</v>
      </c>
      <c r="P388" s="9">
        <v>6.0850000000000002E-5</v>
      </c>
      <c r="Q388" s="9">
        <v>5.9030000000000002E-5</v>
      </c>
      <c r="R388" s="10">
        <v>9.2318280039832556E-5</v>
      </c>
      <c r="S388" s="10">
        <v>1.8171951006147084E-4</v>
      </c>
      <c r="T388" s="10">
        <v>0</v>
      </c>
      <c r="U388" s="10">
        <v>1.8866E-4</v>
      </c>
      <c r="V388" s="25"/>
      <c r="W388" s="25"/>
      <c r="X388" s="25"/>
      <c r="Y388" s="25"/>
      <c r="Z388" s="25"/>
      <c r="AA388" s="25"/>
    </row>
    <row r="389" spans="1:27" x14ac:dyDescent="0.35">
      <c r="A389" s="5">
        <v>385</v>
      </c>
      <c r="B389" s="5">
        <v>17</v>
      </c>
      <c r="C389" s="5">
        <v>1</v>
      </c>
      <c r="D389" s="25">
        <v>1.1416E-4</v>
      </c>
      <c r="E389" s="25">
        <v>1.1752999999999999E-4</v>
      </c>
      <c r="F389" s="25">
        <v>9.2780000000000003E-5</v>
      </c>
      <c r="G389" s="25">
        <v>6.1680000000000006E-5</v>
      </c>
      <c r="H389" s="25">
        <v>6.737E-5</v>
      </c>
      <c r="I389" s="9">
        <v>1.1781E-4</v>
      </c>
      <c r="J389" s="9">
        <v>1.015E-4</v>
      </c>
      <c r="K389" s="9">
        <v>2.2252E-4</v>
      </c>
      <c r="L389" s="9">
        <v>6.7119999999999994E-5</v>
      </c>
      <c r="M389" s="9">
        <v>7.4339999999999996E-5</v>
      </c>
      <c r="N389" s="9">
        <v>8.1409999999999995E-5</v>
      </c>
      <c r="O389" s="9">
        <v>5.5059999999999998E-5</v>
      </c>
      <c r="P389" s="9">
        <v>5.4469999999999999E-5</v>
      </c>
      <c r="Q389" s="9">
        <v>5.4039999999999998E-5</v>
      </c>
      <c r="R389" s="10">
        <v>9.2584550658589832E-5</v>
      </c>
      <c r="S389" s="10">
        <v>1.7833752303162675E-4</v>
      </c>
      <c r="T389" s="10">
        <v>0</v>
      </c>
      <c r="U389" s="10">
        <v>1.8675000000000001E-4</v>
      </c>
      <c r="V389" s="25"/>
      <c r="W389" s="25"/>
      <c r="X389" s="25"/>
      <c r="Y389" s="25"/>
      <c r="Z389" s="25"/>
      <c r="AA389" s="25"/>
    </row>
    <row r="390" spans="1:27" x14ac:dyDescent="0.35">
      <c r="A390" s="5">
        <v>386</v>
      </c>
      <c r="B390" s="5">
        <v>17</v>
      </c>
      <c r="C390" s="5">
        <v>1</v>
      </c>
      <c r="D390" s="25">
        <v>1.1415000000000001E-4</v>
      </c>
      <c r="E390" s="25">
        <v>1.2433999999999999E-4</v>
      </c>
      <c r="F390" s="25">
        <v>9.9939999999999995E-5</v>
      </c>
      <c r="G390" s="25">
        <v>6.2559999999999997E-5</v>
      </c>
      <c r="H390" s="25">
        <v>6.4300000000000004E-5</v>
      </c>
      <c r="I390" s="9">
        <v>1.1239E-4</v>
      </c>
      <c r="J390" s="9">
        <v>9.6689999999999998E-5</v>
      </c>
      <c r="K390" s="9">
        <v>2.2041000000000001E-4</v>
      </c>
      <c r="L390" s="9">
        <v>5.8109999999999998E-5</v>
      </c>
      <c r="M390" s="9">
        <v>6.4280000000000001E-5</v>
      </c>
      <c r="N390" s="9">
        <v>7.2399999999999998E-5</v>
      </c>
      <c r="O390" s="9">
        <v>1.8329999999999999E-5</v>
      </c>
      <c r="P390" s="9">
        <v>3.7880000000000003E-5</v>
      </c>
      <c r="Q390" s="9">
        <v>5.6379999999999999E-5</v>
      </c>
      <c r="R390" s="10">
        <v>9.2224431980950742E-5</v>
      </c>
      <c r="S390" s="10">
        <v>1.6843549805857489E-4</v>
      </c>
      <c r="T390" s="10">
        <v>0</v>
      </c>
      <c r="U390" s="10">
        <v>1.8675000000000001E-4</v>
      </c>
      <c r="V390" s="25"/>
      <c r="W390" s="25"/>
      <c r="X390" s="25"/>
      <c r="Y390" s="25"/>
      <c r="Z390" s="25"/>
      <c r="AA390" s="25"/>
    </row>
    <row r="391" spans="1:27" x14ac:dyDescent="0.35">
      <c r="A391" s="5">
        <v>387</v>
      </c>
      <c r="B391" s="5">
        <v>17</v>
      </c>
      <c r="C391" s="5">
        <v>1</v>
      </c>
      <c r="D391" s="25">
        <v>1.1416E-4</v>
      </c>
      <c r="E391" s="25">
        <v>1.1291E-4</v>
      </c>
      <c r="F391" s="25">
        <v>1.0613E-4</v>
      </c>
      <c r="G391" s="25">
        <v>5.4639999999999999E-5</v>
      </c>
      <c r="H391" s="25">
        <v>7.5350000000000002E-5</v>
      </c>
      <c r="I391" s="9">
        <v>1.0678E-4</v>
      </c>
      <c r="J391" s="9">
        <v>9.3419999999999997E-5</v>
      </c>
      <c r="K391" s="9">
        <v>2.1405E-4</v>
      </c>
      <c r="L391" s="9">
        <v>2.728E-5</v>
      </c>
      <c r="M391" s="9">
        <v>5.2490000000000001E-5</v>
      </c>
      <c r="N391" s="9">
        <v>6.5840000000000007E-5</v>
      </c>
      <c r="O391" s="9">
        <v>1.277E-5</v>
      </c>
      <c r="P391" s="9">
        <v>3.799E-5</v>
      </c>
      <c r="Q391" s="9">
        <v>6.1920000000000003E-5</v>
      </c>
      <c r="R391" s="10">
        <v>9.2719566795268019E-5</v>
      </c>
      <c r="S391" s="10">
        <v>1.5690103758509786E-4</v>
      </c>
      <c r="T391" s="10">
        <v>0</v>
      </c>
      <c r="U391" s="10">
        <v>1.8675000000000001E-4</v>
      </c>
      <c r="V391" s="25"/>
      <c r="W391" s="25"/>
      <c r="X391" s="25"/>
      <c r="Y391" s="25"/>
      <c r="Z391" s="25"/>
      <c r="AA391" s="25"/>
    </row>
    <row r="392" spans="1:27" x14ac:dyDescent="0.35">
      <c r="A392" s="5">
        <v>388</v>
      </c>
      <c r="B392" s="5">
        <v>17</v>
      </c>
      <c r="C392" s="5">
        <v>1</v>
      </c>
      <c r="D392" s="25">
        <v>1.1415000000000001E-4</v>
      </c>
      <c r="E392" s="25">
        <v>1.1278E-4</v>
      </c>
      <c r="F392" s="25">
        <v>1.0874000000000001E-4</v>
      </c>
      <c r="G392" s="25">
        <v>5.3879999999999999E-5</v>
      </c>
      <c r="H392" s="25">
        <v>7.6249999999999997E-5</v>
      </c>
      <c r="I392" s="9">
        <v>1.032E-4</v>
      </c>
      <c r="J392" s="9">
        <v>9.179E-5</v>
      </c>
      <c r="K392" s="9">
        <v>2.0770000000000001E-4</v>
      </c>
      <c r="L392" s="9">
        <v>1.6719999999999999E-5</v>
      </c>
      <c r="M392" s="9">
        <v>4.4459999999999998E-5</v>
      </c>
      <c r="N392" s="9">
        <v>6.2249999999999995E-5</v>
      </c>
      <c r="O392" s="9">
        <v>1.2649999999999999E-5</v>
      </c>
      <c r="P392" s="9">
        <v>4.7049999999999998E-5</v>
      </c>
      <c r="Q392" s="9">
        <v>8.0019999999999996E-5</v>
      </c>
      <c r="R392" s="10">
        <v>8.6888613928285879E-5</v>
      </c>
      <c r="S392" s="10">
        <v>1.60238778329194E-4</v>
      </c>
      <c r="T392" s="10">
        <v>0</v>
      </c>
      <c r="U392" s="10">
        <v>1.8675000000000001E-4</v>
      </c>
      <c r="V392" s="25"/>
      <c r="W392" s="25"/>
      <c r="X392" s="25"/>
      <c r="Y392" s="25"/>
      <c r="Z392" s="25"/>
      <c r="AA392" s="25"/>
    </row>
    <row r="393" spans="1:27" x14ac:dyDescent="0.35">
      <c r="A393" s="5">
        <v>389</v>
      </c>
      <c r="B393" s="5">
        <v>17</v>
      </c>
      <c r="C393" s="5">
        <v>1</v>
      </c>
      <c r="D393" s="25">
        <v>1.1416E-4</v>
      </c>
      <c r="E393" s="25">
        <v>1.1383E-4</v>
      </c>
      <c r="F393" s="25">
        <v>9.446E-5</v>
      </c>
      <c r="G393" s="25">
        <v>6.3490000000000004E-5</v>
      </c>
      <c r="H393" s="25">
        <v>6.7600000000000003E-5</v>
      </c>
      <c r="I393" s="9">
        <v>1.0176E-4</v>
      </c>
      <c r="J393" s="9">
        <v>9.1650000000000005E-5</v>
      </c>
      <c r="K393" s="9">
        <v>1.9498000000000001E-4</v>
      </c>
      <c r="L393" s="9">
        <v>1.38E-5</v>
      </c>
      <c r="M393" s="9">
        <v>4.3579999999999999E-5</v>
      </c>
      <c r="N393" s="9">
        <v>6.4640000000000005E-5</v>
      </c>
      <c r="O393" s="9">
        <v>1.8240000000000002E-5</v>
      </c>
      <c r="P393" s="9">
        <v>5.6549999999999999E-5</v>
      </c>
      <c r="Q393" s="9">
        <v>9.3499999999999996E-5</v>
      </c>
      <c r="R393" s="10">
        <v>8.2656283826736937E-5</v>
      </c>
      <c r="S393" s="10">
        <v>1.6882909818183284E-4</v>
      </c>
      <c r="T393" s="10">
        <v>0</v>
      </c>
      <c r="U393" s="10">
        <v>1.8675000000000001E-4</v>
      </c>
      <c r="V393" s="25"/>
      <c r="W393" s="25"/>
      <c r="X393" s="25"/>
      <c r="Y393" s="25"/>
      <c r="Z393" s="25"/>
      <c r="AA393" s="25"/>
    </row>
    <row r="394" spans="1:27" x14ac:dyDescent="0.35">
      <c r="A394" s="5">
        <v>390</v>
      </c>
      <c r="B394" s="5">
        <v>17</v>
      </c>
      <c r="C394" s="5">
        <v>1</v>
      </c>
      <c r="D394" s="25">
        <v>1.1415000000000001E-4</v>
      </c>
      <c r="E394" s="25">
        <v>1.1498E-4</v>
      </c>
      <c r="F394" s="25">
        <v>1.0315999999999999E-4</v>
      </c>
      <c r="G394" s="25">
        <v>1.0586000000000001E-4</v>
      </c>
      <c r="H394" s="25">
        <v>1.3092999999999999E-4</v>
      </c>
      <c r="I394" s="9">
        <v>1.0187999999999999E-4</v>
      </c>
      <c r="J394" s="9">
        <v>9.2540000000000005E-5</v>
      </c>
      <c r="K394" s="9">
        <v>1.9498000000000001E-4</v>
      </c>
      <c r="L394" s="9">
        <v>1.713E-5</v>
      </c>
      <c r="M394" s="9">
        <v>4.8369999999999999E-5</v>
      </c>
      <c r="N394" s="9">
        <v>7.1099999999999994E-5</v>
      </c>
      <c r="O394" s="9">
        <v>4.6329999999999999E-5</v>
      </c>
      <c r="P394" s="9">
        <v>7.716E-5</v>
      </c>
      <c r="Q394" s="9">
        <v>1.0744E-4</v>
      </c>
      <c r="R394" s="10">
        <v>8.5185467461085322E-5</v>
      </c>
      <c r="S394" s="10">
        <v>1.7230702200592263E-4</v>
      </c>
      <c r="T394" s="10">
        <v>0</v>
      </c>
      <c r="U394" s="10">
        <v>1.8675000000000001E-4</v>
      </c>
      <c r="V394" s="25"/>
      <c r="W394" s="25"/>
      <c r="X394" s="25"/>
      <c r="Y394" s="25"/>
      <c r="Z394" s="25"/>
      <c r="AA394" s="25"/>
    </row>
    <row r="395" spans="1:27" x14ac:dyDescent="0.35">
      <c r="A395" s="5">
        <v>391</v>
      </c>
      <c r="B395" s="5">
        <v>17</v>
      </c>
      <c r="C395" s="5">
        <v>1</v>
      </c>
      <c r="D395" s="25">
        <v>1.1416E-4</v>
      </c>
      <c r="E395" s="25">
        <v>1.2012E-4</v>
      </c>
      <c r="F395" s="25">
        <v>1.0218E-4</v>
      </c>
      <c r="G395" s="25">
        <v>1.1192999999999999E-4</v>
      </c>
      <c r="H395" s="25">
        <v>1.3631E-4</v>
      </c>
      <c r="I395" s="9">
        <v>1.0376E-4</v>
      </c>
      <c r="J395" s="9">
        <v>9.4939999999999996E-5</v>
      </c>
      <c r="K395" s="9">
        <v>1.9709E-4</v>
      </c>
      <c r="L395" s="9">
        <v>3.9759999999999999E-5</v>
      </c>
      <c r="M395" s="9">
        <v>6.0099999999999997E-5</v>
      </c>
      <c r="N395" s="9">
        <v>8.0840000000000005E-5</v>
      </c>
      <c r="O395" s="9">
        <v>1.2502999999999999E-4</v>
      </c>
      <c r="P395" s="9">
        <v>1.1806E-4</v>
      </c>
      <c r="Q395" s="9">
        <v>1.131E-4</v>
      </c>
      <c r="R395" s="10">
        <v>8.458110644406291E-5</v>
      </c>
      <c r="S395" s="10">
        <v>1.7563569260384114E-4</v>
      </c>
      <c r="T395" s="10">
        <v>0</v>
      </c>
      <c r="U395" s="10">
        <v>1.8675000000000001E-4</v>
      </c>
      <c r="V395" s="25"/>
      <c r="W395" s="25"/>
      <c r="X395" s="25"/>
      <c r="Y395" s="25"/>
      <c r="Z395" s="25"/>
      <c r="AA395" s="25"/>
    </row>
    <row r="396" spans="1:27" x14ac:dyDescent="0.35">
      <c r="A396" s="5">
        <v>392</v>
      </c>
      <c r="B396" s="5">
        <v>17</v>
      </c>
      <c r="C396" s="5">
        <v>1</v>
      </c>
      <c r="D396" s="25">
        <v>1.1415000000000001E-4</v>
      </c>
      <c r="E396" s="25">
        <v>1.2259E-4</v>
      </c>
      <c r="F396" s="25">
        <v>9.9430000000000002E-5</v>
      </c>
      <c r="G396" s="25">
        <v>1.6338E-4</v>
      </c>
      <c r="H396" s="25">
        <v>1.9785000000000001E-4</v>
      </c>
      <c r="I396" s="9">
        <v>1.0561E-4</v>
      </c>
      <c r="J396" s="9">
        <v>9.925E-5</v>
      </c>
      <c r="K396" s="9">
        <v>1.9497000000000001E-4</v>
      </c>
      <c r="L396" s="9">
        <v>1.0564E-4</v>
      </c>
      <c r="M396" s="9">
        <v>8.3990000000000001E-5</v>
      </c>
      <c r="N396" s="9">
        <v>9.1039999999999996E-5</v>
      </c>
      <c r="O396" s="9">
        <v>2.2214000000000001E-4</v>
      </c>
      <c r="P396" s="9">
        <v>1.7688E-4</v>
      </c>
      <c r="Q396" s="9">
        <v>1.3663999999999999E-4</v>
      </c>
      <c r="R396" s="10">
        <v>8.6406959198680999E-5</v>
      </c>
      <c r="S396" s="10">
        <v>1.7821639030772589E-4</v>
      </c>
      <c r="T396" s="10">
        <v>0</v>
      </c>
      <c r="U396" s="10">
        <v>1.8675000000000001E-4</v>
      </c>
      <c r="V396" s="25"/>
      <c r="W396" s="25"/>
      <c r="X396" s="25"/>
      <c r="Y396" s="25"/>
      <c r="Z396" s="25"/>
      <c r="AA396" s="25"/>
    </row>
    <row r="397" spans="1:27" x14ac:dyDescent="0.35">
      <c r="A397" s="5">
        <v>393</v>
      </c>
      <c r="B397" s="5">
        <v>17</v>
      </c>
      <c r="C397" s="5">
        <v>1</v>
      </c>
      <c r="D397" s="25">
        <v>1.1416E-4</v>
      </c>
      <c r="E397" s="25">
        <v>1.2318999999999999E-4</v>
      </c>
      <c r="F397" s="25">
        <v>1.0504E-4</v>
      </c>
      <c r="G397" s="25">
        <v>1.6578E-4</v>
      </c>
      <c r="H397" s="25">
        <v>1.9233E-4</v>
      </c>
      <c r="I397" s="9">
        <v>1.1135E-4</v>
      </c>
      <c r="J397" s="9">
        <v>1.0535999999999999E-4</v>
      </c>
      <c r="K397" s="9">
        <v>1.8437999999999999E-4</v>
      </c>
      <c r="L397" s="9">
        <v>1.9469999999999999E-4</v>
      </c>
      <c r="M397" s="9">
        <v>1.2360999999999999E-4</v>
      </c>
      <c r="N397" s="9">
        <v>1.0474E-4</v>
      </c>
      <c r="O397" s="9">
        <v>2.1188000000000001E-4</v>
      </c>
      <c r="P397" s="9">
        <v>1.9139E-4</v>
      </c>
      <c r="Q397" s="9">
        <v>1.7527999999999999E-4</v>
      </c>
      <c r="R397" s="10">
        <v>9.4094264132491172E-5</v>
      </c>
      <c r="S397" s="10">
        <v>1.7723291843125088E-4</v>
      </c>
      <c r="T397" s="10">
        <v>5.5360053259679922E-5</v>
      </c>
      <c r="U397" s="10">
        <v>1.8675000000000001E-4</v>
      </c>
      <c r="V397" s="25"/>
      <c r="W397" s="25"/>
      <c r="X397" s="25"/>
      <c r="Y397" s="25"/>
      <c r="Z397" s="25"/>
      <c r="AA397" s="25"/>
    </row>
    <row r="398" spans="1:27" x14ac:dyDescent="0.35">
      <c r="A398" s="5">
        <v>394</v>
      </c>
      <c r="B398" s="5">
        <v>17</v>
      </c>
      <c r="C398" s="5">
        <v>1</v>
      </c>
      <c r="D398" s="25">
        <v>1.1415000000000001E-4</v>
      </c>
      <c r="E398" s="25">
        <v>1.2289000000000001E-4</v>
      </c>
      <c r="F398" s="25">
        <v>9.399E-5</v>
      </c>
      <c r="G398" s="25">
        <v>1.5639000000000001E-4</v>
      </c>
      <c r="H398" s="25">
        <v>1.9581000000000001E-4</v>
      </c>
      <c r="I398" s="9">
        <v>1.1667000000000001E-4</v>
      </c>
      <c r="J398" s="9">
        <v>1.1088E-4</v>
      </c>
      <c r="K398" s="9">
        <v>1.7590999999999999E-4</v>
      </c>
      <c r="L398" s="9">
        <v>2.0577E-4</v>
      </c>
      <c r="M398" s="9">
        <v>1.5804E-4</v>
      </c>
      <c r="N398" s="9">
        <v>1.2438E-4</v>
      </c>
      <c r="O398" s="9">
        <v>1.6782E-4</v>
      </c>
      <c r="P398" s="9">
        <v>1.7288000000000001E-4</v>
      </c>
      <c r="Q398" s="9">
        <v>1.8081999999999999E-4</v>
      </c>
      <c r="R398" s="10">
        <v>1.0361960033292378E-4</v>
      </c>
      <c r="S398" s="10">
        <v>1.7691833326175327E-4</v>
      </c>
      <c r="T398" s="10">
        <v>3.0419606890000984E-4</v>
      </c>
      <c r="U398" s="10">
        <v>1.8675000000000001E-4</v>
      </c>
      <c r="V398" s="25"/>
      <c r="W398" s="25"/>
      <c r="X398" s="25"/>
      <c r="Y398" s="25"/>
      <c r="Z398" s="25"/>
      <c r="AA398" s="25"/>
    </row>
    <row r="399" spans="1:27" x14ac:dyDescent="0.35">
      <c r="A399" s="5">
        <v>395</v>
      </c>
      <c r="B399" s="5">
        <v>17</v>
      </c>
      <c r="C399" s="5">
        <v>1</v>
      </c>
      <c r="D399" s="25">
        <v>1.1416E-4</v>
      </c>
      <c r="E399" s="25">
        <v>1.2345999999999999E-4</v>
      </c>
      <c r="F399" s="25">
        <v>1.1010000000000001E-4</v>
      </c>
      <c r="G399" s="25">
        <v>1.5728000000000001E-4</v>
      </c>
      <c r="H399" s="25">
        <v>1.9257000000000001E-4</v>
      </c>
      <c r="I399" s="9">
        <v>1.1998999999999999E-4</v>
      </c>
      <c r="J399" s="9">
        <v>1.1406E-4</v>
      </c>
      <c r="K399" s="9">
        <v>1.7802000000000001E-4</v>
      </c>
      <c r="L399" s="9">
        <v>1.7629000000000001E-4</v>
      </c>
      <c r="M399" s="9">
        <v>1.7132000000000001E-4</v>
      </c>
      <c r="N399" s="9">
        <v>1.4217E-4</v>
      </c>
      <c r="O399" s="9">
        <v>1.684E-4</v>
      </c>
      <c r="P399" s="9">
        <v>1.7212999999999999E-4</v>
      </c>
      <c r="Q399" s="9">
        <v>1.7877999999999999E-4</v>
      </c>
      <c r="R399" s="10">
        <v>1.0907340450469621E-4</v>
      </c>
      <c r="S399" s="10">
        <v>1.7779912029522649E-4</v>
      </c>
      <c r="T399" s="10">
        <v>4.667467601493903E-4</v>
      </c>
      <c r="U399" s="10">
        <v>1.8675000000000001E-4</v>
      </c>
      <c r="V399" s="25"/>
      <c r="W399" s="25"/>
      <c r="X399" s="25"/>
      <c r="Y399" s="25"/>
      <c r="Z399" s="25"/>
      <c r="AA399" s="25"/>
    </row>
    <row r="400" spans="1:27" x14ac:dyDescent="0.35">
      <c r="A400" s="5">
        <v>396</v>
      </c>
      <c r="B400" s="5">
        <v>17</v>
      </c>
      <c r="C400" s="5">
        <v>1</v>
      </c>
      <c r="D400" s="25">
        <v>1.1415000000000001E-4</v>
      </c>
      <c r="E400" s="25">
        <v>1.1595999999999999E-4</v>
      </c>
      <c r="F400" s="25">
        <v>1.1048E-4</v>
      </c>
      <c r="G400" s="25">
        <v>1.6000000000000001E-4</v>
      </c>
      <c r="H400" s="25">
        <v>1.9158000000000001E-4</v>
      </c>
      <c r="I400" s="9">
        <v>1.2436000000000001E-4</v>
      </c>
      <c r="J400" s="9">
        <v>1.1526E-4</v>
      </c>
      <c r="K400" s="9">
        <v>1.7803E-4</v>
      </c>
      <c r="L400" s="9">
        <v>1.7155999999999999E-4</v>
      </c>
      <c r="M400" s="9">
        <v>1.7384E-4</v>
      </c>
      <c r="N400" s="9">
        <v>1.5609E-4</v>
      </c>
      <c r="O400" s="9">
        <v>1.7113999999999999E-4</v>
      </c>
      <c r="P400" s="9">
        <v>1.7075E-4</v>
      </c>
      <c r="Q400" s="9">
        <v>1.7341000000000001E-4</v>
      </c>
      <c r="R400" s="10">
        <v>1.0378929933916074E-4</v>
      </c>
      <c r="S400" s="10">
        <v>1.8176138253101081E-4</v>
      </c>
      <c r="T400" s="10">
        <v>5.4205340118125523E-4</v>
      </c>
      <c r="U400" s="10">
        <v>1.8675000000000001E-4</v>
      </c>
      <c r="V400" s="25"/>
      <c r="W400" s="25"/>
      <c r="X400" s="25"/>
      <c r="Y400" s="25"/>
      <c r="Z400" s="25"/>
      <c r="AA400" s="25"/>
    </row>
    <row r="401" spans="1:27" x14ac:dyDescent="0.35">
      <c r="A401" s="5">
        <v>397</v>
      </c>
      <c r="B401" s="5">
        <v>17</v>
      </c>
      <c r="C401" s="5">
        <v>1</v>
      </c>
      <c r="D401" s="25">
        <v>1.1416E-4</v>
      </c>
      <c r="E401" s="25">
        <v>1.1356E-4</v>
      </c>
      <c r="F401" s="25">
        <v>9.4359999999999998E-5</v>
      </c>
      <c r="G401" s="25">
        <v>1.6563E-4</v>
      </c>
      <c r="H401" s="25">
        <v>1.9430000000000001E-4</v>
      </c>
      <c r="I401" s="9">
        <v>1.2507999999999999E-4</v>
      </c>
      <c r="J401" s="9">
        <v>1.1579E-4</v>
      </c>
      <c r="K401" s="9">
        <v>1.7379E-4</v>
      </c>
      <c r="L401" s="9">
        <v>1.7138E-4</v>
      </c>
      <c r="M401" s="9">
        <v>1.7291999999999999E-4</v>
      </c>
      <c r="N401" s="9">
        <v>1.6542999999999999E-4</v>
      </c>
      <c r="O401" s="9">
        <v>1.6333999999999999E-4</v>
      </c>
      <c r="P401" s="9">
        <v>1.639E-4</v>
      </c>
      <c r="Q401" s="9">
        <v>1.6729000000000001E-4</v>
      </c>
      <c r="R401" s="10">
        <v>1.0276094716274102E-4</v>
      </c>
      <c r="S401" s="10">
        <v>1.8622280609853893E-4</v>
      </c>
      <c r="T401" s="10">
        <v>5.4141707872999462E-4</v>
      </c>
      <c r="U401" s="10">
        <v>1.8675000000000001E-4</v>
      </c>
      <c r="V401" s="25"/>
      <c r="W401" s="25"/>
      <c r="X401" s="25"/>
      <c r="Y401" s="25"/>
      <c r="Z401" s="25"/>
      <c r="AA401" s="25"/>
    </row>
    <row r="402" spans="1:27" x14ac:dyDescent="0.35">
      <c r="A402" s="5">
        <v>398</v>
      </c>
      <c r="B402" s="5">
        <v>17</v>
      </c>
      <c r="C402" s="5">
        <v>1</v>
      </c>
      <c r="D402" s="25">
        <v>1.1415000000000001E-4</v>
      </c>
      <c r="E402" s="25">
        <v>1.2239999999999999E-4</v>
      </c>
      <c r="F402" s="25">
        <v>1.0861000000000001E-4</v>
      </c>
      <c r="G402" s="25">
        <v>1.5703000000000001E-4</v>
      </c>
      <c r="H402" s="25">
        <v>1.9113999999999999E-4</v>
      </c>
      <c r="I402" s="9">
        <v>1.2104000000000001E-4</v>
      </c>
      <c r="J402" s="9">
        <v>1.1505E-4</v>
      </c>
      <c r="K402" s="9">
        <v>1.8437999999999999E-4</v>
      </c>
      <c r="L402" s="9">
        <v>1.6485999999999999E-4</v>
      </c>
      <c r="M402" s="9">
        <v>1.694E-4</v>
      </c>
      <c r="N402" s="9">
        <v>1.6982E-4</v>
      </c>
      <c r="O402" s="9">
        <v>1.8000000000000001E-4</v>
      </c>
      <c r="P402" s="9">
        <v>1.6854000000000001E-4</v>
      </c>
      <c r="Q402" s="9">
        <v>1.6051999999999999E-4</v>
      </c>
      <c r="R402" s="10">
        <v>1.0583635993901041E-4</v>
      </c>
      <c r="S402" s="10">
        <v>1.8782811784082804E-4</v>
      </c>
      <c r="T402" s="10">
        <v>4.8663395782612434E-4</v>
      </c>
      <c r="U402" s="10">
        <v>1.8675000000000001E-4</v>
      </c>
      <c r="V402" s="25"/>
      <c r="W402" s="25"/>
      <c r="X402" s="25"/>
      <c r="Y402" s="25"/>
      <c r="Z402" s="25"/>
      <c r="AA402" s="25"/>
    </row>
    <row r="403" spans="1:27" x14ac:dyDescent="0.35">
      <c r="A403" s="5">
        <v>399</v>
      </c>
      <c r="B403" s="5">
        <v>17</v>
      </c>
      <c r="C403" s="5">
        <v>1</v>
      </c>
      <c r="D403" s="25">
        <v>1.1416E-4</v>
      </c>
      <c r="E403" s="25">
        <v>1.2159000000000001E-4</v>
      </c>
      <c r="F403" s="25">
        <v>8.9619999999999999E-5</v>
      </c>
      <c r="G403" s="25">
        <v>1.6674999999999999E-4</v>
      </c>
      <c r="H403" s="25">
        <v>1.9969000000000001E-4</v>
      </c>
      <c r="I403" s="9">
        <v>1.1642999999999999E-4</v>
      </c>
      <c r="J403" s="9">
        <v>1.1428E-4</v>
      </c>
      <c r="K403" s="9">
        <v>1.8013999999999999E-4</v>
      </c>
      <c r="L403" s="9">
        <v>1.7682E-4</v>
      </c>
      <c r="M403" s="9">
        <v>1.6807000000000001E-4</v>
      </c>
      <c r="N403" s="9">
        <v>1.6945E-4</v>
      </c>
      <c r="O403" s="9">
        <v>1.8671000000000001E-4</v>
      </c>
      <c r="P403" s="9">
        <v>1.6822000000000001E-4</v>
      </c>
      <c r="Q403" s="9">
        <v>1.5343999999999999E-4</v>
      </c>
      <c r="R403" s="10">
        <v>1.104310746720071E-4</v>
      </c>
      <c r="S403" s="10">
        <v>1.8807343655147295E-4</v>
      </c>
      <c r="T403" s="10">
        <v>3.3764966123762176E-4</v>
      </c>
      <c r="U403" s="10">
        <v>1.8675000000000001E-4</v>
      </c>
      <c r="V403" s="25"/>
      <c r="W403" s="25"/>
      <c r="X403" s="25"/>
      <c r="Y403" s="25"/>
      <c r="Z403" s="25"/>
      <c r="AA403" s="25"/>
    </row>
    <row r="404" spans="1:27" x14ac:dyDescent="0.35">
      <c r="A404" s="5">
        <v>400</v>
      </c>
      <c r="B404" s="5">
        <v>17</v>
      </c>
      <c r="C404" s="5">
        <v>1</v>
      </c>
      <c r="D404" s="25">
        <v>1.1415000000000001E-4</v>
      </c>
      <c r="E404" s="25">
        <v>1.153E-4</v>
      </c>
      <c r="F404" s="25">
        <v>9.7330000000000005E-5</v>
      </c>
      <c r="G404" s="25">
        <v>1.5997E-4</v>
      </c>
      <c r="H404" s="25">
        <v>2.0050999999999999E-4</v>
      </c>
      <c r="I404" s="9">
        <v>1.1529E-4</v>
      </c>
      <c r="J404" s="9">
        <v>1.1482E-4</v>
      </c>
      <c r="K404" s="9">
        <v>1.7590999999999999E-4</v>
      </c>
      <c r="L404" s="9">
        <v>1.8422999999999999E-4</v>
      </c>
      <c r="M404" s="9">
        <v>1.6787E-4</v>
      </c>
      <c r="N404" s="9">
        <v>1.6592000000000001E-4</v>
      </c>
      <c r="O404" s="9">
        <v>1.9914999999999999E-4</v>
      </c>
      <c r="P404" s="9">
        <v>1.5207999999999999E-4</v>
      </c>
      <c r="Q404" s="9">
        <v>1.0949E-4</v>
      </c>
      <c r="R404" s="10">
        <v>1.2313556056424047E-4</v>
      </c>
      <c r="S404" s="10">
        <v>1.8940624310026977E-4</v>
      </c>
      <c r="T404" s="10">
        <v>1.3272837903362952E-4</v>
      </c>
      <c r="U404" s="10">
        <v>1.8675000000000001E-4</v>
      </c>
      <c r="V404" s="25"/>
      <c r="W404" s="25"/>
      <c r="X404" s="25"/>
      <c r="Y404" s="25"/>
      <c r="Z404" s="25"/>
      <c r="AA404" s="25"/>
    </row>
    <row r="405" spans="1:27" x14ac:dyDescent="0.35">
      <c r="A405" s="5">
        <v>401</v>
      </c>
      <c r="B405" s="5">
        <v>17</v>
      </c>
      <c r="C405" s="5">
        <v>1</v>
      </c>
      <c r="D405" s="25">
        <v>1.1416E-4</v>
      </c>
      <c r="E405" s="25">
        <v>1.1792E-4</v>
      </c>
      <c r="F405" s="25">
        <v>9.9850000000000001E-5</v>
      </c>
      <c r="G405" s="25">
        <v>1.6568E-4</v>
      </c>
      <c r="H405" s="25">
        <v>1.9076E-4</v>
      </c>
      <c r="I405" s="9">
        <v>1.1662E-4</v>
      </c>
      <c r="J405" s="9">
        <v>1.1820999999999999E-4</v>
      </c>
      <c r="K405" s="9">
        <v>1.7166999999999999E-4</v>
      </c>
      <c r="L405" s="9">
        <v>1.9561000000000001E-4</v>
      </c>
      <c r="M405" s="9">
        <v>1.6223999999999999E-4</v>
      </c>
      <c r="N405" s="9">
        <v>1.5228999999999999E-4</v>
      </c>
      <c r="O405" s="9">
        <v>2.1589999999999999E-4</v>
      </c>
      <c r="P405" s="9">
        <v>1.5885000000000001E-4</v>
      </c>
      <c r="Q405" s="9">
        <v>1.0685E-4</v>
      </c>
      <c r="R405" s="10">
        <v>1.4611795230948566E-4</v>
      </c>
      <c r="S405" s="10">
        <v>1.8935155162539346E-4</v>
      </c>
      <c r="T405" s="10">
        <v>0</v>
      </c>
      <c r="U405" s="10">
        <v>1.8675000000000001E-4</v>
      </c>
      <c r="V405" s="25"/>
      <c r="W405" s="25"/>
      <c r="X405" s="25"/>
      <c r="Y405" s="25"/>
      <c r="Z405" s="25"/>
      <c r="AA405" s="25"/>
    </row>
    <row r="406" spans="1:27" x14ac:dyDescent="0.35">
      <c r="A406" s="5">
        <v>402</v>
      </c>
      <c r="B406" s="5">
        <v>17</v>
      </c>
      <c r="C406" s="5">
        <v>1</v>
      </c>
      <c r="D406" s="25">
        <v>1.1415000000000001E-4</v>
      </c>
      <c r="E406" s="25">
        <v>1.1352E-4</v>
      </c>
      <c r="F406" s="25">
        <v>1.0196000000000001E-4</v>
      </c>
      <c r="G406" s="25">
        <v>1.6157000000000001E-4</v>
      </c>
      <c r="H406" s="25">
        <v>2.0128999999999999E-4</v>
      </c>
      <c r="I406" s="9">
        <v>1.2629000000000001E-4</v>
      </c>
      <c r="J406" s="9">
        <v>1.3172999999999999E-4</v>
      </c>
      <c r="K406" s="9">
        <v>1.6955E-4</v>
      </c>
      <c r="L406" s="9">
        <v>2.1121000000000001E-4</v>
      </c>
      <c r="M406" s="9">
        <v>1.5944E-4</v>
      </c>
      <c r="N406" s="9">
        <v>1.3899E-4</v>
      </c>
      <c r="O406" s="9">
        <v>2.0901000000000001E-4</v>
      </c>
      <c r="P406" s="9">
        <v>1.6132000000000001E-4</v>
      </c>
      <c r="Q406" s="9">
        <v>1.1836E-4</v>
      </c>
      <c r="R406" s="10">
        <v>1.7229025282364976E-4</v>
      </c>
      <c r="S406" s="10">
        <v>1.8864405708780428E-4</v>
      </c>
      <c r="T406" s="10">
        <v>0</v>
      </c>
      <c r="U406" s="10">
        <v>1.8675000000000001E-4</v>
      </c>
      <c r="V406" s="25"/>
      <c r="W406" s="25"/>
      <c r="X406" s="25"/>
      <c r="Y406" s="25"/>
      <c r="Z406" s="25"/>
      <c r="AA406" s="25"/>
    </row>
    <row r="407" spans="1:27" x14ac:dyDescent="0.35">
      <c r="A407" s="5">
        <v>403</v>
      </c>
      <c r="B407" s="5">
        <v>17</v>
      </c>
      <c r="C407" s="5">
        <v>1</v>
      </c>
      <c r="D407" s="25">
        <v>1.1416E-4</v>
      </c>
      <c r="E407" s="25">
        <v>1.1959999999999999E-4</v>
      </c>
      <c r="F407" s="25">
        <v>1.0233E-4</v>
      </c>
      <c r="G407" s="25">
        <v>1.0574E-4</v>
      </c>
      <c r="H407" s="25">
        <v>1.3421E-4</v>
      </c>
      <c r="I407" s="9">
        <v>1.3435000000000001E-4</v>
      </c>
      <c r="J407" s="9">
        <v>1.337E-4</v>
      </c>
      <c r="K407" s="9">
        <v>1.6955E-4</v>
      </c>
      <c r="L407" s="9">
        <v>2.0911000000000001E-4</v>
      </c>
      <c r="M407" s="9">
        <v>1.5954000000000001E-4</v>
      </c>
      <c r="N407" s="9">
        <v>1.3012000000000001E-4</v>
      </c>
      <c r="O407" s="9">
        <v>1.6606999999999999E-4</v>
      </c>
      <c r="P407" s="9">
        <v>1.3484E-4</v>
      </c>
      <c r="Q407" s="9">
        <v>1.0703E-4</v>
      </c>
      <c r="R407" s="10">
        <v>1.8975772265228481E-4</v>
      </c>
      <c r="S407" s="10">
        <v>1.86659431809976E-4</v>
      </c>
      <c r="T407" s="10">
        <v>0</v>
      </c>
      <c r="U407" s="10">
        <v>1.8675000000000001E-4</v>
      </c>
      <c r="V407" s="25"/>
      <c r="W407" s="25"/>
      <c r="X407" s="25"/>
      <c r="Y407" s="25"/>
      <c r="Z407" s="25"/>
      <c r="AA407" s="25"/>
    </row>
    <row r="408" spans="1:27" x14ac:dyDescent="0.35">
      <c r="A408" s="5">
        <v>404</v>
      </c>
      <c r="B408" s="5">
        <v>17</v>
      </c>
      <c r="C408" s="5">
        <v>1</v>
      </c>
      <c r="D408" s="25">
        <v>1.1415000000000001E-4</v>
      </c>
      <c r="E408" s="25">
        <v>1.206E-4</v>
      </c>
      <c r="F408" s="25">
        <v>1.077E-4</v>
      </c>
      <c r="G408" s="25">
        <v>1.1479E-4</v>
      </c>
      <c r="H408" s="25">
        <v>1.2899999999999999E-4</v>
      </c>
      <c r="I408" s="9">
        <v>1.3401E-4</v>
      </c>
      <c r="J408" s="9">
        <v>1.3045E-4</v>
      </c>
      <c r="K408" s="9">
        <v>1.7165999999999999E-4</v>
      </c>
      <c r="L408" s="9">
        <v>1.7567E-4</v>
      </c>
      <c r="M408" s="9">
        <v>1.5086E-4</v>
      </c>
      <c r="N408" s="9">
        <v>1.2102E-4</v>
      </c>
      <c r="O408" s="9">
        <v>1.3003E-4</v>
      </c>
      <c r="P408" s="9">
        <v>1.148E-4</v>
      </c>
      <c r="Q408" s="9">
        <v>1.0184E-4</v>
      </c>
      <c r="R408" s="10">
        <v>1.9839391520796881E-4</v>
      </c>
      <c r="S408" s="10">
        <v>1.8255552258093134E-4</v>
      </c>
      <c r="T408" s="10">
        <v>0</v>
      </c>
      <c r="U408" s="10">
        <v>1.8675000000000001E-4</v>
      </c>
      <c r="V408" s="25"/>
      <c r="W408" s="25"/>
      <c r="X408" s="25"/>
      <c r="Y408" s="25"/>
      <c r="Z408" s="25"/>
      <c r="AA408" s="25"/>
    </row>
    <row r="409" spans="1:27" x14ac:dyDescent="0.35">
      <c r="A409" s="5">
        <v>405</v>
      </c>
      <c r="B409" s="5">
        <v>17</v>
      </c>
      <c r="C409" s="5">
        <v>1</v>
      </c>
      <c r="D409" s="25">
        <v>1.1416E-4</v>
      </c>
      <c r="E409" s="25">
        <v>1.1399E-4</v>
      </c>
      <c r="F409" s="25">
        <v>8.9649999999999997E-5</v>
      </c>
      <c r="G409" s="25">
        <v>5.6650000000000001E-5</v>
      </c>
      <c r="H409" s="25">
        <v>7.4759999999999996E-5</v>
      </c>
      <c r="I409" s="9">
        <v>1.2872E-4</v>
      </c>
      <c r="J409" s="9">
        <v>1.2606E-4</v>
      </c>
      <c r="K409" s="9">
        <v>1.6742999999999999E-4</v>
      </c>
      <c r="L409" s="9">
        <v>1.4109999999999999E-4</v>
      </c>
      <c r="M409" s="9">
        <v>1.3543E-4</v>
      </c>
      <c r="N409" s="9">
        <v>1.133E-4</v>
      </c>
      <c r="O409" s="9">
        <v>8.5220000000000001E-5</v>
      </c>
      <c r="P409" s="9">
        <v>8.632E-5</v>
      </c>
      <c r="Q409" s="9">
        <v>8.8319999999999995E-5</v>
      </c>
      <c r="R409" s="10">
        <v>2.0519309462558815E-4</v>
      </c>
      <c r="S409" s="10">
        <v>1.6869344604799493E-4</v>
      </c>
      <c r="T409" s="10">
        <v>0</v>
      </c>
      <c r="U409" s="10">
        <v>1.8675000000000001E-4</v>
      </c>
      <c r="V409" s="25"/>
      <c r="W409" s="25"/>
      <c r="X409" s="25"/>
      <c r="Y409" s="25"/>
      <c r="Z409" s="25"/>
      <c r="AA409" s="25"/>
    </row>
    <row r="410" spans="1:27" x14ac:dyDescent="0.35">
      <c r="A410" s="5">
        <v>406</v>
      </c>
      <c r="B410" s="5">
        <v>17</v>
      </c>
      <c r="C410" s="5">
        <v>1</v>
      </c>
      <c r="D410" s="25">
        <v>1.1415000000000001E-4</v>
      </c>
      <c r="E410" s="25">
        <v>1.1514999999999999E-4</v>
      </c>
      <c r="F410" s="25">
        <v>9.9500000000000006E-5</v>
      </c>
      <c r="G410" s="25">
        <v>5.8900000000000002E-5</v>
      </c>
      <c r="H410" s="25">
        <v>6.9540000000000002E-5</v>
      </c>
      <c r="I410" s="9">
        <v>1.238E-4</v>
      </c>
      <c r="J410" s="9">
        <v>1.1997000000000001E-4</v>
      </c>
      <c r="K410" s="9">
        <v>1.6742999999999999E-4</v>
      </c>
      <c r="L410" s="9">
        <v>9.8460000000000003E-5</v>
      </c>
      <c r="M410" s="9">
        <v>1.1377E-4</v>
      </c>
      <c r="N410" s="9">
        <v>1.0569E-4</v>
      </c>
      <c r="O410" s="9">
        <v>8.8230000000000001E-5</v>
      </c>
      <c r="P410" s="9">
        <v>8.7899999999999995E-5</v>
      </c>
      <c r="Q410" s="9">
        <v>8.8549999999999998E-5</v>
      </c>
      <c r="R410" s="10">
        <v>2.0875884043302495E-4</v>
      </c>
      <c r="S410" s="10">
        <v>1.4613281118585456E-4</v>
      </c>
      <c r="T410" s="10">
        <v>0</v>
      </c>
      <c r="U410" s="10">
        <v>1.8675000000000001E-4</v>
      </c>
      <c r="V410" s="25"/>
      <c r="W410" s="25"/>
      <c r="X410" s="25"/>
      <c r="Y410" s="25"/>
      <c r="Z410" s="25"/>
      <c r="AA410" s="25"/>
    </row>
    <row r="411" spans="1:27" x14ac:dyDescent="0.35">
      <c r="A411" s="5">
        <v>407</v>
      </c>
      <c r="B411" s="5">
        <v>17</v>
      </c>
      <c r="C411" s="5">
        <v>1</v>
      </c>
      <c r="D411" s="25">
        <v>1.1416E-4</v>
      </c>
      <c r="E411" s="25">
        <v>1.2171999999999999E-4</v>
      </c>
      <c r="F411" s="25">
        <v>9.9679999999999994E-5</v>
      </c>
      <c r="G411" s="25">
        <v>5.7009999999999998E-5</v>
      </c>
      <c r="H411" s="25">
        <v>6.3769999999999994E-5</v>
      </c>
      <c r="I411" s="9">
        <v>1.2523999999999999E-4</v>
      </c>
      <c r="J411" s="9">
        <v>1.1376E-4</v>
      </c>
      <c r="K411" s="9">
        <v>1.6107E-4</v>
      </c>
      <c r="L411" s="9">
        <v>9.1429999999999997E-5</v>
      </c>
      <c r="M411" s="9">
        <v>9.9160000000000006E-5</v>
      </c>
      <c r="N411" s="9">
        <v>9.9939999999999995E-5</v>
      </c>
      <c r="O411" s="9">
        <v>7.8189999999999995E-5</v>
      </c>
      <c r="P411" s="9">
        <v>7.2109999999999999E-5</v>
      </c>
      <c r="Q411" s="9">
        <v>6.6859999999999993E-5</v>
      </c>
      <c r="R411" s="10">
        <v>2.0944735694323897E-4</v>
      </c>
      <c r="S411" s="10">
        <v>1.2888103476926187E-4</v>
      </c>
      <c r="T411" s="10">
        <v>0</v>
      </c>
      <c r="U411" s="10">
        <v>1.8675000000000001E-4</v>
      </c>
      <c r="V411" s="25"/>
      <c r="W411" s="25"/>
      <c r="X411" s="25"/>
      <c r="Y411" s="25"/>
      <c r="Z411" s="25"/>
      <c r="AA411" s="25"/>
    </row>
    <row r="412" spans="1:27" x14ac:dyDescent="0.35">
      <c r="A412" s="5">
        <v>408</v>
      </c>
      <c r="B412" s="5">
        <v>17</v>
      </c>
      <c r="C412" s="5">
        <v>1</v>
      </c>
      <c r="D412" s="25">
        <v>1.1415000000000001E-4</v>
      </c>
      <c r="E412" s="25">
        <v>1.172E-4</v>
      </c>
      <c r="F412" s="25">
        <v>9.8350000000000005E-5</v>
      </c>
      <c r="G412" s="25">
        <v>5.4389999999999999E-5</v>
      </c>
      <c r="H412" s="25">
        <v>7.3750000000000004E-5</v>
      </c>
      <c r="I412" s="9">
        <v>1.2575999999999999E-4</v>
      </c>
      <c r="J412" s="9">
        <v>1.06E-4</v>
      </c>
      <c r="K412" s="9">
        <v>1.5470999999999999E-4</v>
      </c>
      <c r="L412" s="9">
        <v>8.1089999999999998E-5</v>
      </c>
      <c r="M412" s="9">
        <v>8.6210000000000003E-5</v>
      </c>
      <c r="N412" s="9">
        <v>9.0630000000000005E-5</v>
      </c>
      <c r="O412" s="9">
        <v>6.3429999999999994E-5</v>
      </c>
      <c r="P412" s="9">
        <v>6.1210000000000005E-5</v>
      </c>
      <c r="Q412" s="9">
        <v>5.9379999999999997E-5</v>
      </c>
      <c r="R412" s="10">
        <v>2.0549715454522787E-4</v>
      </c>
      <c r="S412" s="10">
        <v>1.3219883459599538E-4</v>
      </c>
      <c r="T412" s="10">
        <v>0</v>
      </c>
      <c r="U412" s="10">
        <v>1.8675000000000001E-4</v>
      </c>
      <c r="V412" s="25"/>
      <c r="W412" s="25"/>
      <c r="X412" s="25"/>
      <c r="Y412" s="25"/>
      <c r="Z412" s="25"/>
      <c r="AA412" s="25"/>
    </row>
    <row r="413" spans="1:27" x14ac:dyDescent="0.35">
      <c r="A413" s="5">
        <v>409</v>
      </c>
      <c r="B413" s="5">
        <v>18</v>
      </c>
      <c r="C413" s="5">
        <v>1</v>
      </c>
      <c r="D413" s="25">
        <v>1.1416E-4</v>
      </c>
      <c r="E413" s="25">
        <v>1.1613E-4</v>
      </c>
      <c r="F413" s="25">
        <v>1.3352000000000001E-4</v>
      </c>
      <c r="G413" s="25">
        <v>6.0749999999999999E-5</v>
      </c>
      <c r="H413" s="25">
        <v>7.3730000000000001E-5</v>
      </c>
      <c r="I413" s="9">
        <v>1.2048E-4</v>
      </c>
      <c r="J413" s="9">
        <v>1.0041E-4</v>
      </c>
      <c r="K413" s="9">
        <v>1.4836E-4</v>
      </c>
      <c r="L413" s="9">
        <v>6.7319999999999999E-5</v>
      </c>
      <c r="M413" s="9">
        <v>7.4229999999999999E-5</v>
      </c>
      <c r="N413" s="9">
        <v>8.1320000000000001E-5</v>
      </c>
      <c r="O413" s="9">
        <v>5.4809999999999999E-5</v>
      </c>
      <c r="P413" s="9">
        <v>5.4219999999999999E-5</v>
      </c>
      <c r="Q413" s="9">
        <v>5.38E-5</v>
      </c>
      <c r="R413" s="10">
        <v>2.0272823800074888E-4</v>
      </c>
      <c r="S413" s="10">
        <v>1.2962233332000398E-4</v>
      </c>
      <c r="T413" s="10">
        <v>0</v>
      </c>
      <c r="U413" s="10">
        <v>1.8311E-4</v>
      </c>
      <c r="V413" s="25"/>
      <c r="W413" s="25"/>
      <c r="X413" s="25"/>
      <c r="Y413" s="25"/>
      <c r="Z413" s="25"/>
      <c r="AA413" s="25"/>
    </row>
    <row r="414" spans="1:27" x14ac:dyDescent="0.35">
      <c r="A414" s="5">
        <v>410</v>
      </c>
      <c r="B414" s="5">
        <v>18</v>
      </c>
      <c r="C414" s="5">
        <v>1</v>
      </c>
      <c r="D414" s="25">
        <v>1.1415000000000001E-4</v>
      </c>
      <c r="E414" s="25">
        <v>1.0619E-4</v>
      </c>
      <c r="F414" s="25">
        <v>1.4747E-4</v>
      </c>
      <c r="G414" s="25">
        <v>6.3590000000000006E-5</v>
      </c>
      <c r="H414" s="25">
        <v>6.8700000000000003E-5</v>
      </c>
      <c r="I414" s="9">
        <v>1.1589E-4</v>
      </c>
      <c r="J414" s="9">
        <v>9.7349999999999995E-5</v>
      </c>
      <c r="K414" s="9">
        <v>1.5470999999999999E-4</v>
      </c>
      <c r="L414" s="9">
        <v>5.7939999999999998E-5</v>
      </c>
      <c r="M414" s="9">
        <v>6.4189999999999994E-5</v>
      </c>
      <c r="N414" s="9">
        <v>7.2280000000000006E-5</v>
      </c>
      <c r="O414" s="9">
        <v>1.823E-5</v>
      </c>
      <c r="P414" s="9">
        <v>3.7679999999999998E-5</v>
      </c>
      <c r="Q414" s="9">
        <v>5.6079999999999998E-5</v>
      </c>
      <c r="R414" s="10">
        <v>1.9688828868816215E-4</v>
      </c>
      <c r="S414" s="10">
        <v>1.1967361646049295E-4</v>
      </c>
      <c r="T414" s="10">
        <v>0</v>
      </c>
      <c r="U414" s="10">
        <v>1.8311E-4</v>
      </c>
      <c r="V414" s="25"/>
      <c r="W414" s="25"/>
      <c r="X414" s="25"/>
      <c r="Y414" s="25"/>
      <c r="Z414" s="25"/>
      <c r="AA414" s="25"/>
    </row>
    <row r="415" spans="1:27" x14ac:dyDescent="0.35">
      <c r="A415" s="5">
        <v>411</v>
      </c>
      <c r="B415" s="5">
        <v>18</v>
      </c>
      <c r="C415" s="5">
        <v>1</v>
      </c>
      <c r="D415" s="25">
        <v>1.1416E-4</v>
      </c>
      <c r="E415" s="25">
        <v>1.1647E-4</v>
      </c>
      <c r="F415" s="25">
        <v>1.2751E-4</v>
      </c>
      <c r="G415" s="25">
        <v>5.8539999999999999E-5</v>
      </c>
      <c r="H415" s="25">
        <v>7.1470000000000005E-5</v>
      </c>
      <c r="I415" s="9">
        <v>1.1184E-4</v>
      </c>
      <c r="J415" s="9">
        <v>9.5959999999999996E-5</v>
      </c>
      <c r="K415" s="9">
        <v>1.5046999999999999E-4</v>
      </c>
      <c r="L415" s="9">
        <v>2.7180000000000001E-5</v>
      </c>
      <c r="M415" s="9">
        <v>5.236E-5</v>
      </c>
      <c r="N415" s="9">
        <v>6.567E-5</v>
      </c>
      <c r="O415" s="9">
        <v>1.275E-5</v>
      </c>
      <c r="P415" s="9">
        <v>3.7950000000000001E-5</v>
      </c>
      <c r="Q415" s="9">
        <v>6.1849999999999999E-5</v>
      </c>
      <c r="R415" s="10">
        <v>1.8613349167693295E-4</v>
      </c>
      <c r="S415" s="10">
        <v>1.066923711191989E-4</v>
      </c>
      <c r="T415" s="10">
        <v>0</v>
      </c>
      <c r="U415" s="10">
        <v>1.8311E-4</v>
      </c>
      <c r="V415" s="25"/>
      <c r="W415" s="25"/>
      <c r="X415" s="25"/>
      <c r="Y415" s="25"/>
      <c r="Z415" s="25"/>
      <c r="AA415" s="25"/>
    </row>
    <row r="416" spans="1:27" x14ac:dyDescent="0.35">
      <c r="A416" s="5">
        <v>412</v>
      </c>
      <c r="B416" s="5">
        <v>18</v>
      </c>
      <c r="C416" s="5">
        <v>1</v>
      </c>
      <c r="D416" s="25">
        <v>1.1415000000000001E-4</v>
      </c>
      <c r="E416" s="25">
        <v>1.0957E-4</v>
      </c>
      <c r="F416" s="25">
        <v>1.3375E-4</v>
      </c>
      <c r="G416" s="25">
        <v>6.156E-5</v>
      </c>
      <c r="H416" s="25">
        <v>6.7160000000000001E-5</v>
      </c>
      <c r="I416" s="9">
        <v>1.0969E-4</v>
      </c>
      <c r="J416" s="9">
        <v>9.5589999999999998E-5</v>
      </c>
      <c r="K416" s="9">
        <v>1.5894999999999999E-4</v>
      </c>
      <c r="L416" s="9">
        <v>1.6690000000000001E-5</v>
      </c>
      <c r="M416" s="9">
        <v>4.4339999999999999E-5</v>
      </c>
      <c r="N416" s="9">
        <v>6.211E-5</v>
      </c>
      <c r="O416" s="9">
        <v>1.2629999999999999E-5</v>
      </c>
      <c r="P416" s="9">
        <v>4.6990000000000002E-5</v>
      </c>
      <c r="Q416" s="9">
        <v>7.9919999999999994E-5</v>
      </c>
      <c r="R416" s="10">
        <v>1.7586987373273836E-4</v>
      </c>
      <c r="S416" s="10">
        <v>9.1089326330377198E-5</v>
      </c>
      <c r="T416" s="10">
        <v>0</v>
      </c>
      <c r="U416" s="10">
        <v>1.8311E-4</v>
      </c>
      <c r="V416" s="25"/>
      <c r="W416" s="25"/>
      <c r="X416" s="25"/>
      <c r="Y416" s="25"/>
      <c r="Z416" s="25"/>
      <c r="AA416" s="25"/>
    </row>
    <row r="417" spans="1:27" x14ac:dyDescent="0.35">
      <c r="A417" s="5">
        <v>413</v>
      </c>
      <c r="B417" s="5">
        <v>18</v>
      </c>
      <c r="C417" s="5">
        <v>1</v>
      </c>
      <c r="D417" s="25">
        <v>1.1416E-4</v>
      </c>
      <c r="E417" s="25">
        <v>1.1711E-4</v>
      </c>
      <c r="F417" s="25">
        <v>1.4630000000000001E-4</v>
      </c>
      <c r="G417" s="25">
        <v>5.4089999999999999E-5</v>
      </c>
      <c r="H417" s="25">
        <v>6.6160000000000004E-5</v>
      </c>
      <c r="I417" s="9">
        <v>1.0972E-4</v>
      </c>
      <c r="J417" s="9">
        <v>9.6689999999999998E-5</v>
      </c>
      <c r="K417" s="9">
        <v>2.0133E-4</v>
      </c>
      <c r="L417" s="9">
        <v>1.378E-5</v>
      </c>
      <c r="M417" s="9">
        <v>4.3489999999999999E-5</v>
      </c>
      <c r="N417" s="9">
        <v>6.4510000000000004E-5</v>
      </c>
      <c r="O417" s="9">
        <v>1.8309999999999999E-5</v>
      </c>
      <c r="P417" s="9">
        <v>5.677E-5</v>
      </c>
      <c r="Q417" s="9">
        <v>9.3869999999999994E-5</v>
      </c>
      <c r="R417" s="10">
        <v>1.680391782243332E-4</v>
      </c>
      <c r="S417" s="10">
        <v>8.1399159504352364E-5</v>
      </c>
      <c r="T417" s="10">
        <v>0</v>
      </c>
      <c r="U417" s="10">
        <v>1.8311E-4</v>
      </c>
      <c r="V417" s="25"/>
      <c r="W417" s="25"/>
      <c r="X417" s="25"/>
      <c r="Y417" s="25"/>
      <c r="Z417" s="25"/>
      <c r="AA417" s="25"/>
    </row>
    <row r="418" spans="1:27" x14ac:dyDescent="0.35">
      <c r="A418" s="5">
        <v>414</v>
      </c>
      <c r="B418" s="5">
        <v>18</v>
      </c>
      <c r="C418" s="5">
        <v>1</v>
      </c>
      <c r="D418" s="25">
        <v>1.1415000000000001E-4</v>
      </c>
      <c r="E418" s="25">
        <v>1.1594E-4</v>
      </c>
      <c r="F418" s="25">
        <v>1.2685999999999999E-4</v>
      </c>
      <c r="G418" s="25">
        <v>1.0717000000000001E-4</v>
      </c>
      <c r="H418" s="25">
        <v>1.3715E-4</v>
      </c>
      <c r="I418" s="9">
        <v>1.1506E-4</v>
      </c>
      <c r="J418" s="9">
        <v>1.0108E-4</v>
      </c>
      <c r="K418" s="9">
        <v>2.2465000000000001E-4</v>
      </c>
      <c r="L418" s="9">
        <v>1.7180000000000002E-5</v>
      </c>
      <c r="M418" s="9">
        <v>4.8409999999999999E-5</v>
      </c>
      <c r="N418" s="9">
        <v>7.1069999999999995E-5</v>
      </c>
      <c r="O418" s="9">
        <v>4.596E-5</v>
      </c>
      <c r="P418" s="9">
        <v>7.6539999999999996E-5</v>
      </c>
      <c r="Q418" s="9">
        <v>1.0658E-4</v>
      </c>
      <c r="R418" s="10">
        <v>1.5961970589570992E-4</v>
      </c>
      <c r="S418" s="10">
        <v>7.498702768608226E-5</v>
      </c>
      <c r="T418" s="10">
        <v>0</v>
      </c>
      <c r="U418" s="10">
        <v>1.8311E-4</v>
      </c>
      <c r="V418" s="25"/>
      <c r="W418" s="25"/>
      <c r="X418" s="25"/>
      <c r="Y418" s="25"/>
      <c r="Z418" s="25"/>
      <c r="AA418" s="25"/>
    </row>
    <row r="419" spans="1:27" x14ac:dyDescent="0.35">
      <c r="A419" s="5">
        <v>415</v>
      </c>
      <c r="B419" s="5">
        <v>18</v>
      </c>
      <c r="C419" s="5">
        <v>1</v>
      </c>
      <c r="D419" s="25">
        <v>1.1416E-4</v>
      </c>
      <c r="E419" s="25">
        <v>1.1487E-4</v>
      </c>
      <c r="F419" s="25">
        <v>1.2711999999999999E-4</v>
      </c>
      <c r="G419" s="25">
        <v>1.1034E-4</v>
      </c>
      <c r="H419" s="25">
        <v>1.3438999999999999E-4</v>
      </c>
      <c r="I419" s="9">
        <v>1.3022000000000001E-4</v>
      </c>
      <c r="J419" s="9">
        <v>1.1346E-4</v>
      </c>
      <c r="K419" s="9">
        <v>2.3524E-4</v>
      </c>
      <c r="L419" s="9">
        <v>3.9480000000000001E-5</v>
      </c>
      <c r="M419" s="9">
        <v>5.9920000000000002E-5</v>
      </c>
      <c r="N419" s="9">
        <v>8.0649999999999995E-5</v>
      </c>
      <c r="O419" s="9">
        <v>1.2479E-4</v>
      </c>
      <c r="P419" s="9">
        <v>1.1783E-4</v>
      </c>
      <c r="Q419" s="9">
        <v>1.1288E-4</v>
      </c>
      <c r="R419" s="10">
        <v>1.529996882805519E-4</v>
      </c>
      <c r="S419" s="10">
        <v>6.4385075808567202E-5</v>
      </c>
      <c r="T419" s="10">
        <v>0</v>
      </c>
      <c r="U419" s="10">
        <v>1.8311E-4</v>
      </c>
      <c r="V419" s="25"/>
      <c r="W419" s="25"/>
      <c r="X419" s="25"/>
      <c r="Y419" s="25"/>
      <c r="Z419" s="25"/>
      <c r="AA419" s="25"/>
    </row>
    <row r="420" spans="1:27" x14ac:dyDescent="0.35">
      <c r="A420" s="5">
        <v>416</v>
      </c>
      <c r="B420" s="5">
        <v>18</v>
      </c>
      <c r="C420" s="5">
        <v>1</v>
      </c>
      <c r="D420" s="25">
        <v>1.1415000000000001E-4</v>
      </c>
      <c r="E420" s="25">
        <v>1.0978E-4</v>
      </c>
      <c r="F420" s="25">
        <v>1.4208999999999999E-4</v>
      </c>
      <c r="G420" s="25">
        <v>1.5756E-4</v>
      </c>
      <c r="H420" s="25">
        <v>1.9196999999999999E-4</v>
      </c>
      <c r="I420" s="9">
        <v>1.4205000000000001E-4</v>
      </c>
      <c r="J420" s="9">
        <v>1.3344999999999999E-4</v>
      </c>
      <c r="K420" s="9">
        <v>2.2676E-4</v>
      </c>
      <c r="L420" s="9">
        <v>1.054E-4</v>
      </c>
      <c r="M420" s="9">
        <v>8.3739999999999994E-5</v>
      </c>
      <c r="N420" s="9">
        <v>9.0829999999999996E-5</v>
      </c>
      <c r="O420" s="9">
        <v>2.2252E-4</v>
      </c>
      <c r="P420" s="9">
        <v>1.7718000000000001E-4</v>
      </c>
      <c r="Q420" s="9">
        <v>1.3687000000000001E-4</v>
      </c>
      <c r="R420" s="10">
        <v>1.4872302305857005E-4</v>
      </c>
      <c r="S420" s="10">
        <v>5.1522252838418014E-5</v>
      </c>
      <c r="T420" s="10">
        <v>0</v>
      </c>
      <c r="U420" s="10">
        <v>1.8311E-4</v>
      </c>
      <c r="V420" s="25"/>
      <c r="W420" s="25"/>
      <c r="X420" s="25"/>
      <c r="Y420" s="25"/>
      <c r="Z420" s="25"/>
      <c r="AA420" s="25"/>
    </row>
    <row r="421" spans="1:27" x14ac:dyDescent="0.35">
      <c r="A421" s="5">
        <v>417</v>
      </c>
      <c r="B421" s="5">
        <v>18</v>
      </c>
      <c r="C421" s="5">
        <v>1</v>
      </c>
      <c r="D421" s="25">
        <v>1.1416E-4</v>
      </c>
      <c r="E421" s="25">
        <v>1.1301E-4</v>
      </c>
      <c r="F421" s="25">
        <v>1.4784999999999999E-4</v>
      </c>
      <c r="G421" s="25">
        <v>1.6756E-4</v>
      </c>
      <c r="H421" s="25">
        <v>1.8966E-4</v>
      </c>
      <c r="I421" s="9">
        <v>1.4616E-4</v>
      </c>
      <c r="J421" s="9">
        <v>1.4545000000000001E-4</v>
      </c>
      <c r="K421" s="9">
        <v>2.2041000000000001E-4</v>
      </c>
      <c r="L421" s="9">
        <v>1.9495E-4</v>
      </c>
      <c r="M421" s="9">
        <v>1.2354E-4</v>
      </c>
      <c r="N421" s="9">
        <v>1.0461E-4</v>
      </c>
      <c r="O421" s="9">
        <v>2.1184E-4</v>
      </c>
      <c r="P421" s="9">
        <v>1.9134999999999999E-4</v>
      </c>
      <c r="Q421" s="9">
        <v>1.7524000000000001E-4</v>
      </c>
      <c r="R421" s="10">
        <v>1.4871072627339822E-4</v>
      </c>
      <c r="S421" s="10">
        <v>3.7196510001382767E-5</v>
      </c>
      <c r="T421" s="10">
        <v>2.0752596210448599E-5</v>
      </c>
      <c r="U421" s="10">
        <v>1.8311E-4</v>
      </c>
      <c r="V421" s="25"/>
      <c r="W421" s="25"/>
      <c r="X421" s="25"/>
      <c r="Y421" s="25"/>
      <c r="Z421" s="25"/>
      <c r="AA421" s="25"/>
    </row>
    <row r="422" spans="1:27" x14ac:dyDescent="0.35">
      <c r="A422" s="5">
        <v>418</v>
      </c>
      <c r="B422" s="5">
        <v>18</v>
      </c>
      <c r="C422" s="5">
        <v>1</v>
      </c>
      <c r="D422" s="25">
        <v>1.1415000000000001E-4</v>
      </c>
      <c r="E422" s="25">
        <v>1.0883E-4</v>
      </c>
      <c r="F422" s="25">
        <v>1.3135999999999999E-4</v>
      </c>
      <c r="G422" s="25">
        <v>1.6710999999999999E-4</v>
      </c>
      <c r="H422" s="25">
        <v>1.9265999999999999E-4</v>
      </c>
      <c r="I422" s="9">
        <v>1.4755000000000001E-4</v>
      </c>
      <c r="J422" s="9">
        <v>1.4757E-4</v>
      </c>
      <c r="K422" s="9">
        <v>2.1193000000000001E-4</v>
      </c>
      <c r="L422" s="9">
        <v>2.0577E-4</v>
      </c>
      <c r="M422" s="9">
        <v>1.5804E-4</v>
      </c>
      <c r="N422" s="9">
        <v>1.2427E-4</v>
      </c>
      <c r="O422" s="9">
        <v>1.6996000000000001E-4</v>
      </c>
      <c r="P422" s="9">
        <v>1.7508000000000001E-4</v>
      </c>
      <c r="Q422" s="9">
        <v>1.8312999999999999E-4</v>
      </c>
      <c r="R422" s="10">
        <v>1.4763359684496363E-4</v>
      </c>
      <c r="S422" s="10">
        <v>2.4173125815121603E-5</v>
      </c>
      <c r="T422" s="10">
        <v>2.2701439771176331E-4</v>
      </c>
      <c r="U422" s="10">
        <v>1.8311E-4</v>
      </c>
      <c r="V422" s="25"/>
      <c r="W422" s="25"/>
      <c r="X422" s="25"/>
      <c r="Y422" s="25"/>
      <c r="Z422" s="25"/>
      <c r="AA422" s="25"/>
    </row>
    <row r="423" spans="1:27" x14ac:dyDescent="0.35">
      <c r="A423" s="5">
        <v>419</v>
      </c>
      <c r="B423" s="5">
        <v>18</v>
      </c>
      <c r="C423" s="5">
        <v>1</v>
      </c>
      <c r="D423" s="25">
        <v>1.1416E-4</v>
      </c>
      <c r="E423" s="25">
        <v>1.1366000000000001E-4</v>
      </c>
      <c r="F423" s="25">
        <v>1.2813000000000001E-4</v>
      </c>
      <c r="G423" s="25">
        <v>1.5767999999999999E-4</v>
      </c>
      <c r="H423" s="25">
        <v>1.8937000000000001E-4</v>
      </c>
      <c r="I423" s="9">
        <v>1.4718000000000001E-4</v>
      </c>
      <c r="J423" s="9">
        <v>1.4683E-4</v>
      </c>
      <c r="K423" s="9">
        <v>2.0557E-4</v>
      </c>
      <c r="L423" s="9">
        <v>1.7797000000000001E-4</v>
      </c>
      <c r="M423" s="9">
        <v>1.7212999999999999E-4</v>
      </c>
      <c r="N423" s="9">
        <v>1.4259E-4</v>
      </c>
      <c r="O423" s="9">
        <v>1.6854000000000001E-4</v>
      </c>
      <c r="P423" s="9">
        <v>1.7227E-4</v>
      </c>
      <c r="Q423" s="9">
        <v>1.7893E-4</v>
      </c>
      <c r="R423" s="10">
        <v>1.437270477731013E-4</v>
      </c>
      <c r="S423" s="10">
        <v>1.5834767970691476E-5</v>
      </c>
      <c r="T423" s="10">
        <v>2.339121330834292E-5</v>
      </c>
      <c r="U423" s="10">
        <v>1.8311E-4</v>
      </c>
      <c r="V423" s="25"/>
      <c r="W423" s="25"/>
      <c r="X423" s="25"/>
      <c r="Y423" s="25"/>
      <c r="Z423" s="25"/>
      <c r="AA423" s="25"/>
    </row>
    <row r="424" spans="1:27" x14ac:dyDescent="0.35">
      <c r="A424" s="5">
        <v>420</v>
      </c>
      <c r="B424" s="5">
        <v>18</v>
      </c>
      <c r="C424" s="5">
        <v>1</v>
      </c>
      <c r="D424" s="25">
        <v>1.1415000000000001E-4</v>
      </c>
      <c r="E424" s="25">
        <v>1.1139E-4</v>
      </c>
      <c r="F424" s="25">
        <v>1.4582000000000001E-4</v>
      </c>
      <c r="G424" s="25">
        <v>1.5825999999999999E-4</v>
      </c>
      <c r="H424" s="25">
        <v>1.9683E-4</v>
      </c>
      <c r="I424" s="9">
        <v>1.4901000000000001E-4</v>
      </c>
      <c r="J424" s="9">
        <v>1.4614000000000001E-4</v>
      </c>
      <c r="K424" s="9">
        <v>1.9921000000000001E-4</v>
      </c>
      <c r="L424" s="9">
        <v>1.7200000000000001E-4</v>
      </c>
      <c r="M424" s="9">
        <v>1.7463E-4</v>
      </c>
      <c r="N424" s="9">
        <v>1.5657E-4</v>
      </c>
      <c r="O424" s="9">
        <v>1.7254999999999999E-4</v>
      </c>
      <c r="P424" s="9">
        <v>1.7215000000000001E-4</v>
      </c>
      <c r="Q424" s="9">
        <v>1.7483E-4</v>
      </c>
      <c r="R424" s="10">
        <v>1.288867395298452E-4</v>
      </c>
      <c r="S424" s="10">
        <v>1.499765288622967E-5</v>
      </c>
      <c r="T424" s="10">
        <v>2.4112378753105033E-5</v>
      </c>
      <c r="U424" s="10">
        <v>1.8311E-4</v>
      </c>
      <c r="V424" s="25"/>
      <c r="W424" s="25"/>
      <c r="X424" s="25"/>
      <c r="Y424" s="25"/>
      <c r="Z424" s="25"/>
      <c r="AA424" s="25"/>
    </row>
    <row r="425" spans="1:27" x14ac:dyDescent="0.35">
      <c r="A425" s="5">
        <v>421</v>
      </c>
      <c r="B425" s="5">
        <v>18</v>
      </c>
      <c r="C425" s="5">
        <v>1</v>
      </c>
      <c r="D425" s="25">
        <v>1.1416E-4</v>
      </c>
      <c r="E425" s="25">
        <v>1.1175000000000001E-4</v>
      </c>
      <c r="F425" s="25">
        <v>1.3640000000000001E-4</v>
      </c>
      <c r="G425" s="25">
        <v>1.6119999999999999E-4</v>
      </c>
      <c r="H425" s="25">
        <v>1.8979000000000001E-4</v>
      </c>
      <c r="I425" s="9">
        <v>1.4501999999999999E-4</v>
      </c>
      <c r="J425" s="9">
        <v>1.4344E-4</v>
      </c>
      <c r="K425" s="9">
        <v>2.5855000000000002E-4</v>
      </c>
      <c r="L425" s="9">
        <v>1.7259999999999999E-4</v>
      </c>
      <c r="M425" s="9">
        <v>1.7389E-4</v>
      </c>
      <c r="N425" s="9">
        <v>1.6621E-4</v>
      </c>
      <c r="O425" s="9">
        <v>1.6275999999999999E-4</v>
      </c>
      <c r="P425" s="9">
        <v>1.6331000000000001E-4</v>
      </c>
      <c r="Q425" s="9">
        <v>1.6670000000000001E-4</v>
      </c>
      <c r="R425" s="10">
        <v>1.1116337189817524E-4</v>
      </c>
      <c r="S425" s="10">
        <v>1.2009831460032196E-5</v>
      </c>
      <c r="T425" s="10">
        <v>1.2582215936261352E-5</v>
      </c>
      <c r="U425" s="10">
        <v>1.8311E-4</v>
      </c>
      <c r="V425" s="25"/>
      <c r="W425" s="25"/>
      <c r="X425" s="25"/>
      <c r="Y425" s="25"/>
      <c r="Z425" s="25"/>
      <c r="AA425" s="25"/>
    </row>
    <row r="426" spans="1:27" x14ac:dyDescent="0.35">
      <c r="A426" s="5">
        <v>422</v>
      </c>
      <c r="B426" s="5">
        <v>18</v>
      </c>
      <c r="C426" s="5">
        <v>1</v>
      </c>
      <c r="D426" s="25">
        <v>1.1415000000000001E-4</v>
      </c>
      <c r="E426" s="25">
        <v>1.0963000000000001E-4</v>
      </c>
      <c r="F426" s="25">
        <v>1.2809E-4</v>
      </c>
      <c r="G426" s="25">
        <v>1.6737999999999999E-4</v>
      </c>
      <c r="H426" s="25">
        <v>1.9788E-4</v>
      </c>
      <c r="I426" s="9">
        <v>1.4472000000000001E-4</v>
      </c>
      <c r="J426" s="9">
        <v>1.4373000000000001E-4</v>
      </c>
      <c r="K426" s="9">
        <v>2.4159999999999999E-4</v>
      </c>
      <c r="L426" s="9">
        <v>1.6466000000000001E-4</v>
      </c>
      <c r="M426" s="9">
        <v>1.6985000000000001E-4</v>
      </c>
      <c r="N426" s="9">
        <v>1.7038000000000001E-4</v>
      </c>
      <c r="O426" s="9">
        <v>1.7939E-4</v>
      </c>
      <c r="P426" s="9">
        <v>1.6797000000000001E-4</v>
      </c>
      <c r="Q426" s="9">
        <v>1.5998E-4</v>
      </c>
      <c r="R426" s="10">
        <v>8.5308945457489185E-5</v>
      </c>
      <c r="S426" s="10">
        <v>8.977275339784444E-6</v>
      </c>
      <c r="T426" s="10">
        <v>4.3337801080527978E-5</v>
      </c>
      <c r="U426" s="10">
        <v>1.8311E-4</v>
      </c>
      <c r="V426" s="25"/>
      <c r="W426" s="25"/>
      <c r="X426" s="25"/>
      <c r="Y426" s="25"/>
      <c r="Z426" s="25"/>
      <c r="AA426" s="25"/>
    </row>
    <row r="427" spans="1:27" x14ac:dyDescent="0.35">
      <c r="A427" s="5">
        <v>423</v>
      </c>
      <c r="B427" s="5">
        <v>18</v>
      </c>
      <c r="C427" s="5">
        <v>1</v>
      </c>
      <c r="D427" s="25">
        <v>1.1416E-4</v>
      </c>
      <c r="E427" s="25">
        <v>1.1344E-4</v>
      </c>
      <c r="F427" s="25">
        <v>1.3428999999999999E-4</v>
      </c>
      <c r="G427" s="25">
        <v>1.5883E-4</v>
      </c>
      <c r="H427" s="25">
        <v>1.9358E-4</v>
      </c>
      <c r="I427" s="9">
        <v>1.4393000000000001E-4</v>
      </c>
      <c r="J427" s="9">
        <v>1.4391999999999999E-4</v>
      </c>
      <c r="K427" s="9">
        <v>2.4161000000000001E-4</v>
      </c>
      <c r="L427" s="9">
        <v>1.7632999999999999E-4</v>
      </c>
      <c r="M427" s="9">
        <v>1.6802000000000001E-4</v>
      </c>
      <c r="N427" s="9">
        <v>1.6977999999999999E-4</v>
      </c>
      <c r="O427" s="9">
        <v>1.8703E-4</v>
      </c>
      <c r="P427" s="9">
        <v>1.685E-4</v>
      </c>
      <c r="Q427" s="9">
        <v>1.5369E-4</v>
      </c>
      <c r="R427" s="10">
        <v>7.0892948052630336E-5</v>
      </c>
      <c r="S427" s="10">
        <v>7.5567307159725435E-6</v>
      </c>
      <c r="T427" s="10">
        <v>1.0579921289627718E-5</v>
      </c>
      <c r="U427" s="10">
        <v>1.8311E-4</v>
      </c>
      <c r="V427" s="25"/>
      <c r="W427" s="25"/>
      <c r="X427" s="25"/>
      <c r="Y427" s="25"/>
      <c r="Z427" s="25"/>
      <c r="AA427" s="25"/>
    </row>
    <row r="428" spans="1:27" x14ac:dyDescent="0.35">
      <c r="A428" s="5">
        <v>424</v>
      </c>
      <c r="B428" s="5">
        <v>18</v>
      </c>
      <c r="C428" s="5">
        <v>1</v>
      </c>
      <c r="D428" s="25">
        <v>1.1415000000000001E-4</v>
      </c>
      <c r="E428" s="25">
        <v>1.1148E-4</v>
      </c>
      <c r="F428" s="25">
        <v>1.2878E-4</v>
      </c>
      <c r="G428" s="25">
        <v>1.5651E-4</v>
      </c>
      <c r="H428" s="25">
        <v>2.0251000000000001E-4</v>
      </c>
      <c r="I428" s="9">
        <v>1.4364E-4</v>
      </c>
      <c r="J428" s="9">
        <v>1.4490999999999999E-4</v>
      </c>
      <c r="K428" s="9">
        <v>2.2887999999999999E-4</v>
      </c>
      <c r="L428" s="9">
        <v>1.8437999999999999E-4</v>
      </c>
      <c r="M428" s="9">
        <v>1.6781000000000001E-4</v>
      </c>
      <c r="N428" s="9">
        <v>1.6614000000000001E-4</v>
      </c>
      <c r="O428" s="9">
        <v>2.0018E-4</v>
      </c>
      <c r="P428" s="9">
        <v>1.5286E-4</v>
      </c>
      <c r="Q428" s="9">
        <v>1.1005000000000001E-4</v>
      </c>
      <c r="R428" s="10">
        <v>5.2033676490818483E-5</v>
      </c>
      <c r="S428" s="10">
        <v>7.8085686460914271E-6</v>
      </c>
      <c r="T428" s="10">
        <v>5.3688646287701848E-5</v>
      </c>
      <c r="U428" s="10">
        <v>1.8311E-4</v>
      </c>
      <c r="V428" s="25"/>
      <c r="W428" s="25"/>
      <c r="X428" s="25"/>
      <c r="Y428" s="25"/>
      <c r="Z428" s="25"/>
      <c r="AA428" s="25"/>
    </row>
    <row r="429" spans="1:27" x14ac:dyDescent="0.35">
      <c r="A429" s="5">
        <v>425</v>
      </c>
      <c r="B429" s="5">
        <v>18</v>
      </c>
      <c r="C429" s="5">
        <v>1</v>
      </c>
      <c r="D429" s="25">
        <v>1.1416E-4</v>
      </c>
      <c r="E429" s="25">
        <v>1.0951999999999999E-4</v>
      </c>
      <c r="F429" s="25">
        <v>1.3632999999999999E-4</v>
      </c>
      <c r="G429" s="25">
        <v>1.6519000000000001E-4</v>
      </c>
      <c r="H429" s="25">
        <v>1.9001000000000001E-4</v>
      </c>
      <c r="I429" s="9">
        <v>1.4440000000000001E-4</v>
      </c>
      <c r="J429" s="9">
        <v>1.4761E-4</v>
      </c>
      <c r="K429" s="9">
        <v>2.5008000000000002E-4</v>
      </c>
      <c r="L429" s="9">
        <v>1.9641999999999999E-4</v>
      </c>
      <c r="M429" s="9">
        <v>1.6249999999999999E-4</v>
      </c>
      <c r="N429" s="9">
        <v>1.5252000000000001E-4</v>
      </c>
      <c r="O429" s="9">
        <v>2.1528000000000001E-4</v>
      </c>
      <c r="P429" s="9">
        <v>1.5839000000000001E-4</v>
      </c>
      <c r="Q429" s="9">
        <v>1.0654000000000001E-4</v>
      </c>
      <c r="R429" s="10">
        <v>4.2593223473914433E-5</v>
      </c>
      <c r="S429" s="10">
        <v>6.9879058389327788E-6</v>
      </c>
      <c r="T429" s="10">
        <v>0</v>
      </c>
      <c r="U429" s="10">
        <v>1.8311E-4</v>
      </c>
      <c r="V429" s="25"/>
      <c r="W429" s="25"/>
      <c r="X429" s="25"/>
      <c r="Y429" s="25"/>
      <c r="Z429" s="25"/>
      <c r="AA429" s="25"/>
    </row>
    <row r="430" spans="1:27" x14ac:dyDescent="0.35">
      <c r="A430" s="5">
        <v>426</v>
      </c>
      <c r="B430" s="5">
        <v>18</v>
      </c>
      <c r="C430" s="5">
        <v>1</v>
      </c>
      <c r="D430" s="25">
        <v>1.1415000000000001E-4</v>
      </c>
      <c r="E430" s="25">
        <v>1.1143E-4</v>
      </c>
      <c r="F430" s="25">
        <v>1.4548999999999999E-4</v>
      </c>
      <c r="G430" s="25">
        <v>1.6393000000000001E-4</v>
      </c>
      <c r="H430" s="25">
        <v>1.9568999999999999E-4</v>
      </c>
      <c r="I430" s="9">
        <v>1.5375999999999999E-4</v>
      </c>
      <c r="J430" s="9">
        <v>1.5579E-4</v>
      </c>
      <c r="K430" s="9">
        <v>2.6068E-4</v>
      </c>
      <c r="L430" s="9">
        <v>2.1089000000000001E-4</v>
      </c>
      <c r="M430" s="9">
        <v>1.5954000000000001E-4</v>
      </c>
      <c r="N430" s="9">
        <v>1.3904E-4</v>
      </c>
      <c r="O430" s="9">
        <v>2.0691000000000001E-4</v>
      </c>
      <c r="P430" s="9">
        <v>1.5970000000000001E-4</v>
      </c>
      <c r="Q430" s="9">
        <v>1.1717E-4</v>
      </c>
      <c r="R430" s="10">
        <v>3.3773557132166447E-5</v>
      </c>
      <c r="S430" s="10">
        <v>6.571335980559199E-6</v>
      </c>
      <c r="T430" s="10">
        <v>0</v>
      </c>
      <c r="U430" s="10">
        <v>1.8311E-4</v>
      </c>
      <c r="V430" s="25"/>
      <c r="W430" s="25"/>
      <c r="X430" s="25"/>
      <c r="Y430" s="25"/>
      <c r="Z430" s="25"/>
      <c r="AA430" s="25"/>
    </row>
    <row r="431" spans="1:27" x14ac:dyDescent="0.35">
      <c r="A431" s="5">
        <v>427</v>
      </c>
      <c r="B431" s="5">
        <v>18</v>
      </c>
      <c r="C431" s="5">
        <v>1</v>
      </c>
      <c r="D431" s="25">
        <v>1.1416E-4</v>
      </c>
      <c r="E431" s="25">
        <v>1.1456E-4</v>
      </c>
      <c r="F431" s="25">
        <v>1.4244999999999999E-4</v>
      </c>
      <c r="G431" s="25">
        <v>1.136E-4</v>
      </c>
      <c r="H431" s="25">
        <v>1.3171999999999999E-4</v>
      </c>
      <c r="I431" s="9">
        <v>1.5589E-4</v>
      </c>
      <c r="J431" s="9">
        <v>1.5150999999999999E-4</v>
      </c>
      <c r="K431" s="9">
        <v>2.5008000000000002E-4</v>
      </c>
      <c r="L431" s="9">
        <v>2.0743000000000001E-4</v>
      </c>
      <c r="M431" s="9">
        <v>1.5896000000000001E-4</v>
      </c>
      <c r="N431" s="9">
        <v>1.2988999999999999E-4</v>
      </c>
      <c r="O431" s="9">
        <v>1.6576000000000001E-4</v>
      </c>
      <c r="P431" s="9">
        <v>1.3459E-4</v>
      </c>
      <c r="Q431" s="9">
        <v>1.0683000000000001E-4</v>
      </c>
      <c r="R431" s="10">
        <v>2.9852695577452632E-5</v>
      </c>
      <c r="S431" s="10">
        <v>7.809788551547931E-6</v>
      </c>
      <c r="T431" s="10">
        <v>0</v>
      </c>
      <c r="U431" s="10">
        <v>1.8311E-4</v>
      </c>
      <c r="V431" s="25"/>
      <c r="W431" s="25"/>
      <c r="X431" s="25"/>
      <c r="Y431" s="25"/>
      <c r="Z431" s="25"/>
      <c r="AA431" s="25"/>
    </row>
    <row r="432" spans="1:27" x14ac:dyDescent="0.35">
      <c r="A432" s="5">
        <v>428</v>
      </c>
      <c r="B432" s="5">
        <v>18</v>
      </c>
      <c r="C432" s="5">
        <v>1</v>
      </c>
      <c r="D432" s="25">
        <v>1.1415000000000001E-4</v>
      </c>
      <c r="E432" s="25">
        <v>1.0844E-4</v>
      </c>
      <c r="F432" s="25">
        <v>1.4087999999999999E-4</v>
      </c>
      <c r="G432" s="25">
        <v>1.0809E-4</v>
      </c>
      <c r="H432" s="25">
        <v>1.2737E-4</v>
      </c>
      <c r="I432" s="9">
        <v>1.5011000000000001E-4</v>
      </c>
      <c r="J432" s="9">
        <v>1.4719000000000001E-4</v>
      </c>
      <c r="K432" s="9">
        <v>2.7127E-4</v>
      </c>
      <c r="L432" s="9">
        <v>1.751E-4</v>
      </c>
      <c r="M432" s="9">
        <v>1.5020999999999999E-4</v>
      </c>
      <c r="N432" s="9">
        <v>1.2074999999999999E-4</v>
      </c>
      <c r="O432" s="9">
        <v>1.3001000000000001E-4</v>
      </c>
      <c r="P432" s="9">
        <v>1.1479E-4</v>
      </c>
      <c r="Q432" s="9">
        <v>1.0183000000000001E-4</v>
      </c>
      <c r="R432" s="10">
        <v>2.6606196599967028E-5</v>
      </c>
      <c r="S432" s="10">
        <v>9.0656283701719124E-6</v>
      </c>
      <c r="T432" s="10">
        <v>0</v>
      </c>
      <c r="U432" s="10">
        <v>1.8311E-4</v>
      </c>
      <c r="V432" s="25"/>
      <c r="W432" s="25"/>
      <c r="X432" s="25"/>
      <c r="Y432" s="25"/>
      <c r="Z432" s="25"/>
      <c r="AA432" s="25"/>
    </row>
    <row r="433" spans="1:27" x14ac:dyDescent="0.35">
      <c r="A433" s="5">
        <v>429</v>
      </c>
      <c r="B433" s="5">
        <v>18</v>
      </c>
      <c r="C433" s="5">
        <v>1</v>
      </c>
      <c r="D433" s="25">
        <v>1.1416E-4</v>
      </c>
      <c r="E433" s="25">
        <v>1.1703E-4</v>
      </c>
      <c r="F433" s="25">
        <v>1.2548E-4</v>
      </c>
      <c r="G433" s="25">
        <v>5.8140000000000002E-5</v>
      </c>
      <c r="H433" s="25">
        <v>6.8449999999999997E-5</v>
      </c>
      <c r="I433" s="9">
        <v>1.4285E-4</v>
      </c>
      <c r="J433" s="9">
        <v>1.4002E-4</v>
      </c>
      <c r="K433" s="9">
        <v>2.5855000000000002E-4</v>
      </c>
      <c r="L433" s="9">
        <v>1.4092999999999999E-4</v>
      </c>
      <c r="M433" s="9">
        <v>1.3501999999999999E-4</v>
      </c>
      <c r="N433" s="9">
        <v>1.1304E-4</v>
      </c>
      <c r="O433" s="9">
        <v>8.5240000000000004E-5</v>
      </c>
      <c r="P433" s="9">
        <v>8.6340000000000003E-5</v>
      </c>
      <c r="Q433" s="9">
        <v>8.8339999999999998E-5</v>
      </c>
      <c r="R433" s="10">
        <v>2.262706889805595E-5</v>
      </c>
      <c r="S433" s="10">
        <v>8.6666794396596634E-6</v>
      </c>
      <c r="T433" s="10">
        <v>0</v>
      </c>
      <c r="U433" s="10">
        <v>1.8311E-4</v>
      </c>
      <c r="V433" s="25"/>
      <c r="W433" s="25"/>
      <c r="X433" s="25"/>
      <c r="Y433" s="25"/>
      <c r="Z433" s="25"/>
      <c r="AA433" s="25"/>
    </row>
    <row r="434" spans="1:27" x14ac:dyDescent="0.35">
      <c r="A434" s="5">
        <v>430</v>
      </c>
      <c r="B434" s="5">
        <v>18</v>
      </c>
      <c r="C434" s="5">
        <v>1</v>
      </c>
      <c r="D434" s="25">
        <v>1.1415000000000001E-4</v>
      </c>
      <c r="E434" s="25">
        <v>1.1179E-4</v>
      </c>
      <c r="F434" s="25">
        <v>1.3375E-4</v>
      </c>
      <c r="G434" s="25">
        <v>5.5439999999999998E-5</v>
      </c>
      <c r="H434" s="25">
        <v>6.9129999999999997E-5</v>
      </c>
      <c r="I434" s="9">
        <v>1.3569E-4</v>
      </c>
      <c r="J434" s="9">
        <v>1.3123E-4</v>
      </c>
      <c r="K434" s="9">
        <v>2.3948E-4</v>
      </c>
      <c r="L434" s="9">
        <v>9.8410000000000001E-5</v>
      </c>
      <c r="M434" s="9">
        <v>1.1359E-4</v>
      </c>
      <c r="N434" s="9">
        <v>1.0546E-4</v>
      </c>
      <c r="O434" s="9">
        <v>8.7410000000000005E-5</v>
      </c>
      <c r="P434" s="9">
        <v>8.7070000000000005E-5</v>
      </c>
      <c r="Q434" s="9">
        <v>8.7719999999999994E-5</v>
      </c>
      <c r="R434" s="10">
        <v>1.8668641871711291E-5</v>
      </c>
      <c r="S434" s="10">
        <v>6.7557418287173667E-6</v>
      </c>
      <c r="T434" s="10">
        <v>0</v>
      </c>
      <c r="U434" s="10">
        <v>1.8311E-4</v>
      </c>
      <c r="V434" s="25"/>
      <c r="W434" s="25"/>
      <c r="X434" s="25"/>
      <c r="Y434" s="25"/>
      <c r="Z434" s="25"/>
      <c r="AA434" s="25"/>
    </row>
    <row r="435" spans="1:27" x14ac:dyDescent="0.35">
      <c r="A435" s="5">
        <v>431</v>
      </c>
      <c r="B435" s="5">
        <v>18</v>
      </c>
      <c r="C435" s="5">
        <v>1</v>
      </c>
      <c r="D435" s="25">
        <v>1.1416E-4</v>
      </c>
      <c r="E435" s="25">
        <v>1.0828E-4</v>
      </c>
      <c r="F435" s="25">
        <v>1.3978999999999999E-4</v>
      </c>
      <c r="G435" s="25">
        <v>5.2630000000000003E-5</v>
      </c>
      <c r="H435" s="25">
        <v>7.3460000000000005E-5</v>
      </c>
      <c r="I435" s="9">
        <v>1.3852E-4</v>
      </c>
      <c r="J435" s="9">
        <v>1.2193000000000001E-4</v>
      </c>
      <c r="K435" s="9">
        <v>2.1193000000000001E-4</v>
      </c>
      <c r="L435" s="9">
        <v>9.0779999999999995E-5</v>
      </c>
      <c r="M435" s="9">
        <v>9.8789999999999994E-5</v>
      </c>
      <c r="N435" s="9">
        <v>9.9580000000000005E-5</v>
      </c>
      <c r="O435" s="9">
        <v>7.8289999999999998E-5</v>
      </c>
      <c r="P435" s="9">
        <v>7.2200000000000007E-5</v>
      </c>
      <c r="Q435" s="9">
        <v>6.6950000000000001E-5</v>
      </c>
      <c r="R435" s="10">
        <v>1.6784525529442206E-5</v>
      </c>
      <c r="S435" s="10">
        <v>5.0961886961504137E-6</v>
      </c>
      <c r="T435" s="10">
        <v>0</v>
      </c>
      <c r="U435" s="10">
        <v>1.8311E-4</v>
      </c>
      <c r="V435" s="25"/>
      <c r="W435" s="25"/>
      <c r="X435" s="25"/>
      <c r="Y435" s="25"/>
      <c r="Z435" s="25"/>
      <c r="AA435" s="25"/>
    </row>
    <row r="436" spans="1:27" x14ac:dyDescent="0.35">
      <c r="A436" s="5">
        <v>432</v>
      </c>
      <c r="B436" s="5">
        <v>18</v>
      </c>
      <c r="C436" s="5">
        <v>1</v>
      </c>
      <c r="D436" s="25">
        <v>1.1415000000000001E-4</v>
      </c>
      <c r="E436" s="25">
        <v>1.1305E-4</v>
      </c>
      <c r="F436" s="25">
        <v>1.3709E-4</v>
      </c>
      <c r="G436" s="25">
        <v>6.0409999999999999E-5</v>
      </c>
      <c r="H436" s="25">
        <v>6.9690000000000005E-5</v>
      </c>
      <c r="I436" s="9">
        <v>1.3859000000000001E-4</v>
      </c>
      <c r="J436" s="9">
        <v>1.1373E-4</v>
      </c>
      <c r="K436" s="9">
        <v>2.1405E-4</v>
      </c>
      <c r="L436" s="9">
        <v>8.1039999999999997E-5</v>
      </c>
      <c r="M436" s="9">
        <v>8.5950000000000002E-5</v>
      </c>
      <c r="N436" s="9">
        <v>9.0370000000000004E-5</v>
      </c>
      <c r="O436" s="9">
        <v>6.2879999999999994E-5</v>
      </c>
      <c r="P436" s="9">
        <v>6.067E-5</v>
      </c>
      <c r="Q436" s="9">
        <v>5.8860000000000002E-5</v>
      </c>
      <c r="R436" s="10">
        <v>6.7575731325182663E-6</v>
      </c>
      <c r="S436" s="10">
        <v>5.4710051313418429E-6</v>
      </c>
      <c r="T436" s="10">
        <v>0</v>
      </c>
      <c r="U436" s="10">
        <v>1.8311E-4</v>
      </c>
      <c r="V436" s="25"/>
      <c r="W436" s="25"/>
      <c r="X436" s="25"/>
      <c r="Y436" s="25"/>
      <c r="Z436" s="25"/>
      <c r="AA436" s="25"/>
    </row>
    <row r="437" spans="1:27" x14ac:dyDescent="0.35">
      <c r="A437" s="5">
        <v>433</v>
      </c>
      <c r="B437" s="5">
        <v>19</v>
      </c>
      <c r="C437" s="5">
        <v>1</v>
      </c>
      <c r="D437" s="25">
        <v>1.1416E-4</v>
      </c>
      <c r="E437" s="25">
        <v>1.1625000000000001E-4</v>
      </c>
      <c r="F437" s="25">
        <v>1.0168E-4</v>
      </c>
      <c r="G437" s="25">
        <v>5.418E-5</v>
      </c>
      <c r="H437" s="25">
        <v>6.6829999999999995E-5</v>
      </c>
      <c r="I437" s="9">
        <v>1.3261999999999999E-4</v>
      </c>
      <c r="J437" s="9">
        <v>1.0624E-4</v>
      </c>
      <c r="K437" s="9">
        <v>1.9498000000000001E-4</v>
      </c>
      <c r="L437" s="9">
        <v>6.6870000000000002E-5</v>
      </c>
      <c r="M437" s="9">
        <v>7.3910000000000002E-5</v>
      </c>
      <c r="N437" s="9">
        <v>8.1019999999999993E-5</v>
      </c>
      <c r="O437" s="9">
        <v>5.4620000000000002E-5</v>
      </c>
      <c r="P437" s="9">
        <v>5.4030000000000003E-5</v>
      </c>
      <c r="Q437" s="9">
        <v>5.3609999999999997E-5</v>
      </c>
      <c r="R437" s="10">
        <v>5.6730834936356204E-6</v>
      </c>
      <c r="S437" s="10">
        <v>3.7457446592893027E-6</v>
      </c>
      <c r="T437" s="10">
        <v>0</v>
      </c>
      <c r="U437" s="10">
        <v>1.7919999999999999E-4</v>
      </c>
      <c r="V437" s="25"/>
      <c r="W437" s="25"/>
      <c r="X437" s="25"/>
      <c r="Y437" s="25"/>
      <c r="Z437" s="25"/>
      <c r="AA437" s="25"/>
    </row>
    <row r="438" spans="1:27" x14ac:dyDescent="0.35">
      <c r="A438" s="5">
        <v>434</v>
      </c>
      <c r="B438" s="5">
        <v>19</v>
      </c>
      <c r="C438" s="5">
        <v>1</v>
      </c>
      <c r="D438" s="25">
        <v>1.1415000000000001E-4</v>
      </c>
      <c r="E438" s="25">
        <v>1.1393E-4</v>
      </c>
      <c r="F438" s="25">
        <v>8.5379999999999999E-5</v>
      </c>
      <c r="G438" s="25">
        <v>5.8990000000000003E-5</v>
      </c>
      <c r="H438" s="25">
        <v>6.2429999999999997E-5</v>
      </c>
      <c r="I438" s="9">
        <v>1.2731999999999999E-4</v>
      </c>
      <c r="J438" s="9">
        <v>1.0187E-4</v>
      </c>
      <c r="K438" s="9">
        <v>2.0769000000000001E-4</v>
      </c>
      <c r="L438" s="9">
        <v>5.77E-5</v>
      </c>
      <c r="M438" s="9">
        <v>6.3899999999999995E-5</v>
      </c>
      <c r="N438" s="9">
        <v>7.2000000000000002E-5</v>
      </c>
      <c r="O438" s="9">
        <v>1.8199999999999999E-5</v>
      </c>
      <c r="P438" s="9">
        <v>3.7610000000000001E-5</v>
      </c>
      <c r="Q438" s="9">
        <v>5.5970000000000001E-5</v>
      </c>
      <c r="R438" s="10">
        <v>5.8801676918206909E-6</v>
      </c>
      <c r="S438" s="10">
        <v>4.1121163720354166E-6</v>
      </c>
      <c r="T438" s="10">
        <v>0</v>
      </c>
      <c r="U438" s="10">
        <v>1.7919999999999999E-4</v>
      </c>
      <c r="V438" s="25"/>
      <c r="W438" s="25"/>
      <c r="X438" s="25"/>
      <c r="Y438" s="25"/>
      <c r="Z438" s="25"/>
      <c r="AA438" s="25"/>
    </row>
    <row r="439" spans="1:27" x14ac:dyDescent="0.35">
      <c r="A439" s="5">
        <v>435</v>
      </c>
      <c r="B439" s="5">
        <v>19</v>
      </c>
      <c r="C439" s="5">
        <v>1</v>
      </c>
      <c r="D439" s="25">
        <v>1.1416E-4</v>
      </c>
      <c r="E439" s="25">
        <v>1.1822E-4</v>
      </c>
      <c r="F439" s="25">
        <v>8.6509999999999997E-5</v>
      </c>
      <c r="G439" s="25">
        <v>5.2129999999999997E-5</v>
      </c>
      <c r="H439" s="25">
        <v>6.6089999999999999E-5</v>
      </c>
      <c r="I439" s="9">
        <v>1.2244E-4</v>
      </c>
      <c r="J439" s="9">
        <v>9.9510000000000001E-5</v>
      </c>
      <c r="K439" s="9">
        <v>2.1617000000000001E-4</v>
      </c>
      <c r="L439" s="9">
        <v>2.7100000000000001E-5</v>
      </c>
      <c r="M439" s="9">
        <v>5.215E-5</v>
      </c>
      <c r="N439" s="9">
        <v>6.5419999999999994E-5</v>
      </c>
      <c r="O439" s="9">
        <v>1.2660000000000001E-5</v>
      </c>
      <c r="P439" s="9">
        <v>3.765E-5</v>
      </c>
      <c r="Q439" s="9">
        <v>6.1379999999999998E-5</v>
      </c>
      <c r="R439" s="10">
        <v>5.5433648750689399E-6</v>
      </c>
      <c r="S439" s="10">
        <v>4.9843653689809351E-6</v>
      </c>
      <c r="T439" s="10">
        <v>0</v>
      </c>
      <c r="U439" s="10">
        <v>1.7919999999999999E-4</v>
      </c>
      <c r="V439" s="25"/>
      <c r="W439" s="25"/>
      <c r="X439" s="25"/>
      <c r="Y439" s="25"/>
      <c r="Z439" s="25"/>
      <c r="AA439" s="25"/>
    </row>
    <row r="440" spans="1:27" x14ac:dyDescent="0.35">
      <c r="A440" s="5">
        <v>436</v>
      </c>
      <c r="B440" s="5">
        <v>19</v>
      </c>
      <c r="C440" s="5">
        <v>1</v>
      </c>
      <c r="D440" s="25">
        <v>1.1415000000000001E-4</v>
      </c>
      <c r="E440" s="25">
        <v>1.2320000000000001E-4</v>
      </c>
      <c r="F440" s="25">
        <v>8.496E-5</v>
      </c>
      <c r="G440" s="25">
        <v>6.2830000000000007E-5</v>
      </c>
      <c r="H440" s="25">
        <v>7.3800000000000005E-5</v>
      </c>
      <c r="I440" s="9">
        <v>1.1993E-4</v>
      </c>
      <c r="J440" s="9">
        <v>9.8759999999999996E-5</v>
      </c>
      <c r="K440" s="9">
        <v>2.1193000000000001E-4</v>
      </c>
      <c r="L440" s="9">
        <v>1.6589999999999999E-5</v>
      </c>
      <c r="M440" s="9">
        <v>4.4119999999999998E-5</v>
      </c>
      <c r="N440" s="9">
        <v>6.1829999999999996E-5</v>
      </c>
      <c r="O440" s="9">
        <v>1.26E-5</v>
      </c>
      <c r="P440" s="9">
        <v>4.6869999999999997E-5</v>
      </c>
      <c r="Q440" s="9">
        <v>7.9720000000000002E-5</v>
      </c>
      <c r="R440" s="10">
        <v>3.9474350297802846E-6</v>
      </c>
      <c r="S440" s="10">
        <v>5.3375722702708802E-6</v>
      </c>
      <c r="T440" s="10">
        <v>0</v>
      </c>
      <c r="U440" s="10">
        <v>1.7919999999999999E-4</v>
      </c>
      <c r="V440" s="25"/>
      <c r="W440" s="25"/>
      <c r="X440" s="25"/>
      <c r="Y440" s="25"/>
      <c r="Z440" s="25"/>
      <c r="AA440" s="25"/>
    </row>
    <row r="441" spans="1:27" x14ac:dyDescent="0.35">
      <c r="A441" s="5">
        <v>437</v>
      </c>
      <c r="B441" s="5">
        <v>19</v>
      </c>
      <c r="C441" s="5">
        <v>1</v>
      </c>
      <c r="D441" s="25">
        <v>1.1416E-4</v>
      </c>
      <c r="E441" s="25">
        <v>1.1917999999999999E-4</v>
      </c>
      <c r="F441" s="25">
        <v>9.4129999999999995E-5</v>
      </c>
      <c r="G441" s="25">
        <v>6.1160000000000004E-5</v>
      </c>
      <c r="H441" s="25">
        <v>6.9690000000000005E-5</v>
      </c>
      <c r="I441" s="9">
        <v>1.1873E-4</v>
      </c>
      <c r="J441" s="9">
        <v>1.0009999999999999E-4</v>
      </c>
      <c r="K441" s="9">
        <v>2.2677E-4</v>
      </c>
      <c r="L441" s="9">
        <v>1.3730000000000001E-5</v>
      </c>
      <c r="M441" s="9">
        <v>4.3309999999999997E-5</v>
      </c>
      <c r="N441" s="9">
        <v>6.423E-5</v>
      </c>
      <c r="O441" s="9">
        <v>1.8199999999999999E-5</v>
      </c>
      <c r="P441" s="9">
        <v>5.643E-5</v>
      </c>
      <c r="Q441" s="9">
        <v>9.3319999999999994E-5</v>
      </c>
      <c r="R441" s="10">
        <v>2.3273139290606918E-6</v>
      </c>
      <c r="S441" s="10">
        <v>6.2652132413633634E-6</v>
      </c>
      <c r="T441" s="10">
        <v>0</v>
      </c>
      <c r="U441" s="10">
        <v>1.7919999999999999E-4</v>
      </c>
      <c r="V441" s="25"/>
      <c r="W441" s="25"/>
      <c r="X441" s="25"/>
      <c r="Y441" s="25"/>
      <c r="Z441" s="25"/>
      <c r="AA441" s="25"/>
    </row>
    <row r="442" spans="1:27" x14ac:dyDescent="0.35">
      <c r="A442" s="5">
        <v>438</v>
      </c>
      <c r="B442" s="5">
        <v>19</v>
      </c>
      <c r="C442" s="5">
        <v>1</v>
      </c>
      <c r="D442" s="25">
        <v>1.1415000000000001E-4</v>
      </c>
      <c r="E442" s="25">
        <v>1.2035E-4</v>
      </c>
      <c r="F442" s="25">
        <v>9.8579999999999995E-5</v>
      </c>
      <c r="G442" s="25">
        <v>1.0962E-4</v>
      </c>
      <c r="H442" s="25">
        <v>1.2789999999999999E-4</v>
      </c>
      <c r="I442" s="9">
        <v>1.2329999999999999E-4</v>
      </c>
      <c r="J442" s="9">
        <v>1.0403000000000001E-4</v>
      </c>
      <c r="K442" s="9">
        <v>2.2041000000000001E-4</v>
      </c>
      <c r="L442" s="9">
        <v>1.7090000000000001E-5</v>
      </c>
      <c r="M442" s="9">
        <v>4.8170000000000001E-5</v>
      </c>
      <c r="N442" s="9">
        <v>7.0740000000000004E-5</v>
      </c>
      <c r="O442" s="9">
        <v>4.6529999999999997E-5</v>
      </c>
      <c r="P442" s="9">
        <v>7.7490000000000005E-5</v>
      </c>
      <c r="Q442" s="9">
        <v>1.0791E-4</v>
      </c>
      <c r="R442" s="10">
        <v>1.317481419681346E-6</v>
      </c>
      <c r="S442" s="10">
        <v>7.1473132176058557E-6</v>
      </c>
      <c r="T442" s="10">
        <v>0</v>
      </c>
      <c r="U442" s="10">
        <v>1.7919999999999999E-4</v>
      </c>
      <c r="V442" s="25"/>
      <c r="W442" s="25"/>
      <c r="X442" s="25"/>
      <c r="Y442" s="25"/>
      <c r="Z442" s="25"/>
      <c r="AA442" s="25"/>
    </row>
    <row r="443" spans="1:27" x14ac:dyDescent="0.35">
      <c r="A443" s="5">
        <v>439</v>
      </c>
      <c r="B443" s="5">
        <v>19</v>
      </c>
      <c r="C443" s="5">
        <v>1</v>
      </c>
      <c r="D443" s="25">
        <v>1.1416E-4</v>
      </c>
      <c r="E443" s="25">
        <v>1.1684E-4</v>
      </c>
      <c r="F443" s="25">
        <v>1.0165E-4</v>
      </c>
      <c r="G443" s="25">
        <v>1.0745E-4</v>
      </c>
      <c r="H443" s="25">
        <v>1.326E-4</v>
      </c>
      <c r="I443" s="9">
        <v>1.3666000000000001E-4</v>
      </c>
      <c r="J443" s="9">
        <v>1.1603E-4</v>
      </c>
      <c r="K443" s="9">
        <v>2.2465000000000001E-4</v>
      </c>
      <c r="L443" s="9">
        <v>3.9910000000000002E-5</v>
      </c>
      <c r="M443" s="9">
        <v>6.0109999999999999E-5</v>
      </c>
      <c r="N443" s="9">
        <v>8.0669999999999998E-5</v>
      </c>
      <c r="O443" s="9">
        <v>1.2433E-4</v>
      </c>
      <c r="P443" s="9">
        <v>1.1739999999999999E-4</v>
      </c>
      <c r="Q443" s="9">
        <v>1.1246E-4</v>
      </c>
      <c r="R443" s="10">
        <v>1.501822761767557E-6</v>
      </c>
      <c r="S443" s="10">
        <v>7.551233055603721E-6</v>
      </c>
      <c r="T443" s="10">
        <v>0</v>
      </c>
      <c r="U443" s="10">
        <v>1.7919999999999999E-4</v>
      </c>
      <c r="V443" s="25"/>
      <c r="W443" s="25"/>
      <c r="X443" s="25"/>
      <c r="Y443" s="25"/>
      <c r="Z443" s="25"/>
      <c r="AA443" s="25"/>
    </row>
    <row r="444" spans="1:27" x14ac:dyDescent="0.35">
      <c r="A444" s="5">
        <v>440</v>
      </c>
      <c r="B444" s="5">
        <v>19</v>
      </c>
      <c r="C444" s="5">
        <v>1</v>
      </c>
      <c r="D444" s="25">
        <v>1.1415000000000001E-4</v>
      </c>
      <c r="E444" s="25">
        <v>1.1236E-4</v>
      </c>
      <c r="F444" s="25">
        <v>8.9980000000000002E-5</v>
      </c>
      <c r="G444" s="25">
        <v>1.6647E-4</v>
      </c>
      <c r="H444" s="25">
        <v>1.9719E-4</v>
      </c>
      <c r="I444" s="9">
        <v>1.4849000000000001E-4</v>
      </c>
      <c r="J444" s="9">
        <v>1.3585999999999999E-4</v>
      </c>
      <c r="K444" s="9">
        <v>2.2041000000000001E-4</v>
      </c>
      <c r="L444" s="9">
        <v>1.0512E-4</v>
      </c>
      <c r="M444" s="9">
        <v>8.3819999999999994E-5</v>
      </c>
      <c r="N444" s="9">
        <v>9.0810000000000006E-5</v>
      </c>
      <c r="O444" s="9">
        <v>2.24E-4</v>
      </c>
      <c r="P444" s="9">
        <v>1.7835999999999999E-4</v>
      </c>
      <c r="Q444" s="9">
        <v>1.3778999999999999E-4</v>
      </c>
      <c r="R444" s="10">
        <v>2.759314706195185E-6</v>
      </c>
      <c r="S444" s="10">
        <v>8.1152295883951256E-6</v>
      </c>
      <c r="T444" s="10">
        <v>0</v>
      </c>
      <c r="U444" s="10">
        <v>1.7919999999999999E-4</v>
      </c>
      <c r="V444" s="25"/>
      <c r="W444" s="25"/>
      <c r="X444" s="25"/>
      <c r="Y444" s="25"/>
      <c r="Z444" s="25"/>
      <c r="AA444" s="25"/>
    </row>
    <row r="445" spans="1:27" x14ac:dyDescent="0.35">
      <c r="A445" s="5">
        <v>441</v>
      </c>
      <c r="B445" s="5">
        <v>19</v>
      </c>
      <c r="C445" s="5">
        <v>1</v>
      </c>
      <c r="D445" s="25">
        <v>1.1416E-4</v>
      </c>
      <c r="E445" s="25">
        <v>1.1650999999999999E-4</v>
      </c>
      <c r="F445" s="25">
        <v>8.8889999999999998E-5</v>
      </c>
      <c r="G445" s="25">
        <v>1.6448E-4</v>
      </c>
      <c r="H445" s="25">
        <v>1.9483E-4</v>
      </c>
      <c r="I445" s="9">
        <v>1.5158000000000001E-4</v>
      </c>
      <c r="J445" s="9">
        <v>1.4737999999999999E-4</v>
      </c>
      <c r="K445" s="9">
        <v>2.0133999999999999E-4</v>
      </c>
      <c r="L445" s="9">
        <v>1.9605999999999999E-4</v>
      </c>
      <c r="M445" s="9">
        <v>1.2397999999999999E-4</v>
      </c>
      <c r="N445" s="9">
        <v>1.0483E-4</v>
      </c>
      <c r="O445" s="9">
        <v>2.1552E-4</v>
      </c>
      <c r="P445" s="9">
        <v>1.9467E-4</v>
      </c>
      <c r="Q445" s="9">
        <v>1.7828000000000001E-4</v>
      </c>
      <c r="R445" s="10">
        <v>2.9403946903077155E-6</v>
      </c>
      <c r="S445" s="10">
        <v>9.1128911358376141E-6</v>
      </c>
      <c r="T445" s="10">
        <v>5.9390095450997622E-8</v>
      </c>
      <c r="U445" s="10">
        <v>1.7919999999999999E-4</v>
      </c>
      <c r="V445" s="25"/>
      <c r="W445" s="25"/>
      <c r="X445" s="25"/>
      <c r="Y445" s="25"/>
      <c r="Z445" s="25"/>
      <c r="AA445" s="25"/>
    </row>
    <row r="446" spans="1:27" x14ac:dyDescent="0.35">
      <c r="A446" s="5">
        <v>442</v>
      </c>
      <c r="B446" s="5">
        <v>19</v>
      </c>
      <c r="C446" s="5">
        <v>1</v>
      </c>
      <c r="D446" s="25">
        <v>1.1415000000000001E-4</v>
      </c>
      <c r="E446" s="25">
        <v>1.2105E-4</v>
      </c>
      <c r="F446" s="25">
        <v>8.6669999999999995E-5</v>
      </c>
      <c r="G446" s="25">
        <v>1.6600999999999999E-4</v>
      </c>
      <c r="H446" s="25">
        <v>1.9874000000000001E-4</v>
      </c>
      <c r="I446" s="9">
        <v>1.5079000000000001E-4</v>
      </c>
      <c r="J446" s="9">
        <v>1.5028E-4</v>
      </c>
      <c r="K446" s="9">
        <v>1.9498000000000001E-4</v>
      </c>
      <c r="L446" s="9">
        <v>2.0885000000000001E-4</v>
      </c>
      <c r="M446" s="9">
        <v>1.5961E-4</v>
      </c>
      <c r="N446" s="9">
        <v>1.2517E-4</v>
      </c>
      <c r="O446" s="9">
        <v>1.6870000000000001E-4</v>
      </c>
      <c r="P446" s="9">
        <v>1.7378000000000001E-4</v>
      </c>
      <c r="Q446" s="9">
        <v>1.8176999999999999E-4</v>
      </c>
      <c r="R446" s="10">
        <v>2.260658979132524E-6</v>
      </c>
      <c r="S446" s="10">
        <v>9.3555781836003871E-6</v>
      </c>
      <c r="T446" s="10">
        <v>4.4288042607743939E-5</v>
      </c>
      <c r="U446" s="10">
        <v>1.7919999999999999E-4</v>
      </c>
      <c r="V446" s="25"/>
      <c r="W446" s="25"/>
      <c r="X446" s="25"/>
      <c r="Y446" s="25"/>
      <c r="Z446" s="25"/>
      <c r="AA446" s="25"/>
    </row>
    <row r="447" spans="1:27" x14ac:dyDescent="0.35">
      <c r="A447" s="5">
        <v>443</v>
      </c>
      <c r="B447" s="5">
        <v>19</v>
      </c>
      <c r="C447" s="5">
        <v>1</v>
      </c>
      <c r="D447" s="25">
        <v>1.1416E-4</v>
      </c>
      <c r="E447" s="25">
        <v>1.1539E-4</v>
      </c>
      <c r="F447" s="25">
        <v>9.3220000000000005E-5</v>
      </c>
      <c r="G447" s="25">
        <v>1.6003E-4</v>
      </c>
      <c r="H447" s="25">
        <v>1.8912000000000001E-4</v>
      </c>
      <c r="I447" s="9">
        <v>1.482E-4</v>
      </c>
      <c r="J447" s="9">
        <v>1.4971E-4</v>
      </c>
      <c r="K447" s="9">
        <v>1.9285999999999999E-4</v>
      </c>
      <c r="L447" s="9">
        <v>1.7760000000000001E-4</v>
      </c>
      <c r="M447" s="9">
        <v>1.7296999999999999E-4</v>
      </c>
      <c r="N447" s="9">
        <v>1.4316E-4</v>
      </c>
      <c r="O447" s="9">
        <v>1.6782E-4</v>
      </c>
      <c r="P447" s="9">
        <v>1.7154E-4</v>
      </c>
      <c r="Q447" s="9">
        <v>1.7817000000000001E-4</v>
      </c>
      <c r="R447" s="10">
        <v>1.5571180159896126E-6</v>
      </c>
      <c r="S447" s="10">
        <v>9.7559861294993482E-6</v>
      </c>
      <c r="T447" s="10">
        <v>1.180166039604824E-4</v>
      </c>
      <c r="U447" s="10">
        <v>1.7919999999999999E-4</v>
      </c>
      <c r="V447" s="25"/>
      <c r="W447" s="25"/>
      <c r="X447" s="25"/>
      <c r="Y447" s="25"/>
      <c r="Z447" s="25"/>
      <c r="AA447" s="25"/>
    </row>
    <row r="448" spans="1:27" x14ac:dyDescent="0.35">
      <c r="A448" s="5">
        <v>444</v>
      </c>
      <c r="B448" s="5">
        <v>19</v>
      </c>
      <c r="C448" s="5">
        <v>1</v>
      </c>
      <c r="D448" s="25">
        <v>1.1415000000000001E-4</v>
      </c>
      <c r="E448" s="25">
        <v>1.1574999999999999E-4</v>
      </c>
      <c r="F448" s="25">
        <v>1.0297E-4</v>
      </c>
      <c r="G448" s="25">
        <v>1.6022000000000001E-4</v>
      </c>
      <c r="H448" s="25">
        <v>2.0024999999999999E-4</v>
      </c>
      <c r="I448" s="9">
        <v>1.4875000000000001E-4</v>
      </c>
      <c r="J448" s="9">
        <v>1.4857E-4</v>
      </c>
      <c r="K448" s="9">
        <v>1.7165999999999999E-4</v>
      </c>
      <c r="L448" s="9">
        <v>1.7145999999999999E-4</v>
      </c>
      <c r="M448" s="9">
        <v>1.7466000000000001E-4</v>
      </c>
      <c r="N448" s="9">
        <v>1.5686000000000001E-4</v>
      </c>
      <c r="O448" s="9">
        <v>1.7192999999999999E-4</v>
      </c>
      <c r="P448" s="9">
        <v>1.7154E-4</v>
      </c>
      <c r="Q448" s="9">
        <v>1.7421E-4</v>
      </c>
      <c r="R448" s="10">
        <v>5.250073019762823E-7</v>
      </c>
      <c r="S448" s="10">
        <v>8.6933295037094598E-6</v>
      </c>
      <c r="T448" s="10">
        <v>2.1297288228727746E-4</v>
      </c>
      <c r="U448" s="10">
        <v>1.7919999999999999E-4</v>
      </c>
      <c r="V448" s="25"/>
      <c r="W448" s="25"/>
      <c r="X448" s="25"/>
      <c r="Y448" s="25"/>
      <c r="Z448" s="25"/>
      <c r="AA448" s="25"/>
    </row>
    <row r="449" spans="1:27" x14ac:dyDescent="0.35">
      <c r="A449" s="5">
        <v>445</v>
      </c>
      <c r="B449" s="5">
        <v>19</v>
      </c>
      <c r="C449" s="5">
        <v>1</v>
      </c>
      <c r="D449" s="25">
        <v>1.1416E-4</v>
      </c>
      <c r="E449" s="25">
        <v>1.1714000000000001E-4</v>
      </c>
      <c r="F449" s="25">
        <v>1.0289E-4</v>
      </c>
      <c r="G449" s="25">
        <v>1.6569999999999999E-4</v>
      </c>
      <c r="H449" s="25">
        <v>1.9100000000000001E-4</v>
      </c>
      <c r="I449" s="9">
        <v>1.4519000000000001E-4</v>
      </c>
      <c r="J449" s="9">
        <v>1.4627999999999999E-4</v>
      </c>
      <c r="K449" s="9">
        <v>1.6742999999999999E-4</v>
      </c>
      <c r="L449" s="9">
        <v>1.7202999999999999E-4</v>
      </c>
      <c r="M449" s="9">
        <v>1.7348E-4</v>
      </c>
      <c r="N449" s="9">
        <v>1.6626E-4</v>
      </c>
      <c r="O449" s="9">
        <v>1.6276999999999999E-4</v>
      </c>
      <c r="P449" s="9">
        <v>1.6332E-4</v>
      </c>
      <c r="Q449" s="9">
        <v>1.6670000000000001E-4</v>
      </c>
      <c r="R449" s="10">
        <v>2.190497049175611E-7</v>
      </c>
      <c r="S449" s="10">
        <v>8.5244587656119488E-6</v>
      </c>
      <c r="T449" s="10">
        <v>2.4420358819515206E-4</v>
      </c>
      <c r="U449" s="10">
        <v>1.7919999999999999E-4</v>
      </c>
      <c r="V449" s="25"/>
      <c r="W449" s="25"/>
      <c r="X449" s="25"/>
      <c r="Y449" s="25"/>
      <c r="Z449" s="25"/>
      <c r="AA449" s="25"/>
    </row>
    <row r="450" spans="1:27" x14ac:dyDescent="0.35">
      <c r="A450" s="5">
        <v>446</v>
      </c>
      <c r="B450" s="5">
        <v>19</v>
      </c>
      <c r="C450" s="5">
        <v>1</v>
      </c>
      <c r="D450" s="25">
        <v>1.1415000000000001E-4</v>
      </c>
      <c r="E450" s="25">
        <v>1.2126E-4</v>
      </c>
      <c r="F450" s="25">
        <v>9.1680000000000003E-5</v>
      </c>
      <c r="G450" s="25">
        <v>1.5705E-4</v>
      </c>
      <c r="H450" s="25">
        <v>1.8756E-4</v>
      </c>
      <c r="I450" s="9">
        <v>1.4365E-4</v>
      </c>
      <c r="J450" s="9">
        <v>1.4674999999999999E-4</v>
      </c>
      <c r="K450" s="9">
        <v>1.7166999999999999E-4</v>
      </c>
      <c r="L450" s="9">
        <v>1.6451000000000001E-4</v>
      </c>
      <c r="M450" s="9">
        <v>1.6951999999999999E-4</v>
      </c>
      <c r="N450" s="9">
        <v>1.7030999999999999E-4</v>
      </c>
      <c r="O450" s="9">
        <v>1.7908999999999999E-4</v>
      </c>
      <c r="P450" s="9">
        <v>1.6768999999999999E-4</v>
      </c>
      <c r="Q450" s="9">
        <v>1.5971E-4</v>
      </c>
      <c r="R450" s="10">
        <v>2.7906137093269737E-7</v>
      </c>
      <c r="S450" s="10">
        <v>5.8218191450141914E-6</v>
      </c>
      <c r="T450" s="10">
        <v>9.5465336287803588E-5</v>
      </c>
      <c r="U450" s="10">
        <v>1.7919999999999999E-4</v>
      </c>
      <c r="V450" s="25"/>
      <c r="W450" s="25"/>
      <c r="X450" s="25"/>
      <c r="Y450" s="25"/>
      <c r="Z450" s="25"/>
      <c r="AA450" s="25"/>
    </row>
    <row r="451" spans="1:27" x14ac:dyDescent="0.35">
      <c r="A451" s="5">
        <v>447</v>
      </c>
      <c r="B451" s="5">
        <v>19</v>
      </c>
      <c r="C451" s="5">
        <v>1</v>
      </c>
      <c r="D451" s="25">
        <v>1.1416E-4</v>
      </c>
      <c r="E451" s="25">
        <v>1.1823E-4</v>
      </c>
      <c r="F451" s="25">
        <v>9.4980000000000002E-5</v>
      </c>
      <c r="G451" s="25">
        <v>1.6174000000000001E-4</v>
      </c>
      <c r="H451" s="25">
        <v>1.9928E-4</v>
      </c>
      <c r="I451" s="9">
        <v>1.4096000000000001E-4</v>
      </c>
      <c r="J451" s="9">
        <v>1.4674999999999999E-4</v>
      </c>
      <c r="K451" s="9">
        <v>1.7590999999999999E-4</v>
      </c>
      <c r="L451" s="9">
        <v>1.7605E-4</v>
      </c>
      <c r="M451" s="9">
        <v>1.6773999999999999E-4</v>
      </c>
      <c r="N451" s="9">
        <v>1.6951999999999999E-4</v>
      </c>
      <c r="O451" s="9">
        <v>1.8540000000000001E-4</v>
      </c>
      <c r="P451" s="9">
        <v>1.6703000000000001E-4</v>
      </c>
      <c r="Q451" s="9">
        <v>1.5234999999999999E-4</v>
      </c>
      <c r="R451" s="10">
        <v>4.2197426523812264E-7</v>
      </c>
      <c r="S451" s="10">
        <v>3.047933352764963E-6</v>
      </c>
      <c r="T451" s="10">
        <v>5.2738404760485886E-5</v>
      </c>
      <c r="U451" s="10">
        <v>1.7919999999999999E-4</v>
      </c>
      <c r="V451" s="25"/>
      <c r="W451" s="25"/>
      <c r="X451" s="25"/>
      <c r="Y451" s="25"/>
      <c r="Z451" s="25"/>
      <c r="AA451" s="25"/>
    </row>
    <row r="452" spans="1:27" x14ac:dyDescent="0.35">
      <c r="A452" s="5">
        <v>448</v>
      </c>
      <c r="B452" s="5">
        <v>19</v>
      </c>
      <c r="C452" s="5">
        <v>1</v>
      </c>
      <c r="D452" s="25">
        <v>1.1415000000000001E-4</v>
      </c>
      <c r="E452" s="25">
        <v>1.1501E-4</v>
      </c>
      <c r="F452" s="25">
        <v>1.0105E-4</v>
      </c>
      <c r="G452" s="25">
        <v>1.5857999999999999E-4</v>
      </c>
      <c r="H452" s="25">
        <v>1.9668999999999999E-4</v>
      </c>
      <c r="I452" s="9">
        <v>1.4077999999999999E-4</v>
      </c>
      <c r="J452" s="9">
        <v>1.4698000000000001E-4</v>
      </c>
      <c r="K452" s="9">
        <v>1.9709E-4</v>
      </c>
      <c r="L452" s="9">
        <v>1.8305E-4</v>
      </c>
      <c r="M452" s="9">
        <v>1.671E-4</v>
      </c>
      <c r="N452" s="9">
        <v>1.6562E-4</v>
      </c>
      <c r="O452" s="9">
        <v>2.0146000000000001E-4</v>
      </c>
      <c r="P452" s="9">
        <v>1.5384E-4</v>
      </c>
      <c r="Q452" s="9">
        <v>1.1076E-4</v>
      </c>
      <c r="R452" s="10">
        <v>6.7166432003416139E-7</v>
      </c>
      <c r="S452" s="10">
        <v>1.478478129921527E-6</v>
      </c>
      <c r="T452" s="10">
        <v>1.9870229078033779E-5</v>
      </c>
      <c r="U452" s="10">
        <v>1.7919999999999999E-4</v>
      </c>
      <c r="V452" s="25"/>
      <c r="W452" s="25"/>
      <c r="X452" s="25"/>
      <c r="Y452" s="25"/>
      <c r="Z452" s="25"/>
      <c r="AA452" s="25"/>
    </row>
    <row r="453" spans="1:27" x14ac:dyDescent="0.35">
      <c r="A453" s="5">
        <v>449</v>
      </c>
      <c r="B453" s="5">
        <v>19</v>
      </c>
      <c r="C453" s="5">
        <v>1</v>
      </c>
      <c r="D453" s="25">
        <v>1.1416E-4</v>
      </c>
      <c r="E453" s="25">
        <v>1.2076E-4</v>
      </c>
      <c r="F453" s="25">
        <v>1.0524E-4</v>
      </c>
      <c r="G453" s="25">
        <v>1.6385999999999999E-4</v>
      </c>
      <c r="H453" s="25">
        <v>1.9537999999999999E-4</v>
      </c>
      <c r="I453" s="9">
        <v>1.4294000000000001E-4</v>
      </c>
      <c r="J453" s="9">
        <v>1.4925E-4</v>
      </c>
      <c r="K453" s="9">
        <v>2.1405E-4</v>
      </c>
      <c r="L453" s="9">
        <v>1.9715999999999999E-4</v>
      </c>
      <c r="M453" s="9">
        <v>1.6228999999999999E-4</v>
      </c>
      <c r="N453" s="9">
        <v>1.5221000000000001E-4</v>
      </c>
      <c r="O453" s="9">
        <v>2.1421999999999999E-4</v>
      </c>
      <c r="P453" s="9">
        <v>1.5761E-4</v>
      </c>
      <c r="Q453" s="9">
        <v>1.0601E-4</v>
      </c>
      <c r="R453" s="10">
        <v>1.111452312790372E-6</v>
      </c>
      <c r="S453" s="10">
        <v>1.1668798733313533E-6</v>
      </c>
      <c r="T453" s="10">
        <v>0</v>
      </c>
      <c r="U453" s="10">
        <v>1.7919999999999999E-4</v>
      </c>
      <c r="V453" s="25"/>
      <c r="W453" s="25"/>
      <c r="X453" s="25"/>
      <c r="Y453" s="25"/>
      <c r="Z453" s="25"/>
      <c r="AA453" s="25"/>
    </row>
    <row r="454" spans="1:27" x14ac:dyDescent="0.35">
      <c r="A454" s="5">
        <v>450</v>
      </c>
      <c r="B454" s="5">
        <v>19</v>
      </c>
      <c r="C454" s="5">
        <v>1</v>
      </c>
      <c r="D454" s="25">
        <v>1.1415000000000001E-4</v>
      </c>
      <c r="E454" s="25">
        <v>1.1256000000000001E-4</v>
      </c>
      <c r="F454" s="25">
        <v>9.8099999999999999E-5</v>
      </c>
      <c r="G454" s="25">
        <v>1.5622999999999999E-4</v>
      </c>
      <c r="H454" s="25">
        <v>1.8710999999999999E-4</v>
      </c>
      <c r="I454" s="9">
        <v>1.5239999999999999E-4</v>
      </c>
      <c r="J454" s="9">
        <v>1.5631999999999999E-4</v>
      </c>
      <c r="K454" s="9">
        <v>2.1829E-4</v>
      </c>
      <c r="L454" s="9">
        <v>2.1016000000000001E-4</v>
      </c>
      <c r="M454" s="9">
        <v>1.5927000000000001E-4</v>
      </c>
      <c r="N454" s="9">
        <v>1.3870000000000001E-4</v>
      </c>
      <c r="O454" s="9">
        <v>2.0761E-4</v>
      </c>
      <c r="P454" s="9">
        <v>1.6024E-4</v>
      </c>
      <c r="Q454" s="9">
        <v>1.1756000000000001E-4</v>
      </c>
      <c r="R454" s="10">
        <v>1.6416399444873494E-6</v>
      </c>
      <c r="S454" s="10">
        <v>1.4925362105942173E-6</v>
      </c>
      <c r="T454" s="10">
        <v>0</v>
      </c>
      <c r="U454" s="10">
        <v>1.7919999999999999E-4</v>
      </c>
      <c r="V454" s="25"/>
      <c r="W454" s="25"/>
      <c r="X454" s="25"/>
      <c r="Y454" s="25"/>
      <c r="Z454" s="25"/>
      <c r="AA454" s="25"/>
    </row>
    <row r="455" spans="1:27" x14ac:dyDescent="0.35">
      <c r="A455" s="5">
        <v>451</v>
      </c>
      <c r="B455" s="5">
        <v>19</v>
      </c>
      <c r="C455" s="5">
        <v>1</v>
      </c>
      <c r="D455" s="25">
        <v>1.1416E-4</v>
      </c>
      <c r="E455" s="25">
        <v>1.2004E-4</v>
      </c>
      <c r="F455" s="25">
        <v>9.1470000000000003E-5</v>
      </c>
      <c r="G455" s="25">
        <v>1.0754E-4</v>
      </c>
      <c r="H455" s="25">
        <v>1.3032000000000001E-4</v>
      </c>
      <c r="I455" s="9">
        <v>1.5705E-4</v>
      </c>
      <c r="J455" s="9">
        <v>1.5168000000000001E-4</v>
      </c>
      <c r="K455" s="9">
        <v>2.0346000000000001E-4</v>
      </c>
      <c r="L455" s="9">
        <v>2.0785000000000001E-4</v>
      </c>
      <c r="M455" s="9">
        <v>1.5894999999999999E-4</v>
      </c>
      <c r="N455" s="9">
        <v>1.2972E-4</v>
      </c>
      <c r="O455" s="9">
        <v>1.6593000000000001E-4</v>
      </c>
      <c r="P455" s="9">
        <v>1.3473000000000001E-4</v>
      </c>
      <c r="Q455" s="9">
        <v>1.0694E-4</v>
      </c>
      <c r="R455" s="10">
        <v>1.5565383889622633E-6</v>
      </c>
      <c r="S455" s="10">
        <v>2.3914217242014174E-6</v>
      </c>
      <c r="T455" s="10">
        <v>0</v>
      </c>
      <c r="U455" s="10">
        <v>1.7919999999999999E-4</v>
      </c>
      <c r="V455" s="25"/>
      <c r="W455" s="25"/>
      <c r="X455" s="25"/>
      <c r="Y455" s="25"/>
      <c r="Z455" s="25"/>
      <c r="AA455" s="25"/>
    </row>
    <row r="456" spans="1:27" x14ac:dyDescent="0.35">
      <c r="A456" s="5">
        <v>452</v>
      </c>
      <c r="B456" s="5">
        <v>19</v>
      </c>
      <c r="C456" s="5">
        <v>1</v>
      </c>
      <c r="D456" s="25">
        <v>1.1415000000000001E-4</v>
      </c>
      <c r="E456" s="25">
        <v>1.1229E-4</v>
      </c>
      <c r="F456" s="25">
        <v>8.9460000000000001E-5</v>
      </c>
      <c r="G456" s="25">
        <v>1.0518000000000001E-4</v>
      </c>
      <c r="H456" s="25">
        <v>1.3297E-4</v>
      </c>
      <c r="I456" s="9">
        <v>1.5111000000000001E-4</v>
      </c>
      <c r="J456" s="9">
        <v>1.4708000000000001E-4</v>
      </c>
      <c r="K456" s="9">
        <v>2.1194000000000001E-4</v>
      </c>
      <c r="L456" s="9">
        <v>1.7531E-4</v>
      </c>
      <c r="M456" s="9">
        <v>1.5032000000000001E-4</v>
      </c>
      <c r="N456" s="9">
        <v>1.2069E-4</v>
      </c>
      <c r="O456" s="9">
        <v>1.2959000000000001E-4</v>
      </c>
      <c r="P456" s="9">
        <v>1.1442000000000001E-4</v>
      </c>
      <c r="Q456" s="9">
        <v>1.015E-4</v>
      </c>
      <c r="R456" s="10">
        <v>1.0371166580519937E-6</v>
      </c>
      <c r="S456" s="10">
        <v>3.7291880242053106E-6</v>
      </c>
      <c r="T456" s="10">
        <v>0</v>
      </c>
      <c r="U456" s="10">
        <v>1.7919999999999999E-4</v>
      </c>
      <c r="V456" s="25"/>
      <c r="W456" s="25"/>
      <c r="X456" s="25"/>
      <c r="Y456" s="25"/>
      <c r="Z456" s="25"/>
      <c r="AA456" s="25"/>
    </row>
    <row r="457" spans="1:27" x14ac:dyDescent="0.35">
      <c r="A457" s="5">
        <v>453</v>
      </c>
      <c r="B457" s="5">
        <v>19</v>
      </c>
      <c r="C457" s="5">
        <v>1</v>
      </c>
      <c r="D457" s="25">
        <v>1.1416E-4</v>
      </c>
      <c r="E457" s="25">
        <v>1.1900000000000001E-4</v>
      </c>
      <c r="F457" s="25">
        <v>1.0242E-4</v>
      </c>
      <c r="G457" s="25">
        <v>5.6339999999999999E-5</v>
      </c>
      <c r="H457" s="25">
        <v>6.9820000000000006E-5</v>
      </c>
      <c r="I457" s="9">
        <v>1.4384000000000001E-4</v>
      </c>
      <c r="J457" s="9">
        <v>1.4002E-4</v>
      </c>
      <c r="K457" s="9">
        <v>2.0133999999999999E-4</v>
      </c>
      <c r="L457" s="9">
        <v>1.4062999999999999E-4</v>
      </c>
      <c r="M457" s="9">
        <v>1.3499000000000001E-4</v>
      </c>
      <c r="N457" s="9">
        <v>1.1298000000000001E-4</v>
      </c>
      <c r="O457" s="9">
        <v>8.551E-5</v>
      </c>
      <c r="P457" s="9">
        <v>8.6619999999999994E-5</v>
      </c>
      <c r="Q457" s="9">
        <v>8.8620000000000002E-5</v>
      </c>
      <c r="R457" s="10">
        <v>4.1242043305713255E-7</v>
      </c>
      <c r="S457" s="10">
        <v>4.4637130535490552E-6</v>
      </c>
      <c r="T457" s="10">
        <v>0</v>
      </c>
      <c r="U457" s="10">
        <v>1.7919999999999999E-4</v>
      </c>
      <c r="V457" s="25"/>
      <c r="W457" s="25"/>
      <c r="X457" s="25"/>
      <c r="Y457" s="25"/>
      <c r="Z457" s="25"/>
      <c r="AA457" s="25"/>
    </row>
    <row r="458" spans="1:27" x14ac:dyDescent="0.35">
      <c r="A458" s="5">
        <v>454</v>
      </c>
      <c r="B458" s="5">
        <v>19</v>
      </c>
      <c r="C458" s="5">
        <v>1</v>
      </c>
      <c r="D458" s="25">
        <v>1.1415000000000001E-4</v>
      </c>
      <c r="E458" s="25">
        <v>1.215E-4</v>
      </c>
      <c r="F458" s="25">
        <v>1.0412999999999999E-4</v>
      </c>
      <c r="G458" s="25">
        <v>6.2739999999999999E-5</v>
      </c>
      <c r="H458" s="25">
        <v>6.2650000000000005E-5</v>
      </c>
      <c r="I458" s="9">
        <v>1.3624000000000001E-4</v>
      </c>
      <c r="J458" s="9">
        <v>1.3179000000000001E-4</v>
      </c>
      <c r="K458" s="9">
        <v>1.9498000000000001E-4</v>
      </c>
      <c r="L458" s="9">
        <v>9.8579999999999995E-5</v>
      </c>
      <c r="M458" s="9">
        <v>1.1362E-4</v>
      </c>
      <c r="N458" s="9">
        <v>1.0547E-4</v>
      </c>
      <c r="O458" s="9">
        <v>8.8659999999999995E-5</v>
      </c>
      <c r="P458" s="9">
        <v>8.8319999999999995E-5</v>
      </c>
      <c r="Q458" s="9">
        <v>8.8969999999999997E-5</v>
      </c>
      <c r="R458" s="10">
        <v>1.6810477653373514E-7</v>
      </c>
      <c r="S458" s="10">
        <v>3.5912616788799249E-6</v>
      </c>
      <c r="T458" s="10">
        <v>0</v>
      </c>
      <c r="U458" s="10">
        <v>1.7919999999999999E-4</v>
      </c>
      <c r="V458" s="25"/>
      <c r="W458" s="25"/>
      <c r="X458" s="25"/>
      <c r="Y458" s="25"/>
      <c r="Z458" s="25"/>
      <c r="AA458" s="25"/>
    </row>
    <row r="459" spans="1:27" x14ac:dyDescent="0.35">
      <c r="A459" s="5">
        <v>455</v>
      </c>
      <c r="B459" s="5">
        <v>19</v>
      </c>
      <c r="C459" s="5">
        <v>1</v>
      </c>
      <c r="D459" s="25">
        <v>1.1416E-4</v>
      </c>
      <c r="E459" s="25">
        <v>1.2248000000000001E-4</v>
      </c>
      <c r="F459" s="25">
        <v>9.3679999999999998E-5</v>
      </c>
      <c r="G459" s="25">
        <v>5.7729999999999998E-5</v>
      </c>
      <c r="H459" s="25">
        <v>7.0840000000000006E-5</v>
      </c>
      <c r="I459" s="9">
        <v>1.3770000000000001E-4</v>
      </c>
      <c r="J459" s="9">
        <v>1.2188000000000001E-4</v>
      </c>
      <c r="K459" s="9">
        <v>1.9285999999999999E-4</v>
      </c>
      <c r="L459" s="9">
        <v>9.1780000000000006E-5</v>
      </c>
      <c r="M459" s="9">
        <v>9.9279999999999998E-5</v>
      </c>
      <c r="N459" s="9">
        <v>9.9889999999999994E-5</v>
      </c>
      <c r="O459" s="9">
        <v>7.8289999999999998E-5</v>
      </c>
      <c r="P459" s="9">
        <v>7.2200000000000007E-5</v>
      </c>
      <c r="Q459" s="9">
        <v>6.6950000000000001E-5</v>
      </c>
      <c r="R459" s="10">
        <v>1.2314550110735616E-7</v>
      </c>
      <c r="S459" s="10">
        <v>1.7440970861335851E-6</v>
      </c>
      <c r="T459" s="10">
        <v>0</v>
      </c>
      <c r="U459" s="10">
        <v>1.7919999999999999E-4</v>
      </c>
      <c r="V459" s="25"/>
      <c r="W459" s="25"/>
      <c r="X459" s="25"/>
      <c r="Y459" s="25"/>
      <c r="Z459" s="25"/>
      <c r="AA459" s="25"/>
    </row>
    <row r="460" spans="1:27" x14ac:dyDescent="0.35">
      <c r="A460" s="5">
        <v>456</v>
      </c>
      <c r="B460" s="5">
        <v>19</v>
      </c>
      <c r="C460" s="5">
        <v>1</v>
      </c>
      <c r="D460" s="25">
        <v>1.1415000000000001E-4</v>
      </c>
      <c r="E460" s="25">
        <v>1.2321000000000001E-4</v>
      </c>
      <c r="F460" s="25">
        <v>9.8610000000000006E-5</v>
      </c>
      <c r="G460" s="25">
        <v>5.6190000000000002E-5</v>
      </c>
      <c r="H460" s="25">
        <v>6.8700000000000003E-5</v>
      </c>
      <c r="I460" s="9">
        <v>1.3708000000000001E-4</v>
      </c>
      <c r="J460" s="9">
        <v>1.1338E-4</v>
      </c>
      <c r="K460" s="9">
        <v>1.8013999999999999E-4</v>
      </c>
      <c r="L460" s="9">
        <v>8.1240000000000001E-5</v>
      </c>
      <c r="M460" s="9">
        <v>8.6390000000000005E-5</v>
      </c>
      <c r="N460" s="9">
        <v>9.0660000000000003E-5</v>
      </c>
      <c r="O460" s="9">
        <v>6.2810000000000003E-5</v>
      </c>
      <c r="P460" s="9">
        <v>6.0609999999999997E-5</v>
      </c>
      <c r="Q460" s="9">
        <v>5.8789999999999998E-5</v>
      </c>
      <c r="R460" s="10">
        <v>1.930180003251379E-7</v>
      </c>
      <c r="S460" s="10">
        <v>1.1168337370678718E-6</v>
      </c>
      <c r="T460" s="10">
        <v>0</v>
      </c>
      <c r="U460" s="10">
        <v>1.7919999999999999E-4</v>
      </c>
      <c r="V460" s="25"/>
      <c r="W460" s="25"/>
      <c r="X460" s="25"/>
      <c r="Y460" s="25"/>
      <c r="Z460" s="25"/>
      <c r="AA460" s="25"/>
    </row>
    <row r="461" spans="1:27" x14ac:dyDescent="0.35">
      <c r="A461" s="5">
        <v>457</v>
      </c>
      <c r="B461" s="5">
        <v>20</v>
      </c>
      <c r="C461" s="5">
        <v>1</v>
      </c>
      <c r="D461" s="25">
        <v>1.1416E-4</v>
      </c>
      <c r="E461" s="25">
        <v>1.1875E-4</v>
      </c>
      <c r="F461" s="25">
        <v>1.1529E-4</v>
      </c>
      <c r="G461" s="25">
        <v>6.1450000000000003E-5</v>
      </c>
      <c r="H461" s="25">
        <v>3.9249999999999999E-5</v>
      </c>
      <c r="I461" s="9">
        <v>1.3165E-4</v>
      </c>
      <c r="J461" s="9">
        <v>1.0653E-4</v>
      </c>
      <c r="K461" s="9">
        <v>1.5472000000000001E-4</v>
      </c>
      <c r="L461" s="9">
        <v>6.6879999999999997E-5</v>
      </c>
      <c r="M461" s="9">
        <v>7.4140000000000005E-5</v>
      </c>
      <c r="N461" s="9">
        <v>8.1260000000000005E-5</v>
      </c>
      <c r="O461" s="9">
        <v>6.8280000000000004E-5</v>
      </c>
      <c r="P461" s="9">
        <v>6.0800000000000001E-5</v>
      </c>
      <c r="Q461" s="9">
        <v>5.3619999999999998E-5</v>
      </c>
      <c r="R461" s="10">
        <v>3.5287791850136869E-7</v>
      </c>
      <c r="S461" s="10">
        <v>3.2553247276480214E-7</v>
      </c>
      <c r="T461" s="10">
        <v>0</v>
      </c>
      <c r="U461" s="10">
        <v>1.7608000000000001E-4</v>
      </c>
      <c r="V461" s="25"/>
      <c r="W461" s="25"/>
      <c r="X461" s="25"/>
      <c r="Y461" s="25"/>
      <c r="Z461" s="25"/>
      <c r="AA461" s="25"/>
    </row>
    <row r="462" spans="1:27" x14ac:dyDescent="0.35">
      <c r="A462" s="5">
        <v>458</v>
      </c>
      <c r="B462" s="5">
        <v>20</v>
      </c>
      <c r="C462" s="5">
        <v>1</v>
      </c>
      <c r="D462" s="25">
        <v>1.1415000000000001E-4</v>
      </c>
      <c r="E462" s="25">
        <v>1.1357E-4</v>
      </c>
      <c r="F462" s="25">
        <v>1.1932E-4</v>
      </c>
      <c r="G462" s="25">
        <v>5.91E-5</v>
      </c>
      <c r="H462" s="25">
        <v>4.1850000000000001E-5</v>
      </c>
      <c r="I462" s="9">
        <v>1.2684E-4</v>
      </c>
      <c r="J462" s="9">
        <v>1.0179999999999999E-4</v>
      </c>
      <c r="K462" s="9">
        <v>1.0809E-4</v>
      </c>
      <c r="L462" s="9">
        <v>6.8369999999999998E-5</v>
      </c>
      <c r="M462" s="9">
        <v>6.6409999999999996E-5</v>
      </c>
      <c r="N462" s="9">
        <v>7.2210000000000002E-5</v>
      </c>
      <c r="O462" s="9">
        <v>3.4539999999999998E-5</v>
      </c>
      <c r="P462" s="9">
        <v>4.566E-5</v>
      </c>
      <c r="Q462" s="9">
        <v>5.596E-5</v>
      </c>
      <c r="R462" s="10">
        <v>9.9233581746436826E-7</v>
      </c>
      <c r="S462" s="10">
        <v>3.558502733929841E-7</v>
      </c>
      <c r="T462" s="10">
        <v>0</v>
      </c>
      <c r="U462" s="10">
        <v>1.7608000000000001E-4</v>
      </c>
      <c r="V462" s="25"/>
      <c r="W462" s="25"/>
      <c r="X462" s="25"/>
      <c r="Y462" s="25"/>
      <c r="Z462" s="25"/>
      <c r="AA462" s="25"/>
    </row>
    <row r="463" spans="1:27" x14ac:dyDescent="0.35">
      <c r="A463" s="5">
        <v>459</v>
      </c>
      <c r="B463" s="5">
        <v>20</v>
      </c>
      <c r="C463" s="5">
        <v>1</v>
      </c>
      <c r="D463" s="25">
        <v>1.1416E-4</v>
      </c>
      <c r="E463" s="25">
        <v>1.0912E-4</v>
      </c>
      <c r="F463" s="25">
        <v>1.0881E-4</v>
      </c>
      <c r="G463" s="25">
        <v>5.2200000000000002E-5</v>
      </c>
      <c r="H463" s="25">
        <v>3.8989999999999998E-5</v>
      </c>
      <c r="I463" s="9">
        <v>1.2255999999999999E-4</v>
      </c>
      <c r="J463" s="9">
        <v>9.9359999999999997E-5</v>
      </c>
      <c r="K463" s="9">
        <v>1.0385E-4</v>
      </c>
      <c r="L463" s="9">
        <v>4.189E-5</v>
      </c>
      <c r="M463" s="9">
        <v>5.7309999999999998E-5</v>
      </c>
      <c r="N463" s="9">
        <v>6.5560000000000002E-5</v>
      </c>
      <c r="O463" s="9">
        <v>2.1250000000000002E-5</v>
      </c>
      <c r="P463" s="9">
        <v>4.197E-5</v>
      </c>
      <c r="Q463" s="9">
        <v>6.1389999999999993E-5</v>
      </c>
      <c r="R463" s="10">
        <v>1.7403120928208187E-6</v>
      </c>
      <c r="S463" s="10">
        <v>3.3474681498197079E-7</v>
      </c>
      <c r="T463" s="10">
        <v>0</v>
      </c>
      <c r="U463" s="10">
        <v>1.7608000000000001E-4</v>
      </c>
      <c r="V463" s="25"/>
      <c r="W463" s="25"/>
      <c r="X463" s="25"/>
      <c r="Y463" s="25"/>
      <c r="Z463" s="25"/>
      <c r="AA463" s="25"/>
    </row>
    <row r="464" spans="1:27" x14ac:dyDescent="0.35">
      <c r="A464" s="5">
        <v>460</v>
      </c>
      <c r="B464" s="5">
        <v>20</v>
      </c>
      <c r="C464" s="5">
        <v>1</v>
      </c>
      <c r="D464" s="25">
        <v>1.1415000000000001E-4</v>
      </c>
      <c r="E464" s="25">
        <v>1.1209000000000001E-4</v>
      </c>
      <c r="F464" s="25">
        <v>9.7999999999999997E-5</v>
      </c>
      <c r="G464" s="25">
        <v>5.5720000000000002E-5</v>
      </c>
      <c r="H464" s="25">
        <v>4.3229999999999998E-5</v>
      </c>
      <c r="I464" s="9">
        <v>1.1958E-4</v>
      </c>
      <c r="J464" s="9">
        <v>9.8430000000000005E-5</v>
      </c>
      <c r="K464" s="9">
        <v>1.0597E-4</v>
      </c>
      <c r="L464" s="9">
        <v>2.6429999999999999E-5</v>
      </c>
      <c r="M464" s="9">
        <v>4.9620000000000003E-5</v>
      </c>
      <c r="N464" s="9">
        <v>6.19E-5</v>
      </c>
      <c r="O464" s="9">
        <v>2.0720000000000002E-5</v>
      </c>
      <c r="P464" s="9">
        <v>5.1180000000000001E-5</v>
      </c>
      <c r="Q464" s="9">
        <v>8.0179999999999995E-5</v>
      </c>
      <c r="R464" s="10">
        <v>1.9034683617088789E-6</v>
      </c>
      <c r="S464" s="10">
        <v>4.1973084337564884E-7</v>
      </c>
      <c r="T464" s="10">
        <v>0</v>
      </c>
      <c r="U464" s="10">
        <v>1.7608000000000001E-4</v>
      </c>
      <c r="V464" s="25"/>
      <c r="W464" s="25"/>
      <c r="X464" s="25"/>
      <c r="Y464" s="25"/>
      <c r="Z464" s="25"/>
      <c r="AA464" s="25"/>
    </row>
    <row r="465" spans="1:27" x14ac:dyDescent="0.35">
      <c r="A465" s="5">
        <v>461</v>
      </c>
      <c r="B465" s="5">
        <v>20</v>
      </c>
      <c r="C465" s="5">
        <v>1</v>
      </c>
      <c r="D465" s="25">
        <v>1.1416E-4</v>
      </c>
      <c r="E465" s="25">
        <v>1.1394E-4</v>
      </c>
      <c r="F465" s="25">
        <v>1.1963E-4</v>
      </c>
      <c r="G465" s="25">
        <v>5.499E-5</v>
      </c>
      <c r="H465" s="25">
        <v>4.0080000000000003E-5</v>
      </c>
      <c r="I465" s="9">
        <v>1.1894E-4</v>
      </c>
      <c r="J465" s="9">
        <v>9.9090000000000002E-5</v>
      </c>
      <c r="K465" s="9">
        <v>1.0385E-4</v>
      </c>
      <c r="L465" s="9">
        <v>2.2439999999999999E-5</v>
      </c>
      <c r="M465" s="9">
        <v>4.8350000000000003E-5</v>
      </c>
      <c r="N465" s="9">
        <v>6.4369999999999995E-5</v>
      </c>
      <c r="O465" s="9">
        <v>2.27E-5</v>
      </c>
      <c r="P465" s="9">
        <v>5.8950000000000003E-5</v>
      </c>
      <c r="Q465" s="9">
        <v>9.3690000000000006E-5</v>
      </c>
      <c r="R465" s="10">
        <v>1.7955565874163493E-6</v>
      </c>
      <c r="S465" s="10">
        <v>4.4455480490945308E-7</v>
      </c>
      <c r="T465" s="10">
        <v>0</v>
      </c>
      <c r="U465" s="10">
        <v>1.7608000000000001E-4</v>
      </c>
      <c r="V465" s="25"/>
      <c r="W465" s="25"/>
      <c r="X465" s="25"/>
      <c r="Y465" s="25"/>
      <c r="Z465" s="25"/>
      <c r="AA465" s="25"/>
    </row>
    <row r="466" spans="1:27" x14ac:dyDescent="0.35">
      <c r="A466" s="5">
        <v>462</v>
      </c>
      <c r="B466" s="5">
        <v>20</v>
      </c>
      <c r="C466" s="5">
        <v>1</v>
      </c>
      <c r="D466" s="25">
        <v>1.1415000000000001E-4</v>
      </c>
      <c r="E466" s="25">
        <v>1.1838E-4</v>
      </c>
      <c r="F466" s="25">
        <v>1.0963000000000001E-4</v>
      </c>
      <c r="G466" s="25">
        <v>1.1553E-4</v>
      </c>
      <c r="H466" s="25">
        <v>8.0920000000000005E-5</v>
      </c>
      <c r="I466" s="9">
        <v>1.2276999999999999E-4</v>
      </c>
      <c r="J466" s="9">
        <v>1.0274E-4</v>
      </c>
      <c r="K466" s="9">
        <v>9.9610000000000003E-5</v>
      </c>
      <c r="L466" s="9">
        <v>2.2569999999999999E-5</v>
      </c>
      <c r="M466" s="9">
        <v>5.2169999999999997E-5</v>
      </c>
      <c r="N466" s="9">
        <v>7.093E-5</v>
      </c>
      <c r="O466" s="9">
        <v>2.904E-5</v>
      </c>
      <c r="P466" s="9">
        <v>6.86E-5</v>
      </c>
      <c r="Q466" s="9">
        <v>1.0676E-4</v>
      </c>
      <c r="R466" s="10">
        <v>1.5002864591278291E-6</v>
      </c>
      <c r="S466" s="10">
        <v>2.9359009673366892E-7</v>
      </c>
      <c r="T466" s="10">
        <v>0</v>
      </c>
      <c r="U466" s="10">
        <v>1.7608000000000001E-4</v>
      </c>
      <c r="V466" s="25"/>
      <c r="W466" s="25"/>
      <c r="X466" s="25"/>
      <c r="Y466" s="25"/>
      <c r="Z466" s="25"/>
      <c r="AA466" s="25"/>
    </row>
    <row r="467" spans="1:27" x14ac:dyDescent="0.35">
      <c r="A467" s="5">
        <v>463</v>
      </c>
      <c r="B467" s="5">
        <v>20</v>
      </c>
      <c r="C467" s="5">
        <v>1</v>
      </c>
      <c r="D467" s="25">
        <v>1.1416E-4</v>
      </c>
      <c r="E467" s="25">
        <v>1.1966E-4</v>
      </c>
      <c r="F467" s="25">
        <v>9.8510000000000004E-5</v>
      </c>
      <c r="G467" s="25">
        <v>1.0857999999999999E-4</v>
      </c>
      <c r="H467" s="25">
        <v>7.7609999999999997E-5</v>
      </c>
      <c r="I467" s="9">
        <v>1.3526E-4</v>
      </c>
      <c r="J467" s="9">
        <v>1.1443E-4</v>
      </c>
      <c r="K467" s="9">
        <v>1.0597E-4</v>
      </c>
      <c r="L467" s="9">
        <v>2.7509999999999999E-5</v>
      </c>
      <c r="M467" s="9">
        <v>5.9209999999999997E-5</v>
      </c>
      <c r="N467" s="9">
        <v>8.0580000000000004E-5</v>
      </c>
      <c r="O467" s="9">
        <v>4.5519999999999998E-5</v>
      </c>
      <c r="P467" s="9">
        <v>7.8999999999999996E-5</v>
      </c>
      <c r="Q467" s="9">
        <v>1.1158E-4</v>
      </c>
      <c r="R467" s="10">
        <v>9.9787420089976733E-7</v>
      </c>
      <c r="S467" s="10">
        <v>1.5144515151241577E-7</v>
      </c>
      <c r="T467" s="10">
        <v>0</v>
      </c>
      <c r="U467" s="10">
        <v>1.7608000000000001E-4</v>
      </c>
      <c r="V467" s="25"/>
      <c r="W467" s="25"/>
      <c r="X467" s="25"/>
      <c r="Y467" s="25"/>
      <c r="Z467" s="25"/>
      <c r="AA467" s="25"/>
    </row>
    <row r="468" spans="1:27" x14ac:dyDescent="0.35">
      <c r="A468" s="5">
        <v>464</v>
      </c>
      <c r="B468" s="5">
        <v>20</v>
      </c>
      <c r="C468" s="5">
        <v>1</v>
      </c>
      <c r="D468" s="25">
        <v>1.1415000000000001E-4</v>
      </c>
      <c r="E468" s="25">
        <v>1.1764000000000001E-4</v>
      </c>
      <c r="F468" s="25">
        <v>1.0338E-4</v>
      </c>
      <c r="G468" s="25">
        <v>1.6312999999999999E-4</v>
      </c>
      <c r="H468" s="25">
        <v>1.2205E-4</v>
      </c>
      <c r="I468" s="9">
        <v>1.4656000000000001E-4</v>
      </c>
      <c r="J468" s="9">
        <v>1.3381999999999999E-4</v>
      </c>
      <c r="K468" s="9">
        <v>1.1233E-4</v>
      </c>
      <c r="L468" s="9">
        <v>4.1409999999999998E-5</v>
      </c>
      <c r="M468" s="9">
        <v>6.8089999999999994E-5</v>
      </c>
      <c r="N468" s="9">
        <v>9.0519999999999994E-5</v>
      </c>
      <c r="O468" s="9">
        <v>6.86E-5</v>
      </c>
      <c r="P468" s="9">
        <v>1.0315999999999999E-4</v>
      </c>
      <c r="Q468" s="9">
        <v>1.3736E-4</v>
      </c>
      <c r="R468" s="10">
        <v>1.1876759350233158E-6</v>
      </c>
      <c r="S468" s="10">
        <v>1.4562801135137854E-7</v>
      </c>
      <c r="T468" s="10">
        <v>0</v>
      </c>
      <c r="U468" s="10">
        <v>1.7608000000000001E-4</v>
      </c>
      <c r="V468" s="25"/>
      <c r="W468" s="25"/>
      <c r="X468" s="25"/>
      <c r="Y468" s="25"/>
      <c r="Z468" s="25"/>
      <c r="AA468" s="25"/>
    </row>
    <row r="469" spans="1:27" x14ac:dyDescent="0.35">
      <c r="A469" s="5">
        <v>465</v>
      </c>
      <c r="B469" s="5">
        <v>20</v>
      </c>
      <c r="C469" s="5">
        <v>1</v>
      </c>
      <c r="D469" s="25">
        <v>1.1416E-4</v>
      </c>
      <c r="E469" s="25">
        <v>1.1951E-4</v>
      </c>
      <c r="F469" s="25">
        <v>1.0278E-4</v>
      </c>
      <c r="G469" s="25">
        <v>1.628E-4</v>
      </c>
      <c r="H469" s="25">
        <v>1.1933E-4</v>
      </c>
      <c r="I469" s="9">
        <v>1.5171E-4</v>
      </c>
      <c r="J469" s="9">
        <v>1.4635000000000001E-4</v>
      </c>
      <c r="K469" s="9">
        <v>1.1021E-4</v>
      </c>
      <c r="L469" s="9">
        <v>6.224E-5</v>
      </c>
      <c r="M469" s="9">
        <v>8.2910000000000004E-5</v>
      </c>
      <c r="N469" s="9">
        <v>1.0445E-4</v>
      </c>
      <c r="O469" s="9">
        <v>9.9469999999999995E-5</v>
      </c>
      <c r="P469" s="9">
        <v>1.3718000000000001E-4</v>
      </c>
      <c r="Q469" s="9">
        <v>1.7526999999999999E-4</v>
      </c>
      <c r="R469" s="10">
        <v>1.2211123946357839E-6</v>
      </c>
      <c r="S469" s="10">
        <v>1.9120595230358216E-8</v>
      </c>
      <c r="T469" s="10">
        <v>1.4228170010189002E-5</v>
      </c>
      <c r="U469" s="10">
        <v>1.7608000000000001E-4</v>
      </c>
      <c r="V469" s="25"/>
      <c r="W469" s="25"/>
      <c r="X469" s="25"/>
      <c r="Y469" s="25"/>
      <c r="Z469" s="25"/>
      <c r="AA469" s="25"/>
    </row>
    <row r="470" spans="1:27" x14ac:dyDescent="0.35">
      <c r="A470" s="5">
        <v>466</v>
      </c>
      <c r="B470" s="5">
        <v>20</v>
      </c>
      <c r="C470" s="5">
        <v>1</v>
      </c>
      <c r="D470" s="25">
        <v>1.1415000000000001E-4</v>
      </c>
      <c r="E470" s="25">
        <v>1.1716E-4</v>
      </c>
      <c r="F470" s="25">
        <v>1.1372E-4</v>
      </c>
      <c r="G470" s="25">
        <v>1.6480999999999999E-4</v>
      </c>
      <c r="H470" s="25">
        <v>1.2106E-4</v>
      </c>
      <c r="I470" s="9">
        <v>1.5341000000000001E-4</v>
      </c>
      <c r="J470" s="9">
        <v>1.4977999999999999E-4</v>
      </c>
      <c r="K470" s="9">
        <v>1.0385E-4</v>
      </c>
      <c r="L470" s="9">
        <v>9.0729999999999994E-5</v>
      </c>
      <c r="M470" s="9">
        <v>1.0620000000000001E-4</v>
      </c>
      <c r="N470" s="9">
        <v>1.2413999999999999E-4</v>
      </c>
      <c r="O470" s="9">
        <v>1.2946E-4</v>
      </c>
      <c r="P470" s="9">
        <v>1.5501999999999999E-4</v>
      </c>
      <c r="Q470" s="9">
        <v>1.8189000000000001E-4</v>
      </c>
      <c r="R470" s="10">
        <v>2.0749043536405029E-6</v>
      </c>
      <c r="S470" s="10">
        <v>0</v>
      </c>
      <c r="T470" s="10">
        <v>5.5970922812890184E-5</v>
      </c>
      <c r="U470" s="10">
        <v>1.7608000000000001E-4</v>
      </c>
      <c r="V470" s="25"/>
      <c r="W470" s="25"/>
      <c r="X470" s="25"/>
      <c r="Y470" s="25"/>
      <c r="Z470" s="25"/>
      <c r="AA470" s="25"/>
    </row>
    <row r="471" spans="1:27" x14ac:dyDescent="0.35">
      <c r="A471" s="5">
        <v>467</v>
      </c>
      <c r="B471" s="5">
        <v>20</v>
      </c>
      <c r="C471" s="5">
        <v>1</v>
      </c>
      <c r="D471" s="25">
        <v>1.1416E-4</v>
      </c>
      <c r="E471" s="25">
        <v>1.1478E-4</v>
      </c>
      <c r="F471" s="25">
        <v>1.1313E-4</v>
      </c>
      <c r="G471" s="25">
        <v>1.5622999999999999E-4</v>
      </c>
      <c r="H471" s="25">
        <v>1.2053E-4</v>
      </c>
      <c r="I471" s="9">
        <v>1.5385E-4</v>
      </c>
      <c r="J471" s="9">
        <v>1.4982E-4</v>
      </c>
      <c r="K471" s="9">
        <v>1.0173E-4</v>
      </c>
      <c r="L471" s="9">
        <v>1.2024E-4</v>
      </c>
      <c r="M471" s="9">
        <v>1.2964000000000001E-4</v>
      </c>
      <c r="N471" s="9">
        <v>1.4223E-4</v>
      </c>
      <c r="O471" s="9">
        <v>1.3744000000000001E-4</v>
      </c>
      <c r="P471" s="9">
        <v>1.5726999999999999E-4</v>
      </c>
      <c r="Q471" s="9">
        <v>1.7871E-4</v>
      </c>
      <c r="R471" s="10">
        <v>2.5048992717862227E-6</v>
      </c>
      <c r="S471" s="10">
        <v>0</v>
      </c>
      <c r="T471" s="10">
        <v>1.3730990068270651E-4</v>
      </c>
      <c r="U471" s="10">
        <v>1.7608000000000001E-4</v>
      </c>
      <c r="V471" s="25"/>
      <c r="W471" s="25"/>
      <c r="X471" s="25"/>
      <c r="Y471" s="25"/>
      <c r="Z471" s="25"/>
      <c r="AA471" s="25"/>
    </row>
    <row r="472" spans="1:27" x14ac:dyDescent="0.35">
      <c r="A472" s="5">
        <v>468</v>
      </c>
      <c r="B472" s="5">
        <v>20</v>
      </c>
      <c r="C472" s="5">
        <v>1</v>
      </c>
      <c r="D472" s="25">
        <v>1.1415000000000001E-4</v>
      </c>
      <c r="E472" s="25">
        <v>1.1834E-4</v>
      </c>
      <c r="F472" s="25">
        <v>9.8129999999999997E-5</v>
      </c>
      <c r="G472" s="25">
        <v>1.6412999999999999E-4</v>
      </c>
      <c r="H472" s="25">
        <v>1.1885E-4</v>
      </c>
      <c r="I472" s="9">
        <v>1.5417999999999999E-4</v>
      </c>
      <c r="J472" s="9">
        <v>1.4885000000000001E-4</v>
      </c>
      <c r="K472" s="9">
        <v>9.5370000000000003E-5</v>
      </c>
      <c r="L472" s="9">
        <v>1.3297E-4</v>
      </c>
      <c r="M472" s="9">
        <v>1.4515E-4</v>
      </c>
      <c r="N472" s="9">
        <v>1.562E-4</v>
      </c>
      <c r="O472" s="9">
        <v>1.3929E-4</v>
      </c>
      <c r="P472" s="9">
        <v>1.5577000000000001E-4</v>
      </c>
      <c r="Q472" s="9">
        <v>1.7395E-4</v>
      </c>
      <c r="R472" s="10">
        <v>1.3723375768170845E-6</v>
      </c>
      <c r="S472" s="10">
        <v>0</v>
      </c>
      <c r="T472" s="10">
        <v>3.4562490262675572E-4</v>
      </c>
      <c r="U472" s="10">
        <v>1.7608000000000001E-4</v>
      </c>
      <c r="V472" s="25"/>
      <c r="W472" s="25"/>
      <c r="X472" s="25"/>
      <c r="Y472" s="25"/>
      <c r="Z472" s="25"/>
      <c r="AA472" s="25"/>
    </row>
    <row r="473" spans="1:27" x14ac:dyDescent="0.35">
      <c r="A473" s="5">
        <v>469</v>
      </c>
      <c r="B473" s="5">
        <v>20</v>
      </c>
      <c r="C473" s="5">
        <v>1</v>
      </c>
      <c r="D473" s="25">
        <v>1.1416E-4</v>
      </c>
      <c r="E473" s="25">
        <v>1.1512E-4</v>
      </c>
      <c r="F473" s="25">
        <v>9.9019999999999997E-5</v>
      </c>
      <c r="G473" s="25">
        <v>1.6384E-4</v>
      </c>
      <c r="H473" s="25">
        <v>1.1714000000000001E-4</v>
      </c>
      <c r="I473" s="9">
        <v>1.5092999999999999E-4</v>
      </c>
      <c r="J473" s="9">
        <v>1.4728000000000001E-4</v>
      </c>
      <c r="K473" s="9">
        <v>9.1139999999999998E-5</v>
      </c>
      <c r="L473" s="9">
        <v>1.3772E-4</v>
      </c>
      <c r="M473" s="9">
        <v>1.5228999999999999E-4</v>
      </c>
      <c r="N473" s="9">
        <v>1.6572000000000001E-4</v>
      </c>
      <c r="O473" s="9">
        <v>1.3187999999999999E-4</v>
      </c>
      <c r="P473" s="9">
        <v>1.4944000000000001E-4</v>
      </c>
      <c r="Q473" s="9">
        <v>1.6848000000000001E-4</v>
      </c>
      <c r="R473" s="10">
        <v>1.8078386303085998E-6</v>
      </c>
      <c r="S473" s="10">
        <v>0</v>
      </c>
      <c r="T473" s="10">
        <v>4.9046037683303869E-4</v>
      </c>
      <c r="U473" s="10">
        <v>1.7608000000000001E-4</v>
      </c>
      <c r="V473" s="25"/>
      <c r="W473" s="25"/>
      <c r="X473" s="25"/>
      <c r="Y473" s="25"/>
      <c r="Z473" s="25"/>
      <c r="AA473" s="25"/>
    </row>
    <row r="474" spans="1:27" x14ac:dyDescent="0.35">
      <c r="A474" s="5">
        <v>470</v>
      </c>
      <c r="B474" s="5">
        <v>20</v>
      </c>
      <c r="C474" s="5">
        <v>1</v>
      </c>
      <c r="D474" s="25">
        <v>1.1415000000000001E-4</v>
      </c>
      <c r="E474" s="25">
        <v>1.1231E-4</v>
      </c>
      <c r="F474" s="25">
        <v>1.1938999999999999E-4</v>
      </c>
      <c r="G474" s="25">
        <v>1.6301E-4</v>
      </c>
      <c r="H474" s="25">
        <v>1.1972999999999999E-4</v>
      </c>
      <c r="I474" s="9">
        <v>1.5155999999999999E-4</v>
      </c>
      <c r="J474" s="9">
        <v>1.474E-4</v>
      </c>
      <c r="K474" s="9">
        <v>9.3250000000000003E-5</v>
      </c>
      <c r="L474" s="9">
        <v>1.3322E-4</v>
      </c>
      <c r="M474" s="9">
        <v>1.5263000000000001E-4</v>
      </c>
      <c r="N474" s="9">
        <v>1.7034E-4</v>
      </c>
      <c r="O474" s="9">
        <v>1.1336999999999999E-4</v>
      </c>
      <c r="P474" s="9">
        <v>1.3671000000000001E-4</v>
      </c>
      <c r="Q474" s="9">
        <v>1.6098999999999999E-4</v>
      </c>
      <c r="R474" s="10">
        <v>3.105334101607609E-6</v>
      </c>
      <c r="S474" s="10">
        <v>0</v>
      </c>
      <c r="T474" s="10">
        <v>1.9484193457602289E-4</v>
      </c>
      <c r="U474" s="10">
        <v>1.7608000000000001E-4</v>
      </c>
      <c r="V474" s="25"/>
      <c r="W474" s="25"/>
      <c r="X474" s="25"/>
      <c r="Y474" s="25"/>
      <c r="Z474" s="25"/>
      <c r="AA474" s="25"/>
    </row>
    <row r="475" spans="1:27" x14ac:dyDescent="0.35">
      <c r="A475" s="5">
        <v>471</v>
      </c>
      <c r="B475" s="5">
        <v>20</v>
      </c>
      <c r="C475" s="5">
        <v>1</v>
      </c>
      <c r="D475" s="25">
        <v>1.1416E-4</v>
      </c>
      <c r="E475" s="25">
        <v>1.1909999999999999E-4</v>
      </c>
      <c r="F475" s="25">
        <v>1.1225E-4</v>
      </c>
      <c r="G475" s="25">
        <v>1.6028E-4</v>
      </c>
      <c r="H475" s="25">
        <v>1.206E-4</v>
      </c>
      <c r="I475" s="9">
        <v>1.4970000000000001E-4</v>
      </c>
      <c r="J475" s="9">
        <v>1.471E-4</v>
      </c>
      <c r="K475" s="9">
        <v>1.1021E-4</v>
      </c>
      <c r="L475" s="9">
        <v>1.1792E-4</v>
      </c>
      <c r="M475" s="9">
        <v>1.4673E-4</v>
      </c>
      <c r="N475" s="9">
        <v>1.7002E-4</v>
      </c>
      <c r="O475" s="9">
        <v>1.2699E-4</v>
      </c>
      <c r="P475" s="9">
        <v>1.3835E-4</v>
      </c>
      <c r="Q475" s="9">
        <v>1.5118999999999999E-4</v>
      </c>
      <c r="R475" s="10">
        <v>3.8080737392846464E-6</v>
      </c>
      <c r="S475" s="10">
        <v>2.2642170083071804E-7</v>
      </c>
      <c r="T475" s="10">
        <v>6.6669624293419892E-5</v>
      </c>
      <c r="U475" s="10">
        <v>1.7608000000000001E-4</v>
      </c>
      <c r="V475" s="25"/>
      <c r="W475" s="25"/>
      <c r="X475" s="25"/>
      <c r="Y475" s="25"/>
      <c r="Z475" s="25"/>
      <c r="AA475" s="25"/>
    </row>
    <row r="476" spans="1:27" x14ac:dyDescent="0.35">
      <c r="A476" s="5">
        <v>472</v>
      </c>
      <c r="B476" s="5">
        <v>20</v>
      </c>
      <c r="C476" s="5">
        <v>1</v>
      </c>
      <c r="D476" s="25">
        <v>1.1415000000000001E-4</v>
      </c>
      <c r="E476" s="25">
        <v>1.1707E-4</v>
      </c>
      <c r="F476" s="25">
        <v>1.0552000000000001E-4</v>
      </c>
      <c r="G476" s="25">
        <v>1.6731999999999999E-4</v>
      </c>
      <c r="H476" s="25">
        <v>1.1647E-4</v>
      </c>
      <c r="I476" s="9">
        <v>1.4844000000000001E-4</v>
      </c>
      <c r="J476" s="9">
        <v>1.4642E-4</v>
      </c>
      <c r="K476" s="9">
        <v>1.1445E-4</v>
      </c>
      <c r="L476" s="9">
        <v>1.2543999999999999E-4</v>
      </c>
      <c r="M476" s="9">
        <v>1.4203999999999999E-4</v>
      </c>
      <c r="N476" s="9">
        <v>1.6589999999999999E-4</v>
      </c>
      <c r="O476" s="9">
        <v>1.3638999999999999E-4</v>
      </c>
      <c r="P476" s="9">
        <v>1.2253000000000001E-4</v>
      </c>
      <c r="Q476" s="9">
        <v>1.1076E-4</v>
      </c>
      <c r="R476" s="10">
        <v>3.6560555975303796E-6</v>
      </c>
      <c r="S476" s="10">
        <v>6.0718904913740448E-7</v>
      </c>
      <c r="T476" s="10">
        <v>9.850271545515461E-6</v>
      </c>
      <c r="U476" s="10">
        <v>1.7608000000000001E-4</v>
      </c>
      <c r="V476" s="25"/>
      <c r="W476" s="25"/>
      <c r="X476" s="25"/>
      <c r="Y476" s="25"/>
      <c r="Z476" s="25"/>
      <c r="AA476" s="25"/>
    </row>
    <row r="477" spans="1:27" x14ac:dyDescent="0.35">
      <c r="A477" s="5">
        <v>473</v>
      </c>
      <c r="B477" s="5">
        <v>20</v>
      </c>
      <c r="C477" s="5">
        <v>1</v>
      </c>
      <c r="D477" s="25">
        <v>1.1416E-4</v>
      </c>
      <c r="E477" s="25">
        <v>1.1991E-4</v>
      </c>
      <c r="F477" s="25">
        <v>1.06E-4</v>
      </c>
      <c r="G477" s="25">
        <v>1.5802000000000001E-4</v>
      </c>
      <c r="H477" s="25">
        <v>1.1647E-4</v>
      </c>
      <c r="I477" s="9">
        <v>1.4702000000000001E-4</v>
      </c>
      <c r="J477" s="9">
        <v>1.4786000000000001E-4</v>
      </c>
      <c r="K477" s="9">
        <v>1.1868E-4</v>
      </c>
      <c r="L477" s="9">
        <v>1.3374E-4</v>
      </c>
      <c r="M477" s="9">
        <v>1.3394000000000001E-4</v>
      </c>
      <c r="N477" s="9">
        <v>1.5247000000000001E-4</v>
      </c>
      <c r="O477" s="9">
        <v>1.4171999999999999E-4</v>
      </c>
      <c r="P477" s="9">
        <v>1.2342000000000001E-4</v>
      </c>
      <c r="Q477" s="9">
        <v>1.0741E-4</v>
      </c>
      <c r="R477" s="10">
        <v>3.8216482902798932E-6</v>
      </c>
      <c r="S477" s="10">
        <v>1.1559109046132781E-6</v>
      </c>
      <c r="T477" s="10">
        <v>0</v>
      </c>
      <c r="U477" s="10">
        <v>1.7608000000000001E-4</v>
      </c>
      <c r="V477" s="25"/>
      <c r="W477" s="25"/>
      <c r="X477" s="25"/>
      <c r="Y477" s="25"/>
      <c r="Z477" s="25"/>
      <c r="AA477" s="25"/>
    </row>
    <row r="478" spans="1:27" x14ac:dyDescent="0.35">
      <c r="A478" s="5">
        <v>474</v>
      </c>
      <c r="B478" s="5">
        <v>20</v>
      </c>
      <c r="C478" s="5">
        <v>1</v>
      </c>
      <c r="D478" s="25">
        <v>1.1415000000000001E-4</v>
      </c>
      <c r="E478" s="25">
        <v>1.1183000000000001E-4</v>
      </c>
      <c r="F478" s="25">
        <v>1.1088E-4</v>
      </c>
      <c r="G478" s="25">
        <v>1.6749000000000001E-4</v>
      </c>
      <c r="H478" s="25">
        <v>1.1979E-4</v>
      </c>
      <c r="I478" s="9">
        <v>1.5388000000000001E-4</v>
      </c>
      <c r="J478" s="9">
        <v>1.5516999999999999E-4</v>
      </c>
      <c r="K478" s="9">
        <v>1.2292E-4</v>
      </c>
      <c r="L478" s="9">
        <v>1.3961999999999999E-4</v>
      </c>
      <c r="M478" s="9">
        <v>1.2813000000000001E-4</v>
      </c>
      <c r="N478" s="9">
        <v>1.3920999999999999E-4</v>
      </c>
      <c r="O478" s="9">
        <v>1.4343E-4</v>
      </c>
      <c r="P478" s="9">
        <v>1.3002000000000001E-4</v>
      </c>
      <c r="Q478" s="9">
        <v>1.1887000000000001E-4</v>
      </c>
      <c r="R478" s="10">
        <v>5.7404287588426458E-6</v>
      </c>
      <c r="S478" s="10">
        <v>2.3484322621054858E-6</v>
      </c>
      <c r="T478" s="10">
        <v>0</v>
      </c>
      <c r="U478" s="10">
        <v>1.7608000000000001E-4</v>
      </c>
      <c r="V478" s="25"/>
      <c r="W478" s="25"/>
      <c r="X478" s="25"/>
      <c r="Y478" s="25"/>
      <c r="Z478" s="25"/>
      <c r="AA478" s="25"/>
    </row>
    <row r="479" spans="1:27" x14ac:dyDescent="0.35">
      <c r="A479" s="5">
        <v>475</v>
      </c>
      <c r="B479" s="5">
        <v>20</v>
      </c>
      <c r="C479" s="5">
        <v>1</v>
      </c>
      <c r="D479" s="25">
        <v>1.1416E-4</v>
      </c>
      <c r="E479" s="25">
        <v>1.1480999999999999E-4</v>
      </c>
      <c r="F479" s="25">
        <v>1.18E-4</v>
      </c>
      <c r="G479" s="25">
        <v>1.0855E-4</v>
      </c>
      <c r="H479" s="25">
        <v>8.1260000000000005E-5</v>
      </c>
      <c r="I479" s="9">
        <v>1.5576000000000001E-4</v>
      </c>
      <c r="J479" s="9">
        <v>1.5066E-4</v>
      </c>
      <c r="K479" s="9">
        <v>1.2928000000000001E-4</v>
      </c>
      <c r="L479" s="9">
        <v>1.4249E-4</v>
      </c>
      <c r="M479" s="9">
        <v>1.2747999999999999E-4</v>
      </c>
      <c r="N479" s="9">
        <v>1.3038000000000001E-4</v>
      </c>
      <c r="O479" s="9">
        <v>1.4268000000000001E-4</v>
      </c>
      <c r="P479" s="9">
        <v>1.2370999999999999E-4</v>
      </c>
      <c r="Q479" s="9">
        <v>1.0708E-4</v>
      </c>
      <c r="R479" s="10">
        <v>9.6189946218091354E-6</v>
      </c>
      <c r="S479" s="10">
        <v>3.9300788904943819E-6</v>
      </c>
      <c r="T479" s="10">
        <v>0</v>
      </c>
      <c r="U479" s="10">
        <v>1.7608000000000001E-4</v>
      </c>
      <c r="V479" s="25"/>
      <c r="W479" s="25"/>
      <c r="X479" s="25"/>
      <c r="Y479" s="25"/>
      <c r="Z479" s="25"/>
      <c r="AA479" s="25"/>
    </row>
    <row r="480" spans="1:27" x14ac:dyDescent="0.35">
      <c r="A480" s="5">
        <v>476</v>
      </c>
      <c r="B480" s="5">
        <v>20</v>
      </c>
      <c r="C480" s="5">
        <v>1</v>
      </c>
      <c r="D480" s="25">
        <v>1.1415000000000001E-4</v>
      </c>
      <c r="E480" s="25">
        <v>1.1911E-4</v>
      </c>
      <c r="F480" s="25">
        <v>1.011E-4</v>
      </c>
      <c r="G480" s="25">
        <v>1.0467E-4</v>
      </c>
      <c r="H480" s="25">
        <v>8.1450000000000001E-5</v>
      </c>
      <c r="I480" s="9">
        <v>1.4893E-4</v>
      </c>
      <c r="J480" s="9">
        <v>1.4575999999999999E-4</v>
      </c>
      <c r="K480" s="9">
        <v>1.2504000000000001E-4</v>
      </c>
      <c r="L480" s="9">
        <v>1.4262000000000001E-4</v>
      </c>
      <c r="M480" s="9">
        <v>1.2621E-4</v>
      </c>
      <c r="N480" s="9">
        <v>1.2124E-4</v>
      </c>
      <c r="O480" s="9">
        <v>1.4533999999999999E-4</v>
      </c>
      <c r="P480" s="9">
        <v>1.2244999999999999E-4</v>
      </c>
      <c r="Q480" s="9">
        <v>1.0202E-4</v>
      </c>
      <c r="R480" s="10">
        <v>1.5692048587202934E-5</v>
      </c>
      <c r="S480" s="10">
        <v>5.7348518590297189E-6</v>
      </c>
      <c r="T480" s="10">
        <v>0</v>
      </c>
      <c r="U480" s="10">
        <v>1.7608000000000001E-4</v>
      </c>
      <c r="V480" s="25"/>
      <c r="W480" s="25"/>
      <c r="X480" s="25"/>
      <c r="Y480" s="25"/>
      <c r="Z480" s="25"/>
      <c r="AA480" s="25"/>
    </row>
    <row r="481" spans="1:27" x14ac:dyDescent="0.35">
      <c r="A481" s="5">
        <v>477</v>
      </c>
      <c r="B481" s="5">
        <v>20</v>
      </c>
      <c r="C481" s="5">
        <v>1</v>
      </c>
      <c r="D481" s="25">
        <v>1.1416E-4</v>
      </c>
      <c r="E481" s="25">
        <v>1.1848E-4</v>
      </c>
      <c r="F481" s="25">
        <v>1E-4</v>
      </c>
      <c r="G481" s="25">
        <v>6.1749999999999997E-5</v>
      </c>
      <c r="H481" s="25">
        <v>4.3659999999999999E-5</v>
      </c>
      <c r="I481" s="9">
        <v>1.4245999999999999E-4</v>
      </c>
      <c r="J481" s="9">
        <v>1.3865000000000001E-4</v>
      </c>
      <c r="K481" s="9">
        <v>1.2292999999999999E-4</v>
      </c>
      <c r="L481" s="9">
        <v>1.4477000000000001E-4</v>
      </c>
      <c r="M481" s="9">
        <v>1.2454E-4</v>
      </c>
      <c r="N481" s="9">
        <v>1.1357999999999999E-4</v>
      </c>
      <c r="O481" s="9">
        <v>8.4720000000000002E-5</v>
      </c>
      <c r="P481" s="9">
        <v>8.6139999999999999E-5</v>
      </c>
      <c r="Q481" s="9">
        <v>8.8129999999999998E-5</v>
      </c>
      <c r="R481" s="10">
        <v>2.0080630427323437E-5</v>
      </c>
      <c r="S481" s="10">
        <v>8.0068374453114976E-6</v>
      </c>
      <c r="T481" s="10">
        <v>0</v>
      </c>
      <c r="U481" s="10">
        <v>1.7608000000000001E-4</v>
      </c>
      <c r="V481" s="25"/>
      <c r="W481" s="25"/>
      <c r="X481" s="25"/>
      <c r="Y481" s="25"/>
      <c r="Z481" s="25"/>
      <c r="AA481" s="25"/>
    </row>
    <row r="482" spans="1:27" x14ac:dyDescent="0.35">
      <c r="A482" s="5">
        <v>478</v>
      </c>
      <c r="B482" s="5">
        <v>20</v>
      </c>
      <c r="C482" s="5">
        <v>1</v>
      </c>
      <c r="D482" s="25">
        <v>1.1415000000000001E-4</v>
      </c>
      <c r="E482" s="25">
        <v>1.1658E-4</v>
      </c>
      <c r="F482" s="25">
        <v>1.0554E-4</v>
      </c>
      <c r="G482" s="25">
        <v>6.321E-5</v>
      </c>
      <c r="H482" s="25">
        <v>4.4579999999999997E-5</v>
      </c>
      <c r="I482" s="9">
        <v>1.3480999999999999E-4</v>
      </c>
      <c r="J482" s="9">
        <v>1.3054000000000001E-4</v>
      </c>
      <c r="K482" s="9">
        <v>1.2928000000000001E-4</v>
      </c>
      <c r="L482" s="9">
        <v>9.789E-5</v>
      </c>
      <c r="M482" s="9">
        <v>1.1025E-4</v>
      </c>
      <c r="N482" s="9">
        <v>1.0586000000000001E-4</v>
      </c>
      <c r="O482" s="9">
        <v>8.7960000000000005E-5</v>
      </c>
      <c r="P482" s="9">
        <v>8.7929999999999993E-5</v>
      </c>
      <c r="Q482" s="9">
        <v>8.8579999999999996E-5</v>
      </c>
      <c r="R482" s="10">
        <v>2.1377785057465137E-5</v>
      </c>
      <c r="S482" s="10">
        <v>1.1174487364965005E-5</v>
      </c>
      <c r="T482" s="10">
        <v>0</v>
      </c>
      <c r="U482" s="10">
        <v>1.7608000000000001E-4</v>
      </c>
      <c r="V482" s="25"/>
      <c r="W482" s="25"/>
      <c r="X482" s="25"/>
      <c r="Y482" s="25"/>
      <c r="Z482" s="25"/>
      <c r="AA482" s="25"/>
    </row>
    <row r="483" spans="1:27" x14ac:dyDescent="0.35">
      <c r="A483" s="5">
        <v>479</v>
      </c>
      <c r="B483" s="5">
        <v>20</v>
      </c>
      <c r="C483" s="5">
        <v>1</v>
      </c>
      <c r="D483" s="25">
        <v>1.1416E-4</v>
      </c>
      <c r="E483" s="25">
        <v>1.1034E-4</v>
      </c>
      <c r="F483" s="25">
        <v>1.1058E-4</v>
      </c>
      <c r="G483" s="25">
        <v>5.9020000000000001E-5</v>
      </c>
      <c r="H483" s="25">
        <v>4.2540000000000003E-5</v>
      </c>
      <c r="I483" s="9">
        <v>1.3590999999999999E-4</v>
      </c>
      <c r="J483" s="9">
        <v>1.2166E-4</v>
      </c>
      <c r="K483" s="9">
        <v>1.3774999999999999E-4</v>
      </c>
      <c r="L483" s="9">
        <v>9.1429999999999997E-5</v>
      </c>
      <c r="M483" s="9">
        <v>9.8380000000000003E-5</v>
      </c>
      <c r="N483" s="9">
        <v>1.0006E-4</v>
      </c>
      <c r="O483" s="9">
        <v>8.577E-5</v>
      </c>
      <c r="P483" s="9">
        <v>7.6299999999999998E-5</v>
      </c>
      <c r="Q483" s="9">
        <v>6.7589999999999995E-5</v>
      </c>
      <c r="R483" s="10">
        <v>2.0933224751562638E-5</v>
      </c>
      <c r="S483" s="10">
        <v>1.7154551671376121E-5</v>
      </c>
      <c r="T483" s="10">
        <v>0</v>
      </c>
      <c r="U483" s="10">
        <v>1.7608000000000001E-4</v>
      </c>
      <c r="V483" s="25"/>
      <c r="W483" s="25"/>
      <c r="X483" s="25"/>
      <c r="Y483" s="25"/>
      <c r="Z483" s="25"/>
      <c r="AA483" s="25"/>
    </row>
    <row r="484" spans="1:27" x14ac:dyDescent="0.35">
      <c r="A484" s="5">
        <v>480</v>
      </c>
      <c r="B484" s="5">
        <v>20</v>
      </c>
      <c r="C484" s="5">
        <v>1</v>
      </c>
      <c r="D484" s="25">
        <v>1.1415000000000001E-4</v>
      </c>
      <c r="E484" s="25">
        <v>1.193E-4</v>
      </c>
      <c r="F484" s="25">
        <v>1.1985999999999999E-4</v>
      </c>
      <c r="G484" s="25">
        <v>6.3020000000000003E-5</v>
      </c>
      <c r="H484" s="25">
        <v>4.2400000000000001E-5</v>
      </c>
      <c r="I484" s="9">
        <v>1.3605999999999999E-4</v>
      </c>
      <c r="J484" s="9">
        <v>1.1374000000000001E-4</v>
      </c>
      <c r="K484" s="9">
        <v>1.4411E-4</v>
      </c>
      <c r="L484" s="9">
        <v>8.7239999999999998E-5</v>
      </c>
      <c r="M484" s="9">
        <v>8.7659999999999998E-5</v>
      </c>
      <c r="N484" s="9">
        <v>9.0849999999999999E-5</v>
      </c>
      <c r="O484" s="9">
        <v>7.8659999999999996E-5</v>
      </c>
      <c r="P484" s="9">
        <v>6.8209999999999999E-5</v>
      </c>
      <c r="Q484" s="9">
        <v>5.8390000000000002E-5</v>
      </c>
      <c r="R484" s="10">
        <v>2.5612020093421632E-5</v>
      </c>
      <c r="S484" s="10">
        <v>2.7187205410172154E-5</v>
      </c>
      <c r="T484" s="10">
        <v>0</v>
      </c>
      <c r="U484" s="10">
        <v>1.7608000000000001E-4</v>
      </c>
      <c r="V484" s="25"/>
      <c r="W484" s="25"/>
      <c r="X484" s="25"/>
      <c r="Y484" s="25"/>
      <c r="Z484" s="25"/>
      <c r="AA484" s="25"/>
    </row>
    <row r="485" spans="1:27" x14ac:dyDescent="0.35">
      <c r="A485" s="5">
        <v>481</v>
      </c>
      <c r="B485" s="5">
        <v>21</v>
      </c>
      <c r="C485" s="5">
        <v>1</v>
      </c>
      <c r="D485" s="25">
        <v>1.1416E-4</v>
      </c>
      <c r="E485" s="25">
        <v>1.2233E-4</v>
      </c>
      <c r="F485" s="25">
        <v>1.1321E-4</v>
      </c>
      <c r="G485" s="25">
        <v>5.435E-5</v>
      </c>
      <c r="H485" s="25">
        <v>1.517E-5</v>
      </c>
      <c r="I485" s="9">
        <v>1.2978999999999999E-4</v>
      </c>
      <c r="J485" s="9">
        <v>1.0666999999999999E-4</v>
      </c>
      <c r="K485" s="9">
        <v>1.4835E-4</v>
      </c>
      <c r="L485" s="9">
        <v>8.0309999999999995E-5</v>
      </c>
      <c r="M485" s="9">
        <v>7.8239999999999996E-5</v>
      </c>
      <c r="N485" s="9">
        <v>8.1279999999999994E-5</v>
      </c>
      <c r="O485" s="9">
        <v>6.7650000000000005E-5</v>
      </c>
      <c r="P485" s="9">
        <v>6.0229999999999998E-5</v>
      </c>
      <c r="Q485" s="9">
        <v>5.312E-5</v>
      </c>
      <c r="R485" s="10">
        <v>2.9920250535542251E-5</v>
      </c>
      <c r="S485" s="10">
        <v>3.4612423762692417E-5</v>
      </c>
      <c r="T485" s="10">
        <v>0</v>
      </c>
      <c r="U485" s="10">
        <v>1.7487000000000001E-4</v>
      </c>
      <c r="V485" s="25"/>
      <c r="W485" s="25"/>
      <c r="X485" s="25"/>
      <c r="Y485" s="25"/>
      <c r="Z485" s="25"/>
      <c r="AA485" s="25"/>
    </row>
    <row r="486" spans="1:27" x14ac:dyDescent="0.35">
      <c r="A486" s="5">
        <v>482</v>
      </c>
      <c r="B486" s="5">
        <v>21</v>
      </c>
      <c r="C486" s="5">
        <v>1</v>
      </c>
      <c r="D486" s="25">
        <v>1.1415000000000001E-4</v>
      </c>
      <c r="E486" s="25">
        <v>1.2124E-4</v>
      </c>
      <c r="F486" s="25">
        <v>1.1523000000000001E-4</v>
      </c>
      <c r="G486" s="25">
        <v>5.2380000000000003E-5</v>
      </c>
      <c r="H486" s="25">
        <v>1.395E-5</v>
      </c>
      <c r="I486" s="9">
        <v>1.2510000000000001E-4</v>
      </c>
      <c r="J486" s="9">
        <v>1.0212E-4</v>
      </c>
      <c r="K486" s="9">
        <v>1.6318999999999999E-4</v>
      </c>
      <c r="L486" s="9">
        <v>7.0610000000000003E-5</v>
      </c>
      <c r="M486" s="9">
        <v>6.9529999999999993E-5</v>
      </c>
      <c r="N486" s="9">
        <v>7.2059999999999998E-5</v>
      </c>
      <c r="O486" s="9">
        <v>3.4600000000000001E-5</v>
      </c>
      <c r="P486" s="9">
        <v>4.5729999999999998E-5</v>
      </c>
      <c r="Q486" s="9">
        <v>5.6039999999999999E-5</v>
      </c>
      <c r="R486" s="10">
        <v>3.6996563086383621E-5</v>
      </c>
      <c r="S486" s="10">
        <v>4.0047611219381814E-5</v>
      </c>
      <c r="T486" s="10">
        <v>0</v>
      </c>
      <c r="U486" s="10">
        <v>1.7487000000000001E-4</v>
      </c>
      <c r="V486" s="25"/>
      <c r="W486" s="25"/>
      <c r="X486" s="25"/>
      <c r="Y486" s="25"/>
      <c r="Z486" s="25"/>
      <c r="AA486" s="25"/>
    </row>
    <row r="487" spans="1:27" x14ac:dyDescent="0.35">
      <c r="A487" s="5">
        <v>483</v>
      </c>
      <c r="B487" s="5">
        <v>21</v>
      </c>
      <c r="C487" s="5">
        <v>1</v>
      </c>
      <c r="D487" s="25">
        <v>1.1416E-4</v>
      </c>
      <c r="E487" s="25">
        <v>1.1524E-4</v>
      </c>
      <c r="F487" s="25">
        <v>1.1389E-4</v>
      </c>
      <c r="G487" s="25">
        <v>5.3820000000000003E-5</v>
      </c>
      <c r="H487" s="25">
        <v>1.4409999999999999E-5</v>
      </c>
      <c r="I487" s="9">
        <v>1.2073E-4</v>
      </c>
      <c r="J487" s="9">
        <v>9.9970000000000007E-5</v>
      </c>
      <c r="K487" s="9">
        <v>1.6955E-4</v>
      </c>
      <c r="L487" s="9">
        <v>4.278E-5</v>
      </c>
      <c r="M487" s="9">
        <v>5.8900000000000002E-5</v>
      </c>
      <c r="N487" s="9">
        <v>6.5439999999999997E-5</v>
      </c>
      <c r="O487" s="9">
        <v>2.1500000000000001E-5</v>
      </c>
      <c r="P487" s="9">
        <v>4.2469999999999998E-5</v>
      </c>
      <c r="Q487" s="9">
        <v>6.2130000000000003E-5</v>
      </c>
      <c r="R487" s="10">
        <v>4.222028269353236E-5</v>
      </c>
      <c r="S487" s="10">
        <v>4.7418559572542652E-5</v>
      </c>
      <c r="T487" s="10">
        <v>0</v>
      </c>
      <c r="U487" s="10">
        <v>1.7487000000000001E-4</v>
      </c>
      <c r="V487" s="25"/>
      <c r="W487" s="25"/>
      <c r="X487" s="25"/>
      <c r="Y487" s="25"/>
      <c r="Z487" s="25"/>
      <c r="AA487" s="25"/>
    </row>
    <row r="488" spans="1:27" x14ac:dyDescent="0.35">
      <c r="A488" s="5">
        <v>484</v>
      </c>
      <c r="B488" s="5">
        <v>21</v>
      </c>
      <c r="C488" s="5">
        <v>1</v>
      </c>
      <c r="D488" s="25">
        <v>1.1415000000000001E-4</v>
      </c>
      <c r="E488" s="25">
        <v>1.197E-4</v>
      </c>
      <c r="F488" s="25">
        <v>1.156E-4</v>
      </c>
      <c r="G488" s="25">
        <v>6.2650000000000005E-5</v>
      </c>
      <c r="H488" s="25">
        <v>1.5970000000000001E-5</v>
      </c>
      <c r="I488" s="9">
        <v>1.1832000000000001E-4</v>
      </c>
      <c r="J488" s="9">
        <v>9.9290000000000007E-5</v>
      </c>
      <c r="K488" s="9">
        <v>1.8226000000000001E-4</v>
      </c>
      <c r="L488" s="9">
        <v>2.692E-5</v>
      </c>
      <c r="M488" s="9">
        <v>5.045E-5</v>
      </c>
      <c r="N488" s="9">
        <v>6.1959999999999996E-5</v>
      </c>
      <c r="O488" s="9">
        <v>2.0630000000000001E-5</v>
      </c>
      <c r="P488" s="9">
        <v>5.096E-5</v>
      </c>
      <c r="Q488" s="9">
        <v>7.983E-5</v>
      </c>
      <c r="R488" s="10">
        <v>4.3978905682092119E-5</v>
      </c>
      <c r="S488" s="10">
        <v>5.2541306026920131E-5</v>
      </c>
      <c r="T488" s="10">
        <v>0</v>
      </c>
      <c r="U488" s="10">
        <v>1.7487000000000001E-4</v>
      </c>
      <c r="V488" s="25"/>
      <c r="W488" s="25"/>
      <c r="X488" s="25"/>
      <c r="Y488" s="25"/>
      <c r="Z488" s="25"/>
      <c r="AA488" s="25"/>
    </row>
    <row r="489" spans="1:27" x14ac:dyDescent="0.35">
      <c r="A489" s="5">
        <v>485</v>
      </c>
      <c r="B489" s="5">
        <v>21</v>
      </c>
      <c r="C489" s="5">
        <v>1</v>
      </c>
      <c r="D489" s="25">
        <v>1.1416E-4</v>
      </c>
      <c r="E489" s="25">
        <v>1.2443999999999999E-4</v>
      </c>
      <c r="F489" s="25">
        <v>1.1242E-4</v>
      </c>
      <c r="G489" s="25">
        <v>5.2970000000000003E-5</v>
      </c>
      <c r="H489" s="25">
        <v>1.5909999999999998E-5</v>
      </c>
      <c r="I489" s="9">
        <v>1.1768E-4</v>
      </c>
      <c r="J489" s="9">
        <v>9.9749999999999999E-5</v>
      </c>
      <c r="K489" s="9">
        <v>1.8438999999999999E-4</v>
      </c>
      <c r="L489" s="9">
        <v>2.2399999999999999E-5</v>
      </c>
      <c r="M489" s="9">
        <v>4.8680000000000001E-5</v>
      </c>
      <c r="N489" s="9">
        <v>6.436E-5</v>
      </c>
      <c r="O489" s="9">
        <v>2.2750000000000001E-5</v>
      </c>
      <c r="P489" s="9">
        <v>5.9070000000000002E-5</v>
      </c>
      <c r="Q489" s="9">
        <v>9.3880000000000002E-5</v>
      </c>
      <c r="R489" s="10">
        <v>4.8135264648344681E-5</v>
      </c>
      <c r="S489" s="10">
        <v>5.5011138553302572E-5</v>
      </c>
      <c r="T489" s="10">
        <v>0</v>
      </c>
      <c r="U489" s="10">
        <v>1.7487000000000001E-4</v>
      </c>
      <c r="V489" s="25"/>
      <c r="W489" s="25"/>
      <c r="X489" s="25"/>
      <c r="Y489" s="25"/>
      <c r="Z489" s="25"/>
      <c r="AA489" s="25"/>
    </row>
    <row r="490" spans="1:27" x14ac:dyDescent="0.35">
      <c r="A490" s="5">
        <v>486</v>
      </c>
      <c r="B490" s="5">
        <v>21</v>
      </c>
      <c r="C490" s="5">
        <v>1</v>
      </c>
      <c r="D490" s="25">
        <v>1.1415000000000001E-4</v>
      </c>
      <c r="E490" s="25">
        <v>1.2337000000000001E-4</v>
      </c>
      <c r="F490" s="25">
        <v>1.1517E-4</v>
      </c>
      <c r="G490" s="25">
        <v>1.0862E-4</v>
      </c>
      <c r="H490" s="25">
        <v>2.8580000000000001E-5</v>
      </c>
      <c r="I490" s="9">
        <v>1.2243000000000001E-4</v>
      </c>
      <c r="J490" s="9">
        <v>1.0321E-4</v>
      </c>
      <c r="K490" s="9">
        <v>1.8650000000000001E-4</v>
      </c>
      <c r="L490" s="9">
        <v>2.2609999999999999E-5</v>
      </c>
      <c r="M490" s="9">
        <v>5.2299999999999997E-5</v>
      </c>
      <c r="N490" s="9">
        <v>7.0980000000000001E-5</v>
      </c>
      <c r="O490" s="9">
        <v>2.9099999999999999E-5</v>
      </c>
      <c r="P490" s="9">
        <v>6.8739999999999996E-5</v>
      </c>
      <c r="Q490" s="9">
        <v>1.0698E-4</v>
      </c>
      <c r="R490" s="10">
        <v>4.8170300925748792E-5</v>
      </c>
      <c r="S490" s="10">
        <v>6.0851104070784634E-5</v>
      </c>
      <c r="T490" s="10">
        <v>0</v>
      </c>
      <c r="U490" s="10">
        <v>1.7487000000000001E-4</v>
      </c>
      <c r="V490" s="25"/>
      <c r="W490" s="25"/>
      <c r="X490" s="25"/>
      <c r="Y490" s="25"/>
      <c r="Z490" s="25"/>
      <c r="AA490" s="25"/>
    </row>
    <row r="491" spans="1:27" x14ac:dyDescent="0.35">
      <c r="A491" s="5">
        <v>487</v>
      </c>
      <c r="B491" s="5">
        <v>21</v>
      </c>
      <c r="C491" s="5">
        <v>1</v>
      </c>
      <c r="D491" s="25">
        <v>1.1416E-4</v>
      </c>
      <c r="E491" s="25">
        <v>1.1907E-4</v>
      </c>
      <c r="F491" s="25">
        <v>1.1064E-4</v>
      </c>
      <c r="G491" s="25">
        <v>1.0512E-4</v>
      </c>
      <c r="H491" s="25">
        <v>2.7209999999999999E-5</v>
      </c>
      <c r="I491" s="9">
        <v>1.3524000000000001E-4</v>
      </c>
      <c r="J491" s="9">
        <v>1.1508E-4</v>
      </c>
      <c r="K491" s="9">
        <v>1.8650000000000001E-4</v>
      </c>
      <c r="L491" s="9">
        <v>2.7569999999999999E-5</v>
      </c>
      <c r="M491" s="9">
        <v>5.9299999999999998E-5</v>
      </c>
      <c r="N491" s="9">
        <v>8.0699999999999996E-5</v>
      </c>
      <c r="O491" s="9">
        <v>4.57E-5</v>
      </c>
      <c r="P491" s="9">
        <v>7.9309999999999998E-5</v>
      </c>
      <c r="Q491" s="9">
        <v>1.1202E-4</v>
      </c>
      <c r="R491" s="10">
        <v>5.2439469628103892E-5</v>
      </c>
      <c r="S491" s="10">
        <v>6.8994831956704588E-5</v>
      </c>
      <c r="T491" s="10">
        <v>0</v>
      </c>
      <c r="U491" s="10">
        <v>1.7487000000000001E-4</v>
      </c>
      <c r="V491" s="25"/>
      <c r="W491" s="25"/>
      <c r="X491" s="25"/>
      <c r="Y491" s="25"/>
      <c r="Z491" s="25"/>
      <c r="AA491" s="25"/>
    </row>
    <row r="492" spans="1:27" x14ac:dyDescent="0.35">
      <c r="A492" s="5">
        <v>488</v>
      </c>
      <c r="B492" s="5">
        <v>21</v>
      </c>
      <c r="C492" s="5">
        <v>1</v>
      </c>
      <c r="D492" s="25">
        <v>1.1415000000000001E-4</v>
      </c>
      <c r="E492" s="25">
        <v>1.171E-4</v>
      </c>
      <c r="F492" s="25">
        <v>1.0987E-4</v>
      </c>
      <c r="G492" s="25">
        <v>1.5932000000000001E-4</v>
      </c>
      <c r="H492" s="25">
        <v>4.2299999999999998E-5</v>
      </c>
      <c r="I492" s="9">
        <v>1.4741E-4</v>
      </c>
      <c r="J492" s="9">
        <v>1.3489E-4</v>
      </c>
      <c r="K492" s="9">
        <v>1.8650000000000001E-4</v>
      </c>
      <c r="L492" s="9">
        <v>4.1560000000000002E-5</v>
      </c>
      <c r="M492" s="9">
        <v>6.8269999999999995E-5</v>
      </c>
      <c r="N492" s="9">
        <v>9.0719999999999999E-5</v>
      </c>
      <c r="O492" s="9">
        <v>6.847E-5</v>
      </c>
      <c r="P492" s="9">
        <v>1.0296E-4</v>
      </c>
      <c r="Q492" s="9">
        <v>1.371E-4</v>
      </c>
      <c r="R492" s="10">
        <v>6.0184204575170868E-5</v>
      </c>
      <c r="S492" s="10">
        <v>6.9776959389221893E-5</v>
      </c>
      <c r="T492" s="10">
        <v>0</v>
      </c>
      <c r="U492" s="10">
        <v>1.7487000000000001E-4</v>
      </c>
      <c r="V492" s="25"/>
      <c r="W492" s="25"/>
      <c r="X492" s="25"/>
      <c r="Y492" s="25"/>
      <c r="Z492" s="25"/>
      <c r="AA492" s="25"/>
    </row>
    <row r="493" spans="1:27" x14ac:dyDescent="0.35">
      <c r="A493" s="5">
        <v>489</v>
      </c>
      <c r="B493" s="5">
        <v>21</v>
      </c>
      <c r="C493" s="5">
        <v>1</v>
      </c>
      <c r="D493" s="25">
        <v>1.1416E-4</v>
      </c>
      <c r="E493" s="25">
        <v>1.2023000000000001E-4</v>
      </c>
      <c r="F493" s="25">
        <v>1.2012E-4</v>
      </c>
      <c r="G493" s="25">
        <v>1.6202E-4</v>
      </c>
      <c r="H493" s="25">
        <v>4.1560000000000002E-5</v>
      </c>
      <c r="I493" s="9">
        <v>1.4972999999999999E-4</v>
      </c>
      <c r="J493" s="9">
        <v>1.46E-4</v>
      </c>
      <c r="K493" s="9">
        <v>1.8437999999999999E-4</v>
      </c>
      <c r="L493" s="9">
        <v>6.2169999999999996E-5</v>
      </c>
      <c r="M493" s="9">
        <v>8.2979999999999995E-5</v>
      </c>
      <c r="N493" s="9">
        <v>1.0454999999999999E-4</v>
      </c>
      <c r="O493" s="9">
        <v>1.0001E-4</v>
      </c>
      <c r="P493" s="9">
        <v>1.3792000000000001E-4</v>
      </c>
      <c r="Q493" s="9">
        <v>1.7621999999999999E-4</v>
      </c>
      <c r="R493" s="10">
        <v>7.4788522676760545E-5</v>
      </c>
      <c r="S493" s="10">
        <v>6.9012035299783437E-5</v>
      </c>
      <c r="T493" s="10">
        <v>2.6360718080892801E-5</v>
      </c>
      <c r="U493" s="10">
        <v>1.7487000000000001E-4</v>
      </c>
      <c r="V493" s="25"/>
      <c r="W493" s="25"/>
      <c r="X493" s="25"/>
      <c r="Y493" s="25"/>
      <c r="Z493" s="25"/>
      <c r="AA493" s="25"/>
    </row>
    <row r="494" spans="1:27" x14ac:dyDescent="0.35">
      <c r="A494" s="5">
        <v>490</v>
      </c>
      <c r="B494" s="5">
        <v>21</v>
      </c>
      <c r="C494" s="5">
        <v>1</v>
      </c>
      <c r="D494" s="25">
        <v>1.1415000000000001E-4</v>
      </c>
      <c r="E494" s="25">
        <v>1.2437E-4</v>
      </c>
      <c r="F494" s="25">
        <v>1.1302999999999999E-4</v>
      </c>
      <c r="G494" s="25">
        <v>1.6009999999999999E-4</v>
      </c>
      <c r="H494" s="25">
        <v>4.3059999999999998E-5</v>
      </c>
      <c r="I494" s="9">
        <v>1.4987999999999999E-4</v>
      </c>
      <c r="J494" s="9">
        <v>1.5009999999999999E-4</v>
      </c>
      <c r="K494" s="9">
        <v>1.7802000000000001E-4</v>
      </c>
      <c r="L494" s="9">
        <v>9.1150000000000007E-5</v>
      </c>
      <c r="M494" s="9">
        <v>1.0648E-4</v>
      </c>
      <c r="N494" s="9">
        <v>1.2443999999999999E-4</v>
      </c>
      <c r="O494" s="9">
        <v>1.2876000000000001E-4</v>
      </c>
      <c r="P494" s="9">
        <v>1.5417999999999999E-4</v>
      </c>
      <c r="Q494" s="9">
        <v>1.8091E-4</v>
      </c>
      <c r="R494" s="10">
        <v>8.5783116928211107E-5</v>
      </c>
      <c r="S494" s="10">
        <v>6.9752896145844345E-5</v>
      </c>
      <c r="T494" s="10">
        <v>8.5903530920192989E-5</v>
      </c>
      <c r="U494" s="10">
        <v>1.7487000000000001E-4</v>
      </c>
      <c r="V494" s="25"/>
      <c r="W494" s="25"/>
      <c r="X494" s="25"/>
      <c r="Y494" s="25"/>
      <c r="Z494" s="25"/>
      <c r="AA494" s="25"/>
    </row>
    <row r="495" spans="1:27" x14ac:dyDescent="0.35">
      <c r="A495" s="5">
        <v>491</v>
      </c>
      <c r="B495" s="5">
        <v>21</v>
      </c>
      <c r="C495" s="5">
        <v>1</v>
      </c>
      <c r="D495" s="25">
        <v>1.1416E-4</v>
      </c>
      <c r="E495" s="25">
        <v>1.2405000000000001E-4</v>
      </c>
      <c r="F495" s="25">
        <v>1.094E-4</v>
      </c>
      <c r="G495" s="25">
        <v>1.6097E-4</v>
      </c>
      <c r="H495" s="25">
        <v>4.087E-5</v>
      </c>
      <c r="I495" s="9">
        <v>1.4815E-4</v>
      </c>
      <c r="J495" s="9">
        <v>1.5117E-4</v>
      </c>
      <c r="K495" s="9">
        <v>1.7802000000000001E-4</v>
      </c>
      <c r="L495" s="9">
        <v>1.1977E-4</v>
      </c>
      <c r="M495" s="9">
        <v>1.2957999999999999E-4</v>
      </c>
      <c r="N495" s="9">
        <v>1.4227E-4</v>
      </c>
      <c r="O495" s="9">
        <v>1.371E-4</v>
      </c>
      <c r="P495" s="9">
        <v>1.5689E-4</v>
      </c>
      <c r="Q495" s="9">
        <v>1.7828000000000001E-4</v>
      </c>
      <c r="R495" s="10">
        <v>8.5915835193799272E-5</v>
      </c>
      <c r="S495" s="10">
        <v>7.3510002190544301E-5</v>
      </c>
      <c r="T495" s="10">
        <v>1.5019755139557297E-4</v>
      </c>
      <c r="U495" s="10">
        <v>1.7487000000000001E-4</v>
      </c>
      <c r="V495" s="25"/>
      <c r="W495" s="25"/>
      <c r="X495" s="25"/>
      <c r="Y495" s="25"/>
      <c r="Z495" s="25"/>
      <c r="AA495" s="25"/>
    </row>
    <row r="496" spans="1:27" x14ac:dyDescent="0.35">
      <c r="A496" s="5">
        <v>492</v>
      </c>
      <c r="B496" s="5">
        <v>21</v>
      </c>
      <c r="C496" s="5">
        <v>1</v>
      </c>
      <c r="D496" s="25">
        <v>1.1415000000000001E-4</v>
      </c>
      <c r="E496" s="25">
        <v>1.1662E-4</v>
      </c>
      <c r="F496" s="25">
        <v>1.1699E-4</v>
      </c>
      <c r="G496" s="25">
        <v>1.5609E-4</v>
      </c>
      <c r="H496" s="25">
        <v>4.0259999999999997E-5</v>
      </c>
      <c r="I496" s="9">
        <v>1.4871E-4</v>
      </c>
      <c r="J496" s="9">
        <v>1.5159E-4</v>
      </c>
      <c r="K496" s="9">
        <v>1.6954000000000001E-4</v>
      </c>
      <c r="L496" s="9">
        <v>1.3263000000000001E-4</v>
      </c>
      <c r="M496" s="9">
        <v>1.4486999999999999E-4</v>
      </c>
      <c r="N496" s="9">
        <v>1.5610999999999999E-4</v>
      </c>
      <c r="O496" s="9">
        <v>1.3902000000000001E-4</v>
      </c>
      <c r="P496" s="9">
        <v>1.5547E-4</v>
      </c>
      <c r="Q496" s="9">
        <v>1.7361000000000001E-4</v>
      </c>
      <c r="R496" s="10">
        <v>7.3074710604554202E-5</v>
      </c>
      <c r="S496" s="10">
        <v>7.6428574637700197E-5</v>
      </c>
      <c r="T496" s="10">
        <v>1.2471920044709498E-4</v>
      </c>
      <c r="U496" s="10">
        <v>1.7487000000000001E-4</v>
      </c>
      <c r="V496" s="25"/>
      <c r="W496" s="25"/>
      <c r="X496" s="25"/>
      <c r="Y496" s="25"/>
      <c r="Z496" s="25"/>
      <c r="AA496" s="25"/>
    </row>
    <row r="497" spans="1:27" x14ac:dyDescent="0.35">
      <c r="A497" s="5">
        <v>493</v>
      </c>
      <c r="B497" s="5">
        <v>21</v>
      </c>
      <c r="C497" s="5">
        <v>1</v>
      </c>
      <c r="D497" s="25">
        <v>1.1416E-4</v>
      </c>
      <c r="E497" s="25">
        <v>1.2396E-4</v>
      </c>
      <c r="F497" s="25">
        <v>1.1789E-4</v>
      </c>
      <c r="G497" s="25">
        <v>1.561E-4</v>
      </c>
      <c r="H497" s="25">
        <v>4.1730000000000002E-5</v>
      </c>
      <c r="I497" s="9">
        <v>1.4507999999999999E-4</v>
      </c>
      <c r="J497" s="9">
        <v>1.4956999999999999E-4</v>
      </c>
      <c r="K497" s="9">
        <v>1.7378000000000001E-4</v>
      </c>
      <c r="L497" s="9">
        <v>1.3744000000000001E-4</v>
      </c>
      <c r="M497" s="9">
        <v>1.5195000000000001E-4</v>
      </c>
      <c r="N497" s="9">
        <v>1.6552E-4</v>
      </c>
      <c r="O497" s="9">
        <v>1.3108E-4</v>
      </c>
      <c r="P497" s="9">
        <v>1.4854000000000001E-4</v>
      </c>
      <c r="Q497" s="9">
        <v>1.6746999999999999E-4</v>
      </c>
      <c r="R497" s="10">
        <v>5.2543829569903319E-5</v>
      </c>
      <c r="S497" s="10">
        <v>6.7757539973118257E-5</v>
      </c>
      <c r="T497" s="10">
        <v>4.24164061711025E-4</v>
      </c>
      <c r="U497" s="10">
        <v>1.7487000000000001E-4</v>
      </c>
      <c r="V497" s="25"/>
      <c r="W497" s="25"/>
      <c r="X497" s="25"/>
      <c r="Y497" s="25"/>
      <c r="Z497" s="25"/>
      <c r="AA497" s="25"/>
    </row>
    <row r="498" spans="1:27" x14ac:dyDescent="0.35">
      <c r="A498" s="5">
        <v>494</v>
      </c>
      <c r="B498" s="5">
        <v>21</v>
      </c>
      <c r="C498" s="5">
        <v>1</v>
      </c>
      <c r="D498" s="25">
        <v>1.1415000000000001E-4</v>
      </c>
      <c r="E498" s="25">
        <v>1.164E-4</v>
      </c>
      <c r="F498" s="25">
        <v>1.0608E-4</v>
      </c>
      <c r="G498" s="25">
        <v>1.6515E-4</v>
      </c>
      <c r="H498" s="25">
        <v>4.2540000000000003E-5</v>
      </c>
      <c r="I498" s="9">
        <v>1.4379E-4</v>
      </c>
      <c r="J498" s="9">
        <v>1.4917000000000001E-4</v>
      </c>
      <c r="K498" s="9">
        <v>2.1829E-4</v>
      </c>
      <c r="L498" s="9">
        <v>1.3253000000000001E-4</v>
      </c>
      <c r="M498" s="9">
        <v>1.5208999999999999E-4</v>
      </c>
      <c r="N498" s="9">
        <v>1.6992E-4</v>
      </c>
      <c r="O498" s="9">
        <v>1.1307E-4</v>
      </c>
      <c r="P498" s="9">
        <v>1.3635000000000001E-4</v>
      </c>
      <c r="Q498" s="9">
        <v>1.6056999999999999E-4</v>
      </c>
      <c r="R498" s="10">
        <v>3.837832190485726E-5</v>
      </c>
      <c r="S498" s="10">
        <v>6.1091398829567179E-5</v>
      </c>
      <c r="T498" s="10">
        <v>1.5129202601174137E-4</v>
      </c>
      <c r="U498" s="10">
        <v>1.7487000000000001E-4</v>
      </c>
      <c r="V498" s="25"/>
      <c r="W498" s="25"/>
      <c r="X498" s="25"/>
      <c r="Y498" s="25"/>
      <c r="Z498" s="25"/>
      <c r="AA498" s="25"/>
    </row>
    <row r="499" spans="1:27" x14ac:dyDescent="0.35">
      <c r="A499" s="5">
        <v>495</v>
      </c>
      <c r="B499" s="5">
        <v>21</v>
      </c>
      <c r="C499" s="5">
        <v>1</v>
      </c>
      <c r="D499" s="25">
        <v>1.1416E-4</v>
      </c>
      <c r="E499" s="25">
        <v>1.2193000000000001E-4</v>
      </c>
      <c r="F499" s="25">
        <v>1.1055E-4</v>
      </c>
      <c r="G499" s="25">
        <v>1.6694E-4</v>
      </c>
      <c r="H499" s="25">
        <v>4.2259999999999999E-5</v>
      </c>
      <c r="I499" s="9">
        <v>1.415E-4</v>
      </c>
      <c r="J499" s="9">
        <v>1.483E-4</v>
      </c>
      <c r="K499" s="9">
        <v>2.0133999999999999E-4</v>
      </c>
      <c r="L499" s="9">
        <v>1.1755E-4</v>
      </c>
      <c r="M499" s="9">
        <v>1.462E-4</v>
      </c>
      <c r="N499" s="9">
        <v>1.6951999999999999E-4</v>
      </c>
      <c r="O499" s="9">
        <v>1.2877E-4</v>
      </c>
      <c r="P499" s="9">
        <v>1.4029E-4</v>
      </c>
      <c r="Q499" s="9">
        <v>1.5330000000000001E-4</v>
      </c>
      <c r="R499" s="10">
        <v>3.9200942242199138E-5</v>
      </c>
      <c r="S499" s="10">
        <v>4.935047873714319E-5</v>
      </c>
      <c r="T499" s="10">
        <v>8.9068174577796143E-5</v>
      </c>
      <c r="U499" s="10">
        <v>1.7487000000000001E-4</v>
      </c>
      <c r="V499" s="25"/>
      <c r="W499" s="25"/>
      <c r="X499" s="25"/>
      <c r="Y499" s="25"/>
      <c r="Z499" s="25"/>
      <c r="AA499" s="25"/>
    </row>
    <row r="500" spans="1:27" x14ac:dyDescent="0.35">
      <c r="A500" s="5">
        <v>496</v>
      </c>
      <c r="B500" s="5">
        <v>21</v>
      </c>
      <c r="C500" s="5">
        <v>1</v>
      </c>
      <c r="D500" s="25">
        <v>1.1415000000000001E-4</v>
      </c>
      <c r="E500" s="25">
        <v>1.2284000000000001E-4</v>
      </c>
      <c r="F500" s="25">
        <v>1.2023000000000001E-4</v>
      </c>
      <c r="G500" s="25">
        <v>1.6048000000000001E-4</v>
      </c>
      <c r="H500" s="25">
        <v>4.1409999999999998E-5</v>
      </c>
      <c r="I500" s="9">
        <v>1.3930999999999999E-4</v>
      </c>
      <c r="J500" s="9">
        <v>1.4778999999999999E-4</v>
      </c>
      <c r="K500" s="9">
        <v>2.2041000000000001E-4</v>
      </c>
      <c r="L500" s="9">
        <v>1.2674E-4</v>
      </c>
      <c r="M500" s="9">
        <v>1.4240999999999999E-4</v>
      </c>
      <c r="N500" s="9">
        <v>1.6595E-4</v>
      </c>
      <c r="O500" s="9">
        <v>1.3626E-4</v>
      </c>
      <c r="P500" s="9">
        <v>1.2242000000000001E-4</v>
      </c>
      <c r="Q500" s="9">
        <v>1.1066E-4</v>
      </c>
      <c r="R500" s="10">
        <v>4.3238754644088255E-5</v>
      </c>
      <c r="S500" s="10">
        <v>4.5577643356030756E-5</v>
      </c>
      <c r="T500" s="10">
        <v>7.0173639925028746E-5</v>
      </c>
      <c r="U500" s="10">
        <v>1.7487000000000001E-4</v>
      </c>
      <c r="V500" s="25"/>
      <c r="W500" s="25"/>
      <c r="X500" s="25"/>
      <c r="Y500" s="25"/>
      <c r="Z500" s="25"/>
      <c r="AA500" s="25"/>
    </row>
    <row r="501" spans="1:27" x14ac:dyDescent="0.35">
      <c r="A501" s="5">
        <v>497</v>
      </c>
      <c r="B501" s="5">
        <v>21</v>
      </c>
      <c r="C501" s="5">
        <v>1</v>
      </c>
      <c r="D501" s="25">
        <v>1.1416E-4</v>
      </c>
      <c r="E501" s="25">
        <v>1.192E-4</v>
      </c>
      <c r="F501" s="25">
        <v>1.0475E-4</v>
      </c>
      <c r="G501" s="25">
        <v>1.6532E-4</v>
      </c>
      <c r="H501" s="25">
        <v>4.2389999999999999E-5</v>
      </c>
      <c r="I501" s="9">
        <v>1.3988E-4</v>
      </c>
      <c r="J501" s="9">
        <v>1.4909999999999999E-4</v>
      </c>
      <c r="K501" s="9">
        <v>2.1405999999999999E-4</v>
      </c>
      <c r="L501" s="9">
        <v>1.3386999999999999E-4</v>
      </c>
      <c r="M501" s="9">
        <v>1.3438999999999999E-4</v>
      </c>
      <c r="N501" s="9">
        <v>1.5255999999999999E-4</v>
      </c>
      <c r="O501" s="9">
        <v>1.3991000000000001E-4</v>
      </c>
      <c r="P501" s="9">
        <v>1.2184E-4</v>
      </c>
      <c r="Q501" s="9">
        <v>1.0603999999999999E-4</v>
      </c>
      <c r="R501" s="10">
        <v>5.6739762900739747E-5</v>
      </c>
      <c r="S501" s="10">
        <v>4.6466038048700108E-5</v>
      </c>
      <c r="T501" s="10">
        <v>0</v>
      </c>
      <c r="U501" s="10">
        <v>1.7487000000000001E-4</v>
      </c>
      <c r="V501" s="25"/>
      <c r="W501" s="25"/>
      <c r="X501" s="25"/>
      <c r="Y501" s="25"/>
      <c r="Z501" s="25"/>
      <c r="AA501" s="25"/>
    </row>
    <row r="502" spans="1:27" x14ac:dyDescent="0.35">
      <c r="A502" s="5">
        <v>498</v>
      </c>
      <c r="B502" s="5">
        <v>21</v>
      </c>
      <c r="C502" s="5">
        <v>1</v>
      </c>
      <c r="D502" s="25">
        <v>1.1415000000000001E-4</v>
      </c>
      <c r="E502" s="25">
        <v>1.1771E-4</v>
      </c>
      <c r="F502" s="25">
        <v>1.1599000000000001E-4</v>
      </c>
      <c r="G502" s="25">
        <v>1.5949000000000001E-4</v>
      </c>
      <c r="H502" s="25">
        <v>4.0210000000000003E-5</v>
      </c>
      <c r="I502" s="9">
        <v>1.4972E-4</v>
      </c>
      <c r="J502" s="9">
        <v>1.5506999999999999E-4</v>
      </c>
      <c r="K502" s="9">
        <v>2.0981E-4</v>
      </c>
      <c r="L502" s="9">
        <v>1.3826999999999999E-4</v>
      </c>
      <c r="M502" s="9">
        <v>1.2783E-4</v>
      </c>
      <c r="N502" s="9">
        <v>1.3905999999999999E-4</v>
      </c>
      <c r="O502" s="9">
        <v>1.4269E-4</v>
      </c>
      <c r="P502" s="9">
        <v>1.2935E-4</v>
      </c>
      <c r="Q502" s="9">
        <v>1.1826E-4</v>
      </c>
      <c r="R502" s="10">
        <v>8.1234443191459567E-5</v>
      </c>
      <c r="S502" s="10">
        <v>4.683401542234933E-5</v>
      </c>
      <c r="T502" s="10">
        <v>0</v>
      </c>
      <c r="U502" s="10">
        <v>1.7487000000000001E-4</v>
      </c>
      <c r="V502" s="25"/>
      <c r="W502" s="25"/>
      <c r="X502" s="25"/>
      <c r="Y502" s="25"/>
      <c r="Z502" s="25"/>
      <c r="AA502" s="25"/>
    </row>
    <row r="503" spans="1:27" x14ac:dyDescent="0.35">
      <c r="A503" s="5">
        <v>499</v>
      </c>
      <c r="B503" s="5">
        <v>21</v>
      </c>
      <c r="C503" s="5">
        <v>1</v>
      </c>
      <c r="D503" s="25">
        <v>1.1416E-4</v>
      </c>
      <c r="E503" s="25">
        <v>1.1827E-4</v>
      </c>
      <c r="F503" s="25">
        <v>1.1566E-4</v>
      </c>
      <c r="G503" s="25">
        <v>1.1158E-4</v>
      </c>
      <c r="H503" s="25">
        <v>2.9130000000000001E-5</v>
      </c>
      <c r="I503" s="9">
        <v>1.5354E-4</v>
      </c>
      <c r="J503" s="9">
        <v>1.5143000000000001E-4</v>
      </c>
      <c r="K503" s="9">
        <v>2.1405E-4</v>
      </c>
      <c r="L503" s="9">
        <v>1.4166999999999999E-4</v>
      </c>
      <c r="M503" s="9">
        <v>1.2683E-4</v>
      </c>
      <c r="N503" s="9">
        <v>1.3014999999999999E-4</v>
      </c>
      <c r="O503" s="9">
        <v>1.4380999999999999E-4</v>
      </c>
      <c r="P503" s="9">
        <v>1.2469E-4</v>
      </c>
      <c r="Q503" s="9">
        <v>1.0793000000000001E-4</v>
      </c>
      <c r="R503" s="10">
        <v>9.9886384626341246E-5</v>
      </c>
      <c r="S503" s="10">
        <v>4.8532470621406072E-5</v>
      </c>
      <c r="T503" s="10">
        <v>0</v>
      </c>
      <c r="U503" s="10">
        <v>1.7487000000000001E-4</v>
      </c>
      <c r="V503" s="25"/>
      <c r="W503" s="25"/>
      <c r="X503" s="25"/>
      <c r="Y503" s="25"/>
      <c r="Z503" s="25"/>
      <c r="AA503" s="25"/>
    </row>
    <row r="504" spans="1:27" x14ac:dyDescent="0.35">
      <c r="A504" s="5">
        <v>500</v>
      </c>
      <c r="B504" s="5">
        <v>21</v>
      </c>
      <c r="C504" s="5">
        <v>1</v>
      </c>
      <c r="D504" s="25">
        <v>1.1415000000000001E-4</v>
      </c>
      <c r="E504" s="25">
        <v>1.1676E-4</v>
      </c>
      <c r="F504" s="25">
        <v>1.0609E-4</v>
      </c>
      <c r="G504" s="25">
        <v>1.1173E-4</v>
      </c>
      <c r="H504" s="25">
        <v>2.906E-5</v>
      </c>
      <c r="I504" s="9">
        <v>1.4871E-4</v>
      </c>
      <c r="J504" s="9">
        <v>1.471E-4</v>
      </c>
      <c r="K504" s="9">
        <v>2.2041000000000001E-4</v>
      </c>
      <c r="L504" s="9">
        <v>1.4329999999999999E-4</v>
      </c>
      <c r="M504" s="9">
        <v>1.2609000000000001E-4</v>
      </c>
      <c r="N504" s="9">
        <v>1.2121999999999999E-4</v>
      </c>
      <c r="O504" s="9">
        <v>1.4443999999999999E-4</v>
      </c>
      <c r="P504" s="9">
        <v>1.217E-4</v>
      </c>
      <c r="Q504" s="9">
        <v>1.014E-4</v>
      </c>
      <c r="R504" s="10">
        <v>1.0920117692363663E-4</v>
      </c>
      <c r="S504" s="10">
        <v>5.0705309445367493E-5</v>
      </c>
      <c r="T504" s="10">
        <v>0</v>
      </c>
      <c r="U504" s="10">
        <v>1.7487000000000001E-4</v>
      </c>
      <c r="V504" s="25"/>
      <c r="W504" s="25"/>
      <c r="X504" s="25"/>
      <c r="Y504" s="25"/>
      <c r="Z504" s="25"/>
      <c r="AA504" s="25"/>
    </row>
    <row r="505" spans="1:27" x14ac:dyDescent="0.35">
      <c r="A505" s="5">
        <v>501</v>
      </c>
      <c r="B505" s="5">
        <v>21</v>
      </c>
      <c r="C505" s="5">
        <v>1</v>
      </c>
      <c r="D505" s="25">
        <v>1.1416E-4</v>
      </c>
      <c r="E505" s="25">
        <v>1.1603999999999999E-4</v>
      </c>
      <c r="F505" s="25">
        <v>1.0467E-4</v>
      </c>
      <c r="G505" s="25">
        <v>5.7170000000000003E-5</v>
      </c>
      <c r="H505" s="25">
        <v>1.34E-5</v>
      </c>
      <c r="I505" s="9">
        <v>1.4091E-4</v>
      </c>
      <c r="J505" s="9">
        <v>1.4071E-4</v>
      </c>
      <c r="K505" s="9">
        <v>2.3524E-4</v>
      </c>
      <c r="L505" s="9">
        <v>1.4417E-4</v>
      </c>
      <c r="M505" s="9">
        <v>1.2436000000000001E-4</v>
      </c>
      <c r="N505" s="9">
        <v>1.1338E-4</v>
      </c>
      <c r="O505" s="9">
        <v>8.4179999999999997E-5</v>
      </c>
      <c r="P505" s="9">
        <v>8.5589999999999999E-5</v>
      </c>
      <c r="Q505" s="9">
        <v>8.7570000000000004E-5</v>
      </c>
      <c r="R505" s="10">
        <v>1.0825884699454715E-4</v>
      </c>
      <c r="S505" s="10">
        <v>5.0184357070614104E-5</v>
      </c>
      <c r="T505" s="10">
        <v>0</v>
      </c>
      <c r="U505" s="10">
        <v>1.7487000000000001E-4</v>
      </c>
      <c r="V505" s="25"/>
      <c r="W505" s="25"/>
      <c r="X505" s="25"/>
      <c r="Y505" s="25"/>
      <c r="Z505" s="25"/>
      <c r="AA505" s="25"/>
    </row>
    <row r="506" spans="1:27" x14ac:dyDescent="0.35">
      <c r="A506" s="5">
        <v>502</v>
      </c>
      <c r="B506" s="5">
        <v>21</v>
      </c>
      <c r="C506" s="5">
        <v>1</v>
      </c>
      <c r="D506" s="25">
        <v>1.1415000000000001E-4</v>
      </c>
      <c r="E506" s="25">
        <v>1.2448E-4</v>
      </c>
      <c r="F506" s="25">
        <v>1.1972999999999999E-4</v>
      </c>
      <c r="G506" s="25">
        <v>5.3380000000000001E-5</v>
      </c>
      <c r="H506" s="25">
        <v>1.36E-5</v>
      </c>
      <c r="I506" s="9">
        <v>1.3414000000000001E-4</v>
      </c>
      <c r="J506" s="9">
        <v>1.3193999999999999E-4</v>
      </c>
      <c r="K506" s="9">
        <v>2.31E-4</v>
      </c>
      <c r="L506" s="9">
        <v>9.7369999999999998E-5</v>
      </c>
      <c r="M506" s="9">
        <v>1.0989000000000001E-4</v>
      </c>
      <c r="N506" s="9">
        <v>1.0556E-4</v>
      </c>
      <c r="O506" s="9">
        <v>8.7990000000000003E-5</v>
      </c>
      <c r="P506" s="9">
        <v>8.7960000000000005E-5</v>
      </c>
      <c r="Q506" s="9">
        <v>8.8609999999999994E-5</v>
      </c>
      <c r="R506" s="10">
        <v>1.0163200493798282E-4</v>
      </c>
      <c r="S506" s="10">
        <v>4.6934270244573696E-5</v>
      </c>
      <c r="T506" s="10">
        <v>0</v>
      </c>
      <c r="U506" s="10">
        <v>1.7487000000000001E-4</v>
      </c>
      <c r="V506" s="25"/>
      <c r="W506" s="25"/>
      <c r="X506" s="25"/>
      <c r="Y506" s="25"/>
      <c r="Z506" s="25"/>
      <c r="AA506" s="25"/>
    </row>
    <row r="507" spans="1:27" x14ac:dyDescent="0.35">
      <c r="A507" s="5">
        <v>503</v>
      </c>
      <c r="B507" s="5">
        <v>21</v>
      </c>
      <c r="C507" s="5">
        <v>1</v>
      </c>
      <c r="D507" s="25">
        <v>1.1416E-4</v>
      </c>
      <c r="E507" s="25">
        <v>1.1938999999999999E-4</v>
      </c>
      <c r="F507" s="25">
        <v>1.1985E-4</v>
      </c>
      <c r="G507" s="25">
        <v>6.2910000000000006E-5</v>
      </c>
      <c r="H507" s="25">
        <v>1.526E-5</v>
      </c>
      <c r="I507" s="9">
        <v>1.3642999999999999E-4</v>
      </c>
      <c r="J507" s="9">
        <v>1.2238E-4</v>
      </c>
      <c r="K507" s="9">
        <v>2.1829E-4</v>
      </c>
      <c r="L507" s="9">
        <v>9.1349999999999998E-5</v>
      </c>
      <c r="M507" s="9">
        <v>9.8109999999999994E-5</v>
      </c>
      <c r="N507" s="9">
        <v>9.9820000000000003E-5</v>
      </c>
      <c r="O507" s="9">
        <v>8.4610000000000005E-5</v>
      </c>
      <c r="P507" s="9">
        <v>7.5270000000000003E-5</v>
      </c>
      <c r="Q507" s="9">
        <v>6.6680000000000005E-5</v>
      </c>
      <c r="R507" s="10">
        <v>9.6063294624148881E-5</v>
      </c>
      <c r="S507" s="10">
        <v>4.2471816888299416E-5</v>
      </c>
      <c r="T507" s="10">
        <v>0</v>
      </c>
      <c r="U507" s="10">
        <v>1.7487000000000001E-4</v>
      </c>
      <c r="V507" s="25"/>
      <c r="W507" s="25"/>
      <c r="X507" s="25"/>
      <c r="Y507" s="25"/>
      <c r="Z507" s="25"/>
      <c r="AA507" s="25"/>
    </row>
    <row r="508" spans="1:27" x14ac:dyDescent="0.35">
      <c r="A508" s="5">
        <v>504</v>
      </c>
      <c r="B508" s="5">
        <v>21</v>
      </c>
      <c r="C508" s="5">
        <v>1</v>
      </c>
      <c r="D508" s="25">
        <v>1.1415000000000001E-4</v>
      </c>
      <c r="E508" s="25">
        <v>1.2103E-4</v>
      </c>
      <c r="F508" s="25">
        <v>1.0965E-4</v>
      </c>
      <c r="G508" s="25">
        <v>5.5859999999999997E-5</v>
      </c>
      <c r="H508" s="25">
        <v>1.465E-5</v>
      </c>
      <c r="I508" s="9">
        <v>1.3548999999999999E-4</v>
      </c>
      <c r="J508" s="9">
        <v>1.1469E-4</v>
      </c>
      <c r="K508" s="9">
        <v>2.1617000000000001E-4</v>
      </c>
      <c r="L508" s="9">
        <v>8.6290000000000002E-5</v>
      </c>
      <c r="M508" s="9">
        <v>8.7159999999999999E-5</v>
      </c>
      <c r="N508" s="9">
        <v>9.0470000000000006E-5</v>
      </c>
      <c r="O508" s="9">
        <v>7.9019999999999999E-5</v>
      </c>
      <c r="P508" s="9">
        <v>6.8520000000000001E-5</v>
      </c>
      <c r="Q508" s="9">
        <v>5.8650000000000003E-5</v>
      </c>
      <c r="R508" s="10">
        <v>9.626844974820578E-5</v>
      </c>
      <c r="S508" s="10">
        <v>4.2828034469397257E-5</v>
      </c>
      <c r="T508" s="10">
        <v>0</v>
      </c>
      <c r="U508" s="10">
        <v>1.7487000000000001E-4</v>
      </c>
      <c r="V508" s="25"/>
      <c r="W508" s="25"/>
      <c r="X508" s="25"/>
      <c r="Y508" s="25"/>
      <c r="Z508" s="25"/>
      <c r="AA508" s="25"/>
    </row>
    <row r="509" spans="1:27" x14ac:dyDescent="0.35">
      <c r="A509" s="5">
        <v>505</v>
      </c>
      <c r="B509" s="5">
        <v>22</v>
      </c>
      <c r="C509" s="5">
        <v>1</v>
      </c>
      <c r="D509" s="25">
        <v>1.1416E-4</v>
      </c>
      <c r="E509" s="25">
        <v>1.0991E-4</v>
      </c>
      <c r="F509" s="25">
        <v>1.0902E-4</v>
      </c>
      <c r="G509" s="25">
        <v>5.5269999999999998E-5</v>
      </c>
      <c r="H509" s="25">
        <v>6.5950000000000004E-5</v>
      </c>
      <c r="I509" s="9">
        <v>1.2997E-4</v>
      </c>
      <c r="J509" s="9">
        <v>1.076E-4</v>
      </c>
      <c r="K509" s="9">
        <v>2.1829E-4</v>
      </c>
      <c r="L509" s="9">
        <v>8.0409999999999998E-5</v>
      </c>
      <c r="M509" s="9">
        <v>7.7960000000000006E-5</v>
      </c>
      <c r="N509" s="9">
        <v>8.1000000000000004E-5</v>
      </c>
      <c r="O509" s="9">
        <v>5.4729999999999999E-5</v>
      </c>
      <c r="P509" s="9">
        <v>5.4150000000000002E-5</v>
      </c>
      <c r="Q509" s="9">
        <v>5.3720000000000001E-5</v>
      </c>
      <c r="R509" s="10">
        <v>9.73074469900197E-5</v>
      </c>
      <c r="S509" s="10">
        <v>4.5258106674632851E-5</v>
      </c>
      <c r="T509" s="10">
        <v>0</v>
      </c>
      <c r="U509" s="10">
        <v>1.7217E-4</v>
      </c>
      <c r="V509" s="25"/>
      <c r="W509" s="25"/>
      <c r="X509" s="25"/>
      <c r="Y509" s="25"/>
      <c r="Z509" s="25"/>
      <c r="AA509" s="25"/>
    </row>
    <row r="510" spans="1:27" x14ac:dyDescent="0.35">
      <c r="A510" s="5">
        <v>506</v>
      </c>
      <c r="B510" s="5">
        <v>22</v>
      </c>
      <c r="C510" s="5">
        <v>1</v>
      </c>
      <c r="D510" s="25">
        <v>1.1415000000000001E-4</v>
      </c>
      <c r="E510" s="25">
        <v>1.1622E-4</v>
      </c>
      <c r="F510" s="25">
        <v>1.2104000000000001E-4</v>
      </c>
      <c r="G510" s="25">
        <v>6.2290000000000002E-5</v>
      </c>
      <c r="H510" s="25">
        <v>6.9209999999999996E-5</v>
      </c>
      <c r="I510" s="9">
        <v>1.25E-4</v>
      </c>
      <c r="J510" s="9">
        <v>1.0286E-4</v>
      </c>
      <c r="K510" s="9">
        <v>2.0769000000000001E-4</v>
      </c>
      <c r="L510" s="9">
        <v>6.0529999999999998E-5</v>
      </c>
      <c r="M510" s="9">
        <v>6.7230000000000005E-5</v>
      </c>
      <c r="N510" s="9">
        <v>7.1989999999999993E-5</v>
      </c>
      <c r="O510" s="9">
        <v>1.8349999999999999E-5</v>
      </c>
      <c r="P510" s="9">
        <v>3.7929999999999998E-5</v>
      </c>
      <c r="Q510" s="9">
        <v>5.6450000000000003E-5</v>
      </c>
      <c r="R510" s="10">
        <v>9.8785126015648353E-5</v>
      </c>
      <c r="S510" s="10">
        <v>4.5198835726193927E-5</v>
      </c>
      <c r="T510" s="10">
        <v>0</v>
      </c>
      <c r="U510" s="10">
        <v>1.7217E-4</v>
      </c>
      <c r="V510" s="25"/>
      <c r="W510" s="25"/>
      <c r="X510" s="25"/>
      <c r="Y510" s="25"/>
      <c r="Z510" s="25"/>
      <c r="AA510" s="25"/>
    </row>
    <row r="511" spans="1:27" x14ac:dyDescent="0.35">
      <c r="A511" s="5">
        <v>507</v>
      </c>
      <c r="B511" s="5">
        <v>22</v>
      </c>
      <c r="C511" s="5">
        <v>1</v>
      </c>
      <c r="D511" s="25">
        <v>1.1416E-4</v>
      </c>
      <c r="E511" s="25">
        <v>1.182E-4</v>
      </c>
      <c r="F511" s="25">
        <v>1.1566E-4</v>
      </c>
      <c r="G511" s="25">
        <v>6.0760000000000001E-5</v>
      </c>
      <c r="H511" s="25">
        <v>6.6270000000000001E-5</v>
      </c>
      <c r="I511" s="9">
        <v>1.2108E-4</v>
      </c>
      <c r="J511" s="9">
        <v>1.0034E-4</v>
      </c>
      <c r="K511" s="9">
        <v>2.1405E-4</v>
      </c>
      <c r="L511" s="9">
        <v>2.817E-5</v>
      </c>
      <c r="M511" s="9">
        <v>5.4060000000000001E-5</v>
      </c>
      <c r="N511" s="9">
        <v>6.5519999999999996E-5</v>
      </c>
      <c r="O511" s="9">
        <v>1.2670000000000001E-5</v>
      </c>
      <c r="P511" s="9">
        <v>3.769E-5</v>
      </c>
      <c r="Q511" s="9">
        <v>6.143E-5</v>
      </c>
      <c r="R511" s="10">
        <v>9.6634670055374558E-5</v>
      </c>
      <c r="S511" s="10">
        <v>4.3560258734544392E-5</v>
      </c>
      <c r="T511" s="10">
        <v>0</v>
      </c>
      <c r="U511" s="10">
        <v>1.7217E-4</v>
      </c>
      <c r="V511" s="25"/>
      <c r="W511" s="25"/>
      <c r="X511" s="25"/>
      <c r="Y511" s="25"/>
      <c r="Z511" s="25"/>
      <c r="AA511" s="25"/>
    </row>
    <row r="512" spans="1:27" x14ac:dyDescent="0.35">
      <c r="A512" s="5">
        <v>508</v>
      </c>
      <c r="B512" s="5">
        <v>22</v>
      </c>
      <c r="C512" s="5">
        <v>1</v>
      </c>
      <c r="D512" s="25">
        <v>1.1415000000000001E-4</v>
      </c>
      <c r="E512" s="25">
        <v>1.1389E-4</v>
      </c>
      <c r="F512" s="25">
        <v>1.0852E-4</v>
      </c>
      <c r="G512" s="25">
        <v>5.2290000000000002E-5</v>
      </c>
      <c r="H512" s="25">
        <v>6.7390000000000004E-5</v>
      </c>
      <c r="I512" s="9">
        <v>1.1805E-4</v>
      </c>
      <c r="J512" s="9">
        <v>9.9220000000000002E-5</v>
      </c>
      <c r="K512" s="9">
        <v>2.2041000000000001E-4</v>
      </c>
      <c r="L512" s="9">
        <v>1.6949999999999999E-5</v>
      </c>
      <c r="M512" s="9">
        <v>4.4990000000000001E-5</v>
      </c>
      <c r="N512" s="9">
        <v>6.1920000000000003E-5</v>
      </c>
      <c r="O512" s="9">
        <v>1.259E-5</v>
      </c>
      <c r="P512" s="9">
        <v>4.6829999999999997E-5</v>
      </c>
      <c r="Q512" s="9">
        <v>7.9660000000000006E-5</v>
      </c>
      <c r="R512" s="10">
        <v>9.6481061729428914E-5</v>
      </c>
      <c r="S512" s="10">
        <v>4.262618321275357E-5</v>
      </c>
      <c r="T512" s="10">
        <v>0</v>
      </c>
      <c r="U512" s="10">
        <v>1.7217E-4</v>
      </c>
      <c r="V512" s="25"/>
      <c r="W512" s="25"/>
      <c r="X512" s="25"/>
      <c r="Y512" s="25"/>
      <c r="Z512" s="25"/>
      <c r="AA512" s="25"/>
    </row>
    <row r="513" spans="1:27" x14ac:dyDescent="0.35">
      <c r="A513" s="5">
        <v>509</v>
      </c>
      <c r="B513" s="5">
        <v>22</v>
      </c>
      <c r="C513" s="5">
        <v>1</v>
      </c>
      <c r="D513" s="25">
        <v>1.1416E-4</v>
      </c>
      <c r="E513" s="25">
        <v>1.1745E-4</v>
      </c>
      <c r="F513" s="25">
        <v>1.1305E-4</v>
      </c>
      <c r="G513" s="25">
        <v>5.9929999999999997E-5</v>
      </c>
      <c r="H513" s="25">
        <v>7.0560000000000002E-5</v>
      </c>
      <c r="I513" s="9">
        <v>1.1763E-4</v>
      </c>
      <c r="J513" s="9">
        <v>9.9720000000000001E-5</v>
      </c>
      <c r="K513" s="9">
        <v>2.2676E-4</v>
      </c>
      <c r="L513" s="9">
        <v>1.3730000000000001E-5</v>
      </c>
      <c r="M513" s="9">
        <v>4.3640000000000002E-5</v>
      </c>
      <c r="N513" s="9">
        <v>6.4319999999999994E-5</v>
      </c>
      <c r="O513" s="9">
        <v>1.8459999999999999E-5</v>
      </c>
      <c r="P513" s="9">
        <v>5.7219999999999998E-5</v>
      </c>
      <c r="Q513" s="9">
        <v>9.4619999999999999E-5</v>
      </c>
      <c r="R513" s="10">
        <v>9.2496058079857265E-5</v>
      </c>
      <c r="S513" s="10">
        <v>3.8978596862780634E-5</v>
      </c>
      <c r="T513" s="10">
        <v>0</v>
      </c>
      <c r="U513" s="10">
        <v>1.7217E-4</v>
      </c>
      <c r="V513" s="25"/>
      <c r="W513" s="25"/>
      <c r="X513" s="25"/>
      <c r="Y513" s="25"/>
      <c r="Z513" s="25"/>
      <c r="AA513" s="25"/>
    </row>
    <row r="514" spans="1:27" x14ac:dyDescent="0.35">
      <c r="A514" s="5">
        <v>510</v>
      </c>
      <c r="B514" s="5">
        <v>22</v>
      </c>
      <c r="C514" s="5">
        <v>1</v>
      </c>
      <c r="D514" s="25">
        <v>1.1415000000000001E-4</v>
      </c>
      <c r="E514" s="25">
        <v>1.1717E-4</v>
      </c>
      <c r="F514" s="25">
        <v>1.2292999999999999E-4</v>
      </c>
      <c r="G514" s="25">
        <v>1.1217000000000001E-4</v>
      </c>
      <c r="H514" s="25">
        <v>1.3410000000000001E-4</v>
      </c>
      <c r="I514" s="9">
        <v>1.2119E-4</v>
      </c>
      <c r="J514" s="9">
        <v>1.036E-4</v>
      </c>
      <c r="K514" s="9">
        <v>2.3311999999999999E-4</v>
      </c>
      <c r="L514" s="9">
        <v>1.7289999999999999E-5</v>
      </c>
      <c r="M514" s="9">
        <v>4.8560000000000003E-5</v>
      </c>
      <c r="N514" s="9">
        <v>7.1099999999999994E-5</v>
      </c>
      <c r="O514" s="9">
        <v>4.604E-5</v>
      </c>
      <c r="P514" s="9">
        <v>7.6660000000000001E-5</v>
      </c>
      <c r="Q514" s="9">
        <v>1.0675000000000001E-4</v>
      </c>
      <c r="R514" s="10">
        <v>9.4488884945973984E-5</v>
      </c>
      <c r="S514" s="10">
        <v>3.6010019606688962E-5</v>
      </c>
      <c r="T514" s="10">
        <v>0</v>
      </c>
      <c r="U514" s="10">
        <v>1.7217E-4</v>
      </c>
      <c r="V514" s="25"/>
      <c r="W514" s="25"/>
      <c r="X514" s="25"/>
      <c r="Y514" s="25"/>
      <c r="Z514" s="25"/>
      <c r="AA514" s="25"/>
    </row>
    <row r="515" spans="1:27" x14ac:dyDescent="0.35">
      <c r="A515" s="5">
        <v>511</v>
      </c>
      <c r="B515" s="5">
        <v>22</v>
      </c>
      <c r="C515" s="5">
        <v>1</v>
      </c>
      <c r="D515" s="25">
        <v>1.1416E-4</v>
      </c>
      <c r="E515" s="25">
        <v>1.1574999999999999E-4</v>
      </c>
      <c r="F515" s="25">
        <v>1.2116E-4</v>
      </c>
      <c r="G515" s="25">
        <v>1.1369E-4</v>
      </c>
      <c r="H515" s="25">
        <v>1.3004E-4</v>
      </c>
      <c r="I515" s="9">
        <v>1.3380999999999999E-4</v>
      </c>
      <c r="J515" s="9">
        <v>1.1466E-4</v>
      </c>
      <c r="K515" s="9">
        <v>2.3101E-4</v>
      </c>
      <c r="L515" s="9">
        <v>3.9560000000000001E-5</v>
      </c>
      <c r="M515" s="9">
        <v>6.0080000000000001E-5</v>
      </c>
      <c r="N515" s="9">
        <v>8.0740000000000003E-5</v>
      </c>
      <c r="O515" s="9">
        <v>1.2479E-4</v>
      </c>
      <c r="P515" s="9">
        <v>1.1784E-4</v>
      </c>
      <c r="Q515" s="9">
        <v>1.1288E-4</v>
      </c>
      <c r="R515" s="10">
        <v>1.0345441466030566E-4</v>
      </c>
      <c r="S515" s="10">
        <v>3.4855748230753483E-5</v>
      </c>
      <c r="T515" s="10">
        <v>0</v>
      </c>
      <c r="U515" s="10">
        <v>1.7217E-4</v>
      </c>
      <c r="V515" s="25"/>
      <c r="W515" s="25"/>
      <c r="X515" s="25"/>
      <c r="Y515" s="25"/>
      <c r="Z515" s="25"/>
      <c r="AA515" s="25"/>
    </row>
    <row r="516" spans="1:27" x14ac:dyDescent="0.35">
      <c r="A516" s="5">
        <v>512</v>
      </c>
      <c r="B516" s="5">
        <v>22</v>
      </c>
      <c r="C516" s="5">
        <v>1</v>
      </c>
      <c r="D516" s="25">
        <v>1.1415000000000001E-4</v>
      </c>
      <c r="E516" s="25">
        <v>1.2001E-4</v>
      </c>
      <c r="F516" s="25">
        <v>1.2790999999999999E-4</v>
      </c>
      <c r="G516" s="25">
        <v>1.5699E-4</v>
      </c>
      <c r="H516" s="25">
        <v>2.0289E-4</v>
      </c>
      <c r="I516" s="9">
        <v>1.4579999999999999E-4</v>
      </c>
      <c r="J516" s="9">
        <v>1.3399000000000001E-4</v>
      </c>
      <c r="K516" s="9">
        <v>2.4372E-4</v>
      </c>
      <c r="L516" s="9">
        <v>1.0542E-4</v>
      </c>
      <c r="M516" s="9">
        <v>8.3850000000000005E-5</v>
      </c>
      <c r="N516" s="9">
        <v>9.0929999999999998E-5</v>
      </c>
      <c r="O516" s="9">
        <v>2.2253E-4</v>
      </c>
      <c r="P516" s="9">
        <v>1.7719E-4</v>
      </c>
      <c r="Q516" s="9">
        <v>1.3688E-4</v>
      </c>
      <c r="R516" s="10">
        <v>1.105556524382214E-4</v>
      </c>
      <c r="S516" s="10">
        <v>3.6493016047378112E-5</v>
      </c>
      <c r="T516" s="10">
        <v>0</v>
      </c>
      <c r="U516" s="10">
        <v>1.7217E-4</v>
      </c>
      <c r="V516" s="25"/>
      <c r="W516" s="25"/>
      <c r="X516" s="25"/>
      <c r="Y516" s="25"/>
      <c r="Z516" s="25"/>
      <c r="AA516" s="25"/>
    </row>
    <row r="517" spans="1:27" x14ac:dyDescent="0.35">
      <c r="A517" s="5">
        <v>513</v>
      </c>
      <c r="B517" s="5">
        <v>22</v>
      </c>
      <c r="C517" s="5">
        <v>1</v>
      </c>
      <c r="D517" s="25">
        <v>1.1416E-4</v>
      </c>
      <c r="E517" s="25">
        <v>1.1407E-4</v>
      </c>
      <c r="F517" s="25">
        <v>1.2155E-4</v>
      </c>
      <c r="G517" s="25">
        <v>1.6294000000000001E-4</v>
      </c>
      <c r="H517" s="25">
        <v>1.9691000000000001E-4</v>
      </c>
      <c r="I517" s="9">
        <v>1.4917000000000001E-4</v>
      </c>
      <c r="J517" s="9">
        <v>1.4584999999999999E-4</v>
      </c>
      <c r="K517" s="9">
        <v>2.0981E-4</v>
      </c>
      <c r="L517" s="9">
        <v>1.9495999999999999E-4</v>
      </c>
      <c r="M517" s="9">
        <v>1.236E-4</v>
      </c>
      <c r="N517" s="9">
        <v>1.0472E-4</v>
      </c>
      <c r="O517" s="9">
        <v>2.13E-4</v>
      </c>
      <c r="P517" s="9">
        <v>1.9238999999999999E-4</v>
      </c>
      <c r="Q517" s="9">
        <v>1.762E-4</v>
      </c>
      <c r="R517" s="10">
        <v>1.1171689007897199E-4</v>
      </c>
      <c r="S517" s="10">
        <v>3.7907716569702563E-5</v>
      </c>
      <c r="T517" s="10">
        <v>1.3235506986222325E-6</v>
      </c>
      <c r="U517" s="10">
        <v>1.7217E-4</v>
      </c>
      <c r="V517" s="25"/>
      <c r="W517" s="25"/>
      <c r="X517" s="25"/>
      <c r="Y517" s="25"/>
      <c r="Z517" s="25"/>
      <c r="AA517" s="25"/>
    </row>
    <row r="518" spans="1:27" x14ac:dyDescent="0.35">
      <c r="A518" s="5">
        <v>514</v>
      </c>
      <c r="B518" s="5">
        <v>22</v>
      </c>
      <c r="C518" s="5">
        <v>1</v>
      </c>
      <c r="D518" s="25">
        <v>1.1415000000000001E-4</v>
      </c>
      <c r="E518" s="25">
        <v>1.1008E-4</v>
      </c>
      <c r="F518" s="25">
        <v>1.1228E-4</v>
      </c>
      <c r="G518" s="25">
        <v>1.5652999999999999E-4</v>
      </c>
      <c r="H518" s="25">
        <v>2.009E-4</v>
      </c>
      <c r="I518" s="9">
        <v>1.4902000000000001E-4</v>
      </c>
      <c r="J518" s="9">
        <v>1.4888999999999999E-4</v>
      </c>
      <c r="K518" s="9">
        <v>1.8013999999999999E-4</v>
      </c>
      <c r="L518" s="9">
        <v>2.0667999999999999E-4</v>
      </c>
      <c r="M518" s="9">
        <v>1.5844000000000001E-4</v>
      </c>
      <c r="N518" s="9">
        <v>1.2458E-4</v>
      </c>
      <c r="O518" s="9">
        <v>1.6836999999999999E-4</v>
      </c>
      <c r="P518" s="9">
        <v>1.7343999999999999E-4</v>
      </c>
      <c r="Q518" s="9">
        <v>1.8142000000000001E-4</v>
      </c>
      <c r="R518" s="10">
        <v>1.0647943203485937E-4</v>
      </c>
      <c r="S518" s="10">
        <v>4.0222699224543956E-5</v>
      </c>
      <c r="T518" s="10">
        <v>4.4678320377850492E-5</v>
      </c>
      <c r="U518" s="10">
        <v>1.7217E-4</v>
      </c>
      <c r="V518" s="25"/>
      <c r="W518" s="25"/>
      <c r="X518" s="25"/>
      <c r="Y518" s="25"/>
      <c r="Z518" s="25"/>
      <c r="AA518" s="25"/>
    </row>
    <row r="519" spans="1:27" x14ac:dyDescent="0.35">
      <c r="A519" s="5">
        <v>515</v>
      </c>
      <c r="B519" s="5">
        <v>22</v>
      </c>
      <c r="C519" s="5">
        <v>1</v>
      </c>
      <c r="D519" s="25">
        <v>1.1416E-4</v>
      </c>
      <c r="E519" s="25">
        <v>1.0899E-4</v>
      </c>
      <c r="F519" s="25">
        <v>1.261E-4</v>
      </c>
      <c r="G519" s="25">
        <v>1.5894999999999999E-4</v>
      </c>
      <c r="H519" s="25">
        <v>1.9751999999999999E-4</v>
      </c>
      <c r="I519" s="9">
        <v>1.4713000000000001E-4</v>
      </c>
      <c r="J519" s="9">
        <v>1.4864000000000001E-4</v>
      </c>
      <c r="K519" s="9">
        <v>1.6531E-4</v>
      </c>
      <c r="L519" s="9">
        <v>1.7689999999999999E-4</v>
      </c>
      <c r="M519" s="9">
        <v>1.7189000000000001E-4</v>
      </c>
      <c r="N519" s="9">
        <v>1.4247000000000001E-4</v>
      </c>
      <c r="O519" s="9">
        <v>1.6734000000000001E-4</v>
      </c>
      <c r="P519" s="9">
        <v>1.7105000000000001E-4</v>
      </c>
      <c r="Q519" s="9">
        <v>1.7766E-4</v>
      </c>
      <c r="R519" s="10">
        <v>1.1112258646061808E-4</v>
      </c>
      <c r="S519" s="10">
        <v>3.898779804809731E-5</v>
      </c>
      <c r="T519" s="10">
        <v>5.8821647394538068E-5</v>
      </c>
      <c r="U519" s="10">
        <v>1.7217E-4</v>
      </c>
      <c r="V519" s="25"/>
      <c r="W519" s="25"/>
      <c r="X519" s="25"/>
      <c r="Y519" s="25"/>
      <c r="Z519" s="25"/>
      <c r="AA519" s="25"/>
    </row>
    <row r="520" spans="1:27" x14ac:dyDescent="0.35">
      <c r="A520" s="5">
        <v>516</v>
      </c>
      <c r="B520" s="5">
        <v>22</v>
      </c>
      <c r="C520" s="5">
        <v>1</v>
      </c>
      <c r="D520" s="25">
        <v>1.1415000000000001E-4</v>
      </c>
      <c r="E520" s="25">
        <v>1.0912999999999999E-4</v>
      </c>
      <c r="F520" s="25">
        <v>1.1035E-4</v>
      </c>
      <c r="G520" s="25">
        <v>1.5983999999999999E-4</v>
      </c>
      <c r="H520" s="25">
        <v>1.9820999999999999E-4</v>
      </c>
      <c r="I520" s="9">
        <v>1.4798E-4</v>
      </c>
      <c r="J520" s="9">
        <v>1.4782E-4</v>
      </c>
      <c r="K520" s="9">
        <v>1.5683E-4</v>
      </c>
      <c r="L520" s="9">
        <v>1.7087999999999999E-4</v>
      </c>
      <c r="M520" s="9">
        <v>1.7384E-4</v>
      </c>
      <c r="N520" s="9">
        <v>1.5615E-4</v>
      </c>
      <c r="O520" s="9">
        <v>1.7165E-4</v>
      </c>
      <c r="P520" s="9">
        <v>1.7124999999999999E-4</v>
      </c>
      <c r="Q520" s="9">
        <v>1.7391999999999999E-4</v>
      </c>
      <c r="R520" s="10">
        <v>7.8013181218084389E-5</v>
      </c>
      <c r="S520" s="10">
        <v>4.2150519694366854E-5</v>
      </c>
      <c r="T520" s="10">
        <v>3.8281158667843033E-5</v>
      </c>
      <c r="U520" s="10">
        <v>1.7217E-4</v>
      </c>
      <c r="V520" s="25"/>
      <c r="W520" s="25"/>
      <c r="X520" s="25"/>
      <c r="Y520" s="25"/>
      <c r="Z520" s="25"/>
      <c r="AA520" s="25"/>
    </row>
    <row r="521" spans="1:27" x14ac:dyDescent="0.35">
      <c r="A521" s="5">
        <v>517</v>
      </c>
      <c r="B521" s="5">
        <v>22</v>
      </c>
      <c r="C521" s="5">
        <v>1</v>
      </c>
      <c r="D521" s="25">
        <v>1.1416E-4</v>
      </c>
      <c r="E521" s="25">
        <v>1.1767E-4</v>
      </c>
      <c r="F521" s="25">
        <v>1.2208E-4</v>
      </c>
      <c r="G521" s="25">
        <v>1.6337E-4</v>
      </c>
      <c r="H521" s="25">
        <v>2.0002999999999999E-4</v>
      </c>
      <c r="I521" s="9">
        <v>1.4459E-4</v>
      </c>
      <c r="J521" s="9">
        <v>1.4582000000000001E-4</v>
      </c>
      <c r="K521" s="9">
        <v>1.6742999999999999E-4</v>
      </c>
      <c r="L521" s="9">
        <v>1.7165999999999999E-4</v>
      </c>
      <c r="M521" s="9">
        <v>1.7293000000000001E-4</v>
      </c>
      <c r="N521" s="9">
        <v>1.6558E-4</v>
      </c>
      <c r="O521" s="9">
        <v>1.6285E-4</v>
      </c>
      <c r="P521" s="9">
        <v>1.6339999999999999E-4</v>
      </c>
      <c r="Q521" s="9">
        <v>1.6678E-4</v>
      </c>
      <c r="R521" s="10">
        <v>6.7108425718223472E-5</v>
      </c>
      <c r="S521" s="10">
        <v>3.7484079458189542E-5</v>
      </c>
      <c r="T521" s="10">
        <v>3.9019292711305437E-5</v>
      </c>
      <c r="U521" s="10">
        <v>1.7217E-4</v>
      </c>
      <c r="V521" s="25"/>
      <c r="W521" s="25"/>
      <c r="X521" s="25"/>
      <c r="Y521" s="25"/>
      <c r="Z521" s="25"/>
      <c r="AA521" s="25"/>
    </row>
    <row r="522" spans="1:27" x14ac:dyDescent="0.35">
      <c r="A522" s="5">
        <v>518</v>
      </c>
      <c r="B522" s="5">
        <v>22</v>
      </c>
      <c r="C522" s="5">
        <v>1</v>
      </c>
      <c r="D522" s="25">
        <v>1.1415000000000001E-4</v>
      </c>
      <c r="E522" s="25">
        <v>1.1364E-4</v>
      </c>
      <c r="F522" s="25">
        <v>1.1245E-4</v>
      </c>
      <c r="G522" s="25">
        <v>1.6197999999999999E-4</v>
      </c>
      <c r="H522" s="25">
        <v>1.9129999999999999E-4</v>
      </c>
      <c r="I522" s="9">
        <v>1.4411E-4</v>
      </c>
      <c r="J522" s="9">
        <v>1.4687000000000001E-4</v>
      </c>
      <c r="K522" s="9">
        <v>1.6954000000000001E-4</v>
      </c>
      <c r="L522" s="9">
        <v>1.6449999999999999E-4</v>
      </c>
      <c r="M522" s="9">
        <v>1.6924999999999999E-4</v>
      </c>
      <c r="N522" s="9">
        <v>1.6981E-4</v>
      </c>
      <c r="O522" s="9">
        <v>1.7903E-4</v>
      </c>
      <c r="P522" s="9">
        <v>1.6762999999999999E-4</v>
      </c>
      <c r="Q522" s="9">
        <v>1.5966E-4</v>
      </c>
      <c r="R522" s="10">
        <v>6.0078584933287011E-5</v>
      </c>
      <c r="S522" s="10">
        <v>3.2011765613865331E-5</v>
      </c>
      <c r="T522" s="10">
        <v>3.8187831374991473E-5</v>
      </c>
      <c r="U522" s="10">
        <v>1.7217E-4</v>
      </c>
      <c r="V522" s="25"/>
      <c r="W522" s="25"/>
      <c r="X522" s="25"/>
      <c r="Y522" s="25"/>
      <c r="Z522" s="25"/>
      <c r="AA522" s="25"/>
    </row>
    <row r="523" spans="1:27" x14ac:dyDescent="0.35">
      <c r="A523" s="5">
        <v>519</v>
      </c>
      <c r="B523" s="5">
        <v>22</v>
      </c>
      <c r="C523" s="5">
        <v>1</v>
      </c>
      <c r="D523" s="25">
        <v>1.1416E-4</v>
      </c>
      <c r="E523" s="25">
        <v>1.1641000000000001E-4</v>
      </c>
      <c r="F523" s="25">
        <v>1.2058E-4</v>
      </c>
      <c r="G523" s="25">
        <v>1.5935E-4</v>
      </c>
      <c r="H523" s="25">
        <v>1.9858000000000001E-4</v>
      </c>
      <c r="I523" s="9">
        <v>1.4211000000000001E-4</v>
      </c>
      <c r="J523" s="9">
        <v>1.4656000000000001E-4</v>
      </c>
      <c r="K523" s="9">
        <v>2.0557E-4</v>
      </c>
      <c r="L523" s="9">
        <v>1.76E-4</v>
      </c>
      <c r="M523" s="9">
        <v>1.6762E-4</v>
      </c>
      <c r="N523" s="9">
        <v>1.6919999999999999E-4</v>
      </c>
      <c r="O523" s="9">
        <v>1.8395E-4</v>
      </c>
      <c r="P523" s="9">
        <v>1.6573E-4</v>
      </c>
      <c r="Q523" s="9">
        <v>1.5117E-4</v>
      </c>
      <c r="R523" s="10">
        <v>5.9427482118969861E-5</v>
      </c>
      <c r="S523" s="10">
        <v>2.8444939554385086E-5</v>
      </c>
      <c r="T523" s="10">
        <v>3.1120410016322747E-5</v>
      </c>
      <c r="U523" s="10">
        <v>1.7217E-4</v>
      </c>
      <c r="V523" s="25"/>
      <c r="W523" s="25"/>
      <c r="X523" s="25"/>
      <c r="Y523" s="25"/>
      <c r="Z523" s="25"/>
      <c r="AA523" s="25"/>
    </row>
    <row r="524" spans="1:27" x14ac:dyDescent="0.35">
      <c r="A524" s="5">
        <v>520</v>
      </c>
      <c r="B524" s="5">
        <v>22</v>
      </c>
      <c r="C524" s="5">
        <v>1</v>
      </c>
      <c r="D524" s="25">
        <v>1.1415000000000001E-4</v>
      </c>
      <c r="E524" s="25">
        <v>1.0962E-4</v>
      </c>
      <c r="F524" s="25">
        <v>1.1539E-4</v>
      </c>
      <c r="G524" s="25">
        <v>1.6409000000000001E-4</v>
      </c>
      <c r="H524" s="25">
        <v>1.9372000000000001E-4</v>
      </c>
      <c r="I524" s="9">
        <v>1.4082E-4</v>
      </c>
      <c r="J524" s="9">
        <v>1.459E-4</v>
      </c>
      <c r="K524" s="9">
        <v>2.3948E-4</v>
      </c>
      <c r="L524" s="9">
        <v>1.8191E-4</v>
      </c>
      <c r="M524" s="9">
        <v>1.6658999999999999E-4</v>
      </c>
      <c r="N524" s="9">
        <v>1.6516E-4</v>
      </c>
      <c r="O524" s="9">
        <v>1.9960999999999999E-4</v>
      </c>
      <c r="P524" s="9">
        <v>1.5243E-4</v>
      </c>
      <c r="Q524" s="9">
        <v>1.0974E-4</v>
      </c>
      <c r="R524" s="10">
        <v>5.9817855231711079E-5</v>
      </c>
      <c r="S524" s="10">
        <v>2.3567146319725579E-5</v>
      </c>
      <c r="T524" s="10">
        <v>3.8612046342498587E-5</v>
      </c>
      <c r="U524" s="10">
        <v>1.7217E-4</v>
      </c>
      <c r="V524" s="25"/>
      <c r="W524" s="25"/>
      <c r="X524" s="25"/>
      <c r="Y524" s="25"/>
      <c r="Z524" s="25"/>
      <c r="AA524" s="25"/>
    </row>
    <row r="525" spans="1:27" x14ac:dyDescent="0.35">
      <c r="A525" s="5">
        <v>521</v>
      </c>
      <c r="B525" s="5">
        <v>22</v>
      </c>
      <c r="C525" s="5">
        <v>1</v>
      </c>
      <c r="D525" s="25">
        <v>1.1416E-4</v>
      </c>
      <c r="E525" s="25">
        <v>1.182E-4</v>
      </c>
      <c r="F525" s="25">
        <v>1.1987E-4</v>
      </c>
      <c r="G525" s="25">
        <v>1.5644000000000001E-4</v>
      </c>
      <c r="H525" s="25">
        <v>1.9982999999999999E-4</v>
      </c>
      <c r="I525" s="9">
        <v>1.4197999999999999E-4</v>
      </c>
      <c r="J525" s="9">
        <v>1.47E-4</v>
      </c>
      <c r="K525" s="9">
        <v>2.6491999999999998E-4</v>
      </c>
      <c r="L525" s="9">
        <v>1.9550000000000001E-4</v>
      </c>
      <c r="M525" s="9">
        <v>1.6134E-4</v>
      </c>
      <c r="N525" s="9">
        <v>1.5164000000000001E-4</v>
      </c>
      <c r="O525" s="9">
        <v>2.1680000000000001E-4</v>
      </c>
      <c r="P525" s="9">
        <v>1.5951E-4</v>
      </c>
      <c r="Q525" s="9">
        <v>1.0729E-4</v>
      </c>
      <c r="R525" s="10">
        <v>5.7419714399121159E-5</v>
      </c>
      <c r="S525" s="10">
        <v>2.1964464943897647E-5</v>
      </c>
      <c r="T525" s="10">
        <v>0</v>
      </c>
      <c r="U525" s="10">
        <v>1.7217E-4</v>
      </c>
      <c r="V525" s="25"/>
      <c r="W525" s="25"/>
      <c r="X525" s="25"/>
      <c r="Y525" s="25"/>
      <c r="Z525" s="25"/>
      <c r="AA525" s="25"/>
    </row>
    <row r="526" spans="1:27" x14ac:dyDescent="0.35">
      <c r="A526" s="5">
        <v>522</v>
      </c>
      <c r="B526" s="5">
        <v>22</v>
      </c>
      <c r="C526" s="5">
        <v>1</v>
      </c>
      <c r="D526" s="25">
        <v>1.1415000000000001E-4</v>
      </c>
      <c r="E526" s="25">
        <v>1.1105E-4</v>
      </c>
      <c r="F526" s="25">
        <v>1.2645000000000001E-4</v>
      </c>
      <c r="G526" s="25">
        <v>1.5658999999999999E-4</v>
      </c>
      <c r="H526" s="25">
        <v>1.9692000000000001E-4</v>
      </c>
      <c r="I526" s="9">
        <v>1.4892E-4</v>
      </c>
      <c r="J526" s="9">
        <v>1.5399000000000001E-4</v>
      </c>
      <c r="K526" s="9">
        <v>2.6067000000000001E-4</v>
      </c>
      <c r="L526" s="9">
        <v>2.1181999999999999E-4</v>
      </c>
      <c r="M526" s="9">
        <v>1.5924E-4</v>
      </c>
      <c r="N526" s="9">
        <v>1.3851E-4</v>
      </c>
      <c r="O526" s="9">
        <v>2.0777E-4</v>
      </c>
      <c r="P526" s="9">
        <v>1.6035999999999999E-4</v>
      </c>
      <c r="Q526" s="9">
        <v>1.1765E-4</v>
      </c>
      <c r="R526" s="10">
        <v>6.6070851590231827E-5</v>
      </c>
      <c r="S526" s="10">
        <v>2.3579931858335903E-5</v>
      </c>
      <c r="T526" s="10">
        <v>0</v>
      </c>
      <c r="U526" s="10">
        <v>1.7217E-4</v>
      </c>
      <c r="V526" s="25"/>
      <c r="W526" s="25"/>
      <c r="X526" s="25"/>
      <c r="Y526" s="25"/>
      <c r="Z526" s="25"/>
      <c r="AA526" s="25"/>
    </row>
    <row r="527" spans="1:27" x14ac:dyDescent="0.35">
      <c r="A527" s="5">
        <v>523</v>
      </c>
      <c r="B527" s="5">
        <v>22</v>
      </c>
      <c r="C527" s="5">
        <v>1</v>
      </c>
      <c r="D527" s="25">
        <v>1.1416E-4</v>
      </c>
      <c r="E527" s="25">
        <v>1.1333E-4</v>
      </c>
      <c r="F527" s="25">
        <v>1.194E-4</v>
      </c>
      <c r="G527" s="25">
        <v>1.1519999999999999E-4</v>
      </c>
      <c r="H527" s="25">
        <v>1.2664999999999999E-4</v>
      </c>
      <c r="I527" s="9">
        <v>1.4883E-4</v>
      </c>
      <c r="J527" s="9">
        <v>1.4943000000000001E-4</v>
      </c>
      <c r="K527" s="9">
        <v>2.7975E-4</v>
      </c>
      <c r="L527" s="9">
        <v>2.0824E-4</v>
      </c>
      <c r="M527" s="9">
        <v>1.5924999999999999E-4</v>
      </c>
      <c r="N527" s="9">
        <v>1.2961E-4</v>
      </c>
      <c r="O527" s="9">
        <v>1.6468E-4</v>
      </c>
      <c r="P527" s="9">
        <v>1.3370999999999999E-4</v>
      </c>
      <c r="Q527" s="9">
        <v>1.0613E-4</v>
      </c>
      <c r="R527" s="10">
        <v>7.6790581154955338E-5</v>
      </c>
      <c r="S527" s="10">
        <v>2.1281764904606541E-5</v>
      </c>
      <c r="T527" s="10">
        <v>0</v>
      </c>
      <c r="U527" s="10">
        <v>1.7217E-4</v>
      </c>
      <c r="V527" s="25"/>
      <c r="W527" s="25"/>
      <c r="X527" s="25"/>
      <c r="Y527" s="25"/>
      <c r="Z527" s="25"/>
      <c r="AA527" s="25"/>
    </row>
    <row r="528" spans="1:27" x14ac:dyDescent="0.35">
      <c r="A528" s="5">
        <v>524</v>
      </c>
      <c r="B528" s="5">
        <v>22</v>
      </c>
      <c r="C528" s="5">
        <v>1</v>
      </c>
      <c r="D528" s="25">
        <v>1.1415000000000001E-4</v>
      </c>
      <c r="E528" s="25">
        <v>1.1935E-4</v>
      </c>
      <c r="F528" s="25">
        <v>1.1302999999999999E-4</v>
      </c>
      <c r="G528" s="25">
        <v>1.1285000000000001E-4</v>
      </c>
      <c r="H528" s="25">
        <v>1.2761000000000001E-4</v>
      </c>
      <c r="I528" s="9">
        <v>1.4181E-4</v>
      </c>
      <c r="J528" s="9">
        <v>1.4365999999999999E-4</v>
      </c>
      <c r="K528" s="9">
        <v>2.9245999999999997E-4</v>
      </c>
      <c r="L528" s="9">
        <v>1.7445000000000001E-4</v>
      </c>
      <c r="M528" s="9">
        <v>1.5020999999999999E-4</v>
      </c>
      <c r="N528" s="9">
        <v>1.2046E-4</v>
      </c>
      <c r="O528" s="9">
        <v>1.2876000000000001E-4</v>
      </c>
      <c r="P528" s="9">
        <v>1.1369E-4</v>
      </c>
      <c r="Q528" s="9">
        <v>1.0085E-4</v>
      </c>
      <c r="R528" s="10">
        <v>7.8873931273142872E-5</v>
      </c>
      <c r="S528" s="10">
        <v>1.7004147455820569E-5</v>
      </c>
      <c r="T528" s="10">
        <v>0</v>
      </c>
      <c r="U528" s="10">
        <v>1.7217E-4</v>
      </c>
      <c r="V528" s="25"/>
      <c r="W528" s="25"/>
      <c r="X528" s="25"/>
      <c r="Y528" s="25"/>
      <c r="Z528" s="25"/>
      <c r="AA528" s="25"/>
    </row>
    <row r="529" spans="1:27" x14ac:dyDescent="0.35">
      <c r="A529" s="5">
        <v>525</v>
      </c>
      <c r="B529" s="5">
        <v>22</v>
      </c>
      <c r="C529" s="5">
        <v>1</v>
      </c>
      <c r="D529" s="25">
        <v>1.1416E-4</v>
      </c>
      <c r="E529" s="25">
        <v>1.1547E-4</v>
      </c>
      <c r="F529" s="25">
        <v>1.0703E-4</v>
      </c>
      <c r="G529" s="25">
        <v>5.876E-5</v>
      </c>
      <c r="H529" s="25">
        <v>7.5690000000000002E-5</v>
      </c>
      <c r="I529" s="9">
        <v>1.3475E-4</v>
      </c>
      <c r="J529" s="9">
        <v>1.3650000000000001E-4</v>
      </c>
      <c r="K529" s="9">
        <v>2.8186999999999998E-4</v>
      </c>
      <c r="L529" s="9">
        <v>1.3986000000000001E-4</v>
      </c>
      <c r="M529" s="9">
        <v>1.3451000000000001E-4</v>
      </c>
      <c r="N529" s="9">
        <v>1.1268999999999999E-4</v>
      </c>
      <c r="O529" s="9">
        <v>8.5450000000000003E-5</v>
      </c>
      <c r="P529" s="9">
        <v>8.6550000000000003E-5</v>
      </c>
      <c r="Q529" s="9">
        <v>8.8560000000000006E-5</v>
      </c>
      <c r="R529" s="10">
        <v>7.5160631479642562E-5</v>
      </c>
      <c r="S529" s="10">
        <v>1.443411852181488E-5</v>
      </c>
      <c r="T529" s="10">
        <v>0</v>
      </c>
      <c r="U529" s="10">
        <v>1.7217E-4</v>
      </c>
      <c r="V529" s="25"/>
      <c r="W529" s="25"/>
      <c r="X529" s="25"/>
      <c r="Y529" s="25"/>
      <c r="Z529" s="25"/>
      <c r="AA529" s="25"/>
    </row>
    <row r="530" spans="1:27" x14ac:dyDescent="0.35">
      <c r="A530" s="5">
        <v>526</v>
      </c>
      <c r="B530" s="5">
        <v>22</v>
      </c>
      <c r="C530" s="5">
        <v>1</v>
      </c>
      <c r="D530" s="25">
        <v>1.1415000000000001E-4</v>
      </c>
      <c r="E530" s="25">
        <v>1.1817E-4</v>
      </c>
      <c r="F530" s="25">
        <v>1.2320000000000001E-4</v>
      </c>
      <c r="G530" s="25">
        <v>5.8289999999999999E-5</v>
      </c>
      <c r="H530" s="25">
        <v>6.5149999999999998E-5</v>
      </c>
      <c r="I530" s="9">
        <v>1.2863999999999999E-4</v>
      </c>
      <c r="J530" s="9">
        <v>1.2781000000000001E-4</v>
      </c>
      <c r="K530" s="9">
        <v>3.0729999999999999E-4</v>
      </c>
      <c r="L530" s="9">
        <v>9.8350000000000005E-5</v>
      </c>
      <c r="M530" s="9">
        <v>1.1322E-4</v>
      </c>
      <c r="N530" s="9">
        <v>1.0524E-4</v>
      </c>
      <c r="O530" s="9">
        <v>8.7189999999999997E-5</v>
      </c>
      <c r="P530" s="9">
        <v>8.6860000000000005E-5</v>
      </c>
      <c r="Q530" s="9">
        <v>8.7499999999999999E-5</v>
      </c>
      <c r="R530" s="10">
        <v>7.6593990200679268E-5</v>
      </c>
      <c r="S530" s="10">
        <v>1.241895093805388E-5</v>
      </c>
      <c r="T530" s="10">
        <v>0</v>
      </c>
      <c r="U530" s="10">
        <v>1.7217E-4</v>
      </c>
      <c r="V530" s="25"/>
      <c r="W530" s="25"/>
      <c r="X530" s="25"/>
      <c r="Y530" s="25"/>
      <c r="Z530" s="25"/>
      <c r="AA530" s="25"/>
    </row>
    <row r="531" spans="1:27" x14ac:dyDescent="0.35">
      <c r="A531" s="5">
        <v>527</v>
      </c>
      <c r="B531" s="5">
        <v>22</v>
      </c>
      <c r="C531" s="5">
        <v>1</v>
      </c>
      <c r="D531" s="25">
        <v>1.1416E-4</v>
      </c>
      <c r="E531" s="25">
        <v>1.2008E-4</v>
      </c>
      <c r="F531" s="25">
        <v>1.1771E-4</v>
      </c>
      <c r="G531" s="25">
        <v>5.7070000000000001E-5</v>
      </c>
      <c r="H531" s="25">
        <v>7.6500000000000003E-5</v>
      </c>
      <c r="I531" s="9">
        <v>1.3161E-4</v>
      </c>
      <c r="J531" s="9">
        <v>1.1966E-4</v>
      </c>
      <c r="K531" s="9">
        <v>3.1154000000000002E-4</v>
      </c>
      <c r="L531" s="9">
        <v>9.056E-5</v>
      </c>
      <c r="M531" s="9">
        <v>9.8540000000000002E-5</v>
      </c>
      <c r="N531" s="9">
        <v>9.9350000000000003E-5</v>
      </c>
      <c r="O531" s="9">
        <v>7.8640000000000006E-5</v>
      </c>
      <c r="P531" s="9">
        <v>7.2520000000000004E-5</v>
      </c>
      <c r="Q531" s="9">
        <v>6.7249999999999995E-5</v>
      </c>
      <c r="R531" s="10">
        <v>7.8282127451406207E-5</v>
      </c>
      <c r="S531" s="10">
        <v>9.3012450101750643E-6</v>
      </c>
      <c r="T531" s="10">
        <v>0</v>
      </c>
      <c r="U531" s="10">
        <v>1.7217E-4</v>
      </c>
      <c r="V531" s="25"/>
      <c r="W531" s="25"/>
      <c r="X531" s="25"/>
      <c r="Y531" s="25"/>
      <c r="Z531" s="25"/>
      <c r="AA531" s="25"/>
    </row>
    <row r="532" spans="1:27" x14ac:dyDescent="0.35">
      <c r="A532" s="5">
        <v>528</v>
      </c>
      <c r="B532" s="5">
        <v>22</v>
      </c>
      <c r="C532" s="5">
        <v>1</v>
      </c>
      <c r="D532" s="25">
        <v>1.1415000000000001E-4</v>
      </c>
      <c r="E532" s="25">
        <v>1.0997000000000001E-4</v>
      </c>
      <c r="F532" s="25">
        <v>1.0998E-4</v>
      </c>
      <c r="G532" s="25">
        <v>5.346E-5</v>
      </c>
      <c r="H532" s="25">
        <v>6.7050000000000003E-5</v>
      </c>
      <c r="I532" s="9">
        <v>1.3206000000000001E-4</v>
      </c>
      <c r="J532" s="9">
        <v>1.1294E-4</v>
      </c>
      <c r="K532" s="9">
        <v>3.3909000000000001E-4</v>
      </c>
      <c r="L532" s="9">
        <v>8.1269999999999999E-5</v>
      </c>
      <c r="M532" s="9">
        <v>8.5929999999999999E-5</v>
      </c>
      <c r="N532" s="9">
        <v>9.0240000000000003E-5</v>
      </c>
      <c r="O532" s="9">
        <v>6.2390000000000004E-5</v>
      </c>
      <c r="P532" s="9">
        <v>6.02E-5</v>
      </c>
      <c r="Q532" s="9">
        <v>5.8400000000000003E-5</v>
      </c>
      <c r="R532" s="10">
        <v>7.269069521959226E-5</v>
      </c>
      <c r="S532" s="10">
        <v>6.1590155776989393E-6</v>
      </c>
      <c r="T532" s="10">
        <v>0</v>
      </c>
      <c r="U532" s="10">
        <v>1.7217E-4</v>
      </c>
      <c r="V532" s="25"/>
      <c r="W532" s="25"/>
      <c r="X532" s="25"/>
      <c r="Y532" s="25"/>
      <c r="Z532" s="25"/>
      <c r="AA532" s="25"/>
    </row>
    <row r="533" spans="1:27" x14ac:dyDescent="0.35">
      <c r="A533" s="5">
        <v>529</v>
      </c>
      <c r="B533" s="5">
        <v>23</v>
      </c>
      <c r="C533" s="5">
        <v>1</v>
      </c>
      <c r="D533" s="25">
        <v>1.1416E-4</v>
      </c>
      <c r="E533" s="25">
        <v>1.2364E-4</v>
      </c>
      <c r="F533" s="25">
        <v>1.1542E-4</v>
      </c>
      <c r="G533" s="25">
        <v>6.1779999999999995E-5</v>
      </c>
      <c r="H533" s="25">
        <v>7.3330000000000004E-5</v>
      </c>
      <c r="I533" s="9">
        <v>1.2598000000000001E-4</v>
      </c>
      <c r="J533" s="9">
        <v>1.0595E-4</v>
      </c>
      <c r="K533" s="9">
        <v>3.4120999999999999E-4</v>
      </c>
      <c r="L533" s="9">
        <v>6.6530000000000002E-5</v>
      </c>
      <c r="M533" s="9">
        <v>7.3780000000000002E-5</v>
      </c>
      <c r="N533" s="9">
        <v>8.0840000000000005E-5</v>
      </c>
      <c r="O533" s="9">
        <v>5.4580000000000003E-5</v>
      </c>
      <c r="P533" s="9">
        <v>5.3990000000000003E-5</v>
      </c>
      <c r="Q533" s="9">
        <v>5.3569999999999997E-5</v>
      </c>
      <c r="R533" s="10">
        <v>6.4606343644049629E-5</v>
      </c>
      <c r="S533" s="10">
        <v>5.4273060072733375E-6</v>
      </c>
      <c r="T533" s="10">
        <v>0</v>
      </c>
      <c r="U533" s="10">
        <v>1.6904999999999999E-4</v>
      </c>
      <c r="V533" s="25"/>
      <c r="W533" s="25"/>
      <c r="X533" s="25"/>
      <c r="Y533" s="25"/>
      <c r="Z533" s="25"/>
      <c r="AA533" s="25"/>
    </row>
    <row r="534" spans="1:27" x14ac:dyDescent="0.35">
      <c r="A534" s="5">
        <v>530</v>
      </c>
      <c r="B534" s="5">
        <v>23</v>
      </c>
      <c r="C534" s="5">
        <v>1</v>
      </c>
      <c r="D534" s="25">
        <v>1.1415000000000001E-4</v>
      </c>
      <c r="E534" s="25">
        <v>1.2436000000000001E-4</v>
      </c>
      <c r="F534" s="25">
        <v>1.098E-4</v>
      </c>
      <c r="G534" s="25">
        <v>5.6700000000000003E-5</v>
      </c>
      <c r="H534" s="25">
        <v>7.5110000000000004E-5</v>
      </c>
      <c r="I534" s="9">
        <v>1.1985E-4</v>
      </c>
      <c r="J534" s="9">
        <v>9.9920000000000006E-5</v>
      </c>
      <c r="K534" s="9">
        <v>3.4757000000000001E-4</v>
      </c>
      <c r="L534" s="9">
        <v>5.7599999999999997E-5</v>
      </c>
      <c r="M534" s="9">
        <v>6.3759999999999999E-5</v>
      </c>
      <c r="N534" s="9">
        <v>7.1860000000000007E-5</v>
      </c>
      <c r="O534" s="9">
        <v>1.8300000000000001E-5</v>
      </c>
      <c r="P534" s="9">
        <v>3.782E-5</v>
      </c>
      <c r="Q534" s="9">
        <v>5.6280000000000003E-5</v>
      </c>
      <c r="R534" s="10">
        <v>5.6853825014493841E-5</v>
      </c>
      <c r="S534" s="10">
        <v>4.4944808763388543E-6</v>
      </c>
      <c r="T534" s="10">
        <v>0</v>
      </c>
      <c r="U534" s="10">
        <v>1.6904999999999999E-4</v>
      </c>
      <c r="V534" s="25"/>
      <c r="W534" s="25"/>
      <c r="X534" s="25"/>
      <c r="Y534" s="25"/>
      <c r="Z534" s="25"/>
      <c r="AA534" s="25"/>
    </row>
    <row r="535" spans="1:27" x14ac:dyDescent="0.35">
      <c r="A535" s="5">
        <v>531</v>
      </c>
      <c r="B535" s="5">
        <v>23</v>
      </c>
      <c r="C535" s="5">
        <v>1</v>
      </c>
      <c r="D535" s="25">
        <v>1.1416E-4</v>
      </c>
      <c r="E535" s="25">
        <v>1.2249E-4</v>
      </c>
      <c r="F535" s="25">
        <v>1.2354999999999999E-4</v>
      </c>
      <c r="G535" s="25">
        <v>6.2529999999999999E-5</v>
      </c>
      <c r="H535" s="25">
        <v>7.2689999999999997E-5</v>
      </c>
      <c r="I535" s="9">
        <v>1.1478E-4</v>
      </c>
      <c r="J535" s="9">
        <v>9.6490000000000006E-5</v>
      </c>
      <c r="K535" s="9">
        <v>3.3909000000000001E-4</v>
      </c>
      <c r="L535" s="9">
        <v>2.7149999999999999E-5</v>
      </c>
      <c r="M535" s="9">
        <v>5.2139999999999999E-5</v>
      </c>
      <c r="N535" s="9">
        <v>6.5389999999999996E-5</v>
      </c>
      <c r="O535" s="9">
        <v>1.2649999999999999E-5</v>
      </c>
      <c r="P535" s="9">
        <v>3.765E-5</v>
      </c>
      <c r="Q535" s="9">
        <v>6.1370000000000004E-5</v>
      </c>
      <c r="R535" s="10">
        <v>5.0878343865027493E-5</v>
      </c>
      <c r="S535" s="10">
        <v>3.9182105452050866E-6</v>
      </c>
      <c r="T535" s="10">
        <v>0</v>
      </c>
      <c r="U535" s="10">
        <v>1.6904999999999999E-4</v>
      </c>
      <c r="V535" s="25"/>
      <c r="W535" s="25"/>
      <c r="X535" s="25"/>
      <c r="Y535" s="25"/>
      <c r="Z535" s="25"/>
      <c r="AA535" s="25"/>
    </row>
    <row r="536" spans="1:27" x14ac:dyDescent="0.35">
      <c r="A536" s="5">
        <v>532</v>
      </c>
      <c r="B536" s="5">
        <v>23</v>
      </c>
      <c r="C536" s="5">
        <v>1</v>
      </c>
      <c r="D536" s="25">
        <v>1.1415000000000001E-4</v>
      </c>
      <c r="E536" s="25">
        <v>1.1573E-4</v>
      </c>
      <c r="F536" s="25">
        <v>1.0794999999999999E-4</v>
      </c>
      <c r="G536" s="25">
        <v>6.0819999999999997E-5</v>
      </c>
      <c r="H536" s="25">
        <v>6.6229999999999994E-5</v>
      </c>
      <c r="I536" s="9">
        <v>1.1014E-4</v>
      </c>
      <c r="J536" s="9">
        <v>9.4749999999999999E-5</v>
      </c>
      <c r="K536" s="9">
        <v>3.5180999999999998E-4</v>
      </c>
      <c r="L536" s="9">
        <v>1.6589999999999999E-5</v>
      </c>
      <c r="M536" s="9">
        <v>4.4150000000000003E-5</v>
      </c>
      <c r="N536" s="9">
        <v>6.1829999999999996E-5</v>
      </c>
      <c r="O536" s="9">
        <v>1.2819999999999999E-5</v>
      </c>
      <c r="P536" s="9">
        <v>4.7670000000000003E-5</v>
      </c>
      <c r="Q536" s="9">
        <v>8.1080000000000003E-5</v>
      </c>
      <c r="R536" s="10">
        <v>4.5174474455811463E-5</v>
      </c>
      <c r="S536" s="10">
        <v>5.2158361878355762E-6</v>
      </c>
      <c r="T536" s="10">
        <v>0</v>
      </c>
      <c r="U536" s="10">
        <v>1.6904999999999999E-4</v>
      </c>
      <c r="V536" s="25"/>
      <c r="W536" s="25"/>
      <c r="X536" s="25"/>
      <c r="Y536" s="25"/>
      <c r="Z536" s="25"/>
      <c r="AA536" s="25"/>
    </row>
    <row r="537" spans="1:27" x14ac:dyDescent="0.35">
      <c r="A537" s="5">
        <v>533</v>
      </c>
      <c r="B537" s="5">
        <v>23</v>
      </c>
      <c r="C537" s="5">
        <v>1</v>
      </c>
      <c r="D537" s="25">
        <v>1.1416E-4</v>
      </c>
      <c r="E537" s="25">
        <v>1.1459999999999999E-4</v>
      </c>
      <c r="F537" s="25">
        <v>1.1968000000000001E-4</v>
      </c>
      <c r="G537" s="25">
        <v>5.3529999999999997E-5</v>
      </c>
      <c r="H537" s="25">
        <v>7.6359999999999994E-5</v>
      </c>
      <c r="I537" s="9">
        <v>1.0753E-4</v>
      </c>
      <c r="J537" s="9">
        <v>9.4259999999999995E-5</v>
      </c>
      <c r="K537" s="9">
        <v>3.5392000000000003E-4</v>
      </c>
      <c r="L537" s="9">
        <v>1.3900000000000001E-5</v>
      </c>
      <c r="M537" s="9">
        <v>4.3619999999999999E-5</v>
      </c>
      <c r="N537" s="9">
        <v>6.4540000000000002E-5</v>
      </c>
      <c r="O537" s="9">
        <v>1.825E-5</v>
      </c>
      <c r="P537" s="9">
        <v>5.6589999999999999E-5</v>
      </c>
      <c r="Q537" s="9">
        <v>9.357E-5</v>
      </c>
      <c r="R537" s="10">
        <v>4.5107298535737791E-5</v>
      </c>
      <c r="S537" s="10">
        <v>7.4808520025125972E-6</v>
      </c>
      <c r="T537" s="10">
        <v>0</v>
      </c>
      <c r="U537" s="10">
        <v>1.6904999999999999E-4</v>
      </c>
      <c r="V537" s="25"/>
      <c r="W537" s="25"/>
      <c r="X537" s="25"/>
      <c r="Y537" s="25"/>
      <c r="Z537" s="25"/>
      <c r="AA537" s="25"/>
    </row>
    <row r="538" spans="1:27" x14ac:dyDescent="0.35">
      <c r="A538" s="5">
        <v>534</v>
      </c>
      <c r="B538" s="5">
        <v>23</v>
      </c>
      <c r="C538" s="5">
        <v>1</v>
      </c>
      <c r="D538" s="25">
        <v>1.1415000000000001E-4</v>
      </c>
      <c r="E538" s="25">
        <v>1.2213E-4</v>
      </c>
      <c r="F538" s="25">
        <v>1.1297E-4</v>
      </c>
      <c r="G538" s="25">
        <v>1.0774E-4</v>
      </c>
      <c r="H538" s="25">
        <v>1.3959000000000001E-4</v>
      </c>
      <c r="I538" s="9">
        <v>1.0729E-4</v>
      </c>
      <c r="J538" s="9">
        <v>9.5370000000000003E-5</v>
      </c>
      <c r="K538" s="9">
        <v>3.5816999999999999E-4</v>
      </c>
      <c r="L538" s="9">
        <v>1.7159999999999998E-5</v>
      </c>
      <c r="M538" s="9">
        <v>4.85E-5</v>
      </c>
      <c r="N538" s="9">
        <v>7.1099999999999994E-5</v>
      </c>
      <c r="O538" s="9">
        <v>4.6100000000000002E-5</v>
      </c>
      <c r="P538" s="9">
        <v>7.6769999999999999E-5</v>
      </c>
      <c r="Q538" s="9">
        <v>1.0691E-4</v>
      </c>
      <c r="R538" s="10">
        <v>4.2910608093897347E-5</v>
      </c>
      <c r="S538" s="10">
        <v>1.0832412492443669E-5</v>
      </c>
      <c r="T538" s="10">
        <v>0</v>
      </c>
      <c r="U538" s="10">
        <v>1.6904999999999999E-4</v>
      </c>
      <c r="V538" s="25"/>
      <c r="W538" s="25"/>
      <c r="X538" s="25"/>
      <c r="Y538" s="25"/>
      <c r="Z538" s="25"/>
      <c r="AA538" s="25"/>
    </row>
    <row r="539" spans="1:27" x14ac:dyDescent="0.35">
      <c r="A539" s="5">
        <v>535</v>
      </c>
      <c r="B539" s="5">
        <v>23</v>
      </c>
      <c r="C539" s="5">
        <v>1</v>
      </c>
      <c r="D539" s="25">
        <v>1.1416E-4</v>
      </c>
      <c r="E539" s="25">
        <v>1.2242000000000001E-4</v>
      </c>
      <c r="F539" s="25">
        <v>1.2402E-4</v>
      </c>
      <c r="G539" s="25">
        <v>1.153E-4</v>
      </c>
      <c r="H539" s="25">
        <v>1.373E-4</v>
      </c>
      <c r="I539" s="9">
        <v>1.0966E-4</v>
      </c>
      <c r="J539" s="9">
        <v>9.9669999999999999E-5</v>
      </c>
      <c r="K539" s="9">
        <v>3.5393000000000002E-4</v>
      </c>
      <c r="L539" s="9">
        <v>3.9589999999999999E-5</v>
      </c>
      <c r="M539" s="9">
        <v>6.0059999999999998E-5</v>
      </c>
      <c r="N539" s="9">
        <v>8.0779999999999996E-5</v>
      </c>
      <c r="O539" s="9">
        <v>1.2352000000000001E-4</v>
      </c>
      <c r="P539" s="9">
        <v>1.1663E-4</v>
      </c>
      <c r="Q539" s="9">
        <v>1.1173E-4</v>
      </c>
      <c r="R539" s="10">
        <v>4.0820586943844444E-5</v>
      </c>
      <c r="S539" s="10">
        <v>1.5911117698855203E-5</v>
      </c>
      <c r="T539" s="10">
        <v>0</v>
      </c>
      <c r="U539" s="10">
        <v>1.6904999999999999E-4</v>
      </c>
      <c r="V539" s="25"/>
      <c r="W539" s="25"/>
      <c r="X539" s="25"/>
      <c r="Y539" s="25"/>
      <c r="Z539" s="25"/>
      <c r="AA539" s="25"/>
    </row>
    <row r="540" spans="1:27" x14ac:dyDescent="0.35">
      <c r="A540" s="5">
        <v>536</v>
      </c>
      <c r="B540" s="5">
        <v>23</v>
      </c>
      <c r="C540" s="5">
        <v>1</v>
      </c>
      <c r="D540" s="25">
        <v>1.1415000000000001E-4</v>
      </c>
      <c r="E540" s="25">
        <v>1.1525E-4</v>
      </c>
      <c r="F540" s="25">
        <v>1.2186E-4</v>
      </c>
      <c r="G540" s="25">
        <v>1.6016000000000001E-4</v>
      </c>
      <c r="H540" s="25">
        <v>1.9237E-4</v>
      </c>
      <c r="I540" s="9">
        <v>1.1362999999999999E-4</v>
      </c>
      <c r="J540" s="9">
        <v>1.0762E-4</v>
      </c>
      <c r="K540" s="9">
        <v>3.4331999999999999E-4</v>
      </c>
      <c r="L540" s="9">
        <v>1.0443E-4</v>
      </c>
      <c r="M540" s="9">
        <v>8.3399999999999994E-5</v>
      </c>
      <c r="N540" s="9">
        <v>9.0710000000000004E-5</v>
      </c>
      <c r="O540" s="9">
        <v>2.2123999999999999E-4</v>
      </c>
      <c r="P540" s="9">
        <v>1.7616999999999999E-4</v>
      </c>
      <c r="Q540" s="9">
        <v>1.3609000000000001E-4</v>
      </c>
      <c r="R540" s="10">
        <v>3.5194346253224696E-5</v>
      </c>
      <c r="S540" s="10">
        <v>2.2725586951937317E-5</v>
      </c>
      <c r="T540" s="10">
        <v>0</v>
      </c>
      <c r="U540" s="10">
        <v>1.6904999999999999E-4</v>
      </c>
      <c r="V540" s="25"/>
      <c r="W540" s="25"/>
      <c r="X540" s="25"/>
      <c r="Y540" s="25"/>
      <c r="Z540" s="25"/>
      <c r="AA540" s="25"/>
    </row>
    <row r="541" spans="1:27" x14ac:dyDescent="0.35">
      <c r="A541" s="5">
        <v>537</v>
      </c>
      <c r="B541" s="5">
        <v>23</v>
      </c>
      <c r="C541" s="5">
        <v>1</v>
      </c>
      <c r="D541" s="25">
        <v>1.1416E-4</v>
      </c>
      <c r="E541" s="25">
        <v>1.1496E-4</v>
      </c>
      <c r="F541" s="25">
        <v>1.2808000000000001E-4</v>
      </c>
      <c r="G541" s="25">
        <v>1.6224999999999999E-4</v>
      </c>
      <c r="H541" s="25">
        <v>1.9123E-4</v>
      </c>
      <c r="I541" s="9">
        <v>1.2052E-4</v>
      </c>
      <c r="J541" s="9">
        <v>1.1624E-4</v>
      </c>
      <c r="K541" s="9">
        <v>2.9881999999999999E-4</v>
      </c>
      <c r="L541" s="9">
        <v>1.9377000000000001E-4</v>
      </c>
      <c r="M541" s="9">
        <v>1.2282999999999999E-4</v>
      </c>
      <c r="N541" s="9">
        <v>1.0432E-4</v>
      </c>
      <c r="O541" s="9">
        <v>2.1415E-4</v>
      </c>
      <c r="P541" s="9">
        <v>1.9343E-4</v>
      </c>
      <c r="Q541" s="9">
        <v>1.7715E-4</v>
      </c>
      <c r="R541" s="10">
        <v>2.0938592598058012E-5</v>
      </c>
      <c r="S541" s="10">
        <v>3.0640023800635533E-5</v>
      </c>
      <c r="T541" s="10">
        <v>1.705344169378646E-5</v>
      </c>
      <c r="U541" s="10">
        <v>1.6904999999999999E-4</v>
      </c>
      <c r="V541" s="25"/>
      <c r="W541" s="25"/>
      <c r="X541" s="25"/>
      <c r="Y541" s="25"/>
      <c r="Z541" s="25"/>
      <c r="AA541" s="25"/>
    </row>
    <row r="542" spans="1:27" x14ac:dyDescent="0.35">
      <c r="A542" s="5">
        <v>538</v>
      </c>
      <c r="B542" s="5">
        <v>23</v>
      </c>
      <c r="C542" s="5">
        <v>1</v>
      </c>
      <c r="D542" s="25">
        <v>1.1415000000000001E-4</v>
      </c>
      <c r="E542" s="25">
        <v>1.1333E-4</v>
      </c>
      <c r="F542" s="25">
        <v>1.2187E-4</v>
      </c>
      <c r="G542" s="25">
        <v>1.5634000000000001E-4</v>
      </c>
      <c r="H542" s="25">
        <v>1.9932000000000001E-4</v>
      </c>
      <c r="I542" s="9">
        <v>1.2612999999999999E-4</v>
      </c>
      <c r="J542" s="9">
        <v>1.2331000000000001E-4</v>
      </c>
      <c r="K542" s="9">
        <v>2.4583999999999999E-4</v>
      </c>
      <c r="L542" s="9">
        <v>2.0731999999999999E-4</v>
      </c>
      <c r="M542" s="9">
        <v>1.5825E-4</v>
      </c>
      <c r="N542" s="9">
        <v>1.2438E-4</v>
      </c>
      <c r="O542" s="9">
        <v>1.6775000000000001E-4</v>
      </c>
      <c r="P542" s="9">
        <v>1.7280999999999999E-4</v>
      </c>
      <c r="Q542" s="9">
        <v>1.8075E-4</v>
      </c>
      <c r="R542" s="10">
        <v>9.8185686092011765E-6</v>
      </c>
      <c r="S542" s="10">
        <v>4.3475652153770263E-5</v>
      </c>
      <c r="T542" s="10">
        <v>7.4882426064357859E-5</v>
      </c>
      <c r="U542" s="10">
        <v>1.6904999999999999E-4</v>
      </c>
      <c r="V542" s="25"/>
      <c r="W542" s="25"/>
      <c r="X542" s="25"/>
      <c r="Y542" s="25"/>
      <c r="Z542" s="25"/>
      <c r="AA542" s="25"/>
    </row>
    <row r="543" spans="1:27" x14ac:dyDescent="0.35">
      <c r="A543" s="5">
        <v>539</v>
      </c>
      <c r="B543" s="5">
        <v>23</v>
      </c>
      <c r="C543" s="5">
        <v>1</v>
      </c>
      <c r="D543" s="25">
        <v>1.1416E-4</v>
      </c>
      <c r="E543" s="25">
        <v>1.1836E-4</v>
      </c>
      <c r="F543" s="25">
        <v>1.1082999999999999E-4</v>
      </c>
      <c r="G543" s="25">
        <v>1.6270999999999999E-4</v>
      </c>
      <c r="H543" s="25">
        <v>1.8924E-4</v>
      </c>
      <c r="I543" s="9">
        <v>1.3017000000000001E-4</v>
      </c>
      <c r="J543" s="9">
        <v>1.2632999999999999E-4</v>
      </c>
      <c r="K543" s="9">
        <v>1.9922000000000001E-4</v>
      </c>
      <c r="L543" s="9">
        <v>1.7650000000000001E-4</v>
      </c>
      <c r="M543" s="9">
        <v>1.7170999999999999E-4</v>
      </c>
      <c r="N543" s="9">
        <v>1.4218999999999999E-4</v>
      </c>
      <c r="O543" s="9">
        <v>1.6975000000000001E-4</v>
      </c>
      <c r="P543" s="9">
        <v>1.7351000000000001E-4</v>
      </c>
      <c r="Q543" s="9">
        <v>1.8022000000000001E-4</v>
      </c>
      <c r="R543" s="10">
        <v>4.1878481631232622E-6</v>
      </c>
      <c r="S543" s="10">
        <v>6.5169083970653035E-5</v>
      </c>
      <c r="T543" s="10">
        <v>5.9313736756846333E-5</v>
      </c>
      <c r="U543" s="10">
        <v>1.6904999999999999E-4</v>
      </c>
      <c r="V543" s="25"/>
      <c r="W543" s="25"/>
      <c r="X543" s="25"/>
      <c r="Y543" s="25"/>
      <c r="Z543" s="25"/>
      <c r="AA543" s="25"/>
    </row>
    <row r="544" spans="1:27" x14ac:dyDescent="0.35">
      <c r="A544" s="5">
        <v>540</v>
      </c>
      <c r="B544" s="5">
        <v>23</v>
      </c>
      <c r="C544" s="5">
        <v>1</v>
      </c>
      <c r="D544" s="25">
        <v>1.1415000000000001E-4</v>
      </c>
      <c r="E544" s="25">
        <v>1.2302999999999999E-4</v>
      </c>
      <c r="F544" s="25">
        <v>1.0739999999999999E-4</v>
      </c>
      <c r="G544" s="25">
        <v>1.6071999999999999E-4</v>
      </c>
      <c r="H544" s="25">
        <v>1.9794999999999999E-4</v>
      </c>
      <c r="I544" s="9">
        <v>1.316E-4</v>
      </c>
      <c r="J544" s="9">
        <v>1.2590999999999999E-4</v>
      </c>
      <c r="K544" s="9">
        <v>1.7589999999999999E-4</v>
      </c>
      <c r="L544" s="9">
        <v>1.727E-4</v>
      </c>
      <c r="M544" s="9">
        <v>1.7459999999999999E-4</v>
      </c>
      <c r="N544" s="9">
        <v>1.5647999999999999E-4</v>
      </c>
      <c r="O544" s="9">
        <v>1.7315000000000001E-4</v>
      </c>
      <c r="P544" s="9">
        <v>1.7275E-4</v>
      </c>
      <c r="Q544" s="9">
        <v>1.7543999999999999E-4</v>
      </c>
      <c r="R544" s="10">
        <v>3.4552212570068681E-6</v>
      </c>
      <c r="S544" s="10">
        <v>9.4623110459132785E-5</v>
      </c>
      <c r="T544" s="10">
        <v>7.0394231708132462E-5</v>
      </c>
      <c r="U544" s="10">
        <v>1.6904999999999999E-4</v>
      </c>
      <c r="V544" s="25"/>
      <c r="W544" s="25"/>
      <c r="X544" s="25"/>
      <c r="Y544" s="25"/>
      <c r="Z544" s="25"/>
      <c r="AA544" s="25"/>
    </row>
    <row r="545" spans="1:27" x14ac:dyDescent="0.35">
      <c r="A545" s="5">
        <v>541</v>
      </c>
      <c r="B545" s="5">
        <v>23</v>
      </c>
      <c r="C545" s="5">
        <v>1</v>
      </c>
      <c r="D545" s="25">
        <v>1.1416E-4</v>
      </c>
      <c r="E545" s="25">
        <v>1.2307999999999999E-4</v>
      </c>
      <c r="F545" s="25">
        <v>1.1972E-4</v>
      </c>
      <c r="G545" s="25">
        <v>1.6553999999999999E-4</v>
      </c>
      <c r="H545" s="25">
        <v>1.9452E-4</v>
      </c>
      <c r="I545" s="9">
        <v>1.3197999999999999E-4</v>
      </c>
      <c r="J545" s="9">
        <v>1.2458E-4</v>
      </c>
      <c r="K545" s="9">
        <v>1.8650000000000001E-4</v>
      </c>
      <c r="L545" s="9">
        <v>1.7318999999999999E-4</v>
      </c>
      <c r="M545" s="9">
        <v>1.7421E-4</v>
      </c>
      <c r="N545" s="9">
        <v>1.6631E-4</v>
      </c>
      <c r="O545" s="9">
        <v>1.6490999999999999E-4</v>
      </c>
      <c r="P545" s="9">
        <v>1.6547E-4</v>
      </c>
      <c r="Q545" s="9">
        <v>1.6890000000000001E-4</v>
      </c>
      <c r="R545" s="10">
        <v>3.8313283032039595E-6</v>
      </c>
      <c r="S545" s="10">
        <v>1.1013152397065525E-4</v>
      </c>
      <c r="T545" s="10">
        <v>4.2701478629267286E-5</v>
      </c>
      <c r="U545" s="10">
        <v>1.6904999999999999E-4</v>
      </c>
      <c r="V545" s="25"/>
      <c r="W545" s="25"/>
      <c r="X545" s="25"/>
      <c r="Y545" s="25"/>
      <c r="Z545" s="25"/>
      <c r="AA545" s="25"/>
    </row>
    <row r="546" spans="1:27" x14ac:dyDescent="0.35">
      <c r="A546" s="5">
        <v>542</v>
      </c>
      <c r="B546" s="5">
        <v>23</v>
      </c>
      <c r="C546" s="5">
        <v>1</v>
      </c>
      <c r="D546" s="25">
        <v>1.1415000000000001E-4</v>
      </c>
      <c r="E546" s="25">
        <v>1.2149E-4</v>
      </c>
      <c r="F546" s="25">
        <v>1.0811000000000001E-4</v>
      </c>
      <c r="G546" s="25">
        <v>1.5846E-4</v>
      </c>
      <c r="H546" s="25">
        <v>1.9856E-4</v>
      </c>
      <c r="I546" s="9">
        <v>1.2968999999999999E-4</v>
      </c>
      <c r="J546" s="9">
        <v>1.2273000000000001E-4</v>
      </c>
      <c r="K546" s="9">
        <v>2.0133999999999999E-4</v>
      </c>
      <c r="L546" s="9">
        <v>1.6644000000000001E-4</v>
      </c>
      <c r="M546" s="9">
        <v>1.7092999999999999E-4</v>
      </c>
      <c r="N546" s="9">
        <v>1.7100000000000001E-4</v>
      </c>
      <c r="O546" s="9">
        <v>1.8052000000000001E-4</v>
      </c>
      <c r="P546" s="9">
        <v>1.6903E-4</v>
      </c>
      <c r="Q546" s="9">
        <v>1.6098999999999999E-4</v>
      </c>
      <c r="R546" s="10">
        <v>2.2112777390115677E-6</v>
      </c>
      <c r="S546" s="10">
        <v>1.1916589142128491E-4</v>
      </c>
      <c r="T546" s="10">
        <v>4.4186231015542227E-5</v>
      </c>
      <c r="U546" s="10">
        <v>1.6904999999999999E-4</v>
      </c>
      <c r="V546" s="25"/>
      <c r="W546" s="25"/>
      <c r="X546" s="25"/>
      <c r="Y546" s="25"/>
      <c r="Z546" s="25"/>
      <c r="AA546" s="25"/>
    </row>
    <row r="547" spans="1:27" x14ac:dyDescent="0.35">
      <c r="A547" s="5">
        <v>543</v>
      </c>
      <c r="B547" s="5">
        <v>23</v>
      </c>
      <c r="C547" s="5">
        <v>1</v>
      </c>
      <c r="D547" s="25">
        <v>1.1416E-4</v>
      </c>
      <c r="E547" s="25">
        <v>1.1309E-4</v>
      </c>
      <c r="F547" s="25">
        <v>1.1461E-4</v>
      </c>
      <c r="G547" s="25">
        <v>1.5616999999999999E-4</v>
      </c>
      <c r="H547" s="25">
        <v>1.9316E-4</v>
      </c>
      <c r="I547" s="9">
        <v>1.2626E-4</v>
      </c>
      <c r="J547" s="9">
        <v>1.2224999999999999E-4</v>
      </c>
      <c r="K547" s="9">
        <v>2.3735999999999999E-4</v>
      </c>
      <c r="L547" s="9">
        <v>1.7760000000000001E-4</v>
      </c>
      <c r="M547" s="9">
        <v>1.6928000000000001E-4</v>
      </c>
      <c r="N547" s="9">
        <v>1.7056999999999999E-4</v>
      </c>
      <c r="O547" s="9">
        <v>1.8536E-4</v>
      </c>
      <c r="P547" s="9">
        <v>1.6699999999999999E-4</v>
      </c>
      <c r="Q547" s="9">
        <v>1.5232000000000001E-4</v>
      </c>
      <c r="R547" s="10">
        <v>2.0362734547074105E-6</v>
      </c>
      <c r="S547" s="10">
        <v>1.2859387856066083E-4</v>
      </c>
      <c r="T547" s="10">
        <v>2.4833544197867146E-5</v>
      </c>
      <c r="U547" s="10">
        <v>1.6904999999999999E-4</v>
      </c>
      <c r="V547" s="25"/>
      <c r="W547" s="25"/>
      <c r="X547" s="25"/>
      <c r="Y547" s="25"/>
      <c r="Z547" s="25"/>
      <c r="AA547" s="25"/>
    </row>
    <row r="548" spans="1:27" x14ac:dyDescent="0.35">
      <c r="A548" s="5">
        <v>544</v>
      </c>
      <c r="B548" s="5">
        <v>23</v>
      </c>
      <c r="C548" s="5">
        <v>1</v>
      </c>
      <c r="D548" s="25">
        <v>1.1415000000000001E-4</v>
      </c>
      <c r="E548" s="25">
        <v>1.1846E-4</v>
      </c>
      <c r="F548" s="25">
        <v>1.12E-4</v>
      </c>
      <c r="G548" s="25">
        <v>1.6403000000000001E-4</v>
      </c>
      <c r="H548" s="25">
        <v>1.9018E-4</v>
      </c>
      <c r="I548" s="9">
        <v>1.2522999999999999E-4</v>
      </c>
      <c r="J548" s="9">
        <v>1.2142999999999999E-4</v>
      </c>
      <c r="K548" s="9">
        <v>2.5431999999999999E-4</v>
      </c>
      <c r="L548" s="9">
        <v>1.8337E-4</v>
      </c>
      <c r="M548" s="9">
        <v>1.6809E-4</v>
      </c>
      <c r="N548" s="9">
        <v>1.6663E-4</v>
      </c>
      <c r="O548" s="9">
        <v>1.9954E-4</v>
      </c>
      <c r="P548" s="9">
        <v>1.5238E-4</v>
      </c>
      <c r="Q548" s="9">
        <v>1.0971E-4</v>
      </c>
      <c r="R548" s="10">
        <v>2.5095256655281696E-6</v>
      </c>
      <c r="S548" s="10">
        <v>1.3750228531527345E-4</v>
      </c>
      <c r="T548" s="10">
        <v>5.5487317749932056E-6</v>
      </c>
      <c r="U548" s="10">
        <v>1.6904999999999999E-4</v>
      </c>
      <c r="V548" s="25"/>
      <c r="W548" s="25"/>
      <c r="X548" s="25"/>
      <c r="Y548" s="25"/>
      <c r="Z548" s="25"/>
      <c r="AA548" s="25"/>
    </row>
    <row r="549" spans="1:27" x14ac:dyDescent="0.35">
      <c r="A549" s="5">
        <v>545</v>
      </c>
      <c r="B549" s="5">
        <v>23</v>
      </c>
      <c r="C549" s="5">
        <v>1</v>
      </c>
      <c r="D549" s="25">
        <v>1.1416E-4</v>
      </c>
      <c r="E549" s="25">
        <v>1.2108E-4</v>
      </c>
      <c r="F549" s="25">
        <v>1.1112000000000001E-4</v>
      </c>
      <c r="G549" s="25">
        <v>1.6259E-4</v>
      </c>
      <c r="H549" s="25">
        <v>1.9917000000000001E-4</v>
      </c>
      <c r="I549" s="9">
        <v>1.2517999999999999E-4</v>
      </c>
      <c r="J549" s="9">
        <v>1.2446000000000001E-4</v>
      </c>
      <c r="K549" s="9">
        <v>2.5431999999999999E-4</v>
      </c>
      <c r="L549" s="9">
        <v>1.9577E-4</v>
      </c>
      <c r="M549" s="9">
        <v>1.6223999999999999E-4</v>
      </c>
      <c r="N549" s="9">
        <v>1.5279000000000001E-4</v>
      </c>
      <c r="O549" s="9">
        <v>2.1699999999999999E-4</v>
      </c>
      <c r="P549" s="9">
        <v>1.5966E-4</v>
      </c>
      <c r="Q549" s="9">
        <v>1.0739E-4</v>
      </c>
      <c r="R549" s="10">
        <v>7.7129373000948741E-6</v>
      </c>
      <c r="S549" s="10">
        <v>1.511184486651522E-4</v>
      </c>
      <c r="T549" s="10">
        <v>0</v>
      </c>
      <c r="U549" s="10">
        <v>1.6904999999999999E-4</v>
      </c>
      <c r="V549" s="25"/>
      <c r="W549" s="25"/>
      <c r="X549" s="25"/>
      <c r="Y549" s="25"/>
      <c r="Z549" s="25"/>
      <c r="AA549" s="25"/>
    </row>
    <row r="550" spans="1:27" x14ac:dyDescent="0.35">
      <c r="A550" s="5">
        <v>546</v>
      </c>
      <c r="B550" s="5">
        <v>23</v>
      </c>
      <c r="C550" s="5">
        <v>1</v>
      </c>
      <c r="D550" s="25">
        <v>1.1415000000000001E-4</v>
      </c>
      <c r="E550" s="25">
        <v>1.209E-4</v>
      </c>
      <c r="F550" s="25">
        <v>1.0789E-4</v>
      </c>
      <c r="G550" s="25">
        <v>1.6297999999999999E-4</v>
      </c>
      <c r="H550" s="25">
        <v>1.9997E-4</v>
      </c>
      <c r="I550" s="9">
        <v>1.3218999999999999E-4</v>
      </c>
      <c r="J550" s="9">
        <v>1.3349E-4</v>
      </c>
      <c r="K550" s="9">
        <v>2.6703000000000002E-4</v>
      </c>
      <c r="L550" s="9">
        <v>2.1206999999999999E-4</v>
      </c>
      <c r="M550" s="9">
        <v>1.5970000000000001E-4</v>
      </c>
      <c r="N550" s="9">
        <v>1.3936999999999999E-4</v>
      </c>
      <c r="O550" s="9">
        <v>2.0636E-4</v>
      </c>
      <c r="P550" s="9">
        <v>1.5928000000000001E-4</v>
      </c>
      <c r="Q550" s="9">
        <v>1.1686E-4</v>
      </c>
      <c r="R550" s="10">
        <v>2.2334126201918951E-5</v>
      </c>
      <c r="S550" s="10">
        <v>1.6156647999360498E-4</v>
      </c>
      <c r="T550" s="10">
        <v>0</v>
      </c>
      <c r="U550" s="10">
        <v>1.6904999999999999E-4</v>
      </c>
      <c r="V550" s="25"/>
      <c r="W550" s="25"/>
      <c r="X550" s="25"/>
      <c r="Y550" s="25"/>
      <c r="Z550" s="25"/>
      <c r="AA550" s="25"/>
    </row>
    <row r="551" spans="1:27" x14ac:dyDescent="0.35">
      <c r="A551" s="5">
        <v>547</v>
      </c>
      <c r="B551" s="5">
        <v>23</v>
      </c>
      <c r="C551" s="5">
        <v>1</v>
      </c>
      <c r="D551" s="25">
        <v>1.1416E-4</v>
      </c>
      <c r="E551" s="25">
        <v>1.1812E-4</v>
      </c>
      <c r="F551" s="25">
        <v>1.2538999999999999E-4</v>
      </c>
      <c r="G551" s="25">
        <v>1.1532E-4</v>
      </c>
      <c r="H551" s="25">
        <v>1.3278000000000001E-4</v>
      </c>
      <c r="I551" s="9">
        <v>1.3521E-4</v>
      </c>
      <c r="J551" s="9">
        <v>1.3291E-4</v>
      </c>
      <c r="K551" s="9">
        <v>2.7127E-4</v>
      </c>
      <c r="L551" s="9">
        <v>2.0719999999999999E-4</v>
      </c>
      <c r="M551" s="9">
        <v>1.5906000000000001E-4</v>
      </c>
      <c r="N551" s="9">
        <v>1.2999999999999999E-4</v>
      </c>
      <c r="O551" s="9">
        <v>1.6495999999999999E-4</v>
      </c>
      <c r="P551" s="9">
        <v>1.3394000000000001E-4</v>
      </c>
      <c r="Q551" s="9">
        <v>1.0631E-4</v>
      </c>
      <c r="R551" s="10">
        <v>4.2990895299502842E-5</v>
      </c>
      <c r="S551" s="10">
        <v>1.7043044022901341E-4</v>
      </c>
      <c r="T551" s="10">
        <v>0</v>
      </c>
      <c r="U551" s="10">
        <v>1.6904999999999999E-4</v>
      </c>
      <c r="V551" s="25"/>
      <c r="W551" s="25"/>
      <c r="X551" s="25"/>
      <c r="Y551" s="25"/>
      <c r="Z551" s="25"/>
      <c r="AA551" s="25"/>
    </row>
    <row r="552" spans="1:27" x14ac:dyDescent="0.35">
      <c r="A552" s="5">
        <v>548</v>
      </c>
      <c r="B552" s="5">
        <v>23</v>
      </c>
      <c r="C552" s="5">
        <v>1</v>
      </c>
      <c r="D552" s="25">
        <v>1.1415000000000001E-4</v>
      </c>
      <c r="E552" s="25">
        <v>1.1937E-4</v>
      </c>
      <c r="F552" s="25">
        <v>1.1103E-4</v>
      </c>
      <c r="G552" s="25">
        <v>1.1365E-4</v>
      </c>
      <c r="H552" s="25">
        <v>1.2616E-4</v>
      </c>
      <c r="I552" s="9">
        <v>1.2957999999999999E-4</v>
      </c>
      <c r="J552" s="9">
        <v>1.2841E-4</v>
      </c>
      <c r="K552" s="9">
        <v>2.6491999999999998E-4</v>
      </c>
      <c r="L552" s="9">
        <v>1.7446000000000001E-4</v>
      </c>
      <c r="M552" s="9">
        <v>1.5001000000000001E-4</v>
      </c>
      <c r="N552" s="9">
        <v>1.2065000000000001E-4</v>
      </c>
      <c r="O552" s="9">
        <v>1.3025999999999999E-4</v>
      </c>
      <c r="P552" s="9">
        <v>1.1501E-4</v>
      </c>
      <c r="Q552" s="9">
        <v>1.0203E-4</v>
      </c>
      <c r="R552" s="10">
        <v>7.1979663451805033E-5</v>
      </c>
      <c r="S552" s="10">
        <v>1.7999128786991609E-4</v>
      </c>
      <c r="T552" s="10">
        <v>0</v>
      </c>
      <c r="U552" s="10">
        <v>1.6904999999999999E-4</v>
      </c>
      <c r="V552" s="25"/>
      <c r="W552" s="25"/>
      <c r="X552" s="25"/>
      <c r="Y552" s="25"/>
      <c r="Z552" s="25"/>
      <c r="AA552" s="25"/>
    </row>
    <row r="553" spans="1:27" x14ac:dyDescent="0.35">
      <c r="A553" s="5">
        <v>549</v>
      </c>
      <c r="B553" s="5">
        <v>23</v>
      </c>
      <c r="C553" s="5">
        <v>1</v>
      </c>
      <c r="D553" s="25">
        <v>1.1416E-4</v>
      </c>
      <c r="E553" s="25">
        <v>1.1987E-4</v>
      </c>
      <c r="F553" s="25">
        <v>1.1029E-4</v>
      </c>
      <c r="G553" s="25">
        <v>6.2119999999999995E-5</v>
      </c>
      <c r="H553" s="25">
        <v>6.5930000000000001E-5</v>
      </c>
      <c r="I553" s="9">
        <v>1.2381999999999999E-4</v>
      </c>
      <c r="J553" s="9">
        <v>1.2243000000000001E-4</v>
      </c>
      <c r="K553" s="9">
        <v>2.8611000000000001E-4</v>
      </c>
      <c r="L553" s="9">
        <v>1.4101000000000001E-4</v>
      </c>
      <c r="M553" s="9">
        <v>1.3488000000000001E-4</v>
      </c>
      <c r="N553" s="9">
        <v>1.1298000000000001E-4</v>
      </c>
      <c r="O553" s="9">
        <v>8.543E-5</v>
      </c>
      <c r="P553" s="9">
        <v>8.6539999999999995E-5</v>
      </c>
      <c r="Q553" s="9">
        <v>8.8540000000000003E-5</v>
      </c>
      <c r="R553" s="10">
        <v>1.1829837376998822E-4</v>
      </c>
      <c r="S553" s="10">
        <v>1.8629724695928455E-4</v>
      </c>
      <c r="T553" s="10">
        <v>0</v>
      </c>
      <c r="U553" s="10">
        <v>1.6904999999999999E-4</v>
      </c>
      <c r="V553" s="25"/>
      <c r="W553" s="25"/>
      <c r="X553" s="25"/>
      <c r="Y553" s="25"/>
      <c r="Z553" s="25"/>
      <c r="AA553" s="25"/>
    </row>
    <row r="554" spans="1:27" x14ac:dyDescent="0.35">
      <c r="A554" s="5">
        <v>550</v>
      </c>
      <c r="B554" s="5">
        <v>23</v>
      </c>
      <c r="C554" s="5">
        <v>1</v>
      </c>
      <c r="D554" s="25">
        <v>1.1415000000000001E-4</v>
      </c>
      <c r="E554" s="25">
        <v>1.1467E-4</v>
      </c>
      <c r="F554" s="25">
        <v>1.1451E-4</v>
      </c>
      <c r="G554" s="25">
        <v>5.3390000000000002E-5</v>
      </c>
      <c r="H554" s="25">
        <v>6.5770000000000002E-5</v>
      </c>
      <c r="I554" s="9">
        <v>1.1892000000000001E-4</v>
      </c>
      <c r="J554" s="9">
        <v>1.1620000000000001E-4</v>
      </c>
      <c r="K554" s="9">
        <v>2.9247000000000002E-4</v>
      </c>
      <c r="L554" s="9">
        <v>9.8549999999999997E-5</v>
      </c>
      <c r="M554" s="9">
        <v>1.1361E-4</v>
      </c>
      <c r="N554" s="9">
        <v>1.0545E-4</v>
      </c>
      <c r="O554" s="9">
        <v>8.8819999999999993E-5</v>
      </c>
      <c r="P554" s="9">
        <v>8.8480000000000007E-5</v>
      </c>
      <c r="Q554" s="9">
        <v>8.9140000000000004E-5</v>
      </c>
      <c r="R554" s="10">
        <v>1.5208370821892831E-4</v>
      </c>
      <c r="S554" s="10">
        <v>1.8887254927005493E-4</v>
      </c>
      <c r="T554" s="10">
        <v>0</v>
      </c>
      <c r="U554" s="10">
        <v>1.6904999999999999E-4</v>
      </c>
      <c r="V554" s="25"/>
      <c r="W554" s="25"/>
      <c r="X554" s="25"/>
      <c r="Y554" s="25"/>
      <c r="Z554" s="25"/>
      <c r="AA554" s="25"/>
    </row>
    <row r="555" spans="1:27" x14ac:dyDescent="0.35">
      <c r="A555" s="5">
        <v>551</v>
      </c>
      <c r="B555" s="5">
        <v>23</v>
      </c>
      <c r="C555" s="5">
        <v>1</v>
      </c>
      <c r="D555" s="25">
        <v>1.1416E-4</v>
      </c>
      <c r="E555" s="25">
        <v>1.1747999999999999E-4</v>
      </c>
      <c r="F555" s="25">
        <v>1.27E-4</v>
      </c>
      <c r="G555" s="25">
        <v>5.3489999999999998E-5</v>
      </c>
      <c r="H555" s="25">
        <v>7.0900000000000002E-5</v>
      </c>
      <c r="I555" s="9">
        <v>1.2053E-4</v>
      </c>
      <c r="J555" s="9">
        <v>1.1085E-4</v>
      </c>
      <c r="K555" s="9">
        <v>2.9034999999999998E-4</v>
      </c>
      <c r="L555" s="9">
        <v>9.1910000000000006E-5</v>
      </c>
      <c r="M555" s="9">
        <v>9.9350000000000003E-5</v>
      </c>
      <c r="N555" s="9">
        <v>9.9879999999999999E-5</v>
      </c>
      <c r="O555" s="9">
        <v>7.8700000000000002E-5</v>
      </c>
      <c r="P555" s="9">
        <v>7.258E-5</v>
      </c>
      <c r="Q555" s="9">
        <v>6.7299999999999996E-5</v>
      </c>
      <c r="R555" s="10">
        <v>1.5762669626045712E-4</v>
      </c>
      <c r="S555" s="10">
        <v>1.8995915597538971E-4</v>
      </c>
      <c r="T555" s="10">
        <v>0</v>
      </c>
      <c r="U555" s="10">
        <v>1.6904999999999999E-4</v>
      </c>
      <c r="V555" s="25"/>
      <c r="W555" s="25"/>
      <c r="X555" s="25"/>
      <c r="Y555" s="25"/>
      <c r="Z555" s="25"/>
      <c r="AA555" s="25"/>
    </row>
    <row r="556" spans="1:27" x14ac:dyDescent="0.35">
      <c r="A556" s="5">
        <v>552</v>
      </c>
      <c r="B556" s="5">
        <v>23</v>
      </c>
      <c r="C556" s="5">
        <v>1</v>
      </c>
      <c r="D556" s="25">
        <v>1.1415000000000001E-4</v>
      </c>
      <c r="E556" s="25">
        <v>1.2081E-4</v>
      </c>
      <c r="F556" s="25">
        <v>1.2863999999999999E-4</v>
      </c>
      <c r="G556" s="25">
        <v>5.5829999999999999E-5</v>
      </c>
      <c r="H556" s="25">
        <v>7.3819999999999995E-5</v>
      </c>
      <c r="I556" s="9">
        <v>1.2261999999999999E-4</v>
      </c>
      <c r="J556" s="9">
        <v>1.0488999999999999E-4</v>
      </c>
      <c r="K556" s="9">
        <v>3.0729999999999999E-4</v>
      </c>
      <c r="L556" s="9">
        <v>8.1589999999999996E-5</v>
      </c>
      <c r="M556" s="9">
        <v>8.6580000000000001E-5</v>
      </c>
      <c r="N556" s="9">
        <v>9.0760000000000005E-5</v>
      </c>
      <c r="O556" s="9">
        <v>6.2529999999999999E-5</v>
      </c>
      <c r="P556" s="9">
        <v>6.033E-5</v>
      </c>
      <c r="Q556" s="9">
        <v>5.8529999999999997E-5</v>
      </c>
      <c r="R556" s="10">
        <v>1.5761169759601957E-4</v>
      </c>
      <c r="S556" s="10">
        <v>1.9022768291947426E-4</v>
      </c>
      <c r="T556" s="10">
        <v>0</v>
      </c>
      <c r="U556" s="10">
        <v>1.6904999999999999E-4</v>
      </c>
      <c r="V556" s="25"/>
      <c r="W556" s="25"/>
      <c r="X556" s="25"/>
      <c r="Y556" s="25"/>
      <c r="Z556" s="25"/>
      <c r="AA556" s="25"/>
    </row>
    <row r="557" spans="1:27" x14ac:dyDescent="0.35">
      <c r="A557" s="5">
        <v>553</v>
      </c>
      <c r="B557" s="5">
        <v>24</v>
      </c>
      <c r="C557" s="5">
        <v>1</v>
      </c>
      <c r="D557" s="25">
        <v>1.1416E-4</v>
      </c>
      <c r="E557" s="25">
        <v>1.1959E-4</v>
      </c>
      <c r="F557" s="25">
        <v>9.5569999999999995E-5</v>
      </c>
      <c r="G557" s="25">
        <v>5.9939999999999999E-5</v>
      </c>
      <c r="H557" s="25">
        <v>7.6769999999999999E-5</v>
      </c>
      <c r="I557" s="9">
        <v>1.1658E-4</v>
      </c>
      <c r="J557" s="9">
        <v>9.9619999999999998E-5</v>
      </c>
      <c r="K557" s="9">
        <v>3.0093999999999997E-4</v>
      </c>
      <c r="L557" s="9">
        <v>6.6730000000000007E-5</v>
      </c>
      <c r="M557" s="9">
        <v>7.4200000000000001E-5</v>
      </c>
      <c r="N557" s="9">
        <v>8.1310000000000006E-5</v>
      </c>
      <c r="O557" s="9">
        <v>5.5040000000000002E-5</v>
      </c>
      <c r="P557" s="9">
        <v>5.4450000000000002E-5</v>
      </c>
      <c r="Q557" s="9">
        <v>5.4020000000000001E-5</v>
      </c>
      <c r="R557" s="10">
        <v>1.7672418049882401E-4</v>
      </c>
      <c r="S557" s="10">
        <v>1.9029019561932493E-4</v>
      </c>
      <c r="T557" s="10">
        <v>0</v>
      </c>
      <c r="U557" s="10">
        <v>1.6749000000000001E-4</v>
      </c>
      <c r="V557" s="25"/>
      <c r="W557" s="25"/>
      <c r="X557" s="25"/>
      <c r="Y557" s="25"/>
      <c r="Z557" s="25"/>
      <c r="AA557" s="25"/>
    </row>
    <row r="558" spans="1:27" x14ac:dyDescent="0.35">
      <c r="A558" s="5">
        <v>554</v>
      </c>
      <c r="B558" s="5">
        <v>24</v>
      </c>
      <c r="C558" s="5">
        <v>1</v>
      </c>
      <c r="D558" s="25">
        <v>1.1415000000000001E-4</v>
      </c>
      <c r="E558" s="25">
        <v>1.1718999999999999E-4</v>
      </c>
      <c r="F558" s="25">
        <v>9.3430000000000005E-5</v>
      </c>
      <c r="G558" s="25">
        <v>6.0479999999999997E-5</v>
      </c>
      <c r="H558" s="25">
        <v>7.2249999999999994E-5</v>
      </c>
      <c r="I558" s="9">
        <v>1.1082E-4</v>
      </c>
      <c r="J558" s="9">
        <v>9.5000000000000005E-5</v>
      </c>
      <c r="K558" s="9">
        <v>3.0518E-4</v>
      </c>
      <c r="L558" s="9">
        <v>5.8019999999999997E-5</v>
      </c>
      <c r="M558" s="9">
        <v>6.4129999999999998E-5</v>
      </c>
      <c r="N558" s="9">
        <v>7.2329999999999994E-5</v>
      </c>
      <c r="O558" s="9">
        <v>1.8130000000000001E-5</v>
      </c>
      <c r="P558" s="9">
        <v>3.7459999999999997E-5</v>
      </c>
      <c r="Q558" s="9">
        <v>5.575E-5</v>
      </c>
      <c r="R558" s="10">
        <v>1.9193899746106449E-4</v>
      </c>
      <c r="S558" s="10">
        <v>1.9029020759484994E-4</v>
      </c>
      <c r="T558" s="10">
        <v>0</v>
      </c>
      <c r="U558" s="10">
        <v>1.6749000000000001E-4</v>
      </c>
      <c r="V558" s="25"/>
      <c r="W558" s="25"/>
      <c r="X558" s="25"/>
      <c r="Y558" s="25"/>
      <c r="Z558" s="25"/>
      <c r="AA558" s="25"/>
    </row>
    <row r="559" spans="1:27" x14ac:dyDescent="0.35">
      <c r="A559" s="5">
        <v>555</v>
      </c>
      <c r="B559" s="5">
        <v>24</v>
      </c>
      <c r="C559" s="5">
        <v>1</v>
      </c>
      <c r="D559" s="25">
        <v>1.1416E-4</v>
      </c>
      <c r="E559" s="25">
        <v>1.1455000000000001E-4</v>
      </c>
      <c r="F559" s="25">
        <v>1.0115000000000001E-4</v>
      </c>
      <c r="G559" s="25">
        <v>5.7639999999999997E-5</v>
      </c>
      <c r="H559" s="25">
        <v>7.5339999999999994E-5</v>
      </c>
      <c r="I559" s="9">
        <v>1.0611999999999999E-4</v>
      </c>
      <c r="J559" s="9">
        <v>9.2040000000000006E-5</v>
      </c>
      <c r="K559" s="9">
        <v>3.1577999999999999E-4</v>
      </c>
      <c r="L559" s="9">
        <v>2.709E-5</v>
      </c>
      <c r="M559" s="9">
        <v>5.2250000000000003E-5</v>
      </c>
      <c r="N559" s="9">
        <v>6.5629999999999993E-5</v>
      </c>
      <c r="O559" s="9">
        <v>1.271E-5</v>
      </c>
      <c r="P559" s="9">
        <v>3.782E-5</v>
      </c>
      <c r="Q559" s="9">
        <v>6.1639999999999999E-5</v>
      </c>
      <c r="R559" s="10">
        <v>1.9959893392718257E-4</v>
      </c>
      <c r="S559" s="10">
        <v>1.9029020759484994E-4</v>
      </c>
      <c r="T559" s="10">
        <v>0</v>
      </c>
      <c r="U559" s="10">
        <v>1.6749000000000001E-4</v>
      </c>
      <c r="V559" s="25"/>
      <c r="W559" s="25"/>
      <c r="X559" s="25"/>
      <c r="Y559" s="25"/>
      <c r="Z559" s="25"/>
      <c r="AA559" s="25"/>
    </row>
    <row r="560" spans="1:27" x14ac:dyDescent="0.35">
      <c r="A560" s="5">
        <v>556</v>
      </c>
      <c r="B560" s="5">
        <v>24</v>
      </c>
      <c r="C560" s="5">
        <v>1</v>
      </c>
      <c r="D560" s="25">
        <v>1.1415000000000001E-4</v>
      </c>
      <c r="E560" s="25">
        <v>1.1921000000000001E-4</v>
      </c>
      <c r="F560" s="25">
        <v>9.5450000000000003E-5</v>
      </c>
      <c r="G560" s="25">
        <v>5.9929999999999997E-5</v>
      </c>
      <c r="H560" s="25">
        <v>7.5640000000000001E-5</v>
      </c>
      <c r="I560" s="9">
        <v>1.0208999999999999E-4</v>
      </c>
      <c r="J560" s="9">
        <v>9.0439999999999995E-5</v>
      </c>
      <c r="K560" s="9">
        <v>3.0518E-4</v>
      </c>
      <c r="L560" s="9">
        <v>1.664E-5</v>
      </c>
      <c r="M560" s="9">
        <v>4.4209999999999999E-5</v>
      </c>
      <c r="N560" s="9">
        <v>6.2000000000000003E-5</v>
      </c>
      <c r="O560" s="9">
        <v>1.26E-5</v>
      </c>
      <c r="P560" s="9">
        <v>4.685E-5</v>
      </c>
      <c r="Q560" s="9">
        <v>7.9679999999999996E-5</v>
      </c>
      <c r="R560" s="10">
        <v>2.0703678280449255E-4</v>
      </c>
      <c r="S560" s="10">
        <v>1.9016567663157044E-4</v>
      </c>
      <c r="T560" s="10">
        <v>0</v>
      </c>
      <c r="U560" s="10">
        <v>1.6749000000000001E-4</v>
      </c>
      <c r="V560" s="25"/>
      <c r="W560" s="25"/>
      <c r="X560" s="25"/>
      <c r="Y560" s="25"/>
      <c r="Z560" s="25"/>
      <c r="AA560" s="25"/>
    </row>
    <row r="561" spans="1:27" x14ac:dyDescent="0.35">
      <c r="A561" s="5">
        <v>557</v>
      </c>
      <c r="B561" s="5">
        <v>24</v>
      </c>
      <c r="C561" s="5">
        <v>1</v>
      </c>
      <c r="D561" s="25">
        <v>1.1416E-4</v>
      </c>
      <c r="E561" s="25">
        <v>1.1849999999999999E-4</v>
      </c>
      <c r="F561" s="25">
        <v>1.0696000000000001E-4</v>
      </c>
      <c r="G561" s="25">
        <v>6.1580000000000003E-5</v>
      </c>
      <c r="H561" s="25">
        <v>6.7379999999999995E-5</v>
      </c>
      <c r="I561" s="9">
        <v>1.0111E-4</v>
      </c>
      <c r="J561" s="9">
        <v>8.9909999999999998E-5</v>
      </c>
      <c r="K561" s="9">
        <v>3.1789999999999998E-4</v>
      </c>
      <c r="L561" s="9">
        <v>1.3740000000000001E-5</v>
      </c>
      <c r="M561" s="9">
        <v>4.3350000000000003E-5</v>
      </c>
      <c r="N561" s="9">
        <v>6.4330000000000002E-5</v>
      </c>
      <c r="O561" s="9">
        <v>1.8199999999999999E-5</v>
      </c>
      <c r="P561" s="9">
        <v>5.643E-5</v>
      </c>
      <c r="Q561" s="9">
        <v>9.3300000000000005E-5</v>
      </c>
      <c r="R561" s="10">
        <v>2.106522789352496E-4</v>
      </c>
      <c r="S561" s="10">
        <v>1.8677618628659318E-4</v>
      </c>
      <c r="T561" s="10">
        <v>0</v>
      </c>
      <c r="U561" s="10">
        <v>1.6749000000000001E-4</v>
      </c>
      <c r="V561" s="25"/>
      <c r="W561" s="25"/>
      <c r="X561" s="25"/>
      <c r="Y561" s="25"/>
      <c r="Z561" s="25"/>
      <c r="AA561" s="25"/>
    </row>
    <row r="562" spans="1:27" x14ac:dyDescent="0.35">
      <c r="A562" s="5">
        <v>558</v>
      </c>
      <c r="B562" s="5">
        <v>24</v>
      </c>
      <c r="C562" s="5">
        <v>1</v>
      </c>
      <c r="D562" s="25">
        <v>1.1415000000000001E-4</v>
      </c>
      <c r="E562" s="25">
        <v>1.1713E-4</v>
      </c>
      <c r="F562" s="25">
        <v>1.0323999999999999E-4</v>
      </c>
      <c r="G562" s="25">
        <v>1.0654000000000001E-4</v>
      </c>
      <c r="H562" s="25">
        <v>1.3964000000000001E-4</v>
      </c>
      <c r="I562" s="9">
        <v>1.0097E-4</v>
      </c>
      <c r="J562" s="9">
        <v>9.0649999999999994E-5</v>
      </c>
      <c r="K562" s="9">
        <v>3.0306000000000002E-4</v>
      </c>
      <c r="L562" s="9">
        <v>1.7079999999999999E-5</v>
      </c>
      <c r="M562" s="9">
        <v>4.8189999999999998E-5</v>
      </c>
      <c r="N562" s="9">
        <v>7.08E-5</v>
      </c>
      <c r="O562" s="9">
        <v>4.6409999999999998E-5</v>
      </c>
      <c r="P562" s="9">
        <v>7.729E-5</v>
      </c>
      <c r="Q562" s="9">
        <v>1.0762E-4</v>
      </c>
      <c r="R562" s="10">
        <v>2.1094440153921891E-4</v>
      </c>
      <c r="S562" s="10">
        <v>1.8863091198091655E-4</v>
      </c>
      <c r="T562" s="10">
        <v>0</v>
      </c>
      <c r="U562" s="10">
        <v>1.6749000000000001E-4</v>
      </c>
      <c r="V562" s="25"/>
      <c r="W562" s="25"/>
      <c r="X562" s="25"/>
      <c r="Y562" s="25"/>
      <c r="Z562" s="25"/>
      <c r="AA562" s="25"/>
    </row>
    <row r="563" spans="1:27" x14ac:dyDescent="0.35">
      <c r="A563" s="5">
        <v>559</v>
      </c>
      <c r="B563" s="5">
        <v>24</v>
      </c>
      <c r="C563" s="5">
        <v>1</v>
      </c>
      <c r="D563" s="25">
        <v>1.1416E-4</v>
      </c>
      <c r="E563" s="25">
        <v>1.2244999999999999E-4</v>
      </c>
      <c r="F563" s="25">
        <v>1.0671E-4</v>
      </c>
      <c r="G563" s="25">
        <v>1.1548E-4</v>
      </c>
      <c r="H563" s="25">
        <v>1.392E-4</v>
      </c>
      <c r="I563" s="9">
        <v>1.0187999999999999E-4</v>
      </c>
      <c r="J563" s="9">
        <v>9.2940000000000001E-5</v>
      </c>
      <c r="K563" s="9">
        <v>3.2002000000000002E-4</v>
      </c>
      <c r="L563" s="9">
        <v>3.981E-5</v>
      </c>
      <c r="M563" s="9">
        <v>6.0040000000000001E-5</v>
      </c>
      <c r="N563" s="9">
        <v>8.0630000000000006E-5</v>
      </c>
      <c r="O563" s="9">
        <v>1.2406E-4</v>
      </c>
      <c r="P563" s="9">
        <v>1.1715E-4</v>
      </c>
      <c r="Q563" s="9">
        <v>1.1222000000000001E-4</v>
      </c>
      <c r="R563" s="10">
        <v>2.1163171808602727E-4</v>
      </c>
      <c r="S563" s="10">
        <v>1.8854092065899913E-4</v>
      </c>
      <c r="T563" s="10">
        <v>0</v>
      </c>
      <c r="U563" s="10">
        <v>1.6749000000000001E-4</v>
      </c>
      <c r="V563" s="25"/>
      <c r="W563" s="25"/>
      <c r="X563" s="25"/>
      <c r="Y563" s="25"/>
      <c r="Z563" s="25"/>
      <c r="AA563" s="25"/>
    </row>
    <row r="564" spans="1:27" x14ac:dyDescent="0.35">
      <c r="A564" s="5">
        <v>560</v>
      </c>
      <c r="B564" s="5">
        <v>24</v>
      </c>
      <c r="C564" s="5">
        <v>1</v>
      </c>
      <c r="D564" s="25">
        <v>1.1415000000000001E-4</v>
      </c>
      <c r="E564" s="25">
        <v>1.1121E-4</v>
      </c>
      <c r="F564" s="25">
        <v>1.0145999999999999E-4</v>
      </c>
      <c r="G564" s="25">
        <v>1.6511E-4</v>
      </c>
      <c r="H564" s="25">
        <v>1.9351000000000001E-4</v>
      </c>
      <c r="I564" s="9">
        <v>1.0353000000000001E-4</v>
      </c>
      <c r="J564" s="9">
        <v>9.7360000000000003E-5</v>
      </c>
      <c r="K564" s="9">
        <v>3.2850000000000002E-4</v>
      </c>
      <c r="L564" s="9">
        <v>1.0488999999999999E-4</v>
      </c>
      <c r="M564" s="9">
        <v>8.3659999999999995E-5</v>
      </c>
      <c r="N564" s="9">
        <v>9.0710000000000004E-5</v>
      </c>
      <c r="O564" s="9">
        <v>2.2028E-4</v>
      </c>
      <c r="P564" s="9">
        <v>1.7540000000000001E-4</v>
      </c>
      <c r="Q564" s="9">
        <v>1.3549999999999999E-4</v>
      </c>
      <c r="R564" s="10">
        <v>2.0866654870347722E-4</v>
      </c>
      <c r="S564" s="10">
        <v>1.8793044216683833E-4</v>
      </c>
      <c r="T564" s="10">
        <v>0</v>
      </c>
      <c r="U564" s="10">
        <v>1.6749000000000001E-4</v>
      </c>
      <c r="V564" s="25"/>
      <c r="W564" s="25"/>
      <c r="X564" s="25"/>
      <c r="Y564" s="25"/>
      <c r="Z564" s="25"/>
      <c r="AA564" s="25"/>
    </row>
    <row r="565" spans="1:27" x14ac:dyDescent="0.35">
      <c r="A565" s="5">
        <v>561</v>
      </c>
      <c r="B565" s="5">
        <v>24</v>
      </c>
      <c r="C565" s="5">
        <v>1</v>
      </c>
      <c r="D565" s="25">
        <v>1.1416E-4</v>
      </c>
      <c r="E565" s="25">
        <v>1.2234999999999999E-4</v>
      </c>
      <c r="F565" s="25">
        <v>1.0760999999999999E-4</v>
      </c>
      <c r="G565" s="25">
        <v>1.5715E-4</v>
      </c>
      <c r="H565" s="25">
        <v>1.9505E-4</v>
      </c>
      <c r="I565" s="9">
        <v>1.0827000000000001E-4</v>
      </c>
      <c r="J565" s="9">
        <v>1.0409E-4</v>
      </c>
      <c r="K565" s="9">
        <v>2.9247000000000002E-4</v>
      </c>
      <c r="L565" s="9">
        <v>1.9311E-4</v>
      </c>
      <c r="M565" s="9">
        <v>1.2277999999999999E-4</v>
      </c>
      <c r="N565" s="9">
        <v>1.0422E-4</v>
      </c>
      <c r="O565" s="9">
        <v>2.1422999999999999E-4</v>
      </c>
      <c r="P565" s="9">
        <v>1.9349999999999999E-4</v>
      </c>
      <c r="Q565" s="9">
        <v>1.7720999999999999E-4</v>
      </c>
      <c r="R565" s="10">
        <v>1.9309990455669326E-4</v>
      </c>
      <c r="S565" s="10">
        <v>1.8827382681089289E-4</v>
      </c>
      <c r="T565" s="10">
        <v>1.1776207497997814E-5</v>
      </c>
      <c r="U565" s="10">
        <v>1.6749000000000001E-4</v>
      </c>
      <c r="V565" s="25"/>
      <c r="W565" s="25"/>
      <c r="X565" s="25"/>
      <c r="Y565" s="25"/>
      <c r="Z565" s="25"/>
      <c r="AA565" s="25"/>
    </row>
    <row r="566" spans="1:27" x14ac:dyDescent="0.35">
      <c r="A566" s="5">
        <v>562</v>
      </c>
      <c r="B566" s="5">
        <v>24</v>
      </c>
      <c r="C566" s="5">
        <v>1</v>
      </c>
      <c r="D566" s="25">
        <v>1.1415000000000001E-4</v>
      </c>
      <c r="E566" s="25">
        <v>1.1264000000000001E-4</v>
      </c>
      <c r="F566" s="25">
        <v>9.2109999999999997E-5</v>
      </c>
      <c r="G566" s="25">
        <v>1.5935E-4</v>
      </c>
      <c r="H566" s="25">
        <v>1.9780000000000001E-4</v>
      </c>
      <c r="I566" s="9">
        <v>1.1430999999999999E-4</v>
      </c>
      <c r="J566" s="9">
        <v>1.1053E-4</v>
      </c>
      <c r="K566" s="9">
        <v>2.6703000000000002E-4</v>
      </c>
      <c r="L566" s="9">
        <v>2.0727000000000001E-4</v>
      </c>
      <c r="M566" s="9">
        <v>1.5814E-4</v>
      </c>
      <c r="N566" s="9">
        <v>1.2437E-4</v>
      </c>
      <c r="O566" s="9">
        <v>1.7034E-4</v>
      </c>
      <c r="P566" s="9">
        <v>1.7547E-4</v>
      </c>
      <c r="Q566" s="9">
        <v>1.8353999999999999E-4</v>
      </c>
      <c r="R566" s="10">
        <v>1.6975458567455561E-4</v>
      </c>
      <c r="S566" s="10">
        <v>1.8869801612238988E-4</v>
      </c>
      <c r="T566" s="10">
        <v>1.5446515396869465E-4</v>
      </c>
      <c r="U566" s="10">
        <v>1.6749000000000001E-4</v>
      </c>
      <c r="V566" s="25"/>
      <c r="W566" s="25"/>
      <c r="X566" s="25"/>
      <c r="Y566" s="25"/>
      <c r="Z566" s="25"/>
      <c r="AA566" s="25"/>
    </row>
    <row r="567" spans="1:27" x14ac:dyDescent="0.35">
      <c r="A567" s="5">
        <v>563</v>
      </c>
      <c r="B567" s="5">
        <v>24</v>
      </c>
      <c r="C567" s="5">
        <v>1</v>
      </c>
      <c r="D567" s="25">
        <v>1.1416E-4</v>
      </c>
      <c r="E567" s="25">
        <v>1.1378E-4</v>
      </c>
      <c r="F567" s="25">
        <v>1.0639E-4</v>
      </c>
      <c r="G567" s="25">
        <v>1.5899999999999999E-4</v>
      </c>
      <c r="H567" s="25">
        <v>1.9021000000000001E-4</v>
      </c>
      <c r="I567" s="9">
        <v>1.2015000000000001E-4</v>
      </c>
      <c r="J567" s="9">
        <v>1.1585E-4</v>
      </c>
      <c r="K567" s="9">
        <v>2.5643999999999998E-4</v>
      </c>
      <c r="L567" s="9">
        <v>1.7849000000000001E-4</v>
      </c>
      <c r="M567" s="9">
        <v>1.7260999999999999E-4</v>
      </c>
      <c r="N567" s="9">
        <v>1.4281E-4</v>
      </c>
      <c r="O567" s="9">
        <v>1.6882E-4</v>
      </c>
      <c r="P567" s="9">
        <v>1.7255999999999999E-4</v>
      </c>
      <c r="Q567" s="9">
        <v>1.7923E-4</v>
      </c>
      <c r="R567" s="10">
        <v>1.6250180514016795E-4</v>
      </c>
      <c r="S567" s="10">
        <v>1.8797615448233642E-4</v>
      </c>
      <c r="T567" s="10">
        <v>1.6355183857269729E-4</v>
      </c>
      <c r="U567" s="10">
        <v>1.6749000000000001E-4</v>
      </c>
      <c r="V567" s="25"/>
      <c r="W567" s="25"/>
      <c r="X567" s="25"/>
      <c r="Y567" s="25"/>
      <c r="Z567" s="25"/>
      <c r="AA567" s="25"/>
    </row>
    <row r="568" spans="1:27" x14ac:dyDescent="0.35">
      <c r="A568" s="5">
        <v>564</v>
      </c>
      <c r="B568" s="5">
        <v>24</v>
      </c>
      <c r="C568" s="5">
        <v>1</v>
      </c>
      <c r="D568" s="25">
        <v>1.1415000000000001E-4</v>
      </c>
      <c r="E568" s="25">
        <v>1.1734E-4</v>
      </c>
      <c r="F568" s="25">
        <v>9.5149999999999995E-5</v>
      </c>
      <c r="G568" s="25">
        <v>1.6192999999999999E-4</v>
      </c>
      <c r="H568" s="25">
        <v>1.9424000000000001E-4</v>
      </c>
      <c r="I568" s="9">
        <v>1.2498000000000001E-4</v>
      </c>
      <c r="J568" s="9">
        <v>1.1896E-4</v>
      </c>
      <c r="K568" s="9">
        <v>2.4795999999999998E-4</v>
      </c>
      <c r="L568" s="9">
        <v>1.7234999999999999E-4</v>
      </c>
      <c r="M568" s="9">
        <v>1.7511E-4</v>
      </c>
      <c r="N568" s="9">
        <v>1.5684E-4</v>
      </c>
      <c r="O568" s="9">
        <v>1.7154E-4</v>
      </c>
      <c r="P568" s="9">
        <v>1.7115000000000001E-4</v>
      </c>
      <c r="Q568" s="9">
        <v>1.7380999999999999E-4</v>
      </c>
      <c r="R568" s="10">
        <v>1.6774116740798716E-4</v>
      </c>
      <c r="S568" s="10">
        <v>1.8698204702777285E-4</v>
      </c>
      <c r="T568" s="10">
        <v>2.2089721788031059E-4</v>
      </c>
      <c r="U568" s="10">
        <v>1.6749000000000001E-4</v>
      </c>
      <c r="V568" s="25"/>
      <c r="W568" s="25"/>
      <c r="X568" s="25"/>
      <c r="Y568" s="25"/>
      <c r="Z568" s="25"/>
      <c r="AA568" s="25"/>
    </row>
    <row r="569" spans="1:27" x14ac:dyDescent="0.35">
      <c r="A569" s="5">
        <v>565</v>
      </c>
      <c r="B569" s="5">
        <v>24</v>
      </c>
      <c r="C569" s="5">
        <v>1</v>
      </c>
      <c r="D569" s="25">
        <v>1.1416E-4</v>
      </c>
      <c r="E569" s="25">
        <v>1.1819000000000001E-4</v>
      </c>
      <c r="F569" s="25">
        <v>1.0127E-4</v>
      </c>
      <c r="G569" s="25">
        <v>1.6666000000000001E-4</v>
      </c>
      <c r="H569" s="25">
        <v>1.9822000000000001E-4</v>
      </c>
      <c r="I569" s="9">
        <v>1.2655000000000001E-4</v>
      </c>
      <c r="J569" s="9">
        <v>1.2181E-4</v>
      </c>
      <c r="K569" s="9">
        <v>2.4794999999999998E-4</v>
      </c>
      <c r="L569" s="9">
        <v>1.7192999999999999E-4</v>
      </c>
      <c r="M569" s="9">
        <v>1.7380999999999999E-4</v>
      </c>
      <c r="N569" s="9">
        <v>1.6626E-4</v>
      </c>
      <c r="O569" s="9">
        <v>1.6244999999999999E-4</v>
      </c>
      <c r="P569" s="9">
        <v>1.63E-4</v>
      </c>
      <c r="Q569" s="9">
        <v>1.6637999999999999E-4</v>
      </c>
      <c r="R569" s="10">
        <v>1.8498939403366958E-4</v>
      </c>
      <c r="S569" s="10">
        <v>1.8761779306110044E-4</v>
      </c>
      <c r="T569" s="10">
        <v>3.5248021650167083E-4</v>
      </c>
      <c r="U569" s="10">
        <v>1.6749000000000001E-4</v>
      </c>
      <c r="V569" s="25"/>
      <c r="W569" s="25"/>
      <c r="X569" s="25"/>
      <c r="Y569" s="25"/>
      <c r="Z569" s="25"/>
      <c r="AA569" s="25"/>
    </row>
    <row r="570" spans="1:27" x14ac:dyDescent="0.35">
      <c r="A570" s="5">
        <v>566</v>
      </c>
      <c r="B570" s="5">
        <v>24</v>
      </c>
      <c r="C570" s="5">
        <v>1</v>
      </c>
      <c r="D570" s="25">
        <v>1.1415000000000001E-4</v>
      </c>
      <c r="E570" s="25">
        <v>1.1511E-4</v>
      </c>
      <c r="F570" s="25">
        <v>1.0153999999999999E-4</v>
      </c>
      <c r="G570" s="25">
        <v>1.6658999999999999E-4</v>
      </c>
      <c r="H570" s="25">
        <v>2.0138E-4</v>
      </c>
      <c r="I570" s="9">
        <v>1.2386999999999999E-4</v>
      </c>
      <c r="J570" s="9">
        <v>1.216E-4</v>
      </c>
      <c r="K570" s="9">
        <v>2.9247000000000002E-4</v>
      </c>
      <c r="L570" s="9">
        <v>1.6428999999999999E-4</v>
      </c>
      <c r="M570" s="9">
        <v>1.6954000000000001E-4</v>
      </c>
      <c r="N570" s="9">
        <v>1.7035999999999999E-4</v>
      </c>
      <c r="O570" s="9">
        <v>1.8166999999999999E-4</v>
      </c>
      <c r="P570" s="9">
        <v>1.7009999999999999E-4</v>
      </c>
      <c r="Q570" s="9">
        <v>1.6202E-4</v>
      </c>
      <c r="R570" s="10">
        <v>1.9434871174640769E-4</v>
      </c>
      <c r="S570" s="10">
        <v>1.8909279821584273E-4</v>
      </c>
      <c r="T570" s="10">
        <v>3.8410120017965202E-4</v>
      </c>
      <c r="U570" s="10">
        <v>1.6749000000000001E-4</v>
      </c>
      <c r="V570" s="25"/>
      <c r="W570" s="25"/>
      <c r="X570" s="25"/>
      <c r="Y570" s="25"/>
      <c r="Z570" s="25"/>
      <c r="AA570" s="25"/>
    </row>
    <row r="571" spans="1:27" x14ac:dyDescent="0.35">
      <c r="A571" s="5">
        <v>567</v>
      </c>
      <c r="B571" s="5">
        <v>24</v>
      </c>
      <c r="C571" s="5">
        <v>1</v>
      </c>
      <c r="D571" s="25">
        <v>1.1416E-4</v>
      </c>
      <c r="E571" s="25">
        <v>1.154E-4</v>
      </c>
      <c r="F571" s="25">
        <v>9.31E-5</v>
      </c>
      <c r="G571" s="25">
        <v>1.5954000000000001E-4</v>
      </c>
      <c r="H571" s="25">
        <v>1.9777E-4</v>
      </c>
      <c r="I571" s="9">
        <v>1.1996E-4</v>
      </c>
      <c r="J571" s="9">
        <v>1.2066E-4</v>
      </c>
      <c r="K571" s="9">
        <v>2.6704000000000002E-4</v>
      </c>
      <c r="L571" s="9">
        <v>1.7802000000000001E-4</v>
      </c>
      <c r="M571" s="9">
        <v>1.6855E-4</v>
      </c>
      <c r="N571" s="9">
        <v>1.7013E-4</v>
      </c>
      <c r="O571" s="9">
        <v>1.8466000000000001E-4</v>
      </c>
      <c r="P571" s="9">
        <v>1.6636E-4</v>
      </c>
      <c r="Q571" s="9">
        <v>1.5175E-4</v>
      </c>
      <c r="R571" s="10">
        <v>1.9455550938589261E-4</v>
      </c>
      <c r="S571" s="10">
        <v>1.8999878922651992E-4</v>
      </c>
      <c r="T571" s="10">
        <v>2.933701029292279E-4</v>
      </c>
      <c r="U571" s="10">
        <v>1.6749000000000001E-4</v>
      </c>
      <c r="V571" s="25"/>
      <c r="W571" s="25"/>
      <c r="X571" s="25"/>
      <c r="Y571" s="25"/>
      <c r="Z571" s="25"/>
      <c r="AA571" s="25"/>
    </row>
    <row r="572" spans="1:27" x14ac:dyDescent="0.35">
      <c r="A572" s="5">
        <v>568</v>
      </c>
      <c r="B572" s="5">
        <v>24</v>
      </c>
      <c r="C572" s="5">
        <v>1</v>
      </c>
      <c r="D572" s="25">
        <v>1.1415000000000001E-4</v>
      </c>
      <c r="E572" s="25">
        <v>1.1236E-4</v>
      </c>
      <c r="F572" s="25">
        <v>9.0600000000000007E-5</v>
      </c>
      <c r="G572" s="25">
        <v>1.6642E-4</v>
      </c>
      <c r="H572" s="25">
        <v>1.9542999999999999E-4</v>
      </c>
      <c r="I572" s="9">
        <v>1.1849E-4</v>
      </c>
      <c r="J572" s="9">
        <v>1.1954E-4</v>
      </c>
      <c r="K572" s="9">
        <v>2.7551000000000002E-4</v>
      </c>
      <c r="L572" s="9">
        <v>1.8284E-4</v>
      </c>
      <c r="M572" s="9">
        <v>1.6762E-4</v>
      </c>
      <c r="N572" s="9">
        <v>1.6602000000000001E-4</v>
      </c>
      <c r="O572" s="9">
        <v>2.0068000000000001E-4</v>
      </c>
      <c r="P572" s="9">
        <v>1.5325000000000001E-4</v>
      </c>
      <c r="Q572" s="9">
        <v>1.1033E-4</v>
      </c>
      <c r="R572" s="10">
        <v>1.9773653396108675E-4</v>
      </c>
      <c r="S572" s="10">
        <v>1.8995299784846319E-4</v>
      </c>
      <c r="T572" s="10">
        <v>1.0128556564200137E-4</v>
      </c>
      <c r="U572" s="10">
        <v>1.6749000000000001E-4</v>
      </c>
      <c r="V572" s="25"/>
      <c r="W572" s="25"/>
      <c r="X572" s="25"/>
      <c r="Y572" s="25"/>
      <c r="Z572" s="25"/>
      <c r="AA572" s="25"/>
    </row>
    <row r="573" spans="1:27" x14ac:dyDescent="0.35">
      <c r="A573" s="5">
        <v>569</v>
      </c>
      <c r="B573" s="5">
        <v>24</v>
      </c>
      <c r="C573" s="5">
        <v>1</v>
      </c>
      <c r="D573" s="25">
        <v>1.1416E-4</v>
      </c>
      <c r="E573" s="25">
        <v>1.1468000000000001E-4</v>
      </c>
      <c r="F573" s="25">
        <v>1.0679E-4</v>
      </c>
      <c r="G573" s="25">
        <v>1.5908E-4</v>
      </c>
      <c r="H573" s="25">
        <v>1.9186E-4</v>
      </c>
      <c r="I573" s="9">
        <v>1.182E-4</v>
      </c>
      <c r="J573" s="9">
        <v>1.2063E-4</v>
      </c>
      <c r="K573" s="9">
        <v>2.9671E-4</v>
      </c>
      <c r="L573" s="9">
        <v>1.9656E-4</v>
      </c>
      <c r="M573" s="9">
        <v>1.6228999999999999E-4</v>
      </c>
      <c r="N573" s="9">
        <v>1.5243E-4</v>
      </c>
      <c r="O573" s="9">
        <v>2.1593E-4</v>
      </c>
      <c r="P573" s="9">
        <v>1.5886000000000001E-4</v>
      </c>
      <c r="Q573" s="9">
        <v>1.0686E-4</v>
      </c>
      <c r="R573" s="10">
        <v>1.9485784316151055E-4</v>
      </c>
      <c r="S573" s="10">
        <v>1.8962339615918278E-4</v>
      </c>
      <c r="T573" s="10">
        <v>0</v>
      </c>
      <c r="U573" s="10">
        <v>1.6749000000000001E-4</v>
      </c>
      <c r="V573" s="25"/>
      <c r="W573" s="25"/>
      <c r="X573" s="25"/>
      <c r="Y573" s="25"/>
      <c r="Z573" s="25"/>
      <c r="AA573" s="25"/>
    </row>
    <row r="574" spans="1:27" x14ac:dyDescent="0.35">
      <c r="A574" s="5">
        <v>570</v>
      </c>
      <c r="B574" s="5">
        <v>24</v>
      </c>
      <c r="C574" s="5">
        <v>1</v>
      </c>
      <c r="D574" s="25">
        <v>1.1415000000000001E-4</v>
      </c>
      <c r="E574" s="25">
        <v>1.1731999999999999E-4</v>
      </c>
      <c r="F574" s="25">
        <v>1.0980999999999999E-4</v>
      </c>
      <c r="G574" s="25">
        <v>1.6468E-4</v>
      </c>
      <c r="H574" s="25">
        <v>1.897E-4</v>
      </c>
      <c r="I574" s="9">
        <v>1.2570999999999999E-4</v>
      </c>
      <c r="J574" s="9">
        <v>1.3018E-4</v>
      </c>
      <c r="K574" s="9">
        <v>3.0941999999999998E-4</v>
      </c>
      <c r="L574" s="9">
        <v>2.1138999999999999E-4</v>
      </c>
      <c r="M574" s="9">
        <v>1.5957999999999999E-4</v>
      </c>
      <c r="N574" s="9">
        <v>1.3904E-4</v>
      </c>
      <c r="O574" s="9">
        <v>2.0935999999999999E-4</v>
      </c>
      <c r="P574" s="9">
        <v>1.6159E-4</v>
      </c>
      <c r="Q574" s="9">
        <v>1.1856E-4</v>
      </c>
      <c r="R574" s="10">
        <v>1.9278151792144515E-4</v>
      </c>
      <c r="S574" s="10">
        <v>1.8930818689678679E-4</v>
      </c>
      <c r="T574" s="10">
        <v>0</v>
      </c>
      <c r="U574" s="10">
        <v>1.6749000000000001E-4</v>
      </c>
      <c r="V574" s="25"/>
      <c r="W574" s="25"/>
      <c r="X574" s="25"/>
      <c r="Y574" s="25"/>
      <c r="Z574" s="25"/>
      <c r="AA574" s="25"/>
    </row>
    <row r="575" spans="1:27" x14ac:dyDescent="0.35">
      <c r="A575" s="5">
        <v>571</v>
      </c>
      <c r="B575" s="5">
        <v>24</v>
      </c>
      <c r="C575" s="5">
        <v>1</v>
      </c>
      <c r="D575" s="25">
        <v>1.1416E-4</v>
      </c>
      <c r="E575" s="25">
        <v>1.1972999999999999E-4</v>
      </c>
      <c r="F575" s="25">
        <v>9.59E-5</v>
      </c>
      <c r="G575" s="25">
        <v>1.1501E-4</v>
      </c>
      <c r="H575" s="25">
        <v>1.3431000000000001E-4</v>
      </c>
      <c r="I575" s="9">
        <v>1.3009999999999999E-4</v>
      </c>
      <c r="J575" s="9">
        <v>1.3088999999999999E-4</v>
      </c>
      <c r="K575" s="9">
        <v>3.4331999999999999E-4</v>
      </c>
      <c r="L575" s="9">
        <v>2.0942000000000001E-4</v>
      </c>
      <c r="M575" s="9">
        <v>1.5976E-4</v>
      </c>
      <c r="N575" s="9">
        <v>1.3019999999999999E-4</v>
      </c>
      <c r="O575" s="9">
        <v>1.6761E-4</v>
      </c>
      <c r="P575" s="9">
        <v>1.3609000000000001E-4</v>
      </c>
      <c r="Q575" s="9">
        <v>1.0802E-4</v>
      </c>
      <c r="R575" s="10">
        <v>1.9031147648121036E-4</v>
      </c>
      <c r="S575" s="10">
        <v>1.8830343825284665E-4</v>
      </c>
      <c r="T575" s="10">
        <v>0</v>
      </c>
      <c r="U575" s="10">
        <v>1.6749000000000001E-4</v>
      </c>
      <c r="V575" s="25"/>
      <c r="W575" s="25"/>
      <c r="X575" s="25"/>
      <c r="Y575" s="25"/>
      <c r="Z575" s="25"/>
      <c r="AA575" s="25"/>
    </row>
    <row r="576" spans="1:27" x14ac:dyDescent="0.35">
      <c r="A576" s="5">
        <v>572</v>
      </c>
      <c r="B576" s="5">
        <v>24</v>
      </c>
      <c r="C576" s="5">
        <v>1</v>
      </c>
      <c r="D576" s="25">
        <v>1.1415000000000001E-4</v>
      </c>
      <c r="E576" s="25">
        <v>1.1883E-4</v>
      </c>
      <c r="F576" s="25">
        <v>9.3179999999999999E-5</v>
      </c>
      <c r="G576" s="25">
        <v>1.048E-4</v>
      </c>
      <c r="H576" s="25">
        <v>1.3512999999999999E-4</v>
      </c>
      <c r="I576" s="9">
        <v>1.2809E-4</v>
      </c>
      <c r="J576" s="9">
        <v>1.2689999999999999E-4</v>
      </c>
      <c r="K576" s="9">
        <v>3.6664E-4</v>
      </c>
      <c r="L576" s="9">
        <v>1.7694999999999999E-4</v>
      </c>
      <c r="M576" s="9">
        <v>1.5144999999999999E-4</v>
      </c>
      <c r="N576" s="9">
        <v>1.2128E-4</v>
      </c>
      <c r="O576" s="9">
        <v>1.3098999999999999E-4</v>
      </c>
      <c r="P576" s="9">
        <v>1.1565000000000001E-4</v>
      </c>
      <c r="Q576" s="9">
        <v>1.026E-4</v>
      </c>
      <c r="R576" s="10">
        <v>1.8394599671380849E-4</v>
      </c>
      <c r="S576" s="10">
        <v>1.8529382244229759E-4</v>
      </c>
      <c r="T576" s="10">
        <v>0</v>
      </c>
      <c r="U576" s="10">
        <v>1.6749000000000001E-4</v>
      </c>
      <c r="V576" s="25"/>
      <c r="W576" s="25"/>
      <c r="X576" s="25"/>
      <c r="Y576" s="25"/>
      <c r="Z576" s="25"/>
      <c r="AA576" s="25"/>
    </row>
    <row r="577" spans="1:27" x14ac:dyDescent="0.35">
      <c r="A577" s="5">
        <v>573</v>
      </c>
      <c r="B577" s="5">
        <v>24</v>
      </c>
      <c r="C577" s="5">
        <v>1</v>
      </c>
      <c r="D577" s="25">
        <v>1.1416E-4</v>
      </c>
      <c r="E577" s="25">
        <v>1.2115E-4</v>
      </c>
      <c r="F577" s="25">
        <v>1.0117E-4</v>
      </c>
      <c r="G577" s="25">
        <v>5.4599999999999999E-5</v>
      </c>
      <c r="H577" s="25">
        <v>6.7970000000000001E-5</v>
      </c>
      <c r="I577" s="9">
        <v>1.2418999999999999E-4</v>
      </c>
      <c r="J577" s="9">
        <v>1.2179E-4</v>
      </c>
      <c r="K577" s="9">
        <v>3.6452000000000001E-4</v>
      </c>
      <c r="L577" s="9">
        <v>1.4210000000000001E-4</v>
      </c>
      <c r="M577" s="9">
        <v>1.3621999999999999E-4</v>
      </c>
      <c r="N577" s="9">
        <v>1.1375E-4</v>
      </c>
      <c r="O577" s="9">
        <v>8.4569999999999998E-5</v>
      </c>
      <c r="P577" s="9">
        <v>8.5669999999999998E-5</v>
      </c>
      <c r="Q577" s="9">
        <v>8.7650000000000003E-5</v>
      </c>
      <c r="R577" s="10">
        <v>1.8096827155255333E-4</v>
      </c>
      <c r="S577" s="10">
        <v>1.8477042107796669E-4</v>
      </c>
      <c r="T577" s="10">
        <v>0</v>
      </c>
      <c r="U577" s="10">
        <v>1.6749000000000001E-4</v>
      </c>
      <c r="V577" s="25"/>
      <c r="W577" s="25"/>
      <c r="X577" s="25"/>
      <c r="Y577" s="25"/>
      <c r="Z577" s="25"/>
      <c r="AA577" s="25"/>
    </row>
    <row r="578" spans="1:27" x14ac:dyDescent="0.35">
      <c r="A578" s="5">
        <v>574</v>
      </c>
      <c r="B578" s="5">
        <v>24</v>
      </c>
      <c r="C578" s="5">
        <v>1</v>
      </c>
      <c r="D578" s="25">
        <v>1.1415000000000001E-4</v>
      </c>
      <c r="E578" s="25">
        <v>1.1903E-4</v>
      </c>
      <c r="F578" s="25">
        <v>9.5480000000000001E-5</v>
      </c>
      <c r="G578" s="25">
        <v>5.8470000000000001E-5</v>
      </c>
      <c r="H578" s="25">
        <v>6.881E-5</v>
      </c>
      <c r="I578" s="9">
        <v>1.1809E-4</v>
      </c>
      <c r="J578" s="9">
        <v>1.1615E-4</v>
      </c>
      <c r="K578" s="9">
        <v>3.4120999999999999E-4</v>
      </c>
      <c r="L578" s="9">
        <v>9.8179999999999999E-5</v>
      </c>
      <c r="M578" s="9">
        <v>1.1409E-4</v>
      </c>
      <c r="N578" s="9">
        <v>1.0594000000000001E-4</v>
      </c>
      <c r="O578" s="9">
        <v>8.8090000000000005E-5</v>
      </c>
      <c r="P578" s="9">
        <v>8.7750000000000005E-5</v>
      </c>
      <c r="Q578" s="9">
        <v>8.8399999999999994E-5</v>
      </c>
      <c r="R578" s="10">
        <v>1.7978053219944591E-4</v>
      </c>
      <c r="S578" s="10">
        <v>1.8373449625487399E-4</v>
      </c>
      <c r="T578" s="10">
        <v>0</v>
      </c>
      <c r="U578" s="10">
        <v>1.6749000000000001E-4</v>
      </c>
      <c r="V578" s="25"/>
      <c r="W578" s="25"/>
      <c r="X578" s="25"/>
      <c r="Y578" s="25"/>
      <c r="Z578" s="25"/>
      <c r="AA578" s="25"/>
    </row>
    <row r="579" spans="1:27" x14ac:dyDescent="0.35">
      <c r="A579" s="5">
        <v>575</v>
      </c>
      <c r="B579" s="5">
        <v>24</v>
      </c>
      <c r="C579" s="5">
        <v>1</v>
      </c>
      <c r="D579" s="25">
        <v>1.1416E-4</v>
      </c>
      <c r="E579" s="25">
        <v>1.1443E-4</v>
      </c>
      <c r="F579" s="25">
        <v>1.0383E-4</v>
      </c>
      <c r="G579" s="25">
        <v>5.7649999999999999E-5</v>
      </c>
      <c r="H579" s="25">
        <v>7.6589999999999997E-5</v>
      </c>
      <c r="I579" s="9">
        <v>1.1929E-4</v>
      </c>
      <c r="J579" s="9">
        <v>1.0972999999999999E-4</v>
      </c>
      <c r="K579" s="9">
        <v>3.2424999999999999E-4</v>
      </c>
      <c r="L579" s="9">
        <v>9.1299999999999997E-5</v>
      </c>
      <c r="M579" s="9">
        <v>9.9160000000000006E-5</v>
      </c>
      <c r="N579" s="9">
        <v>1.0009999999999999E-4</v>
      </c>
      <c r="O579" s="9">
        <v>7.8949999999999995E-5</v>
      </c>
      <c r="P579" s="9">
        <v>7.2810000000000003E-5</v>
      </c>
      <c r="Q579" s="9">
        <v>6.7509999999999996E-5</v>
      </c>
      <c r="R579" s="10">
        <v>1.7785254770679476E-4</v>
      </c>
      <c r="S579" s="10">
        <v>1.8321805131241181E-4</v>
      </c>
      <c r="T579" s="10">
        <v>0</v>
      </c>
      <c r="U579" s="10">
        <v>1.6749000000000001E-4</v>
      </c>
      <c r="V579" s="25"/>
      <c r="W579" s="25"/>
      <c r="X579" s="25"/>
      <c r="Y579" s="25"/>
      <c r="Z579" s="25"/>
      <c r="AA579" s="25"/>
    </row>
    <row r="580" spans="1:27" x14ac:dyDescent="0.35">
      <c r="A580" s="5">
        <v>576</v>
      </c>
      <c r="B580" s="5">
        <v>24</v>
      </c>
      <c r="C580" s="5">
        <v>1</v>
      </c>
      <c r="D580" s="25">
        <v>1.1415000000000001E-4</v>
      </c>
      <c r="E580" s="25">
        <v>1.1915E-4</v>
      </c>
      <c r="F580" s="25">
        <v>9.5279999999999996E-5</v>
      </c>
      <c r="G580" s="25">
        <v>5.3069999999999998E-5</v>
      </c>
      <c r="H580" s="25">
        <v>7.1680000000000005E-5</v>
      </c>
      <c r="I580" s="9">
        <v>1.1835E-4</v>
      </c>
      <c r="J580" s="9">
        <v>1.0275E-4</v>
      </c>
      <c r="K580" s="9">
        <v>3.5604000000000001E-4</v>
      </c>
      <c r="L580" s="9">
        <v>8.1639999999999998E-5</v>
      </c>
      <c r="M580" s="9">
        <v>8.6399999999999999E-5</v>
      </c>
      <c r="N580" s="9">
        <v>9.0870000000000002E-5</v>
      </c>
      <c r="O580" s="9">
        <v>6.2979999999999997E-5</v>
      </c>
      <c r="P580" s="9">
        <v>6.0770000000000003E-5</v>
      </c>
      <c r="Q580" s="9">
        <v>5.8950000000000003E-5</v>
      </c>
      <c r="R580" s="10">
        <v>1.6697803647363764E-4</v>
      </c>
      <c r="S580" s="10">
        <v>1.8490838825280454E-4</v>
      </c>
      <c r="T580" s="10">
        <v>0</v>
      </c>
      <c r="U580" s="10">
        <v>1.6749000000000001E-4</v>
      </c>
      <c r="V580" s="25"/>
      <c r="W580" s="25"/>
      <c r="X580" s="25"/>
      <c r="Y580" s="25"/>
      <c r="Z580" s="25"/>
      <c r="AA580" s="25"/>
    </row>
    <row r="581" spans="1:27" x14ac:dyDescent="0.35">
      <c r="A581" s="5">
        <v>577</v>
      </c>
      <c r="B581" s="5">
        <v>25</v>
      </c>
      <c r="C581" s="5">
        <v>1</v>
      </c>
      <c r="D581" s="25">
        <v>1.1416E-4</v>
      </c>
      <c r="E581" s="25">
        <v>1.1264000000000001E-4</v>
      </c>
      <c r="F581" s="25">
        <v>1.2794E-4</v>
      </c>
      <c r="G581" s="25">
        <v>6.1340000000000006E-5</v>
      </c>
      <c r="H581" s="25">
        <v>6.8990000000000002E-5</v>
      </c>
      <c r="I581" s="9">
        <v>1.1097E-4</v>
      </c>
      <c r="J581" s="9">
        <v>9.7170000000000006E-5</v>
      </c>
      <c r="K581" s="9">
        <v>3.3697000000000002E-4</v>
      </c>
      <c r="L581" s="9">
        <v>6.7059999999999998E-5</v>
      </c>
      <c r="M581" s="9">
        <v>7.4259999999999997E-5</v>
      </c>
      <c r="N581" s="9">
        <v>8.1390000000000005E-5</v>
      </c>
      <c r="O581" s="9">
        <v>5.4979999999999999E-5</v>
      </c>
      <c r="P581" s="9">
        <v>5.4389999999999999E-5</v>
      </c>
      <c r="Q581" s="9">
        <v>5.3959999999999998E-5</v>
      </c>
      <c r="R581" s="10">
        <v>1.58035049739038E-4</v>
      </c>
      <c r="S581" s="10">
        <v>1.824367265404214E-4</v>
      </c>
      <c r="T581" s="10">
        <v>0</v>
      </c>
      <c r="U581" s="10">
        <v>1.6723000000000001E-4</v>
      </c>
      <c r="V581" s="25"/>
      <c r="W581" s="25"/>
      <c r="X581" s="25"/>
      <c r="Y581" s="25"/>
      <c r="Z581" s="25"/>
      <c r="AA581" s="25"/>
    </row>
    <row r="582" spans="1:27" x14ac:dyDescent="0.35">
      <c r="A582" s="5">
        <v>578</v>
      </c>
      <c r="B582" s="5">
        <v>25</v>
      </c>
      <c r="C582" s="5">
        <v>1</v>
      </c>
      <c r="D582" s="25">
        <v>1.1415000000000001E-4</v>
      </c>
      <c r="E582" s="25">
        <v>1.0838E-4</v>
      </c>
      <c r="F582" s="25">
        <v>1.1505E-4</v>
      </c>
      <c r="G582" s="25">
        <v>6.3189999999999996E-5</v>
      </c>
      <c r="H582" s="25">
        <v>7.5809999999999994E-5</v>
      </c>
      <c r="I582" s="9">
        <v>1.0620000000000001E-4</v>
      </c>
      <c r="J582" s="9">
        <v>9.3709999999999996E-5</v>
      </c>
      <c r="K582" s="9">
        <v>3.6240000000000003E-4</v>
      </c>
      <c r="L582" s="9">
        <v>5.804E-5</v>
      </c>
      <c r="M582" s="9">
        <v>6.4209999999999997E-5</v>
      </c>
      <c r="N582" s="9">
        <v>7.2319999999999999E-5</v>
      </c>
      <c r="O582" s="9">
        <v>1.8309999999999999E-5</v>
      </c>
      <c r="P582" s="9">
        <v>3.7849999999999998E-5</v>
      </c>
      <c r="Q582" s="9">
        <v>5.6339999999999999E-5</v>
      </c>
      <c r="R582" s="10">
        <v>1.4503101543918812E-4</v>
      </c>
      <c r="S582" s="10">
        <v>1.7232878506176594E-4</v>
      </c>
      <c r="T582" s="10">
        <v>0</v>
      </c>
      <c r="U582" s="10">
        <v>1.6723000000000001E-4</v>
      </c>
      <c r="V582" s="25"/>
      <c r="W582" s="25"/>
      <c r="X582" s="25"/>
      <c r="Y582" s="25"/>
      <c r="Z582" s="25"/>
      <c r="AA582" s="25"/>
    </row>
    <row r="583" spans="1:27" x14ac:dyDescent="0.35">
      <c r="A583" s="5">
        <v>579</v>
      </c>
      <c r="B583" s="5">
        <v>25</v>
      </c>
      <c r="C583" s="5">
        <v>1</v>
      </c>
      <c r="D583" s="25">
        <v>1.1416E-4</v>
      </c>
      <c r="E583" s="25">
        <v>1.1334E-4</v>
      </c>
      <c r="F583" s="25">
        <v>1.1716E-4</v>
      </c>
      <c r="G583" s="25">
        <v>5.2920000000000002E-5</v>
      </c>
      <c r="H583" s="25">
        <v>6.4980000000000005E-5</v>
      </c>
      <c r="I583" s="9">
        <v>1.0294E-4</v>
      </c>
      <c r="J583" s="9">
        <v>9.2109999999999997E-5</v>
      </c>
      <c r="K583" s="9">
        <v>3.4968E-4</v>
      </c>
      <c r="L583" s="9">
        <v>2.726E-5</v>
      </c>
      <c r="M583" s="9">
        <v>5.2439999999999999E-5</v>
      </c>
      <c r="N583" s="9">
        <v>6.5749999999999999E-5</v>
      </c>
      <c r="O583" s="9">
        <v>1.269E-5</v>
      </c>
      <c r="P583" s="9">
        <v>3.7769999999999999E-5</v>
      </c>
      <c r="Q583" s="9">
        <v>6.156E-5</v>
      </c>
      <c r="R583" s="10">
        <v>1.3848585850914335E-4</v>
      </c>
      <c r="S583" s="10">
        <v>1.6815176155025687E-4</v>
      </c>
      <c r="T583" s="10">
        <v>0</v>
      </c>
      <c r="U583" s="10">
        <v>1.6723000000000001E-4</v>
      </c>
      <c r="V583" s="25"/>
      <c r="W583" s="25"/>
      <c r="X583" s="25"/>
      <c r="Y583" s="25"/>
      <c r="Z583" s="25"/>
      <c r="AA583" s="25"/>
    </row>
    <row r="584" spans="1:27" x14ac:dyDescent="0.35">
      <c r="A584" s="5">
        <v>580</v>
      </c>
      <c r="B584" s="5">
        <v>25</v>
      </c>
      <c r="C584" s="5">
        <v>1</v>
      </c>
      <c r="D584" s="25">
        <v>1.1415000000000001E-4</v>
      </c>
      <c r="E584" s="25">
        <v>1.1260999999999999E-4</v>
      </c>
      <c r="F584" s="25">
        <v>1.2066999999999999E-4</v>
      </c>
      <c r="G584" s="25">
        <v>5.694E-5</v>
      </c>
      <c r="H584" s="25">
        <v>6.2739999999999999E-5</v>
      </c>
      <c r="I584" s="9">
        <v>9.9569999999999997E-5</v>
      </c>
      <c r="J584" s="9">
        <v>9.1760000000000002E-5</v>
      </c>
      <c r="K584" s="9">
        <v>3.3909000000000001E-4</v>
      </c>
      <c r="L584" s="9">
        <v>1.666E-5</v>
      </c>
      <c r="M584" s="9">
        <v>4.4339999999999999E-5</v>
      </c>
      <c r="N584" s="9">
        <v>6.2119999999999995E-5</v>
      </c>
      <c r="O584" s="9">
        <v>1.272E-5</v>
      </c>
      <c r="P584" s="9">
        <v>4.7320000000000001E-5</v>
      </c>
      <c r="Q584" s="9">
        <v>8.0489999999999997E-5</v>
      </c>
      <c r="R584" s="10">
        <v>1.2953746540579804E-4</v>
      </c>
      <c r="S584" s="10">
        <v>1.5877505447350312E-4</v>
      </c>
      <c r="T584" s="10">
        <v>0</v>
      </c>
      <c r="U584" s="10">
        <v>1.6723000000000001E-4</v>
      </c>
      <c r="V584" s="25"/>
      <c r="W584" s="25"/>
      <c r="X584" s="25"/>
      <c r="Y584" s="25"/>
      <c r="Z584" s="25"/>
      <c r="AA584" s="25"/>
    </row>
    <row r="585" spans="1:27" x14ac:dyDescent="0.35">
      <c r="A585" s="5">
        <v>581</v>
      </c>
      <c r="B585" s="5">
        <v>25</v>
      </c>
      <c r="C585" s="5">
        <v>1</v>
      </c>
      <c r="D585" s="25">
        <v>1.1416E-4</v>
      </c>
      <c r="E585" s="25">
        <v>1.0713E-4</v>
      </c>
      <c r="F585" s="25">
        <v>1.2666000000000001E-4</v>
      </c>
      <c r="G585" s="25">
        <v>5.482E-5</v>
      </c>
      <c r="H585" s="25">
        <v>7.1439999999999994E-5</v>
      </c>
      <c r="I585" s="9">
        <v>1.0149000000000001E-4</v>
      </c>
      <c r="J585" s="9">
        <v>9.2319999999999997E-5</v>
      </c>
      <c r="K585" s="9">
        <v>3.4545000000000002E-4</v>
      </c>
      <c r="L585" s="9">
        <v>1.384E-5</v>
      </c>
      <c r="M585" s="9">
        <v>4.3590000000000001E-5</v>
      </c>
      <c r="N585" s="9">
        <v>6.4620000000000001E-5</v>
      </c>
      <c r="O585" s="9">
        <v>1.8410000000000002E-5</v>
      </c>
      <c r="P585" s="9">
        <v>5.7080000000000002E-5</v>
      </c>
      <c r="Q585" s="9">
        <v>9.4389999999999996E-5</v>
      </c>
      <c r="R585" s="10">
        <v>1.2173976325012741E-4</v>
      </c>
      <c r="S585" s="10">
        <v>1.4783508822764529E-4</v>
      </c>
      <c r="T585" s="10">
        <v>0</v>
      </c>
      <c r="U585" s="10">
        <v>1.6723000000000001E-4</v>
      </c>
      <c r="V585" s="25"/>
      <c r="W585" s="25"/>
      <c r="X585" s="25"/>
      <c r="Y585" s="25"/>
      <c r="Z585" s="25"/>
      <c r="AA585" s="25"/>
    </row>
    <row r="586" spans="1:27" x14ac:dyDescent="0.35">
      <c r="A586" s="5">
        <v>582</v>
      </c>
      <c r="B586" s="5">
        <v>25</v>
      </c>
      <c r="C586" s="5">
        <v>1</v>
      </c>
      <c r="D586" s="25">
        <v>1.1415000000000001E-4</v>
      </c>
      <c r="E586" s="25">
        <v>1.1598E-4</v>
      </c>
      <c r="F586" s="25">
        <v>1.1383E-4</v>
      </c>
      <c r="G586" s="25">
        <v>1.1406E-4</v>
      </c>
      <c r="H586" s="25">
        <v>1.3867E-4</v>
      </c>
      <c r="I586" s="9">
        <v>1.0854E-4</v>
      </c>
      <c r="J586" s="9">
        <v>9.6680000000000003E-5</v>
      </c>
      <c r="K586" s="9">
        <v>3.5604000000000001E-4</v>
      </c>
      <c r="L586" s="9">
        <v>1.7269999999999999E-5</v>
      </c>
      <c r="M586" s="9">
        <v>4.8609999999999997E-5</v>
      </c>
      <c r="N586" s="9">
        <v>7.1299999999999998E-5</v>
      </c>
      <c r="O586" s="9">
        <v>4.617E-5</v>
      </c>
      <c r="P586" s="9">
        <v>7.6879999999999996E-5</v>
      </c>
      <c r="Q586" s="9">
        <v>1.0705999999999999E-4</v>
      </c>
      <c r="R586" s="10">
        <v>1.2658318824401387E-4</v>
      </c>
      <c r="S586" s="10">
        <v>1.3656204158543541E-4</v>
      </c>
      <c r="T586" s="10">
        <v>0</v>
      </c>
      <c r="U586" s="10">
        <v>1.6723000000000001E-4</v>
      </c>
      <c r="V586" s="25"/>
      <c r="W586" s="25"/>
      <c r="X586" s="25"/>
      <c r="Y586" s="25"/>
      <c r="Z586" s="25"/>
      <c r="AA586" s="25"/>
    </row>
    <row r="587" spans="1:27" x14ac:dyDescent="0.35">
      <c r="A587" s="5">
        <v>583</v>
      </c>
      <c r="B587" s="5">
        <v>25</v>
      </c>
      <c r="C587" s="5">
        <v>1</v>
      </c>
      <c r="D587" s="25">
        <v>1.1416E-4</v>
      </c>
      <c r="E587" s="25">
        <v>1.0978E-4</v>
      </c>
      <c r="F587" s="25">
        <v>1.0972E-4</v>
      </c>
      <c r="G587" s="25">
        <v>1.1260999999999999E-4</v>
      </c>
      <c r="H587" s="25">
        <v>1.3841999999999999E-4</v>
      </c>
      <c r="I587" s="9">
        <v>1.2354E-4</v>
      </c>
      <c r="J587" s="9">
        <v>1.0957E-4</v>
      </c>
      <c r="K587" s="9">
        <v>3.4544000000000003E-4</v>
      </c>
      <c r="L587" s="9">
        <v>3.9660000000000003E-5</v>
      </c>
      <c r="M587" s="9">
        <v>6.0210000000000001E-5</v>
      </c>
      <c r="N587" s="9">
        <v>8.0959999999999997E-5</v>
      </c>
      <c r="O587" s="9">
        <v>1.2327E-4</v>
      </c>
      <c r="P587" s="9">
        <v>1.164E-4</v>
      </c>
      <c r="Q587" s="9">
        <v>1.115E-4</v>
      </c>
      <c r="R587" s="10">
        <v>1.2317891774787904E-4</v>
      </c>
      <c r="S587" s="10">
        <v>1.2694321783724024E-4</v>
      </c>
      <c r="T587" s="10">
        <v>0</v>
      </c>
      <c r="U587" s="10">
        <v>1.6723000000000001E-4</v>
      </c>
      <c r="V587" s="25"/>
      <c r="W587" s="25"/>
      <c r="X587" s="25"/>
      <c r="Y587" s="25"/>
      <c r="Z587" s="25"/>
      <c r="AA587" s="25"/>
    </row>
    <row r="588" spans="1:27" x14ac:dyDescent="0.35">
      <c r="A588" s="5">
        <v>584</v>
      </c>
      <c r="B588" s="5">
        <v>25</v>
      </c>
      <c r="C588" s="5">
        <v>1</v>
      </c>
      <c r="D588" s="25">
        <v>1.1415000000000001E-4</v>
      </c>
      <c r="E588" s="25">
        <v>1.0703E-4</v>
      </c>
      <c r="F588" s="25">
        <v>1.2787000000000001E-4</v>
      </c>
      <c r="G588" s="25">
        <v>1.6616999999999999E-4</v>
      </c>
      <c r="H588" s="25">
        <v>1.9078000000000001E-4</v>
      </c>
      <c r="I588" s="9">
        <v>1.3611999999999999E-4</v>
      </c>
      <c r="J588" s="9">
        <v>1.2847999999999999E-4</v>
      </c>
      <c r="K588" s="9">
        <v>3.2849000000000002E-4</v>
      </c>
      <c r="L588" s="9">
        <v>1.0425E-4</v>
      </c>
      <c r="M588" s="9">
        <v>8.3419999999999998E-5</v>
      </c>
      <c r="N588" s="9">
        <v>9.0799999999999998E-5</v>
      </c>
      <c r="O588" s="9">
        <v>2.2241000000000001E-4</v>
      </c>
      <c r="P588" s="9">
        <v>1.7709E-4</v>
      </c>
      <c r="Q588" s="9">
        <v>1.3681000000000001E-4</v>
      </c>
      <c r="R588" s="10">
        <v>1.1864783676294407E-4</v>
      </c>
      <c r="S588" s="10">
        <v>1.0738786249292461E-4</v>
      </c>
      <c r="T588" s="10">
        <v>0</v>
      </c>
      <c r="U588" s="10">
        <v>1.6723000000000001E-4</v>
      </c>
      <c r="V588" s="25"/>
      <c r="W588" s="25"/>
      <c r="X588" s="25"/>
      <c r="Y588" s="25"/>
      <c r="Z588" s="25"/>
      <c r="AA588" s="25"/>
    </row>
    <row r="589" spans="1:27" x14ac:dyDescent="0.35">
      <c r="A589" s="5">
        <v>585</v>
      </c>
      <c r="B589" s="5">
        <v>25</v>
      </c>
      <c r="C589" s="5">
        <v>1</v>
      </c>
      <c r="D589" s="25">
        <v>1.1416E-4</v>
      </c>
      <c r="E589" s="25">
        <v>1.1215E-4</v>
      </c>
      <c r="F589" s="25">
        <v>1.1844E-4</v>
      </c>
      <c r="G589" s="25">
        <v>1.6562E-4</v>
      </c>
      <c r="H589" s="25">
        <v>1.9570000000000001E-4</v>
      </c>
      <c r="I589" s="9">
        <v>1.3899999999999999E-4</v>
      </c>
      <c r="J589" s="9">
        <v>1.4013E-4</v>
      </c>
      <c r="K589" s="9">
        <v>3.2636999999999998E-4</v>
      </c>
      <c r="L589" s="9">
        <v>1.9463999999999999E-4</v>
      </c>
      <c r="M589" s="9">
        <v>1.2313999999999999E-4</v>
      </c>
      <c r="N589" s="9">
        <v>1.0454E-4</v>
      </c>
      <c r="O589" s="9">
        <v>2.1526999999999999E-4</v>
      </c>
      <c r="P589" s="9">
        <v>1.9443999999999999E-4</v>
      </c>
      <c r="Q589" s="9">
        <v>1.7808E-4</v>
      </c>
      <c r="R589" s="10">
        <v>1.1436609824609681E-4</v>
      </c>
      <c r="S589" s="10">
        <v>1.0224750455290324E-4</v>
      </c>
      <c r="T589" s="10">
        <v>4.0470107900179809E-5</v>
      </c>
      <c r="U589" s="10">
        <v>1.6723000000000001E-4</v>
      </c>
      <c r="V589" s="25"/>
      <c r="W589" s="25"/>
      <c r="X589" s="25"/>
      <c r="Y589" s="25"/>
      <c r="Z589" s="25"/>
      <c r="AA589" s="25"/>
    </row>
    <row r="590" spans="1:27" x14ac:dyDescent="0.35">
      <c r="A590" s="5">
        <v>586</v>
      </c>
      <c r="B590" s="5">
        <v>25</v>
      </c>
      <c r="C590" s="5">
        <v>1</v>
      </c>
      <c r="D590" s="25">
        <v>1.1415000000000001E-4</v>
      </c>
      <c r="E590" s="25">
        <v>1.0787E-4</v>
      </c>
      <c r="F590" s="25">
        <v>1.2774999999999999E-4</v>
      </c>
      <c r="G590" s="25">
        <v>1.6667E-4</v>
      </c>
      <c r="H590" s="25">
        <v>1.918E-4</v>
      </c>
      <c r="I590" s="9">
        <v>1.3875000000000001E-4</v>
      </c>
      <c r="J590" s="9">
        <v>1.4237000000000001E-4</v>
      </c>
      <c r="K590" s="9">
        <v>3.0093999999999997E-4</v>
      </c>
      <c r="L590" s="9">
        <v>2.0835999999999999E-4</v>
      </c>
      <c r="M590" s="9">
        <v>1.5888999999999999E-4</v>
      </c>
      <c r="N590" s="9">
        <v>1.2479E-4</v>
      </c>
      <c r="O590" s="9">
        <v>1.6831999999999999E-4</v>
      </c>
      <c r="P590" s="9">
        <v>1.7340000000000001E-4</v>
      </c>
      <c r="Q590" s="9">
        <v>1.8137000000000001E-4</v>
      </c>
      <c r="R590" s="10">
        <v>1.1598629319504212E-4</v>
      </c>
      <c r="S590" s="10">
        <v>9.4144607173454078E-5</v>
      </c>
      <c r="T590" s="10">
        <v>1.8206457975470828E-4</v>
      </c>
      <c r="U590" s="10">
        <v>1.6723000000000001E-4</v>
      </c>
      <c r="V590" s="25"/>
      <c r="W590" s="25"/>
      <c r="X590" s="25"/>
      <c r="Y590" s="25"/>
      <c r="Z590" s="25"/>
      <c r="AA590" s="25"/>
    </row>
    <row r="591" spans="1:27" x14ac:dyDescent="0.35">
      <c r="A591" s="5">
        <v>587</v>
      </c>
      <c r="B591" s="5">
        <v>25</v>
      </c>
      <c r="C591" s="5">
        <v>1</v>
      </c>
      <c r="D591" s="25">
        <v>1.1416E-4</v>
      </c>
      <c r="E591" s="25">
        <v>1.1012E-4</v>
      </c>
      <c r="F591" s="25">
        <v>1.1948E-4</v>
      </c>
      <c r="G591" s="25">
        <v>1.6229999999999999E-4</v>
      </c>
      <c r="H591" s="25">
        <v>1.9484E-4</v>
      </c>
      <c r="I591" s="9">
        <v>1.3647E-4</v>
      </c>
      <c r="J591" s="9">
        <v>1.4140999999999999E-4</v>
      </c>
      <c r="K591" s="9">
        <v>2.9033999999999999E-4</v>
      </c>
      <c r="L591" s="9">
        <v>1.7717000000000001E-4</v>
      </c>
      <c r="M591" s="9">
        <v>1.7243E-4</v>
      </c>
      <c r="N591" s="9">
        <v>1.4266999999999999E-4</v>
      </c>
      <c r="O591" s="9">
        <v>1.6945999999999999E-4</v>
      </c>
      <c r="P591" s="9">
        <v>1.7321E-4</v>
      </c>
      <c r="Q591" s="9">
        <v>1.7991E-4</v>
      </c>
      <c r="R591" s="10">
        <v>1.2219010027345788E-4</v>
      </c>
      <c r="S591" s="10">
        <v>8.5063428385903257E-5</v>
      </c>
      <c r="T591" s="10">
        <v>5.2577203072833175E-5</v>
      </c>
      <c r="U591" s="10">
        <v>1.6723000000000001E-4</v>
      </c>
      <c r="V591" s="25"/>
      <c r="W591" s="25"/>
      <c r="X591" s="25"/>
      <c r="Y591" s="25"/>
      <c r="Z591" s="25"/>
      <c r="AA591" s="25"/>
    </row>
    <row r="592" spans="1:27" x14ac:dyDescent="0.35">
      <c r="A592" s="5">
        <v>588</v>
      </c>
      <c r="B592" s="5">
        <v>25</v>
      </c>
      <c r="C592" s="5">
        <v>1</v>
      </c>
      <c r="D592" s="25">
        <v>1.1415000000000001E-4</v>
      </c>
      <c r="E592" s="25">
        <v>1.0708E-4</v>
      </c>
      <c r="F592" s="25">
        <v>1.1026E-4</v>
      </c>
      <c r="G592" s="25">
        <v>1.6166999999999999E-4</v>
      </c>
      <c r="H592" s="25">
        <v>1.8918E-4</v>
      </c>
      <c r="I592" s="9">
        <v>1.3739000000000001E-4</v>
      </c>
      <c r="J592" s="9">
        <v>1.3966E-4</v>
      </c>
      <c r="K592" s="9">
        <v>3.0518E-4</v>
      </c>
      <c r="L592" s="9">
        <v>1.7264E-4</v>
      </c>
      <c r="M592" s="9">
        <v>1.7495E-4</v>
      </c>
      <c r="N592" s="9">
        <v>1.5683E-4</v>
      </c>
      <c r="O592" s="9">
        <v>1.7223999999999999E-4</v>
      </c>
      <c r="P592" s="9">
        <v>1.7184000000000001E-4</v>
      </c>
      <c r="Q592" s="9">
        <v>1.7452E-4</v>
      </c>
      <c r="R592" s="10">
        <v>9.0806656367380191E-5</v>
      </c>
      <c r="S592" s="10">
        <v>9.5392729569738523E-5</v>
      </c>
      <c r="T592" s="10">
        <v>1.6529960423882666E-4</v>
      </c>
      <c r="U592" s="10">
        <v>1.6723000000000001E-4</v>
      </c>
      <c r="V592" s="25"/>
      <c r="W592" s="25"/>
      <c r="X592" s="25"/>
      <c r="Y592" s="25"/>
      <c r="Z592" s="25"/>
      <c r="AA592" s="25"/>
    </row>
    <row r="593" spans="1:27" x14ac:dyDescent="0.35">
      <c r="A593" s="5">
        <v>589</v>
      </c>
      <c r="B593" s="5">
        <v>25</v>
      </c>
      <c r="C593" s="5">
        <v>1</v>
      </c>
      <c r="D593" s="25">
        <v>1.1416E-4</v>
      </c>
      <c r="E593" s="25">
        <v>1.1019E-4</v>
      </c>
      <c r="F593" s="25">
        <v>1.0737E-4</v>
      </c>
      <c r="G593" s="25">
        <v>1.6227E-4</v>
      </c>
      <c r="H593" s="25">
        <v>1.9048000000000001E-4</v>
      </c>
      <c r="I593" s="9">
        <v>1.3437E-4</v>
      </c>
      <c r="J593" s="9">
        <v>1.3631E-4</v>
      </c>
      <c r="K593" s="9">
        <v>2.8822E-4</v>
      </c>
      <c r="L593" s="9">
        <v>1.7249E-4</v>
      </c>
      <c r="M593" s="9">
        <v>1.74E-4</v>
      </c>
      <c r="N593" s="9">
        <v>1.6639000000000001E-4</v>
      </c>
      <c r="O593" s="9">
        <v>1.6327E-4</v>
      </c>
      <c r="P593" s="9">
        <v>1.6381999999999999E-4</v>
      </c>
      <c r="Q593" s="9">
        <v>1.6720999999999999E-4</v>
      </c>
      <c r="R593" s="10">
        <v>1.016877129927705E-4</v>
      </c>
      <c r="S593" s="10">
        <v>1.0248425513108568E-4</v>
      </c>
      <c r="T593" s="10">
        <v>1.4412279306087093E-4</v>
      </c>
      <c r="U593" s="10">
        <v>1.6723000000000001E-4</v>
      </c>
      <c r="V593" s="25"/>
      <c r="W593" s="25"/>
      <c r="X593" s="25"/>
      <c r="Y593" s="25"/>
      <c r="Z593" s="25"/>
      <c r="AA593" s="25"/>
    </row>
    <row r="594" spans="1:27" x14ac:dyDescent="0.35">
      <c r="A594" s="5">
        <v>590</v>
      </c>
      <c r="B594" s="5">
        <v>25</v>
      </c>
      <c r="C594" s="5">
        <v>1</v>
      </c>
      <c r="D594" s="25">
        <v>1.1415000000000001E-4</v>
      </c>
      <c r="E594" s="25">
        <v>1.0819000000000001E-4</v>
      </c>
      <c r="F594" s="25">
        <v>1.2197E-4</v>
      </c>
      <c r="G594" s="25">
        <v>1.6297999999999999E-4</v>
      </c>
      <c r="H594" s="25">
        <v>1.9526E-4</v>
      </c>
      <c r="I594" s="9">
        <v>1.3362000000000001E-4</v>
      </c>
      <c r="J594" s="9">
        <v>1.3592000000000001E-4</v>
      </c>
      <c r="K594" s="9">
        <v>2.8186999999999998E-4</v>
      </c>
      <c r="L594" s="9">
        <v>1.6501999999999999E-4</v>
      </c>
      <c r="M594" s="9">
        <v>1.7007E-4</v>
      </c>
      <c r="N594" s="9">
        <v>1.7063000000000001E-4</v>
      </c>
      <c r="O594" s="9">
        <v>1.8071999999999999E-4</v>
      </c>
      <c r="P594" s="9">
        <v>1.6922000000000001E-4</v>
      </c>
      <c r="Q594" s="9">
        <v>1.6117E-4</v>
      </c>
      <c r="R594" s="10">
        <v>1.0192066375540146E-4</v>
      </c>
      <c r="S594" s="10">
        <v>9.1282705042036456E-5</v>
      </c>
      <c r="T594" s="10">
        <v>1.2057886236422545E-4</v>
      </c>
      <c r="U594" s="10">
        <v>1.6723000000000001E-4</v>
      </c>
      <c r="V594" s="25"/>
      <c r="W594" s="25"/>
      <c r="X594" s="25"/>
      <c r="Y594" s="25"/>
      <c r="Z594" s="25"/>
      <c r="AA594" s="25"/>
    </row>
    <row r="595" spans="1:27" x14ac:dyDescent="0.35">
      <c r="A595" s="5">
        <v>591</v>
      </c>
      <c r="B595" s="5">
        <v>25</v>
      </c>
      <c r="C595" s="5">
        <v>1</v>
      </c>
      <c r="D595" s="25">
        <v>1.1416E-4</v>
      </c>
      <c r="E595" s="25">
        <v>1.0626E-4</v>
      </c>
      <c r="F595" s="25">
        <v>1.1657E-4</v>
      </c>
      <c r="G595" s="25">
        <v>1.574E-4</v>
      </c>
      <c r="H595" s="25">
        <v>1.9122E-4</v>
      </c>
      <c r="I595" s="9">
        <v>1.3072999999999999E-4</v>
      </c>
      <c r="J595" s="9">
        <v>1.351E-4</v>
      </c>
      <c r="K595" s="9">
        <v>2.8611000000000001E-4</v>
      </c>
      <c r="L595" s="9">
        <v>1.7746E-4</v>
      </c>
      <c r="M595" s="9">
        <v>1.6862999999999999E-4</v>
      </c>
      <c r="N595" s="9">
        <v>1.7019E-4</v>
      </c>
      <c r="O595" s="9">
        <v>1.8458E-4</v>
      </c>
      <c r="P595" s="9">
        <v>1.6629000000000001E-4</v>
      </c>
      <c r="Q595" s="9">
        <v>1.5168000000000001E-4</v>
      </c>
      <c r="R595" s="10">
        <v>8.6793278520533209E-5</v>
      </c>
      <c r="S595" s="10">
        <v>1.0921162470680797E-4</v>
      </c>
      <c r="T595" s="10">
        <v>8.0320861947799204E-5</v>
      </c>
      <c r="U595" s="10">
        <v>1.6723000000000001E-4</v>
      </c>
      <c r="V595" s="25"/>
      <c r="W595" s="25"/>
      <c r="X595" s="25"/>
      <c r="Y595" s="25"/>
      <c r="Z595" s="25"/>
      <c r="AA595" s="25"/>
    </row>
    <row r="596" spans="1:27" x14ac:dyDescent="0.35">
      <c r="A596" s="5">
        <v>592</v>
      </c>
      <c r="B596" s="5">
        <v>25</v>
      </c>
      <c r="C596" s="5">
        <v>1</v>
      </c>
      <c r="D596" s="25">
        <v>1.1415000000000001E-4</v>
      </c>
      <c r="E596" s="25">
        <v>1.0705E-4</v>
      </c>
      <c r="F596" s="25">
        <v>1.0622E-4</v>
      </c>
      <c r="G596" s="25">
        <v>1.6526E-4</v>
      </c>
      <c r="H596" s="25">
        <v>1.9052000000000001E-4</v>
      </c>
      <c r="I596" s="9">
        <v>1.3014999999999999E-4</v>
      </c>
      <c r="J596" s="9">
        <v>1.3609000000000001E-4</v>
      </c>
      <c r="K596" s="9">
        <v>3.0940999999999998E-4</v>
      </c>
      <c r="L596" s="9">
        <v>1.8269E-4</v>
      </c>
      <c r="M596" s="9">
        <v>1.6751E-4</v>
      </c>
      <c r="N596" s="9">
        <v>1.6609E-4</v>
      </c>
      <c r="O596" s="9">
        <v>1.9919999999999999E-4</v>
      </c>
      <c r="P596" s="9">
        <v>1.5212E-4</v>
      </c>
      <c r="Q596" s="9">
        <v>1.0951999999999999E-4</v>
      </c>
      <c r="R596" s="10">
        <v>9.717692386762252E-5</v>
      </c>
      <c r="S596" s="10">
        <v>1.129628881090133E-4</v>
      </c>
      <c r="T596" s="10">
        <v>3.0314401578059212E-5</v>
      </c>
      <c r="U596" s="10">
        <v>1.6723000000000001E-4</v>
      </c>
      <c r="V596" s="25"/>
      <c r="W596" s="25"/>
      <c r="X596" s="25"/>
      <c r="Y596" s="25"/>
      <c r="Z596" s="25"/>
      <c r="AA596" s="25"/>
    </row>
    <row r="597" spans="1:27" x14ac:dyDescent="0.35">
      <c r="A597" s="5">
        <v>593</v>
      </c>
      <c r="B597" s="5">
        <v>25</v>
      </c>
      <c r="C597" s="5">
        <v>1</v>
      </c>
      <c r="D597" s="25">
        <v>1.1416E-4</v>
      </c>
      <c r="E597" s="25">
        <v>1.0848E-4</v>
      </c>
      <c r="F597" s="25">
        <v>1.1703E-4</v>
      </c>
      <c r="G597" s="25">
        <v>1.6667E-4</v>
      </c>
      <c r="H597" s="25">
        <v>1.9820999999999999E-4</v>
      </c>
      <c r="I597" s="9">
        <v>1.3172999999999999E-4</v>
      </c>
      <c r="J597" s="9">
        <v>1.3887E-4</v>
      </c>
      <c r="K597" s="9">
        <v>3.0518E-4</v>
      </c>
      <c r="L597" s="9">
        <v>1.9536E-4</v>
      </c>
      <c r="M597" s="9">
        <v>1.6178000000000001E-4</v>
      </c>
      <c r="N597" s="9">
        <v>1.5228E-4</v>
      </c>
      <c r="O597" s="9">
        <v>2.1602000000000001E-4</v>
      </c>
      <c r="P597" s="9">
        <v>1.5893E-4</v>
      </c>
      <c r="Q597" s="9">
        <v>1.069E-4</v>
      </c>
      <c r="R597" s="10">
        <v>1.1271336274937592E-4</v>
      </c>
      <c r="S597" s="10">
        <v>1.1925110075901159E-4</v>
      </c>
      <c r="T597" s="10">
        <v>0</v>
      </c>
      <c r="U597" s="10">
        <v>1.6723000000000001E-4</v>
      </c>
      <c r="V597" s="25"/>
      <c r="W597" s="25"/>
      <c r="X597" s="25"/>
      <c r="Y597" s="25"/>
      <c r="Z597" s="25"/>
      <c r="AA597" s="25"/>
    </row>
    <row r="598" spans="1:27" x14ac:dyDescent="0.35">
      <c r="A598" s="5">
        <v>594</v>
      </c>
      <c r="B598" s="5">
        <v>25</v>
      </c>
      <c r="C598" s="5">
        <v>1</v>
      </c>
      <c r="D598" s="25">
        <v>1.1415000000000001E-4</v>
      </c>
      <c r="E598" s="25">
        <v>1.0783E-4</v>
      </c>
      <c r="F598" s="25">
        <v>1.2774999999999999E-4</v>
      </c>
      <c r="G598" s="25">
        <v>1.6752999999999999E-4</v>
      </c>
      <c r="H598" s="25">
        <v>1.9783999999999999E-4</v>
      </c>
      <c r="I598" s="9">
        <v>1.4038000000000001E-4</v>
      </c>
      <c r="J598" s="9">
        <v>1.4719000000000001E-4</v>
      </c>
      <c r="K598" s="9">
        <v>3.0941999999999998E-4</v>
      </c>
      <c r="L598" s="9">
        <v>2.1122E-4</v>
      </c>
      <c r="M598" s="9">
        <v>1.5918E-4</v>
      </c>
      <c r="N598" s="9">
        <v>1.3887E-4</v>
      </c>
      <c r="O598" s="9">
        <v>2.0761999999999999E-4</v>
      </c>
      <c r="P598" s="9">
        <v>1.6024999999999999E-4</v>
      </c>
      <c r="Q598" s="9">
        <v>1.1757E-4</v>
      </c>
      <c r="R598" s="10">
        <v>1.1852586991124016E-4</v>
      </c>
      <c r="S598" s="10">
        <v>1.1555567728575428E-4</v>
      </c>
      <c r="T598" s="10">
        <v>0</v>
      </c>
      <c r="U598" s="10">
        <v>1.6723000000000001E-4</v>
      </c>
      <c r="V598" s="25"/>
      <c r="W598" s="25"/>
      <c r="X598" s="25"/>
      <c r="Y598" s="25"/>
      <c r="Z598" s="25"/>
      <c r="AA598" s="25"/>
    </row>
    <row r="599" spans="1:27" x14ac:dyDescent="0.35">
      <c r="A599" s="5">
        <v>595</v>
      </c>
      <c r="B599" s="5">
        <v>25</v>
      </c>
      <c r="C599" s="5">
        <v>1</v>
      </c>
      <c r="D599" s="25">
        <v>1.1416E-4</v>
      </c>
      <c r="E599" s="25">
        <v>1.139E-4</v>
      </c>
      <c r="F599" s="25">
        <v>1.1436E-4</v>
      </c>
      <c r="G599" s="25">
        <v>1.1312E-4</v>
      </c>
      <c r="H599" s="25">
        <v>1.3479E-4</v>
      </c>
      <c r="I599" s="9">
        <v>1.4640000000000001E-4</v>
      </c>
      <c r="J599" s="9">
        <v>1.4599E-4</v>
      </c>
      <c r="K599" s="9">
        <v>3.0729999999999999E-4</v>
      </c>
      <c r="L599" s="9">
        <v>2.0799999999999999E-4</v>
      </c>
      <c r="M599" s="9">
        <v>1.5906000000000001E-4</v>
      </c>
      <c r="N599" s="9">
        <v>1.2980000000000001E-4</v>
      </c>
      <c r="O599" s="9">
        <v>1.6744000000000001E-4</v>
      </c>
      <c r="P599" s="9">
        <v>1.3595E-4</v>
      </c>
      <c r="Q599" s="9">
        <v>1.0791E-4</v>
      </c>
      <c r="R599" s="10">
        <v>1.1388935124096388E-4</v>
      </c>
      <c r="S599" s="10">
        <v>1.1110144680743609E-4</v>
      </c>
      <c r="T599" s="10">
        <v>0</v>
      </c>
      <c r="U599" s="10">
        <v>1.6723000000000001E-4</v>
      </c>
      <c r="V599" s="25"/>
      <c r="W599" s="25"/>
      <c r="X599" s="25"/>
      <c r="Y599" s="25"/>
      <c r="Z599" s="25"/>
      <c r="AA599" s="25"/>
    </row>
    <row r="600" spans="1:27" x14ac:dyDescent="0.35">
      <c r="A600" s="5">
        <v>596</v>
      </c>
      <c r="B600" s="5">
        <v>25</v>
      </c>
      <c r="C600" s="5">
        <v>1</v>
      </c>
      <c r="D600" s="25">
        <v>1.1415000000000001E-4</v>
      </c>
      <c r="E600" s="25">
        <v>1.1022999999999999E-4</v>
      </c>
      <c r="F600" s="25">
        <v>1.2496999999999999E-4</v>
      </c>
      <c r="G600" s="25">
        <v>1.0862E-4</v>
      </c>
      <c r="H600" s="25">
        <v>1.2739000000000001E-4</v>
      </c>
      <c r="I600" s="9">
        <v>1.3993E-4</v>
      </c>
      <c r="J600" s="9">
        <v>1.4127000000000001E-4</v>
      </c>
      <c r="K600" s="9">
        <v>3.0941999999999998E-4</v>
      </c>
      <c r="L600" s="9">
        <v>1.7652999999999999E-4</v>
      </c>
      <c r="M600" s="9">
        <v>1.5087E-4</v>
      </c>
      <c r="N600" s="9">
        <v>1.209E-4</v>
      </c>
      <c r="O600" s="9">
        <v>1.2947999999999999E-4</v>
      </c>
      <c r="P600" s="9">
        <v>1.1432E-4</v>
      </c>
      <c r="Q600" s="9">
        <v>1.0141000000000001E-4</v>
      </c>
      <c r="R600" s="10">
        <v>1.208070874056755E-4</v>
      </c>
      <c r="S600" s="10">
        <v>1.1189417993367653E-4</v>
      </c>
      <c r="T600" s="10">
        <v>0</v>
      </c>
      <c r="U600" s="10">
        <v>1.6723000000000001E-4</v>
      </c>
      <c r="V600" s="25"/>
      <c r="W600" s="25"/>
      <c r="X600" s="25"/>
      <c r="Y600" s="25"/>
      <c r="Z600" s="25"/>
      <c r="AA600" s="25"/>
    </row>
    <row r="601" spans="1:27" x14ac:dyDescent="0.35">
      <c r="A601" s="5">
        <v>597</v>
      </c>
      <c r="B601" s="5">
        <v>25</v>
      </c>
      <c r="C601" s="5">
        <v>1</v>
      </c>
      <c r="D601" s="25">
        <v>1.1416E-4</v>
      </c>
      <c r="E601" s="25">
        <v>1.0716E-4</v>
      </c>
      <c r="F601" s="25">
        <v>1.0711E-4</v>
      </c>
      <c r="G601" s="25">
        <v>5.694E-5</v>
      </c>
      <c r="H601" s="25">
        <v>6.4989999999999999E-5</v>
      </c>
      <c r="I601" s="9">
        <v>1.3312E-4</v>
      </c>
      <c r="J601" s="9">
        <v>1.3422E-4</v>
      </c>
      <c r="K601" s="9">
        <v>3.3484999999999998E-4</v>
      </c>
      <c r="L601" s="9">
        <v>1.4081E-4</v>
      </c>
      <c r="M601" s="9">
        <v>1.3541000000000001E-4</v>
      </c>
      <c r="N601" s="9">
        <v>1.1315999999999999E-4</v>
      </c>
      <c r="O601" s="9">
        <v>8.6069999999999994E-5</v>
      </c>
      <c r="P601" s="9">
        <v>8.7180000000000002E-5</v>
      </c>
      <c r="Q601" s="9">
        <v>8.92E-5</v>
      </c>
      <c r="R601" s="10">
        <v>1.4992560877268187E-4</v>
      </c>
      <c r="S601" s="10">
        <v>1.1480715728698621E-4</v>
      </c>
      <c r="T601" s="10">
        <v>0</v>
      </c>
      <c r="U601" s="10">
        <v>1.6723000000000001E-4</v>
      </c>
      <c r="V601" s="25"/>
      <c r="W601" s="25"/>
      <c r="X601" s="25"/>
      <c r="Y601" s="25"/>
      <c r="Z601" s="25"/>
      <c r="AA601" s="25"/>
    </row>
    <row r="602" spans="1:27" x14ac:dyDescent="0.35">
      <c r="A602" s="5">
        <v>598</v>
      </c>
      <c r="B602" s="5">
        <v>25</v>
      </c>
      <c r="C602" s="5">
        <v>1</v>
      </c>
      <c r="D602" s="25">
        <v>1.1415000000000001E-4</v>
      </c>
      <c r="E602" s="25">
        <v>1.1169E-4</v>
      </c>
      <c r="F602" s="25">
        <v>1.0605E-4</v>
      </c>
      <c r="G602" s="25">
        <v>5.3019999999999997E-5</v>
      </c>
      <c r="H602" s="25">
        <v>6.9690000000000005E-5</v>
      </c>
      <c r="I602" s="9">
        <v>1.2546000000000001E-4</v>
      </c>
      <c r="J602" s="9">
        <v>1.2637999999999999E-4</v>
      </c>
      <c r="K602" s="9">
        <v>3.4331999999999999E-4</v>
      </c>
      <c r="L602" s="9">
        <v>9.9079999999999993E-5</v>
      </c>
      <c r="M602" s="9">
        <v>1.1404999999999999E-4</v>
      </c>
      <c r="N602" s="9">
        <v>1.058E-4</v>
      </c>
      <c r="O602" s="9">
        <v>8.7830000000000004E-5</v>
      </c>
      <c r="P602" s="9">
        <v>8.7490000000000004E-5</v>
      </c>
      <c r="Q602" s="9">
        <v>8.8140000000000007E-5</v>
      </c>
      <c r="R602" s="10">
        <v>1.6889125867897611E-4</v>
      </c>
      <c r="S602" s="10">
        <v>1.2245544216993057E-4</v>
      </c>
      <c r="T602" s="10">
        <v>0</v>
      </c>
      <c r="U602" s="10">
        <v>1.6723000000000001E-4</v>
      </c>
      <c r="V602" s="25"/>
      <c r="W602" s="25"/>
      <c r="X602" s="25"/>
      <c r="Y602" s="25"/>
      <c r="Z602" s="25"/>
      <c r="AA602" s="25"/>
    </row>
    <row r="603" spans="1:27" x14ac:dyDescent="0.35">
      <c r="A603" s="5">
        <v>599</v>
      </c>
      <c r="B603" s="5">
        <v>25</v>
      </c>
      <c r="C603" s="5">
        <v>1</v>
      </c>
      <c r="D603" s="25">
        <v>1.1416E-4</v>
      </c>
      <c r="E603" s="25">
        <v>1.0870999999999999E-4</v>
      </c>
      <c r="F603" s="25">
        <v>1.1328999999999999E-4</v>
      </c>
      <c r="G603" s="25">
        <v>5.9710000000000003E-5</v>
      </c>
      <c r="H603" s="25">
        <v>6.7199999999999994E-5</v>
      </c>
      <c r="I603" s="9">
        <v>1.2627999999999999E-4</v>
      </c>
      <c r="J603" s="9">
        <v>1.1754E-4</v>
      </c>
      <c r="K603" s="9">
        <v>3.5179999999999999E-4</v>
      </c>
      <c r="L603" s="9">
        <v>9.1240000000000001E-5</v>
      </c>
      <c r="M603" s="9">
        <v>9.9259999999999995E-5</v>
      </c>
      <c r="N603" s="9">
        <v>9.9980000000000002E-5</v>
      </c>
      <c r="O603" s="9">
        <v>7.7689999999999996E-5</v>
      </c>
      <c r="P603" s="9">
        <v>7.1649999999999993E-5</v>
      </c>
      <c r="Q603" s="9">
        <v>6.6439999999999994E-5</v>
      </c>
      <c r="R603" s="10">
        <v>1.743879245290707E-4</v>
      </c>
      <c r="S603" s="10">
        <v>1.4204172380693773E-4</v>
      </c>
      <c r="T603" s="10">
        <v>0</v>
      </c>
      <c r="U603" s="10">
        <v>1.6723000000000001E-4</v>
      </c>
      <c r="V603" s="25"/>
      <c r="W603" s="25"/>
      <c r="X603" s="25"/>
      <c r="Y603" s="25"/>
      <c r="Z603" s="25"/>
      <c r="AA603" s="25"/>
    </row>
    <row r="604" spans="1:27" x14ac:dyDescent="0.35">
      <c r="A604" s="5">
        <v>600</v>
      </c>
      <c r="B604" s="5">
        <v>25</v>
      </c>
      <c r="C604" s="5">
        <v>1</v>
      </c>
      <c r="D604" s="25">
        <v>1.1415000000000001E-4</v>
      </c>
      <c r="E604" s="25">
        <v>1.1474E-4</v>
      </c>
      <c r="F604" s="25">
        <v>1.2378000000000001E-4</v>
      </c>
      <c r="G604" s="25">
        <v>5.3489999999999998E-5</v>
      </c>
      <c r="H604" s="25">
        <v>6.4599999999999998E-5</v>
      </c>
      <c r="I604" s="9">
        <v>1.2437E-4</v>
      </c>
      <c r="J604" s="9">
        <v>1.1004E-4</v>
      </c>
      <c r="K604" s="9">
        <v>3.6240000000000003E-4</v>
      </c>
      <c r="L604" s="9">
        <v>8.0669999999999998E-5</v>
      </c>
      <c r="M604" s="9">
        <v>8.6059999999999999E-5</v>
      </c>
      <c r="N604" s="9">
        <v>9.0600000000000007E-5</v>
      </c>
      <c r="O604" s="9">
        <v>6.3040000000000006E-5</v>
      </c>
      <c r="P604" s="9">
        <v>6.0819999999999997E-5</v>
      </c>
      <c r="Q604" s="9">
        <v>5.8999999999999998E-5</v>
      </c>
      <c r="R604" s="10">
        <v>1.7505477236816336E-4</v>
      </c>
      <c r="S604" s="10">
        <v>1.7590474156772493E-4</v>
      </c>
      <c r="T604" s="10">
        <v>0</v>
      </c>
      <c r="U604" s="10">
        <v>1.6723000000000001E-4</v>
      </c>
      <c r="V604" s="25"/>
      <c r="W604" s="25"/>
      <c r="X604" s="25"/>
      <c r="Y604" s="25"/>
      <c r="Z604" s="25"/>
      <c r="AA604" s="25"/>
    </row>
    <row r="605" spans="1:27" x14ac:dyDescent="0.35">
      <c r="A605" s="5">
        <v>601</v>
      </c>
      <c r="B605" s="5">
        <v>26</v>
      </c>
      <c r="C605" s="5">
        <v>1</v>
      </c>
      <c r="D605" s="25">
        <v>1.1416E-4</v>
      </c>
      <c r="E605" s="25">
        <v>1.195E-4</v>
      </c>
      <c r="F605" s="25">
        <v>1.1915E-4</v>
      </c>
      <c r="G605" s="25">
        <v>6.2630000000000002E-5</v>
      </c>
      <c r="H605" s="25">
        <v>6.2830000000000007E-5</v>
      </c>
      <c r="I605" s="9">
        <v>1.1601E-4</v>
      </c>
      <c r="J605" s="9">
        <v>1.0284E-4</v>
      </c>
      <c r="K605" s="9">
        <v>3.6875999999999999E-4</v>
      </c>
      <c r="L605" s="9">
        <v>6.6929999999999998E-5</v>
      </c>
      <c r="M605" s="9">
        <v>7.3930000000000005E-5</v>
      </c>
      <c r="N605" s="9">
        <v>8.119E-5</v>
      </c>
      <c r="O605" s="9">
        <v>5.4799999999999997E-5</v>
      </c>
      <c r="P605" s="9">
        <v>5.4209999999999998E-5</v>
      </c>
      <c r="Q605" s="9">
        <v>5.3779999999999997E-5</v>
      </c>
      <c r="R605" s="10">
        <v>1.7127236510205602E-4</v>
      </c>
      <c r="S605" s="10">
        <v>1.7710994641939441E-4</v>
      </c>
      <c r="T605" s="10">
        <v>0</v>
      </c>
      <c r="U605" s="10">
        <v>1.6704999999999999E-4</v>
      </c>
      <c r="V605" s="25"/>
      <c r="W605" s="25"/>
      <c r="X605" s="25"/>
      <c r="Y605" s="25"/>
      <c r="Z605" s="25"/>
      <c r="AA605" s="25"/>
    </row>
    <row r="606" spans="1:27" x14ac:dyDescent="0.35">
      <c r="A606" s="5">
        <v>602</v>
      </c>
      <c r="B606" s="5">
        <v>26</v>
      </c>
      <c r="C606" s="5">
        <v>1</v>
      </c>
      <c r="D606" s="25">
        <v>1.1415000000000001E-4</v>
      </c>
      <c r="E606" s="25">
        <v>1.184E-4</v>
      </c>
      <c r="F606" s="25">
        <v>1.1958E-4</v>
      </c>
      <c r="G606" s="25">
        <v>6.2630000000000002E-5</v>
      </c>
      <c r="H606" s="25">
        <v>6.4670000000000003E-5</v>
      </c>
      <c r="I606" s="9">
        <v>1.1010000000000001E-4</v>
      </c>
      <c r="J606" s="9">
        <v>9.8270000000000006E-5</v>
      </c>
      <c r="K606" s="9">
        <v>3.6875999999999999E-4</v>
      </c>
      <c r="L606" s="9">
        <v>5.7840000000000002E-5</v>
      </c>
      <c r="M606" s="9">
        <v>6.3960000000000004E-5</v>
      </c>
      <c r="N606" s="9">
        <v>7.2150000000000005E-5</v>
      </c>
      <c r="O606" s="9">
        <v>1.823E-5</v>
      </c>
      <c r="P606" s="9">
        <v>3.7669999999999997E-5</v>
      </c>
      <c r="Q606" s="9">
        <v>5.6060000000000002E-5</v>
      </c>
      <c r="R606" s="10">
        <v>1.6869029439924558E-4</v>
      </c>
      <c r="S606" s="10">
        <v>1.776255793515968E-4</v>
      </c>
      <c r="T606" s="10">
        <v>0</v>
      </c>
      <c r="U606" s="10">
        <v>1.6704999999999999E-4</v>
      </c>
      <c r="V606" s="25"/>
      <c r="W606" s="25"/>
      <c r="X606" s="25"/>
      <c r="Y606" s="25"/>
      <c r="Z606" s="25"/>
      <c r="AA606" s="25"/>
    </row>
    <row r="607" spans="1:27" x14ac:dyDescent="0.35">
      <c r="A607" s="5">
        <v>603</v>
      </c>
      <c r="B607" s="5">
        <v>26</v>
      </c>
      <c r="C607" s="5">
        <v>1</v>
      </c>
      <c r="D607" s="25">
        <v>1.1416E-4</v>
      </c>
      <c r="E607" s="25">
        <v>1.1815E-4</v>
      </c>
      <c r="F607" s="25">
        <v>1.2532999999999999E-4</v>
      </c>
      <c r="G607" s="25">
        <v>5.7769999999999997E-5</v>
      </c>
      <c r="H607" s="25">
        <v>7.0240000000000005E-5</v>
      </c>
      <c r="I607" s="9">
        <v>1.0598E-4</v>
      </c>
      <c r="J607" s="9">
        <v>9.5909999999999995E-5</v>
      </c>
      <c r="K607" s="9">
        <v>3.6875999999999999E-4</v>
      </c>
      <c r="L607" s="9">
        <v>2.7140000000000001E-5</v>
      </c>
      <c r="M607" s="9">
        <v>5.2240000000000001E-5</v>
      </c>
      <c r="N607" s="9">
        <v>6.5519999999999996E-5</v>
      </c>
      <c r="O607" s="9">
        <v>1.2619999999999999E-5</v>
      </c>
      <c r="P607" s="9">
        <v>3.7549999999999998E-5</v>
      </c>
      <c r="Q607" s="9">
        <v>6.1199999999999997E-5</v>
      </c>
      <c r="R607" s="10">
        <v>1.648218728169045E-4</v>
      </c>
      <c r="S607" s="10">
        <v>1.7525633584954952E-4</v>
      </c>
      <c r="T607" s="10">
        <v>0</v>
      </c>
      <c r="U607" s="10">
        <v>1.6704999999999999E-4</v>
      </c>
      <c r="V607" s="25"/>
      <c r="W607" s="25"/>
      <c r="X607" s="25"/>
      <c r="Y607" s="25"/>
      <c r="Z607" s="25"/>
      <c r="AA607" s="25"/>
    </row>
    <row r="608" spans="1:27" x14ac:dyDescent="0.35">
      <c r="A608" s="5">
        <v>604</v>
      </c>
      <c r="B608" s="5">
        <v>26</v>
      </c>
      <c r="C608" s="5">
        <v>1</v>
      </c>
      <c r="D608" s="25">
        <v>1.1415000000000001E-4</v>
      </c>
      <c r="E608" s="25">
        <v>1.2058E-4</v>
      </c>
      <c r="F608" s="25">
        <v>1.1364E-4</v>
      </c>
      <c r="G608" s="25">
        <v>6.3139999999999995E-5</v>
      </c>
      <c r="H608" s="25">
        <v>6.97E-5</v>
      </c>
      <c r="I608" s="9">
        <v>1.0435E-4</v>
      </c>
      <c r="J608" s="9">
        <v>9.4900000000000003E-5</v>
      </c>
      <c r="K608" s="9">
        <v>3.7088000000000003E-4</v>
      </c>
      <c r="L608" s="9">
        <v>1.658E-5</v>
      </c>
      <c r="M608" s="9">
        <v>4.4140000000000001E-5</v>
      </c>
      <c r="N608" s="9">
        <v>6.1849999999999999E-5</v>
      </c>
      <c r="O608" s="9">
        <v>1.259E-5</v>
      </c>
      <c r="P608" s="9">
        <v>4.6810000000000001E-5</v>
      </c>
      <c r="Q608" s="9">
        <v>7.962E-5</v>
      </c>
      <c r="R608" s="10">
        <v>1.7011188337179775E-4</v>
      </c>
      <c r="S608" s="10">
        <v>1.7501176748740133E-4</v>
      </c>
      <c r="T608" s="10">
        <v>0</v>
      </c>
      <c r="U608" s="10">
        <v>1.6704999999999999E-4</v>
      </c>
      <c r="V608" s="25"/>
      <c r="W608" s="25"/>
      <c r="X608" s="25"/>
      <c r="Y608" s="25"/>
      <c r="Z608" s="25"/>
      <c r="AA608" s="25"/>
    </row>
    <row r="609" spans="1:27" x14ac:dyDescent="0.35">
      <c r="A609" s="5">
        <v>605</v>
      </c>
      <c r="B609" s="5">
        <v>26</v>
      </c>
      <c r="C609" s="5">
        <v>1</v>
      </c>
      <c r="D609" s="25">
        <v>1.1416E-4</v>
      </c>
      <c r="E609" s="25">
        <v>1.11E-4</v>
      </c>
      <c r="F609" s="25">
        <v>1.0661E-4</v>
      </c>
      <c r="G609" s="25">
        <v>5.3319999999999998E-5</v>
      </c>
      <c r="H609" s="25">
        <v>6.2379999999999996E-5</v>
      </c>
      <c r="I609" s="9">
        <v>1.066E-4</v>
      </c>
      <c r="J609" s="9">
        <v>9.535E-5</v>
      </c>
      <c r="K609" s="9">
        <v>3.7300000000000001E-4</v>
      </c>
      <c r="L609" s="9">
        <v>1.3720000000000001E-5</v>
      </c>
      <c r="M609" s="9">
        <v>4.3279999999999999E-5</v>
      </c>
      <c r="N609" s="9">
        <v>6.423E-5</v>
      </c>
      <c r="O609" s="9">
        <v>1.827E-5</v>
      </c>
      <c r="P609" s="9">
        <v>5.664E-5</v>
      </c>
      <c r="Q609" s="9">
        <v>9.365E-5</v>
      </c>
      <c r="R609" s="10">
        <v>1.7309051692827285E-4</v>
      </c>
      <c r="S609" s="10">
        <v>1.7598351490980435E-4</v>
      </c>
      <c r="T609" s="10">
        <v>0</v>
      </c>
      <c r="U609" s="10">
        <v>1.6704999999999999E-4</v>
      </c>
      <c r="V609" s="25"/>
      <c r="W609" s="25"/>
      <c r="X609" s="25"/>
      <c r="Y609" s="25"/>
      <c r="Z609" s="25"/>
      <c r="AA609" s="25"/>
    </row>
    <row r="610" spans="1:27" x14ac:dyDescent="0.35">
      <c r="A610" s="5">
        <v>606</v>
      </c>
      <c r="B610" s="5">
        <v>26</v>
      </c>
      <c r="C610" s="5">
        <v>1</v>
      </c>
      <c r="D610" s="25">
        <v>1.1415000000000001E-4</v>
      </c>
      <c r="E610" s="25">
        <v>1.187E-4</v>
      </c>
      <c r="F610" s="25">
        <v>1.1134E-4</v>
      </c>
      <c r="G610" s="25">
        <v>1.08E-4</v>
      </c>
      <c r="H610" s="25">
        <v>1.2960000000000001E-4</v>
      </c>
      <c r="I610" s="9">
        <v>1.1234999999999999E-4</v>
      </c>
      <c r="J610" s="9">
        <v>9.9290000000000007E-5</v>
      </c>
      <c r="K610" s="9">
        <v>3.6875999999999999E-4</v>
      </c>
      <c r="L610" s="9">
        <v>1.713E-5</v>
      </c>
      <c r="M610" s="9">
        <v>4.8220000000000002E-5</v>
      </c>
      <c r="N610" s="9">
        <v>7.0790000000000005E-5</v>
      </c>
      <c r="O610" s="9">
        <v>4.6629999999999999E-5</v>
      </c>
      <c r="P610" s="9">
        <v>7.7650000000000004E-5</v>
      </c>
      <c r="Q610" s="9">
        <v>1.0812E-4</v>
      </c>
      <c r="R610" s="10">
        <v>1.7499715404196303E-4</v>
      </c>
      <c r="S610" s="10">
        <v>1.7575608277933905E-4</v>
      </c>
      <c r="T610" s="10">
        <v>0</v>
      </c>
      <c r="U610" s="10">
        <v>1.6704999999999999E-4</v>
      </c>
      <c r="V610" s="25"/>
      <c r="W610" s="25"/>
      <c r="X610" s="25"/>
      <c r="Y610" s="25"/>
      <c r="Z610" s="25"/>
      <c r="AA610" s="25"/>
    </row>
    <row r="611" spans="1:27" x14ac:dyDescent="0.35">
      <c r="A611" s="5">
        <v>607</v>
      </c>
      <c r="B611" s="5">
        <v>26</v>
      </c>
      <c r="C611" s="5">
        <v>1</v>
      </c>
      <c r="D611" s="25">
        <v>1.1416E-4</v>
      </c>
      <c r="E611" s="25">
        <v>1.1927E-4</v>
      </c>
      <c r="F611" s="25">
        <v>1.1387000000000001E-4</v>
      </c>
      <c r="G611" s="25">
        <v>1.0815999999999999E-4</v>
      </c>
      <c r="H611" s="25">
        <v>1.3687000000000001E-4</v>
      </c>
      <c r="I611" s="9">
        <v>1.2541000000000001E-4</v>
      </c>
      <c r="J611" s="9">
        <v>1.1122E-4</v>
      </c>
      <c r="K611" s="9">
        <v>3.6664E-4</v>
      </c>
      <c r="L611" s="9">
        <v>3.9990000000000002E-5</v>
      </c>
      <c r="M611" s="9">
        <v>6.0210000000000001E-5</v>
      </c>
      <c r="N611" s="9">
        <v>8.0760000000000006E-5</v>
      </c>
      <c r="O611" s="9">
        <v>1.2423999999999999E-4</v>
      </c>
      <c r="P611" s="9">
        <v>1.1731E-4</v>
      </c>
      <c r="Q611" s="9">
        <v>1.1237E-4</v>
      </c>
      <c r="R611" s="10">
        <v>1.751981702510079E-4</v>
      </c>
      <c r="S611" s="10">
        <v>1.798673960654014E-4</v>
      </c>
      <c r="T611" s="10">
        <v>0</v>
      </c>
      <c r="U611" s="10">
        <v>1.6704999999999999E-4</v>
      </c>
      <c r="V611" s="25"/>
      <c r="W611" s="25"/>
      <c r="X611" s="25"/>
      <c r="Y611" s="25"/>
      <c r="Z611" s="25"/>
      <c r="AA611" s="25"/>
    </row>
    <row r="612" spans="1:27" x14ac:dyDescent="0.35">
      <c r="A612" s="5">
        <v>608</v>
      </c>
      <c r="B612" s="5">
        <v>26</v>
      </c>
      <c r="C612" s="5">
        <v>1</v>
      </c>
      <c r="D612" s="25">
        <v>1.1415000000000001E-4</v>
      </c>
      <c r="E612" s="25">
        <v>1.1742E-4</v>
      </c>
      <c r="F612" s="25">
        <v>1.1979E-4</v>
      </c>
      <c r="G612" s="25">
        <v>1.6370999999999999E-4</v>
      </c>
      <c r="H612" s="25">
        <v>1.9862999999999999E-4</v>
      </c>
      <c r="I612" s="9">
        <v>1.3749000000000001E-4</v>
      </c>
      <c r="J612" s="9">
        <v>1.3051999999999999E-4</v>
      </c>
      <c r="K612" s="9">
        <v>3.6875999999999999E-4</v>
      </c>
      <c r="L612" s="9">
        <v>1.0506E-4</v>
      </c>
      <c r="M612" s="9">
        <v>8.386E-5</v>
      </c>
      <c r="N612" s="9">
        <v>9.0870000000000002E-5</v>
      </c>
      <c r="O612" s="9">
        <v>2.2238999999999999E-4</v>
      </c>
      <c r="P612" s="9">
        <v>1.7708000000000001E-4</v>
      </c>
      <c r="Q612" s="9">
        <v>1.3679E-4</v>
      </c>
      <c r="R612" s="10">
        <v>1.7639945748250562E-4</v>
      </c>
      <c r="S612" s="10">
        <v>1.8110369540984064E-4</v>
      </c>
      <c r="T612" s="10">
        <v>0</v>
      </c>
      <c r="U612" s="10">
        <v>1.6704999999999999E-4</v>
      </c>
      <c r="V612" s="25"/>
      <c r="W612" s="25"/>
      <c r="X612" s="25"/>
      <c r="Y612" s="25"/>
      <c r="Z612" s="25"/>
      <c r="AA612" s="25"/>
    </row>
    <row r="613" spans="1:27" x14ac:dyDescent="0.35">
      <c r="A613" s="5">
        <v>609</v>
      </c>
      <c r="B613" s="5">
        <v>26</v>
      </c>
      <c r="C613" s="5">
        <v>1</v>
      </c>
      <c r="D613" s="25">
        <v>1.1416E-4</v>
      </c>
      <c r="E613" s="25">
        <v>1.2058E-4</v>
      </c>
      <c r="F613" s="25">
        <v>1.1234999999999999E-4</v>
      </c>
      <c r="G613" s="25">
        <v>1.5996000000000001E-4</v>
      </c>
      <c r="H613" s="25">
        <v>1.9851E-4</v>
      </c>
      <c r="I613" s="9">
        <v>1.4105000000000001E-4</v>
      </c>
      <c r="J613" s="9">
        <v>1.4100000000000001E-4</v>
      </c>
      <c r="K613" s="9">
        <v>3.4968E-4</v>
      </c>
      <c r="L613" s="9">
        <v>1.9479E-4</v>
      </c>
      <c r="M613" s="9">
        <v>1.2352000000000001E-4</v>
      </c>
      <c r="N613" s="9">
        <v>1.0467E-4</v>
      </c>
      <c r="O613" s="9">
        <v>2.1442E-4</v>
      </c>
      <c r="P613" s="9">
        <v>1.9368E-4</v>
      </c>
      <c r="Q613" s="9">
        <v>1.7736999999999999E-4</v>
      </c>
      <c r="R613" s="10">
        <v>1.7670692468697868E-4</v>
      </c>
      <c r="S613" s="10">
        <v>1.8107854999344436E-4</v>
      </c>
      <c r="T613" s="10">
        <v>2.6725542952948928E-6</v>
      </c>
      <c r="U613" s="10">
        <v>1.6704999999999999E-4</v>
      </c>
      <c r="V613" s="25"/>
      <c r="W613" s="25"/>
      <c r="X613" s="25"/>
      <c r="Y613" s="25"/>
      <c r="Z613" s="25"/>
      <c r="AA613" s="25"/>
    </row>
    <row r="614" spans="1:27" x14ac:dyDescent="0.35">
      <c r="A614" s="5">
        <v>610</v>
      </c>
      <c r="B614" s="5">
        <v>26</v>
      </c>
      <c r="C614" s="5">
        <v>1</v>
      </c>
      <c r="D614" s="25">
        <v>1.1415000000000001E-4</v>
      </c>
      <c r="E614" s="25">
        <v>1.2056E-4</v>
      </c>
      <c r="F614" s="25">
        <v>1.1730000000000001E-4</v>
      </c>
      <c r="G614" s="25">
        <v>1.5964000000000001E-4</v>
      </c>
      <c r="H614" s="25">
        <v>1.9948000000000001E-4</v>
      </c>
      <c r="I614" s="9">
        <v>1.4144E-4</v>
      </c>
      <c r="J614" s="9">
        <v>1.4338E-4</v>
      </c>
      <c r="K614" s="9">
        <v>3.3061000000000001E-4</v>
      </c>
      <c r="L614" s="9">
        <v>2.0775000000000001E-4</v>
      </c>
      <c r="M614" s="9">
        <v>1.5883E-4</v>
      </c>
      <c r="N614" s="9">
        <v>1.2480999999999999E-4</v>
      </c>
      <c r="O614" s="9">
        <v>1.6746999999999999E-4</v>
      </c>
      <c r="P614" s="9">
        <v>1.7252000000000001E-4</v>
      </c>
      <c r="Q614" s="9">
        <v>1.8045E-4</v>
      </c>
      <c r="R614" s="10">
        <v>1.744916705139039E-4</v>
      </c>
      <c r="S614" s="10">
        <v>1.7987789771204028E-4</v>
      </c>
      <c r="T614" s="10">
        <v>2.9550814636546385E-5</v>
      </c>
      <c r="U614" s="10">
        <v>1.6704999999999999E-4</v>
      </c>
      <c r="V614" s="25"/>
      <c r="W614" s="25"/>
      <c r="X614" s="25"/>
      <c r="Y614" s="25"/>
      <c r="Z614" s="25"/>
      <c r="AA614" s="25"/>
    </row>
    <row r="615" spans="1:27" x14ac:dyDescent="0.35">
      <c r="A615" s="5">
        <v>611</v>
      </c>
      <c r="B615" s="5">
        <v>26</v>
      </c>
      <c r="C615" s="5">
        <v>1</v>
      </c>
      <c r="D615" s="25">
        <v>1.1416E-4</v>
      </c>
      <c r="E615" s="25">
        <v>1.1677E-4</v>
      </c>
      <c r="F615" s="25">
        <v>1.1598E-4</v>
      </c>
      <c r="G615" s="25">
        <v>1.5831999999999999E-4</v>
      </c>
      <c r="H615" s="25">
        <v>1.8975E-4</v>
      </c>
      <c r="I615" s="9">
        <v>1.4129999999999999E-4</v>
      </c>
      <c r="J615" s="9">
        <v>1.4354999999999999E-4</v>
      </c>
      <c r="K615" s="9">
        <v>3.1576999999999999E-4</v>
      </c>
      <c r="L615" s="9">
        <v>1.7640000000000001E-4</v>
      </c>
      <c r="M615" s="9">
        <v>1.7195000000000001E-4</v>
      </c>
      <c r="N615" s="9">
        <v>1.4250999999999999E-4</v>
      </c>
      <c r="O615" s="9">
        <v>1.674E-4</v>
      </c>
      <c r="P615" s="9">
        <v>1.7111000000000001E-4</v>
      </c>
      <c r="Q615" s="9">
        <v>1.7772E-4</v>
      </c>
      <c r="R615" s="10">
        <v>1.7428304196405789E-4</v>
      </c>
      <c r="S615" s="10">
        <v>1.8124088446332557E-4</v>
      </c>
      <c r="T615" s="10">
        <v>4.6349727349828573E-5</v>
      </c>
      <c r="U615" s="10">
        <v>1.6704999999999999E-4</v>
      </c>
      <c r="V615" s="25"/>
      <c r="W615" s="25"/>
      <c r="X615" s="25"/>
      <c r="Y615" s="25"/>
      <c r="Z615" s="25"/>
      <c r="AA615" s="25"/>
    </row>
    <row r="616" spans="1:27" x14ac:dyDescent="0.35">
      <c r="A616" s="5">
        <v>612</v>
      </c>
      <c r="B616" s="5">
        <v>26</v>
      </c>
      <c r="C616" s="5">
        <v>1</v>
      </c>
      <c r="D616" s="25">
        <v>1.1415000000000001E-4</v>
      </c>
      <c r="E616" s="25">
        <v>1.138E-4</v>
      </c>
      <c r="F616" s="25">
        <v>1.1919E-4</v>
      </c>
      <c r="G616" s="25">
        <v>1.5809999999999999E-4</v>
      </c>
      <c r="H616" s="25">
        <v>1.9434000000000001E-4</v>
      </c>
      <c r="I616" s="9">
        <v>1.4304000000000001E-4</v>
      </c>
      <c r="J616" s="9">
        <v>1.4192E-4</v>
      </c>
      <c r="K616" s="9">
        <v>2.9881999999999999E-4</v>
      </c>
      <c r="L616" s="9">
        <v>1.7086E-4</v>
      </c>
      <c r="M616" s="9">
        <v>1.7379E-4</v>
      </c>
      <c r="N616" s="9">
        <v>1.5616E-4</v>
      </c>
      <c r="O616" s="9">
        <v>1.7030999999999999E-4</v>
      </c>
      <c r="P616" s="9">
        <v>1.6992E-4</v>
      </c>
      <c r="Q616" s="9">
        <v>1.7257000000000001E-4</v>
      </c>
      <c r="R616" s="10">
        <v>1.7870448020493483E-4</v>
      </c>
      <c r="S616" s="10">
        <v>1.8767612914725096E-4</v>
      </c>
      <c r="T616" s="10">
        <v>6.3606792228018444E-5</v>
      </c>
      <c r="U616" s="10">
        <v>1.6704999999999999E-4</v>
      </c>
      <c r="V616" s="25"/>
      <c r="W616" s="25"/>
      <c r="X616" s="25"/>
      <c r="Y616" s="25"/>
      <c r="Z616" s="25"/>
      <c r="AA616" s="25"/>
    </row>
    <row r="617" spans="1:27" x14ac:dyDescent="0.35">
      <c r="A617" s="5">
        <v>613</v>
      </c>
      <c r="B617" s="5">
        <v>26</v>
      </c>
      <c r="C617" s="5">
        <v>1</v>
      </c>
      <c r="D617" s="25">
        <v>1.1416E-4</v>
      </c>
      <c r="E617" s="25">
        <v>1.1806E-4</v>
      </c>
      <c r="F617" s="25">
        <v>1.0572E-4</v>
      </c>
      <c r="G617" s="25">
        <v>1.5954000000000001E-4</v>
      </c>
      <c r="H617" s="25">
        <v>2.0076999999999999E-4</v>
      </c>
      <c r="I617" s="9">
        <v>1.3898E-4</v>
      </c>
      <c r="J617" s="9">
        <v>1.3962999999999999E-4</v>
      </c>
      <c r="K617" s="9">
        <v>2.8822E-4</v>
      </c>
      <c r="L617" s="9">
        <v>1.7061999999999999E-4</v>
      </c>
      <c r="M617" s="9">
        <v>1.7238999999999999E-4</v>
      </c>
      <c r="N617" s="9">
        <v>1.6529000000000001E-4</v>
      </c>
      <c r="O617" s="9">
        <v>1.6443E-4</v>
      </c>
      <c r="P617" s="9">
        <v>1.6499E-4</v>
      </c>
      <c r="Q617" s="9">
        <v>1.6841E-4</v>
      </c>
      <c r="R617" s="10">
        <v>1.7872502209433176E-4</v>
      </c>
      <c r="S617" s="10">
        <v>1.884236289666383E-4</v>
      </c>
      <c r="T617" s="10">
        <v>1.046029266879071E-4</v>
      </c>
      <c r="U617" s="10">
        <v>1.6704999999999999E-4</v>
      </c>
      <c r="V617" s="25"/>
      <c r="W617" s="25"/>
      <c r="X617" s="25"/>
      <c r="Y617" s="25"/>
      <c r="Z617" s="25"/>
      <c r="AA617" s="25"/>
    </row>
    <row r="618" spans="1:27" x14ac:dyDescent="0.35">
      <c r="A618" s="5">
        <v>614</v>
      </c>
      <c r="B618" s="5">
        <v>26</v>
      </c>
      <c r="C618" s="5">
        <v>1</v>
      </c>
      <c r="D618" s="25">
        <v>1.1415000000000001E-4</v>
      </c>
      <c r="E618" s="25">
        <v>1.1365E-4</v>
      </c>
      <c r="F618" s="25">
        <v>1.2114E-4</v>
      </c>
      <c r="G618" s="25">
        <v>1.6624000000000001E-4</v>
      </c>
      <c r="H618" s="25">
        <v>1.9204000000000001E-4</v>
      </c>
      <c r="I618" s="9">
        <v>1.3867E-4</v>
      </c>
      <c r="J618" s="9">
        <v>1.3981E-4</v>
      </c>
      <c r="K618" s="9">
        <v>2.9459000000000001E-4</v>
      </c>
      <c r="L618" s="9">
        <v>1.6553E-4</v>
      </c>
      <c r="M618" s="9">
        <v>1.6935999999999999E-4</v>
      </c>
      <c r="N618" s="9">
        <v>1.6987E-4</v>
      </c>
      <c r="O618" s="9">
        <v>1.8111000000000001E-4</v>
      </c>
      <c r="P618" s="9">
        <v>1.6958000000000001E-4</v>
      </c>
      <c r="Q618" s="9">
        <v>1.6150999999999999E-4</v>
      </c>
      <c r="R618" s="10">
        <v>1.8116678580656223E-4</v>
      </c>
      <c r="S618" s="10">
        <v>1.8988148983643406E-4</v>
      </c>
      <c r="T618" s="10">
        <v>5.0795500209303249E-5</v>
      </c>
      <c r="U618" s="10">
        <v>1.6704999999999999E-4</v>
      </c>
      <c r="V618" s="25"/>
      <c r="W618" s="25"/>
      <c r="X618" s="25"/>
      <c r="Y618" s="25"/>
      <c r="Z618" s="25"/>
      <c r="AA618" s="25"/>
    </row>
    <row r="619" spans="1:27" x14ac:dyDescent="0.35">
      <c r="A619" s="5">
        <v>615</v>
      </c>
      <c r="B619" s="5">
        <v>26</v>
      </c>
      <c r="C619" s="5">
        <v>1</v>
      </c>
      <c r="D619" s="25">
        <v>1.1416E-4</v>
      </c>
      <c r="E619" s="25">
        <v>1.1127E-4</v>
      </c>
      <c r="F619" s="25">
        <v>1.0624E-4</v>
      </c>
      <c r="G619" s="25">
        <v>1.6700999999999999E-4</v>
      </c>
      <c r="H619" s="25">
        <v>1.8746999999999999E-4</v>
      </c>
      <c r="I619" s="9">
        <v>1.3609000000000001E-4</v>
      </c>
      <c r="J619" s="9">
        <v>1.3973999999999999E-4</v>
      </c>
      <c r="K619" s="9">
        <v>2.9245999999999997E-4</v>
      </c>
      <c r="L619" s="9">
        <v>1.7778999999999999E-4</v>
      </c>
      <c r="M619" s="9">
        <v>1.6857999999999999E-4</v>
      </c>
      <c r="N619" s="9">
        <v>1.6965E-4</v>
      </c>
      <c r="O619" s="9">
        <v>1.8746999999999999E-4</v>
      </c>
      <c r="P619" s="9">
        <v>1.6890000000000001E-4</v>
      </c>
      <c r="Q619" s="9">
        <v>1.5406E-4</v>
      </c>
      <c r="R619" s="10">
        <v>1.8860478303469962E-4</v>
      </c>
      <c r="S619" s="10">
        <v>1.9003868547846776E-4</v>
      </c>
      <c r="T619" s="10">
        <v>7.643505284543393E-5</v>
      </c>
      <c r="U619" s="10">
        <v>1.6704999999999999E-4</v>
      </c>
      <c r="V619" s="25"/>
      <c r="W619" s="25"/>
      <c r="X619" s="25"/>
      <c r="Y619" s="25"/>
      <c r="Z619" s="25"/>
      <c r="AA619" s="25"/>
    </row>
    <row r="620" spans="1:27" x14ac:dyDescent="0.35">
      <c r="A620" s="5">
        <v>616</v>
      </c>
      <c r="B620" s="5">
        <v>26</v>
      </c>
      <c r="C620" s="5">
        <v>1</v>
      </c>
      <c r="D620" s="25">
        <v>1.1415000000000001E-4</v>
      </c>
      <c r="E620" s="25">
        <v>1.1856E-4</v>
      </c>
      <c r="F620" s="25">
        <v>1.1898E-4</v>
      </c>
      <c r="G620" s="25">
        <v>1.6472000000000001E-4</v>
      </c>
      <c r="H620" s="25">
        <v>1.8832000000000001E-4</v>
      </c>
      <c r="I620" s="9">
        <v>1.3454E-4</v>
      </c>
      <c r="J620" s="9">
        <v>1.4027000000000001E-4</v>
      </c>
      <c r="K620" s="9">
        <v>2.9671E-4</v>
      </c>
      <c r="L620" s="9">
        <v>1.8501999999999999E-4</v>
      </c>
      <c r="M620" s="9">
        <v>1.6856E-4</v>
      </c>
      <c r="N620" s="9">
        <v>1.6626E-4</v>
      </c>
      <c r="O620" s="9">
        <v>1.9851999999999999E-4</v>
      </c>
      <c r="P620" s="9">
        <v>1.516E-4</v>
      </c>
      <c r="Q620" s="9">
        <v>1.0915E-4</v>
      </c>
      <c r="R620" s="10">
        <v>1.907933486322343E-4</v>
      </c>
      <c r="S620" s="10">
        <v>1.9005766458729382E-4</v>
      </c>
      <c r="T620" s="10">
        <v>5.2271768296228044E-5</v>
      </c>
      <c r="U620" s="10">
        <v>1.6704999999999999E-4</v>
      </c>
      <c r="V620" s="25"/>
      <c r="W620" s="25"/>
      <c r="X620" s="25"/>
      <c r="Y620" s="25"/>
      <c r="Z620" s="25"/>
      <c r="AA620" s="25"/>
    </row>
    <row r="621" spans="1:27" x14ac:dyDescent="0.35">
      <c r="A621" s="5">
        <v>617</v>
      </c>
      <c r="B621" s="5">
        <v>26</v>
      </c>
      <c r="C621" s="5">
        <v>1</v>
      </c>
      <c r="D621" s="25">
        <v>1.1416E-4</v>
      </c>
      <c r="E621" s="25">
        <v>1.2099000000000001E-4</v>
      </c>
      <c r="F621" s="25">
        <v>1.0728E-4</v>
      </c>
      <c r="G621" s="25">
        <v>1.6677E-4</v>
      </c>
      <c r="H621" s="25">
        <v>1.9803E-4</v>
      </c>
      <c r="I621" s="9">
        <v>1.3524000000000001E-4</v>
      </c>
      <c r="J621" s="9">
        <v>1.4253000000000001E-4</v>
      </c>
      <c r="K621" s="9">
        <v>3.0306000000000002E-4</v>
      </c>
      <c r="L621" s="9">
        <v>1.9531E-4</v>
      </c>
      <c r="M621" s="9">
        <v>1.6254E-4</v>
      </c>
      <c r="N621" s="9">
        <v>1.5255999999999999E-4</v>
      </c>
      <c r="O621" s="9">
        <v>2.1800000000000001E-4</v>
      </c>
      <c r="P621" s="9">
        <v>1.6039E-4</v>
      </c>
      <c r="Q621" s="9">
        <v>1.0788E-4</v>
      </c>
      <c r="R621" s="10">
        <v>2.0052197614522764E-4</v>
      </c>
      <c r="S621" s="10">
        <v>1.9020535676397531E-4</v>
      </c>
      <c r="T621" s="10">
        <v>0</v>
      </c>
      <c r="U621" s="10">
        <v>1.6704999999999999E-4</v>
      </c>
      <c r="V621" s="25"/>
      <c r="W621" s="25"/>
      <c r="X621" s="25"/>
      <c r="Y621" s="25"/>
      <c r="Z621" s="25"/>
      <c r="AA621" s="25"/>
    </row>
    <row r="622" spans="1:27" x14ac:dyDescent="0.35">
      <c r="A622" s="5">
        <v>618</v>
      </c>
      <c r="B622" s="5">
        <v>26</v>
      </c>
      <c r="C622" s="5">
        <v>1</v>
      </c>
      <c r="D622" s="25">
        <v>1.1415000000000001E-4</v>
      </c>
      <c r="E622" s="25">
        <v>1.1223E-4</v>
      </c>
      <c r="F622" s="25">
        <v>1.0877E-4</v>
      </c>
      <c r="G622" s="25">
        <v>1.5637999999999999E-4</v>
      </c>
      <c r="H622" s="25">
        <v>1.9096E-4</v>
      </c>
      <c r="I622" s="9">
        <v>1.4224999999999999E-4</v>
      </c>
      <c r="J622" s="9">
        <v>1.5024E-4</v>
      </c>
      <c r="K622" s="9">
        <v>3.2424999999999999E-4</v>
      </c>
      <c r="L622" s="9">
        <v>2.1280999999999999E-4</v>
      </c>
      <c r="M622" s="9">
        <v>1.6007E-4</v>
      </c>
      <c r="N622" s="9">
        <v>1.3946999999999999E-4</v>
      </c>
      <c r="O622" s="9">
        <v>2.0781E-4</v>
      </c>
      <c r="P622" s="9">
        <v>1.6039E-4</v>
      </c>
      <c r="Q622" s="9">
        <v>1.1768E-4</v>
      </c>
      <c r="R622" s="10">
        <v>2.1038296429818482E-4</v>
      </c>
      <c r="S622" s="10">
        <v>1.9027731315018128E-4</v>
      </c>
      <c r="T622" s="10">
        <v>0</v>
      </c>
      <c r="U622" s="10">
        <v>1.6704999999999999E-4</v>
      </c>
      <c r="V622" s="25"/>
      <c r="W622" s="25"/>
      <c r="X622" s="25"/>
      <c r="Y622" s="25"/>
      <c r="Z622" s="25"/>
      <c r="AA622" s="25"/>
    </row>
    <row r="623" spans="1:27" x14ac:dyDescent="0.35">
      <c r="A623" s="5">
        <v>619</v>
      </c>
      <c r="B623" s="5">
        <v>26</v>
      </c>
      <c r="C623" s="5">
        <v>1</v>
      </c>
      <c r="D623" s="25">
        <v>1.1416E-4</v>
      </c>
      <c r="E623" s="25">
        <v>1.1461E-4</v>
      </c>
      <c r="F623" s="25">
        <v>1.167E-4</v>
      </c>
      <c r="G623" s="25">
        <v>1.0853000000000001E-4</v>
      </c>
      <c r="H623" s="25">
        <v>1.3483000000000001E-4</v>
      </c>
      <c r="I623" s="9">
        <v>1.4655000000000001E-4</v>
      </c>
      <c r="J623" s="9">
        <v>1.472E-4</v>
      </c>
      <c r="K623" s="9">
        <v>3.2849000000000002E-4</v>
      </c>
      <c r="L623" s="9">
        <v>2.0845999999999999E-4</v>
      </c>
      <c r="M623" s="9">
        <v>1.5972E-4</v>
      </c>
      <c r="N623" s="9">
        <v>1.3036999999999999E-4</v>
      </c>
      <c r="O623" s="9">
        <v>1.6695999999999999E-4</v>
      </c>
      <c r="P623" s="9">
        <v>1.3557E-4</v>
      </c>
      <c r="Q623" s="9">
        <v>1.076E-4</v>
      </c>
      <c r="R623" s="10">
        <v>2.1127386842123853E-4</v>
      </c>
      <c r="S623" s="10">
        <v>1.9028915643104491E-4</v>
      </c>
      <c r="T623" s="10">
        <v>0</v>
      </c>
      <c r="U623" s="10">
        <v>1.6704999999999999E-4</v>
      </c>
      <c r="V623" s="25"/>
      <c r="W623" s="25"/>
      <c r="X623" s="25"/>
      <c r="Y623" s="25"/>
      <c r="Z623" s="25"/>
      <c r="AA623" s="25"/>
    </row>
    <row r="624" spans="1:27" x14ac:dyDescent="0.35">
      <c r="A624" s="5">
        <v>620</v>
      </c>
      <c r="B624" s="5">
        <v>26</v>
      </c>
      <c r="C624" s="5">
        <v>1</v>
      </c>
      <c r="D624" s="25">
        <v>1.1415000000000001E-4</v>
      </c>
      <c r="E624" s="25">
        <v>1.2066E-4</v>
      </c>
      <c r="F624" s="25">
        <v>1.0709000000000001E-4</v>
      </c>
      <c r="G624" s="25">
        <v>1.0619E-4</v>
      </c>
      <c r="H624" s="25">
        <v>1.2812000000000001E-4</v>
      </c>
      <c r="I624" s="9">
        <v>1.4017000000000001E-4</v>
      </c>
      <c r="J624" s="9">
        <v>1.4308999999999999E-4</v>
      </c>
      <c r="K624" s="9">
        <v>3.3061000000000001E-4</v>
      </c>
      <c r="L624" s="9">
        <v>1.7626999999999999E-4</v>
      </c>
      <c r="M624" s="9">
        <v>1.5109999999999999E-4</v>
      </c>
      <c r="N624" s="9">
        <v>1.2129999999999999E-4</v>
      </c>
      <c r="O624" s="9">
        <v>1.3045E-4</v>
      </c>
      <c r="P624" s="9">
        <v>1.1517E-4</v>
      </c>
      <c r="Q624" s="9">
        <v>1.0217000000000001E-4</v>
      </c>
      <c r="R624" s="10">
        <v>2.1044719089375873E-4</v>
      </c>
      <c r="S624" s="10">
        <v>1.9027199629532393E-4</v>
      </c>
      <c r="T624" s="10">
        <v>0</v>
      </c>
      <c r="U624" s="10">
        <v>1.6704999999999999E-4</v>
      </c>
      <c r="V624" s="25"/>
      <c r="W624" s="25"/>
      <c r="X624" s="25"/>
      <c r="Y624" s="25"/>
      <c r="Z624" s="25"/>
      <c r="AA624" s="25"/>
    </row>
    <row r="625" spans="1:27" x14ac:dyDescent="0.35">
      <c r="A625" s="5">
        <v>621</v>
      </c>
      <c r="B625" s="5">
        <v>26</v>
      </c>
      <c r="C625" s="5">
        <v>1</v>
      </c>
      <c r="D625" s="25">
        <v>1.1416E-4</v>
      </c>
      <c r="E625" s="25">
        <v>1.1874E-4</v>
      </c>
      <c r="F625" s="25">
        <v>1.0878E-4</v>
      </c>
      <c r="G625" s="25">
        <v>5.3300000000000001E-5</v>
      </c>
      <c r="H625" s="25">
        <v>6.3260000000000001E-5</v>
      </c>
      <c r="I625" s="9">
        <v>1.3244999999999999E-4</v>
      </c>
      <c r="J625" s="9">
        <v>1.3549999999999999E-4</v>
      </c>
      <c r="K625" s="9">
        <v>3.3061000000000001E-4</v>
      </c>
      <c r="L625" s="9">
        <v>1.4154E-4</v>
      </c>
      <c r="M625" s="9">
        <v>1.3574E-4</v>
      </c>
      <c r="N625" s="9">
        <v>1.1356E-4</v>
      </c>
      <c r="O625" s="9">
        <v>8.5080000000000005E-5</v>
      </c>
      <c r="P625" s="9">
        <v>8.6180000000000005E-5</v>
      </c>
      <c r="Q625" s="9">
        <v>8.8179999999999999E-5</v>
      </c>
      <c r="R625" s="10">
        <v>2.0869163941650089E-4</v>
      </c>
      <c r="S625" s="10">
        <v>1.9027423971210007E-4</v>
      </c>
      <c r="T625" s="10">
        <v>0</v>
      </c>
      <c r="U625" s="10">
        <v>1.6704999999999999E-4</v>
      </c>
      <c r="V625" s="25"/>
      <c r="W625" s="25"/>
      <c r="X625" s="25"/>
      <c r="Y625" s="25"/>
      <c r="Z625" s="25"/>
      <c r="AA625" s="25"/>
    </row>
    <row r="626" spans="1:27" x14ac:dyDescent="0.35">
      <c r="A626" s="5">
        <v>622</v>
      </c>
      <c r="B626" s="5">
        <v>26</v>
      </c>
      <c r="C626" s="5">
        <v>1</v>
      </c>
      <c r="D626" s="25">
        <v>1.1415000000000001E-4</v>
      </c>
      <c r="E626" s="25">
        <v>1.1401E-4</v>
      </c>
      <c r="F626" s="25">
        <v>1.125E-4</v>
      </c>
      <c r="G626" s="25">
        <v>6.1489999999999996E-5</v>
      </c>
      <c r="H626" s="25">
        <v>6.5539999999999999E-5</v>
      </c>
      <c r="I626" s="9">
        <v>1.2533999999999999E-4</v>
      </c>
      <c r="J626" s="9">
        <v>1.2758999999999999E-4</v>
      </c>
      <c r="K626" s="9">
        <v>3.2214E-4</v>
      </c>
      <c r="L626" s="9">
        <v>9.8430000000000005E-5</v>
      </c>
      <c r="M626" s="9">
        <v>1.1395000000000001E-4</v>
      </c>
      <c r="N626" s="9">
        <v>1.0586000000000001E-4</v>
      </c>
      <c r="O626" s="9">
        <v>8.7620000000000005E-5</v>
      </c>
      <c r="P626" s="9">
        <v>8.7280000000000005E-5</v>
      </c>
      <c r="Q626" s="9">
        <v>8.7929999999999993E-5</v>
      </c>
      <c r="R626" s="10">
        <v>2.0486780242583874E-4</v>
      </c>
      <c r="S626" s="10">
        <v>1.9025877824019533E-4</v>
      </c>
      <c r="T626" s="10">
        <v>0</v>
      </c>
      <c r="U626" s="10">
        <v>1.6704999999999999E-4</v>
      </c>
      <c r="V626" s="25"/>
      <c r="W626" s="25"/>
      <c r="X626" s="25"/>
      <c r="Y626" s="25"/>
      <c r="Z626" s="25"/>
      <c r="AA626" s="25"/>
    </row>
    <row r="627" spans="1:27" x14ac:dyDescent="0.35">
      <c r="A627" s="5">
        <v>623</v>
      </c>
      <c r="B627" s="5">
        <v>26</v>
      </c>
      <c r="C627" s="5">
        <v>1</v>
      </c>
      <c r="D627" s="25">
        <v>1.1416E-4</v>
      </c>
      <c r="E627" s="25">
        <v>1.167E-4</v>
      </c>
      <c r="F627" s="25">
        <v>1.1069999999999999E-4</v>
      </c>
      <c r="G627" s="25">
        <v>5.6280000000000003E-5</v>
      </c>
      <c r="H627" s="25">
        <v>6.7999999999999999E-5</v>
      </c>
      <c r="I627" s="9">
        <v>1.2591999999999999E-4</v>
      </c>
      <c r="J627" s="9">
        <v>1.1870999999999999E-4</v>
      </c>
      <c r="K627" s="9">
        <v>3.2636999999999998E-4</v>
      </c>
      <c r="L627" s="9">
        <v>9.0970000000000005E-5</v>
      </c>
      <c r="M627" s="9">
        <v>9.9010000000000002E-5</v>
      </c>
      <c r="N627" s="9">
        <v>9.9900000000000002E-5</v>
      </c>
      <c r="O627" s="9">
        <v>7.8930000000000005E-5</v>
      </c>
      <c r="P627" s="9">
        <v>7.2789999999999999E-5</v>
      </c>
      <c r="Q627" s="9">
        <v>6.7500000000000001E-5</v>
      </c>
      <c r="R627" s="10">
        <v>2.0634707124311103E-4</v>
      </c>
      <c r="S627" s="10">
        <v>1.9022567636215208E-4</v>
      </c>
      <c r="T627" s="10">
        <v>0</v>
      </c>
      <c r="U627" s="10">
        <v>1.6704999999999999E-4</v>
      </c>
      <c r="V627" s="25"/>
      <c r="W627" s="25"/>
      <c r="X627" s="25"/>
      <c r="Y627" s="25"/>
      <c r="Z627" s="25"/>
      <c r="AA627" s="25"/>
    </row>
    <row r="628" spans="1:27" x14ac:dyDescent="0.35">
      <c r="A628" s="5">
        <v>624</v>
      </c>
      <c r="B628" s="5">
        <v>26</v>
      </c>
      <c r="C628" s="5">
        <v>1</v>
      </c>
      <c r="D628" s="25">
        <v>1.1415000000000001E-4</v>
      </c>
      <c r="E628" s="25">
        <v>1.1118E-4</v>
      </c>
      <c r="F628" s="25">
        <v>1.1977E-4</v>
      </c>
      <c r="G628" s="25">
        <v>5.6820000000000001E-5</v>
      </c>
      <c r="H628" s="25">
        <v>7.5420000000000006E-5</v>
      </c>
      <c r="I628" s="9">
        <v>1.2432E-4</v>
      </c>
      <c r="J628" s="9">
        <v>1.1025E-4</v>
      </c>
      <c r="K628" s="9">
        <v>3.2637999999999998E-4</v>
      </c>
      <c r="L628" s="9">
        <v>8.1570000000000007E-5</v>
      </c>
      <c r="M628" s="9">
        <v>8.6269999999999999E-5</v>
      </c>
      <c r="N628" s="9">
        <v>9.0719999999999999E-5</v>
      </c>
      <c r="O628" s="9">
        <v>6.2949999999999999E-5</v>
      </c>
      <c r="P628" s="9">
        <v>6.0739999999999998E-5</v>
      </c>
      <c r="Q628" s="9">
        <v>5.893E-5</v>
      </c>
      <c r="R628" s="10">
        <v>2.0830574577237321E-4</v>
      </c>
      <c r="S628" s="10">
        <v>1.8985538759510039E-4</v>
      </c>
      <c r="T628" s="10">
        <v>0</v>
      </c>
      <c r="U628" s="10">
        <v>1.6704999999999999E-4</v>
      </c>
      <c r="V628" s="25"/>
      <c r="W628" s="25"/>
      <c r="X628" s="25"/>
      <c r="Y628" s="25"/>
      <c r="Z628" s="25"/>
      <c r="AA628" s="25"/>
    </row>
    <row r="629" spans="1:27" x14ac:dyDescent="0.35">
      <c r="A629" s="5">
        <v>625</v>
      </c>
      <c r="B629" s="5">
        <v>27</v>
      </c>
      <c r="C629" s="5">
        <v>1</v>
      </c>
      <c r="D629" s="25">
        <v>1.1416E-4</v>
      </c>
      <c r="E629" s="25">
        <v>1.1394E-4</v>
      </c>
      <c r="F629" s="25">
        <v>1.0668E-4</v>
      </c>
      <c r="G629" s="25">
        <v>6.054E-5</v>
      </c>
      <c r="H629" s="25">
        <v>4.6300000000000001E-5</v>
      </c>
      <c r="I629" s="9">
        <v>1.1677E-4</v>
      </c>
      <c r="J629" s="9">
        <v>1.0340000000000001E-4</v>
      </c>
      <c r="K629" s="9">
        <v>3.2849000000000002E-4</v>
      </c>
      <c r="L629" s="9">
        <v>6.7020000000000005E-5</v>
      </c>
      <c r="M629" s="9">
        <v>7.4179999999999998E-5</v>
      </c>
      <c r="N629" s="9">
        <v>8.1279999999999994E-5</v>
      </c>
      <c r="O629" s="9">
        <v>6.7650000000000005E-5</v>
      </c>
      <c r="P629" s="9">
        <v>6.0229999999999998E-5</v>
      </c>
      <c r="Q629" s="9">
        <v>5.312E-5</v>
      </c>
      <c r="R629" s="10">
        <v>2.0590462609788344E-4</v>
      </c>
      <c r="S629" s="10">
        <v>1.8841207925472989E-4</v>
      </c>
      <c r="T629" s="10">
        <v>0</v>
      </c>
      <c r="U629" s="10">
        <v>1.6852999999999999E-4</v>
      </c>
      <c r="V629" s="25"/>
      <c r="W629" s="25"/>
      <c r="X629" s="25"/>
      <c r="Y629" s="25"/>
      <c r="Z629" s="25"/>
      <c r="AA629" s="25"/>
    </row>
    <row r="630" spans="1:27" x14ac:dyDescent="0.35">
      <c r="A630" s="5">
        <v>626</v>
      </c>
      <c r="B630" s="5">
        <v>27</v>
      </c>
      <c r="C630" s="5">
        <v>1</v>
      </c>
      <c r="D630" s="25">
        <v>1.1415000000000001E-4</v>
      </c>
      <c r="E630" s="25">
        <v>1.1127E-4</v>
      </c>
      <c r="F630" s="25">
        <v>1.2368000000000001E-4</v>
      </c>
      <c r="G630" s="25">
        <v>6.3029999999999998E-5</v>
      </c>
      <c r="H630" s="25">
        <v>4.1279999999999998E-5</v>
      </c>
      <c r="I630" s="9">
        <v>1.1001E-4</v>
      </c>
      <c r="J630" s="9">
        <v>9.8809999999999998E-5</v>
      </c>
      <c r="K630" s="9">
        <v>3.2849000000000002E-4</v>
      </c>
      <c r="L630" s="9">
        <v>6.7910000000000005E-5</v>
      </c>
      <c r="M630" s="9">
        <v>6.6279999999999996E-5</v>
      </c>
      <c r="N630" s="9">
        <v>7.2070000000000006E-5</v>
      </c>
      <c r="O630" s="9">
        <v>3.4690000000000002E-5</v>
      </c>
      <c r="P630" s="9">
        <v>4.5859999999999998E-5</v>
      </c>
      <c r="Q630" s="9">
        <v>5.6199999999999997E-5</v>
      </c>
      <c r="R630" s="10">
        <v>1.9294421716635921E-4</v>
      </c>
      <c r="S630" s="10">
        <v>1.8802254194006811E-4</v>
      </c>
      <c r="T630" s="10">
        <v>0</v>
      </c>
      <c r="U630" s="10">
        <v>1.6852999999999999E-4</v>
      </c>
      <c r="V630" s="25"/>
      <c r="W630" s="25"/>
      <c r="X630" s="25"/>
      <c r="Y630" s="25"/>
      <c r="Z630" s="25"/>
      <c r="AA630" s="25"/>
    </row>
    <row r="631" spans="1:27" x14ac:dyDescent="0.35">
      <c r="A631" s="5">
        <v>627</v>
      </c>
      <c r="B631" s="5">
        <v>27</v>
      </c>
      <c r="C631" s="5">
        <v>1</v>
      </c>
      <c r="D631" s="25">
        <v>1.1416E-4</v>
      </c>
      <c r="E631" s="25">
        <v>1.1629E-4</v>
      </c>
      <c r="F631" s="25">
        <v>1.2219999999999999E-4</v>
      </c>
      <c r="G631" s="25">
        <v>5.5359999999999999E-5</v>
      </c>
      <c r="H631" s="25">
        <v>4.2549999999999997E-5</v>
      </c>
      <c r="I631" s="9">
        <v>1.0566E-4</v>
      </c>
      <c r="J631" s="9">
        <v>9.6269999999999998E-5</v>
      </c>
      <c r="K631" s="9">
        <v>3.2637999999999998E-4</v>
      </c>
      <c r="L631" s="9">
        <v>4.193E-5</v>
      </c>
      <c r="M631" s="9">
        <v>5.7229999999999999E-5</v>
      </c>
      <c r="N631" s="9">
        <v>6.5500000000000006E-5</v>
      </c>
      <c r="O631" s="9">
        <v>2.145E-5</v>
      </c>
      <c r="P631" s="9">
        <v>4.2360000000000001E-5</v>
      </c>
      <c r="Q631" s="9">
        <v>6.1970000000000005E-5</v>
      </c>
      <c r="R631" s="10">
        <v>1.9489521522776884E-4</v>
      </c>
      <c r="S631" s="10">
        <v>1.8912392188450263E-4</v>
      </c>
      <c r="T631" s="10">
        <v>0</v>
      </c>
      <c r="U631" s="10">
        <v>1.6852999999999999E-4</v>
      </c>
      <c r="V631" s="25"/>
      <c r="W631" s="25"/>
      <c r="X631" s="25"/>
      <c r="Y631" s="25"/>
      <c r="Z631" s="25"/>
      <c r="AA631" s="25"/>
    </row>
    <row r="632" spans="1:27" x14ac:dyDescent="0.35">
      <c r="A632" s="5">
        <v>628</v>
      </c>
      <c r="B632" s="5">
        <v>27</v>
      </c>
      <c r="C632" s="5">
        <v>1</v>
      </c>
      <c r="D632" s="25">
        <v>1.1415000000000001E-4</v>
      </c>
      <c r="E632" s="25">
        <v>1.1675000000000001E-4</v>
      </c>
      <c r="F632" s="25">
        <v>1.1763E-4</v>
      </c>
      <c r="G632" s="25">
        <v>6.0659999999999999E-5</v>
      </c>
      <c r="H632" s="25">
        <v>4.2519999999999999E-5</v>
      </c>
      <c r="I632" s="9">
        <v>1.0365999999999999E-4</v>
      </c>
      <c r="J632" s="9">
        <v>9.522E-5</v>
      </c>
      <c r="K632" s="9">
        <v>3.2424999999999999E-4</v>
      </c>
      <c r="L632" s="9">
        <v>2.6570000000000001E-5</v>
      </c>
      <c r="M632" s="9">
        <v>4.9740000000000001E-5</v>
      </c>
      <c r="N632" s="9">
        <v>6.2000000000000003E-5</v>
      </c>
      <c r="O632" s="9">
        <v>2.088E-5</v>
      </c>
      <c r="P632" s="9">
        <v>5.1579999999999997E-5</v>
      </c>
      <c r="Q632" s="9">
        <v>8.0799999999999999E-5</v>
      </c>
      <c r="R632" s="10">
        <v>1.9619682812284703E-4</v>
      </c>
      <c r="S632" s="10">
        <v>1.8846935589412865E-4</v>
      </c>
      <c r="T632" s="10">
        <v>0</v>
      </c>
      <c r="U632" s="10">
        <v>1.6852999999999999E-4</v>
      </c>
      <c r="V632" s="25"/>
      <c r="W632" s="25"/>
      <c r="X632" s="25"/>
      <c r="Y632" s="25"/>
      <c r="Z632" s="25"/>
      <c r="AA632" s="25"/>
    </row>
    <row r="633" spans="1:27" x14ac:dyDescent="0.35">
      <c r="A633" s="5">
        <v>629</v>
      </c>
      <c r="B633" s="5">
        <v>27</v>
      </c>
      <c r="C633" s="5">
        <v>1</v>
      </c>
      <c r="D633" s="25">
        <v>1.1416E-4</v>
      </c>
      <c r="E633" s="25">
        <v>1.206E-4</v>
      </c>
      <c r="F633" s="25">
        <v>1.1417999999999999E-4</v>
      </c>
      <c r="G633" s="25">
        <v>5.2790000000000001E-5</v>
      </c>
      <c r="H633" s="25">
        <v>3.8569999999999998E-5</v>
      </c>
      <c r="I633" s="9">
        <v>1.0416000000000001E-4</v>
      </c>
      <c r="J633" s="9">
        <v>9.5550000000000005E-5</v>
      </c>
      <c r="K633" s="9">
        <v>3.2002000000000002E-4</v>
      </c>
      <c r="L633" s="9">
        <v>2.2589999999999999E-5</v>
      </c>
      <c r="M633" s="9">
        <v>4.863E-5</v>
      </c>
      <c r="N633" s="9">
        <v>6.4610000000000007E-5</v>
      </c>
      <c r="O633" s="9">
        <v>2.2880000000000001E-5</v>
      </c>
      <c r="P633" s="9">
        <v>5.9419999999999997E-5</v>
      </c>
      <c r="Q633" s="9">
        <v>9.4430000000000002E-5</v>
      </c>
      <c r="R633" s="10">
        <v>1.940767190129386E-4</v>
      </c>
      <c r="S633" s="10">
        <v>1.8921005729604422E-4</v>
      </c>
      <c r="T633" s="10">
        <v>0</v>
      </c>
      <c r="U633" s="10">
        <v>1.6852999999999999E-4</v>
      </c>
      <c r="V633" s="25"/>
      <c r="W633" s="25"/>
      <c r="X633" s="25"/>
      <c r="Y633" s="25"/>
      <c r="Z633" s="25"/>
      <c r="AA633" s="25"/>
    </row>
    <row r="634" spans="1:27" x14ac:dyDescent="0.35">
      <c r="A634" s="5">
        <v>630</v>
      </c>
      <c r="B634" s="5">
        <v>27</v>
      </c>
      <c r="C634" s="5">
        <v>1</v>
      </c>
      <c r="D634" s="25">
        <v>1.1415000000000001E-4</v>
      </c>
      <c r="E634" s="25">
        <v>1.1628E-4</v>
      </c>
      <c r="F634" s="25">
        <v>1.2052E-4</v>
      </c>
      <c r="G634" s="25">
        <v>1.0878E-4</v>
      </c>
      <c r="H634" s="25">
        <v>7.7860000000000003E-5</v>
      </c>
      <c r="I634" s="9">
        <v>1.1019E-4</v>
      </c>
      <c r="J634" s="9">
        <v>9.9199999999999999E-5</v>
      </c>
      <c r="K634" s="9">
        <v>3.2002000000000002E-4</v>
      </c>
      <c r="L634" s="9">
        <v>2.2750000000000001E-5</v>
      </c>
      <c r="M634" s="9">
        <v>5.2540000000000002E-5</v>
      </c>
      <c r="N634" s="9">
        <v>7.1320000000000002E-5</v>
      </c>
      <c r="O634" s="9">
        <v>2.8880000000000001E-5</v>
      </c>
      <c r="P634" s="9">
        <v>6.8239999999999997E-5</v>
      </c>
      <c r="Q634" s="9">
        <v>1.0620000000000001E-4</v>
      </c>
      <c r="R634" s="10">
        <v>1.992039085658812E-4</v>
      </c>
      <c r="S634" s="10">
        <v>1.8883959095821268E-4</v>
      </c>
      <c r="T634" s="10">
        <v>0</v>
      </c>
      <c r="U634" s="10">
        <v>1.6852999999999999E-4</v>
      </c>
      <c r="V634" s="25"/>
      <c r="W634" s="25"/>
      <c r="X634" s="25"/>
      <c r="Y634" s="25"/>
      <c r="Z634" s="25"/>
      <c r="AA634" s="25"/>
    </row>
    <row r="635" spans="1:27" x14ac:dyDescent="0.35">
      <c r="A635" s="5">
        <v>631</v>
      </c>
      <c r="B635" s="5">
        <v>27</v>
      </c>
      <c r="C635" s="5">
        <v>1</v>
      </c>
      <c r="D635" s="25">
        <v>1.1416E-4</v>
      </c>
      <c r="E635" s="25">
        <v>1.1836999999999999E-4</v>
      </c>
      <c r="F635" s="25">
        <v>1.2114E-4</v>
      </c>
      <c r="G635" s="25">
        <v>1.064E-4</v>
      </c>
      <c r="H635" s="25">
        <v>8.1899999999999999E-5</v>
      </c>
      <c r="I635" s="9">
        <v>1.2332000000000001E-4</v>
      </c>
      <c r="J635" s="9">
        <v>1.1088E-4</v>
      </c>
      <c r="K635" s="9">
        <v>3.1577999999999999E-4</v>
      </c>
      <c r="L635" s="9">
        <v>2.743E-5</v>
      </c>
      <c r="M635" s="9">
        <v>5.9339999999999998E-5</v>
      </c>
      <c r="N635" s="9">
        <v>8.0840000000000005E-5</v>
      </c>
      <c r="O635" s="9">
        <v>4.6100000000000002E-5</v>
      </c>
      <c r="P635" s="9">
        <v>8.0010000000000001E-5</v>
      </c>
      <c r="Q635" s="9">
        <v>1.1302E-4</v>
      </c>
      <c r="R635" s="10">
        <v>2.0245777648778373E-4</v>
      </c>
      <c r="S635" s="10">
        <v>1.8729004969978753E-4</v>
      </c>
      <c r="T635" s="10">
        <v>0</v>
      </c>
      <c r="U635" s="10">
        <v>1.6852999999999999E-4</v>
      </c>
      <c r="V635" s="25"/>
      <c r="W635" s="25"/>
      <c r="X635" s="25"/>
      <c r="Y635" s="25"/>
      <c r="Z635" s="25"/>
      <c r="AA635" s="25"/>
    </row>
    <row r="636" spans="1:27" x14ac:dyDescent="0.35">
      <c r="A636" s="5">
        <v>632</v>
      </c>
      <c r="B636" s="5">
        <v>27</v>
      </c>
      <c r="C636" s="5">
        <v>1</v>
      </c>
      <c r="D636" s="25">
        <v>1.1415000000000001E-4</v>
      </c>
      <c r="E636" s="25">
        <v>1.2175E-4</v>
      </c>
      <c r="F636" s="25">
        <v>1.1213E-4</v>
      </c>
      <c r="G636" s="25">
        <v>1.6506999999999999E-4</v>
      </c>
      <c r="H636" s="25">
        <v>1.1624E-4</v>
      </c>
      <c r="I636" s="9">
        <v>1.3485E-4</v>
      </c>
      <c r="J636" s="9">
        <v>1.2991000000000001E-4</v>
      </c>
      <c r="K636" s="9">
        <v>3.0941999999999998E-4</v>
      </c>
      <c r="L636" s="9">
        <v>4.1850000000000001E-5</v>
      </c>
      <c r="M636" s="9">
        <v>6.847E-5</v>
      </c>
      <c r="N636" s="9">
        <v>9.1030000000000001E-5</v>
      </c>
      <c r="O636" s="9">
        <v>6.8059999999999996E-5</v>
      </c>
      <c r="P636" s="9">
        <v>1.0234E-4</v>
      </c>
      <c r="Q636" s="9">
        <v>1.3627999999999999E-4</v>
      </c>
      <c r="R636" s="10">
        <v>1.9335384596775158E-4</v>
      </c>
      <c r="S636" s="10">
        <v>1.8364018187969709E-4</v>
      </c>
      <c r="T636" s="10">
        <v>0</v>
      </c>
      <c r="U636" s="10">
        <v>1.6852999999999999E-4</v>
      </c>
      <c r="V636" s="25"/>
      <c r="W636" s="25"/>
      <c r="X636" s="25"/>
      <c r="Y636" s="25"/>
      <c r="Z636" s="25"/>
      <c r="AA636" s="25"/>
    </row>
    <row r="637" spans="1:27" x14ac:dyDescent="0.35">
      <c r="A637" s="5">
        <v>633</v>
      </c>
      <c r="B637" s="5">
        <v>27</v>
      </c>
      <c r="C637" s="5">
        <v>1</v>
      </c>
      <c r="D637" s="25">
        <v>1.1416E-4</v>
      </c>
      <c r="E637" s="25">
        <v>1.158E-4</v>
      </c>
      <c r="F637" s="25">
        <v>1.2222000000000001E-4</v>
      </c>
      <c r="G637" s="25">
        <v>1.6061999999999999E-4</v>
      </c>
      <c r="H637" s="25">
        <v>1.1512E-4</v>
      </c>
      <c r="I637" s="9">
        <v>1.4034E-4</v>
      </c>
      <c r="J637" s="9">
        <v>1.4259E-4</v>
      </c>
      <c r="K637" s="9">
        <v>2.9882999999999998E-4</v>
      </c>
      <c r="L637" s="9">
        <v>6.19E-5</v>
      </c>
      <c r="M637" s="9">
        <v>8.2940000000000002E-5</v>
      </c>
      <c r="N637" s="9">
        <v>1.0463000000000001E-4</v>
      </c>
      <c r="O637" s="9">
        <v>9.9290000000000007E-5</v>
      </c>
      <c r="P637" s="9">
        <v>1.3693000000000001E-4</v>
      </c>
      <c r="Q637" s="9">
        <v>1.7495999999999999E-4</v>
      </c>
      <c r="R637" s="10">
        <v>1.8525583459504398E-4</v>
      </c>
      <c r="S637" s="10">
        <v>1.7879720309134793E-4</v>
      </c>
      <c r="T637" s="10">
        <v>3.6507940103663246E-5</v>
      </c>
      <c r="U637" s="10">
        <v>1.6852999999999999E-4</v>
      </c>
      <c r="V637" s="25"/>
      <c r="W637" s="25"/>
      <c r="X637" s="25"/>
      <c r="Y637" s="25"/>
      <c r="Z637" s="25"/>
      <c r="AA637" s="25"/>
    </row>
    <row r="638" spans="1:27" x14ac:dyDescent="0.35">
      <c r="A638" s="5">
        <v>634</v>
      </c>
      <c r="B638" s="5">
        <v>27</v>
      </c>
      <c r="C638" s="5">
        <v>1</v>
      </c>
      <c r="D638" s="25">
        <v>1.1415000000000001E-4</v>
      </c>
      <c r="E638" s="25">
        <v>1.2048E-4</v>
      </c>
      <c r="F638" s="25">
        <v>1.1268E-4</v>
      </c>
      <c r="G638" s="25">
        <v>1.5615E-4</v>
      </c>
      <c r="H638" s="25">
        <v>1.167E-4</v>
      </c>
      <c r="I638" s="9">
        <v>1.4154E-4</v>
      </c>
      <c r="J638" s="9">
        <v>1.4686000000000001E-4</v>
      </c>
      <c r="K638" s="9">
        <v>3.0519E-4</v>
      </c>
      <c r="L638" s="9">
        <v>9.0539999999999997E-5</v>
      </c>
      <c r="M638" s="9">
        <v>1.0603E-4</v>
      </c>
      <c r="N638" s="9">
        <v>1.2417999999999999E-4</v>
      </c>
      <c r="O638" s="9">
        <v>1.3061E-4</v>
      </c>
      <c r="P638" s="9">
        <v>1.5640000000000001E-4</v>
      </c>
      <c r="Q638" s="9">
        <v>1.8349999999999999E-4</v>
      </c>
      <c r="R638" s="10">
        <v>1.7450085449206338E-4</v>
      </c>
      <c r="S638" s="10">
        <v>1.7830725920242471E-4</v>
      </c>
      <c r="T638" s="10">
        <v>3.2947079666408437E-4</v>
      </c>
      <c r="U638" s="10">
        <v>1.6852999999999999E-4</v>
      </c>
      <c r="V638" s="25"/>
      <c r="W638" s="25"/>
      <c r="X638" s="25"/>
      <c r="Y638" s="25"/>
      <c r="Z638" s="25"/>
      <c r="AA638" s="25"/>
    </row>
    <row r="639" spans="1:27" x14ac:dyDescent="0.35">
      <c r="A639" s="5">
        <v>635</v>
      </c>
      <c r="B639" s="5">
        <v>27</v>
      </c>
      <c r="C639" s="5">
        <v>1</v>
      </c>
      <c r="D639" s="25">
        <v>1.1416E-4</v>
      </c>
      <c r="E639" s="25">
        <v>1.1258E-4</v>
      </c>
      <c r="F639" s="25">
        <v>1.0927E-4</v>
      </c>
      <c r="G639" s="25">
        <v>1.5886000000000001E-4</v>
      </c>
      <c r="H639" s="25">
        <v>1.1711E-4</v>
      </c>
      <c r="I639" s="9">
        <v>1.4216000000000001E-4</v>
      </c>
      <c r="J639" s="9">
        <v>1.4830999999999999E-4</v>
      </c>
      <c r="K639" s="9">
        <v>2.8611000000000001E-4</v>
      </c>
      <c r="L639" s="9">
        <v>1.211E-4</v>
      </c>
      <c r="M639" s="9">
        <v>1.2998E-4</v>
      </c>
      <c r="N639" s="9">
        <v>1.4254E-4</v>
      </c>
      <c r="O639" s="9">
        <v>1.3804999999999999E-4</v>
      </c>
      <c r="P639" s="9">
        <v>1.5798E-4</v>
      </c>
      <c r="Q639" s="9">
        <v>1.7950999999999999E-4</v>
      </c>
      <c r="R639" s="10">
        <v>1.6358772924376892E-4</v>
      </c>
      <c r="S639" s="10">
        <v>1.7236701632339024E-4</v>
      </c>
      <c r="T639" s="10">
        <v>3.5408374907884777E-4</v>
      </c>
      <c r="U639" s="10">
        <v>1.6852999999999999E-4</v>
      </c>
      <c r="V639" s="25"/>
      <c r="W639" s="25"/>
      <c r="X639" s="25"/>
      <c r="Y639" s="25"/>
      <c r="Z639" s="25"/>
      <c r="AA639" s="25"/>
    </row>
    <row r="640" spans="1:27" x14ac:dyDescent="0.35">
      <c r="A640" s="5">
        <v>636</v>
      </c>
      <c r="B640" s="5">
        <v>27</v>
      </c>
      <c r="C640" s="5">
        <v>1</v>
      </c>
      <c r="D640" s="25">
        <v>1.1415000000000001E-4</v>
      </c>
      <c r="E640" s="25">
        <v>1.1883E-4</v>
      </c>
      <c r="F640" s="25">
        <v>1.0828E-4</v>
      </c>
      <c r="G640" s="25">
        <v>1.6411E-4</v>
      </c>
      <c r="H640" s="25">
        <v>1.1972E-4</v>
      </c>
      <c r="I640" s="9">
        <v>1.4352000000000001E-4</v>
      </c>
      <c r="J640" s="9">
        <v>1.4834000000000001E-4</v>
      </c>
      <c r="K640" s="9">
        <v>2.8186999999999998E-4</v>
      </c>
      <c r="L640" s="9">
        <v>1.3359999999999999E-4</v>
      </c>
      <c r="M640" s="9">
        <v>1.4577000000000001E-4</v>
      </c>
      <c r="N640" s="9">
        <v>1.5665000000000001E-4</v>
      </c>
      <c r="O640" s="9">
        <v>1.4056999999999999E-4</v>
      </c>
      <c r="P640" s="9">
        <v>1.572E-4</v>
      </c>
      <c r="Q640" s="9">
        <v>1.7555000000000001E-4</v>
      </c>
      <c r="R640" s="10">
        <v>1.4319173672280069E-4</v>
      </c>
      <c r="S640" s="10">
        <v>1.5734707632494607E-4</v>
      </c>
      <c r="T640" s="10">
        <v>2.5879658307739718E-4</v>
      </c>
      <c r="U640" s="10">
        <v>1.6852999999999999E-4</v>
      </c>
      <c r="V640" s="25"/>
      <c r="W640" s="25"/>
      <c r="X640" s="25"/>
      <c r="Y640" s="25"/>
      <c r="Z640" s="25"/>
      <c r="AA640" s="25"/>
    </row>
    <row r="641" spans="1:27" x14ac:dyDescent="0.35">
      <c r="A641" s="5">
        <v>637</v>
      </c>
      <c r="B641" s="5">
        <v>27</v>
      </c>
      <c r="C641" s="5">
        <v>1</v>
      </c>
      <c r="D641" s="25">
        <v>1.1416E-4</v>
      </c>
      <c r="E641" s="25">
        <v>1.1174E-4</v>
      </c>
      <c r="F641" s="25">
        <v>1.2168E-4</v>
      </c>
      <c r="G641" s="25">
        <v>1.5687000000000001E-4</v>
      </c>
      <c r="H641" s="25">
        <v>1.1626E-4</v>
      </c>
      <c r="I641" s="9">
        <v>1.3980000000000001E-4</v>
      </c>
      <c r="J641" s="9">
        <v>1.4655000000000001E-4</v>
      </c>
      <c r="K641" s="9">
        <v>2.6703000000000002E-4</v>
      </c>
      <c r="L641" s="9">
        <v>1.3887E-4</v>
      </c>
      <c r="M641" s="9">
        <v>1.5327E-4</v>
      </c>
      <c r="N641" s="9">
        <v>1.6644000000000001E-4</v>
      </c>
      <c r="O641" s="9">
        <v>1.3075000000000001E-4</v>
      </c>
      <c r="P641" s="9">
        <v>1.4815999999999999E-4</v>
      </c>
      <c r="Q641" s="9">
        <v>1.6704E-4</v>
      </c>
      <c r="R641" s="10">
        <v>1.4273309328390846E-4</v>
      </c>
      <c r="S641" s="10">
        <v>1.5084999664282E-4</v>
      </c>
      <c r="T641" s="10">
        <v>3.6991545166621372E-5</v>
      </c>
      <c r="U641" s="10">
        <v>1.6852999999999999E-4</v>
      </c>
      <c r="V641" s="25"/>
      <c r="W641" s="25"/>
      <c r="X641" s="25"/>
      <c r="Y641" s="25"/>
      <c r="Z641" s="25"/>
      <c r="AA641" s="25"/>
    </row>
    <row r="642" spans="1:27" x14ac:dyDescent="0.35">
      <c r="A642" s="5">
        <v>638</v>
      </c>
      <c r="B642" s="5">
        <v>27</v>
      </c>
      <c r="C642" s="5">
        <v>1</v>
      </c>
      <c r="D642" s="25">
        <v>1.1415000000000001E-4</v>
      </c>
      <c r="E642" s="25">
        <v>1.1801E-4</v>
      </c>
      <c r="F642" s="25">
        <v>1.0949E-4</v>
      </c>
      <c r="G642" s="25">
        <v>1.6479E-4</v>
      </c>
      <c r="H642" s="25">
        <v>1.2027999999999999E-4</v>
      </c>
      <c r="I642" s="9">
        <v>1.3888999999999999E-4</v>
      </c>
      <c r="J642" s="9">
        <v>1.4686000000000001E-4</v>
      </c>
      <c r="K642" s="9">
        <v>2.6068E-4</v>
      </c>
      <c r="L642" s="9">
        <v>1.3258000000000001E-4</v>
      </c>
      <c r="M642" s="9">
        <v>1.5286999999999999E-4</v>
      </c>
      <c r="N642" s="9">
        <v>1.7071E-4</v>
      </c>
      <c r="O642" s="9">
        <v>1.127E-4</v>
      </c>
      <c r="P642" s="9">
        <v>1.3590999999999999E-4</v>
      </c>
      <c r="Q642" s="9">
        <v>1.6003999999999999E-4</v>
      </c>
      <c r="R642" s="10">
        <v>1.404849223255578E-4</v>
      </c>
      <c r="S642" s="10">
        <v>1.3019963566157942E-4</v>
      </c>
      <c r="T642" s="10">
        <v>1.541936563894901E-4</v>
      </c>
      <c r="U642" s="10">
        <v>1.6852999999999999E-4</v>
      </c>
      <c r="V642" s="25"/>
      <c r="W642" s="25"/>
      <c r="X642" s="25"/>
      <c r="Y642" s="25"/>
      <c r="Z642" s="25"/>
      <c r="AA642" s="25"/>
    </row>
    <row r="643" spans="1:27" x14ac:dyDescent="0.35">
      <c r="A643" s="5">
        <v>639</v>
      </c>
      <c r="B643" s="5">
        <v>27</v>
      </c>
      <c r="C643" s="5">
        <v>1</v>
      </c>
      <c r="D643" s="25">
        <v>1.1416E-4</v>
      </c>
      <c r="E643" s="25">
        <v>1.1807999999999999E-4</v>
      </c>
      <c r="F643" s="25">
        <v>1.2071E-4</v>
      </c>
      <c r="G643" s="25">
        <v>1.6712000000000001E-4</v>
      </c>
      <c r="H643" s="25">
        <v>1.2208E-4</v>
      </c>
      <c r="I643" s="9">
        <v>1.3719000000000001E-4</v>
      </c>
      <c r="J643" s="9">
        <v>1.4629000000000001E-4</v>
      </c>
      <c r="K643" s="9">
        <v>2.5431999999999999E-4</v>
      </c>
      <c r="L643" s="9">
        <v>1.1731E-4</v>
      </c>
      <c r="M643" s="9">
        <v>1.4639000000000001E-4</v>
      </c>
      <c r="N643" s="9">
        <v>1.7009999999999999E-4</v>
      </c>
      <c r="O643" s="9">
        <v>1.2810999999999999E-4</v>
      </c>
      <c r="P643" s="9">
        <v>1.3956999999999999E-4</v>
      </c>
      <c r="Q643" s="9">
        <v>1.5252000000000001E-4</v>
      </c>
      <c r="R643" s="10">
        <v>1.314027784810133E-4</v>
      </c>
      <c r="S643" s="10">
        <v>1.0347389186491104E-4</v>
      </c>
      <c r="T643" s="10">
        <v>9.985171905182728E-5</v>
      </c>
      <c r="U643" s="10">
        <v>1.6852999999999999E-4</v>
      </c>
      <c r="V643" s="25"/>
      <c r="W643" s="25"/>
      <c r="X643" s="25"/>
      <c r="Y643" s="25"/>
      <c r="Z643" s="25"/>
      <c r="AA643" s="25"/>
    </row>
    <row r="644" spans="1:27" x14ac:dyDescent="0.35">
      <c r="A644" s="5">
        <v>640</v>
      </c>
      <c r="B644" s="5">
        <v>27</v>
      </c>
      <c r="C644" s="5">
        <v>1</v>
      </c>
      <c r="D644" s="25">
        <v>1.1415000000000001E-4</v>
      </c>
      <c r="E644" s="25">
        <v>1.1680000000000001E-4</v>
      </c>
      <c r="F644" s="25">
        <v>1.1628E-4</v>
      </c>
      <c r="G644" s="25">
        <v>1.563E-4</v>
      </c>
      <c r="H644" s="25">
        <v>1.1977E-4</v>
      </c>
      <c r="I644" s="9">
        <v>1.3695999999999999E-4</v>
      </c>
      <c r="J644" s="9">
        <v>1.4516999999999999E-4</v>
      </c>
      <c r="K644" s="9">
        <v>2.6067000000000001E-4</v>
      </c>
      <c r="L644" s="9">
        <v>1.2617999999999999E-4</v>
      </c>
      <c r="M644" s="9">
        <v>1.4212E-4</v>
      </c>
      <c r="N644" s="9">
        <v>1.6615E-4</v>
      </c>
      <c r="O644" s="9">
        <v>1.3453E-4</v>
      </c>
      <c r="P644" s="9">
        <v>1.2087E-4</v>
      </c>
      <c r="Q644" s="9">
        <v>1.0925999999999999E-4</v>
      </c>
      <c r="R644" s="10">
        <v>1.1139339539394524E-4</v>
      </c>
      <c r="S644" s="10">
        <v>8.5608647370446228E-5</v>
      </c>
      <c r="T644" s="10">
        <v>8.1330493570466164E-5</v>
      </c>
      <c r="U644" s="10">
        <v>1.6852999999999999E-4</v>
      </c>
      <c r="V644" s="25"/>
      <c r="W644" s="25"/>
      <c r="X644" s="25"/>
      <c r="Y644" s="25"/>
      <c r="Z644" s="25"/>
      <c r="AA644" s="25"/>
    </row>
    <row r="645" spans="1:27" x14ac:dyDescent="0.35">
      <c r="A645" s="5">
        <v>641</v>
      </c>
      <c r="B645" s="5">
        <v>27</v>
      </c>
      <c r="C645" s="5">
        <v>1</v>
      </c>
      <c r="D645" s="25">
        <v>1.1416E-4</v>
      </c>
      <c r="E645" s="25">
        <v>1.1464999999999999E-4</v>
      </c>
      <c r="F645" s="25">
        <v>1.1417E-4</v>
      </c>
      <c r="G645" s="25">
        <v>1.6725999999999999E-4</v>
      </c>
      <c r="H645" s="25">
        <v>1.1417999999999999E-4</v>
      </c>
      <c r="I645" s="9">
        <v>1.3549999999999999E-4</v>
      </c>
      <c r="J645" s="9">
        <v>1.4634000000000001E-4</v>
      </c>
      <c r="K645" s="9">
        <v>2.6491999999999998E-4</v>
      </c>
      <c r="L645" s="9">
        <v>1.3239999999999999E-4</v>
      </c>
      <c r="M645" s="9">
        <v>1.3354E-4</v>
      </c>
      <c r="N645" s="9">
        <v>1.5228999999999999E-4</v>
      </c>
      <c r="O645" s="9">
        <v>1.4228999999999999E-4</v>
      </c>
      <c r="P645" s="9">
        <v>1.2391E-4</v>
      </c>
      <c r="Q645" s="9">
        <v>1.0784E-4</v>
      </c>
      <c r="R645" s="10">
        <v>1.0811589942873592E-4</v>
      </c>
      <c r="S645" s="10">
        <v>8.6833120243706336E-5</v>
      </c>
      <c r="T645" s="10">
        <v>0</v>
      </c>
      <c r="U645" s="10">
        <v>1.6852999999999999E-4</v>
      </c>
      <c r="V645" s="25"/>
      <c r="W645" s="25"/>
      <c r="X645" s="25"/>
      <c r="Y645" s="25"/>
      <c r="Z645" s="25"/>
      <c r="AA645" s="25"/>
    </row>
    <row r="646" spans="1:27" x14ac:dyDescent="0.35">
      <c r="A646" s="5">
        <v>642</v>
      </c>
      <c r="B646" s="5">
        <v>27</v>
      </c>
      <c r="C646" s="5">
        <v>1</v>
      </c>
      <c r="D646" s="25">
        <v>1.1415000000000001E-4</v>
      </c>
      <c r="E646" s="25">
        <v>1.1245E-4</v>
      </c>
      <c r="F646" s="25">
        <v>1.1637999999999999E-4</v>
      </c>
      <c r="G646" s="25">
        <v>1.5768999999999999E-4</v>
      </c>
      <c r="H646" s="25">
        <v>1.1870999999999999E-4</v>
      </c>
      <c r="I646" s="9">
        <v>1.417E-4</v>
      </c>
      <c r="J646" s="9">
        <v>1.5190000000000001E-4</v>
      </c>
      <c r="K646" s="9">
        <v>2.7127999999999999E-4</v>
      </c>
      <c r="L646" s="9">
        <v>1.3982999999999999E-4</v>
      </c>
      <c r="M646" s="9">
        <v>1.2789999999999999E-4</v>
      </c>
      <c r="N646" s="9">
        <v>1.3904999999999999E-4</v>
      </c>
      <c r="O646" s="9">
        <v>1.415E-4</v>
      </c>
      <c r="P646" s="9">
        <v>1.2828000000000001E-4</v>
      </c>
      <c r="Q646" s="9">
        <v>1.1726999999999999E-4</v>
      </c>
      <c r="R646" s="10">
        <v>1.1978542100018494E-4</v>
      </c>
      <c r="S646" s="10">
        <v>8.1064616450658554E-5</v>
      </c>
      <c r="T646" s="10">
        <v>0</v>
      </c>
      <c r="U646" s="10">
        <v>1.6852999999999999E-4</v>
      </c>
      <c r="V646" s="25"/>
      <c r="W646" s="25"/>
      <c r="X646" s="25"/>
      <c r="Y646" s="25"/>
      <c r="Z646" s="25"/>
      <c r="AA646" s="25"/>
    </row>
    <row r="647" spans="1:27" x14ac:dyDescent="0.35">
      <c r="A647" s="5">
        <v>643</v>
      </c>
      <c r="B647" s="5">
        <v>27</v>
      </c>
      <c r="C647" s="5">
        <v>1</v>
      </c>
      <c r="D647" s="25">
        <v>1.1416E-4</v>
      </c>
      <c r="E647" s="25">
        <v>1.1749E-4</v>
      </c>
      <c r="F647" s="25">
        <v>1.0595E-4</v>
      </c>
      <c r="G647" s="25">
        <v>1.1174E-4</v>
      </c>
      <c r="H647" s="25">
        <v>7.6390000000000006E-5</v>
      </c>
      <c r="I647" s="9">
        <v>1.4383000000000001E-4</v>
      </c>
      <c r="J647" s="9">
        <v>1.4647E-4</v>
      </c>
      <c r="K647" s="9">
        <v>2.7551000000000002E-4</v>
      </c>
      <c r="L647" s="9">
        <v>1.4100000000000001E-4</v>
      </c>
      <c r="M647" s="9">
        <v>1.2676000000000001E-4</v>
      </c>
      <c r="N647" s="9">
        <v>1.2990000000000001E-4</v>
      </c>
      <c r="O647" s="9">
        <v>1.4187E-4</v>
      </c>
      <c r="P647" s="9">
        <v>1.2301E-4</v>
      </c>
      <c r="Q647" s="9">
        <v>1.0648E-4</v>
      </c>
      <c r="R647" s="10">
        <v>1.2118088924687648E-4</v>
      </c>
      <c r="S647" s="10">
        <v>7.5039718638493586E-5</v>
      </c>
      <c r="T647" s="10">
        <v>0</v>
      </c>
      <c r="U647" s="10">
        <v>1.6852999999999999E-4</v>
      </c>
      <c r="V647" s="25"/>
      <c r="W647" s="25"/>
      <c r="X647" s="25"/>
      <c r="Y647" s="25"/>
      <c r="Z647" s="25"/>
      <c r="AA647" s="25"/>
    </row>
    <row r="648" spans="1:27" x14ac:dyDescent="0.35">
      <c r="A648" s="5">
        <v>644</v>
      </c>
      <c r="B648" s="5">
        <v>27</v>
      </c>
      <c r="C648" s="5">
        <v>1</v>
      </c>
      <c r="D648" s="25">
        <v>1.1415000000000001E-4</v>
      </c>
      <c r="E648" s="25">
        <v>1.1848E-4</v>
      </c>
      <c r="F648" s="25">
        <v>1.2415000000000001E-4</v>
      </c>
      <c r="G648" s="25">
        <v>1.1378E-4</v>
      </c>
      <c r="H648" s="25">
        <v>7.9099999999999998E-5</v>
      </c>
      <c r="I648" s="9">
        <v>1.3766000000000001E-4</v>
      </c>
      <c r="J648" s="9">
        <v>1.4159E-4</v>
      </c>
      <c r="K648" s="9">
        <v>2.7763000000000001E-4</v>
      </c>
      <c r="L648" s="9">
        <v>1.4169000000000001E-4</v>
      </c>
      <c r="M648" s="9">
        <v>1.2538E-4</v>
      </c>
      <c r="N648" s="9">
        <v>1.2069E-4</v>
      </c>
      <c r="O648" s="9">
        <v>1.4467000000000001E-4</v>
      </c>
      <c r="P648" s="9">
        <v>1.2189E-4</v>
      </c>
      <c r="Q648" s="9">
        <v>1.0155E-4</v>
      </c>
      <c r="R648" s="10">
        <v>1.1110047208929927E-4</v>
      </c>
      <c r="S648" s="10">
        <v>8.1586569793896135E-5</v>
      </c>
      <c r="T648" s="10">
        <v>0</v>
      </c>
      <c r="U648" s="10">
        <v>1.6852999999999999E-4</v>
      </c>
      <c r="V648" s="25"/>
      <c r="W648" s="25"/>
      <c r="X648" s="25"/>
      <c r="Y648" s="25"/>
      <c r="Z648" s="25"/>
      <c r="AA648" s="25"/>
    </row>
    <row r="649" spans="1:27" x14ac:dyDescent="0.35">
      <c r="A649" s="5">
        <v>645</v>
      </c>
      <c r="B649" s="5">
        <v>27</v>
      </c>
      <c r="C649" s="5">
        <v>1</v>
      </c>
      <c r="D649" s="25">
        <v>1.1416E-4</v>
      </c>
      <c r="E649" s="25">
        <v>1.1995E-4</v>
      </c>
      <c r="F649" s="25">
        <v>1.2629000000000001E-4</v>
      </c>
      <c r="G649" s="25">
        <v>5.5120000000000001E-5</v>
      </c>
      <c r="H649" s="25">
        <v>4.4129999999999999E-5</v>
      </c>
      <c r="I649" s="9">
        <v>1.3076E-4</v>
      </c>
      <c r="J649" s="9">
        <v>1.3467000000000001E-4</v>
      </c>
      <c r="K649" s="9">
        <v>2.7551000000000002E-4</v>
      </c>
      <c r="L649" s="9">
        <v>1.4404000000000001E-4</v>
      </c>
      <c r="M649" s="9">
        <v>1.2378000000000001E-4</v>
      </c>
      <c r="N649" s="9">
        <v>1.1297E-4</v>
      </c>
      <c r="O649" s="9">
        <v>8.4120000000000001E-5</v>
      </c>
      <c r="P649" s="9">
        <v>8.5530000000000003E-5</v>
      </c>
      <c r="Q649" s="9">
        <v>8.7509999999999994E-5</v>
      </c>
      <c r="R649" s="10">
        <v>9.529676446192088E-5</v>
      </c>
      <c r="S649" s="10">
        <v>8.5132012543226844E-5</v>
      </c>
      <c r="T649" s="10">
        <v>0</v>
      </c>
      <c r="U649" s="10">
        <v>1.6852999999999999E-4</v>
      </c>
      <c r="V649" s="25"/>
      <c r="W649" s="25"/>
      <c r="X649" s="25"/>
      <c r="Y649" s="25"/>
      <c r="Z649" s="25"/>
      <c r="AA649" s="25"/>
    </row>
    <row r="650" spans="1:27" x14ac:dyDescent="0.35">
      <c r="A650" s="5">
        <v>646</v>
      </c>
      <c r="B650" s="5">
        <v>27</v>
      </c>
      <c r="C650" s="5">
        <v>1</v>
      </c>
      <c r="D650" s="25">
        <v>1.1415000000000001E-4</v>
      </c>
      <c r="E650" s="25">
        <v>1.1976000000000001E-4</v>
      </c>
      <c r="F650" s="25">
        <v>1.1768E-4</v>
      </c>
      <c r="G650" s="25">
        <v>6.2210000000000002E-5</v>
      </c>
      <c r="H650" s="25">
        <v>4.4990000000000001E-5</v>
      </c>
      <c r="I650" s="9">
        <v>1.2374E-4</v>
      </c>
      <c r="J650" s="9">
        <v>1.2750000000000001E-4</v>
      </c>
      <c r="K650" s="9">
        <v>2.7763000000000001E-4</v>
      </c>
      <c r="L650" s="9">
        <v>9.7239999999999997E-5</v>
      </c>
      <c r="M650" s="9">
        <v>1.0957E-4</v>
      </c>
      <c r="N650" s="9">
        <v>1.0524E-4</v>
      </c>
      <c r="O650" s="9">
        <v>8.8200000000000003E-5</v>
      </c>
      <c r="P650" s="9">
        <v>8.8179999999999999E-5</v>
      </c>
      <c r="Q650" s="9">
        <v>8.8830000000000002E-5</v>
      </c>
      <c r="R650" s="10">
        <v>8.1341136417107461E-5</v>
      </c>
      <c r="S650" s="10">
        <v>9.3512233544418757E-5</v>
      </c>
      <c r="T650" s="10">
        <v>0</v>
      </c>
      <c r="U650" s="10">
        <v>1.6852999999999999E-4</v>
      </c>
      <c r="V650" s="25"/>
      <c r="W650" s="25"/>
      <c r="X650" s="25"/>
      <c r="Y650" s="25"/>
      <c r="Z650" s="25"/>
      <c r="AA650" s="25"/>
    </row>
    <row r="651" spans="1:27" x14ac:dyDescent="0.35">
      <c r="A651" s="5">
        <v>647</v>
      </c>
      <c r="B651" s="5">
        <v>27</v>
      </c>
      <c r="C651" s="5">
        <v>1</v>
      </c>
      <c r="D651" s="25">
        <v>1.1416E-4</v>
      </c>
      <c r="E651" s="25">
        <v>1.2019999999999999E-4</v>
      </c>
      <c r="F651" s="25">
        <v>1.1594E-4</v>
      </c>
      <c r="G651" s="25">
        <v>5.3310000000000003E-5</v>
      </c>
      <c r="H651" s="25">
        <v>3.9789999999999997E-5</v>
      </c>
      <c r="I651" s="9">
        <v>1.2496E-4</v>
      </c>
      <c r="J651" s="9">
        <v>1.1846E-4</v>
      </c>
      <c r="K651" s="9">
        <v>2.7975E-4</v>
      </c>
      <c r="L651" s="9">
        <v>9.1490000000000007E-5</v>
      </c>
      <c r="M651" s="9">
        <v>9.8060000000000006E-5</v>
      </c>
      <c r="N651" s="9">
        <v>9.9599999999999995E-5</v>
      </c>
      <c r="O651" s="9">
        <v>8.4279999999999999E-5</v>
      </c>
      <c r="P651" s="9">
        <v>7.4969999999999995E-5</v>
      </c>
      <c r="Q651" s="9">
        <v>6.6409999999999996E-5</v>
      </c>
      <c r="R651" s="10">
        <v>9.011475606119897E-5</v>
      </c>
      <c r="S651" s="10">
        <v>1.196079155030012E-4</v>
      </c>
      <c r="T651" s="10">
        <v>0</v>
      </c>
      <c r="U651" s="10">
        <v>1.6852999999999999E-4</v>
      </c>
      <c r="V651" s="25"/>
      <c r="W651" s="25"/>
      <c r="X651" s="25"/>
      <c r="Y651" s="25"/>
      <c r="Z651" s="25"/>
      <c r="AA651" s="25"/>
    </row>
    <row r="652" spans="1:27" x14ac:dyDescent="0.35">
      <c r="A652" s="5">
        <v>648</v>
      </c>
      <c r="B652" s="5">
        <v>27</v>
      </c>
      <c r="C652" s="5">
        <v>1</v>
      </c>
      <c r="D652" s="25">
        <v>1.1415000000000001E-4</v>
      </c>
      <c r="E652" s="25">
        <v>1.1409E-4</v>
      </c>
      <c r="F652" s="25">
        <v>1.2547E-4</v>
      </c>
      <c r="G652" s="25">
        <v>6.0930000000000001E-5</v>
      </c>
      <c r="H652" s="25">
        <v>4.5040000000000002E-5</v>
      </c>
      <c r="I652" s="9">
        <v>1.2311000000000001E-4</v>
      </c>
      <c r="J652" s="9">
        <v>1.109E-4</v>
      </c>
      <c r="K652" s="9">
        <v>2.7975E-4</v>
      </c>
      <c r="L652" s="9">
        <v>8.6069999999999994E-5</v>
      </c>
      <c r="M652" s="9">
        <v>8.7059999999999997E-5</v>
      </c>
      <c r="N652" s="9">
        <v>9.0279999999999996E-5</v>
      </c>
      <c r="O652" s="9">
        <v>7.9579999999999994E-5</v>
      </c>
      <c r="P652" s="9">
        <v>6.9010000000000005E-5</v>
      </c>
      <c r="Q652" s="9">
        <v>5.9070000000000002E-5</v>
      </c>
      <c r="R652" s="10">
        <v>1.2391000417927899E-4</v>
      </c>
      <c r="S652" s="10">
        <v>1.7151116261658207E-4</v>
      </c>
      <c r="T652" s="10">
        <v>0</v>
      </c>
      <c r="U652" s="10">
        <v>1.6852999999999999E-4</v>
      </c>
      <c r="V652" s="25"/>
      <c r="W652" s="25"/>
      <c r="X652" s="25"/>
      <c r="Y652" s="25"/>
      <c r="Z652" s="25"/>
      <c r="AA652" s="25"/>
    </row>
    <row r="653" spans="1:27" x14ac:dyDescent="0.35">
      <c r="A653" s="5">
        <v>649</v>
      </c>
      <c r="B653" s="5">
        <v>28</v>
      </c>
      <c r="C653" s="5">
        <v>1</v>
      </c>
      <c r="D653" s="25">
        <v>1.1416E-4</v>
      </c>
      <c r="E653" s="25">
        <v>1.0564E-4</v>
      </c>
      <c r="F653" s="25">
        <v>1.0717000000000001E-4</v>
      </c>
      <c r="G653" s="25">
        <v>5.3130000000000001E-5</v>
      </c>
      <c r="H653" s="25">
        <v>1.6160000000000001E-5</v>
      </c>
      <c r="I653" s="9">
        <v>1.1589E-4</v>
      </c>
      <c r="J653" s="9">
        <v>1.0399E-4</v>
      </c>
      <c r="K653" s="9">
        <v>2.8186999999999998E-4</v>
      </c>
      <c r="L653" s="9">
        <v>8.0809999999999994E-5</v>
      </c>
      <c r="M653" s="9">
        <v>7.8070000000000003E-5</v>
      </c>
      <c r="N653" s="9">
        <v>8.0989999999999995E-5</v>
      </c>
      <c r="O653" s="9">
        <v>6.7769999999999997E-5</v>
      </c>
      <c r="P653" s="9">
        <v>6.0340000000000002E-5</v>
      </c>
      <c r="Q653" s="9">
        <v>5.3220000000000002E-5</v>
      </c>
      <c r="R653" s="10">
        <v>1.4889416747506211E-4</v>
      </c>
      <c r="S653" s="10">
        <v>1.7858325402397282E-4</v>
      </c>
      <c r="T653" s="10">
        <v>0</v>
      </c>
      <c r="U653" s="10">
        <v>1.7348E-4</v>
      </c>
      <c r="V653" s="25"/>
      <c r="W653" s="25"/>
      <c r="X653" s="25"/>
      <c r="Y653" s="25"/>
      <c r="Z653" s="25"/>
      <c r="AA653" s="25"/>
    </row>
    <row r="654" spans="1:27" x14ac:dyDescent="0.35">
      <c r="A654" s="5">
        <v>650</v>
      </c>
      <c r="B654" s="5">
        <v>28</v>
      </c>
      <c r="C654" s="5">
        <v>1</v>
      </c>
      <c r="D654" s="25">
        <v>1.1415000000000001E-4</v>
      </c>
      <c r="E654" s="25">
        <v>1.1351E-4</v>
      </c>
      <c r="F654" s="25">
        <v>9.7040000000000006E-5</v>
      </c>
      <c r="G654" s="25">
        <v>6.2279999999999993E-5</v>
      </c>
      <c r="H654" s="25">
        <v>1.524E-5</v>
      </c>
      <c r="I654" s="9">
        <v>1.0931E-4</v>
      </c>
      <c r="J654" s="9">
        <v>9.9079999999999993E-5</v>
      </c>
      <c r="K654" s="9">
        <v>2.8186999999999998E-4</v>
      </c>
      <c r="L654" s="9">
        <v>7.0779999999999997E-5</v>
      </c>
      <c r="M654" s="9">
        <v>6.9579999999999995E-5</v>
      </c>
      <c r="N654" s="9">
        <v>7.1909999999999994E-5</v>
      </c>
      <c r="O654" s="9">
        <v>3.4570000000000003E-5</v>
      </c>
      <c r="P654" s="9">
        <v>4.5689999999999998E-5</v>
      </c>
      <c r="Q654" s="9">
        <v>5.5999999999999999E-5</v>
      </c>
      <c r="R654" s="10">
        <v>1.5729049181795798E-4</v>
      </c>
      <c r="S654" s="10">
        <v>1.8037629717617125E-4</v>
      </c>
      <c r="T654" s="10">
        <v>0</v>
      </c>
      <c r="U654" s="10">
        <v>1.7348E-4</v>
      </c>
      <c r="V654" s="25"/>
      <c r="W654" s="25"/>
      <c r="X654" s="25"/>
      <c r="Y654" s="25"/>
      <c r="Z654" s="25"/>
      <c r="AA654" s="25"/>
    </row>
    <row r="655" spans="1:27" x14ac:dyDescent="0.35">
      <c r="A655" s="5">
        <v>651</v>
      </c>
      <c r="B655" s="5">
        <v>28</v>
      </c>
      <c r="C655" s="5">
        <v>1</v>
      </c>
      <c r="D655" s="25">
        <v>1.1416E-4</v>
      </c>
      <c r="E655" s="25">
        <v>1.0572E-4</v>
      </c>
      <c r="F655" s="25">
        <v>9.6020000000000006E-5</v>
      </c>
      <c r="G655" s="25">
        <v>6.1779999999999995E-5</v>
      </c>
      <c r="H655" s="25">
        <v>1.6520000000000001E-5</v>
      </c>
      <c r="I655" s="9">
        <v>1.0451E-4</v>
      </c>
      <c r="J655" s="9">
        <v>9.6689999999999998E-5</v>
      </c>
      <c r="K655" s="9">
        <v>2.8399000000000002E-4</v>
      </c>
      <c r="L655" s="9">
        <v>4.2790000000000002E-5</v>
      </c>
      <c r="M655" s="9">
        <v>5.897E-5</v>
      </c>
      <c r="N655" s="9">
        <v>6.5370000000000006E-5</v>
      </c>
      <c r="O655" s="9">
        <v>2.1120000000000001E-5</v>
      </c>
      <c r="P655" s="9">
        <v>4.172E-5</v>
      </c>
      <c r="Q655" s="9">
        <v>6.1029999999999997E-5</v>
      </c>
      <c r="R655" s="10">
        <v>1.6177092994810544E-4</v>
      </c>
      <c r="S655" s="10">
        <v>1.8575653599355209E-4</v>
      </c>
      <c r="T655" s="10">
        <v>0</v>
      </c>
      <c r="U655" s="10">
        <v>1.7348E-4</v>
      </c>
      <c r="V655" s="25"/>
      <c r="W655" s="25"/>
      <c r="X655" s="25"/>
      <c r="Y655" s="25"/>
      <c r="Z655" s="25"/>
      <c r="AA655" s="25"/>
    </row>
    <row r="656" spans="1:27" x14ac:dyDescent="0.35">
      <c r="A656" s="5">
        <v>652</v>
      </c>
      <c r="B656" s="5">
        <v>28</v>
      </c>
      <c r="C656" s="5">
        <v>1</v>
      </c>
      <c r="D656" s="25">
        <v>1.1415000000000001E-4</v>
      </c>
      <c r="E656" s="25">
        <v>1.0450000000000001E-4</v>
      </c>
      <c r="F656" s="25">
        <v>1.1223E-4</v>
      </c>
      <c r="G656" s="25">
        <v>6.088E-5</v>
      </c>
      <c r="H656" s="25">
        <v>1.468E-5</v>
      </c>
      <c r="I656" s="9">
        <v>1.0257E-4</v>
      </c>
      <c r="J656" s="9">
        <v>9.5409999999999996E-5</v>
      </c>
      <c r="K656" s="9">
        <v>2.8186999999999998E-4</v>
      </c>
      <c r="L656" s="9">
        <v>2.6639999999999999E-5</v>
      </c>
      <c r="M656" s="9">
        <v>5.0210000000000002E-5</v>
      </c>
      <c r="N656" s="9">
        <v>6.1690000000000001E-5</v>
      </c>
      <c r="O656" s="9">
        <v>2.0820000000000001E-5</v>
      </c>
      <c r="P656" s="9">
        <v>5.1440000000000002E-5</v>
      </c>
      <c r="Q656" s="9">
        <v>8.0589999999999999E-5</v>
      </c>
      <c r="R656" s="10">
        <v>1.7098701086339335E-4</v>
      </c>
      <c r="S656" s="10">
        <v>1.8948201980450421E-4</v>
      </c>
      <c r="T656" s="10">
        <v>0</v>
      </c>
      <c r="U656" s="10">
        <v>1.7348E-4</v>
      </c>
      <c r="V656" s="25"/>
      <c r="W656" s="25"/>
      <c r="X656" s="25"/>
      <c r="Y656" s="25"/>
      <c r="Z656" s="25"/>
      <c r="AA656" s="25"/>
    </row>
    <row r="657" spans="1:27" x14ac:dyDescent="0.35">
      <c r="A657" s="5">
        <v>653</v>
      </c>
      <c r="B657" s="5">
        <v>28</v>
      </c>
      <c r="C657" s="5">
        <v>1</v>
      </c>
      <c r="D657" s="25">
        <v>1.1416E-4</v>
      </c>
      <c r="E657" s="25">
        <v>1.1480999999999999E-4</v>
      </c>
      <c r="F657" s="25">
        <v>9.8060000000000006E-5</v>
      </c>
      <c r="G657" s="25">
        <v>5.3350000000000003E-5</v>
      </c>
      <c r="H657" s="25">
        <v>1.5950000000000001E-5</v>
      </c>
      <c r="I657" s="9">
        <v>1.0418E-4</v>
      </c>
      <c r="J657" s="9">
        <v>9.5500000000000004E-5</v>
      </c>
      <c r="K657" s="9">
        <v>2.8186999999999998E-4</v>
      </c>
      <c r="L657" s="9">
        <v>2.249E-5</v>
      </c>
      <c r="M657" s="9">
        <v>4.8609999999999997E-5</v>
      </c>
      <c r="N657" s="9">
        <v>6.4309999999999999E-5</v>
      </c>
      <c r="O657" s="9">
        <v>2.2889999999999999E-5</v>
      </c>
      <c r="P657" s="9">
        <v>5.9419999999999997E-5</v>
      </c>
      <c r="Q657" s="9">
        <v>9.4439999999999997E-5</v>
      </c>
      <c r="R657" s="10">
        <v>1.8810727490633714E-4</v>
      </c>
      <c r="S657" s="10">
        <v>1.90201107948915E-4</v>
      </c>
      <c r="T657" s="10">
        <v>0</v>
      </c>
      <c r="U657" s="10">
        <v>1.7348E-4</v>
      </c>
      <c r="V657" s="25"/>
      <c r="W657" s="25"/>
      <c r="X657" s="25"/>
      <c r="Y657" s="25"/>
      <c r="Z657" s="25"/>
      <c r="AA657" s="25"/>
    </row>
    <row r="658" spans="1:27" x14ac:dyDescent="0.35">
      <c r="A658" s="5">
        <v>654</v>
      </c>
      <c r="B658" s="5">
        <v>28</v>
      </c>
      <c r="C658" s="5">
        <v>1</v>
      </c>
      <c r="D658" s="25">
        <v>1.1415000000000001E-4</v>
      </c>
      <c r="E658" s="25">
        <v>1.0751000000000001E-4</v>
      </c>
      <c r="F658" s="25">
        <v>9.6500000000000001E-5</v>
      </c>
      <c r="G658" s="25">
        <v>1.1116E-4</v>
      </c>
      <c r="H658" s="25">
        <v>2.817E-5</v>
      </c>
      <c r="I658" s="9">
        <v>1.1010000000000001E-4</v>
      </c>
      <c r="J658" s="9">
        <v>9.9759999999999994E-5</v>
      </c>
      <c r="K658" s="9">
        <v>2.7763000000000001E-4</v>
      </c>
      <c r="L658" s="9">
        <v>2.2719999999999999E-5</v>
      </c>
      <c r="M658" s="9">
        <v>5.2450000000000001E-5</v>
      </c>
      <c r="N658" s="9">
        <v>7.1060000000000001E-5</v>
      </c>
      <c r="O658" s="9">
        <v>2.8940000000000001E-5</v>
      </c>
      <c r="P658" s="9">
        <v>6.8380000000000006E-5</v>
      </c>
      <c r="Q658" s="9">
        <v>1.0642E-4</v>
      </c>
      <c r="R658" s="10">
        <v>2.027891432549318E-4</v>
      </c>
      <c r="S658" s="10">
        <v>1.9028973284375623E-4</v>
      </c>
      <c r="T658" s="10">
        <v>0</v>
      </c>
      <c r="U658" s="10">
        <v>1.7348E-4</v>
      </c>
      <c r="V658" s="25"/>
      <c r="W658" s="25"/>
      <c r="X658" s="25"/>
      <c r="Y658" s="25"/>
      <c r="Z658" s="25"/>
      <c r="AA658" s="25"/>
    </row>
    <row r="659" spans="1:27" x14ac:dyDescent="0.35">
      <c r="A659" s="5">
        <v>655</v>
      </c>
      <c r="B659" s="5">
        <v>28</v>
      </c>
      <c r="C659" s="5">
        <v>1</v>
      </c>
      <c r="D659" s="25">
        <v>1.1416E-4</v>
      </c>
      <c r="E659" s="25">
        <v>1.1396E-4</v>
      </c>
      <c r="F659" s="25">
        <v>9.6150000000000006E-5</v>
      </c>
      <c r="G659" s="25">
        <v>1.0598E-4</v>
      </c>
      <c r="H659" s="25">
        <v>2.815E-5</v>
      </c>
      <c r="I659" s="9">
        <v>1.2417999999999999E-4</v>
      </c>
      <c r="J659" s="9">
        <v>1.1112000000000001E-4</v>
      </c>
      <c r="K659" s="9">
        <v>2.7975E-4</v>
      </c>
      <c r="L659" s="9">
        <v>2.747E-5</v>
      </c>
      <c r="M659" s="9">
        <v>5.931E-5</v>
      </c>
      <c r="N659" s="9">
        <v>8.0669999999999998E-5</v>
      </c>
      <c r="O659" s="9">
        <v>4.6159999999999999E-5</v>
      </c>
      <c r="P659" s="9">
        <v>8.0110000000000004E-5</v>
      </c>
      <c r="Q659" s="9">
        <v>1.1315999999999999E-4</v>
      </c>
      <c r="R659" s="10">
        <v>2.0970443252459577E-4</v>
      </c>
      <c r="S659" s="10">
        <v>1.9029016772250344E-4</v>
      </c>
      <c r="T659" s="10">
        <v>0</v>
      </c>
      <c r="U659" s="10">
        <v>1.7348E-4</v>
      </c>
      <c r="V659" s="25"/>
      <c r="W659" s="25"/>
      <c r="X659" s="25"/>
      <c r="Y659" s="25"/>
      <c r="Z659" s="25"/>
      <c r="AA659" s="25"/>
    </row>
    <row r="660" spans="1:27" x14ac:dyDescent="0.35">
      <c r="A660" s="5">
        <v>656</v>
      </c>
      <c r="B660" s="5">
        <v>28</v>
      </c>
      <c r="C660" s="5">
        <v>1</v>
      </c>
      <c r="D660" s="25">
        <v>1.1415000000000001E-4</v>
      </c>
      <c r="E660" s="25">
        <v>1.0945E-4</v>
      </c>
      <c r="F660" s="25">
        <v>1.0643E-4</v>
      </c>
      <c r="G660" s="25">
        <v>1.6674999999999999E-4</v>
      </c>
      <c r="H660" s="25">
        <v>4.2219999999999999E-5</v>
      </c>
      <c r="I660" s="9">
        <v>1.3648999999999999E-4</v>
      </c>
      <c r="J660" s="9">
        <v>1.3038000000000001E-4</v>
      </c>
      <c r="K660" s="9">
        <v>2.8611000000000001E-4</v>
      </c>
      <c r="L660" s="9">
        <v>4.1909999999999997E-5</v>
      </c>
      <c r="M660" s="9">
        <v>6.8520000000000001E-5</v>
      </c>
      <c r="N660" s="9">
        <v>9.0950000000000002E-5</v>
      </c>
      <c r="O660" s="9">
        <v>6.7680000000000003E-5</v>
      </c>
      <c r="P660" s="9">
        <v>1.0177E-4</v>
      </c>
      <c r="Q660" s="9">
        <v>1.3552E-4</v>
      </c>
      <c r="R660" s="10">
        <v>2.1136586020871861E-4</v>
      </c>
      <c r="S660" s="10">
        <v>1.9029020759484994E-4</v>
      </c>
      <c r="T660" s="10">
        <v>0</v>
      </c>
      <c r="U660" s="10">
        <v>1.7348E-4</v>
      </c>
      <c r="V660" s="25"/>
      <c r="W660" s="25"/>
      <c r="X660" s="25"/>
      <c r="Y660" s="25"/>
      <c r="Z660" s="25"/>
      <c r="AA660" s="25"/>
    </row>
    <row r="661" spans="1:27" x14ac:dyDescent="0.35">
      <c r="A661" s="5">
        <v>657</v>
      </c>
      <c r="B661" s="5">
        <v>28</v>
      </c>
      <c r="C661" s="5">
        <v>1</v>
      </c>
      <c r="D661" s="25">
        <v>1.1416E-4</v>
      </c>
      <c r="E661" s="25">
        <v>1.058E-4</v>
      </c>
      <c r="F661" s="25">
        <v>1.0817E-4</v>
      </c>
      <c r="G661" s="25">
        <v>1.6312999999999999E-4</v>
      </c>
      <c r="H661" s="25">
        <v>4.1640000000000001E-5</v>
      </c>
      <c r="I661" s="9">
        <v>1.3883E-4</v>
      </c>
      <c r="J661" s="9">
        <v>1.3990000000000001E-4</v>
      </c>
      <c r="K661" s="9">
        <v>2.8186999999999998E-4</v>
      </c>
      <c r="L661" s="9">
        <v>6.1619999999999996E-5</v>
      </c>
      <c r="M661" s="9">
        <v>8.2780000000000004E-5</v>
      </c>
      <c r="N661" s="9">
        <v>1.0445E-4</v>
      </c>
      <c r="O661" s="9">
        <v>9.9920000000000006E-5</v>
      </c>
      <c r="P661" s="9">
        <v>1.3778999999999999E-4</v>
      </c>
      <c r="Q661" s="9">
        <v>1.7605999999999999E-4</v>
      </c>
      <c r="R661" s="10">
        <v>2.1201111560214801E-4</v>
      </c>
      <c r="S661" s="10">
        <v>1.9029020759484994E-4</v>
      </c>
      <c r="T661" s="10">
        <v>1.3761533545931161E-5</v>
      </c>
      <c r="U661" s="10">
        <v>1.7348E-4</v>
      </c>
      <c r="V661" s="25"/>
      <c r="W661" s="25"/>
      <c r="X661" s="25"/>
      <c r="Y661" s="25"/>
      <c r="Z661" s="25"/>
      <c r="AA661" s="25"/>
    </row>
    <row r="662" spans="1:27" x14ac:dyDescent="0.35">
      <c r="A662" s="5">
        <v>658</v>
      </c>
      <c r="B662" s="5">
        <v>28</v>
      </c>
      <c r="C662" s="5">
        <v>1</v>
      </c>
      <c r="D662" s="25">
        <v>1.1415000000000001E-4</v>
      </c>
      <c r="E662" s="25">
        <v>1.0571E-4</v>
      </c>
      <c r="F662" s="25">
        <v>1.0656E-4</v>
      </c>
      <c r="G662" s="25">
        <v>1.5674999999999999E-4</v>
      </c>
      <c r="H662" s="25">
        <v>4.087E-5</v>
      </c>
      <c r="I662" s="9">
        <v>1.3856E-4</v>
      </c>
      <c r="J662" s="9">
        <v>1.4189000000000001E-4</v>
      </c>
      <c r="K662" s="9">
        <v>2.7975E-4</v>
      </c>
      <c r="L662" s="9">
        <v>9.0970000000000005E-5</v>
      </c>
      <c r="M662" s="9">
        <v>1.0618E-4</v>
      </c>
      <c r="N662" s="9">
        <v>1.2428E-4</v>
      </c>
      <c r="O662" s="9">
        <v>1.2841999999999999E-4</v>
      </c>
      <c r="P662" s="9">
        <v>1.5378000000000001E-4</v>
      </c>
      <c r="Q662" s="9">
        <v>1.8043000000000001E-4</v>
      </c>
      <c r="R662" s="10">
        <v>2.1239027075683716E-4</v>
      </c>
      <c r="S662" s="10">
        <v>1.9029020496265283E-4</v>
      </c>
      <c r="T662" s="10">
        <v>9.7399756539636097E-6</v>
      </c>
      <c r="U662" s="10">
        <v>1.7348E-4</v>
      </c>
      <c r="V662" s="25"/>
      <c r="W662" s="25"/>
      <c r="X662" s="25"/>
      <c r="Y662" s="25"/>
      <c r="Z662" s="25"/>
      <c r="AA662" s="25"/>
    </row>
    <row r="663" spans="1:27" x14ac:dyDescent="0.35">
      <c r="A663" s="5">
        <v>659</v>
      </c>
      <c r="B663" s="5">
        <v>28</v>
      </c>
      <c r="C663" s="5">
        <v>1</v>
      </c>
      <c r="D663" s="25">
        <v>1.1416E-4</v>
      </c>
      <c r="E663" s="25">
        <v>1.0637999999999999E-4</v>
      </c>
      <c r="F663" s="25">
        <v>1.1567E-4</v>
      </c>
      <c r="G663" s="25">
        <v>1.6605E-4</v>
      </c>
      <c r="H663" s="25">
        <v>4.2969999999999997E-5</v>
      </c>
      <c r="I663" s="9">
        <v>1.3742E-4</v>
      </c>
      <c r="J663" s="9">
        <v>1.4091E-4</v>
      </c>
      <c r="K663" s="9">
        <v>2.7551000000000002E-4</v>
      </c>
      <c r="L663" s="9">
        <v>1.1946E-4</v>
      </c>
      <c r="M663" s="9">
        <v>1.2922000000000001E-4</v>
      </c>
      <c r="N663" s="9">
        <v>1.4197999999999999E-4</v>
      </c>
      <c r="O663" s="9">
        <v>1.3687000000000001E-4</v>
      </c>
      <c r="P663" s="9">
        <v>1.5663E-4</v>
      </c>
      <c r="Q663" s="9">
        <v>1.7798E-4</v>
      </c>
      <c r="R663" s="10">
        <v>2.1244691404024297E-4</v>
      </c>
      <c r="S663" s="10">
        <v>1.9029020759484994E-4</v>
      </c>
      <c r="T663" s="10">
        <v>2.5894081616634959E-5</v>
      </c>
      <c r="U663" s="10">
        <v>1.7348E-4</v>
      </c>
      <c r="V663" s="25"/>
      <c r="W663" s="25"/>
      <c r="X663" s="25"/>
      <c r="Y663" s="25"/>
      <c r="Z663" s="25"/>
      <c r="AA663" s="25"/>
    </row>
    <row r="664" spans="1:27" x14ac:dyDescent="0.35">
      <c r="A664" s="5">
        <v>660</v>
      </c>
      <c r="B664" s="5">
        <v>28</v>
      </c>
      <c r="C664" s="5">
        <v>1</v>
      </c>
      <c r="D664" s="25">
        <v>1.1415000000000001E-4</v>
      </c>
      <c r="E664" s="25">
        <v>1.1379000000000001E-4</v>
      </c>
      <c r="F664" s="25">
        <v>9.7750000000000004E-5</v>
      </c>
      <c r="G664" s="25">
        <v>1.6082E-4</v>
      </c>
      <c r="H664" s="25">
        <v>4.1739999999999997E-5</v>
      </c>
      <c r="I664" s="9">
        <v>1.3800999999999999E-4</v>
      </c>
      <c r="J664" s="9">
        <v>1.3914E-4</v>
      </c>
      <c r="K664" s="9">
        <v>2.6703000000000002E-4</v>
      </c>
      <c r="L664" s="9">
        <v>1.3237000000000001E-4</v>
      </c>
      <c r="M664" s="9">
        <v>1.4454E-4</v>
      </c>
      <c r="N664" s="9">
        <v>1.5578E-4</v>
      </c>
      <c r="O664" s="9">
        <v>1.4013E-4</v>
      </c>
      <c r="P664" s="9">
        <v>1.5672E-4</v>
      </c>
      <c r="Q664" s="9">
        <v>1.75E-4</v>
      </c>
      <c r="R664" s="10">
        <v>2.1244936787709023E-4</v>
      </c>
      <c r="S664" s="10">
        <v>1.9028868051753885E-4</v>
      </c>
      <c r="T664" s="10">
        <v>4.190395449035389E-5</v>
      </c>
      <c r="U664" s="10">
        <v>1.7348E-4</v>
      </c>
      <c r="V664" s="25"/>
      <c r="W664" s="25"/>
      <c r="X664" s="25"/>
      <c r="Y664" s="25"/>
      <c r="Z664" s="25"/>
      <c r="AA664" s="25"/>
    </row>
    <row r="665" spans="1:27" x14ac:dyDescent="0.35">
      <c r="A665" s="5">
        <v>661</v>
      </c>
      <c r="B665" s="5">
        <v>28</v>
      </c>
      <c r="C665" s="5">
        <v>1</v>
      </c>
      <c r="D665" s="25">
        <v>1.1416E-4</v>
      </c>
      <c r="E665" s="25">
        <v>1.0826E-4</v>
      </c>
      <c r="F665" s="25">
        <v>9.8919999999999995E-5</v>
      </c>
      <c r="G665" s="25">
        <v>1.5993999999999999E-4</v>
      </c>
      <c r="H665" s="25">
        <v>4.1860000000000002E-5</v>
      </c>
      <c r="I665" s="9">
        <v>1.3506E-4</v>
      </c>
      <c r="J665" s="9">
        <v>1.3650000000000001E-4</v>
      </c>
      <c r="K665" s="9">
        <v>2.5855000000000002E-4</v>
      </c>
      <c r="L665" s="9">
        <v>1.3825E-4</v>
      </c>
      <c r="M665" s="9">
        <v>1.5220000000000001E-4</v>
      </c>
      <c r="N665" s="9">
        <v>1.6551000000000001E-4</v>
      </c>
      <c r="O665" s="9">
        <v>1.3086E-4</v>
      </c>
      <c r="P665" s="9">
        <v>1.4828000000000001E-4</v>
      </c>
      <c r="Q665" s="9">
        <v>1.6718000000000001E-4</v>
      </c>
      <c r="R665" s="10">
        <v>2.1244936787709023E-4</v>
      </c>
      <c r="S665" s="10">
        <v>1.9011090402450319E-4</v>
      </c>
      <c r="T665" s="10">
        <v>4.9751931389235714E-5</v>
      </c>
      <c r="U665" s="10">
        <v>1.7348E-4</v>
      </c>
      <c r="V665" s="25"/>
      <c r="W665" s="25"/>
      <c r="X665" s="25"/>
      <c r="Y665" s="25"/>
      <c r="Z665" s="25"/>
      <c r="AA665" s="25"/>
    </row>
    <row r="666" spans="1:27" x14ac:dyDescent="0.35">
      <c r="A666" s="5">
        <v>662</v>
      </c>
      <c r="B666" s="5">
        <v>28</v>
      </c>
      <c r="C666" s="5">
        <v>1</v>
      </c>
      <c r="D666" s="25">
        <v>1.1415000000000001E-4</v>
      </c>
      <c r="E666" s="25">
        <v>1.1419E-4</v>
      </c>
      <c r="F666" s="25">
        <v>9.5849999999999999E-5</v>
      </c>
      <c r="G666" s="25">
        <v>1.5798E-4</v>
      </c>
      <c r="H666" s="25">
        <v>4.3300000000000002E-5</v>
      </c>
      <c r="I666" s="9">
        <v>1.3443E-4</v>
      </c>
      <c r="J666" s="9">
        <v>1.3630000000000001E-4</v>
      </c>
      <c r="K666" s="9">
        <v>2.5855000000000002E-4</v>
      </c>
      <c r="L666" s="9">
        <v>1.325E-4</v>
      </c>
      <c r="M666" s="9">
        <v>1.5231000000000001E-4</v>
      </c>
      <c r="N666" s="9">
        <v>1.6992999999999999E-4</v>
      </c>
      <c r="O666" s="9">
        <v>1.1259E-4</v>
      </c>
      <c r="P666" s="9">
        <v>1.3578E-4</v>
      </c>
      <c r="Q666" s="9">
        <v>1.5988999999999999E-4</v>
      </c>
      <c r="R666" s="10">
        <v>2.1244936787709023E-4</v>
      </c>
      <c r="S666" s="10">
        <v>1.8852827276928544E-4</v>
      </c>
      <c r="T666" s="10">
        <v>4.0351327709277812E-5</v>
      </c>
      <c r="U666" s="10">
        <v>1.7348E-4</v>
      </c>
      <c r="V666" s="25"/>
      <c r="W666" s="25"/>
      <c r="X666" s="25"/>
      <c r="Y666" s="25"/>
      <c r="Z666" s="25"/>
      <c r="AA666" s="25"/>
    </row>
    <row r="667" spans="1:27" x14ac:dyDescent="0.35">
      <c r="A667" s="5">
        <v>663</v>
      </c>
      <c r="B667" s="5">
        <v>28</v>
      </c>
      <c r="C667" s="5">
        <v>1</v>
      </c>
      <c r="D667" s="25">
        <v>1.1416E-4</v>
      </c>
      <c r="E667" s="25">
        <v>1.1366000000000001E-4</v>
      </c>
      <c r="F667" s="25">
        <v>1.1553E-4</v>
      </c>
      <c r="G667" s="25">
        <v>1.5660000000000001E-4</v>
      </c>
      <c r="H667" s="25">
        <v>4.3149999999999999E-5</v>
      </c>
      <c r="I667" s="9">
        <v>1.3274000000000001E-4</v>
      </c>
      <c r="J667" s="9">
        <v>1.3616999999999999E-4</v>
      </c>
      <c r="K667" s="9">
        <v>2.6067000000000001E-4</v>
      </c>
      <c r="L667" s="9">
        <v>1.1718999999999999E-4</v>
      </c>
      <c r="M667" s="9">
        <v>1.4611E-4</v>
      </c>
      <c r="N667" s="9">
        <v>1.6941999999999999E-4</v>
      </c>
      <c r="O667" s="9">
        <v>1.2862999999999999E-4</v>
      </c>
      <c r="P667" s="9">
        <v>1.4013E-4</v>
      </c>
      <c r="Q667" s="9">
        <v>1.5312999999999999E-4</v>
      </c>
      <c r="R667" s="10">
        <v>2.1244936787709023E-4</v>
      </c>
      <c r="S667" s="10">
        <v>1.876471734641901E-4</v>
      </c>
      <c r="T667" s="10">
        <v>2.8821164892434129E-5</v>
      </c>
      <c r="U667" s="10">
        <v>1.7348E-4</v>
      </c>
      <c r="V667" s="25"/>
      <c r="W667" s="25"/>
      <c r="X667" s="25"/>
      <c r="Y667" s="25"/>
      <c r="Z667" s="25"/>
      <c r="AA667" s="25"/>
    </row>
    <row r="668" spans="1:27" x14ac:dyDescent="0.35">
      <c r="A668" s="5">
        <v>664</v>
      </c>
      <c r="B668" s="5">
        <v>28</v>
      </c>
      <c r="C668" s="5">
        <v>1</v>
      </c>
      <c r="D668" s="25">
        <v>1.1415000000000001E-4</v>
      </c>
      <c r="E668" s="25">
        <v>1.1292E-4</v>
      </c>
      <c r="F668" s="25">
        <v>9.8590000000000003E-5</v>
      </c>
      <c r="G668" s="25">
        <v>1.6417E-4</v>
      </c>
      <c r="H668" s="25">
        <v>4.2679999999999998E-5</v>
      </c>
      <c r="I668" s="9">
        <v>1.3053000000000001E-4</v>
      </c>
      <c r="J668" s="9">
        <v>1.3719000000000001E-4</v>
      </c>
      <c r="K668" s="9">
        <v>2.6279999999999999E-4</v>
      </c>
      <c r="L668" s="9">
        <v>1.2656000000000001E-4</v>
      </c>
      <c r="M668" s="9">
        <v>1.4219999999999999E-4</v>
      </c>
      <c r="N668" s="9">
        <v>1.6584999999999999E-4</v>
      </c>
      <c r="O668" s="9">
        <v>1.3414000000000001E-4</v>
      </c>
      <c r="P668" s="9">
        <v>1.2051E-4</v>
      </c>
      <c r="Q668" s="9">
        <v>1.0894E-4</v>
      </c>
      <c r="R668" s="10">
        <v>2.1244936787709023E-4</v>
      </c>
      <c r="S668" s="10">
        <v>1.9022679590661982E-4</v>
      </c>
      <c r="T668" s="10">
        <v>5.0753078712552535E-5</v>
      </c>
      <c r="U668" s="10">
        <v>1.7348E-4</v>
      </c>
      <c r="V668" s="25"/>
      <c r="W668" s="25"/>
      <c r="X668" s="25"/>
      <c r="Y668" s="25"/>
      <c r="Z668" s="25"/>
      <c r="AA668" s="25"/>
    </row>
    <row r="669" spans="1:27" x14ac:dyDescent="0.35">
      <c r="A669" s="5">
        <v>665</v>
      </c>
      <c r="B669" s="5">
        <v>28</v>
      </c>
      <c r="C669" s="5">
        <v>1</v>
      </c>
      <c r="D669" s="25">
        <v>1.1416E-4</v>
      </c>
      <c r="E669" s="25">
        <v>1.0835E-4</v>
      </c>
      <c r="F669" s="25">
        <v>9.8590000000000003E-5</v>
      </c>
      <c r="G669" s="25">
        <v>1.6291999999999999E-4</v>
      </c>
      <c r="H669" s="25">
        <v>4.1069999999999998E-5</v>
      </c>
      <c r="I669" s="9">
        <v>1.3040999999999999E-4</v>
      </c>
      <c r="J669" s="9">
        <v>1.3982E-4</v>
      </c>
      <c r="K669" s="9">
        <v>2.6915000000000001E-4</v>
      </c>
      <c r="L669" s="9">
        <v>1.3217E-4</v>
      </c>
      <c r="M669" s="9">
        <v>1.3354999999999999E-4</v>
      </c>
      <c r="N669" s="9">
        <v>1.5210000000000001E-4</v>
      </c>
      <c r="O669" s="9">
        <v>1.404E-4</v>
      </c>
      <c r="P669" s="9">
        <v>1.2227000000000001E-4</v>
      </c>
      <c r="Q669" s="9">
        <v>1.0641000000000001E-4</v>
      </c>
      <c r="R669" s="10">
        <v>2.1244936787709023E-4</v>
      </c>
      <c r="S669" s="10">
        <v>1.902855033430913E-4</v>
      </c>
      <c r="T669" s="10">
        <v>0</v>
      </c>
      <c r="U669" s="10">
        <v>1.7348E-4</v>
      </c>
      <c r="V669" s="25"/>
      <c r="W669" s="25"/>
      <c r="X669" s="25"/>
      <c r="Y669" s="25"/>
      <c r="Z669" s="25"/>
      <c r="AA669" s="25"/>
    </row>
    <row r="670" spans="1:27" x14ac:dyDescent="0.35">
      <c r="A670" s="5">
        <v>666</v>
      </c>
      <c r="B670" s="5">
        <v>28</v>
      </c>
      <c r="C670" s="5">
        <v>1</v>
      </c>
      <c r="D670" s="25">
        <v>1.1415000000000001E-4</v>
      </c>
      <c r="E670" s="25">
        <v>1.0995E-4</v>
      </c>
      <c r="F670" s="25">
        <v>9.7709999999999998E-5</v>
      </c>
      <c r="G670" s="25">
        <v>1.6681000000000001E-4</v>
      </c>
      <c r="H670" s="25">
        <v>4.227E-5</v>
      </c>
      <c r="I670" s="9">
        <v>1.3735E-4</v>
      </c>
      <c r="J670" s="9">
        <v>1.4660000000000001E-4</v>
      </c>
      <c r="K670" s="9">
        <v>2.8611000000000001E-4</v>
      </c>
      <c r="L670" s="9">
        <v>1.3831999999999999E-4</v>
      </c>
      <c r="M670" s="9">
        <v>1.2729000000000001E-4</v>
      </c>
      <c r="N670" s="9">
        <v>1.3867E-4</v>
      </c>
      <c r="O670" s="9">
        <v>1.4175E-4</v>
      </c>
      <c r="P670" s="9">
        <v>1.2850000000000001E-4</v>
      </c>
      <c r="Q670" s="9">
        <v>1.1747999999999999E-4</v>
      </c>
      <c r="R670" s="10">
        <v>2.1244936787709023E-4</v>
      </c>
      <c r="S670" s="10">
        <v>1.9028486700413633E-4</v>
      </c>
      <c r="T670" s="10">
        <v>0</v>
      </c>
      <c r="U670" s="10">
        <v>1.7348E-4</v>
      </c>
      <c r="V670" s="25"/>
      <c r="W670" s="25"/>
      <c r="X670" s="25"/>
      <c r="Y670" s="25"/>
      <c r="Z670" s="25"/>
      <c r="AA670" s="25"/>
    </row>
    <row r="671" spans="1:27" x14ac:dyDescent="0.35">
      <c r="A671" s="5">
        <v>667</v>
      </c>
      <c r="B671" s="5">
        <v>28</v>
      </c>
      <c r="C671" s="5">
        <v>1</v>
      </c>
      <c r="D671" s="25">
        <v>1.1416E-4</v>
      </c>
      <c r="E671" s="25">
        <v>1.0590999999999999E-4</v>
      </c>
      <c r="F671" s="25">
        <v>1.1434000000000001E-4</v>
      </c>
      <c r="G671" s="25">
        <v>1.0784E-4</v>
      </c>
      <c r="H671" s="25">
        <v>2.923E-5</v>
      </c>
      <c r="I671" s="9">
        <v>1.4473000000000001E-4</v>
      </c>
      <c r="J671" s="9">
        <v>1.4773999999999999E-4</v>
      </c>
      <c r="K671" s="9">
        <v>2.9247000000000002E-4</v>
      </c>
      <c r="L671" s="9">
        <v>1.4090000000000001E-4</v>
      </c>
      <c r="M671" s="9">
        <v>1.2627E-4</v>
      </c>
      <c r="N671" s="9">
        <v>1.2964000000000001E-4</v>
      </c>
      <c r="O671" s="9">
        <v>1.4302999999999999E-4</v>
      </c>
      <c r="P671" s="9">
        <v>1.2401E-4</v>
      </c>
      <c r="Q671" s="9">
        <v>1.0734E-4</v>
      </c>
      <c r="R671" s="10">
        <v>2.1244936787709023E-4</v>
      </c>
      <c r="S671" s="10">
        <v>1.9028006298051832E-4</v>
      </c>
      <c r="T671" s="10">
        <v>0</v>
      </c>
      <c r="U671" s="10">
        <v>1.7348E-4</v>
      </c>
      <c r="V671" s="25"/>
      <c r="W671" s="25"/>
      <c r="X671" s="25"/>
      <c r="Y671" s="25"/>
      <c r="Z671" s="25"/>
      <c r="AA671" s="25"/>
    </row>
    <row r="672" spans="1:27" x14ac:dyDescent="0.35">
      <c r="A672" s="5">
        <v>668</v>
      </c>
      <c r="B672" s="5">
        <v>28</v>
      </c>
      <c r="C672" s="5">
        <v>1</v>
      </c>
      <c r="D672" s="25">
        <v>1.1415000000000001E-4</v>
      </c>
      <c r="E672" s="25">
        <v>1.1202E-4</v>
      </c>
      <c r="F672" s="25">
        <v>1.1387000000000001E-4</v>
      </c>
      <c r="G672" s="25">
        <v>1.1061E-4</v>
      </c>
      <c r="H672" s="25">
        <v>2.9499999999999999E-5</v>
      </c>
      <c r="I672" s="9">
        <v>1.3933000000000001E-4</v>
      </c>
      <c r="J672" s="9">
        <v>1.4355999999999999E-4</v>
      </c>
      <c r="K672" s="9">
        <v>2.8399000000000002E-4</v>
      </c>
      <c r="L672" s="9">
        <v>1.4253000000000001E-4</v>
      </c>
      <c r="M672" s="9">
        <v>1.2548E-4</v>
      </c>
      <c r="N672" s="9">
        <v>1.2066999999999999E-4</v>
      </c>
      <c r="O672" s="9">
        <v>1.4516999999999999E-4</v>
      </c>
      <c r="P672" s="9">
        <v>1.2231000000000001E-4</v>
      </c>
      <c r="Q672" s="9">
        <v>1.019E-4</v>
      </c>
      <c r="R672" s="10">
        <v>2.1244733434050767E-4</v>
      </c>
      <c r="S672" s="10">
        <v>1.9011195966549686E-4</v>
      </c>
      <c r="T672" s="10">
        <v>0</v>
      </c>
      <c r="U672" s="10">
        <v>1.7348E-4</v>
      </c>
      <c r="V672" s="25"/>
      <c r="W672" s="25"/>
      <c r="X672" s="25"/>
      <c r="Y672" s="25"/>
      <c r="Z672" s="25"/>
      <c r="AA672" s="25"/>
    </row>
    <row r="673" spans="1:27" x14ac:dyDescent="0.35">
      <c r="A673" s="5">
        <v>669</v>
      </c>
      <c r="B673" s="5">
        <v>28</v>
      </c>
      <c r="C673" s="5">
        <v>1</v>
      </c>
      <c r="D673" s="25">
        <v>1.1416E-4</v>
      </c>
      <c r="E673" s="25">
        <v>1.0959E-4</v>
      </c>
      <c r="F673" s="25">
        <v>1.066E-4</v>
      </c>
      <c r="G673" s="25">
        <v>5.2790000000000001E-5</v>
      </c>
      <c r="H673" s="25">
        <v>1.6059999999999999E-5</v>
      </c>
      <c r="I673" s="9">
        <v>1.3164000000000001E-4</v>
      </c>
      <c r="J673" s="9">
        <v>1.3698000000000001E-4</v>
      </c>
      <c r="K673" s="9">
        <v>2.6703000000000002E-4</v>
      </c>
      <c r="L673" s="9">
        <v>1.4458E-4</v>
      </c>
      <c r="M673" s="9">
        <v>1.2417E-4</v>
      </c>
      <c r="N673" s="9">
        <v>1.1304E-4</v>
      </c>
      <c r="O673" s="9">
        <v>8.4560000000000004E-5</v>
      </c>
      <c r="P673" s="9">
        <v>8.5970000000000005E-5</v>
      </c>
      <c r="Q673" s="9">
        <v>8.7960000000000005E-5</v>
      </c>
      <c r="R673" s="10">
        <v>2.1244645809480312E-4</v>
      </c>
      <c r="S673" s="10">
        <v>1.9017057472838893E-4</v>
      </c>
      <c r="T673" s="10">
        <v>0</v>
      </c>
      <c r="U673" s="10">
        <v>1.7348E-4</v>
      </c>
      <c r="V673" s="25"/>
      <c r="W673" s="25"/>
      <c r="X673" s="25"/>
      <c r="Y673" s="25"/>
      <c r="Z673" s="25"/>
      <c r="AA673" s="25"/>
    </row>
    <row r="674" spans="1:27" x14ac:dyDescent="0.35">
      <c r="A674" s="5">
        <v>670</v>
      </c>
      <c r="B674" s="5">
        <v>28</v>
      </c>
      <c r="C674" s="5">
        <v>1</v>
      </c>
      <c r="D674" s="25">
        <v>1.1415000000000001E-4</v>
      </c>
      <c r="E674" s="25">
        <v>1.1326E-4</v>
      </c>
      <c r="F674" s="25">
        <v>1.0101E-4</v>
      </c>
      <c r="G674" s="25">
        <v>5.8350000000000002E-5</v>
      </c>
      <c r="H674" s="25">
        <v>1.543E-5</v>
      </c>
      <c r="I674" s="9">
        <v>1.2523999999999999E-4</v>
      </c>
      <c r="J674" s="9">
        <v>1.2854000000000001E-4</v>
      </c>
      <c r="K674" s="9">
        <v>2.7127E-4</v>
      </c>
      <c r="L674" s="9">
        <v>9.7720000000000006E-5</v>
      </c>
      <c r="M674" s="9">
        <v>1.1003E-4</v>
      </c>
      <c r="N674" s="9">
        <v>1.0543999999999999E-4</v>
      </c>
      <c r="O674" s="9">
        <v>8.7830000000000004E-5</v>
      </c>
      <c r="P674" s="9">
        <v>8.7810000000000001E-5</v>
      </c>
      <c r="Q674" s="9">
        <v>8.8460000000000003E-5</v>
      </c>
      <c r="R674" s="10">
        <v>2.1244815993073048E-4</v>
      </c>
      <c r="S674" s="10">
        <v>1.9010644757900684E-4</v>
      </c>
      <c r="T674" s="10">
        <v>0</v>
      </c>
      <c r="U674" s="10">
        <v>1.7348E-4</v>
      </c>
      <c r="V674" s="25"/>
      <c r="W674" s="25"/>
      <c r="X674" s="25"/>
      <c r="Y674" s="25"/>
      <c r="Z674" s="25"/>
      <c r="AA674" s="25"/>
    </row>
    <row r="675" spans="1:27" x14ac:dyDescent="0.35">
      <c r="A675" s="5">
        <v>671</v>
      </c>
      <c r="B675" s="5">
        <v>28</v>
      </c>
      <c r="C675" s="5">
        <v>1</v>
      </c>
      <c r="D675" s="25">
        <v>1.1416E-4</v>
      </c>
      <c r="E675" s="25">
        <v>1.0503E-4</v>
      </c>
      <c r="F675" s="25">
        <v>1.0863E-4</v>
      </c>
      <c r="G675" s="25">
        <v>5.626E-5</v>
      </c>
      <c r="H675" s="25">
        <v>1.488E-5</v>
      </c>
      <c r="I675" s="9">
        <v>1.2612999999999999E-4</v>
      </c>
      <c r="J675" s="9">
        <v>1.1857E-4</v>
      </c>
      <c r="K675" s="9">
        <v>2.7127E-4</v>
      </c>
      <c r="L675" s="9">
        <v>9.1310000000000005E-5</v>
      </c>
      <c r="M675" s="9">
        <v>9.8220000000000005E-5</v>
      </c>
      <c r="N675" s="9">
        <v>9.9749999999999999E-5</v>
      </c>
      <c r="O675" s="9">
        <v>8.5610000000000002E-5</v>
      </c>
      <c r="P675" s="9">
        <v>7.6160000000000003E-5</v>
      </c>
      <c r="Q675" s="9">
        <v>6.7459999999999994E-5</v>
      </c>
      <c r="R675" s="10">
        <v>2.1244905883368583E-4</v>
      </c>
      <c r="S675" s="10">
        <v>1.9019392096485832E-4</v>
      </c>
      <c r="T675" s="10">
        <v>0</v>
      </c>
      <c r="U675" s="10">
        <v>1.7348E-4</v>
      </c>
      <c r="V675" s="25"/>
      <c r="W675" s="25"/>
      <c r="X675" s="25"/>
      <c r="Y675" s="25"/>
      <c r="Z675" s="25"/>
      <c r="AA675" s="25"/>
    </row>
    <row r="676" spans="1:27" x14ac:dyDescent="0.35">
      <c r="A676" s="5">
        <v>672</v>
      </c>
      <c r="B676" s="5">
        <v>28</v>
      </c>
      <c r="C676" s="5">
        <v>1</v>
      </c>
      <c r="D676" s="25">
        <v>1.1415000000000001E-4</v>
      </c>
      <c r="E676" s="25">
        <v>1.1158999999999999E-4</v>
      </c>
      <c r="F676" s="25">
        <v>1.1543E-4</v>
      </c>
      <c r="G676" s="25">
        <v>5.3900000000000002E-5</v>
      </c>
      <c r="H676" s="25">
        <v>1.535E-5</v>
      </c>
      <c r="I676" s="9">
        <v>1.2541000000000001E-4</v>
      </c>
      <c r="J676" s="9">
        <v>1.1090999999999999E-4</v>
      </c>
      <c r="K676" s="9">
        <v>2.6703000000000002E-4</v>
      </c>
      <c r="L676" s="9">
        <v>8.708E-5</v>
      </c>
      <c r="M676" s="9">
        <v>8.7520000000000002E-5</v>
      </c>
      <c r="N676" s="9">
        <v>9.0649999999999994E-5</v>
      </c>
      <c r="O676" s="9">
        <v>7.9679999999999996E-5</v>
      </c>
      <c r="P676" s="9">
        <v>6.9090000000000004E-5</v>
      </c>
      <c r="Q676" s="9">
        <v>5.914E-5</v>
      </c>
      <c r="R676" s="10">
        <v>2.1244230874857941E-4</v>
      </c>
      <c r="S676" s="10">
        <v>1.9004869355032975E-4</v>
      </c>
      <c r="T676" s="10">
        <v>0</v>
      </c>
      <c r="U676" s="10">
        <v>1.7348E-4</v>
      </c>
      <c r="V676" s="25"/>
      <c r="W676" s="25"/>
      <c r="X676" s="25"/>
      <c r="Y676" s="25"/>
      <c r="Z676" s="25"/>
      <c r="AA676" s="25"/>
    </row>
    <row r="677" spans="1:27" x14ac:dyDescent="0.35">
      <c r="A677" s="5">
        <v>673</v>
      </c>
      <c r="B677" s="5">
        <v>29</v>
      </c>
      <c r="C677" s="5">
        <v>1</v>
      </c>
      <c r="D677" s="25">
        <v>1.1416E-4</v>
      </c>
      <c r="E677" s="25">
        <v>1.0985E-4</v>
      </c>
      <c r="F677" s="25">
        <v>1.2637999999999999E-4</v>
      </c>
      <c r="G677" s="25">
        <v>5.2670000000000002E-5</v>
      </c>
      <c r="H677" s="25">
        <v>6.2230000000000006E-5</v>
      </c>
      <c r="I677" s="9">
        <v>1.1841999999999999E-4</v>
      </c>
      <c r="J677" s="9">
        <v>1.0412E-4</v>
      </c>
      <c r="K677" s="9">
        <v>2.7975E-4</v>
      </c>
      <c r="L677" s="9">
        <v>8.1069999999999995E-5</v>
      </c>
      <c r="M677" s="9">
        <v>7.8469999999999999E-5</v>
      </c>
      <c r="N677" s="9">
        <v>8.1320000000000001E-5</v>
      </c>
      <c r="O677" s="9">
        <v>5.4979999999999999E-5</v>
      </c>
      <c r="P677" s="9">
        <v>5.4400000000000001E-5</v>
      </c>
      <c r="Q677" s="9">
        <v>5.397E-5</v>
      </c>
      <c r="R677" s="10">
        <v>2.1242673223471596E-4</v>
      </c>
      <c r="S677" s="10">
        <v>1.8943248064048229E-4</v>
      </c>
      <c r="T677" s="10">
        <v>0</v>
      </c>
      <c r="U677" s="10">
        <v>1.8050999999999999E-4</v>
      </c>
      <c r="V677" s="25"/>
      <c r="W677" s="25"/>
      <c r="X677" s="25"/>
      <c r="Y677" s="25"/>
      <c r="Z677" s="25"/>
      <c r="AA677" s="25"/>
    </row>
    <row r="678" spans="1:27" x14ac:dyDescent="0.35">
      <c r="A678" s="5">
        <v>674</v>
      </c>
      <c r="B678" s="5">
        <v>29</v>
      </c>
      <c r="C678" s="5">
        <v>1</v>
      </c>
      <c r="D678" s="25">
        <v>1.1415000000000001E-4</v>
      </c>
      <c r="E678" s="25">
        <v>1.097E-4</v>
      </c>
      <c r="F678" s="25">
        <v>1.3421E-4</v>
      </c>
      <c r="G678" s="25">
        <v>5.3019999999999997E-5</v>
      </c>
      <c r="H678" s="25">
        <v>7.4309999999999998E-5</v>
      </c>
      <c r="I678" s="9">
        <v>1.1209000000000001E-4</v>
      </c>
      <c r="J678" s="9">
        <v>9.9599999999999995E-5</v>
      </c>
      <c r="K678" s="9">
        <v>3.0306000000000002E-4</v>
      </c>
      <c r="L678" s="9">
        <v>6.088E-5</v>
      </c>
      <c r="M678" s="9">
        <v>6.7680000000000003E-5</v>
      </c>
      <c r="N678" s="9">
        <v>7.2329999999999994E-5</v>
      </c>
      <c r="O678" s="9">
        <v>1.8289999999999999E-5</v>
      </c>
      <c r="P678" s="9">
        <v>3.7799999999999997E-5</v>
      </c>
      <c r="Q678" s="9">
        <v>5.626E-5</v>
      </c>
      <c r="R678" s="10">
        <v>2.1239903714032537E-4</v>
      </c>
      <c r="S678" s="10">
        <v>1.8948868331937604E-4</v>
      </c>
      <c r="T678" s="10">
        <v>0</v>
      </c>
      <c r="U678" s="10">
        <v>1.8050999999999999E-4</v>
      </c>
      <c r="V678" s="25"/>
      <c r="W678" s="25"/>
      <c r="X678" s="25"/>
      <c r="Y678" s="25"/>
      <c r="Z678" s="25"/>
      <c r="AA678" s="25"/>
    </row>
    <row r="679" spans="1:27" x14ac:dyDescent="0.35">
      <c r="A679" s="5">
        <v>675</v>
      </c>
      <c r="B679" s="5">
        <v>29</v>
      </c>
      <c r="C679" s="5">
        <v>1</v>
      </c>
      <c r="D679" s="25">
        <v>1.1416E-4</v>
      </c>
      <c r="E679" s="25">
        <v>1.0794E-4</v>
      </c>
      <c r="F679" s="25">
        <v>1.2496E-4</v>
      </c>
      <c r="G679" s="25">
        <v>5.6499999999999998E-5</v>
      </c>
      <c r="H679" s="25">
        <v>6.478E-5</v>
      </c>
      <c r="I679" s="9">
        <v>1.0774E-4</v>
      </c>
      <c r="J679" s="9">
        <v>9.6929999999999995E-5</v>
      </c>
      <c r="K679" s="9">
        <v>3.2425999999999999E-4</v>
      </c>
      <c r="L679" s="9">
        <v>2.8209999999999999E-5</v>
      </c>
      <c r="M679" s="9">
        <v>5.427E-5</v>
      </c>
      <c r="N679" s="9">
        <v>6.5759999999999994E-5</v>
      </c>
      <c r="O679" s="9">
        <v>1.2639999999999999E-5</v>
      </c>
      <c r="P679" s="9">
        <v>3.7610000000000001E-5</v>
      </c>
      <c r="Q679" s="9">
        <v>6.1299999999999999E-5</v>
      </c>
      <c r="R679" s="10">
        <v>2.1241143380343675E-4</v>
      </c>
      <c r="S679" s="10">
        <v>1.8938232901260024E-4</v>
      </c>
      <c r="T679" s="10">
        <v>0</v>
      </c>
      <c r="U679" s="10">
        <v>1.8050999999999999E-4</v>
      </c>
      <c r="V679" s="25"/>
      <c r="W679" s="25"/>
      <c r="X679" s="25"/>
      <c r="Y679" s="25"/>
      <c r="Z679" s="25"/>
      <c r="AA679" s="25"/>
    </row>
    <row r="680" spans="1:27" x14ac:dyDescent="0.35">
      <c r="A680" s="5">
        <v>676</v>
      </c>
      <c r="B680" s="5">
        <v>29</v>
      </c>
      <c r="C680" s="5">
        <v>1</v>
      </c>
      <c r="D680" s="25">
        <v>1.1415000000000001E-4</v>
      </c>
      <c r="E680" s="25">
        <v>1.0703E-4</v>
      </c>
      <c r="F680" s="25">
        <v>1.3254E-4</v>
      </c>
      <c r="G680" s="25">
        <v>5.5899999999999997E-5</v>
      </c>
      <c r="H680" s="25">
        <v>6.8479999999999995E-5</v>
      </c>
      <c r="I680" s="9">
        <v>1.0605E-4</v>
      </c>
      <c r="J680" s="9">
        <v>9.6050000000000004E-5</v>
      </c>
      <c r="K680" s="9">
        <v>3.2002000000000002E-4</v>
      </c>
      <c r="L680" s="9">
        <v>1.694E-5</v>
      </c>
      <c r="M680" s="9">
        <v>4.5040000000000002E-5</v>
      </c>
      <c r="N680" s="9">
        <v>6.2080000000000002E-5</v>
      </c>
      <c r="O680" s="9">
        <v>1.279E-5</v>
      </c>
      <c r="P680" s="9">
        <v>4.7589999999999997E-5</v>
      </c>
      <c r="Q680" s="9">
        <v>8.0939999999999994E-5</v>
      </c>
      <c r="R680" s="10">
        <v>2.1244699092610797E-4</v>
      </c>
      <c r="S680" s="10">
        <v>1.9026603805530394E-4</v>
      </c>
      <c r="T680" s="10">
        <v>0</v>
      </c>
      <c r="U680" s="10">
        <v>1.8050999999999999E-4</v>
      </c>
      <c r="V680" s="25"/>
      <c r="W680" s="25"/>
      <c r="X680" s="25"/>
      <c r="Y680" s="25"/>
      <c r="Z680" s="25"/>
      <c r="AA680" s="25"/>
    </row>
    <row r="681" spans="1:27" x14ac:dyDescent="0.35">
      <c r="A681" s="5">
        <v>677</v>
      </c>
      <c r="B681" s="5">
        <v>29</v>
      </c>
      <c r="C681" s="5">
        <v>1</v>
      </c>
      <c r="D681" s="25">
        <v>1.1416E-4</v>
      </c>
      <c r="E681" s="25">
        <v>1.1537E-4</v>
      </c>
      <c r="F681" s="25">
        <v>1.1993E-4</v>
      </c>
      <c r="G681" s="25">
        <v>5.2880000000000002E-5</v>
      </c>
      <c r="H681" s="25">
        <v>6.4070000000000002E-5</v>
      </c>
      <c r="I681" s="9">
        <v>1.0641000000000001E-4</v>
      </c>
      <c r="J681" s="9">
        <v>9.6219999999999997E-5</v>
      </c>
      <c r="K681" s="9">
        <v>3.2636999999999998E-4</v>
      </c>
      <c r="L681" s="9">
        <v>1.3890000000000001E-5</v>
      </c>
      <c r="M681" s="9">
        <v>4.3909999999999998E-5</v>
      </c>
      <c r="N681" s="9">
        <v>6.4679999999999997E-5</v>
      </c>
      <c r="O681" s="9">
        <v>1.8280000000000001E-5</v>
      </c>
      <c r="P681" s="9">
        <v>5.6679999999999999E-5</v>
      </c>
      <c r="Q681" s="9">
        <v>9.3729999999999999E-5</v>
      </c>
      <c r="R681" s="10">
        <v>2.1244890765576469E-4</v>
      </c>
      <c r="S681" s="10">
        <v>1.9009123997985791E-4</v>
      </c>
      <c r="T681" s="10">
        <v>0</v>
      </c>
      <c r="U681" s="10">
        <v>1.8050999999999999E-4</v>
      </c>
      <c r="V681" s="25"/>
      <c r="W681" s="25"/>
      <c r="X681" s="25"/>
      <c r="Y681" s="25"/>
      <c r="Z681" s="25"/>
      <c r="AA681" s="25"/>
    </row>
    <row r="682" spans="1:27" x14ac:dyDescent="0.35">
      <c r="A682" s="5">
        <v>678</v>
      </c>
      <c r="B682" s="5">
        <v>29</v>
      </c>
      <c r="C682" s="5">
        <v>1</v>
      </c>
      <c r="D682" s="25">
        <v>1.1415000000000001E-4</v>
      </c>
      <c r="E682" s="25">
        <v>1.0698E-4</v>
      </c>
      <c r="F682" s="25">
        <v>1.2656000000000001E-4</v>
      </c>
      <c r="G682" s="25">
        <v>1.1045E-4</v>
      </c>
      <c r="H682" s="25">
        <v>1.3656000000000001E-4</v>
      </c>
      <c r="I682" s="9">
        <v>1.1109E-4</v>
      </c>
      <c r="J682" s="9">
        <v>1.0030999999999999E-4</v>
      </c>
      <c r="K682" s="9">
        <v>3.3697000000000002E-4</v>
      </c>
      <c r="L682" s="9">
        <v>1.7180000000000002E-5</v>
      </c>
      <c r="M682" s="9">
        <v>4.8600000000000002E-5</v>
      </c>
      <c r="N682" s="9">
        <v>7.1199999999999996E-5</v>
      </c>
      <c r="O682" s="9">
        <v>4.6270000000000003E-5</v>
      </c>
      <c r="P682" s="9">
        <v>7.7050000000000003E-5</v>
      </c>
      <c r="Q682" s="9">
        <v>1.0730000000000001E-4</v>
      </c>
      <c r="R682" s="10">
        <v>2.1244925971736981E-4</v>
      </c>
      <c r="S682" s="10">
        <v>1.8987709215293261E-4</v>
      </c>
      <c r="T682" s="10">
        <v>0</v>
      </c>
      <c r="U682" s="10">
        <v>1.8050999999999999E-4</v>
      </c>
      <c r="V682" s="25"/>
      <c r="W682" s="25"/>
      <c r="X682" s="25"/>
      <c r="Y682" s="25"/>
      <c r="Z682" s="25"/>
      <c r="AA682" s="25"/>
    </row>
    <row r="683" spans="1:27" x14ac:dyDescent="0.35">
      <c r="A683" s="5">
        <v>679</v>
      </c>
      <c r="B683" s="5">
        <v>29</v>
      </c>
      <c r="C683" s="5">
        <v>1</v>
      </c>
      <c r="D683" s="25">
        <v>1.1416E-4</v>
      </c>
      <c r="E683" s="25">
        <v>1.0686E-4</v>
      </c>
      <c r="F683" s="25">
        <v>1.3755000000000001E-4</v>
      </c>
      <c r="G683" s="25">
        <v>1.1407E-4</v>
      </c>
      <c r="H683" s="25">
        <v>1.3046999999999999E-4</v>
      </c>
      <c r="I683" s="9">
        <v>1.2391999999999999E-4</v>
      </c>
      <c r="J683" s="9">
        <v>1.1216E-4</v>
      </c>
      <c r="K683" s="9">
        <v>3.2637999999999998E-4</v>
      </c>
      <c r="L683" s="9">
        <v>3.9730000000000001E-5</v>
      </c>
      <c r="M683" s="9">
        <v>6.0170000000000002E-5</v>
      </c>
      <c r="N683" s="9">
        <v>8.0909999999999996E-5</v>
      </c>
      <c r="O683" s="9">
        <v>1.2431000000000001E-4</v>
      </c>
      <c r="P683" s="9">
        <v>1.1738E-4</v>
      </c>
      <c r="Q683" s="9">
        <v>1.1244E-4</v>
      </c>
      <c r="R683" s="10">
        <v>2.1244891041329039E-4</v>
      </c>
      <c r="S683" s="10">
        <v>1.9020878276665377E-4</v>
      </c>
      <c r="T683" s="10">
        <v>0</v>
      </c>
      <c r="U683" s="10">
        <v>1.8050999999999999E-4</v>
      </c>
      <c r="V683" s="25"/>
      <c r="W683" s="25"/>
      <c r="X683" s="25"/>
      <c r="Y683" s="25"/>
      <c r="Z683" s="25"/>
      <c r="AA683" s="25"/>
    </row>
    <row r="684" spans="1:27" x14ac:dyDescent="0.35">
      <c r="A684" s="5">
        <v>680</v>
      </c>
      <c r="B684" s="5">
        <v>29</v>
      </c>
      <c r="C684" s="5">
        <v>1</v>
      </c>
      <c r="D684" s="25">
        <v>1.1415000000000001E-4</v>
      </c>
      <c r="E684" s="25">
        <v>1.1061E-4</v>
      </c>
      <c r="F684" s="25">
        <v>1.3092999999999999E-4</v>
      </c>
      <c r="G684" s="25">
        <v>1.6644000000000001E-4</v>
      </c>
      <c r="H684" s="25">
        <v>1.9445000000000001E-4</v>
      </c>
      <c r="I684" s="9">
        <v>1.349E-4</v>
      </c>
      <c r="J684" s="9">
        <v>1.304E-4</v>
      </c>
      <c r="K684" s="9">
        <v>3.5179999999999999E-4</v>
      </c>
      <c r="L684" s="9">
        <v>1.0507E-4</v>
      </c>
      <c r="M684" s="9">
        <v>8.3770000000000006E-5</v>
      </c>
      <c r="N684" s="9">
        <v>9.0970000000000005E-5</v>
      </c>
      <c r="O684" s="9">
        <v>2.2273E-4</v>
      </c>
      <c r="P684" s="9">
        <v>1.7735E-4</v>
      </c>
      <c r="Q684" s="9">
        <v>1.3700999999999999E-4</v>
      </c>
      <c r="R684" s="10">
        <v>2.1244561288460523E-4</v>
      </c>
      <c r="S684" s="10">
        <v>1.9001758224910275E-4</v>
      </c>
      <c r="T684" s="10">
        <v>0</v>
      </c>
      <c r="U684" s="10">
        <v>1.8050999999999999E-4</v>
      </c>
      <c r="V684" s="25"/>
      <c r="W684" s="25"/>
      <c r="X684" s="25"/>
      <c r="Y684" s="25"/>
      <c r="Z684" s="25"/>
      <c r="AA684" s="25"/>
    </row>
    <row r="685" spans="1:27" x14ac:dyDescent="0.35">
      <c r="A685" s="5">
        <v>681</v>
      </c>
      <c r="B685" s="5">
        <v>29</v>
      </c>
      <c r="C685" s="5">
        <v>1</v>
      </c>
      <c r="D685" s="25">
        <v>1.1416E-4</v>
      </c>
      <c r="E685" s="25">
        <v>1.1184E-4</v>
      </c>
      <c r="F685" s="25">
        <v>1.3711999999999999E-4</v>
      </c>
      <c r="G685" s="25">
        <v>1.6275999999999999E-4</v>
      </c>
      <c r="H685" s="25">
        <v>1.9576000000000001E-4</v>
      </c>
      <c r="I685" s="9">
        <v>1.3854000000000001E-4</v>
      </c>
      <c r="J685" s="9">
        <v>1.4202E-4</v>
      </c>
      <c r="K685" s="9">
        <v>3.1154000000000002E-4</v>
      </c>
      <c r="L685" s="9">
        <v>1.9505999999999999E-4</v>
      </c>
      <c r="M685" s="9">
        <v>1.2355999999999999E-4</v>
      </c>
      <c r="N685" s="9">
        <v>1.0476000000000001E-4</v>
      </c>
      <c r="O685" s="9">
        <v>2.1331E-4</v>
      </c>
      <c r="P685" s="9">
        <v>1.9268000000000001E-4</v>
      </c>
      <c r="Q685" s="9">
        <v>1.7646E-4</v>
      </c>
      <c r="R685" s="10">
        <v>2.1241674746874705E-4</v>
      </c>
      <c r="S685" s="10">
        <v>1.8915391771922091E-4</v>
      </c>
      <c r="T685" s="10">
        <v>1.3404344543290164E-4</v>
      </c>
      <c r="U685" s="10">
        <v>1.8050999999999999E-4</v>
      </c>
      <c r="V685" s="25"/>
      <c r="W685" s="25"/>
      <c r="X685" s="25"/>
      <c r="Y685" s="25"/>
      <c r="Z685" s="25"/>
      <c r="AA685" s="25"/>
    </row>
    <row r="686" spans="1:27" x14ac:dyDescent="0.35">
      <c r="A686" s="5">
        <v>682</v>
      </c>
      <c r="B686" s="5">
        <v>29</v>
      </c>
      <c r="C686" s="5">
        <v>1</v>
      </c>
      <c r="D686" s="25">
        <v>1.1415000000000001E-4</v>
      </c>
      <c r="E686" s="25">
        <v>1.1048E-4</v>
      </c>
      <c r="F686" s="25">
        <v>1.2779999999999999E-4</v>
      </c>
      <c r="G686" s="25">
        <v>1.6559999999999999E-4</v>
      </c>
      <c r="H686" s="25">
        <v>1.906E-4</v>
      </c>
      <c r="I686" s="9">
        <v>1.4022000000000001E-4</v>
      </c>
      <c r="J686" s="9">
        <v>1.4605999999999999E-4</v>
      </c>
      <c r="K686" s="9">
        <v>3.1789999999999998E-4</v>
      </c>
      <c r="L686" s="9">
        <v>2.0693E-4</v>
      </c>
      <c r="M686" s="9">
        <v>1.5852999999999999E-4</v>
      </c>
      <c r="N686" s="9">
        <v>1.2463E-4</v>
      </c>
      <c r="O686" s="9">
        <v>1.6746E-4</v>
      </c>
      <c r="P686" s="9">
        <v>1.7249999999999999E-4</v>
      </c>
      <c r="Q686" s="9">
        <v>1.8043000000000001E-4</v>
      </c>
      <c r="R686" s="10">
        <v>2.1233424373996062E-4</v>
      </c>
      <c r="S686" s="10">
        <v>1.8652598874858165E-4</v>
      </c>
      <c r="T686" s="10">
        <v>2.8659963204781425E-5</v>
      </c>
      <c r="U686" s="10">
        <v>1.8050999999999999E-4</v>
      </c>
      <c r="V686" s="25"/>
      <c r="W686" s="25"/>
      <c r="X686" s="25"/>
      <c r="Y686" s="25"/>
      <c r="Z686" s="25"/>
      <c r="AA686" s="25"/>
    </row>
    <row r="687" spans="1:27" x14ac:dyDescent="0.35">
      <c r="A687" s="5">
        <v>683</v>
      </c>
      <c r="B687" s="5">
        <v>29</v>
      </c>
      <c r="C687" s="5">
        <v>1</v>
      </c>
      <c r="D687" s="25">
        <v>1.1416E-4</v>
      </c>
      <c r="E687" s="25">
        <v>1.1068E-4</v>
      </c>
      <c r="F687" s="25">
        <v>1.2653E-4</v>
      </c>
      <c r="G687" s="25">
        <v>1.6407999999999999E-4</v>
      </c>
      <c r="H687" s="25">
        <v>1.9260999999999999E-4</v>
      </c>
      <c r="I687" s="9">
        <v>1.407E-4</v>
      </c>
      <c r="J687" s="9">
        <v>1.4684E-4</v>
      </c>
      <c r="K687" s="9">
        <v>3.0093999999999997E-4</v>
      </c>
      <c r="L687" s="9">
        <v>1.7623000000000001E-4</v>
      </c>
      <c r="M687" s="9">
        <v>1.7165E-4</v>
      </c>
      <c r="N687" s="9">
        <v>1.4231000000000001E-4</v>
      </c>
      <c r="O687" s="9">
        <v>1.6846999999999999E-4</v>
      </c>
      <c r="P687" s="9">
        <v>1.7220000000000001E-4</v>
      </c>
      <c r="Q687" s="9">
        <v>1.7886000000000001E-4</v>
      </c>
      <c r="R687" s="10">
        <v>2.1227784817240617E-4</v>
      </c>
      <c r="S687" s="10">
        <v>1.8083539866008458E-4</v>
      </c>
      <c r="T687" s="10">
        <v>1.2565247337561068E-5</v>
      </c>
      <c r="U687" s="10">
        <v>1.8050999999999999E-4</v>
      </c>
      <c r="V687" s="25"/>
      <c r="W687" s="25"/>
      <c r="X687" s="25"/>
      <c r="Y687" s="25"/>
      <c r="Z687" s="25"/>
      <c r="AA687" s="25"/>
    </row>
    <row r="688" spans="1:27" x14ac:dyDescent="0.35">
      <c r="A688" s="5">
        <v>684</v>
      </c>
      <c r="B688" s="5">
        <v>29</v>
      </c>
      <c r="C688" s="5">
        <v>1</v>
      </c>
      <c r="D688" s="25">
        <v>1.1415000000000001E-4</v>
      </c>
      <c r="E688" s="25">
        <v>1.1347E-4</v>
      </c>
      <c r="F688" s="25">
        <v>1.3278000000000001E-4</v>
      </c>
      <c r="G688" s="25">
        <v>1.5714E-4</v>
      </c>
      <c r="H688" s="25">
        <v>1.9211E-4</v>
      </c>
      <c r="I688" s="9">
        <v>1.418E-4</v>
      </c>
      <c r="J688" s="9">
        <v>1.4741999999999999E-4</v>
      </c>
      <c r="K688" s="9">
        <v>2.9247000000000002E-4</v>
      </c>
      <c r="L688" s="9">
        <v>1.7164E-4</v>
      </c>
      <c r="M688" s="9">
        <v>1.7401E-4</v>
      </c>
      <c r="N688" s="9">
        <v>1.5624000000000001E-4</v>
      </c>
      <c r="O688" s="9">
        <v>1.7087999999999999E-4</v>
      </c>
      <c r="P688" s="9">
        <v>1.7049E-4</v>
      </c>
      <c r="Q688" s="9">
        <v>1.7315000000000001E-4</v>
      </c>
      <c r="R688" s="10">
        <v>2.1068881661404903E-4</v>
      </c>
      <c r="S688" s="10">
        <v>1.6507633055505002E-4</v>
      </c>
      <c r="T688" s="10">
        <v>1.5633169982572599E-4</v>
      </c>
      <c r="U688" s="10">
        <v>1.8050999999999999E-4</v>
      </c>
      <c r="V688" s="25"/>
      <c r="W688" s="25"/>
      <c r="X688" s="25"/>
      <c r="Y688" s="25"/>
      <c r="Z688" s="25"/>
      <c r="AA688" s="25"/>
    </row>
    <row r="689" spans="1:27" x14ac:dyDescent="0.35">
      <c r="A689" s="5">
        <v>685</v>
      </c>
      <c r="B689" s="5">
        <v>29</v>
      </c>
      <c r="C689" s="5">
        <v>1</v>
      </c>
      <c r="D689" s="25">
        <v>1.1416E-4</v>
      </c>
      <c r="E689" s="25">
        <v>1.0712E-4</v>
      </c>
      <c r="F689" s="25">
        <v>1.3985000000000001E-4</v>
      </c>
      <c r="G689" s="25">
        <v>1.5965E-4</v>
      </c>
      <c r="H689" s="25">
        <v>1.8812000000000001E-4</v>
      </c>
      <c r="I689" s="9">
        <v>1.3893E-4</v>
      </c>
      <c r="J689" s="9">
        <v>1.4562000000000001E-4</v>
      </c>
      <c r="K689" s="9">
        <v>2.7975E-4</v>
      </c>
      <c r="L689" s="9">
        <v>1.7119999999999999E-4</v>
      </c>
      <c r="M689" s="9">
        <v>1.7289000000000001E-4</v>
      </c>
      <c r="N689" s="9">
        <v>1.6551000000000001E-4</v>
      </c>
      <c r="O689" s="9">
        <v>1.6173000000000001E-4</v>
      </c>
      <c r="P689" s="9">
        <v>1.6228E-4</v>
      </c>
      <c r="Q689" s="9">
        <v>1.6563999999999999E-4</v>
      </c>
      <c r="R689" s="10">
        <v>2.105684217433604E-4</v>
      </c>
      <c r="S689" s="10">
        <v>1.6326578078139069E-4</v>
      </c>
      <c r="T689" s="10">
        <v>4.134908131285457E-4</v>
      </c>
      <c r="U689" s="10">
        <v>1.8050999999999999E-4</v>
      </c>
      <c r="V689" s="25"/>
      <c r="W689" s="25"/>
      <c r="X689" s="25"/>
      <c r="Y689" s="25"/>
      <c r="Z689" s="25"/>
      <c r="AA689" s="25"/>
    </row>
    <row r="690" spans="1:27" x14ac:dyDescent="0.35">
      <c r="A690" s="5">
        <v>686</v>
      </c>
      <c r="B690" s="5">
        <v>29</v>
      </c>
      <c r="C690" s="5">
        <v>1</v>
      </c>
      <c r="D690" s="25">
        <v>1.1415000000000001E-4</v>
      </c>
      <c r="E690" s="25">
        <v>1.1085E-4</v>
      </c>
      <c r="F690" s="25">
        <v>1.3297999999999999E-4</v>
      </c>
      <c r="G690" s="25">
        <v>1.6663E-4</v>
      </c>
      <c r="H690" s="25">
        <v>1.8682E-4</v>
      </c>
      <c r="I690" s="9">
        <v>1.3918000000000001E-4</v>
      </c>
      <c r="J690" s="9">
        <v>1.4556000000000001E-4</v>
      </c>
      <c r="K690" s="9">
        <v>2.8186999999999998E-4</v>
      </c>
      <c r="L690" s="9">
        <v>1.6354999999999999E-4</v>
      </c>
      <c r="M690" s="9">
        <v>1.6875000000000001E-4</v>
      </c>
      <c r="N690" s="9">
        <v>1.6949000000000001E-4</v>
      </c>
      <c r="O690" s="9">
        <v>1.7934E-4</v>
      </c>
      <c r="P690" s="9">
        <v>1.6793E-4</v>
      </c>
      <c r="Q690" s="9">
        <v>1.5993999999999999E-4</v>
      </c>
      <c r="R690" s="10">
        <v>2.1098783100309123E-4</v>
      </c>
      <c r="S690" s="10">
        <v>1.5588270170656447E-4</v>
      </c>
      <c r="T690" s="10">
        <v>3.1369848417216943E-4</v>
      </c>
      <c r="U690" s="10">
        <v>1.8050999999999999E-4</v>
      </c>
      <c r="V690" s="25"/>
      <c r="W690" s="25"/>
      <c r="X690" s="25"/>
      <c r="Y690" s="25"/>
      <c r="Z690" s="25"/>
      <c r="AA690" s="25"/>
    </row>
    <row r="691" spans="1:27" x14ac:dyDescent="0.35">
      <c r="A691" s="5">
        <v>687</v>
      </c>
      <c r="B691" s="5">
        <v>29</v>
      </c>
      <c r="C691" s="5">
        <v>1</v>
      </c>
      <c r="D691" s="25">
        <v>1.1416E-4</v>
      </c>
      <c r="E691" s="25">
        <v>1.0650999999999999E-4</v>
      </c>
      <c r="F691" s="25">
        <v>1.292E-4</v>
      </c>
      <c r="G691" s="25">
        <v>1.6201E-4</v>
      </c>
      <c r="H691" s="25">
        <v>1.8697000000000001E-4</v>
      </c>
      <c r="I691" s="9">
        <v>1.3736E-4</v>
      </c>
      <c r="J691" s="9">
        <v>1.4452000000000001E-4</v>
      </c>
      <c r="K691" s="9">
        <v>2.8611000000000001E-4</v>
      </c>
      <c r="L691" s="9">
        <v>1.7605999999999999E-4</v>
      </c>
      <c r="M691" s="9">
        <v>1.6728000000000001E-4</v>
      </c>
      <c r="N691" s="9">
        <v>1.6896000000000001E-4</v>
      </c>
      <c r="O691" s="9">
        <v>1.8650000000000001E-4</v>
      </c>
      <c r="P691" s="9">
        <v>1.6802000000000001E-4</v>
      </c>
      <c r="Q691" s="9">
        <v>1.5326000000000001E-4</v>
      </c>
      <c r="R691" s="10">
        <v>2.1050271497295866E-4</v>
      </c>
      <c r="S691" s="10">
        <v>1.4966007787406939E-4</v>
      </c>
      <c r="T691" s="10">
        <v>2.2721802089616675E-4</v>
      </c>
      <c r="U691" s="10">
        <v>1.8050999999999999E-4</v>
      </c>
      <c r="V691" s="25"/>
      <c r="W691" s="25"/>
      <c r="X691" s="25"/>
      <c r="Y691" s="25"/>
      <c r="Z691" s="25"/>
      <c r="AA691" s="25"/>
    </row>
    <row r="692" spans="1:27" x14ac:dyDescent="0.35">
      <c r="A692" s="5">
        <v>688</v>
      </c>
      <c r="B692" s="5">
        <v>29</v>
      </c>
      <c r="C692" s="5">
        <v>1</v>
      </c>
      <c r="D692" s="25">
        <v>1.1415000000000001E-4</v>
      </c>
      <c r="E692" s="25">
        <v>1.1595999999999999E-4</v>
      </c>
      <c r="F692" s="25">
        <v>1.3465999999999999E-4</v>
      </c>
      <c r="G692" s="25">
        <v>1.6312E-4</v>
      </c>
      <c r="H692" s="25">
        <v>1.9806000000000001E-4</v>
      </c>
      <c r="I692" s="9">
        <v>1.3447000000000001E-4</v>
      </c>
      <c r="J692" s="9">
        <v>1.4347000000000001E-4</v>
      </c>
      <c r="K692" s="9">
        <v>2.8185999999999999E-4</v>
      </c>
      <c r="L692" s="9">
        <v>1.8387000000000001E-4</v>
      </c>
      <c r="M692" s="9">
        <v>1.6726999999999999E-4</v>
      </c>
      <c r="N692" s="9">
        <v>1.6542999999999999E-4</v>
      </c>
      <c r="O692" s="9">
        <v>2.0019999999999999E-4</v>
      </c>
      <c r="P692" s="9">
        <v>1.5288000000000001E-4</v>
      </c>
      <c r="Q692" s="9">
        <v>1.1006999999999999E-4</v>
      </c>
      <c r="R692" s="10">
        <v>2.0589885485132461E-4</v>
      </c>
      <c r="S692" s="10">
        <v>1.4180076622314532E-4</v>
      </c>
      <c r="T692" s="10">
        <v>2.4711370287225094E-4</v>
      </c>
      <c r="U692" s="10">
        <v>1.8050999999999999E-4</v>
      </c>
      <c r="V692" s="25"/>
      <c r="W692" s="25"/>
      <c r="X692" s="25"/>
      <c r="Y692" s="25"/>
      <c r="Z692" s="25"/>
      <c r="AA692" s="25"/>
    </row>
    <row r="693" spans="1:27" x14ac:dyDescent="0.35">
      <c r="A693" s="5">
        <v>689</v>
      </c>
      <c r="B693" s="5">
        <v>29</v>
      </c>
      <c r="C693" s="5">
        <v>1</v>
      </c>
      <c r="D693" s="25">
        <v>1.1416E-4</v>
      </c>
      <c r="E693" s="25">
        <v>1.1555E-4</v>
      </c>
      <c r="F693" s="25">
        <v>1.2316000000000001E-4</v>
      </c>
      <c r="G693" s="25">
        <v>1.5856E-4</v>
      </c>
      <c r="H693" s="25">
        <v>1.9175999999999999E-4</v>
      </c>
      <c r="I693" s="9">
        <v>1.3543E-4</v>
      </c>
      <c r="J693" s="9">
        <v>1.4421E-4</v>
      </c>
      <c r="K693" s="9">
        <v>2.7763000000000001E-4</v>
      </c>
      <c r="L693" s="9">
        <v>1.9634000000000001E-4</v>
      </c>
      <c r="M693" s="9">
        <v>1.6221000000000001E-4</v>
      </c>
      <c r="N693" s="9">
        <v>1.5197999999999999E-4</v>
      </c>
      <c r="O693" s="9">
        <v>2.1764000000000001E-4</v>
      </c>
      <c r="P693" s="9">
        <v>1.6013E-4</v>
      </c>
      <c r="Q693" s="9">
        <v>1.0771E-4</v>
      </c>
      <c r="R693" s="10">
        <v>2.0035582880464968E-4</v>
      </c>
      <c r="S693" s="10">
        <v>1.276557566278344E-4</v>
      </c>
      <c r="T693" s="10">
        <v>0</v>
      </c>
      <c r="U693" s="10">
        <v>1.8050999999999999E-4</v>
      </c>
      <c r="V693" s="25"/>
      <c r="W693" s="25"/>
      <c r="X693" s="25"/>
      <c r="Y693" s="25"/>
      <c r="Z693" s="25"/>
      <c r="AA693" s="25"/>
    </row>
    <row r="694" spans="1:27" x14ac:dyDescent="0.35">
      <c r="A694" s="5">
        <v>690</v>
      </c>
      <c r="B694" s="5">
        <v>29</v>
      </c>
      <c r="C694" s="5">
        <v>1</v>
      </c>
      <c r="D694" s="25">
        <v>1.1415000000000001E-4</v>
      </c>
      <c r="E694" s="25">
        <v>1.1357E-4</v>
      </c>
      <c r="F694" s="25">
        <v>1.2768E-4</v>
      </c>
      <c r="G694" s="25">
        <v>1.63E-4</v>
      </c>
      <c r="H694" s="25">
        <v>1.8976E-4</v>
      </c>
      <c r="I694" s="9">
        <v>1.4035E-4</v>
      </c>
      <c r="J694" s="9">
        <v>1.4868999999999999E-4</v>
      </c>
      <c r="K694" s="9">
        <v>2.7975E-4</v>
      </c>
      <c r="L694" s="9">
        <v>2.1269999999999999E-4</v>
      </c>
      <c r="M694" s="9">
        <v>1.6003E-4</v>
      </c>
      <c r="N694" s="9">
        <v>1.3896000000000001E-4</v>
      </c>
      <c r="O694" s="9">
        <v>2.0683E-4</v>
      </c>
      <c r="P694" s="9">
        <v>1.5964000000000001E-4</v>
      </c>
      <c r="Q694" s="9">
        <v>1.1712E-4</v>
      </c>
      <c r="R694" s="10">
        <v>1.6751671032085198E-4</v>
      </c>
      <c r="S694" s="10">
        <v>9.0521558813866379E-5</v>
      </c>
      <c r="T694" s="10">
        <v>0</v>
      </c>
      <c r="U694" s="10">
        <v>1.8050999999999999E-4</v>
      </c>
      <c r="V694" s="25"/>
      <c r="W694" s="25"/>
      <c r="X694" s="25"/>
      <c r="Y694" s="25"/>
      <c r="Z694" s="25"/>
      <c r="AA694" s="25"/>
    </row>
    <row r="695" spans="1:27" x14ac:dyDescent="0.35">
      <c r="A695" s="5">
        <v>691</v>
      </c>
      <c r="B695" s="5">
        <v>29</v>
      </c>
      <c r="C695" s="5">
        <v>1</v>
      </c>
      <c r="D695" s="25">
        <v>1.1416E-4</v>
      </c>
      <c r="E695" s="25">
        <v>1.0958E-4</v>
      </c>
      <c r="F695" s="25">
        <v>1.3575999999999999E-4</v>
      </c>
      <c r="G695" s="25">
        <v>1.0957E-4</v>
      </c>
      <c r="H695" s="25">
        <v>1.2626E-4</v>
      </c>
      <c r="I695" s="9">
        <v>1.4176E-4</v>
      </c>
      <c r="J695" s="9">
        <v>1.4563999999999999E-4</v>
      </c>
      <c r="K695" s="9">
        <v>2.7551000000000002E-4</v>
      </c>
      <c r="L695" s="9">
        <v>2.0771E-4</v>
      </c>
      <c r="M695" s="9">
        <v>1.5945999999999999E-4</v>
      </c>
      <c r="N695" s="9">
        <v>1.2993E-4</v>
      </c>
      <c r="O695" s="9">
        <v>1.6684E-4</v>
      </c>
      <c r="P695" s="9">
        <v>1.3547E-4</v>
      </c>
      <c r="Q695" s="9">
        <v>1.0752E-4</v>
      </c>
      <c r="R695" s="10">
        <v>1.4065628958891992E-4</v>
      </c>
      <c r="S695" s="10">
        <v>4.8458779144643182E-5</v>
      </c>
      <c r="T695" s="10">
        <v>0</v>
      </c>
      <c r="U695" s="10">
        <v>1.8050999999999999E-4</v>
      </c>
      <c r="V695" s="25"/>
      <c r="W695" s="25"/>
      <c r="X695" s="25"/>
      <c r="Y695" s="25"/>
      <c r="Z695" s="25"/>
      <c r="AA695" s="25"/>
    </row>
    <row r="696" spans="1:27" x14ac:dyDescent="0.35">
      <c r="A696" s="5">
        <v>692</v>
      </c>
      <c r="B696" s="5">
        <v>29</v>
      </c>
      <c r="C696" s="5">
        <v>1</v>
      </c>
      <c r="D696" s="25">
        <v>1.1415000000000001E-4</v>
      </c>
      <c r="E696" s="25">
        <v>1.0518000000000001E-4</v>
      </c>
      <c r="F696" s="25">
        <v>1.295E-4</v>
      </c>
      <c r="G696" s="25">
        <v>1.0608E-4</v>
      </c>
      <c r="H696" s="25">
        <v>1.3594E-4</v>
      </c>
      <c r="I696" s="9">
        <v>1.3469999999999999E-4</v>
      </c>
      <c r="J696" s="9">
        <v>1.394E-4</v>
      </c>
      <c r="K696" s="9">
        <v>2.6703000000000002E-4</v>
      </c>
      <c r="L696" s="9">
        <v>1.7604E-4</v>
      </c>
      <c r="M696" s="9">
        <v>1.5082E-4</v>
      </c>
      <c r="N696" s="9">
        <v>1.2101E-4</v>
      </c>
      <c r="O696" s="9">
        <v>1.3087999999999999E-4</v>
      </c>
      <c r="P696" s="9">
        <v>1.1556E-4</v>
      </c>
      <c r="Q696" s="9">
        <v>1.0251000000000001E-4</v>
      </c>
      <c r="R696" s="10">
        <v>1.2961517046076462E-4</v>
      </c>
      <c r="S696" s="10">
        <v>2.4719299194073828E-5</v>
      </c>
      <c r="T696" s="10">
        <v>0</v>
      </c>
      <c r="U696" s="10">
        <v>1.8050999999999999E-4</v>
      </c>
      <c r="V696" s="25"/>
      <c r="W696" s="25"/>
      <c r="X696" s="25"/>
      <c r="Y696" s="25"/>
      <c r="Z696" s="25"/>
      <c r="AA696" s="25"/>
    </row>
    <row r="697" spans="1:27" x14ac:dyDescent="0.35">
      <c r="A697" s="5">
        <v>693</v>
      </c>
      <c r="B697" s="5">
        <v>29</v>
      </c>
      <c r="C697" s="5">
        <v>1</v>
      </c>
      <c r="D697" s="25">
        <v>1.1416E-4</v>
      </c>
      <c r="E697" s="25">
        <v>1.0516E-4</v>
      </c>
      <c r="F697" s="25">
        <v>1.4195000000000001E-4</v>
      </c>
      <c r="G697" s="25">
        <v>5.6799999999999998E-5</v>
      </c>
      <c r="H697" s="25">
        <v>6.6779999999999994E-5</v>
      </c>
      <c r="I697" s="9">
        <v>1.2851E-4</v>
      </c>
      <c r="J697" s="9">
        <v>1.3279000000000001E-4</v>
      </c>
      <c r="K697" s="9">
        <v>2.6703000000000002E-4</v>
      </c>
      <c r="L697" s="9">
        <v>1.4181E-4</v>
      </c>
      <c r="M697" s="9">
        <v>1.3570999999999999E-4</v>
      </c>
      <c r="N697" s="9">
        <v>1.1348E-4</v>
      </c>
      <c r="O697" s="9">
        <v>8.4480000000000004E-5</v>
      </c>
      <c r="P697" s="9">
        <v>8.5569999999999996E-5</v>
      </c>
      <c r="Q697" s="9">
        <v>8.755E-5</v>
      </c>
      <c r="R697" s="10">
        <v>1.2177520702541931E-4</v>
      </c>
      <c r="S697" s="10">
        <v>1.6397868111539853E-5</v>
      </c>
      <c r="T697" s="10">
        <v>0</v>
      </c>
      <c r="U697" s="10">
        <v>1.8050999999999999E-4</v>
      </c>
      <c r="V697" s="25"/>
      <c r="W697" s="25"/>
      <c r="X697" s="25"/>
      <c r="Y697" s="25"/>
      <c r="Z697" s="25"/>
      <c r="AA697" s="25"/>
    </row>
    <row r="698" spans="1:27" x14ac:dyDescent="0.35">
      <c r="A698" s="5">
        <v>694</v>
      </c>
      <c r="B698" s="5">
        <v>29</v>
      </c>
      <c r="C698" s="5">
        <v>1</v>
      </c>
      <c r="D698" s="25">
        <v>1.1415000000000001E-4</v>
      </c>
      <c r="E698" s="25">
        <v>1.0933999999999999E-4</v>
      </c>
      <c r="F698" s="25">
        <v>1.4066999999999999E-4</v>
      </c>
      <c r="G698" s="25">
        <v>5.7510000000000003E-5</v>
      </c>
      <c r="H698" s="25">
        <v>6.957E-5</v>
      </c>
      <c r="I698" s="9">
        <v>1.2296E-4</v>
      </c>
      <c r="J698" s="9">
        <v>1.2448E-4</v>
      </c>
      <c r="K698" s="9">
        <v>2.5856000000000002E-4</v>
      </c>
      <c r="L698" s="9">
        <v>9.7999999999999997E-5</v>
      </c>
      <c r="M698" s="9">
        <v>1.1378E-4</v>
      </c>
      <c r="N698" s="9">
        <v>1.0568E-4</v>
      </c>
      <c r="O698" s="9">
        <v>8.8590000000000004E-5</v>
      </c>
      <c r="P698" s="9">
        <v>8.8250000000000004E-5</v>
      </c>
      <c r="Q698" s="9">
        <v>8.8900000000000006E-5</v>
      </c>
      <c r="R698" s="10">
        <v>1.0594959873619316E-4</v>
      </c>
      <c r="S698" s="10">
        <v>1.7692691626578487E-5</v>
      </c>
      <c r="T698" s="10">
        <v>0</v>
      </c>
      <c r="U698" s="10">
        <v>1.8050999999999999E-4</v>
      </c>
      <c r="V698" s="25"/>
      <c r="W698" s="25"/>
      <c r="X698" s="25"/>
      <c r="Y698" s="25"/>
      <c r="Z698" s="25"/>
      <c r="AA698" s="25"/>
    </row>
    <row r="699" spans="1:27" x14ac:dyDescent="0.35">
      <c r="A699" s="5">
        <v>695</v>
      </c>
      <c r="B699" s="5">
        <v>29</v>
      </c>
      <c r="C699" s="5">
        <v>1</v>
      </c>
      <c r="D699" s="25">
        <v>1.1416E-4</v>
      </c>
      <c r="E699" s="25">
        <v>1.0818E-4</v>
      </c>
      <c r="F699" s="25">
        <v>1.3530000000000001E-4</v>
      </c>
      <c r="G699" s="25">
        <v>5.626E-5</v>
      </c>
      <c r="H699" s="25">
        <v>7.1600000000000006E-5</v>
      </c>
      <c r="I699" s="9">
        <v>1.2490999999999999E-4</v>
      </c>
      <c r="J699" s="9">
        <v>1.1629E-4</v>
      </c>
      <c r="K699" s="9">
        <v>2.5856000000000002E-4</v>
      </c>
      <c r="L699" s="9">
        <v>9.1650000000000005E-5</v>
      </c>
      <c r="M699" s="9">
        <v>9.9190000000000004E-5</v>
      </c>
      <c r="N699" s="9">
        <v>9.9980000000000002E-5</v>
      </c>
      <c r="O699" s="9">
        <v>7.8380000000000005E-5</v>
      </c>
      <c r="P699" s="9">
        <v>7.2290000000000001E-5</v>
      </c>
      <c r="Q699" s="9">
        <v>6.703E-5</v>
      </c>
      <c r="R699" s="10">
        <v>9.0572888321264976E-5</v>
      </c>
      <c r="S699" s="10">
        <v>1.9801070771431222E-5</v>
      </c>
      <c r="T699" s="10">
        <v>0</v>
      </c>
      <c r="U699" s="10">
        <v>1.8050999999999999E-4</v>
      </c>
      <c r="V699" s="25"/>
      <c r="W699" s="25"/>
      <c r="X699" s="25"/>
      <c r="Y699" s="25"/>
      <c r="Z699" s="25"/>
      <c r="AA699" s="25"/>
    </row>
    <row r="700" spans="1:27" x14ac:dyDescent="0.35">
      <c r="A700" s="5">
        <v>696</v>
      </c>
      <c r="B700" s="5">
        <v>29</v>
      </c>
      <c r="C700" s="5">
        <v>1</v>
      </c>
      <c r="D700" s="25">
        <v>1.1415000000000001E-4</v>
      </c>
      <c r="E700" s="25">
        <v>1.0914E-4</v>
      </c>
      <c r="F700" s="25">
        <v>1.2306E-4</v>
      </c>
      <c r="G700" s="25">
        <v>5.8640000000000001E-5</v>
      </c>
      <c r="H700" s="25">
        <v>7.4649999999999998E-5</v>
      </c>
      <c r="I700" s="9">
        <v>1.2469E-4</v>
      </c>
      <c r="J700" s="9">
        <v>1.1078000000000001E-4</v>
      </c>
      <c r="K700" s="9">
        <v>2.3735999999999999E-4</v>
      </c>
      <c r="L700" s="9">
        <v>8.1269999999999999E-5</v>
      </c>
      <c r="M700" s="9">
        <v>8.6310000000000005E-5</v>
      </c>
      <c r="N700" s="9">
        <v>9.0710000000000004E-5</v>
      </c>
      <c r="O700" s="9">
        <v>6.3070000000000004E-5</v>
      </c>
      <c r="P700" s="9">
        <v>6.0859999999999997E-5</v>
      </c>
      <c r="Q700" s="9">
        <v>5.9039999999999997E-5</v>
      </c>
      <c r="R700" s="10">
        <v>8.9044240076160513E-5</v>
      </c>
      <c r="S700" s="10">
        <v>3.4339115926207149E-5</v>
      </c>
      <c r="T700" s="10">
        <v>0</v>
      </c>
      <c r="U700" s="10">
        <v>1.8050999999999999E-4</v>
      </c>
      <c r="V700" s="25"/>
      <c r="W700" s="25"/>
      <c r="X700" s="25"/>
      <c r="Y700" s="25"/>
      <c r="Z700" s="25"/>
      <c r="AA700" s="25"/>
    </row>
    <row r="701" spans="1:27" x14ac:dyDescent="0.35">
      <c r="A701" s="5">
        <v>697</v>
      </c>
      <c r="B701" s="5">
        <v>30</v>
      </c>
      <c r="C701" s="5">
        <v>1</v>
      </c>
      <c r="D701" s="25">
        <v>1.1416E-4</v>
      </c>
      <c r="E701" s="25">
        <v>1.1957E-4</v>
      </c>
      <c r="F701" s="25">
        <v>1.0495E-4</v>
      </c>
      <c r="G701" s="25">
        <v>5.2660000000000001E-5</v>
      </c>
      <c r="H701" s="25">
        <v>7.0240000000000005E-5</v>
      </c>
      <c r="I701" s="9">
        <v>1.1663E-4</v>
      </c>
      <c r="J701" s="9">
        <v>1.0391999999999999E-4</v>
      </c>
      <c r="K701" s="9">
        <v>2.3311999999999999E-4</v>
      </c>
      <c r="L701" s="9">
        <v>6.7070000000000007E-5</v>
      </c>
      <c r="M701" s="9">
        <v>7.4200000000000001E-5</v>
      </c>
      <c r="N701" s="9">
        <v>8.1310000000000006E-5</v>
      </c>
      <c r="O701" s="9">
        <v>5.4570000000000001E-5</v>
      </c>
      <c r="P701" s="9">
        <v>5.3980000000000002E-5</v>
      </c>
      <c r="Q701" s="9">
        <v>5.3560000000000002E-5</v>
      </c>
      <c r="R701" s="10">
        <v>9.2732560065339232E-5</v>
      </c>
      <c r="S701" s="10">
        <v>3.1991103229449673E-5</v>
      </c>
      <c r="T701" s="10">
        <v>0</v>
      </c>
      <c r="U701" s="10">
        <v>1.8649000000000001E-4</v>
      </c>
      <c r="V701" s="25"/>
      <c r="W701" s="25"/>
      <c r="X701" s="25"/>
      <c r="Y701" s="25"/>
      <c r="Z701" s="25"/>
      <c r="AA701" s="25"/>
    </row>
    <row r="702" spans="1:27" x14ac:dyDescent="0.35">
      <c r="A702" s="5">
        <v>698</v>
      </c>
      <c r="B702" s="5">
        <v>30</v>
      </c>
      <c r="C702" s="5">
        <v>1</v>
      </c>
      <c r="D702" s="25">
        <v>1.1415000000000001E-4</v>
      </c>
      <c r="E702" s="25">
        <v>1.1088E-4</v>
      </c>
      <c r="F702" s="25">
        <v>1.1336999999999999E-4</v>
      </c>
      <c r="G702" s="25">
        <v>5.5510000000000002E-5</v>
      </c>
      <c r="H702" s="25">
        <v>6.7290000000000001E-5</v>
      </c>
      <c r="I702" s="9">
        <v>1.0984000000000001E-4</v>
      </c>
      <c r="J702" s="9">
        <v>9.8189999999999993E-5</v>
      </c>
      <c r="K702" s="9">
        <v>2.2253E-4</v>
      </c>
      <c r="L702" s="9">
        <v>5.7710000000000001E-5</v>
      </c>
      <c r="M702" s="9">
        <v>6.4029999999999995E-5</v>
      </c>
      <c r="N702" s="9">
        <v>7.2189999999999998E-5</v>
      </c>
      <c r="O702" s="9">
        <v>1.8280000000000001E-5</v>
      </c>
      <c r="P702" s="9">
        <v>3.7780000000000001E-5</v>
      </c>
      <c r="Q702" s="9">
        <v>5.6230000000000002E-5</v>
      </c>
      <c r="R702" s="10">
        <v>9.1344149387094029E-5</v>
      </c>
      <c r="S702" s="10">
        <v>2.9917295758717784E-5</v>
      </c>
      <c r="T702" s="10">
        <v>0</v>
      </c>
      <c r="U702" s="10">
        <v>1.8649000000000001E-4</v>
      </c>
      <c r="V702" s="25"/>
      <c r="W702" s="25"/>
      <c r="X702" s="25"/>
      <c r="Y702" s="25"/>
      <c r="Z702" s="25"/>
      <c r="AA702" s="25"/>
    </row>
    <row r="703" spans="1:27" x14ac:dyDescent="0.35">
      <c r="A703" s="5">
        <v>699</v>
      </c>
      <c r="B703" s="5">
        <v>30</v>
      </c>
      <c r="C703" s="5">
        <v>1</v>
      </c>
      <c r="D703" s="25">
        <v>1.1416E-4</v>
      </c>
      <c r="E703" s="25">
        <v>1.2059E-4</v>
      </c>
      <c r="F703" s="25">
        <v>1.07E-4</v>
      </c>
      <c r="G703" s="25">
        <v>5.4710000000000003E-5</v>
      </c>
      <c r="H703" s="25">
        <v>6.6940000000000006E-5</v>
      </c>
      <c r="I703" s="9">
        <v>1.0383E-4</v>
      </c>
      <c r="J703" s="9">
        <v>9.4909999999999998E-5</v>
      </c>
      <c r="K703" s="9">
        <v>2.1405E-4</v>
      </c>
      <c r="L703" s="9">
        <v>2.7160000000000001E-5</v>
      </c>
      <c r="M703" s="9">
        <v>5.2259999999999998E-5</v>
      </c>
      <c r="N703" s="9">
        <v>6.5629999999999993E-5</v>
      </c>
      <c r="O703" s="9">
        <v>1.259E-5</v>
      </c>
      <c r="P703" s="9">
        <v>3.7459999999999997E-5</v>
      </c>
      <c r="Q703" s="9">
        <v>6.1060000000000002E-5</v>
      </c>
      <c r="R703" s="10">
        <v>8.8440544734377452E-5</v>
      </c>
      <c r="S703" s="10">
        <v>3.0086489083152283E-5</v>
      </c>
      <c r="T703" s="10">
        <v>0</v>
      </c>
      <c r="U703" s="10">
        <v>1.8649000000000001E-4</v>
      </c>
      <c r="V703" s="25"/>
      <c r="W703" s="25"/>
      <c r="X703" s="25"/>
      <c r="Y703" s="25"/>
      <c r="Z703" s="25"/>
      <c r="AA703" s="25"/>
    </row>
    <row r="704" spans="1:27" x14ac:dyDescent="0.35">
      <c r="A704" s="5">
        <v>700</v>
      </c>
      <c r="B704" s="5">
        <v>30</v>
      </c>
      <c r="C704" s="5">
        <v>1</v>
      </c>
      <c r="D704" s="25">
        <v>1.1415000000000001E-4</v>
      </c>
      <c r="E704" s="25">
        <v>1.1430999999999999E-4</v>
      </c>
      <c r="F704" s="25">
        <v>1.0219E-4</v>
      </c>
      <c r="G704" s="25">
        <v>5.6180000000000001E-5</v>
      </c>
      <c r="H704" s="25">
        <v>6.8930000000000006E-5</v>
      </c>
      <c r="I704" s="9">
        <v>1.0088E-4</v>
      </c>
      <c r="J704" s="9">
        <v>9.3499999999999996E-5</v>
      </c>
      <c r="K704" s="9">
        <v>2.0981999999999999E-4</v>
      </c>
      <c r="L704" s="9">
        <v>1.6549999999999999E-5</v>
      </c>
      <c r="M704" s="9">
        <v>4.4129999999999999E-5</v>
      </c>
      <c r="N704" s="9">
        <v>6.1890000000000005E-5</v>
      </c>
      <c r="O704" s="9">
        <v>1.271E-5</v>
      </c>
      <c r="P704" s="9">
        <v>4.7290000000000003E-5</v>
      </c>
      <c r="Q704" s="9">
        <v>8.0430000000000001E-5</v>
      </c>
      <c r="R704" s="10">
        <v>9.6739907750973642E-5</v>
      </c>
      <c r="S704" s="10">
        <v>3.1943670232651905E-5</v>
      </c>
      <c r="T704" s="10">
        <v>0</v>
      </c>
      <c r="U704" s="10">
        <v>1.8649000000000001E-4</v>
      </c>
      <c r="V704" s="25"/>
      <c r="W704" s="25"/>
      <c r="X704" s="25"/>
      <c r="Y704" s="25"/>
      <c r="Z704" s="25"/>
      <c r="AA704" s="25"/>
    </row>
    <row r="705" spans="1:27" x14ac:dyDescent="0.35">
      <c r="A705" s="5">
        <v>701</v>
      </c>
      <c r="B705" s="5">
        <v>30</v>
      </c>
      <c r="C705" s="5">
        <v>1</v>
      </c>
      <c r="D705" s="25">
        <v>1.1416E-4</v>
      </c>
      <c r="E705" s="25">
        <v>1.1682E-4</v>
      </c>
      <c r="F705" s="25">
        <v>1.1436E-4</v>
      </c>
      <c r="G705" s="25">
        <v>5.3569999999999997E-5</v>
      </c>
      <c r="H705" s="25">
        <v>6.6439999999999994E-5</v>
      </c>
      <c r="I705" s="9">
        <v>9.9500000000000006E-5</v>
      </c>
      <c r="J705" s="9">
        <v>9.3239999999999995E-5</v>
      </c>
      <c r="K705" s="9">
        <v>2.0981999999999999E-4</v>
      </c>
      <c r="L705" s="9">
        <v>1.381E-5</v>
      </c>
      <c r="M705" s="9">
        <v>4.3430000000000003E-5</v>
      </c>
      <c r="N705" s="9">
        <v>6.4419999999999996E-5</v>
      </c>
      <c r="O705" s="9">
        <v>1.8170000000000001E-5</v>
      </c>
      <c r="P705" s="9">
        <v>5.6329999999999998E-5</v>
      </c>
      <c r="Q705" s="9">
        <v>9.3150000000000001E-5</v>
      </c>
      <c r="R705" s="10">
        <v>1.1179036429722251E-4</v>
      </c>
      <c r="S705" s="10">
        <v>2.9658174225074522E-5</v>
      </c>
      <c r="T705" s="10">
        <v>0</v>
      </c>
      <c r="U705" s="10">
        <v>1.8649000000000001E-4</v>
      </c>
      <c r="V705" s="25"/>
      <c r="W705" s="25"/>
      <c r="X705" s="25"/>
      <c r="Y705" s="25"/>
      <c r="Z705" s="25"/>
      <c r="AA705" s="25"/>
    </row>
    <row r="706" spans="1:27" x14ac:dyDescent="0.35">
      <c r="A706" s="5">
        <v>702</v>
      </c>
      <c r="B706" s="5">
        <v>30</v>
      </c>
      <c r="C706" s="5">
        <v>1</v>
      </c>
      <c r="D706" s="25">
        <v>1.1415000000000001E-4</v>
      </c>
      <c r="E706" s="25">
        <v>1.1951E-4</v>
      </c>
      <c r="F706" s="25">
        <v>9.8189999999999993E-5</v>
      </c>
      <c r="G706" s="25">
        <v>1.1458E-4</v>
      </c>
      <c r="H706" s="25">
        <v>1.2837999999999999E-4</v>
      </c>
      <c r="I706" s="9">
        <v>1.0003E-4</v>
      </c>
      <c r="J706" s="9">
        <v>9.4710000000000006E-5</v>
      </c>
      <c r="K706" s="9">
        <v>2.0769000000000001E-4</v>
      </c>
      <c r="L706" s="9">
        <v>1.7079999999999999E-5</v>
      </c>
      <c r="M706" s="9">
        <v>4.8250000000000001E-5</v>
      </c>
      <c r="N706" s="9">
        <v>7.0850000000000001E-5</v>
      </c>
      <c r="O706" s="9">
        <v>4.6E-5</v>
      </c>
      <c r="P706" s="9">
        <v>7.661E-5</v>
      </c>
      <c r="Q706" s="9">
        <v>1.0666999999999999E-4</v>
      </c>
      <c r="R706" s="10">
        <v>1.1883561297527893E-4</v>
      </c>
      <c r="S706" s="10">
        <v>1.90060691980139E-5</v>
      </c>
      <c r="T706" s="10">
        <v>0</v>
      </c>
      <c r="U706" s="10">
        <v>1.8649000000000001E-4</v>
      </c>
      <c r="V706" s="25"/>
      <c r="W706" s="25"/>
      <c r="X706" s="25"/>
      <c r="Y706" s="25"/>
      <c r="Z706" s="25"/>
      <c r="AA706" s="25"/>
    </row>
    <row r="707" spans="1:27" x14ac:dyDescent="0.35">
      <c r="A707" s="5">
        <v>703</v>
      </c>
      <c r="B707" s="5">
        <v>30</v>
      </c>
      <c r="C707" s="5">
        <v>1</v>
      </c>
      <c r="D707" s="25">
        <v>1.1416E-4</v>
      </c>
      <c r="E707" s="25">
        <v>1.1175000000000001E-4</v>
      </c>
      <c r="F707" s="25">
        <v>1.0252E-4</v>
      </c>
      <c r="G707" s="25">
        <v>1.0775E-4</v>
      </c>
      <c r="H707" s="25">
        <v>1.3662E-4</v>
      </c>
      <c r="I707" s="9">
        <v>1.037E-4</v>
      </c>
      <c r="J707" s="9">
        <v>9.9619999999999998E-5</v>
      </c>
      <c r="K707" s="9">
        <v>2.0769000000000001E-4</v>
      </c>
      <c r="L707" s="9">
        <v>3.9490000000000003E-5</v>
      </c>
      <c r="M707" s="9">
        <v>5.982E-5</v>
      </c>
      <c r="N707" s="9">
        <v>8.0480000000000002E-5</v>
      </c>
      <c r="O707" s="9">
        <v>1.2370999999999999E-4</v>
      </c>
      <c r="P707" s="9">
        <v>1.1681E-4</v>
      </c>
      <c r="Q707" s="9">
        <v>1.119E-4</v>
      </c>
      <c r="R707" s="10">
        <v>1.050638391156137E-4</v>
      </c>
      <c r="S707" s="10">
        <v>1.4241306687716465E-5</v>
      </c>
      <c r="T707" s="10">
        <v>0</v>
      </c>
      <c r="U707" s="10">
        <v>1.8649000000000001E-4</v>
      </c>
      <c r="V707" s="25"/>
      <c r="W707" s="25"/>
      <c r="X707" s="25"/>
      <c r="Y707" s="25"/>
      <c r="Z707" s="25"/>
      <c r="AA707" s="25"/>
    </row>
    <row r="708" spans="1:27" x14ac:dyDescent="0.35">
      <c r="A708" s="5">
        <v>704</v>
      </c>
      <c r="B708" s="5">
        <v>30</v>
      </c>
      <c r="C708" s="5">
        <v>1</v>
      </c>
      <c r="D708" s="25">
        <v>1.1415000000000001E-4</v>
      </c>
      <c r="E708" s="25">
        <v>1.1804E-4</v>
      </c>
      <c r="F708" s="25">
        <v>1.0898E-4</v>
      </c>
      <c r="G708" s="25">
        <v>1.6556000000000001E-4</v>
      </c>
      <c r="H708" s="25">
        <v>1.8914999999999999E-4</v>
      </c>
      <c r="I708" s="9">
        <v>1.0787E-4</v>
      </c>
      <c r="J708" s="9">
        <v>1.0857999999999999E-4</v>
      </c>
      <c r="K708" s="9">
        <v>2.0557999999999999E-4</v>
      </c>
      <c r="L708" s="9">
        <v>1.0456E-4</v>
      </c>
      <c r="M708" s="9">
        <v>8.3319999999999995E-5</v>
      </c>
      <c r="N708" s="9">
        <v>9.0480000000000001E-5</v>
      </c>
      <c r="O708" s="9">
        <v>2.2154999999999999E-4</v>
      </c>
      <c r="P708" s="9">
        <v>1.7641E-4</v>
      </c>
      <c r="Q708" s="9">
        <v>1.3627999999999999E-4</v>
      </c>
      <c r="R708" s="10">
        <v>8.5359148612776918E-5</v>
      </c>
      <c r="S708" s="10">
        <v>1.8683111609483649E-5</v>
      </c>
      <c r="T708" s="10">
        <v>0</v>
      </c>
      <c r="U708" s="10">
        <v>1.8649000000000001E-4</v>
      </c>
      <c r="V708" s="25"/>
      <c r="W708" s="25"/>
      <c r="X708" s="25"/>
      <c r="Y708" s="25"/>
      <c r="Z708" s="25"/>
      <c r="AA708" s="25"/>
    </row>
    <row r="709" spans="1:27" x14ac:dyDescent="0.35">
      <c r="A709" s="5">
        <v>705</v>
      </c>
      <c r="B709" s="5">
        <v>30</v>
      </c>
      <c r="C709" s="5">
        <v>1</v>
      </c>
      <c r="D709" s="25">
        <v>1.1416E-4</v>
      </c>
      <c r="E709" s="25">
        <v>1.1338E-4</v>
      </c>
      <c r="F709" s="25">
        <v>1.0069999999999999E-4</v>
      </c>
      <c r="G709" s="25">
        <v>1.6742999999999999E-4</v>
      </c>
      <c r="H709" s="25">
        <v>1.9464999999999999E-4</v>
      </c>
      <c r="I709" s="9">
        <v>1.1540999999999999E-4</v>
      </c>
      <c r="J709" s="9">
        <v>1.1815E-4</v>
      </c>
      <c r="K709" s="9">
        <v>1.9709999999999999E-4</v>
      </c>
      <c r="L709" s="9">
        <v>1.9403000000000001E-4</v>
      </c>
      <c r="M709" s="9">
        <v>1.2291E-4</v>
      </c>
      <c r="N709" s="9">
        <v>1.0419E-4</v>
      </c>
      <c r="O709" s="9">
        <v>2.1568999999999999E-4</v>
      </c>
      <c r="P709" s="9">
        <v>1.9482000000000001E-4</v>
      </c>
      <c r="Q709" s="9">
        <v>1.7841999999999999E-4</v>
      </c>
      <c r="R709" s="10">
        <v>7.2792170970791632E-5</v>
      </c>
      <c r="S709" s="10">
        <v>2.8321305453003815E-5</v>
      </c>
      <c r="T709" s="10">
        <v>1.5399003320508669E-5</v>
      </c>
      <c r="U709" s="10">
        <v>1.8649000000000001E-4</v>
      </c>
      <c r="V709" s="25"/>
      <c r="W709" s="25"/>
      <c r="X709" s="25"/>
      <c r="Y709" s="25"/>
      <c r="Z709" s="25"/>
      <c r="AA709" s="25"/>
    </row>
    <row r="710" spans="1:27" x14ac:dyDescent="0.35">
      <c r="A710" s="5">
        <v>706</v>
      </c>
      <c r="B710" s="5">
        <v>30</v>
      </c>
      <c r="C710" s="5">
        <v>1</v>
      </c>
      <c r="D710" s="25">
        <v>1.1415000000000001E-4</v>
      </c>
      <c r="E710" s="25">
        <v>1.1275E-4</v>
      </c>
      <c r="F710" s="25">
        <v>1.0247999999999999E-4</v>
      </c>
      <c r="G710" s="25">
        <v>1.5660000000000001E-4</v>
      </c>
      <c r="H710" s="25">
        <v>1.9082999999999999E-4</v>
      </c>
      <c r="I710" s="9">
        <v>1.2142E-4</v>
      </c>
      <c r="J710" s="9">
        <v>1.2635000000000001E-4</v>
      </c>
      <c r="K710" s="9">
        <v>1.8438999999999999E-4</v>
      </c>
      <c r="L710" s="9">
        <v>2.0858000000000001E-4</v>
      </c>
      <c r="M710" s="9">
        <v>1.5883999999999999E-4</v>
      </c>
      <c r="N710" s="9">
        <v>1.2459999999999999E-4</v>
      </c>
      <c r="O710" s="9">
        <v>1.6745E-4</v>
      </c>
      <c r="P710" s="9">
        <v>1.7249E-4</v>
      </c>
      <c r="Q710" s="9">
        <v>1.8042000000000001E-4</v>
      </c>
      <c r="R710" s="10">
        <v>6.2963461676089828E-5</v>
      </c>
      <c r="S710" s="10">
        <v>4.1025630996091519E-5</v>
      </c>
      <c r="T710" s="10">
        <v>2.7028432439749018E-4</v>
      </c>
      <c r="U710" s="10">
        <v>1.8649000000000001E-4</v>
      </c>
      <c r="V710" s="25"/>
      <c r="W710" s="25"/>
      <c r="X710" s="25"/>
      <c r="Y710" s="25"/>
      <c r="Z710" s="25"/>
      <c r="AA710" s="25"/>
    </row>
    <row r="711" spans="1:27" x14ac:dyDescent="0.35">
      <c r="A711" s="5">
        <v>707</v>
      </c>
      <c r="B711" s="5">
        <v>30</v>
      </c>
      <c r="C711" s="5">
        <v>1</v>
      </c>
      <c r="D711" s="25">
        <v>1.1416E-4</v>
      </c>
      <c r="E711" s="25">
        <v>1.176E-4</v>
      </c>
      <c r="F711" s="25">
        <v>9.9030000000000006E-5</v>
      </c>
      <c r="G711" s="25">
        <v>1.6101000000000001E-4</v>
      </c>
      <c r="H711" s="25">
        <v>1.8726999999999999E-4</v>
      </c>
      <c r="I711" s="9">
        <v>1.2630000000000001E-4</v>
      </c>
      <c r="J711" s="9">
        <v>1.3067999999999999E-4</v>
      </c>
      <c r="K711" s="9">
        <v>1.7378000000000001E-4</v>
      </c>
      <c r="L711" s="9">
        <v>1.7651E-4</v>
      </c>
      <c r="M711" s="9">
        <v>1.7211E-4</v>
      </c>
      <c r="N711" s="9">
        <v>1.4237000000000001E-4</v>
      </c>
      <c r="O711" s="9">
        <v>1.685E-4</v>
      </c>
      <c r="P711" s="9">
        <v>1.7223E-4</v>
      </c>
      <c r="Q711" s="9">
        <v>1.7888999999999999E-4</v>
      </c>
      <c r="R711" s="10">
        <v>4.499526770480943E-5</v>
      </c>
      <c r="S711" s="10">
        <v>4.7621490359360915E-5</v>
      </c>
      <c r="T711" s="10">
        <v>3.320839608639283E-4</v>
      </c>
      <c r="U711" s="10">
        <v>1.8649000000000001E-4</v>
      </c>
      <c r="V711" s="25"/>
      <c r="W711" s="25"/>
      <c r="X711" s="25"/>
      <c r="Y711" s="25"/>
      <c r="Z711" s="25"/>
      <c r="AA711" s="25"/>
    </row>
    <row r="712" spans="1:27" x14ac:dyDescent="0.35">
      <c r="A712" s="5">
        <v>708</v>
      </c>
      <c r="B712" s="5">
        <v>30</v>
      </c>
      <c r="C712" s="5">
        <v>1</v>
      </c>
      <c r="D712" s="25">
        <v>1.1415000000000001E-4</v>
      </c>
      <c r="E712" s="25">
        <v>1.1349999999999999E-4</v>
      </c>
      <c r="F712" s="25">
        <v>1.0336999999999999E-4</v>
      </c>
      <c r="G712" s="25">
        <v>1.6372000000000001E-4</v>
      </c>
      <c r="H712" s="25">
        <v>1.8699999999999999E-4</v>
      </c>
      <c r="I712" s="9">
        <v>1.3034E-4</v>
      </c>
      <c r="J712" s="9">
        <v>1.3236000000000001E-4</v>
      </c>
      <c r="K712" s="9">
        <v>1.7379E-4</v>
      </c>
      <c r="L712" s="9">
        <v>1.7176E-4</v>
      </c>
      <c r="M712" s="9">
        <v>1.7432999999999999E-4</v>
      </c>
      <c r="N712" s="9">
        <v>1.5637999999999999E-4</v>
      </c>
      <c r="O712" s="9">
        <v>1.7044E-4</v>
      </c>
      <c r="P712" s="9">
        <v>1.7005000000000001E-4</v>
      </c>
      <c r="Q712" s="9">
        <v>1.727E-4</v>
      </c>
      <c r="R712" s="10">
        <v>2.4790935693611082E-5</v>
      </c>
      <c r="S712" s="10">
        <v>6.3373371460280197E-5</v>
      </c>
      <c r="T712" s="10">
        <v>5.3715796045622304E-4</v>
      </c>
      <c r="U712" s="10">
        <v>1.8649000000000001E-4</v>
      </c>
      <c r="V712" s="25"/>
      <c r="W712" s="25"/>
      <c r="X712" s="25"/>
      <c r="Y712" s="25"/>
      <c r="Z712" s="25"/>
      <c r="AA712" s="25"/>
    </row>
    <row r="713" spans="1:27" x14ac:dyDescent="0.35">
      <c r="A713" s="5">
        <v>709</v>
      </c>
      <c r="B713" s="5">
        <v>30</v>
      </c>
      <c r="C713" s="5">
        <v>1</v>
      </c>
      <c r="D713" s="25">
        <v>1.1416E-4</v>
      </c>
      <c r="E713" s="25">
        <v>1.2098E-4</v>
      </c>
      <c r="F713" s="25">
        <v>1.0883999999999999E-4</v>
      </c>
      <c r="G713" s="25">
        <v>1.6053000000000001E-4</v>
      </c>
      <c r="H713" s="25">
        <v>1.8702000000000001E-4</v>
      </c>
      <c r="I713" s="9">
        <v>1.3093999999999999E-4</v>
      </c>
      <c r="J713" s="9">
        <v>1.316E-4</v>
      </c>
      <c r="K713" s="9">
        <v>1.6318999999999999E-4</v>
      </c>
      <c r="L713" s="9">
        <v>1.7090000000000001E-4</v>
      </c>
      <c r="M713" s="9">
        <v>1.7286999999999999E-4</v>
      </c>
      <c r="N713" s="9">
        <v>1.6558999999999999E-4</v>
      </c>
      <c r="O713" s="9">
        <v>1.6276999999999999E-4</v>
      </c>
      <c r="P713" s="9">
        <v>1.6332E-4</v>
      </c>
      <c r="Q713" s="9">
        <v>1.6670000000000001E-4</v>
      </c>
      <c r="R713" s="10">
        <v>2.2599654188606493E-5</v>
      </c>
      <c r="S713" s="10">
        <v>8.4402989263724821E-5</v>
      </c>
      <c r="T713" s="10">
        <v>5.7695780870774163E-4</v>
      </c>
      <c r="U713" s="10">
        <v>1.8649000000000001E-4</v>
      </c>
      <c r="V713" s="25"/>
      <c r="W713" s="25"/>
      <c r="X713" s="25"/>
      <c r="Y713" s="25"/>
      <c r="Z713" s="25"/>
      <c r="AA713" s="25"/>
    </row>
    <row r="714" spans="1:27" x14ac:dyDescent="0.35">
      <c r="A714" s="5">
        <v>710</v>
      </c>
      <c r="B714" s="5">
        <v>30</v>
      </c>
      <c r="C714" s="5">
        <v>1</v>
      </c>
      <c r="D714" s="25">
        <v>1.1415000000000001E-4</v>
      </c>
      <c r="E714" s="25">
        <v>1.1192E-4</v>
      </c>
      <c r="F714" s="25">
        <v>1.0979E-4</v>
      </c>
      <c r="G714" s="25">
        <v>1.6087999999999999E-4</v>
      </c>
      <c r="H714" s="25">
        <v>1.9877999999999999E-4</v>
      </c>
      <c r="I714" s="9">
        <v>1.2894E-4</v>
      </c>
      <c r="J714" s="9">
        <v>1.303E-4</v>
      </c>
      <c r="K714" s="9">
        <v>1.6318999999999999E-4</v>
      </c>
      <c r="L714" s="9">
        <v>1.6430000000000001E-4</v>
      </c>
      <c r="M714" s="9">
        <v>1.6903999999999999E-4</v>
      </c>
      <c r="N714" s="9">
        <v>1.6981E-4</v>
      </c>
      <c r="O714" s="9">
        <v>1.7895000000000001E-4</v>
      </c>
      <c r="P714" s="9">
        <v>1.6755000000000001E-4</v>
      </c>
      <c r="Q714" s="9">
        <v>1.5959000000000001E-4</v>
      </c>
      <c r="R714" s="10">
        <v>2.914922687604637E-5</v>
      </c>
      <c r="S714" s="10">
        <v>9.7266335654230782E-5</v>
      </c>
      <c r="T714" s="10">
        <v>4.7887930822009407E-4</v>
      </c>
      <c r="U714" s="10">
        <v>1.8649000000000001E-4</v>
      </c>
      <c r="V714" s="25"/>
      <c r="W714" s="25"/>
      <c r="X714" s="25"/>
      <c r="Y714" s="25"/>
      <c r="Z714" s="25"/>
      <c r="AA714" s="25"/>
    </row>
    <row r="715" spans="1:27" x14ac:dyDescent="0.35">
      <c r="A715" s="5">
        <v>711</v>
      </c>
      <c r="B715" s="5">
        <v>30</v>
      </c>
      <c r="C715" s="5">
        <v>1</v>
      </c>
      <c r="D715" s="25">
        <v>1.1416E-4</v>
      </c>
      <c r="E715" s="25">
        <v>1.1561E-4</v>
      </c>
      <c r="F715" s="25">
        <v>9.7180000000000001E-5</v>
      </c>
      <c r="G715" s="25">
        <v>1.6037000000000001E-4</v>
      </c>
      <c r="H715" s="25">
        <v>1.9367000000000001E-4</v>
      </c>
      <c r="I715" s="9">
        <v>1.2658999999999999E-4</v>
      </c>
      <c r="J715" s="9">
        <v>1.2837999999999999E-4</v>
      </c>
      <c r="K715" s="9">
        <v>1.6107E-4</v>
      </c>
      <c r="L715" s="9">
        <v>1.7588E-4</v>
      </c>
      <c r="M715" s="9">
        <v>1.6742999999999999E-4</v>
      </c>
      <c r="N715" s="9">
        <v>1.6911000000000001E-4</v>
      </c>
      <c r="O715" s="9">
        <v>1.8458E-4</v>
      </c>
      <c r="P715" s="9">
        <v>1.663E-4</v>
      </c>
      <c r="Q715" s="9">
        <v>1.5169000000000001E-4</v>
      </c>
      <c r="R715" s="10">
        <v>3.9346276014657289E-5</v>
      </c>
      <c r="S715" s="10">
        <v>1.0971241226906957E-4</v>
      </c>
      <c r="T715" s="10">
        <v>4.2766807734263384E-4</v>
      </c>
      <c r="U715" s="10">
        <v>1.8649000000000001E-4</v>
      </c>
      <c r="V715" s="25"/>
      <c r="W715" s="25"/>
      <c r="X715" s="25"/>
      <c r="Y715" s="25"/>
      <c r="Z715" s="25"/>
      <c r="AA715" s="25"/>
    </row>
    <row r="716" spans="1:27" x14ac:dyDescent="0.35">
      <c r="A716" s="5">
        <v>712</v>
      </c>
      <c r="B716" s="5">
        <v>30</v>
      </c>
      <c r="C716" s="5">
        <v>1</v>
      </c>
      <c r="D716" s="25">
        <v>1.1415000000000001E-4</v>
      </c>
      <c r="E716" s="25">
        <v>1.1294E-4</v>
      </c>
      <c r="F716" s="25">
        <v>1.1267E-4</v>
      </c>
      <c r="G716" s="25">
        <v>1.571E-4</v>
      </c>
      <c r="H716" s="25">
        <v>1.9191E-4</v>
      </c>
      <c r="I716" s="9">
        <v>1.2525000000000001E-4</v>
      </c>
      <c r="J716" s="9">
        <v>1.2627E-4</v>
      </c>
      <c r="K716" s="9">
        <v>1.6742999999999999E-4</v>
      </c>
      <c r="L716" s="9">
        <v>1.8237E-4</v>
      </c>
      <c r="M716" s="9">
        <v>1.6668999999999999E-4</v>
      </c>
      <c r="N716" s="9">
        <v>1.652E-4</v>
      </c>
      <c r="O716" s="9">
        <v>1.9803E-4</v>
      </c>
      <c r="P716" s="9">
        <v>1.5123E-4</v>
      </c>
      <c r="Q716" s="9">
        <v>1.0888E-4</v>
      </c>
      <c r="R716" s="10">
        <v>4.1258077120922086E-5</v>
      </c>
      <c r="S716" s="10">
        <v>1.1739801361168942E-4</v>
      </c>
      <c r="T716" s="10">
        <v>2.156114993851718E-4</v>
      </c>
      <c r="U716" s="10">
        <v>1.8649000000000001E-4</v>
      </c>
      <c r="V716" s="25"/>
      <c r="W716" s="25"/>
      <c r="X716" s="25"/>
      <c r="Y716" s="25"/>
      <c r="Z716" s="25"/>
      <c r="AA716" s="25"/>
    </row>
    <row r="717" spans="1:27" x14ac:dyDescent="0.35">
      <c r="A717" s="5">
        <v>713</v>
      </c>
      <c r="B717" s="5">
        <v>30</v>
      </c>
      <c r="C717" s="5">
        <v>1</v>
      </c>
      <c r="D717" s="25">
        <v>1.1416E-4</v>
      </c>
      <c r="E717" s="25">
        <v>1.1192999999999999E-4</v>
      </c>
      <c r="F717" s="25">
        <v>1.027E-4</v>
      </c>
      <c r="G717" s="25">
        <v>1.6254999999999999E-4</v>
      </c>
      <c r="H717" s="25">
        <v>1.9673999999999999E-4</v>
      </c>
      <c r="I717" s="9">
        <v>1.2362000000000001E-4</v>
      </c>
      <c r="J717" s="9">
        <v>1.2642999999999999E-4</v>
      </c>
      <c r="K717" s="9">
        <v>1.7803E-4</v>
      </c>
      <c r="L717" s="9">
        <v>1.9436E-4</v>
      </c>
      <c r="M717" s="9">
        <v>1.6105000000000001E-4</v>
      </c>
      <c r="N717" s="9">
        <v>1.5145999999999999E-4</v>
      </c>
      <c r="O717" s="9">
        <v>2.1516999999999999E-4</v>
      </c>
      <c r="P717" s="9">
        <v>1.5830999999999999E-4</v>
      </c>
      <c r="Q717" s="9">
        <v>1.0648E-4</v>
      </c>
      <c r="R717" s="10">
        <v>4.3076885536098143E-5</v>
      </c>
      <c r="S717" s="10">
        <v>1.1291503313028196E-4</v>
      </c>
      <c r="T717" s="10">
        <v>0</v>
      </c>
      <c r="U717" s="10">
        <v>1.8649000000000001E-4</v>
      </c>
      <c r="V717" s="25"/>
      <c r="W717" s="25"/>
      <c r="X717" s="25"/>
      <c r="Y717" s="25"/>
      <c r="Z717" s="25"/>
      <c r="AA717" s="25"/>
    </row>
    <row r="718" spans="1:27" x14ac:dyDescent="0.35">
      <c r="A718" s="5">
        <v>714</v>
      </c>
      <c r="B718" s="5">
        <v>30</v>
      </c>
      <c r="C718" s="5">
        <v>1</v>
      </c>
      <c r="D718" s="25">
        <v>1.1415000000000001E-4</v>
      </c>
      <c r="E718" s="25">
        <v>1.0995E-4</v>
      </c>
      <c r="F718" s="25">
        <v>1.1505E-4</v>
      </c>
      <c r="G718" s="25">
        <v>1.5982E-4</v>
      </c>
      <c r="H718" s="25">
        <v>1.9107E-4</v>
      </c>
      <c r="I718" s="9">
        <v>1.2741E-4</v>
      </c>
      <c r="J718" s="9">
        <v>1.3237000000000001E-4</v>
      </c>
      <c r="K718" s="9">
        <v>1.8650000000000001E-4</v>
      </c>
      <c r="L718" s="9">
        <v>2.1034E-4</v>
      </c>
      <c r="M718" s="9">
        <v>1.585E-4</v>
      </c>
      <c r="N718" s="9">
        <v>1.3818000000000001E-4</v>
      </c>
      <c r="O718" s="9">
        <v>2.0937000000000001E-4</v>
      </c>
      <c r="P718" s="9">
        <v>1.616E-4</v>
      </c>
      <c r="Q718" s="9">
        <v>1.1856E-4</v>
      </c>
      <c r="R718" s="10">
        <v>5.6479715041971358E-5</v>
      </c>
      <c r="S718" s="10">
        <v>1.0073960140124295E-4</v>
      </c>
      <c r="T718" s="10">
        <v>0</v>
      </c>
      <c r="U718" s="10">
        <v>1.8649000000000001E-4</v>
      </c>
      <c r="V718" s="25"/>
      <c r="W718" s="25"/>
      <c r="X718" s="25"/>
      <c r="Y718" s="25"/>
      <c r="Z718" s="25"/>
      <c r="AA718" s="25"/>
    </row>
    <row r="719" spans="1:27" x14ac:dyDescent="0.35">
      <c r="A719" s="5">
        <v>715</v>
      </c>
      <c r="B719" s="5">
        <v>30</v>
      </c>
      <c r="C719" s="5">
        <v>1</v>
      </c>
      <c r="D719" s="25">
        <v>1.1416E-4</v>
      </c>
      <c r="E719" s="25">
        <v>1.0993999999999999E-4</v>
      </c>
      <c r="F719" s="25">
        <v>1.0527E-4</v>
      </c>
      <c r="G719" s="25">
        <v>1.0959E-4</v>
      </c>
      <c r="H719" s="25">
        <v>1.3422999999999999E-4</v>
      </c>
      <c r="I719" s="9">
        <v>1.3281E-4</v>
      </c>
      <c r="J719" s="9">
        <v>1.3433E-4</v>
      </c>
      <c r="K719" s="9">
        <v>1.9498000000000001E-4</v>
      </c>
      <c r="L719" s="9">
        <v>2.0917E-4</v>
      </c>
      <c r="M719" s="9">
        <v>1.5911000000000001E-4</v>
      </c>
      <c r="N719" s="9">
        <v>1.2951999999999999E-4</v>
      </c>
      <c r="O719" s="9">
        <v>1.6663999999999999E-4</v>
      </c>
      <c r="P719" s="9">
        <v>1.3530000000000001E-4</v>
      </c>
      <c r="Q719" s="9">
        <v>1.0739E-4</v>
      </c>
      <c r="R719" s="10">
        <v>8.1399782544835529E-5</v>
      </c>
      <c r="S719" s="10">
        <v>8.9247498732069485E-5</v>
      </c>
      <c r="T719" s="10">
        <v>0</v>
      </c>
      <c r="U719" s="10">
        <v>1.8649000000000001E-4</v>
      </c>
      <c r="V719" s="25"/>
      <c r="W719" s="25"/>
      <c r="X719" s="25"/>
      <c r="Y719" s="25"/>
      <c r="Z719" s="25"/>
      <c r="AA719" s="25"/>
    </row>
    <row r="720" spans="1:27" x14ac:dyDescent="0.35">
      <c r="A720" s="5">
        <v>716</v>
      </c>
      <c r="B720" s="5">
        <v>30</v>
      </c>
      <c r="C720" s="5">
        <v>1</v>
      </c>
      <c r="D720" s="25">
        <v>1.1415000000000001E-4</v>
      </c>
      <c r="E720" s="25">
        <v>1.1353000000000001E-4</v>
      </c>
      <c r="F720" s="25">
        <v>1.1142E-4</v>
      </c>
      <c r="G720" s="25">
        <v>1.06E-4</v>
      </c>
      <c r="H720" s="25">
        <v>1.3278000000000001E-4</v>
      </c>
      <c r="I720" s="9">
        <v>1.2706999999999999E-4</v>
      </c>
      <c r="J720" s="9">
        <v>1.2978999999999999E-4</v>
      </c>
      <c r="K720" s="9">
        <v>1.9498000000000001E-4</v>
      </c>
      <c r="L720" s="9">
        <v>1.761E-4</v>
      </c>
      <c r="M720" s="9">
        <v>1.5087999999999999E-4</v>
      </c>
      <c r="N720" s="9">
        <v>1.2068E-4</v>
      </c>
      <c r="O720" s="9">
        <v>1.3074000000000001E-4</v>
      </c>
      <c r="P720" s="9">
        <v>1.1543E-4</v>
      </c>
      <c r="Q720" s="9">
        <v>1.024E-4</v>
      </c>
      <c r="R720" s="10">
        <v>8.9945283554837454E-5</v>
      </c>
      <c r="S720" s="10">
        <v>7.8451867232715367E-5</v>
      </c>
      <c r="T720" s="10">
        <v>0</v>
      </c>
      <c r="U720" s="10">
        <v>1.8649000000000001E-4</v>
      </c>
      <c r="V720" s="25"/>
      <c r="W720" s="25"/>
      <c r="X720" s="25"/>
      <c r="Y720" s="25"/>
      <c r="Z720" s="25"/>
      <c r="AA720" s="25"/>
    </row>
    <row r="721" spans="1:27" x14ac:dyDescent="0.35">
      <c r="A721" s="5">
        <v>717</v>
      </c>
      <c r="B721" s="5">
        <v>30</v>
      </c>
      <c r="C721" s="5">
        <v>1</v>
      </c>
      <c r="D721" s="25">
        <v>1.1416E-4</v>
      </c>
      <c r="E721" s="25">
        <v>1.1457E-4</v>
      </c>
      <c r="F721" s="25">
        <v>9.815E-5</v>
      </c>
      <c r="G721" s="25">
        <v>5.5040000000000002E-5</v>
      </c>
      <c r="H721" s="25">
        <v>6.2669999999999995E-5</v>
      </c>
      <c r="I721" s="9">
        <v>1.2162E-4</v>
      </c>
      <c r="J721" s="9">
        <v>1.2448E-4</v>
      </c>
      <c r="K721" s="9">
        <v>1.9285999999999999E-4</v>
      </c>
      <c r="L721" s="9">
        <v>1.4174000000000001E-4</v>
      </c>
      <c r="M721" s="9">
        <v>1.3577000000000001E-4</v>
      </c>
      <c r="N721" s="9">
        <v>1.1326E-4</v>
      </c>
      <c r="O721" s="9">
        <v>8.5669999999999998E-5</v>
      </c>
      <c r="P721" s="9">
        <v>8.6780000000000006E-5</v>
      </c>
      <c r="Q721" s="9">
        <v>8.8789999999999995E-5</v>
      </c>
      <c r="R721" s="10">
        <v>9.0589357422060423E-5</v>
      </c>
      <c r="S721" s="10">
        <v>8.6338079460413115E-5</v>
      </c>
      <c r="T721" s="10">
        <v>0</v>
      </c>
      <c r="U721" s="10">
        <v>1.8649000000000001E-4</v>
      </c>
      <c r="V721" s="25"/>
      <c r="W721" s="25"/>
      <c r="X721" s="25"/>
      <c r="Y721" s="25"/>
      <c r="Z721" s="25"/>
      <c r="AA721" s="25"/>
    </row>
    <row r="722" spans="1:27" x14ac:dyDescent="0.35">
      <c r="A722" s="5">
        <v>718</v>
      </c>
      <c r="B722" s="5">
        <v>30</v>
      </c>
      <c r="C722" s="5">
        <v>1</v>
      </c>
      <c r="D722" s="25">
        <v>1.1415000000000001E-4</v>
      </c>
      <c r="E722" s="25">
        <v>1.1935E-4</v>
      </c>
      <c r="F722" s="25">
        <v>1.0792E-4</v>
      </c>
      <c r="G722" s="25">
        <v>5.5510000000000002E-5</v>
      </c>
      <c r="H722" s="25">
        <v>7.2620000000000006E-5</v>
      </c>
      <c r="I722" s="9">
        <v>1.1592E-4</v>
      </c>
      <c r="J722" s="9">
        <v>1.1805E-4</v>
      </c>
      <c r="K722" s="9">
        <v>1.9285999999999999E-4</v>
      </c>
      <c r="L722" s="9">
        <v>9.8950000000000006E-5</v>
      </c>
      <c r="M722" s="9">
        <v>1.1423E-4</v>
      </c>
      <c r="N722" s="9">
        <v>1.0587E-4</v>
      </c>
      <c r="O722" s="9">
        <v>8.8529999999999994E-5</v>
      </c>
      <c r="P722" s="9">
        <v>8.8189999999999994E-5</v>
      </c>
      <c r="Q722" s="9">
        <v>8.8850000000000005E-5</v>
      </c>
      <c r="R722" s="10">
        <v>9.7409210430539166E-5</v>
      </c>
      <c r="S722" s="10">
        <v>9.4425912325479125E-5</v>
      </c>
      <c r="T722" s="10">
        <v>0</v>
      </c>
      <c r="U722" s="10">
        <v>1.8649000000000001E-4</v>
      </c>
      <c r="V722" s="25"/>
      <c r="W722" s="25"/>
      <c r="X722" s="25"/>
      <c r="Y722" s="25"/>
      <c r="Z722" s="25"/>
      <c r="AA722" s="25"/>
    </row>
    <row r="723" spans="1:27" x14ac:dyDescent="0.35">
      <c r="A723" s="5">
        <v>719</v>
      </c>
      <c r="B723" s="5">
        <v>30</v>
      </c>
      <c r="C723" s="5">
        <v>1</v>
      </c>
      <c r="D723" s="25">
        <v>1.1416E-4</v>
      </c>
      <c r="E723" s="25">
        <v>1.1825E-4</v>
      </c>
      <c r="F723" s="25">
        <v>1.1192999999999999E-4</v>
      </c>
      <c r="G723" s="25">
        <v>5.5489999999999999E-5</v>
      </c>
      <c r="H723" s="25">
        <v>6.5920000000000006E-5</v>
      </c>
      <c r="I723" s="9">
        <v>1.1737E-4</v>
      </c>
      <c r="J723" s="9">
        <v>1.1251000000000001E-4</v>
      </c>
      <c r="K723" s="9">
        <v>1.9285999999999999E-4</v>
      </c>
      <c r="L723" s="9">
        <v>9.1769999999999997E-5</v>
      </c>
      <c r="M723" s="9">
        <v>9.9569999999999997E-5</v>
      </c>
      <c r="N723" s="9">
        <v>1.0022999999999999E-4</v>
      </c>
      <c r="O723" s="9">
        <v>7.7650000000000004E-5</v>
      </c>
      <c r="P723" s="9">
        <v>7.161E-5</v>
      </c>
      <c r="Q723" s="9">
        <v>6.6400000000000001E-5</v>
      </c>
      <c r="R723" s="10">
        <v>1.1320717305547959E-4</v>
      </c>
      <c r="S723" s="10">
        <v>9.3090442390260497E-5</v>
      </c>
      <c r="T723" s="10">
        <v>0</v>
      </c>
      <c r="U723" s="10">
        <v>1.8649000000000001E-4</v>
      </c>
      <c r="V723" s="25"/>
      <c r="W723" s="25"/>
      <c r="X723" s="25"/>
      <c r="Y723" s="25"/>
      <c r="Z723" s="25"/>
      <c r="AA723" s="25"/>
    </row>
    <row r="724" spans="1:27" x14ac:dyDescent="0.35">
      <c r="A724" s="5">
        <v>720</v>
      </c>
      <c r="B724" s="5">
        <v>30</v>
      </c>
      <c r="C724" s="5">
        <v>1</v>
      </c>
      <c r="D724" s="25">
        <v>1.1415000000000001E-4</v>
      </c>
      <c r="E724" s="25">
        <v>1.1809E-4</v>
      </c>
      <c r="F724" s="25">
        <v>1.0707E-4</v>
      </c>
      <c r="G724" s="25">
        <v>5.2469999999999997E-5</v>
      </c>
      <c r="H724" s="25">
        <v>7.2119999999999994E-5</v>
      </c>
      <c r="I724" s="9">
        <v>1.1877E-4</v>
      </c>
      <c r="J724" s="9">
        <v>1.0713E-4</v>
      </c>
      <c r="K724" s="9">
        <v>1.9498000000000001E-4</v>
      </c>
      <c r="L724" s="9">
        <v>8.0740000000000003E-5</v>
      </c>
      <c r="M724" s="9">
        <v>8.6279999999999994E-5</v>
      </c>
      <c r="N724" s="9">
        <v>9.0799999999999998E-5</v>
      </c>
      <c r="O724" s="9">
        <v>6.2730000000000004E-5</v>
      </c>
      <c r="P724" s="9">
        <v>6.0520000000000003E-5</v>
      </c>
      <c r="Q724" s="9">
        <v>5.8709999999999999E-5</v>
      </c>
      <c r="R724" s="10">
        <v>1.3043200136621296E-4</v>
      </c>
      <c r="S724" s="10">
        <v>7.1086592913697513E-5</v>
      </c>
      <c r="T724" s="10">
        <v>0</v>
      </c>
      <c r="U724" s="10">
        <v>1.8649000000000001E-4</v>
      </c>
      <c r="V724" s="25"/>
      <c r="W724" s="25"/>
      <c r="X724" s="25"/>
      <c r="Y724" s="25"/>
      <c r="Z724" s="25"/>
      <c r="AA724" s="25"/>
    </row>
    <row r="725" spans="1:27" x14ac:dyDescent="0.35">
      <c r="A725" s="5">
        <v>721</v>
      </c>
      <c r="B725" s="5">
        <v>31</v>
      </c>
      <c r="C725" s="5">
        <v>1</v>
      </c>
      <c r="D725" s="25">
        <v>1.1416E-4</v>
      </c>
      <c r="E725" s="25">
        <v>1.1244E-4</v>
      </c>
      <c r="F725" s="25">
        <v>1.1976000000000001E-4</v>
      </c>
      <c r="G725" s="25">
        <v>5.677E-5</v>
      </c>
      <c r="H725" s="25">
        <v>7.3640000000000006E-5</v>
      </c>
      <c r="I725" s="9">
        <v>1.1376E-4</v>
      </c>
      <c r="J725" s="9">
        <v>1.0181E-4</v>
      </c>
      <c r="K725" s="9">
        <v>1.9498000000000001E-4</v>
      </c>
      <c r="L725" s="9">
        <v>6.6710000000000003E-5</v>
      </c>
      <c r="M725" s="9">
        <v>7.3930000000000005E-5</v>
      </c>
      <c r="N725" s="9">
        <v>8.1299999999999997E-5</v>
      </c>
      <c r="O725" s="9">
        <v>5.4339999999999998E-5</v>
      </c>
      <c r="P725" s="9">
        <v>5.376E-5</v>
      </c>
      <c r="Q725" s="9">
        <v>5.3340000000000001E-5</v>
      </c>
      <c r="R725" s="10">
        <v>1.2657080064907677E-4</v>
      </c>
      <c r="S725" s="10">
        <v>5.416524777659863E-5</v>
      </c>
      <c r="T725" s="10">
        <v>0</v>
      </c>
      <c r="U725" s="10">
        <v>1.8849000000000001E-4</v>
      </c>
      <c r="V725" s="25"/>
      <c r="W725" s="25"/>
      <c r="X725" s="25"/>
      <c r="Y725" s="25"/>
      <c r="Z725" s="25"/>
      <c r="AA725" s="25"/>
    </row>
    <row r="726" spans="1:27" x14ac:dyDescent="0.35">
      <c r="A726" s="5">
        <v>722</v>
      </c>
      <c r="B726" s="5">
        <v>31</v>
      </c>
      <c r="C726" s="5">
        <v>1</v>
      </c>
      <c r="D726" s="25">
        <v>1.1415000000000001E-4</v>
      </c>
      <c r="E726" s="25">
        <v>1.1894E-4</v>
      </c>
      <c r="F726" s="25">
        <v>1.0509999999999999E-4</v>
      </c>
      <c r="G726" s="25">
        <v>5.2389999999999998E-5</v>
      </c>
      <c r="H726" s="25">
        <v>7.0749999999999999E-5</v>
      </c>
      <c r="I726" s="9">
        <v>1.0741E-4</v>
      </c>
      <c r="J726" s="9">
        <v>9.7269999999999995E-5</v>
      </c>
      <c r="K726" s="9">
        <v>1.9709E-4</v>
      </c>
      <c r="L726" s="9">
        <v>5.7450000000000001E-5</v>
      </c>
      <c r="M726" s="9">
        <v>6.3750000000000005E-5</v>
      </c>
      <c r="N726" s="9">
        <v>7.2100000000000004E-5</v>
      </c>
      <c r="O726" s="9">
        <v>1.8430000000000001E-5</v>
      </c>
      <c r="P726" s="9">
        <v>3.8099999999999998E-5</v>
      </c>
      <c r="Q726" s="9">
        <v>5.6700000000000003E-5</v>
      </c>
      <c r="R726" s="10">
        <v>1.1687943751367415E-4</v>
      </c>
      <c r="S726" s="10">
        <v>4.5326970691267592E-5</v>
      </c>
      <c r="T726" s="10">
        <v>0</v>
      </c>
      <c r="U726" s="10">
        <v>1.8849000000000001E-4</v>
      </c>
      <c r="V726" s="25"/>
      <c r="W726" s="25"/>
      <c r="X726" s="25"/>
      <c r="Y726" s="25"/>
      <c r="Z726" s="25"/>
      <c r="AA726" s="25"/>
    </row>
    <row r="727" spans="1:27" x14ac:dyDescent="0.35">
      <c r="A727" s="5">
        <v>723</v>
      </c>
      <c r="B727" s="5">
        <v>31</v>
      </c>
      <c r="C727" s="5">
        <v>1</v>
      </c>
      <c r="D727" s="25">
        <v>1.1416E-4</v>
      </c>
      <c r="E727" s="25">
        <v>1.1425999999999999E-4</v>
      </c>
      <c r="F727" s="25">
        <v>1.2605E-4</v>
      </c>
      <c r="G727" s="25">
        <v>6.1500000000000004E-5</v>
      </c>
      <c r="H727" s="25">
        <v>6.9040000000000003E-5</v>
      </c>
      <c r="I727" s="9">
        <v>1.0321E-4</v>
      </c>
      <c r="J727" s="9">
        <v>9.3729999999999999E-5</v>
      </c>
      <c r="K727" s="9">
        <v>1.9498000000000001E-4</v>
      </c>
      <c r="L727" s="9">
        <v>2.722E-5</v>
      </c>
      <c r="M727" s="9">
        <v>5.2200000000000002E-5</v>
      </c>
      <c r="N727" s="9">
        <v>6.5590000000000001E-5</v>
      </c>
      <c r="O727" s="9">
        <v>1.271E-5</v>
      </c>
      <c r="P727" s="9">
        <v>3.7830000000000002E-5</v>
      </c>
      <c r="Q727" s="9">
        <v>6.1660000000000003E-5</v>
      </c>
      <c r="R727" s="10">
        <v>1.0711187304566263E-4</v>
      </c>
      <c r="S727" s="10">
        <v>4.2457422340920242E-5</v>
      </c>
      <c r="T727" s="10">
        <v>0</v>
      </c>
      <c r="U727" s="10">
        <v>1.8849000000000001E-4</v>
      </c>
      <c r="V727" s="25"/>
      <c r="W727" s="25"/>
      <c r="X727" s="25"/>
      <c r="Y727" s="25"/>
      <c r="Z727" s="25"/>
      <c r="AA727" s="25"/>
    </row>
    <row r="728" spans="1:27" x14ac:dyDescent="0.35">
      <c r="A728" s="5">
        <v>724</v>
      </c>
      <c r="B728" s="5">
        <v>31</v>
      </c>
      <c r="C728" s="5">
        <v>1</v>
      </c>
      <c r="D728" s="25">
        <v>1.1415000000000001E-4</v>
      </c>
      <c r="E728" s="25">
        <v>1.1559E-4</v>
      </c>
      <c r="F728" s="25">
        <v>1.1629E-4</v>
      </c>
      <c r="G728" s="25">
        <v>5.6669999999999998E-5</v>
      </c>
      <c r="H728" s="25">
        <v>7.2559999999999996E-5</v>
      </c>
      <c r="I728" s="9">
        <v>9.9779999999999997E-5</v>
      </c>
      <c r="J728" s="9">
        <v>9.1730000000000004E-5</v>
      </c>
      <c r="K728" s="9">
        <v>1.9498000000000001E-4</v>
      </c>
      <c r="L728" s="9">
        <v>1.6650000000000002E-5</v>
      </c>
      <c r="M728" s="9">
        <v>4.4280000000000003E-5</v>
      </c>
      <c r="N728" s="9">
        <v>6.1989999999999994E-5</v>
      </c>
      <c r="O728" s="9">
        <v>1.277E-5</v>
      </c>
      <c r="P728" s="9">
        <v>4.7509999999999997E-5</v>
      </c>
      <c r="Q728" s="9">
        <v>8.0799999999999999E-5</v>
      </c>
      <c r="R728" s="10">
        <v>9.1473854038128042E-5</v>
      </c>
      <c r="S728" s="10">
        <v>3.9157585049381687E-5</v>
      </c>
      <c r="T728" s="10">
        <v>0</v>
      </c>
      <c r="U728" s="10">
        <v>1.8849000000000001E-4</v>
      </c>
      <c r="V728" s="25"/>
      <c r="W728" s="25"/>
      <c r="X728" s="25"/>
      <c r="Y728" s="25"/>
      <c r="Z728" s="25"/>
      <c r="AA728" s="25"/>
    </row>
    <row r="729" spans="1:27" x14ac:dyDescent="0.35">
      <c r="A729" s="5">
        <v>725</v>
      </c>
      <c r="B729" s="5">
        <v>31</v>
      </c>
      <c r="C729" s="5">
        <v>1</v>
      </c>
      <c r="D729" s="25">
        <v>1.1416E-4</v>
      </c>
      <c r="E729" s="25">
        <v>1.1856E-4</v>
      </c>
      <c r="F729" s="25">
        <v>1.1859E-4</v>
      </c>
      <c r="G729" s="25">
        <v>5.8499999999999999E-5</v>
      </c>
      <c r="H729" s="25">
        <v>6.7860000000000004E-5</v>
      </c>
      <c r="I729" s="9">
        <v>9.7E-5</v>
      </c>
      <c r="J729" s="9">
        <v>9.1119999999999995E-5</v>
      </c>
      <c r="K729" s="9">
        <v>1.9498000000000001E-4</v>
      </c>
      <c r="L729" s="9">
        <v>1.3879999999999999E-5</v>
      </c>
      <c r="M729" s="9">
        <v>4.3659999999999999E-5</v>
      </c>
      <c r="N729" s="9">
        <v>6.4610000000000007E-5</v>
      </c>
      <c r="O729" s="9">
        <v>1.8130000000000001E-5</v>
      </c>
      <c r="P729" s="9">
        <v>5.622E-5</v>
      </c>
      <c r="Q729" s="9">
        <v>9.2960000000000004E-5</v>
      </c>
      <c r="R729" s="10">
        <v>8.5444183353073925E-5</v>
      </c>
      <c r="S729" s="10">
        <v>3.4557026223927551E-5</v>
      </c>
      <c r="T729" s="10">
        <v>0</v>
      </c>
      <c r="U729" s="10">
        <v>1.8849000000000001E-4</v>
      </c>
      <c r="V729" s="25"/>
      <c r="W729" s="25"/>
      <c r="X729" s="25"/>
      <c r="Y729" s="25"/>
      <c r="Z729" s="25"/>
      <c r="AA729" s="25"/>
    </row>
    <row r="730" spans="1:27" x14ac:dyDescent="0.35">
      <c r="A730" s="5">
        <v>726</v>
      </c>
      <c r="B730" s="5">
        <v>31</v>
      </c>
      <c r="C730" s="5">
        <v>1</v>
      </c>
      <c r="D730" s="25">
        <v>1.1415000000000001E-4</v>
      </c>
      <c r="E730" s="25">
        <v>1.2373000000000001E-4</v>
      </c>
      <c r="F730" s="25">
        <v>1.1378E-4</v>
      </c>
      <c r="G730" s="25">
        <v>1.1034E-4</v>
      </c>
      <c r="H730" s="25">
        <v>1.3129999999999999E-4</v>
      </c>
      <c r="I730" s="9">
        <v>9.7880000000000005E-5</v>
      </c>
      <c r="J730" s="9">
        <v>9.1719999999999996E-5</v>
      </c>
      <c r="K730" s="9">
        <v>1.9285E-4</v>
      </c>
      <c r="L730" s="9">
        <v>1.7059999999999999E-5</v>
      </c>
      <c r="M730" s="9">
        <v>4.8369999999999999E-5</v>
      </c>
      <c r="N730" s="9">
        <v>7.1009999999999999E-5</v>
      </c>
      <c r="O730" s="9">
        <v>4.6589999999999999E-5</v>
      </c>
      <c r="P730" s="9">
        <v>7.7579999999999999E-5</v>
      </c>
      <c r="Q730" s="9">
        <v>1.0802999999999999E-4</v>
      </c>
      <c r="R730" s="10">
        <v>7.9953873914468852E-5</v>
      </c>
      <c r="S730" s="10">
        <v>2.8225794337759226E-5</v>
      </c>
      <c r="T730" s="10">
        <v>0</v>
      </c>
      <c r="U730" s="10">
        <v>1.8849000000000001E-4</v>
      </c>
      <c r="V730" s="25"/>
      <c r="W730" s="25"/>
      <c r="X730" s="25"/>
      <c r="Y730" s="25"/>
      <c r="Z730" s="25"/>
      <c r="AA730" s="25"/>
    </row>
    <row r="731" spans="1:27" x14ac:dyDescent="0.35">
      <c r="A731" s="5">
        <v>727</v>
      </c>
      <c r="B731" s="5">
        <v>31</v>
      </c>
      <c r="C731" s="5">
        <v>1</v>
      </c>
      <c r="D731" s="25">
        <v>1.1416E-4</v>
      </c>
      <c r="E731" s="25">
        <v>1.1909999999999999E-4</v>
      </c>
      <c r="F731" s="25">
        <v>1.1928E-4</v>
      </c>
      <c r="G731" s="25">
        <v>1.0582E-4</v>
      </c>
      <c r="H731" s="25">
        <v>1.3805999999999999E-4</v>
      </c>
      <c r="I731" s="9">
        <v>1.0056999999999999E-4</v>
      </c>
      <c r="J731" s="9">
        <v>9.3720000000000004E-5</v>
      </c>
      <c r="K731" s="9">
        <v>1.9073000000000001E-4</v>
      </c>
      <c r="L731" s="9">
        <v>3.9950000000000002E-5</v>
      </c>
      <c r="M731" s="9">
        <v>6.0210000000000001E-5</v>
      </c>
      <c r="N731" s="9">
        <v>8.0939999999999994E-5</v>
      </c>
      <c r="O731" s="9">
        <v>1.2363000000000001E-4</v>
      </c>
      <c r="P731" s="9">
        <v>1.1674E-4</v>
      </c>
      <c r="Q731" s="9">
        <v>1.1183000000000001E-4</v>
      </c>
      <c r="R731" s="10">
        <v>7.717180650943409E-5</v>
      </c>
      <c r="S731" s="10">
        <v>2.3149121517410122E-5</v>
      </c>
      <c r="T731" s="10">
        <v>0</v>
      </c>
      <c r="U731" s="10">
        <v>1.8849000000000001E-4</v>
      </c>
      <c r="V731" s="25"/>
      <c r="W731" s="25"/>
      <c r="X731" s="25"/>
      <c r="Y731" s="25"/>
      <c r="Z731" s="25"/>
      <c r="AA731" s="25"/>
    </row>
    <row r="732" spans="1:27" x14ac:dyDescent="0.35">
      <c r="A732" s="5">
        <v>728</v>
      </c>
      <c r="B732" s="5">
        <v>31</v>
      </c>
      <c r="C732" s="5">
        <v>1</v>
      </c>
      <c r="D732" s="25">
        <v>1.1415000000000001E-4</v>
      </c>
      <c r="E732" s="25">
        <v>1.2210000000000001E-4</v>
      </c>
      <c r="F732" s="25">
        <v>1.1430999999999999E-4</v>
      </c>
      <c r="G732" s="25">
        <v>1.6132000000000001E-4</v>
      </c>
      <c r="H732" s="25">
        <v>2.0290999999999999E-4</v>
      </c>
      <c r="I732" s="9">
        <v>1.0342E-4</v>
      </c>
      <c r="J732" s="9">
        <v>9.8309999999999999E-5</v>
      </c>
      <c r="K732" s="9">
        <v>1.8861999999999999E-4</v>
      </c>
      <c r="L732" s="9">
        <v>1.0458E-4</v>
      </c>
      <c r="M732" s="9">
        <v>8.3629999999999997E-5</v>
      </c>
      <c r="N732" s="9">
        <v>9.0870000000000002E-5</v>
      </c>
      <c r="O732" s="9">
        <v>2.2193000000000001E-4</v>
      </c>
      <c r="P732" s="9">
        <v>1.7671000000000001E-4</v>
      </c>
      <c r="Q732" s="9">
        <v>1.3651000000000001E-4</v>
      </c>
      <c r="R732" s="10">
        <v>7.478445391547119E-5</v>
      </c>
      <c r="S732" s="10">
        <v>1.8342097524247577E-5</v>
      </c>
      <c r="T732" s="10">
        <v>0</v>
      </c>
      <c r="U732" s="10">
        <v>1.8849000000000001E-4</v>
      </c>
      <c r="V732" s="25"/>
      <c r="W732" s="25"/>
      <c r="X732" s="25"/>
      <c r="Y732" s="25"/>
      <c r="Z732" s="25"/>
      <c r="AA732" s="25"/>
    </row>
    <row r="733" spans="1:27" x14ac:dyDescent="0.35">
      <c r="A733" s="5">
        <v>729</v>
      </c>
      <c r="B733" s="5">
        <v>31</v>
      </c>
      <c r="C733" s="5">
        <v>1</v>
      </c>
      <c r="D733" s="25">
        <v>1.1416E-4</v>
      </c>
      <c r="E733" s="25">
        <v>1.1569999999999999E-4</v>
      </c>
      <c r="F733" s="25">
        <v>1.2485999999999999E-4</v>
      </c>
      <c r="G733" s="25">
        <v>1.6584999999999999E-4</v>
      </c>
      <c r="H733" s="25">
        <v>1.9531999999999999E-4</v>
      </c>
      <c r="I733" s="9">
        <v>1.0620000000000001E-4</v>
      </c>
      <c r="J733" s="9">
        <v>1.0402E-4</v>
      </c>
      <c r="K733" s="9">
        <v>1.8226000000000001E-4</v>
      </c>
      <c r="L733" s="9">
        <v>1.9434000000000001E-4</v>
      </c>
      <c r="M733" s="9">
        <v>1.2318E-4</v>
      </c>
      <c r="N733" s="9">
        <v>1.0454999999999999E-4</v>
      </c>
      <c r="O733" s="9">
        <v>2.1406999999999999E-4</v>
      </c>
      <c r="P733" s="9">
        <v>1.9336000000000001E-4</v>
      </c>
      <c r="Q733" s="9">
        <v>1.7708000000000001E-4</v>
      </c>
      <c r="R733" s="10">
        <v>7.1740386839193031E-5</v>
      </c>
      <c r="S733" s="10">
        <v>1.3682937485556796E-5</v>
      </c>
      <c r="T733" s="10">
        <v>5.8957396184140343E-5</v>
      </c>
      <c r="U733" s="10">
        <v>1.8849000000000001E-4</v>
      </c>
      <c r="V733" s="25"/>
      <c r="W733" s="25"/>
      <c r="X733" s="25"/>
      <c r="Y733" s="25"/>
      <c r="Z733" s="25"/>
      <c r="AA733" s="25"/>
    </row>
    <row r="734" spans="1:27" x14ac:dyDescent="0.35">
      <c r="A734" s="5">
        <v>730</v>
      </c>
      <c r="B734" s="5">
        <v>31</v>
      </c>
      <c r="C734" s="5">
        <v>1</v>
      </c>
      <c r="D734" s="25">
        <v>1.1415000000000001E-4</v>
      </c>
      <c r="E734" s="25">
        <v>1.1743000000000001E-4</v>
      </c>
      <c r="F734" s="25">
        <v>1.1075E-4</v>
      </c>
      <c r="G734" s="25">
        <v>1.6249999999999999E-4</v>
      </c>
      <c r="H734" s="25">
        <v>1.9722000000000001E-4</v>
      </c>
      <c r="I734" s="9">
        <v>1.139E-4</v>
      </c>
      <c r="J734" s="9">
        <v>1.1001999999999999E-4</v>
      </c>
      <c r="K734" s="9">
        <v>1.7165999999999999E-4</v>
      </c>
      <c r="L734" s="9">
        <v>2.0736999999999999E-4</v>
      </c>
      <c r="M734" s="9">
        <v>1.5846999999999999E-4</v>
      </c>
      <c r="N734" s="9">
        <v>1.2458E-4</v>
      </c>
      <c r="O734" s="9">
        <v>1.6839000000000001E-4</v>
      </c>
      <c r="P734" s="9">
        <v>1.7346000000000001E-4</v>
      </c>
      <c r="Q734" s="9">
        <v>1.8144E-4</v>
      </c>
      <c r="R734" s="10">
        <v>7.1178591621232759E-5</v>
      </c>
      <c r="S734" s="10">
        <v>1.0539805770655433E-5</v>
      </c>
      <c r="T734" s="10">
        <v>2.6663607567692886E-4</v>
      </c>
      <c r="U734" s="10">
        <v>1.8849000000000001E-4</v>
      </c>
      <c r="V734" s="25"/>
      <c r="W734" s="25"/>
      <c r="X734" s="25"/>
      <c r="Y734" s="25"/>
      <c r="Z734" s="25"/>
      <c r="AA734" s="25"/>
    </row>
    <row r="735" spans="1:27" x14ac:dyDescent="0.35">
      <c r="A735" s="5">
        <v>731</v>
      </c>
      <c r="B735" s="5">
        <v>31</v>
      </c>
      <c r="C735" s="5">
        <v>1</v>
      </c>
      <c r="D735" s="25">
        <v>1.1416E-4</v>
      </c>
      <c r="E735" s="25">
        <v>1.138E-4</v>
      </c>
      <c r="F735" s="25">
        <v>1.2243000000000001E-4</v>
      </c>
      <c r="G735" s="25">
        <v>1.5773999999999999E-4</v>
      </c>
      <c r="H735" s="25">
        <v>1.9608000000000001E-4</v>
      </c>
      <c r="I735" s="9">
        <v>1.1936E-4</v>
      </c>
      <c r="J735" s="9">
        <v>1.148E-4</v>
      </c>
      <c r="K735" s="9">
        <v>1.7590999999999999E-4</v>
      </c>
      <c r="L735" s="9">
        <v>1.7702000000000001E-4</v>
      </c>
      <c r="M735" s="9">
        <v>1.7206E-4</v>
      </c>
      <c r="N735" s="9">
        <v>1.4252000000000001E-4</v>
      </c>
      <c r="O735" s="9">
        <v>1.7054E-4</v>
      </c>
      <c r="P735" s="9">
        <v>1.7432E-4</v>
      </c>
      <c r="Q735" s="9">
        <v>1.8105000000000001E-4</v>
      </c>
      <c r="R735" s="10">
        <v>6.7639140193466923E-5</v>
      </c>
      <c r="S735" s="10">
        <v>9.3354312265805157E-6</v>
      </c>
      <c r="T735" s="10">
        <v>4.9811321484686712E-5</v>
      </c>
      <c r="U735" s="10">
        <v>1.8849000000000001E-4</v>
      </c>
      <c r="V735" s="25"/>
      <c r="W735" s="25"/>
      <c r="X735" s="25"/>
      <c r="Y735" s="25"/>
      <c r="Z735" s="25"/>
      <c r="AA735" s="25"/>
    </row>
    <row r="736" spans="1:27" x14ac:dyDescent="0.35">
      <c r="A736" s="5">
        <v>732</v>
      </c>
      <c r="B736" s="5">
        <v>31</v>
      </c>
      <c r="C736" s="5">
        <v>1</v>
      </c>
      <c r="D736" s="25">
        <v>1.1415000000000001E-4</v>
      </c>
      <c r="E736" s="25">
        <v>1.194E-4</v>
      </c>
      <c r="F736" s="25">
        <v>1.154E-4</v>
      </c>
      <c r="G736" s="25">
        <v>1.5736E-4</v>
      </c>
      <c r="H736" s="25">
        <v>2.0110000000000001E-4</v>
      </c>
      <c r="I736" s="9">
        <v>1.2413999999999999E-4</v>
      </c>
      <c r="J736" s="9">
        <v>1.1687E-4</v>
      </c>
      <c r="K736" s="9">
        <v>1.7589999999999999E-4</v>
      </c>
      <c r="L736" s="9">
        <v>1.7342E-4</v>
      </c>
      <c r="M736" s="9">
        <v>1.7515E-4</v>
      </c>
      <c r="N736" s="9">
        <v>1.5692000000000001E-4</v>
      </c>
      <c r="O736" s="9">
        <v>1.7255999999999999E-4</v>
      </c>
      <c r="P736" s="9">
        <v>1.7216000000000001E-4</v>
      </c>
      <c r="Q736" s="9">
        <v>1.7484E-4</v>
      </c>
      <c r="R736" s="10">
        <v>6.3984686547127474E-5</v>
      </c>
      <c r="S736" s="10">
        <v>1.8756307297798337E-5</v>
      </c>
      <c r="T736" s="10">
        <v>5.2103779169095229E-4</v>
      </c>
      <c r="U736" s="10">
        <v>1.8849000000000001E-4</v>
      </c>
      <c r="V736" s="25"/>
      <c r="W736" s="25"/>
      <c r="X736" s="25"/>
      <c r="Y736" s="25"/>
      <c r="Z736" s="25"/>
      <c r="AA736" s="25"/>
    </row>
    <row r="737" spans="1:27" x14ac:dyDescent="0.35">
      <c r="A737" s="5">
        <v>733</v>
      </c>
      <c r="B737" s="5">
        <v>31</v>
      </c>
      <c r="C737" s="5">
        <v>1</v>
      </c>
      <c r="D737" s="25">
        <v>1.1416E-4</v>
      </c>
      <c r="E737" s="25">
        <v>1.2024E-4</v>
      </c>
      <c r="F737" s="25">
        <v>1.0828E-4</v>
      </c>
      <c r="G737" s="25">
        <v>1.6059000000000001E-4</v>
      </c>
      <c r="H737" s="25">
        <v>1.9222999999999999E-4</v>
      </c>
      <c r="I737" s="9">
        <v>1.2664999999999999E-4</v>
      </c>
      <c r="J737" s="9">
        <v>1.1882E-4</v>
      </c>
      <c r="K737" s="9">
        <v>1.7378000000000001E-4</v>
      </c>
      <c r="L737" s="9">
        <v>1.7286999999999999E-4</v>
      </c>
      <c r="M737" s="9">
        <v>1.7440000000000001E-4</v>
      </c>
      <c r="N737" s="9">
        <v>1.6655000000000001E-4</v>
      </c>
      <c r="O737" s="9">
        <v>1.6181E-4</v>
      </c>
      <c r="P737" s="9">
        <v>1.6236000000000001E-4</v>
      </c>
      <c r="Q737" s="9">
        <v>1.6572000000000001E-4</v>
      </c>
      <c r="R737" s="10">
        <v>4.9883478995455174E-5</v>
      </c>
      <c r="S737" s="10">
        <v>1.902029997485695E-5</v>
      </c>
      <c r="T737" s="10">
        <v>3.2259002989111875E-4</v>
      </c>
      <c r="U737" s="10">
        <v>1.8849000000000001E-4</v>
      </c>
      <c r="V737" s="25"/>
      <c r="W737" s="25"/>
      <c r="X737" s="25"/>
      <c r="Y737" s="25"/>
      <c r="Z737" s="25"/>
      <c r="AA737" s="25"/>
    </row>
    <row r="738" spans="1:27" x14ac:dyDescent="0.35">
      <c r="A738" s="5">
        <v>734</v>
      </c>
      <c r="B738" s="5">
        <v>31</v>
      </c>
      <c r="C738" s="5">
        <v>1</v>
      </c>
      <c r="D738" s="25">
        <v>1.1415000000000001E-4</v>
      </c>
      <c r="E738" s="25">
        <v>1.2239E-4</v>
      </c>
      <c r="F738" s="25">
        <v>1.1058E-4</v>
      </c>
      <c r="G738" s="25">
        <v>1.5779999999999999E-4</v>
      </c>
      <c r="H738" s="25">
        <v>1.9558999999999999E-4</v>
      </c>
      <c r="I738" s="9">
        <v>1.2282999999999999E-4</v>
      </c>
      <c r="J738" s="9">
        <v>1.1962E-4</v>
      </c>
      <c r="K738" s="9">
        <v>1.6955E-4</v>
      </c>
      <c r="L738" s="9">
        <v>1.6399000000000001E-4</v>
      </c>
      <c r="M738" s="9">
        <v>1.6982999999999999E-4</v>
      </c>
      <c r="N738" s="9">
        <v>1.7048000000000001E-4</v>
      </c>
      <c r="O738" s="9">
        <v>1.7966999999999999E-4</v>
      </c>
      <c r="P738" s="9">
        <v>1.6823000000000001E-4</v>
      </c>
      <c r="Q738" s="9">
        <v>1.6023E-4</v>
      </c>
      <c r="R738" s="10">
        <v>3.2298512836059211E-5</v>
      </c>
      <c r="S738" s="10">
        <v>1.5290175931273884E-5</v>
      </c>
      <c r="T738" s="10">
        <v>2.1250624582301963E-4</v>
      </c>
      <c r="U738" s="10">
        <v>1.8849000000000001E-4</v>
      </c>
      <c r="V738" s="25"/>
      <c r="W738" s="25"/>
      <c r="X738" s="25"/>
      <c r="Y738" s="25"/>
      <c r="Z738" s="25"/>
      <c r="AA738" s="25"/>
    </row>
    <row r="739" spans="1:27" x14ac:dyDescent="0.35">
      <c r="A739" s="5">
        <v>735</v>
      </c>
      <c r="B739" s="5">
        <v>31</v>
      </c>
      <c r="C739" s="5">
        <v>1</v>
      </c>
      <c r="D739" s="25">
        <v>1.1416E-4</v>
      </c>
      <c r="E739" s="25">
        <v>1.195E-4</v>
      </c>
      <c r="F739" s="25">
        <v>1.2485999999999999E-4</v>
      </c>
      <c r="G739" s="25">
        <v>1.6707000000000001E-4</v>
      </c>
      <c r="H739" s="25">
        <v>2.0233E-4</v>
      </c>
      <c r="I739" s="9">
        <v>1.1809E-4</v>
      </c>
      <c r="J739" s="9">
        <v>1.1872E-4</v>
      </c>
      <c r="K739" s="9">
        <v>1.6317999999999999E-4</v>
      </c>
      <c r="L739" s="9">
        <v>1.7645000000000001E-4</v>
      </c>
      <c r="M739" s="9">
        <v>1.6793E-4</v>
      </c>
      <c r="N739" s="9">
        <v>1.6985000000000001E-4</v>
      </c>
      <c r="O739" s="9">
        <v>1.8689999999999999E-4</v>
      </c>
      <c r="P739" s="9">
        <v>1.6839000000000001E-4</v>
      </c>
      <c r="Q739" s="9">
        <v>1.5359E-4</v>
      </c>
      <c r="R739" s="10">
        <v>2.4692657420140367E-5</v>
      </c>
      <c r="S739" s="10">
        <v>1.1437853137386795E-5</v>
      </c>
      <c r="T739" s="10">
        <v>1.3793773883461705E-4</v>
      </c>
      <c r="U739" s="10">
        <v>1.8849000000000001E-4</v>
      </c>
      <c r="V739" s="25"/>
      <c r="W739" s="25"/>
      <c r="X739" s="25"/>
      <c r="Y739" s="25"/>
      <c r="Z739" s="25"/>
      <c r="AA739" s="25"/>
    </row>
    <row r="740" spans="1:27" x14ac:dyDescent="0.35">
      <c r="A740" s="5">
        <v>736</v>
      </c>
      <c r="B740" s="5">
        <v>31</v>
      </c>
      <c r="C740" s="5">
        <v>1</v>
      </c>
      <c r="D740" s="25">
        <v>1.1415000000000001E-4</v>
      </c>
      <c r="E740" s="25">
        <v>1.1731E-4</v>
      </c>
      <c r="F740" s="25">
        <v>1.1144E-4</v>
      </c>
      <c r="G740" s="25">
        <v>1.6128E-4</v>
      </c>
      <c r="H740" s="25">
        <v>1.9532999999999999E-4</v>
      </c>
      <c r="I740" s="9">
        <v>1.1708E-4</v>
      </c>
      <c r="J740" s="9">
        <v>1.1758E-4</v>
      </c>
      <c r="K740" s="9">
        <v>1.6531E-4</v>
      </c>
      <c r="L740" s="9">
        <v>1.8427999999999999E-4</v>
      </c>
      <c r="M740" s="9">
        <v>1.6772E-4</v>
      </c>
      <c r="N740" s="9">
        <v>1.6619000000000001E-4</v>
      </c>
      <c r="O740" s="9">
        <v>2.0096E-4</v>
      </c>
      <c r="P740" s="9">
        <v>1.5346000000000001E-4</v>
      </c>
      <c r="Q740" s="9">
        <v>1.1048999999999999E-4</v>
      </c>
      <c r="R740" s="10">
        <v>2.3437872680876323E-5</v>
      </c>
      <c r="S740" s="10">
        <v>1.1561933502731658E-5</v>
      </c>
      <c r="T740" s="10">
        <v>1.0669006432804214E-4</v>
      </c>
      <c r="U740" s="10">
        <v>1.8849000000000001E-4</v>
      </c>
      <c r="V740" s="25"/>
      <c r="W740" s="25"/>
      <c r="X740" s="25"/>
      <c r="Y740" s="25"/>
      <c r="Z740" s="25"/>
      <c r="AA740" s="25"/>
    </row>
    <row r="741" spans="1:27" x14ac:dyDescent="0.35">
      <c r="A741" s="5">
        <v>737</v>
      </c>
      <c r="B741" s="5">
        <v>31</v>
      </c>
      <c r="C741" s="5">
        <v>1</v>
      </c>
      <c r="D741" s="25">
        <v>1.1416E-4</v>
      </c>
      <c r="E741" s="25">
        <v>1.1504E-4</v>
      </c>
      <c r="F741" s="25">
        <v>1.1082999999999999E-4</v>
      </c>
      <c r="G741" s="25">
        <v>1.5803E-4</v>
      </c>
      <c r="H741" s="25">
        <v>2.0063000000000001E-4</v>
      </c>
      <c r="I741" s="9">
        <v>1.1661E-4</v>
      </c>
      <c r="J741" s="9">
        <v>1.198E-4</v>
      </c>
      <c r="K741" s="9">
        <v>1.5470999999999999E-4</v>
      </c>
      <c r="L741" s="9">
        <v>1.9699999999999999E-4</v>
      </c>
      <c r="M741" s="9">
        <v>1.6267000000000001E-4</v>
      </c>
      <c r="N741" s="9">
        <v>1.5258000000000001E-4</v>
      </c>
      <c r="O741" s="9">
        <v>2.1791000000000001E-4</v>
      </c>
      <c r="P741" s="9">
        <v>1.6032000000000001E-4</v>
      </c>
      <c r="Q741" s="9">
        <v>1.0784E-4</v>
      </c>
      <c r="R741" s="10">
        <v>2.7463472222838484E-5</v>
      </c>
      <c r="S741" s="10">
        <v>1.1414975598067668E-5</v>
      </c>
      <c r="T741" s="10">
        <v>0</v>
      </c>
      <c r="U741" s="10">
        <v>1.8849000000000001E-4</v>
      </c>
      <c r="V741" s="25"/>
      <c r="W741" s="25"/>
      <c r="X741" s="25"/>
      <c r="Y741" s="25"/>
      <c r="Z741" s="25"/>
      <c r="AA741" s="25"/>
    </row>
    <row r="742" spans="1:27" x14ac:dyDescent="0.35">
      <c r="A742" s="5">
        <v>738</v>
      </c>
      <c r="B742" s="5">
        <v>31</v>
      </c>
      <c r="C742" s="5">
        <v>1</v>
      </c>
      <c r="D742" s="25">
        <v>1.1415000000000001E-4</v>
      </c>
      <c r="E742" s="25">
        <v>1.1331E-4</v>
      </c>
      <c r="F742" s="25">
        <v>1.1162000000000001E-4</v>
      </c>
      <c r="G742" s="25">
        <v>1.6739000000000001E-4</v>
      </c>
      <c r="H742" s="25">
        <v>1.9205000000000001E-4</v>
      </c>
      <c r="I742" s="9">
        <v>1.2265999999999999E-4</v>
      </c>
      <c r="J742" s="9">
        <v>1.2944000000000001E-4</v>
      </c>
      <c r="K742" s="9">
        <v>1.5259E-4</v>
      </c>
      <c r="L742" s="9">
        <v>2.1305E-4</v>
      </c>
      <c r="M742" s="9">
        <v>1.604E-4</v>
      </c>
      <c r="N742" s="9">
        <v>1.3936999999999999E-4</v>
      </c>
      <c r="O742" s="9">
        <v>2.0783999999999999E-4</v>
      </c>
      <c r="P742" s="9">
        <v>1.6042000000000001E-4</v>
      </c>
      <c r="Q742" s="9">
        <v>1.177E-4</v>
      </c>
      <c r="R742" s="10">
        <v>2.863701647839331E-5</v>
      </c>
      <c r="S742" s="10">
        <v>9.9388924900954423E-6</v>
      </c>
      <c r="T742" s="10">
        <v>0</v>
      </c>
      <c r="U742" s="10">
        <v>1.8849000000000001E-4</v>
      </c>
      <c r="V742" s="25"/>
      <c r="W742" s="25"/>
      <c r="X742" s="25"/>
      <c r="Y742" s="25"/>
      <c r="Z742" s="25"/>
      <c r="AA742" s="25"/>
    </row>
    <row r="743" spans="1:27" x14ac:dyDescent="0.35">
      <c r="A743" s="5">
        <v>739</v>
      </c>
      <c r="B743" s="5">
        <v>31</v>
      </c>
      <c r="C743" s="5">
        <v>1</v>
      </c>
      <c r="D743" s="25">
        <v>1.1416E-4</v>
      </c>
      <c r="E743" s="25">
        <v>1.1849999999999999E-4</v>
      </c>
      <c r="F743" s="25">
        <v>1.1738E-4</v>
      </c>
      <c r="G743" s="25">
        <v>1.1095E-4</v>
      </c>
      <c r="H743" s="25">
        <v>1.3758999999999999E-4</v>
      </c>
      <c r="I743" s="9">
        <v>1.2867999999999999E-4</v>
      </c>
      <c r="J743" s="9">
        <v>1.3088999999999999E-4</v>
      </c>
      <c r="K743" s="9">
        <v>1.5046999999999999E-4</v>
      </c>
      <c r="L743" s="9">
        <v>2.0859000000000001E-4</v>
      </c>
      <c r="M743" s="9">
        <v>1.5996000000000001E-4</v>
      </c>
      <c r="N743" s="9">
        <v>1.3033000000000001E-4</v>
      </c>
      <c r="O743" s="9">
        <v>1.6663E-4</v>
      </c>
      <c r="P743" s="9">
        <v>1.3530000000000001E-4</v>
      </c>
      <c r="Q743" s="9">
        <v>1.0739E-4</v>
      </c>
      <c r="R743" s="10">
        <v>2.9720321670139838E-5</v>
      </c>
      <c r="S743" s="10">
        <v>9.3363323640606001E-6</v>
      </c>
      <c r="T743" s="10">
        <v>0</v>
      </c>
      <c r="U743" s="10">
        <v>1.8849000000000001E-4</v>
      </c>
      <c r="V743" s="25"/>
      <c r="W743" s="25"/>
      <c r="X743" s="25"/>
      <c r="Y743" s="25"/>
      <c r="Z743" s="25"/>
      <c r="AA743" s="25"/>
    </row>
    <row r="744" spans="1:27" x14ac:dyDescent="0.35">
      <c r="A744" s="5">
        <v>740</v>
      </c>
      <c r="B744" s="5">
        <v>31</v>
      </c>
      <c r="C744" s="5">
        <v>1</v>
      </c>
      <c r="D744" s="25">
        <v>1.1415000000000001E-4</v>
      </c>
      <c r="E744" s="25">
        <v>1.1435E-4</v>
      </c>
      <c r="F744" s="25">
        <v>1.0848E-4</v>
      </c>
      <c r="G744" s="25">
        <v>1.089E-4</v>
      </c>
      <c r="H744" s="25">
        <v>1.3376999999999999E-4</v>
      </c>
      <c r="I744" s="9">
        <v>1.2708000000000001E-4</v>
      </c>
      <c r="J744" s="9">
        <v>1.2736E-4</v>
      </c>
      <c r="K744" s="9">
        <v>1.5259E-4</v>
      </c>
      <c r="L744" s="9">
        <v>1.7605999999999999E-4</v>
      </c>
      <c r="M744" s="9">
        <v>1.5112E-4</v>
      </c>
      <c r="N744" s="9">
        <v>1.2127E-4</v>
      </c>
      <c r="O744" s="9">
        <v>1.2993999999999999E-4</v>
      </c>
      <c r="P744" s="9">
        <v>1.1472E-4</v>
      </c>
      <c r="Q744" s="9">
        <v>1.0177E-4</v>
      </c>
      <c r="R744" s="10">
        <v>2.8451048199035572E-5</v>
      </c>
      <c r="S744" s="10">
        <v>1.0693312913449742E-5</v>
      </c>
      <c r="T744" s="10">
        <v>0</v>
      </c>
      <c r="U744" s="10">
        <v>1.8849000000000001E-4</v>
      </c>
      <c r="V744" s="25"/>
      <c r="W744" s="25"/>
      <c r="X744" s="25"/>
      <c r="Y744" s="25"/>
      <c r="Z744" s="25"/>
      <c r="AA744" s="25"/>
    </row>
    <row r="745" spans="1:27" x14ac:dyDescent="0.35">
      <c r="A745" s="5">
        <v>741</v>
      </c>
      <c r="B745" s="5">
        <v>31</v>
      </c>
      <c r="C745" s="5">
        <v>1</v>
      </c>
      <c r="D745" s="25">
        <v>1.1416E-4</v>
      </c>
      <c r="E745" s="25">
        <v>1.2271E-4</v>
      </c>
      <c r="F745" s="25">
        <v>1.16E-4</v>
      </c>
      <c r="G745" s="25">
        <v>6.1909999999999995E-5</v>
      </c>
      <c r="H745" s="25">
        <v>7.6249999999999997E-5</v>
      </c>
      <c r="I745" s="9">
        <v>1.2239E-4</v>
      </c>
      <c r="J745" s="9">
        <v>1.2235999999999999E-4</v>
      </c>
      <c r="K745" s="9">
        <v>1.7590999999999999E-4</v>
      </c>
      <c r="L745" s="9">
        <v>1.4109999999999999E-4</v>
      </c>
      <c r="M745" s="9">
        <v>1.3553999999999999E-4</v>
      </c>
      <c r="N745" s="9">
        <v>1.1349999999999999E-4</v>
      </c>
      <c r="O745" s="9">
        <v>8.475E-5</v>
      </c>
      <c r="P745" s="9">
        <v>8.5840000000000005E-5</v>
      </c>
      <c r="Q745" s="9">
        <v>8.7830000000000004E-5</v>
      </c>
      <c r="R745" s="10">
        <v>2.7151250384328771E-5</v>
      </c>
      <c r="S745" s="10">
        <v>1.3796717411998729E-5</v>
      </c>
      <c r="T745" s="10">
        <v>0</v>
      </c>
      <c r="U745" s="10">
        <v>1.8849000000000001E-4</v>
      </c>
      <c r="V745" s="25"/>
      <c r="W745" s="25"/>
      <c r="X745" s="25"/>
      <c r="Y745" s="25"/>
      <c r="Z745" s="25"/>
      <c r="AA745" s="25"/>
    </row>
    <row r="746" spans="1:27" x14ac:dyDescent="0.35">
      <c r="A746" s="5">
        <v>742</v>
      </c>
      <c r="B746" s="5">
        <v>31</v>
      </c>
      <c r="C746" s="5">
        <v>1</v>
      </c>
      <c r="D746" s="25">
        <v>1.1415000000000001E-4</v>
      </c>
      <c r="E746" s="25">
        <v>1.1608999999999999E-4</v>
      </c>
      <c r="F746" s="25">
        <v>1.1356E-4</v>
      </c>
      <c r="G746" s="25">
        <v>5.6440000000000002E-5</v>
      </c>
      <c r="H746" s="25">
        <v>7.0599999999999995E-5</v>
      </c>
      <c r="I746" s="9">
        <v>1.1601E-4</v>
      </c>
      <c r="J746" s="9">
        <v>1.1684999999999999E-4</v>
      </c>
      <c r="K746" s="9">
        <v>1.9074000000000001E-4</v>
      </c>
      <c r="L746" s="9">
        <v>9.8079999999999996E-5</v>
      </c>
      <c r="M746" s="9">
        <v>1.1365E-4</v>
      </c>
      <c r="N746" s="9">
        <v>1.0571E-4</v>
      </c>
      <c r="O746" s="9">
        <v>8.7230000000000003E-5</v>
      </c>
      <c r="P746" s="9">
        <v>8.6899999999999998E-5</v>
      </c>
      <c r="Q746" s="9">
        <v>8.7540000000000006E-5</v>
      </c>
      <c r="R746" s="10">
        <v>2.8600923902268971E-5</v>
      </c>
      <c r="S746" s="10">
        <v>2.0425775051901526E-5</v>
      </c>
      <c r="T746" s="10">
        <v>0</v>
      </c>
      <c r="U746" s="10">
        <v>1.8849000000000001E-4</v>
      </c>
      <c r="V746" s="25"/>
      <c r="W746" s="25"/>
      <c r="X746" s="25"/>
      <c r="Y746" s="25"/>
      <c r="Z746" s="25"/>
      <c r="AA746" s="25"/>
    </row>
    <row r="747" spans="1:27" x14ac:dyDescent="0.35">
      <c r="A747" s="5">
        <v>743</v>
      </c>
      <c r="B747" s="5">
        <v>31</v>
      </c>
      <c r="C747" s="5">
        <v>1</v>
      </c>
      <c r="D747" s="25">
        <v>1.1416E-4</v>
      </c>
      <c r="E747" s="25">
        <v>1.2338E-4</v>
      </c>
      <c r="F747" s="25">
        <v>1.0946E-4</v>
      </c>
      <c r="G747" s="25">
        <v>5.94E-5</v>
      </c>
      <c r="H747" s="25">
        <v>6.9980000000000004E-5</v>
      </c>
      <c r="I747" s="9">
        <v>1.1713E-4</v>
      </c>
      <c r="J747" s="9">
        <v>1.105E-4</v>
      </c>
      <c r="K747" s="9">
        <v>2.0981E-4</v>
      </c>
      <c r="L747" s="9">
        <v>9.0580000000000004E-5</v>
      </c>
      <c r="M747" s="9">
        <v>9.8649999999999999E-5</v>
      </c>
      <c r="N747" s="9">
        <v>9.9669999999999999E-5</v>
      </c>
      <c r="O747" s="9">
        <v>7.86E-5</v>
      </c>
      <c r="P747" s="9">
        <v>7.2479999999999997E-5</v>
      </c>
      <c r="Q747" s="9">
        <v>6.7210000000000002E-5</v>
      </c>
      <c r="R747" s="10">
        <v>2.930423409145269E-5</v>
      </c>
      <c r="S747" s="10">
        <v>3.0021597240656405E-5</v>
      </c>
      <c r="T747" s="10">
        <v>0</v>
      </c>
      <c r="U747" s="10">
        <v>1.8849000000000001E-4</v>
      </c>
      <c r="V747" s="25"/>
      <c r="W747" s="25"/>
      <c r="X747" s="25"/>
      <c r="Y747" s="25"/>
      <c r="Z747" s="25"/>
      <c r="AA747" s="25"/>
    </row>
    <row r="748" spans="1:27" x14ac:dyDescent="0.35">
      <c r="A748" s="5">
        <v>744</v>
      </c>
      <c r="B748" s="5">
        <v>31</v>
      </c>
      <c r="C748" s="5">
        <v>1</v>
      </c>
      <c r="D748" s="25">
        <v>1.1415000000000001E-4</v>
      </c>
      <c r="E748" s="25">
        <v>1.2365E-4</v>
      </c>
      <c r="F748" s="25">
        <v>1.0554E-4</v>
      </c>
      <c r="G748" s="25">
        <v>5.8940000000000002E-5</v>
      </c>
      <c r="H748" s="25">
        <v>6.3659999999999997E-5</v>
      </c>
      <c r="I748" s="9">
        <v>1.156E-4</v>
      </c>
      <c r="J748" s="9">
        <v>1.0326E-4</v>
      </c>
      <c r="K748" s="9">
        <v>2.2677E-4</v>
      </c>
      <c r="L748" s="9">
        <v>8.1230000000000007E-5</v>
      </c>
      <c r="M748" s="9">
        <v>8.5920000000000004E-5</v>
      </c>
      <c r="N748" s="9">
        <v>9.043E-5</v>
      </c>
      <c r="O748" s="9">
        <v>6.2879999999999994E-5</v>
      </c>
      <c r="P748" s="9">
        <v>6.067E-5</v>
      </c>
      <c r="Q748" s="9">
        <v>5.8860000000000002E-5</v>
      </c>
      <c r="R748" s="10">
        <v>4.8255184764709132E-5</v>
      </c>
      <c r="S748" s="10">
        <v>3.4136163945596478E-5</v>
      </c>
      <c r="T748" s="10">
        <v>0</v>
      </c>
      <c r="U748" s="10">
        <v>1.8849000000000001E-4</v>
      </c>
      <c r="V748" s="25"/>
      <c r="W748" s="25"/>
      <c r="X748" s="25"/>
      <c r="Y748" s="25"/>
      <c r="Z748" s="25"/>
      <c r="AA748" s="25"/>
    </row>
    <row r="749" spans="1:27" x14ac:dyDescent="0.35">
      <c r="A749" s="5">
        <v>745</v>
      </c>
      <c r="B749" s="5">
        <v>32</v>
      </c>
      <c r="C749" s="5">
        <v>2</v>
      </c>
      <c r="D749" s="25">
        <v>1.1416E-4</v>
      </c>
      <c r="E749" s="25">
        <v>1.1567E-4</v>
      </c>
      <c r="F749" s="25">
        <v>1.2242000000000001E-4</v>
      </c>
      <c r="G749" s="25">
        <v>6.1619999999999996E-5</v>
      </c>
      <c r="H749" s="25">
        <v>7.2269999999999998E-5</v>
      </c>
      <c r="I749" s="9">
        <v>1.0841E-4</v>
      </c>
      <c r="J749" s="9">
        <v>9.7609999999999995E-5</v>
      </c>
      <c r="K749" s="9">
        <v>2.3524E-4</v>
      </c>
      <c r="L749" s="9">
        <v>6.6890000000000005E-5</v>
      </c>
      <c r="M749" s="9">
        <v>7.3930000000000005E-5</v>
      </c>
      <c r="N749" s="9">
        <v>8.1009999999999999E-5</v>
      </c>
      <c r="O749" s="9">
        <v>5.4639999999999999E-5</v>
      </c>
      <c r="P749" s="9">
        <v>5.4060000000000001E-5</v>
      </c>
      <c r="Q749" s="9">
        <v>5.363E-5</v>
      </c>
      <c r="R749" s="10">
        <v>4.4853719439083475E-5</v>
      </c>
      <c r="S749" s="10">
        <v>3.8313787394814711E-5</v>
      </c>
      <c r="T749" s="10">
        <v>0</v>
      </c>
      <c r="U749" s="10">
        <v>1.8901000000000001E-4</v>
      </c>
      <c r="V749" s="25"/>
      <c r="W749" s="25"/>
      <c r="X749" s="25"/>
      <c r="Y749" s="25"/>
      <c r="Z749" s="25"/>
      <c r="AA749" s="25"/>
    </row>
    <row r="750" spans="1:27" x14ac:dyDescent="0.35">
      <c r="A750" s="5">
        <v>746</v>
      </c>
      <c r="B750" s="5">
        <v>32</v>
      </c>
      <c r="C750" s="5">
        <v>2</v>
      </c>
      <c r="D750" s="25">
        <v>1.1415000000000001E-4</v>
      </c>
      <c r="E750" s="25">
        <v>1.177E-4</v>
      </c>
      <c r="F750" s="25">
        <v>1.0774E-4</v>
      </c>
      <c r="G750" s="25">
        <v>5.7370000000000001E-5</v>
      </c>
      <c r="H750" s="25">
        <v>7.4679999999999996E-5</v>
      </c>
      <c r="I750" s="9">
        <v>1.0278E-4</v>
      </c>
      <c r="J750" s="9">
        <v>9.3670000000000003E-5</v>
      </c>
      <c r="K750" s="9">
        <v>2.3737000000000001E-4</v>
      </c>
      <c r="L750" s="9">
        <v>5.7729999999999998E-5</v>
      </c>
      <c r="M750" s="9">
        <v>6.3930000000000006E-5</v>
      </c>
      <c r="N750" s="9">
        <v>7.1979999999999999E-5</v>
      </c>
      <c r="O750" s="9">
        <v>1.8559999999999998E-5</v>
      </c>
      <c r="P750" s="9">
        <v>3.7769999999999999E-5</v>
      </c>
      <c r="Q750" s="9">
        <v>5.6209999999999999E-5</v>
      </c>
      <c r="R750" s="10">
        <v>4.840317696191967E-5</v>
      </c>
      <c r="S750" s="10">
        <v>4.5047277472300755E-5</v>
      </c>
      <c r="T750" s="10">
        <v>0</v>
      </c>
      <c r="U750" s="10">
        <v>1.8901000000000001E-4</v>
      </c>
      <c r="V750" s="25"/>
      <c r="W750" s="25"/>
      <c r="X750" s="25"/>
      <c r="Y750" s="25"/>
      <c r="Z750" s="25"/>
      <c r="AA750" s="25"/>
    </row>
    <row r="751" spans="1:27" x14ac:dyDescent="0.35">
      <c r="A751" s="5">
        <v>747</v>
      </c>
      <c r="B751" s="5">
        <v>32</v>
      </c>
      <c r="C751" s="5">
        <v>2</v>
      </c>
      <c r="D751" s="25">
        <v>1.1416E-4</v>
      </c>
      <c r="E751" s="25">
        <v>1.1620000000000001E-4</v>
      </c>
      <c r="F751" s="25">
        <v>1.0716E-4</v>
      </c>
      <c r="G751" s="25">
        <v>5.3879999999999999E-5</v>
      </c>
      <c r="H751" s="25">
        <v>6.6180000000000007E-5</v>
      </c>
      <c r="I751" s="9">
        <v>9.9220000000000002E-5</v>
      </c>
      <c r="J751" s="9">
        <v>9.2230000000000003E-5</v>
      </c>
      <c r="K751" s="9">
        <v>2.2677E-4</v>
      </c>
      <c r="L751" s="9">
        <v>2.739E-5</v>
      </c>
      <c r="M751" s="9">
        <v>5.223E-5</v>
      </c>
      <c r="N751" s="9">
        <v>6.5469999999999995E-5</v>
      </c>
      <c r="O751" s="9">
        <v>1.307E-5</v>
      </c>
      <c r="P751" s="9">
        <v>3.7910000000000001E-5</v>
      </c>
      <c r="Q751" s="9">
        <v>6.1799999999999998E-5</v>
      </c>
      <c r="R751" s="10">
        <v>6.1017931091022935E-5</v>
      </c>
      <c r="S751" s="10">
        <v>4.406128275512381E-5</v>
      </c>
      <c r="T751" s="10">
        <v>0</v>
      </c>
      <c r="U751" s="10">
        <v>1.8901000000000001E-4</v>
      </c>
      <c r="V751" s="25"/>
      <c r="W751" s="25"/>
      <c r="X751" s="25"/>
      <c r="Y751" s="25"/>
      <c r="Z751" s="25"/>
      <c r="AA751" s="25"/>
    </row>
    <row r="752" spans="1:27" x14ac:dyDescent="0.35">
      <c r="A752" s="5">
        <v>748</v>
      </c>
      <c r="B752" s="5">
        <v>32</v>
      </c>
      <c r="C752" s="5">
        <v>2</v>
      </c>
      <c r="D752" s="25">
        <v>1.1415000000000001E-4</v>
      </c>
      <c r="E752" s="25">
        <v>1.1265E-4</v>
      </c>
      <c r="F752" s="25">
        <v>1.078E-4</v>
      </c>
      <c r="G752" s="25">
        <v>5.2479999999999999E-5</v>
      </c>
      <c r="H752" s="25">
        <v>6.4999999999999994E-5</v>
      </c>
      <c r="I752" s="9">
        <v>9.7860000000000002E-5</v>
      </c>
      <c r="J752" s="9">
        <v>9.1609999999999999E-5</v>
      </c>
      <c r="K752" s="9">
        <v>2.3525E-4</v>
      </c>
      <c r="L752" s="9">
        <v>1.6969999999999998E-5</v>
      </c>
      <c r="M752" s="9">
        <v>4.4280000000000003E-5</v>
      </c>
      <c r="N752" s="9">
        <v>6.198E-5</v>
      </c>
      <c r="O752" s="9">
        <v>1.312E-5</v>
      </c>
      <c r="P752" s="9">
        <v>4.757E-5</v>
      </c>
      <c r="Q752" s="9">
        <v>8.0909999999999996E-5</v>
      </c>
      <c r="R752" s="10">
        <v>6.9993876439545063E-5</v>
      </c>
      <c r="S752" s="10">
        <v>3.9468965610040734E-5</v>
      </c>
      <c r="T752" s="10">
        <v>0</v>
      </c>
      <c r="U752" s="10">
        <v>1.8901000000000001E-4</v>
      </c>
      <c r="V752" s="25"/>
      <c r="W752" s="25"/>
      <c r="X752" s="25"/>
      <c r="Y752" s="25"/>
      <c r="Z752" s="25"/>
      <c r="AA752" s="25"/>
    </row>
    <row r="753" spans="1:27" x14ac:dyDescent="0.35">
      <c r="A753" s="5">
        <v>749</v>
      </c>
      <c r="B753" s="5">
        <v>32</v>
      </c>
      <c r="C753" s="5">
        <v>2</v>
      </c>
      <c r="D753" s="25">
        <v>1.1416E-4</v>
      </c>
      <c r="E753" s="25">
        <v>1.0743000000000001E-4</v>
      </c>
      <c r="F753" s="25">
        <v>1.1506E-4</v>
      </c>
      <c r="G753" s="25">
        <v>5.9360000000000001E-5</v>
      </c>
      <c r="H753" s="25">
        <v>6.9750000000000001E-5</v>
      </c>
      <c r="I753" s="9">
        <v>9.8800000000000003E-5</v>
      </c>
      <c r="J753" s="9">
        <v>9.2910000000000003E-5</v>
      </c>
      <c r="K753" s="9">
        <v>2.2677E-4</v>
      </c>
      <c r="L753" s="9">
        <v>1.4219999999999999E-5</v>
      </c>
      <c r="M753" s="9">
        <v>4.3680000000000002E-5</v>
      </c>
      <c r="N753" s="9">
        <v>6.4640000000000005E-5</v>
      </c>
      <c r="O753" s="9">
        <v>1.8389999999999998E-5</v>
      </c>
      <c r="P753" s="9">
        <v>5.6140000000000001E-5</v>
      </c>
      <c r="Q753" s="9">
        <v>9.2839999999999999E-5</v>
      </c>
      <c r="R753" s="10">
        <v>7.156466330436908E-5</v>
      </c>
      <c r="S753" s="10">
        <v>3.7896820589792085E-5</v>
      </c>
      <c r="T753" s="10">
        <v>0</v>
      </c>
      <c r="U753" s="10">
        <v>1.8901000000000001E-4</v>
      </c>
      <c r="V753" s="25"/>
      <c r="W753" s="25"/>
      <c r="X753" s="25"/>
      <c r="Y753" s="25"/>
      <c r="Z753" s="25"/>
      <c r="AA753" s="25"/>
    </row>
    <row r="754" spans="1:27" x14ac:dyDescent="0.35">
      <c r="A754" s="5">
        <v>750</v>
      </c>
      <c r="B754" s="5">
        <v>32</v>
      </c>
      <c r="C754" s="5">
        <v>2</v>
      </c>
      <c r="D754" s="25">
        <v>1.1415000000000001E-4</v>
      </c>
      <c r="E754" s="25">
        <v>1.1226999999999999E-4</v>
      </c>
      <c r="F754" s="25">
        <v>1.2085E-4</v>
      </c>
      <c r="G754" s="25">
        <v>1.1037E-4</v>
      </c>
      <c r="H754" s="25">
        <v>1.3829000000000001E-4</v>
      </c>
      <c r="I754" s="9">
        <v>1.0561E-4</v>
      </c>
      <c r="J754" s="9">
        <v>9.7360000000000003E-5</v>
      </c>
      <c r="K754" s="9">
        <v>2.2676E-4</v>
      </c>
      <c r="L754" s="9">
        <v>1.734E-5</v>
      </c>
      <c r="M754" s="9">
        <v>4.8359999999999998E-5</v>
      </c>
      <c r="N754" s="9">
        <v>7.1009999999999999E-5</v>
      </c>
      <c r="O754" s="9">
        <v>4.6319999999999997E-5</v>
      </c>
      <c r="P754" s="9">
        <v>7.7029999999999999E-5</v>
      </c>
      <c r="Q754" s="9">
        <v>1.0726999999999999E-4</v>
      </c>
      <c r="R754" s="10">
        <v>7.5517517987838754E-5</v>
      </c>
      <c r="S754" s="10">
        <v>4.9546032271736583E-5</v>
      </c>
      <c r="T754" s="10">
        <v>0</v>
      </c>
      <c r="U754" s="10">
        <v>1.8901000000000001E-4</v>
      </c>
      <c r="V754" s="25"/>
      <c r="W754" s="25"/>
      <c r="X754" s="25"/>
      <c r="Y754" s="25"/>
      <c r="Z754" s="25"/>
      <c r="AA754" s="25"/>
    </row>
    <row r="755" spans="1:27" x14ac:dyDescent="0.35">
      <c r="A755" s="5">
        <v>751</v>
      </c>
      <c r="B755" s="5">
        <v>32</v>
      </c>
      <c r="C755" s="5">
        <v>2</v>
      </c>
      <c r="D755" s="25">
        <v>1.1416E-4</v>
      </c>
      <c r="E755" s="25">
        <v>1.1557000000000001E-4</v>
      </c>
      <c r="F755" s="25">
        <v>1.1932E-4</v>
      </c>
      <c r="G755" s="25">
        <v>1.1277000000000001E-4</v>
      </c>
      <c r="H755" s="25">
        <v>1.3902000000000001E-4</v>
      </c>
      <c r="I755" s="9">
        <v>1.2102E-4</v>
      </c>
      <c r="J755" s="9">
        <v>1.0949E-4</v>
      </c>
      <c r="K755" s="9">
        <v>2.2889000000000001E-4</v>
      </c>
      <c r="L755" s="9">
        <v>3.981E-5</v>
      </c>
      <c r="M755" s="9">
        <v>6.0000000000000002E-5</v>
      </c>
      <c r="N755" s="9">
        <v>8.0760000000000006E-5</v>
      </c>
      <c r="O755" s="9">
        <v>1.2388000000000001E-4</v>
      </c>
      <c r="P755" s="9">
        <v>1.1749E-4</v>
      </c>
      <c r="Q755" s="9">
        <v>1.1255E-4</v>
      </c>
      <c r="R755" s="10">
        <v>7.5642229111853125E-5</v>
      </c>
      <c r="S755" s="10">
        <v>6.5838367168732296E-5</v>
      </c>
      <c r="T755" s="10">
        <v>0</v>
      </c>
      <c r="U755" s="10">
        <v>1.8901000000000001E-4</v>
      </c>
      <c r="V755" s="25"/>
      <c r="W755" s="25"/>
      <c r="X755" s="25"/>
      <c r="Y755" s="25"/>
      <c r="Z755" s="25"/>
      <c r="AA755" s="25"/>
    </row>
    <row r="756" spans="1:27" x14ac:dyDescent="0.35">
      <c r="A756" s="5">
        <v>752</v>
      </c>
      <c r="B756" s="5">
        <v>32</v>
      </c>
      <c r="C756" s="5">
        <v>2</v>
      </c>
      <c r="D756" s="25">
        <v>1.1415000000000001E-4</v>
      </c>
      <c r="E756" s="25">
        <v>1.1611E-4</v>
      </c>
      <c r="F756" s="25">
        <v>1.2142E-4</v>
      </c>
      <c r="G756" s="25">
        <v>1.6673E-4</v>
      </c>
      <c r="H756" s="25">
        <v>1.894E-4</v>
      </c>
      <c r="I756" s="9">
        <v>1.3332E-4</v>
      </c>
      <c r="J756" s="9">
        <v>1.2862999999999999E-4</v>
      </c>
      <c r="K756" s="9">
        <v>2.3101E-4</v>
      </c>
      <c r="L756" s="9">
        <v>1.0476000000000001E-4</v>
      </c>
      <c r="M756" s="9">
        <v>8.3709999999999996E-5</v>
      </c>
      <c r="N756" s="9">
        <v>9.0859999999999994E-5</v>
      </c>
      <c r="O756" s="9">
        <v>2.219E-4</v>
      </c>
      <c r="P756" s="9">
        <v>1.7773999999999999E-4</v>
      </c>
      <c r="Q756" s="9">
        <v>1.373E-4</v>
      </c>
      <c r="R756" s="10">
        <v>7.6493043542696522E-5</v>
      </c>
      <c r="S756" s="10">
        <v>7.6851308581017984E-5</v>
      </c>
      <c r="T756" s="10">
        <v>0</v>
      </c>
      <c r="U756" s="10">
        <v>1.8901000000000001E-4</v>
      </c>
      <c r="V756" s="25"/>
      <c r="W756" s="25"/>
      <c r="X756" s="25"/>
      <c r="Y756" s="25"/>
      <c r="Z756" s="25"/>
      <c r="AA756" s="25"/>
    </row>
    <row r="757" spans="1:27" x14ac:dyDescent="0.35">
      <c r="A757" s="5">
        <v>753</v>
      </c>
      <c r="B757" s="5">
        <v>32</v>
      </c>
      <c r="C757" s="5">
        <v>2</v>
      </c>
      <c r="D757" s="25">
        <v>1.1416E-4</v>
      </c>
      <c r="E757" s="25">
        <v>1.1711E-4</v>
      </c>
      <c r="F757" s="25">
        <v>1.0972E-4</v>
      </c>
      <c r="G757" s="25">
        <v>1.6143E-4</v>
      </c>
      <c r="H757" s="25">
        <v>2.0064E-4</v>
      </c>
      <c r="I757" s="9">
        <v>1.3636E-4</v>
      </c>
      <c r="J757" s="9">
        <v>1.3914E-4</v>
      </c>
      <c r="K757" s="9">
        <v>2.2041000000000001E-4</v>
      </c>
      <c r="L757" s="9">
        <v>1.9435000000000001E-4</v>
      </c>
      <c r="M757" s="9">
        <v>1.2369E-4</v>
      </c>
      <c r="N757" s="9">
        <v>1.0472E-4</v>
      </c>
      <c r="O757" s="9">
        <v>2.1202999999999999E-4</v>
      </c>
      <c r="P757" s="9">
        <v>1.9264E-4</v>
      </c>
      <c r="Q757" s="9">
        <v>1.7641999999999999E-4</v>
      </c>
      <c r="R757" s="10">
        <v>7.7531399754910638E-5</v>
      </c>
      <c r="S757" s="10">
        <v>8.815287662936371E-5</v>
      </c>
      <c r="T757" s="10">
        <v>4.843686498996363E-5</v>
      </c>
      <c r="U757" s="10">
        <v>1.8901000000000001E-4</v>
      </c>
      <c r="V757" s="25"/>
      <c r="W757" s="25"/>
      <c r="X757" s="25"/>
      <c r="Y757" s="25"/>
      <c r="Z757" s="25"/>
      <c r="AA757" s="25"/>
    </row>
    <row r="758" spans="1:27" x14ac:dyDescent="0.35">
      <c r="A758" s="5">
        <v>754</v>
      </c>
      <c r="B758" s="5">
        <v>32</v>
      </c>
      <c r="C758" s="5">
        <v>2</v>
      </c>
      <c r="D758" s="25">
        <v>1.1415000000000001E-4</v>
      </c>
      <c r="E758" s="25">
        <v>1.1162000000000001E-4</v>
      </c>
      <c r="F758" s="25">
        <v>1.1569E-4</v>
      </c>
      <c r="G758" s="25">
        <v>1.6009999999999999E-4</v>
      </c>
      <c r="H758" s="25">
        <v>1.9600999999999999E-4</v>
      </c>
      <c r="I758" s="9">
        <v>1.3836999999999999E-4</v>
      </c>
      <c r="J758" s="9">
        <v>1.4281E-4</v>
      </c>
      <c r="K758" s="9">
        <v>2.0557999999999999E-4</v>
      </c>
      <c r="L758" s="9">
        <v>2.0578999999999999E-4</v>
      </c>
      <c r="M758" s="9">
        <v>1.5865000000000001E-4</v>
      </c>
      <c r="N758" s="9">
        <v>1.2460999999999999E-4</v>
      </c>
      <c r="O758" s="9">
        <v>1.6898999999999999E-4</v>
      </c>
      <c r="P758" s="9">
        <v>1.7500999999999999E-4</v>
      </c>
      <c r="Q758" s="9">
        <v>1.8306E-4</v>
      </c>
      <c r="R758" s="10">
        <v>7.4265223938013743E-5</v>
      </c>
      <c r="S758" s="10">
        <v>1.0662131380775095E-4</v>
      </c>
      <c r="T758" s="10">
        <v>1.036696537593914E-4</v>
      </c>
      <c r="U758" s="10">
        <v>1.8901000000000001E-4</v>
      </c>
      <c r="V758" s="25"/>
      <c r="W758" s="25"/>
      <c r="X758" s="25"/>
      <c r="Y758" s="25"/>
      <c r="Z758" s="25"/>
      <c r="AA758" s="25"/>
    </row>
    <row r="759" spans="1:27" x14ac:dyDescent="0.35">
      <c r="A759" s="5">
        <v>755</v>
      </c>
      <c r="B759" s="5">
        <v>32</v>
      </c>
      <c r="C759" s="5">
        <v>2</v>
      </c>
      <c r="D759" s="25">
        <v>1.1416E-4</v>
      </c>
      <c r="E759" s="25">
        <v>1.1682E-4</v>
      </c>
      <c r="F759" s="25">
        <v>1.2464999999999999E-4</v>
      </c>
      <c r="G759" s="25">
        <v>1.5745000000000001E-4</v>
      </c>
      <c r="H759" s="25">
        <v>2.0110000000000001E-4</v>
      </c>
      <c r="I759" s="9">
        <v>1.3903E-4</v>
      </c>
      <c r="J759" s="9">
        <v>1.4406999999999999E-4</v>
      </c>
      <c r="K759" s="9">
        <v>2.0346000000000001E-4</v>
      </c>
      <c r="L759" s="9">
        <v>1.7719E-4</v>
      </c>
      <c r="M759" s="9">
        <v>1.7262000000000001E-4</v>
      </c>
      <c r="N759" s="9">
        <v>1.4291E-4</v>
      </c>
      <c r="O759" s="9">
        <v>1.6772E-4</v>
      </c>
      <c r="P759" s="9">
        <v>1.7234999999999999E-4</v>
      </c>
      <c r="Q759" s="9">
        <v>1.7901000000000001E-4</v>
      </c>
      <c r="R759" s="10">
        <v>6.1721136400417329E-5</v>
      </c>
      <c r="S759" s="10">
        <v>1.2933125588863214E-4</v>
      </c>
      <c r="T759" s="10">
        <v>4.6909691106937975E-5</v>
      </c>
      <c r="U759" s="10">
        <v>1.8901000000000001E-4</v>
      </c>
      <c r="V759" s="25"/>
      <c r="W759" s="25"/>
      <c r="X759" s="25"/>
      <c r="Y759" s="25"/>
      <c r="Z759" s="25"/>
      <c r="AA759" s="25"/>
    </row>
    <row r="760" spans="1:27" x14ac:dyDescent="0.35">
      <c r="A760" s="5">
        <v>756</v>
      </c>
      <c r="B760" s="5">
        <v>32</v>
      </c>
      <c r="C760" s="5">
        <v>2</v>
      </c>
      <c r="D760" s="25">
        <v>1.1415000000000001E-4</v>
      </c>
      <c r="E760" s="25">
        <v>1.1717E-4</v>
      </c>
      <c r="F760" s="25">
        <v>1.2548E-4</v>
      </c>
      <c r="G760" s="25">
        <v>1.6116000000000001E-4</v>
      </c>
      <c r="H760" s="25">
        <v>1.8928E-4</v>
      </c>
      <c r="I760" s="9">
        <v>1.3982999999999999E-4</v>
      </c>
      <c r="J760" s="9">
        <v>1.4440000000000001E-4</v>
      </c>
      <c r="K760" s="9">
        <v>2.0133E-4</v>
      </c>
      <c r="L760" s="9">
        <v>1.7121000000000001E-4</v>
      </c>
      <c r="M760" s="9">
        <v>1.7492000000000001E-4</v>
      </c>
      <c r="N760" s="9">
        <v>1.5684999999999999E-4</v>
      </c>
      <c r="O760" s="9">
        <v>1.7076E-4</v>
      </c>
      <c r="P760" s="9">
        <v>1.7128E-4</v>
      </c>
      <c r="Q760" s="9">
        <v>1.7395E-4</v>
      </c>
      <c r="R760" s="10">
        <v>3.8538860497421259E-5</v>
      </c>
      <c r="S760" s="10">
        <v>1.5135304969930341E-4</v>
      </c>
      <c r="T760" s="10">
        <v>8.815187024798075E-5</v>
      </c>
      <c r="U760" s="10">
        <v>1.8901000000000001E-4</v>
      </c>
      <c r="V760" s="25"/>
      <c r="W760" s="25"/>
      <c r="X760" s="25"/>
      <c r="Y760" s="25"/>
      <c r="Z760" s="25"/>
      <c r="AA760" s="25"/>
    </row>
    <row r="761" spans="1:27" x14ac:dyDescent="0.35">
      <c r="A761" s="5">
        <v>757</v>
      </c>
      <c r="B761" s="5">
        <v>32</v>
      </c>
      <c r="C761" s="5">
        <v>2</v>
      </c>
      <c r="D761" s="25">
        <v>1.1416E-4</v>
      </c>
      <c r="E761" s="25">
        <v>1.1717E-4</v>
      </c>
      <c r="F761" s="25">
        <v>1.0451E-4</v>
      </c>
      <c r="G761" s="25">
        <v>1.6508000000000001E-4</v>
      </c>
      <c r="H761" s="25">
        <v>1.9147000000000001E-4</v>
      </c>
      <c r="I761" s="9">
        <v>1.3823000000000001E-4</v>
      </c>
      <c r="J761" s="9">
        <v>1.4312E-4</v>
      </c>
      <c r="K761" s="9">
        <v>1.9285999999999999E-4</v>
      </c>
      <c r="L761" s="9">
        <v>1.7103999999999999E-4</v>
      </c>
      <c r="M761" s="9">
        <v>1.7370999999999999E-4</v>
      </c>
      <c r="N761" s="9">
        <v>1.6625E-4</v>
      </c>
      <c r="O761" s="9">
        <v>1.6212E-4</v>
      </c>
      <c r="P761" s="9">
        <v>1.6352000000000001E-4</v>
      </c>
      <c r="Q761" s="9">
        <v>1.6691000000000001E-4</v>
      </c>
      <c r="R761" s="10">
        <v>3.1376382398536243E-5</v>
      </c>
      <c r="S761" s="10">
        <v>1.5894441579764404E-4</v>
      </c>
      <c r="T761" s="10">
        <v>1.798332090256208E-4</v>
      </c>
      <c r="U761" s="10">
        <v>1.8901000000000001E-4</v>
      </c>
      <c r="V761" s="25"/>
      <c r="W761" s="25"/>
      <c r="X761" s="25"/>
      <c r="Y761" s="25"/>
      <c r="Z761" s="25"/>
      <c r="AA761" s="25"/>
    </row>
    <row r="762" spans="1:27" x14ac:dyDescent="0.35">
      <c r="A762" s="5">
        <v>758</v>
      </c>
      <c r="B762" s="5">
        <v>32</v>
      </c>
      <c r="C762" s="5">
        <v>2</v>
      </c>
      <c r="D762" s="25">
        <v>1.1415000000000001E-4</v>
      </c>
      <c r="E762" s="25">
        <v>1.1537E-4</v>
      </c>
      <c r="F762" s="25">
        <v>1.0522999999999999E-4</v>
      </c>
      <c r="G762" s="25">
        <v>1.5901000000000001E-4</v>
      </c>
      <c r="H762" s="25">
        <v>2.0227E-4</v>
      </c>
      <c r="I762" s="9">
        <v>1.3880000000000001E-4</v>
      </c>
      <c r="J762" s="9">
        <v>1.4348E-4</v>
      </c>
      <c r="K762" s="9">
        <v>1.8650000000000001E-4</v>
      </c>
      <c r="L762" s="9">
        <v>1.6383000000000001E-4</v>
      </c>
      <c r="M762" s="9">
        <v>1.697E-4</v>
      </c>
      <c r="N762" s="9">
        <v>1.7040999999999999E-4</v>
      </c>
      <c r="O762" s="9">
        <v>1.7781000000000001E-4</v>
      </c>
      <c r="P762" s="9">
        <v>1.674E-4</v>
      </c>
      <c r="Q762" s="9">
        <v>1.5944E-4</v>
      </c>
      <c r="R762" s="10">
        <v>3.0901345394883871E-5</v>
      </c>
      <c r="S762" s="10">
        <v>1.5675955170524976E-4</v>
      </c>
      <c r="T762" s="10">
        <v>4.3543121124801427E-4</v>
      </c>
      <c r="U762" s="10">
        <v>1.8901000000000001E-4</v>
      </c>
      <c r="V762" s="25"/>
      <c r="W762" s="25"/>
      <c r="X762" s="25"/>
      <c r="Y762" s="25"/>
      <c r="Z762" s="25"/>
      <c r="AA762" s="25"/>
    </row>
    <row r="763" spans="1:27" x14ac:dyDescent="0.35">
      <c r="A763" s="5">
        <v>759</v>
      </c>
      <c r="B763" s="5">
        <v>32</v>
      </c>
      <c r="C763" s="5">
        <v>2</v>
      </c>
      <c r="D763" s="25">
        <v>1.1416E-4</v>
      </c>
      <c r="E763" s="25">
        <v>1.1632E-4</v>
      </c>
      <c r="F763" s="25">
        <v>1.1153E-4</v>
      </c>
      <c r="G763" s="25">
        <v>1.605E-4</v>
      </c>
      <c r="H763" s="25">
        <v>1.8976999999999999E-4</v>
      </c>
      <c r="I763" s="9">
        <v>1.3789E-4</v>
      </c>
      <c r="J763" s="9">
        <v>1.4295000000000001E-4</v>
      </c>
      <c r="K763" s="9">
        <v>1.9921000000000001E-4</v>
      </c>
      <c r="L763" s="9">
        <v>1.749E-4</v>
      </c>
      <c r="M763" s="9">
        <v>1.6773999999999999E-4</v>
      </c>
      <c r="N763" s="9">
        <v>1.6961999999999999E-4</v>
      </c>
      <c r="O763" s="9">
        <v>1.8451000000000001E-4</v>
      </c>
      <c r="P763" s="9">
        <v>1.6715E-4</v>
      </c>
      <c r="Q763" s="9">
        <v>1.5245999999999999E-4</v>
      </c>
      <c r="R763" s="10">
        <v>4.4656806007725827E-5</v>
      </c>
      <c r="S763" s="10">
        <v>1.6116014549572301E-4</v>
      </c>
      <c r="T763" s="10">
        <v>1.4169628344673016E-4</v>
      </c>
      <c r="U763" s="10">
        <v>1.8901000000000001E-4</v>
      </c>
      <c r="V763" s="25"/>
      <c r="W763" s="25"/>
      <c r="X763" s="25"/>
      <c r="Y763" s="25"/>
      <c r="Z763" s="25"/>
      <c r="AA763" s="25"/>
    </row>
    <row r="764" spans="1:27" x14ac:dyDescent="0.35">
      <c r="A764" s="5">
        <v>760</v>
      </c>
      <c r="B764" s="5">
        <v>32</v>
      </c>
      <c r="C764" s="5">
        <v>2</v>
      </c>
      <c r="D764" s="25">
        <v>1.1415000000000001E-4</v>
      </c>
      <c r="E764" s="25">
        <v>1.0855E-4</v>
      </c>
      <c r="F764" s="25">
        <v>1.1749E-4</v>
      </c>
      <c r="G764" s="25">
        <v>1.6166999999999999E-4</v>
      </c>
      <c r="H764" s="25">
        <v>2.0207999999999999E-4</v>
      </c>
      <c r="I764" s="9">
        <v>1.3762E-4</v>
      </c>
      <c r="J764" s="9">
        <v>1.4291E-4</v>
      </c>
      <c r="K764" s="9">
        <v>2.0981999999999999E-4</v>
      </c>
      <c r="L764" s="9">
        <v>1.8211E-4</v>
      </c>
      <c r="M764" s="9">
        <v>1.6710999999999999E-4</v>
      </c>
      <c r="N764" s="9">
        <v>1.6569999999999999E-4</v>
      </c>
      <c r="O764" s="9">
        <v>1.9809E-4</v>
      </c>
      <c r="P764" s="9">
        <v>1.5213999999999999E-4</v>
      </c>
      <c r="Q764" s="9">
        <v>1.0953E-4</v>
      </c>
      <c r="R764" s="10">
        <v>6.083606764734071E-5</v>
      </c>
      <c r="S764" s="10">
        <v>1.725517976783075E-4</v>
      </c>
      <c r="T764" s="10">
        <v>1.1077949661481083E-4</v>
      </c>
      <c r="U764" s="10">
        <v>1.8901000000000001E-4</v>
      </c>
      <c r="V764" s="25"/>
      <c r="W764" s="25"/>
      <c r="X764" s="25"/>
      <c r="Y764" s="25"/>
      <c r="Z764" s="25"/>
      <c r="AA764" s="25"/>
    </row>
    <row r="765" spans="1:27" x14ac:dyDescent="0.35">
      <c r="A765" s="5">
        <v>761</v>
      </c>
      <c r="B765" s="5">
        <v>32</v>
      </c>
      <c r="C765" s="5">
        <v>2</v>
      </c>
      <c r="D765" s="25">
        <v>1.1416E-4</v>
      </c>
      <c r="E765" s="25">
        <v>1.1510000000000001E-4</v>
      </c>
      <c r="F765" s="25">
        <v>1.0765E-4</v>
      </c>
      <c r="G765" s="25">
        <v>1.6631999999999999E-4</v>
      </c>
      <c r="H765" s="25">
        <v>1.9568E-4</v>
      </c>
      <c r="I765" s="9">
        <v>1.3683E-4</v>
      </c>
      <c r="J765" s="9">
        <v>1.4454E-4</v>
      </c>
      <c r="K765" s="9">
        <v>2.2889000000000001E-4</v>
      </c>
      <c r="L765" s="9">
        <v>1.9432E-4</v>
      </c>
      <c r="M765" s="9">
        <v>1.6168000000000001E-4</v>
      </c>
      <c r="N765" s="9">
        <v>1.5199000000000001E-4</v>
      </c>
      <c r="O765" s="9">
        <v>2.1531999999999999E-4</v>
      </c>
      <c r="P765" s="9">
        <v>1.5935E-4</v>
      </c>
      <c r="Q765" s="9">
        <v>1.0719E-4</v>
      </c>
      <c r="R765" s="10">
        <v>7.6936569849950318E-5</v>
      </c>
      <c r="S765" s="10">
        <v>1.8107598749780333E-4</v>
      </c>
      <c r="T765" s="10">
        <v>0</v>
      </c>
      <c r="U765" s="10">
        <v>1.8901000000000001E-4</v>
      </c>
      <c r="V765" s="25"/>
      <c r="W765" s="25"/>
      <c r="X765" s="25"/>
      <c r="Y765" s="25"/>
      <c r="Z765" s="25"/>
      <c r="AA765" s="25"/>
    </row>
    <row r="766" spans="1:27" x14ac:dyDescent="0.35">
      <c r="A766" s="5">
        <v>762</v>
      </c>
      <c r="B766" s="5">
        <v>32</v>
      </c>
      <c r="C766" s="5">
        <v>2</v>
      </c>
      <c r="D766" s="25">
        <v>1.1415000000000001E-4</v>
      </c>
      <c r="E766" s="25">
        <v>1.0669E-4</v>
      </c>
      <c r="F766" s="25">
        <v>1.1189E-4</v>
      </c>
      <c r="G766" s="25">
        <v>1.5810999999999999E-4</v>
      </c>
      <c r="H766" s="25">
        <v>1.9642999999999999E-4</v>
      </c>
      <c r="I766" s="9">
        <v>1.4197E-4</v>
      </c>
      <c r="J766" s="9">
        <v>1.4846E-4</v>
      </c>
      <c r="K766" s="9">
        <v>2.2253E-4</v>
      </c>
      <c r="L766" s="9">
        <v>2.1044999999999999E-4</v>
      </c>
      <c r="M766" s="9">
        <v>1.5934E-4</v>
      </c>
      <c r="N766" s="9">
        <v>1.3872999999999999E-4</v>
      </c>
      <c r="O766" s="9">
        <v>2.0573E-4</v>
      </c>
      <c r="P766" s="9">
        <v>1.5971E-4</v>
      </c>
      <c r="Q766" s="9">
        <v>1.1718E-4</v>
      </c>
      <c r="R766" s="10">
        <v>9.5885568379437951E-5</v>
      </c>
      <c r="S766" s="10">
        <v>1.845543730553509E-4</v>
      </c>
      <c r="T766" s="10">
        <v>0</v>
      </c>
      <c r="U766" s="10">
        <v>1.8901000000000001E-4</v>
      </c>
      <c r="V766" s="25"/>
      <c r="W766" s="25"/>
      <c r="X766" s="25"/>
      <c r="Y766" s="25"/>
      <c r="Z766" s="25"/>
      <c r="AA766" s="25"/>
    </row>
    <row r="767" spans="1:27" x14ac:dyDescent="0.35">
      <c r="A767" s="5">
        <v>763</v>
      </c>
      <c r="B767" s="5">
        <v>32</v>
      </c>
      <c r="C767" s="5">
        <v>2</v>
      </c>
      <c r="D767" s="25">
        <v>1.1416E-4</v>
      </c>
      <c r="E767" s="25">
        <v>1.1543E-4</v>
      </c>
      <c r="F767" s="25">
        <v>1.2043E-4</v>
      </c>
      <c r="G767" s="25">
        <v>1.0408000000000001E-4</v>
      </c>
      <c r="H767" s="25">
        <v>1.3384000000000001E-4</v>
      </c>
      <c r="I767" s="9">
        <v>1.46E-4</v>
      </c>
      <c r="J767" s="9">
        <v>1.4713000000000001E-4</v>
      </c>
      <c r="K767" s="9">
        <v>2.3949E-4</v>
      </c>
      <c r="L767" s="9">
        <v>2.0636E-4</v>
      </c>
      <c r="M767" s="9">
        <v>1.5902000000000001E-4</v>
      </c>
      <c r="N767" s="9">
        <v>1.2965000000000001E-4</v>
      </c>
      <c r="O767" s="9">
        <v>1.6401E-4</v>
      </c>
      <c r="P767" s="9">
        <v>1.3386999999999999E-4</v>
      </c>
      <c r="Q767" s="9">
        <v>1.0626E-4</v>
      </c>
      <c r="R767" s="10">
        <v>1.1962188700722616E-4</v>
      </c>
      <c r="S767" s="10">
        <v>1.8492771976352169E-4</v>
      </c>
      <c r="T767" s="10">
        <v>0</v>
      </c>
      <c r="U767" s="10">
        <v>1.8901000000000001E-4</v>
      </c>
      <c r="V767" s="25"/>
      <c r="W767" s="25"/>
      <c r="X767" s="25"/>
      <c r="Y767" s="25"/>
      <c r="Z767" s="25"/>
      <c r="AA767" s="25"/>
    </row>
    <row r="768" spans="1:27" x14ac:dyDescent="0.35">
      <c r="A768" s="5">
        <v>764</v>
      </c>
      <c r="B768" s="5">
        <v>32</v>
      </c>
      <c r="C768" s="5">
        <v>2</v>
      </c>
      <c r="D768" s="25">
        <v>1.1415000000000001E-4</v>
      </c>
      <c r="E768" s="25">
        <v>1.1054E-4</v>
      </c>
      <c r="F768" s="25">
        <v>1.1457E-4</v>
      </c>
      <c r="G768" s="25">
        <v>1.0573000000000001E-4</v>
      </c>
      <c r="H768" s="25">
        <v>1.3200000000000001E-4</v>
      </c>
      <c r="I768" s="9">
        <v>1.4028000000000001E-4</v>
      </c>
      <c r="J768" s="9">
        <v>1.4249999999999999E-4</v>
      </c>
      <c r="K768" s="9">
        <v>2.2887999999999999E-4</v>
      </c>
      <c r="L768" s="9">
        <v>1.7351000000000001E-4</v>
      </c>
      <c r="M768" s="9">
        <v>1.5003999999999999E-4</v>
      </c>
      <c r="N768" s="9">
        <v>1.2048E-4</v>
      </c>
      <c r="O768" s="9">
        <v>1.2967999999999999E-4</v>
      </c>
      <c r="P768" s="9">
        <v>1.1501E-4</v>
      </c>
      <c r="Q768" s="9">
        <v>1.0203E-4</v>
      </c>
      <c r="R768" s="10">
        <v>1.3391986157375023E-4</v>
      </c>
      <c r="S768" s="10">
        <v>1.8596316039379011E-4</v>
      </c>
      <c r="T768" s="10">
        <v>0</v>
      </c>
      <c r="U768" s="10">
        <v>1.8901000000000001E-4</v>
      </c>
      <c r="V768" s="25"/>
      <c r="W768" s="25"/>
      <c r="X768" s="25"/>
      <c r="Y768" s="25"/>
      <c r="Z768" s="25"/>
      <c r="AA768" s="25"/>
    </row>
    <row r="769" spans="1:27" x14ac:dyDescent="0.35">
      <c r="A769" s="5">
        <v>765</v>
      </c>
      <c r="B769" s="5">
        <v>32</v>
      </c>
      <c r="C769" s="5">
        <v>2</v>
      </c>
      <c r="D769" s="25">
        <v>1.1416E-4</v>
      </c>
      <c r="E769" s="25">
        <v>1.1347E-4</v>
      </c>
      <c r="F769" s="25">
        <v>1.1196000000000001E-4</v>
      </c>
      <c r="G769" s="25">
        <v>5.24E-5</v>
      </c>
      <c r="H769" s="25">
        <v>6.7509999999999996E-5</v>
      </c>
      <c r="I769" s="9">
        <v>1.3244999999999999E-4</v>
      </c>
      <c r="J769" s="9">
        <v>1.3493000000000001E-4</v>
      </c>
      <c r="K769" s="9">
        <v>2.3101E-4</v>
      </c>
      <c r="L769" s="9">
        <v>1.4034E-4</v>
      </c>
      <c r="M769" s="9">
        <v>1.3490999999999999E-4</v>
      </c>
      <c r="N769" s="9">
        <v>1.1292E-4</v>
      </c>
      <c r="O769" s="9">
        <v>8.4640000000000003E-5</v>
      </c>
      <c r="P769" s="9">
        <v>8.598E-5</v>
      </c>
      <c r="Q769" s="9">
        <v>8.797E-5</v>
      </c>
      <c r="R769" s="10">
        <v>1.3972170049892946E-4</v>
      </c>
      <c r="S769" s="10">
        <v>1.8720852357627962E-4</v>
      </c>
      <c r="T769" s="10">
        <v>0</v>
      </c>
      <c r="U769" s="10">
        <v>1.8901000000000001E-4</v>
      </c>
      <c r="V769" s="25"/>
      <c r="W769" s="25"/>
      <c r="X769" s="25"/>
      <c r="Y769" s="25"/>
      <c r="Z769" s="25"/>
      <c r="AA769" s="25"/>
    </row>
    <row r="770" spans="1:27" x14ac:dyDescent="0.35">
      <c r="A770" s="5">
        <v>766</v>
      </c>
      <c r="B770" s="5">
        <v>32</v>
      </c>
      <c r="C770" s="5">
        <v>2</v>
      </c>
      <c r="D770" s="25">
        <v>1.1415000000000001E-4</v>
      </c>
      <c r="E770" s="25">
        <v>1.1461E-4</v>
      </c>
      <c r="F770" s="25">
        <v>1.1434000000000001E-4</v>
      </c>
      <c r="G770" s="25">
        <v>5.787E-5</v>
      </c>
      <c r="H770" s="25">
        <v>6.9049999999999998E-5</v>
      </c>
      <c r="I770" s="9">
        <v>1.2438999999999999E-4</v>
      </c>
      <c r="J770" s="9">
        <v>1.2642E-4</v>
      </c>
      <c r="K770" s="9">
        <v>2.2463999999999999E-4</v>
      </c>
      <c r="L770" s="9">
        <v>9.7789999999999997E-5</v>
      </c>
      <c r="M770" s="9">
        <v>1.1341999999999999E-4</v>
      </c>
      <c r="N770" s="9">
        <v>1.0532E-4</v>
      </c>
      <c r="O770" s="9">
        <v>8.844E-5</v>
      </c>
      <c r="P770" s="9">
        <v>8.8360000000000001E-5</v>
      </c>
      <c r="Q770" s="9">
        <v>8.9019999999999998E-5</v>
      </c>
      <c r="R770" s="10">
        <v>1.4470892096369854E-4</v>
      </c>
      <c r="S770" s="10">
        <v>1.8703900753322313E-4</v>
      </c>
      <c r="T770" s="10">
        <v>0</v>
      </c>
      <c r="U770" s="10">
        <v>1.8901000000000001E-4</v>
      </c>
      <c r="V770" s="25"/>
      <c r="W770" s="25"/>
      <c r="X770" s="25"/>
      <c r="Y770" s="25"/>
      <c r="Z770" s="25"/>
      <c r="AA770" s="25"/>
    </row>
    <row r="771" spans="1:27" x14ac:dyDescent="0.35">
      <c r="A771" s="5">
        <v>767</v>
      </c>
      <c r="B771" s="5">
        <v>32</v>
      </c>
      <c r="C771" s="5">
        <v>2</v>
      </c>
      <c r="D771" s="25">
        <v>1.1416E-4</v>
      </c>
      <c r="E771" s="25">
        <v>1.1716E-4</v>
      </c>
      <c r="F771" s="25">
        <v>1.2595E-4</v>
      </c>
      <c r="G771" s="25">
        <v>5.3300000000000001E-5</v>
      </c>
      <c r="H771" s="25">
        <v>7.5469999999999994E-5</v>
      </c>
      <c r="I771" s="9">
        <v>1.2605E-4</v>
      </c>
      <c r="J771" s="9">
        <v>1.1773999999999999E-4</v>
      </c>
      <c r="K771" s="9">
        <v>2.2463999999999999E-4</v>
      </c>
      <c r="L771" s="9">
        <v>9.1440000000000005E-5</v>
      </c>
      <c r="M771" s="9">
        <v>9.9129999999999994E-5</v>
      </c>
      <c r="N771" s="9">
        <v>9.9749999999999999E-5</v>
      </c>
      <c r="O771" s="9">
        <v>7.8369999999999997E-5</v>
      </c>
      <c r="P771" s="9">
        <v>7.2449999999999999E-5</v>
      </c>
      <c r="Q771" s="9">
        <v>6.7180000000000004E-5</v>
      </c>
      <c r="R771" s="10">
        <v>1.5005728634005466E-4</v>
      </c>
      <c r="S771" s="10">
        <v>1.8580779778668043E-4</v>
      </c>
      <c r="T771" s="10">
        <v>0</v>
      </c>
      <c r="U771" s="10">
        <v>1.8901000000000001E-4</v>
      </c>
      <c r="V771" s="25"/>
      <c r="W771" s="25"/>
      <c r="X771" s="25"/>
      <c r="Y771" s="25"/>
      <c r="Z771" s="25"/>
      <c r="AA771" s="25"/>
    </row>
    <row r="772" spans="1:27" x14ac:dyDescent="0.35">
      <c r="A772" s="5">
        <v>768</v>
      </c>
      <c r="B772" s="5">
        <v>32</v>
      </c>
      <c r="C772" s="5">
        <v>2</v>
      </c>
      <c r="D772" s="25">
        <v>1.1415000000000001E-4</v>
      </c>
      <c r="E772" s="25">
        <v>1.1463000000000001E-4</v>
      </c>
      <c r="F772" s="25">
        <v>1.1538E-4</v>
      </c>
      <c r="G772" s="25">
        <v>5.8619999999999998E-5</v>
      </c>
      <c r="H772" s="25">
        <v>6.7360000000000006E-5</v>
      </c>
      <c r="I772" s="9">
        <v>1.2428E-4</v>
      </c>
      <c r="J772" s="9">
        <v>1.1016E-4</v>
      </c>
      <c r="K772" s="9">
        <v>2.2676E-4</v>
      </c>
      <c r="L772" s="9">
        <v>8.1219999999999998E-5</v>
      </c>
      <c r="M772" s="9">
        <v>8.6390000000000005E-5</v>
      </c>
      <c r="N772" s="9">
        <v>9.0600000000000007E-5</v>
      </c>
      <c r="O772" s="9">
        <v>6.2509999999999996E-5</v>
      </c>
      <c r="P772" s="9">
        <v>6.0380000000000001E-5</v>
      </c>
      <c r="Q772" s="9">
        <v>5.8579999999999998E-5</v>
      </c>
      <c r="R772" s="10">
        <v>1.4287300018661118E-4</v>
      </c>
      <c r="S772" s="10">
        <v>1.8389535191191283E-4</v>
      </c>
      <c r="T772" s="10">
        <v>0</v>
      </c>
      <c r="U772" s="10">
        <v>1.8901000000000001E-4</v>
      </c>
      <c r="V772" s="25"/>
      <c r="W772" s="25"/>
      <c r="X772" s="25"/>
      <c r="Y772" s="25"/>
      <c r="Z772" s="25"/>
      <c r="AA772" s="25"/>
    </row>
    <row r="773" spans="1:27" x14ac:dyDescent="0.35">
      <c r="A773" s="5">
        <v>769</v>
      </c>
      <c r="B773" s="5">
        <v>33</v>
      </c>
      <c r="C773" s="5">
        <v>2</v>
      </c>
      <c r="D773" s="25">
        <v>1.1416E-4</v>
      </c>
      <c r="E773" s="25">
        <v>1.1935E-4</v>
      </c>
      <c r="F773" s="25">
        <v>9.4040000000000001E-5</v>
      </c>
      <c r="G773" s="25">
        <v>6.3059999999999996E-5</v>
      </c>
      <c r="H773" s="25">
        <v>7.6089999999999998E-5</v>
      </c>
      <c r="I773" s="9">
        <v>1.1676E-4</v>
      </c>
      <c r="J773" s="9">
        <v>1.0314000000000001E-4</v>
      </c>
      <c r="K773" s="9">
        <v>2.0981999999999999E-4</v>
      </c>
      <c r="L773" s="9">
        <v>6.6630000000000004E-5</v>
      </c>
      <c r="M773" s="9">
        <v>7.4099999999999999E-5</v>
      </c>
      <c r="N773" s="9">
        <v>8.119E-5</v>
      </c>
      <c r="O773" s="9">
        <v>5.4119999999999997E-5</v>
      </c>
      <c r="P773" s="9">
        <v>5.3539999999999999E-5</v>
      </c>
      <c r="Q773" s="9">
        <v>5.312E-5</v>
      </c>
      <c r="R773" s="10">
        <v>1.4096686197512275E-4</v>
      </c>
      <c r="S773" s="10">
        <v>1.8361418570478089E-4</v>
      </c>
      <c r="T773" s="10">
        <v>0</v>
      </c>
      <c r="U773" s="10">
        <v>1.8944E-4</v>
      </c>
      <c r="V773" s="25"/>
      <c r="W773" s="25"/>
      <c r="X773" s="25"/>
      <c r="Y773" s="25"/>
      <c r="Z773" s="25"/>
      <c r="AA773" s="25"/>
    </row>
    <row r="774" spans="1:27" x14ac:dyDescent="0.35">
      <c r="A774" s="5">
        <v>770</v>
      </c>
      <c r="B774" s="5">
        <v>33</v>
      </c>
      <c r="C774" s="5">
        <v>2</v>
      </c>
      <c r="D774" s="25">
        <v>1.1415000000000001E-4</v>
      </c>
      <c r="E774" s="25">
        <v>1.1237E-4</v>
      </c>
      <c r="F774" s="25">
        <v>9.993E-5</v>
      </c>
      <c r="G774" s="25">
        <v>6.355E-5</v>
      </c>
      <c r="H774" s="25">
        <v>6.6210000000000005E-5</v>
      </c>
      <c r="I774" s="9">
        <v>1.1029E-4</v>
      </c>
      <c r="J774" s="9">
        <v>9.7769999999999994E-5</v>
      </c>
      <c r="K774" s="9">
        <v>2.0557999999999999E-4</v>
      </c>
      <c r="L774" s="9">
        <v>5.728E-5</v>
      </c>
      <c r="M774" s="9">
        <v>6.3769999999999994E-5</v>
      </c>
      <c r="N774" s="9">
        <v>7.203E-5</v>
      </c>
      <c r="O774" s="9">
        <v>1.838E-5</v>
      </c>
      <c r="P774" s="9">
        <v>3.7410000000000003E-5</v>
      </c>
      <c r="Q774" s="9">
        <v>5.5680000000000002E-5</v>
      </c>
      <c r="R774" s="10">
        <v>1.5010781541003609E-4</v>
      </c>
      <c r="S774" s="10">
        <v>1.8085501451619291E-4</v>
      </c>
      <c r="T774" s="10">
        <v>0</v>
      </c>
      <c r="U774" s="10">
        <v>1.8944E-4</v>
      </c>
      <c r="V774" s="25"/>
      <c r="W774" s="25"/>
      <c r="X774" s="25"/>
      <c r="Y774" s="25"/>
      <c r="Z774" s="25"/>
      <c r="AA774" s="25"/>
    </row>
    <row r="775" spans="1:27" x14ac:dyDescent="0.35">
      <c r="A775" s="5">
        <v>771</v>
      </c>
      <c r="B775" s="5">
        <v>33</v>
      </c>
      <c r="C775" s="5">
        <v>2</v>
      </c>
      <c r="D775" s="25">
        <v>1.1416E-4</v>
      </c>
      <c r="E775" s="25">
        <v>1.1828E-4</v>
      </c>
      <c r="F775" s="25">
        <v>1.0211E-4</v>
      </c>
      <c r="G775" s="25">
        <v>5.8369999999999998E-5</v>
      </c>
      <c r="H775" s="25">
        <v>6.6210000000000005E-5</v>
      </c>
      <c r="I775" s="9">
        <v>1.0588E-4</v>
      </c>
      <c r="J775" s="9">
        <v>9.5080000000000004E-5</v>
      </c>
      <c r="K775" s="9">
        <v>1.9709E-4</v>
      </c>
      <c r="L775" s="9">
        <v>2.7149999999999999E-5</v>
      </c>
      <c r="M775" s="9">
        <v>5.1919999999999998E-5</v>
      </c>
      <c r="N775" s="9">
        <v>6.5370000000000006E-5</v>
      </c>
      <c r="O775" s="9">
        <v>1.3040000000000001E-5</v>
      </c>
      <c r="P775" s="9">
        <v>3.7809999999999999E-5</v>
      </c>
      <c r="Q775" s="9">
        <v>6.1630000000000005E-5</v>
      </c>
      <c r="R775" s="10">
        <v>1.5672196416740568E-4</v>
      </c>
      <c r="S775" s="10">
        <v>1.8073461429879534E-4</v>
      </c>
      <c r="T775" s="10">
        <v>0</v>
      </c>
      <c r="U775" s="10">
        <v>1.8944E-4</v>
      </c>
      <c r="V775" s="25"/>
      <c r="W775" s="25"/>
      <c r="X775" s="25"/>
      <c r="Y775" s="25"/>
      <c r="Z775" s="25"/>
      <c r="AA775" s="25"/>
    </row>
    <row r="776" spans="1:27" x14ac:dyDescent="0.35">
      <c r="A776" s="5">
        <v>772</v>
      </c>
      <c r="B776" s="5">
        <v>33</v>
      </c>
      <c r="C776" s="5">
        <v>2</v>
      </c>
      <c r="D776" s="25">
        <v>1.1415000000000001E-4</v>
      </c>
      <c r="E776" s="25">
        <v>1.1251000000000001E-4</v>
      </c>
      <c r="F776" s="25">
        <v>1.0124E-4</v>
      </c>
      <c r="G776" s="25">
        <v>5.6679999999999999E-5</v>
      </c>
      <c r="H776" s="25">
        <v>6.3180000000000002E-5</v>
      </c>
      <c r="I776" s="9">
        <v>1.0346E-4</v>
      </c>
      <c r="J776" s="9">
        <v>9.4370000000000006E-5</v>
      </c>
      <c r="K776" s="9">
        <v>1.9074000000000001E-4</v>
      </c>
      <c r="L776" s="9">
        <v>1.6880000000000001E-5</v>
      </c>
      <c r="M776" s="9">
        <v>4.4020000000000002E-5</v>
      </c>
      <c r="N776" s="9">
        <v>6.1779999999999995E-5</v>
      </c>
      <c r="O776" s="9">
        <v>1.305E-5</v>
      </c>
      <c r="P776" s="9">
        <v>4.7330000000000003E-5</v>
      </c>
      <c r="Q776" s="9">
        <v>8.0489999999999997E-5</v>
      </c>
      <c r="R776" s="10">
        <v>1.5840873998237937E-4</v>
      </c>
      <c r="S776" s="10">
        <v>1.7969533141852601E-4</v>
      </c>
      <c r="T776" s="10">
        <v>0</v>
      </c>
      <c r="U776" s="10">
        <v>1.8944E-4</v>
      </c>
      <c r="V776" s="25"/>
      <c r="W776" s="25"/>
      <c r="X776" s="25"/>
      <c r="Y776" s="25"/>
      <c r="Z776" s="25"/>
      <c r="AA776" s="25"/>
    </row>
    <row r="777" spans="1:27" x14ac:dyDescent="0.35">
      <c r="A777" s="5">
        <v>773</v>
      </c>
      <c r="B777" s="5">
        <v>33</v>
      </c>
      <c r="C777" s="5">
        <v>2</v>
      </c>
      <c r="D777" s="25">
        <v>1.1416E-4</v>
      </c>
      <c r="E777" s="25">
        <v>1.1341999999999999E-4</v>
      </c>
      <c r="F777" s="25">
        <v>9.8170000000000004E-5</v>
      </c>
      <c r="G777" s="25">
        <v>6.1820000000000001E-5</v>
      </c>
      <c r="H777" s="25">
        <v>7.6290000000000003E-5</v>
      </c>
      <c r="I777" s="9">
        <v>1.0508E-4</v>
      </c>
      <c r="J777" s="9">
        <v>9.4889999999999994E-5</v>
      </c>
      <c r="K777" s="9">
        <v>1.9285999999999999E-4</v>
      </c>
      <c r="L777" s="9">
        <v>1.414E-5</v>
      </c>
      <c r="M777" s="9">
        <v>4.3439999999999997E-5</v>
      </c>
      <c r="N777" s="9">
        <v>6.4339999999999997E-5</v>
      </c>
      <c r="O777" s="9">
        <v>1.8490000000000001E-5</v>
      </c>
      <c r="P777" s="9">
        <v>5.6459999999999998E-5</v>
      </c>
      <c r="Q777" s="9">
        <v>9.3350000000000006E-5</v>
      </c>
      <c r="R777" s="10">
        <v>1.6548326674481985E-4</v>
      </c>
      <c r="S777" s="10">
        <v>1.8021986837197639E-4</v>
      </c>
      <c r="T777" s="10">
        <v>0</v>
      </c>
      <c r="U777" s="10">
        <v>1.8944E-4</v>
      </c>
      <c r="V777" s="25"/>
      <c r="W777" s="25"/>
      <c r="X777" s="25"/>
      <c r="Y777" s="25"/>
      <c r="Z777" s="25"/>
      <c r="AA777" s="25"/>
    </row>
    <row r="778" spans="1:27" x14ac:dyDescent="0.35">
      <c r="A778" s="5">
        <v>774</v>
      </c>
      <c r="B778" s="5">
        <v>33</v>
      </c>
      <c r="C778" s="5">
        <v>2</v>
      </c>
      <c r="D778" s="25">
        <v>1.1415000000000001E-4</v>
      </c>
      <c r="E778" s="25">
        <v>1.2212E-4</v>
      </c>
      <c r="F778" s="25">
        <v>9.8029999999999995E-5</v>
      </c>
      <c r="G778" s="25">
        <v>1.0915E-4</v>
      </c>
      <c r="H778" s="25">
        <v>1.3281999999999999E-4</v>
      </c>
      <c r="I778" s="9">
        <v>1.1136E-4</v>
      </c>
      <c r="J778" s="9">
        <v>9.8999999999999994E-5</v>
      </c>
      <c r="K778" s="9">
        <v>1.9709999999999999E-4</v>
      </c>
      <c r="L778" s="9">
        <v>1.7399999999999999E-5</v>
      </c>
      <c r="M778" s="9">
        <v>4.833E-5</v>
      </c>
      <c r="N778" s="9">
        <v>7.0850000000000001E-5</v>
      </c>
      <c r="O778" s="9">
        <v>4.5840000000000002E-5</v>
      </c>
      <c r="P778" s="9">
        <v>7.6229999999999994E-5</v>
      </c>
      <c r="Q778" s="9">
        <v>1.0615000000000001E-4</v>
      </c>
      <c r="R778" s="10">
        <v>1.6712868175281404E-4</v>
      </c>
      <c r="S778" s="10">
        <v>1.8344308424591169E-4</v>
      </c>
      <c r="T778" s="10">
        <v>0</v>
      </c>
      <c r="U778" s="10">
        <v>1.8944E-4</v>
      </c>
      <c r="V778" s="25"/>
      <c r="W778" s="25"/>
      <c r="X778" s="25"/>
      <c r="Y778" s="25"/>
      <c r="Z778" s="25"/>
      <c r="AA778" s="25"/>
    </row>
    <row r="779" spans="1:27" x14ac:dyDescent="0.35">
      <c r="A779" s="5">
        <v>775</v>
      </c>
      <c r="B779" s="5">
        <v>33</v>
      </c>
      <c r="C779" s="5">
        <v>2</v>
      </c>
      <c r="D779" s="25">
        <v>1.1416E-4</v>
      </c>
      <c r="E779" s="25">
        <v>1.1792E-4</v>
      </c>
      <c r="F779" s="25">
        <v>9.6689999999999998E-5</v>
      </c>
      <c r="G779" s="25">
        <v>1.1052000000000001E-4</v>
      </c>
      <c r="H779" s="25">
        <v>1.2808000000000001E-4</v>
      </c>
      <c r="I779" s="9">
        <v>1.2546000000000001E-4</v>
      </c>
      <c r="J779" s="9">
        <v>1.1132E-4</v>
      </c>
      <c r="K779" s="9">
        <v>1.9709999999999999E-4</v>
      </c>
      <c r="L779" s="9">
        <v>3.9440000000000002E-5</v>
      </c>
      <c r="M779" s="9">
        <v>5.9750000000000002E-5</v>
      </c>
      <c r="N779" s="9">
        <v>8.0409999999999998E-5</v>
      </c>
      <c r="O779" s="9">
        <v>1.2375999999999999E-4</v>
      </c>
      <c r="P779" s="9">
        <v>1.1738E-4</v>
      </c>
      <c r="Q779" s="9">
        <v>1.1244E-4</v>
      </c>
      <c r="R779" s="10">
        <v>1.7055783222335523E-4</v>
      </c>
      <c r="S779" s="10">
        <v>1.8554344450443717E-4</v>
      </c>
      <c r="T779" s="10">
        <v>0</v>
      </c>
      <c r="U779" s="10">
        <v>1.8944E-4</v>
      </c>
      <c r="V779" s="25"/>
      <c r="W779" s="25"/>
      <c r="X779" s="25"/>
      <c r="Y779" s="25"/>
      <c r="Z779" s="25"/>
      <c r="AA779" s="25"/>
    </row>
    <row r="780" spans="1:27" x14ac:dyDescent="0.35">
      <c r="A780" s="5">
        <v>776</v>
      </c>
      <c r="B780" s="5">
        <v>33</v>
      </c>
      <c r="C780" s="5">
        <v>2</v>
      </c>
      <c r="D780" s="25">
        <v>1.1415000000000001E-4</v>
      </c>
      <c r="E780" s="25">
        <v>1.1218E-4</v>
      </c>
      <c r="F780" s="25">
        <v>1.0069E-4</v>
      </c>
      <c r="G780" s="25">
        <v>1.6714E-4</v>
      </c>
      <c r="H780" s="25">
        <v>1.9178000000000001E-4</v>
      </c>
      <c r="I780" s="9">
        <v>1.3687000000000001E-4</v>
      </c>
      <c r="J780" s="9">
        <v>1.2968999999999999E-4</v>
      </c>
      <c r="K780" s="9">
        <v>1.9498000000000001E-4</v>
      </c>
      <c r="L780" s="9">
        <v>1.0459999999999999E-4</v>
      </c>
      <c r="M780" s="9">
        <v>8.3430000000000006E-5</v>
      </c>
      <c r="N780" s="9">
        <v>9.056E-5</v>
      </c>
      <c r="O780" s="9">
        <v>2.2242E-4</v>
      </c>
      <c r="P780" s="9">
        <v>1.7814999999999999E-4</v>
      </c>
      <c r="Q780" s="9">
        <v>1.3763E-4</v>
      </c>
      <c r="R780" s="10">
        <v>1.7386445843864379E-4</v>
      </c>
      <c r="S780" s="10">
        <v>1.8600106473027077E-4</v>
      </c>
      <c r="T780" s="10">
        <v>0</v>
      </c>
      <c r="U780" s="10">
        <v>1.8944E-4</v>
      </c>
      <c r="V780" s="25"/>
      <c r="W780" s="25"/>
      <c r="X780" s="25"/>
      <c r="Y780" s="25"/>
      <c r="Z780" s="25"/>
      <c r="AA780" s="25"/>
    </row>
    <row r="781" spans="1:27" x14ac:dyDescent="0.35">
      <c r="A781" s="5">
        <v>777</v>
      </c>
      <c r="B781" s="5">
        <v>33</v>
      </c>
      <c r="C781" s="5">
        <v>2</v>
      </c>
      <c r="D781" s="25">
        <v>1.1416E-4</v>
      </c>
      <c r="E781" s="25">
        <v>1.1247E-4</v>
      </c>
      <c r="F781" s="25">
        <v>1.0847E-4</v>
      </c>
      <c r="G781" s="25">
        <v>1.6023E-4</v>
      </c>
      <c r="H781" s="25">
        <v>2.0047000000000001E-4</v>
      </c>
      <c r="I781" s="9">
        <v>1.3883999999999999E-4</v>
      </c>
      <c r="J781" s="9">
        <v>1.3859000000000001E-4</v>
      </c>
      <c r="K781" s="9">
        <v>1.8861999999999999E-4</v>
      </c>
      <c r="L781" s="9">
        <v>1.9471000000000001E-4</v>
      </c>
      <c r="M781" s="9">
        <v>1.2366999999999999E-4</v>
      </c>
      <c r="N781" s="9">
        <v>1.0454999999999999E-4</v>
      </c>
      <c r="O781" s="9">
        <v>2.1164999999999999E-4</v>
      </c>
      <c r="P781" s="9">
        <v>1.9228999999999999E-4</v>
      </c>
      <c r="Q781" s="9">
        <v>1.761E-4</v>
      </c>
      <c r="R781" s="10">
        <v>1.7370690705160088E-4</v>
      </c>
      <c r="S781" s="10">
        <v>1.8223770058255868E-4</v>
      </c>
      <c r="T781" s="10">
        <v>7.4067933326744169E-6</v>
      </c>
      <c r="U781" s="10">
        <v>1.8944E-4</v>
      </c>
      <c r="V781" s="25"/>
      <c r="W781" s="25"/>
      <c r="X781" s="25"/>
      <c r="Y781" s="25"/>
      <c r="Z781" s="25"/>
      <c r="AA781" s="25"/>
    </row>
    <row r="782" spans="1:27" x14ac:dyDescent="0.35">
      <c r="A782" s="5">
        <v>778</v>
      </c>
      <c r="B782" s="5">
        <v>33</v>
      </c>
      <c r="C782" s="5">
        <v>2</v>
      </c>
      <c r="D782" s="25">
        <v>1.1415000000000001E-4</v>
      </c>
      <c r="E782" s="25">
        <v>1.131E-4</v>
      </c>
      <c r="F782" s="25">
        <v>8.8880000000000003E-5</v>
      </c>
      <c r="G782" s="25">
        <v>1.5897E-4</v>
      </c>
      <c r="H782" s="25">
        <v>1.9278000000000001E-4</v>
      </c>
      <c r="I782" s="9">
        <v>1.4111000000000001E-4</v>
      </c>
      <c r="J782" s="9">
        <v>1.4185000000000001E-4</v>
      </c>
      <c r="K782" s="9">
        <v>1.6954000000000001E-4</v>
      </c>
      <c r="L782" s="9">
        <v>2.0555000000000001E-4</v>
      </c>
      <c r="M782" s="9">
        <v>1.5857999999999999E-4</v>
      </c>
      <c r="N782" s="9">
        <v>1.2443E-4</v>
      </c>
      <c r="O782" s="9">
        <v>1.6739000000000001E-4</v>
      </c>
      <c r="P782" s="9">
        <v>1.7335000000000001E-4</v>
      </c>
      <c r="Q782" s="9">
        <v>1.8132000000000001E-4</v>
      </c>
      <c r="R782" s="10">
        <v>1.7208031962357405E-4</v>
      </c>
      <c r="S782" s="10">
        <v>1.7414508268984161E-4</v>
      </c>
      <c r="T782" s="10">
        <v>4.9548308204832297E-6</v>
      </c>
      <c r="U782" s="10">
        <v>1.8944E-4</v>
      </c>
      <c r="V782" s="25"/>
      <c r="W782" s="25"/>
      <c r="X782" s="25"/>
      <c r="Y782" s="25"/>
      <c r="Z782" s="25"/>
      <c r="AA782" s="25"/>
    </row>
    <row r="783" spans="1:27" x14ac:dyDescent="0.35">
      <c r="A783" s="5">
        <v>779</v>
      </c>
      <c r="B783" s="5">
        <v>33</v>
      </c>
      <c r="C783" s="5">
        <v>2</v>
      </c>
      <c r="D783" s="25">
        <v>1.1416E-4</v>
      </c>
      <c r="E783" s="25">
        <v>1.1877E-4</v>
      </c>
      <c r="F783" s="25">
        <v>9.8170000000000004E-5</v>
      </c>
      <c r="G783" s="25">
        <v>1.6113999999999999E-4</v>
      </c>
      <c r="H783" s="25">
        <v>1.9729E-4</v>
      </c>
      <c r="I783" s="9">
        <v>1.4176E-4</v>
      </c>
      <c r="J783" s="9">
        <v>1.4283000000000001E-4</v>
      </c>
      <c r="K783" s="9">
        <v>1.6955E-4</v>
      </c>
      <c r="L783" s="9">
        <v>1.7590999999999999E-4</v>
      </c>
      <c r="M783" s="9">
        <v>1.7195000000000001E-4</v>
      </c>
      <c r="N783" s="9">
        <v>1.4238E-4</v>
      </c>
      <c r="O783" s="9">
        <v>1.6637999999999999E-4</v>
      </c>
      <c r="P783" s="9">
        <v>1.7097E-4</v>
      </c>
      <c r="Q783" s="9">
        <v>1.7757E-4</v>
      </c>
      <c r="R783" s="10">
        <v>1.5792701330073677E-4</v>
      </c>
      <c r="S783" s="10">
        <v>1.638616700162966E-4</v>
      </c>
      <c r="T783" s="10">
        <v>1.0537499792877006E-5</v>
      </c>
      <c r="U783" s="10">
        <v>1.8944E-4</v>
      </c>
      <c r="V783" s="25"/>
      <c r="W783" s="25"/>
      <c r="X783" s="25"/>
      <c r="Y783" s="25"/>
      <c r="Z783" s="25"/>
      <c r="AA783" s="25"/>
    </row>
    <row r="784" spans="1:27" x14ac:dyDescent="0.35">
      <c r="A784" s="5">
        <v>780</v>
      </c>
      <c r="B784" s="5">
        <v>33</v>
      </c>
      <c r="C784" s="5">
        <v>2</v>
      </c>
      <c r="D784" s="25">
        <v>1.1415000000000001E-4</v>
      </c>
      <c r="E784" s="25">
        <v>1.1402E-4</v>
      </c>
      <c r="F784" s="25">
        <v>1.0137E-4</v>
      </c>
      <c r="G784" s="25">
        <v>1.6281999999999999E-4</v>
      </c>
      <c r="H784" s="25">
        <v>2.0034999999999999E-4</v>
      </c>
      <c r="I784" s="9">
        <v>1.4349999999999999E-4</v>
      </c>
      <c r="J784" s="9">
        <v>1.4373000000000001E-4</v>
      </c>
      <c r="K784" s="9">
        <v>1.6318999999999999E-4</v>
      </c>
      <c r="L784" s="9">
        <v>1.6991E-4</v>
      </c>
      <c r="M784" s="9">
        <v>1.7383000000000001E-4</v>
      </c>
      <c r="N784" s="9">
        <v>1.5609E-4</v>
      </c>
      <c r="O784" s="9">
        <v>1.7003E-4</v>
      </c>
      <c r="P784" s="9">
        <v>1.7055E-4</v>
      </c>
      <c r="Q784" s="9">
        <v>1.7321E-4</v>
      </c>
      <c r="R784" s="10">
        <v>1.2080844772103407E-4</v>
      </c>
      <c r="S784" s="10">
        <v>1.5756096749837271E-4</v>
      </c>
      <c r="T784" s="10">
        <v>1.3854860838782728E-5</v>
      </c>
      <c r="U784" s="10">
        <v>1.8944E-4</v>
      </c>
      <c r="V784" s="25"/>
      <c r="W784" s="25"/>
      <c r="X784" s="25"/>
      <c r="Y784" s="25"/>
      <c r="Z784" s="25"/>
      <c r="AA784" s="25"/>
    </row>
    <row r="785" spans="1:27" x14ac:dyDescent="0.35">
      <c r="A785" s="5">
        <v>781</v>
      </c>
      <c r="B785" s="5">
        <v>33</v>
      </c>
      <c r="C785" s="5">
        <v>2</v>
      </c>
      <c r="D785" s="25">
        <v>1.1416E-4</v>
      </c>
      <c r="E785" s="25">
        <v>1.1281999999999999E-4</v>
      </c>
      <c r="F785" s="25">
        <v>9.4010000000000003E-5</v>
      </c>
      <c r="G785" s="25">
        <v>1.6236000000000001E-4</v>
      </c>
      <c r="H785" s="25">
        <v>2.0123E-4</v>
      </c>
      <c r="I785" s="9">
        <v>1.4134E-4</v>
      </c>
      <c r="J785" s="9">
        <v>1.4247000000000001E-4</v>
      </c>
      <c r="K785" s="9">
        <v>1.5046999999999999E-4</v>
      </c>
      <c r="L785" s="9">
        <v>1.7018E-4</v>
      </c>
      <c r="M785" s="9">
        <v>1.7265999999999999E-4</v>
      </c>
      <c r="N785" s="9">
        <v>1.6540000000000001E-4</v>
      </c>
      <c r="O785" s="9">
        <v>1.6377000000000001E-4</v>
      </c>
      <c r="P785" s="9">
        <v>1.6517999999999999E-4</v>
      </c>
      <c r="Q785" s="9">
        <v>1.6861E-4</v>
      </c>
      <c r="R785" s="10">
        <v>1.1220491749858839E-4</v>
      </c>
      <c r="S785" s="10">
        <v>1.5087836430444673E-4</v>
      </c>
      <c r="T785" s="10">
        <v>5.4604102187582227E-4</v>
      </c>
      <c r="U785" s="10">
        <v>1.8944E-4</v>
      </c>
      <c r="V785" s="25"/>
      <c r="W785" s="25"/>
      <c r="X785" s="25"/>
      <c r="Y785" s="25"/>
      <c r="Z785" s="25"/>
      <c r="AA785" s="25"/>
    </row>
    <row r="786" spans="1:27" x14ac:dyDescent="0.35">
      <c r="A786" s="5">
        <v>782</v>
      </c>
      <c r="B786" s="5">
        <v>33</v>
      </c>
      <c r="C786" s="5">
        <v>2</v>
      </c>
      <c r="D786" s="25">
        <v>1.1415000000000001E-4</v>
      </c>
      <c r="E786" s="25">
        <v>1.2176999999999999E-4</v>
      </c>
      <c r="F786" s="25">
        <v>9.9400000000000004E-5</v>
      </c>
      <c r="G786" s="25">
        <v>1.5970000000000001E-4</v>
      </c>
      <c r="H786" s="25">
        <v>1.896E-4</v>
      </c>
      <c r="I786" s="9">
        <v>1.4164000000000001E-4</v>
      </c>
      <c r="J786" s="9">
        <v>1.4355999999999999E-4</v>
      </c>
      <c r="K786" s="9">
        <v>1.7165999999999999E-4</v>
      </c>
      <c r="L786" s="9">
        <v>1.6490999999999999E-4</v>
      </c>
      <c r="M786" s="9">
        <v>1.6965E-4</v>
      </c>
      <c r="N786" s="9">
        <v>1.7003999999999999E-4</v>
      </c>
      <c r="O786" s="9">
        <v>1.8013999999999999E-4</v>
      </c>
      <c r="P786" s="9">
        <v>1.6959000000000001E-4</v>
      </c>
      <c r="Q786" s="9">
        <v>1.6153000000000001E-4</v>
      </c>
      <c r="R786" s="10">
        <v>1.1470632935528226E-4</v>
      </c>
      <c r="S786" s="10">
        <v>1.3701698891877906E-4</v>
      </c>
      <c r="T786" s="10">
        <v>6.538849509154837E-5</v>
      </c>
      <c r="U786" s="10">
        <v>1.8944E-4</v>
      </c>
      <c r="V786" s="25"/>
      <c r="W786" s="25"/>
      <c r="X786" s="25"/>
      <c r="Y786" s="25"/>
      <c r="Z786" s="25"/>
      <c r="AA786" s="25"/>
    </row>
    <row r="787" spans="1:27" x14ac:dyDescent="0.35">
      <c r="A787" s="5">
        <v>783</v>
      </c>
      <c r="B787" s="5">
        <v>33</v>
      </c>
      <c r="C787" s="5">
        <v>2</v>
      </c>
      <c r="D787" s="25">
        <v>1.1416E-4</v>
      </c>
      <c r="E787" s="25">
        <v>1.2275E-4</v>
      </c>
      <c r="F787" s="25">
        <v>9.0699999999999996E-5</v>
      </c>
      <c r="G787" s="25">
        <v>1.6741E-4</v>
      </c>
      <c r="H787" s="25">
        <v>1.9524000000000001E-4</v>
      </c>
      <c r="I787" s="9">
        <v>1.4020999999999999E-4</v>
      </c>
      <c r="J787" s="9">
        <v>1.4074000000000001E-4</v>
      </c>
      <c r="K787" s="9">
        <v>1.8226000000000001E-4</v>
      </c>
      <c r="L787" s="9">
        <v>1.7689999999999999E-4</v>
      </c>
      <c r="M787" s="9">
        <v>1.6877E-4</v>
      </c>
      <c r="N787" s="9">
        <v>1.6983999999999999E-4</v>
      </c>
      <c r="O787" s="9">
        <v>1.8343E-4</v>
      </c>
      <c r="P787" s="9">
        <v>1.6618000000000001E-4</v>
      </c>
      <c r="Q787" s="9">
        <v>1.5156999999999999E-4</v>
      </c>
      <c r="R787" s="10">
        <v>1.1192175599218623E-4</v>
      </c>
      <c r="S787" s="10">
        <v>1.2756571591986896E-4</v>
      </c>
      <c r="T787" s="10">
        <v>7.2710445430721365E-6</v>
      </c>
      <c r="U787" s="10">
        <v>1.8944E-4</v>
      </c>
      <c r="V787" s="25"/>
      <c r="W787" s="25"/>
      <c r="X787" s="25"/>
      <c r="Y787" s="25"/>
      <c r="Z787" s="25"/>
      <c r="AA787" s="25"/>
    </row>
    <row r="788" spans="1:27" x14ac:dyDescent="0.35">
      <c r="A788" s="5">
        <v>784</v>
      </c>
      <c r="B788" s="5">
        <v>33</v>
      </c>
      <c r="C788" s="5">
        <v>2</v>
      </c>
      <c r="D788" s="25">
        <v>1.1415000000000001E-4</v>
      </c>
      <c r="E788" s="25">
        <v>1.1639E-4</v>
      </c>
      <c r="F788" s="25">
        <v>8.9690000000000004E-5</v>
      </c>
      <c r="G788" s="25">
        <v>1.5904E-4</v>
      </c>
      <c r="H788" s="25">
        <v>2.0100000000000001E-4</v>
      </c>
      <c r="I788" s="9">
        <v>1.3951E-4</v>
      </c>
      <c r="J788" s="9">
        <v>1.3888999999999999E-4</v>
      </c>
      <c r="K788" s="9">
        <v>1.8438999999999999E-4</v>
      </c>
      <c r="L788" s="9">
        <v>1.8168000000000001E-4</v>
      </c>
      <c r="M788" s="9">
        <v>1.6767999999999999E-4</v>
      </c>
      <c r="N788" s="9">
        <v>1.6585999999999999E-4</v>
      </c>
      <c r="O788" s="9">
        <v>1.9949E-4</v>
      </c>
      <c r="P788" s="9">
        <v>1.5321000000000001E-4</v>
      </c>
      <c r="Q788" s="9">
        <v>1.103E-4</v>
      </c>
      <c r="R788" s="10">
        <v>1.2121715662093512E-4</v>
      </c>
      <c r="S788" s="10">
        <v>1.2241938553411716E-4</v>
      </c>
      <c r="T788" s="10">
        <v>2.4413571380035092E-4</v>
      </c>
      <c r="U788" s="10">
        <v>1.8944E-4</v>
      </c>
      <c r="V788" s="25"/>
      <c r="W788" s="25"/>
      <c r="X788" s="25"/>
      <c r="Y788" s="25"/>
      <c r="Z788" s="25"/>
      <c r="AA788" s="25"/>
    </row>
    <row r="789" spans="1:27" x14ac:dyDescent="0.35">
      <c r="A789" s="5">
        <v>785</v>
      </c>
      <c r="B789" s="5">
        <v>33</v>
      </c>
      <c r="C789" s="5">
        <v>2</v>
      </c>
      <c r="D789" s="25">
        <v>1.1416E-4</v>
      </c>
      <c r="E789" s="25">
        <v>1.2009E-4</v>
      </c>
      <c r="F789" s="25">
        <v>1.0482E-4</v>
      </c>
      <c r="G789" s="25">
        <v>1.5757999999999999E-4</v>
      </c>
      <c r="H789" s="25">
        <v>1.9769000000000001E-4</v>
      </c>
      <c r="I789" s="9">
        <v>1.3726999999999999E-4</v>
      </c>
      <c r="J789" s="9">
        <v>1.4039E-4</v>
      </c>
      <c r="K789" s="9">
        <v>1.9285999999999999E-4</v>
      </c>
      <c r="L789" s="9">
        <v>1.9540000000000001E-4</v>
      </c>
      <c r="M789" s="9">
        <v>1.6226000000000001E-4</v>
      </c>
      <c r="N789" s="9">
        <v>1.5239999999999999E-4</v>
      </c>
      <c r="O789" s="9">
        <v>2.1456000000000001E-4</v>
      </c>
      <c r="P789" s="9">
        <v>1.5878999999999999E-4</v>
      </c>
      <c r="Q789" s="9">
        <v>1.0681E-4</v>
      </c>
      <c r="R789" s="10">
        <v>1.3067987614008201E-4</v>
      </c>
      <c r="S789" s="10">
        <v>1.1725244605821048E-4</v>
      </c>
      <c r="T789" s="10">
        <v>0</v>
      </c>
      <c r="U789" s="10">
        <v>1.8944E-4</v>
      </c>
      <c r="V789" s="25"/>
      <c r="W789" s="25"/>
      <c r="X789" s="25"/>
      <c r="Y789" s="25"/>
      <c r="Z789" s="25"/>
      <c r="AA789" s="25"/>
    </row>
    <row r="790" spans="1:27" x14ac:dyDescent="0.35">
      <c r="A790" s="5">
        <v>786</v>
      </c>
      <c r="B790" s="5">
        <v>33</v>
      </c>
      <c r="C790" s="5">
        <v>2</v>
      </c>
      <c r="D790" s="25">
        <v>1.1415000000000001E-4</v>
      </c>
      <c r="E790" s="25">
        <v>1.1911E-4</v>
      </c>
      <c r="F790" s="25">
        <v>9.4380000000000001E-5</v>
      </c>
      <c r="G790" s="25">
        <v>1.5645000000000001E-4</v>
      </c>
      <c r="H790" s="25">
        <v>1.9782E-4</v>
      </c>
      <c r="I790" s="9">
        <v>1.3956999999999999E-4</v>
      </c>
      <c r="J790" s="9">
        <v>1.4495E-4</v>
      </c>
      <c r="K790" s="9">
        <v>1.8437999999999999E-4</v>
      </c>
      <c r="L790" s="9">
        <v>2.1005000000000001E-4</v>
      </c>
      <c r="M790" s="9">
        <v>1.5951999999999999E-4</v>
      </c>
      <c r="N790" s="9">
        <v>1.3907000000000001E-4</v>
      </c>
      <c r="O790" s="9">
        <v>2.0624E-4</v>
      </c>
      <c r="P790" s="9">
        <v>1.6009999999999999E-4</v>
      </c>
      <c r="Q790" s="9">
        <v>1.1747E-4</v>
      </c>
      <c r="R790" s="10">
        <v>1.2030820119517361E-4</v>
      </c>
      <c r="S790" s="10">
        <v>1.1016414495227709E-4</v>
      </c>
      <c r="T790" s="10">
        <v>0</v>
      </c>
      <c r="U790" s="10">
        <v>1.8944E-4</v>
      </c>
      <c r="V790" s="25"/>
      <c r="W790" s="25"/>
      <c r="X790" s="25"/>
      <c r="Y790" s="25"/>
      <c r="Z790" s="25"/>
      <c r="AA790" s="25"/>
    </row>
    <row r="791" spans="1:27" x14ac:dyDescent="0.35">
      <c r="A791" s="5">
        <v>787</v>
      </c>
      <c r="B791" s="5">
        <v>33</v>
      </c>
      <c r="C791" s="5">
        <v>2</v>
      </c>
      <c r="D791" s="25">
        <v>1.1416E-4</v>
      </c>
      <c r="E791" s="25">
        <v>1.194E-4</v>
      </c>
      <c r="F791" s="25">
        <v>8.8090000000000005E-5</v>
      </c>
      <c r="G791" s="25">
        <v>1.1344E-4</v>
      </c>
      <c r="H791" s="25">
        <v>1.2505E-4</v>
      </c>
      <c r="I791" s="9">
        <v>1.4594E-4</v>
      </c>
      <c r="J791" s="9">
        <v>1.4624000000000001E-4</v>
      </c>
      <c r="K791" s="9">
        <v>1.8650000000000001E-4</v>
      </c>
      <c r="L791" s="9">
        <v>2.0668999999999999E-4</v>
      </c>
      <c r="M791" s="9">
        <v>1.5918E-4</v>
      </c>
      <c r="N791" s="9">
        <v>1.2994999999999999E-4</v>
      </c>
      <c r="O791" s="9">
        <v>1.6519000000000001E-4</v>
      </c>
      <c r="P791" s="9">
        <v>1.3484E-4</v>
      </c>
      <c r="Q791" s="9">
        <v>1.0702E-4</v>
      </c>
      <c r="R791" s="10">
        <v>1.0625112921736026E-4</v>
      </c>
      <c r="S791" s="10">
        <v>1.03149077367047E-4</v>
      </c>
      <c r="T791" s="10">
        <v>0</v>
      </c>
      <c r="U791" s="10">
        <v>1.8944E-4</v>
      </c>
      <c r="V791" s="25"/>
      <c r="W791" s="25"/>
      <c r="X791" s="25"/>
      <c r="Y791" s="25"/>
      <c r="Z791" s="25"/>
      <c r="AA791" s="25"/>
    </row>
    <row r="792" spans="1:27" x14ac:dyDescent="0.35">
      <c r="A792" s="5">
        <v>788</v>
      </c>
      <c r="B792" s="5">
        <v>33</v>
      </c>
      <c r="C792" s="5">
        <v>2</v>
      </c>
      <c r="D792" s="25">
        <v>1.1415000000000001E-4</v>
      </c>
      <c r="E792" s="25">
        <v>1.2171E-4</v>
      </c>
      <c r="F792" s="25">
        <v>9.2499999999999999E-5</v>
      </c>
      <c r="G792" s="25">
        <v>1.0925E-4</v>
      </c>
      <c r="H792" s="25">
        <v>1.2789999999999999E-4</v>
      </c>
      <c r="I792" s="9">
        <v>1.4153000000000001E-4</v>
      </c>
      <c r="J792" s="9">
        <v>1.4238E-4</v>
      </c>
      <c r="K792" s="9">
        <v>1.8437999999999999E-4</v>
      </c>
      <c r="L792" s="9">
        <v>1.7450000000000001E-4</v>
      </c>
      <c r="M792" s="9">
        <v>1.5048000000000001E-4</v>
      </c>
      <c r="N792" s="9">
        <v>1.2082999999999999E-4</v>
      </c>
      <c r="O792" s="9">
        <v>1.2931999999999999E-4</v>
      </c>
      <c r="P792" s="9">
        <v>1.147E-4</v>
      </c>
      <c r="Q792" s="9">
        <v>1.0175000000000001E-4</v>
      </c>
      <c r="R792" s="10">
        <v>9.8835167096674752E-5</v>
      </c>
      <c r="S792" s="10">
        <v>9.3146492762466524E-5</v>
      </c>
      <c r="T792" s="10">
        <v>0</v>
      </c>
      <c r="U792" s="10">
        <v>1.8944E-4</v>
      </c>
      <c r="V792" s="25"/>
      <c r="W792" s="25"/>
      <c r="X792" s="25"/>
      <c r="Y792" s="25"/>
      <c r="Z792" s="25"/>
      <c r="AA792" s="25"/>
    </row>
    <row r="793" spans="1:27" x14ac:dyDescent="0.35">
      <c r="A793" s="5">
        <v>789</v>
      </c>
      <c r="B793" s="5">
        <v>33</v>
      </c>
      <c r="C793" s="5">
        <v>2</v>
      </c>
      <c r="D793" s="25">
        <v>1.1416E-4</v>
      </c>
      <c r="E793" s="25">
        <v>1.1899E-4</v>
      </c>
      <c r="F793" s="25">
        <v>9.2150000000000004E-5</v>
      </c>
      <c r="G793" s="25">
        <v>5.2840000000000002E-5</v>
      </c>
      <c r="H793" s="25">
        <v>7.3730000000000001E-5</v>
      </c>
      <c r="I793" s="9">
        <v>1.3467000000000001E-4</v>
      </c>
      <c r="J793" s="9">
        <v>1.3599E-4</v>
      </c>
      <c r="K793" s="9">
        <v>1.9073000000000001E-4</v>
      </c>
      <c r="L793" s="9">
        <v>1.4024999999999999E-4</v>
      </c>
      <c r="M793" s="9">
        <v>1.3517E-4</v>
      </c>
      <c r="N793" s="9">
        <v>1.1313E-4</v>
      </c>
      <c r="O793" s="9">
        <v>8.4229999999999998E-5</v>
      </c>
      <c r="P793" s="9">
        <v>8.5560000000000001E-5</v>
      </c>
      <c r="Q793" s="9">
        <v>8.7540000000000006E-5</v>
      </c>
      <c r="R793" s="10">
        <v>9.1339339875978775E-5</v>
      </c>
      <c r="S793" s="10">
        <v>8.47126295649672E-5</v>
      </c>
      <c r="T793" s="10">
        <v>0</v>
      </c>
      <c r="U793" s="10">
        <v>1.8944E-4</v>
      </c>
      <c r="V793" s="25"/>
      <c r="W793" s="25"/>
      <c r="X793" s="25"/>
      <c r="Y793" s="25"/>
      <c r="Z793" s="25"/>
      <c r="AA793" s="25"/>
    </row>
    <row r="794" spans="1:27" x14ac:dyDescent="0.35">
      <c r="A794" s="5">
        <v>790</v>
      </c>
      <c r="B794" s="5">
        <v>33</v>
      </c>
      <c r="C794" s="5">
        <v>2</v>
      </c>
      <c r="D794" s="25">
        <v>1.1415000000000001E-4</v>
      </c>
      <c r="E794" s="25">
        <v>1.1343E-4</v>
      </c>
      <c r="F794" s="25">
        <v>1.1025E-4</v>
      </c>
      <c r="G794" s="25">
        <v>5.223E-5</v>
      </c>
      <c r="H794" s="25">
        <v>6.4529999999999994E-5</v>
      </c>
      <c r="I794" s="9">
        <v>1.2816999999999999E-4</v>
      </c>
      <c r="J794" s="9">
        <v>1.2803000000000001E-4</v>
      </c>
      <c r="K794" s="9">
        <v>1.8861999999999999E-4</v>
      </c>
      <c r="L794" s="9">
        <v>9.7479999999999995E-5</v>
      </c>
      <c r="M794" s="9">
        <v>1.1338E-4</v>
      </c>
      <c r="N794" s="9">
        <v>1.0535E-4</v>
      </c>
      <c r="O794" s="9">
        <v>8.7219999999999995E-5</v>
      </c>
      <c r="P794" s="9">
        <v>8.7150000000000004E-5</v>
      </c>
      <c r="Q794" s="9">
        <v>8.7789999999999998E-5</v>
      </c>
      <c r="R794" s="10">
        <v>8.6947806729787661E-5</v>
      </c>
      <c r="S794" s="10">
        <v>7.8724362089293486E-5</v>
      </c>
      <c r="T794" s="10">
        <v>0</v>
      </c>
      <c r="U794" s="10">
        <v>1.8944E-4</v>
      </c>
      <c r="V794" s="25"/>
      <c r="W794" s="25"/>
      <c r="X794" s="25"/>
      <c r="Y794" s="25"/>
      <c r="Z794" s="25"/>
      <c r="AA794" s="25"/>
    </row>
    <row r="795" spans="1:27" x14ac:dyDescent="0.35">
      <c r="A795" s="5">
        <v>791</v>
      </c>
      <c r="B795" s="5">
        <v>33</v>
      </c>
      <c r="C795" s="5">
        <v>2</v>
      </c>
      <c r="D795" s="25">
        <v>1.1416E-4</v>
      </c>
      <c r="E795" s="25">
        <v>1.1673E-4</v>
      </c>
      <c r="F795" s="25">
        <v>1.0730000000000001E-4</v>
      </c>
      <c r="G795" s="25">
        <v>5.6409999999999997E-5</v>
      </c>
      <c r="H795" s="25">
        <v>6.9129999999999997E-5</v>
      </c>
      <c r="I795" s="9">
        <v>1.2877E-4</v>
      </c>
      <c r="J795" s="9">
        <v>1.1836999999999999E-4</v>
      </c>
      <c r="K795" s="9">
        <v>1.8861999999999999E-4</v>
      </c>
      <c r="L795" s="9">
        <v>9.0439999999999995E-5</v>
      </c>
      <c r="M795" s="9">
        <v>9.8579999999999995E-5</v>
      </c>
      <c r="N795" s="9">
        <v>9.9480000000000003E-5</v>
      </c>
      <c r="O795" s="9">
        <v>7.7669999999999993E-5</v>
      </c>
      <c r="P795" s="9">
        <v>7.1799999999999997E-5</v>
      </c>
      <c r="Q795" s="9">
        <v>6.6569999999999995E-5</v>
      </c>
      <c r="R795" s="10">
        <v>8.4309053379938607E-5</v>
      </c>
      <c r="S795" s="10">
        <v>7.8644554275255618E-5</v>
      </c>
      <c r="T795" s="10">
        <v>0</v>
      </c>
      <c r="U795" s="10">
        <v>1.8944E-4</v>
      </c>
      <c r="V795" s="25"/>
      <c r="W795" s="25"/>
      <c r="X795" s="25"/>
      <c r="Y795" s="25"/>
      <c r="Z795" s="25"/>
      <c r="AA795" s="25"/>
    </row>
    <row r="796" spans="1:27" x14ac:dyDescent="0.35">
      <c r="A796" s="5">
        <v>792</v>
      </c>
      <c r="B796" s="5">
        <v>33</v>
      </c>
      <c r="C796" s="5">
        <v>2</v>
      </c>
      <c r="D796" s="25">
        <v>1.1415000000000001E-4</v>
      </c>
      <c r="E796" s="25">
        <v>1.1922E-4</v>
      </c>
      <c r="F796" s="25">
        <v>1.1005000000000001E-4</v>
      </c>
      <c r="G796" s="25">
        <v>5.2349999999999999E-5</v>
      </c>
      <c r="H796" s="25">
        <v>7.5229999999999996E-5</v>
      </c>
      <c r="I796" s="9">
        <v>1.2768999999999999E-4</v>
      </c>
      <c r="J796" s="9">
        <v>1.1004E-4</v>
      </c>
      <c r="K796" s="9">
        <v>2.0981999999999999E-4</v>
      </c>
      <c r="L796" s="9">
        <v>8.0459999999999999E-5</v>
      </c>
      <c r="M796" s="9">
        <v>8.5680000000000006E-5</v>
      </c>
      <c r="N796" s="9">
        <v>9.0190000000000002E-5</v>
      </c>
      <c r="O796" s="9">
        <v>6.3250000000000006E-5</v>
      </c>
      <c r="P796" s="9">
        <v>6.1099999999999994E-5</v>
      </c>
      <c r="Q796" s="9">
        <v>5.927E-5</v>
      </c>
      <c r="R796" s="10">
        <v>7.4258220273966215E-5</v>
      </c>
      <c r="S796" s="10">
        <v>9.5236850330935514E-5</v>
      </c>
      <c r="T796" s="10">
        <v>0</v>
      </c>
      <c r="U796" s="10">
        <v>1.8944E-4</v>
      </c>
      <c r="V796" s="25"/>
      <c r="W796" s="25"/>
      <c r="X796" s="25"/>
      <c r="Y796" s="25"/>
      <c r="Z796" s="25"/>
      <c r="AA796" s="25"/>
    </row>
    <row r="797" spans="1:27" x14ac:dyDescent="0.35">
      <c r="A797" s="5">
        <v>793</v>
      </c>
      <c r="B797" s="5">
        <v>34</v>
      </c>
      <c r="C797" s="5">
        <v>2</v>
      </c>
      <c r="D797" s="25">
        <v>1.1416E-4</v>
      </c>
      <c r="E797" s="25">
        <v>1.083E-4</v>
      </c>
      <c r="F797" s="25">
        <v>1.0147E-4</v>
      </c>
      <c r="G797" s="25">
        <v>5.931E-5</v>
      </c>
      <c r="H797" s="25">
        <v>4.0500000000000002E-5</v>
      </c>
      <c r="I797" s="9">
        <v>1.2034E-4</v>
      </c>
      <c r="J797" s="9">
        <v>1.036E-4</v>
      </c>
      <c r="K797" s="9">
        <v>1.9709999999999999E-4</v>
      </c>
      <c r="L797" s="9">
        <v>6.703E-5</v>
      </c>
      <c r="M797" s="9">
        <v>7.3880000000000004E-5</v>
      </c>
      <c r="N797" s="9">
        <v>8.0929999999999999E-5</v>
      </c>
      <c r="O797" s="9">
        <v>6.8629999999999999E-5</v>
      </c>
      <c r="P797" s="9">
        <v>6.1099999999999994E-5</v>
      </c>
      <c r="Q797" s="9">
        <v>5.3890000000000001E-5</v>
      </c>
      <c r="R797" s="10">
        <v>6.9009174011583642E-5</v>
      </c>
      <c r="S797" s="10">
        <v>1.0257359213501652E-4</v>
      </c>
      <c r="T797" s="10">
        <v>0</v>
      </c>
      <c r="U797" s="10">
        <v>1.8997E-4</v>
      </c>
      <c r="V797" s="25"/>
      <c r="W797" s="25"/>
      <c r="X797" s="25"/>
      <c r="Y797" s="25"/>
      <c r="Z797" s="25"/>
      <c r="AA797" s="25"/>
    </row>
    <row r="798" spans="1:27" x14ac:dyDescent="0.35">
      <c r="A798" s="5">
        <v>794</v>
      </c>
      <c r="B798" s="5">
        <v>34</v>
      </c>
      <c r="C798" s="5">
        <v>2</v>
      </c>
      <c r="D798" s="25">
        <v>1.1415000000000001E-4</v>
      </c>
      <c r="E798" s="25">
        <v>1.0818E-4</v>
      </c>
      <c r="F798" s="25">
        <v>8.3319999999999995E-5</v>
      </c>
      <c r="G798" s="25">
        <v>5.431E-5</v>
      </c>
      <c r="H798" s="25">
        <v>3.9700000000000003E-5</v>
      </c>
      <c r="I798" s="9">
        <v>1.1430999999999999E-4</v>
      </c>
      <c r="J798" s="9">
        <v>9.9220000000000002E-5</v>
      </c>
      <c r="K798" s="9">
        <v>1.9074000000000001E-4</v>
      </c>
      <c r="L798" s="9">
        <v>6.8639999999999993E-5</v>
      </c>
      <c r="M798" s="9">
        <v>6.6489999999999995E-5</v>
      </c>
      <c r="N798" s="9">
        <v>7.1989999999999993E-5</v>
      </c>
      <c r="O798" s="9">
        <v>3.5129999999999997E-5</v>
      </c>
      <c r="P798" s="9">
        <v>4.6079999999999999E-5</v>
      </c>
      <c r="Q798" s="9">
        <v>5.6480000000000001E-5</v>
      </c>
      <c r="R798" s="10">
        <v>6.7976504788520921E-5</v>
      </c>
      <c r="S798" s="10">
        <v>1.0663814744098007E-4</v>
      </c>
      <c r="T798" s="10">
        <v>0</v>
      </c>
      <c r="U798" s="10">
        <v>1.8997E-4</v>
      </c>
      <c r="V798" s="25"/>
      <c r="W798" s="25"/>
      <c r="X798" s="25"/>
      <c r="Y798" s="25"/>
      <c r="Z798" s="25"/>
      <c r="AA798" s="25"/>
    </row>
    <row r="799" spans="1:27" x14ac:dyDescent="0.35">
      <c r="A799" s="5">
        <v>795</v>
      </c>
      <c r="B799" s="5">
        <v>34</v>
      </c>
      <c r="C799" s="5">
        <v>2</v>
      </c>
      <c r="D799" s="25">
        <v>1.1416E-4</v>
      </c>
      <c r="E799" s="25">
        <v>1.0548E-4</v>
      </c>
      <c r="F799" s="25">
        <v>9.9889999999999994E-5</v>
      </c>
      <c r="G799" s="25">
        <v>6.0800000000000001E-5</v>
      </c>
      <c r="H799" s="25">
        <v>4.4270000000000001E-5</v>
      </c>
      <c r="I799" s="9">
        <v>1.0975E-4</v>
      </c>
      <c r="J799" s="9">
        <v>9.6570000000000005E-5</v>
      </c>
      <c r="K799" s="9">
        <v>1.8861999999999999E-4</v>
      </c>
      <c r="L799" s="9">
        <v>4.2410000000000002E-5</v>
      </c>
      <c r="M799" s="9">
        <v>5.7580000000000001E-5</v>
      </c>
      <c r="N799" s="9">
        <v>6.5560000000000002E-5</v>
      </c>
      <c r="O799" s="9">
        <v>2.1840000000000001E-5</v>
      </c>
      <c r="P799" s="9">
        <v>4.2400000000000001E-5</v>
      </c>
      <c r="Q799" s="9">
        <v>6.2030000000000001E-5</v>
      </c>
      <c r="R799" s="10">
        <v>6.8663496954961438E-5</v>
      </c>
      <c r="S799" s="10">
        <v>1.0636966063730078E-4</v>
      </c>
      <c r="T799" s="10">
        <v>0</v>
      </c>
      <c r="U799" s="10">
        <v>1.8997E-4</v>
      </c>
      <c r="V799" s="25"/>
      <c r="W799" s="25"/>
      <c r="X799" s="25"/>
      <c r="Y799" s="25"/>
      <c r="Z799" s="25"/>
      <c r="AA799" s="25"/>
    </row>
    <row r="800" spans="1:27" x14ac:dyDescent="0.35">
      <c r="A800" s="5">
        <v>796</v>
      </c>
      <c r="B800" s="5">
        <v>34</v>
      </c>
      <c r="C800" s="5">
        <v>2</v>
      </c>
      <c r="D800" s="25">
        <v>1.1415000000000001E-4</v>
      </c>
      <c r="E800" s="25">
        <v>1.1004E-4</v>
      </c>
      <c r="F800" s="25">
        <v>8.0409999999999998E-5</v>
      </c>
      <c r="G800" s="25">
        <v>5.8680000000000001E-5</v>
      </c>
      <c r="H800" s="25">
        <v>4.248E-5</v>
      </c>
      <c r="I800" s="9">
        <v>1.0833E-4</v>
      </c>
      <c r="J800" s="9">
        <v>9.5879999999999997E-5</v>
      </c>
      <c r="K800" s="9">
        <v>1.8650000000000001E-4</v>
      </c>
      <c r="L800" s="9">
        <v>2.6999999999999999E-5</v>
      </c>
      <c r="M800" s="9">
        <v>5.0000000000000002E-5</v>
      </c>
      <c r="N800" s="9">
        <v>6.2130000000000003E-5</v>
      </c>
      <c r="O800" s="9">
        <v>2.1060000000000002E-5</v>
      </c>
      <c r="P800" s="9">
        <v>5.1109999999999997E-5</v>
      </c>
      <c r="Q800" s="9">
        <v>8.0069999999999997E-5</v>
      </c>
      <c r="R800" s="10">
        <v>6.2639542809095491E-5</v>
      </c>
      <c r="S800" s="10">
        <v>1.0969702524741515E-4</v>
      </c>
      <c r="T800" s="10">
        <v>0</v>
      </c>
      <c r="U800" s="10">
        <v>1.8997E-4</v>
      </c>
      <c r="V800" s="25"/>
      <c r="W800" s="25"/>
      <c r="X800" s="25"/>
      <c r="Y800" s="25"/>
      <c r="Z800" s="25"/>
      <c r="AA800" s="25"/>
    </row>
    <row r="801" spans="1:27" x14ac:dyDescent="0.35">
      <c r="A801" s="5">
        <v>797</v>
      </c>
      <c r="B801" s="5">
        <v>34</v>
      </c>
      <c r="C801" s="5">
        <v>2</v>
      </c>
      <c r="D801" s="25">
        <v>1.1416E-4</v>
      </c>
      <c r="E801" s="25">
        <v>1.1389E-4</v>
      </c>
      <c r="F801" s="25">
        <v>9.5719999999999998E-5</v>
      </c>
      <c r="G801" s="25">
        <v>6.3449999999999997E-5</v>
      </c>
      <c r="H801" s="25">
        <v>4.3720000000000002E-5</v>
      </c>
      <c r="I801" s="9">
        <v>1.0956E-4</v>
      </c>
      <c r="J801" s="9">
        <v>9.6440000000000005E-5</v>
      </c>
      <c r="K801" s="9">
        <v>1.8861999999999999E-4</v>
      </c>
      <c r="L801" s="9">
        <v>2.283E-5</v>
      </c>
      <c r="M801" s="9">
        <v>4.8590000000000001E-5</v>
      </c>
      <c r="N801" s="9">
        <v>6.4610000000000007E-5</v>
      </c>
      <c r="O801" s="9">
        <v>2.2840000000000002E-5</v>
      </c>
      <c r="P801" s="9">
        <v>5.8400000000000003E-5</v>
      </c>
      <c r="Q801" s="9">
        <v>9.2810000000000001E-5</v>
      </c>
      <c r="R801" s="10">
        <v>5.6242950682931176E-5</v>
      </c>
      <c r="S801" s="10">
        <v>1.121092914860212E-4</v>
      </c>
      <c r="T801" s="10">
        <v>0</v>
      </c>
      <c r="U801" s="10">
        <v>1.8997E-4</v>
      </c>
      <c r="V801" s="25"/>
      <c r="W801" s="25"/>
      <c r="X801" s="25"/>
      <c r="Y801" s="25"/>
      <c r="Z801" s="25"/>
      <c r="AA801" s="25"/>
    </row>
    <row r="802" spans="1:27" x14ac:dyDescent="0.35">
      <c r="A802" s="5">
        <v>798</v>
      </c>
      <c r="B802" s="5">
        <v>34</v>
      </c>
      <c r="C802" s="5">
        <v>2</v>
      </c>
      <c r="D802" s="25">
        <v>1.1415000000000001E-4</v>
      </c>
      <c r="E802" s="25">
        <v>1.1252E-4</v>
      </c>
      <c r="F802" s="25">
        <v>9.6039999999999995E-5</v>
      </c>
      <c r="G802" s="25">
        <v>1.0721E-4</v>
      </c>
      <c r="H802" s="25">
        <v>8.2739999999999997E-5</v>
      </c>
      <c r="I802" s="9">
        <v>1.1516E-4</v>
      </c>
      <c r="J802" s="9">
        <v>1.0069999999999999E-4</v>
      </c>
      <c r="K802" s="9">
        <v>1.8437999999999999E-4</v>
      </c>
      <c r="L802" s="9">
        <v>2.2770000000000001E-5</v>
      </c>
      <c r="M802" s="9">
        <v>5.2080000000000003E-5</v>
      </c>
      <c r="N802" s="9">
        <v>7.0950000000000003E-5</v>
      </c>
      <c r="O802" s="9">
        <v>2.9689999999999999E-5</v>
      </c>
      <c r="P802" s="9">
        <v>6.9400000000000006E-5</v>
      </c>
      <c r="Q802" s="9">
        <v>1.0801E-4</v>
      </c>
      <c r="R802" s="10">
        <v>4.7809159661203816E-5</v>
      </c>
      <c r="S802" s="10">
        <v>1.1172602195403883E-4</v>
      </c>
      <c r="T802" s="10">
        <v>0</v>
      </c>
      <c r="U802" s="10">
        <v>1.8997E-4</v>
      </c>
      <c r="V802" s="25"/>
      <c r="W802" s="25"/>
      <c r="X802" s="25"/>
      <c r="Y802" s="25"/>
      <c r="Z802" s="25"/>
      <c r="AA802" s="25"/>
    </row>
    <row r="803" spans="1:27" x14ac:dyDescent="0.35">
      <c r="A803" s="5">
        <v>799</v>
      </c>
      <c r="B803" s="5">
        <v>34</v>
      </c>
      <c r="C803" s="5">
        <v>2</v>
      </c>
      <c r="D803" s="25">
        <v>1.1416E-4</v>
      </c>
      <c r="E803" s="25">
        <v>1.094E-4</v>
      </c>
      <c r="F803" s="25">
        <v>9.4220000000000003E-5</v>
      </c>
      <c r="G803" s="25">
        <v>1.1275E-4</v>
      </c>
      <c r="H803" s="25">
        <v>7.8440000000000001E-5</v>
      </c>
      <c r="I803" s="9">
        <v>1.2768E-4</v>
      </c>
      <c r="J803" s="9">
        <v>1.1276E-4</v>
      </c>
      <c r="K803" s="9">
        <v>1.9074000000000001E-4</v>
      </c>
      <c r="L803" s="9">
        <v>2.8070000000000001E-5</v>
      </c>
      <c r="M803" s="9">
        <v>5.9349999999999999E-5</v>
      </c>
      <c r="N803" s="9">
        <v>8.0840000000000005E-5</v>
      </c>
      <c r="O803" s="9">
        <v>4.5920000000000001E-5</v>
      </c>
      <c r="P803" s="9">
        <v>7.9400000000000006E-5</v>
      </c>
      <c r="Q803" s="9">
        <v>1.1215E-4</v>
      </c>
      <c r="R803" s="10">
        <v>3.9901560916722978E-5</v>
      </c>
      <c r="S803" s="10">
        <v>1.1212904515311417E-4</v>
      </c>
      <c r="T803" s="10">
        <v>0</v>
      </c>
      <c r="U803" s="10">
        <v>1.8997E-4</v>
      </c>
      <c r="V803" s="25"/>
      <c r="W803" s="25"/>
      <c r="X803" s="25"/>
      <c r="Y803" s="25"/>
      <c r="Z803" s="25"/>
      <c r="AA803" s="25"/>
    </row>
    <row r="804" spans="1:27" x14ac:dyDescent="0.35">
      <c r="A804" s="5">
        <v>800</v>
      </c>
      <c r="B804" s="5">
        <v>34</v>
      </c>
      <c r="C804" s="5">
        <v>2</v>
      </c>
      <c r="D804" s="25">
        <v>1.1415000000000001E-4</v>
      </c>
      <c r="E804" s="25">
        <v>1.0771E-4</v>
      </c>
      <c r="F804" s="25">
        <v>1.0009E-4</v>
      </c>
      <c r="G804" s="25">
        <v>1.6189000000000001E-4</v>
      </c>
      <c r="H804" s="25">
        <v>1.1773999999999999E-4</v>
      </c>
      <c r="I804" s="9">
        <v>1.3923000000000001E-4</v>
      </c>
      <c r="J804" s="9">
        <v>1.3107E-4</v>
      </c>
      <c r="K804" s="9">
        <v>1.9285E-4</v>
      </c>
      <c r="L804" s="9">
        <v>4.1839999999999999E-5</v>
      </c>
      <c r="M804" s="9">
        <v>6.8399999999999996E-5</v>
      </c>
      <c r="N804" s="9">
        <v>9.0840000000000004E-5</v>
      </c>
      <c r="O804" s="9">
        <v>6.8289999999999998E-5</v>
      </c>
      <c r="P804" s="9">
        <v>1.0268999999999999E-4</v>
      </c>
      <c r="Q804" s="9">
        <v>1.3674E-4</v>
      </c>
      <c r="R804" s="10">
        <v>3.5571578398028171E-5</v>
      </c>
      <c r="S804" s="10">
        <v>1.132667674801407E-4</v>
      </c>
      <c r="T804" s="10">
        <v>0</v>
      </c>
      <c r="U804" s="10">
        <v>1.8997E-4</v>
      </c>
      <c r="V804" s="25"/>
      <c r="W804" s="25"/>
      <c r="X804" s="25"/>
      <c r="Y804" s="25"/>
      <c r="Z804" s="25"/>
      <c r="AA804" s="25"/>
    </row>
    <row r="805" spans="1:27" x14ac:dyDescent="0.35">
      <c r="A805" s="5">
        <v>801</v>
      </c>
      <c r="B805" s="5">
        <v>34</v>
      </c>
      <c r="C805" s="5">
        <v>2</v>
      </c>
      <c r="D805" s="25">
        <v>1.1416E-4</v>
      </c>
      <c r="E805" s="25">
        <v>1.1058E-4</v>
      </c>
      <c r="F805" s="25">
        <v>9.1349999999999998E-5</v>
      </c>
      <c r="G805" s="25">
        <v>1.5744000000000001E-4</v>
      </c>
      <c r="H805" s="25">
        <v>1.1527E-4</v>
      </c>
      <c r="I805" s="9">
        <v>1.4236000000000001E-4</v>
      </c>
      <c r="J805" s="9">
        <v>1.4112E-4</v>
      </c>
      <c r="K805" s="9">
        <v>1.8226000000000001E-4</v>
      </c>
      <c r="L805" s="9">
        <v>6.2100000000000005E-5</v>
      </c>
      <c r="M805" s="9">
        <v>8.2990000000000003E-5</v>
      </c>
      <c r="N805" s="9">
        <v>1.0457E-4</v>
      </c>
      <c r="O805" s="9">
        <v>1.0082E-4</v>
      </c>
      <c r="P805" s="9">
        <v>1.3939000000000001E-4</v>
      </c>
      <c r="Q805" s="9">
        <v>1.7809E-4</v>
      </c>
      <c r="R805" s="10">
        <v>3.002914371679919E-5</v>
      </c>
      <c r="S805" s="10">
        <v>1.1777229887859002E-4</v>
      </c>
      <c r="T805" s="10">
        <v>1.5852913335741292E-4</v>
      </c>
      <c r="U805" s="10">
        <v>1.8997E-4</v>
      </c>
      <c r="V805" s="25"/>
      <c r="W805" s="25"/>
      <c r="X805" s="25"/>
      <c r="Y805" s="25"/>
      <c r="Z805" s="25"/>
      <c r="AA805" s="25"/>
    </row>
    <row r="806" spans="1:27" x14ac:dyDescent="0.35">
      <c r="A806" s="5">
        <v>802</v>
      </c>
      <c r="B806" s="5">
        <v>34</v>
      </c>
      <c r="C806" s="5">
        <v>2</v>
      </c>
      <c r="D806" s="25">
        <v>1.1415000000000001E-4</v>
      </c>
      <c r="E806" s="25">
        <v>1.0946999999999999E-4</v>
      </c>
      <c r="F806" s="25">
        <v>1.0266E-4</v>
      </c>
      <c r="G806" s="25">
        <v>1.6621999999999999E-4</v>
      </c>
      <c r="H806" s="25">
        <v>1.1637999999999999E-4</v>
      </c>
      <c r="I806" s="9">
        <v>1.4323999999999999E-4</v>
      </c>
      <c r="J806" s="9">
        <v>1.4355999999999999E-4</v>
      </c>
      <c r="K806" s="9">
        <v>1.7379E-4</v>
      </c>
      <c r="L806" s="9">
        <v>9.1769999999999997E-5</v>
      </c>
      <c r="M806" s="9">
        <v>1.0697E-4</v>
      </c>
      <c r="N806" s="9">
        <v>1.2485E-4</v>
      </c>
      <c r="O806" s="9">
        <v>1.2882E-4</v>
      </c>
      <c r="P806" s="9">
        <v>1.5483000000000001E-4</v>
      </c>
      <c r="Q806" s="9">
        <v>1.8166999999999999E-4</v>
      </c>
      <c r="R806" s="10">
        <v>2.4981864694250759E-5</v>
      </c>
      <c r="S806" s="10">
        <v>1.2434634488609395E-4</v>
      </c>
      <c r="T806" s="10">
        <v>2.594329055286579E-4</v>
      </c>
      <c r="U806" s="10">
        <v>1.8997E-4</v>
      </c>
      <c r="V806" s="25"/>
      <c r="W806" s="25"/>
      <c r="X806" s="25"/>
      <c r="Y806" s="25"/>
      <c r="Z806" s="25"/>
      <c r="AA806" s="25"/>
    </row>
    <row r="807" spans="1:27" x14ac:dyDescent="0.35">
      <c r="A807" s="5">
        <v>803</v>
      </c>
      <c r="B807" s="5">
        <v>34</v>
      </c>
      <c r="C807" s="5">
        <v>2</v>
      </c>
      <c r="D807" s="25">
        <v>1.1416E-4</v>
      </c>
      <c r="E807" s="25">
        <v>1.1315E-4</v>
      </c>
      <c r="F807" s="25">
        <v>8.9270000000000004E-5</v>
      </c>
      <c r="G807" s="25">
        <v>1.5742999999999999E-4</v>
      </c>
      <c r="H807" s="25">
        <v>1.1737E-4</v>
      </c>
      <c r="I807" s="9">
        <v>1.4238E-4</v>
      </c>
      <c r="J807" s="9">
        <v>1.4262000000000001E-4</v>
      </c>
      <c r="K807" s="9">
        <v>1.6107E-4</v>
      </c>
      <c r="L807" s="9">
        <v>1.1993999999999999E-4</v>
      </c>
      <c r="M807" s="9">
        <v>1.3027000000000001E-4</v>
      </c>
      <c r="N807" s="9">
        <v>1.4284000000000001E-4</v>
      </c>
      <c r="O807" s="9">
        <v>1.381E-4</v>
      </c>
      <c r="P807" s="9">
        <v>1.5866E-4</v>
      </c>
      <c r="Q807" s="9">
        <v>1.8028E-4</v>
      </c>
      <c r="R807" s="10">
        <v>1.843007859371192E-5</v>
      </c>
      <c r="S807" s="10">
        <v>1.2749051590790536E-4</v>
      </c>
      <c r="T807" s="10">
        <v>4.0746696058994449E-4</v>
      </c>
      <c r="U807" s="10">
        <v>1.8997E-4</v>
      </c>
      <c r="V807" s="25"/>
      <c r="W807" s="25"/>
      <c r="X807" s="25"/>
      <c r="Y807" s="25"/>
      <c r="Z807" s="25"/>
      <c r="AA807" s="25"/>
    </row>
    <row r="808" spans="1:27" x14ac:dyDescent="0.35">
      <c r="A808" s="5">
        <v>804</v>
      </c>
      <c r="B808" s="5">
        <v>34</v>
      </c>
      <c r="C808" s="5">
        <v>2</v>
      </c>
      <c r="D808" s="25">
        <v>1.1415000000000001E-4</v>
      </c>
      <c r="E808" s="25">
        <v>1.0778E-4</v>
      </c>
      <c r="F808" s="25">
        <v>9.0779999999999995E-5</v>
      </c>
      <c r="G808" s="25">
        <v>1.6018E-4</v>
      </c>
      <c r="H808" s="25">
        <v>1.1771E-4</v>
      </c>
      <c r="I808" s="9">
        <v>1.4205000000000001E-4</v>
      </c>
      <c r="J808" s="9">
        <v>1.4174000000000001E-4</v>
      </c>
      <c r="K808" s="9">
        <v>1.5048000000000001E-4</v>
      </c>
      <c r="L808" s="9">
        <v>1.3344999999999999E-4</v>
      </c>
      <c r="M808" s="9">
        <v>1.4599E-4</v>
      </c>
      <c r="N808" s="9">
        <v>1.5705E-4</v>
      </c>
      <c r="O808" s="9">
        <v>1.3831999999999999E-4</v>
      </c>
      <c r="P808" s="9">
        <v>1.5531E-4</v>
      </c>
      <c r="Q808" s="9">
        <v>1.7343E-4</v>
      </c>
      <c r="R808" s="10">
        <v>1.194560694690958E-5</v>
      </c>
      <c r="S808" s="10">
        <v>1.1793693109714282E-4</v>
      </c>
      <c r="T808" s="10">
        <v>5.5801236825887336E-4</v>
      </c>
      <c r="U808" s="10">
        <v>1.8997E-4</v>
      </c>
      <c r="V808" s="25"/>
      <c r="W808" s="25"/>
      <c r="X808" s="25"/>
      <c r="Y808" s="25"/>
      <c r="Z808" s="25"/>
      <c r="AA808" s="25"/>
    </row>
    <row r="809" spans="1:27" x14ac:dyDescent="0.35">
      <c r="A809" s="5">
        <v>805</v>
      </c>
      <c r="B809" s="5">
        <v>34</v>
      </c>
      <c r="C809" s="5">
        <v>2</v>
      </c>
      <c r="D809" s="25">
        <v>1.1416E-4</v>
      </c>
      <c r="E809" s="25">
        <v>1.12E-4</v>
      </c>
      <c r="F809" s="25">
        <v>9.3460000000000003E-5</v>
      </c>
      <c r="G809" s="25">
        <v>1.616E-4</v>
      </c>
      <c r="H809" s="25">
        <v>1.1929E-4</v>
      </c>
      <c r="I809" s="9">
        <v>1.3726E-4</v>
      </c>
      <c r="J809" s="9">
        <v>1.4092999999999999E-4</v>
      </c>
      <c r="K809" s="9">
        <v>1.4622999999999999E-4</v>
      </c>
      <c r="L809" s="9">
        <v>1.3705999999999999E-4</v>
      </c>
      <c r="M809" s="9">
        <v>1.5270999999999999E-4</v>
      </c>
      <c r="N809" s="9">
        <v>1.6632999999999999E-4</v>
      </c>
      <c r="O809" s="9">
        <v>1.3079000000000001E-4</v>
      </c>
      <c r="P809" s="9">
        <v>1.4876000000000001E-4</v>
      </c>
      <c r="Q809" s="9">
        <v>1.6772E-4</v>
      </c>
      <c r="R809" s="10">
        <v>1.1869999660018102E-5</v>
      </c>
      <c r="S809" s="10">
        <v>1.1172304386586155E-4</v>
      </c>
      <c r="T809" s="10">
        <v>5.9261134100875449E-4</v>
      </c>
      <c r="U809" s="10">
        <v>1.8997E-4</v>
      </c>
      <c r="V809" s="25"/>
      <c r="W809" s="25"/>
      <c r="X809" s="25"/>
      <c r="Y809" s="25"/>
      <c r="Z809" s="25"/>
      <c r="AA809" s="25"/>
    </row>
    <row r="810" spans="1:27" x14ac:dyDescent="0.35">
      <c r="A810" s="5">
        <v>806</v>
      </c>
      <c r="B810" s="5">
        <v>34</v>
      </c>
      <c r="C810" s="5">
        <v>2</v>
      </c>
      <c r="D810" s="25">
        <v>1.1415000000000001E-4</v>
      </c>
      <c r="E810" s="25">
        <v>1.0870999999999999E-4</v>
      </c>
      <c r="F810" s="25">
        <v>8.7739999999999997E-5</v>
      </c>
      <c r="G810" s="25">
        <v>1.6344999999999999E-4</v>
      </c>
      <c r="H810" s="25">
        <v>1.1347E-4</v>
      </c>
      <c r="I810" s="9">
        <v>1.3831999999999999E-4</v>
      </c>
      <c r="J810" s="9">
        <v>1.4164000000000001E-4</v>
      </c>
      <c r="K810" s="9">
        <v>1.4836E-4</v>
      </c>
      <c r="L810" s="9">
        <v>1.3223999999999999E-4</v>
      </c>
      <c r="M810" s="9">
        <v>1.5254999999999999E-4</v>
      </c>
      <c r="N810" s="9">
        <v>1.7066E-4</v>
      </c>
      <c r="O810" s="9">
        <v>1.1232E-4</v>
      </c>
      <c r="P810" s="9">
        <v>1.3587000000000001E-4</v>
      </c>
      <c r="Q810" s="9">
        <v>1.6000000000000001E-4</v>
      </c>
      <c r="R810" s="10">
        <v>1.7132421262703592E-5</v>
      </c>
      <c r="S810" s="10">
        <v>1.0812409318996862E-4</v>
      </c>
      <c r="T810" s="10">
        <v>3.4244329037045224E-4</v>
      </c>
      <c r="U810" s="10">
        <v>1.8997E-4</v>
      </c>
      <c r="V810" s="25"/>
      <c r="W810" s="25"/>
      <c r="X810" s="25"/>
      <c r="Y810" s="25"/>
      <c r="Z810" s="25"/>
      <c r="AA810" s="25"/>
    </row>
    <row r="811" spans="1:27" x14ac:dyDescent="0.35">
      <c r="A811" s="5">
        <v>807</v>
      </c>
      <c r="B811" s="5">
        <v>34</v>
      </c>
      <c r="C811" s="5">
        <v>2</v>
      </c>
      <c r="D811" s="25">
        <v>1.1416E-4</v>
      </c>
      <c r="E811" s="25">
        <v>1.0545E-4</v>
      </c>
      <c r="F811" s="25">
        <v>8.25E-5</v>
      </c>
      <c r="G811" s="25">
        <v>1.594E-4</v>
      </c>
      <c r="H811" s="25">
        <v>1.1790000000000001E-4</v>
      </c>
      <c r="I811" s="9">
        <v>1.3962999999999999E-4</v>
      </c>
      <c r="J811" s="9">
        <v>1.4245999999999999E-4</v>
      </c>
      <c r="K811" s="9">
        <v>1.5470999999999999E-4</v>
      </c>
      <c r="L811" s="9">
        <v>1.1691E-4</v>
      </c>
      <c r="M811" s="9">
        <v>1.4625E-4</v>
      </c>
      <c r="N811" s="9">
        <v>1.6992999999999999E-4</v>
      </c>
      <c r="O811" s="9">
        <v>1.2652E-4</v>
      </c>
      <c r="P811" s="9">
        <v>1.3834000000000001E-4</v>
      </c>
      <c r="Q811" s="9">
        <v>1.5118E-4</v>
      </c>
      <c r="R811" s="10">
        <v>1.9409021821492882E-5</v>
      </c>
      <c r="S811" s="10">
        <v>1.0701415250680325E-4</v>
      </c>
      <c r="T811" s="10">
        <v>3.8765612160736177E-4</v>
      </c>
      <c r="U811" s="10">
        <v>1.8997E-4</v>
      </c>
      <c r="V811" s="25"/>
      <c r="W811" s="25"/>
      <c r="X811" s="25"/>
      <c r="Y811" s="25"/>
      <c r="Z811" s="25"/>
      <c r="AA811" s="25"/>
    </row>
    <row r="812" spans="1:27" x14ac:dyDescent="0.35">
      <c r="A812" s="5">
        <v>808</v>
      </c>
      <c r="B812" s="5">
        <v>34</v>
      </c>
      <c r="C812" s="5">
        <v>2</v>
      </c>
      <c r="D812" s="25">
        <v>1.1415000000000001E-4</v>
      </c>
      <c r="E812" s="25">
        <v>1.0826E-4</v>
      </c>
      <c r="F812" s="25">
        <v>8.4900000000000004E-5</v>
      </c>
      <c r="G812" s="25">
        <v>1.5843000000000001E-4</v>
      </c>
      <c r="H812" s="25">
        <v>1.2066999999999999E-4</v>
      </c>
      <c r="I812" s="9">
        <v>1.406E-4</v>
      </c>
      <c r="J812" s="9">
        <v>1.4307E-4</v>
      </c>
      <c r="K812" s="9">
        <v>1.6318999999999999E-4</v>
      </c>
      <c r="L812" s="9">
        <v>1.2484E-4</v>
      </c>
      <c r="M812" s="9">
        <v>1.4164000000000001E-4</v>
      </c>
      <c r="N812" s="9">
        <v>1.6572000000000001E-4</v>
      </c>
      <c r="O812" s="9">
        <v>1.3442E-4</v>
      </c>
      <c r="P812" s="9">
        <v>1.2124E-4</v>
      </c>
      <c r="Q812" s="9">
        <v>1.0959E-4</v>
      </c>
      <c r="R812" s="10">
        <v>2.4955173032663123E-5</v>
      </c>
      <c r="S812" s="10">
        <v>1.1307956177925618E-4</v>
      </c>
      <c r="T812" s="10">
        <v>1.3698749730740111E-4</v>
      </c>
      <c r="U812" s="10">
        <v>1.8997E-4</v>
      </c>
      <c r="V812" s="25"/>
      <c r="W812" s="25"/>
      <c r="X812" s="25"/>
      <c r="Y812" s="25"/>
      <c r="Z812" s="25"/>
      <c r="AA812" s="25"/>
    </row>
    <row r="813" spans="1:27" x14ac:dyDescent="0.35">
      <c r="A813" s="5">
        <v>809</v>
      </c>
      <c r="B813" s="5">
        <v>34</v>
      </c>
      <c r="C813" s="5">
        <v>2</v>
      </c>
      <c r="D813" s="25">
        <v>1.1416E-4</v>
      </c>
      <c r="E813" s="25">
        <v>1.0925999999999999E-4</v>
      </c>
      <c r="F813" s="25">
        <v>8.8170000000000005E-5</v>
      </c>
      <c r="G813" s="25">
        <v>1.6483000000000001E-4</v>
      </c>
      <c r="H813" s="25">
        <v>1.1916E-4</v>
      </c>
      <c r="I813" s="9">
        <v>1.3910999999999999E-4</v>
      </c>
      <c r="J813" s="9">
        <v>1.4432E-4</v>
      </c>
      <c r="K813" s="9">
        <v>1.7165999999999999E-4</v>
      </c>
      <c r="L813" s="9">
        <v>1.3206000000000001E-4</v>
      </c>
      <c r="M813" s="9">
        <v>1.3326000000000001E-4</v>
      </c>
      <c r="N813" s="9">
        <v>1.5195000000000001E-4</v>
      </c>
      <c r="O813" s="9">
        <v>1.4108999999999999E-4</v>
      </c>
      <c r="P813" s="9">
        <v>1.2336000000000001E-4</v>
      </c>
      <c r="Q813" s="9">
        <v>1.0736E-4</v>
      </c>
      <c r="R813" s="10">
        <v>3.7603416728151477E-5</v>
      </c>
      <c r="S813" s="10">
        <v>1.2016202776909351E-4</v>
      </c>
      <c r="T813" s="10">
        <v>0</v>
      </c>
      <c r="U813" s="10">
        <v>1.8997E-4</v>
      </c>
      <c r="V813" s="25"/>
      <c r="W813" s="25"/>
      <c r="X813" s="25"/>
      <c r="Y813" s="25"/>
      <c r="Z813" s="25"/>
      <c r="AA813" s="25"/>
    </row>
    <row r="814" spans="1:27" x14ac:dyDescent="0.35">
      <c r="A814" s="5">
        <v>810</v>
      </c>
      <c r="B814" s="5">
        <v>34</v>
      </c>
      <c r="C814" s="5">
        <v>2</v>
      </c>
      <c r="D814" s="25">
        <v>1.1415000000000001E-4</v>
      </c>
      <c r="E814" s="25">
        <v>1.0391999999999999E-4</v>
      </c>
      <c r="F814" s="25">
        <v>8.5370000000000004E-5</v>
      </c>
      <c r="G814" s="25">
        <v>1.6647999999999999E-4</v>
      </c>
      <c r="H814" s="25">
        <v>1.1493E-4</v>
      </c>
      <c r="I814" s="9">
        <v>1.4296999999999999E-4</v>
      </c>
      <c r="J814" s="9">
        <v>1.4941999999999999E-4</v>
      </c>
      <c r="K814" s="9">
        <v>1.7379E-4</v>
      </c>
      <c r="L814" s="9">
        <v>1.3878E-4</v>
      </c>
      <c r="M814" s="9">
        <v>1.2758999999999999E-4</v>
      </c>
      <c r="N814" s="9">
        <v>1.3872E-4</v>
      </c>
      <c r="O814" s="9">
        <v>1.4123E-4</v>
      </c>
      <c r="P814" s="9">
        <v>1.2855000000000001E-4</v>
      </c>
      <c r="Q814" s="9">
        <v>1.1752E-4</v>
      </c>
      <c r="R814" s="10">
        <v>5.5167810855596733E-5</v>
      </c>
      <c r="S814" s="10">
        <v>1.3107730595262335E-4</v>
      </c>
      <c r="T814" s="10">
        <v>0</v>
      </c>
      <c r="U814" s="10">
        <v>1.8997E-4</v>
      </c>
      <c r="V814" s="25"/>
      <c r="W814" s="25"/>
      <c r="X814" s="25"/>
      <c r="Y814" s="25"/>
      <c r="Z814" s="25"/>
      <c r="AA814" s="25"/>
    </row>
    <row r="815" spans="1:27" x14ac:dyDescent="0.35">
      <c r="A815" s="5">
        <v>811</v>
      </c>
      <c r="B815" s="5">
        <v>34</v>
      </c>
      <c r="C815" s="5">
        <v>2</v>
      </c>
      <c r="D815" s="25">
        <v>1.1416E-4</v>
      </c>
      <c r="E815" s="25">
        <v>1.1171999999999999E-4</v>
      </c>
      <c r="F815" s="25">
        <v>9.4900000000000003E-5</v>
      </c>
      <c r="G815" s="25">
        <v>1.0616999999999999E-4</v>
      </c>
      <c r="H815" s="25">
        <v>8.3529999999999995E-5</v>
      </c>
      <c r="I815" s="9">
        <v>1.4846E-4</v>
      </c>
      <c r="J815" s="9">
        <v>1.4849000000000001E-4</v>
      </c>
      <c r="K815" s="9">
        <v>1.8226000000000001E-4</v>
      </c>
      <c r="L815" s="9">
        <v>1.4056999999999999E-4</v>
      </c>
      <c r="M815" s="9">
        <v>1.2664999999999999E-4</v>
      </c>
      <c r="N815" s="9">
        <v>1.2967999999999999E-4</v>
      </c>
      <c r="O815" s="9">
        <v>1.4216000000000001E-4</v>
      </c>
      <c r="P815" s="9">
        <v>1.2376999999999999E-4</v>
      </c>
      <c r="Q815" s="9">
        <v>1.0713E-4</v>
      </c>
      <c r="R815" s="10">
        <v>7.0015531004062836E-5</v>
      </c>
      <c r="S815" s="10">
        <v>1.4136489689197188E-4</v>
      </c>
      <c r="T815" s="10">
        <v>0</v>
      </c>
      <c r="U815" s="10">
        <v>1.8997E-4</v>
      </c>
      <c r="V815" s="25"/>
      <c r="W815" s="25"/>
      <c r="X815" s="25"/>
      <c r="Y815" s="25"/>
      <c r="Z815" s="25"/>
      <c r="AA815" s="25"/>
    </row>
    <row r="816" spans="1:27" x14ac:dyDescent="0.35">
      <c r="A816" s="5">
        <v>812</v>
      </c>
      <c r="B816" s="5">
        <v>34</v>
      </c>
      <c r="C816" s="5">
        <v>2</v>
      </c>
      <c r="D816" s="25">
        <v>1.1415000000000001E-4</v>
      </c>
      <c r="E816" s="25">
        <v>1.078E-4</v>
      </c>
      <c r="F816" s="25">
        <v>9.9199999999999999E-5</v>
      </c>
      <c r="G816" s="25">
        <v>1.0685E-4</v>
      </c>
      <c r="H816" s="25">
        <v>8.2810000000000002E-5</v>
      </c>
      <c r="I816" s="9">
        <v>1.4307E-4</v>
      </c>
      <c r="J816" s="9">
        <v>1.4369E-4</v>
      </c>
      <c r="K816" s="9">
        <v>1.8650000000000001E-4</v>
      </c>
      <c r="L816" s="9">
        <v>1.4181E-4</v>
      </c>
      <c r="M816" s="9">
        <v>1.2562000000000001E-4</v>
      </c>
      <c r="N816" s="9">
        <v>1.2069E-4</v>
      </c>
      <c r="O816" s="9">
        <v>1.4334999999999999E-4</v>
      </c>
      <c r="P816" s="9">
        <v>1.2128E-4</v>
      </c>
      <c r="Q816" s="9">
        <v>1.0105E-4</v>
      </c>
      <c r="R816" s="10">
        <v>8.1398571348397612E-5</v>
      </c>
      <c r="S816" s="10">
        <v>1.4067615878667465E-4</v>
      </c>
      <c r="T816" s="10">
        <v>0</v>
      </c>
      <c r="U816" s="10">
        <v>1.8997E-4</v>
      </c>
      <c r="V816" s="25"/>
      <c r="W816" s="25"/>
      <c r="X816" s="25"/>
      <c r="Y816" s="25"/>
      <c r="Z816" s="25"/>
      <c r="AA816" s="25"/>
    </row>
    <row r="817" spans="1:27" x14ac:dyDescent="0.35">
      <c r="A817" s="5">
        <v>813</v>
      </c>
      <c r="B817" s="5">
        <v>34</v>
      </c>
      <c r="C817" s="5">
        <v>2</v>
      </c>
      <c r="D817" s="25">
        <v>1.1416E-4</v>
      </c>
      <c r="E817" s="25">
        <v>1.0946999999999999E-4</v>
      </c>
      <c r="F817" s="25">
        <v>9.0409999999999997E-5</v>
      </c>
      <c r="G817" s="25">
        <v>5.5850000000000002E-5</v>
      </c>
      <c r="H817" s="25">
        <v>4.3869999999999998E-5</v>
      </c>
      <c r="I817" s="9">
        <v>1.3596999999999999E-4</v>
      </c>
      <c r="J817" s="9">
        <v>1.3726E-4</v>
      </c>
      <c r="K817" s="9">
        <v>1.9285999999999999E-4</v>
      </c>
      <c r="L817" s="9">
        <v>1.4302E-4</v>
      </c>
      <c r="M817" s="9">
        <v>1.2381999999999999E-4</v>
      </c>
      <c r="N817" s="9">
        <v>1.1293E-4</v>
      </c>
      <c r="O817" s="9">
        <v>8.4320000000000006E-5</v>
      </c>
      <c r="P817" s="9">
        <v>8.5859999999999994E-5</v>
      </c>
      <c r="Q817" s="9">
        <v>8.7849999999999994E-5</v>
      </c>
      <c r="R817" s="10">
        <v>9.0450784452297787E-5</v>
      </c>
      <c r="S817" s="10">
        <v>1.3051154711555451E-4</v>
      </c>
      <c r="T817" s="10">
        <v>0</v>
      </c>
      <c r="U817" s="10">
        <v>1.8997E-4</v>
      </c>
      <c r="V817" s="25"/>
      <c r="W817" s="25"/>
      <c r="X817" s="25"/>
      <c r="Y817" s="25"/>
      <c r="Z817" s="25"/>
      <c r="AA817" s="25"/>
    </row>
    <row r="818" spans="1:27" x14ac:dyDescent="0.35">
      <c r="A818" s="5">
        <v>814</v>
      </c>
      <c r="B818" s="5">
        <v>34</v>
      </c>
      <c r="C818" s="5">
        <v>2</v>
      </c>
      <c r="D818" s="25">
        <v>1.1415000000000001E-4</v>
      </c>
      <c r="E818" s="25">
        <v>1.1129E-4</v>
      </c>
      <c r="F818" s="25">
        <v>1.0058E-4</v>
      </c>
      <c r="G818" s="25">
        <v>6.02E-5</v>
      </c>
      <c r="H818" s="25">
        <v>4.0769999999999998E-5</v>
      </c>
      <c r="I818" s="9">
        <v>1.2985000000000001E-4</v>
      </c>
      <c r="J818" s="9">
        <v>1.2894999999999999E-4</v>
      </c>
      <c r="K818" s="9">
        <v>1.9709999999999999E-4</v>
      </c>
      <c r="L818" s="9">
        <v>9.7200000000000004E-5</v>
      </c>
      <c r="M818" s="9">
        <v>1.0964E-4</v>
      </c>
      <c r="N818" s="9">
        <v>1.053E-4</v>
      </c>
      <c r="O818" s="9">
        <v>8.7739999999999997E-5</v>
      </c>
      <c r="P818" s="9">
        <v>8.7869999999999997E-5</v>
      </c>
      <c r="Q818" s="9">
        <v>8.852E-5</v>
      </c>
      <c r="R818" s="10">
        <v>9.1011203069530782E-5</v>
      </c>
      <c r="S818" s="10">
        <v>1.1607634619993812E-4</v>
      </c>
      <c r="T818" s="10">
        <v>0</v>
      </c>
      <c r="U818" s="10">
        <v>1.8997E-4</v>
      </c>
      <c r="V818" s="25"/>
      <c r="W818" s="25"/>
      <c r="X818" s="25"/>
      <c r="Y818" s="25"/>
      <c r="Z818" s="25"/>
      <c r="AA818" s="25"/>
    </row>
    <row r="819" spans="1:27" x14ac:dyDescent="0.35">
      <c r="A819" s="5">
        <v>815</v>
      </c>
      <c r="B819" s="5">
        <v>34</v>
      </c>
      <c r="C819" s="5">
        <v>2</v>
      </c>
      <c r="D819" s="25">
        <v>1.1416E-4</v>
      </c>
      <c r="E819" s="25">
        <v>1.0721999999999999E-4</v>
      </c>
      <c r="F819" s="25">
        <v>9.056E-5</v>
      </c>
      <c r="G819" s="25">
        <v>5.3489999999999998E-5</v>
      </c>
      <c r="H819" s="25">
        <v>4.494E-5</v>
      </c>
      <c r="I819" s="9">
        <v>1.3134E-4</v>
      </c>
      <c r="J819" s="9">
        <v>1.2004E-4</v>
      </c>
      <c r="K819" s="9">
        <v>1.9922000000000001E-4</v>
      </c>
      <c r="L819" s="9">
        <v>9.1100000000000005E-5</v>
      </c>
      <c r="M819" s="9">
        <v>9.7999999999999997E-5</v>
      </c>
      <c r="N819" s="9">
        <v>9.9610000000000003E-5</v>
      </c>
      <c r="O819" s="9">
        <v>8.4839999999999994E-5</v>
      </c>
      <c r="P819" s="9">
        <v>7.559E-5</v>
      </c>
      <c r="Q819" s="9">
        <v>6.6959999999999996E-5</v>
      </c>
      <c r="R819" s="10">
        <v>8.0851537772466155E-5</v>
      </c>
      <c r="S819" s="10">
        <v>1.0994421326793062E-4</v>
      </c>
      <c r="T819" s="10">
        <v>0</v>
      </c>
      <c r="U819" s="10">
        <v>1.8997E-4</v>
      </c>
      <c r="V819" s="25"/>
      <c r="W819" s="25"/>
      <c r="X819" s="25"/>
      <c r="Y819" s="25"/>
      <c r="Z819" s="25"/>
      <c r="AA819" s="25"/>
    </row>
    <row r="820" spans="1:27" x14ac:dyDescent="0.35">
      <c r="A820" s="5">
        <v>816</v>
      </c>
      <c r="B820" s="5">
        <v>34</v>
      </c>
      <c r="C820" s="5">
        <v>2</v>
      </c>
      <c r="D820" s="25">
        <v>1.1415000000000001E-4</v>
      </c>
      <c r="E820" s="25">
        <v>1.0584E-4</v>
      </c>
      <c r="F820" s="25">
        <v>8.5530000000000003E-5</v>
      </c>
      <c r="G820" s="25">
        <v>5.4230000000000001E-5</v>
      </c>
      <c r="H820" s="25">
        <v>3.7790000000000002E-5</v>
      </c>
      <c r="I820" s="9">
        <v>1.2987E-4</v>
      </c>
      <c r="J820" s="9">
        <v>1.1153E-4</v>
      </c>
      <c r="K820" s="9">
        <v>1.9921000000000001E-4</v>
      </c>
      <c r="L820" s="9">
        <v>8.6420000000000003E-5</v>
      </c>
      <c r="M820" s="9">
        <v>8.7219999999999995E-5</v>
      </c>
      <c r="N820" s="9">
        <v>9.0400000000000002E-5</v>
      </c>
      <c r="O820" s="9">
        <v>7.8700000000000002E-5</v>
      </c>
      <c r="P820" s="9">
        <v>6.8319999999999996E-5</v>
      </c>
      <c r="Q820" s="9">
        <v>5.8480000000000003E-5</v>
      </c>
      <c r="R820" s="10">
        <v>5.5966860873951449E-5</v>
      </c>
      <c r="S820" s="10">
        <v>9.8891466111488029E-5</v>
      </c>
      <c r="T820" s="10">
        <v>0</v>
      </c>
      <c r="U820" s="10">
        <v>1.8997E-4</v>
      </c>
      <c r="V820" s="25"/>
      <c r="W820" s="25"/>
      <c r="X820" s="25"/>
      <c r="Y820" s="25"/>
      <c r="Z820" s="25"/>
      <c r="AA820" s="25"/>
    </row>
    <row r="821" spans="1:27" x14ac:dyDescent="0.35">
      <c r="A821" s="5">
        <v>817</v>
      </c>
      <c r="B821" s="5">
        <v>35</v>
      </c>
      <c r="C821" s="5">
        <v>2</v>
      </c>
      <c r="D821" s="25">
        <v>1.1416E-4</v>
      </c>
      <c r="E821" s="25">
        <v>1.0469E-4</v>
      </c>
      <c r="F821" s="25">
        <v>1.0944E-4</v>
      </c>
      <c r="G821" s="25">
        <v>6.2780000000000005E-5</v>
      </c>
      <c r="H821" s="25">
        <v>1.3900000000000001E-5</v>
      </c>
      <c r="I821" s="9">
        <v>1.2322E-4</v>
      </c>
      <c r="J821" s="9">
        <v>1.0484000000000001E-4</v>
      </c>
      <c r="K821" s="9">
        <v>2.0345000000000001E-4</v>
      </c>
      <c r="L821" s="9">
        <v>8.0179999999999995E-5</v>
      </c>
      <c r="M821" s="9">
        <v>7.7979999999999995E-5</v>
      </c>
      <c r="N821" s="9">
        <v>8.0950000000000003E-5</v>
      </c>
      <c r="O821" s="9">
        <v>6.8349999999999994E-5</v>
      </c>
      <c r="P821" s="9">
        <v>6.0859999999999997E-5</v>
      </c>
      <c r="Q821" s="9">
        <v>5.3669999999999999E-5</v>
      </c>
      <c r="R821" s="10">
        <v>4.5294301334025383E-5</v>
      </c>
      <c r="S821" s="10">
        <v>9.713815060370845E-5</v>
      </c>
      <c r="T821" s="10">
        <v>0</v>
      </c>
      <c r="U821" s="10">
        <v>1.884E-4</v>
      </c>
      <c r="V821" s="25"/>
      <c r="W821" s="25"/>
      <c r="X821" s="25"/>
      <c r="Y821" s="25"/>
      <c r="Z821" s="25"/>
      <c r="AA821" s="25"/>
    </row>
    <row r="822" spans="1:27" x14ac:dyDescent="0.35">
      <c r="A822" s="5">
        <v>818</v>
      </c>
      <c r="B822" s="5">
        <v>35</v>
      </c>
      <c r="C822" s="5">
        <v>2</v>
      </c>
      <c r="D822" s="25">
        <v>1.1415000000000001E-4</v>
      </c>
      <c r="E822" s="25">
        <v>1.0721999999999999E-4</v>
      </c>
      <c r="F822" s="25">
        <v>1.0484000000000001E-4</v>
      </c>
      <c r="G822" s="25">
        <v>6.1060000000000002E-5</v>
      </c>
      <c r="H822" s="25">
        <v>1.626E-5</v>
      </c>
      <c r="I822" s="9">
        <v>1.1694E-4</v>
      </c>
      <c r="J822" s="9">
        <v>1.0009E-4</v>
      </c>
      <c r="K822" s="9">
        <v>2.0346000000000001E-4</v>
      </c>
      <c r="L822" s="9">
        <v>7.1119999999999997E-5</v>
      </c>
      <c r="M822" s="9">
        <v>6.9629999999999996E-5</v>
      </c>
      <c r="N822" s="9">
        <v>7.1970000000000004E-5</v>
      </c>
      <c r="O822" s="9">
        <v>3.4730000000000001E-5</v>
      </c>
      <c r="P822" s="9">
        <v>4.5559999999999997E-5</v>
      </c>
      <c r="Q822" s="9">
        <v>5.5840000000000001E-5</v>
      </c>
      <c r="R822" s="10">
        <v>3.9068651140120514E-5</v>
      </c>
      <c r="S822" s="10">
        <v>8.8770609545217163E-5</v>
      </c>
      <c r="T822" s="10">
        <v>0</v>
      </c>
      <c r="U822" s="10">
        <v>1.884E-4</v>
      </c>
      <c r="V822" s="25"/>
      <c r="W822" s="25"/>
      <c r="X822" s="25"/>
      <c r="Y822" s="25"/>
      <c r="Z822" s="25"/>
      <c r="AA822" s="25"/>
    </row>
    <row r="823" spans="1:27" x14ac:dyDescent="0.35">
      <c r="A823" s="5">
        <v>819</v>
      </c>
      <c r="B823" s="5">
        <v>35</v>
      </c>
      <c r="C823" s="5">
        <v>2</v>
      </c>
      <c r="D823" s="25">
        <v>1.1416E-4</v>
      </c>
      <c r="E823" s="25">
        <v>1.0848E-4</v>
      </c>
      <c r="F823" s="25">
        <v>1.169E-4</v>
      </c>
      <c r="G823" s="25">
        <v>5.4089999999999999E-5</v>
      </c>
      <c r="H823" s="25">
        <v>1.455E-5</v>
      </c>
      <c r="I823" s="9">
        <v>1.1213999999999999E-4</v>
      </c>
      <c r="J823" s="9">
        <v>9.7299999999999993E-5</v>
      </c>
      <c r="K823" s="9">
        <v>2.0770000000000001E-4</v>
      </c>
      <c r="L823" s="9">
        <v>4.2969999999999997E-5</v>
      </c>
      <c r="M823" s="9">
        <v>5.9009999999999999E-5</v>
      </c>
      <c r="N823" s="9">
        <v>6.5380000000000001E-5</v>
      </c>
      <c r="O823" s="9">
        <v>2.1670000000000001E-5</v>
      </c>
      <c r="P823" s="9">
        <v>4.2070000000000002E-5</v>
      </c>
      <c r="Q823" s="9">
        <v>6.1539999999999997E-5</v>
      </c>
      <c r="R823" s="10">
        <v>3.6535430297041794E-5</v>
      </c>
      <c r="S823" s="10">
        <v>7.7314820099404983E-5</v>
      </c>
      <c r="T823" s="10">
        <v>0</v>
      </c>
      <c r="U823" s="10">
        <v>1.884E-4</v>
      </c>
      <c r="V823" s="25"/>
      <c r="W823" s="25"/>
      <c r="X823" s="25"/>
      <c r="Y823" s="25"/>
      <c r="Z823" s="25"/>
      <c r="AA823" s="25"/>
    </row>
    <row r="824" spans="1:27" x14ac:dyDescent="0.35">
      <c r="A824" s="5">
        <v>820</v>
      </c>
      <c r="B824" s="5">
        <v>35</v>
      </c>
      <c r="C824" s="5">
        <v>2</v>
      </c>
      <c r="D824" s="25">
        <v>1.1415000000000001E-4</v>
      </c>
      <c r="E824" s="25">
        <v>1.1226999999999999E-4</v>
      </c>
      <c r="F824" s="25">
        <v>1.1294999999999999E-4</v>
      </c>
      <c r="G824" s="25">
        <v>5.7800000000000002E-5</v>
      </c>
      <c r="H824" s="25">
        <v>1.5109999999999999E-5</v>
      </c>
      <c r="I824" s="9">
        <v>1.0868E-4</v>
      </c>
      <c r="J824" s="9">
        <v>9.6210000000000002E-5</v>
      </c>
      <c r="K824" s="9">
        <v>2.0981E-4</v>
      </c>
      <c r="L824" s="9">
        <v>2.7100000000000001E-5</v>
      </c>
      <c r="M824" s="9">
        <v>5.0359999999999999E-5</v>
      </c>
      <c r="N824" s="9">
        <v>6.1810000000000006E-5</v>
      </c>
      <c r="O824" s="9">
        <v>2.092E-5</v>
      </c>
      <c r="P824" s="9">
        <v>5.0769999999999997E-5</v>
      </c>
      <c r="Q824" s="9">
        <v>7.9530000000000006E-5</v>
      </c>
      <c r="R824" s="10">
        <v>3.645883489234489E-5</v>
      </c>
      <c r="S824" s="10">
        <v>7.2034035743615921E-5</v>
      </c>
      <c r="T824" s="10">
        <v>0</v>
      </c>
      <c r="U824" s="10">
        <v>1.884E-4</v>
      </c>
      <c r="V824" s="25"/>
      <c r="W824" s="25"/>
      <c r="X824" s="25"/>
      <c r="Y824" s="25"/>
      <c r="Z824" s="25"/>
      <c r="AA824" s="25"/>
    </row>
    <row r="825" spans="1:27" x14ac:dyDescent="0.35">
      <c r="A825" s="5">
        <v>821</v>
      </c>
      <c r="B825" s="5">
        <v>35</v>
      </c>
      <c r="C825" s="5">
        <v>2</v>
      </c>
      <c r="D825" s="25">
        <v>1.1416E-4</v>
      </c>
      <c r="E825" s="25">
        <v>1.0539000000000001E-4</v>
      </c>
      <c r="F825" s="25">
        <v>1.1027999999999999E-4</v>
      </c>
      <c r="G825" s="25">
        <v>5.7170000000000003E-5</v>
      </c>
      <c r="H825" s="25">
        <v>1.523E-5</v>
      </c>
      <c r="I825" s="9">
        <v>1.0957E-4</v>
      </c>
      <c r="J825" s="9">
        <v>9.6849999999999996E-5</v>
      </c>
      <c r="K825" s="9">
        <v>2.0981999999999999E-4</v>
      </c>
      <c r="L825" s="9">
        <v>2.2670000000000001E-5</v>
      </c>
      <c r="M825" s="9">
        <v>4.8489999999999998E-5</v>
      </c>
      <c r="N825" s="9">
        <v>6.4189999999999994E-5</v>
      </c>
      <c r="O825" s="9">
        <v>2.3220000000000001E-5</v>
      </c>
      <c r="P825" s="9">
        <v>5.9349999999999999E-5</v>
      </c>
      <c r="Q825" s="9">
        <v>9.433E-5</v>
      </c>
      <c r="R825" s="10">
        <v>3.5865072859028946E-5</v>
      </c>
      <c r="S825" s="10">
        <v>6.9490113531811963E-5</v>
      </c>
      <c r="T825" s="10">
        <v>0</v>
      </c>
      <c r="U825" s="10">
        <v>1.884E-4</v>
      </c>
      <c r="V825" s="25"/>
      <c r="W825" s="25"/>
      <c r="X825" s="25"/>
      <c r="Y825" s="25"/>
      <c r="Z825" s="25"/>
      <c r="AA825" s="25"/>
    </row>
    <row r="826" spans="1:27" x14ac:dyDescent="0.35">
      <c r="A826" s="5">
        <v>822</v>
      </c>
      <c r="B826" s="5">
        <v>35</v>
      </c>
      <c r="C826" s="5">
        <v>2</v>
      </c>
      <c r="D826" s="25">
        <v>1.1415000000000001E-4</v>
      </c>
      <c r="E826" s="25">
        <v>1.1415E-4</v>
      </c>
      <c r="F826" s="25">
        <v>1.1827E-4</v>
      </c>
      <c r="G826" s="25">
        <v>1.1466E-4</v>
      </c>
      <c r="H826" s="25">
        <v>2.904E-5</v>
      </c>
      <c r="I826" s="9">
        <v>1.1497000000000001E-4</v>
      </c>
      <c r="J826" s="9">
        <v>1.0079E-4</v>
      </c>
      <c r="K826" s="9">
        <v>2.1193000000000001E-4</v>
      </c>
      <c r="L826" s="9">
        <v>2.3030000000000001E-5</v>
      </c>
      <c r="M826" s="9">
        <v>5.2269999999999999E-5</v>
      </c>
      <c r="N826" s="9">
        <v>7.0920000000000005E-5</v>
      </c>
      <c r="O826" s="9">
        <v>2.9640000000000001E-5</v>
      </c>
      <c r="P826" s="9">
        <v>6.9289999999999996E-5</v>
      </c>
      <c r="Q826" s="9">
        <v>1.0784E-4</v>
      </c>
      <c r="R826" s="10">
        <v>3.9728169978001946E-5</v>
      </c>
      <c r="S826" s="10">
        <v>7.5430117807554972E-5</v>
      </c>
      <c r="T826" s="10">
        <v>0</v>
      </c>
      <c r="U826" s="10">
        <v>1.884E-4</v>
      </c>
      <c r="V826" s="25"/>
      <c r="W826" s="25"/>
      <c r="X826" s="25"/>
      <c r="Y826" s="25"/>
      <c r="Z826" s="25"/>
      <c r="AA826" s="25"/>
    </row>
    <row r="827" spans="1:27" x14ac:dyDescent="0.35">
      <c r="A827" s="5">
        <v>823</v>
      </c>
      <c r="B827" s="5">
        <v>35</v>
      </c>
      <c r="C827" s="5">
        <v>2</v>
      </c>
      <c r="D827" s="25">
        <v>1.1416E-4</v>
      </c>
      <c r="E827" s="25">
        <v>1.1181E-4</v>
      </c>
      <c r="F827" s="25">
        <v>1.2026E-4</v>
      </c>
      <c r="G827" s="25">
        <v>1.0632999999999999E-4</v>
      </c>
      <c r="H827" s="25">
        <v>2.8540000000000001E-5</v>
      </c>
      <c r="I827" s="9">
        <v>1.2787000000000001E-4</v>
      </c>
      <c r="J827" s="9">
        <v>1.1311000000000001E-4</v>
      </c>
      <c r="K827" s="9">
        <v>2.3101E-4</v>
      </c>
      <c r="L827" s="9">
        <v>2.8079999999999999E-5</v>
      </c>
      <c r="M827" s="9">
        <v>5.9519999999999999E-5</v>
      </c>
      <c r="N827" s="9">
        <v>8.0840000000000005E-5</v>
      </c>
      <c r="O827" s="9">
        <v>4.5649999999999998E-5</v>
      </c>
      <c r="P827" s="9">
        <v>7.8930000000000005E-5</v>
      </c>
      <c r="Q827" s="9">
        <v>1.115E-4</v>
      </c>
      <c r="R827" s="10">
        <v>4.5466762960693153E-5</v>
      </c>
      <c r="S827" s="10">
        <v>8.7991385544861802E-5</v>
      </c>
      <c r="T827" s="10">
        <v>0</v>
      </c>
      <c r="U827" s="10">
        <v>1.884E-4</v>
      </c>
      <c r="V827" s="25"/>
      <c r="W827" s="25"/>
      <c r="X827" s="25"/>
      <c r="Y827" s="25"/>
      <c r="Z827" s="25"/>
      <c r="AA827" s="25"/>
    </row>
    <row r="828" spans="1:27" x14ac:dyDescent="0.35">
      <c r="A828" s="5">
        <v>824</v>
      </c>
      <c r="B828" s="5">
        <v>35</v>
      </c>
      <c r="C828" s="5">
        <v>2</v>
      </c>
      <c r="D828" s="25">
        <v>1.1415000000000001E-4</v>
      </c>
      <c r="E828" s="25">
        <v>1.0635E-4</v>
      </c>
      <c r="F828" s="25">
        <v>1.1561999999999999E-4</v>
      </c>
      <c r="G828" s="25">
        <v>1.6191999999999999E-4</v>
      </c>
      <c r="H828" s="25">
        <v>4.159E-5</v>
      </c>
      <c r="I828" s="9">
        <v>1.3967E-4</v>
      </c>
      <c r="J828" s="9">
        <v>1.3176E-4</v>
      </c>
      <c r="K828" s="9">
        <v>2.3101E-4</v>
      </c>
      <c r="L828" s="9">
        <v>4.1640000000000001E-5</v>
      </c>
      <c r="M828" s="9">
        <v>6.834E-5</v>
      </c>
      <c r="N828" s="9">
        <v>9.0749999999999997E-5</v>
      </c>
      <c r="O828" s="9">
        <v>6.7890000000000002E-5</v>
      </c>
      <c r="P828" s="9">
        <v>1.0208999999999999E-4</v>
      </c>
      <c r="Q828" s="9">
        <v>1.3594E-4</v>
      </c>
      <c r="R828" s="10">
        <v>4.8795196290100821E-5</v>
      </c>
      <c r="S828" s="10">
        <v>9.334091049488749E-5</v>
      </c>
      <c r="T828" s="10">
        <v>0</v>
      </c>
      <c r="U828" s="10">
        <v>1.884E-4</v>
      </c>
      <c r="V828" s="25"/>
      <c r="W828" s="25"/>
      <c r="X828" s="25"/>
      <c r="Y828" s="25"/>
      <c r="Z828" s="25"/>
      <c r="AA828" s="25"/>
    </row>
    <row r="829" spans="1:27" x14ac:dyDescent="0.35">
      <c r="A829" s="5">
        <v>825</v>
      </c>
      <c r="B829" s="5">
        <v>35</v>
      </c>
      <c r="C829" s="5">
        <v>2</v>
      </c>
      <c r="D829" s="25">
        <v>1.1416E-4</v>
      </c>
      <c r="E829" s="25">
        <v>1.1273E-4</v>
      </c>
      <c r="F829" s="25">
        <v>1.188E-4</v>
      </c>
      <c r="G829" s="25">
        <v>1.6750000000000001E-4</v>
      </c>
      <c r="H829" s="25">
        <v>4.3180000000000003E-5</v>
      </c>
      <c r="I829" s="9">
        <v>1.4207999999999999E-4</v>
      </c>
      <c r="J829" s="9">
        <v>1.4323999999999999E-4</v>
      </c>
      <c r="K829" s="9">
        <v>2.0981E-4</v>
      </c>
      <c r="L829" s="9">
        <v>6.1749999999999997E-5</v>
      </c>
      <c r="M829" s="9">
        <v>8.2659999999999998E-5</v>
      </c>
      <c r="N829" s="9">
        <v>1.0435E-4</v>
      </c>
      <c r="O829" s="9">
        <v>1.0030999999999999E-4</v>
      </c>
      <c r="P829" s="9">
        <v>1.3867999999999999E-4</v>
      </c>
      <c r="Q829" s="9">
        <v>1.7719E-4</v>
      </c>
      <c r="R829" s="10">
        <v>4.5902140829817875E-5</v>
      </c>
      <c r="S829" s="10">
        <v>8.4040893766502866E-5</v>
      </c>
      <c r="T829" s="10">
        <v>1.9082886098340548E-4</v>
      </c>
      <c r="U829" s="10">
        <v>1.884E-4</v>
      </c>
      <c r="V829" s="25"/>
      <c r="W829" s="25"/>
      <c r="X829" s="25"/>
      <c r="Y829" s="25"/>
      <c r="Z829" s="25"/>
      <c r="AA829" s="25"/>
    </row>
    <row r="830" spans="1:27" x14ac:dyDescent="0.35">
      <c r="A830" s="5">
        <v>826</v>
      </c>
      <c r="B830" s="5">
        <v>35</v>
      </c>
      <c r="C830" s="5">
        <v>2</v>
      </c>
      <c r="D830" s="25">
        <v>1.1415000000000001E-4</v>
      </c>
      <c r="E830" s="25">
        <v>1.1457E-4</v>
      </c>
      <c r="F830" s="25">
        <v>1.1527E-4</v>
      </c>
      <c r="G830" s="25">
        <v>1.6085000000000001E-4</v>
      </c>
      <c r="H830" s="25">
        <v>4.3470000000000002E-5</v>
      </c>
      <c r="I830" s="9">
        <v>1.4563E-4</v>
      </c>
      <c r="J830" s="9">
        <v>1.4792000000000001E-4</v>
      </c>
      <c r="K830" s="9">
        <v>1.7379E-4</v>
      </c>
      <c r="L830" s="9">
        <v>9.1299999999999997E-5</v>
      </c>
      <c r="M830" s="9">
        <v>1.0645E-4</v>
      </c>
      <c r="N830" s="9">
        <v>1.2447000000000001E-4</v>
      </c>
      <c r="O830" s="9">
        <v>1.2798E-4</v>
      </c>
      <c r="P830" s="9">
        <v>1.5381999999999999E-4</v>
      </c>
      <c r="Q830" s="9">
        <v>1.8047000000000001E-4</v>
      </c>
      <c r="R830" s="10">
        <v>3.6205266621154553E-5</v>
      </c>
      <c r="S830" s="10">
        <v>6.8524342629264719E-5</v>
      </c>
      <c r="T830" s="10">
        <v>1.3774259994956377E-4</v>
      </c>
      <c r="U830" s="10">
        <v>1.884E-4</v>
      </c>
      <c r="V830" s="25"/>
      <c r="W830" s="25"/>
      <c r="X830" s="25"/>
      <c r="Y830" s="25"/>
      <c r="Z830" s="25"/>
      <c r="AA830" s="25"/>
    </row>
    <row r="831" spans="1:27" x14ac:dyDescent="0.35">
      <c r="A831" s="5">
        <v>827</v>
      </c>
      <c r="B831" s="5">
        <v>35</v>
      </c>
      <c r="C831" s="5">
        <v>2</v>
      </c>
      <c r="D831" s="25">
        <v>1.1416E-4</v>
      </c>
      <c r="E831" s="25">
        <v>1.0883E-4</v>
      </c>
      <c r="F831" s="25">
        <v>1.0232E-4</v>
      </c>
      <c r="G831" s="25">
        <v>1.5781000000000001E-4</v>
      </c>
      <c r="H831" s="25">
        <v>4.3460000000000001E-5</v>
      </c>
      <c r="I831" s="9">
        <v>1.4666000000000001E-4</v>
      </c>
      <c r="J831" s="9">
        <v>1.495E-4</v>
      </c>
      <c r="K831" s="9">
        <v>1.6107E-4</v>
      </c>
      <c r="L831" s="9">
        <v>1.1917999999999999E-4</v>
      </c>
      <c r="M831" s="9">
        <v>1.2951999999999999E-4</v>
      </c>
      <c r="N831" s="9">
        <v>1.4218999999999999E-4</v>
      </c>
      <c r="O831" s="9">
        <v>1.3856E-4</v>
      </c>
      <c r="P831" s="9">
        <v>1.5918E-4</v>
      </c>
      <c r="Q831" s="9">
        <v>1.8087999999999999E-4</v>
      </c>
      <c r="R831" s="10">
        <v>1.9900100536721437E-5</v>
      </c>
      <c r="S831" s="10">
        <v>5.6185820123017273E-5</v>
      </c>
      <c r="T831" s="10">
        <v>3.4663453424942266E-4</v>
      </c>
      <c r="U831" s="10">
        <v>1.884E-4</v>
      </c>
      <c r="V831" s="25"/>
      <c r="W831" s="25"/>
      <c r="X831" s="25"/>
      <c r="Y831" s="25"/>
      <c r="Z831" s="25"/>
      <c r="AA831" s="25"/>
    </row>
    <row r="832" spans="1:27" x14ac:dyDescent="0.35">
      <c r="A832" s="5">
        <v>828</v>
      </c>
      <c r="B832" s="5">
        <v>35</v>
      </c>
      <c r="C832" s="5">
        <v>2</v>
      </c>
      <c r="D832" s="25">
        <v>1.1415000000000001E-4</v>
      </c>
      <c r="E832" s="25">
        <v>1.0632999999999999E-4</v>
      </c>
      <c r="F832" s="25">
        <v>1.18E-4</v>
      </c>
      <c r="G832" s="25">
        <v>1.6641E-4</v>
      </c>
      <c r="H832" s="25">
        <v>4.227E-5</v>
      </c>
      <c r="I832" s="9">
        <v>1.4846E-4</v>
      </c>
      <c r="J832" s="9">
        <v>1.4993999999999999E-4</v>
      </c>
      <c r="K832" s="9">
        <v>1.6318999999999999E-4</v>
      </c>
      <c r="L832" s="9">
        <v>1.3364E-4</v>
      </c>
      <c r="M832" s="9">
        <v>1.4563999999999999E-4</v>
      </c>
      <c r="N832" s="9">
        <v>1.5658999999999999E-4</v>
      </c>
      <c r="O832" s="9">
        <v>1.3821999999999999E-4</v>
      </c>
      <c r="P832" s="9">
        <v>1.552E-4</v>
      </c>
      <c r="Q832" s="9">
        <v>1.7331000000000001E-4</v>
      </c>
      <c r="R832" s="10">
        <v>3.8658676363945899E-6</v>
      </c>
      <c r="S832" s="10">
        <v>4.3712020873297486E-5</v>
      </c>
      <c r="T832" s="10">
        <v>4.4209138623787613E-4</v>
      </c>
      <c r="U832" s="10">
        <v>1.884E-4</v>
      </c>
      <c r="V832" s="25"/>
      <c r="W832" s="25"/>
      <c r="X832" s="25"/>
      <c r="Y832" s="25"/>
      <c r="Z832" s="25"/>
      <c r="AA832" s="25"/>
    </row>
    <row r="833" spans="1:27" x14ac:dyDescent="0.35">
      <c r="A833" s="5">
        <v>829</v>
      </c>
      <c r="B833" s="5">
        <v>35</v>
      </c>
      <c r="C833" s="5">
        <v>2</v>
      </c>
      <c r="D833" s="25">
        <v>1.1416E-4</v>
      </c>
      <c r="E833" s="25">
        <v>1.1538E-4</v>
      </c>
      <c r="F833" s="25">
        <v>1.0397E-4</v>
      </c>
      <c r="G833" s="25">
        <v>1.6367000000000001E-4</v>
      </c>
      <c r="H833" s="25">
        <v>4.0639999999999997E-5</v>
      </c>
      <c r="I833" s="9">
        <v>1.4517999999999999E-4</v>
      </c>
      <c r="J833" s="9">
        <v>1.4778999999999999E-4</v>
      </c>
      <c r="K833" s="9">
        <v>1.5259E-4</v>
      </c>
      <c r="L833" s="9">
        <v>1.37E-4</v>
      </c>
      <c r="M833" s="9">
        <v>1.5257000000000001E-4</v>
      </c>
      <c r="N833" s="9">
        <v>1.6593000000000001E-4</v>
      </c>
      <c r="O833" s="9">
        <v>1.3045E-4</v>
      </c>
      <c r="P833" s="9">
        <v>1.4838000000000001E-4</v>
      </c>
      <c r="Q833" s="9">
        <v>1.6729000000000001E-4</v>
      </c>
      <c r="R833" s="10">
        <v>3.0361941712667633E-6</v>
      </c>
      <c r="S833" s="10">
        <v>3.1559874076674749E-5</v>
      </c>
      <c r="T833" s="10">
        <v>1.9928770743549756E-4</v>
      </c>
      <c r="U833" s="10">
        <v>1.884E-4</v>
      </c>
      <c r="V833" s="25"/>
      <c r="W833" s="25"/>
      <c r="X833" s="25"/>
      <c r="Y833" s="25"/>
      <c r="Z833" s="25"/>
      <c r="AA833" s="25"/>
    </row>
    <row r="834" spans="1:27" x14ac:dyDescent="0.35">
      <c r="A834" s="5">
        <v>830</v>
      </c>
      <c r="B834" s="5">
        <v>35</v>
      </c>
      <c r="C834" s="5">
        <v>2</v>
      </c>
      <c r="D834" s="25">
        <v>1.1415000000000001E-4</v>
      </c>
      <c r="E834" s="25">
        <v>1.0798000000000001E-4</v>
      </c>
      <c r="F834" s="25">
        <v>1.0551E-4</v>
      </c>
      <c r="G834" s="25">
        <v>1.6678E-4</v>
      </c>
      <c r="H834" s="25">
        <v>4.2580000000000002E-5</v>
      </c>
      <c r="I834" s="9">
        <v>1.4440000000000001E-4</v>
      </c>
      <c r="J834" s="9">
        <v>1.4669999999999999E-4</v>
      </c>
      <c r="K834" s="9">
        <v>1.5470999999999999E-4</v>
      </c>
      <c r="L834" s="9">
        <v>1.3197999999999999E-4</v>
      </c>
      <c r="M834" s="9">
        <v>1.5236000000000001E-4</v>
      </c>
      <c r="N834" s="9">
        <v>1.7028E-4</v>
      </c>
      <c r="O834" s="9">
        <v>1.1318E-4</v>
      </c>
      <c r="P834" s="9">
        <v>1.3690999999999999E-4</v>
      </c>
      <c r="Q834" s="9">
        <v>1.6122E-4</v>
      </c>
      <c r="R834" s="10">
        <v>6.7792705753935359E-6</v>
      </c>
      <c r="S834" s="10">
        <v>2.522600375219923E-5</v>
      </c>
      <c r="T834" s="10">
        <v>3.1786427515308939E-4</v>
      </c>
      <c r="U834" s="10">
        <v>1.884E-4</v>
      </c>
      <c r="V834" s="25"/>
      <c r="W834" s="25"/>
      <c r="X834" s="25"/>
      <c r="Y834" s="25"/>
      <c r="Z834" s="25"/>
      <c r="AA834" s="25"/>
    </row>
    <row r="835" spans="1:27" x14ac:dyDescent="0.35">
      <c r="A835" s="5">
        <v>831</v>
      </c>
      <c r="B835" s="5">
        <v>35</v>
      </c>
      <c r="C835" s="5">
        <v>2</v>
      </c>
      <c r="D835" s="25">
        <v>1.1416E-4</v>
      </c>
      <c r="E835" s="25">
        <v>1.156E-4</v>
      </c>
      <c r="F835" s="25">
        <v>1.1224E-4</v>
      </c>
      <c r="G835" s="25">
        <v>1.6435000000000001E-4</v>
      </c>
      <c r="H835" s="25">
        <v>4.3590000000000001E-5</v>
      </c>
      <c r="I835" s="9">
        <v>1.4169000000000001E-4</v>
      </c>
      <c r="J835" s="9">
        <v>1.4553E-4</v>
      </c>
      <c r="K835" s="9">
        <v>1.5470999999999999E-4</v>
      </c>
      <c r="L835" s="9">
        <v>1.1752999999999999E-4</v>
      </c>
      <c r="M835" s="9">
        <v>1.4647999999999999E-4</v>
      </c>
      <c r="N835" s="9">
        <v>1.6995000000000001E-4</v>
      </c>
      <c r="O835" s="9">
        <v>1.2805999999999999E-4</v>
      </c>
      <c r="P835" s="9">
        <v>1.4002E-4</v>
      </c>
      <c r="Q835" s="9">
        <v>1.5301E-4</v>
      </c>
      <c r="R835" s="10">
        <v>1.1315498701416201E-5</v>
      </c>
      <c r="S835" s="10">
        <v>2.3863463781531861E-5</v>
      </c>
      <c r="T835" s="10">
        <v>5.0006460369739992E-5</v>
      </c>
      <c r="U835" s="10">
        <v>1.884E-4</v>
      </c>
      <c r="V835" s="25"/>
      <c r="W835" s="25"/>
      <c r="X835" s="25"/>
      <c r="Y835" s="25"/>
      <c r="Z835" s="25"/>
      <c r="AA835" s="25"/>
    </row>
    <row r="836" spans="1:27" x14ac:dyDescent="0.35">
      <c r="A836" s="5">
        <v>832</v>
      </c>
      <c r="B836" s="5">
        <v>35</v>
      </c>
      <c r="C836" s="5">
        <v>2</v>
      </c>
      <c r="D836" s="25">
        <v>1.1415000000000001E-4</v>
      </c>
      <c r="E836" s="25">
        <v>1.1288E-4</v>
      </c>
      <c r="F836" s="25">
        <v>1.0802E-4</v>
      </c>
      <c r="G836" s="25">
        <v>1.5969000000000001E-4</v>
      </c>
      <c r="H836" s="25">
        <v>4.2219999999999999E-5</v>
      </c>
      <c r="I836" s="9">
        <v>1.4090000000000001E-4</v>
      </c>
      <c r="J836" s="9">
        <v>1.4432E-4</v>
      </c>
      <c r="K836" s="9">
        <v>1.6107E-4</v>
      </c>
      <c r="L836" s="9">
        <v>1.2615E-4</v>
      </c>
      <c r="M836" s="9">
        <v>1.4250999999999999E-4</v>
      </c>
      <c r="N836" s="9">
        <v>1.6624000000000001E-4</v>
      </c>
      <c r="O836" s="9">
        <v>1.3567000000000001E-4</v>
      </c>
      <c r="P836" s="9">
        <v>1.2235999999999999E-4</v>
      </c>
      <c r="Q836" s="9">
        <v>1.1061E-4</v>
      </c>
      <c r="R836" s="10">
        <v>1.863707311865344E-5</v>
      </c>
      <c r="S836" s="10">
        <v>2.397824780904795E-5</v>
      </c>
      <c r="T836" s="10">
        <v>2.7917587011643951E-4</v>
      </c>
      <c r="U836" s="10">
        <v>1.884E-4</v>
      </c>
      <c r="V836" s="25"/>
      <c r="W836" s="25"/>
      <c r="X836" s="25"/>
      <c r="Y836" s="25"/>
      <c r="Z836" s="25"/>
      <c r="AA836" s="25"/>
    </row>
    <row r="837" spans="1:27" x14ac:dyDescent="0.35">
      <c r="A837" s="5">
        <v>833</v>
      </c>
      <c r="B837" s="5">
        <v>35</v>
      </c>
      <c r="C837" s="5">
        <v>2</v>
      </c>
      <c r="D837" s="25">
        <v>1.1416E-4</v>
      </c>
      <c r="E837" s="25">
        <v>1.0811000000000001E-4</v>
      </c>
      <c r="F837" s="25">
        <v>1.0962E-4</v>
      </c>
      <c r="G837" s="25">
        <v>1.6336000000000001E-4</v>
      </c>
      <c r="H837" s="25">
        <v>4.3489999999999999E-5</v>
      </c>
      <c r="I837" s="9">
        <v>1.3954000000000001E-4</v>
      </c>
      <c r="J837" s="9">
        <v>1.4498000000000001E-4</v>
      </c>
      <c r="K837" s="9">
        <v>1.7165999999999999E-4</v>
      </c>
      <c r="L837" s="9">
        <v>1.3329999999999999E-4</v>
      </c>
      <c r="M837" s="9">
        <v>1.3438999999999999E-4</v>
      </c>
      <c r="N837" s="9">
        <v>1.527E-4</v>
      </c>
      <c r="O837" s="9">
        <v>1.394E-4</v>
      </c>
      <c r="P837" s="9">
        <v>1.2189E-4</v>
      </c>
      <c r="Q837" s="9">
        <v>1.0608E-4</v>
      </c>
      <c r="R837" s="10">
        <v>3.391757939867124E-5</v>
      </c>
      <c r="S837" s="10">
        <v>2.5571795652932939E-5</v>
      </c>
      <c r="T837" s="10">
        <v>0</v>
      </c>
      <c r="U837" s="10">
        <v>1.884E-4</v>
      </c>
      <c r="V837" s="25"/>
      <c r="W837" s="25"/>
      <c r="X837" s="25"/>
      <c r="Y837" s="25"/>
      <c r="Z837" s="25"/>
      <c r="AA837" s="25"/>
    </row>
    <row r="838" spans="1:27" x14ac:dyDescent="0.35">
      <c r="A838" s="5">
        <v>834</v>
      </c>
      <c r="B838" s="5">
        <v>35</v>
      </c>
      <c r="C838" s="5">
        <v>2</v>
      </c>
      <c r="D838" s="25">
        <v>1.1415000000000001E-4</v>
      </c>
      <c r="E838" s="25">
        <v>1.1126E-4</v>
      </c>
      <c r="F838" s="25">
        <v>1.0857E-4</v>
      </c>
      <c r="G838" s="25">
        <v>1.5775000000000001E-4</v>
      </c>
      <c r="H838" s="25">
        <v>4.1470000000000001E-5</v>
      </c>
      <c r="I838" s="9">
        <v>1.4336000000000001E-4</v>
      </c>
      <c r="J838" s="9">
        <v>1.4974000000000001E-4</v>
      </c>
      <c r="K838" s="9">
        <v>1.8226000000000001E-4</v>
      </c>
      <c r="L838" s="9">
        <v>1.3774999999999999E-4</v>
      </c>
      <c r="M838" s="9">
        <v>1.2782000000000001E-4</v>
      </c>
      <c r="N838" s="9">
        <v>1.3914E-4</v>
      </c>
      <c r="O838" s="9">
        <v>1.4112E-4</v>
      </c>
      <c r="P838" s="9">
        <v>1.2845000000000001E-4</v>
      </c>
      <c r="Q838" s="9">
        <v>1.1743000000000001E-4</v>
      </c>
      <c r="R838" s="10">
        <v>5.040038387602105E-5</v>
      </c>
      <c r="S838" s="10">
        <v>2.7790308827859729E-5</v>
      </c>
      <c r="T838" s="10">
        <v>0</v>
      </c>
      <c r="U838" s="10">
        <v>1.884E-4</v>
      </c>
      <c r="V838" s="25"/>
      <c r="W838" s="25"/>
      <c r="X838" s="25"/>
      <c r="Y838" s="25"/>
      <c r="Z838" s="25"/>
      <c r="AA838" s="25"/>
    </row>
    <row r="839" spans="1:27" x14ac:dyDescent="0.35">
      <c r="A839" s="5">
        <v>835</v>
      </c>
      <c r="B839" s="5">
        <v>35</v>
      </c>
      <c r="C839" s="5">
        <v>2</v>
      </c>
      <c r="D839" s="25">
        <v>1.1416E-4</v>
      </c>
      <c r="E839" s="25">
        <v>1.1035999999999999E-4</v>
      </c>
      <c r="F839" s="25">
        <v>1.208E-4</v>
      </c>
      <c r="G839" s="25">
        <v>1.1153E-4</v>
      </c>
      <c r="H839" s="25">
        <v>2.8079999999999999E-5</v>
      </c>
      <c r="I839" s="9">
        <v>1.4882E-4</v>
      </c>
      <c r="J839" s="9">
        <v>1.4882E-4</v>
      </c>
      <c r="K839" s="9">
        <v>1.9073000000000001E-4</v>
      </c>
      <c r="L839" s="9">
        <v>1.4033000000000001E-4</v>
      </c>
      <c r="M839" s="9">
        <v>1.2651000000000001E-4</v>
      </c>
      <c r="N839" s="9">
        <v>1.2999999999999999E-4</v>
      </c>
      <c r="O839" s="9">
        <v>1.4176999999999999E-4</v>
      </c>
      <c r="P839" s="9">
        <v>1.2342000000000001E-4</v>
      </c>
      <c r="Q839" s="9">
        <v>1.0683000000000001E-4</v>
      </c>
      <c r="R839" s="10">
        <v>7.1109485829788346E-5</v>
      </c>
      <c r="S839" s="10">
        <v>3.0668204795015973E-5</v>
      </c>
      <c r="T839" s="10">
        <v>0</v>
      </c>
      <c r="U839" s="10">
        <v>1.884E-4</v>
      </c>
      <c r="V839" s="25"/>
      <c r="W839" s="25"/>
      <c r="X839" s="25"/>
      <c r="Y839" s="25"/>
      <c r="Z839" s="25"/>
      <c r="AA839" s="25"/>
    </row>
    <row r="840" spans="1:27" x14ac:dyDescent="0.35">
      <c r="A840" s="5">
        <v>836</v>
      </c>
      <c r="B840" s="5">
        <v>35</v>
      </c>
      <c r="C840" s="5">
        <v>2</v>
      </c>
      <c r="D840" s="25">
        <v>1.1415000000000001E-4</v>
      </c>
      <c r="E840" s="25">
        <v>1.0665E-4</v>
      </c>
      <c r="F840" s="25">
        <v>1.2248000000000001E-4</v>
      </c>
      <c r="G840" s="25">
        <v>1.1246E-4</v>
      </c>
      <c r="H840" s="25">
        <v>2.8549999999999999E-5</v>
      </c>
      <c r="I840" s="9">
        <v>1.4302999999999999E-4</v>
      </c>
      <c r="J840" s="9">
        <v>1.4433999999999999E-4</v>
      </c>
      <c r="K840" s="9">
        <v>2.1617000000000001E-4</v>
      </c>
      <c r="L840" s="9">
        <v>1.4143000000000001E-4</v>
      </c>
      <c r="M840" s="9">
        <v>1.2533999999999999E-4</v>
      </c>
      <c r="N840" s="9">
        <v>1.208E-4</v>
      </c>
      <c r="O840" s="9">
        <v>1.4372000000000001E-4</v>
      </c>
      <c r="P840" s="9">
        <v>1.2159000000000001E-4</v>
      </c>
      <c r="Q840" s="9">
        <v>1.0131E-4</v>
      </c>
      <c r="R840" s="10">
        <v>7.8389620748813745E-5</v>
      </c>
      <c r="S840" s="10">
        <v>3.0446504204701021E-5</v>
      </c>
      <c r="T840" s="10">
        <v>0</v>
      </c>
      <c r="U840" s="10">
        <v>1.884E-4</v>
      </c>
      <c r="V840" s="25"/>
      <c r="W840" s="25"/>
      <c r="X840" s="25"/>
      <c r="Y840" s="25"/>
      <c r="Z840" s="25"/>
      <c r="AA840" s="25"/>
    </row>
    <row r="841" spans="1:27" x14ac:dyDescent="0.35">
      <c r="A841" s="5">
        <v>837</v>
      </c>
      <c r="B841" s="5">
        <v>35</v>
      </c>
      <c r="C841" s="5">
        <v>2</v>
      </c>
      <c r="D841" s="25">
        <v>1.1416E-4</v>
      </c>
      <c r="E841" s="25">
        <v>1.1548999999999999E-4</v>
      </c>
      <c r="F841" s="25">
        <v>1.227E-4</v>
      </c>
      <c r="G841" s="25">
        <v>6.0590000000000001E-5</v>
      </c>
      <c r="H841" s="25">
        <v>1.3869999999999999E-5</v>
      </c>
      <c r="I841" s="9">
        <v>1.3515000000000001E-4</v>
      </c>
      <c r="J841" s="9">
        <v>1.3756E-4</v>
      </c>
      <c r="K841" s="9">
        <v>2.4583999999999999E-4</v>
      </c>
      <c r="L841" s="9">
        <v>1.4321000000000001E-4</v>
      </c>
      <c r="M841" s="9">
        <v>1.2373000000000001E-4</v>
      </c>
      <c r="N841" s="9">
        <v>1.1297E-4</v>
      </c>
      <c r="O841" s="9">
        <v>8.5140000000000001E-5</v>
      </c>
      <c r="P841" s="9">
        <v>8.6689999999999998E-5</v>
      </c>
      <c r="Q841" s="9">
        <v>8.8700000000000001E-5</v>
      </c>
      <c r="R841" s="10">
        <v>7.7913275400535558E-5</v>
      </c>
      <c r="S841" s="10">
        <v>2.8886528806498699E-5</v>
      </c>
      <c r="T841" s="10">
        <v>0</v>
      </c>
      <c r="U841" s="10">
        <v>1.884E-4</v>
      </c>
      <c r="V841" s="25"/>
      <c r="W841" s="25"/>
      <c r="X841" s="25"/>
      <c r="Y841" s="25"/>
      <c r="Z841" s="25"/>
      <c r="AA841" s="25"/>
    </row>
    <row r="842" spans="1:27" x14ac:dyDescent="0.35">
      <c r="A842" s="5">
        <v>838</v>
      </c>
      <c r="B842" s="5">
        <v>35</v>
      </c>
      <c r="C842" s="5">
        <v>2</v>
      </c>
      <c r="D842" s="25">
        <v>1.1415000000000001E-4</v>
      </c>
      <c r="E842" s="25">
        <v>1.0522999999999999E-4</v>
      </c>
      <c r="F842" s="25">
        <v>1.0663E-4</v>
      </c>
      <c r="G842" s="25">
        <v>6.3059999999999996E-5</v>
      </c>
      <c r="H842" s="25">
        <v>1.641E-5</v>
      </c>
      <c r="I842" s="9">
        <v>1.2846E-4</v>
      </c>
      <c r="J842" s="9">
        <v>1.2892000000000001E-4</v>
      </c>
      <c r="K842" s="9">
        <v>2.6703000000000002E-4</v>
      </c>
      <c r="L842" s="9">
        <v>9.7880000000000005E-5</v>
      </c>
      <c r="M842" s="9">
        <v>1.0993999999999999E-4</v>
      </c>
      <c r="N842" s="9">
        <v>1.0543999999999999E-4</v>
      </c>
      <c r="O842" s="9">
        <v>8.8430000000000005E-5</v>
      </c>
      <c r="P842" s="9">
        <v>8.8560000000000006E-5</v>
      </c>
      <c r="Q842" s="9">
        <v>8.9220000000000003E-5</v>
      </c>
      <c r="R842" s="10">
        <v>6.8143868028253593E-5</v>
      </c>
      <c r="S842" s="10">
        <v>2.4932349772798769E-5</v>
      </c>
      <c r="T842" s="10">
        <v>0</v>
      </c>
      <c r="U842" s="10">
        <v>1.884E-4</v>
      </c>
      <c r="V842" s="25"/>
      <c r="W842" s="25"/>
      <c r="X842" s="25"/>
      <c r="Y842" s="25"/>
      <c r="Z842" s="25"/>
      <c r="AA842" s="25"/>
    </row>
    <row r="843" spans="1:27" x14ac:dyDescent="0.35">
      <c r="A843" s="5">
        <v>839</v>
      </c>
      <c r="B843" s="5">
        <v>35</v>
      </c>
      <c r="C843" s="5">
        <v>2</v>
      </c>
      <c r="D843" s="25">
        <v>1.1416E-4</v>
      </c>
      <c r="E843" s="25">
        <v>1.1246E-4</v>
      </c>
      <c r="F843" s="25">
        <v>1.0535999999999999E-4</v>
      </c>
      <c r="G843" s="25">
        <v>5.3359999999999997E-5</v>
      </c>
      <c r="H843" s="25">
        <v>1.6500000000000001E-5</v>
      </c>
      <c r="I843" s="9">
        <v>1.3048000000000001E-4</v>
      </c>
      <c r="J843" s="9">
        <v>1.1938999999999999E-4</v>
      </c>
      <c r="K843" s="9">
        <v>2.5855000000000002E-4</v>
      </c>
      <c r="L843" s="9">
        <v>9.1769999999999997E-5</v>
      </c>
      <c r="M843" s="9">
        <v>9.8540000000000002E-5</v>
      </c>
      <c r="N843" s="9">
        <v>9.9900000000000002E-5</v>
      </c>
      <c r="O843" s="9">
        <v>8.5350000000000001E-5</v>
      </c>
      <c r="P843" s="9">
        <v>7.6039999999999997E-5</v>
      </c>
      <c r="Q843" s="9">
        <v>6.7360000000000006E-5</v>
      </c>
      <c r="R843" s="10">
        <v>5.6010041825304715E-5</v>
      </c>
      <c r="S843" s="10">
        <v>2.5207489140323315E-5</v>
      </c>
      <c r="T843" s="10">
        <v>0</v>
      </c>
      <c r="U843" s="10">
        <v>1.884E-4</v>
      </c>
      <c r="V843" s="25"/>
      <c r="W843" s="25"/>
      <c r="X843" s="25"/>
      <c r="Y843" s="25"/>
      <c r="Z843" s="25"/>
      <c r="AA843" s="25"/>
    </row>
    <row r="844" spans="1:27" x14ac:dyDescent="0.35">
      <c r="A844" s="5">
        <v>840</v>
      </c>
      <c r="B844" s="5">
        <v>35</v>
      </c>
      <c r="C844" s="5">
        <v>2</v>
      </c>
      <c r="D844" s="25">
        <v>1.1415000000000001E-4</v>
      </c>
      <c r="E844" s="25">
        <v>1.054E-4</v>
      </c>
      <c r="F844" s="25">
        <v>1.0377E-4</v>
      </c>
      <c r="G844" s="25">
        <v>6.3269999999999996E-5</v>
      </c>
      <c r="H844" s="25">
        <v>1.6220000000000001E-5</v>
      </c>
      <c r="I844" s="9">
        <v>1.2928000000000001E-4</v>
      </c>
      <c r="J844" s="9">
        <v>1.1182E-4</v>
      </c>
      <c r="K844" s="9">
        <v>2.7127E-4</v>
      </c>
      <c r="L844" s="9">
        <v>8.6970000000000002E-5</v>
      </c>
      <c r="M844" s="9">
        <v>8.7789999999999998E-5</v>
      </c>
      <c r="N844" s="9">
        <v>9.077E-5</v>
      </c>
      <c r="O844" s="9">
        <v>7.9469999999999996E-5</v>
      </c>
      <c r="P844" s="9">
        <v>6.8990000000000002E-5</v>
      </c>
      <c r="Q844" s="9">
        <v>5.906E-5</v>
      </c>
      <c r="R844" s="10">
        <v>2.7201303254267417E-5</v>
      </c>
      <c r="S844" s="10">
        <v>1.9329108878321493E-5</v>
      </c>
      <c r="T844" s="10">
        <v>0</v>
      </c>
      <c r="U844" s="10">
        <v>1.884E-4</v>
      </c>
      <c r="V844" s="25"/>
      <c r="W844" s="25"/>
      <c r="X844" s="25"/>
      <c r="Y844" s="25"/>
      <c r="Z844" s="25"/>
      <c r="AA844" s="25"/>
    </row>
    <row r="845" spans="1:27" x14ac:dyDescent="0.35">
      <c r="A845" s="5">
        <v>841</v>
      </c>
      <c r="B845" s="5">
        <v>36</v>
      </c>
      <c r="C845" s="5">
        <v>2</v>
      </c>
      <c r="D845" s="25">
        <v>1.1416E-4</v>
      </c>
      <c r="E845" s="25">
        <v>1.2313999999999999E-4</v>
      </c>
      <c r="F845" s="25">
        <v>1.1889E-4</v>
      </c>
      <c r="G845" s="25">
        <v>6.3089999999999994E-5</v>
      </c>
      <c r="H845" s="25">
        <v>7.559E-5</v>
      </c>
      <c r="I845" s="9">
        <v>1.2108999999999999E-4</v>
      </c>
      <c r="J845" s="9">
        <v>1.0495E-4</v>
      </c>
      <c r="K845" s="9">
        <v>2.8611000000000001E-4</v>
      </c>
      <c r="L845" s="9">
        <v>8.0920000000000005E-5</v>
      </c>
      <c r="M845" s="9">
        <v>7.8579999999999996E-5</v>
      </c>
      <c r="N845" s="9">
        <v>8.1429999999999998E-5</v>
      </c>
      <c r="O845" s="9">
        <v>5.5019999999999998E-5</v>
      </c>
      <c r="P845" s="9">
        <v>5.4429999999999999E-5</v>
      </c>
      <c r="Q845" s="9">
        <v>5.3999999999999998E-5</v>
      </c>
      <c r="R845" s="10">
        <v>2.1556454797271652E-5</v>
      </c>
      <c r="S845" s="10">
        <v>1.9717587069286923E-5</v>
      </c>
      <c r="T845" s="10">
        <v>0</v>
      </c>
      <c r="U845" s="10">
        <v>1.8883999999999999E-4</v>
      </c>
      <c r="V845" s="25"/>
      <c r="W845" s="25"/>
      <c r="X845" s="25"/>
      <c r="Y845" s="25"/>
      <c r="Z845" s="25"/>
      <c r="AA845" s="25"/>
    </row>
    <row r="846" spans="1:27" x14ac:dyDescent="0.35">
      <c r="A846" s="5">
        <v>842</v>
      </c>
      <c r="B846" s="5">
        <v>36</v>
      </c>
      <c r="C846" s="5">
        <v>2</v>
      </c>
      <c r="D846" s="25">
        <v>1.1415000000000001E-4</v>
      </c>
      <c r="E846" s="25">
        <v>1.2307E-4</v>
      </c>
      <c r="F846" s="25">
        <v>1.1692999999999999E-4</v>
      </c>
      <c r="G846" s="25">
        <v>5.533E-5</v>
      </c>
      <c r="H846" s="25">
        <v>7.4289999999999995E-5</v>
      </c>
      <c r="I846" s="9">
        <v>1.1574E-4</v>
      </c>
      <c r="J846" s="9">
        <v>1.0009E-4</v>
      </c>
      <c r="K846" s="9">
        <v>2.9459000000000001E-4</v>
      </c>
      <c r="L846" s="9">
        <v>6.0869999999999998E-5</v>
      </c>
      <c r="M846" s="9">
        <v>6.7710000000000001E-5</v>
      </c>
      <c r="N846" s="9">
        <v>7.2459999999999994E-5</v>
      </c>
      <c r="O846" s="9">
        <v>1.8640000000000001E-5</v>
      </c>
      <c r="P846" s="9">
        <v>3.7939999999999999E-5</v>
      </c>
      <c r="Q846" s="9">
        <v>5.6459999999999998E-5</v>
      </c>
      <c r="R846" s="10">
        <v>2.3689631775515163E-5</v>
      </c>
      <c r="S846" s="10">
        <v>2.2999872617396792E-5</v>
      </c>
      <c r="T846" s="10">
        <v>0</v>
      </c>
      <c r="U846" s="10">
        <v>1.8883999999999999E-4</v>
      </c>
      <c r="V846" s="25"/>
      <c r="W846" s="25"/>
      <c r="X846" s="25"/>
      <c r="Y846" s="25"/>
      <c r="Z846" s="25"/>
      <c r="AA846" s="25"/>
    </row>
    <row r="847" spans="1:27" x14ac:dyDescent="0.35">
      <c r="A847" s="5">
        <v>843</v>
      </c>
      <c r="B847" s="5">
        <v>36</v>
      </c>
      <c r="C847" s="5">
        <v>2</v>
      </c>
      <c r="D847" s="25">
        <v>1.1416E-4</v>
      </c>
      <c r="E847" s="25">
        <v>1.1577E-4</v>
      </c>
      <c r="F847" s="25">
        <v>1.2232000000000001E-4</v>
      </c>
      <c r="G847" s="25">
        <v>5.6539999999999997E-5</v>
      </c>
      <c r="H847" s="25">
        <v>6.6519999999999993E-5</v>
      </c>
      <c r="I847" s="9">
        <v>1.1056999999999999E-4</v>
      </c>
      <c r="J847" s="9">
        <v>9.7750000000000004E-5</v>
      </c>
      <c r="K847" s="9">
        <v>3.0306000000000002E-4</v>
      </c>
      <c r="L847" s="9">
        <v>2.847E-5</v>
      </c>
      <c r="M847" s="9">
        <v>5.4339999999999998E-5</v>
      </c>
      <c r="N847" s="9">
        <v>6.5900000000000003E-5</v>
      </c>
      <c r="O847" s="9">
        <v>1.3010000000000001E-5</v>
      </c>
      <c r="P847" s="9">
        <v>3.773E-5</v>
      </c>
      <c r="Q847" s="9">
        <v>6.1500000000000004E-5</v>
      </c>
      <c r="R847" s="10">
        <v>2.5560758677677664E-5</v>
      </c>
      <c r="S847" s="10">
        <v>2.7516416658976807E-5</v>
      </c>
      <c r="T847" s="10">
        <v>0</v>
      </c>
      <c r="U847" s="10">
        <v>1.8883999999999999E-4</v>
      </c>
      <c r="V847" s="25"/>
      <c r="W847" s="25"/>
      <c r="X847" s="25"/>
      <c r="Y847" s="25"/>
      <c r="Z847" s="25"/>
      <c r="AA847" s="25"/>
    </row>
    <row r="848" spans="1:27" x14ac:dyDescent="0.35">
      <c r="A848" s="5">
        <v>844</v>
      </c>
      <c r="B848" s="5">
        <v>36</v>
      </c>
      <c r="C848" s="5">
        <v>2</v>
      </c>
      <c r="D848" s="25">
        <v>1.1415000000000001E-4</v>
      </c>
      <c r="E848" s="25">
        <v>1.1472999999999999E-4</v>
      </c>
      <c r="F848" s="25">
        <v>1.2217E-4</v>
      </c>
      <c r="G848" s="25">
        <v>6.1719999999999999E-5</v>
      </c>
      <c r="H848" s="25">
        <v>6.8969999999999999E-5</v>
      </c>
      <c r="I848" s="9">
        <v>1.0739E-4</v>
      </c>
      <c r="J848" s="9">
        <v>9.6249999999999995E-5</v>
      </c>
      <c r="K848" s="9">
        <v>3.0518E-4</v>
      </c>
      <c r="L848" s="9">
        <v>1.7280000000000001E-5</v>
      </c>
      <c r="M848" s="9">
        <v>4.5130000000000003E-5</v>
      </c>
      <c r="N848" s="9">
        <v>6.2210000000000002E-5</v>
      </c>
      <c r="O848" s="9">
        <v>1.312E-5</v>
      </c>
      <c r="P848" s="9">
        <v>4.7589999999999997E-5</v>
      </c>
      <c r="Q848" s="9">
        <v>8.0939999999999994E-5</v>
      </c>
      <c r="R848" s="10">
        <v>2.5739815010938189E-5</v>
      </c>
      <c r="S848" s="10">
        <v>4.0310308814583774E-5</v>
      </c>
      <c r="T848" s="10">
        <v>0</v>
      </c>
      <c r="U848" s="10">
        <v>1.8883999999999999E-4</v>
      </c>
      <c r="V848" s="25"/>
      <c r="W848" s="25"/>
      <c r="X848" s="25"/>
      <c r="Y848" s="25"/>
      <c r="Z848" s="25"/>
      <c r="AA848" s="25"/>
    </row>
    <row r="849" spans="1:27" x14ac:dyDescent="0.35">
      <c r="A849" s="5">
        <v>845</v>
      </c>
      <c r="B849" s="5">
        <v>36</v>
      </c>
      <c r="C849" s="5">
        <v>2</v>
      </c>
      <c r="D849" s="25">
        <v>1.1416E-4</v>
      </c>
      <c r="E849" s="25">
        <v>1.2082E-4</v>
      </c>
      <c r="F849" s="25">
        <v>1.1471E-4</v>
      </c>
      <c r="G849" s="25">
        <v>5.7479999999999999E-5</v>
      </c>
      <c r="H849" s="25">
        <v>6.8310000000000002E-5</v>
      </c>
      <c r="I849" s="9">
        <v>1.0836E-4</v>
      </c>
      <c r="J849" s="9">
        <v>9.6860000000000004E-5</v>
      </c>
      <c r="K849" s="9">
        <v>3.1153000000000002E-4</v>
      </c>
      <c r="L849" s="9">
        <v>1.4219999999999999E-5</v>
      </c>
      <c r="M849" s="9">
        <v>4.3980000000000002E-5</v>
      </c>
      <c r="N849" s="9">
        <v>6.478E-5</v>
      </c>
      <c r="O849" s="9">
        <v>1.8640000000000001E-5</v>
      </c>
      <c r="P849" s="9">
        <v>5.6900000000000001E-5</v>
      </c>
      <c r="Q849" s="9">
        <v>9.4090000000000002E-5</v>
      </c>
      <c r="R849" s="10">
        <v>2.8247124776688089E-5</v>
      </c>
      <c r="S849" s="10">
        <v>5.7514318556680063E-5</v>
      </c>
      <c r="T849" s="10">
        <v>0</v>
      </c>
      <c r="U849" s="10">
        <v>1.8883999999999999E-4</v>
      </c>
      <c r="V849" s="25"/>
      <c r="W849" s="25"/>
      <c r="X849" s="25"/>
      <c r="Y849" s="25"/>
      <c r="Z849" s="25"/>
      <c r="AA849" s="25"/>
    </row>
    <row r="850" spans="1:27" x14ac:dyDescent="0.35">
      <c r="A850" s="5">
        <v>846</v>
      </c>
      <c r="B850" s="5">
        <v>36</v>
      </c>
      <c r="C850" s="5">
        <v>2</v>
      </c>
      <c r="D850" s="25">
        <v>1.1415000000000001E-4</v>
      </c>
      <c r="E850" s="25">
        <v>1.2527999999999999E-4</v>
      </c>
      <c r="F850" s="25">
        <v>1.3297999999999999E-4</v>
      </c>
      <c r="G850" s="25">
        <v>1.0473E-4</v>
      </c>
      <c r="H850" s="25">
        <v>1.3172999999999999E-4</v>
      </c>
      <c r="I850" s="9">
        <v>1.1347E-4</v>
      </c>
      <c r="J850" s="9">
        <v>1.0067E-4</v>
      </c>
      <c r="K850" s="9">
        <v>3.2214E-4</v>
      </c>
      <c r="L850" s="9">
        <v>1.753E-5</v>
      </c>
      <c r="M850" s="9">
        <v>4.8720000000000001E-5</v>
      </c>
      <c r="N850" s="9">
        <v>7.135E-5</v>
      </c>
      <c r="O850" s="9">
        <v>4.5859999999999998E-5</v>
      </c>
      <c r="P850" s="9">
        <v>7.6260000000000005E-5</v>
      </c>
      <c r="Q850" s="9">
        <v>1.0619E-4</v>
      </c>
      <c r="R850" s="10">
        <v>3.3491301837480393E-5</v>
      </c>
      <c r="S850" s="10">
        <v>7.3419022458860329E-5</v>
      </c>
      <c r="T850" s="10">
        <v>0</v>
      </c>
      <c r="U850" s="10">
        <v>1.8883999999999999E-4</v>
      </c>
      <c r="V850" s="25"/>
      <c r="W850" s="25"/>
      <c r="X850" s="25"/>
      <c r="Y850" s="25"/>
      <c r="Z850" s="25"/>
      <c r="AA850" s="25"/>
    </row>
    <row r="851" spans="1:27" x14ac:dyDescent="0.35">
      <c r="A851" s="5">
        <v>847</v>
      </c>
      <c r="B851" s="5">
        <v>36</v>
      </c>
      <c r="C851" s="5">
        <v>2</v>
      </c>
      <c r="D851" s="25">
        <v>1.1416E-4</v>
      </c>
      <c r="E851" s="25">
        <v>1.1385E-4</v>
      </c>
      <c r="F851" s="25">
        <v>1.2072E-4</v>
      </c>
      <c r="G851" s="25">
        <v>1.1161E-4</v>
      </c>
      <c r="H851" s="25">
        <v>1.2991000000000001E-4</v>
      </c>
      <c r="I851" s="9">
        <v>1.2568E-4</v>
      </c>
      <c r="J851" s="9">
        <v>1.1142E-4</v>
      </c>
      <c r="K851" s="9">
        <v>3.2636999999999998E-4</v>
      </c>
      <c r="L851" s="9">
        <v>3.9480000000000001E-5</v>
      </c>
      <c r="M851" s="9">
        <v>5.9969999999999997E-5</v>
      </c>
      <c r="N851" s="9">
        <v>8.0799999999999999E-5</v>
      </c>
      <c r="O851" s="9">
        <v>1.2355999999999999E-4</v>
      </c>
      <c r="P851" s="9">
        <v>1.1718E-4</v>
      </c>
      <c r="Q851" s="9">
        <v>1.1225E-4</v>
      </c>
      <c r="R851" s="10">
        <v>3.3347493816119836E-5</v>
      </c>
      <c r="S851" s="10">
        <v>8.4444990411055557E-5</v>
      </c>
      <c r="T851" s="10">
        <v>0</v>
      </c>
      <c r="U851" s="10">
        <v>1.8883999999999999E-4</v>
      </c>
      <c r="V851" s="25"/>
      <c r="W851" s="25"/>
      <c r="X851" s="25"/>
      <c r="Y851" s="25"/>
      <c r="Z851" s="25"/>
      <c r="AA851" s="25"/>
    </row>
    <row r="852" spans="1:27" x14ac:dyDescent="0.35">
      <c r="A852" s="5">
        <v>848</v>
      </c>
      <c r="B852" s="5">
        <v>36</v>
      </c>
      <c r="C852" s="5">
        <v>2</v>
      </c>
      <c r="D852" s="25">
        <v>1.1415000000000001E-4</v>
      </c>
      <c r="E852" s="25">
        <v>1.2048999999999999E-4</v>
      </c>
      <c r="F852" s="25">
        <v>1.3111000000000001E-4</v>
      </c>
      <c r="G852" s="25">
        <v>1.5957999999999999E-4</v>
      </c>
      <c r="H852" s="25">
        <v>1.9269999999999999E-4</v>
      </c>
      <c r="I852" s="9">
        <v>1.3778E-4</v>
      </c>
      <c r="J852" s="9">
        <v>1.3011000000000001E-4</v>
      </c>
      <c r="K852" s="9">
        <v>3.1577999999999999E-4</v>
      </c>
      <c r="L852" s="9">
        <v>1.0445E-4</v>
      </c>
      <c r="M852" s="9">
        <v>8.3479999999999994E-5</v>
      </c>
      <c r="N852" s="9">
        <v>9.0799999999999998E-5</v>
      </c>
      <c r="O852" s="9">
        <v>2.1871999999999999E-4</v>
      </c>
      <c r="P852" s="9">
        <v>1.7519000000000001E-4</v>
      </c>
      <c r="Q852" s="9">
        <v>1.3532999999999999E-4</v>
      </c>
      <c r="R852" s="10">
        <v>3.6530060683540466E-5</v>
      </c>
      <c r="S852" s="10">
        <v>9.2108597906376285E-5</v>
      </c>
      <c r="T852" s="10">
        <v>0</v>
      </c>
      <c r="U852" s="10">
        <v>1.8883999999999999E-4</v>
      </c>
      <c r="V852" s="25"/>
      <c r="W852" s="25"/>
      <c r="X852" s="25"/>
      <c r="Y852" s="25"/>
      <c r="Z852" s="25"/>
      <c r="AA852" s="25"/>
    </row>
    <row r="853" spans="1:27" x14ac:dyDescent="0.35">
      <c r="A853" s="5">
        <v>849</v>
      </c>
      <c r="B853" s="5">
        <v>36</v>
      </c>
      <c r="C853" s="5">
        <v>2</v>
      </c>
      <c r="D853" s="25">
        <v>1.1416E-4</v>
      </c>
      <c r="E853" s="25">
        <v>1.1561E-4</v>
      </c>
      <c r="F853" s="25">
        <v>1.2082E-4</v>
      </c>
      <c r="G853" s="25">
        <v>1.5935E-4</v>
      </c>
      <c r="H853" s="25">
        <v>2.0358E-4</v>
      </c>
      <c r="I853" s="9">
        <v>1.4024E-4</v>
      </c>
      <c r="J853" s="9">
        <v>1.4140999999999999E-4</v>
      </c>
      <c r="K853" s="9">
        <v>2.9881999999999999E-4</v>
      </c>
      <c r="L853" s="9">
        <v>1.918E-4</v>
      </c>
      <c r="M853" s="9">
        <v>1.2258000000000001E-4</v>
      </c>
      <c r="N853" s="9">
        <v>1.0420999999999999E-4</v>
      </c>
      <c r="O853" s="9">
        <v>2.1191999999999999E-4</v>
      </c>
      <c r="P853" s="9">
        <v>1.9254E-4</v>
      </c>
      <c r="Q853" s="9">
        <v>1.7632999999999999E-4</v>
      </c>
      <c r="R853" s="10">
        <v>4.8772172200047922E-5</v>
      </c>
      <c r="S853" s="10">
        <v>1.0441685783599517E-4</v>
      </c>
      <c r="T853" s="10">
        <v>5.2356611289729472E-5</v>
      </c>
      <c r="U853" s="10">
        <v>1.8883999999999999E-4</v>
      </c>
      <c r="V853" s="25"/>
      <c r="W853" s="25"/>
      <c r="X853" s="25"/>
      <c r="Y853" s="25"/>
      <c r="Z853" s="25"/>
      <c r="AA853" s="25"/>
    </row>
    <row r="854" spans="1:27" x14ac:dyDescent="0.35">
      <c r="A854" s="5">
        <v>850</v>
      </c>
      <c r="B854" s="5">
        <v>36</v>
      </c>
      <c r="C854" s="5">
        <v>2</v>
      </c>
      <c r="D854" s="25">
        <v>1.1415000000000001E-4</v>
      </c>
      <c r="E854" s="25">
        <v>1.1867E-4</v>
      </c>
      <c r="F854" s="25">
        <v>1.1304E-4</v>
      </c>
      <c r="G854" s="25">
        <v>1.6529000000000001E-4</v>
      </c>
      <c r="H854" s="25">
        <v>2.0118999999999999E-4</v>
      </c>
      <c r="I854" s="9">
        <v>1.418E-4</v>
      </c>
      <c r="J854" s="9">
        <v>1.4559999999999999E-4</v>
      </c>
      <c r="K854" s="9">
        <v>2.7763000000000001E-4</v>
      </c>
      <c r="L854" s="9">
        <v>2.052E-4</v>
      </c>
      <c r="M854" s="9">
        <v>1.5767E-4</v>
      </c>
      <c r="N854" s="9">
        <v>1.2409000000000001E-4</v>
      </c>
      <c r="O854" s="9">
        <v>1.6726999999999999E-4</v>
      </c>
      <c r="P854" s="9">
        <v>1.7322999999999999E-4</v>
      </c>
      <c r="Q854" s="9">
        <v>1.8120000000000001E-4</v>
      </c>
      <c r="R854" s="10">
        <v>6.7332139023418278E-5</v>
      </c>
      <c r="S854" s="10">
        <v>1.1014982992258606E-4</v>
      </c>
      <c r="T854" s="10">
        <v>1.1904320418184964E-4</v>
      </c>
      <c r="U854" s="10">
        <v>1.8883999999999999E-4</v>
      </c>
      <c r="V854" s="25"/>
      <c r="W854" s="25"/>
      <c r="X854" s="25"/>
      <c r="Y854" s="25"/>
      <c r="Z854" s="25"/>
      <c r="AA854" s="25"/>
    </row>
    <row r="855" spans="1:27" x14ac:dyDescent="0.35">
      <c r="A855" s="5">
        <v>851</v>
      </c>
      <c r="B855" s="5">
        <v>36</v>
      </c>
      <c r="C855" s="5">
        <v>2</v>
      </c>
      <c r="D855" s="25">
        <v>1.1416E-4</v>
      </c>
      <c r="E855" s="25">
        <v>1.1924E-4</v>
      </c>
      <c r="F855" s="25">
        <v>1.2070000000000001E-4</v>
      </c>
      <c r="G855" s="25">
        <v>1.5799999999999999E-4</v>
      </c>
      <c r="H855" s="25">
        <v>2.0081999999999999E-4</v>
      </c>
      <c r="I855" s="9">
        <v>1.4295000000000001E-4</v>
      </c>
      <c r="J855" s="9">
        <v>1.4652E-4</v>
      </c>
      <c r="K855" s="9">
        <v>2.6067000000000001E-4</v>
      </c>
      <c r="L855" s="9">
        <v>1.7567E-4</v>
      </c>
      <c r="M855" s="9">
        <v>1.7142000000000001E-4</v>
      </c>
      <c r="N855" s="9">
        <v>1.4200000000000001E-4</v>
      </c>
      <c r="O855" s="9">
        <v>1.6937000000000001E-4</v>
      </c>
      <c r="P855" s="9">
        <v>1.7405E-4</v>
      </c>
      <c r="Q855" s="9">
        <v>1.8076999999999999E-4</v>
      </c>
      <c r="R855" s="10">
        <v>7.8629346712022179E-5</v>
      </c>
      <c r="S855" s="10">
        <v>1.1049363824007326E-4</v>
      </c>
      <c r="T855" s="10">
        <v>1.2097762443368215E-4</v>
      </c>
      <c r="U855" s="10">
        <v>1.8883999999999999E-4</v>
      </c>
      <c r="V855" s="25"/>
      <c r="W855" s="25"/>
      <c r="X855" s="25"/>
      <c r="Y855" s="25"/>
      <c r="Z855" s="25"/>
      <c r="AA855" s="25"/>
    </row>
    <row r="856" spans="1:27" x14ac:dyDescent="0.35">
      <c r="A856" s="5">
        <v>852</v>
      </c>
      <c r="B856" s="5">
        <v>36</v>
      </c>
      <c r="C856" s="5">
        <v>2</v>
      </c>
      <c r="D856" s="25">
        <v>1.1415000000000001E-4</v>
      </c>
      <c r="E856" s="25">
        <v>1.2232000000000001E-4</v>
      </c>
      <c r="F856" s="25">
        <v>1.2166E-4</v>
      </c>
      <c r="G856" s="25">
        <v>1.6325000000000001E-4</v>
      </c>
      <c r="H856" s="25">
        <v>1.9232E-4</v>
      </c>
      <c r="I856" s="9">
        <v>1.4422999999999999E-4</v>
      </c>
      <c r="J856" s="9">
        <v>1.4642E-4</v>
      </c>
      <c r="K856" s="9">
        <v>2.4372E-4</v>
      </c>
      <c r="L856" s="9">
        <v>1.7217E-4</v>
      </c>
      <c r="M856" s="9">
        <v>1.7469999999999999E-4</v>
      </c>
      <c r="N856" s="9">
        <v>1.5645000000000001E-4</v>
      </c>
      <c r="O856" s="9">
        <v>1.7217E-4</v>
      </c>
      <c r="P856" s="9">
        <v>1.727E-4</v>
      </c>
      <c r="Q856" s="9">
        <v>1.7539000000000001E-4</v>
      </c>
      <c r="R856" s="10">
        <v>4.3865328461745664E-5</v>
      </c>
      <c r="S856" s="10">
        <v>1.0656634134273872E-4</v>
      </c>
      <c r="T856" s="10">
        <v>5.7315684259887773E-4</v>
      </c>
      <c r="U856" s="10">
        <v>1.8883999999999999E-4</v>
      </c>
      <c r="V856" s="25"/>
      <c r="W856" s="25"/>
      <c r="X856" s="25"/>
      <c r="Y856" s="25"/>
      <c r="Z856" s="25"/>
      <c r="AA856" s="25"/>
    </row>
    <row r="857" spans="1:27" x14ac:dyDescent="0.35">
      <c r="A857" s="5">
        <v>853</v>
      </c>
      <c r="B857" s="5">
        <v>36</v>
      </c>
      <c r="C857" s="5">
        <v>2</v>
      </c>
      <c r="D857" s="25">
        <v>1.1416E-4</v>
      </c>
      <c r="E857" s="25">
        <v>1.1912E-4</v>
      </c>
      <c r="F857" s="25">
        <v>1.3116000000000001E-4</v>
      </c>
      <c r="G857" s="25">
        <v>1.5746999999999999E-4</v>
      </c>
      <c r="H857" s="25">
        <v>2.0019999999999999E-4</v>
      </c>
      <c r="I857" s="9">
        <v>1.4166E-4</v>
      </c>
      <c r="J857" s="9">
        <v>1.4349999999999999E-4</v>
      </c>
      <c r="K857" s="9">
        <v>2.2887999999999999E-4</v>
      </c>
      <c r="L857" s="9">
        <v>1.7229999999999999E-4</v>
      </c>
      <c r="M857" s="9">
        <v>1.7435000000000001E-4</v>
      </c>
      <c r="N857" s="9">
        <v>1.6629000000000001E-4</v>
      </c>
      <c r="O857" s="9">
        <v>1.6133E-4</v>
      </c>
      <c r="P857" s="9">
        <v>1.6271999999999999E-4</v>
      </c>
      <c r="Q857" s="9">
        <v>1.6609E-4</v>
      </c>
      <c r="R857" s="10">
        <v>4.8389956782670521E-5</v>
      </c>
      <c r="S857" s="10">
        <v>1.0118561695621839E-4</v>
      </c>
      <c r="T857" s="10">
        <v>6.7161713655728157E-5</v>
      </c>
      <c r="U857" s="10">
        <v>1.8883999999999999E-4</v>
      </c>
      <c r="V857" s="25"/>
      <c r="W857" s="25"/>
      <c r="X857" s="25"/>
      <c r="Y857" s="25"/>
      <c r="Z857" s="25"/>
      <c r="AA857" s="25"/>
    </row>
    <row r="858" spans="1:27" x14ac:dyDescent="0.35">
      <c r="A858" s="5">
        <v>854</v>
      </c>
      <c r="B858" s="5">
        <v>36</v>
      </c>
      <c r="C858" s="5">
        <v>2</v>
      </c>
      <c r="D858" s="25">
        <v>1.1415000000000001E-4</v>
      </c>
      <c r="E858" s="25">
        <v>1.1998999999999999E-4</v>
      </c>
      <c r="F858" s="25">
        <v>1.1306000000000001E-4</v>
      </c>
      <c r="G858" s="25">
        <v>1.6370999999999999E-4</v>
      </c>
      <c r="H858" s="25">
        <v>2.0176999999999999E-4</v>
      </c>
      <c r="I858" s="9">
        <v>1.4093999999999999E-4</v>
      </c>
      <c r="J858" s="9">
        <v>1.4289000000000001E-4</v>
      </c>
      <c r="K858" s="9">
        <v>2.2889000000000001E-4</v>
      </c>
      <c r="L858" s="9">
        <v>1.6347000000000001E-4</v>
      </c>
      <c r="M858" s="9">
        <v>1.7002E-4</v>
      </c>
      <c r="N858" s="9">
        <v>1.7042000000000001E-4</v>
      </c>
      <c r="O858" s="9">
        <v>1.8007E-4</v>
      </c>
      <c r="P858" s="9">
        <v>1.6953000000000001E-4</v>
      </c>
      <c r="Q858" s="9">
        <v>1.6147000000000001E-4</v>
      </c>
      <c r="R858" s="10">
        <v>8.6085854955733583E-5</v>
      </c>
      <c r="S858" s="10">
        <v>9.1314410307473992E-5</v>
      </c>
      <c r="T858" s="10">
        <v>2.0603272541886087E-4</v>
      </c>
      <c r="U858" s="10">
        <v>1.8883999999999999E-4</v>
      </c>
      <c r="V858" s="25"/>
      <c r="W858" s="25"/>
      <c r="X858" s="25"/>
      <c r="Y858" s="25"/>
      <c r="Z858" s="25"/>
      <c r="AA858" s="25"/>
    </row>
    <row r="859" spans="1:27" x14ac:dyDescent="0.35">
      <c r="A859" s="5">
        <v>855</v>
      </c>
      <c r="B859" s="5">
        <v>36</v>
      </c>
      <c r="C859" s="5">
        <v>2</v>
      </c>
      <c r="D859" s="25">
        <v>1.1416E-4</v>
      </c>
      <c r="E859" s="25">
        <v>1.1459E-4</v>
      </c>
      <c r="F859" s="25">
        <v>1.1904E-4</v>
      </c>
      <c r="G859" s="25">
        <v>1.6139E-4</v>
      </c>
      <c r="H859" s="25">
        <v>1.9060999999999999E-4</v>
      </c>
      <c r="I859" s="9">
        <v>1.3971E-4</v>
      </c>
      <c r="J859" s="9">
        <v>1.4206000000000001E-4</v>
      </c>
      <c r="K859" s="9">
        <v>2.2887999999999999E-4</v>
      </c>
      <c r="L859" s="9">
        <v>1.7665000000000001E-4</v>
      </c>
      <c r="M859" s="9">
        <v>1.6859000000000001E-4</v>
      </c>
      <c r="N859" s="9">
        <v>1.7016000000000001E-4</v>
      </c>
      <c r="O859" s="9">
        <v>1.8647E-4</v>
      </c>
      <c r="P859" s="9">
        <v>1.6893E-4</v>
      </c>
      <c r="Q859" s="9">
        <v>1.5409000000000001E-4</v>
      </c>
      <c r="R859" s="10">
        <v>1.0564136180202885E-4</v>
      </c>
      <c r="S859" s="10">
        <v>8.8206376556832891E-5</v>
      </c>
      <c r="T859" s="10">
        <v>1.2431195407828816E-4</v>
      </c>
      <c r="U859" s="10">
        <v>1.8883999999999999E-4</v>
      </c>
      <c r="V859" s="25"/>
      <c r="W859" s="25"/>
      <c r="X859" s="25"/>
      <c r="Y859" s="25"/>
      <c r="Z859" s="25"/>
      <c r="AA859" s="25"/>
    </row>
    <row r="860" spans="1:27" x14ac:dyDescent="0.35">
      <c r="A860" s="5">
        <v>856</v>
      </c>
      <c r="B860" s="5">
        <v>36</v>
      </c>
      <c r="C860" s="5">
        <v>2</v>
      </c>
      <c r="D860" s="25">
        <v>1.1415000000000001E-4</v>
      </c>
      <c r="E860" s="25">
        <v>1.1851E-4</v>
      </c>
      <c r="F860" s="25">
        <v>1.2689999999999999E-4</v>
      </c>
      <c r="G860" s="25">
        <v>1.5731E-4</v>
      </c>
      <c r="H860" s="25">
        <v>1.9508000000000001E-4</v>
      </c>
      <c r="I860" s="9">
        <v>1.3818000000000001E-4</v>
      </c>
      <c r="J860" s="9">
        <v>1.407E-4</v>
      </c>
      <c r="K860" s="9">
        <v>2.3735999999999999E-4</v>
      </c>
      <c r="L860" s="9">
        <v>1.8396999999999999E-4</v>
      </c>
      <c r="M860" s="9">
        <v>1.6845E-4</v>
      </c>
      <c r="N860" s="9">
        <v>1.6663999999999999E-4</v>
      </c>
      <c r="O860" s="9">
        <v>2.0002E-4</v>
      </c>
      <c r="P860" s="9">
        <v>1.5362000000000001E-4</v>
      </c>
      <c r="Q860" s="9">
        <v>1.106E-4</v>
      </c>
      <c r="R860" s="10">
        <v>1.2112227565604597E-4</v>
      </c>
      <c r="S860" s="10">
        <v>9.1223074173044663E-5</v>
      </c>
      <c r="T860" s="10">
        <v>1.0411932162494896E-4</v>
      </c>
      <c r="U860" s="10">
        <v>1.8883999999999999E-4</v>
      </c>
      <c r="V860" s="25"/>
      <c r="W860" s="25"/>
      <c r="X860" s="25"/>
      <c r="Y860" s="25"/>
      <c r="Z860" s="25"/>
      <c r="AA860" s="25"/>
    </row>
    <row r="861" spans="1:27" x14ac:dyDescent="0.35">
      <c r="A861" s="5">
        <v>857</v>
      </c>
      <c r="B861" s="5">
        <v>36</v>
      </c>
      <c r="C861" s="5">
        <v>2</v>
      </c>
      <c r="D861" s="25">
        <v>1.1416E-4</v>
      </c>
      <c r="E861" s="25">
        <v>1.1760999999999999E-4</v>
      </c>
      <c r="F861" s="25">
        <v>1.1290000000000001E-4</v>
      </c>
      <c r="G861" s="25">
        <v>1.5956999999999999E-4</v>
      </c>
      <c r="H861" s="25">
        <v>1.9959000000000001E-4</v>
      </c>
      <c r="I861" s="9">
        <v>1.3715E-4</v>
      </c>
      <c r="J861" s="9">
        <v>1.4077E-4</v>
      </c>
      <c r="K861" s="9">
        <v>2.5008000000000002E-4</v>
      </c>
      <c r="L861" s="9">
        <v>1.9621999999999999E-4</v>
      </c>
      <c r="M861" s="9">
        <v>1.6320000000000001E-4</v>
      </c>
      <c r="N861" s="9">
        <v>1.5304000000000001E-4</v>
      </c>
      <c r="O861" s="9">
        <v>2.1390999999999999E-4</v>
      </c>
      <c r="P861" s="9">
        <v>1.5830999999999999E-4</v>
      </c>
      <c r="Q861" s="9">
        <v>1.0648E-4</v>
      </c>
      <c r="R861" s="10">
        <v>1.2532883208458392E-4</v>
      </c>
      <c r="S861" s="10">
        <v>9.7212413740086805E-5</v>
      </c>
      <c r="T861" s="10">
        <v>0</v>
      </c>
      <c r="U861" s="10">
        <v>1.8883999999999999E-4</v>
      </c>
      <c r="V861" s="25"/>
      <c r="W861" s="25"/>
      <c r="X861" s="25"/>
      <c r="Y861" s="25"/>
      <c r="Z861" s="25"/>
      <c r="AA861" s="25"/>
    </row>
    <row r="862" spans="1:27" x14ac:dyDescent="0.35">
      <c r="A862" s="5">
        <v>858</v>
      </c>
      <c r="B862" s="5">
        <v>36</v>
      </c>
      <c r="C862" s="5">
        <v>2</v>
      </c>
      <c r="D862" s="25">
        <v>1.1415000000000001E-4</v>
      </c>
      <c r="E862" s="25">
        <v>1.1348E-4</v>
      </c>
      <c r="F862" s="25">
        <v>1.3079000000000001E-4</v>
      </c>
      <c r="G862" s="25">
        <v>1.6143E-4</v>
      </c>
      <c r="H862" s="25">
        <v>1.9374999999999999E-4</v>
      </c>
      <c r="I862" s="9">
        <v>1.4043000000000001E-4</v>
      </c>
      <c r="J862" s="9">
        <v>1.4562000000000001E-4</v>
      </c>
      <c r="K862" s="9">
        <v>2.5008000000000002E-4</v>
      </c>
      <c r="L862" s="9">
        <v>2.0977999999999999E-4</v>
      </c>
      <c r="M862" s="9">
        <v>1.5995000000000001E-4</v>
      </c>
      <c r="N862" s="9">
        <v>1.3945E-4</v>
      </c>
      <c r="O862" s="9">
        <v>2.0583E-4</v>
      </c>
      <c r="P862" s="9">
        <v>1.5979000000000001E-4</v>
      </c>
      <c r="Q862" s="9">
        <v>1.1723E-4</v>
      </c>
      <c r="R862" s="10">
        <v>1.3225288815312382E-4</v>
      </c>
      <c r="S862" s="10">
        <v>9.3227416145251417E-5</v>
      </c>
      <c r="T862" s="10">
        <v>0</v>
      </c>
      <c r="U862" s="10">
        <v>1.8883999999999999E-4</v>
      </c>
      <c r="V862" s="25"/>
      <c r="W862" s="25"/>
      <c r="X862" s="25"/>
      <c r="Y862" s="25"/>
      <c r="Z862" s="25"/>
      <c r="AA862" s="25"/>
    </row>
    <row r="863" spans="1:27" x14ac:dyDescent="0.35">
      <c r="A863" s="5">
        <v>859</v>
      </c>
      <c r="B863" s="5">
        <v>36</v>
      </c>
      <c r="C863" s="5">
        <v>2</v>
      </c>
      <c r="D863" s="25">
        <v>1.1416E-4</v>
      </c>
      <c r="E863" s="25">
        <v>1.2017E-4</v>
      </c>
      <c r="F863" s="25">
        <v>1.247E-4</v>
      </c>
      <c r="G863" s="25">
        <v>1.0873E-4</v>
      </c>
      <c r="H863" s="25">
        <v>1.2977999999999999E-4</v>
      </c>
      <c r="I863" s="9">
        <v>1.4252000000000001E-4</v>
      </c>
      <c r="J863" s="9">
        <v>1.4365999999999999E-4</v>
      </c>
      <c r="K863" s="9">
        <v>2.4795999999999998E-4</v>
      </c>
      <c r="L863" s="9">
        <v>2.0636E-4</v>
      </c>
      <c r="M863" s="9">
        <v>1.5918E-4</v>
      </c>
      <c r="N863" s="9">
        <v>1.3023000000000001E-4</v>
      </c>
      <c r="O863" s="9">
        <v>1.65E-4</v>
      </c>
      <c r="P863" s="9">
        <v>1.3468E-4</v>
      </c>
      <c r="Q863" s="9">
        <v>1.069E-4</v>
      </c>
      <c r="R863" s="10">
        <v>1.6290341087068456E-4</v>
      </c>
      <c r="S863" s="10">
        <v>9.2934469265102364E-5</v>
      </c>
      <c r="T863" s="10">
        <v>0</v>
      </c>
      <c r="U863" s="10">
        <v>1.8883999999999999E-4</v>
      </c>
      <c r="V863" s="25"/>
      <c r="W863" s="25"/>
      <c r="X863" s="25"/>
      <c r="Y863" s="25"/>
      <c r="Z863" s="25"/>
      <c r="AA863" s="25"/>
    </row>
    <row r="864" spans="1:27" x14ac:dyDescent="0.35">
      <c r="A864" s="5">
        <v>860</v>
      </c>
      <c r="B864" s="5">
        <v>36</v>
      </c>
      <c r="C864" s="5">
        <v>2</v>
      </c>
      <c r="D864" s="25">
        <v>1.1415000000000001E-4</v>
      </c>
      <c r="E864" s="25">
        <v>1.2363000000000001E-4</v>
      </c>
      <c r="F864" s="25">
        <v>1.3013E-4</v>
      </c>
      <c r="G864" s="25">
        <v>1.1302E-4</v>
      </c>
      <c r="H864" s="25">
        <v>1.3760000000000001E-4</v>
      </c>
      <c r="I864" s="9">
        <v>1.3605999999999999E-4</v>
      </c>
      <c r="J864" s="9">
        <v>1.3794E-4</v>
      </c>
      <c r="K864" s="9">
        <v>2.4795999999999998E-4</v>
      </c>
      <c r="L864" s="9">
        <v>1.7427E-4</v>
      </c>
      <c r="M864" s="9">
        <v>1.5035E-4</v>
      </c>
      <c r="N864" s="9">
        <v>1.2098E-4</v>
      </c>
      <c r="O864" s="9">
        <v>1.2928000000000001E-4</v>
      </c>
      <c r="P864" s="9">
        <v>1.1467E-4</v>
      </c>
      <c r="Q864" s="9">
        <v>1.0172E-4</v>
      </c>
      <c r="R864" s="10">
        <v>1.8474821855203887E-4</v>
      </c>
      <c r="S864" s="10">
        <v>9.3152410286286477E-5</v>
      </c>
      <c r="T864" s="10">
        <v>0</v>
      </c>
      <c r="U864" s="10">
        <v>1.8883999999999999E-4</v>
      </c>
      <c r="V864" s="25"/>
      <c r="W864" s="25"/>
      <c r="X864" s="25"/>
      <c r="Y864" s="25"/>
      <c r="Z864" s="25"/>
      <c r="AA864" s="25"/>
    </row>
    <row r="865" spans="1:27" x14ac:dyDescent="0.35">
      <c r="A865" s="5">
        <v>861</v>
      </c>
      <c r="B865" s="5">
        <v>36</v>
      </c>
      <c r="C865" s="5">
        <v>2</v>
      </c>
      <c r="D865" s="25">
        <v>1.1416E-4</v>
      </c>
      <c r="E865" s="25">
        <v>1.2095999999999999E-4</v>
      </c>
      <c r="F865" s="25">
        <v>1.249E-4</v>
      </c>
      <c r="G865" s="25">
        <v>6.0050000000000003E-5</v>
      </c>
      <c r="H865" s="25">
        <v>6.7119999999999994E-5</v>
      </c>
      <c r="I865" s="9">
        <v>1.2903E-4</v>
      </c>
      <c r="J865" s="9">
        <v>1.3085000000000001E-4</v>
      </c>
      <c r="K865" s="9">
        <v>2.5008000000000002E-4</v>
      </c>
      <c r="L865" s="9">
        <v>1.4016000000000001E-4</v>
      </c>
      <c r="M865" s="9">
        <v>1.3505E-4</v>
      </c>
      <c r="N865" s="9">
        <v>1.1315999999999999E-4</v>
      </c>
      <c r="O865" s="9">
        <v>8.5749999999999997E-5</v>
      </c>
      <c r="P865" s="9">
        <v>8.7109999999999998E-5</v>
      </c>
      <c r="Q865" s="9">
        <v>8.9120000000000001E-5</v>
      </c>
      <c r="R865" s="10">
        <v>1.9664850026379093E-4</v>
      </c>
      <c r="S865" s="10">
        <v>9.3615675200925286E-5</v>
      </c>
      <c r="T865" s="10">
        <v>0</v>
      </c>
      <c r="U865" s="10">
        <v>1.8883999999999999E-4</v>
      </c>
      <c r="V865" s="25"/>
      <c r="W865" s="25"/>
      <c r="X865" s="25"/>
      <c r="Y865" s="25"/>
      <c r="Z865" s="25"/>
      <c r="AA865" s="25"/>
    </row>
    <row r="866" spans="1:27" x14ac:dyDescent="0.35">
      <c r="A866" s="5">
        <v>862</v>
      </c>
      <c r="B866" s="5">
        <v>36</v>
      </c>
      <c r="C866" s="5">
        <v>2</v>
      </c>
      <c r="D866" s="25">
        <v>1.1415000000000001E-4</v>
      </c>
      <c r="E866" s="25">
        <v>1.1629999999999999E-4</v>
      </c>
      <c r="F866" s="25">
        <v>1.1697999999999999E-4</v>
      </c>
      <c r="G866" s="25">
        <v>5.6280000000000003E-5</v>
      </c>
      <c r="H866" s="25">
        <v>6.6019999999999995E-5</v>
      </c>
      <c r="I866" s="9">
        <v>1.2166E-4</v>
      </c>
      <c r="J866" s="9">
        <v>1.2286999999999999E-4</v>
      </c>
      <c r="K866" s="9">
        <v>2.522E-4</v>
      </c>
      <c r="L866" s="9">
        <v>9.8640000000000004E-5</v>
      </c>
      <c r="M866" s="9">
        <v>1.1386E-4</v>
      </c>
      <c r="N866" s="9">
        <v>1.0569E-4</v>
      </c>
      <c r="O866" s="9">
        <v>8.8460000000000003E-5</v>
      </c>
      <c r="P866" s="9">
        <v>8.8380000000000004E-5</v>
      </c>
      <c r="Q866" s="9">
        <v>8.9040000000000001E-5</v>
      </c>
      <c r="R866" s="10">
        <v>2.0177794523257029E-4</v>
      </c>
      <c r="S866" s="10">
        <v>8.9760289529532532E-5</v>
      </c>
      <c r="T866" s="10">
        <v>0</v>
      </c>
      <c r="U866" s="10">
        <v>1.8883999999999999E-4</v>
      </c>
      <c r="V866" s="25"/>
      <c r="W866" s="25"/>
      <c r="X866" s="25"/>
      <c r="Y866" s="25"/>
      <c r="Z866" s="25"/>
      <c r="AA866" s="25"/>
    </row>
    <row r="867" spans="1:27" x14ac:dyDescent="0.35">
      <c r="A867" s="5">
        <v>863</v>
      </c>
      <c r="B867" s="5">
        <v>36</v>
      </c>
      <c r="C867" s="5">
        <v>2</v>
      </c>
      <c r="D867" s="25">
        <v>1.1416E-4</v>
      </c>
      <c r="E867" s="25">
        <v>1.1658999999999999E-4</v>
      </c>
      <c r="F867" s="25">
        <v>1.3039E-4</v>
      </c>
      <c r="G867" s="25">
        <v>5.715E-5</v>
      </c>
      <c r="H867" s="25">
        <v>6.9129999999999997E-5</v>
      </c>
      <c r="I867" s="9">
        <v>1.2485E-4</v>
      </c>
      <c r="J867" s="9">
        <v>1.1485999999999999E-4</v>
      </c>
      <c r="K867" s="9">
        <v>2.5008000000000002E-4</v>
      </c>
      <c r="L867" s="9">
        <v>9.1619999999999994E-5</v>
      </c>
      <c r="M867" s="9">
        <v>9.9500000000000006E-5</v>
      </c>
      <c r="N867" s="9">
        <v>1.0005000000000001E-4</v>
      </c>
      <c r="O867" s="9">
        <v>7.7639999999999995E-5</v>
      </c>
      <c r="P867" s="9">
        <v>7.1769999999999999E-5</v>
      </c>
      <c r="Q867" s="9">
        <v>6.6550000000000005E-5</v>
      </c>
      <c r="R867" s="10">
        <v>2.0325485474552714E-4</v>
      </c>
      <c r="S867" s="10">
        <v>8.3582909941955918E-5</v>
      </c>
      <c r="T867" s="10">
        <v>0</v>
      </c>
      <c r="U867" s="10">
        <v>1.8883999999999999E-4</v>
      </c>
      <c r="V867" s="25"/>
      <c r="W867" s="25"/>
      <c r="X867" s="25"/>
      <c r="Y867" s="25"/>
      <c r="Z867" s="25"/>
      <c r="AA867" s="25"/>
    </row>
    <row r="868" spans="1:27" x14ac:dyDescent="0.35">
      <c r="A868" s="5">
        <v>864</v>
      </c>
      <c r="B868" s="5">
        <v>36</v>
      </c>
      <c r="C868" s="5">
        <v>2</v>
      </c>
      <c r="D868" s="25">
        <v>1.1415000000000001E-4</v>
      </c>
      <c r="E868" s="25">
        <v>1.1435E-4</v>
      </c>
      <c r="F868" s="25">
        <v>1.2161E-4</v>
      </c>
      <c r="G868" s="25">
        <v>6.2710000000000001E-5</v>
      </c>
      <c r="H868" s="25">
        <v>6.8990000000000002E-5</v>
      </c>
      <c r="I868" s="9">
        <v>1.2428999999999999E-4</v>
      </c>
      <c r="J868" s="9">
        <v>1.0882000000000001E-4</v>
      </c>
      <c r="K868" s="9">
        <v>2.5431E-4</v>
      </c>
      <c r="L868" s="9">
        <v>8.0699999999999996E-5</v>
      </c>
      <c r="M868" s="9">
        <v>8.6370000000000001E-5</v>
      </c>
      <c r="N868" s="9">
        <v>9.0710000000000004E-5</v>
      </c>
      <c r="O868" s="9">
        <v>6.2269999999999998E-5</v>
      </c>
      <c r="P868" s="9">
        <v>6.0149999999999998E-5</v>
      </c>
      <c r="Q868" s="9">
        <v>5.8350000000000002E-5</v>
      </c>
      <c r="R868" s="10">
        <v>2.0632756984370276E-4</v>
      </c>
      <c r="S868" s="10">
        <v>8.2048319764128883E-5</v>
      </c>
      <c r="T868" s="10">
        <v>0</v>
      </c>
      <c r="U868" s="10">
        <v>1.8883999999999999E-4</v>
      </c>
      <c r="V868" s="25"/>
      <c r="W868" s="25"/>
      <c r="X868" s="25"/>
      <c r="Y868" s="25"/>
      <c r="Z868" s="25"/>
      <c r="AA868" s="25"/>
    </row>
    <row r="869" spans="1:27" x14ac:dyDescent="0.35">
      <c r="A869" s="5">
        <v>865</v>
      </c>
      <c r="B869" s="5">
        <v>37</v>
      </c>
      <c r="C869" s="5">
        <v>2</v>
      </c>
      <c r="D869" s="25">
        <v>1.1416E-4</v>
      </c>
      <c r="E869" s="25">
        <v>1.1947000000000001E-4</v>
      </c>
      <c r="F869" s="25">
        <v>1.186E-4</v>
      </c>
      <c r="G869" s="25">
        <v>6.2219999999999997E-5</v>
      </c>
      <c r="H869" s="25">
        <v>7.3579999999999997E-5</v>
      </c>
      <c r="I869" s="9">
        <v>1.1668E-4</v>
      </c>
      <c r="J869" s="9">
        <v>1.0245E-4</v>
      </c>
      <c r="K869" s="9">
        <v>2.6490999999999998E-4</v>
      </c>
      <c r="L869" s="9">
        <v>6.6359999999999995E-5</v>
      </c>
      <c r="M869" s="9">
        <v>7.3889999999999999E-5</v>
      </c>
      <c r="N869" s="9">
        <v>8.119E-5</v>
      </c>
      <c r="O869" s="9">
        <v>5.4929999999999998E-5</v>
      </c>
      <c r="P869" s="9">
        <v>5.4339999999999998E-5</v>
      </c>
      <c r="Q869" s="9">
        <v>5.3909999999999997E-5</v>
      </c>
      <c r="R869" s="10">
        <v>2.0650018261259657E-4</v>
      </c>
      <c r="S869" s="10">
        <v>7.9572804315332357E-5</v>
      </c>
      <c r="T869" s="10">
        <v>0</v>
      </c>
      <c r="U869" s="10">
        <v>1.9134999999999999E-4</v>
      </c>
      <c r="V869" s="25"/>
      <c r="W869" s="25"/>
      <c r="X869" s="25"/>
      <c r="Y869" s="25"/>
      <c r="Z869" s="25"/>
      <c r="AA869" s="25"/>
    </row>
    <row r="870" spans="1:27" x14ac:dyDescent="0.35">
      <c r="A870" s="5">
        <v>866</v>
      </c>
      <c r="B870" s="5">
        <v>37</v>
      </c>
      <c r="C870" s="5">
        <v>2</v>
      </c>
      <c r="D870" s="25">
        <v>1.1415000000000001E-4</v>
      </c>
      <c r="E870" s="25">
        <v>1.0904E-4</v>
      </c>
      <c r="F870" s="25">
        <v>1.2286999999999999E-4</v>
      </c>
      <c r="G870" s="25">
        <v>5.8019999999999997E-5</v>
      </c>
      <c r="H870" s="25">
        <v>6.8319999999999996E-5</v>
      </c>
      <c r="I870" s="9">
        <v>1.0901E-4</v>
      </c>
      <c r="J870" s="9">
        <v>9.7600000000000001E-5</v>
      </c>
      <c r="K870" s="9">
        <v>2.6491999999999998E-4</v>
      </c>
      <c r="L870" s="9">
        <v>5.7840000000000002E-5</v>
      </c>
      <c r="M870" s="9">
        <v>6.3880000000000005E-5</v>
      </c>
      <c r="N870" s="9">
        <v>7.2180000000000003E-5</v>
      </c>
      <c r="O870" s="9">
        <v>1.8459999999999999E-5</v>
      </c>
      <c r="P870" s="9">
        <v>3.7580000000000003E-5</v>
      </c>
      <c r="Q870" s="9">
        <v>5.592E-5</v>
      </c>
      <c r="R870" s="10">
        <v>2.0527416590579117E-4</v>
      </c>
      <c r="S870" s="10">
        <v>7.3238650350200036E-5</v>
      </c>
      <c r="T870" s="10">
        <v>0</v>
      </c>
      <c r="U870" s="10">
        <v>1.9134999999999999E-4</v>
      </c>
      <c r="V870" s="25"/>
      <c r="W870" s="25"/>
      <c r="X870" s="25"/>
      <c r="Y870" s="25"/>
      <c r="Z870" s="25"/>
      <c r="AA870" s="25"/>
    </row>
    <row r="871" spans="1:27" x14ac:dyDescent="0.35">
      <c r="A871" s="5">
        <v>867</v>
      </c>
      <c r="B871" s="5">
        <v>37</v>
      </c>
      <c r="C871" s="5">
        <v>2</v>
      </c>
      <c r="D871" s="25">
        <v>1.1416E-4</v>
      </c>
      <c r="E871" s="25">
        <v>1.1726999999999999E-4</v>
      </c>
      <c r="F871" s="25">
        <v>1.0593E-4</v>
      </c>
      <c r="G871" s="25">
        <v>5.5909999999999998E-5</v>
      </c>
      <c r="H871" s="25">
        <v>6.2910000000000006E-5</v>
      </c>
      <c r="I871" s="9">
        <v>1.0355E-4</v>
      </c>
      <c r="J871" s="9">
        <v>9.4160000000000006E-5</v>
      </c>
      <c r="K871" s="9">
        <v>2.7552000000000002E-4</v>
      </c>
      <c r="L871" s="9">
        <v>2.7310000000000001E-5</v>
      </c>
      <c r="M871" s="9">
        <v>5.215E-5</v>
      </c>
      <c r="N871" s="9">
        <v>6.5510000000000001E-5</v>
      </c>
      <c r="O871" s="9">
        <v>1.305E-5</v>
      </c>
      <c r="P871" s="9">
        <v>3.7849999999999998E-5</v>
      </c>
      <c r="Q871" s="9">
        <v>6.1690000000000001E-5</v>
      </c>
      <c r="R871" s="10">
        <v>2.030369057744015E-4</v>
      </c>
      <c r="S871" s="10">
        <v>6.9940569063832851E-5</v>
      </c>
      <c r="T871" s="10">
        <v>0</v>
      </c>
      <c r="U871" s="10">
        <v>1.9134999999999999E-4</v>
      </c>
      <c r="V871" s="25"/>
      <c r="W871" s="25"/>
      <c r="X871" s="25"/>
      <c r="Y871" s="25"/>
      <c r="Z871" s="25"/>
      <c r="AA871" s="25"/>
    </row>
    <row r="872" spans="1:27" x14ac:dyDescent="0.35">
      <c r="A872" s="5">
        <v>868</v>
      </c>
      <c r="B872" s="5">
        <v>37</v>
      </c>
      <c r="C872" s="5">
        <v>2</v>
      </c>
      <c r="D872" s="25">
        <v>1.1415000000000001E-4</v>
      </c>
      <c r="E872" s="25">
        <v>1.1368E-4</v>
      </c>
      <c r="F872" s="25">
        <v>1.1408000000000001E-4</v>
      </c>
      <c r="G872" s="25">
        <v>5.5210000000000002E-5</v>
      </c>
      <c r="H872" s="25">
        <v>7.6000000000000004E-5</v>
      </c>
      <c r="I872" s="9">
        <v>1.0005000000000001E-4</v>
      </c>
      <c r="J872" s="9">
        <v>9.2360000000000003E-5</v>
      </c>
      <c r="K872" s="9">
        <v>2.7127E-4</v>
      </c>
      <c r="L872" s="9">
        <v>1.694E-5</v>
      </c>
      <c r="M872" s="9">
        <v>4.4199999999999997E-5</v>
      </c>
      <c r="N872" s="9">
        <v>6.1909999999999995E-5</v>
      </c>
      <c r="O872" s="9">
        <v>1.311E-5</v>
      </c>
      <c r="P872" s="9">
        <v>4.7540000000000002E-5</v>
      </c>
      <c r="Q872" s="9">
        <v>8.0859999999999995E-5</v>
      </c>
      <c r="R872" s="10">
        <v>2.0463862499205552E-4</v>
      </c>
      <c r="S872" s="10">
        <v>7.4850240161602563E-5</v>
      </c>
      <c r="T872" s="10">
        <v>0</v>
      </c>
      <c r="U872" s="10">
        <v>1.9134999999999999E-4</v>
      </c>
      <c r="V872" s="25"/>
      <c r="W872" s="25"/>
      <c r="X872" s="25"/>
      <c r="Y872" s="25"/>
      <c r="Z872" s="25"/>
      <c r="AA872" s="25"/>
    </row>
    <row r="873" spans="1:27" x14ac:dyDescent="0.35">
      <c r="A873" s="5">
        <v>869</v>
      </c>
      <c r="B873" s="5">
        <v>37</v>
      </c>
      <c r="C873" s="5">
        <v>2</v>
      </c>
      <c r="D873" s="25">
        <v>1.1416E-4</v>
      </c>
      <c r="E873" s="25">
        <v>1.1709000000000001E-4</v>
      </c>
      <c r="F873" s="25">
        <v>1.225E-4</v>
      </c>
      <c r="G873" s="25">
        <v>5.3609999999999997E-5</v>
      </c>
      <c r="H873" s="25">
        <v>7.3769999999999993E-5</v>
      </c>
      <c r="I873" s="9">
        <v>9.9419999999999993E-5</v>
      </c>
      <c r="J873" s="9">
        <v>9.1650000000000005E-5</v>
      </c>
      <c r="K873" s="9">
        <v>2.8186999999999998E-4</v>
      </c>
      <c r="L873" s="9">
        <v>1.4209999999999999E-5</v>
      </c>
      <c r="M873" s="9">
        <v>4.3609999999999998E-5</v>
      </c>
      <c r="N873" s="9">
        <v>6.4549999999999997E-5</v>
      </c>
      <c r="O873" s="9">
        <v>1.8640000000000001E-5</v>
      </c>
      <c r="P873" s="9">
        <v>5.6919999999999997E-5</v>
      </c>
      <c r="Q873" s="9">
        <v>9.412E-5</v>
      </c>
      <c r="R873" s="10">
        <v>2.0459665882314597E-4</v>
      </c>
      <c r="S873" s="10">
        <v>7.4891653314489149E-5</v>
      </c>
      <c r="T873" s="10">
        <v>0</v>
      </c>
      <c r="U873" s="10">
        <v>1.9134999999999999E-4</v>
      </c>
      <c r="V873" s="25"/>
      <c r="W873" s="25"/>
      <c r="X873" s="25"/>
      <c r="Y873" s="25"/>
      <c r="Z873" s="25"/>
      <c r="AA873" s="25"/>
    </row>
    <row r="874" spans="1:27" x14ac:dyDescent="0.35">
      <c r="A874" s="5">
        <v>870</v>
      </c>
      <c r="B874" s="5">
        <v>37</v>
      </c>
      <c r="C874" s="5">
        <v>2</v>
      </c>
      <c r="D874" s="25">
        <v>1.1415000000000001E-4</v>
      </c>
      <c r="E874" s="25">
        <v>1.1684E-4</v>
      </c>
      <c r="F874" s="25">
        <v>1.0878999999999999E-4</v>
      </c>
      <c r="G874" s="25">
        <v>1.1479E-4</v>
      </c>
      <c r="H874" s="25">
        <v>1.3307E-4</v>
      </c>
      <c r="I874" s="9">
        <v>1.0016E-4</v>
      </c>
      <c r="J874" s="9">
        <v>9.2620000000000004E-5</v>
      </c>
      <c r="K874" s="9">
        <v>2.8822E-4</v>
      </c>
      <c r="L874" s="9">
        <v>1.753E-5</v>
      </c>
      <c r="M874" s="9">
        <v>4.8609999999999997E-5</v>
      </c>
      <c r="N874" s="9">
        <v>7.1210000000000004E-5</v>
      </c>
      <c r="O874" s="9">
        <v>4.6090000000000001E-5</v>
      </c>
      <c r="P874" s="9">
        <v>7.6650000000000006E-5</v>
      </c>
      <c r="Q874" s="9">
        <v>1.0673E-4</v>
      </c>
      <c r="R874" s="10">
        <v>2.0265766282340675E-4</v>
      </c>
      <c r="S874" s="10">
        <v>7.023155320722894E-5</v>
      </c>
      <c r="T874" s="10">
        <v>0</v>
      </c>
      <c r="U874" s="10">
        <v>1.9134999999999999E-4</v>
      </c>
      <c r="V874" s="25"/>
      <c r="W874" s="25"/>
      <c r="X874" s="25"/>
      <c r="Y874" s="25"/>
      <c r="Z874" s="25"/>
      <c r="AA874" s="25"/>
    </row>
    <row r="875" spans="1:27" x14ac:dyDescent="0.35">
      <c r="A875" s="5">
        <v>871</v>
      </c>
      <c r="B875" s="5">
        <v>37</v>
      </c>
      <c r="C875" s="5">
        <v>2</v>
      </c>
      <c r="D875" s="25">
        <v>1.1416E-4</v>
      </c>
      <c r="E875" s="25">
        <v>1.108E-4</v>
      </c>
      <c r="F875" s="25">
        <v>1.1255E-4</v>
      </c>
      <c r="G875" s="25">
        <v>1.0840000000000001E-4</v>
      </c>
      <c r="H875" s="25">
        <v>1.2962999999999999E-4</v>
      </c>
      <c r="I875" s="9">
        <v>1.0363E-4</v>
      </c>
      <c r="J875" s="9">
        <v>9.7209999999999999E-5</v>
      </c>
      <c r="K875" s="9">
        <v>2.9245999999999997E-4</v>
      </c>
      <c r="L875" s="9">
        <v>3.9669999999999998E-5</v>
      </c>
      <c r="M875" s="9">
        <v>6.0109999999999999E-5</v>
      </c>
      <c r="N875" s="9">
        <v>8.0840000000000005E-5</v>
      </c>
      <c r="O875" s="9">
        <v>1.2438E-4</v>
      </c>
      <c r="P875" s="9">
        <v>1.1797E-4</v>
      </c>
      <c r="Q875" s="9">
        <v>1.1301E-4</v>
      </c>
      <c r="R875" s="10">
        <v>2.0093206022390482E-4</v>
      </c>
      <c r="S875" s="10">
        <v>7.0789357156635853E-5</v>
      </c>
      <c r="T875" s="10">
        <v>0</v>
      </c>
      <c r="U875" s="10">
        <v>1.9134999999999999E-4</v>
      </c>
      <c r="V875" s="25"/>
      <c r="W875" s="25"/>
      <c r="X875" s="25"/>
      <c r="Y875" s="25"/>
      <c r="Z875" s="25"/>
      <c r="AA875" s="25"/>
    </row>
    <row r="876" spans="1:27" x14ac:dyDescent="0.35">
      <c r="A876" s="5">
        <v>872</v>
      </c>
      <c r="B876" s="5">
        <v>37</v>
      </c>
      <c r="C876" s="5">
        <v>2</v>
      </c>
      <c r="D876" s="25">
        <v>1.1415000000000001E-4</v>
      </c>
      <c r="E876" s="25">
        <v>1.1806E-4</v>
      </c>
      <c r="F876" s="25">
        <v>1.2269000000000001E-4</v>
      </c>
      <c r="G876" s="25">
        <v>1.6394000000000001E-4</v>
      </c>
      <c r="H876" s="25">
        <v>1.9189000000000001E-4</v>
      </c>
      <c r="I876" s="9">
        <v>1.0742E-4</v>
      </c>
      <c r="J876" s="9">
        <v>1.0496E-4</v>
      </c>
      <c r="K876" s="9">
        <v>2.8611000000000001E-4</v>
      </c>
      <c r="L876" s="9">
        <v>1.0513E-4</v>
      </c>
      <c r="M876" s="9">
        <v>8.3889999999999998E-5</v>
      </c>
      <c r="N876" s="9">
        <v>9.1050000000000004E-5</v>
      </c>
      <c r="O876" s="9">
        <v>2.1954E-4</v>
      </c>
      <c r="P876" s="9">
        <v>1.7584999999999999E-4</v>
      </c>
      <c r="Q876" s="9">
        <v>1.3584E-4</v>
      </c>
      <c r="R876" s="10">
        <v>1.9860882058999707E-4</v>
      </c>
      <c r="S876" s="10">
        <v>7.3917052752267375E-5</v>
      </c>
      <c r="T876" s="10">
        <v>0</v>
      </c>
      <c r="U876" s="10">
        <v>1.9134999999999999E-4</v>
      </c>
      <c r="V876" s="25"/>
      <c r="W876" s="25"/>
      <c r="X876" s="25"/>
      <c r="Y876" s="25"/>
      <c r="Z876" s="25"/>
      <c r="AA876" s="25"/>
    </row>
    <row r="877" spans="1:27" x14ac:dyDescent="0.35">
      <c r="A877" s="5">
        <v>873</v>
      </c>
      <c r="B877" s="5">
        <v>37</v>
      </c>
      <c r="C877" s="5">
        <v>2</v>
      </c>
      <c r="D877" s="25">
        <v>1.1416E-4</v>
      </c>
      <c r="E877" s="25">
        <v>1.0987E-4</v>
      </c>
      <c r="F877" s="25">
        <v>1.1323E-4</v>
      </c>
      <c r="G877" s="25">
        <v>1.6095000000000001E-4</v>
      </c>
      <c r="H877" s="25">
        <v>1.9761E-4</v>
      </c>
      <c r="I877" s="9">
        <v>1.1396E-4</v>
      </c>
      <c r="J877" s="9">
        <v>1.1278E-4</v>
      </c>
      <c r="K877" s="9">
        <v>2.6490999999999998E-4</v>
      </c>
      <c r="L877" s="9">
        <v>1.9258E-4</v>
      </c>
      <c r="M877" s="9">
        <v>1.2316000000000001E-4</v>
      </c>
      <c r="N877" s="9">
        <v>1.0458E-4</v>
      </c>
      <c r="O877" s="9">
        <v>2.1206999999999999E-4</v>
      </c>
      <c r="P877" s="9">
        <v>1.9268000000000001E-4</v>
      </c>
      <c r="Q877" s="9">
        <v>1.7646E-4</v>
      </c>
      <c r="R877" s="10">
        <v>1.9226546913475562E-4</v>
      </c>
      <c r="S877" s="10">
        <v>7.1441602812303176E-5</v>
      </c>
      <c r="T877" s="10">
        <v>1.7682128275632017E-4</v>
      </c>
      <c r="U877" s="10">
        <v>1.9134999999999999E-4</v>
      </c>
      <c r="V877" s="25"/>
      <c r="W877" s="25"/>
      <c r="X877" s="25"/>
      <c r="Y877" s="25"/>
      <c r="Z877" s="25"/>
      <c r="AA877" s="25"/>
    </row>
    <row r="878" spans="1:27" x14ac:dyDescent="0.35">
      <c r="A878" s="5">
        <v>874</v>
      </c>
      <c r="B878" s="5">
        <v>37</v>
      </c>
      <c r="C878" s="5">
        <v>2</v>
      </c>
      <c r="D878" s="25">
        <v>1.1415000000000001E-4</v>
      </c>
      <c r="E878" s="25">
        <v>1.1516E-4</v>
      </c>
      <c r="F878" s="25">
        <v>1.2053E-4</v>
      </c>
      <c r="G878" s="25">
        <v>1.6200000000000001E-4</v>
      </c>
      <c r="H878" s="25">
        <v>2.0113999999999999E-4</v>
      </c>
      <c r="I878" s="9">
        <v>1.1964999999999999E-4</v>
      </c>
      <c r="J878" s="9">
        <v>1.2076E-4</v>
      </c>
      <c r="K878" s="9">
        <v>2.3735999999999999E-4</v>
      </c>
      <c r="L878" s="9">
        <v>2.0549000000000001E-4</v>
      </c>
      <c r="M878" s="9">
        <v>1.5812000000000001E-4</v>
      </c>
      <c r="N878" s="9">
        <v>1.2444999999999999E-4</v>
      </c>
      <c r="O878" s="9">
        <v>1.6872999999999999E-4</v>
      </c>
      <c r="P878" s="9">
        <v>1.7474E-4</v>
      </c>
      <c r="Q878" s="9">
        <v>1.8278000000000001E-4</v>
      </c>
      <c r="R878" s="10">
        <v>1.8320077263915619E-4</v>
      </c>
      <c r="S878" s="10">
        <v>6.6159760016217076E-5</v>
      </c>
      <c r="T878" s="10">
        <v>3.4369048237492317E-4</v>
      </c>
      <c r="U878" s="10">
        <v>1.9134999999999999E-4</v>
      </c>
      <c r="V878" s="25"/>
      <c r="W878" s="25"/>
      <c r="X878" s="25"/>
      <c r="Y878" s="25"/>
      <c r="Z878" s="25"/>
      <c r="AA878" s="25"/>
    </row>
    <row r="879" spans="1:27" x14ac:dyDescent="0.35">
      <c r="A879" s="5">
        <v>875</v>
      </c>
      <c r="B879" s="5">
        <v>37</v>
      </c>
      <c r="C879" s="5">
        <v>2</v>
      </c>
      <c r="D879" s="25">
        <v>1.1416E-4</v>
      </c>
      <c r="E879" s="25">
        <v>1.1568E-4</v>
      </c>
      <c r="F879" s="25">
        <v>1.1765999999999999E-4</v>
      </c>
      <c r="G879" s="25">
        <v>1.5904999999999999E-4</v>
      </c>
      <c r="H879" s="25">
        <v>1.9955E-4</v>
      </c>
      <c r="I879" s="9">
        <v>1.2383000000000001E-4</v>
      </c>
      <c r="J879" s="9">
        <v>1.2483000000000001E-4</v>
      </c>
      <c r="K879" s="9">
        <v>2.0981E-4</v>
      </c>
      <c r="L879" s="9">
        <v>1.7689E-4</v>
      </c>
      <c r="M879" s="9">
        <v>1.7221000000000001E-4</v>
      </c>
      <c r="N879" s="9">
        <v>1.4265999999999999E-4</v>
      </c>
      <c r="O879" s="9">
        <v>1.6951999999999999E-4</v>
      </c>
      <c r="P879" s="9">
        <v>1.7420000000000001E-4</v>
      </c>
      <c r="Q879" s="9">
        <v>1.8092999999999999E-4</v>
      </c>
      <c r="R879" s="10">
        <v>1.7529812677582828E-4</v>
      </c>
      <c r="S879" s="10">
        <v>6.2919018560205617E-5</v>
      </c>
      <c r="T879" s="10">
        <v>5.1291831721286579E-4</v>
      </c>
      <c r="U879" s="10">
        <v>1.9134999999999999E-4</v>
      </c>
      <c r="V879" s="25"/>
      <c r="W879" s="25"/>
      <c r="X879" s="25"/>
      <c r="Y879" s="25"/>
      <c r="Z879" s="25"/>
      <c r="AA879" s="25"/>
    </row>
    <row r="880" spans="1:27" x14ac:dyDescent="0.35">
      <c r="A880" s="5">
        <v>876</v>
      </c>
      <c r="B880" s="5">
        <v>37</v>
      </c>
      <c r="C880" s="5">
        <v>2</v>
      </c>
      <c r="D880" s="25">
        <v>1.1415000000000001E-4</v>
      </c>
      <c r="E880" s="25">
        <v>1.1896999999999999E-4</v>
      </c>
      <c r="F880" s="25">
        <v>1.0601E-4</v>
      </c>
      <c r="G880" s="25">
        <v>1.6631999999999999E-4</v>
      </c>
      <c r="H880" s="25">
        <v>1.9578E-4</v>
      </c>
      <c r="I880" s="9">
        <v>1.2579999999999999E-4</v>
      </c>
      <c r="J880" s="9">
        <v>1.2569E-4</v>
      </c>
      <c r="K880" s="9">
        <v>1.8013999999999999E-4</v>
      </c>
      <c r="L880" s="9">
        <v>1.7253E-4</v>
      </c>
      <c r="M880" s="9">
        <v>1.7536E-4</v>
      </c>
      <c r="N880" s="9">
        <v>1.5705E-4</v>
      </c>
      <c r="O880" s="9">
        <v>1.6911000000000001E-4</v>
      </c>
      <c r="P880" s="9">
        <v>1.6962999999999999E-4</v>
      </c>
      <c r="Q880" s="9">
        <v>1.7227E-4</v>
      </c>
      <c r="R880" s="10">
        <v>1.5557360853194502E-4</v>
      </c>
      <c r="S880" s="10">
        <v>6.4405807952214604E-5</v>
      </c>
      <c r="T880" s="10">
        <v>6.0728069458515098E-4</v>
      </c>
      <c r="U880" s="10">
        <v>1.9134999999999999E-4</v>
      </c>
      <c r="V880" s="25"/>
      <c r="W880" s="25"/>
      <c r="X880" s="25"/>
      <c r="Y880" s="25"/>
      <c r="Z880" s="25"/>
      <c r="AA880" s="25"/>
    </row>
    <row r="881" spans="1:27" x14ac:dyDescent="0.35">
      <c r="A881" s="5">
        <v>877</v>
      </c>
      <c r="B881" s="5">
        <v>37</v>
      </c>
      <c r="C881" s="5">
        <v>2</v>
      </c>
      <c r="D881" s="25">
        <v>1.1416E-4</v>
      </c>
      <c r="E881" s="25">
        <v>1.1947000000000001E-4</v>
      </c>
      <c r="F881" s="25">
        <v>1.1902E-4</v>
      </c>
      <c r="G881" s="25">
        <v>1.6349999999999999E-4</v>
      </c>
      <c r="H881" s="25">
        <v>1.9375999999999999E-4</v>
      </c>
      <c r="I881" s="9">
        <v>1.2506E-4</v>
      </c>
      <c r="J881" s="9">
        <v>1.2428999999999999E-4</v>
      </c>
      <c r="K881" s="9">
        <v>1.6955E-4</v>
      </c>
      <c r="L881" s="9">
        <v>1.7001000000000001E-4</v>
      </c>
      <c r="M881" s="9">
        <v>1.7362000000000001E-4</v>
      </c>
      <c r="N881" s="9">
        <v>1.6608000000000001E-4</v>
      </c>
      <c r="O881" s="9">
        <v>1.6401999999999999E-4</v>
      </c>
      <c r="P881" s="9">
        <v>1.6543999999999999E-4</v>
      </c>
      <c r="Q881" s="9">
        <v>1.6887E-4</v>
      </c>
      <c r="R881" s="10">
        <v>1.433188133512392E-4</v>
      </c>
      <c r="S881" s="10">
        <v>5.2613015611402774E-5</v>
      </c>
      <c r="T881" s="10">
        <v>6.3876592947352984E-4</v>
      </c>
      <c r="U881" s="10">
        <v>1.9134999999999999E-4</v>
      </c>
      <c r="V881" s="25"/>
      <c r="W881" s="25"/>
      <c r="X881" s="25"/>
      <c r="Y881" s="25"/>
      <c r="Z881" s="25"/>
      <c r="AA881" s="25"/>
    </row>
    <row r="882" spans="1:27" x14ac:dyDescent="0.35">
      <c r="A882" s="5">
        <v>878</v>
      </c>
      <c r="B882" s="5">
        <v>37</v>
      </c>
      <c r="C882" s="5">
        <v>2</v>
      </c>
      <c r="D882" s="25">
        <v>1.1415000000000001E-4</v>
      </c>
      <c r="E882" s="25">
        <v>1.1637999999999999E-4</v>
      </c>
      <c r="F882" s="25">
        <v>1.1687E-4</v>
      </c>
      <c r="G882" s="25">
        <v>1.6488000000000001E-4</v>
      </c>
      <c r="H882" s="25">
        <v>1.8993999999999999E-4</v>
      </c>
      <c r="I882" s="9">
        <v>1.2229999999999999E-4</v>
      </c>
      <c r="J882" s="9">
        <v>1.2271999999999999E-4</v>
      </c>
      <c r="K882" s="9">
        <v>1.6318999999999999E-4</v>
      </c>
      <c r="L882" s="9">
        <v>1.6516E-4</v>
      </c>
      <c r="M882" s="9">
        <v>1.7014999999999999E-4</v>
      </c>
      <c r="N882" s="9">
        <v>1.7072999999999999E-4</v>
      </c>
      <c r="O882" s="9">
        <v>1.7934E-4</v>
      </c>
      <c r="P882" s="9">
        <v>1.6883999999999999E-4</v>
      </c>
      <c r="Q882" s="9">
        <v>1.6081E-4</v>
      </c>
      <c r="R882" s="10">
        <v>1.4494703213880036E-4</v>
      </c>
      <c r="S882" s="10">
        <v>4.6363989614034121E-5</v>
      </c>
      <c r="T882" s="10">
        <v>5.5026620295219324E-4</v>
      </c>
      <c r="U882" s="10">
        <v>1.9134999999999999E-4</v>
      </c>
      <c r="V882" s="25"/>
      <c r="W882" s="25"/>
      <c r="X882" s="25"/>
      <c r="Y882" s="25"/>
      <c r="Z882" s="25"/>
      <c r="AA882" s="25"/>
    </row>
    <row r="883" spans="1:27" x14ac:dyDescent="0.35">
      <c r="A883" s="5">
        <v>879</v>
      </c>
      <c r="B883" s="5">
        <v>37</v>
      </c>
      <c r="C883" s="5">
        <v>2</v>
      </c>
      <c r="D883" s="25">
        <v>1.1416E-4</v>
      </c>
      <c r="E883" s="25">
        <v>1.1602E-4</v>
      </c>
      <c r="F883" s="25">
        <v>1.1388E-4</v>
      </c>
      <c r="G883" s="25">
        <v>1.5977E-4</v>
      </c>
      <c r="H883" s="25">
        <v>1.9102999999999999E-4</v>
      </c>
      <c r="I883" s="9">
        <v>1.1826E-4</v>
      </c>
      <c r="J883" s="9">
        <v>1.2119E-4</v>
      </c>
      <c r="K883" s="9">
        <v>1.7166999999999999E-4</v>
      </c>
      <c r="L883" s="9">
        <v>1.7632999999999999E-4</v>
      </c>
      <c r="M883" s="9">
        <v>1.6871E-4</v>
      </c>
      <c r="N883" s="9">
        <v>1.7024999999999999E-4</v>
      </c>
      <c r="O883" s="9">
        <v>1.8441E-4</v>
      </c>
      <c r="P883" s="9">
        <v>1.6707000000000001E-4</v>
      </c>
      <c r="Q883" s="9">
        <v>1.5239E-4</v>
      </c>
      <c r="R883" s="10">
        <v>1.4704167030834853E-4</v>
      </c>
      <c r="S883" s="10">
        <v>4.3680533850771432E-5</v>
      </c>
      <c r="T883" s="10">
        <v>4.3308954462737494E-4</v>
      </c>
      <c r="U883" s="10">
        <v>1.9134999999999999E-4</v>
      </c>
      <c r="V883" s="25"/>
      <c r="W883" s="25"/>
      <c r="X883" s="25"/>
      <c r="Y883" s="25"/>
      <c r="Z883" s="25"/>
      <c r="AA883" s="25"/>
    </row>
    <row r="884" spans="1:27" x14ac:dyDescent="0.35">
      <c r="A884" s="5">
        <v>880</v>
      </c>
      <c r="B884" s="5">
        <v>37</v>
      </c>
      <c r="C884" s="5">
        <v>2</v>
      </c>
      <c r="D884" s="25">
        <v>1.1415000000000001E-4</v>
      </c>
      <c r="E884" s="25">
        <v>1.0935E-4</v>
      </c>
      <c r="F884" s="25">
        <v>1.1561999999999999E-4</v>
      </c>
      <c r="G884" s="25">
        <v>1.6234999999999999E-4</v>
      </c>
      <c r="H884" s="25">
        <v>1.9149999999999999E-4</v>
      </c>
      <c r="I884" s="9">
        <v>1.1620000000000001E-4</v>
      </c>
      <c r="J884" s="9">
        <v>1.1977E-4</v>
      </c>
      <c r="K884" s="9">
        <v>1.8862999999999999E-4</v>
      </c>
      <c r="L884" s="9">
        <v>1.8233E-4</v>
      </c>
      <c r="M884" s="9">
        <v>1.6783999999999999E-4</v>
      </c>
      <c r="N884" s="9">
        <v>1.6626999999999999E-4</v>
      </c>
      <c r="O884" s="9">
        <v>1.9940999999999999E-4</v>
      </c>
      <c r="P884" s="9">
        <v>1.5315000000000001E-4</v>
      </c>
      <c r="Q884" s="9">
        <v>1.1026E-4</v>
      </c>
      <c r="R884" s="10">
        <v>1.5437122829413782E-4</v>
      </c>
      <c r="S884" s="10">
        <v>4.4398637788045403E-5</v>
      </c>
      <c r="T884" s="10">
        <v>2.3974933103632724E-4</v>
      </c>
      <c r="U884" s="10">
        <v>1.9134999999999999E-4</v>
      </c>
      <c r="V884" s="25"/>
      <c r="W884" s="25"/>
      <c r="X884" s="25"/>
      <c r="Y884" s="25"/>
      <c r="Z884" s="25"/>
      <c r="AA884" s="25"/>
    </row>
    <row r="885" spans="1:27" x14ac:dyDescent="0.35">
      <c r="A885" s="5">
        <v>881</v>
      </c>
      <c r="B885" s="5">
        <v>37</v>
      </c>
      <c r="C885" s="5">
        <v>2</v>
      </c>
      <c r="D885" s="25">
        <v>1.1416E-4</v>
      </c>
      <c r="E885" s="25">
        <v>1.1368E-4</v>
      </c>
      <c r="F885" s="25">
        <v>1.072E-4</v>
      </c>
      <c r="G885" s="25">
        <v>1.5922000000000001E-4</v>
      </c>
      <c r="H885" s="25">
        <v>2.0065E-4</v>
      </c>
      <c r="I885" s="9">
        <v>1.164E-4</v>
      </c>
      <c r="J885" s="9">
        <v>1.2063E-4</v>
      </c>
      <c r="K885" s="9">
        <v>2.4795999999999998E-4</v>
      </c>
      <c r="L885" s="9">
        <v>1.9545000000000001E-4</v>
      </c>
      <c r="M885" s="9">
        <v>1.6241000000000001E-4</v>
      </c>
      <c r="N885" s="9">
        <v>1.5260999999999999E-4</v>
      </c>
      <c r="O885" s="9">
        <v>2.1573E-4</v>
      </c>
      <c r="P885" s="9">
        <v>1.5965E-4</v>
      </c>
      <c r="Q885" s="9">
        <v>1.0739E-4</v>
      </c>
      <c r="R885" s="10">
        <v>1.5876778012591621E-4</v>
      </c>
      <c r="S885" s="10">
        <v>4.4786997677692442E-5</v>
      </c>
      <c r="T885" s="10">
        <v>1.9564794301428641E-5</v>
      </c>
      <c r="U885" s="10">
        <v>1.9134999999999999E-4</v>
      </c>
      <c r="V885" s="25"/>
      <c r="W885" s="25"/>
      <c r="X885" s="25"/>
      <c r="Y885" s="25"/>
      <c r="Z885" s="25"/>
      <c r="AA885" s="25"/>
    </row>
    <row r="886" spans="1:27" x14ac:dyDescent="0.35">
      <c r="A886" s="5">
        <v>882</v>
      </c>
      <c r="B886" s="5">
        <v>37</v>
      </c>
      <c r="C886" s="5">
        <v>2</v>
      </c>
      <c r="D886" s="25">
        <v>1.1415000000000001E-4</v>
      </c>
      <c r="E886" s="25">
        <v>1.1985E-4</v>
      </c>
      <c r="F886" s="25">
        <v>1.0688000000000001E-4</v>
      </c>
      <c r="G886" s="25">
        <v>1.6343999999999999E-4</v>
      </c>
      <c r="H886" s="25">
        <v>1.9301E-4</v>
      </c>
      <c r="I886" s="9">
        <v>1.1989000000000001E-4</v>
      </c>
      <c r="J886" s="9">
        <v>1.2674999999999999E-4</v>
      </c>
      <c r="K886" s="9">
        <v>2.6068E-4</v>
      </c>
      <c r="L886" s="9">
        <v>2.1099000000000001E-4</v>
      </c>
      <c r="M886" s="9">
        <v>1.5992E-4</v>
      </c>
      <c r="N886" s="9">
        <v>1.3931999999999999E-4</v>
      </c>
      <c r="O886" s="9">
        <v>2.0678E-4</v>
      </c>
      <c r="P886" s="9">
        <v>1.6053000000000001E-4</v>
      </c>
      <c r="Q886" s="9">
        <v>1.1778E-4</v>
      </c>
      <c r="R886" s="10">
        <v>1.8042189828032203E-4</v>
      </c>
      <c r="S886" s="10">
        <v>4.5751695537423043E-5</v>
      </c>
      <c r="T886" s="10">
        <v>0</v>
      </c>
      <c r="U886" s="10">
        <v>1.9134999999999999E-4</v>
      </c>
      <c r="V886" s="25"/>
      <c r="W886" s="25"/>
      <c r="X886" s="25"/>
      <c r="Y886" s="25"/>
      <c r="Z886" s="25"/>
      <c r="AA886" s="25"/>
    </row>
    <row r="887" spans="1:27" x14ac:dyDescent="0.35">
      <c r="A887" s="5">
        <v>883</v>
      </c>
      <c r="B887" s="5">
        <v>37</v>
      </c>
      <c r="C887" s="5">
        <v>2</v>
      </c>
      <c r="D887" s="25">
        <v>1.1416E-4</v>
      </c>
      <c r="E887" s="25">
        <v>1.1312E-4</v>
      </c>
      <c r="F887" s="25">
        <v>1.2350999999999999E-4</v>
      </c>
      <c r="G887" s="25">
        <v>1.1031000000000001E-4</v>
      </c>
      <c r="H887" s="25">
        <v>1.3799999999999999E-4</v>
      </c>
      <c r="I887" s="9">
        <v>1.2894E-4</v>
      </c>
      <c r="J887" s="9">
        <v>1.2931999999999999E-4</v>
      </c>
      <c r="K887" s="9">
        <v>2.8399000000000002E-4</v>
      </c>
      <c r="L887" s="9">
        <v>2.0730999999999999E-4</v>
      </c>
      <c r="M887" s="9">
        <v>1.5966E-4</v>
      </c>
      <c r="N887" s="9">
        <v>1.3019999999999999E-4</v>
      </c>
      <c r="O887" s="9">
        <v>1.6640000000000001E-4</v>
      </c>
      <c r="P887" s="9">
        <v>1.3583000000000001E-4</v>
      </c>
      <c r="Q887" s="9">
        <v>1.0781E-4</v>
      </c>
      <c r="R887" s="10">
        <v>1.9169143535475191E-4</v>
      </c>
      <c r="S887" s="10">
        <v>4.7733492736666951E-5</v>
      </c>
      <c r="T887" s="10">
        <v>0</v>
      </c>
      <c r="U887" s="10">
        <v>1.9134999999999999E-4</v>
      </c>
      <c r="V887" s="25"/>
      <c r="W887" s="25"/>
      <c r="X887" s="25"/>
      <c r="Y887" s="25"/>
      <c r="Z887" s="25"/>
      <c r="AA887" s="25"/>
    </row>
    <row r="888" spans="1:27" x14ac:dyDescent="0.35">
      <c r="A888" s="5">
        <v>884</v>
      </c>
      <c r="B888" s="5">
        <v>37</v>
      </c>
      <c r="C888" s="5">
        <v>2</v>
      </c>
      <c r="D888" s="25">
        <v>1.1415000000000001E-4</v>
      </c>
      <c r="E888" s="25">
        <v>1.1285000000000001E-4</v>
      </c>
      <c r="F888" s="25">
        <v>1.1022999999999999E-4</v>
      </c>
      <c r="G888" s="25">
        <v>1.0663E-4</v>
      </c>
      <c r="H888" s="25">
        <v>1.3069000000000001E-4</v>
      </c>
      <c r="I888" s="9">
        <v>1.2511999999999999E-4</v>
      </c>
      <c r="J888" s="9">
        <v>1.2505E-4</v>
      </c>
      <c r="K888" s="9">
        <v>3.3484999999999998E-4</v>
      </c>
      <c r="L888" s="9">
        <v>1.7558999999999999E-4</v>
      </c>
      <c r="M888" s="9">
        <v>1.5116000000000001E-4</v>
      </c>
      <c r="N888" s="9">
        <v>1.2121999999999999E-4</v>
      </c>
      <c r="O888" s="9">
        <v>1.2914E-4</v>
      </c>
      <c r="P888" s="9">
        <v>1.1454E-4</v>
      </c>
      <c r="Q888" s="9">
        <v>1.016E-4</v>
      </c>
      <c r="R888" s="10">
        <v>1.9137859339364447E-4</v>
      </c>
      <c r="S888" s="10">
        <v>4.9647862982696128E-5</v>
      </c>
      <c r="T888" s="10">
        <v>0</v>
      </c>
      <c r="U888" s="10">
        <v>1.9134999999999999E-4</v>
      </c>
      <c r="V888" s="25"/>
      <c r="W888" s="25"/>
      <c r="X888" s="25"/>
      <c r="Y888" s="25"/>
      <c r="Z888" s="25"/>
      <c r="AA888" s="25"/>
    </row>
    <row r="889" spans="1:27" x14ac:dyDescent="0.35">
      <c r="A889" s="5">
        <v>885</v>
      </c>
      <c r="B889" s="5">
        <v>37</v>
      </c>
      <c r="C889" s="5">
        <v>2</v>
      </c>
      <c r="D889" s="25">
        <v>1.1416E-4</v>
      </c>
      <c r="E889" s="25">
        <v>1.1141000000000001E-4</v>
      </c>
      <c r="F889" s="25">
        <v>1.0868E-4</v>
      </c>
      <c r="G889" s="25">
        <v>5.9009999999999999E-5</v>
      </c>
      <c r="H889" s="25">
        <v>6.8460000000000005E-5</v>
      </c>
      <c r="I889" s="9">
        <v>1.1807999999999999E-4</v>
      </c>
      <c r="J889" s="9">
        <v>1.1957E-4</v>
      </c>
      <c r="K889" s="9">
        <v>3.3484999999999998E-4</v>
      </c>
      <c r="L889" s="9">
        <v>1.4034E-4</v>
      </c>
      <c r="M889" s="9">
        <v>1.3558999999999999E-4</v>
      </c>
      <c r="N889" s="9">
        <v>1.1344E-4</v>
      </c>
      <c r="O889" s="9">
        <v>8.4220000000000003E-5</v>
      </c>
      <c r="P889" s="9">
        <v>8.5550000000000006E-5</v>
      </c>
      <c r="Q889" s="9">
        <v>8.7529999999999997E-5</v>
      </c>
      <c r="R889" s="10">
        <v>1.8485927092778279E-4</v>
      </c>
      <c r="S889" s="10">
        <v>5.0231726998277056E-5</v>
      </c>
      <c r="T889" s="10">
        <v>0</v>
      </c>
      <c r="U889" s="10">
        <v>1.9134999999999999E-4</v>
      </c>
      <c r="V889" s="25"/>
      <c r="W889" s="25"/>
      <c r="X889" s="25"/>
      <c r="Y889" s="25"/>
      <c r="Z889" s="25"/>
      <c r="AA889" s="25"/>
    </row>
    <row r="890" spans="1:27" x14ac:dyDescent="0.35">
      <c r="A890" s="5">
        <v>886</v>
      </c>
      <c r="B890" s="5">
        <v>37</v>
      </c>
      <c r="C890" s="5">
        <v>2</v>
      </c>
      <c r="D890" s="25">
        <v>1.1415000000000001E-4</v>
      </c>
      <c r="E890" s="25">
        <v>1.1971E-4</v>
      </c>
      <c r="F890" s="25">
        <v>1.1203E-4</v>
      </c>
      <c r="G890" s="25">
        <v>5.6570000000000002E-5</v>
      </c>
      <c r="H890" s="25">
        <v>7.0099999999999996E-5</v>
      </c>
      <c r="I890" s="9">
        <v>1.1331E-4</v>
      </c>
      <c r="J890" s="9">
        <v>1.1357999999999999E-4</v>
      </c>
      <c r="K890" s="9">
        <v>3.4120999999999999E-4</v>
      </c>
      <c r="L890" s="9">
        <v>9.7520000000000001E-5</v>
      </c>
      <c r="M890" s="9">
        <v>1.1357E-4</v>
      </c>
      <c r="N890" s="9">
        <v>1.0560000000000001E-4</v>
      </c>
      <c r="O890" s="9">
        <v>8.7180000000000002E-5</v>
      </c>
      <c r="P890" s="9">
        <v>8.7109999999999998E-5</v>
      </c>
      <c r="Q890" s="9">
        <v>8.7750000000000005E-5</v>
      </c>
      <c r="R890" s="10">
        <v>1.7887896344053364E-4</v>
      </c>
      <c r="S890" s="10">
        <v>5.0179878665731369E-5</v>
      </c>
      <c r="T890" s="10">
        <v>0</v>
      </c>
      <c r="U890" s="10">
        <v>1.9134999999999999E-4</v>
      </c>
      <c r="V890" s="25"/>
      <c r="W890" s="25"/>
      <c r="X890" s="25"/>
      <c r="Y890" s="25"/>
      <c r="Z890" s="25"/>
      <c r="AA890" s="25"/>
    </row>
    <row r="891" spans="1:27" x14ac:dyDescent="0.35">
      <c r="A891" s="5">
        <v>887</v>
      </c>
      <c r="B891" s="5">
        <v>37</v>
      </c>
      <c r="C891" s="5">
        <v>2</v>
      </c>
      <c r="D891" s="25">
        <v>1.1416E-4</v>
      </c>
      <c r="E891" s="25">
        <v>1.1542E-4</v>
      </c>
      <c r="F891" s="25">
        <v>1.099E-4</v>
      </c>
      <c r="G891" s="25">
        <v>6.1260000000000006E-5</v>
      </c>
      <c r="H891" s="25">
        <v>7.2319999999999999E-5</v>
      </c>
      <c r="I891" s="9">
        <v>1.1462E-4</v>
      </c>
      <c r="J891" s="9">
        <v>1.0842E-4</v>
      </c>
      <c r="K891" s="9">
        <v>3.7088000000000003E-4</v>
      </c>
      <c r="L891" s="9">
        <v>9.0420000000000005E-5</v>
      </c>
      <c r="M891" s="9">
        <v>9.8629999999999996E-5</v>
      </c>
      <c r="N891" s="9">
        <v>9.9649999999999996E-5</v>
      </c>
      <c r="O891" s="9">
        <v>7.8819999999999994E-5</v>
      </c>
      <c r="P891" s="9">
        <v>7.2860000000000004E-5</v>
      </c>
      <c r="Q891" s="9">
        <v>6.7559999999999997E-5</v>
      </c>
      <c r="R891" s="10">
        <v>1.73729774407172E-4</v>
      </c>
      <c r="S891" s="10">
        <v>4.8332304943280741E-5</v>
      </c>
      <c r="T891" s="10">
        <v>0</v>
      </c>
      <c r="U891" s="10">
        <v>1.9134999999999999E-4</v>
      </c>
      <c r="V891" s="25"/>
      <c r="W891" s="25"/>
      <c r="X891" s="25"/>
      <c r="Y891" s="25"/>
      <c r="Z891" s="25"/>
      <c r="AA891" s="25"/>
    </row>
    <row r="892" spans="1:27" x14ac:dyDescent="0.35">
      <c r="A892" s="5">
        <v>888</v>
      </c>
      <c r="B892" s="5">
        <v>37</v>
      </c>
      <c r="C892" s="5">
        <v>2</v>
      </c>
      <c r="D892" s="25">
        <v>1.1415000000000001E-4</v>
      </c>
      <c r="E892" s="25">
        <v>1.1781E-4</v>
      </c>
      <c r="F892" s="25">
        <v>1.0876E-4</v>
      </c>
      <c r="G892" s="25">
        <v>6.1680000000000006E-5</v>
      </c>
      <c r="H892" s="25">
        <v>6.6500000000000004E-5</v>
      </c>
      <c r="I892" s="9">
        <v>1.1514999999999999E-4</v>
      </c>
      <c r="J892" s="9">
        <v>1.031E-4</v>
      </c>
      <c r="K892" s="9">
        <v>3.8783999999999997E-4</v>
      </c>
      <c r="L892" s="9">
        <v>8.1349999999999999E-5</v>
      </c>
      <c r="M892" s="9">
        <v>8.6069999999999994E-5</v>
      </c>
      <c r="N892" s="9">
        <v>9.0509999999999999E-5</v>
      </c>
      <c r="O892" s="9">
        <v>6.2769999999999997E-5</v>
      </c>
      <c r="P892" s="9">
        <v>6.0630000000000001E-5</v>
      </c>
      <c r="Q892" s="9">
        <v>5.8820000000000003E-5</v>
      </c>
      <c r="R892" s="10">
        <v>1.5544648034108711E-4</v>
      </c>
      <c r="S892" s="10">
        <v>4.6501464178138703E-5</v>
      </c>
      <c r="T892" s="10">
        <v>0</v>
      </c>
      <c r="U892" s="10">
        <v>1.9134999999999999E-4</v>
      </c>
      <c r="V892" s="25"/>
      <c r="W892" s="25"/>
      <c r="X892" s="25"/>
      <c r="Y892" s="25"/>
      <c r="Z892" s="25"/>
      <c r="AA892" s="25"/>
    </row>
    <row r="893" spans="1:27" x14ac:dyDescent="0.35">
      <c r="A893" s="5">
        <v>889</v>
      </c>
      <c r="B893" s="5">
        <v>38</v>
      </c>
      <c r="C893" s="5">
        <v>2</v>
      </c>
      <c r="D893" s="25">
        <v>1.1416E-4</v>
      </c>
      <c r="E893" s="25">
        <v>1.0639E-4</v>
      </c>
      <c r="F893" s="25">
        <v>1.2547E-4</v>
      </c>
      <c r="G893" s="25">
        <v>5.4070000000000002E-5</v>
      </c>
      <c r="H893" s="25">
        <v>7.3919999999999997E-5</v>
      </c>
      <c r="I893" s="9">
        <v>1.0873E-4</v>
      </c>
      <c r="J893" s="9">
        <v>9.7520000000000001E-5</v>
      </c>
      <c r="K893" s="9">
        <v>3.836E-4</v>
      </c>
      <c r="L893" s="9">
        <v>6.6829999999999995E-5</v>
      </c>
      <c r="M893" s="9">
        <v>7.4060000000000006E-5</v>
      </c>
      <c r="N893" s="9">
        <v>8.1069999999999995E-5</v>
      </c>
      <c r="O893" s="9">
        <v>5.4150000000000002E-5</v>
      </c>
      <c r="P893" s="9">
        <v>5.3569999999999997E-5</v>
      </c>
      <c r="Q893" s="9">
        <v>5.3149999999999998E-5</v>
      </c>
      <c r="R893" s="10">
        <v>1.4033619625693062E-4</v>
      </c>
      <c r="S893" s="10">
        <v>4.9832459954437276E-5</v>
      </c>
      <c r="T893" s="10">
        <v>0</v>
      </c>
      <c r="U893" s="10">
        <v>1.8997E-4</v>
      </c>
      <c r="V893" s="25"/>
      <c r="W893" s="25"/>
      <c r="X893" s="25"/>
      <c r="Y893" s="25"/>
      <c r="Z893" s="25"/>
      <c r="AA893" s="25"/>
    </row>
    <row r="894" spans="1:27" x14ac:dyDescent="0.35">
      <c r="A894" s="5">
        <v>890</v>
      </c>
      <c r="B894" s="5">
        <v>38</v>
      </c>
      <c r="C894" s="5">
        <v>2</v>
      </c>
      <c r="D894" s="25">
        <v>1.1415000000000001E-4</v>
      </c>
      <c r="E894" s="25">
        <v>1.0893E-4</v>
      </c>
      <c r="F894" s="25">
        <v>1.2294000000000001E-4</v>
      </c>
      <c r="G894" s="25">
        <v>6.2360000000000006E-5</v>
      </c>
      <c r="H894" s="25">
        <v>7.0549999999999994E-5</v>
      </c>
      <c r="I894" s="9">
        <v>1.0221E-4</v>
      </c>
      <c r="J894" s="9">
        <v>9.3239999999999995E-5</v>
      </c>
      <c r="K894" s="9">
        <v>3.8147000000000002E-4</v>
      </c>
      <c r="L894" s="9">
        <v>5.7340000000000003E-5</v>
      </c>
      <c r="M894" s="9">
        <v>6.3819999999999995E-5</v>
      </c>
      <c r="N894" s="9">
        <v>7.1929999999999997E-5</v>
      </c>
      <c r="O894" s="9">
        <v>1.8709999999999999E-5</v>
      </c>
      <c r="P894" s="9">
        <v>3.807E-5</v>
      </c>
      <c r="Q894" s="9">
        <v>5.6660000000000003E-5</v>
      </c>
      <c r="R894" s="10">
        <v>1.2999552965473014E-4</v>
      </c>
      <c r="S894" s="10">
        <v>5.3448157896663193E-5</v>
      </c>
      <c r="T894" s="10">
        <v>0</v>
      </c>
      <c r="U894" s="10">
        <v>1.8997E-4</v>
      </c>
      <c r="V894" s="25"/>
      <c r="W894" s="25"/>
      <c r="X894" s="25"/>
      <c r="Y894" s="25"/>
      <c r="Z894" s="25"/>
      <c r="AA894" s="25"/>
    </row>
    <row r="895" spans="1:27" x14ac:dyDescent="0.35">
      <c r="A895" s="5">
        <v>891</v>
      </c>
      <c r="B895" s="5">
        <v>38</v>
      </c>
      <c r="C895" s="5">
        <v>2</v>
      </c>
      <c r="D895" s="25">
        <v>1.1416E-4</v>
      </c>
      <c r="E895" s="25">
        <v>1.1445E-4</v>
      </c>
      <c r="F895" s="25">
        <v>1.1332000000000001E-4</v>
      </c>
      <c r="G895" s="25">
        <v>5.3390000000000002E-5</v>
      </c>
      <c r="H895" s="25">
        <v>6.3390000000000001E-5</v>
      </c>
      <c r="I895" s="9">
        <v>9.768E-5</v>
      </c>
      <c r="J895" s="9">
        <v>9.0039999999999999E-5</v>
      </c>
      <c r="K895" s="9">
        <v>3.8782999999999998E-4</v>
      </c>
      <c r="L895" s="9">
        <v>2.743E-5</v>
      </c>
      <c r="M895" s="9">
        <v>5.2200000000000002E-5</v>
      </c>
      <c r="N895" s="9">
        <v>6.5519999999999996E-5</v>
      </c>
      <c r="O895" s="9">
        <v>1.3020000000000001E-5</v>
      </c>
      <c r="P895" s="9">
        <v>3.7769999999999999E-5</v>
      </c>
      <c r="Q895" s="9">
        <v>6.156E-5</v>
      </c>
      <c r="R895" s="10">
        <v>1.2082801439094096E-4</v>
      </c>
      <c r="S895" s="10">
        <v>5.3745168743216572E-5</v>
      </c>
      <c r="T895" s="10">
        <v>0</v>
      </c>
      <c r="U895" s="10">
        <v>1.8997E-4</v>
      </c>
      <c r="V895" s="25"/>
      <c r="W895" s="25"/>
      <c r="X895" s="25"/>
      <c r="Y895" s="25"/>
      <c r="Z895" s="25"/>
      <c r="AA895" s="25"/>
    </row>
    <row r="896" spans="1:27" x14ac:dyDescent="0.35">
      <c r="A896" s="5">
        <v>892</v>
      </c>
      <c r="B896" s="5">
        <v>38</v>
      </c>
      <c r="C896" s="5">
        <v>2</v>
      </c>
      <c r="D896" s="25">
        <v>1.1415000000000001E-4</v>
      </c>
      <c r="E896" s="25">
        <v>1.0961E-4</v>
      </c>
      <c r="F896" s="25">
        <v>1.2454E-4</v>
      </c>
      <c r="G896" s="25">
        <v>5.7639999999999997E-5</v>
      </c>
      <c r="H896" s="25">
        <v>7.436E-5</v>
      </c>
      <c r="I896" s="9">
        <v>9.4870000000000005E-5</v>
      </c>
      <c r="J896" s="9">
        <v>8.8529999999999994E-5</v>
      </c>
      <c r="K896" s="9">
        <v>4.0054000000000001E-4</v>
      </c>
      <c r="L896" s="9">
        <v>1.6929999999999999E-5</v>
      </c>
      <c r="M896" s="9">
        <v>4.4249999999999998E-5</v>
      </c>
      <c r="N896" s="9">
        <v>6.1970000000000005E-5</v>
      </c>
      <c r="O896" s="9">
        <v>1.3030000000000001E-5</v>
      </c>
      <c r="P896" s="9">
        <v>4.723E-5</v>
      </c>
      <c r="Q896" s="9">
        <v>8.0329999999999998E-5</v>
      </c>
      <c r="R896" s="10">
        <v>1.1096111287567385E-4</v>
      </c>
      <c r="S896" s="10">
        <v>5.5544857805413394E-5</v>
      </c>
      <c r="T896" s="10">
        <v>0</v>
      </c>
      <c r="U896" s="10">
        <v>1.8997E-4</v>
      </c>
      <c r="V896" s="25"/>
      <c r="W896" s="25"/>
      <c r="X896" s="25"/>
      <c r="Y896" s="25"/>
      <c r="Z896" s="25"/>
      <c r="AA896" s="25"/>
    </row>
    <row r="897" spans="1:27" x14ac:dyDescent="0.35">
      <c r="A897" s="5">
        <v>893</v>
      </c>
      <c r="B897" s="5">
        <v>38</v>
      </c>
      <c r="C897" s="5">
        <v>2</v>
      </c>
      <c r="D897" s="25">
        <v>1.1416E-4</v>
      </c>
      <c r="E897" s="25">
        <v>1.0781999999999999E-4</v>
      </c>
      <c r="F897" s="25">
        <v>1.0671E-4</v>
      </c>
      <c r="G897" s="25">
        <v>6.2739999999999999E-5</v>
      </c>
      <c r="H897" s="25">
        <v>6.7710000000000001E-5</v>
      </c>
      <c r="I897" s="9">
        <v>9.5080000000000004E-5</v>
      </c>
      <c r="J897" s="9">
        <v>8.7780000000000003E-5</v>
      </c>
      <c r="K897" s="9">
        <v>4.0055000000000001E-4</v>
      </c>
      <c r="L897" s="9">
        <v>1.413E-5</v>
      </c>
      <c r="M897" s="9">
        <v>4.3529999999999998E-5</v>
      </c>
      <c r="N897" s="9">
        <v>6.4490000000000001E-5</v>
      </c>
      <c r="O897" s="9">
        <v>1.8689999999999999E-5</v>
      </c>
      <c r="P897" s="9">
        <v>5.7059999999999999E-5</v>
      </c>
      <c r="Q897" s="9">
        <v>9.4359999999999998E-5</v>
      </c>
      <c r="R897" s="10">
        <v>9.2104855834392827E-5</v>
      </c>
      <c r="S897" s="10">
        <v>5.9275548190383479E-5</v>
      </c>
      <c r="T897" s="10">
        <v>0</v>
      </c>
      <c r="U897" s="10">
        <v>1.8997E-4</v>
      </c>
      <c r="V897" s="25"/>
      <c r="W897" s="25"/>
      <c r="X897" s="25"/>
      <c r="Y897" s="25"/>
      <c r="Z897" s="25"/>
      <c r="AA897" s="25"/>
    </row>
    <row r="898" spans="1:27" x14ac:dyDescent="0.35">
      <c r="A898" s="5">
        <v>894</v>
      </c>
      <c r="B898" s="5">
        <v>38</v>
      </c>
      <c r="C898" s="5">
        <v>2</v>
      </c>
      <c r="D898" s="25">
        <v>1.1415000000000001E-4</v>
      </c>
      <c r="E898" s="25">
        <v>1.1114E-4</v>
      </c>
      <c r="F898" s="25">
        <v>1.1286E-4</v>
      </c>
      <c r="G898" s="25">
        <v>1.0806000000000001E-4</v>
      </c>
      <c r="H898" s="25">
        <v>1.3337000000000001E-4</v>
      </c>
      <c r="I898" s="9">
        <v>9.5829999999999996E-5</v>
      </c>
      <c r="J898" s="9">
        <v>8.8300000000000005E-5</v>
      </c>
      <c r="K898" s="9">
        <v>4.0266999999999999E-4</v>
      </c>
      <c r="L898" s="9">
        <v>1.7560000000000001E-5</v>
      </c>
      <c r="M898" s="9">
        <v>4.8569999999999997E-5</v>
      </c>
      <c r="N898" s="9">
        <v>7.1199999999999996E-5</v>
      </c>
      <c r="O898" s="9">
        <v>4.6409999999999998E-5</v>
      </c>
      <c r="P898" s="9">
        <v>7.7180000000000003E-5</v>
      </c>
      <c r="Q898" s="9">
        <v>1.0747E-4</v>
      </c>
      <c r="R898" s="10">
        <v>7.6425814974429753E-5</v>
      </c>
      <c r="S898" s="10">
        <v>6.8474586510886877E-5</v>
      </c>
      <c r="T898" s="10">
        <v>0</v>
      </c>
      <c r="U898" s="10">
        <v>1.8997E-4</v>
      </c>
      <c r="V898" s="25"/>
      <c r="W898" s="25"/>
      <c r="X898" s="25"/>
      <c r="Y898" s="25"/>
      <c r="Z898" s="25"/>
      <c r="AA898" s="25"/>
    </row>
    <row r="899" spans="1:27" x14ac:dyDescent="0.35">
      <c r="A899" s="5">
        <v>895</v>
      </c>
      <c r="B899" s="5">
        <v>38</v>
      </c>
      <c r="C899" s="5">
        <v>2</v>
      </c>
      <c r="D899" s="25">
        <v>1.1416E-4</v>
      </c>
      <c r="E899" s="25">
        <v>1.1129999999999999E-4</v>
      </c>
      <c r="F899" s="25">
        <v>1.0621E-4</v>
      </c>
      <c r="G899" s="25">
        <v>1.0725E-4</v>
      </c>
      <c r="H899" s="25">
        <v>1.3254E-4</v>
      </c>
      <c r="I899" s="9">
        <v>9.8839999999999996E-5</v>
      </c>
      <c r="J899" s="9">
        <v>9.0749999999999997E-5</v>
      </c>
      <c r="K899" s="9">
        <v>4.1114999999999999E-4</v>
      </c>
      <c r="L899" s="9">
        <v>3.9919999999999997E-5</v>
      </c>
      <c r="M899" s="9">
        <v>6.029E-5</v>
      </c>
      <c r="N899" s="9">
        <v>8.1000000000000004E-5</v>
      </c>
      <c r="O899" s="9">
        <v>1.2436000000000001E-4</v>
      </c>
      <c r="P899" s="9">
        <v>1.1794999999999999E-4</v>
      </c>
      <c r="Q899" s="9">
        <v>1.1299E-4</v>
      </c>
      <c r="R899" s="10">
        <v>6.7718918842111126E-5</v>
      </c>
      <c r="S899" s="10">
        <v>8.1648028387921749E-5</v>
      </c>
      <c r="T899" s="10">
        <v>0</v>
      </c>
      <c r="U899" s="10">
        <v>1.8997E-4</v>
      </c>
      <c r="V899" s="25"/>
      <c r="W899" s="25"/>
      <c r="X899" s="25"/>
      <c r="Y899" s="25"/>
      <c r="Z899" s="25"/>
      <c r="AA899" s="25"/>
    </row>
    <row r="900" spans="1:27" x14ac:dyDescent="0.35">
      <c r="A900" s="5">
        <v>896</v>
      </c>
      <c r="B900" s="5">
        <v>38</v>
      </c>
      <c r="C900" s="5">
        <v>2</v>
      </c>
      <c r="D900" s="25">
        <v>1.1415000000000001E-4</v>
      </c>
      <c r="E900" s="25">
        <v>1.1156E-4</v>
      </c>
      <c r="F900" s="25">
        <v>1.1729E-4</v>
      </c>
      <c r="G900" s="25">
        <v>1.6260999999999999E-4</v>
      </c>
      <c r="H900" s="25">
        <v>1.9767E-4</v>
      </c>
      <c r="I900" s="9">
        <v>1.0085E-4</v>
      </c>
      <c r="J900" s="9">
        <v>9.4989999999999997E-5</v>
      </c>
      <c r="K900" s="9">
        <v>3.8570999999999999E-4</v>
      </c>
      <c r="L900" s="9">
        <v>1.0516E-4</v>
      </c>
      <c r="M900" s="9">
        <v>8.4060000000000005E-5</v>
      </c>
      <c r="N900" s="9">
        <v>9.1180000000000005E-5</v>
      </c>
      <c r="O900" s="9">
        <v>2.2259999999999999E-4</v>
      </c>
      <c r="P900" s="9">
        <v>1.783E-4</v>
      </c>
      <c r="Q900" s="9">
        <v>1.3773E-4</v>
      </c>
      <c r="R900" s="10">
        <v>7.3795247671952019E-5</v>
      </c>
      <c r="S900" s="10">
        <v>9.6230092749953136E-5</v>
      </c>
      <c r="T900" s="10">
        <v>0</v>
      </c>
      <c r="U900" s="10">
        <v>1.8997E-4</v>
      </c>
      <c r="V900" s="25"/>
      <c r="W900" s="25"/>
      <c r="X900" s="25"/>
      <c r="Y900" s="25"/>
      <c r="Z900" s="25"/>
      <c r="AA900" s="25"/>
    </row>
    <row r="901" spans="1:27" x14ac:dyDescent="0.35">
      <c r="A901" s="5">
        <v>897</v>
      </c>
      <c r="B901" s="5">
        <v>38</v>
      </c>
      <c r="C901" s="5">
        <v>2</v>
      </c>
      <c r="D901" s="25">
        <v>1.1416E-4</v>
      </c>
      <c r="E901" s="25">
        <v>1.1141000000000001E-4</v>
      </c>
      <c r="F901" s="25">
        <v>1.1682E-4</v>
      </c>
      <c r="G901" s="25">
        <v>1.6415000000000001E-4</v>
      </c>
      <c r="H901" s="25">
        <v>1.8715999999999999E-4</v>
      </c>
      <c r="I901" s="9">
        <v>1.0404E-4</v>
      </c>
      <c r="J901" s="9">
        <v>1.0041E-4</v>
      </c>
      <c r="K901" s="9">
        <v>3.3909000000000001E-4</v>
      </c>
      <c r="L901" s="9">
        <v>1.9497000000000001E-4</v>
      </c>
      <c r="M901" s="9">
        <v>1.2412999999999999E-4</v>
      </c>
      <c r="N901" s="9">
        <v>1.0511E-4</v>
      </c>
      <c r="O901" s="9">
        <v>2.1374999999999999E-4</v>
      </c>
      <c r="P901" s="9">
        <v>1.9421E-4</v>
      </c>
      <c r="Q901" s="9">
        <v>1.7786000000000001E-4</v>
      </c>
      <c r="R901" s="10">
        <v>8.6771159917740698E-5</v>
      </c>
      <c r="S901" s="10">
        <v>1.1646385266720443E-4</v>
      </c>
      <c r="T901" s="10">
        <v>1.4600630751660255E-4</v>
      </c>
      <c r="U901" s="10">
        <v>1.8997E-4</v>
      </c>
      <c r="V901" s="25"/>
      <c r="W901" s="25"/>
      <c r="X901" s="25"/>
      <c r="Y901" s="25"/>
      <c r="Z901" s="25"/>
      <c r="AA901" s="25"/>
    </row>
    <row r="902" spans="1:27" x14ac:dyDescent="0.35">
      <c r="A902" s="5">
        <v>898</v>
      </c>
      <c r="B902" s="5">
        <v>38</v>
      </c>
      <c r="C902" s="5">
        <v>2</v>
      </c>
      <c r="D902" s="25">
        <v>1.1415000000000001E-4</v>
      </c>
      <c r="E902" s="25">
        <v>1.0726999999999999E-4</v>
      </c>
      <c r="F902" s="25">
        <v>1.2436000000000001E-4</v>
      </c>
      <c r="G902" s="25">
        <v>1.5636E-4</v>
      </c>
      <c r="H902" s="25">
        <v>1.9073000000000001E-4</v>
      </c>
      <c r="I902" s="9">
        <v>1.0983E-4</v>
      </c>
      <c r="J902" s="9">
        <v>1.0652E-4</v>
      </c>
      <c r="K902" s="9">
        <v>3.0729999999999999E-4</v>
      </c>
      <c r="L902" s="9">
        <v>2.0725999999999999E-4</v>
      </c>
      <c r="M902" s="9">
        <v>1.5951999999999999E-4</v>
      </c>
      <c r="N902" s="9">
        <v>1.2527E-4</v>
      </c>
      <c r="O902" s="9">
        <v>1.6761E-4</v>
      </c>
      <c r="P902" s="9">
        <v>1.7358E-4</v>
      </c>
      <c r="Q902" s="9">
        <v>1.8155999999999999E-4</v>
      </c>
      <c r="R902" s="10">
        <v>9.3614939860722765E-5</v>
      </c>
      <c r="S902" s="10">
        <v>1.2765562424115064E-4</v>
      </c>
      <c r="T902" s="10">
        <v>1.4833100553854163E-4</v>
      </c>
      <c r="U902" s="10">
        <v>1.8997E-4</v>
      </c>
      <c r="V902" s="25"/>
      <c r="W902" s="25"/>
      <c r="X902" s="25"/>
      <c r="Y902" s="25"/>
      <c r="Z902" s="25"/>
      <c r="AA902" s="25"/>
    </row>
    <row r="903" spans="1:27" x14ac:dyDescent="0.35">
      <c r="A903" s="5">
        <v>899</v>
      </c>
      <c r="B903" s="5">
        <v>38</v>
      </c>
      <c r="C903" s="5">
        <v>2</v>
      </c>
      <c r="D903" s="25">
        <v>1.1416E-4</v>
      </c>
      <c r="E903" s="25">
        <v>1.0788E-4</v>
      </c>
      <c r="F903" s="25">
        <v>1.2523999999999999E-4</v>
      </c>
      <c r="G903" s="25">
        <v>1.5844000000000001E-4</v>
      </c>
      <c r="H903" s="25">
        <v>1.9211E-4</v>
      </c>
      <c r="I903" s="9">
        <v>1.1472999999999999E-4</v>
      </c>
      <c r="J903" s="9">
        <v>1.0889E-4</v>
      </c>
      <c r="K903" s="9">
        <v>2.7127E-4</v>
      </c>
      <c r="L903" s="9">
        <v>1.7641E-4</v>
      </c>
      <c r="M903" s="9">
        <v>1.7276999999999999E-4</v>
      </c>
      <c r="N903" s="9">
        <v>1.4312E-4</v>
      </c>
      <c r="O903" s="9">
        <v>1.6805999999999999E-4</v>
      </c>
      <c r="P903" s="9">
        <v>1.727E-4</v>
      </c>
      <c r="Q903" s="9">
        <v>1.7937000000000001E-4</v>
      </c>
      <c r="R903" s="10">
        <v>8.5222857846321937E-5</v>
      </c>
      <c r="S903" s="10">
        <v>1.351802050370038E-4</v>
      </c>
      <c r="T903" s="10">
        <v>1.7088227321122043E-4</v>
      </c>
      <c r="U903" s="10">
        <v>1.8997E-4</v>
      </c>
      <c r="V903" s="25"/>
      <c r="W903" s="25"/>
      <c r="X903" s="25"/>
      <c r="Y903" s="25"/>
      <c r="Z903" s="25"/>
      <c r="AA903" s="25"/>
    </row>
    <row r="904" spans="1:27" x14ac:dyDescent="0.35">
      <c r="A904" s="5">
        <v>900</v>
      </c>
      <c r="B904" s="5">
        <v>38</v>
      </c>
      <c r="C904" s="5">
        <v>2</v>
      </c>
      <c r="D904" s="25">
        <v>1.1415000000000001E-4</v>
      </c>
      <c r="E904" s="25">
        <v>1.164E-4</v>
      </c>
      <c r="F904" s="25">
        <v>1.1879000000000001E-4</v>
      </c>
      <c r="G904" s="25">
        <v>1.6406E-4</v>
      </c>
      <c r="H904" s="25">
        <v>1.8771E-4</v>
      </c>
      <c r="I904" s="9">
        <v>1.1694E-4</v>
      </c>
      <c r="J904" s="9">
        <v>1.1073000000000001E-4</v>
      </c>
      <c r="K904" s="9">
        <v>2.4583999999999999E-4</v>
      </c>
      <c r="L904" s="9">
        <v>1.7137000000000001E-4</v>
      </c>
      <c r="M904" s="9">
        <v>1.7493000000000001E-4</v>
      </c>
      <c r="N904" s="9">
        <v>1.5705999999999999E-4</v>
      </c>
      <c r="O904" s="9">
        <v>1.707E-4</v>
      </c>
      <c r="P904" s="9">
        <v>1.7122E-4</v>
      </c>
      <c r="Q904" s="9">
        <v>1.7389E-4</v>
      </c>
      <c r="R904" s="10">
        <v>6.114045297250075E-5</v>
      </c>
      <c r="S904" s="10">
        <v>1.3364683349245196E-4</v>
      </c>
      <c r="T904" s="10">
        <v>2.3538840117035399E-4</v>
      </c>
      <c r="U904" s="10">
        <v>1.8997E-4</v>
      </c>
      <c r="V904" s="25"/>
      <c r="W904" s="25"/>
      <c r="X904" s="25"/>
      <c r="Y904" s="25"/>
      <c r="Z904" s="25"/>
      <c r="AA904" s="25"/>
    </row>
    <row r="905" spans="1:27" x14ac:dyDescent="0.35">
      <c r="A905" s="5">
        <v>901</v>
      </c>
      <c r="B905" s="5">
        <v>38</v>
      </c>
      <c r="C905" s="5">
        <v>2</v>
      </c>
      <c r="D905" s="25">
        <v>1.1416E-4</v>
      </c>
      <c r="E905" s="25">
        <v>1.1558E-4</v>
      </c>
      <c r="F905" s="25">
        <v>1.2480999999999999E-4</v>
      </c>
      <c r="G905" s="25">
        <v>1.6561000000000001E-4</v>
      </c>
      <c r="H905" s="25">
        <v>1.8694E-4</v>
      </c>
      <c r="I905" s="9">
        <v>1.1786E-4</v>
      </c>
      <c r="J905" s="9">
        <v>1.1239999999999999E-4</v>
      </c>
      <c r="K905" s="9">
        <v>2.2253E-4</v>
      </c>
      <c r="L905" s="9">
        <v>1.7101E-4</v>
      </c>
      <c r="M905" s="9">
        <v>1.7367000000000001E-4</v>
      </c>
      <c r="N905" s="9">
        <v>1.6635E-4</v>
      </c>
      <c r="O905" s="9">
        <v>1.6286999999999999E-4</v>
      </c>
      <c r="P905" s="9">
        <v>1.6427999999999999E-4</v>
      </c>
      <c r="Q905" s="9">
        <v>1.6767999999999999E-4</v>
      </c>
      <c r="R905" s="10">
        <v>4.8012100004248013E-5</v>
      </c>
      <c r="S905" s="10">
        <v>1.5071274858172119E-4</v>
      </c>
      <c r="T905" s="10">
        <v>1.9683574492330641E-4</v>
      </c>
      <c r="U905" s="10">
        <v>1.8997E-4</v>
      </c>
      <c r="V905" s="25"/>
      <c r="W905" s="25"/>
      <c r="X905" s="25"/>
      <c r="Y905" s="25"/>
      <c r="Z905" s="25"/>
      <c r="AA905" s="25"/>
    </row>
    <row r="906" spans="1:27" x14ac:dyDescent="0.35">
      <c r="A906" s="5">
        <v>902</v>
      </c>
      <c r="B906" s="5">
        <v>38</v>
      </c>
      <c r="C906" s="5">
        <v>2</v>
      </c>
      <c r="D906" s="25">
        <v>1.1415000000000001E-4</v>
      </c>
      <c r="E906" s="25">
        <v>1.1314E-4</v>
      </c>
      <c r="F906" s="25">
        <v>1.1687E-4</v>
      </c>
      <c r="G906" s="25">
        <v>1.6619000000000001E-4</v>
      </c>
      <c r="H906" s="25">
        <v>1.8726999999999999E-4</v>
      </c>
      <c r="I906" s="9">
        <v>1.1506E-4</v>
      </c>
      <c r="J906" s="9">
        <v>1.1162000000000001E-4</v>
      </c>
      <c r="K906" s="9">
        <v>2.1405E-4</v>
      </c>
      <c r="L906" s="9">
        <v>1.6440000000000001E-4</v>
      </c>
      <c r="M906" s="9">
        <v>1.6995000000000001E-4</v>
      </c>
      <c r="N906" s="9">
        <v>1.7060999999999999E-4</v>
      </c>
      <c r="O906" s="9">
        <v>1.7928E-4</v>
      </c>
      <c r="P906" s="9">
        <v>1.6878999999999999E-4</v>
      </c>
      <c r="Q906" s="9">
        <v>1.6076E-4</v>
      </c>
      <c r="R906" s="10">
        <v>6.1895785506827961E-5</v>
      </c>
      <c r="S906" s="10">
        <v>1.7002589046834188E-4</v>
      </c>
      <c r="T906" s="10">
        <v>9.0994110530278496E-5</v>
      </c>
      <c r="U906" s="10">
        <v>1.8997E-4</v>
      </c>
      <c r="V906" s="25"/>
      <c r="W906" s="25"/>
      <c r="X906" s="25"/>
      <c r="Y906" s="25"/>
      <c r="Z906" s="25"/>
      <c r="AA906" s="25"/>
    </row>
    <row r="907" spans="1:27" x14ac:dyDescent="0.35">
      <c r="A907" s="5">
        <v>903</v>
      </c>
      <c r="B907" s="5">
        <v>38</v>
      </c>
      <c r="C907" s="5">
        <v>2</v>
      </c>
      <c r="D907" s="25">
        <v>1.1416E-4</v>
      </c>
      <c r="E907" s="25">
        <v>1.0870999999999999E-4</v>
      </c>
      <c r="F907" s="25">
        <v>1.2412E-4</v>
      </c>
      <c r="G907" s="25">
        <v>1.5956E-4</v>
      </c>
      <c r="H907" s="25">
        <v>1.9579999999999999E-4</v>
      </c>
      <c r="I907" s="9">
        <v>1.1167000000000001E-4</v>
      </c>
      <c r="J907" s="9">
        <v>1.1019E-4</v>
      </c>
      <c r="K907" s="9">
        <v>2.1829E-4</v>
      </c>
      <c r="L907" s="9">
        <v>1.7616999999999999E-4</v>
      </c>
      <c r="M907" s="9">
        <v>1.6846999999999999E-4</v>
      </c>
      <c r="N907" s="9">
        <v>1.7003999999999999E-4</v>
      </c>
      <c r="O907" s="9">
        <v>1.8498000000000001E-4</v>
      </c>
      <c r="P907" s="9">
        <v>1.6757999999999999E-4</v>
      </c>
      <c r="Q907" s="9">
        <v>1.5285E-4</v>
      </c>
      <c r="R907" s="10">
        <v>8.2067855301722729E-5</v>
      </c>
      <c r="S907" s="10">
        <v>1.827686449034244E-4</v>
      </c>
      <c r="T907" s="10">
        <v>8.1347462169166441E-5</v>
      </c>
      <c r="U907" s="10">
        <v>1.8997E-4</v>
      </c>
      <c r="V907" s="25"/>
      <c r="W907" s="25"/>
      <c r="X907" s="25"/>
      <c r="Y907" s="25"/>
      <c r="Z907" s="25"/>
      <c r="AA907" s="25"/>
    </row>
    <row r="908" spans="1:27" x14ac:dyDescent="0.35">
      <c r="A908" s="5">
        <v>904</v>
      </c>
      <c r="B908" s="5">
        <v>38</v>
      </c>
      <c r="C908" s="5">
        <v>2</v>
      </c>
      <c r="D908" s="25">
        <v>1.1415000000000001E-4</v>
      </c>
      <c r="E908" s="25">
        <v>1.0556999999999999E-4</v>
      </c>
      <c r="F908" s="25">
        <v>1.2173E-4</v>
      </c>
      <c r="G908" s="25">
        <v>1.6571000000000001E-4</v>
      </c>
      <c r="H908" s="25">
        <v>1.9934E-4</v>
      </c>
      <c r="I908" s="9">
        <v>1.083E-4</v>
      </c>
      <c r="J908" s="9">
        <v>1.0975E-4</v>
      </c>
      <c r="K908" s="9">
        <v>2.3525E-4</v>
      </c>
      <c r="L908" s="9">
        <v>1.8273000000000001E-4</v>
      </c>
      <c r="M908" s="9">
        <v>1.6786000000000001E-4</v>
      </c>
      <c r="N908" s="9">
        <v>1.662E-4</v>
      </c>
      <c r="O908" s="9">
        <v>2.0022E-4</v>
      </c>
      <c r="P908" s="9">
        <v>1.5377000000000001E-4</v>
      </c>
      <c r="Q908" s="9">
        <v>1.1071E-4</v>
      </c>
      <c r="R908" s="10">
        <v>1.1634612140298885E-4</v>
      </c>
      <c r="S908" s="10">
        <v>1.8823804370721821E-4</v>
      </c>
      <c r="T908" s="10">
        <v>8.433393554041661E-6</v>
      </c>
      <c r="U908" s="10">
        <v>1.8997E-4</v>
      </c>
      <c r="V908" s="25"/>
      <c r="W908" s="25"/>
      <c r="X908" s="25"/>
      <c r="Y908" s="25"/>
      <c r="Z908" s="25"/>
      <c r="AA908" s="25"/>
    </row>
    <row r="909" spans="1:27" x14ac:dyDescent="0.35">
      <c r="A909" s="5">
        <v>905</v>
      </c>
      <c r="B909" s="5">
        <v>38</v>
      </c>
      <c r="C909" s="5">
        <v>2</v>
      </c>
      <c r="D909" s="25">
        <v>1.1416E-4</v>
      </c>
      <c r="E909" s="25">
        <v>1.1406E-4</v>
      </c>
      <c r="F909" s="25">
        <v>1.1951E-4</v>
      </c>
      <c r="G909" s="25">
        <v>1.6353E-4</v>
      </c>
      <c r="H909" s="25">
        <v>1.9532999999999999E-4</v>
      </c>
      <c r="I909" s="9">
        <v>1.0904999999999999E-4</v>
      </c>
      <c r="J909" s="9">
        <v>1.1218E-4</v>
      </c>
      <c r="K909" s="9">
        <v>2.8611000000000001E-4</v>
      </c>
      <c r="L909" s="9">
        <v>1.9614E-4</v>
      </c>
      <c r="M909" s="9">
        <v>1.6273000000000001E-4</v>
      </c>
      <c r="N909" s="9">
        <v>1.5268000000000001E-4</v>
      </c>
      <c r="O909" s="9">
        <v>2.1591000000000001E-4</v>
      </c>
      <c r="P909" s="9">
        <v>1.5979000000000001E-4</v>
      </c>
      <c r="Q909" s="9">
        <v>1.0747999999999999E-4</v>
      </c>
      <c r="R909" s="10">
        <v>1.4837361666180534E-4</v>
      </c>
      <c r="S909" s="10">
        <v>1.8978925994113383E-4</v>
      </c>
      <c r="T909" s="10">
        <v>1.6883755706783608E-6</v>
      </c>
      <c r="U909" s="10">
        <v>1.8997E-4</v>
      </c>
      <c r="V909" s="25"/>
      <c r="W909" s="25"/>
      <c r="X909" s="25"/>
      <c r="Y909" s="25"/>
      <c r="Z909" s="25"/>
      <c r="AA909" s="25"/>
    </row>
    <row r="910" spans="1:27" x14ac:dyDescent="0.35">
      <c r="A910" s="5">
        <v>906</v>
      </c>
      <c r="B910" s="5">
        <v>38</v>
      </c>
      <c r="C910" s="5">
        <v>2</v>
      </c>
      <c r="D910" s="25">
        <v>1.1415000000000001E-4</v>
      </c>
      <c r="E910" s="25">
        <v>1.1654000000000001E-4</v>
      </c>
      <c r="F910" s="25">
        <v>1.2714000000000001E-4</v>
      </c>
      <c r="G910" s="25">
        <v>1.64E-4</v>
      </c>
      <c r="H910" s="25">
        <v>1.8745E-4</v>
      </c>
      <c r="I910" s="9">
        <v>1.1458E-4</v>
      </c>
      <c r="J910" s="9">
        <v>1.2089E-4</v>
      </c>
      <c r="K910" s="9">
        <v>3.0518E-4</v>
      </c>
      <c r="L910" s="9">
        <v>2.1128E-4</v>
      </c>
      <c r="M910" s="9">
        <v>1.6024999999999999E-4</v>
      </c>
      <c r="N910" s="9">
        <v>1.3941E-4</v>
      </c>
      <c r="O910" s="9">
        <v>2.0745E-4</v>
      </c>
      <c r="P910" s="9">
        <v>1.6103999999999999E-4</v>
      </c>
      <c r="Q910" s="9">
        <v>1.1815E-4</v>
      </c>
      <c r="R910" s="10">
        <v>1.7731292566061039E-4</v>
      </c>
      <c r="S910" s="10">
        <v>1.9006327260933552E-4</v>
      </c>
      <c r="T910" s="10">
        <v>0</v>
      </c>
      <c r="U910" s="10">
        <v>1.8997E-4</v>
      </c>
      <c r="V910" s="25"/>
      <c r="W910" s="25"/>
      <c r="X910" s="25"/>
      <c r="Y910" s="25"/>
      <c r="Z910" s="25"/>
      <c r="AA910" s="25"/>
    </row>
    <row r="911" spans="1:27" x14ac:dyDescent="0.35">
      <c r="A911" s="5">
        <v>907</v>
      </c>
      <c r="B911" s="5">
        <v>38</v>
      </c>
      <c r="C911" s="5">
        <v>2</v>
      </c>
      <c r="D911" s="25">
        <v>1.1416E-4</v>
      </c>
      <c r="E911" s="25">
        <v>1.1321E-4</v>
      </c>
      <c r="F911" s="25">
        <v>1.1053E-4</v>
      </c>
      <c r="G911" s="25">
        <v>1.048E-4</v>
      </c>
      <c r="H911" s="25">
        <v>1.3593000000000001E-4</v>
      </c>
      <c r="I911" s="9">
        <v>1.2376999999999999E-4</v>
      </c>
      <c r="J911" s="9">
        <v>1.2664999999999999E-4</v>
      </c>
      <c r="K911" s="9">
        <v>3.3697000000000002E-4</v>
      </c>
      <c r="L911" s="9">
        <v>2.0791000000000001E-4</v>
      </c>
      <c r="M911" s="9">
        <v>1.6003E-4</v>
      </c>
      <c r="N911" s="9">
        <v>1.3041999999999999E-4</v>
      </c>
      <c r="O911" s="9">
        <v>1.663E-4</v>
      </c>
      <c r="P911" s="9">
        <v>1.3574E-4</v>
      </c>
      <c r="Q911" s="9">
        <v>1.0774E-4</v>
      </c>
      <c r="R911" s="10">
        <v>1.8639664026675039E-4</v>
      </c>
      <c r="S911" s="10">
        <v>1.9014006824899339E-4</v>
      </c>
      <c r="T911" s="10">
        <v>0</v>
      </c>
      <c r="U911" s="10">
        <v>1.8997E-4</v>
      </c>
      <c r="V911" s="25"/>
      <c r="W911" s="25"/>
      <c r="X911" s="25"/>
      <c r="Y911" s="25"/>
      <c r="Z911" s="25"/>
      <c r="AA911" s="25"/>
    </row>
    <row r="912" spans="1:27" x14ac:dyDescent="0.35">
      <c r="A912" s="5">
        <v>908</v>
      </c>
      <c r="B912" s="5">
        <v>38</v>
      </c>
      <c r="C912" s="5">
        <v>2</v>
      </c>
      <c r="D912" s="25">
        <v>1.1415000000000001E-4</v>
      </c>
      <c r="E912" s="25">
        <v>1.1574999999999999E-4</v>
      </c>
      <c r="F912" s="25">
        <v>1.2746E-4</v>
      </c>
      <c r="G912" s="25">
        <v>1.117E-4</v>
      </c>
      <c r="H912" s="25">
        <v>1.3506E-4</v>
      </c>
      <c r="I912" s="9">
        <v>1.2388000000000001E-4</v>
      </c>
      <c r="J912" s="9">
        <v>1.2423999999999999E-4</v>
      </c>
      <c r="K912" s="9">
        <v>3.7723999999999999E-4</v>
      </c>
      <c r="L912" s="9">
        <v>1.7563E-4</v>
      </c>
      <c r="M912" s="9">
        <v>1.5139E-4</v>
      </c>
      <c r="N912" s="9">
        <v>1.2141E-4</v>
      </c>
      <c r="O912" s="9">
        <v>1.2826999999999999E-4</v>
      </c>
      <c r="P912" s="9">
        <v>1.1377E-4</v>
      </c>
      <c r="Q912" s="9">
        <v>1.0092E-4</v>
      </c>
      <c r="R912" s="10">
        <v>1.8951193922663154E-4</v>
      </c>
      <c r="S912" s="10">
        <v>1.9028171257998256E-4</v>
      </c>
      <c r="T912" s="10">
        <v>0</v>
      </c>
      <c r="U912" s="10">
        <v>1.8997E-4</v>
      </c>
      <c r="V912" s="25"/>
      <c r="W912" s="25"/>
      <c r="X912" s="25"/>
      <c r="Y912" s="25"/>
      <c r="Z912" s="25"/>
      <c r="AA912" s="25"/>
    </row>
    <row r="913" spans="1:27" x14ac:dyDescent="0.35">
      <c r="A913" s="5">
        <v>909</v>
      </c>
      <c r="B913" s="5">
        <v>38</v>
      </c>
      <c r="C913" s="5">
        <v>2</v>
      </c>
      <c r="D913" s="25">
        <v>1.1416E-4</v>
      </c>
      <c r="E913" s="25">
        <v>1.1547E-4</v>
      </c>
      <c r="F913" s="25">
        <v>1.1396999999999999E-4</v>
      </c>
      <c r="G913" s="25">
        <v>6.1820000000000001E-5</v>
      </c>
      <c r="H913" s="25">
        <v>7.2169999999999995E-5</v>
      </c>
      <c r="I913" s="9">
        <v>1.192E-4</v>
      </c>
      <c r="J913" s="9">
        <v>1.2016E-4</v>
      </c>
      <c r="K913" s="9">
        <v>3.6664E-4</v>
      </c>
      <c r="L913" s="9">
        <v>1.3967999999999999E-4</v>
      </c>
      <c r="M913" s="9">
        <v>1.3542E-4</v>
      </c>
      <c r="N913" s="9">
        <v>1.1343E-4</v>
      </c>
      <c r="O913" s="9">
        <v>8.5729999999999994E-5</v>
      </c>
      <c r="P913" s="9">
        <v>8.708E-5</v>
      </c>
      <c r="Q913" s="9">
        <v>8.9099999999999997E-5</v>
      </c>
      <c r="R913" s="10">
        <v>2.0442010210841512E-4</v>
      </c>
      <c r="S913" s="10">
        <v>1.9028738622772504E-4</v>
      </c>
      <c r="T913" s="10">
        <v>0</v>
      </c>
      <c r="U913" s="10">
        <v>1.8997E-4</v>
      </c>
      <c r="V913" s="25"/>
      <c r="W913" s="25"/>
      <c r="X913" s="25"/>
      <c r="Y913" s="25"/>
      <c r="Z913" s="25"/>
      <c r="AA913" s="25"/>
    </row>
    <row r="914" spans="1:27" x14ac:dyDescent="0.35">
      <c r="A914" s="5">
        <v>910</v>
      </c>
      <c r="B914" s="5">
        <v>38</v>
      </c>
      <c r="C914" s="5">
        <v>2</v>
      </c>
      <c r="D914" s="25">
        <v>1.1415000000000001E-4</v>
      </c>
      <c r="E914" s="25">
        <v>1.0950000000000001E-4</v>
      </c>
      <c r="F914" s="25">
        <v>1.161E-4</v>
      </c>
      <c r="G914" s="25">
        <v>5.2420000000000003E-5</v>
      </c>
      <c r="H914" s="25">
        <v>7.1539999999999996E-5</v>
      </c>
      <c r="I914" s="9">
        <v>1.1510000000000001E-4</v>
      </c>
      <c r="J914" s="9">
        <v>1.1485E-4</v>
      </c>
      <c r="K914" s="9">
        <v>3.7936000000000003E-4</v>
      </c>
      <c r="L914" s="9">
        <v>9.857E-5</v>
      </c>
      <c r="M914" s="9">
        <v>1.139E-4</v>
      </c>
      <c r="N914" s="9">
        <v>1.059E-4</v>
      </c>
      <c r="O914" s="9">
        <v>8.6910000000000006E-5</v>
      </c>
      <c r="P914" s="9">
        <v>8.6840000000000002E-5</v>
      </c>
      <c r="Q914" s="9">
        <v>8.7479999999999996E-5</v>
      </c>
      <c r="R914" s="10">
        <v>2.0615269152430006E-4</v>
      </c>
      <c r="S914" s="10">
        <v>1.9024006800644924E-4</v>
      </c>
      <c r="T914" s="10">
        <v>0</v>
      </c>
      <c r="U914" s="10">
        <v>1.8997E-4</v>
      </c>
      <c r="V914" s="25"/>
      <c r="W914" s="25"/>
      <c r="X914" s="25"/>
      <c r="Y914" s="25"/>
      <c r="Z914" s="25"/>
      <c r="AA914" s="25"/>
    </row>
    <row r="915" spans="1:27" x14ac:dyDescent="0.35">
      <c r="A915" s="5">
        <v>911</v>
      </c>
      <c r="B915" s="5">
        <v>38</v>
      </c>
      <c r="C915" s="5">
        <v>2</v>
      </c>
      <c r="D915" s="25">
        <v>1.1416E-4</v>
      </c>
      <c r="E915" s="25">
        <v>1.0596E-4</v>
      </c>
      <c r="F915" s="25">
        <v>1.2543E-4</v>
      </c>
      <c r="G915" s="25">
        <v>5.5300000000000002E-5</v>
      </c>
      <c r="H915" s="25">
        <v>6.368E-5</v>
      </c>
      <c r="I915" s="9">
        <v>1.1615E-4</v>
      </c>
      <c r="J915" s="9">
        <v>1.0896E-4</v>
      </c>
      <c r="K915" s="9">
        <v>3.8995000000000002E-4</v>
      </c>
      <c r="L915" s="9">
        <v>9.0389999999999993E-5</v>
      </c>
      <c r="M915" s="9">
        <v>9.8900000000000005E-5</v>
      </c>
      <c r="N915" s="9">
        <v>9.9850000000000001E-5</v>
      </c>
      <c r="O915" s="9">
        <v>7.7639999999999995E-5</v>
      </c>
      <c r="P915" s="9">
        <v>7.1769999999999999E-5</v>
      </c>
      <c r="Q915" s="9">
        <v>6.6550000000000005E-5</v>
      </c>
      <c r="R915" s="10">
        <v>2.0828683172556097E-4</v>
      </c>
      <c r="S915" s="10">
        <v>1.9028777064344779E-4</v>
      </c>
      <c r="T915" s="10">
        <v>0</v>
      </c>
      <c r="U915" s="10">
        <v>1.8997E-4</v>
      </c>
      <c r="V915" s="25"/>
      <c r="W915" s="25"/>
      <c r="X915" s="25"/>
      <c r="Y915" s="25"/>
      <c r="Z915" s="25"/>
      <c r="AA915" s="25"/>
    </row>
    <row r="916" spans="1:27" x14ac:dyDescent="0.35">
      <c r="A916" s="5">
        <v>912</v>
      </c>
      <c r="B916" s="5">
        <v>38</v>
      </c>
      <c r="C916" s="5">
        <v>2</v>
      </c>
      <c r="D916" s="25">
        <v>1.1415000000000001E-4</v>
      </c>
      <c r="E916" s="25">
        <v>1.1445E-4</v>
      </c>
      <c r="F916" s="25">
        <v>1.0572E-4</v>
      </c>
      <c r="G916" s="25">
        <v>5.3909999999999997E-5</v>
      </c>
      <c r="H916" s="25">
        <v>7.0439999999999996E-5</v>
      </c>
      <c r="I916" s="9">
        <v>1.166E-4</v>
      </c>
      <c r="J916" s="9">
        <v>1.0192999999999999E-4</v>
      </c>
      <c r="K916" s="9">
        <v>3.9843000000000002E-4</v>
      </c>
      <c r="L916" s="9">
        <v>8.0439999999999996E-5</v>
      </c>
      <c r="M916" s="9">
        <v>8.5820000000000002E-5</v>
      </c>
      <c r="N916" s="9">
        <v>9.0439999999999995E-5</v>
      </c>
      <c r="O916" s="9">
        <v>6.245E-5</v>
      </c>
      <c r="P916" s="9">
        <v>6.0319999999999998E-5</v>
      </c>
      <c r="Q916" s="9">
        <v>5.8520000000000002E-5</v>
      </c>
      <c r="R916" s="10">
        <v>2.0912879398678568E-4</v>
      </c>
      <c r="S916" s="10">
        <v>1.9029020759484994E-4</v>
      </c>
      <c r="T916" s="10">
        <v>0</v>
      </c>
      <c r="U916" s="10">
        <v>1.8997E-4</v>
      </c>
      <c r="V916" s="25"/>
      <c r="W916" s="25"/>
      <c r="X916" s="25"/>
      <c r="Y916" s="25"/>
      <c r="Z916" s="25"/>
      <c r="AA916" s="25"/>
    </row>
    <row r="917" spans="1:27" x14ac:dyDescent="0.35">
      <c r="A917" s="5">
        <v>913</v>
      </c>
      <c r="B917" s="5">
        <v>39</v>
      </c>
      <c r="C917" s="5">
        <v>2</v>
      </c>
      <c r="D917" s="25">
        <v>1.1416E-4</v>
      </c>
      <c r="E917" s="25">
        <v>1.1499E-4</v>
      </c>
      <c r="F917" s="25">
        <v>1.2205E-4</v>
      </c>
      <c r="G917" s="25">
        <v>6.1940000000000007E-5</v>
      </c>
      <c r="H917" s="25">
        <v>7.004E-5</v>
      </c>
      <c r="I917" s="9">
        <v>1.0896E-4</v>
      </c>
      <c r="J917" s="9">
        <v>9.6780000000000005E-5</v>
      </c>
      <c r="K917" s="9">
        <v>4.1538000000000002E-4</v>
      </c>
      <c r="L917" s="9">
        <v>6.6420000000000004E-5</v>
      </c>
      <c r="M917" s="9">
        <v>7.3629999999999998E-5</v>
      </c>
      <c r="N917" s="9">
        <v>8.0920000000000005E-5</v>
      </c>
      <c r="O917" s="9">
        <v>5.4209999999999998E-5</v>
      </c>
      <c r="P917" s="9">
        <v>5.363E-5</v>
      </c>
      <c r="Q917" s="9">
        <v>5.321E-5</v>
      </c>
      <c r="R917" s="10">
        <v>2.1059679196193607E-4</v>
      </c>
      <c r="S917" s="10">
        <v>1.9029020759484994E-4</v>
      </c>
      <c r="T917" s="10">
        <v>0</v>
      </c>
      <c r="U917" s="10">
        <v>1.8909999999999999E-4</v>
      </c>
      <c r="V917" s="25"/>
      <c r="W917" s="25"/>
      <c r="X917" s="25"/>
      <c r="Y917" s="25"/>
      <c r="Z917" s="25"/>
      <c r="AA917" s="25"/>
    </row>
    <row r="918" spans="1:27" x14ac:dyDescent="0.35">
      <c r="A918" s="5">
        <v>914</v>
      </c>
      <c r="B918" s="5">
        <v>39</v>
      </c>
      <c r="C918" s="5">
        <v>2</v>
      </c>
      <c r="D918" s="25">
        <v>1.1415000000000001E-4</v>
      </c>
      <c r="E918" s="25">
        <v>1.1437E-4</v>
      </c>
      <c r="F918" s="25">
        <v>1.3292999999999999E-4</v>
      </c>
      <c r="G918" s="25">
        <v>6.1119999999999998E-5</v>
      </c>
      <c r="H918" s="25">
        <v>6.457E-5</v>
      </c>
      <c r="I918" s="9">
        <v>1.0363E-4</v>
      </c>
      <c r="J918" s="9">
        <v>9.3460000000000003E-5</v>
      </c>
      <c r="K918" s="9">
        <v>4.0902000000000001E-4</v>
      </c>
      <c r="L918" s="9">
        <v>5.7269999999999999E-5</v>
      </c>
      <c r="M918" s="9">
        <v>6.355E-5</v>
      </c>
      <c r="N918" s="9">
        <v>7.1799999999999997E-5</v>
      </c>
      <c r="O918" s="9">
        <v>1.8389999999999998E-5</v>
      </c>
      <c r="P918" s="9">
        <v>3.7429999999999999E-5</v>
      </c>
      <c r="Q918" s="9">
        <v>5.5699999999999999E-5</v>
      </c>
      <c r="R918" s="10">
        <v>2.1137580671804718E-4</v>
      </c>
      <c r="S918" s="10">
        <v>1.9029020759484994E-4</v>
      </c>
      <c r="T918" s="10">
        <v>0</v>
      </c>
      <c r="U918" s="10">
        <v>1.8909999999999999E-4</v>
      </c>
      <c r="V918" s="25"/>
      <c r="W918" s="25"/>
      <c r="X918" s="25"/>
      <c r="Y918" s="25"/>
      <c r="Z918" s="25"/>
      <c r="AA918" s="25"/>
    </row>
    <row r="919" spans="1:27" x14ac:dyDescent="0.35">
      <c r="A919" s="5">
        <v>915</v>
      </c>
      <c r="B919" s="5">
        <v>39</v>
      </c>
      <c r="C919" s="5">
        <v>2</v>
      </c>
      <c r="D919" s="25">
        <v>1.1416E-4</v>
      </c>
      <c r="E919" s="25">
        <v>1.1505E-4</v>
      </c>
      <c r="F919" s="25">
        <v>1.3778E-4</v>
      </c>
      <c r="G919" s="25">
        <v>6.2550000000000003E-5</v>
      </c>
      <c r="H919" s="25">
        <v>7.5080000000000006E-5</v>
      </c>
      <c r="I919" s="9">
        <v>9.959E-5</v>
      </c>
      <c r="J919" s="9">
        <v>9.2059999999999996E-5</v>
      </c>
      <c r="K919" s="9">
        <v>4.1750000000000001E-4</v>
      </c>
      <c r="L919" s="9">
        <v>2.7149999999999999E-5</v>
      </c>
      <c r="M919" s="9">
        <v>5.185E-5</v>
      </c>
      <c r="N919" s="9">
        <v>6.5140000000000003E-5</v>
      </c>
      <c r="O919" s="9">
        <v>1.305E-5</v>
      </c>
      <c r="P919" s="9">
        <v>3.786E-5</v>
      </c>
      <c r="Q919" s="9">
        <v>6.1710000000000004E-5</v>
      </c>
      <c r="R919" s="10">
        <v>2.118098351522881E-4</v>
      </c>
      <c r="S919" s="10">
        <v>1.9029020759484994E-4</v>
      </c>
      <c r="T919" s="10">
        <v>0</v>
      </c>
      <c r="U919" s="10">
        <v>1.8909999999999999E-4</v>
      </c>
      <c r="V919" s="25"/>
      <c r="W919" s="25"/>
      <c r="X919" s="25"/>
      <c r="Y919" s="25"/>
      <c r="Z919" s="25"/>
      <c r="AA919" s="25"/>
    </row>
    <row r="920" spans="1:27" x14ac:dyDescent="0.35">
      <c r="A920" s="5">
        <v>916</v>
      </c>
      <c r="B920" s="5">
        <v>39</v>
      </c>
      <c r="C920" s="5">
        <v>2</v>
      </c>
      <c r="D920" s="25">
        <v>1.1415000000000001E-4</v>
      </c>
      <c r="E920" s="25">
        <v>1.0778E-4</v>
      </c>
      <c r="F920" s="25">
        <v>1.4024E-4</v>
      </c>
      <c r="G920" s="25">
        <v>5.94E-5</v>
      </c>
      <c r="H920" s="25">
        <v>6.7269999999999998E-5</v>
      </c>
      <c r="I920" s="9">
        <v>9.8449999999999994E-5</v>
      </c>
      <c r="J920" s="9">
        <v>9.1299999999999997E-5</v>
      </c>
      <c r="K920" s="9">
        <v>4.0266999999999999E-4</v>
      </c>
      <c r="L920" s="9">
        <v>1.6900000000000001E-5</v>
      </c>
      <c r="M920" s="9">
        <v>4.4020000000000002E-5</v>
      </c>
      <c r="N920" s="9">
        <v>6.1660000000000003E-5</v>
      </c>
      <c r="O920" s="9">
        <v>1.307E-5</v>
      </c>
      <c r="P920" s="9">
        <v>4.74E-5</v>
      </c>
      <c r="Q920" s="9">
        <v>8.0630000000000006E-5</v>
      </c>
      <c r="R920" s="10">
        <v>2.1233399101689549E-4</v>
      </c>
      <c r="S920" s="10">
        <v>1.9029020759484994E-4</v>
      </c>
      <c r="T920" s="10">
        <v>0</v>
      </c>
      <c r="U920" s="10">
        <v>1.8909999999999999E-4</v>
      </c>
      <c r="V920" s="25"/>
      <c r="W920" s="25"/>
      <c r="X920" s="25"/>
      <c r="Y920" s="25"/>
      <c r="Z920" s="25"/>
      <c r="AA920" s="25"/>
    </row>
    <row r="921" spans="1:27" x14ac:dyDescent="0.35">
      <c r="A921" s="5">
        <v>917</v>
      </c>
      <c r="B921" s="5">
        <v>39</v>
      </c>
      <c r="C921" s="5">
        <v>2</v>
      </c>
      <c r="D921" s="25">
        <v>1.1416E-4</v>
      </c>
      <c r="E921" s="25">
        <v>1.109E-4</v>
      </c>
      <c r="F921" s="25">
        <v>1.3831E-4</v>
      </c>
      <c r="G921" s="25">
        <v>5.2970000000000003E-5</v>
      </c>
      <c r="H921" s="25">
        <v>7.2620000000000006E-5</v>
      </c>
      <c r="I921" s="9">
        <v>1.0008E-4</v>
      </c>
      <c r="J921" s="9">
        <v>9.2739999999999996E-5</v>
      </c>
      <c r="K921" s="9">
        <v>4.1326999999999998E-4</v>
      </c>
      <c r="L921" s="9">
        <v>1.416E-5</v>
      </c>
      <c r="M921" s="9">
        <v>4.3489999999999999E-5</v>
      </c>
      <c r="N921" s="9">
        <v>6.4319999999999994E-5</v>
      </c>
      <c r="O921" s="9">
        <v>1.8660000000000001E-5</v>
      </c>
      <c r="P921" s="9">
        <v>5.6969999999999998E-5</v>
      </c>
      <c r="Q921" s="9">
        <v>9.4199999999999999E-5</v>
      </c>
      <c r="R921" s="10">
        <v>2.1244321208459228E-4</v>
      </c>
      <c r="S921" s="10">
        <v>1.902901969484271E-4</v>
      </c>
      <c r="T921" s="10">
        <v>0</v>
      </c>
      <c r="U921" s="10">
        <v>1.8909999999999999E-4</v>
      </c>
      <c r="V921" s="25"/>
      <c r="W921" s="25"/>
      <c r="X921" s="25"/>
      <c r="Y921" s="25"/>
      <c r="Z921" s="25"/>
      <c r="AA921" s="25"/>
    </row>
    <row r="922" spans="1:27" x14ac:dyDescent="0.35">
      <c r="A922" s="5">
        <v>918</v>
      </c>
      <c r="B922" s="5">
        <v>39</v>
      </c>
      <c r="C922" s="5">
        <v>2</v>
      </c>
      <c r="D922" s="25">
        <v>1.1415000000000001E-4</v>
      </c>
      <c r="E922" s="25">
        <v>1.1786999999999999E-4</v>
      </c>
      <c r="F922" s="25">
        <v>1.3684999999999999E-4</v>
      </c>
      <c r="G922" s="25">
        <v>1.0902E-4</v>
      </c>
      <c r="H922" s="25">
        <v>1.3158000000000001E-4</v>
      </c>
      <c r="I922" s="9">
        <v>1.058E-4</v>
      </c>
      <c r="J922" s="9">
        <v>9.7109999999999997E-5</v>
      </c>
      <c r="K922" s="9">
        <v>4.1114E-4</v>
      </c>
      <c r="L922" s="9">
        <v>1.7540000000000001E-5</v>
      </c>
      <c r="M922" s="9">
        <v>4.8550000000000001E-5</v>
      </c>
      <c r="N922" s="9">
        <v>7.1060000000000001E-5</v>
      </c>
      <c r="O922" s="9">
        <v>4.583E-5</v>
      </c>
      <c r="P922" s="9">
        <v>7.6210000000000004E-5</v>
      </c>
      <c r="Q922" s="9">
        <v>1.0611999999999999E-4</v>
      </c>
      <c r="R922" s="10">
        <v>2.1237107867522507E-4</v>
      </c>
      <c r="S922" s="10">
        <v>1.9028933278228809E-4</v>
      </c>
      <c r="T922" s="10">
        <v>0</v>
      </c>
      <c r="U922" s="10">
        <v>1.8909999999999999E-4</v>
      </c>
      <c r="V922" s="25"/>
      <c r="W922" s="25"/>
      <c r="X922" s="25"/>
      <c r="Y922" s="25"/>
      <c r="Z922" s="25"/>
      <c r="AA922" s="25"/>
    </row>
    <row r="923" spans="1:27" x14ac:dyDescent="0.35">
      <c r="A923" s="5">
        <v>919</v>
      </c>
      <c r="B923" s="5">
        <v>39</v>
      </c>
      <c r="C923" s="5">
        <v>2</v>
      </c>
      <c r="D923" s="25">
        <v>1.1416E-4</v>
      </c>
      <c r="E923" s="25">
        <v>1.1824000000000001E-4</v>
      </c>
      <c r="F923" s="25">
        <v>1.3036999999999999E-4</v>
      </c>
      <c r="G923" s="25">
        <v>1.1127E-4</v>
      </c>
      <c r="H923" s="25">
        <v>1.3600999999999999E-4</v>
      </c>
      <c r="I923" s="9">
        <v>1.1773999999999999E-4</v>
      </c>
      <c r="J923" s="9">
        <v>1.0908000000000001E-4</v>
      </c>
      <c r="K923" s="9">
        <v>4.1750000000000001E-4</v>
      </c>
      <c r="L923" s="9">
        <v>3.9459999999999998E-5</v>
      </c>
      <c r="M923" s="9">
        <v>5.9929999999999997E-5</v>
      </c>
      <c r="N923" s="9">
        <v>8.0619999999999997E-5</v>
      </c>
      <c r="O923" s="9">
        <v>1.247E-4</v>
      </c>
      <c r="P923" s="9">
        <v>1.1827E-4</v>
      </c>
      <c r="Q923" s="9">
        <v>1.1328999999999999E-4</v>
      </c>
      <c r="R923" s="10">
        <v>2.1238884549793755E-4</v>
      </c>
      <c r="S923" s="10">
        <v>1.9029012425709609E-4</v>
      </c>
      <c r="T923" s="10">
        <v>0</v>
      </c>
      <c r="U923" s="10">
        <v>1.8909999999999999E-4</v>
      </c>
      <c r="V923" s="25"/>
      <c r="W923" s="25"/>
      <c r="X923" s="25"/>
      <c r="Y923" s="25"/>
      <c r="Z923" s="25"/>
      <c r="AA923" s="25"/>
    </row>
    <row r="924" spans="1:27" x14ac:dyDescent="0.35">
      <c r="A924" s="5">
        <v>920</v>
      </c>
      <c r="B924" s="5">
        <v>39</v>
      </c>
      <c r="C924" s="5">
        <v>2</v>
      </c>
      <c r="D924" s="25">
        <v>1.1415000000000001E-4</v>
      </c>
      <c r="E924" s="25">
        <v>1.0949E-4</v>
      </c>
      <c r="F924" s="25">
        <v>1.3800999999999999E-4</v>
      </c>
      <c r="G924" s="25">
        <v>1.5699999999999999E-4</v>
      </c>
      <c r="H924" s="25">
        <v>2.0032000000000001E-4</v>
      </c>
      <c r="I924" s="9">
        <v>1.2710999999999999E-4</v>
      </c>
      <c r="J924" s="9">
        <v>1.2537E-4</v>
      </c>
      <c r="K924" s="9">
        <v>4.0478999999999998E-4</v>
      </c>
      <c r="L924" s="9">
        <v>1.0533E-4</v>
      </c>
      <c r="M924" s="9">
        <v>8.3850000000000005E-5</v>
      </c>
      <c r="N924" s="9">
        <v>9.0939999999999993E-5</v>
      </c>
      <c r="O924" s="9">
        <v>2.1851999999999999E-4</v>
      </c>
      <c r="P924" s="9">
        <v>1.7503000000000001E-4</v>
      </c>
      <c r="Q924" s="9">
        <v>1.3521E-4</v>
      </c>
      <c r="R924" s="10">
        <v>2.1242094685486277E-4</v>
      </c>
      <c r="S924" s="10">
        <v>1.9029019261730681E-4</v>
      </c>
      <c r="T924" s="10">
        <v>0</v>
      </c>
      <c r="U924" s="10">
        <v>1.8909999999999999E-4</v>
      </c>
      <c r="V924" s="25"/>
      <c r="W924" s="25"/>
      <c r="X924" s="25"/>
      <c r="Y924" s="25"/>
      <c r="Z924" s="25"/>
      <c r="AA924" s="25"/>
    </row>
    <row r="925" spans="1:27" x14ac:dyDescent="0.35">
      <c r="A925" s="5">
        <v>921</v>
      </c>
      <c r="B925" s="5">
        <v>39</v>
      </c>
      <c r="C925" s="5">
        <v>2</v>
      </c>
      <c r="D925" s="25">
        <v>1.1416E-4</v>
      </c>
      <c r="E925" s="25">
        <v>1.1667000000000001E-4</v>
      </c>
      <c r="F925" s="25">
        <v>1.3857999999999999E-4</v>
      </c>
      <c r="G925" s="25">
        <v>1.6668999999999999E-4</v>
      </c>
      <c r="H925" s="25">
        <v>1.9429000000000001E-4</v>
      </c>
      <c r="I925" s="9">
        <v>1.3255E-4</v>
      </c>
      <c r="J925" s="9">
        <v>1.3396E-4</v>
      </c>
      <c r="K925" s="9">
        <v>3.5605000000000001E-4</v>
      </c>
      <c r="L925" s="9">
        <v>1.9181999999999999E-4</v>
      </c>
      <c r="M925" s="9">
        <v>1.2287999999999999E-4</v>
      </c>
      <c r="N925" s="9">
        <v>1.0435E-4</v>
      </c>
      <c r="O925" s="9">
        <v>2.1392000000000001E-4</v>
      </c>
      <c r="P925" s="9">
        <v>1.9435000000000001E-4</v>
      </c>
      <c r="Q925" s="9">
        <v>1.7799E-4</v>
      </c>
      <c r="R925" s="10">
        <v>2.1243054760622108E-4</v>
      </c>
      <c r="S925" s="10">
        <v>1.9029017336150399E-4</v>
      </c>
      <c r="T925" s="10">
        <v>6.5923005950607356E-5</v>
      </c>
      <c r="U925" s="10">
        <v>1.8909999999999999E-4</v>
      </c>
      <c r="V925" s="25"/>
      <c r="W925" s="25"/>
      <c r="X925" s="25"/>
      <c r="Y925" s="25"/>
      <c r="Z925" s="25"/>
      <c r="AA925" s="25"/>
    </row>
    <row r="926" spans="1:27" x14ac:dyDescent="0.35">
      <c r="A926" s="5">
        <v>922</v>
      </c>
      <c r="B926" s="5">
        <v>39</v>
      </c>
      <c r="C926" s="5">
        <v>2</v>
      </c>
      <c r="D926" s="25">
        <v>1.1415000000000001E-4</v>
      </c>
      <c r="E926" s="25">
        <v>1.1098E-4</v>
      </c>
      <c r="F926" s="25">
        <v>1.3699E-4</v>
      </c>
      <c r="G926" s="25">
        <v>1.5977E-4</v>
      </c>
      <c r="H926" s="25">
        <v>1.9866E-4</v>
      </c>
      <c r="I926" s="9">
        <v>1.3672000000000001E-4</v>
      </c>
      <c r="J926" s="9">
        <v>1.3752999999999999E-4</v>
      </c>
      <c r="K926" s="9">
        <v>3.1789999999999998E-4</v>
      </c>
      <c r="L926" s="9">
        <v>2.0678E-4</v>
      </c>
      <c r="M926" s="9">
        <v>1.5847999999999999E-4</v>
      </c>
      <c r="N926" s="9">
        <v>1.2460999999999999E-4</v>
      </c>
      <c r="O926" s="9">
        <v>1.695E-4</v>
      </c>
      <c r="P926" s="9">
        <v>1.7553999999999999E-4</v>
      </c>
      <c r="Q926" s="9">
        <v>1.8361000000000001E-4</v>
      </c>
      <c r="R926" s="10">
        <v>2.1241975254248076E-4</v>
      </c>
      <c r="S926" s="10">
        <v>1.9029020759484994E-4</v>
      </c>
      <c r="T926" s="10">
        <v>4.2981460507821987E-5</v>
      </c>
      <c r="U926" s="10">
        <v>1.8909999999999999E-4</v>
      </c>
      <c r="V926" s="25"/>
      <c r="W926" s="25"/>
      <c r="X926" s="25"/>
      <c r="Y926" s="25"/>
      <c r="Z926" s="25"/>
      <c r="AA926" s="25"/>
    </row>
    <row r="927" spans="1:27" x14ac:dyDescent="0.35">
      <c r="A927" s="5">
        <v>923</v>
      </c>
      <c r="B927" s="5">
        <v>39</v>
      </c>
      <c r="C927" s="5">
        <v>2</v>
      </c>
      <c r="D927" s="25">
        <v>1.1416E-4</v>
      </c>
      <c r="E927" s="25">
        <v>1.147E-4</v>
      </c>
      <c r="F927" s="25">
        <v>1.3116000000000001E-4</v>
      </c>
      <c r="G927" s="25">
        <v>1.5883999999999999E-4</v>
      </c>
      <c r="H927" s="25">
        <v>1.9426999999999999E-4</v>
      </c>
      <c r="I927" s="9">
        <v>1.3909999999999999E-4</v>
      </c>
      <c r="J927" s="9">
        <v>1.3715E-4</v>
      </c>
      <c r="K927" s="9">
        <v>2.9034999999999998E-4</v>
      </c>
      <c r="L927" s="9">
        <v>1.7772E-4</v>
      </c>
      <c r="M927" s="9">
        <v>1.729E-4</v>
      </c>
      <c r="N927" s="9">
        <v>1.4301E-4</v>
      </c>
      <c r="O927" s="9">
        <v>1.6679999999999999E-4</v>
      </c>
      <c r="P927" s="9">
        <v>1.7139999999999999E-4</v>
      </c>
      <c r="Q927" s="9">
        <v>1.7803E-4</v>
      </c>
      <c r="R927" s="10">
        <v>2.1222821916936621E-4</v>
      </c>
      <c r="S927" s="10">
        <v>1.902901795150995E-4</v>
      </c>
      <c r="T927" s="10">
        <v>1.9989009268935769E-4</v>
      </c>
      <c r="U927" s="10">
        <v>1.8909999999999999E-4</v>
      </c>
      <c r="V927" s="25"/>
      <c r="W927" s="25"/>
      <c r="X927" s="25"/>
      <c r="Y927" s="25"/>
      <c r="Z927" s="25"/>
      <c r="AA927" s="25"/>
    </row>
    <row r="928" spans="1:27" x14ac:dyDescent="0.35">
      <c r="A928" s="5">
        <v>924</v>
      </c>
      <c r="B928" s="5">
        <v>39</v>
      </c>
      <c r="C928" s="5">
        <v>2</v>
      </c>
      <c r="D928" s="25">
        <v>1.1415000000000001E-4</v>
      </c>
      <c r="E928" s="25">
        <v>1.1230000000000001E-4</v>
      </c>
      <c r="F928" s="25">
        <v>1.2297E-4</v>
      </c>
      <c r="G928" s="25">
        <v>1.6045999999999999E-4</v>
      </c>
      <c r="H928" s="25">
        <v>1.8806000000000001E-4</v>
      </c>
      <c r="I928" s="9">
        <v>1.4058000000000001E-4</v>
      </c>
      <c r="J928" s="9">
        <v>1.3751E-4</v>
      </c>
      <c r="K928" s="9">
        <v>2.6279E-4</v>
      </c>
      <c r="L928" s="9">
        <v>1.7059E-4</v>
      </c>
      <c r="M928" s="9">
        <v>1.7487000000000001E-4</v>
      </c>
      <c r="N928" s="9">
        <v>1.5677000000000001E-4</v>
      </c>
      <c r="O928" s="9">
        <v>1.7233E-4</v>
      </c>
      <c r="P928" s="9">
        <v>1.7285E-4</v>
      </c>
      <c r="Q928" s="9">
        <v>1.7553999999999999E-4</v>
      </c>
      <c r="R928" s="10">
        <v>1.8278372007482477E-4</v>
      </c>
      <c r="S928" s="10">
        <v>1.8883557115509887E-4</v>
      </c>
      <c r="T928" s="10">
        <v>4.3792559525695612E-4</v>
      </c>
      <c r="U928" s="10">
        <v>1.8909999999999999E-4</v>
      </c>
      <c r="V928" s="25"/>
      <c r="W928" s="25"/>
      <c r="X928" s="25"/>
      <c r="Y928" s="25"/>
      <c r="Z928" s="25"/>
      <c r="AA928" s="25"/>
    </row>
    <row r="929" spans="1:27" x14ac:dyDescent="0.35">
      <c r="A929" s="5">
        <v>925</v>
      </c>
      <c r="B929" s="5">
        <v>39</v>
      </c>
      <c r="C929" s="5">
        <v>2</v>
      </c>
      <c r="D929" s="25">
        <v>1.1416E-4</v>
      </c>
      <c r="E929" s="25">
        <v>1.0869E-4</v>
      </c>
      <c r="F929" s="25">
        <v>1.2053999999999999E-4</v>
      </c>
      <c r="G929" s="25">
        <v>1.6756E-4</v>
      </c>
      <c r="H929" s="25">
        <v>2.0023999999999999E-4</v>
      </c>
      <c r="I929" s="9">
        <v>1.3676000000000001E-4</v>
      </c>
      <c r="J929" s="9">
        <v>1.3622999999999999E-4</v>
      </c>
      <c r="K929" s="9">
        <v>2.3948E-4</v>
      </c>
      <c r="L929" s="9">
        <v>1.7218999999999999E-4</v>
      </c>
      <c r="M929" s="9">
        <v>1.7411999999999999E-4</v>
      </c>
      <c r="N929" s="9">
        <v>1.6652E-4</v>
      </c>
      <c r="O929" s="9">
        <v>1.6224999999999999E-4</v>
      </c>
      <c r="P929" s="9">
        <v>1.6364999999999999E-4</v>
      </c>
      <c r="Q929" s="9">
        <v>1.6704999999999999E-4</v>
      </c>
      <c r="R929" s="10">
        <v>1.6968731725613466E-4</v>
      </c>
      <c r="S929" s="10">
        <v>1.8271994785498585E-4</v>
      </c>
      <c r="T929" s="10">
        <v>5.6879591273290443E-4</v>
      </c>
      <c r="U929" s="10">
        <v>1.8909999999999999E-4</v>
      </c>
      <c r="V929" s="25"/>
      <c r="W929" s="25"/>
      <c r="X929" s="25"/>
      <c r="Y929" s="25"/>
      <c r="Z929" s="25"/>
      <c r="AA929" s="25"/>
    </row>
    <row r="930" spans="1:27" x14ac:dyDescent="0.35">
      <c r="A930" s="5">
        <v>926</v>
      </c>
      <c r="B930" s="5">
        <v>39</v>
      </c>
      <c r="C930" s="5">
        <v>2</v>
      </c>
      <c r="D930" s="25">
        <v>1.1415000000000001E-4</v>
      </c>
      <c r="E930" s="25">
        <v>1.1218999999999999E-4</v>
      </c>
      <c r="F930" s="25">
        <v>1.2124E-4</v>
      </c>
      <c r="G930" s="25">
        <v>1.5791000000000001E-4</v>
      </c>
      <c r="H930" s="25">
        <v>1.9065999999999999E-4</v>
      </c>
      <c r="I930" s="9">
        <v>1.3626999999999999E-4</v>
      </c>
      <c r="J930" s="9">
        <v>1.3689E-4</v>
      </c>
      <c r="K930" s="9">
        <v>2.2253E-4</v>
      </c>
      <c r="L930" s="9">
        <v>1.6414000000000001E-4</v>
      </c>
      <c r="M930" s="9">
        <v>1.7014999999999999E-4</v>
      </c>
      <c r="N930" s="9">
        <v>1.7075E-4</v>
      </c>
      <c r="O930" s="9">
        <v>1.7927000000000001E-4</v>
      </c>
      <c r="P930" s="9">
        <v>1.6877999999999999E-4</v>
      </c>
      <c r="Q930" s="9">
        <v>1.6076E-4</v>
      </c>
      <c r="R930" s="10">
        <v>2.0090647067496739E-4</v>
      </c>
      <c r="S930" s="10">
        <v>1.6505753506296123E-4</v>
      </c>
      <c r="T930" s="10">
        <v>4.0130735926174101E-4</v>
      </c>
      <c r="U930" s="10">
        <v>1.8909999999999999E-4</v>
      </c>
      <c r="V930" s="25"/>
      <c r="W930" s="25"/>
      <c r="X930" s="25"/>
      <c r="Y930" s="25"/>
      <c r="Z930" s="25"/>
      <c r="AA930" s="25"/>
    </row>
    <row r="931" spans="1:27" x14ac:dyDescent="0.35">
      <c r="A931" s="5">
        <v>927</v>
      </c>
      <c r="B931" s="5">
        <v>39</v>
      </c>
      <c r="C931" s="5">
        <v>2</v>
      </c>
      <c r="D931" s="25">
        <v>1.1416E-4</v>
      </c>
      <c r="E931" s="25">
        <v>1.175E-4</v>
      </c>
      <c r="F931" s="25">
        <v>1.2475999999999999E-4</v>
      </c>
      <c r="G931" s="25">
        <v>1.6553E-4</v>
      </c>
      <c r="H931" s="25">
        <v>1.8839E-4</v>
      </c>
      <c r="I931" s="9">
        <v>1.3348E-4</v>
      </c>
      <c r="J931" s="9">
        <v>1.3734000000000001E-4</v>
      </c>
      <c r="K931" s="9">
        <v>2.2887999999999999E-4</v>
      </c>
      <c r="L931" s="9">
        <v>1.7611999999999999E-4</v>
      </c>
      <c r="M931" s="9">
        <v>1.6852999999999999E-4</v>
      </c>
      <c r="N931" s="9">
        <v>1.7019E-4</v>
      </c>
      <c r="O931" s="9">
        <v>1.8432E-4</v>
      </c>
      <c r="P931" s="9">
        <v>1.6698E-4</v>
      </c>
      <c r="Q931" s="9">
        <v>1.5231000000000001E-4</v>
      </c>
      <c r="R931" s="10">
        <v>1.9684574031736933E-4</v>
      </c>
      <c r="S931" s="10">
        <v>1.4327111892847001E-4</v>
      </c>
      <c r="T931" s="10">
        <v>3.430541599236625E-4</v>
      </c>
      <c r="U931" s="10">
        <v>1.8909999999999999E-4</v>
      </c>
      <c r="V931" s="25"/>
      <c r="W931" s="25"/>
      <c r="X931" s="25"/>
      <c r="Y931" s="25"/>
      <c r="Z931" s="25"/>
      <c r="AA931" s="25"/>
    </row>
    <row r="932" spans="1:27" x14ac:dyDescent="0.35">
      <c r="A932" s="5">
        <v>928</v>
      </c>
      <c r="B932" s="5">
        <v>39</v>
      </c>
      <c r="C932" s="5">
        <v>2</v>
      </c>
      <c r="D932" s="25">
        <v>1.1415000000000001E-4</v>
      </c>
      <c r="E932" s="25">
        <v>1.11E-4</v>
      </c>
      <c r="F932" s="25">
        <v>1.2468000000000001E-4</v>
      </c>
      <c r="G932" s="25">
        <v>1.5752E-4</v>
      </c>
      <c r="H932" s="25">
        <v>1.9778999999999999E-4</v>
      </c>
      <c r="I932" s="9">
        <v>1.3401999999999999E-4</v>
      </c>
      <c r="J932" s="9">
        <v>1.3752E-4</v>
      </c>
      <c r="K932" s="9">
        <v>2.4373E-4</v>
      </c>
      <c r="L932" s="9">
        <v>1.8222E-4</v>
      </c>
      <c r="M932" s="9">
        <v>1.6762999999999999E-4</v>
      </c>
      <c r="N932" s="9">
        <v>1.6615999999999999E-4</v>
      </c>
      <c r="O932" s="9">
        <v>1.9733000000000001E-4</v>
      </c>
      <c r="P932" s="9">
        <v>1.5155E-4</v>
      </c>
      <c r="Q932" s="9">
        <v>1.0911E-4</v>
      </c>
      <c r="R932" s="10">
        <v>1.7005972370492129E-4</v>
      </c>
      <c r="S932" s="10">
        <v>1.2778793916341934E-4</v>
      </c>
      <c r="T932" s="10">
        <v>6.1935385256040363E-5</v>
      </c>
      <c r="U932" s="10">
        <v>1.8909999999999999E-4</v>
      </c>
      <c r="V932" s="25"/>
      <c r="W932" s="25"/>
      <c r="X932" s="25"/>
      <c r="Y932" s="25"/>
      <c r="Z932" s="25"/>
      <c r="AA932" s="25"/>
    </row>
    <row r="933" spans="1:27" x14ac:dyDescent="0.35">
      <c r="A933" s="5">
        <v>929</v>
      </c>
      <c r="B933" s="5">
        <v>39</v>
      </c>
      <c r="C933" s="5">
        <v>2</v>
      </c>
      <c r="D933" s="25">
        <v>1.1416E-4</v>
      </c>
      <c r="E933" s="25">
        <v>1.1806E-4</v>
      </c>
      <c r="F933" s="25">
        <v>1.3490999999999999E-4</v>
      </c>
      <c r="G933" s="25">
        <v>1.6228E-4</v>
      </c>
      <c r="H933" s="25">
        <v>1.9438999999999999E-4</v>
      </c>
      <c r="I933" s="9">
        <v>1.3370999999999999E-4</v>
      </c>
      <c r="J933" s="9">
        <v>1.3934E-4</v>
      </c>
      <c r="K933" s="9">
        <v>2.8397999999999997E-4</v>
      </c>
      <c r="L933" s="9">
        <v>1.9377000000000001E-4</v>
      </c>
      <c r="M933" s="9">
        <v>1.6171999999999999E-4</v>
      </c>
      <c r="N933" s="9">
        <v>1.5229999999999999E-4</v>
      </c>
      <c r="O933" s="9">
        <v>2.1573E-4</v>
      </c>
      <c r="P933" s="9">
        <v>1.5965E-4</v>
      </c>
      <c r="Q933" s="9">
        <v>1.0739E-4</v>
      </c>
      <c r="R933" s="10">
        <v>1.2060836057527636E-4</v>
      </c>
      <c r="S933" s="10">
        <v>1.4001904028600206E-4</v>
      </c>
      <c r="T933" s="10">
        <v>3.4819564532984887E-5</v>
      </c>
      <c r="U933" s="10">
        <v>1.8909999999999999E-4</v>
      </c>
      <c r="V933" s="25"/>
      <c r="W933" s="25"/>
      <c r="X933" s="25"/>
      <c r="Y933" s="25"/>
      <c r="Z933" s="25"/>
      <c r="AA933" s="25"/>
    </row>
    <row r="934" spans="1:27" x14ac:dyDescent="0.35">
      <c r="A934" s="5">
        <v>930</v>
      </c>
      <c r="B934" s="5">
        <v>39</v>
      </c>
      <c r="C934" s="5">
        <v>2</v>
      </c>
      <c r="D934" s="25">
        <v>1.1415000000000001E-4</v>
      </c>
      <c r="E934" s="25">
        <v>1.0741E-4</v>
      </c>
      <c r="F934" s="25">
        <v>1.3615E-4</v>
      </c>
      <c r="G934" s="25">
        <v>1.6558999999999999E-4</v>
      </c>
      <c r="H934" s="25">
        <v>1.9897E-4</v>
      </c>
      <c r="I934" s="9">
        <v>1.3689999999999999E-4</v>
      </c>
      <c r="J934" s="9">
        <v>1.4375E-4</v>
      </c>
      <c r="K934" s="9">
        <v>3.0729999999999999E-4</v>
      </c>
      <c r="L934" s="9">
        <v>2.1066999999999999E-4</v>
      </c>
      <c r="M934" s="9">
        <v>1.5935E-4</v>
      </c>
      <c r="N934" s="9">
        <v>1.3894999999999999E-4</v>
      </c>
      <c r="O934" s="9">
        <v>2.0556E-4</v>
      </c>
      <c r="P934" s="9">
        <v>1.5957999999999999E-4</v>
      </c>
      <c r="Q934" s="9">
        <v>1.1708E-4</v>
      </c>
      <c r="R934" s="10">
        <v>9.7971276398022242E-5</v>
      </c>
      <c r="S934" s="10">
        <v>1.5329342127456692E-4</v>
      </c>
      <c r="T934" s="10">
        <v>0</v>
      </c>
      <c r="U934" s="10">
        <v>1.8909999999999999E-4</v>
      </c>
      <c r="V934" s="25"/>
      <c r="W934" s="25"/>
      <c r="X934" s="25"/>
      <c r="Y934" s="25"/>
      <c r="Z934" s="25"/>
      <c r="AA934" s="25"/>
    </row>
    <row r="935" spans="1:27" x14ac:dyDescent="0.35">
      <c r="A935" s="5">
        <v>931</v>
      </c>
      <c r="B935" s="5">
        <v>39</v>
      </c>
      <c r="C935" s="5">
        <v>2</v>
      </c>
      <c r="D935" s="25">
        <v>1.1416E-4</v>
      </c>
      <c r="E935" s="25">
        <v>1.0787E-4</v>
      </c>
      <c r="F935" s="25">
        <v>1.4081E-4</v>
      </c>
      <c r="G935" s="25">
        <v>1.0457E-4</v>
      </c>
      <c r="H935" s="25">
        <v>1.3181E-4</v>
      </c>
      <c r="I935" s="9">
        <v>1.4250999999999999E-4</v>
      </c>
      <c r="J935" s="9">
        <v>1.4284000000000001E-4</v>
      </c>
      <c r="K935" s="9">
        <v>2.9247000000000002E-4</v>
      </c>
      <c r="L935" s="9">
        <v>2.0625E-4</v>
      </c>
      <c r="M935" s="9">
        <v>1.5898999999999999E-4</v>
      </c>
      <c r="N935" s="9">
        <v>1.2977E-4</v>
      </c>
      <c r="O935" s="9">
        <v>1.6412999999999999E-4</v>
      </c>
      <c r="P935" s="9">
        <v>1.3397999999999999E-4</v>
      </c>
      <c r="Q935" s="9">
        <v>1.0634E-4</v>
      </c>
      <c r="R935" s="10">
        <v>1.3502962874398258E-4</v>
      </c>
      <c r="S935" s="10">
        <v>1.543069076875904E-4</v>
      </c>
      <c r="T935" s="10">
        <v>0</v>
      </c>
      <c r="U935" s="10">
        <v>1.8909999999999999E-4</v>
      </c>
      <c r="V935" s="25"/>
      <c r="W935" s="25"/>
      <c r="X935" s="25"/>
      <c r="Y935" s="25"/>
      <c r="Z935" s="25"/>
      <c r="AA935" s="25"/>
    </row>
    <row r="936" spans="1:27" x14ac:dyDescent="0.35">
      <c r="A936" s="5">
        <v>932</v>
      </c>
      <c r="B936" s="5">
        <v>39</v>
      </c>
      <c r="C936" s="5">
        <v>2</v>
      </c>
      <c r="D936" s="25">
        <v>1.1415000000000001E-4</v>
      </c>
      <c r="E936" s="25">
        <v>1.1553E-4</v>
      </c>
      <c r="F936" s="25">
        <v>1.2107E-4</v>
      </c>
      <c r="G936" s="25">
        <v>1.1218999999999999E-4</v>
      </c>
      <c r="H936" s="25">
        <v>1.2679E-4</v>
      </c>
      <c r="I936" s="9">
        <v>1.3782000000000001E-4</v>
      </c>
      <c r="J936" s="9">
        <v>1.3877E-4</v>
      </c>
      <c r="K936" s="9">
        <v>3.1154000000000002E-4</v>
      </c>
      <c r="L936" s="9">
        <v>1.7359E-4</v>
      </c>
      <c r="M936" s="9">
        <v>1.5004999999999999E-4</v>
      </c>
      <c r="N936" s="9">
        <v>1.2053E-4</v>
      </c>
      <c r="O936" s="9">
        <v>1.2997E-4</v>
      </c>
      <c r="P936" s="9">
        <v>1.1527999999999999E-4</v>
      </c>
      <c r="Q936" s="9">
        <v>1.0226E-4</v>
      </c>
      <c r="R936" s="10">
        <v>1.7464812309766559E-4</v>
      </c>
      <c r="S936" s="10">
        <v>1.5131812867798038E-4</v>
      </c>
      <c r="T936" s="10">
        <v>0</v>
      </c>
      <c r="U936" s="10">
        <v>1.8909999999999999E-4</v>
      </c>
      <c r="V936" s="25"/>
      <c r="W936" s="25"/>
      <c r="X936" s="25"/>
      <c r="Y936" s="25"/>
      <c r="Z936" s="25"/>
      <c r="AA936" s="25"/>
    </row>
    <row r="937" spans="1:27" x14ac:dyDescent="0.35">
      <c r="A937" s="5">
        <v>933</v>
      </c>
      <c r="B937" s="5">
        <v>39</v>
      </c>
      <c r="C937" s="5">
        <v>2</v>
      </c>
      <c r="D937" s="25">
        <v>1.1416E-4</v>
      </c>
      <c r="E937" s="25">
        <v>1.1667000000000001E-4</v>
      </c>
      <c r="F937" s="25">
        <v>1.4103E-4</v>
      </c>
      <c r="G937" s="25">
        <v>6.313E-5</v>
      </c>
      <c r="H937" s="25">
        <v>6.8979999999999993E-5</v>
      </c>
      <c r="I937" s="9">
        <v>1.3121000000000001E-4</v>
      </c>
      <c r="J937" s="9">
        <v>1.3181E-4</v>
      </c>
      <c r="K937" s="9">
        <v>3.0941999999999998E-4</v>
      </c>
      <c r="L937" s="9">
        <v>1.4059000000000001E-4</v>
      </c>
      <c r="M937" s="9">
        <v>1.3501999999999999E-4</v>
      </c>
      <c r="N937" s="9">
        <v>1.1298000000000001E-4</v>
      </c>
      <c r="O937" s="9">
        <v>8.4779999999999998E-5</v>
      </c>
      <c r="P937" s="9">
        <v>8.6119999999999995E-5</v>
      </c>
      <c r="Q937" s="9">
        <v>8.8109999999999995E-5</v>
      </c>
      <c r="R937" s="10">
        <v>1.9712181784903494E-4</v>
      </c>
      <c r="S937" s="10">
        <v>1.625978369366779E-4</v>
      </c>
      <c r="T937" s="10">
        <v>0</v>
      </c>
      <c r="U937" s="10">
        <v>1.8909999999999999E-4</v>
      </c>
      <c r="V937" s="25"/>
      <c r="W937" s="25"/>
      <c r="X937" s="25"/>
      <c r="Y937" s="25"/>
      <c r="Z937" s="25"/>
      <c r="AA937" s="25"/>
    </row>
    <row r="938" spans="1:27" x14ac:dyDescent="0.35">
      <c r="A938" s="5">
        <v>934</v>
      </c>
      <c r="B938" s="5">
        <v>39</v>
      </c>
      <c r="C938" s="5">
        <v>2</v>
      </c>
      <c r="D938" s="25">
        <v>1.1415000000000001E-4</v>
      </c>
      <c r="E938" s="25">
        <v>1.0777000000000001E-4</v>
      </c>
      <c r="F938" s="25">
        <v>1.2774999999999999E-4</v>
      </c>
      <c r="G938" s="25">
        <v>5.8909999999999997E-5</v>
      </c>
      <c r="H938" s="25">
        <v>6.7180000000000004E-5</v>
      </c>
      <c r="I938" s="9">
        <v>1.2480999999999999E-4</v>
      </c>
      <c r="J938" s="9">
        <v>1.2418999999999999E-4</v>
      </c>
      <c r="K938" s="9">
        <v>3.0729999999999999E-4</v>
      </c>
      <c r="L938" s="9">
        <v>9.7940000000000001E-5</v>
      </c>
      <c r="M938" s="9">
        <v>1.1357E-4</v>
      </c>
      <c r="N938" s="9">
        <v>1.0541E-4</v>
      </c>
      <c r="O938" s="9">
        <v>8.8430000000000005E-5</v>
      </c>
      <c r="P938" s="9">
        <v>8.8350000000000006E-5</v>
      </c>
      <c r="Q938" s="9">
        <v>8.9010000000000003E-5</v>
      </c>
      <c r="R938" s="10">
        <v>2.043758849509291E-4</v>
      </c>
      <c r="S938" s="10">
        <v>1.7642247569279158E-4</v>
      </c>
      <c r="T938" s="10">
        <v>0</v>
      </c>
      <c r="U938" s="10">
        <v>1.8909999999999999E-4</v>
      </c>
      <c r="V938" s="25"/>
      <c r="W938" s="25"/>
      <c r="X938" s="25"/>
      <c r="Y938" s="25"/>
      <c r="Z938" s="25"/>
      <c r="AA938" s="25"/>
    </row>
    <row r="939" spans="1:27" x14ac:dyDescent="0.35">
      <c r="A939" s="5">
        <v>935</v>
      </c>
      <c r="B939" s="5">
        <v>39</v>
      </c>
      <c r="C939" s="5">
        <v>2</v>
      </c>
      <c r="D939" s="25">
        <v>1.1416E-4</v>
      </c>
      <c r="E939" s="25">
        <v>1.1168E-4</v>
      </c>
      <c r="F939" s="25">
        <v>1.2116999999999999E-4</v>
      </c>
      <c r="G939" s="25">
        <v>6.2249999999999995E-5</v>
      </c>
      <c r="H939" s="25">
        <v>6.3769999999999994E-5</v>
      </c>
      <c r="I939" s="9">
        <v>1.2695999999999999E-4</v>
      </c>
      <c r="J939" s="9">
        <v>1.1566E-4</v>
      </c>
      <c r="K939" s="9">
        <v>3.0306000000000002E-4</v>
      </c>
      <c r="L939" s="9">
        <v>9.1470000000000003E-5</v>
      </c>
      <c r="M939" s="9">
        <v>9.9229999999999997E-5</v>
      </c>
      <c r="N939" s="9">
        <v>9.9820000000000003E-5</v>
      </c>
      <c r="O939" s="9">
        <v>7.8770000000000006E-5</v>
      </c>
      <c r="P939" s="9">
        <v>7.2819999999999997E-5</v>
      </c>
      <c r="Q939" s="9">
        <v>6.7520000000000004E-5</v>
      </c>
      <c r="R939" s="10">
        <v>2.0588803869425295E-4</v>
      </c>
      <c r="S939" s="10">
        <v>1.8176919811940052E-4</v>
      </c>
      <c r="T939" s="10">
        <v>0</v>
      </c>
      <c r="U939" s="10">
        <v>1.8909999999999999E-4</v>
      </c>
      <c r="V939" s="25"/>
      <c r="W939" s="25"/>
      <c r="X939" s="25"/>
      <c r="Y939" s="25"/>
      <c r="Z939" s="25"/>
      <c r="AA939" s="25"/>
    </row>
    <row r="940" spans="1:27" x14ac:dyDescent="0.35">
      <c r="A940" s="5">
        <v>936</v>
      </c>
      <c r="B940" s="5">
        <v>39</v>
      </c>
      <c r="C940" s="5">
        <v>2</v>
      </c>
      <c r="D940" s="25">
        <v>1.1415000000000001E-4</v>
      </c>
      <c r="E940" s="25">
        <v>1.1268E-4</v>
      </c>
      <c r="F940" s="25">
        <v>1.3045E-4</v>
      </c>
      <c r="G940" s="25">
        <v>5.5300000000000002E-5</v>
      </c>
      <c r="H940" s="25">
        <v>7.5160000000000005E-5</v>
      </c>
      <c r="I940" s="9">
        <v>1.2531E-4</v>
      </c>
      <c r="J940" s="9">
        <v>1.0818E-4</v>
      </c>
      <c r="K940" s="9">
        <v>2.9033999999999999E-4</v>
      </c>
      <c r="L940" s="9">
        <v>8.1539999999999995E-5</v>
      </c>
      <c r="M940" s="9">
        <v>8.6570000000000006E-5</v>
      </c>
      <c r="N940" s="9">
        <v>9.0749999999999997E-5</v>
      </c>
      <c r="O940" s="9">
        <v>6.2890000000000003E-5</v>
      </c>
      <c r="P940" s="9">
        <v>6.0739999999999998E-5</v>
      </c>
      <c r="Q940" s="9">
        <v>5.893E-5</v>
      </c>
      <c r="R940" s="10">
        <v>2.0626906287460616E-4</v>
      </c>
      <c r="S940" s="10">
        <v>1.8603808230751415E-4</v>
      </c>
      <c r="T940" s="10">
        <v>0</v>
      </c>
      <c r="U940" s="10">
        <v>1.8909999999999999E-4</v>
      </c>
      <c r="V940" s="25"/>
      <c r="W940" s="25"/>
      <c r="X940" s="25"/>
      <c r="Y940" s="25"/>
      <c r="Z940" s="25"/>
      <c r="AA940" s="25"/>
    </row>
    <row r="941" spans="1:27" x14ac:dyDescent="0.35">
      <c r="A941" s="5">
        <v>937</v>
      </c>
      <c r="B941" s="5">
        <v>40</v>
      </c>
      <c r="C941" s="5">
        <v>2</v>
      </c>
      <c r="D941" s="25">
        <v>1.1416E-4</v>
      </c>
      <c r="E941" s="25">
        <v>1.1547E-4</v>
      </c>
      <c r="F941" s="25">
        <v>1.0904E-4</v>
      </c>
      <c r="G941" s="25">
        <v>5.5739999999999998E-5</v>
      </c>
      <c r="H941" s="25">
        <v>7.4209999999999996E-5</v>
      </c>
      <c r="I941" s="9">
        <v>1.1667000000000001E-4</v>
      </c>
      <c r="J941" s="9">
        <v>1.0179999999999999E-4</v>
      </c>
      <c r="K941" s="9">
        <v>2.967E-4</v>
      </c>
      <c r="L941" s="9">
        <v>6.6989999999999994E-5</v>
      </c>
      <c r="M941" s="9">
        <v>7.4369999999999994E-5</v>
      </c>
      <c r="N941" s="9">
        <v>8.1390000000000005E-5</v>
      </c>
      <c r="O941" s="9">
        <v>5.4389999999999999E-5</v>
      </c>
      <c r="P941" s="9">
        <v>5.38E-5</v>
      </c>
      <c r="Q941" s="9">
        <v>5.3380000000000001E-5</v>
      </c>
      <c r="R941" s="10">
        <v>2.056316901513606E-4</v>
      </c>
      <c r="S941" s="10">
        <v>1.8847058464871802E-4</v>
      </c>
      <c r="T941" s="10">
        <v>0</v>
      </c>
      <c r="U941" s="10">
        <v>1.9023E-4</v>
      </c>
      <c r="V941" s="25"/>
      <c r="W941" s="25"/>
      <c r="X941" s="25"/>
      <c r="Y941" s="25"/>
      <c r="Z941" s="25"/>
      <c r="AA941" s="25"/>
    </row>
    <row r="942" spans="1:27" x14ac:dyDescent="0.35">
      <c r="A942" s="5">
        <v>938</v>
      </c>
      <c r="B942" s="5">
        <v>40</v>
      </c>
      <c r="C942" s="5">
        <v>2</v>
      </c>
      <c r="D942" s="25">
        <v>1.1415000000000001E-4</v>
      </c>
      <c r="E942" s="25">
        <v>1.1538E-4</v>
      </c>
      <c r="F942" s="25">
        <v>1.2454E-4</v>
      </c>
      <c r="G942" s="25">
        <v>5.5479999999999997E-5</v>
      </c>
      <c r="H942" s="25">
        <v>6.8720000000000006E-5</v>
      </c>
      <c r="I942" s="9">
        <v>1.0954E-4</v>
      </c>
      <c r="J942" s="9">
        <v>9.7540000000000005E-5</v>
      </c>
      <c r="K942" s="9">
        <v>3.1366E-4</v>
      </c>
      <c r="L942" s="9">
        <v>5.7559999999999998E-5</v>
      </c>
      <c r="M942" s="9">
        <v>6.4060000000000007E-5</v>
      </c>
      <c r="N942" s="9">
        <v>7.2260000000000003E-5</v>
      </c>
      <c r="O942" s="9">
        <v>1.8709999999999999E-5</v>
      </c>
      <c r="P942" s="9">
        <v>3.8090000000000003E-5</v>
      </c>
      <c r="Q942" s="9">
        <v>5.6679999999999999E-5</v>
      </c>
      <c r="R942" s="10">
        <v>1.9959236685025561E-4</v>
      </c>
      <c r="S942" s="10">
        <v>1.8922973497888782E-4</v>
      </c>
      <c r="T942" s="10">
        <v>0</v>
      </c>
      <c r="U942" s="10">
        <v>1.9023E-4</v>
      </c>
      <c r="V942" s="25"/>
      <c r="W942" s="25"/>
      <c r="X942" s="25"/>
      <c r="Y942" s="25"/>
      <c r="Z942" s="25"/>
      <c r="AA942" s="25"/>
    </row>
    <row r="943" spans="1:27" x14ac:dyDescent="0.35">
      <c r="A943" s="5">
        <v>939</v>
      </c>
      <c r="B943" s="5">
        <v>40</v>
      </c>
      <c r="C943" s="5">
        <v>2</v>
      </c>
      <c r="D943" s="25">
        <v>1.1416E-4</v>
      </c>
      <c r="E943" s="25">
        <v>1.1595E-4</v>
      </c>
      <c r="F943" s="25">
        <v>1.1595999999999999E-4</v>
      </c>
      <c r="G943" s="25">
        <v>5.8440000000000003E-5</v>
      </c>
      <c r="H943" s="25">
        <v>7.6009999999999999E-5</v>
      </c>
      <c r="I943" s="9">
        <v>1.0537E-4</v>
      </c>
      <c r="J943" s="9">
        <v>9.5229999999999995E-5</v>
      </c>
      <c r="K943" s="9">
        <v>3.2424999999999999E-4</v>
      </c>
      <c r="L943" s="9">
        <v>2.747E-5</v>
      </c>
      <c r="M943" s="9">
        <v>5.2349999999999999E-5</v>
      </c>
      <c r="N943" s="9">
        <v>6.5779999999999997E-5</v>
      </c>
      <c r="O943" s="9">
        <v>1.294E-5</v>
      </c>
      <c r="P943" s="9">
        <v>3.7540000000000003E-5</v>
      </c>
      <c r="Q943" s="9">
        <v>6.1199999999999997E-5</v>
      </c>
      <c r="R943" s="10">
        <v>1.9926195334798416E-4</v>
      </c>
      <c r="S943" s="10">
        <v>1.8841852210278661E-4</v>
      </c>
      <c r="T943" s="10">
        <v>0</v>
      </c>
      <c r="U943" s="10">
        <v>1.9023E-4</v>
      </c>
      <c r="V943" s="25"/>
      <c r="W943" s="25"/>
      <c r="X943" s="25"/>
      <c r="Y943" s="25"/>
      <c r="Z943" s="25"/>
      <c r="AA943" s="25"/>
    </row>
    <row r="944" spans="1:27" x14ac:dyDescent="0.35">
      <c r="A944" s="5">
        <v>940</v>
      </c>
      <c r="B944" s="5">
        <v>40</v>
      </c>
      <c r="C944" s="5">
        <v>2</v>
      </c>
      <c r="D944" s="25">
        <v>1.1415000000000001E-4</v>
      </c>
      <c r="E944" s="25">
        <v>1.1896E-4</v>
      </c>
      <c r="F944" s="25">
        <v>1.1631E-4</v>
      </c>
      <c r="G944" s="25">
        <v>5.834E-5</v>
      </c>
      <c r="H944" s="25">
        <v>6.4250000000000003E-5</v>
      </c>
      <c r="I944" s="9">
        <v>1.0508E-4</v>
      </c>
      <c r="J944" s="9">
        <v>9.4099999999999997E-5</v>
      </c>
      <c r="K944" s="9">
        <v>3.3909000000000001E-4</v>
      </c>
      <c r="L944" s="9">
        <v>1.6880000000000001E-5</v>
      </c>
      <c r="M944" s="9">
        <v>4.4240000000000003E-5</v>
      </c>
      <c r="N944" s="9">
        <v>6.2050000000000004E-5</v>
      </c>
      <c r="O944" s="9">
        <v>1.2989999999999999E-5</v>
      </c>
      <c r="P944" s="9">
        <v>4.7089999999999998E-5</v>
      </c>
      <c r="Q944" s="9">
        <v>8.0080000000000006E-5</v>
      </c>
      <c r="R944" s="10">
        <v>1.967584099464722E-4</v>
      </c>
      <c r="S944" s="10">
        <v>1.8552160920899379E-4</v>
      </c>
      <c r="T944" s="10">
        <v>0</v>
      </c>
      <c r="U944" s="10">
        <v>1.9023E-4</v>
      </c>
      <c r="V944" s="25"/>
      <c r="W944" s="25"/>
      <c r="X944" s="25"/>
      <c r="Y944" s="25"/>
      <c r="Z944" s="25"/>
      <c r="AA944" s="25"/>
    </row>
    <row r="945" spans="1:27" x14ac:dyDescent="0.35">
      <c r="A945" s="5">
        <v>941</v>
      </c>
      <c r="B945" s="5">
        <v>40</v>
      </c>
      <c r="C945" s="5">
        <v>2</v>
      </c>
      <c r="D945" s="25">
        <v>1.1416E-4</v>
      </c>
      <c r="E945" s="25">
        <v>1.1712E-4</v>
      </c>
      <c r="F945" s="25">
        <v>1.2855000000000001E-4</v>
      </c>
      <c r="G945" s="25">
        <v>5.5109999999999999E-5</v>
      </c>
      <c r="H945" s="25">
        <v>6.6740000000000001E-5</v>
      </c>
      <c r="I945" s="9">
        <v>1.0665E-4</v>
      </c>
      <c r="J945" s="9">
        <v>9.4660000000000005E-5</v>
      </c>
      <c r="K945" s="9">
        <v>3.412E-4</v>
      </c>
      <c r="L945" s="9">
        <v>1.4090000000000001E-5</v>
      </c>
      <c r="M945" s="9">
        <v>4.3430000000000003E-5</v>
      </c>
      <c r="N945" s="9">
        <v>6.4449999999999994E-5</v>
      </c>
      <c r="O945" s="9">
        <v>1.8620000000000001E-5</v>
      </c>
      <c r="P945" s="9">
        <v>5.6860000000000001E-5</v>
      </c>
      <c r="Q945" s="9">
        <v>9.4019999999999998E-5</v>
      </c>
      <c r="R945" s="10">
        <v>1.8747868573102598E-4</v>
      </c>
      <c r="S945" s="10">
        <v>1.8281374547713414E-4</v>
      </c>
      <c r="T945" s="10">
        <v>0</v>
      </c>
      <c r="U945" s="10">
        <v>1.9023E-4</v>
      </c>
      <c r="V945" s="25"/>
      <c r="W945" s="25"/>
      <c r="X945" s="25"/>
      <c r="Y945" s="25"/>
      <c r="Z945" s="25"/>
      <c r="AA945" s="25"/>
    </row>
    <row r="946" spans="1:27" x14ac:dyDescent="0.35">
      <c r="A946" s="5">
        <v>942</v>
      </c>
      <c r="B946" s="5">
        <v>40</v>
      </c>
      <c r="C946" s="5">
        <v>2</v>
      </c>
      <c r="D946" s="25">
        <v>1.1415000000000001E-4</v>
      </c>
      <c r="E946" s="25">
        <v>1.2244999999999999E-4</v>
      </c>
      <c r="F946" s="25">
        <v>1.2734000000000001E-4</v>
      </c>
      <c r="G946" s="25">
        <v>1.1461E-4</v>
      </c>
      <c r="H946" s="25">
        <v>1.2632999999999999E-4</v>
      </c>
      <c r="I946" s="9">
        <v>1.1142E-4</v>
      </c>
      <c r="J946" s="9">
        <v>9.8380000000000003E-5</v>
      </c>
      <c r="K946" s="9">
        <v>2.7338999999999998E-4</v>
      </c>
      <c r="L946" s="9">
        <v>1.7499999999999998E-5</v>
      </c>
      <c r="M946" s="9">
        <v>4.8409999999999999E-5</v>
      </c>
      <c r="N946" s="9">
        <v>7.1060000000000001E-5</v>
      </c>
      <c r="O946" s="9">
        <v>4.6489999999999997E-5</v>
      </c>
      <c r="P946" s="9">
        <v>7.7310000000000004E-5</v>
      </c>
      <c r="Q946" s="9">
        <v>1.0766E-4</v>
      </c>
      <c r="R946" s="10">
        <v>1.8637403591679336E-4</v>
      </c>
      <c r="S946" s="10">
        <v>1.8152883005407314E-4</v>
      </c>
      <c r="T946" s="10">
        <v>0</v>
      </c>
      <c r="U946" s="10">
        <v>1.9023E-4</v>
      </c>
      <c r="V946" s="25"/>
      <c r="W946" s="25"/>
      <c r="X946" s="25"/>
      <c r="Y946" s="25"/>
      <c r="Z946" s="25"/>
      <c r="AA946" s="25"/>
    </row>
    <row r="947" spans="1:27" x14ac:dyDescent="0.35">
      <c r="A947" s="5">
        <v>943</v>
      </c>
      <c r="B947" s="5">
        <v>40</v>
      </c>
      <c r="C947" s="5">
        <v>2</v>
      </c>
      <c r="D947" s="25">
        <v>1.1416E-4</v>
      </c>
      <c r="E947" s="25">
        <v>1.1526E-4</v>
      </c>
      <c r="F947" s="25">
        <v>1.2903E-4</v>
      </c>
      <c r="G947" s="25">
        <v>1.0978E-4</v>
      </c>
      <c r="H947" s="25">
        <v>1.2658999999999999E-4</v>
      </c>
      <c r="I947" s="9">
        <v>1.2318E-4</v>
      </c>
      <c r="J947" s="9">
        <v>1.1052000000000001E-4</v>
      </c>
      <c r="K947" s="9">
        <v>2.6915000000000001E-4</v>
      </c>
      <c r="L947" s="9">
        <v>3.9969999999999998E-5</v>
      </c>
      <c r="M947" s="9">
        <v>6.0229999999999998E-5</v>
      </c>
      <c r="N947" s="9">
        <v>8.0879999999999998E-5</v>
      </c>
      <c r="O947" s="9">
        <v>1.2485999999999999E-4</v>
      </c>
      <c r="P947" s="9">
        <v>1.1841999999999999E-4</v>
      </c>
      <c r="Q947" s="9">
        <v>1.1344E-4</v>
      </c>
      <c r="R947" s="10">
        <v>1.8886173769406753E-4</v>
      </c>
      <c r="S947" s="10">
        <v>1.8001677297612396E-4</v>
      </c>
      <c r="T947" s="10">
        <v>0</v>
      </c>
      <c r="U947" s="10">
        <v>1.9023E-4</v>
      </c>
      <c r="V947" s="25"/>
      <c r="W947" s="25"/>
      <c r="X947" s="25"/>
      <c r="Y947" s="25"/>
      <c r="Z947" s="25"/>
      <c r="AA947" s="25"/>
    </row>
    <row r="948" spans="1:27" x14ac:dyDescent="0.35">
      <c r="A948" s="5">
        <v>944</v>
      </c>
      <c r="B948" s="5">
        <v>40</v>
      </c>
      <c r="C948" s="5">
        <v>2</v>
      </c>
      <c r="D948" s="25">
        <v>1.1415000000000001E-4</v>
      </c>
      <c r="E948" s="25">
        <v>1.1896999999999999E-4</v>
      </c>
      <c r="F948" s="25">
        <v>1.1385E-4</v>
      </c>
      <c r="G948" s="25">
        <v>1.6276999999999999E-4</v>
      </c>
      <c r="H948" s="25">
        <v>1.8945999999999999E-4</v>
      </c>
      <c r="I948" s="9">
        <v>1.3187E-4</v>
      </c>
      <c r="J948" s="9">
        <v>1.2721E-4</v>
      </c>
      <c r="K948" s="9">
        <v>2.7127E-4</v>
      </c>
      <c r="L948" s="9">
        <v>1.0556E-4</v>
      </c>
      <c r="M948" s="9">
        <v>8.4220000000000003E-5</v>
      </c>
      <c r="N948" s="9">
        <v>9.1180000000000005E-5</v>
      </c>
      <c r="O948" s="9">
        <v>2.2026000000000001E-4</v>
      </c>
      <c r="P948" s="9">
        <v>1.7642999999999999E-4</v>
      </c>
      <c r="Q948" s="9">
        <v>1.3629000000000001E-4</v>
      </c>
      <c r="R948" s="10">
        <v>1.8896895043215144E-4</v>
      </c>
      <c r="S948" s="10">
        <v>1.7947081883049466E-4</v>
      </c>
      <c r="T948" s="10">
        <v>0</v>
      </c>
      <c r="U948" s="10">
        <v>1.9023E-4</v>
      </c>
      <c r="V948" s="25"/>
      <c r="W948" s="25"/>
      <c r="X948" s="25"/>
      <c r="Y948" s="25"/>
      <c r="Z948" s="25"/>
      <c r="AA948" s="25"/>
    </row>
    <row r="949" spans="1:27" x14ac:dyDescent="0.35">
      <c r="A949" s="5">
        <v>945</v>
      </c>
      <c r="B949" s="5">
        <v>40</v>
      </c>
      <c r="C949" s="5">
        <v>2</v>
      </c>
      <c r="D949" s="25">
        <v>1.1416E-4</v>
      </c>
      <c r="E949" s="25">
        <v>1.1757E-4</v>
      </c>
      <c r="F949" s="25">
        <v>1.214E-4</v>
      </c>
      <c r="G949" s="25">
        <v>1.6715999999999999E-4</v>
      </c>
      <c r="H949" s="25">
        <v>1.9741999999999999E-4</v>
      </c>
      <c r="I949" s="9">
        <v>1.3777E-4</v>
      </c>
      <c r="J949" s="9">
        <v>1.3616E-4</v>
      </c>
      <c r="K949" s="9">
        <v>2.5856000000000002E-4</v>
      </c>
      <c r="L949" s="9">
        <v>1.9322999999999999E-4</v>
      </c>
      <c r="M949" s="9">
        <v>1.2362000000000001E-4</v>
      </c>
      <c r="N949" s="9">
        <v>1.0482E-4</v>
      </c>
      <c r="O949" s="9">
        <v>2.118E-4</v>
      </c>
      <c r="P949" s="9">
        <v>1.9243E-4</v>
      </c>
      <c r="Q949" s="9">
        <v>1.7623000000000001E-4</v>
      </c>
      <c r="R949" s="10">
        <v>1.8952495529859261E-4</v>
      </c>
      <c r="S949" s="10">
        <v>1.7601448692461459E-4</v>
      </c>
      <c r="T949" s="10">
        <v>5.9127082171143199E-5</v>
      </c>
      <c r="U949" s="10">
        <v>1.9023E-4</v>
      </c>
      <c r="V949" s="25"/>
      <c r="W949" s="25"/>
      <c r="X949" s="25"/>
      <c r="Y949" s="25"/>
      <c r="Z949" s="25"/>
      <c r="AA949" s="25"/>
    </row>
    <row r="950" spans="1:27" x14ac:dyDescent="0.35">
      <c r="A950" s="5">
        <v>946</v>
      </c>
      <c r="B950" s="5">
        <v>40</v>
      </c>
      <c r="C950" s="5">
        <v>2</v>
      </c>
      <c r="D950" s="25">
        <v>1.1415000000000001E-4</v>
      </c>
      <c r="E950" s="25">
        <v>1.1943999999999999E-4</v>
      </c>
      <c r="F950" s="25">
        <v>1.1606E-4</v>
      </c>
      <c r="G950" s="25">
        <v>1.5962999999999999E-4</v>
      </c>
      <c r="H950" s="25">
        <v>1.9383000000000001E-4</v>
      </c>
      <c r="I950" s="9">
        <v>1.4291999999999999E-4</v>
      </c>
      <c r="J950" s="9">
        <v>1.4029E-4</v>
      </c>
      <c r="K950" s="9">
        <v>1.9709E-4</v>
      </c>
      <c r="L950" s="9">
        <v>2.0541999999999999E-4</v>
      </c>
      <c r="M950" s="9">
        <v>1.5835999999999999E-4</v>
      </c>
      <c r="N950" s="9">
        <v>1.2465999999999999E-4</v>
      </c>
      <c r="O950" s="9">
        <v>1.6872999999999999E-4</v>
      </c>
      <c r="P950" s="9">
        <v>1.7474E-4</v>
      </c>
      <c r="Q950" s="9">
        <v>1.8276999999999999E-4</v>
      </c>
      <c r="R950" s="10">
        <v>1.9967106501522419E-4</v>
      </c>
      <c r="S950" s="10">
        <v>1.7236248398985464E-4</v>
      </c>
      <c r="T950" s="10">
        <v>7.0258482918530188E-5</v>
      </c>
      <c r="U950" s="10">
        <v>1.9023E-4</v>
      </c>
      <c r="V950" s="25"/>
      <c r="W950" s="25"/>
      <c r="X950" s="25"/>
      <c r="Y950" s="25"/>
      <c r="Z950" s="25"/>
      <c r="AA950" s="25"/>
    </row>
    <row r="951" spans="1:27" x14ac:dyDescent="0.35">
      <c r="A951" s="5">
        <v>947</v>
      </c>
      <c r="B951" s="5">
        <v>40</v>
      </c>
      <c r="C951" s="5">
        <v>2</v>
      </c>
      <c r="D951" s="25">
        <v>1.1416E-4</v>
      </c>
      <c r="E951" s="25">
        <v>1.2213999999999999E-4</v>
      </c>
      <c r="F951" s="25">
        <v>1.1773999999999999E-4</v>
      </c>
      <c r="G951" s="25">
        <v>1.5765000000000001E-4</v>
      </c>
      <c r="H951" s="25">
        <v>1.9798999999999999E-4</v>
      </c>
      <c r="I951" s="9">
        <v>1.462E-4</v>
      </c>
      <c r="J951" s="9">
        <v>1.4187999999999999E-4</v>
      </c>
      <c r="K951" s="9">
        <v>1.7166999999999999E-4</v>
      </c>
      <c r="L951" s="9">
        <v>1.7689E-4</v>
      </c>
      <c r="M951" s="9">
        <v>1.7228999999999999E-4</v>
      </c>
      <c r="N951" s="9">
        <v>1.4284000000000001E-4</v>
      </c>
      <c r="O951" s="9">
        <v>1.6767E-4</v>
      </c>
      <c r="P951" s="9">
        <v>1.7229999999999999E-4</v>
      </c>
      <c r="Q951" s="9">
        <v>1.7896000000000001E-4</v>
      </c>
      <c r="R951" s="10">
        <v>2.0296910855538766E-4</v>
      </c>
      <c r="S951" s="10">
        <v>1.7088946713796887E-4</v>
      </c>
      <c r="T951" s="10">
        <v>6.4446737863682561E-5</v>
      </c>
      <c r="U951" s="10">
        <v>1.9023E-4</v>
      </c>
      <c r="V951" s="25"/>
      <c r="W951" s="25"/>
      <c r="X951" s="25"/>
      <c r="Y951" s="25"/>
      <c r="Z951" s="25"/>
      <c r="AA951" s="25"/>
    </row>
    <row r="952" spans="1:27" x14ac:dyDescent="0.35">
      <c r="A952" s="5">
        <v>948</v>
      </c>
      <c r="B952" s="5">
        <v>40</v>
      </c>
      <c r="C952" s="5">
        <v>2</v>
      </c>
      <c r="D952" s="25">
        <v>1.1415000000000001E-4</v>
      </c>
      <c r="E952" s="25">
        <v>1.1745E-4</v>
      </c>
      <c r="F952" s="25">
        <v>1.2622999999999999E-4</v>
      </c>
      <c r="G952" s="25">
        <v>1.6715E-4</v>
      </c>
      <c r="H952" s="25">
        <v>1.9739000000000001E-4</v>
      </c>
      <c r="I952" s="9">
        <v>1.4835E-4</v>
      </c>
      <c r="J952" s="9">
        <v>1.4317999999999999E-4</v>
      </c>
      <c r="K952" s="9">
        <v>1.4200000000000001E-4</v>
      </c>
      <c r="L952" s="9">
        <v>1.7108999999999999E-4</v>
      </c>
      <c r="M952" s="9">
        <v>1.7469E-4</v>
      </c>
      <c r="N952" s="9">
        <v>1.5673999999999999E-4</v>
      </c>
      <c r="O952" s="9">
        <v>1.7186999999999999E-4</v>
      </c>
      <c r="P952" s="9">
        <v>1.7239999999999999E-4</v>
      </c>
      <c r="Q952" s="9">
        <v>1.7508000000000001E-4</v>
      </c>
      <c r="R952" s="10">
        <v>1.5092084572873363E-4</v>
      </c>
      <c r="S952" s="10">
        <v>1.678158414019891E-4</v>
      </c>
      <c r="T952" s="10">
        <v>3.5286200997242729E-5</v>
      </c>
      <c r="U952" s="10">
        <v>1.9023E-4</v>
      </c>
      <c r="V952" s="25"/>
      <c r="W952" s="25"/>
      <c r="X952" s="25"/>
      <c r="Y952" s="25"/>
      <c r="Z952" s="25"/>
      <c r="AA952" s="25"/>
    </row>
    <row r="953" spans="1:27" x14ac:dyDescent="0.35">
      <c r="A953" s="5">
        <v>949</v>
      </c>
      <c r="B953" s="5">
        <v>40</v>
      </c>
      <c r="C953" s="5">
        <v>2</v>
      </c>
      <c r="D953" s="25">
        <v>1.1416E-4</v>
      </c>
      <c r="E953" s="25">
        <v>1.1778E-4</v>
      </c>
      <c r="F953" s="25">
        <v>1.1361E-4</v>
      </c>
      <c r="G953" s="25">
        <v>1.5741999999999999E-4</v>
      </c>
      <c r="H953" s="25">
        <v>1.9667999999999999E-4</v>
      </c>
      <c r="I953" s="9">
        <v>1.4558999999999999E-4</v>
      </c>
      <c r="J953" s="9">
        <v>1.4339999999999999E-4</v>
      </c>
      <c r="K953" s="9">
        <v>1.2929E-4</v>
      </c>
      <c r="L953" s="9">
        <v>1.7187999999999999E-4</v>
      </c>
      <c r="M953" s="9">
        <v>1.7399000000000001E-4</v>
      </c>
      <c r="N953" s="9">
        <v>1.6635E-4</v>
      </c>
      <c r="O953" s="9">
        <v>1.6396E-4</v>
      </c>
      <c r="P953" s="9">
        <v>1.6537999999999999E-4</v>
      </c>
      <c r="Q953" s="9">
        <v>1.6881E-4</v>
      </c>
      <c r="R953" s="10">
        <v>1.5411102058090787E-4</v>
      </c>
      <c r="S953" s="10">
        <v>1.6627481689430947E-4</v>
      </c>
      <c r="T953" s="10">
        <v>4.1360959331944772E-5</v>
      </c>
      <c r="U953" s="10">
        <v>1.9023E-4</v>
      </c>
      <c r="V953" s="25"/>
      <c r="W953" s="25"/>
      <c r="X953" s="25"/>
      <c r="Y953" s="25"/>
      <c r="Z953" s="25"/>
      <c r="AA953" s="25"/>
    </row>
    <row r="954" spans="1:27" x14ac:dyDescent="0.35">
      <c r="A954" s="5">
        <v>950</v>
      </c>
      <c r="B954" s="5">
        <v>40</v>
      </c>
      <c r="C954" s="5">
        <v>2</v>
      </c>
      <c r="D954" s="25">
        <v>1.1415000000000001E-4</v>
      </c>
      <c r="E954" s="25">
        <v>1.203E-4</v>
      </c>
      <c r="F954" s="25">
        <v>1.2676000000000001E-4</v>
      </c>
      <c r="G954" s="25">
        <v>1.6652999999999999E-4</v>
      </c>
      <c r="H954" s="25">
        <v>1.9405E-4</v>
      </c>
      <c r="I954" s="9">
        <v>1.4505E-4</v>
      </c>
      <c r="J954" s="9">
        <v>1.4391E-4</v>
      </c>
      <c r="K954" s="9">
        <v>1.3988E-4</v>
      </c>
      <c r="L954" s="9">
        <v>1.6542999999999999E-4</v>
      </c>
      <c r="M954" s="9">
        <v>1.7068000000000001E-4</v>
      </c>
      <c r="N954" s="9">
        <v>1.7096E-4</v>
      </c>
      <c r="O954" s="9">
        <v>1.7932000000000001E-4</v>
      </c>
      <c r="P954" s="9">
        <v>1.6882E-4</v>
      </c>
      <c r="Q954" s="9">
        <v>1.6080000000000001E-4</v>
      </c>
      <c r="R954" s="10">
        <v>1.7033340642460431E-4</v>
      </c>
      <c r="S954" s="10">
        <v>1.7145341936477615E-4</v>
      </c>
      <c r="T954" s="10">
        <v>3.4463223960278903E-5</v>
      </c>
      <c r="U954" s="10">
        <v>1.9023E-4</v>
      </c>
      <c r="V954" s="25"/>
      <c r="W954" s="25"/>
      <c r="X954" s="25"/>
      <c r="Y954" s="25"/>
      <c r="Z954" s="25"/>
      <c r="AA954" s="25"/>
    </row>
    <row r="955" spans="1:27" x14ac:dyDescent="0.35">
      <c r="A955" s="5">
        <v>951</v>
      </c>
      <c r="B955" s="5">
        <v>40</v>
      </c>
      <c r="C955" s="5">
        <v>2</v>
      </c>
      <c r="D955" s="25">
        <v>1.1416E-4</v>
      </c>
      <c r="E955" s="25">
        <v>1.1355E-4</v>
      </c>
      <c r="F955" s="25">
        <v>1.2496999999999999E-4</v>
      </c>
      <c r="G955" s="25">
        <v>1.6563E-4</v>
      </c>
      <c r="H955" s="25">
        <v>1.9429000000000001E-4</v>
      </c>
      <c r="I955" s="9">
        <v>1.4262000000000001E-4</v>
      </c>
      <c r="J955" s="9">
        <v>1.4385E-4</v>
      </c>
      <c r="K955" s="9">
        <v>1.4622999999999999E-4</v>
      </c>
      <c r="L955" s="9">
        <v>1.7641E-4</v>
      </c>
      <c r="M955" s="9">
        <v>1.6906000000000001E-4</v>
      </c>
      <c r="N955" s="9">
        <v>1.7045E-4</v>
      </c>
      <c r="O955" s="9">
        <v>1.8579999999999999E-4</v>
      </c>
      <c r="P955" s="9">
        <v>1.6833000000000001E-4</v>
      </c>
      <c r="Q955" s="9">
        <v>1.5353E-4</v>
      </c>
      <c r="R955" s="10">
        <v>1.8343951355311231E-4</v>
      </c>
      <c r="S955" s="10">
        <v>1.7446083413734346E-4</v>
      </c>
      <c r="T955" s="10">
        <v>3.076406944361677E-5</v>
      </c>
      <c r="U955" s="10">
        <v>1.9023E-4</v>
      </c>
      <c r="V955" s="25"/>
      <c r="W955" s="25"/>
      <c r="X955" s="25"/>
      <c r="Y955" s="25"/>
      <c r="Z955" s="25"/>
      <c r="AA955" s="25"/>
    </row>
    <row r="956" spans="1:27" x14ac:dyDescent="0.35">
      <c r="A956" s="5">
        <v>952</v>
      </c>
      <c r="B956" s="5">
        <v>40</v>
      </c>
      <c r="C956" s="5">
        <v>2</v>
      </c>
      <c r="D956" s="25">
        <v>1.1415000000000001E-4</v>
      </c>
      <c r="E956" s="25">
        <v>1.1655E-4</v>
      </c>
      <c r="F956" s="25">
        <v>1.2755000000000001E-4</v>
      </c>
      <c r="G956" s="25">
        <v>1.6265999999999999E-4</v>
      </c>
      <c r="H956" s="25">
        <v>1.9954E-4</v>
      </c>
      <c r="I956" s="9">
        <v>1.4231000000000001E-4</v>
      </c>
      <c r="J956" s="9">
        <v>1.4334999999999999E-4</v>
      </c>
      <c r="K956" s="9">
        <v>1.6107E-4</v>
      </c>
      <c r="L956" s="9">
        <v>1.8346000000000001E-4</v>
      </c>
      <c r="M956" s="9">
        <v>1.6844000000000001E-4</v>
      </c>
      <c r="N956" s="9">
        <v>1.6672E-4</v>
      </c>
      <c r="O956" s="9">
        <v>1.9953000000000001E-4</v>
      </c>
      <c r="P956" s="9">
        <v>1.5323999999999999E-4</v>
      </c>
      <c r="Q956" s="9">
        <v>1.1033E-4</v>
      </c>
      <c r="R956" s="10">
        <v>1.8155754206836E-4</v>
      </c>
      <c r="S956" s="10">
        <v>1.7337474379883791E-4</v>
      </c>
      <c r="T956" s="10">
        <v>1.4915398257550543E-5</v>
      </c>
      <c r="U956" s="10">
        <v>1.9023E-4</v>
      </c>
      <c r="V956" s="25"/>
      <c r="W956" s="25"/>
      <c r="X956" s="25"/>
      <c r="Y956" s="25"/>
      <c r="Z956" s="25"/>
      <c r="AA956" s="25"/>
    </row>
    <row r="957" spans="1:27" x14ac:dyDescent="0.35">
      <c r="A957" s="5">
        <v>953</v>
      </c>
      <c r="B957" s="5">
        <v>40</v>
      </c>
      <c r="C957" s="5">
        <v>2</v>
      </c>
      <c r="D957" s="25">
        <v>1.1416E-4</v>
      </c>
      <c r="E957" s="25">
        <v>1.1524E-4</v>
      </c>
      <c r="F957" s="25">
        <v>1.1199E-4</v>
      </c>
      <c r="G957" s="25">
        <v>1.6322999999999999E-4</v>
      </c>
      <c r="H957" s="25">
        <v>1.8877E-4</v>
      </c>
      <c r="I957" s="9">
        <v>1.4153000000000001E-4</v>
      </c>
      <c r="J957" s="9">
        <v>1.4454E-4</v>
      </c>
      <c r="K957" s="9">
        <v>1.5683E-4</v>
      </c>
      <c r="L957" s="9">
        <v>1.9574999999999999E-4</v>
      </c>
      <c r="M957" s="9">
        <v>1.6291999999999999E-4</v>
      </c>
      <c r="N957" s="9">
        <v>1.5307E-4</v>
      </c>
      <c r="O957" s="9">
        <v>2.1612000000000001E-4</v>
      </c>
      <c r="P957" s="9">
        <v>1.5993999999999999E-4</v>
      </c>
      <c r="Q957" s="9">
        <v>1.0758E-4</v>
      </c>
      <c r="R957" s="10">
        <v>1.7263852714297627E-4</v>
      </c>
      <c r="S957" s="10">
        <v>1.705155979724896E-4</v>
      </c>
      <c r="T957" s="10">
        <v>5.9644624431501896E-6</v>
      </c>
      <c r="U957" s="10">
        <v>1.9023E-4</v>
      </c>
      <c r="V957" s="25"/>
      <c r="W957" s="25"/>
      <c r="X957" s="25"/>
      <c r="Y957" s="25"/>
      <c r="Z957" s="25"/>
      <c r="AA957" s="25"/>
    </row>
    <row r="958" spans="1:27" x14ac:dyDescent="0.35">
      <c r="A958" s="5">
        <v>954</v>
      </c>
      <c r="B958" s="5">
        <v>40</v>
      </c>
      <c r="C958" s="5">
        <v>2</v>
      </c>
      <c r="D958" s="25">
        <v>1.1415000000000001E-4</v>
      </c>
      <c r="E958" s="25">
        <v>1.2036000000000001E-4</v>
      </c>
      <c r="F958" s="25">
        <v>1.1684E-4</v>
      </c>
      <c r="G958" s="25">
        <v>1.5961E-4</v>
      </c>
      <c r="H958" s="25">
        <v>1.9947000000000001E-4</v>
      </c>
      <c r="I958" s="9">
        <v>1.4213E-4</v>
      </c>
      <c r="J958" s="9">
        <v>1.4836E-4</v>
      </c>
      <c r="K958" s="9">
        <v>1.5048000000000001E-4</v>
      </c>
      <c r="L958" s="9">
        <v>2.1138E-4</v>
      </c>
      <c r="M958" s="9">
        <v>1.6032000000000001E-4</v>
      </c>
      <c r="N958" s="9">
        <v>1.3969000000000001E-4</v>
      </c>
      <c r="O958" s="9">
        <v>2.0775000000000001E-4</v>
      </c>
      <c r="P958" s="9">
        <v>1.6128E-4</v>
      </c>
      <c r="Q958" s="9">
        <v>1.1833E-4</v>
      </c>
      <c r="R958" s="10">
        <v>1.7476292089411036E-4</v>
      </c>
      <c r="S958" s="10">
        <v>1.6640064756948868E-4</v>
      </c>
      <c r="T958" s="10">
        <v>0</v>
      </c>
      <c r="U958" s="10">
        <v>1.9023E-4</v>
      </c>
      <c r="V958" s="25"/>
      <c r="W958" s="25"/>
      <c r="X958" s="25"/>
      <c r="Y958" s="25"/>
      <c r="Z958" s="25"/>
      <c r="AA958" s="25"/>
    </row>
    <row r="959" spans="1:27" x14ac:dyDescent="0.35">
      <c r="A959" s="5">
        <v>955</v>
      </c>
      <c r="B959" s="5">
        <v>40</v>
      </c>
      <c r="C959" s="5">
        <v>2</v>
      </c>
      <c r="D959" s="25">
        <v>1.1416E-4</v>
      </c>
      <c r="E959" s="25">
        <v>1.2229E-4</v>
      </c>
      <c r="F959" s="25">
        <v>1.1278E-4</v>
      </c>
      <c r="G959" s="25">
        <v>1.1414E-4</v>
      </c>
      <c r="H959" s="25">
        <v>1.3354E-4</v>
      </c>
      <c r="I959" s="9">
        <v>1.4642E-4</v>
      </c>
      <c r="J959" s="9">
        <v>1.4642999999999999E-4</v>
      </c>
      <c r="K959" s="9">
        <v>1.4624000000000001E-4</v>
      </c>
      <c r="L959" s="9">
        <v>2.0816000000000001E-4</v>
      </c>
      <c r="M959" s="9">
        <v>1.6013999999999999E-4</v>
      </c>
      <c r="N959" s="9">
        <v>1.3061999999999999E-4</v>
      </c>
      <c r="O959" s="9">
        <v>1.6687000000000001E-4</v>
      </c>
      <c r="P959" s="9">
        <v>1.3621E-4</v>
      </c>
      <c r="Q959" s="9">
        <v>1.0811000000000001E-4</v>
      </c>
      <c r="R959" s="10">
        <v>1.8001574622127903E-4</v>
      </c>
      <c r="S959" s="10">
        <v>1.6323516493725308E-4</v>
      </c>
      <c r="T959" s="10">
        <v>0</v>
      </c>
      <c r="U959" s="10">
        <v>1.9023E-4</v>
      </c>
      <c r="V959" s="25"/>
      <c r="W959" s="25"/>
      <c r="X959" s="25"/>
      <c r="Y959" s="25"/>
      <c r="Z959" s="25"/>
      <c r="AA959" s="25"/>
    </row>
    <row r="960" spans="1:27" x14ac:dyDescent="0.35">
      <c r="A960" s="5">
        <v>956</v>
      </c>
      <c r="B960" s="5">
        <v>40</v>
      </c>
      <c r="C960" s="5">
        <v>2</v>
      </c>
      <c r="D960" s="25">
        <v>1.1415000000000001E-4</v>
      </c>
      <c r="E960" s="25">
        <v>1.1573E-4</v>
      </c>
      <c r="F960" s="25">
        <v>1.2072E-4</v>
      </c>
      <c r="G960" s="25">
        <v>1.1449E-4</v>
      </c>
      <c r="H960" s="25">
        <v>1.2687000000000001E-4</v>
      </c>
      <c r="I960" s="9">
        <v>1.4071E-4</v>
      </c>
      <c r="J960" s="9">
        <v>1.4186E-4</v>
      </c>
      <c r="K960" s="9">
        <v>1.4622999999999999E-4</v>
      </c>
      <c r="L960" s="9">
        <v>1.7611999999999999E-4</v>
      </c>
      <c r="M960" s="9">
        <v>1.5165E-4</v>
      </c>
      <c r="N960" s="9">
        <v>1.2161E-4</v>
      </c>
      <c r="O960" s="9">
        <v>1.294E-4</v>
      </c>
      <c r="P960" s="9">
        <v>1.1477E-4</v>
      </c>
      <c r="Q960" s="9">
        <v>1.0181E-4</v>
      </c>
      <c r="R960" s="10">
        <v>1.8293427873360685E-4</v>
      </c>
      <c r="S960" s="10">
        <v>1.6177327285658017E-4</v>
      </c>
      <c r="T960" s="10">
        <v>0</v>
      </c>
      <c r="U960" s="10">
        <v>1.9023E-4</v>
      </c>
      <c r="V960" s="25"/>
      <c r="W960" s="25"/>
      <c r="X960" s="25"/>
      <c r="Y960" s="25"/>
      <c r="Z960" s="25"/>
      <c r="AA960" s="25"/>
    </row>
    <row r="961" spans="1:27" x14ac:dyDescent="0.35">
      <c r="A961" s="5">
        <v>957</v>
      </c>
      <c r="B961" s="5">
        <v>40</v>
      </c>
      <c r="C961" s="5">
        <v>2</v>
      </c>
      <c r="D961" s="25">
        <v>1.1416E-4</v>
      </c>
      <c r="E961" s="25">
        <v>1.1568E-4</v>
      </c>
      <c r="F961" s="25">
        <v>1.1977E-4</v>
      </c>
      <c r="G961" s="25">
        <v>5.329E-5</v>
      </c>
      <c r="H961" s="25">
        <v>7.3520000000000001E-5</v>
      </c>
      <c r="I961" s="9">
        <v>1.3371999999999999E-4</v>
      </c>
      <c r="J961" s="9">
        <v>1.3496E-4</v>
      </c>
      <c r="K961" s="9">
        <v>1.5048000000000001E-4</v>
      </c>
      <c r="L961" s="9">
        <v>1.4067999999999999E-4</v>
      </c>
      <c r="M961" s="9">
        <v>1.3599E-4</v>
      </c>
      <c r="N961" s="9">
        <v>1.1376E-4</v>
      </c>
      <c r="O961" s="9">
        <v>8.4419999999999995E-5</v>
      </c>
      <c r="P961" s="9">
        <v>8.5749999999999997E-5</v>
      </c>
      <c r="Q961" s="9">
        <v>8.7739999999999997E-5</v>
      </c>
      <c r="R961" s="10">
        <v>1.8340493330587623E-4</v>
      </c>
      <c r="S961" s="10">
        <v>1.6012275786763674E-4</v>
      </c>
      <c r="T961" s="10">
        <v>0</v>
      </c>
      <c r="U961" s="10">
        <v>1.9023E-4</v>
      </c>
      <c r="V961" s="25"/>
      <c r="W961" s="25"/>
      <c r="X961" s="25"/>
      <c r="Y961" s="25"/>
      <c r="Z961" s="25"/>
      <c r="AA961" s="25"/>
    </row>
    <row r="962" spans="1:27" x14ac:dyDescent="0.35">
      <c r="A962" s="5">
        <v>958</v>
      </c>
      <c r="B962" s="5">
        <v>40</v>
      </c>
      <c r="C962" s="5">
        <v>2</v>
      </c>
      <c r="D962" s="25">
        <v>1.1415000000000001E-4</v>
      </c>
      <c r="E962" s="25">
        <v>1.1406E-4</v>
      </c>
      <c r="F962" s="25">
        <v>1.2857999999999999E-4</v>
      </c>
      <c r="G962" s="25">
        <v>5.9009999999999999E-5</v>
      </c>
      <c r="H962" s="25">
        <v>7.6310000000000006E-5</v>
      </c>
      <c r="I962" s="9">
        <v>1.2792000000000001E-4</v>
      </c>
      <c r="J962" s="9">
        <v>1.2711999999999999E-4</v>
      </c>
      <c r="K962" s="9">
        <v>1.4835E-4</v>
      </c>
      <c r="L962" s="9">
        <v>9.7750000000000004E-5</v>
      </c>
      <c r="M962" s="9">
        <v>1.1386E-4</v>
      </c>
      <c r="N962" s="9">
        <v>1.059E-4</v>
      </c>
      <c r="O962" s="9">
        <v>8.8250000000000004E-5</v>
      </c>
      <c r="P962" s="9">
        <v>8.8170000000000005E-5</v>
      </c>
      <c r="Q962" s="9">
        <v>8.8830000000000002E-5</v>
      </c>
      <c r="R962" s="10">
        <v>1.833973097190794E-4</v>
      </c>
      <c r="S962" s="10">
        <v>1.5856328136391572E-4</v>
      </c>
      <c r="T962" s="10">
        <v>0</v>
      </c>
      <c r="U962" s="10">
        <v>1.9023E-4</v>
      </c>
      <c r="V962" s="25"/>
      <c r="W962" s="25"/>
      <c r="X962" s="25"/>
      <c r="Y962" s="25"/>
      <c r="Z962" s="25"/>
      <c r="AA962" s="25"/>
    </row>
    <row r="963" spans="1:27" x14ac:dyDescent="0.35">
      <c r="A963" s="5">
        <v>959</v>
      </c>
      <c r="B963" s="5">
        <v>40</v>
      </c>
      <c r="C963" s="5">
        <v>2</v>
      </c>
      <c r="D963" s="25">
        <v>1.1416E-4</v>
      </c>
      <c r="E963" s="25">
        <v>1.1783E-4</v>
      </c>
      <c r="F963" s="25">
        <v>1.1389E-4</v>
      </c>
      <c r="G963" s="25">
        <v>6.2180000000000004E-5</v>
      </c>
      <c r="H963" s="25">
        <v>6.4880000000000002E-5</v>
      </c>
      <c r="I963" s="9">
        <v>1.3028000000000001E-4</v>
      </c>
      <c r="J963" s="9">
        <v>1.1839E-4</v>
      </c>
      <c r="K963" s="9">
        <v>1.5683E-4</v>
      </c>
      <c r="L963" s="9">
        <v>9.1310000000000005E-5</v>
      </c>
      <c r="M963" s="9">
        <v>9.9179999999999996E-5</v>
      </c>
      <c r="N963" s="9">
        <v>1.0011E-4</v>
      </c>
      <c r="O963" s="9">
        <v>7.8579999999999996E-5</v>
      </c>
      <c r="P963" s="9">
        <v>7.2639999999999996E-5</v>
      </c>
      <c r="Q963" s="9">
        <v>6.7360000000000006E-5</v>
      </c>
      <c r="R963" s="10">
        <v>1.8082348204674197E-4</v>
      </c>
      <c r="S963" s="10">
        <v>1.563127973689052E-4</v>
      </c>
      <c r="T963" s="10">
        <v>0</v>
      </c>
      <c r="U963" s="10">
        <v>1.9023E-4</v>
      </c>
      <c r="V963" s="25"/>
      <c r="W963" s="25"/>
      <c r="X963" s="25"/>
      <c r="Y963" s="25"/>
      <c r="Z963" s="25"/>
      <c r="AA963" s="25"/>
    </row>
    <row r="964" spans="1:27" x14ac:dyDescent="0.35">
      <c r="A964" s="5">
        <v>960</v>
      </c>
      <c r="B964" s="5">
        <v>40</v>
      </c>
      <c r="C964" s="5">
        <v>2</v>
      </c>
      <c r="D964" s="25">
        <v>1.1415000000000001E-4</v>
      </c>
      <c r="E964" s="25">
        <v>1.2253000000000001E-4</v>
      </c>
      <c r="F964" s="25">
        <v>1.2180000000000001E-4</v>
      </c>
      <c r="G964" s="25">
        <v>5.3640000000000001E-5</v>
      </c>
      <c r="H964" s="25">
        <v>6.9610000000000006E-5</v>
      </c>
      <c r="I964" s="9">
        <v>1.2938000000000001E-4</v>
      </c>
      <c r="J964" s="9">
        <v>1.1086000000000001E-4</v>
      </c>
      <c r="K964" s="9">
        <v>1.6531E-4</v>
      </c>
      <c r="L964" s="9">
        <v>8.1340000000000004E-5</v>
      </c>
      <c r="M964" s="9">
        <v>8.6420000000000003E-5</v>
      </c>
      <c r="N964" s="9">
        <v>9.0840000000000004E-5</v>
      </c>
      <c r="O964" s="9">
        <v>6.2879999999999994E-5</v>
      </c>
      <c r="P964" s="9">
        <v>6.0730000000000003E-5</v>
      </c>
      <c r="Q964" s="9">
        <v>5.8919999999999998E-5</v>
      </c>
      <c r="R964" s="10">
        <v>1.6074267056327061E-4</v>
      </c>
      <c r="S964" s="10">
        <v>1.5847079307582866E-4</v>
      </c>
      <c r="T964" s="10">
        <v>0</v>
      </c>
      <c r="U964" s="10">
        <v>1.9023E-4</v>
      </c>
      <c r="V964" s="25"/>
      <c r="W964" s="25"/>
      <c r="X964" s="25"/>
      <c r="Y964" s="25"/>
      <c r="Z964" s="25"/>
      <c r="AA964" s="25"/>
    </row>
    <row r="965" spans="1:27" x14ac:dyDescent="0.35">
      <c r="A965" s="5">
        <v>961</v>
      </c>
      <c r="B965" s="5">
        <v>41</v>
      </c>
      <c r="C965" s="5">
        <v>2</v>
      </c>
      <c r="D965" s="25">
        <v>1.1416E-4</v>
      </c>
      <c r="E965" s="25">
        <v>1.1223E-4</v>
      </c>
      <c r="F965" s="25">
        <v>1.3234999999999999E-4</v>
      </c>
      <c r="G965" s="25">
        <v>6.2269999999999998E-5</v>
      </c>
      <c r="H965" s="25">
        <v>4.087E-5</v>
      </c>
      <c r="I965" s="9">
        <v>1.2155999999999999E-4</v>
      </c>
      <c r="J965" s="9">
        <v>1.0417E-4</v>
      </c>
      <c r="K965" s="9">
        <v>1.5894999999999999E-4</v>
      </c>
      <c r="L965" s="9">
        <v>6.6929999999999998E-5</v>
      </c>
      <c r="M965" s="9">
        <v>7.4259999999999997E-5</v>
      </c>
      <c r="N965" s="9">
        <v>8.1349999999999999E-5</v>
      </c>
      <c r="O965" s="9">
        <v>6.8419999999999999E-5</v>
      </c>
      <c r="P965" s="9">
        <v>6.0919999999999999E-5</v>
      </c>
      <c r="Q965" s="9">
        <v>5.3720000000000001E-5</v>
      </c>
      <c r="R965" s="10">
        <v>1.5661839701298048E-4</v>
      </c>
      <c r="S965" s="10">
        <v>1.5330696247586715E-4</v>
      </c>
      <c r="T965" s="10">
        <v>0</v>
      </c>
      <c r="U965" s="10">
        <v>1.884E-4</v>
      </c>
      <c r="V965" s="25"/>
      <c r="W965" s="25"/>
      <c r="X965" s="25"/>
      <c r="Y965" s="25"/>
      <c r="Z965" s="25"/>
      <c r="AA965" s="25"/>
    </row>
    <row r="966" spans="1:27" x14ac:dyDescent="0.35">
      <c r="A966" s="5">
        <v>962</v>
      </c>
      <c r="B966" s="5">
        <v>41</v>
      </c>
      <c r="C966" s="5">
        <v>2</v>
      </c>
      <c r="D966" s="25">
        <v>1.1415000000000001E-4</v>
      </c>
      <c r="E966" s="25">
        <v>1.1487E-4</v>
      </c>
      <c r="F966" s="25">
        <v>1.1204E-4</v>
      </c>
      <c r="G966" s="25">
        <v>5.8770000000000001E-5</v>
      </c>
      <c r="H966" s="25">
        <v>3.8630000000000001E-5</v>
      </c>
      <c r="I966" s="9">
        <v>1.1602E-4</v>
      </c>
      <c r="J966" s="9">
        <v>9.9669999999999999E-5</v>
      </c>
      <c r="K966" s="9">
        <v>1.5683E-4</v>
      </c>
      <c r="L966" s="9">
        <v>6.8490000000000003E-5</v>
      </c>
      <c r="M966" s="9">
        <v>6.6550000000000005E-5</v>
      </c>
      <c r="N966" s="9">
        <v>7.2269999999999998E-5</v>
      </c>
      <c r="O966" s="9">
        <v>3.5290000000000003E-5</v>
      </c>
      <c r="P966" s="9">
        <v>4.6300000000000001E-5</v>
      </c>
      <c r="Q966" s="9">
        <v>5.6740000000000002E-5</v>
      </c>
      <c r="R966" s="10">
        <v>1.5416822614895819E-4</v>
      </c>
      <c r="S966" s="10">
        <v>1.427365147378072E-4</v>
      </c>
      <c r="T966" s="10">
        <v>0</v>
      </c>
      <c r="U966" s="10">
        <v>1.884E-4</v>
      </c>
      <c r="V966" s="25"/>
      <c r="W966" s="25"/>
      <c r="X966" s="25"/>
      <c r="Y966" s="25"/>
      <c r="Z966" s="25"/>
      <c r="AA966" s="25"/>
    </row>
    <row r="967" spans="1:27" x14ac:dyDescent="0.35">
      <c r="A967" s="5">
        <v>963</v>
      </c>
      <c r="B967" s="5">
        <v>41</v>
      </c>
      <c r="C967" s="5">
        <v>2</v>
      </c>
      <c r="D967" s="25">
        <v>1.1416E-4</v>
      </c>
      <c r="E967" s="25">
        <v>1.2184E-4</v>
      </c>
      <c r="F967" s="25">
        <v>1.2925E-4</v>
      </c>
      <c r="G967" s="25">
        <v>5.7790000000000001E-5</v>
      </c>
      <c r="H967" s="25">
        <v>4.1820000000000003E-5</v>
      </c>
      <c r="I967" s="9">
        <v>1.1242E-4</v>
      </c>
      <c r="J967" s="9">
        <v>9.7490000000000003E-5</v>
      </c>
      <c r="K967" s="9">
        <v>1.5470999999999999E-4</v>
      </c>
      <c r="L967" s="9">
        <v>4.2500000000000003E-5</v>
      </c>
      <c r="M967" s="9">
        <v>5.7620000000000001E-5</v>
      </c>
      <c r="N967" s="9">
        <v>6.58E-5</v>
      </c>
      <c r="O967" s="9">
        <v>2.1719999999999999E-5</v>
      </c>
      <c r="P967" s="9">
        <v>4.2179999999999999E-5</v>
      </c>
      <c r="Q967" s="9">
        <v>6.1699999999999995E-5</v>
      </c>
      <c r="R967" s="10">
        <v>1.587324376605133E-4</v>
      </c>
      <c r="S967" s="10">
        <v>1.3641981173320949E-4</v>
      </c>
      <c r="T967" s="10">
        <v>0</v>
      </c>
      <c r="U967" s="10">
        <v>1.884E-4</v>
      </c>
      <c r="V967" s="25"/>
      <c r="W967" s="25"/>
      <c r="X967" s="25"/>
      <c r="Y967" s="25"/>
      <c r="Z967" s="25"/>
      <c r="AA967" s="25"/>
    </row>
    <row r="968" spans="1:27" x14ac:dyDescent="0.35">
      <c r="A968" s="5">
        <v>964</v>
      </c>
      <c r="B968" s="5">
        <v>41</v>
      </c>
      <c r="C968" s="5">
        <v>2</v>
      </c>
      <c r="D968" s="25">
        <v>1.1415000000000001E-4</v>
      </c>
      <c r="E968" s="25">
        <v>1.182E-4</v>
      </c>
      <c r="F968" s="25">
        <v>1.2205E-4</v>
      </c>
      <c r="G968" s="25">
        <v>5.4660000000000002E-5</v>
      </c>
      <c r="H968" s="25">
        <v>3.8760000000000002E-5</v>
      </c>
      <c r="I968" s="9">
        <v>1.0911E-4</v>
      </c>
      <c r="J968" s="9">
        <v>9.6700000000000006E-5</v>
      </c>
      <c r="K968" s="9">
        <v>1.4835E-4</v>
      </c>
      <c r="L968" s="9">
        <v>2.692E-5</v>
      </c>
      <c r="M968" s="9">
        <v>4.9960000000000003E-5</v>
      </c>
      <c r="N968" s="9">
        <v>6.2189999999999999E-5</v>
      </c>
      <c r="O968" s="9">
        <v>2.12E-5</v>
      </c>
      <c r="P968" s="9">
        <v>5.1440000000000002E-5</v>
      </c>
      <c r="Q968" s="9">
        <v>8.0589999999999999E-5</v>
      </c>
      <c r="R968" s="10">
        <v>1.5601471786179402E-4</v>
      </c>
      <c r="S968" s="10">
        <v>1.3240922116332395E-4</v>
      </c>
      <c r="T968" s="10">
        <v>0</v>
      </c>
      <c r="U968" s="10">
        <v>1.884E-4</v>
      </c>
      <c r="V968" s="25"/>
      <c r="W968" s="25"/>
      <c r="X968" s="25"/>
      <c r="Y968" s="25"/>
      <c r="Z968" s="25"/>
      <c r="AA968" s="25"/>
    </row>
    <row r="969" spans="1:27" x14ac:dyDescent="0.35">
      <c r="A969" s="5">
        <v>965</v>
      </c>
      <c r="B969" s="5">
        <v>41</v>
      </c>
      <c r="C969" s="5">
        <v>2</v>
      </c>
      <c r="D969" s="25">
        <v>1.1416E-4</v>
      </c>
      <c r="E969" s="25">
        <v>1.228E-4</v>
      </c>
      <c r="F969" s="25">
        <v>1.1752E-4</v>
      </c>
      <c r="G969" s="25">
        <v>6.1820000000000001E-5</v>
      </c>
      <c r="H969" s="25">
        <v>4.3689999999999997E-5</v>
      </c>
      <c r="I969" s="9">
        <v>1.0996E-4</v>
      </c>
      <c r="J969" s="9">
        <v>9.7239999999999997E-5</v>
      </c>
      <c r="K969" s="9">
        <v>1.4836E-4</v>
      </c>
      <c r="L969" s="9">
        <v>2.2929999999999999E-5</v>
      </c>
      <c r="M969" s="9">
        <v>4.8659999999999998E-5</v>
      </c>
      <c r="N969" s="9">
        <v>6.4720000000000004E-5</v>
      </c>
      <c r="O969" s="9">
        <v>2.3249999999999999E-5</v>
      </c>
      <c r="P969" s="9">
        <v>5.9429999999999999E-5</v>
      </c>
      <c r="Q969" s="9">
        <v>9.4439999999999997E-5</v>
      </c>
      <c r="R969" s="10">
        <v>1.5100811253294631E-4</v>
      </c>
      <c r="S969" s="10">
        <v>1.3014377318897835E-4</v>
      </c>
      <c r="T969" s="10">
        <v>0</v>
      </c>
      <c r="U969" s="10">
        <v>1.884E-4</v>
      </c>
      <c r="V969" s="25"/>
      <c r="W969" s="25"/>
      <c r="X969" s="25"/>
      <c r="Y969" s="25"/>
      <c r="Z969" s="25"/>
      <c r="AA969" s="25"/>
    </row>
    <row r="970" spans="1:27" x14ac:dyDescent="0.35">
      <c r="A970" s="5">
        <v>966</v>
      </c>
      <c r="B970" s="5">
        <v>41</v>
      </c>
      <c r="C970" s="5">
        <v>2</v>
      </c>
      <c r="D970" s="25">
        <v>1.1415000000000001E-4</v>
      </c>
      <c r="E970" s="25">
        <v>1.2336000000000001E-4</v>
      </c>
      <c r="F970" s="25">
        <v>1.3203999999999999E-4</v>
      </c>
      <c r="G970" s="25">
        <v>1.0962E-4</v>
      </c>
      <c r="H970" s="25">
        <v>7.9690000000000004E-5</v>
      </c>
      <c r="I970" s="9">
        <v>1.1498E-4</v>
      </c>
      <c r="J970" s="9">
        <v>1.0084E-4</v>
      </c>
      <c r="K970" s="9">
        <v>1.6107E-4</v>
      </c>
      <c r="L970" s="9">
        <v>2.3099999999999999E-5</v>
      </c>
      <c r="M970" s="9">
        <v>5.2519999999999999E-5</v>
      </c>
      <c r="N970" s="9">
        <v>7.1390000000000006E-5</v>
      </c>
      <c r="O970" s="9">
        <v>2.97E-5</v>
      </c>
      <c r="P970" s="9">
        <v>6.9439999999999999E-5</v>
      </c>
      <c r="Q970" s="9">
        <v>1.0807E-4</v>
      </c>
      <c r="R970" s="10">
        <v>1.4020293670175134E-4</v>
      </c>
      <c r="S970" s="10">
        <v>1.2558076761642848E-4</v>
      </c>
      <c r="T970" s="10">
        <v>0</v>
      </c>
      <c r="U970" s="10">
        <v>1.884E-4</v>
      </c>
      <c r="V970" s="25"/>
      <c r="W970" s="25"/>
      <c r="X970" s="25"/>
      <c r="Y970" s="25"/>
      <c r="Z970" s="25"/>
      <c r="AA970" s="25"/>
    </row>
    <row r="971" spans="1:27" x14ac:dyDescent="0.35">
      <c r="A971" s="5">
        <v>967</v>
      </c>
      <c r="B971" s="5">
        <v>41</v>
      </c>
      <c r="C971" s="5">
        <v>2</v>
      </c>
      <c r="D971" s="25">
        <v>1.1416E-4</v>
      </c>
      <c r="E971" s="25">
        <v>1.1784E-4</v>
      </c>
      <c r="F971" s="25">
        <v>1.2621999999999999E-4</v>
      </c>
      <c r="G971" s="25">
        <v>1.0607000000000001E-4</v>
      </c>
      <c r="H971" s="25">
        <v>7.9549999999999996E-5</v>
      </c>
      <c r="I971" s="9">
        <v>1.2486999999999999E-4</v>
      </c>
      <c r="J971" s="9">
        <v>1.1272E-4</v>
      </c>
      <c r="K971" s="9">
        <v>1.5683E-4</v>
      </c>
      <c r="L971" s="9">
        <v>2.815E-5</v>
      </c>
      <c r="M971" s="9">
        <v>5.9759999999999997E-5</v>
      </c>
      <c r="N971" s="9">
        <v>8.1269999999999999E-5</v>
      </c>
      <c r="O971" s="9">
        <v>4.6060000000000003E-5</v>
      </c>
      <c r="P971" s="9">
        <v>7.9629999999999995E-5</v>
      </c>
      <c r="Q971" s="9">
        <v>1.1247999999999999E-4</v>
      </c>
      <c r="R971" s="10">
        <v>1.2403196107406403E-4</v>
      </c>
      <c r="S971" s="10">
        <v>1.1645987194133209E-4</v>
      </c>
      <c r="T971" s="10">
        <v>0</v>
      </c>
      <c r="U971" s="10">
        <v>1.884E-4</v>
      </c>
      <c r="V971" s="25"/>
      <c r="W971" s="25"/>
      <c r="X971" s="25"/>
      <c r="Y971" s="25"/>
      <c r="Z971" s="25"/>
      <c r="AA971" s="25"/>
    </row>
    <row r="972" spans="1:27" x14ac:dyDescent="0.35">
      <c r="A972" s="5">
        <v>968</v>
      </c>
      <c r="B972" s="5">
        <v>41</v>
      </c>
      <c r="C972" s="5">
        <v>2</v>
      </c>
      <c r="D972" s="25">
        <v>1.1415000000000001E-4</v>
      </c>
      <c r="E972" s="25">
        <v>1.145E-4</v>
      </c>
      <c r="F972" s="25">
        <v>1.1271E-4</v>
      </c>
      <c r="G972" s="25">
        <v>1.6236000000000001E-4</v>
      </c>
      <c r="H972" s="25">
        <v>1.16E-4</v>
      </c>
      <c r="I972" s="9">
        <v>1.3339E-4</v>
      </c>
      <c r="J972" s="9">
        <v>1.3033000000000001E-4</v>
      </c>
      <c r="K972" s="9">
        <v>1.5683E-4</v>
      </c>
      <c r="L972" s="9">
        <v>4.197E-5</v>
      </c>
      <c r="M972" s="9">
        <v>6.8720000000000006E-5</v>
      </c>
      <c r="N972" s="9">
        <v>9.1290000000000002E-5</v>
      </c>
      <c r="O972" s="9">
        <v>6.8579999999999997E-5</v>
      </c>
      <c r="P972" s="9">
        <v>1.0313E-4</v>
      </c>
      <c r="Q972" s="9">
        <v>1.3731999999999999E-4</v>
      </c>
      <c r="R972" s="10">
        <v>1.1359954368460926E-4</v>
      </c>
      <c r="S972" s="10">
        <v>1.0600600132459812E-4</v>
      </c>
      <c r="T972" s="10">
        <v>0</v>
      </c>
      <c r="U972" s="10">
        <v>1.884E-4</v>
      </c>
      <c r="V972" s="25"/>
      <c r="W972" s="25"/>
      <c r="X972" s="25"/>
      <c r="Y972" s="25"/>
      <c r="Z972" s="25"/>
      <c r="AA972" s="25"/>
    </row>
    <row r="973" spans="1:27" x14ac:dyDescent="0.35">
      <c r="A973" s="5">
        <v>969</v>
      </c>
      <c r="B973" s="5">
        <v>41</v>
      </c>
      <c r="C973" s="5">
        <v>2</v>
      </c>
      <c r="D973" s="25">
        <v>1.1416E-4</v>
      </c>
      <c r="E973" s="25">
        <v>1.1636E-4</v>
      </c>
      <c r="F973" s="25">
        <v>1.2174E-4</v>
      </c>
      <c r="G973" s="25">
        <v>1.5629000000000001E-4</v>
      </c>
      <c r="H973" s="25">
        <v>1.1873E-4</v>
      </c>
      <c r="I973" s="9">
        <v>1.3909E-4</v>
      </c>
      <c r="J973" s="9">
        <v>1.4041999999999999E-4</v>
      </c>
      <c r="K973" s="9">
        <v>1.4835E-4</v>
      </c>
      <c r="L973" s="9">
        <v>6.2349999999999998E-5</v>
      </c>
      <c r="M973" s="9">
        <v>8.3319999999999995E-5</v>
      </c>
      <c r="N973" s="9">
        <v>1.0509E-4</v>
      </c>
      <c r="O973" s="9">
        <v>9.993E-5</v>
      </c>
      <c r="P973" s="9">
        <v>1.3815E-4</v>
      </c>
      <c r="Q973" s="9">
        <v>1.7652E-4</v>
      </c>
      <c r="R973" s="10">
        <v>1.099710582713255E-4</v>
      </c>
      <c r="S973" s="10">
        <v>9.1123374629927179E-5</v>
      </c>
      <c r="T973" s="10">
        <v>1.0637614525208687E-4</v>
      </c>
      <c r="U973" s="10">
        <v>1.884E-4</v>
      </c>
      <c r="V973" s="25"/>
      <c r="W973" s="25"/>
      <c r="X973" s="25"/>
      <c r="Y973" s="25"/>
      <c r="Z973" s="25"/>
      <c r="AA973" s="25"/>
    </row>
    <row r="974" spans="1:27" x14ac:dyDescent="0.35">
      <c r="A974" s="5">
        <v>970</v>
      </c>
      <c r="B974" s="5">
        <v>41</v>
      </c>
      <c r="C974" s="5">
        <v>2</v>
      </c>
      <c r="D974" s="25">
        <v>1.1415000000000001E-4</v>
      </c>
      <c r="E974" s="25">
        <v>1.1925E-4</v>
      </c>
      <c r="F974" s="25">
        <v>1.1388E-4</v>
      </c>
      <c r="G974" s="25">
        <v>1.5817000000000001E-4</v>
      </c>
      <c r="H974" s="25">
        <v>1.2111E-4</v>
      </c>
      <c r="I974" s="9">
        <v>1.4296999999999999E-4</v>
      </c>
      <c r="J974" s="9">
        <v>1.4525000000000001E-4</v>
      </c>
      <c r="K974" s="9">
        <v>1.3988E-4</v>
      </c>
      <c r="L974" s="9">
        <v>9.1130000000000003E-5</v>
      </c>
      <c r="M974" s="9">
        <v>1.0675000000000001E-4</v>
      </c>
      <c r="N974" s="9">
        <v>1.2491999999999999E-4</v>
      </c>
      <c r="O974" s="9">
        <v>1.2787000000000001E-4</v>
      </c>
      <c r="P974" s="9">
        <v>1.5369E-4</v>
      </c>
      <c r="Q974" s="9">
        <v>1.8033E-4</v>
      </c>
      <c r="R974" s="10">
        <v>1.1167241743892675E-4</v>
      </c>
      <c r="S974" s="10">
        <v>7.4829353620107261E-5</v>
      </c>
      <c r="T974" s="10">
        <v>1.2309869927121779E-4</v>
      </c>
      <c r="U974" s="10">
        <v>1.884E-4</v>
      </c>
      <c r="V974" s="25"/>
      <c r="W974" s="25"/>
      <c r="X974" s="25"/>
      <c r="Y974" s="25"/>
      <c r="Z974" s="25"/>
      <c r="AA974" s="25"/>
    </row>
    <row r="975" spans="1:27" x14ac:dyDescent="0.35">
      <c r="A975" s="5">
        <v>971</v>
      </c>
      <c r="B975" s="5">
        <v>41</v>
      </c>
      <c r="C975" s="5">
        <v>2</v>
      </c>
      <c r="D975" s="25">
        <v>1.1416E-4</v>
      </c>
      <c r="E975" s="25">
        <v>1.141E-4</v>
      </c>
      <c r="F975" s="25">
        <v>1.1311000000000001E-4</v>
      </c>
      <c r="G975" s="25">
        <v>1.5735E-4</v>
      </c>
      <c r="H975" s="25">
        <v>1.142E-4</v>
      </c>
      <c r="I975" s="9">
        <v>1.4501E-4</v>
      </c>
      <c r="J975" s="9">
        <v>1.4573E-4</v>
      </c>
      <c r="K975" s="9">
        <v>1.3352000000000001E-4</v>
      </c>
      <c r="L975" s="9">
        <v>1.1908000000000001E-4</v>
      </c>
      <c r="M975" s="9">
        <v>1.2956E-4</v>
      </c>
      <c r="N975" s="9">
        <v>1.4249999999999999E-4</v>
      </c>
      <c r="O975" s="9">
        <v>1.3757E-4</v>
      </c>
      <c r="P975" s="9">
        <v>1.5804999999999999E-4</v>
      </c>
      <c r="Q975" s="9">
        <v>1.796E-4</v>
      </c>
      <c r="R975" s="10">
        <v>1.0529632569349859E-4</v>
      </c>
      <c r="S975" s="10">
        <v>6.3118153746905941E-5</v>
      </c>
      <c r="T975" s="10">
        <v>8.5046616685828581E-5</v>
      </c>
      <c r="U975" s="10">
        <v>1.884E-4</v>
      </c>
      <c r="V975" s="25"/>
      <c r="W975" s="25"/>
      <c r="X975" s="25"/>
      <c r="Y975" s="25"/>
      <c r="Z975" s="25"/>
      <c r="AA975" s="25"/>
    </row>
    <row r="976" spans="1:27" x14ac:dyDescent="0.35">
      <c r="A976" s="5">
        <v>972</v>
      </c>
      <c r="B976" s="5">
        <v>41</v>
      </c>
      <c r="C976" s="5">
        <v>2</v>
      </c>
      <c r="D976" s="25">
        <v>1.1415000000000001E-4</v>
      </c>
      <c r="E976" s="25">
        <v>1.2129E-4</v>
      </c>
      <c r="F976" s="25">
        <v>1.1662E-4</v>
      </c>
      <c r="G976" s="25">
        <v>1.5720999999999999E-4</v>
      </c>
      <c r="H976" s="25">
        <v>1.1878E-4</v>
      </c>
      <c r="I976" s="9">
        <v>1.4703000000000001E-4</v>
      </c>
      <c r="J976" s="9">
        <v>1.4520000000000001E-4</v>
      </c>
      <c r="K976" s="9">
        <v>1.3776000000000001E-4</v>
      </c>
      <c r="L976" s="9">
        <v>1.3286E-4</v>
      </c>
      <c r="M976" s="9">
        <v>1.4520000000000001E-4</v>
      </c>
      <c r="N976" s="9">
        <v>1.5651E-4</v>
      </c>
      <c r="O976" s="9">
        <v>1.3920999999999999E-4</v>
      </c>
      <c r="P976" s="9">
        <v>1.5631E-4</v>
      </c>
      <c r="Q976" s="9">
        <v>1.7454999999999999E-4</v>
      </c>
      <c r="R976" s="10">
        <v>4.3242039533420547E-5</v>
      </c>
      <c r="S976" s="10">
        <v>5.0662601922508077E-5</v>
      </c>
      <c r="T976" s="10">
        <v>4.7036955597190111E-5</v>
      </c>
      <c r="U976" s="10">
        <v>1.884E-4</v>
      </c>
      <c r="V976" s="25"/>
      <c r="W976" s="25"/>
      <c r="X976" s="25"/>
      <c r="Y976" s="25"/>
      <c r="Z976" s="25"/>
      <c r="AA976" s="25"/>
    </row>
    <row r="977" spans="1:27" x14ac:dyDescent="0.35">
      <c r="A977" s="5">
        <v>973</v>
      </c>
      <c r="B977" s="5">
        <v>41</v>
      </c>
      <c r="C977" s="5">
        <v>2</v>
      </c>
      <c r="D977" s="25">
        <v>1.1416E-4</v>
      </c>
      <c r="E977" s="25">
        <v>1.1537E-4</v>
      </c>
      <c r="F977" s="25">
        <v>1.1157E-4</v>
      </c>
      <c r="G977" s="25">
        <v>1.5660000000000001E-4</v>
      </c>
      <c r="H977" s="25">
        <v>1.1408000000000001E-4</v>
      </c>
      <c r="I977" s="9">
        <v>1.4498000000000001E-4</v>
      </c>
      <c r="J977" s="9">
        <v>1.428E-4</v>
      </c>
      <c r="K977" s="9">
        <v>1.3564E-4</v>
      </c>
      <c r="L977" s="9">
        <v>1.3761000000000001E-4</v>
      </c>
      <c r="M977" s="9">
        <v>1.5257000000000001E-4</v>
      </c>
      <c r="N977" s="9">
        <v>1.6603000000000001E-4</v>
      </c>
      <c r="O977" s="9">
        <v>1.3137000000000001E-4</v>
      </c>
      <c r="P977" s="9">
        <v>1.4943000000000001E-4</v>
      </c>
      <c r="Q977" s="9">
        <v>1.6846999999999999E-4</v>
      </c>
      <c r="R977" s="10">
        <v>3.665276398730521E-5</v>
      </c>
      <c r="S977" s="10">
        <v>2.9681869542798004E-5</v>
      </c>
      <c r="T977" s="10">
        <v>6.8341031265397974E-5</v>
      </c>
      <c r="U977" s="10">
        <v>1.884E-4</v>
      </c>
      <c r="V977" s="25"/>
      <c r="W977" s="25"/>
      <c r="X977" s="25"/>
      <c r="Y977" s="25"/>
      <c r="Z977" s="25"/>
      <c r="AA977" s="25"/>
    </row>
    <row r="978" spans="1:27" x14ac:dyDescent="0.35">
      <c r="A978" s="5">
        <v>974</v>
      </c>
      <c r="B978" s="5">
        <v>41</v>
      </c>
      <c r="C978" s="5">
        <v>2</v>
      </c>
      <c r="D978" s="25">
        <v>1.1415000000000001E-4</v>
      </c>
      <c r="E978" s="25">
        <v>1.1197E-4</v>
      </c>
      <c r="F978" s="25">
        <v>1.2321000000000001E-4</v>
      </c>
      <c r="G978" s="25">
        <v>1.6473E-4</v>
      </c>
      <c r="H978" s="25">
        <v>1.1645E-4</v>
      </c>
      <c r="I978" s="9">
        <v>1.4485999999999999E-4</v>
      </c>
      <c r="J978" s="9">
        <v>1.4321000000000001E-4</v>
      </c>
      <c r="K978" s="9">
        <v>1.3350999999999999E-4</v>
      </c>
      <c r="L978" s="9">
        <v>1.3279000000000001E-4</v>
      </c>
      <c r="M978" s="9">
        <v>1.5288000000000001E-4</v>
      </c>
      <c r="N978" s="9">
        <v>1.7056999999999999E-4</v>
      </c>
      <c r="O978" s="9">
        <v>1.1327E-4</v>
      </c>
      <c r="P978" s="9">
        <v>1.3702000000000001E-4</v>
      </c>
      <c r="Q978" s="9">
        <v>1.6135999999999999E-4</v>
      </c>
      <c r="R978" s="10">
        <v>3.7147033420444853E-5</v>
      </c>
      <c r="S978" s="10">
        <v>1.7652431874690483E-5</v>
      </c>
      <c r="T978" s="10">
        <v>4.5357064325861897E-5</v>
      </c>
      <c r="U978" s="10">
        <v>1.884E-4</v>
      </c>
      <c r="V978" s="25"/>
      <c r="W978" s="25"/>
      <c r="X978" s="25"/>
      <c r="Y978" s="25"/>
      <c r="Z978" s="25"/>
      <c r="AA978" s="25"/>
    </row>
    <row r="979" spans="1:27" x14ac:dyDescent="0.35">
      <c r="A979" s="5">
        <v>975</v>
      </c>
      <c r="B979" s="5">
        <v>41</v>
      </c>
      <c r="C979" s="5">
        <v>2</v>
      </c>
      <c r="D979" s="25">
        <v>1.1416E-4</v>
      </c>
      <c r="E979" s="25">
        <v>1.2224E-4</v>
      </c>
      <c r="F979" s="25">
        <v>1.1259E-4</v>
      </c>
      <c r="G979" s="25">
        <v>1.6307E-4</v>
      </c>
      <c r="H979" s="25">
        <v>1.2223E-4</v>
      </c>
      <c r="I979" s="9">
        <v>1.4249E-4</v>
      </c>
      <c r="J979" s="9">
        <v>1.4380999999999999E-4</v>
      </c>
      <c r="K979" s="9">
        <v>1.3352000000000001E-4</v>
      </c>
      <c r="L979" s="9">
        <v>1.1777000000000001E-4</v>
      </c>
      <c r="M979" s="9">
        <v>1.4697000000000001E-4</v>
      </c>
      <c r="N979" s="9">
        <v>1.7024999999999999E-4</v>
      </c>
      <c r="O979" s="9">
        <v>1.2727999999999999E-4</v>
      </c>
      <c r="P979" s="9">
        <v>1.3917000000000001E-4</v>
      </c>
      <c r="Q979" s="9">
        <v>1.5207999999999999E-4</v>
      </c>
      <c r="R979" s="10">
        <v>3.9610187848546365E-5</v>
      </c>
      <c r="S979" s="10">
        <v>1.4626399916625228E-5</v>
      </c>
      <c r="T979" s="10">
        <v>2.9313254254742394E-5</v>
      </c>
      <c r="U979" s="10">
        <v>1.884E-4</v>
      </c>
      <c r="V979" s="25"/>
      <c r="W979" s="25"/>
      <c r="X979" s="25"/>
      <c r="Y979" s="25"/>
      <c r="Z979" s="25"/>
      <c r="AA979" s="25"/>
    </row>
    <row r="980" spans="1:27" x14ac:dyDescent="0.35">
      <c r="A980" s="5">
        <v>976</v>
      </c>
      <c r="B980" s="5">
        <v>41</v>
      </c>
      <c r="C980" s="5">
        <v>2</v>
      </c>
      <c r="D980" s="25">
        <v>1.1415000000000001E-4</v>
      </c>
      <c r="E980" s="25">
        <v>1.1626E-4</v>
      </c>
      <c r="F980" s="25">
        <v>1.1226E-4</v>
      </c>
      <c r="G980" s="25">
        <v>1.5669999999999999E-4</v>
      </c>
      <c r="H980" s="25">
        <v>1.1571E-4</v>
      </c>
      <c r="I980" s="9">
        <v>1.4119999999999999E-4</v>
      </c>
      <c r="J980" s="9">
        <v>1.4373000000000001E-4</v>
      </c>
      <c r="K980" s="9">
        <v>1.2928000000000001E-4</v>
      </c>
      <c r="L980" s="9">
        <v>1.2562000000000001E-4</v>
      </c>
      <c r="M980" s="9">
        <v>1.4249E-4</v>
      </c>
      <c r="N980" s="9">
        <v>1.6631999999999999E-4</v>
      </c>
      <c r="O980" s="9">
        <v>1.3406E-4</v>
      </c>
      <c r="P980" s="9">
        <v>1.2091000000000001E-4</v>
      </c>
      <c r="Q980" s="9">
        <v>1.093E-4</v>
      </c>
      <c r="R980" s="10">
        <v>4.1620374584985044E-5</v>
      </c>
      <c r="S980" s="10">
        <v>1.387885467418223E-5</v>
      </c>
      <c r="T980" s="10">
        <v>2.4901418592668287E-5</v>
      </c>
      <c r="U980" s="10">
        <v>1.884E-4</v>
      </c>
      <c r="V980" s="25"/>
      <c r="W980" s="25"/>
      <c r="X980" s="25"/>
      <c r="Y980" s="25"/>
      <c r="Z980" s="25"/>
      <c r="AA980" s="25"/>
    </row>
    <row r="981" spans="1:27" x14ac:dyDescent="0.35">
      <c r="A981" s="5">
        <v>977</v>
      </c>
      <c r="B981" s="5">
        <v>41</v>
      </c>
      <c r="C981" s="5">
        <v>2</v>
      </c>
      <c r="D981" s="25">
        <v>1.1416E-4</v>
      </c>
      <c r="E981" s="25">
        <v>1.1612000000000001E-4</v>
      </c>
      <c r="F981" s="25">
        <v>1.2640000000000001E-4</v>
      </c>
      <c r="G981" s="25">
        <v>1.5666000000000001E-4</v>
      </c>
      <c r="H981" s="25">
        <v>1.216E-4</v>
      </c>
      <c r="I981" s="9">
        <v>1.3914E-4</v>
      </c>
      <c r="J981" s="9">
        <v>1.44E-4</v>
      </c>
      <c r="K981" s="9">
        <v>1.7589999999999999E-4</v>
      </c>
      <c r="L981" s="9">
        <v>1.3195000000000001E-4</v>
      </c>
      <c r="M981" s="9">
        <v>1.3370999999999999E-4</v>
      </c>
      <c r="N981" s="9">
        <v>1.5249E-4</v>
      </c>
      <c r="O981" s="9">
        <v>1.4182999999999999E-4</v>
      </c>
      <c r="P981" s="9">
        <v>1.2402E-4</v>
      </c>
      <c r="Q981" s="9">
        <v>1.0793000000000001E-4</v>
      </c>
      <c r="R981" s="10">
        <v>3.3989105178859419E-5</v>
      </c>
      <c r="S981" s="10">
        <v>1.3776013805304181E-5</v>
      </c>
      <c r="T981" s="10">
        <v>4.2336653757211165E-6</v>
      </c>
      <c r="U981" s="10">
        <v>1.884E-4</v>
      </c>
      <c r="V981" s="25"/>
      <c r="W981" s="25"/>
      <c r="X981" s="25"/>
      <c r="Y981" s="25"/>
      <c r="Z981" s="25"/>
      <c r="AA981" s="25"/>
    </row>
    <row r="982" spans="1:27" x14ac:dyDescent="0.35">
      <c r="A982" s="5">
        <v>978</v>
      </c>
      <c r="B982" s="5">
        <v>41</v>
      </c>
      <c r="C982" s="5">
        <v>2</v>
      </c>
      <c r="D982" s="25">
        <v>1.1415000000000001E-4</v>
      </c>
      <c r="E982" s="25">
        <v>1.2317E-4</v>
      </c>
      <c r="F982" s="25">
        <v>1.1551E-4</v>
      </c>
      <c r="G982" s="25">
        <v>1.6708000000000001E-4</v>
      </c>
      <c r="H982" s="25">
        <v>1.2112000000000001E-4</v>
      </c>
      <c r="I982" s="9">
        <v>1.4185000000000001E-4</v>
      </c>
      <c r="J982" s="9">
        <v>1.4662E-4</v>
      </c>
      <c r="K982" s="9">
        <v>1.9497000000000001E-4</v>
      </c>
      <c r="L982" s="9">
        <v>1.3936999999999999E-4</v>
      </c>
      <c r="M982" s="9">
        <v>1.2799999999999999E-4</v>
      </c>
      <c r="N982" s="9">
        <v>1.3929E-4</v>
      </c>
      <c r="O982" s="9">
        <v>1.4077E-4</v>
      </c>
      <c r="P982" s="9">
        <v>1.2813000000000001E-4</v>
      </c>
      <c r="Q982" s="9">
        <v>1.1714000000000001E-4</v>
      </c>
      <c r="R982" s="10">
        <v>2.8760078721280121E-5</v>
      </c>
      <c r="S982" s="10">
        <v>1.2310945872390246E-5</v>
      </c>
      <c r="T982" s="10">
        <v>0</v>
      </c>
      <c r="U982" s="10">
        <v>1.884E-4</v>
      </c>
      <c r="V982" s="25"/>
      <c r="W982" s="25"/>
      <c r="X982" s="25"/>
      <c r="Y982" s="25"/>
      <c r="Z982" s="25"/>
      <c r="AA982" s="25"/>
    </row>
    <row r="983" spans="1:27" x14ac:dyDescent="0.35">
      <c r="A983" s="5">
        <v>979</v>
      </c>
      <c r="B983" s="5">
        <v>41</v>
      </c>
      <c r="C983" s="5">
        <v>2</v>
      </c>
      <c r="D983" s="25">
        <v>1.1416E-4</v>
      </c>
      <c r="E983" s="25">
        <v>1.2021E-4</v>
      </c>
      <c r="F983" s="25">
        <v>1.1862E-4</v>
      </c>
      <c r="G983" s="25">
        <v>1.0967999999999999E-4</v>
      </c>
      <c r="H983" s="25">
        <v>8.1299999999999997E-5</v>
      </c>
      <c r="I983" s="9">
        <v>1.4684999999999999E-4</v>
      </c>
      <c r="J983" s="9">
        <v>1.4723000000000001E-4</v>
      </c>
      <c r="K983" s="9">
        <v>1.9922000000000001E-4</v>
      </c>
      <c r="L983" s="9">
        <v>1.4032000000000001E-4</v>
      </c>
      <c r="M983" s="9">
        <v>1.2677000000000001E-4</v>
      </c>
      <c r="N983" s="9">
        <v>1.3004E-4</v>
      </c>
      <c r="O983" s="9">
        <v>1.4109999999999999E-4</v>
      </c>
      <c r="P983" s="9">
        <v>1.2284000000000001E-4</v>
      </c>
      <c r="Q983" s="9">
        <v>1.0632E-4</v>
      </c>
      <c r="R983" s="10">
        <v>3.1690900725861684E-5</v>
      </c>
      <c r="S983" s="10">
        <v>1.0874611482106731E-5</v>
      </c>
      <c r="T983" s="10">
        <v>0</v>
      </c>
      <c r="U983" s="10">
        <v>1.884E-4</v>
      </c>
      <c r="V983" s="25"/>
      <c r="W983" s="25"/>
      <c r="X983" s="25"/>
      <c r="Y983" s="25"/>
      <c r="Z983" s="25"/>
      <c r="AA983" s="25"/>
    </row>
    <row r="984" spans="1:27" x14ac:dyDescent="0.35">
      <c r="A984" s="5">
        <v>980</v>
      </c>
      <c r="B984" s="5">
        <v>41</v>
      </c>
      <c r="C984" s="5">
        <v>2</v>
      </c>
      <c r="D984" s="25">
        <v>1.1415000000000001E-4</v>
      </c>
      <c r="E984" s="25">
        <v>1.2124E-4</v>
      </c>
      <c r="F984" s="25">
        <v>1.2721999999999999E-4</v>
      </c>
      <c r="G984" s="25">
        <v>1.0713E-4</v>
      </c>
      <c r="H984" s="25">
        <v>7.7319999999999998E-5</v>
      </c>
      <c r="I984" s="9">
        <v>1.4219999999999999E-4</v>
      </c>
      <c r="J984" s="9">
        <v>1.4332E-4</v>
      </c>
      <c r="K984" s="9">
        <v>1.9921000000000001E-4</v>
      </c>
      <c r="L984" s="9">
        <v>1.4093999999999999E-4</v>
      </c>
      <c r="M984" s="9">
        <v>1.2528999999999999E-4</v>
      </c>
      <c r="N984" s="9">
        <v>1.2072E-4</v>
      </c>
      <c r="O984" s="9">
        <v>1.4537999999999999E-4</v>
      </c>
      <c r="P984" s="9">
        <v>1.2300000000000001E-4</v>
      </c>
      <c r="Q984" s="9">
        <v>1.0247999999999999E-4</v>
      </c>
      <c r="R984" s="10">
        <v>3.9820915885184265E-5</v>
      </c>
      <c r="S984" s="10">
        <v>9.6006552648777038E-6</v>
      </c>
      <c r="T984" s="10">
        <v>0</v>
      </c>
      <c r="U984" s="10">
        <v>1.884E-4</v>
      </c>
      <c r="V984" s="25"/>
      <c r="W984" s="25"/>
      <c r="X984" s="25"/>
      <c r="Y984" s="25"/>
      <c r="Z984" s="25"/>
      <c r="AA984" s="25"/>
    </row>
    <row r="985" spans="1:27" x14ac:dyDescent="0.35">
      <c r="A985" s="5">
        <v>981</v>
      </c>
      <c r="B985" s="5">
        <v>41</v>
      </c>
      <c r="C985" s="5">
        <v>2</v>
      </c>
      <c r="D985" s="25">
        <v>1.1416E-4</v>
      </c>
      <c r="E985" s="25">
        <v>1.1872E-4</v>
      </c>
      <c r="F985" s="25">
        <v>1.2713000000000001E-4</v>
      </c>
      <c r="G985" s="25">
        <v>5.5139999999999997E-5</v>
      </c>
      <c r="H985" s="25">
        <v>4.5500000000000001E-5</v>
      </c>
      <c r="I985" s="9">
        <v>1.3425000000000001E-4</v>
      </c>
      <c r="J985" s="9">
        <v>1.3626999999999999E-4</v>
      </c>
      <c r="K985" s="9">
        <v>2.0133999999999999E-4</v>
      </c>
      <c r="L985" s="9">
        <v>1.4443999999999999E-4</v>
      </c>
      <c r="M985" s="9">
        <v>1.2410000000000001E-4</v>
      </c>
      <c r="N985" s="9">
        <v>1.1317E-4</v>
      </c>
      <c r="O985" s="9">
        <v>8.5060000000000002E-5</v>
      </c>
      <c r="P985" s="9">
        <v>8.6609999999999999E-5</v>
      </c>
      <c r="Q985" s="9">
        <v>8.8609999999999994E-5</v>
      </c>
      <c r="R985" s="10">
        <v>5.2037156746477726E-5</v>
      </c>
      <c r="S985" s="10">
        <v>8.824703039322424E-6</v>
      </c>
      <c r="T985" s="10">
        <v>0</v>
      </c>
      <c r="U985" s="10">
        <v>1.884E-4</v>
      </c>
      <c r="V985" s="25"/>
      <c r="W985" s="25"/>
      <c r="X985" s="25"/>
      <c r="Y985" s="25"/>
      <c r="Z985" s="25"/>
      <c r="AA985" s="25"/>
    </row>
    <row r="986" spans="1:27" x14ac:dyDescent="0.35">
      <c r="A986" s="5">
        <v>982</v>
      </c>
      <c r="B986" s="5">
        <v>41</v>
      </c>
      <c r="C986" s="5">
        <v>2</v>
      </c>
      <c r="D986" s="25">
        <v>1.1415000000000001E-4</v>
      </c>
      <c r="E986" s="25">
        <v>1.1917E-4</v>
      </c>
      <c r="F986" s="25">
        <v>1.3076E-4</v>
      </c>
      <c r="G986" s="25">
        <v>6.2180000000000004E-5</v>
      </c>
      <c r="H986" s="25">
        <v>4.2030000000000002E-5</v>
      </c>
      <c r="I986" s="9">
        <v>1.2841999999999999E-4</v>
      </c>
      <c r="J986" s="9">
        <v>1.2862E-4</v>
      </c>
      <c r="K986" s="9">
        <v>1.9709E-4</v>
      </c>
      <c r="L986" s="9">
        <v>9.802E-5</v>
      </c>
      <c r="M986" s="9">
        <v>1.1029E-4</v>
      </c>
      <c r="N986" s="9">
        <v>1.0565000000000001E-4</v>
      </c>
      <c r="O986" s="9">
        <v>8.7299999999999994E-5</v>
      </c>
      <c r="P986" s="9">
        <v>8.7429999999999995E-5</v>
      </c>
      <c r="Q986" s="9">
        <v>8.8079999999999997E-5</v>
      </c>
      <c r="R986" s="10">
        <v>5.4388197065329978E-5</v>
      </c>
      <c r="S986" s="10">
        <v>9.1859598871939939E-6</v>
      </c>
      <c r="T986" s="10">
        <v>0</v>
      </c>
      <c r="U986" s="10">
        <v>1.884E-4</v>
      </c>
      <c r="V986" s="25"/>
      <c r="W986" s="25"/>
      <c r="X986" s="25"/>
      <c r="Y986" s="25"/>
      <c r="Z986" s="25"/>
      <c r="AA986" s="25"/>
    </row>
    <row r="987" spans="1:27" x14ac:dyDescent="0.35">
      <c r="A987" s="5">
        <v>983</v>
      </c>
      <c r="B987" s="5">
        <v>41</v>
      </c>
      <c r="C987" s="5">
        <v>2</v>
      </c>
      <c r="D987" s="25">
        <v>1.1416E-4</v>
      </c>
      <c r="E987" s="25">
        <v>1.1803000000000001E-4</v>
      </c>
      <c r="F987" s="25">
        <v>1.1123E-4</v>
      </c>
      <c r="G987" s="25">
        <v>5.7519999999999998E-5</v>
      </c>
      <c r="H987" s="25">
        <v>4.1699999999999997E-5</v>
      </c>
      <c r="I987" s="9">
        <v>1.3185000000000001E-4</v>
      </c>
      <c r="J987" s="9">
        <v>1.1982E-4</v>
      </c>
      <c r="K987" s="9">
        <v>1.8861999999999999E-4</v>
      </c>
      <c r="L987" s="9">
        <v>9.0939999999999993E-5</v>
      </c>
      <c r="M987" s="9">
        <v>9.8339999999999997E-5</v>
      </c>
      <c r="N987" s="9">
        <v>9.98E-5</v>
      </c>
      <c r="O987" s="9">
        <v>8.4469999999999996E-5</v>
      </c>
      <c r="P987" s="9">
        <v>7.5259999999999994E-5</v>
      </c>
      <c r="Q987" s="9">
        <v>6.6669999999999997E-5</v>
      </c>
      <c r="R987" s="10">
        <v>4.9418733224853006E-5</v>
      </c>
      <c r="S987" s="10">
        <v>1.0236111686678111E-5</v>
      </c>
      <c r="T987" s="10">
        <v>0</v>
      </c>
      <c r="U987" s="10">
        <v>1.884E-4</v>
      </c>
      <c r="V987" s="25"/>
      <c r="W987" s="25"/>
      <c r="X987" s="25"/>
      <c r="Y987" s="25"/>
      <c r="Z987" s="25"/>
      <c r="AA987" s="25"/>
    </row>
    <row r="988" spans="1:27" x14ac:dyDescent="0.35">
      <c r="A988" s="5">
        <v>984</v>
      </c>
      <c r="B988" s="5">
        <v>41</v>
      </c>
      <c r="C988" s="5">
        <v>2</v>
      </c>
      <c r="D988" s="25">
        <v>1.1415000000000001E-4</v>
      </c>
      <c r="E988" s="25">
        <v>1.1545E-4</v>
      </c>
      <c r="F988" s="25">
        <v>1.248E-4</v>
      </c>
      <c r="G988" s="25">
        <v>5.7550000000000003E-5</v>
      </c>
      <c r="H988" s="25">
        <v>4.5750000000000001E-5</v>
      </c>
      <c r="I988" s="9">
        <v>1.3097E-4</v>
      </c>
      <c r="J988" s="9">
        <v>1.1157E-4</v>
      </c>
      <c r="K988" s="9">
        <v>1.9074000000000001E-4</v>
      </c>
      <c r="L988" s="9">
        <v>8.6139999999999999E-5</v>
      </c>
      <c r="M988" s="9">
        <v>8.721E-5</v>
      </c>
      <c r="N988" s="9">
        <v>9.0509999999999999E-5</v>
      </c>
      <c r="O988" s="9">
        <v>7.9129999999999996E-5</v>
      </c>
      <c r="P988" s="9">
        <v>6.8700000000000003E-5</v>
      </c>
      <c r="Q988" s="9">
        <v>5.8799999999999999E-5</v>
      </c>
      <c r="R988" s="10">
        <v>3.904728052910939E-5</v>
      </c>
      <c r="S988" s="10">
        <v>1.3707964287381884E-5</v>
      </c>
      <c r="T988" s="10">
        <v>0</v>
      </c>
      <c r="U988" s="10">
        <v>1.884E-4</v>
      </c>
      <c r="V988" s="25"/>
      <c r="W988" s="25"/>
      <c r="X988" s="25"/>
      <c r="Y988" s="25"/>
      <c r="Z988" s="25"/>
      <c r="AA988" s="25"/>
    </row>
    <row r="989" spans="1:27" x14ac:dyDescent="0.35">
      <c r="A989" s="5">
        <v>985</v>
      </c>
      <c r="B989" s="5">
        <v>42</v>
      </c>
      <c r="C989" s="5">
        <v>2</v>
      </c>
      <c r="D989" s="25">
        <v>1.1416E-4</v>
      </c>
      <c r="E989" s="25">
        <v>1.1534E-4</v>
      </c>
      <c r="F989" s="25">
        <v>8.6059999999999999E-5</v>
      </c>
      <c r="G989" s="25">
        <v>6.0279999999999999E-5</v>
      </c>
      <c r="H989" s="25">
        <v>1.464E-5</v>
      </c>
      <c r="I989" s="9">
        <v>1.2379000000000001E-4</v>
      </c>
      <c r="J989" s="9">
        <v>1.0477E-4</v>
      </c>
      <c r="K989" s="9">
        <v>1.9498000000000001E-4</v>
      </c>
      <c r="L989" s="9">
        <v>8.0459999999999999E-5</v>
      </c>
      <c r="M989" s="9">
        <v>7.8029999999999997E-5</v>
      </c>
      <c r="N989" s="9">
        <v>8.1119999999999996E-5</v>
      </c>
      <c r="O989" s="9">
        <v>6.8429999999999994E-5</v>
      </c>
      <c r="P989" s="9">
        <v>6.0930000000000001E-5</v>
      </c>
      <c r="Q989" s="9">
        <v>5.3730000000000002E-5</v>
      </c>
      <c r="R989" s="10">
        <v>3.9979401847084875E-5</v>
      </c>
      <c r="S989" s="10">
        <v>1.8497148749714128E-5</v>
      </c>
      <c r="T989" s="10">
        <v>0</v>
      </c>
      <c r="U989" s="10">
        <v>1.8814E-4</v>
      </c>
      <c r="V989" s="25"/>
      <c r="W989" s="25"/>
      <c r="X989" s="25"/>
      <c r="Y989" s="25"/>
      <c r="Z989" s="25"/>
      <c r="AA989" s="25"/>
    </row>
    <row r="990" spans="1:27" x14ac:dyDescent="0.35">
      <c r="A990" s="5">
        <v>986</v>
      </c>
      <c r="B990" s="5">
        <v>42</v>
      </c>
      <c r="C990" s="5">
        <v>2</v>
      </c>
      <c r="D990" s="25">
        <v>1.1415000000000001E-4</v>
      </c>
      <c r="E990" s="25">
        <v>1.1466E-4</v>
      </c>
      <c r="F990" s="25">
        <v>9.1739999999999999E-5</v>
      </c>
      <c r="G990" s="25">
        <v>6.135E-5</v>
      </c>
      <c r="H990" s="25">
        <v>1.543E-5</v>
      </c>
      <c r="I990" s="9">
        <v>1.1797E-4</v>
      </c>
      <c r="J990" s="9">
        <v>1.0003E-4</v>
      </c>
      <c r="K990" s="9">
        <v>1.9498000000000001E-4</v>
      </c>
      <c r="L990" s="9">
        <v>7.1219999999999999E-5</v>
      </c>
      <c r="M990" s="9">
        <v>6.9729999999999998E-5</v>
      </c>
      <c r="N990" s="9">
        <v>7.2070000000000006E-5</v>
      </c>
      <c r="O990" s="9">
        <v>3.4929999999999999E-5</v>
      </c>
      <c r="P990" s="9">
        <v>4.5819999999999998E-5</v>
      </c>
      <c r="Q990" s="9">
        <v>5.6159999999999998E-5</v>
      </c>
      <c r="R990" s="10">
        <v>4.7382934470948458E-5</v>
      </c>
      <c r="S990" s="10">
        <v>2.1917866527950997E-5</v>
      </c>
      <c r="T990" s="10">
        <v>0</v>
      </c>
      <c r="U990" s="10">
        <v>1.8814E-4</v>
      </c>
      <c r="V990" s="25"/>
      <c r="W990" s="25"/>
      <c r="X990" s="25"/>
      <c r="Y990" s="25"/>
      <c r="Z990" s="25"/>
      <c r="AA990" s="25"/>
    </row>
    <row r="991" spans="1:27" x14ac:dyDescent="0.35">
      <c r="A991" s="5">
        <v>987</v>
      </c>
      <c r="B991" s="5">
        <v>42</v>
      </c>
      <c r="C991" s="5">
        <v>2</v>
      </c>
      <c r="D991" s="25">
        <v>1.1416E-4</v>
      </c>
      <c r="E991" s="25">
        <v>1.1591000000000001E-4</v>
      </c>
      <c r="F991" s="25">
        <v>1.0367E-4</v>
      </c>
      <c r="G991" s="25">
        <v>5.554E-5</v>
      </c>
      <c r="H991" s="25">
        <v>1.472E-5</v>
      </c>
      <c r="I991" s="9">
        <v>1.1238E-4</v>
      </c>
      <c r="J991" s="9">
        <v>9.7789999999999997E-5</v>
      </c>
      <c r="K991" s="9">
        <v>1.9709999999999999E-4</v>
      </c>
      <c r="L991" s="9">
        <v>4.3149999999999999E-5</v>
      </c>
      <c r="M991" s="9">
        <v>5.9160000000000003E-5</v>
      </c>
      <c r="N991" s="9">
        <v>6.5500000000000006E-5</v>
      </c>
      <c r="O991" s="9">
        <v>2.1679999999999999E-5</v>
      </c>
      <c r="P991" s="9">
        <v>4.2089999999999999E-5</v>
      </c>
      <c r="Q991" s="9">
        <v>6.1569999999999995E-5</v>
      </c>
      <c r="R991" s="10">
        <v>4.6213710154678796E-5</v>
      </c>
      <c r="S991" s="10">
        <v>2.4149636344165304E-5</v>
      </c>
      <c r="T991" s="10">
        <v>0</v>
      </c>
      <c r="U991" s="10">
        <v>1.8814E-4</v>
      </c>
      <c r="V991" s="25"/>
      <c r="W991" s="25"/>
      <c r="X991" s="25"/>
      <c r="Y991" s="25"/>
      <c r="Z991" s="25"/>
      <c r="AA991" s="25"/>
    </row>
    <row r="992" spans="1:27" x14ac:dyDescent="0.35">
      <c r="A992" s="5">
        <v>988</v>
      </c>
      <c r="B992" s="5">
        <v>42</v>
      </c>
      <c r="C992" s="5">
        <v>2</v>
      </c>
      <c r="D992" s="25">
        <v>1.1415000000000001E-4</v>
      </c>
      <c r="E992" s="25">
        <v>1.1822E-4</v>
      </c>
      <c r="F992" s="25">
        <v>9.0459999999999998E-5</v>
      </c>
      <c r="G992" s="25">
        <v>5.4169999999999998E-5</v>
      </c>
      <c r="H992" s="25">
        <v>1.4219999999999999E-5</v>
      </c>
      <c r="I992" s="9">
        <v>1.1010000000000001E-4</v>
      </c>
      <c r="J992" s="9">
        <v>9.7159999999999998E-5</v>
      </c>
      <c r="K992" s="9">
        <v>1.9922000000000001E-4</v>
      </c>
      <c r="L992" s="9">
        <v>2.7149999999999999E-5</v>
      </c>
      <c r="M992" s="9">
        <v>5.0479999999999998E-5</v>
      </c>
      <c r="N992" s="9">
        <v>6.1929999999999998E-5</v>
      </c>
      <c r="O992" s="9">
        <v>2.1019999999999999E-5</v>
      </c>
      <c r="P992" s="9">
        <v>5.1010000000000001E-5</v>
      </c>
      <c r="Q992" s="9">
        <v>7.9909999999999999E-5</v>
      </c>
      <c r="R992" s="10">
        <v>4.3745997352246013E-5</v>
      </c>
      <c r="S992" s="10">
        <v>2.7298782407843052E-5</v>
      </c>
      <c r="T992" s="10">
        <v>0</v>
      </c>
      <c r="U992" s="10">
        <v>1.8814E-4</v>
      </c>
      <c r="V992" s="25"/>
      <c r="W992" s="25"/>
      <c r="X992" s="25"/>
      <c r="Y992" s="25"/>
      <c r="Z992" s="25"/>
      <c r="AA992" s="25"/>
    </row>
    <row r="993" spans="1:27" x14ac:dyDescent="0.35">
      <c r="A993" s="5">
        <v>989</v>
      </c>
      <c r="B993" s="5">
        <v>42</v>
      </c>
      <c r="C993" s="5">
        <v>2</v>
      </c>
      <c r="D993" s="25">
        <v>1.1416E-4</v>
      </c>
      <c r="E993" s="25">
        <v>1.2040999999999999E-4</v>
      </c>
      <c r="F993" s="25">
        <v>9.1539999999999994E-5</v>
      </c>
      <c r="G993" s="25">
        <v>5.7790000000000001E-5</v>
      </c>
      <c r="H993" s="25">
        <v>1.418E-5</v>
      </c>
      <c r="I993" s="9">
        <v>1.1124999999999999E-4</v>
      </c>
      <c r="J993" s="9">
        <v>9.7919999999999998E-5</v>
      </c>
      <c r="K993" s="9">
        <v>2.0346000000000001E-4</v>
      </c>
      <c r="L993" s="9">
        <v>2.2759999999999999E-5</v>
      </c>
      <c r="M993" s="9">
        <v>4.8649999999999997E-5</v>
      </c>
      <c r="N993" s="9">
        <v>6.436E-5</v>
      </c>
      <c r="O993" s="9">
        <v>2.3139999999999999E-5</v>
      </c>
      <c r="P993" s="9">
        <v>5.914E-5</v>
      </c>
      <c r="Q993" s="9">
        <v>9.399E-5</v>
      </c>
      <c r="R993" s="10">
        <v>3.9413261333838342E-5</v>
      </c>
      <c r="S993" s="10">
        <v>3.3269367685139798E-5</v>
      </c>
      <c r="T993" s="10">
        <v>0</v>
      </c>
      <c r="U993" s="10">
        <v>1.8814E-4</v>
      </c>
      <c r="V993" s="25"/>
      <c r="W993" s="25"/>
      <c r="X993" s="25"/>
      <c r="Y993" s="25"/>
      <c r="Z993" s="25"/>
      <c r="AA993" s="25"/>
    </row>
    <row r="994" spans="1:27" x14ac:dyDescent="0.35">
      <c r="A994" s="5">
        <v>990</v>
      </c>
      <c r="B994" s="5">
        <v>42</v>
      </c>
      <c r="C994" s="5">
        <v>2</v>
      </c>
      <c r="D994" s="25">
        <v>1.1415000000000001E-4</v>
      </c>
      <c r="E994" s="25">
        <v>1.1684E-4</v>
      </c>
      <c r="F994" s="25">
        <v>9.2130000000000001E-5</v>
      </c>
      <c r="G994" s="25">
        <v>1.1108E-4</v>
      </c>
      <c r="H994" s="25">
        <v>2.688E-5</v>
      </c>
      <c r="I994" s="9">
        <v>1.1591000000000001E-4</v>
      </c>
      <c r="J994" s="9">
        <v>1.0174E-4</v>
      </c>
      <c r="K994" s="9">
        <v>2.0557E-4</v>
      </c>
      <c r="L994" s="9">
        <v>2.298E-5</v>
      </c>
      <c r="M994" s="9">
        <v>5.2299999999999997E-5</v>
      </c>
      <c r="N994" s="9">
        <v>7.1000000000000005E-5</v>
      </c>
      <c r="O994" s="9">
        <v>2.915E-5</v>
      </c>
      <c r="P994" s="9">
        <v>6.8150000000000003E-5</v>
      </c>
      <c r="Q994" s="9">
        <v>1.0606E-4</v>
      </c>
      <c r="R994" s="10">
        <v>3.7504119361366072E-5</v>
      </c>
      <c r="S994" s="10">
        <v>3.8015697784824897E-5</v>
      </c>
      <c r="T994" s="10">
        <v>0</v>
      </c>
      <c r="U994" s="10">
        <v>1.8814E-4</v>
      </c>
      <c r="V994" s="25"/>
      <c r="W994" s="25"/>
      <c r="X994" s="25"/>
      <c r="Y994" s="25"/>
      <c r="Z994" s="25"/>
      <c r="AA994" s="25"/>
    </row>
    <row r="995" spans="1:27" x14ac:dyDescent="0.35">
      <c r="A995" s="5">
        <v>991</v>
      </c>
      <c r="B995" s="5">
        <v>42</v>
      </c>
      <c r="C995" s="5">
        <v>2</v>
      </c>
      <c r="D995" s="25">
        <v>1.1416E-4</v>
      </c>
      <c r="E995" s="25">
        <v>1.2384000000000001E-4</v>
      </c>
      <c r="F995" s="25">
        <v>8.6440000000000006E-5</v>
      </c>
      <c r="G995" s="25">
        <v>1.1134E-4</v>
      </c>
      <c r="H995" s="25">
        <v>2.7399999999999999E-5</v>
      </c>
      <c r="I995" s="9">
        <v>1.2658999999999999E-4</v>
      </c>
      <c r="J995" s="9">
        <v>1.1385E-4</v>
      </c>
      <c r="K995" s="9">
        <v>2.0769000000000001E-4</v>
      </c>
      <c r="L995" s="9">
        <v>2.7690000000000001E-5</v>
      </c>
      <c r="M995" s="9">
        <v>5.9089999999999998E-5</v>
      </c>
      <c r="N995" s="9">
        <v>8.0500000000000005E-5</v>
      </c>
      <c r="O995" s="9">
        <v>4.6369999999999998E-5</v>
      </c>
      <c r="P995" s="9">
        <v>8.0179999999999995E-5</v>
      </c>
      <c r="Q995" s="9">
        <v>1.1325E-4</v>
      </c>
      <c r="R995" s="10">
        <v>4.1794348853108639E-5</v>
      </c>
      <c r="S995" s="10">
        <v>4.1023887622230691E-5</v>
      </c>
      <c r="T995" s="10">
        <v>0</v>
      </c>
      <c r="U995" s="10">
        <v>1.8814E-4</v>
      </c>
      <c r="V995" s="25"/>
      <c r="W995" s="25"/>
      <c r="X995" s="25"/>
      <c r="Y995" s="25"/>
      <c r="Z995" s="25"/>
      <c r="AA995" s="25"/>
    </row>
    <row r="996" spans="1:27" x14ac:dyDescent="0.35">
      <c r="A996" s="5">
        <v>992</v>
      </c>
      <c r="B996" s="5">
        <v>42</v>
      </c>
      <c r="C996" s="5">
        <v>2</v>
      </c>
      <c r="D996" s="25">
        <v>1.1415000000000001E-4</v>
      </c>
      <c r="E996" s="25">
        <v>1.2258000000000001E-4</v>
      </c>
      <c r="F996" s="25">
        <v>9.0619999999999996E-5</v>
      </c>
      <c r="G996" s="25">
        <v>1.5614000000000001E-4</v>
      </c>
      <c r="H996" s="25">
        <v>4.1350000000000002E-5</v>
      </c>
      <c r="I996" s="9">
        <v>1.3306E-4</v>
      </c>
      <c r="J996" s="9">
        <v>1.3118E-4</v>
      </c>
      <c r="K996" s="9">
        <v>2.0133999999999999E-4</v>
      </c>
      <c r="L996" s="9">
        <v>4.2120000000000003E-5</v>
      </c>
      <c r="M996" s="9">
        <v>6.8390000000000001E-5</v>
      </c>
      <c r="N996" s="9">
        <v>9.0790000000000003E-5</v>
      </c>
      <c r="O996" s="9">
        <v>6.8390000000000001E-5</v>
      </c>
      <c r="P996" s="9">
        <v>1.0283E-4</v>
      </c>
      <c r="Q996" s="9">
        <v>1.3693000000000001E-4</v>
      </c>
      <c r="R996" s="10">
        <v>4.5562066533399573E-5</v>
      </c>
      <c r="S996" s="10">
        <v>4.1563364221660673E-5</v>
      </c>
      <c r="T996" s="10">
        <v>0</v>
      </c>
      <c r="U996" s="10">
        <v>1.8814E-4</v>
      </c>
      <c r="V996" s="25"/>
      <c r="W996" s="25"/>
      <c r="X996" s="25"/>
      <c r="Y996" s="25"/>
      <c r="Z996" s="25"/>
      <c r="AA996" s="25"/>
    </row>
    <row r="997" spans="1:27" x14ac:dyDescent="0.35">
      <c r="A997" s="5">
        <v>993</v>
      </c>
      <c r="B997" s="5">
        <v>42</v>
      </c>
      <c r="C997" s="5">
        <v>2</v>
      </c>
      <c r="D997" s="25">
        <v>1.1416E-4</v>
      </c>
      <c r="E997" s="25">
        <v>1.1464E-4</v>
      </c>
      <c r="F997" s="25">
        <v>8.5340000000000006E-5</v>
      </c>
      <c r="G997" s="25">
        <v>1.5915999999999999E-4</v>
      </c>
      <c r="H997" s="25">
        <v>3.9889999999999999E-5</v>
      </c>
      <c r="I997" s="9">
        <v>1.3640000000000001E-4</v>
      </c>
      <c r="J997" s="9">
        <v>1.4001000000000001E-4</v>
      </c>
      <c r="K997" s="9">
        <v>1.9285999999999999E-4</v>
      </c>
      <c r="L997" s="9">
        <v>6.2219999999999997E-5</v>
      </c>
      <c r="M997" s="9">
        <v>8.3109999999999995E-5</v>
      </c>
      <c r="N997" s="9">
        <v>1.0459999999999999E-4</v>
      </c>
      <c r="O997" s="9">
        <v>9.9599999999999995E-5</v>
      </c>
      <c r="P997" s="9">
        <v>1.3770000000000001E-4</v>
      </c>
      <c r="Q997" s="9">
        <v>1.7594E-4</v>
      </c>
      <c r="R997" s="10">
        <v>4.9159786867463631E-5</v>
      </c>
      <c r="S997" s="10">
        <v>4.3627081992219757E-5</v>
      </c>
      <c r="T997" s="10">
        <v>3.203671434613814E-5</v>
      </c>
      <c r="U997" s="10">
        <v>1.8814E-4</v>
      </c>
      <c r="V997" s="25"/>
      <c r="W997" s="25"/>
      <c r="X997" s="25"/>
      <c r="Y997" s="25"/>
      <c r="Z997" s="25"/>
      <c r="AA997" s="25"/>
    </row>
    <row r="998" spans="1:27" x14ac:dyDescent="0.35">
      <c r="A998" s="5">
        <v>994</v>
      </c>
      <c r="B998" s="5">
        <v>42</v>
      </c>
      <c r="C998" s="5">
        <v>2</v>
      </c>
      <c r="D998" s="25">
        <v>1.1415000000000001E-4</v>
      </c>
      <c r="E998" s="25">
        <v>1.1742E-4</v>
      </c>
      <c r="F998" s="25">
        <v>9.7310000000000002E-5</v>
      </c>
      <c r="G998" s="25">
        <v>1.5629000000000001E-4</v>
      </c>
      <c r="H998" s="25">
        <v>4.1879999999999999E-5</v>
      </c>
      <c r="I998" s="9">
        <v>1.394E-4</v>
      </c>
      <c r="J998" s="9">
        <v>1.4276999999999999E-4</v>
      </c>
      <c r="K998" s="9">
        <v>1.7803E-4</v>
      </c>
      <c r="L998" s="9">
        <v>9.0849999999999999E-5</v>
      </c>
      <c r="M998" s="9">
        <v>1.0648E-4</v>
      </c>
      <c r="N998" s="9">
        <v>1.2443E-4</v>
      </c>
      <c r="O998" s="9">
        <v>1.2949000000000001E-4</v>
      </c>
      <c r="P998" s="9">
        <v>1.5563E-4</v>
      </c>
      <c r="Q998" s="9">
        <v>1.8259999999999999E-4</v>
      </c>
      <c r="R998" s="10">
        <v>4.8253520869650783E-5</v>
      </c>
      <c r="S998" s="10">
        <v>4.5492586740609052E-5</v>
      </c>
      <c r="T998" s="10">
        <v>4.0453139301479518E-5</v>
      </c>
      <c r="U998" s="10">
        <v>1.8814E-4</v>
      </c>
      <c r="V998" s="25"/>
      <c r="W998" s="25"/>
      <c r="X998" s="25"/>
      <c r="Y998" s="25"/>
      <c r="Z998" s="25"/>
      <c r="AA998" s="25"/>
    </row>
    <row r="999" spans="1:27" x14ac:dyDescent="0.35">
      <c r="A999" s="5">
        <v>995</v>
      </c>
      <c r="B999" s="5">
        <v>42</v>
      </c>
      <c r="C999" s="5">
        <v>2</v>
      </c>
      <c r="D999" s="25">
        <v>1.1416E-4</v>
      </c>
      <c r="E999" s="25">
        <v>1.2048999999999999E-4</v>
      </c>
      <c r="F999" s="25">
        <v>8.5749999999999997E-5</v>
      </c>
      <c r="G999" s="25">
        <v>1.5788E-4</v>
      </c>
      <c r="H999" s="25">
        <v>3.9700000000000003E-5</v>
      </c>
      <c r="I999" s="9">
        <v>1.4029E-4</v>
      </c>
      <c r="J999" s="9">
        <v>1.4117000000000001E-4</v>
      </c>
      <c r="K999" s="9">
        <v>1.6107E-4</v>
      </c>
      <c r="L999" s="9">
        <v>1.2029E-4</v>
      </c>
      <c r="M999" s="9">
        <v>1.3006000000000001E-4</v>
      </c>
      <c r="N999" s="9">
        <v>1.4264E-4</v>
      </c>
      <c r="O999" s="9">
        <v>1.3819E-4</v>
      </c>
      <c r="P999" s="9">
        <v>1.5876E-4</v>
      </c>
      <c r="Q999" s="9">
        <v>1.8039999999999999E-4</v>
      </c>
      <c r="R999" s="10">
        <v>3.8526397082258035E-5</v>
      </c>
      <c r="S999" s="10">
        <v>4.6849746615808137E-5</v>
      </c>
      <c r="T999" s="10">
        <v>3.6482487205612823E-5</v>
      </c>
      <c r="U999" s="10">
        <v>1.8814E-4</v>
      </c>
      <c r="V999" s="25"/>
      <c r="W999" s="25"/>
      <c r="X999" s="25"/>
      <c r="Y999" s="25"/>
      <c r="Z999" s="25"/>
      <c r="AA999" s="25"/>
    </row>
    <row r="1000" spans="1:27" x14ac:dyDescent="0.35">
      <c r="A1000" s="5">
        <v>996</v>
      </c>
      <c r="B1000" s="5">
        <v>42</v>
      </c>
      <c r="C1000" s="5">
        <v>2</v>
      </c>
      <c r="D1000" s="25">
        <v>1.1415000000000001E-4</v>
      </c>
      <c r="E1000" s="25">
        <v>1.2214999999999999E-4</v>
      </c>
      <c r="F1000" s="25">
        <v>8.3880000000000003E-5</v>
      </c>
      <c r="G1000" s="25">
        <v>1.6148000000000001E-4</v>
      </c>
      <c r="H1000" s="25">
        <v>4.1409999999999998E-5</v>
      </c>
      <c r="I1000" s="9">
        <v>1.4302E-4</v>
      </c>
      <c r="J1000" s="9">
        <v>1.3999999999999999E-4</v>
      </c>
      <c r="K1000" s="9">
        <v>1.3563E-4</v>
      </c>
      <c r="L1000" s="9">
        <v>1.3355999999999999E-4</v>
      </c>
      <c r="M1000" s="9">
        <v>1.4599E-4</v>
      </c>
      <c r="N1000" s="9">
        <v>1.5694E-4</v>
      </c>
      <c r="O1000" s="9">
        <v>1.3899E-4</v>
      </c>
      <c r="P1000" s="9">
        <v>1.5605999999999999E-4</v>
      </c>
      <c r="Q1000" s="9">
        <v>1.7427E-4</v>
      </c>
      <c r="R1000" s="10">
        <v>1.7519674402856784E-5</v>
      </c>
      <c r="S1000" s="10">
        <v>4.5269098384204419E-5</v>
      </c>
      <c r="T1000" s="10">
        <v>4.8029618621156786E-5</v>
      </c>
      <c r="U1000" s="10">
        <v>1.8814E-4</v>
      </c>
      <c r="V1000" s="25"/>
      <c r="W1000" s="25"/>
      <c r="X1000" s="25"/>
      <c r="Y1000" s="25"/>
      <c r="Z1000" s="25"/>
      <c r="AA1000" s="25"/>
    </row>
    <row r="1001" spans="1:27" x14ac:dyDescent="0.35">
      <c r="A1001" s="5">
        <v>997</v>
      </c>
      <c r="B1001" s="5">
        <v>42</v>
      </c>
      <c r="C1001" s="5">
        <v>2</v>
      </c>
      <c r="D1001" s="25">
        <v>1.1416E-4</v>
      </c>
      <c r="E1001" s="25">
        <v>1.2339999999999999E-4</v>
      </c>
      <c r="F1001" s="25">
        <v>9.5240000000000003E-5</v>
      </c>
      <c r="G1001" s="25">
        <v>1.6317E-4</v>
      </c>
      <c r="H1001" s="25">
        <v>4.2290000000000003E-5</v>
      </c>
      <c r="I1001" s="9">
        <v>1.4103E-4</v>
      </c>
      <c r="J1001" s="9">
        <v>1.3823000000000001E-4</v>
      </c>
      <c r="K1001" s="9">
        <v>1.314E-4</v>
      </c>
      <c r="L1001" s="9">
        <v>1.3760000000000001E-4</v>
      </c>
      <c r="M1001" s="9">
        <v>1.5304000000000001E-4</v>
      </c>
      <c r="N1001" s="9">
        <v>1.6641E-4</v>
      </c>
      <c r="O1001" s="9">
        <v>1.3062999999999999E-4</v>
      </c>
      <c r="P1001" s="9">
        <v>1.4857999999999999E-4</v>
      </c>
      <c r="Q1001" s="9">
        <v>1.6752E-4</v>
      </c>
      <c r="R1001" s="10">
        <v>1.0466286290198783E-5</v>
      </c>
      <c r="S1001" s="10">
        <v>4.3338569802487411E-5</v>
      </c>
      <c r="T1001" s="10">
        <v>4.4780131970052204E-5</v>
      </c>
      <c r="U1001" s="10">
        <v>1.8814E-4</v>
      </c>
      <c r="V1001" s="25"/>
      <c r="W1001" s="25"/>
      <c r="X1001" s="25"/>
      <c r="Y1001" s="25"/>
      <c r="Z1001" s="25"/>
      <c r="AA1001" s="25"/>
    </row>
    <row r="1002" spans="1:27" x14ac:dyDescent="0.35">
      <c r="A1002" s="5">
        <v>998</v>
      </c>
      <c r="B1002" s="5">
        <v>42</v>
      </c>
      <c r="C1002" s="5">
        <v>2</v>
      </c>
      <c r="D1002" s="25">
        <v>1.1415000000000001E-4</v>
      </c>
      <c r="E1002" s="25">
        <v>1.1315E-4</v>
      </c>
      <c r="F1002" s="25">
        <v>8.6009999999999998E-5</v>
      </c>
      <c r="G1002" s="25">
        <v>1.5697000000000001E-4</v>
      </c>
      <c r="H1002" s="25">
        <v>3.9440000000000002E-5</v>
      </c>
      <c r="I1002" s="9">
        <v>1.4083999999999999E-4</v>
      </c>
      <c r="J1002" s="9">
        <v>1.3824E-4</v>
      </c>
      <c r="K1002" s="9">
        <v>1.3352000000000001E-4</v>
      </c>
      <c r="L1002" s="9">
        <v>1.3223999999999999E-4</v>
      </c>
      <c r="M1002" s="9">
        <v>1.5275999999999999E-4</v>
      </c>
      <c r="N1002" s="9">
        <v>1.7072999999999999E-4</v>
      </c>
      <c r="O1002" s="9">
        <v>1.1188000000000001E-4</v>
      </c>
      <c r="P1002" s="9">
        <v>1.3533999999999999E-4</v>
      </c>
      <c r="Q1002" s="9">
        <v>1.5938000000000001E-4</v>
      </c>
      <c r="R1002" s="10">
        <v>6.880955995117201E-6</v>
      </c>
      <c r="S1002" s="10">
        <v>3.5127764519759644E-5</v>
      </c>
      <c r="T1002" s="10">
        <v>5.7243567715411561E-5</v>
      </c>
      <c r="U1002" s="10">
        <v>1.8814E-4</v>
      </c>
      <c r="V1002" s="25"/>
      <c r="W1002" s="25"/>
      <c r="X1002" s="25"/>
      <c r="Y1002" s="25"/>
      <c r="Z1002" s="25"/>
      <c r="AA1002" s="25"/>
    </row>
    <row r="1003" spans="1:27" x14ac:dyDescent="0.35">
      <c r="A1003" s="5">
        <v>999</v>
      </c>
      <c r="B1003" s="5">
        <v>42</v>
      </c>
      <c r="C1003" s="5">
        <v>2</v>
      </c>
      <c r="D1003" s="25">
        <v>1.1416E-4</v>
      </c>
      <c r="E1003" s="25">
        <v>1.1464999999999999E-4</v>
      </c>
      <c r="F1003" s="25">
        <v>8.6160000000000002E-5</v>
      </c>
      <c r="G1003" s="25">
        <v>1.5964000000000001E-4</v>
      </c>
      <c r="H1003" s="25">
        <v>4.1260000000000001E-5</v>
      </c>
      <c r="I1003" s="9">
        <v>1.3834000000000001E-4</v>
      </c>
      <c r="J1003" s="9">
        <v>1.3841E-4</v>
      </c>
      <c r="K1003" s="9">
        <v>1.4411E-4</v>
      </c>
      <c r="L1003" s="9">
        <v>1.1658E-4</v>
      </c>
      <c r="M1003" s="9">
        <v>1.4615E-4</v>
      </c>
      <c r="N1003" s="9">
        <v>1.6992999999999999E-4</v>
      </c>
      <c r="O1003" s="9">
        <v>1.2826E-4</v>
      </c>
      <c r="P1003" s="9">
        <v>1.4024E-4</v>
      </c>
      <c r="Q1003" s="9">
        <v>1.5325000000000001E-4</v>
      </c>
      <c r="R1003" s="10">
        <v>4.3423208014370464E-6</v>
      </c>
      <c r="S1003" s="10">
        <v>2.9608149351222357E-5</v>
      </c>
      <c r="T1003" s="10">
        <v>5.3205041224743721E-5</v>
      </c>
      <c r="U1003" s="10">
        <v>1.8814E-4</v>
      </c>
      <c r="V1003" s="25"/>
      <c r="W1003" s="25"/>
      <c r="X1003" s="25"/>
      <c r="Y1003" s="25"/>
      <c r="Z1003" s="25"/>
      <c r="AA1003" s="25"/>
    </row>
    <row r="1004" spans="1:27" x14ac:dyDescent="0.35">
      <c r="A1004" s="5">
        <v>1000</v>
      </c>
      <c r="B1004" s="5">
        <v>42</v>
      </c>
      <c r="C1004" s="5">
        <v>2</v>
      </c>
      <c r="D1004" s="25">
        <v>1.1415000000000001E-4</v>
      </c>
      <c r="E1004" s="25">
        <v>1.2297999999999999E-4</v>
      </c>
      <c r="F1004" s="25">
        <v>1.0628000000000001E-4</v>
      </c>
      <c r="G1004" s="25">
        <v>1.5613000000000001E-4</v>
      </c>
      <c r="H1004" s="25">
        <v>3.9480000000000001E-5</v>
      </c>
      <c r="I1004" s="9">
        <v>1.3756E-4</v>
      </c>
      <c r="J1004" s="9">
        <v>1.3846999999999999E-4</v>
      </c>
      <c r="K1004" s="9">
        <v>1.4411E-4</v>
      </c>
      <c r="L1004" s="9">
        <v>1.2614000000000001E-4</v>
      </c>
      <c r="M1004" s="9">
        <v>1.4218E-4</v>
      </c>
      <c r="N1004" s="9">
        <v>1.6615E-4</v>
      </c>
      <c r="O1004" s="9">
        <v>1.3349E-4</v>
      </c>
      <c r="P1004" s="9">
        <v>1.204E-4</v>
      </c>
      <c r="Q1004" s="9">
        <v>1.0883999999999999E-4</v>
      </c>
      <c r="R1004" s="10">
        <v>3.2649726635136502E-6</v>
      </c>
      <c r="S1004" s="10">
        <v>2.7028920731844089E-5</v>
      </c>
      <c r="T1004" s="10">
        <v>4.5518266013514602E-5</v>
      </c>
      <c r="U1004" s="10">
        <v>1.8814E-4</v>
      </c>
      <c r="V1004" s="25"/>
      <c r="W1004" s="25"/>
      <c r="X1004" s="25"/>
      <c r="Y1004" s="25"/>
      <c r="Z1004" s="25"/>
      <c r="AA1004" s="25"/>
    </row>
    <row r="1005" spans="1:27" x14ac:dyDescent="0.35">
      <c r="A1005" s="5">
        <v>1001</v>
      </c>
      <c r="B1005" s="5">
        <v>42</v>
      </c>
      <c r="C1005" s="5">
        <v>2</v>
      </c>
      <c r="D1005" s="25">
        <v>1.1416E-4</v>
      </c>
      <c r="E1005" s="25">
        <v>1.1373E-4</v>
      </c>
      <c r="F1005" s="25">
        <v>8.8070000000000002E-5</v>
      </c>
      <c r="G1005" s="25">
        <v>1.6642E-4</v>
      </c>
      <c r="H1005" s="25">
        <v>4.0509999999999997E-5</v>
      </c>
      <c r="I1005" s="9">
        <v>1.3698000000000001E-4</v>
      </c>
      <c r="J1005" s="9">
        <v>1.3962999999999999E-4</v>
      </c>
      <c r="K1005" s="9">
        <v>1.7379E-4</v>
      </c>
      <c r="L1005" s="9">
        <v>1.3156999999999999E-4</v>
      </c>
      <c r="M1005" s="9">
        <v>1.3349E-4</v>
      </c>
      <c r="N1005" s="9">
        <v>1.5218999999999999E-4</v>
      </c>
      <c r="O1005" s="9">
        <v>1.4132000000000001E-4</v>
      </c>
      <c r="P1005" s="9">
        <v>1.2357000000000001E-4</v>
      </c>
      <c r="Q1005" s="9">
        <v>1.0754E-4</v>
      </c>
      <c r="R1005" s="10">
        <v>3.0509676841710225E-6</v>
      </c>
      <c r="S1005" s="10">
        <v>2.548644402308874E-5</v>
      </c>
      <c r="T1005" s="10">
        <v>8.7133754325963638E-6</v>
      </c>
      <c r="U1005" s="10">
        <v>1.8814E-4</v>
      </c>
      <c r="V1005" s="25"/>
      <c r="W1005" s="25"/>
      <c r="X1005" s="25"/>
      <c r="Y1005" s="25"/>
      <c r="Z1005" s="25"/>
      <c r="AA1005" s="25"/>
    </row>
    <row r="1006" spans="1:27" x14ac:dyDescent="0.35">
      <c r="A1006" s="5">
        <v>1002</v>
      </c>
      <c r="B1006" s="5">
        <v>42</v>
      </c>
      <c r="C1006" s="5">
        <v>2</v>
      </c>
      <c r="D1006" s="25">
        <v>1.1415000000000001E-4</v>
      </c>
      <c r="E1006" s="25">
        <v>1.1796E-4</v>
      </c>
      <c r="F1006" s="25">
        <v>8.9170000000000002E-5</v>
      </c>
      <c r="G1006" s="25">
        <v>1.6526E-4</v>
      </c>
      <c r="H1006" s="25">
        <v>4.2160000000000003E-5</v>
      </c>
      <c r="I1006" s="9">
        <v>1.3941999999999999E-4</v>
      </c>
      <c r="J1006" s="9">
        <v>1.4278000000000001E-4</v>
      </c>
      <c r="K1006" s="9">
        <v>1.8013999999999999E-4</v>
      </c>
      <c r="L1006" s="9">
        <v>1.3889999999999999E-4</v>
      </c>
      <c r="M1006" s="9">
        <v>1.2771000000000001E-4</v>
      </c>
      <c r="N1006" s="9">
        <v>1.3893E-4</v>
      </c>
      <c r="O1006" s="9">
        <v>1.4092E-4</v>
      </c>
      <c r="P1006" s="9">
        <v>1.2826999999999999E-4</v>
      </c>
      <c r="Q1006" s="9">
        <v>1.1726E-4</v>
      </c>
      <c r="R1006" s="10">
        <v>3.0692464446316046E-6</v>
      </c>
      <c r="S1006" s="10">
        <v>2.5539737241962981E-5</v>
      </c>
      <c r="T1006" s="10">
        <v>0</v>
      </c>
      <c r="U1006" s="10">
        <v>1.8814E-4</v>
      </c>
      <c r="V1006" s="25"/>
      <c r="W1006" s="25"/>
      <c r="X1006" s="25"/>
      <c r="Y1006" s="25"/>
      <c r="Z1006" s="25"/>
      <c r="AA1006" s="25"/>
    </row>
    <row r="1007" spans="1:27" x14ac:dyDescent="0.35">
      <c r="A1007" s="5">
        <v>1003</v>
      </c>
      <c r="B1007" s="5">
        <v>42</v>
      </c>
      <c r="C1007" s="5">
        <v>2</v>
      </c>
      <c r="D1007" s="25">
        <v>1.1416E-4</v>
      </c>
      <c r="E1007" s="25">
        <v>1.1729E-4</v>
      </c>
      <c r="F1007" s="25">
        <v>8.5680000000000006E-5</v>
      </c>
      <c r="G1007" s="25">
        <v>1.1045E-4</v>
      </c>
      <c r="H1007" s="25">
        <v>2.6950000000000001E-5</v>
      </c>
      <c r="I1007" s="9">
        <v>1.462E-4</v>
      </c>
      <c r="J1007" s="9">
        <v>1.4614000000000001E-4</v>
      </c>
      <c r="K1007" s="9">
        <v>1.8013999999999999E-4</v>
      </c>
      <c r="L1007" s="9">
        <v>1.4035E-4</v>
      </c>
      <c r="M1007" s="9">
        <v>1.2658999999999999E-4</v>
      </c>
      <c r="N1007" s="9">
        <v>1.2978999999999999E-4</v>
      </c>
      <c r="O1007" s="9">
        <v>1.4312999999999999E-4</v>
      </c>
      <c r="P1007" s="9">
        <v>1.2460999999999999E-4</v>
      </c>
      <c r="Q1007" s="9">
        <v>1.0786E-4</v>
      </c>
      <c r="R1007" s="10">
        <v>4.3211967101693062E-6</v>
      </c>
      <c r="S1007" s="10">
        <v>2.262976591617426E-5</v>
      </c>
      <c r="T1007" s="10">
        <v>0</v>
      </c>
      <c r="U1007" s="10">
        <v>1.8814E-4</v>
      </c>
      <c r="V1007" s="25"/>
      <c r="W1007" s="25"/>
      <c r="X1007" s="25"/>
      <c r="Y1007" s="25"/>
      <c r="Z1007" s="25"/>
      <c r="AA1007" s="25"/>
    </row>
    <row r="1008" spans="1:27" x14ac:dyDescent="0.35">
      <c r="A1008" s="5">
        <v>1004</v>
      </c>
      <c r="B1008" s="5">
        <v>42</v>
      </c>
      <c r="C1008" s="5">
        <v>2</v>
      </c>
      <c r="D1008" s="25">
        <v>1.1415000000000001E-4</v>
      </c>
      <c r="E1008" s="25">
        <v>1.1964E-4</v>
      </c>
      <c r="F1008" s="25">
        <v>9.9170000000000001E-5</v>
      </c>
      <c r="G1008" s="25">
        <v>1.091E-4</v>
      </c>
      <c r="H1008" s="25">
        <v>2.8649999999999998E-5</v>
      </c>
      <c r="I1008" s="9">
        <v>1.4174000000000001E-4</v>
      </c>
      <c r="J1008" s="9">
        <v>1.4389000000000001E-4</v>
      </c>
      <c r="K1008" s="9">
        <v>1.8651E-4</v>
      </c>
      <c r="L1008" s="9">
        <v>1.4252000000000001E-4</v>
      </c>
      <c r="M1008" s="9">
        <v>1.2585999999999999E-4</v>
      </c>
      <c r="N1008" s="9">
        <v>1.2092E-4</v>
      </c>
      <c r="O1008" s="9">
        <v>1.4537E-4</v>
      </c>
      <c r="P1008" s="9">
        <v>1.2299000000000001E-4</v>
      </c>
      <c r="Q1008" s="9">
        <v>1.0247E-4</v>
      </c>
      <c r="R1008" s="10">
        <v>5.6430189236764669E-6</v>
      </c>
      <c r="S1008" s="10">
        <v>2.2016005521591075E-5</v>
      </c>
      <c r="T1008" s="10">
        <v>0</v>
      </c>
      <c r="U1008" s="10">
        <v>1.8814E-4</v>
      </c>
      <c r="V1008" s="25"/>
      <c r="W1008" s="25"/>
      <c r="X1008" s="25"/>
      <c r="Y1008" s="25"/>
      <c r="Z1008" s="25"/>
      <c r="AA1008" s="25"/>
    </row>
    <row r="1009" spans="1:27" x14ac:dyDescent="0.35">
      <c r="A1009" s="5">
        <v>1005</v>
      </c>
      <c r="B1009" s="5">
        <v>42</v>
      </c>
      <c r="C1009" s="5">
        <v>2</v>
      </c>
      <c r="D1009" s="25">
        <v>1.1416E-4</v>
      </c>
      <c r="E1009" s="25">
        <v>1.2323999999999999E-4</v>
      </c>
      <c r="F1009" s="25">
        <v>9.8839999999999996E-5</v>
      </c>
      <c r="G1009" s="25">
        <v>5.6910000000000002E-5</v>
      </c>
      <c r="H1009" s="25">
        <v>1.4409999999999999E-5</v>
      </c>
      <c r="I1009" s="9">
        <v>1.3472000000000001E-4</v>
      </c>
      <c r="J1009" s="9">
        <v>1.3755000000000001E-4</v>
      </c>
      <c r="K1009" s="9">
        <v>1.8861999999999999E-4</v>
      </c>
      <c r="L1009" s="9">
        <v>1.4473000000000001E-4</v>
      </c>
      <c r="M1009" s="9">
        <v>1.2467000000000001E-4</v>
      </c>
      <c r="N1009" s="9">
        <v>1.1339E-4</v>
      </c>
      <c r="O1009" s="9">
        <v>8.5069999999999997E-5</v>
      </c>
      <c r="P1009" s="9">
        <v>8.6630000000000002E-5</v>
      </c>
      <c r="Q1009" s="9">
        <v>8.8629999999999997E-5</v>
      </c>
      <c r="R1009" s="10">
        <v>4.649476716179377E-6</v>
      </c>
      <c r="S1009" s="10">
        <v>2.3121266316553738E-5</v>
      </c>
      <c r="T1009" s="10">
        <v>0</v>
      </c>
      <c r="U1009" s="10">
        <v>1.8814E-4</v>
      </c>
      <c r="V1009" s="25"/>
      <c r="W1009" s="25"/>
      <c r="X1009" s="25"/>
      <c r="Y1009" s="25"/>
      <c r="Z1009" s="25"/>
      <c r="AA1009" s="25"/>
    </row>
    <row r="1010" spans="1:27" x14ac:dyDescent="0.35">
      <c r="A1010" s="5">
        <v>1006</v>
      </c>
      <c r="B1010" s="5">
        <v>42</v>
      </c>
      <c r="C1010" s="5">
        <v>2</v>
      </c>
      <c r="D1010" s="25">
        <v>1.1415000000000001E-4</v>
      </c>
      <c r="E1010" s="25">
        <v>1.1621E-4</v>
      </c>
      <c r="F1010" s="25">
        <v>9.3850000000000004E-5</v>
      </c>
      <c r="G1010" s="25">
        <v>6.1389999999999993E-5</v>
      </c>
      <c r="H1010" s="25">
        <v>1.5800000000000001E-5</v>
      </c>
      <c r="I1010" s="9">
        <v>1.2924E-4</v>
      </c>
      <c r="J1010" s="9">
        <v>1.2863999999999999E-4</v>
      </c>
      <c r="K1010" s="9">
        <v>1.8650000000000001E-4</v>
      </c>
      <c r="L1010" s="9">
        <v>9.8140000000000006E-5</v>
      </c>
      <c r="M1010" s="9">
        <v>1.1061999999999999E-4</v>
      </c>
      <c r="N1010" s="9">
        <v>1.059E-4</v>
      </c>
      <c r="O1010" s="9">
        <v>8.7650000000000003E-5</v>
      </c>
      <c r="P1010" s="9">
        <v>8.7780000000000003E-5</v>
      </c>
      <c r="Q1010" s="9">
        <v>8.8430000000000005E-5</v>
      </c>
      <c r="R1010" s="10">
        <v>3.9260239843457215E-6</v>
      </c>
      <c r="S1010" s="10">
        <v>2.2867494737225322E-5</v>
      </c>
      <c r="T1010" s="10">
        <v>0</v>
      </c>
      <c r="U1010" s="10">
        <v>1.8814E-4</v>
      </c>
      <c r="V1010" s="25"/>
      <c r="W1010" s="25"/>
      <c r="X1010" s="25"/>
      <c r="Y1010" s="25"/>
      <c r="Z1010" s="25"/>
      <c r="AA1010" s="25"/>
    </row>
    <row r="1011" spans="1:27" x14ac:dyDescent="0.35">
      <c r="A1011" s="5">
        <v>1007</v>
      </c>
      <c r="B1011" s="5">
        <v>42</v>
      </c>
      <c r="C1011" s="5">
        <v>2</v>
      </c>
      <c r="D1011" s="25">
        <v>1.1416E-4</v>
      </c>
      <c r="E1011" s="25">
        <v>1.1962E-4</v>
      </c>
      <c r="F1011" s="25">
        <v>9.4729999999999996E-5</v>
      </c>
      <c r="G1011" s="25">
        <v>5.4110000000000002E-5</v>
      </c>
      <c r="H1011" s="25">
        <v>1.446E-5</v>
      </c>
      <c r="I1011" s="9">
        <v>1.3239999999999999E-4</v>
      </c>
      <c r="J1011" s="9">
        <v>1.1934000000000001E-4</v>
      </c>
      <c r="K1011" s="9">
        <v>1.8861999999999999E-4</v>
      </c>
      <c r="L1011" s="9">
        <v>9.1260000000000004E-5</v>
      </c>
      <c r="M1011" s="9">
        <v>9.8610000000000006E-5</v>
      </c>
      <c r="N1011" s="9">
        <v>1.0012E-4</v>
      </c>
      <c r="O1011" s="9">
        <v>8.5249999999999999E-5</v>
      </c>
      <c r="P1011" s="9">
        <v>7.5959999999999998E-5</v>
      </c>
      <c r="Q1011" s="9">
        <v>6.7290000000000001E-5</v>
      </c>
      <c r="R1011" s="10">
        <v>4.2162979781409792E-6</v>
      </c>
      <c r="S1011" s="10">
        <v>2.5293362879469037E-5</v>
      </c>
      <c r="T1011" s="10">
        <v>0</v>
      </c>
      <c r="U1011" s="10">
        <v>1.8814E-4</v>
      </c>
      <c r="V1011" s="25"/>
      <c r="W1011" s="25"/>
      <c r="X1011" s="25"/>
      <c r="Y1011" s="25"/>
      <c r="Z1011" s="25"/>
      <c r="AA1011" s="25"/>
    </row>
    <row r="1012" spans="1:27" x14ac:dyDescent="0.35">
      <c r="A1012" s="5">
        <v>1008</v>
      </c>
      <c r="B1012" s="5">
        <v>42</v>
      </c>
      <c r="C1012" s="5">
        <v>2</v>
      </c>
      <c r="D1012" s="25">
        <v>1.1415000000000001E-4</v>
      </c>
      <c r="E1012" s="25">
        <v>1.1738E-4</v>
      </c>
      <c r="F1012" s="25">
        <v>9.4779999999999997E-5</v>
      </c>
      <c r="G1012" s="25">
        <v>5.5300000000000002E-5</v>
      </c>
      <c r="H1012" s="25">
        <v>1.5440000000000001E-5</v>
      </c>
      <c r="I1012" s="9">
        <v>1.3130999999999999E-4</v>
      </c>
      <c r="J1012" s="9">
        <v>1.1161E-4</v>
      </c>
      <c r="K1012" s="9">
        <v>1.8861999999999999E-4</v>
      </c>
      <c r="L1012" s="9">
        <v>8.6810000000000004E-5</v>
      </c>
      <c r="M1012" s="9">
        <v>8.763E-5</v>
      </c>
      <c r="N1012" s="9">
        <v>9.09E-5</v>
      </c>
      <c r="O1012" s="9">
        <v>7.8640000000000006E-5</v>
      </c>
      <c r="P1012" s="9">
        <v>6.8269999999999995E-5</v>
      </c>
      <c r="Q1012" s="9">
        <v>5.8430000000000001E-5</v>
      </c>
      <c r="R1012" s="10">
        <v>2.2008213158429525E-6</v>
      </c>
      <c r="S1012" s="10">
        <v>1.981088617774002E-5</v>
      </c>
      <c r="T1012" s="10">
        <v>0</v>
      </c>
      <c r="U1012" s="10">
        <v>1.8814E-4</v>
      </c>
      <c r="V1012" s="25"/>
      <c r="W1012" s="25"/>
      <c r="X1012" s="25"/>
      <c r="Y1012" s="25"/>
      <c r="Z1012" s="25"/>
      <c r="AA1012" s="25"/>
    </row>
    <row r="1013" spans="1:27" x14ac:dyDescent="0.35">
      <c r="A1013" s="5">
        <v>1009</v>
      </c>
      <c r="B1013" s="5">
        <v>43</v>
      </c>
      <c r="C1013" s="5">
        <v>2</v>
      </c>
      <c r="D1013" s="25">
        <v>1.1416E-4</v>
      </c>
      <c r="E1013" s="25">
        <v>1.1642E-4</v>
      </c>
      <c r="F1013" s="25">
        <v>1.1112000000000001E-4</v>
      </c>
      <c r="G1013" s="25">
        <v>5.732E-5</v>
      </c>
      <c r="H1013" s="25">
        <v>7.1860000000000007E-5</v>
      </c>
      <c r="I1013" s="9">
        <v>1.2376999999999999E-4</v>
      </c>
      <c r="J1013" s="9">
        <v>1.0496E-4</v>
      </c>
      <c r="K1013" s="9">
        <v>1.8226000000000001E-4</v>
      </c>
      <c r="L1013" s="9">
        <v>8.0210000000000006E-5</v>
      </c>
      <c r="M1013" s="9">
        <v>7.8189999999999995E-5</v>
      </c>
      <c r="N1013" s="9">
        <v>8.1329999999999996E-5</v>
      </c>
      <c r="O1013" s="9">
        <v>5.4289999999999997E-5</v>
      </c>
      <c r="P1013" s="9">
        <v>5.3709999999999999E-5</v>
      </c>
      <c r="Q1013" s="9">
        <v>5.3279999999999998E-5</v>
      </c>
      <c r="R1013" s="10">
        <v>1.8685146959770538E-6</v>
      </c>
      <c r="S1013" s="10">
        <v>1.9928487916287301E-5</v>
      </c>
      <c r="T1013" s="10">
        <v>0</v>
      </c>
      <c r="U1013" s="10">
        <v>1.8771E-4</v>
      </c>
      <c r="V1013" s="25"/>
      <c r="W1013" s="25"/>
      <c r="X1013" s="25"/>
      <c r="Y1013" s="25"/>
      <c r="Z1013" s="25"/>
      <c r="AA1013" s="25"/>
    </row>
    <row r="1014" spans="1:27" x14ac:dyDescent="0.35">
      <c r="A1014" s="5">
        <v>1010</v>
      </c>
      <c r="B1014" s="5">
        <v>43</v>
      </c>
      <c r="C1014" s="5">
        <v>2</v>
      </c>
      <c r="D1014" s="25">
        <v>1.1415000000000001E-4</v>
      </c>
      <c r="E1014" s="25">
        <v>1.2098E-4</v>
      </c>
      <c r="F1014" s="25">
        <v>9.5110000000000002E-5</v>
      </c>
      <c r="G1014" s="25">
        <v>5.8060000000000003E-5</v>
      </c>
      <c r="H1014" s="25">
        <v>7.0699999999999997E-5</v>
      </c>
      <c r="I1014" s="9">
        <v>1.1754E-4</v>
      </c>
      <c r="J1014" s="9">
        <v>1.0018000000000001E-4</v>
      </c>
      <c r="K1014" s="9">
        <v>1.6955E-4</v>
      </c>
      <c r="L1014" s="9">
        <v>6.0149999999999998E-5</v>
      </c>
      <c r="M1014" s="9">
        <v>6.7150000000000006E-5</v>
      </c>
      <c r="N1014" s="9">
        <v>7.2119999999999994E-5</v>
      </c>
      <c r="O1014" s="9">
        <v>1.8680000000000001E-5</v>
      </c>
      <c r="P1014" s="9">
        <v>3.8019999999999999E-5</v>
      </c>
      <c r="Q1014" s="9">
        <v>5.6579999999999997E-5</v>
      </c>
      <c r="R1014" s="10">
        <v>1.7704012751815148E-6</v>
      </c>
      <c r="S1014" s="10">
        <v>1.9057980365563606E-5</v>
      </c>
      <c r="T1014" s="10">
        <v>0</v>
      </c>
      <c r="U1014" s="10">
        <v>1.8771E-4</v>
      </c>
      <c r="V1014" s="25"/>
      <c r="W1014" s="25"/>
      <c r="X1014" s="25"/>
      <c r="Y1014" s="25"/>
      <c r="Z1014" s="25"/>
      <c r="AA1014" s="25"/>
    </row>
    <row r="1015" spans="1:27" x14ac:dyDescent="0.35">
      <c r="A1015" s="5">
        <v>1011</v>
      </c>
      <c r="B1015" s="5">
        <v>43</v>
      </c>
      <c r="C1015" s="5">
        <v>2</v>
      </c>
      <c r="D1015" s="25">
        <v>1.1416E-4</v>
      </c>
      <c r="E1015" s="25">
        <v>1.1340000000000001E-4</v>
      </c>
      <c r="F1015" s="25">
        <v>1.0465E-4</v>
      </c>
      <c r="G1015" s="25">
        <v>5.2160000000000002E-5</v>
      </c>
      <c r="H1015" s="25">
        <v>7.1080000000000004E-5</v>
      </c>
      <c r="I1015" s="9">
        <v>1.1383999999999999E-4</v>
      </c>
      <c r="J1015" s="9">
        <v>9.7629999999999999E-5</v>
      </c>
      <c r="K1015" s="9">
        <v>1.314E-4</v>
      </c>
      <c r="L1015" s="9">
        <v>2.8350000000000001E-5</v>
      </c>
      <c r="M1015" s="9">
        <v>5.3959999999999998E-5</v>
      </c>
      <c r="N1015" s="9">
        <v>6.5590000000000001E-5</v>
      </c>
      <c r="O1015" s="9">
        <v>1.306E-5</v>
      </c>
      <c r="P1015" s="9">
        <v>3.7880000000000003E-5</v>
      </c>
      <c r="Q1015" s="9">
        <v>6.1749999999999997E-5</v>
      </c>
      <c r="R1015" s="10">
        <v>1.7616646600578127E-6</v>
      </c>
      <c r="S1015" s="10">
        <v>1.8279048029796634E-5</v>
      </c>
      <c r="T1015" s="10">
        <v>0</v>
      </c>
      <c r="U1015" s="10">
        <v>1.8771E-4</v>
      </c>
      <c r="V1015" s="25"/>
      <c r="W1015" s="25"/>
      <c r="X1015" s="25"/>
      <c r="Y1015" s="25"/>
      <c r="Z1015" s="25"/>
      <c r="AA1015" s="25"/>
    </row>
    <row r="1016" spans="1:27" x14ac:dyDescent="0.35">
      <c r="A1016" s="5">
        <v>1012</v>
      </c>
      <c r="B1016" s="5">
        <v>43</v>
      </c>
      <c r="C1016" s="5">
        <v>2</v>
      </c>
      <c r="D1016" s="25">
        <v>1.1415000000000001E-4</v>
      </c>
      <c r="E1016" s="25">
        <v>1.2313999999999999E-4</v>
      </c>
      <c r="F1016" s="25">
        <v>1.1345000000000001E-4</v>
      </c>
      <c r="G1016" s="25">
        <v>6.1149999999999996E-5</v>
      </c>
      <c r="H1016" s="25">
        <v>7.6520000000000006E-5</v>
      </c>
      <c r="I1016" s="9">
        <v>1.1090999999999999E-4</v>
      </c>
      <c r="J1016" s="9">
        <v>9.6630000000000001E-5</v>
      </c>
      <c r="K1016" s="9">
        <v>1.2292E-4</v>
      </c>
      <c r="L1016" s="9">
        <v>1.7280000000000001E-5</v>
      </c>
      <c r="M1016" s="9">
        <v>4.5009999999999998E-5</v>
      </c>
      <c r="N1016" s="9">
        <v>6.2000000000000003E-5</v>
      </c>
      <c r="O1016" s="9">
        <v>1.3010000000000001E-5</v>
      </c>
      <c r="P1016" s="9">
        <v>4.7169999999999997E-5</v>
      </c>
      <c r="Q1016" s="9">
        <v>8.0229999999999996E-5</v>
      </c>
      <c r="R1016" s="10">
        <v>1.3193498738479056E-6</v>
      </c>
      <c r="S1016" s="10">
        <v>1.5248837244956966E-5</v>
      </c>
      <c r="T1016" s="10">
        <v>0</v>
      </c>
      <c r="U1016" s="10">
        <v>1.8771E-4</v>
      </c>
      <c r="V1016" s="25"/>
      <c r="W1016" s="25"/>
      <c r="X1016" s="25"/>
      <c r="Y1016" s="25"/>
      <c r="Z1016" s="25"/>
      <c r="AA1016" s="25"/>
    </row>
    <row r="1017" spans="1:27" x14ac:dyDescent="0.35">
      <c r="A1017" s="5">
        <v>1013</v>
      </c>
      <c r="B1017" s="5">
        <v>43</v>
      </c>
      <c r="C1017" s="5">
        <v>2</v>
      </c>
      <c r="D1017" s="25">
        <v>1.1416E-4</v>
      </c>
      <c r="E1017" s="25">
        <v>1.1728E-4</v>
      </c>
      <c r="F1017" s="25">
        <v>9.3200000000000002E-5</v>
      </c>
      <c r="G1017" s="25">
        <v>5.9840000000000003E-5</v>
      </c>
      <c r="H1017" s="25">
        <v>6.5079999999999994E-5</v>
      </c>
      <c r="I1017" s="9">
        <v>1.1211E-4</v>
      </c>
      <c r="J1017" s="9">
        <v>9.6929999999999995E-5</v>
      </c>
      <c r="K1017" s="9">
        <v>1.1444E-4</v>
      </c>
      <c r="L1017" s="9">
        <v>1.413E-5</v>
      </c>
      <c r="M1017" s="9">
        <v>4.3810000000000002E-5</v>
      </c>
      <c r="N1017" s="9">
        <v>6.4480000000000006E-5</v>
      </c>
      <c r="O1017" s="9">
        <v>1.8479999999999999E-5</v>
      </c>
      <c r="P1017" s="9">
        <v>5.6409999999999997E-5</v>
      </c>
      <c r="Q1017" s="9">
        <v>9.3289999999999996E-5</v>
      </c>
      <c r="R1017" s="10">
        <v>1.0507178975846473E-6</v>
      </c>
      <c r="S1017" s="10">
        <v>1.3827891569234288E-5</v>
      </c>
      <c r="T1017" s="10">
        <v>0</v>
      </c>
      <c r="U1017" s="10">
        <v>1.8771E-4</v>
      </c>
      <c r="V1017" s="25"/>
      <c r="W1017" s="25"/>
      <c r="X1017" s="25"/>
      <c r="Y1017" s="25"/>
      <c r="Z1017" s="25"/>
      <c r="AA1017" s="25"/>
    </row>
    <row r="1018" spans="1:27" x14ac:dyDescent="0.35">
      <c r="A1018" s="5">
        <v>1014</v>
      </c>
      <c r="B1018" s="5">
        <v>43</v>
      </c>
      <c r="C1018" s="5">
        <v>2</v>
      </c>
      <c r="D1018" s="25">
        <v>1.1415000000000001E-4</v>
      </c>
      <c r="E1018" s="25">
        <v>1.1844E-4</v>
      </c>
      <c r="F1018" s="25">
        <v>1.0887000000000001E-4</v>
      </c>
      <c r="G1018" s="25">
        <v>1.1333E-4</v>
      </c>
      <c r="H1018" s="25">
        <v>1.3641E-4</v>
      </c>
      <c r="I1018" s="9">
        <v>1.1564E-4</v>
      </c>
      <c r="J1018" s="9">
        <v>1.0035E-4</v>
      </c>
      <c r="K1018" s="9">
        <v>1.102E-4</v>
      </c>
      <c r="L1018" s="9">
        <v>1.7390000000000001E-5</v>
      </c>
      <c r="M1018" s="9">
        <v>4.8409999999999999E-5</v>
      </c>
      <c r="N1018" s="9">
        <v>7.0959999999999998E-5</v>
      </c>
      <c r="O1018" s="9">
        <v>4.6529999999999997E-5</v>
      </c>
      <c r="P1018" s="9">
        <v>7.7379999999999994E-5</v>
      </c>
      <c r="Q1018" s="9">
        <v>1.0775E-4</v>
      </c>
      <c r="R1018" s="10">
        <v>1.0340162180134082E-6</v>
      </c>
      <c r="S1018" s="10">
        <v>1.2224079978587721E-5</v>
      </c>
      <c r="T1018" s="10">
        <v>0</v>
      </c>
      <c r="U1018" s="10">
        <v>1.8771E-4</v>
      </c>
      <c r="V1018" s="25"/>
      <c r="W1018" s="25"/>
      <c r="X1018" s="25"/>
      <c r="Y1018" s="25"/>
      <c r="Z1018" s="25"/>
      <c r="AA1018" s="25"/>
    </row>
    <row r="1019" spans="1:27" x14ac:dyDescent="0.35">
      <c r="A1019" s="5">
        <v>1015</v>
      </c>
      <c r="B1019" s="5">
        <v>43</v>
      </c>
      <c r="C1019" s="5">
        <v>2</v>
      </c>
      <c r="D1019" s="25">
        <v>1.1416E-4</v>
      </c>
      <c r="E1019" s="25">
        <v>1.2071E-4</v>
      </c>
      <c r="F1019" s="25">
        <v>1.081E-4</v>
      </c>
      <c r="G1019" s="25">
        <v>1.1022999999999999E-4</v>
      </c>
      <c r="H1019" s="25">
        <v>1.2726E-4</v>
      </c>
      <c r="I1019" s="9">
        <v>1.2545000000000001E-4</v>
      </c>
      <c r="J1019" s="9">
        <v>1.114E-4</v>
      </c>
      <c r="K1019" s="9">
        <v>1.0597E-4</v>
      </c>
      <c r="L1019" s="9">
        <v>3.998E-5</v>
      </c>
      <c r="M1019" s="9">
        <v>6.0139999999999997E-5</v>
      </c>
      <c r="N1019" s="9">
        <v>8.0829999999999997E-5</v>
      </c>
      <c r="O1019" s="9">
        <v>1.2254E-4</v>
      </c>
      <c r="P1019" s="9">
        <v>1.1622E-4</v>
      </c>
      <c r="Q1019" s="9">
        <v>1.1133000000000001E-4</v>
      </c>
      <c r="R1019" s="10">
        <v>1.2335219968588386E-6</v>
      </c>
      <c r="S1019" s="10">
        <v>1.0547474718841296E-5</v>
      </c>
      <c r="T1019" s="10">
        <v>0</v>
      </c>
      <c r="U1019" s="10">
        <v>1.8771E-4</v>
      </c>
      <c r="V1019" s="25"/>
      <c r="W1019" s="25"/>
      <c r="X1019" s="25"/>
      <c r="Y1019" s="25"/>
      <c r="Z1019" s="25"/>
      <c r="AA1019" s="25"/>
    </row>
    <row r="1020" spans="1:27" x14ac:dyDescent="0.35">
      <c r="A1020" s="5">
        <v>1016</v>
      </c>
      <c r="B1020" s="5">
        <v>43</v>
      </c>
      <c r="C1020" s="5">
        <v>2</v>
      </c>
      <c r="D1020" s="25">
        <v>1.1415000000000001E-4</v>
      </c>
      <c r="E1020" s="25">
        <v>1.153E-4</v>
      </c>
      <c r="F1020" s="25">
        <v>1.0899E-4</v>
      </c>
      <c r="G1020" s="25">
        <v>1.6667E-4</v>
      </c>
      <c r="H1020" s="25">
        <v>1.9143E-4</v>
      </c>
      <c r="I1020" s="9">
        <v>1.3244E-4</v>
      </c>
      <c r="J1020" s="9">
        <v>1.2961E-4</v>
      </c>
      <c r="K1020" s="9">
        <v>1.0385E-4</v>
      </c>
      <c r="L1020" s="9">
        <v>1.0374000000000001E-4</v>
      </c>
      <c r="M1020" s="9">
        <v>8.3380000000000005E-5</v>
      </c>
      <c r="N1020" s="9">
        <v>9.0669999999999998E-5</v>
      </c>
      <c r="O1020" s="9">
        <v>2.2240000000000001E-4</v>
      </c>
      <c r="P1020" s="9">
        <v>1.7814E-4</v>
      </c>
      <c r="Q1020" s="9">
        <v>1.3761000000000001E-4</v>
      </c>
      <c r="R1020" s="10">
        <v>1.9115277891892819E-6</v>
      </c>
      <c r="S1020" s="10">
        <v>9.0718735697033555E-6</v>
      </c>
      <c r="T1020" s="10">
        <v>0</v>
      </c>
      <c r="U1020" s="10">
        <v>1.8771E-4</v>
      </c>
      <c r="V1020" s="25"/>
      <c r="W1020" s="25"/>
      <c r="X1020" s="25"/>
      <c r="Y1020" s="25"/>
      <c r="Z1020" s="25"/>
      <c r="AA1020" s="25"/>
    </row>
    <row r="1021" spans="1:27" x14ac:dyDescent="0.35">
      <c r="A1021" s="5">
        <v>1017</v>
      </c>
      <c r="B1021" s="5">
        <v>43</v>
      </c>
      <c r="C1021" s="5">
        <v>2</v>
      </c>
      <c r="D1021" s="25">
        <v>1.1416E-4</v>
      </c>
      <c r="E1021" s="25">
        <v>1.2239999999999999E-4</v>
      </c>
      <c r="F1021" s="25">
        <v>9.378E-5</v>
      </c>
      <c r="G1021" s="25">
        <v>1.6138E-4</v>
      </c>
      <c r="H1021" s="25">
        <v>1.9138E-4</v>
      </c>
      <c r="I1021" s="9">
        <v>1.3657E-4</v>
      </c>
      <c r="J1021" s="9">
        <v>1.4009999999999999E-4</v>
      </c>
      <c r="K1021" s="9">
        <v>1.0173E-4</v>
      </c>
      <c r="L1021" s="9">
        <v>1.9455000000000001E-4</v>
      </c>
      <c r="M1021" s="9">
        <v>1.2349E-4</v>
      </c>
      <c r="N1021" s="9">
        <v>1.0462E-4</v>
      </c>
      <c r="O1021" s="9">
        <v>2.1207999999999999E-4</v>
      </c>
      <c r="P1021" s="9">
        <v>1.9268000000000001E-4</v>
      </c>
      <c r="Q1021" s="9">
        <v>1.7646E-4</v>
      </c>
      <c r="R1021" s="10">
        <v>2.4856085854525588E-6</v>
      </c>
      <c r="S1021" s="10">
        <v>7.3924078789398878E-6</v>
      </c>
      <c r="T1021" s="10">
        <v>5.5928501316139477E-5</v>
      </c>
      <c r="U1021" s="10">
        <v>1.8771E-4</v>
      </c>
      <c r="V1021" s="25"/>
      <c r="W1021" s="25"/>
      <c r="X1021" s="25"/>
      <c r="Y1021" s="25"/>
      <c r="Z1021" s="25"/>
      <c r="AA1021" s="25"/>
    </row>
    <row r="1022" spans="1:27" x14ac:dyDescent="0.35">
      <c r="A1022" s="5">
        <v>1018</v>
      </c>
      <c r="B1022" s="5">
        <v>43</v>
      </c>
      <c r="C1022" s="5">
        <v>2</v>
      </c>
      <c r="D1022" s="25">
        <v>1.1415000000000001E-4</v>
      </c>
      <c r="E1022" s="25">
        <v>1.154E-4</v>
      </c>
      <c r="F1022" s="25">
        <v>9.9079999999999993E-5</v>
      </c>
      <c r="G1022" s="25">
        <v>1.6495E-4</v>
      </c>
      <c r="H1022" s="25">
        <v>1.8930999999999999E-4</v>
      </c>
      <c r="I1022" s="9">
        <v>1.3959000000000001E-4</v>
      </c>
      <c r="J1022" s="9">
        <v>1.4456000000000001E-4</v>
      </c>
      <c r="K1022" s="9">
        <v>8.4779999999999998E-5</v>
      </c>
      <c r="L1022" s="9">
        <v>2.0583999999999999E-4</v>
      </c>
      <c r="M1022" s="9">
        <v>1.5859000000000001E-4</v>
      </c>
      <c r="N1022" s="9">
        <v>1.2454E-4</v>
      </c>
      <c r="O1022" s="9">
        <v>1.6843000000000001E-4</v>
      </c>
      <c r="P1022" s="9">
        <v>1.7443E-4</v>
      </c>
      <c r="Q1022" s="9">
        <v>1.8244999999999999E-4</v>
      </c>
      <c r="R1022" s="10">
        <v>2.7216461200856777E-6</v>
      </c>
      <c r="S1022" s="10">
        <v>5.3221807876685016E-6</v>
      </c>
      <c r="T1022" s="10">
        <v>7.2506822246317949E-5</v>
      </c>
      <c r="U1022" s="10">
        <v>1.8771E-4</v>
      </c>
      <c r="V1022" s="25"/>
      <c r="W1022" s="25"/>
      <c r="X1022" s="25"/>
      <c r="Y1022" s="25"/>
      <c r="Z1022" s="25"/>
      <c r="AA1022" s="25"/>
    </row>
    <row r="1023" spans="1:27" x14ac:dyDescent="0.35">
      <c r="A1023" s="5">
        <v>1019</v>
      </c>
      <c r="B1023" s="5">
        <v>43</v>
      </c>
      <c r="C1023" s="5">
        <v>2</v>
      </c>
      <c r="D1023" s="25">
        <v>1.1416E-4</v>
      </c>
      <c r="E1023" s="25">
        <v>1.1712E-4</v>
      </c>
      <c r="F1023" s="25">
        <v>1.1256000000000001E-4</v>
      </c>
      <c r="G1023" s="25">
        <v>1.5773E-4</v>
      </c>
      <c r="H1023" s="25">
        <v>1.9035999999999999E-4</v>
      </c>
      <c r="I1023" s="9">
        <v>1.4076E-4</v>
      </c>
      <c r="J1023" s="9">
        <v>1.449E-4</v>
      </c>
      <c r="K1023" s="9">
        <v>7.4179999999999998E-5</v>
      </c>
      <c r="L1023" s="9">
        <v>1.7676000000000001E-4</v>
      </c>
      <c r="M1023" s="9">
        <v>1.7241000000000001E-4</v>
      </c>
      <c r="N1023" s="9">
        <v>1.4270999999999999E-4</v>
      </c>
      <c r="O1023" s="9">
        <v>1.6875000000000001E-4</v>
      </c>
      <c r="P1023" s="9">
        <v>1.7340000000000001E-4</v>
      </c>
      <c r="Q1023" s="9">
        <v>1.8011000000000001E-4</v>
      </c>
      <c r="R1023" s="10">
        <v>1.7443433023456588E-6</v>
      </c>
      <c r="S1023" s="10">
        <v>3.7165114142688356E-6</v>
      </c>
      <c r="T1023" s="10">
        <v>8.1949847423026578E-5</v>
      </c>
      <c r="U1023" s="10">
        <v>1.8771E-4</v>
      </c>
      <c r="V1023" s="25"/>
      <c r="W1023" s="25"/>
      <c r="X1023" s="25"/>
      <c r="Y1023" s="25"/>
      <c r="Z1023" s="25"/>
      <c r="AA1023" s="25"/>
    </row>
    <row r="1024" spans="1:27" x14ac:dyDescent="0.35">
      <c r="A1024" s="5">
        <v>1020</v>
      </c>
      <c r="B1024" s="5">
        <v>43</v>
      </c>
      <c r="C1024" s="5">
        <v>2</v>
      </c>
      <c r="D1024" s="25">
        <v>1.1415000000000001E-4</v>
      </c>
      <c r="E1024" s="25">
        <v>1.1914E-4</v>
      </c>
      <c r="F1024" s="25">
        <v>9.4160000000000006E-5</v>
      </c>
      <c r="G1024" s="25">
        <v>1.6228999999999999E-4</v>
      </c>
      <c r="H1024" s="25">
        <v>1.9877E-4</v>
      </c>
      <c r="I1024" s="9">
        <v>1.4087E-4</v>
      </c>
      <c r="J1024" s="9">
        <v>1.4478000000000001E-4</v>
      </c>
      <c r="K1024" s="9">
        <v>7.2059999999999998E-5</v>
      </c>
      <c r="L1024" s="9">
        <v>1.7194000000000001E-4</v>
      </c>
      <c r="M1024" s="9">
        <v>1.7511E-4</v>
      </c>
      <c r="N1024" s="9">
        <v>1.5690999999999999E-4</v>
      </c>
      <c r="O1024" s="9">
        <v>1.7194000000000001E-4</v>
      </c>
      <c r="P1024" s="9">
        <v>1.7246000000000001E-4</v>
      </c>
      <c r="Q1024" s="9">
        <v>1.7515E-4</v>
      </c>
      <c r="R1024" s="10">
        <v>2.9441508853667891E-6</v>
      </c>
      <c r="S1024" s="10">
        <v>5.5603253956440574E-6</v>
      </c>
      <c r="T1024" s="10">
        <v>8.1220197678914319E-5</v>
      </c>
      <c r="U1024" s="10">
        <v>1.8771E-4</v>
      </c>
      <c r="V1024" s="25"/>
      <c r="W1024" s="25"/>
      <c r="X1024" s="25"/>
      <c r="Y1024" s="25"/>
      <c r="Z1024" s="25"/>
      <c r="AA1024" s="25"/>
    </row>
    <row r="1025" spans="1:27" x14ac:dyDescent="0.35">
      <c r="A1025" s="5">
        <v>1021</v>
      </c>
      <c r="B1025" s="5">
        <v>43</v>
      </c>
      <c r="C1025" s="5">
        <v>2</v>
      </c>
      <c r="D1025" s="25">
        <v>1.1416E-4</v>
      </c>
      <c r="E1025" s="25">
        <v>1.2119E-4</v>
      </c>
      <c r="F1025" s="25">
        <v>1.1145E-4</v>
      </c>
      <c r="G1025" s="25">
        <v>1.6044E-4</v>
      </c>
      <c r="H1025" s="25">
        <v>2.0147000000000001E-4</v>
      </c>
      <c r="I1025" s="9">
        <v>1.3810999999999999E-4</v>
      </c>
      <c r="J1025" s="9">
        <v>1.4306E-4</v>
      </c>
      <c r="K1025" s="9">
        <v>9.5370000000000003E-5</v>
      </c>
      <c r="L1025" s="9">
        <v>1.7208999999999999E-4</v>
      </c>
      <c r="M1025" s="9">
        <v>1.7437E-4</v>
      </c>
      <c r="N1025" s="9">
        <v>1.6661000000000001E-4</v>
      </c>
      <c r="O1025" s="9">
        <v>1.6215000000000001E-4</v>
      </c>
      <c r="P1025" s="9">
        <v>1.6354999999999999E-4</v>
      </c>
      <c r="Q1025" s="9">
        <v>1.6694E-4</v>
      </c>
      <c r="R1025" s="10">
        <v>2.3720614826948795E-6</v>
      </c>
      <c r="S1025" s="10">
        <v>6.3021103674379357E-6</v>
      </c>
      <c r="T1025" s="10">
        <v>1.7831451944194527E-4</v>
      </c>
      <c r="U1025" s="10">
        <v>1.8771E-4</v>
      </c>
      <c r="V1025" s="25"/>
      <c r="W1025" s="25"/>
      <c r="X1025" s="25"/>
      <c r="Y1025" s="25"/>
      <c r="Z1025" s="25"/>
      <c r="AA1025" s="25"/>
    </row>
    <row r="1026" spans="1:27" x14ac:dyDescent="0.35">
      <c r="A1026" s="5">
        <v>1022</v>
      </c>
      <c r="B1026" s="5">
        <v>43</v>
      </c>
      <c r="C1026" s="5">
        <v>2</v>
      </c>
      <c r="D1026" s="25">
        <v>1.1415000000000001E-4</v>
      </c>
      <c r="E1026" s="25">
        <v>1.1752999999999999E-4</v>
      </c>
      <c r="F1026" s="25">
        <v>1.1059E-4</v>
      </c>
      <c r="G1026" s="25">
        <v>1.6377000000000001E-4</v>
      </c>
      <c r="H1026" s="25">
        <v>2.0043E-4</v>
      </c>
      <c r="I1026" s="9">
        <v>1.3619000000000001E-4</v>
      </c>
      <c r="J1026" s="9">
        <v>1.4163000000000001E-4</v>
      </c>
      <c r="K1026" s="9">
        <v>1.6107E-4</v>
      </c>
      <c r="L1026" s="9">
        <v>1.6406999999999999E-4</v>
      </c>
      <c r="M1026" s="9">
        <v>1.7024999999999999E-4</v>
      </c>
      <c r="N1026" s="9">
        <v>1.7076999999999999E-4</v>
      </c>
      <c r="O1026" s="9">
        <v>1.7851999999999999E-4</v>
      </c>
      <c r="P1026" s="9">
        <v>1.6807000000000001E-4</v>
      </c>
      <c r="Q1026" s="9">
        <v>1.6008E-4</v>
      </c>
      <c r="R1026" s="10">
        <v>2.6867764028688872E-6</v>
      </c>
      <c r="S1026" s="10">
        <v>7.3178819268530695E-6</v>
      </c>
      <c r="T1026" s="10">
        <v>9.3335777150917838E-5</v>
      </c>
      <c r="U1026" s="10">
        <v>1.8771E-4</v>
      </c>
      <c r="V1026" s="25"/>
      <c r="W1026" s="25"/>
      <c r="X1026" s="25"/>
      <c r="Y1026" s="25"/>
      <c r="Z1026" s="25"/>
      <c r="AA1026" s="25"/>
    </row>
    <row r="1027" spans="1:27" x14ac:dyDescent="0.35">
      <c r="A1027" s="5">
        <v>1023</v>
      </c>
      <c r="B1027" s="5">
        <v>43</v>
      </c>
      <c r="C1027" s="5">
        <v>2</v>
      </c>
      <c r="D1027" s="25">
        <v>1.1416E-4</v>
      </c>
      <c r="E1027" s="25">
        <v>1.1631E-4</v>
      </c>
      <c r="F1027" s="25">
        <v>1.0987E-4</v>
      </c>
      <c r="G1027" s="25">
        <v>1.6470999999999999E-4</v>
      </c>
      <c r="H1027" s="25">
        <v>1.997E-4</v>
      </c>
      <c r="I1027" s="9">
        <v>1.3389000000000001E-4</v>
      </c>
      <c r="J1027" s="9">
        <v>1.3933000000000001E-4</v>
      </c>
      <c r="K1027" s="9">
        <v>1.6531E-4</v>
      </c>
      <c r="L1027" s="9">
        <v>1.7553999999999999E-4</v>
      </c>
      <c r="M1027" s="9">
        <v>1.6828000000000001E-4</v>
      </c>
      <c r="N1027" s="9">
        <v>1.7008999999999999E-4</v>
      </c>
      <c r="O1027" s="9">
        <v>1.8338E-4</v>
      </c>
      <c r="P1027" s="9">
        <v>1.6614000000000001E-4</v>
      </c>
      <c r="Q1027" s="9">
        <v>1.5154E-4</v>
      </c>
      <c r="R1027" s="10">
        <v>2.4608086012660314E-6</v>
      </c>
      <c r="S1027" s="10">
        <v>1.015166493236011E-5</v>
      </c>
      <c r="T1027" s="10">
        <v>5.1033060591107236E-5</v>
      </c>
      <c r="U1027" s="10">
        <v>1.8771E-4</v>
      </c>
      <c r="V1027" s="25"/>
      <c r="W1027" s="25"/>
      <c r="X1027" s="25"/>
      <c r="Y1027" s="25"/>
      <c r="Z1027" s="25"/>
      <c r="AA1027" s="25"/>
    </row>
    <row r="1028" spans="1:27" x14ac:dyDescent="0.35">
      <c r="A1028" s="5">
        <v>1024</v>
      </c>
      <c r="B1028" s="5">
        <v>43</v>
      </c>
      <c r="C1028" s="5">
        <v>2</v>
      </c>
      <c r="D1028" s="25">
        <v>1.1415000000000001E-4</v>
      </c>
      <c r="E1028" s="25">
        <v>1.1281E-4</v>
      </c>
      <c r="F1028" s="25">
        <v>1.0857E-4</v>
      </c>
      <c r="G1028" s="25">
        <v>1.6496999999999999E-4</v>
      </c>
      <c r="H1028" s="25">
        <v>1.8959000000000001E-4</v>
      </c>
      <c r="I1028" s="9">
        <v>1.3056999999999999E-4</v>
      </c>
      <c r="J1028" s="9">
        <v>1.3788E-4</v>
      </c>
      <c r="K1028" s="9">
        <v>1.6955E-4</v>
      </c>
      <c r="L1028" s="9">
        <v>1.8136000000000001E-4</v>
      </c>
      <c r="M1028" s="9">
        <v>1.6709E-4</v>
      </c>
      <c r="N1028" s="9">
        <v>1.6593000000000001E-4</v>
      </c>
      <c r="O1028" s="9">
        <v>1.9933E-4</v>
      </c>
      <c r="P1028" s="9">
        <v>1.5309000000000001E-4</v>
      </c>
      <c r="Q1028" s="9">
        <v>1.1022E-4</v>
      </c>
      <c r="R1028" s="10">
        <v>2.6306048487546548E-6</v>
      </c>
      <c r="S1028" s="10">
        <v>1.5609955303982085E-5</v>
      </c>
      <c r="T1028" s="10">
        <v>4.7919322729604928E-5</v>
      </c>
      <c r="U1028" s="10">
        <v>1.8771E-4</v>
      </c>
      <c r="V1028" s="25"/>
      <c r="W1028" s="25"/>
      <c r="X1028" s="25"/>
      <c r="Y1028" s="25"/>
      <c r="Z1028" s="25"/>
      <c r="AA1028" s="25"/>
    </row>
    <row r="1029" spans="1:27" x14ac:dyDescent="0.35">
      <c r="A1029" s="5">
        <v>1025</v>
      </c>
      <c r="B1029" s="5">
        <v>43</v>
      </c>
      <c r="C1029" s="5">
        <v>2</v>
      </c>
      <c r="D1029" s="25">
        <v>1.1416E-4</v>
      </c>
      <c r="E1029" s="25">
        <v>1.2364E-4</v>
      </c>
      <c r="F1029" s="25">
        <v>1.0614E-4</v>
      </c>
      <c r="G1029" s="25">
        <v>1.5856999999999999E-4</v>
      </c>
      <c r="H1029" s="25">
        <v>1.9765000000000001E-4</v>
      </c>
      <c r="I1029" s="9">
        <v>1.2972999999999999E-4</v>
      </c>
      <c r="J1029" s="9">
        <v>1.3804999999999999E-4</v>
      </c>
      <c r="K1029" s="9">
        <v>1.7378000000000001E-4</v>
      </c>
      <c r="L1029" s="9">
        <v>1.9515999999999999E-4</v>
      </c>
      <c r="M1029" s="9">
        <v>1.6186E-4</v>
      </c>
      <c r="N1029" s="9">
        <v>1.5226000000000001E-4</v>
      </c>
      <c r="O1029" s="9">
        <v>2.1399E-4</v>
      </c>
      <c r="P1029" s="9">
        <v>1.5836999999999999E-4</v>
      </c>
      <c r="Q1029" s="9">
        <v>1.0652E-4</v>
      </c>
      <c r="R1029" s="10">
        <v>4.5510718105101209E-6</v>
      </c>
      <c r="S1029" s="10">
        <v>2.1518067409484393E-5</v>
      </c>
      <c r="T1029" s="10">
        <v>1.6332276249024346E-5</v>
      </c>
      <c r="U1029" s="10">
        <v>1.8771E-4</v>
      </c>
      <c r="V1029" s="25"/>
      <c r="W1029" s="25"/>
      <c r="X1029" s="25"/>
      <c r="Y1029" s="25"/>
      <c r="Z1029" s="25"/>
      <c r="AA1029" s="25"/>
    </row>
    <row r="1030" spans="1:27" x14ac:dyDescent="0.35">
      <c r="A1030" s="5">
        <v>1026</v>
      </c>
      <c r="B1030" s="5">
        <v>43</v>
      </c>
      <c r="C1030" s="5">
        <v>2</v>
      </c>
      <c r="D1030" s="25">
        <v>1.1415000000000001E-4</v>
      </c>
      <c r="E1030" s="25">
        <v>1.1579E-4</v>
      </c>
      <c r="F1030" s="25">
        <v>1.0403000000000001E-4</v>
      </c>
      <c r="G1030" s="25">
        <v>1.6358E-4</v>
      </c>
      <c r="H1030" s="25">
        <v>1.9713E-4</v>
      </c>
      <c r="I1030" s="9">
        <v>1.3161999999999999E-4</v>
      </c>
      <c r="J1030" s="9">
        <v>1.4090000000000001E-4</v>
      </c>
      <c r="K1030" s="9">
        <v>1.7165999999999999E-4</v>
      </c>
      <c r="L1030" s="9">
        <v>2.0955E-4</v>
      </c>
      <c r="M1030" s="9">
        <v>1.5917000000000001E-4</v>
      </c>
      <c r="N1030" s="9">
        <v>1.3876000000000001E-4</v>
      </c>
      <c r="O1030" s="9">
        <v>2.0624E-4</v>
      </c>
      <c r="P1030" s="9">
        <v>1.6011000000000001E-4</v>
      </c>
      <c r="Q1030" s="9">
        <v>1.1747E-4</v>
      </c>
      <c r="R1030" s="10">
        <v>7.4460306215312959E-6</v>
      </c>
      <c r="S1030" s="10">
        <v>2.55192679558607E-5</v>
      </c>
      <c r="T1030" s="10">
        <v>0</v>
      </c>
      <c r="U1030" s="10">
        <v>1.8771E-4</v>
      </c>
      <c r="V1030" s="25"/>
      <c r="W1030" s="25"/>
      <c r="X1030" s="25"/>
      <c r="Y1030" s="25"/>
      <c r="Z1030" s="25"/>
      <c r="AA1030" s="25"/>
    </row>
    <row r="1031" spans="1:27" x14ac:dyDescent="0.35">
      <c r="A1031" s="5">
        <v>1027</v>
      </c>
      <c r="B1031" s="5">
        <v>43</v>
      </c>
      <c r="C1031" s="5">
        <v>2</v>
      </c>
      <c r="D1031" s="25">
        <v>1.1416E-4</v>
      </c>
      <c r="E1031" s="25">
        <v>1.1281999999999999E-4</v>
      </c>
      <c r="F1031" s="25">
        <v>9.7960000000000004E-5</v>
      </c>
      <c r="G1031" s="25">
        <v>1.0518000000000001E-4</v>
      </c>
      <c r="H1031" s="25">
        <v>1.3652E-4</v>
      </c>
      <c r="I1031" s="9">
        <v>1.4025999999999999E-4</v>
      </c>
      <c r="J1031" s="9">
        <v>1.4393000000000001E-4</v>
      </c>
      <c r="K1031" s="9">
        <v>1.6954000000000001E-4</v>
      </c>
      <c r="L1031" s="9">
        <v>2.0660000000000001E-4</v>
      </c>
      <c r="M1031" s="9">
        <v>1.5894999999999999E-4</v>
      </c>
      <c r="N1031" s="9">
        <v>1.2967999999999999E-4</v>
      </c>
      <c r="O1031" s="9">
        <v>1.6406999999999999E-4</v>
      </c>
      <c r="P1031" s="9">
        <v>1.3392999999999999E-4</v>
      </c>
      <c r="Q1031" s="9">
        <v>1.063E-4</v>
      </c>
      <c r="R1031" s="10">
        <v>1.1027346390231558E-5</v>
      </c>
      <c r="S1031" s="10">
        <v>2.7213782474527031E-5</v>
      </c>
      <c r="T1031" s="10">
        <v>0</v>
      </c>
      <c r="U1031" s="10">
        <v>1.8771E-4</v>
      </c>
      <c r="V1031" s="25"/>
      <c r="W1031" s="25"/>
      <c r="X1031" s="25"/>
      <c r="Y1031" s="25"/>
      <c r="Z1031" s="25"/>
      <c r="AA1031" s="25"/>
    </row>
    <row r="1032" spans="1:27" x14ac:dyDescent="0.35">
      <c r="A1032" s="5">
        <v>1028</v>
      </c>
      <c r="B1032" s="5">
        <v>43</v>
      </c>
      <c r="C1032" s="5">
        <v>2</v>
      </c>
      <c r="D1032" s="25">
        <v>1.1415000000000001E-4</v>
      </c>
      <c r="E1032" s="25">
        <v>1.1983E-4</v>
      </c>
      <c r="F1032" s="25">
        <v>1.1352E-4</v>
      </c>
      <c r="G1032" s="25">
        <v>1.0574E-4</v>
      </c>
      <c r="H1032" s="25">
        <v>1.2744000000000001E-4</v>
      </c>
      <c r="I1032" s="9">
        <v>1.3638999999999999E-4</v>
      </c>
      <c r="J1032" s="9">
        <v>1.3983999999999999E-4</v>
      </c>
      <c r="K1032" s="9">
        <v>1.8861999999999999E-4</v>
      </c>
      <c r="L1032" s="9">
        <v>1.7359999999999999E-4</v>
      </c>
      <c r="M1032" s="9">
        <v>1.5004999999999999E-4</v>
      </c>
      <c r="N1032" s="9">
        <v>1.2048E-4</v>
      </c>
      <c r="O1032" s="9">
        <v>1.2878E-4</v>
      </c>
      <c r="P1032" s="9">
        <v>1.1422E-4</v>
      </c>
      <c r="Q1032" s="9">
        <v>1.0132E-4</v>
      </c>
      <c r="R1032" s="10">
        <v>1.7348909645033947E-5</v>
      </c>
      <c r="S1032" s="10">
        <v>3.2166955411914747E-5</v>
      </c>
      <c r="T1032" s="10">
        <v>0</v>
      </c>
      <c r="U1032" s="10">
        <v>1.8771E-4</v>
      </c>
      <c r="V1032" s="25"/>
      <c r="W1032" s="25"/>
      <c r="X1032" s="25"/>
      <c r="Y1032" s="25"/>
      <c r="Z1032" s="25"/>
      <c r="AA1032" s="25"/>
    </row>
    <row r="1033" spans="1:27" x14ac:dyDescent="0.35">
      <c r="A1033" s="5">
        <v>1029</v>
      </c>
      <c r="B1033" s="5">
        <v>43</v>
      </c>
      <c r="C1033" s="5">
        <v>2</v>
      </c>
      <c r="D1033" s="25">
        <v>1.1416E-4</v>
      </c>
      <c r="E1033" s="25">
        <v>1.2099000000000001E-4</v>
      </c>
      <c r="F1033" s="25">
        <v>9.2369999999999998E-5</v>
      </c>
      <c r="G1033" s="25">
        <v>5.9630000000000003E-5</v>
      </c>
      <c r="H1033" s="25">
        <v>7.4270000000000006E-5</v>
      </c>
      <c r="I1033" s="9">
        <v>1.3108999999999999E-4</v>
      </c>
      <c r="J1033" s="9">
        <v>1.3338E-4</v>
      </c>
      <c r="K1033" s="9">
        <v>2.1405E-4</v>
      </c>
      <c r="L1033" s="9">
        <v>1.3965000000000001E-4</v>
      </c>
      <c r="M1033" s="9">
        <v>1.3465999999999999E-4</v>
      </c>
      <c r="N1033" s="9">
        <v>1.1277000000000001E-4</v>
      </c>
      <c r="O1033" s="9">
        <v>8.5160000000000005E-5</v>
      </c>
      <c r="P1033" s="9">
        <v>8.6500000000000002E-5</v>
      </c>
      <c r="Q1033" s="9">
        <v>8.8499999999999996E-5</v>
      </c>
      <c r="R1033" s="10">
        <v>2.5942206596941567E-5</v>
      </c>
      <c r="S1033" s="10">
        <v>3.825495881777211E-5</v>
      </c>
      <c r="T1033" s="10">
        <v>0</v>
      </c>
      <c r="U1033" s="10">
        <v>1.8771E-4</v>
      </c>
      <c r="V1033" s="25"/>
      <c r="W1033" s="25"/>
      <c r="X1033" s="25"/>
      <c r="Y1033" s="25"/>
      <c r="Z1033" s="25"/>
      <c r="AA1033" s="25"/>
    </row>
    <row r="1034" spans="1:27" x14ac:dyDescent="0.35">
      <c r="A1034" s="5">
        <v>1030</v>
      </c>
      <c r="B1034" s="5">
        <v>43</v>
      </c>
      <c r="C1034" s="5">
        <v>2</v>
      </c>
      <c r="D1034" s="25">
        <v>1.1415000000000001E-4</v>
      </c>
      <c r="E1034" s="25">
        <v>1.2081E-4</v>
      </c>
      <c r="F1034" s="25">
        <v>1.0356E-4</v>
      </c>
      <c r="G1034" s="25">
        <v>6.2020000000000006E-5</v>
      </c>
      <c r="H1034" s="25">
        <v>6.6270000000000001E-5</v>
      </c>
      <c r="I1034" s="9">
        <v>1.2551000000000001E-4</v>
      </c>
      <c r="J1034" s="9">
        <v>1.2480999999999999E-4</v>
      </c>
      <c r="K1034" s="9">
        <v>2.1193000000000001E-4</v>
      </c>
      <c r="L1034" s="9">
        <v>9.8070000000000001E-5</v>
      </c>
      <c r="M1034" s="9">
        <v>1.1336999999999999E-4</v>
      </c>
      <c r="N1034" s="9">
        <v>1.0527999999999999E-4</v>
      </c>
      <c r="O1034" s="9">
        <v>8.8200000000000003E-5</v>
      </c>
      <c r="P1034" s="9">
        <v>8.8129999999999998E-5</v>
      </c>
      <c r="Q1034" s="9">
        <v>8.878E-5</v>
      </c>
      <c r="R1034" s="10">
        <v>3.6963084662210217E-5</v>
      </c>
      <c r="S1034" s="10">
        <v>4.5872494568742971E-5</v>
      </c>
      <c r="T1034" s="10">
        <v>0</v>
      </c>
      <c r="U1034" s="10">
        <v>1.8771E-4</v>
      </c>
      <c r="V1034" s="25"/>
      <c r="W1034" s="25"/>
      <c r="X1034" s="25"/>
      <c r="Y1034" s="25"/>
      <c r="Z1034" s="25"/>
      <c r="AA1034" s="25"/>
    </row>
    <row r="1035" spans="1:27" x14ac:dyDescent="0.35">
      <c r="A1035" s="5">
        <v>1031</v>
      </c>
      <c r="B1035" s="5">
        <v>43</v>
      </c>
      <c r="C1035" s="5">
        <v>2</v>
      </c>
      <c r="D1035" s="25">
        <v>1.1416E-4</v>
      </c>
      <c r="E1035" s="25">
        <v>1.2015000000000001E-4</v>
      </c>
      <c r="F1035" s="25">
        <v>9.4370000000000006E-5</v>
      </c>
      <c r="G1035" s="25">
        <v>5.2689999999999999E-5</v>
      </c>
      <c r="H1035" s="25">
        <v>6.4939999999999998E-5</v>
      </c>
      <c r="I1035" s="9">
        <v>1.2803000000000001E-4</v>
      </c>
      <c r="J1035" s="9">
        <v>1.1688000000000001E-4</v>
      </c>
      <c r="K1035" s="9">
        <v>2.1193000000000001E-4</v>
      </c>
      <c r="L1035" s="9">
        <v>9.1290000000000002E-5</v>
      </c>
      <c r="M1035" s="9">
        <v>9.9069999999999998E-5</v>
      </c>
      <c r="N1035" s="9">
        <v>9.9690000000000003E-5</v>
      </c>
      <c r="O1035" s="9">
        <v>7.8570000000000002E-5</v>
      </c>
      <c r="P1035" s="9">
        <v>7.2630000000000001E-5</v>
      </c>
      <c r="Q1035" s="9">
        <v>6.7340000000000002E-5</v>
      </c>
      <c r="R1035" s="10">
        <v>4.7979419553345491E-5</v>
      </c>
      <c r="S1035" s="10">
        <v>5.6682058607520228E-5</v>
      </c>
      <c r="T1035" s="10">
        <v>0</v>
      </c>
      <c r="U1035" s="10">
        <v>1.8771E-4</v>
      </c>
      <c r="V1035" s="25"/>
      <c r="W1035" s="25"/>
      <c r="X1035" s="25"/>
      <c r="Y1035" s="25"/>
      <c r="Z1035" s="25"/>
      <c r="AA1035" s="25"/>
    </row>
    <row r="1036" spans="1:27" x14ac:dyDescent="0.35">
      <c r="A1036" s="5">
        <v>1032</v>
      </c>
      <c r="B1036" s="5">
        <v>43</v>
      </c>
      <c r="C1036" s="5">
        <v>2</v>
      </c>
      <c r="D1036" s="25">
        <v>1.1415000000000001E-4</v>
      </c>
      <c r="E1036" s="25">
        <v>1.1731E-4</v>
      </c>
      <c r="F1036" s="25">
        <v>9.5039999999999998E-5</v>
      </c>
      <c r="G1036" s="25">
        <v>5.2339999999999997E-5</v>
      </c>
      <c r="H1036" s="25">
        <v>6.4620000000000001E-5</v>
      </c>
      <c r="I1036" s="9">
        <v>1.2939000000000001E-4</v>
      </c>
      <c r="J1036" s="9">
        <v>1.1084E-4</v>
      </c>
      <c r="K1036" s="9">
        <v>2.0981E-4</v>
      </c>
      <c r="L1036" s="9">
        <v>8.1349999999999999E-5</v>
      </c>
      <c r="M1036" s="9">
        <v>8.6420000000000003E-5</v>
      </c>
      <c r="N1036" s="9">
        <v>9.0589999999999998E-5</v>
      </c>
      <c r="O1036" s="9">
        <v>6.2329999999999994E-5</v>
      </c>
      <c r="P1036" s="9">
        <v>6.02E-5</v>
      </c>
      <c r="Q1036" s="9">
        <v>5.8400000000000003E-5</v>
      </c>
      <c r="R1036" s="10">
        <v>5.2241126282078222E-5</v>
      </c>
      <c r="S1036" s="10">
        <v>7.6623761079060019E-5</v>
      </c>
      <c r="T1036" s="10">
        <v>0</v>
      </c>
      <c r="U1036" s="10">
        <v>1.8771E-4</v>
      </c>
      <c r="V1036" s="25"/>
      <c r="W1036" s="25"/>
      <c r="X1036" s="25"/>
      <c r="Y1036" s="25"/>
      <c r="Z1036" s="25"/>
      <c r="AA1036" s="25"/>
    </row>
    <row r="1037" spans="1:27" x14ac:dyDescent="0.35">
      <c r="A1037" s="5">
        <v>1033</v>
      </c>
      <c r="B1037" s="5">
        <v>44</v>
      </c>
      <c r="C1037" s="5">
        <v>2</v>
      </c>
      <c r="D1037" s="25">
        <v>1.1416E-4</v>
      </c>
      <c r="E1037" s="25">
        <v>1.2369E-4</v>
      </c>
      <c r="F1037" s="25">
        <v>1.0522E-4</v>
      </c>
      <c r="G1037" s="25">
        <v>6.2059999999999999E-5</v>
      </c>
      <c r="H1037" s="25">
        <v>7.5879999999999999E-5</v>
      </c>
      <c r="I1037" s="9">
        <v>1.2342000000000001E-4</v>
      </c>
      <c r="J1037" s="9">
        <v>1.0488E-4</v>
      </c>
      <c r="K1037" s="9">
        <v>2.1193000000000001E-4</v>
      </c>
      <c r="L1037" s="9">
        <v>6.6509999999999998E-5</v>
      </c>
      <c r="M1037" s="9">
        <v>7.4070000000000001E-5</v>
      </c>
      <c r="N1037" s="9">
        <v>8.1149999999999994E-5</v>
      </c>
      <c r="O1037" s="9">
        <v>5.4299999999999998E-5</v>
      </c>
      <c r="P1037" s="9">
        <v>5.3720000000000001E-5</v>
      </c>
      <c r="Q1037" s="9">
        <v>5.3300000000000001E-5</v>
      </c>
      <c r="R1037" s="10">
        <v>5.8190782701950538E-5</v>
      </c>
      <c r="S1037" s="10">
        <v>8.9494526405505415E-5</v>
      </c>
      <c r="T1037" s="10">
        <v>0</v>
      </c>
      <c r="U1037" s="10">
        <v>1.8605999999999999E-4</v>
      </c>
      <c r="V1037" s="25"/>
      <c r="W1037" s="25"/>
      <c r="X1037" s="25"/>
      <c r="Y1037" s="25"/>
      <c r="Z1037" s="25"/>
      <c r="AA1037" s="25"/>
    </row>
    <row r="1038" spans="1:27" x14ac:dyDescent="0.35">
      <c r="A1038" s="5">
        <v>1034</v>
      </c>
      <c r="B1038" s="5">
        <v>44</v>
      </c>
      <c r="C1038" s="5">
        <v>2</v>
      </c>
      <c r="D1038" s="25">
        <v>1.1415000000000001E-4</v>
      </c>
      <c r="E1038" s="25">
        <v>1.1291E-4</v>
      </c>
      <c r="F1038" s="25">
        <v>1.1620000000000001E-4</v>
      </c>
      <c r="G1038" s="25">
        <v>6.3499999999999999E-5</v>
      </c>
      <c r="H1038" s="25">
        <v>6.7899999999999997E-5</v>
      </c>
      <c r="I1038" s="9">
        <v>1.1632E-4</v>
      </c>
      <c r="J1038" s="9">
        <v>1.0008E-4</v>
      </c>
      <c r="K1038" s="9">
        <v>2.0345000000000001E-4</v>
      </c>
      <c r="L1038" s="9">
        <v>5.7399999999999999E-5</v>
      </c>
      <c r="M1038" s="9">
        <v>6.3789999999999997E-5</v>
      </c>
      <c r="N1038" s="9">
        <v>7.2050000000000003E-5</v>
      </c>
      <c r="O1038" s="9">
        <v>1.859E-5</v>
      </c>
      <c r="P1038" s="9">
        <v>3.7830000000000002E-5</v>
      </c>
      <c r="Q1038" s="9">
        <v>5.63E-5</v>
      </c>
      <c r="R1038" s="10">
        <v>6.8240693547999166E-5</v>
      </c>
      <c r="S1038" s="10">
        <v>1.0098574076070149E-4</v>
      </c>
      <c r="T1038" s="10">
        <v>0</v>
      </c>
      <c r="U1038" s="10">
        <v>1.8605999999999999E-4</v>
      </c>
      <c r="V1038" s="25"/>
      <c r="W1038" s="25"/>
      <c r="X1038" s="25"/>
      <c r="Y1038" s="25"/>
      <c r="Z1038" s="25"/>
      <c r="AA1038" s="25"/>
    </row>
    <row r="1039" spans="1:27" x14ac:dyDescent="0.35">
      <c r="A1039" s="5">
        <v>1035</v>
      </c>
      <c r="B1039" s="5">
        <v>44</v>
      </c>
      <c r="C1039" s="5">
        <v>2</v>
      </c>
      <c r="D1039" s="25">
        <v>1.1416E-4</v>
      </c>
      <c r="E1039" s="25">
        <v>1.2228E-4</v>
      </c>
      <c r="F1039" s="25">
        <v>1.1043E-4</v>
      </c>
      <c r="G1039" s="25">
        <v>6.2030000000000001E-5</v>
      </c>
      <c r="H1039" s="25">
        <v>7.4779999999999999E-5</v>
      </c>
      <c r="I1039" s="9">
        <v>1.1034E-4</v>
      </c>
      <c r="J1039" s="9">
        <v>9.6730000000000004E-5</v>
      </c>
      <c r="K1039" s="9">
        <v>2.0345000000000001E-4</v>
      </c>
      <c r="L1039" s="9">
        <v>2.7330000000000001E-5</v>
      </c>
      <c r="M1039" s="9">
        <v>5.2099999999999999E-5</v>
      </c>
      <c r="N1039" s="9">
        <v>6.5519999999999996E-5</v>
      </c>
      <c r="O1039" s="9">
        <v>1.313E-5</v>
      </c>
      <c r="P1039" s="9">
        <v>3.8080000000000001E-5</v>
      </c>
      <c r="Q1039" s="9">
        <v>6.2069999999999994E-5</v>
      </c>
      <c r="R1039" s="10">
        <v>7.7202308852053359E-5</v>
      </c>
      <c r="S1039" s="10">
        <v>1.0620370958897341E-4</v>
      </c>
      <c r="T1039" s="10">
        <v>0</v>
      </c>
      <c r="U1039" s="10">
        <v>1.8605999999999999E-4</v>
      </c>
      <c r="V1039" s="25"/>
      <c r="W1039" s="25"/>
      <c r="X1039" s="25"/>
      <c r="Y1039" s="25"/>
      <c r="Z1039" s="25"/>
      <c r="AA1039" s="25"/>
    </row>
    <row r="1040" spans="1:27" x14ac:dyDescent="0.35">
      <c r="A1040" s="5">
        <v>1036</v>
      </c>
      <c r="B1040" s="5">
        <v>44</v>
      </c>
      <c r="C1040" s="5">
        <v>2</v>
      </c>
      <c r="D1040" s="25">
        <v>1.1415000000000001E-4</v>
      </c>
      <c r="E1040" s="25">
        <v>1.1736E-4</v>
      </c>
      <c r="F1040" s="25">
        <v>1.082E-4</v>
      </c>
      <c r="G1040" s="25">
        <v>6.1240000000000003E-5</v>
      </c>
      <c r="H1040" s="25">
        <v>6.9720000000000003E-5</v>
      </c>
      <c r="I1040" s="9">
        <v>1.0789E-4</v>
      </c>
      <c r="J1040" s="9">
        <v>9.5290000000000004E-5</v>
      </c>
      <c r="K1040" s="9">
        <v>2.0981999999999999E-4</v>
      </c>
      <c r="L1040" s="9">
        <v>1.6990000000000002E-5</v>
      </c>
      <c r="M1040" s="9">
        <v>4.4280000000000003E-5</v>
      </c>
      <c r="N1040" s="9">
        <v>6.2030000000000001E-5</v>
      </c>
      <c r="O1040" s="9">
        <v>1.306E-5</v>
      </c>
      <c r="P1040" s="9">
        <v>4.7349999999999999E-5</v>
      </c>
      <c r="Q1040" s="9">
        <v>8.0530000000000003E-5</v>
      </c>
      <c r="R1040" s="10">
        <v>8.3209522505855703E-5</v>
      </c>
      <c r="S1040" s="10">
        <v>1.0661354526473032E-4</v>
      </c>
      <c r="T1040" s="10">
        <v>0</v>
      </c>
      <c r="U1040" s="10">
        <v>1.8605999999999999E-4</v>
      </c>
      <c r="V1040" s="25"/>
      <c r="W1040" s="25"/>
      <c r="X1040" s="25"/>
      <c r="Y1040" s="25"/>
      <c r="Z1040" s="25"/>
      <c r="AA1040" s="25"/>
    </row>
    <row r="1041" spans="1:27" x14ac:dyDescent="0.35">
      <c r="A1041" s="5">
        <v>1037</v>
      </c>
      <c r="B1041" s="5">
        <v>44</v>
      </c>
      <c r="C1041" s="5">
        <v>2</v>
      </c>
      <c r="D1041" s="25">
        <v>1.1416E-4</v>
      </c>
      <c r="E1041" s="25">
        <v>1.1451999999999999E-4</v>
      </c>
      <c r="F1041" s="25">
        <v>1.0534E-4</v>
      </c>
      <c r="G1041" s="25">
        <v>5.7389999999999998E-5</v>
      </c>
      <c r="H1041" s="25">
        <v>6.7319999999999999E-5</v>
      </c>
      <c r="I1041" s="9">
        <v>1.0562E-4</v>
      </c>
      <c r="J1041" s="9">
        <v>9.5149999999999995E-5</v>
      </c>
      <c r="K1041" s="9">
        <v>2.4373E-4</v>
      </c>
      <c r="L1041" s="9">
        <v>1.417E-5</v>
      </c>
      <c r="M1041" s="9">
        <v>4.3630000000000001E-5</v>
      </c>
      <c r="N1041" s="9">
        <v>6.457E-5</v>
      </c>
      <c r="O1041" s="9">
        <v>1.84E-5</v>
      </c>
      <c r="P1041" s="9">
        <v>5.6169999999999999E-5</v>
      </c>
      <c r="Q1041" s="9">
        <v>9.2880000000000005E-5</v>
      </c>
      <c r="R1041" s="10">
        <v>9.077805351331195E-5</v>
      </c>
      <c r="S1041" s="10">
        <v>1.1182465825918862E-4</v>
      </c>
      <c r="T1041" s="10">
        <v>0</v>
      </c>
      <c r="U1041" s="10">
        <v>1.8605999999999999E-4</v>
      </c>
      <c r="V1041" s="25"/>
      <c r="W1041" s="25"/>
      <c r="X1041" s="25"/>
      <c r="Y1041" s="25"/>
      <c r="Z1041" s="25"/>
      <c r="AA1041" s="25"/>
    </row>
    <row r="1042" spans="1:27" x14ac:dyDescent="0.35">
      <c r="A1042" s="5">
        <v>1038</v>
      </c>
      <c r="B1042" s="5">
        <v>44</v>
      </c>
      <c r="C1042" s="5">
        <v>2</v>
      </c>
      <c r="D1042" s="25">
        <v>1.1415000000000001E-4</v>
      </c>
      <c r="E1042" s="25">
        <v>1.1451999999999999E-4</v>
      </c>
      <c r="F1042" s="25">
        <v>1.1472E-4</v>
      </c>
      <c r="G1042" s="25">
        <v>1.0815999999999999E-4</v>
      </c>
      <c r="H1042" s="25">
        <v>1.3616999999999999E-4</v>
      </c>
      <c r="I1042" s="9">
        <v>1.0632E-4</v>
      </c>
      <c r="J1042" s="9">
        <v>9.6089999999999996E-5</v>
      </c>
      <c r="K1042" s="9">
        <v>2.4372E-4</v>
      </c>
      <c r="L1042" s="9">
        <v>1.734E-5</v>
      </c>
      <c r="M1042" s="9">
        <v>4.8319999999999998E-5</v>
      </c>
      <c r="N1042" s="9">
        <v>7.0950000000000003E-5</v>
      </c>
      <c r="O1042" s="9">
        <v>4.6230000000000003E-5</v>
      </c>
      <c r="P1042" s="9">
        <v>7.6879999999999996E-5</v>
      </c>
      <c r="Q1042" s="9">
        <v>1.0705E-4</v>
      </c>
      <c r="R1042" s="10">
        <v>9.1471325060927955E-5</v>
      </c>
      <c r="S1042" s="10">
        <v>1.1377628329550759E-4</v>
      </c>
      <c r="T1042" s="10">
        <v>0</v>
      </c>
      <c r="U1042" s="10">
        <v>1.8605999999999999E-4</v>
      </c>
      <c r="V1042" s="25"/>
      <c r="W1042" s="25"/>
      <c r="X1042" s="25"/>
      <c r="Y1042" s="25"/>
      <c r="Z1042" s="25"/>
      <c r="AA1042" s="25"/>
    </row>
    <row r="1043" spans="1:27" x14ac:dyDescent="0.35">
      <c r="A1043" s="5">
        <v>1039</v>
      </c>
      <c r="B1043" s="5">
        <v>44</v>
      </c>
      <c r="C1043" s="5">
        <v>2</v>
      </c>
      <c r="D1043" s="25">
        <v>1.1416E-4</v>
      </c>
      <c r="E1043" s="25">
        <v>1.214E-4</v>
      </c>
      <c r="F1043" s="25">
        <v>1.1139E-4</v>
      </c>
      <c r="G1043" s="25">
        <v>1.0539000000000001E-4</v>
      </c>
      <c r="H1043" s="25">
        <v>1.3108E-4</v>
      </c>
      <c r="I1043" s="9">
        <v>1.0868E-4</v>
      </c>
      <c r="J1043" s="9">
        <v>1.0056E-4</v>
      </c>
      <c r="K1043" s="9">
        <v>2.3311999999999999E-4</v>
      </c>
      <c r="L1043" s="9">
        <v>3.9740000000000002E-5</v>
      </c>
      <c r="M1043" s="9">
        <v>5.9929999999999997E-5</v>
      </c>
      <c r="N1043" s="9">
        <v>8.0669999999999998E-5</v>
      </c>
      <c r="O1043" s="9">
        <v>1.2301E-4</v>
      </c>
      <c r="P1043" s="9">
        <v>1.1667000000000001E-4</v>
      </c>
      <c r="Q1043" s="9">
        <v>1.1176E-4</v>
      </c>
      <c r="R1043" s="10">
        <v>9.2955882497115661E-5</v>
      </c>
      <c r="S1043" s="10">
        <v>1.1437300445222355E-4</v>
      </c>
      <c r="T1043" s="10">
        <v>0</v>
      </c>
      <c r="U1043" s="10">
        <v>1.8605999999999999E-4</v>
      </c>
      <c r="V1043" s="25"/>
      <c r="W1043" s="25"/>
      <c r="X1043" s="25"/>
      <c r="Y1043" s="25"/>
      <c r="Z1043" s="25"/>
      <c r="AA1043" s="25"/>
    </row>
    <row r="1044" spans="1:27" x14ac:dyDescent="0.35">
      <c r="A1044" s="5">
        <v>1040</v>
      </c>
      <c r="B1044" s="5">
        <v>44</v>
      </c>
      <c r="C1044" s="5">
        <v>2</v>
      </c>
      <c r="D1044" s="25">
        <v>1.1415000000000001E-4</v>
      </c>
      <c r="E1044" s="25">
        <v>1.2055E-4</v>
      </c>
      <c r="F1044" s="25">
        <v>1.1393E-4</v>
      </c>
      <c r="G1044" s="25">
        <v>1.6358E-4</v>
      </c>
      <c r="H1044" s="25">
        <v>1.9707000000000001E-4</v>
      </c>
      <c r="I1044" s="9">
        <v>1.1123E-4</v>
      </c>
      <c r="J1044" s="9">
        <v>1.0791E-4</v>
      </c>
      <c r="K1044" s="9">
        <v>2.7763000000000001E-4</v>
      </c>
      <c r="L1044" s="9">
        <v>1.0407E-4</v>
      </c>
      <c r="M1044" s="9">
        <v>8.3350000000000007E-5</v>
      </c>
      <c r="N1044" s="9">
        <v>9.0610000000000002E-5</v>
      </c>
      <c r="O1044" s="9">
        <v>2.2144999999999999E-4</v>
      </c>
      <c r="P1044" s="9">
        <v>1.7738000000000001E-4</v>
      </c>
      <c r="Q1044" s="9">
        <v>1.3703000000000001E-4</v>
      </c>
      <c r="R1044" s="10">
        <v>9.548203601316854E-5</v>
      </c>
      <c r="S1044" s="10">
        <v>1.0995701586853204E-4</v>
      </c>
      <c r="T1044" s="10">
        <v>0</v>
      </c>
      <c r="U1044" s="10">
        <v>1.8605999999999999E-4</v>
      </c>
      <c r="V1044" s="25"/>
      <c r="W1044" s="25"/>
      <c r="X1044" s="25"/>
      <c r="Y1044" s="25"/>
      <c r="Z1044" s="25"/>
      <c r="AA1044" s="25"/>
    </row>
    <row r="1045" spans="1:27" x14ac:dyDescent="0.35">
      <c r="A1045" s="5">
        <v>1041</v>
      </c>
      <c r="B1045" s="5">
        <v>44</v>
      </c>
      <c r="C1045" s="5">
        <v>2</v>
      </c>
      <c r="D1045" s="25">
        <v>1.1416E-4</v>
      </c>
      <c r="E1045" s="25">
        <v>1.1341999999999999E-4</v>
      </c>
      <c r="F1045" s="25">
        <v>1.0832000000000001E-4</v>
      </c>
      <c r="G1045" s="25">
        <v>1.6421E-4</v>
      </c>
      <c r="H1045" s="25">
        <v>1.9278000000000001E-4</v>
      </c>
      <c r="I1045" s="9">
        <v>1.1692E-4</v>
      </c>
      <c r="J1045" s="9">
        <v>1.149E-4</v>
      </c>
      <c r="K1045" s="9">
        <v>2.8399000000000002E-4</v>
      </c>
      <c r="L1045" s="9">
        <v>1.9385999999999999E-4</v>
      </c>
      <c r="M1045" s="9">
        <v>1.2326000000000001E-4</v>
      </c>
      <c r="N1045" s="9">
        <v>1.0443E-4</v>
      </c>
      <c r="O1045" s="9">
        <v>2.1062000000000001E-4</v>
      </c>
      <c r="P1045" s="9">
        <v>1.9136000000000001E-4</v>
      </c>
      <c r="Q1045" s="9">
        <v>1.7525E-4</v>
      </c>
      <c r="R1045" s="10">
        <v>1.0486566442268823E-4</v>
      </c>
      <c r="S1045" s="10">
        <v>1.0672860272880014E-4</v>
      </c>
      <c r="T1045" s="10">
        <v>6.4752172640287692E-5</v>
      </c>
      <c r="U1045" s="10">
        <v>1.8605999999999999E-4</v>
      </c>
      <c r="V1045" s="25"/>
      <c r="W1045" s="25"/>
      <c r="X1045" s="25"/>
      <c r="Y1045" s="25"/>
      <c r="Z1045" s="25"/>
      <c r="AA1045" s="25"/>
    </row>
    <row r="1046" spans="1:27" x14ac:dyDescent="0.35">
      <c r="A1046" s="5">
        <v>1042</v>
      </c>
      <c r="B1046" s="5">
        <v>44</v>
      </c>
      <c r="C1046" s="5">
        <v>2</v>
      </c>
      <c r="D1046" s="25">
        <v>1.1415000000000001E-4</v>
      </c>
      <c r="E1046" s="25">
        <v>1.1375E-4</v>
      </c>
      <c r="F1046" s="25">
        <v>1.0938E-4</v>
      </c>
      <c r="G1046" s="25">
        <v>1.6556000000000001E-4</v>
      </c>
      <c r="H1046" s="25">
        <v>1.9419000000000001E-4</v>
      </c>
      <c r="I1046" s="9">
        <v>1.2422E-4</v>
      </c>
      <c r="J1046" s="9">
        <v>1.2256999999999999E-4</v>
      </c>
      <c r="K1046" s="9">
        <v>2.9034999999999998E-4</v>
      </c>
      <c r="L1046" s="9">
        <v>2.0457E-4</v>
      </c>
      <c r="M1046" s="9">
        <v>1.5789999999999999E-4</v>
      </c>
      <c r="N1046" s="9">
        <v>1.2409000000000001E-4</v>
      </c>
      <c r="O1046" s="9">
        <v>1.6861999999999999E-4</v>
      </c>
      <c r="P1046" s="9">
        <v>1.7462000000000001E-4</v>
      </c>
      <c r="Q1046" s="9">
        <v>1.8264999999999999E-4</v>
      </c>
      <c r="R1046" s="10">
        <v>1.2114501350294737E-4</v>
      </c>
      <c r="S1046" s="10">
        <v>1.1718074657168522E-4</v>
      </c>
      <c r="T1046" s="10">
        <v>4.3091756399373844E-4</v>
      </c>
      <c r="U1046" s="10">
        <v>1.8605999999999999E-4</v>
      </c>
      <c r="V1046" s="25"/>
      <c r="W1046" s="25"/>
      <c r="X1046" s="25"/>
      <c r="Y1046" s="25"/>
      <c r="Z1046" s="25"/>
      <c r="AA1046" s="25"/>
    </row>
    <row r="1047" spans="1:27" x14ac:dyDescent="0.35">
      <c r="A1047" s="5">
        <v>1043</v>
      </c>
      <c r="B1047" s="5">
        <v>44</v>
      </c>
      <c r="C1047" s="5">
        <v>2</v>
      </c>
      <c r="D1047" s="25">
        <v>1.1416E-4</v>
      </c>
      <c r="E1047" s="25">
        <v>1.2282999999999999E-4</v>
      </c>
      <c r="F1047" s="25">
        <v>9.9090000000000002E-5</v>
      </c>
      <c r="G1047" s="25">
        <v>1.6095000000000001E-4</v>
      </c>
      <c r="H1047" s="25">
        <v>1.9131000000000001E-4</v>
      </c>
      <c r="I1047" s="9">
        <v>1.2795999999999999E-4</v>
      </c>
      <c r="J1047" s="9">
        <v>1.2543999999999999E-4</v>
      </c>
      <c r="K1047" s="9">
        <v>2.5856000000000002E-4</v>
      </c>
      <c r="L1047" s="9">
        <v>1.7665000000000001E-4</v>
      </c>
      <c r="M1047" s="9">
        <v>1.7191999999999999E-4</v>
      </c>
      <c r="N1047" s="9">
        <v>1.4236000000000001E-4</v>
      </c>
      <c r="O1047" s="9">
        <v>1.6967999999999999E-4</v>
      </c>
      <c r="P1047" s="9">
        <v>1.7436E-4</v>
      </c>
      <c r="Q1047" s="9">
        <v>1.8110000000000001E-4</v>
      </c>
      <c r="R1047" s="10">
        <v>1.3638381722772802E-4</v>
      </c>
      <c r="S1047" s="10">
        <v>1.3503568885985881E-4</v>
      </c>
      <c r="T1047" s="10">
        <v>5.3028567798260758E-4</v>
      </c>
      <c r="U1047" s="10">
        <v>1.8605999999999999E-4</v>
      </c>
      <c r="V1047" s="25"/>
      <c r="W1047" s="25"/>
      <c r="X1047" s="25"/>
      <c r="Y1047" s="25"/>
      <c r="Z1047" s="25"/>
      <c r="AA1047" s="25"/>
    </row>
    <row r="1048" spans="1:27" x14ac:dyDescent="0.35">
      <c r="A1048" s="5">
        <v>1044</v>
      </c>
      <c r="B1048" s="5">
        <v>44</v>
      </c>
      <c r="C1048" s="5">
        <v>2</v>
      </c>
      <c r="D1048" s="25">
        <v>1.1415000000000001E-4</v>
      </c>
      <c r="E1048" s="25">
        <v>1.2282999999999999E-4</v>
      </c>
      <c r="F1048" s="25">
        <v>9.925E-5</v>
      </c>
      <c r="G1048" s="25">
        <v>1.6761E-4</v>
      </c>
      <c r="H1048" s="25">
        <v>2.0180999999999999E-4</v>
      </c>
      <c r="I1048" s="9">
        <v>1.3114999999999999E-4</v>
      </c>
      <c r="J1048" s="9">
        <v>1.2585E-4</v>
      </c>
      <c r="K1048" s="9">
        <v>2.6915000000000001E-4</v>
      </c>
      <c r="L1048" s="9">
        <v>1.7259999999999999E-4</v>
      </c>
      <c r="M1048" s="9">
        <v>1.7521E-4</v>
      </c>
      <c r="N1048" s="9">
        <v>1.5684999999999999E-4</v>
      </c>
      <c r="O1048" s="9">
        <v>1.7081999999999999E-4</v>
      </c>
      <c r="P1048" s="9">
        <v>1.7134E-4</v>
      </c>
      <c r="Q1048" s="9">
        <v>1.7401E-4</v>
      </c>
      <c r="R1048" s="10">
        <v>1.0017141860353244E-4</v>
      </c>
      <c r="S1048" s="10">
        <v>1.6222748269206175E-4</v>
      </c>
      <c r="T1048" s="10">
        <v>6.2244213752385555E-4</v>
      </c>
      <c r="U1048" s="10">
        <v>1.8605999999999999E-4</v>
      </c>
      <c r="V1048" s="25"/>
      <c r="W1048" s="25"/>
      <c r="X1048" s="25"/>
      <c r="Y1048" s="25"/>
      <c r="Z1048" s="25"/>
      <c r="AA1048" s="25"/>
    </row>
    <row r="1049" spans="1:27" x14ac:dyDescent="0.35">
      <c r="A1049" s="5">
        <v>1045</v>
      </c>
      <c r="B1049" s="5">
        <v>44</v>
      </c>
      <c r="C1049" s="5">
        <v>2</v>
      </c>
      <c r="D1049" s="25">
        <v>1.1416E-4</v>
      </c>
      <c r="E1049" s="25">
        <v>1.2354E-4</v>
      </c>
      <c r="F1049" s="25">
        <v>1.1704E-4</v>
      </c>
      <c r="G1049" s="25">
        <v>1.6367000000000001E-4</v>
      </c>
      <c r="H1049" s="25">
        <v>2.0138E-4</v>
      </c>
      <c r="I1049" s="9">
        <v>1.3069000000000001E-4</v>
      </c>
      <c r="J1049" s="9">
        <v>1.2490999999999999E-4</v>
      </c>
      <c r="K1049" s="9">
        <v>2.3524E-4</v>
      </c>
      <c r="L1049" s="9">
        <v>1.7133E-4</v>
      </c>
      <c r="M1049" s="9">
        <v>1.7420000000000001E-4</v>
      </c>
      <c r="N1049" s="9">
        <v>1.6634000000000001E-4</v>
      </c>
      <c r="O1049" s="9">
        <v>1.6189000000000001E-4</v>
      </c>
      <c r="P1049" s="9">
        <v>1.6328999999999999E-4</v>
      </c>
      <c r="Q1049" s="9">
        <v>1.6667E-4</v>
      </c>
      <c r="R1049" s="10">
        <v>1.072677982416613E-4</v>
      </c>
      <c r="S1049" s="10">
        <v>1.7727854570562113E-4</v>
      </c>
      <c r="T1049" s="10">
        <v>6.5083908744878254E-4</v>
      </c>
      <c r="U1049" s="10">
        <v>1.8605999999999999E-4</v>
      </c>
      <c r="V1049" s="25"/>
      <c r="W1049" s="25"/>
      <c r="X1049" s="25"/>
      <c r="Y1049" s="25"/>
      <c r="Z1049" s="25"/>
      <c r="AA1049" s="25"/>
    </row>
    <row r="1050" spans="1:27" x14ac:dyDescent="0.35">
      <c r="A1050" s="5">
        <v>1046</v>
      </c>
      <c r="B1050" s="5">
        <v>44</v>
      </c>
      <c r="C1050" s="5">
        <v>2</v>
      </c>
      <c r="D1050" s="25">
        <v>1.1415000000000001E-4</v>
      </c>
      <c r="E1050" s="25">
        <v>1.2197E-4</v>
      </c>
      <c r="F1050" s="25">
        <v>1.0257E-4</v>
      </c>
      <c r="G1050" s="25">
        <v>1.5830999999999999E-4</v>
      </c>
      <c r="H1050" s="25">
        <v>1.9411999999999999E-4</v>
      </c>
      <c r="I1050" s="9">
        <v>1.2909999999999999E-4</v>
      </c>
      <c r="J1050" s="9">
        <v>1.2386E-4</v>
      </c>
      <c r="K1050" s="9">
        <v>2.522E-4</v>
      </c>
      <c r="L1050" s="9">
        <v>1.6375E-4</v>
      </c>
      <c r="M1050" s="9">
        <v>1.6993999999999999E-4</v>
      </c>
      <c r="N1050" s="9">
        <v>1.7051999999999999E-4</v>
      </c>
      <c r="O1050" s="9">
        <v>1.7882E-4</v>
      </c>
      <c r="P1050" s="9">
        <v>1.6835E-4</v>
      </c>
      <c r="Q1050" s="9">
        <v>1.6034999999999999E-4</v>
      </c>
      <c r="R1050" s="10">
        <v>1.2273068885616109E-4</v>
      </c>
      <c r="S1050" s="10">
        <v>1.8272486784131017E-4</v>
      </c>
      <c r="T1050" s="10">
        <v>5.6730267604727935E-4</v>
      </c>
      <c r="U1050" s="10">
        <v>1.8605999999999999E-4</v>
      </c>
      <c r="V1050" s="25"/>
      <c r="W1050" s="25"/>
      <c r="X1050" s="25"/>
      <c r="Y1050" s="25"/>
      <c r="Z1050" s="25"/>
      <c r="AA1050" s="25"/>
    </row>
    <row r="1051" spans="1:27" x14ac:dyDescent="0.35">
      <c r="A1051" s="5">
        <v>1047</v>
      </c>
      <c r="B1051" s="5">
        <v>44</v>
      </c>
      <c r="C1051" s="5">
        <v>2</v>
      </c>
      <c r="D1051" s="25">
        <v>1.1416E-4</v>
      </c>
      <c r="E1051" s="25">
        <v>1.2019E-4</v>
      </c>
      <c r="F1051" s="25">
        <v>1.1480999999999999E-4</v>
      </c>
      <c r="G1051" s="25">
        <v>1.6437E-4</v>
      </c>
      <c r="H1051" s="25">
        <v>1.9395999999999999E-4</v>
      </c>
      <c r="I1051" s="9">
        <v>1.2509000000000001E-4</v>
      </c>
      <c r="J1051" s="9">
        <v>1.2331000000000001E-4</v>
      </c>
      <c r="K1051" s="9">
        <v>2.0769000000000001E-4</v>
      </c>
      <c r="L1051" s="9">
        <v>1.7569999999999999E-4</v>
      </c>
      <c r="M1051" s="9">
        <v>1.6814999999999999E-4</v>
      </c>
      <c r="N1051" s="9">
        <v>1.6998E-4</v>
      </c>
      <c r="O1051" s="9">
        <v>1.8594999999999999E-4</v>
      </c>
      <c r="P1051" s="9">
        <v>1.6846E-4</v>
      </c>
      <c r="Q1051" s="9">
        <v>1.5365999999999999E-4</v>
      </c>
      <c r="R1051" s="10">
        <v>1.3923234548363341E-4</v>
      </c>
      <c r="S1051" s="10">
        <v>1.8607018149881032E-4</v>
      </c>
      <c r="T1051" s="10">
        <v>4.6088410929844183E-4</v>
      </c>
      <c r="U1051" s="10">
        <v>1.8605999999999999E-4</v>
      </c>
      <c r="V1051" s="25"/>
      <c r="W1051" s="25"/>
      <c r="X1051" s="25"/>
      <c r="Y1051" s="25"/>
      <c r="Z1051" s="25"/>
      <c r="AA1051" s="25"/>
    </row>
    <row r="1052" spans="1:27" x14ac:dyDescent="0.35">
      <c r="A1052" s="5">
        <v>1048</v>
      </c>
      <c r="B1052" s="5">
        <v>44</v>
      </c>
      <c r="C1052" s="5">
        <v>2</v>
      </c>
      <c r="D1052" s="25">
        <v>1.1415000000000001E-4</v>
      </c>
      <c r="E1052" s="25">
        <v>1.1865E-4</v>
      </c>
      <c r="F1052" s="25">
        <v>1.1229E-4</v>
      </c>
      <c r="G1052" s="25">
        <v>1.5726E-4</v>
      </c>
      <c r="H1052" s="25">
        <v>1.9322E-4</v>
      </c>
      <c r="I1052" s="9">
        <v>1.2464999999999999E-4</v>
      </c>
      <c r="J1052" s="9">
        <v>1.2282999999999999E-4</v>
      </c>
      <c r="K1052" s="9">
        <v>2.3948E-4</v>
      </c>
      <c r="L1052" s="9">
        <v>1.8338E-4</v>
      </c>
      <c r="M1052" s="9">
        <v>1.6791000000000001E-4</v>
      </c>
      <c r="N1052" s="9">
        <v>1.6631E-4</v>
      </c>
      <c r="O1052" s="9">
        <v>1.9877E-4</v>
      </c>
      <c r="P1052" s="9">
        <v>1.5265E-4</v>
      </c>
      <c r="Q1052" s="9">
        <v>1.099E-4</v>
      </c>
      <c r="R1052" s="10">
        <v>1.5418502996634539E-4</v>
      </c>
      <c r="S1052" s="10">
        <v>1.8800100652456773E-4</v>
      </c>
      <c r="T1052" s="10">
        <v>2.8247626256364496E-4</v>
      </c>
      <c r="U1052" s="10">
        <v>1.8605999999999999E-4</v>
      </c>
      <c r="V1052" s="25"/>
      <c r="W1052" s="25"/>
      <c r="X1052" s="25"/>
      <c r="Y1052" s="25"/>
      <c r="Z1052" s="25"/>
      <c r="AA1052" s="25"/>
    </row>
    <row r="1053" spans="1:27" x14ac:dyDescent="0.35">
      <c r="A1053" s="5">
        <v>1049</v>
      </c>
      <c r="B1053" s="5">
        <v>44</v>
      </c>
      <c r="C1053" s="5">
        <v>2</v>
      </c>
      <c r="D1053" s="25">
        <v>1.1416E-4</v>
      </c>
      <c r="E1053" s="25">
        <v>1.2343E-4</v>
      </c>
      <c r="F1053" s="25">
        <v>1.0781E-4</v>
      </c>
      <c r="G1053" s="25">
        <v>1.5977E-4</v>
      </c>
      <c r="H1053" s="25">
        <v>2.0069E-4</v>
      </c>
      <c r="I1053" s="9">
        <v>1.2446000000000001E-4</v>
      </c>
      <c r="J1053" s="9">
        <v>1.2402999999999999E-4</v>
      </c>
      <c r="K1053" s="9">
        <v>2.6068E-4</v>
      </c>
      <c r="L1053" s="9">
        <v>1.9510999999999999E-4</v>
      </c>
      <c r="M1053" s="9">
        <v>1.6248E-4</v>
      </c>
      <c r="N1053" s="9">
        <v>1.5255999999999999E-4</v>
      </c>
      <c r="O1053" s="9">
        <v>2.1406999999999999E-4</v>
      </c>
      <c r="P1053" s="9">
        <v>1.5843000000000001E-4</v>
      </c>
      <c r="Q1053" s="9">
        <v>1.0656E-4</v>
      </c>
      <c r="R1053" s="10">
        <v>1.8113077447416741E-4</v>
      </c>
      <c r="S1053" s="10">
        <v>1.8941035527596004E-4</v>
      </c>
      <c r="T1053" s="10">
        <v>7.3474032372234188E-5</v>
      </c>
      <c r="U1053" s="10">
        <v>1.8605999999999999E-4</v>
      </c>
      <c r="V1053" s="25"/>
      <c r="W1053" s="25"/>
      <c r="X1053" s="25"/>
      <c r="Y1053" s="25"/>
      <c r="Z1053" s="25"/>
      <c r="AA1053" s="25"/>
    </row>
    <row r="1054" spans="1:27" x14ac:dyDescent="0.35">
      <c r="A1054" s="5">
        <v>1050</v>
      </c>
      <c r="B1054" s="5">
        <v>44</v>
      </c>
      <c r="C1054" s="5">
        <v>2</v>
      </c>
      <c r="D1054" s="25">
        <v>1.1415000000000001E-4</v>
      </c>
      <c r="E1054" s="25">
        <v>1.1443E-4</v>
      </c>
      <c r="F1054" s="25">
        <v>1.0045E-4</v>
      </c>
      <c r="G1054" s="25">
        <v>1.6452E-4</v>
      </c>
      <c r="H1054" s="25">
        <v>1.9445000000000001E-4</v>
      </c>
      <c r="I1054" s="9">
        <v>1.2698000000000001E-4</v>
      </c>
      <c r="J1054" s="9">
        <v>1.2913000000000001E-4</v>
      </c>
      <c r="K1054" s="9">
        <v>2.5855000000000002E-4</v>
      </c>
      <c r="L1054" s="9">
        <v>2.0966999999999999E-4</v>
      </c>
      <c r="M1054" s="9">
        <v>1.595E-4</v>
      </c>
      <c r="N1054" s="9">
        <v>1.3908E-4</v>
      </c>
      <c r="O1054" s="9">
        <v>2.0709999999999999E-4</v>
      </c>
      <c r="P1054" s="9">
        <v>1.6076999999999999E-4</v>
      </c>
      <c r="Q1054" s="9">
        <v>1.1796E-4</v>
      </c>
      <c r="R1054" s="10">
        <v>2.007792319715434E-4</v>
      </c>
      <c r="S1054" s="10">
        <v>1.9009474712797418E-4</v>
      </c>
      <c r="T1054" s="10">
        <v>0</v>
      </c>
      <c r="U1054" s="10">
        <v>1.8605999999999999E-4</v>
      </c>
      <c r="V1054" s="25"/>
      <c r="W1054" s="25"/>
      <c r="X1054" s="25"/>
      <c r="Y1054" s="25"/>
      <c r="Z1054" s="25"/>
      <c r="AA1054" s="25"/>
    </row>
    <row r="1055" spans="1:27" x14ac:dyDescent="0.35">
      <c r="A1055" s="5">
        <v>1051</v>
      </c>
      <c r="B1055" s="5">
        <v>44</v>
      </c>
      <c r="C1055" s="5">
        <v>2</v>
      </c>
      <c r="D1055" s="25">
        <v>1.1416E-4</v>
      </c>
      <c r="E1055" s="25">
        <v>1.1449E-4</v>
      </c>
      <c r="F1055" s="25">
        <v>1.1283E-4</v>
      </c>
      <c r="G1055" s="25">
        <v>1.0412E-4</v>
      </c>
      <c r="H1055" s="25">
        <v>1.2679E-4</v>
      </c>
      <c r="I1055" s="9">
        <v>1.3273000000000001E-4</v>
      </c>
      <c r="J1055" s="9">
        <v>1.3353E-4</v>
      </c>
      <c r="K1055" s="9">
        <v>2.5642999999999998E-4</v>
      </c>
      <c r="L1055" s="9">
        <v>2.0730999999999999E-4</v>
      </c>
      <c r="M1055" s="9">
        <v>1.5932000000000001E-4</v>
      </c>
      <c r="N1055" s="9">
        <v>1.3007000000000001E-4</v>
      </c>
      <c r="O1055" s="9">
        <v>1.6567E-4</v>
      </c>
      <c r="P1055" s="9">
        <v>1.3522999999999999E-4</v>
      </c>
      <c r="Q1055" s="9">
        <v>1.0734E-4</v>
      </c>
      <c r="R1055" s="10">
        <v>2.094755830556243E-4</v>
      </c>
      <c r="S1055" s="10">
        <v>1.9025449586039414E-4</v>
      </c>
      <c r="T1055" s="10">
        <v>0</v>
      </c>
      <c r="U1055" s="10">
        <v>1.8605999999999999E-4</v>
      </c>
      <c r="V1055" s="25"/>
      <c r="W1055" s="25"/>
      <c r="X1055" s="25"/>
      <c r="Y1055" s="25"/>
      <c r="Z1055" s="25"/>
      <c r="AA1055" s="25"/>
    </row>
    <row r="1056" spans="1:27" x14ac:dyDescent="0.35">
      <c r="A1056" s="5">
        <v>1052</v>
      </c>
      <c r="B1056" s="5">
        <v>44</v>
      </c>
      <c r="C1056" s="5">
        <v>2</v>
      </c>
      <c r="D1056" s="25">
        <v>1.1415000000000001E-4</v>
      </c>
      <c r="E1056" s="25">
        <v>1.1961E-4</v>
      </c>
      <c r="F1056" s="25">
        <v>1.1954E-4</v>
      </c>
      <c r="G1056" s="25">
        <v>1.1444E-4</v>
      </c>
      <c r="H1056" s="25">
        <v>1.2727999999999999E-4</v>
      </c>
      <c r="I1056" s="9">
        <v>1.2988999999999999E-4</v>
      </c>
      <c r="J1056" s="9">
        <v>1.2968999999999999E-4</v>
      </c>
      <c r="K1056" s="9">
        <v>2.3735999999999999E-4</v>
      </c>
      <c r="L1056" s="9">
        <v>1.7496999999999999E-4</v>
      </c>
      <c r="M1056" s="9">
        <v>1.5079000000000001E-4</v>
      </c>
      <c r="N1056" s="9">
        <v>1.2102E-4</v>
      </c>
      <c r="O1056" s="9">
        <v>1.292E-4</v>
      </c>
      <c r="P1056" s="9">
        <v>1.1459E-4</v>
      </c>
      <c r="Q1056" s="9">
        <v>1.0165E-4</v>
      </c>
      <c r="R1056" s="10">
        <v>2.1138507335777989E-4</v>
      </c>
      <c r="S1056" s="10">
        <v>1.9027755867672723E-4</v>
      </c>
      <c r="T1056" s="10">
        <v>0</v>
      </c>
      <c r="U1056" s="10">
        <v>1.8605999999999999E-4</v>
      </c>
      <c r="V1056" s="25"/>
      <c r="W1056" s="25"/>
      <c r="X1056" s="25"/>
      <c r="Y1056" s="25"/>
      <c r="Z1056" s="25"/>
      <c r="AA1056" s="25"/>
    </row>
    <row r="1057" spans="1:27" x14ac:dyDescent="0.35">
      <c r="A1057" s="5">
        <v>1053</v>
      </c>
      <c r="B1057" s="5">
        <v>44</v>
      </c>
      <c r="C1057" s="5">
        <v>2</v>
      </c>
      <c r="D1057" s="25">
        <v>1.1416E-4</v>
      </c>
      <c r="E1057" s="25">
        <v>1.1533E-4</v>
      </c>
      <c r="F1057" s="25">
        <v>1.0679E-4</v>
      </c>
      <c r="G1057" s="25">
        <v>6.2219999999999997E-5</v>
      </c>
      <c r="H1057" s="25">
        <v>7.6699999999999994E-5</v>
      </c>
      <c r="I1057" s="9">
        <v>1.2418999999999999E-4</v>
      </c>
      <c r="J1057" s="9">
        <v>1.2405000000000001E-4</v>
      </c>
      <c r="K1057" s="9">
        <v>2.4795999999999998E-4</v>
      </c>
      <c r="L1057" s="9">
        <v>1.4025999999999999E-4</v>
      </c>
      <c r="M1057" s="9">
        <v>1.3537E-4</v>
      </c>
      <c r="N1057" s="9">
        <v>1.1325E-4</v>
      </c>
      <c r="O1057" s="9">
        <v>8.5530000000000003E-5</v>
      </c>
      <c r="P1057" s="9">
        <v>8.6879999999999995E-5</v>
      </c>
      <c r="Q1057" s="9">
        <v>8.8889999999999998E-5</v>
      </c>
      <c r="R1057" s="10">
        <v>2.1171490139065588E-4</v>
      </c>
      <c r="S1057" s="10">
        <v>1.9024931843284043E-4</v>
      </c>
      <c r="T1057" s="10">
        <v>0</v>
      </c>
      <c r="U1057" s="10">
        <v>1.8605999999999999E-4</v>
      </c>
      <c r="V1057" s="25"/>
      <c r="W1057" s="25"/>
      <c r="X1057" s="25"/>
      <c r="Y1057" s="25"/>
      <c r="Z1057" s="25"/>
      <c r="AA1057" s="25"/>
    </row>
    <row r="1058" spans="1:27" x14ac:dyDescent="0.35">
      <c r="A1058" s="5">
        <v>1054</v>
      </c>
      <c r="B1058" s="5">
        <v>44</v>
      </c>
      <c r="C1058" s="5">
        <v>2</v>
      </c>
      <c r="D1058" s="25">
        <v>1.1415000000000001E-4</v>
      </c>
      <c r="E1058" s="25">
        <v>1.1429000000000001E-4</v>
      </c>
      <c r="F1058" s="25">
        <v>1.167E-4</v>
      </c>
      <c r="G1058" s="25">
        <v>5.6530000000000003E-5</v>
      </c>
      <c r="H1058" s="25">
        <v>6.6929999999999998E-5</v>
      </c>
      <c r="I1058" s="9">
        <v>1.1862E-4</v>
      </c>
      <c r="J1058" s="9">
        <v>1.1757E-4</v>
      </c>
      <c r="K1058" s="9">
        <v>2.3949E-4</v>
      </c>
      <c r="L1058" s="9">
        <v>9.8519999999999999E-5</v>
      </c>
      <c r="M1058" s="9">
        <v>1.1393E-4</v>
      </c>
      <c r="N1058" s="9">
        <v>1.0577E-4</v>
      </c>
      <c r="O1058" s="9">
        <v>8.7849999999999994E-5</v>
      </c>
      <c r="P1058" s="9">
        <v>8.7780000000000003E-5</v>
      </c>
      <c r="Q1058" s="9">
        <v>8.8430000000000005E-5</v>
      </c>
      <c r="R1058" s="10">
        <v>2.1150169670313567E-4</v>
      </c>
      <c r="S1058" s="10">
        <v>1.9022061694362147E-4</v>
      </c>
      <c r="T1058" s="10">
        <v>0</v>
      </c>
      <c r="U1058" s="10">
        <v>1.8605999999999999E-4</v>
      </c>
      <c r="V1058" s="25"/>
      <c r="W1058" s="25"/>
      <c r="X1058" s="25"/>
      <c r="Y1058" s="25"/>
      <c r="Z1058" s="25"/>
      <c r="AA1058" s="25"/>
    </row>
    <row r="1059" spans="1:27" x14ac:dyDescent="0.35">
      <c r="A1059" s="5">
        <v>1055</v>
      </c>
      <c r="B1059" s="5">
        <v>44</v>
      </c>
      <c r="C1059" s="5">
        <v>2</v>
      </c>
      <c r="D1059" s="25">
        <v>1.1416E-4</v>
      </c>
      <c r="E1059" s="25">
        <v>1.2294000000000001E-4</v>
      </c>
      <c r="F1059" s="25">
        <v>9.8330000000000002E-5</v>
      </c>
      <c r="G1059" s="25">
        <v>6.2719999999999996E-5</v>
      </c>
      <c r="H1059" s="25">
        <v>7.4850000000000003E-5</v>
      </c>
      <c r="I1059" s="9">
        <v>1.2095E-4</v>
      </c>
      <c r="J1059" s="9">
        <v>1.1179999999999999E-4</v>
      </c>
      <c r="K1059" s="9">
        <v>2.3311999999999999E-4</v>
      </c>
      <c r="L1059" s="9">
        <v>9.1130000000000003E-5</v>
      </c>
      <c r="M1059" s="9">
        <v>9.9270000000000003E-5</v>
      </c>
      <c r="N1059" s="9">
        <v>9.9989999999999996E-5</v>
      </c>
      <c r="O1059" s="9">
        <v>7.8679999999999999E-5</v>
      </c>
      <c r="P1059" s="9">
        <v>7.2739999999999998E-5</v>
      </c>
      <c r="Q1059" s="9">
        <v>6.7440000000000005E-5</v>
      </c>
      <c r="R1059" s="10">
        <v>2.1095649306347692E-4</v>
      </c>
      <c r="S1059" s="10">
        <v>1.900926789243493E-4</v>
      </c>
      <c r="T1059" s="10">
        <v>0</v>
      </c>
      <c r="U1059" s="10">
        <v>1.8605999999999999E-4</v>
      </c>
      <c r="V1059" s="25"/>
      <c r="W1059" s="25"/>
      <c r="X1059" s="25"/>
      <c r="Y1059" s="25"/>
      <c r="Z1059" s="25"/>
      <c r="AA1059" s="25"/>
    </row>
    <row r="1060" spans="1:27" x14ac:dyDescent="0.35">
      <c r="A1060" s="5">
        <v>1056</v>
      </c>
      <c r="B1060" s="5">
        <v>44</v>
      </c>
      <c r="C1060" s="5">
        <v>2</v>
      </c>
      <c r="D1060" s="25">
        <v>1.1415000000000001E-4</v>
      </c>
      <c r="E1060" s="25">
        <v>1.2252000000000001E-4</v>
      </c>
      <c r="F1060" s="25">
        <v>1.1388E-4</v>
      </c>
      <c r="G1060" s="25">
        <v>5.9290000000000003E-5</v>
      </c>
      <c r="H1060" s="25">
        <v>7.1169999999999998E-5</v>
      </c>
      <c r="I1060" s="9">
        <v>1.2193000000000001E-4</v>
      </c>
      <c r="J1060" s="9">
        <v>1.0579E-4</v>
      </c>
      <c r="K1060" s="9">
        <v>2.3949E-4</v>
      </c>
      <c r="L1060" s="9">
        <v>8.1409999999999995E-5</v>
      </c>
      <c r="M1060" s="9">
        <v>8.6489999999999994E-5</v>
      </c>
      <c r="N1060" s="9">
        <v>9.0810000000000006E-5</v>
      </c>
      <c r="O1060" s="9">
        <v>6.2589999999999995E-5</v>
      </c>
      <c r="P1060" s="9">
        <v>6.0460000000000001E-5</v>
      </c>
      <c r="Q1060" s="9">
        <v>5.8650000000000003E-5</v>
      </c>
      <c r="R1060" s="10">
        <v>2.0756436307679664E-4</v>
      </c>
      <c r="S1060" s="10">
        <v>1.8702992208040407E-4</v>
      </c>
      <c r="T1060" s="10">
        <v>0</v>
      </c>
      <c r="U1060" s="10">
        <v>1.8605999999999999E-4</v>
      </c>
      <c r="V1060" s="25"/>
      <c r="W1060" s="25"/>
      <c r="X1060" s="25"/>
      <c r="Y1060" s="25"/>
      <c r="Z1060" s="25"/>
      <c r="AA1060" s="25"/>
    </row>
    <row r="1061" spans="1:27" x14ac:dyDescent="0.35">
      <c r="A1061" s="5">
        <v>1057</v>
      </c>
      <c r="B1061" s="5">
        <v>45</v>
      </c>
      <c r="C1061" s="5">
        <v>2</v>
      </c>
      <c r="D1061" s="25">
        <v>1.1416E-4</v>
      </c>
      <c r="E1061" s="25">
        <v>1.1613E-4</v>
      </c>
      <c r="F1061" s="25">
        <v>1.3138000000000001E-4</v>
      </c>
      <c r="G1061" s="25">
        <v>6.1820000000000001E-5</v>
      </c>
      <c r="H1061" s="25">
        <v>7.0129999999999994E-5</v>
      </c>
      <c r="I1061" s="9">
        <v>1.161E-4</v>
      </c>
      <c r="J1061" s="9">
        <v>1.0066E-4</v>
      </c>
      <c r="K1061" s="9">
        <v>2.4795999999999998E-4</v>
      </c>
      <c r="L1061" s="9">
        <v>6.6730000000000007E-5</v>
      </c>
      <c r="M1061" s="9">
        <v>7.4190000000000006E-5</v>
      </c>
      <c r="N1061" s="9">
        <v>8.1329999999999996E-5</v>
      </c>
      <c r="O1061" s="9">
        <v>5.401E-5</v>
      </c>
      <c r="P1061" s="9">
        <v>5.3440000000000003E-5</v>
      </c>
      <c r="Q1061" s="9">
        <v>5.3019999999999997E-5</v>
      </c>
      <c r="R1061" s="10">
        <v>2.0355899799680247E-4</v>
      </c>
      <c r="S1061" s="10">
        <v>1.8187710630119709E-4</v>
      </c>
      <c r="T1061" s="10">
        <v>0</v>
      </c>
      <c r="U1061" s="10">
        <v>1.8641E-4</v>
      </c>
      <c r="V1061" s="25"/>
      <c r="W1061" s="25"/>
      <c r="X1061" s="25"/>
      <c r="Y1061" s="25"/>
      <c r="Z1061" s="25"/>
      <c r="AA1061" s="25"/>
    </row>
    <row r="1062" spans="1:27" x14ac:dyDescent="0.35">
      <c r="A1062" s="5">
        <v>1058</v>
      </c>
      <c r="B1062" s="5">
        <v>45</v>
      </c>
      <c r="C1062" s="5">
        <v>2</v>
      </c>
      <c r="D1062" s="25">
        <v>1.1415000000000001E-4</v>
      </c>
      <c r="E1062" s="25">
        <v>1.1025E-4</v>
      </c>
      <c r="F1062" s="25">
        <v>1.3486999999999999E-4</v>
      </c>
      <c r="G1062" s="25">
        <v>6.2199999999999994E-5</v>
      </c>
      <c r="H1062" s="25">
        <v>7.4909999999999999E-5</v>
      </c>
      <c r="I1062" s="9">
        <v>1.1143E-4</v>
      </c>
      <c r="J1062" s="9">
        <v>9.5790000000000003E-5</v>
      </c>
      <c r="K1062" s="9">
        <v>2.4161000000000001E-4</v>
      </c>
      <c r="L1062" s="9">
        <v>5.7210000000000003E-5</v>
      </c>
      <c r="M1062" s="9">
        <v>6.3780000000000003E-5</v>
      </c>
      <c r="N1062" s="9">
        <v>7.2109999999999999E-5</v>
      </c>
      <c r="O1062" s="9">
        <v>1.842E-5</v>
      </c>
      <c r="P1062" s="9">
        <v>3.748E-5</v>
      </c>
      <c r="Q1062" s="9">
        <v>5.5779999999999998E-5</v>
      </c>
      <c r="R1062" s="10">
        <v>1.9944935314915763E-4</v>
      </c>
      <c r="S1062" s="10">
        <v>1.8008978165228441E-4</v>
      </c>
      <c r="T1062" s="10">
        <v>0</v>
      </c>
      <c r="U1062" s="10">
        <v>1.8641E-4</v>
      </c>
      <c r="V1062" s="25"/>
      <c r="W1062" s="25"/>
      <c r="X1062" s="25"/>
      <c r="Y1062" s="25"/>
      <c r="Z1062" s="25"/>
      <c r="AA1062" s="25"/>
    </row>
    <row r="1063" spans="1:27" x14ac:dyDescent="0.35">
      <c r="A1063" s="5">
        <v>1059</v>
      </c>
      <c r="B1063" s="5">
        <v>45</v>
      </c>
      <c r="C1063" s="5">
        <v>2</v>
      </c>
      <c r="D1063" s="25">
        <v>1.1416E-4</v>
      </c>
      <c r="E1063" s="25">
        <v>1.1088E-4</v>
      </c>
      <c r="F1063" s="25">
        <v>1.2941999999999999E-4</v>
      </c>
      <c r="G1063" s="25">
        <v>5.219E-5</v>
      </c>
      <c r="H1063" s="25">
        <v>6.5879999999999999E-5</v>
      </c>
      <c r="I1063" s="9">
        <v>1.0666E-4</v>
      </c>
      <c r="J1063" s="9">
        <v>9.3140000000000006E-5</v>
      </c>
      <c r="K1063" s="9">
        <v>2.4372E-4</v>
      </c>
      <c r="L1063" s="9">
        <v>2.7169999999999999E-5</v>
      </c>
      <c r="M1063" s="9">
        <v>5.1940000000000001E-5</v>
      </c>
      <c r="N1063" s="9">
        <v>6.5409999999999999E-5</v>
      </c>
      <c r="O1063" s="9">
        <v>1.2969999999999999E-5</v>
      </c>
      <c r="P1063" s="9">
        <v>3.7610000000000001E-5</v>
      </c>
      <c r="Q1063" s="9">
        <v>6.1309999999999994E-5</v>
      </c>
      <c r="R1063" s="10">
        <v>1.9368262345711781E-4</v>
      </c>
      <c r="S1063" s="10">
        <v>1.7725892998240946E-4</v>
      </c>
      <c r="T1063" s="10">
        <v>0</v>
      </c>
      <c r="U1063" s="10">
        <v>1.8641E-4</v>
      </c>
      <c r="V1063" s="25"/>
      <c r="W1063" s="25"/>
      <c r="X1063" s="25"/>
      <c r="Y1063" s="25"/>
      <c r="Z1063" s="25"/>
      <c r="AA1063" s="25"/>
    </row>
    <row r="1064" spans="1:27" x14ac:dyDescent="0.35">
      <c r="A1064" s="5">
        <v>1060</v>
      </c>
      <c r="B1064" s="5">
        <v>45</v>
      </c>
      <c r="C1064" s="5">
        <v>2</v>
      </c>
      <c r="D1064" s="25">
        <v>1.1415000000000001E-4</v>
      </c>
      <c r="E1064" s="25">
        <v>1.1937E-4</v>
      </c>
      <c r="F1064" s="25">
        <v>1.2347000000000001E-4</v>
      </c>
      <c r="G1064" s="25">
        <v>5.3550000000000001E-5</v>
      </c>
      <c r="H1064" s="25">
        <v>7.3369999999999997E-5</v>
      </c>
      <c r="I1064" s="9">
        <v>1.0279E-4</v>
      </c>
      <c r="J1064" s="9">
        <v>9.1899999999999998E-5</v>
      </c>
      <c r="K1064" s="9">
        <v>2.522E-4</v>
      </c>
      <c r="L1064" s="9">
        <v>1.683E-5</v>
      </c>
      <c r="M1064" s="9">
        <v>4.3959999999999999E-5</v>
      </c>
      <c r="N1064" s="9">
        <v>6.1740000000000002E-5</v>
      </c>
      <c r="O1064" s="9">
        <v>1.312E-5</v>
      </c>
      <c r="P1064" s="9">
        <v>4.7580000000000002E-5</v>
      </c>
      <c r="Q1064" s="9">
        <v>8.0929999999999999E-5</v>
      </c>
      <c r="R1064" s="10">
        <v>1.8903531811122507E-4</v>
      </c>
      <c r="S1064" s="10">
        <v>1.6993803366191574E-4</v>
      </c>
      <c r="T1064" s="10">
        <v>0</v>
      </c>
      <c r="U1064" s="10">
        <v>1.8641E-4</v>
      </c>
      <c r="V1064" s="25"/>
      <c r="W1064" s="25"/>
      <c r="X1064" s="25"/>
      <c r="Y1064" s="25"/>
      <c r="Z1064" s="25"/>
      <c r="AA1064" s="25"/>
    </row>
    <row r="1065" spans="1:27" x14ac:dyDescent="0.35">
      <c r="A1065" s="5">
        <v>1061</v>
      </c>
      <c r="B1065" s="5">
        <v>45</v>
      </c>
      <c r="C1065" s="5">
        <v>2</v>
      </c>
      <c r="D1065" s="25">
        <v>1.1416E-4</v>
      </c>
      <c r="E1065" s="25">
        <v>1.1493E-4</v>
      </c>
      <c r="F1065" s="25">
        <v>1.3181E-4</v>
      </c>
      <c r="G1065" s="25">
        <v>5.4259999999999999E-5</v>
      </c>
      <c r="H1065" s="25">
        <v>6.9049999999999998E-5</v>
      </c>
      <c r="I1065" s="9">
        <v>1.0082E-4</v>
      </c>
      <c r="J1065" s="9">
        <v>9.1639999999999997E-5</v>
      </c>
      <c r="K1065" s="9">
        <v>2.5008000000000002E-4</v>
      </c>
      <c r="L1065" s="9">
        <v>1.418E-5</v>
      </c>
      <c r="M1065" s="9">
        <v>4.3479999999999997E-5</v>
      </c>
      <c r="N1065" s="9">
        <v>6.4389999999999998E-5</v>
      </c>
      <c r="O1065" s="9">
        <v>1.861E-5</v>
      </c>
      <c r="P1065" s="9">
        <v>5.6830000000000003E-5</v>
      </c>
      <c r="Q1065" s="9">
        <v>9.3969999999999996E-5</v>
      </c>
      <c r="R1065" s="10">
        <v>1.8580937824754648E-4</v>
      </c>
      <c r="S1065" s="10">
        <v>1.549189154614792E-4</v>
      </c>
      <c r="T1065" s="10">
        <v>0</v>
      </c>
      <c r="U1065" s="10">
        <v>1.8641E-4</v>
      </c>
      <c r="V1065" s="25"/>
      <c r="W1065" s="25"/>
      <c r="X1065" s="25"/>
      <c r="Y1065" s="25"/>
      <c r="Z1065" s="25"/>
      <c r="AA1065" s="25"/>
    </row>
    <row r="1066" spans="1:27" x14ac:dyDescent="0.35">
      <c r="A1066" s="5">
        <v>1062</v>
      </c>
      <c r="B1066" s="5">
        <v>45</v>
      </c>
      <c r="C1066" s="5">
        <v>2</v>
      </c>
      <c r="D1066" s="25">
        <v>1.1415000000000001E-4</v>
      </c>
      <c r="E1066" s="25">
        <v>1.1129999999999999E-4</v>
      </c>
      <c r="F1066" s="25">
        <v>1.1412E-4</v>
      </c>
      <c r="G1066" s="25">
        <v>1.0964E-4</v>
      </c>
      <c r="H1066" s="25">
        <v>1.3151999999999999E-4</v>
      </c>
      <c r="I1066" s="9">
        <v>1.0142E-4</v>
      </c>
      <c r="J1066" s="9">
        <v>9.2159999999999999E-5</v>
      </c>
      <c r="K1066" s="9">
        <v>2.5642999999999998E-4</v>
      </c>
      <c r="L1066" s="9">
        <v>1.7499999999999998E-5</v>
      </c>
      <c r="M1066" s="9">
        <v>4.8510000000000001E-5</v>
      </c>
      <c r="N1066" s="9">
        <v>7.1030000000000003E-5</v>
      </c>
      <c r="O1066" s="9">
        <v>4.6140000000000002E-5</v>
      </c>
      <c r="P1066" s="9">
        <v>7.6730000000000006E-5</v>
      </c>
      <c r="Q1066" s="9">
        <v>1.0684E-4</v>
      </c>
      <c r="R1066" s="10">
        <v>1.8045751544479603E-4</v>
      </c>
      <c r="S1066" s="10">
        <v>1.4119114274321087E-4</v>
      </c>
      <c r="T1066" s="10">
        <v>0</v>
      </c>
      <c r="U1066" s="10">
        <v>1.8641E-4</v>
      </c>
      <c r="V1066" s="25"/>
      <c r="W1066" s="25"/>
      <c r="X1066" s="25"/>
      <c r="Y1066" s="25"/>
      <c r="Z1066" s="25"/>
      <c r="AA1066" s="25"/>
    </row>
    <row r="1067" spans="1:27" x14ac:dyDescent="0.35">
      <c r="A1067" s="5">
        <v>1063</v>
      </c>
      <c r="B1067" s="5">
        <v>45</v>
      </c>
      <c r="C1067" s="5">
        <v>2</v>
      </c>
      <c r="D1067" s="25">
        <v>1.1416E-4</v>
      </c>
      <c r="E1067" s="25">
        <v>1.1875E-4</v>
      </c>
      <c r="F1067" s="25">
        <v>1.2082999999999999E-4</v>
      </c>
      <c r="G1067" s="25">
        <v>1.0495E-4</v>
      </c>
      <c r="H1067" s="25">
        <v>1.3062999999999999E-4</v>
      </c>
      <c r="I1067" s="9">
        <v>1.0298000000000001E-4</v>
      </c>
      <c r="J1067" s="9">
        <v>9.4400000000000004E-5</v>
      </c>
      <c r="K1067" s="9">
        <v>2.6068E-4</v>
      </c>
      <c r="L1067" s="9">
        <v>3.9700000000000003E-5</v>
      </c>
      <c r="M1067" s="9">
        <v>6.0080000000000001E-5</v>
      </c>
      <c r="N1067" s="9">
        <v>8.0729999999999994E-5</v>
      </c>
      <c r="O1067" s="9">
        <v>1.2402E-4</v>
      </c>
      <c r="P1067" s="9">
        <v>1.1763E-4</v>
      </c>
      <c r="Q1067" s="9">
        <v>1.1268E-4</v>
      </c>
      <c r="R1067" s="10">
        <v>1.735607058354089E-4</v>
      </c>
      <c r="S1067" s="10">
        <v>1.3031856475861971E-4</v>
      </c>
      <c r="T1067" s="10">
        <v>0</v>
      </c>
      <c r="U1067" s="10">
        <v>1.8641E-4</v>
      </c>
      <c r="V1067" s="25"/>
      <c r="W1067" s="25"/>
      <c r="X1067" s="25"/>
      <c r="Y1067" s="25"/>
      <c r="Z1067" s="25"/>
      <c r="AA1067" s="25"/>
    </row>
    <row r="1068" spans="1:27" x14ac:dyDescent="0.35">
      <c r="A1068" s="5">
        <v>1064</v>
      </c>
      <c r="B1068" s="5">
        <v>45</v>
      </c>
      <c r="C1068" s="5">
        <v>2</v>
      </c>
      <c r="D1068" s="25">
        <v>1.1415000000000001E-4</v>
      </c>
      <c r="E1068" s="25">
        <v>1.1923E-4</v>
      </c>
      <c r="F1068" s="25">
        <v>1.2746E-4</v>
      </c>
      <c r="G1068" s="25">
        <v>1.6541E-4</v>
      </c>
      <c r="H1068" s="25">
        <v>1.9652999999999999E-4</v>
      </c>
      <c r="I1068" s="9">
        <v>1.048E-4</v>
      </c>
      <c r="J1068" s="9">
        <v>9.8729999999999998E-5</v>
      </c>
      <c r="K1068" s="9">
        <v>2.3737000000000001E-4</v>
      </c>
      <c r="L1068" s="9">
        <v>1.0485E-4</v>
      </c>
      <c r="M1068" s="9">
        <v>8.3770000000000006E-5</v>
      </c>
      <c r="N1068" s="9">
        <v>9.0909999999999995E-5</v>
      </c>
      <c r="O1068" s="9">
        <v>2.2201E-4</v>
      </c>
      <c r="P1068" s="9">
        <v>1.7783E-4</v>
      </c>
      <c r="Q1068" s="9">
        <v>1.3736999999999999E-4</v>
      </c>
      <c r="R1068" s="10">
        <v>1.638558433775226E-4</v>
      </c>
      <c r="S1068" s="10">
        <v>1.1600650923523274E-4</v>
      </c>
      <c r="T1068" s="10">
        <v>0</v>
      </c>
      <c r="U1068" s="10">
        <v>1.8641E-4</v>
      </c>
      <c r="V1068" s="25"/>
      <c r="W1068" s="25"/>
      <c r="X1068" s="25"/>
      <c r="Y1068" s="25"/>
      <c r="Z1068" s="25"/>
      <c r="AA1068" s="25"/>
    </row>
    <row r="1069" spans="1:27" x14ac:dyDescent="0.35">
      <c r="A1069" s="5">
        <v>1065</v>
      </c>
      <c r="B1069" s="5">
        <v>45</v>
      </c>
      <c r="C1069" s="5">
        <v>2</v>
      </c>
      <c r="D1069" s="25">
        <v>1.1416E-4</v>
      </c>
      <c r="E1069" s="25">
        <v>1.1895E-4</v>
      </c>
      <c r="F1069" s="25">
        <v>1.2055E-4</v>
      </c>
      <c r="G1069" s="25">
        <v>1.6338E-4</v>
      </c>
      <c r="H1069" s="25">
        <v>1.9244999999999999E-4</v>
      </c>
      <c r="I1069" s="9">
        <v>1.0844E-4</v>
      </c>
      <c r="J1069" s="9">
        <v>1.0456E-4</v>
      </c>
      <c r="K1069" s="9">
        <v>2.3524E-4</v>
      </c>
      <c r="L1069" s="9">
        <v>1.9445000000000001E-4</v>
      </c>
      <c r="M1069" s="9">
        <v>1.2375999999999999E-4</v>
      </c>
      <c r="N1069" s="9">
        <v>1.0480999999999999E-4</v>
      </c>
      <c r="O1069" s="9">
        <v>2.1096E-4</v>
      </c>
      <c r="P1069" s="9">
        <v>1.9167000000000001E-4</v>
      </c>
      <c r="Q1069" s="9">
        <v>1.7553999999999999E-4</v>
      </c>
      <c r="R1069" s="10">
        <v>1.5781130215663893E-4</v>
      </c>
      <c r="S1069" s="10">
        <v>1.0730885607913421E-4</v>
      </c>
      <c r="T1069" s="10">
        <v>8.1932878824326273E-5</v>
      </c>
      <c r="U1069" s="10">
        <v>1.8641E-4</v>
      </c>
      <c r="V1069" s="25"/>
      <c r="W1069" s="25"/>
      <c r="X1069" s="25"/>
      <c r="Y1069" s="25"/>
      <c r="Z1069" s="25"/>
      <c r="AA1069" s="25"/>
    </row>
    <row r="1070" spans="1:27" x14ac:dyDescent="0.35">
      <c r="A1070" s="5">
        <v>1066</v>
      </c>
      <c r="B1070" s="5">
        <v>45</v>
      </c>
      <c r="C1070" s="5">
        <v>2</v>
      </c>
      <c r="D1070" s="25">
        <v>1.1415000000000001E-4</v>
      </c>
      <c r="E1070" s="25">
        <v>1.1676E-4</v>
      </c>
      <c r="F1070" s="25">
        <v>1.1552000000000001E-4</v>
      </c>
      <c r="G1070" s="25">
        <v>1.5924999999999999E-4</v>
      </c>
      <c r="H1070" s="25">
        <v>1.9357000000000001E-4</v>
      </c>
      <c r="I1070" s="9">
        <v>1.1430999999999999E-4</v>
      </c>
      <c r="J1070" s="9">
        <v>1.1213999999999999E-4</v>
      </c>
      <c r="K1070" s="9">
        <v>2.1405E-4</v>
      </c>
      <c r="L1070" s="9">
        <v>2.0498000000000001E-4</v>
      </c>
      <c r="M1070" s="9">
        <v>1.5835E-4</v>
      </c>
      <c r="N1070" s="9">
        <v>1.2449999999999999E-4</v>
      </c>
      <c r="O1070" s="9">
        <v>1.6929E-4</v>
      </c>
      <c r="P1070" s="9">
        <v>1.7532E-4</v>
      </c>
      <c r="Q1070" s="9">
        <v>1.8338E-4</v>
      </c>
      <c r="R1070" s="10">
        <v>1.4439011986340169E-4</v>
      </c>
      <c r="S1070" s="10">
        <v>1.0459684557444473E-4</v>
      </c>
      <c r="T1070" s="10">
        <v>1.9963556370885342E-4</v>
      </c>
      <c r="U1070" s="10">
        <v>1.8641E-4</v>
      </c>
      <c r="V1070" s="25"/>
      <c r="W1070" s="25"/>
      <c r="X1070" s="25"/>
      <c r="Y1070" s="25"/>
      <c r="Z1070" s="25"/>
      <c r="AA1070" s="25"/>
    </row>
    <row r="1071" spans="1:27" x14ac:dyDescent="0.35">
      <c r="A1071" s="5">
        <v>1067</v>
      </c>
      <c r="B1071" s="5">
        <v>45</v>
      </c>
      <c r="C1071" s="5">
        <v>2</v>
      </c>
      <c r="D1071" s="25">
        <v>1.1416E-4</v>
      </c>
      <c r="E1071" s="25">
        <v>1.2158E-4</v>
      </c>
      <c r="F1071" s="25">
        <v>1.3329999999999999E-4</v>
      </c>
      <c r="G1071" s="25">
        <v>1.5943000000000001E-4</v>
      </c>
      <c r="H1071" s="25">
        <v>1.9422999999999999E-4</v>
      </c>
      <c r="I1071" s="9">
        <v>1.1917999999999999E-4</v>
      </c>
      <c r="J1071" s="9">
        <v>1.1747E-4</v>
      </c>
      <c r="K1071" s="9">
        <v>1.9498000000000001E-4</v>
      </c>
      <c r="L1071" s="9">
        <v>1.7726999999999999E-4</v>
      </c>
      <c r="M1071" s="9">
        <v>1.7243E-4</v>
      </c>
      <c r="N1071" s="9">
        <v>1.4284000000000001E-4</v>
      </c>
      <c r="O1071" s="9">
        <v>1.6692000000000001E-4</v>
      </c>
      <c r="P1071" s="9">
        <v>1.7152000000000001E-4</v>
      </c>
      <c r="Q1071" s="9">
        <v>1.7814999999999999E-4</v>
      </c>
      <c r="R1071" s="10">
        <v>1.248713659863048E-4</v>
      </c>
      <c r="S1071" s="10">
        <v>1.0010764665467127E-4</v>
      </c>
      <c r="T1071" s="10">
        <v>8.7396767605818075E-5</v>
      </c>
      <c r="U1071" s="10">
        <v>1.8641E-4</v>
      </c>
      <c r="V1071" s="25"/>
      <c r="W1071" s="25"/>
      <c r="X1071" s="25"/>
      <c r="Y1071" s="25"/>
      <c r="Z1071" s="25"/>
      <c r="AA1071" s="25"/>
    </row>
    <row r="1072" spans="1:27" x14ac:dyDescent="0.35">
      <c r="A1072" s="5">
        <v>1068</v>
      </c>
      <c r="B1072" s="5">
        <v>45</v>
      </c>
      <c r="C1072" s="5">
        <v>2</v>
      </c>
      <c r="D1072" s="25">
        <v>1.1415000000000001E-4</v>
      </c>
      <c r="E1072" s="25">
        <v>1.1572E-4</v>
      </c>
      <c r="F1072" s="25">
        <v>1.3381999999999999E-4</v>
      </c>
      <c r="G1072" s="25">
        <v>1.604E-4</v>
      </c>
      <c r="H1072" s="25">
        <v>1.9288000000000001E-4</v>
      </c>
      <c r="I1072" s="9">
        <v>1.2467000000000001E-4</v>
      </c>
      <c r="J1072" s="9">
        <v>1.2061999999999999E-4</v>
      </c>
      <c r="K1072" s="9">
        <v>1.8437999999999999E-4</v>
      </c>
      <c r="L1072" s="9">
        <v>1.7058000000000001E-4</v>
      </c>
      <c r="M1072" s="9">
        <v>1.7453999999999999E-4</v>
      </c>
      <c r="N1072" s="9">
        <v>1.5660000000000001E-4</v>
      </c>
      <c r="O1072" s="9">
        <v>1.7165E-4</v>
      </c>
      <c r="P1072" s="9">
        <v>1.7217E-4</v>
      </c>
      <c r="Q1072" s="9">
        <v>1.7484999999999999E-4</v>
      </c>
      <c r="R1072" s="10">
        <v>9.8012987406903145E-5</v>
      </c>
      <c r="S1072" s="10">
        <v>1.0570668177297318E-4</v>
      </c>
      <c r="T1072" s="10">
        <v>1.3044610250844121E-4</v>
      </c>
      <c r="U1072" s="10">
        <v>1.8641E-4</v>
      </c>
      <c r="V1072" s="25"/>
      <c r="W1072" s="25"/>
      <c r="X1072" s="25"/>
      <c r="Y1072" s="25"/>
      <c r="Z1072" s="25"/>
      <c r="AA1072" s="25"/>
    </row>
    <row r="1073" spans="1:27" x14ac:dyDescent="0.35">
      <c r="A1073" s="5">
        <v>1069</v>
      </c>
      <c r="B1073" s="5">
        <v>45</v>
      </c>
      <c r="C1073" s="5">
        <v>2</v>
      </c>
      <c r="D1073" s="25">
        <v>1.1416E-4</v>
      </c>
      <c r="E1073" s="25">
        <v>1.143E-4</v>
      </c>
      <c r="F1073" s="25">
        <v>1.2545000000000001E-4</v>
      </c>
      <c r="G1073" s="25">
        <v>1.671E-4</v>
      </c>
      <c r="H1073" s="25">
        <v>1.9760000000000001E-4</v>
      </c>
      <c r="I1073" s="9">
        <v>1.2605E-4</v>
      </c>
      <c r="J1073" s="9">
        <v>1.2303999999999999E-4</v>
      </c>
      <c r="K1073" s="9">
        <v>2.0133E-4</v>
      </c>
      <c r="L1073" s="9">
        <v>1.7160999999999999E-4</v>
      </c>
      <c r="M1073" s="9">
        <v>1.7374E-4</v>
      </c>
      <c r="N1073" s="9">
        <v>1.662E-4</v>
      </c>
      <c r="O1073" s="9">
        <v>1.6311E-4</v>
      </c>
      <c r="P1073" s="9">
        <v>1.6452E-4</v>
      </c>
      <c r="Q1073" s="9">
        <v>1.6793E-4</v>
      </c>
      <c r="R1073" s="10">
        <v>6.9085331808052747E-5</v>
      </c>
      <c r="S1073" s="10">
        <v>9.5415479994736375E-5</v>
      </c>
      <c r="T1073" s="10">
        <v>1.5797765389965364E-4</v>
      </c>
      <c r="U1073" s="10">
        <v>1.8641E-4</v>
      </c>
      <c r="V1073" s="25"/>
      <c r="W1073" s="25"/>
      <c r="X1073" s="25"/>
      <c r="Y1073" s="25"/>
      <c r="Z1073" s="25"/>
      <c r="AA1073" s="25"/>
    </row>
    <row r="1074" spans="1:27" x14ac:dyDescent="0.35">
      <c r="A1074" s="5">
        <v>1070</v>
      </c>
      <c r="B1074" s="5">
        <v>45</v>
      </c>
      <c r="C1074" s="5">
        <v>2</v>
      </c>
      <c r="D1074" s="25">
        <v>1.1415000000000001E-4</v>
      </c>
      <c r="E1074" s="25">
        <v>1.1894E-4</v>
      </c>
      <c r="F1074" s="25">
        <v>1.2043E-4</v>
      </c>
      <c r="G1074" s="25">
        <v>1.5787E-4</v>
      </c>
      <c r="H1074" s="25">
        <v>1.9096E-4</v>
      </c>
      <c r="I1074" s="9">
        <v>1.2417E-4</v>
      </c>
      <c r="J1074" s="9">
        <v>1.2285E-4</v>
      </c>
      <c r="K1074" s="9">
        <v>1.8437999999999999E-4</v>
      </c>
      <c r="L1074" s="9">
        <v>1.6470999999999999E-4</v>
      </c>
      <c r="M1074" s="9">
        <v>1.7019E-4</v>
      </c>
      <c r="N1074" s="9">
        <v>1.7060999999999999E-4</v>
      </c>
      <c r="O1074" s="9">
        <v>1.7810999999999999E-4</v>
      </c>
      <c r="P1074" s="9">
        <v>1.6767999999999999E-4</v>
      </c>
      <c r="Q1074" s="9">
        <v>1.5971E-4</v>
      </c>
      <c r="R1074" s="10">
        <v>5.2839564557278558E-5</v>
      </c>
      <c r="S1074" s="10">
        <v>8.222628292227279E-5</v>
      </c>
      <c r="T1074" s="10">
        <v>5.8151387745876815E-5</v>
      </c>
      <c r="U1074" s="10">
        <v>1.8641E-4</v>
      </c>
      <c r="V1074" s="25"/>
      <c r="W1074" s="25"/>
      <c r="X1074" s="25"/>
      <c r="Y1074" s="25"/>
      <c r="Z1074" s="25"/>
      <c r="AA1074" s="25"/>
    </row>
    <row r="1075" spans="1:27" x14ac:dyDescent="0.35">
      <c r="A1075" s="5">
        <v>1071</v>
      </c>
      <c r="B1075" s="5">
        <v>45</v>
      </c>
      <c r="C1075" s="5">
        <v>2</v>
      </c>
      <c r="D1075" s="25">
        <v>1.1416E-4</v>
      </c>
      <c r="E1075" s="25">
        <v>1.2048E-4</v>
      </c>
      <c r="F1075" s="25">
        <v>1.271E-4</v>
      </c>
      <c r="G1075" s="25">
        <v>1.6360999999999999E-4</v>
      </c>
      <c r="H1075" s="25">
        <v>1.8818E-4</v>
      </c>
      <c r="I1075" s="9">
        <v>1.2094E-4</v>
      </c>
      <c r="J1075" s="9">
        <v>1.2145E-4</v>
      </c>
      <c r="K1075" s="9">
        <v>1.9498000000000001E-4</v>
      </c>
      <c r="L1075" s="9">
        <v>1.7531E-4</v>
      </c>
      <c r="M1075" s="9">
        <v>1.6827000000000001E-4</v>
      </c>
      <c r="N1075" s="9">
        <v>1.6991E-4</v>
      </c>
      <c r="O1075" s="9">
        <v>1.8408000000000001E-4</v>
      </c>
      <c r="P1075" s="9">
        <v>1.6677E-4</v>
      </c>
      <c r="Q1075" s="9">
        <v>1.5211000000000001E-4</v>
      </c>
      <c r="R1075" s="10">
        <v>5.9658612650659286E-5</v>
      </c>
      <c r="S1075" s="10">
        <v>6.8778738394247545E-5</v>
      </c>
      <c r="T1075" s="10">
        <v>9.4099364092430651E-5</v>
      </c>
      <c r="U1075" s="10">
        <v>1.8641E-4</v>
      </c>
      <c r="V1075" s="25"/>
      <c r="W1075" s="25"/>
      <c r="X1075" s="25"/>
      <c r="Y1075" s="25"/>
      <c r="Z1075" s="25"/>
      <c r="AA1075" s="25"/>
    </row>
    <row r="1076" spans="1:27" x14ac:dyDescent="0.35">
      <c r="A1076" s="5">
        <v>1072</v>
      </c>
      <c r="B1076" s="5">
        <v>45</v>
      </c>
      <c r="C1076" s="5">
        <v>2</v>
      </c>
      <c r="D1076" s="25">
        <v>1.1415000000000001E-4</v>
      </c>
      <c r="E1076" s="25">
        <v>1.1779E-4</v>
      </c>
      <c r="F1076" s="25">
        <v>1.3302999999999999E-4</v>
      </c>
      <c r="G1076" s="25">
        <v>1.6085000000000001E-4</v>
      </c>
      <c r="H1076" s="25">
        <v>1.8877999999999999E-4</v>
      </c>
      <c r="I1076" s="9">
        <v>1.1941E-4</v>
      </c>
      <c r="J1076" s="9">
        <v>1.2023000000000001E-4</v>
      </c>
      <c r="K1076" s="9">
        <v>2.2253E-4</v>
      </c>
      <c r="L1076" s="9">
        <v>1.8189000000000001E-4</v>
      </c>
      <c r="M1076" s="9">
        <v>1.673E-4</v>
      </c>
      <c r="N1076" s="9">
        <v>1.6590999999999999E-4</v>
      </c>
      <c r="O1076" s="9">
        <v>1.9651E-4</v>
      </c>
      <c r="P1076" s="9">
        <v>1.5092E-4</v>
      </c>
      <c r="Q1076" s="9">
        <v>1.0866000000000001E-4</v>
      </c>
      <c r="R1076" s="10">
        <v>6.321549828002115E-5</v>
      </c>
      <c r="S1076" s="10">
        <v>6.4218888723790009E-5</v>
      </c>
      <c r="T1076" s="10">
        <v>1.914482148359659E-4</v>
      </c>
      <c r="U1076" s="10">
        <v>1.8641E-4</v>
      </c>
      <c r="V1076" s="25"/>
      <c r="W1076" s="25"/>
      <c r="X1076" s="25"/>
      <c r="Y1076" s="25"/>
      <c r="Z1076" s="25"/>
      <c r="AA1076" s="25"/>
    </row>
    <row r="1077" spans="1:27" x14ac:dyDescent="0.35">
      <c r="A1077" s="5">
        <v>1073</v>
      </c>
      <c r="B1077" s="5">
        <v>45</v>
      </c>
      <c r="C1077" s="5">
        <v>2</v>
      </c>
      <c r="D1077" s="25">
        <v>1.1416E-4</v>
      </c>
      <c r="E1077" s="25">
        <v>1.116E-4</v>
      </c>
      <c r="F1077" s="25">
        <v>1.2464E-4</v>
      </c>
      <c r="G1077" s="25">
        <v>1.6615E-4</v>
      </c>
      <c r="H1077" s="25">
        <v>1.9171999999999999E-4</v>
      </c>
      <c r="I1077" s="9">
        <v>1.1815999999999999E-4</v>
      </c>
      <c r="J1077" s="9">
        <v>1.2129999999999999E-4</v>
      </c>
      <c r="K1077" s="9">
        <v>2.4372E-4</v>
      </c>
      <c r="L1077" s="9">
        <v>1.9306E-4</v>
      </c>
      <c r="M1077" s="9">
        <v>1.6127000000000001E-4</v>
      </c>
      <c r="N1077" s="9">
        <v>1.5199000000000001E-4</v>
      </c>
      <c r="O1077" s="9">
        <v>2.1415E-4</v>
      </c>
      <c r="P1077" s="9">
        <v>1.5847999999999999E-4</v>
      </c>
      <c r="Q1077" s="9">
        <v>1.066E-4</v>
      </c>
      <c r="R1077" s="10">
        <v>5.0093562135626509E-5</v>
      </c>
      <c r="S1077" s="10">
        <v>8.0690523771449608E-5</v>
      </c>
      <c r="T1077" s="10">
        <v>9.2003742152945442E-5</v>
      </c>
      <c r="U1077" s="10">
        <v>1.8641E-4</v>
      </c>
      <c r="V1077" s="25"/>
      <c r="W1077" s="25"/>
      <c r="X1077" s="25"/>
      <c r="Y1077" s="25"/>
      <c r="Z1077" s="25"/>
      <c r="AA1077" s="25"/>
    </row>
    <row r="1078" spans="1:27" x14ac:dyDescent="0.35">
      <c r="A1078" s="5">
        <v>1074</v>
      </c>
      <c r="B1078" s="5">
        <v>45</v>
      </c>
      <c r="C1078" s="5">
        <v>2</v>
      </c>
      <c r="D1078" s="25">
        <v>1.1415000000000001E-4</v>
      </c>
      <c r="E1078" s="25">
        <v>1.1926000000000001E-4</v>
      </c>
      <c r="F1078" s="25">
        <v>1.2882E-4</v>
      </c>
      <c r="G1078" s="25">
        <v>1.6466000000000001E-4</v>
      </c>
      <c r="H1078" s="25">
        <v>2.0113999999999999E-4</v>
      </c>
      <c r="I1078" s="9">
        <v>1.2129999999999999E-4</v>
      </c>
      <c r="J1078" s="9">
        <v>1.2805999999999999E-4</v>
      </c>
      <c r="K1078" s="9">
        <v>2.4159999999999999E-4</v>
      </c>
      <c r="L1078" s="9">
        <v>2.0928E-4</v>
      </c>
      <c r="M1078" s="9">
        <v>1.5862E-4</v>
      </c>
      <c r="N1078" s="9">
        <v>1.3855000000000001E-4</v>
      </c>
      <c r="O1078" s="9">
        <v>2.0885000000000001E-4</v>
      </c>
      <c r="P1078" s="9">
        <v>1.6212999999999999E-4</v>
      </c>
      <c r="Q1078" s="9">
        <v>1.1895E-4</v>
      </c>
      <c r="R1078" s="10">
        <v>6.1140923567723778E-5</v>
      </c>
      <c r="S1078" s="10">
        <v>1.0136001052731314E-4</v>
      </c>
      <c r="T1078" s="10">
        <v>0</v>
      </c>
      <c r="U1078" s="10">
        <v>1.8641E-4</v>
      </c>
      <c r="V1078" s="25"/>
      <c r="W1078" s="25"/>
      <c r="X1078" s="25"/>
      <c r="Y1078" s="25"/>
      <c r="Z1078" s="25"/>
      <c r="AA1078" s="25"/>
    </row>
    <row r="1079" spans="1:27" x14ac:dyDescent="0.35">
      <c r="A1079" s="5">
        <v>1075</v>
      </c>
      <c r="B1079" s="5">
        <v>45</v>
      </c>
      <c r="C1079" s="5">
        <v>2</v>
      </c>
      <c r="D1079" s="25">
        <v>1.1416E-4</v>
      </c>
      <c r="E1079" s="25">
        <v>1.1887000000000001E-4</v>
      </c>
      <c r="F1079" s="25">
        <v>1.1807E-4</v>
      </c>
      <c r="G1079" s="25">
        <v>1.069E-4</v>
      </c>
      <c r="H1079" s="25">
        <v>1.3151999999999999E-4</v>
      </c>
      <c r="I1079" s="9">
        <v>1.2951E-4</v>
      </c>
      <c r="J1079" s="9">
        <v>1.3250999999999999E-4</v>
      </c>
      <c r="K1079" s="9">
        <v>2.5643999999999998E-4</v>
      </c>
      <c r="L1079" s="9">
        <v>2.0853000000000001E-4</v>
      </c>
      <c r="M1079" s="9">
        <v>1.5935999999999999E-4</v>
      </c>
      <c r="N1079" s="9">
        <v>1.2981000000000001E-4</v>
      </c>
      <c r="O1079" s="9">
        <v>1.6541E-4</v>
      </c>
      <c r="P1079" s="9">
        <v>1.3501999999999999E-4</v>
      </c>
      <c r="Q1079" s="9">
        <v>1.0716E-4</v>
      </c>
      <c r="R1079" s="10">
        <v>1.0120689420217977E-4</v>
      </c>
      <c r="S1079" s="10">
        <v>1.0934828503387997E-4</v>
      </c>
      <c r="T1079" s="10">
        <v>0</v>
      </c>
      <c r="U1079" s="10">
        <v>1.8641E-4</v>
      </c>
      <c r="V1079" s="25"/>
      <c r="W1079" s="25"/>
      <c r="X1079" s="25"/>
      <c r="Y1079" s="25"/>
      <c r="Z1079" s="25"/>
      <c r="AA1079" s="25"/>
    </row>
    <row r="1080" spans="1:27" x14ac:dyDescent="0.35">
      <c r="A1080" s="5">
        <v>1076</v>
      </c>
      <c r="B1080" s="5">
        <v>45</v>
      </c>
      <c r="C1080" s="5">
        <v>2</v>
      </c>
      <c r="D1080" s="25">
        <v>1.1415000000000001E-4</v>
      </c>
      <c r="E1080" s="25">
        <v>1.2077E-4</v>
      </c>
      <c r="F1080" s="25">
        <v>1.2449E-4</v>
      </c>
      <c r="G1080" s="25">
        <v>1.1222000000000001E-4</v>
      </c>
      <c r="H1080" s="25">
        <v>1.3547E-4</v>
      </c>
      <c r="I1080" s="9">
        <v>1.2991000000000001E-4</v>
      </c>
      <c r="J1080" s="9">
        <v>1.3009999999999999E-4</v>
      </c>
      <c r="K1080" s="9">
        <v>2.6704000000000002E-4</v>
      </c>
      <c r="L1080" s="9">
        <v>1.7498000000000001E-4</v>
      </c>
      <c r="M1080" s="9">
        <v>1.5097E-4</v>
      </c>
      <c r="N1080" s="9">
        <v>1.2082E-4</v>
      </c>
      <c r="O1080" s="9">
        <v>1.2871000000000001E-4</v>
      </c>
      <c r="P1080" s="9">
        <v>1.1416E-4</v>
      </c>
      <c r="Q1080" s="9">
        <v>1.0127E-4</v>
      </c>
      <c r="R1080" s="10">
        <v>1.3571491387413036E-4</v>
      </c>
      <c r="S1080" s="10">
        <v>1.178560358847039E-4</v>
      </c>
      <c r="T1080" s="10">
        <v>0</v>
      </c>
      <c r="U1080" s="10">
        <v>1.8641E-4</v>
      </c>
      <c r="V1080" s="25"/>
      <c r="W1080" s="25"/>
      <c r="X1080" s="25"/>
      <c r="Y1080" s="25"/>
      <c r="Z1080" s="25"/>
      <c r="AA1080" s="25"/>
    </row>
    <row r="1081" spans="1:27" x14ac:dyDescent="0.35">
      <c r="A1081" s="5">
        <v>1077</v>
      </c>
      <c r="B1081" s="5">
        <v>45</v>
      </c>
      <c r="C1081" s="5">
        <v>2</v>
      </c>
      <c r="D1081" s="25">
        <v>1.1416E-4</v>
      </c>
      <c r="E1081" s="25">
        <v>1.1341999999999999E-4</v>
      </c>
      <c r="F1081" s="25">
        <v>1.2751E-4</v>
      </c>
      <c r="G1081" s="25">
        <v>6.1260000000000006E-5</v>
      </c>
      <c r="H1081" s="25">
        <v>6.5270000000000004E-5</v>
      </c>
      <c r="I1081" s="9">
        <v>1.2559999999999999E-4</v>
      </c>
      <c r="J1081" s="9">
        <v>1.2598000000000001E-4</v>
      </c>
      <c r="K1081" s="9">
        <v>2.7127E-4</v>
      </c>
      <c r="L1081" s="9">
        <v>1.3993E-4</v>
      </c>
      <c r="M1081" s="9">
        <v>1.3532999999999999E-4</v>
      </c>
      <c r="N1081" s="9">
        <v>1.1307999999999999E-4</v>
      </c>
      <c r="O1081" s="9">
        <v>8.4339999999999995E-5</v>
      </c>
      <c r="P1081" s="9">
        <v>8.5669999999999998E-5</v>
      </c>
      <c r="Q1081" s="9">
        <v>8.7650000000000003E-5</v>
      </c>
      <c r="R1081" s="10">
        <v>1.5663340278416853E-4</v>
      </c>
      <c r="S1081" s="10">
        <v>1.2665780095637736E-4</v>
      </c>
      <c r="T1081" s="10">
        <v>0</v>
      </c>
      <c r="U1081" s="10">
        <v>1.8641E-4</v>
      </c>
      <c r="V1081" s="25"/>
      <c r="W1081" s="25"/>
      <c r="X1081" s="25"/>
      <c r="Y1081" s="25"/>
      <c r="Z1081" s="25"/>
      <c r="AA1081" s="25"/>
    </row>
    <row r="1082" spans="1:27" x14ac:dyDescent="0.35">
      <c r="A1082" s="5">
        <v>1078</v>
      </c>
      <c r="B1082" s="5">
        <v>45</v>
      </c>
      <c r="C1082" s="5">
        <v>2</v>
      </c>
      <c r="D1082" s="25">
        <v>1.1415000000000001E-4</v>
      </c>
      <c r="E1082" s="25">
        <v>1.1779E-4</v>
      </c>
      <c r="F1082" s="25">
        <v>1.2809E-4</v>
      </c>
      <c r="G1082" s="25">
        <v>6.2290000000000002E-5</v>
      </c>
      <c r="H1082" s="25">
        <v>6.2739999999999999E-5</v>
      </c>
      <c r="I1082" s="9">
        <v>1.2057000000000001E-4</v>
      </c>
      <c r="J1082" s="9">
        <v>1.1954E-4</v>
      </c>
      <c r="K1082" s="9">
        <v>2.9247000000000002E-4</v>
      </c>
      <c r="L1082" s="9">
        <v>9.7540000000000005E-5</v>
      </c>
      <c r="M1082" s="9">
        <v>1.1340000000000001E-4</v>
      </c>
      <c r="N1082" s="9">
        <v>1.0542E-4</v>
      </c>
      <c r="O1082" s="9">
        <v>8.8510000000000005E-5</v>
      </c>
      <c r="P1082" s="9">
        <v>8.8430000000000005E-5</v>
      </c>
      <c r="Q1082" s="9">
        <v>8.9090000000000003E-5</v>
      </c>
      <c r="R1082" s="10">
        <v>1.5967950403487178E-4</v>
      </c>
      <c r="S1082" s="10">
        <v>1.3223619859886461E-4</v>
      </c>
      <c r="T1082" s="10">
        <v>0</v>
      </c>
      <c r="U1082" s="10">
        <v>1.8641E-4</v>
      </c>
      <c r="V1082" s="25"/>
      <c r="W1082" s="25"/>
      <c r="X1082" s="25"/>
      <c r="Y1082" s="25"/>
      <c r="Z1082" s="25"/>
      <c r="AA1082" s="25"/>
    </row>
    <row r="1083" spans="1:27" x14ac:dyDescent="0.35">
      <c r="A1083" s="5">
        <v>1079</v>
      </c>
      <c r="B1083" s="5">
        <v>45</v>
      </c>
      <c r="C1083" s="5">
        <v>2</v>
      </c>
      <c r="D1083" s="25">
        <v>1.1416E-4</v>
      </c>
      <c r="E1083" s="25">
        <v>1.1608E-4</v>
      </c>
      <c r="F1083" s="25">
        <v>1.2538E-4</v>
      </c>
      <c r="G1083" s="25">
        <v>5.9120000000000003E-5</v>
      </c>
      <c r="H1083" s="25">
        <v>6.9850000000000004E-5</v>
      </c>
      <c r="I1083" s="9">
        <v>1.217E-4</v>
      </c>
      <c r="J1083" s="9">
        <v>1.1345000000000001E-4</v>
      </c>
      <c r="K1083" s="9">
        <v>2.9458000000000002E-4</v>
      </c>
      <c r="L1083" s="9">
        <v>9.1429999999999997E-5</v>
      </c>
      <c r="M1083" s="9">
        <v>9.9049999999999995E-5</v>
      </c>
      <c r="N1083" s="9">
        <v>9.9850000000000001E-5</v>
      </c>
      <c r="O1083" s="9">
        <v>7.7750000000000006E-5</v>
      </c>
      <c r="P1083" s="9">
        <v>7.1870000000000001E-5</v>
      </c>
      <c r="Q1083" s="9">
        <v>6.6639999999999999E-5</v>
      </c>
      <c r="R1083" s="10">
        <v>1.509203200204014E-4</v>
      </c>
      <c r="S1083" s="10">
        <v>1.4156989593680397E-4</v>
      </c>
      <c r="T1083" s="10">
        <v>0</v>
      </c>
      <c r="U1083" s="10">
        <v>1.8641E-4</v>
      </c>
      <c r="V1083" s="25"/>
      <c r="W1083" s="25"/>
      <c r="X1083" s="25"/>
      <c r="Y1083" s="25"/>
      <c r="Z1083" s="25"/>
      <c r="AA1083" s="25"/>
    </row>
    <row r="1084" spans="1:27" x14ac:dyDescent="0.35">
      <c r="A1084" s="5">
        <v>1080</v>
      </c>
      <c r="B1084" s="5">
        <v>45</v>
      </c>
      <c r="C1084" s="5">
        <v>2</v>
      </c>
      <c r="D1084" s="25">
        <v>1.1415000000000001E-4</v>
      </c>
      <c r="E1084" s="25">
        <v>1.1896999999999999E-4</v>
      </c>
      <c r="F1084" s="25">
        <v>1.328E-4</v>
      </c>
      <c r="G1084" s="25">
        <v>6.1320000000000002E-5</v>
      </c>
      <c r="H1084" s="25">
        <v>6.8659999999999997E-5</v>
      </c>
      <c r="I1084" s="9">
        <v>1.2186E-4</v>
      </c>
      <c r="J1084" s="9">
        <v>1.0576E-4</v>
      </c>
      <c r="K1084" s="9">
        <v>2.8822E-4</v>
      </c>
      <c r="L1084" s="9">
        <v>8.0710000000000005E-5</v>
      </c>
      <c r="M1084" s="9">
        <v>8.6139999999999999E-5</v>
      </c>
      <c r="N1084" s="9">
        <v>9.0509999999999999E-5</v>
      </c>
      <c r="O1084" s="9">
        <v>6.334E-5</v>
      </c>
      <c r="P1084" s="9">
        <v>6.1179999999999994E-5</v>
      </c>
      <c r="Q1084" s="9">
        <v>5.9349999999999999E-5</v>
      </c>
      <c r="R1084" s="10">
        <v>1.507522163684278E-4</v>
      </c>
      <c r="S1084" s="10">
        <v>1.4072201202464281E-4</v>
      </c>
      <c r="T1084" s="10">
        <v>0</v>
      </c>
      <c r="U1084" s="10">
        <v>1.8641E-4</v>
      </c>
      <c r="V1084" s="25"/>
      <c r="W1084" s="25"/>
      <c r="X1084" s="25"/>
      <c r="Y1084" s="25"/>
      <c r="Z1084" s="25"/>
      <c r="AA1084" s="25"/>
    </row>
    <row r="1085" spans="1:27" x14ac:dyDescent="0.35">
      <c r="A1085" s="5">
        <v>1081</v>
      </c>
      <c r="B1085" s="5">
        <v>46</v>
      </c>
      <c r="C1085" s="5">
        <v>2</v>
      </c>
      <c r="D1085" s="25">
        <v>1.1416E-4</v>
      </c>
      <c r="E1085" s="25">
        <v>1.0993E-4</v>
      </c>
      <c r="F1085" s="25">
        <v>1.1695E-4</v>
      </c>
      <c r="G1085" s="25">
        <v>5.2380000000000003E-5</v>
      </c>
      <c r="H1085" s="25">
        <v>7.1520000000000006E-5</v>
      </c>
      <c r="I1085" s="9">
        <v>1.164E-4</v>
      </c>
      <c r="J1085" s="9">
        <v>1.0003E-4</v>
      </c>
      <c r="K1085" s="9">
        <v>2.8822E-4</v>
      </c>
      <c r="L1085" s="9">
        <v>6.7180000000000004E-5</v>
      </c>
      <c r="M1085" s="9">
        <v>7.4170000000000003E-5</v>
      </c>
      <c r="N1085" s="9">
        <v>8.1219999999999998E-5</v>
      </c>
      <c r="O1085" s="9">
        <v>5.4490000000000002E-5</v>
      </c>
      <c r="P1085" s="9">
        <v>5.3909999999999997E-5</v>
      </c>
      <c r="Q1085" s="9">
        <v>5.3489999999999998E-5</v>
      </c>
      <c r="R1085" s="10">
        <v>1.3310226818872214E-4</v>
      </c>
      <c r="S1085" s="10">
        <v>1.3980479370939307E-4</v>
      </c>
      <c r="T1085" s="10">
        <v>0</v>
      </c>
      <c r="U1085" s="10">
        <v>1.8553999999999999E-4</v>
      </c>
      <c r="V1085" s="25"/>
      <c r="W1085" s="25"/>
      <c r="X1085" s="25"/>
      <c r="Y1085" s="25"/>
      <c r="Z1085" s="25"/>
      <c r="AA1085" s="25"/>
    </row>
    <row r="1086" spans="1:27" x14ac:dyDescent="0.35">
      <c r="A1086" s="5">
        <v>1082</v>
      </c>
      <c r="B1086" s="5">
        <v>46</v>
      </c>
      <c r="C1086" s="5">
        <v>2</v>
      </c>
      <c r="D1086" s="25">
        <v>1.1415000000000001E-4</v>
      </c>
      <c r="E1086" s="25">
        <v>1.1128000000000001E-4</v>
      </c>
      <c r="F1086" s="25">
        <v>9.6739999999999999E-5</v>
      </c>
      <c r="G1086" s="25">
        <v>5.5779999999999998E-5</v>
      </c>
      <c r="H1086" s="25">
        <v>6.7620000000000006E-5</v>
      </c>
      <c r="I1086" s="9">
        <v>1.1131E-4</v>
      </c>
      <c r="J1086" s="9">
        <v>9.5879999999999997E-5</v>
      </c>
      <c r="K1086" s="9">
        <v>2.8611000000000001E-4</v>
      </c>
      <c r="L1086" s="9">
        <v>5.766E-5</v>
      </c>
      <c r="M1086" s="9">
        <v>6.4040000000000003E-5</v>
      </c>
      <c r="N1086" s="9">
        <v>7.2150000000000005E-5</v>
      </c>
      <c r="O1086" s="9">
        <v>1.8539999999999999E-5</v>
      </c>
      <c r="P1086" s="9">
        <v>3.7740000000000001E-5</v>
      </c>
      <c r="Q1086" s="9">
        <v>5.6159999999999998E-5</v>
      </c>
      <c r="R1086" s="10">
        <v>1.1853384201031047E-4</v>
      </c>
      <c r="S1086" s="10">
        <v>1.3936676192599623E-4</v>
      </c>
      <c r="T1086" s="10">
        <v>0</v>
      </c>
      <c r="U1086" s="10">
        <v>1.8553999999999999E-4</v>
      </c>
      <c r="V1086" s="25"/>
      <c r="W1086" s="25"/>
      <c r="X1086" s="25"/>
      <c r="Y1086" s="25"/>
      <c r="Z1086" s="25"/>
      <c r="AA1086" s="25"/>
    </row>
    <row r="1087" spans="1:27" x14ac:dyDescent="0.35">
      <c r="A1087" s="5">
        <v>1083</v>
      </c>
      <c r="B1087" s="5">
        <v>46</v>
      </c>
      <c r="C1087" s="5">
        <v>2</v>
      </c>
      <c r="D1087" s="25">
        <v>1.1416E-4</v>
      </c>
      <c r="E1087" s="25">
        <v>1.1658E-4</v>
      </c>
      <c r="F1087" s="25">
        <v>9.6780000000000005E-5</v>
      </c>
      <c r="G1087" s="25">
        <v>5.3650000000000003E-5</v>
      </c>
      <c r="H1087" s="25">
        <v>7.5500000000000006E-5</v>
      </c>
      <c r="I1087" s="9">
        <v>1.0739999999999999E-4</v>
      </c>
      <c r="J1087" s="9">
        <v>9.4430000000000002E-5</v>
      </c>
      <c r="K1087" s="9">
        <v>2.8823E-4</v>
      </c>
      <c r="L1087" s="9">
        <v>2.7359999999999999E-5</v>
      </c>
      <c r="M1087" s="9">
        <v>5.2259999999999998E-5</v>
      </c>
      <c r="N1087" s="9">
        <v>6.5590000000000001E-5</v>
      </c>
      <c r="O1087" s="9">
        <v>1.314E-5</v>
      </c>
      <c r="P1087" s="9">
        <v>3.8120000000000001E-5</v>
      </c>
      <c r="Q1087" s="9">
        <v>6.2139999999999998E-5</v>
      </c>
      <c r="R1087" s="10">
        <v>1.1630792497054637E-4</v>
      </c>
      <c r="S1087" s="10">
        <v>1.3663836944629267E-4</v>
      </c>
      <c r="T1087" s="10">
        <v>0</v>
      </c>
      <c r="U1087" s="10">
        <v>1.8553999999999999E-4</v>
      </c>
      <c r="V1087" s="25"/>
      <c r="W1087" s="25"/>
      <c r="X1087" s="25"/>
      <c r="Y1087" s="25"/>
      <c r="Z1087" s="25"/>
      <c r="AA1087" s="25"/>
    </row>
    <row r="1088" spans="1:27" x14ac:dyDescent="0.35">
      <c r="A1088" s="5">
        <v>1084</v>
      </c>
      <c r="B1088" s="5">
        <v>46</v>
      </c>
      <c r="C1088" s="5">
        <v>2</v>
      </c>
      <c r="D1088" s="25">
        <v>1.1415000000000001E-4</v>
      </c>
      <c r="E1088" s="25">
        <v>1.1519E-4</v>
      </c>
      <c r="F1088" s="25">
        <v>1.1694E-4</v>
      </c>
      <c r="G1088" s="25">
        <v>5.9190000000000001E-5</v>
      </c>
      <c r="H1088" s="25">
        <v>7.1940000000000006E-5</v>
      </c>
      <c r="I1088" s="9">
        <v>1.0537E-4</v>
      </c>
      <c r="J1088" s="9">
        <v>9.4079999999999994E-5</v>
      </c>
      <c r="K1088" s="9">
        <v>2.7763000000000001E-4</v>
      </c>
      <c r="L1088" s="9">
        <v>1.702E-5</v>
      </c>
      <c r="M1088" s="9">
        <v>4.4360000000000002E-5</v>
      </c>
      <c r="N1088" s="9">
        <v>6.211E-5</v>
      </c>
      <c r="O1088" s="9">
        <v>1.2979999999999999E-5</v>
      </c>
      <c r="P1088" s="9">
        <v>4.7070000000000002E-5</v>
      </c>
      <c r="Q1088" s="9">
        <v>8.0060000000000003E-5</v>
      </c>
      <c r="R1088" s="10">
        <v>1.2150910148967092E-4</v>
      </c>
      <c r="S1088" s="10">
        <v>1.4170978558622377E-4</v>
      </c>
      <c r="T1088" s="10">
        <v>0</v>
      </c>
      <c r="U1088" s="10">
        <v>1.8553999999999999E-4</v>
      </c>
      <c r="V1088" s="25"/>
      <c r="W1088" s="25"/>
      <c r="X1088" s="25"/>
      <c r="Y1088" s="25"/>
      <c r="Z1088" s="25"/>
      <c r="AA1088" s="25"/>
    </row>
    <row r="1089" spans="1:27" x14ac:dyDescent="0.35">
      <c r="A1089" s="5">
        <v>1085</v>
      </c>
      <c r="B1089" s="5">
        <v>46</v>
      </c>
      <c r="C1089" s="5">
        <v>2</v>
      </c>
      <c r="D1089" s="25">
        <v>1.1416E-4</v>
      </c>
      <c r="E1089" s="25">
        <v>1.1561999999999999E-4</v>
      </c>
      <c r="F1089" s="25">
        <v>1.0733E-4</v>
      </c>
      <c r="G1089" s="25">
        <v>5.2609999999999999E-5</v>
      </c>
      <c r="H1089" s="25">
        <v>6.9259999999999998E-5</v>
      </c>
      <c r="I1089" s="9">
        <v>1.0631E-4</v>
      </c>
      <c r="J1089" s="9">
        <v>9.5179999999999993E-5</v>
      </c>
      <c r="K1089" s="9">
        <v>2.7127E-4</v>
      </c>
      <c r="L1089" s="9">
        <v>1.412E-5</v>
      </c>
      <c r="M1089" s="9">
        <v>4.3560000000000003E-5</v>
      </c>
      <c r="N1089" s="9">
        <v>6.4560000000000005E-5</v>
      </c>
      <c r="O1089" s="9">
        <v>1.8709999999999999E-5</v>
      </c>
      <c r="P1089" s="9">
        <v>5.7120000000000002E-5</v>
      </c>
      <c r="Q1089" s="9">
        <v>9.446E-5</v>
      </c>
      <c r="R1089" s="10">
        <v>1.2092576935158317E-4</v>
      </c>
      <c r="S1089" s="10">
        <v>1.5264008198515917E-4</v>
      </c>
      <c r="T1089" s="10">
        <v>0</v>
      </c>
      <c r="U1089" s="10">
        <v>1.8553999999999999E-4</v>
      </c>
      <c r="V1089" s="25"/>
      <c r="W1089" s="25"/>
      <c r="X1089" s="25"/>
      <c r="Y1089" s="25"/>
      <c r="Z1089" s="25"/>
      <c r="AA1089" s="25"/>
    </row>
    <row r="1090" spans="1:27" x14ac:dyDescent="0.35">
      <c r="A1090" s="5">
        <v>1086</v>
      </c>
      <c r="B1090" s="5">
        <v>46</v>
      </c>
      <c r="C1090" s="5">
        <v>2</v>
      </c>
      <c r="D1090" s="25">
        <v>1.1415000000000001E-4</v>
      </c>
      <c r="E1090" s="25">
        <v>1.0922E-4</v>
      </c>
      <c r="F1090" s="25">
        <v>1.0228E-4</v>
      </c>
      <c r="G1090" s="25">
        <v>1.0613E-4</v>
      </c>
      <c r="H1090" s="25">
        <v>1.3488000000000001E-4</v>
      </c>
      <c r="I1090" s="9">
        <v>1.119E-4</v>
      </c>
      <c r="J1090" s="9">
        <v>9.9640000000000001E-5</v>
      </c>
      <c r="K1090" s="9">
        <v>2.6915000000000001E-4</v>
      </c>
      <c r="L1090" s="9">
        <v>1.7569999999999999E-5</v>
      </c>
      <c r="M1090" s="9">
        <v>4.8590000000000001E-5</v>
      </c>
      <c r="N1090" s="9">
        <v>7.1260000000000006E-5</v>
      </c>
      <c r="O1090" s="9">
        <v>4.5800000000000002E-5</v>
      </c>
      <c r="P1090" s="9">
        <v>7.6169999999999997E-5</v>
      </c>
      <c r="Q1090" s="9">
        <v>1.0607000000000001E-4</v>
      </c>
      <c r="R1090" s="10">
        <v>1.2146610039291141E-4</v>
      </c>
      <c r="S1090" s="10">
        <v>1.6317874618917256E-4</v>
      </c>
      <c r="T1090" s="10">
        <v>0</v>
      </c>
      <c r="U1090" s="10">
        <v>1.8553999999999999E-4</v>
      </c>
      <c r="V1090" s="25"/>
      <c r="W1090" s="25"/>
      <c r="X1090" s="25"/>
      <c r="Y1090" s="25"/>
      <c r="Z1090" s="25"/>
      <c r="AA1090" s="25"/>
    </row>
    <row r="1091" spans="1:27" x14ac:dyDescent="0.35">
      <c r="A1091" s="5">
        <v>1087</v>
      </c>
      <c r="B1091" s="5">
        <v>46</v>
      </c>
      <c r="C1091" s="5">
        <v>2</v>
      </c>
      <c r="D1091" s="25">
        <v>1.1416E-4</v>
      </c>
      <c r="E1091" s="25">
        <v>1.1106E-4</v>
      </c>
      <c r="F1091" s="25">
        <v>1.019E-4</v>
      </c>
      <c r="G1091" s="25">
        <v>1.0482E-4</v>
      </c>
      <c r="H1091" s="25">
        <v>1.2858999999999999E-4</v>
      </c>
      <c r="I1091" s="9">
        <v>1.2689E-4</v>
      </c>
      <c r="J1091" s="9">
        <v>1.126E-4</v>
      </c>
      <c r="K1091" s="9">
        <v>2.6703000000000002E-4</v>
      </c>
      <c r="L1091" s="9">
        <v>3.9449999999999997E-5</v>
      </c>
      <c r="M1091" s="9">
        <v>5.9939999999999999E-5</v>
      </c>
      <c r="N1091" s="9">
        <v>8.072E-5</v>
      </c>
      <c r="O1091" s="9">
        <v>1.2276E-4</v>
      </c>
      <c r="P1091" s="9">
        <v>1.1642999999999999E-4</v>
      </c>
      <c r="Q1091" s="9">
        <v>1.1153E-4</v>
      </c>
      <c r="R1091" s="10">
        <v>1.2246602736313878E-4</v>
      </c>
      <c r="S1091" s="10">
        <v>1.7229828928422197E-4</v>
      </c>
      <c r="T1091" s="10">
        <v>0</v>
      </c>
      <c r="U1091" s="10">
        <v>1.8553999999999999E-4</v>
      </c>
      <c r="V1091" s="25"/>
      <c r="W1091" s="25"/>
      <c r="X1091" s="25"/>
      <c r="Y1091" s="25"/>
      <c r="Z1091" s="25"/>
      <c r="AA1091" s="25"/>
    </row>
    <row r="1092" spans="1:27" x14ac:dyDescent="0.35">
      <c r="A1092" s="5">
        <v>1088</v>
      </c>
      <c r="B1092" s="5">
        <v>46</v>
      </c>
      <c r="C1092" s="5">
        <v>2</v>
      </c>
      <c r="D1092" s="25">
        <v>1.1415000000000001E-4</v>
      </c>
      <c r="E1092" s="25">
        <v>1.1641000000000001E-4</v>
      </c>
      <c r="F1092" s="25">
        <v>1.0664E-4</v>
      </c>
      <c r="G1092" s="25">
        <v>1.661E-4</v>
      </c>
      <c r="H1092" s="25">
        <v>1.9498000000000001E-4</v>
      </c>
      <c r="I1092" s="9">
        <v>1.3776000000000001E-4</v>
      </c>
      <c r="J1092" s="9">
        <v>1.3103E-4</v>
      </c>
      <c r="K1092" s="9">
        <v>2.6916E-4</v>
      </c>
      <c r="L1092" s="9">
        <v>1.0382000000000001E-4</v>
      </c>
      <c r="M1092" s="9">
        <v>8.3189999999999995E-5</v>
      </c>
      <c r="N1092" s="9">
        <v>9.0589999999999998E-5</v>
      </c>
      <c r="O1092" s="9">
        <v>2.2127E-4</v>
      </c>
      <c r="P1092" s="9">
        <v>1.7723000000000001E-4</v>
      </c>
      <c r="Q1092" s="9">
        <v>1.3690999999999999E-4</v>
      </c>
      <c r="R1092" s="10">
        <v>1.202948320547604E-4</v>
      </c>
      <c r="S1092" s="10">
        <v>1.779061893967572E-4</v>
      </c>
      <c r="T1092" s="10">
        <v>0</v>
      </c>
      <c r="U1092" s="10">
        <v>1.8553999999999999E-4</v>
      </c>
      <c r="V1092" s="25"/>
      <c r="W1092" s="25"/>
      <c r="X1092" s="25"/>
      <c r="Y1092" s="25"/>
      <c r="Z1092" s="25"/>
      <c r="AA1092" s="25"/>
    </row>
    <row r="1093" spans="1:27" x14ac:dyDescent="0.35">
      <c r="A1093" s="5">
        <v>1089</v>
      </c>
      <c r="B1093" s="5">
        <v>46</v>
      </c>
      <c r="C1093" s="5">
        <v>2</v>
      </c>
      <c r="D1093" s="25">
        <v>1.1416E-4</v>
      </c>
      <c r="E1093" s="25">
        <v>1.0836E-4</v>
      </c>
      <c r="F1093" s="25">
        <v>1.1092E-4</v>
      </c>
      <c r="G1093" s="25">
        <v>1.6316E-4</v>
      </c>
      <c r="H1093" s="25">
        <v>1.975E-4</v>
      </c>
      <c r="I1093" s="9">
        <v>1.3944000000000001E-4</v>
      </c>
      <c r="J1093" s="9">
        <v>1.4024999999999999E-4</v>
      </c>
      <c r="K1093" s="9">
        <v>2.6491999999999998E-4</v>
      </c>
      <c r="L1093" s="9">
        <v>1.9367000000000001E-4</v>
      </c>
      <c r="M1093" s="9">
        <v>1.2306E-4</v>
      </c>
      <c r="N1093" s="9">
        <v>1.0436E-4</v>
      </c>
      <c r="O1093" s="9">
        <v>2.1431999999999999E-4</v>
      </c>
      <c r="P1093" s="9">
        <v>1.9472000000000001E-4</v>
      </c>
      <c r="Q1093" s="9">
        <v>1.7833000000000001E-4</v>
      </c>
      <c r="R1093" s="10">
        <v>1.3059242267506087E-4</v>
      </c>
      <c r="S1093" s="10">
        <v>1.7897291537712529E-4</v>
      </c>
      <c r="T1093" s="10">
        <v>2.3968994094087623E-4</v>
      </c>
      <c r="U1093" s="10">
        <v>1.8553999999999999E-4</v>
      </c>
      <c r="V1093" s="25"/>
      <c r="W1093" s="25"/>
      <c r="X1093" s="25"/>
      <c r="Y1093" s="25"/>
      <c r="Z1093" s="25"/>
      <c r="AA1093" s="25"/>
    </row>
    <row r="1094" spans="1:27" x14ac:dyDescent="0.35">
      <c r="A1094" s="5">
        <v>1090</v>
      </c>
      <c r="B1094" s="5">
        <v>46</v>
      </c>
      <c r="C1094" s="5">
        <v>2</v>
      </c>
      <c r="D1094" s="25">
        <v>1.1415000000000001E-4</v>
      </c>
      <c r="E1094" s="25">
        <v>1.1113E-4</v>
      </c>
      <c r="F1094" s="25">
        <v>1.1372E-4</v>
      </c>
      <c r="G1094" s="25">
        <v>1.6479999999999999E-4</v>
      </c>
      <c r="H1094" s="25">
        <v>1.9394E-4</v>
      </c>
      <c r="I1094" s="9">
        <v>1.4205000000000001E-4</v>
      </c>
      <c r="J1094" s="9">
        <v>1.4320000000000001E-4</v>
      </c>
      <c r="K1094" s="9">
        <v>2.3949E-4</v>
      </c>
      <c r="L1094" s="9">
        <v>2.0741999999999999E-4</v>
      </c>
      <c r="M1094" s="9">
        <v>1.5898999999999999E-4</v>
      </c>
      <c r="N1094" s="9">
        <v>1.2470999999999999E-4</v>
      </c>
      <c r="O1094" s="9">
        <v>1.6945999999999999E-4</v>
      </c>
      <c r="P1094" s="9">
        <v>1.7550000000000001E-4</v>
      </c>
      <c r="Q1094" s="9">
        <v>1.8357000000000001E-4</v>
      </c>
      <c r="R1094" s="10">
        <v>1.3575894372851822E-4</v>
      </c>
      <c r="S1094" s="10">
        <v>1.7793501539440477E-4</v>
      </c>
      <c r="T1094" s="10">
        <v>4.0630461157897498E-4</v>
      </c>
      <c r="U1094" s="10">
        <v>1.8553999999999999E-4</v>
      </c>
      <c r="V1094" s="25"/>
      <c r="W1094" s="25"/>
      <c r="X1094" s="25"/>
      <c r="Y1094" s="25"/>
      <c r="Z1094" s="25"/>
      <c r="AA1094" s="25"/>
    </row>
    <row r="1095" spans="1:27" x14ac:dyDescent="0.35">
      <c r="A1095" s="5">
        <v>1091</v>
      </c>
      <c r="B1095" s="5">
        <v>46</v>
      </c>
      <c r="C1095" s="5">
        <v>2</v>
      </c>
      <c r="D1095" s="25">
        <v>1.1416E-4</v>
      </c>
      <c r="E1095" s="25">
        <v>1.1634E-4</v>
      </c>
      <c r="F1095" s="25">
        <v>1.1726E-4</v>
      </c>
      <c r="G1095" s="25">
        <v>1.6473E-4</v>
      </c>
      <c r="H1095" s="25">
        <v>1.964E-4</v>
      </c>
      <c r="I1095" s="9">
        <v>1.4286E-4</v>
      </c>
      <c r="J1095" s="9">
        <v>1.4195000000000001E-4</v>
      </c>
      <c r="K1095" s="9">
        <v>2.6068E-4</v>
      </c>
      <c r="L1095" s="9">
        <v>1.7785000000000001E-4</v>
      </c>
      <c r="M1095" s="9">
        <v>1.7327999999999999E-4</v>
      </c>
      <c r="N1095" s="9">
        <v>1.4311E-4</v>
      </c>
      <c r="O1095" s="9">
        <v>1.694E-4</v>
      </c>
      <c r="P1095" s="9">
        <v>1.7407999999999999E-4</v>
      </c>
      <c r="Q1095" s="9">
        <v>1.8081E-4</v>
      </c>
      <c r="R1095" s="10">
        <v>1.1867490012224154E-4</v>
      </c>
      <c r="S1095" s="10">
        <v>1.7846782382562897E-4</v>
      </c>
      <c r="T1095" s="10">
        <v>5.4618525496477469E-4</v>
      </c>
      <c r="U1095" s="10">
        <v>1.8553999999999999E-4</v>
      </c>
      <c r="V1095" s="25"/>
      <c r="W1095" s="25"/>
      <c r="X1095" s="25"/>
      <c r="Y1095" s="25"/>
      <c r="Z1095" s="25"/>
      <c r="AA1095" s="25"/>
    </row>
    <row r="1096" spans="1:27" x14ac:dyDescent="0.35">
      <c r="A1096" s="5">
        <v>1092</v>
      </c>
      <c r="B1096" s="5">
        <v>46</v>
      </c>
      <c r="C1096" s="5">
        <v>2</v>
      </c>
      <c r="D1096" s="25">
        <v>1.1415000000000001E-4</v>
      </c>
      <c r="E1096" s="25">
        <v>1.091E-4</v>
      </c>
      <c r="F1096" s="25">
        <v>1.0539000000000001E-4</v>
      </c>
      <c r="G1096" s="25">
        <v>1.6483000000000001E-4</v>
      </c>
      <c r="H1096" s="25">
        <v>1.9331E-4</v>
      </c>
      <c r="I1096" s="9">
        <v>1.4301E-4</v>
      </c>
      <c r="J1096" s="9">
        <v>1.4043000000000001E-4</v>
      </c>
      <c r="K1096" s="9">
        <v>2.5855000000000002E-4</v>
      </c>
      <c r="L1096" s="9">
        <v>1.727E-4</v>
      </c>
      <c r="M1096" s="9">
        <v>1.7600999999999999E-4</v>
      </c>
      <c r="N1096" s="9">
        <v>1.5750000000000001E-4</v>
      </c>
      <c r="O1096" s="9">
        <v>1.707E-4</v>
      </c>
      <c r="P1096" s="9">
        <v>1.7122E-4</v>
      </c>
      <c r="Q1096" s="9">
        <v>1.7388000000000001E-4</v>
      </c>
      <c r="R1096" s="10">
        <v>8.4076894687509367E-5</v>
      </c>
      <c r="S1096" s="10">
        <v>1.766500689549619E-4</v>
      </c>
      <c r="T1096" s="10">
        <v>6.3656001164249273E-4</v>
      </c>
      <c r="U1096" s="10">
        <v>1.8553999999999999E-4</v>
      </c>
      <c r="V1096" s="25"/>
      <c r="W1096" s="25"/>
      <c r="X1096" s="25"/>
      <c r="Y1096" s="25"/>
      <c r="Z1096" s="25"/>
      <c r="AA1096" s="25"/>
    </row>
    <row r="1097" spans="1:27" x14ac:dyDescent="0.35">
      <c r="A1097" s="5">
        <v>1093</v>
      </c>
      <c r="B1097" s="5">
        <v>46</v>
      </c>
      <c r="C1097" s="5">
        <v>2</v>
      </c>
      <c r="D1097" s="25">
        <v>1.1416E-4</v>
      </c>
      <c r="E1097" s="25">
        <v>1.1738E-4</v>
      </c>
      <c r="F1097" s="25">
        <v>1.1441E-4</v>
      </c>
      <c r="G1097" s="25">
        <v>1.5637999999999999E-4</v>
      </c>
      <c r="H1097" s="25">
        <v>1.9419000000000001E-4</v>
      </c>
      <c r="I1097" s="9">
        <v>1.3935E-4</v>
      </c>
      <c r="J1097" s="9">
        <v>1.3761000000000001E-4</v>
      </c>
      <c r="K1097" s="9">
        <v>2.6279999999999999E-4</v>
      </c>
      <c r="L1097" s="9">
        <v>1.7131000000000001E-4</v>
      </c>
      <c r="M1097" s="9">
        <v>1.7448999999999999E-4</v>
      </c>
      <c r="N1097" s="9">
        <v>1.6688E-4</v>
      </c>
      <c r="O1097" s="9">
        <v>1.6364999999999999E-4</v>
      </c>
      <c r="P1097" s="9">
        <v>1.6506E-4</v>
      </c>
      <c r="Q1097" s="9">
        <v>1.6848000000000001E-4</v>
      </c>
      <c r="R1097" s="10">
        <v>6.5460690909731526E-5</v>
      </c>
      <c r="S1097" s="10">
        <v>1.7288311222694589E-4</v>
      </c>
      <c r="T1097" s="10">
        <v>6.5415644849468825E-4</v>
      </c>
      <c r="U1097" s="10">
        <v>1.8553999999999999E-4</v>
      </c>
      <c r="V1097" s="25"/>
      <c r="W1097" s="25"/>
      <c r="X1097" s="25"/>
      <c r="Y1097" s="25"/>
      <c r="Z1097" s="25"/>
      <c r="AA1097" s="25"/>
    </row>
    <row r="1098" spans="1:27" x14ac:dyDescent="0.35">
      <c r="A1098" s="5">
        <v>1094</v>
      </c>
      <c r="B1098" s="5">
        <v>46</v>
      </c>
      <c r="C1098" s="5">
        <v>2</v>
      </c>
      <c r="D1098" s="25">
        <v>1.1415000000000001E-4</v>
      </c>
      <c r="E1098" s="25">
        <v>1.0867E-4</v>
      </c>
      <c r="F1098" s="25">
        <v>1.033E-4</v>
      </c>
      <c r="G1098" s="25">
        <v>1.561E-4</v>
      </c>
      <c r="H1098" s="25">
        <v>1.8677E-4</v>
      </c>
      <c r="I1098" s="9">
        <v>1.3938000000000001E-4</v>
      </c>
      <c r="J1098" s="9">
        <v>1.3794E-4</v>
      </c>
      <c r="K1098" s="9">
        <v>2.6279999999999999E-4</v>
      </c>
      <c r="L1098" s="9">
        <v>1.6511E-4</v>
      </c>
      <c r="M1098" s="9">
        <v>1.7065E-4</v>
      </c>
      <c r="N1098" s="9">
        <v>1.7133E-4</v>
      </c>
      <c r="O1098" s="9">
        <v>1.7859000000000001E-4</v>
      </c>
      <c r="P1098" s="9">
        <v>1.6814E-4</v>
      </c>
      <c r="Q1098" s="9">
        <v>1.6013999999999999E-4</v>
      </c>
      <c r="R1098" s="10">
        <v>5.4746963091834141E-5</v>
      </c>
      <c r="S1098" s="10">
        <v>1.6549299195225202E-4</v>
      </c>
      <c r="T1098" s="10">
        <v>5.8217565280807917E-4</v>
      </c>
      <c r="U1098" s="10">
        <v>1.8553999999999999E-4</v>
      </c>
      <c r="V1098" s="25"/>
      <c r="W1098" s="25"/>
      <c r="X1098" s="25"/>
      <c r="Y1098" s="25"/>
      <c r="Z1098" s="25"/>
      <c r="AA1098" s="25"/>
    </row>
    <row r="1099" spans="1:27" x14ac:dyDescent="0.35">
      <c r="A1099" s="5">
        <v>1095</v>
      </c>
      <c r="B1099" s="5">
        <v>46</v>
      </c>
      <c r="C1099" s="5">
        <v>2</v>
      </c>
      <c r="D1099" s="25">
        <v>1.1416E-4</v>
      </c>
      <c r="E1099" s="25">
        <v>1.1251000000000001E-4</v>
      </c>
      <c r="F1099" s="25">
        <v>9.9099999999999996E-5</v>
      </c>
      <c r="G1099" s="25">
        <v>1.6314000000000001E-4</v>
      </c>
      <c r="H1099" s="25">
        <v>1.9351000000000001E-4</v>
      </c>
      <c r="I1099" s="9">
        <v>1.3699E-4</v>
      </c>
      <c r="J1099" s="9">
        <v>1.3800999999999999E-4</v>
      </c>
      <c r="K1099" s="9">
        <v>2.7339999999999998E-4</v>
      </c>
      <c r="L1099" s="9">
        <v>1.7577000000000001E-4</v>
      </c>
      <c r="M1099" s="9">
        <v>1.6867E-4</v>
      </c>
      <c r="N1099" s="9">
        <v>1.7053000000000001E-4</v>
      </c>
      <c r="O1099" s="9">
        <v>1.8416E-4</v>
      </c>
      <c r="P1099" s="9">
        <v>1.6684E-4</v>
      </c>
      <c r="Q1099" s="9">
        <v>1.5218E-4</v>
      </c>
      <c r="R1099" s="10">
        <v>4.9282463816980679E-5</v>
      </c>
      <c r="S1099" s="10">
        <v>1.5347474298106652E-4</v>
      </c>
      <c r="T1099" s="10">
        <v>4.7685156067541E-4</v>
      </c>
      <c r="U1099" s="10">
        <v>1.8553999999999999E-4</v>
      </c>
      <c r="V1099" s="25"/>
      <c r="W1099" s="25"/>
      <c r="X1099" s="25"/>
      <c r="Y1099" s="25"/>
      <c r="Z1099" s="25"/>
      <c r="AA1099" s="25"/>
    </row>
    <row r="1100" spans="1:27" x14ac:dyDescent="0.35">
      <c r="A1100" s="5">
        <v>1096</v>
      </c>
      <c r="B1100" s="5">
        <v>46</v>
      </c>
      <c r="C1100" s="5">
        <v>2</v>
      </c>
      <c r="D1100" s="25">
        <v>1.1415000000000001E-4</v>
      </c>
      <c r="E1100" s="25">
        <v>1.0814E-4</v>
      </c>
      <c r="F1100" s="25">
        <v>1.0933E-4</v>
      </c>
      <c r="G1100" s="25">
        <v>1.5873999999999999E-4</v>
      </c>
      <c r="H1100" s="25">
        <v>1.8665000000000001E-4</v>
      </c>
      <c r="I1100" s="9">
        <v>1.3475999999999999E-4</v>
      </c>
      <c r="J1100" s="9">
        <v>1.3829000000000001E-4</v>
      </c>
      <c r="K1100" s="9">
        <v>2.8186999999999998E-4</v>
      </c>
      <c r="L1100" s="9">
        <v>1.8202999999999999E-4</v>
      </c>
      <c r="M1100" s="9">
        <v>1.6757999999999999E-4</v>
      </c>
      <c r="N1100" s="9">
        <v>1.6636999999999999E-4</v>
      </c>
      <c r="O1100" s="9">
        <v>2.0044999999999999E-4</v>
      </c>
      <c r="P1100" s="9">
        <v>1.5394000000000001E-4</v>
      </c>
      <c r="Q1100" s="9">
        <v>1.1082999999999999E-4</v>
      </c>
      <c r="R1100" s="10">
        <v>5.3396837397394782E-5</v>
      </c>
      <c r="S1100" s="10">
        <v>1.4143745872260562E-4</v>
      </c>
      <c r="T1100" s="10">
        <v>2.9415065846944105E-4</v>
      </c>
      <c r="U1100" s="10">
        <v>1.8553999999999999E-4</v>
      </c>
      <c r="V1100" s="25"/>
      <c r="W1100" s="25"/>
      <c r="X1100" s="25"/>
      <c r="Y1100" s="25"/>
      <c r="Z1100" s="25"/>
      <c r="AA1100" s="25"/>
    </row>
    <row r="1101" spans="1:27" x14ac:dyDescent="0.35">
      <c r="A1101" s="5">
        <v>1097</v>
      </c>
      <c r="B1101" s="5">
        <v>46</v>
      </c>
      <c r="C1101" s="5">
        <v>2</v>
      </c>
      <c r="D1101" s="25">
        <v>1.1416E-4</v>
      </c>
      <c r="E1101" s="25">
        <v>1.1668E-4</v>
      </c>
      <c r="F1101" s="25">
        <v>9.6349999999999997E-5</v>
      </c>
      <c r="G1101" s="25">
        <v>1.5684999999999999E-4</v>
      </c>
      <c r="H1101" s="25">
        <v>1.9196999999999999E-4</v>
      </c>
      <c r="I1101" s="9">
        <v>1.3426000000000001E-4</v>
      </c>
      <c r="J1101" s="9">
        <v>1.3994999999999999E-4</v>
      </c>
      <c r="K1101" s="9">
        <v>2.9671E-4</v>
      </c>
      <c r="L1101" s="9">
        <v>1.9618000000000001E-4</v>
      </c>
      <c r="M1101" s="9">
        <v>1.6250999999999999E-4</v>
      </c>
      <c r="N1101" s="9">
        <v>1.5273000000000001E-4</v>
      </c>
      <c r="O1101" s="9">
        <v>2.1550000000000001E-4</v>
      </c>
      <c r="P1101" s="9">
        <v>1.5948000000000001E-4</v>
      </c>
      <c r="Q1101" s="9">
        <v>1.0726999999999999E-4</v>
      </c>
      <c r="R1101" s="10">
        <v>5.8711571414050653E-5</v>
      </c>
      <c r="S1101" s="10">
        <v>1.3021581459988468E-4</v>
      </c>
      <c r="T1101" s="10">
        <v>8.6293808690299535E-5</v>
      </c>
      <c r="U1101" s="10">
        <v>1.8553999999999999E-4</v>
      </c>
      <c r="V1101" s="25"/>
      <c r="W1101" s="25"/>
      <c r="X1101" s="25"/>
      <c r="Y1101" s="25"/>
      <c r="Z1101" s="25"/>
      <c r="AA1101" s="25"/>
    </row>
    <row r="1102" spans="1:27" x14ac:dyDescent="0.35">
      <c r="A1102" s="5">
        <v>1098</v>
      </c>
      <c r="B1102" s="5">
        <v>46</v>
      </c>
      <c r="C1102" s="5">
        <v>2</v>
      </c>
      <c r="D1102" s="25">
        <v>1.1415000000000001E-4</v>
      </c>
      <c r="E1102" s="25">
        <v>1.1548999999999999E-4</v>
      </c>
      <c r="F1102" s="25">
        <v>1.1357E-4</v>
      </c>
      <c r="G1102" s="25">
        <v>1.5846E-4</v>
      </c>
      <c r="H1102" s="25">
        <v>1.92E-4</v>
      </c>
      <c r="I1102" s="9">
        <v>1.381E-4</v>
      </c>
      <c r="J1102" s="9">
        <v>1.4296E-4</v>
      </c>
      <c r="K1102" s="9">
        <v>3.0306000000000002E-4</v>
      </c>
      <c r="L1102" s="9">
        <v>2.1092999999999999E-4</v>
      </c>
      <c r="M1102" s="9">
        <v>1.6003E-4</v>
      </c>
      <c r="N1102" s="9">
        <v>1.3931999999999999E-4</v>
      </c>
      <c r="O1102" s="9">
        <v>2.0482000000000001E-4</v>
      </c>
      <c r="P1102" s="9">
        <v>1.5899999999999999E-4</v>
      </c>
      <c r="Q1102" s="9">
        <v>1.1666E-4</v>
      </c>
      <c r="R1102" s="10">
        <v>7.5064115632933335E-5</v>
      </c>
      <c r="S1102" s="10">
        <v>1.2291447551993152E-4</v>
      </c>
      <c r="T1102" s="10">
        <v>0</v>
      </c>
      <c r="U1102" s="10">
        <v>1.8553999999999999E-4</v>
      </c>
      <c r="V1102" s="25"/>
      <c r="W1102" s="25"/>
      <c r="X1102" s="25"/>
      <c r="Y1102" s="25"/>
      <c r="Z1102" s="25"/>
      <c r="AA1102" s="25"/>
    </row>
    <row r="1103" spans="1:27" x14ac:dyDescent="0.35">
      <c r="A1103" s="5">
        <v>1099</v>
      </c>
      <c r="B1103" s="5">
        <v>46</v>
      </c>
      <c r="C1103" s="5">
        <v>2</v>
      </c>
      <c r="D1103" s="25">
        <v>1.1416E-4</v>
      </c>
      <c r="E1103" s="25">
        <v>1.1619E-4</v>
      </c>
      <c r="F1103" s="25">
        <v>9.5970000000000004E-5</v>
      </c>
      <c r="G1103" s="25">
        <v>1.1501E-4</v>
      </c>
      <c r="H1103" s="25">
        <v>1.3459999999999999E-4</v>
      </c>
      <c r="I1103" s="9">
        <v>1.4667E-4</v>
      </c>
      <c r="J1103" s="9">
        <v>1.4653999999999999E-4</v>
      </c>
      <c r="K1103" s="9">
        <v>3.0729999999999999E-4</v>
      </c>
      <c r="L1103" s="9">
        <v>2.0578999999999999E-4</v>
      </c>
      <c r="M1103" s="9">
        <v>1.5915999999999999E-4</v>
      </c>
      <c r="N1103" s="9">
        <v>1.2994999999999999E-4</v>
      </c>
      <c r="O1103" s="9">
        <v>1.6419000000000001E-4</v>
      </c>
      <c r="P1103" s="9">
        <v>1.3401999999999999E-4</v>
      </c>
      <c r="Q1103" s="9">
        <v>1.0637999999999999E-4</v>
      </c>
      <c r="R1103" s="10">
        <v>1.0544331167963399E-4</v>
      </c>
      <c r="S1103" s="10">
        <v>1.2312158187658816E-4</v>
      </c>
      <c r="T1103" s="10">
        <v>0</v>
      </c>
      <c r="U1103" s="10">
        <v>1.8553999999999999E-4</v>
      </c>
      <c r="V1103" s="25"/>
      <c r="W1103" s="25"/>
      <c r="X1103" s="25"/>
      <c r="Y1103" s="25"/>
      <c r="Z1103" s="25"/>
      <c r="AA1103" s="25"/>
    </row>
    <row r="1104" spans="1:27" x14ac:dyDescent="0.35">
      <c r="A1104" s="5">
        <v>1100</v>
      </c>
      <c r="B1104" s="5">
        <v>46</v>
      </c>
      <c r="C1104" s="5">
        <v>2</v>
      </c>
      <c r="D1104" s="25">
        <v>1.1415000000000001E-4</v>
      </c>
      <c r="E1104" s="25">
        <v>1.1370999999999999E-4</v>
      </c>
      <c r="F1104" s="25">
        <v>1.1178E-4</v>
      </c>
      <c r="G1104" s="25">
        <v>1.1095E-4</v>
      </c>
      <c r="H1104" s="25">
        <v>1.3176999999999999E-4</v>
      </c>
      <c r="I1104" s="9">
        <v>1.4365999999999999E-4</v>
      </c>
      <c r="J1104" s="9">
        <v>1.4436000000000001E-4</v>
      </c>
      <c r="K1104" s="9">
        <v>3.0518E-4</v>
      </c>
      <c r="L1104" s="9">
        <v>1.7358E-4</v>
      </c>
      <c r="M1104" s="9">
        <v>1.5002E-4</v>
      </c>
      <c r="N1104" s="9">
        <v>1.2068E-4</v>
      </c>
      <c r="O1104" s="9">
        <v>1.2800999999999999E-4</v>
      </c>
      <c r="P1104" s="9">
        <v>1.1354E-4</v>
      </c>
      <c r="Q1104" s="9">
        <v>1.0072E-4</v>
      </c>
      <c r="R1104" s="10">
        <v>1.3001025783687464E-4</v>
      </c>
      <c r="S1104" s="10">
        <v>1.2853405746967328E-4</v>
      </c>
      <c r="T1104" s="10">
        <v>0</v>
      </c>
      <c r="U1104" s="10">
        <v>1.8553999999999999E-4</v>
      </c>
      <c r="V1104" s="25"/>
      <c r="W1104" s="25"/>
      <c r="X1104" s="25"/>
      <c r="Y1104" s="25"/>
      <c r="Z1104" s="25"/>
      <c r="AA1104" s="25"/>
    </row>
    <row r="1105" spans="1:27" x14ac:dyDescent="0.35">
      <c r="A1105" s="5">
        <v>1101</v>
      </c>
      <c r="B1105" s="5">
        <v>46</v>
      </c>
      <c r="C1105" s="5">
        <v>2</v>
      </c>
      <c r="D1105" s="25">
        <v>1.1416E-4</v>
      </c>
      <c r="E1105" s="25">
        <v>1.1537E-4</v>
      </c>
      <c r="F1105" s="25">
        <v>1.0977E-4</v>
      </c>
      <c r="G1105" s="25">
        <v>6.3050000000000001E-5</v>
      </c>
      <c r="H1105" s="25">
        <v>7.5439999999999996E-5</v>
      </c>
      <c r="I1105" s="9">
        <v>1.3741E-4</v>
      </c>
      <c r="J1105" s="9">
        <v>1.3741E-4</v>
      </c>
      <c r="K1105" s="9">
        <v>3.0729999999999999E-4</v>
      </c>
      <c r="L1105" s="9">
        <v>1.3903E-4</v>
      </c>
      <c r="M1105" s="9">
        <v>1.3436000000000001E-4</v>
      </c>
      <c r="N1105" s="9">
        <v>1.1275E-4</v>
      </c>
      <c r="O1105" s="9">
        <v>8.4909999999999998E-5</v>
      </c>
      <c r="P1105" s="9">
        <v>8.6260000000000004E-5</v>
      </c>
      <c r="Q1105" s="9">
        <v>8.8250000000000004E-5</v>
      </c>
      <c r="R1105" s="10">
        <v>1.3788094141729875E-4</v>
      </c>
      <c r="S1105" s="10">
        <v>1.3092224462853605E-4</v>
      </c>
      <c r="T1105" s="10">
        <v>0</v>
      </c>
      <c r="U1105" s="10">
        <v>1.8553999999999999E-4</v>
      </c>
      <c r="V1105" s="25"/>
      <c r="W1105" s="25"/>
      <c r="X1105" s="25"/>
      <c r="Y1105" s="25"/>
      <c r="Z1105" s="25"/>
      <c r="AA1105" s="25"/>
    </row>
    <row r="1106" spans="1:27" x14ac:dyDescent="0.35">
      <c r="A1106" s="5">
        <v>1102</v>
      </c>
      <c r="B1106" s="5">
        <v>46</v>
      </c>
      <c r="C1106" s="5">
        <v>2</v>
      </c>
      <c r="D1106" s="25">
        <v>1.1415000000000001E-4</v>
      </c>
      <c r="E1106" s="25">
        <v>1.1336999999999999E-4</v>
      </c>
      <c r="F1106" s="25">
        <v>1.1755E-4</v>
      </c>
      <c r="G1106" s="25">
        <v>5.6069999999999997E-5</v>
      </c>
      <c r="H1106" s="25">
        <v>6.4640000000000005E-5</v>
      </c>
      <c r="I1106" s="9">
        <v>1.3002000000000001E-4</v>
      </c>
      <c r="J1106" s="9">
        <v>1.2913000000000001E-4</v>
      </c>
      <c r="K1106" s="9">
        <v>3.0729999999999999E-4</v>
      </c>
      <c r="L1106" s="9">
        <v>9.7739999999999996E-5</v>
      </c>
      <c r="M1106" s="9">
        <v>1.1302999999999999E-4</v>
      </c>
      <c r="N1106" s="9">
        <v>1.0513E-4</v>
      </c>
      <c r="O1106" s="9">
        <v>8.8140000000000007E-5</v>
      </c>
      <c r="P1106" s="9">
        <v>8.8059999999999994E-5</v>
      </c>
      <c r="Q1106" s="9">
        <v>8.8709999999999996E-5</v>
      </c>
      <c r="R1106" s="10">
        <v>1.3159664947644178E-4</v>
      </c>
      <c r="S1106" s="10">
        <v>1.2736280902110505E-4</v>
      </c>
      <c r="T1106" s="10">
        <v>0</v>
      </c>
      <c r="U1106" s="10">
        <v>1.8553999999999999E-4</v>
      </c>
      <c r="V1106" s="25"/>
      <c r="W1106" s="25"/>
      <c r="X1106" s="25"/>
      <c r="Y1106" s="25"/>
      <c r="Z1106" s="25"/>
      <c r="AA1106" s="25"/>
    </row>
    <row r="1107" spans="1:27" x14ac:dyDescent="0.35">
      <c r="A1107" s="5">
        <v>1103</v>
      </c>
      <c r="B1107" s="5">
        <v>46</v>
      </c>
      <c r="C1107" s="5">
        <v>2</v>
      </c>
      <c r="D1107" s="25">
        <v>1.1416E-4</v>
      </c>
      <c r="E1107" s="25">
        <v>1.1313E-4</v>
      </c>
      <c r="F1107" s="25">
        <v>1.0804E-4</v>
      </c>
      <c r="G1107" s="25">
        <v>5.605E-5</v>
      </c>
      <c r="H1107" s="25">
        <v>7.4499999999999995E-5</v>
      </c>
      <c r="I1107" s="9">
        <v>1.3227000000000001E-4</v>
      </c>
      <c r="J1107" s="9">
        <v>1.1948E-4</v>
      </c>
      <c r="K1107" s="9">
        <v>3.0729999999999999E-4</v>
      </c>
      <c r="L1107" s="9">
        <v>9.1169999999999996E-5</v>
      </c>
      <c r="M1107" s="9">
        <v>9.8830000000000001E-5</v>
      </c>
      <c r="N1107" s="9">
        <v>9.9489999999999998E-5</v>
      </c>
      <c r="O1107" s="9">
        <v>7.7979999999999995E-5</v>
      </c>
      <c r="P1107" s="9">
        <v>7.2080000000000001E-5</v>
      </c>
      <c r="Q1107" s="9">
        <v>6.6840000000000004E-5</v>
      </c>
      <c r="R1107" s="10">
        <v>1.1500049223164984E-4</v>
      </c>
      <c r="S1107" s="10">
        <v>1.2067725095557431E-4</v>
      </c>
      <c r="T1107" s="10">
        <v>0</v>
      </c>
      <c r="U1107" s="10">
        <v>1.8553999999999999E-4</v>
      </c>
      <c r="V1107" s="25"/>
      <c r="W1107" s="25"/>
      <c r="X1107" s="25"/>
      <c r="Y1107" s="25"/>
      <c r="Z1107" s="25"/>
      <c r="AA1107" s="25"/>
    </row>
    <row r="1108" spans="1:27" x14ac:dyDescent="0.35">
      <c r="A1108" s="5">
        <v>1104</v>
      </c>
      <c r="B1108" s="5">
        <v>46</v>
      </c>
      <c r="C1108" s="5">
        <v>2</v>
      </c>
      <c r="D1108" s="25">
        <v>1.1415000000000001E-4</v>
      </c>
      <c r="E1108" s="25">
        <v>1.1508E-4</v>
      </c>
      <c r="F1108" s="25">
        <v>1.0527999999999999E-4</v>
      </c>
      <c r="G1108" s="25">
        <v>6.0560000000000003E-5</v>
      </c>
      <c r="H1108" s="25">
        <v>7.381E-5</v>
      </c>
      <c r="I1108" s="9">
        <v>1.3150999999999999E-4</v>
      </c>
      <c r="J1108" s="9">
        <v>1.1145999999999999E-4</v>
      </c>
      <c r="K1108" s="9">
        <v>3.0941999999999998E-4</v>
      </c>
      <c r="L1108" s="9">
        <v>8.085E-5</v>
      </c>
      <c r="M1108" s="9">
        <v>8.6089999999999997E-5</v>
      </c>
      <c r="N1108" s="9">
        <v>9.0309999999999994E-5</v>
      </c>
      <c r="O1108" s="9">
        <v>6.3239999999999998E-5</v>
      </c>
      <c r="P1108" s="9">
        <v>6.1080000000000005E-5</v>
      </c>
      <c r="Q1108" s="9">
        <v>5.9249999999999997E-5</v>
      </c>
      <c r="R1108" s="10">
        <v>7.928348615858002E-5</v>
      </c>
      <c r="S1108" s="10">
        <v>1.0325744313113409E-4</v>
      </c>
      <c r="T1108" s="10">
        <v>0</v>
      </c>
      <c r="U1108" s="10">
        <v>1.8553999999999999E-4</v>
      </c>
      <c r="V1108" s="25"/>
      <c r="W1108" s="25"/>
      <c r="X1108" s="25"/>
      <c r="Y1108" s="25"/>
      <c r="Z1108" s="25"/>
      <c r="AA1108" s="25"/>
    </row>
    <row r="1109" spans="1:27" x14ac:dyDescent="0.35">
      <c r="A1109" s="5">
        <v>1105</v>
      </c>
      <c r="B1109" s="5">
        <v>47</v>
      </c>
      <c r="C1109" s="5">
        <v>2</v>
      </c>
      <c r="D1109" s="25">
        <v>1.1416E-4</v>
      </c>
      <c r="E1109" s="25">
        <v>1.1553999999999999E-4</v>
      </c>
      <c r="F1109" s="25">
        <v>1.0838E-4</v>
      </c>
      <c r="G1109" s="25">
        <v>6.1020000000000002E-5</v>
      </c>
      <c r="H1109" s="25">
        <v>7.1849999999999998E-5</v>
      </c>
      <c r="I1109" s="9">
        <v>1.2485999999999999E-4</v>
      </c>
      <c r="J1109" s="9">
        <v>1.0472E-4</v>
      </c>
      <c r="K1109" s="9">
        <v>3.1789999999999998E-4</v>
      </c>
      <c r="L1109" s="9">
        <v>6.7130000000000003E-5</v>
      </c>
      <c r="M1109" s="9">
        <v>7.415E-5</v>
      </c>
      <c r="N1109" s="9">
        <v>8.1089999999999998E-5</v>
      </c>
      <c r="O1109" s="9">
        <v>5.4589999999999997E-5</v>
      </c>
      <c r="P1109" s="9">
        <v>5.401E-5</v>
      </c>
      <c r="Q1109" s="9">
        <v>5.3579999999999999E-5</v>
      </c>
      <c r="R1109" s="10">
        <v>5.3020940785572787E-5</v>
      </c>
      <c r="S1109" s="10">
        <v>8.3874189908865045E-5</v>
      </c>
      <c r="T1109" s="10">
        <v>0</v>
      </c>
      <c r="U1109" s="10">
        <v>1.8415E-4</v>
      </c>
      <c r="V1109" s="25"/>
      <c r="W1109" s="25"/>
      <c r="X1109" s="25"/>
      <c r="Y1109" s="25"/>
      <c r="Z1109" s="25"/>
      <c r="AA1109" s="25"/>
    </row>
    <row r="1110" spans="1:27" x14ac:dyDescent="0.35">
      <c r="A1110" s="5">
        <v>1106</v>
      </c>
      <c r="B1110" s="5">
        <v>47</v>
      </c>
      <c r="C1110" s="5">
        <v>2</v>
      </c>
      <c r="D1110" s="25">
        <v>1.1415000000000001E-4</v>
      </c>
      <c r="E1110" s="25">
        <v>1.2176E-4</v>
      </c>
      <c r="F1110" s="25">
        <v>9.7869999999999996E-5</v>
      </c>
      <c r="G1110" s="25">
        <v>5.2129999999999997E-5</v>
      </c>
      <c r="H1110" s="25">
        <v>6.4599999999999998E-5</v>
      </c>
      <c r="I1110" s="9">
        <v>1.1941E-4</v>
      </c>
      <c r="J1110" s="9">
        <v>1.0039000000000001E-4</v>
      </c>
      <c r="K1110" s="9">
        <v>3.3484999999999998E-4</v>
      </c>
      <c r="L1110" s="9">
        <v>5.7729999999999998E-5</v>
      </c>
      <c r="M1110" s="9">
        <v>6.4060000000000007E-5</v>
      </c>
      <c r="N1110" s="9">
        <v>7.2119999999999994E-5</v>
      </c>
      <c r="O1110" s="9">
        <v>1.8669999999999999E-5</v>
      </c>
      <c r="P1110" s="9">
        <v>3.8000000000000002E-5</v>
      </c>
      <c r="Q1110" s="9">
        <v>5.6560000000000001E-5</v>
      </c>
      <c r="R1110" s="10">
        <v>4.3382113025137425E-5</v>
      </c>
      <c r="S1110" s="10">
        <v>8.279294505894064E-5</v>
      </c>
      <c r="T1110" s="10">
        <v>0</v>
      </c>
      <c r="U1110" s="10">
        <v>1.8415E-4</v>
      </c>
      <c r="V1110" s="25"/>
      <c r="W1110" s="25"/>
      <c r="X1110" s="25"/>
      <c r="Y1110" s="25"/>
      <c r="Z1110" s="25"/>
      <c r="AA1110" s="25"/>
    </row>
    <row r="1111" spans="1:27" x14ac:dyDescent="0.35">
      <c r="A1111" s="5">
        <v>1107</v>
      </c>
      <c r="B1111" s="5">
        <v>47</v>
      </c>
      <c r="C1111" s="5">
        <v>2</v>
      </c>
      <c r="D1111" s="25">
        <v>1.1416E-4</v>
      </c>
      <c r="E1111" s="25">
        <v>1.2448E-4</v>
      </c>
      <c r="F1111" s="25">
        <v>1.0572E-4</v>
      </c>
      <c r="G1111" s="25">
        <v>5.804E-5</v>
      </c>
      <c r="H1111" s="25">
        <v>6.5560000000000002E-5</v>
      </c>
      <c r="I1111" s="9">
        <v>1.1603E-4</v>
      </c>
      <c r="J1111" s="9">
        <v>9.8969999999999996E-5</v>
      </c>
      <c r="K1111" s="9">
        <v>3.3909000000000001E-4</v>
      </c>
      <c r="L1111" s="9">
        <v>2.747E-5</v>
      </c>
      <c r="M1111" s="9">
        <v>5.2380000000000003E-5</v>
      </c>
      <c r="N1111" s="9">
        <v>6.567E-5</v>
      </c>
      <c r="O1111" s="9">
        <v>1.307E-5</v>
      </c>
      <c r="P1111" s="9">
        <v>3.7920000000000003E-5</v>
      </c>
      <c r="Q1111" s="9">
        <v>6.1799999999999998E-5</v>
      </c>
      <c r="R1111" s="10">
        <v>3.8229705280278687E-5</v>
      </c>
      <c r="S1111" s="10">
        <v>8.637328779776718E-5</v>
      </c>
      <c r="T1111" s="10">
        <v>0</v>
      </c>
      <c r="U1111" s="10">
        <v>1.8415E-4</v>
      </c>
      <c r="V1111" s="25"/>
      <c r="W1111" s="25"/>
      <c r="X1111" s="25"/>
      <c r="Y1111" s="25"/>
      <c r="Z1111" s="25"/>
      <c r="AA1111" s="25"/>
    </row>
    <row r="1112" spans="1:27" x14ac:dyDescent="0.35">
      <c r="A1112" s="5">
        <v>1108</v>
      </c>
      <c r="B1112" s="5">
        <v>47</v>
      </c>
      <c r="C1112" s="5">
        <v>2</v>
      </c>
      <c r="D1112" s="25">
        <v>1.1415000000000001E-4</v>
      </c>
      <c r="E1112" s="25">
        <v>1.1563E-4</v>
      </c>
      <c r="F1112" s="25">
        <v>8.7960000000000005E-5</v>
      </c>
      <c r="G1112" s="25">
        <v>5.6610000000000002E-5</v>
      </c>
      <c r="H1112" s="25">
        <v>7.2449999999999999E-5</v>
      </c>
      <c r="I1112" s="9">
        <v>1.1328E-4</v>
      </c>
      <c r="J1112" s="9">
        <v>9.7979999999999994E-5</v>
      </c>
      <c r="K1112" s="9">
        <v>3.4545000000000002E-4</v>
      </c>
      <c r="L1112" s="9">
        <v>1.6990000000000002E-5</v>
      </c>
      <c r="M1112" s="9">
        <v>4.4379999999999999E-5</v>
      </c>
      <c r="N1112" s="9">
        <v>6.2130000000000003E-5</v>
      </c>
      <c r="O1112" s="9">
        <v>1.308E-5</v>
      </c>
      <c r="P1112" s="9">
        <v>4.7420000000000003E-5</v>
      </c>
      <c r="Q1112" s="9">
        <v>8.0660000000000004E-5</v>
      </c>
      <c r="R1112" s="10">
        <v>3.8205212280352833E-5</v>
      </c>
      <c r="S1112" s="10">
        <v>8.8224819617130189E-5</v>
      </c>
      <c r="T1112" s="10">
        <v>0</v>
      </c>
      <c r="U1112" s="10">
        <v>1.8415E-4</v>
      </c>
      <c r="V1112" s="25"/>
      <c r="W1112" s="25"/>
      <c r="X1112" s="25"/>
      <c r="Y1112" s="25"/>
      <c r="Z1112" s="25"/>
      <c r="AA1112" s="25"/>
    </row>
    <row r="1113" spans="1:27" x14ac:dyDescent="0.35">
      <c r="A1113" s="5">
        <v>1109</v>
      </c>
      <c r="B1113" s="5">
        <v>47</v>
      </c>
      <c r="C1113" s="5">
        <v>2</v>
      </c>
      <c r="D1113" s="25">
        <v>1.1416E-4</v>
      </c>
      <c r="E1113" s="25">
        <v>1.1391999999999999E-4</v>
      </c>
      <c r="F1113" s="25">
        <v>9.8980000000000004E-5</v>
      </c>
      <c r="G1113" s="25">
        <v>5.4669999999999997E-5</v>
      </c>
      <c r="H1113" s="25">
        <v>7.1790000000000002E-5</v>
      </c>
      <c r="I1113" s="9">
        <v>1.1395000000000001E-4</v>
      </c>
      <c r="J1113" s="9">
        <v>9.8859999999999999E-5</v>
      </c>
      <c r="K1113" s="9">
        <v>3.5392000000000003E-4</v>
      </c>
      <c r="L1113" s="9">
        <v>1.419E-5</v>
      </c>
      <c r="M1113" s="9">
        <v>4.3680000000000002E-5</v>
      </c>
      <c r="N1113" s="9">
        <v>6.4709999999999995E-5</v>
      </c>
      <c r="O1113" s="9">
        <v>1.8689999999999999E-5</v>
      </c>
      <c r="P1113" s="9">
        <v>5.7070000000000001E-5</v>
      </c>
      <c r="Q1113" s="9">
        <v>9.4370000000000006E-5</v>
      </c>
      <c r="R1113" s="10">
        <v>4.034356370963512E-5</v>
      </c>
      <c r="S1113" s="10">
        <v>8.6303149608557832E-5</v>
      </c>
      <c r="T1113" s="10">
        <v>0</v>
      </c>
      <c r="U1113" s="10">
        <v>1.8415E-4</v>
      </c>
      <c r="V1113" s="25"/>
      <c r="W1113" s="25"/>
      <c r="X1113" s="25"/>
      <c r="Y1113" s="25"/>
      <c r="Z1113" s="25"/>
      <c r="AA1113" s="25"/>
    </row>
    <row r="1114" spans="1:27" x14ac:dyDescent="0.35">
      <c r="A1114" s="5">
        <v>1110</v>
      </c>
      <c r="B1114" s="5">
        <v>47</v>
      </c>
      <c r="C1114" s="5">
        <v>2</v>
      </c>
      <c r="D1114" s="25">
        <v>1.1415000000000001E-4</v>
      </c>
      <c r="E1114" s="25">
        <v>1.1382E-4</v>
      </c>
      <c r="F1114" s="25">
        <v>1.0035E-4</v>
      </c>
      <c r="G1114" s="25">
        <v>1.1061E-4</v>
      </c>
      <c r="H1114" s="25">
        <v>1.3594E-4</v>
      </c>
      <c r="I1114" s="9">
        <v>1.1893E-4</v>
      </c>
      <c r="J1114" s="9">
        <v>1.0299E-4</v>
      </c>
      <c r="K1114" s="9">
        <v>3.4968E-4</v>
      </c>
      <c r="L1114" s="9">
        <v>1.7569999999999999E-5</v>
      </c>
      <c r="M1114" s="9">
        <v>4.867E-5</v>
      </c>
      <c r="N1114" s="9">
        <v>7.1370000000000003E-5</v>
      </c>
      <c r="O1114" s="9">
        <v>4.6159999999999999E-5</v>
      </c>
      <c r="P1114" s="9">
        <v>7.6769999999999999E-5</v>
      </c>
      <c r="Q1114" s="9">
        <v>1.069E-4</v>
      </c>
      <c r="R1114" s="10">
        <v>4.4022580869854942E-5</v>
      </c>
      <c r="S1114" s="10">
        <v>8.6710238845066597E-5</v>
      </c>
      <c r="T1114" s="10">
        <v>0</v>
      </c>
      <c r="U1114" s="10">
        <v>1.8415E-4</v>
      </c>
      <c r="V1114" s="25"/>
      <c r="W1114" s="25"/>
      <c r="X1114" s="25"/>
      <c r="Y1114" s="25"/>
      <c r="Z1114" s="25"/>
      <c r="AA1114" s="25"/>
    </row>
    <row r="1115" spans="1:27" x14ac:dyDescent="0.35">
      <c r="A1115" s="5">
        <v>1111</v>
      </c>
      <c r="B1115" s="5">
        <v>47</v>
      </c>
      <c r="C1115" s="5">
        <v>2</v>
      </c>
      <c r="D1115" s="25">
        <v>1.1416E-4</v>
      </c>
      <c r="E1115" s="25">
        <v>1.1462E-4</v>
      </c>
      <c r="F1115" s="25">
        <v>1.0383E-4</v>
      </c>
      <c r="G1115" s="25">
        <v>1.13E-4</v>
      </c>
      <c r="H1115" s="25">
        <v>1.2589E-4</v>
      </c>
      <c r="I1115" s="9">
        <v>1.3200000000000001E-4</v>
      </c>
      <c r="J1115" s="9">
        <v>1.1511E-4</v>
      </c>
      <c r="K1115" s="9">
        <v>3.5392000000000003E-4</v>
      </c>
      <c r="L1115" s="9">
        <v>3.9730000000000001E-5</v>
      </c>
      <c r="M1115" s="9">
        <v>6.0189999999999998E-5</v>
      </c>
      <c r="N1115" s="9">
        <v>8.0989999999999995E-5</v>
      </c>
      <c r="O1115" s="9">
        <v>1.2416E-4</v>
      </c>
      <c r="P1115" s="9">
        <v>1.1776E-4</v>
      </c>
      <c r="Q1115" s="9">
        <v>1.128E-4</v>
      </c>
      <c r="R1115" s="10">
        <v>4.7609209962338563E-5</v>
      </c>
      <c r="S1115" s="10">
        <v>8.9183721468493295E-5</v>
      </c>
      <c r="T1115" s="10">
        <v>0</v>
      </c>
      <c r="U1115" s="10">
        <v>1.8415E-4</v>
      </c>
      <c r="V1115" s="25"/>
      <c r="W1115" s="25"/>
      <c r="X1115" s="25"/>
      <c r="Y1115" s="25"/>
      <c r="Z1115" s="25"/>
      <c r="AA1115" s="25"/>
    </row>
    <row r="1116" spans="1:27" x14ac:dyDescent="0.35">
      <c r="A1116" s="5">
        <v>1112</v>
      </c>
      <c r="B1116" s="5">
        <v>47</v>
      </c>
      <c r="C1116" s="5">
        <v>2</v>
      </c>
      <c r="D1116" s="25">
        <v>1.1415000000000001E-4</v>
      </c>
      <c r="E1116" s="25">
        <v>1.2347000000000001E-4</v>
      </c>
      <c r="F1116" s="25">
        <v>1.0590999999999999E-4</v>
      </c>
      <c r="G1116" s="25">
        <v>1.6314000000000001E-4</v>
      </c>
      <c r="H1116" s="25">
        <v>1.9677E-4</v>
      </c>
      <c r="I1116" s="9">
        <v>1.4321000000000001E-4</v>
      </c>
      <c r="J1116" s="9">
        <v>1.3344E-4</v>
      </c>
      <c r="K1116" s="9">
        <v>3.4120999999999999E-4</v>
      </c>
      <c r="L1116" s="9">
        <v>1.0497000000000001E-4</v>
      </c>
      <c r="M1116" s="9">
        <v>8.3880000000000003E-5</v>
      </c>
      <c r="N1116" s="9">
        <v>9.111E-5</v>
      </c>
      <c r="O1116" s="9">
        <v>2.2127E-4</v>
      </c>
      <c r="P1116" s="9">
        <v>1.7723000000000001E-4</v>
      </c>
      <c r="Q1116" s="9">
        <v>1.3690999999999999E-4</v>
      </c>
      <c r="R1116" s="10">
        <v>4.8838361993589715E-5</v>
      </c>
      <c r="S1116" s="10">
        <v>8.8502637791495128E-5</v>
      </c>
      <c r="T1116" s="10">
        <v>0</v>
      </c>
      <c r="U1116" s="10">
        <v>1.8415E-4</v>
      </c>
      <c r="V1116" s="25"/>
      <c r="W1116" s="25"/>
      <c r="X1116" s="25"/>
      <c r="Y1116" s="25"/>
      <c r="Z1116" s="25"/>
      <c r="AA1116" s="25"/>
    </row>
    <row r="1117" spans="1:27" x14ac:dyDescent="0.35">
      <c r="A1117" s="5">
        <v>1113</v>
      </c>
      <c r="B1117" s="5">
        <v>47</v>
      </c>
      <c r="C1117" s="5">
        <v>2</v>
      </c>
      <c r="D1117" s="25">
        <v>1.1416E-4</v>
      </c>
      <c r="E1117" s="25">
        <v>1.2353E-4</v>
      </c>
      <c r="F1117" s="25">
        <v>9.0470000000000006E-5</v>
      </c>
      <c r="G1117" s="25">
        <v>1.6456000000000001E-4</v>
      </c>
      <c r="H1117" s="25">
        <v>1.9515999999999999E-4</v>
      </c>
      <c r="I1117" s="9">
        <v>1.4270999999999999E-4</v>
      </c>
      <c r="J1117" s="9">
        <v>1.4182999999999999E-4</v>
      </c>
      <c r="K1117" s="9">
        <v>3.2214E-4</v>
      </c>
      <c r="L1117" s="9">
        <v>1.939E-4</v>
      </c>
      <c r="M1117" s="9">
        <v>1.2362000000000001E-4</v>
      </c>
      <c r="N1117" s="9">
        <v>1.0484000000000001E-4</v>
      </c>
      <c r="O1117" s="9">
        <v>2.1178000000000001E-4</v>
      </c>
      <c r="P1117" s="9">
        <v>1.9242E-4</v>
      </c>
      <c r="Q1117" s="9">
        <v>1.7621999999999999E-4</v>
      </c>
      <c r="R1117" s="10">
        <v>4.6438963924618888E-5</v>
      </c>
      <c r="S1117" s="10">
        <v>7.5092910929614229E-5</v>
      </c>
      <c r="T1117" s="10">
        <v>2.0493825080269249E-4</v>
      </c>
      <c r="U1117" s="10">
        <v>1.8415E-4</v>
      </c>
      <c r="V1117" s="25"/>
      <c r="W1117" s="25"/>
      <c r="X1117" s="25"/>
      <c r="Y1117" s="25"/>
      <c r="Z1117" s="25"/>
      <c r="AA1117" s="25"/>
    </row>
    <row r="1118" spans="1:27" x14ac:dyDescent="0.35">
      <c r="A1118" s="5">
        <v>1114</v>
      </c>
      <c r="B1118" s="5">
        <v>47</v>
      </c>
      <c r="C1118" s="5">
        <v>2</v>
      </c>
      <c r="D1118" s="25">
        <v>1.1415000000000001E-4</v>
      </c>
      <c r="E1118" s="25">
        <v>1.1551E-4</v>
      </c>
      <c r="F1118" s="25">
        <v>9.064E-5</v>
      </c>
      <c r="G1118" s="25">
        <v>1.6138E-4</v>
      </c>
      <c r="H1118" s="25">
        <v>2.0116000000000001E-4</v>
      </c>
      <c r="I1118" s="9">
        <v>1.4249E-4</v>
      </c>
      <c r="J1118" s="9">
        <v>1.4401E-4</v>
      </c>
      <c r="K1118" s="9">
        <v>3.1577999999999999E-4</v>
      </c>
      <c r="L1118" s="9">
        <v>2.0551E-4</v>
      </c>
      <c r="M1118" s="9">
        <v>1.5846E-4</v>
      </c>
      <c r="N1118" s="9">
        <v>1.2464E-4</v>
      </c>
      <c r="O1118" s="9">
        <v>1.6657E-4</v>
      </c>
      <c r="P1118" s="9">
        <v>1.7249999999999999E-4</v>
      </c>
      <c r="Q1118" s="9">
        <v>1.8043000000000001E-4</v>
      </c>
      <c r="R1118" s="10">
        <v>4.0341074416859467E-5</v>
      </c>
      <c r="S1118" s="10">
        <v>6.4038398055612302E-5</v>
      </c>
      <c r="T1118" s="10">
        <v>3.9301819879665185E-4</v>
      </c>
      <c r="U1118" s="10">
        <v>1.8415E-4</v>
      </c>
      <c r="V1118" s="25"/>
      <c r="W1118" s="25"/>
      <c r="X1118" s="25"/>
      <c r="Y1118" s="25"/>
      <c r="Z1118" s="25"/>
      <c r="AA1118" s="25"/>
    </row>
    <row r="1119" spans="1:27" x14ac:dyDescent="0.35">
      <c r="A1119" s="5">
        <v>1115</v>
      </c>
      <c r="B1119" s="5">
        <v>47</v>
      </c>
      <c r="C1119" s="5">
        <v>2</v>
      </c>
      <c r="D1119" s="25">
        <v>1.1416E-4</v>
      </c>
      <c r="E1119" s="25">
        <v>1.192E-4</v>
      </c>
      <c r="F1119" s="25">
        <v>9.2410000000000005E-5</v>
      </c>
      <c r="G1119" s="25">
        <v>1.6635E-4</v>
      </c>
      <c r="H1119" s="25">
        <v>1.9264E-4</v>
      </c>
      <c r="I1119" s="9">
        <v>1.4185000000000001E-4</v>
      </c>
      <c r="J1119" s="9">
        <v>1.4197E-4</v>
      </c>
      <c r="K1119" s="9">
        <v>3.0729999999999999E-4</v>
      </c>
      <c r="L1119" s="9">
        <v>1.7524000000000001E-4</v>
      </c>
      <c r="M1119" s="9">
        <v>1.7157000000000001E-4</v>
      </c>
      <c r="N1119" s="9">
        <v>1.4228999999999999E-4</v>
      </c>
      <c r="O1119" s="9">
        <v>1.6862999999999999E-4</v>
      </c>
      <c r="P1119" s="9">
        <v>1.7327999999999999E-4</v>
      </c>
      <c r="Q1119" s="9">
        <v>1.7997999999999999E-4</v>
      </c>
      <c r="R1119" s="10">
        <v>2.7228341824699128E-5</v>
      </c>
      <c r="S1119" s="10">
        <v>6.0859372216682113E-5</v>
      </c>
      <c r="T1119" s="10">
        <v>5.3935539398790994E-4</v>
      </c>
      <c r="U1119" s="10">
        <v>1.8415E-4</v>
      </c>
      <c r="V1119" s="25"/>
      <c r="W1119" s="25"/>
      <c r="X1119" s="25"/>
      <c r="Y1119" s="25"/>
      <c r="Z1119" s="25"/>
      <c r="AA1119" s="25"/>
    </row>
    <row r="1120" spans="1:27" x14ac:dyDescent="0.35">
      <c r="A1120" s="5">
        <v>1116</v>
      </c>
      <c r="B1120" s="5">
        <v>47</v>
      </c>
      <c r="C1120" s="5">
        <v>2</v>
      </c>
      <c r="D1120" s="25">
        <v>1.1415000000000001E-4</v>
      </c>
      <c r="E1120" s="25">
        <v>1.1794999999999999E-4</v>
      </c>
      <c r="F1120" s="25">
        <v>9.0500000000000004E-5</v>
      </c>
      <c r="G1120" s="25">
        <v>1.6087999999999999E-4</v>
      </c>
      <c r="H1120" s="25">
        <v>1.9971999999999999E-4</v>
      </c>
      <c r="I1120" s="9">
        <v>1.4166999999999999E-4</v>
      </c>
      <c r="J1120" s="9">
        <v>1.3924E-4</v>
      </c>
      <c r="K1120" s="9">
        <v>2.8397999999999997E-4</v>
      </c>
      <c r="L1120" s="9">
        <v>1.7153000000000001E-4</v>
      </c>
      <c r="M1120" s="9">
        <v>1.7435000000000001E-4</v>
      </c>
      <c r="N1120" s="9">
        <v>1.5646E-4</v>
      </c>
      <c r="O1120" s="9">
        <v>1.7024E-4</v>
      </c>
      <c r="P1120" s="9">
        <v>1.7076E-4</v>
      </c>
      <c r="Q1120" s="9">
        <v>1.7342E-4</v>
      </c>
      <c r="R1120" s="10">
        <v>1.3466489485616297E-5</v>
      </c>
      <c r="S1120" s="10">
        <v>5.8331959673334189E-5</v>
      </c>
      <c r="T1120" s="10">
        <v>6.2463957105554256E-4</v>
      </c>
      <c r="U1120" s="10">
        <v>1.8415E-4</v>
      </c>
      <c r="V1120" s="25"/>
      <c r="W1120" s="25"/>
      <c r="X1120" s="25"/>
      <c r="Y1120" s="25"/>
      <c r="Z1120" s="25"/>
      <c r="AA1120" s="25"/>
    </row>
    <row r="1121" spans="1:27" x14ac:dyDescent="0.35">
      <c r="A1121" s="5">
        <v>1117</v>
      </c>
      <c r="B1121" s="5">
        <v>47</v>
      </c>
      <c r="C1121" s="5">
        <v>2</v>
      </c>
      <c r="D1121" s="25">
        <v>1.1416E-4</v>
      </c>
      <c r="E1121" s="25">
        <v>1.1386E-4</v>
      </c>
      <c r="F1121" s="25">
        <v>1.0003E-4</v>
      </c>
      <c r="G1121" s="25">
        <v>1.5923000000000001E-4</v>
      </c>
      <c r="H1121" s="25">
        <v>1.9843000000000001E-4</v>
      </c>
      <c r="I1121" s="9">
        <v>1.3763999999999999E-4</v>
      </c>
      <c r="J1121" s="9">
        <v>1.3517999999999999E-4</v>
      </c>
      <c r="K1121" s="9">
        <v>2.8399000000000002E-4</v>
      </c>
      <c r="L1121" s="9">
        <v>1.7064000000000001E-4</v>
      </c>
      <c r="M1121" s="9">
        <v>1.7332E-4</v>
      </c>
      <c r="N1121" s="9">
        <v>1.6577000000000001E-4</v>
      </c>
      <c r="O1121" s="9">
        <v>1.6284000000000001E-4</v>
      </c>
      <c r="P1121" s="9">
        <v>1.6425000000000001E-4</v>
      </c>
      <c r="Q1121" s="9">
        <v>1.6765000000000001E-4</v>
      </c>
      <c r="R1121" s="10">
        <v>1.4759162827013564E-5</v>
      </c>
      <c r="S1121" s="10">
        <v>6.1232168253659458E-5</v>
      </c>
      <c r="T1121" s="10">
        <v>6.4816653315348776E-4</v>
      </c>
      <c r="U1121" s="10">
        <v>1.8415E-4</v>
      </c>
      <c r="V1121" s="25"/>
      <c r="W1121" s="25"/>
      <c r="X1121" s="25"/>
      <c r="Y1121" s="25"/>
      <c r="Z1121" s="25"/>
      <c r="AA1121" s="25"/>
    </row>
    <row r="1122" spans="1:27" x14ac:dyDescent="0.35">
      <c r="A1122" s="5">
        <v>1118</v>
      </c>
      <c r="B1122" s="5">
        <v>47</v>
      </c>
      <c r="C1122" s="5">
        <v>2</v>
      </c>
      <c r="D1122" s="25">
        <v>1.1415000000000001E-4</v>
      </c>
      <c r="E1122" s="25">
        <v>1.178E-4</v>
      </c>
      <c r="F1122" s="25">
        <v>1.0836E-4</v>
      </c>
      <c r="G1122" s="25">
        <v>1.6095000000000001E-4</v>
      </c>
      <c r="H1122" s="25">
        <v>1.9692000000000001E-4</v>
      </c>
      <c r="I1122" s="9">
        <v>1.3685999999999999E-4</v>
      </c>
      <c r="J1122" s="9">
        <v>1.3520000000000001E-4</v>
      </c>
      <c r="K1122" s="9">
        <v>2.7975E-4</v>
      </c>
      <c r="L1122" s="9">
        <v>1.6432E-4</v>
      </c>
      <c r="M1122" s="9">
        <v>1.6975000000000001E-4</v>
      </c>
      <c r="N1122" s="9">
        <v>1.7018E-4</v>
      </c>
      <c r="O1122" s="9">
        <v>1.8032000000000001E-4</v>
      </c>
      <c r="P1122" s="9">
        <v>1.6977E-4</v>
      </c>
      <c r="Q1122" s="9">
        <v>1.617E-4</v>
      </c>
      <c r="R1122" s="10">
        <v>1.8779206354025641E-5</v>
      </c>
      <c r="S1122" s="10">
        <v>6.2283694960211624E-5</v>
      </c>
      <c r="T1122" s="10">
        <v>0</v>
      </c>
      <c r="U1122" s="10">
        <v>1.8415E-4</v>
      </c>
      <c r="V1122" s="25"/>
      <c r="W1122" s="25"/>
      <c r="X1122" s="25"/>
      <c r="Y1122" s="25"/>
      <c r="Z1122" s="25"/>
      <c r="AA1122" s="25"/>
    </row>
    <row r="1123" spans="1:27" x14ac:dyDescent="0.35">
      <c r="A1123" s="5">
        <v>1119</v>
      </c>
      <c r="B1123" s="5">
        <v>47</v>
      </c>
      <c r="C1123" s="5">
        <v>2</v>
      </c>
      <c r="D1123" s="25">
        <v>1.1416E-4</v>
      </c>
      <c r="E1123" s="25">
        <v>1.2129E-4</v>
      </c>
      <c r="F1123" s="25">
        <v>1.0293000000000001E-4</v>
      </c>
      <c r="G1123" s="25">
        <v>1.5694999999999999E-4</v>
      </c>
      <c r="H1123" s="25">
        <v>1.9332999999999999E-4</v>
      </c>
      <c r="I1123" s="9">
        <v>1.3483000000000001E-4</v>
      </c>
      <c r="J1123" s="9">
        <v>1.3506E-4</v>
      </c>
      <c r="K1123" s="9">
        <v>2.8610000000000002E-4</v>
      </c>
      <c r="L1123" s="9">
        <v>1.7696000000000001E-4</v>
      </c>
      <c r="M1123" s="9">
        <v>1.6872E-4</v>
      </c>
      <c r="N1123" s="9">
        <v>1.6998999999999999E-4</v>
      </c>
      <c r="O1123" s="9">
        <v>1.8468E-4</v>
      </c>
      <c r="P1123" s="9">
        <v>1.6731E-4</v>
      </c>
      <c r="Q1123" s="9">
        <v>1.5260999999999999E-4</v>
      </c>
      <c r="R1123" s="10">
        <v>1.9481047103861283E-5</v>
      </c>
      <c r="S1123" s="10">
        <v>6.0515087107481288E-5</v>
      </c>
      <c r="T1123" s="10">
        <v>4.629457940405264E-4</v>
      </c>
      <c r="U1123" s="10">
        <v>1.8415E-4</v>
      </c>
      <c r="V1123" s="25"/>
      <c r="W1123" s="25"/>
      <c r="X1123" s="25"/>
      <c r="Y1123" s="25"/>
      <c r="Z1123" s="25"/>
      <c r="AA1123" s="25"/>
    </row>
    <row r="1124" spans="1:27" x14ac:dyDescent="0.35">
      <c r="A1124" s="5">
        <v>1120</v>
      </c>
      <c r="B1124" s="5">
        <v>47</v>
      </c>
      <c r="C1124" s="5">
        <v>2</v>
      </c>
      <c r="D1124" s="25">
        <v>1.1415000000000001E-4</v>
      </c>
      <c r="E1124" s="25">
        <v>1.2052E-4</v>
      </c>
      <c r="F1124" s="25">
        <v>9.6639999999999996E-5</v>
      </c>
      <c r="G1124" s="25">
        <v>1.6492000000000001E-4</v>
      </c>
      <c r="H1124" s="25">
        <v>2.0131000000000001E-4</v>
      </c>
      <c r="I1124" s="9">
        <v>1.3454E-4</v>
      </c>
      <c r="J1124" s="9">
        <v>1.3595E-4</v>
      </c>
      <c r="K1124" s="9">
        <v>2.9458000000000002E-4</v>
      </c>
      <c r="L1124" s="9">
        <v>1.8264999999999999E-4</v>
      </c>
      <c r="M1124" s="9">
        <v>1.6804999999999999E-4</v>
      </c>
      <c r="N1124" s="9">
        <v>1.6621E-4</v>
      </c>
      <c r="O1124" s="9">
        <v>1.9871999999999999E-4</v>
      </c>
      <c r="P1124" s="9">
        <v>1.5262000000000001E-4</v>
      </c>
      <c r="Q1124" s="9">
        <v>1.0988E-4</v>
      </c>
      <c r="R1124" s="10">
        <v>2.0720643988375821E-5</v>
      </c>
      <c r="S1124" s="10">
        <v>6.0162930234613789E-5</v>
      </c>
      <c r="T1124" s="10">
        <v>0</v>
      </c>
      <c r="U1124" s="10">
        <v>1.8415E-4</v>
      </c>
      <c r="V1124" s="25"/>
      <c r="W1124" s="25"/>
      <c r="X1124" s="25"/>
      <c r="Y1124" s="25"/>
      <c r="Z1124" s="25"/>
      <c r="AA1124" s="25"/>
    </row>
    <row r="1125" spans="1:27" x14ac:dyDescent="0.35">
      <c r="A1125" s="5">
        <v>1121</v>
      </c>
      <c r="B1125" s="5">
        <v>47</v>
      </c>
      <c r="C1125" s="5">
        <v>2</v>
      </c>
      <c r="D1125" s="25">
        <v>1.1416E-4</v>
      </c>
      <c r="E1125" s="25">
        <v>1.1548E-4</v>
      </c>
      <c r="F1125" s="25">
        <v>1.0451E-4</v>
      </c>
      <c r="G1125" s="25">
        <v>1.6747999999999999E-4</v>
      </c>
      <c r="H1125" s="25">
        <v>1.8870000000000001E-4</v>
      </c>
      <c r="I1125" s="9">
        <v>1.3247000000000001E-4</v>
      </c>
      <c r="J1125" s="9">
        <v>1.3904999999999999E-4</v>
      </c>
      <c r="K1125" s="9">
        <v>3.0306000000000002E-4</v>
      </c>
      <c r="L1125" s="9">
        <v>1.9498000000000001E-4</v>
      </c>
      <c r="M1125" s="9">
        <v>1.6241000000000001E-4</v>
      </c>
      <c r="N1125" s="9">
        <v>1.5254999999999999E-4</v>
      </c>
      <c r="O1125" s="9">
        <v>2.1401999999999999E-4</v>
      </c>
      <c r="P1125" s="9">
        <v>1.5839000000000001E-4</v>
      </c>
      <c r="Q1125" s="9">
        <v>1.0654000000000001E-4</v>
      </c>
      <c r="R1125" s="10">
        <v>2.2460166806784119E-5</v>
      </c>
      <c r="S1125" s="10">
        <v>6.2776363367270717E-5</v>
      </c>
      <c r="T1125" s="10">
        <v>1.1138188186867097E-4</v>
      </c>
      <c r="U1125" s="10">
        <v>1.8415E-4</v>
      </c>
      <c r="V1125" s="25"/>
      <c r="W1125" s="25"/>
      <c r="X1125" s="25"/>
      <c r="Y1125" s="25"/>
      <c r="Z1125" s="25"/>
      <c r="AA1125" s="25"/>
    </row>
    <row r="1126" spans="1:27" x14ac:dyDescent="0.35">
      <c r="A1126" s="5">
        <v>1122</v>
      </c>
      <c r="B1126" s="5">
        <v>47</v>
      </c>
      <c r="C1126" s="5">
        <v>2</v>
      </c>
      <c r="D1126" s="25">
        <v>1.1415000000000001E-4</v>
      </c>
      <c r="E1126" s="25">
        <v>1.1647E-4</v>
      </c>
      <c r="F1126" s="25">
        <v>9.3880000000000002E-5</v>
      </c>
      <c r="G1126" s="25">
        <v>1.6657E-4</v>
      </c>
      <c r="H1126" s="25">
        <v>1.9226000000000001E-4</v>
      </c>
      <c r="I1126" s="9">
        <v>1.3679E-4</v>
      </c>
      <c r="J1126" s="9">
        <v>1.4295000000000001E-4</v>
      </c>
      <c r="K1126" s="9">
        <v>3.0729999999999999E-4</v>
      </c>
      <c r="L1126" s="9">
        <v>2.0959E-4</v>
      </c>
      <c r="M1126" s="9">
        <v>1.5939E-4</v>
      </c>
      <c r="N1126" s="9">
        <v>1.3910999999999999E-4</v>
      </c>
      <c r="O1126" s="9">
        <v>2.0796000000000001E-4</v>
      </c>
      <c r="P1126" s="9">
        <v>1.6144E-4</v>
      </c>
      <c r="Q1126" s="9">
        <v>1.1845000000000001E-4</v>
      </c>
      <c r="R1126" s="10">
        <v>2.8982459940917608E-5</v>
      </c>
      <c r="S1126" s="10">
        <v>6.3594158292181406E-5</v>
      </c>
      <c r="T1126" s="10">
        <v>0</v>
      </c>
      <c r="U1126" s="10">
        <v>1.8415E-4</v>
      </c>
      <c r="V1126" s="25"/>
      <c r="W1126" s="25"/>
      <c r="X1126" s="25"/>
      <c r="Y1126" s="25"/>
      <c r="Z1126" s="25"/>
      <c r="AA1126" s="25"/>
    </row>
    <row r="1127" spans="1:27" x14ac:dyDescent="0.35">
      <c r="A1127" s="5">
        <v>1123</v>
      </c>
      <c r="B1127" s="5">
        <v>47</v>
      </c>
      <c r="C1127" s="5">
        <v>2</v>
      </c>
      <c r="D1127" s="25">
        <v>1.1416E-4</v>
      </c>
      <c r="E1127" s="25">
        <v>1.2332000000000001E-4</v>
      </c>
      <c r="F1127" s="25">
        <v>9.2780000000000003E-5</v>
      </c>
      <c r="G1127" s="25">
        <v>1.1338E-4</v>
      </c>
      <c r="H1127" s="25">
        <v>1.3062999999999999E-4</v>
      </c>
      <c r="I1127" s="9">
        <v>1.4810999999999999E-4</v>
      </c>
      <c r="J1127" s="9">
        <v>1.4734000000000001E-4</v>
      </c>
      <c r="K1127" s="9">
        <v>3.0729999999999999E-4</v>
      </c>
      <c r="L1127" s="9">
        <v>2.0793999999999999E-4</v>
      </c>
      <c r="M1127" s="9">
        <v>1.5951E-4</v>
      </c>
      <c r="N1127" s="9">
        <v>1.3019E-4</v>
      </c>
      <c r="O1127" s="9">
        <v>1.6657E-4</v>
      </c>
      <c r="P1127" s="9">
        <v>1.3595999999999999E-4</v>
      </c>
      <c r="Q1127" s="9">
        <v>1.0792E-4</v>
      </c>
      <c r="R1127" s="10">
        <v>3.384477507365397E-5</v>
      </c>
      <c r="S1127" s="10">
        <v>5.8181819379092466E-5</v>
      </c>
      <c r="T1127" s="10">
        <v>0</v>
      </c>
      <c r="U1127" s="10">
        <v>1.8415E-4</v>
      </c>
      <c r="V1127" s="25"/>
      <c r="W1127" s="25"/>
      <c r="X1127" s="25"/>
      <c r="Y1127" s="25"/>
      <c r="Z1127" s="25"/>
      <c r="AA1127" s="25"/>
    </row>
    <row r="1128" spans="1:27" x14ac:dyDescent="0.35">
      <c r="A1128" s="5">
        <v>1124</v>
      </c>
      <c r="B1128" s="5">
        <v>47</v>
      </c>
      <c r="C1128" s="5">
        <v>2</v>
      </c>
      <c r="D1128" s="25">
        <v>1.1415000000000001E-4</v>
      </c>
      <c r="E1128" s="25">
        <v>1.1646000000000001E-4</v>
      </c>
      <c r="F1128" s="25">
        <v>9.0589999999999998E-5</v>
      </c>
      <c r="G1128" s="25">
        <v>1.0838E-4</v>
      </c>
      <c r="H1128" s="25">
        <v>1.3066E-4</v>
      </c>
      <c r="I1128" s="9">
        <v>1.4664999999999999E-4</v>
      </c>
      <c r="J1128" s="9">
        <v>1.4543999999999999E-4</v>
      </c>
      <c r="K1128" s="9">
        <v>3.0941999999999998E-4</v>
      </c>
      <c r="L1128" s="9">
        <v>1.7579999999999999E-4</v>
      </c>
      <c r="M1128" s="9">
        <v>1.5124E-4</v>
      </c>
      <c r="N1128" s="9">
        <v>1.2121999999999999E-4</v>
      </c>
      <c r="O1128" s="9">
        <v>1.3049000000000001E-4</v>
      </c>
      <c r="P1128" s="9">
        <v>1.1574E-4</v>
      </c>
      <c r="Q1128" s="9">
        <v>1.0267E-4</v>
      </c>
      <c r="R1128" s="10">
        <v>3.506786218047546E-5</v>
      </c>
      <c r="S1128" s="10">
        <v>5.1126801296404654E-5</v>
      </c>
      <c r="T1128" s="10">
        <v>0</v>
      </c>
      <c r="U1128" s="10">
        <v>1.8415E-4</v>
      </c>
      <c r="V1128" s="25"/>
      <c r="W1128" s="25"/>
      <c r="X1128" s="25"/>
      <c r="Y1128" s="25"/>
      <c r="Z1128" s="25"/>
      <c r="AA1128" s="25"/>
    </row>
    <row r="1129" spans="1:27" x14ac:dyDescent="0.35">
      <c r="A1129" s="5">
        <v>1125</v>
      </c>
      <c r="B1129" s="5">
        <v>47</v>
      </c>
      <c r="C1129" s="5">
        <v>2</v>
      </c>
      <c r="D1129" s="25">
        <v>1.1416E-4</v>
      </c>
      <c r="E1129" s="25">
        <v>1.1525E-4</v>
      </c>
      <c r="F1129" s="25">
        <v>9.8170000000000004E-5</v>
      </c>
      <c r="G1129" s="25">
        <v>5.6780000000000002E-5</v>
      </c>
      <c r="H1129" s="25">
        <v>7.4569999999999999E-5</v>
      </c>
      <c r="I1129" s="9">
        <v>1.4034E-4</v>
      </c>
      <c r="J1129" s="9">
        <v>1.3959000000000001E-4</v>
      </c>
      <c r="K1129" s="9">
        <v>3.1577999999999999E-4</v>
      </c>
      <c r="L1129" s="9">
        <v>1.4145E-4</v>
      </c>
      <c r="M1129" s="9">
        <v>1.3613000000000001E-4</v>
      </c>
      <c r="N1129" s="9">
        <v>1.1367E-4</v>
      </c>
      <c r="O1129" s="9">
        <v>8.5569999999999996E-5</v>
      </c>
      <c r="P1129" s="9">
        <v>8.6920000000000001E-5</v>
      </c>
      <c r="Q1129" s="9">
        <v>8.8930000000000004E-5</v>
      </c>
      <c r="R1129" s="10">
        <v>3.7180142919879442E-5</v>
      </c>
      <c r="S1129" s="10">
        <v>4.7186027776569075E-5</v>
      </c>
      <c r="T1129" s="10">
        <v>0</v>
      </c>
      <c r="U1129" s="10">
        <v>1.8415E-4</v>
      </c>
      <c r="V1129" s="25"/>
      <c r="W1129" s="25"/>
      <c r="X1129" s="25"/>
      <c r="Y1129" s="25"/>
      <c r="Z1129" s="25"/>
      <c r="AA1129" s="25"/>
    </row>
    <row r="1130" spans="1:27" x14ac:dyDescent="0.35">
      <c r="A1130" s="5">
        <v>1126</v>
      </c>
      <c r="B1130" s="5">
        <v>47</v>
      </c>
      <c r="C1130" s="5">
        <v>2</v>
      </c>
      <c r="D1130" s="25">
        <v>1.1415000000000001E-4</v>
      </c>
      <c r="E1130" s="25">
        <v>1.1340000000000001E-4</v>
      </c>
      <c r="F1130" s="25">
        <v>1.0395000000000001E-4</v>
      </c>
      <c r="G1130" s="25">
        <v>5.2830000000000001E-5</v>
      </c>
      <c r="H1130" s="25">
        <v>7.1559999999999999E-5</v>
      </c>
      <c r="I1130" s="9">
        <v>1.3375E-4</v>
      </c>
      <c r="J1130" s="9">
        <v>1.3139E-4</v>
      </c>
      <c r="K1130" s="9">
        <v>3.1789999999999998E-4</v>
      </c>
      <c r="L1130" s="9">
        <v>9.8809999999999998E-5</v>
      </c>
      <c r="M1130" s="9">
        <v>1.1451E-4</v>
      </c>
      <c r="N1130" s="9">
        <v>1.0616E-4</v>
      </c>
      <c r="O1130" s="9">
        <v>8.8269999999999993E-5</v>
      </c>
      <c r="P1130" s="9">
        <v>8.8200000000000003E-5</v>
      </c>
      <c r="Q1130" s="9">
        <v>8.8850000000000005E-5</v>
      </c>
      <c r="R1130" s="10">
        <v>4.0243726606751886E-5</v>
      </c>
      <c r="S1130" s="10">
        <v>4.8808259519868395E-5</v>
      </c>
      <c r="T1130" s="10">
        <v>0</v>
      </c>
      <c r="U1130" s="10">
        <v>1.8415E-4</v>
      </c>
      <c r="V1130" s="25"/>
      <c r="W1130" s="25"/>
      <c r="X1130" s="25"/>
      <c r="Y1130" s="25"/>
      <c r="Z1130" s="25"/>
      <c r="AA1130" s="25"/>
    </row>
    <row r="1131" spans="1:27" x14ac:dyDescent="0.35">
      <c r="A1131" s="5">
        <v>1127</v>
      </c>
      <c r="B1131" s="5">
        <v>47</v>
      </c>
      <c r="C1131" s="5">
        <v>2</v>
      </c>
      <c r="D1131" s="25">
        <v>1.1416E-4</v>
      </c>
      <c r="E1131" s="25">
        <v>1.2079E-4</v>
      </c>
      <c r="F1131" s="25">
        <v>9.4989999999999997E-5</v>
      </c>
      <c r="G1131" s="25">
        <v>5.7219999999999998E-5</v>
      </c>
      <c r="H1131" s="25">
        <v>6.9679999999999997E-5</v>
      </c>
      <c r="I1131" s="9">
        <v>1.3501999999999999E-4</v>
      </c>
      <c r="J1131" s="9">
        <v>1.2171999999999999E-4</v>
      </c>
      <c r="K1131" s="9">
        <v>3.2002000000000002E-4</v>
      </c>
      <c r="L1131" s="9">
        <v>9.1539999999999994E-5</v>
      </c>
      <c r="M1131" s="9">
        <v>9.9729999999999996E-5</v>
      </c>
      <c r="N1131" s="9">
        <v>1.0043E-4</v>
      </c>
      <c r="O1131" s="9">
        <v>7.7849999999999995E-5</v>
      </c>
      <c r="P1131" s="9">
        <v>7.1970000000000004E-5</v>
      </c>
      <c r="Q1131" s="9">
        <v>6.6730000000000007E-5</v>
      </c>
      <c r="R1131" s="10">
        <v>4.3881624637684352E-5</v>
      </c>
      <c r="S1131" s="10">
        <v>5.4076048312407367E-5</v>
      </c>
      <c r="T1131" s="10">
        <v>0</v>
      </c>
      <c r="U1131" s="10">
        <v>1.8415E-4</v>
      </c>
      <c r="V1131" s="25"/>
      <c r="W1131" s="25"/>
      <c r="X1131" s="25"/>
      <c r="Y1131" s="25"/>
      <c r="Z1131" s="25"/>
      <c r="AA1131" s="25"/>
    </row>
    <row r="1132" spans="1:27" x14ac:dyDescent="0.35">
      <c r="A1132" s="5">
        <v>1128</v>
      </c>
      <c r="B1132" s="5">
        <v>47</v>
      </c>
      <c r="C1132" s="5">
        <v>2</v>
      </c>
      <c r="D1132" s="25">
        <v>1.1415000000000001E-4</v>
      </c>
      <c r="E1132" s="25">
        <v>1.2027E-4</v>
      </c>
      <c r="F1132" s="25">
        <v>1.0034E-4</v>
      </c>
      <c r="G1132" s="25">
        <v>5.329E-5</v>
      </c>
      <c r="H1132" s="25">
        <v>7.3070000000000003E-5</v>
      </c>
      <c r="I1132" s="9">
        <v>1.3437E-4</v>
      </c>
      <c r="J1132" s="9">
        <v>1.1336999999999999E-4</v>
      </c>
      <c r="K1132" s="9">
        <v>3.2425999999999999E-4</v>
      </c>
      <c r="L1132" s="9">
        <v>8.0859999999999995E-5</v>
      </c>
      <c r="M1132" s="9">
        <v>8.6479999999999999E-5</v>
      </c>
      <c r="N1132" s="9">
        <v>9.1020000000000006E-5</v>
      </c>
      <c r="O1132" s="9">
        <v>6.2509999999999996E-5</v>
      </c>
      <c r="P1132" s="9">
        <v>6.0380000000000001E-5</v>
      </c>
      <c r="Q1132" s="9">
        <v>5.8579999999999998E-5</v>
      </c>
      <c r="R1132" s="10">
        <v>4.1922749720694519E-5</v>
      </c>
      <c r="S1132" s="10">
        <v>4.4522888792526622E-5</v>
      </c>
      <c r="T1132" s="10">
        <v>0</v>
      </c>
      <c r="U1132" s="10">
        <v>1.8415E-4</v>
      </c>
      <c r="V1132" s="25"/>
      <c r="W1132" s="25"/>
      <c r="X1132" s="25"/>
      <c r="Y1132" s="25"/>
      <c r="Z1132" s="25"/>
      <c r="AA1132" s="25"/>
    </row>
    <row r="1133" spans="1:27" x14ac:dyDescent="0.35">
      <c r="A1133" s="5">
        <v>1129</v>
      </c>
      <c r="B1133" s="5">
        <v>48</v>
      </c>
      <c r="C1133" s="5">
        <v>2</v>
      </c>
      <c r="D1133" s="25">
        <v>1.1416E-4</v>
      </c>
      <c r="E1133" s="25">
        <v>1.1969E-4</v>
      </c>
      <c r="F1133" s="25">
        <v>1.2386E-4</v>
      </c>
      <c r="G1133" s="25">
        <v>5.2269999999999999E-5</v>
      </c>
      <c r="H1133" s="25">
        <v>4.2809999999999998E-5</v>
      </c>
      <c r="I1133" s="9">
        <v>1.2851E-4</v>
      </c>
      <c r="J1133" s="9">
        <v>1.0634E-4</v>
      </c>
      <c r="K1133" s="9">
        <v>3.2850000000000002E-4</v>
      </c>
      <c r="L1133" s="9">
        <v>6.656E-5</v>
      </c>
      <c r="M1133" s="9">
        <v>7.4029999999999994E-5</v>
      </c>
      <c r="N1133" s="9">
        <v>8.1429999999999998E-5</v>
      </c>
      <c r="O1133" s="9">
        <v>6.8020000000000003E-5</v>
      </c>
      <c r="P1133" s="9">
        <v>6.0560000000000003E-5</v>
      </c>
      <c r="Q1133" s="9">
        <v>5.3409999999999999E-5</v>
      </c>
      <c r="R1133" s="10">
        <v>4.9232320457717734E-5</v>
      </c>
      <c r="S1133" s="10">
        <v>4.1919906046113031E-5</v>
      </c>
      <c r="T1133" s="10">
        <v>0</v>
      </c>
      <c r="U1133" s="10">
        <v>1.8171999999999999E-4</v>
      </c>
      <c r="V1133" s="25"/>
      <c r="W1133" s="25"/>
      <c r="X1133" s="25"/>
      <c r="Y1133" s="25"/>
      <c r="Z1133" s="25"/>
      <c r="AA1133" s="25"/>
    </row>
    <row r="1134" spans="1:27" x14ac:dyDescent="0.35">
      <c r="A1134" s="5">
        <v>1130</v>
      </c>
      <c r="B1134" s="5">
        <v>48</v>
      </c>
      <c r="C1134" s="5">
        <v>2</v>
      </c>
      <c r="D1134" s="25">
        <v>1.1415000000000001E-4</v>
      </c>
      <c r="E1134" s="25">
        <v>1.1914E-4</v>
      </c>
      <c r="F1134" s="25">
        <v>1.3355999999999999E-4</v>
      </c>
      <c r="G1134" s="25">
        <v>5.537E-5</v>
      </c>
      <c r="H1134" s="25">
        <v>4.1019999999999997E-5</v>
      </c>
      <c r="I1134" s="9">
        <v>1.2286E-4</v>
      </c>
      <c r="J1134" s="9">
        <v>1.0211E-4</v>
      </c>
      <c r="K1134" s="9">
        <v>3.2849000000000002E-4</v>
      </c>
      <c r="L1134" s="9">
        <v>6.8089999999999994E-5</v>
      </c>
      <c r="M1134" s="9">
        <v>6.622E-5</v>
      </c>
      <c r="N1134" s="9">
        <v>7.2200000000000007E-5</v>
      </c>
      <c r="O1134" s="9">
        <v>3.4950000000000002E-5</v>
      </c>
      <c r="P1134" s="9">
        <v>4.5859999999999998E-5</v>
      </c>
      <c r="Q1134" s="9">
        <v>5.6199999999999997E-5</v>
      </c>
      <c r="R1134" s="10">
        <v>5.2269208073632458E-5</v>
      </c>
      <c r="S1134" s="10">
        <v>4.2280036397092156E-5</v>
      </c>
      <c r="T1134" s="10">
        <v>0</v>
      </c>
      <c r="U1134" s="10">
        <v>1.8171999999999999E-4</v>
      </c>
      <c r="V1134" s="25"/>
      <c r="W1134" s="25"/>
      <c r="X1134" s="25"/>
      <c r="Y1134" s="25"/>
      <c r="Z1134" s="25"/>
      <c r="AA1134" s="25"/>
    </row>
    <row r="1135" spans="1:27" x14ac:dyDescent="0.35">
      <c r="A1135" s="5">
        <v>1131</v>
      </c>
      <c r="B1135" s="5">
        <v>48</v>
      </c>
      <c r="C1135" s="5">
        <v>2</v>
      </c>
      <c r="D1135" s="25">
        <v>1.1416E-4</v>
      </c>
      <c r="E1135" s="25">
        <v>1.1205999999999999E-4</v>
      </c>
      <c r="F1135" s="25">
        <v>1.1745E-4</v>
      </c>
      <c r="G1135" s="25">
        <v>5.8690000000000002E-5</v>
      </c>
      <c r="H1135" s="25">
        <v>4.4830000000000003E-5</v>
      </c>
      <c r="I1135" s="9">
        <v>1.1913000000000001E-4</v>
      </c>
      <c r="J1135" s="9">
        <v>1.004E-4</v>
      </c>
      <c r="K1135" s="9">
        <v>3.3061000000000001E-4</v>
      </c>
      <c r="L1135" s="9">
        <v>4.2150000000000001E-5</v>
      </c>
      <c r="M1135" s="9">
        <v>5.7240000000000001E-5</v>
      </c>
      <c r="N1135" s="9">
        <v>6.5539999999999999E-5</v>
      </c>
      <c r="O1135" s="9">
        <v>2.156E-5</v>
      </c>
      <c r="P1135" s="9">
        <v>4.1860000000000002E-5</v>
      </c>
      <c r="Q1135" s="9">
        <v>6.1240000000000003E-5</v>
      </c>
      <c r="R1135" s="10">
        <v>4.9155131087649266E-5</v>
      </c>
      <c r="S1135" s="10">
        <v>4.6581210002984159E-5</v>
      </c>
      <c r="T1135" s="10">
        <v>0</v>
      </c>
      <c r="U1135" s="10">
        <v>1.8171999999999999E-4</v>
      </c>
      <c r="V1135" s="25"/>
      <c r="W1135" s="25"/>
      <c r="X1135" s="25"/>
      <c r="Y1135" s="25"/>
      <c r="Z1135" s="25"/>
      <c r="AA1135" s="25"/>
    </row>
    <row r="1136" spans="1:27" x14ac:dyDescent="0.35">
      <c r="A1136" s="5">
        <v>1132</v>
      </c>
      <c r="B1136" s="5">
        <v>48</v>
      </c>
      <c r="C1136" s="5">
        <v>2</v>
      </c>
      <c r="D1136" s="25">
        <v>1.1415000000000001E-4</v>
      </c>
      <c r="E1136" s="25">
        <v>1.1482E-4</v>
      </c>
      <c r="F1136" s="25">
        <v>1.3841999999999999E-4</v>
      </c>
      <c r="G1136" s="25">
        <v>5.9379999999999997E-5</v>
      </c>
      <c r="H1136" s="25">
        <v>3.8890000000000002E-5</v>
      </c>
      <c r="I1136" s="9">
        <v>1.1563E-4</v>
      </c>
      <c r="J1136" s="9">
        <v>9.9909999999999997E-5</v>
      </c>
      <c r="K1136" s="9">
        <v>3.3272999999999999E-4</v>
      </c>
      <c r="L1136" s="9">
        <v>2.671E-5</v>
      </c>
      <c r="M1136" s="9">
        <v>4.9580000000000003E-5</v>
      </c>
      <c r="N1136" s="9">
        <v>6.1829999999999996E-5</v>
      </c>
      <c r="O1136" s="9">
        <v>2.105E-5</v>
      </c>
      <c r="P1136" s="9">
        <v>5.109E-5</v>
      </c>
      <c r="Q1136" s="9">
        <v>8.0030000000000005E-5</v>
      </c>
      <c r="R1136" s="10">
        <v>4.0382447111099386E-5</v>
      </c>
      <c r="S1136" s="10">
        <v>4.5037921105863813E-5</v>
      </c>
      <c r="T1136" s="10">
        <v>0</v>
      </c>
      <c r="U1136" s="10">
        <v>1.8171999999999999E-4</v>
      </c>
      <c r="V1136" s="25"/>
      <c r="W1136" s="25"/>
      <c r="X1136" s="25"/>
      <c r="Y1136" s="25"/>
      <c r="Z1136" s="25"/>
      <c r="AA1136" s="25"/>
    </row>
    <row r="1137" spans="1:27" x14ac:dyDescent="0.35">
      <c r="A1137" s="5">
        <v>1133</v>
      </c>
      <c r="B1137" s="5">
        <v>48</v>
      </c>
      <c r="C1137" s="5">
        <v>2</v>
      </c>
      <c r="D1137" s="25">
        <v>1.1416E-4</v>
      </c>
      <c r="E1137" s="25">
        <v>1.1293E-4</v>
      </c>
      <c r="F1137" s="25">
        <v>1.2585E-4</v>
      </c>
      <c r="G1137" s="25">
        <v>5.4190000000000001E-5</v>
      </c>
      <c r="H1137" s="25">
        <v>3.8819999999999998E-5</v>
      </c>
      <c r="I1137" s="9">
        <v>1.1569999999999999E-4</v>
      </c>
      <c r="J1137" s="9">
        <v>1.0064999999999999E-4</v>
      </c>
      <c r="K1137" s="9">
        <v>3.3272999999999999E-4</v>
      </c>
      <c r="L1137" s="9">
        <v>2.2759999999999999E-5</v>
      </c>
      <c r="M1137" s="9">
        <v>4.8300000000000002E-5</v>
      </c>
      <c r="N1137" s="9">
        <v>6.4280000000000001E-5</v>
      </c>
      <c r="O1137" s="9">
        <v>2.296E-5</v>
      </c>
      <c r="P1137" s="9">
        <v>5.8699999999999997E-5</v>
      </c>
      <c r="Q1137" s="9">
        <v>9.3289999999999996E-5</v>
      </c>
      <c r="R1137" s="10">
        <v>3.9961869632268404E-5</v>
      </c>
      <c r="S1137" s="10">
        <v>5.0341442200776475E-5</v>
      </c>
      <c r="T1137" s="10">
        <v>0</v>
      </c>
      <c r="U1137" s="10">
        <v>1.8171999999999999E-4</v>
      </c>
      <c r="V1137" s="25"/>
      <c r="W1137" s="25"/>
      <c r="X1137" s="25"/>
      <c r="Y1137" s="25"/>
      <c r="Z1137" s="25"/>
      <c r="AA1137" s="25"/>
    </row>
    <row r="1138" spans="1:27" x14ac:dyDescent="0.35">
      <c r="A1138" s="5">
        <v>1134</v>
      </c>
      <c r="B1138" s="5">
        <v>48</v>
      </c>
      <c r="C1138" s="5">
        <v>2</v>
      </c>
      <c r="D1138" s="25">
        <v>1.1415000000000001E-4</v>
      </c>
      <c r="E1138" s="25">
        <v>1.2222000000000001E-4</v>
      </c>
      <c r="F1138" s="25">
        <v>1.3266999999999999E-4</v>
      </c>
      <c r="G1138" s="25">
        <v>1.0423E-4</v>
      </c>
      <c r="H1138" s="25">
        <v>8.373E-5</v>
      </c>
      <c r="I1138" s="9">
        <v>1.2076E-4</v>
      </c>
      <c r="J1138" s="9">
        <v>1.0438E-4</v>
      </c>
      <c r="K1138" s="9">
        <v>3.3484999999999998E-4</v>
      </c>
      <c r="L1138" s="9">
        <v>2.285E-5</v>
      </c>
      <c r="M1138" s="9">
        <v>5.2040000000000003E-5</v>
      </c>
      <c r="N1138" s="9">
        <v>7.0770000000000002E-5</v>
      </c>
      <c r="O1138" s="9">
        <v>2.9159999999999999E-5</v>
      </c>
      <c r="P1138" s="9">
        <v>6.8170000000000006E-5</v>
      </c>
      <c r="Q1138" s="9">
        <v>1.061E-4</v>
      </c>
      <c r="R1138" s="10">
        <v>4.3368758076524489E-5</v>
      </c>
      <c r="S1138" s="10">
        <v>6.2460143080599094E-5</v>
      </c>
      <c r="T1138" s="10">
        <v>0</v>
      </c>
      <c r="U1138" s="10">
        <v>1.8171999999999999E-4</v>
      </c>
      <c r="V1138" s="25"/>
      <c r="W1138" s="25"/>
      <c r="X1138" s="25"/>
      <c r="Y1138" s="25"/>
      <c r="Z1138" s="25"/>
      <c r="AA1138" s="25"/>
    </row>
    <row r="1139" spans="1:27" x14ac:dyDescent="0.35">
      <c r="A1139" s="5">
        <v>1135</v>
      </c>
      <c r="B1139" s="5">
        <v>48</v>
      </c>
      <c r="C1139" s="5">
        <v>2</v>
      </c>
      <c r="D1139" s="25">
        <v>1.1416E-4</v>
      </c>
      <c r="E1139" s="25">
        <v>1.1781999999999999E-4</v>
      </c>
      <c r="F1139" s="25">
        <v>1.3144E-4</v>
      </c>
      <c r="G1139" s="25">
        <v>1.07E-4</v>
      </c>
      <c r="H1139" s="25">
        <v>8.3029999999999996E-5</v>
      </c>
      <c r="I1139" s="9">
        <v>1.3414000000000001E-4</v>
      </c>
      <c r="J1139" s="9">
        <v>1.1631E-4</v>
      </c>
      <c r="K1139" s="9">
        <v>3.3272999999999999E-4</v>
      </c>
      <c r="L1139" s="9">
        <v>2.7670000000000001E-5</v>
      </c>
      <c r="M1139" s="9">
        <v>5.8950000000000003E-5</v>
      </c>
      <c r="N1139" s="9">
        <v>8.0309999999999995E-5</v>
      </c>
      <c r="O1139" s="9">
        <v>4.6119999999999999E-5</v>
      </c>
      <c r="P1139" s="9">
        <v>7.9740000000000006E-5</v>
      </c>
      <c r="Q1139" s="9">
        <v>1.1263E-4</v>
      </c>
      <c r="R1139" s="10">
        <v>4.0309838810698421E-5</v>
      </c>
      <c r="S1139" s="10">
        <v>8.1076599726308309E-5</v>
      </c>
      <c r="T1139" s="10">
        <v>0</v>
      </c>
      <c r="U1139" s="10">
        <v>1.8171999999999999E-4</v>
      </c>
      <c r="V1139" s="25"/>
      <c r="W1139" s="25"/>
      <c r="X1139" s="25"/>
      <c r="Y1139" s="25"/>
      <c r="Z1139" s="25"/>
      <c r="AA1139" s="25"/>
    </row>
    <row r="1140" spans="1:27" x14ac:dyDescent="0.35">
      <c r="A1140" s="5">
        <v>1136</v>
      </c>
      <c r="B1140" s="5">
        <v>48</v>
      </c>
      <c r="C1140" s="5">
        <v>2</v>
      </c>
      <c r="D1140" s="25">
        <v>1.1415000000000001E-4</v>
      </c>
      <c r="E1140" s="25">
        <v>1.1556E-4</v>
      </c>
      <c r="F1140" s="25">
        <v>1.2606999999999999E-4</v>
      </c>
      <c r="G1140" s="25">
        <v>1.563E-4</v>
      </c>
      <c r="H1140" s="25">
        <v>1.1907E-4</v>
      </c>
      <c r="I1140" s="9">
        <v>1.4509000000000001E-4</v>
      </c>
      <c r="J1140" s="9">
        <v>1.3442E-4</v>
      </c>
      <c r="K1140" s="9">
        <v>3.2849000000000002E-4</v>
      </c>
      <c r="L1140" s="9">
        <v>4.1919999999999998E-5</v>
      </c>
      <c r="M1140" s="9">
        <v>6.8159999999999998E-5</v>
      </c>
      <c r="N1140" s="9">
        <v>9.0500000000000004E-5</v>
      </c>
      <c r="O1140" s="9">
        <v>6.8650000000000002E-5</v>
      </c>
      <c r="P1140" s="9">
        <v>1.0323999999999999E-4</v>
      </c>
      <c r="Q1140" s="9">
        <v>1.3746E-4</v>
      </c>
      <c r="R1140" s="10">
        <v>3.2545860163690445E-5</v>
      </c>
      <c r="S1140" s="10">
        <v>9.7538148587574902E-5</v>
      </c>
      <c r="T1140" s="10">
        <v>0</v>
      </c>
      <c r="U1140" s="10">
        <v>1.8171999999999999E-4</v>
      </c>
      <c r="V1140" s="25"/>
      <c r="W1140" s="25"/>
      <c r="X1140" s="25"/>
      <c r="Y1140" s="25"/>
      <c r="Z1140" s="25"/>
      <c r="AA1140" s="25"/>
    </row>
    <row r="1141" spans="1:27" x14ac:dyDescent="0.35">
      <c r="A1141" s="5">
        <v>1137</v>
      </c>
      <c r="B1141" s="5">
        <v>48</v>
      </c>
      <c r="C1141" s="5">
        <v>2</v>
      </c>
      <c r="D1141" s="25">
        <v>1.1416E-4</v>
      </c>
      <c r="E1141" s="25">
        <v>1.1121E-4</v>
      </c>
      <c r="F1141" s="25">
        <v>1.203E-4</v>
      </c>
      <c r="G1141" s="25">
        <v>1.5904999999999999E-4</v>
      </c>
      <c r="H1141" s="25">
        <v>1.1517E-4</v>
      </c>
      <c r="I1141" s="9">
        <v>1.4520000000000001E-4</v>
      </c>
      <c r="J1141" s="9">
        <v>1.4364E-4</v>
      </c>
      <c r="K1141" s="9">
        <v>3.1366E-4</v>
      </c>
      <c r="L1141" s="9">
        <v>6.2379999999999996E-5</v>
      </c>
      <c r="M1141" s="9">
        <v>8.3079999999999997E-5</v>
      </c>
      <c r="N1141" s="9">
        <v>1.0448E-4</v>
      </c>
      <c r="O1141" s="9">
        <v>9.9759999999999994E-5</v>
      </c>
      <c r="P1141" s="9">
        <v>1.3792000000000001E-4</v>
      </c>
      <c r="Q1141" s="9">
        <v>1.7621999999999999E-4</v>
      </c>
      <c r="R1141" s="10">
        <v>2.4814985399237326E-5</v>
      </c>
      <c r="S1141" s="10">
        <v>1.2306875819894256E-4</v>
      </c>
      <c r="T1141" s="10">
        <v>2.7064914926954631E-6</v>
      </c>
      <c r="U1141" s="10">
        <v>1.8171999999999999E-4</v>
      </c>
      <c r="V1141" s="25"/>
      <c r="W1141" s="25"/>
      <c r="X1141" s="25"/>
      <c r="Y1141" s="25"/>
      <c r="Z1141" s="25"/>
      <c r="AA1141" s="25"/>
    </row>
    <row r="1142" spans="1:27" x14ac:dyDescent="0.35">
      <c r="A1142" s="5">
        <v>1138</v>
      </c>
      <c r="B1142" s="5">
        <v>48</v>
      </c>
      <c r="C1142" s="5">
        <v>2</v>
      </c>
      <c r="D1142" s="25">
        <v>1.1415000000000001E-4</v>
      </c>
      <c r="E1142" s="25">
        <v>1.1068E-4</v>
      </c>
      <c r="F1142" s="25">
        <v>1.2196E-4</v>
      </c>
      <c r="G1142" s="25">
        <v>1.6302999999999999E-4</v>
      </c>
      <c r="H1142" s="25">
        <v>1.2132E-4</v>
      </c>
      <c r="I1142" s="9">
        <v>1.4506E-4</v>
      </c>
      <c r="J1142" s="9">
        <v>1.4619000000000001E-4</v>
      </c>
      <c r="K1142" s="9">
        <v>3.0306000000000002E-4</v>
      </c>
      <c r="L1142" s="9">
        <v>9.1000000000000003E-5</v>
      </c>
      <c r="M1142" s="9">
        <v>1.066E-4</v>
      </c>
      <c r="N1142" s="9">
        <v>1.2441000000000001E-4</v>
      </c>
      <c r="O1142" s="9">
        <v>1.2833000000000001E-4</v>
      </c>
      <c r="P1142" s="9">
        <v>1.5423999999999999E-4</v>
      </c>
      <c r="Q1142" s="9">
        <v>1.8097E-4</v>
      </c>
      <c r="R1142" s="10">
        <v>2.8966149007878851E-5</v>
      </c>
      <c r="S1142" s="10">
        <v>1.4612912745938937E-4</v>
      </c>
      <c r="T1142" s="10">
        <v>3.1281611703975458E-5</v>
      </c>
      <c r="U1142" s="10">
        <v>1.8171999999999999E-4</v>
      </c>
      <c r="V1142" s="25"/>
      <c r="W1142" s="25"/>
      <c r="X1142" s="25"/>
      <c r="Y1142" s="25"/>
      <c r="Z1142" s="25"/>
      <c r="AA1142" s="25"/>
    </row>
    <row r="1143" spans="1:27" x14ac:dyDescent="0.35">
      <c r="A1143" s="5">
        <v>1139</v>
      </c>
      <c r="B1143" s="5">
        <v>48</v>
      </c>
      <c r="C1143" s="5">
        <v>2</v>
      </c>
      <c r="D1143" s="25">
        <v>1.1416E-4</v>
      </c>
      <c r="E1143" s="25">
        <v>1.1506999999999999E-4</v>
      </c>
      <c r="F1143" s="25">
        <v>1.3291E-4</v>
      </c>
      <c r="G1143" s="25">
        <v>1.6561000000000001E-4</v>
      </c>
      <c r="H1143" s="25">
        <v>1.1711E-4</v>
      </c>
      <c r="I1143" s="9">
        <v>1.4558E-4</v>
      </c>
      <c r="J1143" s="9">
        <v>1.4386999999999999E-4</v>
      </c>
      <c r="K1143" s="9">
        <v>2.8610000000000002E-4</v>
      </c>
      <c r="L1143" s="9">
        <v>1.1942000000000001E-4</v>
      </c>
      <c r="M1143" s="9">
        <v>1.2967E-4</v>
      </c>
      <c r="N1143" s="9">
        <v>1.4229999999999999E-4</v>
      </c>
      <c r="O1143" s="9">
        <v>1.3794E-4</v>
      </c>
      <c r="P1143" s="9">
        <v>1.5847999999999999E-4</v>
      </c>
      <c r="Q1143" s="9">
        <v>1.8008E-4</v>
      </c>
      <c r="R1143" s="10">
        <v>5.2136114439298868E-5</v>
      </c>
      <c r="S1143" s="10">
        <v>1.3861472654281968E-4</v>
      </c>
      <c r="T1143" s="10">
        <v>7.7834962238207436E-5</v>
      </c>
      <c r="U1143" s="10">
        <v>1.8171999999999999E-4</v>
      </c>
      <c r="V1143" s="25"/>
      <c r="W1143" s="25"/>
      <c r="X1143" s="25"/>
      <c r="Y1143" s="25"/>
      <c r="Z1143" s="25"/>
      <c r="AA1143" s="25"/>
    </row>
    <row r="1144" spans="1:27" x14ac:dyDescent="0.35">
      <c r="A1144" s="5">
        <v>1140</v>
      </c>
      <c r="B1144" s="5">
        <v>48</v>
      </c>
      <c r="C1144" s="5">
        <v>2</v>
      </c>
      <c r="D1144" s="25">
        <v>1.1415000000000001E-4</v>
      </c>
      <c r="E1144" s="25">
        <v>1.1459E-4</v>
      </c>
      <c r="F1144" s="25">
        <v>1.1942000000000001E-4</v>
      </c>
      <c r="G1144" s="25">
        <v>1.6598000000000001E-4</v>
      </c>
      <c r="H1144" s="25">
        <v>1.1971E-4</v>
      </c>
      <c r="I1144" s="9">
        <v>1.4535000000000001E-4</v>
      </c>
      <c r="J1144" s="9">
        <v>1.4102E-4</v>
      </c>
      <c r="K1144" s="9">
        <v>2.7763000000000001E-4</v>
      </c>
      <c r="L1144" s="9">
        <v>1.3321000000000001E-4</v>
      </c>
      <c r="M1144" s="9">
        <v>1.4548999999999999E-4</v>
      </c>
      <c r="N1144" s="9">
        <v>1.5658E-4</v>
      </c>
      <c r="O1144" s="9">
        <v>1.3909E-4</v>
      </c>
      <c r="P1144" s="9">
        <v>1.5616999999999999E-4</v>
      </c>
      <c r="Q1144" s="9">
        <v>1.7440000000000001E-4</v>
      </c>
      <c r="R1144" s="10">
        <v>6.3920787703146211E-5</v>
      </c>
      <c r="S1144" s="10">
        <v>1.0492625291829001E-4</v>
      </c>
      <c r="T1144" s="10">
        <v>2.5622584037430401E-4</v>
      </c>
      <c r="U1144" s="10">
        <v>1.8171999999999999E-4</v>
      </c>
      <c r="V1144" s="25"/>
      <c r="W1144" s="25"/>
      <c r="X1144" s="25"/>
      <c r="Y1144" s="25"/>
      <c r="Z1144" s="25"/>
      <c r="AA1144" s="25"/>
    </row>
    <row r="1145" spans="1:27" x14ac:dyDescent="0.35">
      <c r="A1145" s="5">
        <v>1141</v>
      </c>
      <c r="B1145" s="5">
        <v>48</v>
      </c>
      <c r="C1145" s="5">
        <v>2</v>
      </c>
      <c r="D1145" s="25">
        <v>1.1416E-4</v>
      </c>
      <c r="E1145" s="25">
        <v>1.1843E-4</v>
      </c>
      <c r="F1145" s="25">
        <v>1.1895E-4</v>
      </c>
      <c r="G1145" s="25">
        <v>1.6548999999999999E-4</v>
      </c>
      <c r="H1145" s="25">
        <v>1.1945E-4</v>
      </c>
      <c r="I1145" s="9">
        <v>1.4166E-4</v>
      </c>
      <c r="J1145" s="9">
        <v>1.3784999999999999E-4</v>
      </c>
      <c r="K1145" s="9">
        <v>2.7551000000000002E-4</v>
      </c>
      <c r="L1145" s="9">
        <v>1.3758999999999999E-4</v>
      </c>
      <c r="M1145" s="9">
        <v>1.5275E-4</v>
      </c>
      <c r="N1145" s="9">
        <v>1.6613000000000001E-4</v>
      </c>
      <c r="O1145" s="9">
        <v>1.2943000000000001E-4</v>
      </c>
      <c r="P1145" s="9">
        <v>1.4721999999999999E-4</v>
      </c>
      <c r="Q1145" s="9">
        <v>1.6598000000000001E-4</v>
      </c>
      <c r="R1145" s="10">
        <v>4.9628036625899179E-5</v>
      </c>
      <c r="S1145" s="10">
        <v>1.1203887886086875E-4</v>
      </c>
      <c r="T1145" s="10">
        <v>1.0923535413308491E-4</v>
      </c>
      <c r="U1145" s="10">
        <v>1.8171999999999999E-4</v>
      </c>
      <c r="V1145" s="25"/>
      <c r="W1145" s="25"/>
      <c r="X1145" s="25"/>
      <c r="Y1145" s="25"/>
      <c r="Z1145" s="25"/>
      <c r="AA1145" s="25"/>
    </row>
    <row r="1146" spans="1:27" x14ac:dyDescent="0.35">
      <c r="A1146" s="5">
        <v>1142</v>
      </c>
      <c r="B1146" s="5">
        <v>48</v>
      </c>
      <c r="C1146" s="5">
        <v>2</v>
      </c>
      <c r="D1146" s="25">
        <v>1.1415000000000001E-4</v>
      </c>
      <c r="E1146" s="25">
        <v>1.1599000000000001E-4</v>
      </c>
      <c r="F1146" s="25">
        <v>1.2812000000000001E-4</v>
      </c>
      <c r="G1146" s="25">
        <v>1.5761E-4</v>
      </c>
      <c r="H1146" s="25">
        <v>1.1982E-4</v>
      </c>
      <c r="I1146" s="9">
        <v>1.4194000000000001E-4</v>
      </c>
      <c r="J1146" s="9">
        <v>1.3734000000000001E-4</v>
      </c>
      <c r="K1146" s="9">
        <v>2.7551000000000002E-4</v>
      </c>
      <c r="L1146" s="9">
        <v>1.3128E-4</v>
      </c>
      <c r="M1146" s="9">
        <v>1.5216000000000001E-4</v>
      </c>
      <c r="N1146" s="9">
        <v>1.7013999999999999E-4</v>
      </c>
      <c r="O1146" s="9">
        <v>1.1297E-4</v>
      </c>
      <c r="P1146" s="9">
        <v>1.3666000000000001E-4</v>
      </c>
      <c r="Q1146" s="9">
        <v>1.6092999999999999E-4</v>
      </c>
      <c r="R1146" s="10">
        <v>5.7784282665316596E-5</v>
      </c>
      <c r="S1146" s="10">
        <v>1.2470811999485158E-4</v>
      </c>
      <c r="T1146" s="10">
        <v>6.4217661781228706E-5</v>
      </c>
      <c r="U1146" s="10">
        <v>1.8171999999999999E-4</v>
      </c>
      <c r="V1146" s="25"/>
      <c r="W1146" s="25"/>
      <c r="X1146" s="25"/>
      <c r="Y1146" s="25"/>
      <c r="Z1146" s="25"/>
      <c r="AA1146" s="25"/>
    </row>
    <row r="1147" spans="1:27" x14ac:dyDescent="0.35">
      <c r="A1147" s="5">
        <v>1143</v>
      </c>
      <c r="B1147" s="5">
        <v>48</v>
      </c>
      <c r="C1147" s="5">
        <v>2</v>
      </c>
      <c r="D1147" s="25">
        <v>1.1416E-4</v>
      </c>
      <c r="E1147" s="25">
        <v>1.1584E-4</v>
      </c>
      <c r="F1147" s="25">
        <v>1.3986000000000001E-4</v>
      </c>
      <c r="G1147" s="25">
        <v>1.6678E-4</v>
      </c>
      <c r="H1147" s="25">
        <v>1.1425E-4</v>
      </c>
      <c r="I1147" s="9">
        <v>1.3924E-4</v>
      </c>
      <c r="J1147" s="9">
        <v>1.3666000000000001E-4</v>
      </c>
      <c r="K1147" s="9">
        <v>2.7551000000000002E-4</v>
      </c>
      <c r="L1147" s="9">
        <v>1.1724E-4</v>
      </c>
      <c r="M1147" s="9">
        <v>1.4614000000000001E-4</v>
      </c>
      <c r="N1147" s="9">
        <v>1.6975000000000001E-4</v>
      </c>
      <c r="O1147" s="9">
        <v>1.2789999999999999E-4</v>
      </c>
      <c r="P1147" s="9">
        <v>1.3983999999999999E-4</v>
      </c>
      <c r="Q1147" s="9">
        <v>1.5281999999999999E-4</v>
      </c>
      <c r="R1147" s="10">
        <v>6.9163794175713258E-5</v>
      </c>
      <c r="S1147" s="10">
        <v>1.3420310786526753E-4</v>
      </c>
      <c r="T1147" s="10">
        <v>3.7322432841276927E-4</v>
      </c>
      <c r="U1147" s="10">
        <v>1.8171999999999999E-4</v>
      </c>
      <c r="V1147" s="25"/>
      <c r="W1147" s="25"/>
      <c r="X1147" s="25"/>
      <c r="Y1147" s="25"/>
      <c r="Z1147" s="25"/>
      <c r="AA1147" s="25"/>
    </row>
    <row r="1148" spans="1:27" x14ac:dyDescent="0.35">
      <c r="A1148" s="5">
        <v>1144</v>
      </c>
      <c r="B1148" s="5">
        <v>48</v>
      </c>
      <c r="C1148" s="5">
        <v>2</v>
      </c>
      <c r="D1148" s="25">
        <v>1.1415000000000001E-4</v>
      </c>
      <c r="E1148" s="25">
        <v>1.1818E-4</v>
      </c>
      <c r="F1148" s="25">
        <v>1.3191E-4</v>
      </c>
      <c r="G1148" s="25">
        <v>1.6368E-4</v>
      </c>
      <c r="H1148" s="25">
        <v>1.1909E-4</v>
      </c>
      <c r="I1148" s="9">
        <v>1.3912000000000001E-4</v>
      </c>
      <c r="J1148" s="9">
        <v>1.3778E-4</v>
      </c>
      <c r="K1148" s="9">
        <v>2.8399000000000002E-4</v>
      </c>
      <c r="L1148" s="9">
        <v>1.2595999999999999E-4</v>
      </c>
      <c r="M1148" s="9">
        <v>1.4219999999999999E-4</v>
      </c>
      <c r="N1148" s="9">
        <v>1.6598000000000001E-4</v>
      </c>
      <c r="O1148" s="9">
        <v>1.3338E-4</v>
      </c>
      <c r="P1148" s="9">
        <v>1.2029E-4</v>
      </c>
      <c r="Q1148" s="9">
        <v>1.0874000000000001E-4</v>
      </c>
      <c r="R1148" s="10">
        <v>6.9865696627700372E-5</v>
      </c>
      <c r="S1148" s="10">
        <v>1.510481997376534E-4</v>
      </c>
      <c r="T1148" s="10">
        <v>2.5584404690354759E-4</v>
      </c>
      <c r="U1148" s="10">
        <v>1.8171999999999999E-4</v>
      </c>
      <c r="V1148" s="25"/>
      <c r="W1148" s="25"/>
      <c r="X1148" s="25"/>
      <c r="Y1148" s="25"/>
      <c r="Z1148" s="25"/>
      <c r="AA1148" s="25"/>
    </row>
    <row r="1149" spans="1:27" x14ac:dyDescent="0.35">
      <c r="A1149" s="5">
        <v>1145</v>
      </c>
      <c r="B1149" s="5">
        <v>48</v>
      </c>
      <c r="C1149" s="5">
        <v>2</v>
      </c>
      <c r="D1149" s="25">
        <v>1.1416E-4</v>
      </c>
      <c r="E1149" s="25">
        <v>1.1923E-4</v>
      </c>
      <c r="F1149" s="25">
        <v>1.1899E-4</v>
      </c>
      <c r="G1149" s="25">
        <v>1.6364E-4</v>
      </c>
      <c r="H1149" s="25">
        <v>1.1691E-4</v>
      </c>
      <c r="I1149" s="9">
        <v>1.3770000000000001E-4</v>
      </c>
      <c r="J1149" s="9">
        <v>1.4130999999999999E-4</v>
      </c>
      <c r="K1149" s="9">
        <v>2.8610000000000002E-4</v>
      </c>
      <c r="L1149" s="9">
        <v>1.3145E-4</v>
      </c>
      <c r="M1149" s="9">
        <v>1.3347000000000001E-4</v>
      </c>
      <c r="N1149" s="9">
        <v>1.5207E-4</v>
      </c>
      <c r="O1149" s="9">
        <v>1.4171999999999999E-4</v>
      </c>
      <c r="P1149" s="9">
        <v>1.2391999999999999E-4</v>
      </c>
      <c r="Q1149" s="9">
        <v>1.0784E-4</v>
      </c>
      <c r="R1149" s="10">
        <v>1.0055683794255523E-4</v>
      </c>
      <c r="S1149" s="10">
        <v>1.5215706775898797E-4</v>
      </c>
      <c r="T1149" s="10">
        <v>9.6033784344263143E-5</v>
      </c>
      <c r="U1149" s="10">
        <v>1.8171999999999999E-4</v>
      </c>
      <c r="V1149" s="25"/>
      <c r="W1149" s="25"/>
      <c r="X1149" s="25"/>
      <c r="Y1149" s="25"/>
      <c r="Z1149" s="25"/>
      <c r="AA1149" s="25"/>
    </row>
    <row r="1150" spans="1:27" x14ac:dyDescent="0.35">
      <c r="A1150" s="5">
        <v>1146</v>
      </c>
      <c r="B1150" s="5">
        <v>48</v>
      </c>
      <c r="C1150" s="5">
        <v>2</v>
      </c>
      <c r="D1150" s="25">
        <v>1.1415000000000001E-4</v>
      </c>
      <c r="E1150" s="25">
        <v>1.1899E-4</v>
      </c>
      <c r="F1150" s="25">
        <v>1.3144E-4</v>
      </c>
      <c r="G1150" s="25">
        <v>1.6191999999999999E-4</v>
      </c>
      <c r="H1150" s="25">
        <v>1.1815E-4</v>
      </c>
      <c r="I1150" s="9">
        <v>1.4077999999999999E-4</v>
      </c>
      <c r="J1150" s="9">
        <v>1.4503000000000001E-4</v>
      </c>
      <c r="K1150" s="9">
        <v>2.9458000000000002E-4</v>
      </c>
      <c r="L1150" s="9">
        <v>1.392E-4</v>
      </c>
      <c r="M1150" s="9">
        <v>1.2778999999999999E-4</v>
      </c>
      <c r="N1150" s="9">
        <v>1.3893999999999999E-4</v>
      </c>
      <c r="O1150" s="9">
        <v>1.4116000000000001E-4</v>
      </c>
      <c r="P1150" s="9">
        <v>1.2849000000000001E-4</v>
      </c>
      <c r="Q1150" s="9">
        <v>1.1747E-4</v>
      </c>
      <c r="R1150" s="10">
        <v>1.3934696022858343E-4</v>
      </c>
      <c r="S1150" s="10">
        <v>1.2865612513566588E-4</v>
      </c>
      <c r="T1150" s="10">
        <v>0</v>
      </c>
      <c r="U1150" s="10">
        <v>1.8171999999999999E-4</v>
      </c>
      <c r="V1150" s="25"/>
      <c r="W1150" s="25"/>
      <c r="X1150" s="25"/>
      <c r="Y1150" s="25"/>
      <c r="Z1150" s="25"/>
      <c r="AA1150" s="25"/>
    </row>
    <row r="1151" spans="1:27" x14ac:dyDescent="0.35">
      <c r="A1151" s="5">
        <v>1147</v>
      </c>
      <c r="B1151" s="5">
        <v>48</v>
      </c>
      <c r="C1151" s="5">
        <v>2</v>
      </c>
      <c r="D1151" s="25">
        <v>1.1416E-4</v>
      </c>
      <c r="E1151" s="25">
        <v>1.1252E-4</v>
      </c>
      <c r="F1151" s="25">
        <v>1.3737999999999999E-4</v>
      </c>
      <c r="G1151" s="25">
        <v>1.0670000000000001E-4</v>
      </c>
      <c r="H1151" s="25">
        <v>8.1279999999999994E-5</v>
      </c>
      <c r="I1151" s="9">
        <v>1.4896000000000001E-4</v>
      </c>
      <c r="J1151" s="9">
        <v>1.483E-4</v>
      </c>
      <c r="K1151" s="9">
        <v>3.0093999999999997E-4</v>
      </c>
      <c r="L1151" s="9">
        <v>1.4059000000000001E-4</v>
      </c>
      <c r="M1151" s="9">
        <v>1.2676000000000001E-4</v>
      </c>
      <c r="N1151" s="9">
        <v>1.2991000000000001E-4</v>
      </c>
      <c r="O1151" s="9">
        <v>1.4347000000000001E-4</v>
      </c>
      <c r="P1151" s="9">
        <v>1.2490999999999999E-4</v>
      </c>
      <c r="Q1151" s="9">
        <v>1.0811000000000001E-4</v>
      </c>
      <c r="R1151" s="10">
        <v>1.4360459788903188E-4</v>
      </c>
      <c r="S1151" s="10">
        <v>1.2096897458987003E-4</v>
      </c>
      <c r="T1151" s="10">
        <v>0</v>
      </c>
      <c r="U1151" s="10">
        <v>1.8171999999999999E-4</v>
      </c>
      <c r="V1151" s="25"/>
      <c r="W1151" s="25"/>
      <c r="X1151" s="25"/>
      <c r="Y1151" s="25"/>
      <c r="Z1151" s="25"/>
      <c r="AA1151" s="25"/>
    </row>
    <row r="1152" spans="1:27" x14ac:dyDescent="0.35">
      <c r="A1152" s="5">
        <v>1148</v>
      </c>
      <c r="B1152" s="5">
        <v>48</v>
      </c>
      <c r="C1152" s="5">
        <v>2</v>
      </c>
      <c r="D1152" s="25">
        <v>1.1415000000000001E-4</v>
      </c>
      <c r="E1152" s="25">
        <v>1.122E-4</v>
      </c>
      <c r="F1152" s="25">
        <v>1.3102E-4</v>
      </c>
      <c r="G1152" s="25">
        <v>1.0474E-4</v>
      </c>
      <c r="H1152" s="25">
        <v>8.1089999999999998E-5</v>
      </c>
      <c r="I1152" s="9">
        <v>1.4697000000000001E-4</v>
      </c>
      <c r="J1152" s="9">
        <v>1.4596999999999999E-4</v>
      </c>
      <c r="K1152" s="9">
        <v>3.0306000000000002E-4</v>
      </c>
      <c r="L1152" s="9">
        <v>1.4283000000000001E-4</v>
      </c>
      <c r="M1152" s="9">
        <v>1.261E-4</v>
      </c>
      <c r="N1152" s="9">
        <v>1.2106E-4</v>
      </c>
      <c r="O1152" s="9">
        <v>1.4535000000000001E-4</v>
      </c>
      <c r="P1152" s="9">
        <v>1.2297E-4</v>
      </c>
      <c r="Q1152" s="9">
        <v>1.0246E-4</v>
      </c>
      <c r="R1152" s="10">
        <v>1.2035359669052837E-4</v>
      </c>
      <c r="S1152" s="10">
        <v>1.2682692032873409E-4</v>
      </c>
      <c r="T1152" s="10">
        <v>0</v>
      </c>
      <c r="U1152" s="10">
        <v>1.8171999999999999E-4</v>
      </c>
      <c r="V1152" s="25"/>
      <c r="W1152" s="25"/>
      <c r="X1152" s="25"/>
      <c r="Y1152" s="25"/>
      <c r="Z1152" s="25"/>
      <c r="AA1152" s="25"/>
    </row>
    <row r="1153" spans="1:27" x14ac:dyDescent="0.35">
      <c r="A1153" s="5">
        <v>1149</v>
      </c>
      <c r="B1153" s="5">
        <v>48</v>
      </c>
      <c r="C1153" s="5">
        <v>2</v>
      </c>
      <c r="D1153" s="25">
        <v>1.1416E-4</v>
      </c>
      <c r="E1153" s="25">
        <v>1.1432E-4</v>
      </c>
      <c r="F1153" s="25">
        <v>1.1983E-4</v>
      </c>
      <c r="G1153" s="25">
        <v>6.347E-5</v>
      </c>
      <c r="H1153" s="25">
        <v>4.0460000000000002E-5</v>
      </c>
      <c r="I1153" s="9">
        <v>1.3964000000000001E-4</v>
      </c>
      <c r="J1153" s="9">
        <v>1.3929E-4</v>
      </c>
      <c r="K1153" s="9">
        <v>3.0518E-4</v>
      </c>
      <c r="L1153" s="9">
        <v>1.4478000000000001E-4</v>
      </c>
      <c r="M1153" s="9">
        <v>1.2481999999999999E-4</v>
      </c>
      <c r="N1153" s="9">
        <v>1.1352E-4</v>
      </c>
      <c r="O1153" s="9">
        <v>8.5309999999999995E-5</v>
      </c>
      <c r="P1153" s="9">
        <v>8.6860000000000005E-5</v>
      </c>
      <c r="Q1153" s="9">
        <v>8.8869999999999994E-5</v>
      </c>
      <c r="R1153" s="10">
        <v>9.1303910899522724E-5</v>
      </c>
      <c r="S1153" s="10">
        <v>1.3072220408701573E-4</v>
      </c>
      <c r="T1153" s="10">
        <v>0</v>
      </c>
      <c r="U1153" s="10">
        <v>1.8171999999999999E-4</v>
      </c>
      <c r="V1153" s="25"/>
      <c r="W1153" s="25"/>
      <c r="X1153" s="25"/>
      <c r="Y1153" s="25"/>
      <c r="Z1153" s="25"/>
      <c r="AA1153" s="25"/>
    </row>
    <row r="1154" spans="1:27" x14ac:dyDescent="0.35">
      <c r="A1154" s="5">
        <v>1150</v>
      </c>
      <c r="B1154" s="5">
        <v>48</v>
      </c>
      <c r="C1154" s="5">
        <v>2</v>
      </c>
      <c r="D1154" s="25">
        <v>1.1415000000000001E-4</v>
      </c>
      <c r="E1154" s="25">
        <v>1.125E-4</v>
      </c>
      <c r="F1154" s="25">
        <v>1.219E-4</v>
      </c>
      <c r="G1154" s="25">
        <v>5.8959999999999998E-5</v>
      </c>
      <c r="H1154" s="25">
        <v>4.507E-5</v>
      </c>
      <c r="I1154" s="9">
        <v>1.3307999999999999E-4</v>
      </c>
      <c r="J1154" s="9">
        <v>1.3104999999999999E-4</v>
      </c>
      <c r="K1154" s="9">
        <v>2.9459000000000001E-4</v>
      </c>
      <c r="L1154" s="9">
        <v>9.8339999999999997E-5</v>
      </c>
      <c r="M1154" s="9">
        <v>1.1078000000000001E-4</v>
      </c>
      <c r="N1154" s="9">
        <v>1.0606E-4</v>
      </c>
      <c r="O1154" s="9">
        <v>8.8220000000000006E-5</v>
      </c>
      <c r="P1154" s="9">
        <v>8.8350000000000006E-5</v>
      </c>
      <c r="Q1154" s="9">
        <v>8.9010000000000003E-5</v>
      </c>
      <c r="R1154" s="10">
        <v>6.0931802978597212E-5</v>
      </c>
      <c r="S1154" s="10">
        <v>1.3205282766159826E-4</v>
      </c>
      <c r="T1154" s="10">
        <v>0</v>
      </c>
      <c r="U1154" s="10">
        <v>1.8171999999999999E-4</v>
      </c>
      <c r="V1154" s="25"/>
      <c r="W1154" s="25"/>
      <c r="X1154" s="25"/>
      <c r="Y1154" s="25"/>
      <c r="Z1154" s="25"/>
      <c r="AA1154" s="25"/>
    </row>
    <row r="1155" spans="1:27" x14ac:dyDescent="0.35">
      <c r="A1155" s="5">
        <v>1151</v>
      </c>
      <c r="B1155" s="5">
        <v>48</v>
      </c>
      <c r="C1155" s="5">
        <v>2</v>
      </c>
      <c r="D1155" s="25">
        <v>1.1416E-4</v>
      </c>
      <c r="E1155" s="25">
        <v>1.1396E-4</v>
      </c>
      <c r="F1155" s="25">
        <v>1.3997E-4</v>
      </c>
      <c r="G1155" s="25">
        <v>5.4570000000000001E-5</v>
      </c>
      <c r="H1155" s="25">
        <v>3.8160000000000001E-5</v>
      </c>
      <c r="I1155" s="9">
        <v>1.3479E-4</v>
      </c>
      <c r="J1155" s="9">
        <v>1.2114E-4</v>
      </c>
      <c r="K1155" s="9">
        <v>2.967E-4</v>
      </c>
      <c r="L1155" s="9">
        <v>9.1749999999999994E-5</v>
      </c>
      <c r="M1155" s="9">
        <v>9.8919999999999995E-5</v>
      </c>
      <c r="N1155" s="9">
        <v>1.0037E-4</v>
      </c>
      <c r="O1155" s="9">
        <v>8.475E-5</v>
      </c>
      <c r="P1155" s="9">
        <v>7.551E-5</v>
      </c>
      <c r="Q1155" s="9">
        <v>6.6890000000000005E-5</v>
      </c>
      <c r="R1155" s="10">
        <v>4.7755996166679845E-5</v>
      </c>
      <c r="S1155" s="10">
        <v>1.3901044471893853E-4</v>
      </c>
      <c r="T1155" s="10">
        <v>0</v>
      </c>
      <c r="U1155" s="10">
        <v>1.8171999999999999E-4</v>
      </c>
      <c r="V1155" s="25"/>
      <c r="W1155" s="25"/>
      <c r="X1155" s="25"/>
      <c r="Y1155" s="25"/>
      <c r="Z1155" s="25"/>
      <c r="AA1155" s="25"/>
    </row>
    <row r="1156" spans="1:27" x14ac:dyDescent="0.35">
      <c r="A1156" s="5">
        <v>1152</v>
      </c>
      <c r="B1156" s="5">
        <v>48</v>
      </c>
      <c r="C1156" s="5">
        <v>2</v>
      </c>
      <c r="D1156" s="25">
        <v>1.1415000000000001E-4</v>
      </c>
      <c r="E1156" s="25">
        <v>1.175E-4</v>
      </c>
      <c r="F1156" s="25">
        <v>1.177E-4</v>
      </c>
      <c r="G1156" s="25">
        <v>5.9769999999999999E-5</v>
      </c>
      <c r="H1156" s="25">
        <v>4.4409999999999997E-5</v>
      </c>
      <c r="I1156" s="9">
        <v>1.3355999999999999E-4</v>
      </c>
      <c r="J1156" s="9">
        <v>1.1275E-4</v>
      </c>
      <c r="K1156" s="9">
        <v>2.967E-4</v>
      </c>
      <c r="L1156" s="9">
        <v>8.6509999999999997E-5</v>
      </c>
      <c r="M1156" s="9">
        <v>8.7719999999999994E-5</v>
      </c>
      <c r="N1156" s="9">
        <v>9.1030000000000001E-5</v>
      </c>
      <c r="O1156" s="9">
        <v>7.9469999999999996E-5</v>
      </c>
      <c r="P1156" s="9">
        <v>6.8990000000000002E-5</v>
      </c>
      <c r="Q1156" s="9">
        <v>5.9049999999999999E-5</v>
      </c>
      <c r="R1156" s="10">
        <v>4.7457398949218452E-5</v>
      </c>
      <c r="S1156" s="10">
        <v>1.489514516344735E-4</v>
      </c>
      <c r="T1156" s="10">
        <v>0</v>
      </c>
      <c r="U1156" s="10">
        <v>1.8171999999999999E-4</v>
      </c>
      <c r="V1156" s="25"/>
      <c r="W1156" s="25"/>
      <c r="X1156" s="25"/>
      <c r="Y1156" s="25"/>
      <c r="Z1156" s="25"/>
      <c r="AA1156" s="25"/>
    </row>
    <row r="1157" spans="1:27" x14ac:dyDescent="0.35">
      <c r="A1157" s="5">
        <v>1153</v>
      </c>
      <c r="B1157" s="5">
        <v>49</v>
      </c>
      <c r="C1157" s="5">
        <v>2</v>
      </c>
      <c r="D1157" s="25">
        <v>1.1416E-4</v>
      </c>
      <c r="E1157" s="25">
        <v>1.1322E-4</v>
      </c>
      <c r="F1157" s="25">
        <v>8.0569999999999996E-5</v>
      </c>
      <c r="G1157" s="25">
        <v>5.834E-5</v>
      </c>
      <c r="H1157" s="25">
        <v>1.541E-5</v>
      </c>
      <c r="I1157" s="9">
        <v>1.2554999999999999E-4</v>
      </c>
      <c r="J1157" s="9">
        <v>1.0590999999999999E-4</v>
      </c>
      <c r="K1157" s="9">
        <v>3.0093999999999997E-4</v>
      </c>
      <c r="L1157" s="9">
        <v>8.0820000000000002E-5</v>
      </c>
      <c r="M1157" s="9">
        <v>7.8430000000000006E-5</v>
      </c>
      <c r="N1157" s="9">
        <v>8.1550000000000004E-5</v>
      </c>
      <c r="O1157" s="9">
        <v>6.8200000000000004E-5</v>
      </c>
      <c r="P1157" s="9">
        <v>6.0730000000000003E-5</v>
      </c>
      <c r="Q1157" s="9">
        <v>5.3550000000000001E-5</v>
      </c>
      <c r="R1157" s="10">
        <v>4.105557534113358E-5</v>
      </c>
      <c r="S1157" s="10">
        <v>1.6132634999502232E-4</v>
      </c>
      <c r="T1157" s="10">
        <v>0</v>
      </c>
      <c r="U1157" s="10">
        <v>1.7867999999999999E-4</v>
      </c>
      <c r="V1157" s="25"/>
      <c r="W1157" s="25"/>
      <c r="X1157" s="25"/>
      <c r="Y1157" s="25"/>
      <c r="Z1157" s="25"/>
      <c r="AA1157" s="25"/>
    </row>
    <row r="1158" spans="1:27" x14ac:dyDescent="0.35">
      <c r="A1158" s="5">
        <v>1154</v>
      </c>
      <c r="B1158" s="5">
        <v>49</v>
      </c>
      <c r="C1158" s="5">
        <v>2</v>
      </c>
      <c r="D1158" s="25">
        <v>1.1415000000000001E-4</v>
      </c>
      <c r="E1158" s="25">
        <v>1.0485E-4</v>
      </c>
      <c r="F1158" s="25">
        <v>8.4519999999999997E-5</v>
      </c>
      <c r="G1158" s="25">
        <v>5.5869999999999999E-5</v>
      </c>
      <c r="H1158" s="25">
        <v>1.518E-5</v>
      </c>
      <c r="I1158" s="9">
        <v>1.1977E-4</v>
      </c>
      <c r="J1158" s="9">
        <v>1.0179999999999999E-4</v>
      </c>
      <c r="K1158" s="9">
        <v>3.0093999999999997E-4</v>
      </c>
      <c r="L1158" s="9">
        <v>7.1119999999999997E-5</v>
      </c>
      <c r="M1158" s="9">
        <v>6.9880000000000002E-5</v>
      </c>
      <c r="N1158" s="9">
        <v>7.2360000000000005E-5</v>
      </c>
      <c r="O1158" s="9">
        <v>3.5259999999999998E-5</v>
      </c>
      <c r="P1158" s="9">
        <v>4.6249999999999999E-5</v>
      </c>
      <c r="Q1158" s="9">
        <v>5.6690000000000001E-5</v>
      </c>
      <c r="R1158" s="10">
        <v>4.1594500135926504E-5</v>
      </c>
      <c r="S1158" s="10">
        <v>1.7013856912690504E-4</v>
      </c>
      <c r="T1158" s="10">
        <v>0</v>
      </c>
      <c r="U1158" s="10">
        <v>1.7867999999999999E-4</v>
      </c>
      <c r="V1158" s="25"/>
      <c r="W1158" s="25"/>
      <c r="X1158" s="25"/>
      <c r="Y1158" s="25"/>
      <c r="Z1158" s="25"/>
      <c r="AA1158" s="25"/>
    </row>
    <row r="1159" spans="1:27" x14ac:dyDescent="0.35">
      <c r="A1159" s="5">
        <v>1155</v>
      </c>
      <c r="B1159" s="5">
        <v>49</v>
      </c>
      <c r="C1159" s="5">
        <v>2</v>
      </c>
      <c r="D1159" s="25">
        <v>1.1416E-4</v>
      </c>
      <c r="E1159" s="25">
        <v>1.1150999999999999E-4</v>
      </c>
      <c r="F1159" s="25">
        <v>9.7250000000000006E-5</v>
      </c>
      <c r="G1159" s="25">
        <v>5.2370000000000002E-5</v>
      </c>
      <c r="H1159" s="25">
        <v>1.5699999999999999E-5</v>
      </c>
      <c r="I1159" s="9">
        <v>1.1510000000000001E-4</v>
      </c>
      <c r="J1159" s="9">
        <v>9.9539999999999999E-5</v>
      </c>
      <c r="K1159" s="9">
        <v>3.0518E-4</v>
      </c>
      <c r="L1159" s="9">
        <v>4.3399999999999998E-5</v>
      </c>
      <c r="M1159" s="9">
        <v>5.9360000000000001E-5</v>
      </c>
      <c r="N1159" s="9">
        <v>6.5809999999999995E-5</v>
      </c>
      <c r="O1159" s="9">
        <v>2.1829999999999999E-5</v>
      </c>
      <c r="P1159" s="9">
        <v>4.2400000000000001E-5</v>
      </c>
      <c r="Q1159" s="9">
        <v>6.2020000000000006E-5</v>
      </c>
      <c r="R1159" s="10">
        <v>4.7877827955333541E-5</v>
      </c>
      <c r="S1159" s="10">
        <v>1.7128897741702694E-4</v>
      </c>
      <c r="T1159" s="10">
        <v>0</v>
      </c>
      <c r="U1159" s="10">
        <v>1.7867999999999999E-4</v>
      </c>
      <c r="V1159" s="25"/>
      <c r="W1159" s="25"/>
      <c r="X1159" s="25"/>
      <c r="Y1159" s="25"/>
      <c r="Z1159" s="25"/>
      <c r="AA1159" s="25"/>
    </row>
    <row r="1160" spans="1:27" x14ac:dyDescent="0.35">
      <c r="A1160" s="5">
        <v>1156</v>
      </c>
      <c r="B1160" s="5">
        <v>49</v>
      </c>
      <c r="C1160" s="5">
        <v>2</v>
      </c>
      <c r="D1160" s="25">
        <v>1.1415000000000001E-4</v>
      </c>
      <c r="E1160" s="25">
        <v>1.1391E-4</v>
      </c>
      <c r="F1160" s="25">
        <v>1.0216E-4</v>
      </c>
      <c r="G1160" s="25">
        <v>5.2450000000000001E-5</v>
      </c>
      <c r="H1160" s="25">
        <v>1.649E-5</v>
      </c>
      <c r="I1160" s="9">
        <v>1.1307999999999999E-4</v>
      </c>
      <c r="J1160" s="9">
        <v>9.8800000000000003E-5</v>
      </c>
      <c r="K1160" s="9">
        <v>3.0941999999999998E-4</v>
      </c>
      <c r="L1160" s="9">
        <v>2.7319999999999999E-5</v>
      </c>
      <c r="M1160" s="9">
        <v>5.0729999999999997E-5</v>
      </c>
      <c r="N1160" s="9">
        <v>6.2230000000000006E-5</v>
      </c>
      <c r="O1160" s="9">
        <v>2.1299999999999999E-5</v>
      </c>
      <c r="P1160" s="9">
        <v>5.168E-5</v>
      </c>
      <c r="Q1160" s="9">
        <v>8.0970000000000006E-5</v>
      </c>
      <c r="R1160" s="10">
        <v>5.6502666234125731E-5</v>
      </c>
      <c r="S1160" s="10">
        <v>1.7138445120952982E-4</v>
      </c>
      <c r="T1160" s="10">
        <v>0</v>
      </c>
      <c r="U1160" s="10">
        <v>1.7867999999999999E-4</v>
      </c>
      <c r="V1160" s="25"/>
      <c r="W1160" s="25"/>
      <c r="X1160" s="25"/>
      <c r="Y1160" s="25"/>
      <c r="Z1160" s="25"/>
      <c r="AA1160" s="25"/>
    </row>
    <row r="1161" spans="1:27" x14ac:dyDescent="0.35">
      <c r="A1161" s="5">
        <v>1157</v>
      </c>
      <c r="B1161" s="5">
        <v>49</v>
      </c>
      <c r="C1161" s="5">
        <v>2</v>
      </c>
      <c r="D1161" s="25">
        <v>1.1416E-4</v>
      </c>
      <c r="E1161" s="25">
        <v>1.1010000000000001E-4</v>
      </c>
      <c r="F1161" s="25">
        <v>9.8579999999999995E-5</v>
      </c>
      <c r="G1161" s="25">
        <v>6.2020000000000006E-5</v>
      </c>
      <c r="H1161" s="25">
        <v>1.4769999999999999E-5</v>
      </c>
      <c r="I1161" s="9">
        <v>1.1307999999999999E-4</v>
      </c>
      <c r="J1161" s="9">
        <v>9.9630000000000007E-5</v>
      </c>
      <c r="K1161" s="9">
        <v>3.0518E-4</v>
      </c>
      <c r="L1161" s="9">
        <v>2.3010000000000002E-5</v>
      </c>
      <c r="M1161" s="9">
        <v>4.9070000000000003E-5</v>
      </c>
      <c r="N1161" s="9">
        <v>6.4830000000000001E-5</v>
      </c>
      <c r="O1161" s="9">
        <v>2.304E-5</v>
      </c>
      <c r="P1161" s="9">
        <v>5.8909999999999997E-5</v>
      </c>
      <c r="Q1161" s="9">
        <v>9.3620000000000002E-5</v>
      </c>
      <c r="R1161" s="10">
        <v>6.6930496785807801E-5</v>
      </c>
      <c r="S1161" s="10">
        <v>1.7237545653010986E-4</v>
      </c>
      <c r="T1161" s="10">
        <v>0</v>
      </c>
      <c r="U1161" s="10">
        <v>1.7867999999999999E-4</v>
      </c>
      <c r="V1161" s="25"/>
      <c r="W1161" s="25"/>
      <c r="X1161" s="25"/>
      <c r="Y1161" s="25"/>
      <c r="Z1161" s="25"/>
      <c r="AA1161" s="25"/>
    </row>
    <row r="1162" spans="1:27" x14ac:dyDescent="0.35">
      <c r="A1162" s="5">
        <v>1158</v>
      </c>
      <c r="B1162" s="5">
        <v>49</v>
      </c>
      <c r="C1162" s="5">
        <v>2</v>
      </c>
      <c r="D1162" s="25">
        <v>1.1415000000000001E-4</v>
      </c>
      <c r="E1162" s="25">
        <v>1.1428E-4</v>
      </c>
      <c r="F1162" s="25">
        <v>9.7349999999999995E-5</v>
      </c>
      <c r="G1162" s="25">
        <v>1.0749E-4</v>
      </c>
      <c r="H1162" s="25">
        <v>2.9030000000000002E-5</v>
      </c>
      <c r="I1162" s="9">
        <v>1.1891E-4</v>
      </c>
      <c r="J1162" s="9">
        <v>1.0340000000000001E-4</v>
      </c>
      <c r="K1162" s="9">
        <v>3.0729999999999999E-4</v>
      </c>
      <c r="L1162" s="9">
        <v>2.296E-5</v>
      </c>
      <c r="M1162" s="9">
        <v>5.253E-5</v>
      </c>
      <c r="N1162" s="9">
        <v>7.1320000000000002E-5</v>
      </c>
      <c r="O1162" s="9">
        <v>2.953E-5</v>
      </c>
      <c r="P1162" s="9">
        <v>6.9040000000000003E-5</v>
      </c>
      <c r="Q1162" s="9">
        <v>1.0744E-4</v>
      </c>
      <c r="R1162" s="10">
        <v>7.4244197583360415E-5</v>
      </c>
      <c r="S1162" s="10">
        <v>1.7285376066608895E-4</v>
      </c>
      <c r="T1162" s="10">
        <v>0</v>
      </c>
      <c r="U1162" s="10">
        <v>1.7867999999999999E-4</v>
      </c>
      <c r="V1162" s="25"/>
      <c r="W1162" s="25"/>
      <c r="X1162" s="25"/>
      <c r="Y1162" s="25"/>
      <c r="Z1162" s="25"/>
      <c r="AA1162" s="25"/>
    </row>
    <row r="1163" spans="1:27" x14ac:dyDescent="0.35">
      <c r="A1163" s="5">
        <v>1159</v>
      </c>
      <c r="B1163" s="5">
        <v>49</v>
      </c>
      <c r="C1163" s="5">
        <v>2</v>
      </c>
      <c r="D1163" s="25">
        <v>1.1416E-4</v>
      </c>
      <c r="E1163" s="25">
        <v>1.0484000000000001E-4</v>
      </c>
      <c r="F1163" s="25">
        <v>9.2910000000000003E-5</v>
      </c>
      <c r="G1163" s="25">
        <v>1.0965E-4</v>
      </c>
      <c r="H1163" s="25">
        <v>2.849E-5</v>
      </c>
      <c r="I1163" s="9">
        <v>1.3276999999999999E-4</v>
      </c>
      <c r="J1163" s="9">
        <v>1.1585E-4</v>
      </c>
      <c r="K1163" s="9">
        <v>3.0729999999999999E-4</v>
      </c>
      <c r="L1163" s="9">
        <v>2.7990000000000001E-5</v>
      </c>
      <c r="M1163" s="9">
        <v>5.9500000000000003E-5</v>
      </c>
      <c r="N1163" s="9">
        <v>8.106E-5</v>
      </c>
      <c r="O1163" s="9">
        <v>4.5920000000000001E-5</v>
      </c>
      <c r="P1163" s="9">
        <v>7.9389999999999997E-5</v>
      </c>
      <c r="Q1163" s="9">
        <v>1.1213999999999999E-4</v>
      </c>
      <c r="R1163" s="10">
        <v>8.6052761091269837E-5</v>
      </c>
      <c r="S1163" s="10">
        <v>1.7498634815781683E-4</v>
      </c>
      <c r="T1163" s="10">
        <v>0</v>
      </c>
      <c r="U1163" s="10">
        <v>1.7867999999999999E-4</v>
      </c>
      <c r="V1163" s="25"/>
      <c r="W1163" s="25"/>
      <c r="X1163" s="25"/>
      <c r="Y1163" s="25"/>
      <c r="Z1163" s="25"/>
      <c r="AA1163" s="25"/>
    </row>
    <row r="1164" spans="1:27" x14ac:dyDescent="0.35">
      <c r="A1164" s="5">
        <v>1160</v>
      </c>
      <c r="B1164" s="5">
        <v>49</v>
      </c>
      <c r="C1164" s="5">
        <v>2</v>
      </c>
      <c r="D1164" s="25">
        <v>1.1415000000000001E-4</v>
      </c>
      <c r="E1164" s="25">
        <v>1.0984000000000001E-4</v>
      </c>
      <c r="F1164" s="25">
        <v>9.4380000000000001E-5</v>
      </c>
      <c r="G1164" s="25">
        <v>1.5851E-4</v>
      </c>
      <c r="H1164" s="25">
        <v>4.2799999999999997E-5</v>
      </c>
      <c r="I1164" s="9">
        <v>1.4276999999999999E-4</v>
      </c>
      <c r="J1164" s="9">
        <v>1.3397999999999999E-4</v>
      </c>
      <c r="K1164" s="9">
        <v>3.0729999999999999E-4</v>
      </c>
      <c r="L1164" s="9">
        <v>4.1820000000000003E-5</v>
      </c>
      <c r="M1164" s="9">
        <v>6.8419999999999999E-5</v>
      </c>
      <c r="N1164" s="9">
        <v>9.1020000000000006E-5</v>
      </c>
      <c r="O1164" s="9">
        <v>6.7929999999999995E-5</v>
      </c>
      <c r="P1164" s="9">
        <v>1.0213999999999999E-4</v>
      </c>
      <c r="Q1164" s="9">
        <v>1.3600999999999999E-4</v>
      </c>
      <c r="R1164" s="10">
        <v>1.0192237442369862E-4</v>
      </c>
      <c r="S1164" s="10">
        <v>1.7871434416090055E-4</v>
      </c>
      <c r="T1164" s="10">
        <v>0</v>
      </c>
      <c r="U1164" s="10">
        <v>1.7867999999999999E-4</v>
      </c>
      <c r="V1164" s="25"/>
      <c r="W1164" s="25"/>
      <c r="X1164" s="25"/>
      <c r="Y1164" s="25"/>
      <c r="Z1164" s="25"/>
      <c r="AA1164" s="25"/>
    </row>
    <row r="1165" spans="1:27" x14ac:dyDescent="0.35">
      <c r="A1165" s="5">
        <v>1161</v>
      </c>
      <c r="B1165" s="5">
        <v>49</v>
      </c>
      <c r="C1165" s="5">
        <v>2</v>
      </c>
      <c r="D1165" s="25">
        <v>1.1416E-4</v>
      </c>
      <c r="E1165" s="25">
        <v>1.0757E-4</v>
      </c>
      <c r="F1165" s="25">
        <v>8.0740000000000003E-5</v>
      </c>
      <c r="G1165" s="25">
        <v>1.5799999999999999E-4</v>
      </c>
      <c r="H1165" s="25">
        <v>4.189E-5</v>
      </c>
      <c r="I1165" s="9">
        <v>1.4365E-4</v>
      </c>
      <c r="J1165" s="9">
        <v>1.4349E-4</v>
      </c>
      <c r="K1165" s="9">
        <v>3.0518E-4</v>
      </c>
      <c r="L1165" s="9">
        <v>6.1810000000000006E-5</v>
      </c>
      <c r="M1165" s="9">
        <v>8.2769999999999995E-5</v>
      </c>
      <c r="N1165" s="9">
        <v>1.0454E-4</v>
      </c>
      <c r="O1165" s="9">
        <v>9.9900000000000002E-5</v>
      </c>
      <c r="P1165" s="9">
        <v>1.3812000000000001E-4</v>
      </c>
      <c r="Q1165" s="9">
        <v>1.7647999999999999E-4</v>
      </c>
      <c r="R1165" s="10">
        <v>1.1696678521234625E-4</v>
      </c>
      <c r="S1165" s="10">
        <v>1.8233553966652143E-4</v>
      </c>
      <c r="T1165" s="10">
        <v>2.1932762250053423E-4</v>
      </c>
      <c r="U1165" s="10">
        <v>1.7867999999999999E-4</v>
      </c>
      <c r="V1165" s="25"/>
      <c r="W1165" s="25"/>
      <c r="X1165" s="25"/>
      <c r="Y1165" s="25"/>
      <c r="Z1165" s="25"/>
      <c r="AA1165" s="25"/>
    </row>
    <row r="1166" spans="1:27" x14ac:dyDescent="0.35">
      <c r="A1166" s="5">
        <v>1162</v>
      </c>
      <c r="B1166" s="5">
        <v>49</v>
      </c>
      <c r="C1166" s="5">
        <v>2</v>
      </c>
      <c r="D1166" s="25">
        <v>1.1415000000000001E-4</v>
      </c>
      <c r="E1166" s="25">
        <v>1.0847E-4</v>
      </c>
      <c r="F1166" s="25">
        <v>9.1550000000000003E-5</v>
      </c>
      <c r="G1166" s="25">
        <v>1.6640000000000001E-4</v>
      </c>
      <c r="H1166" s="25">
        <v>4.3279999999999999E-5</v>
      </c>
      <c r="I1166" s="9">
        <v>1.4452000000000001E-4</v>
      </c>
      <c r="J1166" s="9">
        <v>1.4700999999999999E-4</v>
      </c>
      <c r="K1166" s="9">
        <v>2.9881999999999999E-4</v>
      </c>
      <c r="L1166" s="9">
        <v>9.1000000000000003E-5</v>
      </c>
      <c r="M1166" s="9">
        <v>1.0632E-4</v>
      </c>
      <c r="N1166" s="9">
        <v>1.2439999999999999E-4</v>
      </c>
      <c r="O1166" s="9">
        <v>1.2875000000000001E-4</v>
      </c>
      <c r="P1166" s="9">
        <v>1.5474E-4</v>
      </c>
      <c r="Q1166" s="9">
        <v>1.8155999999999999E-4</v>
      </c>
      <c r="R1166" s="10">
        <v>1.2865825808125404E-4</v>
      </c>
      <c r="S1166" s="10">
        <v>1.8533334790665147E-4</v>
      </c>
      <c r="T1166" s="10">
        <v>4.2621726215375948E-4</v>
      </c>
      <c r="U1166" s="10">
        <v>1.7867999999999999E-4</v>
      </c>
      <c r="V1166" s="25"/>
      <c r="W1166" s="25"/>
      <c r="X1166" s="25"/>
      <c r="Y1166" s="25"/>
      <c r="Z1166" s="25"/>
      <c r="AA1166" s="25"/>
    </row>
    <row r="1167" spans="1:27" x14ac:dyDescent="0.35">
      <c r="A1167" s="5">
        <v>1163</v>
      </c>
      <c r="B1167" s="5">
        <v>49</v>
      </c>
      <c r="C1167" s="5">
        <v>2</v>
      </c>
      <c r="D1167" s="25">
        <v>1.1416E-4</v>
      </c>
      <c r="E1167" s="25">
        <v>1.0647E-4</v>
      </c>
      <c r="F1167" s="25">
        <v>9.0890000000000006E-5</v>
      </c>
      <c r="G1167" s="25">
        <v>1.6399000000000001E-4</v>
      </c>
      <c r="H1167" s="25">
        <v>4.3390000000000003E-5</v>
      </c>
      <c r="I1167" s="9">
        <v>1.4524000000000001E-4</v>
      </c>
      <c r="J1167" s="9">
        <v>1.4684E-4</v>
      </c>
      <c r="K1167" s="9">
        <v>2.8611000000000001E-4</v>
      </c>
      <c r="L1167" s="9">
        <v>1.1972E-4</v>
      </c>
      <c r="M1167" s="9">
        <v>1.2971E-4</v>
      </c>
      <c r="N1167" s="9">
        <v>1.4234999999999999E-4</v>
      </c>
      <c r="O1167" s="9">
        <v>1.3732999999999999E-4</v>
      </c>
      <c r="P1167" s="9">
        <v>1.5777E-4</v>
      </c>
      <c r="Q1167" s="9">
        <v>1.7928E-4</v>
      </c>
      <c r="R1167" s="10">
        <v>1.4286836600551457E-4</v>
      </c>
      <c r="S1167" s="10">
        <v>1.8713648939786901E-4</v>
      </c>
      <c r="T1167" s="10">
        <v>5.6649666760901591E-4</v>
      </c>
      <c r="U1167" s="10">
        <v>1.7867999999999999E-4</v>
      </c>
      <c r="V1167" s="25"/>
      <c r="W1167" s="25"/>
      <c r="X1167" s="25"/>
      <c r="Y1167" s="25"/>
      <c r="Z1167" s="25"/>
      <c r="AA1167" s="25"/>
    </row>
    <row r="1168" spans="1:27" x14ac:dyDescent="0.35">
      <c r="A1168" s="5">
        <v>1164</v>
      </c>
      <c r="B1168" s="5">
        <v>49</v>
      </c>
      <c r="C1168" s="5">
        <v>2</v>
      </c>
      <c r="D1168" s="25">
        <v>1.1415000000000001E-4</v>
      </c>
      <c r="E1168" s="25">
        <v>1.1409E-4</v>
      </c>
      <c r="F1168" s="25">
        <v>9.1089999999999997E-5</v>
      </c>
      <c r="G1168" s="25">
        <v>1.5794999999999999E-4</v>
      </c>
      <c r="H1168" s="25">
        <v>4.244E-5</v>
      </c>
      <c r="I1168" s="9">
        <v>1.4478000000000001E-4</v>
      </c>
      <c r="J1168" s="9">
        <v>1.4592000000000001E-4</v>
      </c>
      <c r="K1168" s="9">
        <v>2.7763000000000001E-4</v>
      </c>
      <c r="L1168" s="9">
        <v>1.3278000000000001E-4</v>
      </c>
      <c r="M1168" s="9">
        <v>1.4535000000000001E-4</v>
      </c>
      <c r="N1168" s="9">
        <v>1.5637999999999999E-4</v>
      </c>
      <c r="O1168" s="9">
        <v>1.3897000000000001E-4</v>
      </c>
      <c r="P1168" s="9">
        <v>1.5604E-4</v>
      </c>
      <c r="Q1168" s="9">
        <v>1.7425000000000001E-4</v>
      </c>
      <c r="R1168" s="10">
        <v>1.4679805448475412E-4</v>
      </c>
      <c r="S1168" s="10">
        <v>1.8627643108227218E-4</v>
      </c>
      <c r="T1168" s="10">
        <v>5.9189017556399235E-4</v>
      </c>
      <c r="U1168" s="10">
        <v>1.7867999999999999E-4</v>
      </c>
      <c r="V1168" s="25"/>
      <c r="W1168" s="25"/>
      <c r="X1168" s="25"/>
      <c r="Y1168" s="25"/>
      <c r="Z1168" s="25"/>
      <c r="AA1168" s="25"/>
    </row>
    <row r="1169" spans="1:27" x14ac:dyDescent="0.35">
      <c r="A1169" s="5">
        <v>1165</v>
      </c>
      <c r="B1169" s="5">
        <v>49</v>
      </c>
      <c r="C1169" s="5">
        <v>2</v>
      </c>
      <c r="D1169" s="25">
        <v>1.1416E-4</v>
      </c>
      <c r="E1169" s="25">
        <v>1.1307999999999999E-4</v>
      </c>
      <c r="F1169" s="25">
        <v>9.6940000000000004E-5</v>
      </c>
      <c r="G1169" s="25">
        <v>1.6173000000000001E-4</v>
      </c>
      <c r="H1169" s="25">
        <v>4.3170000000000002E-5</v>
      </c>
      <c r="I1169" s="9">
        <v>1.4179000000000001E-4</v>
      </c>
      <c r="J1169" s="9">
        <v>1.4407999999999999E-4</v>
      </c>
      <c r="K1169" s="9">
        <v>2.7551000000000002E-4</v>
      </c>
      <c r="L1169" s="9">
        <v>1.3742999999999999E-4</v>
      </c>
      <c r="M1169" s="9">
        <v>1.5254999999999999E-4</v>
      </c>
      <c r="N1169" s="9">
        <v>1.6592000000000001E-4</v>
      </c>
      <c r="O1169" s="9">
        <v>1.2952999999999999E-4</v>
      </c>
      <c r="P1169" s="9">
        <v>1.4732999999999999E-4</v>
      </c>
      <c r="Q1169" s="9">
        <v>1.6610999999999999E-4</v>
      </c>
      <c r="R1169" s="10">
        <v>1.4871145273260761E-4</v>
      </c>
      <c r="S1169" s="10">
        <v>1.878886417297159E-4</v>
      </c>
      <c r="T1169" s="10">
        <v>6.1603649151449797E-4</v>
      </c>
      <c r="U1169" s="10">
        <v>1.7867999999999999E-4</v>
      </c>
      <c r="V1169" s="25"/>
      <c r="W1169" s="25"/>
      <c r="X1169" s="25"/>
      <c r="Y1169" s="25"/>
      <c r="Z1169" s="25"/>
      <c r="AA1169" s="25"/>
    </row>
    <row r="1170" spans="1:27" x14ac:dyDescent="0.35">
      <c r="A1170" s="5">
        <v>1166</v>
      </c>
      <c r="B1170" s="5">
        <v>49</v>
      </c>
      <c r="C1170" s="5">
        <v>2</v>
      </c>
      <c r="D1170" s="25">
        <v>1.1415000000000001E-4</v>
      </c>
      <c r="E1170" s="25">
        <v>1.0450000000000001E-4</v>
      </c>
      <c r="F1170" s="25">
        <v>9.3049999999999998E-5</v>
      </c>
      <c r="G1170" s="25">
        <v>1.6422E-4</v>
      </c>
      <c r="H1170" s="25">
        <v>4.1199999999999999E-5</v>
      </c>
      <c r="I1170" s="9">
        <v>1.4240999999999999E-4</v>
      </c>
      <c r="J1170" s="9">
        <v>1.4446000000000001E-4</v>
      </c>
      <c r="K1170" s="9">
        <v>2.7552000000000002E-4</v>
      </c>
      <c r="L1170" s="9">
        <v>1.3132000000000001E-4</v>
      </c>
      <c r="M1170" s="9">
        <v>1.5205000000000001E-4</v>
      </c>
      <c r="N1170" s="9">
        <v>1.7002E-4</v>
      </c>
      <c r="O1170" s="9">
        <v>1.1286E-4</v>
      </c>
      <c r="P1170" s="9">
        <v>1.3653E-4</v>
      </c>
      <c r="Q1170" s="9">
        <v>1.6077999999999999E-4</v>
      </c>
      <c r="R1170" s="10">
        <v>1.2752337981659592E-4</v>
      </c>
      <c r="S1170" s="10">
        <v>1.8939592691262386E-4</v>
      </c>
      <c r="T1170" s="10">
        <v>5.7645723504608324E-4</v>
      </c>
      <c r="U1170" s="10">
        <v>1.7867999999999999E-4</v>
      </c>
      <c r="V1170" s="25"/>
      <c r="W1170" s="25"/>
      <c r="X1170" s="25"/>
      <c r="Y1170" s="25"/>
      <c r="Z1170" s="25"/>
      <c r="AA1170" s="25"/>
    </row>
    <row r="1171" spans="1:27" x14ac:dyDescent="0.35">
      <c r="A1171" s="5">
        <v>1167</v>
      </c>
      <c r="B1171" s="5">
        <v>49</v>
      </c>
      <c r="C1171" s="5">
        <v>2</v>
      </c>
      <c r="D1171" s="25">
        <v>1.1416E-4</v>
      </c>
      <c r="E1171" s="25">
        <v>1.0781E-4</v>
      </c>
      <c r="F1171" s="25">
        <v>9.7919999999999998E-5</v>
      </c>
      <c r="G1171" s="25">
        <v>1.5783E-4</v>
      </c>
      <c r="H1171" s="25">
        <v>4.3609999999999998E-5</v>
      </c>
      <c r="I1171" s="9">
        <v>1.4082999999999999E-4</v>
      </c>
      <c r="J1171" s="9">
        <v>1.4463E-4</v>
      </c>
      <c r="K1171" s="9">
        <v>2.6915000000000001E-4</v>
      </c>
      <c r="L1171" s="9">
        <v>1.1716E-4</v>
      </c>
      <c r="M1171" s="9">
        <v>1.4605999999999999E-4</v>
      </c>
      <c r="N1171" s="9">
        <v>1.6961999999999999E-4</v>
      </c>
      <c r="O1171" s="9">
        <v>1.2667000000000001E-4</v>
      </c>
      <c r="P1171" s="9">
        <v>1.3850000000000001E-4</v>
      </c>
      <c r="Q1171" s="9">
        <v>1.5134999999999999E-4</v>
      </c>
      <c r="R1171" s="10">
        <v>9.8319124144401497E-5</v>
      </c>
      <c r="S1171" s="10">
        <v>1.8983557958219215E-4</v>
      </c>
      <c r="T1171" s="10">
        <v>4.8948468240777221E-4</v>
      </c>
      <c r="U1171" s="10">
        <v>1.7867999999999999E-4</v>
      </c>
      <c r="V1171" s="25"/>
      <c r="W1171" s="25"/>
      <c r="X1171" s="25"/>
      <c r="Y1171" s="25"/>
      <c r="Z1171" s="25"/>
      <c r="AA1171" s="25"/>
    </row>
    <row r="1172" spans="1:27" x14ac:dyDescent="0.35">
      <c r="A1172" s="5">
        <v>1168</v>
      </c>
      <c r="B1172" s="5">
        <v>49</v>
      </c>
      <c r="C1172" s="5">
        <v>2</v>
      </c>
      <c r="D1172" s="25">
        <v>1.1415000000000001E-4</v>
      </c>
      <c r="E1172" s="25">
        <v>1.0811000000000001E-4</v>
      </c>
      <c r="F1172" s="25">
        <v>8.4709999999999994E-5</v>
      </c>
      <c r="G1172" s="25">
        <v>1.6142000000000001E-4</v>
      </c>
      <c r="H1172" s="25">
        <v>4.3640000000000002E-5</v>
      </c>
      <c r="I1172" s="9">
        <v>1.3855000000000001E-4</v>
      </c>
      <c r="J1172" s="9">
        <v>1.4501999999999999E-4</v>
      </c>
      <c r="K1172" s="9">
        <v>2.6491999999999998E-4</v>
      </c>
      <c r="L1172" s="9">
        <v>1.2498000000000001E-4</v>
      </c>
      <c r="M1172" s="9">
        <v>1.4166999999999999E-4</v>
      </c>
      <c r="N1172" s="9">
        <v>1.6556000000000001E-4</v>
      </c>
      <c r="O1172" s="9">
        <v>1.3423999999999999E-4</v>
      </c>
      <c r="P1172" s="9">
        <v>1.2107E-4</v>
      </c>
      <c r="Q1172" s="9">
        <v>1.0944E-4</v>
      </c>
      <c r="R1172" s="10">
        <v>9.1267117674343799E-5</v>
      </c>
      <c r="S1172" s="10">
        <v>1.897643387191173E-4</v>
      </c>
      <c r="T1172" s="10">
        <v>3.0518024762462632E-4</v>
      </c>
      <c r="U1172" s="10">
        <v>1.7867999999999999E-4</v>
      </c>
      <c r="V1172" s="25"/>
      <c r="W1172" s="25"/>
      <c r="X1172" s="25"/>
      <c r="Y1172" s="25"/>
      <c r="Z1172" s="25"/>
      <c r="AA1172" s="25"/>
    </row>
    <row r="1173" spans="1:27" x14ac:dyDescent="0.35">
      <c r="A1173" s="5">
        <v>1169</v>
      </c>
      <c r="B1173" s="5">
        <v>49</v>
      </c>
      <c r="C1173" s="5">
        <v>2</v>
      </c>
      <c r="D1173" s="25">
        <v>1.1416E-4</v>
      </c>
      <c r="E1173" s="25">
        <v>1.1389E-4</v>
      </c>
      <c r="F1173" s="25">
        <v>9.2219999999999995E-5</v>
      </c>
      <c r="G1173" s="25">
        <v>1.5987999999999999E-4</v>
      </c>
      <c r="H1173" s="25">
        <v>4.2450000000000002E-5</v>
      </c>
      <c r="I1173" s="9">
        <v>1.407E-4</v>
      </c>
      <c r="J1173" s="9">
        <v>1.461E-4</v>
      </c>
      <c r="K1173" s="9">
        <v>2.6279E-4</v>
      </c>
      <c r="L1173" s="9">
        <v>1.3193999999999999E-4</v>
      </c>
      <c r="M1173" s="9">
        <v>1.3327E-4</v>
      </c>
      <c r="N1173" s="9">
        <v>1.5186E-4</v>
      </c>
      <c r="O1173" s="9">
        <v>1.4192E-4</v>
      </c>
      <c r="P1173" s="9">
        <v>1.2410000000000001E-4</v>
      </c>
      <c r="Q1173" s="9">
        <v>1.08E-4</v>
      </c>
      <c r="R1173" s="10">
        <v>1.126689396839045E-4</v>
      </c>
      <c r="S1173" s="10">
        <v>1.8960728599656308E-4</v>
      </c>
      <c r="T1173" s="10">
        <v>9.3216996960015841E-5</v>
      </c>
      <c r="U1173" s="10">
        <v>1.7867999999999999E-4</v>
      </c>
      <c r="V1173" s="25"/>
      <c r="W1173" s="25"/>
      <c r="X1173" s="25"/>
      <c r="Y1173" s="25"/>
      <c r="Z1173" s="25"/>
      <c r="AA1173" s="25"/>
    </row>
    <row r="1174" spans="1:27" x14ac:dyDescent="0.35">
      <c r="A1174" s="5">
        <v>1170</v>
      </c>
      <c r="B1174" s="5">
        <v>49</v>
      </c>
      <c r="C1174" s="5">
        <v>2</v>
      </c>
      <c r="D1174" s="25">
        <v>1.1415000000000001E-4</v>
      </c>
      <c r="E1174" s="25">
        <v>1.0699E-4</v>
      </c>
      <c r="F1174" s="25">
        <v>9.9870000000000004E-5</v>
      </c>
      <c r="G1174" s="25">
        <v>1.5678E-4</v>
      </c>
      <c r="H1174" s="25">
        <v>4.1260000000000001E-5</v>
      </c>
      <c r="I1174" s="9">
        <v>1.4368000000000001E-4</v>
      </c>
      <c r="J1174" s="9">
        <v>1.4896000000000001E-4</v>
      </c>
      <c r="K1174" s="9">
        <v>2.5642999999999998E-4</v>
      </c>
      <c r="L1174" s="9">
        <v>1.3943000000000001E-4</v>
      </c>
      <c r="M1174" s="9">
        <v>1.2784E-4</v>
      </c>
      <c r="N1174" s="9">
        <v>1.3880000000000001E-4</v>
      </c>
      <c r="O1174" s="9">
        <v>1.4024E-4</v>
      </c>
      <c r="P1174" s="9">
        <v>1.2765000000000001E-4</v>
      </c>
      <c r="Q1174" s="9">
        <v>1.167E-4</v>
      </c>
      <c r="R1174" s="10">
        <v>1.39929798084002E-4</v>
      </c>
      <c r="S1174" s="10">
        <v>1.8956033328710182E-4</v>
      </c>
      <c r="T1174" s="10">
        <v>0</v>
      </c>
      <c r="U1174" s="10">
        <v>1.7867999999999999E-4</v>
      </c>
      <c r="V1174" s="25"/>
      <c r="W1174" s="25"/>
      <c r="X1174" s="25"/>
      <c r="Y1174" s="25"/>
      <c r="Z1174" s="25"/>
      <c r="AA1174" s="25"/>
    </row>
    <row r="1175" spans="1:27" x14ac:dyDescent="0.35">
      <c r="A1175" s="5">
        <v>1171</v>
      </c>
      <c r="B1175" s="5">
        <v>49</v>
      </c>
      <c r="C1175" s="5">
        <v>2</v>
      </c>
      <c r="D1175" s="25">
        <v>1.1416E-4</v>
      </c>
      <c r="E1175" s="25">
        <v>1.1141000000000001E-4</v>
      </c>
      <c r="F1175" s="25">
        <v>9.5730000000000007E-5</v>
      </c>
      <c r="G1175" s="25">
        <v>1.0846E-4</v>
      </c>
      <c r="H1175" s="25">
        <v>2.989E-5</v>
      </c>
      <c r="I1175" s="9">
        <v>1.5025999999999999E-4</v>
      </c>
      <c r="J1175" s="9">
        <v>1.4941999999999999E-4</v>
      </c>
      <c r="K1175" s="9">
        <v>2.4583999999999999E-4</v>
      </c>
      <c r="L1175" s="9">
        <v>1.3992E-4</v>
      </c>
      <c r="M1175" s="9">
        <v>1.2656000000000001E-4</v>
      </c>
      <c r="N1175" s="9">
        <v>1.2964000000000001E-4</v>
      </c>
      <c r="O1175" s="9">
        <v>1.4158000000000001E-4</v>
      </c>
      <c r="P1175" s="9">
        <v>1.2326000000000001E-4</v>
      </c>
      <c r="Q1175" s="9">
        <v>1.0669E-4</v>
      </c>
      <c r="R1175" s="10">
        <v>1.6223528916800635E-4</v>
      </c>
      <c r="S1175" s="10">
        <v>1.8988573413922219E-4</v>
      </c>
      <c r="T1175" s="10">
        <v>0</v>
      </c>
      <c r="U1175" s="10">
        <v>1.7867999999999999E-4</v>
      </c>
      <c r="V1175" s="25"/>
      <c r="W1175" s="25"/>
      <c r="X1175" s="25"/>
      <c r="Y1175" s="25"/>
      <c r="Z1175" s="25"/>
      <c r="AA1175" s="25"/>
    </row>
    <row r="1176" spans="1:27" x14ac:dyDescent="0.35">
      <c r="A1176" s="5">
        <v>1172</v>
      </c>
      <c r="B1176" s="5">
        <v>49</v>
      </c>
      <c r="C1176" s="5">
        <v>2</v>
      </c>
      <c r="D1176" s="25">
        <v>1.1415000000000001E-4</v>
      </c>
      <c r="E1176" s="25">
        <v>1.0670000000000001E-4</v>
      </c>
      <c r="F1176" s="25">
        <v>8.8049999999999999E-5</v>
      </c>
      <c r="G1176" s="25">
        <v>1.1038E-4</v>
      </c>
      <c r="H1176" s="25">
        <v>2.9519999999999999E-5</v>
      </c>
      <c r="I1176" s="9">
        <v>1.4667E-4</v>
      </c>
      <c r="J1176" s="9">
        <v>1.4604E-4</v>
      </c>
      <c r="K1176" s="9">
        <v>2.3524E-4</v>
      </c>
      <c r="L1176" s="9">
        <v>1.4124999999999999E-4</v>
      </c>
      <c r="M1176" s="9">
        <v>1.2527999999999999E-4</v>
      </c>
      <c r="N1176" s="9">
        <v>1.2053999999999999E-4</v>
      </c>
      <c r="O1176" s="9">
        <v>1.4552E-4</v>
      </c>
      <c r="P1176" s="9">
        <v>1.2311000000000001E-4</v>
      </c>
      <c r="Q1176" s="9">
        <v>1.0258E-4</v>
      </c>
      <c r="R1176" s="10">
        <v>1.7959008983125171E-4</v>
      </c>
      <c r="S1176" s="10">
        <v>1.8997569532879462E-4</v>
      </c>
      <c r="T1176" s="10">
        <v>0</v>
      </c>
      <c r="U1176" s="10">
        <v>1.7867999999999999E-4</v>
      </c>
      <c r="V1176" s="25"/>
      <c r="W1176" s="25"/>
      <c r="X1176" s="25"/>
      <c r="Y1176" s="25"/>
      <c r="Z1176" s="25"/>
      <c r="AA1176" s="25"/>
    </row>
    <row r="1177" spans="1:27" x14ac:dyDescent="0.35">
      <c r="A1177" s="5">
        <v>1173</v>
      </c>
      <c r="B1177" s="5">
        <v>49</v>
      </c>
      <c r="C1177" s="5">
        <v>2</v>
      </c>
      <c r="D1177" s="25">
        <v>1.1416E-4</v>
      </c>
      <c r="E1177" s="25">
        <v>1.0711E-4</v>
      </c>
      <c r="F1177" s="25">
        <v>8.3900000000000006E-5</v>
      </c>
      <c r="G1177" s="25">
        <v>5.9429999999999999E-5</v>
      </c>
      <c r="H1177" s="25">
        <v>1.491E-5</v>
      </c>
      <c r="I1177" s="9">
        <v>1.3955E-4</v>
      </c>
      <c r="J1177" s="9">
        <v>1.3957999999999999E-4</v>
      </c>
      <c r="K1177" s="9">
        <v>2.2677E-4</v>
      </c>
      <c r="L1177" s="9">
        <v>1.4459E-4</v>
      </c>
      <c r="M1177" s="9">
        <v>1.2418999999999999E-4</v>
      </c>
      <c r="N1177" s="9">
        <v>1.1312E-4</v>
      </c>
      <c r="O1177" s="9">
        <v>8.4919999999999993E-5</v>
      </c>
      <c r="P1177" s="9">
        <v>8.6470000000000004E-5</v>
      </c>
      <c r="Q1177" s="9">
        <v>8.8480000000000007E-5</v>
      </c>
      <c r="R1177" s="10">
        <v>1.9156458349110257E-4</v>
      </c>
      <c r="S1177" s="10">
        <v>1.9002460990421341E-4</v>
      </c>
      <c r="T1177" s="10">
        <v>0</v>
      </c>
      <c r="U1177" s="10">
        <v>1.7867999999999999E-4</v>
      </c>
      <c r="V1177" s="25"/>
      <c r="W1177" s="25"/>
      <c r="X1177" s="25"/>
      <c r="Y1177" s="25"/>
      <c r="Z1177" s="25"/>
      <c r="AA1177" s="25"/>
    </row>
    <row r="1178" spans="1:27" x14ac:dyDescent="0.35">
      <c r="A1178" s="5">
        <v>1174</v>
      </c>
      <c r="B1178" s="5">
        <v>49</v>
      </c>
      <c r="C1178" s="5">
        <v>2</v>
      </c>
      <c r="D1178" s="25">
        <v>1.1415000000000001E-4</v>
      </c>
      <c r="E1178" s="25">
        <v>1.1298000000000001E-4</v>
      </c>
      <c r="F1178" s="25">
        <v>9.7570000000000003E-5</v>
      </c>
      <c r="G1178" s="25">
        <v>6.3440000000000002E-5</v>
      </c>
      <c r="H1178" s="25">
        <v>1.571E-5</v>
      </c>
      <c r="I1178" s="9">
        <v>1.3297999999999999E-4</v>
      </c>
      <c r="J1178" s="9">
        <v>1.3013E-4</v>
      </c>
      <c r="K1178" s="9">
        <v>2.3948E-4</v>
      </c>
      <c r="L1178" s="9">
        <v>9.7949999999999996E-5</v>
      </c>
      <c r="M1178" s="9">
        <v>1.1032E-4</v>
      </c>
      <c r="N1178" s="9">
        <v>1.0562E-4</v>
      </c>
      <c r="O1178" s="9">
        <v>8.8049999999999999E-5</v>
      </c>
      <c r="P1178" s="9">
        <v>8.8179999999999999E-5</v>
      </c>
      <c r="Q1178" s="9">
        <v>8.8830000000000002E-5</v>
      </c>
      <c r="R1178" s="10">
        <v>1.9737702045573315E-4</v>
      </c>
      <c r="S1178" s="10">
        <v>1.9004153334172374E-4</v>
      </c>
      <c r="T1178" s="10">
        <v>0</v>
      </c>
      <c r="U1178" s="10">
        <v>1.7867999999999999E-4</v>
      </c>
      <c r="V1178" s="25"/>
      <c r="W1178" s="25"/>
      <c r="X1178" s="25"/>
      <c r="Y1178" s="25"/>
      <c r="Z1178" s="25"/>
      <c r="AA1178" s="25"/>
    </row>
    <row r="1179" spans="1:27" x14ac:dyDescent="0.35">
      <c r="A1179" s="5">
        <v>1175</v>
      </c>
      <c r="B1179" s="5">
        <v>49</v>
      </c>
      <c r="C1179" s="5">
        <v>2</v>
      </c>
      <c r="D1179" s="25">
        <v>1.1416E-4</v>
      </c>
      <c r="E1179" s="25">
        <v>1.1326E-4</v>
      </c>
      <c r="F1179" s="25">
        <v>8.9510000000000002E-5</v>
      </c>
      <c r="G1179" s="25">
        <v>5.4219999999999999E-5</v>
      </c>
      <c r="H1179" s="25">
        <v>1.628E-5</v>
      </c>
      <c r="I1179" s="9">
        <v>1.3386E-4</v>
      </c>
      <c r="J1179" s="9">
        <v>1.2003E-4</v>
      </c>
      <c r="K1179" s="9">
        <v>2.7339999999999998E-4</v>
      </c>
      <c r="L1179" s="9">
        <v>9.1520000000000005E-5</v>
      </c>
      <c r="M1179" s="9">
        <v>9.8599999999999998E-5</v>
      </c>
      <c r="N1179" s="9">
        <v>9.9959999999999998E-5</v>
      </c>
      <c r="O1179" s="9">
        <v>8.4829999999999999E-5</v>
      </c>
      <c r="P1179" s="9">
        <v>7.5580000000000005E-5</v>
      </c>
      <c r="Q1179" s="9">
        <v>6.6950000000000001E-5</v>
      </c>
      <c r="R1179" s="10">
        <v>2.0037214955545164E-4</v>
      </c>
      <c r="S1179" s="10">
        <v>1.9002970758077496E-4</v>
      </c>
      <c r="T1179" s="10">
        <v>0</v>
      </c>
      <c r="U1179" s="10">
        <v>1.7867999999999999E-4</v>
      </c>
      <c r="V1179" s="25"/>
      <c r="W1179" s="25"/>
      <c r="X1179" s="25"/>
      <c r="Y1179" s="25"/>
      <c r="Z1179" s="25"/>
      <c r="AA1179" s="25"/>
    </row>
    <row r="1180" spans="1:27" x14ac:dyDescent="0.35">
      <c r="A1180" s="5">
        <v>1176</v>
      </c>
      <c r="B1180" s="5">
        <v>49</v>
      </c>
      <c r="C1180" s="5">
        <v>2</v>
      </c>
      <c r="D1180" s="25">
        <v>1.1415000000000001E-4</v>
      </c>
      <c r="E1180" s="25">
        <v>1.1284E-4</v>
      </c>
      <c r="F1180" s="25">
        <v>9.5710000000000004E-5</v>
      </c>
      <c r="G1180" s="25">
        <v>5.3900000000000002E-5</v>
      </c>
      <c r="H1180" s="25">
        <v>1.5970000000000001E-5</v>
      </c>
      <c r="I1180" s="9">
        <v>1.3331000000000001E-4</v>
      </c>
      <c r="J1180" s="9">
        <v>1.1187E-4</v>
      </c>
      <c r="K1180" s="9">
        <v>2.9671E-4</v>
      </c>
      <c r="L1180" s="9">
        <v>8.653E-5</v>
      </c>
      <c r="M1180" s="9">
        <v>8.7559999999999995E-5</v>
      </c>
      <c r="N1180" s="9">
        <v>9.0749999999999997E-5</v>
      </c>
      <c r="O1180" s="9">
        <v>7.9300000000000003E-5</v>
      </c>
      <c r="P1180" s="9">
        <v>6.8839999999999998E-5</v>
      </c>
      <c r="Q1180" s="9">
        <v>5.8919999999999998E-5</v>
      </c>
      <c r="R1180" s="10">
        <v>2.0293177896955723E-4</v>
      </c>
      <c r="S1180" s="10">
        <v>1.90239251913998E-4</v>
      </c>
      <c r="T1180" s="10">
        <v>0</v>
      </c>
      <c r="U1180" s="10">
        <v>1.7867999999999999E-4</v>
      </c>
      <c r="V1180" s="25"/>
      <c r="W1180" s="25"/>
      <c r="X1180" s="25"/>
      <c r="Y1180" s="25"/>
      <c r="Z1180" s="25"/>
      <c r="AA1180" s="25"/>
    </row>
    <row r="1181" spans="1:27" x14ac:dyDescent="0.35">
      <c r="A1181" s="5">
        <v>1177</v>
      </c>
      <c r="B1181" s="5">
        <v>50</v>
      </c>
      <c r="C1181" s="5">
        <v>2</v>
      </c>
      <c r="D1181" s="25">
        <v>1.1416E-4</v>
      </c>
      <c r="E1181" s="25">
        <v>1.1302E-4</v>
      </c>
      <c r="F1181" s="25">
        <v>1.2997E-4</v>
      </c>
      <c r="G1181" s="25">
        <v>5.3220000000000002E-5</v>
      </c>
      <c r="H1181" s="25">
        <v>6.7620000000000006E-5</v>
      </c>
      <c r="I1181" s="9">
        <v>1.2684999999999999E-4</v>
      </c>
      <c r="J1181" s="9">
        <v>1.053E-4</v>
      </c>
      <c r="K1181" s="9">
        <v>3.0941999999999998E-4</v>
      </c>
      <c r="L1181" s="9">
        <v>8.0679999999999993E-5</v>
      </c>
      <c r="M1181" s="9">
        <v>7.8319999999999996E-5</v>
      </c>
      <c r="N1181" s="9">
        <v>8.1349999999999999E-5</v>
      </c>
      <c r="O1181" s="9">
        <v>5.4540000000000003E-5</v>
      </c>
      <c r="P1181" s="9">
        <v>5.3959999999999998E-5</v>
      </c>
      <c r="Q1181" s="9">
        <v>5.3529999999999997E-5</v>
      </c>
      <c r="R1181" s="10">
        <v>2.0415636258440875E-4</v>
      </c>
      <c r="S1181" s="10">
        <v>1.9015626248062578E-4</v>
      </c>
      <c r="T1181" s="10">
        <v>0</v>
      </c>
      <c r="U1181" s="10">
        <v>1.7495E-4</v>
      </c>
      <c r="V1181" s="25"/>
      <c r="W1181" s="25"/>
      <c r="X1181" s="25"/>
      <c r="Y1181" s="25"/>
      <c r="Z1181" s="25"/>
      <c r="AA1181" s="25"/>
    </row>
    <row r="1182" spans="1:27" x14ac:dyDescent="0.35">
      <c r="A1182" s="5">
        <v>1178</v>
      </c>
      <c r="B1182" s="5">
        <v>50</v>
      </c>
      <c r="C1182" s="5">
        <v>2</v>
      </c>
      <c r="D1182" s="25">
        <v>1.1415000000000001E-4</v>
      </c>
      <c r="E1182" s="25">
        <v>1.0674E-4</v>
      </c>
      <c r="F1182" s="25">
        <v>1.4140999999999999E-4</v>
      </c>
      <c r="G1182" s="25">
        <v>6.0269999999999997E-5</v>
      </c>
      <c r="H1182" s="25">
        <v>7.1240000000000002E-5</v>
      </c>
      <c r="I1182" s="9">
        <v>1.2154000000000001E-4</v>
      </c>
      <c r="J1182" s="9">
        <v>1.0085E-4</v>
      </c>
      <c r="K1182" s="9">
        <v>3.2002000000000002E-4</v>
      </c>
      <c r="L1182" s="9">
        <v>6.0439999999999997E-5</v>
      </c>
      <c r="M1182" s="9">
        <v>6.7379999999999995E-5</v>
      </c>
      <c r="N1182" s="9">
        <v>7.2219999999999996E-5</v>
      </c>
      <c r="O1182" s="9">
        <v>1.8580000000000002E-5</v>
      </c>
      <c r="P1182" s="9">
        <v>3.782E-5</v>
      </c>
      <c r="Q1182" s="9">
        <v>5.6280000000000003E-5</v>
      </c>
      <c r="R1182" s="10">
        <v>2.0425960407713704E-4</v>
      </c>
      <c r="S1182" s="10">
        <v>1.9025360934403788E-4</v>
      </c>
      <c r="T1182" s="10">
        <v>0</v>
      </c>
      <c r="U1182" s="10">
        <v>1.7495E-4</v>
      </c>
      <c r="V1182" s="25"/>
      <c r="W1182" s="25"/>
      <c r="X1182" s="25"/>
      <c r="Y1182" s="25"/>
      <c r="Z1182" s="25"/>
      <c r="AA1182" s="25"/>
    </row>
    <row r="1183" spans="1:27" x14ac:dyDescent="0.35">
      <c r="A1183" s="5">
        <v>1179</v>
      </c>
      <c r="B1183" s="5">
        <v>50</v>
      </c>
      <c r="C1183" s="5">
        <v>2</v>
      </c>
      <c r="D1183" s="25">
        <v>1.1416E-4</v>
      </c>
      <c r="E1183" s="25">
        <v>1.1347E-4</v>
      </c>
      <c r="F1183" s="25">
        <v>1.4034E-4</v>
      </c>
      <c r="G1183" s="25">
        <v>5.2080000000000003E-5</v>
      </c>
      <c r="H1183" s="25">
        <v>7.114E-5</v>
      </c>
      <c r="I1183" s="9">
        <v>1.1637999999999999E-4</v>
      </c>
      <c r="J1183" s="9">
        <v>9.8410000000000001E-5</v>
      </c>
      <c r="K1183" s="9">
        <v>2.9034999999999998E-4</v>
      </c>
      <c r="L1183" s="9">
        <v>2.834E-5</v>
      </c>
      <c r="M1183" s="9">
        <v>5.4060000000000001E-5</v>
      </c>
      <c r="N1183" s="9">
        <v>6.5640000000000002E-5</v>
      </c>
      <c r="O1183" s="9">
        <v>1.2989999999999999E-5</v>
      </c>
      <c r="P1183" s="9">
        <v>3.7669999999999997E-5</v>
      </c>
      <c r="Q1183" s="9">
        <v>6.1409999999999996E-5</v>
      </c>
      <c r="R1183" s="10">
        <v>2.0287759365551281E-4</v>
      </c>
      <c r="S1183" s="10">
        <v>1.9027115655555427E-4</v>
      </c>
      <c r="T1183" s="10">
        <v>0</v>
      </c>
      <c r="U1183" s="10">
        <v>1.7495E-4</v>
      </c>
      <c r="V1183" s="25"/>
      <c r="W1183" s="25"/>
      <c r="X1183" s="25"/>
      <c r="Y1183" s="25"/>
      <c r="Z1183" s="25"/>
      <c r="AA1183" s="25"/>
    </row>
    <row r="1184" spans="1:27" x14ac:dyDescent="0.35">
      <c r="A1184" s="5">
        <v>1180</v>
      </c>
      <c r="B1184" s="5">
        <v>50</v>
      </c>
      <c r="C1184" s="5">
        <v>2</v>
      </c>
      <c r="D1184" s="25">
        <v>1.1415000000000001E-4</v>
      </c>
      <c r="E1184" s="25">
        <v>1.0733E-4</v>
      </c>
      <c r="F1184" s="25">
        <v>1.2504000000000001E-4</v>
      </c>
      <c r="G1184" s="25">
        <v>5.7970000000000002E-5</v>
      </c>
      <c r="H1184" s="25">
        <v>7.2050000000000003E-5</v>
      </c>
      <c r="I1184" s="9">
        <v>1.1341999999999999E-4</v>
      </c>
      <c r="J1184" s="9">
        <v>9.747E-5</v>
      </c>
      <c r="K1184" s="9">
        <v>2.6915000000000001E-4</v>
      </c>
      <c r="L1184" s="9">
        <v>1.7229999999999999E-5</v>
      </c>
      <c r="M1184" s="9">
        <v>4.4950000000000002E-5</v>
      </c>
      <c r="N1184" s="9">
        <v>6.1970000000000005E-5</v>
      </c>
      <c r="O1184" s="9">
        <v>1.3040000000000001E-5</v>
      </c>
      <c r="P1184" s="9">
        <v>4.727E-5</v>
      </c>
      <c r="Q1184" s="9">
        <v>8.0400000000000003E-5</v>
      </c>
      <c r="R1184" s="10">
        <v>2.0357113173543462E-4</v>
      </c>
      <c r="S1184" s="10">
        <v>1.902718866869627E-4</v>
      </c>
      <c r="T1184" s="10">
        <v>0</v>
      </c>
      <c r="U1184" s="10">
        <v>1.7495E-4</v>
      </c>
      <c r="V1184" s="25"/>
      <c r="W1184" s="25"/>
      <c r="X1184" s="25"/>
      <c r="Y1184" s="25"/>
      <c r="Z1184" s="25"/>
      <c r="AA1184" s="25"/>
    </row>
    <row r="1185" spans="1:27" x14ac:dyDescent="0.35">
      <c r="A1185" s="5">
        <v>1181</v>
      </c>
      <c r="B1185" s="5">
        <v>50</v>
      </c>
      <c r="C1185" s="5">
        <v>2</v>
      </c>
      <c r="D1185" s="25">
        <v>1.1416E-4</v>
      </c>
      <c r="E1185" s="25">
        <v>1.0955000000000001E-4</v>
      </c>
      <c r="F1185" s="25">
        <v>1.3433E-4</v>
      </c>
      <c r="G1185" s="25">
        <v>5.7179999999999998E-5</v>
      </c>
      <c r="H1185" s="25">
        <v>7.6110000000000001E-5</v>
      </c>
      <c r="I1185" s="9">
        <v>1.1252999999999999E-4</v>
      </c>
      <c r="J1185" s="9">
        <v>9.8079999999999996E-5</v>
      </c>
      <c r="K1185" s="9">
        <v>2.9033999999999999E-4</v>
      </c>
      <c r="L1185" s="9">
        <v>1.414E-5</v>
      </c>
      <c r="M1185" s="9">
        <v>4.3770000000000003E-5</v>
      </c>
      <c r="N1185" s="9">
        <v>6.4480000000000006E-5</v>
      </c>
      <c r="O1185" s="9">
        <v>1.8490000000000001E-5</v>
      </c>
      <c r="P1185" s="9">
        <v>5.6450000000000003E-5</v>
      </c>
      <c r="Q1185" s="9">
        <v>9.3339999999999997E-5</v>
      </c>
      <c r="R1185" s="10">
        <v>2.0578264325395943E-4</v>
      </c>
      <c r="S1185" s="10">
        <v>1.9028379336231816E-4</v>
      </c>
      <c r="T1185" s="10">
        <v>0</v>
      </c>
      <c r="U1185" s="10">
        <v>1.7495E-4</v>
      </c>
      <c r="V1185" s="25"/>
      <c r="W1185" s="25"/>
      <c r="X1185" s="25"/>
      <c r="Y1185" s="25"/>
      <c r="Z1185" s="25"/>
      <c r="AA1185" s="25"/>
    </row>
    <row r="1186" spans="1:27" x14ac:dyDescent="0.35">
      <c r="A1186" s="5">
        <v>1182</v>
      </c>
      <c r="B1186" s="5">
        <v>50</v>
      </c>
      <c r="C1186" s="5">
        <v>2</v>
      </c>
      <c r="D1186" s="25">
        <v>1.1415000000000001E-4</v>
      </c>
      <c r="E1186" s="25">
        <v>1.0848E-4</v>
      </c>
      <c r="F1186" s="25">
        <v>1.3019999999999999E-4</v>
      </c>
      <c r="G1186" s="25">
        <v>1.1304E-4</v>
      </c>
      <c r="H1186" s="25">
        <v>1.3463E-4</v>
      </c>
      <c r="I1186" s="9">
        <v>1.1757E-4</v>
      </c>
      <c r="J1186" s="9">
        <v>1.0177E-4</v>
      </c>
      <c r="K1186" s="9">
        <v>2.6703000000000002E-4</v>
      </c>
      <c r="L1186" s="9">
        <v>1.7399999999999999E-5</v>
      </c>
      <c r="M1186" s="9">
        <v>4.8409999999999999E-5</v>
      </c>
      <c r="N1186" s="9">
        <v>7.0950000000000003E-5</v>
      </c>
      <c r="O1186" s="9">
        <v>4.6640000000000001E-5</v>
      </c>
      <c r="P1186" s="9">
        <v>7.7550000000000001E-5</v>
      </c>
      <c r="Q1186" s="9">
        <v>1.0799E-4</v>
      </c>
      <c r="R1186" s="10">
        <v>2.0939445434101631E-4</v>
      </c>
      <c r="S1186" s="10">
        <v>1.9028985381100362E-4</v>
      </c>
      <c r="T1186" s="10">
        <v>0</v>
      </c>
      <c r="U1186" s="10">
        <v>1.7495E-4</v>
      </c>
      <c r="V1186" s="25"/>
      <c r="W1186" s="25"/>
      <c r="X1186" s="25"/>
      <c r="Y1186" s="25"/>
      <c r="Z1186" s="25"/>
      <c r="AA1186" s="25"/>
    </row>
    <row r="1187" spans="1:27" x14ac:dyDescent="0.35">
      <c r="A1187" s="5">
        <v>1183</v>
      </c>
      <c r="B1187" s="5">
        <v>50</v>
      </c>
      <c r="C1187" s="5">
        <v>2</v>
      </c>
      <c r="D1187" s="25">
        <v>1.1416E-4</v>
      </c>
      <c r="E1187" s="25">
        <v>1.106E-4</v>
      </c>
      <c r="F1187" s="25">
        <v>1.3006000000000001E-4</v>
      </c>
      <c r="G1187" s="25">
        <v>1.104E-4</v>
      </c>
      <c r="H1187" s="25">
        <v>1.3875000000000001E-4</v>
      </c>
      <c r="I1187" s="9">
        <v>1.3114999999999999E-4</v>
      </c>
      <c r="J1187" s="9">
        <v>1.126E-4</v>
      </c>
      <c r="K1187" s="9">
        <v>2.9245999999999997E-4</v>
      </c>
      <c r="L1187" s="9">
        <v>4.0059999999999999E-5</v>
      </c>
      <c r="M1187" s="9">
        <v>6.0220000000000003E-5</v>
      </c>
      <c r="N1187" s="9">
        <v>8.0859999999999995E-5</v>
      </c>
      <c r="O1187" s="9">
        <v>1.2307999999999999E-4</v>
      </c>
      <c r="P1187" s="9">
        <v>1.1673E-4</v>
      </c>
      <c r="Q1187" s="9">
        <v>1.1182E-4</v>
      </c>
      <c r="R1187" s="10">
        <v>2.1062688256225524E-4</v>
      </c>
      <c r="S1187" s="10">
        <v>1.9029020169353177E-4</v>
      </c>
      <c r="T1187" s="10">
        <v>0</v>
      </c>
      <c r="U1187" s="10">
        <v>1.7495E-4</v>
      </c>
      <c r="V1187" s="25"/>
      <c r="W1187" s="25"/>
      <c r="X1187" s="25"/>
      <c r="Y1187" s="25"/>
      <c r="Z1187" s="25"/>
      <c r="AA1187" s="25"/>
    </row>
    <row r="1188" spans="1:27" x14ac:dyDescent="0.35">
      <c r="A1188" s="5">
        <v>1184</v>
      </c>
      <c r="B1188" s="5">
        <v>50</v>
      </c>
      <c r="C1188" s="5">
        <v>2</v>
      </c>
      <c r="D1188" s="25">
        <v>1.1415000000000001E-4</v>
      </c>
      <c r="E1188" s="25">
        <v>1.1379000000000001E-4</v>
      </c>
      <c r="F1188" s="25">
        <v>1.2345999999999999E-4</v>
      </c>
      <c r="G1188" s="25">
        <v>1.6049E-4</v>
      </c>
      <c r="H1188" s="25">
        <v>2.0081E-4</v>
      </c>
      <c r="I1188" s="9">
        <v>1.4113999999999999E-4</v>
      </c>
      <c r="J1188" s="9">
        <v>1.303E-4</v>
      </c>
      <c r="K1188" s="9">
        <v>2.6703000000000002E-4</v>
      </c>
      <c r="L1188" s="9">
        <v>1.0418E-4</v>
      </c>
      <c r="M1188" s="9">
        <v>8.3629999999999997E-5</v>
      </c>
      <c r="N1188" s="9">
        <v>9.0820000000000001E-5</v>
      </c>
      <c r="O1188" s="9">
        <v>2.1843000000000001E-4</v>
      </c>
      <c r="P1188" s="9">
        <v>1.7495999999999999E-4</v>
      </c>
      <c r="Q1188" s="9">
        <v>1.3516E-4</v>
      </c>
      <c r="R1188" s="10">
        <v>2.1056909790780851E-4</v>
      </c>
      <c r="S1188" s="10">
        <v>1.9029020759484994E-4</v>
      </c>
      <c r="T1188" s="10">
        <v>1.7477656661293586E-6</v>
      </c>
      <c r="U1188" s="10">
        <v>1.7495E-4</v>
      </c>
      <c r="V1188" s="25"/>
      <c r="W1188" s="25"/>
      <c r="X1188" s="25"/>
      <c r="Y1188" s="25"/>
      <c r="Z1188" s="25"/>
      <c r="AA1188" s="25"/>
    </row>
    <row r="1189" spans="1:27" x14ac:dyDescent="0.35">
      <c r="A1189" s="5">
        <v>1185</v>
      </c>
      <c r="B1189" s="5">
        <v>50</v>
      </c>
      <c r="C1189" s="5">
        <v>2</v>
      </c>
      <c r="D1189" s="25">
        <v>1.1416E-4</v>
      </c>
      <c r="E1189" s="25">
        <v>1.1699E-4</v>
      </c>
      <c r="F1189" s="25">
        <v>1.2381999999999999E-4</v>
      </c>
      <c r="G1189" s="25">
        <v>1.6341000000000001E-4</v>
      </c>
      <c r="H1189" s="25">
        <v>2.0246000000000001E-4</v>
      </c>
      <c r="I1189" s="9">
        <v>1.4151999999999999E-4</v>
      </c>
      <c r="J1189" s="9">
        <v>1.4056E-4</v>
      </c>
      <c r="K1189" s="9">
        <v>2.6068E-4</v>
      </c>
      <c r="L1189" s="9">
        <v>1.9154E-4</v>
      </c>
      <c r="M1189" s="9">
        <v>1.2255E-4</v>
      </c>
      <c r="N1189" s="9">
        <v>1.0423E-4</v>
      </c>
      <c r="O1189" s="9">
        <v>2.1232E-4</v>
      </c>
      <c r="P1189" s="9">
        <v>1.9290999999999999E-4</v>
      </c>
      <c r="Q1189" s="9">
        <v>1.7667E-4</v>
      </c>
      <c r="R1189" s="10">
        <v>2.1046200995004043E-4</v>
      </c>
      <c r="S1189" s="10">
        <v>1.9029020759484994E-4</v>
      </c>
      <c r="T1189" s="10">
        <v>7.475516157410571E-5</v>
      </c>
      <c r="U1189" s="10">
        <v>1.7495E-4</v>
      </c>
      <c r="V1189" s="25"/>
      <c r="W1189" s="25"/>
      <c r="X1189" s="25"/>
      <c r="Y1189" s="25"/>
      <c r="Z1189" s="25"/>
      <c r="AA1189" s="25"/>
    </row>
    <row r="1190" spans="1:27" x14ac:dyDescent="0.35">
      <c r="A1190" s="5">
        <v>1186</v>
      </c>
      <c r="B1190" s="5">
        <v>50</v>
      </c>
      <c r="C1190" s="5">
        <v>2</v>
      </c>
      <c r="D1190" s="25">
        <v>1.1415000000000001E-4</v>
      </c>
      <c r="E1190" s="25">
        <v>1.1449E-4</v>
      </c>
      <c r="F1190" s="25">
        <v>1.2522E-4</v>
      </c>
      <c r="G1190" s="25">
        <v>1.6398000000000001E-4</v>
      </c>
      <c r="H1190" s="25">
        <v>1.8903999999999999E-4</v>
      </c>
      <c r="I1190" s="9">
        <v>1.4452000000000001E-4</v>
      </c>
      <c r="J1190" s="9">
        <v>1.4433999999999999E-4</v>
      </c>
      <c r="K1190" s="9">
        <v>2.4795999999999998E-4</v>
      </c>
      <c r="L1190" s="9">
        <v>2.0546E-4</v>
      </c>
      <c r="M1190" s="9">
        <v>1.5773E-4</v>
      </c>
      <c r="N1190" s="9">
        <v>1.2420000000000001E-4</v>
      </c>
      <c r="O1190" s="9">
        <v>1.6893E-4</v>
      </c>
      <c r="P1190" s="9">
        <v>1.7495E-4</v>
      </c>
      <c r="Q1190" s="9">
        <v>1.8299000000000001E-4</v>
      </c>
      <c r="R1190" s="10">
        <v>2.1003559954329824E-4</v>
      </c>
      <c r="S1190" s="10">
        <v>1.9029020674639479E-4</v>
      </c>
      <c r="T1190" s="10">
        <v>3.6791315701958005E-4</v>
      </c>
      <c r="U1190" s="10">
        <v>1.7495E-4</v>
      </c>
      <c r="V1190" s="25"/>
      <c r="W1190" s="25"/>
      <c r="X1190" s="25"/>
      <c r="Y1190" s="25"/>
      <c r="Z1190" s="25"/>
      <c r="AA1190" s="25"/>
    </row>
    <row r="1191" spans="1:27" x14ac:dyDescent="0.35">
      <c r="A1191" s="5">
        <v>1187</v>
      </c>
      <c r="B1191" s="5">
        <v>50</v>
      </c>
      <c r="C1191" s="5">
        <v>2</v>
      </c>
      <c r="D1191" s="25">
        <v>1.1416E-4</v>
      </c>
      <c r="E1191" s="25">
        <v>1.1722000000000001E-4</v>
      </c>
      <c r="F1191" s="25">
        <v>1.4132000000000001E-4</v>
      </c>
      <c r="G1191" s="25">
        <v>1.6297999999999999E-4</v>
      </c>
      <c r="H1191" s="25">
        <v>1.9463E-4</v>
      </c>
      <c r="I1191" s="9">
        <v>1.4325000000000001E-4</v>
      </c>
      <c r="J1191" s="9">
        <v>1.429E-4</v>
      </c>
      <c r="K1191" s="9">
        <v>2.0981999999999999E-4</v>
      </c>
      <c r="L1191" s="9">
        <v>1.7699999999999999E-4</v>
      </c>
      <c r="M1191" s="9">
        <v>1.7211E-4</v>
      </c>
      <c r="N1191" s="9">
        <v>1.4252000000000001E-4</v>
      </c>
      <c r="O1191" s="9">
        <v>1.6834E-4</v>
      </c>
      <c r="P1191" s="9">
        <v>1.7297999999999999E-4</v>
      </c>
      <c r="Q1191" s="9">
        <v>1.7966999999999999E-4</v>
      </c>
      <c r="R1191" s="10">
        <v>2.0333363873153615E-4</v>
      </c>
      <c r="S1191" s="10">
        <v>1.9029017996909068E-4</v>
      </c>
      <c r="T1191" s="10">
        <v>5.6634395022071328E-4</v>
      </c>
      <c r="U1191" s="10">
        <v>1.7495E-4</v>
      </c>
      <c r="V1191" s="25"/>
      <c r="W1191" s="25"/>
      <c r="X1191" s="25"/>
      <c r="Y1191" s="25"/>
      <c r="Z1191" s="25"/>
      <c r="AA1191" s="25"/>
    </row>
    <row r="1192" spans="1:27" x14ac:dyDescent="0.35">
      <c r="A1192" s="5">
        <v>1188</v>
      </c>
      <c r="B1192" s="5">
        <v>50</v>
      </c>
      <c r="C1192" s="5">
        <v>2</v>
      </c>
      <c r="D1192" s="25">
        <v>1.1415000000000001E-4</v>
      </c>
      <c r="E1192" s="25">
        <v>1.064E-4</v>
      </c>
      <c r="F1192" s="25">
        <v>1.3187999999999999E-4</v>
      </c>
      <c r="G1192" s="25">
        <v>1.6462000000000001E-4</v>
      </c>
      <c r="H1192" s="25">
        <v>1.9217999999999999E-4</v>
      </c>
      <c r="I1192" s="9">
        <v>1.4186E-4</v>
      </c>
      <c r="J1192" s="9">
        <v>1.4024999999999999E-4</v>
      </c>
      <c r="K1192" s="9">
        <v>2.0133E-4</v>
      </c>
      <c r="L1192" s="9">
        <v>1.7163000000000001E-4</v>
      </c>
      <c r="M1192" s="9">
        <v>1.7493000000000001E-4</v>
      </c>
      <c r="N1192" s="9">
        <v>1.5665000000000001E-4</v>
      </c>
      <c r="O1192" s="9">
        <v>1.7221000000000001E-4</v>
      </c>
      <c r="P1192" s="9">
        <v>1.7273000000000001E-4</v>
      </c>
      <c r="Q1192" s="9">
        <v>1.7542E-4</v>
      </c>
      <c r="R1192" s="10">
        <v>2.0023367243561963E-4</v>
      </c>
      <c r="S1192" s="10">
        <v>1.9028460384510902E-4</v>
      </c>
      <c r="T1192" s="10">
        <v>6.4101426880131755E-4</v>
      </c>
      <c r="U1192" s="10">
        <v>1.7495E-4</v>
      </c>
      <c r="V1192" s="25"/>
      <c r="W1192" s="25"/>
      <c r="X1192" s="25"/>
      <c r="Y1192" s="25"/>
      <c r="Z1192" s="25"/>
      <c r="AA1192" s="25"/>
    </row>
    <row r="1193" spans="1:27" x14ac:dyDescent="0.35">
      <c r="A1193" s="5">
        <v>1189</v>
      </c>
      <c r="B1193" s="5">
        <v>50</v>
      </c>
      <c r="C1193" s="5">
        <v>2</v>
      </c>
      <c r="D1193" s="25">
        <v>1.1416E-4</v>
      </c>
      <c r="E1193" s="25">
        <v>1.1231E-4</v>
      </c>
      <c r="F1193" s="25">
        <v>1.3897000000000001E-4</v>
      </c>
      <c r="G1193" s="25">
        <v>1.6729000000000001E-4</v>
      </c>
      <c r="H1193" s="25">
        <v>1.9809999999999999E-4</v>
      </c>
      <c r="I1193" s="9">
        <v>1.3662E-4</v>
      </c>
      <c r="J1193" s="9">
        <v>1.3611E-4</v>
      </c>
      <c r="K1193" s="9">
        <v>2.1617000000000001E-4</v>
      </c>
      <c r="L1193" s="9">
        <v>1.7227E-4</v>
      </c>
      <c r="M1193" s="9">
        <v>1.7436E-4</v>
      </c>
      <c r="N1193" s="9">
        <v>1.6646E-4</v>
      </c>
      <c r="O1193" s="9">
        <v>1.6304000000000001E-4</v>
      </c>
      <c r="P1193" s="9">
        <v>1.6443999999999999E-4</v>
      </c>
      <c r="Q1193" s="9">
        <v>1.6784999999999999E-4</v>
      </c>
      <c r="R1193" s="10">
        <v>1.9928255832600295E-4</v>
      </c>
      <c r="S1193" s="10">
        <v>1.9029020759484994E-4</v>
      </c>
      <c r="T1193" s="10">
        <v>6.1481475240807745E-4</v>
      </c>
      <c r="U1193" s="10">
        <v>1.7495E-4</v>
      </c>
      <c r="V1193" s="25"/>
      <c r="W1193" s="25"/>
      <c r="X1193" s="25"/>
      <c r="Y1193" s="25"/>
      <c r="Z1193" s="25"/>
      <c r="AA1193" s="25"/>
    </row>
    <row r="1194" spans="1:27" x14ac:dyDescent="0.35">
      <c r="A1194" s="5">
        <v>1190</v>
      </c>
      <c r="B1194" s="5">
        <v>50</v>
      </c>
      <c r="C1194" s="5">
        <v>2</v>
      </c>
      <c r="D1194" s="25">
        <v>1.1415000000000001E-4</v>
      </c>
      <c r="E1194" s="25">
        <v>1.1251000000000001E-4</v>
      </c>
      <c r="F1194" s="25">
        <v>1.3572000000000001E-4</v>
      </c>
      <c r="G1194" s="25">
        <v>1.605E-4</v>
      </c>
      <c r="H1194" s="25">
        <v>1.9131000000000001E-4</v>
      </c>
      <c r="I1194" s="9">
        <v>1.3585999999999999E-4</v>
      </c>
      <c r="J1194" s="9">
        <v>1.3495E-4</v>
      </c>
      <c r="K1194" s="9">
        <v>2.0981E-4</v>
      </c>
      <c r="L1194" s="9">
        <v>1.6479E-4</v>
      </c>
      <c r="M1194" s="9">
        <v>1.706E-4</v>
      </c>
      <c r="N1194" s="9">
        <v>1.7092999999999999E-4</v>
      </c>
      <c r="O1194" s="9">
        <v>1.8028E-4</v>
      </c>
      <c r="P1194" s="9">
        <v>1.6972999999999999E-4</v>
      </c>
      <c r="Q1194" s="9">
        <v>1.6165999999999999E-4</v>
      </c>
      <c r="R1194" s="10">
        <v>2.0028533770715046E-4</v>
      </c>
      <c r="S1194" s="10">
        <v>1.9029020759484994E-4</v>
      </c>
      <c r="T1194" s="10">
        <v>2.1247230862561905E-4</v>
      </c>
      <c r="U1194" s="10">
        <v>1.7495E-4</v>
      </c>
      <c r="V1194" s="25"/>
      <c r="W1194" s="25"/>
      <c r="X1194" s="25"/>
      <c r="Y1194" s="25"/>
      <c r="Z1194" s="25"/>
      <c r="AA1194" s="25"/>
    </row>
    <row r="1195" spans="1:27" x14ac:dyDescent="0.35">
      <c r="A1195" s="5">
        <v>1191</v>
      </c>
      <c r="B1195" s="5">
        <v>50</v>
      </c>
      <c r="C1195" s="5">
        <v>2</v>
      </c>
      <c r="D1195" s="25">
        <v>1.1416E-4</v>
      </c>
      <c r="E1195" s="25">
        <v>1.0739E-4</v>
      </c>
      <c r="F1195" s="25">
        <v>1.439E-4</v>
      </c>
      <c r="G1195" s="25">
        <v>1.6301E-4</v>
      </c>
      <c r="H1195" s="25">
        <v>2.0206E-4</v>
      </c>
      <c r="I1195" s="9">
        <v>1.3460999999999999E-4</v>
      </c>
      <c r="J1195" s="9">
        <v>1.3391E-4</v>
      </c>
      <c r="K1195" s="9">
        <v>2.8610000000000002E-4</v>
      </c>
      <c r="L1195" s="9">
        <v>1.7704999999999999E-4</v>
      </c>
      <c r="M1195" s="9">
        <v>1.6919999999999999E-4</v>
      </c>
      <c r="N1195" s="9">
        <v>1.7061999999999999E-4</v>
      </c>
      <c r="O1195" s="9">
        <v>1.8505999999999999E-4</v>
      </c>
      <c r="P1195" s="9">
        <v>1.6766E-4</v>
      </c>
      <c r="Q1195" s="9">
        <v>1.5291999999999999E-4</v>
      </c>
      <c r="R1195" s="10">
        <v>2.0245223285413955E-4</v>
      </c>
      <c r="S1195" s="10">
        <v>1.9029020759484994E-4</v>
      </c>
      <c r="T1195" s="10">
        <v>7.9014279847877252E-5</v>
      </c>
      <c r="U1195" s="10">
        <v>1.7495E-4</v>
      </c>
      <c r="V1195" s="25"/>
      <c r="W1195" s="25"/>
      <c r="X1195" s="25"/>
      <c r="Y1195" s="25"/>
      <c r="Z1195" s="25"/>
      <c r="AA1195" s="25"/>
    </row>
    <row r="1196" spans="1:27" x14ac:dyDescent="0.35">
      <c r="A1196" s="5">
        <v>1192</v>
      </c>
      <c r="B1196" s="5">
        <v>50</v>
      </c>
      <c r="C1196" s="5">
        <v>2</v>
      </c>
      <c r="D1196" s="25">
        <v>1.1415000000000001E-4</v>
      </c>
      <c r="E1196" s="25">
        <v>1.1289E-4</v>
      </c>
      <c r="F1196" s="25">
        <v>1.2404000000000001E-4</v>
      </c>
      <c r="G1196" s="25">
        <v>1.5655000000000001E-4</v>
      </c>
      <c r="H1196" s="25">
        <v>2.017E-4</v>
      </c>
      <c r="I1196" s="9">
        <v>1.3282999999999999E-4</v>
      </c>
      <c r="J1196" s="9">
        <v>1.3334999999999999E-4</v>
      </c>
      <c r="K1196" s="9">
        <v>2.6279E-4</v>
      </c>
      <c r="L1196" s="9">
        <v>1.8299000000000001E-4</v>
      </c>
      <c r="M1196" s="9">
        <v>1.6836999999999999E-4</v>
      </c>
      <c r="N1196" s="9">
        <v>1.6673999999999999E-4</v>
      </c>
      <c r="O1196" s="9">
        <v>1.9782E-4</v>
      </c>
      <c r="P1196" s="9">
        <v>1.5192999999999999E-4</v>
      </c>
      <c r="Q1196" s="9">
        <v>1.0938E-4</v>
      </c>
      <c r="R1196" s="10">
        <v>2.0513158025093793E-4</v>
      </c>
      <c r="S1196" s="10">
        <v>1.9029020759484994E-4</v>
      </c>
      <c r="T1196" s="10">
        <v>1.1274785406404389E-4</v>
      </c>
      <c r="U1196" s="10">
        <v>1.7495E-4</v>
      </c>
      <c r="V1196" s="25"/>
      <c r="W1196" s="25"/>
      <c r="X1196" s="25"/>
      <c r="Y1196" s="25"/>
      <c r="Z1196" s="25"/>
      <c r="AA1196" s="25"/>
    </row>
    <row r="1197" spans="1:27" x14ac:dyDescent="0.35">
      <c r="A1197" s="5">
        <v>1193</v>
      </c>
      <c r="B1197" s="5">
        <v>50</v>
      </c>
      <c r="C1197" s="5">
        <v>2</v>
      </c>
      <c r="D1197" s="25">
        <v>1.1416E-4</v>
      </c>
      <c r="E1197" s="25">
        <v>1.1077E-4</v>
      </c>
      <c r="F1197" s="25">
        <v>1.4265999999999999E-4</v>
      </c>
      <c r="G1197" s="25">
        <v>1.6558E-4</v>
      </c>
      <c r="H1197" s="25">
        <v>1.9279E-4</v>
      </c>
      <c r="I1197" s="9">
        <v>1.3092999999999999E-4</v>
      </c>
      <c r="J1197" s="9">
        <v>1.3472000000000001E-4</v>
      </c>
      <c r="K1197" s="9">
        <v>2.5431E-4</v>
      </c>
      <c r="L1197" s="9">
        <v>1.9434000000000001E-4</v>
      </c>
      <c r="M1197" s="9">
        <v>1.6233999999999999E-4</v>
      </c>
      <c r="N1197" s="9">
        <v>1.5284000000000001E-4</v>
      </c>
      <c r="O1197" s="9">
        <v>2.1424000000000001E-4</v>
      </c>
      <c r="P1197" s="9">
        <v>1.5855E-4</v>
      </c>
      <c r="Q1197" s="9">
        <v>1.0665E-4</v>
      </c>
      <c r="R1197" s="10">
        <v>2.0544687200383565E-4</v>
      </c>
      <c r="S1197" s="10">
        <v>1.9029020759484994E-4</v>
      </c>
      <c r="T1197" s="10">
        <v>1.139865617691647E-4</v>
      </c>
      <c r="U1197" s="10">
        <v>1.7495E-4</v>
      </c>
      <c r="V1197" s="25"/>
      <c r="W1197" s="25"/>
      <c r="X1197" s="25"/>
      <c r="Y1197" s="25"/>
      <c r="Z1197" s="25"/>
      <c r="AA1197" s="25"/>
    </row>
    <row r="1198" spans="1:27" x14ac:dyDescent="0.35">
      <c r="A1198" s="5">
        <v>1194</v>
      </c>
      <c r="B1198" s="5">
        <v>50</v>
      </c>
      <c r="C1198" s="5">
        <v>2</v>
      </c>
      <c r="D1198" s="25">
        <v>1.1415000000000001E-4</v>
      </c>
      <c r="E1198" s="25">
        <v>1.0811000000000001E-4</v>
      </c>
      <c r="F1198" s="25">
        <v>1.3852E-4</v>
      </c>
      <c r="G1198" s="25">
        <v>1.6692000000000001E-4</v>
      </c>
      <c r="H1198" s="25">
        <v>1.9986E-4</v>
      </c>
      <c r="I1198" s="9">
        <v>1.3268000000000001E-4</v>
      </c>
      <c r="J1198" s="9">
        <v>1.3752E-4</v>
      </c>
      <c r="K1198" s="9">
        <v>2.6279999999999999E-4</v>
      </c>
      <c r="L1198" s="9">
        <v>2.0964000000000001E-4</v>
      </c>
      <c r="M1198" s="9">
        <v>1.5930999999999999E-4</v>
      </c>
      <c r="N1198" s="9">
        <v>1.3924E-4</v>
      </c>
      <c r="O1198" s="9">
        <v>2.0835999999999999E-4</v>
      </c>
      <c r="P1198" s="9">
        <v>1.6175E-4</v>
      </c>
      <c r="Q1198" s="9">
        <v>1.1868E-4</v>
      </c>
      <c r="R1198" s="10">
        <v>2.0709235047511605E-4</v>
      </c>
      <c r="S1198" s="10">
        <v>1.9029020759484994E-4</v>
      </c>
      <c r="T1198" s="10">
        <v>0</v>
      </c>
      <c r="U1198" s="10">
        <v>1.7495E-4</v>
      </c>
      <c r="V1198" s="25"/>
      <c r="W1198" s="25"/>
      <c r="X1198" s="25"/>
      <c r="Y1198" s="25"/>
      <c r="Z1198" s="25"/>
      <c r="AA1198" s="25"/>
    </row>
    <row r="1199" spans="1:27" x14ac:dyDescent="0.35">
      <c r="A1199" s="5">
        <v>1195</v>
      </c>
      <c r="B1199" s="5">
        <v>50</v>
      </c>
      <c r="C1199" s="5">
        <v>2</v>
      </c>
      <c r="D1199" s="25">
        <v>1.1416E-4</v>
      </c>
      <c r="E1199" s="25">
        <v>1.1092E-4</v>
      </c>
      <c r="F1199" s="25">
        <v>1.373E-4</v>
      </c>
      <c r="G1199" s="25">
        <v>1.0887000000000001E-4</v>
      </c>
      <c r="H1199" s="25">
        <v>1.2645000000000001E-4</v>
      </c>
      <c r="I1199" s="9">
        <v>1.4039E-4</v>
      </c>
      <c r="J1199" s="9">
        <v>1.4163000000000001E-4</v>
      </c>
      <c r="K1199" s="9">
        <v>2.6915000000000001E-4</v>
      </c>
      <c r="L1199" s="9">
        <v>2.0824999999999999E-4</v>
      </c>
      <c r="M1199" s="9">
        <v>1.5956999999999999E-4</v>
      </c>
      <c r="N1199" s="9">
        <v>1.3028000000000001E-4</v>
      </c>
      <c r="O1199" s="9">
        <v>1.6496999999999999E-4</v>
      </c>
      <c r="P1199" s="9">
        <v>1.3465999999999999E-4</v>
      </c>
      <c r="Q1199" s="9">
        <v>1.0688000000000001E-4</v>
      </c>
      <c r="R1199" s="10">
        <v>2.1086420451565054E-4</v>
      </c>
      <c r="S1199" s="10">
        <v>1.9029020759484994E-4</v>
      </c>
      <c r="T1199" s="10">
        <v>0</v>
      </c>
      <c r="U1199" s="10">
        <v>1.7495E-4</v>
      </c>
      <c r="V1199" s="25"/>
      <c r="W1199" s="25"/>
      <c r="X1199" s="25"/>
      <c r="Y1199" s="25"/>
      <c r="Z1199" s="25"/>
      <c r="AA1199" s="25"/>
    </row>
    <row r="1200" spans="1:27" x14ac:dyDescent="0.35">
      <c r="A1200" s="5">
        <v>1196</v>
      </c>
      <c r="B1200" s="5">
        <v>50</v>
      </c>
      <c r="C1200" s="5">
        <v>2</v>
      </c>
      <c r="D1200" s="25">
        <v>1.1415000000000001E-4</v>
      </c>
      <c r="E1200" s="25">
        <v>1.0900000000000001E-4</v>
      </c>
      <c r="F1200" s="25">
        <v>1.2510000000000001E-4</v>
      </c>
      <c r="G1200" s="25">
        <v>1.1217000000000001E-4</v>
      </c>
      <c r="H1200" s="25">
        <v>1.2975000000000001E-4</v>
      </c>
      <c r="I1200" s="9">
        <v>1.3859000000000001E-4</v>
      </c>
      <c r="J1200" s="9">
        <v>1.3878E-4</v>
      </c>
      <c r="K1200" s="9">
        <v>2.7975E-4</v>
      </c>
      <c r="L1200" s="9">
        <v>1.7459999999999999E-4</v>
      </c>
      <c r="M1200" s="9">
        <v>1.5086E-4</v>
      </c>
      <c r="N1200" s="9">
        <v>1.2104000000000001E-4</v>
      </c>
      <c r="O1200" s="9">
        <v>1.2946999999999999E-4</v>
      </c>
      <c r="P1200" s="9">
        <v>1.1483E-4</v>
      </c>
      <c r="Q1200" s="9">
        <v>1.0186E-4</v>
      </c>
      <c r="R1200" s="10">
        <v>2.1191573289783557E-4</v>
      </c>
      <c r="S1200" s="10">
        <v>1.9029020759484994E-4</v>
      </c>
      <c r="T1200" s="10">
        <v>0</v>
      </c>
      <c r="U1200" s="10">
        <v>1.7495E-4</v>
      </c>
      <c r="V1200" s="25"/>
      <c r="W1200" s="25"/>
      <c r="X1200" s="25"/>
      <c r="Y1200" s="25"/>
      <c r="Z1200" s="25"/>
      <c r="AA1200" s="25"/>
    </row>
    <row r="1201" spans="1:27" x14ac:dyDescent="0.35">
      <c r="A1201" s="5">
        <v>1197</v>
      </c>
      <c r="B1201" s="5">
        <v>50</v>
      </c>
      <c r="C1201" s="5">
        <v>2</v>
      </c>
      <c r="D1201" s="25">
        <v>1.1416E-4</v>
      </c>
      <c r="E1201" s="25">
        <v>1.0843E-4</v>
      </c>
      <c r="F1201" s="25">
        <v>1.2634000000000001E-4</v>
      </c>
      <c r="G1201" s="25">
        <v>6.3150000000000004E-5</v>
      </c>
      <c r="H1201" s="25">
        <v>7.3200000000000004E-5</v>
      </c>
      <c r="I1201" s="9">
        <v>1.3130999999999999E-4</v>
      </c>
      <c r="J1201" s="9">
        <v>1.3301E-4</v>
      </c>
      <c r="K1201" s="9">
        <v>2.7127E-4</v>
      </c>
      <c r="L1201" s="9">
        <v>1.4043000000000001E-4</v>
      </c>
      <c r="M1201" s="9">
        <v>1.3543E-4</v>
      </c>
      <c r="N1201" s="9">
        <v>1.133E-4</v>
      </c>
      <c r="O1201" s="9">
        <v>8.5589999999999999E-5</v>
      </c>
      <c r="P1201" s="9">
        <v>8.6940000000000004E-5</v>
      </c>
      <c r="Q1201" s="9">
        <v>8.8949999999999994E-5</v>
      </c>
      <c r="R1201" s="10">
        <v>2.121434737392174E-4</v>
      </c>
      <c r="S1201" s="10">
        <v>1.9029020759484994E-4</v>
      </c>
      <c r="T1201" s="10">
        <v>0</v>
      </c>
      <c r="U1201" s="10">
        <v>1.7495E-4</v>
      </c>
      <c r="V1201" s="25"/>
      <c r="W1201" s="25"/>
      <c r="X1201" s="25"/>
      <c r="Y1201" s="25"/>
      <c r="Z1201" s="25"/>
      <c r="AA1201" s="25"/>
    </row>
    <row r="1202" spans="1:27" x14ac:dyDescent="0.35">
      <c r="A1202" s="5">
        <v>1198</v>
      </c>
      <c r="B1202" s="5">
        <v>50</v>
      </c>
      <c r="C1202" s="5">
        <v>2</v>
      </c>
      <c r="D1202" s="25">
        <v>1.1415000000000001E-4</v>
      </c>
      <c r="E1202" s="25">
        <v>1.0826E-4</v>
      </c>
      <c r="F1202" s="25">
        <v>1.3652E-4</v>
      </c>
      <c r="G1202" s="25">
        <v>6.2580000000000001E-5</v>
      </c>
      <c r="H1202" s="25">
        <v>7.1959999999999995E-5</v>
      </c>
      <c r="I1202" s="9">
        <v>1.247E-4</v>
      </c>
      <c r="J1202" s="9">
        <v>1.2428E-4</v>
      </c>
      <c r="K1202" s="9">
        <v>2.7975E-4</v>
      </c>
      <c r="L1202" s="9">
        <v>9.8590000000000003E-5</v>
      </c>
      <c r="M1202" s="9">
        <v>1.1399E-4</v>
      </c>
      <c r="N1202" s="9">
        <v>1.0582E-4</v>
      </c>
      <c r="O1202" s="9">
        <v>8.7340000000000001E-5</v>
      </c>
      <c r="P1202" s="9">
        <v>8.7260000000000001E-5</v>
      </c>
      <c r="Q1202" s="9">
        <v>8.7910000000000004E-5</v>
      </c>
      <c r="R1202" s="10">
        <v>2.1220670064386334E-4</v>
      </c>
      <c r="S1202" s="10">
        <v>1.9029016296671491E-4</v>
      </c>
      <c r="T1202" s="10">
        <v>0</v>
      </c>
      <c r="U1202" s="10">
        <v>1.7495E-4</v>
      </c>
      <c r="V1202" s="25"/>
      <c r="W1202" s="25"/>
      <c r="X1202" s="25"/>
      <c r="Y1202" s="25"/>
      <c r="Z1202" s="25"/>
      <c r="AA1202" s="25"/>
    </row>
    <row r="1203" spans="1:27" x14ac:dyDescent="0.35">
      <c r="A1203" s="5">
        <v>1199</v>
      </c>
      <c r="B1203" s="5">
        <v>50</v>
      </c>
      <c r="C1203" s="5">
        <v>2</v>
      </c>
      <c r="D1203" s="25">
        <v>1.1416E-4</v>
      </c>
      <c r="E1203" s="25">
        <v>1.0765E-4</v>
      </c>
      <c r="F1203" s="25">
        <v>1.4135999999999999E-4</v>
      </c>
      <c r="G1203" s="25">
        <v>5.7229999999999999E-5</v>
      </c>
      <c r="H1203" s="25">
        <v>6.5350000000000003E-5</v>
      </c>
      <c r="I1203" s="9">
        <v>1.2663999999999999E-4</v>
      </c>
      <c r="J1203" s="9">
        <v>1.1633000000000001E-4</v>
      </c>
      <c r="K1203" s="9">
        <v>2.8823E-4</v>
      </c>
      <c r="L1203" s="9">
        <v>9.0729999999999994E-5</v>
      </c>
      <c r="M1203" s="9">
        <v>9.9129999999999994E-5</v>
      </c>
      <c r="N1203" s="9">
        <v>9.993E-5</v>
      </c>
      <c r="O1203" s="9">
        <v>7.8100000000000001E-5</v>
      </c>
      <c r="P1203" s="9">
        <v>7.2200000000000007E-5</v>
      </c>
      <c r="Q1203" s="9">
        <v>6.6950000000000001E-5</v>
      </c>
      <c r="R1203" s="10">
        <v>2.1208187068418551E-4</v>
      </c>
      <c r="S1203" s="10">
        <v>1.9028810564113895E-4</v>
      </c>
      <c r="T1203" s="10">
        <v>0</v>
      </c>
      <c r="U1203" s="10">
        <v>1.7495E-4</v>
      </c>
      <c r="V1203" s="25"/>
      <c r="W1203" s="25"/>
      <c r="X1203" s="25"/>
      <c r="Y1203" s="25"/>
      <c r="Z1203" s="25"/>
      <c r="AA1203" s="25"/>
    </row>
    <row r="1204" spans="1:27" x14ac:dyDescent="0.35">
      <c r="A1204" s="5">
        <v>1200</v>
      </c>
      <c r="B1204" s="5">
        <v>50</v>
      </c>
      <c r="C1204" s="5">
        <v>2</v>
      </c>
      <c r="D1204" s="25">
        <v>1.1415000000000001E-4</v>
      </c>
      <c r="E1204" s="25">
        <v>1.0881E-4</v>
      </c>
      <c r="F1204" s="25">
        <v>1.3264E-4</v>
      </c>
      <c r="G1204" s="25">
        <v>6.2189999999999999E-5</v>
      </c>
      <c r="H1204" s="25">
        <v>6.9729999999999998E-5</v>
      </c>
      <c r="I1204" s="9">
        <v>1.2689999999999999E-4</v>
      </c>
      <c r="J1204" s="9">
        <v>1.1018000000000001E-4</v>
      </c>
      <c r="K1204" s="9">
        <v>2.8397999999999997E-4</v>
      </c>
      <c r="L1204" s="9">
        <v>8.0890000000000006E-5</v>
      </c>
      <c r="M1204" s="9">
        <v>8.6149999999999993E-5</v>
      </c>
      <c r="N1204" s="9">
        <v>9.0630000000000005E-5</v>
      </c>
      <c r="O1204" s="9">
        <v>6.2760000000000002E-5</v>
      </c>
      <c r="P1204" s="9">
        <v>6.0619999999999999E-5</v>
      </c>
      <c r="Q1204" s="9">
        <v>5.8810000000000001E-5</v>
      </c>
      <c r="R1204" s="10">
        <v>2.1045971200452335E-4</v>
      </c>
      <c r="S1204" s="10">
        <v>1.8980357599643658E-4</v>
      </c>
      <c r="T1204" s="10">
        <v>0</v>
      </c>
      <c r="U1204" s="10">
        <v>1.7495E-4</v>
      </c>
      <c r="V1204" s="25"/>
      <c r="W1204" s="25"/>
      <c r="X1204" s="25"/>
      <c r="Y1204" s="25"/>
      <c r="Z1204" s="25"/>
      <c r="AA1204" s="25"/>
    </row>
    <row r="1205" spans="1:27" x14ac:dyDescent="0.35">
      <c r="A1205" s="5">
        <v>1201</v>
      </c>
      <c r="B1205" s="5">
        <v>51</v>
      </c>
      <c r="C1205" s="5">
        <v>2</v>
      </c>
      <c r="D1205" s="25">
        <v>1.1416E-4</v>
      </c>
      <c r="E1205" s="25">
        <v>1.0721999999999999E-4</v>
      </c>
      <c r="F1205" s="25">
        <v>9.6589999999999995E-5</v>
      </c>
      <c r="G1205" s="25">
        <v>5.9599999999999999E-5</v>
      </c>
      <c r="H1205" s="25">
        <v>6.9869999999999993E-5</v>
      </c>
      <c r="I1205" s="9">
        <v>1.1856E-4</v>
      </c>
      <c r="J1205" s="9">
        <v>1.0354E-4</v>
      </c>
      <c r="K1205" s="9">
        <v>2.8611000000000001E-4</v>
      </c>
      <c r="L1205" s="9">
        <v>6.6749999999999996E-5</v>
      </c>
      <c r="M1205" s="9">
        <v>7.3980000000000007E-5</v>
      </c>
      <c r="N1205" s="9">
        <v>8.119E-5</v>
      </c>
      <c r="O1205" s="9">
        <v>5.4089999999999999E-5</v>
      </c>
      <c r="P1205" s="9">
        <v>5.3510000000000001E-5</v>
      </c>
      <c r="Q1205" s="9">
        <v>5.3090000000000002E-5</v>
      </c>
      <c r="R1205" s="10">
        <v>2.0914331555590829E-4</v>
      </c>
      <c r="S1205" s="10">
        <v>1.8776744395496655E-4</v>
      </c>
      <c r="T1205" s="10">
        <v>0</v>
      </c>
      <c r="U1205" s="10">
        <v>1.7338999999999999E-4</v>
      </c>
      <c r="V1205" s="25"/>
      <c r="W1205" s="25"/>
      <c r="X1205" s="25"/>
      <c r="Y1205" s="25"/>
      <c r="Z1205" s="25"/>
      <c r="AA1205" s="25"/>
    </row>
    <row r="1206" spans="1:27" x14ac:dyDescent="0.35">
      <c r="A1206" s="5">
        <v>1202</v>
      </c>
      <c r="B1206" s="5">
        <v>51</v>
      </c>
      <c r="C1206" s="5">
        <v>2</v>
      </c>
      <c r="D1206" s="25">
        <v>1.1415000000000001E-4</v>
      </c>
      <c r="E1206" s="25">
        <v>1.1423E-4</v>
      </c>
      <c r="F1206" s="25">
        <v>1.0915E-4</v>
      </c>
      <c r="G1206" s="25">
        <v>6.1950000000000001E-5</v>
      </c>
      <c r="H1206" s="25">
        <v>6.9980000000000004E-5</v>
      </c>
      <c r="I1206" s="9">
        <v>1.1150999999999999E-4</v>
      </c>
      <c r="J1206" s="9">
        <v>9.8389999999999998E-5</v>
      </c>
      <c r="K1206" s="9">
        <v>2.8823E-4</v>
      </c>
      <c r="L1206" s="9">
        <v>5.7259999999999997E-5</v>
      </c>
      <c r="M1206" s="9">
        <v>6.3730000000000001E-5</v>
      </c>
      <c r="N1206" s="9">
        <v>7.1989999999999993E-5</v>
      </c>
      <c r="O1206" s="9">
        <v>1.861E-5</v>
      </c>
      <c r="P1206" s="9">
        <v>3.7870000000000002E-5</v>
      </c>
      <c r="Q1206" s="9">
        <v>5.6360000000000002E-5</v>
      </c>
      <c r="R1206" s="10">
        <v>2.0999775482732463E-4</v>
      </c>
      <c r="S1206" s="10">
        <v>1.8042934209589227E-4</v>
      </c>
      <c r="T1206" s="10">
        <v>0</v>
      </c>
      <c r="U1206" s="10">
        <v>1.7338999999999999E-4</v>
      </c>
      <c r="V1206" s="25"/>
      <c r="W1206" s="25"/>
      <c r="X1206" s="25"/>
      <c r="Y1206" s="25"/>
      <c r="Z1206" s="25"/>
      <c r="AA1206" s="25"/>
    </row>
    <row r="1207" spans="1:27" x14ac:dyDescent="0.35">
      <c r="A1207" s="5">
        <v>1203</v>
      </c>
      <c r="B1207" s="5">
        <v>51</v>
      </c>
      <c r="C1207" s="5">
        <v>2</v>
      </c>
      <c r="D1207" s="25">
        <v>1.1416E-4</v>
      </c>
      <c r="E1207" s="25">
        <v>1.1398E-4</v>
      </c>
      <c r="F1207" s="25">
        <v>1.0295E-4</v>
      </c>
      <c r="G1207" s="25">
        <v>6.0529999999999998E-5</v>
      </c>
      <c r="H1207" s="25">
        <v>7.3040000000000005E-5</v>
      </c>
      <c r="I1207" s="9">
        <v>1.0692999999999999E-4</v>
      </c>
      <c r="J1207" s="9">
        <v>9.5060000000000001E-5</v>
      </c>
      <c r="K1207" s="9">
        <v>2.9458000000000002E-4</v>
      </c>
      <c r="L1207" s="9">
        <v>2.7330000000000001E-5</v>
      </c>
      <c r="M1207" s="9">
        <v>5.2070000000000001E-5</v>
      </c>
      <c r="N1207" s="9">
        <v>6.5450000000000005E-5</v>
      </c>
      <c r="O1207" s="9">
        <v>1.3010000000000001E-5</v>
      </c>
      <c r="P1207" s="9">
        <v>3.7740000000000001E-5</v>
      </c>
      <c r="Q1207" s="9">
        <v>6.1519999999999994E-5</v>
      </c>
      <c r="R1207" s="10">
        <v>2.1081614714277779E-4</v>
      </c>
      <c r="S1207" s="10">
        <v>1.6125335127549113E-4</v>
      </c>
      <c r="T1207" s="10">
        <v>0</v>
      </c>
      <c r="U1207" s="10">
        <v>1.7338999999999999E-4</v>
      </c>
      <c r="V1207" s="25"/>
      <c r="W1207" s="25"/>
      <c r="X1207" s="25"/>
      <c r="Y1207" s="25"/>
      <c r="Z1207" s="25"/>
      <c r="AA1207" s="25"/>
    </row>
    <row r="1208" spans="1:27" x14ac:dyDescent="0.35">
      <c r="A1208" s="5">
        <v>1204</v>
      </c>
      <c r="B1208" s="5">
        <v>51</v>
      </c>
      <c r="C1208" s="5">
        <v>2</v>
      </c>
      <c r="D1208" s="25">
        <v>1.1415000000000001E-4</v>
      </c>
      <c r="E1208" s="25">
        <v>1.0622E-4</v>
      </c>
      <c r="F1208" s="25">
        <v>9.3750000000000002E-5</v>
      </c>
      <c r="G1208" s="25">
        <v>5.9129999999999998E-5</v>
      </c>
      <c r="H1208" s="25">
        <v>7.4129999999999997E-5</v>
      </c>
      <c r="I1208" s="9">
        <v>1.0435E-4</v>
      </c>
      <c r="J1208" s="9">
        <v>9.3869999999999994E-5</v>
      </c>
      <c r="K1208" s="9">
        <v>2.7763000000000001E-4</v>
      </c>
      <c r="L1208" s="9">
        <v>1.6900000000000001E-5</v>
      </c>
      <c r="M1208" s="9">
        <v>4.4140000000000001E-5</v>
      </c>
      <c r="N1208" s="9">
        <v>6.1859999999999994E-5</v>
      </c>
      <c r="O1208" s="9">
        <v>1.311E-5</v>
      </c>
      <c r="P1208" s="9">
        <v>4.7530000000000001E-5</v>
      </c>
      <c r="Q1208" s="9">
        <v>8.0829999999999997E-5</v>
      </c>
      <c r="R1208" s="10">
        <v>2.1167887916643261E-4</v>
      </c>
      <c r="S1208" s="10">
        <v>1.5356673427999244E-4</v>
      </c>
      <c r="T1208" s="10">
        <v>0</v>
      </c>
      <c r="U1208" s="10">
        <v>1.7338999999999999E-4</v>
      </c>
      <c r="V1208" s="25"/>
      <c r="W1208" s="25"/>
      <c r="X1208" s="25"/>
      <c r="Y1208" s="25"/>
      <c r="Z1208" s="25"/>
      <c r="AA1208" s="25"/>
    </row>
    <row r="1209" spans="1:27" x14ac:dyDescent="0.35">
      <c r="A1209" s="5">
        <v>1205</v>
      </c>
      <c r="B1209" s="5">
        <v>51</v>
      </c>
      <c r="C1209" s="5">
        <v>2</v>
      </c>
      <c r="D1209" s="25">
        <v>1.1416E-4</v>
      </c>
      <c r="E1209" s="25">
        <v>1.0846E-4</v>
      </c>
      <c r="F1209" s="25">
        <v>1.0064999999999999E-4</v>
      </c>
      <c r="G1209" s="25">
        <v>5.9020000000000001E-5</v>
      </c>
      <c r="H1209" s="25">
        <v>7.3850000000000006E-5</v>
      </c>
      <c r="I1209" s="9">
        <v>1.0378E-4</v>
      </c>
      <c r="J1209" s="9">
        <v>9.3480000000000006E-5</v>
      </c>
      <c r="K1209" s="9">
        <v>2.9882999999999998E-4</v>
      </c>
      <c r="L1209" s="9">
        <v>1.419E-5</v>
      </c>
      <c r="M1209" s="9">
        <v>4.3579999999999999E-5</v>
      </c>
      <c r="N1209" s="9">
        <v>6.4510000000000004E-5</v>
      </c>
      <c r="O1209" s="9">
        <v>1.8470000000000001E-5</v>
      </c>
      <c r="P1209" s="9">
        <v>5.6390000000000001E-5</v>
      </c>
      <c r="Q1209" s="9">
        <v>9.3239999999999995E-5</v>
      </c>
      <c r="R1209" s="10">
        <v>2.1211359425596393E-4</v>
      </c>
      <c r="S1209" s="10">
        <v>1.4503167623307686E-4</v>
      </c>
      <c r="T1209" s="10">
        <v>0</v>
      </c>
      <c r="U1209" s="10">
        <v>1.7338999999999999E-4</v>
      </c>
      <c r="V1209" s="25"/>
      <c r="W1209" s="25"/>
      <c r="X1209" s="25"/>
      <c r="Y1209" s="25"/>
      <c r="Z1209" s="25"/>
      <c r="AA1209" s="25"/>
    </row>
    <row r="1210" spans="1:27" x14ac:dyDescent="0.35">
      <c r="A1210" s="5">
        <v>1206</v>
      </c>
      <c r="B1210" s="5">
        <v>51</v>
      </c>
      <c r="C1210" s="5">
        <v>2</v>
      </c>
      <c r="D1210" s="25">
        <v>1.1415000000000001E-4</v>
      </c>
      <c r="E1210" s="25">
        <v>1.1548999999999999E-4</v>
      </c>
      <c r="F1210" s="25">
        <v>1.0637999999999999E-4</v>
      </c>
      <c r="G1210" s="25">
        <v>1.05E-4</v>
      </c>
      <c r="H1210" s="25">
        <v>1.3750000000000001E-4</v>
      </c>
      <c r="I1210" s="9">
        <v>1.0365E-4</v>
      </c>
      <c r="J1210" s="9">
        <v>9.4660000000000005E-5</v>
      </c>
      <c r="K1210" s="9">
        <v>3.1577999999999999E-4</v>
      </c>
      <c r="L1210" s="9">
        <v>1.7399999999999999E-5</v>
      </c>
      <c r="M1210" s="9">
        <v>4.8399999999999997E-5</v>
      </c>
      <c r="N1210" s="9">
        <v>7.0980000000000001E-5</v>
      </c>
      <c r="O1210" s="9">
        <v>4.5890000000000003E-5</v>
      </c>
      <c r="P1210" s="9">
        <v>7.6320000000000001E-5</v>
      </c>
      <c r="Q1210" s="9">
        <v>1.0627E-4</v>
      </c>
      <c r="R1210" s="10">
        <v>2.1219837341283901E-4</v>
      </c>
      <c r="S1210" s="10">
        <v>1.3341138847180087E-4</v>
      </c>
      <c r="T1210" s="10">
        <v>0</v>
      </c>
      <c r="U1210" s="10">
        <v>1.7338999999999999E-4</v>
      </c>
      <c r="V1210" s="25"/>
      <c r="W1210" s="25"/>
      <c r="X1210" s="25"/>
      <c r="Y1210" s="25"/>
      <c r="Z1210" s="25"/>
      <c r="AA1210" s="25"/>
    </row>
    <row r="1211" spans="1:27" x14ac:dyDescent="0.35">
      <c r="A1211" s="5">
        <v>1207</v>
      </c>
      <c r="B1211" s="5">
        <v>51</v>
      </c>
      <c r="C1211" s="5">
        <v>2</v>
      </c>
      <c r="D1211" s="25">
        <v>1.1416E-4</v>
      </c>
      <c r="E1211" s="25">
        <v>1.0601E-4</v>
      </c>
      <c r="F1211" s="25">
        <v>8.7960000000000005E-5</v>
      </c>
      <c r="G1211" s="25">
        <v>1.1102E-4</v>
      </c>
      <c r="H1211" s="25">
        <v>1.3559999999999999E-4</v>
      </c>
      <c r="I1211" s="9">
        <v>1.0504E-4</v>
      </c>
      <c r="J1211" s="9">
        <v>9.9329999999999999E-5</v>
      </c>
      <c r="K1211" s="9">
        <v>3.0306000000000002E-4</v>
      </c>
      <c r="L1211" s="9">
        <v>3.9480000000000001E-5</v>
      </c>
      <c r="M1211" s="9">
        <v>5.9799999999999997E-5</v>
      </c>
      <c r="N1211" s="9">
        <v>8.0539999999999998E-5</v>
      </c>
      <c r="O1211" s="9">
        <v>1.2365999999999999E-4</v>
      </c>
      <c r="P1211" s="9">
        <v>1.1728E-4</v>
      </c>
      <c r="Q1211" s="9">
        <v>1.1234999999999999E-4</v>
      </c>
      <c r="R1211" s="10">
        <v>2.1229411358554491E-4</v>
      </c>
      <c r="S1211" s="10">
        <v>1.1936944129427067E-4</v>
      </c>
      <c r="T1211" s="10">
        <v>0</v>
      </c>
      <c r="U1211" s="10">
        <v>1.7338999999999999E-4</v>
      </c>
      <c r="V1211" s="25"/>
      <c r="W1211" s="25"/>
      <c r="X1211" s="25"/>
      <c r="Y1211" s="25"/>
      <c r="Z1211" s="25"/>
      <c r="AA1211" s="25"/>
    </row>
    <row r="1212" spans="1:27" x14ac:dyDescent="0.35">
      <c r="A1212" s="5">
        <v>1208</v>
      </c>
      <c r="B1212" s="5">
        <v>51</v>
      </c>
      <c r="C1212" s="5">
        <v>2</v>
      </c>
      <c r="D1212" s="25">
        <v>1.1415000000000001E-4</v>
      </c>
      <c r="E1212" s="25">
        <v>1.083E-4</v>
      </c>
      <c r="F1212" s="25">
        <v>1.0475E-4</v>
      </c>
      <c r="G1212" s="25">
        <v>1.6034E-4</v>
      </c>
      <c r="H1212" s="25">
        <v>1.9568999999999999E-4</v>
      </c>
      <c r="I1212" s="9">
        <v>1.0919E-4</v>
      </c>
      <c r="J1212" s="9">
        <v>1.065E-4</v>
      </c>
      <c r="K1212" s="9">
        <v>2.9458000000000002E-4</v>
      </c>
      <c r="L1212" s="9">
        <v>1.0452E-4</v>
      </c>
      <c r="M1212" s="9">
        <v>8.3430000000000006E-5</v>
      </c>
      <c r="N1212" s="9">
        <v>9.0630000000000005E-5</v>
      </c>
      <c r="O1212" s="9">
        <v>2.2084000000000001E-4</v>
      </c>
      <c r="P1212" s="9">
        <v>1.7689E-4</v>
      </c>
      <c r="Q1212" s="9">
        <v>1.3663999999999999E-4</v>
      </c>
      <c r="R1212" s="10">
        <v>2.1237199388469857E-4</v>
      </c>
      <c r="S1212" s="10">
        <v>1.0621823464054718E-4</v>
      </c>
      <c r="T1212" s="10">
        <v>4.0724636880684076E-7</v>
      </c>
      <c r="U1212" s="10">
        <v>1.7338999999999999E-4</v>
      </c>
      <c r="V1212" s="25"/>
      <c r="W1212" s="25"/>
      <c r="X1212" s="25"/>
      <c r="Y1212" s="25"/>
      <c r="Z1212" s="25"/>
      <c r="AA1212" s="25"/>
    </row>
    <row r="1213" spans="1:27" x14ac:dyDescent="0.35">
      <c r="A1213" s="5">
        <v>1209</v>
      </c>
      <c r="B1213" s="5">
        <v>51</v>
      </c>
      <c r="C1213" s="5">
        <v>2</v>
      </c>
      <c r="D1213" s="25">
        <v>1.1416E-4</v>
      </c>
      <c r="E1213" s="25">
        <v>1.0689E-4</v>
      </c>
      <c r="F1213" s="25">
        <v>1.0295E-4</v>
      </c>
      <c r="G1213" s="25">
        <v>1.5773999999999999E-4</v>
      </c>
      <c r="H1213" s="25">
        <v>1.9455000000000001E-4</v>
      </c>
      <c r="I1213" s="9">
        <v>1.1484000000000001E-4</v>
      </c>
      <c r="J1213" s="9">
        <v>1.1438999999999999E-4</v>
      </c>
      <c r="K1213" s="9">
        <v>2.6915000000000001E-4</v>
      </c>
      <c r="L1213" s="9">
        <v>1.9347E-4</v>
      </c>
      <c r="M1213" s="9">
        <v>1.2320000000000001E-4</v>
      </c>
      <c r="N1213" s="9">
        <v>1.0438E-4</v>
      </c>
      <c r="O1213" s="9">
        <v>2.1387000000000001E-4</v>
      </c>
      <c r="P1213" s="9">
        <v>1.9431E-4</v>
      </c>
      <c r="Q1213" s="9">
        <v>1.7794999999999999E-4</v>
      </c>
      <c r="R1213" s="10">
        <v>2.124258723591693E-4</v>
      </c>
      <c r="S1213" s="10">
        <v>9.6225865153863231E-5</v>
      </c>
      <c r="T1213" s="10">
        <v>1.1708333103196675E-5</v>
      </c>
      <c r="U1213" s="10">
        <v>1.7338999999999999E-4</v>
      </c>
      <c r="V1213" s="25"/>
      <c r="W1213" s="25"/>
      <c r="X1213" s="25"/>
      <c r="Y1213" s="25"/>
      <c r="Z1213" s="25"/>
      <c r="AA1213" s="25"/>
    </row>
    <row r="1214" spans="1:27" x14ac:dyDescent="0.35">
      <c r="A1214" s="5">
        <v>1210</v>
      </c>
      <c r="B1214" s="5">
        <v>51</v>
      </c>
      <c r="C1214" s="5">
        <v>2</v>
      </c>
      <c r="D1214" s="25">
        <v>1.1415000000000001E-4</v>
      </c>
      <c r="E1214" s="25">
        <v>1.1010000000000001E-4</v>
      </c>
      <c r="F1214" s="25">
        <v>1.0596E-4</v>
      </c>
      <c r="G1214" s="25">
        <v>1.6114999999999999E-4</v>
      </c>
      <c r="H1214" s="25">
        <v>1.8783999999999999E-4</v>
      </c>
      <c r="I1214" s="9">
        <v>1.2281E-4</v>
      </c>
      <c r="J1214" s="9">
        <v>1.227E-4</v>
      </c>
      <c r="K1214" s="9">
        <v>2.5431999999999999E-4</v>
      </c>
      <c r="L1214" s="9">
        <v>2.0704999999999999E-4</v>
      </c>
      <c r="M1214" s="9">
        <v>1.5888E-4</v>
      </c>
      <c r="N1214" s="9">
        <v>1.2464E-4</v>
      </c>
      <c r="O1214" s="9">
        <v>1.6791000000000001E-4</v>
      </c>
      <c r="P1214" s="9">
        <v>1.7389E-4</v>
      </c>
      <c r="Q1214" s="9">
        <v>1.8189000000000001E-4</v>
      </c>
      <c r="R1214" s="10">
        <v>2.1239027350519312E-4</v>
      </c>
      <c r="S1214" s="10">
        <v>8.3427218781254058E-5</v>
      </c>
      <c r="T1214" s="10">
        <v>4.3515971366880973E-5</v>
      </c>
      <c r="U1214" s="10">
        <v>1.7338999999999999E-4</v>
      </c>
      <c r="V1214" s="25"/>
      <c r="W1214" s="25"/>
      <c r="X1214" s="25"/>
      <c r="Y1214" s="25"/>
      <c r="Z1214" s="25"/>
      <c r="AA1214" s="25"/>
    </row>
    <row r="1215" spans="1:27" x14ac:dyDescent="0.35">
      <c r="A1215" s="5">
        <v>1211</v>
      </c>
      <c r="B1215" s="5">
        <v>51</v>
      </c>
      <c r="C1215" s="5">
        <v>2</v>
      </c>
      <c r="D1215" s="25">
        <v>1.1416E-4</v>
      </c>
      <c r="E1215" s="25">
        <v>1.1292E-4</v>
      </c>
      <c r="F1215" s="25">
        <v>9.6370000000000001E-5</v>
      </c>
      <c r="G1215" s="25">
        <v>1.5987999999999999E-4</v>
      </c>
      <c r="H1215" s="25">
        <v>1.9783999999999999E-4</v>
      </c>
      <c r="I1215" s="9">
        <v>1.2695999999999999E-4</v>
      </c>
      <c r="J1215" s="9">
        <v>1.2663E-4</v>
      </c>
      <c r="K1215" s="9">
        <v>2.3735999999999999E-4</v>
      </c>
      <c r="L1215" s="9">
        <v>1.7657E-4</v>
      </c>
      <c r="M1215" s="9">
        <v>1.7257000000000001E-4</v>
      </c>
      <c r="N1215" s="9">
        <v>1.4270999999999999E-4</v>
      </c>
      <c r="O1215" s="9">
        <v>1.6961E-4</v>
      </c>
      <c r="P1215" s="9">
        <v>1.7429000000000001E-4</v>
      </c>
      <c r="Q1215" s="9">
        <v>1.8102E-4</v>
      </c>
      <c r="R1215" s="10">
        <v>2.1191908253451373E-4</v>
      </c>
      <c r="S1215" s="10">
        <v>7.3292946089309409E-5</v>
      </c>
      <c r="T1215" s="10">
        <v>6.2554739108600777E-5</v>
      </c>
      <c r="U1215" s="10">
        <v>1.7338999999999999E-4</v>
      </c>
      <c r="V1215" s="25"/>
      <c r="W1215" s="25"/>
      <c r="X1215" s="25"/>
      <c r="Y1215" s="25"/>
      <c r="Z1215" s="25"/>
      <c r="AA1215" s="25"/>
    </row>
    <row r="1216" spans="1:27" x14ac:dyDescent="0.35">
      <c r="A1216" s="5">
        <v>1212</v>
      </c>
      <c r="B1216" s="5">
        <v>51</v>
      </c>
      <c r="C1216" s="5">
        <v>2</v>
      </c>
      <c r="D1216" s="25">
        <v>1.1415000000000001E-4</v>
      </c>
      <c r="E1216" s="25">
        <v>1.1556E-4</v>
      </c>
      <c r="F1216" s="25">
        <v>8.8010000000000006E-5</v>
      </c>
      <c r="G1216" s="25">
        <v>1.6000000000000001E-4</v>
      </c>
      <c r="H1216" s="25">
        <v>1.9375999999999999E-4</v>
      </c>
      <c r="I1216" s="9">
        <v>1.2896000000000001E-4</v>
      </c>
      <c r="J1216" s="9">
        <v>1.2758999999999999E-4</v>
      </c>
      <c r="K1216" s="9">
        <v>2.2252E-4</v>
      </c>
      <c r="L1216" s="9">
        <v>1.7259E-4</v>
      </c>
      <c r="M1216" s="9">
        <v>1.7547999999999999E-4</v>
      </c>
      <c r="N1216" s="9">
        <v>1.5715999999999999E-4</v>
      </c>
      <c r="O1216" s="9">
        <v>1.7204000000000001E-4</v>
      </c>
      <c r="P1216" s="9">
        <v>1.7255999999999999E-4</v>
      </c>
      <c r="Q1216" s="9">
        <v>1.7525E-4</v>
      </c>
      <c r="R1216" s="10">
        <v>1.9961203129503129E-4</v>
      </c>
      <c r="S1216" s="10">
        <v>7.6090313505729798E-5</v>
      </c>
      <c r="T1216" s="10">
        <v>3.4098399088222773E-5</v>
      </c>
      <c r="U1216" s="10">
        <v>1.7338999999999999E-4</v>
      </c>
      <c r="V1216" s="25"/>
      <c r="W1216" s="25"/>
      <c r="X1216" s="25"/>
      <c r="Y1216" s="25"/>
      <c r="Z1216" s="25"/>
      <c r="AA1216" s="25"/>
    </row>
    <row r="1217" spans="1:27" x14ac:dyDescent="0.35">
      <c r="A1217" s="5">
        <v>1213</v>
      </c>
      <c r="B1217" s="5">
        <v>51</v>
      </c>
      <c r="C1217" s="5">
        <v>2</v>
      </c>
      <c r="D1217" s="25">
        <v>1.1416E-4</v>
      </c>
      <c r="E1217" s="25">
        <v>1.0802E-4</v>
      </c>
      <c r="F1217" s="25">
        <v>8.967E-5</v>
      </c>
      <c r="G1217" s="25">
        <v>1.6391999999999999E-4</v>
      </c>
      <c r="H1217" s="25">
        <v>1.9552E-4</v>
      </c>
      <c r="I1217" s="9">
        <v>1.2868999999999999E-4</v>
      </c>
      <c r="J1217" s="9">
        <v>1.2605E-4</v>
      </c>
      <c r="K1217" s="9">
        <v>2.1829E-4</v>
      </c>
      <c r="L1217" s="9">
        <v>1.7229999999999999E-4</v>
      </c>
      <c r="M1217" s="9">
        <v>1.7469999999999999E-4</v>
      </c>
      <c r="N1217" s="9">
        <v>1.6686000000000001E-4</v>
      </c>
      <c r="O1217" s="9">
        <v>1.6247000000000001E-4</v>
      </c>
      <c r="P1217" s="9">
        <v>1.6386999999999999E-4</v>
      </c>
      <c r="Q1217" s="9">
        <v>1.6726999999999999E-4</v>
      </c>
      <c r="R1217" s="10">
        <v>1.9019952964806583E-4</v>
      </c>
      <c r="S1217" s="10">
        <v>6.8460797632868709E-5</v>
      </c>
      <c r="T1217" s="10">
        <v>5.9958543507457164E-5</v>
      </c>
      <c r="U1217" s="10">
        <v>1.7338999999999999E-4</v>
      </c>
      <c r="V1217" s="25"/>
      <c r="W1217" s="25"/>
      <c r="X1217" s="25"/>
      <c r="Y1217" s="25"/>
      <c r="Z1217" s="25"/>
      <c r="AA1217" s="25"/>
    </row>
    <row r="1218" spans="1:27" x14ac:dyDescent="0.35">
      <c r="A1218" s="5">
        <v>1214</v>
      </c>
      <c r="B1218" s="5">
        <v>51</v>
      </c>
      <c r="C1218" s="5">
        <v>2</v>
      </c>
      <c r="D1218" s="25">
        <v>1.1415000000000001E-4</v>
      </c>
      <c r="E1218" s="25">
        <v>1.1495E-4</v>
      </c>
      <c r="F1218" s="25">
        <v>1.0733E-4</v>
      </c>
      <c r="G1218" s="25">
        <v>1.5781000000000001E-4</v>
      </c>
      <c r="H1218" s="25">
        <v>1.9432E-4</v>
      </c>
      <c r="I1218" s="9">
        <v>1.2520000000000001E-4</v>
      </c>
      <c r="J1218" s="9">
        <v>1.2447000000000001E-4</v>
      </c>
      <c r="K1218" s="9">
        <v>2.0981E-4</v>
      </c>
      <c r="L1218" s="9">
        <v>1.6437E-4</v>
      </c>
      <c r="M1218" s="9">
        <v>1.7055999999999999E-4</v>
      </c>
      <c r="N1218" s="9">
        <v>1.7108E-4</v>
      </c>
      <c r="O1218" s="9">
        <v>1.8068000000000001E-4</v>
      </c>
      <c r="P1218" s="9">
        <v>1.7011000000000001E-4</v>
      </c>
      <c r="Q1218" s="9">
        <v>1.6202E-4</v>
      </c>
      <c r="R1218" s="10">
        <v>1.8494831889841209E-4</v>
      </c>
      <c r="S1218" s="10">
        <v>6.2325657339216801E-5</v>
      </c>
      <c r="T1218" s="10">
        <v>4.7206641584192967E-5</v>
      </c>
      <c r="U1218" s="10">
        <v>1.7338999999999999E-4</v>
      </c>
      <c r="V1218" s="25"/>
      <c r="W1218" s="25"/>
      <c r="X1218" s="25"/>
      <c r="Y1218" s="25"/>
      <c r="Z1218" s="25"/>
      <c r="AA1218" s="25"/>
    </row>
    <row r="1219" spans="1:27" x14ac:dyDescent="0.35">
      <c r="A1219" s="5">
        <v>1215</v>
      </c>
      <c r="B1219" s="5">
        <v>51</v>
      </c>
      <c r="C1219" s="5">
        <v>2</v>
      </c>
      <c r="D1219" s="25">
        <v>1.1416E-4</v>
      </c>
      <c r="E1219" s="25">
        <v>1.0760999999999999E-4</v>
      </c>
      <c r="F1219" s="25">
        <v>1.0511E-4</v>
      </c>
      <c r="G1219" s="25">
        <v>1.6228E-4</v>
      </c>
      <c r="H1219" s="25">
        <v>1.907E-4</v>
      </c>
      <c r="I1219" s="9">
        <v>1.2214999999999999E-4</v>
      </c>
      <c r="J1219" s="9">
        <v>1.2406E-4</v>
      </c>
      <c r="K1219" s="9">
        <v>2.2677E-4</v>
      </c>
      <c r="L1219" s="9">
        <v>1.773E-4</v>
      </c>
      <c r="M1219" s="9">
        <v>1.6920999999999999E-4</v>
      </c>
      <c r="N1219" s="9">
        <v>1.7076E-4</v>
      </c>
      <c r="O1219" s="9">
        <v>1.8411999999999999E-4</v>
      </c>
      <c r="P1219" s="9">
        <v>1.6679999999999999E-4</v>
      </c>
      <c r="Q1219" s="9">
        <v>1.5215000000000001E-4</v>
      </c>
      <c r="R1219" s="10">
        <v>1.6901336035271674E-4</v>
      </c>
      <c r="S1219" s="10">
        <v>7.2661657670950686E-5</v>
      </c>
      <c r="T1219" s="10">
        <v>5.4341937337662817E-5</v>
      </c>
      <c r="U1219" s="10">
        <v>1.7338999999999999E-4</v>
      </c>
      <c r="V1219" s="25"/>
      <c r="W1219" s="25"/>
      <c r="X1219" s="25"/>
      <c r="Y1219" s="25"/>
      <c r="Z1219" s="25"/>
      <c r="AA1219" s="25"/>
    </row>
    <row r="1220" spans="1:27" x14ac:dyDescent="0.35">
      <c r="A1220" s="5">
        <v>1216</v>
      </c>
      <c r="B1220" s="5">
        <v>51</v>
      </c>
      <c r="C1220" s="5">
        <v>2</v>
      </c>
      <c r="D1220" s="25">
        <v>1.1415000000000001E-4</v>
      </c>
      <c r="E1220" s="25">
        <v>1.1509E-4</v>
      </c>
      <c r="F1220" s="25">
        <v>1.0127E-4</v>
      </c>
      <c r="G1220" s="25">
        <v>1.6155E-4</v>
      </c>
      <c r="H1220" s="25">
        <v>1.9296999999999999E-4</v>
      </c>
      <c r="I1220" s="9">
        <v>1.2120000000000001E-4</v>
      </c>
      <c r="J1220" s="9">
        <v>1.2315000000000001E-4</v>
      </c>
      <c r="K1220" s="9">
        <v>2.5431E-4</v>
      </c>
      <c r="L1220" s="9">
        <v>1.8228E-4</v>
      </c>
      <c r="M1220" s="9">
        <v>1.6809E-4</v>
      </c>
      <c r="N1220" s="9">
        <v>1.6666000000000001E-4</v>
      </c>
      <c r="O1220" s="9">
        <v>1.9859000000000001E-4</v>
      </c>
      <c r="P1220" s="9">
        <v>1.5252000000000001E-4</v>
      </c>
      <c r="Q1220" s="9">
        <v>1.0980999999999999E-4</v>
      </c>
      <c r="R1220" s="10">
        <v>1.3903891222236085E-4</v>
      </c>
      <c r="S1220" s="10">
        <v>8.1867782887217003E-5</v>
      </c>
      <c r="T1220" s="10">
        <v>3.7110325357523369E-5</v>
      </c>
      <c r="U1220" s="10">
        <v>1.7338999999999999E-4</v>
      </c>
      <c r="V1220" s="25"/>
      <c r="W1220" s="25"/>
      <c r="X1220" s="25"/>
      <c r="Y1220" s="25"/>
      <c r="Z1220" s="25"/>
      <c r="AA1220" s="25"/>
    </row>
    <row r="1221" spans="1:27" x14ac:dyDescent="0.35">
      <c r="A1221" s="5">
        <v>1217</v>
      </c>
      <c r="B1221" s="5">
        <v>51</v>
      </c>
      <c r="C1221" s="5">
        <v>2</v>
      </c>
      <c r="D1221" s="25">
        <v>1.1416E-4</v>
      </c>
      <c r="E1221" s="25">
        <v>1.1476000000000001E-4</v>
      </c>
      <c r="F1221" s="25">
        <v>9.1180000000000005E-5</v>
      </c>
      <c r="G1221" s="25">
        <v>1.5631E-4</v>
      </c>
      <c r="H1221" s="25">
        <v>1.8776E-4</v>
      </c>
      <c r="I1221" s="9">
        <v>1.22E-4</v>
      </c>
      <c r="J1221" s="9">
        <v>1.2467000000000001E-4</v>
      </c>
      <c r="K1221" s="9">
        <v>2.6279E-4</v>
      </c>
      <c r="L1221" s="9">
        <v>1.9479999999999999E-4</v>
      </c>
      <c r="M1221" s="9">
        <v>1.6229999999999999E-4</v>
      </c>
      <c r="N1221" s="9">
        <v>1.5278000000000001E-4</v>
      </c>
      <c r="O1221" s="9">
        <v>2.1494999999999999E-4</v>
      </c>
      <c r="P1221" s="9">
        <v>1.5907000000000001E-4</v>
      </c>
      <c r="Q1221" s="9">
        <v>1.07E-4</v>
      </c>
      <c r="R1221" s="10">
        <v>1.2465659319751477E-4</v>
      </c>
      <c r="S1221" s="10">
        <v>8.1690402223434612E-5</v>
      </c>
      <c r="T1221" s="10">
        <v>1.0987167658434558E-5</v>
      </c>
      <c r="U1221" s="10">
        <v>1.7338999999999999E-4</v>
      </c>
      <c r="V1221" s="25"/>
      <c r="W1221" s="25"/>
      <c r="X1221" s="25"/>
      <c r="Y1221" s="25"/>
      <c r="Z1221" s="25"/>
      <c r="AA1221" s="25"/>
    </row>
    <row r="1222" spans="1:27" x14ac:dyDescent="0.35">
      <c r="A1222" s="5">
        <v>1218</v>
      </c>
      <c r="B1222" s="5">
        <v>51</v>
      </c>
      <c r="C1222" s="5">
        <v>2</v>
      </c>
      <c r="D1222" s="25">
        <v>1.1415000000000001E-4</v>
      </c>
      <c r="E1222" s="25">
        <v>1.0632E-4</v>
      </c>
      <c r="F1222" s="25">
        <v>9.2540000000000005E-5</v>
      </c>
      <c r="G1222" s="25">
        <v>1.6724E-4</v>
      </c>
      <c r="H1222" s="25">
        <v>2.0049E-4</v>
      </c>
      <c r="I1222" s="9">
        <v>1.2452000000000001E-4</v>
      </c>
      <c r="J1222" s="9">
        <v>1.2891000000000001E-4</v>
      </c>
      <c r="K1222" s="9">
        <v>2.7338999999999998E-4</v>
      </c>
      <c r="L1222" s="9">
        <v>2.1027E-4</v>
      </c>
      <c r="M1222" s="9">
        <v>1.5954000000000001E-4</v>
      </c>
      <c r="N1222" s="9">
        <v>1.3927000000000001E-4</v>
      </c>
      <c r="O1222" s="9">
        <v>2.0645E-4</v>
      </c>
      <c r="P1222" s="9">
        <v>1.6027000000000001E-4</v>
      </c>
      <c r="Q1222" s="9">
        <v>1.1759E-4</v>
      </c>
      <c r="R1222" s="10">
        <v>1.1545701290805592E-4</v>
      </c>
      <c r="S1222" s="10">
        <v>6.4027491183388385E-5</v>
      </c>
      <c r="T1222" s="10">
        <v>0</v>
      </c>
      <c r="U1222" s="10">
        <v>1.7338999999999999E-4</v>
      </c>
      <c r="V1222" s="25"/>
      <c r="W1222" s="25"/>
      <c r="X1222" s="25"/>
      <c r="Y1222" s="25"/>
      <c r="Z1222" s="25"/>
      <c r="AA1222" s="25"/>
    </row>
    <row r="1223" spans="1:27" x14ac:dyDescent="0.35">
      <c r="A1223" s="5">
        <v>1219</v>
      </c>
      <c r="B1223" s="5">
        <v>51</v>
      </c>
      <c r="C1223" s="5">
        <v>2</v>
      </c>
      <c r="D1223" s="25">
        <v>1.1416E-4</v>
      </c>
      <c r="E1223" s="25">
        <v>1.0938E-4</v>
      </c>
      <c r="F1223" s="25">
        <v>1.0124999999999999E-4</v>
      </c>
      <c r="G1223" s="25">
        <v>1.0998E-4</v>
      </c>
      <c r="H1223" s="25">
        <v>1.2606999999999999E-4</v>
      </c>
      <c r="I1223" s="9">
        <v>1.3009999999999999E-4</v>
      </c>
      <c r="J1223" s="9">
        <v>1.3130999999999999E-4</v>
      </c>
      <c r="K1223" s="9">
        <v>2.8611000000000001E-4</v>
      </c>
      <c r="L1223" s="9">
        <v>2.0688E-4</v>
      </c>
      <c r="M1223" s="9">
        <v>1.5924999999999999E-4</v>
      </c>
      <c r="N1223" s="9">
        <v>1.3009E-4</v>
      </c>
      <c r="O1223" s="9">
        <v>1.6682000000000001E-4</v>
      </c>
      <c r="P1223" s="9">
        <v>1.3616999999999999E-4</v>
      </c>
      <c r="Q1223" s="9">
        <v>1.0808E-4</v>
      </c>
      <c r="R1223" s="10">
        <v>1.0680751523330358E-4</v>
      </c>
      <c r="S1223" s="10">
        <v>3.5566786477814865E-5</v>
      </c>
      <c r="T1223" s="10">
        <v>0</v>
      </c>
      <c r="U1223" s="10">
        <v>1.7338999999999999E-4</v>
      </c>
      <c r="V1223" s="25"/>
      <c r="W1223" s="25"/>
      <c r="X1223" s="25"/>
      <c r="Y1223" s="25"/>
      <c r="Z1223" s="25"/>
      <c r="AA1223" s="25"/>
    </row>
    <row r="1224" spans="1:27" x14ac:dyDescent="0.35">
      <c r="A1224" s="5">
        <v>1220</v>
      </c>
      <c r="B1224" s="5">
        <v>51</v>
      </c>
      <c r="C1224" s="5">
        <v>2</v>
      </c>
      <c r="D1224" s="25">
        <v>1.1415000000000001E-4</v>
      </c>
      <c r="E1224" s="25">
        <v>1.126E-4</v>
      </c>
      <c r="F1224" s="25">
        <v>9.3809999999999998E-5</v>
      </c>
      <c r="G1224" s="25">
        <v>1.0417E-4</v>
      </c>
      <c r="H1224" s="25">
        <v>1.2852999999999999E-4</v>
      </c>
      <c r="I1224" s="9">
        <v>1.2572000000000001E-4</v>
      </c>
      <c r="J1224" s="9">
        <v>1.2751E-4</v>
      </c>
      <c r="K1224" s="9">
        <v>2.8399000000000002E-4</v>
      </c>
      <c r="L1224" s="9">
        <v>1.7581000000000001E-4</v>
      </c>
      <c r="M1224" s="9">
        <v>1.5103999999999999E-4</v>
      </c>
      <c r="N1224" s="9">
        <v>1.2112000000000001E-4</v>
      </c>
      <c r="O1224" s="9">
        <v>1.2819E-4</v>
      </c>
      <c r="P1224" s="9">
        <v>1.137E-4</v>
      </c>
      <c r="Q1224" s="9">
        <v>1.0086000000000001E-4</v>
      </c>
      <c r="R1224" s="10">
        <v>1.0312338854507213E-4</v>
      </c>
      <c r="S1224" s="10">
        <v>1.5090567201210715E-5</v>
      </c>
      <c r="T1224" s="10">
        <v>0</v>
      </c>
      <c r="U1224" s="10">
        <v>1.7338999999999999E-4</v>
      </c>
      <c r="V1224" s="25"/>
      <c r="W1224" s="25"/>
      <c r="X1224" s="25"/>
      <c r="Y1224" s="25"/>
      <c r="Z1224" s="25"/>
      <c r="AA1224" s="25"/>
    </row>
    <row r="1225" spans="1:27" x14ac:dyDescent="0.35">
      <c r="A1225" s="5">
        <v>1221</v>
      </c>
      <c r="B1225" s="5">
        <v>51</v>
      </c>
      <c r="C1225" s="5">
        <v>2</v>
      </c>
      <c r="D1225" s="25">
        <v>1.1416E-4</v>
      </c>
      <c r="E1225" s="25">
        <v>1.0924E-4</v>
      </c>
      <c r="F1225" s="25">
        <v>1.0155E-4</v>
      </c>
      <c r="G1225" s="25">
        <v>5.418E-5</v>
      </c>
      <c r="H1225" s="25">
        <v>7.1180000000000006E-5</v>
      </c>
      <c r="I1225" s="9">
        <v>1.1872E-4</v>
      </c>
      <c r="J1225" s="9">
        <v>1.2197999999999999E-4</v>
      </c>
      <c r="K1225" s="9">
        <v>2.9033999999999999E-4</v>
      </c>
      <c r="L1225" s="9">
        <v>1.3964000000000001E-4</v>
      </c>
      <c r="M1225" s="9">
        <v>1.3528999999999999E-4</v>
      </c>
      <c r="N1225" s="9">
        <v>1.1319000000000001E-4</v>
      </c>
      <c r="O1225" s="9">
        <v>8.5580000000000004E-5</v>
      </c>
      <c r="P1225" s="9">
        <v>8.6940000000000004E-5</v>
      </c>
      <c r="Q1225" s="9">
        <v>8.8949999999999994E-5</v>
      </c>
      <c r="R1225" s="10">
        <v>1.0227152962757797E-4</v>
      </c>
      <c r="S1225" s="10">
        <v>9.148863314674341E-6</v>
      </c>
      <c r="T1225" s="10">
        <v>0</v>
      </c>
      <c r="U1225" s="10">
        <v>1.7338999999999999E-4</v>
      </c>
      <c r="V1225" s="25"/>
      <c r="W1225" s="25"/>
      <c r="X1225" s="25"/>
      <c r="Y1225" s="25"/>
      <c r="Z1225" s="25"/>
      <c r="AA1225" s="25"/>
    </row>
    <row r="1226" spans="1:27" x14ac:dyDescent="0.35">
      <c r="A1226" s="5">
        <v>1222</v>
      </c>
      <c r="B1226" s="5">
        <v>51</v>
      </c>
      <c r="C1226" s="5">
        <v>2</v>
      </c>
      <c r="D1226" s="25">
        <v>1.1415000000000001E-4</v>
      </c>
      <c r="E1226" s="25">
        <v>1.1056E-4</v>
      </c>
      <c r="F1226" s="25">
        <v>9.2230000000000003E-5</v>
      </c>
      <c r="G1226" s="25">
        <v>5.9630000000000003E-5</v>
      </c>
      <c r="H1226" s="25">
        <v>7.4759999999999996E-5</v>
      </c>
      <c r="I1226" s="9">
        <v>1.1413000000000001E-4</v>
      </c>
      <c r="J1226" s="9">
        <v>1.1557000000000001E-4</v>
      </c>
      <c r="K1226" s="9">
        <v>2.7974E-4</v>
      </c>
      <c r="L1226" s="9">
        <v>9.8449999999999994E-5</v>
      </c>
      <c r="M1226" s="9">
        <v>1.1381E-4</v>
      </c>
      <c r="N1226" s="9">
        <v>1.0571E-4</v>
      </c>
      <c r="O1226" s="9">
        <v>8.6979999999999997E-5</v>
      </c>
      <c r="P1226" s="9">
        <v>8.6910000000000006E-5</v>
      </c>
      <c r="Q1226" s="9">
        <v>8.755E-5</v>
      </c>
      <c r="R1226" s="10">
        <v>9.7854428003678182E-5</v>
      </c>
      <c r="S1226" s="10">
        <v>8.5436112908000606E-6</v>
      </c>
      <c r="T1226" s="10">
        <v>0</v>
      </c>
      <c r="U1226" s="10">
        <v>1.7338999999999999E-4</v>
      </c>
      <c r="V1226" s="25"/>
      <c r="W1226" s="25"/>
      <c r="X1226" s="25"/>
      <c r="Y1226" s="25"/>
      <c r="Z1226" s="25"/>
      <c r="AA1226" s="25"/>
    </row>
    <row r="1227" spans="1:27" x14ac:dyDescent="0.35">
      <c r="A1227" s="5">
        <v>1223</v>
      </c>
      <c r="B1227" s="5">
        <v>51</v>
      </c>
      <c r="C1227" s="5">
        <v>2</v>
      </c>
      <c r="D1227" s="25">
        <v>1.1416E-4</v>
      </c>
      <c r="E1227" s="25">
        <v>1.0716E-4</v>
      </c>
      <c r="F1227" s="25">
        <v>1.0789999999999999E-4</v>
      </c>
      <c r="G1227" s="25">
        <v>5.7420000000000003E-5</v>
      </c>
      <c r="H1227" s="25">
        <v>6.457E-5</v>
      </c>
      <c r="I1227" s="9">
        <v>1.1648E-4</v>
      </c>
      <c r="J1227" s="9">
        <v>1.0967E-4</v>
      </c>
      <c r="K1227" s="9">
        <v>2.8611000000000001E-4</v>
      </c>
      <c r="L1227" s="9">
        <v>9.043E-5</v>
      </c>
      <c r="M1227" s="9">
        <v>9.8869999999999994E-5</v>
      </c>
      <c r="N1227" s="9">
        <v>9.9740000000000004E-5</v>
      </c>
      <c r="O1227" s="9">
        <v>7.8380000000000005E-5</v>
      </c>
      <c r="P1227" s="9">
        <v>7.2459999999999994E-5</v>
      </c>
      <c r="Q1227" s="9">
        <v>6.7180000000000004E-5</v>
      </c>
      <c r="R1227" s="10">
        <v>9.3933318826945879E-5</v>
      </c>
      <c r="S1227" s="10">
        <v>7.8479597882108743E-6</v>
      </c>
      <c r="T1227" s="10">
        <v>0</v>
      </c>
      <c r="U1227" s="10">
        <v>1.7338999999999999E-4</v>
      </c>
      <c r="V1227" s="25"/>
      <c r="W1227" s="25"/>
      <c r="X1227" s="25"/>
      <c r="Y1227" s="25"/>
      <c r="Z1227" s="25"/>
      <c r="AA1227" s="25"/>
    </row>
    <row r="1228" spans="1:27" x14ac:dyDescent="0.35">
      <c r="A1228" s="5">
        <v>1224</v>
      </c>
      <c r="B1228" s="5">
        <v>51</v>
      </c>
      <c r="C1228" s="5">
        <v>2</v>
      </c>
      <c r="D1228" s="25">
        <v>1.1415000000000001E-4</v>
      </c>
      <c r="E1228" s="25">
        <v>1.1169E-4</v>
      </c>
      <c r="F1228" s="25">
        <v>1.0204000000000001E-4</v>
      </c>
      <c r="G1228" s="25">
        <v>5.9160000000000003E-5</v>
      </c>
      <c r="H1228" s="25">
        <v>6.3940000000000001E-5</v>
      </c>
      <c r="I1228" s="9">
        <v>1.1631E-4</v>
      </c>
      <c r="J1228" s="9">
        <v>1.0417E-4</v>
      </c>
      <c r="K1228" s="9">
        <v>2.9671E-4</v>
      </c>
      <c r="L1228" s="9">
        <v>8.1030000000000002E-5</v>
      </c>
      <c r="M1228" s="9">
        <v>8.6069999999999994E-5</v>
      </c>
      <c r="N1228" s="9">
        <v>9.0539999999999997E-5</v>
      </c>
      <c r="O1228" s="9">
        <v>6.2979999999999997E-5</v>
      </c>
      <c r="P1228" s="9">
        <v>6.0829999999999999E-5</v>
      </c>
      <c r="Q1228" s="9">
        <v>5.9009999999999999E-5</v>
      </c>
      <c r="R1228" s="10">
        <v>9.2393073008270729E-5</v>
      </c>
      <c r="S1228" s="10">
        <v>7.2524560638512503E-6</v>
      </c>
      <c r="T1228" s="10">
        <v>0</v>
      </c>
      <c r="U1228" s="10">
        <v>1.7338999999999999E-4</v>
      </c>
      <c r="V1228" s="25"/>
      <c r="W1228" s="25"/>
      <c r="X1228" s="25"/>
      <c r="Y1228" s="25"/>
      <c r="Z1228" s="25"/>
      <c r="AA1228" s="25"/>
    </row>
    <row r="1229" spans="1:27" x14ac:dyDescent="0.35">
      <c r="A1229" s="5">
        <v>1225</v>
      </c>
      <c r="B1229" s="5">
        <v>52</v>
      </c>
      <c r="C1229" s="5">
        <v>2</v>
      </c>
      <c r="D1229" s="25">
        <v>1.1416E-4</v>
      </c>
      <c r="E1229" s="25">
        <v>1.1463000000000001E-4</v>
      </c>
      <c r="F1229" s="25">
        <v>1.0799E-4</v>
      </c>
      <c r="G1229" s="25">
        <v>6.2459999999999995E-5</v>
      </c>
      <c r="H1229" s="25">
        <v>7.2319999999999999E-5</v>
      </c>
      <c r="I1229" s="9">
        <v>1.0969E-4</v>
      </c>
      <c r="J1229" s="9">
        <v>9.9279999999999998E-5</v>
      </c>
      <c r="K1229" s="9">
        <v>2.9247000000000002E-4</v>
      </c>
      <c r="L1229" s="9">
        <v>6.6940000000000006E-5</v>
      </c>
      <c r="M1229" s="9">
        <v>7.4049999999999997E-5</v>
      </c>
      <c r="N1229" s="9">
        <v>8.1139999999999999E-5</v>
      </c>
      <c r="O1229" s="9">
        <v>5.49E-5</v>
      </c>
      <c r="P1229" s="9">
        <v>5.431E-5</v>
      </c>
      <c r="Q1229" s="9">
        <v>5.3890000000000001E-5</v>
      </c>
      <c r="R1229" s="10">
        <v>9.3179985808898539E-5</v>
      </c>
      <c r="S1229" s="10">
        <v>8.6155152784476379E-6</v>
      </c>
      <c r="T1229" s="10">
        <v>0</v>
      </c>
      <c r="U1229" s="10">
        <v>1.8076999999999999E-4</v>
      </c>
      <c r="V1229" s="25"/>
      <c r="W1229" s="25"/>
      <c r="X1229" s="25"/>
      <c r="Y1229" s="25"/>
      <c r="Z1229" s="25"/>
      <c r="AA1229" s="25"/>
    </row>
    <row r="1230" spans="1:27" x14ac:dyDescent="0.35">
      <c r="A1230" s="5">
        <v>1226</v>
      </c>
      <c r="B1230" s="5">
        <v>52</v>
      </c>
      <c r="C1230" s="5">
        <v>2</v>
      </c>
      <c r="D1230" s="25">
        <v>1.1415000000000001E-4</v>
      </c>
      <c r="E1230" s="25">
        <v>1.1533E-4</v>
      </c>
      <c r="F1230" s="25">
        <v>1.0507E-4</v>
      </c>
      <c r="G1230" s="25">
        <v>5.4880000000000003E-5</v>
      </c>
      <c r="H1230" s="25">
        <v>7.5799999999999999E-5</v>
      </c>
      <c r="I1230" s="9">
        <v>1.0403000000000001E-4</v>
      </c>
      <c r="J1230" s="9">
        <v>9.4530000000000005E-5</v>
      </c>
      <c r="K1230" s="9">
        <v>2.9034999999999998E-4</v>
      </c>
      <c r="L1230" s="9">
        <v>5.7930000000000003E-5</v>
      </c>
      <c r="M1230" s="9">
        <v>6.4090000000000005E-5</v>
      </c>
      <c r="N1230" s="9">
        <v>7.216E-5</v>
      </c>
      <c r="O1230" s="9">
        <v>1.8580000000000002E-5</v>
      </c>
      <c r="P1230" s="9">
        <v>3.782E-5</v>
      </c>
      <c r="Q1230" s="9">
        <v>5.6280000000000003E-5</v>
      </c>
      <c r="R1230" s="10">
        <v>9.9987336835570954E-5</v>
      </c>
      <c r="S1230" s="10">
        <v>1.0252586257409964E-5</v>
      </c>
      <c r="T1230" s="10">
        <v>0</v>
      </c>
      <c r="U1230" s="10">
        <v>1.8076999999999999E-4</v>
      </c>
      <c r="V1230" s="25"/>
      <c r="W1230" s="25"/>
      <c r="X1230" s="25"/>
      <c r="Y1230" s="25"/>
      <c r="Z1230" s="25"/>
      <c r="AA1230" s="25"/>
    </row>
    <row r="1231" spans="1:27" x14ac:dyDescent="0.35">
      <c r="A1231" s="5">
        <v>1227</v>
      </c>
      <c r="B1231" s="5">
        <v>52</v>
      </c>
      <c r="C1231" s="5">
        <v>2</v>
      </c>
      <c r="D1231" s="25">
        <v>1.1416E-4</v>
      </c>
      <c r="E1231" s="25">
        <v>1.0516E-4</v>
      </c>
      <c r="F1231" s="25">
        <v>1.1278E-4</v>
      </c>
      <c r="G1231" s="25">
        <v>5.9620000000000002E-5</v>
      </c>
      <c r="H1231" s="25">
        <v>7.5160000000000005E-5</v>
      </c>
      <c r="I1231" s="9">
        <v>9.9279999999999998E-5</v>
      </c>
      <c r="J1231" s="9">
        <v>9.1420000000000002E-5</v>
      </c>
      <c r="K1231" s="9">
        <v>2.8823E-4</v>
      </c>
      <c r="L1231" s="9">
        <v>2.7440000000000002E-5</v>
      </c>
      <c r="M1231" s="9">
        <v>5.2370000000000002E-5</v>
      </c>
      <c r="N1231" s="9">
        <v>6.5610000000000004E-5</v>
      </c>
      <c r="O1231" s="9">
        <v>1.2979999999999999E-5</v>
      </c>
      <c r="P1231" s="9">
        <v>3.765E-5</v>
      </c>
      <c r="Q1231" s="9">
        <v>6.1370000000000004E-5</v>
      </c>
      <c r="R1231" s="10">
        <v>1.0871795749349508E-4</v>
      </c>
      <c r="S1231" s="10">
        <v>1.123020490288247E-5</v>
      </c>
      <c r="T1231" s="10">
        <v>0</v>
      </c>
      <c r="U1231" s="10">
        <v>1.8076999999999999E-4</v>
      </c>
      <c r="V1231" s="25"/>
      <c r="W1231" s="25"/>
      <c r="X1231" s="25"/>
      <c r="Y1231" s="25"/>
      <c r="Z1231" s="25"/>
      <c r="AA1231" s="25"/>
    </row>
    <row r="1232" spans="1:27" x14ac:dyDescent="0.35">
      <c r="A1232" s="5">
        <v>1228</v>
      </c>
      <c r="B1232" s="5">
        <v>52</v>
      </c>
      <c r="C1232" s="5">
        <v>2</v>
      </c>
      <c r="D1232" s="25">
        <v>1.1415000000000001E-4</v>
      </c>
      <c r="E1232" s="25">
        <v>1.1217000000000001E-4</v>
      </c>
      <c r="F1232" s="25">
        <v>1.1510000000000001E-4</v>
      </c>
      <c r="G1232" s="25">
        <v>6.0180000000000003E-5</v>
      </c>
      <c r="H1232" s="25">
        <v>7.0359999999999997E-5</v>
      </c>
      <c r="I1232" s="9">
        <v>9.6089999999999996E-5</v>
      </c>
      <c r="J1232" s="9">
        <v>8.9850000000000002E-5</v>
      </c>
      <c r="K1232" s="9">
        <v>2.9247000000000002E-4</v>
      </c>
      <c r="L1232" s="9">
        <v>1.6920000000000001E-5</v>
      </c>
      <c r="M1232" s="9">
        <v>4.426E-5</v>
      </c>
      <c r="N1232" s="9">
        <v>6.1989999999999994E-5</v>
      </c>
      <c r="O1232" s="9">
        <v>1.293E-5</v>
      </c>
      <c r="P1232" s="9">
        <v>4.689E-5</v>
      </c>
      <c r="Q1232" s="9">
        <v>7.975E-5</v>
      </c>
      <c r="R1232" s="10">
        <v>1.2208751126604946E-4</v>
      </c>
      <c r="S1232" s="10">
        <v>1.1929482192528807E-5</v>
      </c>
      <c r="T1232" s="10">
        <v>0</v>
      </c>
      <c r="U1232" s="10">
        <v>1.8076999999999999E-4</v>
      </c>
      <c r="V1232" s="25"/>
      <c r="W1232" s="25"/>
      <c r="X1232" s="25"/>
      <c r="Y1232" s="25"/>
      <c r="Z1232" s="25"/>
      <c r="AA1232" s="25"/>
    </row>
    <row r="1233" spans="1:27" x14ac:dyDescent="0.35">
      <c r="A1233" s="5">
        <v>1229</v>
      </c>
      <c r="B1233" s="5">
        <v>52</v>
      </c>
      <c r="C1233" s="5">
        <v>2</v>
      </c>
      <c r="D1233" s="25">
        <v>1.1416E-4</v>
      </c>
      <c r="E1233" s="25">
        <v>1.0814E-4</v>
      </c>
      <c r="F1233" s="25">
        <v>1.1534E-4</v>
      </c>
      <c r="G1233" s="25">
        <v>5.995E-5</v>
      </c>
      <c r="H1233" s="25">
        <v>6.9740000000000007E-5</v>
      </c>
      <c r="I1233" s="9">
        <v>9.4289999999999993E-5</v>
      </c>
      <c r="J1233" s="9">
        <v>8.9370000000000007E-5</v>
      </c>
      <c r="K1233" s="9">
        <v>3.0306000000000002E-4</v>
      </c>
      <c r="L1233" s="9">
        <v>1.4059999999999999E-5</v>
      </c>
      <c r="M1233" s="9">
        <v>4.3390000000000003E-5</v>
      </c>
      <c r="N1233" s="9">
        <v>6.4380000000000004E-5</v>
      </c>
      <c r="O1233" s="9">
        <v>1.8559999999999998E-5</v>
      </c>
      <c r="P1233" s="9">
        <v>5.6650000000000001E-5</v>
      </c>
      <c r="Q1233" s="9">
        <v>9.3679999999999998E-5</v>
      </c>
      <c r="R1233" s="10">
        <v>1.2622444685124202E-4</v>
      </c>
      <c r="S1233" s="10">
        <v>1.413457263942743E-5</v>
      </c>
      <c r="T1233" s="10">
        <v>0</v>
      </c>
      <c r="U1233" s="10">
        <v>1.8076999999999999E-4</v>
      </c>
      <c r="V1233" s="25"/>
      <c r="W1233" s="25"/>
      <c r="X1233" s="25"/>
      <c r="Y1233" s="25"/>
      <c r="Z1233" s="25"/>
      <c r="AA1233" s="25"/>
    </row>
    <row r="1234" spans="1:27" x14ac:dyDescent="0.35">
      <c r="A1234" s="5">
        <v>1230</v>
      </c>
      <c r="B1234" s="5">
        <v>52</v>
      </c>
      <c r="C1234" s="5">
        <v>2</v>
      </c>
      <c r="D1234" s="25">
        <v>1.1415000000000001E-4</v>
      </c>
      <c r="E1234" s="25">
        <v>1.0681E-4</v>
      </c>
      <c r="F1234" s="25">
        <v>1.1582E-4</v>
      </c>
      <c r="G1234" s="25">
        <v>1.0811000000000001E-4</v>
      </c>
      <c r="H1234" s="25">
        <v>1.2868999999999999E-4</v>
      </c>
      <c r="I1234" s="9">
        <v>9.5340000000000005E-5</v>
      </c>
      <c r="J1234" s="9">
        <v>8.9690000000000004E-5</v>
      </c>
      <c r="K1234" s="9">
        <v>3.1154000000000002E-4</v>
      </c>
      <c r="L1234" s="9">
        <v>1.7439999999999999E-5</v>
      </c>
      <c r="M1234" s="9">
        <v>4.829E-5</v>
      </c>
      <c r="N1234" s="9">
        <v>7.0920000000000005E-5</v>
      </c>
      <c r="O1234" s="9">
        <v>4.634E-5</v>
      </c>
      <c r="P1234" s="9">
        <v>7.7050000000000003E-5</v>
      </c>
      <c r="Q1234" s="9">
        <v>1.0730000000000001E-4</v>
      </c>
      <c r="R1234" s="10">
        <v>1.2275002236109678E-4</v>
      </c>
      <c r="S1234" s="10">
        <v>1.7410539585983954E-5</v>
      </c>
      <c r="T1234" s="10">
        <v>0</v>
      </c>
      <c r="U1234" s="10">
        <v>1.8076999999999999E-4</v>
      </c>
      <c r="V1234" s="25"/>
      <c r="W1234" s="25"/>
      <c r="X1234" s="25"/>
      <c r="Y1234" s="25"/>
      <c r="Z1234" s="25"/>
      <c r="AA1234" s="25"/>
    </row>
    <row r="1235" spans="1:27" x14ac:dyDescent="0.35">
      <c r="A1235" s="5">
        <v>1231</v>
      </c>
      <c r="B1235" s="5">
        <v>52</v>
      </c>
      <c r="C1235" s="5">
        <v>2</v>
      </c>
      <c r="D1235" s="25">
        <v>1.1416E-4</v>
      </c>
      <c r="E1235" s="25">
        <v>1.1394E-4</v>
      </c>
      <c r="F1235" s="25">
        <v>1.2069E-4</v>
      </c>
      <c r="G1235" s="25">
        <v>1.0747E-4</v>
      </c>
      <c r="H1235" s="25">
        <v>1.3104999999999999E-4</v>
      </c>
      <c r="I1235" s="9">
        <v>9.7549999999999999E-5</v>
      </c>
      <c r="J1235" s="9">
        <v>9.2139999999999995E-5</v>
      </c>
      <c r="K1235" s="9">
        <v>3.0729999999999999E-4</v>
      </c>
      <c r="L1235" s="9">
        <v>3.9830000000000003E-5</v>
      </c>
      <c r="M1235" s="9">
        <v>6.003E-5</v>
      </c>
      <c r="N1235" s="9">
        <v>8.0679999999999993E-5</v>
      </c>
      <c r="O1235" s="9">
        <v>1.2416E-4</v>
      </c>
      <c r="P1235" s="9">
        <v>1.1775E-4</v>
      </c>
      <c r="Q1235" s="9">
        <v>1.128E-4</v>
      </c>
      <c r="R1235" s="10">
        <v>1.1578958723137252E-4</v>
      </c>
      <c r="S1235" s="10">
        <v>2.1219897173089341E-5</v>
      </c>
      <c r="T1235" s="10">
        <v>0</v>
      </c>
      <c r="U1235" s="10">
        <v>1.8076999999999999E-4</v>
      </c>
      <c r="V1235" s="25"/>
      <c r="W1235" s="25"/>
      <c r="X1235" s="25"/>
      <c r="Y1235" s="25"/>
      <c r="Z1235" s="25"/>
      <c r="AA1235" s="25"/>
    </row>
    <row r="1236" spans="1:27" x14ac:dyDescent="0.35">
      <c r="A1236" s="5">
        <v>1232</v>
      </c>
      <c r="B1236" s="5">
        <v>52</v>
      </c>
      <c r="C1236" s="5">
        <v>2</v>
      </c>
      <c r="D1236" s="25">
        <v>1.1415000000000001E-4</v>
      </c>
      <c r="E1236" s="25">
        <v>1.0569999999999999E-4</v>
      </c>
      <c r="F1236" s="25">
        <v>1.145E-4</v>
      </c>
      <c r="G1236" s="25">
        <v>1.5868999999999999E-4</v>
      </c>
      <c r="H1236" s="25">
        <v>1.9824E-4</v>
      </c>
      <c r="I1236" s="9">
        <v>9.7940000000000001E-5</v>
      </c>
      <c r="J1236" s="9">
        <v>9.5879999999999997E-5</v>
      </c>
      <c r="K1236" s="9">
        <v>3.0306000000000002E-4</v>
      </c>
      <c r="L1236" s="9">
        <v>1.0498E-4</v>
      </c>
      <c r="M1236" s="9">
        <v>8.3839999999999997E-5</v>
      </c>
      <c r="N1236" s="9">
        <v>9.0859999999999994E-5</v>
      </c>
      <c r="O1236" s="9">
        <v>2.2143999999999999E-4</v>
      </c>
      <c r="P1236" s="9">
        <v>1.7736999999999999E-4</v>
      </c>
      <c r="Q1236" s="9">
        <v>1.3702000000000001E-4</v>
      </c>
      <c r="R1236" s="10">
        <v>1.019059873360342E-4</v>
      </c>
      <c r="S1236" s="10">
        <v>2.4245651942632047E-5</v>
      </c>
      <c r="T1236" s="10">
        <v>1.7307970674290735E-6</v>
      </c>
      <c r="U1236" s="10">
        <v>1.8076999999999999E-4</v>
      </c>
      <c r="V1236" s="25"/>
      <c r="W1236" s="25"/>
      <c r="X1236" s="25"/>
      <c r="Y1236" s="25"/>
      <c r="Z1236" s="25"/>
      <c r="AA1236" s="25"/>
    </row>
    <row r="1237" spans="1:27" x14ac:dyDescent="0.35">
      <c r="A1237" s="5">
        <v>1233</v>
      </c>
      <c r="B1237" s="5">
        <v>52</v>
      </c>
      <c r="C1237" s="5">
        <v>2</v>
      </c>
      <c r="D1237" s="25">
        <v>1.1416E-4</v>
      </c>
      <c r="E1237" s="25">
        <v>1.1345000000000001E-4</v>
      </c>
      <c r="F1237" s="25">
        <v>1.0615000000000001E-4</v>
      </c>
      <c r="G1237" s="25">
        <v>1.6149E-4</v>
      </c>
      <c r="H1237" s="25">
        <v>1.9704999999999999E-4</v>
      </c>
      <c r="I1237" s="9">
        <v>1.0149000000000001E-4</v>
      </c>
      <c r="J1237" s="9">
        <v>1.0164E-4</v>
      </c>
      <c r="K1237" s="9">
        <v>2.9881999999999999E-4</v>
      </c>
      <c r="L1237" s="9">
        <v>1.9404000000000001E-4</v>
      </c>
      <c r="M1237" s="9">
        <v>1.2366999999999999E-4</v>
      </c>
      <c r="N1237" s="9">
        <v>1.0469E-4</v>
      </c>
      <c r="O1237" s="9">
        <v>2.1222999999999999E-4</v>
      </c>
      <c r="P1237" s="9">
        <v>1.9281999999999999E-4</v>
      </c>
      <c r="Q1237" s="9">
        <v>1.7658999999999999E-4</v>
      </c>
      <c r="R1237" s="10">
        <v>9.4475946120660311E-5</v>
      </c>
      <c r="S1237" s="10">
        <v>2.8912980262995871E-5</v>
      </c>
      <c r="T1237" s="10">
        <v>5.8363495229630379E-5</v>
      </c>
      <c r="U1237" s="10">
        <v>1.8076999999999999E-4</v>
      </c>
      <c r="V1237" s="25"/>
      <c r="W1237" s="25"/>
      <c r="X1237" s="25"/>
      <c r="Y1237" s="25"/>
      <c r="Z1237" s="25"/>
      <c r="AA1237" s="25"/>
    </row>
    <row r="1238" spans="1:27" x14ac:dyDescent="0.35">
      <c r="A1238" s="5">
        <v>1234</v>
      </c>
      <c r="B1238" s="5">
        <v>52</v>
      </c>
      <c r="C1238" s="5">
        <v>2</v>
      </c>
      <c r="D1238" s="25">
        <v>1.1415000000000001E-4</v>
      </c>
      <c r="E1238" s="25">
        <v>1.0525E-4</v>
      </c>
      <c r="F1238" s="25">
        <v>1.1008E-4</v>
      </c>
      <c r="G1238" s="25">
        <v>1.6135999999999999E-4</v>
      </c>
      <c r="H1238" s="25">
        <v>1.9215000000000001E-4</v>
      </c>
      <c r="I1238" s="9">
        <v>1.0964E-4</v>
      </c>
      <c r="J1238" s="9">
        <v>1.0909E-4</v>
      </c>
      <c r="K1238" s="9">
        <v>2.7551000000000002E-4</v>
      </c>
      <c r="L1238" s="9">
        <v>2.0589E-4</v>
      </c>
      <c r="M1238" s="9">
        <v>1.5865000000000001E-4</v>
      </c>
      <c r="N1238" s="9">
        <v>1.2464999999999999E-4</v>
      </c>
      <c r="O1238" s="9">
        <v>1.6674999999999999E-4</v>
      </c>
      <c r="P1238" s="9">
        <v>1.7269E-4</v>
      </c>
      <c r="Q1238" s="9">
        <v>1.8063000000000001E-4</v>
      </c>
      <c r="R1238" s="10">
        <v>9.7092994735343885E-5</v>
      </c>
      <c r="S1238" s="10">
        <v>3.4116988954158782E-5</v>
      </c>
      <c r="T1238" s="10">
        <v>1.7793272597118885E-4</v>
      </c>
      <c r="U1238" s="10">
        <v>1.8076999999999999E-4</v>
      </c>
      <c r="V1238" s="25"/>
      <c r="W1238" s="25"/>
      <c r="X1238" s="25"/>
      <c r="Y1238" s="25"/>
      <c r="Z1238" s="25"/>
      <c r="AA1238" s="25"/>
    </row>
    <row r="1239" spans="1:27" x14ac:dyDescent="0.35">
      <c r="A1239" s="5">
        <v>1235</v>
      </c>
      <c r="B1239" s="5">
        <v>52</v>
      </c>
      <c r="C1239" s="5">
        <v>2</v>
      </c>
      <c r="D1239" s="25">
        <v>1.1416E-4</v>
      </c>
      <c r="E1239" s="25">
        <v>1.1559E-4</v>
      </c>
      <c r="F1239" s="25">
        <v>1.2040999999999999E-4</v>
      </c>
      <c r="G1239" s="25">
        <v>1.6595E-4</v>
      </c>
      <c r="H1239" s="25">
        <v>1.9001000000000001E-4</v>
      </c>
      <c r="I1239" s="9">
        <v>1.1449E-4</v>
      </c>
      <c r="J1239" s="9">
        <v>1.1438E-4</v>
      </c>
      <c r="K1239" s="9">
        <v>2.7551000000000002E-4</v>
      </c>
      <c r="L1239" s="9">
        <v>1.7545000000000001E-4</v>
      </c>
      <c r="M1239" s="9">
        <v>1.718E-4</v>
      </c>
      <c r="N1239" s="9">
        <v>1.4240999999999999E-4</v>
      </c>
      <c r="O1239" s="9">
        <v>1.6956E-4</v>
      </c>
      <c r="P1239" s="9">
        <v>1.7424000000000001E-4</v>
      </c>
      <c r="Q1239" s="9">
        <v>1.8097999999999999E-4</v>
      </c>
      <c r="R1239" s="10">
        <v>9.7092667578353638E-5</v>
      </c>
      <c r="S1239" s="10">
        <v>4.0722541649835641E-5</v>
      </c>
      <c r="T1239" s="10">
        <v>1.9555461572143488E-4</v>
      </c>
      <c r="U1239" s="10">
        <v>1.8076999999999999E-4</v>
      </c>
      <c r="V1239" s="25"/>
      <c r="W1239" s="25"/>
      <c r="X1239" s="25"/>
      <c r="Y1239" s="25"/>
      <c r="Z1239" s="25"/>
      <c r="AA1239" s="25"/>
    </row>
    <row r="1240" spans="1:27" x14ac:dyDescent="0.35">
      <c r="A1240" s="5">
        <v>1236</v>
      </c>
      <c r="B1240" s="5">
        <v>52</v>
      </c>
      <c r="C1240" s="5">
        <v>2</v>
      </c>
      <c r="D1240" s="25">
        <v>1.1415000000000001E-4</v>
      </c>
      <c r="E1240" s="25">
        <v>1.0662000000000001E-4</v>
      </c>
      <c r="F1240" s="25">
        <v>1.1909E-4</v>
      </c>
      <c r="G1240" s="25">
        <v>1.5836999999999999E-4</v>
      </c>
      <c r="H1240" s="25">
        <v>1.8767E-4</v>
      </c>
      <c r="I1240" s="9">
        <v>1.203E-4</v>
      </c>
      <c r="J1240" s="9">
        <v>1.1755E-4</v>
      </c>
      <c r="K1240" s="9">
        <v>2.6490999999999998E-4</v>
      </c>
      <c r="L1240" s="9">
        <v>1.7231000000000001E-4</v>
      </c>
      <c r="M1240" s="9">
        <v>1.7484E-4</v>
      </c>
      <c r="N1240" s="9">
        <v>1.5679999999999999E-4</v>
      </c>
      <c r="O1240" s="9">
        <v>1.7197E-4</v>
      </c>
      <c r="P1240" s="9">
        <v>1.7249E-4</v>
      </c>
      <c r="Q1240" s="9">
        <v>1.7518000000000001E-4</v>
      </c>
      <c r="R1240" s="10">
        <v>6.7667329083794477E-5</v>
      </c>
      <c r="S1240" s="10">
        <v>6.0522912973125046E-5</v>
      </c>
      <c r="T1240" s="10">
        <v>9.5159901511198471E-5</v>
      </c>
      <c r="U1240" s="10">
        <v>1.8076999999999999E-4</v>
      </c>
      <c r="V1240" s="25"/>
      <c r="W1240" s="25"/>
      <c r="X1240" s="25"/>
      <c r="Y1240" s="25"/>
      <c r="Z1240" s="25"/>
      <c r="AA1240" s="25"/>
    </row>
    <row r="1241" spans="1:27" x14ac:dyDescent="0.35">
      <c r="A1241" s="5">
        <v>1237</v>
      </c>
      <c r="B1241" s="5">
        <v>52</v>
      </c>
      <c r="C1241" s="5">
        <v>2</v>
      </c>
      <c r="D1241" s="25">
        <v>1.1416E-4</v>
      </c>
      <c r="E1241" s="25">
        <v>1.1307999999999999E-4</v>
      </c>
      <c r="F1241" s="25">
        <v>1.0717000000000001E-4</v>
      </c>
      <c r="G1241" s="25">
        <v>1.6639000000000001E-4</v>
      </c>
      <c r="H1241" s="25">
        <v>1.9058000000000001E-4</v>
      </c>
      <c r="I1241" s="9">
        <v>1.2237000000000001E-4</v>
      </c>
      <c r="J1241" s="9">
        <v>1.1916E-4</v>
      </c>
      <c r="K1241" s="9">
        <v>2.6067000000000001E-4</v>
      </c>
      <c r="L1241" s="9">
        <v>1.7215000000000001E-4</v>
      </c>
      <c r="M1241" s="9">
        <v>1.7432999999999999E-4</v>
      </c>
      <c r="N1241" s="9">
        <v>1.6647999999999999E-4</v>
      </c>
      <c r="O1241" s="9">
        <v>1.6123999999999999E-4</v>
      </c>
      <c r="P1241" s="9">
        <v>1.6264E-4</v>
      </c>
      <c r="Q1241" s="9">
        <v>1.6600999999999999E-4</v>
      </c>
      <c r="R1241" s="10">
        <v>7.7023590879048717E-5</v>
      </c>
      <c r="S1241" s="10">
        <v>6.7504149839516889E-5</v>
      </c>
      <c r="T1241" s="10">
        <v>6.5469095935374725E-4</v>
      </c>
      <c r="U1241" s="10">
        <v>1.8076999999999999E-4</v>
      </c>
      <c r="V1241" s="25"/>
      <c r="W1241" s="25"/>
      <c r="X1241" s="25"/>
      <c r="Y1241" s="25"/>
      <c r="Z1241" s="25"/>
      <c r="AA1241" s="25"/>
    </row>
    <row r="1242" spans="1:27" x14ac:dyDescent="0.35">
      <c r="A1242" s="5">
        <v>1238</v>
      </c>
      <c r="B1242" s="5">
        <v>52</v>
      </c>
      <c r="C1242" s="5">
        <v>2</v>
      </c>
      <c r="D1242" s="25">
        <v>1.1415000000000001E-4</v>
      </c>
      <c r="E1242" s="25">
        <v>1.1372E-4</v>
      </c>
      <c r="F1242" s="25">
        <v>1.2306E-4</v>
      </c>
      <c r="G1242" s="25">
        <v>1.5796000000000001E-4</v>
      </c>
      <c r="H1242" s="25">
        <v>1.9017E-4</v>
      </c>
      <c r="I1242" s="9">
        <v>1.1841E-4</v>
      </c>
      <c r="J1242" s="9">
        <v>1.1832000000000001E-4</v>
      </c>
      <c r="K1242" s="9">
        <v>2.4795999999999998E-4</v>
      </c>
      <c r="L1242" s="9">
        <v>1.6338E-4</v>
      </c>
      <c r="M1242" s="9">
        <v>1.6995000000000001E-4</v>
      </c>
      <c r="N1242" s="9">
        <v>1.7045999999999999E-4</v>
      </c>
      <c r="O1242" s="9">
        <v>1.7919999999999999E-4</v>
      </c>
      <c r="P1242" s="9">
        <v>1.6871E-4</v>
      </c>
      <c r="Q1242" s="9">
        <v>1.6069000000000001E-4</v>
      </c>
      <c r="R1242" s="10">
        <v>9.0446865843170335E-5</v>
      </c>
      <c r="S1242" s="10">
        <v>7.1621395820695215E-5</v>
      </c>
      <c r="T1242" s="10">
        <v>1.2149516669404084E-4</v>
      </c>
      <c r="U1242" s="10">
        <v>1.8076999999999999E-4</v>
      </c>
      <c r="V1242" s="25"/>
      <c r="W1242" s="25"/>
      <c r="X1242" s="25"/>
      <c r="Y1242" s="25"/>
      <c r="Z1242" s="25"/>
      <c r="AA1242" s="25"/>
    </row>
    <row r="1243" spans="1:27" x14ac:dyDescent="0.35">
      <c r="A1243" s="5">
        <v>1239</v>
      </c>
      <c r="B1243" s="5">
        <v>52</v>
      </c>
      <c r="C1243" s="5">
        <v>2</v>
      </c>
      <c r="D1243" s="25">
        <v>1.1416E-4</v>
      </c>
      <c r="E1243" s="25">
        <v>1.0650999999999999E-4</v>
      </c>
      <c r="F1243" s="25">
        <v>1.0344E-4</v>
      </c>
      <c r="G1243" s="25">
        <v>1.5651E-4</v>
      </c>
      <c r="H1243" s="25">
        <v>1.894E-4</v>
      </c>
      <c r="I1243" s="9">
        <v>1.1511E-4</v>
      </c>
      <c r="J1243" s="9">
        <v>1.1704E-4</v>
      </c>
      <c r="K1243" s="9">
        <v>2.3525E-4</v>
      </c>
      <c r="L1243" s="9">
        <v>1.7594999999999999E-4</v>
      </c>
      <c r="M1243" s="9">
        <v>1.6823000000000001E-4</v>
      </c>
      <c r="N1243" s="9">
        <v>1.6996000000000001E-4</v>
      </c>
      <c r="O1243" s="9">
        <v>1.8395E-4</v>
      </c>
      <c r="P1243" s="9">
        <v>1.6665000000000001E-4</v>
      </c>
      <c r="Q1243" s="9">
        <v>1.5200000000000001E-4</v>
      </c>
      <c r="R1243" s="10">
        <v>9.0135749098777166E-5</v>
      </c>
      <c r="S1243" s="10">
        <v>7.4295289107896117E-5</v>
      </c>
      <c r="T1243" s="10">
        <v>1.8623037073562825E-5</v>
      </c>
      <c r="U1243" s="10">
        <v>1.8076999999999999E-4</v>
      </c>
      <c r="V1243" s="25"/>
      <c r="W1243" s="25"/>
      <c r="X1243" s="25"/>
      <c r="Y1243" s="25"/>
      <c r="Z1243" s="25"/>
      <c r="AA1243" s="25"/>
    </row>
    <row r="1244" spans="1:27" x14ac:dyDescent="0.35">
      <c r="A1244" s="5">
        <v>1240</v>
      </c>
      <c r="B1244" s="5">
        <v>52</v>
      </c>
      <c r="C1244" s="5">
        <v>2</v>
      </c>
      <c r="D1244" s="25">
        <v>1.1415000000000001E-4</v>
      </c>
      <c r="E1244" s="25">
        <v>1.1416E-4</v>
      </c>
      <c r="F1244" s="25">
        <v>1.0278E-4</v>
      </c>
      <c r="G1244" s="25">
        <v>1.6755000000000001E-4</v>
      </c>
      <c r="H1244" s="25">
        <v>1.8786000000000001E-4</v>
      </c>
      <c r="I1244" s="9">
        <v>1.1305E-4</v>
      </c>
      <c r="J1244" s="9">
        <v>1.1574999999999999E-4</v>
      </c>
      <c r="K1244" s="9">
        <v>2.4583999999999999E-4</v>
      </c>
      <c r="L1244" s="9">
        <v>1.8186E-4</v>
      </c>
      <c r="M1244" s="9">
        <v>1.6731999999999999E-4</v>
      </c>
      <c r="N1244" s="9">
        <v>1.6598000000000001E-4</v>
      </c>
      <c r="O1244" s="9">
        <v>1.9806000000000001E-4</v>
      </c>
      <c r="P1244" s="9">
        <v>1.5211000000000001E-4</v>
      </c>
      <c r="Q1244" s="9">
        <v>1.0951999999999999E-4</v>
      </c>
      <c r="R1244" s="10">
        <v>7.4669979975910085E-5</v>
      </c>
      <c r="S1244" s="10">
        <v>7.3279273689442435E-5</v>
      </c>
      <c r="T1244" s="10">
        <v>2.014257508717335E-4</v>
      </c>
      <c r="U1244" s="10">
        <v>1.8076999999999999E-4</v>
      </c>
      <c r="V1244" s="25"/>
      <c r="W1244" s="25"/>
      <c r="X1244" s="25"/>
      <c r="Y1244" s="25"/>
      <c r="Z1244" s="25"/>
      <c r="AA1244" s="25"/>
    </row>
    <row r="1245" spans="1:27" x14ac:dyDescent="0.35">
      <c r="A1245" s="5">
        <v>1241</v>
      </c>
      <c r="B1245" s="5">
        <v>52</v>
      </c>
      <c r="C1245" s="5">
        <v>2</v>
      </c>
      <c r="D1245" s="25">
        <v>1.1416E-4</v>
      </c>
      <c r="E1245" s="25">
        <v>1.0789999999999999E-4</v>
      </c>
      <c r="F1245" s="25">
        <v>1.2068E-4</v>
      </c>
      <c r="G1245" s="25">
        <v>1.6745E-4</v>
      </c>
      <c r="H1245" s="25">
        <v>1.9476000000000001E-4</v>
      </c>
      <c r="I1245" s="9">
        <v>1.1184E-4</v>
      </c>
      <c r="J1245" s="9">
        <v>1.1697999999999999E-4</v>
      </c>
      <c r="K1245" s="9">
        <v>2.5008000000000002E-4</v>
      </c>
      <c r="L1245" s="9">
        <v>1.9426999999999999E-4</v>
      </c>
      <c r="M1245" s="9">
        <v>1.6174000000000001E-4</v>
      </c>
      <c r="N1245" s="9">
        <v>1.5217E-4</v>
      </c>
      <c r="O1245" s="9">
        <v>2.1594999999999999E-4</v>
      </c>
      <c r="P1245" s="9">
        <v>1.5981E-4</v>
      </c>
      <c r="Q1245" s="9">
        <v>1.075E-4</v>
      </c>
      <c r="R1245" s="10">
        <v>7.0841713708526369E-5</v>
      </c>
      <c r="S1245" s="10">
        <v>6.8594956252180414E-5</v>
      </c>
      <c r="T1245" s="10">
        <v>8.5267208468932298E-6</v>
      </c>
      <c r="U1245" s="10">
        <v>1.8076999999999999E-4</v>
      </c>
      <c r="V1245" s="25"/>
      <c r="W1245" s="25"/>
      <c r="X1245" s="25"/>
      <c r="Y1245" s="25"/>
      <c r="Z1245" s="25"/>
      <c r="AA1245" s="25"/>
    </row>
    <row r="1246" spans="1:27" x14ac:dyDescent="0.35">
      <c r="A1246" s="5">
        <v>1242</v>
      </c>
      <c r="B1246" s="5">
        <v>52</v>
      </c>
      <c r="C1246" s="5">
        <v>2</v>
      </c>
      <c r="D1246" s="25">
        <v>1.1415000000000001E-4</v>
      </c>
      <c r="E1246" s="25">
        <v>1.1068E-4</v>
      </c>
      <c r="F1246" s="25">
        <v>1.0959E-4</v>
      </c>
      <c r="G1246" s="25">
        <v>1.6702000000000001E-4</v>
      </c>
      <c r="H1246" s="25">
        <v>1.9515999999999999E-4</v>
      </c>
      <c r="I1246" s="9">
        <v>1.1456E-4</v>
      </c>
      <c r="J1246" s="9">
        <v>1.2301E-4</v>
      </c>
      <c r="K1246" s="9">
        <v>2.6703000000000002E-4</v>
      </c>
      <c r="L1246" s="9">
        <v>2.1092999999999999E-4</v>
      </c>
      <c r="M1246" s="9">
        <v>1.5949000000000001E-4</v>
      </c>
      <c r="N1246" s="9">
        <v>1.3891000000000001E-4</v>
      </c>
      <c r="O1246" s="9">
        <v>2.0709E-4</v>
      </c>
      <c r="P1246" s="9">
        <v>1.6076E-4</v>
      </c>
      <c r="Q1246" s="9">
        <v>1.1794999999999999E-4</v>
      </c>
      <c r="R1246" s="10">
        <v>6.7772880887264635E-5</v>
      </c>
      <c r="S1246" s="10">
        <v>6.4121437140175503E-5</v>
      </c>
      <c r="T1246" s="10">
        <v>0</v>
      </c>
      <c r="U1246" s="10">
        <v>1.8076999999999999E-4</v>
      </c>
      <c r="V1246" s="25"/>
      <c r="W1246" s="25"/>
      <c r="X1246" s="25"/>
      <c r="Y1246" s="25"/>
      <c r="Z1246" s="25"/>
      <c r="AA1246" s="25"/>
    </row>
    <row r="1247" spans="1:27" x14ac:dyDescent="0.35">
      <c r="A1247" s="5">
        <v>1243</v>
      </c>
      <c r="B1247" s="5">
        <v>52</v>
      </c>
      <c r="C1247" s="5">
        <v>2</v>
      </c>
      <c r="D1247" s="25">
        <v>1.1416E-4</v>
      </c>
      <c r="E1247" s="25">
        <v>1.0893E-4</v>
      </c>
      <c r="F1247" s="25">
        <v>1.2006E-4</v>
      </c>
      <c r="G1247" s="25">
        <v>1.0461E-4</v>
      </c>
      <c r="H1247" s="25">
        <v>1.3516E-4</v>
      </c>
      <c r="I1247" s="9">
        <v>1.2407E-4</v>
      </c>
      <c r="J1247" s="9">
        <v>1.2789999999999999E-4</v>
      </c>
      <c r="K1247" s="9">
        <v>2.7975E-4</v>
      </c>
      <c r="L1247" s="9">
        <v>2.075E-4</v>
      </c>
      <c r="M1247" s="9">
        <v>1.5953000000000001E-4</v>
      </c>
      <c r="N1247" s="9">
        <v>1.2996000000000001E-4</v>
      </c>
      <c r="O1247" s="9">
        <v>1.6384E-4</v>
      </c>
      <c r="P1247" s="9">
        <v>1.3373000000000001E-4</v>
      </c>
      <c r="Q1247" s="9">
        <v>1.0614E-4</v>
      </c>
      <c r="R1247" s="10">
        <v>5.7715070517436297E-5</v>
      </c>
      <c r="S1247" s="10">
        <v>6.4632648212550436E-5</v>
      </c>
      <c r="T1247" s="10">
        <v>0</v>
      </c>
      <c r="U1247" s="10">
        <v>1.8076999999999999E-4</v>
      </c>
      <c r="V1247" s="25"/>
      <c r="W1247" s="25"/>
      <c r="X1247" s="25"/>
      <c r="Y1247" s="25"/>
      <c r="Z1247" s="25"/>
      <c r="AA1247" s="25"/>
    </row>
    <row r="1248" spans="1:27" x14ac:dyDescent="0.35">
      <c r="A1248" s="5">
        <v>1244</v>
      </c>
      <c r="B1248" s="5">
        <v>52</v>
      </c>
      <c r="C1248" s="5">
        <v>2</v>
      </c>
      <c r="D1248" s="25">
        <v>1.1415000000000001E-4</v>
      </c>
      <c r="E1248" s="25">
        <v>1.1542E-4</v>
      </c>
      <c r="F1248" s="25">
        <v>1.0268E-4</v>
      </c>
      <c r="G1248" s="25">
        <v>1.048E-4</v>
      </c>
      <c r="H1248" s="25">
        <v>1.2706999999999999E-4</v>
      </c>
      <c r="I1248" s="9">
        <v>1.2504000000000001E-4</v>
      </c>
      <c r="J1248" s="9">
        <v>1.2543E-4</v>
      </c>
      <c r="K1248" s="9">
        <v>2.8611000000000001E-4</v>
      </c>
      <c r="L1248" s="9">
        <v>1.7361000000000001E-4</v>
      </c>
      <c r="M1248" s="9">
        <v>1.5042000000000001E-4</v>
      </c>
      <c r="N1248" s="9">
        <v>1.2068E-4</v>
      </c>
      <c r="O1248" s="9">
        <v>1.2915999999999999E-4</v>
      </c>
      <c r="P1248" s="9">
        <v>1.1456E-4</v>
      </c>
      <c r="Q1248" s="9">
        <v>1.0162000000000001E-4</v>
      </c>
      <c r="R1248" s="10">
        <v>5.135933135517551E-5</v>
      </c>
      <c r="S1248" s="10">
        <v>6.3879770152407793E-5</v>
      </c>
      <c r="T1248" s="10">
        <v>0</v>
      </c>
      <c r="U1248" s="10">
        <v>1.8076999999999999E-4</v>
      </c>
      <c r="V1248" s="25"/>
      <c r="W1248" s="25"/>
      <c r="X1248" s="25"/>
      <c r="Y1248" s="25"/>
      <c r="Z1248" s="25"/>
      <c r="AA1248" s="25"/>
    </row>
    <row r="1249" spans="1:27" x14ac:dyDescent="0.35">
      <c r="A1249" s="5">
        <v>1245</v>
      </c>
      <c r="B1249" s="5">
        <v>52</v>
      </c>
      <c r="C1249" s="5">
        <v>2</v>
      </c>
      <c r="D1249" s="25">
        <v>1.1416E-4</v>
      </c>
      <c r="E1249" s="25">
        <v>1.0941E-4</v>
      </c>
      <c r="F1249" s="25">
        <v>1.1908000000000001E-4</v>
      </c>
      <c r="G1249" s="25">
        <v>6.0590000000000001E-5</v>
      </c>
      <c r="H1249" s="25">
        <v>6.8200000000000004E-5</v>
      </c>
      <c r="I1249" s="9">
        <v>1.2070000000000001E-4</v>
      </c>
      <c r="J1249" s="9">
        <v>1.2134E-4</v>
      </c>
      <c r="K1249" s="9">
        <v>2.7338999999999998E-4</v>
      </c>
      <c r="L1249" s="9">
        <v>1.3998999999999999E-4</v>
      </c>
      <c r="M1249" s="9">
        <v>1.3493000000000001E-4</v>
      </c>
      <c r="N1249" s="9">
        <v>1.13E-4</v>
      </c>
      <c r="O1249" s="9">
        <v>8.4629999999999994E-5</v>
      </c>
      <c r="P1249" s="9">
        <v>8.5970000000000005E-5</v>
      </c>
      <c r="Q1249" s="9">
        <v>8.7960000000000005E-5</v>
      </c>
      <c r="R1249" s="10">
        <v>4.8872146295469339E-5</v>
      </c>
      <c r="S1249" s="10">
        <v>6.2614205091081603E-5</v>
      </c>
      <c r="T1249" s="10">
        <v>0</v>
      </c>
      <c r="U1249" s="10">
        <v>1.8076999999999999E-4</v>
      </c>
      <c r="V1249" s="25"/>
      <c r="W1249" s="25"/>
      <c r="X1249" s="25"/>
      <c r="Y1249" s="25"/>
      <c r="Z1249" s="25"/>
      <c r="AA1249" s="25"/>
    </row>
    <row r="1250" spans="1:27" x14ac:dyDescent="0.35">
      <c r="A1250" s="5">
        <v>1246</v>
      </c>
      <c r="B1250" s="5">
        <v>52</v>
      </c>
      <c r="C1250" s="5">
        <v>2</v>
      </c>
      <c r="D1250" s="25">
        <v>1.1415000000000001E-4</v>
      </c>
      <c r="E1250" s="25">
        <v>1.1402E-4</v>
      </c>
      <c r="F1250" s="25">
        <v>1.1616999999999999E-4</v>
      </c>
      <c r="G1250" s="25">
        <v>5.8730000000000002E-5</v>
      </c>
      <c r="H1250" s="25">
        <v>7.2000000000000002E-5</v>
      </c>
      <c r="I1250" s="9">
        <v>1.1471E-4</v>
      </c>
      <c r="J1250" s="9">
        <v>1.1548E-4</v>
      </c>
      <c r="K1250" s="9">
        <v>2.7975E-4</v>
      </c>
      <c r="L1250" s="9">
        <v>9.7720000000000006E-5</v>
      </c>
      <c r="M1250" s="9">
        <v>1.1334E-4</v>
      </c>
      <c r="N1250" s="9">
        <v>1.0537E-4</v>
      </c>
      <c r="O1250" s="9">
        <v>8.7899999999999995E-5</v>
      </c>
      <c r="P1250" s="9">
        <v>8.7819999999999996E-5</v>
      </c>
      <c r="Q1250" s="9">
        <v>8.8469999999999998E-5</v>
      </c>
      <c r="R1250" s="10">
        <v>4.8093609198805403E-5</v>
      </c>
      <c r="S1250" s="10">
        <v>6.1727199285088134E-5</v>
      </c>
      <c r="T1250" s="10">
        <v>0</v>
      </c>
      <c r="U1250" s="10">
        <v>1.8076999999999999E-4</v>
      </c>
      <c r="V1250" s="25"/>
      <c r="W1250" s="25"/>
      <c r="X1250" s="25"/>
      <c r="Y1250" s="25"/>
      <c r="Z1250" s="25"/>
      <c r="AA1250" s="25"/>
    </row>
    <row r="1251" spans="1:27" x14ac:dyDescent="0.35">
      <c r="A1251" s="5">
        <v>1247</v>
      </c>
      <c r="B1251" s="5">
        <v>52</v>
      </c>
      <c r="C1251" s="5">
        <v>2</v>
      </c>
      <c r="D1251" s="25">
        <v>1.1416E-4</v>
      </c>
      <c r="E1251" s="25">
        <v>1.0987E-4</v>
      </c>
      <c r="F1251" s="25">
        <v>1.2286999999999999E-4</v>
      </c>
      <c r="G1251" s="25">
        <v>5.3229999999999997E-5</v>
      </c>
      <c r="H1251" s="25">
        <v>7.3869999999999996E-5</v>
      </c>
      <c r="I1251" s="9">
        <v>1.15E-4</v>
      </c>
      <c r="J1251" s="9">
        <v>1.0929000000000001E-4</v>
      </c>
      <c r="K1251" s="9">
        <v>2.8399000000000002E-4</v>
      </c>
      <c r="L1251" s="9">
        <v>9.0989999999999994E-5</v>
      </c>
      <c r="M1251" s="9">
        <v>9.8869999999999994E-5</v>
      </c>
      <c r="N1251" s="9">
        <v>9.9640000000000001E-5</v>
      </c>
      <c r="O1251" s="9">
        <v>7.8540000000000004E-5</v>
      </c>
      <c r="P1251" s="9">
        <v>7.2600000000000003E-5</v>
      </c>
      <c r="Q1251" s="9">
        <v>6.7319999999999999E-5</v>
      </c>
      <c r="R1251" s="10">
        <v>4.6307824894894947E-5</v>
      </c>
      <c r="S1251" s="10">
        <v>6.34898235188724E-5</v>
      </c>
      <c r="T1251" s="10">
        <v>0</v>
      </c>
      <c r="U1251" s="10">
        <v>1.8076999999999999E-4</v>
      </c>
      <c r="V1251" s="25"/>
      <c r="W1251" s="25"/>
      <c r="X1251" s="25"/>
      <c r="Y1251" s="25"/>
      <c r="Z1251" s="25"/>
      <c r="AA1251" s="25"/>
    </row>
    <row r="1252" spans="1:27" x14ac:dyDescent="0.35">
      <c r="A1252" s="5">
        <v>1248</v>
      </c>
      <c r="B1252" s="5">
        <v>52</v>
      </c>
      <c r="C1252" s="5">
        <v>2</v>
      </c>
      <c r="D1252" s="25">
        <v>1.1415000000000001E-4</v>
      </c>
      <c r="E1252" s="25">
        <v>1.06E-4</v>
      </c>
      <c r="F1252" s="25">
        <v>1.0566E-4</v>
      </c>
      <c r="G1252" s="25">
        <v>5.8669999999999999E-5</v>
      </c>
      <c r="H1252" s="25">
        <v>6.4709999999999995E-5</v>
      </c>
      <c r="I1252" s="9">
        <v>1.1347E-4</v>
      </c>
      <c r="J1252" s="9">
        <v>1.021E-4</v>
      </c>
      <c r="K1252" s="9">
        <v>2.8611000000000001E-4</v>
      </c>
      <c r="L1252" s="9">
        <v>8.1260000000000005E-5</v>
      </c>
      <c r="M1252" s="9">
        <v>8.6240000000000001E-5</v>
      </c>
      <c r="N1252" s="9">
        <v>9.0500000000000004E-5</v>
      </c>
      <c r="O1252" s="9">
        <v>6.3E-5</v>
      </c>
      <c r="P1252" s="9">
        <v>6.0850000000000002E-5</v>
      </c>
      <c r="Q1252" s="9">
        <v>5.9030000000000002E-5</v>
      </c>
      <c r="R1252" s="10">
        <v>4.2222295644553648E-5</v>
      </c>
      <c r="S1252" s="10">
        <v>8.2292606527785737E-5</v>
      </c>
      <c r="T1252" s="10">
        <v>0</v>
      </c>
      <c r="U1252" s="10">
        <v>1.8076999999999999E-4</v>
      </c>
      <c r="V1252" s="25"/>
      <c r="W1252" s="25"/>
      <c r="X1252" s="25"/>
      <c r="Y1252" s="25"/>
      <c r="Z1252" s="25"/>
      <c r="AA1252" s="25"/>
    </row>
    <row r="1253" spans="1:27" x14ac:dyDescent="0.35">
      <c r="A1253" s="5">
        <v>1249</v>
      </c>
      <c r="B1253" s="5">
        <v>53</v>
      </c>
      <c r="C1253" s="5">
        <v>2</v>
      </c>
      <c r="D1253" s="25">
        <v>1.1416E-4</v>
      </c>
      <c r="E1253" s="25">
        <v>1.0906E-4</v>
      </c>
      <c r="F1253" s="25">
        <v>1.2014E-4</v>
      </c>
      <c r="G1253" s="25">
        <v>5.6289999999999998E-5</v>
      </c>
      <c r="H1253" s="25">
        <v>6.6270000000000001E-5</v>
      </c>
      <c r="I1253" s="9">
        <v>1.0611999999999999E-4</v>
      </c>
      <c r="J1253" s="9">
        <v>9.679E-5</v>
      </c>
      <c r="K1253" s="9">
        <v>2.9033999999999999E-4</v>
      </c>
      <c r="L1253" s="9">
        <v>6.7009999999999997E-5</v>
      </c>
      <c r="M1253" s="9">
        <v>7.4200000000000001E-5</v>
      </c>
      <c r="N1253" s="9">
        <v>8.1180000000000005E-5</v>
      </c>
      <c r="O1253" s="9">
        <v>5.4469999999999999E-5</v>
      </c>
      <c r="P1253" s="9">
        <v>5.3890000000000001E-5</v>
      </c>
      <c r="Q1253" s="9">
        <v>5.3470000000000001E-5</v>
      </c>
      <c r="R1253" s="10">
        <v>4.2514444834520523E-5</v>
      </c>
      <c r="S1253" s="10">
        <v>9.0718932555172171E-5</v>
      </c>
      <c r="T1253" s="10">
        <v>0</v>
      </c>
      <c r="U1253" s="10">
        <v>1.8320000000000001E-4</v>
      </c>
      <c r="V1253" s="25"/>
      <c r="W1253" s="25"/>
      <c r="X1253" s="25"/>
      <c r="Y1253" s="25"/>
      <c r="Z1253" s="25"/>
      <c r="AA1253" s="25"/>
    </row>
    <row r="1254" spans="1:27" x14ac:dyDescent="0.35">
      <c r="A1254" s="5">
        <v>1250</v>
      </c>
      <c r="B1254" s="5">
        <v>53</v>
      </c>
      <c r="C1254" s="5">
        <v>2</v>
      </c>
      <c r="D1254" s="25">
        <v>1.1415000000000001E-4</v>
      </c>
      <c r="E1254" s="25">
        <v>1.0671E-4</v>
      </c>
      <c r="F1254" s="25">
        <v>1.2726999999999999E-4</v>
      </c>
      <c r="G1254" s="25">
        <v>6.135E-5</v>
      </c>
      <c r="H1254" s="25">
        <v>7.2080000000000001E-5</v>
      </c>
      <c r="I1254" s="9">
        <v>1.0132999999999999E-4</v>
      </c>
      <c r="J1254" s="9">
        <v>9.3120000000000003E-5</v>
      </c>
      <c r="K1254" s="9">
        <v>3.0729999999999999E-4</v>
      </c>
      <c r="L1254" s="9">
        <v>5.7620000000000001E-5</v>
      </c>
      <c r="M1254" s="9">
        <v>6.4029999999999995E-5</v>
      </c>
      <c r="N1254" s="9">
        <v>7.2119999999999994E-5</v>
      </c>
      <c r="O1254" s="9">
        <v>1.874E-5</v>
      </c>
      <c r="P1254" s="9">
        <v>3.8149999999999999E-5</v>
      </c>
      <c r="Q1254" s="9">
        <v>5.677E-5</v>
      </c>
      <c r="R1254" s="10">
        <v>4.3791535849351851E-5</v>
      </c>
      <c r="S1254" s="10">
        <v>9.8163630681065046E-5</v>
      </c>
      <c r="T1254" s="10">
        <v>0</v>
      </c>
      <c r="U1254" s="10">
        <v>1.8320000000000001E-4</v>
      </c>
      <c r="V1254" s="25"/>
      <c r="W1254" s="25"/>
      <c r="X1254" s="25"/>
      <c r="Y1254" s="25"/>
      <c r="Z1254" s="25"/>
      <c r="AA1254" s="25"/>
    </row>
    <row r="1255" spans="1:27" x14ac:dyDescent="0.35">
      <c r="A1255" s="5">
        <v>1251</v>
      </c>
      <c r="B1255" s="5">
        <v>53</v>
      </c>
      <c r="C1255" s="5">
        <v>2</v>
      </c>
      <c r="D1255" s="25">
        <v>1.1416E-4</v>
      </c>
      <c r="E1255" s="25">
        <v>1.1090999999999999E-4</v>
      </c>
      <c r="F1255" s="25">
        <v>1.2366999999999999E-4</v>
      </c>
      <c r="G1255" s="25">
        <v>5.2160000000000002E-5</v>
      </c>
      <c r="H1255" s="25">
        <v>6.7070000000000007E-5</v>
      </c>
      <c r="I1255" s="9">
        <v>9.7239999999999997E-5</v>
      </c>
      <c r="J1255" s="9">
        <v>9.1580000000000001E-5</v>
      </c>
      <c r="K1255" s="9">
        <v>3.0518E-4</v>
      </c>
      <c r="L1255" s="9">
        <v>2.7509999999999999E-5</v>
      </c>
      <c r="M1255" s="9">
        <v>5.2380000000000003E-5</v>
      </c>
      <c r="N1255" s="9">
        <v>6.5710000000000006E-5</v>
      </c>
      <c r="O1255" s="9">
        <v>1.3020000000000001E-5</v>
      </c>
      <c r="P1255" s="9">
        <v>3.7759999999999998E-5</v>
      </c>
      <c r="Q1255" s="9">
        <v>6.1539999999999997E-5</v>
      </c>
      <c r="R1255" s="10">
        <v>4.978079177163304E-5</v>
      </c>
      <c r="S1255" s="10">
        <v>1.1738230859344567E-4</v>
      </c>
      <c r="T1255" s="10">
        <v>0</v>
      </c>
      <c r="U1255" s="10">
        <v>1.8320000000000001E-4</v>
      </c>
      <c r="V1255" s="25"/>
      <c r="W1255" s="25"/>
      <c r="X1255" s="25"/>
      <c r="Y1255" s="25"/>
      <c r="Z1255" s="25"/>
      <c r="AA1255" s="25"/>
    </row>
    <row r="1256" spans="1:27" x14ac:dyDescent="0.35">
      <c r="A1256" s="5">
        <v>1252</v>
      </c>
      <c r="B1256" s="5">
        <v>53</v>
      </c>
      <c r="C1256" s="5">
        <v>2</v>
      </c>
      <c r="D1256" s="25">
        <v>1.1415000000000001E-4</v>
      </c>
      <c r="E1256" s="25">
        <v>1.1205E-4</v>
      </c>
      <c r="F1256" s="25">
        <v>1.1637E-4</v>
      </c>
      <c r="G1256" s="25">
        <v>6.1299999999999999E-5</v>
      </c>
      <c r="H1256" s="25">
        <v>6.9389999999999998E-5</v>
      </c>
      <c r="I1256" s="9">
        <v>9.5110000000000002E-5</v>
      </c>
      <c r="J1256" s="9">
        <v>9.111E-5</v>
      </c>
      <c r="K1256" s="9">
        <v>3.2213000000000001E-4</v>
      </c>
      <c r="L1256" s="9">
        <v>1.6949999999999999E-5</v>
      </c>
      <c r="M1256" s="9">
        <v>4.4350000000000001E-5</v>
      </c>
      <c r="N1256" s="9">
        <v>6.211E-5</v>
      </c>
      <c r="O1256" s="9">
        <v>1.305E-5</v>
      </c>
      <c r="P1256" s="9">
        <v>4.7320000000000001E-5</v>
      </c>
      <c r="Q1256" s="9">
        <v>8.0480000000000002E-5</v>
      </c>
      <c r="R1256" s="10">
        <v>6.3426808089597609E-5</v>
      </c>
      <c r="S1256" s="10">
        <v>1.1579162618599675E-4</v>
      </c>
      <c r="T1256" s="10">
        <v>0</v>
      </c>
      <c r="U1256" s="10">
        <v>1.8320000000000001E-4</v>
      </c>
      <c r="V1256" s="25"/>
      <c r="W1256" s="25"/>
      <c r="X1256" s="25"/>
      <c r="Y1256" s="25"/>
      <c r="Z1256" s="25"/>
      <c r="AA1256" s="25"/>
    </row>
    <row r="1257" spans="1:27" x14ac:dyDescent="0.35">
      <c r="A1257" s="5">
        <v>1253</v>
      </c>
      <c r="B1257" s="5">
        <v>53</v>
      </c>
      <c r="C1257" s="5">
        <v>2</v>
      </c>
      <c r="D1257" s="25">
        <v>1.1416E-4</v>
      </c>
      <c r="E1257" s="25">
        <v>1.1169E-4</v>
      </c>
      <c r="F1257" s="25">
        <v>1.1594E-4</v>
      </c>
      <c r="G1257" s="25">
        <v>5.9219999999999999E-5</v>
      </c>
      <c r="H1257" s="25">
        <v>6.9120000000000002E-5</v>
      </c>
      <c r="I1257" s="9">
        <v>9.7499999999999998E-5</v>
      </c>
      <c r="J1257" s="9">
        <v>9.1940000000000004E-5</v>
      </c>
      <c r="K1257" s="9">
        <v>3.2849000000000002E-4</v>
      </c>
      <c r="L1257" s="9">
        <v>1.416E-5</v>
      </c>
      <c r="M1257" s="9">
        <v>4.3609999999999998E-5</v>
      </c>
      <c r="N1257" s="9">
        <v>6.4629999999999996E-5</v>
      </c>
      <c r="O1257" s="9">
        <v>1.8410000000000002E-5</v>
      </c>
      <c r="P1257" s="9">
        <v>5.6209999999999999E-5</v>
      </c>
      <c r="Q1257" s="9">
        <v>9.2940000000000001E-5</v>
      </c>
      <c r="R1257" s="10">
        <v>6.2575331193933203E-5</v>
      </c>
      <c r="S1257" s="10">
        <v>1.0416699458337565E-4</v>
      </c>
      <c r="T1257" s="10">
        <v>0</v>
      </c>
      <c r="U1257" s="10">
        <v>1.8320000000000001E-4</v>
      </c>
      <c r="V1257" s="25"/>
      <c r="W1257" s="25"/>
      <c r="X1257" s="25"/>
      <c r="Y1257" s="25"/>
      <c r="Z1257" s="25"/>
      <c r="AA1257" s="25"/>
    </row>
    <row r="1258" spans="1:27" x14ac:dyDescent="0.35">
      <c r="A1258" s="5">
        <v>1254</v>
      </c>
      <c r="B1258" s="5">
        <v>53</v>
      </c>
      <c r="C1258" s="5">
        <v>2</v>
      </c>
      <c r="D1258" s="25">
        <v>1.1415000000000001E-4</v>
      </c>
      <c r="E1258" s="25">
        <v>1.0862E-4</v>
      </c>
      <c r="F1258" s="25">
        <v>1.1263E-4</v>
      </c>
      <c r="G1258" s="25">
        <v>1.1154000000000001E-4</v>
      </c>
      <c r="H1258" s="25">
        <v>1.3244E-4</v>
      </c>
      <c r="I1258" s="9">
        <v>1.0362E-4</v>
      </c>
      <c r="J1258" s="9">
        <v>9.6290000000000001E-5</v>
      </c>
      <c r="K1258" s="9">
        <v>3.3697000000000002E-4</v>
      </c>
      <c r="L1258" s="9">
        <v>1.734E-5</v>
      </c>
      <c r="M1258" s="9">
        <v>4.8300000000000002E-5</v>
      </c>
      <c r="N1258" s="9">
        <v>7.0989999999999996E-5</v>
      </c>
      <c r="O1258" s="9">
        <v>4.6560000000000001E-5</v>
      </c>
      <c r="P1258" s="9">
        <v>7.7429999999999996E-5</v>
      </c>
      <c r="Q1258" s="9">
        <v>1.0781E-4</v>
      </c>
      <c r="R1258" s="10">
        <v>5.4421980159636675E-5</v>
      </c>
      <c r="S1258" s="10">
        <v>9.1033921471829485E-5</v>
      </c>
      <c r="T1258" s="10">
        <v>0</v>
      </c>
      <c r="U1258" s="10">
        <v>1.8320000000000001E-4</v>
      </c>
      <c r="V1258" s="25"/>
      <c r="W1258" s="25"/>
      <c r="X1258" s="25"/>
      <c r="Y1258" s="25"/>
      <c r="Z1258" s="25"/>
      <c r="AA1258" s="25"/>
    </row>
    <row r="1259" spans="1:27" x14ac:dyDescent="0.35">
      <c r="A1259" s="5">
        <v>1255</v>
      </c>
      <c r="B1259" s="5">
        <v>53</v>
      </c>
      <c r="C1259" s="5">
        <v>2</v>
      </c>
      <c r="D1259" s="25">
        <v>1.1416E-4</v>
      </c>
      <c r="E1259" s="25">
        <v>1.0382000000000001E-4</v>
      </c>
      <c r="F1259" s="25">
        <v>1.2392999999999999E-4</v>
      </c>
      <c r="G1259" s="25">
        <v>1.1158999999999999E-4</v>
      </c>
      <c r="H1259" s="25">
        <v>1.3125999999999999E-4</v>
      </c>
      <c r="I1259" s="9">
        <v>1.1959999999999999E-4</v>
      </c>
      <c r="J1259" s="9">
        <v>1.0854E-4</v>
      </c>
      <c r="K1259" s="9">
        <v>3.4120999999999999E-4</v>
      </c>
      <c r="L1259" s="9">
        <v>3.9990000000000002E-5</v>
      </c>
      <c r="M1259" s="9">
        <v>6.012E-5</v>
      </c>
      <c r="N1259" s="9">
        <v>8.0840000000000005E-5</v>
      </c>
      <c r="O1259" s="9">
        <v>1.2341000000000001E-4</v>
      </c>
      <c r="P1259" s="9">
        <v>1.1704E-4</v>
      </c>
      <c r="Q1259" s="9">
        <v>1.1212E-4</v>
      </c>
      <c r="R1259" s="10">
        <v>4.5984314397316767E-5</v>
      </c>
      <c r="S1259" s="10">
        <v>8.2995299927796521E-5</v>
      </c>
      <c r="T1259" s="10">
        <v>0</v>
      </c>
      <c r="U1259" s="10">
        <v>1.8320000000000001E-4</v>
      </c>
      <c r="V1259" s="25"/>
      <c r="W1259" s="25"/>
      <c r="X1259" s="25"/>
      <c r="Y1259" s="25"/>
      <c r="Z1259" s="25"/>
      <c r="AA1259" s="25"/>
    </row>
    <row r="1260" spans="1:27" x14ac:dyDescent="0.35">
      <c r="A1260" s="5">
        <v>1256</v>
      </c>
      <c r="B1260" s="5">
        <v>53</v>
      </c>
      <c r="C1260" s="5">
        <v>2</v>
      </c>
      <c r="D1260" s="25">
        <v>1.1415000000000001E-4</v>
      </c>
      <c r="E1260" s="25">
        <v>1.0632E-4</v>
      </c>
      <c r="F1260" s="25">
        <v>1.1602E-4</v>
      </c>
      <c r="G1260" s="25">
        <v>1.5697000000000001E-4</v>
      </c>
      <c r="H1260" s="25">
        <v>1.9259999999999999E-4</v>
      </c>
      <c r="I1260" s="9">
        <v>1.2980000000000001E-4</v>
      </c>
      <c r="J1260" s="9">
        <v>1.2569999999999999E-4</v>
      </c>
      <c r="K1260" s="9">
        <v>3.3061000000000001E-4</v>
      </c>
      <c r="L1260" s="9">
        <v>1.0442000000000001E-4</v>
      </c>
      <c r="M1260" s="9">
        <v>8.3659999999999995E-5</v>
      </c>
      <c r="N1260" s="9">
        <v>9.0829999999999996E-5</v>
      </c>
      <c r="O1260" s="9">
        <v>2.1973000000000001E-4</v>
      </c>
      <c r="P1260" s="9">
        <v>1.76E-4</v>
      </c>
      <c r="Q1260" s="9">
        <v>1.3595999999999999E-4</v>
      </c>
      <c r="R1260" s="10">
        <v>5.0313646522560278E-5</v>
      </c>
      <c r="S1260" s="10">
        <v>7.0426901650463432E-5</v>
      </c>
      <c r="T1260" s="10">
        <v>4.2964491909121703E-5</v>
      </c>
      <c r="U1260" s="10">
        <v>1.8320000000000001E-4</v>
      </c>
      <c r="V1260" s="25"/>
      <c r="W1260" s="25"/>
      <c r="X1260" s="25"/>
      <c r="Y1260" s="25"/>
      <c r="Z1260" s="25"/>
      <c r="AA1260" s="25"/>
    </row>
    <row r="1261" spans="1:27" x14ac:dyDescent="0.35">
      <c r="A1261" s="5">
        <v>1257</v>
      </c>
      <c r="B1261" s="5">
        <v>53</v>
      </c>
      <c r="C1261" s="5">
        <v>2</v>
      </c>
      <c r="D1261" s="25">
        <v>1.1416E-4</v>
      </c>
      <c r="E1261" s="25">
        <v>1.1196000000000001E-4</v>
      </c>
      <c r="F1261" s="25">
        <v>1.2129999999999999E-4</v>
      </c>
      <c r="G1261" s="25">
        <v>1.6598000000000001E-4</v>
      </c>
      <c r="H1261" s="25">
        <v>1.9593E-4</v>
      </c>
      <c r="I1261" s="9">
        <v>1.3266999999999999E-4</v>
      </c>
      <c r="J1261" s="9">
        <v>1.3672000000000001E-4</v>
      </c>
      <c r="K1261" s="9">
        <v>3.1789999999999998E-4</v>
      </c>
      <c r="L1261" s="9">
        <v>1.9259999999999999E-4</v>
      </c>
      <c r="M1261" s="9">
        <v>1.2299000000000001E-4</v>
      </c>
      <c r="N1261" s="9">
        <v>1.044E-4</v>
      </c>
      <c r="O1261" s="9">
        <v>2.1070999999999999E-4</v>
      </c>
      <c r="P1261" s="9">
        <v>1.9144E-4</v>
      </c>
      <c r="Q1261" s="9">
        <v>1.7532999999999999E-4</v>
      </c>
      <c r="R1261" s="10">
        <v>5.3637832707138162E-5</v>
      </c>
      <c r="S1261" s="10">
        <v>5.349532089754425E-5</v>
      </c>
      <c r="T1261" s="10">
        <v>2.8000733145275346E-4</v>
      </c>
      <c r="U1261" s="10">
        <v>1.8320000000000001E-4</v>
      </c>
      <c r="V1261" s="25"/>
      <c r="W1261" s="25"/>
      <c r="X1261" s="25"/>
      <c r="Y1261" s="25"/>
      <c r="Z1261" s="25"/>
      <c r="AA1261" s="25"/>
    </row>
    <row r="1262" spans="1:27" x14ac:dyDescent="0.35">
      <c r="A1262" s="5">
        <v>1258</v>
      </c>
      <c r="B1262" s="5">
        <v>53</v>
      </c>
      <c r="C1262" s="5">
        <v>2</v>
      </c>
      <c r="D1262" s="25">
        <v>1.1415000000000001E-4</v>
      </c>
      <c r="E1262" s="25">
        <v>1.1407E-4</v>
      </c>
      <c r="F1262" s="25">
        <v>1.1868E-4</v>
      </c>
      <c r="G1262" s="25">
        <v>1.5957999999999999E-4</v>
      </c>
      <c r="H1262" s="25">
        <v>1.9227E-4</v>
      </c>
      <c r="I1262" s="9">
        <v>1.3630000000000001E-4</v>
      </c>
      <c r="J1262" s="9">
        <v>1.4202999999999999E-4</v>
      </c>
      <c r="K1262" s="9">
        <v>3.0093999999999997E-4</v>
      </c>
      <c r="L1262" s="9">
        <v>2.0441E-4</v>
      </c>
      <c r="M1262" s="9">
        <v>1.5758999999999999E-4</v>
      </c>
      <c r="N1262" s="9">
        <v>1.2407E-4</v>
      </c>
      <c r="O1262" s="9">
        <v>1.6825999999999999E-4</v>
      </c>
      <c r="P1262" s="9">
        <v>1.7426E-4</v>
      </c>
      <c r="Q1262" s="9">
        <v>1.8227E-4</v>
      </c>
      <c r="R1262" s="10">
        <v>5.7146362979791086E-5</v>
      </c>
      <c r="S1262" s="10">
        <v>5.1452383408818503E-5</v>
      </c>
      <c r="T1262" s="10">
        <v>4.6057019022248657E-4</v>
      </c>
      <c r="U1262" s="10">
        <v>1.8320000000000001E-4</v>
      </c>
      <c r="V1262" s="25"/>
      <c r="W1262" s="25"/>
      <c r="X1262" s="25"/>
      <c r="Y1262" s="25"/>
      <c r="Z1262" s="25"/>
      <c r="AA1262" s="25"/>
    </row>
    <row r="1263" spans="1:27" x14ac:dyDescent="0.35">
      <c r="A1263" s="5">
        <v>1259</v>
      </c>
      <c r="B1263" s="5">
        <v>53</v>
      </c>
      <c r="C1263" s="5">
        <v>2</v>
      </c>
      <c r="D1263" s="25">
        <v>1.1416E-4</v>
      </c>
      <c r="E1263" s="25">
        <v>1.0772000000000001E-4</v>
      </c>
      <c r="F1263" s="25">
        <v>1.1383999999999999E-4</v>
      </c>
      <c r="G1263" s="25">
        <v>1.6537999999999999E-4</v>
      </c>
      <c r="H1263" s="25">
        <v>1.9723000000000001E-4</v>
      </c>
      <c r="I1263" s="9">
        <v>1.3771000000000001E-4</v>
      </c>
      <c r="J1263" s="9">
        <v>1.4317999999999999E-4</v>
      </c>
      <c r="K1263" s="9">
        <v>2.9034999999999998E-4</v>
      </c>
      <c r="L1263" s="9">
        <v>1.763E-4</v>
      </c>
      <c r="M1263" s="9">
        <v>1.716E-4</v>
      </c>
      <c r="N1263" s="9">
        <v>1.4223E-4</v>
      </c>
      <c r="O1263" s="9">
        <v>1.6689E-4</v>
      </c>
      <c r="P1263" s="9">
        <v>1.7149999999999999E-4</v>
      </c>
      <c r="Q1263" s="9">
        <v>1.7812000000000001E-4</v>
      </c>
      <c r="R1263" s="10">
        <v>6.9164048232434882E-5</v>
      </c>
      <c r="S1263" s="10">
        <v>6.1356642638421658E-5</v>
      </c>
      <c r="T1263" s="10">
        <v>5.9562326727805503E-4</v>
      </c>
      <c r="U1263" s="10">
        <v>1.8320000000000001E-4</v>
      </c>
      <c r="V1263" s="25"/>
      <c r="W1263" s="25"/>
      <c r="X1263" s="25"/>
      <c r="Y1263" s="25"/>
      <c r="Z1263" s="25"/>
      <c r="AA1263" s="25"/>
    </row>
    <row r="1264" spans="1:27" x14ac:dyDescent="0.35">
      <c r="A1264" s="5">
        <v>1260</v>
      </c>
      <c r="B1264" s="5">
        <v>53</v>
      </c>
      <c r="C1264" s="5">
        <v>2</v>
      </c>
      <c r="D1264" s="25">
        <v>1.1415000000000001E-4</v>
      </c>
      <c r="E1264" s="25">
        <v>1.0768E-4</v>
      </c>
      <c r="F1264" s="25">
        <v>1.2834000000000001E-4</v>
      </c>
      <c r="G1264" s="25">
        <v>1.6265999999999999E-4</v>
      </c>
      <c r="H1264" s="25">
        <v>1.9163000000000001E-4</v>
      </c>
      <c r="I1264" s="9">
        <v>1.4041999999999999E-4</v>
      </c>
      <c r="J1264" s="9">
        <v>1.4438E-4</v>
      </c>
      <c r="K1264" s="9">
        <v>2.7763000000000001E-4</v>
      </c>
      <c r="L1264" s="9">
        <v>1.7034E-4</v>
      </c>
      <c r="M1264" s="9">
        <v>1.7398000000000001E-4</v>
      </c>
      <c r="N1264" s="9">
        <v>1.5604E-4</v>
      </c>
      <c r="O1264" s="9">
        <v>1.7131000000000001E-4</v>
      </c>
      <c r="P1264" s="9">
        <v>1.7183000000000001E-4</v>
      </c>
      <c r="Q1264" s="9">
        <v>1.7451000000000001E-4</v>
      </c>
      <c r="R1264" s="10">
        <v>8.1030906037296162E-5</v>
      </c>
      <c r="S1264" s="10">
        <v>1.0112666684461317E-4</v>
      </c>
      <c r="T1264" s="10">
        <v>5.5568767023693422E-4</v>
      </c>
      <c r="U1264" s="10">
        <v>1.8320000000000001E-4</v>
      </c>
      <c r="V1264" s="25"/>
      <c r="W1264" s="25"/>
      <c r="X1264" s="25"/>
      <c r="Y1264" s="25"/>
      <c r="Z1264" s="25"/>
      <c r="AA1264" s="25"/>
    </row>
    <row r="1265" spans="1:27" x14ac:dyDescent="0.35">
      <c r="A1265" s="5">
        <v>1261</v>
      </c>
      <c r="B1265" s="5">
        <v>53</v>
      </c>
      <c r="C1265" s="5">
        <v>2</v>
      </c>
      <c r="D1265" s="25">
        <v>1.1416E-4</v>
      </c>
      <c r="E1265" s="25">
        <v>1.1218E-4</v>
      </c>
      <c r="F1265" s="25">
        <v>1.2287999999999999E-4</v>
      </c>
      <c r="G1265" s="25">
        <v>1.5872999999999999E-4</v>
      </c>
      <c r="H1265" s="25">
        <v>1.8961999999999999E-4</v>
      </c>
      <c r="I1265" s="9">
        <v>1.3835E-4</v>
      </c>
      <c r="J1265" s="9">
        <v>1.4322E-4</v>
      </c>
      <c r="K1265" s="9">
        <v>2.7551000000000002E-4</v>
      </c>
      <c r="L1265" s="9">
        <v>1.7128E-4</v>
      </c>
      <c r="M1265" s="9">
        <v>1.7333E-4</v>
      </c>
      <c r="N1265" s="9">
        <v>1.6568999999999999E-4</v>
      </c>
      <c r="O1265" s="9">
        <v>1.6202999999999999E-4</v>
      </c>
      <c r="P1265" s="9">
        <v>1.6343E-4</v>
      </c>
      <c r="Q1265" s="9">
        <v>1.6682000000000001E-4</v>
      </c>
      <c r="R1265" s="10">
        <v>1.0611745433611453E-4</v>
      </c>
      <c r="S1265" s="10">
        <v>1.3981456255652004E-4</v>
      </c>
      <c r="T1265" s="10">
        <v>4.500496590283099E-4</v>
      </c>
      <c r="U1265" s="10">
        <v>1.8320000000000001E-4</v>
      </c>
      <c r="V1265" s="25"/>
      <c r="W1265" s="25"/>
      <c r="X1265" s="25"/>
      <c r="Y1265" s="25"/>
      <c r="Z1265" s="25"/>
      <c r="AA1265" s="25"/>
    </row>
    <row r="1266" spans="1:27" x14ac:dyDescent="0.35">
      <c r="A1266" s="5">
        <v>1262</v>
      </c>
      <c r="B1266" s="5">
        <v>53</v>
      </c>
      <c r="C1266" s="5">
        <v>2</v>
      </c>
      <c r="D1266" s="25">
        <v>1.1415000000000001E-4</v>
      </c>
      <c r="E1266" s="25">
        <v>1.0861000000000001E-4</v>
      </c>
      <c r="F1266" s="25">
        <v>1.1790000000000001E-4</v>
      </c>
      <c r="G1266" s="25">
        <v>1.6356000000000001E-4</v>
      </c>
      <c r="H1266" s="25">
        <v>1.9631999999999999E-4</v>
      </c>
      <c r="I1266" s="9">
        <v>1.3888999999999999E-4</v>
      </c>
      <c r="J1266" s="9">
        <v>1.4325000000000001E-4</v>
      </c>
      <c r="K1266" s="9">
        <v>2.6703000000000002E-4</v>
      </c>
      <c r="L1266" s="9">
        <v>1.6379E-4</v>
      </c>
      <c r="M1266" s="9">
        <v>1.6956999999999999E-4</v>
      </c>
      <c r="N1266" s="9">
        <v>1.6998999999999999E-4</v>
      </c>
      <c r="O1266" s="9">
        <v>1.7949E-4</v>
      </c>
      <c r="P1266" s="9">
        <v>1.6898999999999999E-4</v>
      </c>
      <c r="Q1266" s="9">
        <v>1.6095000000000001E-4</v>
      </c>
      <c r="R1266" s="10">
        <v>1.163564605363694E-4</v>
      </c>
      <c r="S1266" s="10">
        <v>1.6774800235815564E-4</v>
      </c>
      <c r="T1266" s="10">
        <v>1.9618245387334541E-4</v>
      </c>
      <c r="U1266" s="10">
        <v>1.8320000000000001E-4</v>
      </c>
      <c r="V1266" s="25"/>
      <c r="W1266" s="25"/>
      <c r="X1266" s="25"/>
      <c r="Y1266" s="25"/>
      <c r="Z1266" s="25"/>
      <c r="AA1266" s="25"/>
    </row>
    <row r="1267" spans="1:27" x14ac:dyDescent="0.35">
      <c r="A1267" s="5">
        <v>1263</v>
      </c>
      <c r="B1267" s="5">
        <v>53</v>
      </c>
      <c r="C1267" s="5">
        <v>2</v>
      </c>
      <c r="D1267" s="25">
        <v>1.1416E-4</v>
      </c>
      <c r="E1267" s="25">
        <v>1.0853000000000001E-4</v>
      </c>
      <c r="F1267" s="25">
        <v>1.261E-4</v>
      </c>
      <c r="G1267" s="25">
        <v>1.6588E-4</v>
      </c>
      <c r="H1267" s="25">
        <v>1.952E-4</v>
      </c>
      <c r="I1267" s="9">
        <v>1.3808000000000001E-4</v>
      </c>
      <c r="J1267" s="9">
        <v>1.4249E-4</v>
      </c>
      <c r="K1267" s="9">
        <v>2.7763000000000001E-4</v>
      </c>
      <c r="L1267" s="9">
        <v>1.7621E-4</v>
      </c>
      <c r="M1267" s="9">
        <v>1.6828000000000001E-4</v>
      </c>
      <c r="N1267" s="9">
        <v>1.6969000000000001E-4</v>
      </c>
      <c r="O1267" s="9">
        <v>1.8534000000000001E-4</v>
      </c>
      <c r="P1267" s="9">
        <v>1.6791000000000001E-4</v>
      </c>
      <c r="Q1267" s="9">
        <v>1.5315000000000001E-4</v>
      </c>
      <c r="R1267" s="10">
        <v>1.1641554993384976E-4</v>
      </c>
      <c r="S1267" s="10">
        <v>1.8149735369098996E-4</v>
      </c>
      <c r="T1267" s="10">
        <v>2.2298435552044562E-4</v>
      </c>
      <c r="U1267" s="10">
        <v>1.8320000000000001E-4</v>
      </c>
      <c r="V1267" s="25"/>
      <c r="W1267" s="25"/>
      <c r="X1267" s="25"/>
      <c r="Y1267" s="25"/>
      <c r="Z1267" s="25"/>
      <c r="AA1267" s="25"/>
    </row>
    <row r="1268" spans="1:27" x14ac:dyDescent="0.35">
      <c r="A1268" s="5">
        <v>1264</v>
      </c>
      <c r="B1268" s="5">
        <v>53</v>
      </c>
      <c r="C1268" s="5">
        <v>2</v>
      </c>
      <c r="D1268" s="25">
        <v>1.1415000000000001E-4</v>
      </c>
      <c r="E1268" s="25">
        <v>1.0955000000000001E-4</v>
      </c>
      <c r="F1268" s="25">
        <v>1.2463E-4</v>
      </c>
      <c r="G1268" s="25">
        <v>1.5651E-4</v>
      </c>
      <c r="H1268" s="25">
        <v>1.9390999999999999E-4</v>
      </c>
      <c r="I1268" s="9">
        <v>1.3656000000000001E-4</v>
      </c>
      <c r="J1268" s="9">
        <v>1.4197999999999999E-4</v>
      </c>
      <c r="K1268" s="9">
        <v>2.9458000000000002E-4</v>
      </c>
      <c r="L1268" s="9">
        <v>1.8301999999999999E-4</v>
      </c>
      <c r="M1268" s="9">
        <v>1.6789999999999999E-4</v>
      </c>
      <c r="N1268" s="9">
        <v>1.6604E-4</v>
      </c>
      <c r="O1268" s="9">
        <v>1.9798999999999999E-4</v>
      </c>
      <c r="P1268" s="9">
        <v>1.5206E-4</v>
      </c>
      <c r="Q1268" s="9">
        <v>1.0948E-4</v>
      </c>
      <c r="R1268" s="10">
        <v>1.4405476546180929E-4</v>
      </c>
      <c r="S1268" s="10">
        <v>1.8953494526226231E-4</v>
      </c>
      <c r="T1268" s="10">
        <v>3.0202408826637334E-4</v>
      </c>
      <c r="U1268" s="10">
        <v>1.8320000000000001E-4</v>
      </c>
      <c r="V1268" s="25"/>
      <c r="W1268" s="25"/>
      <c r="X1268" s="25"/>
      <c r="Y1268" s="25"/>
      <c r="Z1268" s="25"/>
      <c r="AA1268" s="25"/>
    </row>
    <row r="1269" spans="1:27" x14ac:dyDescent="0.35">
      <c r="A1269" s="5">
        <v>1265</v>
      </c>
      <c r="B1269" s="5">
        <v>53</v>
      </c>
      <c r="C1269" s="5">
        <v>2</v>
      </c>
      <c r="D1269" s="25">
        <v>1.1416E-4</v>
      </c>
      <c r="E1269" s="25">
        <v>1.0987E-4</v>
      </c>
      <c r="F1269" s="25">
        <v>1.07E-4</v>
      </c>
      <c r="G1269" s="25">
        <v>1.6426E-4</v>
      </c>
      <c r="H1269" s="25">
        <v>1.9321E-4</v>
      </c>
      <c r="I1269" s="9">
        <v>1.3629000000000001E-4</v>
      </c>
      <c r="J1269" s="9">
        <v>1.4250999999999999E-4</v>
      </c>
      <c r="K1269" s="9">
        <v>3.0518E-4</v>
      </c>
      <c r="L1269" s="9">
        <v>1.9445000000000001E-4</v>
      </c>
      <c r="M1269" s="9">
        <v>1.6220000000000001E-4</v>
      </c>
      <c r="N1269" s="9">
        <v>1.5237000000000001E-4</v>
      </c>
      <c r="O1269" s="9">
        <v>2.1452E-4</v>
      </c>
      <c r="P1269" s="9">
        <v>1.5876E-4</v>
      </c>
      <c r="Q1269" s="9">
        <v>1.0679E-4</v>
      </c>
      <c r="R1269" s="10">
        <v>1.5160020150936808E-4</v>
      </c>
      <c r="S1269" s="10">
        <v>1.9011136456490585E-4</v>
      </c>
      <c r="T1269" s="10">
        <v>8.6514400473403251E-5</v>
      </c>
      <c r="U1269" s="10">
        <v>1.8320000000000001E-4</v>
      </c>
      <c r="V1269" s="25"/>
      <c r="W1269" s="25"/>
      <c r="X1269" s="25"/>
      <c r="Y1269" s="25"/>
      <c r="Z1269" s="25"/>
      <c r="AA1269" s="25"/>
    </row>
    <row r="1270" spans="1:27" x14ac:dyDescent="0.35">
      <c r="A1270" s="5">
        <v>1266</v>
      </c>
      <c r="B1270" s="5">
        <v>53</v>
      </c>
      <c r="C1270" s="5">
        <v>2</v>
      </c>
      <c r="D1270" s="25">
        <v>1.1415000000000001E-4</v>
      </c>
      <c r="E1270" s="25">
        <v>1.1139E-4</v>
      </c>
      <c r="F1270" s="25">
        <v>1.2443999999999999E-4</v>
      </c>
      <c r="G1270" s="25">
        <v>1.5993999999999999E-4</v>
      </c>
      <c r="H1270" s="25">
        <v>1.9673999999999999E-4</v>
      </c>
      <c r="I1270" s="9">
        <v>1.3914999999999999E-4</v>
      </c>
      <c r="J1270" s="9">
        <v>1.4394000000000001E-4</v>
      </c>
      <c r="K1270" s="9">
        <v>3.3909000000000001E-4</v>
      </c>
      <c r="L1270" s="9">
        <v>2.0987999999999999E-4</v>
      </c>
      <c r="M1270" s="9">
        <v>1.5938000000000001E-4</v>
      </c>
      <c r="N1270" s="9">
        <v>1.3899E-4</v>
      </c>
      <c r="O1270" s="9">
        <v>2.0531999999999999E-4</v>
      </c>
      <c r="P1270" s="9">
        <v>1.5939E-4</v>
      </c>
      <c r="Q1270" s="9">
        <v>1.1694E-4</v>
      </c>
      <c r="R1270" s="10">
        <v>1.519049463387751E-4</v>
      </c>
      <c r="S1270" s="10">
        <v>1.9028730041416341E-4</v>
      </c>
      <c r="T1270" s="10">
        <v>0</v>
      </c>
      <c r="U1270" s="10">
        <v>1.8320000000000001E-4</v>
      </c>
      <c r="V1270" s="25"/>
      <c r="W1270" s="25"/>
      <c r="X1270" s="25"/>
      <c r="Y1270" s="25"/>
      <c r="Z1270" s="25"/>
      <c r="AA1270" s="25"/>
    </row>
    <row r="1271" spans="1:27" x14ac:dyDescent="0.35">
      <c r="A1271" s="5">
        <v>1267</v>
      </c>
      <c r="B1271" s="5">
        <v>53</v>
      </c>
      <c r="C1271" s="5">
        <v>2</v>
      </c>
      <c r="D1271" s="25">
        <v>1.1416E-4</v>
      </c>
      <c r="E1271" s="25">
        <v>1.0921000000000001E-4</v>
      </c>
      <c r="F1271" s="25">
        <v>1.2277999999999999E-4</v>
      </c>
      <c r="G1271" s="25">
        <v>1.0853000000000001E-4</v>
      </c>
      <c r="H1271" s="25">
        <v>1.2996000000000001E-4</v>
      </c>
      <c r="I1271" s="9">
        <v>1.4563E-4</v>
      </c>
      <c r="J1271" s="9">
        <v>1.4431000000000001E-4</v>
      </c>
      <c r="K1271" s="9">
        <v>3.3061000000000001E-4</v>
      </c>
      <c r="L1271" s="9">
        <v>2.0593E-4</v>
      </c>
      <c r="M1271" s="9">
        <v>1.5880000000000001E-4</v>
      </c>
      <c r="N1271" s="9">
        <v>1.2980000000000001E-4</v>
      </c>
      <c r="O1271" s="9">
        <v>1.6542E-4</v>
      </c>
      <c r="P1271" s="9">
        <v>1.3503000000000001E-4</v>
      </c>
      <c r="Q1271" s="9">
        <v>1.0717000000000001E-4</v>
      </c>
      <c r="R1271" s="10">
        <v>1.8304993690491914E-4</v>
      </c>
      <c r="S1271" s="10">
        <v>1.9029019093760291E-4</v>
      </c>
      <c r="T1271" s="10">
        <v>0</v>
      </c>
      <c r="U1271" s="10">
        <v>1.8320000000000001E-4</v>
      </c>
      <c r="V1271" s="25"/>
      <c r="W1271" s="25"/>
      <c r="X1271" s="25"/>
      <c r="Y1271" s="25"/>
      <c r="Z1271" s="25"/>
      <c r="AA1271" s="25"/>
    </row>
    <row r="1272" spans="1:27" x14ac:dyDescent="0.35">
      <c r="A1272" s="5">
        <v>1268</v>
      </c>
      <c r="B1272" s="5">
        <v>53</v>
      </c>
      <c r="C1272" s="5">
        <v>2</v>
      </c>
      <c r="D1272" s="25">
        <v>1.1415000000000001E-4</v>
      </c>
      <c r="E1272" s="25">
        <v>1.1075E-4</v>
      </c>
      <c r="F1272" s="25">
        <v>1.0917E-4</v>
      </c>
      <c r="G1272" s="25">
        <v>1.0556E-4</v>
      </c>
      <c r="H1272" s="25">
        <v>1.2709E-4</v>
      </c>
      <c r="I1272" s="9">
        <v>1.4121000000000001E-4</v>
      </c>
      <c r="J1272" s="9">
        <v>1.4168000000000001E-4</v>
      </c>
      <c r="K1272" s="9">
        <v>3.3061000000000001E-4</v>
      </c>
      <c r="L1272" s="9">
        <v>1.7451000000000001E-4</v>
      </c>
      <c r="M1272" s="9">
        <v>1.5025999999999999E-4</v>
      </c>
      <c r="N1272" s="9">
        <v>1.2073E-4</v>
      </c>
      <c r="O1272" s="9">
        <v>1.3028000000000001E-4</v>
      </c>
      <c r="P1272" s="9">
        <v>1.1555E-4</v>
      </c>
      <c r="Q1272" s="9">
        <v>1.0251000000000001E-4</v>
      </c>
      <c r="R1272" s="10">
        <v>2.0679320450199117E-4</v>
      </c>
      <c r="S1272" s="10">
        <v>1.9012952919975656E-4</v>
      </c>
      <c r="T1272" s="10">
        <v>0</v>
      </c>
      <c r="U1272" s="10">
        <v>1.8320000000000001E-4</v>
      </c>
      <c r="V1272" s="25"/>
      <c r="W1272" s="25"/>
      <c r="X1272" s="25"/>
      <c r="Y1272" s="25"/>
      <c r="Z1272" s="25"/>
      <c r="AA1272" s="25"/>
    </row>
    <row r="1273" spans="1:27" x14ac:dyDescent="0.35">
      <c r="A1273" s="5">
        <v>1269</v>
      </c>
      <c r="B1273" s="5">
        <v>53</v>
      </c>
      <c r="C1273" s="5">
        <v>2</v>
      </c>
      <c r="D1273" s="25">
        <v>1.1416E-4</v>
      </c>
      <c r="E1273" s="25">
        <v>1.0854E-4</v>
      </c>
      <c r="F1273" s="25">
        <v>1.1812E-4</v>
      </c>
      <c r="G1273" s="25">
        <v>5.4459999999999997E-5</v>
      </c>
      <c r="H1273" s="25">
        <v>7.1500000000000003E-5</v>
      </c>
      <c r="I1273" s="9">
        <v>1.3354E-4</v>
      </c>
      <c r="J1273" s="9">
        <v>1.351E-4</v>
      </c>
      <c r="K1273" s="9">
        <v>3.2849000000000002E-4</v>
      </c>
      <c r="L1273" s="9">
        <v>1.4098999999999999E-4</v>
      </c>
      <c r="M1273" s="9">
        <v>1.3537999999999999E-4</v>
      </c>
      <c r="N1273" s="9">
        <v>1.1319000000000001E-4</v>
      </c>
      <c r="O1273" s="9">
        <v>8.4859999999999997E-5</v>
      </c>
      <c r="P1273" s="9">
        <v>8.6199999999999995E-5</v>
      </c>
      <c r="Q1273" s="9">
        <v>8.8189999999999994E-5</v>
      </c>
      <c r="R1273" s="10">
        <v>2.1192044304613034E-4</v>
      </c>
      <c r="S1273" s="10">
        <v>1.8608444220931348E-4</v>
      </c>
      <c r="T1273" s="10">
        <v>0</v>
      </c>
      <c r="U1273" s="10">
        <v>1.8320000000000001E-4</v>
      </c>
      <c r="V1273" s="25"/>
      <c r="W1273" s="25"/>
      <c r="X1273" s="25"/>
      <c r="Y1273" s="25"/>
      <c r="Z1273" s="25"/>
      <c r="AA1273" s="25"/>
    </row>
    <row r="1274" spans="1:27" x14ac:dyDescent="0.35">
      <c r="A1274" s="5">
        <v>1270</v>
      </c>
      <c r="B1274" s="5">
        <v>53</v>
      </c>
      <c r="C1274" s="5">
        <v>2</v>
      </c>
      <c r="D1274" s="25">
        <v>1.1415000000000001E-4</v>
      </c>
      <c r="E1274" s="25">
        <v>1.1257E-4</v>
      </c>
      <c r="F1274" s="25">
        <v>1.2399000000000001E-4</v>
      </c>
      <c r="G1274" s="25">
        <v>5.215E-5</v>
      </c>
      <c r="H1274" s="25">
        <v>7.6050000000000005E-5</v>
      </c>
      <c r="I1274" s="9">
        <v>1.2575999999999999E-4</v>
      </c>
      <c r="J1274" s="9">
        <v>1.2723000000000001E-4</v>
      </c>
      <c r="K1274" s="9">
        <v>3.4545000000000002E-4</v>
      </c>
      <c r="L1274" s="9">
        <v>9.8109999999999994E-5</v>
      </c>
      <c r="M1274" s="9">
        <v>1.1385E-4</v>
      </c>
      <c r="N1274" s="9">
        <v>1.0559E-4</v>
      </c>
      <c r="O1274" s="9">
        <v>8.7780000000000003E-5</v>
      </c>
      <c r="P1274" s="9">
        <v>8.7700000000000004E-5</v>
      </c>
      <c r="Q1274" s="9">
        <v>8.8350000000000006E-5</v>
      </c>
      <c r="R1274" s="10">
        <v>2.1241733624936286E-4</v>
      </c>
      <c r="S1274" s="10">
        <v>1.7969870763854376E-4</v>
      </c>
      <c r="T1274" s="10">
        <v>0</v>
      </c>
      <c r="U1274" s="10">
        <v>1.8320000000000001E-4</v>
      </c>
      <c r="V1274" s="25"/>
      <c r="W1274" s="25"/>
      <c r="X1274" s="25"/>
      <c r="Y1274" s="25"/>
      <c r="Z1274" s="25"/>
      <c r="AA1274" s="25"/>
    </row>
    <row r="1275" spans="1:27" x14ac:dyDescent="0.35">
      <c r="A1275" s="5">
        <v>1271</v>
      </c>
      <c r="B1275" s="5">
        <v>53</v>
      </c>
      <c r="C1275" s="5">
        <v>2</v>
      </c>
      <c r="D1275" s="25">
        <v>1.1416E-4</v>
      </c>
      <c r="E1275" s="25">
        <v>1.1226999999999999E-4</v>
      </c>
      <c r="F1275" s="25">
        <v>1.1475E-4</v>
      </c>
      <c r="G1275" s="25">
        <v>5.4119999999999997E-5</v>
      </c>
      <c r="H1275" s="25">
        <v>6.7399999999999998E-5</v>
      </c>
      <c r="I1275" s="9">
        <v>1.2734000000000001E-4</v>
      </c>
      <c r="J1275" s="9">
        <v>1.1820999999999999E-4</v>
      </c>
      <c r="K1275" s="9">
        <v>3.5180999999999998E-4</v>
      </c>
      <c r="L1275" s="9">
        <v>9.1020000000000006E-5</v>
      </c>
      <c r="M1275" s="9">
        <v>9.9140000000000003E-5</v>
      </c>
      <c r="N1275" s="9">
        <v>9.9840000000000006E-5</v>
      </c>
      <c r="O1275" s="9">
        <v>7.8399999999999995E-5</v>
      </c>
      <c r="P1275" s="9">
        <v>7.2479999999999997E-5</v>
      </c>
      <c r="Q1275" s="9">
        <v>6.7199999999999994E-5</v>
      </c>
      <c r="R1275" s="10">
        <v>2.1244906803746452E-4</v>
      </c>
      <c r="S1275" s="10">
        <v>1.7676629331647668E-4</v>
      </c>
      <c r="T1275" s="10">
        <v>0</v>
      </c>
      <c r="U1275" s="10">
        <v>1.8320000000000001E-4</v>
      </c>
      <c r="V1275" s="25"/>
      <c r="W1275" s="25"/>
      <c r="X1275" s="25"/>
      <c r="Y1275" s="25"/>
      <c r="Z1275" s="25"/>
      <c r="AA1275" s="25"/>
    </row>
    <row r="1276" spans="1:27" x14ac:dyDescent="0.35">
      <c r="A1276" s="5">
        <v>1272</v>
      </c>
      <c r="B1276" s="5">
        <v>53</v>
      </c>
      <c r="C1276" s="5">
        <v>2</v>
      </c>
      <c r="D1276" s="25">
        <v>1.1415000000000001E-4</v>
      </c>
      <c r="E1276" s="25">
        <v>1.131E-4</v>
      </c>
      <c r="F1276" s="25">
        <v>1.1677E-4</v>
      </c>
      <c r="G1276" s="25">
        <v>5.3650000000000003E-5</v>
      </c>
      <c r="H1276" s="25">
        <v>6.5580000000000006E-5</v>
      </c>
      <c r="I1276" s="9">
        <v>1.2557000000000001E-4</v>
      </c>
      <c r="J1276" s="9">
        <v>1.1006999999999999E-4</v>
      </c>
      <c r="K1276" s="9">
        <v>3.4968E-4</v>
      </c>
      <c r="L1276" s="9">
        <v>8.1169999999999997E-5</v>
      </c>
      <c r="M1276" s="9">
        <v>8.6299999999999997E-5</v>
      </c>
      <c r="N1276" s="9">
        <v>9.0669999999999998E-5</v>
      </c>
      <c r="O1276" s="9">
        <v>6.2760000000000002E-5</v>
      </c>
      <c r="P1276" s="9">
        <v>6.0619999999999999E-5</v>
      </c>
      <c r="Q1276" s="9">
        <v>5.8810000000000001E-5</v>
      </c>
      <c r="R1276" s="10">
        <v>2.1244936787709023E-4</v>
      </c>
      <c r="S1276" s="10">
        <v>1.7983536331905379E-4</v>
      </c>
      <c r="T1276" s="10">
        <v>0</v>
      </c>
      <c r="U1276" s="10">
        <v>1.8320000000000001E-4</v>
      </c>
      <c r="V1276" s="25"/>
      <c r="W1276" s="25"/>
      <c r="X1276" s="25"/>
      <c r="Y1276" s="25"/>
      <c r="Z1276" s="25"/>
      <c r="AA1276" s="25"/>
    </row>
    <row r="1277" spans="1:27" x14ac:dyDescent="0.35">
      <c r="A1277" s="5">
        <v>1273</v>
      </c>
      <c r="B1277" s="5">
        <v>54</v>
      </c>
      <c r="C1277" s="5">
        <v>2</v>
      </c>
      <c r="D1277" s="25">
        <v>1.1416E-4</v>
      </c>
      <c r="E1277" s="25">
        <v>1.0715E-4</v>
      </c>
      <c r="F1277" s="25">
        <v>9.8839999999999996E-5</v>
      </c>
      <c r="G1277" s="25">
        <v>5.5989999999999998E-5</v>
      </c>
      <c r="H1277" s="25">
        <v>6.5989999999999997E-5</v>
      </c>
      <c r="I1277" s="9">
        <v>1.1824000000000001E-4</v>
      </c>
      <c r="J1277" s="9">
        <v>1.0315999999999999E-4</v>
      </c>
      <c r="K1277" s="9">
        <v>3.4968999999999999E-4</v>
      </c>
      <c r="L1277" s="9">
        <v>6.6799999999999997E-5</v>
      </c>
      <c r="M1277" s="9">
        <v>7.4120000000000002E-5</v>
      </c>
      <c r="N1277" s="9">
        <v>8.1249999999999996E-5</v>
      </c>
      <c r="O1277" s="9">
        <v>5.4020000000000001E-5</v>
      </c>
      <c r="P1277" s="9">
        <v>5.3440000000000003E-5</v>
      </c>
      <c r="Q1277" s="9">
        <v>5.3019999999999997E-5</v>
      </c>
      <c r="R1277" s="10">
        <v>2.1244936787709023E-4</v>
      </c>
      <c r="S1277" s="10">
        <v>1.8434504278346249E-4</v>
      </c>
      <c r="T1277" s="10">
        <v>0</v>
      </c>
      <c r="U1277" s="10">
        <v>1.8432E-4</v>
      </c>
      <c r="V1277" s="25"/>
      <c r="W1277" s="25"/>
      <c r="X1277" s="25"/>
      <c r="Y1277" s="25"/>
      <c r="Z1277" s="25"/>
      <c r="AA1277" s="25"/>
    </row>
    <row r="1278" spans="1:27" x14ac:dyDescent="0.35">
      <c r="A1278" s="5">
        <v>1274</v>
      </c>
      <c r="B1278" s="5">
        <v>54</v>
      </c>
      <c r="C1278" s="5">
        <v>2</v>
      </c>
      <c r="D1278" s="25">
        <v>1.1415000000000001E-4</v>
      </c>
      <c r="E1278" s="25">
        <v>1.0546E-4</v>
      </c>
      <c r="F1278" s="25">
        <v>8.9939999999999996E-5</v>
      </c>
      <c r="G1278" s="25">
        <v>5.4500000000000003E-5</v>
      </c>
      <c r="H1278" s="25">
        <v>6.2500000000000001E-5</v>
      </c>
      <c r="I1278" s="9">
        <v>1.1231E-4</v>
      </c>
      <c r="J1278" s="9">
        <v>9.8869999999999994E-5</v>
      </c>
      <c r="K1278" s="9">
        <v>3.4757000000000001E-4</v>
      </c>
      <c r="L1278" s="9">
        <v>5.7219999999999998E-5</v>
      </c>
      <c r="M1278" s="9">
        <v>6.3769999999999994E-5</v>
      </c>
      <c r="N1278" s="9">
        <v>7.2039999999999995E-5</v>
      </c>
      <c r="O1278" s="9">
        <v>1.838E-5</v>
      </c>
      <c r="P1278" s="9">
        <v>3.7419999999999997E-5</v>
      </c>
      <c r="Q1278" s="9">
        <v>5.5680000000000002E-5</v>
      </c>
      <c r="R1278" s="10">
        <v>2.1244936787709023E-4</v>
      </c>
      <c r="S1278" s="10">
        <v>1.8788579889338097E-4</v>
      </c>
      <c r="T1278" s="10">
        <v>0</v>
      </c>
      <c r="U1278" s="10">
        <v>1.8432E-4</v>
      </c>
      <c r="V1278" s="25"/>
      <c r="W1278" s="25"/>
      <c r="X1278" s="25"/>
      <c r="Y1278" s="25"/>
      <c r="Z1278" s="25"/>
      <c r="AA1278" s="25"/>
    </row>
    <row r="1279" spans="1:27" x14ac:dyDescent="0.35">
      <c r="A1279" s="5">
        <v>1275</v>
      </c>
      <c r="B1279" s="5">
        <v>54</v>
      </c>
      <c r="C1279" s="5">
        <v>2</v>
      </c>
      <c r="D1279" s="25">
        <v>1.1416E-4</v>
      </c>
      <c r="E1279" s="25">
        <v>1.15E-4</v>
      </c>
      <c r="F1279" s="25">
        <v>9.8410000000000001E-5</v>
      </c>
      <c r="G1279" s="25">
        <v>5.3369999999999999E-5</v>
      </c>
      <c r="H1279" s="25">
        <v>7.4649999999999998E-5</v>
      </c>
      <c r="I1279" s="9">
        <v>1.0775E-4</v>
      </c>
      <c r="J1279" s="9">
        <v>9.7180000000000001E-5</v>
      </c>
      <c r="K1279" s="9">
        <v>3.5179999999999999E-4</v>
      </c>
      <c r="L1279" s="9">
        <v>2.7149999999999999E-5</v>
      </c>
      <c r="M1279" s="9">
        <v>5.1910000000000003E-5</v>
      </c>
      <c r="N1279" s="9">
        <v>6.5350000000000003E-5</v>
      </c>
      <c r="O1279" s="9">
        <v>1.2979999999999999E-5</v>
      </c>
      <c r="P1279" s="9">
        <v>3.7639999999999999E-5</v>
      </c>
      <c r="Q1279" s="9">
        <v>6.1340000000000006E-5</v>
      </c>
      <c r="R1279" s="10">
        <v>2.1244936787709023E-4</v>
      </c>
      <c r="S1279" s="10">
        <v>1.9026659980091694E-4</v>
      </c>
      <c r="T1279" s="10">
        <v>0</v>
      </c>
      <c r="U1279" s="10">
        <v>1.8432E-4</v>
      </c>
      <c r="V1279" s="25"/>
      <c r="W1279" s="25"/>
      <c r="X1279" s="25"/>
      <c r="Y1279" s="25"/>
      <c r="Z1279" s="25"/>
      <c r="AA1279" s="25"/>
    </row>
    <row r="1280" spans="1:27" x14ac:dyDescent="0.35">
      <c r="A1280" s="5">
        <v>1276</v>
      </c>
      <c r="B1280" s="5">
        <v>54</v>
      </c>
      <c r="C1280" s="5">
        <v>2</v>
      </c>
      <c r="D1280" s="25">
        <v>1.1415000000000001E-4</v>
      </c>
      <c r="E1280" s="25">
        <v>1.1195E-4</v>
      </c>
      <c r="F1280" s="25">
        <v>9.7360000000000003E-5</v>
      </c>
      <c r="G1280" s="25">
        <v>5.4939999999999999E-5</v>
      </c>
      <c r="H1280" s="25">
        <v>6.8349999999999994E-5</v>
      </c>
      <c r="I1280" s="9">
        <v>1.065E-4</v>
      </c>
      <c r="J1280" s="9">
        <v>9.6879999999999994E-5</v>
      </c>
      <c r="K1280" s="9">
        <v>3.5816E-4</v>
      </c>
      <c r="L1280" s="9">
        <v>1.683E-5</v>
      </c>
      <c r="M1280" s="9">
        <v>4.3949999999999998E-5</v>
      </c>
      <c r="N1280" s="9">
        <v>6.1710000000000004E-5</v>
      </c>
      <c r="O1280" s="9">
        <v>1.294E-5</v>
      </c>
      <c r="P1280" s="9">
        <v>4.6910000000000003E-5</v>
      </c>
      <c r="Q1280" s="9">
        <v>7.9779999999999998E-5</v>
      </c>
      <c r="R1280" s="10">
        <v>2.1244936787709023E-4</v>
      </c>
      <c r="S1280" s="10">
        <v>1.9028979259534291E-4</v>
      </c>
      <c r="T1280" s="10">
        <v>0</v>
      </c>
      <c r="U1280" s="10">
        <v>1.8432E-4</v>
      </c>
      <c r="V1280" s="25"/>
      <c r="W1280" s="25"/>
      <c r="X1280" s="25"/>
      <c r="Y1280" s="25"/>
      <c r="Z1280" s="25"/>
      <c r="AA1280" s="25"/>
    </row>
    <row r="1281" spans="1:27" x14ac:dyDescent="0.35">
      <c r="A1281" s="5">
        <v>1277</v>
      </c>
      <c r="B1281" s="5">
        <v>54</v>
      </c>
      <c r="C1281" s="5">
        <v>2</v>
      </c>
      <c r="D1281" s="25">
        <v>1.1416E-4</v>
      </c>
      <c r="E1281" s="25">
        <v>1.0601E-4</v>
      </c>
      <c r="F1281" s="25">
        <v>8.6349999999999998E-5</v>
      </c>
      <c r="G1281" s="25">
        <v>6.0260000000000002E-5</v>
      </c>
      <c r="H1281" s="25">
        <v>7.3029999999999997E-5</v>
      </c>
      <c r="I1281" s="9">
        <v>1.0749E-4</v>
      </c>
      <c r="J1281" s="9">
        <v>9.7540000000000005E-5</v>
      </c>
      <c r="K1281" s="9">
        <v>3.5816E-4</v>
      </c>
      <c r="L1281" s="9">
        <v>1.4039999999999999E-5</v>
      </c>
      <c r="M1281" s="9">
        <v>4.3229999999999998E-5</v>
      </c>
      <c r="N1281" s="9">
        <v>6.4120000000000003E-5</v>
      </c>
      <c r="O1281" s="9">
        <v>1.84E-5</v>
      </c>
      <c r="P1281" s="9">
        <v>5.6169999999999999E-5</v>
      </c>
      <c r="Q1281" s="9">
        <v>9.289E-5</v>
      </c>
      <c r="R1281" s="10">
        <v>2.1244936787709023E-4</v>
      </c>
      <c r="S1281" s="10">
        <v>1.9029020588675556E-4</v>
      </c>
      <c r="T1281" s="10">
        <v>0</v>
      </c>
      <c r="U1281" s="10">
        <v>1.8432E-4</v>
      </c>
      <c r="V1281" s="25"/>
      <c r="W1281" s="25"/>
      <c r="X1281" s="25"/>
      <c r="Y1281" s="25"/>
      <c r="Z1281" s="25"/>
      <c r="AA1281" s="25"/>
    </row>
    <row r="1282" spans="1:27" x14ac:dyDescent="0.35">
      <c r="A1282" s="5">
        <v>1278</v>
      </c>
      <c r="B1282" s="5">
        <v>54</v>
      </c>
      <c r="C1282" s="5">
        <v>2</v>
      </c>
      <c r="D1282" s="25">
        <v>1.1415000000000001E-4</v>
      </c>
      <c r="E1282" s="25">
        <v>1.1618E-4</v>
      </c>
      <c r="F1282" s="25">
        <v>9.1570000000000006E-5</v>
      </c>
      <c r="G1282" s="25">
        <v>1.1178E-4</v>
      </c>
      <c r="H1282" s="25">
        <v>1.2990000000000001E-4</v>
      </c>
      <c r="I1282" s="9">
        <v>1.1237E-4</v>
      </c>
      <c r="J1282" s="9">
        <v>1.0103999999999999E-4</v>
      </c>
      <c r="K1282" s="9">
        <v>3.6452000000000001E-4</v>
      </c>
      <c r="L1282" s="9">
        <v>1.7309999999999999E-5</v>
      </c>
      <c r="M1282" s="9">
        <v>4.8059999999999997E-5</v>
      </c>
      <c r="N1282" s="9">
        <v>7.0539999999999999E-5</v>
      </c>
      <c r="O1282" s="9">
        <v>4.583E-5</v>
      </c>
      <c r="P1282" s="9">
        <v>7.6210000000000004E-5</v>
      </c>
      <c r="Q1282" s="9">
        <v>1.0613E-4</v>
      </c>
      <c r="R1282" s="10">
        <v>2.1244936787709023E-4</v>
      </c>
      <c r="S1282" s="10">
        <v>1.9028941813970329E-4</v>
      </c>
      <c r="T1282" s="10">
        <v>0</v>
      </c>
      <c r="U1282" s="10">
        <v>1.8432E-4</v>
      </c>
      <c r="V1282" s="25"/>
      <c r="W1282" s="25"/>
      <c r="X1282" s="25"/>
      <c r="Y1282" s="25"/>
      <c r="Z1282" s="25"/>
      <c r="AA1282" s="25"/>
    </row>
    <row r="1283" spans="1:27" x14ac:dyDescent="0.35">
      <c r="A1283" s="5">
        <v>1279</v>
      </c>
      <c r="B1283" s="5">
        <v>54</v>
      </c>
      <c r="C1283" s="5">
        <v>2</v>
      </c>
      <c r="D1283" s="25">
        <v>1.1416E-4</v>
      </c>
      <c r="E1283" s="25">
        <v>1.1054E-4</v>
      </c>
      <c r="F1283" s="25">
        <v>1.0197E-4</v>
      </c>
      <c r="G1283" s="25">
        <v>1.1539E-4</v>
      </c>
      <c r="H1283" s="25">
        <v>1.2519000000000001E-4</v>
      </c>
      <c r="I1283" s="9">
        <v>1.2612999999999999E-4</v>
      </c>
      <c r="J1283" s="9">
        <v>1.1256000000000001E-4</v>
      </c>
      <c r="K1283" s="9">
        <v>3.6452000000000001E-4</v>
      </c>
      <c r="L1283" s="9">
        <v>3.9409999999999997E-5</v>
      </c>
      <c r="M1283" s="9">
        <v>5.9549999999999997E-5</v>
      </c>
      <c r="N1283" s="9">
        <v>8.0129999999999993E-5</v>
      </c>
      <c r="O1283" s="9">
        <v>1.2431000000000001E-4</v>
      </c>
      <c r="P1283" s="9">
        <v>1.1789E-4</v>
      </c>
      <c r="Q1283" s="9">
        <v>1.1293E-4</v>
      </c>
      <c r="R1283" s="10">
        <v>2.1243518210355575E-4</v>
      </c>
      <c r="S1283" s="10">
        <v>1.9012195182244876E-4</v>
      </c>
      <c r="T1283" s="10">
        <v>0</v>
      </c>
      <c r="U1283" s="10">
        <v>1.8432E-4</v>
      </c>
      <c r="V1283" s="25"/>
      <c r="W1283" s="25"/>
      <c r="X1283" s="25"/>
      <c r="Y1283" s="25"/>
      <c r="Z1283" s="25"/>
      <c r="AA1283" s="25"/>
    </row>
    <row r="1284" spans="1:27" x14ac:dyDescent="0.35">
      <c r="A1284" s="5">
        <v>1280</v>
      </c>
      <c r="B1284" s="5">
        <v>54</v>
      </c>
      <c r="C1284" s="5">
        <v>2</v>
      </c>
      <c r="D1284" s="25">
        <v>1.1415000000000001E-4</v>
      </c>
      <c r="E1284" s="25">
        <v>1.1225E-4</v>
      </c>
      <c r="F1284" s="25">
        <v>1.0296E-4</v>
      </c>
      <c r="G1284" s="25">
        <v>1.5956999999999999E-4</v>
      </c>
      <c r="H1284" s="25">
        <v>1.8684999999999999E-4</v>
      </c>
      <c r="I1284" s="9">
        <v>1.3637999999999999E-4</v>
      </c>
      <c r="J1284" s="9">
        <v>1.2891000000000001E-4</v>
      </c>
      <c r="K1284" s="9">
        <v>3.4968E-4</v>
      </c>
      <c r="L1284" s="9">
        <v>1.0501E-4</v>
      </c>
      <c r="M1284" s="9">
        <v>8.352E-5</v>
      </c>
      <c r="N1284" s="9">
        <v>9.043E-5</v>
      </c>
      <c r="O1284" s="9">
        <v>2.2149999999999999E-4</v>
      </c>
      <c r="P1284" s="9">
        <v>1.7741999999999999E-4</v>
      </c>
      <c r="Q1284" s="9">
        <v>1.3705999999999999E-4</v>
      </c>
      <c r="R1284" s="10">
        <v>2.1093015632513102E-4</v>
      </c>
      <c r="S1284" s="10">
        <v>1.8918738769586722E-4</v>
      </c>
      <c r="T1284" s="10">
        <v>3.1595530779930734E-5</v>
      </c>
      <c r="U1284" s="10">
        <v>1.8432E-4</v>
      </c>
      <c r="V1284" s="25"/>
      <c r="W1284" s="25"/>
      <c r="X1284" s="25"/>
      <c r="Y1284" s="25"/>
      <c r="Z1284" s="25"/>
      <c r="AA1284" s="25"/>
    </row>
    <row r="1285" spans="1:27" x14ac:dyDescent="0.35">
      <c r="A1285" s="5">
        <v>1281</v>
      </c>
      <c r="B1285" s="5">
        <v>54</v>
      </c>
      <c r="C1285" s="5">
        <v>2</v>
      </c>
      <c r="D1285" s="25">
        <v>1.1416E-4</v>
      </c>
      <c r="E1285" s="25">
        <v>1.0597E-4</v>
      </c>
      <c r="F1285" s="25">
        <v>8.2269999999999997E-5</v>
      </c>
      <c r="G1285" s="25">
        <v>1.6274E-4</v>
      </c>
      <c r="H1285" s="25">
        <v>1.8976E-4</v>
      </c>
      <c r="I1285" s="9">
        <v>1.3752E-4</v>
      </c>
      <c r="J1285" s="9">
        <v>1.3737999999999999E-4</v>
      </c>
      <c r="K1285" s="9">
        <v>3.2213000000000001E-4</v>
      </c>
      <c r="L1285" s="9">
        <v>1.9408000000000001E-4</v>
      </c>
      <c r="M1285" s="9">
        <v>1.2353E-4</v>
      </c>
      <c r="N1285" s="9">
        <v>1.0435E-4</v>
      </c>
      <c r="O1285" s="9">
        <v>2.1337E-4</v>
      </c>
      <c r="P1285" s="9">
        <v>1.9385999999999999E-4</v>
      </c>
      <c r="Q1285" s="9">
        <v>1.7754000000000001E-4</v>
      </c>
      <c r="R1285" s="10">
        <v>2.0159190946826363E-4</v>
      </c>
      <c r="S1285" s="10">
        <v>1.8804924728023175E-4</v>
      </c>
      <c r="T1285" s="10">
        <v>1.7884903030100424E-5</v>
      </c>
      <c r="U1285" s="10">
        <v>1.8432E-4</v>
      </c>
      <c r="V1285" s="25"/>
      <c r="W1285" s="25"/>
      <c r="X1285" s="25"/>
      <c r="Y1285" s="25"/>
      <c r="Z1285" s="25"/>
      <c r="AA1285" s="25"/>
    </row>
    <row r="1286" spans="1:27" x14ac:dyDescent="0.35">
      <c r="A1286" s="5">
        <v>1282</v>
      </c>
      <c r="B1286" s="5">
        <v>54</v>
      </c>
      <c r="C1286" s="5">
        <v>2</v>
      </c>
      <c r="D1286" s="25">
        <v>1.1415000000000001E-4</v>
      </c>
      <c r="E1286" s="25">
        <v>1.1289E-4</v>
      </c>
      <c r="F1286" s="25">
        <v>1.0293000000000001E-4</v>
      </c>
      <c r="G1286" s="25">
        <v>1.5933000000000001E-4</v>
      </c>
      <c r="H1286" s="25">
        <v>1.9432999999999999E-4</v>
      </c>
      <c r="I1286" s="9">
        <v>1.3962999999999999E-4</v>
      </c>
      <c r="J1286" s="9">
        <v>1.4056E-4</v>
      </c>
      <c r="K1286" s="9">
        <v>3.1789999999999998E-4</v>
      </c>
      <c r="L1286" s="9">
        <v>2.0678999999999999E-4</v>
      </c>
      <c r="M1286" s="9">
        <v>1.5898999999999999E-4</v>
      </c>
      <c r="N1286" s="9">
        <v>1.2460999999999999E-4</v>
      </c>
      <c r="O1286" s="9">
        <v>1.6658999999999999E-4</v>
      </c>
      <c r="P1286" s="9">
        <v>1.7252000000000001E-4</v>
      </c>
      <c r="Q1286" s="9">
        <v>1.8045999999999999E-4</v>
      </c>
      <c r="R1286" s="10">
        <v>1.8860725754997002E-4</v>
      </c>
      <c r="S1286" s="10">
        <v>1.8879711172132299E-4</v>
      </c>
      <c r="T1286" s="10">
        <v>2.6313206004531997E-4</v>
      </c>
      <c r="U1286" s="10">
        <v>1.8432E-4</v>
      </c>
      <c r="V1286" s="25"/>
      <c r="W1286" s="25"/>
      <c r="X1286" s="25"/>
      <c r="Y1286" s="25"/>
      <c r="Z1286" s="25"/>
      <c r="AA1286" s="25"/>
    </row>
    <row r="1287" spans="1:27" x14ac:dyDescent="0.35">
      <c r="A1287" s="5">
        <v>1283</v>
      </c>
      <c r="B1287" s="5">
        <v>54</v>
      </c>
      <c r="C1287" s="5">
        <v>2</v>
      </c>
      <c r="D1287" s="25">
        <v>1.1416E-4</v>
      </c>
      <c r="E1287" s="25">
        <v>1.0742E-4</v>
      </c>
      <c r="F1287" s="25">
        <v>8.4190000000000005E-5</v>
      </c>
      <c r="G1287" s="25">
        <v>1.6657999999999999E-4</v>
      </c>
      <c r="H1287" s="25">
        <v>1.9263E-4</v>
      </c>
      <c r="I1287" s="9">
        <v>1.3933000000000001E-4</v>
      </c>
      <c r="J1287" s="9">
        <v>1.4048000000000001E-4</v>
      </c>
      <c r="K1287" s="9">
        <v>3.0729999999999999E-4</v>
      </c>
      <c r="L1287" s="9">
        <v>1.7551000000000001E-4</v>
      </c>
      <c r="M1287" s="9">
        <v>1.7207E-4</v>
      </c>
      <c r="N1287" s="9">
        <v>1.4240999999999999E-4</v>
      </c>
      <c r="O1287" s="9">
        <v>1.6681000000000001E-4</v>
      </c>
      <c r="P1287" s="9">
        <v>1.7140999999999999E-4</v>
      </c>
      <c r="Q1287" s="9">
        <v>1.7803E-4</v>
      </c>
      <c r="R1287" s="10">
        <v>1.7710743252415061E-4</v>
      </c>
      <c r="S1287" s="10">
        <v>1.897042735189299E-4</v>
      </c>
      <c r="T1287" s="10">
        <v>6.0931692642918515E-4</v>
      </c>
      <c r="U1287" s="10">
        <v>1.8432E-4</v>
      </c>
      <c r="V1287" s="25"/>
      <c r="W1287" s="25"/>
      <c r="X1287" s="25"/>
      <c r="Y1287" s="25"/>
      <c r="Z1287" s="25"/>
      <c r="AA1287" s="25"/>
    </row>
    <row r="1288" spans="1:27" x14ac:dyDescent="0.35">
      <c r="A1288" s="5">
        <v>1284</v>
      </c>
      <c r="B1288" s="5">
        <v>54</v>
      </c>
      <c r="C1288" s="5">
        <v>2</v>
      </c>
      <c r="D1288" s="25">
        <v>1.1415000000000001E-4</v>
      </c>
      <c r="E1288" s="25">
        <v>1.102E-4</v>
      </c>
      <c r="F1288" s="25">
        <v>9.2059999999999996E-5</v>
      </c>
      <c r="G1288" s="25">
        <v>1.6252000000000001E-4</v>
      </c>
      <c r="H1288" s="25">
        <v>1.9578E-4</v>
      </c>
      <c r="I1288" s="9">
        <v>1.4030999999999999E-4</v>
      </c>
      <c r="J1288" s="9">
        <v>1.3961E-4</v>
      </c>
      <c r="K1288" s="9">
        <v>2.9245999999999997E-4</v>
      </c>
      <c r="L1288" s="9">
        <v>1.7019999999999999E-4</v>
      </c>
      <c r="M1288" s="9">
        <v>1.7396999999999999E-4</v>
      </c>
      <c r="N1288" s="9">
        <v>1.5622999999999999E-4</v>
      </c>
      <c r="O1288" s="9">
        <v>1.719E-4</v>
      </c>
      <c r="P1288" s="9">
        <v>1.7242000000000001E-4</v>
      </c>
      <c r="Q1288" s="9">
        <v>1.7511E-4</v>
      </c>
      <c r="R1288" s="10">
        <v>1.6881983548341472E-4</v>
      </c>
      <c r="S1288" s="10">
        <v>1.8818769386643179E-4</v>
      </c>
      <c r="T1288" s="10">
        <v>1.1043164034145499E-4</v>
      </c>
      <c r="U1288" s="10">
        <v>1.8432E-4</v>
      </c>
      <c r="V1288" s="25"/>
      <c r="W1288" s="25"/>
      <c r="X1288" s="25"/>
      <c r="Y1288" s="25"/>
      <c r="Z1288" s="25"/>
      <c r="AA1288" s="25"/>
    </row>
    <row r="1289" spans="1:27" x14ac:dyDescent="0.35">
      <c r="A1289" s="5">
        <v>1285</v>
      </c>
      <c r="B1289" s="5">
        <v>54</v>
      </c>
      <c r="C1289" s="5">
        <v>2</v>
      </c>
      <c r="D1289" s="25">
        <v>1.1416E-4</v>
      </c>
      <c r="E1289" s="25">
        <v>1.0755E-4</v>
      </c>
      <c r="F1289" s="25">
        <v>9.3759999999999997E-5</v>
      </c>
      <c r="G1289" s="25">
        <v>1.6614000000000001E-4</v>
      </c>
      <c r="H1289" s="25">
        <v>1.8866E-4</v>
      </c>
      <c r="I1289" s="9">
        <v>1.3786000000000001E-4</v>
      </c>
      <c r="J1289" s="9">
        <v>1.3710999999999999E-4</v>
      </c>
      <c r="K1289" s="9">
        <v>2.9671E-4</v>
      </c>
      <c r="L1289" s="9">
        <v>1.717E-4</v>
      </c>
      <c r="M1289" s="9">
        <v>1.7343E-4</v>
      </c>
      <c r="N1289" s="9">
        <v>1.6594E-4</v>
      </c>
      <c r="O1289" s="9">
        <v>1.6326000000000001E-4</v>
      </c>
      <c r="P1289" s="9">
        <v>1.6467000000000001E-4</v>
      </c>
      <c r="Q1289" s="9">
        <v>1.6808E-4</v>
      </c>
      <c r="R1289" s="10">
        <v>1.7110706607448758E-4</v>
      </c>
      <c r="S1289" s="10">
        <v>1.8796405603072522E-4</v>
      </c>
      <c r="T1289" s="10">
        <v>4.0173157422924814E-4</v>
      </c>
      <c r="U1289" s="10">
        <v>1.8432E-4</v>
      </c>
      <c r="V1289" s="25"/>
      <c r="W1289" s="25"/>
      <c r="X1289" s="25"/>
      <c r="Y1289" s="25"/>
      <c r="Z1289" s="25"/>
      <c r="AA1289" s="25"/>
    </row>
    <row r="1290" spans="1:27" x14ac:dyDescent="0.35">
      <c r="A1290" s="5">
        <v>1286</v>
      </c>
      <c r="B1290" s="5">
        <v>54</v>
      </c>
      <c r="C1290" s="5">
        <v>2</v>
      </c>
      <c r="D1290" s="25">
        <v>1.1415000000000001E-4</v>
      </c>
      <c r="E1290" s="25">
        <v>1.0907E-4</v>
      </c>
      <c r="F1290" s="25">
        <v>8.9610000000000004E-5</v>
      </c>
      <c r="G1290" s="25">
        <v>1.6065E-4</v>
      </c>
      <c r="H1290" s="25">
        <v>1.9901000000000001E-4</v>
      </c>
      <c r="I1290" s="9">
        <v>1.3862E-4</v>
      </c>
      <c r="J1290" s="9">
        <v>1.3671000000000001E-4</v>
      </c>
      <c r="K1290" s="9">
        <v>2.9033999999999999E-4</v>
      </c>
      <c r="L1290" s="9">
        <v>1.6479999999999999E-4</v>
      </c>
      <c r="M1290" s="9">
        <v>1.7013999999999999E-4</v>
      </c>
      <c r="N1290" s="9">
        <v>1.7043000000000001E-4</v>
      </c>
      <c r="O1290" s="9">
        <v>1.7794999999999999E-4</v>
      </c>
      <c r="P1290" s="9">
        <v>1.6752999999999999E-4</v>
      </c>
      <c r="Q1290" s="9">
        <v>1.5956999999999999E-4</v>
      </c>
      <c r="R1290" s="10">
        <v>1.5971422059865746E-4</v>
      </c>
      <c r="S1290" s="10">
        <v>1.8908591565708387E-4</v>
      </c>
      <c r="T1290" s="10">
        <v>1.7228218260399394E-4</v>
      </c>
      <c r="U1290" s="10">
        <v>1.8432E-4</v>
      </c>
      <c r="V1290" s="25"/>
      <c r="W1290" s="25"/>
      <c r="X1290" s="25"/>
      <c r="Y1290" s="25"/>
      <c r="Z1290" s="25"/>
      <c r="AA1290" s="25"/>
    </row>
    <row r="1291" spans="1:27" x14ac:dyDescent="0.35">
      <c r="A1291" s="5">
        <v>1287</v>
      </c>
      <c r="B1291" s="5">
        <v>54</v>
      </c>
      <c r="C1291" s="5">
        <v>2</v>
      </c>
      <c r="D1291" s="25">
        <v>1.1416E-4</v>
      </c>
      <c r="E1291" s="25">
        <v>1.1035999999999999E-4</v>
      </c>
      <c r="F1291" s="25">
        <v>9.8460000000000003E-5</v>
      </c>
      <c r="G1291" s="25">
        <v>1.5624000000000001E-4</v>
      </c>
      <c r="H1291" s="25">
        <v>1.9875000000000001E-4</v>
      </c>
      <c r="I1291" s="9">
        <v>1.3621999999999999E-4</v>
      </c>
      <c r="J1291" s="9">
        <v>1.3524000000000001E-4</v>
      </c>
      <c r="K1291" s="9">
        <v>2.9034999999999998E-4</v>
      </c>
      <c r="L1291" s="9">
        <v>1.7521999999999999E-4</v>
      </c>
      <c r="M1291" s="9">
        <v>1.6824E-4</v>
      </c>
      <c r="N1291" s="9">
        <v>1.6971E-4</v>
      </c>
      <c r="O1291" s="9">
        <v>1.8322999999999999E-4</v>
      </c>
      <c r="P1291" s="9">
        <v>1.66E-4</v>
      </c>
      <c r="Q1291" s="9">
        <v>1.5140999999999999E-4</v>
      </c>
      <c r="R1291" s="10">
        <v>1.4819103547718859E-4</v>
      </c>
      <c r="S1291" s="10">
        <v>1.8956685851631368E-4</v>
      </c>
      <c r="T1291" s="10">
        <v>5.3049778546636112E-4</v>
      </c>
      <c r="U1291" s="10">
        <v>1.8432E-4</v>
      </c>
      <c r="V1291" s="25"/>
      <c r="W1291" s="25"/>
      <c r="X1291" s="25"/>
      <c r="Y1291" s="25"/>
      <c r="Z1291" s="25"/>
      <c r="AA1291" s="25"/>
    </row>
    <row r="1292" spans="1:27" x14ac:dyDescent="0.35">
      <c r="A1292" s="5">
        <v>1288</v>
      </c>
      <c r="B1292" s="5">
        <v>54</v>
      </c>
      <c r="C1292" s="5">
        <v>2</v>
      </c>
      <c r="D1292" s="25">
        <v>1.1415000000000001E-4</v>
      </c>
      <c r="E1292" s="25">
        <v>1.0621E-4</v>
      </c>
      <c r="F1292" s="25">
        <v>8.6130000000000004E-5</v>
      </c>
      <c r="G1292" s="25">
        <v>1.6033E-4</v>
      </c>
      <c r="H1292" s="25">
        <v>1.9112E-4</v>
      </c>
      <c r="I1292" s="9">
        <v>1.3756E-4</v>
      </c>
      <c r="J1292" s="9">
        <v>1.3496E-4</v>
      </c>
      <c r="K1292" s="9">
        <v>2.967E-4</v>
      </c>
      <c r="L1292" s="9">
        <v>1.8121000000000001E-4</v>
      </c>
      <c r="M1292" s="9">
        <v>1.6699E-4</v>
      </c>
      <c r="N1292" s="9">
        <v>1.6566000000000001E-4</v>
      </c>
      <c r="O1292" s="9">
        <v>1.9793E-4</v>
      </c>
      <c r="P1292" s="9">
        <v>1.5201E-4</v>
      </c>
      <c r="Q1292" s="9">
        <v>1.0944E-4</v>
      </c>
      <c r="R1292" s="10">
        <v>1.632023920099869E-4</v>
      </c>
      <c r="S1292" s="10">
        <v>1.9000998157316006E-4</v>
      </c>
      <c r="T1292" s="10">
        <v>1.4563299834519631E-4</v>
      </c>
      <c r="U1292" s="10">
        <v>1.8432E-4</v>
      </c>
      <c r="V1292" s="25"/>
      <c r="W1292" s="25"/>
      <c r="X1292" s="25"/>
      <c r="Y1292" s="25"/>
      <c r="Z1292" s="25"/>
      <c r="AA1292" s="25"/>
    </row>
    <row r="1293" spans="1:27" x14ac:dyDescent="0.35">
      <c r="A1293" s="5">
        <v>1289</v>
      </c>
      <c r="B1293" s="5">
        <v>54</v>
      </c>
      <c r="C1293" s="5">
        <v>2</v>
      </c>
      <c r="D1293" s="25">
        <v>1.1416E-4</v>
      </c>
      <c r="E1293" s="25">
        <v>1.0944E-4</v>
      </c>
      <c r="F1293" s="25">
        <v>8.7449999999999998E-5</v>
      </c>
      <c r="G1293" s="25">
        <v>1.6506E-4</v>
      </c>
      <c r="H1293" s="25">
        <v>1.8694999999999999E-4</v>
      </c>
      <c r="I1293" s="9">
        <v>1.3585999999999999E-4</v>
      </c>
      <c r="J1293" s="9">
        <v>1.3690999999999999E-4</v>
      </c>
      <c r="K1293" s="9">
        <v>3.0093999999999997E-4</v>
      </c>
      <c r="L1293" s="9">
        <v>1.9403000000000001E-4</v>
      </c>
      <c r="M1293" s="9">
        <v>1.6139E-4</v>
      </c>
      <c r="N1293" s="9">
        <v>1.5197E-4</v>
      </c>
      <c r="O1293" s="9">
        <v>2.1714999999999999E-4</v>
      </c>
      <c r="P1293" s="9">
        <v>1.607E-4</v>
      </c>
      <c r="Q1293" s="9">
        <v>1.0809E-4</v>
      </c>
      <c r="R1293" s="10">
        <v>1.8699337580372941E-4</v>
      </c>
      <c r="S1293" s="10">
        <v>1.9024594339136624E-4</v>
      </c>
      <c r="T1293" s="10">
        <v>7.8903983956325412E-7</v>
      </c>
      <c r="U1293" s="10">
        <v>1.8432E-4</v>
      </c>
      <c r="V1293" s="25"/>
      <c r="W1293" s="25"/>
      <c r="X1293" s="25"/>
      <c r="Y1293" s="25"/>
      <c r="Z1293" s="25"/>
      <c r="AA1293" s="25"/>
    </row>
    <row r="1294" spans="1:27" x14ac:dyDescent="0.35">
      <c r="A1294" s="5">
        <v>1290</v>
      </c>
      <c r="B1294" s="5">
        <v>54</v>
      </c>
      <c r="C1294" s="5">
        <v>2</v>
      </c>
      <c r="D1294" s="25">
        <v>1.1415000000000001E-4</v>
      </c>
      <c r="E1294" s="25">
        <v>1.1451E-4</v>
      </c>
      <c r="F1294" s="25">
        <v>1.0187E-4</v>
      </c>
      <c r="G1294" s="25">
        <v>1.6071999999999999E-4</v>
      </c>
      <c r="H1294" s="25">
        <v>1.9252000000000001E-4</v>
      </c>
      <c r="I1294" s="9">
        <v>1.3547E-4</v>
      </c>
      <c r="J1294" s="9">
        <v>1.3956999999999999E-4</v>
      </c>
      <c r="K1294" s="9">
        <v>3.0729999999999999E-4</v>
      </c>
      <c r="L1294" s="9">
        <v>2.1178000000000001E-4</v>
      </c>
      <c r="M1294" s="9">
        <v>1.5961999999999999E-4</v>
      </c>
      <c r="N1294" s="9">
        <v>1.3888E-4</v>
      </c>
      <c r="O1294" s="9">
        <v>2.087E-4</v>
      </c>
      <c r="P1294" s="9">
        <v>1.6202E-4</v>
      </c>
      <c r="Q1294" s="9">
        <v>1.1887000000000001E-4</v>
      </c>
      <c r="R1294" s="10">
        <v>1.963214086187168E-4</v>
      </c>
      <c r="S1294" s="10">
        <v>1.9026433740613886E-4</v>
      </c>
      <c r="T1294" s="10">
        <v>0</v>
      </c>
      <c r="U1294" s="10">
        <v>1.8432E-4</v>
      </c>
      <c r="V1294" s="25"/>
      <c r="W1294" s="25"/>
      <c r="X1294" s="25"/>
      <c r="Y1294" s="25"/>
      <c r="Z1294" s="25"/>
      <c r="AA1294" s="25"/>
    </row>
    <row r="1295" spans="1:27" x14ac:dyDescent="0.35">
      <c r="A1295" s="5">
        <v>1291</v>
      </c>
      <c r="B1295" s="5">
        <v>54</v>
      </c>
      <c r="C1295" s="5">
        <v>2</v>
      </c>
      <c r="D1295" s="25">
        <v>1.1416E-4</v>
      </c>
      <c r="E1295" s="25">
        <v>1.103E-4</v>
      </c>
      <c r="F1295" s="25">
        <v>8.8729999999999999E-5</v>
      </c>
      <c r="G1295" s="25">
        <v>1.0904999999999999E-4</v>
      </c>
      <c r="H1295" s="25">
        <v>1.3669999999999999E-4</v>
      </c>
      <c r="I1295" s="9">
        <v>1.4196E-4</v>
      </c>
      <c r="J1295" s="9">
        <v>1.4213999999999999E-4</v>
      </c>
      <c r="K1295" s="9">
        <v>3.0729999999999999E-4</v>
      </c>
      <c r="L1295" s="9">
        <v>2.0892E-4</v>
      </c>
      <c r="M1295" s="9">
        <v>1.6019E-4</v>
      </c>
      <c r="N1295" s="9">
        <v>1.3014E-4</v>
      </c>
      <c r="O1295" s="9">
        <v>1.6380999999999999E-4</v>
      </c>
      <c r="P1295" s="9">
        <v>1.3370999999999999E-4</v>
      </c>
      <c r="Q1295" s="9">
        <v>1.0611999999999999E-4</v>
      </c>
      <c r="R1295" s="10">
        <v>2.0045727450061532E-4</v>
      </c>
      <c r="S1295" s="10">
        <v>1.9023260619388616E-4</v>
      </c>
      <c r="T1295" s="10">
        <v>0</v>
      </c>
      <c r="U1295" s="10">
        <v>1.8432E-4</v>
      </c>
      <c r="V1295" s="25"/>
      <c r="W1295" s="25"/>
      <c r="X1295" s="25"/>
      <c r="Y1295" s="25"/>
      <c r="Z1295" s="25"/>
      <c r="AA1295" s="25"/>
    </row>
    <row r="1296" spans="1:27" x14ac:dyDescent="0.35">
      <c r="A1296" s="5">
        <v>1292</v>
      </c>
      <c r="B1296" s="5">
        <v>54</v>
      </c>
      <c r="C1296" s="5">
        <v>2</v>
      </c>
      <c r="D1296" s="25">
        <v>1.1415000000000001E-4</v>
      </c>
      <c r="E1296" s="25">
        <v>1.0942000000000001E-4</v>
      </c>
      <c r="F1296" s="25">
        <v>9.5480000000000001E-5</v>
      </c>
      <c r="G1296" s="25">
        <v>1.0967999999999999E-4</v>
      </c>
      <c r="H1296" s="25">
        <v>1.3563E-4</v>
      </c>
      <c r="I1296" s="9">
        <v>1.416E-4</v>
      </c>
      <c r="J1296" s="9">
        <v>1.4203999999999999E-4</v>
      </c>
      <c r="K1296" s="9">
        <v>3.1576999999999999E-4</v>
      </c>
      <c r="L1296" s="9">
        <v>1.7389E-4</v>
      </c>
      <c r="M1296" s="9">
        <v>1.5095000000000001E-4</v>
      </c>
      <c r="N1296" s="9">
        <v>1.209E-4</v>
      </c>
      <c r="O1296" s="9">
        <v>1.2930999999999999E-4</v>
      </c>
      <c r="P1296" s="9">
        <v>1.1469E-4</v>
      </c>
      <c r="Q1296" s="9">
        <v>1.0174E-4</v>
      </c>
      <c r="R1296" s="10">
        <v>2.0503322072062171E-4</v>
      </c>
      <c r="S1296" s="10">
        <v>1.9001143300752951E-4</v>
      </c>
      <c r="T1296" s="10">
        <v>0</v>
      </c>
      <c r="U1296" s="10">
        <v>1.8432E-4</v>
      </c>
      <c r="V1296" s="25"/>
      <c r="W1296" s="25"/>
      <c r="X1296" s="25"/>
      <c r="Y1296" s="25"/>
      <c r="Z1296" s="25"/>
      <c r="AA1296" s="25"/>
    </row>
    <row r="1297" spans="1:27" x14ac:dyDescent="0.35">
      <c r="A1297" s="5">
        <v>1293</v>
      </c>
      <c r="B1297" s="5">
        <v>54</v>
      </c>
      <c r="C1297" s="5">
        <v>2</v>
      </c>
      <c r="D1297" s="25">
        <v>1.1416E-4</v>
      </c>
      <c r="E1297" s="25">
        <v>1.1396999999999999E-4</v>
      </c>
      <c r="F1297" s="25">
        <v>8.1009999999999999E-5</v>
      </c>
      <c r="G1297" s="25">
        <v>5.893E-5</v>
      </c>
      <c r="H1297" s="25">
        <v>7.3300000000000006E-5</v>
      </c>
      <c r="I1297" s="9">
        <v>1.3460999999999999E-4</v>
      </c>
      <c r="J1297" s="9">
        <v>1.3561000000000001E-4</v>
      </c>
      <c r="K1297" s="9">
        <v>3.1789999999999998E-4</v>
      </c>
      <c r="L1297" s="9">
        <v>1.4020999999999999E-4</v>
      </c>
      <c r="M1297" s="9">
        <v>1.3527E-4</v>
      </c>
      <c r="N1297" s="9">
        <v>1.1323E-4</v>
      </c>
      <c r="O1297" s="9">
        <v>8.4519999999999997E-5</v>
      </c>
      <c r="P1297" s="9">
        <v>8.585E-5</v>
      </c>
      <c r="Q1297" s="9">
        <v>8.7839999999999999E-5</v>
      </c>
      <c r="R1297" s="10">
        <v>2.106413947765206E-4</v>
      </c>
      <c r="S1297" s="10">
        <v>1.9025208931831782E-4</v>
      </c>
      <c r="T1297" s="10">
        <v>0</v>
      </c>
      <c r="U1297" s="10">
        <v>1.8432E-4</v>
      </c>
      <c r="V1297" s="25"/>
      <c r="W1297" s="25"/>
      <c r="X1297" s="25"/>
      <c r="Y1297" s="25"/>
      <c r="Z1297" s="25"/>
      <c r="AA1297" s="25"/>
    </row>
    <row r="1298" spans="1:27" x14ac:dyDescent="0.35">
      <c r="A1298" s="5">
        <v>1294</v>
      </c>
      <c r="B1298" s="5">
        <v>54</v>
      </c>
      <c r="C1298" s="5">
        <v>2</v>
      </c>
      <c r="D1298" s="25">
        <v>1.1415000000000001E-4</v>
      </c>
      <c r="E1298" s="25">
        <v>1.0548999999999999E-4</v>
      </c>
      <c r="F1298" s="25">
        <v>8.8189999999999994E-5</v>
      </c>
      <c r="G1298" s="25">
        <v>5.5689999999999997E-5</v>
      </c>
      <c r="H1298" s="25">
        <v>7.0539999999999999E-5</v>
      </c>
      <c r="I1298" s="9">
        <v>1.2755000000000001E-4</v>
      </c>
      <c r="J1298" s="9">
        <v>1.2784E-4</v>
      </c>
      <c r="K1298" s="9">
        <v>3.1789999999999998E-4</v>
      </c>
      <c r="L1298" s="9">
        <v>9.768E-5</v>
      </c>
      <c r="M1298" s="9">
        <v>1.1346E-4</v>
      </c>
      <c r="N1298" s="9">
        <v>1.0555E-4</v>
      </c>
      <c r="O1298" s="9">
        <v>8.7000000000000001E-5</v>
      </c>
      <c r="P1298" s="9">
        <v>8.6929999999999996E-5</v>
      </c>
      <c r="Q1298" s="9">
        <v>8.7570000000000004E-5</v>
      </c>
      <c r="R1298" s="10">
        <v>2.1195121395213467E-4</v>
      </c>
      <c r="S1298" s="10">
        <v>1.9024659443720577E-4</v>
      </c>
      <c r="T1298" s="10">
        <v>0</v>
      </c>
      <c r="U1298" s="10">
        <v>1.8432E-4</v>
      </c>
      <c r="V1298" s="25"/>
      <c r="W1298" s="25"/>
      <c r="X1298" s="25"/>
      <c r="Y1298" s="25"/>
      <c r="Z1298" s="25"/>
      <c r="AA1298" s="25"/>
    </row>
    <row r="1299" spans="1:27" x14ac:dyDescent="0.35">
      <c r="A1299" s="5">
        <v>1295</v>
      </c>
      <c r="B1299" s="5">
        <v>54</v>
      </c>
      <c r="C1299" s="5">
        <v>2</v>
      </c>
      <c r="D1299" s="25">
        <v>1.1416E-4</v>
      </c>
      <c r="E1299" s="25">
        <v>1.1408000000000001E-4</v>
      </c>
      <c r="F1299" s="25">
        <v>8.6619999999999994E-5</v>
      </c>
      <c r="G1299" s="25">
        <v>5.4280000000000002E-5</v>
      </c>
      <c r="H1299" s="25">
        <v>6.737E-5</v>
      </c>
      <c r="I1299" s="9">
        <v>1.2915E-4</v>
      </c>
      <c r="J1299" s="9">
        <v>1.1791E-4</v>
      </c>
      <c r="K1299" s="9">
        <v>3.2001000000000002E-4</v>
      </c>
      <c r="L1299" s="9">
        <v>9.0279999999999996E-5</v>
      </c>
      <c r="M1299" s="9">
        <v>9.8579999999999995E-5</v>
      </c>
      <c r="N1299" s="9">
        <v>9.9569999999999997E-5</v>
      </c>
      <c r="O1299" s="9">
        <v>7.8419999999999998E-5</v>
      </c>
      <c r="P1299" s="9">
        <v>7.2490000000000006E-5</v>
      </c>
      <c r="Q1299" s="9">
        <v>6.7219999999999997E-5</v>
      </c>
      <c r="R1299" s="10">
        <v>2.1214416590966957E-4</v>
      </c>
      <c r="S1299" s="10">
        <v>1.9027267083281026E-4</v>
      </c>
      <c r="T1299" s="10">
        <v>0</v>
      </c>
      <c r="U1299" s="10">
        <v>1.8432E-4</v>
      </c>
      <c r="V1299" s="25"/>
      <c r="W1299" s="25"/>
      <c r="X1299" s="25"/>
      <c r="Y1299" s="25"/>
      <c r="Z1299" s="25"/>
      <c r="AA1299" s="25"/>
    </row>
    <row r="1300" spans="1:27" x14ac:dyDescent="0.35">
      <c r="A1300" s="5">
        <v>1296</v>
      </c>
      <c r="B1300" s="5">
        <v>54</v>
      </c>
      <c r="C1300" s="5">
        <v>2</v>
      </c>
      <c r="D1300" s="25">
        <v>1.1415000000000001E-4</v>
      </c>
      <c r="E1300" s="25">
        <v>1.0653E-4</v>
      </c>
      <c r="F1300" s="25">
        <v>9.1630000000000002E-5</v>
      </c>
      <c r="G1300" s="25">
        <v>5.9320000000000001E-5</v>
      </c>
      <c r="H1300" s="25">
        <v>7.2269999999999998E-5</v>
      </c>
      <c r="I1300" s="9">
        <v>1.2847999999999999E-4</v>
      </c>
      <c r="J1300" s="9">
        <v>1.0992E-4</v>
      </c>
      <c r="K1300" s="9">
        <v>3.2001000000000002E-4</v>
      </c>
      <c r="L1300" s="9">
        <v>8.1030000000000002E-5</v>
      </c>
      <c r="M1300" s="9">
        <v>8.5900000000000001E-5</v>
      </c>
      <c r="N1300" s="9">
        <v>9.0350000000000001E-5</v>
      </c>
      <c r="O1300" s="9">
        <v>6.3200000000000005E-5</v>
      </c>
      <c r="P1300" s="9">
        <v>6.1039999999999998E-5</v>
      </c>
      <c r="Q1300" s="9">
        <v>5.9219999999999999E-5</v>
      </c>
      <c r="R1300" s="10">
        <v>2.1227291108231626E-4</v>
      </c>
      <c r="S1300" s="10">
        <v>1.9028060720438749E-4</v>
      </c>
      <c r="T1300" s="10">
        <v>0</v>
      </c>
      <c r="U1300" s="10">
        <v>1.8432E-4</v>
      </c>
      <c r="V1300" s="25"/>
      <c r="W1300" s="25"/>
      <c r="X1300" s="25"/>
      <c r="Y1300" s="25"/>
      <c r="Z1300" s="25"/>
      <c r="AA1300" s="25"/>
    </row>
    <row r="1301" spans="1:27" x14ac:dyDescent="0.35">
      <c r="A1301" s="5">
        <v>1297</v>
      </c>
      <c r="B1301" s="5">
        <v>55</v>
      </c>
      <c r="C1301" s="5">
        <v>2</v>
      </c>
      <c r="D1301" s="25">
        <v>1.1416E-4</v>
      </c>
      <c r="E1301" s="25">
        <v>1.1504E-4</v>
      </c>
      <c r="F1301" s="25">
        <v>1.116E-4</v>
      </c>
      <c r="G1301" s="25">
        <v>6.3429999999999994E-5</v>
      </c>
      <c r="H1301" s="25">
        <v>4.2079999999999997E-5</v>
      </c>
      <c r="I1301" s="9">
        <v>1.2176E-4</v>
      </c>
      <c r="J1301" s="9">
        <v>1.0297E-4</v>
      </c>
      <c r="K1301" s="9">
        <v>3.2002000000000002E-4</v>
      </c>
      <c r="L1301" s="9">
        <v>6.7100000000000005E-5</v>
      </c>
      <c r="M1301" s="9">
        <v>7.4060000000000006E-5</v>
      </c>
      <c r="N1301" s="9">
        <v>8.106E-5</v>
      </c>
      <c r="O1301" s="9">
        <v>6.8349999999999994E-5</v>
      </c>
      <c r="P1301" s="9">
        <v>6.0859999999999997E-5</v>
      </c>
      <c r="Q1301" s="9">
        <v>5.3669999999999999E-5</v>
      </c>
      <c r="R1301" s="10">
        <v>2.1231453124203237E-4</v>
      </c>
      <c r="S1301" s="10">
        <v>1.9029012069293166E-4</v>
      </c>
      <c r="T1301" s="10">
        <v>0</v>
      </c>
      <c r="U1301" s="10">
        <v>1.8631999999999999E-4</v>
      </c>
      <c r="V1301" s="25"/>
      <c r="W1301" s="25"/>
      <c r="X1301" s="25"/>
      <c r="Y1301" s="25"/>
      <c r="Z1301" s="25"/>
      <c r="AA1301" s="25"/>
    </row>
    <row r="1302" spans="1:27" x14ac:dyDescent="0.35">
      <c r="A1302" s="5">
        <v>1298</v>
      </c>
      <c r="B1302" s="5">
        <v>55</v>
      </c>
      <c r="C1302" s="5">
        <v>2</v>
      </c>
      <c r="D1302" s="25">
        <v>1.1415000000000001E-4</v>
      </c>
      <c r="E1302" s="25">
        <v>1.2029E-4</v>
      </c>
      <c r="F1302" s="25">
        <v>1.2724000000000001E-4</v>
      </c>
      <c r="G1302" s="25">
        <v>5.9540000000000003E-5</v>
      </c>
      <c r="H1302" s="25">
        <v>4.426E-5</v>
      </c>
      <c r="I1302" s="9">
        <v>1.1682E-4</v>
      </c>
      <c r="J1302" s="9">
        <v>9.9079999999999993E-5</v>
      </c>
      <c r="K1302" s="9">
        <v>3.2002000000000002E-4</v>
      </c>
      <c r="L1302" s="9">
        <v>6.8460000000000005E-5</v>
      </c>
      <c r="M1302" s="9">
        <v>6.6500000000000004E-5</v>
      </c>
      <c r="N1302" s="9">
        <v>7.2039999999999995E-5</v>
      </c>
      <c r="O1302" s="9">
        <v>3.5150000000000001E-5</v>
      </c>
      <c r="P1302" s="9">
        <v>4.6109999999999997E-5</v>
      </c>
      <c r="Q1302" s="9">
        <v>5.6520000000000001E-5</v>
      </c>
      <c r="R1302" s="10">
        <v>2.1234219760514012E-4</v>
      </c>
      <c r="S1302" s="10">
        <v>1.9029020759484994E-4</v>
      </c>
      <c r="T1302" s="10">
        <v>0</v>
      </c>
      <c r="U1302" s="10">
        <v>1.8631999999999999E-4</v>
      </c>
      <c r="V1302" s="25"/>
      <c r="W1302" s="25"/>
      <c r="X1302" s="25"/>
      <c r="Y1302" s="25"/>
      <c r="Z1302" s="25"/>
      <c r="AA1302" s="25"/>
    </row>
    <row r="1303" spans="1:27" x14ac:dyDescent="0.35">
      <c r="A1303" s="5">
        <v>1299</v>
      </c>
      <c r="B1303" s="5">
        <v>55</v>
      </c>
      <c r="C1303" s="5">
        <v>2</v>
      </c>
      <c r="D1303" s="25">
        <v>1.1416E-4</v>
      </c>
      <c r="E1303" s="25">
        <v>1.2005E-4</v>
      </c>
      <c r="F1303" s="25">
        <v>1.2302999999999999E-4</v>
      </c>
      <c r="G1303" s="25">
        <v>6.3040000000000006E-5</v>
      </c>
      <c r="H1303" s="25">
        <v>4.4629999999999998E-5</v>
      </c>
      <c r="I1303" s="9">
        <v>1.1207E-4</v>
      </c>
      <c r="J1303" s="9">
        <v>9.7E-5</v>
      </c>
      <c r="K1303" s="9">
        <v>3.2214E-4</v>
      </c>
      <c r="L1303" s="9">
        <v>4.2400000000000001E-5</v>
      </c>
      <c r="M1303" s="9">
        <v>5.7550000000000003E-5</v>
      </c>
      <c r="N1303" s="9">
        <v>6.5599999999999995E-5</v>
      </c>
      <c r="O1303" s="9">
        <v>2.1569999999999998E-5</v>
      </c>
      <c r="P1303" s="9">
        <v>4.1879999999999999E-5</v>
      </c>
      <c r="Q1303" s="9">
        <v>6.1270000000000001E-5</v>
      </c>
      <c r="R1303" s="10">
        <v>2.1238558965361095E-4</v>
      </c>
      <c r="S1303" s="10">
        <v>1.9029020759484994E-4</v>
      </c>
      <c r="T1303" s="10">
        <v>0</v>
      </c>
      <c r="U1303" s="10">
        <v>1.8631999999999999E-4</v>
      </c>
      <c r="V1303" s="25"/>
      <c r="W1303" s="25"/>
      <c r="X1303" s="25"/>
      <c r="Y1303" s="25"/>
      <c r="Z1303" s="25"/>
      <c r="AA1303" s="25"/>
    </row>
    <row r="1304" spans="1:27" x14ac:dyDescent="0.35">
      <c r="A1304" s="5">
        <v>1300</v>
      </c>
      <c r="B1304" s="5">
        <v>55</v>
      </c>
      <c r="C1304" s="5">
        <v>2</v>
      </c>
      <c r="D1304" s="25">
        <v>1.1415000000000001E-4</v>
      </c>
      <c r="E1304" s="25">
        <v>1.1428E-4</v>
      </c>
      <c r="F1304" s="25">
        <v>1.2964000000000001E-4</v>
      </c>
      <c r="G1304" s="25">
        <v>5.6719999999999999E-5</v>
      </c>
      <c r="H1304" s="25">
        <v>3.9919999999999997E-5</v>
      </c>
      <c r="I1304" s="9">
        <v>1.0951999999999999E-4</v>
      </c>
      <c r="J1304" s="9">
        <v>9.5890000000000005E-5</v>
      </c>
      <c r="K1304" s="9">
        <v>3.2213000000000001E-4</v>
      </c>
      <c r="L1304" s="9">
        <v>2.6780000000000001E-5</v>
      </c>
      <c r="M1304" s="9">
        <v>4.9790000000000003E-5</v>
      </c>
      <c r="N1304" s="9">
        <v>6.1989999999999994E-5</v>
      </c>
      <c r="O1304" s="9">
        <v>2.107E-5</v>
      </c>
      <c r="P1304" s="9">
        <v>5.1140000000000002E-5</v>
      </c>
      <c r="Q1304" s="9">
        <v>8.0110000000000004E-5</v>
      </c>
      <c r="R1304" s="10">
        <v>2.1244141382088116E-4</v>
      </c>
      <c r="S1304" s="10">
        <v>1.9029020759484994E-4</v>
      </c>
      <c r="T1304" s="10">
        <v>0</v>
      </c>
      <c r="U1304" s="10">
        <v>1.8631999999999999E-4</v>
      </c>
      <c r="V1304" s="25"/>
      <c r="W1304" s="25"/>
      <c r="X1304" s="25"/>
      <c r="Y1304" s="25"/>
      <c r="Z1304" s="25"/>
      <c r="AA1304" s="25"/>
    </row>
    <row r="1305" spans="1:27" x14ac:dyDescent="0.35">
      <c r="A1305" s="5">
        <v>1301</v>
      </c>
      <c r="B1305" s="5">
        <v>55</v>
      </c>
      <c r="C1305" s="5">
        <v>2</v>
      </c>
      <c r="D1305" s="25">
        <v>1.1416E-4</v>
      </c>
      <c r="E1305" s="25">
        <v>1.1629E-4</v>
      </c>
      <c r="F1305" s="25">
        <v>1.2898E-4</v>
      </c>
      <c r="G1305" s="25">
        <v>6.1160000000000004E-5</v>
      </c>
      <c r="H1305" s="25">
        <v>4.1140000000000003E-5</v>
      </c>
      <c r="I1305" s="9">
        <v>1.1017E-4</v>
      </c>
      <c r="J1305" s="9">
        <v>9.6819999999999998E-5</v>
      </c>
      <c r="K1305" s="9">
        <v>3.2424999999999999E-4</v>
      </c>
      <c r="L1305" s="9">
        <v>2.279E-5</v>
      </c>
      <c r="M1305" s="9">
        <v>4.8420000000000001E-5</v>
      </c>
      <c r="N1305" s="9">
        <v>6.4460000000000003E-5</v>
      </c>
      <c r="O1305" s="9">
        <v>2.3110000000000001E-5</v>
      </c>
      <c r="P1305" s="9">
        <v>5.9089999999999998E-5</v>
      </c>
      <c r="Q1305" s="9">
        <v>9.391E-5</v>
      </c>
      <c r="R1305" s="10">
        <v>2.1244922202946404E-4</v>
      </c>
      <c r="S1305" s="10">
        <v>1.9029020759484994E-4</v>
      </c>
      <c r="T1305" s="10">
        <v>0</v>
      </c>
      <c r="U1305" s="10">
        <v>1.8631999999999999E-4</v>
      </c>
      <c r="V1305" s="25"/>
      <c r="W1305" s="25"/>
      <c r="X1305" s="25"/>
      <c r="Y1305" s="25"/>
      <c r="Z1305" s="25"/>
      <c r="AA1305" s="25"/>
    </row>
    <row r="1306" spans="1:27" x14ac:dyDescent="0.35">
      <c r="A1306" s="5">
        <v>1302</v>
      </c>
      <c r="B1306" s="5">
        <v>55</v>
      </c>
      <c r="C1306" s="5">
        <v>2</v>
      </c>
      <c r="D1306" s="25">
        <v>1.1415000000000001E-4</v>
      </c>
      <c r="E1306" s="25">
        <v>1.1957E-4</v>
      </c>
      <c r="F1306" s="25">
        <v>1.1355E-4</v>
      </c>
      <c r="G1306" s="25">
        <v>1.1208E-4</v>
      </c>
      <c r="H1306" s="25">
        <v>8.1500000000000002E-5</v>
      </c>
      <c r="I1306" s="9">
        <v>1.1506E-4</v>
      </c>
      <c r="J1306" s="9">
        <v>1.0030999999999999E-4</v>
      </c>
      <c r="K1306" s="9">
        <v>3.2424999999999999E-4</v>
      </c>
      <c r="L1306" s="9">
        <v>2.2969999999999999E-5</v>
      </c>
      <c r="M1306" s="9">
        <v>5.223E-5</v>
      </c>
      <c r="N1306" s="9">
        <v>7.1050000000000006E-5</v>
      </c>
      <c r="O1306" s="9">
        <v>2.915E-5</v>
      </c>
      <c r="P1306" s="9">
        <v>6.8159999999999998E-5</v>
      </c>
      <c r="Q1306" s="9">
        <v>1.0608E-4</v>
      </c>
      <c r="R1306" s="10">
        <v>2.1244933162921009E-4</v>
      </c>
      <c r="S1306" s="10">
        <v>1.9029020759484994E-4</v>
      </c>
      <c r="T1306" s="10">
        <v>0</v>
      </c>
      <c r="U1306" s="10">
        <v>1.8631999999999999E-4</v>
      </c>
      <c r="V1306" s="25"/>
      <c r="W1306" s="25"/>
      <c r="X1306" s="25"/>
      <c r="Y1306" s="25"/>
      <c r="Z1306" s="25"/>
      <c r="AA1306" s="25"/>
    </row>
    <row r="1307" spans="1:27" x14ac:dyDescent="0.35">
      <c r="A1307" s="5">
        <v>1303</v>
      </c>
      <c r="B1307" s="5">
        <v>55</v>
      </c>
      <c r="C1307" s="5">
        <v>2</v>
      </c>
      <c r="D1307" s="25">
        <v>1.1416E-4</v>
      </c>
      <c r="E1307" s="25">
        <v>1.11E-4</v>
      </c>
      <c r="F1307" s="25">
        <v>1.2171E-4</v>
      </c>
      <c r="G1307" s="25">
        <v>1.0987E-4</v>
      </c>
      <c r="H1307" s="25">
        <v>8.1230000000000007E-5</v>
      </c>
      <c r="I1307" s="9">
        <v>1.2926999999999999E-4</v>
      </c>
      <c r="J1307" s="9">
        <v>1.12E-4</v>
      </c>
      <c r="K1307" s="9">
        <v>3.2214E-4</v>
      </c>
      <c r="L1307" s="9">
        <v>2.7690000000000001E-5</v>
      </c>
      <c r="M1307" s="9">
        <v>5.91E-5</v>
      </c>
      <c r="N1307" s="9">
        <v>8.0530000000000003E-5</v>
      </c>
      <c r="O1307" s="9">
        <v>4.6480000000000002E-5</v>
      </c>
      <c r="P1307" s="9">
        <v>8.0359999999999996E-5</v>
      </c>
      <c r="Q1307" s="9">
        <v>1.1351E-4</v>
      </c>
      <c r="R1307" s="10">
        <v>2.1244936787709023E-4</v>
      </c>
      <c r="S1307" s="10">
        <v>1.9029020759484994E-4</v>
      </c>
      <c r="T1307" s="10">
        <v>0</v>
      </c>
      <c r="U1307" s="10">
        <v>1.8631999999999999E-4</v>
      </c>
      <c r="V1307" s="25"/>
      <c r="W1307" s="25"/>
      <c r="X1307" s="25"/>
      <c r="Y1307" s="25"/>
      <c r="Z1307" s="25"/>
      <c r="AA1307" s="25"/>
    </row>
    <row r="1308" spans="1:27" x14ac:dyDescent="0.35">
      <c r="A1308" s="5">
        <v>1304</v>
      </c>
      <c r="B1308" s="5">
        <v>55</v>
      </c>
      <c r="C1308" s="5">
        <v>2</v>
      </c>
      <c r="D1308" s="25">
        <v>1.1415000000000001E-4</v>
      </c>
      <c r="E1308" s="25">
        <v>1.108E-4</v>
      </c>
      <c r="F1308" s="25">
        <v>1.0959E-4</v>
      </c>
      <c r="G1308" s="25">
        <v>1.5841999999999999E-4</v>
      </c>
      <c r="H1308" s="25">
        <v>1.1704E-4</v>
      </c>
      <c r="I1308" s="9">
        <v>1.3872999999999999E-4</v>
      </c>
      <c r="J1308" s="9">
        <v>1.2826999999999999E-4</v>
      </c>
      <c r="K1308" s="9">
        <v>3.2636999999999998E-4</v>
      </c>
      <c r="L1308" s="9">
        <v>4.2200000000000003E-5</v>
      </c>
      <c r="M1308" s="9">
        <v>6.8460000000000005E-5</v>
      </c>
      <c r="N1308" s="9">
        <v>9.0849999999999999E-5</v>
      </c>
      <c r="O1308" s="9">
        <v>6.8659999999999997E-5</v>
      </c>
      <c r="P1308" s="9">
        <v>1.0325E-4</v>
      </c>
      <c r="Q1308" s="9">
        <v>1.3747999999999999E-4</v>
      </c>
      <c r="R1308" s="10">
        <v>2.1244935011175789E-4</v>
      </c>
      <c r="S1308" s="10">
        <v>1.9029020759484994E-4</v>
      </c>
      <c r="T1308" s="10">
        <v>1.483903956339926E-5</v>
      </c>
      <c r="U1308" s="10">
        <v>1.8631999999999999E-4</v>
      </c>
      <c r="V1308" s="25"/>
      <c r="W1308" s="25"/>
      <c r="X1308" s="25"/>
      <c r="Y1308" s="25"/>
      <c r="Z1308" s="25"/>
      <c r="AA1308" s="25"/>
    </row>
    <row r="1309" spans="1:27" x14ac:dyDescent="0.35">
      <c r="A1309" s="5">
        <v>1305</v>
      </c>
      <c r="B1309" s="5">
        <v>55</v>
      </c>
      <c r="C1309" s="5">
        <v>2</v>
      </c>
      <c r="D1309" s="25">
        <v>1.1416E-4</v>
      </c>
      <c r="E1309" s="25">
        <v>1.1754E-4</v>
      </c>
      <c r="F1309" s="25">
        <v>1.1445E-4</v>
      </c>
      <c r="G1309" s="25">
        <v>1.6728000000000001E-4</v>
      </c>
      <c r="H1309" s="25">
        <v>1.2183E-4</v>
      </c>
      <c r="I1309" s="9">
        <v>1.3903E-4</v>
      </c>
      <c r="J1309" s="9">
        <v>1.3778999999999999E-4</v>
      </c>
      <c r="K1309" s="9">
        <v>3.2001000000000002E-4</v>
      </c>
      <c r="L1309" s="9">
        <v>6.245E-5</v>
      </c>
      <c r="M1309" s="9">
        <v>8.3319999999999995E-5</v>
      </c>
      <c r="N1309" s="9">
        <v>1.0479E-4</v>
      </c>
      <c r="O1309" s="9">
        <v>9.925E-5</v>
      </c>
      <c r="P1309" s="9">
        <v>1.3721E-4</v>
      </c>
      <c r="Q1309" s="9">
        <v>1.7532E-4</v>
      </c>
      <c r="R1309" s="10">
        <v>2.1244886482901687E-4</v>
      </c>
      <c r="S1309" s="10">
        <v>1.9029016254643917E-4</v>
      </c>
      <c r="T1309" s="10">
        <v>1.5192834846300206E-4</v>
      </c>
      <c r="U1309" s="10">
        <v>1.8631999999999999E-4</v>
      </c>
      <c r="V1309" s="25"/>
      <c r="W1309" s="25"/>
      <c r="X1309" s="25"/>
      <c r="Y1309" s="25"/>
      <c r="Z1309" s="25"/>
      <c r="AA1309" s="25"/>
    </row>
    <row r="1310" spans="1:27" x14ac:dyDescent="0.35">
      <c r="A1310" s="5">
        <v>1306</v>
      </c>
      <c r="B1310" s="5">
        <v>55</v>
      </c>
      <c r="C1310" s="5">
        <v>2</v>
      </c>
      <c r="D1310" s="25">
        <v>1.1415000000000001E-4</v>
      </c>
      <c r="E1310" s="25">
        <v>1.104E-4</v>
      </c>
      <c r="F1310" s="25">
        <v>1.1056999999999999E-4</v>
      </c>
      <c r="G1310" s="25">
        <v>1.5901000000000001E-4</v>
      </c>
      <c r="H1310" s="25">
        <v>1.1535999999999999E-4</v>
      </c>
      <c r="I1310" s="9">
        <v>1.4112E-4</v>
      </c>
      <c r="J1310" s="9">
        <v>1.3975000000000001E-4</v>
      </c>
      <c r="K1310" s="9">
        <v>3.0729999999999999E-4</v>
      </c>
      <c r="L1310" s="9">
        <v>9.0619999999999996E-5</v>
      </c>
      <c r="M1310" s="9">
        <v>1.0647E-4</v>
      </c>
      <c r="N1310" s="9">
        <v>1.2446000000000001E-4</v>
      </c>
      <c r="O1310" s="9">
        <v>1.2915999999999999E-4</v>
      </c>
      <c r="P1310" s="9">
        <v>1.5522999999999999E-4</v>
      </c>
      <c r="Q1310" s="9">
        <v>1.8212999999999999E-4</v>
      </c>
      <c r="R1310" s="10">
        <v>2.1242432397867238E-4</v>
      </c>
      <c r="S1310" s="10">
        <v>1.9027083521624321E-4</v>
      </c>
      <c r="T1310" s="10">
        <v>5.2314189792978758E-5</v>
      </c>
      <c r="U1310" s="10">
        <v>1.8631999999999999E-4</v>
      </c>
      <c r="V1310" s="25"/>
      <c r="W1310" s="25"/>
      <c r="X1310" s="25"/>
      <c r="Y1310" s="25"/>
      <c r="Z1310" s="25"/>
      <c r="AA1310" s="25"/>
    </row>
    <row r="1311" spans="1:27" x14ac:dyDescent="0.35">
      <c r="A1311" s="5">
        <v>1307</v>
      </c>
      <c r="B1311" s="5">
        <v>55</v>
      </c>
      <c r="C1311" s="5">
        <v>2</v>
      </c>
      <c r="D1311" s="25">
        <v>1.1416E-4</v>
      </c>
      <c r="E1311" s="25">
        <v>1.1466E-4</v>
      </c>
      <c r="F1311" s="25">
        <v>1.2608000000000001E-4</v>
      </c>
      <c r="G1311" s="25">
        <v>1.6531E-4</v>
      </c>
      <c r="H1311" s="25">
        <v>1.2087E-4</v>
      </c>
      <c r="I1311" s="9">
        <v>1.4061E-4</v>
      </c>
      <c r="J1311" s="9">
        <v>1.3735E-4</v>
      </c>
      <c r="K1311" s="9">
        <v>3.1789999999999998E-4</v>
      </c>
      <c r="L1311" s="9">
        <v>1.1998999999999999E-4</v>
      </c>
      <c r="M1311" s="9">
        <v>1.2985000000000001E-4</v>
      </c>
      <c r="N1311" s="9">
        <v>1.4255E-4</v>
      </c>
      <c r="O1311" s="9">
        <v>1.3671000000000001E-4</v>
      </c>
      <c r="P1311" s="9">
        <v>1.5705999999999999E-4</v>
      </c>
      <c r="Q1311" s="9">
        <v>1.7846999999999999E-4</v>
      </c>
      <c r="R1311" s="10">
        <v>2.1175345264152852E-4</v>
      </c>
      <c r="S1311" s="10">
        <v>1.8987932118120216E-4</v>
      </c>
      <c r="T1311" s="10">
        <v>2.3267342537830837E-4</v>
      </c>
      <c r="U1311" s="10">
        <v>1.8631999999999999E-4</v>
      </c>
      <c r="V1311" s="25"/>
      <c r="W1311" s="25"/>
      <c r="X1311" s="25"/>
      <c r="Y1311" s="25"/>
      <c r="Z1311" s="25"/>
      <c r="AA1311" s="25"/>
    </row>
    <row r="1312" spans="1:27" x14ac:dyDescent="0.35">
      <c r="A1312" s="5">
        <v>1308</v>
      </c>
      <c r="B1312" s="5">
        <v>55</v>
      </c>
      <c r="C1312" s="5">
        <v>2</v>
      </c>
      <c r="D1312" s="25">
        <v>1.1415000000000001E-4</v>
      </c>
      <c r="E1312" s="25">
        <v>1.187E-4</v>
      </c>
      <c r="F1312" s="25">
        <v>1.2925E-4</v>
      </c>
      <c r="G1312" s="25">
        <v>1.6484E-4</v>
      </c>
      <c r="H1312" s="25">
        <v>1.1531000000000001E-4</v>
      </c>
      <c r="I1312" s="9">
        <v>1.4014E-4</v>
      </c>
      <c r="J1312" s="9">
        <v>1.3658E-4</v>
      </c>
      <c r="K1312" s="9">
        <v>3.0093999999999997E-4</v>
      </c>
      <c r="L1312" s="9">
        <v>1.3234E-4</v>
      </c>
      <c r="M1312" s="9">
        <v>1.4519000000000001E-4</v>
      </c>
      <c r="N1312" s="9">
        <v>1.5642E-4</v>
      </c>
      <c r="O1312" s="9">
        <v>1.3831999999999999E-4</v>
      </c>
      <c r="P1312" s="9">
        <v>1.5530000000000001E-4</v>
      </c>
      <c r="Q1312" s="9">
        <v>1.7343E-4</v>
      </c>
      <c r="R1312" s="10">
        <v>1.9725843233259509E-4</v>
      </c>
      <c r="S1312" s="10">
        <v>1.8985452361550427E-4</v>
      </c>
      <c r="T1312" s="10">
        <v>3.6137176222062026E-4</v>
      </c>
      <c r="U1312" s="10">
        <v>1.8631999999999999E-4</v>
      </c>
      <c r="V1312" s="25"/>
      <c r="W1312" s="25"/>
      <c r="X1312" s="25"/>
      <c r="Y1312" s="25"/>
      <c r="Z1312" s="25"/>
      <c r="AA1312" s="25"/>
    </row>
    <row r="1313" spans="1:27" x14ac:dyDescent="0.35">
      <c r="A1313" s="5">
        <v>1309</v>
      </c>
      <c r="B1313" s="5">
        <v>55</v>
      </c>
      <c r="C1313" s="5">
        <v>2</v>
      </c>
      <c r="D1313" s="25">
        <v>1.1416E-4</v>
      </c>
      <c r="E1313" s="25">
        <v>1.1467E-4</v>
      </c>
      <c r="F1313" s="25">
        <v>1.1349E-4</v>
      </c>
      <c r="G1313" s="25">
        <v>1.6729000000000001E-4</v>
      </c>
      <c r="H1313" s="25">
        <v>1.2097E-4</v>
      </c>
      <c r="I1313" s="9">
        <v>1.3660000000000001E-4</v>
      </c>
      <c r="J1313" s="9">
        <v>1.3637999999999999E-4</v>
      </c>
      <c r="K1313" s="9">
        <v>2.9245999999999997E-4</v>
      </c>
      <c r="L1313" s="9">
        <v>1.3684E-4</v>
      </c>
      <c r="M1313" s="9">
        <v>1.5211000000000001E-4</v>
      </c>
      <c r="N1313" s="9">
        <v>1.6572000000000001E-4</v>
      </c>
      <c r="O1313" s="9">
        <v>1.2936999999999999E-4</v>
      </c>
      <c r="P1313" s="9">
        <v>1.4715E-4</v>
      </c>
      <c r="Q1313" s="9">
        <v>1.6589999999999999E-4</v>
      </c>
      <c r="R1313" s="10">
        <v>1.9266217076686486E-4</v>
      </c>
      <c r="S1313" s="10">
        <v>1.8930147458335952E-4</v>
      </c>
      <c r="T1313" s="10">
        <v>2.5639552636130688E-5</v>
      </c>
      <c r="U1313" s="10">
        <v>1.8631999999999999E-4</v>
      </c>
      <c r="V1313" s="25"/>
      <c r="W1313" s="25"/>
      <c r="X1313" s="25"/>
      <c r="Y1313" s="25"/>
      <c r="Z1313" s="25"/>
      <c r="AA1313" s="25"/>
    </row>
    <row r="1314" spans="1:27" x14ac:dyDescent="0.35">
      <c r="A1314" s="5">
        <v>1310</v>
      </c>
      <c r="B1314" s="5">
        <v>55</v>
      </c>
      <c r="C1314" s="5">
        <v>2</v>
      </c>
      <c r="D1314" s="25">
        <v>1.1415000000000001E-4</v>
      </c>
      <c r="E1314" s="25">
        <v>1.1591000000000001E-4</v>
      </c>
      <c r="F1314" s="25">
        <v>1.2453E-4</v>
      </c>
      <c r="G1314" s="25">
        <v>1.5786000000000001E-4</v>
      </c>
      <c r="H1314" s="25">
        <v>1.1819000000000001E-4</v>
      </c>
      <c r="I1314" s="9">
        <v>1.3583000000000001E-4</v>
      </c>
      <c r="J1314" s="9">
        <v>1.3616999999999999E-4</v>
      </c>
      <c r="K1314" s="9">
        <v>2.7338999999999998E-4</v>
      </c>
      <c r="L1314" s="9">
        <v>1.3107E-4</v>
      </c>
      <c r="M1314" s="9">
        <v>1.5163000000000001E-4</v>
      </c>
      <c r="N1314" s="9">
        <v>1.6971999999999999E-4</v>
      </c>
      <c r="O1314" s="9">
        <v>1.1237E-4</v>
      </c>
      <c r="P1314" s="9">
        <v>1.3593000000000001E-4</v>
      </c>
      <c r="Q1314" s="9">
        <v>1.6007E-4</v>
      </c>
      <c r="R1314" s="10">
        <v>1.8740483531064841E-4</v>
      </c>
      <c r="S1314" s="10">
        <v>1.8851957416877267E-4</v>
      </c>
      <c r="T1314" s="10">
        <v>2.6724694523013912E-4</v>
      </c>
      <c r="U1314" s="10">
        <v>1.8631999999999999E-4</v>
      </c>
      <c r="V1314" s="25"/>
      <c r="W1314" s="25"/>
      <c r="X1314" s="25"/>
      <c r="Y1314" s="25"/>
      <c r="Z1314" s="25"/>
      <c r="AA1314" s="25"/>
    </row>
    <row r="1315" spans="1:27" x14ac:dyDescent="0.35">
      <c r="A1315" s="5">
        <v>1311</v>
      </c>
      <c r="B1315" s="5">
        <v>55</v>
      </c>
      <c r="C1315" s="5">
        <v>2</v>
      </c>
      <c r="D1315" s="25">
        <v>1.1416E-4</v>
      </c>
      <c r="E1315" s="25">
        <v>1.1627E-4</v>
      </c>
      <c r="F1315" s="25">
        <v>1.2632E-4</v>
      </c>
      <c r="G1315" s="25">
        <v>1.5841E-4</v>
      </c>
      <c r="H1315" s="25">
        <v>1.1471E-4</v>
      </c>
      <c r="I1315" s="9">
        <v>1.3320000000000001E-4</v>
      </c>
      <c r="J1315" s="9">
        <v>1.3632999999999999E-4</v>
      </c>
      <c r="K1315" s="9">
        <v>2.6916E-4</v>
      </c>
      <c r="L1315" s="9">
        <v>1.167E-4</v>
      </c>
      <c r="M1315" s="9">
        <v>1.4559999999999999E-4</v>
      </c>
      <c r="N1315" s="9">
        <v>1.6919999999999999E-4</v>
      </c>
      <c r="O1315" s="9">
        <v>1.2836999999999999E-4</v>
      </c>
      <c r="P1315" s="9">
        <v>1.4035999999999999E-4</v>
      </c>
      <c r="Q1315" s="9">
        <v>1.5338E-4</v>
      </c>
      <c r="R1315" s="10">
        <v>1.6965395481244159E-4</v>
      </c>
      <c r="S1315" s="10">
        <v>1.8874845497593497E-4</v>
      </c>
      <c r="T1315" s="10">
        <v>2.684771686359098E-4</v>
      </c>
      <c r="U1315" s="10">
        <v>1.8631999999999999E-4</v>
      </c>
      <c r="V1315" s="25"/>
      <c r="W1315" s="25"/>
      <c r="X1315" s="25"/>
      <c r="Y1315" s="25"/>
      <c r="Z1315" s="25"/>
      <c r="AA1315" s="25"/>
    </row>
    <row r="1316" spans="1:27" x14ac:dyDescent="0.35">
      <c r="A1316" s="5">
        <v>1312</v>
      </c>
      <c r="B1316" s="5">
        <v>55</v>
      </c>
      <c r="C1316" s="5">
        <v>2</v>
      </c>
      <c r="D1316" s="25">
        <v>1.1415000000000001E-4</v>
      </c>
      <c r="E1316" s="25">
        <v>1.2171E-4</v>
      </c>
      <c r="F1316" s="25">
        <v>1.1512E-4</v>
      </c>
      <c r="G1316" s="25">
        <v>1.5985000000000001E-4</v>
      </c>
      <c r="H1316" s="25">
        <v>1.1475E-4</v>
      </c>
      <c r="I1316" s="9">
        <v>1.3138000000000001E-4</v>
      </c>
      <c r="J1316" s="9">
        <v>1.3684E-4</v>
      </c>
      <c r="K1316" s="9">
        <v>2.8610000000000002E-4</v>
      </c>
      <c r="L1316" s="9">
        <v>1.2621999999999999E-4</v>
      </c>
      <c r="M1316" s="9">
        <v>1.4202999999999999E-4</v>
      </c>
      <c r="N1316" s="9">
        <v>1.6561000000000001E-4</v>
      </c>
      <c r="O1316" s="9">
        <v>1.3404000000000001E-4</v>
      </c>
      <c r="P1316" s="9">
        <v>1.2089E-4</v>
      </c>
      <c r="Q1316" s="9">
        <v>1.0928E-4</v>
      </c>
      <c r="R1316" s="10">
        <v>1.5985694937263917E-4</v>
      </c>
      <c r="S1316" s="10">
        <v>1.8973850943636018E-4</v>
      </c>
      <c r="T1316" s="10">
        <v>2.8479247628623389E-4</v>
      </c>
      <c r="U1316" s="10">
        <v>1.8631999999999999E-4</v>
      </c>
      <c r="V1316" s="25"/>
      <c r="W1316" s="25"/>
      <c r="X1316" s="25"/>
      <c r="Y1316" s="25"/>
      <c r="Z1316" s="25"/>
      <c r="AA1316" s="25"/>
    </row>
    <row r="1317" spans="1:27" x14ac:dyDescent="0.35">
      <c r="A1317" s="5">
        <v>1313</v>
      </c>
      <c r="B1317" s="5">
        <v>55</v>
      </c>
      <c r="C1317" s="5">
        <v>2</v>
      </c>
      <c r="D1317" s="25">
        <v>1.1416E-4</v>
      </c>
      <c r="E1317" s="25">
        <v>1.1334E-4</v>
      </c>
      <c r="F1317" s="25">
        <v>1.215E-4</v>
      </c>
      <c r="G1317" s="25">
        <v>1.6108999999999999E-4</v>
      </c>
      <c r="H1317" s="25">
        <v>1.2129999999999999E-4</v>
      </c>
      <c r="I1317" s="9">
        <v>1.3077E-4</v>
      </c>
      <c r="J1317" s="9">
        <v>1.3804E-4</v>
      </c>
      <c r="K1317" s="9">
        <v>3.0518E-4</v>
      </c>
      <c r="L1317" s="9">
        <v>1.3201E-4</v>
      </c>
      <c r="M1317" s="9">
        <v>1.3367000000000001E-4</v>
      </c>
      <c r="N1317" s="9">
        <v>1.5195000000000001E-4</v>
      </c>
      <c r="O1317" s="9">
        <v>1.4040999999999999E-4</v>
      </c>
      <c r="P1317" s="9">
        <v>1.2276999999999999E-4</v>
      </c>
      <c r="Q1317" s="9">
        <v>1.0685E-4</v>
      </c>
      <c r="R1317" s="10">
        <v>1.6353780682486029E-4</v>
      </c>
      <c r="S1317" s="10">
        <v>1.8975850259116885E-4</v>
      </c>
      <c r="T1317" s="10">
        <v>1.5096962263643594E-4</v>
      </c>
      <c r="U1317" s="10">
        <v>1.8631999999999999E-4</v>
      </c>
      <c r="V1317" s="25"/>
      <c r="W1317" s="25"/>
      <c r="X1317" s="25"/>
      <c r="Y1317" s="25"/>
      <c r="Z1317" s="25"/>
      <c r="AA1317" s="25"/>
    </row>
    <row r="1318" spans="1:27" x14ac:dyDescent="0.35">
      <c r="A1318" s="5">
        <v>1314</v>
      </c>
      <c r="B1318" s="5">
        <v>55</v>
      </c>
      <c r="C1318" s="5">
        <v>2</v>
      </c>
      <c r="D1318" s="25">
        <v>1.1415000000000001E-4</v>
      </c>
      <c r="E1318" s="25">
        <v>1.136E-4</v>
      </c>
      <c r="F1318" s="25">
        <v>1.1557000000000001E-4</v>
      </c>
      <c r="G1318" s="25">
        <v>1.6424000000000001E-4</v>
      </c>
      <c r="H1318" s="25">
        <v>1.1680000000000001E-4</v>
      </c>
      <c r="I1318" s="9">
        <v>1.3307999999999999E-4</v>
      </c>
      <c r="J1318" s="9">
        <v>1.3951999999999999E-4</v>
      </c>
      <c r="K1318" s="9">
        <v>3.2213000000000001E-4</v>
      </c>
      <c r="L1318" s="9">
        <v>1.3829000000000001E-4</v>
      </c>
      <c r="M1318" s="9">
        <v>1.2760000000000001E-4</v>
      </c>
      <c r="N1318" s="9">
        <v>1.3870000000000001E-4</v>
      </c>
      <c r="O1318" s="9">
        <v>1.4258000000000001E-4</v>
      </c>
      <c r="P1318" s="9">
        <v>1.2977999999999999E-4</v>
      </c>
      <c r="Q1318" s="9">
        <v>1.1865E-4</v>
      </c>
      <c r="R1318" s="10">
        <v>1.7348971293256854E-4</v>
      </c>
      <c r="S1318" s="10">
        <v>1.9010896901536603E-4</v>
      </c>
      <c r="T1318" s="10">
        <v>0</v>
      </c>
      <c r="U1318" s="10">
        <v>1.8631999999999999E-4</v>
      </c>
      <c r="V1318" s="25"/>
      <c r="W1318" s="25"/>
      <c r="X1318" s="25"/>
      <c r="Y1318" s="25"/>
      <c r="Z1318" s="25"/>
      <c r="AA1318" s="25"/>
    </row>
    <row r="1319" spans="1:27" x14ac:dyDescent="0.35">
      <c r="A1319" s="5">
        <v>1315</v>
      </c>
      <c r="B1319" s="5">
        <v>55</v>
      </c>
      <c r="C1319" s="5">
        <v>2</v>
      </c>
      <c r="D1319" s="25">
        <v>1.1416E-4</v>
      </c>
      <c r="E1319" s="25">
        <v>1.1184E-4</v>
      </c>
      <c r="F1319" s="25">
        <v>1.1223E-4</v>
      </c>
      <c r="G1319" s="25">
        <v>1.0985E-4</v>
      </c>
      <c r="H1319" s="25">
        <v>8.3659999999999995E-5</v>
      </c>
      <c r="I1319" s="9">
        <v>1.4098E-4</v>
      </c>
      <c r="J1319" s="9">
        <v>1.4151999999999999E-4</v>
      </c>
      <c r="K1319" s="9">
        <v>3.2002000000000002E-4</v>
      </c>
      <c r="L1319" s="9">
        <v>1.4154E-4</v>
      </c>
      <c r="M1319" s="9">
        <v>1.2698000000000001E-4</v>
      </c>
      <c r="N1319" s="9">
        <v>1.2999999999999999E-4</v>
      </c>
      <c r="O1319" s="9">
        <v>1.4245999999999999E-4</v>
      </c>
      <c r="P1319" s="9">
        <v>1.2402999999999999E-4</v>
      </c>
      <c r="Q1319" s="9">
        <v>1.0734999999999999E-4</v>
      </c>
      <c r="R1319" s="10">
        <v>1.7534751056468958E-4</v>
      </c>
      <c r="S1319" s="10">
        <v>1.8959839164960193E-4</v>
      </c>
      <c r="T1319" s="10">
        <v>0</v>
      </c>
      <c r="U1319" s="10">
        <v>1.8631999999999999E-4</v>
      </c>
      <c r="V1319" s="25"/>
      <c r="W1319" s="25"/>
      <c r="X1319" s="25"/>
      <c r="Y1319" s="25"/>
      <c r="Z1319" s="25"/>
      <c r="AA1319" s="25"/>
    </row>
    <row r="1320" spans="1:27" x14ac:dyDescent="0.35">
      <c r="A1320" s="5">
        <v>1316</v>
      </c>
      <c r="B1320" s="5">
        <v>55</v>
      </c>
      <c r="C1320" s="5">
        <v>2</v>
      </c>
      <c r="D1320" s="25">
        <v>1.1415000000000001E-4</v>
      </c>
      <c r="E1320" s="25">
        <v>1.1883E-4</v>
      </c>
      <c r="F1320" s="25">
        <v>1.1022999999999999E-4</v>
      </c>
      <c r="G1320" s="25">
        <v>1.1506999999999999E-4</v>
      </c>
      <c r="H1320" s="25">
        <v>7.7979999999999995E-5</v>
      </c>
      <c r="I1320" s="9">
        <v>1.4135999999999999E-4</v>
      </c>
      <c r="J1320" s="9">
        <v>1.4206000000000001E-4</v>
      </c>
      <c r="K1320" s="9">
        <v>3.3484999999999998E-4</v>
      </c>
      <c r="L1320" s="9">
        <v>1.4219999999999999E-4</v>
      </c>
      <c r="M1320" s="9">
        <v>1.2604000000000001E-4</v>
      </c>
      <c r="N1320" s="9">
        <v>1.2104000000000001E-4</v>
      </c>
      <c r="O1320" s="9">
        <v>1.4332E-4</v>
      </c>
      <c r="P1320" s="9">
        <v>1.2126E-4</v>
      </c>
      <c r="Q1320" s="9">
        <v>1.0103E-4</v>
      </c>
      <c r="R1320" s="10">
        <v>1.7818365631362253E-4</v>
      </c>
      <c r="S1320" s="10">
        <v>1.8974012182005308E-4</v>
      </c>
      <c r="T1320" s="10">
        <v>0</v>
      </c>
      <c r="U1320" s="10">
        <v>1.8631999999999999E-4</v>
      </c>
      <c r="V1320" s="25"/>
      <c r="W1320" s="25"/>
      <c r="X1320" s="25"/>
      <c r="Y1320" s="25"/>
      <c r="Z1320" s="25"/>
      <c r="AA1320" s="25"/>
    </row>
    <row r="1321" spans="1:27" x14ac:dyDescent="0.35">
      <c r="A1321" s="5">
        <v>1317</v>
      </c>
      <c r="B1321" s="5">
        <v>55</v>
      </c>
      <c r="C1321" s="5">
        <v>2</v>
      </c>
      <c r="D1321" s="25">
        <v>1.1416E-4</v>
      </c>
      <c r="E1321" s="25">
        <v>1.1877E-4</v>
      </c>
      <c r="F1321" s="25">
        <v>1.0855E-4</v>
      </c>
      <c r="G1321" s="25">
        <v>5.9469999999999998E-5</v>
      </c>
      <c r="H1321" s="25">
        <v>4.1069999999999998E-5</v>
      </c>
      <c r="I1321" s="9">
        <v>1.3477000000000001E-4</v>
      </c>
      <c r="J1321" s="9">
        <v>1.3592000000000001E-4</v>
      </c>
      <c r="K1321" s="9">
        <v>3.4332999999999998E-4</v>
      </c>
      <c r="L1321" s="9">
        <v>1.4310000000000001E-4</v>
      </c>
      <c r="M1321" s="9">
        <v>1.2409000000000001E-4</v>
      </c>
      <c r="N1321" s="9">
        <v>1.1319000000000001E-4</v>
      </c>
      <c r="O1321" s="9">
        <v>8.4580000000000007E-5</v>
      </c>
      <c r="P1321" s="9">
        <v>8.6130000000000004E-5</v>
      </c>
      <c r="Q1321" s="9">
        <v>8.8120000000000003E-5</v>
      </c>
      <c r="R1321" s="10">
        <v>1.6773776933434658E-4</v>
      </c>
      <c r="S1321" s="10">
        <v>1.8910430734556287E-4</v>
      </c>
      <c r="T1321" s="10">
        <v>0</v>
      </c>
      <c r="U1321" s="10">
        <v>1.8631999999999999E-4</v>
      </c>
      <c r="V1321" s="25"/>
      <c r="W1321" s="25"/>
      <c r="X1321" s="25"/>
      <c r="Y1321" s="25"/>
      <c r="Z1321" s="25"/>
      <c r="AA1321" s="25"/>
    </row>
    <row r="1322" spans="1:27" x14ac:dyDescent="0.35">
      <c r="A1322" s="5">
        <v>1318</v>
      </c>
      <c r="B1322" s="5">
        <v>55</v>
      </c>
      <c r="C1322" s="5">
        <v>2</v>
      </c>
      <c r="D1322" s="25">
        <v>1.1415000000000001E-4</v>
      </c>
      <c r="E1322" s="25">
        <v>1.1128000000000001E-4</v>
      </c>
      <c r="F1322" s="25">
        <v>1.1003E-4</v>
      </c>
      <c r="G1322" s="25">
        <v>5.7240000000000001E-5</v>
      </c>
      <c r="H1322" s="25">
        <v>3.8290000000000001E-5</v>
      </c>
      <c r="I1322" s="9">
        <v>1.2771000000000001E-4</v>
      </c>
      <c r="J1322" s="9">
        <v>1.2783E-4</v>
      </c>
      <c r="K1322" s="9">
        <v>3.4968999999999999E-4</v>
      </c>
      <c r="L1322" s="9">
        <v>9.7449999999999997E-5</v>
      </c>
      <c r="M1322" s="9">
        <v>1.0986E-4</v>
      </c>
      <c r="N1322" s="9">
        <v>1.0556E-4</v>
      </c>
      <c r="O1322" s="9">
        <v>8.7609999999999996E-5</v>
      </c>
      <c r="P1322" s="9">
        <v>8.7739999999999997E-5</v>
      </c>
      <c r="Q1322" s="9">
        <v>8.8389999999999999E-5</v>
      </c>
      <c r="R1322" s="10">
        <v>1.6517647302114521E-4</v>
      </c>
      <c r="S1322" s="10">
        <v>1.8943200007742289E-4</v>
      </c>
      <c r="T1322" s="10">
        <v>0</v>
      </c>
      <c r="U1322" s="10">
        <v>1.8631999999999999E-4</v>
      </c>
      <c r="V1322" s="25"/>
      <c r="W1322" s="25"/>
      <c r="X1322" s="25"/>
      <c r="Y1322" s="25"/>
      <c r="Z1322" s="25"/>
      <c r="AA1322" s="25"/>
    </row>
    <row r="1323" spans="1:27" x14ac:dyDescent="0.35">
      <c r="A1323" s="5">
        <v>1319</v>
      </c>
      <c r="B1323" s="5">
        <v>55</v>
      </c>
      <c r="C1323" s="5">
        <v>2</v>
      </c>
      <c r="D1323" s="25">
        <v>1.1416E-4</v>
      </c>
      <c r="E1323" s="25">
        <v>1.1173E-4</v>
      </c>
      <c r="F1323" s="25">
        <v>1.1388E-4</v>
      </c>
      <c r="G1323" s="25">
        <v>5.2760000000000003E-5</v>
      </c>
      <c r="H1323" s="25">
        <v>4.464E-5</v>
      </c>
      <c r="I1323" s="9">
        <v>1.2935E-4</v>
      </c>
      <c r="J1323" s="9">
        <v>1.1901E-4</v>
      </c>
      <c r="K1323" s="9">
        <v>3.6028999999999998E-4</v>
      </c>
      <c r="L1323" s="9">
        <v>9.1039999999999996E-5</v>
      </c>
      <c r="M1323" s="9">
        <v>9.8090000000000004E-5</v>
      </c>
      <c r="N1323" s="9">
        <v>9.9779999999999997E-5</v>
      </c>
      <c r="O1323" s="9">
        <v>8.4040000000000002E-5</v>
      </c>
      <c r="P1323" s="9">
        <v>7.4880000000000001E-5</v>
      </c>
      <c r="Q1323" s="9">
        <v>6.6329999999999997E-5</v>
      </c>
      <c r="R1323" s="10">
        <v>1.678758146247451E-4</v>
      </c>
      <c r="S1323" s="10">
        <v>1.8959021137015893E-4</v>
      </c>
      <c r="T1323" s="10">
        <v>0</v>
      </c>
      <c r="U1323" s="10">
        <v>1.8631999999999999E-4</v>
      </c>
      <c r="V1323" s="25"/>
      <c r="W1323" s="25"/>
      <c r="X1323" s="25"/>
      <c r="Y1323" s="25"/>
      <c r="Z1323" s="25"/>
      <c r="AA1323" s="25"/>
    </row>
    <row r="1324" spans="1:27" x14ac:dyDescent="0.35">
      <c r="A1324" s="5">
        <v>1320</v>
      </c>
      <c r="B1324" s="5">
        <v>55</v>
      </c>
      <c r="C1324" s="5">
        <v>2</v>
      </c>
      <c r="D1324" s="25">
        <v>1.1415000000000001E-4</v>
      </c>
      <c r="E1324" s="25">
        <v>1.1812E-4</v>
      </c>
      <c r="F1324" s="25">
        <v>1.1037E-4</v>
      </c>
      <c r="G1324" s="25">
        <v>6.143E-5</v>
      </c>
      <c r="H1324" s="25">
        <v>3.871E-5</v>
      </c>
      <c r="I1324" s="9">
        <v>1.2799E-4</v>
      </c>
      <c r="J1324" s="9">
        <v>1.1112000000000001E-4</v>
      </c>
      <c r="K1324" s="9">
        <v>3.6664E-4</v>
      </c>
      <c r="L1324" s="9">
        <v>8.5790000000000004E-5</v>
      </c>
      <c r="M1324" s="9">
        <v>8.6990000000000006E-5</v>
      </c>
      <c r="N1324" s="9">
        <v>9.0359999999999995E-5</v>
      </c>
      <c r="O1324" s="9">
        <v>7.9889999999999996E-5</v>
      </c>
      <c r="P1324" s="9">
        <v>6.9350000000000005E-5</v>
      </c>
      <c r="Q1324" s="9">
        <v>5.9370000000000002E-5</v>
      </c>
      <c r="R1324" s="10">
        <v>1.7388983079941908E-4</v>
      </c>
      <c r="S1324" s="10">
        <v>1.8960308475886938E-4</v>
      </c>
      <c r="T1324" s="10">
        <v>0</v>
      </c>
      <c r="U1324" s="10">
        <v>1.8631999999999999E-4</v>
      </c>
      <c r="V1324" s="25"/>
      <c r="W1324" s="25"/>
      <c r="X1324" s="25"/>
      <c r="Y1324" s="25"/>
      <c r="Z1324" s="25"/>
      <c r="AA1324" s="25"/>
    </row>
    <row r="1325" spans="1:27" x14ac:dyDescent="0.35">
      <c r="A1325" s="5">
        <v>1321</v>
      </c>
      <c r="B1325" s="5">
        <v>56</v>
      </c>
      <c r="C1325" s="5">
        <v>2</v>
      </c>
      <c r="D1325" s="25">
        <v>1.1416E-4</v>
      </c>
      <c r="E1325" s="25">
        <v>1.0516E-4</v>
      </c>
      <c r="F1325" s="25">
        <v>1.1065000000000001E-4</v>
      </c>
      <c r="G1325" s="25">
        <v>5.5220000000000003E-5</v>
      </c>
      <c r="H1325" s="25">
        <v>1.447E-5</v>
      </c>
      <c r="I1325" s="9">
        <v>1.2120000000000001E-4</v>
      </c>
      <c r="J1325" s="9">
        <v>1.0408000000000001E-4</v>
      </c>
      <c r="K1325" s="9">
        <v>3.7512E-4</v>
      </c>
      <c r="L1325" s="9">
        <v>8.0989999999999995E-5</v>
      </c>
      <c r="M1325" s="9">
        <v>7.8120000000000004E-5</v>
      </c>
      <c r="N1325" s="9">
        <v>8.1080000000000003E-5</v>
      </c>
      <c r="O1325" s="9">
        <v>6.8089999999999994E-5</v>
      </c>
      <c r="P1325" s="9">
        <v>6.0630000000000001E-5</v>
      </c>
      <c r="Q1325" s="9">
        <v>5.3470000000000001E-5</v>
      </c>
      <c r="R1325" s="10">
        <v>1.7156856528052381E-4</v>
      </c>
      <c r="S1325" s="10">
        <v>1.8995003793417672E-4</v>
      </c>
      <c r="T1325" s="10">
        <v>0</v>
      </c>
      <c r="U1325" s="10">
        <v>1.8450000000000001E-4</v>
      </c>
      <c r="V1325" s="25"/>
      <c r="W1325" s="25"/>
      <c r="X1325" s="25"/>
      <c r="Y1325" s="25"/>
      <c r="Z1325" s="25"/>
      <c r="AA1325" s="25"/>
    </row>
    <row r="1326" spans="1:27" x14ac:dyDescent="0.35">
      <c r="A1326" s="5">
        <v>1322</v>
      </c>
      <c r="B1326" s="5">
        <v>56</v>
      </c>
      <c r="C1326" s="5">
        <v>2</v>
      </c>
      <c r="D1326" s="25">
        <v>1.1415000000000001E-4</v>
      </c>
      <c r="E1326" s="25">
        <v>1.0565000000000001E-4</v>
      </c>
      <c r="F1326" s="25">
        <v>9.3839999999999996E-5</v>
      </c>
      <c r="G1326" s="25">
        <v>6.0300000000000002E-5</v>
      </c>
      <c r="H1326" s="25">
        <v>1.314E-5</v>
      </c>
      <c r="I1326" s="9">
        <v>1.159E-4</v>
      </c>
      <c r="J1326" s="9">
        <v>9.9439999999999997E-5</v>
      </c>
      <c r="K1326" s="9">
        <v>3.6875999999999999E-4</v>
      </c>
      <c r="L1326" s="9">
        <v>7.1050000000000006E-5</v>
      </c>
      <c r="M1326" s="9">
        <v>6.9759999999999996E-5</v>
      </c>
      <c r="N1326" s="9">
        <v>7.2020000000000005E-5</v>
      </c>
      <c r="O1326" s="9">
        <v>3.4740000000000003E-5</v>
      </c>
      <c r="P1326" s="9">
        <v>4.5569999999999999E-5</v>
      </c>
      <c r="Q1326" s="9">
        <v>5.5850000000000002E-5</v>
      </c>
      <c r="R1326" s="10">
        <v>1.6812473828837514E-4</v>
      </c>
      <c r="S1326" s="10">
        <v>1.8993135276439575E-4</v>
      </c>
      <c r="T1326" s="10">
        <v>0</v>
      </c>
      <c r="U1326" s="10">
        <v>1.8450000000000001E-4</v>
      </c>
      <c r="V1326" s="25"/>
      <c r="W1326" s="25"/>
      <c r="X1326" s="25"/>
      <c r="Y1326" s="25"/>
      <c r="Z1326" s="25"/>
      <c r="AA1326" s="25"/>
    </row>
    <row r="1327" spans="1:27" x14ac:dyDescent="0.35">
      <c r="A1327" s="5">
        <v>1323</v>
      </c>
      <c r="B1327" s="5">
        <v>56</v>
      </c>
      <c r="C1327" s="5">
        <v>2</v>
      </c>
      <c r="D1327" s="25">
        <v>1.1416E-4</v>
      </c>
      <c r="E1327" s="25">
        <v>1.0387000000000001E-4</v>
      </c>
      <c r="F1327" s="25">
        <v>1.0145999999999999E-4</v>
      </c>
      <c r="G1327" s="25">
        <v>6.1450000000000003E-5</v>
      </c>
      <c r="H1327" s="25">
        <v>1.2989999999999999E-5</v>
      </c>
      <c r="I1327" s="9">
        <v>1.1150999999999999E-4</v>
      </c>
      <c r="J1327" s="9">
        <v>9.7709999999999998E-5</v>
      </c>
      <c r="K1327" s="9">
        <v>3.7723999999999999E-4</v>
      </c>
      <c r="L1327" s="9">
        <v>4.299E-5</v>
      </c>
      <c r="M1327" s="9">
        <v>5.9070000000000002E-5</v>
      </c>
      <c r="N1327" s="9">
        <v>6.5409999999999999E-5</v>
      </c>
      <c r="O1327" s="9">
        <v>2.1509999999999999E-5</v>
      </c>
      <c r="P1327" s="9">
        <v>4.176E-5</v>
      </c>
      <c r="Q1327" s="9">
        <v>6.109E-5</v>
      </c>
      <c r="R1327" s="10">
        <v>1.6399894932408131E-4</v>
      </c>
      <c r="S1327" s="10">
        <v>1.889894652558125E-4</v>
      </c>
      <c r="T1327" s="10">
        <v>0</v>
      </c>
      <c r="U1327" s="10">
        <v>1.8450000000000001E-4</v>
      </c>
      <c r="V1327" s="25"/>
      <c r="W1327" s="25"/>
      <c r="X1327" s="25"/>
      <c r="Y1327" s="25"/>
      <c r="Z1327" s="25"/>
      <c r="AA1327" s="25"/>
    </row>
    <row r="1328" spans="1:27" x14ac:dyDescent="0.35">
      <c r="A1328" s="5">
        <v>1324</v>
      </c>
      <c r="B1328" s="5">
        <v>56</v>
      </c>
      <c r="C1328" s="5">
        <v>2</v>
      </c>
      <c r="D1328" s="25">
        <v>1.1415000000000001E-4</v>
      </c>
      <c r="E1328" s="25">
        <v>1.0518000000000001E-4</v>
      </c>
      <c r="F1328" s="25">
        <v>1.0933999999999999E-4</v>
      </c>
      <c r="G1328" s="25">
        <v>5.7210000000000003E-5</v>
      </c>
      <c r="H1328" s="25">
        <v>1.295E-5</v>
      </c>
      <c r="I1328" s="9">
        <v>1.0895000000000001E-4</v>
      </c>
      <c r="J1328" s="9">
        <v>9.692E-5</v>
      </c>
      <c r="K1328" s="9">
        <v>3.7934999999999998E-4</v>
      </c>
      <c r="L1328" s="9">
        <v>2.6990000000000001E-5</v>
      </c>
      <c r="M1328" s="9">
        <v>5.0260000000000003E-5</v>
      </c>
      <c r="N1328" s="9">
        <v>6.1740000000000002E-5</v>
      </c>
      <c r="O1328" s="9">
        <v>2.0950000000000001E-5</v>
      </c>
      <c r="P1328" s="9">
        <v>5.0850000000000003E-5</v>
      </c>
      <c r="Q1328" s="9">
        <v>7.9649999999999998E-5</v>
      </c>
      <c r="R1328" s="10">
        <v>1.6479658066001772E-4</v>
      </c>
      <c r="S1328" s="10">
        <v>1.8348486116578986E-4</v>
      </c>
      <c r="T1328" s="10">
        <v>0</v>
      </c>
      <c r="U1328" s="10">
        <v>1.8450000000000001E-4</v>
      </c>
      <c r="V1328" s="25"/>
      <c r="W1328" s="25"/>
      <c r="X1328" s="25"/>
      <c r="Y1328" s="25"/>
      <c r="Z1328" s="25"/>
      <c r="AA1328" s="25"/>
    </row>
    <row r="1329" spans="1:27" x14ac:dyDescent="0.35">
      <c r="A1329" s="5">
        <v>1325</v>
      </c>
      <c r="B1329" s="5">
        <v>56</v>
      </c>
      <c r="C1329" s="5">
        <v>2</v>
      </c>
      <c r="D1329" s="25">
        <v>1.1416E-4</v>
      </c>
      <c r="E1329" s="25">
        <v>1.139E-4</v>
      </c>
      <c r="F1329" s="25">
        <v>9.1669999999999995E-5</v>
      </c>
      <c r="G1329" s="25">
        <v>6.2849999999999996E-5</v>
      </c>
      <c r="H1329" s="25">
        <v>1.465E-5</v>
      </c>
      <c r="I1329" s="9">
        <v>1.097E-4</v>
      </c>
      <c r="J1329" s="9">
        <v>9.768E-5</v>
      </c>
      <c r="K1329" s="9">
        <v>3.9207000000000001E-4</v>
      </c>
      <c r="L1329" s="9">
        <v>2.2670000000000001E-5</v>
      </c>
      <c r="M1329" s="9">
        <v>4.8430000000000002E-5</v>
      </c>
      <c r="N1329" s="9">
        <v>6.4159999999999996E-5</v>
      </c>
      <c r="O1329" s="9">
        <v>2.3220000000000001E-5</v>
      </c>
      <c r="P1329" s="9">
        <v>5.9360000000000001E-5</v>
      </c>
      <c r="Q1329" s="9">
        <v>9.433E-5</v>
      </c>
      <c r="R1329" s="10">
        <v>1.5425089936256259E-4</v>
      </c>
      <c r="S1329" s="10">
        <v>1.7128371274868935E-4</v>
      </c>
      <c r="T1329" s="10">
        <v>0</v>
      </c>
      <c r="U1329" s="10">
        <v>1.8450000000000001E-4</v>
      </c>
      <c r="V1329" s="25"/>
      <c r="W1329" s="25"/>
      <c r="X1329" s="25"/>
      <c r="Y1329" s="25"/>
      <c r="Z1329" s="25"/>
      <c r="AA1329" s="25"/>
    </row>
    <row r="1330" spans="1:27" x14ac:dyDescent="0.35">
      <c r="A1330" s="5">
        <v>1326</v>
      </c>
      <c r="B1330" s="5">
        <v>56</v>
      </c>
      <c r="C1330" s="5">
        <v>2</v>
      </c>
      <c r="D1330" s="25">
        <v>1.1415000000000001E-4</v>
      </c>
      <c r="E1330" s="25">
        <v>1.1297E-4</v>
      </c>
      <c r="F1330" s="25">
        <v>1.1066E-4</v>
      </c>
      <c r="G1330" s="25">
        <v>1.0415E-4</v>
      </c>
      <c r="H1330" s="25">
        <v>2.6020000000000002E-5</v>
      </c>
      <c r="I1330" s="9">
        <v>1.1538E-4</v>
      </c>
      <c r="J1330" s="9">
        <v>1.0121E-4</v>
      </c>
      <c r="K1330" s="9">
        <v>3.7934999999999998E-4</v>
      </c>
      <c r="L1330" s="9">
        <v>2.302E-5</v>
      </c>
      <c r="M1330" s="9">
        <v>5.2240000000000001E-5</v>
      </c>
      <c r="N1330" s="9">
        <v>7.0879999999999999E-5</v>
      </c>
      <c r="O1330" s="9">
        <v>2.9220000000000001E-5</v>
      </c>
      <c r="P1330" s="9">
        <v>6.8310000000000002E-5</v>
      </c>
      <c r="Q1330" s="9">
        <v>1.0631E-4</v>
      </c>
      <c r="R1330" s="10">
        <v>1.4617043709101558E-4</v>
      </c>
      <c r="S1330" s="10">
        <v>1.5462901578279563E-4</v>
      </c>
      <c r="T1330" s="10">
        <v>0</v>
      </c>
      <c r="U1330" s="10">
        <v>1.8450000000000001E-4</v>
      </c>
      <c r="V1330" s="25"/>
      <c r="W1330" s="25"/>
      <c r="X1330" s="25"/>
      <c r="Y1330" s="25"/>
      <c r="Z1330" s="25"/>
      <c r="AA1330" s="25"/>
    </row>
    <row r="1331" spans="1:27" x14ac:dyDescent="0.35">
      <c r="A1331" s="5">
        <v>1327</v>
      </c>
      <c r="B1331" s="5">
        <v>56</v>
      </c>
      <c r="C1331" s="5">
        <v>2</v>
      </c>
      <c r="D1331" s="25">
        <v>1.1416E-4</v>
      </c>
      <c r="E1331" s="25">
        <v>1.0396E-4</v>
      </c>
      <c r="F1331" s="25">
        <v>9.1349999999999998E-5</v>
      </c>
      <c r="G1331" s="25">
        <v>1.0801E-4</v>
      </c>
      <c r="H1331" s="25">
        <v>2.709E-5</v>
      </c>
      <c r="I1331" s="9">
        <v>1.2973999999999999E-4</v>
      </c>
      <c r="J1331" s="9">
        <v>1.1266E-4</v>
      </c>
      <c r="K1331" s="9">
        <v>3.6875999999999999E-4</v>
      </c>
      <c r="L1331" s="9">
        <v>2.775E-5</v>
      </c>
      <c r="M1331" s="9">
        <v>5.9150000000000001E-5</v>
      </c>
      <c r="N1331" s="9">
        <v>8.0459999999999999E-5</v>
      </c>
      <c r="O1331" s="9">
        <v>4.5920000000000001E-5</v>
      </c>
      <c r="P1331" s="9">
        <v>7.9389999999999997E-5</v>
      </c>
      <c r="Q1331" s="9">
        <v>1.1213E-4</v>
      </c>
      <c r="R1331" s="10">
        <v>1.3184861757720891E-4</v>
      </c>
      <c r="S1331" s="10">
        <v>1.3181796427130319E-4</v>
      </c>
      <c r="T1331" s="10">
        <v>0</v>
      </c>
      <c r="U1331" s="10">
        <v>1.8450000000000001E-4</v>
      </c>
      <c r="V1331" s="25"/>
      <c r="W1331" s="25"/>
      <c r="X1331" s="25"/>
      <c r="Y1331" s="25"/>
      <c r="Z1331" s="25"/>
      <c r="AA1331" s="25"/>
    </row>
    <row r="1332" spans="1:27" x14ac:dyDescent="0.35">
      <c r="A1332" s="5">
        <v>1328</v>
      </c>
      <c r="B1332" s="5">
        <v>56</v>
      </c>
      <c r="C1332" s="5">
        <v>2</v>
      </c>
      <c r="D1332" s="25">
        <v>1.1415000000000001E-4</v>
      </c>
      <c r="E1332" s="25">
        <v>1.1082999999999999E-4</v>
      </c>
      <c r="F1332" s="25">
        <v>9.6490000000000006E-5</v>
      </c>
      <c r="G1332" s="25">
        <v>1.674E-4</v>
      </c>
      <c r="H1332" s="25">
        <v>3.9480000000000001E-5</v>
      </c>
      <c r="I1332" s="9">
        <v>1.3914999999999999E-4</v>
      </c>
      <c r="J1332" s="9">
        <v>1.2870000000000001E-4</v>
      </c>
      <c r="K1332" s="9">
        <v>3.5393000000000002E-4</v>
      </c>
      <c r="L1332" s="9">
        <v>4.1780000000000003E-5</v>
      </c>
      <c r="M1332" s="9">
        <v>6.8180000000000001E-5</v>
      </c>
      <c r="N1332" s="9">
        <v>9.0539999999999997E-5</v>
      </c>
      <c r="O1332" s="9">
        <v>6.7700000000000006E-5</v>
      </c>
      <c r="P1332" s="9">
        <v>1.0179999999999999E-4</v>
      </c>
      <c r="Q1332" s="9">
        <v>1.3554999999999999E-4</v>
      </c>
      <c r="R1332" s="10">
        <v>1.2237337754303918E-4</v>
      </c>
      <c r="S1332" s="10">
        <v>1.1267117753316753E-4</v>
      </c>
      <c r="T1332" s="10">
        <v>6.9817299352322769E-5</v>
      </c>
      <c r="U1332" s="10">
        <v>1.8450000000000001E-4</v>
      </c>
      <c r="V1332" s="25"/>
      <c r="W1332" s="25"/>
      <c r="X1332" s="25"/>
      <c r="Y1332" s="25"/>
      <c r="Z1332" s="25"/>
      <c r="AA1332" s="25"/>
    </row>
    <row r="1333" spans="1:27" x14ac:dyDescent="0.35">
      <c r="A1333" s="5">
        <v>1329</v>
      </c>
      <c r="B1333" s="5">
        <v>56</v>
      </c>
      <c r="C1333" s="5">
        <v>2</v>
      </c>
      <c r="D1333" s="25">
        <v>1.1416E-4</v>
      </c>
      <c r="E1333" s="25">
        <v>1.0654000000000001E-4</v>
      </c>
      <c r="F1333" s="25">
        <v>9.4190000000000005E-5</v>
      </c>
      <c r="G1333" s="25">
        <v>1.63E-4</v>
      </c>
      <c r="H1333" s="25">
        <v>3.888E-5</v>
      </c>
      <c r="I1333" s="9">
        <v>1.3833000000000001E-4</v>
      </c>
      <c r="J1333" s="9">
        <v>1.3751E-4</v>
      </c>
      <c r="K1333" s="9">
        <v>3.2636999999999998E-4</v>
      </c>
      <c r="L1333" s="9">
        <v>6.1619999999999996E-5</v>
      </c>
      <c r="M1333" s="9">
        <v>8.2520000000000003E-5</v>
      </c>
      <c r="N1333" s="9">
        <v>1.041E-4</v>
      </c>
      <c r="O1333" s="9">
        <v>1.0021E-4</v>
      </c>
      <c r="P1333" s="9">
        <v>1.3855000000000001E-4</v>
      </c>
      <c r="Q1333" s="9">
        <v>1.7703E-4</v>
      </c>
      <c r="R1333" s="10">
        <v>1.2663250276131875E-4</v>
      </c>
      <c r="S1333" s="10">
        <v>1.018332128414628E-4</v>
      </c>
      <c r="T1333" s="10">
        <v>2.7496765763876884E-4</v>
      </c>
      <c r="U1333" s="10">
        <v>1.8450000000000001E-4</v>
      </c>
      <c r="V1333" s="25"/>
      <c r="W1333" s="25"/>
      <c r="X1333" s="25"/>
      <c r="Y1333" s="25"/>
      <c r="Z1333" s="25"/>
      <c r="AA1333" s="25"/>
    </row>
    <row r="1334" spans="1:27" x14ac:dyDescent="0.35">
      <c r="A1334" s="5">
        <v>1330</v>
      </c>
      <c r="B1334" s="5">
        <v>56</v>
      </c>
      <c r="C1334" s="5">
        <v>2</v>
      </c>
      <c r="D1334" s="25">
        <v>1.1415000000000001E-4</v>
      </c>
      <c r="E1334" s="25">
        <v>1.0849E-4</v>
      </c>
      <c r="F1334" s="25">
        <v>9.8960000000000001E-5</v>
      </c>
      <c r="G1334" s="25">
        <v>1.6485E-4</v>
      </c>
      <c r="H1334" s="25">
        <v>3.9409999999999997E-5</v>
      </c>
      <c r="I1334" s="9">
        <v>1.3889999999999999E-4</v>
      </c>
      <c r="J1334" s="9">
        <v>1.4124E-4</v>
      </c>
      <c r="K1334" s="9">
        <v>3.0093999999999997E-4</v>
      </c>
      <c r="L1334" s="9">
        <v>9.1199999999999994E-5</v>
      </c>
      <c r="M1334" s="9">
        <v>1.0631E-4</v>
      </c>
      <c r="N1334" s="9">
        <v>1.2422E-4</v>
      </c>
      <c r="O1334" s="9">
        <v>1.2875000000000001E-4</v>
      </c>
      <c r="P1334" s="9">
        <v>1.5474E-4</v>
      </c>
      <c r="Q1334" s="9">
        <v>1.8155999999999999E-4</v>
      </c>
      <c r="R1334" s="10">
        <v>1.2789748386255815E-4</v>
      </c>
      <c r="S1334" s="10">
        <v>8.5977523961440716E-5</v>
      </c>
      <c r="T1334" s="10">
        <v>4.8847505078510533E-4</v>
      </c>
      <c r="U1334" s="10">
        <v>1.8450000000000001E-4</v>
      </c>
      <c r="V1334" s="25"/>
      <c r="W1334" s="25"/>
      <c r="X1334" s="25"/>
      <c r="Y1334" s="25"/>
      <c r="Z1334" s="25"/>
      <c r="AA1334" s="25"/>
    </row>
    <row r="1335" spans="1:27" x14ac:dyDescent="0.35">
      <c r="A1335" s="5">
        <v>1331</v>
      </c>
      <c r="B1335" s="5">
        <v>56</v>
      </c>
      <c r="C1335" s="5">
        <v>2</v>
      </c>
      <c r="D1335" s="25">
        <v>1.1416E-4</v>
      </c>
      <c r="E1335" s="25">
        <v>1.1472E-4</v>
      </c>
      <c r="F1335" s="25">
        <v>1.0295E-4</v>
      </c>
      <c r="G1335" s="25">
        <v>1.6715E-4</v>
      </c>
      <c r="H1335" s="25">
        <v>3.7750000000000003E-5</v>
      </c>
      <c r="I1335" s="9">
        <v>1.3788E-4</v>
      </c>
      <c r="J1335" s="9">
        <v>1.4050999999999999E-4</v>
      </c>
      <c r="K1335" s="9">
        <v>2.9034999999999998E-4</v>
      </c>
      <c r="L1335" s="9">
        <v>1.1976000000000001E-4</v>
      </c>
      <c r="M1335" s="9">
        <v>1.2977E-4</v>
      </c>
      <c r="N1335" s="9">
        <v>1.4223E-4</v>
      </c>
      <c r="O1335" s="9">
        <v>1.3719000000000001E-4</v>
      </c>
      <c r="P1335" s="9">
        <v>1.5762E-4</v>
      </c>
      <c r="Q1335" s="9">
        <v>1.7909999999999999E-4</v>
      </c>
      <c r="R1335" s="10">
        <v>1.1498468391921619E-4</v>
      </c>
      <c r="S1335" s="10">
        <v>7.0202676931421023E-5</v>
      </c>
      <c r="T1335" s="10">
        <v>5.9971269956482379E-4</v>
      </c>
      <c r="U1335" s="10">
        <v>1.8450000000000001E-4</v>
      </c>
      <c r="V1335" s="25"/>
      <c r="W1335" s="25"/>
      <c r="X1335" s="25"/>
      <c r="Y1335" s="25"/>
      <c r="Z1335" s="25"/>
      <c r="AA1335" s="25"/>
    </row>
    <row r="1336" spans="1:27" x14ac:dyDescent="0.35">
      <c r="A1336" s="5">
        <v>1332</v>
      </c>
      <c r="B1336" s="5">
        <v>56</v>
      </c>
      <c r="C1336" s="5">
        <v>2</v>
      </c>
      <c r="D1336" s="25">
        <v>1.1415000000000001E-4</v>
      </c>
      <c r="E1336" s="25">
        <v>1.1105E-4</v>
      </c>
      <c r="F1336" s="25">
        <v>1.0754E-4</v>
      </c>
      <c r="G1336" s="25">
        <v>1.5778999999999999E-4</v>
      </c>
      <c r="H1336" s="25">
        <v>3.854E-5</v>
      </c>
      <c r="I1336" s="9">
        <v>1.3956999999999999E-4</v>
      </c>
      <c r="J1336" s="9">
        <v>1.3955E-4</v>
      </c>
      <c r="K1336" s="9">
        <v>2.7551000000000002E-4</v>
      </c>
      <c r="L1336" s="9">
        <v>1.3269000000000001E-4</v>
      </c>
      <c r="M1336" s="9">
        <v>1.4533999999999999E-4</v>
      </c>
      <c r="N1336" s="9">
        <v>1.5631E-4</v>
      </c>
      <c r="O1336" s="9">
        <v>1.3815E-4</v>
      </c>
      <c r="P1336" s="9">
        <v>1.5511999999999999E-4</v>
      </c>
      <c r="Q1336" s="9">
        <v>1.7322E-4</v>
      </c>
      <c r="R1336" s="10">
        <v>9.6195147931858735E-5</v>
      </c>
      <c r="S1336" s="10">
        <v>6.0191614642003228E-5</v>
      </c>
      <c r="T1336" s="10">
        <v>5.8633295948964904E-4</v>
      </c>
      <c r="U1336" s="10">
        <v>1.8450000000000001E-4</v>
      </c>
      <c r="V1336" s="25"/>
      <c r="W1336" s="25"/>
      <c r="X1336" s="25"/>
      <c r="Y1336" s="25"/>
      <c r="Z1336" s="25"/>
      <c r="AA1336" s="25"/>
    </row>
    <row r="1337" spans="1:27" x14ac:dyDescent="0.35">
      <c r="A1337" s="5">
        <v>1333</v>
      </c>
      <c r="B1337" s="5">
        <v>56</v>
      </c>
      <c r="C1337" s="5">
        <v>2</v>
      </c>
      <c r="D1337" s="25">
        <v>1.1416E-4</v>
      </c>
      <c r="E1337" s="25">
        <v>1.1163999999999999E-4</v>
      </c>
      <c r="F1337" s="25">
        <v>1.0953E-4</v>
      </c>
      <c r="G1337" s="25">
        <v>1.6314000000000001E-4</v>
      </c>
      <c r="H1337" s="25">
        <v>3.8399999999999998E-5</v>
      </c>
      <c r="I1337" s="9">
        <v>1.3635000000000001E-4</v>
      </c>
      <c r="J1337" s="9">
        <v>1.3772E-4</v>
      </c>
      <c r="K1337" s="9">
        <v>2.6279E-4</v>
      </c>
      <c r="L1337" s="9">
        <v>1.3678E-4</v>
      </c>
      <c r="M1337" s="9">
        <v>1.5218999999999999E-4</v>
      </c>
      <c r="N1337" s="9">
        <v>1.6567E-4</v>
      </c>
      <c r="O1337" s="9">
        <v>1.3092E-4</v>
      </c>
      <c r="P1337" s="9">
        <v>1.4892E-4</v>
      </c>
      <c r="Q1337" s="9">
        <v>1.6788999999999999E-4</v>
      </c>
      <c r="R1337" s="10">
        <v>1.0881867674859775E-4</v>
      </c>
      <c r="S1337" s="10">
        <v>5.5446930463051636E-5</v>
      </c>
      <c r="T1337" s="10">
        <v>4.2472402546813438E-5</v>
      </c>
      <c r="U1337" s="10">
        <v>1.8450000000000001E-4</v>
      </c>
      <c r="V1337" s="25"/>
      <c r="W1337" s="25"/>
      <c r="X1337" s="25"/>
      <c r="Y1337" s="25"/>
      <c r="Z1337" s="25"/>
      <c r="AA1337" s="25"/>
    </row>
    <row r="1338" spans="1:27" x14ac:dyDescent="0.35">
      <c r="A1338" s="5">
        <v>1334</v>
      </c>
      <c r="B1338" s="5">
        <v>56</v>
      </c>
      <c r="C1338" s="5">
        <v>2</v>
      </c>
      <c r="D1338" s="25">
        <v>1.1415000000000001E-4</v>
      </c>
      <c r="E1338" s="25">
        <v>1.1163999999999999E-4</v>
      </c>
      <c r="F1338" s="25">
        <v>1.0732E-4</v>
      </c>
      <c r="G1338" s="25">
        <v>1.5830999999999999E-4</v>
      </c>
      <c r="H1338" s="25">
        <v>3.888E-5</v>
      </c>
      <c r="I1338" s="9">
        <v>1.3699E-4</v>
      </c>
      <c r="J1338" s="9">
        <v>1.3800999999999999E-4</v>
      </c>
      <c r="K1338" s="9">
        <v>2.6916E-4</v>
      </c>
      <c r="L1338" s="9">
        <v>1.3228E-4</v>
      </c>
      <c r="M1338" s="9">
        <v>1.5229999999999999E-4</v>
      </c>
      <c r="N1338" s="9">
        <v>1.7019E-4</v>
      </c>
      <c r="O1338" s="9">
        <v>1.1179999999999999E-4</v>
      </c>
      <c r="P1338" s="9">
        <v>1.3524000000000001E-4</v>
      </c>
      <c r="Q1338" s="9">
        <v>1.5925999999999999E-4</v>
      </c>
      <c r="R1338" s="10">
        <v>1.0492009085838012E-4</v>
      </c>
      <c r="S1338" s="10">
        <v>4.3356774500990952E-5</v>
      </c>
      <c r="T1338" s="10">
        <v>7.0300904415280895E-5</v>
      </c>
      <c r="U1338" s="10">
        <v>1.8450000000000001E-4</v>
      </c>
      <c r="V1338" s="25"/>
      <c r="W1338" s="25"/>
      <c r="X1338" s="25"/>
      <c r="Y1338" s="25"/>
      <c r="Z1338" s="25"/>
      <c r="AA1338" s="25"/>
    </row>
    <row r="1339" spans="1:27" x14ac:dyDescent="0.35">
      <c r="A1339" s="5">
        <v>1335</v>
      </c>
      <c r="B1339" s="5">
        <v>56</v>
      </c>
      <c r="C1339" s="5">
        <v>2</v>
      </c>
      <c r="D1339" s="25">
        <v>1.1416E-4</v>
      </c>
      <c r="E1339" s="25">
        <v>1.0747999999999999E-4</v>
      </c>
      <c r="F1339" s="25">
        <v>1.11E-4</v>
      </c>
      <c r="G1339" s="25">
        <v>1.6396999999999999E-4</v>
      </c>
      <c r="H1339" s="25">
        <v>3.8980000000000003E-5</v>
      </c>
      <c r="I1339" s="9">
        <v>1.3727999999999999E-4</v>
      </c>
      <c r="J1339" s="9">
        <v>1.3815E-4</v>
      </c>
      <c r="K1339" s="9">
        <v>2.8186999999999998E-4</v>
      </c>
      <c r="L1339" s="9">
        <v>1.1649E-4</v>
      </c>
      <c r="M1339" s="9">
        <v>1.4594E-4</v>
      </c>
      <c r="N1339" s="9">
        <v>1.6945999999999999E-4</v>
      </c>
      <c r="O1339" s="9">
        <v>1.2789999999999999E-4</v>
      </c>
      <c r="P1339" s="9">
        <v>1.3985000000000001E-4</v>
      </c>
      <c r="Q1339" s="9">
        <v>1.5283000000000001E-4</v>
      </c>
      <c r="R1339" s="10">
        <v>1.0474981266098908E-4</v>
      </c>
      <c r="S1339" s="10">
        <v>2.3701181478289887E-5</v>
      </c>
      <c r="T1339" s="10">
        <v>8.3536411401503218E-5</v>
      </c>
      <c r="U1339" s="10">
        <v>1.8450000000000001E-4</v>
      </c>
      <c r="V1339" s="25"/>
      <c r="W1339" s="25"/>
      <c r="X1339" s="25"/>
      <c r="Y1339" s="25"/>
      <c r="Z1339" s="25"/>
      <c r="AA1339" s="25"/>
    </row>
    <row r="1340" spans="1:27" x14ac:dyDescent="0.35">
      <c r="A1340" s="5">
        <v>1336</v>
      </c>
      <c r="B1340" s="5">
        <v>56</v>
      </c>
      <c r="C1340" s="5">
        <v>2</v>
      </c>
      <c r="D1340" s="25">
        <v>1.1415000000000001E-4</v>
      </c>
      <c r="E1340" s="25">
        <v>1.0626E-4</v>
      </c>
      <c r="F1340" s="25">
        <v>9.2910000000000003E-5</v>
      </c>
      <c r="G1340" s="25">
        <v>1.6636E-4</v>
      </c>
      <c r="H1340" s="25">
        <v>3.9870000000000003E-5</v>
      </c>
      <c r="I1340" s="9">
        <v>1.3688E-4</v>
      </c>
      <c r="J1340" s="9">
        <v>1.3740000000000001E-4</v>
      </c>
      <c r="K1340" s="9">
        <v>2.8399000000000002E-4</v>
      </c>
      <c r="L1340" s="9">
        <v>1.2584E-4</v>
      </c>
      <c r="M1340" s="9">
        <v>1.4195000000000001E-4</v>
      </c>
      <c r="N1340" s="9">
        <v>1.6573E-4</v>
      </c>
      <c r="O1340" s="9">
        <v>1.3531E-4</v>
      </c>
      <c r="P1340" s="9">
        <v>1.2203E-4</v>
      </c>
      <c r="Q1340" s="9">
        <v>1.1031000000000001E-4</v>
      </c>
      <c r="R1340" s="10">
        <v>1.029020453793585E-4</v>
      </c>
      <c r="S1340" s="10">
        <v>1.3551045063864201E-5</v>
      </c>
      <c r="T1340" s="10">
        <v>4.4831037766153064E-5</v>
      </c>
      <c r="U1340" s="10">
        <v>1.8450000000000001E-4</v>
      </c>
      <c r="V1340" s="25"/>
      <c r="W1340" s="25"/>
      <c r="X1340" s="25"/>
      <c r="Y1340" s="25"/>
      <c r="Z1340" s="25"/>
      <c r="AA1340" s="25"/>
    </row>
    <row r="1341" spans="1:27" x14ac:dyDescent="0.35">
      <c r="A1341" s="5">
        <v>1337</v>
      </c>
      <c r="B1341" s="5">
        <v>56</v>
      </c>
      <c r="C1341" s="5">
        <v>2</v>
      </c>
      <c r="D1341" s="25">
        <v>1.1416E-4</v>
      </c>
      <c r="E1341" s="25">
        <v>1.1124E-4</v>
      </c>
      <c r="F1341" s="25">
        <v>9.3120000000000003E-5</v>
      </c>
      <c r="G1341" s="25">
        <v>1.651E-4</v>
      </c>
      <c r="H1341" s="25">
        <v>3.769E-5</v>
      </c>
      <c r="I1341" s="9">
        <v>1.3504000000000001E-4</v>
      </c>
      <c r="J1341" s="9">
        <v>1.3873999999999999E-4</v>
      </c>
      <c r="K1341" s="9">
        <v>2.8823E-4</v>
      </c>
      <c r="L1341" s="9">
        <v>1.3292999999999999E-4</v>
      </c>
      <c r="M1341" s="9">
        <v>1.3391999999999999E-4</v>
      </c>
      <c r="N1341" s="9">
        <v>1.5223E-4</v>
      </c>
      <c r="O1341" s="9">
        <v>1.4019999999999999E-4</v>
      </c>
      <c r="P1341" s="9">
        <v>1.2259E-4</v>
      </c>
      <c r="Q1341" s="9">
        <v>1.0669E-4</v>
      </c>
      <c r="R1341" s="10">
        <v>9.0089849318470382E-5</v>
      </c>
      <c r="S1341" s="10">
        <v>7.5806283118937491E-6</v>
      </c>
      <c r="T1341" s="10">
        <v>2.0455645733193607E-5</v>
      </c>
      <c r="U1341" s="10">
        <v>1.8450000000000001E-4</v>
      </c>
      <c r="V1341" s="25"/>
      <c r="W1341" s="25"/>
      <c r="X1341" s="25"/>
      <c r="Y1341" s="25"/>
      <c r="Z1341" s="25"/>
      <c r="AA1341" s="25"/>
    </row>
    <row r="1342" spans="1:27" x14ac:dyDescent="0.35">
      <c r="A1342" s="5">
        <v>1338</v>
      </c>
      <c r="B1342" s="5">
        <v>56</v>
      </c>
      <c r="C1342" s="5">
        <v>2</v>
      </c>
      <c r="D1342" s="25">
        <v>1.1415000000000001E-4</v>
      </c>
      <c r="E1342" s="25">
        <v>1.1044000000000001E-4</v>
      </c>
      <c r="F1342" s="25">
        <v>1.0273E-4</v>
      </c>
      <c r="G1342" s="25">
        <v>1.6665000000000001E-4</v>
      </c>
      <c r="H1342" s="25">
        <v>3.7719999999999998E-5</v>
      </c>
      <c r="I1342" s="9">
        <v>1.3833000000000001E-4</v>
      </c>
      <c r="J1342" s="9">
        <v>1.4054000000000001E-4</v>
      </c>
      <c r="K1342" s="9">
        <v>2.8822E-4</v>
      </c>
      <c r="L1342" s="9">
        <v>1.3828000000000001E-4</v>
      </c>
      <c r="M1342" s="9">
        <v>1.2781000000000001E-4</v>
      </c>
      <c r="N1342" s="9">
        <v>1.3888E-4</v>
      </c>
      <c r="O1342" s="9">
        <v>1.4147000000000001E-4</v>
      </c>
      <c r="P1342" s="9">
        <v>1.2877E-4</v>
      </c>
      <c r="Q1342" s="9">
        <v>1.1772E-4</v>
      </c>
      <c r="R1342" s="10">
        <v>5.9889128874895383E-5</v>
      </c>
      <c r="S1342" s="10">
        <v>3.9703715828956499E-6</v>
      </c>
      <c r="T1342" s="10">
        <v>0</v>
      </c>
      <c r="U1342" s="10">
        <v>1.8450000000000001E-4</v>
      </c>
      <c r="V1342" s="25"/>
      <c r="W1342" s="25"/>
      <c r="X1342" s="25"/>
      <c r="Y1342" s="25"/>
      <c r="Z1342" s="25"/>
      <c r="AA1342" s="25"/>
    </row>
    <row r="1343" spans="1:27" x14ac:dyDescent="0.35">
      <c r="A1343" s="5">
        <v>1339</v>
      </c>
      <c r="B1343" s="5">
        <v>56</v>
      </c>
      <c r="C1343" s="5">
        <v>2</v>
      </c>
      <c r="D1343" s="25">
        <v>1.1416E-4</v>
      </c>
      <c r="E1343" s="25">
        <v>1.1005000000000001E-4</v>
      </c>
      <c r="F1343" s="25">
        <v>1.0606E-4</v>
      </c>
      <c r="G1343" s="25">
        <v>1.0504E-4</v>
      </c>
      <c r="H1343" s="25">
        <v>2.7419999999999998E-5</v>
      </c>
      <c r="I1343" s="9">
        <v>1.4415000000000001E-4</v>
      </c>
      <c r="J1343" s="9">
        <v>1.4321000000000001E-4</v>
      </c>
      <c r="K1343" s="9">
        <v>2.9458000000000002E-4</v>
      </c>
      <c r="L1343" s="9">
        <v>1.407E-4</v>
      </c>
      <c r="M1343" s="9">
        <v>1.2673E-4</v>
      </c>
      <c r="N1343" s="9">
        <v>1.2988999999999999E-4</v>
      </c>
      <c r="O1343" s="9">
        <v>1.4149E-4</v>
      </c>
      <c r="P1343" s="9">
        <v>1.2318E-4</v>
      </c>
      <c r="Q1343" s="9">
        <v>1.0662000000000001E-4</v>
      </c>
      <c r="R1343" s="10">
        <v>4.0573439129924615E-5</v>
      </c>
      <c r="S1343" s="10">
        <v>1.3774478400651966E-6</v>
      </c>
      <c r="T1343" s="10">
        <v>0</v>
      </c>
      <c r="U1343" s="10">
        <v>1.8450000000000001E-4</v>
      </c>
      <c r="V1343" s="25"/>
      <c r="W1343" s="25"/>
      <c r="X1343" s="25"/>
      <c r="Y1343" s="25"/>
      <c r="Z1343" s="25"/>
      <c r="AA1343" s="25"/>
    </row>
    <row r="1344" spans="1:27" x14ac:dyDescent="0.35">
      <c r="A1344" s="5">
        <v>1340</v>
      </c>
      <c r="B1344" s="5">
        <v>56</v>
      </c>
      <c r="C1344" s="5">
        <v>2</v>
      </c>
      <c r="D1344" s="25">
        <v>1.1415000000000001E-4</v>
      </c>
      <c r="E1344" s="25">
        <v>1.1095999999999999E-4</v>
      </c>
      <c r="F1344" s="25">
        <v>9.6290000000000001E-5</v>
      </c>
      <c r="G1344" s="25">
        <v>1.0825E-4</v>
      </c>
      <c r="H1344" s="25">
        <v>2.5870000000000001E-5</v>
      </c>
      <c r="I1344" s="9">
        <v>1.4312E-4</v>
      </c>
      <c r="J1344" s="9">
        <v>1.4346000000000001E-4</v>
      </c>
      <c r="K1344" s="9">
        <v>2.9033999999999999E-4</v>
      </c>
      <c r="L1344" s="9">
        <v>1.4129999999999999E-4</v>
      </c>
      <c r="M1344" s="9">
        <v>1.2543999999999999E-4</v>
      </c>
      <c r="N1344" s="9">
        <v>1.2076E-4</v>
      </c>
      <c r="O1344" s="9">
        <v>1.4379E-4</v>
      </c>
      <c r="P1344" s="9">
        <v>1.2165E-4</v>
      </c>
      <c r="Q1344" s="9">
        <v>1.0136000000000001E-4</v>
      </c>
      <c r="R1344" s="10">
        <v>3.1171065665770588E-5</v>
      </c>
      <c r="S1344" s="10">
        <v>1.6350207581407766E-7</v>
      </c>
      <c r="T1344" s="10">
        <v>0</v>
      </c>
      <c r="U1344" s="10">
        <v>1.8450000000000001E-4</v>
      </c>
      <c r="V1344" s="25"/>
      <c r="W1344" s="25"/>
      <c r="X1344" s="25"/>
      <c r="Y1344" s="25"/>
      <c r="Z1344" s="25"/>
      <c r="AA1344" s="25"/>
    </row>
    <row r="1345" spans="1:27" x14ac:dyDescent="0.35">
      <c r="A1345" s="5">
        <v>1341</v>
      </c>
      <c r="B1345" s="5">
        <v>56</v>
      </c>
      <c r="C1345" s="5">
        <v>2</v>
      </c>
      <c r="D1345" s="25">
        <v>1.1416E-4</v>
      </c>
      <c r="E1345" s="25">
        <v>1.0398E-4</v>
      </c>
      <c r="F1345" s="25">
        <v>1.0637999999999999E-4</v>
      </c>
      <c r="G1345" s="25">
        <v>5.4620000000000002E-5</v>
      </c>
      <c r="H1345" s="25">
        <v>1.506E-5</v>
      </c>
      <c r="I1345" s="9">
        <v>1.3619000000000001E-4</v>
      </c>
      <c r="J1345" s="9">
        <v>1.3788E-4</v>
      </c>
      <c r="K1345" s="9">
        <v>2.9033999999999999E-4</v>
      </c>
      <c r="L1345" s="9">
        <v>1.4326000000000001E-4</v>
      </c>
      <c r="M1345" s="9">
        <v>1.2378000000000001E-4</v>
      </c>
      <c r="N1345" s="9">
        <v>1.1299E-4</v>
      </c>
      <c r="O1345" s="9">
        <v>8.4720000000000002E-5</v>
      </c>
      <c r="P1345" s="9">
        <v>8.6260000000000004E-5</v>
      </c>
      <c r="Q1345" s="9">
        <v>8.8259999999999999E-5</v>
      </c>
      <c r="R1345" s="10">
        <v>2.3756846093209015E-5</v>
      </c>
      <c r="S1345" s="10">
        <v>0</v>
      </c>
      <c r="T1345" s="10">
        <v>0</v>
      </c>
      <c r="U1345" s="10">
        <v>1.8450000000000001E-4</v>
      </c>
      <c r="V1345" s="25"/>
      <c r="W1345" s="25"/>
      <c r="X1345" s="25"/>
      <c r="Y1345" s="25"/>
      <c r="Z1345" s="25"/>
      <c r="AA1345" s="25"/>
    </row>
    <row r="1346" spans="1:27" x14ac:dyDescent="0.35">
      <c r="A1346" s="5">
        <v>1342</v>
      </c>
      <c r="B1346" s="5">
        <v>56</v>
      </c>
      <c r="C1346" s="5">
        <v>2</v>
      </c>
      <c r="D1346" s="25">
        <v>1.1415000000000001E-4</v>
      </c>
      <c r="E1346" s="25">
        <v>1.1082999999999999E-4</v>
      </c>
      <c r="F1346" s="25">
        <v>9.7639999999999994E-5</v>
      </c>
      <c r="G1346" s="25">
        <v>5.8409999999999998E-5</v>
      </c>
      <c r="H1346" s="25">
        <v>1.2979999999999999E-5</v>
      </c>
      <c r="I1346" s="9">
        <v>1.2980000000000001E-4</v>
      </c>
      <c r="J1346" s="9">
        <v>1.2938000000000001E-4</v>
      </c>
      <c r="K1346" s="9">
        <v>2.9882999999999998E-4</v>
      </c>
      <c r="L1346" s="9">
        <v>9.7549999999999999E-5</v>
      </c>
      <c r="M1346" s="9">
        <v>1.098E-4</v>
      </c>
      <c r="N1346" s="9">
        <v>1.0539000000000001E-4</v>
      </c>
      <c r="O1346" s="9">
        <v>8.7449999999999998E-5</v>
      </c>
      <c r="P1346" s="9">
        <v>8.7570000000000004E-5</v>
      </c>
      <c r="Q1346" s="9">
        <v>8.8220000000000006E-5</v>
      </c>
      <c r="R1346" s="10">
        <v>1.6571311568885374E-5</v>
      </c>
      <c r="S1346" s="10">
        <v>1.1344433272084428E-6</v>
      </c>
      <c r="T1346" s="10">
        <v>0</v>
      </c>
      <c r="U1346" s="10">
        <v>1.8450000000000001E-4</v>
      </c>
      <c r="V1346" s="25"/>
      <c r="W1346" s="25"/>
      <c r="X1346" s="25"/>
      <c r="Y1346" s="25"/>
      <c r="Z1346" s="25"/>
      <c r="AA1346" s="25"/>
    </row>
    <row r="1347" spans="1:27" x14ac:dyDescent="0.35">
      <c r="A1347" s="5">
        <v>1343</v>
      </c>
      <c r="B1347" s="5">
        <v>56</v>
      </c>
      <c r="C1347" s="5">
        <v>2</v>
      </c>
      <c r="D1347" s="25">
        <v>1.1416E-4</v>
      </c>
      <c r="E1347" s="25">
        <v>1.1079E-4</v>
      </c>
      <c r="F1347" s="25">
        <v>1.1089E-4</v>
      </c>
      <c r="G1347" s="25">
        <v>6.2810000000000003E-5</v>
      </c>
      <c r="H1347" s="25">
        <v>1.2649999999999999E-5</v>
      </c>
      <c r="I1347" s="9">
        <v>1.3124999999999999E-4</v>
      </c>
      <c r="J1347" s="9">
        <v>1.2021E-4</v>
      </c>
      <c r="K1347" s="9">
        <v>2.9033999999999999E-4</v>
      </c>
      <c r="L1347" s="9">
        <v>9.0929999999999998E-5</v>
      </c>
      <c r="M1347" s="9">
        <v>9.8049999999999998E-5</v>
      </c>
      <c r="N1347" s="9">
        <v>9.9630000000000007E-5</v>
      </c>
      <c r="O1347" s="9">
        <v>8.4829999999999999E-5</v>
      </c>
      <c r="P1347" s="9">
        <v>7.5580000000000005E-5</v>
      </c>
      <c r="Q1347" s="9">
        <v>6.6959999999999996E-5</v>
      </c>
      <c r="R1347" s="10">
        <v>1.2711901183886388E-5</v>
      </c>
      <c r="S1347" s="10">
        <v>6.2246011473314428E-6</v>
      </c>
      <c r="T1347" s="10">
        <v>0</v>
      </c>
      <c r="U1347" s="10">
        <v>1.8450000000000001E-4</v>
      </c>
      <c r="V1347" s="25"/>
      <c r="W1347" s="25"/>
      <c r="X1347" s="25"/>
      <c r="Y1347" s="25"/>
      <c r="Z1347" s="25"/>
      <c r="AA1347" s="25"/>
    </row>
    <row r="1348" spans="1:27" x14ac:dyDescent="0.35">
      <c r="A1348" s="5">
        <v>1344</v>
      </c>
      <c r="B1348" s="5">
        <v>56</v>
      </c>
      <c r="C1348" s="5">
        <v>2</v>
      </c>
      <c r="D1348" s="25">
        <v>1.1415000000000001E-4</v>
      </c>
      <c r="E1348" s="25">
        <v>1.0461E-4</v>
      </c>
      <c r="F1348" s="25">
        <v>9.7189999999999996E-5</v>
      </c>
      <c r="G1348" s="25">
        <v>6.1799999999999998E-5</v>
      </c>
      <c r="H1348" s="25">
        <v>1.4260000000000001E-5</v>
      </c>
      <c r="I1348" s="9">
        <v>1.3011000000000001E-4</v>
      </c>
      <c r="J1348" s="9">
        <v>1.1286E-4</v>
      </c>
      <c r="K1348" s="9">
        <v>2.9459000000000001E-4</v>
      </c>
      <c r="L1348" s="9">
        <v>8.6399999999999999E-5</v>
      </c>
      <c r="M1348" s="9">
        <v>8.7219999999999995E-5</v>
      </c>
      <c r="N1348" s="9">
        <v>9.0409999999999997E-5</v>
      </c>
      <c r="O1348" s="9">
        <v>7.9989999999999998E-5</v>
      </c>
      <c r="P1348" s="9">
        <v>6.9439999999999999E-5</v>
      </c>
      <c r="Q1348" s="9">
        <v>5.944E-5</v>
      </c>
      <c r="R1348" s="10">
        <v>1.535964099058861E-5</v>
      </c>
      <c r="S1348" s="10">
        <v>2.0675374126728449E-5</v>
      </c>
      <c r="T1348" s="10">
        <v>0</v>
      </c>
      <c r="U1348" s="10">
        <v>1.8450000000000001E-4</v>
      </c>
      <c r="V1348" s="25"/>
      <c r="W1348" s="25"/>
      <c r="X1348" s="25"/>
      <c r="Y1348" s="25"/>
      <c r="Z1348" s="25"/>
      <c r="AA1348" s="25"/>
    </row>
    <row r="1349" spans="1:27" x14ac:dyDescent="0.35">
      <c r="A1349" s="5">
        <v>1345</v>
      </c>
      <c r="B1349" s="5">
        <v>57</v>
      </c>
      <c r="C1349" s="5">
        <v>2</v>
      </c>
      <c r="D1349" s="25">
        <v>1.1416E-4</v>
      </c>
      <c r="E1349" s="25">
        <v>1.1612000000000001E-4</v>
      </c>
      <c r="F1349" s="25">
        <v>1.186E-4</v>
      </c>
      <c r="G1349" s="25">
        <v>5.6390000000000001E-5</v>
      </c>
      <c r="H1349" s="25">
        <v>6.5619999999999999E-5</v>
      </c>
      <c r="I1349" s="9">
        <v>1.2279000000000001E-4</v>
      </c>
      <c r="J1349" s="9">
        <v>1.0533E-4</v>
      </c>
      <c r="K1349" s="9">
        <v>2.9034999999999998E-4</v>
      </c>
      <c r="L1349" s="9">
        <v>8.1180000000000005E-5</v>
      </c>
      <c r="M1349" s="9">
        <v>7.8360000000000002E-5</v>
      </c>
      <c r="N1349" s="9">
        <v>8.1180000000000005E-5</v>
      </c>
      <c r="O1349" s="9">
        <v>5.4830000000000002E-5</v>
      </c>
      <c r="P1349" s="9">
        <v>5.4240000000000002E-5</v>
      </c>
      <c r="Q1349" s="9">
        <v>5.3810000000000001E-5</v>
      </c>
      <c r="R1349" s="10">
        <v>1.2162147889007538E-5</v>
      </c>
      <c r="S1349" s="10">
        <v>3.6327720352562803E-5</v>
      </c>
      <c r="T1349" s="10">
        <v>0</v>
      </c>
      <c r="U1349" s="10">
        <v>1.8223999999999999E-4</v>
      </c>
      <c r="V1349" s="25"/>
      <c r="W1349" s="25"/>
      <c r="X1349" s="25"/>
      <c r="Y1349" s="25"/>
      <c r="Z1349" s="25"/>
      <c r="AA1349" s="25"/>
    </row>
    <row r="1350" spans="1:27" x14ac:dyDescent="0.35">
      <c r="A1350" s="5">
        <v>1346</v>
      </c>
      <c r="B1350" s="5">
        <v>57</v>
      </c>
      <c r="C1350" s="5">
        <v>2</v>
      </c>
      <c r="D1350" s="25">
        <v>1.1415000000000001E-4</v>
      </c>
      <c r="E1350" s="25">
        <v>1.2386999999999999E-4</v>
      </c>
      <c r="F1350" s="25">
        <v>1.1804E-4</v>
      </c>
      <c r="G1350" s="25">
        <v>6.1829999999999996E-5</v>
      </c>
      <c r="H1350" s="25">
        <v>7.1940000000000006E-5</v>
      </c>
      <c r="I1350" s="9">
        <v>1.1726E-4</v>
      </c>
      <c r="J1350" s="9">
        <v>1.0069E-4</v>
      </c>
      <c r="K1350" s="9">
        <v>2.9034999999999998E-4</v>
      </c>
      <c r="L1350" s="9">
        <v>6.0749999999999999E-5</v>
      </c>
      <c r="M1350" s="9">
        <v>6.7609999999999998E-5</v>
      </c>
      <c r="N1350" s="9">
        <v>7.2210000000000002E-5</v>
      </c>
      <c r="O1350" s="9">
        <v>1.8490000000000001E-5</v>
      </c>
      <c r="P1350" s="9">
        <v>3.7639999999999999E-5</v>
      </c>
      <c r="Q1350" s="9">
        <v>5.6010000000000001E-5</v>
      </c>
      <c r="R1350" s="10">
        <v>1.2140191205372491E-5</v>
      </c>
      <c r="S1350" s="10">
        <v>5.8920830806931326E-5</v>
      </c>
      <c r="T1350" s="10">
        <v>0</v>
      </c>
      <c r="U1350" s="10">
        <v>1.8223999999999999E-4</v>
      </c>
      <c r="V1350" s="25"/>
      <c r="W1350" s="25"/>
      <c r="X1350" s="25"/>
      <c r="Y1350" s="25"/>
      <c r="Z1350" s="25"/>
      <c r="AA1350" s="25"/>
    </row>
    <row r="1351" spans="1:27" x14ac:dyDescent="0.35">
      <c r="A1351" s="5">
        <v>1347</v>
      </c>
      <c r="B1351" s="5">
        <v>57</v>
      </c>
      <c r="C1351" s="5">
        <v>2</v>
      </c>
      <c r="D1351" s="25">
        <v>1.1416E-4</v>
      </c>
      <c r="E1351" s="25">
        <v>1.1665E-4</v>
      </c>
      <c r="F1351" s="25">
        <v>1.3295000000000001E-4</v>
      </c>
      <c r="G1351" s="25">
        <v>5.5989999999999998E-5</v>
      </c>
      <c r="H1351" s="25">
        <v>7.2949999999999998E-5</v>
      </c>
      <c r="I1351" s="9">
        <v>1.1231E-4</v>
      </c>
      <c r="J1351" s="9">
        <v>9.8430000000000005E-5</v>
      </c>
      <c r="K1351" s="9">
        <v>2.9247000000000002E-4</v>
      </c>
      <c r="L1351" s="9">
        <v>2.834E-5</v>
      </c>
      <c r="M1351" s="9">
        <v>5.418E-5</v>
      </c>
      <c r="N1351" s="9">
        <v>6.5619999999999999E-5</v>
      </c>
      <c r="O1351" s="9">
        <v>1.312E-5</v>
      </c>
      <c r="P1351" s="9">
        <v>3.8050000000000003E-5</v>
      </c>
      <c r="Q1351" s="9">
        <v>6.2020000000000006E-5</v>
      </c>
      <c r="R1351" s="10">
        <v>1.8582285039005168E-5</v>
      </c>
      <c r="S1351" s="10">
        <v>8.6909891493830029E-5</v>
      </c>
      <c r="T1351" s="10">
        <v>0</v>
      </c>
      <c r="U1351" s="10">
        <v>1.8223999999999999E-4</v>
      </c>
      <c r="V1351" s="25"/>
      <c r="W1351" s="25"/>
      <c r="X1351" s="25"/>
      <c r="Y1351" s="25"/>
      <c r="Z1351" s="25"/>
      <c r="AA1351" s="25"/>
    </row>
    <row r="1352" spans="1:27" x14ac:dyDescent="0.35">
      <c r="A1352" s="5">
        <v>1348</v>
      </c>
      <c r="B1352" s="5">
        <v>57</v>
      </c>
      <c r="C1352" s="5">
        <v>2</v>
      </c>
      <c r="D1352" s="25">
        <v>1.1415000000000001E-4</v>
      </c>
      <c r="E1352" s="25">
        <v>1.1376E-4</v>
      </c>
      <c r="F1352" s="25">
        <v>1.2709E-4</v>
      </c>
      <c r="G1352" s="25">
        <v>5.6190000000000002E-5</v>
      </c>
      <c r="H1352" s="25">
        <v>6.6879999999999997E-5</v>
      </c>
      <c r="I1352" s="9">
        <v>1.0983E-4</v>
      </c>
      <c r="J1352" s="9">
        <v>9.747E-5</v>
      </c>
      <c r="K1352" s="9">
        <v>2.9245999999999997E-4</v>
      </c>
      <c r="L1352" s="9">
        <v>1.7350000000000002E-5</v>
      </c>
      <c r="M1352" s="9">
        <v>4.5120000000000002E-5</v>
      </c>
      <c r="N1352" s="9">
        <v>6.2130000000000003E-5</v>
      </c>
      <c r="O1352" s="9">
        <v>1.291E-5</v>
      </c>
      <c r="P1352" s="9">
        <v>4.6810000000000001E-5</v>
      </c>
      <c r="Q1352" s="9">
        <v>7.9610000000000005E-5</v>
      </c>
      <c r="R1352" s="10">
        <v>3.1686071737071281E-5</v>
      </c>
      <c r="S1352" s="10">
        <v>1.1875844307859866E-4</v>
      </c>
      <c r="T1352" s="10">
        <v>0</v>
      </c>
      <c r="U1352" s="10">
        <v>1.8223999999999999E-4</v>
      </c>
      <c r="V1352" s="25"/>
      <c r="W1352" s="25"/>
      <c r="X1352" s="25"/>
      <c r="Y1352" s="25"/>
      <c r="Z1352" s="25"/>
      <c r="AA1352" s="25"/>
    </row>
    <row r="1353" spans="1:27" x14ac:dyDescent="0.35">
      <c r="A1353" s="5">
        <v>1349</v>
      </c>
      <c r="B1353" s="5">
        <v>57</v>
      </c>
      <c r="C1353" s="5">
        <v>2</v>
      </c>
      <c r="D1353" s="25">
        <v>1.1416E-4</v>
      </c>
      <c r="E1353" s="25">
        <v>1.1634E-4</v>
      </c>
      <c r="F1353" s="25">
        <v>1.3630000000000001E-4</v>
      </c>
      <c r="G1353" s="25">
        <v>5.5720000000000002E-5</v>
      </c>
      <c r="H1353" s="25">
        <v>6.9309999999999999E-5</v>
      </c>
      <c r="I1353" s="9">
        <v>1.1047E-4</v>
      </c>
      <c r="J1353" s="9">
        <v>9.8099999999999999E-5</v>
      </c>
      <c r="K1353" s="9">
        <v>3.0729999999999999E-4</v>
      </c>
      <c r="L1353" s="9">
        <v>1.4059999999999999E-5</v>
      </c>
      <c r="M1353" s="9">
        <v>4.3739999999999998E-5</v>
      </c>
      <c r="N1353" s="9">
        <v>6.4469999999999998E-5</v>
      </c>
      <c r="O1353" s="9">
        <v>1.8649999999999999E-5</v>
      </c>
      <c r="P1353" s="9">
        <v>5.6929999999999999E-5</v>
      </c>
      <c r="Q1353" s="9">
        <v>9.4140000000000003E-5</v>
      </c>
      <c r="R1353" s="10">
        <v>4.0458291133586434E-5</v>
      </c>
      <c r="S1353" s="10">
        <v>1.4863336494984195E-4</v>
      </c>
      <c r="T1353" s="10">
        <v>0</v>
      </c>
      <c r="U1353" s="10">
        <v>1.8223999999999999E-4</v>
      </c>
      <c r="V1353" s="25"/>
      <c r="W1353" s="25"/>
      <c r="X1353" s="25"/>
      <c r="Y1353" s="25"/>
      <c r="Z1353" s="25"/>
      <c r="AA1353" s="25"/>
    </row>
    <row r="1354" spans="1:27" x14ac:dyDescent="0.35">
      <c r="A1354" s="5">
        <v>1350</v>
      </c>
      <c r="B1354" s="5">
        <v>57</v>
      </c>
      <c r="C1354" s="5">
        <v>2</v>
      </c>
      <c r="D1354" s="25">
        <v>1.1415000000000001E-4</v>
      </c>
      <c r="E1354" s="25">
        <v>1.2224E-4</v>
      </c>
      <c r="F1354" s="25">
        <v>1.2716E-4</v>
      </c>
      <c r="G1354" s="25">
        <v>1.0938E-4</v>
      </c>
      <c r="H1354" s="25">
        <v>1.2789E-4</v>
      </c>
      <c r="I1354" s="9">
        <v>1.1561E-4</v>
      </c>
      <c r="J1354" s="9">
        <v>1.0175000000000001E-4</v>
      </c>
      <c r="K1354" s="9">
        <v>3.0093999999999997E-4</v>
      </c>
      <c r="L1354" s="9">
        <v>1.751E-5</v>
      </c>
      <c r="M1354" s="9">
        <v>4.85E-5</v>
      </c>
      <c r="N1354" s="9">
        <v>7.1089999999999999E-5</v>
      </c>
      <c r="O1354" s="9">
        <v>4.6029999999999998E-5</v>
      </c>
      <c r="P1354" s="9">
        <v>7.6539999999999996E-5</v>
      </c>
      <c r="Q1354" s="9">
        <v>1.0658E-4</v>
      </c>
      <c r="R1354" s="10">
        <v>6.5500777387223326E-5</v>
      </c>
      <c r="S1354" s="10">
        <v>1.7096547738932891E-4</v>
      </c>
      <c r="T1354" s="10">
        <v>0</v>
      </c>
      <c r="U1354" s="10">
        <v>1.8223999999999999E-4</v>
      </c>
      <c r="V1354" s="25"/>
      <c r="W1354" s="25"/>
      <c r="X1354" s="25"/>
      <c r="Y1354" s="25"/>
      <c r="Z1354" s="25"/>
      <c r="AA1354" s="25"/>
    </row>
    <row r="1355" spans="1:27" x14ac:dyDescent="0.35">
      <c r="A1355" s="5">
        <v>1351</v>
      </c>
      <c r="B1355" s="5">
        <v>57</v>
      </c>
      <c r="C1355" s="5">
        <v>2</v>
      </c>
      <c r="D1355" s="25">
        <v>1.1416E-4</v>
      </c>
      <c r="E1355" s="25">
        <v>1.1516E-4</v>
      </c>
      <c r="F1355" s="25">
        <v>1.3332E-4</v>
      </c>
      <c r="G1355" s="25">
        <v>1.0900000000000001E-4</v>
      </c>
      <c r="H1355" s="25">
        <v>1.3065E-4</v>
      </c>
      <c r="I1355" s="9">
        <v>1.2904999999999999E-4</v>
      </c>
      <c r="J1355" s="9">
        <v>1.1289E-4</v>
      </c>
      <c r="K1355" s="9">
        <v>2.967E-4</v>
      </c>
      <c r="L1355" s="9">
        <v>3.96E-5</v>
      </c>
      <c r="M1355" s="9">
        <v>5.995E-5</v>
      </c>
      <c r="N1355" s="9">
        <v>8.0669999999999998E-5</v>
      </c>
      <c r="O1355" s="9">
        <v>1.2493000000000001E-4</v>
      </c>
      <c r="P1355" s="9">
        <v>1.1849E-4</v>
      </c>
      <c r="Q1355" s="9">
        <v>1.1349999999999999E-4</v>
      </c>
      <c r="R1355" s="10">
        <v>1.0158554559670845E-4</v>
      </c>
      <c r="S1355" s="10">
        <v>1.843214253567738E-4</v>
      </c>
      <c r="T1355" s="10">
        <v>0</v>
      </c>
      <c r="U1355" s="10">
        <v>1.8223999999999999E-4</v>
      </c>
      <c r="V1355" s="25"/>
      <c r="W1355" s="25"/>
      <c r="X1355" s="25"/>
      <c r="Y1355" s="25"/>
      <c r="Z1355" s="25"/>
      <c r="AA1355" s="25"/>
    </row>
    <row r="1356" spans="1:27" x14ac:dyDescent="0.35">
      <c r="A1356" s="5">
        <v>1352</v>
      </c>
      <c r="B1356" s="5">
        <v>57</v>
      </c>
      <c r="C1356" s="5">
        <v>2</v>
      </c>
      <c r="D1356" s="25">
        <v>1.1415000000000001E-4</v>
      </c>
      <c r="E1356" s="25">
        <v>1.2066999999999999E-4</v>
      </c>
      <c r="F1356" s="25">
        <v>1.3674E-4</v>
      </c>
      <c r="G1356" s="25">
        <v>1.6321E-4</v>
      </c>
      <c r="H1356" s="25">
        <v>1.9081E-4</v>
      </c>
      <c r="I1356" s="9">
        <v>1.3846999999999999E-4</v>
      </c>
      <c r="J1356" s="9">
        <v>1.2857E-4</v>
      </c>
      <c r="K1356" s="9">
        <v>2.8610000000000002E-4</v>
      </c>
      <c r="L1356" s="9">
        <v>1.0554E-4</v>
      </c>
      <c r="M1356" s="9">
        <v>8.3990000000000001E-5</v>
      </c>
      <c r="N1356" s="9">
        <v>9.0989999999999994E-5</v>
      </c>
      <c r="O1356" s="9">
        <v>2.2105000000000001E-4</v>
      </c>
      <c r="P1356" s="9">
        <v>1.7705999999999999E-4</v>
      </c>
      <c r="Q1356" s="9">
        <v>1.3678E-4</v>
      </c>
      <c r="R1356" s="10">
        <v>1.3846298214541085E-4</v>
      </c>
      <c r="S1356" s="10">
        <v>1.8903553454065905E-4</v>
      </c>
      <c r="T1356" s="10">
        <v>3.7585446121131349E-6</v>
      </c>
      <c r="U1356" s="10">
        <v>1.8223999999999999E-4</v>
      </c>
      <c r="V1356" s="25"/>
      <c r="W1356" s="25"/>
      <c r="X1356" s="25"/>
      <c r="Y1356" s="25"/>
      <c r="Z1356" s="25"/>
      <c r="AA1356" s="25"/>
    </row>
    <row r="1357" spans="1:27" x14ac:dyDescent="0.35">
      <c r="A1357" s="5">
        <v>1353</v>
      </c>
      <c r="B1357" s="5">
        <v>57</v>
      </c>
      <c r="C1357" s="5">
        <v>2</v>
      </c>
      <c r="D1357" s="25">
        <v>1.1416E-4</v>
      </c>
      <c r="E1357" s="25">
        <v>1.22E-4</v>
      </c>
      <c r="F1357" s="25">
        <v>1.3180000000000001E-4</v>
      </c>
      <c r="G1357" s="25">
        <v>1.6421E-4</v>
      </c>
      <c r="H1357" s="25">
        <v>2.0018E-4</v>
      </c>
      <c r="I1357" s="9">
        <v>1.4041999999999999E-4</v>
      </c>
      <c r="J1357" s="9">
        <v>1.3951999999999999E-4</v>
      </c>
      <c r="K1357" s="9">
        <v>2.7551000000000002E-4</v>
      </c>
      <c r="L1357" s="9">
        <v>1.9384E-4</v>
      </c>
      <c r="M1357" s="9">
        <v>1.2371999999999999E-4</v>
      </c>
      <c r="N1357" s="9">
        <v>1.0473E-4</v>
      </c>
      <c r="O1357" s="9">
        <v>2.1193000000000001E-4</v>
      </c>
      <c r="P1357" s="9">
        <v>1.9254999999999999E-4</v>
      </c>
      <c r="Q1357" s="9">
        <v>1.7634000000000001E-4</v>
      </c>
      <c r="R1357" s="10">
        <v>1.6997004927294196E-4</v>
      </c>
      <c r="S1357" s="10">
        <v>1.9009535358455854E-4</v>
      </c>
      <c r="T1357" s="10">
        <v>1.5178411537404963E-5</v>
      </c>
      <c r="U1357" s="10">
        <v>1.8223999999999999E-4</v>
      </c>
      <c r="V1357" s="25"/>
      <c r="W1357" s="25"/>
      <c r="X1357" s="25"/>
      <c r="Y1357" s="25"/>
      <c r="Z1357" s="25"/>
      <c r="AA1357" s="25"/>
    </row>
    <row r="1358" spans="1:27" x14ac:dyDescent="0.35">
      <c r="A1358" s="5">
        <v>1354</v>
      </c>
      <c r="B1358" s="5">
        <v>57</v>
      </c>
      <c r="C1358" s="5">
        <v>2</v>
      </c>
      <c r="D1358" s="25">
        <v>1.1415000000000001E-4</v>
      </c>
      <c r="E1358" s="25">
        <v>1.1924E-4</v>
      </c>
      <c r="F1358" s="25">
        <v>1.2383000000000001E-4</v>
      </c>
      <c r="G1358" s="25">
        <v>1.6097999999999999E-4</v>
      </c>
      <c r="H1358" s="25">
        <v>2.0076999999999999E-4</v>
      </c>
      <c r="I1358" s="9">
        <v>1.4412999999999999E-4</v>
      </c>
      <c r="J1358" s="9">
        <v>1.4475999999999999E-4</v>
      </c>
      <c r="K1358" s="9">
        <v>2.6068E-4</v>
      </c>
      <c r="L1358" s="9">
        <v>2.0562999999999999E-4</v>
      </c>
      <c r="M1358" s="9">
        <v>1.5856E-4</v>
      </c>
      <c r="N1358" s="9">
        <v>1.2463E-4</v>
      </c>
      <c r="O1358" s="9">
        <v>1.6954000000000001E-4</v>
      </c>
      <c r="P1358" s="9">
        <v>1.7558E-4</v>
      </c>
      <c r="Q1358" s="9">
        <v>1.8365999999999999E-4</v>
      </c>
      <c r="R1358" s="10">
        <v>1.8311060811691108E-4</v>
      </c>
      <c r="S1358" s="10">
        <v>1.9028106938200846E-4</v>
      </c>
      <c r="T1358" s="10">
        <v>1.9132095034571375E-4</v>
      </c>
      <c r="U1358" s="10">
        <v>1.8223999999999999E-4</v>
      </c>
      <c r="V1358" s="25"/>
      <c r="W1358" s="25"/>
      <c r="X1358" s="25"/>
      <c r="Y1358" s="25"/>
      <c r="Z1358" s="25"/>
      <c r="AA1358" s="25"/>
    </row>
    <row r="1359" spans="1:27" x14ac:dyDescent="0.35">
      <c r="A1359" s="5">
        <v>1355</v>
      </c>
      <c r="B1359" s="5">
        <v>57</v>
      </c>
      <c r="C1359" s="5">
        <v>2</v>
      </c>
      <c r="D1359" s="25">
        <v>1.1416E-4</v>
      </c>
      <c r="E1359" s="25">
        <v>1.1941E-4</v>
      </c>
      <c r="F1359" s="25">
        <v>1.2516E-4</v>
      </c>
      <c r="G1359" s="25">
        <v>1.6398000000000001E-4</v>
      </c>
      <c r="H1359" s="25">
        <v>1.9853000000000001E-4</v>
      </c>
      <c r="I1359" s="9">
        <v>1.4374E-4</v>
      </c>
      <c r="J1359" s="9">
        <v>1.4551000000000001E-4</v>
      </c>
      <c r="K1359" s="9">
        <v>2.4159999999999999E-4</v>
      </c>
      <c r="L1359" s="9">
        <v>1.7759000000000001E-4</v>
      </c>
      <c r="M1359" s="9">
        <v>1.7274E-4</v>
      </c>
      <c r="N1359" s="9">
        <v>1.4302999999999999E-4</v>
      </c>
      <c r="O1359" s="9">
        <v>1.6882E-4</v>
      </c>
      <c r="P1359" s="9">
        <v>1.7348E-4</v>
      </c>
      <c r="Q1359" s="9">
        <v>1.8018999999999999E-4</v>
      </c>
      <c r="R1359" s="10">
        <v>1.7701190662820345E-4</v>
      </c>
      <c r="S1359" s="10">
        <v>1.9029014321012916E-4</v>
      </c>
      <c r="T1359" s="10">
        <v>7.372007705338832E-5</v>
      </c>
      <c r="U1359" s="10">
        <v>1.8223999999999999E-4</v>
      </c>
      <c r="V1359" s="25"/>
      <c r="W1359" s="25"/>
      <c r="X1359" s="25"/>
      <c r="Y1359" s="25"/>
      <c r="Z1359" s="25"/>
      <c r="AA1359" s="25"/>
    </row>
    <row r="1360" spans="1:27" x14ac:dyDescent="0.35">
      <c r="A1360" s="5">
        <v>1356</v>
      </c>
      <c r="B1360" s="5">
        <v>57</v>
      </c>
      <c r="C1360" s="5">
        <v>2</v>
      </c>
      <c r="D1360" s="25">
        <v>1.1415000000000001E-4</v>
      </c>
      <c r="E1360" s="25">
        <v>1.1747E-4</v>
      </c>
      <c r="F1360" s="25">
        <v>1.2428999999999999E-4</v>
      </c>
      <c r="G1360" s="25">
        <v>1.6384E-4</v>
      </c>
      <c r="H1360" s="25">
        <v>1.9086999999999999E-4</v>
      </c>
      <c r="I1360" s="9">
        <v>1.4462000000000001E-4</v>
      </c>
      <c r="J1360" s="9">
        <v>1.4416E-4</v>
      </c>
      <c r="K1360" s="9">
        <v>2.522E-4</v>
      </c>
      <c r="L1360" s="9">
        <v>1.7212999999999999E-4</v>
      </c>
      <c r="M1360" s="9">
        <v>1.7547E-4</v>
      </c>
      <c r="N1360" s="9">
        <v>1.5723000000000001E-4</v>
      </c>
      <c r="O1360" s="9">
        <v>1.7152000000000001E-4</v>
      </c>
      <c r="P1360" s="9">
        <v>1.7204000000000001E-4</v>
      </c>
      <c r="Q1360" s="9">
        <v>1.7472000000000001E-4</v>
      </c>
      <c r="R1360" s="10">
        <v>1.4781595584995543E-4</v>
      </c>
      <c r="S1360" s="10">
        <v>1.9020659409245939E-4</v>
      </c>
      <c r="T1360" s="10">
        <v>1.6804003292892269E-4</v>
      </c>
      <c r="U1360" s="10">
        <v>1.8223999999999999E-4</v>
      </c>
      <c r="V1360" s="25"/>
      <c r="W1360" s="25"/>
      <c r="X1360" s="25"/>
      <c r="Y1360" s="25"/>
      <c r="Z1360" s="25"/>
      <c r="AA1360" s="25"/>
    </row>
    <row r="1361" spans="1:27" x14ac:dyDescent="0.35">
      <c r="A1361" s="5">
        <v>1357</v>
      </c>
      <c r="B1361" s="5">
        <v>57</v>
      </c>
      <c r="C1361" s="5">
        <v>2</v>
      </c>
      <c r="D1361" s="25">
        <v>1.1416E-4</v>
      </c>
      <c r="E1361" s="25">
        <v>1.1649E-4</v>
      </c>
      <c r="F1361" s="25">
        <v>1.1938E-4</v>
      </c>
      <c r="G1361" s="25">
        <v>1.5838000000000001E-4</v>
      </c>
      <c r="H1361" s="25">
        <v>1.9712000000000001E-4</v>
      </c>
      <c r="I1361" s="9">
        <v>1.4007000000000001E-4</v>
      </c>
      <c r="J1361" s="9">
        <v>1.4098999999999999E-4</v>
      </c>
      <c r="K1361" s="9">
        <v>2.6490999999999998E-4</v>
      </c>
      <c r="L1361" s="9">
        <v>1.7181999999999999E-4</v>
      </c>
      <c r="M1361" s="9">
        <v>1.7445000000000001E-4</v>
      </c>
      <c r="N1361" s="9">
        <v>1.6674999999999999E-4</v>
      </c>
      <c r="O1361" s="9">
        <v>1.6257000000000001E-4</v>
      </c>
      <c r="P1361" s="9">
        <v>1.6396999999999999E-4</v>
      </c>
      <c r="Q1361" s="9">
        <v>1.6736999999999999E-4</v>
      </c>
      <c r="R1361" s="10">
        <v>1.7335996255695674E-4</v>
      </c>
      <c r="S1361" s="10">
        <v>1.9028858472847375E-4</v>
      </c>
      <c r="T1361" s="10">
        <v>1.0501865735606408E-4</v>
      </c>
      <c r="U1361" s="10">
        <v>1.8223999999999999E-4</v>
      </c>
      <c r="V1361" s="25"/>
      <c r="W1361" s="25"/>
      <c r="X1361" s="25"/>
      <c r="Y1361" s="25"/>
      <c r="Z1361" s="25"/>
      <c r="AA1361" s="25"/>
    </row>
    <row r="1362" spans="1:27" x14ac:dyDescent="0.35">
      <c r="A1362" s="5">
        <v>1358</v>
      </c>
      <c r="B1362" s="5">
        <v>57</v>
      </c>
      <c r="C1362" s="5">
        <v>2</v>
      </c>
      <c r="D1362" s="25">
        <v>1.1415000000000001E-4</v>
      </c>
      <c r="E1362" s="25">
        <v>1.1968000000000001E-4</v>
      </c>
      <c r="F1362" s="25">
        <v>1.3035999999999999E-4</v>
      </c>
      <c r="G1362" s="25">
        <v>1.5981E-4</v>
      </c>
      <c r="H1362" s="25">
        <v>1.9518000000000001E-4</v>
      </c>
      <c r="I1362" s="9">
        <v>1.3990000000000001E-4</v>
      </c>
      <c r="J1362" s="9">
        <v>1.4023E-4</v>
      </c>
      <c r="K1362" s="9">
        <v>2.5642999999999998E-4</v>
      </c>
      <c r="L1362" s="9">
        <v>1.6436000000000001E-4</v>
      </c>
      <c r="M1362" s="9">
        <v>1.7035999999999999E-4</v>
      </c>
      <c r="N1362" s="9">
        <v>1.7097E-4</v>
      </c>
      <c r="O1362" s="9">
        <v>1.7845E-4</v>
      </c>
      <c r="P1362" s="9">
        <v>1.6799999999999999E-4</v>
      </c>
      <c r="Q1362" s="9">
        <v>1.6002E-4</v>
      </c>
      <c r="R1362" s="10">
        <v>1.9231116515905356E-4</v>
      </c>
      <c r="S1362" s="10">
        <v>1.9029018325381454E-4</v>
      </c>
      <c r="T1362" s="10">
        <v>7.7249545583047604E-5</v>
      </c>
      <c r="U1362" s="10">
        <v>1.8223999999999999E-4</v>
      </c>
      <c r="V1362" s="25"/>
      <c r="W1362" s="25"/>
      <c r="X1362" s="25"/>
      <c r="Y1362" s="25"/>
      <c r="Z1362" s="25"/>
      <c r="AA1362" s="25"/>
    </row>
    <row r="1363" spans="1:27" x14ac:dyDescent="0.35">
      <c r="A1363" s="5">
        <v>1359</v>
      </c>
      <c r="B1363" s="5">
        <v>57</v>
      </c>
      <c r="C1363" s="5">
        <v>2</v>
      </c>
      <c r="D1363" s="25">
        <v>1.1416E-4</v>
      </c>
      <c r="E1363" s="25">
        <v>1.1985999999999999E-4</v>
      </c>
      <c r="F1363" s="25">
        <v>1.3191E-4</v>
      </c>
      <c r="G1363" s="25">
        <v>1.6325000000000001E-4</v>
      </c>
      <c r="H1363" s="25">
        <v>1.9157000000000001E-4</v>
      </c>
      <c r="I1363" s="9">
        <v>1.3792000000000001E-4</v>
      </c>
      <c r="J1363" s="9">
        <v>1.3985000000000001E-4</v>
      </c>
      <c r="K1363" s="9">
        <v>2.6491999999999998E-4</v>
      </c>
      <c r="L1363" s="9">
        <v>1.7552999999999999E-4</v>
      </c>
      <c r="M1363" s="9">
        <v>1.6835E-4</v>
      </c>
      <c r="N1363" s="9">
        <v>1.7024E-4</v>
      </c>
      <c r="O1363" s="9">
        <v>1.8534000000000001E-4</v>
      </c>
      <c r="P1363" s="9">
        <v>1.6791000000000001E-4</v>
      </c>
      <c r="Q1363" s="9">
        <v>1.5315000000000001E-4</v>
      </c>
      <c r="R1363" s="10">
        <v>2.0173137896818157E-4</v>
      </c>
      <c r="S1363" s="10">
        <v>1.9029018274645577E-4</v>
      </c>
      <c r="T1363" s="10">
        <v>7.6418084246733653E-5</v>
      </c>
      <c r="U1363" s="10">
        <v>1.8223999999999999E-4</v>
      </c>
      <c r="V1363" s="25"/>
      <c r="W1363" s="25"/>
      <c r="X1363" s="25"/>
      <c r="Y1363" s="25"/>
      <c r="Z1363" s="25"/>
      <c r="AA1363" s="25"/>
    </row>
    <row r="1364" spans="1:27" x14ac:dyDescent="0.35">
      <c r="A1364" s="5">
        <v>1360</v>
      </c>
      <c r="B1364" s="5">
        <v>57</v>
      </c>
      <c r="C1364" s="5">
        <v>2</v>
      </c>
      <c r="D1364" s="25">
        <v>1.1415000000000001E-4</v>
      </c>
      <c r="E1364" s="25">
        <v>1.1650999999999999E-4</v>
      </c>
      <c r="F1364" s="25">
        <v>1.3254E-4</v>
      </c>
      <c r="G1364" s="25">
        <v>1.6270999999999999E-4</v>
      </c>
      <c r="H1364" s="25">
        <v>1.8859000000000001E-4</v>
      </c>
      <c r="I1364" s="9">
        <v>1.3485999999999999E-4</v>
      </c>
      <c r="J1364" s="9">
        <v>1.3836E-4</v>
      </c>
      <c r="K1364" s="9">
        <v>2.9034999999999998E-4</v>
      </c>
      <c r="L1364" s="9">
        <v>1.8289000000000001E-4</v>
      </c>
      <c r="M1364" s="9">
        <v>1.6777E-4</v>
      </c>
      <c r="N1364" s="9">
        <v>1.6635E-4</v>
      </c>
      <c r="O1364" s="9">
        <v>1.9718000000000001E-4</v>
      </c>
      <c r="P1364" s="9">
        <v>1.5143000000000001E-4</v>
      </c>
      <c r="Q1364" s="9">
        <v>1.0903E-4</v>
      </c>
      <c r="R1364" s="10">
        <v>2.0682597014381706E-4</v>
      </c>
      <c r="S1364" s="10">
        <v>1.9029017598365817E-4</v>
      </c>
      <c r="T1364" s="10">
        <v>9.8010626092846355E-5</v>
      </c>
      <c r="U1364" s="10">
        <v>1.8223999999999999E-4</v>
      </c>
      <c r="V1364" s="25"/>
      <c r="W1364" s="25"/>
      <c r="X1364" s="25"/>
      <c r="Y1364" s="25"/>
      <c r="Z1364" s="25"/>
      <c r="AA1364" s="25"/>
    </row>
    <row r="1365" spans="1:27" x14ac:dyDescent="0.35">
      <c r="A1365" s="5">
        <v>1361</v>
      </c>
      <c r="B1365" s="5">
        <v>57</v>
      </c>
      <c r="C1365" s="5">
        <v>2</v>
      </c>
      <c r="D1365" s="25">
        <v>1.1416E-4</v>
      </c>
      <c r="E1365" s="25">
        <v>1.1724E-4</v>
      </c>
      <c r="F1365" s="25">
        <v>1.3133E-4</v>
      </c>
      <c r="G1365" s="25">
        <v>1.5894999999999999E-4</v>
      </c>
      <c r="H1365" s="25">
        <v>2.0002E-4</v>
      </c>
      <c r="I1365" s="9">
        <v>1.3339999999999999E-4</v>
      </c>
      <c r="J1365" s="9">
        <v>1.381E-4</v>
      </c>
      <c r="K1365" s="9">
        <v>3.0306000000000002E-4</v>
      </c>
      <c r="L1365" s="9">
        <v>1.9377000000000001E-4</v>
      </c>
      <c r="M1365" s="9">
        <v>1.6186E-4</v>
      </c>
      <c r="N1365" s="9">
        <v>1.5238E-4</v>
      </c>
      <c r="O1365" s="9">
        <v>2.1382000000000001E-4</v>
      </c>
      <c r="P1365" s="9">
        <v>1.5824E-4</v>
      </c>
      <c r="Q1365" s="9">
        <v>1.0644E-4</v>
      </c>
      <c r="R1365" s="10">
        <v>2.0901985201486915E-4</v>
      </c>
      <c r="S1365" s="10">
        <v>1.8976176375066624E-4</v>
      </c>
      <c r="T1365" s="10">
        <v>1.2208906764855082E-5</v>
      </c>
      <c r="U1365" s="10">
        <v>1.8223999999999999E-4</v>
      </c>
      <c r="V1365" s="25"/>
      <c r="W1365" s="25"/>
      <c r="X1365" s="25"/>
      <c r="Y1365" s="25"/>
      <c r="Z1365" s="25"/>
      <c r="AA1365" s="25"/>
    </row>
    <row r="1366" spans="1:27" x14ac:dyDescent="0.35">
      <c r="A1366" s="5">
        <v>1362</v>
      </c>
      <c r="B1366" s="5">
        <v>57</v>
      </c>
      <c r="C1366" s="5">
        <v>2</v>
      </c>
      <c r="D1366" s="25">
        <v>1.1415000000000001E-4</v>
      </c>
      <c r="E1366" s="25">
        <v>1.1409E-4</v>
      </c>
      <c r="F1366" s="25">
        <v>1.2606E-4</v>
      </c>
      <c r="G1366" s="25">
        <v>1.6123999999999999E-4</v>
      </c>
      <c r="H1366" s="25">
        <v>1.9307999999999999E-4</v>
      </c>
      <c r="I1366" s="9">
        <v>1.3370999999999999E-4</v>
      </c>
      <c r="J1366" s="9">
        <v>1.4007000000000001E-4</v>
      </c>
      <c r="K1366" s="9">
        <v>3.0941999999999998E-4</v>
      </c>
      <c r="L1366" s="9">
        <v>2.0918999999999999E-4</v>
      </c>
      <c r="M1366" s="9">
        <v>1.5892E-4</v>
      </c>
      <c r="N1366" s="9">
        <v>1.3882E-4</v>
      </c>
      <c r="O1366" s="9">
        <v>2.0699E-4</v>
      </c>
      <c r="P1366" s="9">
        <v>1.6069000000000001E-4</v>
      </c>
      <c r="Q1366" s="9">
        <v>1.1790000000000001E-4</v>
      </c>
      <c r="R1366" s="10">
        <v>2.0992826262597697E-4</v>
      </c>
      <c r="S1366" s="10">
        <v>1.8383803700187674E-4</v>
      </c>
      <c r="T1366" s="10">
        <v>0</v>
      </c>
      <c r="U1366" s="10">
        <v>1.8223999999999999E-4</v>
      </c>
      <c r="V1366" s="25"/>
      <c r="W1366" s="25"/>
      <c r="X1366" s="25"/>
      <c r="Y1366" s="25"/>
      <c r="Z1366" s="25"/>
      <c r="AA1366" s="25"/>
    </row>
    <row r="1367" spans="1:27" x14ac:dyDescent="0.35">
      <c r="A1367" s="5">
        <v>1363</v>
      </c>
      <c r="B1367" s="5">
        <v>57</v>
      </c>
      <c r="C1367" s="5">
        <v>2</v>
      </c>
      <c r="D1367" s="25">
        <v>1.1416E-4</v>
      </c>
      <c r="E1367" s="25">
        <v>1.1352E-4</v>
      </c>
      <c r="F1367" s="25">
        <v>1.2967999999999999E-4</v>
      </c>
      <c r="G1367" s="25">
        <v>1.0509999999999999E-4</v>
      </c>
      <c r="H1367" s="25">
        <v>1.3112E-4</v>
      </c>
      <c r="I1367" s="9">
        <v>1.3871000000000001E-4</v>
      </c>
      <c r="J1367" s="9">
        <v>1.4165E-4</v>
      </c>
      <c r="K1367" s="9">
        <v>3.2213000000000001E-4</v>
      </c>
      <c r="L1367" s="9">
        <v>2.0709E-4</v>
      </c>
      <c r="M1367" s="9">
        <v>1.5894999999999999E-4</v>
      </c>
      <c r="N1367" s="9">
        <v>1.2980000000000001E-4</v>
      </c>
      <c r="O1367" s="9">
        <v>1.6388000000000001E-4</v>
      </c>
      <c r="P1367" s="9">
        <v>1.3376999999999999E-4</v>
      </c>
      <c r="Q1367" s="9">
        <v>1.0616999999999999E-4</v>
      </c>
      <c r="R1367" s="10">
        <v>2.095356382123507E-4</v>
      </c>
      <c r="S1367" s="10">
        <v>1.6448501243800708E-4</v>
      </c>
      <c r="T1367" s="10">
        <v>0</v>
      </c>
      <c r="U1367" s="10">
        <v>1.8223999999999999E-4</v>
      </c>
      <c r="V1367" s="25"/>
      <c r="W1367" s="25"/>
      <c r="X1367" s="25"/>
      <c r="Y1367" s="25"/>
      <c r="Z1367" s="25"/>
      <c r="AA1367" s="25"/>
    </row>
    <row r="1368" spans="1:27" x14ac:dyDescent="0.35">
      <c r="A1368" s="5">
        <v>1364</v>
      </c>
      <c r="B1368" s="5">
        <v>57</v>
      </c>
      <c r="C1368" s="5">
        <v>2</v>
      </c>
      <c r="D1368" s="25">
        <v>1.1415000000000001E-4</v>
      </c>
      <c r="E1368" s="25">
        <v>1.1615E-4</v>
      </c>
      <c r="F1368" s="25">
        <v>1.3783E-4</v>
      </c>
      <c r="G1368" s="25">
        <v>1.052E-4</v>
      </c>
      <c r="H1368" s="25">
        <v>1.3548E-4</v>
      </c>
      <c r="I1368" s="9">
        <v>1.3702000000000001E-4</v>
      </c>
      <c r="J1368" s="9">
        <v>1.3980000000000001E-4</v>
      </c>
      <c r="K1368" s="9">
        <v>3.2424999999999999E-4</v>
      </c>
      <c r="L1368" s="9">
        <v>1.7351000000000001E-4</v>
      </c>
      <c r="M1368" s="9">
        <v>1.5008E-4</v>
      </c>
      <c r="N1368" s="9">
        <v>1.2053E-4</v>
      </c>
      <c r="O1368" s="9">
        <v>1.2988E-4</v>
      </c>
      <c r="P1368" s="9">
        <v>1.1519E-4</v>
      </c>
      <c r="Q1368" s="9">
        <v>1.0219E-4</v>
      </c>
      <c r="R1368" s="10">
        <v>2.0622937134525215E-4</v>
      </c>
      <c r="S1368" s="10">
        <v>1.4800773130555728E-4</v>
      </c>
      <c r="T1368" s="10">
        <v>0</v>
      </c>
      <c r="U1368" s="10">
        <v>1.8223999999999999E-4</v>
      </c>
      <c r="V1368" s="25"/>
      <c r="W1368" s="25"/>
      <c r="X1368" s="25"/>
      <c r="Y1368" s="25"/>
      <c r="Z1368" s="25"/>
      <c r="AA1368" s="25"/>
    </row>
    <row r="1369" spans="1:27" x14ac:dyDescent="0.35">
      <c r="A1369" s="5">
        <v>1365</v>
      </c>
      <c r="B1369" s="5">
        <v>57</v>
      </c>
      <c r="C1369" s="5">
        <v>2</v>
      </c>
      <c r="D1369" s="25">
        <v>1.1416E-4</v>
      </c>
      <c r="E1369" s="25">
        <v>1.1574E-4</v>
      </c>
      <c r="F1369" s="25">
        <v>1.1993E-4</v>
      </c>
      <c r="G1369" s="25">
        <v>5.923E-5</v>
      </c>
      <c r="H1369" s="25">
        <v>6.6859999999999993E-5</v>
      </c>
      <c r="I1369" s="9">
        <v>1.3023000000000001E-4</v>
      </c>
      <c r="J1369" s="9">
        <v>1.3357000000000001E-4</v>
      </c>
      <c r="K1369" s="9">
        <v>3.1788999999999998E-4</v>
      </c>
      <c r="L1369" s="9">
        <v>1.4050999999999999E-4</v>
      </c>
      <c r="M1369" s="9">
        <v>1.3503000000000001E-4</v>
      </c>
      <c r="N1369" s="9">
        <v>1.1294999999999999E-4</v>
      </c>
      <c r="O1369" s="9">
        <v>8.5119999999999998E-5</v>
      </c>
      <c r="P1369" s="9">
        <v>8.6459999999999996E-5</v>
      </c>
      <c r="Q1369" s="9">
        <v>8.8460000000000003E-5</v>
      </c>
      <c r="R1369" s="10">
        <v>1.9012783914127852E-4</v>
      </c>
      <c r="S1369" s="10">
        <v>1.478328233385241E-4</v>
      </c>
      <c r="T1369" s="10">
        <v>0</v>
      </c>
      <c r="U1369" s="10">
        <v>1.8223999999999999E-4</v>
      </c>
      <c r="V1369" s="25"/>
      <c r="W1369" s="25"/>
      <c r="X1369" s="25"/>
      <c r="Y1369" s="25"/>
      <c r="Z1369" s="25"/>
      <c r="AA1369" s="25"/>
    </row>
    <row r="1370" spans="1:27" x14ac:dyDescent="0.35">
      <c r="A1370" s="5">
        <v>1366</v>
      </c>
      <c r="B1370" s="5">
        <v>57</v>
      </c>
      <c r="C1370" s="5">
        <v>2</v>
      </c>
      <c r="D1370" s="25">
        <v>1.1415000000000001E-4</v>
      </c>
      <c r="E1370" s="25">
        <v>1.2447000000000001E-4</v>
      </c>
      <c r="F1370" s="25">
        <v>1.3776000000000001E-4</v>
      </c>
      <c r="G1370" s="25">
        <v>6.1680000000000006E-5</v>
      </c>
      <c r="H1370" s="25">
        <v>7.025E-5</v>
      </c>
      <c r="I1370" s="9">
        <v>1.2431000000000001E-4</v>
      </c>
      <c r="J1370" s="9">
        <v>1.2510000000000001E-4</v>
      </c>
      <c r="K1370" s="9">
        <v>3.2424999999999999E-4</v>
      </c>
      <c r="L1370" s="9">
        <v>9.8209999999999997E-5</v>
      </c>
      <c r="M1370" s="9">
        <v>1.1367E-4</v>
      </c>
      <c r="N1370" s="9">
        <v>1.0547E-4</v>
      </c>
      <c r="O1370" s="9">
        <v>8.8579999999999996E-5</v>
      </c>
      <c r="P1370" s="9">
        <v>8.8499999999999996E-5</v>
      </c>
      <c r="Q1370" s="9">
        <v>8.9149999999999999E-5</v>
      </c>
      <c r="R1370" s="10">
        <v>1.6612543178807119E-4</v>
      </c>
      <c r="S1370" s="10">
        <v>1.4934953610731209E-4</v>
      </c>
      <c r="T1370" s="10">
        <v>0</v>
      </c>
      <c r="U1370" s="10">
        <v>1.8223999999999999E-4</v>
      </c>
      <c r="V1370" s="25"/>
      <c r="W1370" s="25"/>
      <c r="X1370" s="25"/>
      <c r="Y1370" s="25"/>
      <c r="Z1370" s="25"/>
      <c r="AA1370" s="25"/>
    </row>
    <row r="1371" spans="1:27" x14ac:dyDescent="0.35">
      <c r="A1371" s="5">
        <v>1367</v>
      </c>
      <c r="B1371" s="5">
        <v>57</v>
      </c>
      <c r="C1371" s="5">
        <v>2</v>
      </c>
      <c r="D1371" s="25">
        <v>1.1416E-4</v>
      </c>
      <c r="E1371" s="25">
        <v>1.1683E-4</v>
      </c>
      <c r="F1371" s="25">
        <v>1.3856E-4</v>
      </c>
      <c r="G1371" s="25">
        <v>5.9020000000000001E-5</v>
      </c>
      <c r="H1371" s="25">
        <v>6.9950000000000006E-5</v>
      </c>
      <c r="I1371" s="9">
        <v>1.2641E-4</v>
      </c>
      <c r="J1371" s="9">
        <v>1.1681E-4</v>
      </c>
      <c r="K1371" s="9">
        <v>3.3061000000000001E-4</v>
      </c>
      <c r="L1371" s="9">
        <v>9.1630000000000002E-5</v>
      </c>
      <c r="M1371" s="9">
        <v>9.9380000000000001E-5</v>
      </c>
      <c r="N1371" s="9">
        <v>9.993E-5</v>
      </c>
      <c r="O1371" s="9">
        <v>7.7520000000000003E-5</v>
      </c>
      <c r="P1371" s="9">
        <v>7.1669999999999997E-5</v>
      </c>
      <c r="Q1371" s="9">
        <v>6.6450000000000002E-5</v>
      </c>
      <c r="R1371" s="10">
        <v>1.4169797050580987E-4</v>
      </c>
      <c r="S1371" s="10">
        <v>1.5424531982611311E-4</v>
      </c>
      <c r="T1371" s="10">
        <v>0</v>
      </c>
      <c r="U1371" s="10">
        <v>1.8223999999999999E-4</v>
      </c>
      <c r="V1371" s="25"/>
      <c r="W1371" s="25"/>
      <c r="X1371" s="25"/>
      <c r="Y1371" s="25"/>
      <c r="Z1371" s="25"/>
      <c r="AA1371" s="25"/>
    </row>
    <row r="1372" spans="1:27" x14ac:dyDescent="0.35">
      <c r="A1372" s="5">
        <v>1368</v>
      </c>
      <c r="B1372" s="5">
        <v>57</v>
      </c>
      <c r="C1372" s="5">
        <v>2</v>
      </c>
      <c r="D1372" s="25">
        <v>1.1415000000000001E-4</v>
      </c>
      <c r="E1372" s="25">
        <v>1.1972999999999999E-4</v>
      </c>
      <c r="F1372" s="25">
        <v>1.2381999999999999E-4</v>
      </c>
      <c r="G1372" s="25">
        <v>5.8459999999999999E-5</v>
      </c>
      <c r="H1372" s="25">
        <v>7.5110000000000004E-5</v>
      </c>
      <c r="I1372" s="9">
        <v>1.2622999999999999E-4</v>
      </c>
      <c r="J1372" s="9">
        <v>1.1005000000000001E-4</v>
      </c>
      <c r="K1372" s="9">
        <v>3.4332999999999998E-4</v>
      </c>
      <c r="L1372" s="9">
        <v>8.0610000000000002E-5</v>
      </c>
      <c r="M1372" s="9">
        <v>8.6269999999999999E-5</v>
      </c>
      <c r="N1372" s="9">
        <v>9.0600000000000007E-5</v>
      </c>
      <c r="O1372" s="9">
        <v>6.2940000000000004E-5</v>
      </c>
      <c r="P1372" s="9">
        <v>6.0800000000000001E-5</v>
      </c>
      <c r="Q1372" s="9">
        <v>5.8980000000000001E-5</v>
      </c>
      <c r="R1372" s="10">
        <v>1.3443255096702326E-4</v>
      </c>
      <c r="S1372" s="10">
        <v>1.5882058325717769E-4</v>
      </c>
      <c r="T1372" s="10">
        <v>0</v>
      </c>
      <c r="U1372" s="10">
        <v>1.8223999999999999E-4</v>
      </c>
      <c r="V1372" s="25"/>
      <c r="W1372" s="25"/>
      <c r="X1372" s="25"/>
      <c r="Y1372" s="25"/>
      <c r="Z1372" s="25"/>
      <c r="AA1372" s="25"/>
    </row>
    <row r="1373" spans="1:27" x14ac:dyDescent="0.35">
      <c r="A1373" s="5">
        <v>1369</v>
      </c>
      <c r="B1373" s="5">
        <v>58</v>
      </c>
      <c r="C1373" s="5">
        <v>2</v>
      </c>
      <c r="D1373" s="25">
        <v>1.1416E-4</v>
      </c>
      <c r="E1373" s="25">
        <v>1.1847E-4</v>
      </c>
      <c r="F1373" s="25">
        <v>1.1789E-4</v>
      </c>
      <c r="G1373" s="25">
        <v>6.1600000000000007E-5</v>
      </c>
      <c r="H1373" s="25">
        <v>7.6630000000000003E-5</v>
      </c>
      <c r="I1373" s="9">
        <v>1.1976000000000001E-4</v>
      </c>
      <c r="J1373" s="9">
        <v>1.0377E-4</v>
      </c>
      <c r="K1373" s="9">
        <v>3.4968E-4</v>
      </c>
      <c r="L1373" s="9">
        <v>6.6859999999999993E-5</v>
      </c>
      <c r="M1373" s="9">
        <v>7.4060000000000006E-5</v>
      </c>
      <c r="N1373" s="9">
        <v>8.1260000000000005E-5</v>
      </c>
      <c r="O1373" s="9">
        <v>5.4740000000000001E-5</v>
      </c>
      <c r="P1373" s="9">
        <v>5.4160000000000003E-5</v>
      </c>
      <c r="Q1373" s="9">
        <v>5.3730000000000002E-5</v>
      </c>
      <c r="R1373" s="10">
        <v>1.5322398851733501E-4</v>
      </c>
      <c r="S1373" s="10">
        <v>1.6355915248758544E-4</v>
      </c>
      <c r="T1373" s="10">
        <v>0</v>
      </c>
      <c r="U1373" s="10">
        <v>1.8016000000000001E-4</v>
      </c>
      <c r="V1373" s="25"/>
      <c r="W1373" s="25"/>
      <c r="X1373" s="25"/>
      <c r="Y1373" s="25"/>
      <c r="Z1373" s="25"/>
      <c r="AA1373" s="25"/>
    </row>
    <row r="1374" spans="1:27" x14ac:dyDescent="0.35">
      <c r="A1374" s="5">
        <v>1370</v>
      </c>
      <c r="B1374" s="5">
        <v>58</v>
      </c>
      <c r="C1374" s="5">
        <v>2</v>
      </c>
      <c r="D1374" s="25">
        <v>1.1415000000000001E-4</v>
      </c>
      <c r="E1374" s="25">
        <v>1.1112000000000001E-4</v>
      </c>
      <c r="F1374" s="25">
        <v>1.2766000000000001E-4</v>
      </c>
      <c r="G1374" s="25">
        <v>5.4150000000000002E-5</v>
      </c>
      <c r="H1374" s="25">
        <v>6.7739999999999999E-5</v>
      </c>
      <c r="I1374" s="9">
        <v>1.1346E-4</v>
      </c>
      <c r="J1374" s="9">
        <v>9.9279999999999998E-5</v>
      </c>
      <c r="K1374" s="9">
        <v>3.5816E-4</v>
      </c>
      <c r="L1374" s="9">
        <v>5.7790000000000001E-5</v>
      </c>
      <c r="M1374" s="9">
        <v>6.3999999999999997E-5</v>
      </c>
      <c r="N1374" s="9">
        <v>7.2210000000000002E-5</v>
      </c>
      <c r="O1374" s="9">
        <v>1.8669999999999999E-5</v>
      </c>
      <c r="P1374" s="9">
        <v>3.8000000000000002E-5</v>
      </c>
      <c r="Q1374" s="9">
        <v>5.6560000000000001E-5</v>
      </c>
      <c r="R1374" s="10">
        <v>1.6557759093783372E-4</v>
      </c>
      <c r="S1374" s="10">
        <v>1.5779912257242446E-4</v>
      </c>
      <c r="T1374" s="10">
        <v>0</v>
      </c>
      <c r="U1374" s="10">
        <v>1.8016000000000001E-4</v>
      </c>
      <c r="V1374" s="25"/>
      <c r="W1374" s="25"/>
      <c r="X1374" s="25"/>
      <c r="Y1374" s="25"/>
      <c r="Z1374" s="25"/>
      <c r="AA1374" s="25"/>
    </row>
    <row r="1375" spans="1:27" x14ac:dyDescent="0.35">
      <c r="A1375" s="5">
        <v>1371</v>
      </c>
      <c r="B1375" s="5">
        <v>58</v>
      </c>
      <c r="C1375" s="5">
        <v>2</v>
      </c>
      <c r="D1375" s="25">
        <v>1.1416E-4</v>
      </c>
      <c r="E1375" s="25">
        <v>1.1315E-4</v>
      </c>
      <c r="F1375" s="25">
        <v>1.2841999999999999E-4</v>
      </c>
      <c r="G1375" s="25">
        <v>6.3490000000000004E-5</v>
      </c>
      <c r="H1375" s="25">
        <v>6.4919999999999995E-5</v>
      </c>
      <c r="I1375" s="9">
        <v>1.0775E-4</v>
      </c>
      <c r="J1375" s="9">
        <v>9.6260000000000003E-5</v>
      </c>
      <c r="K1375" s="9">
        <v>3.6664E-4</v>
      </c>
      <c r="L1375" s="9">
        <v>2.747E-5</v>
      </c>
      <c r="M1375" s="9">
        <v>5.236E-5</v>
      </c>
      <c r="N1375" s="9">
        <v>6.5699999999999998E-5</v>
      </c>
      <c r="O1375" s="9">
        <v>1.296E-5</v>
      </c>
      <c r="P1375" s="9">
        <v>3.7599999999999999E-5</v>
      </c>
      <c r="Q1375" s="9">
        <v>6.1279999999999996E-5</v>
      </c>
      <c r="R1375" s="10">
        <v>1.7706643416458208E-4</v>
      </c>
      <c r="S1375" s="10">
        <v>1.5129543174766816E-4</v>
      </c>
      <c r="T1375" s="10">
        <v>0</v>
      </c>
      <c r="U1375" s="10">
        <v>1.8016000000000001E-4</v>
      </c>
      <c r="V1375" s="25"/>
      <c r="W1375" s="25"/>
      <c r="X1375" s="25"/>
      <c r="Y1375" s="25"/>
      <c r="Z1375" s="25"/>
      <c r="AA1375" s="25"/>
    </row>
    <row r="1376" spans="1:27" x14ac:dyDescent="0.35">
      <c r="A1376" s="5">
        <v>1372</v>
      </c>
      <c r="B1376" s="5">
        <v>58</v>
      </c>
      <c r="C1376" s="5">
        <v>2</v>
      </c>
      <c r="D1376" s="25">
        <v>1.1415000000000001E-4</v>
      </c>
      <c r="E1376" s="25">
        <v>1.0794999999999999E-4</v>
      </c>
      <c r="F1376" s="25">
        <v>1.3072E-4</v>
      </c>
      <c r="G1376" s="25">
        <v>5.8E-5</v>
      </c>
      <c r="H1376" s="25">
        <v>7.0779999999999997E-5</v>
      </c>
      <c r="I1376" s="9">
        <v>1.0412999999999999E-4</v>
      </c>
      <c r="J1376" s="9">
        <v>9.4690000000000003E-5</v>
      </c>
      <c r="K1376" s="9">
        <v>3.6875999999999999E-4</v>
      </c>
      <c r="L1376" s="9">
        <v>1.6909999999999999E-5</v>
      </c>
      <c r="M1376" s="9">
        <v>4.426E-5</v>
      </c>
      <c r="N1376" s="9">
        <v>6.2000000000000003E-5</v>
      </c>
      <c r="O1376" s="9">
        <v>1.3149999999999999E-5</v>
      </c>
      <c r="P1376" s="9">
        <v>4.7689999999999999E-5</v>
      </c>
      <c r="Q1376" s="9">
        <v>8.1110000000000001E-5</v>
      </c>
      <c r="R1376" s="10">
        <v>1.701924552930796E-4</v>
      </c>
      <c r="S1376" s="10">
        <v>1.461836648796592E-4</v>
      </c>
      <c r="T1376" s="10">
        <v>0</v>
      </c>
      <c r="U1376" s="10">
        <v>1.8016000000000001E-4</v>
      </c>
      <c r="V1376" s="25"/>
      <c r="W1376" s="25"/>
      <c r="X1376" s="25"/>
      <c r="Y1376" s="25"/>
      <c r="Z1376" s="25"/>
      <c r="AA1376" s="25"/>
    </row>
    <row r="1377" spans="1:27" x14ac:dyDescent="0.35">
      <c r="A1377" s="5">
        <v>1373</v>
      </c>
      <c r="B1377" s="5">
        <v>58</v>
      </c>
      <c r="C1377" s="5">
        <v>2</v>
      </c>
      <c r="D1377" s="25">
        <v>1.1416E-4</v>
      </c>
      <c r="E1377" s="25">
        <v>1.1438E-4</v>
      </c>
      <c r="F1377" s="25">
        <v>1.2825E-4</v>
      </c>
      <c r="G1377" s="25">
        <v>6.3399999999999996E-5</v>
      </c>
      <c r="H1377" s="25">
        <v>7.0370000000000006E-5</v>
      </c>
      <c r="I1377" s="9">
        <v>1.0276E-4</v>
      </c>
      <c r="J1377" s="9">
        <v>9.4220000000000003E-5</v>
      </c>
      <c r="K1377" s="9">
        <v>3.7088000000000003E-4</v>
      </c>
      <c r="L1377" s="9">
        <v>1.4229999999999999E-5</v>
      </c>
      <c r="M1377" s="9">
        <v>4.367E-5</v>
      </c>
      <c r="N1377" s="9">
        <v>6.4679999999999997E-5</v>
      </c>
      <c r="O1377" s="9">
        <v>1.8729999999999999E-5</v>
      </c>
      <c r="P1377" s="9">
        <v>5.7170000000000003E-5</v>
      </c>
      <c r="Q1377" s="9">
        <v>9.4530000000000005E-5</v>
      </c>
      <c r="R1377" s="10">
        <v>1.604332052522666E-4</v>
      </c>
      <c r="S1377" s="10">
        <v>1.5344291524515644E-4</v>
      </c>
      <c r="T1377" s="10">
        <v>0</v>
      </c>
      <c r="U1377" s="10">
        <v>1.8016000000000001E-4</v>
      </c>
      <c r="V1377" s="25"/>
      <c r="W1377" s="25"/>
      <c r="X1377" s="25"/>
      <c r="Y1377" s="25"/>
      <c r="Z1377" s="25"/>
      <c r="AA1377" s="25"/>
    </row>
    <row r="1378" spans="1:27" x14ac:dyDescent="0.35">
      <c r="A1378" s="5">
        <v>1374</v>
      </c>
      <c r="B1378" s="5">
        <v>58</v>
      </c>
      <c r="C1378" s="5">
        <v>2</v>
      </c>
      <c r="D1378" s="25">
        <v>1.1415000000000001E-4</v>
      </c>
      <c r="E1378" s="25">
        <v>1.1077E-4</v>
      </c>
      <c r="F1378" s="25">
        <v>1.1198E-4</v>
      </c>
      <c r="G1378" s="25">
        <v>1.0849999999999999E-4</v>
      </c>
      <c r="H1378" s="25">
        <v>1.3795999999999999E-4</v>
      </c>
      <c r="I1378" s="9">
        <v>1.0283E-4</v>
      </c>
      <c r="J1378" s="9">
        <v>9.5179999999999993E-5</v>
      </c>
      <c r="K1378" s="9">
        <v>3.7934999999999998E-4</v>
      </c>
      <c r="L1378" s="9">
        <v>1.7600000000000001E-5</v>
      </c>
      <c r="M1378" s="9">
        <v>4.8730000000000003E-5</v>
      </c>
      <c r="N1378" s="9">
        <v>7.1390000000000006E-5</v>
      </c>
      <c r="O1378" s="9">
        <v>4.6329999999999999E-5</v>
      </c>
      <c r="P1378" s="9">
        <v>7.7050000000000003E-5</v>
      </c>
      <c r="Q1378" s="9">
        <v>1.0729E-4</v>
      </c>
      <c r="R1378" s="10">
        <v>1.6574402068196602E-4</v>
      </c>
      <c r="S1378" s="10">
        <v>1.5862834318074889E-4</v>
      </c>
      <c r="T1378" s="10">
        <v>0</v>
      </c>
      <c r="U1378" s="10">
        <v>1.8016000000000001E-4</v>
      </c>
      <c r="V1378" s="25"/>
      <c r="W1378" s="25"/>
      <c r="X1378" s="25"/>
      <c r="Y1378" s="25"/>
      <c r="Z1378" s="25"/>
      <c r="AA1378" s="25"/>
    </row>
    <row r="1379" spans="1:27" x14ac:dyDescent="0.35">
      <c r="A1379" s="5">
        <v>1375</v>
      </c>
      <c r="B1379" s="5">
        <v>58</v>
      </c>
      <c r="C1379" s="5">
        <v>2</v>
      </c>
      <c r="D1379" s="25">
        <v>1.1416E-4</v>
      </c>
      <c r="E1379" s="25">
        <v>1.0753E-4</v>
      </c>
      <c r="F1379" s="25">
        <v>1.2731999999999999E-4</v>
      </c>
      <c r="G1379" s="25">
        <v>1.0924E-4</v>
      </c>
      <c r="H1379" s="25">
        <v>1.2846E-4</v>
      </c>
      <c r="I1379" s="9">
        <v>1.061E-4</v>
      </c>
      <c r="J1379" s="9">
        <v>9.9900000000000002E-5</v>
      </c>
      <c r="K1379" s="9">
        <v>3.7299000000000002E-4</v>
      </c>
      <c r="L1379" s="9">
        <v>3.9870000000000003E-5</v>
      </c>
      <c r="M1379" s="9">
        <v>6.0350000000000003E-5</v>
      </c>
      <c r="N1379" s="9">
        <v>8.1119999999999996E-5</v>
      </c>
      <c r="O1379" s="9">
        <v>1.2362000000000001E-4</v>
      </c>
      <c r="P1379" s="9">
        <v>1.1725E-4</v>
      </c>
      <c r="Q1379" s="9">
        <v>1.1231E-4</v>
      </c>
      <c r="R1379" s="10">
        <v>1.7798156611739267E-4</v>
      </c>
      <c r="S1379" s="10">
        <v>1.4932472543665191E-4</v>
      </c>
      <c r="T1379" s="10">
        <v>0</v>
      </c>
      <c r="U1379" s="10">
        <v>1.8016000000000001E-4</v>
      </c>
      <c r="V1379" s="25"/>
      <c r="W1379" s="25"/>
      <c r="X1379" s="25"/>
      <c r="Y1379" s="25"/>
      <c r="Z1379" s="25"/>
      <c r="AA1379" s="25"/>
    </row>
    <row r="1380" spans="1:27" x14ac:dyDescent="0.35">
      <c r="A1380" s="5">
        <v>1376</v>
      </c>
      <c r="B1380" s="5">
        <v>58</v>
      </c>
      <c r="C1380" s="5">
        <v>2</v>
      </c>
      <c r="D1380" s="25">
        <v>1.1415000000000001E-4</v>
      </c>
      <c r="E1380" s="25">
        <v>1.1258E-4</v>
      </c>
      <c r="F1380" s="25">
        <v>1.189E-4</v>
      </c>
      <c r="G1380" s="25">
        <v>1.6495999999999999E-4</v>
      </c>
      <c r="H1380" s="25">
        <v>1.9619E-4</v>
      </c>
      <c r="I1380" s="9">
        <v>1.0835E-4</v>
      </c>
      <c r="J1380" s="9">
        <v>1.0590999999999999E-4</v>
      </c>
      <c r="K1380" s="9">
        <v>3.5392000000000003E-4</v>
      </c>
      <c r="L1380" s="9">
        <v>1.0457E-4</v>
      </c>
      <c r="M1380" s="9">
        <v>8.3819999999999994E-5</v>
      </c>
      <c r="N1380" s="9">
        <v>9.1130000000000003E-5</v>
      </c>
      <c r="O1380" s="9">
        <v>2.1939999999999999E-4</v>
      </c>
      <c r="P1380" s="9">
        <v>1.7573E-4</v>
      </c>
      <c r="Q1380" s="9">
        <v>1.3575999999999999E-4</v>
      </c>
      <c r="R1380" s="10">
        <v>1.8299461743403176E-4</v>
      </c>
      <c r="S1380" s="10">
        <v>1.2956540308458548E-4</v>
      </c>
      <c r="T1380" s="10">
        <v>3.0806490940367477E-5</v>
      </c>
      <c r="U1380" s="10">
        <v>1.8016000000000001E-4</v>
      </c>
      <c r="V1380" s="25"/>
      <c r="W1380" s="25"/>
      <c r="X1380" s="25"/>
      <c r="Y1380" s="25"/>
      <c r="Z1380" s="25"/>
      <c r="AA1380" s="25"/>
    </row>
    <row r="1381" spans="1:27" x14ac:dyDescent="0.35">
      <c r="A1381" s="5">
        <v>1377</v>
      </c>
      <c r="B1381" s="5">
        <v>58</v>
      </c>
      <c r="C1381" s="5">
        <v>2</v>
      </c>
      <c r="D1381" s="25">
        <v>1.1416E-4</v>
      </c>
      <c r="E1381" s="25">
        <v>1.1506999999999999E-4</v>
      </c>
      <c r="F1381" s="25">
        <v>1.2532999999999999E-4</v>
      </c>
      <c r="G1381" s="25">
        <v>1.6273000000000001E-4</v>
      </c>
      <c r="H1381" s="25">
        <v>1.9159E-4</v>
      </c>
      <c r="I1381" s="9">
        <v>1.1332000000000001E-4</v>
      </c>
      <c r="J1381" s="9">
        <v>1.1318E-4</v>
      </c>
      <c r="K1381" s="9">
        <v>3.4545000000000002E-4</v>
      </c>
      <c r="L1381" s="9">
        <v>1.9237E-4</v>
      </c>
      <c r="M1381" s="9">
        <v>1.2297999999999999E-4</v>
      </c>
      <c r="N1381" s="9">
        <v>1.0461E-4</v>
      </c>
      <c r="O1381" s="9">
        <v>2.1096E-4</v>
      </c>
      <c r="P1381" s="9">
        <v>1.9167000000000001E-4</v>
      </c>
      <c r="Q1381" s="9">
        <v>1.7553999999999999E-4</v>
      </c>
      <c r="R1381" s="10">
        <v>1.6947101908096687E-4</v>
      </c>
      <c r="S1381" s="10">
        <v>1.1234655648741244E-4</v>
      </c>
      <c r="T1381" s="10">
        <v>1.5091023254098495E-4</v>
      </c>
      <c r="U1381" s="10">
        <v>1.8016000000000001E-4</v>
      </c>
      <c r="V1381" s="25"/>
      <c r="W1381" s="25"/>
      <c r="X1381" s="25"/>
      <c r="Y1381" s="25"/>
      <c r="Z1381" s="25"/>
      <c r="AA1381" s="25"/>
    </row>
    <row r="1382" spans="1:27" x14ac:dyDescent="0.35">
      <c r="A1382" s="5">
        <v>1378</v>
      </c>
      <c r="B1382" s="5">
        <v>58</v>
      </c>
      <c r="C1382" s="5">
        <v>2</v>
      </c>
      <c r="D1382" s="25">
        <v>1.1415000000000001E-4</v>
      </c>
      <c r="E1382" s="25">
        <v>1.1249E-4</v>
      </c>
      <c r="F1382" s="25">
        <v>1.1637999999999999E-4</v>
      </c>
      <c r="G1382" s="25">
        <v>1.6479999999999999E-4</v>
      </c>
      <c r="H1382" s="25">
        <v>1.8997E-4</v>
      </c>
      <c r="I1382" s="9">
        <v>1.1916E-4</v>
      </c>
      <c r="J1382" s="9">
        <v>1.1909E-4</v>
      </c>
      <c r="K1382" s="9">
        <v>3.5393000000000002E-4</v>
      </c>
      <c r="L1382" s="9">
        <v>2.0457E-4</v>
      </c>
      <c r="M1382" s="9">
        <v>1.5762999999999999E-4</v>
      </c>
      <c r="N1382" s="9">
        <v>1.2425000000000001E-4</v>
      </c>
      <c r="O1382" s="9">
        <v>1.6836999999999999E-4</v>
      </c>
      <c r="P1382" s="9">
        <v>1.7436E-4</v>
      </c>
      <c r="Q1382" s="9">
        <v>1.8238E-4</v>
      </c>
      <c r="R1382" s="10">
        <v>1.4274945916827731E-4</v>
      </c>
      <c r="S1382" s="10">
        <v>1.0082770600544004E-4</v>
      </c>
      <c r="T1382" s="10">
        <v>2.8738018758802736E-4</v>
      </c>
      <c r="U1382" s="10">
        <v>1.8016000000000001E-4</v>
      </c>
      <c r="V1382" s="25"/>
      <c r="W1382" s="25"/>
      <c r="X1382" s="25"/>
      <c r="Y1382" s="25"/>
      <c r="Z1382" s="25"/>
      <c r="AA1382" s="25"/>
    </row>
    <row r="1383" spans="1:27" x14ac:dyDescent="0.35">
      <c r="A1383" s="5">
        <v>1379</v>
      </c>
      <c r="B1383" s="5">
        <v>58</v>
      </c>
      <c r="C1383" s="5">
        <v>2</v>
      </c>
      <c r="D1383" s="25">
        <v>1.1416E-4</v>
      </c>
      <c r="E1383" s="25">
        <v>1.1790000000000001E-4</v>
      </c>
      <c r="F1383" s="25">
        <v>1.2221000000000001E-4</v>
      </c>
      <c r="G1383" s="25">
        <v>1.5651E-4</v>
      </c>
      <c r="H1383" s="25">
        <v>1.9061999999999999E-4</v>
      </c>
      <c r="I1383" s="9">
        <v>1.2092E-4</v>
      </c>
      <c r="J1383" s="9">
        <v>1.1896E-4</v>
      </c>
      <c r="K1383" s="9">
        <v>3.4545000000000002E-4</v>
      </c>
      <c r="L1383" s="9">
        <v>1.7641E-4</v>
      </c>
      <c r="M1383" s="9">
        <v>1.7168000000000001E-4</v>
      </c>
      <c r="N1383" s="9">
        <v>1.4234E-4</v>
      </c>
      <c r="O1383" s="9">
        <v>1.6699E-4</v>
      </c>
      <c r="P1383" s="9">
        <v>1.7159E-4</v>
      </c>
      <c r="Q1383" s="9">
        <v>1.7823000000000001E-4</v>
      </c>
      <c r="R1383" s="10">
        <v>1.2689872378555164E-4</v>
      </c>
      <c r="S1383" s="10">
        <v>9.0658307029641591E-5</v>
      </c>
      <c r="T1383" s="10">
        <v>2.8441916711482762E-4</v>
      </c>
      <c r="U1383" s="10">
        <v>1.8016000000000001E-4</v>
      </c>
      <c r="V1383" s="25"/>
      <c r="W1383" s="25"/>
      <c r="X1383" s="25"/>
      <c r="Y1383" s="25"/>
      <c r="Z1383" s="25"/>
      <c r="AA1383" s="25"/>
    </row>
    <row r="1384" spans="1:27" x14ac:dyDescent="0.35">
      <c r="A1384" s="5">
        <v>1380</v>
      </c>
      <c r="B1384" s="5">
        <v>58</v>
      </c>
      <c r="C1384" s="5">
        <v>2</v>
      </c>
      <c r="D1384" s="25">
        <v>1.1415000000000001E-4</v>
      </c>
      <c r="E1384" s="25">
        <v>1.1120000000000001E-4</v>
      </c>
      <c r="F1384" s="25">
        <v>1.1124E-4</v>
      </c>
      <c r="G1384" s="25">
        <v>1.6588E-4</v>
      </c>
      <c r="H1384" s="25">
        <v>1.9034999999999999E-4</v>
      </c>
      <c r="I1384" s="9">
        <v>1.2095E-4</v>
      </c>
      <c r="J1384" s="9">
        <v>1.1676E-4</v>
      </c>
      <c r="K1384" s="9">
        <v>3.3062E-4</v>
      </c>
      <c r="L1384" s="9">
        <v>1.7044E-4</v>
      </c>
      <c r="M1384" s="9">
        <v>1.7407999999999999E-4</v>
      </c>
      <c r="N1384" s="9">
        <v>1.5614000000000001E-4</v>
      </c>
      <c r="O1384" s="9">
        <v>1.6956E-4</v>
      </c>
      <c r="P1384" s="9">
        <v>1.7008E-4</v>
      </c>
      <c r="Q1384" s="9">
        <v>1.7273000000000001E-4</v>
      </c>
      <c r="R1384" s="10">
        <v>1.1233350106703182E-4</v>
      </c>
      <c r="S1384" s="10">
        <v>8.6206426946762877E-5</v>
      </c>
      <c r="T1384" s="10">
        <v>2.1038517098548399E-4</v>
      </c>
      <c r="U1384" s="10">
        <v>1.8016000000000001E-4</v>
      </c>
      <c r="V1384" s="25"/>
      <c r="W1384" s="25"/>
      <c r="X1384" s="25"/>
      <c r="Y1384" s="25"/>
      <c r="Z1384" s="25"/>
      <c r="AA1384" s="25"/>
    </row>
    <row r="1385" spans="1:27" x14ac:dyDescent="0.35">
      <c r="A1385" s="5">
        <v>1381</v>
      </c>
      <c r="B1385" s="5">
        <v>58</v>
      </c>
      <c r="C1385" s="5">
        <v>2</v>
      </c>
      <c r="D1385" s="25">
        <v>1.1416E-4</v>
      </c>
      <c r="E1385" s="25">
        <v>1.1603E-4</v>
      </c>
      <c r="F1385" s="25">
        <v>1.1742E-4</v>
      </c>
      <c r="G1385" s="25">
        <v>1.5887E-4</v>
      </c>
      <c r="H1385" s="25">
        <v>2.0042000000000001E-4</v>
      </c>
      <c r="I1385" s="9">
        <v>1.1941E-4</v>
      </c>
      <c r="J1385" s="9">
        <v>1.1417E-4</v>
      </c>
      <c r="K1385" s="9">
        <v>3.3272999999999999E-4</v>
      </c>
      <c r="L1385" s="9">
        <v>1.6993999999999999E-4</v>
      </c>
      <c r="M1385" s="9">
        <v>1.7275999999999999E-4</v>
      </c>
      <c r="N1385" s="9">
        <v>1.6536E-4</v>
      </c>
      <c r="O1385" s="9">
        <v>1.6154E-4</v>
      </c>
      <c r="P1385" s="9">
        <v>1.6292999999999999E-4</v>
      </c>
      <c r="Q1385" s="9">
        <v>1.6631E-4</v>
      </c>
      <c r="R1385" s="10">
        <v>1.0995946412371668E-4</v>
      </c>
      <c r="S1385" s="10">
        <v>6.989086440337319E-5</v>
      </c>
      <c r="T1385" s="10">
        <v>3.4822958252724945E-4</v>
      </c>
      <c r="U1385" s="10">
        <v>1.8016000000000001E-4</v>
      </c>
      <c r="V1385" s="25"/>
      <c r="W1385" s="25"/>
      <c r="X1385" s="25"/>
      <c r="Y1385" s="25"/>
      <c r="Z1385" s="25"/>
      <c r="AA1385" s="25"/>
    </row>
    <row r="1386" spans="1:27" x14ac:dyDescent="0.35">
      <c r="A1386" s="5">
        <v>1382</v>
      </c>
      <c r="B1386" s="5">
        <v>58</v>
      </c>
      <c r="C1386" s="5">
        <v>2</v>
      </c>
      <c r="D1386" s="25">
        <v>1.1415000000000001E-4</v>
      </c>
      <c r="E1386" s="25">
        <v>1.1168E-4</v>
      </c>
      <c r="F1386" s="25">
        <v>1.1027E-4</v>
      </c>
      <c r="G1386" s="25">
        <v>1.6364999999999999E-4</v>
      </c>
      <c r="H1386" s="25">
        <v>1.9438999999999999E-4</v>
      </c>
      <c r="I1386" s="9">
        <v>1.1658999999999999E-4</v>
      </c>
      <c r="J1386" s="9">
        <v>1.1234999999999999E-4</v>
      </c>
      <c r="K1386" s="9">
        <v>3.5392000000000003E-4</v>
      </c>
      <c r="L1386" s="9">
        <v>1.6315000000000001E-4</v>
      </c>
      <c r="M1386" s="9">
        <v>1.6883999999999999E-4</v>
      </c>
      <c r="N1386" s="9">
        <v>1.6956E-4</v>
      </c>
      <c r="O1386" s="9">
        <v>1.7934E-4</v>
      </c>
      <c r="P1386" s="9">
        <v>1.6883999999999999E-4</v>
      </c>
      <c r="Q1386" s="9">
        <v>1.6081E-4</v>
      </c>
      <c r="R1386" s="10">
        <v>1.1163058501463995E-4</v>
      </c>
      <c r="S1386" s="10">
        <v>5.2942002281286836E-5</v>
      </c>
      <c r="T1386" s="10">
        <v>5.1117055154673648E-4</v>
      </c>
      <c r="U1386" s="10">
        <v>1.8016000000000001E-4</v>
      </c>
      <c r="V1386" s="25"/>
      <c r="W1386" s="25"/>
      <c r="X1386" s="25"/>
      <c r="Y1386" s="25"/>
      <c r="Z1386" s="25"/>
      <c r="AA1386" s="25"/>
    </row>
    <row r="1387" spans="1:27" x14ac:dyDescent="0.35">
      <c r="A1387" s="5">
        <v>1383</v>
      </c>
      <c r="B1387" s="5">
        <v>58</v>
      </c>
      <c r="C1387" s="5">
        <v>2</v>
      </c>
      <c r="D1387" s="25">
        <v>1.1416E-4</v>
      </c>
      <c r="E1387" s="25">
        <v>1.1078000000000001E-4</v>
      </c>
      <c r="F1387" s="25">
        <v>1.2496E-4</v>
      </c>
      <c r="G1387" s="25">
        <v>1.6176E-4</v>
      </c>
      <c r="H1387" s="25">
        <v>2.0016000000000001E-4</v>
      </c>
      <c r="I1387" s="9">
        <v>1.1421000000000001E-4</v>
      </c>
      <c r="J1387" s="9">
        <v>1.1097E-4</v>
      </c>
      <c r="K1387" s="9">
        <v>3.412E-4</v>
      </c>
      <c r="L1387" s="9">
        <v>1.7593E-4</v>
      </c>
      <c r="M1387" s="9">
        <v>1.6773999999999999E-4</v>
      </c>
      <c r="N1387" s="9">
        <v>1.6924999999999999E-4</v>
      </c>
      <c r="O1387" s="9">
        <v>1.8595999999999999E-4</v>
      </c>
      <c r="P1387" s="9">
        <v>1.6846999999999999E-4</v>
      </c>
      <c r="Q1387" s="9">
        <v>1.5367000000000001E-4</v>
      </c>
      <c r="R1387" s="10">
        <v>1.0773181149680803E-4</v>
      </c>
      <c r="S1387" s="10">
        <v>4.5267382703722396E-5</v>
      </c>
      <c r="T1387" s="10">
        <v>4.7227852332568316E-4</v>
      </c>
      <c r="U1387" s="10">
        <v>1.8016000000000001E-4</v>
      </c>
      <c r="V1387" s="25"/>
      <c r="W1387" s="25"/>
      <c r="X1387" s="25"/>
      <c r="Y1387" s="25"/>
      <c r="Z1387" s="25"/>
      <c r="AA1387" s="25"/>
    </row>
    <row r="1388" spans="1:27" x14ac:dyDescent="0.35">
      <c r="A1388" s="5">
        <v>1384</v>
      </c>
      <c r="B1388" s="5">
        <v>58</v>
      </c>
      <c r="C1388" s="5">
        <v>2</v>
      </c>
      <c r="D1388" s="25">
        <v>1.1415000000000001E-4</v>
      </c>
      <c r="E1388" s="25">
        <v>1.0966E-4</v>
      </c>
      <c r="F1388" s="25">
        <v>1.148E-4</v>
      </c>
      <c r="G1388" s="25">
        <v>1.5998999999999999E-4</v>
      </c>
      <c r="H1388" s="25">
        <v>1.9813E-4</v>
      </c>
      <c r="I1388" s="9">
        <v>1.137E-4</v>
      </c>
      <c r="J1388" s="9">
        <v>1.1112000000000001E-4</v>
      </c>
      <c r="K1388" s="9">
        <v>3.5604000000000001E-4</v>
      </c>
      <c r="L1388" s="9">
        <v>1.8342E-4</v>
      </c>
      <c r="M1388" s="9">
        <v>1.6782E-4</v>
      </c>
      <c r="N1388" s="9">
        <v>1.6577000000000001E-4</v>
      </c>
      <c r="O1388" s="9">
        <v>1.9714E-4</v>
      </c>
      <c r="P1388" s="9">
        <v>1.5139999999999999E-4</v>
      </c>
      <c r="Q1388" s="9">
        <v>1.0901E-4</v>
      </c>
      <c r="R1388" s="10">
        <v>9.1956997626762977E-5</v>
      </c>
      <c r="S1388" s="10">
        <v>4.6765134044960269E-5</v>
      </c>
      <c r="T1388" s="10">
        <v>3.7341098299847246E-4</v>
      </c>
      <c r="U1388" s="10">
        <v>1.8016000000000001E-4</v>
      </c>
      <c r="V1388" s="25"/>
      <c r="W1388" s="25"/>
      <c r="X1388" s="25"/>
      <c r="Y1388" s="25"/>
      <c r="Z1388" s="25"/>
      <c r="AA1388" s="25"/>
    </row>
    <row r="1389" spans="1:27" x14ac:dyDescent="0.35">
      <c r="A1389" s="5">
        <v>1385</v>
      </c>
      <c r="B1389" s="5">
        <v>58</v>
      </c>
      <c r="C1389" s="5">
        <v>2</v>
      </c>
      <c r="D1389" s="25">
        <v>1.1416E-4</v>
      </c>
      <c r="E1389" s="25">
        <v>1.1673E-4</v>
      </c>
      <c r="F1389" s="25">
        <v>1.1089E-4</v>
      </c>
      <c r="G1389" s="25">
        <v>1.5647E-4</v>
      </c>
      <c r="H1389" s="25">
        <v>1.9734E-4</v>
      </c>
      <c r="I1389" s="9">
        <v>1.1233E-4</v>
      </c>
      <c r="J1389" s="9">
        <v>1.1478E-4</v>
      </c>
      <c r="K1389" s="9">
        <v>3.6452000000000001E-4</v>
      </c>
      <c r="L1389" s="9">
        <v>1.9385999999999999E-4</v>
      </c>
      <c r="M1389" s="9">
        <v>1.6202999999999999E-4</v>
      </c>
      <c r="N1389" s="9">
        <v>1.5206E-4</v>
      </c>
      <c r="O1389" s="9">
        <v>2.1372000000000001E-4</v>
      </c>
      <c r="P1389" s="9">
        <v>1.5817000000000001E-4</v>
      </c>
      <c r="Q1389" s="9">
        <v>1.0639E-4</v>
      </c>
      <c r="R1389" s="10">
        <v>8.0194229355328619E-5</v>
      </c>
      <c r="S1389" s="10">
        <v>5.4282916362147743E-5</v>
      </c>
      <c r="T1389" s="10">
        <v>1.3283867492518137E-4</v>
      </c>
      <c r="U1389" s="10">
        <v>1.8016000000000001E-4</v>
      </c>
      <c r="V1389" s="25"/>
      <c r="W1389" s="25"/>
      <c r="X1389" s="25"/>
      <c r="Y1389" s="25"/>
      <c r="Z1389" s="25"/>
      <c r="AA1389" s="25"/>
    </row>
    <row r="1390" spans="1:27" x14ac:dyDescent="0.35">
      <c r="A1390" s="5">
        <v>1386</v>
      </c>
      <c r="B1390" s="5">
        <v>58</v>
      </c>
      <c r="C1390" s="5">
        <v>2</v>
      </c>
      <c r="D1390" s="25">
        <v>1.1415000000000001E-4</v>
      </c>
      <c r="E1390" s="25">
        <v>1.128E-4</v>
      </c>
      <c r="F1390" s="25">
        <v>1.1927E-4</v>
      </c>
      <c r="G1390" s="25">
        <v>1.5946999999999999E-4</v>
      </c>
      <c r="H1390" s="25">
        <v>1.9269999999999999E-4</v>
      </c>
      <c r="I1390" s="9">
        <v>1.1594E-4</v>
      </c>
      <c r="J1390" s="9">
        <v>1.2072E-4</v>
      </c>
      <c r="K1390" s="9">
        <v>3.6875999999999999E-4</v>
      </c>
      <c r="L1390" s="9">
        <v>2.0916000000000001E-4</v>
      </c>
      <c r="M1390" s="9">
        <v>1.5901000000000001E-4</v>
      </c>
      <c r="N1390" s="9">
        <v>1.3871000000000001E-4</v>
      </c>
      <c r="O1390" s="9">
        <v>2.0841999999999999E-4</v>
      </c>
      <c r="P1390" s="9">
        <v>1.618E-4</v>
      </c>
      <c r="Q1390" s="9">
        <v>1.1870999999999999E-4</v>
      </c>
      <c r="R1390" s="10">
        <v>7.0382349252379504E-5</v>
      </c>
      <c r="S1390" s="10">
        <v>5.1644645085866366E-5</v>
      </c>
      <c r="T1390" s="10">
        <v>0</v>
      </c>
      <c r="U1390" s="10">
        <v>1.8016000000000001E-4</v>
      </c>
      <c r="V1390" s="25"/>
      <c r="W1390" s="25"/>
      <c r="X1390" s="25"/>
      <c r="Y1390" s="25"/>
      <c r="Z1390" s="25"/>
      <c r="AA1390" s="25"/>
    </row>
    <row r="1391" spans="1:27" x14ac:dyDescent="0.35">
      <c r="A1391" s="5">
        <v>1387</v>
      </c>
      <c r="B1391" s="5">
        <v>58</v>
      </c>
      <c r="C1391" s="5">
        <v>2</v>
      </c>
      <c r="D1391" s="25">
        <v>1.1416E-4</v>
      </c>
      <c r="E1391" s="25">
        <v>1.1336E-4</v>
      </c>
      <c r="F1391" s="25">
        <v>1.1519999999999999E-4</v>
      </c>
      <c r="G1391" s="25">
        <v>1.1197E-4</v>
      </c>
      <c r="H1391" s="25">
        <v>1.2972999999999999E-4</v>
      </c>
      <c r="I1391" s="9">
        <v>1.2402E-4</v>
      </c>
      <c r="J1391" s="9">
        <v>1.2606999999999999E-4</v>
      </c>
      <c r="K1391" s="9">
        <v>3.7934999999999998E-4</v>
      </c>
      <c r="L1391" s="9">
        <v>2.0819999999999999E-4</v>
      </c>
      <c r="M1391" s="9">
        <v>1.5938000000000001E-4</v>
      </c>
      <c r="N1391" s="9">
        <v>1.2999999999999999E-4</v>
      </c>
      <c r="O1391" s="9">
        <v>1.6380999999999999E-4</v>
      </c>
      <c r="P1391" s="9">
        <v>1.3370999999999999E-4</v>
      </c>
      <c r="Q1391" s="9">
        <v>1.0613E-4</v>
      </c>
      <c r="R1391" s="10">
        <v>6.2873553293377199E-5</v>
      </c>
      <c r="S1391" s="10">
        <v>5.471906841838784E-5</v>
      </c>
      <c r="T1391" s="10">
        <v>0</v>
      </c>
      <c r="U1391" s="10">
        <v>1.8016000000000001E-4</v>
      </c>
      <c r="V1391" s="25"/>
      <c r="W1391" s="25"/>
      <c r="X1391" s="25"/>
      <c r="Y1391" s="25"/>
      <c r="Z1391" s="25"/>
      <c r="AA1391" s="25"/>
    </row>
    <row r="1392" spans="1:27" x14ac:dyDescent="0.35">
      <c r="A1392" s="5">
        <v>1388</v>
      </c>
      <c r="B1392" s="5">
        <v>58</v>
      </c>
      <c r="C1392" s="5">
        <v>2</v>
      </c>
      <c r="D1392" s="25">
        <v>1.1415000000000001E-4</v>
      </c>
      <c r="E1392" s="25">
        <v>1.1082999999999999E-4</v>
      </c>
      <c r="F1392" s="25">
        <v>1.1137999999999999E-4</v>
      </c>
      <c r="G1392" s="25">
        <v>1.0712E-4</v>
      </c>
      <c r="H1392" s="25">
        <v>1.3678E-4</v>
      </c>
      <c r="I1392" s="9">
        <v>1.2587000000000001E-4</v>
      </c>
      <c r="J1392" s="9">
        <v>1.2679999999999999E-4</v>
      </c>
      <c r="K1392" s="9">
        <v>3.8995000000000002E-4</v>
      </c>
      <c r="L1392" s="9">
        <v>1.7367000000000001E-4</v>
      </c>
      <c r="M1392" s="9">
        <v>1.5044E-4</v>
      </c>
      <c r="N1392" s="9">
        <v>1.2074E-4</v>
      </c>
      <c r="O1392" s="9">
        <v>1.2983999999999999E-4</v>
      </c>
      <c r="P1392" s="9">
        <v>1.1516E-4</v>
      </c>
      <c r="Q1392" s="9">
        <v>1.0216E-4</v>
      </c>
      <c r="R1392" s="10">
        <v>6.7037300128464984E-5</v>
      </c>
      <c r="S1392" s="10">
        <v>7.0505679653335134E-5</v>
      </c>
      <c r="T1392" s="10">
        <v>0</v>
      </c>
      <c r="U1392" s="10">
        <v>1.8016000000000001E-4</v>
      </c>
      <c r="V1392" s="25"/>
      <c r="W1392" s="25"/>
      <c r="X1392" s="25"/>
      <c r="Y1392" s="25"/>
      <c r="Z1392" s="25"/>
      <c r="AA1392" s="25"/>
    </row>
    <row r="1393" spans="1:27" x14ac:dyDescent="0.35">
      <c r="A1393" s="5">
        <v>1389</v>
      </c>
      <c r="B1393" s="5">
        <v>58</v>
      </c>
      <c r="C1393" s="5">
        <v>2</v>
      </c>
      <c r="D1393" s="25">
        <v>1.1416E-4</v>
      </c>
      <c r="E1393" s="25">
        <v>1.1268999999999999E-4</v>
      </c>
      <c r="F1393" s="25">
        <v>1.1156E-4</v>
      </c>
      <c r="G1393" s="25">
        <v>5.6700000000000003E-5</v>
      </c>
      <c r="H1393" s="25">
        <v>6.4350000000000006E-5</v>
      </c>
      <c r="I1393" s="9">
        <v>1.2029E-4</v>
      </c>
      <c r="J1393" s="9">
        <v>1.2212E-4</v>
      </c>
      <c r="K1393" s="9">
        <v>4.0054000000000001E-4</v>
      </c>
      <c r="L1393" s="9">
        <v>1.4054000000000001E-4</v>
      </c>
      <c r="M1393" s="9">
        <v>1.3520000000000001E-4</v>
      </c>
      <c r="N1393" s="9">
        <v>1.1313E-4</v>
      </c>
      <c r="O1393" s="9">
        <v>8.4859999999999997E-5</v>
      </c>
      <c r="P1393" s="9">
        <v>8.6199999999999995E-5</v>
      </c>
      <c r="Q1393" s="9">
        <v>8.8189999999999994E-5</v>
      </c>
      <c r="R1393" s="10">
        <v>7.9465750525271257E-5</v>
      </c>
      <c r="S1393" s="10">
        <v>7.6978669305853545E-5</v>
      </c>
      <c r="T1393" s="10">
        <v>0</v>
      </c>
      <c r="U1393" s="10">
        <v>1.8016000000000001E-4</v>
      </c>
      <c r="V1393" s="25"/>
      <c r="W1393" s="25"/>
      <c r="X1393" s="25"/>
      <c r="Y1393" s="25"/>
      <c r="Z1393" s="25"/>
      <c r="AA1393" s="25"/>
    </row>
    <row r="1394" spans="1:27" x14ac:dyDescent="0.35">
      <c r="A1394" s="5">
        <v>1390</v>
      </c>
      <c r="B1394" s="5">
        <v>58</v>
      </c>
      <c r="C1394" s="5">
        <v>2</v>
      </c>
      <c r="D1394" s="25">
        <v>1.1415000000000001E-4</v>
      </c>
      <c r="E1394" s="25">
        <v>1.1458E-4</v>
      </c>
      <c r="F1394" s="25">
        <v>1.1974E-4</v>
      </c>
      <c r="G1394" s="25">
        <v>6.3590000000000006E-5</v>
      </c>
      <c r="H1394" s="25">
        <v>7.2559999999999996E-5</v>
      </c>
      <c r="I1394" s="9">
        <v>1.1459999999999999E-4</v>
      </c>
      <c r="J1394" s="9">
        <v>1.1620000000000001E-4</v>
      </c>
      <c r="K1394" s="9">
        <v>4.1750000000000001E-4</v>
      </c>
      <c r="L1394" s="9">
        <v>9.802E-5</v>
      </c>
      <c r="M1394" s="9">
        <v>1.1364E-4</v>
      </c>
      <c r="N1394" s="9">
        <v>1.0554E-4</v>
      </c>
      <c r="O1394" s="9">
        <v>8.7369999999999999E-5</v>
      </c>
      <c r="P1394" s="9">
        <v>8.7289999999999999E-5</v>
      </c>
      <c r="Q1394" s="9">
        <v>8.7940000000000002E-5</v>
      </c>
      <c r="R1394" s="10">
        <v>6.9771976624836889E-5</v>
      </c>
      <c r="S1394" s="10">
        <v>6.9932348874446239E-5</v>
      </c>
      <c r="T1394" s="10">
        <v>0</v>
      </c>
      <c r="U1394" s="10">
        <v>1.8016000000000001E-4</v>
      </c>
      <c r="V1394" s="25"/>
      <c r="W1394" s="25"/>
      <c r="X1394" s="25"/>
      <c r="Y1394" s="25"/>
      <c r="Z1394" s="25"/>
      <c r="AA1394" s="25"/>
    </row>
    <row r="1395" spans="1:27" x14ac:dyDescent="0.35">
      <c r="A1395" s="5">
        <v>1391</v>
      </c>
      <c r="B1395" s="5">
        <v>58</v>
      </c>
      <c r="C1395" s="5">
        <v>2</v>
      </c>
      <c r="D1395" s="25">
        <v>1.1416E-4</v>
      </c>
      <c r="E1395" s="25">
        <v>1.165E-4</v>
      </c>
      <c r="F1395" s="25">
        <v>1.2362000000000001E-4</v>
      </c>
      <c r="G1395" s="25">
        <v>6.3009999999999995E-5</v>
      </c>
      <c r="H1395" s="25">
        <v>7.0759999999999993E-5</v>
      </c>
      <c r="I1395" s="9">
        <v>1.1607000000000001E-4</v>
      </c>
      <c r="J1395" s="9">
        <v>1.1073000000000001E-4</v>
      </c>
      <c r="K1395" s="9">
        <v>4.2598000000000001E-4</v>
      </c>
      <c r="L1395" s="9">
        <v>9.064E-5</v>
      </c>
      <c r="M1395" s="9">
        <v>9.8880000000000002E-5</v>
      </c>
      <c r="N1395" s="9">
        <v>9.9690000000000003E-5</v>
      </c>
      <c r="O1395" s="9">
        <v>7.7780000000000004E-5</v>
      </c>
      <c r="P1395" s="9">
        <v>7.1899999999999999E-5</v>
      </c>
      <c r="Q1395" s="9">
        <v>6.6669999999999997E-5</v>
      </c>
      <c r="R1395" s="10">
        <v>5.2989351384779743E-5</v>
      </c>
      <c r="S1395" s="10">
        <v>7.4258669604971913E-5</v>
      </c>
      <c r="T1395" s="10">
        <v>0</v>
      </c>
      <c r="U1395" s="10">
        <v>1.8016000000000001E-4</v>
      </c>
      <c r="V1395" s="25"/>
      <c r="W1395" s="25"/>
      <c r="X1395" s="25"/>
      <c r="Y1395" s="25"/>
      <c r="Z1395" s="25"/>
      <c r="AA1395" s="25"/>
    </row>
    <row r="1396" spans="1:27" x14ac:dyDescent="0.35">
      <c r="A1396" s="5">
        <v>1392</v>
      </c>
      <c r="B1396" s="5">
        <v>58</v>
      </c>
      <c r="C1396" s="5">
        <v>2</v>
      </c>
      <c r="D1396" s="25">
        <v>1.1415000000000001E-4</v>
      </c>
      <c r="E1396" s="25">
        <v>1.1016E-4</v>
      </c>
      <c r="F1396" s="25">
        <v>1.2689E-4</v>
      </c>
      <c r="G1396" s="25">
        <v>6.3449999999999997E-5</v>
      </c>
      <c r="H1396" s="25">
        <v>7.3150000000000003E-5</v>
      </c>
      <c r="I1396" s="9">
        <v>1.1687E-4</v>
      </c>
      <c r="J1396" s="9">
        <v>1.0466E-4</v>
      </c>
      <c r="K1396" s="9">
        <v>4.3657E-4</v>
      </c>
      <c r="L1396" s="9">
        <v>8.0610000000000002E-5</v>
      </c>
      <c r="M1396" s="9">
        <v>8.5909999999999996E-5</v>
      </c>
      <c r="N1396" s="9">
        <v>9.0379999999999999E-5</v>
      </c>
      <c r="O1396" s="9">
        <v>6.2539999999999994E-5</v>
      </c>
      <c r="P1396" s="9">
        <v>6.0409999999999999E-5</v>
      </c>
      <c r="Q1396" s="9">
        <v>5.8600000000000001E-5</v>
      </c>
      <c r="R1396" s="10">
        <v>6.1293195499463824E-5</v>
      </c>
      <c r="S1396" s="10">
        <v>1.1506461180012996E-4</v>
      </c>
      <c r="T1396" s="10">
        <v>0</v>
      </c>
      <c r="U1396" s="10">
        <v>1.8016000000000001E-4</v>
      </c>
      <c r="V1396" s="25"/>
      <c r="W1396" s="25"/>
      <c r="X1396" s="25"/>
      <c r="Y1396" s="25"/>
      <c r="Z1396" s="25"/>
      <c r="AA1396" s="25"/>
    </row>
    <row r="1397" spans="1:27" x14ac:dyDescent="0.35">
      <c r="A1397" s="5">
        <v>1393</v>
      </c>
      <c r="B1397" s="5">
        <v>59</v>
      </c>
      <c r="C1397" s="5">
        <v>2</v>
      </c>
      <c r="D1397" s="25">
        <v>1.1416E-4</v>
      </c>
      <c r="E1397" s="25">
        <v>1.1309E-4</v>
      </c>
      <c r="F1397" s="25">
        <v>1.2983E-4</v>
      </c>
      <c r="G1397" s="25">
        <v>5.5420000000000001E-5</v>
      </c>
      <c r="H1397" s="25">
        <v>6.3260000000000001E-5</v>
      </c>
      <c r="I1397" s="9">
        <v>1.1272E-4</v>
      </c>
      <c r="J1397" s="9">
        <v>9.9669999999999999E-5</v>
      </c>
      <c r="K1397" s="9">
        <v>4.6836000000000002E-4</v>
      </c>
      <c r="L1397" s="9">
        <v>6.6509999999999998E-5</v>
      </c>
      <c r="M1397" s="9">
        <v>7.3750000000000004E-5</v>
      </c>
      <c r="N1397" s="9">
        <v>8.0959999999999997E-5</v>
      </c>
      <c r="O1397" s="9">
        <v>5.4799999999999997E-5</v>
      </c>
      <c r="P1397" s="9">
        <v>5.4209999999999998E-5</v>
      </c>
      <c r="Q1397" s="9">
        <v>5.3789999999999998E-5</v>
      </c>
      <c r="R1397" s="10">
        <v>7.3025199927120974E-5</v>
      </c>
      <c r="S1397" s="10">
        <v>1.3194305338894318E-4</v>
      </c>
      <c r="T1397" s="10">
        <v>0</v>
      </c>
      <c r="U1397" s="10">
        <v>1.8301999999999999E-4</v>
      </c>
      <c r="V1397" s="25"/>
      <c r="W1397" s="25"/>
      <c r="X1397" s="25"/>
      <c r="Y1397" s="25"/>
      <c r="Z1397" s="25"/>
      <c r="AA1397" s="25"/>
    </row>
    <row r="1398" spans="1:27" x14ac:dyDescent="0.35">
      <c r="A1398" s="5">
        <v>1394</v>
      </c>
      <c r="B1398" s="5">
        <v>59</v>
      </c>
      <c r="C1398" s="5">
        <v>2</v>
      </c>
      <c r="D1398" s="25">
        <v>1.1415000000000001E-4</v>
      </c>
      <c r="E1398" s="25">
        <v>1.053E-4</v>
      </c>
      <c r="F1398" s="25">
        <v>1.1511E-4</v>
      </c>
      <c r="G1398" s="25">
        <v>6.0470000000000002E-5</v>
      </c>
      <c r="H1398" s="25">
        <v>6.3070000000000004E-5</v>
      </c>
      <c r="I1398" s="9">
        <v>1.0798000000000001E-4</v>
      </c>
      <c r="J1398" s="9">
        <v>9.5470000000000006E-5</v>
      </c>
      <c r="K1398" s="9">
        <v>4.6411999999999999E-4</v>
      </c>
      <c r="L1398" s="9">
        <v>5.7760000000000003E-5</v>
      </c>
      <c r="M1398" s="9">
        <v>6.3830000000000004E-5</v>
      </c>
      <c r="N1398" s="9">
        <v>7.1959999999999995E-5</v>
      </c>
      <c r="O1398" s="9">
        <v>1.8729999999999999E-5</v>
      </c>
      <c r="P1398" s="9">
        <v>3.8120000000000001E-5</v>
      </c>
      <c r="Q1398" s="9">
        <v>5.6730000000000001E-5</v>
      </c>
      <c r="R1398" s="10">
        <v>9.8419442594641838E-5</v>
      </c>
      <c r="S1398" s="10">
        <v>1.4131036686343361E-4</v>
      </c>
      <c r="T1398" s="10">
        <v>0</v>
      </c>
      <c r="U1398" s="10">
        <v>1.8301999999999999E-4</v>
      </c>
      <c r="V1398" s="25"/>
      <c r="W1398" s="25"/>
      <c r="X1398" s="25"/>
      <c r="Y1398" s="25"/>
      <c r="Z1398" s="25"/>
      <c r="AA1398" s="25"/>
    </row>
    <row r="1399" spans="1:27" x14ac:dyDescent="0.35">
      <c r="A1399" s="5">
        <v>1395</v>
      </c>
      <c r="B1399" s="5">
        <v>59</v>
      </c>
      <c r="C1399" s="5">
        <v>2</v>
      </c>
      <c r="D1399" s="25">
        <v>1.1416E-4</v>
      </c>
      <c r="E1399" s="25">
        <v>1.0876E-4</v>
      </c>
      <c r="F1399" s="25">
        <v>1.1854E-4</v>
      </c>
      <c r="G1399" s="25">
        <v>6.0649999999999997E-5</v>
      </c>
      <c r="H1399" s="25">
        <v>6.9679999999999997E-5</v>
      </c>
      <c r="I1399" s="9">
        <v>1.0333E-4</v>
      </c>
      <c r="J1399" s="9">
        <v>9.2429999999999994E-5</v>
      </c>
      <c r="K1399" s="9">
        <v>4.7259999999999999E-4</v>
      </c>
      <c r="L1399" s="9">
        <v>2.7509999999999999E-5</v>
      </c>
      <c r="M1399" s="9">
        <v>5.2320000000000001E-5</v>
      </c>
      <c r="N1399" s="9">
        <v>6.5549999999999994E-5</v>
      </c>
      <c r="O1399" s="9">
        <v>1.3020000000000001E-5</v>
      </c>
      <c r="P1399" s="9">
        <v>3.7769999999999999E-5</v>
      </c>
      <c r="Q1399" s="9">
        <v>6.156E-5</v>
      </c>
      <c r="R1399" s="10">
        <v>1.1619434856166394E-4</v>
      </c>
      <c r="S1399" s="10">
        <v>1.5214976019486376E-4</v>
      </c>
      <c r="T1399" s="10">
        <v>0</v>
      </c>
      <c r="U1399" s="10">
        <v>1.8301999999999999E-4</v>
      </c>
      <c r="V1399" s="25"/>
      <c r="W1399" s="25"/>
      <c r="X1399" s="25"/>
      <c r="Y1399" s="25"/>
      <c r="Z1399" s="25"/>
      <c r="AA1399" s="25"/>
    </row>
    <row r="1400" spans="1:27" x14ac:dyDescent="0.35">
      <c r="A1400" s="5">
        <v>1396</v>
      </c>
      <c r="B1400" s="5">
        <v>59</v>
      </c>
      <c r="C1400" s="5">
        <v>2</v>
      </c>
      <c r="D1400" s="25">
        <v>1.1415000000000001E-4</v>
      </c>
      <c r="E1400" s="25">
        <v>1.0650999999999999E-4</v>
      </c>
      <c r="F1400" s="25">
        <v>1.3275E-4</v>
      </c>
      <c r="G1400" s="25">
        <v>5.7009999999999998E-5</v>
      </c>
      <c r="H1400" s="25">
        <v>7.0900000000000002E-5</v>
      </c>
      <c r="I1400" s="9">
        <v>1.0082E-4</v>
      </c>
      <c r="J1400" s="9">
        <v>9.1409999999999994E-5</v>
      </c>
      <c r="K1400" s="9">
        <v>4.9804000000000005E-4</v>
      </c>
      <c r="L1400" s="9">
        <v>1.696E-5</v>
      </c>
      <c r="M1400" s="9">
        <v>4.4339999999999999E-5</v>
      </c>
      <c r="N1400" s="9">
        <v>6.2000000000000003E-5</v>
      </c>
      <c r="O1400" s="9">
        <v>1.3020000000000001E-5</v>
      </c>
      <c r="P1400" s="9">
        <v>4.7209999999999997E-5</v>
      </c>
      <c r="Q1400" s="9">
        <v>8.03E-5</v>
      </c>
      <c r="R1400" s="10">
        <v>1.2091208152512217E-4</v>
      </c>
      <c r="S1400" s="10">
        <v>1.6800890068582292E-4</v>
      </c>
      <c r="T1400" s="10">
        <v>0</v>
      </c>
      <c r="U1400" s="10">
        <v>1.8301999999999999E-4</v>
      </c>
      <c r="V1400" s="25"/>
      <c r="W1400" s="25"/>
      <c r="X1400" s="25"/>
      <c r="Y1400" s="25"/>
      <c r="Z1400" s="25"/>
      <c r="AA1400" s="25"/>
    </row>
    <row r="1401" spans="1:27" x14ac:dyDescent="0.35">
      <c r="A1401" s="5">
        <v>1397</v>
      </c>
      <c r="B1401" s="5">
        <v>59</v>
      </c>
      <c r="C1401" s="5">
        <v>2</v>
      </c>
      <c r="D1401" s="25">
        <v>1.1416E-4</v>
      </c>
      <c r="E1401" s="25">
        <v>1.1341E-4</v>
      </c>
      <c r="F1401" s="25">
        <v>1.3506E-4</v>
      </c>
      <c r="G1401" s="25">
        <v>5.7080000000000002E-5</v>
      </c>
      <c r="H1401" s="25">
        <v>7.538E-5</v>
      </c>
      <c r="I1401" s="9">
        <v>9.8540000000000002E-5</v>
      </c>
      <c r="J1401" s="9">
        <v>9.0859999999999994E-5</v>
      </c>
      <c r="K1401" s="9">
        <v>4.9803E-4</v>
      </c>
      <c r="L1401" s="9">
        <v>1.414E-5</v>
      </c>
      <c r="M1401" s="9">
        <v>4.3569999999999998E-5</v>
      </c>
      <c r="N1401" s="9">
        <v>6.4529999999999994E-5</v>
      </c>
      <c r="O1401" s="9">
        <v>1.857E-5</v>
      </c>
      <c r="P1401" s="9">
        <v>5.6700000000000003E-5</v>
      </c>
      <c r="Q1401" s="9">
        <v>9.3759999999999997E-5</v>
      </c>
      <c r="R1401" s="10">
        <v>1.3159976230752847E-4</v>
      </c>
      <c r="S1401" s="10">
        <v>1.771814207715207E-4</v>
      </c>
      <c r="T1401" s="10">
        <v>0</v>
      </c>
      <c r="U1401" s="10">
        <v>1.8301999999999999E-4</v>
      </c>
      <c r="V1401" s="25"/>
      <c r="W1401" s="25"/>
      <c r="X1401" s="25"/>
      <c r="Y1401" s="25"/>
      <c r="Z1401" s="25"/>
      <c r="AA1401" s="25"/>
    </row>
    <row r="1402" spans="1:27" x14ac:dyDescent="0.35">
      <c r="A1402" s="5">
        <v>1398</v>
      </c>
      <c r="B1402" s="5">
        <v>59</v>
      </c>
      <c r="C1402" s="5">
        <v>2</v>
      </c>
      <c r="D1402" s="25">
        <v>1.1415000000000001E-4</v>
      </c>
      <c r="E1402" s="25">
        <v>1.0997000000000001E-4</v>
      </c>
      <c r="F1402" s="25">
        <v>1.2914E-4</v>
      </c>
      <c r="G1402" s="25">
        <v>1.0891E-4</v>
      </c>
      <c r="H1402" s="25">
        <v>1.3636E-4</v>
      </c>
      <c r="I1402" s="9">
        <v>9.8919999999999995E-5</v>
      </c>
      <c r="J1402" s="9">
        <v>9.1490000000000007E-5</v>
      </c>
      <c r="K1402" s="9">
        <v>5.1075000000000003E-4</v>
      </c>
      <c r="L1402" s="9">
        <v>1.747E-5</v>
      </c>
      <c r="M1402" s="9">
        <v>4.8449999999999999E-5</v>
      </c>
      <c r="N1402" s="9">
        <v>7.1110000000000002E-5</v>
      </c>
      <c r="O1402" s="9">
        <v>4.6E-5</v>
      </c>
      <c r="P1402" s="9">
        <v>7.6489999999999994E-5</v>
      </c>
      <c r="Q1402" s="9">
        <v>1.0650999999999999E-4</v>
      </c>
      <c r="R1402" s="10">
        <v>1.4232278351504599E-4</v>
      </c>
      <c r="S1402" s="10">
        <v>1.8321163269114805E-4</v>
      </c>
      <c r="T1402" s="10">
        <v>0</v>
      </c>
      <c r="U1402" s="10">
        <v>1.8301999999999999E-4</v>
      </c>
      <c r="V1402" s="25"/>
      <c r="W1402" s="25"/>
      <c r="X1402" s="25"/>
      <c r="Y1402" s="25"/>
      <c r="Z1402" s="25"/>
      <c r="AA1402" s="25"/>
    </row>
    <row r="1403" spans="1:27" x14ac:dyDescent="0.35">
      <c r="A1403" s="5">
        <v>1399</v>
      </c>
      <c r="B1403" s="5">
        <v>59</v>
      </c>
      <c r="C1403" s="5">
        <v>2</v>
      </c>
      <c r="D1403" s="25">
        <v>1.1416E-4</v>
      </c>
      <c r="E1403" s="25">
        <v>1.0724E-4</v>
      </c>
      <c r="F1403" s="25">
        <v>1.1895E-4</v>
      </c>
      <c r="G1403" s="25">
        <v>1.11E-4</v>
      </c>
      <c r="H1403" s="25">
        <v>1.2648E-4</v>
      </c>
      <c r="I1403" s="9">
        <v>1.0145E-4</v>
      </c>
      <c r="J1403" s="9">
        <v>9.4199999999999999E-5</v>
      </c>
      <c r="K1403" s="9">
        <v>4.9167999999999998E-4</v>
      </c>
      <c r="L1403" s="9">
        <v>3.9579999999999997E-5</v>
      </c>
      <c r="M1403" s="9">
        <v>5.9929999999999997E-5</v>
      </c>
      <c r="N1403" s="9">
        <v>8.0690000000000002E-5</v>
      </c>
      <c r="O1403" s="9">
        <v>1.2460999999999999E-4</v>
      </c>
      <c r="P1403" s="9">
        <v>1.1818E-4</v>
      </c>
      <c r="Q1403" s="9">
        <v>1.1321E-4</v>
      </c>
      <c r="R1403" s="10">
        <v>1.6362444047699198E-4</v>
      </c>
      <c r="S1403" s="10">
        <v>1.8794813795942173E-4</v>
      </c>
      <c r="T1403" s="10">
        <v>0</v>
      </c>
      <c r="U1403" s="10">
        <v>1.8301999999999999E-4</v>
      </c>
      <c r="V1403" s="25"/>
      <c r="W1403" s="25"/>
      <c r="X1403" s="25"/>
      <c r="Y1403" s="25"/>
      <c r="Z1403" s="25"/>
      <c r="AA1403" s="25"/>
    </row>
    <row r="1404" spans="1:27" x14ac:dyDescent="0.35">
      <c r="A1404" s="5">
        <v>1400</v>
      </c>
      <c r="B1404" s="5">
        <v>59</v>
      </c>
      <c r="C1404" s="5">
        <v>2</v>
      </c>
      <c r="D1404" s="25">
        <v>1.1415000000000001E-4</v>
      </c>
      <c r="E1404" s="25">
        <v>1.1332000000000001E-4</v>
      </c>
      <c r="F1404" s="25">
        <v>1.3054000000000001E-4</v>
      </c>
      <c r="G1404" s="25">
        <v>1.6428999999999999E-4</v>
      </c>
      <c r="H1404" s="25">
        <v>1.9199000000000001E-4</v>
      </c>
      <c r="I1404" s="9">
        <v>1.0106E-4</v>
      </c>
      <c r="J1404" s="9">
        <v>9.7079999999999999E-5</v>
      </c>
      <c r="K1404" s="9">
        <v>3.9630999999999998E-4</v>
      </c>
      <c r="L1404" s="9">
        <v>1.0527999999999999E-4</v>
      </c>
      <c r="M1404" s="9">
        <v>8.3850000000000005E-5</v>
      </c>
      <c r="N1404" s="9">
        <v>9.0929999999999998E-5</v>
      </c>
      <c r="O1404" s="9">
        <v>2.2222E-4</v>
      </c>
      <c r="P1404" s="9">
        <v>1.7799E-4</v>
      </c>
      <c r="Q1404" s="9">
        <v>1.3750000000000001E-4</v>
      </c>
      <c r="R1404" s="10">
        <v>1.7802989831214942E-4</v>
      </c>
      <c r="S1404" s="10">
        <v>1.894335446096439E-4</v>
      </c>
      <c r="T1404" s="10">
        <v>4.1352475032594627E-5</v>
      </c>
      <c r="U1404" s="10">
        <v>1.8301999999999999E-4</v>
      </c>
      <c r="V1404" s="25"/>
      <c r="W1404" s="25"/>
      <c r="X1404" s="25"/>
      <c r="Y1404" s="25"/>
      <c r="Z1404" s="25"/>
      <c r="AA1404" s="25"/>
    </row>
    <row r="1405" spans="1:27" x14ac:dyDescent="0.35">
      <c r="A1405" s="5">
        <v>1401</v>
      </c>
      <c r="B1405" s="5">
        <v>59</v>
      </c>
      <c r="C1405" s="5">
        <v>2</v>
      </c>
      <c r="D1405" s="25">
        <v>1.1416E-4</v>
      </c>
      <c r="E1405" s="25">
        <v>1.1189E-4</v>
      </c>
      <c r="F1405" s="25">
        <v>1.2902000000000001E-4</v>
      </c>
      <c r="G1405" s="25">
        <v>1.6333999999999999E-4</v>
      </c>
      <c r="H1405" s="25">
        <v>1.9694999999999999E-4</v>
      </c>
      <c r="I1405" s="9">
        <v>1.0514999999999999E-4</v>
      </c>
      <c r="J1405" s="9">
        <v>1.0156E-4</v>
      </c>
      <c r="K1405" s="9">
        <v>3.6875999999999999E-4</v>
      </c>
      <c r="L1405" s="9">
        <v>1.9468999999999999E-4</v>
      </c>
      <c r="M1405" s="9">
        <v>1.2394000000000001E-4</v>
      </c>
      <c r="N1405" s="9">
        <v>1.0483E-4</v>
      </c>
      <c r="O1405" s="9">
        <v>2.1436E-4</v>
      </c>
      <c r="P1405" s="9">
        <v>1.9476000000000001E-4</v>
      </c>
      <c r="Q1405" s="9">
        <v>1.7835999999999999E-4</v>
      </c>
      <c r="R1405" s="10">
        <v>1.8824935457727095E-4</v>
      </c>
      <c r="S1405" s="10">
        <v>1.9008045157890404E-4</v>
      </c>
      <c r="T1405" s="10">
        <v>8.6539853371453667E-5</v>
      </c>
      <c r="U1405" s="10">
        <v>1.8301999999999999E-4</v>
      </c>
      <c r="V1405" s="25"/>
      <c r="W1405" s="25"/>
      <c r="X1405" s="25"/>
      <c r="Y1405" s="25"/>
      <c r="Z1405" s="25"/>
      <c r="AA1405" s="25"/>
    </row>
    <row r="1406" spans="1:27" x14ac:dyDescent="0.35">
      <c r="A1406" s="5">
        <v>1402</v>
      </c>
      <c r="B1406" s="5">
        <v>59</v>
      </c>
      <c r="C1406" s="5">
        <v>2</v>
      </c>
      <c r="D1406" s="25">
        <v>1.1415000000000001E-4</v>
      </c>
      <c r="E1406" s="25">
        <v>1.0524E-4</v>
      </c>
      <c r="F1406" s="25">
        <v>1.2521E-4</v>
      </c>
      <c r="G1406" s="25">
        <v>1.5661000000000001E-4</v>
      </c>
      <c r="H1406" s="25">
        <v>1.9558999999999999E-4</v>
      </c>
      <c r="I1406" s="9">
        <v>1.1078000000000001E-4</v>
      </c>
      <c r="J1406" s="9">
        <v>1.0629E-4</v>
      </c>
      <c r="K1406" s="9">
        <v>3.4332999999999998E-4</v>
      </c>
      <c r="L1406" s="9">
        <v>2.0767999999999999E-4</v>
      </c>
      <c r="M1406" s="9">
        <v>1.596E-4</v>
      </c>
      <c r="N1406" s="9">
        <v>1.2515000000000001E-4</v>
      </c>
      <c r="O1406" s="9">
        <v>1.6919999999999999E-4</v>
      </c>
      <c r="P1406" s="9">
        <v>1.7521999999999999E-4</v>
      </c>
      <c r="Q1406" s="9">
        <v>1.8327999999999999E-4</v>
      </c>
      <c r="R1406" s="10">
        <v>1.9488923521301113E-4</v>
      </c>
      <c r="S1406" s="10">
        <v>1.9026910830013757E-4</v>
      </c>
      <c r="T1406" s="10">
        <v>2.5052439121100821E-4</v>
      </c>
      <c r="U1406" s="10">
        <v>1.8301999999999999E-4</v>
      </c>
      <c r="V1406" s="25"/>
      <c r="W1406" s="25"/>
      <c r="X1406" s="25"/>
      <c r="Y1406" s="25"/>
      <c r="Z1406" s="25"/>
      <c r="AA1406" s="25"/>
    </row>
    <row r="1407" spans="1:27" x14ac:dyDescent="0.35">
      <c r="A1407" s="5">
        <v>1403</v>
      </c>
      <c r="B1407" s="5">
        <v>59</v>
      </c>
      <c r="C1407" s="5">
        <v>2</v>
      </c>
      <c r="D1407" s="25">
        <v>1.1416E-4</v>
      </c>
      <c r="E1407" s="25">
        <v>1.1423E-4</v>
      </c>
      <c r="F1407" s="25">
        <v>1.1841999999999999E-4</v>
      </c>
      <c r="G1407" s="25">
        <v>1.6697000000000001E-4</v>
      </c>
      <c r="H1407" s="25">
        <v>1.9672E-4</v>
      </c>
      <c r="I1407" s="9">
        <v>1.1339E-4</v>
      </c>
      <c r="J1407" s="9">
        <v>1.0752E-4</v>
      </c>
      <c r="K1407" s="9">
        <v>3.1577999999999999E-4</v>
      </c>
      <c r="L1407" s="9">
        <v>1.7772999999999999E-4</v>
      </c>
      <c r="M1407" s="9">
        <v>1.7348999999999999E-4</v>
      </c>
      <c r="N1407" s="9">
        <v>1.4344999999999999E-4</v>
      </c>
      <c r="O1407" s="9">
        <v>1.6692000000000001E-4</v>
      </c>
      <c r="P1407" s="9">
        <v>1.7153000000000001E-4</v>
      </c>
      <c r="Q1407" s="9">
        <v>1.7815999999999999E-4</v>
      </c>
      <c r="R1407" s="10">
        <v>1.9090748496429578E-4</v>
      </c>
      <c r="S1407" s="10">
        <v>1.9028254321122021E-4</v>
      </c>
      <c r="T1407" s="10">
        <v>3.072758695641115E-4</v>
      </c>
      <c r="U1407" s="10">
        <v>1.8301999999999999E-4</v>
      </c>
      <c r="V1407" s="25"/>
      <c r="W1407" s="25"/>
      <c r="X1407" s="25"/>
      <c r="Y1407" s="25"/>
      <c r="Z1407" s="25"/>
      <c r="AA1407" s="25"/>
    </row>
    <row r="1408" spans="1:27" x14ac:dyDescent="0.35">
      <c r="A1408" s="5">
        <v>1404</v>
      </c>
      <c r="B1408" s="5">
        <v>59</v>
      </c>
      <c r="C1408" s="5">
        <v>2</v>
      </c>
      <c r="D1408" s="25">
        <v>1.1415000000000001E-4</v>
      </c>
      <c r="E1408" s="25">
        <v>1.0428E-4</v>
      </c>
      <c r="F1408" s="25">
        <v>1.1997000000000001E-4</v>
      </c>
      <c r="G1408" s="25">
        <v>1.5763999999999999E-4</v>
      </c>
      <c r="H1408" s="25">
        <v>1.9331E-4</v>
      </c>
      <c r="I1408" s="9">
        <v>1.1607000000000001E-4</v>
      </c>
      <c r="J1408" s="9">
        <v>1.0674E-4</v>
      </c>
      <c r="K1408" s="9">
        <v>3.1789999999999998E-4</v>
      </c>
      <c r="L1408" s="9">
        <v>1.7074000000000001E-4</v>
      </c>
      <c r="M1408" s="9">
        <v>1.7513000000000001E-4</v>
      </c>
      <c r="N1408" s="9">
        <v>1.5715999999999999E-4</v>
      </c>
      <c r="O1408" s="9">
        <v>1.6946999999999999E-4</v>
      </c>
      <c r="P1408" s="9">
        <v>1.6998999999999999E-4</v>
      </c>
      <c r="Q1408" s="9">
        <v>1.7264E-4</v>
      </c>
      <c r="R1408" s="10">
        <v>1.8134411490361937E-4</v>
      </c>
      <c r="S1408" s="10">
        <v>1.902899564420545E-4</v>
      </c>
      <c r="T1408" s="10">
        <v>2.8692203542311963E-4</v>
      </c>
      <c r="U1408" s="10">
        <v>1.8301999999999999E-4</v>
      </c>
      <c r="V1408" s="25"/>
      <c r="W1408" s="25"/>
      <c r="X1408" s="25"/>
      <c r="Y1408" s="25"/>
      <c r="Z1408" s="25"/>
      <c r="AA1408" s="25"/>
    </row>
    <row r="1409" spans="1:27" x14ac:dyDescent="0.35">
      <c r="A1409" s="5">
        <v>1405</v>
      </c>
      <c r="B1409" s="5">
        <v>59</v>
      </c>
      <c r="C1409" s="5">
        <v>2</v>
      </c>
      <c r="D1409" s="25">
        <v>1.1416E-4</v>
      </c>
      <c r="E1409" s="25">
        <v>1.1290000000000001E-4</v>
      </c>
      <c r="F1409" s="25">
        <v>1.3404000000000001E-4</v>
      </c>
      <c r="G1409" s="25">
        <v>1.5621E-4</v>
      </c>
      <c r="H1409" s="25">
        <v>1.9547E-4</v>
      </c>
      <c r="I1409" s="9">
        <v>1.1704E-4</v>
      </c>
      <c r="J1409" s="9">
        <v>1.0719E-4</v>
      </c>
      <c r="K1409" s="9">
        <v>2.8610000000000002E-4</v>
      </c>
      <c r="L1409" s="9">
        <v>1.6997E-4</v>
      </c>
      <c r="M1409" s="9">
        <v>1.7320000000000001E-4</v>
      </c>
      <c r="N1409" s="9">
        <v>1.6618000000000001E-4</v>
      </c>
      <c r="O1409" s="9">
        <v>1.6284000000000001E-4</v>
      </c>
      <c r="P1409" s="9">
        <v>1.6425000000000001E-4</v>
      </c>
      <c r="Q1409" s="9">
        <v>1.6765000000000001E-4</v>
      </c>
      <c r="R1409" s="10">
        <v>1.8405439233635967E-4</v>
      </c>
      <c r="S1409" s="10">
        <v>1.9029019203513974E-4</v>
      </c>
      <c r="T1409" s="10">
        <v>6.6712894220105623E-4</v>
      </c>
      <c r="U1409" s="10">
        <v>1.8301999999999999E-4</v>
      </c>
      <c r="V1409" s="25"/>
      <c r="W1409" s="25"/>
      <c r="X1409" s="25"/>
      <c r="Y1409" s="25"/>
      <c r="Z1409" s="25"/>
      <c r="AA1409" s="25"/>
    </row>
    <row r="1410" spans="1:27" x14ac:dyDescent="0.35">
      <c r="A1410" s="5">
        <v>1406</v>
      </c>
      <c r="B1410" s="5">
        <v>59</v>
      </c>
      <c r="C1410" s="5">
        <v>2</v>
      </c>
      <c r="D1410" s="25">
        <v>1.1415000000000001E-4</v>
      </c>
      <c r="E1410" s="25">
        <v>1.1378E-4</v>
      </c>
      <c r="F1410" s="25">
        <v>1.2651000000000001E-4</v>
      </c>
      <c r="G1410" s="25">
        <v>1.6375999999999999E-4</v>
      </c>
      <c r="H1410" s="25">
        <v>1.9473E-4</v>
      </c>
      <c r="I1410" s="9">
        <v>1.1359E-4</v>
      </c>
      <c r="J1410" s="9">
        <v>1.0576E-4</v>
      </c>
      <c r="K1410" s="9">
        <v>2.967E-4</v>
      </c>
      <c r="L1410" s="9">
        <v>1.6417E-4</v>
      </c>
      <c r="M1410" s="9">
        <v>1.6945999999999999E-4</v>
      </c>
      <c r="N1410" s="9">
        <v>1.7043000000000001E-4</v>
      </c>
      <c r="O1410" s="9">
        <v>1.8053000000000001E-4</v>
      </c>
      <c r="P1410" s="9">
        <v>1.6996000000000001E-4</v>
      </c>
      <c r="Q1410" s="9">
        <v>1.6187999999999999E-4</v>
      </c>
      <c r="R1410" s="10">
        <v>1.9227591028575506E-4</v>
      </c>
      <c r="S1410" s="10">
        <v>1.9029020759484994E-4</v>
      </c>
      <c r="T1410" s="10">
        <v>6.6155475752801261E-4</v>
      </c>
      <c r="U1410" s="10">
        <v>1.8301999999999999E-4</v>
      </c>
      <c r="V1410" s="25"/>
      <c r="W1410" s="25"/>
      <c r="X1410" s="25"/>
      <c r="Y1410" s="25"/>
      <c r="Z1410" s="25"/>
      <c r="AA1410" s="25"/>
    </row>
    <row r="1411" spans="1:27" x14ac:dyDescent="0.35">
      <c r="A1411" s="5">
        <v>1407</v>
      </c>
      <c r="B1411" s="5">
        <v>59</v>
      </c>
      <c r="C1411" s="5">
        <v>2</v>
      </c>
      <c r="D1411" s="25">
        <v>1.1416E-4</v>
      </c>
      <c r="E1411" s="25">
        <v>1.1404E-4</v>
      </c>
      <c r="F1411" s="25">
        <v>1.3097E-4</v>
      </c>
      <c r="G1411" s="25">
        <v>1.6359E-4</v>
      </c>
      <c r="H1411" s="25">
        <v>1.8789999999999999E-4</v>
      </c>
      <c r="I1411" s="9">
        <v>1.0957E-4</v>
      </c>
      <c r="J1411" s="9">
        <v>1.0432E-4</v>
      </c>
      <c r="K1411" s="9">
        <v>3.0518E-4</v>
      </c>
      <c r="L1411" s="9">
        <v>1.7704999999999999E-4</v>
      </c>
      <c r="M1411" s="9">
        <v>1.6861E-4</v>
      </c>
      <c r="N1411" s="9">
        <v>1.7008E-4</v>
      </c>
      <c r="O1411" s="9">
        <v>1.8409000000000001E-4</v>
      </c>
      <c r="P1411" s="9">
        <v>1.6677E-4</v>
      </c>
      <c r="Q1411" s="9">
        <v>1.5212E-4</v>
      </c>
      <c r="R1411" s="10">
        <v>2.0504324047486701E-4</v>
      </c>
      <c r="S1411" s="10">
        <v>1.9029020759484994E-4</v>
      </c>
      <c r="T1411" s="10">
        <v>5.6499494662404053E-4</v>
      </c>
      <c r="U1411" s="10">
        <v>1.8301999999999999E-4</v>
      </c>
      <c r="V1411" s="25"/>
      <c r="W1411" s="25"/>
      <c r="X1411" s="25"/>
      <c r="Y1411" s="25"/>
      <c r="Z1411" s="25"/>
      <c r="AA1411" s="25"/>
    </row>
    <row r="1412" spans="1:27" x14ac:dyDescent="0.35">
      <c r="A1412" s="5">
        <v>1408</v>
      </c>
      <c r="B1412" s="5">
        <v>59</v>
      </c>
      <c r="C1412" s="5">
        <v>2</v>
      </c>
      <c r="D1412" s="25">
        <v>1.1415000000000001E-4</v>
      </c>
      <c r="E1412" s="25">
        <v>1.0861000000000001E-4</v>
      </c>
      <c r="F1412" s="25">
        <v>1.2099000000000001E-4</v>
      </c>
      <c r="G1412" s="25">
        <v>1.5663999999999999E-4</v>
      </c>
      <c r="H1412" s="25">
        <v>1.9436E-4</v>
      </c>
      <c r="I1412" s="9">
        <v>1.0948E-4</v>
      </c>
      <c r="J1412" s="9">
        <v>1.0469E-4</v>
      </c>
      <c r="K1412" s="9">
        <v>3.1154000000000002E-4</v>
      </c>
      <c r="L1412" s="9">
        <v>1.8220000000000001E-4</v>
      </c>
      <c r="M1412" s="9">
        <v>1.6783E-4</v>
      </c>
      <c r="N1412" s="9">
        <v>1.6604E-4</v>
      </c>
      <c r="O1412" s="9">
        <v>1.9864000000000001E-4</v>
      </c>
      <c r="P1412" s="9">
        <v>1.5255999999999999E-4</v>
      </c>
      <c r="Q1412" s="9">
        <v>1.0984000000000001E-4</v>
      </c>
      <c r="R1412" s="10">
        <v>2.094530184809807E-4</v>
      </c>
      <c r="S1412" s="10">
        <v>1.9029020759484994E-4</v>
      </c>
      <c r="T1412" s="10">
        <v>3.9885539674954987E-4</v>
      </c>
      <c r="U1412" s="10">
        <v>1.8301999999999999E-4</v>
      </c>
      <c r="V1412" s="25"/>
      <c r="W1412" s="25"/>
      <c r="X1412" s="25"/>
      <c r="Y1412" s="25"/>
      <c r="Z1412" s="25"/>
      <c r="AA1412" s="25"/>
    </row>
    <row r="1413" spans="1:27" x14ac:dyDescent="0.35">
      <c r="A1413" s="5">
        <v>1409</v>
      </c>
      <c r="B1413" s="5">
        <v>59</v>
      </c>
      <c r="C1413" s="5">
        <v>2</v>
      </c>
      <c r="D1413" s="25">
        <v>1.1416E-4</v>
      </c>
      <c r="E1413" s="25">
        <v>1.1142E-4</v>
      </c>
      <c r="F1413" s="25">
        <v>1.3323E-4</v>
      </c>
      <c r="G1413" s="25">
        <v>1.6436000000000001E-4</v>
      </c>
      <c r="H1413" s="25">
        <v>1.8861999999999999E-4</v>
      </c>
      <c r="I1413" s="9">
        <v>1.0789E-4</v>
      </c>
      <c r="J1413" s="9">
        <v>1.0882000000000001E-4</v>
      </c>
      <c r="K1413" s="9">
        <v>3.3484999999999998E-4</v>
      </c>
      <c r="L1413" s="9">
        <v>1.9484E-4</v>
      </c>
      <c r="M1413" s="9">
        <v>1.6220000000000001E-4</v>
      </c>
      <c r="N1413" s="9">
        <v>1.5238E-4</v>
      </c>
      <c r="O1413" s="9">
        <v>2.1707000000000001E-4</v>
      </c>
      <c r="P1413" s="9">
        <v>1.6065E-4</v>
      </c>
      <c r="Q1413" s="9">
        <v>1.0806000000000001E-4</v>
      </c>
      <c r="R1413" s="10">
        <v>2.0908960143371273E-4</v>
      </c>
      <c r="S1413" s="10">
        <v>1.9029020759484994E-4</v>
      </c>
      <c r="T1413" s="10">
        <v>9.0026900404362243E-5</v>
      </c>
      <c r="U1413" s="10">
        <v>1.8301999999999999E-4</v>
      </c>
      <c r="V1413" s="25"/>
      <c r="W1413" s="25"/>
      <c r="X1413" s="25"/>
      <c r="Y1413" s="25"/>
      <c r="Z1413" s="25"/>
      <c r="AA1413" s="25"/>
    </row>
    <row r="1414" spans="1:27" x14ac:dyDescent="0.35">
      <c r="A1414" s="5">
        <v>1410</v>
      </c>
      <c r="B1414" s="5">
        <v>59</v>
      </c>
      <c r="C1414" s="5">
        <v>2</v>
      </c>
      <c r="D1414" s="25">
        <v>1.1415000000000001E-4</v>
      </c>
      <c r="E1414" s="25">
        <v>1.0637999999999999E-4</v>
      </c>
      <c r="F1414" s="25">
        <v>1.2139E-4</v>
      </c>
      <c r="G1414" s="25">
        <v>1.5918E-4</v>
      </c>
      <c r="H1414" s="25">
        <v>2.0104000000000001E-4</v>
      </c>
      <c r="I1414" s="9">
        <v>1.1131E-4</v>
      </c>
      <c r="J1414" s="9">
        <v>1.1571E-4</v>
      </c>
      <c r="K1414" s="9">
        <v>3.4545000000000002E-4</v>
      </c>
      <c r="L1414" s="9">
        <v>2.1193000000000001E-4</v>
      </c>
      <c r="M1414" s="9">
        <v>1.6008999999999999E-4</v>
      </c>
      <c r="N1414" s="9">
        <v>1.393E-4</v>
      </c>
      <c r="O1414" s="9">
        <v>2.0707000000000001E-4</v>
      </c>
      <c r="P1414" s="9">
        <v>1.6075E-4</v>
      </c>
      <c r="Q1414" s="9">
        <v>1.1794E-4</v>
      </c>
      <c r="R1414" s="10">
        <v>2.0934778144114459E-4</v>
      </c>
      <c r="S1414" s="10">
        <v>1.9029020759484994E-4</v>
      </c>
      <c r="T1414" s="10">
        <v>0</v>
      </c>
      <c r="U1414" s="10">
        <v>1.8301999999999999E-4</v>
      </c>
      <c r="V1414" s="25"/>
      <c r="W1414" s="25"/>
      <c r="X1414" s="25"/>
      <c r="Y1414" s="25"/>
      <c r="Z1414" s="25"/>
      <c r="AA1414" s="25"/>
    </row>
    <row r="1415" spans="1:27" x14ac:dyDescent="0.35">
      <c r="A1415" s="5">
        <v>1411</v>
      </c>
      <c r="B1415" s="5">
        <v>59</v>
      </c>
      <c r="C1415" s="5">
        <v>2</v>
      </c>
      <c r="D1415" s="25">
        <v>1.1416E-4</v>
      </c>
      <c r="E1415" s="25">
        <v>1.0616E-4</v>
      </c>
      <c r="F1415" s="25">
        <v>1.3652E-4</v>
      </c>
      <c r="G1415" s="25">
        <v>1.0623E-4</v>
      </c>
      <c r="H1415" s="25">
        <v>1.3407999999999999E-4</v>
      </c>
      <c r="I1415" s="9">
        <v>1.2105E-4</v>
      </c>
      <c r="J1415" s="9">
        <v>1.2299000000000001E-4</v>
      </c>
      <c r="K1415" s="9">
        <v>3.6240000000000003E-4</v>
      </c>
      <c r="L1415" s="9">
        <v>2.0769000000000001E-4</v>
      </c>
      <c r="M1415" s="9">
        <v>1.5995000000000001E-4</v>
      </c>
      <c r="N1415" s="9">
        <v>1.3029E-4</v>
      </c>
      <c r="O1415" s="9">
        <v>1.6583E-4</v>
      </c>
      <c r="P1415" s="9">
        <v>1.3536000000000001E-4</v>
      </c>
      <c r="Q1415" s="9">
        <v>1.0744E-4</v>
      </c>
      <c r="R1415" s="10">
        <v>2.1178940784182559E-4</v>
      </c>
      <c r="S1415" s="10">
        <v>1.9029020759484994E-4</v>
      </c>
      <c r="T1415" s="10">
        <v>0</v>
      </c>
      <c r="U1415" s="10">
        <v>1.8301999999999999E-4</v>
      </c>
      <c r="V1415" s="25"/>
      <c r="W1415" s="25"/>
      <c r="X1415" s="25"/>
      <c r="Y1415" s="25"/>
      <c r="Z1415" s="25"/>
      <c r="AA1415" s="25"/>
    </row>
    <row r="1416" spans="1:27" x14ac:dyDescent="0.35">
      <c r="A1416" s="5">
        <v>1412</v>
      </c>
      <c r="B1416" s="5">
        <v>59</v>
      </c>
      <c r="C1416" s="5">
        <v>2</v>
      </c>
      <c r="D1416" s="25">
        <v>1.1415000000000001E-4</v>
      </c>
      <c r="E1416" s="25">
        <v>1.0632E-4</v>
      </c>
      <c r="F1416" s="25">
        <v>1.3308999999999999E-4</v>
      </c>
      <c r="G1416" s="25">
        <v>1.1124E-4</v>
      </c>
      <c r="H1416" s="25">
        <v>1.3480999999999999E-4</v>
      </c>
      <c r="I1416" s="9">
        <v>1.2629000000000001E-4</v>
      </c>
      <c r="J1416" s="9">
        <v>1.2608000000000001E-4</v>
      </c>
      <c r="K1416" s="9">
        <v>3.6452000000000001E-4</v>
      </c>
      <c r="L1416" s="9">
        <v>1.7522999999999999E-4</v>
      </c>
      <c r="M1416" s="9">
        <v>1.5121000000000001E-4</v>
      </c>
      <c r="N1416" s="9">
        <v>1.2123E-4</v>
      </c>
      <c r="O1416" s="9">
        <v>1.2923000000000001E-4</v>
      </c>
      <c r="P1416" s="9">
        <v>1.1462E-4</v>
      </c>
      <c r="Q1416" s="9">
        <v>1.0168E-4</v>
      </c>
      <c r="R1416" s="10">
        <v>2.1232562251809894E-4</v>
      </c>
      <c r="S1416" s="10">
        <v>1.9029020759484994E-4</v>
      </c>
      <c r="T1416" s="10">
        <v>0</v>
      </c>
      <c r="U1416" s="10">
        <v>1.8301999999999999E-4</v>
      </c>
      <c r="V1416" s="25"/>
      <c r="W1416" s="25"/>
      <c r="X1416" s="25"/>
      <c r="Y1416" s="25"/>
      <c r="Z1416" s="25"/>
      <c r="AA1416" s="25"/>
    </row>
    <row r="1417" spans="1:27" x14ac:dyDescent="0.35">
      <c r="A1417" s="5">
        <v>1413</v>
      </c>
      <c r="B1417" s="5">
        <v>59</v>
      </c>
      <c r="C1417" s="5">
        <v>2</v>
      </c>
      <c r="D1417" s="25">
        <v>1.1416E-4</v>
      </c>
      <c r="E1417" s="25">
        <v>1.1201000000000001E-4</v>
      </c>
      <c r="F1417" s="25">
        <v>1.3317E-4</v>
      </c>
      <c r="G1417" s="25">
        <v>5.7290000000000002E-5</v>
      </c>
      <c r="H1417" s="25">
        <v>7.1829999999999995E-5</v>
      </c>
      <c r="I1417" s="9">
        <v>1.2263000000000001E-4</v>
      </c>
      <c r="J1417" s="9">
        <v>1.2221000000000001E-4</v>
      </c>
      <c r="K1417" s="9">
        <v>3.6664E-4</v>
      </c>
      <c r="L1417" s="9">
        <v>1.4037000000000001E-4</v>
      </c>
      <c r="M1417" s="9">
        <v>1.3557E-4</v>
      </c>
      <c r="N1417" s="9">
        <v>1.1347E-4</v>
      </c>
      <c r="O1417" s="9">
        <v>8.4950000000000005E-5</v>
      </c>
      <c r="P1417" s="9">
        <v>8.6299999999999997E-5</v>
      </c>
      <c r="Q1417" s="9">
        <v>8.8289999999999997E-5</v>
      </c>
      <c r="R1417" s="10">
        <v>2.1243461013810498E-4</v>
      </c>
      <c r="S1417" s="10">
        <v>1.9029020759484994E-4</v>
      </c>
      <c r="T1417" s="10">
        <v>0</v>
      </c>
      <c r="U1417" s="10">
        <v>1.8301999999999999E-4</v>
      </c>
      <c r="V1417" s="25"/>
      <c r="W1417" s="25"/>
      <c r="X1417" s="25"/>
      <c r="Y1417" s="25"/>
      <c r="Z1417" s="25"/>
      <c r="AA1417" s="25"/>
    </row>
    <row r="1418" spans="1:27" x14ac:dyDescent="0.35">
      <c r="A1418" s="5">
        <v>1414</v>
      </c>
      <c r="B1418" s="5">
        <v>59</v>
      </c>
      <c r="C1418" s="5">
        <v>2</v>
      </c>
      <c r="D1418" s="25">
        <v>1.1415000000000001E-4</v>
      </c>
      <c r="E1418" s="25">
        <v>1.1422E-4</v>
      </c>
      <c r="F1418" s="25">
        <v>1.3095000000000001E-4</v>
      </c>
      <c r="G1418" s="25">
        <v>5.2989999999999999E-5</v>
      </c>
      <c r="H1418" s="25">
        <v>6.3360000000000003E-5</v>
      </c>
      <c r="I1418" s="9">
        <v>1.1695E-4</v>
      </c>
      <c r="J1418" s="9">
        <v>1.1644E-4</v>
      </c>
      <c r="K1418" s="9">
        <v>3.7723999999999999E-4</v>
      </c>
      <c r="L1418" s="9">
        <v>9.8079999999999996E-5</v>
      </c>
      <c r="M1418" s="9">
        <v>1.1381E-4</v>
      </c>
      <c r="N1418" s="9">
        <v>1.058E-4</v>
      </c>
      <c r="O1418" s="9">
        <v>8.7609999999999996E-5</v>
      </c>
      <c r="P1418" s="9">
        <v>8.7529999999999997E-5</v>
      </c>
      <c r="Q1418" s="9">
        <v>8.8179999999999999E-5</v>
      </c>
      <c r="R1418" s="10">
        <v>2.1244600373633565E-4</v>
      </c>
      <c r="S1418" s="10">
        <v>1.9029009889357071E-4</v>
      </c>
      <c r="T1418" s="10">
        <v>0</v>
      </c>
      <c r="U1418" s="10">
        <v>1.8301999999999999E-4</v>
      </c>
      <c r="V1418" s="25"/>
      <c r="W1418" s="25"/>
      <c r="X1418" s="25"/>
      <c r="Y1418" s="25"/>
      <c r="Z1418" s="25"/>
      <c r="AA1418" s="25"/>
    </row>
    <row r="1419" spans="1:27" x14ac:dyDescent="0.35">
      <c r="A1419" s="5">
        <v>1415</v>
      </c>
      <c r="B1419" s="5">
        <v>59</v>
      </c>
      <c r="C1419" s="5">
        <v>2</v>
      </c>
      <c r="D1419" s="25">
        <v>1.1416E-4</v>
      </c>
      <c r="E1419" s="25">
        <v>1.0793000000000001E-4</v>
      </c>
      <c r="F1419" s="25">
        <v>1.2768999999999999E-4</v>
      </c>
      <c r="G1419" s="25">
        <v>5.5449999999999999E-5</v>
      </c>
      <c r="H1419" s="25">
        <v>6.5309999999999996E-5</v>
      </c>
      <c r="I1419" s="9">
        <v>1.1743000000000001E-4</v>
      </c>
      <c r="J1419" s="9">
        <v>1.1039000000000001E-4</v>
      </c>
      <c r="K1419" s="9">
        <v>3.6664E-4</v>
      </c>
      <c r="L1419" s="9">
        <v>9.0859999999999994E-5</v>
      </c>
      <c r="M1419" s="9">
        <v>9.9030000000000006E-5</v>
      </c>
      <c r="N1419" s="9">
        <v>9.9900000000000002E-5</v>
      </c>
      <c r="O1419" s="9">
        <v>7.7330000000000007E-5</v>
      </c>
      <c r="P1419" s="9">
        <v>7.148E-5</v>
      </c>
      <c r="Q1419" s="9">
        <v>6.6279999999999996E-5</v>
      </c>
      <c r="R1419" s="10">
        <v>2.1244821360784472E-4</v>
      </c>
      <c r="S1419" s="10">
        <v>1.9028702985810706E-4</v>
      </c>
      <c r="T1419" s="10">
        <v>0</v>
      </c>
      <c r="U1419" s="10">
        <v>1.8301999999999999E-4</v>
      </c>
      <c r="V1419" s="25"/>
      <c r="W1419" s="25"/>
      <c r="X1419" s="25"/>
      <c r="Y1419" s="25"/>
      <c r="Z1419" s="25"/>
      <c r="AA1419" s="25"/>
    </row>
    <row r="1420" spans="1:27" x14ac:dyDescent="0.35">
      <c r="A1420" s="5">
        <v>1416</v>
      </c>
      <c r="B1420" s="5">
        <v>59</v>
      </c>
      <c r="C1420" s="5">
        <v>2</v>
      </c>
      <c r="D1420" s="25">
        <v>1.1415000000000001E-4</v>
      </c>
      <c r="E1420" s="25">
        <v>1.0732E-4</v>
      </c>
      <c r="F1420" s="25">
        <v>1.1705E-4</v>
      </c>
      <c r="G1420" s="25">
        <v>6.1400000000000002E-5</v>
      </c>
      <c r="H1420" s="25">
        <v>6.3499999999999999E-5</v>
      </c>
      <c r="I1420" s="9">
        <v>1.1757E-4</v>
      </c>
      <c r="J1420" s="9">
        <v>1.0278E-4</v>
      </c>
      <c r="K1420" s="9">
        <v>3.6452000000000001E-4</v>
      </c>
      <c r="L1420" s="9">
        <v>8.0290000000000005E-5</v>
      </c>
      <c r="M1420" s="9">
        <v>8.585E-5</v>
      </c>
      <c r="N1420" s="9">
        <v>9.0450000000000003E-5</v>
      </c>
      <c r="O1420" s="9">
        <v>6.3479999999999995E-5</v>
      </c>
      <c r="P1420" s="9">
        <v>6.1309999999999994E-5</v>
      </c>
      <c r="Q1420" s="9">
        <v>5.948E-5</v>
      </c>
      <c r="R1420" s="10">
        <v>2.1244752057437787E-4</v>
      </c>
      <c r="S1420" s="10">
        <v>1.899062580301091E-4</v>
      </c>
      <c r="T1420" s="10">
        <v>0</v>
      </c>
      <c r="U1420" s="10">
        <v>1.8301999999999999E-4</v>
      </c>
      <c r="V1420" s="25"/>
      <c r="W1420" s="25"/>
      <c r="X1420" s="25"/>
      <c r="Y1420" s="25"/>
      <c r="Z1420" s="25"/>
      <c r="AA1420" s="25"/>
    </row>
    <row r="1421" spans="1:27" x14ac:dyDescent="0.35">
      <c r="A1421" s="5">
        <v>1417</v>
      </c>
      <c r="B1421" s="5">
        <v>60</v>
      </c>
      <c r="C1421" s="5">
        <v>3</v>
      </c>
      <c r="D1421" s="25">
        <v>1.1416E-4</v>
      </c>
      <c r="E1421" s="25">
        <v>1.1095E-4</v>
      </c>
      <c r="F1421" s="25">
        <v>1.1434000000000001E-4</v>
      </c>
      <c r="G1421" s="25">
        <v>5.2639999999999997E-5</v>
      </c>
      <c r="H1421" s="25">
        <v>7.3869999999999996E-5</v>
      </c>
      <c r="I1421" s="9">
        <v>1.1144E-4</v>
      </c>
      <c r="J1421" s="9">
        <v>9.7200000000000004E-5</v>
      </c>
      <c r="K1421" s="9">
        <v>3.6452000000000001E-4</v>
      </c>
      <c r="L1421" s="9">
        <v>6.7189999999999999E-5</v>
      </c>
      <c r="M1421" s="9">
        <v>7.3990000000000001E-5</v>
      </c>
      <c r="N1421" s="9">
        <v>8.1149999999999994E-5</v>
      </c>
      <c r="O1421" s="9">
        <v>5.499E-5</v>
      </c>
      <c r="P1421" s="9">
        <v>5.4400000000000001E-5</v>
      </c>
      <c r="Q1421" s="9">
        <v>5.3980000000000002E-5</v>
      </c>
      <c r="R1421" s="10">
        <v>2.1244721957653075E-4</v>
      </c>
      <c r="S1421" s="10">
        <v>1.896616775799882E-4</v>
      </c>
      <c r="T1421" s="10">
        <v>0</v>
      </c>
      <c r="U1421" s="10">
        <v>1.8406E-4</v>
      </c>
      <c r="V1421" s="25"/>
      <c r="W1421" s="25"/>
      <c r="X1421" s="25"/>
      <c r="Y1421" s="25"/>
      <c r="Z1421" s="25"/>
      <c r="AA1421" s="25"/>
    </row>
    <row r="1422" spans="1:27" x14ac:dyDescent="0.35">
      <c r="A1422" s="5">
        <v>1418</v>
      </c>
      <c r="B1422" s="5">
        <v>60</v>
      </c>
      <c r="C1422" s="5">
        <v>3</v>
      </c>
      <c r="D1422" s="25">
        <v>1.1415000000000001E-4</v>
      </c>
      <c r="E1422" s="25">
        <v>1.1477E-4</v>
      </c>
      <c r="F1422" s="25">
        <v>1.2371999999999999E-4</v>
      </c>
      <c r="G1422" s="25">
        <v>5.4950000000000001E-5</v>
      </c>
      <c r="H1422" s="25">
        <v>7.4530000000000006E-5</v>
      </c>
      <c r="I1422" s="9">
        <v>1.0738000000000001E-4</v>
      </c>
      <c r="J1422" s="9">
        <v>9.3859999999999999E-5</v>
      </c>
      <c r="K1422" s="9">
        <v>3.6875999999999999E-4</v>
      </c>
      <c r="L1422" s="9">
        <v>5.8029999999999998E-5</v>
      </c>
      <c r="M1422" s="9">
        <v>6.4140000000000006E-5</v>
      </c>
      <c r="N1422" s="9">
        <v>7.2169999999999995E-5</v>
      </c>
      <c r="O1422" s="9">
        <v>1.8919999999999998E-5</v>
      </c>
      <c r="P1422" s="9">
        <v>3.7780000000000001E-5</v>
      </c>
      <c r="Q1422" s="9">
        <v>5.6230000000000002E-5</v>
      </c>
      <c r="R1422" s="10">
        <v>2.1244902007172819E-4</v>
      </c>
      <c r="S1422" s="10">
        <v>1.8834287351949432E-4</v>
      </c>
      <c r="T1422" s="10">
        <v>0</v>
      </c>
      <c r="U1422" s="10">
        <v>1.8406E-4</v>
      </c>
      <c r="V1422" s="25"/>
      <c r="W1422" s="25"/>
      <c r="X1422" s="25"/>
      <c r="Y1422" s="25"/>
      <c r="Z1422" s="25"/>
      <c r="AA1422" s="25"/>
    </row>
    <row r="1423" spans="1:27" x14ac:dyDescent="0.35">
      <c r="A1423" s="5">
        <v>1419</v>
      </c>
      <c r="B1423" s="5">
        <v>60</v>
      </c>
      <c r="C1423" s="5">
        <v>3</v>
      </c>
      <c r="D1423" s="25">
        <v>1.1416E-4</v>
      </c>
      <c r="E1423" s="25">
        <v>1.0995E-4</v>
      </c>
      <c r="F1423" s="25">
        <v>1.1971E-4</v>
      </c>
      <c r="G1423" s="25">
        <v>5.9330000000000003E-5</v>
      </c>
      <c r="H1423" s="25">
        <v>6.321E-5</v>
      </c>
      <c r="I1423" s="9">
        <v>1.0351E-4</v>
      </c>
      <c r="J1423" s="9">
        <v>9.2940000000000001E-5</v>
      </c>
      <c r="K1423" s="9">
        <v>3.7512E-4</v>
      </c>
      <c r="L1423" s="9">
        <v>2.7719999999999999E-5</v>
      </c>
      <c r="M1423" s="9">
        <v>5.2410000000000001E-5</v>
      </c>
      <c r="N1423" s="9">
        <v>6.5610000000000004E-5</v>
      </c>
      <c r="O1423" s="9">
        <v>1.342E-5</v>
      </c>
      <c r="P1423" s="9">
        <v>3.773E-5</v>
      </c>
      <c r="Q1423" s="9">
        <v>6.1500000000000004E-5</v>
      </c>
      <c r="R1423" s="10">
        <v>2.1244936787709023E-4</v>
      </c>
      <c r="S1423" s="10">
        <v>1.8664506778876946E-4</v>
      </c>
      <c r="T1423" s="10">
        <v>0</v>
      </c>
      <c r="U1423" s="10">
        <v>1.8406E-4</v>
      </c>
      <c r="V1423" s="25"/>
      <c r="W1423" s="25"/>
      <c r="X1423" s="25"/>
      <c r="Y1423" s="25"/>
      <c r="Z1423" s="25"/>
      <c r="AA1423" s="25"/>
    </row>
    <row r="1424" spans="1:27" x14ac:dyDescent="0.35">
      <c r="A1424" s="5">
        <v>1420</v>
      </c>
      <c r="B1424" s="5">
        <v>60</v>
      </c>
      <c r="C1424" s="5">
        <v>3</v>
      </c>
      <c r="D1424" s="25">
        <v>1.1415000000000001E-4</v>
      </c>
      <c r="E1424" s="25">
        <v>1.0846E-4</v>
      </c>
      <c r="F1424" s="25">
        <v>1.2737999999999999E-4</v>
      </c>
      <c r="G1424" s="25">
        <v>6.1140000000000001E-5</v>
      </c>
      <c r="H1424" s="25">
        <v>6.5710000000000006E-5</v>
      </c>
      <c r="I1424" s="9">
        <v>1.0228E-4</v>
      </c>
      <c r="J1424" s="9">
        <v>9.289E-5</v>
      </c>
      <c r="K1424" s="9">
        <v>3.7300000000000001E-4</v>
      </c>
      <c r="L1424" s="9">
        <v>1.732E-5</v>
      </c>
      <c r="M1424" s="9">
        <v>4.4310000000000001E-5</v>
      </c>
      <c r="N1424" s="9">
        <v>6.2020000000000006E-5</v>
      </c>
      <c r="O1424" s="9">
        <v>1.3519999999999999E-5</v>
      </c>
      <c r="P1424" s="9">
        <v>4.7519999999999999E-5</v>
      </c>
      <c r="Q1424" s="9">
        <v>8.0820000000000002E-5</v>
      </c>
      <c r="R1424" s="10">
        <v>2.1244936787709023E-4</v>
      </c>
      <c r="S1424" s="10">
        <v>1.8785784536167548E-4</v>
      </c>
      <c r="T1424" s="10">
        <v>0</v>
      </c>
      <c r="U1424" s="10">
        <v>1.8406E-4</v>
      </c>
      <c r="V1424" s="25"/>
      <c r="W1424" s="25"/>
      <c r="X1424" s="25"/>
      <c r="Y1424" s="25"/>
      <c r="Z1424" s="25"/>
      <c r="AA1424" s="25"/>
    </row>
    <row r="1425" spans="1:27" x14ac:dyDescent="0.35">
      <c r="A1425" s="5">
        <v>1421</v>
      </c>
      <c r="B1425" s="5">
        <v>60</v>
      </c>
      <c r="C1425" s="5">
        <v>3</v>
      </c>
      <c r="D1425" s="25">
        <v>1.1416E-4</v>
      </c>
      <c r="E1425" s="25">
        <v>1.0559E-4</v>
      </c>
      <c r="F1425" s="25">
        <v>1.1163999999999999E-4</v>
      </c>
      <c r="G1425" s="25">
        <v>6.3509999999999993E-5</v>
      </c>
      <c r="H1425" s="25">
        <v>6.8100000000000002E-5</v>
      </c>
      <c r="I1425" s="9">
        <v>1.0331999999999999E-4</v>
      </c>
      <c r="J1425" s="9">
        <v>9.3930000000000004E-5</v>
      </c>
      <c r="K1425" s="9">
        <v>3.6875999999999999E-4</v>
      </c>
      <c r="L1425" s="9">
        <v>1.4600000000000001E-5</v>
      </c>
      <c r="M1425" s="9">
        <v>4.3640000000000002E-5</v>
      </c>
      <c r="N1425" s="9">
        <v>6.4659999999999994E-5</v>
      </c>
      <c r="O1425" s="9">
        <v>1.906E-5</v>
      </c>
      <c r="P1425" s="9">
        <v>5.7099999999999999E-5</v>
      </c>
      <c r="Q1425" s="9">
        <v>9.4409999999999999E-5</v>
      </c>
      <c r="R1425" s="10">
        <v>2.1244936787709023E-4</v>
      </c>
      <c r="S1425" s="10">
        <v>1.8985938608104483E-4</v>
      </c>
      <c r="T1425" s="10">
        <v>0</v>
      </c>
      <c r="U1425" s="10">
        <v>1.8406E-4</v>
      </c>
      <c r="V1425" s="25"/>
      <c r="W1425" s="25"/>
      <c r="X1425" s="25"/>
      <c r="Y1425" s="25"/>
      <c r="Z1425" s="25"/>
      <c r="AA1425" s="25"/>
    </row>
    <row r="1426" spans="1:27" x14ac:dyDescent="0.35">
      <c r="A1426" s="5">
        <v>1422</v>
      </c>
      <c r="B1426" s="5">
        <v>60</v>
      </c>
      <c r="C1426" s="5">
        <v>3</v>
      </c>
      <c r="D1426" s="25">
        <v>1.1415000000000001E-4</v>
      </c>
      <c r="E1426" s="25">
        <v>1.081E-4</v>
      </c>
      <c r="F1426" s="25">
        <v>1.1937E-4</v>
      </c>
      <c r="G1426" s="25">
        <v>1.0473E-4</v>
      </c>
      <c r="H1426" s="25">
        <v>1.3499000000000001E-4</v>
      </c>
      <c r="I1426" s="9">
        <v>1.1005000000000001E-4</v>
      </c>
      <c r="J1426" s="9">
        <v>9.8529999999999993E-5</v>
      </c>
      <c r="K1426" s="9">
        <v>3.6452000000000001E-4</v>
      </c>
      <c r="L1426" s="9">
        <v>1.7940000000000001E-5</v>
      </c>
      <c r="M1426" s="9">
        <v>4.867E-5</v>
      </c>
      <c r="N1426" s="9">
        <v>7.1340000000000005E-5</v>
      </c>
      <c r="O1426" s="9">
        <v>4.6079999999999999E-5</v>
      </c>
      <c r="P1426" s="9">
        <v>7.6500000000000003E-5</v>
      </c>
      <c r="Q1426" s="9">
        <v>1.0652E-4</v>
      </c>
      <c r="R1426" s="10">
        <v>2.1244936787709023E-4</v>
      </c>
      <c r="S1426" s="10">
        <v>1.9027511584451481E-4</v>
      </c>
      <c r="T1426" s="10">
        <v>0</v>
      </c>
      <c r="U1426" s="10">
        <v>1.8406E-4</v>
      </c>
      <c r="V1426" s="25"/>
      <c r="W1426" s="25"/>
      <c r="X1426" s="25"/>
      <c r="Y1426" s="25"/>
      <c r="Z1426" s="25"/>
      <c r="AA1426" s="25"/>
    </row>
    <row r="1427" spans="1:27" x14ac:dyDescent="0.35">
      <c r="A1427" s="5">
        <v>1423</v>
      </c>
      <c r="B1427" s="5">
        <v>60</v>
      </c>
      <c r="C1427" s="5">
        <v>3</v>
      </c>
      <c r="D1427" s="25">
        <v>1.1416E-4</v>
      </c>
      <c r="E1427" s="25">
        <v>1.0861000000000001E-4</v>
      </c>
      <c r="F1427" s="25">
        <v>1.3095000000000001E-4</v>
      </c>
      <c r="G1427" s="25">
        <v>1.0412999999999999E-4</v>
      </c>
      <c r="H1427" s="25">
        <v>1.3326000000000001E-4</v>
      </c>
      <c r="I1427" s="9">
        <v>1.2563E-4</v>
      </c>
      <c r="J1427" s="9">
        <v>1.1103999999999999E-4</v>
      </c>
      <c r="K1427" s="9">
        <v>3.6240000000000003E-4</v>
      </c>
      <c r="L1427" s="9">
        <v>3.9749999999999997E-5</v>
      </c>
      <c r="M1427" s="9">
        <v>6.0109999999999999E-5</v>
      </c>
      <c r="N1427" s="9">
        <v>8.0890000000000006E-5</v>
      </c>
      <c r="O1427" s="9">
        <v>1.2290000000000001E-4</v>
      </c>
      <c r="P1427" s="9">
        <v>1.172E-4</v>
      </c>
      <c r="Q1427" s="9">
        <v>1.1226999999999999E-4</v>
      </c>
      <c r="R1427" s="10">
        <v>2.1244929847991339E-4</v>
      </c>
      <c r="S1427" s="10">
        <v>1.9029020759484994E-4</v>
      </c>
      <c r="T1427" s="10">
        <v>0</v>
      </c>
      <c r="U1427" s="10">
        <v>1.8406E-4</v>
      </c>
      <c r="V1427" s="25"/>
      <c r="W1427" s="25"/>
      <c r="X1427" s="25"/>
      <c r="Y1427" s="25"/>
      <c r="Z1427" s="25"/>
      <c r="AA1427" s="25"/>
    </row>
    <row r="1428" spans="1:27" x14ac:dyDescent="0.35">
      <c r="A1428" s="5">
        <v>1424</v>
      </c>
      <c r="B1428" s="5">
        <v>60</v>
      </c>
      <c r="C1428" s="5">
        <v>3</v>
      </c>
      <c r="D1428" s="25">
        <v>1.1415000000000001E-4</v>
      </c>
      <c r="E1428" s="25">
        <v>1.1394E-4</v>
      </c>
      <c r="F1428" s="25">
        <v>1.3140999999999999E-4</v>
      </c>
      <c r="G1428" s="25">
        <v>1.6360999999999999E-4</v>
      </c>
      <c r="H1428" s="25">
        <v>1.9379999999999999E-4</v>
      </c>
      <c r="I1428" s="9">
        <v>1.3463E-4</v>
      </c>
      <c r="J1428" s="9">
        <v>1.2684E-4</v>
      </c>
      <c r="K1428" s="9">
        <v>3.5816E-4</v>
      </c>
      <c r="L1428" s="9">
        <v>1.0399999999999999E-4</v>
      </c>
      <c r="M1428" s="9">
        <v>8.3599999999999999E-5</v>
      </c>
      <c r="N1428" s="9">
        <v>9.0909999999999995E-5</v>
      </c>
      <c r="O1428" s="9">
        <v>2.2053E-4</v>
      </c>
      <c r="P1428" s="9">
        <v>1.7796000000000001E-4</v>
      </c>
      <c r="Q1428" s="9">
        <v>1.3747E-4</v>
      </c>
      <c r="R1428" s="10">
        <v>2.1244927851137485E-4</v>
      </c>
      <c r="S1428" s="10">
        <v>1.9029020759484994E-4</v>
      </c>
      <c r="T1428" s="10">
        <v>9.2029195050995872E-5</v>
      </c>
      <c r="U1428" s="10">
        <v>1.8406E-4</v>
      </c>
      <c r="V1428" s="25"/>
      <c r="W1428" s="25"/>
      <c r="X1428" s="25"/>
      <c r="Y1428" s="25"/>
      <c r="Z1428" s="25"/>
      <c r="AA1428" s="25"/>
    </row>
    <row r="1429" spans="1:27" x14ac:dyDescent="0.35">
      <c r="A1429" s="5">
        <v>1425</v>
      </c>
      <c r="B1429" s="5">
        <v>60</v>
      </c>
      <c r="C1429" s="5">
        <v>3</v>
      </c>
      <c r="D1429" s="25">
        <v>1.1416E-4</v>
      </c>
      <c r="E1429" s="25">
        <v>1.1090999999999999E-4</v>
      </c>
      <c r="F1429" s="25">
        <v>1.1853000000000001E-4</v>
      </c>
      <c r="G1429" s="25">
        <v>1.617E-4</v>
      </c>
      <c r="H1429" s="25">
        <v>1.8820999999999999E-4</v>
      </c>
      <c r="I1429" s="9">
        <v>1.3671000000000001E-4</v>
      </c>
      <c r="J1429" s="9">
        <v>1.3632E-4</v>
      </c>
      <c r="K1429" s="9">
        <v>3.6875999999999999E-4</v>
      </c>
      <c r="L1429" s="9">
        <v>1.9312999999999999E-4</v>
      </c>
      <c r="M1429" s="9">
        <v>1.2365E-4</v>
      </c>
      <c r="N1429" s="9">
        <v>1.0478E-4</v>
      </c>
      <c r="O1429" s="9">
        <v>2.1158E-4</v>
      </c>
      <c r="P1429" s="9">
        <v>1.9364999999999999E-4</v>
      </c>
      <c r="Q1429" s="9">
        <v>1.7735E-4</v>
      </c>
      <c r="R1429" s="10">
        <v>2.1244905699012467E-4</v>
      </c>
      <c r="S1429" s="10">
        <v>1.9029020759484994E-4</v>
      </c>
      <c r="T1429" s="10">
        <v>1.1528465956973652E-4</v>
      </c>
      <c r="U1429" s="10">
        <v>1.8406E-4</v>
      </c>
      <c r="V1429" s="25"/>
      <c r="W1429" s="25"/>
      <c r="X1429" s="25"/>
      <c r="Y1429" s="25"/>
      <c r="Z1429" s="25"/>
      <c r="AA1429" s="25"/>
    </row>
    <row r="1430" spans="1:27" x14ac:dyDescent="0.35">
      <c r="A1430" s="5">
        <v>1426</v>
      </c>
      <c r="B1430" s="5">
        <v>60</v>
      </c>
      <c r="C1430" s="5">
        <v>3</v>
      </c>
      <c r="D1430" s="25">
        <v>1.1415000000000001E-4</v>
      </c>
      <c r="E1430" s="25">
        <v>1.106E-4</v>
      </c>
      <c r="F1430" s="25">
        <v>1.316E-4</v>
      </c>
      <c r="G1430" s="25">
        <v>1.6679999999999999E-4</v>
      </c>
      <c r="H1430" s="25">
        <v>1.9515E-4</v>
      </c>
      <c r="I1430" s="9">
        <v>1.3866E-4</v>
      </c>
      <c r="J1430" s="9">
        <v>1.3792000000000001E-4</v>
      </c>
      <c r="K1430" s="9">
        <v>3.6664E-4</v>
      </c>
      <c r="L1430" s="9">
        <v>2.0518000000000001E-4</v>
      </c>
      <c r="M1430" s="9">
        <v>1.5902000000000001E-4</v>
      </c>
      <c r="N1430" s="9">
        <v>1.2485E-4</v>
      </c>
      <c r="O1430" s="9">
        <v>1.6590999999999999E-4</v>
      </c>
      <c r="P1430" s="9">
        <v>1.7296999999999999E-4</v>
      </c>
      <c r="Q1430" s="9">
        <v>1.8092E-4</v>
      </c>
      <c r="R1430" s="10">
        <v>2.1244535368519129E-4</v>
      </c>
      <c r="S1430" s="10">
        <v>1.9029020759484994E-4</v>
      </c>
      <c r="T1430" s="10">
        <v>3.1561593582530163E-4</v>
      </c>
      <c r="U1430" s="10">
        <v>1.8406E-4</v>
      </c>
      <c r="V1430" s="25"/>
      <c r="W1430" s="25"/>
      <c r="X1430" s="25"/>
      <c r="Y1430" s="25"/>
      <c r="Z1430" s="25"/>
      <c r="AA1430" s="25"/>
    </row>
    <row r="1431" spans="1:27" x14ac:dyDescent="0.35">
      <c r="A1431" s="5">
        <v>1427</v>
      </c>
      <c r="B1431" s="5">
        <v>60</v>
      </c>
      <c r="C1431" s="5">
        <v>3</v>
      </c>
      <c r="D1431" s="25">
        <v>1.1416E-4</v>
      </c>
      <c r="E1431" s="25">
        <v>1.1413000000000001E-4</v>
      </c>
      <c r="F1431" s="25">
        <v>1.2700999999999999E-4</v>
      </c>
      <c r="G1431" s="25">
        <v>1.5687000000000001E-4</v>
      </c>
      <c r="H1431" s="25">
        <v>1.8971E-4</v>
      </c>
      <c r="I1431" s="9">
        <v>1.3799E-4</v>
      </c>
      <c r="J1431" s="9">
        <v>1.3537999999999999E-4</v>
      </c>
      <c r="K1431" s="9">
        <v>3.6240000000000003E-4</v>
      </c>
      <c r="L1431" s="9">
        <v>1.7463E-4</v>
      </c>
      <c r="M1431" s="9">
        <v>1.7223E-4</v>
      </c>
      <c r="N1431" s="9">
        <v>1.4262000000000001E-4</v>
      </c>
      <c r="O1431" s="9">
        <v>1.6788999999999999E-4</v>
      </c>
      <c r="P1431" s="9">
        <v>1.7368E-4</v>
      </c>
      <c r="Q1431" s="9">
        <v>1.8039E-4</v>
      </c>
      <c r="R1431" s="10">
        <v>2.124379473780409E-4</v>
      </c>
      <c r="S1431" s="10">
        <v>1.9029020759484994E-4</v>
      </c>
      <c r="T1431" s="10">
        <v>3.8412665307770242E-4</v>
      </c>
      <c r="U1431" s="10">
        <v>1.8406E-4</v>
      </c>
      <c r="V1431" s="25"/>
      <c r="W1431" s="25"/>
      <c r="X1431" s="25"/>
      <c r="Y1431" s="25"/>
      <c r="Z1431" s="25"/>
      <c r="AA1431" s="25"/>
    </row>
    <row r="1432" spans="1:27" x14ac:dyDescent="0.35">
      <c r="A1432" s="5">
        <v>1428</v>
      </c>
      <c r="B1432" s="5">
        <v>60</v>
      </c>
      <c r="C1432" s="5">
        <v>3</v>
      </c>
      <c r="D1432" s="25">
        <v>1.1415000000000001E-4</v>
      </c>
      <c r="E1432" s="25">
        <v>1.1344E-4</v>
      </c>
      <c r="F1432" s="25">
        <v>1.1176E-4</v>
      </c>
      <c r="G1432" s="25">
        <v>1.6393000000000001E-4</v>
      </c>
      <c r="H1432" s="25">
        <v>1.9121000000000001E-4</v>
      </c>
      <c r="I1432" s="9">
        <v>1.3815E-4</v>
      </c>
      <c r="J1432" s="9">
        <v>1.3397999999999999E-4</v>
      </c>
      <c r="K1432" s="9">
        <v>3.4757000000000001E-4</v>
      </c>
      <c r="L1432" s="9">
        <v>1.7082999999999999E-4</v>
      </c>
      <c r="M1432" s="9">
        <v>1.7492000000000001E-4</v>
      </c>
      <c r="N1432" s="9">
        <v>1.5688E-4</v>
      </c>
      <c r="O1432" s="9">
        <v>1.6894999999999999E-4</v>
      </c>
      <c r="P1432" s="9">
        <v>1.706E-4</v>
      </c>
      <c r="Q1432" s="9">
        <v>1.7326E-4</v>
      </c>
      <c r="R1432" s="10">
        <v>2.1221337360821489E-4</v>
      </c>
      <c r="S1432" s="10">
        <v>1.9029020759484994E-4</v>
      </c>
      <c r="T1432" s="10">
        <v>1.3673296832689681E-4</v>
      </c>
      <c r="U1432" s="10">
        <v>1.8406E-4</v>
      </c>
      <c r="V1432" s="25"/>
      <c r="W1432" s="25"/>
      <c r="X1432" s="25"/>
      <c r="Y1432" s="25"/>
      <c r="Z1432" s="25"/>
      <c r="AA1432" s="25"/>
    </row>
    <row r="1433" spans="1:27" x14ac:dyDescent="0.35">
      <c r="A1433" s="5">
        <v>1429</v>
      </c>
      <c r="B1433" s="5">
        <v>60</v>
      </c>
      <c r="C1433" s="5">
        <v>3</v>
      </c>
      <c r="D1433" s="25">
        <v>1.1416E-4</v>
      </c>
      <c r="E1433" s="25">
        <v>1.1127E-4</v>
      </c>
      <c r="F1433" s="25">
        <v>1.1836E-4</v>
      </c>
      <c r="G1433" s="25">
        <v>1.6096E-4</v>
      </c>
      <c r="H1433" s="25">
        <v>1.8995000000000001E-4</v>
      </c>
      <c r="I1433" s="9">
        <v>1.3463E-4</v>
      </c>
      <c r="J1433" s="9">
        <v>1.3208999999999999E-4</v>
      </c>
      <c r="K1433" s="9">
        <v>3.2214E-4</v>
      </c>
      <c r="L1433" s="9">
        <v>1.6949000000000001E-4</v>
      </c>
      <c r="M1433" s="9">
        <v>1.7359999999999999E-4</v>
      </c>
      <c r="N1433" s="9">
        <v>1.6611999999999999E-4</v>
      </c>
      <c r="O1433" s="9">
        <v>1.6301E-4</v>
      </c>
      <c r="P1433" s="9">
        <v>1.6550000000000001E-4</v>
      </c>
      <c r="Q1433" s="9">
        <v>1.6893E-4</v>
      </c>
      <c r="R1433" s="10">
        <v>2.1239424747231608E-4</v>
      </c>
      <c r="S1433" s="10">
        <v>1.9029020759484994E-4</v>
      </c>
      <c r="T1433" s="10">
        <v>0</v>
      </c>
      <c r="U1433" s="10">
        <v>1.8406E-4</v>
      </c>
      <c r="V1433" s="25"/>
      <c r="W1433" s="25"/>
      <c r="X1433" s="25"/>
      <c r="Y1433" s="25"/>
      <c r="Z1433" s="25"/>
      <c r="AA1433" s="25"/>
    </row>
    <row r="1434" spans="1:27" x14ac:dyDescent="0.35">
      <c r="A1434" s="5">
        <v>1430</v>
      </c>
      <c r="B1434" s="5">
        <v>60</v>
      </c>
      <c r="C1434" s="5">
        <v>3</v>
      </c>
      <c r="D1434" s="25">
        <v>1.1415000000000001E-4</v>
      </c>
      <c r="E1434" s="25">
        <v>1.1365E-4</v>
      </c>
      <c r="F1434" s="25">
        <v>1.2715E-4</v>
      </c>
      <c r="G1434" s="25">
        <v>1.5951999999999999E-4</v>
      </c>
      <c r="H1434" s="25">
        <v>1.9762999999999999E-4</v>
      </c>
      <c r="I1434" s="9">
        <v>1.3443999999999999E-4</v>
      </c>
      <c r="J1434" s="9">
        <v>1.3187E-4</v>
      </c>
      <c r="K1434" s="9">
        <v>3.0729999999999999E-4</v>
      </c>
      <c r="L1434" s="9">
        <v>1.6420000000000001E-4</v>
      </c>
      <c r="M1434" s="9">
        <v>1.7030999999999999E-4</v>
      </c>
      <c r="N1434" s="9">
        <v>1.7074000000000001E-4</v>
      </c>
      <c r="O1434" s="9">
        <v>1.7877999999999999E-4</v>
      </c>
      <c r="P1434" s="9">
        <v>1.6948000000000001E-4</v>
      </c>
      <c r="Q1434" s="9">
        <v>1.6142000000000001E-4</v>
      </c>
      <c r="R1434" s="10">
        <v>2.1215819342617389E-4</v>
      </c>
      <c r="S1434" s="10">
        <v>1.9029018550014096E-4</v>
      </c>
      <c r="T1434" s="10">
        <v>4.3303863883127402E-4</v>
      </c>
      <c r="U1434" s="10">
        <v>1.8406E-4</v>
      </c>
      <c r="V1434" s="25"/>
      <c r="W1434" s="25"/>
      <c r="X1434" s="25"/>
      <c r="Y1434" s="25"/>
      <c r="Z1434" s="25"/>
      <c r="AA1434" s="25"/>
    </row>
    <row r="1435" spans="1:27" x14ac:dyDescent="0.35">
      <c r="A1435" s="5">
        <v>1431</v>
      </c>
      <c r="B1435" s="5">
        <v>60</v>
      </c>
      <c r="C1435" s="5">
        <v>3</v>
      </c>
      <c r="D1435" s="25">
        <v>1.1416E-4</v>
      </c>
      <c r="E1435" s="25">
        <v>1.1539E-4</v>
      </c>
      <c r="F1435" s="25">
        <v>1.1929E-4</v>
      </c>
      <c r="G1435" s="25">
        <v>1.5746999999999999E-4</v>
      </c>
      <c r="H1435" s="25">
        <v>1.8818E-4</v>
      </c>
      <c r="I1435" s="9">
        <v>1.3255999999999999E-4</v>
      </c>
      <c r="J1435" s="9">
        <v>1.3070000000000001E-4</v>
      </c>
      <c r="K1435" s="9">
        <v>3.0941999999999998E-4</v>
      </c>
      <c r="L1435" s="9">
        <v>1.7571000000000001E-4</v>
      </c>
      <c r="M1435" s="9">
        <v>1.6906000000000001E-4</v>
      </c>
      <c r="N1435" s="9">
        <v>1.7037000000000001E-4</v>
      </c>
      <c r="O1435" s="9">
        <v>1.8239999999999999E-4</v>
      </c>
      <c r="P1435" s="9">
        <v>1.6640000000000001E-4</v>
      </c>
      <c r="Q1435" s="9">
        <v>1.5177999999999999E-4</v>
      </c>
      <c r="R1435" s="10">
        <v>2.1182626587871336E-4</v>
      </c>
      <c r="S1435" s="10">
        <v>1.9029019756847614E-4</v>
      </c>
      <c r="T1435" s="10">
        <v>3.4090763218807646E-4</v>
      </c>
      <c r="U1435" s="10">
        <v>1.8406E-4</v>
      </c>
      <c r="V1435" s="25"/>
      <c r="W1435" s="25"/>
      <c r="X1435" s="25"/>
      <c r="Y1435" s="25"/>
      <c r="Z1435" s="25"/>
      <c r="AA1435" s="25"/>
    </row>
    <row r="1436" spans="1:27" x14ac:dyDescent="0.35">
      <c r="A1436" s="5">
        <v>1432</v>
      </c>
      <c r="B1436" s="5">
        <v>60</v>
      </c>
      <c r="C1436" s="5">
        <v>3</v>
      </c>
      <c r="D1436" s="25">
        <v>1.1415000000000001E-4</v>
      </c>
      <c r="E1436" s="25">
        <v>1.1034E-4</v>
      </c>
      <c r="F1436" s="25">
        <v>1.2554999999999999E-4</v>
      </c>
      <c r="G1436" s="25">
        <v>1.6665000000000001E-4</v>
      </c>
      <c r="H1436" s="25">
        <v>1.9031000000000001E-4</v>
      </c>
      <c r="I1436" s="9">
        <v>1.3164000000000001E-4</v>
      </c>
      <c r="J1436" s="9">
        <v>1.3106000000000001E-4</v>
      </c>
      <c r="K1436" s="9">
        <v>3.1154000000000002E-4</v>
      </c>
      <c r="L1436" s="9">
        <v>1.8061999999999999E-4</v>
      </c>
      <c r="M1436" s="9">
        <v>1.6787E-4</v>
      </c>
      <c r="N1436" s="9">
        <v>1.6631E-4</v>
      </c>
      <c r="O1436" s="9">
        <v>1.9547E-4</v>
      </c>
      <c r="P1436" s="9">
        <v>1.5119999999999999E-4</v>
      </c>
      <c r="Q1436" s="9">
        <v>1.0886E-4</v>
      </c>
      <c r="R1436" s="10">
        <v>2.1144574242409469E-4</v>
      </c>
      <c r="S1436" s="10">
        <v>1.9028743046017003E-4</v>
      </c>
      <c r="T1436" s="10">
        <v>2.4395754351399794E-4</v>
      </c>
      <c r="U1436" s="10">
        <v>1.8406E-4</v>
      </c>
      <c r="V1436" s="25"/>
      <c r="W1436" s="25"/>
      <c r="X1436" s="25"/>
      <c r="Y1436" s="25"/>
      <c r="Z1436" s="25"/>
      <c r="AA1436" s="25"/>
    </row>
    <row r="1437" spans="1:27" x14ac:dyDescent="0.35">
      <c r="A1437" s="5">
        <v>1433</v>
      </c>
      <c r="B1437" s="5">
        <v>60</v>
      </c>
      <c r="C1437" s="5">
        <v>3</v>
      </c>
      <c r="D1437" s="25">
        <v>1.1416E-4</v>
      </c>
      <c r="E1437" s="25">
        <v>1.0607000000000001E-4</v>
      </c>
      <c r="F1437" s="25">
        <v>1.2816999999999999E-4</v>
      </c>
      <c r="G1437" s="25">
        <v>1.5881000000000001E-4</v>
      </c>
      <c r="H1437" s="25">
        <v>1.9243E-4</v>
      </c>
      <c r="I1437" s="9">
        <v>1.3043000000000001E-4</v>
      </c>
      <c r="J1437" s="9">
        <v>1.3358000000000001E-4</v>
      </c>
      <c r="K1437" s="9">
        <v>3.2213000000000001E-4</v>
      </c>
      <c r="L1437" s="9">
        <v>1.9201999999999999E-4</v>
      </c>
      <c r="M1437" s="9">
        <v>1.6164E-4</v>
      </c>
      <c r="N1437" s="9">
        <v>1.5233999999999999E-4</v>
      </c>
      <c r="O1437" s="9">
        <v>2.1405E-4</v>
      </c>
      <c r="P1437" s="9">
        <v>1.5957999999999999E-4</v>
      </c>
      <c r="Q1437" s="9">
        <v>1.0734E-4</v>
      </c>
      <c r="R1437" s="10">
        <v>2.1135842897317781E-4</v>
      </c>
      <c r="S1437" s="10">
        <v>1.9004628206867015E-4</v>
      </c>
      <c r="T1437" s="10">
        <v>1.6553716462063066E-4</v>
      </c>
      <c r="U1437" s="10">
        <v>1.8406E-4</v>
      </c>
      <c r="V1437" s="25"/>
      <c r="W1437" s="25"/>
      <c r="X1437" s="25"/>
      <c r="Y1437" s="25"/>
      <c r="Z1437" s="25"/>
      <c r="AA1437" s="25"/>
    </row>
    <row r="1438" spans="1:27" x14ac:dyDescent="0.35">
      <c r="A1438" s="5">
        <v>1434</v>
      </c>
      <c r="B1438" s="5">
        <v>60</v>
      </c>
      <c r="C1438" s="5">
        <v>3</v>
      </c>
      <c r="D1438" s="25">
        <v>1.1415000000000001E-4</v>
      </c>
      <c r="E1438" s="25">
        <v>1.1595E-4</v>
      </c>
      <c r="F1438" s="25">
        <v>1.1981000000000001E-4</v>
      </c>
      <c r="G1438" s="25">
        <v>1.6386999999999999E-4</v>
      </c>
      <c r="H1438" s="25">
        <v>1.9204000000000001E-4</v>
      </c>
      <c r="I1438" s="9">
        <v>1.3226000000000001E-4</v>
      </c>
      <c r="J1438" s="9">
        <v>1.3706999999999999E-4</v>
      </c>
      <c r="K1438" s="9">
        <v>3.3062E-4</v>
      </c>
      <c r="L1438" s="9">
        <v>2.0897E-4</v>
      </c>
      <c r="M1438" s="9">
        <v>1.5919E-4</v>
      </c>
      <c r="N1438" s="9">
        <v>1.3903E-4</v>
      </c>
      <c r="O1438" s="9">
        <v>2.0369999999999999E-4</v>
      </c>
      <c r="P1438" s="9">
        <v>1.5929E-4</v>
      </c>
      <c r="Q1438" s="9">
        <v>1.1687E-4</v>
      </c>
      <c r="R1438" s="10">
        <v>2.1007239205753908E-4</v>
      </c>
      <c r="S1438" s="10">
        <v>1.8927810887604693E-4</v>
      </c>
      <c r="T1438" s="10">
        <v>0</v>
      </c>
      <c r="U1438" s="10">
        <v>1.8406E-4</v>
      </c>
      <c r="V1438" s="25"/>
      <c r="W1438" s="25"/>
      <c r="X1438" s="25"/>
      <c r="Y1438" s="25"/>
      <c r="Z1438" s="25"/>
      <c r="AA1438" s="25"/>
    </row>
    <row r="1439" spans="1:27" x14ac:dyDescent="0.35">
      <c r="A1439" s="5">
        <v>1435</v>
      </c>
      <c r="B1439" s="5">
        <v>60</v>
      </c>
      <c r="C1439" s="5">
        <v>3</v>
      </c>
      <c r="D1439" s="25">
        <v>1.1416E-4</v>
      </c>
      <c r="E1439" s="25">
        <v>1.1094000000000001E-4</v>
      </c>
      <c r="F1439" s="25">
        <v>1.3203999999999999E-4</v>
      </c>
      <c r="G1439" s="25">
        <v>1.1121E-4</v>
      </c>
      <c r="H1439" s="25">
        <v>1.3250999999999999E-4</v>
      </c>
      <c r="I1439" s="9">
        <v>1.4092999999999999E-4</v>
      </c>
      <c r="J1439" s="9">
        <v>1.3991000000000001E-4</v>
      </c>
      <c r="K1439" s="9">
        <v>3.3697000000000002E-4</v>
      </c>
      <c r="L1439" s="9">
        <v>2.0441E-4</v>
      </c>
      <c r="M1439" s="9">
        <v>1.5878999999999999E-4</v>
      </c>
      <c r="N1439" s="9">
        <v>1.2972999999999999E-4</v>
      </c>
      <c r="O1439" s="9">
        <v>1.6522999999999999E-4</v>
      </c>
      <c r="P1439" s="9">
        <v>1.3575999999999999E-4</v>
      </c>
      <c r="Q1439" s="9">
        <v>1.0776E-4</v>
      </c>
      <c r="R1439" s="10">
        <v>1.9968988414012425E-4</v>
      </c>
      <c r="S1439" s="10">
        <v>1.885188689794621E-4</v>
      </c>
      <c r="T1439" s="10">
        <v>0</v>
      </c>
      <c r="U1439" s="10">
        <v>1.8406E-4</v>
      </c>
      <c r="V1439" s="25"/>
      <c r="W1439" s="25"/>
      <c r="X1439" s="25"/>
      <c r="Y1439" s="25"/>
      <c r="Z1439" s="25"/>
      <c r="AA1439" s="25"/>
    </row>
    <row r="1440" spans="1:27" x14ac:dyDescent="0.35">
      <c r="A1440" s="5">
        <v>1436</v>
      </c>
      <c r="B1440" s="5">
        <v>60</v>
      </c>
      <c r="C1440" s="5">
        <v>3</v>
      </c>
      <c r="D1440" s="25">
        <v>1.1415000000000001E-4</v>
      </c>
      <c r="E1440" s="25">
        <v>1.1343E-4</v>
      </c>
      <c r="F1440" s="25">
        <v>1.1792E-4</v>
      </c>
      <c r="G1440" s="25">
        <v>1.088E-4</v>
      </c>
      <c r="H1440" s="25">
        <v>1.2630000000000001E-4</v>
      </c>
      <c r="I1440" s="9">
        <v>1.4265E-4</v>
      </c>
      <c r="J1440" s="9">
        <v>1.4168000000000001E-4</v>
      </c>
      <c r="K1440" s="9">
        <v>3.3484999999999998E-4</v>
      </c>
      <c r="L1440" s="9">
        <v>1.7404000000000001E-4</v>
      </c>
      <c r="M1440" s="9">
        <v>1.5054000000000001E-4</v>
      </c>
      <c r="N1440" s="9">
        <v>1.2076E-4</v>
      </c>
      <c r="O1440" s="9">
        <v>1.2783E-4</v>
      </c>
      <c r="P1440" s="9">
        <v>1.1403E-4</v>
      </c>
      <c r="Q1440" s="9">
        <v>1.0115000000000001E-4</v>
      </c>
      <c r="R1440" s="10">
        <v>1.9488339555055113E-4</v>
      </c>
      <c r="S1440" s="10">
        <v>1.8944713401334437E-4</v>
      </c>
      <c r="T1440" s="10">
        <v>0</v>
      </c>
      <c r="U1440" s="10">
        <v>1.8406E-4</v>
      </c>
      <c r="V1440" s="25"/>
      <c r="W1440" s="25"/>
      <c r="X1440" s="25"/>
      <c r="Y1440" s="25"/>
      <c r="Z1440" s="25"/>
      <c r="AA1440" s="25"/>
    </row>
    <row r="1441" spans="1:27" x14ac:dyDescent="0.35">
      <c r="A1441" s="5">
        <v>1437</v>
      </c>
      <c r="B1441" s="5">
        <v>60</v>
      </c>
      <c r="C1441" s="5">
        <v>3</v>
      </c>
      <c r="D1441" s="25">
        <v>1.1416E-4</v>
      </c>
      <c r="E1441" s="25">
        <v>1.0577999999999999E-4</v>
      </c>
      <c r="F1441" s="25">
        <v>1.2474E-4</v>
      </c>
      <c r="G1441" s="25">
        <v>6.321E-5</v>
      </c>
      <c r="H1441" s="25">
        <v>7.6110000000000001E-5</v>
      </c>
      <c r="I1441" s="9">
        <v>1.3583000000000001E-4</v>
      </c>
      <c r="J1441" s="9">
        <v>1.3609000000000001E-4</v>
      </c>
      <c r="K1441" s="9">
        <v>3.3272999999999999E-4</v>
      </c>
      <c r="L1441" s="9">
        <v>1.3896000000000001E-4</v>
      </c>
      <c r="M1441" s="9">
        <v>1.3507999999999999E-4</v>
      </c>
      <c r="N1441" s="9">
        <v>1.1296E-4</v>
      </c>
      <c r="O1441" s="9">
        <v>8.5379999999999999E-5</v>
      </c>
      <c r="P1441" s="9">
        <v>8.7029999999999999E-5</v>
      </c>
      <c r="Q1441" s="9">
        <v>8.9049999999999996E-5</v>
      </c>
      <c r="R1441" s="10">
        <v>2.0376091454961818E-4</v>
      </c>
      <c r="S1441" s="10">
        <v>1.9026733426990997E-4</v>
      </c>
      <c r="T1441" s="10">
        <v>0</v>
      </c>
      <c r="U1441" s="10">
        <v>1.8406E-4</v>
      </c>
      <c r="V1441" s="25"/>
      <c r="W1441" s="25"/>
      <c r="X1441" s="25"/>
      <c r="Y1441" s="25"/>
      <c r="Z1441" s="25"/>
      <c r="AA1441" s="25"/>
    </row>
    <row r="1442" spans="1:27" x14ac:dyDescent="0.35">
      <c r="A1442" s="5">
        <v>1438</v>
      </c>
      <c r="B1442" s="5">
        <v>60</v>
      </c>
      <c r="C1442" s="5">
        <v>3</v>
      </c>
      <c r="D1442" s="25">
        <v>1.1415000000000001E-4</v>
      </c>
      <c r="E1442" s="25">
        <v>1.1338E-4</v>
      </c>
      <c r="F1442" s="25">
        <v>1.2998999999999999E-4</v>
      </c>
      <c r="G1442" s="25">
        <v>5.6579999999999997E-5</v>
      </c>
      <c r="H1442" s="25">
        <v>7.5080000000000006E-5</v>
      </c>
      <c r="I1442" s="9">
        <v>1.2786000000000001E-4</v>
      </c>
      <c r="J1442" s="9">
        <v>1.284E-4</v>
      </c>
      <c r="K1442" s="9">
        <v>3.2849000000000002E-4</v>
      </c>
      <c r="L1442" s="9">
        <v>9.8099999999999999E-5</v>
      </c>
      <c r="M1442" s="9">
        <v>1.138E-4</v>
      </c>
      <c r="N1442" s="9">
        <v>1.0559E-4</v>
      </c>
      <c r="O1442" s="9">
        <v>8.7059999999999997E-5</v>
      </c>
      <c r="P1442" s="9">
        <v>8.7310000000000003E-5</v>
      </c>
      <c r="Q1442" s="9">
        <v>8.7960000000000005E-5</v>
      </c>
      <c r="R1442" s="10">
        <v>2.1009893371250917E-4</v>
      </c>
      <c r="S1442" s="10">
        <v>1.8846754499819731E-4</v>
      </c>
      <c r="T1442" s="10">
        <v>0</v>
      </c>
      <c r="U1442" s="10">
        <v>1.8406E-4</v>
      </c>
      <c r="V1442" s="25"/>
      <c r="W1442" s="25"/>
      <c r="X1442" s="25"/>
      <c r="Y1442" s="25"/>
      <c r="Z1442" s="25"/>
      <c r="AA1442" s="25"/>
    </row>
    <row r="1443" spans="1:27" x14ac:dyDescent="0.35">
      <c r="A1443" s="5">
        <v>1439</v>
      </c>
      <c r="B1443" s="5">
        <v>60</v>
      </c>
      <c r="C1443" s="5">
        <v>3</v>
      </c>
      <c r="D1443" s="25">
        <v>1.1416E-4</v>
      </c>
      <c r="E1443" s="25">
        <v>1.0654000000000001E-4</v>
      </c>
      <c r="F1443" s="25">
        <v>1.2855000000000001E-4</v>
      </c>
      <c r="G1443" s="25">
        <v>6.0779999999999997E-5</v>
      </c>
      <c r="H1443" s="25">
        <v>7.0959999999999998E-5</v>
      </c>
      <c r="I1443" s="9">
        <v>1.2935E-4</v>
      </c>
      <c r="J1443" s="9">
        <v>1.1848E-4</v>
      </c>
      <c r="K1443" s="9">
        <v>3.3272999999999999E-4</v>
      </c>
      <c r="L1443" s="9">
        <v>9.0409999999999997E-5</v>
      </c>
      <c r="M1443" s="9">
        <v>9.9049999999999995E-5</v>
      </c>
      <c r="N1443" s="9">
        <v>9.9759999999999994E-5</v>
      </c>
      <c r="O1443" s="9">
        <v>7.7890000000000001E-5</v>
      </c>
      <c r="P1443" s="9">
        <v>7.2219999999999996E-5</v>
      </c>
      <c r="Q1443" s="9">
        <v>6.6959999999999996E-5</v>
      </c>
      <c r="R1443" s="10">
        <v>2.1179646635861553E-4</v>
      </c>
      <c r="S1443" s="10">
        <v>1.6978511380891378E-4</v>
      </c>
      <c r="T1443" s="10">
        <v>0</v>
      </c>
      <c r="U1443" s="10">
        <v>1.8406E-4</v>
      </c>
      <c r="V1443" s="25"/>
      <c r="W1443" s="25"/>
      <c r="X1443" s="25"/>
      <c r="Y1443" s="25"/>
      <c r="Z1443" s="25"/>
      <c r="AA1443" s="25"/>
    </row>
    <row r="1444" spans="1:27" x14ac:dyDescent="0.35">
      <c r="A1444" s="5">
        <v>1440</v>
      </c>
      <c r="B1444" s="5">
        <v>60</v>
      </c>
      <c r="C1444" s="5">
        <v>3</v>
      </c>
      <c r="D1444" s="25">
        <v>1.1415000000000001E-4</v>
      </c>
      <c r="E1444" s="25">
        <v>1.1366000000000001E-4</v>
      </c>
      <c r="F1444" s="25">
        <v>1.1639E-4</v>
      </c>
      <c r="G1444" s="25">
        <v>5.9759999999999997E-5</v>
      </c>
      <c r="H1444" s="25">
        <v>6.6290000000000004E-5</v>
      </c>
      <c r="I1444" s="9">
        <v>1.2829000000000001E-4</v>
      </c>
      <c r="J1444" s="9">
        <v>1.1012E-4</v>
      </c>
      <c r="K1444" s="9">
        <v>3.3697000000000002E-4</v>
      </c>
      <c r="L1444" s="9">
        <v>8.064E-5</v>
      </c>
      <c r="M1444" s="9">
        <v>8.6139999999999999E-5</v>
      </c>
      <c r="N1444" s="9">
        <v>9.056E-5</v>
      </c>
      <c r="O1444" s="9">
        <v>6.3250000000000006E-5</v>
      </c>
      <c r="P1444" s="9">
        <v>6.1169999999999999E-5</v>
      </c>
      <c r="Q1444" s="9">
        <v>5.9349999999999999E-5</v>
      </c>
      <c r="R1444" s="10">
        <v>2.124194040557587E-4</v>
      </c>
      <c r="S1444" s="10">
        <v>1.5425261528405164E-4</v>
      </c>
      <c r="T1444" s="10">
        <v>0</v>
      </c>
      <c r="U1444" s="10">
        <v>1.8406E-4</v>
      </c>
      <c r="V1444" s="25"/>
      <c r="W1444" s="25"/>
      <c r="X1444" s="25"/>
      <c r="Y1444" s="25"/>
      <c r="Z1444" s="25"/>
      <c r="AA1444" s="25"/>
    </row>
    <row r="1445" spans="1:27" x14ac:dyDescent="0.35">
      <c r="A1445" s="5">
        <v>1441</v>
      </c>
      <c r="B1445" s="5">
        <v>61</v>
      </c>
      <c r="C1445" s="5">
        <v>3</v>
      </c>
      <c r="D1445" s="25">
        <v>1.1416E-4</v>
      </c>
      <c r="E1445" s="25">
        <v>1.0998E-4</v>
      </c>
      <c r="F1445" s="25">
        <v>1.0545E-4</v>
      </c>
      <c r="G1445" s="25">
        <v>5.931E-5</v>
      </c>
      <c r="H1445" s="25">
        <v>6.2689999999999998E-5</v>
      </c>
      <c r="I1445" s="9">
        <v>1.2274000000000001E-4</v>
      </c>
      <c r="J1445" s="9">
        <v>1.0185E-4</v>
      </c>
      <c r="K1445" s="9">
        <v>3.3697000000000002E-4</v>
      </c>
      <c r="L1445" s="9">
        <v>6.7080000000000001E-5</v>
      </c>
      <c r="M1445" s="9">
        <v>7.4179999999999998E-5</v>
      </c>
      <c r="N1445" s="9">
        <v>8.1260000000000005E-5</v>
      </c>
      <c r="O1445" s="9">
        <v>5.5080000000000001E-5</v>
      </c>
      <c r="P1445" s="9">
        <v>5.4490000000000002E-5</v>
      </c>
      <c r="Q1445" s="9">
        <v>5.4060000000000001E-5</v>
      </c>
      <c r="R1445" s="10">
        <v>2.1243197030508214E-4</v>
      </c>
      <c r="S1445" s="10">
        <v>1.3867091921062534E-4</v>
      </c>
      <c r="T1445" s="10">
        <v>0</v>
      </c>
      <c r="U1445" s="10">
        <v>1.8450000000000001E-4</v>
      </c>
      <c r="V1445" s="25"/>
      <c r="W1445" s="25"/>
      <c r="X1445" s="25"/>
      <c r="Y1445" s="25"/>
      <c r="Z1445" s="25"/>
      <c r="AA1445" s="25"/>
    </row>
    <row r="1446" spans="1:27" x14ac:dyDescent="0.35">
      <c r="A1446" s="5">
        <v>1442</v>
      </c>
      <c r="B1446" s="5">
        <v>61</v>
      </c>
      <c r="C1446" s="5">
        <v>3</v>
      </c>
      <c r="D1446" s="25">
        <v>1.1415000000000001E-4</v>
      </c>
      <c r="E1446" s="25">
        <v>1.0724E-4</v>
      </c>
      <c r="F1446" s="25">
        <v>1.0766E-4</v>
      </c>
      <c r="G1446" s="25">
        <v>6.0949999999999998E-5</v>
      </c>
      <c r="H1446" s="25">
        <v>7.1530000000000001E-5</v>
      </c>
      <c r="I1446" s="9">
        <v>1.1726999999999999E-4</v>
      </c>
      <c r="J1446" s="9">
        <v>9.7960000000000004E-5</v>
      </c>
      <c r="K1446" s="9">
        <v>3.3697000000000002E-4</v>
      </c>
      <c r="L1446" s="9">
        <v>5.808E-5</v>
      </c>
      <c r="M1446" s="9">
        <v>6.4259999999999998E-5</v>
      </c>
      <c r="N1446" s="9">
        <v>7.2310000000000004E-5</v>
      </c>
      <c r="O1446" s="9">
        <v>1.897E-5</v>
      </c>
      <c r="P1446" s="9">
        <v>3.7889999999999998E-5</v>
      </c>
      <c r="Q1446" s="9">
        <v>5.6390000000000001E-5</v>
      </c>
      <c r="R1446" s="10">
        <v>2.1244936787709023E-4</v>
      </c>
      <c r="S1446" s="10">
        <v>1.5456214665471551E-4</v>
      </c>
      <c r="T1446" s="10">
        <v>0</v>
      </c>
      <c r="U1446" s="10">
        <v>1.8450000000000001E-4</v>
      </c>
      <c r="V1446" s="25"/>
      <c r="W1446" s="25"/>
      <c r="X1446" s="25"/>
      <c r="Y1446" s="25"/>
      <c r="Z1446" s="25"/>
      <c r="AA1446" s="25"/>
    </row>
    <row r="1447" spans="1:27" x14ac:dyDescent="0.35">
      <c r="A1447" s="5">
        <v>1443</v>
      </c>
      <c r="B1447" s="5">
        <v>61</v>
      </c>
      <c r="C1447" s="5">
        <v>3</v>
      </c>
      <c r="D1447" s="25">
        <v>1.1416E-4</v>
      </c>
      <c r="E1447" s="25">
        <v>1.1385E-4</v>
      </c>
      <c r="F1447" s="25">
        <v>1.0632E-4</v>
      </c>
      <c r="G1447" s="25">
        <v>5.5899999999999997E-5</v>
      </c>
      <c r="H1447" s="25">
        <v>7.1669999999999997E-5</v>
      </c>
      <c r="I1447" s="9">
        <v>1.1279E-4</v>
      </c>
      <c r="J1447" s="9">
        <v>9.6360000000000006E-5</v>
      </c>
      <c r="K1447" s="9">
        <v>3.3697000000000002E-4</v>
      </c>
      <c r="L1447" s="9">
        <v>2.7780000000000002E-5</v>
      </c>
      <c r="M1447" s="9">
        <v>5.2509999999999997E-5</v>
      </c>
      <c r="N1447" s="9">
        <v>6.5759999999999994E-5</v>
      </c>
      <c r="O1447" s="9">
        <v>1.3370000000000001E-5</v>
      </c>
      <c r="P1447" s="9">
        <v>3.7589999999999998E-5</v>
      </c>
      <c r="Q1447" s="9">
        <v>6.1260000000000006E-5</v>
      </c>
      <c r="R1447" s="10">
        <v>2.1241906846579698E-4</v>
      </c>
      <c r="S1447" s="10">
        <v>1.7273150857109336E-4</v>
      </c>
      <c r="T1447" s="10">
        <v>0</v>
      </c>
      <c r="U1447" s="10">
        <v>1.8450000000000001E-4</v>
      </c>
      <c r="V1447" s="25"/>
      <c r="W1447" s="25"/>
      <c r="X1447" s="25"/>
      <c r="Y1447" s="25"/>
      <c r="Z1447" s="25"/>
      <c r="AA1447" s="25"/>
    </row>
    <row r="1448" spans="1:27" x14ac:dyDescent="0.35">
      <c r="A1448" s="5">
        <v>1444</v>
      </c>
      <c r="B1448" s="5">
        <v>61</v>
      </c>
      <c r="C1448" s="5">
        <v>3</v>
      </c>
      <c r="D1448" s="25">
        <v>1.1415000000000001E-4</v>
      </c>
      <c r="E1448" s="25">
        <v>1.0522E-4</v>
      </c>
      <c r="F1448" s="25">
        <v>1.037E-4</v>
      </c>
      <c r="G1448" s="25">
        <v>5.9849999999999998E-5</v>
      </c>
      <c r="H1448" s="25">
        <v>7.2390000000000003E-5</v>
      </c>
      <c r="I1448" s="9">
        <v>1.1069E-4</v>
      </c>
      <c r="J1448" s="9">
        <v>9.5950000000000001E-5</v>
      </c>
      <c r="K1448" s="9">
        <v>3.3484999999999998E-4</v>
      </c>
      <c r="L1448" s="9">
        <v>1.7289999999999999E-5</v>
      </c>
      <c r="M1448" s="9">
        <v>4.4320000000000003E-5</v>
      </c>
      <c r="N1448" s="9">
        <v>6.2080000000000002E-5</v>
      </c>
      <c r="O1448" s="9">
        <v>1.345E-5</v>
      </c>
      <c r="P1448" s="9">
        <v>4.7290000000000003E-5</v>
      </c>
      <c r="Q1448" s="9">
        <v>8.0430000000000001E-5</v>
      </c>
      <c r="R1448" s="10">
        <v>2.1186994664324727E-4</v>
      </c>
      <c r="S1448" s="10">
        <v>1.8656668626592331E-4</v>
      </c>
      <c r="T1448" s="10">
        <v>0</v>
      </c>
      <c r="U1448" s="10">
        <v>1.8450000000000001E-4</v>
      </c>
      <c r="V1448" s="25"/>
      <c r="W1448" s="25"/>
      <c r="X1448" s="25"/>
      <c r="Y1448" s="25"/>
      <c r="Z1448" s="25"/>
      <c r="AA1448" s="25"/>
    </row>
    <row r="1449" spans="1:27" x14ac:dyDescent="0.35">
      <c r="A1449" s="5">
        <v>1445</v>
      </c>
      <c r="B1449" s="5">
        <v>61</v>
      </c>
      <c r="C1449" s="5">
        <v>3</v>
      </c>
      <c r="D1449" s="25">
        <v>1.1416E-4</v>
      </c>
      <c r="E1449" s="25">
        <v>1.0716E-4</v>
      </c>
      <c r="F1449" s="25">
        <v>1.2082E-4</v>
      </c>
      <c r="G1449" s="25">
        <v>5.5600000000000003E-5</v>
      </c>
      <c r="H1449" s="25">
        <v>7.5820000000000003E-5</v>
      </c>
      <c r="I1449" s="9">
        <v>1.111E-4</v>
      </c>
      <c r="J1449" s="9">
        <v>9.6739999999999999E-5</v>
      </c>
      <c r="K1449" s="9">
        <v>3.3272999999999999E-4</v>
      </c>
      <c r="L1449" s="9">
        <v>1.455E-5</v>
      </c>
      <c r="M1449" s="9">
        <v>4.354E-5</v>
      </c>
      <c r="N1449" s="9">
        <v>6.4590000000000003E-5</v>
      </c>
      <c r="O1449" s="9">
        <v>1.8989999999999999E-5</v>
      </c>
      <c r="P1449" s="9">
        <v>5.6879999999999998E-5</v>
      </c>
      <c r="Q1449" s="9">
        <v>9.4060000000000004E-5</v>
      </c>
      <c r="R1449" s="10">
        <v>2.1135725640657462E-4</v>
      </c>
      <c r="S1449" s="10">
        <v>1.9012265993308339E-4</v>
      </c>
      <c r="T1449" s="10">
        <v>0</v>
      </c>
      <c r="U1449" s="10">
        <v>1.8450000000000001E-4</v>
      </c>
      <c r="V1449" s="25"/>
      <c r="W1449" s="25"/>
      <c r="X1449" s="25"/>
      <c r="Y1449" s="25"/>
      <c r="Z1449" s="25"/>
      <c r="AA1449" s="25"/>
    </row>
    <row r="1450" spans="1:27" x14ac:dyDescent="0.35">
      <c r="A1450" s="5">
        <v>1446</v>
      </c>
      <c r="B1450" s="5">
        <v>61</v>
      </c>
      <c r="C1450" s="5">
        <v>3</v>
      </c>
      <c r="D1450" s="25">
        <v>1.1415000000000001E-4</v>
      </c>
      <c r="E1450" s="25">
        <v>1.1319000000000001E-4</v>
      </c>
      <c r="F1450" s="25">
        <v>1.004E-4</v>
      </c>
      <c r="G1450" s="25">
        <v>1.06E-4</v>
      </c>
      <c r="H1450" s="25">
        <v>1.3015999999999999E-4</v>
      </c>
      <c r="I1450" s="9">
        <v>1.17E-4</v>
      </c>
      <c r="J1450" s="9">
        <v>1.0101E-4</v>
      </c>
      <c r="K1450" s="9">
        <v>3.3484999999999998E-4</v>
      </c>
      <c r="L1450" s="9">
        <v>1.7880000000000002E-5</v>
      </c>
      <c r="M1450" s="9">
        <v>4.85E-5</v>
      </c>
      <c r="N1450" s="9">
        <v>7.1180000000000006E-5</v>
      </c>
      <c r="O1450" s="9">
        <v>4.676E-5</v>
      </c>
      <c r="P1450" s="9">
        <v>7.7620000000000006E-5</v>
      </c>
      <c r="Q1450" s="9">
        <v>1.0809E-4</v>
      </c>
      <c r="R1450" s="10">
        <v>2.1133936673002485E-4</v>
      </c>
      <c r="S1450" s="10">
        <v>1.9019060169613277E-4</v>
      </c>
      <c r="T1450" s="10">
        <v>0</v>
      </c>
      <c r="U1450" s="10">
        <v>1.8450000000000001E-4</v>
      </c>
      <c r="V1450" s="25"/>
      <c r="W1450" s="25"/>
      <c r="X1450" s="25"/>
      <c r="Y1450" s="25"/>
      <c r="Z1450" s="25"/>
      <c r="AA1450" s="25"/>
    </row>
    <row r="1451" spans="1:27" x14ac:dyDescent="0.35">
      <c r="A1451" s="5">
        <v>1447</v>
      </c>
      <c r="B1451" s="5">
        <v>61</v>
      </c>
      <c r="C1451" s="5">
        <v>3</v>
      </c>
      <c r="D1451" s="25">
        <v>1.1416E-4</v>
      </c>
      <c r="E1451" s="25">
        <v>1.0644E-4</v>
      </c>
      <c r="F1451" s="25">
        <v>1.1468000000000001E-4</v>
      </c>
      <c r="G1451" s="25">
        <v>1.1429000000000001E-4</v>
      </c>
      <c r="H1451" s="25">
        <v>1.3082E-4</v>
      </c>
      <c r="I1451" s="9">
        <v>1.3067999999999999E-4</v>
      </c>
      <c r="J1451" s="9">
        <v>1.1275E-4</v>
      </c>
      <c r="K1451" s="9">
        <v>3.3061000000000001E-4</v>
      </c>
      <c r="L1451" s="9">
        <v>4.0259999999999997E-5</v>
      </c>
      <c r="M1451" s="9">
        <v>6.0390000000000003E-5</v>
      </c>
      <c r="N1451" s="9">
        <v>8.1080000000000003E-5</v>
      </c>
      <c r="O1451" s="9">
        <v>1.2369E-4</v>
      </c>
      <c r="P1451" s="9">
        <v>1.1796E-4</v>
      </c>
      <c r="Q1451" s="9">
        <v>1.1299E-4</v>
      </c>
      <c r="R1451" s="10">
        <v>2.1040113707835941E-4</v>
      </c>
      <c r="S1451" s="10">
        <v>1.9013224608148776E-4</v>
      </c>
      <c r="T1451" s="10">
        <v>0</v>
      </c>
      <c r="U1451" s="10">
        <v>1.8450000000000001E-4</v>
      </c>
      <c r="V1451" s="25"/>
      <c r="W1451" s="25"/>
      <c r="X1451" s="25"/>
      <c r="Y1451" s="25"/>
      <c r="Z1451" s="25"/>
      <c r="AA1451" s="25"/>
    </row>
    <row r="1452" spans="1:27" x14ac:dyDescent="0.35">
      <c r="A1452" s="5">
        <v>1448</v>
      </c>
      <c r="B1452" s="5">
        <v>61</v>
      </c>
      <c r="C1452" s="5">
        <v>3</v>
      </c>
      <c r="D1452" s="25">
        <v>1.1415000000000001E-4</v>
      </c>
      <c r="E1452" s="25">
        <v>1.1267E-4</v>
      </c>
      <c r="F1452" s="25">
        <v>1.1848E-4</v>
      </c>
      <c r="G1452" s="25">
        <v>1.6091E-4</v>
      </c>
      <c r="H1452" s="25">
        <v>1.8804999999999999E-4</v>
      </c>
      <c r="I1452" s="9">
        <v>1.3862999999999999E-4</v>
      </c>
      <c r="J1452" s="9">
        <v>1.2797000000000001E-4</v>
      </c>
      <c r="K1452" s="9">
        <v>3.2850000000000002E-4</v>
      </c>
      <c r="L1452" s="9">
        <v>1.0471000000000001E-4</v>
      </c>
      <c r="M1452" s="9">
        <v>8.4179999999999997E-5</v>
      </c>
      <c r="N1452" s="9">
        <v>9.1249999999999995E-5</v>
      </c>
      <c r="O1452" s="9">
        <v>2.2022E-4</v>
      </c>
      <c r="P1452" s="9">
        <v>1.7771E-4</v>
      </c>
      <c r="Q1452" s="9">
        <v>1.3727999999999999E-4</v>
      </c>
      <c r="R1452" s="10">
        <v>2.0966966913011335E-4</v>
      </c>
      <c r="S1452" s="10">
        <v>1.8988749909916089E-4</v>
      </c>
      <c r="T1452" s="10">
        <v>8.7354346109067354E-5</v>
      </c>
      <c r="U1452" s="10">
        <v>1.8450000000000001E-4</v>
      </c>
      <c r="V1452" s="25"/>
      <c r="W1452" s="25"/>
      <c r="X1452" s="25"/>
      <c r="Y1452" s="25"/>
      <c r="Z1452" s="25"/>
      <c r="AA1452" s="25"/>
    </row>
    <row r="1453" spans="1:27" x14ac:dyDescent="0.35">
      <c r="A1453" s="5">
        <v>1449</v>
      </c>
      <c r="B1453" s="5">
        <v>61</v>
      </c>
      <c r="C1453" s="5">
        <v>3</v>
      </c>
      <c r="D1453" s="25">
        <v>1.1416E-4</v>
      </c>
      <c r="E1453" s="25">
        <v>1.0814E-4</v>
      </c>
      <c r="F1453" s="25">
        <v>1.0868E-4</v>
      </c>
      <c r="G1453" s="25">
        <v>1.6393000000000001E-4</v>
      </c>
      <c r="H1453" s="25">
        <v>1.9492000000000001E-4</v>
      </c>
      <c r="I1453" s="9">
        <v>1.4111000000000001E-4</v>
      </c>
      <c r="J1453" s="9">
        <v>1.3812000000000001E-4</v>
      </c>
      <c r="K1453" s="9">
        <v>3.2637999999999998E-4</v>
      </c>
      <c r="L1453" s="9">
        <v>1.9304000000000001E-4</v>
      </c>
      <c r="M1453" s="9">
        <v>1.2399000000000001E-4</v>
      </c>
      <c r="N1453" s="9">
        <v>1.0508E-4</v>
      </c>
      <c r="O1453" s="9">
        <v>2.1081999999999999E-4</v>
      </c>
      <c r="P1453" s="9">
        <v>1.9296E-4</v>
      </c>
      <c r="Q1453" s="9">
        <v>1.7671000000000001E-4</v>
      </c>
      <c r="R1453" s="10">
        <v>2.0947974530614044E-4</v>
      </c>
      <c r="S1453" s="10">
        <v>1.8986321387962456E-4</v>
      </c>
      <c r="T1453" s="10">
        <v>3.0734374395891266E-4</v>
      </c>
      <c r="U1453" s="10">
        <v>1.8450000000000001E-4</v>
      </c>
      <c r="V1453" s="25"/>
      <c r="W1453" s="25"/>
      <c r="X1453" s="25"/>
      <c r="Y1453" s="25"/>
      <c r="Z1453" s="25"/>
      <c r="AA1453" s="25"/>
    </row>
    <row r="1454" spans="1:27" x14ac:dyDescent="0.35">
      <c r="A1454" s="5">
        <v>1450</v>
      </c>
      <c r="B1454" s="5">
        <v>61</v>
      </c>
      <c r="C1454" s="5">
        <v>3</v>
      </c>
      <c r="D1454" s="25">
        <v>1.1415000000000001E-4</v>
      </c>
      <c r="E1454" s="25">
        <v>1.0556999999999999E-4</v>
      </c>
      <c r="F1454" s="25">
        <v>1.1006E-4</v>
      </c>
      <c r="G1454" s="25">
        <v>1.6288000000000001E-4</v>
      </c>
      <c r="H1454" s="25">
        <v>1.9523000000000001E-4</v>
      </c>
      <c r="I1454" s="9">
        <v>1.4420000000000001E-4</v>
      </c>
      <c r="J1454" s="9">
        <v>1.4317999999999999E-4</v>
      </c>
      <c r="K1454" s="9">
        <v>3.2001000000000002E-4</v>
      </c>
      <c r="L1454" s="9">
        <v>2.0460000000000001E-4</v>
      </c>
      <c r="M1454" s="9">
        <v>1.5891000000000001E-4</v>
      </c>
      <c r="N1454" s="9">
        <v>1.2498000000000001E-4</v>
      </c>
      <c r="O1454" s="9">
        <v>1.6603000000000001E-4</v>
      </c>
      <c r="P1454" s="9">
        <v>1.7310000000000001E-4</v>
      </c>
      <c r="Q1454" s="9">
        <v>1.8106E-4</v>
      </c>
      <c r="R1454" s="10">
        <v>2.0838294285632368E-4</v>
      </c>
      <c r="S1454" s="10">
        <v>1.9024253628561791E-4</v>
      </c>
      <c r="T1454" s="10">
        <v>4.779630038902787E-4</v>
      </c>
      <c r="U1454" s="10">
        <v>1.8450000000000001E-4</v>
      </c>
      <c r="V1454" s="25"/>
      <c r="W1454" s="25"/>
      <c r="X1454" s="25"/>
      <c r="Y1454" s="25"/>
      <c r="Z1454" s="25"/>
      <c r="AA1454" s="25"/>
    </row>
    <row r="1455" spans="1:27" x14ac:dyDescent="0.35">
      <c r="A1455" s="5">
        <v>1451</v>
      </c>
      <c r="B1455" s="5">
        <v>61</v>
      </c>
      <c r="C1455" s="5">
        <v>3</v>
      </c>
      <c r="D1455" s="25">
        <v>1.1416E-4</v>
      </c>
      <c r="E1455" s="25">
        <v>1.042E-4</v>
      </c>
      <c r="F1455" s="25">
        <v>1.1111E-4</v>
      </c>
      <c r="G1455" s="25">
        <v>1.5951E-4</v>
      </c>
      <c r="H1455" s="25">
        <v>1.9681000000000001E-4</v>
      </c>
      <c r="I1455" s="9">
        <v>1.4362000000000001E-4</v>
      </c>
      <c r="J1455" s="9">
        <v>1.4402999999999999E-4</v>
      </c>
      <c r="K1455" s="9">
        <v>3.1577999999999999E-4</v>
      </c>
      <c r="L1455" s="9">
        <v>1.7461000000000001E-4</v>
      </c>
      <c r="M1455" s="9">
        <v>1.7208999999999999E-4</v>
      </c>
      <c r="N1455" s="9">
        <v>1.4274000000000001E-4</v>
      </c>
      <c r="O1455" s="9">
        <v>1.6734000000000001E-4</v>
      </c>
      <c r="P1455" s="9">
        <v>1.7311E-4</v>
      </c>
      <c r="Q1455" s="9">
        <v>1.7980000000000001E-4</v>
      </c>
      <c r="R1455" s="10">
        <v>2.0729280274212259E-4</v>
      </c>
      <c r="S1455" s="10">
        <v>1.9024505294293884E-4</v>
      </c>
      <c r="T1455" s="10">
        <v>2.0478553341438994E-4</v>
      </c>
      <c r="U1455" s="10">
        <v>1.8450000000000001E-4</v>
      </c>
      <c r="V1455" s="25"/>
      <c r="W1455" s="25"/>
      <c r="X1455" s="25"/>
      <c r="Y1455" s="25"/>
      <c r="Z1455" s="25"/>
      <c r="AA1455" s="25"/>
    </row>
    <row r="1456" spans="1:27" x14ac:dyDescent="0.35">
      <c r="A1456" s="5">
        <v>1452</v>
      </c>
      <c r="B1456" s="5">
        <v>61</v>
      </c>
      <c r="C1456" s="5">
        <v>3</v>
      </c>
      <c r="D1456" s="25">
        <v>1.1415000000000001E-4</v>
      </c>
      <c r="E1456" s="25">
        <v>1.048E-4</v>
      </c>
      <c r="F1456" s="25">
        <v>1.0034E-4</v>
      </c>
      <c r="G1456" s="25">
        <v>1.6752999999999999E-4</v>
      </c>
      <c r="H1456" s="25">
        <v>1.8856999999999999E-4</v>
      </c>
      <c r="I1456" s="9">
        <v>1.4532E-4</v>
      </c>
      <c r="J1456" s="9">
        <v>1.4478000000000001E-4</v>
      </c>
      <c r="K1456" s="9">
        <v>3.0941999999999998E-4</v>
      </c>
      <c r="L1456" s="9">
        <v>1.7037000000000001E-4</v>
      </c>
      <c r="M1456" s="9">
        <v>1.7463E-4</v>
      </c>
      <c r="N1456" s="9">
        <v>1.5678999999999999E-4</v>
      </c>
      <c r="O1456" s="9">
        <v>1.6859000000000001E-4</v>
      </c>
      <c r="P1456" s="9">
        <v>1.7024999999999999E-4</v>
      </c>
      <c r="Q1456" s="9">
        <v>1.729E-4</v>
      </c>
      <c r="R1456" s="10">
        <v>1.9442128418993199E-4</v>
      </c>
      <c r="S1456" s="10">
        <v>1.9007164009391693E-4</v>
      </c>
      <c r="T1456" s="10">
        <v>3.6444307858537182E-4</v>
      </c>
      <c r="U1456" s="10">
        <v>1.8450000000000001E-4</v>
      </c>
      <c r="V1456" s="25"/>
      <c r="W1456" s="25"/>
      <c r="X1456" s="25"/>
      <c r="Y1456" s="25"/>
      <c r="Z1456" s="25"/>
      <c r="AA1456" s="25"/>
    </row>
    <row r="1457" spans="1:27" x14ac:dyDescent="0.35">
      <c r="A1457" s="5">
        <v>1453</v>
      </c>
      <c r="B1457" s="5">
        <v>61</v>
      </c>
      <c r="C1457" s="5">
        <v>3</v>
      </c>
      <c r="D1457" s="25">
        <v>1.1416E-4</v>
      </c>
      <c r="E1457" s="25">
        <v>1.1370999999999999E-4</v>
      </c>
      <c r="F1457" s="25">
        <v>1.0071E-4</v>
      </c>
      <c r="G1457" s="25">
        <v>1.5867999999999999E-4</v>
      </c>
      <c r="H1457" s="25">
        <v>1.8890000000000001E-4</v>
      </c>
      <c r="I1457" s="9">
        <v>1.4205000000000001E-4</v>
      </c>
      <c r="J1457" s="9">
        <v>1.4396E-4</v>
      </c>
      <c r="K1457" s="9">
        <v>3.1577999999999999E-4</v>
      </c>
      <c r="L1457" s="9">
        <v>1.6912000000000001E-4</v>
      </c>
      <c r="M1457" s="9">
        <v>1.7325000000000001E-4</v>
      </c>
      <c r="N1457" s="9">
        <v>1.6590999999999999E-4</v>
      </c>
      <c r="O1457" s="9">
        <v>1.6003E-4</v>
      </c>
      <c r="P1457" s="9">
        <v>1.6248E-4</v>
      </c>
      <c r="Q1457" s="9">
        <v>1.6584999999999999E-4</v>
      </c>
      <c r="R1457" s="10">
        <v>2.0150252056266049E-4</v>
      </c>
      <c r="S1457" s="10">
        <v>1.902677429729694E-4</v>
      </c>
      <c r="T1457" s="10">
        <v>0</v>
      </c>
      <c r="U1457" s="10">
        <v>1.8450000000000001E-4</v>
      </c>
      <c r="V1457" s="25"/>
      <c r="W1457" s="25"/>
      <c r="X1457" s="25"/>
      <c r="Y1457" s="25"/>
      <c r="Z1457" s="25"/>
      <c r="AA1457" s="25"/>
    </row>
    <row r="1458" spans="1:27" x14ac:dyDescent="0.35">
      <c r="A1458" s="5">
        <v>1454</v>
      </c>
      <c r="B1458" s="5">
        <v>61</v>
      </c>
      <c r="C1458" s="5">
        <v>3</v>
      </c>
      <c r="D1458" s="25">
        <v>1.1415000000000001E-4</v>
      </c>
      <c r="E1458" s="25">
        <v>1.1115E-4</v>
      </c>
      <c r="F1458" s="25">
        <v>1.0794999999999999E-4</v>
      </c>
      <c r="G1458" s="25">
        <v>1.5616E-4</v>
      </c>
      <c r="H1458" s="25">
        <v>1.9992E-4</v>
      </c>
      <c r="I1458" s="9">
        <v>1.4312E-4</v>
      </c>
      <c r="J1458" s="9">
        <v>1.4505E-4</v>
      </c>
      <c r="K1458" s="9">
        <v>3.2849000000000002E-4</v>
      </c>
      <c r="L1458" s="9">
        <v>1.618E-4</v>
      </c>
      <c r="M1458" s="9">
        <v>1.6898E-4</v>
      </c>
      <c r="N1458" s="9">
        <v>1.6983999999999999E-4</v>
      </c>
      <c r="O1458" s="9">
        <v>1.7810999999999999E-4</v>
      </c>
      <c r="P1458" s="9">
        <v>1.6883999999999999E-4</v>
      </c>
      <c r="Q1458" s="9">
        <v>1.6082E-4</v>
      </c>
      <c r="R1458" s="10">
        <v>2.0307639810555582E-4</v>
      </c>
      <c r="S1458" s="10">
        <v>1.9028026002390744E-4</v>
      </c>
      <c r="T1458" s="10">
        <v>2.1405887260409569E-5</v>
      </c>
      <c r="U1458" s="10">
        <v>1.8450000000000001E-4</v>
      </c>
      <c r="V1458" s="25"/>
      <c r="W1458" s="25"/>
      <c r="X1458" s="25"/>
      <c r="Y1458" s="25"/>
      <c r="Z1458" s="25"/>
      <c r="AA1458" s="25"/>
    </row>
    <row r="1459" spans="1:27" x14ac:dyDescent="0.35">
      <c r="A1459" s="5">
        <v>1455</v>
      </c>
      <c r="B1459" s="5">
        <v>61</v>
      </c>
      <c r="C1459" s="5">
        <v>3</v>
      </c>
      <c r="D1459" s="25">
        <v>1.1416E-4</v>
      </c>
      <c r="E1459" s="25">
        <v>1.1311000000000001E-4</v>
      </c>
      <c r="F1459" s="25">
        <v>1.1807999999999999E-4</v>
      </c>
      <c r="G1459" s="25">
        <v>1.6233E-4</v>
      </c>
      <c r="H1459" s="25">
        <v>1.8919999999999999E-4</v>
      </c>
      <c r="I1459" s="9">
        <v>1.4333999999999999E-4</v>
      </c>
      <c r="J1459" s="9">
        <v>1.4527999999999999E-4</v>
      </c>
      <c r="K1459" s="9">
        <v>3.2849000000000002E-4</v>
      </c>
      <c r="L1459" s="9">
        <v>1.7471000000000001E-4</v>
      </c>
      <c r="M1459" s="9">
        <v>1.6772E-4</v>
      </c>
      <c r="N1459" s="9">
        <v>1.694E-4</v>
      </c>
      <c r="O1459" s="9">
        <v>1.8385E-4</v>
      </c>
      <c r="P1459" s="9">
        <v>1.6772E-4</v>
      </c>
      <c r="Q1459" s="9">
        <v>1.5297999999999999E-4</v>
      </c>
      <c r="R1459" s="10">
        <v>2.0809206457404237E-4</v>
      </c>
      <c r="S1459" s="10">
        <v>1.9008749943610686E-4</v>
      </c>
      <c r="T1459" s="10">
        <v>2.2504604026253025E-4</v>
      </c>
      <c r="U1459" s="10">
        <v>1.8450000000000001E-4</v>
      </c>
      <c r="V1459" s="25"/>
      <c r="W1459" s="25"/>
      <c r="X1459" s="25"/>
      <c r="Y1459" s="25"/>
      <c r="Z1459" s="25"/>
      <c r="AA1459" s="25"/>
    </row>
    <row r="1460" spans="1:27" x14ac:dyDescent="0.35">
      <c r="A1460" s="5">
        <v>1456</v>
      </c>
      <c r="B1460" s="5">
        <v>61</v>
      </c>
      <c r="C1460" s="5">
        <v>3</v>
      </c>
      <c r="D1460" s="25">
        <v>1.1415000000000001E-4</v>
      </c>
      <c r="E1460" s="25">
        <v>1.0305E-4</v>
      </c>
      <c r="F1460" s="25">
        <v>1.1895E-4</v>
      </c>
      <c r="G1460" s="25">
        <v>1.6215000000000001E-4</v>
      </c>
      <c r="H1460" s="25">
        <v>1.9220000000000001E-4</v>
      </c>
      <c r="I1460" s="9">
        <v>1.4320000000000001E-4</v>
      </c>
      <c r="J1460" s="9">
        <v>1.4521E-4</v>
      </c>
      <c r="K1460" s="9">
        <v>3.2849000000000002E-4</v>
      </c>
      <c r="L1460" s="9">
        <v>1.8149E-4</v>
      </c>
      <c r="M1460" s="9">
        <v>1.6751E-4</v>
      </c>
      <c r="N1460" s="9">
        <v>1.6572000000000001E-4</v>
      </c>
      <c r="O1460" s="9">
        <v>1.9714999999999999E-4</v>
      </c>
      <c r="P1460" s="9">
        <v>1.5249999999999999E-4</v>
      </c>
      <c r="Q1460" s="9">
        <v>1.098E-4</v>
      </c>
      <c r="R1460" s="10">
        <v>2.0264189683066554E-4</v>
      </c>
      <c r="S1460" s="10">
        <v>1.8911349887521694E-4</v>
      </c>
      <c r="T1460" s="10">
        <v>1.3746261807100907E-4</v>
      </c>
      <c r="U1460" s="10">
        <v>1.8450000000000001E-4</v>
      </c>
      <c r="V1460" s="25"/>
      <c r="W1460" s="25"/>
      <c r="X1460" s="25"/>
      <c r="Y1460" s="25"/>
      <c r="Z1460" s="25"/>
      <c r="AA1460" s="25"/>
    </row>
    <row r="1461" spans="1:27" x14ac:dyDescent="0.35">
      <c r="A1461" s="5">
        <v>1457</v>
      </c>
      <c r="B1461" s="5">
        <v>61</v>
      </c>
      <c r="C1461" s="5">
        <v>3</v>
      </c>
      <c r="D1461" s="25">
        <v>1.1416E-4</v>
      </c>
      <c r="E1461" s="25">
        <v>1.0395000000000001E-4</v>
      </c>
      <c r="F1461" s="25">
        <v>9.8800000000000003E-5</v>
      </c>
      <c r="G1461" s="25">
        <v>1.5766E-4</v>
      </c>
      <c r="H1461" s="25">
        <v>1.9713E-4</v>
      </c>
      <c r="I1461" s="9">
        <v>1.4197E-4</v>
      </c>
      <c r="J1461" s="9">
        <v>1.4590999999999999E-4</v>
      </c>
      <c r="K1461" s="9">
        <v>3.3061000000000001E-4</v>
      </c>
      <c r="L1461" s="9">
        <v>1.9346000000000001E-4</v>
      </c>
      <c r="M1461" s="9">
        <v>1.6217E-4</v>
      </c>
      <c r="N1461" s="9">
        <v>1.5211000000000001E-4</v>
      </c>
      <c r="O1461" s="9">
        <v>2.1175999999999999E-4</v>
      </c>
      <c r="P1461" s="9">
        <v>1.5788E-4</v>
      </c>
      <c r="Q1461" s="9">
        <v>1.0620000000000001E-4</v>
      </c>
      <c r="R1461" s="10">
        <v>2.094232121091765E-4</v>
      </c>
      <c r="S1461" s="10">
        <v>1.8565709393260064E-4</v>
      </c>
      <c r="T1461" s="10">
        <v>1.5740920584319412E-4</v>
      </c>
      <c r="U1461" s="10">
        <v>1.8450000000000001E-4</v>
      </c>
      <c r="V1461" s="25"/>
      <c r="W1461" s="25"/>
      <c r="X1461" s="25"/>
      <c r="Y1461" s="25"/>
      <c r="Z1461" s="25"/>
      <c r="AA1461" s="25"/>
    </row>
    <row r="1462" spans="1:27" x14ac:dyDescent="0.35">
      <c r="A1462" s="5">
        <v>1458</v>
      </c>
      <c r="B1462" s="5">
        <v>61</v>
      </c>
      <c r="C1462" s="5">
        <v>3</v>
      </c>
      <c r="D1462" s="25">
        <v>1.1415000000000001E-4</v>
      </c>
      <c r="E1462" s="25">
        <v>1.0344999999999999E-4</v>
      </c>
      <c r="F1462" s="25">
        <v>1.1807999999999999E-4</v>
      </c>
      <c r="G1462" s="25">
        <v>1.6405E-4</v>
      </c>
      <c r="H1462" s="25">
        <v>1.9996E-4</v>
      </c>
      <c r="I1462" s="9">
        <v>1.4300000000000001E-4</v>
      </c>
      <c r="J1462" s="9">
        <v>1.4641E-4</v>
      </c>
      <c r="K1462" s="9">
        <v>3.3697000000000002E-4</v>
      </c>
      <c r="L1462" s="9">
        <v>2.075E-4</v>
      </c>
      <c r="M1462" s="9">
        <v>1.5911000000000001E-4</v>
      </c>
      <c r="N1462" s="9">
        <v>1.3870000000000001E-4</v>
      </c>
      <c r="O1462" s="9">
        <v>2.0567E-4</v>
      </c>
      <c r="P1462" s="9">
        <v>1.6082999999999999E-4</v>
      </c>
      <c r="Q1462" s="9">
        <v>1.18E-4</v>
      </c>
      <c r="R1462" s="10">
        <v>2.119024119503586E-4</v>
      </c>
      <c r="S1462" s="10">
        <v>1.8552116197680457E-4</v>
      </c>
      <c r="T1462" s="10">
        <v>0</v>
      </c>
      <c r="U1462" s="10">
        <v>1.8450000000000001E-4</v>
      </c>
      <c r="V1462" s="25"/>
      <c r="W1462" s="25"/>
      <c r="X1462" s="25"/>
      <c r="Y1462" s="25"/>
      <c r="Z1462" s="25"/>
      <c r="AA1462" s="25"/>
    </row>
    <row r="1463" spans="1:27" x14ac:dyDescent="0.35">
      <c r="A1463" s="5">
        <v>1459</v>
      </c>
      <c r="B1463" s="5">
        <v>61</v>
      </c>
      <c r="C1463" s="5">
        <v>3</v>
      </c>
      <c r="D1463" s="25">
        <v>1.1416E-4</v>
      </c>
      <c r="E1463" s="25">
        <v>1.0747E-4</v>
      </c>
      <c r="F1463" s="25">
        <v>1.1108E-4</v>
      </c>
      <c r="G1463" s="25">
        <v>1.0956E-4</v>
      </c>
      <c r="H1463" s="25">
        <v>1.2747999999999999E-4</v>
      </c>
      <c r="I1463" s="9">
        <v>1.4687000000000001E-4</v>
      </c>
      <c r="J1463" s="9">
        <v>1.4478000000000001E-4</v>
      </c>
      <c r="K1463" s="9">
        <v>3.3697000000000002E-4</v>
      </c>
      <c r="L1463" s="9">
        <v>2.0572E-4</v>
      </c>
      <c r="M1463" s="9">
        <v>1.5908E-4</v>
      </c>
      <c r="N1463" s="9">
        <v>1.2983E-4</v>
      </c>
      <c r="O1463" s="9">
        <v>1.6513000000000001E-4</v>
      </c>
      <c r="P1463" s="9">
        <v>1.3568E-4</v>
      </c>
      <c r="Q1463" s="9">
        <v>1.0768999999999999E-4</v>
      </c>
      <c r="R1463" s="10">
        <v>2.1227743652903747E-4</v>
      </c>
      <c r="S1463" s="10">
        <v>1.8808424858056741E-4</v>
      </c>
      <c r="T1463" s="10">
        <v>0</v>
      </c>
      <c r="U1463" s="10">
        <v>1.8450000000000001E-4</v>
      </c>
      <c r="V1463" s="25"/>
      <c r="W1463" s="25"/>
      <c r="X1463" s="25"/>
      <c r="Y1463" s="25"/>
      <c r="Z1463" s="25"/>
      <c r="AA1463" s="25"/>
    </row>
    <row r="1464" spans="1:27" x14ac:dyDescent="0.35">
      <c r="A1464" s="5">
        <v>1460</v>
      </c>
      <c r="B1464" s="5">
        <v>61</v>
      </c>
      <c r="C1464" s="5">
        <v>3</v>
      </c>
      <c r="D1464" s="25">
        <v>1.1415000000000001E-4</v>
      </c>
      <c r="E1464" s="25">
        <v>1.0814E-4</v>
      </c>
      <c r="F1464" s="25">
        <v>1.195E-4</v>
      </c>
      <c r="G1464" s="25">
        <v>1.0785000000000001E-4</v>
      </c>
      <c r="H1464" s="25">
        <v>1.3399000000000001E-4</v>
      </c>
      <c r="I1464" s="9">
        <v>1.4359999999999999E-4</v>
      </c>
      <c r="J1464" s="9">
        <v>1.4287999999999999E-4</v>
      </c>
      <c r="K1464" s="9">
        <v>3.3908000000000001E-4</v>
      </c>
      <c r="L1464" s="9">
        <v>1.7417999999999999E-4</v>
      </c>
      <c r="M1464" s="9">
        <v>1.5084000000000001E-4</v>
      </c>
      <c r="N1464" s="9">
        <v>1.2093E-4</v>
      </c>
      <c r="O1464" s="9">
        <v>1.2740000000000001E-4</v>
      </c>
      <c r="P1464" s="9">
        <v>1.1365E-4</v>
      </c>
      <c r="Q1464" s="9">
        <v>1.0081000000000001E-4</v>
      </c>
      <c r="R1464" s="10">
        <v>2.1239055554689719E-4</v>
      </c>
      <c r="S1464" s="10">
        <v>1.8777078863191002E-4</v>
      </c>
      <c r="T1464" s="10">
        <v>0</v>
      </c>
      <c r="U1464" s="10">
        <v>1.8450000000000001E-4</v>
      </c>
      <c r="V1464" s="25"/>
      <c r="W1464" s="25"/>
      <c r="X1464" s="25"/>
      <c r="Y1464" s="25"/>
      <c r="Z1464" s="25"/>
      <c r="AA1464" s="25"/>
    </row>
    <row r="1465" spans="1:27" x14ac:dyDescent="0.35">
      <c r="A1465" s="5">
        <v>1461</v>
      </c>
      <c r="B1465" s="5">
        <v>61</v>
      </c>
      <c r="C1465" s="5">
        <v>3</v>
      </c>
      <c r="D1465" s="25">
        <v>1.1416E-4</v>
      </c>
      <c r="E1465" s="25">
        <v>1.1077E-4</v>
      </c>
      <c r="F1465" s="25">
        <v>1.0669E-4</v>
      </c>
      <c r="G1465" s="25">
        <v>5.8069999999999998E-5</v>
      </c>
      <c r="H1465" s="25">
        <v>6.7470000000000003E-5</v>
      </c>
      <c r="I1465" s="9">
        <v>1.3574E-4</v>
      </c>
      <c r="J1465" s="9">
        <v>1.3605E-4</v>
      </c>
      <c r="K1465" s="9">
        <v>3.4331999999999999E-4</v>
      </c>
      <c r="L1465" s="9">
        <v>1.3866E-4</v>
      </c>
      <c r="M1465" s="9">
        <v>1.3512999999999999E-4</v>
      </c>
      <c r="N1465" s="9">
        <v>1.1304E-4</v>
      </c>
      <c r="O1465" s="9">
        <v>8.4079999999999995E-5</v>
      </c>
      <c r="P1465" s="9">
        <v>8.5710000000000004E-5</v>
      </c>
      <c r="Q1465" s="9">
        <v>8.7689999999999996E-5</v>
      </c>
      <c r="R1465" s="10">
        <v>2.1244586356438264E-4</v>
      </c>
      <c r="S1465" s="10">
        <v>1.8995721936469786E-4</v>
      </c>
      <c r="T1465" s="10">
        <v>0</v>
      </c>
      <c r="U1465" s="10">
        <v>1.8450000000000001E-4</v>
      </c>
      <c r="V1465" s="25"/>
      <c r="W1465" s="25"/>
      <c r="X1465" s="25"/>
      <c r="Y1465" s="25"/>
      <c r="Z1465" s="25"/>
      <c r="AA1465" s="25"/>
    </row>
    <row r="1466" spans="1:27" x14ac:dyDescent="0.35">
      <c r="A1466" s="5">
        <v>1462</v>
      </c>
      <c r="B1466" s="5">
        <v>61</v>
      </c>
      <c r="C1466" s="5">
        <v>3</v>
      </c>
      <c r="D1466" s="25">
        <v>1.1415000000000001E-4</v>
      </c>
      <c r="E1466" s="25">
        <v>1.0450000000000001E-4</v>
      </c>
      <c r="F1466" s="25">
        <v>1.1192999999999999E-4</v>
      </c>
      <c r="G1466" s="25">
        <v>5.9120000000000003E-5</v>
      </c>
      <c r="H1466" s="25">
        <v>7.0080000000000007E-5</v>
      </c>
      <c r="I1466" s="9">
        <v>1.2776000000000001E-4</v>
      </c>
      <c r="J1466" s="9">
        <v>1.2726999999999999E-4</v>
      </c>
      <c r="K1466" s="9">
        <v>3.4332999999999998E-4</v>
      </c>
      <c r="L1466" s="9">
        <v>9.7059999999999996E-5</v>
      </c>
      <c r="M1466" s="9">
        <v>1.1327E-4</v>
      </c>
      <c r="N1466" s="9">
        <v>1.0533E-4</v>
      </c>
      <c r="O1466" s="9">
        <v>8.6949999999999999E-5</v>
      </c>
      <c r="P1466" s="9">
        <v>8.7200000000000005E-5</v>
      </c>
      <c r="Q1466" s="9">
        <v>8.7839999999999999E-5</v>
      </c>
      <c r="R1466" s="10">
        <v>2.1244528122593787E-4</v>
      </c>
      <c r="S1466" s="10">
        <v>1.9028998323673989E-4</v>
      </c>
      <c r="T1466" s="10">
        <v>0</v>
      </c>
      <c r="U1466" s="10">
        <v>1.8450000000000001E-4</v>
      </c>
      <c r="V1466" s="25"/>
      <c r="W1466" s="25"/>
      <c r="X1466" s="25"/>
      <c r="Y1466" s="25"/>
      <c r="Z1466" s="25"/>
      <c r="AA1466" s="25"/>
    </row>
    <row r="1467" spans="1:27" x14ac:dyDescent="0.35">
      <c r="A1467" s="5">
        <v>1463</v>
      </c>
      <c r="B1467" s="5">
        <v>61</v>
      </c>
      <c r="C1467" s="5">
        <v>3</v>
      </c>
      <c r="D1467" s="25">
        <v>1.1416E-4</v>
      </c>
      <c r="E1467" s="25">
        <v>1.0961E-4</v>
      </c>
      <c r="F1467" s="25">
        <v>1.182E-4</v>
      </c>
      <c r="G1467" s="25">
        <v>5.7720000000000003E-5</v>
      </c>
      <c r="H1467" s="25">
        <v>7.606E-5</v>
      </c>
      <c r="I1467" s="9">
        <v>1.2849000000000001E-4</v>
      </c>
      <c r="J1467" s="9">
        <v>1.1802E-4</v>
      </c>
      <c r="K1467" s="9">
        <v>3.4545000000000002E-4</v>
      </c>
      <c r="L1467" s="9">
        <v>9.0099999999999995E-5</v>
      </c>
      <c r="M1467" s="9">
        <v>9.8529999999999993E-5</v>
      </c>
      <c r="N1467" s="9">
        <v>9.9480000000000003E-5</v>
      </c>
      <c r="O1467" s="9">
        <v>7.8469999999999999E-5</v>
      </c>
      <c r="P1467" s="9">
        <v>7.2760000000000001E-5</v>
      </c>
      <c r="Q1467" s="9">
        <v>6.7459999999999994E-5</v>
      </c>
      <c r="R1467" s="10">
        <v>2.1237588007967949E-4</v>
      </c>
      <c r="S1467" s="10">
        <v>1.9029016296800427E-4</v>
      </c>
      <c r="T1467" s="10">
        <v>0</v>
      </c>
      <c r="U1467" s="10">
        <v>1.8450000000000001E-4</v>
      </c>
      <c r="V1467" s="25"/>
      <c r="W1467" s="25"/>
      <c r="X1467" s="25"/>
      <c r="Y1467" s="25"/>
      <c r="Z1467" s="25"/>
      <c r="AA1467" s="25"/>
    </row>
    <row r="1468" spans="1:27" x14ac:dyDescent="0.35">
      <c r="A1468" s="5">
        <v>1464</v>
      </c>
      <c r="B1468" s="5">
        <v>61</v>
      </c>
      <c r="C1468" s="5">
        <v>3</v>
      </c>
      <c r="D1468" s="25">
        <v>1.1415000000000001E-4</v>
      </c>
      <c r="E1468" s="25">
        <v>1.0717000000000001E-4</v>
      </c>
      <c r="F1468" s="25">
        <v>1.0109E-4</v>
      </c>
      <c r="G1468" s="25">
        <v>5.736E-5</v>
      </c>
      <c r="H1468" s="25">
        <v>6.389E-5</v>
      </c>
      <c r="I1468" s="9">
        <v>1.2763999999999999E-4</v>
      </c>
      <c r="J1468" s="9">
        <v>1.0997000000000001E-4</v>
      </c>
      <c r="K1468" s="9">
        <v>3.4545000000000002E-4</v>
      </c>
      <c r="L1468" s="9">
        <v>8.1000000000000004E-5</v>
      </c>
      <c r="M1468" s="9">
        <v>8.6020000000000007E-5</v>
      </c>
      <c r="N1468" s="9">
        <v>9.0370000000000004E-5</v>
      </c>
      <c r="O1468" s="9">
        <v>6.2550000000000003E-5</v>
      </c>
      <c r="P1468" s="9">
        <v>6.0489999999999999E-5</v>
      </c>
      <c r="Q1468" s="9">
        <v>5.8680000000000001E-5</v>
      </c>
      <c r="R1468" s="10">
        <v>2.1230621625396195E-4</v>
      </c>
      <c r="S1468" s="10">
        <v>1.9029020759484994E-4</v>
      </c>
      <c r="T1468" s="10">
        <v>0</v>
      </c>
      <c r="U1468" s="10">
        <v>1.8450000000000001E-4</v>
      </c>
      <c r="V1468" s="25"/>
      <c r="W1468" s="25"/>
      <c r="X1468" s="25"/>
      <c r="Y1468" s="25"/>
      <c r="Z1468" s="25"/>
      <c r="AA1468" s="25"/>
    </row>
    <row r="1469" spans="1:27" x14ac:dyDescent="0.35">
      <c r="A1469" s="5">
        <v>1465</v>
      </c>
      <c r="B1469" s="5">
        <v>62</v>
      </c>
      <c r="C1469" s="5">
        <v>3</v>
      </c>
      <c r="D1469" s="25">
        <v>1.1416E-4</v>
      </c>
      <c r="E1469" s="25">
        <v>1.1887000000000001E-4</v>
      </c>
      <c r="F1469" s="25">
        <v>1.3013E-4</v>
      </c>
      <c r="G1469" s="25">
        <v>6.0949999999999998E-5</v>
      </c>
      <c r="H1469" s="25">
        <v>4.4539999999999997E-5</v>
      </c>
      <c r="I1469" s="9">
        <v>1.1946E-4</v>
      </c>
      <c r="J1469" s="9">
        <v>1.0228E-4</v>
      </c>
      <c r="K1469" s="9">
        <v>3.4120999999999999E-4</v>
      </c>
      <c r="L1469" s="9">
        <v>6.6589999999999998E-5</v>
      </c>
      <c r="M1469" s="9">
        <v>7.3980000000000007E-5</v>
      </c>
      <c r="N1469" s="9">
        <v>8.0959999999999997E-5</v>
      </c>
      <c r="O1469" s="9">
        <v>6.779E-5</v>
      </c>
      <c r="P1469" s="9">
        <v>6.0359999999999998E-5</v>
      </c>
      <c r="Q1469" s="9">
        <v>5.3229999999999997E-5</v>
      </c>
      <c r="R1469" s="10">
        <v>2.1214758468081433E-4</v>
      </c>
      <c r="S1469" s="10">
        <v>1.9029020759484994E-4</v>
      </c>
      <c r="T1469" s="10">
        <v>0</v>
      </c>
      <c r="U1469" s="10">
        <v>1.8242000000000001E-4</v>
      </c>
      <c r="V1469" s="25"/>
      <c r="W1469" s="25"/>
      <c r="X1469" s="25"/>
      <c r="Y1469" s="25"/>
      <c r="Z1469" s="25"/>
      <c r="AA1469" s="25"/>
    </row>
    <row r="1470" spans="1:27" x14ac:dyDescent="0.35">
      <c r="A1470" s="5">
        <v>1466</v>
      </c>
      <c r="B1470" s="5">
        <v>62</v>
      </c>
      <c r="C1470" s="5">
        <v>3</v>
      </c>
      <c r="D1470" s="25">
        <v>1.1415000000000001E-4</v>
      </c>
      <c r="E1470" s="25">
        <v>1.1267E-4</v>
      </c>
      <c r="F1470" s="25">
        <v>1.3648999999999999E-4</v>
      </c>
      <c r="G1470" s="25">
        <v>5.9200000000000002E-5</v>
      </c>
      <c r="H1470" s="25">
        <v>4.1789999999999998E-5</v>
      </c>
      <c r="I1470" s="9">
        <v>1.1297E-4</v>
      </c>
      <c r="J1470" s="9">
        <v>9.7739999999999996E-5</v>
      </c>
      <c r="K1470" s="9">
        <v>3.4757000000000001E-4</v>
      </c>
      <c r="L1470" s="9">
        <v>6.792E-5</v>
      </c>
      <c r="M1470" s="9">
        <v>6.6199999999999996E-5</v>
      </c>
      <c r="N1470" s="9">
        <v>7.1890000000000005E-5</v>
      </c>
      <c r="O1470" s="9">
        <v>3.5309999999999999E-5</v>
      </c>
      <c r="P1470" s="9">
        <v>4.5899999999999998E-5</v>
      </c>
      <c r="Q1470" s="9">
        <v>5.6249999999999998E-5</v>
      </c>
      <c r="R1470" s="10">
        <v>2.1149570306315334E-4</v>
      </c>
      <c r="S1470" s="10">
        <v>1.902857416619129E-4</v>
      </c>
      <c r="T1470" s="10">
        <v>0</v>
      </c>
      <c r="U1470" s="10">
        <v>1.8242000000000001E-4</v>
      </c>
      <c r="V1470" s="25"/>
      <c r="W1470" s="25"/>
      <c r="X1470" s="25"/>
      <c r="Y1470" s="25"/>
      <c r="Z1470" s="25"/>
      <c r="AA1470" s="25"/>
    </row>
    <row r="1471" spans="1:27" x14ac:dyDescent="0.35">
      <c r="A1471" s="5">
        <v>1467</v>
      </c>
      <c r="B1471" s="5">
        <v>62</v>
      </c>
      <c r="C1471" s="5">
        <v>3</v>
      </c>
      <c r="D1471" s="25">
        <v>1.1416E-4</v>
      </c>
      <c r="E1471" s="25">
        <v>1.1433E-4</v>
      </c>
      <c r="F1471" s="25">
        <v>1.3087999999999999E-4</v>
      </c>
      <c r="G1471" s="25">
        <v>5.8100000000000003E-5</v>
      </c>
      <c r="H1471" s="25">
        <v>4.4379999999999999E-5</v>
      </c>
      <c r="I1471" s="9">
        <v>1.077E-4</v>
      </c>
      <c r="J1471" s="9">
        <v>9.5669999999999997E-5</v>
      </c>
      <c r="K1471" s="9">
        <v>3.4757000000000001E-4</v>
      </c>
      <c r="L1471" s="9">
        <v>4.2410000000000002E-5</v>
      </c>
      <c r="M1471" s="9">
        <v>5.7229999999999999E-5</v>
      </c>
      <c r="N1471" s="9">
        <v>6.5400000000000004E-5</v>
      </c>
      <c r="O1471" s="9">
        <v>2.234E-5</v>
      </c>
      <c r="P1471" s="9">
        <v>4.248E-5</v>
      </c>
      <c r="Q1471" s="9">
        <v>6.2139999999999998E-5</v>
      </c>
      <c r="R1471" s="10">
        <v>2.1122895568291065E-4</v>
      </c>
      <c r="S1471" s="10">
        <v>1.9028596062512992E-4</v>
      </c>
      <c r="T1471" s="10">
        <v>0</v>
      </c>
      <c r="U1471" s="10">
        <v>1.8242000000000001E-4</v>
      </c>
      <c r="V1471" s="25"/>
      <c r="W1471" s="25"/>
      <c r="X1471" s="25"/>
      <c r="Y1471" s="25"/>
      <c r="Z1471" s="25"/>
      <c r="AA1471" s="25"/>
    </row>
    <row r="1472" spans="1:27" x14ac:dyDescent="0.35">
      <c r="A1472" s="5">
        <v>1468</v>
      </c>
      <c r="B1472" s="5">
        <v>62</v>
      </c>
      <c r="C1472" s="5">
        <v>3</v>
      </c>
      <c r="D1472" s="25">
        <v>1.1415000000000001E-4</v>
      </c>
      <c r="E1472" s="25">
        <v>1.2238E-4</v>
      </c>
      <c r="F1472" s="25">
        <v>1.2265999999999999E-4</v>
      </c>
      <c r="G1472" s="25">
        <v>5.9009999999999999E-5</v>
      </c>
      <c r="H1472" s="25">
        <v>3.8139999999999997E-5</v>
      </c>
      <c r="I1472" s="9">
        <v>1.0584E-4</v>
      </c>
      <c r="J1472" s="9">
        <v>9.4530000000000005E-5</v>
      </c>
      <c r="K1472" s="9">
        <v>3.5605000000000001E-4</v>
      </c>
      <c r="L1472" s="9">
        <v>2.7359999999999999E-5</v>
      </c>
      <c r="M1472" s="9">
        <v>4.9799999999999998E-5</v>
      </c>
      <c r="N1472" s="9">
        <v>6.1989999999999994E-5</v>
      </c>
      <c r="O1472" s="9">
        <v>2.143E-5</v>
      </c>
      <c r="P1472" s="9">
        <v>5.0890000000000002E-5</v>
      </c>
      <c r="Q1472" s="9">
        <v>7.9709999999999994E-5</v>
      </c>
      <c r="R1472" s="10">
        <v>2.1068076221210168E-4</v>
      </c>
      <c r="S1472" s="10">
        <v>1.9029005526743578E-4</v>
      </c>
      <c r="T1472" s="10">
        <v>0</v>
      </c>
      <c r="U1472" s="10">
        <v>1.8242000000000001E-4</v>
      </c>
      <c r="V1472" s="25"/>
      <c r="W1472" s="25"/>
      <c r="X1472" s="25"/>
      <c r="Y1472" s="25"/>
      <c r="Z1472" s="25"/>
      <c r="AA1472" s="25"/>
    </row>
    <row r="1473" spans="1:27" x14ac:dyDescent="0.35">
      <c r="A1473" s="5">
        <v>1469</v>
      </c>
      <c r="B1473" s="5">
        <v>62</v>
      </c>
      <c r="C1473" s="5">
        <v>3</v>
      </c>
      <c r="D1473" s="25">
        <v>1.1416E-4</v>
      </c>
      <c r="E1473" s="25">
        <v>1.1943999999999999E-4</v>
      </c>
      <c r="F1473" s="25">
        <v>1.3067999999999999E-4</v>
      </c>
      <c r="G1473" s="25">
        <v>5.2129999999999997E-5</v>
      </c>
      <c r="H1473" s="25">
        <v>4.1449999999999998E-5</v>
      </c>
      <c r="I1473" s="9">
        <v>1.0588E-4</v>
      </c>
      <c r="J1473" s="9">
        <v>9.4980000000000002E-5</v>
      </c>
      <c r="K1473" s="9">
        <v>3.6664E-4</v>
      </c>
      <c r="L1473" s="9">
        <v>2.319E-5</v>
      </c>
      <c r="M1473" s="9">
        <v>4.8430000000000002E-5</v>
      </c>
      <c r="N1473" s="9">
        <v>6.4389999999999998E-5</v>
      </c>
      <c r="O1473" s="9">
        <v>2.372E-5</v>
      </c>
      <c r="P1473" s="9">
        <v>5.948E-5</v>
      </c>
      <c r="Q1473" s="9">
        <v>9.4530000000000005E-5</v>
      </c>
      <c r="R1473" s="10">
        <v>2.1129438209940783E-4</v>
      </c>
      <c r="S1473" s="10">
        <v>1.902880247550288E-4</v>
      </c>
      <c r="T1473" s="10">
        <v>0</v>
      </c>
      <c r="U1473" s="10">
        <v>1.8242000000000001E-4</v>
      </c>
      <c r="V1473" s="25"/>
      <c r="W1473" s="25"/>
      <c r="X1473" s="25"/>
      <c r="Y1473" s="25"/>
      <c r="Z1473" s="25"/>
      <c r="AA1473" s="25"/>
    </row>
    <row r="1474" spans="1:27" x14ac:dyDescent="0.35">
      <c r="A1474" s="5">
        <v>1470</v>
      </c>
      <c r="B1474" s="5">
        <v>62</v>
      </c>
      <c r="C1474" s="5">
        <v>3</v>
      </c>
      <c r="D1474" s="25">
        <v>1.1415000000000001E-4</v>
      </c>
      <c r="E1474" s="25">
        <v>1.2101E-4</v>
      </c>
      <c r="F1474" s="25">
        <v>1.2045E-4</v>
      </c>
      <c r="G1474" s="25">
        <v>1.1211E-4</v>
      </c>
      <c r="H1474" s="25">
        <v>8.2100000000000003E-5</v>
      </c>
      <c r="I1474" s="9">
        <v>1.1056E-4</v>
      </c>
      <c r="J1474" s="9">
        <v>9.8679999999999997E-5</v>
      </c>
      <c r="K1474" s="9">
        <v>3.7088000000000003E-4</v>
      </c>
      <c r="L1474" s="9">
        <v>2.353E-5</v>
      </c>
      <c r="M1474" s="9">
        <v>5.236E-5</v>
      </c>
      <c r="N1474" s="9">
        <v>7.1149999999999995E-5</v>
      </c>
      <c r="O1474" s="9">
        <v>3.008E-5</v>
      </c>
      <c r="P1474" s="9">
        <v>6.9419999999999996E-5</v>
      </c>
      <c r="Q1474" s="9">
        <v>1.0805E-4</v>
      </c>
      <c r="R1474" s="10">
        <v>2.1086097876611958E-4</v>
      </c>
      <c r="S1474" s="10">
        <v>1.9021803038919328E-4</v>
      </c>
      <c r="T1474" s="10">
        <v>0</v>
      </c>
      <c r="U1474" s="10">
        <v>1.8242000000000001E-4</v>
      </c>
      <c r="V1474" s="25"/>
      <c r="W1474" s="25"/>
      <c r="X1474" s="25"/>
      <c r="Y1474" s="25"/>
      <c r="Z1474" s="25"/>
      <c r="AA1474" s="25"/>
    </row>
    <row r="1475" spans="1:27" x14ac:dyDescent="0.35">
      <c r="A1475" s="5">
        <v>1471</v>
      </c>
      <c r="B1475" s="5">
        <v>62</v>
      </c>
      <c r="C1475" s="5">
        <v>3</v>
      </c>
      <c r="D1475" s="25">
        <v>1.1416E-4</v>
      </c>
      <c r="E1475" s="25">
        <v>1.1712E-4</v>
      </c>
      <c r="F1475" s="25">
        <v>1.2669999999999999E-4</v>
      </c>
      <c r="G1475" s="25">
        <v>1.0606E-4</v>
      </c>
      <c r="H1475" s="25">
        <v>8.0560000000000001E-5</v>
      </c>
      <c r="I1475" s="9">
        <v>1.2412E-4</v>
      </c>
      <c r="J1475" s="9">
        <v>1.1031000000000001E-4</v>
      </c>
      <c r="K1475" s="9">
        <v>3.7299000000000002E-4</v>
      </c>
      <c r="L1475" s="9">
        <v>2.8540000000000001E-5</v>
      </c>
      <c r="M1475" s="9">
        <v>5.9670000000000003E-5</v>
      </c>
      <c r="N1475" s="9">
        <v>8.1089999999999998E-5</v>
      </c>
      <c r="O1475" s="9">
        <v>4.6010000000000002E-5</v>
      </c>
      <c r="P1475" s="9">
        <v>7.9170000000000003E-5</v>
      </c>
      <c r="Q1475" s="9">
        <v>1.1183000000000001E-4</v>
      </c>
      <c r="R1475" s="10">
        <v>2.0909836815250328E-4</v>
      </c>
      <c r="S1475" s="10">
        <v>1.9018231756251857E-4</v>
      </c>
      <c r="T1475" s="10">
        <v>0</v>
      </c>
      <c r="U1475" s="10">
        <v>1.8242000000000001E-4</v>
      </c>
      <c r="V1475" s="25"/>
      <c r="W1475" s="25"/>
      <c r="X1475" s="25"/>
      <c r="Y1475" s="25"/>
      <c r="Z1475" s="25"/>
      <c r="AA1475" s="25"/>
    </row>
    <row r="1476" spans="1:27" x14ac:dyDescent="0.35">
      <c r="A1476" s="5">
        <v>1472</v>
      </c>
      <c r="B1476" s="5">
        <v>62</v>
      </c>
      <c r="C1476" s="5">
        <v>3</v>
      </c>
      <c r="D1476" s="25">
        <v>1.1415000000000001E-4</v>
      </c>
      <c r="E1476" s="25">
        <v>1.1705E-4</v>
      </c>
      <c r="F1476" s="25">
        <v>1.2381E-4</v>
      </c>
      <c r="G1476" s="25">
        <v>1.6676000000000001E-4</v>
      </c>
      <c r="H1476" s="25">
        <v>1.2066E-4</v>
      </c>
      <c r="I1476" s="9">
        <v>1.3530000000000001E-4</v>
      </c>
      <c r="J1476" s="9">
        <v>1.2656000000000001E-4</v>
      </c>
      <c r="K1476" s="9">
        <v>3.6875999999999999E-4</v>
      </c>
      <c r="L1476" s="9">
        <v>4.2009999999999999E-5</v>
      </c>
      <c r="M1476" s="9">
        <v>6.8520000000000001E-5</v>
      </c>
      <c r="N1476" s="9">
        <v>9.1020000000000006E-5</v>
      </c>
      <c r="O1476" s="9">
        <v>6.7559999999999997E-5</v>
      </c>
      <c r="P1476" s="9">
        <v>1.0158999999999999E-4</v>
      </c>
      <c r="Q1476" s="9">
        <v>1.3527E-4</v>
      </c>
      <c r="R1476" s="10">
        <v>2.0698156036321166E-4</v>
      </c>
      <c r="S1476" s="10">
        <v>1.8894322730871131E-4</v>
      </c>
      <c r="T1476" s="10">
        <v>4.3532939965581257E-5</v>
      </c>
      <c r="U1476" s="10">
        <v>1.8242000000000001E-4</v>
      </c>
      <c r="V1476" s="25"/>
      <c r="W1476" s="25"/>
      <c r="X1476" s="25"/>
      <c r="Y1476" s="25"/>
      <c r="Z1476" s="25"/>
      <c r="AA1476" s="25"/>
    </row>
    <row r="1477" spans="1:27" x14ac:dyDescent="0.35">
      <c r="A1477" s="5">
        <v>1473</v>
      </c>
      <c r="B1477" s="5">
        <v>62</v>
      </c>
      <c r="C1477" s="5">
        <v>3</v>
      </c>
      <c r="D1477" s="25">
        <v>1.1416E-4</v>
      </c>
      <c r="E1477" s="25">
        <v>1.2098E-4</v>
      </c>
      <c r="F1477" s="25">
        <v>1.2114E-4</v>
      </c>
      <c r="G1477" s="25">
        <v>1.5640000000000001E-4</v>
      </c>
      <c r="H1477" s="25">
        <v>1.1755E-4</v>
      </c>
      <c r="I1477" s="9">
        <v>1.3868999999999999E-4</v>
      </c>
      <c r="J1477" s="9">
        <v>1.3768999999999999E-4</v>
      </c>
      <c r="K1477" s="9">
        <v>3.6027999999999999E-4</v>
      </c>
      <c r="L1477" s="9">
        <v>6.1569999999999995E-5</v>
      </c>
      <c r="M1477" s="9">
        <v>8.2600000000000002E-5</v>
      </c>
      <c r="N1477" s="9">
        <v>1.0441E-4</v>
      </c>
      <c r="O1477" s="9">
        <v>1.003E-4</v>
      </c>
      <c r="P1477" s="9">
        <v>1.3910999999999999E-4</v>
      </c>
      <c r="Q1477" s="9">
        <v>1.7773999999999999E-4</v>
      </c>
      <c r="R1477" s="10">
        <v>2.0343535898077462E-4</v>
      </c>
      <c r="S1477" s="10">
        <v>1.8440282231477572E-4</v>
      </c>
      <c r="T1477" s="10">
        <v>1.027703180282763E-4</v>
      </c>
      <c r="U1477" s="10">
        <v>1.8242000000000001E-4</v>
      </c>
      <c r="V1477" s="25"/>
      <c r="W1477" s="25"/>
      <c r="X1477" s="25"/>
      <c r="Y1477" s="25"/>
      <c r="Z1477" s="25"/>
      <c r="AA1477" s="25"/>
    </row>
    <row r="1478" spans="1:27" x14ac:dyDescent="0.35">
      <c r="A1478" s="5">
        <v>1474</v>
      </c>
      <c r="B1478" s="5">
        <v>62</v>
      </c>
      <c r="C1478" s="5">
        <v>3</v>
      </c>
      <c r="D1478" s="25">
        <v>1.1415000000000001E-4</v>
      </c>
      <c r="E1478" s="25">
        <v>1.1773E-4</v>
      </c>
      <c r="F1478" s="25">
        <v>1.3014999999999999E-4</v>
      </c>
      <c r="G1478" s="25">
        <v>1.628E-4</v>
      </c>
      <c r="H1478" s="25">
        <v>1.1552000000000001E-4</v>
      </c>
      <c r="I1478" s="9">
        <v>1.4175E-4</v>
      </c>
      <c r="J1478" s="9">
        <v>1.4301E-4</v>
      </c>
      <c r="K1478" s="9">
        <v>3.5604000000000001E-4</v>
      </c>
      <c r="L1478" s="9">
        <v>9.1269999999999999E-5</v>
      </c>
      <c r="M1478" s="9">
        <v>1.0649000000000001E-4</v>
      </c>
      <c r="N1478" s="9">
        <v>1.2459999999999999E-4</v>
      </c>
      <c r="O1478" s="9">
        <v>1.2873E-4</v>
      </c>
      <c r="P1478" s="9">
        <v>1.5543999999999999E-4</v>
      </c>
      <c r="Q1478" s="9">
        <v>1.8238E-4</v>
      </c>
      <c r="R1478" s="10">
        <v>2.0246566106862113E-4</v>
      </c>
      <c r="S1478" s="10">
        <v>1.8487349549744175E-4</v>
      </c>
      <c r="T1478" s="10">
        <v>6.0535475863266857E-5</v>
      </c>
      <c r="U1478" s="10">
        <v>1.8242000000000001E-4</v>
      </c>
      <c r="V1478" s="25"/>
      <c r="W1478" s="25"/>
      <c r="X1478" s="25"/>
      <c r="Y1478" s="25"/>
      <c r="Z1478" s="25"/>
      <c r="AA1478" s="25"/>
    </row>
    <row r="1479" spans="1:27" x14ac:dyDescent="0.35">
      <c r="A1479" s="5">
        <v>1475</v>
      </c>
      <c r="B1479" s="5">
        <v>62</v>
      </c>
      <c r="C1479" s="5">
        <v>3</v>
      </c>
      <c r="D1479" s="25">
        <v>1.1416E-4</v>
      </c>
      <c r="E1479" s="25">
        <v>1.1663E-4</v>
      </c>
      <c r="F1479" s="25">
        <v>1.2124E-4</v>
      </c>
      <c r="G1479" s="25">
        <v>1.606E-4</v>
      </c>
      <c r="H1479" s="25">
        <v>1.1764000000000001E-4</v>
      </c>
      <c r="I1479" s="9">
        <v>1.4160999999999999E-4</v>
      </c>
      <c r="J1479" s="9">
        <v>1.4176E-4</v>
      </c>
      <c r="K1479" s="9">
        <v>3.4120999999999999E-4</v>
      </c>
      <c r="L1479" s="9">
        <v>1.1975E-4</v>
      </c>
      <c r="M1479" s="9">
        <v>1.3018E-4</v>
      </c>
      <c r="N1479" s="9">
        <v>1.4269E-4</v>
      </c>
      <c r="O1479" s="9">
        <v>1.3676000000000001E-4</v>
      </c>
      <c r="P1479" s="9">
        <v>1.5789999999999999E-4</v>
      </c>
      <c r="Q1479" s="9">
        <v>1.7942000000000001E-4</v>
      </c>
      <c r="R1479" s="10">
        <v>2.0347032436927412E-4</v>
      </c>
      <c r="S1479" s="10">
        <v>1.8333861950947807E-4</v>
      </c>
      <c r="T1479" s="10">
        <v>7.8471284689468127E-5</v>
      </c>
      <c r="U1479" s="10">
        <v>1.8242000000000001E-4</v>
      </c>
      <c r="V1479" s="25"/>
      <c r="W1479" s="25"/>
      <c r="X1479" s="25"/>
      <c r="Y1479" s="25"/>
      <c r="Z1479" s="25"/>
      <c r="AA1479" s="25"/>
    </row>
    <row r="1480" spans="1:27" x14ac:dyDescent="0.35">
      <c r="A1480" s="5">
        <v>1476</v>
      </c>
      <c r="B1480" s="5">
        <v>62</v>
      </c>
      <c r="C1480" s="5">
        <v>3</v>
      </c>
      <c r="D1480" s="25">
        <v>1.1415000000000001E-4</v>
      </c>
      <c r="E1480" s="25">
        <v>1.2021E-4</v>
      </c>
      <c r="F1480" s="25">
        <v>1.3036999999999999E-4</v>
      </c>
      <c r="G1480" s="25">
        <v>1.606E-4</v>
      </c>
      <c r="H1480" s="25">
        <v>1.1745E-4</v>
      </c>
      <c r="I1480" s="9">
        <v>1.4049000000000001E-4</v>
      </c>
      <c r="J1480" s="9">
        <v>1.3867E-4</v>
      </c>
      <c r="K1480" s="9">
        <v>3.3272999999999999E-4</v>
      </c>
      <c r="L1480" s="9">
        <v>1.3234999999999999E-4</v>
      </c>
      <c r="M1480" s="9">
        <v>1.4577000000000001E-4</v>
      </c>
      <c r="N1480" s="9">
        <v>1.5672E-4</v>
      </c>
      <c r="O1480" s="9">
        <v>1.3877E-4</v>
      </c>
      <c r="P1480" s="9">
        <v>1.5660000000000001E-4</v>
      </c>
      <c r="Q1480" s="9">
        <v>1.7487000000000001E-4</v>
      </c>
      <c r="R1480" s="10">
        <v>2.0190195107458052E-4</v>
      </c>
      <c r="S1480" s="10">
        <v>1.6603908596278673E-4</v>
      </c>
      <c r="T1480" s="10">
        <v>5.8982849082190773E-5</v>
      </c>
      <c r="U1480" s="10">
        <v>1.8242000000000001E-4</v>
      </c>
      <c r="V1480" s="25"/>
      <c r="W1480" s="25"/>
      <c r="X1480" s="25"/>
      <c r="Y1480" s="25"/>
      <c r="Z1480" s="25"/>
      <c r="AA1480" s="25"/>
    </row>
    <row r="1481" spans="1:27" x14ac:dyDescent="0.35">
      <c r="A1481" s="5">
        <v>1477</v>
      </c>
      <c r="B1481" s="5">
        <v>62</v>
      </c>
      <c r="C1481" s="5">
        <v>3</v>
      </c>
      <c r="D1481" s="25">
        <v>1.1416E-4</v>
      </c>
      <c r="E1481" s="25">
        <v>1.2048999999999999E-4</v>
      </c>
      <c r="F1481" s="25">
        <v>1.3001000000000001E-4</v>
      </c>
      <c r="G1481" s="25">
        <v>1.6038000000000001E-4</v>
      </c>
      <c r="H1481" s="25">
        <v>1.1676E-4</v>
      </c>
      <c r="I1481" s="9">
        <v>1.3740000000000001E-4</v>
      </c>
      <c r="J1481" s="9">
        <v>1.3574E-4</v>
      </c>
      <c r="K1481" s="9">
        <v>3.3061000000000001E-4</v>
      </c>
      <c r="L1481" s="9">
        <v>1.372E-4</v>
      </c>
      <c r="M1481" s="9">
        <v>1.5297999999999999E-4</v>
      </c>
      <c r="N1481" s="9">
        <v>1.6636999999999999E-4</v>
      </c>
      <c r="O1481" s="9">
        <v>1.2964000000000001E-4</v>
      </c>
      <c r="P1481" s="9">
        <v>1.4815E-4</v>
      </c>
      <c r="Q1481" s="9">
        <v>1.6703000000000001E-4</v>
      </c>
      <c r="R1481" s="10">
        <v>2.0644692308250038E-4</v>
      </c>
      <c r="S1481" s="10">
        <v>1.6208094768443203E-4</v>
      </c>
      <c r="T1481" s="10">
        <v>0</v>
      </c>
      <c r="U1481" s="10">
        <v>1.8242000000000001E-4</v>
      </c>
      <c r="V1481" s="25"/>
      <c r="W1481" s="25"/>
      <c r="X1481" s="25"/>
      <c r="Y1481" s="25"/>
      <c r="Z1481" s="25"/>
      <c r="AA1481" s="25"/>
    </row>
    <row r="1482" spans="1:27" x14ac:dyDescent="0.35">
      <c r="A1482" s="5">
        <v>1478</v>
      </c>
      <c r="B1482" s="5">
        <v>62</v>
      </c>
      <c r="C1482" s="5">
        <v>3</v>
      </c>
      <c r="D1482" s="25">
        <v>1.1415000000000001E-4</v>
      </c>
      <c r="E1482" s="25">
        <v>1.1648E-4</v>
      </c>
      <c r="F1482" s="25">
        <v>1.2646000000000001E-4</v>
      </c>
      <c r="G1482" s="25">
        <v>1.5824E-4</v>
      </c>
      <c r="H1482" s="25">
        <v>1.1437E-4</v>
      </c>
      <c r="I1482" s="9">
        <v>1.3605999999999999E-4</v>
      </c>
      <c r="J1482" s="9">
        <v>1.3589E-4</v>
      </c>
      <c r="K1482" s="9">
        <v>3.3697000000000002E-4</v>
      </c>
      <c r="L1482" s="9">
        <v>1.3134E-4</v>
      </c>
      <c r="M1482" s="9">
        <v>1.5264E-4</v>
      </c>
      <c r="N1482" s="9">
        <v>1.7061999999999999E-4</v>
      </c>
      <c r="O1482" s="9">
        <v>1.1251000000000001E-4</v>
      </c>
      <c r="P1482" s="9">
        <v>1.3663999999999999E-4</v>
      </c>
      <c r="Q1482" s="9">
        <v>1.6090000000000001E-4</v>
      </c>
      <c r="R1482" s="10">
        <v>2.0564623553254101E-4</v>
      </c>
      <c r="S1482" s="10">
        <v>1.5682318995735629E-4</v>
      </c>
      <c r="T1482" s="10">
        <v>7.9022764147227404E-5</v>
      </c>
      <c r="U1482" s="10">
        <v>1.8242000000000001E-4</v>
      </c>
      <c r="V1482" s="25"/>
      <c r="W1482" s="25"/>
      <c r="X1482" s="25"/>
      <c r="Y1482" s="25"/>
      <c r="Z1482" s="25"/>
      <c r="AA1482" s="25"/>
    </row>
    <row r="1483" spans="1:27" x14ac:dyDescent="0.35">
      <c r="A1483" s="5">
        <v>1479</v>
      </c>
      <c r="B1483" s="5">
        <v>62</v>
      </c>
      <c r="C1483" s="5">
        <v>3</v>
      </c>
      <c r="D1483" s="25">
        <v>1.1416E-4</v>
      </c>
      <c r="E1483" s="25">
        <v>1.1488E-4</v>
      </c>
      <c r="F1483" s="25">
        <v>1.1846E-4</v>
      </c>
      <c r="G1483" s="25">
        <v>1.6182999999999999E-4</v>
      </c>
      <c r="H1483" s="25">
        <v>1.1677E-4</v>
      </c>
      <c r="I1483" s="9">
        <v>1.3475E-4</v>
      </c>
      <c r="J1483" s="9">
        <v>1.3643999999999999E-4</v>
      </c>
      <c r="K1483" s="9">
        <v>3.412E-4</v>
      </c>
      <c r="L1483" s="9">
        <v>1.1688000000000001E-4</v>
      </c>
      <c r="M1483" s="9">
        <v>1.4652E-4</v>
      </c>
      <c r="N1483" s="9">
        <v>1.7013E-4</v>
      </c>
      <c r="O1483" s="9">
        <v>1.2814E-4</v>
      </c>
      <c r="P1483" s="9">
        <v>1.4076E-4</v>
      </c>
      <c r="Q1483" s="9">
        <v>1.5381999999999999E-4</v>
      </c>
      <c r="R1483" s="10">
        <v>2.0522823897579315E-4</v>
      </c>
      <c r="S1483" s="10">
        <v>1.6090618114197178E-4</v>
      </c>
      <c r="T1483" s="10">
        <v>1.0666461142999171E-4</v>
      </c>
      <c r="U1483" s="10">
        <v>1.8242000000000001E-4</v>
      </c>
      <c r="V1483" s="25"/>
      <c r="W1483" s="25"/>
      <c r="X1483" s="25"/>
      <c r="Y1483" s="25"/>
      <c r="Z1483" s="25"/>
      <c r="AA1483" s="25"/>
    </row>
    <row r="1484" spans="1:27" x14ac:dyDescent="0.35">
      <c r="A1484" s="5">
        <v>1480</v>
      </c>
      <c r="B1484" s="5">
        <v>62</v>
      </c>
      <c r="C1484" s="5">
        <v>3</v>
      </c>
      <c r="D1484" s="25">
        <v>1.1415000000000001E-4</v>
      </c>
      <c r="E1484" s="25">
        <v>1.1279E-4</v>
      </c>
      <c r="F1484" s="25">
        <v>1.2142E-4</v>
      </c>
      <c r="G1484" s="25">
        <v>1.6048000000000001E-4</v>
      </c>
      <c r="H1484" s="25">
        <v>1.1823E-4</v>
      </c>
      <c r="I1484" s="9">
        <v>1.3660000000000001E-4</v>
      </c>
      <c r="J1484" s="9">
        <v>1.3841E-4</v>
      </c>
      <c r="K1484" s="9">
        <v>3.4756000000000001E-4</v>
      </c>
      <c r="L1484" s="9">
        <v>1.2609000000000001E-4</v>
      </c>
      <c r="M1484" s="9">
        <v>1.4273000000000001E-4</v>
      </c>
      <c r="N1484" s="9">
        <v>1.6650000000000001E-4</v>
      </c>
      <c r="O1484" s="9">
        <v>1.3344E-4</v>
      </c>
      <c r="P1484" s="9">
        <v>1.2094E-4</v>
      </c>
      <c r="Q1484" s="9">
        <v>1.0932E-4</v>
      </c>
      <c r="R1484" s="10">
        <v>2.0856715611488051E-4</v>
      </c>
      <c r="S1484" s="10">
        <v>1.7349907096191278E-4</v>
      </c>
      <c r="T1484" s="10">
        <v>3.1546321843699905E-4</v>
      </c>
      <c r="U1484" s="10">
        <v>1.8242000000000001E-4</v>
      </c>
      <c r="V1484" s="25"/>
      <c r="W1484" s="25"/>
      <c r="X1484" s="25"/>
      <c r="Y1484" s="25"/>
      <c r="Z1484" s="25"/>
      <c r="AA1484" s="25"/>
    </row>
    <row r="1485" spans="1:27" x14ac:dyDescent="0.35">
      <c r="A1485" s="5">
        <v>1481</v>
      </c>
      <c r="B1485" s="5">
        <v>62</v>
      </c>
      <c r="C1485" s="5">
        <v>3</v>
      </c>
      <c r="D1485" s="25">
        <v>1.1416E-4</v>
      </c>
      <c r="E1485" s="25">
        <v>1.1618E-4</v>
      </c>
      <c r="F1485" s="25">
        <v>1.3715E-4</v>
      </c>
      <c r="G1485" s="25">
        <v>1.6540000000000001E-4</v>
      </c>
      <c r="H1485" s="25">
        <v>1.1839E-4</v>
      </c>
      <c r="I1485" s="9">
        <v>1.37E-4</v>
      </c>
      <c r="J1485" s="9">
        <v>1.4118999999999999E-4</v>
      </c>
      <c r="K1485" s="9">
        <v>3.5604000000000001E-4</v>
      </c>
      <c r="L1485" s="9">
        <v>1.3151999999999999E-4</v>
      </c>
      <c r="M1485" s="9">
        <v>1.3407999999999999E-4</v>
      </c>
      <c r="N1485" s="9">
        <v>1.5265E-4</v>
      </c>
      <c r="O1485" s="9">
        <v>1.3903E-4</v>
      </c>
      <c r="P1485" s="9">
        <v>1.2218999999999999E-4</v>
      </c>
      <c r="Q1485" s="9">
        <v>1.0634E-4</v>
      </c>
      <c r="R1485" s="10">
        <v>2.0232618718637435E-4</v>
      </c>
      <c r="S1485" s="10">
        <v>1.7695125448394968E-4</v>
      </c>
      <c r="T1485" s="10">
        <v>1.6121865625140811E-4</v>
      </c>
      <c r="U1485" s="10">
        <v>1.8242000000000001E-4</v>
      </c>
      <c r="V1485" s="25"/>
      <c r="W1485" s="25"/>
      <c r="X1485" s="25"/>
      <c r="Y1485" s="25"/>
      <c r="Z1485" s="25"/>
      <c r="AA1485" s="25"/>
    </row>
    <row r="1486" spans="1:27" x14ac:dyDescent="0.35">
      <c r="A1486" s="5">
        <v>1482</v>
      </c>
      <c r="B1486" s="5">
        <v>62</v>
      </c>
      <c r="C1486" s="5">
        <v>3</v>
      </c>
      <c r="D1486" s="25">
        <v>1.1415000000000001E-4</v>
      </c>
      <c r="E1486" s="25">
        <v>1.1226999999999999E-4</v>
      </c>
      <c r="F1486" s="25">
        <v>1.3108999999999999E-4</v>
      </c>
      <c r="G1486" s="25">
        <v>1.5747999999999999E-4</v>
      </c>
      <c r="H1486" s="25">
        <v>1.2052E-4</v>
      </c>
      <c r="I1486" s="9">
        <v>1.3915999999999999E-4</v>
      </c>
      <c r="J1486" s="9">
        <v>1.4381999999999999E-4</v>
      </c>
      <c r="K1486" s="9">
        <v>3.6240000000000003E-4</v>
      </c>
      <c r="L1486" s="9">
        <v>1.3711999999999999E-4</v>
      </c>
      <c r="M1486" s="9">
        <v>1.2757999999999999E-4</v>
      </c>
      <c r="N1486" s="9">
        <v>1.3907000000000001E-4</v>
      </c>
      <c r="O1486" s="9">
        <v>1.4176999999999999E-4</v>
      </c>
      <c r="P1486" s="9">
        <v>1.2971E-4</v>
      </c>
      <c r="Q1486" s="9">
        <v>1.1858000000000001E-4</v>
      </c>
      <c r="R1486" s="10">
        <v>1.9979126639607423E-4</v>
      </c>
      <c r="S1486" s="10">
        <v>1.8094708777593877E-4</v>
      </c>
      <c r="T1486" s="10">
        <v>0</v>
      </c>
      <c r="U1486" s="10">
        <v>1.8242000000000001E-4</v>
      </c>
      <c r="V1486" s="25"/>
      <c r="W1486" s="25"/>
      <c r="X1486" s="25"/>
      <c r="Y1486" s="25"/>
      <c r="Z1486" s="25"/>
      <c r="AA1486" s="25"/>
    </row>
    <row r="1487" spans="1:27" x14ac:dyDescent="0.35">
      <c r="A1487" s="5">
        <v>1483</v>
      </c>
      <c r="B1487" s="5">
        <v>62</v>
      </c>
      <c r="C1487" s="5">
        <v>3</v>
      </c>
      <c r="D1487" s="25">
        <v>1.1416E-4</v>
      </c>
      <c r="E1487" s="25">
        <v>1.2168E-4</v>
      </c>
      <c r="F1487" s="25">
        <v>1.2646000000000001E-4</v>
      </c>
      <c r="G1487" s="25">
        <v>1.1411E-4</v>
      </c>
      <c r="H1487" s="25">
        <v>7.6879999999999996E-5</v>
      </c>
      <c r="I1487" s="9">
        <v>1.4316E-4</v>
      </c>
      <c r="J1487" s="9">
        <v>1.426E-4</v>
      </c>
      <c r="K1487" s="9">
        <v>3.7088000000000003E-4</v>
      </c>
      <c r="L1487" s="9">
        <v>1.4066999999999999E-4</v>
      </c>
      <c r="M1487" s="9">
        <v>1.2684E-4</v>
      </c>
      <c r="N1487" s="9">
        <v>1.3017000000000001E-4</v>
      </c>
      <c r="O1487" s="9">
        <v>1.4024E-4</v>
      </c>
      <c r="P1487" s="9">
        <v>1.2273000000000001E-4</v>
      </c>
      <c r="Q1487" s="9">
        <v>1.0623E-4</v>
      </c>
      <c r="R1487" s="10">
        <v>1.8671459617332044E-4</v>
      </c>
      <c r="S1487" s="10">
        <v>1.818794006598388E-4</v>
      </c>
      <c r="T1487" s="10">
        <v>0</v>
      </c>
      <c r="U1487" s="10">
        <v>1.8242000000000001E-4</v>
      </c>
      <c r="V1487" s="25"/>
      <c r="W1487" s="25"/>
      <c r="X1487" s="25"/>
      <c r="Y1487" s="25"/>
      <c r="Z1487" s="25"/>
      <c r="AA1487" s="25"/>
    </row>
    <row r="1488" spans="1:27" x14ac:dyDescent="0.35">
      <c r="A1488" s="5">
        <v>1484</v>
      </c>
      <c r="B1488" s="5">
        <v>62</v>
      </c>
      <c r="C1488" s="5">
        <v>3</v>
      </c>
      <c r="D1488" s="25">
        <v>1.1415000000000001E-4</v>
      </c>
      <c r="E1488" s="25">
        <v>1.1403E-4</v>
      </c>
      <c r="F1488" s="25">
        <v>1.3537E-4</v>
      </c>
      <c r="G1488" s="25">
        <v>1.1518000000000001E-4</v>
      </c>
      <c r="H1488" s="25">
        <v>8.0279999999999997E-5</v>
      </c>
      <c r="I1488" s="9">
        <v>1.4232000000000001E-4</v>
      </c>
      <c r="J1488" s="9">
        <v>1.4142000000000001E-4</v>
      </c>
      <c r="K1488" s="9">
        <v>3.8571999999999999E-4</v>
      </c>
      <c r="L1488" s="9">
        <v>1.4028000000000001E-4</v>
      </c>
      <c r="M1488" s="9">
        <v>1.2546000000000001E-4</v>
      </c>
      <c r="N1488" s="9">
        <v>1.2084E-4</v>
      </c>
      <c r="O1488" s="9">
        <v>1.4266999999999999E-4</v>
      </c>
      <c r="P1488" s="9">
        <v>1.2134E-4</v>
      </c>
      <c r="Q1488" s="9">
        <v>1.0109E-4</v>
      </c>
      <c r="R1488" s="10">
        <v>1.7511761579732627E-4</v>
      </c>
      <c r="S1488" s="10">
        <v>1.8319695527149095E-4</v>
      </c>
      <c r="T1488" s="10">
        <v>0</v>
      </c>
      <c r="U1488" s="10">
        <v>1.8242000000000001E-4</v>
      </c>
      <c r="V1488" s="25"/>
      <c r="W1488" s="25"/>
      <c r="X1488" s="25"/>
      <c r="Y1488" s="25"/>
      <c r="Z1488" s="25"/>
      <c r="AA1488" s="25"/>
    </row>
    <row r="1489" spans="1:27" x14ac:dyDescent="0.35">
      <c r="A1489" s="5">
        <v>1485</v>
      </c>
      <c r="B1489" s="5">
        <v>62</v>
      </c>
      <c r="C1489" s="5">
        <v>3</v>
      </c>
      <c r="D1489" s="25">
        <v>1.1416E-4</v>
      </c>
      <c r="E1489" s="25">
        <v>1.1568E-4</v>
      </c>
      <c r="F1489" s="25">
        <v>1.2391E-4</v>
      </c>
      <c r="G1489" s="25">
        <v>5.4490000000000002E-5</v>
      </c>
      <c r="H1489" s="25">
        <v>4.5500000000000001E-5</v>
      </c>
      <c r="I1489" s="9">
        <v>1.3433999999999999E-4</v>
      </c>
      <c r="J1489" s="9">
        <v>1.3527E-4</v>
      </c>
      <c r="K1489" s="9">
        <v>3.9207000000000001E-4</v>
      </c>
      <c r="L1489" s="9">
        <v>1.4218999999999999E-4</v>
      </c>
      <c r="M1489" s="9">
        <v>1.2364E-4</v>
      </c>
      <c r="N1489" s="9">
        <v>1.1294E-4</v>
      </c>
      <c r="O1489" s="9">
        <v>8.4179999999999997E-5</v>
      </c>
      <c r="P1489" s="9">
        <v>8.5879999999999998E-5</v>
      </c>
      <c r="Q1489" s="9">
        <v>8.7869999999999997E-5</v>
      </c>
      <c r="R1489" s="10">
        <v>1.7371287567214216E-4</v>
      </c>
      <c r="S1489" s="10">
        <v>1.8139452588191785E-4</v>
      </c>
      <c r="T1489" s="10">
        <v>0</v>
      </c>
      <c r="U1489" s="10">
        <v>1.8242000000000001E-4</v>
      </c>
      <c r="V1489" s="25"/>
      <c r="W1489" s="25"/>
      <c r="X1489" s="25"/>
      <c r="Y1489" s="25"/>
      <c r="Z1489" s="25"/>
      <c r="AA1489" s="25"/>
    </row>
    <row r="1490" spans="1:27" x14ac:dyDescent="0.35">
      <c r="A1490" s="5">
        <v>1486</v>
      </c>
      <c r="B1490" s="5">
        <v>62</v>
      </c>
      <c r="C1490" s="5">
        <v>3</v>
      </c>
      <c r="D1490" s="25">
        <v>1.1415000000000001E-4</v>
      </c>
      <c r="E1490" s="25">
        <v>1.2274000000000001E-4</v>
      </c>
      <c r="F1490" s="25">
        <v>1.3925E-4</v>
      </c>
      <c r="G1490" s="25">
        <v>5.588E-5</v>
      </c>
      <c r="H1490" s="25">
        <v>4.057E-5</v>
      </c>
      <c r="I1490" s="9">
        <v>1.2734000000000001E-4</v>
      </c>
      <c r="J1490" s="9">
        <v>1.2781000000000001E-4</v>
      </c>
      <c r="K1490" s="9">
        <v>4.2598000000000001E-4</v>
      </c>
      <c r="L1490" s="9">
        <v>9.6910000000000006E-5</v>
      </c>
      <c r="M1490" s="9">
        <v>1.0953E-4</v>
      </c>
      <c r="N1490" s="9">
        <v>1.0526000000000001E-4</v>
      </c>
      <c r="O1490" s="9">
        <v>8.7520000000000002E-5</v>
      </c>
      <c r="P1490" s="9">
        <v>8.7839999999999999E-5</v>
      </c>
      <c r="Q1490" s="9">
        <v>8.8490000000000001E-5</v>
      </c>
      <c r="R1490" s="10">
        <v>1.7858030134004462E-4</v>
      </c>
      <c r="S1490" s="10">
        <v>1.8478114315555178E-4</v>
      </c>
      <c r="T1490" s="10">
        <v>0</v>
      </c>
      <c r="U1490" s="10">
        <v>1.8242000000000001E-4</v>
      </c>
      <c r="V1490" s="25"/>
      <c r="W1490" s="25"/>
      <c r="X1490" s="25"/>
      <c r="Y1490" s="25"/>
      <c r="Z1490" s="25"/>
      <c r="AA1490" s="25"/>
    </row>
    <row r="1491" spans="1:27" x14ac:dyDescent="0.35">
      <c r="A1491" s="5">
        <v>1487</v>
      </c>
      <c r="B1491" s="5">
        <v>62</v>
      </c>
      <c r="C1491" s="5">
        <v>3</v>
      </c>
      <c r="D1491" s="25">
        <v>1.1416E-4</v>
      </c>
      <c r="E1491" s="25">
        <v>1.153E-4</v>
      </c>
      <c r="F1491" s="25">
        <v>1.3307999999999999E-4</v>
      </c>
      <c r="G1491" s="25">
        <v>5.3350000000000003E-5</v>
      </c>
      <c r="H1491" s="25">
        <v>4.2889999999999998E-5</v>
      </c>
      <c r="I1491" s="9">
        <v>1.2765000000000001E-4</v>
      </c>
      <c r="J1491" s="9">
        <v>1.1847E-4</v>
      </c>
      <c r="K1491" s="9">
        <v>4.5988000000000002E-4</v>
      </c>
      <c r="L1491" s="9">
        <v>9.0829999999999996E-5</v>
      </c>
      <c r="M1491" s="9">
        <v>9.7949999999999996E-5</v>
      </c>
      <c r="N1491" s="9">
        <v>9.9549999999999994E-5</v>
      </c>
      <c r="O1491" s="9">
        <v>8.4350000000000004E-5</v>
      </c>
      <c r="P1491" s="9">
        <v>7.5300000000000001E-5</v>
      </c>
      <c r="Q1491" s="9">
        <v>6.6699999999999995E-5</v>
      </c>
      <c r="R1491" s="10">
        <v>1.8038453814009616E-4</v>
      </c>
      <c r="S1491" s="10">
        <v>1.8718400490022025E-4</v>
      </c>
      <c r="T1491" s="10">
        <v>0</v>
      </c>
      <c r="U1491" s="10">
        <v>1.8242000000000001E-4</v>
      </c>
      <c r="V1491" s="25"/>
      <c r="W1491" s="25"/>
      <c r="X1491" s="25"/>
      <c r="Y1491" s="25"/>
      <c r="Z1491" s="25"/>
      <c r="AA1491" s="25"/>
    </row>
    <row r="1492" spans="1:27" x14ac:dyDescent="0.35">
      <c r="A1492" s="5">
        <v>1488</v>
      </c>
      <c r="B1492" s="5">
        <v>62</v>
      </c>
      <c r="C1492" s="5">
        <v>3</v>
      </c>
      <c r="D1492" s="25">
        <v>1.1415000000000001E-4</v>
      </c>
      <c r="E1492" s="25">
        <v>1.1927E-4</v>
      </c>
      <c r="F1492" s="25">
        <v>1.2972999999999999E-4</v>
      </c>
      <c r="G1492" s="25">
        <v>5.4939999999999999E-5</v>
      </c>
      <c r="H1492" s="25">
        <v>3.79E-5</v>
      </c>
      <c r="I1492" s="9">
        <v>1.2752E-4</v>
      </c>
      <c r="J1492" s="9">
        <v>1.1037E-4</v>
      </c>
      <c r="K1492" s="9">
        <v>4.8108E-4</v>
      </c>
      <c r="L1492" s="9">
        <v>8.598E-5</v>
      </c>
      <c r="M1492" s="9">
        <v>8.7100000000000003E-5</v>
      </c>
      <c r="N1492" s="9">
        <v>9.0270000000000001E-5</v>
      </c>
      <c r="O1492" s="9">
        <v>7.9649999999999998E-5</v>
      </c>
      <c r="P1492" s="9">
        <v>6.9239999999999994E-5</v>
      </c>
      <c r="Q1492" s="9">
        <v>5.927E-5</v>
      </c>
      <c r="R1492" s="10">
        <v>2.0274540155557514E-4</v>
      </c>
      <c r="S1492" s="10">
        <v>1.8976770349333751E-4</v>
      </c>
      <c r="T1492" s="10">
        <v>0</v>
      </c>
      <c r="U1492" s="10">
        <v>1.8242000000000001E-4</v>
      </c>
      <c r="V1492" s="25"/>
      <c r="W1492" s="25"/>
      <c r="X1492" s="25"/>
      <c r="Y1492" s="25"/>
      <c r="Z1492" s="25"/>
      <c r="AA1492" s="25"/>
    </row>
    <row r="1493" spans="1:27" x14ac:dyDescent="0.35">
      <c r="A1493" s="5">
        <v>1489</v>
      </c>
      <c r="B1493" s="5">
        <v>63</v>
      </c>
      <c r="C1493" s="5">
        <v>3</v>
      </c>
      <c r="D1493" s="25">
        <v>1.1416E-4</v>
      </c>
      <c r="E1493" s="25">
        <v>1.1482E-4</v>
      </c>
      <c r="F1493" s="25">
        <v>9.7930000000000006E-5</v>
      </c>
      <c r="G1493" s="25">
        <v>5.9360000000000001E-5</v>
      </c>
      <c r="H1493" s="25">
        <v>1.394E-5</v>
      </c>
      <c r="I1493" s="9">
        <v>1.2002000000000001E-4</v>
      </c>
      <c r="J1493" s="9">
        <v>1.0327000000000001E-4</v>
      </c>
      <c r="K1493" s="9">
        <v>5.1922999999999997E-4</v>
      </c>
      <c r="L1493" s="9">
        <v>8.0840000000000005E-5</v>
      </c>
      <c r="M1493" s="9">
        <v>7.8200000000000003E-5</v>
      </c>
      <c r="N1493" s="9">
        <v>8.1050000000000005E-5</v>
      </c>
      <c r="O1493" s="9">
        <v>6.8700000000000003E-5</v>
      </c>
      <c r="P1493" s="9">
        <v>6.1169999999999999E-5</v>
      </c>
      <c r="Q1493" s="9">
        <v>5.3949999999999997E-5</v>
      </c>
      <c r="R1493" s="10">
        <v>2.0457670215703419E-4</v>
      </c>
      <c r="S1493" s="10">
        <v>1.9025140319312291E-4</v>
      </c>
      <c r="T1493" s="10">
        <v>0</v>
      </c>
      <c r="U1493" s="10">
        <v>1.8120000000000001E-4</v>
      </c>
      <c r="V1493" s="25"/>
      <c r="W1493" s="25"/>
      <c r="X1493" s="25"/>
      <c r="Y1493" s="25"/>
      <c r="Z1493" s="25"/>
      <c r="AA1493" s="25"/>
    </row>
    <row r="1494" spans="1:27" x14ac:dyDescent="0.35">
      <c r="A1494" s="5">
        <v>1490</v>
      </c>
      <c r="B1494" s="5">
        <v>63</v>
      </c>
      <c r="C1494" s="5">
        <v>3</v>
      </c>
      <c r="D1494" s="25">
        <v>1.1415000000000001E-4</v>
      </c>
      <c r="E1494" s="25">
        <v>1.2249E-4</v>
      </c>
      <c r="F1494" s="25">
        <v>1.0157000000000001E-4</v>
      </c>
      <c r="G1494" s="25">
        <v>5.4509999999999998E-5</v>
      </c>
      <c r="H1494" s="25">
        <v>1.309E-5</v>
      </c>
      <c r="I1494" s="9">
        <v>1.148E-4</v>
      </c>
      <c r="J1494" s="9">
        <v>9.9359999999999997E-5</v>
      </c>
      <c r="K1494" s="9">
        <v>5.2981999999999997E-4</v>
      </c>
      <c r="L1494" s="9">
        <v>7.1500000000000003E-5</v>
      </c>
      <c r="M1494" s="9">
        <v>6.9999999999999994E-5</v>
      </c>
      <c r="N1494" s="9">
        <v>7.2130000000000002E-5</v>
      </c>
      <c r="O1494" s="9">
        <v>3.5240000000000001E-5</v>
      </c>
      <c r="P1494" s="9">
        <v>4.5800000000000002E-5</v>
      </c>
      <c r="Q1494" s="9">
        <v>5.613E-5</v>
      </c>
      <c r="R1494" s="10">
        <v>2.0557933254215023E-4</v>
      </c>
      <c r="S1494" s="10">
        <v>1.9029020450892506E-4</v>
      </c>
      <c r="T1494" s="10">
        <v>0</v>
      </c>
      <c r="U1494" s="10">
        <v>1.8120000000000001E-4</v>
      </c>
      <c r="V1494" s="25"/>
      <c r="W1494" s="25"/>
      <c r="X1494" s="25"/>
      <c r="Y1494" s="25"/>
      <c r="Z1494" s="25"/>
      <c r="AA1494" s="25"/>
    </row>
    <row r="1495" spans="1:27" x14ac:dyDescent="0.35">
      <c r="A1495" s="5">
        <v>1491</v>
      </c>
      <c r="B1495" s="5">
        <v>63</v>
      </c>
      <c r="C1495" s="5">
        <v>3</v>
      </c>
      <c r="D1495" s="25">
        <v>1.1416E-4</v>
      </c>
      <c r="E1495" s="25">
        <v>1.1926000000000001E-4</v>
      </c>
      <c r="F1495" s="25">
        <v>1.1014999999999999E-4</v>
      </c>
      <c r="G1495" s="25">
        <v>6.3490000000000004E-5</v>
      </c>
      <c r="H1495" s="25">
        <v>1.5469999999999999E-5</v>
      </c>
      <c r="I1495" s="9">
        <v>1.0992E-4</v>
      </c>
      <c r="J1495" s="9">
        <v>9.7040000000000006E-5</v>
      </c>
      <c r="K1495" s="9">
        <v>5.6161000000000004E-4</v>
      </c>
      <c r="L1495" s="9">
        <v>4.3460000000000001E-5</v>
      </c>
      <c r="M1495" s="9">
        <v>5.9349999999999999E-5</v>
      </c>
      <c r="N1495" s="9">
        <v>6.5599999999999995E-5</v>
      </c>
      <c r="O1495" s="9">
        <v>2.2220000000000001E-5</v>
      </c>
      <c r="P1495" s="9">
        <v>4.2259999999999999E-5</v>
      </c>
      <c r="Q1495" s="9">
        <v>6.1810000000000006E-5</v>
      </c>
      <c r="R1495" s="10">
        <v>2.0502515847154251E-4</v>
      </c>
      <c r="S1495" s="10">
        <v>1.9028968461441429E-4</v>
      </c>
      <c r="T1495" s="10">
        <v>0</v>
      </c>
      <c r="U1495" s="10">
        <v>1.8120000000000001E-4</v>
      </c>
      <c r="V1495" s="25"/>
      <c r="W1495" s="25"/>
      <c r="X1495" s="25"/>
      <c r="Y1495" s="25"/>
      <c r="Z1495" s="25"/>
      <c r="AA1495" s="25"/>
    </row>
    <row r="1496" spans="1:27" x14ac:dyDescent="0.35">
      <c r="A1496" s="5">
        <v>1492</v>
      </c>
      <c r="B1496" s="5">
        <v>63</v>
      </c>
      <c r="C1496" s="5">
        <v>3</v>
      </c>
      <c r="D1496" s="25">
        <v>1.1415000000000001E-4</v>
      </c>
      <c r="E1496" s="25">
        <v>1.2370999999999999E-4</v>
      </c>
      <c r="F1496" s="25">
        <v>1.0794999999999999E-4</v>
      </c>
      <c r="G1496" s="25">
        <v>5.9729999999999999E-5</v>
      </c>
      <c r="H1496" s="25">
        <v>1.5119999999999999E-5</v>
      </c>
      <c r="I1496" s="9">
        <v>1.0842E-4</v>
      </c>
      <c r="J1496" s="9">
        <v>9.6219999999999997E-5</v>
      </c>
      <c r="K1496" s="9">
        <v>5.934E-4</v>
      </c>
      <c r="L1496" s="9">
        <v>2.7650000000000001E-5</v>
      </c>
      <c r="M1496" s="9">
        <v>5.0630000000000001E-5</v>
      </c>
      <c r="N1496" s="9">
        <v>6.2080000000000002E-5</v>
      </c>
      <c r="O1496" s="9">
        <v>2.173E-5</v>
      </c>
      <c r="P1496" s="9">
        <v>5.1610000000000002E-5</v>
      </c>
      <c r="Q1496" s="9">
        <v>8.085E-5</v>
      </c>
      <c r="R1496" s="10">
        <v>2.0690617095061898E-4</v>
      </c>
      <c r="S1496" s="10">
        <v>1.9029016997376821E-4</v>
      </c>
      <c r="T1496" s="10">
        <v>0</v>
      </c>
      <c r="U1496" s="10">
        <v>1.8120000000000001E-4</v>
      </c>
      <c r="V1496" s="25"/>
      <c r="W1496" s="25"/>
      <c r="X1496" s="25"/>
      <c r="Y1496" s="25"/>
      <c r="Z1496" s="25"/>
      <c r="AA1496" s="25"/>
    </row>
    <row r="1497" spans="1:27" x14ac:dyDescent="0.35">
      <c r="A1497" s="5">
        <v>1493</v>
      </c>
      <c r="B1497" s="5">
        <v>63</v>
      </c>
      <c r="C1497" s="5">
        <v>3</v>
      </c>
      <c r="D1497" s="25">
        <v>1.1416E-4</v>
      </c>
      <c r="E1497" s="25">
        <v>1.1929E-4</v>
      </c>
      <c r="F1497" s="25">
        <v>1.1173E-4</v>
      </c>
      <c r="G1497" s="25">
        <v>5.77E-5</v>
      </c>
      <c r="H1497" s="25">
        <v>1.415E-5</v>
      </c>
      <c r="I1497" s="9">
        <v>1.0978E-4</v>
      </c>
      <c r="J1497" s="9">
        <v>9.6840000000000001E-5</v>
      </c>
      <c r="K1497" s="9">
        <v>6.1459000000000004E-4</v>
      </c>
      <c r="L1497" s="9">
        <v>2.3419999999999999E-5</v>
      </c>
      <c r="M1497" s="9">
        <v>4.8949999999999997E-5</v>
      </c>
      <c r="N1497" s="9">
        <v>6.4709999999999995E-5</v>
      </c>
      <c r="O1497" s="9">
        <v>2.3519999999999998E-5</v>
      </c>
      <c r="P1497" s="9">
        <v>5.8990000000000003E-5</v>
      </c>
      <c r="Q1497" s="9">
        <v>9.3750000000000002E-5</v>
      </c>
      <c r="R1497" s="10">
        <v>2.1018265135540147E-4</v>
      </c>
      <c r="S1497" s="10">
        <v>1.902788687735171E-4</v>
      </c>
      <c r="T1497" s="10">
        <v>0</v>
      </c>
      <c r="U1497" s="10">
        <v>1.8120000000000001E-4</v>
      </c>
      <c r="V1497" s="25"/>
      <c r="W1497" s="25"/>
      <c r="X1497" s="25"/>
      <c r="Y1497" s="25"/>
      <c r="Z1497" s="25"/>
      <c r="AA1497" s="25"/>
    </row>
    <row r="1498" spans="1:27" x14ac:dyDescent="0.35">
      <c r="A1498" s="5">
        <v>1494</v>
      </c>
      <c r="B1498" s="5">
        <v>63</v>
      </c>
      <c r="C1498" s="5">
        <v>3</v>
      </c>
      <c r="D1498" s="25">
        <v>1.1415000000000001E-4</v>
      </c>
      <c r="E1498" s="25">
        <v>1.1723E-4</v>
      </c>
      <c r="F1498" s="25">
        <v>1.128E-4</v>
      </c>
      <c r="G1498" s="25">
        <v>1.0841E-4</v>
      </c>
      <c r="H1498" s="25">
        <v>2.8479999999999998E-5</v>
      </c>
      <c r="I1498" s="9">
        <v>1.1372E-4</v>
      </c>
      <c r="J1498" s="9">
        <v>1.0069999999999999E-4</v>
      </c>
      <c r="K1498" s="9">
        <v>6.0822999999999997E-4</v>
      </c>
      <c r="L1498" s="9">
        <v>2.3419999999999999E-5</v>
      </c>
      <c r="M1498" s="9">
        <v>5.2490000000000001E-5</v>
      </c>
      <c r="N1498" s="9">
        <v>7.1240000000000002E-5</v>
      </c>
      <c r="O1498" s="9">
        <v>3.0029999999999999E-5</v>
      </c>
      <c r="P1498" s="9">
        <v>6.9300000000000004E-5</v>
      </c>
      <c r="Q1498" s="9">
        <v>1.0785000000000001E-4</v>
      </c>
      <c r="R1498" s="10">
        <v>2.1139063404758632E-4</v>
      </c>
      <c r="S1498" s="10">
        <v>1.9010723428785695E-4</v>
      </c>
      <c r="T1498" s="10">
        <v>0</v>
      </c>
      <c r="U1498" s="10">
        <v>1.8120000000000001E-4</v>
      </c>
      <c r="V1498" s="25"/>
      <c r="W1498" s="25"/>
      <c r="X1498" s="25"/>
      <c r="Y1498" s="25"/>
      <c r="Z1498" s="25"/>
      <c r="AA1498" s="25"/>
    </row>
    <row r="1499" spans="1:27" x14ac:dyDescent="0.35">
      <c r="A1499" s="5">
        <v>1495</v>
      </c>
      <c r="B1499" s="5">
        <v>63</v>
      </c>
      <c r="C1499" s="5">
        <v>3</v>
      </c>
      <c r="D1499" s="25">
        <v>1.1416E-4</v>
      </c>
      <c r="E1499" s="25">
        <v>1.1654000000000001E-4</v>
      </c>
      <c r="F1499" s="25">
        <v>9.6700000000000006E-5</v>
      </c>
      <c r="G1499" s="25">
        <v>1.1207E-4</v>
      </c>
      <c r="H1499" s="25">
        <v>2.722E-5</v>
      </c>
      <c r="I1499" s="9">
        <v>1.272E-4</v>
      </c>
      <c r="J1499" s="9">
        <v>1.1233E-4</v>
      </c>
      <c r="K1499" s="9">
        <v>5.9975999999999996E-4</v>
      </c>
      <c r="L1499" s="9">
        <v>2.8479999999999998E-5</v>
      </c>
      <c r="M1499" s="9">
        <v>5.9589999999999997E-5</v>
      </c>
      <c r="N1499" s="9">
        <v>8.1080000000000003E-5</v>
      </c>
      <c r="O1499" s="9">
        <v>4.6020000000000003E-5</v>
      </c>
      <c r="P1499" s="9">
        <v>7.9179999999999997E-5</v>
      </c>
      <c r="Q1499" s="9">
        <v>1.1184999999999999E-4</v>
      </c>
      <c r="R1499" s="10">
        <v>2.1132934279345211E-4</v>
      </c>
      <c r="S1499" s="10">
        <v>1.898200558821496E-4</v>
      </c>
      <c r="T1499" s="10">
        <v>0</v>
      </c>
      <c r="U1499" s="10">
        <v>1.8120000000000001E-4</v>
      </c>
      <c r="V1499" s="25"/>
      <c r="W1499" s="25"/>
      <c r="X1499" s="25"/>
      <c r="Y1499" s="25"/>
      <c r="Z1499" s="25"/>
      <c r="AA1499" s="25"/>
    </row>
    <row r="1500" spans="1:27" x14ac:dyDescent="0.35">
      <c r="A1500" s="5">
        <v>1496</v>
      </c>
      <c r="B1500" s="5">
        <v>63</v>
      </c>
      <c r="C1500" s="5">
        <v>3</v>
      </c>
      <c r="D1500" s="25">
        <v>1.1415000000000001E-4</v>
      </c>
      <c r="E1500" s="25">
        <v>1.1348E-4</v>
      </c>
      <c r="F1500" s="25">
        <v>1.004E-4</v>
      </c>
      <c r="G1500" s="25">
        <v>1.593E-4</v>
      </c>
      <c r="H1500" s="25">
        <v>4.066E-5</v>
      </c>
      <c r="I1500" s="9">
        <v>1.3666000000000001E-4</v>
      </c>
      <c r="J1500" s="9">
        <v>1.273E-4</v>
      </c>
      <c r="K1500" s="9">
        <v>5.2346999999999995E-4</v>
      </c>
      <c r="L1500" s="9">
        <v>4.2009999999999999E-5</v>
      </c>
      <c r="M1500" s="9">
        <v>6.8440000000000002E-5</v>
      </c>
      <c r="N1500" s="9">
        <v>9.1000000000000003E-5</v>
      </c>
      <c r="O1500" s="9">
        <v>6.8399999999999996E-5</v>
      </c>
      <c r="P1500" s="9">
        <v>1.0286E-4</v>
      </c>
      <c r="Q1500" s="9">
        <v>1.3697000000000001E-4</v>
      </c>
      <c r="R1500" s="10">
        <v>2.1101742327059907E-4</v>
      </c>
      <c r="S1500" s="10">
        <v>1.8981944391854437E-4</v>
      </c>
      <c r="T1500" s="10">
        <v>8.8745771202490721E-5</v>
      </c>
      <c r="U1500" s="10">
        <v>1.8120000000000001E-4</v>
      </c>
      <c r="V1500" s="25"/>
      <c r="W1500" s="25"/>
      <c r="X1500" s="25"/>
      <c r="Y1500" s="25"/>
      <c r="Z1500" s="25"/>
      <c r="AA1500" s="25"/>
    </row>
    <row r="1501" spans="1:27" x14ac:dyDescent="0.35">
      <c r="A1501" s="5">
        <v>1497</v>
      </c>
      <c r="B1501" s="5">
        <v>63</v>
      </c>
      <c r="C1501" s="5">
        <v>3</v>
      </c>
      <c r="D1501" s="25">
        <v>1.1416E-4</v>
      </c>
      <c r="E1501" s="25">
        <v>1.2201000000000001E-4</v>
      </c>
      <c r="F1501" s="25">
        <v>1.136E-4</v>
      </c>
      <c r="G1501" s="25">
        <v>1.5919E-4</v>
      </c>
      <c r="H1501" s="25">
        <v>4.1130000000000001E-5</v>
      </c>
      <c r="I1501" s="9">
        <v>1.3975000000000001E-4</v>
      </c>
      <c r="J1501" s="9">
        <v>1.3710999999999999E-4</v>
      </c>
      <c r="K1501" s="9">
        <v>4.7685000000000002E-4</v>
      </c>
      <c r="L1501" s="9">
        <v>6.2230000000000006E-5</v>
      </c>
      <c r="M1501" s="9">
        <v>8.3020000000000001E-5</v>
      </c>
      <c r="N1501" s="9">
        <v>1.0475E-4</v>
      </c>
      <c r="O1501" s="9">
        <v>1.002E-4</v>
      </c>
      <c r="P1501" s="9">
        <v>1.3897000000000001E-4</v>
      </c>
      <c r="Q1501" s="9">
        <v>1.7756E-4</v>
      </c>
      <c r="R1501" s="10">
        <v>2.1095667598286077E-4</v>
      </c>
      <c r="S1501" s="10">
        <v>1.9004654935686878E-4</v>
      </c>
      <c r="T1501" s="10">
        <v>3.2512683539681137E-4</v>
      </c>
      <c r="U1501" s="10">
        <v>1.8120000000000001E-4</v>
      </c>
      <c r="V1501" s="25"/>
      <c r="W1501" s="25"/>
      <c r="X1501" s="25"/>
      <c r="Y1501" s="25"/>
      <c r="Z1501" s="25"/>
      <c r="AA1501" s="25"/>
    </row>
    <row r="1502" spans="1:27" x14ac:dyDescent="0.35">
      <c r="A1502" s="5">
        <v>1498</v>
      </c>
      <c r="B1502" s="5">
        <v>63</v>
      </c>
      <c r="C1502" s="5">
        <v>3</v>
      </c>
      <c r="D1502" s="25">
        <v>1.1415000000000001E-4</v>
      </c>
      <c r="E1502" s="25">
        <v>1.1788E-4</v>
      </c>
      <c r="F1502" s="25">
        <v>1.0450000000000001E-4</v>
      </c>
      <c r="G1502" s="25">
        <v>1.6420000000000001E-4</v>
      </c>
      <c r="H1502" s="25">
        <v>4.0240000000000001E-5</v>
      </c>
      <c r="I1502" s="9">
        <v>1.4369E-4</v>
      </c>
      <c r="J1502" s="9">
        <v>1.4028000000000001E-4</v>
      </c>
      <c r="K1502" s="9">
        <v>4.4505E-4</v>
      </c>
      <c r="L1502" s="9">
        <v>9.132E-5</v>
      </c>
      <c r="M1502" s="9">
        <v>1.0685E-4</v>
      </c>
      <c r="N1502" s="9">
        <v>1.2485E-4</v>
      </c>
      <c r="O1502" s="9">
        <v>1.2748999999999999E-4</v>
      </c>
      <c r="P1502" s="9">
        <v>1.5395E-4</v>
      </c>
      <c r="Q1502" s="9">
        <v>1.8063000000000001E-4</v>
      </c>
      <c r="R1502" s="10">
        <v>2.1073530118614355E-4</v>
      </c>
      <c r="S1502" s="10">
        <v>1.901413684868576E-4</v>
      </c>
      <c r="T1502" s="10">
        <v>1.179741824637317E-4</v>
      </c>
      <c r="U1502" s="10">
        <v>1.8120000000000001E-4</v>
      </c>
      <c r="V1502" s="25"/>
      <c r="W1502" s="25"/>
      <c r="X1502" s="25"/>
      <c r="Y1502" s="25"/>
      <c r="Z1502" s="25"/>
      <c r="AA1502" s="25"/>
    </row>
    <row r="1503" spans="1:27" x14ac:dyDescent="0.35">
      <c r="A1503" s="5">
        <v>1499</v>
      </c>
      <c r="B1503" s="5">
        <v>63</v>
      </c>
      <c r="C1503" s="5">
        <v>3</v>
      </c>
      <c r="D1503" s="25">
        <v>1.1416E-4</v>
      </c>
      <c r="E1503" s="25">
        <v>1.2011E-4</v>
      </c>
      <c r="F1503" s="25">
        <v>1.1334E-4</v>
      </c>
      <c r="G1503" s="25">
        <v>1.6667E-4</v>
      </c>
      <c r="H1503" s="25">
        <v>4.0849999999999997E-5</v>
      </c>
      <c r="I1503" s="9">
        <v>1.4449999999999999E-4</v>
      </c>
      <c r="J1503" s="9">
        <v>1.3868999999999999E-4</v>
      </c>
      <c r="K1503" s="9">
        <v>4.1539000000000002E-4</v>
      </c>
      <c r="L1503" s="9">
        <v>1.1881E-4</v>
      </c>
      <c r="M1503" s="9">
        <v>1.2983E-4</v>
      </c>
      <c r="N1503" s="9">
        <v>1.4255999999999999E-4</v>
      </c>
      <c r="O1503" s="9">
        <v>1.3651000000000001E-4</v>
      </c>
      <c r="P1503" s="9">
        <v>1.5762E-4</v>
      </c>
      <c r="Q1503" s="9">
        <v>1.7909999999999999E-4</v>
      </c>
      <c r="R1503" s="10">
        <v>2.073611577310807E-4</v>
      </c>
      <c r="S1503" s="10">
        <v>1.9023061619475313E-4</v>
      </c>
      <c r="T1503" s="10">
        <v>8.1322009271116012E-5</v>
      </c>
      <c r="U1503" s="10">
        <v>1.8120000000000001E-4</v>
      </c>
      <c r="V1503" s="25"/>
      <c r="W1503" s="25"/>
      <c r="X1503" s="25"/>
      <c r="Y1503" s="25"/>
      <c r="Z1503" s="25"/>
      <c r="AA1503" s="25"/>
    </row>
    <row r="1504" spans="1:27" x14ac:dyDescent="0.35">
      <c r="A1504" s="5">
        <v>1500</v>
      </c>
      <c r="B1504" s="5">
        <v>63</v>
      </c>
      <c r="C1504" s="5">
        <v>3</v>
      </c>
      <c r="D1504" s="25">
        <v>1.1415000000000001E-4</v>
      </c>
      <c r="E1504" s="25">
        <v>1.2166E-4</v>
      </c>
      <c r="F1504" s="25">
        <v>1.1674E-4</v>
      </c>
      <c r="G1504" s="25">
        <v>1.6463E-4</v>
      </c>
      <c r="H1504" s="25">
        <v>4.0269999999999999E-5</v>
      </c>
      <c r="I1504" s="9">
        <v>1.4376999999999999E-4</v>
      </c>
      <c r="J1504" s="9">
        <v>1.3693000000000001E-4</v>
      </c>
      <c r="K1504" s="9">
        <v>3.7088000000000003E-4</v>
      </c>
      <c r="L1504" s="9">
        <v>1.3197999999999999E-4</v>
      </c>
      <c r="M1504" s="9">
        <v>1.4525000000000001E-4</v>
      </c>
      <c r="N1504" s="9">
        <v>1.5650000000000001E-4</v>
      </c>
      <c r="O1504" s="9">
        <v>1.3726E-4</v>
      </c>
      <c r="P1504" s="9">
        <v>1.5489E-4</v>
      </c>
      <c r="Q1504" s="9">
        <v>1.7296999999999999E-4</v>
      </c>
      <c r="R1504" s="10">
        <v>1.9472155434637481E-4</v>
      </c>
      <c r="S1504" s="10">
        <v>1.8920932438333107E-4</v>
      </c>
      <c r="T1504" s="10">
        <v>4.2625119935116003E-5</v>
      </c>
      <c r="U1504" s="10">
        <v>1.8120000000000001E-4</v>
      </c>
      <c r="V1504" s="25"/>
      <c r="W1504" s="25"/>
      <c r="X1504" s="25"/>
      <c r="Y1504" s="25"/>
      <c r="Z1504" s="25"/>
      <c r="AA1504" s="25"/>
    </row>
    <row r="1505" spans="1:27" x14ac:dyDescent="0.35">
      <c r="A1505" s="5">
        <v>1501</v>
      </c>
      <c r="B1505" s="5">
        <v>63</v>
      </c>
      <c r="C1505" s="5">
        <v>3</v>
      </c>
      <c r="D1505" s="25">
        <v>1.1416E-4</v>
      </c>
      <c r="E1505" s="25">
        <v>1.16E-4</v>
      </c>
      <c r="F1505" s="25">
        <v>1.0526000000000001E-4</v>
      </c>
      <c r="G1505" s="25">
        <v>1.6327E-4</v>
      </c>
      <c r="H1505" s="25">
        <v>4.1919999999999998E-5</v>
      </c>
      <c r="I1505" s="9">
        <v>1.3977E-4</v>
      </c>
      <c r="J1505" s="9">
        <v>1.3412999999999999E-4</v>
      </c>
      <c r="K1505" s="9">
        <v>3.5392000000000003E-4</v>
      </c>
      <c r="L1505" s="9">
        <v>1.3592000000000001E-4</v>
      </c>
      <c r="M1505" s="9">
        <v>1.5202E-4</v>
      </c>
      <c r="N1505" s="9">
        <v>1.6571000000000001E-4</v>
      </c>
      <c r="O1505" s="9">
        <v>1.2982E-4</v>
      </c>
      <c r="P1505" s="9">
        <v>1.4836E-4</v>
      </c>
      <c r="Q1505" s="9">
        <v>1.6725999999999999E-4</v>
      </c>
      <c r="R1505" s="10">
        <v>2.0885189549968842E-4</v>
      </c>
      <c r="S1505" s="10">
        <v>1.8978561755069855E-4</v>
      </c>
      <c r="T1505" s="10">
        <v>3.7848459400985766E-5</v>
      </c>
      <c r="U1505" s="10">
        <v>1.8120000000000001E-4</v>
      </c>
      <c r="V1505" s="25"/>
      <c r="W1505" s="25"/>
      <c r="X1505" s="25"/>
      <c r="Y1505" s="25"/>
      <c r="Z1505" s="25"/>
      <c r="AA1505" s="25"/>
    </row>
    <row r="1506" spans="1:27" x14ac:dyDescent="0.35">
      <c r="A1506" s="5">
        <v>1502</v>
      </c>
      <c r="B1506" s="5">
        <v>63</v>
      </c>
      <c r="C1506" s="5">
        <v>3</v>
      </c>
      <c r="D1506" s="25">
        <v>1.1415000000000001E-4</v>
      </c>
      <c r="E1506" s="25">
        <v>1.1579E-4</v>
      </c>
      <c r="F1506" s="25">
        <v>1.1506E-4</v>
      </c>
      <c r="G1506" s="25">
        <v>1.6440000000000001E-4</v>
      </c>
      <c r="H1506" s="25">
        <v>3.93E-5</v>
      </c>
      <c r="I1506" s="9">
        <v>1.3918000000000001E-4</v>
      </c>
      <c r="J1506" s="9">
        <v>1.3307E-4</v>
      </c>
      <c r="K1506" s="9">
        <v>3.3272999999999999E-4</v>
      </c>
      <c r="L1506" s="9">
        <v>1.3122000000000001E-4</v>
      </c>
      <c r="M1506" s="9">
        <v>1.5197999999999999E-4</v>
      </c>
      <c r="N1506" s="9">
        <v>1.7001000000000001E-4</v>
      </c>
      <c r="O1506" s="9">
        <v>1.1292E-4</v>
      </c>
      <c r="P1506" s="9">
        <v>1.3711999999999999E-4</v>
      </c>
      <c r="Q1506" s="9">
        <v>1.6148000000000001E-4</v>
      </c>
      <c r="R1506" s="10">
        <v>2.0827701376703453E-4</v>
      </c>
      <c r="S1506" s="10">
        <v>1.9021576179234994E-4</v>
      </c>
      <c r="T1506" s="10">
        <v>1.5891941112751949E-4</v>
      </c>
      <c r="U1506" s="10">
        <v>1.8120000000000001E-4</v>
      </c>
      <c r="V1506" s="25"/>
      <c r="W1506" s="25"/>
      <c r="X1506" s="25"/>
      <c r="Y1506" s="25"/>
      <c r="Z1506" s="25"/>
      <c r="AA1506" s="25"/>
    </row>
    <row r="1507" spans="1:27" x14ac:dyDescent="0.35">
      <c r="A1507" s="5">
        <v>1503</v>
      </c>
      <c r="B1507" s="5">
        <v>63</v>
      </c>
      <c r="C1507" s="5">
        <v>3</v>
      </c>
      <c r="D1507" s="25">
        <v>1.1416E-4</v>
      </c>
      <c r="E1507" s="25">
        <v>1.154E-4</v>
      </c>
      <c r="F1507" s="25">
        <v>1.0815E-4</v>
      </c>
      <c r="G1507" s="25">
        <v>1.5686000000000001E-4</v>
      </c>
      <c r="H1507" s="25">
        <v>3.9390000000000001E-5</v>
      </c>
      <c r="I1507" s="9">
        <v>1.3647999999999999E-4</v>
      </c>
      <c r="J1507" s="9">
        <v>1.3244E-4</v>
      </c>
      <c r="K1507" s="9">
        <v>3.2214E-4</v>
      </c>
      <c r="L1507" s="9">
        <v>1.1714000000000001E-4</v>
      </c>
      <c r="M1507" s="9">
        <v>1.4637E-4</v>
      </c>
      <c r="N1507" s="9">
        <v>1.6972999999999999E-4</v>
      </c>
      <c r="O1507" s="9">
        <v>1.2782000000000001E-4</v>
      </c>
      <c r="P1507" s="9">
        <v>1.4040999999999999E-4</v>
      </c>
      <c r="Q1507" s="9">
        <v>1.5343999999999999E-4</v>
      </c>
      <c r="R1507" s="10">
        <v>2.0762006632439204E-4</v>
      </c>
      <c r="S1507" s="10">
        <v>1.899058773838663E-4</v>
      </c>
      <c r="T1507" s="10">
        <v>2.9270832757991678E-4</v>
      </c>
      <c r="U1507" s="10">
        <v>1.8120000000000001E-4</v>
      </c>
      <c r="V1507" s="25"/>
      <c r="W1507" s="25"/>
      <c r="X1507" s="25"/>
      <c r="Y1507" s="25"/>
      <c r="Z1507" s="25"/>
      <c r="AA1507" s="25"/>
    </row>
    <row r="1508" spans="1:27" x14ac:dyDescent="0.35">
      <c r="A1508" s="5">
        <v>1504</v>
      </c>
      <c r="B1508" s="5">
        <v>63</v>
      </c>
      <c r="C1508" s="5">
        <v>3</v>
      </c>
      <c r="D1508" s="25">
        <v>1.1415000000000001E-4</v>
      </c>
      <c r="E1508" s="25">
        <v>1.184E-4</v>
      </c>
      <c r="F1508" s="25">
        <v>1.0729E-4</v>
      </c>
      <c r="G1508" s="25">
        <v>1.5998999999999999E-4</v>
      </c>
      <c r="H1508" s="25">
        <v>3.9289999999999998E-5</v>
      </c>
      <c r="I1508" s="9">
        <v>1.3394000000000001E-4</v>
      </c>
      <c r="J1508" s="9">
        <v>1.3212E-4</v>
      </c>
      <c r="K1508" s="9">
        <v>3.2001000000000002E-4</v>
      </c>
      <c r="L1508" s="9">
        <v>1.2587000000000001E-4</v>
      </c>
      <c r="M1508" s="9">
        <v>1.4264E-4</v>
      </c>
      <c r="N1508" s="9">
        <v>1.6615E-4</v>
      </c>
      <c r="O1508" s="9">
        <v>1.3341000000000001E-4</v>
      </c>
      <c r="P1508" s="9">
        <v>1.2091000000000001E-4</v>
      </c>
      <c r="Q1508" s="9">
        <v>1.093E-4</v>
      </c>
      <c r="R1508" s="10">
        <v>2.0805211775920429E-4</v>
      </c>
      <c r="S1508" s="10">
        <v>1.8970516360691038E-4</v>
      </c>
      <c r="T1508" s="10">
        <v>2.2416367313011544E-4</v>
      </c>
      <c r="U1508" s="10">
        <v>1.8120000000000001E-4</v>
      </c>
      <c r="V1508" s="25"/>
      <c r="W1508" s="25"/>
      <c r="X1508" s="25"/>
      <c r="Y1508" s="25"/>
      <c r="Z1508" s="25"/>
      <c r="AA1508" s="25"/>
    </row>
    <row r="1509" spans="1:27" x14ac:dyDescent="0.35">
      <c r="A1509" s="5">
        <v>1505</v>
      </c>
      <c r="B1509" s="5">
        <v>63</v>
      </c>
      <c r="C1509" s="5">
        <v>3</v>
      </c>
      <c r="D1509" s="25">
        <v>1.1416E-4</v>
      </c>
      <c r="E1509" s="25">
        <v>1.1813E-4</v>
      </c>
      <c r="F1509" s="25">
        <v>1.1014E-4</v>
      </c>
      <c r="G1509" s="25">
        <v>1.6751E-4</v>
      </c>
      <c r="H1509" s="25">
        <v>4.1220000000000002E-5</v>
      </c>
      <c r="I1509" s="9">
        <v>1.3213E-4</v>
      </c>
      <c r="J1509" s="9">
        <v>1.3410000000000001E-4</v>
      </c>
      <c r="K1509" s="9">
        <v>3.3061000000000001E-4</v>
      </c>
      <c r="L1509" s="9">
        <v>1.3148000000000001E-4</v>
      </c>
      <c r="M1509" s="9">
        <v>1.3401E-4</v>
      </c>
      <c r="N1509" s="9">
        <v>1.5241000000000001E-4</v>
      </c>
      <c r="O1509" s="9">
        <v>1.3935E-4</v>
      </c>
      <c r="P1509" s="9">
        <v>1.2247000000000001E-4</v>
      </c>
      <c r="Q1509" s="9">
        <v>1.0658E-4</v>
      </c>
      <c r="R1509" s="10">
        <v>2.0902818433849045E-4</v>
      </c>
      <c r="S1509" s="10">
        <v>1.8985644425110302E-4</v>
      </c>
      <c r="T1509" s="10">
        <v>8.2017721817827715E-5</v>
      </c>
      <c r="U1509" s="10">
        <v>1.8120000000000001E-4</v>
      </c>
      <c r="V1509" s="25"/>
      <c r="W1509" s="25"/>
      <c r="X1509" s="25"/>
      <c r="Y1509" s="25"/>
      <c r="Z1509" s="25"/>
      <c r="AA1509" s="25"/>
    </row>
    <row r="1510" spans="1:27" x14ac:dyDescent="0.35">
      <c r="A1510" s="5">
        <v>1506</v>
      </c>
      <c r="B1510" s="5">
        <v>63</v>
      </c>
      <c r="C1510" s="5">
        <v>3</v>
      </c>
      <c r="D1510" s="25">
        <v>1.1415000000000001E-4</v>
      </c>
      <c r="E1510" s="25">
        <v>1.2199E-4</v>
      </c>
      <c r="F1510" s="25">
        <v>1.0998E-4</v>
      </c>
      <c r="G1510" s="25">
        <v>1.6079000000000001E-4</v>
      </c>
      <c r="H1510" s="25">
        <v>4.0639999999999997E-5</v>
      </c>
      <c r="I1510" s="9">
        <v>1.3229999999999999E-4</v>
      </c>
      <c r="J1510" s="9">
        <v>1.373E-4</v>
      </c>
      <c r="K1510" s="9">
        <v>3.5605000000000001E-4</v>
      </c>
      <c r="L1510" s="9">
        <v>1.3735E-4</v>
      </c>
      <c r="M1510" s="9">
        <v>1.2763999999999999E-4</v>
      </c>
      <c r="N1510" s="9">
        <v>1.3902000000000001E-4</v>
      </c>
      <c r="O1510" s="9">
        <v>1.4080000000000001E-4</v>
      </c>
      <c r="P1510" s="9">
        <v>1.2882E-4</v>
      </c>
      <c r="Q1510" s="9">
        <v>1.1777000000000001E-4</v>
      </c>
      <c r="R1510" s="10">
        <v>2.1166056063965592E-4</v>
      </c>
      <c r="S1510" s="10">
        <v>1.9013257141895591E-4</v>
      </c>
      <c r="T1510" s="10">
        <v>0</v>
      </c>
      <c r="U1510" s="10">
        <v>1.8120000000000001E-4</v>
      </c>
      <c r="V1510" s="25"/>
      <c r="W1510" s="25"/>
      <c r="X1510" s="25"/>
      <c r="Y1510" s="25"/>
      <c r="Z1510" s="25"/>
      <c r="AA1510" s="25"/>
    </row>
    <row r="1511" spans="1:27" x14ac:dyDescent="0.35">
      <c r="A1511" s="5">
        <v>1507</v>
      </c>
      <c r="B1511" s="5">
        <v>63</v>
      </c>
      <c r="C1511" s="5">
        <v>3</v>
      </c>
      <c r="D1511" s="25">
        <v>1.1416E-4</v>
      </c>
      <c r="E1511" s="25">
        <v>1.2344E-4</v>
      </c>
      <c r="F1511" s="25">
        <v>1.1844E-4</v>
      </c>
      <c r="G1511" s="25">
        <v>1.0957E-4</v>
      </c>
      <c r="H1511" s="25">
        <v>2.6970000000000001E-5</v>
      </c>
      <c r="I1511" s="9">
        <v>1.3823000000000001E-4</v>
      </c>
      <c r="J1511" s="9">
        <v>1.3936999999999999E-4</v>
      </c>
      <c r="K1511" s="9">
        <v>3.6027999999999999E-4</v>
      </c>
      <c r="L1511" s="9">
        <v>1.3994999999999999E-4</v>
      </c>
      <c r="M1511" s="9">
        <v>1.2658999999999999E-4</v>
      </c>
      <c r="N1511" s="9">
        <v>1.2999999999999999E-4</v>
      </c>
      <c r="O1511" s="9">
        <v>1.4166E-4</v>
      </c>
      <c r="P1511" s="9">
        <v>1.2396E-4</v>
      </c>
      <c r="Q1511" s="9">
        <v>1.0730000000000001E-4</v>
      </c>
      <c r="R1511" s="10">
        <v>2.1229828483349593E-4</v>
      </c>
      <c r="S1511" s="10">
        <v>1.8960094497580342E-4</v>
      </c>
      <c r="T1511" s="10">
        <v>0</v>
      </c>
      <c r="U1511" s="10">
        <v>1.8120000000000001E-4</v>
      </c>
      <c r="V1511" s="25"/>
      <c r="W1511" s="25"/>
      <c r="X1511" s="25"/>
      <c r="Y1511" s="25"/>
      <c r="Z1511" s="25"/>
      <c r="AA1511" s="25"/>
    </row>
    <row r="1512" spans="1:27" x14ac:dyDescent="0.35">
      <c r="A1512" s="5">
        <v>1508</v>
      </c>
      <c r="B1512" s="5">
        <v>63</v>
      </c>
      <c r="C1512" s="5">
        <v>3</v>
      </c>
      <c r="D1512" s="25">
        <v>1.1415000000000001E-4</v>
      </c>
      <c r="E1512" s="25">
        <v>1.2212E-4</v>
      </c>
      <c r="F1512" s="25">
        <v>1.0328E-4</v>
      </c>
      <c r="G1512" s="25">
        <v>1.0836E-4</v>
      </c>
      <c r="H1512" s="25">
        <v>2.8419999999999999E-5</v>
      </c>
      <c r="I1512" s="9">
        <v>1.4087999999999999E-4</v>
      </c>
      <c r="J1512" s="9">
        <v>1.4201E-4</v>
      </c>
      <c r="K1512" s="9">
        <v>3.6027999999999999E-4</v>
      </c>
      <c r="L1512" s="9">
        <v>1.4124999999999999E-4</v>
      </c>
      <c r="M1512" s="9">
        <v>1.2566000000000001E-4</v>
      </c>
      <c r="N1512" s="9">
        <v>1.2092E-4</v>
      </c>
      <c r="O1512" s="9">
        <v>1.4333E-4</v>
      </c>
      <c r="P1512" s="9">
        <v>1.219E-4</v>
      </c>
      <c r="Q1512" s="9">
        <v>1.0156E-4</v>
      </c>
      <c r="R1512" s="10">
        <v>2.1211110151161692E-4</v>
      </c>
      <c r="S1512" s="10">
        <v>1.8685123501370005E-4</v>
      </c>
      <c r="T1512" s="10">
        <v>0</v>
      </c>
      <c r="U1512" s="10">
        <v>1.8120000000000001E-4</v>
      </c>
      <c r="V1512" s="25"/>
      <c r="W1512" s="25"/>
      <c r="X1512" s="25"/>
      <c r="Y1512" s="25"/>
      <c r="Z1512" s="25"/>
      <c r="AA1512" s="25"/>
    </row>
    <row r="1513" spans="1:27" x14ac:dyDescent="0.35">
      <c r="A1513" s="5">
        <v>1509</v>
      </c>
      <c r="B1513" s="5">
        <v>63</v>
      </c>
      <c r="C1513" s="5">
        <v>3</v>
      </c>
      <c r="D1513" s="25">
        <v>1.1416E-4</v>
      </c>
      <c r="E1513" s="25">
        <v>1.2243000000000001E-4</v>
      </c>
      <c r="F1513" s="25">
        <v>9.9909999999999997E-5</v>
      </c>
      <c r="G1513" s="25">
        <v>5.7890000000000003E-5</v>
      </c>
      <c r="H1513" s="25">
        <v>1.562E-5</v>
      </c>
      <c r="I1513" s="9">
        <v>1.3407E-4</v>
      </c>
      <c r="J1513" s="9">
        <v>1.3632999999999999E-4</v>
      </c>
      <c r="K1513" s="9">
        <v>3.5816E-4</v>
      </c>
      <c r="L1513" s="9">
        <v>1.4287999999999999E-4</v>
      </c>
      <c r="M1513" s="9">
        <v>1.2410000000000001E-4</v>
      </c>
      <c r="N1513" s="9">
        <v>1.1314E-4</v>
      </c>
      <c r="O1513" s="9">
        <v>8.3830000000000002E-5</v>
      </c>
      <c r="P1513" s="9">
        <v>8.5530000000000003E-5</v>
      </c>
      <c r="Q1513" s="9">
        <v>8.7509999999999994E-5</v>
      </c>
      <c r="R1513" s="10">
        <v>2.119960338544751E-4</v>
      </c>
      <c r="S1513" s="10">
        <v>1.8385330365928038E-4</v>
      </c>
      <c r="T1513" s="10">
        <v>0</v>
      </c>
      <c r="U1513" s="10">
        <v>1.8120000000000001E-4</v>
      </c>
      <c r="V1513" s="25"/>
      <c r="W1513" s="25"/>
      <c r="X1513" s="25"/>
      <c r="Y1513" s="25"/>
      <c r="Z1513" s="25"/>
      <c r="AA1513" s="25"/>
    </row>
    <row r="1514" spans="1:27" x14ac:dyDescent="0.35">
      <c r="A1514" s="5">
        <v>1510</v>
      </c>
      <c r="B1514" s="5">
        <v>63</v>
      </c>
      <c r="C1514" s="5">
        <v>3</v>
      </c>
      <c r="D1514" s="25">
        <v>1.1415000000000001E-4</v>
      </c>
      <c r="E1514" s="25">
        <v>1.1401E-4</v>
      </c>
      <c r="F1514" s="25">
        <v>9.8270000000000006E-5</v>
      </c>
      <c r="G1514" s="25">
        <v>5.893E-5</v>
      </c>
      <c r="H1514" s="25">
        <v>1.506E-5</v>
      </c>
      <c r="I1514" s="9">
        <v>1.2776000000000001E-4</v>
      </c>
      <c r="J1514" s="9">
        <v>1.2784999999999999E-4</v>
      </c>
      <c r="K1514" s="9">
        <v>3.5816E-4</v>
      </c>
      <c r="L1514" s="9">
        <v>9.679E-5</v>
      </c>
      <c r="M1514" s="9">
        <v>1.0976000000000001E-4</v>
      </c>
      <c r="N1514" s="9">
        <v>1.0537E-4</v>
      </c>
      <c r="O1514" s="9">
        <v>8.8209999999999997E-5</v>
      </c>
      <c r="P1514" s="9">
        <v>8.8540000000000003E-5</v>
      </c>
      <c r="Q1514" s="9">
        <v>8.9190000000000005E-5</v>
      </c>
      <c r="R1514" s="10">
        <v>2.1184107650139766E-4</v>
      </c>
      <c r="S1514" s="10">
        <v>1.7934487729340151E-4</v>
      </c>
      <c r="T1514" s="10">
        <v>0</v>
      </c>
      <c r="U1514" s="10">
        <v>1.8120000000000001E-4</v>
      </c>
      <c r="V1514" s="25"/>
      <c r="W1514" s="25"/>
      <c r="X1514" s="25"/>
      <c r="Y1514" s="25"/>
      <c r="Z1514" s="25"/>
      <c r="AA1514" s="25"/>
    </row>
    <row r="1515" spans="1:27" x14ac:dyDescent="0.35">
      <c r="A1515" s="5">
        <v>1511</v>
      </c>
      <c r="B1515" s="5">
        <v>63</v>
      </c>
      <c r="C1515" s="5">
        <v>3</v>
      </c>
      <c r="D1515" s="25">
        <v>1.1416E-4</v>
      </c>
      <c r="E1515" s="25">
        <v>1.1934000000000001E-4</v>
      </c>
      <c r="F1515" s="25">
        <v>1.1446E-4</v>
      </c>
      <c r="G1515" s="25">
        <v>6.279E-5</v>
      </c>
      <c r="H1515" s="25">
        <v>1.5739999999999998E-5</v>
      </c>
      <c r="I1515" s="9">
        <v>1.2837999999999999E-4</v>
      </c>
      <c r="J1515" s="9">
        <v>1.1856E-4</v>
      </c>
      <c r="K1515" s="9">
        <v>3.5816999999999999E-4</v>
      </c>
      <c r="L1515" s="9">
        <v>9.1379999999999996E-5</v>
      </c>
      <c r="M1515" s="9">
        <v>9.8259999999999998E-5</v>
      </c>
      <c r="N1515" s="9">
        <v>9.98E-5</v>
      </c>
      <c r="O1515" s="9">
        <v>8.4469999999999996E-5</v>
      </c>
      <c r="P1515" s="9">
        <v>7.5409999999999998E-5</v>
      </c>
      <c r="Q1515" s="9">
        <v>6.6799999999999997E-5</v>
      </c>
      <c r="R1515" s="10">
        <v>2.1120309724693135E-4</v>
      </c>
      <c r="S1515" s="10">
        <v>1.7359793234016826E-4</v>
      </c>
      <c r="T1515" s="10">
        <v>0</v>
      </c>
      <c r="U1515" s="10">
        <v>1.8120000000000001E-4</v>
      </c>
      <c r="V1515" s="25"/>
      <c r="W1515" s="25"/>
      <c r="X1515" s="25"/>
      <c r="Y1515" s="25"/>
      <c r="Z1515" s="25"/>
      <c r="AA1515" s="25"/>
    </row>
    <row r="1516" spans="1:27" x14ac:dyDescent="0.35">
      <c r="A1516" s="5">
        <v>1512</v>
      </c>
      <c r="B1516" s="5">
        <v>63</v>
      </c>
      <c r="C1516" s="5">
        <v>3</v>
      </c>
      <c r="D1516" s="25">
        <v>1.1415000000000001E-4</v>
      </c>
      <c r="E1516" s="25">
        <v>1.1566E-4</v>
      </c>
      <c r="F1516" s="25">
        <v>1.1692E-4</v>
      </c>
      <c r="G1516" s="25">
        <v>5.7290000000000002E-5</v>
      </c>
      <c r="H1516" s="25">
        <v>1.428E-5</v>
      </c>
      <c r="I1516" s="9">
        <v>1.2747E-4</v>
      </c>
      <c r="J1516" s="9">
        <v>1.1065000000000001E-4</v>
      </c>
      <c r="K1516" s="9">
        <v>3.6027999999999999E-4</v>
      </c>
      <c r="L1516" s="9">
        <v>8.6180000000000005E-5</v>
      </c>
      <c r="M1516" s="9">
        <v>8.7369999999999999E-5</v>
      </c>
      <c r="N1516" s="9">
        <v>9.0530000000000002E-5</v>
      </c>
      <c r="O1516" s="9">
        <v>7.8399999999999995E-5</v>
      </c>
      <c r="P1516" s="9">
        <v>6.8150000000000003E-5</v>
      </c>
      <c r="Q1516" s="9">
        <v>5.8329999999999999E-5</v>
      </c>
      <c r="R1516" s="10">
        <v>2.0298711155059825E-4</v>
      </c>
      <c r="S1516" s="10">
        <v>1.6542898392818466E-4</v>
      </c>
      <c r="T1516" s="10">
        <v>0</v>
      </c>
      <c r="U1516" s="10">
        <v>1.8120000000000001E-4</v>
      </c>
      <c r="V1516" s="25"/>
      <c r="W1516" s="25"/>
      <c r="X1516" s="25"/>
      <c r="Y1516" s="25"/>
      <c r="Z1516" s="25"/>
      <c r="AA1516" s="25"/>
    </row>
    <row r="1517" spans="1:27" x14ac:dyDescent="0.35">
      <c r="A1517" s="5">
        <v>1513</v>
      </c>
      <c r="B1517" s="5">
        <v>64</v>
      </c>
      <c r="C1517" s="5">
        <v>3</v>
      </c>
      <c r="D1517" s="25">
        <v>1.1416E-4</v>
      </c>
      <c r="E1517" s="25">
        <v>1.1487E-4</v>
      </c>
      <c r="F1517" s="25">
        <v>1.3726E-4</v>
      </c>
      <c r="G1517" s="25">
        <v>6.0390000000000003E-5</v>
      </c>
      <c r="H1517" s="25">
        <v>7.4120000000000002E-5</v>
      </c>
      <c r="I1517" s="9">
        <v>1.2094E-4</v>
      </c>
      <c r="J1517" s="9">
        <v>1.0341E-4</v>
      </c>
      <c r="K1517" s="9">
        <v>3.5816999999999999E-4</v>
      </c>
      <c r="L1517" s="9">
        <v>7.9909999999999999E-5</v>
      </c>
      <c r="M1517" s="9">
        <v>7.7979999999999995E-5</v>
      </c>
      <c r="N1517" s="9">
        <v>8.1030000000000002E-5</v>
      </c>
      <c r="O1517" s="9">
        <v>5.4320000000000002E-5</v>
      </c>
      <c r="P1517" s="9">
        <v>5.3739999999999997E-5</v>
      </c>
      <c r="Q1517" s="9">
        <v>5.3319999999999998E-5</v>
      </c>
      <c r="R1517" s="10">
        <v>1.9734985087458025E-4</v>
      </c>
      <c r="S1517" s="10">
        <v>1.6278282639322036E-4</v>
      </c>
      <c r="T1517" s="10">
        <v>0</v>
      </c>
      <c r="U1517" s="10">
        <v>1.8327999999999999E-4</v>
      </c>
      <c r="V1517" s="25"/>
      <c r="W1517" s="25"/>
      <c r="X1517" s="25"/>
      <c r="Y1517" s="25"/>
      <c r="Z1517" s="25"/>
      <c r="AA1517" s="25"/>
    </row>
    <row r="1518" spans="1:27" x14ac:dyDescent="0.35">
      <c r="A1518" s="5">
        <v>1514</v>
      </c>
      <c r="B1518" s="5">
        <v>64</v>
      </c>
      <c r="C1518" s="5">
        <v>3</v>
      </c>
      <c r="D1518" s="25">
        <v>1.1415000000000001E-4</v>
      </c>
      <c r="E1518" s="25">
        <v>1.1765999999999999E-4</v>
      </c>
      <c r="F1518" s="25">
        <v>1.3744000000000001E-4</v>
      </c>
      <c r="G1518" s="25">
        <v>5.9370000000000002E-5</v>
      </c>
      <c r="H1518" s="25">
        <v>6.5300000000000002E-5</v>
      </c>
      <c r="I1518" s="9">
        <v>1.149E-4</v>
      </c>
      <c r="J1518" s="9">
        <v>9.8770000000000005E-5</v>
      </c>
      <c r="K1518" s="9">
        <v>3.5816999999999999E-4</v>
      </c>
      <c r="L1518" s="9">
        <v>6.012E-5</v>
      </c>
      <c r="M1518" s="9">
        <v>6.703E-5</v>
      </c>
      <c r="N1518" s="9">
        <v>7.1929999999999997E-5</v>
      </c>
      <c r="O1518" s="9">
        <v>1.9029999999999999E-5</v>
      </c>
      <c r="P1518" s="9">
        <v>3.8009999999999997E-5</v>
      </c>
      <c r="Q1518" s="9">
        <v>5.6560000000000001E-5</v>
      </c>
      <c r="R1518" s="10">
        <v>2.0004825443402401E-4</v>
      </c>
      <c r="S1518" s="10">
        <v>1.5399150004738983E-4</v>
      </c>
      <c r="T1518" s="10">
        <v>0</v>
      </c>
      <c r="U1518" s="10">
        <v>1.8327999999999999E-4</v>
      </c>
      <c r="V1518" s="25"/>
      <c r="W1518" s="25"/>
      <c r="X1518" s="25"/>
      <c r="Y1518" s="25"/>
      <c r="Z1518" s="25"/>
      <c r="AA1518" s="25"/>
    </row>
    <row r="1519" spans="1:27" x14ac:dyDescent="0.35">
      <c r="A1519" s="5">
        <v>1515</v>
      </c>
      <c r="B1519" s="5">
        <v>64</v>
      </c>
      <c r="C1519" s="5">
        <v>3</v>
      </c>
      <c r="D1519" s="25">
        <v>1.1416E-4</v>
      </c>
      <c r="E1519" s="25">
        <v>1.1666E-4</v>
      </c>
      <c r="F1519" s="25">
        <v>1.2678E-4</v>
      </c>
      <c r="G1519" s="25">
        <v>6.3499999999999999E-5</v>
      </c>
      <c r="H1519" s="25">
        <v>6.5569999999999997E-5</v>
      </c>
      <c r="I1519" s="9">
        <v>1.0935E-4</v>
      </c>
      <c r="J1519" s="9">
        <v>9.6429999999999997E-5</v>
      </c>
      <c r="K1519" s="9">
        <v>3.5816E-4</v>
      </c>
      <c r="L1519" s="9">
        <v>2.8600000000000001E-5</v>
      </c>
      <c r="M1519" s="9">
        <v>5.3909999999999997E-5</v>
      </c>
      <c r="N1519" s="9">
        <v>6.5489999999999998E-5</v>
      </c>
      <c r="O1519" s="9">
        <v>1.3339999999999999E-5</v>
      </c>
      <c r="P1519" s="9">
        <v>3.7530000000000002E-5</v>
      </c>
      <c r="Q1519" s="9">
        <v>6.1169999999999999E-5</v>
      </c>
      <c r="R1519" s="10">
        <v>1.9495617699212637E-4</v>
      </c>
      <c r="S1519" s="10">
        <v>1.4363269750285841E-4</v>
      </c>
      <c r="T1519" s="10">
        <v>0</v>
      </c>
      <c r="U1519" s="10">
        <v>1.8327999999999999E-4</v>
      </c>
      <c r="V1519" s="25"/>
      <c r="W1519" s="25"/>
      <c r="X1519" s="25"/>
      <c r="Y1519" s="25"/>
      <c r="Z1519" s="25"/>
      <c r="AA1519" s="25"/>
    </row>
    <row r="1520" spans="1:27" x14ac:dyDescent="0.35">
      <c r="A1520" s="5">
        <v>1516</v>
      </c>
      <c r="B1520" s="5">
        <v>64</v>
      </c>
      <c r="C1520" s="5">
        <v>3</v>
      </c>
      <c r="D1520" s="25">
        <v>1.1415000000000001E-4</v>
      </c>
      <c r="E1520" s="25">
        <v>1.1508E-4</v>
      </c>
      <c r="F1520" s="25">
        <v>1.2705999999999999E-4</v>
      </c>
      <c r="G1520" s="25">
        <v>5.8680000000000001E-5</v>
      </c>
      <c r="H1520" s="25">
        <v>7.0409999999999998E-5</v>
      </c>
      <c r="I1520" s="9">
        <v>1.0747E-4</v>
      </c>
      <c r="J1520" s="9">
        <v>9.5669999999999997E-5</v>
      </c>
      <c r="K1520" s="9">
        <v>3.5816E-4</v>
      </c>
      <c r="L1520" s="9">
        <v>1.755E-5</v>
      </c>
      <c r="M1520" s="9">
        <v>4.4860000000000001E-5</v>
      </c>
      <c r="N1520" s="9">
        <v>6.1810000000000006E-5</v>
      </c>
      <c r="O1520" s="9">
        <v>1.331E-5</v>
      </c>
      <c r="P1520" s="9">
        <v>4.6770000000000001E-5</v>
      </c>
      <c r="Q1520" s="9">
        <v>7.9549999999999996E-5</v>
      </c>
      <c r="R1520" s="10">
        <v>1.9102089559046442E-4</v>
      </c>
      <c r="S1520" s="10">
        <v>1.2872778626234012E-4</v>
      </c>
      <c r="T1520" s="10">
        <v>0</v>
      </c>
      <c r="U1520" s="10">
        <v>1.8327999999999999E-4</v>
      </c>
      <c r="V1520" s="25"/>
      <c r="W1520" s="25"/>
      <c r="X1520" s="25"/>
      <c r="Y1520" s="25"/>
      <c r="Z1520" s="25"/>
      <c r="AA1520" s="25"/>
    </row>
    <row r="1521" spans="1:27" x14ac:dyDescent="0.35">
      <c r="A1521" s="5">
        <v>1517</v>
      </c>
      <c r="B1521" s="5">
        <v>64</v>
      </c>
      <c r="C1521" s="5">
        <v>3</v>
      </c>
      <c r="D1521" s="25">
        <v>1.1416E-4</v>
      </c>
      <c r="E1521" s="25">
        <v>1.2145E-4</v>
      </c>
      <c r="F1521" s="25">
        <v>1.2878E-4</v>
      </c>
      <c r="G1521" s="25">
        <v>6.1589999999999998E-5</v>
      </c>
      <c r="H1521" s="25">
        <v>6.9099999999999999E-5</v>
      </c>
      <c r="I1521" s="9">
        <v>1.0747999999999999E-4</v>
      </c>
      <c r="J1521" s="9">
        <v>9.6210000000000002E-5</v>
      </c>
      <c r="K1521" s="9">
        <v>3.7086999999999998E-4</v>
      </c>
      <c r="L1521" s="9">
        <v>1.4419999999999999E-5</v>
      </c>
      <c r="M1521" s="9">
        <v>4.354E-5</v>
      </c>
      <c r="N1521" s="9">
        <v>6.4179999999999999E-5</v>
      </c>
      <c r="O1521" s="9">
        <v>1.91E-5</v>
      </c>
      <c r="P1521" s="9">
        <v>5.7210000000000003E-5</v>
      </c>
      <c r="Q1521" s="9">
        <v>9.4599999999999996E-5</v>
      </c>
      <c r="R1521" s="10">
        <v>1.8826861922539587E-4</v>
      </c>
      <c r="S1521" s="10">
        <v>1.2502970886805987E-4</v>
      </c>
      <c r="T1521" s="10">
        <v>0</v>
      </c>
      <c r="U1521" s="10">
        <v>1.8327999999999999E-4</v>
      </c>
      <c r="V1521" s="25"/>
      <c r="W1521" s="25"/>
      <c r="X1521" s="25"/>
      <c r="Y1521" s="25"/>
      <c r="Z1521" s="25"/>
      <c r="AA1521" s="25"/>
    </row>
    <row r="1522" spans="1:27" x14ac:dyDescent="0.35">
      <c r="A1522" s="5">
        <v>1518</v>
      </c>
      <c r="B1522" s="5">
        <v>64</v>
      </c>
      <c r="C1522" s="5">
        <v>3</v>
      </c>
      <c r="D1522" s="25">
        <v>1.1415000000000001E-4</v>
      </c>
      <c r="E1522" s="25">
        <v>1.2274000000000001E-4</v>
      </c>
      <c r="F1522" s="25">
        <v>1.2505E-4</v>
      </c>
      <c r="G1522" s="25">
        <v>1.0681E-4</v>
      </c>
      <c r="H1522" s="25">
        <v>1.3724000000000001E-4</v>
      </c>
      <c r="I1522" s="9">
        <v>1.1252999999999999E-4</v>
      </c>
      <c r="J1522" s="9">
        <v>9.9879999999999999E-5</v>
      </c>
      <c r="K1522" s="9">
        <v>3.6027999999999999E-4</v>
      </c>
      <c r="L1522" s="9">
        <v>1.7940000000000001E-5</v>
      </c>
      <c r="M1522" s="9">
        <v>4.85E-5</v>
      </c>
      <c r="N1522" s="9">
        <v>7.0980000000000001E-5</v>
      </c>
      <c r="O1522" s="9">
        <v>4.6300000000000001E-5</v>
      </c>
      <c r="P1522" s="9">
        <v>7.6860000000000006E-5</v>
      </c>
      <c r="Q1522" s="9">
        <v>1.0703E-4</v>
      </c>
      <c r="R1522" s="10">
        <v>1.7340811137515802E-4</v>
      </c>
      <c r="S1522" s="10">
        <v>1.1008823738482827E-4</v>
      </c>
      <c r="T1522" s="10">
        <v>0</v>
      </c>
      <c r="U1522" s="10">
        <v>1.8327999999999999E-4</v>
      </c>
      <c r="V1522" s="25"/>
      <c r="W1522" s="25"/>
      <c r="X1522" s="25"/>
      <c r="Y1522" s="25"/>
      <c r="Z1522" s="25"/>
      <c r="AA1522" s="25"/>
    </row>
    <row r="1523" spans="1:27" x14ac:dyDescent="0.35">
      <c r="A1523" s="5">
        <v>1519</v>
      </c>
      <c r="B1523" s="5">
        <v>64</v>
      </c>
      <c r="C1523" s="5">
        <v>3</v>
      </c>
      <c r="D1523" s="25">
        <v>1.1416E-4</v>
      </c>
      <c r="E1523" s="25">
        <v>1.1469E-4</v>
      </c>
      <c r="F1523" s="25">
        <v>1.2470999999999999E-4</v>
      </c>
      <c r="G1523" s="25">
        <v>1.1054E-4</v>
      </c>
      <c r="H1523" s="25">
        <v>1.2783E-4</v>
      </c>
      <c r="I1523" s="9">
        <v>1.2517E-4</v>
      </c>
      <c r="J1523" s="9">
        <v>1.1116999999999999E-4</v>
      </c>
      <c r="K1523" s="9">
        <v>3.5604000000000001E-4</v>
      </c>
      <c r="L1523" s="9">
        <v>3.9910000000000002E-5</v>
      </c>
      <c r="M1523" s="9">
        <v>6.012E-5</v>
      </c>
      <c r="N1523" s="9">
        <v>8.072E-5</v>
      </c>
      <c r="O1523" s="9">
        <v>1.2388000000000001E-4</v>
      </c>
      <c r="P1523" s="9">
        <v>1.1814E-4</v>
      </c>
      <c r="Q1523" s="9">
        <v>1.1317E-4</v>
      </c>
      <c r="R1523" s="10">
        <v>1.5187467846677151E-4</v>
      </c>
      <c r="S1523" s="10">
        <v>1.0353820439304215E-4</v>
      </c>
      <c r="T1523" s="10">
        <v>0</v>
      </c>
      <c r="U1523" s="10">
        <v>1.8327999999999999E-4</v>
      </c>
      <c r="V1523" s="25"/>
      <c r="W1523" s="25"/>
      <c r="X1523" s="25"/>
      <c r="Y1523" s="25"/>
      <c r="Z1523" s="25"/>
      <c r="AA1523" s="25"/>
    </row>
    <row r="1524" spans="1:27" x14ac:dyDescent="0.35">
      <c r="A1524" s="5">
        <v>1520</v>
      </c>
      <c r="B1524" s="5">
        <v>64</v>
      </c>
      <c r="C1524" s="5">
        <v>3</v>
      </c>
      <c r="D1524" s="25">
        <v>1.1415000000000001E-4</v>
      </c>
      <c r="E1524" s="25">
        <v>1.215E-4</v>
      </c>
      <c r="F1524" s="25">
        <v>1.4474E-4</v>
      </c>
      <c r="G1524" s="25">
        <v>1.5629000000000001E-4</v>
      </c>
      <c r="H1524" s="25">
        <v>2.0217E-4</v>
      </c>
      <c r="I1524" s="9">
        <v>1.361E-4</v>
      </c>
      <c r="J1524" s="9">
        <v>1.2716E-4</v>
      </c>
      <c r="K1524" s="9">
        <v>3.4545000000000002E-4</v>
      </c>
      <c r="L1524" s="9">
        <v>1.0479E-4</v>
      </c>
      <c r="M1524" s="9">
        <v>8.4010000000000004E-5</v>
      </c>
      <c r="N1524" s="9">
        <v>9.0989999999999994E-5</v>
      </c>
      <c r="O1524" s="9">
        <v>2.2007E-4</v>
      </c>
      <c r="P1524" s="9">
        <v>1.7759000000000001E-4</v>
      </c>
      <c r="Q1524" s="9">
        <v>1.3719000000000001E-4</v>
      </c>
      <c r="R1524" s="10">
        <v>1.236651804768435E-4</v>
      </c>
      <c r="S1524" s="10">
        <v>1.1170689055351811E-4</v>
      </c>
      <c r="T1524" s="10">
        <v>8.7405251905168214E-5</v>
      </c>
      <c r="U1524" s="10">
        <v>1.8327999999999999E-4</v>
      </c>
      <c r="V1524" s="25"/>
      <c r="W1524" s="25"/>
      <c r="X1524" s="25"/>
      <c r="Y1524" s="25"/>
      <c r="Z1524" s="25"/>
      <c r="AA1524" s="25"/>
    </row>
    <row r="1525" spans="1:27" x14ac:dyDescent="0.35">
      <c r="A1525" s="5">
        <v>1521</v>
      </c>
      <c r="B1525" s="5">
        <v>64</v>
      </c>
      <c r="C1525" s="5">
        <v>3</v>
      </c>
      <c r="D1525" s="25">
        <v>1.1416E-4</v>
      </c>
      <c r="E1525" s="25">
        <v>1.1351E-4</v>
      </c>
      <c r="F1525" s="25">
        <v>1.3430000000000001E-4</v>
      </c>
      <c r="G1525" s="25">
        <v>1.6232E-4</v>
      </c>
      <c r="H1525" s="25">
        <v>1.9195E-4</v>
      </c>
      <c r="I1525" s="9">
        <v>1.4033000000000001E-4</v>
      </c>
      <c r="J1525" s="9">
        <v>1.3873999999999999E-4</v>
      </c>
      <c r="K1525" s="9">
        <v>3.3909000000000001E-4</v>
      </c>
      <c r="L1525" s="9">
        <v>1.9293000000000001E-4</v>
      </c>
      <c r="M1525" s="9">
        <v>1.2388000000000001E-4</v>
      </c>
      <c r="N1525" s="9">
        <v>1.0486E-4</v>
      </c>
      <c r="O1525" s="9">
        <v>2.1206E-4</v>
      </c>
      <c r="P1525" s="9">
        <v>1.9409000000000001E-4</v>
      </c>
      <c r="Q1525" s="9">
        <v>1.7775000000000001E-4</v>
      </c>
      <c r="R1525" s="10">
        <v>1.2030939027645707E-4</v>
      </c>
      <c r="S1525" s="10">
        <v>1.1203461718321798E-4</v>
      </c>
      <c r="T1525" s="10">
        <v>3.2050289225098372E-4</v>
      </c>
      <c r="U1525" s="10">
        <v>1.8327999999999999E-4</v>
      </c>
      <c r="V1525" s="25"/>
      <c r="W1525" s="25"/>
      <c r="X1525" s="25"/>
      <c r="Y1525" s="25"/>
      <c r="Z1525" s="25"/>
      <c r="AA1525" s="25"/>
    </row>
    <row r="1526" spans="1:27" x14ac:dyDescent="0.35">
      <c r="A1526" s="5">
        <v>1522</v>
      </c>
      <c r="B1526" s="5">
        <v>64</v>
      </c>
      <c r="C1526" s="5">
        <v>3</v>
      </c>
      <c r="D1526" s="25">
        <v>1.1415000000000001E-4</v>
      </c>
      <c r="E1526" s="25">
        <v>1.1311000000000001E-4</v>
      </c>
      <c r="F1526" s="25">
        <v>1.3402999999999999E-4</v>
      </c>
      <c r="G1526" s="25">
        <v>1.6409000000000001E-4</v>
      </c>
      <c r="H1526" s="25">
        <v>1.9019999999999999E-4</v>
      </c>
      <c r="I1526" s="9">
        <v>1.4287999999999999E-4</v>
      </c>
      <c r="J1526" s="9">
        <v>1.4585999999999999E-4</v>
      </c>
      <c r="K1526" s="9">
        <v>3.2425999999999999E-4</v>
      </c>
      <c r="L1526" s="9">
        <v>2.0553999999999999E-4</v>
      </c>
      <c r="M1526" s="9">
        <v>1.5924999999999999E-4</v>
      </c>
      <c r="N1526" s="9">
        <v>1.2506999999999999E-4</v>
      </c>
      <c r="O1526" s="9">
        <v>1.6725999999999999E-4</v>
      </c>
      <c r="P1526" s="9">
        <v>1.7437999999999999E-4</v>
      </c>
      <c r="Q1526" s="9">
        <v>1.8238999999999999E-4</v>
      </c>
      <c r="R1526" s="10">
        <v>1.1300464219579337E-4</v>
      </c>
      <c r="S1526" s="10">
        <v>1.1865882243895784E-4</v>
      </c>
      <c r="T1526" s="10">
        <v>3.8690950326454918E-4</v>
      </c>
      <c r="U1526" s="10">
        <v>1.8327999999999999E-4</v>
      </c>
      <c r="V1526" s="25"/>
      <c r="W1526" s="25"/>
      <c r="X1526" s="25"/>
      <c r="Y1526" s="25"/>
      <c r="Z1526" s="25"/>
      <c r="AA1526" s="25"/>
    </row>
    <row r="1527" spans="1:27" x14ac:dyDescent="0.35">
      <c r="A1527" s="5">
        <v>1523</v>
      </c>
      <c r="B1527" s="5">
        <v>64</v>
      </c>
      <c r="C1527" s="5">
        <v>3</v>
      </c>
      <c r="D1527" s="25">
        <v>1.1416E-4</v>
      </c>
      <c r="E1527" s="25">
        <v>1.1833E-4</v>
      </c>
      <c r="F1527" s="25">
        <v>1.3768E-4</v>
      </c>
      <c r="G1527" s="25">
        <v>1.5920999999999999E-4</v>
      </c>
      <c r="H1527" s="25">
        <v>1.9047000000000001E-4</v>
      </c>
      <c r="I1527" s="9">
        <v>1.4506999999999999E-4</v>
      </c>
      <c r="J1527" s="9">
        <v>1.4857999999999999E-4</v>
      </c>
      <c r="K1527" s="9">
        <v>3.2001000000000002E-4</v>
      </c>
      <c r="L1527" s="9">
        <v>1.7574999999999999E-4</v>
      </c>
      <c r="M1527" s="9">
        <v>1.7289000000000001E-4</v>
      </c>
      <c r="N1527" s="9">
        <v>1.4313999999999999E-4</v>
      </c>
      <c r="O1527" s="9">
        <v>1.6602000000000001E-4</v>
      </c>
      <c r="P1527" s="9">
        <v>1.7175E-4</v>
      </c>
      <c r="Q1527" s="9">
        <v>1.7838000000000001E-4</v>
      </c>
      <c r="R1527" s="10">
        <v>8.4725836241707553E-5</v>
      </c>
      <c r="S1527" s="10">
        <v>1.3299094654152397E-4</v>
      </c>
      <c r="T1527" s="10">
        <v>1.6406938083305599E-4</v>
      </c>
      <c r="U1527" s="10">
        <v>1.8327999999999999E-4</v>
      </c>
      <c r="V1527" s="25"/>
      <c r="W1527" s="25"/>
      <c r="X1527" s="25"/>
      <c r="Y1527" s="25"/>
      <c r="Z1527" s="25"/>
      <c r="AA1527" s="25"/>
    </row>
    <row r="1528" spans="1:27" x14ac:dyDescent="0.35">
      <c r="A1528" s="5">
        <v>1524</v>
      </c>
      <c r="B1528" s="5">
        <v>64</v>
      </c>
      <c r="C1528" s="5">
        <v>3</v>
      </c>
      <c r="D1528" s="25">
        <v>1.1415000000000001E-4</v>
      </c>
      <c r="E1528" s="25">
        <v>1.1502000000000001E-4</v>
      </c>
      <c r="F1528" s="25">
        <v>1.4103E-4</v>
      </c>
      <c r="G1528" s="25">
        <v>1.5970000000000001E-4</v>
      </c>
      <c r="H1528" s="25">
        <v>1.9827000000000001E-4</v>
      </c>
      <c r="I1528" s="9">
        <v>1.4697000000000001E-4</v>
      </c>
      <c r="J1528" s="9">
        <v>1.4946E-4</v>
      </c>
      <c r="K1528" s="9">
        <v>3.1154000000000002E-4</v>
      </c>
      <c r="L1528" s="9">
        <v>1.6959000000000001E-4</v>
      </c>
      <c r="M1528" s="9">
        <v>1.7477000000000001E-4</v>
      </c>
      <c r="N1528" s="9">
        <v>1.5690999999999999E-4</v>
      </c>
      <c r="O1528" s="9">
        <v>1.7037000000000001E-4</v>
      </c>
      <c r="P1528" s="9">
        <v>1.7204000000000001E-4</v>
      </c>
      <c r="Q1528" s="9">
        <v>1.7472000000000001E-4</v>
      </c>
      <c r="R1528" s="10">
        <v>3.4436221088385996E-5</v>
      </c>
      <c r="S1528" s="10">
        <v>1.4542477936317578E-4</v>
      </c>
      <c r="T1528" s="10">
        <v>6.0781520544420987E-4</v>
      </c>
      <c r="U1528" s="10">
        <v>1.8327999999999999E-4</v>
      </c>
      <c r="V1528" s="25"/>
      <c r="W1528" s="25"/>
      <c r="X1528" s="25"/>
      <c r="Y1528" s="25"/>
      <c r="Z1528" s="25"/>
      <c r="AA1528" s="25"/>
    </row>
    <row r="1529" spans="1:27" x14ac:dyDescent="0.35">
      <c r="A1529" s="5">
        <v>1525</v>
      </c>
      <c r="B1529" s="5">
        <v>64</v>
      </c>
      <c r="C1529" s="5">
        <v>3</v>
      </c>
      <c r="D1529" s="25">
        <v>1.1416E-4</v>
      </c>
      <c r="E1529" s="25">
        <v>1.1564E-4</v>
      </c>
      <c r="F1529" s="25">
        <v>1.4058000000000001E-4</v>
      </c>
      <c r="G1529" s="25">
        <v>1.6203999999999999E-4</v>
      </c>
      <c r="H1529" s="25">
        <v>1.9471000000000001E-4</v>
      </c>
      <c r="I1529" s="9">
        <v>1.4264E-4</v>
      </c>
      <c r="J1529" s="9">
        <v>1.4856E-4</v>
      </c>
      <c r="K1529" s="9">
        <v>3.2001000000000002E-4</v>
      </c>
      <c r="L1529" s="9">
        <v>1.7039E-4</v>
      </c>
      <c r="M1529" s="9">
        <v>1.7378000000000001E-4</v>
      </c>
      <c r="N1529" s="9">
        <v>1.6640000000000001E-4</v>
      </c>
      <c r="O1529" s="9">
        <v>1.6124999999999999E-4</v>
      </c>
      <c r="P1529" s="9">
        <v>1.6372000000000001E-4</v>
      </c>
      <c r="Q1529" s="9">
        <v>1.6710999999999999E-4</v>
      </c>
      <c r="R1529" s="10">
        <v>5.3841786769198932E-5</v>
      </c>
      <c r="S1529" s="10">
        <v>1.6291978722353094E-4</v>
      </c>
      <c r="T1529" s="10">
        <v>3.0129443852226106E-4</v>
      </c>
      <c r="U1529" s="10">
        <v>1.8327999999999999E-4</v>
      </c>
      <c r="V1529" s="25"/>
      <c r="W1529" s="25"/>
      <c r="X1529" s="25"/>
      <c r="Y1529" s="25"/>
      <c r="Z1529" s="25"/>
      <c r="AA1529" s="25"/>
    </row>
    <row r="1530" spans="1:27" x14ac:dyDescent="0.35">
      <c r="A1530" s="5">
        <v>1526</v>
      </c>
      <c r="B1530" s="5">
        <v>64</v>
      </c>
      <c r="C1530" s="5">
        <v>3</v>
      </c>
      <c r="D1530" s="25">
        <v>1.1415000000000001E-4</v>
      </c>
      <c r="E1530" s="25">
        <v>1.2268000000000001E-4</v>
      </c>
      <c r="F1530" s="25">
        <v>1.3998E-4</v>
      </c>
      <c r="G1530" s="25">
        <v>1.5846999999999999E-4</v>
      </c>
      <c r="H1530" s="25">
        <v>2.0010000000000001E-4</v>
      </c>
      <c r="I1530" s="9">
        <v>1.4149E-4</v>
      </c>
      <c r="J1530" s="9">
        <v>1.4800999999999999E-4</v>
      </c>
      <c r="K1530" s="9">
        <v>3.0729999999999999E-4</v>
      </c>
      <c r="L1530" s="9">
        <v>1.6297999999999999E-4</v>
      </c>
      <c r="M1530" s="9">
        <v>1.6988999999999999E-4</v>
      </c>
      <c r="N1530" s="9">
        <v>1.7055999999999999E-4</v>
      </c>
      <c r="O1530" s="9">
        <v>1.7704999999999999E-4</v>
      </c>
      <c r="P1530" s="9">
        <v>1.6783E-4</v>
      </c>
      <c r="Q1530" s="9">
        <v>1.5985000000000001E-4</v>
      </c>
      <c r="R1530" s="10">
        <v>6.2560462692105547E-5</v>
      </c>
      <c r="S1530" s="10">
        <v>1.7149276870994618E-4</v>
      </c>
      <c r="T1530" s="10">
        <v>3.3216880385742966E-4</v>
      </c>
      <c r="U1530" s="10">
        <v>1.8327999999999999E-4</v>
      </c>
      <c r="V1530" s="25"/>
      <c r="W1530" s="25"/>
      <c r="X1530" s="25"/>
      <c r="Y1530" s="25"/>
      <c r="Z1530" s="25"/>
      <c r="AA1530" s="25"/>
    </row>
    <row r="1531" spans="1:27" x14ac:dyDescent="0.35">
      <c r="A1531" s="5">
        <v>1527</v>
      </c>
      <c r="B1531" s="5">
        <v>64</v>
      </c>
      <c r="C1531" s="5">
        <v>3</v>
      </c>
      <c r="D1531" s="25">
        <v>1.1416E-4</v>
      </c>
      <c r="E1531" s="25">
        <v>1.1268E-4</v>
      </c>
      <c r="F1531" s="25">
        <v>1.2636E-4</v>
      </c>
      <c r="G1531" s="25">
        <v>1.5987999999999999E-4</v>
      </c>
      <c r="H1531" s="25">
        <v>1.9508000000000001E-4</v>
      </c>
      <c r="I1531" s="9">
        <v>1.3802000000000001E-4</v>
      </c>
      <c r="J1531" s="9">
        <v>1.4601999999999999E-4</v>
      </c>
      <c r="K1531" s="9">
        <v>3.0093999999999997E-4</v>
      </c>
      <c r="L1531" s="9">
        <v>1.7411999999999999E-4</v>
      </c>
      <c r="M1531" s="9">
        <v>1.6804999999999999E-4</v>
      </c>
      <c r="N1531" s="9">
        <v>1.6980000000000001E-4</v>
      </c>
      <c r="O1531" s="9">
        <v>1.8209000000000001E-4</v>
      </c>
      <c r="P1531" s="9">
        <v>1.6611999999999999E-4</v>
      </c>
      <c r="Q1531" s="9">
        <v>1.5152000000000001E-4</v>
      </c>
      <c r="R1531" s="10">
        <v>7.607474986573704E-5</v>
      </c>
      <c r="S1531" s="10">
        <v>1.7391311024730739E-4</v>
      </c>
      <c r="T1531" s="10">
        <v>2.6880805631056536E-4</v>
      </c>
      <c r="U1531" s="10">
        <v>1.8327999999999999E-4</v>
      </c>
      <c r="V1531" s="25"/>
      <c r="W1531" s="25"/>
      <c r="X1531" s="25"/>
      <c r="Y1531" s="25"/>
      <c r="Z1531" s="25"/>
      <c r="AA1531" s="25"/>
    </row>
    <row r="1532" spans="1:27" x14ac:dyDescent="0.35">
      <c r="A1532" s="5">
        <v>1528</v>
      </c>
      <c r="B1532" s="5">
        <v>64</v>
      </c>
      <c r="C1532" s="5">
        <v>3</v>
      </c>
      <c r="D1532" s="25">
        <v>1.1415000000000001E-4</v>
      </c>
      <c r="E1532" s="25">
        <v>1.1904E-4</v>
      </c>
      <c r="F1532" s="25">
        <v>1.236E-4</v>
      </c>
      <c r="G1532" s="25">
        <v>1.5778E-4</v>
      </c>
      <c r="H1532" s="25">
        <v>1.9604E-4</v>
      </c>
      <c r="I1532" s="9">
        <v>1.3652E-4</v>
      </c>
      <c r="J1532" s="9">
        <v>1.4317999999999999E-4</v>
      </c>
      <c r="K1532" s="9">
        <v>3.0093999999999997E-4</v>
      </c>
      <c r="L1532" s="9">
        <v>1.8006000000000001E-4</v>
      </c>
      <c r="M1532" s="9">
        <v>1.6694999999999999E-4</v>
      </c>
      <c r="N1532" s="9">
        <v>1.6566000000000001E-4</v>
      </c>
      <c r="O1532" s="9">
        <v>1.9864000000000001E-4</v>
      </c>
      <c r="P1532" s="9">
        <v>1.5364999999999999E-4</v>
      </c>
      <c r="Q1532" s="9">
        <v>1.1063E-4</v>
      </c>
      <c r="R1532" s="10">
        <v>7.5483466925686194E-5</v>
      </c>
      <c r="S1532" s="10">
        <v>1.7749009943477005E-4</v>
      </c>
      <c r="T1532" s="10">
        <v>2.086967954148056E-4</v>
      </c>
      <c r="U1532" s="10">
        <v>1.8327999999999999E-4</v>
      </c>
      <c r="V1532" s="25"/>
      <c r="W1532" s="25"/>
      <c r="X1532" s="25"/>
      <c r="Y1532" s="25"/>
      <c r="Z1532" s="25"/>
      <c r="AA1532" s="25"/>
    </row>
    <row r="1533" spans="1:27" x14ac:dyDescent="0.35">
      <c r="A1533" s="5">
        <v>1529</v>
      </c>
      <c r="B1533" s="5">
        <v>64</v>
      </c>
      <c r="C1533" s="5">
        <v>3</v>
      </c>
      <c r="D1533" s="25">
        <v>1.1416E-4</v>
      </c>
      <c r="E1533" s="25">
        <v>1.1779E-4</v>
      </c>
      <c r="F1533" s="25">
        <v>1.2731999999999999E-4</v>
      </c>
      <c r="G1533" s="25">
        <v>1.6462000000000001E-4</v>
      </c>
      <c r="H1533" s="25">
        <v>1.8963000000000001E-4</v>
      </c>
      <c r="I1533" s="9">
        <v>1.3363000000000001E-4</v>
      </c>
      <c r="J1533" s="9">
        <v>1.4096000000000001E-4</v>
      </c>
      <c r="K1533" s="9">
        <v>3.2849000000000002E-4</v>
      </c>
      <c r="L1533" s="9">
        <v>1.9432999999999999E-4</v>
      </c>
      <c r="M1533" s="9">
        <v>1.6200000000000001E-4</v>
      </c>
      <c r="N1533" s="9">
        <v>1.5218999999999999E-4</v>
      </c>
      <c r="O1533" s="9">
        <v>2.1348E-4</v>
      </c>
      <c r="P1533" s="9">
        <v>1.5915999999999999E-4</v>
      </c>
      <c r="Q1533" s="9">
        <v>1.0705E-4</v>
      </c>
      <c r="R1533" s="10">
        <v>7.3477695140709224E-5</v>
      </c>
      <c r="S1533" s="10">
        <v>1.7959190837037888E-4</v>
      </c>
      <c r="T1533" s="10">
        <v>1.3646147074769226E-4</v>
      </c>
      <c r="U1533" s="10">
        <v>1.8327999999999999E-4</v>
      </c>
      <c r="V1533" s="25"/>
      <c r="W1533" s="25"/>
      <c r="X1533" s="25"/>
      <c r="Y1533" s="25"/>
      <c r="Z1533" s="25"/>
      <c r="AA1533" s="25"/>
    </row>
    <row r="1534" spans="1:27" x14ac:dyDescent="0.35">
      <c r="A1534" s="5">
        <v>1530</v>
      </c>
      <c r="B1534" s="5">
        <v>64</v>
      </c>
      <c r="C1534" s="5">
        <v>3</v>
      </c>
      <c r="D1534" s="25">
        <v>1.1415000000000001E-4</v>
      </c>
      <c r="E1534" s="25">
        <v>1.1461E-4</v>
      </c>
      <c r="F1534" s="25">
        <v>1.3894999999999999E-4</v>
      </c>
      <c r="G1534" s="25">
        <v>1.5961999999999999E-4</v>
      </c>
      <c r="H1534" s="25">
        <v>1.9403000000000001E-4</v>
      </c>
      <c r="I1534" s="9">
        <v>1.3205000000000001E-4</v>
      </c>
      <c r="J1534" s="9">
        <v>1.4124E-4</v>
      </c>
      <c r="K1534" s="9">
        <v>3.4968999999999999E-4</v>
      </c>
      <c r="L1534" s="9">
        <v>2.0895000000000001E-4</v>
      </c>
      <c r="M1534" s="9">
        <v>1.5961999999999999E-4</v>
      </c>
      <c r="N1534" s="9">
        <v>1.3886000000000001E-4</v>
      </c>
      <c r="O1534" s="9">
        <v>2.0667E-4</v>
      </c>
      <c r="P1534" s="9">
        <v>1.6160999999999999E-4</v>
      </c>
      <c r="Q1534" s="9">
        <v>1.1857E-4</v>
      </c>
      <c r="R1534" s="10">
        <v>8.306419029559321E-5</v>
      </c>
      <c r="S1534" s="10">
        <v>1.8001706111161133E-4</v>
      </c>
      <c r="T1534" s="10">
        <v>0</v>
      </c>
      <c r="U1534" s="10">
        <v>1.8327999999999999E-4</v>
      </c>
      <c r="V1534" s="25"/>
      <c r="W1534" s="25"/>
      <c r="X1534" s="25"/>
      <c r="Y1534" s="25"/>
      <c r="Z1534" s="25"/>
      <c r="AA1534" s="25"/>
    </row>
    <row r="1535" spans="1:27" x14ac:dyDescent="0.35">
      <c r="A1535" s="5">
        <v>1531</v>
      </c>
      <c r="B1535" s="5">
        <v>64</v>
      </c>
      <c r="C1535" s="5">
        <v>3</v>
      </c>
      <c r="D1535" s="25">
        <v>1.1416E-4</v>
      </c>
      <c r="E1535" s="25">
        <v>1.2374E-4</v>
      </c>
      <c r="F1535" s="25">
        <v>1.3276E-4</v>
      </c>
      <c r="G1535" s="25">
        <v>1.0937E-4</v>
      </c>
      <c r="H1535" s="25">
        <v>1.3072999999999999E-4</v>
      </c>
      <c r="I1535" s="9">
        <v>1.3543999999999999E-4</v>
      </c>
      <c r="J1535" s="9">
        <v>1.4056999999999999E-4</v>
      </c>
      <c r="K1535" s="9">
        <v>3.7088000000000003E-4</v>
      </c>
      <c r="L1535" s="9">
        <v>2.0680000000000001E-4</v>
      </c>
      <c r="M1535" s="9">
        <v>1.5986E-4</v>
      </c>
      <c r="N1535" s="9">
        <v>1.3006000000000001E-4</v>
      </c>
      <c r="O1535" s="9">
        <v>1.652E-4</v>
      </c>
      <c r="P1535" s="9">
        <v>1.3574E-4</v>
      </c>
      <c r="Q1535" s="9">
        <v>1.0774E-4</v>
      </c>
      <c r="R1535" s="10">
        <v>1.0997846341277201E-4</v>
      </c>
      <c r="S1535" s="10">
        <v>1.7697379370825179E-4</v>
      </c>
      <c r="T1535" s="10">
        <v>0</v>
      </c>
      <c r="U1535" s="10">
        <v>1.8327999999999999E-4</v>
      </c>
      <c r="V1535" s="25"/>
      <c r="W1535" s="25"/>
      <c r="X1535" s="25"/>
      <c r="Y1535" s="25"/>
      <c r="Z1535" s="25"/>
      <c r="AA1535" s="25"/>
    </row>
    <row r="1536" spans="1:27" x14ac:dyDescent="0.35">
      <c r="A1536" s="5">
        <v>1532</v>
      </c>
      <c r="B1536" s="5">
        <v>64</v>
      </c>
      <c r="C1536" s="5">
        <v>3</v>
      </c>
      <c r="D1536" s="25">
        <v>1.1415000000000001E-4</v>
      </c>
      <c r="E1536" s="25">
        <v>1.149E-4</v>
      </c>
      <c r="F1536" s="25">
        <v>1.3828000000000001E-4</v>
      </c>
      <c r="G1536" s="25">
        <v>1.0840000000000001E-4</v>
      </c>
      <c r="H1536" s="25">
        <v>1.2845000000000001E-4</v>
      </c>
      <c r="I1536" s="9">
        <v>1.3763999999999999E-4</v>
      </c>
      <c r="J1536" s="9">
        <v>1.4034E-4</v>
      </c>
      <c r="K1536" s="9">
        <v>3.8570999999999999E-4</v>
      </c>
      <c r="L1536" s="9">
        <v>1.7451000000000001E-4</v>
      </c>
      <c r="M1536" s="9">
        <v>1.5139E-4</v>
      </c>
      <c r="N1536" s="9">
        <v>1.2118E-4</v>
      </c>
      <c r="O1536" s="9">
        <v>1.2833000000000001E-4</v>
      </c>
      <c r="P1536" s="9">
        <v>1.1448E-4</v>
      </c>
      <c r="Q1536" s="9">
        <v>1.0155E-4</v>
      </c>
      <c r="R1536" s="10">
        <v>1.3469592771935806E-4</v>
      </c>
      <c r="S1536" s="10">
        <v>1.7663804693120061E-4</v>
      </c>
      <c r="T1536" s="10">
        <v>0</v>
      </c>
      <c r="U1536" s="10">
        <v>1.8327999999999999E-4</v>
      </c>
      <c r="V1536" s="25"/>
      <c r="W1536" s="25"/>
      <c r="X1536" s="25"/>
      <c r="Y1536" s="25"/>
      <c r="Z1536" s="25"/>
      <c r="AA1536" s="25"/>
    </row>
    <row r="1537" spans="1:27" x14ac:dyDescent="0.35">
      <c r="A1537" s="5">
        <v>1533</v>
      </c>
      <c r="B1537" s="5">
        <v>64</v>
      </c>
      <c r="C1537" s="5">
        <v>3</v>
      </c>
      <c r="D1537" s="25">
        <v>1.1416E-4</v>
      </c>
      <c r="E1537" s="25">
        <v>1.2352000000000001E-4</v>
      </c>
      <c r="F1537" s="25">
        <v>1.3805999999999999E-4</v>
      </c>
      <c r="G1537" s="25">
        <v>5.6570000000000002E-5</v>
      </c>
      <c r="H1537" s="25">
        <v>7.3499999999999998E-5</v>
      </c>
      <c r="I1537" s="9">
        <v>1.3002000000000001E-4</v>
      </c>
      <c r="J1537" s="9">
        <v>1.3407999999999999E-4</v>
      </c>
      <c r="K1537" s="9">
        <v>3.9630999999999998E-4</v>
      </c>
      <c r="L1537" s="9">
        <v>1.3948000000000001E-4</v>
      </c>
      <c r="M1537" s="9">
        <v>1.3572000000000001E-4</v>
      </c>
      <c r="N1537" s="9">
        <v>1.1346E-4</v>
      </c>
      <c r="O1537" s="9">
        <v>8.5119999999999998E-5</v>
      </c>
      <c r="P1537" s="9">
        <v>8.6780000000000006E-5</v>
      </c>
      <c r="Q1537" s="9">
        <v>8.878E-5</v>
      </c>
      <c r="R1537" s="10">
        <v>1.5627288796829882E-4</v>
      </c>
      <c r="S1537" s="10">
        <v>1.7930341410125468E-4</v>
      </c>
      <c r="T1537" s="10">
        <v>0</v>
      </c>
      <c r="U1537" s="10">
        <v>1.8327999999999999E-4</v>
      </c>
      <c r="V1537" s="25"/>
      <c r="W1537" s="25"/>
      <c r="X1537" s="25"/>
      <c r="Y1537" s="25"/>
      <c r="Z1537" s="25"/>
      <c r="AA1537" s="25"/>
    </row>
    <row r="1538" spans="1:27" x14ac:dyDescent="0.35">
      <c r="A1538" s="5">
        <v>1534</v>
      </c>
      <c r="B1538" s="5">
        <v>64</v>
      </c>
      <c r="C1538" s="5">
        <v>3</v>
      </c>
      <c r="D1538" s="25">
        <v>1.1415000000000001E-4</v>
      </c>
      <c r="E1538" s="25">
        <v>1.1454E-4</v>
      </c>
      <c r="F1538" s="25">
        <v>1.4097E-4</v>
      </c>
      <c r="G1538" s="25">
        <v>5.6780000000000002E-5</v>
      </c>
      <c r="H1538" s="25">
        <v>7.1080000000000004E-5</v>
      </c>
      <c r="I1538" s="9">
        <v>1.2389000000000001E-4</v>
      </c>
      <c r="J1538" s="9">
        <v>1.2507999999999999E-4</v>
      </c>
      <c r="K1538" s="9">
        <v>4.0266999999999999E-4</v>
      </c>
      <c r="L1538" s="9">
        <v>9.8040000000000003E-5</v>
      </c>
      <c r="M1538" s="9">
        <v>1.1404999999999999E-4</v>
      </c>
      <c r="N1538" s="9">
        <v>1.0593E-4</v>
      </c>
      <c r="O1538" s="9">
        <v>8.6580000000000001E-5</v>
      </c>
      <c r="P1538" s="9">
        <v>8.6829999999999994E-5</v>
      </c>
      <c r="Q1538" s="9">
        <v>8.7470000000000001E-5</v>
      </c>
      <c r="R1538" s="10">
        <v>1.6984585984790234E-4</v>
      </c>
      <c r="S1538" s="10">
        <v>1.81296086227161E-4</v>
      </c>
      <c r="T1538" s="10">
        <v>0</v>
      </c>
      <c r="U1538" s="10">
        <v>1.8327999999999999E-4</v>
      </c>
      <c r="V1538" s="25"/>
      <c r="W1538" s="25"/>
      <c r="X1538" s="25"/>
      <c r="Y1538" s="25"/>
      <c r="Z1538" s="25"/>
      <c r="AA1538" s="25"/>
    </row>
    <row r="1539" spans="1:27" x14ac:dyDescent="0.35">
      <c r="A1539" s="5">
        <v>1535</v>
      </c>
      <c r="B1539" s="5">
        <v>64</v>
      </c>
      <c r="C1539" s="5">
        <v>3</v>
      </c>
      <c r="D1539" s="25">
        <v>1.1416E-4</v>
      </c>
      <c r="E1539" s="25">
        <v>1.1809E-4</v>
      </c>
      <c r="F1539" s="25">
        <v>1.3177999999999999E-4</v>
      </c>
      <c r="G1539" s="25">
        <v>5.2960000000000001E-5</v>
      </c>
      <c r="H1539" s="25">
        <v>7.5820000000000003E-5</v>
      </c>
      <c r="I1539" s="9">
        <v>1.2645000000000001E-4</v>
      </c>
      <c r="J1539" s="9">
        <v>1.1737E-4</v>
      </c>
      <c r="K1539" s="9">
        <v>4.1325999999999998E-4</v>
      </c>
      <c r="L1539" s="9">
        <v>9.0019999999999995E-5</v>
      </c>
      <c r="M1539" s="9">
        <v>9.8939999999999998E-5</v>
      </c>
      <c r="N1539" s="9">
        <v>9.9909999999999997E-5</v>
      </c>
      <c r="O1539" s="9">
        <v>7.7479999999999997E-5</v>
      </c>
      <c r="P1539" s="9">
        <v>7.1840000000000003E-5</v>
      </c>
      <c r="Q1539" s="9">
        <v>6.6610000000000001E-5</v>
      </c>
      <c r="R1539" s="10">
        <v>1.7144808643413515E-4</v>
      </c>
      <c r="S1539" s="10">
        <v>1.8159136278105673E-4</v>
      </c>
      <c r="T1539" s="10">
        <v>0</v>
      </c>
      <c r="U1539" s="10">
        <v>1.8327999999999999E-4</v>
      </c>
      <c r="V1539" s="25"/>
      <c r="W1539" s="25"/>
      <c r="X1539" s="25"/>
      <c r="Y1539" s="25"/>
      <c r="Z1539" s="25"/>
      <c r="AA1539" s="25"/>
    </row>
    <row r="1540" spans="1:27" x14ac:dyDescent="0.35">
      <c r="A1540" s="5">
        <v>1536</v>
      </c>
      <c r="B1540" s="5">
        <v>64</v>
      </c>
      <c r="C1540" s="5">
        <v>3</v>
      </c>
      <c r="D1540" s="25">
        <v>1.1415000000000001E-4</v>
      </c>
      <c r="E1540" s="25">
        <v>1.2226000000000001E-4</v>
      </c>
      <c r="F1540" s="25">
        <v>1.4087E-4</v>
      </c>
      <c r="G1540" s="25">
        <v>5.5269999999999998E-5</v>
      </c>
      <c r="H1540" s="25">
        <v>7.1019999999999994E-5</v>
      </c>
      <c r="I1540" s="9">
        <v>1.2710999999999999E-4</v>
      </c>
      <c r="J1540" s="9">
        <v>1.1089E-4</v>
      </c>
      <c r="K1540" s="9">
        <v>4.1962E-4</v>
      </c>
      <c r="L1540" s="9">
        <v>8.0240000000000004E-5</v>
      </c>
      <c r="M1540" s="9">
        <v>8.585E-5</v>
      </c>
      <c r="N1540" s="9">
        <v>9.0500000000000004E-5</v>
      </c>
      <c r="O1540" s="9">
        <v>6.2929999999999995E-5</v>
      </c>
      <c r="P1540" s="9">
        <v>6.0859999999999997E-5</v>
      </c>
      <c r="Q1540" s="9">
        <v>5.9039999999999997E-5</v>
      </c>
      <c r="R1540" s="10">
        <v>1.732945702211271E-4</v>
      </c>
      <c r="S1540" s="10">
        <v>1.8191722845954582E-4</v>
      </c>
      <c r="T1540" s="10">
        <v>0</v>
      </c>
      <c r="U1540" s="10">
        <v>1.8327999999999999E-4</v>
      </c>
      <c r="V1540" s="25"/>
      <c r="W1540" s="25"/>
      <c r="X1540" s="25"/>
      <c r="Y1540" s="25"/>
      <c r="Z1540" s="25"/>
      <c r="AA1540" s="25"/>
    </row>
    <row r="1541" spans="1:27" x14ac:dyDescent="0.35">
      <c r="A1541" s="5">
        <v>1537</v>
      </c>
      <c r="B1541" s="5">
        <v>65</v>
      </c>
      <c r="C1541" s="5">
        <v>3</v>
      </c>
      <c r="D1541" s="25">
        <v>1.1416E-4</v>
      </c>
      <c r="E1541" s="25">
        <v>1.0622E-4</v>
      </c>
      <c r="F1541" s="25">
        <v>9.7180000000000001E-5</v>
      </c>
      <c r="G1541" s="25">
        <v>6.071E-5</v>
      </c>
      <c r="H1541" s="25">
        <v>6.8460000000000005E-5</v>
      </c>
      <c r="I1541" s="9">
        <v>1.2087999999999999E-4</v>
      </c>
      <c r="J1541" s="9">
        <v>1.0298000000000001E-4</v>
      </c>
      <c r="K1541" s="9">
        <v>4.3234000000000002E-4</v>
      </c>
      <c r="L1541" s="9">
        <v>6.6740000000000001E-5</v>
      </c>
      <c r="M1541" s="9">
        <v>7.3850000000000006E-5</v>
      </c>
      <c r="N1541" s="9">
        <v>8.1080000000000003E-5</v>
      </c>
      <c r="O1541" s="9">
        <v>5.4740000000000001E-5</v>
      </c>
      <c r="P1541" s="9">
        <v>5.4150000000000002E-5</v>
      </c>
      <c r="Q1541" s="9">
        <v>5.3730000000000002E-5</v>
      </c>
      <c r="R1541" s="10">
        <v>1.7827435387527833E-4</v>
      </c>
      <c r="S1541" s="10">
        <v>1.8064460898235813E-4</v>
      </c>
      <c r="T1541" s="10">
        <v>0</v>
      </c>
      <c r="U1541" s="10">
        <v>1.8510999999999999E-4</v>
      </c>
      <c r="V1541" s="25"/>
      <c r="W1541" s="25"/>
      <c r="X1541" s="25"/>
      <c r="Y1541" s="25"/>
      <c r="Z1541" s="25"/>
      <c r="AA1541" s="25"/>
    </row>
    <row r="1542" spans="1:27" x14ac:dyDescent="0.35">
      <c r="A1542" s="5">
        <v>1538</v>
      </c>
      <c r="B1542" s="5">
        <v>65</v>
      </c>
      <c r="C1542" s="5">
        <v>3</v>
      </c>
      <c r="D1542" s="25">
        <v>1.1415000000000001E-4</v>
      </c>
      <c r="E1542" s="25">
        <v>1.0505000000000001E-4</v>
      </c>
      <c r="F1542" s="25">
        <v>1.0186E-4</v>
      </c>
      <c r="G1542" s="25">
        <v>5.5080000000000001E-5</v>
      </c>
      <c r="H1542" s="25">
        <v>7.1989999999999993E-5</v>
      </c>
      <c r="I1542" s="9">
        <v>1.1477E-4</v>
      </c>
      <c r="J1542" s="9">
        <v>9.8239999999999995E-5</v>
      </c>
      <c r="K1542" s="9">
        <v>4.2598000000000001E-4</v>
      </c>
      <c r="L1542" s="9">
        <v>5.7739999999999999E-5</v>
      </c>
      <c r="M1542" s="9">
        <v>6.3919999999999998E-5</v>
      </c>
      <c r="N1542" s="9">
        <v>7.203E-5</v>
      </c>
      <c r="O1542" s="9">
        <v>1.9009999999999999E-5</v>
      </c>
      <c r="P1542" s="9">
        <v>3.7960000000000002E-5</v>
      </c>
      <c r="Q1542" s="9">
        <v>5.6490000000000003E-5</v>
      </c>
      <c r="R1542" s="10">
        <v>1.7212578377702518E-4</v>
      </c>
      <c r="S1542" s="10">
        <v>1.8020233826504967E-4</v>
      </c>
      <c r="T1542" s="10">
        <v>0</v>
      </c>
      <c r="U1542" s="10">
        <v>1.8510999999999999E-4</v>
      </c>
      <c r="V1542" s="25"/>
      <c r="W1542" s="25"/>
      <c r="X1542" s="25"/>
      <c r="Y1542" s="25"/>
      <c r="Z1542" s="25"/>
      <c r="AA1542" s="25"/>
    </row>
    <row r="1543" spans="1:27" x14ac:dyDescent="0.35">
      <c r="A1543" s="5">
        <v>1539</v>
      </c>
      <c r="B1543" s="5">
        <v>65</v>
      </c>
      <c r="C1543" s="5">
        <v>3</v>
      </c>
      <c r="D1543" s="25">
        <v>1.1416E-4</v>
      </c>
      <c r="E1543" s="25">
        <v>1.1275E-4</v>
      </c>
      <c r="F1543" s="25">
        <v>1.0781999999999999E-4</v>
      </c>
      <c r="G1543" s="25">
        <v>6.2059999999999999E-5</v>
      </c>
      <c r="H1543" s="25">
        <v>6.3460000000000006E-5</v>
      </c>
      <c r="I1543" s="9">
        <v>1.0869E-4</v>
      </c>
      <c r="J1543" s="9">
        <v>9.6180000000000004E-5</v>
      </c>
      <c r="K1543" s="9">
        <v>4.3446000000000001E-4</v>
      </c>
      <c r="L1543" s="9">
        <v>2.773E-5</v>
      </c>
      <c r="M1543" s="9">
        <v>5.2320000000000001E-5</v>
      </c>
      <c r="N1543" s="9">
        <v>6.5530000000000004E-5</v>
      </c>
      <c r="O1543" s="9">
        <v>1.3329999999999999E-5</v>
      </c>
      <c r="P1543" s="9">
        <v>3.7499999999999997E-5</v>
      </c>
      <c r="Q1543" s="9">
        <v>6.1119999999999998E-5</v>
      </c>
      <c r="R1543" s="10">
        <v>1.7434159525943452E-4</v>
      </c>
      <c r="S1543" s="10">
        <v>1.8276693550987844E-4</v>
      </c>
      <c r="T1543" s="10">
        <v>0</v>
      </c>
      <c r="U1543" s="10">
        <v>1.8510999999999999E-4</v>
      </c>
      <c r="V1543" s="25"/>
      <c r="W1543" s="25"/>
      <c r="X1543" s="25"/>
      <c r="Y1543" s="25"/>
      <c r="Z1543" s="25"/>
      <c r="AA1543" s="25"/>
    </row>
    <row r="1544" spans="1:27" x14ac:dyDescent="0.35">
      <c r="A1544" s="5">
        <v>1540</v>
      </c>
      <c r="B1544" s="5">
        <v>65</v>
      </c>
      <c r="C1544" s="5">
        <v>3</v>
      </c>
      <c r="D1544" s="25">
        <v>1.1415000000000001E-4</v>
      </c>
      <c r="E1544" s="25">
        <v>1.0956E-4</v>
      </c>
      <c r="F1544" s="25">
        <v>1.1074E-4</v>
      </c>
      <c r="G1544" s="25">
        <v>5.4750000000000003E-5</v>
      </c>
      <c r="H1544" s="25">
        <v>7.2539999999999993E-5</v>
      </c>
      <c r="I1544" s="9">
        <v>1.0623E-4</v>
      </c>
      <c r="J1544" s="9">
        <v>9.4809999999999995E-5</v>
      </c>
      <c r="K1544" s="9">
        <v>4.4716999999999999E-4</v>
      </c>
      <c r="L1544" s="9">
        <v>1.7249999999999999E-5</v>
      </c>
      <c r="M1544" s="9">
        <v>4.4209999999999999E-5</v>
      </c>
      <c r="N1544" s="9">
        <v>6.1890000000000005E-5</v>
      </c>
      <c r="O1544" s="9">
        <v>1.3329999999999999E-5</v>
      </c>
      <c r="P1544" s="9">
        <v>4.6860000000000002E-5</v>
      </c>
      <c r="Q1544" s="9">
        <v>7.9699999999999999E-5</v>
      </c>
      <c r="R1544" s="10">
        <v>1.8514049417457402E-4</v>
      </c>
      <c r="S1544" s="10">
        <v>1.8372934162726339E-4</v>
      </c>
      <c r="T1544" s="10">
        <v>0</v>
      </c>
      <c r="U1544" s="10">
        <v>1.8510999999999999E-4</v>
      </c>
      <c r="V1544" s="25"/>
      <c r="W1544" s="25"/>
      <c r="X1544" s="25"/>
      <c r="Y1544" s="25"/>
      <c r="Z1544" s="25"/>
      <c r="AA1544" s="25"/>
    </row>
    <row r="1545" spans="1:27" x14ac:dyDescent="0.35">
      <c r="A1545" s="5">
        <v>1541</v>
      </c>
      <c r="B1545" s="5">
        <v>65</v>
      </c>
      <c r="C1545" s="5">
        <v>3</v>
      </c>
      <c r="D1545" s="25">
        <v>1.1416E-4</v>
      </c>
      <c r="E1545" s="25">
        <v>1.104E-4</v>
      </c>
      <c r="F1545" s="25">
        <v>1.0965E-4</v>
      </c>
      <c r="G1545" s="25">
        <v>5.2389999999999998E-5</v>
      </c>
      <c r="H1545" s="25">
        <v>6.5820000000000003E-5</v>
      </c>
      <c r="I1545" s="9">
        <v>1.0480999999999999E-4</v>
      </c>
      <c r="J1545" s="9">
        <v>9.4749999999999999E-5</v>
      </c>
      <c r="K1545" s="9">
        <v>4.4505E-4</v>
      </c>
      <c r="L1545" s="9">
        <v>1.4440000000000001E-5</v>
      </c>
      <c r="M1545" s="9">
        <v>4.333E-5</v>
      </c>
      <c r="N1545" s="9">
        <v>6.4289999999999996E-5</v>
      </c>
      <c r="O1545" s="9">
        <v>1.8870000000000001E-5</v>
      </c>
      <c r="P1545" s="9">
        <v>5.6530000000000003E-5</v>
      </c>
      <c r="Q1545" s="9">
        <v>9.3480000000000006E-5</v>
      </c>
      <c r="R1545" s="10">
        <v>1.8531655197487676E-4</v>
      </c>
      <c r="S1545" s="10">
        <v>1.8212575917073322E-4</v>
      </c>
      <c r="T1545" s="10">
        <v>0</v>
      </c>
      <c r="U1545" s="10">
        <v>1.8510999999999999E-4</v>
      </c>
      <c r="V1545" s="25"/>
      <c r="W1545" s="25"/>
      <c r="X1545" s="25"/>
      <c r="Y1545" s="25"/>
      <c r="Z1545" s="25"/>
      <c r="AA1545" s="25"/>
    </row>
    <row r="1546" spans="1:27" x14ac:dyDescent="0.35">
      <c r="A1546" s="5">
        <v>1542</v>
      </c>
      <c r="B1546" s="5">
        <v>65</v>
      </c>
      <c r="C1546" s="5">
        <v>3</v>
      </c>
      <c r="D1546" s="25">
        <v>1.1415000000000001E-4</v>
      </c>
      <c r="E1546" s="25">
        <v>1.1004E-4</v>
      </c>
      <c r="F1546" s="25">
        <v>1.0946999999999999E-4</v>
      </c>
      <c r="G1546" s="25">
        <v>1.0874000000000001E-4</v>
      </c>
      <c r="H1546" s="25">
        <v>1.3161E-4</v>
      </c>
      <c r="I1546" s="9">
        <v>1.0370999999999999E-4</v>
      </c>
      <c r="J1546" s="9">
        <v>9.5660000000000002E-5</v>
      </c>
      <c r="K1546" s="9">
        <v>4.5988000000000002E-4</v>
      </c>
      <c r="L1546" s="9">
        <v>1.7770000000000001E-5</v>
      </c>
      <c r="M1546" s="9">
        <v>4.8210000000000001E-5</v>
      </c>
      <c r="N1546" s="9">
        <v>7.0820000000000003E-5</v>
      </c>
      <c r="O1546" s="9">
        <v>4.6539999999999998E-5</v>
      </c>
      <c r="P1546" s="9">
        <v>7.7249999999999994E-5</v>
      </c>
      <c r="Q1546" s="9">
        <v>1.0757E-4</v>
      </c>
      <c r="R1546" s="10">
        <v>1.8386515337978453E-4</v>
      </c>
      <c r="S1546" s="10">
        <v>1.8116706303358975E-4</v>
      </c>
      <c r="T1546" s="10">
        <v>0</v>
      </c>
      <c r="U1546" s="10">
        <v>1.8510999999999999E-4</v>
      </c>
      <c r="V1546" s="25"/>
      <c r="W1546" s="25"/>
      <c r="X1546" s="25"/>
      <c r="Y1546" s="25"/>
      <c r="Z1546" s="25"/>
      <c r="AA1546" s="25"/>
    </row>
    <row r="1547" spans="1:27" x14ac:dyDescent="0.35">
      <c r="A1547" s="5">
        <v>1543</v>
      </c>
      <c r="B1547" s="5">
        <v>65</v>
      </c>
      <c r="C1547" s="5">
        <v>3</v>
      </c>
      <c r="D1547" s="25">
        <v>1.1416E-4</v>
      </c>
      <c r="E1547" s="25">
        <v>1.0518000000000001E-4</v>
      </c>
      <c r="F1547" s="25">
        <v>1.0053E-4</v>
      </c>
      <c r="G1547" s="25">
        <v>1.1188000000000001E-4</v>
      </c>
      <c r="H1547" s="25">
        <v>1.2855000000000001E-4</v>
      </c>
      <c r="I1547" s="9">
        <v>1.0719E-4</v>
      </c>
      <c r="J1547" s="9">
        <v>9.993E-5</v>
      </c>
      <c r="K1547" s="9">
        <v>4.8319999999999998E-4</v>
      </c>
      <c r="L1547" s="9">
        <v>4.0059999999999999E-5</v>
      </c>
      <c r="M1547" s="9">
        <v>6.0050000000000003E-5</v>
      </c>
      <c r="N1547" s="9">
        <v>8.0660000000000004E-5</v>
      </c>
      <c r="O1547" s="9">
        <v>1.2409000000000001E-4</v>
      </c>
      <c r="P1547" s="9">
        <v>1.1834E-4</v>
      </c>
      <c r="Q1547" s="9">
        <v>1.1336E-4</v>
      </c>
      <c r="R1547" s="10">
        <v>1.8341768986847898E-4</v>
      </c>
      <c r="S1547" s="10">
        <v>1.7974896288434255E-4</v>
      </c>
      <c r="T1547" s="10">
        <v>0</v>
      </c>
      <c r="U1547" s="10">
        <v>1.8510999999999999E-4</v>
      </c>
      <c r="V1547" s="25"/>
      <c r="W1547" s="25"/>
      <c r="X1547" s="25"/>
      <c r="Y1547" s="25"/>
      <c r="Z1547" s="25"/>
      <c r="AA1547" s="25"/>
    </row>
    <row r="1548" spans="1:27" x14ac:dyDescent="0.35">
      <c r="A1548" s="5">
        <v>1544</v>
      </c>
      <c r="B1548" s="5">
        <v>65</v>
      </c>
      <c r="C1548" s="5">
        <v>3</v>
      </c>
      <c r="D1548" s="25">
        <v>1.1415000000000001E-4</v>
      </c>
      <c r="E1548" s="25">
        <v>1.0657E-4</v>
      </c>
      <c r="F1548" s="25">
        <v>9.8590000000000003E-5</v>
      </c>
      <c r="G1548" s="25">
        <v>1.6048000000000001E-4</v>
      </c>
      <c r="H1548" s="25">
        <v>1.9264999999999999E-4</v>
      </c>
      <c r="I1548" s="9">
        <v>1.0859E-4</v>
      </c>
      <c r="J1548" s="9">
        <v>1.0516E-4</v>
      </c>
      <c r="K1548" s="9">
        <v>4.1538000000000002E-4</v>
      </c>
      <c r="L1548" s="9">
        <v>1.0498E-4</v>
      </c>
      <c r="M1548" s="9">
        <v>8.4090000000000003E-5</v>
      </c>
      <c r="N1548" s="9">
        <v>9.0970000000000005E-5</v>
      </c>
      <c r="O1548" s="9">
        <v>2.1992999999999999E-4</v>
      </c>
      <c r="P1548" s="9">
        <v>1.7747999999999999E-4</v>
      </c>
      <c r="Q1548" s="9">
        <v>1.371E-4</v>
      </c>
      <c r="R1548" s="10">
        <v>1.7804272184311125E-4</v>
      </c>
      <c r="S1548" s="10">
        <v>1.7878120818169067E-4</v>
      </c>
      <c r="T1548" s="10">
        <v>3.056893055856349E-5</v>
      </c>
      <c r="U1548" s="10">
        <v>1.8510999999999999E-4</v>
      </c>
      <c r="V1548" s="25"/>
      <c r="W1548" s="25"/>
      <c r="X1548" s="25"/>
      <c r="Y1548" s="25"/>
      <c r="Z1548" s="25"/>
      <c r="AA1548" s="25"/>
    </row>
    <row r="1549" spans="1:27" x14ac:dyDescent="0.35">
      <c r="A1549" s="5">
        <v>1545</v>
      </c>
      <c r="B1549" s="5">
        <v>65</v>
      </c>
      <c r="C1549" s="5">
        <v>3</v>
      </c>
      <c r="D1549" s="25">
        <v>1.1416E-4</v>
      </c>
      <c r="E1549" s="25">
        <v>1.116E-4</v>
      </c>
      <c r="F1549" s="25">
        <v>9.8319999999999994E-5</v>
      </c>
      <c r="G1549" s="25">
        <v>1.6623000000000001E-4</v>
      </c>
      <c r="H1549" s="25">
        <v>1.8809E-4</v>
      </c>
      <c r="I1549" s="9">
        <v>1.1561999999999999E-4</v>
      </c>
      <c r="J1549" s="9">
        <v>1.1319000000000001E-4</v>
      </c>
      <c r="K1549" s="9">
        <v>3.7088000000000003E-4</v>
      </c>
      <c r="L1549" s="9">
        <v>1.9285999999999999E-4</v>
      </c>
      <c r="M1549" s="9">
        <v>1.2391999999999999E-4</v>
      </c>
      <c r="N1549" s="9">
        <v>1.0483E-4</v>
      </c>
      <c r="O1549" s="9">
        <v>2.1159E-4</v>
      </c>
      <c r="P1549" s="9">
        <v>1.9364999999999999E-4</v>
      </c>
      <c r="Q1549" s="9">
        <v>1.7735E-4</v>
      </c>
      <c r="R1549" s="10">
        <v>1.7418684319504187E-4</v>
      </c>
      <c r="S1549" s="10">
        <v>1.8198163391266569E-4</v>
      </c>
      <c r="T1549" s="10">
        <v>6.1867510861239225E-5</v>
      </c>
      <c r="U1549" s="10">
        <v>1.8510999999999999E-4</v>
      </c>
      <c r="V1549" s="25"/>
      <c r="W1549" s="25"/>
      <c r="X1549" s="25"/>
      <c r="Y1549" s="25"/>
      <c r="Z1549" s="25"/>
      <c r="AA1549" s="25"/>
    </row>
    <row r="1550" spans="1:27" x14ac:dyDescent="0.35">
      <c r="A1550" s="5">
        <v>1546</v>
      </c>
      <c r="B1550" s="5">
        <v>65</v>
      </c>
      <c r="C1550" s="5">
        <v>3</v>
      </c>
      <c r="D1550" s="25">
        <v>1.1415000000000001E-4</v>
      </c>
      <c r="E1550" s="25">
        <v>1.1188000000000001E-4</v>
      </c>
      <c r="F1550" s="25">
        <v>9.6189999999999999E-5</v>
      </c>
      <c r="G1550" s="25">
        <v>1.5794E-4</v>
      </c>
      <c r="H1550" s="25">
        <v>1.9745E-4</v>
      </c>
      <c r="I1550" s="9">
        <v>1.2290000000000001E-4</v>
      </c>
      <c r="J1550" s="9">
        <v>1.1982E-4</v>
      </c>
      <c r="K1550" s="9">
        <v>3.2213000000000001E-4</v>
      </c>
      <c r="L1550" s="9">
        <v>2.0515999999999999E-4</v>
      </c>
      <c r="M1550" s="9">
        <v>1.5911000000000001E-4</v>
      </c>
      <c r="N1550" s="9">
        <v>1.2496E-4</v>
      </c>
      <c r="O1550" s="9">
        <v>1.6714E-4</v>
      </c>
      <c r="P1550" s="9">
        <v>1.7425000000000001E-4</v>
      </c>
      <c r="Q1550" s="9">
        <v>1.8226000000000001E-4</v>
      </c>
      <c r="R1550" s="10">
        <v>1.7503083414963441E-4</v>
      </c>
      <c r="S1550" s="10">
        <v>1.8583405621894523E-4</v>
      </c>
      <c r="T1550" s="10">
        <v>2.787940766456831E-5</v>
      </c>
      <c r="U1550" s="10">
        <v>1.8510999999999999E-4</v>
      </c>
      <c r="V1550" s="25"/>
      <c r="W1550" s="25"/>
      <c r="X1550" s="25"/>
      <c r="Y1550" s="25"/>
      <c r="Z1550" s="25"/>
      <c r="AA1550" s="25"/>
    </row>
    <row r="1551" spans="1:27" x14ac:dyDescent="0.35">
      <c r="A1551" s="5">
        <v>1547</v>
      </c>
      <c r="B1551" s="5">
        <v>65</v>
      </c>
      <c r="C1551" s="5">
        <v>3</v>
      </c>
      <c r="D1551" s="25">
        <v>1.1416E-4</v>
      </c>
      <c r="E1551" s="25">
        <v>1.0900000000000001E-4</v>
      </c>
      <c r="F1551" s="25">
        <v>1.0670000000000001E-4</v>
      </c>
      <c r="G1551" s="25">
        <v>1.6398000000000001E-4</v>
      </c>
      <c r="H1551" s="25">
        <v>1.9260999999999999E-4</v>
      </c>
      <c r="I1551" s="9">
        <v>1.2501E-4</v>
      </c>
      <c r="J1551" s="9">
        <v>1.2102E-4</v>
      </c>
      <c r="K1551" s="9">
        <v>2.9458000000000002E-4</v>
      </c>
      <c r="L1551" s="9">
        <v>1.7558E-4</v>
      </c>
      <c r="M1551" s="9">
        <v>1.7270999999999999E-4</v>
      </c>
      <c r="N1551" s="9">
        <v>1.4305000000000001E-4</v>
      </c>
      <c r="O1551" s="9">
        <v>1.6697000000000001E-4</v>
      </c>
      <c r="P1551" s="9">
        <v>1.7273000000000001E-4</v>
      </c>
      <c r="Q1551" s="9">
        <v>1.7940999999999999E-4</v>
      </c>
      <c r="R1551" s="10">
        <v>1.735983990173768E-4</v>
      </c>
      <c r="S1551" s="10">
        <v>1.8772851226935876E-4</v>
      </c>
      <c r="T1551" s="10">
        <v>8.6794382351957952E-5</v>
      </c>
      <c r="U1551" s="10">
        <v>1.8510999999999999E-4</v>
      </c>
      <c r="V1551" s="25"/>
      <c r="W1551" s="25"/>
      <c r="X1551" s="25"/>
      <c r="Y1551" s="25"/>
      <c r="Z1551" s="25"/>
      <c r="AA1551" s="25"/>
    </row>
    <row r="1552" spans="1:27" x14ac:dyDescent="0.35">
      <c r="A1552" s="5">
        <v>1548</v>
      </c>
      <c r="B1552" s="5">
        <v>65</v>
      </c>
      <c r="C1552" s="5">
        <v>3</v>
      </c>
      <c r="D1552" s="25">
        <v>1.1415000000000001E-4</v>
      </c>
      <c r="E1552" s="25">
        <v>1.0614E-4</v>
      </c>
      <c r="F1552" s="25">
        <v>1.0093E-4</v>
      </c>
      <c r="G1552" s="25">
        <v>1.615E-4</v>
      </c>
      <c r="H1552" s="25">
        <v>1.9776E-4</v>
      </c>
      <c r="I1552" s="9">
        <v>1.2781000000000001E-4</v>
      </c>
      <c r="J1552" s="9">
        <v>1.1929E-4</v>
      </c>
      <c r="K1552" s="9">
        <v>2.6704000000000002E-4</v>
      </c>
      <c r="L1552" s="9">
        <v>1.7029E-4</v>
      </c>
      <c r="M1552" s="9">
        <v>1.75E-4</v>
      </c>
      <c r="N1552" s="9">
        <v>1.5704E-4</v>
      </c>
      <c r="O1552" s="9">
        <v>1.7102E-4</v>
      </c>
      <c r="P1552" s="9">
        <v>1.727E-4</v>
      </c>
      <c r="Q1552" s="9">
        <v>1.7539000000000001E-4</v>
      </c>
      <c r="R1552" s="10">
        <v>8.0611034706615773E-5</v>
      </c>
      <c r="S1552" s="10">
        <v>1.8422979731101666E-4</v>
      </c>
      <c r="T1552" s="10">
        <v>1.3042064961039078E-4</v>
      </c>
      <c r="U1552" s="10">
        <v>1.8510999999999999E-4</v>
      </c>
      <c r="V1552" s="25"/>
      <c r="W1552" s="25"/>
      <c r="X1552" s="25"/>
      <c r="Y1552" s="25"/>
      <c r="Z1552" s="25"/>
      <c r="AA1552" s="25"/>
    </row>
    <row r="1553" spans="1:27" x14ac:dyDescent="0.35">
      <c r="A1553" s="5">
        <v>1549</v>
      </c>
      <c r="B1553" s="5">
        <v>65</v>
      </c>
      <c r="C1553" s="5">
        <v>3</v>
      </c>
      <c r="D1553" s="25">
        <v>1.1416E-4</v>
      </c>
      <c r="E1553" s="25">
        <v>1.1202E-4</v>
      </c>
      <c r="F1553" s="25">
        <v>9.0820000000000001E-5</v>
      </c>
      <c r="G1553" s="25">
        <v>1.6363E-4</v>
      </c>
      <c r="H1553" s="25">
        <v>1.9089000000000001E-4</v>
      </c>
      <c r="I1553" s="9">
        <v>1.2787000000000001E-4</v>
      </c>
      <c r="J1553" s="9">
        <v>1.1715E-4</v>
      </c>
      <c r="K1553" s="9">
        <v>2.7127E-4</v>
      </c>
      <c r="L1553" s="9">
        <v>1.7102999999999999E-4</v>
      </c>
      <c r="M1553" s="9">
        <v>1.7427999999999999E-4</v>
      </c>
      <c r="N1553" s="9">
        <v>1.6668E-4</v>
      </c>
      <c r="O1553" s="9">
        <v>1.6227E-4</v>
      </c>
      <c r="P1553" s="9">
        <v>1.6474999999999999E-4</v>
      </c>
      <c r="Q1553" s="9">
        <v>1.6815999999999999E-4</v>
      </c>
      <c r="R1553" s="10">
        <v>8.796699721823448E-5</v>
      </c>
      <c r="S1553" s="10">
        <v>1.8412390022921342E-4</v>
      </c>
      <c r="T1553" s="10">
        <v>1.0324543879188428E-4</v>
      </c>
      <c r="U1553" s="10">
        <v>1.8510999999999999E-4</v>
      </c>
      <c r="V1553" s="25"/>
      <c r="W1553" s="25"/>
      <c r="X1553" s="25"/>
      <c r="Y1553" s="25"/>
      <c r="Z1553" s="25"/>
      <c r="AA1553" s="25"/>
    </row>
    <row r="1554" spans="1:27" x14ac:dyDescent="0.35">
      <c r="A1554" s="5">
        <v>1550</v>
      </c>
      <c r="B1554" s="5">
        <v>65</v>
      </c>
      <c r="C1554" s="5">
        <v>3</v>
      </c>
      <c r="D1554" s="25">
        <v>1.1415000000000001E-4</v>
      </c>
      <c r="E1554" s="25">
        <v>1.1334E-4</v>
      </c>
      <c r="F1554" s="25">
        <v>9.2579999999999998E-5</v>
      </c>
      <c r="G1554" s="25">
        <v>1.5674999999999999E-4</v>
      </c>
      <c r="H1554" s="25">
        <v>1.8799999999999999E-4</v>
      </c>
      <c r="I1554" s="9">
        <v>1.2469E-4</v>
      </c>
      <c r="J1554" s="9">
        <v>1.1485999999999999E-4</v>
      </c>
      <c r="K1554" s="9">
        <v>2.6915000000000001E-4</v>
      </c>
      <c r="L1554" s="9">
        <v>1.6390999999999999E-4</v>
      </c>
      <c r="M1554" s="9">
        <v>1.7064000000000001E-4</v>
      </c>
      <c r="N1554" s="9">
        <v>1.7106000000000001E-4</v>
      </c>
      <c r="O1554" s="9">
        <v>1.7776000000000001E-4</v>
      </c>
      <c r="P1554" s="9">
        <v>1.6851E-4</v>
      </c>
      <c r="Q1554" s="9">
        <v>1.605E-4</v>
      </c>
      <c r="R1554" s="10">
        <v>8.6023106043445021E-5</v>
      </c>
      <c r="S1554" s="10">
        <v>1.7977910385315961E-4</v>
      </c>
      <c r="T1554" s="10">
        <v>1.1866141071109325E-4</v>
      </c>
      <c r="U1554" s="10">
        <v>1.8510999999999999E-4</v>
      </c>
      <c r="V1554" s="25"/>
      <c r="W1554" s="25"/>
      <c r="X1554" s="25"/>
      <c r="Y1554" s="25"/>
      <c r="Z1554" s="25"/>
      <c r="AA1554" s="25"/>
    </row>
    <row r="1555" spans="1:27" x14ac:dyDescent="0.35">
      <c r="A1555" s="5">
        <v>1551</v>
      </c>
      <c r="B1555" s="5">
        <v>65</v>
      </c>
      <c r="C1555" s="5">
        <v>3</v>
      </c>
      <c r="D1555" s="25">
        <v>1.1416E-4</v>
      </c>
      <c r="E1555" s="25">
        <v>1.0496E-4</v>
      </c>
      <c r="F1555" s="25">
        <v>1.1201000000000001E-4</v>
      </c>
      <c r="G1555" s="25">
        <v>1.6485E-4</v>
      </c>
      <c r="H1555" s="25">
        <v>1.9012E-4</v>
      </c>
      <c r="I1555" s="9">
        <v>1.2103E-4</v>
      </c>
      <c r="J1555" s="9">
        <v>1.1379000000000001E-4</v>
      </c>
      <c r="K1555" s="9">
        <v>2.8399000000000002E-4</v>
      </c>
      <c r="L1555" s="9">
        <v>1.7488000000000001E-4</v>
      </c>
      <c r="M1555" s="9">
        <v>1.6882999999999999E-4</v>
      </c>
      <c r="N1555" s="9">
        <v>1.7040999999999999E-4</v>
      </c>
      <c r="O1555" s="9">
        <v>1.8487000000000001E-4</v>
      </c>
      <c r="P1555" s="9">
        <v>1.6865000000000001E-4</v>
      </c>
      <c r="Q1555" s="9">
        <v>1.5383000000000001E-4</v>
      </c>
      <c r="R1555" s="10">
        <v>8.2348799984989824E-5</v>
      </c>
      <c r="S1555" s="10">
        <v>1.7837480764376724E-4</v>
      </c>
      <c r="T1555" s="10">
        <v>1.0492533006321251E-4</v>
      </c>
      <c r="U1555" s="10">
        <v>1.8510999999999999E-4</v>
      </c>
      <c r="V1555" s="25"/>
      <c r="W1555" s="25"/>
      <c r="X1555" s="25"/>
      <c r="Y1555" s="25"/>
      <c r="Z1555" s="25"/>
      <c r="AA1555" s="25"/>
    </row>
    <row r="1556" spans="1:27" x14ac:dyDescent="0.35">
      <c r="A1556" s="5">
        <v>1552</v>
      </c>
      <c r="B1556" s="5">
        <v>65</v>
      </c>
      <c r="C1556" s="5">
        <v>3</v>
      </c>
      <c r="D1556" s="25">
        <v>1.1415000000000001E-4</v>
      </c>
      <c r="E1556" s="25">
        <v>1.1480999999999999E-4</v>
      </c>
      <c r="F1556" s="25">
        <v>9.3969999999999996E-5</v>
      </c>
      <c r="G1556" s="25">
        <v>1.5614000000000001E-4</v>
      </c>
      <c r="H1556" s="25">
        <v>1.8746999999999999E-4</v>
      </c>
      <c r="I1556" s="9">
        <v>1.1844E-4</v>
      </c>
      <c r="J1556" s="9">
        <v>1.136E-4</v>
      </c>
      <c r="K1556" s="9">
        <v>2.9245999999999997E-4</v>
      </c>
      <c r="L1556" s="9">
        <v>1.8239999999999999E-4</v>
      </c>
      <c r="M1556" s="9">
        <v>1.6835999999999999E-4</v>
      </c>
      <c r="N1556" s="9">
        <v>1.6672E-4</v>
      </c>
      <c r="O1556" s="9">
        <v>1.9845E-4</v>
      </c>
      <c r="P1556" s="9">
        <v>1.5351000000000001E-4</v>
      </c>
      <c r="Q1556" s="9">
        <v>1.1052000000000001E-4</v>
      </c>
      <c r="R1556" s="10">
        <v>8.0149976751321732E-5</v>
      </c>
      <c r="S1556" s="10">
        <v>1.8152813266011605E-4</v>
      </c>
      <c r="T1556" s="10">
        <v>8.6760445154557384E-5</v>
      </c>
      <c r="U1556" s="10">
        <v>1.8510999999999999E-4</v>
      </c>
      <c r="V1556" s="25"/>
      <c r="W1556" s="25"/>
      <c r="X1556" s="25"/>
      <c r="Y1556" s="25"/>
      <c r="Z1556" s="25"/>
      <c r="AA1556" s="25"/>
    </row>
    <row r="1557" spans="1:27" x14ac:dyDescent="0.35">
      <c r="A1557" s="5">
        <v>1553</v>
      </c>
      <c r="B1557" s="5">
        <v>65</v>
      </c>
      <c r="C1557" s="5">
        <v>3</v>
      </c>
      <c r="D1557" s="25">
        <v>1.1416E-4</v>
      </c>
      <c r="E1557" s="25">
        <v>1.1311000000000001E-4</v>
      </c>
      <c r="F1557" s="25">
        <v>9.5890000000000005E-5</v>
      </c>
      <c r="G1557" s="25">
        <v>1.6621999999999999E-4</v>
      </c>
      <c r="H1557" s="25">
        <v>2.0034E-4</v>
      </c>
      <c r="I1557" s="9">
        <v>1.1785E-4</v>
      </c>
      <c r="J1557" s="9">
        <v>1.1493999999999999E-4</v>
      </c>
      <c r="K1557" s="9">
        <v>2.8823E-4</v>
      </c>
      <c r="L1557" s="9">
        <v>1.9464999999999999E-4</v>
      </c>
      <c r="M1557" s="9">
        <v>1.6301999999999999E-4</v>
      </c>
      <c r="N1557" s="9">
        <v>1.5307E-4</v>
      </c>
      <c r="O1557" s="9">
        <v>2.1287000000000001E-4</v>
      </c>
      <c r="P1557" s="9">
        <v>1.5870000000000001E-4</v>
      </c>
      <c r="Q1557" s="9">
        <v>1.0675000000000001E-4</v>
      </c>
      <c r="R1557" s="10">
        <v>8.2193539994943038E-5</v>
      </c>
      <c r="S1557" s="10">
        <v>1.8515992638929005E-4</v>
      </c>
      <c r="T1557" s="10">
        <v>7.2108060176861251E-5</v>
      </c>
      <c r="U1557" s="10">
        <v>1.8510999999999999E-4</v>
      </c>
      <c r="V1557" s="25"/>
      <c r="W1557" s="25"/>
      <c r="X1557" s="25"/>
      <c r="Y1557" s="25"/>
      <c r="Z1557" s="25"/>
      <c r="AA1557" s="25"/>
    </row>
    <row r="1558" spans="1:27" x14ac:dyDescent="0.35">
      <c r="A1558" s="5">
        <v>1554</v>
      </c>
      <c r="B1558" s="5">
        <v>65</v>
      </c>
      <c r="C1558" s="5">
        <v>3</v>
      </c>
      <c r="D1558" s="25">
        <v>1.1415000000000001E-4</v>
      </c>
      <c r="E1558" s="25">
        <v>1.1035E-4</v>
      </c>
      <c r="F1558" s="25">
        <v>1.0611E-4</v>
      </c>
      <c r="G1558" s="25">
        <v>1.6338E-4</v>
      </c>
      <c r="H1558" s="25">
        <v>2.0073000000000001E-4</v>
      </c>
      <c r="I1558" s="9">
        <v>1.1929E-4</v>
      </c>
      <c r="J1558" s="9">
        <v>1.1953E-4</v>
      </c>
      <c r="K1558" s="9">
        <v>2.7551000000000002E-4</v>
      </c>
      <c r="L1558" s="9">
        <v>2.086E-4</v>
      </c>
      <c r="M1558" s="9">
        <v>1.5998E-4</v>
      </c>
      <c r="N1558" s="9">
        <v>1.3951E-4</v>
      </c>
      <c r="O1558" s="9">
        <v>2.0646999999999999E-4</v>
      </c>
      <c r="P1558" s="9">
        <v>1.6145999999999999E-4</v>
      </c>
      <c r="Q1558" s="9">
        <v>1.1846E-4</v>
      </c>
      <c r="R1558" s="10">
        <v>8.8380980303370601E-5</v>
      </c>
      <c r="S1558" s="10">
        <v>1.8844256151996053E-4</v>
      </c>
      <c r="T1558" s="10">
        <v>0</v>
      </c>
      <c r="U1558" s="10">
        <v>1.8510999999999999E-4</v>
      </c>
      <c r="V1558" s="25"/>
      <c r="W1558" s="25"/>
      <c r="X1558" s="25"/>
      <c r="Y1558" s="25"/>
      <c r="Z1558" s="25"/>
      <c r="AA1558" s="25"/>
    </row>
    <row r="1559" spans="1:27" x14ac:dyDescent="0.35">
      <c r="A1559" s="5">
        <v>1555</v>
      </c>
      <c r="B1559" s="5">
        <v>65</v>
      </c>
      <c r="C1559" s="5">
        <v>3</v>
      </c>
      <c r="D1559" s="25">
        <v>1.1416E-4</v>
      </c>
      <c r="E1559" s="25">
        <v>1.0556E-4</v>
      </c>
      <c r="F1559" s="25">
        <v>1.0391999999999999E-4</v>
      </c>
      <c r="G1559" s="25">
        <v>1.0862E-4</v>
      </c>
      <c r="H1559" s="25">
        <v>1.3007000000000001E-4</v>
      </c>
      <c r="I1559" s="9">
        <v>1.2521E-4</v>
      </c>
      <c r="J1559" s="9">
        <v>1.2423999999999999E-4</v>
      </c>
      <c r="K1559" s="9">
        <v>2.6703000000000002E-4</v>
      </c>
      <c r="L1559" s="9">
        <v>2.0660000000000001E-4</v>
      </c>
      <c r="M1559" s="9">
        <v>1.5986E-4</v>
      </c>
      <c r="N1559" s="9">
        <v>1.3049000000000001E-4</v>
      </c>
      <c r="O1559" s="9">
        <v>1.6513000000000001E-4</v>
      </c>
      <c r="P1559" s="9">
        <v>1.3568E-4</v>
      </c>
      <c r="Q1559" s="9">
        <v>1.0768999999999999E-4</v>
      </c>
      <c r="R1559" s="10">
        <v>9.0518196107134902E-5</v>
      </c>
      <c r="S1559" s="10">
        <v>1.9004651337097524E-4</v>
      </c>
      <c r="T1559" s="10">
        <v>0</v>
      </c>
      <c r="U1559" s="10">
        <v>1.8510999999999999E-4</v>
      </c>
      <c r="V1559" s="25"/>
      <c r="W1559" s="25"/>
      <c r="X1559" s="25"/>
      <c r="Y1559" s="25"/>
      <c r="Z1559" s="25"/>
      <c r="AA1559" s="25"/>
    </row>
    <row r="1560" spans="1:27" x14ac:dyDescent="0.35">
      <c r="A1560" s="5">
        <v>1556</v>
      </c>
      <c r="B1560" s="5">
        <v>65</v>
      </c>
      <c r="C1560" s="5">
        <v>3</v>
      </c>
      <c r="D1560" s="25">
        <v>1.1415000000000001E-4</v>
      </c>
      <c r="E1560" s="25">
        <v>1.0944E-4</v>
      </c>
      <c r="F1560" s="25">
        <v>9.0229999999999995E-5</v>
      </c>
      <c r="G1560" s="25">
        <v>1.0894E-4</v>
      </c>
      <c r="H1560" s="25">
        <v>1.3226000000000001E-4</v>
      </c>
      <c r="I1560" s="9">
        <v>1.2723000000000001E-4</v>
      </c>
      <c r="J1560" s="9">
        <v>1.2626E-4</v>
      </c>
      <c r="K1560" s="9">
        <v>2.7975E-4</v>
      </c>
      <c r="L1560" s="9">
        <v>1.7437999999999999E-4</v>
      </c>
      <c r="M1560" s="9">
        <v>1.5129999999999999E-4</v>
      </c>
      <c r="N1560" s="9">
        <v>1.2142E-4</v>
      </c>
      <c r="O1560" s="9">
        <v>1.2739000000000001E-4</v>
      </c>
      <c r="P1560" s="9">
        <v>1.1364E-4</v>
      </c>
      <c r="Q1560" s="9">
        <v>1.0081000000000001E-4</v>
      </c>
      <c r="R1560" s="10">
        <v>1.2104769022257141E-4</v>
      </c>
      <c r="S1560" s="10">
        <v>1.9022250023228421E-4</v>
      </c>
      <c r="T1560" s="10">
        <v>0</v>
      </c>
      <c r="U1560" s="10">
        <v>1.8510999999999999E-4</v>
      </c>
      <c r="V1560" s="25"/>
      <c r="W1560" s="25"/>
      <c r="X1560" s="25"/>
      <c r="Y1560" s="25"/>
      <c r="Z1560" s="25"/>
      <c r="AA1560" s="25"/>
    </row>
    <row r="1561" spans="1:27" x14ac:dyDescent="0.35">
      <c r="A1561" s="5">
        <v>1557</v>
      </c>
      <c r="B1561" s="5">
        <v>65</v>
      </c>
      <c r="C1561" s="5">
        <v>3</v>
      </c>
      <c r="D1561" s="25">
        <v>1.1416E-4</v>
      </c>
      <c r="E1561" s="25">
        <v>1.0642E-4</v>
      </c>
      <c r="F1561" s="25">
        <v>9.9619999999999998E-5</v>
      </c>
      <c r="G1561" s="25">
        <v>6.3189999999999996E-5</v>
      </c>
      <c r="H1561" s="25">
        <v>6.9649999999999999E-5</v>
      </c>
      <c r="I1561" s="9">
        <v>1.2085E-4</v>
      </c>
      <c r="J1561" s="9">
        <v>1.2155999999999999E-4</v>
      </c>
      <c r="K1561" s="9">
        <v>2.9245999999999997E-4</v>
      </c>
      <c r="L1561" s="9">
        <v>1.3872E-4</v>
      </c>
      <c r="M1561" s="9">
        <v>1.3535000000000001E-4</v>
      </c>
      <c r="N1561" s="9">
        <v>1.1336999999999999E-4</v>
      </c>
      <c r="O1561" s="9">
        <v>8.4010000000000004E-5</v>
      </c>
      <c r="P1561" s="9">
        <v>8.564E-5</v>
      </c>
      <c r="Q1561" s="9">
        <v>8.7620000000000005E-5</v>
      </c>
      <c r="R1561" s="10">
        <v>1.5289671083619646E-4</v>
      </c>
      <c r="S1561" s="10">
        <v>1.9028829761411509E-4</v>
      </c>
      <c r="T1561" s="10">
        <v>0</v>
      </c>
      <c r="U1561" s="10">
        <v>1.8510999999999999E-4</v>
      </c>
      <c r="V1561" s="25"/>
      <c r="W1561" s="25"/>
      <c r="X1561" s="25"/>
      <c r="Y1561" s="25"/>
      <c r="Z1561" s="25"/>
      <c r="AA1561" s="25"/>
    </row>
    <row r="1562" spans="1:27" x14ac:dyDescent="0.35">
      <c r="A1562" s="5">
        <v>1558</v>
      </c>
      <c r="B1562" s="5">
        <v>65</v>
      </c>
      <c r="C1562" s="5">
        <v>3</v>
      </c>
      <c r="D1562" s="25">
        <v>1.1415000000000001E-4</v>
      </c>
      <c r="E1562" s="25">
        <v>1.0616E-4</v>
      </c>
      <c r="F1562" s="25">
        <v>9.9069999999999998E-5</v>
      </c>
      <c r="G1562" s="25">
        <v>5.9519999999999999E-5</v>
      </c>
      <c r="H1562" s="25">
        <v>6.9519999999999998E-5</v>
      </c>
      <c r="I1562" s="9">
        <v>1.1591000000000001E-4</v>
      </c>
      <c r="J1562" s="9">
        <v>1.1527999999999999E-4</v>
      </c>
      <c r="K1562" s="9">
        <v>3.0306000000000002E-4</v>
      </c>
      <c r="L1562" s="9">
        <v>9.7020000000000003E-5</v>
      </c>
      <c r="M1562" s="9">
        <v>1.1332000000000001E-4</v>
      </c>
      <c r="N1562" s="9">
        <v>1.0552000000000001E-4</v>
      </c>
      <c r="O1562" s="9">
        <v>8.7490000000000004E-5</v>
      </c>
      <c r="P1562" s="9">
        <v>8.7750000000000005E-5</v>
      </c>
      <c r="Q1562" s="9">
        <v>8.8399999999999994E-5</v>
      </c>
      <c r="R1562" s="10">
        <v>1.8307360622514177E-4</v>
      </c>
      <c r="S1562" s="10">
        <v>1.9028946985873111E-4</v>
      </c>
      <c r="T1562" s="10">
        <v>0</v>
      </c>
      <c r="U1562" s="10">
        <v>1.8510999999999999E-4</v>
      </c>
      <c r="V1562" s="25"/>
      <c r="W1562" s="25"/>
      <c r="X1562" s="25"/>
      <c r="Y1562" s="25"/>
      <c r="Z1562" s="25"/>
      <c r="AA1562" s="25"/>
    </row>
    <row r="1563" spans="1:27" x14ac:dyDescent="0.35">
      <c r="A1563" s="5">
        <v>1559</v>
      </c>
      <c r="B1563" s="5">
        <v>65</v>
      </c>
      <c r="C1563" s="5">
        <v>3</v>
      </c>
      <c r="D1563" s="25">
        <v>1.1416E-4</v>
      </c>
      <c r="E1563" s="25">
        <v>1.1502000000000001E-4</v>
      </c>
      <c r="F1563" s="25">
        <v>9.6429999999999997E-5</v>
      </c>
      <c r="G1563" s="25">
        <v>5.7630000000000002E-5</v>
      </c>
      <c r="H1563" s="25">
        <v>7.4019999999999999E-5</v>
      </c>
      <c r="I1563" s="9">
        <v>1.1718999999999999E-4</v>
      </c>
      <c r="J1563" s="9">
        <v>1.0966E-4</v>
      </c>
      <c r="K1563" s="9">
        <v>2.9881999999999999E-4</v>
      </c>
      <c r="L1563" s="9">
        <v>9.0519999999999994E-5</v>
      </c>
      <c r="M1563" s="9">
        <v>9.8729999999999998E-5</v>
      </c>
      <c r="N1563" s="9">
        <v>9.9710000000000006E-5</v>
      </c>
      <c r="O1563" s="9">
        <v>7.7529999999999998E-5</v>
      </c>
      <c r="P1563" s="9">
        <v>7.1879999999999996E-5</v>
      </c>
      <c r="Q1563" s="9">
        <v>6.6649999999999994E-5</v>
      </c>
      <c r="R1563" s="10">
        <v>1.9770107800346393E-4</v>
      </c>
      <c r="S1563" s="10">
        <v>1.9029019536159585E-4</v>
      </c>
      <c r="T1563" s="10">
        <v>0</v>
      </c>
      <c r="U1563" s="10">
        <v>1.8510999999999999E-4</v>
      </c>
      <c r="V1563" s="25"/>
      <c r="W1563" s="25"/>
      <c r="X1563" s="25"/>
      <c r="Y1563" s="25"/>
      <c r="Z1563" s="25"/>
      <c r="AA1563" s="25"/>
    </row>
    <row r="1564" spans="1:27" x14ac:dyDescent="0.35">
      <c r="A1564" s="5">
        <v>1560</v>
      </c>
      <c r="B1564" s="5">
        <v>65</v>
      </c>
      <c r="C1564" s="5">
        <v>3</v>
      </c>
      <c r="D1564" s="25">
        <v>1.1415000000000001E-4</v>
      </c>
      <c r="E1564" s="25">
        <v>1.066E-4</v>
      </c>
      <c r="F1564" s="25">
        <v>9.6409999999999993E-5</v>
      </c>
      <c r="G1564" s="25">
        <v>5.787E-5</v>
      </c>
      <c r="H1564" s="25">
        <v>6.5430000000000002E-5</v>
      </c>
      <c r="I1564" s="9">
        <v>1.1809E-4</v>
      </c>
      <c r="J1564" s="9">
        <v>1.0336999999999999E-4</v>
      </c>
      <c r="K1564" s="9">
        <v>2.9247000000000002E-4</v>
      </c>
      <c r="L1564" s="9">
        <v>8.0340000000000007E-5</v>
      </c>
      <c r="M1564" s="9">
        <v>8.5879999999999998E-5</v>
      </c>
      <c r="N1564" s="9">
        <v>9.0340000000000006E-5</v>
      </c>
      <c r="O1564" s="9">
        <v>6.2609999999999999E-5</v>
      </c>
      <c r="P1564" s="9">
        <v>6.0560000000000003E-5</v>
      </c>
      <c r="Q1564" s="9">
        <v>5.8749999999999998E-5</v>
      </c>
      <c r="R1564" s="10">
        <v>2.0577318487100462E-4</v>
      </c>
      <c r="S1564" s="10">
        <v>1.9029020759484994E-4</v>
      </c>
      <c r="T1564" s="10">
        <v>0</v>
      </c>
      <c r="U1564" s="10">
        <v>1.8510999999999999E-4</v>
      </c>
      <c r="V1564" s="25"/>
      <c r="W1564" s="25"/>
      <c r="X1564" s="25"/>
      <c r="Y1564" s="25"/>
      <c r="Z1564" s="25"/>
      <c r="AA1564" s="25"/>
    </row>
    <row r="1565" spans="1:27" x14ac:dyDescent="0.35">
      <c r="A1565" s="5">
        <v>1561</v>
      </c>
      <c r="B1565" s="5">
        <v>66</v>
      </c>
      <c r="C1565" s="5">
        <v>3</v>
      </c>
      <c r="D1565" s="25">
        <v>1.1416E-4</v>
      </c>
      <c r="E1565" s="25">
        <v>1.0718E-4</v>
      </c>
      <c r="F1565" s="25">
        <v>1.2667000000000001E-4</v>
      </c>
      <c r="G1565" s="25">
        <v>5.2920000000000002E-5</v>
      </c>
      <c r="H1565" s="25">
        <v>7.3419999999999998E-5</v>
      </c>
      <c r="I1565" s="9">
        <v>1.1298000000000001E-4</v>
      </c>
      <c r="J1565" s="9">
        <v>9.7800000000000006E-5</v>
      </c>
      <c r="K1565" s="9">
        <v>2.7338999999999998E-4</v>
      </c>
      <c r="L1565" s="9">
        <v>6.6519999999999993E-5</v>
      </c>
      <c r="M1565" s="9">
        <v>7.381E-5</v>
      </c>
      <c r="N1565" s="9">
        <v>8.0909999999999996E-5</v>
      </c>
      <c r="O1565" s="9">
        <v>5.4880000000000003E-5</v>
      </c>
      <c r="P1565" s="9">
        <v>5.4289999999999997E-5</v>
      </c>
      <c r="Q1565" s="9">
        <v>5.3869999999999998E-5</v>
      </c>
      <c r="R1565" s="10">
        <v>2.0841795761216762E-4</v>
      </c>
      <c r="S1565" s="10">
        <v>1.9029020759484994E-4</v>
      </c>
      <c r="T1565" s="10">
        <v>0</v>
      </c>
      <c r="U1565" s="10">
        <v>1.8450000000000001E-4</v>
      </c>
      <c r="V1565" s="25"/>
      <c r="W1565" s="25"/>
      <c r="X1565" s="25"/>
      <c r="Y1565" s="25"/>
      <c r="Z1565" s="25"/>
      <c r="AA1565" s="25"/>
    </row>
    <row r="1566" spans="1:27" x14ac:dyDescent="0.35">
      <c r="A1566" s="5">
        <v>1562</v>
      </c>
      <c r="B1566" s="5">
        <v>66</v>
      </c>
      <c r="C1566" s="5">
        <v>3</v>
      </c>
      <c r="D1566" s="25">
        <v>1.1415000000000001E-4</v>
      </c>
      <c r="E1566" s="25">
        <v>1.1379000000000001E-4</v>
      </c>
      <c r="F1566" s="25">
        <v>1.2621E-4</v>
      </c>
      <c r="G1566" s="25">
        <v>5.2599999999999998E-5</v>
      </c>
      <c r="H1566" s="25">
        <v>6.2160000000000001E-5</v>
      </c>
      <c r="I1566" s="9">
        <v>1.0724E-4</v>
      </c>
      <c r="J1566" s="9">
        <v>9.399E-5</v>
      </c>
      <c r="K1566" s="9">
        <v>2.7338999999999998E-4</v>
      </c>
      <c r="L1566" s="9">
        <v>5.783E-5</v>
      </c>
      <c r="M1566" s="9">
        <v>6.3910000000000003E-5</v>
      </c>
      <c r="N1566" s="9">
        <v>7.1970000000000004E-5</v>
      </c>
      <c r="O1566" s="9">
        <v>1.8790000000000001E-5</v>
      </c>
      <c r="P1566" s="9">
        <v>3.752E-5</v>
      </c>
      <c r="Q1566" s="9">
        <v>5.5840000000000001E-5</v>
      </c>
      <c r="R1566" s="10">
        <v>2.0930180328175701E-4</v>
      </c>
      <c r="S1566" s="10">
        <v>1.9029020759484994E-4</v>
      </c>
      <c r="T1566" s="10">
        <v>0</v>
      </c>
      <c r="U1566" s="10">
        <v>1.8450000000000001E-4</v>
      </c>
      <c r="V1566" s="25"/>
      <c r="W1566" s="25"/>
      <c r="X1566" s="25"/>
      <c r="Y1566" s="25"/>
      <c r="Z1566" s="25"/>
      <c r="AA1566" s="25"/>
    </row>
    <row r="1567" spans="1:27" x14ac:dyDescent="0.35">
      <c r="A1567" s="5">
        <v>1563</v>
      </c>
      <c r="B1567" s="5">
        <v>66</v>
      </c>
      <c r="C1567" s="5">
        <v>3</v>
      </c>
      <c r="D1567" s="25">
        <v>1.1416E-4</v>
      </c>
      <c r="E1567" s="25">
        <v>1.1056E-4</v>
      </c>
      <c r="F1567" s="25">
        <v>1.3144E-4</v>
      </c>
      <c r="G1567" s="25">
        <v>5.7689999999999998E-5</v>
      </c>
      <c r="H1567" s="25">
        <v>6.8919999999999997E-5</v>
      </c>
      <c r="I1567" s="9">
        <v>1.0232E-4</v>
      </c>
      <c r="J1567" s="9">
        <v>9.1819999999999998E-5</v>
      </c>
      <c r="K1567" s="9">
        <v>2.8399000000000002E-4</v>
      </c>
      <c r="L1567" s="9">
        <v>2.7569999999999999E-5</v>
      </c>
      <c r="M1567" s="9">
        <v>5.2169999999999997E-5</v>
      </c>
      <c r="N1567" s="9">
        <v>6.5389999999999996E-5</v>
      </c>
      <c r="O1567" s="9">
        <v>1.344E-5</v>
      </c>
      <c r="P1567" s="9">
        <v>3.7809999999999999E-5</v>
      </c>
      <c r="Q1567" s="9">
        <v>6.1619999999999996E-5</v>
      </c>
      <c r="R1567" s="10">
        <v>2.0940404419464992E-4</v>
      </c>
      <c r="S1567" s="10">
        <v>1.9029020759484994E-4</v>
      </c>
      <c r="T1567" s="10">
        <v>0</v>
      </c>
      <c r="U1567" s="10">
        <v>1.8450000000000001E-4</v>
      </c>
      <c r="V1567" s="25"/>
      <c r="W1567" s="25"/>
      <c r="X1567" s="25"/>
      <c r="Y1567" s="25"/>
      <c r="Z1567" s="25"/>
      <c r="AA1567" s="25"/>
    </row>
    <row r="1568" spans="1:27" x14ac:dyDescent="0.35">
      <c r="A1568" s="5">
        <v>1564</v>
      </c>
      <c r="B1568" s="5">
        <v>66</v>
      </c>
      <c r="C1568" s="5">
        <v>3</v>
      </c>
      <c r="D1568" s="25">
        <v>1.1415000000000001E-4</v>
      </c>
      <c r="E1568" s="25">
        <v>1.1646000000000001E-4</v>
      </c>
      <c r="F1568" s="25">
        <v>1.3595E-4</v>
      </c>
      <c r="G1568" s="25">
        <v>5.2979999999999998E-5</v>
      </c>
      <c r="H1568" s="25">
        <v>6.7059999999999998E-5</v>
      </c>
      <c r="I1568" s="9">
        <v>9.9370000000000006E-5</v>
      </c>
      <c r="J1568" s="9">
        <v>9.064E-5</v>
      </c>
      <c r="K1568" s="9">
        <v>2.8399000000000002E-4</v>
      </c>
      <c r="L1568" s="9">
        <v>1.73E-5</v>
      </c>
      <c r="M1568" s="9">
        <v>4.4190000000000002E-5</v>
      </c>
      <c r="N1568" s="9">
        <v>6.1859999999999994E-5</v>
      </c>
      <c r="O1568" s="9">
        <v>1.3370000000000001E-5</v>
      </c>
      <c r="P1568" s="9">
        <v>4.6999999999999997E-5</v>
      </c>
      <c r="Q1568" s="9">
        <v>7.9939999999999997E-5</v>
      </c>
      <c r="R1568" s="10">
        <v>2.1028544834436887E-4</v>
      </c>
      <c r="S1568" s="10">
        <v>1.9029013865036096E-4</v>
      </c>
      <c r="T1568" s="10">
        <v>0</v>
      </c>
      <c r="U1568" s="10">
        <v>1.8450000000000001E-4</v>
      </c>
      <c r="V1568" s="25"/>
      <c r="W1568" s="25"/>
      <c r="X1568" s="25"/>
      <c r="Y1568" s="25"/>
      <c r="Z1568" s="25"/>
      <c r="AA1568" s="25"/>
    </row>
    <row r="1569" spans="1:27" x14ac:dyDescent="0.35">
      <c r="A1569" s="5">
        <v>1565</v>
      </c>
      <c r="B1569" s="5">
        <v>66</v>
      </c>
      <c r="C1569" s="5">
        <v>3</v>
      </c>
      <c r="D1569" s="25">
        <v>1.1416E-4</v>
      </c>
      <c r="E1569" s="25">
        <v>1.1472999999999999E-4</v>
      </c>
      <c r="F1569" s="25">
        <v>1.3741E-4</v>
      </c>
      <c r="G1569" s="25">
        <v>5.8510000000000001E-5</v>
      </c>
      <c r="H1569" s="25">
        <v>6.4930000000000003E-5</v>
      </c>
      <c r="I1569" s="9">
        <v>9.8220000000000005E-5</v>
      </c>
      <c r="J1569" s="9">
        <v>9.0260000000000007E-5</v>
      </c>
      <c r="K1569" s="9">
        <v>2.8186999999999998E-4</v>
      </c>
      <c r="L1569" s="9">
        <v>1.448E-5</v>
      </c>
      <c r="M1569" s="9">
        <v>4.3409999999999999E-5</v>
      </c>
      <c r="N1569" s="9">
        <v>6.4330000000000002E-5</v>
      </c>
      <c r="O1569" s="9">
        <v>1.9000000000000001E-5</v>
      </c>
      <c r="P1569" s="9">
        <v>5.6910000000000002E-5</v>
      </c>
      <c r="Q1569" s="9">
        <v>9.4099999999999997E-5</v>
      </c>
      <c r="R1569" s="10">
        <v>2.1139245959596849E-4</v>
      </c>
      <c r="S1569" s="10">
        <v>1.9028813387698723E-4</v>
      </c>
      <c r="T1569" s="10">
        <v>0</v>
      </c>
      <c r="U1569" s="10">
        <v>1.8450000000000001E-4</v>
      </c>
      <c r="V1569" s="25"/>
      <c r="W1569" s="25"/>
      <c r="X1569" s="25"/>
      <c r="Y1569" s="25"/>
      <c r="Z1569" s="25"/>
      <c r="AA1569" s="25"/>
    </row>
    <row r="1570" spans="1:27" x14ac:dyDescent="0.35">
      <c r="A1570" s="5">
        <v>1566</v>
      </c>
      <c r="B1570" s="5">
        <v>66</v>
      </c>
      <c r="C1570" s="5">
        <v>3</v>
      </c>
      <c r="D1570" s="25">
        <v>1.1415000000000001E-4</v>
      </c>
      <c r="E1570" s="25">
        <v>1.1745E-4</v>
      </c>
      <c r="F1570" s="25">
        <v>1.3690999999999999E-4</v>
      </c>
      <c r="G1570" s="25">
        <v>1.1428E-4</v>
      </c>
      <c r="H1570" s="25">
        <v>1.3276999999999999E-4</v>
      </c>
      <c r="I1570" s="9">
        <v>9.8670000000000002E-5</v>
      </c>
      <c r="J1570" s="9">
        <v>9.0580000000000004E-5</v>
      </c>
      <c r="K1570" s="9">
        <v>2.7551000000000002E-4</v>
      </c>
      <c r="L1570" s="9">
        <v>1.787E-5</v>
      </c>
      <c r="M1570" s="9">
        <v>4.8420000000000001E-5</v>
      </c>
      <c r="N1570" s="9">
        <v>7.1000000000000005E-5</v>
      </c>
      <c r="O1570" s="9">
        <v>4.6270000000000003E-5</v>
      </c>
      <c r="P1570" s="9">
        <v>7.6810000000000005E-5</v>
      </c>
      <c r="Q1570" s="9">
        <v>1.0696000000000001E-4</v>
      </c>
      <c r="R1570" s="10">
        <v>2.116316475640019E-4</v>
      </c>
      <c r="S1570" s="10">
        <v>1.9028871607671839E-4</v>
      </c>
      <c r="T1570" s="10">
        <v>0</v>
      </c>
      <c r="U1570" s="10">
        <v>1.8450000000000001E-4</v>
      </c>
      <c r="V1570" s="25"/>
      <c r="W1570" s="25"/>
      <c r="X1570" s="25"/>
      <c r="Y1570" s="25"/>
      <c r="Z1570" s="25"/>
      <c r="AA1570" s="25"/>
    </row>
    <row r="1571" spans="1:27" x14ac:dyDescent="0.35">
      <c r="A1571" s="5">
        <v>1567</v>
      </c>
      <c r="B1571" s="5">
        <v>66</v>
      </c>
      <c r="C1571" s="5">
        <v>3</v>
      </c>
      <c r="D1571" s="25">
        <v>1.1416E-4</v>
      </c>
      <c r="E1571" s="25">
        <v>1.1135E-4</v>
      </c>
      <c r="F1571" s="25">
        <v>1.2669999999999999E-4</v>
      </c>
      <c r="G1571" s="25">
        <v>1.076E-4</v>
      </c>
      <c r="H1571" s="25">
        <v>1.2537E-4</v>
      </c>
      <c r="I1571" s="9">
        <v>1.0073000000000001E-4</v>
      </c>
      <c r="J1571" s="9">
        <v>9.2819999999999996E-5</v>
      </c>
      <c r="K1571" s="9">
        <v>2.8399000000000002E-4</v>
      </c>
      <c r="L1571" s="9">
        <v>3.9879999999999998E-5</v>
      </c>
      <c r="M1571" s="9">
        <v>6.0059999999999998E-5</v>
      </c>
      <c r="N1571" s="9">
        <v>8.0699999999999996E-5</v>
      </c>
      <c r="O1571" s="9">
        <v>1.2285E-4</v>
      </c>
      <c r="P1571" s="9">
        <v>1.1716E-4</v>
      </c>
      <c r="Q1571" s="9">
        <v>1.1223E-4</v>
      </c>
      <c r="R1571" s="10">
        <v>2.1181769842135192E-4</v>
      </c>
      <c r="S1571" s="10">
        <v>1.9028706766883899E-4</v>
      </c>
      <c r="T1571" s="10">
        <v>0</v>
      </c>
      <c r="U1571" s="10">
        <v>1.8450000000000001E-4</v>
      </c>
      <c r="V1571" s="25"/>
      <c r="W1571" s="25"/>
      <c r="X1571" s="25"/>
      <c r="Y1571" s="25"/>
      <c r="Z1571" s="25"/>
      <c r="AA1571" s="25"/>
    </row>
    <row r="1572" spans="1:27" x14ac:dyDescent="0.35">
      <c r="A1572" s="5">
        <v>1568</v>
      </c>
      <c r="B1572" s="5">
        <v>66</v>
      </c>
      <c r="C1572" s="5">
        <v>3</v>
      </c>
      <c r="D1572" s="25">
        <v>1.1415000000000001E-4</v>
      </c>
      <c r="E1572" s="25">
        <v>1.089E-4</v>
      </c>
      <c r="F1572" s="25">
        <v>1.4009999999999999E-4</v>
      </c>
      <c r="G1572" s="25">
        <v>1.6034999999999999E-4</v>
      </c>
      <c r="H1572" s="25">
        <v>1.8875000000000001E-4</v>
      </c>
      <c r="I1572" s="9">
        <v>9.993E-5</v>
      </c>
      <c r="J1572" s="9">
        <v>9.4790000000000006E-5</v>
      </c>
      <c r="K1572" s="9">
        <v>2.6068E-4</v>
      </c>
      <c r="L1572" s="9">
        <v>1.0398E-4</v>
      </c>
      <c r="M1572" s="9">
        <v>8.3609999999999994E-5</v>
      </c>
      <c r="N1572" s="9">
        <v>9.077E-5</v>
      </c>
      <c r="O1572" s="9">
        <v>2.2010000000000001E-4</v>
      </c>
      <c r="P1572" s="9">
        <v>1.7761E-4</v>
      </c>
      <c r="Q1572" s="9">
        <v>1.3721E-4</v>
      </c>
      <c r="R1572" s="10">
        <v>2.1188956814762925E-4</v>
      </c>
      <c r="S1572" s="10">
        <v>1.902899350036899E-4</v>
      </c>
      <c r="T1572" s="10">
        <v>4.4712257575251067E-5</v>
      </c>
      <c r="U1572" s="10">
        <v>1.8450000000000001E-4</v>
      </c>
      <c r="V1572" s="25"/>
      <c r="W1572" s="25"/>
      <c r="X1572" s="25"/>
      <c r="Y1572" s="25"/>
      <c r="Z1572" s="25"/>
      <c r="AA1572" s="25"/>
    </row>
    <row r="1573" spans="1:27" x14ac:dyDescent="0.35">
      <c r="A1573" s="5">
        <v>1569</v>
      </c>
      <c r="B1573" s="5">
        <v>66</v>
      </c>
      <c r="C1573" s="5">
        <v>3</v>
      </c>
      <c r="D1573" s="25">
        <v>1.1416E-4</v>
      </c>
      <c r="E1573" s="25">
        <v>1.1529E-4</v>
      </c>
      <c r="F1573" s="25">
        <v>1.3326000000000001E-4</v>
      </c>
      <c r="G1573" s="25">
        <v>1.6656E-4</v>
      </c>
      <c r="H1573" s="25">
        <v>1.8829E-4</v>
      </c>
      <c r="I1573" s="9">
        <v>1.0456E-4</v>
      </c>
      <c r="J1573" s="9">
        <v>1.0039000000000001E-4</v>
      </c>
      <c r="K1573" s="9">
        <v>2.3313000000000001E-4</v>
      </c>
      <c r="L1573" s="9">
        <v>1.928E-4</v>
      </c>
      <c r="M1573" s="9">
        <v>1.2354E-4</v>
      </c>
      <c r="N1573" s="9">
        <v>1.0464E-4</v>
      </c>
      <c r="O1573" s="9">
        <v>2.1041000000000001E-4</v>
      </c>
      <c r="P1573" s="9">
        <v>1.9258E-4</v>
      </c>
      <c r="Q1573" s="9">
        <v>1.7636999999999999E-4</v>
      </c>
      <c r="R1573" s="10">
        <v>2.1217248398498257E-4</v>
      </c>
      <c r="S1573" s="10">
        <v>1.9029020759484994E-4</v>
      </c>
      <c r="T1573" s="10">
        <v>1.0997348817654731E-4</v>
      </c>
      <c r="U1573" s="10">
        <v>1.8450000000000001E-4</v>
      </c>
      <c r="V1573" s="25"/>
      <c r="W1573" s="25"/>
      <c r="X1573" s="25"/>
      <c r="Y1573" s="25"/>
      <c r="Z1573" s="25"/>
      <c r="AA1573" s="25"/>
    </row>
    <row r="1574" spans="1:27" x14ac:dyDescent="0.35">
      <c r="A1574" s="5">
        <v>1570</v>
      </c>
      <c r="B1574" s="5">
        <v>66</v>
      </c>
      <c r="C1574" s="5">
        <v>3</v>
      </c>
      <c r="D1574" s="25">
        <v>1.1415000000000001E-4</v>
      </c>
      <c r="E1574" s="25">
        <v>1.078E-4</v>
      </c>
      <c r="F1574" s="25">
        <v>1.2587000000000001E-4</v>
      </c>
      <c r="G1574" s="25">
        <v>1.5990000000000001E-4</v>
      </c>
      <c r="H1574" s="25">
        <v>1.9416E-4</v>
      </c>
      <c r="I1574" s="9">
        <v>1.1252999999999999E-4</v>
      </c>
      <c r="J1574" s="9">
        <v>1.0577999999999999E-4</v>
      </c>
      <c r="K1574" s="9">
        <v>2.2677E-4</v>
      </c>
      <c r="L1574" s="9">
        <v>2.0421E-4</v>
      </c>
      <c r="M1574" s="9">
        <v>1.5851999999999999E-4</v>
      </c>
      <c r="N1574" s="9">
        <v>1.2454999999999999E-4</v>
      </c>
      <c r="O1574" s="9">
        <v>1.6653999999999999E-4</v>
      </c>
      <c r="P1574" s="9">
        <v>1.7363E-4</v>
      </c>
      <c r="Q1574" s="9">
        <v>1.8160999999999999E-4</v>
      </c>
      <c r="R1574" s="10">
        <v>2.1208887105058434E-4</v>
      </c>
      <c r="S1574" s="10">
        <v>1.9029020759484994E-4</v>
      </c>
      <c r="T1574" s="10">
        <v>1.877999661154046E-4</v>
      </c>
      <c r="U1574" s="10">
        <v>1.8450000000000001E-4</v>
      </c>
      <c r="V1574" s="25"/>
      <c r="W1574" s="25"/>
      <c r="X1574" s="25"/>
      <c r="Y1574" s="25"/>
      <c r="Z1574" s="25"/>
      <c r="AA1574" s="25"/>
    </row>
    <row r="1575" spans="1:27" x14ac:dyDescent="0.35">
      <c r="A1575" s="5">
        <v>1571</v>
      </c>
      <c r="B1575" s="5">
        <v>66</v>
      </c>
      <c r="C1575" s="5">
        <v>3</v>
      </c>
      <c r="D1575" s="25">
        <v>1.1416E-4</v>
      </c>
      <c r="E1575" s="25">
        <v>1.1302999999999999E-4</v>
      </c>
      <c r="F1575" s="25">
        <v>1.4648999999999999E-4</v>
      </c>
      <c r="G1575" s="25">
        <v>1.6317999999999999E-4</v>
      </c>
      <c r="H1575" s="25">
        <v>1.92E-4</v>
      </c>
      <c r="I1575" s="9">
        <v>1.1745E-4</v>
      </c>
      <c r="J1575" s="9">
        <v>1.0891E-4</v>
      </c>
      <c r="K1575" s="9">
        <v>2.1405999999999999E-4</v>
      </c>
      <c r="L1575" s="9">
        <v>1.7493000000000001E-4</v>
      </c>
      <c r="M1575" s="9">
        <v>1.7205000000000001E-4</v>
      </c>
      <c r="N1575" s="9">
        <v>1.4250999999999999E-4</v>
      </c>
      <c r="O1575" s="9">
        <v>1.6829E-4</v>
      </c>
      <c r="P1575" s="9">
        <v>1.7409000000000001E-4</v>
      </c>
      <c r="Q1575" s="9">
        <v>1.8081999999999999E-4</v>
      </c>
      <c r="R1575" s="10">
        <v>2.1136629905737071E-4</v>
      </c>
      <c r="S1575" s="10">
        <v>1.9029020759484994E-4</v>
      </c>
      <c r="T1575" s="10">
        <v>4.4498453231627477E-4</v>
      </c>
      <c r="U1575" s="10">
        <v>1.8450000000000001E-4</v>
      </c>
      <c r="V1575" s="25"/>
      <c r="W1575" s="25"/>
      <c r="X1575" s="25"/>
      <c r="Y1575" s="25"/>
      <c r="Z1575" s="25"/>
      <c r="AA1575" s="25"/>
    </row>
    <row r="1576" spans="1:27" x14ac:dyDescent="0.35">
      <c r="A1576" s="5">
        <v>1572</v>
      </c>
      <c r="B1576" s="5">
        <v>66</v>
      </c>
      <c r="C1576" s="5">
        <v>3</v>
      </c>
      <c r="D1576" s="25">
        <v>1.1415000000000001E-4</v>
      </c>
      <c r="E1576" s="25">
        <v>1.1479E-4</v>
      </c>
      <c r="F1576" s="25">
        <v>1.3087999999999999E-4</v>
      </c>
      <c r="G1576" s="25">
        <v>1.5959000000000001E-4</v>
      </c>
      <c r="H1576" s="25">
        <v>1.9273000000000001E-4</v>
      </c>
      <c r="I1576" s="9">
        <v>1.2163E-4</v>
      </c>
      <c r="J1576" s="9">
        <v>1.1058E-4</v>
      </c>
      <c r="K1576" s="9">
        <v>2.1617000000000001E-4</v>
      </c>
      <c r="L1576" s="9">
        <v>1.7117E-4</v>
      </c>
      <c r="M1576" s="9">
        <v>1.7505E-4</v>
      </c>
      <c r="N1576" s="9">
        <v>1.5689E-4</v>
      </c>
      <c r="O1576" s="9">
        <v>1.7129999999999999E-4</v>
      </c>
      <c r="P1576" s="9">
        <v>1.7297999999999999E-4</v>
      </c>
      <c r="Q1576" s="9">
        <v>1.7568E-4</v>
      </c>
      <c r="R1576" s="10">
        <v>1.9246101258519021E-4</v>
      </c>
      <c r="S1576" s="10">
        <v>1.9029020759484994E-4</v>
      </c>
      <c r="T1576" s="10">
        <v>5.7442948750139906E-4</v>
      </c>
      <c r="U1576" s="10">
        <v>1.8450000000000001E-4</v>
      </c>
      <c r="V1576" s="25"/>
      <c r="W1576" s="25"/>
      <c r="X1576" s="25"/>
      <c r="Y1576" s="25"/>
      <c r="Z1576" s="25"/>
      <c r="AA1576" s="25"/>
    </row>
    <row r="1577" spans="1:27" x14ac:dyDescent="0.35">
      <c r="A1577" s="5">
        <v>1573</v>
      </c>
      <c r="B1577" s="5">
        <v>66</v>
      </c>
      <c r="C1577" s="5">
        <v>3</v>
      </c>
      <c r="D1577" s="25">
        <v>1.1416E-4</v>
      </c>
      <c r="E1577" s="25">
        <v>1.1763E-4</v>
      </c>
      <c r="F1577" s="25">
        <v>1.3735E-4</v>
      </c>
      <c r="G1577" s="25">
        <v>1.6416E-4</v>
      </c>
      <c r="H1577" s="25">
        <v>1.9127E-4</v>
      </c>
      <c r="I1577" s="9">
        <v>1.2208E-4</v>
      </c>
      <c r="J1577" s="9">
        <v>1.1145E-4</v>
      </c>
      <c r="K1577" s="9">
        <v>2.0981E-4</v>
      </c>
      <c r="L1577" s="9">
        <v>1.7139E-4</v>
      </c>
      <c r="M1577" s="9">
        <v>1.7462000000000001E-4</v>
      </c>
      <c r="N1577" s="9">
        <v>1.6670000000000001E-4</v>
      </c>
      <c r="O1577" s="9">
        <v>1.6100000000000001E-4</v>
      </c>
      <c r="P1577" s="9">
        <v>1.6347000000000001E-4</v>
      </c>
      <c r="Q1577" s="9">
        <v>1.6684999999999999E-4</v>
      </c>
      <c r="R1577" s="10">
        <v>1.705487973623594E-4</v>
      </c>
      <c r="S1577" s="10">
        <v>1.9029020759484994E-4</v>
      </c>
      <c r="T1577" s="10">
        <v>6.3242815785897338E-4</v>
      </c>
      <c r="U1577" s="10">
        <v>1.8450000000000001E-4</v>
      </c>
      <c r="V1577" s="25"/>
      <c r="W1577" s="25"/>
      <c r="X1577" s="25"/>
      <c r="Y1577" s="25"/>
      <c r="Z1577" s="25"/>
      <c r="AA1577" s="25"/>
    </row>
    <row r="1578" spans="1:27" x14ac:dyDescent="0.35">
      <c r="A1578" s="5">
        <v>1574</v>
      </c>
      <c r="B1578" s="5">
        <v>66</v>
      </c>
      <c r="C1578" s="5">
        <v>3</v>
      </c>
      <c r="D1578" s="25">
        <v>1.1415000000000001E-4</v>
      </c>
      <c r="E1578" s="25">
        <v>1.1129999999999999E-4</v>
      </c>
      <c r="F1578" s="25">
        <v>1.406E-4</v>
      </c>
      <c r="G1578" s="25">
        <v>1.5914E-4</v>
      </c>
      <c r="H1578" s="25">
        <v>1.8916000000000001E-4</v>
      </c>
      <c r="I1578" s="9">
        <v>1.192E-4</v>
      </c>
      <c r="J1578" s="9">
        <v>1.1027E-4</v>
      </c>
      <c r="K1578" s="9">
        <v>2.0133999999999999E-4</v>
      </c>
      <c r="L1578" s="9">
        <v>1.6301999999999999E-4</v>
      </c>
      <c r="M1578" s="9">
        <v>1.7045E-4</v>
      </c>
      <c r="N1578" s="9">
        <v>1.7085000000000001E-4</v>
      </c>
      <c r="O1578" s="9">
        <v>1.7652999999999999E-4</v>
      </c>
      <c r="P1578" s="9">
        <v>1.6735E-4</v>
      </c>
      <c r="Q1578" s="9">
        <v>1.5939E-4</v>
      </c>
      <c r="R1578" s="10">
        <v>1.6722463886141166E-4</v>
      </c>
      <c r="S1578" s="10">
        <v>1.9029020759484994E-4</v>
      </c>
      <c r="T1578" s="10">
        <v>5.8213323131132847E-4</v>
      </c>
      <c r="U1578" s="10">
        <v>1.8450000000000001E-4</v>
      </c>
      <c r="V1578" s="25"/>
      <c r="W1578" s="25"/>
      <c r="X1578" s="25"/>
      <c r="Y1578" s="25"/>
      <c r="Z1578" s="25"/>
      <c r="AA1578" s="25"/>
    </row>
    <row r="1579" spans="1:27" x14ac:dyDescent="0.35">
      <c r="A1579" s="5">
        <v>1575</v>
      </c>
      <c r="B1579" s="5">
        <v>66</v>
      </c>
      <c r="C1579" s="5">
        <v>3</v>
      </c>
      <c r="D1579" s="25">
        <v>1.1416E-4</v>
      </c>
      <c r="E1579" s="25">
        <v>1.1241E-4</v>
      </c>
      <c r="F1579" s="25">
        <v>1.4479E-4</v>
      </c>
      <c r="G1579" s="25">
        <v>1.6292999999999999E-4</v>
      </c>
      <c r="H1579" s="25">
        <v>1.9316E-4</v>
      </c>
      <c r="I1579" s="9">
        <v>1.1505E-4</v>
      </c>
      <c r="J1579" s="9">
        <v>1.0979E-4</v>
      </c>
      <c r="K1579" s="9">
        <v>2.2041000000000001E-4</v>
      </c>
      <c r="L1579" s="9">
        <v>1.7378000000000001E-4</v>
      </c>
      <c r="M1579" s="9">
        <v>1.6812000000000001E-4</v>
      </c>
      <c r="N1579" s="9">
        <v>1.7003E-4</v>
      </c>
      <c r="O1579" s="9">
        <v>1.8369E-4</v>
      </c>
      <c r="P1579" s="9">
        <v>1.6757999999999999E-4</v>
      </c>
      <c r="Q1579" s="9">
        <v>1.5285E-4</v>
      </c>
      <c r="R1579" s="10">
        <v>1.7364986571303655E-4</v>
      </c>
      <c r="S1579" s="10">
        <v>1.9029020759484994E-4</v>
      </c>
      <c r="T1579" s="10">
        <v>2.3202013432834745E-4</v>
      </c>
      <c r="U1579" s="10">
        <v>1.8450000000000001E-4</v>
      </c>
      <c r="V1579" s="25"/>
      <c r="W1579" s="25"/>
      <c r="X1579" s="25"/>
      <c r="Y1579" s="25"/>
      <c r="Z1579" s="25"/>
      <c r="AA1579" s="25"/>
    </row>
    <row r="1580" spans="1:27" x14ac:dyDescent="0.35">
      <c r="A1580" s="5">
        <v>1576</v>
      </c>
      <c r="B1580" s="5">
        <v>66</v>
      </c>
      <c r="C1580" s="5">
        <v>3</v>
      </c>
      <c r="D1580" s="25">
        <v>1.1415000000000001E-4</v>
      </c>
      <c r="E1580" s="25">
        <v>1.0984000000000001E-4</v>
      </c>
      <c r="F1580" s="25">
        <v>1.4443999999999999E-4</v>
      </c>
      <c r="G1580" s="25">
        <v>1.5911000000000001E-4</v>
      </c>
      <c r="H1580" s="25">
        <v>1.8615999999999999E-4</v>
      </c>
      <c r="I1580" s="9">
        <v>1.1430999999999999E-4</v>
      </c>
      <c r="J1580" s="9">
        <v>1.098E-4</v>
      </c>
      <c r="K1580" s="9">
        <v>2.2889000000000001E-4</v>
      </c>
      <c r="L1580" s="9">
        <v>1.8123999999999999E-4</v>
      </c>
      <c r="M1580" s="9">
        <v>1.6741E-4</v>
      </c>
      <c r="N1580" s="9">
        <v>1.6616999999999999E-4</v>
      </c>
      <c r="O1580" s="9">
        <v>1.9678E-4</v>
      </c>
      <c r="P1580" s="9">
        <v>1.5222E-4</v>
      </c>
      <c r="Q1580" s="9">
        <v>1.0959E-4</v>
      </c>
      <c r="R1580" s="10">
        <v>1.7909514515515571E-4</v>
      </c>
      <c r="S1580" s="10">
        <v>1.9029020759484994E-4</v>
      </c>
      <c r="T1580" s="10">
        <v>3.5776593499680965E-4</v>
      </c>
      <c r="U1580" s="10">
        <v>1.8450000000000001E-4</v>
      </c>
      <c r="V1580" s="25"/>
      <c r="W1580" s="25"/>
      <c r="X1580" s="25"/>
      <c r="Y1580" s="25"/>
      <c r="Z1580" s="25"/>
      <c r="AA1580" s="25"/>
    </row>
    <row r="1581" spans="1:27" x14ac:dyDescent="0.35">
      <c r="A1581" s="5">
        <v>1577</v>
      </c>
      <c r="B1581" s="5">
        <v>66</v>
      </c>
      <c r="C1581" s="5">
        <v>3</v>
      </c>
      <c r="D1581" s="25">
        <v>1.1416E-4</v>
      </c>
      <c r="E1581" s="25">
        <v>1.0736E-4</v>
      </c>
      <c r="F1581" s="25">
        <v>1.4155999999999999E-4</v>
      </c>
      <c r="G1581" s="25">
        <v>1.5893999999999999E-4</v>
      </c>
      <c r="H1581" s="25">
        <v>1.9678999999999999E-4</v>
      </c>
      <c r="I1581" s="9">
        <v>1.1207E-4</v>
      </c>
      <c r="J1581" s="9">
        <v>1.1218999999999999E-4</v>
      </c>
      <c r="K1581" s="9">
        <v>2.3101E-4</v>
      </c>
      <c r="L1581" s="9">
        <v>1.9309000000000001E-4</v>
      </c>
      <c r="M1581" s="9">
        <v>1.6190000000000001E-4</v>
      </c>
      <c r="N1581" s="9">
        <v>1.5233E-4</v>
      </c>
      <c r="O1581" s="9">
        <v>2.1319000000000001E-4</v>
      </c>
      <c r="P1581" s="9">
        <v>1.5893999999999999E-4</v>
      </c>
      <c r="Q1581" s="9">
        <v>1.0691E-4</v>
      </c>
      <c r="R1581" s="10">
        <v>1.9034260946117055E-4</v>
      </c>
      <c r="S1581" s="10">
        <v>1.9029020759484994E-4</v>
      </c>
      <c r="T1581" s="10">
        <v>1.7743215230953043E-4</v>
      </c>
      <c r="U1581" s="10">
        <v>1.8450000000000001E-4</v>
      </c>
      <c r="V1581" s="25"/>
      <c r="W1581" s="25"/>
      <c r="X1581" s="25"/>
      <c r="Y1581" s="25"/>
      <c r="Z1581" s="25"/>
      <c r="AA1581" s="25"/>
    </row>
    <row r="1582" spans="1:27" x14ac:dyDescent="0.35">
      <c r="A1582" s="5">
        <v>1578</v>
      </c>
      <c r="B1582" s="5">
        <v>66</v>
      </c>
      <c r="C1582" s="5">
        <v>3</v>
      </c>
      <c r="D1582" s="25">
        <v>1.1415000000000001E-4</v>
      </c>
      <c r="E1582" s="25">
        <v>1.1208E-4</v>
      </c>
      <c r="F1582" s="25">
        <v>1.3130999999999999E-4</v>
      </c>
      <c r="G1582" s="25">
        <v>1.6590999999999999E-4</v>
      </c>
      <c r="H1582" s="25">
        <v>1.9071E-4</v>
      </c>
      <c r="I1582" s="9">
        <v>1.1519999999999999E-4</v>
      </c>
      <c r="J1582" s="9">
        <v>1.1834E-4</v>
      </c>
      <c r="K1582" s="9">
        <v>2.3948E-4</v>
      </c>
      <c r="L1582" s="9">
        <v>2.0851999999999999E-4</v>
      </c>
      <c r="M1582" s="9">
        <v>1.5930999999999999E-4</v>
      </c>
      <c r="N1582" s="9">
        <v>1.3888E-4</v>
      </c>
      <c r="O1582" s="9">
        <v>2.0479999999999999E-4</v>
      </c>
      <c r="P1582" s="9">
        <v>1.6014999999999999E-4</v>
      </c>
      <c r="Q1582" s="9">
        <v>1.175E-4</v>
      </c>
      <c r="R1582" s="10">
        <v>2.0412649915299154E-4</v>
      </c>
      <c r="S1582" s="10">
        <v>1.9029020759484994E-4</v>
      </c>
      <c r="T1582" s="10">
        <v>0</v>
      </c>
      <c r="U1582" s="10">
        <v>1.8450000000000001E-4</v>
      </c>
      <c r="V1582" s="25"/>
      <c r="W1582" s="25"/>
      <c r="X1582" s="25"/>
      <c r="Y1582" s="25"/>
      <c r="Z1582" s="25"/>
      <c r="AA1582" s="25"/>
    </row>
    <row r="1583" spans="1:27" x14ac:dyDescent="0.35">
      <c r="A1583" s="5">
        <v>1579</v>
      </c>
      <c r="B1583" s="5">
        <v>66</v>
      </c>
      <c r="C1583" s="5">
        <v>3</v>
      </c>
      <c r="D1583" s="25">
        <v>1.1416E-4</v>
      </c>
      <c r="E1583" s="25">
        <v>1.1241E-4</v>
      </c>
      <c r="F1583" s="25">
        <v>1.3893E-4</v>
      </c>
      <c r="G1583" s="25">
        <v>1.0931E-4</v>
      </c>
      <c r="H1583" s="25">
        <v>1.3359E-4</v>
      </c>
      <c r="I1583" s="9">
        <v>1.2181E-4</v>
      </c>
      <c r="J1583" s="9">
        <v>1.2244999999999999E-4</v>
      </c>
      <c r="K1583" s="9">
        <v>2.3735999999999999E-4</v>
      </c>
      <c r="L1583" s="9">
        <v>2.0524000000000001E-4</v>
      </c>
      <c r="M1583" s="9">
        <v>1.5909E-4</v>
      </c>
      <c r="N1583" s="9">
        <v>1.2980000000000001E-4</v>
      </c>
      <c r="O1583" s="9">
        <v>1.6273000000000001E-4</v>
      </c>
      <c r="P1583" s="9">
        <v>1.3370999999999999E-4</v>
      </c>
      <c r="Q1583" s="9">
        <v>1.0613E-4</v>
      </c>
      <c r="R1583" s="10">
        <v>2.1007344024522398E-4</v>
      </c>
      <c r="S1583" s="10">
        <v>1.9029020759484994E-4</v>
      </c>
      <c r="T1583" s="10">
        <v>0</v>
      </c>
      <c r="U1583" s="10">
        <v>1.8450000000000001E-4</v>
      </c>
      <c r="V1583" s="25"/>
      <c r="W1583" s="25"/>
      <c r="X1583" s="25"/>
      <c r="Y1583" s="25"/>
      <c r="Z1583" s="25"/>
      <c r="AA1583" s="25"/>
    </row>
    <row r="1584" spans="1:27" x14ac:dyDescent="0.35">
      <c r="A1584" s="5">
        <v>1580</v>
      </c>
      <c r="B1584" s="5">
        <v>66</v>
      </c>
      <c r="C1584" s="5">
        <v>3</v>
      </c>
      <c r="D1584" s="25">
        <v>1.1415000000000001E-4</v>
      </c>
      <c r="E1584" s="25">
        <v>1.1736E-4</v>
      </c>
      <c r="F1584" s="25">
        <v>1.3650000000000001E-4</v>
      </c>
      <c r="G1584" s="25">
        <v>1.0757E-4</v>
      </c>
      <c r="H1584" s="25">
        <v>1.3244999999999999E-4</v>
      </c>
      <c r="I1584" s="9">
        <v>1.2619000000000001E-4</v>
      </c>
      <c r="J1584" s="9">
        <v>1.2532E-4</v>
      </c>
      <c r="K1584" s="9">
        <v>2.3311999999999999E-4</v>
      </c>
      <c r="L1584" s="9">
        <v>1.7223999999999999E-4</v>
      </c>
      <c r="M1584" s="9">
        <v>1.5006000000000001E-4</v>
      </c>
      <c r="N1584" s="9">
        <v>1.2053999999999999E-4</v>
      </c>
      <c r="O1584" s="9">
        <v>1.2797000000000001E-4</v>
      </c>
      <c r="P1584" s="9">
        <v>1.1415E-4</v>
      </c>
      <c r="Q1584" s="9">
        <v>1.0126E-4</v>
      </c>
      <c r="R1584" s="10">
        <v>2.1200873948261676E-4</v>
      </c>
      <c r="S1584" s="10">
        <v>1.9029020759484994E-4</v>
      </c>
      <c r="T1584" s="10">
        <v>0</v>
      </c>
      <c r="U1584" s="10">
        <v>1.8450000000000001E-4</v>
      </c>
      <c r="V1584" s="25"/>
      <c r="W1584" s="25"/>
      <c r="X1584" s="25"/>
      <c r="Y1584" s="25"/>
      <c r="Z1584" s="25"/>
      <c r="AA1584" s="25"/>
    </row>
    <row r="1585" spans="1:27" x14ac:dyDescent="0.35">
      <c r="A1585" s="5">
        <v>1581</v>
      </c>
      <c r="B1585" s="5">
        <v>66</v>
      </c>
      <c r="C1585" s="5">
        <v>3</v>
      </c>
      <c r="D1585" s="25">
        <v>1.1416E-4</v>
      </c>
      <c r="E1585" s="25">
        <v>1.1492E-4</v>
      </c>
      <c r="F1585" s="25">
        <v>1.2846E-4</v>
      </c>
      <c r="G1585" s="25">
        <v>5.787E-5</v>
      </c>
      <c r="H1585" s="25">
        <v>6.5099999999999997E-5</v>
      </c>
      <c r="I1585" s="9">
        <v>1.2274000000000001E-4</v>
      </c>
      <c r="J1585" s="9">
        <v>1.2161E-4</v>
      </c>
      <c r="K1585" s="9">
        <v>2.2465000000000001E-4</v>
      </c>
      <c r="L1585" s="9">
        <v>1.3872999999999999E-4</v>
      </c>
      <c r="M1585" s="9">
        <v>1.3459999999999999E-4</v>
      </c>
      <c r="N1585" s="9">
        <v>1.1277000000000001E-4</v>
      </c>
      <c r="O1585" s="9">
        <v>8.5370000000000004E-5</v>
      </c>
      <c r="P1585" s="9">
        <v>8.7020000000000004E-5</v>
      </c>
      <c r="Q1585" s="9">
        <v>8.9040000000000001E-5</v>
      </c>
      <c r="R1585" s="10">
        <v>2.12277655522521E-4</v>
      </c>
      <c r="S1585" s="10">
        <v>1.9029020759484994E-4</v>
      </c>
      <c r="T1585" s="10">
        <v>0</v>
      </c>
      <c r="U1585" s="10">
        <v>1.8450000000000001E-4</v>
      </c>
      <c r="V1585" s="25"/>
      <c r="W1585" s="25"/>
      <c r="X1585" s="25"/>
      <c r="Y1585" s="25"/>
      <c r="Z1585" s="25"/>
      <c r="AA1585" s="25"/>
    </row>
    <row r="1586" spans="1:27" x14ac:dyDescent="0.35">
      <c r="A1586" s="5">
        <v>1582</v>
      </c>
      <c r="B1586" s="5">
        <v>66</v>
      </c>
      <c r="C1586" s="5">
        <v>3</v>
      </c>
      <c r="D1586" s="25">
        <v>1.1415000000000001E-4</v>
      </c>
      <c r="E1586" s="25">
        <v>1.1382E-4</v>
      </c>
      <c r="F1586" s="25">
        <v>1.3914E-4</v>
      </c>
      <c r="G1586" s="25">
        <v>6.0680000000000002E-5</v>
      </c>
      <c r="H1586" s="25">
        <v>7.3679999999999999E-5</v>
      </c>
      <c r="I1586" s="9">
        <v>1.1692E-4</v>
      </c>
      <c r="J1586" s="9">
        <v>1.1548999999999999E-4</v>
      </c>
      <c r="K1586" s="9">
        <v>2.31E-4</v>
      </c>
      <c r="L1586" s="9">
        <v>9.8010000000000005E-5</v>
      </c>
      <c r="M1586" s="9">
        <v>1.1349999999999999E-4</v>
      </c>
      <c r="N1586" s="9">
        <v>1.054E-4</v>
      </c>
      <c r="O1586" s="9">
        <v>8.7490000000000004E-5</v>
      </c>
      <c r="P1586" s="9">
        <v>8.7739999999999997E-5</v>
      </c>
      <c r="Q1586" s="9">
        <v>8.8389999999999999E-5</v>
      </c>
      <c r="R1586" s="10">
        <v>2.1232976363001947E-4</v>
      </c>
      <c r="S1586" s="10">
        <v>1.9029020759484994E-4</v>
      </c>
      <c r="T1586" s="10">
        <v>0</v>
      </c>
      <c r="U1586" s="10">
        <v>1.8450000000000001E-4</v>
      </c>
      <c r="V1586" s="25"/>
      <c r="W1586" s="25"/>
      <c r="X1586" s="25"/>
      <c r="Y1586" s="25"/>
      <c r="Z1586" s="25"/>
      <c r="AA1586" s="25"/>
    </row>
    <row r="1587" spans="1:27" x14ac:dyDescent="0.35">
      <c r="A1587" s="5">
        <v>1583</v>
      </c>
      <c r="B1587" s="5">
        <v>66</v>
      </c>
      <c r="C1587" s="5">
        <v>3</v>
      </c>
      <c r="D1587" s="25">
        <v>1.1416E-4</v>
      </c>
      <c r="E1587" s="25">
        <v>1.106E-4</v>
      </c>
      <c r="F1587" s="25">
        <v>1.4558999999999999E-4</v>
      </c>
      <c r="G1587" s="25">
        <v>5.8459999999999999E-5</v>
      </c>
      <c r="H1587" s="25">
        <v>7.2200000000000007E-5</v>
      </c>
      <c r="I1587" s="9">
        <v>1.172E-4</v>
      </c>
      <c r="J1587" s="9">
        <v>1.0931E-4</v>
      </c>
      <c r="K1587" s="9">
        <v>2.3737000000000001E-4</v>
      </c>
      <c r="L1587" s="9">
        <v>9.0699999999999996E-5</v>
      </c>
      <c r="M1587" s="9">
        <v>9.9079999999999993E-5</v>
      </c>
      <c r="N1587" s="9">
        <v>9.9690000000000003E-5</v>
      </c>
      <c r="O1587" s="9">
        <v>7.7249999999999994E-5</v>
      </c>
      <c r="P1587" s="9">
        <v>7.1619999999999995E-5</v>
      </c>
      <c r="Q1587" s="9">
        <v>6.6409999999999996E-5</v>
      </c>
      <c r="R1587" s="10">
        <v>2.1227990566753078E-4</v>
      </c>
      <c r="S1587" s="10">
        <v>1.9029020759484994E-4</v>
      </c>
      <c r="T1587" s="10">
        <v>0</v>
      </c>
      <c r="U1587" s="10">
        <v>1.8450000000000001E-4</v>
      </c>
      <c r="V1587" s="25"/>
      <c r="W1587" s="25"/>
      <c r="X1587" s="25"/>
      <c r="Y1587" s="25"/>
      <c r="Z1587" s="25"/>
      <c r="AA1587" s="25"/>
    </row>
    <row r="1588" spans="1:27" x14ac:dyDescent="0.35">
      <c r="A1588" s="5">
        <v>1584</v>
      </c>
      <c r="B1588" s="5">
        <v>66</v>
      </c>
      <c r="C1588" s="5">
        <v>3</v>
      </c>
      <c r="D1588" s="25">
        <v>1.1415000000000001E-4</v>
      </c>
      <c r="E1588" s="25">
        <v>1.1812E-4</v>
      </c>
      <c r="F1588" s="25">
        <v>1.3147000000000001E-4</v>
      </c>
      <c r="G1588" s="25">
        <v>5.5130000000000002E-5</v>
      </c>
      <c r="H1588" s="25">
        <v>7.4519999999999998E-5</v>
      </c>
      <c r="I1588" s="9">
        <v>1.1765E-4</v>
      </c>
      <c r="J1588" s="9">
        <v>1.0132E-4</v>
      </c>
      <c r="K1588" s="9">
        <v>2.3948E-4</v>
      </c>
      <c r="L1588" s="9">
        <v>8.0210000000000006E-5</v>
      </c>
      <c r="M1588" s="9">
        <v>8.6020000000000007E-5</v>
      </c>
      <c r="N1588" s="9">
        <v>9.0379999999999999E-5</v>
      </c>
      <c r="O1588" s="9">
        <v>6.3159999999999998E-5</v>
      </c>
      <c r="P1588" s="9">
        <v>6.109E-5</v>
      </c>
      <c r="Q1588" s="9">
        <v>5.9259999999999998E-5</v>
      </c>
      <c r="R1588" s="10">
        <v>2.1225522590287497E-4</v>
      </c>
      <c r="S1588" s="10">
        <v>1.9029020759484994E-4</v>
      </c>
      <c r="T1588" s="10">
        <v>0</v>
      </c>
      <c r="U1588" s="10">
        <v>1.8450000000000001E-4</v>
      </c>
      <c r="V1588" s="25"/>
      <c r="W1588" s="25"/>
      <c r="X1588" s="25"/>
      <c r="Y1588" s="25"/>
      <c r="Z1588" s="25"/>
      <c r="AA1588" s="25"/>
    </row>
    <row r="1589" spans="1:27" x14ac:dyDescent="0.35">
      <c r="A1589" s="5">
        <v>1585</v>
      </c>
      <c r="B1589" s="5">
        <v>67</v>
      </c>
      <c r="C1589" s="5">
        <v>3</v>
      </c>
      <c r="D1589" s="25">
        <v>1.1416E-4</v>
      </c>
      <c r="E1589" s="25">
        <v>1.2132E-4</v>
      </c>
      <c r="F1589" s="25">
        <v>1.2762E-4</v>
      </c>
      <c r="G1589" s="25">
        <v>5.6879999999999998E-5</v>
      </c>
      <c r="H1589" s="25">
        <v>6.6420000000000004E-5</v>
      </c>
      <c r="I1589" s="9">
        <v>1.1165E-4</v>
      </c>
      <c r="J1589" s="9">
        <v>9.5790000000000003E-5</v>
      </c>
      <c r="K1589" s="9">
        <v>2.3524E-4</v>
      </c>
      <c r="L1589" s="9">
        <v>6.6929999999999998E-5</v>
      </c>
      <c r="M1589" s="9">
        <v>7.4019999999999999E-5</v>
      </c>
      <c r="N1589" s="9">
        <v>8.1139999999999999E-5</v>
      </c>
      <c r="O1589" s="9">
        <v>5.4679999999999998E-5</v>
      </c>
      <c r="P1589" s="9">
        <v>5.41E-5</v>
      </c>
      <c r="Q1589" s="9">
        <v>5.3669999999999999E-5</v>
      </c>
      <c r="R1589" s="10">
        <v>2.1204017786249232E-4</v>
      </c>
      <c r="S1589" s="10">
        <v>1.9029020759484994E-4</v>
      </c>
      <c r="T1589" s="10">
        <v>0</v>
      </c>
      <c r="U1589" s="10">
        <v>1.8259E-4</v>
      </c>
      <c r="V1589" s="25"/>
      <c r="W1589" s="25"/>
      <c r="X1589" s="25"/>
      <c r="Y1589" s="25"/>
      <c r="Z1589" s="25"/>
      <c r="AA1589" s="25"/>
    </row>
    <row r="1590" spans="1:27" x14ac:dyDescent="0.35">
      <c r="A1590" s="5">
        <v>1586</v>
      </c>
      <c r="B1590" s="5">
        <v>67</v>
      </c>
      <c r="C1590" s="5">
        <v>3</v>
      </c>
      <c r="D1590" s="25">
        <v>1.1415000000000001E-4</v>
      </c>
      <c r="E1590" s="25">
        <v>1.2013E-4</v>
      </c>
      <c r="F1590" s="25">
        <v>1.176E-4</v>
      </c>
      <c r="G1590" s="25">
        <v>5.5779999999999998E-5</v>
      </c>
      <c r="H1590" s="25">
        <v>7.0740000000000004E-5</v>
      </c>
      <c r="I1590" s="9">
        <v>1.0609E-4</v>
      </c>
      <c r="J1590" s="9">
        <v>9.3460000000000003E-5</v>
      </c>
      <c r="K1590" s="9">
        <v>2.3735999999999999E-4</v>
      </c>
      <c r="L1590" s="9">
        <v>5.7739999999999999E-5</v>
      </c>
      <c r="M1590" s="9">
        <v>6.4010000000000005E-5</v>
      </c>
      <c r="N1590" s="9">
        <v>7.2130000000000002E-5</v>
      </c>
      <c r="O1590" s="9">
        <v>1.8770000000000002E-5</v>
      </c>
      <c r="P1590" s="9">
        <v>3.7490000000000002E-5</v>
      </c>
      <c r="Q1590" s="9">
        <v>5.5789999999999999E-5</v>
      </c>
      <c r="R1590" s="10">
        <v>2.1146308242403689E-4</v>
      </c>
      <c r="S1590" s="10">
        <v>1.9029020759484994E-4</v>
      </c>
      <c r="T1590" s="10">
        <v>0</v>
      </c>
      <c r="U1590" s="10">
        <v>1.8259E-4</v>
      </c>
      <c r="V1590" s="25"/>
      <c r="W1590" s="25"/>
      <c r="X1590" s="25"/>
      <c r="Y1590" s="25"/>
      <c r="Z1590" s="25"/>
      <c r="AA1590" s="25"/>
    </row>
    <row r="1591" spans="1:27" x14ac:dyDescent="0.35">
      <c r="A1591" s="5">
        <v>1587</v>
      </c>
      <c r="B1591" s="5">
        <v>67</v>
      </c>
      <c r="C1591" s="5">
        <v>3</v>
      </c>
      <c r="D1591" s="25">
        <v>1.1416E-4</v>
      </c>
      <c r="E1591" s="25">
        <v>1.1503E-4</v>
      </c>
      <c r="F1591" s="25">
        <v>1.2899E-4</v>
      </c>
      <c r="G1591" s="25">
        <v>5.5189999999999998E-5</v>
      </c>
      <c r="H1591" s="25">
        <v>6.7169999999999996E-5</v>
      </c>
      <c r="I1591" s="9">
        <v>1.0233E-4</v>
      </c>
      <c r="J1591" s="9">
        <v>9.2520000000000002E-5</v>
      </c>
      <c r="K1591" s="9">
        <v>2.3525E-4</v>
      </c>
      <c r="L1591" s="9">
        <v>2.7549999999999999E-5</v>
      </c>
      <c r="M1591" s="9">
        <v>5.219E-5</v>
      </c>
      <c r="N1591" s="9">
        <v>6.5480000000000003E-5</v>
      </c>
      <c r="O1591" s="9">
        <v>1.3390000000000001E-5</v>
      </c>
      <c r="P1591" s="9">
        <v>3.7660000000000002E-5</v>
      </c>
      <c r="Q1591" s="9">
        <v>6.1379999999999998E-5</v>
      </c>
      <c r="R1591" s="10">
        <v>2.1076005813502289E-4</v>
      </c>
      <c r="S1591" s="10">
        <v>1.9029020759484994E-4</v>
      </c>
      <c r="T1591" s="10">
        <v>0</v>
      </c>
      <c r="U1591" s="10">
        <v>1.8259E-4</v>
      </c>
      <c r="V1591" s="25"/>
      <c r="W1591" s="25"/>
      <c r="X1591" s="25"/>
      <c r="Y1591" s="25"/>
      <c r="Z1591" s="25"/>
      <c r="AA1591" s="25"/>
    </row>
    <row r="1592" spans="1:27" x14ac:dyDescent="0.35">
      <c r="A1592" s="5">
        <v>1588</v>
      </c>
      <c r="B1592" s="5">
        <v>67</v>
      </c>
      <c r="C1592" s="5">
        <v>3</v>
      </c>
      <c r="D1592" s="25">
        <v>1.1415000000000001E-4</v>
      </c>
      <c r="E1592" s="25">
        <v>1.2191E-4</v>
      </c>
      <c r="F1592" s="25">
        <v>1.2287999999999999E-4</v>
      </c>
      <c r="G1592" s="25">
        <v>5.575E-5</v>
      </c>
      <c r="H1592" s="25">
        <v>7.1749999999999996E-5</v>
      </c>
      <c r="I1592" s="9">
        <v>1.0030999999999999E-4</v>
      </c>
      <c r="J1592" s="9">
        <v>9.255E-5</v>
      </c>
      <c r="K1592" s="9">
        <v>2.3735999999999999E-4</v>
      </c>
      <c r="L1592" s="9">
        <v>1.7260000000000001E-5</v>
      </c>
      <c r="M1592" s="9">
        <v>4.4119999999999998E-5</v>
      </c>
      <c r="N1592" s="9">
        <v>6.1849999999999999E-5</v>
      </c>
      <c r="O1592" s="9">
        <v>1.3390000000000001E-5</v>
      </c>
      <c r="P1592" s="9">
        <v>4.706E-5</v>
      </c>
      <c r="Q1592" s="9">
        <v>8.0039999999999999E-5</v>
      </c>
      <c r="R1592" s="10">
        <v>2.105842666647757E-4</v>
      </c>
      <c r="S1592" s="10">
        <v>1.9029020759484994E-4</v>
      </c>
      <c r="T1592" s="10">
        <v>0</v>
      </c>
      <c r="U1592" s="10">
        <v>1.8259E-4</v>
      </c>
      <c r="V1592" s="25"/>
      <c r="W1592" s="25"/>
      <c r="X1592" s="25"/>
      <c r="Y1592" s="25"/>
      <c r="Z1592" s="25"/>
      <c r="AA1592" s="25"/>
    </row>
    <row r="1593" spans="1:27" x14ac:dyDescent="0.35">
      <c r="A1593" s="5">
        <v>1589</v>
      </c>
      <c r="B1593" s="5">
        <v>67</v>
      </c>
      <c r="C1593" s="5">
        <v>3</v>
      </c>
      <c r="D1593" s="25">
        <v>1.1416E-4</v>
      </c>
      <c r="E1593" s="25">
        <v>1.1423E-4</v>
      </c>
      <c r="F1593" s="25">
        <v>1.2689E-4</v>
      </c>
      <c r="G1593" s="25">
        <v>5.842E-5</v>
      </c>
      <c r="H1593" s="25">
        <v>7.4989999999999999E-5</v>
      </c>
      <c r="I1593" s="9">
        <v>1.0207E-4</v>
      </c>
      <c r="J1593" s="9">
        <v>9.3460000000000003E-5</v>
      </c>
      <c r="K1593" s="9">
        <v>2.4372E-4</v>
      </c>
      <c r="L1593" s="9">
        <v>1.448E-5</v>
      </c>
      <c r="M1593" s="9">
        <v>4.337E-5</v>
      </c>
      <c r="N1593" s="9">
        <v>6.4319999999999994E-5</v>
      </c>
      <c r="O1593" s="9">
        <v>1.9009999999999999E-5</v>
      </c>
      <c r="P1593" s="9">
        <v>5.694E-5</v>
      </c>
      <c r="Q1593" s="9">
        <v>9.4160000000000006E-5</v>
      </c>
      <c r="R1593" s="10">
        <v>2.1046800141033987E-4</v>
      </c>
      <c r="S1593" s="10">
        <v>1.902902040242433E-4</v>
      </c>
      <c r="T1593" s="10">
        <v>0</v>
      </c>
      <c r="U1593" s="10">
        <v>1.8259E-4</v>
      </c>
      <c r="V1593" s="25"/>
      <c r="W1593" s="25"/>
      <c r="X1593" s="25"/>
      <c r="Y1593" s="25"/>
      <c r="Z1593" s="25"/>
      <c r="AA1593" s="25"/>
    </row>
    <row r="1594" spans="1:27" x14ac:dyDescent="0.35">
      <c r="A1594" s="5">
        <v>1590</v>
      </c>
      <c r="B1594" s="5">
        <v>67</v>
      </c>
      <c r="C1594" s="5">
        <v>3</v>
      </c>
      <c r="D1594" s="25">
        <v>1.1415000000000001E-4</v>
      </c>
      <c r="E1594" s="25">
        <v>1.2297999999999999E-4</v>
      </c>
      <c r="F1594" s="25">
        <v>1.1349999999999999E-4</v>
      </c>
      <c r="G1594" s="25">
        <v>1.1361E-4</v>
      </c>
      <c r="H1594" s="25">
        <v>1.2627E-4</v>
      </c>
      <c r="I1594" s="9">
        <v>1.0842E-4</v>
      </c>
      <c r="J1594" s="9">
        <v>9.7609999999999995E-5</v>
      </c>
      <c r="K1594" s="9">
        <v>2.4372E-4</v>
      </c>
      <c r="L1594" s="9">
        <v>1.7880000000000002E-5</v>
      </c>
      <c r="M1594" s="9">
        <v>4.8420000000000001E-5</v>
      </c>
      <c r="N1594" s="9">
        <v>7.0989999999999996E-5</v>
      </c>
      <c r="O1594" s="9">
        <v>4.6619999999999997E-5</v>
      </c>
      <c r="P1594" s="9">
        <v>7.7379999999999994E-5</v>
      </c>
      <c r="Q1594" s="9">
        <v>1.0775E-4</v>
      </c>
      <c r="R1594" s="10">
        <v>2.0982117485178687E-4</v>
      </c>
      <c r="S1594" s="10">
        <v>1.902890255743427E-4</v>
      </c>
      <c r="T1594" s="10">
        <v>0</v>
      </c>
      <c r="U1594" s="10">
        <v>1.8259E-4</v>
      </c>
      <c r="V1594" s="25"/>
      <c r="W1594" s="25"/>
      <c r="X1594" s="25"/>
      <c r="Y1594" s="25"/>
      <c r="Z1594" s="25"/>
      <c r="AA1594" s="25"/>
    </row>
    <row r="1595" spans="1:27" x14ac:dyDescent="0.35">
      <c r="A1595" s="5">
        <v>1591</v>
      </c>
      <c r="B1595" s="5">
        <v>67</v>
      </c>
      <c r="C1595" s="5">
        <v>3</v>
      </c>
      <c r="D1595" s="25">
        <v>1.1416E-4</v>
      </c>
      <c r="E1595" s="25">
        <v>1.1642999999999999E-4</v>
      </c>
      <c r="F1595" s="25">
        <v>1.283E-4</v>
      </c>
      <c r="G1595" s="25">
        <v>1.1088E-4</v>
      </c>
      <c r="H1595" s="25">
        <v>1.3463E-4</v>
      </c>
      <c r="I1595" s="9">
        <v>1.2420000000000001E-4</v>
      </c>
      <c r="J1595" s="9">
        <v>1.1033E-4</v>
      </c>
      <c r="K1595" s="9">
        <v>2.4159999999999999E-4</v>
      </c>
      <c r="L1595" s="9">
        <v>4.015E-5</v>
      </c>
      <c r="M1595" s="9">
        <v>6.0269999999999997E-5</v>
      </c>
      <c r="N1595" s="9">
        <v>8.0870000000000003E-5</v>
      </c>
      <c r="O1595" s="9">
        <v>1.2218999999999999E-4</v>
      </c>
      <c r="P1595" s="9">
        <v>1.1653E-4</v>
      </c>
      <c r="Q1595" s="9">
        <v>1.1163E-4</v>
      </c>
      <c r="R1595" s="10">
        <v>2.0804490617342216E-4</v>
      </c>
      <c r="S1595" s="10">
        <v>1.9027160066394661E-4</v>
      </c>
      <c r="T1595" s="10">
        <v>0</v>
      </c>
      <c r="U1595" s="10">
        <v>1.8259E-4</v>
      </c>
      <c r="V1595" s="25"/>
      <c r="W1595" s="25"/>
      <c r="X1595" s="25"/>
      <c r="Y1595" s="25"/>
      <c r="Z1595" s="25"/>
      <c r="AA1595" s="25"/>
    </row>
    <row r="1596" spans="1:27" x14ac:dyDescent="0.35">
      <c r="A1596" s="5">
        <v>1592</v>
      </c>
      <c r="B1596" s="5">
        <v>67</v>
      </c>
      <c r="C1596" s="5">
        <v>3</v>
      </c>
      <c r="D1596" s="25">
        <v>1.1415000000000001E-4</v>
      </c>
      <c r="E1596" s="25">
        <v>1.1485999999999999E-4</v>
      </c>
      <c r="F1596" s="25">
        <v>1.3101000000000001E-4</v>
      </c>
      <c r="G1596" s="25">
        <v>1.5943000000000001E-4</v>
      </c>
      <c r="H1596" s="25">
        <v>1.9663999999999999E-4</v>
      </c>
      <c r="I1596" s="9">
        <v>1.3244E-4</v>
      </c>
      <c r="J1596" s="9">
        <v>1.2655000000000001E-4</v>
      </c>
      <c r="K1596" s="9">
        <v>2.2887999999999999E-4</v>
      </c>
      <c r="L1596" s="9">
        <v>1.0352E-4</v>
      </c>
      <c r="M1596" s="9">
        <v>8.3579999999999996E-5</v>
      </c>
      <c r="N1596" s="9">
        <v>9.0799999999999998E-5</v>
      </c>
      <c r="O1596" s="9">
        <v>2.1858000000000001E-4</v>
      </c>
      <c r="P1596" s="9">
        <v>1.7637999999999999E-4</v>
      </c>
      <c r="Q1596" s="9">
        <v>1.3626E-4</v>
      </c>
      <c r="R1596" s="10">
        <v>2.0568013897441062E-4</v>
      </c>
      <c r="S1596" s="10">
        <v>1.9023478698114497E-4</v>
      </c>
      <c r="T1596" s="10">
        <v>9.1791634669191878E-5</v>
      </c>
      <c r="U1596" s="10">
        <v>1.8259E-4</v>
      </c>
      <c r="V1596" s="25"/>
      <c r="W1596" s="25"/>
      <c r="X1596" s="25"/>
      <c r="Y1596" s="25"/>
      <c r="Z1596" s="25"/>
      <c r="AA1596" s="25"/>
    </row>
    <row r="1597" spans="1:27" x14ac:dyDescent="0.35">
      <c r="A1597" s="5">
        <v>1593</v>
      </c>
      <c r="B1597" s="5">
        <v>67</v>
      </c>
      <c r="C1597" s="5">
        <v>3</v>
      </c>
      <c r="D1597" s="25">
        <v>1.1416E-4</v>
      </c>
      <c r="E1597" s="25">
        <v>1.1616E-4</v>
      </c>
      <c r="F1597" s="25">
        <v>1.1747E-4</v>
      </c>
      <c r="G1597" s="25">
        <v>1.6246000000000001E-4</v>
      </c>
      <c r="H1597" s="25">
        <v>1.9766E-4</v>
      </c>
      <c r="I1597" s="9">
        <v>1.3704E-4</v>
      </c>
      <c r="J1597" s="9">
        <v>1.3606999999999999E-4</v>
      </c>
      <c r="K1597" s="9">
        <v>2.2253E-4</v>
      </c>
      <c r="L1597" s="9">
        <v>1.9153E-4</v>
      </c>
      <c r="M1597" s="9">
        <v>1.2300000000000001E-4</v>
      </c>
      <c r="N1597" s="9">
        <v>1.0446E-4</v>
      </c>
      <c r="O1597" s="9">
        <v>2.1143E-4</v>
      </c>
      <c r="P1597" s="9">
        <v>1.9352E-4</v>
      </c>
      <c r="Q1597" s="9">
        <v>1.7723000000000001E-4</v>
      </c>
      <c r="R1597" s="10">
        <v>2.0461123338230165E-4</v>
      </c>
      <c r="S1597" s="10">
        <v>1.9012723791874607E-4</v>
      </c>
      <c r="T1597" s="10">
        <v>2.985285569341146E-4</v>
      </c>
      <c r="U1597" s="10">
        <v>1.8259E-4</v>
      </c>
      <c r="V1597" s="25"/>
      <c r="W1597" s="25"/>
      <c r="X1597" s="25"/>
      <c r="Y1597" s="25"/>
      <c r="Z1597" s="25"/>
      <c r="AA1597" s="25"/>
    </row>
    <row r="1598" spans="1:27" x14ac:dyDescent="0.35">
      <c r="A1598" s="5">
        <v>1594</v>
      </c>
      <c r="B1598" s="5">
        <v>67</v>
      </c>
      <c r="C1598" s="5">
        <v>3</v>
      </c>
      <c r="D1598" s="25">
        <v>1.1415000000000001E-4</v>
      </c>
      <c r="E1598" s="25">
        <v>1.1752999999999999E-4</v>
      </c>
      <c r="F1598" s="25">
        <v>1.2043E-4</v>
      </c>
      <c r="G1598" s="25">
        <v>1.6234999999999999E-4</v>
      </c>
      <c r="H1598" s="25">
        <v>1.8903999999999999E-4</v>
      </c>
      <c r="I1598" s="9">
        <v>1.4245999999999999E-4</v>
      </c>
      <c r="J1598" s="9">
        <v>1.3929E-4</v>
      </c>
      <c r="K1598" s="9">
        <v>2.1193000000000001E-4</v>
      </c>
      <c r="L1598" s="9">
        <v>2.0474999999999999E-4</v>
      </c>
      <c r="M1598" s="9">
        <v>1.5838000000000001E-4</v>
      </c>
      <c r="N1598" s="9">
        <v>1.2455999999999999E-4</v>
      </c>
      <c r="O1598" s="9">
        <v>1.6579999999999999E-4</v>
      </c>
      <c r="P1598" s="9">
        <v>1.7285E-4</v>
      </c>
      <c r="Q1598" s="9">
        <v>1.808E-4</v>
      </c>
      <c r="R1598" s="10">
        <v>2.0189483535225489E-4</v>
      </c>
      <c r="S1598" s="10">
        <v>1.8976493549370727E-4</v>
      </c>
      <c r="T1598" s="10">
        <v>4.9373531638219358E-4</v>
      </c>
      <c r="U1598" s="10">
        <v>1.8259E-4</v>
      </c>
      <c r="V1598" s="25"/>
      <c r="W1598" s="25"/>
      <c r="X1598" s="25"/>
      <c r="Y1598" s="25"/>
      <c r="Z1598" s="25"/>
      <c r="AA1598" s="25"/>
    </row>
    <row r="1599" spans="1:27" x14ac:dyDescent="0.35">
      <c r="A1599" s="5">
        <v>1595</v>
      </c>
      <c r="B1599" s="5">
        <v>67</v>
      </c>
      <c r="C1599" s="5">
        <v>3</v>
      </c>
      <c r="D1599" s="25">
        <v>1.1416E-4</v>
      </c>
      <c r="E1599" s="25">
        <v>1.1467E-4</v>
      </c>
      <c r="F1599" s="25">
        <v>1.1967E-4</v>
      </c>
      <c r="G1599" s="25">
        <v>1.6273000000000001E-4</v>
      </c>
      <c r="H1599" s="25">
        <v>2.0034999999999999E-4</v>
      </c>
      <c r="I1599" s="9">
        <v>1.4378000000000001E-4</v>
      </c>
      <c r="J1599" s="9">
        <v>1.3704E-4</v>
      </c>
      <c r="K1599" s="9">
        <v>1.8861999999999999E-4</v>
      </c>
      <c r="L1599" s="9">
        <v>1.7441000000000001E-4</v>
      </c>
      <c r="M1599" s="9">
        <v>1.7181E-4</v>
      </c>
      <c r="N1599" s="9">
        <v>1.4234E-4</v>
      </c>
      <c r="O1599" s="9">
        <v>1.6678999999999999E-4</v>
      </c>
      <c r="P1599" s="9">
        <v>1.7254E-4</v>
      </c>
      <c r="Q1599" s="9">
        <v>1.7920999999999999E-4</v>
      </c>
      <c r="R1599" s="10">
        <v>1.8694946810398827E-4</v>
      </c>
      <c r="S1599" s="10">
        <v>1.8801337742307834E-4</v>
      </c>
      <c r="T1599" s="10">
        <v>6.2045681147592218E-4</v>
      </c>
      <c r="U1599" s="10">
        <v>1.8259E-4</v>
      </c>
      <c r="V1599" s="25"/>
      <c r="W1599" s="25"/>
      <c r="X1599" s="25"/>
      <c r="Y1599" s="25"/>
      <c r="Z1599" s="25"/>
      <c r="AA1599" s="25"/>
    </row>
    <row r="1600" spans="1:27" x14ac:dyDescent="0.35">
      <c r="A1600" s="5">
        <v>1596</v>
      </c>
      <c r="B1600" s="5">
        <v>67</v>
      </c>
      <c r="C1600" s="5">
        <v>3</v>
      </c>
      <c r="D1600" s="25">
        <v>1.1415000000000001E-4</v>
      </c>
      <c r="E1600" s="25">
        <v>1.2339999999999999E-4</v>
      </c>
      <c r="F1600" s="25">
        <v>1.1516E-4</v>
      </c>
      <c r="G1600" s="25">
        <v>1.5880000000000001E-4</v>
      </c>
      <c r="H1600" s="25">
        <v>1.9764000000000001E-4</v>
      </c>
      <c r="I1600" s="9">
        <v>1.4495999999999999E-4</v>
      </c>
      <c r="J1600" s="9">
        <v>1.3494000000000001E-4</v>
      </c>
      <c r="K1600" s="9">
        <v>1.8226000000000001E-4</v>
      </c>
      <c r="L1600" s="9">
        <v>1.6991E-4</v>
      </c>
      <c r="M1600" s="9">
        <v>1.7430000000000001E-4</v>
      </c>
      <c r="N1600" s="9">
        <v>1.5635000000000001E-4</v>
      </c>
      <c r="O1600" s="9">
        <v>1.695E-4</v>
      </c>
      <c r="P1600" s="9">
        <v>1.7116000000000001E-4</v>
      </c>
      <c r="Q1600" s="9">
        <v>1.7383000000000001E-4</v>
      </c>
      <c r="R1600" s="10">
        <v>1.0938404851105307E-4</v>
      </c>
      <c r="S1600" s="10">
        <v>1.7778967074531902E-4</v>
      </c>
      <c r="T1600" s="10">
        <v>6.6993724528595345E-4</v>
      </c>
      <c r="U1600" s="10">
        <v>1.8259E-4</v>
      </c>
      <c r="V1600" s="25"/>
      <c r="W1600" s="25"/>
      <c r="X1600" s="25"/>
      <c r="Y1600" s="25"/>
      <c r="Z1600" s="25"/>
      <c r="AA1600" s="25"/>
    </row>
    <row r="1601" spans="1:27" x14ac:dyDescent="0.35">
      <c r="A1601" s="5">
        <v>1597</v>
      </c>
      <c r="B1601" s="5">
        <v>67</v>
      </c>
      <c r="C1601" s="5">
        <v>3</v>
      </c>
      <c r="D1601" s="25">
        <v>1.1416E-4</v>
      </c>
      <c r="E1601" s="25">
        <v>1.1834E-4</v>
      </c>
      <c r="F1601" s="25">
        <v>1.2296E-4</v>
      </c>
      <c r="G1601" s="25">
        <v>1.6449999999999999E-4</v>
      </c>
      <c r="H1601" s="25">
        <v>1.9117E-4</v>
      </c>
      <c r="I1601" s="9">
        <v>1.4134E-4</v>
      </c>
      <c r="J1601" s="9">
        <v>1.3266999999999999E-4</v>
      </c>
      <c r="K1601" s="9">
        <v>1.9285999999999999E-4</v>
      </c>
      <c r="L1601" s="9">
        <v>1.6974000000000001E-4</v>
      </c>
      <c r="M1601" s="9">
        <v>1.7333999999999999E-4</v>
      </c>
      <c r="N1601" s="9">
        <v>1.6581000000000001E-4</v>
      </c>
      <c r="O1601" s="9">
        <v>1.6066999999999999E-4</v>
      </c>
      <c r="P1601" s="9">
        <v>1.6312999999999999E-4</v>
      </c>
      <c r="Q1601" s="9">
        <v>1.6651E-4</v>
      </c>
      <c r="R1601" s="10">
        <v>9.677476269125506E-5</v>
      </c>
      <c r="S1601" s="10">
        <v>1.7402066962647636E-4</v>
      </c>
      <c r="T1601" s="10">
        <v>6.5900098342361975E-4</v>
      </c>
      <c r="U1601" s="10">
        <v>1.8259E-4</v>
      </c>
      <c r="V1601" s="25"/>
      <c r="W1601" s="25"/>
      <c r="X1601" s="25"/>
      <c r="Y1601" s="25"/>
      <c r="Z1601" s="25"/>
      <c r="AA1601" s="25"/>
    </row>
    <row r="1602" spans="1:27" x14ac:dyDescent="0.35">
      <c r="A1602" s="5">
        <v>1598</v>
      </c>
      <c r="B1602" s="5">
        <v>67</v>
      </c>
      <c r="C1602" s="5">
        <v>3</v>
      </c>
      <c r="D1602" s="25">
        <v>1.1415000000000001E-4</v>
      </c>
      <c r="E1602" s="25">
        <v>1.2084E-4</v>
      </c>
      <c r="F1602" s="25">
        <v>1.2401E-4</v>
      </c>
      <c r="G1602" s="25">
        <v>1.6422E-4</v>
      </c>
      <c r="H1602" s="25">
        <v>2.0168000000000001E-4</v>
      </c>
      <c r="I1602" s="9">
        <v>1.4224999999999999E-4</v>
      </c>
      <c r="J1602" s="9">
        <v>1.3305000000000001E-4</v>
      </c>
      <c r="K1602" s="9">
        <v>1.9285999999999999E-4</v>
      </c>
      <c r="L1602" s="9">
        <v>1.6239999999999999E-4</v>
      </c>
      <c r="M1602" s="9">
        <v>1.6939E-4</v>
      </c>
      <c r="N1602" s="9">
        <v>1.6998E-4</v>
      </c>
      <c r="O1602" s="9">
        <v>1.7678999999999999E-4</v>
      </c>
      <c r="P1602" s="9">
        <v>1.6759000000000001E-4</v>
      </c>
      <c r="Q1602" s="9">
        <v>1.5961999999999999E-4</v>
      </c>
      <c r="R1602" s="10">
        <v>9.674400507913711E-5</v>
      </c>
      <c r="S1602" s="10">
        <v>1.7435402328861132E-4</v>
      </c>
      <c r="T1602" s="10">
        <v>6.1730065211766921E-4</v>
      </c>
      <c r="U1602" s="10">
        <v>1.8259E-4</v>
      </c>
      <c r="V1602" s="25"/>
      <c r="W1602" s="25"/>
      <c r="X1602" s="25"/>
      <c r="Y1602" s="25"/>
      <c r="Z1602" s="25"/>
      <c r="AA1602" s="25"/>
    </row>
    <row r="1603" spans="1:27" x14ac:dyDescent="0.35">
      <c r="A1603" s="5">
        <v>1599</v>
      </c>
      <c r="B1603" s="5">
        <v>67</v>
      </c>
      <c r="C1603" s="5">
        <v>3</v>
      </c>
      <c r="D1603" s="25">
        <v>1.1416E-4</v>
      </c>
      <c r="E1603" s="25">
        <v>1.2037E-4</v>
      </c>
      <c r="F1603" s="25">
        <v>1.2224E-4</v>
      </c>
      <c r="G1603" s="25">
        <v>1.6639000000000001E-4</v>
      </c>
      <c r="H1603" s="25">
        <v>1.9237E-4</v>
      </c>
      <c r="I1603" s="9">
        <v>1.4022000000000001E-4</v>
      </c>
      <c r="J1603" s="9">
        <v>1.3233E-4</v>
      </c>
      <c r="K1603" s="9">
        <v>2.0981E-4</v>
      </c>
      <c r="L1603" s="9">
        <v>1.738E-4</v>
      </c>
      <c r="M1603" s="9">
        <v>1.6761E-4</v>
      </c>
      <c r="N1603" s="9">
        <v>1.6932000000000001E-4</v>
      </c>
      <c r="O1603" s="9">
        <v>1.8306E-4</v>
      </c>
      <c r="P1603" s="9">
        <v>1.6699999999999999E-4</v>
      </c>
      <c r="Q1603" s="9">
        <v>1.5233E-4</v>
      </c>
      <c r="R1603" s="10">
        <v>9.6146115802137137E-5</v>
      </c>
      <c r="S1603" s="10">
        <v>1.8012105987615882E-4</v>
      </c>
      <c r="T1603" s="10">
        <v>5.2527994136602346E-4</v>
      </c>
      <c r="U1603" s="10">
        <v>1.8259E-4</v>
      </c>
      <c r="V1603" s="25"/>
      <c r="W1603" s="25"/>
      <c r="X1603" s="25"/>
      <c r="Y1603" s="25"/>
      <c r="Z1603" s="25"/>
      <c r="AA1603" s="25"/>
    </row>
    <row r="1604" spans="1:27" x14ac:dyDescent="0.35">
      <c r="A1604" s="5">
        <v>1600</v>
      </c>
      <c r="B1604" s="5">
        <v>67</v>
      </c>
      <c r="C1604" s="5">
        <v>3</v>
      </c>
      <c r="D1604" s="25">
        <v>1.1415000000000001E-4</v>
      </c>
      <c r="E1604" s="25">
        <v>1.1663E-4</v>
      </c>
      <c r="F1604" s="25">
        <v>1.2787000000000001E-4</v>
      </c>
      <c r="G1604" s="25">
        <v>1.6348E-4</v>
      </c>
      <c r="H1604" s="25">
        <v>1.974E-4</v>
      </c>
      <c r="I1604" s="9">
        <v>1.3667E-4</v>
      </c>
      <c r="J1604" s="9">
        <v>1.3233E-4</v>
      </c>
      <c r="K1604" s="9">
        <v>1.9921000000000001E-4</v>
      </c>
      <c r="L1604" s="9">
        <v>1.8073000000000001E-4</v>
      </c>
      <c r="M1604" s="9">
        <v>1.6702000000000001E-4</v>
      </c>
      <c r="N1604" s="9">
        <v>1.6551000000000001E-4</v>
      </c>
      <c r="O1604" s="9">
        <v>1.9819999999999999E-4</v>
      </c>
      <c r="P1604" s="9">
        <v>1.5332E-4</v>
      </c>
      <c r="Q1604" s="9">
        <v>1.1038E-4</v>
      </c>
      <c r="R1604" s="10">
        <v>9.8130074993480078E-5</v>
      </c>
      <c r="S1604" s="10">
        <v>1.8062930186295295E-4</v>
      </c>
      <c r="T1604" s="10">
        <v>3.5548365847162133E-4</v>
      </c>
      <c r="U1604" s="10">
        <v>1.8259E-4</v>
      </c>
      <c r="V1604" s="25"/>
      <c r="W1604" s="25"/>
      <c r="X1604" s="25"/>
      <c r="Y1604" s="25"/>
      <c r="Z1604" s="25"/>
      <c r="AA1604" s="25"/>
    </row>
    <row r="1605" spans="1:27" x14ac:dyDescent="0.35">
      <c r="A1605" s="5">
        <v>1601</v>
      </c>
      <c r="B1605" s="5">
        <v>67</v>
      </c>
      <c r="C1605" s="5">
        <v>3</v>
      </c>
      <c r="D1605" s="25">
        <v>1.1416E-4</v>
      </c>
      <c r="E1605" s="25">
        <v>1.2178E-4</v>
      </c>
      <c r="F1605" s="25">
        <v>1.1529E-4</v>
      </c>
      <c r="G1605" s="25">
        <v>1.6294000000000001E-4</v>
      </c>
      <c r="H1605" s="25">
        <v>1.9636999999999999E-4</v>
      </c>
      <c r="I1605" s="9">
        <v>1.3463E-4</v>
      </c>
      <c r="J1605" s="9">
        <v>1.3411E-4</v>
      </c>
      <c r="K1605" s="9">
        <v>2.0557999999999999E-4</v>
      </c>
      <c r="L1605" s="9">
        <v>1.9411E-4</v>
      </c>
      <c r="M1605" s="9">
        <v>1.6206E-4</v>
      </c>
      <c r="N1605" s="9">
        <v>1.5205000000000001E-4</v>
      </c>
      <c r="O1605" s="9">
        <v>2.1284E-4</v>
      </c>
      <c r="P1605" s="9">
        <v>1.5867999999999999E-4</v>
      </c>
      <c r="Q1605" s="9">
        <v>1.0674E-4</v>
      </c>
      <c r="R1605" s="10">
        <v>9.3726849909462853E-5</v>
      </c>
      <c r="S1605" s="10">
        <v>1.7822891542053549E-4</v>
      </c>
      <c r="T1605" s="10">
        <v>1.367159997281965E-4</v>
      </c>
      <c r="U1605" s="10">
        <v>1.8259E-4</v>
      </c>
      <c r="V1605" s="25"/>
      <c r="W1605" s="25"/>
      <c r="X1605" s="25"/>
      <c r="Y1605" s="25"/>
      <c r="Z1605" s="25"/>
      <c r="AA1605" s="25"/>
    </row>
    <row r="1606" spans="1:27" x14ac:dyDescent="0.35">
      <c r="A1606" s="5">
        <v>1602</v>
      </c>
      <c r="B1606" s="5">
        <v>67</v>
      </c>
      <c r="C1606" s="5">
        <v>3</v>
      </c>
      <c r="D1606" s="25">
        <v>1.1415000000000001E-4</v>
      </c>
      <c r="E1606" s="25">
        <v>1.1929E-4</v>
      </c>
      <c r="F1606" s="25">
        <v>1.2261999999999999E-4</v>
      </c>
      <c r="G1606" s="25">
        <v>1.6713000000000001E-4</v>
      </c>
      <c r="H1606" s="25">
        <v>1.9049E-4</v>
      </c>
      <c r="I1606" s="9">
        <v>1.3521E-4</v>
      </c>
      <c r="J1606" s="9">
        <v>1.3647999999999999E-4</v>
      </c>
      <c r="K1606" s="9">
        <v>2.0557999999999999E-4</v>
      </c>
      <c r="L1606" s="9">
        <v>2.0844E-4</v>
      </c>
      <c r="M1606" s="9">
        <v>1.5945999999999999E-4</v>
      </c>
      <c r="N1606" s="9">
        <v>1.3873999999999999E-4</v>
      </c>
      <c r="O1606" s="9">
        <v>2.0421999999999999E-4</v>
      </c>
      <c r="P1606" s="9">
        <v>1.5969000000000001E-4</v>
      </c>
      <c r="Q1606" s="9">
        <v>1.1716E-4</v>
      </c>
      <c r="R1606" s="10">
        <v>8.667801057477608E-5</v>
      </c>
      <c r="S1606" s="10">
        <v>1.7888397430155769E-4</v>
      </c>
      <c r="T1606" s="10">
        <v>0</v>
      </c>
      <c r="U1606" s="10">
        <v>1.8259E-4</v>
      </c>
      <c r="V1606" s="25"/>
      <c r="W1606" s="25"/>
      <c r="X1606" s="25"/>
      <c r="Y1606" s="25"/>
      <c r="Z1606" s="25"/>
      <c r="AA1606" s="25"/>
    </row>
    <row r="1607" spans="1:27" x14ac:dyDescent="0.35">
      <c r="A1607" s="5">
        <v>1603</v>
      </c>
      <c r="B1607" s="5">
        <v>67</v>
      </c>
      <c r="C1607" s="5">
        <v>3</v>
      </c>
      <c r="D1607" s="25">
        <v>1.1416E-4</v>
      </c>
      <c r="E1607" s="25">
        <v>1.2202E-4</v>
      </c>
      <c r="F1607" s="25">
        <v>1.2567000000000001E-4</v>
      </c>
      <c r="G1607" s="25">
        <v>1.0705E-4</v>
      </c>
      <c r="H1607" s="25">
        <v>1.3883E-4</v>
      </c>
      <c r="I1607" s="9">
        <v>1.3893999999999999E-4</v>
      </c>
      <c r="J1607" s="9">
        <v>1.3636E-4</v>
      </c>
      <c r="K1607" s="9">
        <v>2.0769000000000001E-4</v>
      </c>
      <c r="L1607" s="9">
        <v>2.0479E-4</v>
      </c>
      <c r="M1607" s="9">
        <v>1.5901000000000001E-4</v>
      </c>
      <c r="N1607" s="9">
        <v>1.2968999999999999E-4</v>
      </c>
      <c r="O1607" s="9">
        <v>1.6514000000000001E-4</v>
      </c>
      <c r="P1607" s="9">
        <v>1.3569E-4</v>
      </c>
      <c r="Q1607" s="9">
        <v>1.077E-4</v>
      </c>
      <c r="R1607" s="10">
        <v>1.226703737799592E-4</v>
      </c>
      <c r="S1607" s="10">
        <v>1.6820702278224717E-4</v>
      </c>
      <c r="T1607" s="10">
        <v>0</v>
      </c>
      <c r="U1607" s="10">
        <v>1.8259E-4</v>
      </c>
      <c r="V1607" s="25"/>
      <c r="W1607" s="25"/>
      <c r="X1607" s="25"/>
      <c r="Y1607" s="25"/>
      <c r="Z1607" s="25"/>
      <c r="AA1607" s="25"/>
    </row>
    <row r="1608" spans="1:27" x14ac:dyDescent="0.35">
      <c r="A1608" s="5">
        <v>1604</v>
      </c>
      <c r="B1608" s="5">
        <v>67</v>
      </c>
      <c r="C1608" s="5">
        <v>3</v>
      </c>
      <c r="D1608" s="25">
        <v>1.1415000000000001E-4</v>
      </c>
      <c r="E1608" s="25">
        <v>1.1887000000000001E-4</v>
      </c>
      <c r="F1608" s="25">
        <v>1.2183E-4</v>
      </c>
      <c r="G1608" s="25">
        <v>1.1143E-4</v>
      </c>
      <c r="H1608" s="25">
        <v>1.3247000000000001E-4</v>
      </c>
      <c r="I1608" s="9">
        <v>1.4254E-4</v>
      </c>
      <c r="J1608" s="9">
        <v>1.4085000000000001E-4</v>
      </c>
      <c r="K1608" s="9">
        <v>2.0557999999999999E-4</v>
      </c>
      <c r="L1608" s="9">
        <v>1.7405E-4</v>
      </c>
      <c r="M1608" s="9">
        <v>1.5065E-4</v>
      </c>
      <c r="N1608" s="9">
        <v>1.2082999999999999E-4</v>
      </c>
      <c r="O1608" s="9">
        <v>1.2935E-4</v>
      </c>
      <c r="P1608" s="9">
        <v>1.1538E-4</v>
      </c>
      <c r="Q1608" s="9">
        <v>1.0236E-4</v>
      </c>
      <c r="R1608" s="10">
        <v>1.5578437233378098E-4</v>
      </c>
      <c r="S1608" s="10">
        <v>1.5534632435513449E-4</v>
      </c>
      <c r="T1608" s="10">
        <v>0</v>
      </c>
      <c r="U1608" s="10">
        <v>1.8259E-4</v>
      </c>
      <c r="V1608" s="25"/>
      <c r="W1608" s="25"/>
      <c r="X1608" s="25"/>
      <c r="Y1608" s="25"/>
      <c r="Z1608" s="25"/>
      <c r="AA1608" s="25"/>
    </row>
    <row r="1609" spans="1:27" x14ac:dyDescent="0.35">
      <c r="A1609" s="5">
        <v>1605</v>
      </c>
      <c r="B1609" s="5">
        <v>67</v>
      </c>
      <c r="C1609" s="5">
        <v>3</v>
      </c>
      <c r="D1609" s="25">
        <v>1.1416E-4</v>
      </c>
      <c r="E1609" s="25">
        <v>1.1673E-4</v>
      </c>
      <c r="F1609" s="25">
        <v>1.2919E-4</v>
      </c>
      <c r="G1609" s="25">
        <v>6.0269999999999997E-5</v>
      </c>
      <c r="H1609" s="25">
        <v>6.3650000000000002E-5</v>
      </c>
      <c r="I1609" s="9">
        <v>1.3619000000000001E-4</v>
      </c>
      <c r="J1609" s="9">
        <v>1.3515000000000001E-4</v>
      </c>
      <c r="K1609" s="9">
        <v>1.9709E-4</v>
      </c>
      <c r="L1609" s="9">
        <v>1.4013E-4</v>
      </c>
      <c r="M1609" s="9">
        <v>1.3562000000000001E-4</v>
      </c>
      <c r="N1609" s="9">
        <v>1.1331E-4</v>
      </c>
      <c r="O1609" s="9">
        <v>8.4829999999999999E-5</v>
      </c>
      <c r="P1609" s="9">
        <v>8.6470000000000004E-5</v>
      </c>
      <c r="Q1609" s="9">
        <v>8.8480000000000007E-5</v>
      </c>
      <c r="R1609" s="10">
        <v>1.6546842924728851E-4</v>
      </c>
      <c r="S1609" s="10">
        <v>1.430362138846869E-4</v>
      </c>
      <c r="T1609" s="10">
        <v>0</v>
      </c>
      <c r="U1609" s="10">
        <v>1.8259E-4</v>
      </c>
      <c r="V1609" s="25"/>
      <c r="W1609" s="25"/>
      <c r="X1609" s="25"/>
      <c r="Y1609" s="25"/>
      <c r="Z1609" s="25"/>
      <c r="AA1609" s="25"/>
    </row>
    <row r="1610" spans="1:27" x14ac:dyDescent="0.35">
      <c r="A1610" s="5">
        <v>1606</v>
      </c>
      <c r="B1610" s="5">
        <v>67</v>
      </c>
      <c r="C1610" s="5">
        <v>3</v>
      </c>
      <c r="D1610" s="25">
        <v>1.1415000000000001E-4</v>
      </c>
      <c r="E1610" s="25">
        <v>1.1767E-4</v>
      </c>
      <c r="F1610" s="25">
        <v>1.1184999999999999E-4</v>
      </c>
      <c r="G1610" s="25">
        <v>5.7500000000000002E-5</v>
      </c>
      <c r="H1610" s="25">
        <v>7.2539999999999993E-5</v>
      </c>
      <c r="I1610" s="9">
        <v>1.2904999999999999E-4</v>
      </c>
      <c r="J1610" s="9">
        <v>1.2695999999999999E-4</v>
      </c>
      <c r="K1610" s="9">
        <v>2.0346000000000001E-4</v>
      </c>
      <c r="L1610" s="9">
        <v>9.7910000000000003E-5</v>
      </c>
      <c r="M1610" s="9">
        <v>1.1406E-4</v>
      </c>
      <c r="N1610" s="9">
        <v>1.0577E-4</v>
      </c>
      <c r="O1610" s="9">
        <v>8.8220000000000006E-5</v>
      </c>
      <c r="P1610" s="9">
        <v>8.8469999999999998E-5</v>
      </c>
      <c r="Q1610" s="9">
        <v>8.9129999999999995E-5</v>
      </c>
      <c r="R1610" s="10">
        <v>1.5707823446877383E-4</v>
      </c>
      <c r="S1610" s="10">
        <v>1.455198892914023E-4</v>
      </c>
      <c r="T1610" s="10">
        <v>0</v>
      </c>
      <c r="U1610" s="10">
        <v>1.8259E-4</v>
      </c>
      <c r="V1610" s="25"/>
      <c r="W1610" s="25"/>
      <c r="X1610" s="25"/>
      <c r="Y1610" s="25"/>
      <c r="Z1610" s="25"/>
      <c r="AA1610" s="25"/>
    </row>
    <row r="1611" spans="1:27" x14ac:dyDescent="0.35">
      <c r="A1611" s="5">
        <v>1607</v>
      </c>
      <c r="B1611" s="5">
        <v>67</v>
      </c>
      <c r="C1611" s="5">
        <v>3</v>
      </c>
      <c r="D1611" s="25">
        <v>1.1416E-4</v>
      </c>
      <c r="E1611" s="25">
        <v>1.1457E-4</v>
      </c>
      <c r="F1611" s="25">
        <v>1.1817E-4</v>
      </c>
      <c r="G1611" s="25">
        <v>6.2550000000000003E-5</v>
      </c>
      <c r="H1611" s="25">
        <v>7.1619999999999995E-5</v>
      </c>
      <c r="I1611" s="9">
        <v>1.3009E-4</v>
      </c>
      <c r="J1611" s="9">
        <v>1.1775E-4</v>
      </c>
      <c r="K1611" s="9">
        <v>2.0557E-4</v>
      </c>
      <c r="L1611" s="9">
        <v>9.1310000000000005E-5</v>
      </c>
      <c r="M1611" s="9">
        <v>9.9539999999999999E-5</v>
      </c>
      <c r="N1611" s="9">
        <v>1.0017E-4</v>
      </c>
      <c r="O1611" s="9">
        <v>7.7880000000000007E-5</v>
      </c>
      <c r="P1611" s="9">
        <v>7.2210000000000002E-5</v>
      </c>
      <c r="Q1611" s="9">
        <v>6.6950000000000001E-5</v>
      </c>
      <c r="R1611" s="10">
        <v>1.424955819204348E-4</v>
      </c>
      <c r="S1611" s="10">
        <v>1.6483077794086394E-4</v>
      </c>
      <c r="T1611" s="10">
        <v>0</v>
      </c>
      <c r="U1611" s="10">
        <v>1.8259E-4</v>
      </c>
      <c r="V1611" s="25"/>
      <c r="W1611" s="25"/>
      <c r="X1611" s="25"/>
      <c r="Y1611" s="25"/>
      <c r="Z1611" s="25"/>
      <c r="AA1611" s="25"/>
    </row>
    <row r="1612" spans="1:27" x14ac:dyDescent="0.35">
      <c r="A1612" s="5">
        <v>1608</v>
      </c>
      <c r="B1612" s="5">
        <v>67</v>
      </c>
      <c r="C1612" s="5">
        <v>3</v>
      </c>
      <c r="D1612" s="25">
        <v>1.1415000000000001E-4</v>
      </c>
      <c r="E1612" s="25">
        <v>1.2407999999999999E-4</v>
      </c>
      <c r="F1612" s="25">
        <v>1.144E-4</v>
      </c>
      <c r="G1612" s="25">
        <v>5.783E-5</v>
      </c>
      <c r="H1612" s="25">
        <v>6.6859999999999993E-5</v>
      </c>
      <c r="I1612" s="9">
        <v>1.2910999999999999E-4</v>
      </c>
      <c r="J1612" s="9">
        <v>1.0919E-4</v>
      </c>
      <c r="K1612" s="9">
        <v>2.1193000000000001E-4</v>
      </c>
      <c r="L1612" s="9">
        <v>8.0809999999999994E-5</v>
      </c>
      <c r="M1612" s="9">
        <v>8.6520000000000005E-5</v>
      </c>
      <c r="N1612" s="9">
        <v>9.0890000000000006E-5</v>
      </c>
      <c r="O1612" s="9">
        <v>6.2650000000000005E-5</v>
      </c>
      <c r="P1612" s="9">
        <v>6.0590000000000001E-5</v>
      </c>
      <c r="Q1612" s="9">
        <v>5.8780000000000003E-5</v>
      </c>
      <c r="R1612" s="10">
        <v>1.0867312147719033E-4</v>
      </c>
      <c r="S1612" s="10">
        <v>1.639385585844169E-4</v>
      </c>
      <c r="T1612" s="10">
        <v>0</v>
      </c>
      <c r="U1612" s="10">
        <v>1.8259E-4</v>
      </c>
      <c r="V1612" s="25"/>
      <c r="W1612" s="25"/>
      <c r="X1612" s="25"/>
      <c r="Y1612" s="25"/>
      <c r="Z1612" s="25"/>
      <c r="AA1612" s="25"/>
    </row>
    <row r="1613" spans="1:27" x14ac:dyDescent="0.35">
      <c r="A1613" s="5">
        <v>1609</v>
      </c>
      <c r="B1613" s="5">
        <v>68</v>
      </c>
      <c r="C1613" s="5">
        <v>3</v>
      </c>
      <c r="D1613" s="25">
        <v>1.1416E-4</v>
      </c>
      <c r="E1613" s="25">
        <v>1.0704000000000001E-4</v>
      </c>
      <c r="F1613" s="25">
        <v>1.0375E-4</v>
      </c>
      <c r="G1613" s="25">
        <v>5.3510000000000001E-5</v>
      </c>
      <c r="H1613" s="25">
        <v>6.7780000000000005E-5</v>
      </c>
      <c r="I1613" s="9">
        <v>1.2238E-4</v>
      </c>
      <c r="J1613" s="9">
        <v>1.0202E-4</v>
      </c>
      <c r="K1613" s="9">
        <v>2.2677E-4</v>
      </c>
      <c r="L1613" s="9">
        <v>6.6649999999999994E-5</v>
      </c>
      <c r="M1613" s="9">
        <v>7.4190000000000006E-5</v>
      </c>
      <c r="N1613" s="9">
        <v>8.1409999999999995E-5</v>
      </c>
      <c r="O1613" s="9">
        <v>5.4079999999999997E-5</v>
      </c>
      <c r="P1613" s="9">
        <v>5.3510000000000001E-5</v>
      </c>
      <c r="Q1613" s="9">
        <v>5.3090000000000002E-5</v>
      </c>
      <c r="R1613" s="10">
        <v>9.3552098233039041E-5</v>
      </c>
      <c r="S1613" s="10">
        <v>1.6615477322115102E-4</v>
      </c>
      <c r="T1613" s="10">
        <v>0</v>
      </c>
      <c r="U1613" s="10">
        <v>1.8111000000000001E-4</v>
      </c>
      <c r="V1613" s="25"/>
      <c r="W1613" s="25"/>
      <c r="X1613" s="25"/>
      <c r="Y1613" s="25"/>
      <c r="Z1613" s="25"/>
      <c r="AA1613" s="25"/>
    </row>
    <row r="1614" spans="1:27" x14ac:dyDescent="0.35">
      <c r="A1614" s="5">
        <v>1610</v>
      </c>
      <c r="B1614" s="5">
        <v>68</v>
      </c>
      <c r="C1614" s="5">
        <v>3</v>
      </c>
      <c r="D1614" s="25">
        <v>1.1415000000000001E-4</v>
      </c>
      <c r="E1614" s="25">
        <v>1.0982E-4</v>
      </c>
      <c r="F1614" s="25">
        <v>8.6260000000000004E-5</v>
      </c>
      <c r="G1614" s="25">
        <v>5.9120000000000003E-5</v>
      </c>
      <c r="H1614" s="25">
        <v>7.4369999999999994E-5</v>
      </c>
      <c r="I1614" s="9">
        <v>1.1715E-4</v>
      </c>
      <c r="J1614" s="9">
        <v>9.768E-5</v>
      </c>
      <c r="K1614" s="9">
        <v>2.2677E-4</v>
      </c>
      <c r="L1614" s="9">
        <v>5.7240000000000001E-5</v>
      </c>
      <c r="M1614" s="9">
        <v>6.3800000000000006E-5</v>
      </c>
      <c r="N1614" s="9">
        <v>7.2169999999999995E-5</v>
      </c>
      <c r="O1614" s="9">
        <v>1.8770000000000002E-5</v>
      </c>
      <c r="P1614" s="9">
        <v>3.7490000000000002E-5</v>
      </c>
      <c r="Q1614" s="9">
        <v>5.5789999999999999E-5</v>
      </c>
      <c r="R1614" s="10">
        <v>9.3379756223080428E-5</v>
      </c>
      <c r="S1614" s="10">
        <v>1.450299205958895E-4</v>
      </c>
      <c r="T1614" s="10">
        <v>0</v>
      </c>
      <c r="U1614" s="10">
        <v>1.8111000000000001E-4</v>
      </c>
      <c r="V1614" s="25"/>
      <c r="W1614" s="25"/>
      <c r="X1614" s="25"/>
      <c r="Y1614" s="25"/>
      <c r="Z1614" s="25"/>
      <c r="AA1614" s="25"/>
    </row>
    <row r="1615" spans="1:27" x14ac:dyDescent="0.35">
      <c r="A1615" s="5">
        <v>1611</v>
      </c>
      <c r="B1615" s="5">
        <v>68</v>
      </c>
      <c r="C1615" s="5">
        <v>3</v>
      </c>
      <c r="D1615" s="25">
        <v>1.1416E-4</v>
      </c>
      <c r="E1615" s="25">
        <v>1.1265E-4</v>
      </c>
      <c r="F1615" s="25">
        <v>1.0291E-4</v>
      </c>
      <c r="G1615" s="25">
        <v>5.5430000000000003E-5</v>
      </c>
      <c r="H1615" s="25">
        <v>7.5080000000000006E-5</v>
      </c>
      <c r="I1615" s="9">
        <v>1.1229E-4</v>
      </c>
      <c r="J1615" s="9">
        <v>9.5669999999999997E-5</v>
      </c>
      <c r="K1615" s="9">
        <v>2.2677E-4</v>
      </c>
      <c r="L1615" s="9">
        <v>2.7440000000000002E-5</v>
      </c>
      <c r="M1615" s="9">
        <v>5.1959999999999997E-5</v>
      </c>
      <c r="N1615" s="9">
        <v>6.5450000000000005E-5</v>
      </c>
      <c r="O1615" s="9">
        <v>1.33E-5</v>
      </c>
      <c r="P1615" s="9">
        <v>3.7410000000000003E-5</v>
      </c>
      <c r="Q1615" s="9">
        <v>6.0980000000000002E-5</v>
      </c>
      <c r="R1615" s="10">
        <v>7.443848685167457E-5</v>
      </c>
      <c r="S1615" s="10">
        <v>1.2101206488041059E-4</v>
      </c>
      <c r="T1615" s="10">
        <v>0</v>
      </c>
      <c r="U1615" s="10">
        <v>1.8111000000000001E-4</v>
      </c>
      <c r="V1615" s="25"/>
      <c r="W1615" s="25"/>
      <c r="X1615" s="25"/>
      <c r="Y1615" s="25"/>
      <c r="Z1615" s="25"/>
      <c r="AA1615" s="25"/>
    </row>
    <row r="1616" spans="1:27" x14ac:dyDescent="0.35">
      <c r="A1616" s="5">
        <v>1612</v>
      </c>
      <c r="B1616" s="5">
        <v>68</v>
      </c>
      <c r="C1616" s="5">
        <v>3</v>
      </c>
      <c r="D1616" s="25">
        <v>1.1415000000000001E-4</v>
      </c>
      <c r="E1616" s="25">
        <v>1.1089E-4</v>
      </c>
      <c r="F1616" s="25">
        <v>9.4060000000000004E-5</v>
      </c>
      <c r="G1616" s="25">
        <v>5.3720000000000001E-5</v>
      </c>
      <c r="H1616" s="25">
        <v>7.381E-5</v>
      </c>
      <c r="I1616" s="9">
        <v>1.105E-4</v>
      </c>
      <c r="J1616" s="9">
        <v>9.5530000000000002E-5</v>
      </c>
      <c r="K1616" s="9">
        <v>2.2889000000000001E-4</v>
      </c>
      <c r="L1616" s="9">
        <v>1.715E-5</v>
      </c>
      <c r="M1616" s="9">
        <v>4.3900000000000003E-5</v>
      </c>
      <c r="N1616" s="9">
        <v>6.1680000000000006E-5</v>
      </c>
      <c r="O1616" s="9">
        <v>1.3570000000000001E-5</v>
      </c>
      <c r="P1616" s="9">
        <v>4.7689999999999999E-5</v>
      </c>
      <c r="Q1616" s="9">
        <v>8.1110000000000001E-5</v>
      </c>
      <c r="R1616" s="10">
        <v>8.0999756397565325E-5</v>
      </c>
      <c r="S1616" s="10">
        <v>1.1858632812098005E-4</v>
      </c>
      <c r="T1616" s="10">
        <v>0</v>
      </c>
      <c r="U1616" s="10">
        <v>1.8111000000000001E-4</v>
      </c>
      <c r="V1616" s="25"/>
      <c r="W1616" s="25"/>
      <c r="X1616" s="25"/>
      <c r="Y1616" s="25"/>
      <c r="Z1616" s="25"/>
      <c r="AA1616" s="25"/>
    </row>
    <row r="1617" spans="1:27" x14ac:dyDescent="0.35">
      <c r="A1617" s="5">
        <v>1613</v>
      </c>
      <c r="B1617" s="5">
        <v>68</v>
      </c>
      <c r="C1617" s="5">
        <v>3</v>
      </c>
      <c r="D1617" s="25">
        <v>1.1416E-4</v>
      </c>
      <c r="E1617" s="25">
        <v>1.12E-4</v>
      </c>
      <c r="F1617" s="25">
        <v>9.8670000000000002E-5</v>
      </c>
      <c r="G1617" s="25">
        <v>5.7309999999999998E-5</v>
      </c>
      <c r="H1617" s="25">
        <v>6.9830000000000001E-5</v>
      </c>
      <c r="I1617" s="9">
        <v>1.1019E-4</v>
      </c>
      <c r="J1617" s="9">
        <v>9.6570000000000005E-5</v>
      </c>
      <c r="K1617" s="9">
        <v>2.2677E-4</v>
      </c>
      <c r="L1617" s="9">
        <v>1.4600000000000001E-5</v>
      </c>
      <c r="M1617" s="9">
        <v>4.3460000000000001E-5</v>
      </c>
      <c r="N1617" s="9">
        <v>6.4369999999999995E-5</v>
      </c>
      <c r="O1617" s="9">
        <v>1.9089999999999998E-5</v>
      </c>
      <c r="P1617" s="9">
        <v>5.7179999999999998E-5</v>
      </c>
      <c r="Q1617" s="9">
        <v>9.4549999999999994E-5</v>
      </c>
      <c r="R1617" s="10">
        <v>1.0545860880182549E-4</v>
      </c>
      <c r="S1617" s="10">
        <v>9.2095953754071453E-5</v>
      </c>
      <c r="T1617" s="10">
        <v>0</v>
      </c>
      <c r="U1617" s="10">
        <v>1.8111000000000001E-4</v>
      </c>
      <c r="V1617" s="25"/>
      <c r="W1617" s="25"/>
      <c r="X1617" s="25"/>
      <c r="Y1617" s="25"/>
      <c r="Z1617" s="25"/>
      <c r="AA1617" s="25"/>
    </row>
    <row r="1618" spans="1:27" x14ac:dyDescent="0.35">
      <c r="A1618" s="5">
        <v>1614</v>
      </c>
      <c r="B1618" s="5">
        <v>68</v>
      </c>
      <c r="C1618" s="5">
        <v>3</v>
      </c>
      <c r="D1618" s="25">
        <v>1.1415000000000001E-4</v>
      </c>
      <c r="E1618" s="25">
        <v>1.0997000000000001E-4</v>
      </c>
      <c r="F1618" s="25">
        <v>9.7490000000000003E-5</v>
      </c>
      <c r="G1618" s="25">
        <v>1.0997000000000001E-4</v>
      </c>
      <c r="H1618" s="25">
        <v>1.3192999999999999E-4</v>
      </c>
      <c r="I1618" s="9">
        <v>1.1533E-4</v>
      </c>
      <c r="J1618" s="9">
        <v>1.0014E-4</v>
      </c>
      <c r="K1618" s="9">
        <v>2.3737000000000001E-4</v>
      </c>
      <c r="L1618" s="9">
        <v>1.7960000000000001E-5</v>
      </c>
      <c r="M1618" s="9">
        <v>4.8640000000000002E-5</v>
      </c>
      <c r="N1618" s="9">
        <v>7.114E-5</v>
      </c>
      <c r="O1618" s="9">
        <v>4.6730000000000002E-5</v>
      </c>
      <c r="P1618" s="9">
        <v>7.7570000000000004E-5</v>
      </c>
      <c r="Q1618" s="9">
        <v>1.0801E-4</v>
      </c>
      <c r="R1618" s="10">
        <v>9.8513840114879963E-5</v>
      </c>
      <c r="S1618" s="10">
        <v>5.2876819119985185E-5</v>
      </c>
      <c r="T1618" s="10">
        <v>0</v>
      </c>
      <c r="U1618" s="10">
        <v>1.8111000000000001E-4</v>
      </c>
      <c r="V1618" s="25"/>
      <c r="W1618" s="25"/>
      <c r="X1618" s="25"/>
      <c r="Y1618" s="25"/>
      <c r="Z1618" s="25"/>
      <c r="AA1618" s="25"/>
    </row>
    <row r="1619" spans="1:27" x14ac:dyDescent="0.35">
      <c r="A1619" s="5">
        <v>1615</v>
      </c>
      <c r="B1619" s="5">
        <v>68</v>
      </c>
      <c r="C1619" s="5">
        <v>3</v>
      </c>
      <c r="D1619" s="25">
        <v>1.1416E-4</v>
      </c>
      <c r="E1619" s="25">
        <v>1.1156E-4</v>
      </c>
      <c r="F1619" s="25">
        <v>8.687E-5</v>
      </c>
      <c r="G1619" s="25">
        <v>1.0809E-4</v>
      </c>
      <c r="H1619" s="25">
        <v>1.3491999999999999E-4</v>
      </c>
      <c r="I1619" s="9">
        <v>1.2898E-4</v>
      </c>
      <c r="J1619" s="9">
        <v>1.1208E-4</v>
      </c>
      <c r="K1619" s="9">
        <v>2.2889000000000001E-4</v>
      </c>
      <c r="L1619" s="9">
        <v>4.0250000000000003E-5</v>
      </c>
      <c r="M1619" s="9">
        <v>6.0510000000000002E-5</v>
      </c>
      <c r="N1619" s="9">
        <v>8.1100000000000006E-5</v>
      </c>
      <c r="O1619" s="9">
        <v>1.2379000000000001E-4</v>
      </c>
      <c r="P1619" s="9">
        <v>1.1806E-4</v>
      </c>
      <c r="Q1619" s="9">
        <v>1.1309E-4</v>
      </c>
      <c r="R1619" s="10">
        <v>8.6223391220727598E-5</v>
      </c>
      <c r="S1619" s="10">
        <v>2.378999646923629E-5</v>
      </c>
      <c r="T1619" s="10">
        <v>0</v>
      </c>
      <c r="U1619" s="10">
        <v>1.8111000000000001E-4</v>
      </c>
      <c r="V1619" s="25"/>
      <c r="W1619" s="25"/>
      <c r="X1619" s="25"/>
      <c r="Y1619" s="25"/>
      <c r="Z1619" s="25"/>
      <c r="AA1619" s="25"/>
    </row>
    <row r="1620" spans="1:27" x14ac:dyDescent="0.35">
      <c r="A1620" s="5">
        <v>1616</v>
      </c>
      <c r="B1620" s="5">
        <v>68</v>
      </c>
      <c r="C1620" s="5">
        <v>3</v>
      </c>
      <c r="D1620" s="25">
        <v>1.1415000000000001E-4</v>
      </c>
      <c r="E1620" s="25">
        <v>1.1095E-4</v>
      </c>
      <c r="F1620" s="25">
        <v>8.4859999999999997E-5</v>
      </c>
      <c r="G1620" s="25">
        <v>1.5702000000000001E-4</v>
      </c>
      <c r="H1620" s="25">
        <v>1.8890000000000001E-4</v>
      </c>
      <c r="I1620" s="9">
        <v>1.3579999999999999E-4</v>
      </c>
      <c r="J1620" s="9">
        <v>1.2703000000000001E-4</v>
      </c>
      <c r="K1620" s="9">
        <v>2.1194000000000001E-4</v>
      </c>
      <c r="L1620" s="9">
        <v>1.0479E-4</v>
      </c>
      <c r="M1620" s="9">
        <v>8.4270000000000005E-5</v>
      </c>
      <c r="N1620" s="9">
        <v>9.1349999999999998E-5</v>
      </c>
      <c r="O1620" s="9">
        <v>2.1938E-4</v>
      </c>
      <c r="P1620" s="9">
        <v>1.7703E-4</v>
      </c>
      <c r="Q1620" s="9">
        <v>1.3676000000000001E-4</v>
      </c>
      <c r="R1620" s="10">
        <v>6.9372774709101326E-5</v>
      </c>
      <c r="S1620" s="10">
        <v>1.0230553298415973E-5</v>
      </c>
      <c r="T1620" s="10">
        <v>3.5277716697892583E-5</v>
      </c>
      <c r="U1620" s="10">
        <v>1.8111000000000001E-4</v>
      </c>
      <c r="V1620" s="25"/>
      <c r="W1620" s="25"/>
      <c r="X1620" s="25"/>
      <c r="Y1620" s="25"/>
      <c r="Z1620" s="25"/>
      <c r="AA1620" s="25"/>
    </row>
    <row r="1621" spans="1:27" x14ac:dyDescent="0.35">
      <c r="A1621" s="5">
        <v>1617</v>
      </c>
      <c r="B1621" s="5">
        <v>68</v>
      </c>
      <c r="C1621" s="5">
        <v>3</v>
      </c>
      <c r="D1621" s="25">
        <v>1.1416E-4</v>
      </c>
      <c r="E1621" s="25">
        <v>1.1555E-4</v>
      </c>
      <c r="F1621" s="25">
        <v>9.4519999999999996E-5</v>
      </c>
      <c r="G1621" s="25">
        <v>1.6195000000000001E-4</v>
      </c>
      <c r="H1621" s="25">
        <v>1.9370999999999999E-4</v>
      </c>
      <c r="I1621" s="9">
        <v>1.3799999999999999E-4</v>
      </c>
      <c r="J1621" s="9">
        <v>1.3605999999999999E-4</v>
      </c>
      <c r="K1621" s="9">
        <v>1.9709999999999999E-4</v>
      </c>
      <c r="L1621" s="9">
        <v>1.9239999999999999E-4</v>
      </c>
      <c r="M1621" s="9">
        <v>1.2381E-4</v>
      </c>
      <c r="N1621" s="9">
        <v>1.0508E-4</v>
      </c>
      <c r="O1621" s="9">
        <v>2.1261000000000001E-4</v>
      </c>
      <c r="P1621" s="9">
        <v>1.9458999999999999E-4</v>
      </c>
      <c r="Q1621" s="9">
        <v>1.7820999999999999E-4</v>
      </c>
      <c r="R1621" s="10">
        <v>4.9915840791968186E-5</v>
      </c>
      <c r="S1621" s="10">
        <v>3.6484595839402357E-6</v>
      </c>
      <c r="T1621" s="10">
        <v>8.0880825704908606E-5</v>
      </c>
      <c r="U1621" s="10">
        <v>1.8111000000000001E-4</v>
      </c>
      <c r="V1621" s="25"/>
      <c r="W1621" s="25"/>
      <c r="X1621" s="25"/>
      <c r="Y1621" s="25"/>
      <c r="Z1621" s="25"/>
      <c r="AA1621" s="25"/>
    </row>
    <row r="1622" spans="1:27" x14ac:dyDescent="0.35">
      <c r="A1622" s="5">
        <v>1618</v>
      </c>
      <c r="B1622" s="5">
        <v>68</v>
      </c>
      <c r="C1622" s="5">
        <v>3</v>
      </c>
      <c r="D1622" s="25">
        <v>1.1415000000000001E-4</v>
      </c>
      <c r="E1622" s="25">
        <v>1.0878999999999999E-4</v>
      </c>
      <c r="F1622" s="25">
        <v>9.4480000000000003E-5</v>
      </c>
      <c r="G1622" s="25">
        <v>1.6684999999999999E-4</v>
      </c>
      <c r="H1622" s="25">
        <v>1.8998999999999999E-4</v>
      </c>
      <c r="I1622" s="9">
        <v>1.4150999999999999E-4</v>
      </c>
      <c r="J1622" s="9">
        <v>1.3849000000000001E-4</v>
      </c>
      <c r="K1622" s="9">
        <v>1.8013999999999999E-4</v>
      </c>
      <c r="L1622" s="9">
        <v>2.0587000000000001E-4</v>
      </c>
      <c r="M1622" s="9">
        <v>1.593E-4</v>
      </c>
      <c r="N1622" s="9">
        <v>1.2528999999999999E-4</v>
      </c>
      <c r="O1622" s="9">
        <v>1.6653999999999999E-4</v>
      </c>
      <c r="P1622" s="9">
        <v>1.7362000000000001E-4</v>
      </c>
      <c r="Q1622" s="9">
        <v>1.8160999999999999E-4</v>
      </c>
      <c r="R1622" s="10">
        <v>1.8034559521863832E-5</v>
      </c>
      <c r="S1622" s="10">
        <v>2.957744838322514E-6</v>
      </c>
      <c r="T1622" s="10">
        <v>8.6378651683800963E-5</v>
      </c>
      <c r="U1622" s="10">
        <v>1.8111000000000001E-4</v>
      </c>
      <c r="V1622" s="25"/>
      <c r="W1622" s="25"/>
      <c r="X1622" s="25"/>
      <c r="Y1622" s="25"/>
      <c r="Z1622" s="25"/>
      <c r="AA1622" s="25"/>
    </row>
    <row r="1623" spans="1:27" x14ac:dyDescent="0.35">
      <c r="A1623" s="5">
        <v>1619</v>
      </c>
      <c r="B1623" s="5">
        <v>68</v>
      </c>
      <c r="C1623" s="5">
        <v>3</v>
      </c>
      <c r="D1623" s="25">
        <v>1.1416E-4</v>
      </c>
      <c r="E1623" s="25">
        <v>1.0674E-4</v>
      </c>
      <c r="F1623" s="25">
        <v>9.7460000000000005E-5</v>
      </c>
      <c r="G1623" s="25">
        <v>1.6144999999999999E-4</v>
      </c>
      <c r="H1623" s="25">
        <v>1.8854000000000001E-4</v>
      </c>
      <c r="I1623" s="9">
        <v>1.4158000000000001E-4</v>
      </c>
      <c r="J1623" s="9">
        <v>1.3599E-4</v>
      </c>
      <c r="K1623" s="9">
        <v>1.8014999999999999E-4</v>
      </c>
      <c r="L1623" s="9">
        <v>1.7522999999999999E-4</v>
      </c>
      <c r="M1623" s="9">
        <v>1.727E-4</v>
      </c>
      <c r="N1623" s="9">
        <v>1.4312999999999999E-4</v>
      </c>
      <c r="O1623" s="9">
        <v>1.6759000000000001E-4</v>
      </c>
      <c r="P1623" s="9">
        <v>1.7337E-4</v>
      </c>
      <c r="Q1623" s="9">
        <v>1.8007E-4</v>
      </c>
      <c r="R1623" s="10">
        <v>2.5623388927879965E-6</v>
      </c>
      <c r="S1623" s="10">
        <v>9.2181975671118374E-6</v>
      </c>
      <c r="T1623" s="10">
        <v>9.4684780747590484E-5</v>
      </c>
      <c r="U1623" s="10">
        <v>1.8111000000000001E-4</v>
      </c>
      <c r="V1623" s="25"/>
      <c r="W1623" s="25"/>
      <c r="X1623" s="25"/>
      <c r="Y1623" s="25"/>
      <c r="Z1623" s="25"/>
      <c r="AA1623" s="25"/>
    </row>
    <row r="1624" spans="1:27" x14ac:dyDescent="0.35">
      <c r="A1624" s="5">
        <v>1620</v>
      </c>
      <c r="B1624" s="5">
        <v>68</v>
      </c>
      <c r="C1624" s="5">
        <v>3</v>
      </c>
      <c r="D1624" s="25">
        <v>1.1415000000000001E-4</v>
      </c>
      <c r="E1624" s="25">
        <v>1.0893E-4</v>
      </c>
      <c r="F1624" s="25">
        <v>8.4499999999999994E-5</v>
      </c>
      <c r="G1624" s="25">
        <v>1.6589999999999999E-4</v>
      </c>
      <c r="H1624" s="25">
        <v>1.8979000000000001E-4</v>
      </c>
      <c r="I1624" s="9">
        <v>1.4254E-4</v>
      </c>
      <c r="J1624" s="9">
        <v>1.3553999999999999E-4</v>
      </c>
      <c r="K1624" s="9">
        <v>1.7802000000000001E-4</v>
      </c>
      <c r="L1624" s="9">
        <v>1.7071999999999999E-4</v>
      </c>
      <c r="M1624" s="9">
        <v>1.7516E-4</v>
      </c>
      <c r="N1624" s="9">
        <v>1.5719E-4</v>
      </c>
      <c r="O1624" s="9">
        <v>1.7003E-4</v>
      </c>
      <c r="P1624" s="9">
        <v>1.717E-4</v>
      </c>
      <c r="Q1624" s="9">
        <v>1.7437E-4</v>
      </c>
      <c r="R1624" s="10">
        <v>7.7611117314057989E-7</v>
      </c>
      <c r="S1624" s="10">
        <v>3.2996274974670292E-5</v>
      </c>
      <c r="T1624" s="10">
        <v>1.1430048084511999E-4</v>
      </c>
      <c r="U1624" s="10">
        <v>1.8111000000000001E-4</v>
      </c>
      <c r="V1624" s="25"/>
      <c r="W1624" s="25"/>
      <c r="X1624" s="25"/>
      <c r="Y1624" s="25"/>
      <c r="Z1624" s="25"/>
      <c r="AA1624" s="25"/>
    </row>
    <row r="1625" spans="1:27" x14ac:dyDescent="0.35">
      <c r="A1625" s="5">
        <v>1621</v>
      </c>
      <c r="B1625" s="5">
        <v>68</v>
      </c>
      <c r="C1625" s="5">
        <v>3</v>
      </c>
      <c r="D1625" s="25">
        <v>1.1416E-4</v>
      </c>
      <c r="E1625" s="25">
        <v>1.1035999999999999E-4</v>
      </c>
      <c r="F1625" s="25">
        <v>9.3980000000000005E-5</v>
      </c>
      <c r="G1625" s="25">
        <v>1.6579E-4</v>
      </c>
      <c r="H1625" s="25">
        <v>1.9777999999999999E-4</v>
      </c>
      <c r="I1625" s="9">
        <v>1.3727999999999999E-4</v>
      </c>
      <c r="J1625" s="9">
        <v>1.3506999999999999E-4</v>
      </c>
      <c r="K1625" s="9">
        <v>2.0557999999999999E-4</v>
      </c>
      <c r="L1625" s="9">
        <v>1.7034E-4</v>
      </c>
      <c r="M1625" s="9">
        <v>1.7406999999999999E-4</v>
      </c>
      <c r="N1625" s="9">
        <v>1.6657999999999999E-4</v>
      </c>
      <c r="O1625" s="9">
        <v>1.6301999999999999E-4</v>
      </c>
      <c r="P1625" s="9">
        <v>1.6551000000000001E-4</v>
      </c>
      <c r="Q1625" s="9">
        <v>1.6893999999999999E-4</v>
      </c>
      <c r="R1625" s="10">
        <v>3.7531954941417568E-6</v>
      </c>
      <c r="S1625" s="10">
        <v>6.2970831278024038E-5</v>
      </c>
      <c r="T1625" s="10">
        <v>6.4005554297475142E-5</v>
      </c>
      <c r="U1625" s="10">
        <v>1.8111000000000001E-4</v>
      </c>
      <c r="V1625" s="25"/>
      <c r="W1625" s="25"/>
      <c r="X1625" s="25"/>
      <c r="Y1625" s="25"/>
      <c r="Z1625" s="25"/>
      <c r="AA1625" s="25"/>
    </row>
    <row r="1626" spans="1:27" x14ac:dyDescent="0.35">
      <c r="A1626" s="5">
        <v>1622</v>
      </c>
      <c r="B1626" s="5">
        <v>68</v>
      </c>
      <c r="C1626" s="5">
        <v>3</v>
      </c>
      <c r="D1626" s="25">
        <v>1.1415000000000001E-4</v>
      </c>
      <c r="E1626" s="25">
        <v>1.1475E-4</v>
      </c>
      <c r="F1626" s="25">
        <v>9.6130000000000003E-5</v>
      </c>
      <c r="G1626" s="25">
        <v>1.5904E-4</v>
      </c>
      <c r="H1626" s="25">
        <v>1.9647999999999999E-4</v>
      </c>
      <c r="I1626" s="9">
        <v>1.3702000000000001E-4</v>
      </c>
      <c r="J1626" s="9">
        <v>1.3636E-4</v>
      </c>
      <c r="K1626" s="9">
        <v>1.8226000000000001E-4</v>
      </c>
      <c r="L1626" s="9">
        <v>1.6437E-4</v>
      </c>
      <c r="M1626" s="9">
        <v>1.7068000000000001E-4</v>
      </c>
      <c r="N1626" s="9">
        <v>1.7112E-4</v>
      </c>
      <c r="O1626" s="9">
        <v>1.7699999999999999E-4</v>
      </c>
      <c r="P1626" s="9">
        <v>1.6778999999999999E-4</v>
      </c>
      <c r="Q1626" s="9">
        <v>1.5981E-4</v>
      </c>
      <c r="R1626" s="10">
        <v>7.8048190341881934E-6</v>
      </c>
      <c r="S1626" s="10">
        <v>1.0028019505164395E-4</v>
      </c>
      <c r="T1626" s="10">
        <v>4.0851052941001209E-4</v>
      </c>
      <c r="U1626" s="10">
        <v>1.8111000000000001E-4</v>
      </c>
      <c r="V1626" s="25"/>
      <c r="W1626" s="25"/>
      <c r="X1626" s="25"/>
      <c r="Y1626" s="25"/>
      <c r="Z1626" s="25"/>
      <c r="AA1626" s="25"/>
    </row>
    <row r="1627" spans="1:27" x14ac:dyDescent="0.35">
      <c r="A1627" s="5">
        <v>1623</v>
      </c>
      <c r="B1627" s="5">
        <v>68</v>
      </c>
      <c r="C1627" s="5">
        <v>3</v>
      </c>
      <c r="D1627" s="25">
        <v>1.1416E-4</v>
      </c>
      <c r="E1627" s="25">
        <v>1.147E-4</v>
      </c>
      <c r="F1627" s="25">
        <v>1.0097E-4</v>
      </c>
      <c r="G1627" s="25">
        <v>1.5656000000000001E-4</v>
      </c>
      <c r="H1627" s="25">
        <v>1.961E-4</v>
      </c>
      <c r="I1627" s="9">
        <v>1.3674999999999999E-4</v>
      </c>
      <c r="J1627" s="9">
        <v>1.3645000000000001E-4</v>
      </c>
      <c r="K1627" s="9">
        <v>1.9285999999999999E-4</v>
      </c>
      <c r="L1627" s="9">
        <v>1.7437E-4</v>
      </c>
      <c r="M1627" s="9">
        <v>1.6867E-4</v>
      </c>
      <c r="N1627" s="9">
        <v>1.7029999999999999E-4</v>
      </c>
      <c r="O1627" s="9">
        <v>1.8340000000000001E-4</v>
      </c>
      <c r="P1627" s="9">
        <v>1.6731E-4</v>
      </c>
      <c r="Q1627" s="9">
        <v>1.5260999999999999E-4</v>
      </c>
      <c r="R1627" s="10">
        <v>1.5806092557426896E-5</v>
      </c>
      <c r="S1627" s="10">
        <v>1.3394800865290952E-4</v>
      </c>
      <c r="T1627" s="10">
        <v>4.3316590332152625E-4</v>
      </c>
      <c r="U1627" s="10">
        <v>1.8111000000000001E-4</v>
      </c>
      <c r="V1627" s="25"/>
      <c r="W1627" s="25"/>
      <c r="X1627" s="25"/>
      <c r="Y1627" s="25"/>
      <c r="Z1627" s="25"/>
      <c r="AA1627" s="25"/>
    </row>
    <row r="1628" spans="1:27" x14ac:dyDescent="0.35">
      <c r="A1628" s="5">
        <v>1624</v>
      </c>
      <c r="B1628" s="5">
        <v>68</v>
      </c>
      <c r="C1628" s="5">
        <v>3</v>
      </c>
      <c r="D1628" s="25">
        <v>1.1415000000000001E-4</v>
      </c>
      <c r="E1628" s="25">
        <v>1.136E-4</v>
      </c>
      <c r="F1628" s="25">
        <v>9.378E-5</v>
      </c>
      <c r="G1628" s="25">
        <v>1.6676000000000001E-4</v>
      </c>
      <c r="H1628" s="25">
        <v>1.918E-4</v>
      </c>
      <c r="I1628" s="9">
        <v>1.3578E-4</v>
      </c>
      <c r="J1628" s="9">
        <v>1.3729000000000001E-4</v>
      </c>
      <c r="K1628" s="9">
        <v>1.8651E-4</v>
      </c>
      <c r="L1628" s="9">
        <v>1.8116000000000001E-4</v>
      </c>
      <c r="M1628" s="9">
        <v>1.6772999999999999E-4</v>
      </c>
      <c r="N1628" s="9">
        <v>1.6635E-4</v>
      </c>
      <c r="O1628" s="9">
        <v>1.9555000000000001E-4</v>
      </c>
      <c r="P1628" s="9">
        <v>1.5127000000000001E-4</v>
      </c>
      <c r="Q1628" s="9">
        <v>1.0891E-4</v>
      </c>
      <c r="R1628" s="10">
        <v>3.3841757942587128E-5</v>
      </c>
      <c r="S1628" s="10">
        <v>1.523513272848709E-4</v>
      </c>
      <c r="T1628" s="10">
        <v>1.5125808881434079E-4</v>
      </c>
      <c r="U1628" s="10">
        <v>1.8111000000000001E-4</v>
      </c>
      <c r="V1628" s="25"/>
      <c r="W1628" s="25"/>
      <c r="X1628" s="25"/>
      <c r="Y1628" s="25"/>
      <c r="Z1628" s="25"/>
      <c r="AA1628" s="25"/>
    </row>
    <row r="1629" spans="1:27" x14ac:dyDescent="0.35">
      <c r="A1629" s="5">
        <v>1625</v>
      </c>
      <c r="B1629" s="5">
        <v>68</v>
      </c>
      <c r="C1629" s="5">
        <v>3</v>
      </c>
      <c r="D1629" s="25">
        <v>1.1416E-4</v>
      </c>
      <c r="E1629" s="25">
        <v>1.0767E-4</v>
      </c>
      <c r="F1629" s="25">
        <v>8.7880000000000006E-5</v>
      </c>
      <c r="G1629" s="25">
        <v>1.6149E-4</v>
      </c>
      <c r="H1629" s="25">
        <v>1.9539000000000001E-4</v>
      </c>
      <c r="I1629" s="9">
        <v>1.3415000000000001E-4</v>
      </c>
      <c r="J1629" s="9">
        <v>1.3860000000000001E-4</v>
      </c>
      <c r="K1629" s="9">
        <v>2.1193000000000001E-4</v>
      </c>
      <c r="L1629" s="9">
        <v>1.9215000000000001E-4</v>
      </c>
      <c r="M1629" s="9">
        <v>1.6168000000000001E-4</v>
      </c>
      <c r="N1629" s="9">
        <v>1.5236000000000001E-4</v>
      </c>
      <c r="O1629" s="9">
        <v>2.1373E-4</v>
      </c>
      <c r="P1629" s="9">
        <v>1.5935E-4</v>
      </c>
      <c r="Q1629" s="9">
        <v>1.0718E-4</v>
      </c>
      <c r="R1629" s="10">
        <v>4.5412370112561995E-5</v>
      </c>
      <c r="S1629" s="10">
        <v>1.6970174033186341E-4</v>
      </c>
      <c r="T1629" s="10">
        <v>1.0937110292268719E-4</v>
      </c>
      <c r="U1629" s="10">
        <v>1.8111000000000001E-4</v>
      </c>
      <c r="V1629" s="25"/>
      <c r="W1629" s="25"/>
      <c r="X1629" s="25"/>
      <c r="Y1629" s="25"/>
      <c r="Z1629" s="25"/>
      <c r="AA1629" s="25"/>
    </row>
    <row r="1630" spans="1:27" x14ac:dyDescent="0.35">
      <c r="A1630" s="5">
        <v>1626</v>
      </c>
      <c r="B1630" s="5">
        <v>68</v>
      </c>
      <c r="C1630" s="5">
        <v>3</v>
      </c>
      <c r="D1630" s="25">
        <v>1.1415000000000001E-4</v>
      </c>
      <c r="E1630" s="25">
        <v>1.1459E-4</v>
      </c>
      <c r="F1630" s="25">
        <v>9.1169999999999996E-5</v>
      </c>
      <c r="G1630" s="25">
        <v>1.6243E-4</v>
      </c>
      <c r="H1630" s="25">
        <v>1.8752999999999999E-4</v>
      </c>
      <c r="I1630" s="9">
        <v>1.3567000000000001E-4</v>
      </c>
      <c r="J1630" s="9">
        <v>1.3909E-4</v>
      </c>
      <c r="K1630" s="9">
        <v>2.3948E-4</v>
      </c>
      <c r="L1630" s="9">
        <v>2.0876E-4</v>
      </c>
      <c r="M1630" s="9">
        <v>1.5918E-4</v>
      </c>
      <c r="N1630" s="9">
        <v>1.3897000000000001E-4</v>
      </c>
      <c r="O1630" s="9">
        <v>2.0709999999999999E-4</v>
      </c>
      <c r="P1630" s="9">
        <v>1.6195000000000001E-4</v>
      </c>
      <c r="Q1630" s="9">
        <v>1.1882E-4</v>
      </c>
      <c r="R1630" s="10">
        <v>5.8764796858007234E-5</v>
      </c>
      <c r="S1630" s="10">
        <v>1.8127796494679552E-4</v>
      </c>
      <c r="T1630" s="10">
        <v>0</v>
      </c>
      <c r="U1630" s="10">
        <v>1.8111000000000001E-4</v>
      </c>
      <c r="V1630" s="25"/>
      <c r="W1630" s="25"/>
      <c r="X1630" s="25"/>
      <c r="Y1630" s="25"/>
      <c r="Z1630" s="25"/>
      <c r="AA1630" s="25"/>
    </row>
    <row r="1631" spans="1:27" x14ac:dyDescent="0.35">
      <c r="A1631" s="5">
        <v>1627</v>
      </c>
      <c r="B1631" s="5">
        <v>68</v>
      </c>
      <c r="C1631" s="5">
        <v>3</v>
      </c>
      <c r="D1631" s="25">
        <v>1.1416E-4</v>
      </c>
      <c r="E1631" s="25">
        <v>1.0781E-4</v>
      </c>
      <c r="F1631" s="25">
        <v>8.6539999999999995E-5</v>
      </c>
      <c r="G1631" s="25">
        <v>1.1184999999999999E-4</v>
      </c>
      <c r="H1631" s="25">
        <v>1.2867999999999999E-4</v>
      </c>
      <c r="I1631" s="9">
        <v>1.3976E-4</v>
      </c>
      <c r="J1631" s="9">
        <v>1.3873999999999999E-4</v>
      </c>
      <c r="K1631" s="9">
        <v>2.7975E-4</v>
      </c>
      <c r="L1631" s="9">
        <v>2.0704E-4</v>
      </c>
      <c r="M1631" s="9">
        <v>1.5970000000000001E-4</v>
      </c>
      <c r="N1631" s="9">
        <v>1.3011000000000001E-4</v>
      </c>
      <c r="O1631" s="9">
        <v>1.6438999999999999E-4</v>
      </c>
      <c r="P1631" s="9">
        <v>1.3507999999999999E-4</v>
      </c>
      <c r="Q1631" s="9">
        <v>1.0721E-4</v>
      </c>
      <c r="R1631" s="10">
        <v>7.4381189268346145E-5</v>
      </c>
      <c r="S1631" s="10">
        <v>1.8758103248583299E-4</v>
      </c>
      <c r="T1631" s="10">
        <v>0</v>
      </c>
      <c r="U1631" s="10">
        <v>1.8111000000000001E-4</v>
      </c>
      <c r="V1631" s="25"/>
      <c r="W1631" s="25"/>
      <c r="X1631" s="25"/>
      <c r="Y1631" s="25"/>
      <c r="Z1631" s="25"/>
      <c r="AA1631" s="25"/>
    </row>
    <row r="1632" spans="1:27" x14ac:dyDescent="0.35">
      <c r="A1632" s="5">
        <v>1628</v>
      </c>
      <c r="B1632" s="5">
        <v>68</v>
      </c>
      <c r="C1632" s="5">
        <v>3</v>
      </c>
      <c r="D1632" s="25">
        <v>1.1415000000000001E-4</v>
      </c>
      <c r="E1632" s="25">
        <v>1.1355E-4</v>
      </c>
      <c r="F1632" s="25">
        <v>9.5179999999999993E-5</v>
      </c>
      <c r="G1632" s="25">
        <v>1.1163999999999999E-4</v>
      </c>
      <c r="H1632" s="25">
        <v>1.3017000000000001E-4</v>
      </c>
      <c r="I1632" s="9">
        <v>1.4148000000000001E-4</v>
      </c>
      <c r="J1632" s="9">
        <v>1.4116000000000001E-4</v>
      </c>
      <c r="K1632" s="9">
        <v>2.8186999999999998E-4</v>
      </c>
      <c r="L1632" s="9">
        <v>1.7389E-4</v>
      </c>
      <c r="M1632" s="9">
        <v>1.5114999999999999E-4</v>
      </c>
      <c r="N1632" s="9">
        <v>1.2104000000000001E-4</v>
      </c>
      <c r="O1632" s="9">
        <v>1.292E-4</v>
      </c>
      <c r="P1632" s="9">
        <v>1.1525E-4</v>
      </c>
      <c r="Q1632" s="9">
        <v>1.0223E-4</v>
      </c>
      <c r="R1632" s="10">
        <v>1.0207212169384738E-4</v>
      </c>
      <c r="S1632" s="10">
        <v>1.8950874827373368E-4</v>
      </c>
      <c r="T1632" s="10">
        <v>0</v>
      </c>
      <c r="U1632" s="10">
        <v>1.8111000000000001E-4</v>
      </c>
      <c r="V1632" s="25"/>
      <c r="W1632" s="25"/>
      <c r="X1632" s="25"/>
      <c r="Y1632" s="25"/>
      <c r="Z1632" s="25"/>
      <c r="AA1632" s="25"/>
    </row>
    <row r="1633" spans="1:27" x14ac:dyDescent="0.35">
      <c r="A1633" s="5">
        <v>1629</v>
      </c>
      <c r="B1633" s="5">
        <v>68</v>
      </c>
      <c r="C1633" s="5">
        <v>3</v>
      </c>
      <c r="D1633" s="25">
        <v>1.1416E-4</v>
      </c>
      <c r="E1633" s="25">
        <v>1.1298000000000001E-4</v>
      </c>
      <c r="F1633" s="25">
        <v>9.8729999999999998E-5</v>
      </c>
      <c r="G1633" s="25">
        <v>5.2859999999999999E-5</v>
      </c>
      <c r="H1633" s="25">
        <v>6.3219999999999994E-5</v>
      </c>
      <c r="I1633" s="9">
        <v>1.3501E-4</v>
      </c>
      <c r="J1633" s="9">
        <v>1.3533999999999999E-4</v>
      </c>
      <c r="K1633" s="9">
        <v>2.7763000000000001E-4</v>
      </c>
      <c r="L1633" s="9">
        <v>1.4006000000000001E-4</v>
      </c>
      <c r="M1633" s="9">
        <v>1.3579E-4</v>
      </c>
      <c r="N1633" s="9">
        <v>1.1344E-4</v>
      </c>
      <c r="O1633" s="9">
        <v>8.496E-5</v>
      </c>
      <c r="P1633" s="9">
        <v>8.6609999999999999E-5</v>
      </c>
      <c r="Q1633" s="9">
        <v>8.8609999999999994E-5</v>
      </c>
      <c r="R1633" s="10">
        <v>1.3140553082050752E-4</v>
      </c>
      <c r="S1633" s="10">
        <v>1.9019106686198525E-4</v>
      </c>
      <c r="T1633" s="10">
        <v>0</v>
      </c>
      <c r="U1633" s="10">
        <v>1.8111000000000001E-4</v>
      </c>
      <c r="V1633" s="25"/>
      <c r="W1633" s="25"/>
      <c r="X1633" s="25"/>
      <c r="Y1633" s="25"/>
      <c r="Z1633" s="25"/>
      <c r="AA1633" s="25"/>
    </row>
    <row r="1634" spans="1:27" x14ac:dyDescent="0.35">
      <c r="A1634" s="5">
        <v>1630</v>
      </c>
      <c r="B1634" s="5">
        <v>68</v>
      </c>
      <c r="C1634" s="5">
        <v>3</v>
      </c>
      <c r="D1634" s="25">
        <v>1.1415000000000001E-4</v>
      </c>
      <c r="E1634" s="25">
        <v>1.1152E-4</v>
      </c>
      <c r="F1634" s="25">
        <v>9.8369999999999995E-5</v>
      </c>
      <c r="G1634" s="25">
        <v>5.3609999999999997E-5</v>
      </c>
      <c r="H1634" s="25">
        <v>6.5829999999999998E-5</v>
      </c>
      <c r="I1634" s="9">
        <v>1.2663999999999999E-4</v>
      </c>
      <c r="J1634" s="9">
        <v>1.2753999999999999E-4</v>
      </c>
      <c r="K1634" s="9">
        <v>2.7338999999999998E-4</v>
      </c>
      <c r="L1634" s="9">
        <v>9.8010000000000005E-5</v>
      </c>
      <c r="M1634" s="9">
        <v>1.1412E-4</v>
      </c>
      <c r="N1634" s="9">
        <v>1.0592E-4</v>
      </c>
      <c r="O1634" s="9">
        <v>8.8189999999999994E-5</v>
      </c>
      <c r="P1634" s="9">
        <v>8.8449999999999995E-5</v>
      </c>
      <c r="Q1634" s="9">
        <v>8.9099999999999997E-5</v>
      </c>
      <c r="R1634" s="10">
        <v>1.4974451850584741E-4</v>
      </c>
      <c r="S1634" s="10">
        <v>1.9028470983742889E-4</v>
      </c>
      <c r="T1634" s="10">
        <v>0</v>
      </c>
      <c r="U1634" s="10">
        <v>1.8111000000000001E-4</v>
      </c>
      <c r="V1634" s="25"/>
      <c r="W1634" s="25"/>
      <c r="X1634" s="25"/>
      <c r="Y1634" s="25"/>
      <c r="Z1634" s="25"/>
      <c r="AA1634" s="25"/>
    </row>
    <row r="1635" spans="1:27" x14ac:dyDescent="0.35">
      <c r="A1635" s="5">
        <v>1631</v>
      </c>
      <c r="B1635" s="5">
        <v>68</v>
      </c>
      <c r="C1635" s="5">
        <v>3</v>
      </c>
      <c r="D1635" s="25">
        <v>1.1416E-4</v>
      </c>
      <c r="E1635" s="25">
        <v>1.1184999999999999E-4</v>
      </c>
      <c r="F1635" s="25">
        <v>8.8629999999999997E-5</v>
      </c>
      <c r="G1635" s="25">
        <v>5.304E-5</v>
      </c>
      <c r="H1635" s="25">
        <v>6.5590000000000001E-5</v>
      </c>
      <c r="I1635" s="9">
        <v>1.2744000000000001E-4</v>
      </c>
      <c r="J1635" s="9">
        <v>1.1802E-4</v>
      </c>
      <c r="K1635" s="9">
        <v>2.6279999999999999E-4</v>
      </c>
      <c r="L1635" s="9">
        <v>9.1279999999999993E-5</v>
      </c>
      <c r="M1635" s="9">
        <v>9.9580000000000005E-5</v>
      </c>
      <c r="N1635" s="9">
        <v>1.0027E-4</v>
      </c>
      <c r="O1635" s="9">
        <v>7.784E-5</v>
      </c>
      <c r="P1635" s="9">
        <v>7.2169999999999995E-5</v>
      </c>
      <c r="Q1635" s="9">
        <v>6.6920000000000003E-5</v>
      </c>
      <c r="R1635" s="10">
        <v>1.5980682925272573E-4</v>
      </c>
      <c r="S1635" s="10">
        <v>1.9029015508033998E-4</v>
      </c>
      <c r="T1635" s="10">
        <v>0</v>
      </c>
      <c r="U1635" s="10">
        <v>1.8111000000000001E-4</v>
      </c>
      <c r="V1635" s="25"/>
      <c r="W1635" s="25"/>
      <c r="X1635" s="25"/>
      <c r="Y1635" s="25"/>
      <c r="Z1635" s="25"/>
      <c r="AA1635" s="25"/>
    </row>
    <row r="1636" spans="1:27" x14ac:dyDescent="0.35">
      <c r="A1636" s="5">
        <v>1632</v>
      </c>
      <c r="B1636" s="5">
        <v>68</v>
      </c>
      <c r="C1636" s="5">
        <v>3</v>
      </c>
      <c r="D1636" s="25">
        <v>1.1415000000000001E-4</v>
      </c>
      <c r="E1636" s="25">
        <v>1.0951E-4</v>
      </c>
      <c r="F1636" s="25">
        <v>9.9099999999999996E-5</v>
      </c>
      <c r="G1636" s="25">
        <v>5.7970000000000002E-5</v>
      </c>
      <c r="H1636" s="25">
        <v>6.3150000000000004E-5</v>
      </c>
      <c r="I1636" s="9">
        <v>1.2598000000000001E-4</v>
      </c>
      <c r="J1636" s="9">
        <v>1.0933E-4</v>
      </c>
      <c r="K1636" s="9">
        <v>2.7338999999999998E-4</v>
      </c>
      <c r="L1636" s="9">
        <v>8.0779999999999996E-5</v>
      </c>
      <c r="M1636" s="9">
        <v>8.6520000000000005E-5</v>
      </c>
      <c r="N1636" s="9">
        <v>9.0929999999999998E-5</v>
      </c>
      <c r="O1636" s="9">
        <v>6.3020000000000003E-5</v>
      </c>
      <c r="P1636" s="9">
        <v>6.0949999999999998E-5</v>
      </c>
      <c r="Q1636" s="9">
        <v>5.9120000000000003E-5</v>
      </c>
      <c r="R1636" s="10">
        <v>1.7785801194751999E-4</v>
      </c>
      <c r="S1636" s="10">
        <v>1.9029020530345416E-4</v>
      </c>
      <c r="T1636" s="10">
        <v>0</v>
      </c>
      <c r="U1636" s="10">
        <v>1.8111000000000001E-4</v>
      </c>
      <c r="V1636" s="25"/>
      <c r="W1636" s="25"/>
      <c r="X1636" s="25"/>
      <c r="Y1636" s="25"/>
      <c r="Z1636" s="25"/>
      <c r="AA1636" s="25"/>
    </row>
    <row r="1637" spans="1:27" x14ac:dyDescent="0.35">
      <c r="A1637" s="5">
        <v>1633</v>
      </c>
      <c r="B1637" s="5">
        <v>69</v>
      </c>
      <c r="C1637" s="5">
        <v>3</v>
      </c>
      <c r="D1637" s="25">
        <v>1.1416E-4</v>
      </c>
      <c r="E1637" s="25">
        <v>1.2081E-4</v>
      </c>
      <c r="F1637" s="25">
        <v>9.9599999999999995E-5</v>
      </c>
      <c r="G1637" s="25">
        <v>5.3890000000000001E-5</v>
      </c>
      <c r="H1637" s="25">
        <v>4.2389999999999999E-5</v>
      </c>
      <c r="I1637" s="9">
        <v>1.1914E-4</v>
      </c>
      <c r="J1637" s="9">
        <v>1.0192999999999999E-4</v>
      </c>
      <c r="K1637" s="9">
        <v>2.7338999999999998E-4</v>
      </c>
      <c r="L1637" s="9">
        <v>6.6940000000000006E-5</v>
      </c>
      <c r="M1637" s="9">
        <v>7.4300000000000004E-5</v>
      </c>
      <c r="N1637" s="9">
        <v>8.1500000000000002E-5</v>
      </c>
      <c r="O1637" s="9">
        <v>6.7659999999999999E-5</v>
      </c>
      <c r="P1637" s="9">
        <v>6.0239999999999999E-5</v>
      </c>
      <c r="Q1637" s="9">
        <v>5.3130000000000001E-5</v>
      </c>
      <c r="R1637" s="10">
        <v>1.8215276319028925E-4</v>
      </c>
      <c r="S1637" s="10">
        <v>1.9029017450503956E-4</v>
      </c>
      <c r="T1637" s="10">
        <v>0</v>
      </c>
      <c r="U1637" s="10">
        <v>1.7851E-4</v>
      </c>
      <c r="V1637" s="25"/>
      <c r="W1637" s="25"/>
      <c r="X1637" s="25"/>
      <c r="Y1637" s="25"/>
      <c r="Z1637" s="25"/>
      <c r="AA1637" s="25"/>
    </row>
    <row r="1638" spans="1:27" x14ac:dyDescent="0.35">
      <c r="A1638" s="5">
        <v>1634</v>
      </c>
      <c r="B1638" s="5">
        <v>69</v>
      </c>
      <c r="C1638" s="5">
        <v>3</v>
      </c>
      <c r="D1638" s="25">
        <v>1.1415000000000001E-4</v>
      </c>
      <c r="E1638" s="25">
        <v>1.1849E-4</v>
      </c>
      <c r="F1638" s="25">
        <v>1.1297E-4</v>
      </c>
      <c r="G1638" s="25">
        <v>6.2119999999999995E-5</v>
      </c>
      <c r="H1638" s="25">
        <v>4.2790000000000002E-5</v>
      </c>
      <c r="I1638" s="9">
        <v>1.1296E-4</v>
      </c>
      <c r="J1638" s="9">
        <v>9.7629999999999999E-5</v>
      </c>
      <c r="K1638" s="9">
        <v>2.7763000000000001E-4</v>
      </c>
      <c r="L1638" s="9">
        <v>6.7879999999999994E-5</v>
      </c>
      <c r="M1638" s="9">
        <v>6.6340000000000005E-5</v>
      </c>
      <c r="N1638" s="9">
        <v>7.2249999999999994E-5</v>
      </c>
      <c r="O1638" s="9">
        <v>3.5030000000000002E-5</v>
      </c>
      <c r="P1638" s="9">
        <v>4.5529999999999999E-5</v>
      </c>
      <c r="Q1638" s="9">
        <v>5.5810000000000003E-5</v>
      </c>
      <c r="R1638" s="10">
        <v>1.8551299205658544E-4</v>
      </c>
      <c r="S1638" s="10">
        <v>1.9029016437911191E-4</v>
      </c>
      <c r="T1638" s="10">
        <v>0</v>
      </c>
      <c r="U1638" s="10">
        <v>1.7851E-4</v>
      </c>
      <c r="V1638" s="25"/>
      <c r="W1638" s="25"/>
      <c r="X1638" s="25"/>
      <c r="Y1638" s="25"/>
      <c r="Z1638" s="25"/>
      <c r="AA1638" s="25"/>
    </row>
    <row r="1639" spans="1:27" x14ac:dyDescent="0.35">
      <c r="A1639" s="5">
        <v>1635</v>
      </c>
      <c r="B1639" s="5">
        <v>69</v>
      </c>
      <c r="C1639" s="5">
        <v>3</v>
      </c>
      <c r="D1639" s="25">
        <v>1.1416E-4</v>
      </c>
      <c r="E1639" s="25">
        <v>1.1900000000000001E-4</v>
      </c>
      <c r="F1639" s="25">
        <v>1.1234E-4</v>
      </c>
      <c r="G1639" s="25">
        <v>5.4610000000000001E-5</v>
      </c>
      <c r="H1639" s="25">
        <v>4.583E-5</v>
      </c>
      <c r="I1639" s="9">
        <v>1.0802E-4</v>
      </c>
      <c r="J1639" s="9">
        <v>9.5600000000000006E-5</v>
      </c>
      <c r="K1639" s="9">
        <v>2.8822E-4</v>
      </c>
      <c r="L1639" s="9">
        <v>4.2179999999999999E-5</v>
      </c>
      <c r="M1639" s="9">
        <v>5.7139999999999998E-5</v>
      </c>
      <c r="N1639" s="9">
        <v>6.5519999999999996E-5</v>
      </c>
      <c r="O1639" s="9">
        <v>2.1929999999999998E-5</v>
      </c>
      <c r="P1639" s="9">
        <v>4.1690000000000002E-5</v>
      </c>
      <c r="Q1639" s="9">
        <v>6.0989999999999997E-5</v>
      </c>
      <c r="R1639" s="10">
        <v>1.8275976566204888E-4</v>
      </c>
      <c r="S1639" s="10">
        <v>1.902819168751144E-4</v>
      </c>
      <c r="T1639" s="10">
        <v>0</v>
      </c>
      <c r="U1639" s="10">
        <v>1.7851E-4</v>
      </c>
      <c r="V1639" s="25"/>
      <c r="W1639" s="25"/>
      <c r="X1639" s="25"/>
      <c r="Y1639" s="25"/>
      <c r="Z1639" s="25"/>
      <c r="AA1639" s="25"/>
    </row>
    <row r="1640" spans="1:27" x14ac:dyDescent="0.35">
      <c r="A1640" s="5">
        <v>1636</v>
      </c>
      <c r="B1640" s="5">
        <v>69</v>
      </c>
      <c r="C1640" s="5">
        <v>3</v>
      </c>
      <c r="D1640" s="25">
        <v>1.1415000000000001E-4</v>
      </c>
      <c r="E1640" s="25">
        <v>1.2277999999999999E-4</v>
      </c>
      <c r="F1640" s="25">
        <v>1.1213999999999999E-4</v>
      </c>
      <c r="G1640" s="25">
        <v>6.3189999999999996E-5</v>
      </c>
      <c r="H1640" s="25">
        <v>3.8649999999999998E-5</v>
      </c>
      <c r="I1640" s="9">
        <v>1.0488999999999999E-4</v>
      </c>
      <c r="J1640" s="9">
        <v>9.4920000000000006E-5</v>
      </c>
      <c r="K1640" s="9">
        <v>3.1789999999999998E-4</v>
      </c>
      <c r="L1640" s="9">
        <v>2.6999999999999999E-5</v>
      </c>
      <c r="M1640" s="9">
        <v>4.9410000000000003E-5</v>
      </c>
      <c r="N1640" s="9">
        <v>6.1749999999999997E-5</v>
      </c>
      <c r="O1640" s="9">
        <v>2.1699999999999999E-5</v>
      </c>
      <c r="P1640" s="9">
        <v>5.1539999999999998E-5</v>
      </c>
      <c r="Q1640" s="9">
        <v>8.0729999999999994E-5</v>
      </c>
      <c r="R1640" s="10">
        <v>1.6494269422588902E-4</v>
      </c>
      <c r="S1640" s="10">
        <v>1.8977173821336799E-4</v>
      </c>
      <c r="T1640" s="10">
        <v>0</v>
      </c>
      <c r="U1640" s="10">
        <v>1.7851E-4</v>
      </c>
      <c r="V1640" s="25"/>
      <c r="W1640" s="25"/>
      <c r="X1640" s="25"/>
      <c r="Y1640" s="25"/>
      <c r="Z1640" s="25"/>
      <c r="AA1640" s="25"/>
    </row>
    <row r="1641" spans="1:27" x14ac:dyDescent="0.35">
      <c r="A1641" s="5">
        <v>1637</v>
      </c>
      <c r="B1641" s="5">
        <v>69</v>
      </c>
      <c r="C1641" s="5">
        <v>3</v>
      </c>
      <c r="D1641" s="25">
        <v>1.1416E-4</v>
      </c>
      <c r="E1641" s="25">
        <v>1.2068E-4</v>
      </c>
      <c r="F1641" s="25">
        <v>1.1163E-4</v>
      </c>
      <c r="G1641" s="25">
        <v>5.2120000000000002E-5</v>
      </c>
      <c r="H1641" s="25">
        <v>4.1900000000000002E-5</v>
      </c>
      <c r="I1641" s="9">
        <v>1.0579E-4</v>
      </c>
      <c r="J1641" s="9">
        <v>9.5420000000000005E-5</v>
      </c>
      <c r="K1641" s="9">
        <v>3.3697000000000002E-4</v>
      </c>
      <c r="L1641" s="9">
        <v>2.332E-5</v>
      </c>
      <c r="M1641" s="9">
        <v>4.833E-5</v>
      </c>
      <c r="N1641" s="9">
        <v>6.4339999999999997E-5</v>
      </c>
      <c r="O1641" s="9">
        <v>2.332E-5</v>
      </c>
      <c r="P1641" s="9">
        <v>5.8480000000000003E-5</v>
      </c>
      <c r="Q1641" s="9">
        <v>9.2940000000000001E-5</v>
      </c>
      <c r="R1641" s="10">
        <v>1.4944010544117611E-4</v>
      </c>
      <c r="S1641" s="10">
        <v>1.8841657850943844E-4</v>
      </c>
      <c r="T1641" s="10">
        <v>0</v>
      </c>
      <c r="U1641" s="10">
        <v>1.7851E-4</v>
      </c>
      <c r="V1641" s="25"/>
      <c r="W1641" s="25"/>
      <c r="X1641" s="25"/>
      <c r="Y1641" s="25"/>
      <c r="Z1641" s="25"/>
      <c r="AA1641" s="25"/>
    </row>
    <row r="1642" spans="1:27" x14ac:dyDescent="0.35">
      <c r="A1642" s="5">
        <v>1638</v>
      </c>
      <c r="B1642" s="5">
        <v>69</v>
      </c>
      <c r="C1642" s="5">
        <v>3</v>
      </c>
      <c r="D1642" s="25">
        <v>1.1415000000000001E-4</v>
      </c>
      <c r="E1642" s="25">
        <v>1.2103E-4</v>
      </c>
      <c r="F1642" s="25">
        <v>1.0969E-4</v>
      </c>
      <c r="G1642" s="25">
        <v>1.0645999999999999E-4</v>
      </c>
      <c r="H1642" s="25">
        <v>8.4909999999999998E-5</v>
      </c>
      <c r="I1642" s="9">
        <v>1.1205E-4</v>
      </c>
      <c r="J1642" s="9">
        <v>9.9049999999999995E-5</v>
      </c>
      <c r="K1642" s="9">
        <v>3.5180999999999998E-4</v>
      </c>
      <c r="L1642" s="9">
        <v>2.3240000000000001E-5</v>
      </c>
      <c r="M1642" s="9">
        <v>5.2040000000000003E-5</v>
      </c>
      <c r="N1642" s="9">
        <v>7.0740000000000004E-5</v>
      </c>
      <c r="O1642" s="9">
        <v>2.953E-5</v>
      </c>
      <c r="P1642" s="9">
        <v>6.8150000000000003E-5</v>
      </c>
      <c r="Q1642" s="9">
        <v>1.0606E-4</v>
      </c>
      <c r="R1642" s="10">
        <v>1.2618071267264086E-4</v>
      </c>
      <c r="S1642" s="10">
        <v>1.8738351032158008E-4</v>
      </c>
      <c r="T1642" s="10">
        <v>0</v>
      </c>
      <c r="U1642" s="10">
        <v>1.7851E-4</v>
      </c>
      <c r="V1642" s="25"/>
      <c r="W1642" s="25"/>
      <c r="X1642" s="25"/>
      <c r="Y1642" s="25"/>
      <c r="Z1642" s="25"/>
      <c r="AA1642" s="25"/>
    </row>
    <row r="1643" spans="1:27" x14ac:dyDescent="0.35">
      <c r="A1643" s="5">
        <v>1639</v>
      </c>
      <c r="B1643" s="5">
        <v>69</v>
      </c>
      <c r="C1643" s="5">
        <v>3</v>
      </c>
      <c r="D1643" s="25">
        <v>1.1416E-4</v>
      </c>
      <c r="E1643" s="25">
        <v>1.2321000000000001E-4</v>
      </c>
      <c r="F1643" s="25">
        <v>1.0105E-4</v>
      </c>
      <c r="G1643" s="25">
        <v>1.1001E-4</v>
      </c>
      <c r="H1643" s="25">
        <v>8.318E-5</v>
      </c>
      <c r="I1643" s="9">
        <v>1.2617999999999999E-4</v>
      </c>
      <c r="J1643" s="9">
        <v>1.1137E-4</v>
      </c>
      <c r="K1643" s="9">
        <v>3.3272999999999999E-4</v>
      </c>
      <c r="L1643" s="9">
        <v>2.8050000000000001E-5</v>
      </c>
      <c r="M1643" s="9">
        <v>5.893E-5</v>
      </c>
      <c r="N1643" s="9">
        <v>8.0279999999999997E-5</v>
      </c>
      <c r="O1643" s="9">
        <v>4.6159999999999999E-5</v>
      </c>
      <c r="P1643" s="9">
        <v>7.9439999999999998E-5</v>
      </c>
      <c r="Q1643" s="9">
        <v>1.1221E-4</v>
      </c>
      <c r="R1643" s="10">
        <v>1.0986888446319734E-4</v>
      </c>
      <c r="S1643" s="10">
        <v>1.8633275640661293E-4</v>
      </c>
      <c r="T1643" s="10">
        <v>0</v>
      </c>
      <c r="U1643" s="10">
        <v>1.7851E-4</v>
      </c>
      <c r="V1643" s="25"/>
      <c r="W1643" s="25"/>
      <c r="X1643" s="25"/>
      <c r="Y1643" s="25"/>
      <c r="Z1643" s="25"/>
      <c r="AA1643" s="25"/>
    </row>
    <row r="1644" spans="1:27" x14ac:dyDescent="0.35">
      <c r="A1644" s="5">
        <v>1640</v>
      </c>
      <c r="B1644" s="5">
        <v>69</v>
      </c>
      <c r="C1644" s="5">
        <v>3</v>
      </c>
      <c r="D1644" s="25">
        <v>1.1415000000000001E-4</v>
      </c>
      <c r="E1644" s="25">
        <v>1.2237000000000001E-4</v>
      </c>
      <c r="F1644" s="25">
        <v>1.0522E-4</v>
      </c>
      <c r="G1644" s="25">
        <v>1.6754000000000001E-4</v>
      </c>
      <c r="H1644" s="25">
        <v>1.1901E-4</v>
      </c>
      <c r="I1644" s="9">
        <v>1.3369E-4</v>
      </c>
      <c r="J1644" s="9">
        <v>1.2648E-4</v>
      </c>
      <c r="K1644" s="9">
        <v>3.1154000000000002E-4</v>
      </c>
      <c r="L1644" s="9">
        <v>4.2039999999999997E-5</v>
      </c>
      <c r="M1644" s="9">
        <v>6.8029999999999997E-5</v>
      </c>
      <c r="N1644" s="9">
        <v>9.0389999999999993E-5</v>
      </c>
      <c r="O1644" s="9">
        <v>6.7589999999999995E-5</v>
      </c>
      <c r="P1644" s="9">
        <v>1.0163E-4</v>
      </c>
      <c r="Q1644" s="9">
        <v>1.3532999999999999E-4</v>
      </c>
      <c r="R1644" s="10">
        <v>1.0314808569972398E-4</v>
      </c>
      <c r="S1644" s="10">
        <v>1.8403930275244542E-4</v>
      </c>
      <c r="T1644" s="10">
        <v>8.4087890859262481E-5</v>
      </c>
      <c r="U1644" s="10">
        <v>1.7851E-4</v>
      </c>
      <c r="V1644" s="25"/>
      <c r="W1644" s="25"/>
      <c r="X1644" s="25"/>
      <c r="Y1644" s="25"/>
      <c r="Z1644" s="25"/>
      <c r="AA1644" s="25"/>
    </row>
    <row r="1645" spans="1:27" x14ac:dyDescent="0.35">
      <c r="A1645" s="5">
        <v>1641</v>
      </c>
      <c r="B1645" s="5">
        <v>69</v>
      </c>
      <c r="C1645" s="5">
        <v>3</v>
      </c>
      <c r="D1645" s="25">
        <v>1.1416E-4</v>
      </c>
      <c r="E1645" s="25">
        <v>1.1733E-4</v>
      </c>
      <c r="F1645" s="25">
        <v>1.0399E-4</v>
      </c>
      <c r="G1645" s="25">
        <v>1.5801000000000001E-4</v>
      </c>
      <c r="H1645" s="25">
        <v>1.1907E-4</v>
      </c>
      <c r="I1645" s="9">
        <v>1.3672000000000001E-4</v>
      </c>
      <c r="J1645" s="9">
        <v>1.3668E-4</v>
      </c>
      <c r="K1645" s="9">
        <v>2.7127E-4</v>
      </c>
      <c r="L1645" s="9">
        <v>6.1589999999999998E-5</v>
      </c>
      <c r="M1645" s="9">
        <v>8.2390000000000002E-5</v>
      </c>
      <c r="N1645" s="9">
        <v>1.0391E-4</v>
      </c>
      <c r="O1645" s="9">
        <v>1.0064999999999999E-4</v>
      </c>
      <c r="P1645" s="9">
        <v>1.3960000000000001E-4</v>
      </c>
      <c r="Q1645" s="9">
        <v>1.7835999999999999E-4</v>
      </c>
      <c r="R1645" s="10">
        <v>1.0193388648122124E-4</v>
      </c>
      <c r="S1645" s="10">
        <v>1.8040848631600324E-4</v>
      </c>
      <c r="T1645" s="10">
        <v>2.9924123807952658E-4</v>
      </c>
      <c r="U1645" s="10">
        <v>1.7851E-4</v>
      </c>
      <c r="V1645" s="25"/>
      <c r="W1645" s="25"/>
      <c r="X1645" s="25"/>
      <c r="Y1645" s="25"/>
      <c r="Z1645" s="25"/>
      <c r="AA1645" s="25"/>
    </row>
    <row r="1646" spans="1:27" x14ac:dyDescent="0.35">
      <c r="A1646" s="5">
        <v>1642</v>
      </c>
      <c r="B1646" s="5">
        <v>69</v>
      </c>
      <c r="C1646" s="5">
        <v>3</v>
      </c>
      <c r="D1646" s="25">
        <v>1.1415000000000001E-4</v>
      </c>
      <c r="E1646" s="25">
        <v>1.1571E-4</v>
      </c>
      <c r="F1646" s="25">
        <v>1.1082999999999999E-4</v>
      </c>
      <c r="G1646" s="25">
        <v>1.6144E-4</v>
      </c>
      <c r="H1646" s="25">
        <v>1.1743000000000001E-4</v>
      </c>
      <c r="I1646" s="9">
        <v>1.3899E-4</v>
      </c>
      <c r="J1646" s="9">
        <v>1.4097E-4</v>
      </c>
      <c r="K1646" s="9">
        <v>2.2677E-4</v>
      </c>
      <c r="L1646" s="9">
        <v>9.1550000000000003E-5</v>
      </c>
      <c r="M1646" s="9">
        <v>1.0661E-4</v>
      </c>
      <c r="N1646" s="9">
        <v>1.2433E-4</v>
      </c>
      <c r="O1646" s="9">
        <v>1.2970000000000001E-4</v>
      </c>
      <c r="P1646" s="9">
        <v>1.5661000000000001E-4</v>
      </c>
      <c r="Q1646" s="9">
        <v>1.8374999999999999E-4</v>
      </c>
      <c r="R1646" s="10">
        <v>9.9518778798851748E-5</v>
      </c>
      <c r="S1646" s="10">
        <v>1.7531760501409105E-4</v>
      </c>
      <c r="T1646" s="10">
        <v>4.9421892144515167E-4</v>
      </c>
      <c r="U1646" s="10">
        <v>1.7851E-4</v>
      </c>
      <c r="V1646" s="25"/>
      <c r="W1646" s="25"/>
      <c r="X1646" s="25"/>
      <c r="Y1646" s="25"/>
      <c r="Z1646" s="25"/>
      <c r="AA1646" s="25"/>
    </row>
    <row r="1647" spans="1:27" x14ac:dyDescent="0.35">
      <c r="A1647" s="5">
        <v>1643</v>
      </c>
      <c r="B1647" s="5">
        <v>69</v>
      </c>
      <c r="C1647" s="5">
        <v>3</v>
      </c>
      <c r="D1647" s="25">
        <v>1.1416E-4</v>
      </c>
      <c r="E1647" s="25">
        <v>1.2486999999999999E-4</v>
      </c>
      <c r="F1647" s="25">
        <v>1.0437000000000001E-4</v>
      </c>
      <c r="G1647" s="25">
        <v>1.5631999999999999E-4</v>
      </c>
      <c r="H1647" s="25">
        <v>1.2342000000000001E-4</v>
      </c>
      <c r="I1647" s="9">
        <v>1.3863999999999999E-4</v>
      </c>
      <c r="J1647" s="9">
        <v>1.3997E-4</v>
      </c>
      <c r="K1647" s="9">
        <v>2.1829E-4</v>
      </c>
      <c r="L1647" s="9">
        <v>1.2056E-4</v>
      </c>
      <c r="M1647" s="9">
        <v>1.3074000000000001E-4</v>
      </c>
      <c r="N1647" s="9">
        <v>1.4287999999999999E-4</v>
      </c>
      <c r="O1647" s="9">
        <v>1.3755000000000001E-4</v>
      </c>
      <c r="P1647" s="9">
        <v>1.5882E-4</v>
      </c>
      <c r="Q1647" s="9">
        <v>1.8045999999999999E-4</v>
      </c>
      <c r="R1647" s="10">
        <v>6.0053412332351771E-5</v>
      </c>
      <c r="S1647" s="10">
        <v>1.7124056160798209E-4</v>
      </c>
      <c r="T1647" s="10">
        <v>6.0406514513144699E-4</v>
      </c>
      <c r="U1647" s="10">
        <v>1.7851E-4</v>
      </c>
      <c r="V1647" s="25"/>
      <c r="W1647" s="25"/>
      <c r="X1647" s="25"/>
      <c r="Y1647" s="25"/>
      <c r="Z1647" s="25"/>
      <c r="AA1647" s="25"/>
    </row>
    <row r="1648" spans="1:27" x14ac:dyDescent="0.35">
      <c r="A1648" s="5">
        <v>1644</v>
      </c>
      <c r="B1648" s="5">
        <v>69</v>
      </c>
      <c r="C1648" s="5">
        <v>3</v>
      </c>
      <c r="D1648" s="25">
        <v>1.1415000000000001E-4</v>
      </c>
      <c r="E1648" s="25">
        <v>1.1904999999999999E-4</v>
      </c>
      <c r="F1648" s="25">
        <v>1.0375E-4</v>
      </c>
      <c r="G1648" s="25">
        <v>1.6648999999999999E-4</v>
      </c>
      <c r="H1648" s="25">
        <v>1.2168E-4</v>
      </c>
      <c r="I1648" s="9">
        <v>1.4050999999999999E-4</v>
      </c>
      <c r="J1648" s="9">
        <v>1.3727999999999999E-4</v>
      </c>
      <c r="K1648" s="9">
        <v>2.2041000000000001E-4</v>
      </c>
      <c r="L1648" s="9">
        <v>1.3312999999999999E-4</v>
      </c>
      <c r="M1648" s="9">
        <v>1.4657E-4</v>
      </c>
      <c r="N1648" s="9">
        <v>1.5726E-4</v>
      </c>
      <c r="O1648" s="9">
        <v>1.382E-4</v>
      </c>
      <c r="P1648" s="9">
        <v>1.5595999999999999E-4</v>
      </c>
      <c r="Q1648" s="9">
        <v>1.7415E-4</v>
      </c>
      <c r="R1648" s="10">
        <v>4.4392793106893919E-5</v>
      </c>
      <c r="S1648" s="10">
        <v>1.7041902564566514E-4</v>
      </c>
      <c r="T1648" s="10">
        <v>6.6191109810071857E-4</v>
      </c>
      <c r="U1648" s="10">
        <v>1.7851E-4</v>
      </c>
      <c r="V1648" s="25"/>
      <c r="W1648" s="25"/>
      <c r="X1648" s="25"/>
      <c r="Y1648" s="25"/>
      <c r="Z1648" s="25"/>
      <c r="AA1648" s="25"/>
    </row>
    <row r="1649" spans="1:27" x14ac:dyDescent="0.35">
      <c r="A1649" s="5">
        <v>1645</v>
      </c>
      <c r="B1649" s="5">
        <v>69</v>
      </c>
      <c r="C1649" s="5">
        <v>3</v>
      </c>
      <c r="D1649" s="25">
        <v>1.1416E-4</v>
      </c>
      <c r="E1649" s="25">
        <v>1.1684E-4</v>
      </c>
      <c r="F1649" s="25">
        <v>1.0003E-4</v>
      </c>
      <c r="G1649" s="25">
        <v>1.5924999999999999E-4</v>
      </c>
      <c r="H1649" s="25">
        <v>1.2232000000000001E-4</v>
      </c>
      <c r="I1649" s="9">
        <v>1.3643999999999999E-4</v>
      </c>
      <c r="J1649" s="9">
        <v>1.3433999999999999E-4</v>
      </c>
      <c r="K1649" s="9">
        <v>2.1405E-4</v>
      </c>
      <c r="L1649" s="9">
        <v>1.3693000000000001E-4</v>
      </c>
      <c r="M1649" s="9">
        <v>1.5332E-4</v>
      </c>
      <c r="N1649" s="9">
        <v>1.6674999999999999E-4</v>
      </c>
      <c r="O1649" s="9">
        <v>1.3012000000000001E-4</v>
      </c>
      <c r="P1649" s="9">
        <v>1.4870000000000001E-4</v>
      </c>
      <c r="Q1649" s="9">
        <v>1.6765000000000001E-4</v>
      </c>
      <c r="R1649" s="10">
        <v>4.2140189817788935E-5</v>
      </c>
      <c r="S1649" s="10">
        <v>1.651866981333016E-4</v>
      </c>
      <c r="T1649" s="10">
        <v>6.1820847214813447E-4</v>
      </c>
      <c r="U1649" s="10">
        <v>1.7851E-4</v>
      </c>
      <c r="V1649" s="25"/>
      <c r="W1649" s="25"/>
      <c r="X1649" s="25"/>
      <c r="Y1649" s="25"/>
      <c r="Z1649" s="25"/>
      <c r="AA1649" s="25"/>
    </row>
    <row r="1650" spans="1:27" x14ac:dyDescent="0.35">
      <c r="A1650" s="5">
        <v>1646</v>
      </c>
      <c r="B1650" s="5">
        <v>69</v>
      </c>
      <c r="C1650" s="5">
        <v>3</v>
      </c>
      <c r="D1650" s="25">
        <v>1.1415000000000001E-4</v>
      </c>
      <c r="E1650" s="25">
        <v>1.2439999999999999E-4</v>
      </c>
      <c r="F1650" s="25">
        <v>1.1391999999999999E-4</v>
      </c>
      <c r="G1650" s="25">
        <v>1.6368E-4</v>
      </c>
      <c r="H1650" s="25">
        <v>1.1726E-4</v>
      </c>
      <c r="I1650" s="9">
        <v>1.3588000000000001E-4</v>
      </c>
      <c r="J1650" s="9">
        <v>1.3344999999999999E-4</v>
      </c>
      <c r="K1650" s="9">
        <v>2.1193000000000001E-4</v>
      </c>
      <c r="L1650" s="9">
        <v>1.3169000000000001E-4</v>
      </c>
      <c r="M1650" s="9">
        <v>1.5291E-4</v>
      </c>
      <c r="N1650" s="9">
        <v>1.7108999999999999E-4</v>
      </c>
      <c r="O1650" s="9">
        <v>1.1327E-4</v>
      </c>
      <c r="P1650" s="9">
        <v>1.3755000000000001E-4</v>
      </c>
      <c r="Q1650" s="9">
        <v>1.6197999999999999E-4</v>
      </c>
      <c r="R1650" s="10">
        <v>3.9512383192415987E-5</v>
      </c>
      <c r="S1650" s="10">
        <v>1.6079467206520743E-4</v>
      </c>
      <c r="T1650" s="10">
        <v>4.4219319783007785E-4</v>
      </c>
      <c r="U1650" s="10">
        <v>1.7851E-4</v>
      </c>
      <c r="V1650" s="25"/>
      <c r="W1650" s="25"/>
      <c r="X1650" s="25"/>
      <c r="Y1650" s="25"/>
      <c r="Z1650" s="25"/>
      <c r="AA1650" s="25"/>
    </row>
    <row r="1651" spans="1:27" x14ac:dyDescent="0.35">
      <c r="A1651" s="5">
        <v>1647</v>
      </c>
      <c r="B1651" s="5">
        <v>69</v>
      </c>
      <c r="C1651" s="5">
        <v>3</v>
      </c>
      <c r="D1651" s="25">
        <v>1.1416E-4</v>
      </c>
      <c r="E1651" s="25">
        <v>1.1571E-4</v>
      </c>
      <c r="F1651" s="25">
        <v>1.1519E-4</v>
      </c>
      <c r="G1651" s="25">
        <v>1.5991000000000001E-4</v>
      </c>
      <c r="H1651" s="25">
        <v>1.2138000000000001E-4</v>
      </c>
      <c r="I1651" s="9">
        <v>1.3634000000000001E-4</v>
      </c>
      <c r="J1651" s="9">
        <v>1.3266999999999999E-4</v>
      </c>
      <c r="K1651" s="9">
        <v>2.0981999999999999E-4</v>
      </c>
      <c r="L1651" s="9">
        <v>1.1752999999999999E-4</v>
      </c>
      <c r="M1651" s="9">
        <v>1.4702000000000001E-4</v>
      </c>
      <c r="N1651" s="9">
        <v>1.7074000000000001E-4</v>
      </c>
      <c r="O1651" s="9">
        <v>1.2624000000000001E-4</v>
      </c>
      <c r="P1651" s="9">
        <v>1.3866E-4</v>
      </c>
      <c r="Q1651" s="9">
        <v>1.5153000000000001E-4</v>
      </c>
      <c r="R1651" s="10">
        <v>4.7348827638321221E-5</v>
      </c>
      <c r="S1651" s="10">
        <v>1.4723883241936486E-4</v>
      </c>
      <c r="T1651" s="10">
        <v>4.1170062596566562E-4</v>
      </c>
      <c r="U1651" s="10">
        <v>1.7851E-4</v>
      </c>
      <c r="V1651" s="25"/>
      <c r="W1651" s="25"/>
      <c r="X1651" s="25"/>
      <c r="Y1651" s="25"/>
      <c r="Z1651" s="25"/>
      <c r="AA1651" s="25"/>
    </row>
    <row r="1652" spans="1:27" x14ac:dyDescent="0.35">
      <c r="A1652" s="5">
        <v>1648</v>
      </c>
      <c r="B1652" s="5">
        <v>69</v>
      </c>
      <c r="C1652" s="5">
        <v>3</v>
      </c>
      <c r="D1652" s="25">
        <v>1.1415000000000001E-4</v>
      </c>
      <c r="E1652" s="25">
        <v>1.2501999999999999E-4</v>
      </c>
      <c r="F1652" s="25">
        <v>1.0898E-4</v>
      </c>
      <c r="G1652" s="25">
        <v>1.6469999999999999E-4</v>
      </c>
      <c r="H1652" s="25">
        <v>1.2171999999999999E-4</v>
      </c>
      <c r="I1652" s="9">
        <v>1.3627999999999999E-4</v>
      </c>
      <c r="J1652" s="9">
        <v>1.3239999999999999E-4</v>
      </c>
      <c r="K1652" s="9">
        <v>1.9498000000000001E-4</v>
      </c>
      <c r="L1652" s="9">
        <v>1.2472000000000001E-4</v>
      </c>
      <c r="M1652" s="9">
        <v>1.4237000000000001E-4</v>
      </c>
      <c r="N1652" s="9">
        <v>1.6646E-4</v>
      </c>
      <c r="O1652" s="9">
        <v>1.3448999999999999E-4</v>
      </c>
      <c r="P1652" s="9">
        <v>1.2189E-4</v>
      </c>
      <c r="Q1652" s="9">
        <v>1.1019E-4</v>
      </c>
      <c r="R1652" s="10">
        <v>5.4971885198248285E-5</v>
      </c>
      <c r="S1652" s="10">
        <v>1.3961379262336629E-4</v>
      </c>
      <c r="T1652" s="10">
        <v>2.4018203030318447E-4</v>
      </c>
      <c r="U1652" s="10">
        <v>1.7851E-4</v>
      </c>
      <c r="V1652" s="25"/>
      <c r="W1652" s="25"/>
      <c r="X1652" s="25"/>
      <c r="Y1652" s="25"/>
      <c r="Z1652" s="25"/>
      <c r="AA1652" s="25"/>
    </row>
    <row r="1653" spans="1:27" x14ac:dyDescent="0.35">
      <c r="A1653" s="5">
        <v>1649</v>
      </c>
      <c r="B1653" s="5">
        <v>69</v>
      </c>
      <c r="C1653" s="5">
        <v>3</v>
      </c>
      <c r="D1653" s="25">
        <v>1.1416E-4</v>
      </c>
      <c r="E1653" s="25">
        <v>1.1859E-4</v>
      </c>
      <c r="F1653" s="25">
        <v>1.0329E-4</v>
      </c>
      <c r="G1653" s="25">
        <v>1.6375999999999999E-4</v>
      </c>
      <c r="H1653" s="25">
        <v>1.1705E-4</v>
      </c>
      <c r="I1653" s="9">
        <v>1.3447000000000001E-4</v>
      </c>
      <c r="J1653" s="9">
        <v>1.3415000000000001E-4</v>
      </c>
      <c r="K1653" s="9">
        <v>2.0133999999999999E-4</v>
      </c>
      <c r="L1653" s="9">
        <v>1.3210000000000001E-4</v>
      </c>
      <c r="M1653" s="9">
        <v>1.3394000000000001E-4</v>
      </c>
      <c r="N1653" s="9">
        <v>1.5269E-4</v>
      </c>
      <c r="O1653" s="9">
        <v>1.4066999999999999E-4</v>
      </c>
      <c r="P1653" s="9">
        <v>1.2363000000000001E-4</v>
      </c>
      <c r="Q1653" s="9">
        <v>1.0759E-4</v>
      </c>
      <c r="R1653" s="10">
        <v>5.2944047040144641E-5</v>
      </c>
      <c r="S1653" s="10">
        <v>1.3779306893608358E-4</v>
      </c>
      <c r="T1653" s="10">
        <v>2.0240144529699988E-4</v>
      </c>
      <c r="U1653" s="10">
        <v>1.7851E-4</v>
      </c>
      <c r="V1653" s="25"/>
      <c r="W1653" s="25"/>
      <c r="X1653" s="25"/>
      <c r="Y1653" s="25"/>
      <c r="Z1653" s="25"/>
      <c r="AA1653" s="25"/>
    </row>
    <row r="1654" spans="1:27" x14ac:dyDescent="0.35">
      <c r="A1654" s="5">
        <v>1650</v>
      </c>
      <c r="B1654" s="5">
        <v>69</v>
      </c>
      <c r="C1654" s="5">
        <v>3</v>
      </c>
      <c r="D1654" s="25">
        <v>1.1415000000000001E-4</v>
      </c>
      <c r="E1654" s="25">
        <v>1.2495E-4</v>
      </c>
      <c r="F1654" s="25">
        <v>9.9259999999999995E-5</v>
      </c>
      <c r="G1654" s="25">
        <v>1.6634000000000001E-4</v>
      </c>
      <c r="H1654" s="25">
        <v>1.1967E-4</v>
      </c>
      <c r="I1654" s="9">
        <v>1.3437E-4</v>
      </c>
      <c r="J1654" s="9">
        <v>1.3655000000000001E-4</v>
      </c>
      <c r="K1654" s="9">
        <v>2.0981E-4</v>
      </c>
      <c r="L1654" s="9">
        <v>1.3846999999999999E-4</v>
      </c>
      <c r="M1654" s="9">
        <v>1.281E-4</v>
      </c>
      <c r="N1654" s="9">
        <v>1.3934E-4</v>
      </c>
      <c r="O1654" s="9">
        <v>1.4077999999999999E-4</v>
      </c>
      <c r="P1654" s="9">
        <v>1.2879999999999999E-4</v>
      </c>
      <c r="Q1654" s="9">
        <v>1.1776E-4</v>
      </c>
      <c r="R1654" s="10">
        <v>6.3834073317089906E-5</v>
      </c>
      <c r="S1654" s="10">
        <v>1.3076528632511547E-4</v>
      </c>
      <c r="T1654" s="10">
        <v>8.1109901787362475E-6</v>
      </c>
      <c r="U1654" s="10">
        <v>1.7851E-4</v>
      </c>
      <c r="V1654" s="25"/>
      <c r="W1654" s="25"/>
      <c r="X1654" s="25"/>
      <c r="Y1654" s="25"/>
      <c r="Z1654" s="25"/>
      <c r="AA1654" s="25"/>
    </row>
    <row r="1655" spans="1:27" x14ac:dyDescent="0.35">
      <c r="A1655" s="5">
        <v>1651</v>
      </c>
      <c r="B1655" s="5">
        <v>69</v>
      </c>
      <c r="C1655" s="5">
        <v>3</v>
      </c>
      <c r="D1655" s="25">
        <v>1.1416E-4</v>
      </c>
      <c r="E1655" s="25">
        <v>1.2115E-4</v>
      </c>
      <c r="F1655" s="25">
        <v>1.1784E-4</v>
      </c>
      <c r="G1655" s="25">
        <v>1.059E-4</v>
      </c>
      <c r="H1655" s="25">
        <v>8.5119999999999998E-5</v>
      </c>
      <c r="I1655" s="9">
        <v>1.3818000000000001E-4</v>
      </c>
      <c r="J1655" s="9">
        <v>1.3593000000000001E-4</v>
      </c>
      <c r="K1655" s="9">
        <v>2.3949E-4</v>
      </c>
      <c r="L1655" s="9">
        <v>1.4016000000000001E-4</v>
      </c>
      <c r="M1655" s="9">
        <v>1.2703000000000001E-4</v>
      </c>
      <c r="N1655" s="9">
        <v>1.3020999999999999E-4</v>
      </c>
      <c r="O1655" s="9">
        <v>1.4216000000000001E-4</v>
      </c>
      <c r="P1655" s="9">
        <v>1.2439999999999999E-4</v>
      </c>
      <c r="Q1655" s="9">
        <v>1.0768E-4</v>
      </c>
      <c r="R1655" s="10">
        <v>1.0467836281723837E-4</v>
      </c>
      <c r="S1655" s="10">
        <v>1.2924542341319562E-4</v>
      </c>
      <c r="T1655" s="10">
        <v>0</v>
      </c>
      <c r="U1655" s="10">
        <v>1.7851E-4</v>
      </c>
      <c r="V1655" s="25"/>
      <c r="W1655" s="25"/>
      <c r="X1655" s="25"/>
      <c r="Y1655" s="25"/>
      <c r="Z1655" s="25"/>
      <c r="AA1655" s="25"/>
    </row>
    <row r="1656" spans="1:27" x14ac:dyDescent="0.35">
      <c r="A1656" s="5">
        <v>1652</v>
      </c>
      <c r="B1656" s="5">
        <v>69</v>
      </c>
      <c r="C1656" s="5">
        <v>3</v>
      </c>
      <c r="D1656" s="25">
        <v>1.1415000000000001E-4</v>
      </c>
      <c r="E1656" s="25">
        <v>1.1785E-4</v>
      </c>
      <c r="F1656" s="25">
        <v>1.0511E-4</v>
      </c>
      <c r="G1656" s="25">
        <v>1.1383999999999999E-4</v>
      </c>
      <c r="H1656" s="25">
        <v>8.1829999999999994E-5</v>
      </c>
      <c r="I1656" s="9">
        <v>1.4082E-4</v>
      </c>
      <c r="J1656" s="9">
        <v>1.3951E-4</v>
      </c>
      <c r="K1656" s="9">
        <v>2.7975E-4</v>
      </c>
      <c r="L1656" s="9">
        <v>1.4171999999999999E-4</v>
      </c>
      <c r="M1656" s="9">
        <v>1.2606999999999999E-4</v>
      </c>
      <c r="N1656" s="9">
        <v>1.2116E-4</v>
      </c>
      <c r="O1656" s="9">
        <v>1.4232000000000001E-4</v>
      </c>
      <c r="P1656" s="9">
        <v>1.2103E-4</v>
      </c>
      <c r="Q1656" s="9">
        <v>1.0084E-4</v>
      </c>
      <c r="R1656" s="10">
        <v>1.3525557292442991E-4</v>
      </c>
      <c r="S1656" s="10">
        <v>1.1759618590197347E-4</v>
      </c>
      <c r="T1656" s="10">
        <v>0</v>
      </c>
      <c r="U1656" s="10">
        <v>1.7851E-4</v>
      </c>
      <c r="V1656" s="25"/>
      <c r="W1656" s="25"/>
      <c r="X1656" s="25"/>
      <c r="Y1656" s="25"/>
      <c r="Z1656" s="25"/>
      <c r="AA1656" s="25"/>
    </row>
    <row r="1657" spans="1:27" x14ac:dyDescent="0.35">
      <c r="A1657" s="5">
        <v>1653</v>
      </c>
      <c r="B1657" s="5">
        <v>69</v>
      </c>
      <c r="C1657" s="5">
        <v>3</v>
      </c>
      <c r="D1657" s="25">
        <v>1.1416E-4</v>
      </c>
      <c r="E1657" s="25">
        <v>1.1907E-4</v>
      </c>
      <c r="F1657" s="25">
        <v>1.0388E-4</v>
      </c>
      <c r="G1657" s="25">
        <v>5.5229999999999998E-5</v>
      </c>
      <c r="H1657" s="25">
        <v>4.0979999999999997E-5</v>
      </c>
      <c r="I1657" s="9">
        <v>1.3410000000000001E-4</v>
      </c>
      <c r="J1657" s="9">
        <v>1.3378000000000001E-4</v>
      </c>
      <c r="K1657" s="9">
        <v>2.7975E-4</v>
      </c>
      <c r="L1657" s="9">
        <v>1.4218E-4</v>
      </c>
      <c r="M1657" s="9">
        <v>1.2402999999999999E-4</v>
      </c>
      <c r="N1657" s="9">
        <v>1.1323999999999999E-4</v>
      </c>
      <c r="O1657" s="9">
        <v>8.5329999999999998E-5</v>
      </c>
      <c r="P1657" s="9">
        <v>8.7050000000000002E-5</v>
      </c>
      <c r="Q1657" s="9">
        <v>8.9069999999999999E-5</v>
      </c>
      <c r="R1657" s="10">
        <v>1.4439861730421988E-4</v>
      </c>
      <c r="S1657" s="10">
        <v>1.0681912749765971E-4</v>
      </c>
      <c r="T1657" s="10">
        <v>0</v>
      </c>
      <c r="U1657" s="10">
        <v>1.7851E-4</v>
      </c>
      <c r="V1657" s="25"/>
      <c r="W1657" s="25"/>
      <c r="X1657" s="25"/>
      <c r="Y1657" s="25"/>
      <c r="Z1657" s="25"/>
      <c r="AA1657" s="25"/>
    </row>
    <row r="1658" spans="1:27" x14ac:dyDescent="0.35">
      <c r="A1658" s="5">
        <v>1654</v>
      </c>
      <c r="B1658" s="5">
        <v>69</v>
      </c>
      <c r="C1658" s="5">
        <v>3</v>
      </c>
      <c r="D1658" s="25">
        <v>1.1415000000000001E-4</v>
      </c>
      <c r="E1658" s="25">
        <v>1.2006999999999999E-4</v>
      </c>
      <c r="F1658" s="25">
        <v>1.0442000000000001E-4</v>
      </c>
      <c r="G1658" s="25">
        <v>5.592E-5</v>
      </c>
      <c r="H1658" s="25">
        <v>4.1610000000000003E-5</v>
      </c>
      <c r="I1658" s="9">
        <v>1.2635000000000001E-4</v>
      </c>
      <c r="J1658" s="9">
        <v>1.2650000000000001E-4</v>
      </c>
      <c r="K1658" s="9">
        <v>2.7338999999999998E-4</v>
      </c>
      <c r="L1658" s="9">
        <v>9.7830000000000004E-5</v>
      </c>
      <c r="M1658" s="9">
        <v>1.1014999999999999E-4</v>
      </c>
      <c r="N1658" s="9">
        <v>1.0576E-4</v>
      </c>
      <c r="O1658" s="9">
        <v>8.7910000000000004E-5</v>
      </c>
      <c r="P1658" s="9">
        <v>8.8230000000000001E-5</v>
      </c>
      <c r="Q1658" s="9">
        <v>8.8889999999999998E-5</v>
      </c>
      <c r="R1658" s="10">
        <v>1.4257921231483563E-4</v>
      </c>
      <c r="S1658" s="10">
        <v>9.6882846767182398E-5</v>
      </c>
      <c r="T1658" s="10">
        <v>0</v>
      </c>
      <c r="U1658" s="10">
        <v>1.7851E-4</v>
      </c>
      <c r="V1658" s="25"/>
      <c r="W1658" s="25"/>
      <c r="X1658" s="25"/>
      <c r="Y1658" s="25"/>
      <c r="Z1658" s="25"/>
      <c r="AA1658" s="25"/>
    </row>
    <row r="1659" spans="1:27" x14ac:dyDescent="0.35">
      <c r="A1659" s="5">
        <v>1655</v>
      </c>
      <c r="B1659" s="5">
        <v>69</v>
      </c>
      <c r="C1659" s="5">
        <v>3</v>
      </c>
      <c r="D1659" s="25">
        <v>1.1416E-4</v>
      </c>
      <c r="E1659" s="25">
        <v>1.1611E-4</v>
      </c>
      <c r="F1659" s="25">
        <v>1.1572E-4</v>
      </c>
      <c r="G1659" s="25">
        <v>6.156E-5</v>
      </c>
      <c r="H1659" s="25">
        <v>4.528E-5</v>
      </c>
      <c r="I1659" s="9">
        <v>1.2776000000000001E-4</v>
      </c>
      <c r="J1659" s="9">
        <v>1.1730000000000001E-4</v>
      </c>
      <c r="K1659" s="9">
        <v>2.6279E-4</v>
      </c>
      <c r="L1659" s="9">
        <v>9.1329999999999995E-5</v>
      </c>
      <c r="M1659" s="9">
        <v>9.8540000000000002E-5</v>
      </c>
      <c r="N1659" s="9">
        <v>1.0005000000000001E-4</v>
      </c>
      <c r="O1659" s="9">
        <v>8.53E-5</v>
      </c>
      <c r="P1659" s="9">
        <v>7.6139999999999999E-5</v>
      </c>
      <c r="Q1659" s="9">
        <v>6.745E-5</v>
      </c>
      <c r="R1659" s="10">
        <v>1.4277854246298486E-4</v>
      </c>
      <c r="S1659" s="10">
        <v>7.6678017404866597E-5</v>
      </c>
      <c r="T1659" s="10">
        <v>0</v>
      </c>
      <c r="U1659" s="10">
        <v>1.7851E-4</v>
      </c>
      <c r="V1659" s="25"/>
      <c r="W1659" s="25"/>
      <c r="X1659" s="25"/>
      <c r="Y1659" s="25"/>
      <c r="Z1659" s="25"/>
      <c r="AA1659" s="25"/>
    </row>
    <row r="1660" spans="1:27" x14ac:dyDescent="0.35">
      <c r="A1660" s="5">
        <v>1656</v>
      </c>
      <c r="B1660" s="5">
        <v>69</v>
      </c>
      <c r="C1660" s="5">
        <v>3</v>
      </c>
      <c r="D1660" s="25">
        <v>1.1415000000000001E-4</v>
      </c>
      <c r="E1660" s="25">
        <v>1.2285E-4</v>
      </c>
      <c r="F1660" s="25">
        <v>1.0389E-4</v>
      </c>
      <c r="G1660" s="25">
        <v>6.3E-5</v>
      </c>
      <c r="H1660" s="25">
        <v>4.3080000000000001E-5</v>
      </c>
      <c r="I1660" s="9">
        <v>1.271E-4</v>
      </c>
      <c r="J1660" s="9">
        <v>1.0908000000000001E-4</v>
      </c>
      <c r="K1660" s="9">
        <v>2.6916E-4</v>
      </c>
      <c r="L1660" s="9">
        <v>8.6829999999999994E-5</v>
      </c>
      <c r="M1660" s="9">
        <v>8.7769999999999995E-5</v>
      </c>
      <c r="N1660" s="9">
        <v>9.0879999999999997E-5</v>
      </c>
      <c r="O1660" s="9">
        <v>7.9510000000000003E-5</v>
      </c>
      <c r="P1660" s="9">
        <v>6.9120000000000002E-5</v>
      </c>
      <c r="Q1660" s="9">
        <v>5.9160000000000003E-5</v>
      </c>
      <c r="R1660" s="10">
        <v>1.2367432487531181E-4</v>
      </c>
      <c r="S1660" s="10">
        <v>4.3190425210479198E-5</v>
      </c>
      <c r="T1660" s="10">
        <v>0</v>
      </c>
      <c r="U1660" s="10">
        <v>1.7851E-4</v>
      </c>
      <c r="V1660" s="25"/>
      <c r="W1660" s="25"/>
      <c r="X1660" s="25"/>
      <c r="Y1660" s="25"/>
      <c r="Z1660" s="25"/>
      <c r="AA1660" s="25"/>
    </row>
    <row r="1661" spans="1:27" x14ac:dyDescent="0.35">
      <c r="A1661" s="5">
        <v>1657</v>
      </c>
      <c r="B1661" s="5">
        <v>70</v>
      </c>
      <c r="C1661" s="5">
        <v>3</v>
      </c>
      <c r="D1661" s="25">
        <v>1.1416E-4</v>
      </c>
      <c r="E1661" s="25">
        <v>1.1074E-4</v>
      </c>
      <c r="F1661" s="25">
        <v>1.2413999999999999E-4</v>
      </c>
      <c r="G1661" s="25">
        <v>5.7689999999999998E-5</v>
      </c>
      <c r="H1661" s="25">
        <v>1.4260000000000001E-5</v>
      </c>
      <c r="I1661" s="9">
        <v>1.2002000000000001E-4</v>
      </c>
      <c r="J1661" s="9">
        <v>1.014E-4</v>
      </c>
      <c r="K1661" s="9">
        <v>2.7551000000000002E-4</v>
      </c>
      <c r="L1661" s="9">
        <v>8.0909999999999996E-5</v>
      </c>
      <c r="M1661" s="9">
        <v>7.8609999999999994E-5</v>
      </c>
      <c r="N1661" s="9">
        <v>8.1489999999999994E-5</v>
      </c>
      <c r="O1661" s="9">
        <v>6.7570000000000005E-5</v>
      </c>
      <c r="P1661" s="9">
        <v>6.016E-5</v>
      </c>
      <c r="Q1661" s="9">
        <v>5.3050000000000002E-5</v>
      </c>
      <c r="R1661" s="10">
        <v>9.5392524495612019E-5</v>
      </c>
      <c r="S1661" s="10">
        <v>3.4906671816491449E-5</v>
      </c>
      <c r="T1661" s="10">
        <v>0</v>
      </c>
      <c r="U1661" s="10">
        <v>1.74E-4</v>
      </c>
      <c r="V1661" s="25"/>
      <c r="W1661" s="25"/>
      <c r="X1661" s="25"/>
      <c r="Y1661" s="25"/>
      <c r="Z1661" s="25"/>
      <c r="AA1661" s="25"/>
    </row>
    <row r="1662" spans="1:27" x14ac:dyDescent="0.35">
      <c r="A1662" s="5">
        <v>1658</v>
      </c>
      <c r="B1662" s="5">
        <v>70</v>
      </c>
      <c r="C1662" s="5">
        <v>3</v>
      </c>
      <c r="D1662" s="25">
        <v>1.1415000000000001E-4</v>
      </c>
      <c r="E1662" s="25">
        <v>1.1669E-4</v>
      </c>
      <c r="F1662" s="25">
        <v>1.3391E-4</v>
      </c>
      <c r="G1662" s="25">
        <v>5.4469999999999999E-5</v>
      </c>
      <c r="H1662" s="25">
        <v>1.3910000000000001E-5</v>
      </c>
      <c r="I1662" s="9">
        <v>1.1395000000000001E-4</v>
      </c>
      <c r="J1662" s="9">
        <v>9.7170000000000006E-5</v>
      </c>
      <c r="K1662" s="9">
        <v>2.6067000000000001E-4</v>
      </c>
      <c r="L1662" s="9">
        <v>7.0649999999999996E-5</v>
      </c>
      <c r="M1662" s="9">
        <v>6.9809999999999997E-5</v>
      </c>
      <c r="N1662" s="9">
        <v>7.2280000000000006E-5</v>
      </c>
      <c r="O1662" s="9">
        <v>3.5639999999999998E-5</v>
      </c>
      <c r="P1662" s="9">
        <v>4.6319999999999997E-5</v>
      </c>
      <c r="Q1662" s="9">
        <v>5.677E-5</v>
      </c>
      <c r="R1662" s="10">
        <v>7.3984823415174358E-5</v>
      </c>
      <c r="S1662" s="10">
        <v>2.5201655370914843E-5</v>
      </c>
      <c r="T1662" s="10">
        <v>0</v>
      </c>
      <c r="U1662" s="10">
        <v>1.74E-4</v>
      </c>
      <c r="V1662" s="25"/>
      <c r="W1662" s="25"/>
      <c r="X1662" s="25"/>
      <c r="Y1662" s="25"/>
      <c r="Z1662" s="25"/>
      <c r="AA1662" s="25"/>
    </row>
    <row r="1663" spans="1:27" x14ac:dyDescent="0.35">
      <c r="A1663" s="5">
        <v>1659</v>
      </c>
      <c r="B1663" s="5">
        <v>70</v>
      </c>
      <c r="C1663" s="5">
        <v>3</v>
      </c>
      <c r="D1663" s="25">
        <v>1.1416E-4</v>
      </c>
      <c r="E1663" s="25">
        <v>1.197E-4</v>
      </c>
      <c r="F1663" s="25">
        <v>1.3678E-4</v>
      </c>
      <c r="G1663" s="25">
        <v>6.3479999999999995E-5</v>
      </c>
      <c r="H1663" s="25">
        <v>1.45E-5</v>
      </c>
      <c r="I1663" s="9">
        <v>1.0854E-4</v>
      </c>
      <c r="J1663" s="9">
        <v>9.5589999999999998E-5</v>
      </c>
      <c r="K1663" s="9">
        <v>2.4795999999999998E-4</v>
      </c>
      <c r="L1663" s="9">
        <v>4.3609999999999998E-5</v>
      </c>
      <c r="M1663" s="9">
        <v>5.927E-5</v>
      </c>
      <c r="N1663" s="9">
        <v>6.5779999999999997E-5</v>
      </c>
      <c r="O1663" s="9">
        <v>2.2140000000000001E-5</v>
      </c>
      <c r="P1663" s="9">
        <v>4.2110000000000002E-5</v>
      </c>
      <c r="Q1663" s="9">
        <v>6.1589999999999998E-5</v>
      </c>
      <c r="R1663" s="10">
        <v>6.0835714194171654E-5</v>
      </c>
      <c r="S1663" s="10">
        <v>1.8849351864149825E-5</v>
      </c>
      <c r="T1663" s="10">
        <v>0</v>
      </c>
      <c r="U1663" s="10">
        <v>1.74E-4</v>
      </c>
      <c r="V1663" s="25"/>
      <c r="W1663" s="25"/>
      <c r="X1663" s="25"/>
      <c r="Y1663" s="25"/>
      <c r="Z1663" s="25"/>
      <c r="AA1663" s="25"/>
    </row>
    <row r="1664" spans="1:27" x14ac:dyDescent="0.35">
      <c r="A1664" s="5">
        <v>1660</v>
      </c>
      <c r="B1664" s="5">
        <v>70</v>
      </c>
      <c r="C1664" s="5">
        <v>3</v>
      </c>
      <c r="D1664" s="25">
        <v>1.1415000000000001E-4</v>
      </c>
      <c r="E1664" s="25">
        <v>1.1668E-4</v>
      </c>
      <c r="F1664" s="25">
        <v>1.3339E-4</v>
      </c>
      <c r="G1664" s="25">
        <v>6.1299999999999999E-5</v>
      </c>
      <c r="H1664" s="25">
        <v>1.5330000000000001E-5</v>
      </c>
      <c r="I1664" s="9">
        <v>1.0802999999999999E-4</v>
      </c>
      <c r="J1664" s="9">
        <v>9.5299999999999999E-5</v>
      </c>
      <c r="K1664" s="9">
        <v>2.4372E-4</v>
      </c>
      <c r="L1664" s="9">
        <v>2.7589999999999998E-5</v>
      </c>
      <c r="M1664" s="9">
        <v>5.0569999999999999E-5</v>
      </c>
      <c r="N1664" s="9">
        <v>6.2130000000000003E-5</v>
      </c>
      <c r="O1664" s="9">
        <v>2.1480000000000001E-5</v>
      </c>
      <c r="P1664" s="9">
        <v>5.1010000000000001E-5</v>
      </c>
      <c r="Q1664" s="9">
        <v>7.9909999999999999E-5</v>
      </c>
      <c r="R1664" s="10">
        <v>5.3533489880826494E-5</v>
      </c>
      <c r="S1664" s="10">
        <v>1.8809984707907915E-5</v>
      </c>
      <c r="T1664" s="10">
        <v>0</v>
      </c>
      <c r="U1664" s="10">
        <v>1.74E-4</v>
      </c>
      <c r="V1664" s="25"/>
      <c r="W1664" s="25"/>
      <c r="X1664" s="25"/>
      <c r="Y1664" s="25"/>
      <c r="Z1664" s="25"/>
      <c r="AA1664" s="25"/>
    </row>
    <row r="1665" spans="1:27" x14ac:dyDescent="0.35">
      <c r="A1665" s="5">
        <v>1661</v>
      </c>
      <c r="B1665" s="5">
        <v>70</v>
      </c>
      <c r="C1665" s="5">
        <v>3</v>
      </c>
      <c r="D1665" s="25">
        <v>1.1416E-4</v>
      </c>
      <c r="E1665" s="25">
        <v>1.1299E-4</v>
      </c>
      <c r="F1665" s="25">
        <v>1.305E-4</v>
      </c>
      <c r="G1665" s="25">
        <v>5.2500000000000002E-5</v>
      </c>
      <c r="H1665" s="25">
        <v>1.506E-5</v>
      </c>
      <c r="I1665" s="9">
        <v>1.0938E-4</v>
      </c>
      <c r="J1665" s="9">
        <v>9.6189999999999999E-5</v>
      </c>
      <c r="K1665" s="9">
        <v>2.3737000000000001E-4</v>
      </c>
      <c r="L1665" s="9">
        <v>2.321E-5</v>
      </c>
      <c r="M1665" s="9">
        <v>4.871E-5</v>
      </c>
      <c r="N1665" s="9">
        <v>6.4490000000000001E-5</v>
      </c>
      <c r="O1665" s="9">
        <v>2.3519999999999998E-5</v>
      </c>
      <c r="P1665" s="9">
        <v>5.8980000000000001E-5</v>
      </c>
      <c r="Q1665" s="9">
        <v>9.3739999999999994E-5</v>
      </c>
      <c r="R1665" s="10">
        <v>5.3063431221050848E-5</v>
      </c>
      <c r="S1665" s="10">
        <v>2.0463247833349865E-5</v>
      </c>
      <c r="T1665" s="10">
        <v>0</v>
      </c>
      <c r="U1665" s="10">
        <v>1.74E-4</v>
      </c>
      <c r="V1665" s="25"/>
      <c r="W1665" s="25"/>
      <c r="X1665" s="25"/>
      <c r="Y1665" s="25"/>
      <c r="Z1665" s="25"/>
      <c r="AA1665" s="25"/>
    </row>
    <row r="1666" spans="1:27" x14ac:dyDescent="0.35">
      <c r="A1666" s="5">
        <v>1662</v>
      </c>
      <c r="B1666" s="5">
        <v>70</v>
      </c>
      <c r="C1666" s="5">
        <v>3</v>
      </c>
      <c r="D1666" s="25">
        <v>1.1415000000000001E-4</v>
      </c>
      <c r="E1666" s="25">
        <v>1.0950000000000001E-4</v>
      </c>
      <c r="F1666" s="25">
        <v>1.3371999999999999E-4</v>
      </c>
      <c r="G1666" s="25">
        <v>1.0811000000000001E-4</v>
      </c>
      <c r="H1666" s="25">
        <v>2.7460000000000001E-5</v>
      </c>
      <c r="I1666" s="9">
        <v>1.1519999999999999E-4</v>
      </c>
      <c r="J1666" s="9">
        <v>9.9770000000000002E-5</v>
      </c>
      <c r="K1666" s="9">
        <v>2.2677E-4</v>
      </c>
      <c r="L1666" s="9">
        <v>2.338E-5</v>
      </c>
      <c r="M1666" s="9">
        <v>5.2269999999999999E-5</v>
      </c>
      <c r="N1666" s="9">
        <v>7.1019999999999994E-5</v>
      </c>
      <c r="O1666" s="9">
        <v>2.9649999999999999E-5</v>
      </c>
      <c r="P1666" s="9">
        <v>6.8440000000000002E-5</v>
      </c>
      <c r="Q1666" s="9">
        <v>1.0650999999999999E-4</v>
      </c>
      <c r="R1666" s="10">
        <v>5.1506799100227827E-5</v>
      </c>
      <c r="S1666" s="10">
        <v>1.5240866953629454E-5</v>
      </c>
      <c r="T1666" s="10">
        <v>0</v>
      </c>
      <c r="U1666" s="10">
        <v>1.74E-4</v>
      </c>
      <c r="V1666" s="25"/>
      <c r="W1666" s="25"/>
      <c r="X1666" s="25"/>
      <c r="Y1666" s="25"/>
      <c r="Z1666" s="25"/>
      <c r="AA1666" s="25"/>
    </row>
    <row r="1667" spans="1:27" x14ac:dyDescent="0.35">
      <c r="A1667" s="5">
        <v>1663</v>
      </c>
      <c r="B1667" s="5">
        <v>70</v>
      </c>
      <c r="C1667" s="5">
        <v>3</v>
      </c>
      <c r="D1667" s="25">
        <v>1.1416E-4</v>
      </c>
      <c r="E1667" s="25">
        <v>1.1966E-4</v>
      </c>
      <c r="F1667" s="25">
        <v>1.3899999999999999E-4</v>
      </c>
      <c r="G1667" s="25">
        <v>1.0535E-4</v>
      </c>
      <c r="H1667" s="25">
        <v>2.6639999999999999E-5</v>
      </c>
      <c r="I1667" s="9">
        <v>1.2852999999999999E-4</v>
      </c>
      <c r="J1667" s="9">
        <v>1.1199E-4</v>
      </c>
      <c r="K1667" s="9">
        <v>2.0557E-4</v>
      </c>
      <c r="L1667" s="9">
        <v>2.817E-5</v>
      </c>
      <c r="M1667" s="9">
        <v>5.9150000000000001E-5</v>
      </c>
      <c r="N1667" s="9">
        <v>8.0599999999999994E-5</v>
      </c>
      <c r="O1667" s="9">
        <v>4.6159999999999999E-5</v>
      </c>
      <c r="P1667" s="9">
        <v>7.9430000000000004E-5</v>
      </c>
      <c r="Q1667" s="9">
        <v>1.122E-4</v>
      </c>
      <c r="R1667" s="10">
        <v>4.841637053106007E-5</v>
      </c>
      <c r="S1667" s="10">
        <v>8.4599749127876855E-6</v>
      </c>
      <c r="T1667" s="10">
        <v>0</v>
      </c>
      <c r="U1667" s="10">
        <v>1.74E-4</v>
      </c>
      <c r="V1667" s="25"/>
      <c r="W1667" s="25"/>
      <c r="X1667" s="25"/>
      <c r="Y1667" s="25"/>
      <c r="Z1667" s="25"/>
      <c r="AA1667" s="25"/>
    </row>
    <row r="1668" spans="1:27" x14ac:dyDescent="0.35">
      <c r="A1668" s="5">
        <v>1664</v>
      </c>
      <c r="B1668" s="5">
        <v>70</v>
      </c>
      <c r="C1668" s="5">
        <v>3</v>
      </c>
      <c r="D1668" s="25">
        <v>1.1415000000000001E-4</v>
      </c>
      <c r="E1668" s="25">
        <v>1.1476000000000001E-4</v>
      </c>
      <c r="F1668" s="25">
        <v>1.3019E-4</v>
      </c>
      <c r="G1668" s="25">
        <v>1.6588E-4</v>
      </c>
      <c r="H1668" s="25">
        <v>3.7830000000000002E-5</v>
      </c>
      <c r="I1668" s="9">
        <v>1.3442E-4</v>
      </c>
      <c r="J1668" s="9">
        <v>1.2718000000000001E-4</v>
      </c>
      <c r="K1668" s="9">
        <v>1.9709E-4</v>
      </c>
      <c r="L1668" s="9">
        <v>4.206E-5</v>
      </c>
      <c r="M1668" s="9">
        <v>6.8189999999999996E-5</v>
      </c>
      <c r="N1668" s="9">
        <v>9.0630000000000005E-5</v>
      </c>
      <c r="O1668" s="9">
        <v>6.8819999999999995E-5</v>
      </c>
      <c r="P1668" s="9">
        <v>1.0348000000000001E-4</v>
      </c>
      <c r="Q1668" s="9">
        <v>1.3779999999999999E-4</v>
      </c>
      <c r="R1668" s="10">
        <v>4.0654106193438931E-5</v>
      </c>
      <c r="S1668" s="10">
        <v>5.0857386566078341E-6</v>
      </c>
      <c r="T1668" s="10">
        <v>7.3728561352738473E-5</v>
      </c>
      <c r="U1668" s="10">
        <v>1.74E-4</v>
      </c>
      <c r="V1668" s="25"/>
      <c r="W1668" s="25"/>
      <c r="X1668" s="25"/>
      <c r="Y1668" s="25"/>
      <c r="Z1668" s="25"/>
      <c r="AA1668" s="25"/>
    </row>
    <row r="1669" spans="1:27" x14ac:dyDescent="0.35">
      <c r="A1669" s="5">
        <v>1665</v>
      </c>
      <c r="B1669" s="5">
        <v>70</v>
      </c>
      <c r="C1669" s="5">
        <v>3</v>
      </c>
      <c r="D1669" s="25">
        <v>1.1416E-4</v>
      </c>
      <c r="E1669" s="25">
        <v>1.1815999999999999E-4</v>
      </c>
      <c r="F1669" s="25">
        <v>1.283E-4</v>
      </c>
      <c r="G1669" s="25">
        <v>1.6757999999999999E-4</v>
      </c>
      <c r="H1669" s="25">
        <v>4.0030000000000001E-5</v>
      </c>
      <c r="I1669" s="9">
        <v>1.3519000000000001E-4</v>
      </c>
      <c r="J1669" s="9">
        <v>1.3549999999999999E-4</v>
      </c>
      <c r="K1669" s="9">
        <v>1.8013999999999999E-4</v>
      </c>
      <c r="L1669" s="9">
        <v>6.2559999999999997E-5</v>
      </c>
      <c r="M1669" s="9">
        <v>8.3139999999999993E-5</v>
      </c>
      <c r="N1669" s="9">
        <v>1.0463000000000001E-4</v>
      </c>
      <c r="O1669" s="9">
        <v>9.9920000000000006E-5</v>
      </c>
      <c r="P1669" s="9">
        <v>1.3857999999999999E-4</v>
      </c>
      <c r="Q1669" s="9">
        <v>1.7705999999999999E-4</v>
      </c>
      <c r="R1669" s="10">
        <v>3.037533534013004E-5</v>
      </c>
      <c r="S1669" s="10">
        <v>5.0486904196047804E-6</v>
      </c>
      <c r="T1669" s="10">
        <v>1.4643052248410968E-4</v>
      </c>
      <c r="U1669" s="10">
        <v>1.74E-4</v>
      </c>
      <c r="V1669" s="25"/>
      <c r="W1669" s="25"/>
      <c r="X1669" s="25"/>
      <c r="Y1669" s="25"/>
      <c r="Z1669" s="25"/>
      <c r="AA1669" s="25"/>
    </row>
    <row r="1670" spans="1:27" x14ac:dyDescent="0.35">
      <c r="A1670" s="5">
        <v>1666</v>
      </c>
      <c r="B1670" s="5">
        <v>70</v>
      </c>
      <c r="C1670" s="5">
        <v>3</v>
      </c>
      <c r="D1670" s="25">
        <v>1.1415000000000001E-4</v>
      </c>
      <c r="E1670" s="25">
        <v>1.0887000000000001E-4</v>
      </c>
      <c r="F1670" s="25">
        <v>1.2922000000000001E-4</v>
      </c>
      <c r="G1670" s="25">
        <v>1.6228E-4</v>
      </c>
      <c r="H1670" s="25">
        <v>3.8739999999999998E-5</v>
      </c>
      <c r="I1670" s="9">
        <v>1.3608000000000001E-4</v>
      </c>
      <c r="J1670" s="9">
        <v>1.3611E-4</v>
      </c>
      <c r="K1670" s="9">
        <v>1.6531E-4</v>
      </c>
      <c r="L1670" s="9">
        <v>9.1160000000000001E-5</v>
      </c>
      <c r="M1670" s="9">
        <v>1.0689E-4</v>
      </c>
      <c r="N1670" s="9">
        <v>1.2470999999999999E-4</v>
      </c>
      <c r="O1670" s="9">
        <v>1.2826999999999999E-4</v>
      </c>
      <c r="P1670" s="9">
        <v>1.5488000000000001E-4</v>
      </c>
      <c r="Q1670" s="9">
        <v>1.8171999999999999E-4</v>
      </c>
      <c r="R1670" s="10">
        <v>2.3021827263415426E-5</v>
      </c>
      <c r="S1670" s="10">
        <v>7.2397463101665224E-6</v>
      </c>
      <c r="T1670" s="10">
        <v>2.1713867326819743E-4</v>
      </c>
      <c r="U1670" s="10">
        <v>1.74E-4</v>
      </c>
      <c r="V1670" s="25"/>
      <c r="W1670" s="25"/>
      <c r="X1670" s="25"/>
      <c r="Y1670" s="25"/>
      <c r="Z1670" s="25"/>
      <c r="AA1670" s="25"/>
    </row>
    <row r="1671" spans="1:27" x14ac:dyDescent="0.35">
      <c r="A1671" s="5">
        <v>1667</v>
      </c>
      <c r="B1671" s="5">
        <v>70</v>
      </c>
      <c r="C1671" s="5">
        <v>3</v>
      </c>
      <c r="D1671" s="25">
        <v>1.1416E-4</v>
      </c>
      <c r="E1671" s="25">
        <v>1.1682E-4</v>
      </c>
      <c r="F1671" s="25">
        <v>1.3930999999999999E-4</v>
      </c>
      <c r="G1671" s="25">
        <v>1.6508000000000001E-4</v>
      </c>
      <c r="H1671" s="25">
        <v>3.8009999999999997E-5</v>
      </c>
      <c r="I1671" s="9">
        <v>1.3475999999999999E-4</v>
      </c>
      <c r="J1671" s="9">
        <v>1.3323999999999999E-4</v>
      </c>
      <c r="K1671" s="9">
        <v>1.6531E-4</v>
      </c>
      <c r="L1671" s="9">
        <v>1.194E-4</v>
      </c>
      <c r="M1671" s="9">
        <v>1.3014999999999999E-4</v>
      </c>
      <c r="N1671" s="9">
        <v>1.4270999999999999E-4</v>
      </c>
      <c r="O1671" s="9">
        <v>1.3564E-4</v>
      </c>
      <c r="P1671" s="9">
        <v>1.5661000000000001E-4</v>
      </c>
      <c r="Q1671" s="9">
        <v>1.7794999999999999E-4</v>
      </c>
      <c r="R1671" s="10">
        <v>1.4300036227070506E-5</v>
      </c>
      <c r="S1671" s="10">
        <v>1.0143211607834043E-5</v>
      </c>
      <c r="T1671" s="10">
        <v>3.0814126809782606E-4</v>
      </c>
      <c r="U1671" s="10">
        <v>1.74E-4</v>
      </c>
      <c r="V1671" s="25"/>
      <c r="W1671" s="25"/>
      <c r="X1671" s="25"/>
      <c r="Y1671" s="25"/>
      <c r="Z1671" s="25"/>
      <c r="AA1671" s="25"/>
    </row>
    <row r="1672" spans="1:27" x14ac:dyDescent="0.35">
      <c r="A1672" s="5">
        <v>1668</v>
      </c>
      <c r="B1672" s="5">
        <v>70</v>
      </c>
      <c r="C1672" s="5">
        <v>3</v>
      </c>
      <c r="D1672" s="25">
        <v>1.1415000000000001E-4</v>
      </c>
      <c r="E1672" s="25">
        <v>1.0885E-4</v>
      </c>
      <c r="F1672" s="25">
        <v>1.2449999999999999E-4</v>
      </c>
      <c r="G1672" s="25">
        <v>1.6344999999999999E-4</v>
      </c>
      <c r="H1672" s="25">
        <v>3.9150000000000003E-5</v>
      </c>
      <c r="I1672" s="9">
        <v>1.3430000000000001E-4</v>
      </c>
      <c r="J1672" s="9">
        <v>1.3195000000000001E-4</v>
      </c>
      <c r="K1672" s="9">
        <v>1.6954000000000001E-4</v>
      </c>
      <c r="L1672" s="9">
        <v>1.3140999999999999E-4</v>
      </c>
      <c r="M1672" s="9">
        <v>1.4516E-4</v>
      </c>
      <c r="N1672" s="9">
        <v>1.5647E-4</v>
      </c>
      <c r="O1672" s="9">
        <v>1.3718000000000001E-4</v>
      </c>
      <c r="P1672" s="9">
        <v>1.5480999999999999E-4</v>
      </c>
      <c r="Q1672" s="9">
        <v>1.7288000000000001E-4</v>
      </c>
      <c r="R1672" s="10">
        <v>5.0654911485772797E-6</v>
      </c>
      <c r="S1672" s="10">
        <v>1.83915079235328E-5</v>
      </c>
      <c r="T1672" s="10">
        <v>5.8947215024920171E-4</v>
      </c>
      <c r="U1672" s="10">
        <v>1.74E-4</v>
      </c>
      <c r="V1672" s="25"/>
      <c r="W1672" s="25"/>
      <c r="X1672" s="25"/>
      <c r="Y1672" s="25"/>
      <c r="Z1672" s="25"/>
      <c r="AA1672" s="25"/>
    </row>
    <row r="1673" spans="1:27" x14ac:dyDescent="0.35">
      <c r="A1673" s="5">
        <v>1669</v>
      </c>
      <c r="B1673" s="5">
        <v>70</v>
      </c>
      <c r="C1673" s="5">
        <v>3</v>
      </c>
      <c r="D1673" s="25">
        <v>1.1416E-4</v>
      </c>
      <c r="E1673" s="25">
        <v>1.1768E-4</v>
      </c>
      <c r="F1673" s="25">
        <v>1.359E-4</v>
      </c>
      <c r="G1673" s="25">
        <v>1.6195000000000001E-4</v>
      </c>
      <c r="H1673" s="25">
        <v>4.0210000000000003E-5</v>
      </c>
      <c r="I1673" s="9">
        <v>1.3080000000000001E-4</v>
      </c>
      <c r="J1673" s="9">
        <v>1.2994999999999999E-4</v>
      </c>
      <c r="K1673" s="9">
        <v>1.8650000000000001E-4</v>
      </c>
      <c r="L1673" s="9">
        <v>1.3575999999999999E-4</v>
      </c>
      <c r="M1673" s="9">
        <v>1.5181999999999999E-4</v>
      </c>
      <c r="N1673" s="9">
        <v>1.6566000000000001E-4</v>
      </c>
      <c r="O1673" s="9">
        <v>1.2894E-4</v>
      </c>
      <c r="P1673" s="9">
        <v>1.4735E-4</v>
      </c>
      <c r="Q1673" s="9">
        <v>1.6613000000000001E-4</v>
      </c>
      <c r="R1673" s="10">
        <v>1.190518154796109E-6</v>
      </c>
      <c r="S1673" s="10">
        <v>2.7309404087271235E-5</v>
      </c>
      <c r="T1673" s="10">
        <v>6.7263525247929874E-4</v>
      </c>
      <c r="U1673" s="10">
        <v>1.74E-4</v>
      </c>
      <c r="V1673" s="25"/>
      <c r="W1673" s="25"/>
      <c r="X1673" s="25"/>
      <c r="Y1673" s="25"/>
      <c r="Z1673" s="25"/>
      <c r="AA1673" s="25"/>
    </row>
    <row r="1674" spans="1:27" x14ac:dyDescent="0.35">
      <c r="A1674" s="5">
        <v>1670</v>
      </c>
      <c r="B1674" s="5">
        <v>70</v>
      </c>
      <c r="C1674" s="5">
        <v>3</v>
      </c>
      <c r="D1674" s="25">
        <v>1.1415000000000001E-4</v>
      </c>
      <c r="E1674" s="25">
        <v>1.1622E-4</v>
      </c>
      <c r="F1674" s="25">
        <v>1.3464999999999999E-4</v>
      </c>
      <c r="G1674" s="25">
        <v>1.5697000000000001E-4</v>
      </c>
      <c r="H1674" s="25">
        <v>3.871E-5</v>
      </c>
      <c r="I1674" s="9">
        <v>1.3059000000000001E-4</v>
      </c>
      <c r="J1674" s="9">
        <v>1.2966E-4</v>
      </c>
      <c r="K1674" s="9">
        <v>1.8226000000000001E-4</v>
      </c>
      <c r="L1674" s="9">
        <v>1.305E-4</v>
      </c>
      <c r="M1674" s="9">
        <v>1.5147000000000001E-4</v>
      </c>
      <c r="N1674" s="9">
        <v>1.6969000000000001E-4</v>
      </c>
      <c r="O1674" s="9">
        <v>1.1205E-4</v>
      </c>
      <c r="P1674" s="9">
        <v>1.3608000000000001E-4</v>
      </c>
      <c r="Q1674" s="9">
        <v>1.6024999999999999E-4</v>
      </c>
      <c r="R1674" s="10">
        <v>1.1433273463493676E-6</v>
      </c>
      <c r="S1674" s="10">
        <v>3.361358249768567E-5</v>
      </c>
      <c r="T1674" s="10">
        <v>6.3185122550316367E-4</v>
      </c>
      <c r="U1674" s="10">
        <v>1.74E-4</v>
      </c>
      <c r="V1674" s="25"/>
      <c r="W1674" s="25"/>
      <c r="X1674" s="25"/>
      <c r="Y1674" s="25"/>
      <c r="Z1674" s="25"/>
      <c r="AA1674" s="25"/>
    </row>
    <row r="1675" spans="1:27" x14ac:dyDescent="0.35">
      <c r="A1675" s="5">
        <v>1671</v>
      </c>
      <c r="B1675" s="5">
        <v>70</v>
      </c>
      <c r="C1675" s="5">
        <v>3</v>
      </c>
      <c r="D1675" s="25">
        <v>1.1416E-4</v>
      </c>
      <c r="E1675" s="25">
        <v>1.1758E-4</v>
      </c>
      <c r="F1675" s="25">
        <v>1.3391E-4</v>
      </c>
      <c r="G1675" s="25">
        <v>1.5739000000000001E-4</v>
      </c>
      <c r="H1675" s="25">
        <v>3.8080000000000001E-5</v>
      </c>
      <c r="I1675" s="9">
        <v>1.284E-4</v>
      </c>
      <c r="J1675" s="9">
        <v>1.2947999999999999E-4</v>
      </c>
      <c r="K1675" s="9">
        <v>1.7590999999999999E-4</v>
      </c>
      <c r="L1675" s="9">
        <v>1.1632E-4</v>
      </c>
      <c r="M1675" s="9">
        <v>1.4558999999999999E-4</v>
      </c>
      <c r="N1675" s="9">
        <v>1.6914999999999999E-4</v>
      </c>
      <c r="O1675" s="9">
        <v>1.2715E-4</v>
      </c>
      <c r="P1675" s="9">
        <v>1.3967E-4</v>
      </c>
      <c r="Q1675" s="9">
        <v>1.5263000000000001E-4</v>
      </c>
      <c r="R1675" s="10">
        <v>2.9380997296276316E-6</v>
      </c>
      <c r="S1675" s="10">
        <v>3.6790745163417385E-5</v>
      </c>
      <c r="T1675" s="10">
        <v>5.4095044226573673E-4</v>
      </c>
      <c r="U1675" s="10">
        <v>1.74E-4</v>
      </c>
      <c r="V1675" s="25"/>
      <c r="W1675" s="25"/>
      <c r="X1675" s="25"/>
      <c r="Y1675" s="25"/>
      <c r="Z1675" s="25"/>
      <c r="AA1675" s="25"/>
    </row>
    <row r="1676" spans="1:27" x14ac:dyDescent="0.35">
      <c r="A1676" s="5">
        <v>1672</v>
      </c>
      <c r="B1676" s="5">
        <v>70</v>
      </c>
      <c r="C1676" s="5">
        <v>3</v>
      </c>
      <c r="D1676" s="25">
        <v>1.1415000000000001E-4</v>
      </c>
      <c r="E1676" s="25">
        <v>1.1841999999999999E-4</v>
      </c>
      <c r="F1676" s="25">
        <v>1.2956E-4</v>
      </c>
      <c r="G1676" s="25">
        <v>1.593E-4</v>
      </c>
      <c r="H1676" s="25">
        <v>4.0389999999999998E-5</v>
      </c>
      <c r="I1676" s="9">
        <v>1.2778999999999999E-4</v>
      </c>
      <c r="J1676" s="9">
        <v>1.3011000000000001E-4</v>
      </c>
      <c r="K1676" s="9">
        <v>1.9074000000000001E-4</v>
      </c>
      <c r="L1676" s="9">
        <v>1.2517999999999999E-4</v>
      </c>
      <c r="M1676" s="9">
        <v>1.4181999999999999E-4</v>
      </c>
      <c r="N1676" s="9">
        <v>1.6540000000000001E-4</v>
      </c>
      <c r="O1676" s="9">
        <v>1.3511E-4</v>
      </c>
      <c r="P1676" s="9">
        <v>1.2244999999999999E-4</v>
      </c>
      <c r="Q1676" s="9">
        <v>1.1069E-4</v>
      </c>
      <c r="R1676" s="10">
        <v>3.7930886434065489E-6</v>
      </c>
      <c r="S1676" s="10">
        <v>4.4584008752634175E-5</v>
      </c>
      <c r="T1676" s="10">
        <v>3.9737912866262505E-4</v>
      </c>
      <c r="U1676" s="10">
        <v>1.74E-4</v>
      </c>
      <c r="V1676" s="25"/>
      <c r="W1676" s="25"/>
      <c r="X1676" s="25"/>
      <c r="Y1676" s="25"/>
      <c r="Z1676" s="25"/>
      <c r="AA1676" s="25"/>
    </row>
    <row r="1677" spans="1:27" x14ac:dyDescent="0.35">
      <c r="A1677" s="5">
        <v>1673</v>
      </c>
      <c r="B1677" s="5">
        <v>70</v>
      </c>
      <c r="C1677" s="5">
        <v>3</v>
      </c>
      <c r="D1677" s="25">
        <v>1.1416E-4</v>
      </c>
      <c r="E1677" s="25">
        <v>1.1197E-4</v>
      </c>
      <c r="F1677" s="25">
        <v>1.2862E-4</v>
      </c>
      <c r="G1677" s="25">
        <v>1.6197999999999999E-4</v>
      </c>
      <c r="H1677" s="25">
        <v>3.8980000000000003E-5</v>
      </c>
      <c r="I1677" s="9">
        <v>1.2747E-4</v>
      </c>
      <c r="J1677" s="9">
        <v>1.3228E-4</v>
      </c>
      <c r="K1677" s="9">
        <v>2.4159999999999999E-4</v>
      </c>
      <c r="L1677" s="9">
        <v>1.3264E-4</v>
      </c>
      <c r="M1677" s="9">
        <v>1.3402999999999999E-4</v>
      </c>
      <c r="N1677" s="9">
        <v>1.5207999999999999E-4</v>
      </c>
      <c r="O1677" s="9">
        <v>1.3985000000000001E-4</v>
      </c>
      <c r="P1677" s="9">
        <v>1.2291E-4</v>
      </c>
      <c r="Q1677" s="9">
        <v>1.0697E-4</v>
      </c>
      <c r="R1677" s="10">
        <v>2.6780927620874024E-6</v>
      </c>
      <c r="S1677" s="10">
        <v>5.7556434040797833E-5</v>
      </c>
      <c r="T1677" s="10">
        <v>2.0268991147490473E-4</v>
      </c>
      <c r="U1677" s="10">
        <v>1.74E-4</v>
      </c>
      <c r="V1677" s="25"/>
      <c r="W1677" s="25"/>
      <c r="X1677" s="25"/>
      <c r="Y1677" s="25"/>
      <c r="Z1677" s="25"/>
      <c r="AA1677" s="25"/>
    </row>
    <row r="1678" spans="1:27" x14ac:dyDescent="0.35">
      <c r="A1678" s="5">
        <v>1674</v>
      </c>
      <c r="B1678" s="5">
        <v>70</v>
      </c>
      <c r="C1678" s="5">
        <v>3</v>
      </c>
      <c r="D1678" s="25">
        <v>1.1415000000000001E-4</v>
      </c>
      <c r="E1678" s="25">
        <v>1.1977999999999999E-4</v>
      </c>
      <c r="F1678" s="25">
        <v>1.2197E-4</v>
      </c>
      <c r="G1678" s="25">
        <v>1.6249E-4</v>
      </c>
      <c r="H1678" s="25">
        <v>3.9190000000000003E-5</v>
      </c>
      <c r="I1678" s="9">
        <v>1.294E-4</v>
      </c>
      <c r="J1678" s="9">
        <v>1.349E-4</v>
      </c>
      <c r="K1678" s="9">
        <v>2.6491999999999998E-4</v>
      </c>
      <c r="L1678" s="9">
        <v>1.3794999999999999E-4</v>
      </c>
      <c r="M1678" s="9">
        <v>1.2805E-4</v>
      </c>
      <c r="N1678" s="9">
        <v>1.3888E-4</v>
      </c>
      <c r="O1678" s="9">
        <v>1.4085000000000001E-4</v>
      </c>
      <c r="P1678" s="9">
        <v>1.2887E-4</v>
      </c>
      <c r="Q1678" s="9">
        <v>1.1781999999999999E-4</v>
      </c>
      <c r="R1678" s="10">
        <v>2.1257000065539016E-6</v>
      </c>
      <c r="S1678" s="10">
        <v>7.7287055089243138E-5</v>
      </c>
      <c r="T1678" s="10">
        <v>1.5085084244553396E-5</v>
      </c>
      <c r="U1678" s="10">
        <v>1.74E-4</v>
      </c>
      <c r="V1678" s="25"/>
      <c r="W1678" s="25"/>
      <c r="X1678" s="25"/>
      <c r="Y1678" s="25"/>
      <c r="Z1678" s="25"/>
      <c r="AA1678" s="25"/>
    </row>
    <row r="1679" spans="1:27" x14ac:dyDescent="0.35">
      <c r="A1679" s="5">
        <v>1675</v>
      </c>
      <c r="B1679" s="5">
        <v>70</v>
      </c>
      <c r="C1679" s="5">
        <v>3</v>
      </c>
      <c r="D1679" s="25">
        <v>1.1416E-4</v>
      </c>
      <c r="E1679" s="25">
        <v>1.1430999999999999E-4</v>
      </c>
      <c r="F1679" s="25">
        <v>1.2003E-4</v>
      </c>
      <c r="G1679" s="25">
        <v>1.1034E-4</v>
      </c>
      <c r="H1679" s="25">
        <v>2.6069999999999999E-5</v>
      </c>
      <c r="I1679" s="9">
        <v>1.3414000000000001E-4</v>
      </c>
      <c r="J1679" s="9">
        <v>1.3569999999999999E-4</v>
      </c>
      <c r="K1679" s="9">
        <v>2.6067000000000001E-4</v>
      </c>
      <c r="L1679" s="9">
        <v>1.4014E-4</v>
      </c>
      <c r="M1679" s="9">
        <v>1.2695E-4</v>
      </c>
      <c r="N1679" s="9">
        <v>1.2999999999999999E-4</v>
      </c>
      <c r="O1679" s="9">
        <v>1.4093999999999999E-4</v>
      </c>
      <c r="P1679" s="9">
        <v>1.2333999999999999E-4</v>
      </c>
      <c r="Q1679" s="9">
        <v>1.0676E-4</v>
      </c>
      <c r="R1679" s="10">
        <v>4.9028536629970856E-6</v>
      </c>
      <c r="S1679" s="10">
        <v>9.0573174085800817E-5</v>
      </c>
      <c r="T1679" s="10">
        <v>0</v>
      </c>
      <c r="U1679" s="10">
        <v>1.74E-4</v>
      </c>
      <c r="V1679" s="25"/>
      <c r="W1679" s="25"/>
      <c r="X1679" s="25"/>
      <c r="Y1679" s="25"/>
      <c r="Z1679" s="25"/>
      <c r="AA1679" s="25"/>
    </row>
    <row r="1680" spans="1:27" x14ac:dyDescent="0.35">
      <c r="A1680" s="5">
        <v>1676</v>
      </c>
      <c r="B1680" s="5">
        <v>70</v>
      </c>
      <c r="C1680" s="5">
        <v>3</v>
      </c>
      <c r="D1680" s="25">
        <v>1.1415000000000001E-4</v>
      </c>
      <c r="E1680" s="25">
        <v>1.1278E-4</v>
      </c>
      <c r="F1680" s="25">
        <v>1.3798E-4</v>
      </c>
      <c r="G1680" s="25">
        <v>1.1551E-4</v>
      </c>
      <c r="H1680" s="25">
        <v>2.7330000000000001E-5</v>
      </c>
      <c r="I1680" s="9">
        <v>1.3872E-4</v>
      </c>
      <c r="J1680" s="9">
        <v>1.4087E-4</v>
      </c>
      <c r="K1680" s="9">
        <v>2.5643999999999998E-4</v>
      </c>
      <c r="L1680" s="9">
        <v>1.4076E-4</v>
      </c>
      <c r="M1680" s="9">
        <v>1.2563E-4</v>
      </c>
      <c r="N1680" s="9">
        <v>1.209E-4</v>
      </c>
      <c r="O1680" s="9">
        <v>1.4281E-4</v>
      </c>
      <c r="P1680" s="9">
        <v>1.2146000000000001E-4</v>
      </c>
      <c r="Q1680" s="9">
        <v>1.0119999999999999E-4</v>
      </c>
      <c r="R1680" s="10">
        <v>1.4938999032473601E-5</v>
      </c>
      <c r="S1680" s="10">
        <v>1.0338970553522261E-4</v>
      </c>
      <c r="T1680" s="10">
        <v>0</v>
      </c>
      <c r="U1680" s="10">
        <v>1.74E-4</v>
      </c>
      <c r="V1680" s="25"/>
      <c r="W1680" s="25"/>
      <c r="X1680" s="25"/>
      <c r="Y1680" s="25"/>
      <c r="Z1680" s="25"/>
      <c r="AA1680" s="25"/>
    </row>
    <row r="1681" spans="1:27" x14ac:dyDescent="0.35">
      <c r="A1681" s="5">
        <v>1677</v>
      </c>
      <c r="B1681" s="5">
        <v>70</v>
      </c>
      <c r="C1681" s="5">
        <v>3</v>
      </c>
      <c r="D1681" s="25">
        <v>1.1416E-4</v>
      </c>
      <c r="E1681" s="25">
        <v>1.0965E-4</v>
      </c>
      <c r="F1681" s="25">
        <v>1.3379E-4</v>
      </c>
      <c r="G1681" s="25">
        <v>5.7479999999999999E-5</v>
      </c>
      <c r="H1681" s="25">
        <v>1.276E-5</v>
      </c>
      <c r="I1681" s="9">
        <v>1.3307999999999999E-4</v>
      </c>
      <c r="J1681" s="9">
        <v>1.3579E-4</v>
      </c>
      <c r="K1681" s="9">
        <v>2.5856000000000002E-4</v>
      </c>
      <c r="L1681" s="9">
        <v>1.4238E-4</v>
      </c>
      <c r="M1681" s="9">
        <v>1.2381E-4</v>
      </c>
      <c r="N1681" s="9">
        <v>1.1309E-4</v>
      </c>
      <c r="O1681" s="9">
        <v>8.4839999999999994E-5</v>
      </c>
      <c r="P1681" s="9">
        <v>8.6550000000000003E-5</v>
      </c>
      <c r="Q1681" s="9">
        <v>8.8560000000000006E-5</v>
      </c>
      <c r="R1681" s="10">
        <v>2.9158816438459517E-5</v>
      </c>
      <c r="S1681" s="10">
        <v>1.2268323225028455E-4</v>
      </c>
      <c r="T1681" s="10">
        <v>0</v>
      </c>
      <c r="U1681" s="10">
        <v>1.74E-4</v>
      </c>
      <c r="V1681" s="25"/>
      <c r="W1681" s="25"/>
      <c r="X1681" s="25"/>
      <c r="Y1681" s="25"/>
      <c r="Z1681" s="25"/>
      <c r="AA1681" s="25"/>
    </row>
    <row r="1682" spans="1:27" x14ac:dyDescent="0.35">
      <c r="A1682" s="5">
        <v>1678</v>
      </c>
      <c r="B1682" s="5">
        <v>70</v>
      </c>
      <c r="C1682" s="5">
        <v>3</v>
      </c>
      <c r="D1682" s="25">
        <v>1.1415000000000001E-4</v>
      </c>
      <c r="E1682" s="25">
        <v>1.1557000000000001E-4</v>
      </c>
      <c r="F1682" s="25">
        <v>1.2345999999999999E-4</v>
      </c>
      <c r="G1682" s="25">
        <v>6.0739999999999998E-5</v>
      </c>
      <c r="H1682" s="25">
        <v>1.4810000000000001E-5</v>
      </c>
      <c r="I1682" s="9">
        <v>1.2617999999999999E-4</v>
      </c>
      <c r="J1682" s="9">
        <v>1.2710999999999999E-4</v>
      </c>
      <c r="K1682" s="9">
        <v>2.6068E-4</v>
      </c>
      <c r="L1682" s="9">
        <v>9.7460000000000005E-5</v>
      </c>
      <c r="M1682" s="9">
        <v>1.099E-4</v>
      </c>
      <c r="N1682" s="9">
        <v>1.0553E-4</v>
      </c>
      <c r="O1682" s="9">
        <v>8.7819999999999996E-5</v>
      </c>
      <c r="P1682" s="9">
        <v>8.8140000000000007E-5</v>
      </c>
      <c r="Q1682" s="9">
        <v>8.8789999999999995E-5</v>
      </c>
      <c r="R1682" s="10">
        <v>4.2696666396480389E-5</v>
      </c>
      <c r="S1682" s="10">
        <v>1.3466567592595766E-4</v>
      </c>
      <c r="T1682" s="10">
        <v>0</v>
      </c>
      <c r="U1682" s="10">
        <v>1.74E-4</v>
      </c>
      <c r="V1682" s="25"/>
      <c r="W1682" s="25"/>
      <c r="X1682" s="25"/>
      <c r="Y1682" s="25"/>
      <c r="Z1682" s="25"/>
      <c r="AA1682" s="25"/>
    </row>
    <row r="1683" spans="1:27" x14ac:dyDescent="0.35">
      <c r="A1683" s="5">
        <v>1679</v>
      </c>
      <c r="B1683" s="5">
        <v>70</v>
      </c>
      <c r="C1683" s="5">
        <v>3</v>
      </c>
      <c r="D1683" s="25">
        <v>1.1416E-4</v>
      </c>
      <c r="E1683" s="25">
        <v>1.1090999999999999E-4</v>
      </c>
      <c r="F1683" s="25">
        <v>1.2385E-4</v>
      </c>
      <c r="G1683" s="25">
        <v>6.2459999999999995E-5</v>
      </c>
      <c r="H1683" s="25">
        <v>1.5160000000000001E-5</v>
      </c>
      <c r="I1683" s="9">
        <v>1.2725E-4</v>
      </c>
      <c r="J1683" s="9">
        <v>1.1743000000000001E-4</v>
      </c>
      <c r="K1683" s="9">
        <v>2.5855000000000002E-4</v>
      </c>
      <c r="L1683" s="9">
        <v>9.1180000000000005E-5</v>
      </c>
      <c r="M1683" s="9">
        <v>9.8330000000000002E-5</v>
      </c>
      <c r="N1683" s="9">
        <v>9.9840000000000006E-5</v>
      </c>
      <c r="O1683" s="9">
        <v>8.4560000000000004E-5</v>
      </c>
      <c r="P1683" s="9">
        <v>7.5480000000000002E-5</v>
      </c>
      <c r="Q1683" s="9">
        <v>6.6870000000000002E-5</v>
      </c>
      <c r="R1683" s="10">
        <v>5.8546265348867904E-5</v>
      </c>
      <c r="S1683" s="10">
        <v>1.2658468731399956E-4</v>
      </c>
      <c r="T1683" s="10">
        <v>0</v>
      </c>
      <c r="U1683" s="10">
        <v>1.74E-4</v>
      </c>
      <c r="V1683" s="25"/>
      <c r="W1683" s="25"/>
      <c r="X1683" s="25"/>
      <c r="Y1683" s="25"/>
      <c r="Z1683" s="25"/>
      <c r="AA1683" s="25"/>
    </row>
    <row r="1684" spans="1:27" x14ac:dyDescent="0.35">
      <c r="A1684" s="5">
        <v>1680</v>
      </c>
      <c r="B1684" s="5">
        <v>70</v>
      </c>
      <c r="C1684" s="5">
        <v>3</v>
      </c>
      <c r="D1684" s="25">
        <v>1.1415000000000001E-4</v>
      </c>
      <c r="E1684" s="25">
        <v>1.1234E-4</v>
      </c>
      <c r="F1684" s="25">
        <v>1.3496999999999999E-4</v>
      </c>
      <c r="G1684" s="25">
        <v>5.3739999999999997E-5</v>
      </c>
      <c r="H1684" s="25">
        <v>1.3040000000000001E-5</v>
      </c>
      <c r="I1684" s="9">
        <v>1.2657E-4</v>
      </c>
      <c r="J1684" s="9">
        <v>1.0909E-4</v>
      </c>
      <c r="K1684" s="9">
        <v>2.5431E-4</v>
      </c>
      <c r="L1684" s="9">
        <v>8.6230000000000006E-5</v>
      </c>
      <c r="M1684" s="9">
        <v>8.7410000000000005E-5</v>
      </c>
      <c r="N1684" s="9">
        <v>9.0569999999999995E-5</v>
      </c>
      <c r="O1684" s="9">
        <v>7.9569999999999999E-5</v>
      </c>
      <c r="P1684" s="9">
        <v>6.9170000000000004E-5</v>
      </c>
      <c r="Q1684" s="9">
        <v>5.9209999999999997E-5</v>
      </c>
      <c r="R1684" s="10">
        <v>7.5790488799391782E-5</v>
      </c>
      <c r="S1684" s="10">
        <v>1.2306808724133462E-4</v>
      </c>
      <c r="T1684" s="10">
        <v>0</v>
      </c>
      <c r="U1684" s="10">
        <v>1.74E-4</v>
      </c>
      <c r="V1684" s="25"/>
      <c r="W1684" s="25"/>
      <c r="X1684" s="25"/>
      <c r="Y1684" s="25"/>
      <c r="Z1684" s="25"/>
      <c r="AA1684" s="25"/>
    </row>
    <row r="1685" spans="1:27" x14ac:dyDescent="0.35">
      <c r="A1685" s="5">
        <v>1681</v>
      </c>
      <c r="B1685" s="5">
        <v>71</v>
      </c>
      <c r="C1685" s="5">
        <v>3</v>
      </c>
      <c r="D1685" s="25">
        <v>1.1416E-4</v>
      </c>
      <c r="E1685" s="25">
        <v>1.1326E-4</v>
      </c>
      <c r="F1685" s="25">
        <v>9.7280000000000004E-5</v>
      </c>
      <c r="G1685" s="25">
        <v>6.1320000000000002E-5</v>
      </c>
      <c r="H1685" s="25">
        <v>6.5060000000000004E-5</v>
      </c>
      <c r="I1685" s="9">
        <v>1.1995E-4</v>
      </c>
      <c r="J1685" s="9">
        <v>9.5859999999999994E-5</v>
      </c>
      <c r="K1685" s="9">
        <v>2.4583999999999999E-4</v>
      </c>
      <c r="L1685" s="9">
        <v>8.0840000000000005E-5</v>
      </c>
      <c r="M1685" s="9">
        <v>7.8360000000000002E-5</v>
      </c>
      <c r="N1685" s="9">
        <v>8.1260000000000005E-5</v>
      </c>
      <c r="O1685" s="9">
        <v>5.4759999999999997E-5</v>
      </c>
      <c r="P1685" s="9">
        <v>5.418E-5</v>
      </c>
      <c r="Q1685" s="9">
        <v>5.3749999999999999E-5</v>
      </c>
      <c r="R1685" s="10">
        <v>7.6750474401987334E-5</v>
      </c>
      <c r="S1685" s="10">
        <v>1.1631715620611944E-4</v>
      </c>
      <c r="T1685" s="10">
        <v>0</v>
      </c>
      <c r="U1685" s="10">
        <v>1.6948000000000001E-4</v>
      </c>
      <c r="V1685" s="25"/>
      <c r="W1685" s="25"/>
      <c r="X1685" s="25"/>
      <c r="Y1685" s="25"/>
      <c r="Z1685" s="25"/>
      <c r="AA1685" s="25"/>
    </row>
    <row r="1686" spans="1:27" x14ac:dyDescent="0.35">
      <c r="A1686" s="5">
        <v>1682</v>
      </c>
      <c r="B1686" s="5">
        <v>71</v>
      </c>
      <c r="C1686" s="5">
        <v>3</v>
      </c>
      <c r="D1686" s="25">
        <v>1.1415000000000001E-4</v>
      </c>
      <c r="E1686" s="25">
        <v>1.1366000000000001E-4</v>
      </c>
      <c r="F1686" s="25">
        <v>1.1815999999999999E-4</v>
      </c>
      <c r="G1686" s="25">
        <v>5.7550000000000003E-5</v>
      </c>
      <c r="H1686" s="25">
        <v>7.1500000000000003E-5</v>
      </c>
      <c r="I1686" s="9">
        <v>1.1374000000000001E-4</v>
      </c>
      <c r="J1686" s="9">
        <v>9.1139999999999998E-5</v>
      </c>
      <c r="K1686" s="9">
        <v>2.4795999999999998E-4</v>
      </c>
      <c r="L1686" s="9">
        <v>6.0630000000000001E-5</v>
      </c>
      <c r="M1686" s="9">
        <v>6.7529999999999999E-5</v>
      </c>
      <c r="N1686" s="9">
        <v>7.2249999999999994E-5</v>
      </c>
      <c r="O1686" s="9">
        <v>1.906E-5</v>
      </c>
      <c r="P1686" s="9">
        <v>3.8059999999999998E-5</v>
      </c>
      <c r="Q1686" s="9">
        <v>5.664E-5</v>
      </c>
      <c r="R1686" s="10">
        <v>8.5332204579076636E-5</v>
      </c>
      <c r="S1686" s="10">
        <v>1.0808445351904949E-4</v>
      </c>
      <c r="T1686" s="10">
        <v>0</v>
      </c>
      <c r="U1686" s="10">
        <v>1.6948000000000001E-4</v>
      </c>
      <c r="V1686" s="25"/>
      <c r="W1686" s="25"/>
      <c r="X1686" s="25"/>
      <c r="Y1686" s="25"/>
      <c r="Z1686" s="25"/>
      <c r="AA1686" s="25"/>
    </row>
    <row r="1687" spans="1:27" x14ac:dyDescent="0.35">
      <c r="A1687" s="5">
        <v>1683</v>
      </c>
      <c r="B1687" s="5">
        <v>71</v>
      </c>
      <c r="C1687" s="5">
        <v>3</v>
      </c>
      <c r="D1687" s="25">
        <v>1.1416E-4</v>
      </c>
      <c r="E1687" s="25">
        <v>1.0315999999999999E-4</v>
      </c>
      <c r="F1687" s="25">
        <v>1.0179E-4</v>
      </c>
      <c r="G1687" s="25">
        <v>5.9719999999999997E-5</v>
      </c>
      <c r="H1687" s="25">
        <v>6.7739999999999999E-5</v>
      </c>
      <c r="I1687" s="9">
        <v>1.0931E-4</v>
      </c>
      <c r="J1687" s="9">
        <v>9.0619999999999996E-5</v>
      </c>
      <c r="K1687" s="9">
        <v>2.5856000000000002E-4</v>
      </c>
      <c r="L1687" s="9">
        <v>2.8750000000000001E-5</v>
      </c>
      <c r="M1687" s="9">
        <v>5.427E-5</v>
      </c>
      <c r="N1687" s="9">
        <v>6.5770000000000002E-5</v>
      </c>
      <c r="O1687" s="9">
        <v>1.3550000000000001E-5</v>
      </c>
      <c r="P1687" s="9">
        <v>3.8109999999999999E-5</v>
      </c>
      <c r="Q1687" s="9">
        <v>6.211E-5</v>
      </c>
      <c r="R1687" s="10">
        <v>7.9329262997379258E-5</v>
      </c>
      <c r="S1687" s="10">
        <v>9.3316448300695637E-5</v>
      </c>
      <c r="T1687" s="10">
        <v>0</v>
      </c>
      <c r="U1687" s="10">
        <v>1.6948000000000001E-4</v>
      </c>
      <c r="V1687" s="25"/>
      <c r="W1687" s="25"/>
      <c r="X1687" s="25"/>
      <c r="Y1687" s="25"/>
      <c r="Z1687" s="25"/>
      <c r="AA1687" s="25"/>
    </row>
    <row r="1688" spans="1:27" x14ac:dyDescent="0.35">
      <c r="A1688" s="5">
        <v>1684</v>
      </c>
      <c r="B1688" s="5">
        <v>71</v>
      </c>
      <c r="C1688" s="5">
        <v>3</v>
      </c>
      <c r="D1688" s="25">
        <v>1.1415000000000001E-4</v>
      </c>
      <c r="E1688" s="25">
        <v>1.137E-4</v>
      </c>
      <c r="F1688" s="25">
        <v>1.0933999999999999E-4</v>
      </c>
      <c r="G1688" s="25">
        <v>6.3529999999999997E-5</v>
      </c>
      <c r="H1688" s="25">
        <v>6.9590000000000003E-5</v>
      </c>
      <c r="I1688" s="9">
        <v>1.0799E-4</v>
      </c>
      <c r="J1688" s="9">
        <v>9.4840000000000007E-5</v>
      </c>
      <c r="K1688" s="9">
        <v>2.8822E-4</v>
      </c>
      <c r="L1688" s="9">
        <v>1.7759999999999999E-5</v>
      </c>
      <c r="M1688" s="9">
        <v>4.5250000000000002E-5</v>
      </c>
      <c r="N1688" s="9">
        <v>6.2269999999999998E-5</v>
      </c>
      <c r="O1688" s="9">
        <v>1.34E-5</v>
      </c>
      <c r="P1688" s="9">
        <v>4.7120000000000003E-5</v>
      </c>
      <c r="Q1688" s="9">
        <v>8.0129999999999993E-5</v>
      </c>
      <c r="R1688" s="10">
        <v>6.9448787425054851E-5</v>
      </c>
      <c r="S1688" s="10">
        <v>7.9655311266877286E-5</v>
      </c>
      <c r="T1688" s="10">
        <v>0</v>
      </c>
      <c r="U1688" s="10">
        <v>1.6948000000000001E-4</v>
      </c>
      <c r="V1688" s="25"/>
      <c r="W1688" s="25"/>
      <c r="X1688" s="25"/>
      <c r="Y1688" s="25"/>
      <c r="Z1688" s="25"/>
      <c r="AA1688" s="25"/>
    </row>
    <row r="1689" spans="1:27" x14ac:dyDescent="0.35">
      <c r="A1689" s="5">
        <v>1685</v>
      </c>
      <c r="B1689" s="5">
        <v>71</v>
      </c>
      <c r="C1689" s="5">
        <v>3</v>
      </c>
      <c r="D1689" s="25">
        <v>1.1416E-4</v>
      </c>
      <c r="E1689" s="25">
        <v>1.1095E-4</v>
      </c>
      <c r="F1689" s="25">
        <v>1.0509999999999999E-4</v>
      </c>
      <c r="G1689" s="25">
        <v>5.4410000000000003E-5</v>
      </c>
      <c r="H1689" s="25">
        <v>6.3990000000000002E-5</v>
      </c>
      <c r="I1689" s="9">
        <v>1.091E-4</v>
      </c>
      <c r="J1689" s="9">
        <v>9.2639999999999994E-5</v>
      </c>
      <c r="K1689" s="9">
        <v>2.8397999999999997E-4</v>
      </c>
      <c r="L1689" s="9">
        <v>1.454E-5</v>
      </c>
      <c r="M1689" s="9">
        <v>4.3930000000000001E-5</v>
      </c>
      <c r="N1689" s="9">
        <v>6.4700000000000001E-5</v>
      </c>
      <c r="O1689" s="9">
        <v>1.8749999999999998E-5</v>
      </c>
      <c r="P1689" s="9">
        <v>5.6159999999999998E-5</v>
      </c>
      <c r="Q1689" s="9">
        <v>9.2860000000000002E-5</v>
      </c>
      <c r="R1689" s="10">
        <v>7.1128898505731786E-5</v>
      </c>
      <c r="S1689" s="10">
        <v>5.7729041217424529E-5</v>
      </c>
      <c r="T1689" s="10">
        <v>0</v>
      </c>
      <c r="U1689" s="10">
        <v>1.6948000000000001E-4</v>
      </c>
      <c r="V1689" s="25"/>
      <c r="W1689" s="25"/>
      <c r="X1689" s="25"/>
      <c r="Y1689" s="25"/>
      <c r="Z1689" s="25"/>
      <c r="AA1689" s="25"/>
    </row>
    <row r="1690" spans="1:27" x14ac:dyDescent="0.35">
      <c r="A1690" s="5">
        <v>1686</v>
      </c>
      <c r="B1690" s="5">
        <v>71</v>
      </c>
      <c r="C1690" s="5">
        <v>3</v>
      </c>
      <c r="D1690" s="25">
        <v>1.1415000000000001E-4</v>
      </c>
      <c r="E1690" s="25">
        <v>1.0487E-4</v>
      </c>
      <c r="F1690" s="25">
        <v>1.1636E-4</v>
      </c>
      <c r="G1690" s="25">
        <v>1.0629E-4</v>
      </c>
      <c r="H1690" s="25">
        <v>1.3860000000000001E-4</v>
      </c>
      <c r="I1690" s="9">
        <v>1.1456E-4</v>
      </c>
      <c r="J1690" s="9">
        <v>9.3629999999999996E-5</v>
      </c>
      <c r="K1690" s="9">
        <v>2.8399000000000002E-4</v>
      </c>
      <c r="L1690" s="9">
        <v>1.7689999999999998E-5</v>
      </c>
      <c r="M1690" s="9">
        <v>4.8369999999999999E-5</v>
      </c>
      <c r="N1690" s="9">
        <v>7.1019999999999994E-5</v>
      </c>
      <c r="O1690" s="9">
        <v>4.668E-5</v>
      </c>
      <c r="P1690" s="9">
        <v>7.75E-5</v>
      </c>
      <c r="Q1690" s="9">
        <v>1.0791E-4</v>
      </c>
      <c r="R1690" s="10">
        <v>7.89351612057728E-5</v>
      </c>
      <c r="S1690" s="10">
        <v>5.034704687004174E-5</v>
      </c>
      <c r="T1690" s="10">
        <v>0</v>
      </c>
      <c r="U1690" s="10">
        <v>1.6948000000000001E-4</v>
      </c>
      <c r="V1690" s="25"/>
      <c r="W1690" s="25"/>
      <c r="X1690" s="25"/>
      <c r="Y1690" s="25"/>
      <c r="Z1690" s="25"/>
      <c r="AA1690" s="25"/>
    </row>
    <row r="1691" spans="1:27" x14ac:dyDescent="0.35">
      <c r="A1691" s="5">
        <v>1687</v>
      </c>
      <c r="B1691" s="5">
        <v>71</v>
      </c>
      <c r="C1691" s="5">
        <v>3</v>
      </c>
      <c r="D1691" s="25">
        <v>1.1416E-4</v>
      </c>
      <c r="E1691" s="25">
        <v>1.1305E-4</v>
      </c>
      <c r="F1691" s="25">
        <v>1.1546E-4</v>
      </c>
      <c r="G1691" s="25">
        <v>1.0584E-4</v>
      </c>
      <c r="H1691" s="25">
        <v>1.2742E-4</v>
      </c>
      <c r="I1691" s="9">
        <v>1.2710999999999999E-4</v>
      </c>
      <c r="J1691" s="9">
        <v>1.0467999999999999E-4</v>
      </c>
      <c r="K1691" s="9">
        <v>2.8611000000000001E-4</v>
      </c>
      <c r="L1691" s="9">
        <v>4.0170000000000003E-5</v>
      </c>
      <c r="M1691" s="9">
        <v>6.012E-5</v>
      </c>
      <c r="N1691" s="9">
        <v>8.0870000000000003E-5</v>
      </c>
      <c r="O1691" s="9">
        <v>1.2307E-4</v>
      </c>
      <c r="P1691" s="9">
        <v>1.1737E-4</v>
      </c>
      <c r="Q1691" s="9">
        <v>1.1243000000000001E-4</v>
      </c>
      <c r="R1691" s="10">
        <v>7.9754451822837983E-5</v>
      </c>
      <c r="S1691" s="10">
        <v>5.6862617084426213E-5</v>
      </c>
      <c r="T1691" s="10">
        <v>0</v>
      </c>
      <c r="U1691" s="10">
        <v>1.6948000000000001E-4</v>
      </c>
      <c r="V1691" s="25"/>
      <c r="W1691" s="25"/>
      <c r="X1691" s="25"/>
      <c r="Y1691" s="25"/>
      <c r="Z1691" s="25"/>
      <c r="AA1691" s="25"/>
    </row>
    <row r="1692" spans="1:27" x14ac:dyDescent="0.35">
      <c r="A1692" s="5">
        <v>1688</v>
      </c>
      <c r="B1692" s="5">
        <v>71</v>
      </c>
      <c r="C1692" s="5">
        <v>3</v>
      </c>
      <c r="D1692" s="25">
        <v>1.1415000000000001E-4</v>
      </c>
      <c r="E1692" s="25">
        <v>1.0734999999999999E-4</v>
      </c>
      <c r="F1692" s="25">
        <v>9.9939999999999995E-5</v>
      </c>
      <c r="G1692" s="25">
        <v>1.5742999999999999E-4</v>
      </c>
      <c r="H1692" s="25">
        <v>1.9374E-4</v>
      </c>
      <c r="I1692" s="9">
        <v>1.3402999999999999E-4</v>
      </c>
      <c r="J1692" s="9">
        <v>1.2129999999999999E-4</v>
      </c>
      <c r="K1692" s="9">
        <v>2.5431999999999999E-4</v>
      </c>
      <c r="L1692" s="9">
        <v>1.042E-4</v>
      </c>
      <c r="M1692" s="9">
        <v>8.3789999999999996E-5</v>
      </c>
      <c r="N1692" s="9">
        <v>9.0920000000000004E-5</v>
      </c>
      <c r="O1692" s="9">
        <v>2.1971E-4</v>
      </c>
      <c r="P1692" s="9">
        <v>1.773E-4</v>
      </c>
      <c r="Q1692" s="9">
        <v>1.3695999999999999E-4</v>
      </c>
      <c r="R1692" s="10">
        <v>8.1867808027077886E-5</v>
      </c>
      <c r="S1692" s="10">
        <v>7.2833054127973166E-5</v>
      </c>
      <c r="T1692" s="10">
        <v>1.4522575197638946E-4</v>
      </c>
      <c r="U1692" s="10">
        <v>1.6948000000000001E-4</v>
      </c>
      <c r="V1692" s="25"/>
      <c r="W1692" s="25"/>
      <c r="X1692" s="25"/>
      <c r="Y1692" s="25"/>
      <c r="Z1692" s="25"/>
      <c r="AA1692" s="25"/>
    </row>
    <row r="1693" spans="1:27" x14ac:dyDescent="0.35">
      <c r="A1693" s="5">
        <v>1689</v>
      </c>
      <c r="B1693" s="5">
        <v>71</v>
      </c>
      <c r="C1693" s="5">
        <v>3</v>
      </c>
      <c r="D1693" s="25">
        <v>1.1416E-4</v>
      </c>
      <c r="E1693" s="25">
        <v>1.0406E-4</v>
      </c>
      <c r="F1693" s="25">
        <v>1.0084E-4</v>
      </c>
      <c r="G1693" s="25">
        <v>1.6373000000000001E-4</v>
      </c>
      <c r="H1693" s="25">
        <v>2.0106E-4</v>
      </c>
      <c r="I1693" s="9">
        <v>1.3531E-4</v>
      </c>
      <c r="J1693" s="9">
        <v>1.3213E-4</v>
      </c>
      <c r="K1693" s="9">
        <v>2.2889000000000001E-4</v>
      </c>
      <c r="L1693" s="9">
        <v>1.9254E-4</v>
      </c>
      <c r="M1693" s="9">
        <v>1.2357000000000001E-4</v>
      </c>
      <c r="N1693" s="9">
        <v>1.0467999999999999E-4</v>
      </c>
      <c r="O1693" s="9">
        <v>2.1264999999999999E-4</v>
      </c>
      <c r="P1693" s="9">
        <v>1.9463E-4</v>
      </c>
      <c r="Q1693" s="9">
        <v>1.7825E-4</v>
      </c>
      <c r="R1693" s="10">
        <v>9.2412369734776482E-5</v>
      </c>
      <c r="S1693" s="10">
        <v>9.5984880203537465E-5</v>
      </c>
      <c r="T1693" s="10">
        <v>3.6243229963938805E-4</v>
      </c>
      <c r="U1693" s="10">
        <v>1.6948000000000001E-4</v>
      </c>
      <c r="V1693" s="25"/>
      <c r="W1693" s="25"/>
      <c r="X1693" s="25"/>
      <c r="Y1693" s="25"/>
      <c r="Z1693" s="25"/>
      <c r="AA1693" s="25"/>
    </row>
    <row r="1694" spans="1:27" x14ac:dyDescent="0.35">
      <c r="A1694" s="5">
        <v>1690</v>
      </c>
      <c r="B1694" s="5">
        <v>71</v>
      </c>
      <c r="C1694" s="5">
        <v>3</v>
      </c>
      <c r="D1694" s="25">
        <v>1.1415000000000001E-4</v>
      </c>
      <c r="E1694" s="25">
        <v>1.1347E-4</v>
      </c>
      <c r="F1694" s="25">
        <v>1.0027E-4</v>
      </c>
      <c r="G1694" s="25">
        <v>1.5739000000000001E-4</v>
      </c>
      <c r="H1694" s="25">
        <v>1.9991E-4</v>
      </c>
      <c r="I1694" s="9">
        <v>1.3640000000000001E-4</v>
      </c>
      <c r="J1694" s="9">
        <v>1.3489E-4</v>
      </c>
      <c r="K1694" s="9">
        <v>2.3524E-4</v>
      </c>
      <c r="L1694" s="9">
        <v>2.0591000000000001E-4</v>
      </c>
      <c r="M1694" s="9">
        <v>1.5923000000000001E-4</v>
      </c>
      <c r="N1694" s="9">
        <v>1.2499000000000001E-4</v>
      </c>
      <c r="O1694" s="9">
        <v>1.6725999999999999E-4</v>
      </c>
      <c r="P1694" s="9">
        <v>1.7437E-4</v>
      </c>
      <c r="Q1694" s="9">
        <v>1.8238999999999999E-4</v>
      </c>
      <c r="R1694" s="10">
        <v>9.9146145561982446E-5</v>
      </c>
      <c r="S1694" s="10">
        <v>1.2010979449445253E-4</v>
      </c>
      <c r="T1694" s="10">
        <v>5.2149594385585997E-4</v>
      </c>
      <c r="U1694" s="10">
        <v>1.6948000000000001E-4</v>
      </c>
      <c r="V1694" s="25"/>
      <c r="W1694" s="25"/>
      <c r="X1694" s="25"/>
      <c r="Y1694" s="25"/>
      <c r="Z1694" s="25"/>
      <c r="AA1694" s="25"/>
    </row>
    <row r="1695" spans="1:27" x14ac:dyDescent="0.35">
      <c r="A1695" s="5">
        <v>1691</v>
      </c>
      <c r="B1695" s="5">
        <v>71</v>
      </c>
      <c r="C1695" s="5">
        <v>3</v>
      </c>
      <c r="D1695" s="25">
        <v>1.1416E-4</v>
      </c>
      <c r="E1695" s="25">
        <v>1.1345000000000001E-4</v>
      </c>
      <c r="F1695" s="25">
        <v>1.0362E-4</v>
      </c>
      <c r="G1695" s="25">
        <v>1.6068000000000001E-4</v>
      </c>
      <c r="H1695" s="25">
        <v>1.9010000000000001E-4</v>
      </c>
      <c r="I1695" s="9">
        <v>1.3572000000000001E-4</v>
      </c>
      <c r="J1695" s="9">
        <v>1.3392999999999999E-4</v>
      </c>
      <c r="K1695" s="9">
        <v>2.3524E-4</v>
      </c>
      <c r="L1695" s="9">
        <v>1.7579999999999999E-4</v>
      </c>
      <c r="M1695" s="9">
        <v>1.7296999999999999E-4</v>
      </c>
      <c r="N1695" s="9">
        <v>1.4312E-4</v>
      </c>
      <c r="O1695" s="9">
        <v>1.6855E-4</v>
      </c>
      <c r="P1695" s="9">
        <v>1.7436E-4</v>
      </c>
      <c r="Q1695" s="9">
        <v>1.8110000000000001E-4</v>
      </c>
      <c r="R1695" s="10">
        <v>9.054906171967248E-5</v>
      </c>
      <c r="S1695" s="10">
        <v>1.4012957273229078E-4</v>
      </c>
      <c r="T1695" s="10">
        <v>6.3678908772494657E-4</v>
      </c>
      <c r="U1695" s="10">
        <v>1.6948000000000001E-4</v>
      </c>
      <c r="V1695" s="25"/>
      <c r="W1695" s="25"/>
      <c r="X1695" s="25"/>
      <c r="Y1695" s="25"/>
      <c r="Z1695" s="25"/>
      <c r="AA1695" s="25"/>
    </row>
    <row r="1696" spans="1:27" x14ac:dyDescent="0.35">
      <c r="A1696" s="5">
        <v>1692</v>
      </c>
      <c r="B1696" s="5">
        <v>71</v>
      </c>
      <c r="C1696" s="5">
        <v>3</v>
      </c>
      <c r="D1696" s="25">
        <v>1.1415000000000001E-4</v>
      </c>
      <c r="E1696" s="25">
        <v>1.1169E-4</v>
      </c>
      <c r="F1696" s="25">
        <v>1.0836E-4</v>
      </c>
      <c r="G1696" s="25">
        <v>1.6320000000000001E-4</v>
      </c>
      <c r="H1696" s="25">
        <v>1.9150999999999999E-4</v>
      </c>
      <c r="I1696" s="9">
        <v>1.3417999999999999E-4</v>
      </c>
      <c r="J1696" s="9">
        <v>1.3325000000000001E-4</v>
      </c>
      <c r="K1696" s="9">
        <v>2.2041000000000001E-4</v>
      </c>
      <c r="L1696" s="9">
        <v>1.7158000000000001E-4</v>
      </c>
      <c r="M1696" s="9">
        <v>1.7577000000000001E-4</v>
      </c>
      <c r="N1696" s="9">
        <v>1.5747999999999999E-4</v>
      </c>
      <c r="O1696" s="9">
        <v>1.6917000000000001E-4</v>
      </c>
      <c r="P1696" s="9">
        <v>1.7082999999999999E-4</v>
      </c>
      <c r="Q1696" s="9">
        <v>1.7349999999999999E-4</v>
      </c>
      <c r="R1696" s="10">
        <v>3.9198371199912848E-5</v>
      </c>
      <c r="S1696" s="10">
        <v>1.5060817206466126E-4</v>
      </c>
      <c r="T1696" s="10">
        <v>6.8506475102725751E-4</v>
      </c>
      <c r="U1696" s="10">
        <v>1.6948000000000001E-4</v>
      </c>
      <c r="V1696" s="25"/>
      <c r="W1696" s="25"/>
      <c r="X1696" s="25"/>
      <c r="Y1696" s="25"/>
      <c r="Z1696" s="25"/>
      <c r="AA1696" s="25"/>
    </row>
    <row r="1697" spans="1:27" x14ac:dyDescent="0.35">
      <c r="A1697" s="5">
        <v>1693</v>
      </c>
      <c r="B1697" s="5">
        <v>71</v>
      </c>
      <c r="C1697" s="5">
        <v>3</v>
      </c>
      <c r="D1697" s="25">
        <v>1.1416E-4</v>
      </c>
      <c r="E1697" s="25">
        <v>1.0943E-4</v>
      </c>
      <c r="F1697" s="25">
        <v>1.193E-4</v>
      </c>
      <c r="G1697" s="25">
        <v>1.6087E-4</v>
      </c>
      <c r="H1697" s="25">
        <v>1.9600999999999999E-4</v>
      </c>
      <c r="I1697" s="9">
        <v>1.3012000000000001E-4</v>
      </c>
      <c r="J1697" s="9">
        <v>1.3127000000000001E-4</v>
      </c>
      <c r="K1697" s="9">
        <v>2.1617000000000001E-4</v>
      </c>
      <c r="L1697" s="9">
        <v>1.6985000000000001E-4</v>
      </c>
      <c r="M1697" s="9">
        <v>1.7422999999999999E-4</v>
      </c>
      <c r="N1697" s="9">
        <v>1.6672E-4</v>
      </c>
      <c r="O1697" s="9">
        <v>1.6231000000000001E-4</v>
      </c>
      <c r="P1697" s="9">
        <v>1.6479E-4</v>
      </c>
      <c r="Q1697" s="9">
        <v>1.6820999999999999E-4</v>
      </c>
      <c r="R1697" s="10">
        <v>1.4186294942870275E-5</v>
      </c>
      <c r="S1697" s="10">
        <v>1.3779912806690121E-4</v>
      </c>
      <c r="T1697" s="10">
        <v>7.0296662265605819E-4</v>
      </c>
      <c r="U1697" s="10">
        <v>1.6948000000000001E-4</v>
      </c>
      <c r="V1697" s="25"/>
      <c r="W1697" s="25"/>
      <c r="X1697" s="25"/>
      <c r="Y1697" s="25"/>
      <c r="Z1697" s="25"/>
      <c r="AA1697" s="25"/>
    </row>
    <row r="1698" spans="1:27" x14ac:dyDescent="0.35">
      <c r="A1698" s="5">
        <v>1694</v>
      </c>
      <c r="B1698" s="5">
        <v>71</v>
      </c>
      <c r="C1698" s="5">
        <v>3</v>
      </c>
      <c r="D1698" s="25">
        <v>1.1415000000000001E-4</v>
      </c>
      <c r="E1698" s="25">
        <v>1.0885E-4</v>
      </c>
      <c r="F1698" s="25">
        <v>1.0566E-4</v>
      </c>
      <c r="G1698" s="25">
        <v>1.5667E-4</v>
      </c>
      <c r="H1698" s="25">
        <v>1.9922000000000001E-4</v>
      </c>
      <c r="I1698" s="9">
        <v>1.2884999999999999E-4</v>
      </c>
      <c r="J1698" s="9">
        <v>1.2983999999999999E-4</v>
      </c>
      <c r="K1698" s="9">
        <v>2.2253E-4</v>
      </c>
      <c r="L1698" s="9">
        <v>1.6375E-4</v>
      </c>
      <c r="M1698" s="9">
        <v>1.7039E-4</v>
      </c>
      <c r="N1698" s="9">
        <v>1.7108999999999999E-4</v>
      </c>
      <c r="O1698" s="9">
        <v>1.7719E-4</v>
      </c>
      <c r="P1698" s="9">
        <v>1.6797000000000001E-4</v>
      </c>
      <c r="Q1698" s="9">
        <v>1.5998E-4</v>
      </c>
      <c r="R1698" s="10">
        <v>2.0214259600984498E-5</v>
      </c>
      <c r="S1698" s="10">
        <v>1.2051307363140176E-4</v>
      </c>
      <c r="T1698" s="10">
        <v>6.5370678062913077E-4</v>
      </c>
      <c r="U1698" s="10">
        <v>1.6948000000000001E-4</v>
      </c>
      <c r="V1698" s="25"/>
      <c r="W1698" s="25"/>
      <c r="X1698" s="25"/>
      <c r="Y1698" s="25"/>
      <c r="Z1698" s="25"/>
      <c r="AA1698" s="25"/>
    </row>
    <row r="1699" spans="1:27" x14ac:dyDescent="0.35">
      <c r="A1699" s="5">
        <v>1695</v>
      </c>
      <c r="B1699" s="5">
        <v>71</v>
      </c>
      <c r="C1699" s="5">
        <v>3</v>
      </c>
      <c r="D1699" s="25">
        <v>1.1416E-4</v>
      </c>
      <c r="E1699" s="25">
        <v>1.0878E-4</v>
      </c>
      <c r="F1699" s="25">
        <v>1.1203E-4</v>
      </c>
      <c r="G1699" s="25">
        <v>1.5993E-4</v>
      </c>
      <c r="H1699" s="25">
        <v>1.8946999999999999E-4</v>
      </c>
      <c r="I1699" s="9">
        <v>1.2820999999999999E-4</v>
      </c>
      <c r="J1699" s="9">
        <v>1.2798E-4</v>
      </c>
      <c r="K1699" s="9">
        <v>2.2677E-4</v>
      </c>
      <c r="L1699" s="9">
        <v>1.7437999999999999E-4</v>
      </c>
      <c r="M1699" s="9">
        <v>1.6844000000000001E-4</v>
      </c>
      <c r="N1699" s="9">
        <v>1.7028E-4</v>
      </c>
      <c r="O1699" s="9">
        <v>1.828E-4</v>
      </c>
      <c r="P1699" s="9">
        <v>1.6677E-4</v>
      </c>
      <c r="Q1699" s="9">
        <v>1.5211000000000001E-4</v>
      </c>
      <c r="R1699" s="10">
        <v>3.9042974174302414E-5</v>
      </c>
      <c r="S1699" s="10">
        <v>1.085283055887843E-4</v>
      </c>
      <c r="T1699" s="10">
        <v>5.538805144753539E-4</v>
      </c>
      <c r="U1699" s="10">
        <v>1.6948000000000001E-4</v>
      </c>
      <c r="V1699" s="25"/>
      <c r="W1699" s="25"/>
      <c r="X1699" s="25"/>
      <c r="Y1699" s="25"/>
      <c r="Z1699" s="25"/>
      <c r="AA1699" s="25"/>
    </row>
    <row r="1700" spans="1:27" x14ac:dyDescent="0.35">
      <c r="A1700" s="5">
        <v>1696</v>
      </c>
      <c r="B1700" s="5">
        <v>71</v>
      </c>
      <c r="C1700" s="5">
        <v>3</v>
      </c>
      <c r="D1700" s="25">
        <v>1.1415000000000001E-4</v>
      </c>
      <c r="E1700" s="25">
        <v>1.1171E-4</v>
      </c>
      <c r="F1700" s="25">
        <v>1.1738E-4</v>
      </c>
      <c r="G1700" s="25">
        <v>1.6553999999999999E-4</v>
      </c>
      <c r="H1700" s="25">
        <v>1.9384E-4</v>
      </c>
      <c r="I1700" s="9">
        <v>1.2684999999999999E-4</v>
      </c>
      <c r="J1700" s="9">
        <v>1.2569E-4</v>
      </c>
      <c r="K1700" s="9">
        <v>2.2889000000000001E-4</v>
      </c>
      <c r="L1700" s="9">
        <v>1.8065999999999999E-4</v>
      </c>
      <c r="M1700" s="9">
        <v>1.6741999999999999E-4</v>
      </c>
      <c r="N1700" s="9">
        <v>1.6616999999999999E-4</v>
      </c>
      <c r="O1700" s="9">
        <v>1.9579999999999999E-4</v>
      </c>
      <c r="P1700" s="9">
        <v>1.5144999999999999E-4</v>
      </c>
      <c r="Q1700" s="9">
        <v>1.0904E-4</v>
      </c>
      <c r="R1700" s="10">
        <v>5.2821259490808786E-5</v>
      </c>
      <c r="S1700" s="10">
        <v>1.116806093809706E-4</v>
      </c>
      <c r="T1700" s="10">
        <v>4.0361508868497984E-4</v>
      </c>
      <c r="U1700" s="10">
        <v>1.6948000000000001E-4</v>
      </c>
      <c r="V1700" s="25"/>
      <c r="W1700" s="25"/>
      <c r="X1700" s="25"/>
      <c r="Y1700" s="25"/>
      <c r="Z1700" s="25"/>
      <c r="AA1700" s="25"/>
    </row>
    <row r="1701" spans="1:27" x14ac:dyDescent="0.35">
      <c r="A1701" s="5">
        <v>1697</v>
      </c>
      <c r="B1701" s="5">
        <v>71</v>
      </c>
      <c r="C1701" s="5">
        <v>3</v>
      </c>
      <c r="D1701" s="25">
        <v>1.1416E-4</v>
      </c>
      <c r="E1701" s="25">
        <v>1.1012E-4</v>
      </c>
      <c r="F1701" s="25">
        <v>9.8590000000000003E-5</v>
      </c>
      <c r="G1701" s="25">
        <v>1.5694999999999999E-4</v>
      </c>
      <c r="H1701" s="25">
        <v>1.9382000000000001E-4</v>
      </c>
      <c r="I1701" s="9">
        <v>1.2632E-4</v>
      </c>
      <c r="J1701" s="9">
        <v>1.2642E-4</v>
      </c>
      <c r="K1701" s="9">
        <v>2.2041000000000001E-4</v>
      </c>
      <c r="L1701" s="9">
        <v>1.9225000000000001E-4</v>
      </c>
      <c r="M1701" s="9">
        <v>1.6152000000000001E-4</v>
      </c>
      <c r="N1701" s="9">
        <v>1.5218E-4</v>
      </c>
      <c r="O1701" s="9">
        <v>2.1274E-4</v>
      </c>
      <c r="P1701" s="9">
        <v>1.5861E-4</v>
      </c>
      <c r="Q1701" s="9">
        <v>1.0668E-4</v>
      </c>
      <c r="R1701" s="10">
        <v>7.1004234357243789E-5</v>
      </c>
      <c r="S1701" s="10">
        <v>1.3381534732815166E-4</v>
      </c>
      <c r="T1701" s="10">
        <v>2.0527762277669821E-4</v>
      </c>
      <c r="U1701" s="10">
        <v>1.6948000000000001E-4</v>
      </c>
      <c r="V1701" s="25"/>
      <c r="W1701" s="25"/>
      <c r="X1701" s="25"/>
      <c r="Y1701" s="25"/>
      <c r="Z1701" s="25"/>
      <c r="AA1701" s="25"/>
    </row>
    <row r="1702" spans="1:27" x14ac:dyDescent="0.35">
      <c r="A1702" s="5">
        <v>1698</v>
      </c>
      <c r="B1702" s="5">
        <v>71</v>
      </c>
      <c r="C1702" s="5">
        <v>3</v>
      </c>
      <c r="D1702" s="25">
        <v>1.1415000000000001E-4</v>
      </c>
      <c r="E1702" s="25">
        <v>1.0917999999999999E-4</v>
      </c>
      <c r="F1702" s="25">
        <v>1.18E-4</v>
      </c>
      <c r="G1702" s="25">
        <v>1.5742999999999999E-4</v>
      </c>
      <c r="H1702" s="25">
        <v>1.9259999999999999E-4</v>
      </c>
      <c r="I1702" s="9">
        <v>1.2752999999999999E-4</v>
      </c>
      <c r="J1702" s="9">
        <v>1.2870000000000001E-4</v>
      </c>
      <c r="K1702" s="9">
        <v>2.2887999999999999E-4</v>
      </c>
      <c r="L1702" s="9">
        <v>2.0798999999999999E-4</v>
      </c>
      <c r="M1702" s="9">
        <v>1.5885000000000001E-4</v>
      </c>
      <c r="N1702" s="9">
        <v>1.3872E-4</v>
      </c>
      <c r="O1702" s="9">
        <v>2.0718000000000001E-4</v>
      </c>
      <c r="P1702" s="9">
        <v>1.6201E-4</v>
      </c>
      <c r="Q1702" s="9">
        <v>1.1886E-4</v>
      </c>
      <c r="R1702" s="10">
        <v>1.0263691291809503E-4</v>
      </c>
      <c r="S1702" s="10">
        <v>1.6575199195045532E-4</v>
      </c>
      <c r="T1702" s="10">
        <v>1.5110537142603823E-5</v>
      </c>
      <c r="U1702" s="10">
        <v>1.6948000000000001E-4</v>
      </c>
      <c r="V1702" s="25"/>
      <c r="W1702" s="25"/>
      <c r="X1702" s="25"/>
      <c r="Y1702" s="25"/>
      <c r="Z1702" s="25"/>
      <c r="AA1702" s="25"/>
    </row>
    <row r="1703" spans="1:27" x14ac:dyDescent="0.35">
      <c r="A1703" s="5">
        <v>1699</v>
      </c>
      <c r="B1703" s="5">
        <v>71</v>
      </c>
      <c r="C1703" s="5">
        <v>3</v>
      </c>
      <c r="D1703" s="25">
        <v>1.1416E-4</v>
      </c>
      <c r="E1703" s="25">
        <v>1.0927E-4</v>
      </c>
      <c r="F1703" s="25">
        <v>1.0399E-4</v>
      </c>
      <c r="G1703" s="25">
        <v>1.0793000000000001E-4</v>
      </c>
      <c r="H1703" s="25">
        <v>1.3823000000000001E-4</v>
      </c>
      <c r="I1703" s="9">
        <v>1.3024E-4</v>
      </c>
      <c r="J1703" s="9">
        <v>1.2935E-4</v>
      </c>
      <c r="K1703" s="9">
        <v>2.2887999999999999E-4</v>
      </c>
      <c r="L1703" s="9">
        <v>2.0694999999999999E-4</v>
      </c>
      <c r="M1703" s="9">
        <v>1.5946999999999999E-4</v>
      </c>
      <c r="N1703" s="9">
        <v>1.2992E-4</v>
      </c>
      <c r="O1703" s="9">
        <v>1.6555000000000001E-4</v>
      </c>
      <c r="P1703" s="9">
        <v>1.3603000000000001E-4</v>
      </c>
      <c r="Q1703" s="9">
        <v>1.0797E-4</v>
      </c>
      <c r="R1703" s="10">
        <v>1.4645279057683323E-4</v>
      </c>
      <c r="S1703" s="10">
        <v>1.8125305941807529E-4</v>
      </c>
      <c r="T1703" s="10">
        <v>0</v>
      </c>
      <c r="U1703" s="10">
        <v>1.6948000000000001E-4</v>
      </c>
      <c r="V1703" s="25"/>
      <c r="W1703" s="25"/>
      <c r="X1703" s="25"/>
      <c r="Y1703" s="25"/>
      <c r="Z1703" s="25"/>
      <c r="AA1703" s="25"/>
    </row>
    <row r="1704" spans="1:27" x14ac:dyDescent="0.35">
      <c r="A1704" s="5">
        <v>1700</v>
      </c>
      <c r="B1704" s="5">
        <v>71</v>
      </c>
      <c r="C1704" s="5">
        <v>3</v>
      </c>
      <c r="D1704" s="25">
        <v>1.1415000000000001E-4</v>
      </c>
      <c r="E1704" s="25">
        <v>1.0655E-4</v>
      </c>
      <c r="F1704" s="25">
        <v>9.8889999999999997E-5</v>
      </c>
      <c r="G1704" s="25">
        <v>1.1115E-4</v>
      </c>
      <c r="H1704" s="25">
        <v>1.2933000000000001E-4</v>
      </c>
      <c r="I1704" s="9">
        <v>1.3316000000000001E-4</v>
      </c>
      <c r="J1704" s="9">
        <v>1.3234E-4</v>
      </c>
      <c r="K1704" s="9">
        <v>2.3948E-4</v>
      </c>
      <c r="L1704" s="9">
        <v>1.7475999999999999E-4</v>
      </c>
      <c r="M1704" s="9">
        <v>1.5137000000000001E-4</v>
      </c>
      <c r="N1704" s="9">
        <v>1.2106E-4</v>
      </c>
      <c r="O1704" s="9">
        <v>1.2952999999999999E-4</v>
      </c>
      <c r="P1704" s="9">
        <v>1.1555E-4</v>
      </c>
      <c r="Q1704" s="9">
        <v>1.025E-4</v>
      </c>
      <c r="R1704" s="10">
        <v>1.8359196106660942E-4</v>
      </c>
      <c r="S1704" s="10">
        <v>1.8733712115281251E-4</v>
      </c>
      <c r="T1704" s="10">
        <v>0</v>
      </c>
      <c r="U1704" s="10">
        <v>1.6948000000000001E-4</v>
      </c>
      <c r="V1704" s="25"/>
      <c r="W1704" s="25"/>
      <c r="X1704" s="25"/>
      <c r="Y1704" s="25"/>
      <c r="Z1704" s="25"/>
      <c r="AA1704" s="25"/>
    </row>
    <row r="1705" spans="1:27" x14ac:dyDescent="0.35">
      <c r="A1705" s="5">
        <v>1701</v>
      </c>
      <c r="B1705" s="5">
        <v>71</v>
      </c>
      <c r="C1705" s="5">
        <v>3</v>
      </c>
      <c r="D1705" s="25">
        <v>1.1416E-4</v>
      </c>
      <c r="E1705" s="25">
        <v>1.1323999999999999E-4</v>
      </c>
      <c r="F1705" s="25">
        <v>1.054E-4</v>
      </c>
      <c r="G1705" s="25">
        <v>5.7380000000000003E-5</v>
      </c>
      <c r="H1705" s="25">
        <v>6.7089999999999996E-5</v>
      </c>
      <c r="I1705" s="9">
        <v>1.282E-4</v>
      </c>
      <c r="J1705" s="9">
        <v>1.2588000000000001E-4</v>
      </c>
      <c r="K1705" s="9">
        <v>2.3525E-4</v>
      </c>
      <c r="L1705" s="9">
        <v>1.4048000000000001E-4</v>
      </c>
      <c r="M1705" s="9">
        <v>1.3616999999999999E-4</v>
      </c>
      <c r="N1705" s="9">
        <v>1.1357E-4</v>
      </c>
      <c r="O1705" s="9">
        <v>8.386E-5</v>
      </c>
      <c r="P1705" s="9">
        <v>8.5480000000000002E-5</v>
      </c>
      <c r="Q1705" s="9">
        <v>8.7460000000000006E-5</v>
      </c>
      <c r="R1705" s="10">
        <v>2.0282266829238865E-4</v>
      </c>
      <c r="S1705" s="10">
        <v>1.8943079009650602E-4</v>
      </c>
      <c r="T1705" s="10">
        <v>0</v>
      </c>
      <c r="U1705" s="10">
        <v>1.6948000000000001E-4</v>
      </c>
      <c r="V1705" s="25"/>
      <c r="W1705" s="25"/>
      <c r="X1705" s="25"/>
      <c r="Y1705" s="25"/>
      <c r="Z1705" s="25"/>
      <c r="AA1705" s="25"/>
    </row>
    <row r="1706" spans="1:27" x14ac:dyDescent="0.35">
      <c r="A1706" s="5">
        <v>1702</v>
      </c>
      <c r="B1706" s="5">
        <v>71</v>
      </c>
      <c r="C1706" s="5">
        <v>3</v>
      </c>
      <c r="D1706" s="25">
        <v>1.1415000000000001E-4</v>
      </c>
      <c r="E1706" s="25">
        <v>1.1234999999999999E-4</v>
      </c>
      <c r="F1706" s="25">
        <v>1.0321E-4</v>
      </c>
      <c r="G1706" s="25">
        <v>5.5729999999999997E-5</v>
      </c>
      <c r="H1706" s="25">
        <v>7.4320000000000007E-5</v>
      </c>
      <c r="I1706" s="9">
        <v>1.2217E-4</v>
      </c>
      <c r="J1706" s="9">
        <v>1.1752E-4</v>
      </c>
      <c r="K1706" s="9">
        <v>2.3524E-4</v>
      </c>
      <c r="L1706" s="9">
        <v>9.7260000000000001E-5</v>
      </c>
      <c r="M1706" s="9">
        <v>1.1398E-4</v>
      </c>
      <c r="N1706" s="9">
        <v>1.0581000000000001E-4</v>
      </c>
      <c r="O1706" s="9">
        <v>8.7449999999999998E-5</v>
      </c>
      <c r="P1706" s="9">
        <v>8.7700000000000004E-5</v>
      </c>
      <c r="Q1706" s="9">
        <v>8.8350000000000006E-5</v>
      </c>
      <c r="R1706" s="10">
        <v>2.0802328767628511E-4</v>
      </c>
      <c r="S1706" s="10">
        <v>1.8993088317171303E-4</v>
      </c>
      <c r="T1706" s="10">
        <v>0</v>
      </c>
      <c r="U1706" s="10">
        <v>1.6948000000000001E-4</v>
      </c>
      <c r="V1706" s="25"/>
      <c r="W1706" s="25"/>
      <c r="X1706" s="25"/>
      <c r="Y1706" s="25"/>
      <c r="Z1706" s="25"/>
      <c r="AA1706" s="25"/>
    </row>
    <row r="1707" spans="1:27" x14ac:dyDescent="0.35">
      <c r="A1707" s="5">
        <v>1703</v>
      </c>
      <c r="B1707" s="5">
        <v>71</v>
      </c>
      <c r="C1707" s="5">
        <v>3</v>
      </c>
      <c r="D1707" s="25">
        <v>1.1416E-4</v>
      </c>
      <c r="E1707" s="25">
        <v>1.0766E-4</v>
      </c>
      <c r="F1707" s="25">
        <v>9.8549999999999997E-5</v>
      </c>
      <c r="G1707" s="25">
        <v>5.6190000000000002E-5</v>
      </c>
      <c r="H1707" s="25">
        <v>7.0489999999999998E-5</v>
      </c>
      <c r="I1707" s="9">
        <v>1.2432E-4</v>
      </c>
      <c r="J1707" s="9">
        <v>1.0907E-4</v>
      </c>
      <c r="K1707" s="9">
        <v>2.3311999999999999E-4</v>
      </c>
      <c r="L1707" s="9">
        <v>9.0569999999999995E-5</v>
      </c>
      <c r="M1707" s="9">
        <v>9.9060000000000004E-5</v>
      </c>
      <c r="N1707" s="9">
        <v>1.0001E-4</v>
      </c>
      <c r="O1707" s="9">
        <v>7.8319999999999996E-5</v>
      </c>
      <c r="P1707" s="9">
        <v>7.2620000000000006E-5</v>
      </c>
      <c r="Q1707" s="9">
        <v>6.7340000000000002E-5</v>
      </c>
      <c r="R1707" s="10">
        <v>2.0940497145843925E-4</v>
      </c>
      <c r="S1707" s="10">
        <v>1.9013309886020685E-4</v>
      </c>
      <c r="T1707" s="10">
        <v>0</v>
      </c>
      <c r="U1707" s="10">
        <v>1.6948000000000001E-4</v>
      </c>
      <c r="V1707" s="25"/>
      <c r="W1707" s="25"/>
      <c r="X1707" s="25"/>
      <c r="Y1707" s="25"/>
      <c r="Z1707" s="25"/>
      <c r="AA1707" s="25"/>
    </row>
    <row r="1708" spans="1:27" x14ac:dyDescent="0.35">
      <c r="A1708" s="5">
        <v>1704</v>
      </c>
      <c r="B1708" s="5">
        <v>71</v>
      </c>
      <c r="C1708" s="5">
        <v>3</v>
      </c>
      <c r="D1708" s="25">
        <v>1.1415000000000001E-4</v>
      </c>
      <c r="E1708" s="25">
        <v>1.1322E-4</v>
      </c>
      <c r="F1708" s="25">
        <v>1.1438999999999999E-4</v>
      </c>
      <c r="G1708" s="25">
        <v>5.4929999999999998E-5</v>
      </c>
      <c r="H1708" s="25">
        <v>7.2819999999999997E-5</v>
      </c>
      <c r="I1708" s="9">
        <v>1.2463E-4</v>
      </c>
      <c r="J1708" s="9">
        <v>1.0247999999999999E-4</v>
      </c>
      <c r="K1708" s="9">
        <v>2.3525E-4</v>
      </c>
      <c r="L1708" s="9">
        <v>8.0989999999999995E-5</v>
      </c>
      <c r="M1708" s="9">
        <v>8.6269999999999999E-5</v>
      </c>
      <c r="N1708" s="9">
        <v>9.0760000000000005E-5</v>
      </c>
      <c r="O1708" s="9">
        <v>6.2639999999999997E-5</v>
      </c>
      <c r="P1708" s="9">
        <v>6.0579999999999999E-5</v>
      </c>
      <c r="Q1708" s="9">
        <v>5.8770000000000001E-5</v>
      </c>
      <c r="R1708" s="10">
        <v>2.0687528568022546E-4</v>
      </c>
      <c r="S1708" s="10">
        <v>1.9002724940718349E-4</v>
      </c>
      <c r="T1708" s="10">
        <v>0</v>
      </c>
      <c r="U1708" s="10">
        <v>1.6948000000000001E-4</v>
      </c>
      <c r="V1708" s="25"/>
      <c r="W1708" s="25"/>
      <c r="X1708" s="25"/>
      <c r="Y1708" s="25"/>
      <c r="Z1708" s="25"/>
      <c r="AA1708" s="25"/>
    </row>
    <row r="1709" spans="1:27" x14ac:dyDescent="0.35">
      <c r="A1709" s="5">
        <v>1705</v>
      </c>
      <c r="B1709" s="5">
        <v>72</v>
      </c>
      <c r="C1709" s="5">
        <v>3</v>
      </c>
      <c r="D1709" s="25">
        <v>1.1416E-4</v>
      </c>
      <c r="E1709" s="25">
        <v>1.2269000000000001E-4</v>
      </c>
      <c r="F1709" s="25">
        <v>1.0637999999999999E-4</v>
      </c>
      <c r="G1709" s="25">
        <v>5.24E-5</v>
      </c>
      <c r="H1709" s="25">
        <v>6.8029999999999997E-5</v>
      </c>
      <c r="I1709" s="9">
        <v>1.1801E-4</v>
      </c>
      <c r="J1709" s="9">
        <v>9.5299999999999999E-5</v>
      </c>
      <c r="K1709" s="9">
        <v>2.2889000000000001E-4</v>
      </c>
      <c r="L1709" s="9">
        <v>6.6660000000000002E-5</v>
      </c>
      <c r="M1709" s="9">
        <v>7.4099999999999999E-5</v>
      </c>
      <c r="N1709" s="9">
        <v>8.1260000000000005E-5</v>
      </c>
      <c r="O1709" s="9">
        <v>5.486E-5</v>
      </c>
      <c r="P1709" s="9">
        <v>5.427E-5</v>
      </c>
      <c r="Q1709" s="9">
        <v>5.384E-5</v>
      </c>
      <c r="R1709" s="10">
        <v>2.0587269862224348E-4</v>
      </c>
      <c r="S1709" s="10">
        <v>1.8968290309404824E-4</v>
      </c>
      <c r="T1709" s="10">
        <v>0</v>
      </c>
      <c r="U1709" s="10">
        <v>1.6496999999999999E-4</v>
      </c>
      <c r="V1709" s="25"/>
      <c r="W1709" s="25"/>
      <c r="X1709" s="25"/>
      <c r="Y1709" s="25"/>
      <c r="Z1709" s="25"/>
      <c r="AA1709" s="25"/>
    </row>
    <row r="1710" spans="1:27" x14ac:dyDescent="0.35">
      <c r="A1710" s="5">
        <v>1706</v>
      </c>
      <c r="B1710" s="5">
        <v>72</v>
      </c>
      <c r="C1710" s="5">
        <v>3</v>
      </c>
      <c r="D1710" s="25">
        <v>1.1415000000000001E-4</v>
      </c>
      <c r="E1710" s="25">
        <v>1.2396999999999999E-4</v>
      </c>
      <c r="F1710" s="25">
        <v>1.1972999999999999E-4</v>
      </c>
      <c r="G1710" s="25">
        <v>5.516E-5</v>
      </c>
      <c r="H1710" s="25">
        <v>7.0229999999999997E-5</v>
      </c>
      <c r="I1710" s="9">
        <v>1.1239999999999999E-4</v>
      </c>
      <c r="J1710" s="9">
        <v>9.0539999999999997E-5</v>
      </c>
      <c r="K1710" s="9">
        <v>2.2887999999999999E-4</v>
      </c>
      <c r="L1710" s="9">
        <v>5.7849999999999997E-5</v>
      </c>
      <c r="M1710" s="9">
        <v>6.4060000000000007E-5</v>
      </c>
      <c r="N1710" s="9">
        <v>7.2189999999999998E-5</v>
      </c>
      <c r="O1710" s="9">
        <v>1.9000000000000001E-5</v>
      </c>
      <c r="P1710" s="9">
        <v>3.7950000000000001E-5</v>
      </c>
      <c r="Q1710" s="9">
        <v>5.6480000000000001E-5</v>
      </c>
      <c r="R1710" s="10">
        <v>2.0389479509576812E-4</v>
      </c>
      <c r="S1710" s="10">
        <v>1.8867149027878289E-4</v>
      </c>
      <c r="T1710" s="10">
        <v>0</v>
      </c>
      <c r="U1710" s="10">
        <v>1.6496999999999999E-4</v>
      </c>
      <c r="V1710" s="25"/>
      <c r="W1710" s="25"/>
      <c r="X1710" s="25"/>
      <c r="Y1710" s="25"/>
      <c r="Z1710" s="25"/>
      <c r="AA1710" s="25"/>
    </row>
    <row r="1711" spans="1:27" x14ac:dyDescent="0.35">
      <c r="A1711" s="5">
        <v>1707</v>
      </c>
      <c r="B1711" s="5">
        <v>72</v>
      </c>
      <c r="C1711" s="5">
        <v>3</v>
      </c>
      <c r="D1711" s="25">
        <v>1.1416E-4</v>
      </c>
      <c r="E1711" s="25">
        <v>1.2197E-4</v>
      </c>
      <c r="F1711" s="25">
        <v>1.2276E-4</v>
      </c>
      <c r="G1711" s="25">
        <v>5.3199999999999999E-5</v>
      </c>
      <c r="H1711" s="25">
        <v>7.0630000000000006E-5</v>
      </c>
      <c r="I1711" s="9">
        <v>1.066E-4</v>
      </c>
      <c r="J1711" s="9">
        <v>8.81E-5</v>
      </c>
      <c r="K1711" s="9">
        <v>2.3525E-4</v>
      </c>
      <c r="L1711" s="9">
        <v>2.775E-5</v>
      </c>
      <c r="M1711" s="9">
        <v>5.2380000000000003E-5</v>
      </c>
      <c r="N1711" s="9">
        <v>6.5679999999999995E-5</v>
      </c>
      <c r="O1711" s="9">
        <v>1.3380000000000001E-5</v>
      </c>
      <c r="P1711" s="9">
        <v>3.7620000000000002E-5</v>
      </c>
      <c r="Q1711" s="9">
        <v>6.1320000000000002E-5</v>
      </c>
      <c r="R1711" s="10">
        <v>1.9696878850566216E-4</v>
      </c>
      <c r="S1711" s="10">
        <v>1.869031324302559E-4</v>
      </c>
      <c r="T1711" s="10">
        <v>0</v>
      </c>
      <c r="U1711" s="10">
        <v>1.6496999999999999E-4</v>
      </c>
      <c r="V1711" s="25"/>
      <c r="W1711" s="25"/>
      <c r="X1711" s="25"/>
      <c r="Y1711" s="25"/>
      <c r="Z1711" s="25"/>
      <c r="AA1711" s="25"/>
    </row>
    <row r="1712" spans="1:27" x14ac:dyDescent="0.35">
      <c r="A1712" s="5">
        <v>1708</v>
      </c>
      <c r="B1712" s="5">
        <v>72</v>
      </c>
      <c r="C1712" s="5">
        <v>3</v>
      </c>
      <c r="D1712" s="25">
        <v>1.1415000000000001E-4</v>
      </c>
      <c r="E1712" s="25">
        <v>1.2006E-4</v>
      </c>
      <c r="F1712" s="25">
        <v>1.1326E-4</v>
      </c>
      <c r="G1712" s="25">
        <v>5.38E-5</v>
      </c>
      <c r="H1712" s="25">
        <v>6.9090000000000004E-5</v>
      </c>
      <c r="I1712" s="9">
        <v>1.0436E-4</v>
      </c>
      <c r="J1712" s="9">
        <v>8.7159999999999999E-5</v>
      </c>
      <c r="K1712" s="9">
        <v>2.3524E-4</v>
      </c>
      <c r="L1712" s="9">
        <v>1.7280000000000001E-5</v>
      </c>
      <c r="M1712" s="9">
        <v>4.4280000000000003E-5</v>
      </c>
      <c r="N1712" s="9">
        <v>6.2009999999999998E-5</v>
      </c>
      <c r="O1712" s="9">
        <v>1.332E-5</v>
      </c>
      <c r="P1712" s="9">
        <v>4.6829999999999997E-5</v>
      </c>
      <c r="Q1712" s="9">
        <v>7.9649999999999998E-5</v>
      </c>
      <c r="R1712" s="10">
        <v>1.9174828592981156E-4</v>
      </c>
      <c r="S1712" s="10">
        <v>1.8430693110042318E-4</v>
      </c>
      <c r="T1712" s="10">
        <v>0</v>
      </c>
      <c r="U1712" s="10">
        <v>1.6496999999999999E-4</v>
      </c>
      <c r="V1712" s="25"/>
      <c r="W1712" s="25"/>
      <c r="X1712" s="25"/>
      <c r="Y1712" s="25"/>
      <c r="Z1712" s="25"/>
      <c r="AA1712" s="25"/>
    </row>
    <row r="1713" spans="1:27" x14ac:dyDescent="0.35">
      <c r="A1713" s="5">
        <v>1709</v>
      </c>
      <c r="B1713" s="5">
        <v>72</v>
      </c>
      <c r="C1713" s="5">
        <v>3</v>
      </c>
      <c r="D1713" s="25">
        <v>1.1416E-4</v>
      </c>
      <c r="E1713" s="25">
        <v>1.2029E-4</v>
      </c>
      <c r="F1713" s="25">
        <v>1.2271E-4</v>
      </c>
      <c r="G1713" s="25">
        <v>5.5940000000000003E-5</v>
      </c>
      <c r="H1713" s="25">
        <v>6.4109999999999994E-5</v>
      </c>
      <c r="I1713" s="9">
        <v>1.0249E-4</v>
      </c>
      <c r="J1713" s="9">
        <v>8.7120000000000006E-5</v>
      </c>
      <c r="K1713" s="9">
        <v>2.3948E-4</v>
      </c>
      <c r="L1713" s="9">
        <v>1.4440000000000001E-5</v>
      </c>
      <c r="M1713" s="9">
        <v>4.337E-5</v>
      </c>
      <c r="N1713" s="9">
        <v>6.436E-5</v>
      </c>
      <c r="O1713" s="9">
        <v>1.8980000000000001E-5</v>
      </c>
      <c r="P1713" s="9">
        <v>5.6849999999999999E-5</v>
      </c>
      <c r="Q1713" s="9">
        <v>9.4010000000000003E-5</v>
      </c>
      <c r="R1713" s="10">
        <v>1.9085437699467402E-4</v>
      </c>
      <c r="S1713" s="10">
        <v>1.7890433829737857E-4</v>
      </c>
      <c r="T1713" s="10">
        <v>0</v>
      </c>
      <c r="U1713" s="10">
        <v>1.6496999999999999E-4</v>
      </c>
      <c r="V1713" s="25"/>
      <c r="W1713" s="25"/>
      <c r="X1713" s="25"/>
      <c r="Y1713" s="25"/>
      <c r="Z1713" s="25"/>
      <c r="AA1713" s="25"/>
    </row>
    <row r="1714" spans="1:27" x14ac:dyDescent="0.35">
      <c r="A1714" s="5">
        <v>1710</v>
      </c>
      <c r="B1714" s="5">
        <v>72</v>
      </c>
      <c r="C1714" s="5">
        <v>3</v>
      </c>
      <c r="D1714" s="25">
        <v>1.1415000000000001E-4</v>
      </c>
      <c r="E1714" s="25">
        <v>1.1786E-4</v>
      </c>
      <c r="F1714" s="25">
        <v>1.1964999999999999E-4</v>
      </c>
      <c r="G1714" s="25">
        <v>1.133E-4</v>
      </c>
      <c r="H1714" s="25">
        <v>1.2747E-4</v>
      </c>
      <c r="I1714" s="9">
        <v>1.0388E-4</v>
      </c>
      <c r="J1714" s="9">
        <v>8.789E-5</v>
      </c>
      <c r="K1714" s="9">
        <v>2.4795999999999998E-4</v>
      </c>
      <c r="L1714" s="9">
        <v>1.785E-5</v>
      </c>
      <c r="M1714" s="9">
        <v>4.8340000000000001E-5</v>
      </c>
      <c r="N1714" s="9">
        <v>7.0980000000000001E-5</v>
      </c>
      <c r="O1714" s="9">
        <v>4.6690000000000002E-5</v>
      </c>
      <c r="P1714" s="9">
        <v>7.7509999999999995E-5</v>
      </c>
      <c r="Q1714" s="9">
        <v>1.0793000000000001E-4</v>
      </c>
      <c r="R1714" s="10">
        <v>1.8945743578204586E-4</v>
      </c>
      <c r="S1714" s="10">
        <v>1.7270704410195863E-4</v>
      </c>
      <c r="T1714" s="10">
        <v>0</v>
      </c>
      <c r="U1714" s="10">
        <v>1.6496999999999999E-4</v>
      </c>
      <c r="V1714" s="25"/>
      <c r="W1714" s="25"/>
      <c r="X1714" s="25"/>
      <c r="Y1714" s="25"/>
      <c r="Z1714" s="25"/>
      <c r="AA1714" s="25"/>
    </row>
    <row r="1715" spans="1:27" x14ac:dyDescent="0.35">
      <c r="A1715" s="5">
        <v>1711</v>
      </c>
      <c r="B1715" s="5">
        <v>72</v>
      </c>
      <c r="C1715" s="5">
        <v>3</v>
      </c>
      <c r="D1715" s="25">
        <v>1.1416E-4</v>
      </c>
      <c r="E1715" s="25">
        <v>1.2116E-4</v>
      </c>
      <c r="F1715" s="25">
        <v>1.2169E-4</v>
      </c>
      <c r="G1715" s="25">
        <v>1.0945E-4</v>
      </c>
      <c r="H1715" s="25">
        <v>1.3855000000000001E-4</v>
      </c>
      <c r="I1715" s="9">
        <v>1.0649000000000001E-4</v>
      </c>
      <c r="J1715" s="9">
        <v>9.1810000000000004E-5</v>
      </c>
      <c r="K1715" s="9">
        <v>2.3735999999999999E-4</v>
      </c>
      <c r="L1715" s="9">
        <v>4.0200000000000001E-5</v>
      </c>
      <c r="M1715" s="9">
        <v>6.0250000000000001E-5</v>
      </c>
      <c r="N1715" s="9">
        <v>8.0870000000000003E-5</v>
      </c>
      <c r="O1715" s="9">
        <v>1.2269000000000001E-4</v>
      </c>
      <c r="P1715" s="9">
        <v>1.1701000000000001E-4</v>
      </c>
      <c r="Q1715" s="9">
        <v>1.1209000000000001E-4</v>
      </c>
      <c r="R1715" s="10">
        <v>1.7840892472972231E-4</v>
      </c>
      <c r="S1715" s="10">
        <v>1.6084007835743286E-4</v>
      </c>
      <c r="T1715" s="10">
        <v>0</v>
      </c>
      <c r="U1715" s="10">
        <v>1.6496999999999999E-4</v>
      </c>
      <c r="V1715" s="25"/>
      <c r="W1715" s="25"/>
      <c r="X1715" s="25"/>
      <c r="Y1715" s="25"/>
      <c r="Z1715" s="25"/>
      <c r="AA1715" s="25"/>
    </row>
    <row r="1716" spans="1:27" x14ac:dyDescent="0.35">
      <c r="A1716" s="5">
        <v>1712</v>
      </c>
      <c r="B1716" s="5">
        <v>72</v>
      </c>
      <c r="C1716" s="5">
        <v>3</v>
      </c>
      <c r="D1716" s="25">
        <v>1.1415000000000001E-4</v>
      </c>
      <c r="E1716" s="25">
        <v>1.1742E-4</v>
      </c>
      <c r="F1716" s="25">
        <v>1.0556999999999999E-4</v>
      </c>
      <c r="G1716" s="25">
        <v>1.585E-4</v>
      </c>
      <c r="H1716" s="25">
        <v>1.9673E-4</v>
      </c>
      <c r="I1716" s="9">
        <v>1.0868E-4</v>
      </c>
      <c r="J1716" s="9">
        <v>9.9019999999999997E-5</v>
      </c>
      <c r="K1716" s="9">
        <v>2.3525E-4</v>
      </c>
      <c r="L1716" s="9">
        <v>1.0391999999999999E-4</v>
      </c>
      <c r="M1716" s="9">
        <v>8.3759999999999998E-5</v>
      </c>
      <c r="N1716" s="9">
        <v>9.0879999999999997E-5</v>
      </c>
      <c r="O1716" s="9">
        <v>2.1954E-4</v>
      </c>
      <c r="P1716" s="9">
        <v>1.7715999999999999E-4</v>
      </c>
      <c r="Q1716" s="9">
        <v>1.3685999999999999E-4</v>
      </c>
      <c r="R1716" s="10">
        <v>1.6599270814955511E-4</v>
      </c>
      <c r="S1716" s="10">
        <v>1.4761581145126363E-4</v>
      </c>
      <c r="T1716" s="10">
        <v>1.4729592101782424E-4</v>
      </c>
      <c r="U1716" s="10">
        <v>1.6496999999999999E-4</v>
      </c>
      <c r="V1716" s="25"/>
      <c r="W1716" s="25"/>
      <c r="X1716" s="25"/>
      <c r="Y1716" s="25"/>
      <c r="Z1716" s="25"/>
      <c r="AA1716" s="25"/>
    </row>
    <row r="1717" spans="1:27" x14ac:dyDescent="0.35">
      <c r="A1717" s="5">
        <v>1713</v>
      </c>
      <c r="B1717" s="5">
        <v>72</v>
      </c>
      <c r="C1717" s="5">
        <v>3</v>
      </c>
      <c r="D1717" s="25">
        <v>1.1416E-4</v>
      </c>
      <c r="E1717" s="25">
        <v>1.1794999999999999E-4</v>
      </c>
      <c r="F1717" s="25">
        <v>1.0158E-4</v>
      </c>
      <c r="G1717" s="25">
        <v>1.5734000000000001E-4</v>
      </c>
      <c r="H1717" s="25">
        <v>1.9943000000000001E-4</v>
      </c>
      <c r="I1717" s="9">
        <v>1.1459999999999999E-4</v>
      </c>
      <c r="J1717" s="9">
        <v>1.0645E-4</v>
      </c>
      <c r="K1717" s="9">
        <v>2.1617000000000001E-4</v>
      </c>
      <c r="L1717" s="9">
        <v>1.9236000000000001E-4</v>
      </c>
      <c r="M1717" s="9">
        <v>1.2344999999999999E-4</v>
      </c>
      <c r="N1717" s="9">
        <v>1.0467E-4</v>
      </c>
      <c r="O1717" s="9">
        <v>2.1167000000000001E-4</v>
      </c>
      <c r="P1717" s="9">
        <v>1.9373E-4</v>
      </c>
      <c r="Q1717" s="9">
        <v>1.7742999999999999E-4</v>
      </c>
      <c r="R1717" s="10">
        <v>1.5941511510021475E-4</v>
      </c>
      <c r="S1717" s="10">
        <v>1.4250418412728693E-4</v>
      </c>
      <c r="T1717" s="10">
        <v>3.6218625495823391E-4</v>
      </c>
      <c r="U1717" s="10">
        <v>1.6496999999999999E-4</v>
      </c>
      <c r="V1717" s="25"/>
      <c r="W1717" s="25"/>
      <c r="X1717" s="25"/>
      <c r="Y1717" s="25"/>
      <c r="Z1717" s="25"/>
      <c r="AA1717" s="25"/>
    </row>
    <row r="1718" spans="1:27" x14ac:dyDescent="0.35">
      <c r="A1718" s="5">
        <v>1714</v>
      </c>
      <c r="B1718" s="5">
        <v>72</v>
      </c>
      <c r="C1718" s="5">
        <v>3</v>
      </c>
      <c r="D1718" s="25">
        <v>1.1415000000000001E-4</v>
      </c>
      <c r="E1718" s="25">
        <v>1.1627E-4</v>
      </c>
      <c r="F1718" s="25">
        <v>1.2307999999999999E-4</v>
      </c>
      <c r="G1718" s="25">
        <v>1.6207999999999999E-4</v>
      </c>
      <c r="H1718" s="25">
        <v>1.9555000000000001E-4</v>
      </c>
      <c r="I1718" s="9">
        <v>1.2036000000000001E-4</v>
      </c>
      <c r="J1718" s="9">
        <v>1.1052000000000001E-4</v>
      </c>
      <c r="K1718" s="9">
        <v>1.9498000000000001E-4</v>
      </c>
      <c r="L1718" s="9">
        <v>2.051E-4</v>
      </c>
      <c r="M1718" s="9">
        <v>1.5881000000000001E-4</v>
      </c>
      <c r="N1718" s="9">
        <v>1.248E-4</v>
      </c>
      <c r="O1718" s="9">
        <v>1.6846E-4</v>
      </c>
      <c r="P1718" s="9">
        <v>1.7563E-4</v>
      </c>
      <c r="Q1718" s="9">
        <v>1.8370999999999999E-4</v>
      </c>
      <c r="R1718" s="10">
        <v>1.3003054858154195E-4</v>
      </c>
      <c r="S1718" s="10">
        <v>1.4078568671747495E-4</v>
      </c>
      <c r="T1718" s="10">
        <v>5.3593622134980241E-4</v>
      </c>
      <c r="U1718" s="10">
        <v>1.6496999999999999E-4</v>
      </c>
      <c r="V1718" s="25"/>
      <c r="W1718" s="25"/>
      <c r="X1718" s="25"/>
      <c r="Y1718" s="25"/>
      <c r="Z1718" s="25"/>
      <c r="AA1718" s="25"/>
    </row>
    <row r="1719" spans="1:27" x14ac:dyDescent="0.35">
      <c r="A1719" s="5">
        <v>1715</v>
      </c>
      <c r="B1719" s="5">
        <v>72</v>
      </c>
      <c r="C1719" s="5">
        <v>3</v>
      </c>
      <c r="D1719" s="25">
        <v>1.1416E-4</v>
      </c>
      <c r="E1719" s="25">
        <v>1.2353E-4</v>
      </c>
      <c r="F1719" s="25">
        <v>1.0076E-4</v>
      </c>
      <c r="G1719" s="25">
        <v>1.6584E-4</v>
      </c>
      <c r="H1719" s="25">
        <v>1.9907E-4</v>
      </c>
      <c r="I1719" s="9">
        <v>1.2135E-4</v>
      </c>
      <c r="J1719" s="9">
        <v>1.1031000000000001E-4</v>
      </c>
      <c r="K1719" s="9">
        <v>1.9285999999999999E-4</v>
      </c>
      <c r="L1719" s="9">
        <v>1.7657999999999999E-4</v>
      </c>
      <c r="M1719" s="9">
        <v>1.7307999999999999E-4</v>
      </c>
      <c r="N1719" s="9">
        <v>1.4321000000000001E-4</v>
      </c>
      <c r="O1719" s="9">
        <v>1.6693E-4</v>
      </c>
      <c r="P1719" s="9">
        <v>1.7269E-4</v>
      </c>
      <c r="Q1719" s="9">
        <v>1.7935999999999999E-4</v>
      </c>
      <c r="R1719" s="10">
        <v>8.867345522177077E-5</v>
      </c>
      <c r="S1719" s="10">
        <v>1.44604068864975E-4</v>
      </c>
      <c r="T1719" s="10">
        <v>6.5546303059461019E-4</v>
      </c>
      <c r="U1719" s="10">
        <v>1.6496999999999999E-4</v>
      </c>
      <c r="V1719" s="25"/>
      <c r="W1719" s="25"/>
      <c r="X1719" s="25"/>
      <c r="Y1719" s="25"/>
      <c r="Z1719" s="25"/>
      <c r="AA1719" s="25"/>
    </row>
    <row r="1720" spans="1:27" x14ac:dyDescent="0.35">
      <c r="A1720" s="5">
        <v>1716</v>
      </c>
      <c r="B1720" s="5">
        <v>72</v>
      </c>
      <c r="C1720" s="5">
        <v>3</v>
      </c>
      <c r="D1720" s="25">
        <v>1.1415000000000001E-4</v>
      </c>
      <c r="E1720" s="25">
        <v>1.2018E-4</v>
      </c>
      <c r="F1720" s="25">
        <v>1.2095E-4</v>
      </c>
      <c r="G1720" s="25">
        <v>1.6154E-4</v>
      </c>
      <c r="H1720" s="25">
        <v>1.8797E-4</v>
      </c>
      <c r="I1720" s="9">
        <v>1.2108E-4</v>
      </c>
      <c r="J1720" s="9">
        <v>1.0831E-4</v>
      </c>
      <c r="K1720" s="9">
        <v>1.9709999999999999E-4</v>
      </c>
      <c r="L1720" s="9">
        <v>1.7045E-4</v>
      </c>
      <c r="M1720" s="9">
        <v>1.7540000000000001E-4</v>
      </c>
      <c r="N1720" s="9">
        <v>1.5719E-4</v>
      </c>
      <c r="O1720" s="9">
        <v>1.693E-4</v>
      </c>
      <c r="P1720" s="9">
        <v>1.7096E-4</v>
      </c>
      <c r="Q1720" s="9">
        <v>1.7363E-4</v>
      </c>
      <c r="R1720" s="10">
        <v>6.521660029393211E-5</v>
      </c>
      <c r="S1720" s="10">
        <v>1.5087081013827311E-4</v>
      </c>
      <c r="T1720" s="10">
        <v>6.9507622426042575E-4</v>
      </c>
      <c r="U1720" s="10">
        <v>1.6496999999999999E-4</v>
      </c>
      <c r="V1720" s="25"/>
      <c r="W1720" s="25"/>
      <c r="X1720" s="25"/>
      <c r="Y1720" s="25"/>
      <c r="Z1720" s="25"/>
      <c r="AA1720" s="25"/>
    </row>
    <row r="1721" spans="1:27" x14ac:dyDescent="0.35">
      <c r="A1721" s="5">
        <v>1717</v>
      </c>
      <c r="B1721" s="5">
        <v>72</v>
      </c>
      <c r="C1721" s="5">
        <v>3</v>
      </c>
      <c r="D1721" s="25">
        <v>1.1416E-4</v>
      </c>
      <c r="E1721" s="25">
        <v>1.2333999999999999E-4</v>
      </c>
      <c r="F1721" s="25">
        <v>1.0623E-4</v>
      </c>
      <c r="G1721" s="25">
        <v>1.6084000000000001E-4</v>
      </c>
      <c r="H1721" s="25">
        <v>1.9189000000000001E-4</v>
      </c>
      <c r="I1721" s="9">
        <v>1.1834E-4</v>
      </c>
      <c r="J1721" s="9">
        <v>1.0609E-4</v>
      </c>
      <c r="K1721" s="9">
        <v>1.7589999999999999E-4</v>
      </c>
      <c r="L1721" s="9">
        <v>1.6975000000000001E-4</v>
      </c>
      <c r="M1721" s="9">
        <v>1.7389E-4</v>
      </c>
      <c r="N1721" s="9">
        <v>1.6647999999999999E-4</v>
      </c>
      <c r="O1721" s="9">
        <v>1.6239999999999999E-4</v>
      </c>
      <c r="P1721" s="9">
        <v>1.6488000000000001E-4</v>
      </c>
      <c r="Q1721" s="9">
        <v>1.683E-4</v>
      </c>
      <c r="R1721" s="10">
        <v>7.1561606027399096E-5</v>
      </c>
      <c r="S1721" s="10">
        <v>1.4707188935820416E-4</v>
      </c>
      <c r="T1721" s="10">
        <v>6.3478679307831301E-4</v>
      </c>
      <c r="U1721" s="10">
        <v>1.6496999999999999E-4</v>
      </c>
      <c r="V1721" s="25"/>
      <c r="W1721" s="25"/>
      <c r="X1721" s="25"/>
      <c r="Y1721" s="25"/>
      <c r="Z1721" s="25"/>
      <c r="AA1721" s="25"/>
    </row>
    <row r="1722" spans="1:27" x14ac:dyDescent="0.35">
      <c r="A1722" s="5">
        <v>1718</v>
      </c>
      <c r="B1722" s="5">
        <v>72</v>
      </c>
      <c r="C1722" s="5">
        <v>3</v>
      </c>
      <c r="D1722" s="25">
        <v>1.1415000000000001E-4</v>
      </c>
      <c r="E1722" s="25">
        <v>1.2018E-4</v>
      </c>
      <c r="F1722" s="25">
        <v>1.0511E-4</v>
      </c>
      <c r="G1722" s="25">
        <v>1.6045E-4</v>
      </c>
      <c r="H1722" s="25">
        <v>1.9803999999999999E-4</v>
      </c>
      <c r="I1722" s="9">
        <v>1.1401E-4</v>
      </c>
      <c r="J1722" s="9">
        <v>1.036E-4</v>
      </c>
      <c r="K1722" s="9">
        <v>1.6531E-4</v>
      </c>
      <c r="L1722" s="9">
        <v>1.6378000000000001E-4</v>
      </c>
      <c r="M1722" s="9">
        <v>1.7022000000000001E-4</v>
      </c>
      <c r="N1722" s="9">
        <v>1.7090000000000001E-4</v>
      </c>
      <c r="O1722" s="9">
        <v>1.7741E-4</v>
      </c>
      <c r="P1722" s="9">
        <v>1.6818000000000001E-4</v>
      </c>
      <c r="Q1722" s="9">
        <v>1.6018E-4</v>
      </c>
      <c r="R1722" s="10">
        <v>8.1233629017205103E-5</v>
      </c>
      <c r="S1722" s="10">
        <v>1.4791016257933147E-4</v>
      </c>
      <c r="T1722" s="10">
        <v>5.5629005549079433E-4</v>
      </c>
      <c r="U1722" s="10">
        <v>1.6496999999999999E-4</v>
      </c>
      <c r="V1722" s="25"/>
      <c r="W1722" s="25"/>
      <c r="X1722" s="25"/>
      <c r="Y1722" s="25"/>
      <c r="Z1722" s="25"/>
      <c r="AA1722" s="25"/>
    </row>
    <row r="1723" spans="1:27" x14ac:dyDescent="0.35">
      <c r="A1723" s="5">
        <v>1719</v>
      </c>
      <c r="B1723" s="5">
        <v>72</v>
      </c>
      <c r="C1723" s="5">
        <v>3</v>
      </c>
      <c r="D1723" s="25">
        <v>1.1416E-4</v>
      </c>
      <c r="E1723" s="25">
        <v>1.1951999999999999E-4</v>
      </c>
      <c r="F1723" s="25">
        <v>1.1097E-4</v>
      </c>
      <c r="G1723" s="25">
        <v>1.6328999999999999E-4</v>
      </c>
      <c r="H1723" s="25">
        <v>1.9426999999999999E-4</v>
      </c>
      <c r="I1723" s="9">
        <v>1.1135E-4</v>
      </c>
      <c r="J1723" s="9">
        <v>1.0176E-4</v>
      </c>
      <c r="K1723" s="9">
        <v>1.6741999999999999E-4</v>
      </c>
      <c r="L1723" s="9">
        <v>1.7453999999999999E-4</v>
      </c>
      <c r="M1723" s="9">
        <v>1.6846E-4</v>
      </c>
      <c r="N1723" s="9">
        <v>1.7019E-4</v>
      </c>
      <c r="O1723" s="9">
        <v>1.8463E-4</v>
      </c>
      <c r="P1723" s="9">
        <v>1.6843000000000001E-4</v>
      </c>
      <c r="Q1723" s="9">
        <v>1.5363E-4</v>
      </c>
      <c r="R1723" s="10">
        <v>8.8651359735764169E-5</v>
      </c>
      <c r="S1723" s="10">
        <v>1.4776434420871797E-4</v>
      </c>
      <c r="T1723" s="10">
        <v>4.3161327654045017E-4</v>
      </c>
      <c r="U1723" s="10">
        <v>1.6496999999999999E-4</v>
      </c>
      <c r="V1723" s="25"/>
      <c r="W1723" s="25"/>
      <c r="X1723" s="25"/>
      <c r="Y1723" s="25"/>
      <c r="Z1723" s="25"/>
      <c r="AA1723" s="25"/>
    </row>
    <row r="1724" spans="1:27" x14ac:dyDescent="0.35">
      <c r="A1724" s="5">
        <v>1720</v>
      </c>
      <c r="B1724" s="5">
        <v>72</v>
      </c>
      <c r="C1724" s="5">
        <v>3</v>
      </c>
      <c r="D1724" s="25">
        <v>1.1415000000000001E-4</v>
      </c>
      <c r="E1724" s="25">
        <v>1.2299000000000001E-4</v>
      </c>
      <c r="F1724" s="25">
        <v>1.2057000000000001E-4</v>
      </c>
      <c r="G1724" s="25">
        <v>1.6262000000000001E-4</v>
      </c>
      <c r="H1724" s="25">
        <v>1.9128999999999999E-4</v>
      </c>
      <c r="I1724" s="9">
        <v>1.1053E-4</v>
      </c>
      <c r="J1724" s="9">
        <v>1.0137E-4</v>
      </c>
      <c r="K1724" s="9">
        <v>1.9285999999999999E-4</v>
      </c>
      <c r="L1724" s="9">
        <v>1.8212999999999999E-4</v>
      </c>
      <c r="M1724" s="9">
        <v>1.6808E-4</v>
      </c>
      <c r="N1724" s="9">
        <v>1.6642999999999999E-4</v>
      </c>
      <c r="O1724" s="9">
        <v>1.9612000000000001E-4</v>
      </c>
      <c r="P1724" s="9">
        <v>1.517E-4</v>
      </c>
      <c r="Q1724" s="9">
        <v>1.0922E-4</v>
      </c>
      <c r="R1724" s="10">
        <v>9.2622283706278165E-5</v>
      </c>
      <c r="S1724" s="10">
        <v>1.4793535193059466E-4</v>
      </c>
      <c r="T1724" s="10">
        <v>3.5897070550452992E-4</v>
      </c>
      <c r="U1724" s="10">
        <v>1.6496999999999999E-4</v>
      </c>
      <c r="V1724" s="25"/>
      <c r="W1724" s="25"/>
      <c r="X1724" s="25"/>
      <c r="Y1724" s="25"/>
      <c r="Z1724" s="25"/>
      <c r="AA1724" s="25"/>
    </row>
    <row r="1725" spans="1:27" x14ac:dyDescent="0.35">
      <c r="A1725" s="5">
        <v>1721</v>
      </c>
      <c r="B1725" s="5">
        <v>72</v>
      </c>
      <c r="C1725" s="5">
        <v>3</v>
      </c>
      <c r="D1725" s="25">
        <v>1.1416E-4</v>
      </c>
      <c r="E1725" s="25">
        <v>1.1779E-4</v>
      </c>
      <c r="F1725" s="25">
        <v>1.1233E-4</v>
      </c>
      <c r="G1725" s="25">
        <v>1.5758999999999999E-4</v>
      </c>
      <c r="H1725" s="25">
        <v>1.9897E-4</v>
      </c>
      <c r="I1725" s="9">
        <v>1.0912999999999999E-4</v>
      </c>
      <c r="J1725" s="9">
        <v>1.0407E-4</v>
      </c>
      <c r="K1725" s="9">
        <v>2.1829E-4</v>
      </c>
      <c r="L1725" s="9">
        <v>1.9278000000000001E-4</v>
      </c>
      <c r="M1725" s="9">
        <v>1.6220000000000001E-4</v>
      </c>
      <c r="N1725" s="9">
        <v>1.5254E-4</v>
      </c>
      <c r="O1725" s="9">
        <v>2.1500999999999999E-4</v>
      </c>
      <c r="P1725" s="9">
        <v>1.6029999999999999E-4</v>
      </c>
      <c r="Q1725" s="9">
        <v>1.0781999999999999E-4</v>
      </c>
      <c r="R1725" s="10">
        <v>9.9228950486676486E-5</v>
      </c>
      <c r="S1725" s="10">
        <v>1.476005181771624E-4</v>
      </c>
      <c r="T1725" s="10">
        <v>2.0561699475070389E-4</v>
      </c>
      <c r="U1725" s="10">
        <v>1.6496999999999999E-4</v>
      </c>
      <c r="V1725" s="25"/>
      <c r="W1725" s="25"/>
      <c r="X1725" s="25"/>
      <c r="Y1725" s="25"/>
      <c r="Z1725" s="25"/>
      <c r="AA1725" s="25"/>
    </row>
    <row r="1726" spans="1:27" x14ac:dyDescent="0.35">
      <c r="A1726" s="5">
        <v>1722</v>
      </c>
      <c r="B1726" s="5">
        <v>72</v>
      </c>
      <c r="C1726" s="5">
        <v>3</v>
      </c>
      <c r="D1726" s="25">
        <v>1.1415000000000001E-4</v>
      </c>
      <c r="E1726" s="25">
        <v>1.1997000000000001E-4</v>
      </c>
      <c r="F1726" s="25">
        <v>1.144E-4</v>
      </c>
      <c r="G1726" s="25">
        <v>1.615E-4</v>
      </c>
      <c r="H1726" s="25">
        <v>2.0144E-4</v>
      </c>
      <c r="I1726" s="9">
        <v>1.1226E-4</v>
      </c>
      <c r="J1726" s="9">
        <v>1.1026E-4</v>
      </c>
      <c r="K1726" s="9">
        <v>2.2889000000000001E-4</v>
      </c>
      <c r="L1726" s="9">
        <v>2.0990000000000001E-4</v>
      </c>
      <c r="M1726" s="9">
        <v>1.5987999999999999E-4</v>
      </c>
      <c r="N1726" s="9">
        <v>1.3930999999999999E-4</v>
      </c>
      <c r="O1726" s="9">
        <v>2.0697000000000001E-4</v>
      </c>
      <c r="P1726" s="9">
        <v>1.6184000000000001E-4</v>
      </c>
      <c r="Q1726" s="9">
        <v>1.1874E-4</v>
      </c>
      <c r="R1726" s="10">
        <v>1.1186053598589231E-4</v>
      </c>
      <c r="S1726" s="10">
        <v>1.5073207441962085E-4</v>
      </c>
      <c r="T1726" s="10">
        <v>1.3159148292071043E-5</v>
      </c>
      <c r="U1726" s="10">
        <v>1.6496999999999999E-4</v>
      </c>
      <c r="V1726" s="25"/>
      <c r="W1726" s="25"/>
      <c r="X1726" s="25"/>
      <c r="Y1726" s="25"/>
      <c r="Z1726" s="25"/>
      <c r="AA1726" s="25"/>
    </row>
    <row r="1727" spans="1:27" x14ac:dyDescent="0.35">
      <c r="A1727" s="5">
        <v>1723</v>
      </c>
      <c r="B1727" s="5">
        <v>72</v>
      </c>
      <c r="C1727" s="5">
        <v>3</v>
      </c>
      <c r="D1727" s="25">
        <v>1.1416E-4</v>
      </c>
      <c r="E1727" s="25">
        <v>1.2108999999999999E-4</v>
      </c>
      <c r="F1727" s="25">
        <v>1.1851E-4</v>
      </c>
      <c r="G1727" s="25">
        <v>1.0592E-4</v>
      </c>
      <c r="H1727" s="25">
        <v>1.2590999999999999E-4</v>
      </c>
      <c r="I1727" s="9">
        <v>1.1807E-4</v>
      </c>
      <c r="J1727" s="9">
        <v>1.1284E-4</v>
      </c>
      <c r="K1727" s="9">
        <v>2.3948E-4</v>
      </c>
      <c r="L1727" s="9">
        <v>2.0718000000000001E-4</v>
      </c>
      <c r="M1727" s="9">
        <v>1.6014999999999999E-4</v>
      </c>
      <c r="N1727" s="9">
        <v>1.3041999999999999E-4</v>
      </c>
      <c r="O1727" s="9">
        <v>1.6286E-4</v>
      </c>
      <c r="P1727" s="9">
        <v>1.3381999999999999E-4</v>
      </c>
      <c r="Q1727" s="9">
        <v>1.0622E-4</v>
      </c>
      <c r="R1727" s="10">
        <v>1.2253619813480199E-4</v>
      </c>
      <c r="S1727" s="10">
        <v>1.5313424132234907E-4</v>
      </c>
      <c r="T1727" s="10">
        <v>0</v>
      </c>
      <c r="U1727" s="10">
        <v>1.6496999999999999E-4</v>
      </c>
      <c r="V1727" s="25"/>
      <c r="W1727" s="25"/>
      <c r="X1727" s="25"/>
      <c r="Y1727" s="25"/>
      <c r="Z1727" s="25"/>
      <c r="AA1727" s="25"/>
    </row>
    <row r="1728" spans="1:27" x14ac:dyDescent="0.35">
      <c r="A1728" s="5">
        <v>1724</v>
      </c>
      <c r="B1728" s="5">
        <v>72</v>
      </c>
      <c r="C1728" s="5">
        <v>3</v>
      </c>
      <c r="D1728" s="25">
        <v>1.1415000000000001E-4</v>
      </c>
      <c r="E1728" s="25">
        <v>1.2059E-4</v>
      </c>
      <c r="F1728" s="25">
        <v>1.1108E-4</v>
      </c>
      <c r="G1728" s="25">
        <v>1.143E-4</v>
      </c>
      <c r="H1728" s="25">
        <v>1.2876000000000001E-4</v>
      </c>
      <c r="I1728" s="9">
        <v>1.2383000000000001E-4</v>
      </c>
      <c r="J1728" s="9">
        <v>1.1831E-4</v>
      </c>
      <c r="K1728" s="9">
        <v>2.3948E-4</v>
      </c>
      <c r="L1728" s="9">
        <v>1.7275E-4</v>
      </c>
      <c r="M1728" s="9">
        <v>1.5091E-4</v>
      </c>
      <c r="N1728" s="9">
        <v>1.211E-4</v>
      </c>
      <c r="O1728" s="9">
        <v>1.2828000000000001E-4</v>
      </c>
      <c r="P1728" s="9">
        <v>1.1443E-4</v>
      </c>
      <c r="Q1728" s="9">
        <v>1.0151E-4</v>
      </c>
      <c r="R1728" s="10">
        <v>1.5115279928892288E-4</v>
      </c>
      <c r="S1728" s="10">
        <v>1.5916768026301455E-4</v>
      </c>
      <c r="T1728" s="10">
        <v>0</v>
      </c>
      <c r="U1728" s="10">
        <v>1.6496999999999999E-4</v>
      </c>
      <c r="V1728" s="25"/>
      <c r="W1728" s="25"/>
      <c r="X1728" s="25"/>
      <c r="Y1728" s="25"/>
      <c r="Z1728" s="25"/>
      <c r="AA1728" s="25"/>
    </row>
    <row r="1729" spans="1:27" x14ac:dyDescent="0.35">
      <c r="A1729" s="5">
        <v>1725</v>
      </c>
      <c r="B1729" s="5">
        <v>72</v>
      </c>
      <c r="C1729" s="5">
        <v>3</v>
      </c>
      <c r="D1729" s="25">
        <v>1.1416E-4</v>
      </c>
      <c r="E1729" s="25">
        <v>1.1378E-4</v>
      </c>
      <c r="F1729" s="25">
        <v>1.0174E-4</v>
      </c>
      <c r="G1729" s="25">
        <v>6.2710000000000001E-5</v>
      </c>
      <c r="H1729" s="25">
        <v>6.9129999999999997E-5</v>
      </c>
      <c r="I1729" s="9">
        <v>1.1872E-4</v>
      </c>
      <c r="J1729" s="9">
        <v>1.1438999999999999E-4</v>
      </c>
      <c r="K1729" s="9">
        <v>2.522E-4</v>
      </c>
      <c r="L1729" s="9">
        <v>1.3913E-4</v>
      </c>
      <c r="M1729" s="9">
        <v>1.3516E-4</v>
      </c>
      <c r="N1729" s="9">
        <v>1.1326E-4</v>
      </c>
      <c r="O1729" s="9">
        <v>8.5329999999999998E-5</v>
      </c>
      <c r="P1729" s="9">
        <v>8.6990000000000006E-5</v>
      </c>
      <c r="Q1729" s="9">
        <v>8.8999999999999995E-5</v>
      </c>
      <c r="R1729" s="10">
        <v>1.642046236116675E-4</v>
      </c>
      <c r="S1729" s="10">
        <v>1.6233570886513808E-4</v>
      </c>
      <c r="T1729" s="10">
        <v>0</v>
      </c>
      <c r="U1729" s="10">
        <v>1.6496999999999999E-4</v>
      </c>
      <c r="V1729" s="25"/>
      <c r="W1729" s="25"/>
      <c r="X1729" s="25"/>
      <c r="Y1729" s="25"/>
      <c r="Z1729" s="25"/>
      <c r="AA1729" s="25"/>
    </row>
    <row r="1730" spans="1:27" x14ac:dyDescent="0.35">
      <c r="A1730" s="5">
        <v>1726</v>
      </c>
      <c r="B1730" s="5">
        <v>72</v>
      </c>
      <c r="C1730" s="5">
        <v>3</v>
      </c>
      <c r="D1730" s="25">
        <v>1.1415000000000001E-4</v>
      </c>
      <c r="E1730" s="25">
        <v>1.1278E-4</v>
      </c>
      <c r="F1730" s="25">
        <v>1.1356E-4</v>
      </c>
      <c r="G1730" s="25">
        <v>5.6589999999999999E-5</v>
      </c>
      <c r="H1730" s="25">
        <v>7.1050000000000006E-5</v>
      </c>
      <c r="I1730" s="9">
        <v>1.1361E-4</v>
      </c>
      <c r="J1730" s="9">
        <v>1.0840000000000001E-4</v>
      </c>
      <c r="K1730" s="9">
        <v>2.6068E-4</v>
      </c>
      <c r="L1730" s="9">
        <v>9.8079999999999996E-5</v>
      </c>
      <c r="M1730" s="9">
        <v>1.1378E-4</v>
      </c>
      <c r="N1730" s="9">
        <v>1.0577999999999999E-4</v>
      </c>
      <c r="O1730" s="9">
        <v>8.721E-5</v>
      </c>
      <c r="P1730" s="9">
        <v>8.7460000000000006E-5</v>
      </c>
      <c r="Q1730" s="9">
        <v>8.8109999999999995E-5</v>
      </c>
      <c r="R1730" s="10">
        <v>1.6329770342106195E-4</v>
      </c>
      <c r="S1730" s="10">
        <v>1.6133988998688286E-4</v>
      </c>
      <c r="T1730" s="10">
        <v>0</v>
      </c>
      <c r="U1730" s="10">
        <v>1.6496999999999999E-4</v>
      </c>
      <c r="V1730" s="25"/>
      <c r="W1730" s="25"/>
      <c r="X1730" s="25"/>
      <c r="Y1730" s="25"/>
      <c r="Z1730" s="25"/>
      <c r="AA1730" s="25"/>
    </row>
    <row r="1731" spans="1:27" x14ac:dyDescent="0.35">
      <c r="A1731" s="5">
        <v>1727</v>
      </c>
      <c r="B1731" s="5">
        <v>72</v>
      </c>
      <c r="C1731" s="5">
        <v>3</v>
      </c>
      <c r="D1731" s="25">
        <v>1.1416E-4</v>
      </c>
      <c r="E1731" s="25">
        <v>1.2009E-4</v>
      </c>
      <c r="F1731" s="25">
        <v>1.0717000000000001E-4</v>
      </c>
      <c r="G1731" s="25">
        <v>5.2840000000000002E-5</v>
      </c>
      <c r="H1731" s="25">
        <v>7.1329999999999996E-5</v>
      </c>
      <c r="I1731" s="9">
        <v>1.16E-4</v>
      </c>
      <c r="J1731" s="9">
        <v>1.0266E-4</v>
      </c>
      <c r="K1731" s="9">
        <v>2.6279E-4</v>
      </c>
      <c r="L1731" s="9">
        <v>9.0500000000000004E-5</v>
      </c>
      <c r="M1731" s="9">
        <v>9.9099999999999996E-5</v>
      </c>
      <c r="N1731" s="9">
        <v>9.9889999999999994E-5</v>
      </c>
      <c r="O1731" s="9">
        <v>7.8289999999999998E-5</v>
      </c>
      <c r="P1731" s="9">
        <v>7.258E-5</v>
      </c>
      <c r="Q1731" s="9">
        <v>6.7299999999999996E-5</v>
      </c>
      <c r="R1731" s="10">
        <v>1.6441094575531061E-4</v>
      </c>
      <c r="S1731" s="10">
        <v>1.5054602525300381E-4</v>
      </c>
      <c r="T1731" s="10">
        <v>0</v>
      </c>
      <c r="U1731" s="10">
        <v>1.6496999999999999E-4</v>
      </c>
      <c r="V1731" s="25"/>
      <c r="W1731" s="25"/>
      <c r="X1731" s="25"/>
      <c r="Y1731" s="25"/>
      <c r="Z1731" s="25"/>
      <c r="AA1731" s="25"/>
    </row>
    <row r="1732" spans="1:27" x14ac:dyDescent="0.35">
      <c r="A1732" s="5">
        <v>1728</v>
      </c>
      <c r="B1732" s="5">
        <v>72</v>
      </c>
      <c r="C1732" s="5">
        <v>3</v>
      </c>
      <c r="D1732" s="25">
        <v>1.1415000000000001E-4</v>
      </c>
      <c r="E1732" s="25">
        <v>1.1336E-4</v>
      </c>
      <c r="F1732" s="25">
        <v>1.1979E-4</v>
      </c>
      <c r="G1732" s="25">
        <v>5.6289999999999998E-5</v>
      </c>
      <c r="H1732" s="25">
        <v>6.8239999999999997E-5</v>
      </c>
      <c r="I1732" s="9">
        <v>1.1578000000000001E-4</v>
      </c>
      <c r="J1732" s="9">
        <v>9.5970000000000004E-5</v>
      </c>
      <c r="K1732" s="9">
        <v>2.5431999999999999E-4</v>
      </c>
      <c r="L1732" s="9">
        <v>8.0980000000000001E-5</v>
      </c>
      <c r="M1732" s="9">
        <v>8.6310000000000005E-5</v>
      </c>
      <c r="N1732" s="9">
        <v>9.0660000000000003E-5</v>
      </c>
      <c r="O1732" s="9">
        <v>6.232E-5</v>
      </c>
      <c r="P1732" s="9">
        <v>6.0279999999999999E-5</v>
      </c>
      <c r="Q1732" s="9">
        <v>5.8470000000000001E-5</v>
      </c>
      <c r="R1732" s="10">
        <v>1.8325230625924741E-4</v>
      </c>
      <c r="S1732" s="10">
        <v>1.4162148366917619E-4</v>
      </c>
      <c r="T1732" s="10">
        <v>0</v>
      </c>
      <c r="U1732" s="10">
        <v>1.6496999999999999E-4</v>
      </c>
      <c r="V1732" s="25"/>
      <c r="W1732" s="25"/>
      <c r="X1732" s="25"/>
      <c r="Y1732" s="25"/>
      <c r="Z1732" s="25"/>
      <c r="AA1732" s="25"/>
    </row>
    <row r="1733" spans="1:27" x14ac:dyDescent="0.35">
      <c r="A1733" s="5">
        <v>1729</v>
      </c>
      <c r="B1733" s="5">
        <v>73</v>
      </c>
      <c r="C1733" s="5">
        <v>3</v>
      </c>
      <c r="D1733" s="25">
        <v>1.1416E-4</v>
      </c>
      <c r="E1733" s="25">
        <v>1.1186E-4</v>
      </c>
      <c r="F1733" s="25">
        <v>1.2216000000000001E-4</v>
      </c>
      <c r="G1733" s="25">
        <v>5.872E-5</v>
      </c>
      <c r="H1733" s="25">
        <v>7.2769999999999996E-5</v>
      </c>
      <c r="I1733" s="9">
        <v>1.1038E-4</v>
      </c>
      <c r="J1733" s="9">
        <v>8.9920000000000006E-5</v>
      </c>
      <c r="K1733" s="9">
        <v>2.4583999999999999E-4</v>
      </c>
      <c r="L1733" s="9">
        <v>6.6420000000000004E-5</v>
      </c>
      <c r="M1733" s="9">
        <v>7.3999999999999996E-5</v>
      </c>
      <c r="N1733" s="9">
        <v>8.1169999999999997E-5</v>
      </c>
      <c r="O1733" s="9">
        <v>5.4920000000000003E-5</v>
      </c>
      <c r="P1733" s="9">
        <v>5.4330000000000003E-5</v>
      </c>
      <c r="Q1733" s="9">
        <v>5.3900000000000002E-5</v>
      </c>
      <c r="R1733" s="10">
        <v>1.8147854048693754E-4</v>
      </c>
      <c r="S1733" s="10">
        <v>1.3968264883976503E-4</v>
      </c>
      <c r="T1733" s="10">
        <v>0</v>
      </c>
      <c r="U1733" s="10">
        <v>1.6011000000000001E-4</v>
      </c>
      <c r="V1733" s="25"/>
      <c r="W1733" s="25"/>
      <c r="X1733" s="25"/>
      <c r="Y1733" s="25"/>
      <c r="Z1733" s="25"/>
      <c r="AA1733" s="25"/>
    </row>
    <row r="1734" spans="1:27" x14ac:dyDescent="0.35">
      <c r="A1734" s="5">
        <v>1730</v>
      </c>
      <c r="B1734" s="5">
        <v>73</v>
      </c>
      <c r="C1734" s="5">
        <v>3</v>
      </c>
      <c r="D1734" s="25">
        <v>1.1415000000000001E-4</v>
      </c>
      <c r="E1734" s="25">
        <v>1.1542E-4</v>
      </c>
      <c r="F1734" s="25">
        <v>1.052E-4</v>
      </c>
      <c r="G1734" s="25">
        <v>5.6069999999999997E-5</v>
      </c>
      <c r="H1734" s="25">
        <v>6.614E-5</v>
      </c>
      <c r="I1734" s="9">
        <v>1.0385E-4</v>
      </c>
      <c r="J1734" s="9">
        <v>8.7499999999999999E-5</v>
      </c>
      <c r="K1734" s="9">
        <v>2.4583999999999999E-4</v>
      </c>
      <c r="L1734" s="9">
        <v>5.7840000000000002E-5</v>
      </c>
      <c r="M1734" s="9">
        <v>6.3990000000000002E-5</v>
      </c>
      <c r="N1734" s="9">
        <v>7.2169999999999995E-5</v>
      </c>
      <c r="O1734" s="9">
        <v>1.8960000000000001E-5</v>
      </c>
      <c r="P1734" s="9">
        <v>3.7870000000000002E-5</v>
      </c>
      <c r="Q1734" s="9">
        <v>5.6350000000000001E-5</v>
      </c>
      <c r="R1734" s="10">
        <v>1.8121772140452944E-4</v>
      </c>
      <c r="S1734" s="10">
        <v>1.4361331737570553E-4</v>
      </c>
      <c r="T1734" s="10">
        <v>0</v>
      </c>
      <c r="U1734" s="10">
        <v>1.6011000000000001E-4</v>
      </c>
      <c r="V1734" s="25"/>
      <c r="W1734" s="25"/>
      <c r="X1734" s="25"/>
      <c r="Y1734" s="25"/>
      <c r="Z1734" s="25"/>
      <c r="AA1734" s="25"/>
    </row>
    <row r="1735" spans="1:27" x14ac:dyDescent="0.35">
      <c r="A1735" s="5">
        <v>1731</v>
      </c>
      <c r="B1735" s="5">
        <v>73</v>
      </c>
      <c r="C1735" s="5">
        <v>3</v>
      </c>
      <c r="D1735" s="25">
        <v>1.1416E-4</v>
      </c>
      <c r="E1735" s="25">
        <v>1.1781E-4</v>
      </c>
      <c r="F1735" s="25">
        <v>1.1224E-4</v>
      </c>
      <c r="G1735" s="25">
        <v>5.5989999999999998E-5</v>
      </c>
      <c r="H1735" s="25">
        <v>7.1979999999999999E-5</v>
      </c>
      <c r="I1735" s="9">
        <v>9.9539999999999999E-5</v>
      </c>
      <c r="J1735" s="9">
        <v>9.0080000000000005E-5</v>
      </c>
      <c r="K1735" s="9">
        <v>2.4583999999999999E-4</v>
      </c>
      <c r="L1735" s="9">
        <v>2.7710000000000001E-5</v>
      </c>
      <c r="M1735" s="9">
        <v>5.2309999999999999E-5</v>
      </c>
      <c r="N1735" s="9">
        <v>6.5619999999999999E-5</v>
      </c>
      <c r="O1735" s="9">
        <v>1.3499999999999999E-5</v>
      </c>
      <c r="P1735" s="9">
        <v>3.7969999999999997E-5</v>
      </c>
      <c r="Q1735" s="9">
        <v>6.1890000000000005E-5</v>
      </c>
      <c r="R1735" s="10">
        <v>1.8463330035702164E-4</v>
      </c>
      <c r="S1735" s="10">
        <v>1.564704143084112E-4</v>
      </c>
      <c r="T1735" s="10">
        <v>0</v>
      </c>
      <c r="U1735" s="10">
        <v>1.6011000000000001E-4</v>
      </c>
      <c r="V1735" s="25"/>
      <c r="W1735" s="25"/>
      <c r="X1735" s="25"/>
      <c r="Y1735" s="25"/>
      <c r="Z1735" s="25"/>
      <c r="AA1735" s="25"/>
    </row>
    <row r="1736" spans="1:27" x14ac:dyDescent="0.35">
      <c r="A1736" s="5">
        <v>1732</v>
      </c>
      <c r="B1736" s="5">
        <v>73</v>
      </c>
      <c r="C1736" s="5">
        <v>3</v>
      </c>
      <c r="D1736" s="25">
        <v>1.1415000000000001E-4</v>
      </c>
      <c r="E1736" s="25">
        <v>1.1538E-4</v>
      </c>
      <c r="F1736" s="25">
        <v>1.2543999999999999E-4</v>
      </c>
      <c r="G1736" s="25">
        <v>5.2809999999999998E-5</v>
      </c>
      <c r="H1736" s="25">
        <v>6.2520000000000004E-5</v>
      </c>
      <c r="I1736" s="9">
        <v>9.7940000000000001E-5</v>
      </c>
      <c r="J1736" s="9">
        <v>8.9489999999999999E-5</v>
      </c>
      <c r="K1736" s="9">
        <v>2.5008000000000002E-4</v>
      </c>
      <c r="L1736" s="9">
        <v>1.7370000000000001E-5</v>
      </c>
      <c r="M1736" s="9">
        <v>4.4360000000000002E-5</v>
      </c>
      <c r="N1736" s="9">
        <v>6.2089999999999997E-5</v>
      </c>
      <c r="O1736" s="9">
        <v>1.3560000000000001E-5</v>
      </c>
      <c r="P1736" s="9">
        <v>4.7670000000000003E-5</v>
      </c>
      <c r="Q1736" s="9">
        <v>8.1080000000000003E-5</v>
      </c>
      <c r="R1736" s="10">
        <v>1.8578146782524798E-4</v>
      </c>
      <c r="S1736" s="10">
        <v>1.6918296494154223E-4</v>
      </c>
      <c r="T1736" s="10">
        <v>0</v>
      </c>
      <c r="U1736" s="10">
        <v>1.6011000000000001E-4</v>
      </c>
      <c r="V1736" s="25"/>
      <c r="W1736" s="25"/>
      <c r="X1736" s="25"/>
      <c r="Y1736" s="25"/>
      <c r="Z1736" s="25"/>
      <c r="AA1736" s="25"/>
    </row>
    <row r="1737" spans="1:27" x14ac:dyDescent="0.35">
      <c r="A1737" s="5">
        <v>1733</v>
      </c>
      <c r="B1737" s="5">
        <v>73</v>
      </c>
      <c r="C1737" s="5">
        <v>3</v>
      </c>
      <c r="D1737" s="25">
        <v>1.1416E-4</v>
      </c>
      <c r="E1737" s="25">
        <v>1.1472E-4</v>
      </c>
      <c r="F1737" s="25">
        <v>1.1946E-4</v>
      </c>
      <c r="G1737" s="25">
        <v>5.6990000000000002E-5</v>
      </c>
      <c r="H1737" s="25">
        <v>6.5770000000000002E-5</v>
      </c>
      <c r="I1737" s="9">
        <v>9.6780000000000005E-5</v>
      </c>
      <c r="J1737" s="9">
        <v>8.9079999999999994E-5</v>
      </c>
      <c r="K1737" s="9">
        <v>2.522E-4</v>
      </c>
      <c r="L1737" s="9">
        <v>1.465E-5</v>
      </c>
      <c r="M1737" s="9">
        <v>4.3770000000000003E-5</v>
      </c>
      <c r="N1737" s="9">
        <v>6.4750000000000002E-5</v>
      </c>
      <c r="O1737" s="9">
        <v>1.8749999999999998E-5</v>
      </c>
      <c r="P1737" s="9">
        <v>5.6169999999999999E-5</v>
      </c>
      <c r="Q1737" s="9">
        <v>9.2880000000000005E-5</v>
      </c>
      <c r="R1737" s="10">
        <v>1.9005527792024897E-4</v>
      </c>
      <c r="S1737" s="10">
        <v>1.687045812413372E-4</v>
      </c>
      <c r="T1737" s="10">
        <v>0</v>
      </c>
      <c r="U1737" s="10">
        <v>1.6011000000000001E-4</v>
      </c>
      <c r="V1737" s="25"/>
      <c r="W1737" s="25"/>
      <c r="X1737" s="25"/>
      <c r="Y1737" s="25"/>
      <c r="Z1737" s="25"/>
      <c r="AA1737" s="25"/>
    </row>
    <row r="1738" spans="1:27" x14ac:dyDescent="0.35">
      <c r="A1738" s="5">
        <v>1734</v>
      </c>
      <c r="B1738" s="5">
        <v>73</v>
      </c>
      <c r="C1738" s="5">
        <v>3</v>
      </c>
      <c r="D1738" s="25">
        <v>1.1415000000000001E-4</v>
      </c>
      <c r="E1738" s="25">
        <v>1.1637E-4</v>
      </c>
      <c r="F1738" s="25">
        <v>1.2069E-4</v>
      </c>
      <c r="G1738" s="25">
        <v>1.0716E-4</v>
      </c>
      <c r="H1738" s="25">
        <v>1.3503000000000001E-4</v>
      </c>
      <c r="I1738" s="9">
        <v>9.7280000000000004E-5</v>
      </c>
      <c r="J1738" s="9">
        <v>8.9519999999999997E-5</v>
      </c>
      <c r="K1738" s="9">
        <v>2.522E-4</v>
      </c>
      <c r="L1738" s="9">
        <v>1.7710000000000002E-5</v>
      </c>
      <c r="M1738" s="9">
        <v>4.8430000000000002E-5</v>
      </c>
      <c r="N1738" s="9">
        <v>7.1110000000000002E-5</v>
      </c>
      <c r="O1738" s="9">
        <v>4.6E-5</v>
      </c>
      <c r="P1738" s="9">
        <v>7.6359999999999994E-5</v>
      </c>
      <c r="Q1738" s="9">
        <v>1.0632999999999999E-4</v>
      </c>
      <c r="R1738" s="10">
        <v>1.943189470171134E-4</v>
      </c>
      <c r="S1738" s="10">
        <v>1.6784032945441803E-4</v>
      </c>
      <c r="T1738" s="10">
        <v>0</v>
      </c>
      <c r="U1738" s="10">
        <v>1.6011000000000001E-4</v>
      </c>
      <c r="V1738" s="25"/>
      <c r="W1738" s="25"/>
      <c r="X1738" s="25"/>
      <c r="Y1738" s="25"/>
      <c r="Z1738" s="25"/>
      <c r="AA1738" s="25"/>
    </row>
    <row r="1739" spans="1:27" x14ac:dyDescent="0.35">
      <c r="A1739" s="5">
        <v>1735</v>
      </c>
      <c r="B1739" s="5">
        <v>73</v>
      </c>
      <c r="C1739" s="5">
        <v>3</v>
      </c>
      <c r="D1739" s="25">
        <v>1.1416E-4</v>
      </c>
      <c r="E1739" s="25">
        <v>1.1813E-4</v>
      </c>
      <c r="F1739" s="25">
        <v>1.1158999999999999E-4</v>
      </c>
      <c r="G1739" s="25">
        <v>1.0747E-4</v>
      </c>
      <c r="H1739" s="25">
        <v>1.305E-4</v>
      </c>
      <c r="I1739" s="9">
        <v>1.0017E-4</v>
      </c>
      <c r="J1739" s="9">
        <v>9.132E-5</v>
      </c>
      <c r="K1739" s="9">
        <v>2.4372E-4</v>
      </c>
      <c r="L1739" s="9">
        <v>3.964E-5</v>
      </c>
      <c r="M1739" s="9">
        <v>5.9799999999999997E-5</v>
      </c>
      <c r="N1739" s="9">
        <v>8.0630000000000006E-5</v>
      </c>
      <c r="O1739" s="9">
        <v>1.2211000000000001E-4</v>
      </c>
      <c r="P1739" s="9">
        <v>1.1645E-4</v>
      </c>
      <c r="Q1739" s="9">
        <v>1.1156E-4</v>
      </c>
      <c r="R1739" s="10">
        <v>1.8664342088285137E-4</v>
      </c>
      <c r="S1739" s="10">
        <v>1.6800118161008901E-4</v>
      </c>
      <c r="T1739" s="10">
        <v>0</v>
      </c>
      <c r="U1739" s="10">
        <v>1.6011000000000001E-4</v>
      </c>
      <c r="V1739" s="25"/>
      <c r="W1739" s="25"/>
      <c r="X1739" s="25"/>
      <c r="Y1739" s="25"/>
      <c r="Z1739" s="25"/>
      <c r="AA1739" s="25"/>
    </row>
    <row r="1740" spans="1:27" x14ac:dyDescent="0.35">
      <c r="A1740" s="5">
        <v>1736</v>
      </c>
      <c r="B1740" s="5">
        <v>73</v>
      </c>
      <c r="C1740" s="5">
        <v>3</v>
      </c>
      <c r="D1740" s="25">
        <v>1.1415000000000001E-4</v>
      </c>
      <c r="E1740" s="25">
        <v>1.1899E-4</v>
      </c>
      <c r="F1740" s="25">
        <v>1.2511E-4</v>
      </c>
      <c r="G1740" s="25">
        <v>1.617E-4</v>
      </c>
      <c r="H1740" s="25">
        <v>1.95E-4</v>
      </c>
      <c r="I1740" s="9">
        <v>9.9030000000000006E-5</v>
      </c>
      <c r="J1740" s="9">
        <v>9.4549999999999994E-5</v>
      </c>
      <c r="K1740" s="9">
        <v>2.2677E-4</v>
      </c>
      <c r="L1740" s="9">
        <v>1.0336E-4</v>
      </c>
      <c r="M1740" s="9">
        <v>8.3129999999999999E-5</v>
      </c>
      <c r="N1740" s="9">
        <v>9.0500000000000004E-5</v>
      </c>
      <c r="O1740" s="9">
        <v>2.2112999999999999E-4</v>
      </c>
      <c r="P1740" s="9">
        <v>1.7844000000000001E-4</v>
      </c>
      <c r="Q1740" s="9">
        <v>1.3784999999999999E-4</v>
      </c>
      <c r="R1740" s="10">
        <v>1.7794411654963938E-4</v>
      </c>
      <c r="S1740" s="10">
        <v>1.5661218275691362E-4</v>
      </c>
      <c r="T1740" s="10">
        <v>1.2303082487641665E-4</v>
      </c>
      <c r="U1740" s="10">
        <v>1.6011000000000001E-4</v>
      </c>
      <c r="V1740" s="25"/>
      <c r="W1740" s="25"/>
      <c r="X1740" s="25"/>
      <c r="Y1740" s="25"/>
      <c r="Z1740" s="25"/>
      <c r="AA1740" s="25"/>
    </row>
    <row r="1741" spans="1:27" x14ac:dyDescent="0.35">
      <c r="A1741" s="5">
        <v>1737</v>
      </c>
      <c r="B1741" s="5">
        <v>73</v>
      </c>
      <c r="C1741" s="5">
        <v>3</v>
      </c>
      <c r="D1741" s="25">
        <v>1.1416E-4</v>
      </c>
      <c r="E1741" s="25">
        <v>1.1971E-4</v>
      </c>
      <c r="F1741" s="25">
        <v>1.1298000000000001E-4</v>
      </c>
      <c r="G1741" s="25">
        <v>1.6338E-4</v>
      </c>
      <c r="H1741" s="25">
        <v>1.9286999999999999E-4</v>
      </c>
      <c r="I1741" s="9">
        <v>1.036E-4</v>
      </c>
      <c r="J1741" s="9">
        <v>9.9510000000000001E-5</v>
      </c>
      <c r="K1741" s="9">
        <v>2.1618000000000001E-4</v>
      </c>
      <c r="L1741" s="9">
        <v>1.9347E-4</v>
      </c>
      <c r="M1741" s="9">
        <v>1.2348E-4</v>
      </c>
      <c r="N1741" s="9">
        <v>1.0449E-4</v>
      </c>
      <c r="O1741" s="9">
        <v>2.1021000000000001E-4</v>
      </c>
      <c r="P1741" s="9">
        <v>1.9238999999999999E-4</v>
      </c>
      <c r="Q1741" s="9">
        <v>1.762E-4</v>
      </c>
      <c r="R1741" s="10">
        <v>1.7107692821537521E-4</v>
      </c>
      <c r="S1741" s="10">
        <v>1.4616896543401549E-4</v>
      </c>
      <c r="T1741" s="10">
        <v>2.6016255527277013E-4</v>
      </c>
      <c r="U1741" s="10">
        <v>1.6011000000000001E-4</v>
      </c>
      <c r="V1741" s="25"/>
      <c r="W1741" s="25"/>
      <c r="X1741" s="25"/>
      <c r="Y1741" s="25"/>
      <c r="Z1741" s="25"/>
      <c r="AA1741" s="25"/>
    </row>
    <row r="1742" spans="1:27" x14ac:dyDescent="0.35">
      <c r="A1742" s="5">
        <v>1738</v>
      </c>
      <c r="B1742" s="5">
        <v>73</v>
      </c>
      <c r="C1742" s="5">
        <v>3</v>
      </c>
      <c r="D1742" s="25">
        <v>1.1415000000000001E-4</v>
      </c>
      <c r="E1742" s="25">
        <v>1.1904999999999999E-4</v>
      </c>
      <c r="F1742" s="25">
        <v>1.1217000000000001E-4</v>
      </c>
      <c r="G1742" s="25">
        <v>1.671E-4</v>
      </c>
      <c r="H1742" s="25">
        <v>1.9536999999999999E-4</v>
      </c>
      <c r="I1742" s="9">
        <v>1.0828999999999999E-4</v>
      </c>
      <c r="J1742" s="9">
        <v>1.0276E-4</v>
      </c>
      <c r="K1742" s="9">
        <v>1.9285999999999999E-4</v>
      </c>
      <c r="L1742" s="9">
        <v>2.0416E-4</v>
      </c>
      <c r="M1742" s="9">
        <v>1.5854000000000001E-4</v>
      </c>
      <c r="N1742" s="9">
        <v>1.2434999999999999E-4</v>
      </c>
      <c r="O1742" s="9">
        <v>1.6854000000000001E-4</v>
      </c>
      <c r="P1742" s="9">
        <v>1.7571000000000001E-4</v>
      </c>
      <c r="Q1742" s="9">
        <v>1.8379E-4</v>
      </c>
      <c r="R1742" s="10">
        <v>1.2493015591261421E-4</v>
      </c>
      <c r="S1742" s="10">
        <v>1.454116937919939E-4</v>
      </c>
      <c r="T1742" s="10">
        <v>4.7818359567338244E-4</v>
      </c>
      <c r="U1742" s="10">
        <v>1.6011000000000001E-4</v>
      </c>
      <c r="V1742" s="25"/>
      <c r="W1742" s="25"/>
      <c r="X1742" s="25"/>
      <c r="Y1742" s="25"/>
      <c r="Z1742" s="25"/>
      <c r="AA1742" s="25"/>
    </row>
    <row r="1743" spans="1:27" x14ac:dyDescent="0.35">
      <c r="A1743" s="5">
        <v>1739</v>
      </c>
      <c r="B1743" s="5">
        <v>73</v>
      </c>
      <c r="C1743" s="5">
        <v>3</v>
      </c>
      <c r="D1743" s="25">
        <v>1.1416E-4</v>
      </c>
      <c r="E1743" s="25">
        <v>1.1247999999999999E-4</v>
      </c>
      <c r="F1743" s="25">
        <v>1.2540000000000001E-4</v>
      </c>
      <c r="G1743" s="25">
        <v>1.6436000000000001E-4</v>
      </c>
      <c r="H1743" s="25">
        <v>1.9233999999999999E-4</v>
      </c>
      <c r="I1743" s="9">
        <v>1.1056E-4</v>
      </c>
      <c r="J1743" s="9">
        <v>1.0262E-4</v>
      </c>
      <c r="K1743" s="9">
        <v>1.8014999999999999E-4</v>
      </c>
      <c r="L1743" s="9">
        <v>1.7649000000000001E-4</v>
      </c>
      <c r="M1743" s="9">
        <v>1.7281999999999999E-4</v>
      </c>
      <c r="N1743" s="9">
        <v>1.4286E-4</v>
      </c>
      <c r="O1743" s="9">
        <v>1.6579E-4</v>
      </c>
      <c r="P1743" s="9">
        <v>1.7149999999999999E-4</v>
      </c>
      <c r="Q1743" s="9">
        <v>1.7813E-4</v>
      </c>
      <c r="R1743" s="10">
        <v>1.0076590127688264E-4</v>
      </c>
      <c r="S1743" s="10">
        <v>1.4896921119681822E-4</v>
      </c>
      <c r="T1743" s="10">
        <v>3.5320138194643296E-4</v>
      </c>
      <c r="U1743" s="10">
        <v>1.6011000000000001E-4</v>
      </c>
      <c r="V1743" s="25"/>
      <c r="W1743" s="25"/>
      <c r="X1743" s="25"/>
      <c r="Y1743" s="25"/>
      <c r="Z1743" s="25"/>
      <c r="AA1743" s="25"/>
    </row>
    <row r="1744" spans="1:27" x14ac:dyDescent="0.35">
      <c r="A1744" s="5">
        <v>1740</v>
      </c>
      <c r="B1744" s="5">
        <v>73</v>
      </c>
      <c r="C1744" s="5">
        <v>3</v>
      </c>
      <c r="D1744" s="25">
        <v>1.1415000000000001E-4</v>
      </c>
      <c r="E1744" s="25">
        <v>1.2053999999999999E-4</v>
      </c>
      <c r="F1744" s="25">
        <v>1.2585999999999999E-4</v>
      </c>
      <c r="G1744" s="25">
        <v>1.6542E-4</v>
      </c>
      <c r="H1744" s="25">
        <v>1.9154999999999999E-4</v>
      </c>
      <c r="I1744" s="9">
        <v>1.1232E-4</v>
      </c>
      <c r="J1744" s="9">
        <v>1.0268E-4</v>
      </c>
      <c r="K1744" s="9">
        <v>1.8014999999999999E-4</v>
      </c>
      <c r="L1744" s="9">
        <v>1.6953000000000001E-4</v>
      </c>
      <c r="M1744" s="9">
        <v>1.7480999999999999E-4</v>
      </c>
      <c r="N1744" s="9">
        <v>1.5668E-4</v>
      </c>
      <c r="O1744" s="9">
        <v>1.6991E-4</v>
      </c>
      <c r="P1744" s="9">
        <v>1.7158000000000001E-4</v>
      </c>
      <c r="Q1744" s="9">
        <v>1.7425000000000001E-4</v>
      </c>
      <c r="R1744" s="10">
        <v>8.6958510499336776E-5</v>
      </c>
      <c r="S1744" s="10">
        <v>1.7007388077627594E-4</v>
      </c>
      <c r="T1744" s="10">
        <v>2.9896974050032198E-4</v>
      </c>
      <c r="U1744" s="10">
        <v>1.6011000000000001E-4</v>
      </c>
      <c r="V1744" s="25"/>
      <c r="W1744" s="25"/>
      <c r="X1744" s="25"/>
      <c r="Y1744" s="25"/>
      <c r="Z1744" s="25"/>
      <c r="AA1744" s="25"/>
    </row>
    <row r="1745" spans="1:27" x14ac:dyDescent="0.35">
      <c r="A1745" s="5">
        <v>1741</v>
      </c>
      <c r="B1745" s="5">
        <v>73</v>
      </c>
      <c r="C1745" s="5">
        <v>3</v>
      </c>
      <c r="D1745" s="25">
        <v>1.1416E-4</v>
      </c>
      <c r="E1745" s="25">
        <v>1.1533E-4</v>
      </c>
      <c r="F1745" s="25">
        <v>1.1359E-4</v>
      </c>
      <c r="G1745" s="25">
        <v>1.5988999999999999E-4</v>
      </c>
      <c r="H1745" s="25">
        <v>1.9391999999999999E-4</v>
      </c>
      <c r="I1745" s="9">
        <v>1.1281E-4</v>
      </c>
      <c r="J1745" s="9">
        <v>1.0333E-4</v>
      </c>
      <c r="K1745" s="9">
        <v>1.7166999999999999E-4</v>
      </c>
      <c r="L1745" s="9">
        <v>1.7003E-4</v>
      </c>
      <c r="M1745" s="9">
        <v>1.7365999999999999E-4</v>
      </c>
      <c r="N1745" s="9">
        <v>1.6621E-4</v>
      </c>
      <c r="O1745" s="9">
        <v>1.6144999999999999E-4</v>
      </c>
      <c r="P1745" s="9">
        <v>1.6391999999999999E-4</v>
      </c>
      <c r="Q1745" s="9">
        <v>1.6731E-4</v>
      </c>
      <c r="R1745" s="10">
        <v>7.1323682746782417E-5</v>
      </c>
      <c r="S1745" s="10">
        <v>1.6012091727124448E-4</v>
      </c>
      <c r="T1745" s="10">
        <v>2.4385573192179622E-4</v>
      </c>
      <c r="U1745" s="10">
        <v>1.6011000000000001E-4</v>
      </c>
      <c r="V1745" s="25"/>
      <c r="W1745" s="25"/>
      <c r="X1745" s="25"/>
      <c r="Y1745" s="25"/>
      <c r="Z1745" s="25"/>
      <c r="AA1745" s="25"/>
    </row>
    <row r="1746" spans="1:27" x14ac:dyDescent="0.35">
      <c r="A1746" s="5">
        <v>1742</v>
      </c>
      <c r="B1746" s="5">
        <v>73</v>
      </c>
      <c r="C1746" s="5">
        <v>3</v>
      </c>
      <c r="D1746" s="25">
        <v>1.1415000000000001E-4</v>
      </c>
      <c r="E1746" s="25">
        <v>1.1332000000000001E-4</v>
      </c>
      <c r="F1746" s="25">
        <v>1.0501999999999999E-4</v>
      </c>
      <c r="G1746" s="25">
        <v>1.6113E-4</v>
      </c>
      <c r="H1746" s="25">
        <v>1.9885000000000001E-4</v>
      </c>
      <c r="I1746" s="9">
        <v>1.0792E-4</v>
      </c>
      <c r="J1746" s="9">
        <v>1.0675000000000001E-4</v>
      </c>
      <c r="K1746" s="9">
        <v>1.7378000000000001E-4</v>
      </c>
      <c r="L1746" s="9">
        <v>1.6307999999999999E-4</v>
      </c>
      <c r="M1746" s="9">
        <v>1.6982999999999999E-4</v>
      </c>
      <c r="N1746" s="9">
        <v>1.7048000000000001E-4</v>
      </c>
      <c r="O1746" s="9">
        <v>1.7822000000000001E-4</v>
      </c>
      <c r="P1746" s="9">
        <v>1.6894999999999999E-4</v>
      </c>
      <c r="Q1746" s="9">
        <v>1.6092E-4</v>
      </c>
      <c r="R1746" s="10">
        <v>6.9138862743889826E-5</v>
      </c>
      <c r="S1746" s="10">
        <v>1.510212292914958E-4</v>
      </c>
      <c r="T1746" s="10">
        <v>1.2929223779682182E-4</v>
      </c>
      <c r="U1746" s="10">
        <v>1.6011000000000001E-4</v>
      </c>
      <c r="V1746" s="25"/>
      <c r="W1746" s="25"/>
      <c r="X1746" s="25"/>
      <c r="Y1746" s="25"/>
      <c r="Z1746" s="25"/>
      <c r="AA1746" s="25"/>
    </row>
    <row r="1747" spans="1:27" x14ac:dyDescent="0.35">
      <c r="A1747" s="5">
        <v>1743</v>
      </c>
      <c r="B1747" s="5">
        <v>73</v>
      </c>
      <c r="C1747" s="5">
        <v>3</v>
      </c>
      <c r="D1747" s="25">
        <v>1.1416E-4</v>
      </c>
      <c r="E1747" s="25">
        <v>1.1421000000000001E-4</v>
      </c>
      <c r="F1747" s="25">
        <v>1.1866000000000001E-4</v>
      </c>
      <c r="G1747" s="25">
        <v>1.5906000000000001E-4</v>
      </c>
      <c r="H1747" s="25">
        <v>1.9782E-4</v>
      </c>
      <c r="I1747" s="9">
        <v>1.0466E-4</v>
      </c>
      <c r="J1747" s="9">
        <v>1.0472E-4</v>
      </c>
      <c r="K1747" s="9">
        <v>1.8437999999999999E-4</v>
      </c>
      <c r="L1747" s="9">
        <v>1.7504E-4</v>
      </c>
      <c r="M1747" s="9">
        <v>1.6843000000000001E-4</v>
      </c>
      <c r="N1747" s="9">
        <v>1.7002E-4</v>
      </c>
      <c r="O1747" s="9">
        <v>1.8317999999999999E-4</v>
      </c>
      <c r="P1747" s="9">
        <v>1.6710999999999999E-4</v>
      </c>
      <c r="Q1747" s="9">
        <v>1.5242000000000001E-4</v>
      </c>
      <c r="R1747" s="10">
        <v>7.836712145538178E-5</v>
      </c>
      <c r="S1747" s="10">
        <v>1.5750772861932959E-4</v>
      </c>
      <c r="T1747" s="10">
        <v>1.1191639272772994E-4</v>
      </c>
      <c r="U1747" s="10">
        <v>1.6011000000000001E-4</v>
      </c>
      <c r="V1747" s="25"/>
      <c r="W1747" s="25"/>
      <c r="X1747" s="25"/>
      <c r="Y1747" s="25"/>
      <c r="Z1747" s="25"/>
      <c r="AA1747" s="25"/>
    </row>
    <row r="1748" spans="1:27" x14ac:dyDescent="0.35">
      <c r="A1748" s="5">
        <v>1744</v>
      </c>
      <c r="B1748" s="5">
        <v>73</v>
      </c>
      <c r="C1748" s="5">
        <v>3</v>
      </c>
      <c r="D1748" s="25">
        <v>1.1415000000000001E-4</v>
      </c>
      <c r="E1748" s="25">
        <v>1.1606E-4</v>
      </c>
      <c r="F1748" s="25">
        <v>1.2385E-4</v>
      </c>
      <c r="G1748" s="25">
        <v>1.5776000000000001E-4</v>
      </c>
      <c r="H1748" s="25">
        <v>1.9735E-4</v>
      </c>
      <c r="I1748" s="9">
        <v>1.0295E-4</v>
      </c>
      <c r="J1748" s="9">
        <v>1.0496E-4</v>
      </c>
      <c r="K1748" s="9">
        <v>2.0557999999999999E-4</v>
      </c>
      <c r="L1748" s="9">
        <v>1.8107999999999999E-4</v>
      </c>
      <c r="M1748" s="9">
        <v>1.6767999999999999E-4</v>
      </c>
      <c r="N1748" s="9">
        <v>1.6605999999999999E-4</v>
      </c>
      <c r="O1748" s="9">
        <v>1.9647999999999999E-4</v>
      </c>
      <c r="P1748" s="9">
        <v>1.5197999999999999E-4</v>
      </c>
      <c r="Q1748" s="9">
        <v>1.0942000000000001E-4</v>
      </c>
      <c r="R1748" s="10">
        <v>9.276435707397474E-5</v>
      </c>
      <c r="S1748" s="10">
        <v>1.6960909770501076E-4</v>
      </c>
      <c r="T1748" s="10">
        <v>8.0804467010757317E-5</v>
      </c>
      <c r="U1748" s="10">
        <v>1.6011000000000001E-4</v>
      </c>
      <c r="V1748" s="25"/>
      <c r="W1748" s="25"/>
      <c r="X1748" s="25"/>
      <c r="Y1748" s="25"/>
      <c r="Z1748" s="25"/>
      <c r="AA1748" s="25"/>
    </row>
    <row r="1749" spans="1:27" x14ac:dyDescent="0.35">
      <c r="A1749" s="5">
        <v>1745</v>
      </c>
      <c r="B1749" s="5">
        <v>73</v>
      </c>
      <c r="C1749" s="5">
        <v>3</v>
      </c>
      <c r="D1749" s="25">
        <v>1.1416E-4</v>
      </c>
      <c r="E1749" s="25">
        <v>1.1934000000000001E-4</v>
      </c>
      <c r="F1749" s="25">
        <v>1.1535999999999999E-4</v>
      </c>
      <c r="G1749" s="25">
        <v>1.5885000000000001E-4</v>
      </c>
      <c r="H1749" s="25">
        <v>1.9290999999999999E-4</v>
      </c>
      <c r="I1749" s="9">
        <v>1.019E-4</v>
      </c>
      <c r="J1749" s="9">
        <v>1.0466E-4</v>
      </c>
      <c r="K1749" s="9">
        <v>2.0981E-4</v>
      </c>
      <c r="L1749" s="9">
        <v>1.9286999999999999E-4</v>
      </c>
      <c r="M1749" s="9">
        <v>1.6194000000000001E-4</v>
      </c>
      <c r="N1749" s="9">
        <v>1.5229999999999999E-4</v>
      </c>
      <c r="O1749" s="9">
        <v>2.1240000000000001E-4</v>
      </c>
      <c r="P1749" s="9">
        <v>1.5835E-4</v>
      </c>
      <c r="Q1749" s="9">
        <v>1.0650999999999999E-4</v>
      </c>
      <c r="R1749" s="10">
        <v>1.2158892350309724E-4</v>
      </c>
      <c r="S1749" s="10">
        <v>1.7815068656396168E-4</v>
      </c>
      <c r="T1749" s="10">
        <v>2.8719353300232417E-5</v>
      </c>
      <c r="U1749" s="10">
        <v>1.6011000000000001E-4</v>
      </c>
      <c r="V1749" s="25"/>
      <c r="W1749" s="25"/>
      <c r="X1749" s="25"/>
      <c r="Y1749" s="25"/>
      <c r="Z1749" s="25"/>
      <c r="AA1749" s="25"/>
    </row>
    <row r="1750" spans="1:27" x14ac:dyDescent="0.35">
      <c r="A1750" s="5">
        <v>1746</v>
      </c>
      <c r="B1750" s="5">
        <v>73</v>
      </c>
      <c r="C1750" s="5">
        <v>3</v>
      </c>
      <c r="D1750" s="25">
        <v>1.1415000000000001E-4</v>
      </c>
      <c r="E1750" s="25">
        <v>1.1230000000000001E-4</v>
      </c>
      <c r="F1750" s="25">
        <v>1.2107E-4</v>
      </c>
      <c r="G1750" s="25">
        <v>1.6161999999999999E-4</v>
      </c>
      <c r="H1750" s="25">
        <v>1.9427999999999999E-4</v>
      </c>
      <c r="I1750" s="9">
        <v>1.0555E-4</v>
      </c>
      <c r="J1750" s="9">
        <v>1.1081E-4</v>
      </c>
      <c r="K1750" s="9">
        <v>2.1405E-4</v>
      </c>
      <c r="L1750" s="9">
        <v>2.0786000000000001E-4</v>
      </c>
      <c r="M1750" s="9">
        <v>1.5906000000000001E-4</v>
      </c>
      <c r="N1750" s="9">
        <v>1.3883E-4</v>
      </c>
      <c r="O1750" s="9">
        <v>2.0375999999999999E-4</v>
      </c>
      <c r="P1750" s="9">
        <v>1.5934E-4</v>
      </c>
      <c r="Q1750" s="9">
        <v>1.169E-4</v>
      </c>
      <c r="R1750" s="10">
        <v>1.5598202445288667E-4</v>
      </c>
      <c r="S1750" s="10">
        <v>1.8402239177322955E-4</v>
      </c>
      <c r="T1750" s="10">
        <v>0</v>
      </c>
      <c r="U1750" s="10">
        <v>1.6011000000000001E-4</v>
      </c>
      <c r="V1750" s="25"/>
      <c r="W1750" s="25"/>
      <c r="X1750" s="25"/>
      <c r="Y1750" s="25"/>
      <c r="Z1750" s="25"/>
      <c r="AA1750" s="25"/>
    </row>
    <row r="1751" spans="1:27" x14ac:dyDescent="0.35">
      <c r="A1751" s="5">
        <v>1747</v>
      </c>
      <c r="B1751" s="5">
        <v>73</v>
      </c>
      <c r="C1751" s="5">
        <v>3</v>
      </c>
      <c r="D1751" s="25">
        <v>1.1416E-4</v>
      </c>
      <c r="E1751" s="25">
        <v>1.2036000000000001E-4</v>
      </c>
      <c r="F1751" s="25">
        <v>1.2363000000000001E-4</v>
      </c>
      <c r="G1751" s="25">
        <v>1.0626E-4</v>
      </c>
      <c r="H1751" s="25">
        <v>1.2532E-4</v>
      </c>
      <c r="I1751" s="9">
        <v>1.1309E-4</v>
      </c>
      <c r="J1751" s="9">
        <v>1.1188000000000001E-4</v>
      </c>
      <c r="K1751" s="9">
        <v>2.2887999999999999E-4</v>
      </c>
      <c r="L1751" s="9">
        <v>2.0427999999999999E-4</v>
      </c>
      <c r="M1751" s="9">
        <v>1.5856999999999999E-4</v>
      </c>
      <c r="N1751" s="9">
        <v>1.2962E-4</v>
      </c>
      <c r="O1751" s="9">
        <v>1.6470999999999999E-4</v>
      </c>
      <c r="P1751" s="9">
        <v>1.3533999999999999E-4</v>
      </c>
      <c r="Q1751" s="9">
        <v>1.0742E-4</v>
      </c>
      <c r="R1751" s="10">
        <v>1.6873157355646925E-4</v>
      </c>
      <c r="S1751" s="10">
        <v>1.8773612861636686E-4</v>
      </c>
      <c r="T1751" s="10">
        <v>0</v>
      </c>
      <c r="U1751" s="10">
        <v>1.6011000000000001E-4</v>
      </c>
      <c r="V1751" s="25"/>
      <c r="W1751" s="25"/>
      <c r="X1751" s="25"/>
      <c r="Y1751" s="25"/>
      <c r="Z1751" s="25"/>
      <c r="AA1751" s="25"/>
    </row>
    <row r="1752" spans="1:27" x14ac:dyDescent="0.35">
      <c r="A1752" s="5">
        <v>1748</v>
      </c>
      <c r="B1752" s="5">
        <v>73</v>
      </c>
      <c r="C1752" s="5">
        <v>3</v>
      </c>
      <c r="D1752" s="25">
        <v>1.1415000000000001E-4</v>
      </c>
      <c r="E1752" s="25">
        <v>1.1790000000000001E-4</v>
      </c>
      <c r="F1752" s="25">
        <v>1.0986E-4</v>
      </c>
      <c r="G1752" s="25">
        <v>1.0492000000000001E-4</v>
      </c>
      <c r="H1752" s="25">
        <v>1.3375E-4</v>
      </c>
      <c r="I1752" s="9">
        <v>1.2341000000000001E-4</v>
      </c>
      <c r="J1752" s="9">
        <v>1.1754E-4</v>
      </c>
      <c r="K1752" s="9">
        <v>2.4372E-4</v>
      </c>
      <c r="L1752" s="9">
        <v>1.7359E-4</v>
      </c>
      <c r="M1752" s="9">
        <v>1.5024999999999999E-4</v>
      </c>
      <c r="N1752" s="9">
        <v>1.2063E-4</v>
      </c>
      <c r="O1752" s="9">
        <v>1.2772E-4</v>
      </c>
      <c r="P1752" s="9">
        <v>1.1393E-4</v>
      </c>
      <c r="Q1752" s="9">
        <v>1.0107000000000001E-4</v>
      </c>
      <c r="R1752" s="10">
        <v>1.7396705806967428E-4</v>
      </c>
      <c r="S1752" s="10">
        <v>1.8850325145982545E-4</v>
      </c>
      <c r="T1752" s="10">
        <v>0</v>
      </c>
      <c r="U1752" s="10">
        <v>1.6011000000000001E-4</v>
      </c>
      <c r="V1752" s="25"/>
      <c r="W1752" s="25"/>
      <c r="X1752" s="25"/>
      <c r="Y1752" s="25"/>
      <c r="Z1752" s="25"/>
      <c r="AA1752" s="25"/>
    </row>
    <row r="1753" spans="1:27" x14ac:dyDescent="0.35">
      <c r="A1753" s="5">
        <v>1749</v>
      </c>
      <c r="B1753" s="5">
        <v>73</v>
      </c>
      <c r="C1753" s="5">
        <v>3</v>
      </c>
      <c r="D1753" s="25">
        <v>1.1416E-4</v>
      </c>
      <c r="E1753" s="25">
        <v>1.1475E-4</v>
      </c>
      <c r="F1753" s="25">
        <v>1.1984E-4</v>
      </c>
      <c r="G1753" s="25">
        <v>5.8529999999999997E-5</v>
      </c>
      <c r="H1753" s="25">
        <v>6.3979999999999994E-5</v>
      </c>
      <c r="I1753" s="9">
        <v>1.2099000000000001E-4</v>
      </c>
      <c r="J1753" s="9">
        <v>1.1455000000000001E-4</v>
      </c>
      <c r="K1753" s="9">
        <v>2.7763000000000001E-4</v>
      </c>
      <c r="L1753" s="9">
        <v>1.3877E-4</v>
      </c>
      <c r="M1753" s="9">
        <v>1.3485E-4</v>
      </c>
      <c r="N1753" s="9">
        <v>1.1281999999999999E-4</v>
      </c>
      <c r="O1753" s="9">
        <v>8.4939999999999997E-5</v>
      </c>
      <c r="P1753" s="9">
        <v>8.6589999999999996E-5</v>
      </c>
      <c r="Q1753" s="9">
        <v>8.8590000000000004E-5</v>
      </c>
      <c r="R1753" s="10">
        <v>1.7749671778797166E-4</v>
      </c>
      <c r="S1753" s="10">
        <v>1.8776297270375051E-4</v>
      </c>
      <c r="T1753" s="10">
        <v>0</v>
      </c>
      <c r="U1753" s="10">
        <v>1.6011000000000001E-4</v>
      </c>
      <c r="V1753" s="25"/>
      <c r="W1753" s="25"/>
      <c r="X1753" s="25"/>
      <c r="Y1753" s="25"/>
      <c r="Z1753" s="25"/>
      <c r="AA1753" s="25"/>
    </row>
    <row r="1754" spans="1:27" x14ac:dyDescent="0.35">
      <c r="A1754" s="5">
        <v>1750</v>
      </c>
      <c r="B1754" s="5">
        <v>73</v>
      </c>
      <c r="C1754" s="5">
        <v>3</v>
      </c>
      <c r="D1754" s="25">
        <v>1.1415000000000001E-4</v>
      </c>
      <c r="E1754" s="25">
        <v>1.1123E-4</v>
      </c>
      <c r="F1754" s="25">
        <v>1.1637999999999999E-4</v>
      </c>
      <c r="G1754" s="25">
        <v>5.7750000000000001E-5</v>
      </c>
      <c r="H1754" s="25">
        <v>6.8120000000000005E-5</v>
      </c>
      <c r="I1754" s="9">
        <v>1.1564E-4</v>
      </c>
      <c r="J1754" s="9">
        <v>1.087E-4</v>
      </c>
      <c r="K1754" s="9">
        <v>2.9247000000000002E-4</v>
      </c>
      <c r="L1754" s="9">
        <v>9.7720000000000006E-5</v>
      </c>
      <c r="M1754" s="9">
        <v>1.1349999999999999E-4</v>
      </c>
      <c r="N1754" s="9">
        <v>1.0535999999999999E-4</v>
      </c>
      <c r="O1754" s="9">
        <v>8.8239999999999995E-5</v>
      </c>
      <c r="P1754" s="9">
        <v>8.8499999999999996E-5</v>
      </c>
      <c r="Q1754" s="9">
        <v>8.9149999999999999E-5</v>
      </c>
      <c r="R1754" s="10">
        <v>1.8024218297327E-4</v>
      </c>
      <c r="S1754" s="10">
        <v>1.8798924302188168E-4</v>
      </c>
      <c r="T1754" s="10">
        <v>0</v>
      </c>
      <c r="U1754" s="10">
        <v>1.6011000000000001E-4</v>
      </c>
      <c r="V1754" s="25"/>
      <c r="W1754" s="25"/>
      <c r="X1754" s="25"/>
      <c r="Y1754" s="25"/>
      <c r="Z1754" s="25"/>
      <c r="AA1754" s="25"/>
    </row>
    <row r="1755" spans="1:27" x14ac:dyDescent="0.35">
      <c r="A1755" s="5">
        <v>1751</v>
      </c>
      <c r="B1755" s="5">
        <v>73</v>
      </c>
      <c r="C1755" s="5">
        <v>3</v>
      </c>
      <c r="D1755" s="25">
        <v>1.1416E-4</v>
      </c>
      <c r="E1755" s="25">
        <v>1.1803000000000001E-4</v>
      </c>
      <c r="F1755" s="25">
        <v>1.2731999999999999E-4</v>
      </c>
      <c r="G1755" s="25">
        <v>5.4750000000000003E-5</v>
      </c>
      <c r="H1755" s="25">
        <v>7.1899999999999999E-5</v>
      </c>
      <c r="I1755" s="9">
        <v>1.1637E-4</v>
      </c>
      <c r="J1755" s="9">
        <v>1.0221E-4</v>
      </c>
      <c r="K1755" s="9">
        <v>3.1366E-4</v>
      </c>
      <c r="L1755" s="9">
        <v>9.1249999999999995E-5</v>
      </c>
      <c r="M1755" s="9">
        <v>9.9270000000000003E-5</v>
      </c>
      <c r="N1755" s="9">
        <v>9.9829999999999998E-5</v>
      </c>
      <c r="O1755" s="9">
        <v>7.8189999999999995E-5</v>
      </c>
      <c r="P1755" s="9">
        <v>7.25E-5</v>
      </c>
      <c r="Q1755" s="9">
        <v>6.7219999999999997E-5</v>
      </c>
      <c r="R1755" s="10">
        <v>1.8106269869445701E-4</v>
      </c>
      <c r="S1755" s="10">
        <v>1.8718140228246366E-4</v>
      </c>
      <c r="T1755" s="10">
        <v>0</v>
      </c>
      <c r="U1755" s="10">
        <v>1.6011000000000001E-4</v>
      </c>
      <c r="V1755" s="25"/>
      <c r="W1755" s="25"/>
      <c r="X1755" s="25"/>
      <c r="Y1755" s="25"/>
      <c r="Z1755" s="25"/>
      <c r="AA1755" s="25"/>
    </row>
    <row r="1756" spans="1:27" x14ac:dyDescent="0.35">
      <c r="A1756" s="5">
        <v>1752</v>
      </c>
      <c r="B1756" s="5">
        <v>73</v>
      </c>
      <c r="C1756" s="5">
        <v>3</v>
      </c>
      <c r="D1756" s="25">
        <v>1.1415000000000001E-4</v>
      </c>
      <c r="E1756" s="25">
        <v>1.1875E-4</v>
      </c>
      <c r="F1756" s="25">
        <v>1.1743000000000001E-4</v>
      </c>
      <c r="G1756" s="25">
        <v>5.206E-5</v>
      </c>
      <c r="H1756" s="25">
        <v>7.4889999999999996E-5</v>
      </c>
      <c r="I1756" s="9">
        <v>1.1446999999999999E-4</v>
      </c>
      <c r="J1756" s="9">
        <v>9.4660000000000005E-5</v>
      </c>
      <c r="K1756" s="9">
        <v>3.3485999999999998E-4</v>
      </c>
      <c r="L1756" s="9">
        <v>8.1030000000000002E-5</v>
      </c>
      <c r="M1756" s="9">
        <v>8.6520000000000005E-5</v>
      </c>
      <c r="N1756" s="9">
        <v>9.0710000000000004E-5</v>
      </c>
      <c r="O1756" s="9">
        <v>6.2840000000000001E-5</v>
      </c>
      <c r="P1756" s="9">
        <v>6.0779999999999997E-5</v>
      </c>
      <c r="Q1756" s="9">
        <v>5.8959999999999998E-5</v>
      </c>
      <c r="R1756" s="10">
        <v>1.7633278670420188E-4</v>
      </c>
      <c r="S1756" s="10">
        <v>1.8689059616563031E-4</v>
      </c>
      <c r="T1756" s="10">
        <v>0</v>
      </c>
      <c r="U1756" s="10">
        <v>1.6011000000000001E-4</v>
      </c>
      <c r="V1756" s="25"/>
      <c r="W1756" s="25"/>
      <c r="X1756" s="25"/>
      <c r="Y1756" s="25"/>
      <c r="Z1756" s="25"/>
      <c r="AA1756" s="25"/>
    </row>
    <row r="1757" spans="1:27" x14ac:dyDescent="0.35">
      <c r="A1757" s="5">
        <v>1753</v>
      </c>
      <c r="B1757" s="5">
        <v>74</v>
      </c>
      <c r="C1757" s="5">
        <v>3</v>
      </c>
      <c r="D1757" s="25">
        <v>1.1416E-4</v>
      </c>
      <c r="E1757" s="25">
        <v>1.0804E-4</v>
      </c>
      <c r="F1757" s="25">
        <v>1.2632999999999999E-4</v>
      </c>
      <c r="G1757" s="25">
        <v>6.0000000000000002E-5</v>
      </c>
      <c r="H1757" s="25">
        <v>6.3200000000000005E-5</v>
      </c>
      <c r="I1757" s="9">
        <v>1.098E-4</v>
      </c>
      <c r="J1757" s="9">
        <v>8.9489999999999999E-5</v>
      </c>
      <c r="K1757" s="9">
        <v>3.0519E-4</v>
      </c>
      <c r="L1757" s="9">
        <v>6.6859999999999993E-5</v>
      </c>
      <c r="M1757" s="9">
        <v>7.4320000000000007E-5</v>
      </c>
      <c r="N1757" s="9">
        <v>8.1349999999999999E-5</v>
      </c>
      <c r="O1757" s="9">
        <v>5.4750000000000003E-5</v>
      </c>
      <c r="P1757" s="9">
        <v>5.4160000000000003E-5</v>
      </c>
      <c r="Q1757" s="9">
        <v>5.3739999999999997E-5</v>
      </c>
      <c r="R1757" s="10">
        <v>1.8650977877869999E-4</v>
      </c>
      <c r="S1757" s="10">
        <v>1.8225069729627111E-4</v>
      </c>
      <c r="T1757" s="10">
        <v>0</v>
      </c>
      <c r="U1757" s="10">
        <v>1.5611999999999999E-4</v>
      </c>
      <c r="V1757" s="25"/>
      <c r="W1757" s="25"/>
      <c r="X1757" s="25"/>
      <c r="Y1757" s="25"/>
      <c r="Z1757" s="25"/>
      <c r="AA1757" s="25"/>
    </row>
    <row r="1758" spans="1:27" x14ac:dyDescent="0.35">
      <c r="A1758" s="5">
        <v>1754</v>
      </c>
      <c r="B1758" s="5">
        <v>74</v>
      </c>
      <c r="C1758" s="5">
        <v>3</v>
      </c>
      <c r="D1758" s="25">
        <v>1.1415000000000001E-4</v>
      </c>
      <c r="E1758" s="25">
        <v>1.0537E-4</v>
      </c>
      <c r="F1758" s="25">
        <v>1.1476000000000001E-4</v>
      </c>
      <c r="G1758" s="25">
        <v>5.9150000000000001E-5</v>
      </c>
      <c r="H1758" s="25">
        <v>6.9239999999999994E-5</v>
      </c>
      <c r="I1758" s="9">
        <v>1.0415E-4</v>
      </c>
      <c r="J1758" s="9">
        <v>9.0879999999999997E-5</v>
      </c>
      <c r="K1758" s="9">
        <v>2.9881999999999999E-4</v>
      </c>
      <c r="L1758" s="9">
        <v>5.7809999999999997E-5</v>
      </c>
      <c r="M1758" s="9">
        <v>6.4150000000000001E-5</v>
      </c>
      <c r="N1758" s="9">
        <v>7.2329999999999994E-5</v>
      </c>
      <c r="O1758" s="9">
        <v>1.8989999999999999E-5</v>
      </c>
      <c r="P1758" s="9">
        <v>3.7929999999999998E-5</v>
      </c>
      <c r="Q1758" s="9">
        <v>5.6450000000000003E-5</v>
      </c>
      <c r="R1758" s="10">
        <v>1.8808503235796247E-4</v>
      </c>
      <c r="S1758" s="10">
        <v>1.8019357114261038E-4</v>
      </c>
      <c r="T1758" s="10">
        <v>0</v>
      </c>
      <c r="U1758" s="10">
        <v>1.5611999999999999E-4</v>
      </c>
      <c r="V1758" s="25"/>
      <c r="W1758" s="25"/>
      <c r="X1758" s="25"/>
      <c r="Y1758" s="25"/>
      <c r="Z1758" s="25"/>
      <c r="AA1758" s="25"/>
    </row>
    <row r="1759" spans="1:27" x14ac:dyDescent="0.35">
      <c r="A1759" s="5">
        <v>1755</v>
      </c>
      <c r="B1759" s="5">
        <v>74</v>
      </c>
      <c r="C1759" s="5">
        <v>3</v>
      </c>
      <c r="D1759" s="25">
        <v>1.1416E-4</v>
      </c>
      <c r="E1759" s="25">
        <v>1.0597E-4</v>
      </c>
      <c r="F1759" s="25">
        <v>1.2690999999999999E-4</v>
      </c>
      <c r="G1759" s="25">
        <v>6.1519999999999994E-5</v>
      </c>
      <c r="H1759" s="25">
        <v>6.3990000000000002E-5</v>
      </c>
      <c r="I1759" s="9">
        <v>1.0067E-4</v>
      </c>
      <c r="J1759" s="9">
        <v>9.098E-5</v>
      </c>
      <c r="K1759" s="9">
        <v>2.7763000000000001E-4</v>
      </c>
      <c r="L1759" s="9">
        <v>2.773E-5</v>
      </c>
      <c r="M1759" s="9">
        <v>5.24E-5</v>
      </c>
      <c r="N1759" s="9">
        <v>6.5779999999999997E-5</v>
      </c>
      <c r="O1759" s="9">
        <v>1.3360000000000001E-5</v>
      </c>
      <c r="P1759" s="9">
        <v>3.7570000000000001E-5</v>
      </c>
      <c r="Q1759" s="9">
        <v>6.1240000000000003E-5</v>
      </c>
      <c r="R1759" s="10">
        <v>1.8315349781399711E-4</v>
      </c>
      <c r="S1759" s="10">
        <v>1.7564805877700603E-4</v>
      </c>
      <c r="T1759" s="10">
        <v>0</v>
      </c>
      <c r="U1759" s="10">
        <v>1.5611999999999999E-4</v>
      </c>
      <c r="V1759" s="25"/>
      <c r="W1759" s="25"/>
      <c r="X1759" s="25"/>
      <c r="Y1759" s="25"/>
      <c r="Z1759" s="25"/>
      <c r="AA1759" s="25"/>
    </row>
    <row r="1760" spans="1:27" x14ac:dyDescent="0.35">
      <c r="A1760" s="5">
        <v>1756</v>
      </c>
      <c r="B1760" s="5">
        <v>74</v>
      </c>
      <c r="C1760" s="5">
        <v>3</v>
      </c>
      <c r="D1760" s="25">
        <v>1.1415000000000001E-4</v>
      </c>
      <c r="E1760" s="25">
        <v>1.1488E-4</v>
      </c>
      <c r="F1760" s="25">
        <v>1.0915E-4</v>
      </c>
      <c r="G1760" s="25">
        <v>5.9410000000000002E-5</v>
      </c>
      <c r="H1760" s="25">
        <v>7.4980000000000004E-5</v>
      </c>
      <c r="I1760" s="9">
        <v>9.9759999999999994E-5</v>
      </c>
      <c r="J1760" s="9">
        <v>9.1840000000000002E-5</v>
      </c>
      <c r="K1760" s="9">
        <v>2.7763000000000001E-4</v>
      </c>
      <c r="L1760" s="9">
        <v>1.7260000000000001E-5</v>
      </c>
      <c r="M1760" s="9">
        <v>4.426E-5</v>
      </c>
      <c r="N1760" s="9">
        <v>6.2059999999999999E-5</v>
      </c>
      <c r="O1760" s="9">
        <v>1.3339999999999999E-5</v>
      </c>
      <c r="P1760" s="9">
        <v>4.689E-5</v>
      </c>
      <c r="Q1760" s="9">
        <v>7.9740000000000006E-5</v>
      </c>
      <c r="R1760" s="10">
        <v>1.7938153447355398E-4</v>
      </c>
      <c r="S1760" s="10">
        <v>1.6830418062609029E-4</v>
      </c>
      <c r="T1760" s="10">
        <v>0</v>
      </c>
      <c r="U1760" s="10">
        <v>1.5611999999999999E-4</v>
      </c>
      <c r="V1760" s="25"/>
      <c r="W1760" s="25"/>
      <c r="X1760" s="25"/>
      <c r="Y1760" s="25"/>
      <c r="Z1760" s="25"/>
      <c r="AA1760" s="25"/>
    </row>
    <row r="1761" spans="1:27" x14ac:dyDescent="0.35">
      <c r="A1761" s="5">
        <v>1757</v>
      </c>
      <c r="B1761" s="5">
        <v>74</v>
      </c>
      <c r="C1761" s="5">
        <v>3</v>
      </c>
      <c r="D1761" s="25">
        <v>1.1416E-4</v>
      </c>
      <c r="E1761" s="25">
        <v>1.1472999999999999E-4</v>
      </c>
      <c r="F1761" s="25">
        <v>1.0904E-4</v>
      </c>
      <c r="G1761" s="25">
        <v>5.9389999999999999E-5</v>
      </c>
      <c r="H1761" s="25">
        <v>7.5450000000000004E-5</v>
      </c>
      <c r="I1761" s="9">
        <v>1.0168E-4</v>
      </c>
      <c r="J1761" s="9">
        <v>9.3140000000000006E-5</v>
      </c>
      <c r="K1761" s="9">
        <v>2.6067000000000001E-4</v>
      </c>
      <c r="L1761" s="9">
        <v>1.4450000000000001E-5</v>
      </c>
      <c r="M1761" s="9">
        <v>4.337E-5</v>
      </c>
      <c r="N1761" s="9">
        <v>6.4399999999999993E-5</v>
      </c>
      <c r="O1761" s="9">
        <v>1.8749999999999998E-5</v>
      </c>
      <c r="P1761" s="9">
        <v>5.6169999999999999E-5</v>
      </c>
      <c r="Q1761" s="9">
        <v>9.2880000000000005E-5</v>
      </c>
      <c r="R1761" s="10">
        <v>1.7523416835297343E-4</v>
      </c>
      <c r="S1761" s="10">
        <v>1.6369761721824982E-4</v>
      </c>
      <c r="T1761" s="10">
        <v>0</v>
      </c>
      <c r="U1761" s="10">
        <v>1.5611999999999999E-4</v>
      </c>
      <c r="V1761" s="25"/>
      <c r="W1761" s="25"/>
      <c r="X1761" s="25"/>
      <c r="Y1761" s="25"/>
      <c r="Z1761" s="25"/>
      <c r="AA1761" s="25"/>
    </row>
    <row r="1762" spans="1:27" x14ac:dyDescent="0.35">
      <c r="A1762" s="5">
        <v>1758</v>
      </c>
      <c r="B1762" s="5">
        <v>74</v>
      </c>
      <c r="C1762" s="5">
        <v>3</v>
      </c>
      <c r="D1762" s="25">
        <v>1.1415000000000001E-4</v>
      </c>
      <c r="E1762" s="25">
        <v>1.043E-4</v>
      </c>
      <c r="F1762" s="25">
        <v>1.2213E-4</v>
      </c>
      <c r="G1762" s="25">
        <v>1.0586000000000001E-4</v>
      </c>
      <c r="H1762" s="25">
        <v>1.3012000000000001E-4</v>
      </c>
      <c r="I1762" s="9">
        <v>1.0856E-4</v>
      </c>
      <c r="J1762" s="9">
        <v>9.6420000000000002E-5</v>
      </c>
      <c r="K1762" s="9">
        <v>2.3949E-4</v>
      </c>
      <c r="L1762" s="9">
        <v>1.7669999999999999E-5</v>
      </c>
      <c r="M1762" s="9">
        <v>4.8099999999999997E-5</v>
      </c>
      <c r="N1762" s="9">
        <v>7.0740000000000004E-5</v>
      </c>
      <c r="O1762" s="9">
        <v>4.617E-5</v>
      </c>
      <c r="P1762" s="9">
        <v>7.6650000000000006E-5</v>
      </c>
      <c r="Q1762" s="9">
        <v>1.0673E-4</v>
      </c>
      <c r="R1762" s="10">
        <v>1.8323767438244376E-4</v>
      </c>
      <c r="S1762" s="10">
        <v>1.7290902738146101E-4</v>
      </c>
      <c r="T1762" s="10">
        <v>0</v>
      </c>
      <c r="U1762" s="10">
        <v>1.5611999999999999E-4</v>
      </c>
      <c r="V1762" s="25"/>
      <c r="W1762" s="25"/>
      <c r="X1762" s="25"/>
      <c r="Y1762" s="25"/>
      <c r="Z1762" s="25"/>
      <c r="AA1762" s="25"/>
    </row>
    <row r="1763" spans="1:27" x14ac:dyDescent="0.35">
      <c r="A1763" s="5">
        <v>1759</v>
      </c>
      <c r="B1763" s="5">
        <v>74</v>
      </c>
      <c r="C1763" s="5">
        <v>3</v>
      </c>
      <c r="D1763" s="25">
        <v>1.1416E-4</v>
      </c>
      <c r="E1763" s="25">
        <v>1.0431E-4</v>
      </c>
      <c r="F1763" s="25">
        <v>1.1103E-4</v>
      </c>
      <c r="G1763" s="25">
        <v>1.1010000000000001E-4</v>
      </c>
      <c r="H1763" s="25">
        <v>1.3505E-4</v>
      </c>
      <c r="I1763" s="9">
        <v>1.2371999999999999E-4</v>
      </c>
      <c r="J1763" s="9">
        <v>1.0415E-4</v>
      </c>
      <c r="K1763" s="9">
        <v>2.1829E-4</v>
      </c>
      <c r="L1763" s="9">
        <v>3.9759999999999999E-5</v>
      </c>
      <c r="M1763" s="9">
        <v>5.9719999999999997E-5</v>
      </c>
      <c r="N1763" s="9">
        <v>8.0370000000000005E-5</v>
      </c>
      <c r="O1763" s="9">
        <v>1.2374E-4</v>
      </c>
      <c r="P1763" s="9">
        <v>1.1801E-4</v>
      </c>
      <c r="Q1763" s="9">
        <v>1.1304E-4</v>
      </c>
      <c r="R1763" s="10">
        <v>1.8104514283671033E-4</v>
      </c>
      <c r="S1763" s="10">
        <v>1.8190201647542569E-4</v>
      </c>
      <c r="T1763" s="10">
        <v>0</v>
      </c>
      <c r="U1763" s="10">
        <v>1.5611999999999999E-4</v>
      </c>
      <c r="V1763" s="25"/>
      <c r="W1763" s="25"/>
      <c r="X1763" s="25"/>
      <c r="Y1763" s="25"/>
      <c r="Z1763" s="25"/>
      <c r="AA1763" s="25"/>
    </row>
    <row r="1764" spans="1:27" x14ac:dyDescent="0.35">
      <c r="A1764" s="5">
        <v>1760</v>
      </c>
      <c r="B1764" s="5">
        <v>74</v>
      </c>
      <c r="C1764" s="5">
        <v>3</v>
      </c>
      <c r="D1764" s="25">
        <v>1.1415000000000001E-4</v>
      </c>
      <c r="E1764" s="25">
        <v>1.069E-4</v>
      </c>
      <c r="F1764" s="25">
        <v>1.1823E-4</v>
      </c>
      <c r="G1764" s="25">
        <v>1.6092E-4</v>
      </c>
      <c r="H1764" s="25">
        <v>1.9029999999999999E-4</v>
      </c>
      <c r="I1764" s="9">
        <v>1.3077999999999999E-4</v>
      </c>
      <c r="J1764" s="9">
        <v>1.2066E-4</v>
      </c>
      <c r="K1764" s="9">
        <v>2.0557999999999999E-4</v>
      </c>
      <c r="L1764" s="9">
        <v>1.0465E-4</v>
      </c>
      <c r="M1764" s="9">
        <v>8.3700000000000002E-5</v>
      </c>
      <c r="N1764" s="9">
        <v>9.0630000000000005E-5</v>
      </c>
      <c r="O1764" s="9">
        <v>2.1770000000000001E-4</v>
      </c>
      <c r="P1764" s="9">
        <v>1.7568E-4</v>
      </c>
      <c r="Q1764" s="9">
        <v>1.3570999999999999E-4</v>
      </c>
      <c r="R1764" s="10">
        <v>1.7812551633646236E-4</v>
      </c>
      <c r="S1764" s="10">
        <v>1.8236925652417393E-4</v>
      </c>
      <c r="T1764" s="10">
        <v>4.6247915757626854E-5</v>
      </c>
      <c r="U1764" s="10">
        <v>1.5611999999999999E-4</v>
      </c>
      <c r="V1764" s="25"/>
      <c r="W1764" s="25"/>
      <c r="X1764" s="25"/>
      <c r="Y1764" s="25"/>
      <c r="Z1764" s="25"/>
      <c r="AA1764" s="25"/>
    </row>
    <row r="1765" spans="1:27" x14ac:dyDescent="0.35">
      <c r="A1765" s="5">
        <v>1761</v>
      </c>
      <c r="B1765" s="5">
        <v>74</v>
      </c>
      <c r="C1765" s="5">
        <v>3</v>
      </c>
      <c r="D1765" s="25">
        <v>1.1416E-4</v>
      </c>
      <c r="E1765" s="25">
        <v>1.148E-4</v>
      </c>
      <c r="F1765" s="25">
        <v>1.1964E-4</v>
      </c>
      <c r="G1765" s="25">
        <v>1.6155E-4</v>
      </c>
      <c r="H1765" s="25">
        <v>1.9531999999999999E-4</v>
      </c>
      <c r="I1765" s="9">
        <v>1.3396999999999999E-4</v>
      </c>
      <c r="J1765" s="9">
        <v>1.2936999999999999E-4</v>
      </c>
      <c r="K1765" s="9">
        <v>1.6531E-4</v>
      </c>
      <c r="L1765" s="9">
        <v>1.9105000000000001E-4</v>
      </c>
      <c r="M1765" s="9">
        <v>1.2302999999999999E-4</v>
      </c>
      <c r="N1765" s="9">
        <v>1.0420999999999999E-4</v>
      </c>
      <c r="O1765" s="9">
        <v>2.1212E-4</v>
      </c>
      <c r="P1765" s="9">
        <v>1.9415E-4</v>
      </c>
      <c r="Q1765" s="9">
        <v>1.7780000000000001E-4</v>
      </c>
      <c r="R1765" s="10">
        <v>1.7622588218898881E-4</v>
      </c>
      <c r="S1765" s="10">
        <v>1.7954674843569498E-4</v>
      </c>
      <c r="T1765" s="10">
        <v>9.8409388162303053E-5</v>
      </c>
      <c r="U1765" s="10">
        <v>1.5611999999999999E-4</v>
      </c>
      <c r="V1765" s="25"/>
      <c r="W1765" s="25"/>
      <c r="X1765" s="25"/>
      <c r="Y1765" s="25"/>
      <c r="Z1765" s="25"/>
      <c r="AA1765" s="25"/>
    </row>
    <row r="1766" spans="1:27" x14ac:dyDescent="0.35">
      <c r="A1766" s="5">
        <v>1762</v>
      </c>
      <c r="B1766" s="5">
        <v>74</v>
      </c>
      <c r="C1766" s="5">
        <v>3</v>
      </c>
      <c r="D1766" s="25">
        <v>1.1415000000000001E-4</v>
      </c>
      <c r="E1766" s="25">
        <v>1.0522E-4</v>
      </c>
      <c r="F1766" s="25">
        <v>1.1865E-4</v>
      </c>
      <c r="G1766" s="25">
        <v>1.6698E-4</v>
      </c>
      <c r="H1766" s="25">
        <v>1.9179000000000001E-4</v>
      </c>
      <c r="I1766" s="9">
        <v>1.3714E-4</v>
      </c>
      <c r="J1766" s="9">
        <v>1.2996000000000001E-4</v>
      </c>
      <c r="K1766" s="9">
        <v>1.1445E-4</v>
      </c>
      <c r="L1766" s="9">
        <v>2.0521999999999999E-4</v>
      </c>
      <c r="M1766" s="9">
        <v>1.5856999999999999E-4</v>
      </c>
      <c r="N1766" s="9">
        <v>1.2449999999999999E-4</v>
      </c>
      <c r="O1766" s="9">
        <v>1.662E-4</v>
      </c>
      <c r="P1766" s="9">
        <v>1.7327E-4</v>
      </c>
      <c r="Q1766" s="9">
        <v>1.8123999999999999E-4</v>
      </c>
      <c r="R1766" s="10">
        <v>1.6965231869704186E-4</v>
      </c>
      <c r="S1766" s="10">
        <v>1.7438299680592079E-4</v>
      </c>
      <c r="T1766" s="10">
        <v>4.9828290083386997E-5</v>
      </c>
      <c r="U1766" s="10">
        <v>1.5611999999999999E-4</v>
      </c>
      <c r="V1766" s="25"/>
      <c r="W1766" s="25"/>
      <c r="X1766" s="25"/>
      <c r="Y1766" s="25"/>
      <c r="Z1766" s="25"/>
      <c r="AA1766" s="25"/>
    </row>
    <row r="1767" spans="1:27" x14ac:dyDescent="0.35">
      <c r="A1767" s="5">
        <v>1763</v>
      </c>
      <c r="B1767" s="5">
        <v>74</v>
      </c>
      <c r="C1767" s="5">
        <v>3</v>
      </c>
      <c r="D1767" s="25">
        <v>1.1416E-4</v>
      </c>
      <c r="E1767" s="25">
        <v>1.1493999999999999E-4</v>
      </c>
      <c r="F1767" s="25">
        <v>1.2155E-4</v>
      </c>
      <c r="G1767" s="25">
        <v>1.5917000000000001E-4</v>
      </c>
      <c r="H1767" s="25">
        <v>1.9443999999999999E-4</v>
      </c>
      <c r="I1767" s="9">
        <v>1.3653E-4</v>
      </c>
      <c r="J1767" s="9">
        <v>1.2704E-4</v>
      </c>
      <c r="K1767" s="9">
        <v>8.4770000000000003E-5</v>
      </c>
      <c r="L1767" s="9">
        <v>1.7480999999999999E-4</v>
      </c>
      <c r="M1767" s="9">
        <v>1.7212999999999999E-4</v>
      </c>
      <c r="N1767" s="9">
        <v>1.4247000000000001E-4</v>
      </c>
      <c r="O1767" s="9">
        <v>1.6541E-4</v>
      </c>
      <c r="P1767" s="9">
        <v>1.7111000000000001E-4</v>
      </c>
      <c r="Q1767" s="9">
        <v>1.7772E-4</v>
      </c>
      <c r="R1767" s="10">
        <v>1.9710188089410948E-4</v>
      </c>
      <c r="S1767" s="10">
        <v>1.741843954243078E-4</v>
      </c>
      <c r="T1767" s="10">
        <v>6.649145400706691E-5</v>
      </c>
      <c r="U1767" s="10">
        <v>1.5611999999999999E-4</v>
      </c>
      <c r="V1767" s="25"/>
      <c r="W1767" s="25"/>
      <c r="X1767" s="25"/>
      <c r="Y1767" s="25"/>
      <c r="Z1767" s="25"/>
      <c r="AA1767" s="25"/>
    </row>
    <row r="1768" spans="1:27" x14ac:dyDescent="0.35">
      <c r="A1768" s="5">
        <v>1764</v>
      </c>
      <c r="B1768" s="5">
        <v>74</v>
      </c>
      <c r="C1768" s="5">
        <v>3</v>
      </c>
      <c r="D1768" s="25">
        <v>1.1415000000000001E-4</v>
      </c>
      <c r="E1768" s="25">
        <v>1.1066E-4</v>
      </c>
      <c r="F1768" s="25">
        <v>1.2920999999999999E-4</v>
      </c>
      <c r="G1768" s="25">
        <v>1.6661000000000001E-4</v>
      </c>
      <c r="H1768" s="25">
        <v>1.9267000000000001E-4</v>
      </c>
      <c r="I1768" s="9">
        <v>1.3626E-4</v>
      </c>
      <c r="J1768" s="9">
        <v>1.2526E-4</v>
      </c>
      <c r="K1768" s="9">
        <v>7.4179999999999998E-5</v>
      </c>
      <c r="L1768" s="9">
        <v>1.6891000000000001E-4</v>
      </c>
      <c r="M1768" s="9">
        <v>1.7403000000000001E-4</v>
      </c>
      <c r="N1768" s="9">
        <v>1.5621E-4</v>
      </c>
      <c r="O1768" s="9">
        <v>1.7124999999999999E-4</v>
      </c>
      <c r="P1768" s="9">
        <v>1.7293000000000001E-4</v>
      </c>
      <c r="Q1768" s="9">
        <v>1.7562E-4</v>
      </c>
      <c r="R1768" s="10">
        <v>1.5738329546179162E-4</v>
      </c>
      <c r="S1768" s="10">
        <v>1.6748821629855281E-4</v>
      </c>
      <c r="T1768" s="10">
        <v>2.117765960789074E-4</v>
      </c>
      <c r="U1768" s="10">
        <v>1.5611999999999999E-4</v>
      </c>
      <c r="V1768" s="25"/>
      <c r="W1768" s="25"/>
      <c r="X1768" s="25"/>
      <c r="Y1768" s="25"/>
      <c r="Z1768" s="25"/>
      <c r="AA1768" s="25"/>
    </row>
    <row r="1769" spans="1:27" x14ac:dyDescent="0.35">
      <c r="A1769" s="5">
        <v>1765</v>
      </c>
      <c r="B1769" s="5">
        <v>74</v>
      </c>
      <c r="C1769" s="5">
        <v>3</v>
      </c>
      <c r="D1769" s="25">
        <v>1.1416E-4</v>
      </c>
      <c r="E1769" s="25">
        <v>1.0719E-4</v>
      </c>
      <c r="F1769" s="25">
        <v>1.2793E-4</v>
      </c>
      <c r="G1769" s="25">
        <v>1.6432E-4</v>
      </c>
      <c r="H1769" s="25">
        <v>1.8699999999999999E-4</v>
      </c>
      <c r="I1769" s="9">
        <v>1.3175E-4</v>
      </c>
      <c r="J1769" s="9">
        <v>1.2443E-4</v>
      </c>
      <c r="K1769" s="9">
        <v>6.1470000000000006E-5</v>
      </c>
      <c r="L1769" s="9">
        <v>1.7094000000000001E-4</v>
      </c>
      <c r="M1769" s="9">
        <v>1.7362000000000001E-4</v>
      </c>
      <c r="N1769" s="9">
        <v>1.6604E-4</v>
      </c>
      <c r="O1769" s="9">
        <v>1.5995000000000001E-4</v>
      </c>
      <c r="P1769" s="9">
        <v>1.6239999999999999E-4</v>
      </c>
      <c r="Q1769" s="9">
        <v>1.6576000000000001E-4</v>
      </c>
      <c r="R1769" s="10">
        <v>1.5663625409556366E-4</v>
      </c>
      <c r="S1769" s="10">
        <v>1.6813052673121499E-4</v>
      </c>
      <c r="T1769" s="10">
        <v>5.6573308066750307E-5</v>
      </c>
      <c r="U1769" s="10">
        <v>1.5611999999999999E-4</v>
      </c>
      <c r="V1769" s="25"/>
      <c r="W1769" s="25"/>
      <c r="X1769" s="25"/>
      <c r="Y1769" s="25"/>
      <c r="Z1769" s="25"/>
      <c r="AA1769" s="25"/>
    </row>
    <row r="1770" spans="1:27" x14ac:dyDescent="0.35">
      <c r="A1770" s="5">
        <v>1766</v>
      </c>
      <c r="B1770" s="5">
        <v>74</v>
      </c>
      <c r="C1770" s="5">
        <v>3</v>
      </c>
      <c r="D1770" s="25">
        <v>1.1415000000000001E-4</v>
      </c>
      <c r="E1770" s="25">
        <v>1.1158E-4</v>
      </c>
      <c r="F1770" s="25">
        <v>1.1679E-4</v>
      </c>
      <c r="G1770" s="25">
        <v>1.5799E-4</v>
      </c>
      <c r="H1770" s="25">
        <v>1.9762E-4</v>
      </c>
      <c r="I1770" s="9">
        <v>1.3085000000000001E-4</v>
      </c>
      <c r="J1770" s="9">
        <v>1.2766000000000001E-4</v>
      </c>
      <c r="K1770" s="9">
        <v>6.5699999999999998E-5</v>
      </c>
      <c r="L1770" s="9">
        <v>1.6203999999999999E-4</v>
      </c>
      <c r="M1770" s="9">
        <v>1.6948000000000001E-4</v>
      </c>
      <c r="N1770" s="9">
        <v>1.7005000000000001E-4</v>
      </c>
      <c r="O1770" s="9">
        <v>1.7848000000000001E-4</v>
      </c>
      <c r="P1770" s="9">
        <v>1.6919E-4</v>
      </c>
      <c r="Q1770" s="9">
        <v>1.6114999999999999E-4</v>
      </c>
      <c r="R1770" s="10">
        <v>1.5544021262298857E-4</v>
      </c>
      <c r="S1770" s="10">
        <v>1.6999858773549664E-4</v>
      </c>
      <c r="T1770" s="10">
        <v>5.7209630518010992E-5</v>
      </c>
      <c r="U1770" s="10">
        <v>1.5611999999999999E-4</v>
      </c>
      <c r="V1770" s="25"/>
      <c r="W1770" s="25"/>
      <c r="X1770" s="25"/>
      <c r="Y1770" s="25"/>
      <c r="Z1770" s="25"/>
      <c r="AA1770" s="25"/>
    </row>
    <row r="1771" spans="1:27" x14ac:dyDescent="0.35">
      <c r="A1771" s="5">
        <v>1767</v>
      </c>
      <c r="B1771" s="5">
        <v>74</v>
      </c>
      <c r="C1771" s="5">
        <v>3</v>
      </c>
      <c r="D1771" s="25">
        <v>1.1416E-4</v>
      </c>
      <c r="E1771" s="25">
        <v>1.1412E-4</v>
      </c>
      <c r="F1771" s="25">
        <v>1.3061E-4</v>
      </c>
      <c r="G1771" s="25">
        <v>1.5987999999999999E-4</v>
      </c>
      <c r="H1771" s="25">
        <v>1.9615999999999999E-4</v>
      </c>
      <c r="I1771" s="9">
        <v>1.2862E-4</v>
      </c>
      <c r="J1771" s="9">
        <v>1.2647E-4</v>
      </c>
      <c r="K1771" s="9">
        <v>7.2059999999999998E-5</v>
      </c>
      <c r="L1771" s="9">
        <v>1.7508000000000001E-4</v>
      </c>
      <c r="M1771" s="9">
        <v>1.6819E-4</v>
      </c>
      <c r="N1771" s="9">
        <v>1.6969000000000001E-4</v>
      </c>
      <c r="O1771" s="9">
        <v>1.8254999999999999E-4</v>
      </c>
      <c r="P1771" s="9">
        <v>1.6652999999999999E-4</v>
      </c>
      <c r="Q1771" s="9">
        <v>1.5190000000000001E-4</v>
      </c>
      <c r="R1771" s="10">
        <v>1.574044413266018E-4</v>
      </c>
      <c r="S1771" s="10">
        <v>1.6837446418095455E-4</v>
      </c>
      <c r="T1771" s="10">
        <v>1.5928423599957564E-4</v>
      </c>
      <c r="U1771" s="10">
        <v>1.5611999999999999E-4</v>
      </c>
      <c r="V1771" s="25"/>
      <c r="W1771" s="25"/>
      <c r="X1771" s="25"/>
      <c r="Y1771" s="25"/>
      <c r="Z1771" s="25"/>
      <c r="AA1771" s="25"/>
    </row>
    <row r="1772" spans="1:27" x14ac:dyDescent="0.35">
      <c r="A1772" s="5">
        <v>1768</v>
      </c>
      <c r="B1772" s="5">
        <v>74</v>
      </c>
      <c r="C1772" s="5">
        <v>3</v>
      </c>
      <c r="D1772" s="25">
        <v>1.1415000000000001E-4</v>
      </c>
      <c r="E1772" s="25">
        <v>1.0645999999999999E-4</v>
      </c>
      <c r="F1772" s="25">
        <v>1.1402E-4</v>
      </c>
      <c r="G1772" s="25">
        <v>1.6761E-4</v>
      </c>
      <c r="H1772" s="25">
        <v>1.8738000000000001E-4</v>
      </c>
      <c r="I1772" s="9">
        <v>1.2870000000000001E-4</v>
      </c>
      <c r="J1772" s="9">
        <v>1.2474E-4</v>
      </c>
      <c r="K1772" s="9">
        <v>7.6299999999999998E-5</v>
      </c>
      <c r="L1772" s="9">
        <v>1.8058000000000001E-4</v>
      </c>
      <c r="M1772" s="9">
        <v>1.6734000000000001E-4</v>
      </c>
      <c r="N1772" s="9">
        <v>1.6574999999999999E-4</v>
      </c>
      <c r="O1772" s="9">
        <v>1.9571000000000001E-4</v>
      </c>
      <c r="P1772" s="9">
        <v>1.5139E-4</v>
      </c>
      <c r="Q1772" s="9">
        <v>1.0900000000000001E-4</v>
      </c>
      <c r="R1772" s="10">
        <v>1.5532408489634593E-4</v>
      </c>
      <c r="S1772" s="10">
        <v>1.6501834939469079E-4</v>
      </c>
      <c r="T1772" s="10">
        <v>1.4452155513032763E-4</v>
      </c>
      <c r="U1772" s="10">
        <v>1.5611999999999999E-4</v>
      </c>
      <c r="V1772" s="25"/>
      <c r="W1772" s="25"/>
      <c r="X1772" s="25"/>
      <c r="Y1772" s="25"/>
      <c r="Z1772" s="25"/>
      <c r="AA1772" s="25"/>
    </row>
    <row r="1773" spans="1:27" x14ac:dyDescent="0.35">
      <c r="A1773" s="5">
        <v>1769</v>
      </c>
      <c r="B1773" s="5">
        <v>74</v>
      </c>
      <c r="C1773" s="5">
        <v>3</v>
      </c>
      <c r="D1773" s="25">
        <v>1.1416E-4</v>
      </c>
      <c r="E1773" s="25">
        <v>1.1018000000000001E-4</v>
      </c>
      <c r="F1773" s="25">
        <v>1.1081E-4</v>
      </c>
      <c r="G1773" s="25">
        <v>1.6531E-4</v>
      </c>
      <c r="H1773" s="25">
        <v>1.9137000000000001E-4</v>
      </c>
      <c r="I1773" s="9">
        <v>1.2768999999999999E-4</v>
      </c>
      <c r="J1773" s="9">
        <v>1.2420000000000001E-4</v>
      </c>
      <c r="K1773" s="9">
        <v>8.0539999999999998E-5</v>
      </c>
      <c r="L1773" s="9">
        <v>1.9216E-4</v>
      </c>
      <c r="M1773" s="9">
        <v>1.6149E-4</v>
      </c>
      <c r="N1773" s="9">
        <v>1.5197E-4</v>
      </c>
      <c r="O1773" s="9">
        <v>2.1414000000000001E-4</v>
      </c>
      <c r="P1773" s="9">
        <v>1.5965E-4</v>
      </c>
      <c r="Q1773" s="9">
        <v>1.0739E-4</v>
      </c>
      <c r="R1773" s="10">
        <v>1.6018671347784976E-4</v>
      </c>
      <c r="S1773" s="10">
        <v>1.6902109332777793E-4</v>
      </c>
      <c r="T1773" s="10">
        <v>4.2099093375407163E-5</v>
      </c>
      <c r="U1773" s="10">
        <v>1.5611999999999999E-4</v>
      </c>
      <c r="V1773" s="25"/>
      <c r="W1773" s="25"/>
      <c r="X1773" s="25"/>
      <c r="Y1773" s="25"/>
      <c r="Z1773" s="25"/>
      <c r="AA1773" s="25"/>
    </row>
    <row r="1774" spans="1:27" x14ac:dyDescent="0.35">
      <c r="A1774" s="5">
        <v>1770</v>
      </c>
      <c r="B1774" s="5">
        <v>74</v>
      </c>
      <c r="C1774" s="5">
        <v>3</v>
      </c>
      <c r="D1774" s="25">
        <v>1.1415000000000001E-4</v>
      </c>
      <c r="E1774" s="25">
        <v>1.0491E-4</v>
      </c>
      <c r="F1774" s="25">
        <v>1.2027E-4</v>
      </c>
      <c r="G1774" s="25">
        <v>1.6584999999999999E-4</v>
      </c>
      <c r="H1774" s="25">
        <v>1.9662E-4</v>
      </c>
      <c r="I1774" s="9">
        <v>1.2929E-4</v>
      </c>
      <c r="J1774" s="9">
        <v>1.2776000000000001E-4</v>
      </c>
      <c r="K1774" s="9">
        <v>8.6890000000000003E-5</v>
      </c>
      <c r="L1774" s="9">
        <v>2.0908E-4</v>
      </c>
      <c r="M1774" s="9">
        <v>1.5920999999999999E-4</v>
      </c>
      <c r="N1774" s="9">
        <v>1.3872999999999999E-4</v>
      </c>
      <c r="O1774" s="9">
        <v>2.073E-4</v>
      </c>
      <c r="P1774" s="9">
        <v>1.6210000000000001E-4</v>
      </c>
      <c r="Q1774" s="9">
        <v>1.1893E-4</v>
      </c>
      <c r="R1774" s="10">
        <v>1.5818994054386741E-4</v>
      </c>
      <c r="S1774" s="10">
        <v>1.7820236785290666E-4</v>
      </c>
      <c r="T1774" s="10">
        <v>8.6794382351957952E-6</v>
      </c>
      <c r="U1774" s="10">
        <v>1.5611999999999999E-4</v>
      </c>
      <c r="V1774" s="25"/>
      <c r="W1774" s="25"/>
      <c r="X1774" s="25"/>
      <c r="Y1774" s="25"/>
      <c r="Z1774" s="25"/>
      <c r="AA1774" s="25"/>
    </row>
    <row r="1775" spans="1:27" x14ac:dyDescent="0.35">
      <c r="A1775" s="5">
        <v>1771</v>
      </c>
      <c r="B1775" s="5">
        <v>74</v>
      </c>
      <c r="C1775" s="5">
        <v>3</v>
      </c>
      <c r="D1775" s="25">
        <v>1.1416E-4</v>
      </c>
      <c r="E1775" s="25">
        <v>1.1417E-4</v>
      </c>
      <c r="F1775" s="25">
        <v>1.2178E-4</v>
      </c>
      <c r="G1775" s="25">
        <v>1.1225E-4</v>
      </c>
      <c r="H1775" s="25">
        <v>1.3312E-4</v>
      </c>
      <c r="I1775" s="9">
        <v>1.3367000000000001E-4</v>
      </c>
      <c r="J1775" s="9">
        <v>1.2781000000000001E-4</v>
      </c>
      <c r="K1775" s="9">
        <v>8.9019999999999998E-5</v>
      </c>
      <c r="L1775" s="9">
        <v>2.0725E-4</v>
      </c>
      <c r="M1775" s="9">
        <v>1.5982999999999999E-4</v>
      </c>
      <c r="N1775" s="9">
        <v>1.3006000000000001E-4</v>
      </c>
      <c r="O1775" s="9">
        <v>1.6396999999999999E-4</v>
      </c>
      <c r="P1775" s="9">
        <v>1.3473000000000001E-4</v>
      </c>
      <c r="Q1775" s="9">
        <v>1.0694E-4</v>
      </c>
      <c r="R1775" s="10">
        <v>1.7094873808586907E-4</v>
      </c>
      <c r="S1775" s="10">
        <v>1.8526440342991451E-4</v>
      </c>
      <c r="T1775" s="10">
        <v>0</v>
      </c>
      <c r="U1775" s="10">
        <v>1.5611999999999999E-4</v>
      </c>
      <c r="V1775" s="25"/>
      <c r="W1775" s="25"/>
      <c r="X1775" s="25"/>
      <c r="Y1775" s="25"/>
      <c r="Z1775" s="25"/>
      <c r="AA1775" s="25"/>
    </row>
    <row r="1776" spans="1:27" x14ac:dyDescent="0.35">
      <c r="A1776" s="5">
        <v>1772</v>
      </c>
      <c r="B1776" s="5">
        <v>74</v>
      </c>
      <c r="C1776" s="5">
        <v>3</v>
      </c>
      <c r="D1776" s="25">
        <v>1.1415000000000001E-4</v>
      </c>
      <c r="E1776" s="25">
        <v>1.0726999999999999E-4</v>
      </c>
      <c r="F1776" s="25">
        <v>1.2073E-4</v>
      </c>
      <c r="G1776" s="25">
        <v>1.0725E-4</v>
      </c>
      <c r="H1776" s="25">
        <v>1.2910999999999999E-4</v>
      </c>
      <c r="I1776" s="9">
        <v>1.3925999999999999E-4</v>
      </c>
      <c r="J1776" s="9">
        <v>1.3422999999999999E-4</v>
      </c>
      <c r="K1776" s="9">
        <v>9.3259999999999998E-5</v>
      </c>
      <c r="L1776" s="9">
        <v>1.7361000000000001E-4</v>
      </c>
      <c r="M1776" s="9">
        <v>1.5113E-4</v>
      </c>
      <c r="N1776" s="9">
        <v>1.2097E-4</v>
      </c>
      <c r="O1776" s="9">
        <v>1.2867E-4</v>
      </c>
      <c r="P1776" s="9">
        <v>1.1478E-4</v>
      </c>
      <c r="Q1776" s="9">
        <v>1.0182E-4</v>
      </c>
      <c r="R1776" s="10">
        <v>1.7929036664190428E-4</v>
      </c>
      <c r="S1776" s="10">
        <v>1.8669586008074787E-4</v>
      </c>
      <c r="T1776" s="10">
        <v>0</v>
      </c>
      <c r="U1776" s="10">
        <v>1.5611999999999999E-4</v>
      </c>
      <c r="V1776" s="25"/>
      <c r="W1776" s="25"/>
      <c r="X1776" s="25"/>
      <c r="Y1776" s="25"/>
      <c r="Z1776" s="25"/>
      <c r="AA1776" s="25"/>
    </row>
    <row r="1777" spans="1:27" x14ac:dyDescent="0.35">
      <c r="A1777" s="5">
        <v>1773</v>
      </c>
      <c r="B1777" s="5">
        <v>74</v>
      </c>
      <c r="C1777" s="5">
        <v>3</v>
      </c>
      <c r="D1777" s="25">
        <v>1.1416E-4</v>
      </c>
      <c r="E1777" s="25">
        <v>1.0501E-4</v>
      </c>
      <c r="F1777" s="25">
        <v>1.2104000000000001E-4</v>
      </c>
      <c r="G1777" s="25">
        <v>6.0130000000000002E-5</v>
      </c>
      <c r="H1777" s="25">
        <v>6.8919999999999997E-5</v>
      </c>
      <c r="I1777" s="9">
        <v>1.3328999999999999E-4</v>
      </c>
      <c r="J1777" s="9">
        <v>1.2756000000000001E-4</v>
      </c>
      <c r="K1777" s="9">
        <v>8.6899999999999998E-5</v>
      </c>
      <c r="L1777" s="9">
        <v>1.3961E-4</v>
      </c>
      <c r="M1777" s="9">
        <v>1.3556000000000001E-4</v>
      </c>
      <c r="N1777" s="9">
        <v>1.1332000000000001E-4</v>
      </c>
      <c r="O1777" s="9">
        <v>8.4839999999999994E-5</v>
      </c>
      <c r="P1777" s="9">
        <v>8.6489999999999994E-5</v>
      </c>
      <c r="Q1777" s="9">
        <v>8.8490000000000001E-5</v>
      </c>
      <c r="R1777" s="10">
        <v>1.798227302939601E-4</v>
      </c>
      <c r="S1777" s="10">
        <v>1.8657915641477475E-4</v>
      </c>
      <c r="T1777" s="10">
        <v>0</v>
      </c>
      <c r="U1777" s="10">
        <v>1.5611999999999999E-4</v>
      </c>
      <c r="V1777" s="25"/>
      <c r="W1777" s="25"/>
      <c r="X1777" s="25"/>
      <c r="Y1777" s="25"/>
      <c r="Z1777" s="25"/>
      <c r="AA1777" s="25"/>
    </row>
    <row r="1778" spans="1:27" x14ac:dyDescent="0.35">
      <c r="A1778" s="5">
        <v>1774</v>
      </c>
      <c r="B1778" s="5">
        <v>74</v>
      </c>
      <c r="C1778" s="5">
        <v>3</v>
      </c>
      <c r="D1778" s="25">
        <v>1.1415000000000001E-4</v>
      </c>
      <c r="E1778" s="25">
        <v>1.1033E-4</v>
      </c>
      <c r="F1778" s="25">
        <v>1.217E-4</v>
      </c>
      <c r="G1778" s="25">
        <v>6.0749999999999999E-5</v>
      </c>
      <c r="H1778" s="25">
        <v>6.444E-5</v>
      </c>
      <c r="I1778" s="9">
        <v>1.2575999999999999E-4</v>
      </c>
      <c r="J1778" s="9">
        <v>1.1943E-4</v>
      </c>
      <c r="K1778" s="9">
        <v>8.6899999999999998E-5</v>
      </c>
      <c r="L1778" s="9">
        <v>9.7819999999999995E-5</v>
      </c>
      <c r="M1778" s="9">
        <v>1.1388E-4</v>
      </c>
      <c r="N1778" s="9">
        <v>1.0579E-4</v>
      </c>
      <c r="O1778" s="9">
        <v>8.7219999999999995E-5</v>
      </c>
      <c r="P1778" s="9">
        <v>8.7479999999999996E-5</v>
      </c>
      <c r="Q1778" s="9">
        <v>8.8120000000000003E-5</v>
      </c>
      <c r="R1778" s="10">
        <v>1.7916067412932659E-4</v>
      </c>
      <c r="S1778" s="10">
        <v>1.8460759778729036E-4</v>
      </c>
      <c r="T1778" s="10">
        <v>0</v>
      </c>
      <c r="U1778" s="10">
        <v>1.5611999999999999E-4</v>
      </c>
      <c r="V1778" s="25"/>
      <c r="W1778" s="25"/>
      <c r="X1778" s="25"/>
      <c r="Y1778" s="25"/>
      <c r="Z1778" s="25"/>
      <c r="AA1778" s="25"/>
    </row>
    <row r="1779" spans="1:27" x14ac:dyDescent="0.35">
      <c r="A1779" s="5">
        <v>1775</v>
      </c>
      <c r="B1779" s="5">
        <v>74</v>
      </c>
      <c r="C1779" s="5">
        <v>3</v>
      </c>
      <c r="D1779" s="25">
        <v>1.1416E-4</v>
      </c>
      <c r="E1779" s="25">
        <v>1.0506E-4</v>
      </c>
      <c r="F1779" s="25">
        <v>1.3111000000000001E-4</v>
      </c>
      <c r="G1779" s="25">
        <v>6.3449999999999997E-5</v>
      </c>
      <c r="H1779" s="25">
        <v>7.0530000000000004E-5</v>
      </c>
      <c r="I1779" s="9">
        <v>1.2715E-4</v>
      </c>
      <c r="J1779" s="9">
        <v>1.1014999999999999E-4</v>
      </c>
      <c r="K1779" s="9">
        <v>8.4770000000000003E-5</v>
      </c>
      <c r="L1779" s="9">
        <v>9.0470000000000006E-5</v>
      </c>
      <c r="M1779" s="9">
        <v>9.9079999999999993E-5</v>
      </c>
      <c r="N1779" s="9">
        <v>9.993E-5</v>
      </c>
      <c r="O1779" s="9">
        <v>7.8139999999999994E-5</v>
      </c>
      <c r="P1779" s="9">
        <v>7.2449999999999999E-5</v>
      </c>
      <c r="Q1779" s="9">
        <v>6.7180000000000004E-5</v>
      </c>
      <c r="R1779" s="10">
        <v>1.757989118744183E-4</v>
      </c>
      <c r="S1779" s="10">
        <v>1.828412524613787E-4</v>
      </c>
      <c r="T1779" s="10">
        <v>0</v>
      </c>
      <c r="U1779" s="10">
        <v>1.5611999999999999E-4</v>
      </c>
      <c r="V1779" s="25"/>
      <c r="W1779" s="25"/>
      <c r="X1779" s="25"/>
      <c r="Y1779" s="25"/>
      <c r="Z1779" s="25"/>
      <c r="AA1779" s="25"/>
    </row>
    <row r="1780" spans="1:27" x14ac:dyDescent="0.35">
      <c r="A1780" s="5">
        <v>1776</v>
      </c>
      <c r="B1780" s="5">
        <v>74</v>
      </c>
      <c r="C1780" s="5">
        <v>3</v>
      </c>
      <c r="D1780" s="25">
        <v>1.1415000000000001E-4</v>
      </c>
      <c r="E1780" s="25">
        <v>1.1122E-4</v>
      </c>
      <c r="F1780" s="25">
        <v>1.2506999999999999E-4</v>
      </c>
      <c r="G1780" s="25">
        <v>6.1149999999999996E-5</v>
      </c>
      <c r="H1780" s="25">
        <v>6.6489999999999995E-5</v>
      </c>
      <c r="I1780" s="9">
        <v>1.2436000000000001E-4</v>
      </c>
      <c r="J1780" s="9">
        <v>1.0179E-4</v>
      </c>
      <c r="K1780" s="9">
        <v>8.2659999999999998E-5</v>
      </c>
      <c r="L1780" s="9">
        <v>8.085E-5</v>
      </c>
      <c r="M1780" s="9">
        <v>8.6230000000000006E-5</v>
      </c>
      <c r="N1780" s="9">
        <v>9.0669999999999998E-5</v>
      </c>
      <c r="O1780" s="9">
        <v>6.3189999999999996E-5</v>
      </c>
      <c r="P1780" s="9">
        <v>6.1110000000000003E-5</v>
      </c>
      <c r="Q1780" s="9">
        <v>5.9280000000000002E-5</v>
      </c>
      <c r="R1780" s="10">
        <v>1.5588548471006779E-4</v>
      </c>
      <c r="S1780" s="10">
        <v>1.8340982808122492E-4</v>
      </c>
      <c r="T1780" s="10">
        <v>0</v>
      </c>
      <c r="U1780" s="10">
        <v>1.5611999999999999E-4</v>
      </c>
      <c r="V1780" s="25"/>
      <c r="W1780" s="25"/>
      <c r="X1780" s="25"/>
      <c r="Y1780" s="25"/>
      <c r="Z1780" s="25"/>
      <c r="AA1780" s="25"/>
    </row>
    <row r="1781" spans="1:27" x14ac:dyDescent="0.35">
      <c r="A1781" s="5">
        <v>1777</v>
      </c>
      <c r="B1781" s="5">
        <v>75</v>
      </c>
      <c r="C1781" s="5">
        <v>3</v>
      </c>
      <c r="D1781" s="25">
        <v>1.1416E-4</v>
      </c>
      <c r="E1781" s="25">
        <v>1.1539E-4</v>
      </c>
      <c r="F1781" s="25">
        <v>1.1538E-4</v>
      </c>
      <c r="G1781" s="25">
        <v>5.5869999999999999E-5</v>
      </c>
      <c r="H1781" s="25">
        <v>6.5489999999999998E-5</v>
      </c>
      <c r="I1781" s="9">
        <v>1.1853000000000001E-4</v>
      </c>
      <c r="J1781" s="9">
        <v>9.4129999999999995E-5</v>
      </c>
      <c r="K1781" s="9">
        <v>7.8419999999999998E-5</v>
      </c>
      <c r="L1781" s="9">
        <v>6.7059999999999998E-5</v>
      </c>
      <c r="M1781" s="9">
        <v>7.4239999999999994E-5</v>
      </c>
      <c r="N1781" s="9">
        <v>8.1329999999999996E-5</v>
      </c>
      <c r="O1781" s="9">
        <v>5.4440000000000001E-5</v>
      </c>
      <c r="P1781" s="9">
        <v>5.3860000000000003E-5</v>
      </c>
      <c r="Q1781" s="9">
        <v>5.3430000000000002E-5</v>
      </c>
      <c r="R1781" s="10">
        <v>1.5793074705559729E-4</v>
      </c>
      <c r="S1781" s="10">
        <v>1.7665604266784861E-4</v>
      </c>
      <c r="T1781" s="10">
        <v>0</v>
      </c>
      <c r="U1781" s="10">
        <v>1.5229999999999999E-4</v>
      </c>
      <c r="V1781" s="25"/>
      <c r="W1781" s="25"/>
      <c r="X1781" s="25"/>
      <c r="Y1781" s="25"/>
      <c r="Z1781" s="25"/>
      <c r="AA1781" s="25"/>
    </row>
    <row r="1782" spans="1:27" x14ac:dyDescent="0.35">
      <c r="A1782" s="5">
        <v>1778</v>
      </c>
      <c r="B1782" s="5">
        <v>75</v>
      </c>
      <c r="C1782" s="5">
        <v>3</v>
      </c>
      <c r="D1782" s="25">
        <v>1.1415000000000001E-4</v>
      </c>
      <c r="E1782" s="25">
        <v>1.0989000000000001E-4</v>
      </c>
      <c r="F1782" s="25">
        <v>1.1503E-4</v>
      </c>
      <c r="G1782" s="25">
        <v>6.109E-5</v>
      </c>
      <c r="H1782" s="25">
        <v>6.9720000000000003E-5</v>
      </c>
      <c r="I1782" s="9">
        <v>1.1252E-4</v>
      </c>
      <c r="J1782" s="9">
        <v>9.0179999999999994E-5</v>
      </c>
      <c r="K1782" s="9">
        <v>7.6299999999999998E-5</v>
      </c>
      <c r="L1782" s="9">
        <v>5.7590000000000003E-5</v>
      </c>
      <c r="M1782" s="9">
        <v>6.4060000000000007E-5</v>
      </c>
      <c r="N1782" s="9">
        <v>7.2189999999999998E-5</v>
      </c>
      <c r="O1782" s="9">
        <v>1.8770000000000002E-5</v>
      </c>
      <c r="P1782" s="9">
        <v>3.7490000000000002E-5</v>
      </c>
      <c r="Q1782" s="9">
        <v>5.5789999999999999E-5</v>
      </c>
      <c r="R1782" s="10">
        <v>1.6484616147579699E-4</v>
      </c>
      <c r="S1782" s="10">
        <v>1.7306572120187071E-4</v>
      </c>
      <c r="T1782" s="10">
        <v>0</v>
      </c>
      <c r="U1782" s="10">
        <v>1.5229999999999999E-4</v>
      </c>
      <c r="V1782" s="25"/>
      <c r="W1782" s="25"/>
      <c r="X1782" s="25"/>
      <c r="Y1782" s="25"/>
      <c r="Z1782" s="25"/>
      <c r="AA1782" s="25"/>
    </row>
    <row r="1783" spans="1:27" x14ac:dyDescent="0.35">
      <c r="A1783" s="5">
        <v>1779</v>
      </c>
      <c r="B1783" s="5">
        <v>75</v>
      </c>
      <c r="C1783" s="5">
        <v>3</v>
      </c>
      <c r="D1783" s="25">
        <v>1.1416E-4</v>
      </c>
      <c r="E1783" s="25">
        <v>1.1135E-4</v>
      </c>
      <c r="F1783" s="25">
        <v>1.2443999999999999E-4</v>
      </c>
      <c r="G1783" s="25">
        <v>5.5630000000000001E-5</v>
      </c>
      <c r="H1783" s="25">
        <v>6.2420000000000002E-5</v>
      </c>
      <c r="I1783" s="9">
        <v>1.0903E-4</v>
      </c>
      <c r="J1783" s="9">
        <v>8.8830000000000002E-5</v>
      </c>
      <c r="K1783" s="9">
        <v>7.4179999999999998E-5</v>
      </c>
      <c r="L1783" s="9">
        <v>2.7529999999999999E-5</v>
      </c>
      <c r="M1783" s="9">
        <v>5.2160000000000002E-5</v>
      </c>
      <c r="N1783" s="9">
        <v>6.5510000000000001E-5</v>
      </c>
      <c r="O1783" s="9">
        <v>1.3390000000000001E-5</v>
      </c>
      <c r="P1783" s="9">
        <v>3.7660000000000002E-5</v>
      </c>
      <c r="Q1783" s="9">
        <v>6.1379999999999998E-5</v>
      </c>
      <c r="R1783" s="10">
        <v>1.5685518570634092E-4</v>
      </c>
      <c r="S1783" s="10">
        <v>1.7308200788778897E-4</v>
      </c>
      <c r="T1783" s="10">
        <v>0</v>
      </c>
      <c r="U1783" s="10">
        <v>1.5229999999999999E-4</v>
      </c>
      <c r="V1783" s="25"/>
      <c r="W1783" s="25"/>
      <c r="X1783" s="25"/>
      <c r="Y1783" s="25"/>
      <c r="Z1783" s="25"/>
      <c r="AA1783" s="25"/>
    </row>
    <row r="1784" spans="1:27" x14ac:dyDescent="0.35">
      <c r="A1784" s="5">
        <v>1780</v>
      </c>
      <c r="B1784" s="5">
        <v>75</v>
      </c>
      <c r="C1784" s="5">
        <v>3</v>
      </c>
      <c r="D1784" s="25">
        <v>1.1415000000000001E-4</v>
      </c>
      <c r="E1784" s="25">
        <v>1.1588E-4</v>
      </c>
      <c r="F1784" s="25">
        <v>1.0537E-4</v>
      </c>
      <c r="G1784" s="25">
        <v>5.4500000000000003E-5</v>
      </c>
      <c r="H1784" s="25">
        <v>7.4659999999999993E-5</v>
      </c>
      <c r="I1784" s="9">
        <v>1.0815E-4</v>
      </c>
      <c r="J1784" s="9">
        <v>9.0340000000000006E-5</v>
      </c>
      <c r="K1784" s="9">
        <v>7.2059999999999998E-5</v>
      </c>
      <c r="L1784" s="9">
        <v>1.7249999999999999E-5</v>
      </c>
      <c r="M1784" s="9">
        <v>4.4100000000000001E-5</v>
      </c>
      <c r="N1784" s="9">
        <v>6.1879999999999997E-5</v>
      </c>
      <c r="O1784" s="9">
        <v>1.342E-5</v>
      </c>
      <c r="P1784" s="9">
        <v>4.7190000000000001E-5</v>
      </c>
      <c r="Q1784" s="9">
        <v>8.0259999999999994E-5</v>
      </c>
      <c r="R1784" s="10">
        <v>1.4512534936336052E-4</v>
      </c>
      <c r="S1784" s="10">
        <v>1.7283318388794302E-4</v>
      </c>
      <c r="T1784" s="10">
        <v>0</v>
      </c>
      <c r="U1784" s="10">
        <v>1.5229999999999999E-4</v>
      </c>
      <c r="V1784" s="25"/>
      <c r="W1784" s="25"/>
      <c r="X1784" s="25"/>
      <c r="Y1784" s="25"/>
      <c r="Z1784" s="25"/>
      <c r="AA1784" s="25"/>
    </row>
    <row r="1785" spans="1:27" x14ac:dyDescent="0.35">
      <c r="A1785" s="5">
        <v>1781</v>
      </c>
      <c r="B1785" s="5">
        <v>75</v>
      </c>
      <c r="C1785" s="5">
        <v>3</v>
      </c>
      <c r="D1785" s="25">
        <v>1.1416E-4</v>
      </c>
      <c r="E1785" s="25">
        <v>1.0621E-4</v>
      </c>
      <c r="F1785" s="25">
        <v>1.148E-4</v>
      </c>
      <c r="G1785" s="25">
        <v>6.143E-5</v>
      </c>
      <c r="H1785" s="25">
        <v>6.4739999999999993E-5</v>
      </c>
      <c r="I1785" s="9">
        <v>1.1003E-4</v>
      </c>
      <c r="J1785" s="9">
        <v>9.1100000000000005E-5</v>
      </c>
      <c r="K1785" s="9">
        <v>9.5370000000000003E-5</v>
      </c>
      <c r="L1785" s="9">
        <v>1.451E-5</v>
      </c>
      <c r="M1785" s="9">
        <v>4.3399999999999998E-5</v>
      </c>
      <c r="N1785" s="9">
        <v>6.4369999999999995E-5</v>
      </c>
      <c r="O1785" s="9">
        <v>1.8850000000000001E-5</v>
      </c>
      <c r="P1785" s="9">
        <v>5.6480000000000001E-5</v>
      </c>
      <c r="Q1785" s="9">
        <v>9.3389999999999999E-5</v>
      </c>
      <c r="R1785" s="10">
        <v>1.396670473550271E-4</v>
      </c>
      <c r="S1785" s="10">
        <v>1.6705748175971439E-4</v>
      </c>
      <c r="T1785" s="10">
        <v>0</v>
      </c>
      <c r="U1785" s="10">
        <v>1.5229999999999999E-4</v>
      </c>
      <c r="V1785" s="25"/>
      <c r="W1785" s="25"/>
      <c r="X1785" s="25"/>
      <c r="Y1785" s="25"/>
      <c r="Z1785" s="25"/>
      <c r="AA1785" s="25"/>
    </row>
    <row r="1786" spans="1:27" x14ac:dyDescent="0.35">
      <c r="A1786" s="5">
        <v>1782</v>
      </c>
      <c r="B1786" s="5">
        <v>75</v>
      </c>
      <c r="C1786" s="5">
        <v>3</v>
      </c>
      <c r="D1786" s="25">
        <v>1.1415000000000001E-4</v>
      </c>
      <c r="E1786" s="25">
        <v>1.0736E-4</v>
      </c>
      <c r="F1786" s="25">
        <v>1.1438E-4</v>
      </c>
      <c r="G1786" s="25">
        <v>1.1141000000000001E-4</v>
      </c>
      <c r="H1786" s="25">
        <v>1.3826999999999999E-4</v>
      </c>
      <c r="I1786" s="9">
        <v>1.1586000000000001E-4</v>
      </c>
      <c r="J1786" s="9">
        <v>9.3010000000000006E-5</v>
      </c>
      <c r="K1786" s="9">
        <v>1.0597E-4</v>
      </c>
      <c r="L1786" s="9">
        <v>1.7759999999999999E-5</v>
      </c>
      <c r="M1786" s="9">
        <v>4.829E-5</v>
      </c>
      <c r="N1786" s="9">
        <v>7.0859999999999996E-5</v>
      </c>
      <c r="O1786" s="9">
        <v>4.621E-5</v>
      </c>
      <c r="P1786" s="9">
        <v>7.6710000000000002E-5</v>
      </c>
      <c r="Q1786" s="9">
        <v>1.0682E-4</v>
      </c>
      <c r="R1786" s="10">
        <v>1.4328602363635832E-4</v>
      </c>
      <c r="S1786" s="10">
        <v>1.613055570661631E-4</v>
      </c>
      <c r="T1786" s="10">
        <v>0</v>
      </c>
      <c r="U1786" s="10">
        <v>1.5229999999999999E-4</v>
      </c>
      <c r="V1786" s="25"/>
      <c r="W1786" s="25"/>
      <c r="X1786" s="25"/>
      <c r="Y1786" s="25"/>
      <c r="Z1786" s="25"/>
      <c r="AA1786" s="25"/>
    </row>
    <row r="1787" spans="1:27" x14ac:dyDescent="0.35">
      <c r="A1787" s="5">
        <v>1783</v>
      </c>
      <c r="B1787" s="5">
        <v>75</v>
      </c>
      <c r="C1787" s="5">
        <v>3</v>
      </c>
      <c r="D1787" s="25">
        <v>1.1416E-4</v>
      </c>
      <c r="E1787" s="25">
        <v>1.1369E-4</v>
      </c>
      <c r="F1787" s="25">
        <v>1.1552000000000001E-4</v>
      </c>
      <c r="G1787" s="25">
        <v>1.1144E-4</v>
      </c>
      <c r="H1787" s="25">
        <v>1.3409000000000001E-4</v>
      </c>
      <c r="I1787" s="9">
        <v>1.2834000000000001E-4</v>
      </c>
      <c r="J1787" s="9">
        <v>1.0458E-4</v>
      </c>
      <c r="K1787" s="9">
        <v>9.3250000000000003E-5</v>
      </c>
      <c r="L1787" s="9">
        <v>3.981E-5</v>
      </c>
      <c r="M1787" s="9">
        <v>5.9899999999999999E-5</v>
      </c>
      <c r="N1787" s="9">
        <v>8.0530000000000003E-5</v>
      </c>
      <c r="O1787" s="9">
        <v>1.2222000000000001E-4</v>
      </c>
      <c r="P1787" s="9">
        <v>1.1655E-4</v>
      </c>
      <c r="Q1787" s="9">
        <v>1.1165E-4</v>
      </c>
      <c r="R1787" s="10">
        <v>1.5079691841116919E-4</v>
      </c>
      <c r="S1787" s="10">
        <v>1.5475919598020255E-4</v>
      </c>
      <c r="T1787" s="10">
        <v>0</v>
      </c>
      <c r="U1787" s="10">
        <v>1.5229999999999999E-4</v>
      </c>
      <c r="V1787" s="25"/>
      <c r="W1787" s="25"/>
      <c r="X1787" s="25"/>
      <c r="Y1787" s="25"/>
      <c r="Z1787" s="25"/>
      <c r="AA1787" s="25"/>
    </row>
    <row r="1788" spans="1:27" x14ac:dyDescent="0.35">
      <c r="A1788" s="5">
        <v>1784</v>
      </c>
      <c r="B1788" s="5">
        <v>75</v>
      </c>
      <c r="C1788" s="5">
        <v>3</v>
      </c>
      <c r="D1788" s="25">
        <v>1.1415000000000001E-4</v>
      </c>
      <c r="E1788" s="25">
        <v>1.0662000000000001E-4</v>
      </c>
      <c r="F1788" s="25">
        <v>1.2582000000000001E-4</v>
      </c>
      <c r="G1788" s="25">
        <v>1.5936999999999999E-4</v>
      </c>
      <c r="H1788" s="25">
        <v>1.9033E-4</v>
      </c>
      <c r="I1788" s="9">
        <v>1.3465999999999999E-4</v>
      </c>
      <c r="J1788" s="9">
        <v>1.2133000000000001E-4</v>
      </c>
      <c r="K1788" s="9">
        <v>8.0539999999999998E-5</v>
      </c>
      <c r="L1788" s="9">
        <v>1.0347E-4</v>
      </c>
      <c r="M1788" s="9">
        <v>8.3289999999999997E-5</v>
      </c>
      <c r="N1788" s="9">
        <v>9.0489999999999996E-5</v>
      </c>
      <c r="O1788" s="9">
        <v>2.1730999999999999E-4</v>
      </c>
      <c r="P1788" s="9">
        <v>1.7536E-4</v>
      </c>
      <c r="Q1788" s="9">
        <v>1.3547E-4</v>
      </c>
      <c r="R1788" s="10">
        <v>1.6289676910238163E-4</v>
      </c>
      <c r="S1788" s="10">
        <v>1.5038819643105374E-4</v>
      </c>
      <c r="T1788" s="10">
        <v>1.5470271435049865E-4</v>
      </c>
      <c r="U1788" s="10">
        <v>1.5229999999999999E-4</v>
      </c>
      <c r="V1788" s="25"/>
      <c r="W1788" s="25"/>
      <c r="X1788" s="25"/>
      <c r="Y1788" s="25"/>
      <c r="Z1788" s="25"/>
      <c r="AA1788" s="25"/>
    </row>
    <row r="1789" spans="1:27" x14ac:dyDescent="0.35">
      <c r="A1789" s="5">
        <v>1785</v>
      </c>
      <c r="B1789" s="5">
        <v>75</v>
      </c>
      <c r="C1789" s="5">
        <v>3</v>
      </c>
      <c r="D1789" s="25">
        <v>1.1416E-4</v>
      </c>
      <c r="E1789" s="25">
        <v>1.0676E-4</v>
      </c>
      <c r="F1789" s="25">
        <v>1.1947000000000001E-4</v>
      </c>
      <c r="G1789" s="25">
        <v>1.6442E-4</v>
      </c>
      <c r="H1789" s="25">
        <v>1.9228E-4</v>
      </c>
      <c r="I1789" s="9">
        <v>1.3693000000000001E-4</v>
      </c>
      <c r="J1789" s="9">
        <v>1.3148000000000001E-4</v>
      </c>
      <c r="K1789" s="9">
        <v>6.9939999999999998E-5</v>
      </c>
      <c r="L1789" s="9">
        <v>1.9052000000000001E-4</v>
      </c>
      <c r="M1789" s="9">
        <v>1.2248000000000001E-4</v>
      </c>
      <c r="N1789" s="9">
        <v>1.0401E-4</v>
      </c>
      <c r="O1789" s="9">
        <v>2.0901000000000001E-4</v>
      </c>
      <c r="P1789" s="9">
        <v>1.9129999999999999E-4</v>
      </c>
      <c r="Q1789" s="9">
        <v>1.752E-4</v>
      </c>
      <c r="R1789" s="10">
        <v>1.63962438437364E-4</v>
      </c>
      <c r="S1789" s="10">
        <v>1.4726653965138349E-4</v>
      </c>
      <c r="T1789" s="10">
        <v>3.5041853175958625E-4</v>
      </c>
      <c r="U1789" s="10">
        <v>1.5229999999999999E-4</v>
      </c>
      <c r="V1789" s="25"/>
      <c r="W1789" s="25"/>
      <c r="X1789" s="25"/>
      <c r="Y1789" s="25"/>
      <c r="Z1789" s="25"/>
      <c r="AA1789" s="25"/>
    </row>
    <row r="1790" spans="1:27" x14ac:dyDescent="0.35">
      <c r="A1790" s="5">
        <v>1786</v>
      </c>
      <c r="B1790" s="5">
        <v>75</v>
      </c>
      <c r="C1790" s="5">
        <v>3</v>
      </c>
      <c r="D1790" s="25">
        <v>1.1415000000000001E-4</v>
      </c>
      <c r="E1790" s="25">
        <v>1.138E-4</v>
      </c>
      <c r="F1790" s="25">
        <v>1.2354999999999999E-4</v>
      </c>
      <c r="G1790" s="25">
        <v>1.6043000000000001E-4</v>
      </c>
      <c r="H1790" s="25">
        <v>1.9531999999999999E-4</v>
      </c>
      <c r="I1790" s="9">
        <v>1.3777E-4</v>
      </c>
      <c r="J1790" s="9">
        <v>1.3545000000000001E-4</v>
      </c>
      <c r="K1790" s="9">
        <v>6.1459999999999998E-5</v>
      </c>
      <c r="L1790" s="9">
        <v>2.0265999999999999E-4</v>
      </c>
      <c r="M1790" s="9">
        <v>1.5718000000000001E-4</v>
      </c>
      <c r="N1790" s="9">
        <v>1.2371999999999999E-4</v>
      </c>
      <c r="O1790" s="9">
        <v>1.6584E-4</v>
      </c>
      <c r="P1790" s="9">
        <v>1.729E-4</v>
      </c>
      <c r="Q1790" s="9">
        <v>1.8085E-4</v>
      </c>
      <c r="R1790" s="10">
        <v>1.2765082518491165E-4</v>
      </c>
      <c r="S1790" s="10">
        <v>1.474634239588518E-4</v>
      </c>
      <c r="T1790" s="10">
        <v>5.233030996174403E-4</v>
      </c>
      <c r="U1790" s="10">
        <v>1.5229999999999999E-4</v>
      </c>
      <c r="V1790" s="25"/>
      <c r="W1790" s="25"/>
      <c r="X1790" s="25"/>
      <c r="Y1790" s="25"/>
      <c r="Z1790" s="25"/>
      <c r="AA1790" s="25"/>
    </row>
    <row r="1791" spans="1:27" x14ac:dyDescent="0.35">
      <c r="A1791" s="5">
        <v>1787</v>
      </c>
      <c r="B1791" s="5">
        <v>75</v>
      </c>
      <c r="C1791" s="5">
        <v>3</v>
      </c>
      <c r="D1791" s="25">
        <v>1.1416E-4</v>
      </c>
      <c r="E1791" s="25">
        <v>1.0867E-4</v>
      </c>
      <c r="F1791" s="25">
        <v>1.1895E-4</v>
      </c>
      <c r="G1791" s="25">
        <v>1.5911000000000001E-4</v>
      </c>
      <c r="H1791" s="25">
        <v>1.9048000000000001E-4</v>
      </c>
      <c r="I1791" s="9">
        <v>1.3585E-4</v>
      </c>
      <c r="J1791" s="9">
        <v>1.3568E-4</v>
      </c>
      <c r="K1791" s="9">
        <v>2.756E-5</v>
      </c>
      <c r="L1791" s="9">
        <v>1.7401E-4</v>
      </c>
      <c r="M1791" s="9">
        <v>1.7087999999999999E-4</v>
      </c>
      <c r="N1791" s="9">
        <v>1.4161999999999999E-4</v>
      </c>
      <c r="O1791" s="9">
        <v>1.6689E-4</v>
      </c>
      <c r="P1791" s="9">
        <v>1.7264E-4</v>
      </c>
      <c r="Q1791" s="9">
        <v>1.7930999999999999E-4</v>
      </c>
      <c r="R1791" s="10">
        <v>6.6239057132915573E-5</v>
      </c>
      <c r="S1791" s="10">
        <v>1.4335248770228984E-4</v>
      </c>
      <c r="T1791" s="10">
        <v>4.7545165128263644E-4</v>
      </c>
      <c r="U1791" s="10">
        <v>1.5229999999999999E-4</v>
      </c>
      <c r="V1791" s="25"/>
      <c r="W1791" s="25"/>
      <c r="X1791" s="25"/>
      <c r="Y1791" s="25"/>
      <c r="Z1791" s="25"/>
      <c r="AA1791" s="25"/>
    </row>
    <row r="1792" spans="1:27" x14ac:dyDescent="0.35">
      <c r="A1792" s="5">
        <v>1788</v>
      </c>
      <c r="B1792" s="5">
        <v>75</v>
      </c>
      <c r="C1792" s="5">
        <v>3</v>
      </c>
      <c r="D1792" s="25">
        <v>1.1415000000000001E-4</v>
      </c>
      <c r="E1792" s="25">
        <v>1.1414E-4</v>
      </c>
      <c r="F1792" s="25">
        <v>1.063E-4</v>
      </c>
      <c r="G1792" s="25">
        <v>1.6613000000000001E-4</v>
      </c>
      <c r="H1792" s="25">
        <v>1.8996E-4</v>
      </c>
      <c r="I1792" s="9">
        <v>1.3714E-4</v>
      </c>
      <c r="J1792" s="9">
        <v>1.361E-4</v>
      </c>
      <c r="K1792" s="9">
        <v>0</v>
      </c>
      <c r="L1792" s="9">
        <v>1.6985000000000001E-4</v>
      </c>
      <c r="M1792" s="9">
        <v>1.7385E-4</v>
      </c>
      <c r="N1792" s="9">
        <v>1.5579999999999999E-4</v>
      </c>
      <c r="O1792" s="9">
        <v>1.6965E-4</v>
      </c>
      <c r="P1792" s="9">
        <v>1.7132000000000001E-4</v>
      </c>
      <c r="Q1792" s="9">
        <v>1.7399000000000001E-4</v>
      </c>
      <c r="R1792" s="10">
        <v>5.1843975552292192E-5</v>
      </c>
      <c r="S1792" s="10">
        <v>1.2835667703957486E-4</v>
      </c>
      <c r="T1792" s="10">
        <v>3.9320485338235493E-4</v>
      </c>
      <c r="U1792" s="10">
        <v>1.5229999999999999E-4</v>
      </c>
      <c r="V1792" s="25"/>
      <c r="W1792" s="25"/>
      <c r="X1792" s="25"/>
      <c r="Y1792" s="25"/>
      <c r="Z1792" s="25"/>
      <c r="AA1792" s="25"/>
    </row>
    <row r="1793" spans="1:27" x14ac:dyDescent="0.35">
      <c r="A1793" s="5">
        <v>1789</v>
      </c>
      <c r="B1793" s="5">
        <v>75</v>
      </c>
      <c r="C1793" s="5">
        <v>3</v>
      </c>
      <c r="D1793" s="25">
        <v>1.1416E-4</v>
      </c>
      <c r="E1793" s="25">
        <v>1.0954E-4</v>
      </c>
      <c r="F1793" s="25">
        <v>1.1301E-4</v>
      </c>
      <c r="G1793" s="25">
        <v>1.5982E-4</v>
      </c>
      <c r="H1793" s="25">
        <v>1.9379E-4</v>
      </c>
      <c r="I1793" s="9">
        <v>1.3362000000000001E-4</v>
      </c>
      <c r="J1793" s="9">
        <v>1.3423999999999999E-4</v>
      </c>
      <c r="K1793" s="9">
        <v>0</v>
      </c>
      <c r="L1793" s="9">
        <v>1.6982999999999999E-4</v>
      </c>
      <c r="M1793" s="9">
        <v>1.7322999999999999E-4</v>
      </c>
      <c r="N1793" s="9">
        <v>1.6542E-4</v>
      </c>
      <c r="O1793" s="9">
        <v>1.6059000000000001E-4</v>
      </c>
      <c r="P1793" s="9">
        <v>1.6305000000000001E-4</v>
      </c>
      <c r="Q1793" s="9">
        <v>1.6642E-4</v>
      </c>
      <c r="R1793" s="10">
        <v>4.2925459961679936E-5</v>
      </c>
      <c r="S1793" s="10">
        <v>1.2197245422763535E-4</v>
      </c>
      <c r="T1793" s="10">
        <v>7.024405960963494E-4</v>
      </c>
      <c r="U1793" s="10">
        <v>1.5229999999999999E-4</v>
      </c>
      <c r="V1793" s="25"/>
      <c r="W1793" s="25"/>
      <c r="X1793" s="25"/>
      <c r="Y1793" s="25"/>
      <c r="Z1793" s="25"/>
      <c r="AA1793" s="25"/>
    </row>
    <row r="1794" spans="1:27" x14ac:dyDescent="0.35">
      <c r="A1794" s="5">
        <v>1790</v>
      </c>
      <c r="B1794" s="5">
        <v>75</v>
      </c>
      <c r="C1794" s="5">
        <v>3</v>
      </c>
      <c r="D1794" s="25">
        <v>1.1415000000000001E-4</v>
      </c>
      <c r="E1794" s="25">
        <v>1.0724E-4</v>
      </c>
      <c r="F1794" s="25">
        <v>1.1676E-4</v>
      </c>
      <c r="G1794" s="25">
        <v>1.6009999999999999E-4</v>
      </c>
      <c r="H1794" s="25">
        <v>1.9652E-4</v>
      </c>
      <c r="I1794" s="9">
        <v>1.3180000000000001E-4</v>
      </c>
      <c r="J1794" s="9">
        <v>1.3426000000000001E-4</v>
      </c>
      <c r="K1794" s="9">
        <v>0</v>
      </c>
      <c r="L1794" s="9">
        <v>1.6237000000000001E-4</v>
      </c>
      <c r="M1794" s="9">
        <v>1.6935999999999999E-4</v>
      </c>
      <c r="N1794" s="9">
        <v>1.6971999999999999E-4</v>
      </c>
      <c r="O1794" s="9">
        <v>1.7877999999999999E-4</v>
      </c>
      <c r="P1794" s="9">
        <v>1.6946999999999999E-4</v>
      </c>
      <c r="Q1794" s="9">
        <v>1.6142000000000001E-4</v>
      </c>
      <c r="R1794" s="10">
        <v>4.6278046776459577E-5</v>
      </c>
      <c r="S1794" s="10">
        <v>1.1964558981478463E-4</v>
      </c>
      <c r="T1794" s="10">
        <v>6.2318875586666808E-4</v>
      </c>
      <c r="U1794" s="10">
        <v>1.5229999999999999E-4</v>
      </c>
      <c r="V1794" s="25"/>
      <c r="W1794" s="25"/>
      <c r="X1794" s="25"/>
      <c r="Y1794" s="25"/>
      <c r="Z1794" s="25"/>
      <c r="AA1794" s="25"/>
    </row>
    <row r="1795" spans="1:27" x14ac:dyDescent="0.35">
      <c r="A1795" s="5">
        <v>1791</v>
      </c>
      <c r="B1795" s="5">
        <v>75</v>
      </c>
      <c r="C1795" s="5">
        <v>3</v>
      </c>
      <c r="D1795" s="25">
        <v>1.1416E-4</v>
      </c>
      <c r="E1795" s="25">
        <v>1.1134E-4</v>
      </c>
      <c r="F1795" s="25">
        <v>1.122E-4</v>
      </c>
      <c r="G1795" s="25">
        <v>1.5812000000000001E-4</v>
      </c>
      <c r="H1795" s="25">
        <v>2.0068000000000001E-4</v>
      </c>
      <c r="I1795" s="9">
        <v>1.3161999999999999E-4</v>
      </c>
      <c r="J1795" s="9">
        <v>1.3371999999999999E-4</v>
      </c>
      <c r="K1795" s="9">
        <v>0</v>
      </c>
      <c r="L1795" s="9">
        <v>1.7535000000000001E-4</v>
      </c>
      <c r="M1795" s="9">
        <v>1.6828000000000001E-4</v>
      </c>
      <c r="N1795" s="9">
        <v>1.696E-4</v>
      </c>
      <c r="O1795" s="9">
        <v>1.8377000000000001E-4</v>
      </c>
      <c r="P1795" s="9">
        <v>1.6765000000000001E-4</v>
      </c>
      <c r="Q1795" s="9">
        <v>1.5291999999999999E-4</v>
      </c>
      <c r="R1795" s="10">
        <v>5.9918210990350846E-5</v>
      </c>
      <c r="S1795" s="10">
        <v>1.2326908196689496E-4</v>
      </c>
      <c r="T1795" s="10">
        <v>4.3930853605102937E-4</v>
      </c>
      <c r="U1795" s="10">
        <v>1.5229999999999999E-4</v>
      </c>
      <c r="V1795" s="25"/>
      <c r="W1795" s="25"/>
      <c r="X1795" s="25"/>
      <c r="Y1795" s="25"/>
      <c r="Z1795" s="25"/>
      <c r="AA1795" s="25"/>
    </row>
    <row r="1796" spans="1:27" x14ac:dyDescent="0.35">
      <c r="A1796" s="5">
        <v>1792</v>
      </c>
      <c r="B1796" s="5">
        <v>75</v>
      </c>
      <c r="C1796" s="5">
        <v>3</v>
      </c>
      <c r="D1796" s="25">
        <v>1.1415000000000001E-4</v>
      </c>
      <c r="E1796" s="25">
        <v>1.0974E-4</v>
      </c>
      <c r="F1796" s="25">
        <v>1.1006E-4</v>
      </c>
      <c r="G1796" s="25">
        <v>1.6427999999999999E-4</v>
      </c>
      <c r="H1796" s="25">
        <v>1.9672E-4</v>
      </c>
      <c r="I1796" s="9">
        <v>1.3087E-4</v>
      </c>
      <c r="J1796" s="9">
        <v>1.3278000000000001E-4</v>
      </c>
      <c r="K1796" s="9">
        <v>0</v>
      </c>
      <c r="L1796" s="9">
        <v>1.8158000000000001E-4</v>
      </c>
      <c r="M1796" s="9">
        <v>1.6787E-4</v>
      </c>
      <c r="N1796" s="9">
        <v>1.6598000000000001E-4</v>
      </c>
      <c r="O1796" s="9">
        <v>1.9545000000000001E-4</v>
      </c>
      <c r="P1796" s="9">
        <v>1.5118E-4</v>
      </c>
      <c r="Q1796" s="9">
        <v>1.0885E-4</v>
      </c>
      <c r="R1796" s="10">
        <v>7.4207947437524799E-5</v>
      </c>
      <c r="S1796" s="10">
        <v>1.2766989651310956E-4</v>
      </c>
      <c r="T1796" s="10">
        <v>3.5229356191596775E-4</v>
      </c>
      <c r="U1796" s="10">
        <v>1.5229999999999999E-4</v>
      </c>
      <c r="V1796" s="25"/>
      <c r="W1796" s="25"/>
      <c r="X1796" s="25"/>
      <c r="Y1796" s="25"/>
      <c r="Z1796" s="25"/>
      <c r="AA1796" s="25"/>
    </row>
    <row r="1797" spans="1:27" x14ac:dyDescent="0.35">
      <c r="A1797" s="5">
        <v>1793</v>
      </c>
      <c r="B1797" s="5">
        <v>75</v>
      </c>
      <c r="C1797" s="5">
        <v>3</v>
      </c>
      <c r="D1797" s="25">
        <v>1.1416E-4</v>
      </c>
      <c r="E1797" s="25">
        <v>1.1231E-4</v>
      </c>
      <c r="F1797" s="25">
        <v>1.0519E-4</v>
      </c>
      <c r="G1797" s="25">
        <v>1.6651E-4</v>
      </c>
      <c r="H1797" s="25">
        <v>1.9237E-4</v>
      </c>
      <c r="I1797" s="9">
        <v>1.3097E-4</v>
      </c>
      <c r="J1797" s="9">
        <v>1.3318999999999999E-4</v>
      </c>
      <c r="K1797" s="9">
        <v>0</v>
      </c>
      <c r="L1797" s="9">
        <v>1.9216E-4</v>
      </c>
      <c r="M1797" s="9">
        <v>1.6186E-4</v>
      </c>
      <c r="N1797" s="9">
        <v>1.5217E-4</v>
      </c>
      <c r="O1797" s="9">
        <v>2.1526E-4</v>
      </c>
      <c r="P1797" s="9">
        <v>1.6049E-4</v>
      </c>
      <c r="Q1797" s="9">
        <v>1.0794999999999999E-4</v>
      </c>
      <c r="R1797" s="10">
        <v>7.2768886091159165E-5</v>
      </c>
      <c r="S1797" s="10">
        <v>1.301223854941933E-4</v>
      </c>
      <c r="T1797" s="10">
        <v>1.9877016517513886E-4</v>
      </c>
      <c r="U1797" s="10">
        <v>1.5229999999999999E-4</v>
      </c>
      <c r="V1797" s="25"/>
      <c r="W1797" s="25"/>
      <c r="X1797" s="25"/>
      <c r="Y1797" s="25"/>
      <c r="Z1797" s="25"/>
      <c r="AA1797" s="25"/>
    </row>
    <row r="1798" spans="1:27" x14ac:dyDescent="0.35">
      <c r="A1798" s="5">
        <v>1794</v>
      </c>
      <c r="B1798" s="5">
        <v>75</v>
      </c>
      <c r="C1798" s="5">
        <v>3</v>
      </c>
      <c r="D1798" s="25">
        <v>1.1415000000000001E-4</v>
      </c>
      <c r="E1798" s="25">
        <v>1.1569999999999999E-4</v>
      </c>
      <c r="F1798" s="25">
        <v>1.194E-4</v>
      </c>
      <c r="G1798" s="25">
        <v>1.5656000000000001E-4</v>
      </c>
      <c r="H1798" s="25">
        <v>2.0048E-4</v>
      </c>
      <c r="I1798" s="9">
        <v>1.3407999999999999E-4</v>
      </c>
      <c r="J1798" s="9">
        <v>1.3385E-4</v>
      </c>
      <c r="K1798" s="9">
        <v>0</v>
      </c>
      <c r="L1798" s="9">
        <v>2.0997999999999999E-4</v>
      </c>
      <c r="M1798" s="9">
        <v>1.5967999999999999E-4</v>
      </c>
      <c r="N1798" s="9">
        <v>1.3909E-4</v>
      </c>
      <c r="O1798" s="9">
        <v>2.0497000000000001E-4</v>
      </c>
      <c r="P1798" s="9">
        <v>1.6028E-4</v>
      </c>
      <c r="Q1798" s="9">
        <v>1.176E-4</v>
      </c>
      <c r="R1798" s="10">
        <v>7.1576308197195379E-5</v>
      </c>
      <c r="S1798" s="10">
        <v>1.294924135716735E-4</v>
      </c>
      <c r="T1798" s="10">
        <v>1.7240096279489594E-5</v>
      </c>
      <c r="U1798" s="10">
        <v>1.5229999999999999E-4</v>
      </c>
      <c r="V1798" s="25"/>
      <c r="W1798" s="25"/>
      <c r="X1798" s="25"/>
      <c r="Y1798" s="25"/>
      <c r="Z1798" s="25"/>
      <c r="AA1798" s="25"/>
    </row>
    <row r="1799" spans="1:27" x14ac:dyDescent="0.35">
      <c r="A1799" s="5">
        <v>1795</v>
      </c>
      <c r="B1799" s="5">
        <v>75</v>
      </c>
      <c r="C1799" s="5">
        <v>3</v>
      </c>
      <c r="D1799" s="25">
        <v>1.1416E-4</v>
      </c>
      <c r="E1799" s="25">
        <v>1.1294E-4</v>
      </c>
      <c r="F1799" s="25">
        <v>1.1585E-4</v>
      </c>
      <c r="G1799" s="25">
        <v>1.1400000000000001E-4</v>
      </c>
      <c r="H1799" s="25">
        <v>1.2640000000000001E-4</v>
      </c>
      <c r="I1799" s="9">
        <v>1.3718000000000001E-4</v>
      </c>
      <c r="J1799" s="9">
        <v>1.3216000000000001E-4</v>
      </c>
      <c r="K1799" s="9">
        <v>0</v>
      </c>
      <c r="L1799" s="9">
        <v>2.0561000000000001E-4</v>
      </c>
      <c r="M1799" s="9">
        <v>1.5951E-4</v>
      </c>
      <c r="N1799" s="9">
        <v>1.3006000000000001E-4</v>
      </c>
      <c r="O1799" s="9">
        <v>1.6389E-4</v>
      </c>
      <c r="P1799" s="9">
        <v>1.3467000000000001E-4</v>
      </c>
      <c r="Q1799" s="9">
        <v>1.0689E-4</v>
      </c>
      <c r="R1799" s="10">
        <v>7.6828485364119708E-5</v>
      </c>
      <c r="S1799" s="10">
        <v>1.3120039519361209E-4</v>
      </c>
      <c r="T1799" s="10">
        <v>0</v>
      </c>
      <c r="U1799" s="10">
        <v>1.5229999999999999E-4</v>
      </c>
      <c r="V1799" s="25"/>
      <c r="W1799" s="25"/>
      <c r="X1799" s="25"/>
      <c r="Y1799" s="25"/>
      <c r="Z1799" s="25"/>
      <c r="AA1799" s="25"/>
    </row>
    <row r="1800" spans="1:27" x14ac:dyDescent="0.35">
      <c r="A1800" s="5">
        <v>1796</v>
      </c>
      <c r="B1800" s="5">
        <v>75</v>
      </c>
      <c r="C1800" s="5">
        <v>3</v>
      </c>
      <c r="D1800" s="25">
        <v>1.1415000000000001E-4</v>
      </c>
      <c r="E1800" s="25">
        <v>1.114E-4</v>
      </c>
      <c r="F1800" s="25">
        <v>1.2499000000000001E-4</v>
      </c>
      <c r="G1800" s="25">
        <v>1.1116E-4</v>
      </c>
      <c r="H1800" s="25">
        <v>1.3227000000000001E-4</v>
      </c>
      <c r="I1800" s="9">
        <v>1.3988E-4</v>
      </c>
      <c r="J1800" s="9">
        <v>1.3553E-4</v>
      </c>
      <c r="K1800" s="9">
        <v>0</v>
      </c>
      <c r="L1800" s="9">
        <v>1.7325000000000001E-4</v>
      </c>
      <c r="M1800" s="9">
        <v>1.5069000000000001E-4</v>
      </c>
      <c r="N1800" s="9">
        <v>1.209E-4</v>
      </c>
      <c r="O1800" s="9">
        <v>1.2739000000000001E-4</v>
      </c>
      <c r="P1800" s="9">
        <v>1.1362999999999999E-4</v>
      </c>
      <c r="Q1800" s="9">
        <v>1.008E-4</v>
      </c>
      <c r="R1800" s="10">
        <v>8.2967639262684014E-5</v>
      </c>
      <c r="S1800" s="10">
        <v>1.4176949647250244E-4</v>
      </c>
      <c r="T1800" s="10">
        <v>0</v>
      </c>
      <c r="U1800" s="10">
        <v>1.5229999999999999E-4</v>
      </c>
      <c r="V1800" s="25"/>
      <c r="W1800" s="25"/>
      <c r="X1800" s="25"/>
      <c r="Y1800" s="25"/>
      <c r="Z1800" s="25"/>
      <c r="AA1800" s="25"/>
    </row>
    <row r="1801" spans="1:27" x14ac:dyDescent="0.35">
      <c r="A1801" s="5">
        <v>1797</v>
      </c>
      <c r="B1801" s="5">
        <v>75</v>
      </c>
      <c r="C1801" s="5">
        <v>3</v>
      </c>
      <c r="D1801" s="25">
        <v>1.1416E-4</v>
      </c>
      <c r="E1801" s="25">
        <v>1.0768E-4</v>
      </c>
      <c r="F1801" s="25">
        <v>1.1642E-4</v>
      </c>
      <c r="G1801" s="25">
        <v>5.9759999999999997E-5</v>
      </c>
      <c r="H1801" s="25">
        <v>7.4400000000000006E-5</v>
      </c>
      <c r="I1801" s="9">
        <v>1.3365E-4</v>
      </c>
      <c r="J1801" s="9">
        <v>1.2816999999999999E-4</v>
      </c>
      <c r="K1801" s="9">
        <v>1.484E-5</v>
      </c>
      <c r="L1801" s="9">
        <v>1.3850000000000001E-4</v>
      </c>
      <c r="M1801" s="9">
        <v>1.3485E-4</v>
      </c>
      <c r="N1801" s="9">
        <v>1.1298000000000001E-4</v>
      </c>
      <c r="O1801" s="9">
        <v>8.3900000000000006E-5</v>
      </c>
      <c r="P1801" s="9">
        <v>8.5530000000000003E-5</v>
      </c>
      <c r="Q1801" s="9">
        <v>8.7509999999999994E-5</v>
      </c>
      <c r="R1801" s="10">
        <v>8.6295096984820077E-5</v>
      </c>
      <c r="S1801" s="10">
        <v>1.4971750569345334E-4</v>
      </c>
      <c r="T1801" s="10">
        <v>0</v>
      </c>
      <c r="U1801" s="10">
        <v>1.5229999999999999E-4</v>
      </c>
      <c r="V1801" s="25"/>
      <c r="W1801" s="25"/>
      <c r="X1801" s="25"/>
      <c r="Y1801" s="25"/>
      <c r="Z1801" s="25"/>
      <c r="AA1801" s="25"/>
    </row>
    <row r="1802" spans="1:27" x14ac:dyDescent="0.35">
      <c r="A1802" s="5">
        <v>1798</v>
      </c>
      <c r="B1802" s="5">
        <v>75</v>
      </c>
      <c r="C1802" s="5">
        <v>3</v>
      </c>
      <c r="D1802" s="25">
        <v>1.1415000000000001E-4</v>
      </c>
      <c r="E1802" s="25">
        <v>1.1177E-4</v>
      </c>
      <c r="F1802" s="25">
        <v>1.2604000000000001E-4</v>
      </c>
      <c r="G1802" s="25">
        <v>6.1020000000000002E-5</v>
      </c>
      <c r="H1802" s="25">
        <v>7.483E-5</v>
      </c>
      <c r="I1802" s="9">
        <v>1.2684E-4</v>
      </c>
      <c r="J1802" s="9">
        <v>1.1938999999999999E-4</v>
      </c>
      <c r="K1802" s="9">
        <v>3.6029999999999999E-5</v>
      </c>
      <c r="L1802" s="9">
        <v>9.6849999999999996E-5</v>
      </c>
      <c r="M1802" s="9">
        <v>1.1302999999999999E-4</v>
      </c>
      <c r="N1802" s="9">
        <v>1.0522999999999999E-4</v>
      </c>
      <c r="O1802" s="9">
        <v>8.7819999999999996E-5</v>
      </c>
      <c r="P1802" s="9">
        <v>8.8070000000000002E-5</v>
      </c>
      <c r="Q1802" s="9">
        <v>8.8720000000000004E-5</v>
      </c>
      <c r="R1802" s="10">
        <v>9.3462001699010799E-5</v>
      </c>
      <c r="S1802" s="10">
        <v>1.5008812967126574E-4</v>
      </c>
      <c r="T1802" s="10">
        <v>0</v>
      </c>
      <c r="U1802" s="10">
        <v>1.5229999999999999E-4</v>
      </c>
      <c r="V1802" s="25"/>
      <c r="W1802" s="25"/>
      <c r="X1802" s="25"/>
      <c r="Y1802" s="25"/>
      <c r="Z1802" s="25"/>
      <c r="AA1802" s="25"/>
    </row>
    <row r="1803" spans="1:27" x14ac:dyDescent="0.35">
      <c r="A1803" s="5">
        <v>1799</v>
      </c>
      <c r="B1803" s="5">
        <v>75</v>
      </c>
      <c r="C1803" s="5">
        <v>3</v>
      </c>
      <c r="D1803" s="25">
        <v>1.1416E-4</v>
      </c>
      <c r="E1803" s="25">
        <v>1.1045E-4</v>
      </c>
      <c r="F1803" s="25">
        <v>1.1095999999999999E-4</v>
      </c>
      <c r="G1803" s="25">
        <v>5.2679999999999997E-5</v>
      </c>
      <c r="H1803" s="25">
        <v>6.9400000000000006E-5</v>
      </c>
      <c r="I1803" s="9">
        <v>1.2634000000000001E-4</v>
      </c>
      <c r="J1803" s="9">
        <v>1.1005000000000001E-4</v>
      </c>
      <c r="K1803" s="9">
        <v>5.2979999999999998E-5</v>
      </c>
      <c r="L1803" s="9">
        <v>9.0729999999999994E-5</v>
      </c>
      <c r="M1803" s="9">
        <v>9.8709999999999995E-5</v>
      </c>
      <c r="N1803" s="9">
        <v>9.9530000000000004E-5</v>
      </c>
      <c r="O1803" s="9">
        <v>7.86E-5</v>
      </c>
      <c r="P1803" s="9">
        <v>7.2869999999999999E-5</v>
      </c>
      <c r="Q1803" s="9">
        <v>6.7570000000000005E-5</v>
      </c>
      <c r="R1803" s="10">
        <v>1.0046845459594388E-4</v>
      </c>
      <c r="S1803" s="10">
        <v>1.4438859298780777E-4</v>
      </c>
      <c r="T1803" s="10">
        <v>0</v>
      </c>
      <c r="U1803" s="10">
        <v>1.5229999999999999E-4</v>
      </c>
      <c r="V1803" s="25"/>
      <c r="W1803" s="25"/>
      <c r="X1803" s="25"/>
      <c r="Y1803" s="25"/>
      <c r="Z1803" s="25"/>
      <c r="AA1803" s="25"/>
    </row>
    <row r="1804" spans="1:27" x14ac:dyDescent="0.35">
      <c r="A1804" s="5">
        <v>1800</v>
      </c>
      <c r="B1804" s="5">
        <v>75</v>
      </c>
      <c r="C1804" s="5">
        <v>3</v>
      </c>
      <c r="D1804" s="25">
        <v>1.1415000000000001E-4</v>
      </c>
      <c r="E1804" s="25">
        <v>1.1128000000000001E-4</v>
      </c>
      <c r="F1804" s="25">
        <v>1.1801E-4</v>
      </c>
      <c r="G1804" s="25">
        <v>6.1359999999999995E-5</v>
      </c>
      <c r="H1804" s="25">
        <v>6.8460000000000005E-5</v>
      </c>
      <c r="I1804" s="9">
        <v>1.2504000000000001E-4</v>
      </c>
      <c r="J1804" s="9">
        <v>1.0254E-4</v>
      </c>
      <c r="K1804" s="9">
        <v>4.4509999999999999E-5</v>
      </c>
      <c r="L1804" s="9">
        <v>8.1219999999999998E-5</v>
      </c>
      <c r="M1804" s="9">
        <v>8.6279999999999994E-5</v>
      </c>
      <c r="N1804" s="9">
        <v>9.0459999999999998E-5</v>
      </c>
      <c r="O1804" s="9">
        <v>6.3170000000000007E-5</v>
      </c>
      <c r="P1804" s="9">
        <v>6.109E-5</v>
      </c>
      <c r="Q1804" s="9">
        <v>5.9259999999999998E-5</v>
      </c>
      <c r="R1804" s="10">
        <v>9.227113098446756E-5</v>
      </c>
      <c r="S1804" s="10">
        <v>1.4470078644771939E-4</v>
      </c>
      <c r="T1804" s="10">
        <v>0</v>
      </c>
      <c r="U1804" s="10">
        <v>1.5229999999999999E-4</v>
      </c>
      <c r="V1804" s="25"/>
      <c r="W1804" s="25"/>
      <c r="X1804" s="25"/>
      <c r="Y1804" s="25"/>
      <c r="Z1804" s="25"/>
      <c r="AA1804" s="25"/>
    </row>
    <row r="1805" spans="1:27" x14ac:dyDescent="0.35">
      <c r="A1805" s="5">
        <v>1801</v>
      </c>
      <c r="B1805" s="5">
        <v>76</v>
      </c>
      <c r="C1805" s="5">
        <v>3</v>
      </c>
      <c r="D1805" s="25">
        <v>1.1416E-4</v>
      </c>
      <c r="E1805" s="25">
        <v>1.0581000000000001E-4</v>
      </c>
      <c r="F1805" s="25">
        <v>1.1143E-4</v>
      </c>
      <c r="G1805" s="25">
        <v>5.6969999999999998E-5</v>
      </c>
      <c r="H1805" s="25">
        <v>4.2079999999999997E-5</v>
      </c>
      <c r="I1805" s="9">
        <v>1.1866000000000001E-4</v>
      </c>
      <c r="J1805" s="9">
        <v>9.4770000000000002E-5</v>
      </c>
      <c r="K1805" s="9">
        <v>5.5109999999999999E-5</v>
      </c>
      <c r="L1805" s="9">
        <v>6.7130000000000003E-5</v>
      </c>
      <c r="M1805" s="9">
        <v>7.4369999999999994E-5</v>
      </c>
      <c r="N1805" s="9">
        <v>8.1199999999999995E-5</v>
      </c>
      <c r="O1805" s="9">
        <v>6.8009999999999994E-5</v>
      </c>
      <c r="P1805" s="9">
        <v>6.0550000000000001E-5</v>
      </c>
      <c r="Q1805" s="9">
        <v>5.3399999999999997E-5</v>
      </c>
      <c r="R1805" s="10">
        <v>7.130278182034531E-5</v>
      </c>
      <c r="S1805" s="10">
        <v>1.3101569061375388E-4</v>
      </c>
      <c r="T1805" s="10">
        <v>0</v>
      </c>
      <c r="U1805" s="10">
        <v>1.5177999999999999E-4</v>
      </c>
      <c r="V1805" s="25"/>
      <c r="W1805" s="25"/>
      <c r="X1805" s="25"/>
      <c r="Y1805" s="25"/>
      <c r="Z1805" s="25"/>
      <c r="AA1805" s="25"/>
    </row>
    <row r="1806" spans="1:27" x14ac:dyDescent="0.35">
      <c r="A1806" s="5">
        <v>1802</v>
      </c>
      <c r="B1806" s="5">
        <v>76</v>
      </c>
      <c r="C1806" s="5">
        <v>3</v>
      </c>
      <c r="D1806" s="25">
        <v>1.1415000000000001E-4</v>
      </c>
      <c r="E1806" s="25">
        <v>1.1137E-4</v>
      </c>
      <c r="F1806" s="25">
        <v>1.2682000000000001E-4</v>
      </c>
      <c r="G1806" s="25">
        <v>5.452E-5</v>
      </c>
      <c r="H1806" s="25">
        <v>4.1449999999999998E-5</v>
      </c>
      <c r="I1806" s="9">
        <v>1.1192999999999999E-4</v>
      </c>
      <c r="J1806" s="9">
        <v>9.0270000000000001E-5</v>
      </c>
      <c r="K1806" s="9">
        <v>6.5699999999999998E-5</v>
      </c>
      <c r="L1806" s="9">
        <v>6.8209999999999999E-5</v>
      </c>
      <c r="M1806" s="9">
        <v>6.6550000000000005E-5</v>
      </c>
      <c r="N1806" s="9">
        <v>7.216E-5</v>
      </c>
      <c r="O1806" s="9">
        <v>3.5099999999999999E-5</v>
      </c>
      <c r="P1806" s="9">
        <v>4.562E-5</v>
      </c>
      <c r="Q1806" s="9">
        <v>5.5909999999999998E-5</v>
      </c>
      <c r="R1806" s="10">
        <v>5.6826111392219201E-5</v>
      </c>
      <c r="S1806" s="10">
        <v>1.228958609045674E-4</v>
      </c>
      <c r="T1806" s="10">
        <v>0</v>
      </c>
      <c r="U1806" s="10">
        <v>1.5177999999999999E-4</v>
      </c>
      <c r="V1806" s="25"/>
      <c r="W1806" s="25"/>
      <c r="X1806" s="25"/>
      <c r="Y1806" s="25"/>
      <c r="Z1806" s="25"/>
      <c r="AA1806" s="25"/>
    </row>
    <row r="1807" spans="1:27" x14ac:dyDescent="0.35">
      <c r="A1807" s="5">
        <v>1803</v>
      </c>
      <c r="B1807" s="5">
        <v>76</v>
      </c>
      <c r="C1807" s="5">
        <v>3</v>
      </c>
      <c r="D1807" s="25">
        <v>1.1416E-4</v>
      </c>
      <c r="E1807" s="25">
        <v>1.042E-4</v>
      </c>
      <c r="F1807" s="25">
        <v>1.2203E-4</v>
      </c>
      <c r="G1807" s="25">
        <v>6.0699999999999998E-5</v>
      </c>
      <c r="H1807" s="25">
        <v>4.5229999999999999E-5</v>
      </c>
      <c r="I1807" s="9">
        <v>1.0733E-4</v>
      </c>
      <c r="J1807" s="9">
        <v>8.9339999999999995E-5</v>
      </c>
      <c r="K1807" s="9">
        <v>7.6299999999999998E-5</v>
      </c>
      <c r="L1807" s="9">
        <v>4.231E-5</v>
      </c>
      <c r="M1807" s="9">
        <v>5.7340000000000003E-5</v>
      </c>
      <c r="N1807" s="9">
        <v>6.5580000000000006E-5</v>
      </c>
      <c r="O1807" s="9">
        <v>2.234E-5</v>
      </c>
      <c r="P1807" s="9">
        <v>4.2490000000000001E-5</v>
      </c>
      <c r="Q1807" s="9">
        <v>6.2150000000000006E-5</v>
      </c>
      <c r="R1807" s="10">
        <v>4.3109875762703069E-5</v>
      </c>
      <c r="S1807" s="10">
        <v>1.1888543853058929E-4</v>
      </c>
      <c r="T1807" s="10">
        <v>0</v>
      </c>
      <c r="U1807" s="10">
        <v>1.5177999999999999E-4</v>
      </c>
      <c r="V1807" s="25"/>
      <c r="W1807" s="25"/>
      <c r="X1807" s="25"/>
      <c r="Y1807" s="25"/>
      <c r="Z1807" s="25"/>
      <c r="AA1807" s="25"/>
    </row>
    <row r="1808" spans="1:27" x14ac:dyDescent="0.35">
      <c r="A1808" s="5">
        <v>1804</v>
      </c>
      <c r="B1808" s="5">
        <v>76</v>
      </c>
      <c r="C1808" s="5">
        <v>3</v>
      </c>
      <c r="D1808" s="25">
        <v>1.1415000000000001E-4</v>
      </c>
      <c r="E1808" s="25">
        <v>1.0354E-4</v>
      </c>
      <c r="F1808" s="25">
        <v>1.0993999999999999E-4</v>
      </c>
      <c r="G1808" s="25">
        <v>5.6419999999999999E-5</v>
      </c>
      <c r="H1808" s="25">
        <v>4.2400000000000001E-5</v>
      </c>
      <c r="I1808" s="9">
        <v>1.0517E-4</v>
      </c>
      <c r="J1808" s="9">
        <v>9.3739999999999994E-5</v>
      </c>
      <c r="K1808" s="9">
        <v>8.6899999999999998E-5</v>
      </c>
      <c r="L1808" s="9">
        <v>2.7359999999999999E-5</v>
      </c>
      <c r="M1808" s="9">
        <v>4.9809999999999999E-5</v>
      </c>
      <c r="N1808" s="9">
        <v>6.211E-5</v>
      </c>
      <c r="O1808" s="9">
        <v>2.158E-5</v>
      </c>
      <c r="P1808" s="9">
        <v>5.1239999999999997E-5</v>
      </c>
      <c r="Q1808" s="9">
        <v>8.0270000000000002E-5</v>
      </c>
      <c r="R1808" s="10">
        <v>2.6102414478842976E-5</v>
      </c>
      <c r="S1808" s="10">
        <v>1.1283847916170878E-4</v>
      </c>
      <c r="T1808" s="10">
        <v>0</v>
      </c>
      <c r="U1808" s="10">
        <v>1.5177999999999999E-4</v>
      </c>
      <c r="V1808" s="25"/>
      <c r="W1808" s="25"/>
      <c r="X1808" s="25"/>
      <c r="Y1808" s="25"/>
      <c r="Z1808" s="25"/>
      <c r="AA1808" s="25"/>
    </row>
    <row r="1809" spans="1:27" x14ac:dyDescent="0.35">
      <c r="A1809" s="5">
        <v>1805</v>
      </c>
      <c r="B1809" s="5">
        <v>76</v>
      </c>
      <c r="C1809" s="5">
        <v>3</v>
      </c>
      <c r="D1809" s="25">
        <v>1.1416E-4</v>
      </c>
      <c r="E1809" s="25">
        <v>1.1385E-4</v>
      </c>
      <c r="F1809" s="25">
        <v>1.1129E-4</v>
      </c>
      <c r="G1809" s="25">
        <v>6.1270000000000001E-5</v>
      </c>
      <c r="H1809" s="25">
        <v>4.2679999999999998E-5</v>
      </c>
      <c r="I1809" s="9">
        <v>1.0631E-4</v>
      </c>
      <c r="J1809" s="9">
        <v>9.5069999999999996E-5</v>
      </c>
      <c r="K1809" s="9">
        <v>9.5370000000000003E-5</v>
      </c>
      <c r="L1809" s="9">
        <v>2.3300000000000001E-5</v>
      </c>
      <c r="M1809" s="9">
        <v>4.8539999999999999E-5</v>
      </c>
      <c r="N1809" s="9">
        <v>6.4579999999999995E-5</v>
      </c>
      <c r="O1809" s="9">
        <v>2.3540000000000002E-5</v>
      </c>
      <c r="P1809" s="9">
        <v>5.9039999999999997E-5</v>
      </c>
      <c r="Q1809" s="9">
        <v>9.3830000000000001E-5</v>
      </c>
      <c r="R1809" s="10">
        <v>1.4288451434522606E-5</v>
      </c>
      <c r="S1809" s="10">
        <v>9.7068933793213421E-5</v>
      </c>
      <c r="T1809" s="10">
        <v>0</v>
      </c>
      <c r="U1809" s="10">
        <v>1.5177999999999999E-4</v>
      </c>
      <c r="V1809" s="25"/>
      <c r="W1809" s="25"/>
      <c r="X1809" s="25"/>
      <c r="Y1809" s="25"/>
      <c r="Z1809" s="25"/>
      <c r="AA1809" s="25"/>
    </row>
    <row r="1810" spans="1:27" x14ac:dyDescent="0.35">
      <c r="A1810" s="5">
        <v>1806</v>
      </c>
      <c r="B1810" s="5">
        <v>76</v>
      </c>
      <c r="C1810" s="5">
        <v>3</v>
      </c>
      <c r="D1810" s="25">
        <v>1.1415000000000001E-4</v>
      </c>
      <c r="E1810" s="25">
        <v>1.1283E-4</v>
      </c>
      <c r="F1810" s="25">
        <v>1.1803000000000001E-4</v>
      </c>
      <c r="G1810" s="25">
        <v>1.0608E-4</v>
      </c>
      <c r="H1810" s="25">
        <v>7.6810000000000005E-5</v>
      </c>
      <c r="I1810" s="9">
        <v>1.1254E-4</v>
      </c>
      <c r="J1810" s="9">
        <v>9.7910000000000003E-5</v>
      </c>
      <c r="K1810" s="9">
        <v>9.5379999999999998E-5</v>
      </c>
      <c r="L1810" s="9">
        <v>2.3419999999999999E-5</v>
      </c>
      <c r="M1810" s="9">
        <v>5.2320000000000001E-5</v>
      </c>
      <c r="N1810" s="9">
        <v>7.1130000000000005E-5</v>
      </c>
      <c r="O1810" s="9">
        <v>2.9859999999999999E-5</v>
      </c>
      <c r="P1810" s="9">
        <v>6.8910000000000003E-5</v>
      </c>
      <c r="Q1810" s="9">
        <v>1.0725E-4</v>
      </c>
      <c r="R1810" s="10">
        <v>1.067401117829086E-5</v>
      </c>
      <c r="S1810" s="10">
        <v>7.5658830558919722E-5</v>
      </c>
      <c r="T1810" s="10">
        <v>0</v>
      </c>
      <c r="U1810" s="10">
        <v>1.5177999999999999E-4</v>
      </c>
      <c r="V1810" s="25"/>
      <c r="W1810" s="25"/>
      <c r="X1810" s="25"/>
      <c r="Y1810" s="25"/>
      <c r="Z1810" s="25"/>
      <c r="AA1810" s="25"/>
    </row>
    <row r="1811" spans="1:27" x14ac:dyDescent="0.35">
      <c r="A1811" s="5">
        <v>1807</v>
      </c>
      <c r="B1811" s="5">
        <v>76</v>
      </c>
      <c r="C1811" s="5">
        <v>3</v>
      </c>
      <c r="D1811" s="25">
        <v>1.1416E-4</v>
      </c>
      <c r="E1811" s="25">
        <v>1.1192999999999999E-4</v>
      </c>
      <c r="F1811" s="25">
        <v>1.2430000000000001E-4</v>
      </c>
      <c r="G1811" s="25">
        <v>1.099E-4</v>
      </c>
      <c r="H1811" s="25">
        <v>8.3839999999999997E-5</v>
      </c>
      <c r="I1811" s="9">
        <v>1.2473000000000001E-4</v>
      </c>
      <c r="J1811" s="9">
        <v>1.0454999999999999E-4</v>
      </c>
      <c r="K1811" s="9">
        <v>9.3250000000000003E-5</v>
      </c>
      <c r="L1811" s="9">
        <v>2.8350000000000001E-5</v>
      </c>
      <c r="M1811" s="9">
        <v>5.94E-5</v>
      </c>
      <c r="N1811" s="9">
        <v>8.0859999999999995E-5</v>
      </c>
      <c r="O1811" s="9">
        <v>4.6310000000000002E-5</v>
      </c>
      <c r="P1811" s="9">
        <v>7.9690000000000004E-5</v>
      </c>
      <c r="Q1811" s="9">
        <v>1.1257E-4</v>
      </c>
      <c r="R1811" s="10">
        <v>1.4219890911730171E-5</v>
      </c>
      <c r="S1811" s="10">
        <v>5.8058269718105054E-5</v>
      </c>
      <c r="T1811" s="10">
        <v>0</v>
      </c>
      <c r="U1811" s="10">
        <v>1.5177999999999999E-4</v>
      </c>
      <c r="V1811" s="25"/>
      <c r="W1811" s="25"/>
      <c r="X1811" s="25"/>
      <c r="Y1811" s="25"/>
      <c r="Z1811" s="25"/>
      <c r="AA1811" s="25"/>
    </row>
    <row r="1812" spans="1:27" x14ac:dyDescent="0.35">
      <c r="A1812" s="5">
        <v>1808</v>
      </c>
      <c r="B1812" s="5">
        <v>76</v>
      </c>
      <c r="C1812" s="5">
        <v>3</v>
      </c>
      <c r="D1812" s="25">
        <v>1.1415000000000001E-4</v>
      </c>
      <c r="E1812" s="25">
        <v>1.0752E-4</v>
      </c>
      <c r="F1812" s="25">
        <v>1.2727999999999999E-4</v>
      </c>
      <c r="G1812" s="25">
        <v>1.6508000000000001E-4</v>
      </c>
      <c r="H1812" s="25">
        <v>1.1988E-4</v>
      </c>
      <c r="I1812" s="9">
        <v>1.3142000000000001E-4</v>
      </c>
      <c r="J1812" s="9">
        <v>1.2098E-4</v>
      </c>
      <c r="K1812" s="9">
        <v>9.1139999999999998E-5</v>
      </c>
      <c r="L1812" s="9">
        <v>4.2209999999999997E-5</v>
      </c>
      <c r="M1812" s="9">
        <v>6.8479999999999995E-5</v>
      </c>
      <c r="N1812" s="9">
        <v>9.0970000000000005E-5</v>
      </c>
      <c r="O1812" s="9">
        <v>6.8689999999999995E-5</v>
      </c>
      <c r="P1812" s="9">
        <v>1.0329E-4</v>
      </c>
      <c r="Q1812" s="9">
        <v>1.3753999999999999E-4</v>
      </c>
      <c r="R1812" s="10">
        <v>2.5883918006738663E-5</v>
      </c>
      <c r="S1812" s="10">
        <v>4.7410264661513437E-5</v>
      </c>
      <c r="T1812" s="10">
        <v>1.6344154268114542E-4</v>
      </c>
      <c r="U1812" s="10">
        <v>1.5177999999999999E-4</v>
      </c>
      <c r="V1812" s="25"/>
      <c r="W1812" s="25"/>
      <c r="X1812" s="25"/>
      <c r="Y1812" s="25"/>
      <c r="Z1812" s="25"/>
      <c r="AA1812" s="25"/>
    </row>
    <row r="1813" spans="1:27" x14ac:dyDescent="0.35">
      <c r="A1813" s="5">
        <v>1809</v>
      </c>
      <c r="B1813" s="5">
        <v>76</v>
      </c>
      <c r="C1813" s="5">
        <v>3</v>
      </c>
      <c r="D1813" s="25">
        <v>1.1416E-4</v>
      </c>
      <c r="E1813" s="25">
        <v>1.1247E-4</v>
      </c>
      <c r="F1813" s="25">
        <v>1.2129E-4</v>
      </c>
      <c r="G1813" s="25">
        <v>1.66E-4</v>
      </c>
      <c r="H1813" s="25">
        <v>1.2135E-4</v>
      </c>
      <c r="I1813" s="9">
        <v>1.3404000000000001E-4</v>
      </c>
      <c r="J1813" s="9">
        <v>1.2983E-4</v>
      </c>
      <c r="K1813" s="9">
        <v>8.6899999999999998E-5</v>
      </c>
      <c r="L1813" s="9">
        <v>6.2490000000000006E-5</v>
      </c>
      <c r="M1813" s="9">
        <v>8.3259999999999999E-5</v>
      </c>
      <c r="N1813" s="9">
        <v>1.0486E-4</v>
      </c>
      <c r="O1813" s="9">
        <v>9.9160000000000006E-5</v>
      </c>
      <c r="P1813" s="9">
        <v>1.3752999999999999E-4</v>
      </c>
      <c r="Q1813" s="9">
        <v>1.7572E-4</v>
      </c>
      <c r="R1813" s="10">
        <v>3.8671640159050778E-5</v>
      </c>
      <c r="S1813" s="10">
        <v>3.9578896217646956E-5</v>
      </c>
      <c r="T1813" s="10">
        <v>3.2663704068113675E-4</v>
      </c>
      <c r="U1813" s="10">
        <v>1.5177999999999999E-4</v>
      </c>
      <c r="V1813" s="25"/>
      <c r="W1813" s="25"/>
      <c r="X1813" s="25"/>
      <c r="Y1813" s="25"/>
      <c r="Z1813" s="25"/>
      <c r="AA1813" s="25"/>
    </row>
    <row r="1814" spans="1:27" x14ac:dyDescent="0.35">
      <c r="A1814" s="5">
        <v>1810</v>
      </c>
      <c r="B1814" s="5">
        <v>76</v>
      </c>
      <c r="C1814" s="5">
        <v>3</v>
      </c>
      <c r="D1814" s="25">
        <v>1.1415000000000001E-4</v>
      </c>
      <c r="E1814" s="25">
        <v>1.1086000000000001E-4</v>
      </c>
      <c r="F1814" s="25">
        <v>1.158E-4</v>
      </c>
      <c r="G1814" s="25">
        <v>1.6027000000000001E-4</v>
      </c>
      <c r="H1814" s="25">
        <v>1.187E-4</v>
      </c>
      <c r="I1814" s="9">
        <v>1.3617999999999999E-4</v>
      </c>
      <c r="J1814" s="9">
        <v>1.2980000000000001E-4</v>
      </c>
      <c r="K1814" s="9">
        <v>7.6299999999999998E-5</v>
      </c>
      <c r="L1814" s="9">
        <v>9.056E-5</v>
      </c>
      <c r="M1814" s="9">
        <v>1.0654000000000001E-4</v>
      </c>
      <c r="N1814" s="9">
        <v>1.2459E-4</v>
      </c>
      <c r="O1814" s="9">
        <v>1.2826E-4</v>
      </c>
      <c r="P1814" s="9">
        <v>1.5487000000000001E-4</v>
      </c>
      <c r="Q1814" s="9">
        <v>1.8170999999999999E-4</v>
      </c>
      <c r="R1814" s="10">
        <v>4.4101453976552494E-5</v>
      </c>
      <c r="S1814" s="10">
        <v>3.2268147431749287E-5</v>
      </c>
      <c r="T1814" s="10">
        <v>4.1656212949329731E-4</v>
      </c>
      <c r="U1814" s="10">
        <v>1.5177999999999999E-4</v>
      </c>
      <c r="V1814" s="25"/>
      <c r="W1814" s="25"/>
      <c r="X1814" s="25"/>
      <c r="Y1814" s="25"/>
      <c r="Z1814" s="25"/>
      <c r="AA1814" s="25"/>
    </row>
    <row r="1815" spans="1:27" x14ac:dyDescent="0.35">
      <c r="A1815" s="5">
        <v>1811</v>
      </c>
      <c r="B1815" s="5">
        <v>76</v>
      </c>
      <c r="C1815" s="5">
        <v>3</v>
      </c>
      <c r="D1815" s="25">
        <v>1.1416E-4</v>
      </c>
      <c r="E1815" s="25">
        <v>1.0652E-4</v>
      </c>
      <c r="F1815" s="25">
        <v>1.1511E-4</v>
      </c>
      <c r="G1815" s="25">
        <v>1.6252000000000001E-4</v>
      </c>
      <c r="H1815" s="25">
        <v>1.1892000000000001E-4</v>
      </c>
      <c r="I1815" s="9">
        <v>1.3538999999999999E-4</v>
      </c>
      <c r="J1815" s="9">
        <v>1.273E-4</v>
      </c>
      <c r="K1815" s="9">
        <v>5.7229999999999999E-5</v>
      </c>
      <c r="L1815" s="9">
        <v>1.1928E-4</v>
      </c>
      <c r="M1815" s="9">
        <v>1.2980000000000001E-4</v>
      </c>
      <c r="N1815" s="9">
        <v>1.4255E-4</v>
      </c>
      <c r="O1815" s="9">
        <v>1.3638999999999999E-4</v>
      </c>
      <c r="P1815" s="9">
        <v>1.5746999999999999E-4</v>
      </c>
      <c r="Q1815" s="9">
        <v>1.7893E-4</v>
      </c>
      <c r="R1815" s="10">
        <v>3.6416970889646211E-5</v>
      </c>
      <c r="S1815" s="10">
        <v>2.8293076404871208E-5</v>
      </c>
      <c r="T1815" s="10">
        <v>6.0927450493243444E-4</v>
      </c>
      <c r="U1815" s="10">
        <v>1.5177999999999999E-4</v>
      </c>
      <c r="V1815" s="25"/>
      <c r="W1815" s="25"/>
      <c r="X1815" s="25"/>
      <c r="Y1815" s="25"/>
      <c r="Z1815" s="25"/>
      <c r="AA1815" s="25"/>
    </row>
    <row r="1816" spans="1:27" x14ac:dyDescent="0.35">
      <c r="A1816" s="5">
        <v>1812</v>
      </c>
      <c r="B1816" s="5">
        <v>76</v>
      </c>
      <c r="C1816" s="5">
        <v>3</v>
      </c>
      <c r="D1816" s="25">
        <v>1.1415000000000001E-4</v>
      </c>
      <c r="E1816" s="25">
        <v>1.0694E-4</v>
      </c>
      <c r="F1816" s="25">
        <v>1.1955000000000001E-4</v>
      </c>
      <c r="G1816" s="25">
        <v>1.6641E-4</v>
      </c>
      <c r="H1816" s="25">
        <v>1.1738E-4</v>
      </c>
      <c r="I1816" s="9">
        <v>1.3768E-4</v>
      </c>
      <c r="J1816" s="9">
        <v>1.2751E-4</v>
      </c>
      <c r="K1816" s="9">
        <v>5.2979999999999998E-5</v>
      </c>
      <c r="L1816" s="9">
        <v>1.3195000000000001E-4</v>
      </c>
      <c r="M1816" s="9">
        <v>1.4527E-4</v>
      </c>
      <c r="N1816" s="9">
        <v>1.5647999999999999E-4</v>
      </c>
      <c r="O1816" s="9">
        <v>1.3782000000000001E-4</v>
      </c>
      <c r="P1816" s="9">
        <v>1.5552E-4</v>
      </c>
      <c r="Q1816" s="9">
        <v>1.7367000000000001E-4</v>
      </c>
      <c r="R1816" s="10">
        <v>2.2347626628305585E-5</v>
      </c>
      <c r="S1816" s="10">
        <v>2.8314437985415982E-5</v>
      </c>
      <c r="T1816" s="10">
        <v>6.8213766775145838E-4</v>
      </c>
      <c r="U1816" s="10">
        <v>1.5177999999999999E-4</v>
      </c>
      <c r="V1816" s="25"/>
      <c r="W1816" s="25"/>
      <c r="X1816" s="25"/>
      <c r="Y1816" s="25"/>
      <c r="Z1816" s="25"/>
      <c r="AA1816" s="25"/>
    </row>
    <row r="1817" spans="1:27" x14ac:dyDescent="0.35">
      <c r="A1817" s="5">
        <v>1813</v>
      </c>
      <c r="B1817" s="5">
        <v>76</v>
      </c>
      <c r="C1817" s="5">
        <v>3</v>
      </c>
      <c r="D1817" s="25">
        <v>1.1416E-4</v>
      </c>
      <c r="E1817" s="25">
        <v>1.0353000000000001E-4</v>
      </c>
      <c r="F1817" s="25">
        <v>1.2630000000000001E-4</v>
      </c>
      <c r="G1817" s="25">
        <v>1.5669999999999999E-4</v>
      </c>
      <c r="H1817" s="25">
        <v>1.2224999999999999E-4</v>
      </c>
      <c r="I1817" s="9">
        <v>1.3613000000000001E-4</v>
      </c>
      <c r="J1817" s="9">
        <v>1.2587000000000001E-4</v>
      </c>
      <c r="K1817" s="9">
        <v>5.2979999999999998E-5</v>
      </c>
      <c r="L1817" s="9">
        <v>1.3635000000000001E-4</v>
      </c>
      <c r="M1817" s="9">
        <v>1.5228E-4</v>
      </c>
      <c r="N1817" s="9">
        <v>1.6584E-4</v>
      </c>
      <c r="O1817" s="9">
        <v>1.2985000000000001E-4</v>
      </c>
      <c r="P1817" s="9">
        <v>1.4839000000000001E-4</v>
      </c>
      <c r="Q1817" s="9">
        <v>1.673E-4</v>
      </c>
      <c r="R1817" s="10">
        <v>1.0124491519891916E-5</v>
      </c>
      <c r="S1817" s="10">
        <v>2.8572369949575433E-5</v>
      </c>
      <c r="T1817" s="10">
        <v>7.2409252803791316E-4</v>
      </c>
      <c r="U1817" s="10">
        <v>1.5177999999999999E-4</v>
      </c>
      <c r="V1817" s="25"/>
      <c r="W1817" s="25"/>
      <c r="X1817" s="25"/>
      <c r="Y1817" s="25"/>
      <c r="Z1817" s="25"/>
      <c r="AA1817" s="25"/>
    </row>
    <row r="1818" spans="1:27" x14ac:dyDescent="0.35">
      <c r="A1818" s="5">
        <v>1814</v>
      </c>
      <c r="B1818" s="5">
        <v>76</v>
      </c>
      <c r="C1818" s="5">
        <v>3</v>
      </c>
      <c r="D1818" s="25">
        <v>1.1415000000000001E-4</v>
      </c>
      <c r="E1818" s="25">
        <v>1.0787E-4</v>
      </c>
      <c r="F1818" s="25">
        <v>1.1648E-4</v>
      </c>
      <c r="G1818" s="25">
        <v>1.6519000000000001E-4</v>
      </c>
      <c r="H1818" s="25">
        <v>1.1924E-4</v>
      </c>
      <c r="I1818" s="9">
        <v>1.3391999999999999E-4</v>
      </c>
      <c r="J1818" s="9">
        <v>1.2616E-4</v>
      </c>
      <c r="K1818" s="9">
        <v>5.0859999999999998E-5</v>
      </c>
      <c r="L1818" s="9">
        <v>1.3134E-4</v>
      </c>
      <c r="M1818" s="9">
        <v>1.5221000000000001E-4</v>
      </c>
      <c r="N1818" s="9">
        <v>1.7013999999999999E-4</v>
      </c>
      <c r="O1818" s="9">
        <v>1.1257E-4</v>
      </c>
      <c r="P1818" s="9">
        <v>1.3669999999999999E-4</v>
      </c>
      <c r="Q1818" s="9">
        <v>1.6097999999999999E-4</v>
      </c>
      <c r="R1818" s="10">
        <v>1.2026563263143246E-5</v>
      </c>
      <c r="S1818" s="10">
        <v>2.1503938062728919E-5</v>
      </c>
      <c r="T1818" s="10">
        <v>6.6079117058649977E-4</v>
      </c>
      <c r="U1818" s="10">
        <v>1.5177999999999999E-4</v>
      </c>
      <c r="V1818" s="25"/>
      <c r="W1818" s="25"/>
      <c r="X1818" s="25"/>
      <c r="Y1818" s="25"/>
      <c r="Z1818" s="25"/>
      <c r="AA1818" s="25"/>
    </row>
    <row r="1819" spans="1:27" x14ac:dyDescent="0.35">
      <c r="A1819" s="5">
        <v>1815</v>
      </c>
      <c r="B1819" s="5">
        <v>76</v>
      </c>
      <c r="C1819" s="5">
        <v>3</v>
      </c>
      <c r="D1819" s="25">
        <v>1.1416E-4</v>
      </c>
      <c r="E1819" s="25">
        <v>1.1006E-4</v>
      </c>
      <c r="F1819" s="25">
        <v>1.1951999999999999E-4</v>
      </c>
      <c r="G1819" s="25">
        <v>1.6255999999999999E-4</v>
      </c>
      <c r="H1819" s="25">
        <v>1.2265999999999999E-4</v>
      </c>
      <c r="I1819" s="9">
        <v>1.3422999999999999E-4</v>
      </c>
      <c r="J1819" s="9">
        <v>1.2553999999999999E-4</v>
      </c>
      <c r="K1819" s="9">
        <v>6.1459999999999998E-5</v>
      </c>
      <c r="L1819" s="9">
        <v>1.169E-4</v>
      </c>
      <c r="M1819" s="9">
        <v>1.4635000000000001E-4</v>
      </c>
      <c r="N1819" s="9">
        <v>1.6977999999999999E-4</v>
      </c>
      <c r="O1819" s="9">
        <v>1.2694E-4</v>
      </c>
      <c r="P1819" s="9">
        <v>1.3944000000000001E-4</v>
      </c>
      <c r="Q1819" s="9">
        <v>1.5238E-4</v>
      </c>
      <c r="R1819" s="10">
        <v>1.1334912325879245E-5</v>
      </c>
      <c r="S1819" s="10">
        <v>2.1436508263392826E-5</v>
      </c>
      <c r="T1819" s="10">
        <v>5.5549253135188099E-4</v>
      </c>
      <c r="U1819" s="10">
        <v>1.5177999999999999E-4</v>
      </c>
      <c r="V1819" s="25"/>
      <c r="W1819" s="25"/>
      <c r="X1819" s="25"/>
      <c r="Y1819" s="25"/>
      <c r="Z1819" s="25"/>
      <c r="AA1819" s="25"/>
    </row>
    <row r="1820" spans="1:27" x14ac:dyDescent="0.35">
      <c r="A1820" s="5">
        <v>1816</v>
      </c>
      <c r="B1820" s="5">
        <v>76</v>
      </c>
      <c r="C1820" s="5">
        <v>3</v>
      </c>
      <c r="D1820" s="25">
        <v>1.1415000000000001E-4</v>
      </c>
      <c r="E1820" s="25">
        <v>1.0355E-4</v>
      </c>
      <c r="F1820" s="25">
        <v>1.3177999999999999E-4</v>
      </c>
      <c r="G1820" s="25">
        <v>1.6475999999999999E-4</v>
      </c>
      <c r="H1820" s="25">
        <v>1.1815E-4</v>
      </c>
      <c r="I1820" s="9">
        <v>1.3336000000000001E-4</v>
      </c>
      <c r="J1820" s="9">
        <v>1.2577000000000001E-4</v>
      </c>
      <c r="K1820" s="9">
        <v>7.2059999999999998E-5</v>
      </c>
      <c r="L1820" s="9">
        <v>1.2515000000000001E-4</v>
      </c>
      <c r="M1820" s="9">
        <v>1.4222E-4</v>
      </c>
      <c r="N1820" s="9">
        <v>1.6593000000000001E-4</v>
      </c>
      <c r="O1820" s="9">
        <v>1.3379E-4</v>
      </c>
      <c r="P1820" s="9">
        <v>1.2126E-4</v>
      </c>
      <c r="Q1820" s="9">
        <v>1.0961E-4</v>
      </c>
      <c r="R1820" s="10">
        <v>1.2667532842995452E-5</v>
      </c>
      <c r="S1820" s="10">
        <v>1.9125649299106866E-5</v>
      </c>
      <c r="T1820" s="10">
        <v>4.096559098222813E-4</v>
      </c>
      <c r="U1820" s="10">
        <v>1.5177999999999999E-4</v>
      </c>
      <c r="V1820" s="25"/>
      <c r="W1820" s="25"/>
      <c r="X1820" s="25"/>
      <c r="Y1820" s="25"/>
      <c r="Z1820" s="25"/>
      <c r="AA1820" s="25"/>
    </row>
    <row r="1821" spans="1:27" x14ac:dyDescent="0.35">
      <c r="A1821" s="5">
        <v>1817</v>
      </c>
      <c r="B1821" s="5">
        <v>76</v>
      </c>
      <c r="C1821" s="5">
        <v>3</v>
      </c>
      <c r="D1821" s="25">
        <v>1.1416E-4</v>
      </c>
      <c r="E1821" s="25">
        <v>1.0785000000000001E-4</v>
      </c>
      <c r="F1821" s="25">
        <v>1.1612000000000001E-4</v>
      </c>
      <c r="G1821" s="25">
        <v>1.6374E-4</v>
      </c>
      <c r="H1821" s="25">
        <v>1.1959999999999999E-4</v>
      </c>
      <c r="I1821" s="9">
        <v>1.3218E-4</v>
      </c>
      <c r="J1821" s="9">
        <v>1.2632E-4</v>
      </c>
      <c r="K1821" s="9">
        <v>7.4179999999999998E-5</v>
      </c>
      <c r="L1821" s="9">
        <v>1.3161999999999999E-4</v>
      </c>
      <c r="M1821" s="9">
        <v>1.3375E-4</v>
      </c>
      <c r="N1821" s="9">
        <v>1.5224999999999999E-4</v>
      </c>
      <c r="O1821" s="9">
        <v>1.4103999999999999E-4</v>
      </c>
      <c r="P1821" s="9">
        <v>1.2395E-4</v>
      </c>
      <c r="Q1821" s="9">
        <v>1.0787E-4</v>
      </c>
      <c r="R1821" s="10">
        <v>2.0229497971307123E-5</v>
      </c>
      <c r="S1821" s="10">
        <v>1.700374076166478E-5</v>
      </c>
      <c r="T1821" s="10">
        <v>2.1549271919426977E-4</v>
      </c>
      <c r="U1821" s="10">
        <v>1.5177999999999999E-4</v>
      </c>
      <c r="V1821" s="25"/>
      <c r="W1821" s="25"/>
      <c r="X1821" s="25"/>
      <c r="Y1821" s="25"/>
      <c r="Z1821" s="25"/>
      <c r="AA1821" s="25"/>
    </row>
    <row r="1822" spans="1:27" x14ac:dyDescent="0.35">
      <c r="A1822" s="5">
        <v>1818</v>
      </c>
      <c r="B1822" s="5">
        <v>76</v>
      </c>
      <c r="C1822" s="5">
        <v>3</v>
      </c>
      <c r="D1822" s="25">
        <v>1.1415000000000001E-4</v>
      </c>
      <c r="E1822" s="25">
        <v>1.0768999999999999E-4</v>
      </c>
      <c r="F1822" s="25">
        <v>1.2108999999999999E-4</v>
      </c>
      <c r="G1822" s="25">
        <v>1.6670000000000001E-4</v>
      </c>
      <c r="H1822" s="25">
        <v>1.1979E-4</v>
      </c>
      <c r="I1822" s="9">
        <v>1.326E-4</v>
      </c>
      <c r="J1822" s="9">
        <v>1.2956E-4</v>
      </c>
      <c r="K1822" s="9">
        <v>7.8419999999999998E-5</v>
      </c>
      <c r="L1822" s="9">
        <v>1.3867999999999999E-4</v>
      </c>
      <c r="M1822" s="9">
        <v>1.2807000000000001E-4</v>
      </c>
      <c r="N1822" s="9">
        <v>1.3914E-4</v>
      </c>
      <c r="O1822" s="9">
        <v>1.4197E-4</v>
      </c>
      <c r="P1822" s="9">
        <v>1.2988999999999999E-4</v>
      </c>
      <c r="Q1822" s="9">
        <v>1.1875E-4</v>
      </c>
      <c r="R1822" s="10">
        <v>3.7441915935761552E-5</v>
      </c>
      <c r="S1822" s="10">
        <v>1.8957277453119702E-5</v>
      </c>
      <c r="T1822" s="10">
        <v>2.1991303915569404E-5</v>
      </c>
      <c r="U1822" s="10">
        <v>1.5177999999999999E-4</v>
      </c>
      <c r="V1822" s="25"/>
      <c r="W1822" s="25"/>
      <c r="X1822" s="25"/>
      <c r="Y1822" s="25"/>
      <c r="Z1822" s="25"/>
      <c r="AA1822" s="25"/>
    </row>
    <row r="1823" spans="1:27" x14ac:dyDescent="0.35">
      <c r="A1823" s="5">
        <v>1819</v>
      </c>
      <c r="B1823" s="5">
        <v>76</v>
      </c>
      <c r="C1823" s="5">
        <v>3</v>
      </c>
      <c r="D1823" s="25">
        <v>1.1416E-4</v>
      </c>
      <c r="E1823" s="25">
        <v>1.0977E-4</v>
      </c>
      <c r="F1823" s="25">
        <v>1.2271E-4</v>
      </c>
      <c r="G1823" s="25">
        <v>1.1367E-4</v>
      </c>
      <c r="H1823" s="25">
        <v>7.7410000000000006E-5</v>
      </c>
      <c r="I1823" s="9">
        <v>1.3457000000000001E-4</v>
      </c>
      <c r="J1823" s="9">
        <v>1.2790999999999999E-4</v>
      </c>
      <c r="K1823" s="9">
        <v>8.0530000000000003E-5</v>
      </c>
      <c r="L1823" s="9">
        <v>1.4112E-4</v>
      </c>
      <c r="M1823" s="9">
        <v>1.2744000000000001E-4</v>
      </c>
      <c r="N1823" s="9">
        <v>1.3034E-4</v>
      </c>
      <c r="O1823" s="9">
        <v>1.4174000000000001E-4</v>
      </c>
      <c r="P1823" s="9">
        <v>1.2402999999999999E-4</v>
      </c>
      <c r="Q1823" s="9">
        <v>1.0736E-4</v>
      </c>
      <c r="R1823" s="10">
        <v>6.8101152633760249E-5</v>
      </c>
      <c r="S1823" s="10">
        <v>2.9596732951751751E-5</v>
      </c>
      <c r="T1823" s="10">
        <v>0</v>
      </c>
      <c r="U1823" s="10">
        <v>1.5177999999999999E-4</v>
      </c>
      <c r="V1823" s="25"/>
      <c r="W1823" s="25"/>
      <c r="X1823" s="25"/>
      <c r="Y1823" s="25"/>
      <c r="Z1823" s="25"/>
      <c r="AA1823" s="25"/>
    </row>
    <row r="1824" spans="1:27" x14ac:dyDescent="0.35">
      <c r="A1824" s="5">
        <v>1820</v>
      </c>
      <c r="B1824" s="5">
        <v>76</v>
      </c>
      <c r="C1824" s="5">
        <v>3</v>
      </c>
      <c r="D1824" s="25">
        <v>1.1415000000000001E-4</v>
      </c>
      <c r="E1824" s="25">
        <v>1.0713E-4</v>
      </c>
      <c r="F1824" s="25">
        <v>1.12E-4</v>
      </c>
      <c r="G1824" s="25">
        <v>1.0547E-4</v>
      </c>
      <c r="H1824" s="25">
        <v>8.4029999999999993E-5</v>
      </c>
      <c r="I1824" s="9">
        <v>1.3957999999999999E-4</v>
      </c>
      <c r="J1824" s="9">
        <v>1.338E-4</v>
      </c>
      <c r="K1824" s="9">
        <v>9.7499999999999998E-5</v>
      </c>
      <c r="L1824" s="9">
        <v>1.4158000000000001E-4</v>
      </c>
      <c r="M1824" s="9">
        <v>1.2632E-4</v>
      </c>
      <c r="N1824" s="9">
        <v>1.2129E-4</v>
      </c>
      <c r="O1824" s="9">
        <v>1.4448E-4</v>
      </c>
      <c r="P1824" s="9">
        <v>1.2287999999999999E-4</v>
      </c>
      <c r="Q1824" s="9">
        <v>1.0238000000000001E-4</v>
      </c>
      <c r="R1824" s="10">
        <v>9.764281463044635E-5</v>
      </c>
      <c r="S1824" s="10">
        <v>4.214346538846343E-5</v>
      </c>
      <c r="T1824" s="10">
        <v>0</v>
      </c>
      <c r="U1824" s="10">
        <v>1.5177999999999999E-4</v>
      </c>
      <c r="V1824" s="25"/>
      <c r="W1824" s="25"/>
      <c r="X1824" s="25"/>
      <c r="Y1824" s="25"/>
      <c r="Z1824" s="25"/>
      <c r="AA1824" s="25"/>
    </row>
    <row r="1825" spans="1:27" x14ac:dyDescent="0.35">
      <c r="A1825" s="5">
        <v>1821</v>
      </c>
      <c r="B1825" s="5">
        <v>76</v>
      </c>
      <c r="C1825" s="5">
        <v>3</v>
      </c>
      <c r="D1825" s="25">
        <v>1.1416E-4</v>
      </c>
      <c r="E1825" s="25">
        <v>1.1046E-4</v>
      </c>
      <c r="F1825" s="25">
        <v>1.2533999999999999E-4</v>
      </c>
      <c r="G1825" s="25">
        <v>5.7259999999999997E-5</v>
      </c>
      <c r="H1825" s="25">
        <v>4.4499999999999997E-5</v>
      </c>
      <c r="I1825" s="9">
        <v>1.3448999999999999E-4</v>
      </c>
      <c r="J1825" s="9">
        <v>1.2773999999999999E-4</v>
      </c>
      <c r="K1825" s="9">
        <v>1.0597E-4</v>
      </c>
      <c r="L1825" s="9">
        <v>1.4388000000000001E-4</v>
      </c>
      <c r="M1825" s="9">
        <v>1.2479E-4</v>
      </c>
      <c r="N1825" s="9">
        <v>1.1369E-4</v>
      </c>
      <c r="O1825" s="9">
        <v>8.3869999999999995E-5</v>
      </c>
      <c r="P1825" s="9">
        <v>8.5560000000000001E-5</v>
      </c>
      <c r="Q1825" s="9">
        <v>8.7540000000000006E-5</v>
      </c>
      <c r="R1825" s="10">
        <v>1.0943142090754843E-4</v>
      </c>
      <c r="S1825" s="10">
        <v>4.6228230877595632E-5</v>
      </c>
      <c r="T1825" s="10">
        <v>0</v>
      </c>
      <c r="U1825" s="10">
        <v>1.5177999999999999E-4</v>
      </c>
      <c r="V1825" s="25"/>
      <c r="W1825" s="25"/>
      <c r="X1825" s="25"/>
      <c r="Y1825" s="25"/>
      <c r="Z1825" s="25"/>
      <c r="AA1825" s="25"/>
    </row>
    <row r="1826" spans="1:27" x14ac:dyDescent="0.35">
      <c r="A1826" s="5">
        <v>1822</v>
      </c>
      <c r="B1826" s="5">
        <v>76</v>
      </c>
      <c r="C1826" s="5">
        <v>3</v>
      </c>
      <c r="D1826" s="25">
        <v>1.1415000000000001E-4</v>
      </c>
      <c r="E1826" s="25">
        <v>1.1217000000000001E-4</v>
      </c>
      <c r="F1826" s="25">
        <v>1.2249E-4</v>
      </c>
      <c r="G1826" s="25">
        <v>6.232E-5</v>
      </c>
      <c r="H1826" s="25">
        <v>4.5580000000000001E-5</v>
      </c>
      <c r="I1826" s="9">
        <v>1.2744000000000001E-4</v>
      </c>
      <c r="J1826" s="9">
        <v>1.1977999999999999E-4</v>
      </c>
      <c r="K1826" s="9">
        <v>1.1445E-4</v>
      </c>
      <c r="L1826" s="9">
        <v>9.7020000000000003E-5</v>
      </c>
      <c r="M1826" s="9">
        <v>1.1024E-4</v>
      </c>
      <c r="N1826" s="9">
        <v>1.0586000000000001E-4</v>
      </c>
      <c r="O1826" s="9">
        <v>8.8189999999999994E-5</v>
      </c>
      <c r="P1826" s="9">
        <v>8.852E-5</v>
      </c>
      <c r="Q1826" s="9">
        <v>8.9170000000000002E-5</v>
      </c>
      <c r="R1826" s="10">
        <v>9.8909827610876326E-5</v>
      </c>
      <c r="S1826" s="10">
        <v>3.9396590078045745E-5</v>
      </c>
      <c r="T1826" s="10">
        <v>0</v>
      </c>
      <c r="U1826" s="10">
        <v>1.5177999999999999E-4</v>
      </c>
      <c r="V1826" s="25"/>
      <c r="W1826" s="25"/>
      <c r="X1826" s="25"/>
      <c r="Y1826" s="25"/>
      <c r="Z1826" s="25"/>
      <c r="AA1826" s="25"/>
    </row>
    <row r="1827" spans="1:27" x14ac:dyDescent="0.35">
      <c r="A1827" s="5">
        <v>1823</v>
      </c>
      <c r="B1827" s="5">
        <v>76</v>
      </c>
      <c r="C1827" s="5">
        <v>3</v>
      </c>
      <c r="D1827" s="25">
        <v>1.1416E-4</v>
      </c>
      <c r="E1827" s="25">
        <v>1.0524E-4</v>
      </c>
      <c r="F1827" s="25">
        <v>1.109E-4</v>
      </c>
      <c r="G1827" s="25">
        <v>5.2269999999999999E-5</v>
      </c>
      <c r="H1827" s="25">
        <v>4.0210000000000003E-5</v>
      </c>
      <c r="I1827" s="9">
        <v>1.2737999999999999E-4</v>
      </c>
      <c r="J1827" s="9">
        <v>1.0985E-4</v>
      </c>
      <c r="K1827" s="9">
        <v>1.2504000000000001E-4</v>
      </c>
      <c r="L1827" s="9">
        <v>9.1429999999999997E-5</v>
      </c>
      <c r="M1827" s="9">
        <v>9.8510000000000004E-5</v>
      </c>
      <c r="N1827" s="9">
        <v>1.0017E-4</v>
      </c>
      <c r="O1827" s="9">
        <v>8.4159999999999994E-5</v>
      </c>
      <c r="P1827" s="9">
        <v>7.5129999999999994E-5</v>
      </c>
      <c r="Q1827" s="9">
        <v>6.6550000000000005E-5</v>
      </c>
      <c r="R1827" s="10">
        <v>7.2192100023893373E-5</v>
      </c>
      <c r="S1827" s="10">
        <v>2.6649991758420307E-5</v>
      </c>
      <c r="T1827" s="10">
        <v>0</v>
      </c>
      <c r="U1827" s="10">
        <v>1.5177999999999999E-4</v>
      </c>
      <c r="V1827" s="25"/>
      <c r="W1827" s="25"/>
      <c r="X1827" s="25"/>
      <c r="Y1827" s="25"/>
      <c r="Z1827" s="25"/>
      <c r="AA1827" s="25"/>
    </row>
    <row r="1828" spans="1:27" x14ac:dyDescent="0.35">
      <c r="A1828" s="5">
        <v>1824</v>
      </c>
      <c r="B1828" s="5">
        <v>76</v>
      </c>
      <c r="C1828" s="5">
        <v>3</v>
      </c>
      <c r="D1828" s="25">
        <v>1.1415000000000001E-4</v>
      </c>
      <c r="E1828" s="25">
        <v>1.0707E-4</v>
      </c>
      <c r="F1828" s="25">
        <v>1.1557000000000001E-4</v>
      </c>
      <c r="G1828" s="25">
        <v>5.2769999999999998E-5</v>
      </c>
      <c r="H1828" s="25">
        <v>4.4289999999999998E-5</v>
      </c>
      <c r="I1828" s="9">
        <v>1.2615E-4</v>
      </c>
      <c r="J1828" s="9">
        <v>1.0184E-4</v>
      </c>
      <c r="K1828" s="9">
        <v>1.3352000000000001E-4</v>
      </c>
      <c r="L1828" s="9">
        <v>8.5959999999999997E-5</v>
      </c>
      <c r="M1828" s="9">
        <v>8.7360000000000004E-5</v>
      </c>
      <c r="N1828" s="9">
        <v>9.0719999999999999E-5</v>
      </c>
      <c r="O1828" s="9">
        <v>7.9049999999999997E-5</v>
      </c>
      <c r="P1828" s="9">
        <v>6.8720000000000006E-5</v>
      </c>
      <c r="Q1828" s="9">
        <v>5.8820000000000003E-5</v>
      </c>
      <c r="R1828" s="10">
        <v>4.8017070065634736E-5</v>
      </c>
      <c r="S1828" s="10">
        <v>1.631383207389818E-5</v>
      </c>
      <c r="T1828" s="10">
        <v>0</v>
      </c>
      <c r="U1828" s="10">
        <v>1.5177999999999999E-4</v>
      </c>
      <c r="V1828" s="25"/>
      <c r="W1828" s="25"/>
      <c r="X1828" s="25"/>
      <c r="Y1828" s="25"/>
      <c r="Z1828" s="25"/>
      <c r="AA1828" s="25"/>
    </row>
    <row r="1829" spans="1:27" x14ac:dyDescent="0.35">
      <c r="A1829" s="5">
        <v>1825</v>
      </c>
      <c r="B1829" s="5">
        <v>77</v>
      </c>
      <c r="C1829" s="5">
        <v>3</v>
      </c>
      <c r="D1829" s="25">
        <v>1.1416E-4</v>
      </c>
      <c r="E1829" s="25">
        <v>1.1509E-4</v>
      </c>
      <c r="F1829" s="25">
        <v>1.0980999999999999E-4</v>
      </c>
      <c r="G1829" s="25">
        <v>6.0520000000000003E-5</v>
      </c>
      <c r="H1829" s="25">
        <v>1.349E-5</v>
      </c>
      <c r="I1829" s="9">
        <v>1.1966E-4</v>
      </c>
      <c r="J1829" s="9">
        <v>9.4580000000000006E-5</v>
      </c>
      <c r="K1829" s="9">
        <v>1.314E-4</v>
      </c>
      <c r="L1829" s="9">
        <v>8.0370000000000005E-5</v>
      </c>
      <c r="M1829" s="9">
        <v>7.8120000000000004E-5</v>
      </c>
      <c r="N1829" s="9">
        <v>8.1230000000000007E-5</v>
      </c>
      <c r="O1829" s="9">
        <v>6.7810000000000003E-5</v>
      </c>
      <c r="P1829" s="9">
        <v>6.0380000000000001E-5</v>
      </c>
      <c r="Q1829" s="9">
        <v>5.325E-5</v>
      </c>
      <c r="R1829" s="10">
        <v>1.9051586817646197E-5</v>
      </c>
      <c r="S1829" s="10">
        <v>1.1953770970111639E-5</v>
      </c>
      <c r="T1829" s="10">
        <v>0</v>
      </c>
      <c r="U1829" s="10">
        <v>1.5508000000000001E-4</v>
      </c>
      <c r="V1829" s="25"/>
      <c r="W1829" s="25"/>
      <c r="X1829" s="25"/>
      <c r="Y1829" s="25"/>
      <c r="Z1829" s="25"/>
      <c r="AA1829" s="25"/>
    </row>
    <row r="1830" spans="1:27" x14ac:dyDescent="0.35">
      <c r="A1830" s="5">
        <v>1826</v>
      </c>
      <c r="B1830" s="5">
        <v>77</v>
      </c>
      <c r="C1830" s="5">
        <v>3</v>
      </c>
      <c r="D1830" s="25">
        <v>1.1415000000000001E-4</v>
      </c>
      <c r="E1830" s="25">
        <v>1.1421000000000001E-4</v>
      </c>
      <c r="F1830" s="25">
        <v>1.1668E-4</v>
      </c>
      <c r="G1830" s="25">
        <v>5.2110000000000001E-5</v>
      </c>
      <c r="H1830" s="25">
        <v>1.379E-5</v>
      </c>
      <c r="I1830" s="9">
        <v>1.1278E-4</v>
      </c>
      <c r="J1830" s="9">
        <v>9.0299999999999999E-5</v>
      </c>
      <c r="K1830" s="9">
        <v>1.3564E-4</v>
      </c>
      <c r="L1830" s="9">
        <v>7.0720000000000001E-5</v>
      </c>
      <c r="M1830" s="9">
        <v>6.9560000000000005E-5</v>
      </c>
      <c r="N1830" s="9">
        <v>7.2039999999999995E-5</v>
      </c>
      <c r="O1830" s="9">
        <v>3.5630000000000003E-5</v>
      </c>
      <c r="P1830" s="9">
        <v>4.6310000000000002E-5</v>
      </c>
      <c r="Q1830" s="9">
        <v>5.6749999999999997E-5</v>
      </c>
      <c r="R1830" s="10">
        <v>5.7754294309302243E-6</v>
      </c>
      <c r="S1830" s="10">
        <v>1.2323730838385129E-5</v>
      </c>
      <c r="T1830" s="10">
        <v>0</v>
      </c>
      <c r="U1830" s="10">
        <v>1.5508000000000001E-4</v>
      </c>
      <c r="V1830" s="25"/>
      <c r="W1830" s="25"/>
      <c r="X1830" s="25"/>
      <c r="Y1830" s="25"/>
      <c r="Z1830" s="25"/>
      <c r="AA1830" s="25"/>
    </row>
    <row r="1831" spans="1:27" x14ac:dyDescent="0.35">
      <c r="A1831" s="5">
        <v>1827</v>
      </c>
      <c r="B1831" s="5">
        <v>77</v>
      </c>
      <c r="C1831" s="5">
        <v>3</v>
      </c>
      <c r="D1831" s="25">
        <v>1.1416E-4</v>
      </c>
      <c r="E1831" s="25">
        <v>1.1436E-4</v>
      </c>
      <c r="F1831" s="25">
        <v>1.1294999999999999E-4</v>
      </c>
      <c r="G1831" s="25">
        <v>5.4030000000000003E-5</v>
      </c>
      <c r="H1831" s="25">
        <v>1.429E-5</v>
      </c>
      <c r="I1831" s="9">
        <v>1.069E-4</v>
      </c>
      <c r="J1831" s="9">
        <v>8.8570000000000001E-5</v>
      </c>
      <c r="K1831" s="9">
        <v>1.3774999999999999E-4</v>
      </c>
      <c r="L1831" s="9">
        <v>4.3600000000000003E-5</v>
      </c>
      <c r="M1831" s="9">
        <v>5.9169999999999998E-5</v>
      </c>
      <c r="N1831" s="9">
        <v>6.5590000000000001E-5</v>
      </c>
      <c r="O1831" s="9">
        <v>2.192E-5</v>
      </c>
      <c r="P1831" s="9">
        <v>4.1680000000000001E-5</v>
      </c>
      <c r="Q1831" s="9">
        <v>6.0970000000000001E-5</v>
      </c>
      <c r="R1831" s="10">
        <v>4.2490499208097442E-6</v>
      </c>
      <c r="S1831" s="10">
        <v>2.0292132730286988E-5</v>
      </c>
      <c r="T1831" s="10">
        <v>0</v>
      </c>
      <c r="U1831" s="10">
        <v>1.5508000000000001E-4</v>
      </c>
      <c r="V1831" s="25"/>
      <c r="W1831" s="25"/>
      <c r="X1831" s="25"/>
      <c r="Y1831" s="25"/>
      <c r="Z1831" s="25"/>
      <c r="AA1831" s="25"/>
    </row>
    <row r="1832" spans="1:27" x14ac:dyDescent="0.35">
      <c r="A1832" s="5">
        <v>1828</v>
      </c>
      <c r="B1832" s="5">
        <v>77</v>
      </c>
      <c r="C1832" s="5">
        <v>3</v>
      </c>
      <c r="D1832" s="25">
        <v>1.1415000000000001E-4</v>
      </c>
      <c r="E1832" s="25">
        <v>1.1251000000000001E-4</v>
      </c>
      <c r="F1832" s="25">
        <v>1.1716E-4</v>
      </c>
      <c r="G1832" s="25">
        <v>5.8909999999999997E-5</v>
      </c>
      <c r="H1832" s="25">
        <v>1.456E-5</v>
      </c>
      <c r="I1832" s="9">
        <v>1.0609E-4</v>
      </c>
      <c r="J1832" s="9">
        <v>8.8410000000000002E-5</v>
      </c>
      <c r="K1832" s="9">
        <v>1.3988E-4</v>
      </c>
      <c r="L1832" s="9">
        <v>2.741E-5</v>
      </c>
      <c r="M1832" s="9">
        <v>5.0399999999999999E-5</v>
      </c>
      <c r="N1832" s="9">
        <v>6.1849999999999999E-5</v>
      </c>
      <c r="O1832" s="9">
        <v>2.1520000000000001E-5</v>
      </c>
      <c r="P1832" s="9">
        <v>5.1109999999999997E-5</v>
      </c>
      <c r="Q1832" s="9">
        <v>8.0060000000000003E-5</v>
      </c>
      <c r="R1832" s="10">
        <v>1.3636276197382669E-5</v>
      </c>
      <c r="S1832" s="10">
        <v>3.5416916601590372E-5</v>
      </c>
      <c r="T1832" s="10">
        <v>0</v>
      </c>
      <c r="U1832" s="10">
        <v>1.5508000000000001E-4</v>
      </c>
      <c r="V1832" s="25"/>
      <c r="W1832" s="25"/>
      <c r="X1832" s="25"/>
      <c r="Y1832" s="25"/>
      <c r="Z1832" s="25"/>
      <c r="AA1832" s="25"/>
    </row>
    <row r="1833" spans="1:27" x14ac:dyDescent="0.35">
      <c r="A1833" s="5">
        <v>1829</v>
      </c>
      <c r="B1833" s="5">
        <v>77</v>
      </c>
      <c r="C1833" s="5">
        <v>3</v>
      </c>
      <c r="D1833" s="25">
        <v>1.1416E-4</v>
      </c>
      <c r="E1833" s="25">
        <v>1.1103E-4</v>
      </c>
      <c r="F1833" s="25">
        <v>1.216E-4</v>
      </c>
      <c r="G1833" s="25">
        <v>6.1890000000000005E-5</v>
      </c>
      <c r="H1833" s="25">
        <v>1.418E-5</v>
      </c>
      <c r="I1833" s="9">
        <v>1.0700999999999999E-4</v>
      </c>
      <c r="J1833" s="9">
        <v>8.8789999999999995E-5</v>
      </c>
      <c r="K1833" s="9">
        <v>1.5683E-4</v>
      </c>
      <c r="L1833" s="9">
        <v>2.321E-5</v>
      </c>
      <c r="M1833" s="9">
        <v>4.8600000000000002E-5</v>
      </c>
      <c r="N1833" s="9">
        <v>6.4319999999999994E-5</v>
      </c>
      <c r="O1833" s="9">
        <v>2.3669999999999999E-5</v>
      </c>
      <c r="P1833" s="9">
        <v>5.9360000000000001E-5</v>
      </c>
      <c r="Q1833" s="9">
        <v>9.4339999999999995E-5</v>
      </c>
      <c r="R1833" s="10">
        <v>2.932483939423278E-5</v>
      </c>
      <c r="S1833" s="10">
        <v>4.9786032727936247E-5</v>
      </c>
      <c r="T1833" s="10">
        <v>0</v>
      </c>
      <c r="U1833" s="10">
        <v>1.5508000000000001E-4</v>
      </c>
      <c r="V1833" s="25"/>
      <c r="W1833" s="25"/>
      <c r="X1833" s="25"/>
      <c r="Y1833" s="25"/>
      <c r="Z1833" s="25"/>
      <c r="AA1833" s="25"/>
    </row>
    <row r="1834" spans="1:27" x14ac:dyDescent="0.35">
      <c r="A1834" s="5">
        <v>1830</v>
      </c>
      <c r="B1834" s="5">
        <v>77</v>
      </c>
      <c r="C1834" s="5">
        <v>3</v>
      </c>
      <c r="D1834" s="25">
        <v>1.1415000000000001E-4</v>
      </c>
      <c r="E1834" s="25">
        <v>1.1278E-4</v>
      </c>
      <c r="F1834" s="25">
        <v>1.2719000000000001E-4</v>
      </c>
      <c r="G1834" s="25">
        <v>1.1238E-4</v>
      </c>
      <c r="H1834" s="25">
        <v>2.6590000000000001E-5</v>
      </c>
      <c r="I1834" s="9">
        <v>1.1346E-4</v>
      </c>
      <c r="J1834" s="9">
        <v>9.2440000000000003E-5</v>
      </c>
      <c r="K1834" s="9">
        <v>1.6531E-4</v>
      </c>
      <c r="L1834" s="9">
        <v>2.3499999999999999E-5</v>
      </c>
      <c r="M1834" s="9">
        <v>5.236E-5</v>
      </c>
      <c r="N1834" s="9">
        <v>7.1039999999999997E-5</v>
      </c>
      <c r="O1834" s="9">
        <v>2.955E-5</v>
      </c>
      <c r="P1834" s="9">
        <v>6.8209999999999999E-5</v>
      </c>
      <c r="Q1834" s="9">
        <v>1.0616E-4</v>
      </c>
      <c r="R1834" s="10">
        <v>4.9088729676259717E-5</v>
      </c>
      <c r="S1834" s="10">
        <v>5.728246801825225E-5</v>
      </c>
      <c r="T1834" s="10">
        <v>0</v>
      </c>
      <c r="U1834" s="10">
        <v>1.5508000000000001E-4</v>
      </c>
      <c r="V1834" s="25"/>
      <c r="W1834" s="25"/>
      <c r="X1834" s="25"/>
      <c r="Y1834" s="25"/>
      <c r="Z1834" s="25"/>
      <c r="AA1834" s="25"/>
    </row>
    <row r="1835" spans="1:27" x14ac:dyDescent="0.35">
      <c r="A1835" s="5">
        <v>1831</v>
      </c>
      <c r="B1835" s="5">
        <v>77</v>
      </c>
      <c r="C1835" s="5">
        <v>3</v>
      </c>
      <c r="D1835" s="25">
        <v>1.1416E-4</v>
      </c>
      <c r="E1835" s="25">
        <v>1.1543E-4</v>
      </c>
      <c r="F1835" s="25">
        <v>1.0967E-4</v>
      </c>
      <c r="G1835" s="25">
        <v>1.1521E-4</v>
      </c>
      <c r="H1835" s="25">
        <v>2.9269999999999999E-5</v>
      </c>
      <c r="I1835" s="9">
        <v>1.2652E-4</v>
      </c>
      <c r="J1835" s="9">
        <v>1.0359E-4</v>
      </c>
      <c r="K1835" s="9">
        <v>1.6107E-4</v>
      </c>
      <c r="L1835" s="9">
        <v>2.8119999999999998E-5</v>
      </c>
      <c r="M1835" s="9">
        <v>5.9179999999999999E-5</v>
      </c>
      <c r="N1835" s="9">
        <v>8.0569999999999996E-5</v>
      </c>
      <c r="O1835" s="9">
        <v>4.6369999999999998E-5</v>
      </c>
      <c r="P1835" s="9">
        <v>7.9789999999999993E-5</v>
      </c>
      <c r="Q1835" s="9">
        <v>1.1271E-4</v>
      </c>
      <c r="R1835" s="10">
        <v>6.8405703255014993E-5</v>
      </c>
      <c r="S1835" s="10">
        <v>5.292559097623654E-5</v>
      </c>
      <c r="T1835" s="10">
        <v>4.878472126331947E-6</v>
      </c>
      <c r="U1835" s="10">
        <v>1.5508000000000001E-4</v>
      </c>
      <c r="V1835" s="25"/>
      <c r="W1835" s="25"/>
      <c r="X1835" s="25"/>
      <c r="Y1835" s="25"/>
      <c r="Z1835" s="25"/>
      <c r="AA1835" s="25"/>
    </row>
    <row r="1836" spans="1:27" x14ac:dyDescent="0.35">
      <c r="A1836" s="5">
        <v>1832</v>
      </c>
      <c r="B1836" s="5">
        <v>77</v>
      </c>
      <c r="C1836" s="5">
        <v>3</v>
      </c>
      <c r="D1836" s="25">
        <v>1.1415000000000001E-4</v>
      </c>
      <c r="E1836" s="25">
        <v>1.1136E-4</v>
      </c>
      <c r="F1836" s="25">
        <v>1.1951E-4</v>
      </c>
      <c r="G1836" s="25">
        <v>1.6139E-4</v>
      </c>
      <c r="H1836" s="25">
        <v>4.2280000000000002E-5</v>
      </c>
      <c r="I1836" s="9">
        <v>1.3203999999999999E-4</v>
      </c>
      <c r="J1836" s="9">
        <v>1.1968000000000001E-4</v>
      </c>
      <c r="K1836" s="9">
        <v>1.6742999999999999E-4</v>
      </c>
      <c r="L1836" s="9">
        <v>4.2209999999999997E-5</v>
      </c>
      <c r="M1836" s="9">
        <v>6.8319999999999996E-5</v>
      </c>
      <c r="N1836" s="9">
        <v>9.0729999999999994E-5</v>
      </c>
      <c r="O1836" s="9">
        <v>6.7840000000000001E-5</v>
      </c>
      <c r="P1836" s="9">
        <v>1.0200999999999999E-4</v>
      </c>
      <c r="Q1836" s="9">
        <v>1.3583000000000001E-4</v>
      </c>
      <c r="R1836" s="10">
        <v>7.2311693009142347E-5</v>
      </c>
      <c r="S1836" s="10">
        <v>4.6415806458868952E-5</v>
      </c>
      <c r="T1836" s="10">
        <v>1.5523722520955762E-4</v>
      </c>
      <c r="U1836" s="10">
        <v>1.5508000000000001E-4</v>
      </c>
      <c r="V1836" s="25"/>
      <c r="W1836" s="25"/>
      <c r="X1836" s="25"/>
      <c r="Y1836" s="25"/>
      <c r="Z1836" s="25"/>
      <c r="AA1836" s="25"/>
    </row>
    <row r="1837" spans="1:27" x14ac:dyDescent="0.35">
      <c r="A1837" s="5">
        <v>1833</v>
      </c>
      <c r="B1837" s="5">
        <v>77</v>
      </c>
      <c r="C1837" s="5">
        <v>3</v>
      </c>
      <c r="D1837" s="25">
        <v>1.1416E-4</v>
      </c>
      <c r="E1837" s="25">
        <v>1.1391E-4</v>
      </c>
      <c r="F1837" s="25">
        <v>1.138E-4</v>
      </c>
      <c r="G1837" s="25">
        <v>1.6557E-4</v>
      </c>
      <c r="H1837" s="25">
        <v>4.1130000000000001E-5</v>
      </c>
      <c r="I1837" s="9">
        <v>1.3384000000000001E-4</v>
      </c>
      <c r="J1837" s="9">
        <v>1.2768E-4</v>
      </c>
      <c r="K1837" s="9">
        <v>1.5683E-4</v>
      </c>
      <c r="L1837" s="9">
        <v>6.1820000000000001E-5</v>
      </c>
      <c r="M1837" s="9">
        <v>8.2709999999999999E-5</v>
      </c>
      <c r="N1837" s="9">
        <v>1.0432E-4</v>
      </c>
      <c r="O1837" s="9">
        <v>1.0021E-4</v>
      </c>
      <c r="P1837" s="9">
        <v>1.3898E-4</v>
      </c>
      <c r="Q1837" s="9">
        <v>1.7757E-4</v>
      </c>
      <c r="R1837" s="10">
        <v>6.7911629916616719E-5</v>
      </c>
      <c r="S1837" s="10">
        <v>5.2871754551516893E-5</v>
      </c>
      <c r="T1837" s="10">
        <v>3.148947703805395E-4</v>
      </c>
      <c r="U1837" s="10">
        <v>1.5508000000000001E-4</v>
      </c>
      <c r="V1837" s="25"/>
      <c r="W1837" s="25"/>
      <c r="X1837" s="25"/>
      <c r="Y1837" s="25"/>
      <c r="Z1837" s="25"/>
      <c r="AA1837" s="25"/>
    </row>
    <row r="1838" spans="1:27" x14ac:dyDescent="0.35">
      <c r="A1838" s="5">
        <v>1834</v>
      </c>
      <c r="B1838" s="5">
        <v>77</v>
      </c>
      <c r="C1838" s="5">
        <v>3</v>
      </c>
      <c r="D1838" s="25">
        <v>1.1415000000000001E-4</v>
      </c>
      <c r="E1838" s="25">
        <v>1.0621E-4</v>
      </c>
      <c r="F1838" s="25">
        <v>1.2499000000000001E-4</v>
      </c>
      <c r="G1838" s="25">
        <v>1.5652E-4</v>
      </c>
      <c r="H1838" s="25">
        <v>4.0859999999999998E-5</v>
      </c>
      <c r="I1838" s="9">
        <v>1.3392999999999999E-4</v>
      </c>
      <c r="J1838" s="9">
        <v>1.2788E-4</v>
      </c>
      <c r="K1838" s="9">
        <v>1.3564E-4</v>
      </c>
      <c r="L1838" s="9">
        <v>9.1249999999999995E-5</v>
      </c>
      <c r="M1838" s="9">
        <v>1.066E-4</v>
      </c>
      <c r="N1838" s="9">
        <v>1.2451000000000001E-4</v>
      </c>
      <c r="O1838" s="9">
        <v>1.2847999999999999E-4</v>
      </c>
      <c r="P1838" s="9">
        <v>1.5512999999999999E-4</v>
      </c>
      <c r="Q1838" s="9">
        <v>1.8202E-4</v>
      </c>
      <c r="R1838" s="10">
        <v>5.5485631149154263E-5</v>
      </c>
      <c r="S1838" s="10">
        <v>6.959396172679958E-5</v>
      </c>
      <c r="T1838" s="10">
        <v>4.3466762430650142E-4</v>
      </c>
      <c r="U1838" s="10">
        <v>1.5508000000000001E-4</v>
      </c>
      <c r="V1838" s="25"/>
      <c r="W1838" s="25"/>
      <c r="X1838" s="25"/>
      <c r="Y1838" s="25"/>
      <c r="Z1838" s="25"/>
      <c r="AA1838" s="25"/>
    </row>
    <row r="1839" spans="1:27" x14ac:dyDescent="0.35">
      <c r="A1839" s="5">
        <v>1835</v>
      </c>
      <c r="B1839" s="5">
        <v>77</v>
      </c>
      <c r="C1839" s="5">
        <v>3</v>
      </c>
      <c r="D1839" s="25">
        <v>1.1416E-4</v>
      </c>
      <c r="E1839" s="25">
        <v>1.0833E-4</v>
      </c>
      <c r="F1839" s="25">
        <v>1.2369E-4</v>
      </c>
      <c r="G1839" s="25">
        <v>1.6030999999999999E-4</v>
      </c>
      <c r="H1839" s="25">
        <v>4.1940000000000002E-5</v>
      </c>
      <c r="I1839" s="9">
        <v>1.3339999999999999E-4</v>
      </c>
      <c r="J1839" s="9">
        <v>1.2561000000000001E-4</v>
      </c>
      <c r="K1839" s="9">
        <v>1.2928000000000001E-4</v>
      </c>
      <c r="L1839" s="9">
        <v>1.1956E-4</v>
      </c>
      <c r="M1839" s="9">
        <v>1.3011000000000001E-4</v>
      </c>
      <c r="N1839" s="9">
        <v>1.4259E-4</v>
      </c>
      <c r="O1839" s="9">
        <v>1.3736E-4</v>
      </c>
      <c r="P1839" s="9">
        <v>1.5859000000000001E-4</v>
      </c>
      <c r="Q1839" s="9">
        <v>1.8021000000000001E-4</v>
      </c>
      <c r="R1839" s="10">
        <v>3.4410456269083216E-5</v>
      </c>
      <c r="S1839" s="10">
        <v>8.9279864369928508E-5</v>
      </c>
      <c r="T1839" s="10">
        <v>4.1589186984463604E-4</v>
      </c>
      <c r="U1839" s="10">
        <v>1.5508000000000001E-4</v>
      </c>
      <c r="V1839" s="25"/>
      <c r="W1839" s="25"/>
      <c r="X1839" s="25"/>
      <c r="Y1839" s="25"/>
      <c r="Z1839" s="25"/>
      <c r="AA1839" s="25"/>
    </row>
    <row r="1840" spans="1:27" x14ac:dyDescent="0.35">
      <c r="A1840" s="5">
        <v>1836</v>
      </c>
      <c r="B1840" s="5">
        <v>77</v>
      </c>
      <c r="C1840" s="5">
        <v>3</v>
      </c>
      <c r="D1840" s="25">
        <v>1.1415000000000001E-4</v>
      </c>
      <c r="E1840" s="25">
        <v>1.0859E-4</v>
      </c>
      <c r="F1840" s="25">
        <v>1.2861E-4</v>
      </c>
      <c r="G1840" s="25">
        <v>1.5878999999999999E-4</v>
      </c>
      <c r="H1840" s="25">
        <v>3.9969999999999998E-5</v>
      </c>
      <c r="I1840" s="9">
        <v>1.3316000000000001E-4</v>
      </c>
      <c r="J1840" s="9">
        <v>1.2448E-4</v>
      </c>
      <c r="K1840" s="9">
        <v>1.102E-4</v>
      </c>
      <c r="L1840" s="9">
        <v>1.3278000000000001E-4</v>
      </c>
      <c r="M1840" s="9">
        <v>1.4593000000000001E-4</v>
      </c>
      <c r="N1840" s="9">
        <v>1.5687000000000001E-4</v>
      </c>
      <c r="O1840" s="9">
        <v>1.3693000000000001E-4</v>
      </c>
      <c r="P1840" s="9">
        <v>1.5453E-4</v>
      </c>
      <c r="Q1840" s="9">
        <v>1.7255999999999999E-4</v>
      </c>
      <c r="R1840" s="10">
        <v>3.1034643010460877E-5</v>
      </c>
      <c r="S1840" s="10">
        <v>7.0987411205685675E-5</v>
      </c>
      <c r="T1840" s="10">
        <v>4.1714754614845712E-4</v>
      </c>
      <c r="U1840" s="10">
        <v>1.5508000000000001E-4</v>
      </c>
      <c r="V1840" s="25"/>
      <c r="W1840" s="25"/>
      <c r="X1840" s="25"/>
      <c r="Y1840" s="25"/>
      <c r="Z1840" s="25"/>
      <c r="AA1840" s="25"/>
    </row>
    <row r="1841" spans="1:27" x14ac:dyDescent="0.35">
      <c r="A1841" s="5">
        <v>1837</v>
      </c>
      <c r="B1841" s="5">
        <v>77</v>
      </c>
      <c r="C1841" s="5">
        <v>3</v>
      </c>
      <c r="D1841" s="25">
        <v>1.1416E-4</v>
      </c>
      <c r="E1841" s="25">
        <v>1.0671999999999999E-4</v>
      </c>
      <c r="F1841" s="25">
        <v>1.126E-4</v>
      </c>
      <c r="G1841" s="25">
        <v>1.5982E-4</v>
      </c>
      <c r="H1841" s="25">
        <v>4.0139999999999999E-5</v>
      </c>
      <c r="I1841" s="9">
        <v>1.2905999999999999E-4</v>
      </c>
      <c r="J1841" s="9">
        <v>1.2193000000000001E-4</v>
      </c>
      <c r="K1841" s="9">
        <v>8.6890000000000003E-5</v>
      </c>
      <c r="L1841" s="9">
        <v>1.3584E-4</v>
      </c>
      <c r="M1841" s="9">
        <v>1.5242000000000001E-4</v>
      </c>
      <c r="N1841" s="9">
        <v>1.6599E-4</v>
      </c>
      <c r="O1841" s="9">
        <v>1.2976E-4</v>
      </c>
      <c r="P1841" s="9">
        <v>1.4829E-4</v>
      </c>
      <c r="Q1841" s="9">
        <v>1.6718000000000001E-4</v>
      </c>
      <c r="R1841" s="10">
        <v>3.7308789074945483E-5</v>
      </c>
      <c r="S1841" s="10">
        <v>5.8338170477966151E-5</v>
      </c>
      <c r="T1841" s="10">
        <v>4.806864639816744E-4</v>
      </c>
      <c r="U1841" s="10">
        <v>1.5508000000000001E-4</v>
      </c>
      <c r="V1841" s="25"/>
      <c r="W1841" s="25"/>
      <c r="X1841" s="25"/>
      <c r="Y1841" s="25"/>
      <c r="Z1841" s="25"/>
      <c r="AA1841" s="25"/>
    </row>
    <row r="1842" spans="1:27" x14ac:dyDescent="0.35">
      <c r="A1842" s="5">
        <v>1838</v>
      </c>
      <c r="B1842" s="5">
        <v>77</v>
      </c>
      <c r="C1842" s="5">
        <v>3</v>
      </c>
      <c r="D1842" s="25">
        <v>1.1415000000000001E-4</v>
      </c>
      <c r="E1842" s="25">
        <v>1.1442000000000001E-4</v>
      </c>
      <c r="F1842" s="25">
        <v>1.0852E-4</v>
      </c>
      <c r="G1842" s="25">
        <v>1.6673999999999999E-4</v>
      </c>
      <c r="H1842" s="25">
        <v>4.0509999999999997E-5</v>
      </c>
      <c r="I1842" s="9">
        <v>1.2894E-4</v>
      </c>
      <c r="J1842" s="9">
        <v>1.217E-4</v>
      </c>
      <c r="K1842" s="9">
        <v>8.9019999999999998E-5</v>
      </c>
      <c r="L1842" s="9">
        <v>1.3119E-4</v>
      </c>
      <c r="M1842" s="9">
        <v>1.5211000000000001E-4</v>
      </c>
      <c r="N1842" s="9">
        <v>1.7028E-4</v>
      </c>
      <c r="O1842" s="9">
        <v>1.1272E-4</v>
      </c>
      <c r="P1842" s="9">
        <v>1.3689E-4</v>
      </c>
      <c r="Q1842" s="9">
        <v>1.6119999999999999E-4</v>
      </c>
      <c r="R1842" s="10">
        <v>4.1967624714082026E-5</v>
      </c>
      <c r="S1842" s="10">
        <v>5.2505181720876485E-5</v>
      </c>
      <c r="T1842" s="10">
        <v>3.0723344806736079E-4</v>
      </c>
      <c r="U1842" s="10">
        <v>1.5508000000000001E-4</v>
      </c>
      <c r="V1842" s="25"/>
      <c r="W1842" s="25"/>
      <c r="X1842" s="25"/>
      <c r="Y1842" s="25"/>
      <c r="Z1842" s="25"/>
      <c r="AA1842" s="25"/>
    </row>
    <row r="1843" spans="1:27" x14ac:dyDescent="0.35">
      <c r="A1843" s="5">
        <v>1839</v>
      </c>
      <c r="B1843" s="5">
        <v>77</v>
      </c>
      <c r="C1843" s="5">
        <v>3</v>
      </c>
      <c r="D1843" s="25">
        <v>1.1416E-4</v>
      </c>
      <c r="E1843" s="25">
        <v>1.1260999999999999E-4</v>
      </c>
      <c r="F1843" s="25">
        <v>1.0734999999999999E-4</v>
      </c>
      <c r="G1843" s="25">
        <v>1.6438999999999999E-4</v>
      </c>
      <c r="H1843" s="25">
        <v>4.1430000000000001E-5</v>
      </c>
      <c r="I1843" s="9">
        <v>1.2794999999999999E-4</v>
      </c>
      <c r="J1843" s="9">
        <v>1.2218999999999999E-4</v>
      </c>
      <c r="K1843" s="9">
        <v>8.2659999999999998E-5</v>
      </c>
      <c r="L1843" s="9">
        <v>1.1697999999999999E-4</v>
      </c>
      <c r="M1843" s="9">
        <v>1.4630000000000001E-4</v>
      </c>
      <c r="N1843" s="9">
        <v>1.6988999999999999E-4</v>
      </c>
      <c r="O1843" s="9">
        <v>1.2666000000000001E-4</v>
      </c>
      <c r="P1843" s="9">
        <v>1.3913E-4</v>
      </c>
      <c r="Q1843" s="9">
        <v>1.5203999999999999E-4</v>
      </c>
      <c r="R1843" s="10">
        <v>5.8124157666119758E-5</v>
      </c>
      <c r="S1843" s="10">
        <v>5.8836500513233409E-5</v>
      </c>
      <c r="T1843" s="10">
        <v>1.6883755706783608E-4</v>
      </c>
      <c r="U1843" s="10">
        <v>1.5508000000000001E-4</v>
      </c>
      <c r="V1843" s="25"/>
      <c r="W1843" s="25"/>
      <c r="X1843" s="25"/>
      <c r="Y1843" s="25"/>
      <c r="Z1843" s="25"/>
      <c r="AA1843" s="25"/>
    </row>
    <row r="1844" spans="1:27" x14ac:dyDescent="0.35">
      <c r="A1844" s="5">
        <v>1840</v>
      </c>
      <c r="B1844" s="5">
        <v>77</v>
      </c>
      <c r="C1844" s="5">
        <v>3</v>
      </c>
      <c r="D1844" s="25">
        <v>1.1415000000000001E-4</v>
      </c>
      <c r="E1844" s="25">
        <v>1.1279E-4</v>
      </c>
      <c r="F1844" s="25">
        <v>1.2943000000000001E-4</v>
      </c>
      <c r="G1844" s="25">
        <v>1.5856999999999999E-4</v>
      </c>
      <c r="H1844" s="25">
        <v>4.1820000000000003E-5</v>
      </c>
      <c r="I1844" s="9">
        <v>1.2672000000000001E-4</v>
      </c>
      <c r="J1844" s="9">
        <v>1.2147E-4</v>
      </c>
      <c r="K1844" s="9">
        <v>8.4770000000000003E-5</v>
      </c>
      <c r="L1844" s="9">
        <v>1.2493000000000001E-4</v>
      </c>
      <c r="M1844" s="9">
        <v>1.4210000000000001E-4</v>
      </c>
      <c r="N1844" s="9">
        <v>1.6590999999999999E-4</v>
      </c>
      <c r="O1844" s="9">
        <v>1.34E-4</v>
      </c>
      <c r="P1844" s="9">
        <v>1.2145E-4</v>
      </c>
      <c r="Q1844" s="9">
        <v>1.0978E-4</v>
      </c>
      <c r="R1844" s="10">
        <v>8.8295399119393508E-5</v>
      </c>
      <c r="S1844" s="10">
        <v>7.8544035461835425E-5</v>
      </c>
      <c r="T1844" s="10">
        <v>1.1375748568671086E-4</v>
      </c>
      <c r="U1844" s="10">
        <v>1.5508000000000001E-4</v>
      </c>
      <c r="V1844" s="25"/>
      <c r="W1844" s="25"/>
      <c r="X1844" s="25"/>
      <c r="Y1844" s="25"/>
      <c r="Z1844" s="25"/>
      <c r="AA1844" s="25"/>
    </row>
    <row r="1845" spans="1:27" x14ac:dyDescent="0.35">
      <c r="A1845" s="5">
        <v>1841</v>
      </c>
      <c r="B1845" s="5">
        <v>77</v>
      </c>
      <c r="C1845" s="5">
        <v>3</v>
      </c>
      <c r="D1845" s="25">
        <v>1.1416E-4</v>
      </c>
      <c r="E1845" s="25">
        <v>1.0867E-4</v>
      </c>
      <c r="F1845" s="25">
        <v>1.1739999999999999E-4</v>
      </c>
      <c r="G1845" s="25">
        <v>1.6087999999999999E-4</v>
      </c>
      <c r="H1845" s="25">
        <v>3.9910000000000002E-5</v>
      </c>
      <c r="I1845" s="9">
        <v>1.2495E-4</v>
      </c>
      <c r="J1845" s="9">
        <v>1.2187E-4</v>
      </c>
      <c r="K1845" s="9">
        <v>8.9010000000000003E-5</v>
      </c>
      <c r="L1845" s="9">
        <v>1.3175E-4</v>
      </c>
      <c r="M1845" s="9">
        <v>1.3373000000000001E-4</v>
      </c>
      <c r="N1845" s="9">
        <v>1.5221000000000001E-4</v>
      </c>
      <c r="O1845" s="9">
        <v>1.3873999999999999E-4</v>
      </c>
      <c r="P1845" s="9">
        <v>1.2193000000000001E-4</v>
      </c>
      <c r="Q1845" s="9">
        <v>1.0611999999999999E-4</v>
      </c>
      <c r="R1845" s="10">
        <v>1.11996978665831E-4</v>
      </c>
      <c r="S1845" s="10">
        <v>1.0595198250322998E-4</v>
      </c>
      <c r="T1845" s="10">
        <v>6.6126629135010768E-5</v>
      </c>
      <c r="U1845" s="10">
        <v>1.5508000000000001E-4</v>
      </c>
      <c r="V1845" s="25"/>
      <c r="W1845" s="25"/>
      <c r="X1845" s="25"/>
      <c r="Y1845" s="25"/>
      <c r="Z1845" s="25"/>
      <c r="AA1845" s="25"/>
    </row>
    <row r="1846" spans="1:27" x14ac:dyDescent="0.35">
      <c r="A1846" s="5">
        <v>1842</v>
      </c>
      <c r="B1846" s="5">
        <v>77</v>
      </c>
      <c r="C1846" s="5">
        <v>3</v>
      </c>
      <c r="D1846" s="25">
        <v>1.1415000000000001E-4</v>
      </c>
      <c r="E1846" s="25">
        <v>1.142E-4</v>
      </c>
      <c r="F1846" s="25">
        <v>1.2689999999999999E-4</v>
      </c>
      <c r="G1846" s="25">
        <v>1.6469E-4</v>
      </c>
      <c r="H1846" s="25">
        <v>4.2429999999999999E-5</v>
      </c>
      <c r="I1846" s="9">
        <v>1.2653E-4</v>
      </c>
      <c r="J1846" s="9">
        <v>1.2543999999999999E-4</v>
      </c>
      <c r="K1846" s="9">
        <v>8.9010000000000003E-5</v>
      </c>
      <c r="L1846" s="9">
        <v>1.3690999999999999E-4</v>
      </c>
      <c r="M1846" s="9">
        <v>1.2735000000000001E-4</v>
      </c>
      <c r="N1846" s="9">
        <v>1.3872E-4</v>
      </c>
      <c r="O1846" s="9">
        <v>1.4014E-4</v>
      </c>
      <c r="P1846" s="9">
        <v>1.2820999999999999E-4</v>
      </c>
      <c r="Q1846" s="9">
        <v>1.1721E-4</v>
      </c>
      <c r="R1846" s="10">
        <v>1.2429130537955607E-4</v>
      </c>
      <c r="S1846" s="10">
        <v>1.3403370085183266E-4</v>
      </c>
      <c r="T1846" s="10">
        <v>1.2174969567454512E-5</v>
      </c>
      <c r="U1846" s="10">
        <v>1.5508000000000001E-4</v>
      </c>
      <c r="V1846" s="25"/>
      <c r="W1846" s="25"/>
      <c r="X1846" s="25"/>
      <c r="Y1846" s="25"/>
      <c r="Z1846" s="25"/>
      <c r="AA1846" s="25"/>
    </row>
    <row r="1847" spans="1:27" x14ac:dyDescent="0.35">
      <c r="A1847" s="5">
        <v>1843</v>
      </c>
      <c r="B1847" s="5">
        <v>77</v>
      </c>
      <c r="C1847" s="5">
        <v>3</v>
      </c>
      <c r="D1847" s="25">
        <v>1.1416E-4</v>
      </c>
      <c r="E1847" s="25">
        <v>1.156E-4</v>
      </c>
      <c r="F1847" s="25">
        <v>1.2527999999999999E-4</v>
      </c>
      <c r="G1847" s="25">
        <v>1.0408000000000001E-4</v>
      </c>
      <c r="H1847" s="25">
        <v>2.794E-5</v>
      </c>
      <c r="I1847" s="9">
        <v>1.3040999999999999E-4</v>
      </c>
      <c r="J1847" s="9">
        <v>1.2515000000000001E-4</v>
      </c>
      <c r="K1847" s="9">
        <v>9.1139999999999998E-5</v>
      </c>
      <c r="L1847" s="9">
        <v>1.3935E-4</v>
      </c>
      <c r="M1847" s="9">
        <v>1.2619000000000001E-4</v>
      </c>
      <c r="N1847" s="9">
        <v>1.2961E-4</v>
      </c>
      <c r="O1847" s="9">
        <v>1.4092E-4</v>
      </c>
      <c r="P1847" s="9">
        <v>1.2332000000000001E-4</v>
      </c>
      <c r="Q1847" s="9">
        <v>1.0674E-4</v>
      </c>
      <c r="R1847" s="10">
        <v>1.3466393907909425E-4</v>
      </c>
      <c r="S1847" s="10">
        <v>1.5081840900682363E-4</v>
      </c>
      <c r="T1847" s="10">
        <v>0</v>
      </c>
      <c r="U1847" s="10">
        <v>1.5508000000000001E-4</v>
      </c>
      <c r="V1847" s="25"/>
      <c r="W1847" s="25"/>
      <c r="X1847" s="25"/>
      <c r="Y1847" s="25"/>
      <c r="Z1847" s="25"/>
      <c r="AA1847" s="25"/>
    </row>
    <row r="1848" spans="1:27" x14ac:dyDescent="0.35">
      <c r="A1848" s="5">
        <v>1844</v>
      </c>
      <c r="B1848" s="5">
        <v>77</v>
      </c>
      <c r="C1848" s="5">
        <v>3</v>
      </c>
      <c r="D1848" s="25">
        <v>1.1415000000000001E-4</v>
      </c>
      <c r="E1848" s="25">
        <v>1.1236E-4</v>
      </c>
      <c r="F1848" s="25">
        <v>1.1882E-4</v>
      </c>
      <c r="G1848" s="25">
        <v>1.1444E-4</v>
      </c>
      <c r="H1848" s="25">
        <v>2.881E-5</v>
      </c>
      <c r="I1848" s="9">
        <v>1.3702000000000001E-4</v>
      </c>
      <c r="J1848" s="9">
        <v>1.3208E-4</v>
      </c>
      <c r="K1848" s="9">
        <v>9.1139999999999998E-5</v>
      </c>
      <c r="L1848" s="9">
        <v>1.4056E-4</v>
      </c>
      <c r="M1848" s="9">
        <v>1.2512999999999999E-4</v>
      </c>
      <c r="N1848" s="9">
        <v>1.2048E-4</v>
      </c>
      <c r="O1848" s="9">
        <v>1.4265E-4</v>
      </c>
      <c r="P1848" s="9">
        <v>1.2132E-4</v>
      </c>
      <c r="Q1848" s="9">
        <v>1.0108E-4</v>
      </c>
      <c r="R1848" s="10">
        <v>1.411973672250544E-4</v>
      </c>
      <c r="S1848" s="10">
        <v>1.601486357963604E-4</v>
      </c>
      <c r="T1848" s="10">
        <v>0</v>
      </c>
      <c r="U1848" s="10">
        <v>1.5508000000000001E-4</v>
      </c>
      <c r="V1848" s="25"/>
      <c r="W1848" s="25"/>
      <c r="X1848" s="25"/>
      <c r="Y1848" s="25"/>
      <c r="Z1848" s="25"/>
      <c r="AA1848" s="25"/>
    </row>
    <row r="1849" spans="1:27" x14ac:dyDescent="0.35">
      <c r="A1849" s="5">
        <v>1845</v>
      </c>
      <c r="B1849" s="5">
        <v>77</v>
      </c>
      <c r="C1849" s="5">
        <v>3</v>
      </c>
      <c r="D1849" s="25">
        <v>1.1416E-4</v>
      </c>
      <c r="E1849" s="25">
        <v>1.1539E-4</v>
      </c>
      <c r="F1849" s="25">
        <v>1.2464E-4</v>
      </c>
      <c r="G1849" s="25">
        <v>5.6329999999999998E-5</v>
      </c>
      <c r="H1849" s="25">
        <v>1.488E-5</v>
      </c>
      <c r="I1849" s="9">
        <v>1.3302E-4</v>
      </c>
      <c r="J1849" s="9">
        <v>1.2831E-4</v>
      </c>
      <c r="K1849" s="9">
        <v>9.7490000000000003E-5</v>
      </c>
      <c r="L1849" s="9">
        <v>1.4218999999999999E-4</v>
      </c>
      <c r="M1849" s="9">
        <v>1.2352000000000001E-4</v>
      </c>
      <c r="N1849" s="9">
        <v>1.1271E-4</v>
      </c>
      <c r="O1849" s="9">
        <v>8.4939999999999997E-5</v>
      </c>
      <c r="P1849" s="9">
        <v>8.6650000000000006E-5</v>
      </c>
      <c r="Q1849" s="9">
        <v>8.8659999999999995E-5</v>
      </c>
      <c r="R1849" s="10">
        <v>1.4875525823770052E-4</v>
      </c>
      <c r="S1849" s="10">
        <v>1.5627006562596104E-4</v>
      </c>
      <c r="T1849" s="10">
        <v>0</v>
      </c>
      <c r="U1849" s="10">
        <v>1.5508000000000001E-4</v>
      </c>
      <c r="V1849" s="25"/>
      <c r="W1849" s="25"/>
      <c r="X1849" s="25"/>
      <c r="Y1849" s="25"/>
      <c r="Z1849" s="25"/>
      <c r="AA1849" s="25"/>
    </row>
    <row r="1850" spans="1:27" x14ac:dyDescent="0.35">
      <c r="A1850" s="5">
        <v>1846</v>
      </c>
      <c r="B1850" s="5">
        <v>77</v>
      </c>
      <c r="C1850" s="5">
        <v>3</v>
      </c>
      <c r="D1850" s="25">
        <v>1.1415000000000001E-4</v>
      </c>
      <c r="E1850" s="25">
        <v>1.0739999999999999E-4</v>
      </c>
      <c r="F1850" s="25">
        <v>1.1035999999999999E-4</v>
      </c>
      <c r="G1850" s="25">
        <v>5.38E-5</v>
      </c>
      <c r="H1850" s="25">
        <v>1.4070000000000001E-5</v>
      </c>
      <c r="I1850" s="9">
        <v>1.2629000000000001E-4</v>
      </c>
      <c r="J1850" s="9">
        <v>1.1997000000000001E-4</v>
      </c>
      <c r="K1850" s="9">
        <v>1.0173E-4</v>
      </c>
      <c r="L1850" s="9">
        <v>9.7499999999999998E-5</v>
      </c>
      <c r="M1850" s="9">
        <v>1.0979E-4</v>
      </c>
      <c r="N1850" s="9">
        <v>1.0526000000000001E-4</v>
      </c>
      <c r="O1850" s="9">
        <v>8.8049999999999999E-5</v>
      </c>
      <c r="P1850" s="9">
        <v>8.8369999999999996E-5</v>
      </c>
      <c r="Q1850" s="9">
        <v>8.9030000000000006E-5</v>
      </c>
      <c r="R1850" s="10">
        <v>1.3695055391736146E-4</v>
      </c>
      <c r="S1850" s="10">
        <v>1.5212576646850493E-4</v>
      </c>
      <c r="T1850" s="10">
        <v>0</v>
      </c>
      <c r="U1850" s="10">
        <v>1.5508000000000001E-4</v>
      </c>
      <c r="V1850" s="25"/>
      <c r="W1850" s="25"/>
      <c r="X1850" s="25"/>
      <c r="Y1850" s="25"/>
      <c r="Z1850" s="25"/>
      <c r="AA1850" s="25"/>
    </row>
    <row r="1851" spans="1:27" x14ac:dyDescent="0.35">
      <c r="A1851" s="5">
        <v>1847</v>
      </c>
      <c r="B1851" s="5">
        <v>77</v>
      </c>
      <c r="C1851" s="5">
        <v>3</v>
      </c>
      <c r="D1851" s="25">
        <v>1.1416E-4</v>
      </c>
      <c r="E1851" s="25">
        <v>1.0763E-4</v>
      </c>
      <c r="F1851" s="25">
        <v>1.2163E-4</v>
      </c>
      <c r="G1851" s="25">
        <v>6.2160000000000001E-5</v>
      </c>
      <c r="H1851" s="25">
        <v>1.562E-5</v>
      </c>
      <c r="I1851" s="9">
        <v>1.262E-4</v>
      </c>
      <c r="J1851" s="9">
        <v>1.1039000000000001E-4</v>
      </c>
      <c r="K1851" s="9">
        <v>1.0597E-4</v>
      </c>
      <c r="L1851" s="9">
        <v>9.1370000000000001E-5</v>
      </c>
      <c r="M1851" s="9">
        <v>9.8389999999999998E-5</v>
      </c>
      <c r="N1851" s="9">
        <v>9.9729999999999996E-5</v>
      </c>
      <c r="O1851" s="9">
        <v>8.4759999999999995E-5</v>
      </c>
      <c r="P1851" s="9">
        <v>7.5669999999999999E-5</v>
      </c>
      <c r="Q1851" s="9">
        <v>6.703E-5</v>
      </c>
      <c r="R1851" s="10">
        <v>1.1573871202631154E-4</v>
      </c>
      <c r="S1851" s="10">
        <v>1.5764867024182765E-4</v>
      </c>
      <c r="T1851" s="10">
        <v>0</v>
      </c>
      <c r="U1851" s="10">
        <v>1.5508000000000001E-4</v>
      </c>
      <c r="V1851" s="25"/>
      <c r="W1851" s="25"/>
      <c r="X1851" s="25"/>
      <c r="Y1851" s="25"/>
      <c r="Z1851" s="25"/>
      <c r="AA1851" s="25"/>
    </row>
    <row r="1852" spans="1:27" x14ac:dyDescent="0.35">
      <c r="A1852" s="5">
        <v>1848</v>
      </c>
      <c r="B1852" s="5">
        <v>77</v>
      </c>
      <c r="C1852" s="5">
        <v>3</v>
      </c>
      <c r="D1852" s="25">
        <v>1.1415000000000001E-4</v>
      </c>
      <c r="E1852" s="25">
        <v>1.1252E-4</v>
      </c>
      <c r="F1852" s="25">
        <v>1.0743000000000001E-4</v>
      </c>
      <c r="G1852" s="25">
        <v>6.0359999999999998E-5</v>
      </c>
      <c r="H1852" s="25">
        <v>1.5150000000000001E-5</v>
      </c>
      <c r="I1852" s="9">
        <v>1.2478000000000001E-4</v>
      </c>
      <c r="J1852" s="9">
        <v>1.0211E-4</v>
      </c>
      <c r="K1852" s="9">
        <v>1.1233E-4</v>
      </c>
      <c r="L1852" s="9">
        <v>8.6420000000000003E-5</v>
      </c>
      <c r="M1852" s="9">
        <v>8.755E-5</v>
      </c>
      <c r="N1852" s="9">
        <v>9.0580000000000004E-5</v>
      </c>
      <c r="O1852" s="9">
        <v>7.8960000000000003E-5</v>
      </c>
      <c r="P1852" s="9">
        <v>6.8639999999999993E-5</v>
      </c>
      <c r="Q1852" s="9">
        <v>5.876E-5</v>
      </c>
      <c r="R1852" s="10">
        <v>7.5550601594069828E-5</v>
      </c>
      <c r="S1852" s="10">
        <v>1.4263590785551923E-4</v>
      </c>
      <c r="T1852" s="10">
        <v>0</v>
      </c>
      <c r="U1852" s="10">
        <v>1.5508000000000001E-4</v>
      </c>
      <c r="V1852" s="25"/>
      <c r="W1852" s="25"/>
      <c r="X1852" s="25"/>
      <c r="Y1852" s="25"/>
      <c r="Z1852" s="25"/>
      <c r="AA1852" s="25"/>
    </row>
    <row r="1853" spans="1:27" x14ac:dyDescent="0.35">
      <c r="A1853" s="5">
        <v>1849</v>
      </c>
      <c r="B1853" s="5">
        <v>78</v>
      </c>
      <c r="C1853" s="5">
        <v>3</v>
      </c>
      <c r="D1853" s="25">
        <v>1.1416E-4</v>
      </c>
      <c r="E1853" s="25">
        <v>1.0586000000000001E-4</v>
      </c>
      <c r="F1853" s="25">
        <v>1.2099000000000001E-4</v>
      </c>
      <c r="G1853" s="25">
        <v>5.8709999999999999E-5</v>
      </c>
      <c r="H1853" s="25">
        <v>7.2059999999999998E-5</v>
      </c>
      <c r="I1853" s="9">
        <v>1.1849E-4</v>
      </c>
      <c r="J1853" s="9">
        <v>9.4720000000000001E-5</v>
      </c>
      <c r="K1853" s="9">
        <v>1.1445E-4</v>
      </c>
      <c r="L1853" s="9">
        <v>8.0409999999999998E-5</v>
      </c>
      <c r="M1853" s="9">
        <v>7.8280000000000003E-5</v>
      </c>
      <c r="N1853" s="9">
        <v>8.1210000000000003E-5</v>
      </c>
      <c r="O1853" s="9">
        <v>5.4669999999999997E-5</v>
      </c>
      <c r="P1853" s="9">
        <v>5.4089999999999999E-5</v>
      </c>
      <c r="Q1853" s="9">
        <v>5.3659999999999998E-5</v>
      </c>
      <c r="R1853" s="10">
        <v>7.8887299102874527E-5</v>
      </c>
      <c r="S1853" s="10">
        <v>1.4947169871746163E-4</v>
      </c>
      <c r="T1853" s="10">
        <v>0</v>
      </c>
      <c r="U1853" s="10">
        <v>1.5595E-4</v>
      </c>
      <c r="V1853" s="25"/>
      <c r="W1853" s="25"/>
      <c r="X1853" s="25"/>
      <c r="Y1853" s="25"/>
      <c r="Z1853" s="25"/>
      <c r="AA1853" s="25"/>
    </row>
    <row r="1854" spans="1:27" x14ac:dyDescent="0.35">
      <c r="A1854" s="5">
        <v>1850</v>
      </c>
      <c r="B1854" s="5">
        <v>78</v>
      </c>
      <c r="C1854" s="5">
        <v>3</v>
      </c>
      <c r="D1854" s="25">
        <v>1.1415000000000001E-4</v>
      </c>
      <c r="E1854" s="25">
        <v>1.1234E-4</v>
      </c>
      <c r="F1854" s="25">
        <v>1.3718000000000001E-4</v>
      </c>
      <c r="G1854" s="25">
        <v>5.5080000000000001E-5</v>
      </c>
      <c r="H1854" s="25">
        <v>6.4399999999999993E-5</v>
      </c>
      <c r="I1854" s="9">
        <v>1.1203E-4</v>
      </c>
      <c r="J1854" s="9">
        <v>8.9870000000000005E-5</v>
      </c>
      <c r="K1854" s="9">
        <v>1.1869E-4</v>
      </c>
      <c r="L1854" s="9">
        <v>6.0489999999999999E-5</v>
      </c>
      <c r="M1854" s="9">
        <v>6.7379999999999995E-5</v>
      </c>
      <c r="N1854" s="9">
        <v>7.2200000000000007E-5</v>
      </c>
      <c r="O1854" s="9">
        <v>1.8830000000000001E-5</v>
      </c>
      <c r="P1854" s="9">
        <v>3.7599999999999999E-5</v>
      </c>
      <c r="Q1854" s="9">
        <v>5.596E-5</v>
      </c>
      <c r="R1854" s="10">
        <v>7.99600934153999E-5</v>
      </c>
      <c r="S1854" s="10">
        <v>1.5861829336124265E-4</v>
      </c>
      <c r="T1854" s="10">
        <v>0</v>
      </c>
      <c r="U1854" s="10">
        <v>1.5595E-4</v>
      </c>
      <c r="V1854" s="25"/>
      <c r="W1854" s="25"/>
      <c r="X1854" s="25"/>
      <c r="Y1854" s="25"/>
      <c r="Z1854" s="25"/>
      <c r="AA1854" s="25"/>
    </row>
    <row r="1855" spans="1:27" x14ac:dyDescent="0.35">
      <c r="A1855" s="5">
        <v>1851</v>
      </c>
      <c r="B1855" s="5">
        <v>78</v>
      </c>
      <c r="C1855" s="5">
        <v>3</v>
      </c>
      <c r="D1855" s="25">
        <v>1.1416E-4</v>
      </c>
      <c r="E1855" s="25">
        <v>1.1265E-4</v>
      </c>
      <c r="F1855" s="25">
        <v>1.2746E-4</v>
      </c>
      <c r="G1855" s="25">
        <v>6.0139999999999997E-5</v>
      </c>
      <c r="H1855" s="25">
        <v>7.4250000000000002E-5</v>
      </c>
      <c r="I1855" s="9">
        <v>1.0828999999999999E-4</v>
      </c>
      <c r="J1855" s="9">
        <v>8.852E-5</v>
      </c>
      <c r="K1855" s="9">
        <v>1.2504000000000001E-4</v>
      </c>
      <c r="L1855" s="9">
        <v>2.853E-5</v>
      </c>
      <c r="M1855" s="9">
        <v>5.3999999999999998E-5</v>
      </c>
      <c r="N1855" s="9">
        <v>6.5569999999999997E-5</v>
      </c>
      <c r="O1855" s="9">
        <v>1.348E-5</v>
      </c>
      <c r="P1855" s="9">
        <v>3.7910000000000001E-5</v>
      </c>
      <c r="Q1855" s="9">
        <v>6.1790000000000003E-5</v>
      </c>
      <c r="R1855" s="10">
        <v>7.5322730428943968E-5</v>
      </c>
      <c r="S1855" s="10">
        <v>1.6508700246953704E-4</v>
      </c>
      <c r="T1855" s="10">
        <v>0</v>
      </c>
      <c r="U1855" s="10">
        <v>1.5595E-4</v>
      </c>
      <c r="V1855" s="25"/>
      <c r="W1855" s="25"/>
      <c r="X1855" s="25"/>
      <c r="Y1855" s="25"/>
      <c r="Z1855" s="25"/>
      <c r="AA1855" s="25"/>
    </row>
    <row r="1856" spans="1:27" x14ac:dyDescent="0.35">
      <c r="A1856" s="5">
        <v>1852</v>
      </c>
      <c r="B1856" s="5">
        <v>78</v>
      </c>
      <c r="C1856" s="5">
        <v>3</v>
      </c>
      <c r="D1856" s="25">
        <v>1.1415000000000001E-4</v>
      </c>
      <c r="E1856" s="25">
        <v>1.1107000000000001E-4</v>
      </c>
      <c r="F1856" s="25">
        <v>1.2113E-4</v>
      </c>
      <c r="G1856" s="25">
        <v>5.2169999999999997E-5</v>
      </c>
      <c r="H1856" s="25">
        <v>7.3650000000000001E-5</v>
      </c>
      <c r="I1856" s="9">
        <v>1.0658E-4</v>
      </c>
      <c r="J1856" s="9">
        <v>8.8040000000000004E-5</v>
      </c>
      <c r="K1856" s="9">
        <v>1.2716E-4</v>
      </c>
      <c r="L1856" s="9">
        <v>1.7649999999999999E-5</v>
      </c>
      <c r="M1856" s="9">
        <v>4.498E-5</v>
      </c>
      <c r="N1856" s="9">
        <v>6.2000000000000003E-5</v>
      </c>
      <c r="O1856" s="9">
        <v>1.3499999999999999E-5</v>
      </c>
      <c r="P1856" s="9">
        <v>4.7469999999999998E-5</v>
      </c>
      <c r="Q1856" s="9">
        <v>8.0740000000000003E-5</v>
      </c>
      <c r="R1856" s="10">
        <v>7.8461247417174212E-5</v>
      </c>
      <c r="S1856" s="10">
        <v>1.7080512691483859E-4</v>
      </c>
      <c r="T1856" s="10">
        <v>0</v>
      </c>
      <c r="U1856" s="10">
        <v>1.5595E-4</v>
      </c>
      <c r="V1856" s="25"/>
      <c r="W1856" s="25"/>
      <c r="X1856" s="25"/>
      <c r="Y1856" s="25"/>
      <c r="Z1856" s="25"/>
      <c r="AA1856" s="25"/>
    </row>
    <row r="1857" spans="1:27" x14ac:dyDescent="0.35">
      <c r="A1857" s="5">
        <v>1853</v>
      </c>
      <c r="B1857" s="5">
        <v>78</v>
      </c>
      <c r="C1857" s="5">
        <v>3</v>
      </c>
      <c r="D1857" s="25">
        <v>1.1416E-4</v>
      </c>
      <c r="E1857" s="25">
        <v>1.0928E-4</v>
      </c>
      <c r="F1857" s="25">
        <v>1.2850000000000001E-4</v>
      </c>
      <c r="G1857" s="25">
        <v>5.9519999999999999E-5</v>
      </c>
      <c r="H1857" s="25">
        <v>6.4270000000000006E-5</v>
      </c>
      <c r="I1857" s="9">
        <v>1.0663E-4</v>
      </c>
      <c r="J1857" s="9">
        <v>8.8809999999999998E-5</v>
      </c>
      <c r="K1857" s="9">
        <v>1.2928000000000001E-4</v>
      </c>
      <c r="L1857" s="9">
        <v>1.4589999999999999E-5</v>
      </c>
      <c r="M1857" s="9">
        <v>4.3890000000000002E-5</v>
      </c>
      <c r="N1857" s="9">
        <v>6.4590000000000003E-5</v>
      </c>
      <c r="O1857" s="9">
        <v>1.8940000000000002E-5</v>
      </c>
      <c r="P1857" s="9">
        <v>5.6730000000000001E-5</v>
      </c>
      <c r="Q1857" s="9">
        <v>9.3809999999999998E-5</v>
      </c>
      <c r="R1857" s="10">
        <v>8.1232002360035111E-5</v>
      </c>
      <c r="S1857" s="10">
        <v>1.7493486038649731E-4</v>
      </c>
      <c r="T1857" s="10">
        <v>0</v>
      </c>
      <c r="U1857" s="10">
        <v>1.5595E-4</v>
      </c>
      <c r="V1857" s="25"/>
      <c r="W1857" s="25"/>
      <c r="X1857" s="25"/>
      <c r="Y1857" s="25"/>
      <c r="Z1857" s="25"/>
      <c r="AA1857" s="25"/>
    </row>
    <row r="1858" spans="1:27" x14ac:dyDescent="0.35">
      <c r="A1858" s="5">
        <v>1854</v>
      </c>
      <c r="B1858" s="5">
        <v>78</v>
      </c>
      <c r="C1858" s="5">
        <v>3</v>
      </c>
      <c r="D1858" s="25">
        <v>1.1415000000000001E-4</v>
      </c>
      <c r="E1858" s="25">
        <v>1.1199E-4</v>
      </c>
      <c r="F1858" s="25">
        <v>1.2111E-4</v>
      </c>
      <c r="G1858" s="25">
        <v>1.0969E-4</v>
      </c>
      <c r="H1858" s="25">
        <v>1.2845000000000001E-4</v>
      </c>
      <c r="I1858" s="9">
        <v>1.1312E-4</v>
      </c>
      <c r="J1858" s="9">
        <v>9.2709999999999998E-5</v>
      </c>
      <c r="K1858" s="9">
        <v>1.3774999999999999E-4</v>
      </c>
      <c r="L1858" s="9">
        <v>1.785E-5</v>
      </c>
      <c r="M1858" s="9">
        <v>4.8609999999999997E-5</v>
      </c>
      <c r="N1858" s="9">
        <v>7.1149999999999995E-5</v>
      </c>
      <c r="O1858" s="9">
        <v>4.5939999999999997E-5</v>
      </c>
      <c r="P1858" s="9">
        <v>7.627E-5</v>
      </c>
      <c r="Q1858" s="9">
        <v>1.0620000000000001E-4</v>
      </c>
      <c r="R1858" s="10">
        <v>7.4621098689636693E-5</v>
      </c>
      <c r="S1858" s="10">
        <v>1.7969121317574192E-4</v>
      </c>
      <c r="T1858" s="10">
        <v>0</v>
      </c>
      <c r="U1858" s="10">
        <v>1.5595E-4</v>
      </c>
      <c r="V1858" s="25"/>
      <c r="W1858" s="25"/>
      <c r="X1858" s="25"/>
      <c r="Y1858" s="25"/>
      <c r="Z1858" s="25"/>
      <c r="AA1858" s="25"/>
    </row>
    <row r="1859" spans="1:27" x14ac:dyDescent="0.35">
      <c r="A1859" s="5">
        <v>1855</v>
      </c>
      <c r="B1859" s="5">
        <v>78</v>
      </c>
      <c r="C1859" s="5">
        <v>3</v>
      </c>
      <c r="D1859" s="25">
        <v>1.1416E-4</v>
      </c>
      <c r="E1859" s="25">
        <v>1.1468000000000001E-4</v>
      </c>
      <c r="F1859" s="25">
        <v>1.2589E-4</v>
      </c>
      <c r="G1859" s="25">
        <v>1.1378E-4</v>
      </c>
      <c r="H1859" s="25">
        <v>1.3527E-4</v>
      </c>
      <c r="I1859" s="9">
        <v>1.2632E-4</v>
      </c>
      <c r="J1859" s="9">
        <v>1.0312E-4</v>
      </c>
      <c r="K1859" s="9">
        <v>1.4624000000000001E-4</v>
      </c>
      <c r="L1859" s="9">
        <v>3.9619999999999997E-5</v>
      </c>
      <c r="M1859" s="9">
        <v>5.9899999999999999E-5</v>
      </c>
      <c r="N1859" s="9">
        <v>8.0660000000000004E-5</v>
      </c>
      <c r="O1859" s="9">
        <v>1.2276E-4</v>
      </c>
      <c r="P1859" s="9">
        <v>1.1707E-4</v>
      </c>
      <c r="Q1859" s="9">
        <v>1.1215E-4</v>
      </c>
      <c r="R1859" s="10">
        <v>6.7717740250985728E-5</v>
      </c>
      <c r="S1859" s="10">
        <v>1.8131051020195172E-4</v>
      </c>
      <c r="T1859" s="10">
        <v>5.9644624431501896E-6</v>
      </c>
      <c r="U1859" s="10">
        <v>1.5595E-4</v>
      </c>
      <c r="V1859" s="25"/>
      <c r="W1859" s="25"/>
      <c r="X1859" s="25"/>
      <c r="Y1859" s="25"/>
      <c r="Z1859" s="25"/>
      <c r="AA1859" s="25"/>
    </row>
    <row r="1860" spans="1:27" x14ac:dyDescent="0.35">
      <c r="A1860" s="5">
        <v>1856</v>
      </c>
      <c r="B1860" s="5">
        <v>78</v>
      </c>
      <c r="C1860" s="5">
        <v>3</v>
      </c>
      <c r="D1860" s="25">
        <v>1.1415000000000001E-4</v>
      </c>
      <c r="E1860" s="25">
        <v>1.0779E-4</v>
      </c>
      <c r="F1860" s="25">
        <v>1.3800999999999999E-4</v>
      </c>
      <c r="G1860" s="25">
        <v>1.5867E-4</v>
      </c>
      <c r="H1860" s="25">
        <v>2.0070999999999999E-4</v>
      </c>
      <c r="I1860" s="9">
        <v>1.3417999999999999E-4</v>
      </c>
      <c r="J1860" s="9">
        <v>1.1869E-4</v>
      </c>
      <c r="K1860" s="9">
        <v>1.5048000000000001E-4</v>
      </c>
      <c r="L1860" s="9">
        <v>1.0386E-4</v>
      </c>
      <c r="M1860" s="9">
        <v>8.3399999999999994E-5</v>
      </c>
      <c r="N1860" s="9">
        <v>9.0690000000000001E-5</v>
      </c>
      <c r="O1860" s="9">
        <v>2.1869000000000001E-4</v>
      </c>
      <c r="P1860" s="9">
        <v>1.7647999999999999E-4</v>
      </c>
      <c r="Q1860" s="9">
        <v>1.3632999999999999E-4</v>
      </c>
      <c r="R1860" s="10">
        <v>6.6015297944001418E-5</v>
      </c>
      <c r="S1860" s="10">
        <v>1.8617058726608541E-4</v>
      </c>
      <c r="T1860" s="10">
        <v>4.8878048556171042E-5</v>
      </c>
      <c r="U1860" s="10">
        <v>1.5595E-4</v>
      </c>
      <c r="V1860" s="25"/>
      <c r="W1860" s="25"/>
      <c r="X1860" s="25"/>
      <c r="Y1860" s="25"/>
      <c r="Z1860" s="25"/>
      <c r="AA1860" s="25"/>
    </row>
    <row r="1861" spans="1:27" x14ac:dyDescent="0.35">
      <c r="A1861" s="5">
        <v>1857</v>
      </c>
      <c r="B1861" s="5">
        <v>78</v>
      </c>
      <c r="C1861" s="5">
        <v>3</v>
      </c>
      <c r="D1861" s="25">
        <v>1.1416E-4</v>
      </c>
      <c r="E1861" s="25">
        <v>1.1047E-4</v>
      </c>
      <c r="F1861" s="25">
        <v>1.2612999999999999E-4</v>
      </c>
      <c r="G1861" s="25">
        <v>1.561E-4</v>
      </c>
      <c r="H1861" s="25">
        <v>2.0069E-4</v>
      </c>
      <c r="I1861" s="9">
        <v>1.3710999999999999E-4</v>
      </c>
      <c r="J1861" s="9">
        <v>1.3018E-4</v>
      </c>
      <c r="K1861" s="9">
        <v>1.3987E-4</v>
      </c>
      <c r="L1861" s="9">
        <v>1.9167000000000001E-4</v>
      </c>
      <c r="M1861" s="9">
        <v>1.2300000000000001E-4</v>
      </c>
      <c r="N1861" s="9">
        <v>1.0433999999999999E-4</v>
      </c>
      <c r="O1861" s="9">
        <v>2.1011000000000001E-4</v>
      </c>
      <c r="P1861" s="9">
        <v>1.9230000000000001E-4</v>
      </c>
      <c r="Q1861" s="9">
        <v>1.7610999999999999E-4</v>
      </c>
      <c r="R1861" s="10">
        <v>7.0294280543065275E-5</v>
      </c>
      <c r="S1861" s="10">
        <v>1.8706879285269225E-4</v>
      </c>
      <c r="T1861" s="10">
        <v>2.3212194592054912E-4</v>
      </c>
      <c r="U1861" s="10">
        <v>1.5595E-4</v>
      </c>
      <c r="V1861" s="25"/>
      <c r="W1861" s="25"/>
      <c r="X1861" s="25"/>
      <c r="Y1861" s="25"/>
      <c r="Z1861" s="25"/>
      <c r="AA1861" s="25"/>
    </row>
    <row r="1862" spans="1:27" x14ac:dyDescent="0.35">
      <c r="A1862" s="5">
        <v>1858</v>
      </c>
      <c r="B1862" s="5">
        <v>78</v>
      </c>
      <c r="C1862" s="5">
        <v>3</v>
      </c>
      <c r="D1862" s="25">
        <v>1.1415000000000001E-4</v>
      </c>
      <c r="E1862" s="25">
        <v>1.0590999999999999E-4</v>
      </c>
      <c r="F1862" s="25">
        <v>1.3509000000000001E-4</v>
      </c>
      <c r="G1862" s="25">
        <v>1.5930999999999999E-4</v>
      </c>
      <c r="H1862" s="25">
        <v>1.8989000000000001E-4</v>
      </c>
      <c r="I1862" s="9">
        <v>1.4040999999999999E-4</v>
      </c>
      <c r="J1862" s="9">
        <v>1.3584E-4</v>
      </c>
      <c r="K1862" s="9">
        <v>1.2928000000000001E-4</v>
      </c>
      <c r="L1862" s="9">
        <v>2.0374E-4</v>
      </c>
      <c r="M1862" s="9">
        <v>1.5799E-4</v>
      </c>
      <c r="N1862" s="9">
        <v>1.2418999999999999E-4</v>
      </c>
      <c r="O1862" s="9">
        <v>1.6784999999999999E-4</v>
      </c>
      <c r="P1862" s="9">
        <v>1.75E-4</v>
      </c>
      <c r="Q1862" s="9">
        <v>1.8304000000000001E-4</v>
      </c>
      <c r="R1862" s="10">
        <v>6.8566025875575412E-5</v>
      </c>
      <c r="S1862" s="10">
        <v>1.8370025817791386E-4</v>
      </c>
      <c r="T1862" s="10">
        <v>1.0445869359895467E-4</v>
      </c>
      <c r="U1862" s="10">
        <v>1.5595E-4</v>
      </c>
      <c r="V1862" s="25"/>
      <c r="W1862" s="25"/>
      <c r="X1862" s="25"/>
      <c r="Y1862" s="25"/>
      <c r="Z1862" s="25"/>
      <c r="AA1862" s="25"/>
    </row>
    <row r="1863" spans="1:27" x14ac:dyDescent="0.35">
      <c r="A1863" s="5">
        <v>1859</v>
      </c>
      <c r="B1863" s="5">
        <v>78</v>
      </c>
      <c r="C1863" s="5">
        <v>3</v>
      </c>
      <c r="D1863" s="25">
        <v>1.1416E-4</v>
      </c>
      <c r="E1863" s="25">
        <v>1.1343E-4</v>
      </c>
      <c r="F1863" s="25">
        <v>1.3019999999999999E-4</v>
      </c>
      <c r="G1863" s="25">
        <v>1.6159E-4</v>
      </c>
      <c r="H1863" s="25">
        <v>1.9301E-4</v>
      </c>
      <c r="I1863" s="9">
        <v>1.4034E-4</v>
      </c>
      <c r="J1863" s="9">
        <v>1.3689E-4</v>
      </c>
      <c r="K1863" s="9">
        <v>1.0808E-4</v>
      </c>
      <c r="L1863" s="9">
        <v>1.7583E-4</v>
      </c>
      <c r="M1863" s="9">
        <v>1.7221000000000001E-4</v>
      </c>
      <c r="N1863" s="9">
        <v>1.4250999999999999E-4</v>
      </c>
      <c r="O1863" s="9">
        <v>1.6835E-4</v>
      </c>
      <c r="P1863" s="9">
        <v>1.7416E-4</v>
      </c>
      <c r="Q1863" s="9">
        <v>1.8089000000000001E-4</v>
      </c>
      <c r="R1863" s="10">
        <v>3.8950061506631797E-5</v>
      </c>
      <c r="S1863" s="10">
        <v>1.768440359714719E-4</v>
      </c>
      <c r="T1863" s="10">
        <v>1.5729042565229212E-4</v>
      </c>
      <c r="U1863" s="10">
        <v>1.5595E-4</v>
      </c>
      <c r="V1863" s="25"/>
      <c r="W1863" s="25"/>
      <c r="X1863" s="25"/>
      <c r="Y1863" s="25"/>
      <c r="Z1863" s="25"/>
      <c r="AA1863" s="25"/>
    </row>
    <row r="1864" spans="1:27" x14ac:dyDescent="0.35">
      <c r="A1864" s="5">
        <v>1860</v>
      </c>
      <c r="B1864" s="5">
        <v>78</v>
      </c>
      <c r="C1864" s="5">
        <v>3</v>
      </c>
      <c r="D1864" s="25">
        <v>1.1415000000000001E-4</v>
      </c>
      <c r="E1864" s="25">
        <v>1.0826E-4</v>
      </c>
      <c r="F1864" s="25">
        <v>1.3528999999999999E-4</v>
      </c>
      <c r="G1864" s="25">
        <v>1.5830999999999999E-4</v>
      </c>
      <c r="H1864" s="25">
        <v>1.9591000000000001E-4</v>
      </c>
      <c r="I1864" s="9">
        <v>1.4087E-4</v>
      </c>
      <c r="J1864" s="9">
        <v>1.3653E-4</v>
      </c>
      <c r="K1864" s="9">
        <v>1.0385E-4</v>
      </c>
      <c r="L1864" s="9">
        <v>1.7137000000000001E-4</v>
      </c>
      <c r="M1864" s="9">
        <v>1.7537999999999999E-4</v>
      </c>
      <c r="N1864" s="9">
        <v>1.5695999999999999E-4</v>
      </c>
      <c r="O1864" s="9">
        <v>1.6972999999999999E-4</v>
      </c>
      <c r="P1864" s="9">
        <v>1.7139999999999999E-4</v>
      </c>
      <c r="Q1864" s="9">
        <v>1.7406999999999999E-4</v>
      </c>
      <c r="R1864" s="10">
        <v>6.698107600356555E-6</v>
      </c>
      <c r="S1864" s="10">
        <v>1.7785304652247254E-4</v>
      </c>
      <c r="T1864" s="10">
        <v>2.0204510472429389E-4</v>
      </c>
      <c r="U1864" s="10">
        <v>1.5595E-4</v>
      </c>
      <c r="V1864" s="25"/>
      <c r="W1864" s="25"/>
      <c r="X1864" s="25"/>
      <c r="Y1864" s="25"/>
      <c r="Z1864" s="25"/>
      <c r="AA1864" s="25"/>
    </row>
    <row r="1865" spans="1:27" x14ac:dyDescent="0.35">
      <c r="A1865" s="5">
        <v>1861</v>
      </c>
      <c r="B1865" s="5">
        <v>78</v>
      </c>
      <c r="C1865" s="5">
        <v>3</v>
      </c>
      <c r="D1865" s="25">
        <v>1.1416E-4</v>
      </c>
      <c r="E1865" s="25">
        <v>1.075E-4</v>
      </c>
      <c r="F1865" s="25">
        <v>1.284E-4</v>
      </c>
      <c r="G1865" s="25">
        <v>1.5705E-4</v>
      </c>
      <c r="H1865" s="25">
        <v>1.9610999999999999E-4</v>
      </c>
      <c r="I1865" s="9">
        <v>1.3663999999999999E-4</v>
      </c>
      <c r="J1865" s="9">
        <v>1.3411E-4</v>
      </c>
      <c r="K1865" s="9">
        <v>9.3250000000000003E-5</v>
      </c>
      <c r="L1865" s="9">
        <v>1.7024E-4</v>
      </c>
      <c r="M1865" s="9">
        <v>1.7427E-4</v>
      </c>
      <c r="N1865" s="9">
        <v>1.6645000000000001E-4</v>
      </c>
      <c r="O1865" s="9">
        <v>1.6077999999999999E-4</v>
      </c>
      <c r="P1865" s="9">
        <v>1.6323999999999999E-4</v>
      </c>
      <c r="Q1865" s="9">
        <v>1.6662E-4</v>
      </c>
      <c r="R1865" s="10">
        <v>5.6314404967277075E-6</v>
      </c>
      <c r="S1865" s="10">
        <v>1.7446266892060823E-4</v>
      </c>
      <c r="T1865" s="10">
        <v>1.7818725495169315E-4</v>
      </c>
      <c r="U1865" s="10">
        <v>1.5595E-4</v>
      </c>
      <c r="V1865" s="25"/>
      <c r="W1865" s="25"/>
      <c r="X1865" s="25"/>
      <c r="Y1865" s="25"/>
      <c r="Z1865" s="25"/>
      <c r="AA1865" s="25"/>
    </row>
    <row r="1866" spans="1:27" x14ac:dyDescent="0.35">
      <c r="A1866" s="5">
        <v>1862</v>
      </c>
      <c r="B1866" s="5">
        <v>78</v>
      </c>
      <c r="C1866" s="5">
        <v>3</v>
      </c>
      <c r="D1866" s="25">
        <v>1.1415000000000001E-4</v>
      </c>
      <c r="E1866" s="25">
        <v>1.0695E-4</v>
      </c>
      <c r="F1866" s="25">
        <v>1.2585999999999999E-4</v>
      </c>
      <c r="G1866" s="25">
        <v>1.6432E-4</v>
      </c>
      <c r="H1866" s="25">
        <v>2.0185E-4</v>
      </c>
      <c r="I1866" s="9">
        <v>1.3548999999999999E-4</v>
      </c>
      <c r="J1866" s="9">
        <v>1.3396E-4</v>
      </c>
      <c r="K1866" s="9">
        <v>8.2650000000000003E-5</v>
      </c>
      <c r="L1866" s="9">
        <v>1.6264E-4</v>
      </c>
      <c r="M1866" s="9">
        <v>1.6995000000000001E-4</v>
      </c>
      <c r="N1866" s="9">
        <v>1.7060999999999999E-4</v>
      </c>
      <c r="O1866" s="9">
        <v>1.7810999999999999E-4</v>
      </c>
      <c r="P1866" s="9">
        <v>1.6885000000000001E-4</v>
      </c>
      <c r="Q1866" s="9">
        <v>1.6082E-4</v>
      </c>
      <c r="R1866" s="10">
        <v>8.6882155422043619E-6</v>
      </c>
      <c r="S1866" s="10">
        <v>1.6917437354787537E-4</v>
      </c>
      <c r="T1866" s="10">
        <v>4.5195014208274179E-4</v>
      </c>
      <c r="U1866" s="10">
        <v>1.5595E-4</v>
      </c>
      <c r="V1866" s="25"/>
      <c r="W1866" s="25"/>
      <c r="X1866" s="25"/>
      <c r="Y1866" s="25"/>
      <c r="Z1866" s="25"/>
      <c r="AA1866" s="25"/>
    </row>
    <row r="1867" spans="1:27" x14ac:dyDescent="0.35">
      <c r="A1867" s="5">
        <v>1863</v>
      </c>
      <c r="B1867" s="5">
        <v>78</v>
      </c>
      <c r="C1867" s="5">
        <v>3</v>
      </c>
      <c r="D1867" s="25">
        <v>1.1416E-4</v>
      </c>
      <c r="E1867" s="25">
        <v>1.0471000000000001E-4</v>
      </c>
      <c r="F1867" s="25">
        <v>1.2795999999999999E-4</v>
      </c>
      <c r="G1867" s="25">
        <v>1.5775000000000001E-4</v>
      </c>
      <c r="H1867" s="25">
        <v>1.9762E-4</v>
      </c>
      <c r="I1867" s="9">
        <v>1.3328999999999999E-4</v>
      </c>
      <c r="J1867" s="9">
        <v>1.3313999999999999E-4</v>
      </c>
      <c r="K1867" s="9">
        <v>6.9939999999999998E-5</v>
      </c>
      <c r="L1867" s="9">
        <v>1.749E-4</v>
      </c>
      <c r="M1867" s="9">
        <v>1.6831999999999999E-4</v>
      </c>
      <c r="N1867" s="9">
        <v>1.7013E-4</v>
      </c>
      <c r="O1867" s="9">
        <v>1.8270999999999999E-4</v>
      </c>
      <c r="P1867" s="9">
        <v>1.6668E-4</v>
      </c>
      <c r="Q1867" s="9">
        <v>1.5202999999999999E-4</v>
      </c>
      <c r="R1867" s="10">
        <v>9.2020774854878265E-6</v>
      </c>
      <c r="S1867" s="10">
        <v>1.6509845486459778E-4</v>
      </c>
      <c r="T1867" s="10">
        <v>5.1204443437980114E-4</v>
      </c>
      <c r="U1867" s="10">
        <v>1.5595E-4</v>
      </c>
      <c r="V1867" s="25"/>
      <c r="W1867" s="25"/>
      <c r="X1867" s="25"/>
      <c r="Y1867" s="25"/>
      <c r="Z1867" s="25"/>
      <c r="AA1867" s="25"/>
    </row>
    <row r="1868" spans="1:27" x14ac:dyDescent="0.35">
      <c r="A1868" s="5">
        <v>1864</v>
      </c>
      <c r="B1868" s="5">
        <v>78</v>
      </c>
      <c r="C1868" s="5">
        <v>3</v>
      </c>
      <c r="D1868" s="25">
        <v>1.1415000000000001E-4</v>
      </c>
      <c r="E1868" s="25">
        <v>1.104E-4</v>
      </c>
      <c r="F1868" s="25">
        <v>1.2428999999999999E-4</v>
      </c>
      <c r="G1868" s="25">
        <v>1.6363E-4</v>
      </c>
      <c r="H1868" s="25">
        <v>1.9944E-4</v>
      </c>
      <c r="I1868" s="9">
        <v>1.3208E-4</v>
      </c>
      <c r="J1868" s="9">
        <v>1.3121000000000001E-4</v>
      </c>
      <c r="K1868" s="9">
        <v>8.4770000000000003E-5</v>
      </c>
      <c r="L1868" s="9">
        <v>1.8065999999999999E-4</v>
      </c>
      <c r="M1868" s="9">
        <v>1.6741999999999999E-4</v>
      </c>
      <c r="N1868" s="9">
        <v>1.6605999999999999E-4</v>
      </c>
      <c r="O1868" s="9">
        <v>1.9745E-4</v>
      </c>
      <c r="P1868" s="9">
        <v>1.5273000000000001E-4</v>
      </c>
      <c r="Q1868" s="9">
        <v>1.0996E-4</v>
      </c>
      <c r="R1868" s="10">
        <v>1.0160941057302465E-5</v>
      </c>
      <c r="S1868" s="10">
        <v>1.6517580339672069E-4</v>
      </c>
      <c r="T1868" s="10">
        <v>3.1933205894066406E-4</v>
      </c>
      <c r="U1868" s="10">
        <v>1.5595E-4</v>
      </c>
      <c r="V1868" s="25"/>
      <c r="W1868" s="25"/>
      <c r="X1868" s="25"/>
      <c r="Y1868" s="25"/>
      <c r="Z1868" s="25"/>
      <c r="AA1868" s="25"/>
    </row>
    <row r="1869" spans="1:27" x14ac:dyDescent="0.35">
      <c r="A1869" s="5">
        <v>1865</v>
      </c>
      <c r="B1869" s="5">
        <v>78</v>
      </c>
      <c r="C1869" s="5">
        <v>3</v>
      </c>
      <c r="D1869" s="25">
        <v>1.1416E-4</v>
      </c>
      <c r="E1869" s="25">
        <v>1.0728E-4</v>
      </c>
      <c r="F1869" s="25">
        <v>1.3404000000000001E-4</v>
      </c>
      <c r="G1869" s="25">
        <v>1.6399000000000001E-4</v>
      </c>
      <c r="H1869" s="25">
        <v>1.8836999999999999E-4</v>
      </c>
      <c r="I1869" s="9">
        <v>1.3175E-4</v>
      </c>
      <c r="J1869" s="9">
        <v>1.3044E-4</v>
      </c>
      <c r="K1869" s="9">
        <v>8.2659999999999998E-5</v>
      </c>
      <c r="L1869" s="9">
        <v>1.9353999999999999E-4</v>
      </c>
      <c r="M1869" s="9">
        <v>1.6201E-4</v>
      </c>
      <c r="N1869" s="9">
        <v>1.5233E-4</v>
      </c>
      <c r="O1869" s="9">
        <v>2.1241000000000001E-4</v>
      </c>
      <c r="P1869" s="9">
        <v>1.5835999999999999E-4</v>
      </c>
      <c r="Q1869" s="9">
        <v>1.0652E-4</v>
      </c>
      <c r="R1869" s="10">
        <v>1.8626135367599916E-5</v>
      </c>
      <c r="S1869" s="10">
        <v>1.6132199871661852E-4</v>
      </c>
      <c r="T1869" s="10">
        <v>1.7503957989279027E-4</v>
      </c>
      <c r="U1869" s="10">
        <v>1.5595E-4</v>
      </c>
      <c r="V1869" s="25"/>
      <c r="W1869" s="25"/>
      <c r="X1869" s="25"/>
      <c r="Y1869" s="25"/>
      <c r="Z1869" s="25"/>
      <c r="AA1869" s="25"/>
    </row>
    <row r="1870" spans="1:27" x14ac:dyDescent="0.35">
      <c r="A1870" s="5">
        <v>1866</v>
      </c>
      <c r="B1870" s="5">
        <v>78</v>
      </c>
      <c r="C1870" s="5">
        <v>3</v>
      </c>
      <c r="D1870" s="25">
        <v>1.1415000000000001E-4</v>
      </c>
      <c r="E1870" s="25">
        <v>1.0917E-4</v>
      </c>
      <c r="F1870" s="25">
        <v>1.4236000000000001E-4</v>
      </c>
      <c r="G1870" s="25">
        <v>1.5686000000000001E-4</v>
      </c>
      <c r="H1870" s="25">
        <v>1.9096E-4</v>
      </c>
      <c r="I1870" s="9">
        <v>1.3394000000000001E-4</v>
      </c>
      <c r="J1870" s="9">
        <v>1.3158000000000001E-4</v>
      </c>
      <c r="K1870" s="9">
        <v>8.0539999999999998E-5</v>
      </c>
      <c r="L1870" s="9">
        <v>2.0798999999999999E-4</v>
      </c>
      <c r="M1870" s="9">
        <v>1.5919999999999999E-4</v>
      </c>
      <c r="N1870" s="9">
        <v>1.3883999999999999E-4</v>
      </c>
      <c r="O1870" s="9">
        <v>2.0415E-4</v>
      </c>
      <c r="P1870" s="9">
        <v>1.5964000000000001E-4</v>
      </c>
      <c r="Q1870" s="9">
        <v>1.1712E-4</v>
      </c>
      <c r="R1870" s="10">
        <v>3.4197263336632968E-5</v>
      </c>
      <c r="S1870" s="10">
        <v>1.5029018979269211E-4</v>
      </c>
      <c r="T1870" s="10">
        <v>2.1066515286403869E-5</v>
      </c>
      <c r="U1870" s="10">
        <v>1.5595E-4</v>
      </c>
      <c r="V1870" s="25"/>
      <c r="W1870" s="25"/>
      <c r="X1870" s="25"/>
      <c r="Y1870" s="25"/>
      <c r="Z1870" s="25"/>
      <c r="AA1870" s="25"/>
    </row>
    <row r="1871" spans="1:27" x14ac:dyDescent="0.35">
      <c r="A1871" s="5">
        <v>1867</v>
      </c>
      <c r="B1871" s="5">
        <v>78</v>
      </c>
      <c r="C1871" s="5">
        <v>3</v>
      </c>
      <c r="D1871" s="25">
        <v>1.1416E-4</v>
      </c>
      <c r="E1871" s="25">
        <v>1.0904E-4</v>
      </c>
      <c r="F1871" s="25">
        <v>1.2980000000000001E-4</v>
      </c>
      <c r="G1871" s="25">
        <v>1.081E-4</v>
      </c>
      <c r="H1871" s="25">
        <v>1.2542E-4</v>
      </c>
      <c r="I1871" s="9">
        <v>1.3501E-4</v>
      </c>
      <c r="J1871" s="9">
        <v>1.2914E-4</v>
      </c>
      <c r="K1871" s="9">
        <v>9.1130000000000003E-5</v>
      </c>
      <c r="L1871" s="9">
        <v>2.0462E-4</v>
      </c>
      <c r="M1871" s="9">
        <v>1.5877999999999999E-4</v>
      </c>
      <c r="N1871" s="9">
        <v>1.2967999999999999E-4</v>
      </c>
      <c r="O1871" s="9">
        <v>1.6399000000000001E-4</v>
      </c>
      <c r="P1871" s="9">
        <v>1.3475E-4</v>
      </c>
      <c r="Q1871" s="9">
        <v>1.0695E-4</v>
      </c>
      <c r="R1871" s="10">
        <v>5.1704650040258273E-5</v>
      </c>
      <c r="S1871" s="10">
        <v>1.3734764393055006E-4</v>
      </c>
      <c r="T1871" s="10">
        <v>0</v>
      </c>
      <c r="U1871" s="10">
        <v>1.5595E-4</v>
      </c>
      <c r="V1871" s="25"/>
      <c r="W1871" s="25"/>
      <c r="X1871" s="25"/>
      <c r="Y1871" s="25"/>
      <c r="Z1871" s="25"/>
      <c r="AA1871" s="25"/>
    </row>
    <row r="1872" spans="1:27" x14ac:dyDescent="0.35">
      <c r="A1872" s="5">
        <v>1868</v>
      </c>
      <c r="B1872" s="5">
        <v>78</v>
      </c>
      <c r="C1872" s="5">
        <v>3</v>
      </c>
      <c r="D1872" s="25">
        <v>1.1415000000000001E-4</v>
      </c>
      <c r="E1872" s="25">
        <v>1.0637999999999999E-4</v>
      </c>
      <c r="F1872" s="25">
        <v>1.3624000000000001E-4</v>
      </c>
      <c r="G1872" s="25">
        <v>1.1137E-4</v>
      </c>
      <c r="H1872" s="25">
        <v>1.2883E-4</v>
      </c>
      <c r="I1872" s="9">
        <v>1.3503000000000001E-4</v>
      </c>
      <c r="J1872" s="9">
        <v>1.2956999999999999E-4</v>
      </c>
      <c r="K1872" s="9">
        <v>9.9619999999999998E-5</v>
      </c>
      <c r="L1872" s="9">
        <v>1.7311E-4</v>
      </c>
      <c r="M1872" s="9">
        <v>1.5019E-4</v>
      </c>
      <c r="N1872" s="9">
        <v>1.2059E-4</v>
      </c>
      <c r="O1872" s="9">
        <v>1.2767E-4</v>
      </c>
      <c r="P1872" s="9">
        <v>1.1388E-4</v>
      </c>
      <c r="Q1872" s="9">
        <v>1.0103E-4</v>
      </c>
      <c r="R1872" s="10">
        <v>6.3275363362276038E-5</v>
      </c>
      <c r="S1872" s="10">
        <v>1.2986435971505699E-4</v>
      </c>
      <c r="T1872" s="10">
        <v>0</v>
      </c>
      <c r="U1872" s="10">
        <v>1.5595E-4</v>
      </c>
      <c r="V1872" s="25"/>
      <c r="W1872" s="25"/>
      <c r="X1872" s="25"/>
      <c r="Y1872" s="25"/>
      <c r="Z1872" s="25"/>
      <c r="AA1872" s="25"/>
    </row>
    <row r="1873" spans="1:27" x14ac:dyDescent="0.35">
      <c r="A1873" s="5">
        <v>1869</v>
      </c>
      <c r="B1873" s="5">
        <v>78</v>
      </c>
      <c r="C1873" s="5">
        <v>3</v>
      </c>
      <c r="D1873" s="25">
        <v>1.1416E-4</v>
      </c>
      <c r="E1873" s="25">
        <v>1.1462E-4</v>
      </c>
      <c r="F1873" s="25">
        <v>1.4143000000000001E-4</v>
      </c>
      <c r="G1873" s="25">
        <v>5.3529999999999997E-5</v>
      </c>
      <c r="H1873" s="25">
        <v>7.6459999999999996E-5</v>
      </c>
      <c r="I1873" s="9">
        <v>1.2910999999999999E-4</v>
      </c>
      <c r="J1873" s="9">
        <v>1.2383000000000001E-4</v>
      </c>
      <c r="K1873" s="9">
        <v>1.2292999999999999E-4</v>
      </c>
      <c r="L1873" s="9">
        <v>1.3863999999999999E-4</v>
      </c>
      <c r="M1873" s="9">
        <v>1.3470999999999999E-4</v>
      </c>
      <c r="N1873" s="9">
        <v>1.1279E-4</v>
      </c>
      <c r="O1873" s="9">
        <v>8.3880000000000003E-5</v>
      </c>
      <c r="P1873" s="9">
        <v>8.551E-5</v>
      </c>
      <c r="Q1873" s="9">
        <v>8.7490000000000004E-5</v>
      </c>
      <c r="R1873" s="10">
        <v>6.5862900717098631E-5</v>
      </c>
      <c r="S1873" s="10">
        <v>1.179465838218353E-4</v>
      </c>
      <c r="T1873" s="10">
        <v>0</v>
      </c>
      <c r="U1873" s="10">
        <v>1.5595E-4</v>
      </c>
      <c r="V1873" s="25"/>
      <c r="W1873" s="25"/>
      <c r="X1873" s="25"/>
      <c r="Y1873" s="25"/>
      <c r="Z1873" s="25"/>
      <c r="AA1873" s="25"/>
    </row>
    <row r="1874" spans="1:27" x14ac:dyDescent="0.35">
      <c r="A1874" s="5">
        <v>1870</v>
      </c>
      <c r="B1874" s="5">
        <v>78</v>
      </c>
      <c r="C1874" s="5">
        <v>3</v>
      </c>
      <c r="D1874" s="25">
        <v>1.1415000000000001E-4</v>
      </c>
      <c r="E1874" s="25">
        <v>1.0527999999999999E-4</v>
      </c>
      <c r="F1874" s="25">
        <v>1.3552E-4</v>
      </c>
      <c r="G1874" s="25">
        <v>5.5050000000000003E-5</v>
      </c>
      <c r="H1874" s="25">
        <v>6.5469999999999995E-5</v>
      </c>
      <c r="I1874" s="9">
        <v>1.2263000000000001E-4</v>
      </c>
      <c r="J1874" s="9">
        <v>1.1542E-4</v>
      </c>
      <c r="K1874" s="9">
        <v>1.4200000000000001E-4</v>
      </c>
      <c r="L1874" s="9">
        <v>9.6860000000000004E-5</v>
      </c>
      <c r="M1874" s="9">
        <v>1.1302E-4</v>
      </c>
      <c r="N1874" s="9">
        <v>1.0507E-4</v>
      </c>
      <c r="O1874" s="9">
        <v>8.6710000000000002E-5</v>
      </c>
      <c r="P1874" s="9">
        <v>8.6959999999999994E-5</v>
      </c>
      <c r="Q1874" s="9">
        <v>8.7609999999999996E-5</v>
      </c>
      <c r="R1874" s="10">
        <v>5.8964153047688543E-5</v>
      </c>
      <c r="S1874" s="10">
        <v>1.0202506207561329E-4</v>
      </c>
      <c r="T1874" s="10">
        <v>0</v>
      </c>
      <c r="U1874" s="10">
        <v>1.5595E-4</v>
      </c>
      <c r="V1874" s="25"/>
      <c r="W1874" s="25"/>
      <c r="X1874" s="25"/>
      <c r="Y1874" s="25"/>
      <c r="Z1874" s="25"/>
      <c r="AA1874" s="25"/>
    </row>
    <row r="1875" spans="1:27" x14ac:dyDescent="0.35">
      <c r="A1875" s="5">
        <v>1871</v>
      </c>
      <c r="B1875" s="5">
        <v>78</v>
      </c>
      <c r="C1875" s="5">
        <v>3</v>
      </c>
      <c r="D1875" s="25">
        <v>1.1416E-4</v>
      </c>
      <c r="E1875" s="25">
        <v>1.1108E-4</v>
      </c>
      <c r="F1875" s="25">
        <v>1.2678E-4</v>
      </c>
      <c r="G1875" s="25">
        <v>6.0380000000000001E-5</v>
      </c>
      <c r="H1875" s="25">
        <v>7.1320000000000002E-5</v>
      </c>
      <c r="I1875" s="9">
        <v>1.2379000000000001E-4</v>
      </c>
      <c r="J1875" s="9">
        <v>1.0699E-4</v>
      </c>
      <c r="K1875" s="9">
        <v>1.5894999999999999E-4</v>
      </c>
      <c r="L1875" s="9">
        <v>8.988E-5</v>
      </c>
      <c r="M1875" s="9">
        <v>9.8319999999999994E-5</v>
      </c>
      <c r="N1875" s="9">
        <v>9.9220000000000002E-5</v>
      </c>
      <c r="O1875" s="9">
        <v>7.7479999999999997E-5</v>
      </c>
      <c r="P1875" s="9">
        <v>7.1840000000000003E-5</v>
      </c>
      <c r="Q1875" s="9">
        <v>6.6610000000000001E-5</v>
      </c>
      <c r="R1875" s="10">
        <v>4.9997459799803378E-5</v>
      </c>
      <c r="S1875" s="10">
        <v>8.6137270309284225E-5</v>
      </c>
      <c r="T1875" s="10">
        <v>0</v>
      </c>
      <c r="U1875" s="10">
        <v>1.5595E-4</v>
      </c>
      <c r="V1875" s="25"/>
      <c r="W1875" s="25"/>
      <c r="X1875" s="25"/>
      <c r="Y1875" s="25"/>
      <c r="Z1875" s="25"/>
      <c r="AA1875" s="25"/>
    </row>
    <row r="1876" spans="1:27" x14ac:dyDescent="0.35">
      <c r="A1876" s="5">
        <v>1872</v>
      </c>
      <c r="B1876" s="5">
        <v>78</v>
      </c>
      <c r="C1876" s="5">
        <v>3</v>
      </c>
      <c r="D1876" s="25">
        <v>1.1415000000000001E-4</v>
      </c>
      <c r="E1876" s="25">
        <v>1.0698E-4</v>
      </c>
      <c r="F1876" s="25">
        <v>1.3746E-4</v>
      </c>
      <c r="G1876" s="25">
        <v>6.1909999999999995E-5</v>
      </c>
      <c r="H1876" s="25">
        <v>6.7520000000000004E-5</v>
      </c>
      <c r="I1876" s="9">
        <v>1.2326000000000001E-4</v>
      </c>
      <c r="J1876" s="9">
        <v>1.0029E-4</v>
      </c>
      <c r="K1876" s="9">
        <v>1.6955E-4</v>
      </c>
      <c r="L1876" s="9">
        <v>8.0190000000000003E-5</v>
      </c>
      <c r="M1876" s="9">
        <v>8.5560000000000001E-5</v>
      </c>
      <c r="N1876" s="9">
        <v>9.0000000000000006E-5</v>
      </c>
      <c r="O1876" s="9">
        <v>6.3360000000000003E-5</v>
      </c>
      <c r="P1876" s="9">
        <v>6.1279999999999996E-5</v>
      </c>
      <c r="Q1876" s="9">
        <v>5.944E-5</v>
      </c>
      <c r="R1876" s="10">
        <v>4.1304746791045252E-5</v>
      </c>
      <c r="S1876" s="10">
        <v>5.6074205242073186E-5</v>
      </c>
      <c r="T1876" s="10">
        <v>0</v>
      </c>
      <c r="U1876" s="10">
        <v>1.5595E-4</v>
      </c>
      <c r="V1876" s="25"/>
      <c r="W1876" s="25"/>
      <c r="X1876" s="25"/>
      <c r="Y1876" s="25"/>
      <c r="Z1876" s="25"/>
      <c r="AA1876" s="25"/>
    </row>
    <row r="1877" spans="1:27" x14ac:dyDescent="0.35">
      <c r="A1877" s="5">
        <v>1873</v>
      </c>
      <c r="B1877" s="5">
        <v>79</v>
      </c>
      <c r="C1877" s="5">
        <v>3</v>
      </c>
      <c r="D1877" s="25">
        <v>1.1416E-4</v>
      </c>
      <c r="E1877" s="25">
        <v>1.1584E-4</v>
      </c>
      <c r="F1877" s="25">
        <v>1.0286E-4</v>
      </c>
      <c r="G1877" s="25">
        <v>5.3170000000000001E-5</v>
      </c>
      <c r="H1877" s="25">
        <v>7.517E-5</v>
      </c>
      <c r="I1877" s="9">
        <v>1.1565000000000001E-4</v>
      </c>
      <c r="J1877" s="9">
        <v>9.3220000000000005E-5</v>
      </c>
      <c r="K1877" s="9">
        <v>1.7803E-4</v>
      </c>
      <c r="L1877" s="9">
        <v>6.7050000000000003E-5</v>
      </c>
      <c r="M1877" s="9">
        <v>7.3889999999999999E-5</v>
      </c>
      <c r="N1877" s="9">
        <v>8.0829999999999997E-5</v>
      </c>
      <c r="O1877" s="9">
        <v>5.4540000000000003E-5</v>
      </c>
      <c r="P1877" s="9">
        <v>5.3959999999999998E-5</v>
      </c>
      <c r="Q1877" s="9">
        <v>5.3529999999999997E-5</v>
      </c>
      <c r="R1877" s="10">
        <v>2.9894907085857126E-5</v>
      </c>
      <c r="S1877" s="10">
        <v>5.0609596303915774E-5</v>
      </c>
      <c r="T1877" s="10">
        <v>0</v>
      </c>
      <c r="U1877" s="10">
        <v>1.5438E-4</v>
      </c>
      <c r="V1877" s="25"/>
      <c r="W1877" s="25"/>
      <c r="X1877" s="25"/>
      <c r="Y1877" s="25"/>
      <c r="Z1877" s="25"/>
      <c r="AA1877" s="25"/>
    </row>
    <row r="1878" spans="1:27" x14ac:dyDescent="0.35">
      <c r="A1878" s="5">
        <v>1874</v>
      </c>
      <c r="B1878" s="5">
        <v>79</v>
      </c>
      <c r="C1878" s="5">
        <v>3</v>
      </c>
      <c r="D1878" s="25">
        <v>1.1415000000000001E-4</v>
      </c>
      <c r="E1878" s="25">
        <v>1.1407E-4</v>
      </c>
      <c r="F1878" s="25">
        <v>1.1058E-4</v>
      </c>
      <c r="G1878" s="25">
        <v>6.0050000000000003E-5</v>
      </c>
      <c r="H1878" s="25">
        <v>6.9969999999999996E-5</v>
      </c>
      <c r="I1878" s="9">
        <v>1.0988E-4</v>
      </c>
      <c r="J1878" s="9">
        <v>8.789E-5</v>
      </c>
      <c r="K1878" s="9">
        <v>1.9709999999999999E-4</v>
      </c>
      <c r="L1878" s="9">
        <v>5.7649999999999999E-5</v>
      </c>
      <c r="M1878" s="9">
        <v>6.3960000000000004E-5</v>
      </c>
      <c r="N1878" s="9">
        <v>7.1870000000000001E-5</v>
      </c>
      <c r="O1878" s="9">
        <v>1.8879999999999999E-5</v>
      </c>
      <c r="P1878" s="9">
        <v>3.7700000000000002E-5</v>
      </c>
      <c r="Q1878" s="9">
        <v>5.6110000000000003E-5</v>
      </c>
      <c r="R1878" s="10">
        <v>2.7276920738934451E-5</v>
      </c>
      <c r="S1878" s="10">
        <v>4.8319348876208443E-5</v>
      </c>
      <c r="T1878" s="10">
        <v>0</v>
      </c>
      <c r="U1878" s="10">
        <v>1.5438E-4</v>
      </c>
      <c r="V1878" s="25"/>
      <c r="W1878" s="25"/>
      <c r="X1878" s="25"/>
      <c r="Y1878" s="25"/>
      <c r="Z1878" s="25"/>
      <c r="AA1878" s="25"/>
    </row>
    <row r="1879" spans="1:27" x14ac:dyDescent="0.35">
      <c r="A1879" s="5">
        <v>1875</v>
      </c>
      <c r="B1879" s="5">
        <v>79</v>
      </c>
      <c r="C1879" s="5">
        <v>3</v>
      </c>
      <c r="D1879" s="25">
        <v>1.1416E-4</v>
      </c>
      <c r="E1879" s="25">
        <v>1.2474E-4</v>
      </c>
      <c r="F1879" s="25">
        <v>1.0725E-4</v>
      </c>
      <c r="G1879" s="25">
        <v>5.8539999999999999E-5</v>
      </c>
      <c r="H1879" s="25">
        <v>6.3399999999999996E-5</v>
      </c>
      <c r="I1879" s="9">
        <v>1.0424E-4</v>
      </c>
      <c r="J1879" s="9">
        <v>8.5190000000000003E-5</v>
      </c>
      <c r="K1879" s="9">
        <v>2.0557E-4</v>
      </c>
      <c r="L1879" s="9">
        <v>2.762E-5</v>
      </c>
      <c r="M1879" s="9">
        <v>5.223E-5</v>
      </c>
      <c r="N1879" s="9">
        <v>6.5400000000000004E-5</v>
      </c>
      <c r="O1879" s="9">
        <v>1.3529999999999999E-5</v>
      </c>
      <c r="P1879" s="9">
        <v>3.8040000000000002E-5</v>
      </c>
      <c r="Q1879" s="9">
        <v>6.2009999999999998E-5</v>
      </c>
      <c r="R1879" s="10">
        <v>2.877063199045901E-5</v>
      </c>
      <c r="S1879" s="10">
        <v>4.1009712890552227E-5</v>
      </c>
      <c r="T1879" s="10">
        <v>0</v>
      </c>
      <c r="U1879" s="10">
        <v>1.5438E-4</v>
      </c>
      <c r="V1879" s="25"/>
      <c r="W1879" s="25"/>
      <c r="X1879" s="25"/>
      <c r="Y1879" s="25"/>
      <c r="Z1879" s="25"/>
      <c r="AA1879" s="25"/>
    </row>
    <row r="1880" spans="1:27" x14ac:dyDescent="0.35">
      <c r="A1880" s="5">
        <v>1876</v>
      </c>
      <c r="B1880" s="5">
        <v>79</v>
      </c>
      <c r="C1880" s="5">
        <v>3</v>
      </c>
      <c r="D1880" s="25">
        <v>1.1415000000000001E-4</v>
      </c>
      <c r="E1880" s="25">
        <v>1.1667000000000001E-4</v>
      </c>
      <c r="F1880" s="25">
        <v>1.1022E-4</v>
      </c>
      <c r="G1880" s="25">
        <v>6.1400000000000002E-5</v>
      </c>
      <c r="H1880" s="25">
        <v>7.0170000000000001E-5</v>
      </c>
      <c r="I1880" s="9">
        <v>1.0136000000000001E-4</v>
      </c>
      <c r="J1880" s="9">
        <v>8.3990000000000001E-5</v>
      </c>
      <c r="K1880" s="9">
        <v>2.1618000000000001E-4</v>
      </c>
      <c r="L1880" s="9">
        <v>1.738E-5</v>
      </c>
      <c r="M1880" s="9">
        <v>4.4320000000000003E-5</v>
      </c>
      <c r="N1880" s="9">
        <v>6.1989999999999994E-5</v>
      </c>
      <c r="O1880" s="9">
        <v>1.3370000000000001E-5</v>
      </c>
      <c r="P1880" s="9">
        <v>4.6980000000000001E-5</v>
      </c>
      <c r="Q1880" s="9">
        <v>7.9909999999999999E-5</v>
      </c>
      <c r="R1880" s="10">
        <v>3.6923808711588227E-5</v>
      </c>
      <c r="S1880" s="10">
        <v>3.0635361303704688E-5</v>
      </c>
      <c r="T1880" s="10">
        <v>0</v>
      </c>
      <c r="U1880" s="10">
        <v>1.5438E-4</v>
      </c>
      <c r="V1880" s="25"/>
      <c r="W1880" s="25"/>
      <c r="X1880" s="25"/>
      <c r="Y1880" s="25"/>
      <c r="Z1880" s="25"/>
      <c r="AA1880" s="25"/>
    </row>
    <row r="1881" spans="1:27" x14ac:dyDescent="0.35">
      <c r="A1881" s="5">
        <v>1877</v>
      </c>
      <c r="B1881" s="5">
        <v>79</v>
      </c>
      <c r="C1881" s="5">
        <v>3</v>
      </c>
      <c r="D1881" s="25">
        <v>1.1416E-4</v>
      </c>
      <c r="E1881" s="25">
        <v>1.2183E-4</v>
      </c>
      <c r="F1881" s="25">
        <v>1.1646000000000001E-4</v>
      </c>
      <c r="G1881" s="25">
        <v>5.8440000000000003E-5</v>
      </c>
      <c r="H1881" s="25">
        <v>6.5790000000000005E-5</v>
      </c>
      <c r="I1881" s="9">
        <v>1.0098E-4</v>
      </c>
      <c r="J1881" s="9">
        <v>8.4079999999999995E-5</v>
      </c>
      <c r="K1881" s="9">
        <v>2.2253E-4</v>
      </c>
      <c r="L1881" s="9">
        <v>1.449E-5</v>
      </c>
      <c r="M1881" s="9">
        <v>4.3510000000000002E-5</v>
      </c>
      <c r="N1881" s="9">
        <v>6.4460000000000003E-5</v>
      </c>
      <c r="O1881" s="9">
        <v>1.906E-5</v>
      </c>
      <c r="P1881" s="9">
        <v>5.7099999999999999E-5</v>
      </c>
      <c r="Q1881" s="9">
        <v>9.4419999999999994E-5</v>
      </c>
      <c r="R1881" s="10">
        <v>5.4051276658984304E-5</v>
      </c>
      <c r="S1881" s="10">
        <v>2.1542171588288911E-5</v>
      </c>
      <c r="T1881" s="10">
        <v>0</v>
      </c>
      <c r="U1881" s="10">
        <v>1.5438E-4</v>
      </c>
      <c r="V1881" s="25"/>
      <c r="W1881" s="25"/>
      <c r="X1881" s="25"/>
      <c r="Y1881" s="25"/>
      <c r="Z1881" s="25"/>
      <c r="AA1881" s="25"/>
    </row>
    <row r="1882" spans="1:27" x14ac:dyDescent="0.35">
      <c r="A1882" s="5">
        <v>1878</v>
      </c>
      <c r="B1882" s="5">
        <v>79</v>
      </c>
      <c r="C1882" s="5">
        <v>3</v>
      </c>
      <c r="D1882" s="25">
        <v>1.1415000000000001E-4</v>
      </c>
      <c r="E1882" s="25">
        <v>1.1464999999999999E-4</v>
      </c>
      <c r="F1882" s="25">
        <v>1.2015000000000001E-4</v>
      </c>
      <c r="G1882" s="25">
        <v>1.1265E-4</v>
      </c>
      <c r="H1882" s="25">
        <v>1.271E-4</v>
      </c>
      <c r="I1882" s="9">
        <v>1.0079E-4</v>
      </c>
      <c r="J1882" s="9">
        <v>8.5270000000000002E-5</v>
      </c>
      <c r="K1882" s="9">
        <v>2.2465000000000001E-4</v>
      </c>
      <c r="L1882" s="9">
        <v>1.7929999999999999E-5</v>
      </c>
      <c r="M1882" s="9">
        <v>4.8539999999999999E-5</v>
      </c>
      <c r="N1882" s="9">
        <v>7.1180000000000006E-5</v>
      </c>
      <c r="O1882" s="9">
        <v>4.5899999999999998E-5</v>
      </c>
      <c r="P1882" s="9">
        <v>7.6190000000000001E-5</v>
      </c>
      <c r="Q1882" s="9">
        <v>1.0609E-4</v>
      </c>
      <c r="R1882" s="10">
        <v>7.2528881917318831E-5</v>
      </c>
      <c r="S1882" s="10">
        <v>1.582247420212434E-5</v>
      </c>
      <c r="T1882" s="10">
        <v>0</v>
      </c>
      <c r="U1882" s="10">
        <v>1.5438E-4</v>
      </c>
      <c r="V1882" s="25"/>
      <c r="W1882" s="25"/>
      <c r="X1882" s="25"/>
      <c r="Y1882" s="25"/>
      <c r="Z1882" s="25"/>
      <c r="AA1882" s="25"/>
    </row>
    <row r="1883" spans="1:27" x14ac:dyDescent="0.35">
      <c r="A1883" s="5">
        <v>1879</v>
      </c>
      <c r="B1883" s="5">
        <v>79</v>
      </c>
      <c r="C1883" s="5">
        <v>3</v>
      </c>
      <c r="D1883" s="25">
        <v>1.1416E-4</v>
      </c>
      <c r="E1883" s="25">
        <v>1.2063E-4</v>
      </c>
      <c r="F1883" s="25">
        <v>1.2009E-4</v>
      </c>
      <c r="G1883" s="25">
        <v>1.1204E-4</v>
      </c>
      <c r="H1883" s="25">
        <v>1.2637999999999999E-4</v>
      </c>
      <c r="I1883" s="9">
        <v>1.0425999999999999E-4</v>
      </c>
      <c r="J1883" s="9">
        <v>8.8969999999999997E-5</v>
      </c>
      <c r="K1883" s="9">
        <v>2.3524E-4</v>
      </c>
      <c r="L1883" s="9">
        <v>3.96E-5</v>
      </c>
      <c r="M1883" s="9">
        <v>5.9910000000000001E-5</v>
      </c>
      <c r="N1883" s="9">
        <v>8.0669999999999998E-5</v>
      </c>
      <c r="O1883" s="9">
        <v>1.2238E-4</v>
      </c>
      <c r="P1883" s="9">
        <v>1.1671E-4</v>
      </c>
      <c r="Q1883" s="9">
        <v>1.1179999999999999E-4</v>
      </c>
      <c r="R1883" s="10">
        <v>7.2168011354635999E-5</v>
      </c>
      <c r="S1883" s="10">
        <v>1.3785868174129834E-5</v>
      </c>
      <c r="T1883" s="10">
        <v>3.7839975101635622E-6</v>
      </c>
      <c r="U1883" s="10">
        <v>1.5438E-4</v>
      </c>
      <c r="V1883" s="25"/>
      <c r="W1883" s="25"/>
      <c r="X1883" s="25"/>
      <c r="Y1883" s="25"/>
      <c r="Z1883" s="25"/>
      <c r="AA1883" s="25"/>
    </row>
    <row r="1884" spans="1:27" x14ac:dyDescent="0.35">
      <c r="A1884" s="5">
        <v>1880</v>
      </c>
      <c r="B1884" s="5">
        <v>79</v>
      </c>
      <c r="C1884" s="5">
        <v>3</v>
      </c>
      <c r="D1884" s="25">
        <v>1.1415000000000001E-4</v>
      </c>
      <c r="E1884" s="25">
        <v>1.1601E-4</v>
      </c>
      <c r="F1884" s="25">
        <v>1.0043E-4</v>
      </c>
      <c r="G1884" s="25">
        <v>1.6175E-4</v>
      </c>
      <c r="H1884" s="25">
        <v>1.9526E-4</v>
      </c>
      <c r="I1884" s="9">
        <v>1.0702E-4</v>
      </c>
      <c r="J1884" s="9">
        <v>9.5199999999999997E-5</v>
      </c>
      <c r="K1884" s="9">
        <v>1.9285999999999999E-4</v>
      </c>
      <c r="L1884" s="9">
        <v>1.0356E-4</v>
      </c>
      <c r="M1884" s="9">
        <v>8.3280000000000002E-5</v>
      </c>
      <c r="N1884" s="9">
        <v>9.0610000000000002E-5</v>
      </c>
      <c r="O1884" s="9">
        <v>2.1744000000000001E-4</v>
      </c>
      <c r="P1884" s="9">
        <v>1.7547E-4</v>
      </c>
      <c r="Q1884" s="9">
        <v>1.3554999999999999E-4</v>
      </c>
      <c r="R1884" s="10">
        <v>5.2581055420296706E-5</v>
      </c>
      <c r="S1884" s="10">
        <v>1.2786008886219544E-5</v>
      </c>
      <c r="T1884" s="10">
        <v>6.0026417902258301E-5</v>
      </c>
      <c r="U1884" s="10">
        <v>1.5438E-4</v>
      </c>
      <c r="V1884" s="25"/>
      <c r="W1884" s="25"/>
      <c r="X1884" s="25"/>
      <c r="Y1884" s="25"/>
      <c r="Z1884" s="25"/>
      <c r="AA1884" s="25"/>
    </row>
    <row r="1885" spans="1:27" x14ac:dyDescent="0.35">
      <c r="A1885" s="5">
        <v>1881</v>
      </c>
      <c r="B1885" s="5">
        <v>79</v>
      </c>
      <c r="C1885" s="5">
        <v>3</v>
      </c>
      <c r="D1885" s="25">
        <v>1.1416E-4</v>
      </c>
      <c r="E1885" s="25">
        <v>1.1597E-4</v>
      </c>
      <c r="F1885" s="25">
        <v>1.1963E-4</v>
      </c>
      <c r="G1885" s="25">
        <v>1.6581000000000001E-4</v>
      </c>
      <c r="H1885" s="25">
        <v>1.9054E-4</v>
      </c>
      <c r="I1885" s="9">
        <v>1.1526E-4</v>
      </c>
      <c r="J1885" s="9">
        <v>1.044E-4</v>
      </c>
      <c r="K1885" s="9">
        <v>1.6531E-4</v>
      </c>
      <c r="L1885" s="9">
        <v>1.9064E-4</v>
      </c>
      <c r="M1885" s="9">
        <v>1.2252000000000001E-4</v>
      </c>
      <c r="N1885" s="9">
        <v>1.0409E-4</v>
      </c>
      <c r="O1885" s="9">
        <v>2.0918999999999999E-4</v>
      </c>
      <c r="P1885" s="9">
        <v>1.9146000000000001E-4</v>
      </c>
      <c r="Q1885" s="9">
        <v>1.7534000000000001E-4</v>
      </c>
      <c r="R1885" s="10">
        <v>2.296951109159999E-5</v>
      </c>
      <c r="S1885" s="10">
        <v>1.0507504675618647E-5</v>
      </c>
      <c r="T1885" s="10">
        <v>8.4732697609873312E-5</v>
      </c>
      <c r="U1885" s="10">
        <v>1.5438E-4</v>
      </c>
      <c r="V1885" s="25"/>
      <c r="W1885" s="25"/>
      <c r="X1885" s="25"/>
      <c r="Y1885" s="25"/>
      <c r="Z1885" s="25"/>
      <c r="AA1885" s="25"/>
    </row>
    <row r="1886" spans="1:27" x14ac:dyDescent="0.35">
      <c r="A1886" s="5">
        <v>1882</v>
      </c>
      <c r="B1886" s="5">
        <v>79</v>
      </c>
      <c r="C1886" s="5">
        <v>3</v>
      </c>
      <c r="D1886" s="25">
        <v>1.1415000000000001E-4</v>
      </c>
      <c r="E1886" s="25">
        <v>1.1544000000000001E-4</v>
      </c>
      <c r="F1886" s="25">
        <v>1.0289999999999999E-4</v>
      </c>
      <c r="G1886" s="25">
        <v>1.5761E-4</v>
      </c>
      <c r="H1886" s="25">
        <v>1.9785000000000001E-4</v>
      </c>
      <c r="I1886" s="9">
        <v>1.2208E-4</v>
      </c>
      <c r="J1886" s="9">
        <v>1.1213999999999999E-4</v>
      </c>
      <c r="K1886" s="9">
        <v>1.3564E-4</v>
      </c>
      <c r="L1886" s="9">
        <v>2.0282000000000001E-4</v>
      </c>
      <c r="M1886" s="9">
        <v>1.5728000000000001E-4</v>
      </c>
      <c r="N1886" s="9">
        <v>1.238E-4</v>
      </c>
      <c r="O1886" s="9">
        <v>1.6608000000000001E-4</v>
      </c>
      <c r="P1886" s="9">
        <v>1.7315000000000001E-4</v>
      </c>
      <c r="Q1886" s="9">
        <v>1.8111000000000001E-4</v>
      </c>
      <c r="R1886" s="10">
        <v>6.4522920122440389E-6</v>
      </c>
      <c r="S1886" s="10">
        <v>9.1296050177775209E-6</v>
      </c>
      <c r="T1886" s="10">
        <v>4.0795904995225279E-4</v>
      </c>
      <c r="U1886" s="10">
        <v>1.5438E-4</v>
      </c>
      <c r="V1886" s="25"/>
      <c r="W1886" s="25"/>
      <c r="X1886" s="25"/>
      <c r="Y1886" s="25"/>
      <c r="Z1886" s="25"/>
      <c r="AA1886" s="25"/>
    </row>
    <row r="1887" spans="1:27" x14ac:dyDescent="0.35">
      <c r="A1887" s="5">
        <v>1883</v>
      </c>
      <c r="B1887" s="5">
        <v>79</v>
      </c>
      <c r="C1887" s="5">
        <v>3</v>
      </c>
      <c r="D1887" s="25">
        <v>1.1416E-4</v>
      </c>
      <c r="E1887" s="25">
        <v>1.161E-4</v>
      </c>
      <c r="F1887" s="25">
        <v>1.0996E-4</v>
      </c>
      <c r="G1887" s="25">
        <v>1.6029999999999999E-4</v>
      </c>
      <c r="H1887" s="25">
        <v>2.0095000000000001E-4</v>
      </c>
      <c r="I1887" s="9">
        <v>1.2505E-4</v>
      </c>
      <c r="J1887" s="9">
        <v>1.1519999999999999E-4</v>
      </c>
      <c r="K1887" s="9">
        <v>1.0809E-4</v>
      </c>
      <c r="L1887" s="9">
        <v>1.7424000000000001E-4</v>
      </c>
      <c r="M1887" s="9">
        <v>1.7105000000000001E-4</v>
      </c>
      <c r="N1887" s="9">
        <v>1.4171999999999999E-4</v>
      </c>
      <c r="O1887" s="9">
        <v>1.6773999999999999E-4</v>
      </c>
      <c r="P1887" s="9">
        <v>1.7352000000000001E-4</v>
      </c>
      <c r="Q1887" s="9">
        <v>1.8023E-4</v>
      </c>
      <c r="R1887" s="10">
        <v>4.2642263473946544E-6</v>
      </c>
      <c r="S1887" s="10">
        <v>1.1923952628060812E-5</v>
      </c>
      <c r="T1887" s="10">
        <v>3.881142737722694E-4</v>
      </c>
      <c r="U1887" s="10">
        <v>1.5438E-4</v>
      </c>
      <c r="V1887" s="25"/>
      <c r="W1887" s="25"/>
      <c r="X1887" s="25"/>
      <c r="Y1887" s="25"/>
      <c r="Z1887" s="25"/>
      <c r="AA1887" s="25"/>
    </row>
    <row r="1888" spans="1:27" x14ac:dyDescent="0.35">
      <c r="A1888" s="5">
        <v>1884</v>
      </c>
      <c r="B1888" s="5">
        <v>79</v>
      </c>
      <c r="C1888" s="5">
        <v>3</v>
      </c>
      <c r="D1888" s="25">
        <v>1.1415000000000001E-4</v>
      </c>
      <c r="E1888" s="25">
        <v>1.2021E-4</v>
      </c>
      <c r="F1888" s="25">
        <v>1.1228E-4</v>
      </c>
      <c r="G1888" s="25">
        <v>1.6275999999999999E-4</v>
      </c>
      <c r="H1888" s="25">
        <v>1.9879000000000001E-4</v>
      </c>
      <c r="I1888" s="9">
        <v>1.2748999999999999E-4</v>
      </c>
      <c r="J1888" s="9">
        <v>1.1489000000000001E-4</v>
      </c>
      <c r="K1888" s="9">
        <v>8.2650000000000003E-5</v>
      </c>
      <c r="L1888" s="9">
        <v>1.7055999999999999E-4</v>
      </c>
      <c r="M1888" s="9">
        <v>1.7427999999999999E-4</v>
      </c>
      <c r="N1888" s="9">
        <v>1.561E-4</v>
      </c>
      <c r="O1888" s="9">
        <v>1.7131000000000001E-4</v>
      </c>
      <c r="P1888" s="9">
        <v>1.7299000000000001E-4</v>
      </c>
      <c r="Q1888" s="9">
        <v>1.7568999999999999E-4</v>
      </c>
      <c r="R1888" s="10">
        <v>1.0656763147174205E-6</v>
      </c>
      <c r="S1888" s="10">
        <v>2.9873642611710267E-5</v>
      </c>
      <c r="T1888" s="10">
        <v>1.254997559873081E-4</v>
      </c>
      <c r="U1888" s="10">
        <v>1.5438E-4</v>
      </c>
      <c r="V1888" s="25"/>
      <c r="W1888" s="25"/>
      <c r="X1888" s="25"/>
      <c r="Y1888" s="25"/>
      <c r="Z1888" s="25"/>
      <c r="AA1888" s="25"/>
    </row>
    <row r="1889" spans="1:27" x14ac:dyDescent="0.35">
      <c r="A1889" s="5">
        <v>1885</v>
      </c>
      <c r="B1889" s="5">
        <v>79</v>
      </c>
      <c r="C1889" s="5">
        <v>3</v>
      </c>
      <c r="D1889" s="25">
        <v>1.1416E-4</v>
      </c>
      <c r="E1889" s="25">
        <v>1.1975E-4</v>
      </c>
      <c r="F1889" s="25">
        <v>1.198E-4</v>
      </c>
      <c r="G1889" s="25">
        <v>1.6123E-4</v>
      </c>
      <c r="H1889" s="25">
        <v>1.9185E-4</v>
      </c>
      <c r="I1889" s="9">
        <v>1.2794999999999999E-4</v>
      </c>
      <c r="J1889" s="9">
        <v>1.1328999999999999E-4</v>
      </c>
      <c r="K1889" s="9">
        <v>6.9939999999999998E-5</v>
      </c>
      <c r="L1889" s="9">
        <v>1.7127000000000001E-4</v>
      </c>
      <c r="M1889" s="9">
        <v>1.7419000000000001E-4</v>
      </c>
      <c r="N1889" s="9">
        <v>1.6606999999999999E-4</v>
      </c>
      <c r="O1889" s="9">
        <v>1.6055E-4</v>
      </c>
      <c r="P1889" s="9">
        <v>1.6301E-4</v>
      </c>
      <c r="Q1889" s="9">
        <v>1.6639000000000001E-4</v>
      </c>
      <c r="R1889" s="10">
        <v>1.0378676357891167E-6</v>
      </c>
      <c r="S1889" s="10">
        <v>4.4101148177134567E-5</v>
      </c>
      <c r="T1889" s="10">
        <v>1.6565594481153265E-4</v>
      </c>
      <c r="U1889" s="10">
        <v>1.5438E-4</v>
      </c>
      <c r="V1889" s="25"/>
      <c r="W1889" s="25"/>
      <c r="X1889" s="25"/>
      <c r="Y1889" s="25"/>
      <c r="Z1889" s="25"/>
      <c r="AA1889" s="25"/>
    </row>
    <row r="1890" spans="1:27" x14ac:dyDescent="0.35">
      <c r="A1890" s="5">
        <v>1886</v>
      </c>
      <c r="B1890" s="5">
        <v>79</v>
      </c>
      <c r="C1890" s="5">
        <v>3</v>
      </c>
      <c r="D1890" s="25">
        <v>1.1415000000000001E-4</v>
      </c>
      <c r="E1890" s="25">
        <v>1.1556E-4</v>
      </c>
      <c r="F1890" s="25">
        <v>1.1313E-4</v>
      </c>
      <c r="G1890" s="25">
        <v>1.6594E-4</v>
      </c>
      <c r="H1890" s="25">
        <v>1.9728000000000001E-4</v>
      </c>
      <c r="I1890" s="9">
        <v>1.2525000000000001E-4</v>
      </c>
      <c r="J1890" s="9">
        <v>1.1090999999999999E-4</v>
      </c>
      <c r="K1890" s="9">
        <v>6.7819999999999998E-5</v>
      </c>
      <c r="L1890" s="9">
        <v>1.6264E-4</v>
      </c>
      <c r="M1890" s="9">
        <v>1.7008999999999999E-4</v>
      </c>
      <c r="N1890" s="9">
        <v>1.7030999999999999E-4</v>
      </c>
      <c r="O1890" s="9">
        <v>1.7662999999999999E-4</v>
      </c>
      <c r="P1890" s="9">
        <v>1.6744000000000001E-4</v>
      </c>
      <c r="Q1890" s="9">
        <v>1.5948000000000001E-4</v>
      </c>
      <c r="R1890" s="10">
        <v>1.2389645562579371E-6</v>
      </c>
      <c r="S1890" s="10">
        <v>5.7388547871515774E-5</v>
      </c>
      <c r="T1890" s="10">
        <v>3.6174507139202653E-4</v>
      </c>
      <c r="U1890" s="10">
        <v>1.5438E-4</v>
      </c>
      <c r="V1890" s="25"/>
      <c r="W1890" s="25"/>
      <c r="X1890" s="25"/>
      <c r="Y1890" s="25"/>
      <c r="Z1890" s="25"/>
      <c r="AA1890" s="25"/>
    </row>
    <row r="1891" spans="1:27" x14ac:dyDescent="0.35">
      <c r="A1891" s="5">
        <v>1887</v>
      </c>
      <c r="B1891" s="5">
        <v>79</v>
      </c>
      <c r="C1891" s="5">
        <v>3</v>
      </c>
      <c r="D1891" s="25">
        <v>1.1416E-4</v>
      </c>
      <c r="E1891" s="25">
        <v>1.2502999999999999E-4</v>
      </c>
      <c r="F1891" s="25">
        <v>1.0661E-4</v>
      </c>
      <c r="G1891" s="25">
        <v>1.6574999999999999E-4</v>
      </c>
      <c r="H1891" s="25">
        <v>1.8945999999999999E-4</v>
      </c>
      <c r="I1891" s="9">
        <v>1.2305000000000001E-4</v>
      </c>
      <c r="J1891" s="9">
        <v>1.0832000000000001E-4</v>
      </c>
      <c r="K1891" s="9">
        <v>6.5699999999999998E-5</v>
      </c>
      <c r="L1891" s="9">
        <v>1.7378000000000001E-4</v>
      </c>
      <c r="M1891" s="9">
        <v>1.6793E-4</v>
      </c>
      <c r="N1891" s="9">
        <v>1.6967999999999999E-4</v>
      </c>
      <c r="O1891" s="9">
        <v>1.8202E-4</v>
      </c>
      <c r="P1891" s="9">
        <v>1.6605E-4</v>
      </c>
      <c r="Q1891" s="9">
        <v>1.5145999999999999E-4</v>
      </c>
      <c r="R1891" s="10">
        <v>1.3000927456815484E-6</v>
      </c>
      <c r="S1891" s="10">
        <v>6.8348407922773377E-5</v>
      </c>
      <c r="T1891" s="10">
        <v>5.495026160106804E-4</v>
      </c>
      <c r="U1891" s="10">
        <v>1.5438E-4</v>
      </c>
      <c r="V1891" s="25"/>
      <c r="W1891" s="25"/>
      <c r="X1891" s="25"/>
      <c r="Y1891" s="25"/>
      <c r="Z1891" s="25"/>
      <c r="AA1891" s="25"/>
    </row>
    <row r="1892" spans="1:27" x14ac:dyDescent="0.35">
      <c r="A1892" s="5">
        <v>1888</v>
      </c>
      <c r="B1892" s="5">
        <v>79</v>
      </c>
      <c r="C1892" s="5">
        <v>3</v>
      </c>
      <c r="D1892" s="25">
        <v>1.1415000000000001E-4</v>
      </c>
      <c r="E1892" s="25">
        <v>1.195E-4</v>
      </c>
      <c r="F1892" s="25">
        <v>1.0876E-4</v>
      </c>
      <c r="G1892" s="25">
        <v>1.6314000000000001E-4</v>
      </c>
      <c r="H1892" s="25">
        <v>1.974E-4</v>
      </c>
      <c r="I1892" s="9">
        <v>1.2120000000000001E-4</v>
      </c>
      <c r="J1892" s="9">
        <v>1.0765E-4</v>
      </c>
      <c r="K1892" s="9">
        <v>7.2059999999999998E-5</v>
      </c>
      <c r="L1892" s="9">
        <v>1.7992E-4</v>
      </c>
      <c r="M1892" s="9">
        <v>1.6678E-4</v>
      </c>
      <c r="N1892" s="9">
        <v>1.6564999999999999E-4</v>
      </c>
      <c r="O1892" s="9">
        <v>1.9570000000000001E-4</v>
      </c>
      <c r="P1892" s="9">
        <v>1.5138E-4</v>
      </c>
      <c r="Q1892" s="9">
        <v>1.0899E-4</v>
      </c>
      <c r="R1892" s="10">
        <v>9.9416024690054674E-7</v>
      </c>
      <c r="S1892" s="10">
        <v>7.690668743130124E-5</v>
      </c>
      <c r="T1892" s="10">
        <v>4.0858688810416335E-4</v>
      </c>
      <c r="U1892" s="10">
        <v>1.5438E-4</v>
      </c>
      <c r="V1892" s="25"/>
      <c r="W1892" s="25"/>
      <c r="X1892" s="25"/>
      <c r="Y1892" s="25"/>
      <c r="Z1892" s="25"/>
      <c r="AA1892" s="25"/>
    </row>
    <row r="1893" spans="1:27" x14ac:dyDescent="0.35">
      <c r="A1893" s="5">
        <v>1889</v>
      </c>
      <c r="B1893" s="5">
        <v>79</v>
      </c>
      <c r="C1893" s="5">
        <v>3</v>
      </c>
      <c r="D1893" s="25">
        <v>1.1416E-4</v>
      </c>
      <c r="E1893" s="25">
        <v>1.2491999999999999E-4</v>
      </c>
      <c r="F1893" s="25">
        <v>1.1135E-4</v>
      </c>
      <c r="G1893" s="25">
        <v>1.574E-4</v>
      </c>
      <c r="H1893" s="25">
        <v>1.8972999999999999E-4</v>
      </c>
      <c r="I1893" s="9">
        <v>1.1913000000000001E-4</v>
      </c>
      <c r="J1893" s="9">
        <v>1.0993999999999999E-4</v>
      </c>
      <c r="K1893" s="9">
        <v>9.1139999999999998E-5</v>
      </c>
      <c r="L1893" s="9">
        <v>1.9199000000000001E-4</v>
      </c>
      <c r="M1893" s="9">
        <v>1.6107E-4</v>
      </c>
      <c r="N1893" s="9">
        <v>1.5179000000000001E-4</v>
      </c>
      <c r="O1893" s="9">
        <v>2.1236000000000001E-4</v>
      </c>
      <c r="P1893" s="9">
        <v>1.5831999999999999E-4</v>
      </c>
      <c r="Q1893" s="9">
        <v>1.0649000000000001E-4</v>
      </c>
      <c r="R1893" s="10">
        <v>2.8865238279756536E-6</v>
      </c>
      <c r="S1893" s="10">
        <v>8.3798817292203844E-5</v>
      </c>
      <c r="T1893" s="10">
        <v>1.7034776235216146E-4</v>
      </c>
      <c r="U1893" s="10">
        <v>1.5438E-4</v>
      </c>
      <c r="V1893" s="25"/>
      <c r="W1893" s="25"/>
      <c r="X1893" s="25"/>
      <c r="Y1893" s="25"/>
      <c r="Z1893" s="25"/>
      <c r="AA1893" s="25"/>
    </row>
    <row r="1894" spans="1:27" x14ac:dyDescent="0.35">
      <c r="A1894" s="5">
        <v>1890</v>
      </c>
      <c r="B1894" s="5">
        <v>79</v>
      </c>
      <c r="C1894" s="5">
        <v>3</v>
      </c>
      <c r="D1894" s="25">
        <v>1.1415000000000001E-4</v>
      </c>
      <c r="E1894" s="25">
        <v>1.2216000000000001E-4</v>
      </c>
      <c r="F1894" s="25">
        <v>1.2087999999999999E-4</v>
      </c>
      <c r="G1894" s="25">
        <v>1.5647999999999999E-4</v>
      </c>
      <c r="H1894" s="25">
        <v>1.9076999999999999E-4</v>
      </c>
      <c r="I1894" s="9">
        <v>1.2026E-4</v>
      </c>
      <c r="J1894" s="9">
        <v>1.1364E-4</v>
      </c>
      <c r="K1894" s="9">
        <v>1.1232E-4</v>
      </c>
      <c r="L1894" s="9">
        <v>2.0762999999999999E-4</v>
      </c>
      <c r="M1894" s="9">
        <v>1.5851999999999999E-4</v>
      </c>
      <c r="N1894" s="9">
        <v>1.3834000000000001E-4</v>
      </c>
      <c r="O1894" s="9">
        <v>2.0430000000000001E-4</v>
      </c>
      <c r="P1894" s="9">
        <v>1.5976E-4</v>
      </c>
      <c r="Q1894" s="9">
        <v>1.1721E-4</v>
      </c>
      <c r="R1894" s="10">
        <v>5.3796143800784871E-6</v>
      </c>
      <c r="S1894" s="10">
        <v>9.4959315130223535E-5</v>
      </c>
      <c r="T1894" s="10">
        <v>2.1872523724667411E-5</v>
      </c>
      <c r="U1894" s="10">
        <v>1.5438E-4</v>
      </c>
      <c r="V1894" s="25"/>
      <c r="W1894" s="25"/>
      <c r="X1894" s="25"/>
      <c r="Y1894" s="25"/>
      <c r="Z1894" s="25"/>
      <c r="AA1894" s="25"/>
    </row>
    <row r="1895" spans="1:27" x14ac:dyDescent="0.35">
      <c r="A1895" s="5">
        <v>1891</v>
      </c>
      <c r="B1895" s="5">
        <v>79</v>
      </c>
      <c r="C1895" s="5">
        <v>3</v>
      </c>
      <c r="D1895" s="25">
        <v>1.1416E-4</v>
      </c>
      <c r="E1895" s="25">
        <v>1.2483000000000001E-4</v>
      </c>
      <c r="F1895" s="25">
        <v>1.0239E-4</v>
      </c>
      <c r="G1895" s="25">
        <v>1.0721E-4</v>
      </c>
      <c r="H1895" s="25">
        <v>1.3411E-4</v>
      </c>
      <c r="I1895" s="9">
        <v>1.2265E-4</v>
      </c>
      <c r="J1895" s="9">
        <v>1.1475E-4</v>
      </c>
      <c r="K1895" s="9">
        <v>1.3564E-4</v>
      </c>
      <c r="L1895" s="9">
        <v>2.0463999999999999E-4</v>
      </c>
      <c r="M1895" s="9">
        <v>1.5846E-4</v>
      </c>
      <c r="N1895" s="9">
        <v>1.2929E-4</v>
      </c>
      <c r="O1895" s="9">
        <v>1.6473E-4</v>
      </c>
      <c r="P1895" s="9">
        <v>1.3535000000000001E-4</v>
      </c>
      <c r="Q1895" s="9">
        <v>1.0743000000000001E-4</v>
      </c>
      <c r="R1895" s="10">
        <v>7.4953592397313777E-6</v>
      </c>
      <c r="S1895" s="10">
        <v>1.0403657585858704E-4</v>
      </c>
      <c r="T1895" s="10">
        <v>0</v>
      </c>
      <c r="U1895" s="10">
        <v>1.5438E-4</v>
      </c>
      <c r="V1895" s="25"/>
      <c r="W1895" s="25"/>
      <c r="X1895" s="25"/>
      <c r="Y1895" s="25"/>
      <c r="Z1895" s="25"/>
      <c r="AA1895" s="25"/>
    </row>
    <row r="1896" spans="1:27" x14ac:dyDescent="0.35">
      <c r="A1896" s="5">
        <v>1892</v>
      </c>
      <c r="B1896" s="5">
        <v>79</v>
      </c>
      <c r="C1896" s="5">
        <v>3</v>
      </c>
      <c r="D1896" s="25">
        <v>1.1415000000000001E-4</v>
      </c>
      <c r="E1896" s="25">
        <v>1.1878E-4</v>
      </c>
      <c r="F1896" s="25">
        <v>1.0116E-4</v>
      </c>
      <c r="G1896" s="25">
        <v>1.0601E-4</v>
      </c>
      <c r="H1896" s="25">
        <v>1.2557000000000001E-4</v>
      </c>
      <c r="I1896" s="9">
        <v>1.2630000000000001E-4</v>
      </c>
      <c r="J1896" s="9">
        <v>1.1718E-4</v>
      </c>
      <c r="K1896" s="9">
        <v>1.4622999999999999E-4</v>
      </c>
      <c r="L1896" s="9">
        <v>1.7367000000000001E-4</v>
      </c>
      <c r="M1896" s="9">
        <v>1.5029999999999999E-4</v>
      </c>
      <c r="N1896" s="9">
        <v>1.2040999999999999E-4</v>
      </c>
      <c r="O1896" s="9">
        <v>1.2803000000000001E-4</v>
      </c>
      <c r="P1896" s="9">
        <v>1.1421000000000001E-4</v>
      </c>
      <c r="Q1896" s="9">
        <v>1.0131E-4</v>
      </c>
      <c r="R1896" s="10">
        <v>8.6602621215277829E-6</v>
      </c>
      <c r="S1896" s="10">
        <v>1.155305870618932E-4</v>
      </c>
      <c r="T1896" s="10">
        <v>0</v>
      </c>
      <c r="U1896" s="10">
        <v>1.5438E-4</v>
      </c>
      <c r="V1896" s="25"/>
      <c r="W1896" s="25"/>
      <c r="X1896" s="25"/>
      <c r="Y1896" s="25"/>
      <c r="Z1896" s="25"/>
      <c r="AA1896" s="25"/>
    </row>
    <row r="1897" spans="1:27" x14ac:dyDescent="0.35">
      <c r="A1897" s="5">
        <v>1893</v>
      </c>
      <c r="B1897" s="5">
        <v>79</v>
      </c>
      <c r="C1897" s="5">
        <v>3</v>
      </c>
      <c r="D1897" s="25">
        <v>1.1416E-4</v>
      </c>
      <c r="E1897" s="25">
        <v>1.1726999999999999E-4</v>
      </c>
      <c r="F1897" s="25">
        <v>1.1459E-4</v>
      </c>
      <c r="G1897" s="25">
        <v>5.8369999999999998E-5</v>
      </c>
      <c r="H1897" s="25">
        <v>6.936E-5</v>
      </c>
      <c r="I1897" s="9">
        <v>1.2091000000000001E-4</v>
      </c>
      <c r="J1897" s="9">
        <v>1.1275E-4</v>
      </c>
      <c r="K1897" s="9">
        <v>1.7165999999999999E-4</v>
      </c>
      <c r="L1897" s="9">
        <v>1.3904E-4</v>
      </c>
      <c r="M1897" s="9">
        <v>1.35E-4</v>
      </c>
      <c r="N1897" s="9">
        <v>1.1277000000000001E-4</v>
      </c>
      <c r="O1897" s="9">
        <v>8.4870000000000006E-5</v>
      </c>
      <c r="P1897" s="9">
        <v>8.6509999999999997E-5</v>
      </c>
      <c r="Q1897" s="9">
        <v>8.852E-5</v>
      </c>
      <c r="R1897" s="10">
        <v>9.9947904299959747E-6</v>
      </c>
      <c r="S1897" s="10">
        <v>1.3027861139595351E-4</v>
      </c>
      <c r="T1897" s="10">
        <v>0</v>
      </c>
      <c r="U1897" s="10">
        <v>1.5438E-4</v>
      </c>
      <c r="V1897" s="25"/>
      <c r="W1897" s="25"/>
      <c r="X1897" s="25"/>
      <c r="Y1897" s="25"/>
      <c r="Z1897" s="25"/>
      <c r="AA1897" s="25"/>
    </row>
    <row r="1898" spans="1:27" x14ac:dyDescent="0.35">
      <c r="A1898" s="5">
        <v>1894</v>
      </c>
      <c r="B1898" s="5">
        <v>79</v>
      </c>
      <c r="C1898" s="5">
        <v>3</v>
      </c>
      <c r="D1898" s="25">
        <v>1.1415000000000001E-4</v>
      </c>
      <c r="E1898" s="25">
        <v>1.2352000000000001E-4</v>
      </c>
      <c r="F1898" s="25">
        <v>1.2022E-4</v>
      </c>
      <c r="G1898" s="25">
        <v>5.622E-5</v>
      </c>
      <c r="H1898" s="25">
        <v>6.3990000000000002E-5</v>
      </c>
      <c r="I1898" s="9">
        <v>1.1565000000000001E-4</v>
      </c>
      <c r="J1898" s="9">
        <v>1.063E-4</v>
      </c>
      <c r="K1898" s="9">
        <v>1.8437999999999999E-4</v>
      </c>
      <c r="L1898" s="9">
        <v>9.7720000000000006E-5</v>
      </c>
      <c r="M1898" s="9">
        <v>1.1359E-4</v>
      </c>
      <c r="N1898" s="9">
        <v>1.0537E-4</v>
      </c>
      <c r="O1898" s="9">
        <v>8.7949999999999996E-5</v>
      </c>
      <c r="P1898" s="9">
        <v>8.8200000000000003E-5</v>
      </c>
      <c r="Q1898" s="9">
        <v>8.8850000000000005E-5</v>
      </c>
      <c r="R1898" s="10">
        <v>1.8240268931729542E-5</v>
      </c>
      <c r="S1898" s="10">
        <v>1.4197456920279124E-4</v>
      </c>
      <c r="T1898" s="10">
        <v>0</v>
      </c>
      <c r="U1898" s="10">
        <v>1.5438E-4</v>
      </c>
      <c r="V1898" s="25"/>
      <c r="W1898" s="25"/>
      <c r="X1898" s="25"/>
      <c r="Y1898" s="25"/>
      <c r="Z1898" s="25"/>
      <c r="AA1898" s="25"/>
    </row>
    <row r="1899" spans="1:27" x14ac:dyDescent="0.35">
      <c r="A1899" s="5">
        <v>1895</v>
      </c>
      <c r="B1899" s="5">
        <v>79</v>
      </c>
      <c r="C1899" s="5">
        <v>3</v>
      </c>
      <c r="D1899" s="25">
        <v>1.1416E-4</v>
      </c>
      <c r="E1899" s="25">
        <v>1.1603E-4</v>
      </c>
      <c r="F1899" s="25">
        <v>1.0805E-4</v>
      </c>
      <c r="G1899" s="25">
        <v>6.2050000000000004E-5</v>
      </c>
      <c r="H1899" s="25">
        <v>6.5740000000000004E-5</v>
      </c>
      <c r="I1899" s="9">
        <v>1.158E-4</v>
      </c>
      <c r="J1899" s="9">
        <v>1.0045E-4</v>
      </c>
      <c r="K1899" s="9">
        <v>1.9285E-4</v>
      </c>
      <c r="L1899" s="9">
        <v>9.1020000000000006E-5</v>
      </c>
      <c r="M1899" s="9">
        <v>9.9199999999999999E-5</v>
      </c>
      <c r="N1899" s="9">
        <v>9.9809999999999995E-5</v>
      </c>
      <c r="O1899" s="9">
        <v>7.7979999999999995E-5</v>
      </c>
      <c r="P1899" s="9">
        <v>7.2299999999999996E-5</v>
      </c>
      <c r="Q1899" s="9">
        <v>6.7039999999999995E-5</v>
      </c>
      <c r="R1899" s="10">
        <v>2.9551206834318243E-5</v>
      </c>
      <c r="S1899" s="10">
        <v>1.4471546850307513E-4</v>
      </c>
      <c r="T1899" s="10">
        <v>0</v>
      </c>
      <c r="U1899" s="10">
        <v>1.5438E-4</v>
      </c>
      <c r="V1899" s="25"/>
      <c r="W1899" s="25"/>
      <c r="X1899" s="25"/>
      <c r="Y1899" s="25"/>
      <c r="Z1899" s="25"/>
      <c r="AA1899" s="25"/>
    </row>
    <row r="1900" spans="1:27" x14ac:dyDescent="0.35">
      <c r="A1900" s="5">
        <v>1896</v>
      </c>
      <c r="B1900" s="5">
        <v>79</v>
      </c>
      <c r="C1900" s="5">
        <v>3</v>
      </c>
      <c r="D1900" s="25">
        <v>1.1415000000000001E-4</v>
      </c>
      <c r="E1900" s="25">
        <v>1.1400000000000001E-4</v>
      </c>
      <c r="F1900" s="25">
        <v>1.1097E-4</v>
      </c>
      <c r="G1900" s="25">
        <v>6.0019999999999998E-5</v>
      </c>
      <c r="H1900" s="25">
        <v>7.3360000000000002E-5</v>
      </c>
      <c r="I1900" s="9">
        <v>1.1626E-4</v>
      </c>
      <c r="J1900" s="9">
        <v>9.4580000000000006E-5</v>
      </c>
      <c r="K1900" s="9">
        <v>2.0557E-4</v>
      </c>
      <c r="L1900" s="9">
        <v>8.0820000000000002E-5</v>
      </c>
      <c r="M1900" s="9">
        <v>8.6370000000000001E-5</v>
      </c>
      <c r="N1900" s="9">
        <v>9.0649999999999994E-5</v>
      </c>
      <c r="O1900" s="9">
        <v>6.2539999999999994E-5</v>
      </c>
      <c r="P1900" s="9">
        <v>6.0479999999999997E-5</v>
      </c>
      <c r="Q1900" s="9">
        <v>5.8669999999999999E-5</v>
      </c>
      <c r="R1900" s="10">
        <v>4.8411437890664682E-5</v>
      </c>
      <c r="S1900" s="10">
        <v>1.5768771447144595E-4</v>
      </c>
      <c r="T1900" s="10">
        <v>0</v>
      </c>
      <c r="U1900" s="10">
        <v>1.5438E-4</v>
      </c>
      <c r="V1900" s="25"/>
      <c r="W1900" s="25"/>
      <c r="X1900" s="25"/>
      <c r="Y1900" s="25"/>
      <c r="Z1900" s="25"/>
      <c r="AA1900" s="25"/>
    </row>
    <row r="1901" spans="1:27" x14ac:dyDescent="0.35">
      <c r="A1901" s="5">
        <v>1897</v>
      </c>
      <c r="B1901" s="5">
        <v>80</v>
      </c>
      <c r="C1901" s="5">
        <v>3</v>
      </c>
      <c r="D1901" s="25">
        <v>1.1416E-4</v>
      </c>
      <c r="E1901" s="25">
        <v>1.1479E-4</v>
      </c>
      <c r="F1901" s="25">
        <v>1.194E-4</v>
      </c>
      <c r="G1901" s="25">
        <v>5.2609999999999999E-5</v>
      </c>
      <c r="H1901" s="25">
        <v>7.4140000000000005E-5</v>
      </c>
      <c r="I1901" s="9">
        <v>1.1081E-4</v>
      </c>
      <c r="J1901" s="9">
        <v>8.8460000000000003E-5</v>
      </c>
      <c r="K1901" s="9">
        <v>2.1829E-4</v>
      </c>
      <c r="L1901" s="9">
        <v>6.6569999999999995E-5</v>
      </c>
      <c r="M1901" s="9">
        <v>7.4090000000000004E-5</v>
      </c>
      <c r="N1901" s="9">
        <v>8.1219999999999998E-5</v>
      </c>
      <c r="O1901" s="9">
        <v>5.4599999999999999E-5</v>
      </c>
      <c r="P1901" s="9">
        <v>5.4020000000000001E-5</v>
      </c>
      <c r="Q1901" s="9">
        <v>5.3600000000000002E-5</v>
      </c>
      <c r="R1901" s="10">
        <v>6.2027764138548072E-5</v>
      </c>
      <c r="S1901" s="10">
        <v>1.5515914800396681E-4</v>
      </c>
      <c r="T1901" s="10">
        <v>0</v>
      </c>
      <c r="U1901" s="10">
        <v>1.5213E-4</v>
      </c>
      <c r="V1901" s="25"/>
      <c r="W1901" s="25"/>
      <c r="X1901" s="25"/>
      <c r="Y1901" s="25"/>
      <c r="Z1901" s="25"/>
      <c r="AA1901" s="25"/>
    </row>
    <row r="1902" spans="1:27" x14ac:dyDescent="0.35">
      <c r="A1902" s="5">
        <v>1898</v>
      </c>
      <c r="B1902" s="5">
        <v>80</v>
      </c>
      <c r="C1902" s="5">
        <v>3</v>
      </c>
      <c r="D1902" s="25">
        <v>1.1415000000000001E-4</v>
      </c>
      <c r="E1902" s="25">
        <v>1.1401E-4</v>
      </c>
      <c r="F1902" s="25">
        <v>1.1985999999999999E-4</v>
      </c>
      <c r="G1902" s="25">
        <v>5.6499999999999998E-5</v>
      </c>
      <c r="H1902" s="25">
        <v>7.4040000000000003E-5</v>
      </c>
      <c r="I1902" s="9">
        <v>1.0507E-4</v>
      </c>
      <c r="J1902" s="9">
        <v>8.4549999999999995E-5</v>
      </c>
      <c r="K1902" s="9">
        <v>2.3101E-4</v>
      </c>
      <c r="L1902" s="9">
        <v>5.7630000000000002E-5</v>
      </c>
      <c r="M1902" s="9">
        <v>6.3940000000000001E-5</v>
      </c>
      <c r="N1902" s="9">
        <v>7.216E-5</v>
      </c>
      <c r="O1902" s="9">
        <v>1.9049999999999999E-5</v>
      </c>
      <c r="P1902" s="9">
        <v>3.8040000000000002E-5</v>
      </c>
      <c r="Q1902" s="9">
        <v>5.6610000000000002E-5</v>
      </c>
      <c r="R1902" s="10">
        <v>7.5496921960642335E-5</v>
      </c>
      <c r="S1902" s="10">
        <v>1.4656402617246815E-4</v>
      </c>
      <c r="T1902" s="10">
        <v>0</v>
      </c>
      <c r="U1902" s="10">
        <v>1.5213E-4</v>
      </c>
      <c r="V1902" s="25"/>
      <c r="W1902" s="25"/>
      <c r="X1902" s="25"/>
      <c r="Y1902" s="25"/>
      <c r="Z1902" s="25"/>
      <c r="AA1902" s="25"/>
    </row>
    <row r="1903" spans="1:27" x14ac:dyDescent="0.35">
      <c r="A1903" s="5">
        <v>1899</v>
      </c>
      <c r="B1903" s="5">
        <v>80</v>
      </c>
      <c r="C1903" s="5">
        <v>3</v>
      </c>
      <c r="D1903" s="25">
        <v>1.1416E-4</v>
      </c>
      <c r="E1903" s="25">
        <v>1.1947000000000001E-4</v>
      </c>
      <c r="F1903" s="25">
        <v>1.1241E-4</v>
      </c>
      <c r="G1903" s="25">
        <v>5.3789999999999998E-5</v>
      </c>
      <c r="H1903" s="25">
        <v>6.3990000000000002E-5</v>
      </c>
      <c r="I1903" s="9">
        <v>1.0111999999999999E-4</v>
      </c>
      <c r="J1903" s="9">
        <v>8.2929999999999994E-5</v>
      </c>
      <c r="K1903" s="9">
        <v>2.4372E-4</v>
      </c>
      <c r="L1903" s="9">
        <v>2.773E-5</v>
      </c>
      <c r="M1903" s="9">
        <v>5.2309999999999999E-5</v>
      </c>
      <c r="N1903" s="9">
        <v>6.567E-5</v>
      </c>
      <c r="O1903" s="9">
        <v>1.342E-5</v>
      </c>
      <c r="P1903" s="9">
        <v>3.7740000000000001E-5</v>
      </c>
      <c r="Q1903" s="9">
        <v>6.1519999999999994E-5</v>
      </c>
      <c r="R1903" s="10">
        <v>9.0557429643583725E-5</v>
      </c>
      <c r="S1903" s="10">
        <v>1.4414711723805335E-4</v>
      </c>
      <c r="T1903" s="10">
        <v>0</v>
      </c>
      <c r="U1903" s="10">
        <v>1.5213E-4</v>
      </c>
      <c r="V1903" s="25"/>
      <c r="W1903" s="25"/>
      <c r="X1903" s="25"/>
      <c r="Y1903" s="25"/>
      <c r="Z1903" s="25"/>
      <c r="AA1903" s="25"/>
    </row>
    <row r="1904" spans="1:27" x14ac:dyDescent="0.35">
      <c r="A1904" s="5">
        <v>1900</v>
      </c>
      <c r="B1904" s="5">
        <v>80</v>
      </c>
      <c r="C1904" s="5">
        <v>3</v>
      </c>
      <c r="D1904" s="25">
        <v>1.1415000000000001E-4</v>
      </c>
      <c r="E1904" s="25">
        <v>1.1682E-4</v>
      </c>
      <c r="F1904" s="25">
        <v>1.1885E-4</v>
      </c>
      <c r="G1904" s="25">
        <v>5.3850000000000001E-5</v>
      </c>
      <c r="H1904" s="25">
        <v>7.5060000000000003E-5</v>
      </c>
      <c r="I1904" s="9">
        <v>9.7789999999999997E-5</v>
      </c>
      <c r="J1904" s="9">
        <v>8.2200000000000006E-5</v>
      </c>
      <c r="K1904" s="9">
        <v>2.3948E-4</v>
      </c>
      <c r="L1904" s="9">
        <v>1.7309999999999999E-5</v>
      </c>
      <c r="M1904" s="9">
        <v>4.4289999999999998E-5</v>
      </c>
      <c r="N1904" s="9">
        <v>6.2039999999999996E-5</v>
      </c>
      <c r="O1904" s="9">
        <v>1.3519999999999999E-5</v>
      </c>
      <c r="P1904" s="9">
        <v>4.7530000000000001E-5</v>
      </c>
      <c r="Q1904" s="9">
        <v>8.0840000000000005E-5</v>
      </c>
      <c r="R1904" s="10">
        <v>1.0252430061694296E-4</v>
      </c>
      <c r="S1904" s="10">
        <v>1.5853156653473032E-4</v>
      </c>
      <c r="T1904" s="10">
        <v>0</v>
      </c>
      <c r="U1904" s="10">
        <v>1.5213E-4</v>
      </c>
      <c r="V1904" s="25"/>
      <c r="W1904" s="25"/>
      <c r="X1904" s="25"/>
      <c r="Y1904" s="25"/>
      <c r="Z1904" s="25"/>
      <c r="AA1904" s="25"/>
    </row>
    <row r="1905" spans="1:27" x14ac:dyDescent="0.35">
      <c r="A1905" s="5">
        <v>1901</v>
      </c>
      <c r="B1905" s="5">
        <v>80</v>
      </c>
      <c r="C1905" s="5">
        <v>3</v>
      </c>
      <c r="D1905" s="25">
        <v>1.1416E-4</v>
      </c>
      <c r="E1905" s="25">
        <v>1.1917E-4</v>
      </c>
      <c r="F1905" s="25">
        <v>1.1993999999999999E-4</v>
      </c>
      <c r="G1905" s="25">
        <v>5.2509999999999997E-5</v>
      </c>
      <c r="H1905" s="25">
        <v>6.7139999999999998E-5</v>
      </c>
      <c r="I1905" s="9">
        <v>9.7180000000000001E-5</v>
      </c>
      <c r="J1905" s="9">
        <v>8.365E-5</v>
      </c>
      <c r="K1905" s="9">
        <v>2.5431999999999999E-4</v>
      </c>
      <c r="L1905" s="9">
        <v>1.4600000000000001E-5</v>
      </c>
      <c r="M1905" s="9">
        <v>4.3649999999999997E-5</v>
      </c>
      <c r="N1905" s="9">
        <v>6.4649999999999999E-5</v>
      </c>
      <c r="O1905" s="9">
        <v>1.8870000000000001E-5</v>
      </c>
      <c r="P1905" s="9">
        <v>5.6520000000000001E-5</v>
      </c>
      <c r="Q1905" s="9">
        <v>9.3460000000000003E-5</v>
      </c>
      <c r="R1905" s="10">
        <v>1.1166019556857059E-4</v>
      </c>
      <c r="S1905" s="10">
        <v>1.7538088926016379E-4</v>
      </c>
      <c r="T1905" s="10">
        <v>0</v>
      </c>
      <c r="U1905" s="10">
        <v>1.5213E-4</v>
      </c>
      <c r="V1905" s="25"/>
      <c r="W1905" s="25"/>
      <c r="X1905" s="25"/>
      <c r="Y1905" s="25"/>
      <c r="Z1905" s="25"/>
      <c r="AA1905" s="25"/>
    </row>
    <row r="1906" spans="1:27" x14ac:dyDescent="0.35">
      <c r="A1906" s="5">
        <v>1902</v>
      </c>
      <c r="B1906" s="5">
        <v>80</v>
      </c>
      <c r="C1906" s="5">
        <v>3</v>
      </c>
      <c r="D1906" s="25">
        <v>1.1415000000000001E-4</v>
      </c>
      <c r="E1906" s="25">
        <v>1.1958E-4</v>
      </c>
      <c r="F1906" s="25">
        <v>1.2093E-4</v>
      </c>
      <c r="G1906" s="25">
        <v>1.0708E-4</v>
      </c>
      <c r="H1906" s="25">
        <v>1.3080000000000001E-4</v>
      </c>
      <c r="I1906" s="9">
        <v>9.8939999999999998E-5</v>
      </c>
      <c r="J1906" s="9">
        <v>8.4259999999999996E-5</v>
      </c>
      <c r="K1906" s="9">
        <v>2.6279999999999999E-4</v>
      </c>
      <c r="L1906" s="9">
        <v>1.7799999999999999E-5</v>
      </c>
      <c r="M1906" s="9">
        <v>4.8470000000000002E-5</v>
      </c>
      <c r="N1906" s="9">
        <v>7.1130000000000005E-5</v>
      </c>
      <c r="O1906" s="9">
        <v>4.6140000000000002E-5</v>
      </c>
      <c r="P1906" s="9">
        <v>7.6589999999999997E-5</v>
      </c>
      <c r="Q1906" s="9">
        <v>1.0665E-4</v>
      </c>
      <c r="R1906" s="10">
        <v>1.2835332817885832E-4</v>
      </c>
      <c r="S1906" s="10">
        <v>1.806710637100894E-4</v>
      </c>
      <c r="T1906" s="10">
        <v>0</v>
      </c>
      <c r="U1906" s="10">
        <v>1.5213E-4</v>
      </c>
      <c r="V1906" s="25"/>
      <c r="W1906" s="25"/>
      <c r="X1906" s="25"/>
      <c r="Y1906" s="25"/>
      <c r="Z1906" s="25"/>
      <c r="AA1906" s="25"/>
    </row>
    <row r="1907" spans="1:27" x14ac:dyDescent="0.35">
      <c r="A1907" s="5">
        <v>1903</v>
      </c>
      <c r="B1907" s="5">
        <v>80</v>
      </c>
      <c r="C1907" s="5">
        <v>3</v>
      </c>
      <c r="D1907" s="25">
        <v>1.1416E-4</v>
      </c>
      <c r="E1907" s="25">
        <v>1.2169E-4</v>
      </c>
      <c r="F1907" s="25">
        <v>1.2116999999999999E-4</v>
      </c>
      <c r="G1907" s="25">
        <v>1.1529E-4</v>
      </c>
      <c r="H1907" s="25">
        <v>1.3483000000000001E-4</v>
      </c>
      <c r="I1907" s="9">
        <v>1.0069E-4</v>
      </c>
      <c r="J1907" s="9">
        <v>8.4679999999999996E-5</v>
      </c>
      <c r="K1907" s="9">
        <v>2.1829999999999999E-4</v>
      </c>
      <c r="L1907" s="9">
        <v>3.9759999999999999E-5</v>
      </c>
      <c r="M1907" s="9">
        <v>5.9960000000000002E-5</v>
      </c>
      <c r="N1907" s="9">
        <v>8.0729999999999994E-5</v>
      </c>
      <c r="O1907" s="9">
        <v>1.2196E-4</v>
      </c>
      <c r="P1907" s="9">
        <v>1.1631E-4</v>
      </c>
      <c r="Q1907" s="9">
        <v>1.1141000000000001E-4</v>
      </c>
      <c r="R1907" s="10">
        <v>1.384226393633469E-4</v>
      </c>
      <c r="S1907" s="10">
        <v>1.8094903003065639E-4</v>
      </c>
      <c r="T1907" s="10">
        <v>1.0792028773381282E-5</v>
      </c>
      <c r="U1907" s="10">
        <v>1.5213E-4</v>
      </c>
      <c r="V1907" s="25"/>
      <c r="W1907" s="25"/>
      <c r="X1907" s="25"/>
      <c r="Y1907" s="25"/>
      <c r="Z1907" s="25"/>
      <c r="AA1907" s="25"/>
    </row>
    <row r="1908" spans="1:27" x14ac:dyDescent="0.35">
      <c r="A1908" s="5">
        <v>1904</v>
      </c>
      <c r="B1908" s="5">
        <v>80</v>
      </c>
      <c r="C1908" s="5">
        <v>3</v>
      </c>
      <c r="D1908" s="25">
        <v>1.1415000000000001E-4</v>
      </c>
      <c r="E1908" s="25">
        <v>1.1681E-4</v>
      </c>
      <c r="F1908" s="25">
        <v>1.2306E-4</v>
      </c>
      <c r="G1908" s="25">
        <v>1.6752999999999999E-4</v>
      </c>
      <c r="H1908" s="25">
        <v>1.9848000000000001E-4</v>
      </c>
      <c r="I1908" s="9">
        <v>9.9649999999999996E-5</v>
      </c>
      <c r="J1908" s="9">
        <v>9.2150000000000004E-5</v>
      </c>
      <c r="K1908" s="9">
        <v>1.5683E-4</v>
      </c>
      <c r="L1908" s="9">
        <v>1.0326E-4</v>
      </c>
      <c r="M1908" s="9">
        <v>8.3200000000000003E-5</v>
      </c>
      <c r="N1908" s="9">
        <v>9.0569999999999995E-5</v>
      </c>
      <c r="O1908" s="9">
        <v>2.1689999999999999E-4</v>
      </c>
      <c r="P1908" s="9">
        <v>1.7503000000000001E-4</v>
      </c>
      <c r="Q1908" s="9">
        <v>1.3521E-4</v>
      </c>
      <c r="R1908" s="10">
        <v>1.3893127707853187E-4</v>
      </c>
      <c r="S1908" s="10">
        <v>1.8109090982219113E-4</v>
      </c>
      <c r="T1908" s="10">
        <v>1.1553918855024079E-4</v>
      </c>
      <c r="U1908" s="10">
        <v>1.5213E-4</v>
      </c>
      <c r="V1908" s="25"/>
      <c r="W1908" s="25"/>
      <c r="X1908" s="25"/>
      <c r="Y1908" s="25"/>
      <c r="Z1908" s="25"/>
      <c r="AA1908" s="25"/>
    </row>
    <row r="1909" spans="1:27" x14ac:dyDescent="0.35">
      <c r="A1909" s="5">
        <v>1905</v>
      </c>
      <c r="B1909" s="5">
        <v>80</v>
      </c>
      <c r="C1909" s="5">
        <v>3</v>
      </c>
      <c r="D1909" s="25">
        <v>1.1416E-4</v>
      </c>
      <c r="E1909" s="25">
        <v>1.1789E-4</v>
      </c>
      <c r="F1909" s="25">
        <v>1.2071E-4</v>
      </c>
      <c r="G1909" s="25">
        <v>1.5746E-4</v>
      </c>
      <c r="H1909" s="25">
        <v>1.9698E-4</v>
      </c>
      <c r="I1909" s="9">
        <v>1.0573000000000001E-4</v>
      </c>
      <c r="J1909" s="9">
        <v>9.4959999999999999E-5</v>
      </c>
      <c r="K1909" s="9">
        <v>1.1657E-4</v>
      </c>
      <c r="L1909" s="9">
        <v>1.9016000000000001E-4</v>
      </c>
      <c r="M1909" s="9">
        <v>1.2227000000000001E-4</v>
      </c>
      <c r="N1909" s="9">
        <v>1.0399E-4</v>
      </c>
      <c r="O1909" s="9">
        <v>2.1054999999999999E-4</v>
      </c>
      <c r="P1909" s="9">
        <v>1.9270999999999999E-4</v>
      </c>
      <c r="Q1909" s="9">
        <v>1.7649000000000001E-4</v>
      </c>
      <c r="R1909" s="10">
        <v>1.3057904668699755E-4</v>
      </c>
      <c r="S1909" s="10">
        <v>1.8262176919484023E-4</v>
      </c>
      <c r="T1909" s="10">
        <v>1.4633719519125811E-4</v>
      </c>
      <c r="U1909" s="10">
        <v>1.5213E-4</v>
      </c>
      <c r="V1909" s="25"/>
      <c r="W1909" s="25"/>
      <c r="X1909" s="25"/>
      <c r="Y1909" s="25"/>
      <c r="Z1909" s="25"/>
      <c r="AA1909" s="25"/>
    </row>
    <row r="1910" spans="1:27" x14ac:dyDescent="0.35">
      <c r="A1910" s="5">
        <v>1906</v>
      </c>
      <c r="B1910" s="5">
        <v>80</v>
      </c>
      <c r="C1910" s="5">
        <v>3</v>
      </c>
      <c r="D1910" s="25">
        <v>1.1415000000000001E-4</v>
      </c>
      <c r="E1910" s="25">
        <v>1.1218999999999999E-4</v>
      </c>
      <c r="F1910" s="25">
        <v>1.2530000000000001E-4</v>
      </c>
      <c r="G1910" s="25">
        <v>1.5924999999999999E-4</v>
      </c>
      <c r="H1910" s="25">
        <v>1.8985000000000001E-4</v>
      </c>
      <c r="I1910" s="9">
        <v>1.1243000000000001E-4</v>
      </c>
      <c r="J1910" s="9">
        <v>9.7979999999999994E-5</v>
      </c>
      <c r="K1910" s="9">
        <v>8.0530000000000003E-5</v>
      </c>
      <c r="L1910" s="9">
        <v>2.0379E-4</v>
      </c>
      <c r="M1910" s="9">
        <v>1.5752999999999999E-4</v>
      </c>
      <c r="N1910" s="9">
        <v>1.2392999999999999E-4</v>
      </c>
      <c r="O1910" s="9">
        <v>1.6645000000000001E-4</v>
      </c>
      <c r="P1910" s="9">
        <v>1.7354E-4</v>
      </c>
      <c r="Q1910" s="9">
        <v>1.8152000000000001E-4</v>
      </c>
      <c r="R1910" s="10">
        <v>1.2886540826375929E-4</v>
      </c>
      <c r="S1910" s="10">
        <v>1.8457309502685322E-4</v>
      </c>
      <c r="T1910" s="10">
        <v>1.1731240711442059E-4</v>
      </c>
      <c r="U1910" s="10">
        <v>1.5213E-4</v>
      </c>
      <c r="V1910" s="25"/>
      <c r="W1910" s="25"/>
      <c r="X1910" s="25"/>
      <c r="Y1910" s="25"/>
      <c r="Z1910" s="25"/>
      <c r="AA1910" s="25"/>
    </row>
    <row r="1911" spans="1:27" x14ac:dyDescent="0.35">
      <c r="A1911" s="5">
        <v>1907</v>
      </c>
      <c r="B1911" s="5">
        <v>80</v>
      </c>
      <c r="C1911" s="5">
        <v>3</v>
      </c>
      <c r="D1911" s="25">
        <v>1.1416E-4</v>
      </c>
      <c r="E1911" s="25">
        <v>1.1134E-4</v>
      </c>
      <c r="F1911" s="25">
        <v>1.0972E-4</v>
      </c>
      <c r="G1911" s="25">
        <v>1.6269E-4</v>
      </c>
      <c r="H1911" s="25">
        <v>1.9713E-4</v>
      </c>
      <c r="I1911" s="9">
        <v>1.1692999999999999E-4</v>
      </c>
      <c r="J1911" s="9">
        <v>9.9489999999999998E-5</v>
      </c>
      <c r="K1911" s="9">
        <v>5.0869999999999999E-5</v>
      </c>
      <c r="L1911" s="9">
        <v>1.7469999999999999E-4</v>
      </c>
      <c r="M1911" s="9">
        <v>1.7149E-4</v>
      </c>
      <c r="N1911" s="9">
        <v>1.4196E-4</v>
      </c>
      <c r="O1911" s="9">
        <v>1.6788E-4</v>
      </c>
      <c r="P1911" s="9">
        <v>1.7367000000000001E-4</v>
      </c>
      <c r="Q1911" s="9">
        <v>1.8039E-4</v>
      </c>
      <c r="R1911" s="10">
        <v>1.213967828780404E-4</v>
      </c>
      <c r="S1911" s="10">
        <v>1.8401109054034148E-4</v>
      </c>
      <c r="T1911" s="10">
        <v>2.1077544875559056E-4</v>
      </c>
      <c r="U1911" s="10">
        <v>1.5213E-4</v>
      </c>
      <c r="V1911" s="25"/>
      <c r="W1911" s="25"/>
      <c r="X1911" s="25"/>
      <c r="Y1911" s="25"/>
      <c r="Z1911" s="25"/>
      <c r="AA1911" s="25"/>
    </row>
    <row r="1912" spans="1:27" x14ac:dyDescent="0.35">
      <c r="A1912" s="5">
        <v>1908</v>
      </c>
      <c r="B1912" s="5">
        <v>80</v>
      </c>
      <c r="C1912" s="5">
        <v>3</v>
      </c>
      <c r="D1912" s="25">
        <v>1.1415000000000001E-4</v>
      </c>
      <c r="E1912" s="25">
        <v>1.2019E-4</v>
      </c>
      <c r="F1912" s="25">
        <v>1.1103999999999999E-4</v>
      </c>
      <c r="G1912" s="25">
        <v>1.6488000000000001E-4</v>
      </c>
      <c r="H1912" s="25">
        <v>1.9058000000000001E-4</v>
      </c>
      <c r="I1912" s="9">
        <v>1.1993999999999999E-4</v>
      </c>
      <c r="J1912" s="9">
        <v>1.0111E-4</v>
      </c>
      <c r="K1912" s="9">
        <v>1.484E-5</v>
      </c>
      <c r="L1912" s="9">
        <v>1.7077999999999999E-4</v>
      </c>
      <c r="M1912" s="9">
        <v>1.7466000000000001E-4</v>
      </c>
      <c r="N1912" s="9">
        <v>1.5635000000000001E-4</v>
      </c>
      <c r="O1912" s="9">
        <v>1.6962999999999999E-4</v>
      </c>
      <c r="P1912" s="9">
        <v>1.7128999999999999E-4</v>
      </c>
      <c r="Q1912" s="9">
        <v>1.7395999999999999E-4</v>
      </c>
      <c r="R1912" s="10">
        <v>1.1563539313051494E-4</v>
      </c>
      <c r="S1912" s="10">
        <v>1.8335597478601144E-4</v>
      </c>
      <c r="T1912" s="10">
        <v>3.7570174382301093E-4</v>
      </c>
      <c r="U1912" s="10">
        <v>1.5213E-4</v>
      </c>
      <c r="V1912" s="25"/>
      <c r="W1912" s="25"/>
      <c r="X1912" s="25"/>
      <c r="Y1912" s="25"/>
      <c r="Z1912" s="25"/>
      <c r="AA1912" s="25"/>
    </row>
    <row r="1913" spans="1:27" x14ac:dyDescent="0.35">
      <c r="A1913" s="5">
        <v>1909</v>
      </c>
      <c r="B1913" s="5">
        <v>80</v>
      </c>
      <c r="C1913" s="5">
        <v>3</v>
      </c>
      <c r="D1913" s="25">
        <v>1.1416E-4</v>
      </c>
      <c r="E1913" s="25">
        <v>1.1196000000000001E-4</v>
      </c>
      <c r="F1913" s="25">
        <v>1.1149E-4</v>
      </c>
      <c r="G1913" s="25">
        <v>1.6338999999999999E-4</v>
      </c>
      <c r="H1913" s="25">
        <v>1.962E-4</v>
      </c>
      <c r="I1913" s="9">
        <v>1.2213E-4</v>
      </c>
      <c r="J1913" s="9">
        <v>1.0348000000000001E-4</v>
      </c>
      <c r="K1913" s="9">
        <v>0</v>
      </c>
      <c r="L1913" s="9">
        <v>1.7002E-4</v>
      </c>
      <c r="M1913" s="9">
        <v>1.7378000000000001E-4</v>
      </c>
      <c r="N1913" s="9">
        <v>1.6592000000000001E-4</v>
      </c>
      <c r="O1913" s="9">
        <v>1.6068000000000001E-4</v>
      </c>
      <c r="P1913" s="9">
        <v>1.6312999999999999E-4</v>
      </c>
      <c r="Q1913" s="9">
        <v>1.6652E-4</v>
      </c>
      <c r="R1913" s="10">
        <v>1.280968174466141E-4</v>
      </c>
      <c r="S1913" s="10">
        <v>1.8678804942957153E-4</v>
      </c>
      <c r="T1913" s="10">
        <v>3.4373290387167393E-4</v>
      </c>
      <c r="U1913" s="10">
        <v>1.5213E-4</v>
      </c>
      <c r="V1913" s="25"/>
      <c r="W1913" s="25"/>
      <c r="X1913" s="25"/>
      <c r="Y1913" s="25"/>
      <c r="Z1913" s="25"/>
      <c r="AA1913" s="25"/>
    </row>
    <row r="1914" spans="1:27" x14ac:dyDescent="0.35">
      <c r="A1914" s="5">
        <v>1910</v>
      </c>
      <c r="B1914" s="5">
        <v>80</v>
      </c>
      <c r="C1914" s="5">
        <v>3</v>
      </c>
      <c r="D1914" s="25">
        <v>1.1415000000000001E-4</v>
      </c>
      <c r="E1914" s="25">
        <v>1.1128000000000001E-4</v>
      </c>
      <c r="F1914" s="25">
        <v>1.2595999999999999E-4</v>
      </c>
      <c r="G1914" s="25">
        <v>1.6606999999999999E-4</v>
      </c>
      <c r="H1914" s="25">
        <v>2.0106E-4</v>
      </c>
      <c r="I1914" s="9">
        <v>1.1917999999999999E-4</v>
      </c>
      <c r="J1914" s="9">
        <v>1.0387000000000001E-4</v>
      </c>
      <c r="K1914" s="9">
        <v>0</v>
      </c>
      <c r="L1914" s="9">
        <v>1.6249999999999999E-4</v>
      </c>
      <c r="M1914" s="9">
        <v>1.6966999999999999E-4</v>
      </c>
      <c r="N1914" s="9">
        <v>1.7018E-4</v>
      </c>
      <c r="O1914" s="9">
        <v>1.7736999999999999E-4</v>
      </c>
      <c r="P1914" s="9">
        <v>1.6814E-4</v>
      </c>
      <c r="Q1914" s="9">
        <v>1.6014999999999999E-4</v>
      </c>
      <c r="R1914" s="10">
        <v>1.3057021206105317E-4</v>
      </c>
      <c r="S1914" s="10">
        <v>1.8866945338794891E-4</v>
      </c>
      <c r="T1914" s="10">
        <v>4.5347731596576742E-4</v>
      </c>
      <c r="U1914" s="10">
        <v>1.5213E-4</v>
      </c>
      <c r="V1914" s="25"/>
      <c r="W1914" s="25"/>
      <c r="X1914" s="25"/>
      <c r="Y1914" s="25"/>
      <c r="Z1914" s="25"/>
      <c r="AA1914" s="25"/>
    </row>
    <row r="1915" spans="1:27" x14ac:dyDescent="0.35">
      <c r="A1915" s="5">
        <v>1911</v>
      </c>
      <c r="B1915" s="5">
        <v>80</v>
      </c>
      <c r="C1915" s="5">
        <v>3</v>
      </c>
      <c r="D1915" s="25">
        <v>1.1416E-4</v>
      </c>
      <c r="E1915" s="25">
        <v>1.2135E-4</v>
      </c>
      <c r="F1915" s="25">
        <v>1.0883E-4</v>
      </c>
      <c r="G1915" s="25">
        <v>1.5878999999999999E-4</v>
      </c>
      <c r="H1915" s="25">
        <v>1.961E-4</v>
      </c>
      <c r="I1915" s="9">
        <v>1.1396999999999999E-4</v>
      </c>
      <c r="J1915" s="9">
        <v>1.0319000000000001E-4</v>
      </c>
      <c r="K1915" s="9">
        <v>0</v>
      </c>
      <c r="L1915" s="9">
        <v>1.7429000000000001E-4</v>
      </c>
      <c r="M1915" s="9">
        <v>1.6793999999999999E-4</v>
      </c>
      <c r="N1915" s="9">
        <v>1.6966E-4</v>
      </c>
      <c r="O1915" s="9">
        <v>1.8347E-4</v>
      </c>
      <c r="P1915" s="9">
        <v>1.6736999999999999E-4</v>
      </c>
      <c r="Q1915" s="9">
        <v>1.5266999999999999E-4</v>
      </c>
      <c r="R1915" s="10">
        <v>1.4350068082578252E-4</v>
      </c>
      <c r="S1915" s="10">
        <v>1.8911980879193383E-4</v>
      </c>
      <c r="T1915" s="10">
        <v>2.7484887744786687E-4</v>
      </c>
      <c r="U1915" s="10">
        <v>1.5213E-4</v>
      </c>
      <c r="V1915" s="25"/>
      <c r="W1915" s="25"/>
      <c r="X1915" s="25"/>
      <c r="Y1915" s="25"/>
      <c r="Z1915" s="25"/>
      <c r="AA1915" s="25"/>
    </row>
    <row r="1916" spans="1:27" x14ac:dyDescent="0.35">
      <c r="A1916" s="5">
        <v>1912</v>
      </c>
      <c r="B1916" s="5">
        <v>80</v>
      </c>
      <c r="C1916" s="5">
        <v>3</v>
      </c>
      <c r="D1916" s="25">
        <v>1.1415000000000001E-4</v>
      </c>
      <c r="E1916" s="25">
        <v>1.1186E-4</v>
      </c>
      <c r="F1916" s="25">
        <v>1.209E-4</v>
      </c>
      <c r="G1916" s="25">
        <v>1.6165E-4</v>
      </c>
      <c r="H1916" s="25">
        <v>2.0031000000000001E-4</v>
      </c>
      <c r="I1916" s="9">
        <v>1.1034E-4</v>
      </c>
      <c r="J1916" s="9">
        <v>1.0223E-4</v>
      </c>
      <c r="K1916" s="9">
        <v>0</v>
      </c>
      <c r="L1916" s="9">
        <v>1.8113999999999999E-4</v>
      </c>
      <c r="M1916" s="9">
        <v>1.6739000000000001E-4</v>
      </c>
      <c r="N1916" s="9">
        <v>1.6587000000000001E-4</v>
      </c>
      <c r="O1916" s="9">
        <v>1.9540000000000001E-4</v>
      </c>
      <c r="P1916" s="9">
        <v>1.5114999999999999E-4</v>
      </c>
      <c r="Q1916" s="9">
        <v>1.0882000000000001E-4</v>
      </c>
      <c r="R1916" s="10">
        <v>1.6353221979492128E-4</v>
      </c>
      <c r="S1916" s="10">
        <v>1.8990888494414186E-4</v>
      </c>
      <c r="T1916" s="10">
        <v>8.2526779778836258E-5</v>
      </c>
      <c r="U1916" s="10">
        <v>1.5213E-4</v>
      </c>
      <c r="V1916" s="25"/>
      <c r="W1916" s="25"/>
      <c r="X1916" s="25"/>
      <c r="Y1916" s="25"/>
      <c r="Z1916" s="25"/>
      <c r="AA1916" s="25"/>
    </row>
    <row r="1917" spans="1:27" x14ac:dyDescent="0.35">
      <c r="A1917" s="5">
        <v>1913</v>
      </c>
      <c r="B1917" s="5">
        <v>80</v>
      </c>
      <c r="C1917" s="5">
        <v>3</v>
      </c>
      <c r="D1917" s="25">
        <v>1.1416E-4</v>
      </c>
      <c r="E1917" s="25">
        <v>1.1701000000000001E-4</v>
      </c>
      <c r="F1917" s="25">
        <v>1.0883999999999999E-4</v>
      </c>
      <c r="G1917" s="25">
        <v>1.6246000000000001E-4</v>
      </c>
      <c r="H1917" s="25">
        <v>1.9228999999999999E-4</v>
      </c>
      <c r="I1917" s="9">
        <v>1.0999E-4</v>
      </c>
      <c r="J1917" s="9">
        <v>1.0412E-4</v>
      </c>
      <c r="K1917" s="9">
        <v>1.484E-5</v>
      </c>
      <c r="L1917" s="9">
        <v>1.9201E-4</v>
      </c>
      <c r="M1917" s="9">
        <v>1.6152000000000001E-4</v>
      </c>
      <c r="N1917" s="9">
        <v>1.5197999999999999E-4</v>
      </c>
      <c r="O1917" s="9">
        <v>2.1358999999999999E-4</v>
      </c>
      <c r="P1917" s="9">
        <v>1.5924E-4</v>
      </c>
      <c r="Q1917" s="9">
        <v>1.0711E-4</v>
      </c>
      <c r="R1917" s="10">
        <v>1.7893925213553763E-4</v>
      </c>
      <c r="S1917" s="10">
        <v>1.9002453498360837E-4</v>
      </c>
      <c r="T1917" s="10">
        <v>4.8920470052921749E-5</v>
      </c>
      <c r="U1917" s="10">
        <v>1.5213E-4</v>
      </c>
      <c r="V1917" s="25"/>
      <c r="W1917" s="25"/>
      <c r="X1917" s="25"/>
      <c r="Y1917" s="25"/>
      <c r="Z1917" s="25"/>
      <c r="AA1917" s="25"/>
    </row>
    <row r="1918" spans="1:27" x14ac:dyDescent="0.35">
      <c r="A1918" s="5">
        <v>1914</v>
      </c>
      <c r="B1918" s="5">
        <v>80</v>
      </c>
      <c r="C1918" s="5">
        <v>3</v>
      </c>
      <c r="D1918" s="25">
        <v>1.1415000000000001E-4</v>
      </c>
      <c r="E1918" s="25">
        <v>1.1707E-4</v>
      </c>
      <c r="F1918" s="25">
        <v>1.2658E-4</v>
      </c>
      <c r="G1918" s="25">
        <v>1.6689999999999999E-4</v>
      </c>
      <c r="H1918" s="25">
        <v>1.9961999999999999E-4</v>
      </c>
      <c r="I1918" s="9">
        <v>1.1387000000000001E-4</v>
      </c>
      <c r="J1918" s="9">
        <v>1.1375E-4</v>
      </c>
      <c r="K1918" s="9">
        <v>4.2389999999999999E-5</v>
      </c>
      <c r="L1918" s="9">
        <v>2.0863000000000001E-4</v>
      </c>
      <c r="M1918" s="9">
        <v>1.5906000000000001E-4</v>
      </c>
      <c r="N1918" s="9">
        <v>1.3868999999999999E-4</v>
      </c>
      <c r="O1918" s="9">
        <v>2.0384999999999999E-4</v>
      </c>
      <c r="P1918" s="9">
        <v>1.5940999999999999E-4</v>
      </c>
      <c r="Q1918" s="9">
        <v>1.1695E-4</v>
      </c>
      <c r="R1918" s="10">
        <v>1.9630194157476907E-4</v>
      </c>
      <c r="S1918" s="10">
        <v>1.8976160086376384E-4</v>
      </c>
      <c r="T1918" s="10">
        <v>1.5950482778267933E-5</v>
      </c>
      <c r="U1918" s="10">
        <v>1.5213E-4</v>
      </c>
      <c r="V1918" s="25"/>
      <c r="W1918" s="25"/>
      <c r="X1918" s="25"/>
      <c r="Y1918" s="25"/>
      <c r="Z1918" s="25"/>
      <c r="AA1918" s="25"/>
    </row>
    <row r="1919" spans="1:27" x14ac:dyDescent="0.35">
      <c r="A1919" s="5">
        <v>1915</v>
      </c>
      <c r="B1919" s="5">
        <v>80</v>
      </c>
      <c r="C1919" s="5">
        <v>3</v>
      </c>
      <c r="D1919" s="25">
        <v>1.1416E-4</v>
      </c>
      <c r="E1919" s="25">
        <v>1.1957E-4</v>
      </c>
      <c r="F1919" s="25">
        <v>1.2070000000000001E-4</v>
      </c>
      <c r="G1919" s="25">
        <v>1.0812E-4</v>
      </c>
      <c r="H1919" s="25">
        <v>1.3613000000000001E-4</v>
      </c>
      <c r="I1919" s="9">
        <v>1.1866000000000001E-4</v>
      </c>
      <c r="J1919" s="9">
        <v>1.13E-4</v>
      </c>
      <c r="K1919" s="9">
        <v>6.3579999999999998E-5</v>
      </c>
      <c r="L1919" s="9">
        <v>2.0447999999999999E-4</v>
      </c>
      <c r="M1919" s="9">
        <v>1.5872E-4</v>
      </c>
      <c r="N1919" s="9">
        <v>1.2956E-4</v>
      </c>
      <c r="O1919" s="9">
        <v>1.6315000000000001E-4</v>
      </c>
      <c r="P1919" s="9">
        <v>1.3406E-4</v>
      </c>
      <c r="Q1919" s="9">
        <v>1.064E-4</v>
      </c>
      <c r="R1919" s="10">
        <v>2.0643846648988256E-4</v>
      </c>
      <c r="S1919" s="10">
        <v>1.8846152265767721E-4</v>
      </c>
      <c r="T1919" s="10">
        <v>0</v>
      </c>
      <c r="U1919" s="10">
        <v>1.5213E-4</v>
      </c>
      <c r="V1919" s="25"/>
      <c r="W1919" s="25"/>
      <c r="X1919" s="25"/>
      <c r="Y1919" s="25"/>
      <c r="Z1919" s="25"/>
      <c r="AA1919" s="25"/>
    </row>
    <row r="1920" spans="1:27" x14ac:dyDescent="0.35">
      <c r="A1920" s="5">
        <v>1916</v>
      </c>
      <c r="B1920" s="5">
        <v>80</v>
      </c>
      <c r="C1920" s="5">
        <v>3</v>
      </c>
      <c r="D1920" s="25">
        <v>1.1415000000000001E-4</v>
      </c>
      <c r="E1920" s="25">
        <v>1.147E-4</v>
      </c>
      <c r="F1920" s="25">
        <v>1.1869E-4</v>
      </c>
      <c r="G1920" s="25">
        <v>1.1317E-4</v>
      </c>
      <c r="H1920" s="25">
        <v>1.2527999999999999E-4</v>
      </c>
      <c r="I1920" s="9">
        <v>1.2585E-4</v>
      </c>
      <c r="J1920" s="9">
        <v>1.1616999999999999E-4</v>
      </c>
      <c r="K1920" s="9">
        <v>7.6299999999999998E-5</v>
      </c>
      <c r="L1920" s="9">
        <v>1.7242000000000001E-4</v>
      </c>
      <c r="M1920" s="9">
        <v>1.4991000000000001E-4</v>
      </c>
      <c r="N1920" s="9">
        <v>1.2039E-4</v>
      </c>
      <c r="O1920" s="9">
        <v>1.284E-4</v>
      </c>
      <c r="P1920" s="9">
        <v>1.1453E-4</v>
      </c>
      <c r="Q1920" s="9">
        <v>1.016E-4</v>
      </c>
      <c r="R1920" s="10">
        <v>2.0624240478041761E-4</v>
      </c>
      <c r="S1920" s="10">
        <v>1.8570158378615833E-4</v>
      </c>
      <c r="T1920" s="10">
        <v>0</v>
      </c>
      <c r="U1920" s="10">
        <v>1.5213E-4</v>
      </c>
      <c r="V1920" s="25"/>
      <c r="W1920" s="25"/>
      <c r="X1920" s="25"/>
      <c r="Y1920" s="25"/>
      <c r="Z1920" s="25"/>
      <c r="AA1920" s="25"/>
    </row>
    <row r="1921" spans="1:27" x14ac:dyDescent="0.35">
      <c r="A1921" s="5">
        <v>1917</v>
      </c>
      <c r="B1921" s="5">
        <v>80</v>
      </c>
      <c r="C1921" s="5">
        <v>3</v>
      </c>
      <c r="D1921" s="25">
        <v>1.1416E-4</v>
      </c>
      <c r="E1921" s="25">
        <v>1.1571E-4</v>
      </c>
      <c r="F1921" s="25">
        <v>1.0846E-4</v>
      </c>
      <c r="G1921" s="25">
        <v>5.4710000000000003E-5</v>
      </c>
      <c r="H1921" s="25">
        <v>7.3570000000000002E-5</v>
      </c>
      <c r="I1921" s="9">
        <v>1.2291E-4</v>
      </c>
      <c r="J1921" s="9">
        <v>1.1302999999999999E-4</v>
      </c>
      <c r="K1921" s="9">
        <v>8.0539999999999998E-5</v>
      </c>
      <c r="L1921" s="9">
        <v>1.3909E-4</v>
      </c>
      <c r="M1921" s="9">
        <v>1.3470999999999999E-4</v>
      </c>
      <c r="N1921" s="9">
        <v>1.1273999999999999E-4</v>
      </c>
      <c r="O1921" s="9">
        <v>8.53E-5</v>
      </c>
      <c r="P1921" s="9">
        <v>8.6959999999999994E-5</v>
      </c>
      <c r="Q1921" s="9">
        <v>8.8969999999999997E-5</v>
      </c>
      <c r="R1921" s="10">
        <v>2.0442685604048265E-4</v>
      </c>
      <c r="S1921" s="10">
        <v>1.8148600970788122E-4</v>
      </c>
      <c r="T1921" s="10">
        <v>0</v>
      </c>
      <c r="U1921" s="10">
        <v>1.5213E-4</v>
      </c>
      <c r="V1921" s="25"/>
      <c r="W1921" s="25"/>
      <c r="X1921" s="25"/>
      <c r="Y1921" s="25"/>
      <c r="Z1921" s="25"/>
      <c r="AA1921" s="25"/>
    </row>
    <row r="1922" spans="1:27" x14ac:dyDescent="0.35">
      <c r="A1922" s="5">
        <v>1918</v>
      </c>
      <c r="B1922" s="5">
        <v>80</v>
      </c>
      <c r="C1922" s="5">
        <v>3</v>
      </c>
      <c r="D1922" s="25">
        <v>1.1415000000000001E-4</v>
      </c>
      <c r="E1922" s="25">
        <v>1.131E-4</v>
      </c>
      <c r="F1922" s="25">
        <v>1.1166E-4</v>
      </c>
      <c r="G1922" s="25">
        <v>5.5789999999999999E-5</v>
      </c>
      <c r="H1922" s="25">
        <v>6.8200000000000004E-5</v>
      </c>
      <c r="I1922" s="9">
        <v>1.1794999999999999E-4</v>
      </c>
      <c r="J1922" s="9">
        <v>1.0704000000000001E-4</v>
      </c>
      <c r="K1922" s="9">
        <v>5.9349999999999999E-5</v>
      </c>
      <c r="L1922" s="9">
        <v>9.8029999999999995E-5</v>
      </c>
      <c r="M1922" s="9">
        <v>1.1361E-4</v>
      </c>
      <c r="N1922" s="9">
        <v>1.054E-4</v>
      </c>
      <c r="O1922" s="9">
        <v>8.797E-5</v>
      </c>
      <c r="P1922" s="9">
        <v>8.8230000000000001E-5</v>
      </c>
      <c r="Q1922" s="9">
        <v>8.8880000000000003E-5</v>
      </c>
      <c r="R1922" s="10">
        <v>2.0514960069904992E-4</v>
      </c>
      <c r="S1922" s="10">
        <v>1.7533679216288564E-4</v>
      </c>
      <c r="T1922" s="10">
        <v>0</v>
      </c>
      <c r="U1922" s="10">
        <v>1.5213E-4</v>
      </c>
      <c r="V1922" s="25"/>
      <c r="W1922" s="25"/>
      <c r="X1922" s="25"/>
      <c r="Y1922" s="25"/>
      <c r="Z1922" s="25"/>
      <c r="AA1922" s="25"/>
    </row>
    <row r="1923" spans="1:27" x14ac:dyDescent="0.35">
      <c r="A1923" s="5">
        <v>1919</v>
      </c>
      <c r="B1923" s="5">
        <v>80</v>
      </c>
      <c r="C1923" s="5">
        <v>3</v>
      </c>
      <c r="D1923" s="25">
        <v>1.1416E-4</v>
      </c>
      <c r="E1923" s="25">
        <v>1.1957E-4</v>
      </c>
      <c r="F1923" s="25">
        <v>1.1458E-4</v>
      </c>
      <c r="G1923" s="25">
        <v>5.2540000000000002E-5</v>
      </c>
      <c r="H1923" s="25">
        <v>6.3709999999999998E-5</v>
      </c>
      <c r="I1923" s="9">
        <v>1.1723E-4</v>
      </c>
      <c r="J1923" s="9">
        <v>1.0009999999999999E-4</v>
      </c>
      <c r="K1923" s="9">
        <v>7.2059999999999998E-5</v>
      </c>
      <c r="L1923" s="9">
        <v>9.1100000000000005E-5</v>
      </c>
      <c r="M1923" s="9">
        <v>9.9320000000000005E-5</v>
      </c>
      <c r="N1923" s="9">
        <v>9.9820000000000003E-5</v>
      </c>
      <c r="O1923" s="9">
        <v>7.7109999999999999E-5</v>
      </c>
      <c r="P1923" s="9">
        <v>7.1500000000000003E-5</v>
      </c>
      <c r="Q1923" s="9">
        <v>6.6299999999999999E-5</v>
      </c>
      <c r="R1923" s="10">
        <v>2.0494379652404016E-4</v>
      </c>
      <c r="S1923" s="10">
        <v>1.6802037211254922E-4</v>
      </c>
      <c r="T1923" s="10">
        <v>0</v>
      </c>
      <c r="U1923" s="10">
        <v>1.5213E-4</v>
      </c>
      <c r="V1923" s="25"/>
      <c r="W1923" s="25"/>
      <c r="X1923" s="25"/>
      <c r="Y1923" s="25"/>
      <c r="Z1923" s="25"/>
      <c r="AA1923" s="25"/>
    </row>
    <row r="1924" spans="1:27" x14ac:dyDescent="0.35">
      <c r="A1924" s="5">
        <v>1920</v>
      </c>
      <c r="B1924" s="5">
        <v>80</v>
      </c>
      <c r="C1924" s="5">
        <v>3</v>
      </c>
      <c r="D1924" s="25">
        <v>1.1415000000000001E-4</v>
      </c>
      <c r="E1924" s="25">
        <v>1.1979E-4</v>
      </c>
      <c r="F1924" s="25">
        <v>1.047E-4</v>
      </c>
      <c r="G1924" s="25">
        <v>6.1929999999999998E-5</v>
      </c>
      <c r="H1924" s="25">
        <v>6.8449999999999997E-5</v>
      </c>
      <c r="I1924" s="9">
        <v>1.1613E-4</v>
      </c>
      <c r="J1924" s="9">
        <v>9.2520000000000002E-5</v>
      </c>
      <c r="K1924" s="9">
        <v>8.6890000000000003E-5</v>
      </c>
      <c r="L1924" s="9">
        <v>8.0179999999999995E-5</v>
      </c>
      <c r="M1924" s="9">
        <v>8.6149999999999993E-5</v>
      </c>
      <c r="N1924" s="9">
        <v>9.0500000000000004E-5</v>
      </c>
      <c r="O1924" s="9">
        <v>6.2310000000000005E-5</v>
      </c>
      <c r="P1924" s="9">
        <v>6.0260000000000002E-5</v>
      </c>
      <c r="Q1924" s="9">
        <v>5.8459999999999999E-5</v>
      </c>
      <c r="R1924" s="10">
        <v>1.902468654869536E-4</v>
      </c>
      <c r="S1924" s="10">
        <v>1.4805694266443328E-4</v>
      </c>
      <c r="T1924" s="10">
        <v>0</v>
      </c>
      <c r="U1924" s="10">
        <v>1.5213E-4</v>
      </c>
      <c r="V1924" s="25"/>
      <c r="W1924" s="25"/>
      <c r="X1924" s="25"/>
      <c r="Y1924" s="25"/>
      <c r="Z1924" s="25"/>
      <c r="AA1924" s="25"/>
    </row>
    <row r="1925" spans="1:27" x14ac:dyDescent="0.35">
      <c r="A1925" s="5">
        <v>1921</v>
      </c>
      <c r="B1925" s="5">
        <v>81</v>
      </c>
      <c r="C1925" s="5">
        <v>3</v>
      </c>
      <c r="D1925" s="25">
        <v>1.1416E-4</v>
      </c>
      <c r="E1925" s="25">
        <v>1.1658E-4</v>
      </c>
      <c r="F1925" s="25">
        <v>1.1351E-4</v>
      </c>
      <c r="G1925" s="25">
        <v>6.0779999999999997E-5</v>
      </c>
      <c r="H1925" s="25">
        <v>6.7500000000000001E-5</v>
      </c>
      <c r="I1925" s="9">
        <v>1.0916000000000001E-4</v>
      </c>
      <c r="J1925" s="9">
        <v>8.6429999999999997E-5</v>
      </c>
      <c r="K1925" s="9">
        <v>9.9610000000000003E-5</v>
      </c>
      <c r="L1925" s="9">
        <v>6.6270000000000001E-5</v>
      </c>
      <c r="M1925" s="9">
        <v>7.3789999999999997E-5</v>
      </c>
      <c r="N1925" s="9">
        <v>8.106E-5</v>
      </c>
      <c r="O1925" s="9">
        <v>5.4110000000000002E-5</v>
      </c>
      <c r="P1925" s="9">
        <v>5.3529999999999997E-5</v>
      </c>
      <c r="Q1925" s="9">
        <v>5.3109999999999998E-5</v>
      </c>
      <c r="R1925" s="10">
        <v>1.9437315207643284E-4</v>
      </c>
      <c r="S1925" s="10">
        <v>1.3166933490151277E-4</v>
      </c>
      <c r="T1925" s="10">
        <v>0</v>
      </c>
      <c r="U1925" s="10">
        <v>1.5056999999999999E-4</v>
      </c>
      <c r="V1925" s="25"/>
      <c r="W1925" s="25"/>
      <c r="X1925" s="25"/>
      <c r="Y1925" s="25"/>
      <c r="Z1925" s="25"/>
      <c r="AA1925" s="25"/>
    </row>
    <row r="1926" spans="1:27" x14ac:dyDescent="0.35">
      <c r="A1926" s="5">
        <v>1922</v>
      </c>
      <c r="B1926" s="5">
        <v>81</v>
      </c>
      <c r="C1926" s="5">
        <v>3</v>
      </c>
      <c r="D1926" s="25">
        <v>1.1415000000000001E-4</v>
      </c>
      <c r="E1926" s="25">
        <v>1.2237000000000001E-4</v>
      </c>
      <c r="F1926" s="25">
        <v>1.122E-4</v>
      </c>
      <c r="G1926" s="25">
        <v>5.9410000000000002E-5</v>
      </c>
      <c r="H1926" s="25">
        <v>7.3100000000000001E-5</v>
      </c>
      <c r="I1926" s="9">
        <v>1.0432E-4</v>
      </c>
      <c r="J1926" s="9">
        <v>8.3300000000000005E-5</v>
      </c>
      <c r="K1926" s="9">
        <v>1.0809E-4</v>
      </c>
      <c r="L1926" s="9">
        <v>5.7170000000000003E-5</v>
      </c>
      <c r="M1926" s="9">
        <v>6.3559999999999995E-5</v>
      </c>
      <c r="N1926" s="9">
        <v>7.1909999999999994E-5</v>
      </c>
      <c r="O1926" s="9">
        <v>1.88E-5</v>
      </c>
      <c r="P1926" s="9">
        <v>3.7549999999999998E-5</v>
      </c>
      <c r="Q1926" s="9">
        <v>5.588E-5</v>
      </c>
      <c r="R1926" s="10">
        <v>1.8982196653576436E-4</v>
      </c>
      <c r="S1926" s="10">
        <v>1.1138771034829671E-4</v>
      </c>
      <c r="T1926" s="10">
        <v>0</v>
      </c>
      <c r="U1926" s="10">
        <v>1.5056999999999999E-4</v>
      </c>
      <c r="V1926" s="25"/>
      <c r="W1926" s="25"/>
      <c r="X1926" s="25"/>
      <c r="Y1926" s="25"/>
      <c r="Z1926" s="25"/>
      <c r="AA1926" s="25"/>
    </row>
    <row r="1927" spans="1:27" x14ac:dyDescent="0.35">
      <c r="A1927" s="5">
        <v>1923</v>
      </c>
      <c r="B1927" s="5">
        <v>81</v>
      </c>
      <c r="C1927" s="5">
        <v>3</v>
      </c>
      <c r="D1927" s="25">
        <v>1.1416E-4</v>
      </c>
      <c r="E1927" s="25">
        <v>1.2237000000000001E-4</v>
      </c>
      <c r="F1927" s="25">
        <v>1.1033E-4</v>
      </c>
      <c r="G1927" s="25">
        <v>5.4929999999999998E-5</v>
      </c>
      <c r="H1927" s="25">
        <v>6.7749999999999993E-5</v>
      </c>
      <c r="I1927" s="9">
        <v>9.959E-5</v>
      </c>
      <c r="J1927" s="9">
        <v>8.2960000000000005E-5</v>
      </c>
      <c r="K1927" s="9">
        <v>1.1868E-4</v>
      </c>
      <c r="L1927" s="9">
        <v>2.7440000000000002E-5</v>
      </c>
      <c r="M1927" s="9">
        <v>5.1870000000000003E-5</v>
      </c>
      <c r="N1927" s="9">
        <v>6.5279999999999998E-5</v>
      </c>
      <c r="O1927" s="9">
        <v>1.3370000000000001E-5</v>
      </c>
      <c r="P1927" s="9">
        <v>3.7599999999999999E-5</v>
      </c>
      <c r="Q1927" s="9">
        <v>6.1279999999999996E-5</v>
      </c>
      <c r="R1927" s="10">
        <v>1.9684909611604858E-4</v>
      </c>
      <c r="S1927" s="10">
        <v>9.6946826877748079E-5</v>
      </c>
      <c r="T1927" s="10">
        <v>0</v>
      </c>
      <c r="U1927" s="10">
        <v>1.5056999999999999E-4</v>
      </c>
      <c r="V1927" s="25"/>
      <c r="W1927" s="25"/>
      <c r="X1927" s="25"/>
      <c r="Y1927" s="25"/>
      <c r="Z1927" s="25"/>
      <c r="AA1927" s="25"/>
    </row>
    <row r="1928" spans="1:27" x14ac:dyDescent="0.35">
      <c r="A1928" s="5">
        <v>1924</v>
      </c>
      <c r="B1928" s="5">
        <v>81</v>
      </c>
      <c r="C1928" s="5">
        <v>3</v>
      </c>
      <c r="D1928" s="25">
        <v>1.1415000000000001E-4</v>
      </c>
      <c r="E1928" s="25">
        <v>1.1571E-4</v>
      </c>
      <c r="F1928" s="25">
        <v>1.2616999999999999E-4</v>
      </c>
      <c r="G1928" s="25">
        <v>6.2550000000000003E-5</v>
      </c>
      <c r="H1928" s="25">
        <v>6.3100000000000002E-5</v>
      </c>
      <c r="I1928" s="9">
        <v>9.8010000000000005E-5</v>
      </c>
      <c r="J1928" s="9">
        <v>8.3269999999999994E-5</v>
      </c>
      <c r="K1928" s="9">
        <v>1.1656E-4</v>
      </c>
      <c r="L1928" s="9">
        <v>1.7200000000000001E-5</v>
      </c>
      <c r="M1928" s="9">
        <v>4.3949999999999998E-5</v>
      </c>
      <c r="N1928" s="9">
        <v>6.1639999999999999E-5</v>
      </c>
      <c r="O1928" s="9">
        <v>1.3349999999999999E-5</v>
      </c>
      <c r="P1928" s="9">
        <v>4.693E-5</v>
      </c>
      <c r="Q1928" s="9">
        <v>7.9809999999999997E-5</v>
      </c>
      <c r="R1928" s="10">
        <v>1.9363782495643471E-4</v>
      </c>
      <c r="S1928" s="10">
        <v>7.2300663069109339E-5</v>
      </c>
      <c r="T1928" s="10">
        <v>0</v>
      </c>
      <c r="U1928" s="10">
        <v>1.5056999999999999E-4</v>
      </c>
      <c r="V1928" s="25"/>
      <c r="W1928" s="25"/>
      <c r="X1928" s="25"/>
      <c r="Y1928" s="25"/>
      <c r="Z1928" s="25"/>
      <c r="AA1928" s="25"/>
    </row>
    <row r="1929" spans="1:27" x14ac:dyDescent="0.35">
      <c r="A1929" s="5">
        <v>1925</v>
      </c>
      <c r="B1929" s="5">
        <v>81</v>
      </c>
      <c r="C1929" s="5">
        <v>3</v>
      </c>
      <c r="D1929" s="25">
        <v>1.1416E-4</v>
      </c>
      <c r="E1929" s="25">
        <v>1.2510000000000001E-4</v>
      </c>
      <c r="F1929" s="25">
        <v>1.147E-4</v>
      </c>
      <c r="G1929" s="25">
        <v>5.9160000000000003E-5</v>
      </c>
      <c r="H1929" s="25">
        <v>7.0080000000000007E-5</v>
      </c>
      <c r="I1929" s="9">
        <v>9.9389999999999995E-5</v>
      </c>
      <c r="J1929" s="9">
        <v>8.4460000000000001E-5</v>
      </c>
      <c r="K1929" s="9">
        <v>1.2716E-4</v>
      </c>
      <c r="L1929" s="9">
        <v>1.4440000000000001E-5</v>
      </c>
      <c r="M1929" s="9">
        <v>4.3239999999999999E-5</v>
      </c>
      <c r="N1929" s="9">
        <v>6.4090000000000005E-5</v>
      </c>
      <c r="O1929" s="9">
        <v>1.906E-5</v>
      </c>
      <c r="P1929" s="9">
        <v>5.7089999999999997E-5</v>
      </c>
      <c r="Q1929" s="9">
        <v>9.4400000000000004E-5</v>
      </c>
      <c r="R1929" s="10">
        <v>1.7557847646584949E-4</v>
      </c>
      <c r="S1929" s="10">
        <v>5.7052252118489086E-5</v>
      </c>
      <c r="T1929" s="10">
        <v>0</v>
      </c>
      <c r="U1929" s="10">
        <v>1.5056999999999999E-4</v>
      </c>
      <c r="V1929" s="25"/>
      <c r="W1929" s="25"/>
      <c r="X1929" s="25"/>
      <c r="Y1929" s="25"/>
      <c r="Z1929" s="25"/>
      <c r="AA1929" s="25"/>
    </row>
    <row r="1930" spans="1:27" x14ac:dyDescent="0.35">
      <c r="A1930" s="5">
        <v>1926</v>
      </c>
      <c r="B1930" s="5">
        <v>81</v>
      </c>
      <c r="C1930" s="5">
        <v>3</v>
      </c>
      <c r="D1930" s="25">
        <v>1.1415000000000001E-4</v>
      </c>
      <c r="E1930" s="25">
        <v>1.1848E-4</v>
      </c>
      <c r="F1930" s="25">
        <v>1.2301E-4</v>
      </c>
      <c r="G1930" s="25">
        <v>1.0616E-4</v>
      </c>
      <c r="H1930" s="25">
        <v>1.3227000000000001E-4</v>
      </c>
      <c r="I1930" s="9">
        <v>1.0628000000000001E-4</v>
      </c>
      <c r="J1930" s="9">
        <v>8.8839999999999996E-5</v>
      </c>
      <c r="K1930" s="9">
        <v>1.2504000000000001E-4</v>
      </c>
      <c r="L1930" s="9">
        <v>1.791E-5</v>
      </c>
      <c r="M1930" s="9">
        <v>4.8390000000000003E-5</v>
      </c>
      <c r="N1930" s="9">
        <v>7.0870000000000004E-5</v>
      </c>
      <c r="O1930" s="9">
        <v>4.6499999999999999E-5</v>
      </c>
      <c r="P1930" s="9">
        <v>7.7200000000000006E-5</v>
      </c>
      <c r="Q1930" s="9">
        <v>1.0749E-4</v>
      </c>
      <c r="R1930" s="10">
        <v>1.7658511456394326E-4</v>
      </c>
      <c r="S1930" s="10">
        <v>5.6748049079357616E-5</v>
      </c>
      <c r="T1930" s="10">
        <v>0</v>
      </c>
      <c r="U1930" s="10">
        <v>1.5056999999999999E-4</v>
      </c>
      <c r="V1930" s="25"/>
      <c r="W1930" s="25"/>
      <c r="X1930" s="25"/>
      <c r="Y1930" s="25"/>
      <c r="Z1930" s="25"/>
      <c r="AA1930" s="25"/>
    </row>
    <row r="1931" spans="1:27" x14ac:dyDescent="0.35">
      <c r="A1931" s="5">
        <v>1927</v>
      </c>
      <c r="B1931" s="5">
        <v>81</v>
      </c>
      <c r="C1931" s="5">
        <v>3</v>
      </c>
      <c r="D1931" s="25">
        <v>1.1416E-4</v>
      </c>
      <c r="E1931" s="25">
        <v>1.1347E-4</v>
      </c>
      <c r="F1931" s="25">
        <v>1.0799E-4</v>
      </c>
      <c r="G1931" s="25">
        <v>1.1027E-4</v>
      </c>
      <c r="H1931" s="25">
        <v>1.3540000000000001E-4</v>
      </c>
      <c r="I1931" s="9">
        <v>1.2113E-4</v>
      </c>
      <c r="J1931" s="9">
        <v>9.9679999999999994E-5</v>
      </c>
      <c r="K1931" s="9">
        <v>1.2292E-4</v>
      </c>
      <c r="L1931" s="9">
        <v>4.0070000000000001E-5</v>
      </c>
      <c r="M1931" s="9">
        <v>6.0220000000000003E-5</v>
      </c>
      <c r="N1931" s="9">
        <v>8.0749999999999998E-5</v>
      </c>
      <c r="O1931" s="9">
        <v>1.2268000000000001E-4</v>
      </c>
      <c r="P1931" s="9">
        <v>1.17E-4</v>
      </c>
      <c r="Q1931" s="9">
        <v>1.1208E-4</v>
      </c>
      <c r="R1931" s="10">
        <v>1.7918362321771094E-4</v>
      </c>
      <c r="S1931" s="10">
        <v>4.721775175456213E-5</v>
      </c>
      <c r="T1931" s="10">
        <v>7.1183271547695719E-6</v>
      </c>
      <c r="U1931" s="10">
        <v>1.5056999999999999E-4</v>
      </c>
      <c r="V1931" s="25"/>
      <c r="W1931" s="25"/>
      <c r="X1931" s="25"/>
      <c r="Y1931" s="25"/>
      <c r="Z1931" s="25"/>
      <c r="AA1931" s="25"/>
    </row>
    <row r="1932" spans="1:27" x14ac:dyDescent="0.35">
      <c r="A1932" s="5">
        <v>1928</v>
      </c>
      <c r="B1932" s="5">
        <v>81</v>
      </c>
      <c r="C1932" s="5">
        <v>3</v>
      </c>
      <c r="D1932" s="25">
        <v>1.1415000000000001E-4</v>
      </c>
      <c r="E1932" s="25">
        <v>1.1615E-4</v>
      </c>
      <c r="F1932" s="25">
        <v>1.2888E-4</v>
      </c>
      <c r="G1932" s="25">
        <v>1.6673999999999999E-4</v>
      </c>
      <c r="H1932" s="25">
        <v>1.9421E-4</v>
      </c>
      <c r="I1932" s="9">
        <v>1.2891000000000001E-4</v>
      </c>
      <c r="J1932" s="9">
        <v>1.1538E-4</v>
      </c>
      <c r="K1932" s="9">
        <v>1.1233E-4</v>
      </c>
      <c r="L1932" s="9">
        <v>1.0389E-4</v>
      </c>
      <c r="M1932" s="9">
        <v>8.3700000000000002E-5</v>
      </c>
      <c r="N1932" s="9">
        <v>9.0820000000000001E-5</v>
      </c>
      <c r="O1932" s="9">
        <v>2.1982999999999999E-4</v>
      </c>
      <c r="P1932" s="9">
        <v>1.7739000000000001E-4</v>
      </c>
      <c r="Q1932" s="9">
        <v>1.3704E-4</v>
      </c>
      <c r="R1932" s="10">
        <v>1.6244577191365601E-4</v>
      </c>
      <c r="S1932" s="10">
        <v>3.824193553977865E-5</v>
      </c>
      <c r="T1932" s="10">
        <v>6.9155524003011647E-5</v>
      </c>
      <c r="U1932" s="10">
        <v>1.5056999999999999E-4</v>
      </c>
      <c r="V1932" s="25"/>
      <c r="W1932" s="25"/>
      <c r="X1932" s="25"/>
      <c r="Y1932" s="25"/>
      <c r="Z1932" s="25"/>
      <c r="AA1932" s="25"/>
    </row>
    <row r="1933" spans="1:27" x14ac:dyDescent="0.35">
      <c r="A1933" s="5">
        <v>1929</v>
      </c>
      <c r="B1933" s="5">
        <v>81</v>
      </c>
      <c r="C1933" s="5">
        <v>3</v>
      </c>
      <c r="D1933" s="25">
        <v>1.1416E-4</v>
      </c>
      <c r="E1933" s="25">
        <v>1.1803000000000001E-4</v>
      </c>
      <c r="F1933" s="25">
        <v>1.1192999999999999E-4</v>
      </c>
      <c r="G1933" s="25">
        <v>1.6642999999999999E-4</v>
      </c>
      <c r="H1933" s="25">
        <v>2.0131000000000001E-4</v>
      </c>
      <c r="I1933" s="9">
        <v>1.3334999999999999E-4</v>
      </c>
      <c r="J1933" s="9">
        <v>1.2674E-4</v>
      </c>
      <c r="K1933" s="9">
        <v>8.9010000000000003E-5</v>
      </c>
      <c r="L1933" s="9">
        <v>1.9257000000000001E-4</v>
      </c>
      <c r="M1933" s="9">
        <v>1.2349E-4</v>
      </c>
      <c r="N1933" s="9">
        <v>1.0467E-4</v>
      </c>
      <c r="O1933" s="9">
        <v>2.1258E-4</v>
      </c>
      <c r="P1933" s="9">
        <v>1.9456000000000001E-4</v>
      </c>
      <c r="Q1933" s="9">
        <v>1.7818000000000001E-4</v>
      </c>
      <c r="R1933" s="10">
        <v>1.3502883518949261E-4</v>
      </c>
      <c r="S1933" s="10">
        <v>3.6971993346947235E-5</v>
      </c>
      <c r="T1933" s="10">
        <v>1.1910259427730065E-4</v>
      </c>
      <c r="U1933" s="10">
        <v>1.5056999999999999E-4</v>
      </c>
      <c r="V1933" s="25"/>
      <c r="W1933" s="25"/>
      <c r="X1933" s="25"/>
      <c r="Y1933" s="25"/>
      <c r="Z1933" s="25"/>
      <c r="AA1933" s="25"/>
    </row>
    <row r="1934" spans="1:27" x14ac:dyDescent="0.35">
      <c r="A1934" s="5">
        <v>1930</v>
      </c>
      <c r="B1934" s="5">
        <v>81</v>
      </c>
      <c r="C1934" s="5">
        <v>3</v>
      </c>
      <c r="D1934" s="25">
        <v>1.1415000000000001E-4</v>
      </c>
      <c r="E1934" s="25">
        <v>1.1769000000000001E-4</v>
      </c>
      <c r="F1934" s="25">
        <v>1.2617999999999999E-4</v>
      </c>
      <c r="G1934" s="25">
        <v>1.674E-4</v>
      </c>
      <c r="H1934" s="25">
        <v>1.9325000000000001E-4</v>
      </c>
      <c r="I1934" s="9">
        <v>1.3594E-4</v>
      </c>
      <c r="J1934" s="9">
        <v>1.3166E-4</v>
      </c>
      <c r="K1934" s="9">
        <v>5.0869999999999999E-5</v>
      </c>
      <c r="L1934" s="9">
        <v>2.0584999999999999E-4</v>
      </c>
      <c r="M1934" s="9">
        <v>1.5917000000000001E-4</v>
      </c>
      <c r="N1934" s="9">
        <v>1.2499000000000001E-4</v>
      </c>
      <c r="O1934" s="9">
        <v>1.6535000000000001E-4</v>
      </c>
      <c r="P1934" s="9">
        <v>1.7238E-4</v>
      </c>
      <c r="Q1934" s="9">
        <v>1.8031000000000001E-4</v>
      </c>
      <c r="R1934" s="10">
        <v>1.1318705188966508E-4</v>
      </c>
      <c r="S1934" s="10">
        <v>3.5207050459574314E-5</v>
      </c>
      <c r="T1934" s="10">
        <v>1.2328535385692092E-4</v>
      </c>
      <c r="U1934" s="10">
        <v>1.5056999999999999E-4</v>
      </c>
      <c r="V1934" s="25"/>
      <c r="W1934" s="25"/>
      <c r="X1934" s="25"/>
      <c r="Y1934" s="25"/>
      <c r="Z1934" s="25"/>
      <c r="AA1934" s="25"/>
    </row>
    <row r="1935" spans="1:27" x14ac:dyDescent="0.35">
      <c r="A1935" s="5">
        <v>1931</v>
      </c>
      <c r="B1935" s="5">
        <v>81</v>
      </c>
      <c r="C1935" s="5">
        <v>3</v>
      </c>
      <c r="D1935" s="25">
        <v>1.1416E-4</v>
      </c>
      <c r="E1935" s="25">
        <v>1.1496E-4</v>
      </c>
      <c r="F1935" s="25">
        <v>1.0877E-4</v>
      </c>
      <c r="G1935" s="25">
        <v>1.6359999999999999E-4</v>
      </c>
      <c r="H1935" s="25">
        <v>1.9160999999999999E-4</v>
      </c>
      <c r="I1935" s="9">
        <v>1.3731999999999999E-4</v>
      </c>
      <c r="J1935" s="9">
        <v>1.3229E-4</v>
      </c>
      <c r="K1935" s="9">
        <v>1.06E-5</v>
      </c>
      <c r="L1935" s="9">
        <v>1.7430000000000001E-4</v>
      </c>
      <c r="M1935" s="9">
        <v>1.7221000000000001E-4</v>
      </c>
      <c r="N1935" s="9">
        <v>1.4263000000000001E-4</v>
      </c>
      <c r="O1935" s="9">
        <v>1.6733000000000001E-4</v>
      </c>
      <c r="P1935" s="9">
        <v>1.7310000000000001E-4</v>
      </c>
      <c r="Q1935" s="9">
        <v>1.7979000000000001E-4</v>
      </c>
      <c r="R1935" s="10">
        <v>8.6529120459945686E-5</v>
      </c>
      <c r="S1935" s="10">
        <v>3.425470058639459E-5</v>
      </c>
      <c r="T1935" s="10">
        <v>4.5259494883335261E-4</v>
      </c>
      <c r="U1935" s="10">
        <v>1.5056999999999999E-4</v>
      </c>
      <c r="V1935" s="25"/>
      <c r="W1935" s="25"/>
      <c r="X1935" s="25"/>
      <c r="Y1935" s="25"/>
      <c r="Z1935" s="25"/>
      <c r="AA1935" s="25"/>
    </row>
    <row r="1936" spans="1:27" x14ac:dyDescent="0.35">
      <c r="A1936" s="5">
        <v>1932</v>
      </c>
      <c r="B1936" s="5">
        <v>81</v>
      </c>
      <c r="C1936" s="5">
        <v>3</v>
      </c>
      <c r="D1936" s="25">
        <v>1.1415000000000001E-4</v>
      </c>
      <c r="E1936" s="25">
        <v>1.225E-4</v>
      </c>
      <c r="F1936" s="25">
        <v>1.2689999999999999E-4</v>
      </c>
      <c r="G1936" s="25">
        <v>1.6757999999999999E-4</v>
      </c>
      <c r="H1936" s="25">
        <v>1.918E-4</v>
      </c>
      <c r="I1936" s="9">
        <v>1.3927000000000001E-4</v>
      </c>
      <c r="J1936" s="9">
        <v>1.3622999999999999E-4</v>
      </c>
      <c r="K1936" s="9">
        <v>0</v>
      </c>
      <c r="L1936" s="9">
        <v>1.7034999999999999E-4</v>
      </c>
      <c r="M1936" s="9">
        <v>1.7463999999999999E-4</v>
      </c>
      <c r="N1936" s="9">
        <v>1.5673E-4</v>
      </c>
      <c r="O1936" s="9">
        <v>1.7059E-4</v>
      </c>
      <c r="P1936" s="9">
        <v>1.7227E-4</v>
      </c>
      <c r="Q1936" s="9">
        <v>1.7495E-4</v>
      </c>
      <c r="R1936" s="10">
        <v>5.6656965185762329E-5</v>
      </c>
      <c r="S1936" s="10">
        <v>5.4017208690408929E-5</v>
      </c>
      <c r="T1936" s="10">
        <v>5.4128132994039229E-4</v>
      </c>
      <c r="U1936" s="10">
        <v>1.5056999999999999E-4</v>
      </c>
      <c r="V1936" s="25"/>
      <c r="W1936" s="25"/>
      <c r="X1936" s="25"/>
      <c r="Y1936" s="25"/>
      <c r="Z1936" s="25"/>
      <c r="AA1936" s="25"/>
    </row>
    <row r="1937" spans="1:27" x14ac:dyDescent="0.35">
      <c r="A1937" s="5">
        <v>1933</v>
      </c>
      <c r="B1937" s="5">
        <v>81</v>
      </c>
      <c r="C1937" s="5">
        <v>3</v>
      </c>
      <c r="D1937" s="25">
        <v>1.1416E-4</v>
      </c>
      <c r="E1937" s="25">
        <v>1.2202E-4</v>
      </c>
      <c r="F1937" s="25">
        <v>1.1981000000000001E-4</v>
      </c>
      <c r="G1937" s="25">
        <v>1.6322E-4</v>
      </c>
      <c r="H1937" s="25">
        <v>1.9771E-4</v>
      </c>
      <c r="I1937" s="9">
        <v>1.3809E-4</v>
      </c>
      <c r="J1937" s="9">
        <v>1.3137000000000001E-4</v>
      </c>
      <c r="K1937" s="9">
        <v>0</v>
      </c>
      <c r="L1937" s="9">
        <v>1.7068000000000001E-4</v>
      </c>
      <c r="M1937" s="9">
        <v>1.7395E-4</v>
      </c>
      <c r="N1937" s="9">
        <v>1.6635E-4</v>
      </c>
      <c r="O1937" s="9">
        <v>1.6186999999999999E-4</v>
      </c>
      <c r="P1937" s="9">
        <v>1.6435000000000001E-4</v>
      </c>
      <c r="Q1937" s="9">
        <v>1.6775000000000001E-4</v>
      </c>
      <c r="R1937" s="10">
        <v>3.957466303874506E-5</v>
      </c>
      <c r="S1937" s="10">
        <v>4.8307648135230981E-5</v>
      </c>
      <c r="T1937" s="10">
        <v>7.0170246205288696E-4</v>
      </c>
      <c r="U1937" s="10">
        <v>1.5056999999999999E-4</v>
      </c>
      <c r="V1937" s="25"/>
      <c r="W1937" s="25"/>
      <c r="X1937" s="25"/>
      <c r="Y1937" s="25"/>
      <c r="Z1937" s="25"/>
      <c r="AA1937" s="25"/>
    </row>
    <row r="1938" spans="1:27" x14ac:dyDescent="0.35">
      <c r="A1938" s="5">
        <v>1934</v>
      </c>
      <c r="B1938" s="5">
        <v>81</v>
      </c>
      <c r="C1938" s="5">
        <v>3</v>
      </c>
      <c r="D1938" s="25">
        <v>1.1415000000000001E-4</v>
      </c>
      <c r="E1938" s="25">
        <v>1.1501E-4</v>
      </c>
      <c r="F1938" s="25">
        <v>1.127E-4</v>
      </c>
      <c r="G1938" s="25">
        <v>1.5736E-4</v>
      </c>
      <c r="H1938" s="25">
        <v>1.9226000000000001E-4</v>
      </c>
      <c r="I1938" s="9">
        <v>1.3771000000000001E-4</v>
      </c>
      <c r="J1938" s="9">
        <v>1.3181999999999999E-4</v>
      </c>
      <c r="K1938" s="9">
        <v>0</v>
      </c>
      <c r="L1938" s="9">
        <v>1.6352000000000001E-4</v>
      </c>
      <c r="M1938" s="9">
        <v>1.7029999999999999E-4</v>
      </c>
      <c r="N1938" s="9">
        <v>1.707E-4</v>
      </c>
      <c r="O1938" s="9">
        <v>1.7922000000000001E-4</v>
      </c>
      <c r="P1938" s="9">
        <v>1.6988999999999999E-4</v>
      </c>
      <c r="Q1938" s="9">
        <v>1.6181999999999999E-4</v>
      </c>
      <c r="R1938" s="10">
        <v>3.0860329050255785E-5</v>
      </c>
      <c r="S1938" s="10">
        <v>3.4181882208507639E-5</v>
      </c>
      <c r="T1938" s="10">
        <v>6.855653246889159E-4</v>
      </c>
      <c r="U1938" s="10">
        <v>1.5056999999999999E-4</v>
      </c>
      <c r="V1938" s="25"/>
      <c r="W1938" s="25"/>
      <c r="X1938" s="25"/>
      <c r="Y1938" s="25"/>
      <c r="Z1938" s="25"/>
      <c r="AA1938" s="25"/>
    </row>
    <row r="1939" spans="1:27" x14ac:dyDescent="0.35">
      <c r="A1939" s="5">
        <v>1935</v>
      </c>
      <c r="B1939" s="5">
        <v>81</v>
      </c>
      <c r="C1939" s="5">
        <v>3</v>
      </c>
      <c r="D1939" s="25">
        <v>1.1416E-4</v>
      </c>
      <c r="E1939" s="25">
        <v>1.1747999999999999E-4</v>
      </c>
      <c r="F1939" s="25">
        <v>1.1809E-4</v>
      </c>
      <c r="G1939" s="25">
        <v>1.6386999999999999E-4</v>
      </c>
      <c r="H1939" s="25">
        <v>1.9459999999999999E-4</v>
      </c>
      <c r="I1939" s="9">
        <v>1.3507999999999999E-4</v>
      </c>
      <c r="J1939" s="9">
        <v>1.3064000000000001E-4</v>
      </c>
      <c r="K1939" s="9">
        <v>0</v>
      </c>
      <c r="L1939" s="9">
        <v>1.7594999999999999E-4</v>
      </c>
      <c r="M1939" s="9">
        <v>1.6909E-4</v>
      </c>
      <c r="N1939" s="9">
        <v>1.7039E-4</v>
      </c>
      <c r="O1939" s="9">
        <v>1.8241000000000001E-4</v>
      </c>
      <c r="P1939" s="9">
        <v>1.6640000000000001E-4</v>
      </c>
      <c r="Q1939" s="9">
        <v>1.5177999999999999E-4</v>
      </c>
      <c r="R1939" s="10">
        <v>2.1273088570803894E-5</v>
      </c>
      <c r="S1939" s="10">
        <v>2.2893301489189367E-5</v>
      </c>
      <c r="T1939" s="10">
        <v>5.7691538721099092E-4</v>
      </c>
      <c r="U1939" s="10">
        <v>1.5056999999999999E-4</v>
      </c>
      <c r="V1939" s="25"/>
      <c r="W1939" s="25"/>
      <c r="X1939" s="25"/>
      <c r="Y1939" s="25"/>
      <c r="Z1939" s="25"/>
      <c r="AA1939" s="25"/>
    </row>
    <row r="1940" spans="1:27" x14ac:dyDescent="0.35">
      <c r="A1940" s="5">
        <v>1936</v>
      </c>
      <c r="B1940" s="5">
        <v>81</v>
      </c>
      <c r="C1940" s="5">
        <v>3</v>
      </c>
      <c r="D1940" s="25">
        <v>1.1415000000000001E-4</v>
      </c>
      <c r="E1940" s="25">
        <v>1.2343E-4</v>
      </c>
      <c r="F1940" s="25">
        <v>1.175E-4</v>
      </c>
      <c r="G1940" s="25">
        <v>1.6469999999999999E-4</v>
      </c>
      <c r="H1940" s="25">
        <v>1.9623000000000001E-4</v>
      </c>
      <c r="I1940" s="9">
        <v>1.3409000000000001E-4</v>
      </c>
      <c r="J1940" s="9">
        <v>1.3024E-4</v>
      </c>
      <c r="K1940" s="9">
        <v>0</v>
      </c>
      <c r="L1940" s="9">
        <v>1.8065999999999999E-4</v>
      </c>
      <c r="M1940" s="9">
        <v>1.6788999999999999E-4</v>
      </c>
      <c r="N1940" s="9">
        <v>1.6635E-4</v>
      </c>
      <c r="O1940" s="9">
        <v>1.9612000000000001E-4</v>
      </c>
      <c r="P1940" s="9">
        <v>1.517E-4</v>
      </c>
      <c r="Q1940" s="9">
        <v>1.0922E-4</v>
      </c>
      <c r="R1940" s="10">
        <v>1.6351432388202076E-5</v>
      </c>
      <c r="S1940" s="10">
        <v>1.8132094726808762E-5</v>
      </c>
      <c r="T1940" s="10">
        <v>4.5041448390036596E-4</v>
      </c>
      <c r="U1940" s="10">
        <v>1.5056999999999999E-4</v>
      </c>
      <c r="V1940" s="25"/>
      <c r="W1940" s="25"/>
      <c r="X1940" s="25"/>
      <c r="Y1940" s="25"/>
      <c r="Z1940" s="25"/>
      <c r="AA1940" s="25"/>
    </row>
    <row r="1941" spans="1:27" x14ac:dyDescent="0.35">
      <c r="A1941" s="5">
        <v>1937</v>
      </c>
      <c r="B1941" s="5">
        <v>81</v>
      </c>
      <c r="C1941" s="5">
        <v>3</v>
      </c>
      <c r="D1941" s="25">
        <v>1.1416E-4</v>
      </c>
      <c r="E1941" s="25">
        <v>1.1717E-4</v>
      </c>
      <c r="F1941" s="25">
        <v>1.117E-4</v>
      </c>
      <c r="G1941" s="25">
        <v>1.5870000000000001E-4</v>
      </c>
      <c r="H1941" s="25">
        <v>1.9406999999999999E-4</v>
      </c>
      <c r="I1941" s="9">
        <v>1.3245999999999999E-4</v>
      </c>
      <c r="J1941" s="9">
        <v>1.315E-4</v>
      </c>
      <c r="K1941" s="9">
        <v>0</v>
      </c>
      <c r="L1941" s="9">
        <v>1.9253E-4</v>
      </c>
      <c r="M1941" s="9">
        <v>1.6185E-4</v>
      </c>
      <c r="N1941" s="9">
        <v>1.5245999999999999E-4</v>
      </c>
      <c r="O1941" s="9">
        <v>2.1498000000000001E-4</v>
      </c>
      <c r="P1941" s="9">
        <v>1.6028E-4</v>
      </c>
      <c r="Q1941" s="9">
        <v>1.0781E-4</v>
      </c>
      <c r="R1941" s="10">
        <v>1.3726794871753926E-5</v>
      </c>
      <c r="S1941" s="10">
        <v>1.7118668435252154E-5</v>
      </c>
      <c r="T1941" s="10">
        <v>2.4910751321953446E-4</v>
      </c>
      <c r="U1941" s="10">
        <v>1.5056999999999999E-4</v>
      </c>
      <c r="V1941" s="25"/>
      <c r="W1941" s="25"/>
      <c r="X1941" s="25"/>
      <c r="Y1941" s="25"/>
      <c r="Z1941" s="25"/>
      <c r="AA1941" s="25"/>
    </row>
    <row r="1942" spans="1:27" x14ac:dyDescent="0.35">
      <c r="A1942" s="5">
        <v>1938</v>
      </c>
      <c r="B1942" s="5">
        <v>81</v>
      </c>
      <c r="C1942" s="5">
        <v>3</v>
      </c>
      <c r="D1942" s="25">
        <v>1.1415000000000001E-4</v>
      </c>
      <c r="E1942" s="25">
        <v>1.1679E-4</v>
      </c>
      <c r="F1942" s="25">
        <v>1.2038E-4</v>
      </c>
      <c r="G1942" s="25">
        <v>1.5856999999999999E-4</v>
      </c>
      <c r="H1942" s="25">
        <v>1.9650000000000001E-4</v>
      </c>
      <c r="I1942" s="9">
        <v>1.348E-4</v>
      </c>
      <c r="J1942" s="9">
        <v>1.3261999999999999E-4</v>
      </c>
      <c r="K1942" s="9">
        <v>5.9349999999999999E-5</v>
      </c>
      <c r="L1942" s="9">
        <v>2.098E-4</v>
      </c>
      <c r="M1942" s="9">
        <v>1.5961999999999999E-4</v>
      </c>
      <c r="N1942" s="9">
        <v>1.3920999999999999E-4</v>
      </c>
      <c r="O1942" s="9">
        <v>2.0678E-4</v>
      </c>
      <c r="P1942" s="9">
        <v>1.617E-4</v>
      </c>
      <c r="Q1942" s="9">
        <v>1.1864E-4</v>
      </c>
      <c r="R1942" s="10">
        <v>1.1972792718185227E-5</v>
      </c>
      <c r="S1942" s="10">
        <v>1.7372750776684243E-5</v>
      </c>
      <c r="T1942" s="10">
        <v>3.789088089773648E-5</v>
      </c>
      <c r="U1942" s="10">
        <v>1.5056999999999999E-4</v>
      </c>
      <c r="V1942" s="25"/>
      <c r="W1942" s="25"/>
      <c r="X1942" s="25"/>
      <c r="Y1942" s="25"/>
      <c r="Z1942" s="25"/>
      <c r="AA1942" s="25"/>
    </row>
    <row r="1943" spans="1:27" x14ac:dyDescent="0.35">
      <c r="A1943" s="5">
        <v>1939</v>
      </c>
      <c r="B1943" s="5">
        <v>81</v>
      </c>
      <c r="C1943" s="5">
        <v>3</v>
      </c>
      <c r="D1943" s="25">
        <v>1.1416E-4</v>
      </c>
      <c r="E1943" s="25">
        <v>1.1403E-4</v>
      </c>
      <c r="F1943" s="25">
        <v>1.2884999999999999E-4</v>
      </c>
      <c r="G1943" s="25">
        <v>1.0624999999999999E-4</v>
      </c>
      <c r="H1943" s="25">
        <v>1.2774999999999999E-4</v>
      </c>
      <c r="I1943" s="9">
        <v>1.3714E-4</v>
      </c>
      <c r="J1943" s="9">
        <v>1.3019E-4</v>
      </c>
      <c r="K1943" s="9">
        <v>6.5710000000000006E-5</v>
      </c>
      <c r="L1943" s="9">
        <v>2.0699E-4</v>
      </c>
      <c r="M1943" s="9">
        <v>1.5998E-4</v>
      </c>
      <c r="N1943" s="9">
        <v>1.3030999999999999E-4</v>
      </c>
      <c r="O1943" s="9">
        <v>1.6561000000000001E-4</v>
      </c>
      <c r="P1943" s="9">
        <v>1.3608000000000001E-4</v>
      </c>
      <c r="Q1943" s="9">
        <v>1.0801E-4</v>
      </c>
      <c r="R1943" s="10">
        <v>1.2617616436872047E-5</v>
      </c>
      <c r="S1943" s="10">
        <v>1.7120546859635668E-5</v>
      </c>
      <c r="T1943" s="10">
        <v>0</v>
      </c>
      <c r="U1943" s="10">
        <v>1.5056999999999999E-4</v>
      </c>
      <c r="V1943" s="25"/>
      <c r="W1943" s="25"/>
      <c r="X1943" s="25"/>
      <c r="Y1943" s="25"/>
      <c r="Z1943" s="25"/>
      <c r="AA1943" s="25"/>
    </row>
    <row r="1944" spans="1:27" x14ac:dyDescent="0.35">
      <c r="A1944" s="5">
        <v>1940</v>
      </c>
      <c r="B1944" s="5">
        <v>81</v>
      </c>
      <c r="C1944" s="5">
        <v>3</v>
      </c>
      <c r="D1944" s="25">
        <v>1.1415000000000001E-4</v>
      </c>
      <c r="E1944" s="25">
        <v>1.1870999999999999E-4</v>
      </c>
      <c r="F1944" s="25">
        <v>1.2024E-4</v>
      </c>
      <c r="G1944" s="25">
        <v>1.0941E-4</v>
      </c>
      <c r="H1944" s="25">
        <v>1.3082999999999999E-4</v>
      </c>
      <c r="I1944" s="9">
        <v>1.3831E-4</v>
      </c>
      <c r="J1944" s="9">
        <v>1.3206000000000001E-4</v>
      </c>
      <c r="K1944" s="9">
        <v>8.0539999999999998E-5</v>
      </c>
      <c r="L1944" s="9">
        <v>1.7485999999999999E-4</v>
      </c>
      <c r="M1944" s="9">
        <v>1.5163000000000001E-4</v>
      </c>
      <c r="N1944" s="9">
        <v>1.2134E-4</v>
      </c>
      <c r="O1944" s="9">
        <v>1.2896000000000001E-4</v>
      </c>
      <c r="P1944" s="9">
        <v>1.1503E-4</v>
      </c>
      <c r="Q1944" s="9">
        <v>1.0204000000000001E-4</v>
      </c>
      <c r="R1944" s="10">
        <v>1.8850467850739365E-5</v>
      </c>
      <c r="S1944" s="10">
        <v>1.8369104828582087E-5</v>
      </c>
      <c r="T1944" s="10">
        <v>0</v>
      </c>
      <c r="U1944" s="10">
        <v>1.5056999999999999E-4</v>
      </c>
      <c r="V1944" s="25"/>
      <c r="W1944" s="25"/>
      <c r="X1944" s="25"/>
      <c r="Y1944" s="25"/>
      <c r="Z1944" s="25"/>
      <c r="AA1944" s="25"/>
    </row>
    <row r="1945" spans="1:27" x14ac:dyDescent="0.35">
      <c r="A1945" s="5">
        <v>1941</v>
      </c>
      <c r="B1945" s="5">
        <v>81</v>
      </c>
      <c r="C1945" s="5">
        <v>3</v>
      </c>
      <c r="D1945" s="25">
        <v>1.1416E-4</v>
      </c>
      <c r="E1945" s="25">
        <v>1.1812E-4</v>
      </c>
      <c r="F1945" s="25">
        <v>1.2276999999999999E-4</v>
      </c>
      <c r="G1945" s="25">
        <v>5.5989999999999998E-5</v>
      </c>
      <c r="H1945" s="25">
        <v>6.8629999999999999E-5</v>
      </c>
      <c r="I1945" s="9">
        <v>1.3184000000000001E-4</v>
      </c>
      <c r="J1945" s="9">
        <v>1.2653999999999999E-4</v>
      </c>
      <c r="K1945" s="9">
        <v>8.9010000000000003E-5</v>
      </c>
      <c r="L1945" s="9">
        <v>1.4007000000000001E-4</v>
      </c>
      <c r="M1945" s="9">
        <v>1.3608000000000001E-4</v>
      </c>
      <c r="N1945" s="9">
        <v>1.1367E-4</v>
      </c>
      <c r="O1945" s="9">
        <v>8.4220000000000003E-5</v>
      </c>
      <c r="P1945" s="9">
        <v>8.585E-5</v>
      </c>
      <c r="Q1945" s="9">
        <v>8.7839999999999999E-5</v>
      </c>
      <c r="R1945" s="10">
        <v>2.7383403996223467E-5</v>
      </c>
      <c r="S1945" s="10">
        <v>2.1949662864136813E-5</v>
      </c>
      <c r="T1945" s="10">
        <v>0</v>
      </c>
      <c r="U1945" s="10">
        <v>1.5056999999999999E-4</v>
      </c>
      <c r="V1945" s="25"/>
      <c r="W1945" s="25"/>
      <c r="X1945" s="25"/>
      <c r="Y1945" s="25"/>
      <c r="Z1945" s="25"/>
      <c r="AA1945" s="25"/>
    </row>
    <row r="1946" spans="1:27" x14ac:dyDescent="0.35">
      <c r="A1946" s="5">
        <v>1942</v>
      </c>
      <c r="B1946" s="5">
        <v>81</v>
      </c>
      <c r="C1946" s="5">
        <v>3</v>
      </c>
      <c r="D1946" s="25">
        <v>1.1415000000000001E-4</v>
      </c>
      <c r="E1946" s="25">
        <v>1.1513E-4</v>
      </c>
      <c r="F1946" s="25">
        <v>1.2836E-4</v>
      </c>
      <c r="G1946" s="25">
        <v>5.9370000000000002E-5</v>
      </c>
      <c r="H1946" s="25">
        <v>7.2700000000000005E-5</v>
      </c>
      <c r="I1946" s="9">
        <v>1.2593000000000001E-4</v>
      </c>
      <c r="J1946" s="9">
        <v>1.1838E-4</v>
      </c>
      <c r="K1946" s="9">
        <v>9.1130000000000003E-5</v>
      </c>
      <c r="L1946" s="9">
        <v>9.7449999999999997E-5</v>
      </c>
      <c r="M1946" s="9">
        <v>1.1398E-4</v>
      </c>
      <c r="N1946" s="9">
        <v>1.0592E-4</v>
      </c>
      <c r="O1946" s="9">
        <v>8.7120000000000006E-5</v>
      </c>
      <c r="P1946" s="9">
        <v>8.7369999999999999E-5</v>
      </c>
      <c r="Q1946" s="9">
        <v>8.8020000000000001E-5</v>
      </c>
      <c r="R1946" s="10">
        <v>3.699014140631449E-5</v>
      </c>
      <c r="S1946" s="10">
        <v>3.0477405770937202E-5</v>
      </c>
      <c r="T1946" s="10">
        <v>0</v>
      </c>
      <c r="U1946" s="10">
        <v>1.5056999999999999E-4</v>
      </c>
      <c r="V1946" s="25"/>
      <c r="W1946" s="25"/>
      <c r="X1946" s="25"/>
      <c r="Y1946" s="25"/>
      <c r="Z1946" s="25"/>
      <c r="AA1946" s="25"/>
    </row>
    <row r="1947" spans="1:27" x14ac:dyDescent="0.35">
      <c r="A1947" s="5">
        <v>1943</v>
      </c>
      <c r="B1947" s="5">
        <v>81</v>
      </c>
      <c r="C1947" s="5">
        <v>3</v>
      </c>
      <c r="D1947" s="25">
        <v>1.1416E-4</v>
      </c>
      <c r="E1947" s="25">
        <v>1.2458E-4</v>
      </c>
      <c r="F1947" s="25">
        <v>1.2825E-4</v>
      </c>
      <c r="G1947" s="25">
        <v>6.1119999999999998E-5</v>
      </c>
      <c r="H1947" s="25">
        <v>6.9919999999999995E-5</v>
      </c>
      <c r="I1947" s="9">
        <v>1.2601999999999999E-4</v>
      </c>
      <c r="J1947" s="9">
        <v>1.0851E-4</v>
      </c>
      <c r="K1947" s="9">
        <v>8.4779999999999998E-5</v>
      </c>
      <c r="L1947" s="9">
        <v>9.0350000000000001E-5</v>
      </c>
      <c r="M1947" s="9">
        <v>9.8980000000000004E-5</v>
      </c>
      <c r="N1947" s="9">
        <v>9.9980000000000002E-5</v>
      </c>
      <c r="O1947" s="9">
        <v>7.8490000000000002E-5</v>
      </c>
      <c r="P1947" s="9">
        <v>7.2780000000000005E-5</v>
      </c>
      <c r="Q1947" s="9">
        <v>6.7479999999999998E-5</v>
      </c>
      <c r="R1947" s="10">
        <v>4.5009581251813983E-5</v>
      </c>
      <c r="S1947" s="10">
        <v>4.6185833511238388E-5</v>
      </c>
      <c r="T1947" s="10">
        <v>0</v>
      </c>
      <c r="U1947" s="10">
        <v>1.5056999999999999E-4</v>
      </c>
      <c r="V1947" s="25"/>
      <c r="W1947" s="25"/>
      <c r="X1947" s="25"/>
      <c r="Y1947" s="25"/>
      <c r="Z1947" s="25"/>
      <c r="AA1947" s="25"/>
    </row>
    <row r="1948" spans="1:27" x14ac:dyDescent="0.35">
      <c r="A1948" s="5">
        <v>1944</v>
      </c>
      <c r="B1948" s="5">
        <v>81</v>
      </c>
      <c r="C1948" s="5">
        <v>3</v>
      </c>
      <c r="D1948" s="25">
        <v>1.1415000000000001E-4</v>
      </c>
      <c r="E1948" s="25">
        <v>1.1857E-4</v>
      </c>
      <c r="F1948" s="25">
        <v>1.1336999999999999E-4</v>
      </c>
      <c r="G1948" s="25">
        <v>5.2960000000000001E-5</v>
      </c>
      <c r="H1948" s="25">
        <v>6.9830000000000001E-5</v>
      </c>
      <c r="I1948" s="9">
        <v>1.2385E-4</v>
      </c>
      <c r="J1948" s="9">
        <v>1.0088E-4</v>
      </c>
      <c r="K1948" s="9">
        <v>7.6299999999999998E-5</v>
      </c>
      <c r="L1948" s="9">
        <v>8.1080000000000003E-5</v>
      </c>
      <c r="M1948" s="9">
        <v>8.6249999999999996E-5</v>
      </c>
      <c r="N1948" s="9">
        <v>9.0749999999999997E-5</v>
      </c>
      <c r="O1948" s="9">
        <v>6.2830000000000007E-5</v>
      </c>
      <c r="P1948" s="9">
        <v>6.0760000000000001E-5</v>
      </c>
      <c r="Q1948" s="9">
        <v>5.8950000000000003E-5</v>
      </c>
      <c r="R1948" s="10">
        <v>4.9107134663759137E-5</v>
      </c>
      <c r="S1948" s="10">
        <v>6.6487637875352177E-5</v>
      </c>
      <c r="T1948" s="10">
        <v>0</v>
      </c>
      <c r="U1948" s="10">
        <v>1.5056999999999999E-4</v>
      </c>
      <c r="V1948" s="25"/>
      <c r="W1948" s="25"/>
      <c r="X1948" s="25"/>
      <c r="Y1948" s="25"/>
      <c r="Z1948" s="25"/>
      <c r="AA1948" s="25"/>
    </row>
    <row r="1949" spans="1:27" x14ac:dyDescent="0.35">
      <c r="A1949" s="5">
        <v>1945</v>
      </c>
      <c r="B1949" s="5">
        <v>82</v>
      </c>
      <c r="C1949" s="5">
        <v>3</v>
      </c>
      <c r="D1949" s="25">
        <v>1.1416E-4</v>
      </c>
      <c r="E1949" s="25">
        <v>1.2138000000000001E-4</v>
      </c>
      <c r="F1949" s="25">
        <v>8.9720000000000002E-5</v>
      </c>
      <c r="G1949" s="25">
        <v>6.2760000000000002E-5</v>
      </c>
      <c r="H1949" s="25">
        <v>6.6400000000000001E-5</v>
      </c>
      <c r="I1949" s="9">
        <v>1.1598E-4</v>
      </c>
      <c r="J1949" s="9">
        <v>9.3200000000000002E-5</v>
      </c>
      <c r="K1949" s="9">
        <v>8.6899999999999998E-5</v>
      </c>
      <c r="L1949" s="9">
        <v>6.6820000000000001E-5</v>
      </c>
      <c r="M1949" s="9">
        <v>7.4170000000000003E-5</v>
      </c>
      <c r="N1949" s="9">
        <v>8.1279999999999994E-5</v>
      </c>
      <c r="O1949" s="9">
        <v>5.4379999999999998E-5</v>
      </c>
      <c r="P1949" s="9">
        <v>5.3789999999999998E-5</v>
      </c>
      <c r="Q1949" s="9">
        <v>5.3369999999999999E-5</v>
      </c>
      <c r="R1949" s="10">
        <v>5.3194753563311868E-5</v>
      </c>
      <c r="S1949" s="10">
        <v>8.4953936271396226E-5</v>
      </c>
      <c r="T1949" s="10">
        <v>0</v>
      </c>
      <c r="U1949" s="10">
        <v>1.4778999999999999E-4</v>
      </c>
      <c r="V1949" s="25"/>
      <c r="W1949" s="25"/>
      <c r="X1949" s="25"/>
      <c r="Y1949" s="25"/>
      <c r="Z1949" s="25"/>
      <c r="AA1949" s="25"/>
    </row>
    <row r="1950" spans="1:27" x14ac:dyDescent="0.35">
      <c r="A1950" s="5">
        <v>1946</v>
      </c>
      <c r="B1950" s="5">
        <v>82</v>
      </c>
      <c r="C1950" s="5">
        <v>3</v>
      </c>
      <c r="D1950" s="25">
        <v>1.1415000000000001E-4</v>
      </c>
      <c r="E1950" s="25">
        <v>1.1508E-4</v>
      </c>
      <c r="F1950" s="25">
        <v>8.4209999999999995E-5</v>
      </c>
      <c r="G1950" s="25">
        <v>5.6530000000000003E-5</v>
      </c>
      <c r="H1950" s="25">
        <v>6.4930000000000003E-5</v>
      </c>
      <c r="I1950" s="9">
        <v>1.1026E-4</v>
      </c>
      <c r="J1950" s="9">
        <v>8.9110000000000006E-5</v>
      </c>
      <c r="K1950" s="9">
        <v>1.1232E-4</v>
      </c>
      <c r="L1950" s="9">
        <v>5.7500000000000002E-5</v>
      </c>
      <c r="M1950" s="9">
        <v>6.3960000000000004E-5</v>
      </c>
      <c r="N1950" s="9">
        <v>7.2109999999999999E-5</v>
      </c>
      <c r="O1950" s="9">
        <v>1.9009999999999999E-5</v>
      </c>
      <c r="P1950" s="9">
        <v>3.7960000000000002E-5</v>
      </c>
      <c r="Q1950" s="9">
        <v>5.6490000000000003E-5</v>
      </c>
      <c r="R1950" s="10">
        <v>4.8283896659439011E-5</v>
      </c>
      <c r="S1950" s="10">
        <v>9.9674630927563986E-5</v>
      </c>
      <c r="T1950" s="10">
        <v>0</v>
      </c>
      <c r="U1950" s="10">
        <v>1.4778999999999999E-4</v>
      </c>
      <c r="V1950" s="25"/>
      <c r="W1950" s="25"/>
      <c r="X1950" s="25"/>
      <c r="Y1950" s="25"/>
      <c r="Z1950" s="25"/>
      <c r="AA1950" s="25"/>
    </row>
    <row r="1951" spans="1:27" x14ac:dyDescent="0.35">
      <c r="A1951" s="5">
        <v>1947</v>
      </c>
      <c r="B1951" s="5">
        <v>82</v>
      </c>
      <c r="C1951" s="5">
        <v>3</v>
      </c>
      <c r="D1951" s="25">
        <v>1.1416E-4</v>
      </c>
      <c r="E1951" s="25">
        <v>1.171E-4</v>
      </c>
      <c r="F1951" s="25">
        <v>1.032E-4</v>
      </c>
      <c r="G1951" s="25">
        <v>5.8860000000000002E-5</v>
      </c>
      <c r="H1951" s="25">
        <v>6.5829999999999998E-5</v>
      </c>
      <c r="I1951" s="9">
        <v>1.0545E-4</v>
      </c>
      <c r="J1951" s="9">
        <v>8.7189999999999997E-5</v>
      </c>
      <c r="K1951" s="9">
        <v>1.0809E-4</v>
      </c>
      <c r="L1951" s="9">
        <v>2.7690000000000001E-5</v>
      </c>
      <c r="M1951" s="9">
        <v>5.2259999999999998E-5</v>
      </c>
      <c r="N1951" s="9">
        <v>6.5610000000000004E-5</v>
      </c>
      <c r="O1951" s="9">
        <v>1.3360000000000001E-5</v>
      </c>
      <c r="P1951" s="9">
        <v>3.7580000000000003E-5</v>
      </c>
      <c r="Q1951" s="9">
        <v>6.1260000000000006E-5</v>
      </c>
      <c r="R1951" s="10">
        <v>4.8818757545592519E-5</v>
      </c>
      <c r="S1951" s="10">
        <v>1.1384283140353582E-4</v>
      </c>
      <c r="T1951" s="10">
        <v>0</v>
      </c>
      <c r="U1951" s="10">
        <v>1.4778999999999999E-4</v>
      </c>
      <c r="V1951" s="25"/>
      <c r="W1951" s="25"/>
      <c r="X1951" s="25"/>
      <c r="Y1951" s="25"/>
      <c r="Z1951" s="25"/>
      <c r="AA1951" s="25"/>
    </row>
    <row r="1952" spans="1:27" x14ac:dyDescent="0.35">
      <c r="A1952" s="5">
        <v>1948</v>
      </c>
      <c r="B1952" s="5">
        <v>82</v>
      </c>
      <c r="C1952" s="5">
        <v>3</v>
      </c>
      <c r="D1952" s="25">
        <v>1.1415000000000001E-4</v>
      </c>
      <c r="E1952" s="25">
        <v>1.2128E-4</v>
      </c>
      <c r="F1952" s="25">
        <v>9.2579999999999998E-5</v>
      </c>
      <c r="G1952" s="25">
        <v>5.3319999999999998E-5</v>
      </c>
      <c r="H1952" s="25">
        <v>7.4010000000000005E-5</v>
      </c>
      <c r="I1952" s="9">
        <v>1.0388E-4</v>
      </c>
      <c r="J1952" s="9">
        <v>8.7260000000000001E-5</v>
      </c>
      <c r="K1952" s="9">
        <v>1.1868E-4</v>
      </c>
      <c r="L1952" s="9">
        <v>1.7249999999999999E-5</v>
      </c>
      <c r="M1952" s="9">
        <v>4.4199999999999997E-5</v>
      </c>
      <c r="N1952" s="9">
        <v>6.1950000000000001E-5</v>
      </c>
      <c r="O1952" s="9">
        <v>1.33E-5</v>
      </c>
      <c r="P1952" s="9">
        <v>4.6770000000000001E-5</v>
      </c>
      <c r="Q1952" s="9">
        <v>7.9540000000000001E-5</v>
      </c>
      <c r="R1952" s="10">
        <v>4.6900634166670418E-5</v>
      </c>
      <c r="S1952" s="10">
        <v>1.2293566047990958E-4</v>
      </c>
      <c r="T1952" s="10">
        <v>0</v>
      </c>
      <c r="U1952" s="10">
        <v>1.4778999999999999E-4</v>
      </c>
      <c r="V1952" s="25"/>
      <c r="W1952" s="25"/>
      <c r="X1952" s="25"/>
      <c r="Y1952" s="25"/>
      <c r="Z1952" s="25"/>
      <c r="AA1952" s="25"/>
    </row>
    <row r="1953" spans="1:27" x14ac:dyDescent="0.35">
      <c r="A1953" s="5">
        <v>1949</v>
      </c>
      <c r="B1953" s="5">
        <v>82</v>
      </c>
      <c r="C1953" s="5">
        <v>3</v>
      </c>
      <c r="D1953" s="25">
        <v>1.1416E-4</v>
      </c>
      <c r="E1953" s="25">
        <v>1.1386E-4</v>
      </c>
      <c r="F1953" s="25">
        <v>1.0035999999999999E-4</v>
      </c>
      <c r="G1953" s="25">
        <v>5.4079999999999997E-5</v>
      </c>
      <c r="H1953" s="25">
        <v>7.3629999999999998E-5</v>
      </c>
      <c r="I1953" s="9">
        <v>1.0599000000000001E-4</v>
      </c>
      <c r="J1953" s="9">
        <v>8.7269999999999996E-5</v>
      </c>
      <c r="K1953" s="9">
        <v>1.2292E-4</v>
      </c>
      <c r="L1953" s="9">
        <v>1.4419999999999999E-5</v>
      </c>
      <c r="M1953" s="9">
        <v>4.3309999999999997E-5</v>
      </c>
      <c r="N1953" s="9">
        <v>6.4280000000000001E-5</v>
      </c>
      <c r="O1953" s="9">
        <v>1.878E-5</v>
      </c>
      <c r="P1953" s="9">
        <v>5.626E-5</v>
      </c>
      <c r="Q1953" s="9">
        <v>9.3029999999999995E-5</v>
      </c>
      <c r="R1953" s="10">
        <v>4.4484338891588236E-5</v>
      </c>
      <c r="S1953" s="10">
        <v>1.3185424306533543E-4</v>
      </c>
      <c r="T1953" s="10">
        <v>0</v>
      </c>
      <c r="U1953" s="10">
        <v>1.4778999999999999E-4</v>
      </c>
      <c r="V1953" s="25"/>
      <c r="W1953" s="25"/>
      <c r="X1953" s="25"/>
      <c r="Y1953" s="25"/>
      <c r="Z1953" s="25"/>
      <c r="AA1953" s="25"/>
    </row>
    <row r="1954" spans="1:27" x14ac:dyDescent="0.35">
      <c r="A1954" s="5">
        <v>1950</v>
      </c>
      <c r="B1954" s="5">
        <v>82</v>
      </c>
      <c r="C1954" s="5">
        <v>3</v>
      </c>
      <c r="D1954" s="25">
        <v>1.1415000000000001E-4</v>
      </c>
      <c r="E1954" s="25">
        <v>1.1929E-4</v>
      </c>
      <c r="F1954" s="25">
        <v>8.4029999999999993E-5</v>
      </c>
      <c r="G1954" s="25">
        <v>1.0888E-4</v>
      </c>
      <c r="H1954" s="25">
        <v>1.3777E-4</v>
      </c>
      <c r="I1954" s="9">
        <v>1.1211E-4</v>
      </c>
      <c r="J1954" s="9">
        <v>9.0760000000000005E-5</v>
      </c>
      <c r="K1954" s="9">
        <v>1.3776000000000001E-4</v>
      </c>
      <c r="L1954" s="9">
        <v>1.7689999999999998E-5</v>
      </c>
      <c r="M1954" s="9">
        <v>4.8090000000000002E-5</v>
      </c>
      <c r="N1954" s="9">
        <v>7.0690000000000003E-5</v>
      </c>
      <c r="O1954" s="9">
        <v>4.6449999999999997E-5</v>
      </c>
      <c r="P1954" s="9">
        <v>7.7109999999999999E-5</v>
      </c>
      <c r="Q1954" s="9">
        <v>1.0738000000000001E-4</v>
      </c>
      <c r="R1954" s="10">
        <v>4.2237377343505206E-5</v>
      </c>
      <c r="S1954" s="10">
        <v>1.3348807850181168E-4</v>
      </c>
      <c r="T1954" s="10">
        <v>0</v>
      </c>
      <c r="U1954" s="10">
        <v>1.4778999999999999E-4</v>
      </c>
      <c r="V1954" s="25"/>
      <c r="W1954" s="25"/>
      <c r="X1954" s="25"/>
      <c r="Y1954" s="25"/>
      <c r="Z1954" s="25"/>
      <c r="AA1954" s="25"/>
    </row>
    <row r="1955" spans="1:27" x14ac:dyDescent="0.35">
      <c r="A1955" s="5">
        <v>1951</v>
      </c>
      <c r="B1955" s="5">
        <v>82</v>
      </c>
      <c r="C1955" s="5">
        <v>3</v>
      </c>
      <c r="D1955" s="25">
        <v>1.1416E-4</v>
      </c>
      <c r="E1955" s="25">
        <v>1.1442000000000001E-4</v>
      </c>
      <c r="F1955" s="25">
        <v>8.687E-5</v>
      </c>
      <c r="G1955" s="25">
        <v>1.0471000000000001E-4</v>
      </c>
      <c r="H1955" s="25">
        <v>1.3107E-4</v>
      </c>
      <c r="I1955" s="9">
        <v>1.2452000000000001E-4</v>
      </c>
      <c r="J1955" s="9">
        <v>1.0187E-4</v>
      </c>
      <c r="K1955" s="9">
        <v>1.1232E-4</v>
      </c>
      <c r="L1955" s="9">
        <v>3.998E-5</v>
      </c>
      <c r="M1955" s="9">
        <v>5.9899999999999999E-5</v>
      </c>
      <c r="N1955" s="9">
        <v>8.0500000000000005E-5</v>
      </c>
      <c r="O1955" s="9">
        <v>1.2235999999999999E-4</v>
      </c>
      <c r="P1955" s="9">
        <v>1.167E-4</v>
      </c>
      <c r="Q1955" s="9">
        <v>1.1179E-4</v>
      </c>
      <c r="R1955" s="10">
        <v>4.7042584586981525E-5</v>
      </c>
      <c r="S1955" s="10">
        <v>1.3424437326514852E-4</v>
      </c>
      <c r="T1955" s="10">
        <v>1.5729890995164223E-5</v>
      </c>
      <c r="U1955" s="10">
        <v>1.4778999999999999E-4</v>
      </c>
      <c r="V1955" s="25"/>
      <c r="W1955" s="25"/>
      <c r="X1955" s="25"/>
      <c r="Y1955" s="25"/>
      <c r="Z1955" s="25"/>
      <c r="AA1955" s="25"/>
    </row>
    <row r="1956" spans="1:27" x14ac:dyDescent="0.35">
      <c r="A1956" s="5">
        <v>1952</v>
      </c>
      <c r="B1956" s="5">
        <v>82</v>
      </c>
      <c r="C1956" s="5">
        <v>3</v>
      </c>
      <c r="D1956" s="25">
        <v>1.1415000000000001E-4</v>
      </c>
      <c r="E1956" s="25">
        <v>1.1722000000000001E-4</v>
      </c>
      <c r="F1956" s="25">
        <v>9.4190000000000005E-5</v>
      </c>
      <c r="G1956" s="25">
        <v>1.6046999999999999E-4</v>
      </c>
      <c r="H1956" s="25">
        <v>1.9237E-4</v>
      </c>
      <c r="I1956" s="9">
        <v>1.3065E-4</v>
      </c>
      <c r="J1956" s="9">
        <v>1.1658999999999999E-4</v>
      </c>
      <c r="K1956" s="9">
        <v>8.6899999999999998E-5</v>
      </c>
      <c r="L1956" s="9">
        <v>1.0362E-4</v>
      </c>
      <c r="M1956" s="9">
        <v>8.3399999999999994E-5</v>
      </c>
      <c r="N1956" s="9">
        <v>9.0480000000000001E-5</v>
      </c>
      <c r="O1956" s="9">
        <v>2.2101999999999999E-4</v>
      </c>
      <c r="P1956" s="9">
        <v>1.7835E-4</v>
      </c>
      <c r="Q1956" s="9">
        <v>1.3778E-4</v>
      </c>
      <c r="R1956" s="10">
        <v>4.6481613939170224E-5</v>
      </c>
      <c r="S1956" s="10">
        <v>1.3249664723962522E-4</v>
      </c>
      <c r="T1956" s="10">
        <v>2.0505703099359449E-4</v>
      </c>
      <c r="U1956" s="10">
        <v>1.4778999999999999E-4</v>
      </c>
      <c r="V1956" s="25"/>
      <c r="W1956" s="25"/>
      <c r="X1956" s="25"/>
      <c r="Y1956" s="25"/>
      <c r="Z1956" s="25"/>
      <c r="AA1956" s="25"/>
    </row>
    <row r="1957" spans="1:27" x14ac:dyDescent="0.35">
      <c r="A1957" s="5">
        <v>1953</v>
      </c>
      <c r="B1957" s="5">
        <v>82</v>
      </c>
      <c r="C1957" s="5">
        <v>3</v>
      </c>
      <c r="D1957" s="25">
        <v>1.1416E-4</v>
      </c>
      <c r="E1957" s="25">
        <v>1.1603999999999999E-4</v>
      </c>
      <c r="F1957" s="25">
        <v>8.7200000000000005E-5</v>
      </c>
      <c r="G1957" s="25">
        <v>1.5961999999999999E-4</v>
      </c>
      <c r="H1957" s="25">
        <v>1.9408000000000001E-4</v>
      </c>
      <c r="I1957" s="9">
        <v>1.3365E-4</v>
      </c>
      <c r="J1957" s="9">
        <v>1.2579E-4</v>
      </c>
      <c r="K1957" s="9">
        <v>6.1470000000000006E-5</v>
      </c>
      <c r="L1957" s="9">
        <v>1.9343999999999999E-4</v>
      </c>
      <c r="M1957" s="9">
        <v>1.2365E-4</v>
      </c>
      <c r="N1957" s="9">
        <v>1.0452E-4</v>
      </c>
      <c r="O1957" s="9">
        <v>2.1225000000000001E-4</v>
      </c>
      <c r="P1957" s="9">
        <v>1.9426E-4</v>
      </c>
      <c r="Q1957" s="9">
        <v>1.7791000000000001E-4</v>
      </c>
      <c r="R1957" s="10">
        <v>4.3386048640426181E-5</v>
      </c>
      <c r="S1957" s="10">
        <v>1.3259561486142889E-4</v>
      </c>
      <c r="T1957" s="10">
        <v>4.0143462375199314E-4</v>
      </c>
      <c r="U1957" s="10">
        <v>1.4778999999999999E-4</v>
      </c>
      <c r="V1957" s="25"/>
      <c r="W1957" s="25"/>
      <c r="X1957" s="25"/>
      <c r="Y1957" s="25"/>
      <c r="Z1957" s="25"/>
      <c r="AA1957" s="25"/>
    </row>
    <row r="1958" spans="1:27" x14ac:dyDescent="0.35">
      <c r="A1958" s="5">
        <v>1954</v>
      </c>
      <c r="B1958" s="5">
        <v>82</v>
      </c>
      <c r="C1958" s="5">
        <v>3</v>
      </c>
      <c r="D1958" s="25">
        <v>1.1415000000000001E-4</v>
      </c>
      <c r="E1958" s="25">
        <v>1.1653E-4</v>
      </c>
      <c r="F1958" s="25">
        <v>9.1970000000000002E-5</v>
      </c>
      <c r="G1958" s="25">
        <v>1.5791000000000001E-4</v>
      </c>
      <c r="H1958" s="25">
        <v>1.9416E-4</v>
      </c>
      <c r="I1958" s="9">
        <v>1.3525000000000001E-4</v>
      </c>
      <c r="J1958" s="9">
        <v>1.2753999999999999E-4</v>
      </c>
      <c r="K1958" s="9">
        <v>3.18E-5</v>
      </c>
      <c r="L1958" s="9">
        <v>2.0574999999999999E-4</v>
      </c>
      <c r="M1958" s="9">
        <v>1.5929E-4</v>
      </c>
      <c r="N1958" s="9">
        <v>1.2483000000000001E-4</v>
      </c>
      <c r="O1958" s="9">
        <v>1.6657999999999999E-4</v>
      </c>
      <c r="P1958" s="9">
        <v>1.7367000000000001E-4</v>
      </c>
      <c r="Q1958" s="9">
        <v>1.8165E-4</v>
      </c>
      <c r="R1958" s="10">
        <v>2.4796464884806328E-5</v>
      </c>
      <c r="S1958" s="10">
        <v>1.3223054933458682E-4</v>
      </c>
      <c r="T1958" s="10">
        <v>5.6227148653264483E-4</v>
      </c>
      <c r="U1958" s="10">
        <v>1.4778999999999999E-4</v>
      </c>
      <c r="V1958" s="25"/>
      <c r="W1958" s="25"/>
      <c r="X1958" s="25"/>
      <c r="Y1958" s="25"/>
      <c r="Z1958" s="25"/>
      <c r="AA1958" s="25"/>
    </row>
    <row r="1959" spans="1:27" x14ac:dyDescent="0.35">
      <c r="A1959" s="5">
        <v>1955</v>
      </c>
      <c r="B1959" s="5">
        <v>82</v>
      </c>
      <c r="C1959" s="5">
        <v>3</v>
      </c>
      <c r="D1959" s="25">
        <v>1.1416E-4</v>
      </c>
      <c r="E1959" s="25">
        <v>1.2086E-4</v>
      </c>
      <c r="F1959" s="25">
        <v>8.1689999999999999E-5</v>
      </c>
      <c r="G1959" s="25">
        <v>1.6464E-4</v>
      </c>
      <c r="H1959" s="25">
        <v>1.9620999999999999E-4</v>
      </c>
      <c r="I1959" s="9">
        <v>1.3483000000000001E-4</v>
      </c>
      <c r="J1959" s="9">
        <v>1.2701999999999999E-4</v>
      </c>
      <c r="K1959" s="9">
        <v>6.3600000000000001E-6</v>
      </c>
      <c r="L1959" s="9">
        <v>1.7526999999999999E-4</v>
      </c>
      <c r="M1959" s="9">
        <v>1.7272000000000001E-4</v>
      </c>
      <c r="N1959" s="9">
        <v>1.4285E-4</v>
      </c>
      <c r="O1959" s="9">
        <v>1.6553E-4</v>
      </c>
      <c r="P1959" s="9">
        <v>1.7123999999999999E-4</v>
      </c>
      <c r="Q1959" s="9">
        <v>1.7785000000000001E-4</v>
      </c>
      <c r="R1959" s="10">
        <v>2.3003626859068739E-5</v>
      </c>
      <c r="S1959" s="10">
        <v>1.3260079825804972E-4</v>
      </c>
      <c r="T1959" s="10">
        <v>6.5762652692889659E-4</v>
      </c>
      <c r="U1959" s="10">
        <v>1.4778999999999999E-4</v>
      </c>
      <c r="V1959" s="25"/>
      <c r="W1959" s="25"/>
      <c r="X1959" s="25"/>
      <c r="Y1959" s="25"/>
      <c r="Z1959" s="25"/>
      <c r="AA1959" s="25"/>
    </row>
    <row r="1960" spans="1:27" x14ac:dyDescent="0.35">
      <c r="A1960" s="5">
        <v>1956</v>
      </c>
      <c r="B1960" s="5">
        <v>82</v>
      </c>
      <c r="C1960" s="5">
        <v>3</v>
      </c>
      <c r="D1960" s="25">
        <v>1.1415000000000001E-4</v>
      </c>
      <c r="E1960" s="25">
        <v>1.2136E-4</v>
      </c>
      <c r="F1960" s="25">
        <v>1.0199E-4</v>
      </c>
      <c r="G1960" s="25">
        <v>1.6744000000000001E-4</v>
      </c>
      <c r="H1960" s="25">
        <v>1.9483E-4</v>
      </c>
      <c r="I1960" s="9">
        <v>1.3525000000000001E-4</v>
      </c>
      <c r="J1960" s="9">
        <v>1.2851E-4</v>
      </c>
      <c r="K1960" s="9">
        <v>0</v>
      </c>
      <c r="L1960" s="9">
        <v>1.6913E-4</v>
      </c>
      <c r="M1960" s="9">
        <v>1.7440000000000001E-4</v>
      </c>
      <c r="N1960" s="9">
        <v>1.5657E-4</v>
      </c>
      <c r="O1960" s="9">
        <v>1.6924999999999999E-4</v>
      </c>
      <c r="P1960" s="9">
        <v>1.7091E-4</v>
      </c>
      <c r="Q1960" s="9">
        <v>1.7357000000000001E-4</v>
      </c>
      <c r="R1960" s="10">
        <v>1.5099803524208802E-5</v>
      </c>
      <c r="S1960" s="10">
        <v>1.2822022231613625E-4</v>
      </c>
      <c r="T1960" s="10">
        <v>5.0265231499919342E-4</v>
      </c>
      <c r="U1960" s="10">
        <v>1.4778999999999999E-4</v>
      </c>
      <c r="V1960" s="25"/>
      <c r="W1960" s="25"/>
      <c r="X1960" s="25"/>
      <c r="Y1960" s="25"/>
      <c r="Z1960" s="25"/>
      <c r="AA1960" s="25"/>
    </row>
    <row r="1961" spans="1:27" x14ac:dyDescent="0.35">
      <c r="A1961" s="5">
        <v>1957</v>
      </c>
      <c r="B1961" s="5">
        <v>82</v>
      </c>
      <c r="C1961" s="5">
        <v>3</v>
      </c>
      <c r="D1961" s="25">
        <v>1.1416E-4</v>
      </c>
      <c r="E1961" s="25">
        <v>1.1522E-4</v>
      </c>
      <c r="F1961" s="25">
        <v>8.2260000000000002E-5</v>
      </c>
      <c r="G1961" s="25">
        <v>1.6123999999999999E-4</v>
      </c>
      <c r="H1961" s="25">
        <v>1.9790000000000001E-4</v>
      </c>
      <c r="I1961" s="9">
        <v>1.3059000000000001E-4</v>
      </c>
      <c r="J1961" s="9">
        <v>1.2774999999999999E-4</v>
      </c>
      <c r="K1961" s="9">
        <v>0</v>
      </c>
      <c r="L1961" s="9">
        <v>1.6941999999999999E-4</v>
      </c>
      <c r="M1961" s="9">
        <v>1.7309000000000001E-4</v>
      </c>
      <c r="N1961" s="9">
        <v>1.6590999999999999E-4</v>
      </c>
      <c r="O1961" s="9">
        <v>1.6269E-4</v>
      </c>
      <c r="P1961" s="9">
        <v>1.6517999999999999E-4</v>
      </c>
      <c r="Q1961" s="9">
        <v>1.6861E-4</v>
      </c>
      <c r="R1961" s="10">
        <v>2.1325230781432894E-5</v>
      </c>
      <c r="S1961" s="10">
        <v>1.2879412388017297E-4</v>
      </c>
      <c r="T1961" s="10">
        <v>4.3308106032802473E-4</v>
      </c>
      <c r="U1961" s="10">
        <v>1.4778999999999999E-4</v>
      </c>
      <c r="V1961" s="25"/>
      <c r="W1961" s="25"/>
      <c r="X1961" s="25"/>
      <c r="Y1961" s="25"/>
      <c r="Z1961" s="25"/>
      <c r="AA1961" s="25"/>
    </row>
    <row r="1962" spans="1:27" x14ac:dyDescent="0.35">
      <c r="A1962" s="5">
        <v>1958</v>
      </c>
      <c r="B1962" s="5">
        <v>82</v>
      </c>
      <c r="C1962" s="5">
        <v>3</v>
      </c>
      <c r="D1962" s="25">
        <v>1.1415000000000001E-4</v>
      </c>
      <c r="E1962" s="25">
        <v>1.1985E-4</v>
      </c>
      <c r="F1962" s="25">
        <v>9.8419999999999996E-5</v>
      </c>
      <c r="G1962" s="25">
        <v>1.5749000000000001E-4</v>
      </c>
      <c r="H1962" s="25">
        <v>1.9757999999999999E-4</v>
      </c>
      <c r="I1962" s="9">
        <v>1.3370999999999999E-4</v>
      </c>
      <c r="J1962" s="9">
        <v>1.2751E-4</v>
      </c>
      <c r="K1962" s="9">
        <v>0</v>
      </c>
      <c r="L1962" s="9">
        <v>1.639E-4</v>
      </c>
      <c r="M1962" s="9">
        <v>1.6990000000000001E-4</v>
      </c>
      <c r="N1962" s="9">
        <v>1.7044E-4</v>
      </c>
      <c r="O1962" s="9">
        <v>1.7861E-4</v>
      </c>
      <c r="P1962" s="9">
        <v>1.6930999999999999E-4</v>
      </c>
      <c r="Q1962" s="9">
        <v>1.6126000000000001E-4</v>
      </c>
      <c r="R1962" s="10">
        <v>2.8672055109776893E-5</v>
      </c>
      <c r="S1962" s="10">
        <v>1.2225703172491395E-4</v>
      </c>
      <c r="T1962" s="10">
        <v>4.3902855417247473E-4</v>
      </c>
      <c r="U1962" s="10">
        <v>1.4778999999999999E-4</v>
      </c>
      <c r="V1962" s="25"/>
      <c r="W1962" s="25"/>
      <c r="X1962" s="25"/>
      <c r="Y1962" s="25"/>
      <c r="Z1962" s="25"/>
      <c r="AA1962" s="25"/>
    </row>
    <row r="1963" spans="1:27" x14ac:dyDescent="0.35">
      <c r="A1963" s="5">
        <v>1959</v>
      </c>
      <c r="B1963" s="5">
        <v>82</v>
      </c>
      <c r="C1963" s="5">
        <v>3</v>
      </c>
      <c r="D1963" s="25">
        <v>1.1416E-4</v>
      </c>
      <c r="E1963" s="25">
        <v>1.2212E-4</v>
      </c>
      <c r="F1963" s="25">
        <v>1.0093E-4</v>
      </c>
      <c r="G1963" s="25">
        <v>1.5647999999999999E-4</v>
      </c>
      <c r="H1963" s="25">
        <v>1.9223999999999999E-4</v>
      </c>
      <c r="I1963" s="9">
        <v>1.329E-4</v>
      </c>
      <c r="J1963" s="9">
        <v>1.2695999999999999E-4</v>
      </c>
      <c r="K1963" s="9">
        <v>0</v>
      </c>
      <c r="L1963" s="9">
        <v>1.7548999999999999E-4</v>
      </c>
      <c r="M1963" s="9">
        <v>1.6878999999999999E-4</v>
      </c>
      <c r="N1963" s="9">
        <v>1.7003999999999999E-4</v>
      </c>
      <c r="O1963" s="9">
        <v>1.8497000000000001E-4</v>
      </c>
      <c r="P1963" s="9">
        <v>1.6875000000000001E-4</v>
      </c>
      <c r="Q1963" s="9">
        <v>1.5391999999999999E-4</v>
      </c>
      <c r="R1963" s="10">
        <v>3.3920301161019415E-5</v>
      </c>
      <c r="S1963" s="10">
        <v>1.1680669853545674E-4</v>
      </c>
      <c r="T1963" s="10">
        <v>5.3112562361827163E-4</v>
      </c>
      <c r="U1963" s="10">
        <v>1.4778999999999999E-4</v>
      </c>
      <c r="V1963" s="25"/>
      <c r="W1963" s="25"/>
      <c r="X1963" s="25"/>
      <c r="Y1963" s="25"/>
      <c r="Z1963" s="25"/>
      <c r="AA1963" s="25"/>
    </row>
    <row r="1964" spans="1:27" x14ac:dyDescent="0.35">
      <c r="A1964" s="5">
        <v>1960</v>
      </c>
      <c r="B1964" s="5">
        <v>82</v>
      </c>
      <c r="C1964" s="5">
        <v>3</v>
      </c>
      <c r="D1964" s="25">
        <v>1.1415000000000001E-4</v>
      </c>
      <c r="E1964" s="25">
        <v>1.1361E-4</v>
      </c>
      <c r="F1964" s="25">
        <v>9.0049999999999993E-5</v>
      </c>
      <c r="G1964" s="25">
        <v>1.5735E-4</v>
      </c>
      <c r="H1964" s="25">
        <v>1.9612000000000001E-4</v>
      </c>
      <c r="I1964" s="9">
        <v>1.2947999999999999E-4</v>
      </c>
      <c r="J1964" s="9">
        <v>1.2716E-4</v>
      </c>
      <c r="K1964" s="9">
        <v>0</v>
      </c>
      <c r="L1964" s="9">
        <v>1.8259E-4</v>
      </c>
      <c r="M1964" s="9">
        <v>1.6855E-4</v>
      </c>
      <c r="N1964" s="9">
        <v>1.6648999999999999E-4</v>
      </c>
      <c r="O1964" s="9">
        <v>1.9654000000000001E-4</v>
      </c>
      <c r="P1964" s="9">
        <v>1.5202999999999999E-4</v>
      </c>
      <c r="Q1964" s="9">
        <v>1.0945E-4</v>
      </c>
      <c r="R1964" s="10">
        <v>3.8345485422674983E-5</v>
      </c>
      <c r="S1964" s="10">
        <v>1.1557356005212571E-4</v>
      </c>
      <c r="T1964" s="10">
        <v>3.250589610020102E-4</v>
      </c>
      <c r="U1964" s="10">
        <v>1.4778999999999999E-4</v>
      </c>
      <c r="V1964" s="25"/>
      <c r="W1964" s="25"/>
      <c r="X1964" s="25"/>
      <c r="Y1964" s="25"/>
      <c r="Z1964" s="25"/>
      <c r="AA1964" s="25"/>
    </row>
    <row r="1965" spans="1:27" x14ac:dyDescent="0.35">
      <c r="A1965" s="5">
        <v>1961</v>
      </c>
      <c r="B1965" s="5">
        <v>82</v>
      </c>
      <c r="C1965" s="5">
        <v>3</v>
      </c>
      <c r="D1965" s="25">
        <v>1.1416E-4</v>
      </c>
      <c r="E1965" s="25">
        <v>1.1552000000000001E-4</v>
      </c>
      <c r="F1965" s="25">
        <v>9.9079999999999993E-5</v>
      </c>
      <c r="G1965" s="25">
        <v>1.6678999999999999E-4</v>
      </c>
      <c r="H1965" s="25">
        <v>2.0026000000000001E-4</v>
      </c>
      <c r="I1965" s="9">
        <v>1.2852E-4</v>
      </c>
      <c r="J1965" s="9">
        <v>1.2828000000000001E-4</v>
      </c>
      <c r="K1965" s="9">
        <v>0</v>
      </c>
      <c r="L1965" s="9">
        <v>1.9322999999999999E-4</v>
      </c>
      <c r="M1965" s="9">
        <v>1.6264E-4</v>
      </c>
      <c r="N1965" s="9">
        <v>1.5275E-4</v>
      </c>
      <c r="O1965" s="9">
        <v>2.1252E-4</v>
      </c>
      <c r="P1965" s="9">
        <v>1.5844000000000001E-4</v>
      </c>
      <c r="Q1965" s="9">
        <v>1.0657E-4</v>
      </c>
      <c r="R1965" s="10">
        <v>4.062704716773243E-5</v>
      </c>
      <c r="S1965" s="10">
        <v>1.1264733643442629E-4</v>
      </c>
      <c r="T1965" s="10">
        <v>1.6854060659058108E-4</v>
      </c>
      <c r="U1965" s="10">
        <v>1.4778999999999999E-4</v>
      </c>
      <c r="V1965" s="25"/>
      <c r="W1965" s="25"/>
      <c r="X1965" s="25"/>
      <c r="Y1965" s="25"/>
      <c r="Z1965" s="25"/>
      <c r="AA1965" s="25"/>
    </row>
    <row r="1966" spans="1:27" x14ac:dyDescent="0.35">
      <c r="A1966" s="5">
        <v>1962</v>
      </c>
      <c r="B1966" s="5">
        <v>82</v>
      </c>
      <c r="C1966" s="5">
        <v>3</v>
      </c>
      <c r="D1966" s="25">
        <v>1.1415000000000001E-4</v>
      </c>
      <c r="E1966" s="25">
        <v>1.2218999999999999E-4</v>
      </c>
      <c r="F1966" s="25">
        <v>1.0231E-4</v>
      </c>
      <c r="G1966" s="25">
        <v>1.6019999999999999E-4</v>
      </c>
      <c r="H1966" s="25">
        <v>2.0217E-4</v>
      </c>
      <c r="I1966" s="9">
        <v>1.2810999999999999E-4</v>
      </c>
      <c r="J1966" s="9">
        <v>1.2915999999999999E-4</v>
      </c>
      <c r="K1966" s="9">
        <v>3.3909999999999999E-5</v>
      </c>
      <c r="L1966" s="9">
        <v>2.0806000000000001E-4</v>
      </c>
      <c r="M1966" s="9">
        <v>1.5948000000000001E-4</v>
      </c>
      <c r="N1966" s="9">
        <v>1.3928000000000001E-4</v>
      </c>
      <c r="O1966" s="9">
        <v>2.0540000000000001E-4</v>
      </c>
      <c r="P1966" s="9">
        <v>1.6061999999999999E-4</v>
      </c>
      <c r="Q1966" s="9">
        <v>1.1784E-4</v>
      </c>
      <c r="R1966" s="10">
        <v>4.1365121976823737E-5</v>
      </c>
      <c r="S1966" s="10">
        <v>1.0170925897341309E-4</v>
      </c>
      <c r="T1966" s="10">
        <v>1.8529709780711255E-5</v>
      </c>
      <c r="U1966" s="10">
        <v>1.4778999999999999E-4</v>
      </c>
      <c r="V1966" s="25"/>
      <c r="W1966" s="25"/>
      <c r="X1966" s="25"/>
      <c r="Y1966" s="25"/>
      <c r="Z1966" s="25"/>
      <c r="AA1966" s="25"/>
    </row>
    <row r="1967" spans="1:27" x14ac:dyDescent="0.35">
      <c r="A1967" s="5">
        <v>1963</v>
      </c>
      <c r="B1967" s="5">
        <v>82</v>
      </c>
      <c r="C1967" s="5">
        <v>3</v>
      </c>
      <c r="D1967" s="25">
        <v>1.1416E-4</v>
      </c>
      <c r="E1967" s="25">
        <v>1.2311000000000001E-4</v>
      </c>
      <c r="F1967" s="25">
        <v>8.6130000000000004E-5</v>
      </c>
      <c r="G1967" s="25">
        <v>1.0671E-4</v>
      </c>
      <c r="H1967" s="25">
        <v>1.3441000000000001E-4</v>
      </c>
      <c r="I1967" s="9">
        <v>1.2863999999999999E-4</v>
      </c>
      <c r="J1967" s="9">
        <v>1.2594E-4</v>
      </c>
      <c r="K1967" s="9">
        <v>8.6890000000000003E-5</v>
      </c>
      <c r="L1967" s="9">
        <v>2.0562E-4</v>
      </c>
      <c r="M1967" s="9">
        <v>1.5923000000000001E-4</v>
      </c>
      <c r="N1967" s="9">
        <v>1.3018E-4</v>
      </c>
      <c r="O1967" s="9">
        <v>1.6577000000000001E-4</v>
      </c>
      <c r="P1967" s="9">
        <v>1.3621E-4</v>
      </c>
      <c r="Q1967" s="9">
        <v>1.0811000000000001E-4</v>
      </c>
      <c r="R1967" s="10">
        <v>3.788535208558302E-5</v>
      </c>
      <c r="S1967" s="10">
        <v>7.7129404903060109E-5</v>
      </c>
      <c r="T1967" s="10">
        <v>0</v>
      </c>
      <c r="U1967" s="10">
        <v>1.4778999999999999E-4</v>
      </c>
      <c r="V1967" s="25"/>
      <c r="W1967" s="25"/>
      <c r="X1967" s="25"/>
      <c r="Y1967" s="25"/>
      <c r="Z1967" s="25"/>
      <c r="AA1967" s="25"/>
    </row>
    <row r="1968" spans="1:27" x14ac:dyDescent="0.35">
      <c r="A1968" s="5">
        <v>1964</v>
      </c>
      <c r="B1968" s="5">
        <v>82</v>
      </c>
      <c r="C1968" s="5">
        <v>3</v>
      </c>
      <c r="D1968" s="25">
        <v>1.1415000000000001E-4</v>
      </c>
      <c r="E1968" s="25">
        <v>1.1432E-4</v>
      </c>
      <c r="F1968" s="25">
        <v>9.7369999999999998E-5</v>
      </c>
      <c r="G1968" s="25">
        <v>1.0849999999999999E-4</v>
      </c>
      <c r="H1968" s="25">
        <v>1.2698000000000001E-4</v>
      </c>
      <c r="I1968" s="9">
        <v>1.3250999999999999E-4</v>
      </c>
      <c r="J1968" s="9">
        <v>1.3022000000000001E-4</v>
      </c>
      <c r="K1968" s="9">
        <v>8.6890000000000003E-5</v>
      </c>
      <c r="L1968" s="9">
        <v>1.7466000000000001E-4</v>
      </c>
      <c r="M1968" s="9">
        <v>1.5106000000000001E-4</v>
      </c>
      <c r="N1968" s="9">
        <v>1.2123E-4</v>
      </c>
      <c r="O1968" s="9">
        <v>1.2758999999999999E-4</v>
      </c>
      <c r="P1968" s="9">
        <v>1.1381E-4</v>
      </c>
      <c r="Q1968" s="9">
        <v>1.0096E-4</v>
      </c>
      <c r="R1968" s="10">
        <v>4.0449293679147432E-5</v>
      </c>
      <c r="S1968" s="10">
        <v>5.557453004487095E-5</v>
      </c>
      <c r="T1968" s="10">
        <v>0</v>
      </c>
      <c r="U1968" s="10">
        <v>1.4778999999999999E-4</v>
      </c>
      <c r="V1968" s="25"/>
      <c r="W1968" s="25"/>
      <c r="X1968" s="25"/>
      <c r="Y1968" s="25"/>
      <c r="Z1968" s="25"/>
      <c r="AA1968" s="25"/>
    </row>
    <row r="1969" spans="1:27" x14ac:dyDescent="0.35">
      <c r="A1969" s="5">
        <v>1965</v>
      </c>
      <c r="B1969" s="5">
        <v>82</v>
      </c>
      <c r="C1969" s="5">
        <v>3</v>
      </c>
      <c r="D1969" s="25">
        <v>1.1416E-4</v>
      </c>
      <c r="E1969" s="25">
        <v>1.156E-4</v>
      </c>
      <c r="F1969" s="25">
        <v>8.284E-5</v>
      </c>
      <c r="G1969" s="25">
        <v>5.3069999999999998E-5</v>
      </c>
      <c r="H1969" s="25">
        <v>6.3170000000000007E-5</v>
      </c>
      <c r="I1969" s="9">
        <v>1.3039E-4</v>
      </c>
      <c r="J1969" s="9">
        <v>1.2608000000000001E-4</v>
      </c>
      <c r="K1969" s="9">
        <v>9.9610000000000003E-5</v>
      </c>
      <c r="L1969" s="9">
        <v>1.3889999999999999E-4</v>
      </c>
      <c r="M1969" s="9">
        <v>1.3536000000000001E-4</v>
      </c>
      <c r="N1969" s="9">
        <v>1.1325E-4</v>
      </c>
      <c r="O1969" s="9">
        <v>8.4969999999999995E-5</v>
      </c>
      <c r="P1969" s="9">
        <v>8.6619999999999994E-5</v>
      </c>
      <c r="Q1969" s="9">
        <v>8.8620000000000002E-5</v>
      </c>
      <c r="R1969" s="10">
        <v>3.8996103669090027E-5</v>
      </c>
      <c r="S1969" s="10">
        <v>4.410388712267623E-5</v>
      </c>
      <c r="T1969" s="10">
        <v>0</v>
      </c>
      <c r="U1969" s="10">
        <v>1.4778999999999999E-4</v>
      </c>
      <c r="V1969" s="25"/>
      <c r="W1969" s="25"/>
      <c r="X1969" s="25"/>
      <c r="Y1969" s="25"/>
      <c r="Z1969" s="25"/>
      <c r="AA1969" s="25"/>
    </row>
    <row r="1970" spans="1:27" x14ac:dyDescent="0.35">
      <c r="A1970" s="5">
        <v>1966</v>
      </c>
      <c r="B1970" s="5">
        <v>82</v>
      </c>
      <c r="C1970" s="5">
        <v>3</v>
      </c>
      <c r="D1970" s="25">
        <v>1.1415000000000001E-4</v>
      </c>
      <c r="E1970" s="25">
        <v>1.2224999999999999E-4</v>
      </c>
      <c r="F1970" s="25">
        <v>9.0870000000000002E-5</v>
      </c>
      <c r="G1970" s="25">
        <v>6.101E-5</v>
      </c>
      <c r="H1970" s="25">
        <v>6.8189999999999996E-5</v>
      </c>
      <c r="I1970" s="9">
        <v>1.25E-4</v>
      </c>
      <c r="J1970" s="9">
        <v>1.1864E-4</v>
      </c>
      <c r="K1970" s="9">
        <v>9.7490000000000003E-5</v>
      </c>
      <c r="L1970" s="9">
        <v>9.781E-5</v>
      </c>
      <c r="M1970" s="9">
        <v>1.1374000000000001E-4</v>
      </c>
      <c r="N1970" s="9">
        <v>1.0568E-4</v>
      </c>
      <c r="O1970" s="9">
        <v>8.6799999999999996E-5</v>
      </c>
      <c r="P1970" s="9">
        <v>8.7050000000000002E-5</v>
      </c>
      <c r="Q1970" s="9">
        <v>8.7689999999999996E-5</v>
      </c>
      <c r="R1970" s="10">
        <v>3.1724859241096334E-5</v>
      </c>
      <c r="S1970" s="10">
        <v>3.8084163186911172E-5</v>
      </c>
      <c r="T1970" s="10">
        <v>0</v>
      </c>
      <c r="U1970" s="10">
        <v>1.4778999999999999E-4</v>
      </c>
      <c r="V1970" s="25"/>
      <c r="W1970" s="25"/>
      <c r="X1970" s="25"/>
      <c r="Y1970" s="25"/>
      <c r="Z1970" s="25"/>
      <c r="AA1970" s="25"/>
    </row>
    <row r="1971" spans="1:27" x14ac:dyDescent="0.35">
      <c r="A1971" s="5">
        <v>1967</v>
      </c>
      <c r="B1971" s="5">
        <v>82</v>
      </c>
      <c r="C1971" s="5">
        <v>3</v>
      </c>
      <c r="D1971" s="25">
        <v>1.1416E-4</v>
      </c>
      <c r="E1971" s="25">
        <v>1.1836999999999999E-4</v>
      </c>
      <c r="F1971" s="25">
        <v>9.2839999999999999E-5</v>
      </c>
      <c r="G1971" s="25">
        <v>5.3699999999999997E-5</v>
      </c>
      <c r="H1971" s="25">
        <v>7.3520000000000001E-5</v>
      </c>
      <c r="I1971" s="9">
        <v>1.2517999999999999E-4</v>
      </c>
      <c r="J1971" s="9">
        <v>1.0929000000000001E-4</v>
      </c>
      <c r="K1971" s="9">
        <v>1.102E-4</v>
      </c>
      <c r="L1971" s="9">
        <v>9.0140000000000001E-5</v>
      </c>
      <c r="M1971" s="9">
        <v>9.8839999999999996E-5</v>
      </c>
      <c r="N1971" s="9">
        <v>9.9740000000000004E-5</v>
      </c>
      <c r="O1971" s="9">
        <v>7.86E-5</v>
      </c>
      <c r="P1971" s="9">
        <v>7.2869999999999999E-5</v>
      </c>
      <c r="Q1971" s="9">
        <v>6.7570000000000005E-5</v>
      </c>
      <c r="R1971" s="10">
        <v>2.5989250437160099E-5</v>
      </c>
      <c r="S1971" s="10">
        <v>3.3725133173765269E-5</v>
      </c>
      <c r="T1971" s="10">
        <v>0</v>
      </c>
      <c r="U1971" s="10">
        <v>1.4778999999999999E-4</v>
      </c>
      <c r="V1971" s="25"/>
      <c r="W1971" s="25"/>
      <c r="X1971" s="25"/>
      <c r="Y1971" s="25"/>
      <c r="Z1971" s="25"/>
      <c r="AA1971" s="25"/>
    </row>
    <row r="1972" spans="1:27" x14ac:dyDescent="0.35">
      <c r="A1972" s="5">
        <v>1968</v>
      </c>
      <c r="B1972" s="5">
        <v>82</v>
      </c>
      <c r="C1972" s="5">
        <v>3</v>
      </c>
      <c r="D1972" s="25">
        <v>1.1415000000000001E-4</v>
      </c>
      <c r="E1972" s="25">
        <v>1.2259E-4</v>
      </c>
      <c r="F1972" s="25">
        <v>9.4720000000000001E-5</v>
      </c>
      <c r="G1972" s="25">
        <v>6.177E-5</v>
      </c>
      <c r="H1972" s="25">
        <v>6.7550000000000002E-5</v>
      </c>
      <c r="I1972" s="9">
        <v>1.2338E-4</v>
      </c>
      <c r="J1972" s="9">
        <v>1.0102000000000001E-4</v>
      </c>
      <c r="K1972" s="9">
        <v>1.1232E-4</v>
      </c>
      <c r="L1972" s="9">
        <v>8.1130000000000004E-5</v>
      </c>
      <c r="M1972" s="9">
        <v>8.6210000000000003E-5</v>
      </c>
      <c r="N1972" s="9">
        <v>9.0610000000000002E-5</v>
      </c>
      <c r="O1972" s="9">
        <v>6.3150000000000004E-5</v>
      </c>
      <c r="P1972" s="9">
        <v>6.1080000000000005E-5</v>
      </c>
      <c r="Q1972" s="9">
        <v>5.9249999999999997E-5</v>
      </c>
      <c r="R1972" s="10">
        <v>1.6519600774927689E-5</v>
      </c>
      <c r="S1972" s="10">
        <v>2.5250422985736495E-5</v>
      </c>
      <c r="T1972" s="10">
        <v>0</v>
      </c>
      <c r="U1972" s="10">
        <v>1.4778999999999999E-4</v>
      </c>
      <c r="V1972" s="25"/>
      <c r="W1972" s="25"/>
      <c r="X1972" s="25"/>
      <c r="Y1972" s="25"/>
      <c r="Z1972" s="25"/>
      <c r="AA1972" s="25"/>
    </row>
    <row r="1973" spans="1:27" x14ac:dyDescent="0.35">
      <c r="A1973" s="5">
        <v>1969</v>
      </c>
      <c r="B1973" s="5">
        <v>83</v>
      </c>
      <c r="C1973" s="5">
        <v>3</v>
      </c>
      <c r="D1973" s="25">
        <v>1.1416E-4</v>
      </c>
      <c r="E1973" s="25">
        <v>1.1417999999999999E-4</v>
      </c>
      <c r="F1973" s="25">
        <v>1.1964E-4</v>
      </c>
      <c r="G1973" s="25">
        <v>5.4780000000000001E-5</v>
      </c>
      <c r="H1973" s="25">
        <v>4.6319999999999997E-5</v>
      </c>
      <c r="I1973" s="9">
        <v>1.1523000000000001E-4</v>
      </c>
      <c r="J1973" s="9">
        <v>9.3259999999999998E-5</v>
      </c>
      <c r="K1973" s="9">
        <v>1.2292E-4</v>
      </c>
      <c r="L1973" s="9">
        <v>6.7089999999999996E-5</v>
      </c>
      <c r="M1973" s="9">
        <v>7.428E-5</v>
      </c>
      <c r="N1973" s="9">
        <v>8.1269999999999999E-5</v>
      </c>
      <c r="O1973" s="9">
        <v>6.8419999999999999E-5</v>
      </c>
      <c r="P1973" s="9">
        <v>6.0919999999999999E-5</v>
      </c>
      <c r="Q1973" s="9">
        <v>5.3720000000000001E-5</v>
      </c>
      <c r="R1973" s="10">
        <v>1.3300620494840596E-5</v>
      </c>
      <c r="S1973" s="10">
        <v>2.5190901255165215E-5</v>
      </c>
      <c r="T1973" s="10">
        <v>0</v>
      </c>
      <c r="U1973" s="10">
        <v>1.4484E-4</v>
      </c>
      <c r="V1973" s="25"/>
      <c r="W1973" s="25"/>
      <c r="X1973" s="25"/>
      <c r="Y1973" s="25"/>
      <c r="Z1973" s="25"/>
      <c r="AA1973" s="25"/>
    </row>
    <row r="1974" spans="1:27" x14ac:dyDescent="0.35">
      <c r="A1974" s="5">
        <v>1970</v>
      </c>
      <c r="B1974" s="5">
        <v>83</v>
      </c>
      <c r="C1974" s="5">
        <v>3</v>
      </c>
      <c r="D1974" s="25">
        <v>1.1415000000000001E-4</v>
      </c>
      <c r="E1974" s="25">
        <v>1.0687E-4</v>
      </c>
      <c r="F1974" s="25">
        <v>1.1882E-4</v>
      </c>
      <c r="G1974" s="25">
        <v>5.2410000000000001E-5</v>
      </c>
      <c r="H1974" s="25">
        <v>4.5540000000000001E-5</v>
      </c>
      <c r="I1974" s="9">
        <v>1.0986E-4</v>
      </c>
      <c r="J1974" s="9">
        <v>8.8999999999999995E-5</v>
      </c>
      <c r="K1974" s="9">
        <v>1.1657E-4</v>
      </c>
      <c r="L1974" s="9">
        <v>6.8499999999999998E-5</v>
      </c>
      <c r="M1974" s="9">
        <v>6.6630000000000004E-5</v>
      </c>
      <c r="N1974" s="9">
        <v>7.224E-5</v>
      </c>
      <c r="O1974" s="9">
        <v>3.5290000000000003E-5</v>
      </c>
      <c r="P1974" s="9">
        <v>4.587E-5</v>
      </c>
      <c r="Q1974" s="9">
        <v>5.6209999999999999E-5</v>
      </c>
      <c r="R1974" s="10">
        <v>1.1961811136919022E-5</v>
      </c>
      <c r="S1974" s="10">
        <v>2.1118988994552198E-5</v>
      </c>
      <c r="T1974" s="10">
        <v>0</v>
      </c>
      <c r="U1974" s="10">
        <v>1.4484E-4</v>
      </c>
      <c r="V1974" s="25"/>
      <c r="W1974" s="25"/>
      <c r="X1974" s="25"/>
      <c r="Y1974" s="25"/>
      <c r="Z1974" s="25"/>
      <c r="AA1974" s="25"/>
    </row>
    <row r="1975" spans="1:27" x14ac:dyDescent="0.35">
      <c r="A1975" s="5">
        <v>1971</v>
      </c>
      <c r="B1975" s="5">
        <v>83</v>
      </c>
      <c r="C1975" s="5">
        <v>3</v>
      </c>
      <c r="D1975" s="25">
        <v>1.1416E-4</v>
      </c>
      <c r="E1975" s="25">
        <v>1.1558E-4</v>
      </c>
      <c r="F1975" s="25">
        <v>1.2378000000000001E-4</v>
      </c>
      <c r="G1975" s="25">
        <v>6.2440000000000005E-5</v>
      </c>
      <c r="H1975" s="25">
        <v>4.5250000000000002E-5</v>
      </c>
      <c r="I1975" s="9">
        <v>1.0517E-4</v>
      </c>
      <c r="J1975" s="9">
        <v>8.8380000000000004E-5</v>
      </c>
      <c r="K1975" s="9">
        <v>1.2928000000000001E-4</v>
      </c>
      <c r="L1975" s="9">
        <v>4.2519999999999999E-5</v>
      </c>
      <c r="M1975" s="9">
        <v>5.753E-5</v>
      </c>
      <c r="N1975" s="9">
        <v>6.567E-5</v>
      </c>
      <c r="O1975" s="9">
        <v>2.2050000000000001E-5</v>
      </c>
      <c r="P1975" s="9">
        <v>4.1919999999999998E-5</v>
      </c>
      <c r="Q1975" s="9">
        <v>6.1320000000000002E-5</v>
      </c>
      <c r="R1975" s="10">
        <v>1.074919701000328E-5</v>
      </c>
      <c r="S1975" s="10">
        <v>1.2797858242588678E-5</v>
      </c>
      <c r="T1975" s="10">
        <v>0</v>
      </c>
      <c r="U1975" s="10">
        <v>1.4484E-4</v>
      </c>
      <c r="V1975" s="25"/>
      <c r="W1975" s="25"/>
      <c r="X1975" s="25"/>
      <c r="Y1975" s="25"/>
      <c r="Z1975" s="25"/>
      <c r="AA1975" s="25"/>
    </row>
    <row r="1976" spans="1:27" x14ac:dyDescent="0.35">
      <c r="A1976" s="5">
        <v>1972</v>
      </c>
      <c r="B1976" s="5">
        <v>83</v>
      </c>
      <c r="C1976" s="5">
        <v>3</v>
      </c>
      <c r="D1976" s="25">
        <v>1.1415000000000001E-4</v>
      </c>
      <c r="E1976" s="25">
        <v>1.1446999999999999E-4</v>
      </c>
      <c r="F1976" s="25">
        <v>1.2416E-4</v>
      </c>
      <c r="G1976" s="25">
        <v>5.5120000000000001E-5</v>
      </c>
      <c r="H1976" s="25">
        <v>4.3770000000000003E-5</v>
      </c>
      <c r="I1976" s="9">
        <v>1.03E-4</v>
      </c>
      <c r="J1976" s="9">
        <v>8.6940000000000004E-5</v>
      </c>
      <c r="K1976" s="9">
        <v>1.3776000000000001E-4</v>
      </c>
      <c r="L1976" s="9">
        <v>2.7169999999999999E-5</v>
      </c>
      <c r="M1976" s="9">
        <v>4.9740000000000001E-5</v>
      </c>
      <c r="N1976" s="9">
        <v>6.2020000000000006E-5</v>
      </c>
      <c r="O1976" s="9">
        <v>2.1630000000000001E-5</v>
      </c>
      <c r="P1976" s="9">
        <v>5.1369999999999998E-5</v>
      </c>
      <c r="Q1976" s="9">
        <v>8.0469999999999994E-5</v>
      </c>
      <c r="R1976" s="10">
        <v>1.0487476337346536E-5</v>
      </c>
      <c r="S1976" s="10">
        <v>7.356493284254599E-6</v>
      </c>
      <c r="T1976" s="10">
        <v>0</v>
      </c>
      <c r="U1976" s="10">
        <v>1.4484E-4</v>
      </c>
      <c r="V1976" s="25"/>
      <c r="W1976" s="25"/>
      <c r="X1976" s="25"/>
      <c r="Y1976" s="25"/>
      <c r="Z1976" s="25"/>
      <c r="AA1976" s="25"/>
    </row>
    <row r="1977" spans="1:27" x14ac:dyDescent="0.35">
      <c r="A1977" s="5">
        <v>1973</v>
      </c>
      <c r="B1977" s="5">
        <v>83</v>
      </c>
      <c r="C1977" s="5">
        <v>3</v>
      </c>
      <c r="D1977" s="25">
        <v>1.1416E-4</v>
      </c>
      <c r="E1977" s="25">
        <v>1.1459E-4</v>
      </c>
      <c r="F1977" s="25">
        <v>1.0569E-4</v>
      </c>
      <c r="G1977" s="25">
        <v>5.6440000000000002E-5</v>
      </c>
      <c r="H1977" s="25">
        <v>3.985E-5</v>
      </c>
      <c r="I1977" s="9">
        <v>1.0546E-4</v>
      </c>
      <c r="J1977" s="9">
        <v>9.2390000000000001E-5</v>
      </c>
      <c r="K1977" s="9">
        <v>1.5259E-4</v>
      </c>
      <c r="L1977" s="9">
        <v>2.3309999999999999E-5</v>
      </c>
      <c r="M1977" s="9">
        <v>4.8479999999999997E-5</v>
      </c>
      <c r="N1977" s="9">
        <v>6.4540000000000002E-5</v>
      </c>
      <c r="O1977" s="9">
        <v>2.3390000000000001E-5</v>
      </c>
      <c r="P1977" s="9">
        <v>5.8669999999999999E-5</v>
      </c>
      <c r="Q1977" s="9">
        <v>9.323E-5</v>
      </c>
      <c r="R1977" s="10">
        <v>1.4749652672681775E-5</v>
      </c>
      <c r="S1977" s="10">
        <v>4.7813418713645437E-6</v>
      </c>
      <c r="T1977" s="10">
        <v>0</v>
      </c>
      <c r="U1977" s="10">
        <v>1.4484E-4</v>
      </c>
      <c r="V1977" s="25"/>
      <c r="W1977" s="25"/>
      <c r="X1977" s="25"/>
      <c r="Y1977" s="25"/>
      <c r="Z1977" s="25"/>
      <c r="AA1977" s="25"/>
    </row>
    <row r="1978" spans="1:27" x14ac:dyDescent="0.35">
      <c r="A1978" s="5">
        <v>1974</v>
      </c>
      <c r="B1978" s="5">
        <v>83</v>
      </c>
      <c r="C1978" s="5">
        <v>3</v>
      </c>
      <c r="D1978" s="25">
        <v>1.1415000000000001E-4</v>
      </c>
      <c r="E1978" s="25">
        <v>1.1383999999999999E-4</v>
      </c>
      <c r="F1978" s="25">
        <v>1.1599000000000001E-4</v>
      </c>
      <c r="G1978" s="25">
        <v>1.0475E-4</v>
      </c>
      <c r="H1978" s="25">
        <v>8.1500000000000002E-5</v>
      </c>
      <c r="I1978" s="9">
        <v>1.1144E-4</v>
      </c>
      <c r="J1978" s="9">
        <v>9.4679999999999995E-5</v>
      </c>
      <c r="K1978" s="9">
        <v>1.3564E-4</v>
      </c>
      <c r="L1978" s="9">
        <v>2.3300000000000001E-5</v>
      </c>
      <c r="M1978" s="9">
        <v>5.2139999999999999E-5</v>
      </c>
      <c r="N1978" s="9">
        <v>7.0959999999999998E-5</v>
      </c>
      <c r="O1978" s="9">
        <v>3.0000000000000001E-5</v>
      </c>
      <c r="P1978" s="9">
        <v>6.9239999999999994E-5</v>
      </c>
      <c r="Q1978" s="9">
        <v>1.0775E-4</v>
      </c>
      <c r="R1978" s="10">
        <v>2.1346248421883286E-5</v>
      </c>
      <c r="S1978" s="10">
        <v>3.6487516772307526E-6</v>
      </c>
      <c r="T1978" s="10">
        <v>0</v>
      </c>
      <c r="U1978" s="10">
        <v>1.4484E-4</v>
      </c>
      <c r="V1978" s="25"/>
      <c r="W1978" s="25"/>
      <c r="X1978" s="25"/>
      <c r="Y1978" s="25"/>
      <c r="Z1978" s="25"/>
      <c r="AA1978" s="25"/>
    </row>
    <row r="1979" spans="1:27" x14ac:dyDescent="0.35">
      <c r="A1979" s="5">
        <v>1975</v>
      </c>
      <c r="B1979" s="5">
        <v>83</v>
      </c>
      <c r="C1979" s="5">
        <v>3</v>
      </c>
      <c r="D1979" s="25">
        <v>1.1416E-4</v>
      </c>
      <c r="E1979" s="25">
        <v>1.0601E-4</v>
      </c>
      <c r="F1979" s="25">
        <v>1.2554999999999999E-4</v>
      </c>
      <c r="G1979" s="25">
        <v>1.1035999999999999E-4</v>
      </c>
      <c r="H1979" s="25">
        <v>8.3330000000000003E-5</v>
      </c>
      <c r="I1979" s="9">
        <v>1.2275E-4</v>
      </c>
      <c r="J1979" s="9">
        <v>1.0182E-4</v>
      </c>
      <c r="K1979" s="9">
        <v>7.8419999999999998E-5</v>
      </c>
      <c r="L1979" s="9">
        <v>2.8430000000000001E-5</v>
      </c>
      <c r="M1979" s="9">
        <v>5.9379999999999997E-5</v>
      </c>
      <c r="N1979" s="9">
        <v>8.0809999999999994E-5</v>
      </c>
      <c r="O1979" s="9">
        <v>4.6430000000000001E-5</v>
      </c>
      <c r="P1979" s="9">
        <v>7.9900000000000004E-5</v>
      </c>
      <c r="Q1979" s="9">
        <v>1.1286E-4</v>
      </c>
      <c r="R1979" s="10">
        <v>2.6227245442098288E-5</v>
      </c>
      <c r="S1979" s="10">
        <v>4.0238392097583492E-6</v>
      </c>
      <c r="T1979" s="10">
        <v>1.8487288283960544E-5</v>
      </c>
      <c r="U1979" s="10">
        <v>1.4484E-4</v>
      </c>
      <c r="V1979" s="25"/>
      <c r="W1979" s="25"/>
      <c r="X1979" s="25"/>
      <c r="Y1979" s="25"/>
      <c r="Z1979" s="25"/>
      <c r="AA1979" s="25"/>
    </row>
    <row r="1980" spans="1:27" x14ac:dyDescent="0.35">
      <c r="A1980" s="5">
        <v>1976</v>
      </c>
      <c r="B1980" s="5">
        <v>83</v>
      </c>
      <c r="C1980" s="5">
        <v>3</v>
      </c>
      <c r="D1980" s="25">
        <v>1.1415000000000001E-4</v>
      </c>
      <c r="E1980" s="25">
        <v>1.1192E-4</v>
      </c>
      <c r="F1980" s="25">
        <v>1.1039000000000001E-4</v>
      </c>
      <c r="G1980" s="25">
        <v>1.5783999999999999E-4</v>
      </c>
      <c r="H1980" s="25">
        <v>1.1644E-4</v>
      </c>
      <c r="I1980" s="9">
        <v>1.3019E-4</v>
      </c>
      <c r="J1980" s="9">
        <v>1.171E-4</v>
      </c>
      <c r="K1980" s="9">
        <v>4.4509999999999999E-5</v>
      </c>
      <c r="L1980" s="9">
        <v>4.2320000000000001E-5</v>
      </c>
      <c r="M1980" s="9">
        <v>6.8579999999999997E-5</v>
      </c>
      <c r="N1980" s="9">
        <v>9.098E-5</v>
      </c>
      <c r="O1980" s="9">
        <v>6.8830000000000003E-5</v>
      </c>
      <c r="P1980" s="9">
        <v>1.0349999999999999E-4</v>
      </c>
      <c r="Q1980" s="9">
        <v>1.3781000000000001E-4</v>
      </c>
      <c r="R1980" s="10">
        <v>2.6377702339856715E-5</v>
      </c>
      <c r="S1980" s="10">
        <v>4.5238565307975811E-6</v>
      </c>
      <c r="T1980" s="10">
        <v>2.0999489321537742E-4</v>
      </c>
      <c r="U1980" s="10">
        <v>1.4484E-4</v>
      </c>
      <c r="V1980" s="25"/>
      <c r="W1980" s="25"/>
      <c r="X1980" s="25"/>
      <c r="Y1980" s="25"/>
      <c r="Z1980" s="25"/>
      <c r="AA1980" s="25"/>
    </row>
    <row r="1981" spans="1:27" x14ac:dyDescent="0.35">
      <c r="A1981" s="5">
        <v>1977</v>
      </c>
      <c r="B1981" s="5">
        <v>83</v>
      </c>
      <c r="C1981" s="5">
        <v>3</v>
      </c>
      <c r="D1981" s="25">
        <v>1.1416E-4</v>
      </c>
      <c r="E1981" s="25">
        <v>1.1103E-4</v>
      </c>
      <c r="F1981" s="25">
        <v>1.2383000000000001E-4</v>
      </c>
      <c r="G1981" s="25">
        <v>1.6315000000000001E-4</v>
      </c>
      <c r="H1981" s="25">
        <v>1.1742E-4</v>
      </c>
      <c r="I1981" s="9">
        <v>1.3459999999999999E-4</v>
      </c>
      <c r="J1981" s="9">
        <v>1.2761000000000001E-4</v>
      </c>
      <c r="K1981" s="9">
        <v>1.696E-5</v>
      </c>
      <c r="L1981" s="9">
        <v>6.2619999999999993E-5</v>
      </c>
      <c r="M1981" s="9">
        <v>8.3430000000000006E-5</v>
      </c>
      <c r="N1981" s="9">
        <v>1.0497000000000001E-4</v>
      </c>
      <c r="O1981" s="9">
        <v>1.0016E-4</v>
      </c>
      <c r="P1981" s="9">
        <v>1.3891000000000001E-4</v>
      </c>
      <c r="Q1981" s="9">
        <v>1.7749000000000001E-4</v>
      </c>
      <c r="R1981" s="10">
        <v>2.5775172072264348E-5</v>
      </c>
      <c r="S1981" s="10">
        <v>5.0687642552346579E-6</v>
      </c>
      <c r="T1981" s="10">
        <v>3.9490171325238344E-4</v>
      </c>
      <c r="U1981" s="10">
        <v>1.4484E-4</v>
      </c>
      <c r="V1981" s="25"/>
      <c r="W1981" s="25"/>
      <c r="X1981" s="25"/>
      <c r="Y1981" s="25"/>
      <c r="Z1981" s="25"/>
      <c r="AA1981" s="25"/>
    </row>
    <row r="1982" spans="1:27" x14ac:dyDescent="0.35">
      <c r="A1982" s="5">
        <v>1978</v>
      </c>
      <c r="B1982" s="5">
        <v>83</v>
      </c>
      <c r="C1982" s="5">
        <v>3</v>
      </c>
      <c r="D1982" s="25">
        <v>1.1415000000000001E-4</v>
      </c>
      <c r="E1982" s="25">
        <v>1.0911E-4</v>
      </c>
      <c r="F1982" s="25">
        <v>1.2485E-4</v>
      </c>
      <c r="G1982" s="25">
        <v>1.6003E-4</v>
      </c>
      <c r="H1982" s="25">
        <v>1.1982E-4</v>
      </c>
      <c r="I1982" s="9">
        <v>1.3715E-4</v>
      </c>
      <c r="J1982" s="9">
        <v>1.3106000000000001E-4</v>
      </c>
      <c r="K1982" s="9">
        <v>0</v>
      </c>
      <c r="L1982" s="9">
        <v>9.1370000000000001E-5</v>
      </c>
      <c r="M1982" s="9">
        <v>1.0716E-4</v>
      </c>
      <c r="N1982" s="9">
        <v>1.2509000000000001E-4</v>
      </c>
      <c r="O1982" s="9">
        <v>1.2750000000000001E-4</v>
      </c>
      <c r="P1982" s="9">
        <v>1.5395E-4</v>
      </c>
      <c r="Q1982" s="9">
        <v>1.8063000000000001E-4</v>
      </c>
      <c r="R1982" s="10">
        <v>1.9470139275089323E-5</v>
      </c>
      <c r="S1982" s="10">
        <v>5.4462905237256992E-6</v>
      </c>
      <c r="T1982" s="10">
        <v>5.6666635359601863E-4</v>
      </c>
      <c r="U1982" s="10">
        <v>1.4484E-4</v>
      </c>
      <c r="V1982" s="25"/>
      <c r="W1982" s="25"/>
      <c r="X1982" s="25"/>
      <c r="Y1982" s="25"/>
      <c r="Z1982" s="25"/>
      <c r="AA1982" s="25"/>
    </row>
    <row r="1983" spans="1:27" x14ac:dyDescent="0.35">
      <c r="A1983" s="5">
        <v>1979</v>
      </c>
      <c r="B1983" s="5">
        <v>83</v>
      </c>
      <c r="C1983" s="5">
        <v>3</v>
      </c>
      <c r="D1983" s="25">
        <v>1.1416E-4</v>
      </c>
      <c r="E1983" s="25">
        <v>1.0979E-4</v>
      </c>
      <c r="F1983" s="25">
        <v>1.0822E-4</v>
      </c>
      <c r="G1983" s="25">
        <v>1.6458E-4</v>
      </c>
      <c r="H1983" s="25">
        <v>1.1547E-4</v>
      </c>
      <c r="I1983" s="9">
        <v>1.3941E-4</v>
      </c>
      <c r="J1983" s="9">
        <v>1.3097E-4</v>
      </c>
      <c r="K1983" s="9">
        <v>0</v>
      </c>
      <c r="L1983" s="9">
        <v>1.1883999999999999E-4</v>
      </c>
      <c r="M1983" s="9">
        <v>1.2998E-4</v>
      </c>
      <c r="N1983" s="9">
        <v>1.428E-4</v>
      </c>
      <c r="O1983" s="9">
        <v>1.3689999999999999E-4</v>
      </c>
      <c r="P1983" s="9">
        <v>1.5805999999999999E-4</v>
      </c>
      <c r="Q1983" s="9">
        <v>1.7961E-4</v>
      </c>
      <c r="R1983" s="10">
        <v>1.4112475945252817E-5</v>
      </c>
      <c r="S1983" s="10">
        <v>5.2402691780188137E-6</v>
      </c>
      <c r="T1983" s="10">
        <v>6.6433760771485932E-4</v>
      </c>
      <c r="U1983" s="10">
        <v>1.4484E-4</v>
      </c>
      <c r="V1983" s="25"/>
      <c r="W1983" s="25"/>
      <c r="X1983" s="25"/>
      <c r="Y1983" s="25"/>
      <c r="Z1983" s="25"/>
      <c r="AA1983" s="25"/>
    </row>
    <row r="1984" spans="1:27" x14ac:dyDescent="0.35">
      <c r="A1984" s="5">
        <v>1980</v>
      </c>
      <c r="B1984" s="5">
        <v>83</v>
      </c>
      <c r="C1984" s="5">
        <v>3</v>
      </c>
      <c r="D1984" s="25">
        <v>1.1415000000000001E-4</v>
      </c>
      <c r="E1984" s="25">
        <v>1.0597E-4</v>
      </c>
      <c r="F1984" s="25">
        <v>1.2538999999999999E-4</v>
      </c>
      <c r="G1984" s="25">
        <v>1.6320000000000001E-4</v>
      </c>
      <c r="H1984" s="25">
        <v>1.2205E-4</v>
      </c>
      <c r="I1984" s="9">
        <v>1.4014999999999999E-4</v>
      </c>
      <c r="J1984" s="9">
        <v>1.3161999999999999E-4</v>
      </c>
      <c r="K1984" s="9">
        <v>0</v>
      </c>
      <c r="L1984" s="9">
        <v>1.3229E-4</v>
      </c>
      <c r="M1984" s="9">
        <v>1.4547E-4</v>
      </c>
      <c r="N1984" s="9">
        <v>1.5683E-4</v>
      </c>
      <c r="O1984" s="9">
        <v>1.3742999999999999E-4</v>
      </c>
      <c r="P1984" s="9">
        <v>1.5509000000000001E-4</v>
      </c>
      <c r="Q1984" s="9">
        <v>1.7318999999999999E-4</v>
      </c>
      <c r="R1984" s="10">
        <v>7.122460382760869E-6</v>
      </c>
      <c r="S1984" s="10">
        <v>4.0142955294737176E-6</v>
      </c>
      <c r="T1984" s="10">
        <v>7.292340134440995E-4</v>
      </c>
      <c r="U1984" s="10">
        <v>1.4484E-4</v>
      </c>
      <c r="V1984" s="25"/>
      <c r="W1984" s="25"/>
      <c r="X1984" s="25"/>
      <c r="Y1984" s="25"/>
      <c r="Z1984" s="25"/>
      <c r="AA1984" s="25"/>
    </row>
    <row r="1985" spans="1:27" x14ac:dyDescent="0.35">
      <c r="A1985" s="5">
        <v>1981</v>
      </c>
      <c r="B1985" s="5">
        <v>83</v>
      </c>
      <c r="C1985" s="5">
        <v>3</v>
      </c>
      <c r="D1985" s="25">
        <v>1.1416E-4</v>
      </c>
      <c r="E1985" s="25">
        <v>1.0993E-4</v>
      </c>
      <c r="F1985" s="25">
        <v>1.0577E-4</v>
      </c>
      <c r="G1985" s="25">
        <v>1.6105000000000001E-4</v>
      </c>
      <c r="H1985" s="25">
        <v>1.2295000000000001E-4</v>
      </c>
      <c r="I1985" s="9">
        <v>1.3813000000000001E-4</v>
      </c>
      <c r="J1985" s="9">
        <v>1.2897000000000001E-4</v>
      </c>
      <c r="K1985" s="9">
        <v>0</v>
      </c>
      <c r="L1985" s="9">
        <v>1.3611E-4</v>
      </c>
      <c r="M1985" s="9">
        <v>1.5226000000000001E-4</v>
      </c>
      <c r="N1985" s="9">
        <v>1.6600999999999999E-4</v>
      </c>
      <c r="O1985" s="9">
        <v>1.3009999999999999E-4</v>
      </c>
      <c r="P1985" s="9">
        <v>1.4867E-4</v>
      </c>
      <c r="Q1985" s="9">
        <v>1.6762E-4</v>
      </c>
      <c r="R1985" s="10">
        <v>6.1307082055524311E-6</v>
      </c>
      <c r="S1985" s="10">
        <v>3.9710257247301487E-6</v>
      </c>
      <c r="T1985" s="10">
        <v>7.0824385685184686E-4</v>
      </c>
      <c r="U1985" s="10">
        <v>1.4484E-4</v>
      </c>
      <c r="V1985" s="25"/>
      <c r="W1985" s="25"/>
      <c r="X1985" s="25"/>
      <c r="Y1985" s="25"/>
      <c r="Z1985" s="25"/>
      <c r="AA1985" s="25"/>
    </row>
    <row r="1986" spans="1:27" x14ac:dyDescent="0.35">
      <c r="A1986" s="5">
        <v>1982</v>
      </c>
      <c r="B1986" s="5">
        <v>83</v>
      </c>
      <c r="C1986" s="5">
        <v>3</v>
      </c>
      <c r="D1986" s="25">
        <v>1.1415000000000001E-4</v>
      </c>
      <c r="E1986" s="25">
        <v>1.1042E-4</v>
      </c>
      <c r="F1986" s="25">
        <v>1.2244999999999999E-4</v>
      </c>
      <c r="G1986" s="25">
        <v>1.574E-4</v>
      </c>
      <c r="H1986" s="25">
        <v>1.2118E-4</v>
      </c>
      <c r="I1986" s="9">
        <v>1.3825999999999999E-4</v>
      </c>
      <c r="J1986" s="9">
        <v>1.2908E-4</v>
      </c>
      <c r="K1986" s="9">
        <v>0</v>
      </c>
      <c r="L1986" s="9">
        <v>1.3148000000000001E-4</v>
      </c>
      <c r="M1986" s="9">
        <v>1.5224999999999999E-4</v>
      </c>
      <c r="N1986" s="9">
        <v>1.7029999999999999E-4</v>
      </c>
      <c r="O1986" s="9">
        <v>1.1191E-4</v>
      </c>
      <c r="P1986" s="9">
        <v>1.359E-4</v>
      </c>
      <c r="Q1986" s="9">
        <v>1.6003E-4</v>
      </c>
      <c r="R1986" s="10">
        <v>5.3219437188713201E-6</v>
      </c>
      <c r="S1986" s="10">
        <v>5.0684686755443667E-6</v>
      </c>
      <c r="T1986" s="10">
        <v>3.5685811496634443E-4</v>
      </c>
      <c r="U1986" s="10">
        <v>1.4484E-4</v>
      </c>
      <c r="V1986" s="25"/>
      <c r="W1986" s="25"/>
      <c r="X1986" s="25"/>
      <c r="Y1986" s="25"/>
      <c r="Z1986" s="25"/>
      <c r="AA1986" s="25"/>
    </row>
    <row r="1987" spans="1:27" x14ac:dyDescent="0.35">
      <c r="A1987" s="5">
        <v>1983</v>
      </c>
      <c r="B1987" s="5">
        <v>83</v>
      </c>
      <c r="C1987" s="5">
        <v>3</v>
      </c>
      <c r="D1987" s="25">
        <v>1.1416E-4</v>
      </c>
      <c r="E1987" s="25">
        <v>1.0579E-4</v>
      </c>
      <c r="F1987" s="25">
        <v>1.2480999999999999E-4</v>
      </c>
      <c r="G1987" s="25">
        <v>1.6182999999999999E-4</v>
      </c>
      <c r="H1987" s="25">
        <v>1.1777000000000001E-4</v>
      </c>
      <c r="I1987" s="9">
        <v>1.3687000000000001E-4</v>
      </c>
      <c r="J1987" s="9">
        <v>1.2816999999999999E-4</v>
      </c>
      <c r="K1987" s="9">
        <v>0</v>
      </c>
      <c r="L1987" s="9">
        <v>1.1641000000000001E-4</v>
      </c>
      <c r="M1987" s="9">
        <v>1.461E-4</v>
      </c>
      <c r="N1987" s="9">
        <v>1.6964000000000001E-4</v>
      </c>
      <c r="O1987" s="9">
        <v>1.2729000000000001E-4</v>
      </c>
      <c r="P1987" s="9">
        <v>1.3982999999999999E-4</v>
      </c>
      <c r="Q1987" s="9">
        <v>1.528E-4</v>
      </c>
      <c r="R1987" s="10">
        <v>3.8901506404547493E-6</v>
      </c>
      <c r="S1987" s="10">
        <v>6.2988942723516571E-6</v>
      </c>
      <c r="T1987" s="10">
        <v>2.5819419782353707E-4</v>
      </c>
      <c r="U1987" s="10">
        <v>1.4484E-4</v>
      </c>
      <c r="V1987" s="25"/>
      <c r="W1987" s="25"/>
      <c r="X1987" s="25"/>
      <c r="Y1987" s="25"/>
      <c r="Z1987" s="25"/>
      <c r="AA1987" s="25"/>
    </row>
    <row r="1988" spans="1:27" x14ac:dyDescent="0.35">
      <c r="A1988" s="5">
        <v>1984</v>
      </c>
      <c r="B1988" s="5">
        <v>83</v>
      </c>
      <c r="C1988" s="5">
        <v>3</v>
      </c>
      <c r="D1988" s="25">
        <v>1.1415000000000001E-4</v>
      </c>
      <c r="E1988" s="25">
        <v>1.1141000000000001E-4</v>
      </c>
      <c r="F1988" s="25">
        <v>1.1472E-4</v>
      </c>
      <c r="G1988" s="25">
        <v>1.6547999999999999E-4</v>
      </c>
      <c r="H1988" s="25">
        <v>1.1679E-4</v>
      </c>
      <c r="I1988" s="9">
        <v>1.3559999999999999E-4</v>
      </c>
      <c r="J1988" s="9">
        <v>1.2766000000000001E-4</v>
      </c>
      <c r="K1988" s="9">
        <v>0</v>
      </c>
      <c r="L1988" s="9">
        <v>1.2532999999999999E-4</v>
      </c>
      <c r="M1988" s="9">
        <v>1.4212E-4</v>
      </c>
      <c r="N1988" s="9">
        <v>1.6587000000000001E-4</v>
      </c>
      <c r="O1988" s="9">
        <v>1.3289000000000001E-4</v>
      </c>
      <c r="P1988" s="9">
        <v>1.2044000000000001E-4</v>
      </c>
      <c r="Q1988" s="9">
        <v>1.0887000000000001E-4</v>
      </c>
      <c r="R1988" s="10">
        <v>2.7133838514237804E-6</v>
      </c>
      <c r="S1988" s="10">
        <v>6.1000771395863039E-6</v>
      </c>
      <c r="T1988" s="10">
        <v>2.4536593720612162E-4</v>
      </c>
      <c r="U1988" s="10">
        <v>1.4484E-4</v>
      </c>
      <c r="V1988" s="25"/>
      <c r="W1988" s="25"/>
      <c r="X1988" s="25"/>
      <c r="Y1988" s="25"/>
      <c r="Z1988" s="25"/>
      <c r="AA1988" s="25"/>
    </row>
    <row r="1989" spans="1:27" x14ac:dyDescent="0.35">
      <c r="A1989" s="5">
        <v>1985</v>
      </c>
      <c r="B1989" s="5">
        <v>83</v>
      </c>
      <c r="C1989" s="5">
        <v>3</v>
      </c>
      <c r="D1989" s="25">
        <v>1.1416E-4</v>
      </c>
      <c r="E1989" s="25">
        <v>1.0516E-4</v>
      </c>
      <c r="F1989" s="25">
        <v>1.1847E-4</v>
      </c>
      <c r="G1989" s="25">
        <v>1.6453999999999999E-4</v>
      </c>
      <c r="H1989" s="25">
        <v>1.1893E-4</v>
      </c>
      <c r="I1989" s="9">
        <v>1.3297E-4</v>
      </c>
      <c r="J1989" s="9">
        <v>1.2857E-4</v>
      </c>
      <c r="K1989" s="9">
        <v>2.968E-5</v>
      </c>
      <c r="L1989" s="9">
        <v>1.3095000000000001E-4</v>
      </c>
      <c r="M1989" s="9">
        <v>1.3344999999999999E-4</v>
      </c>
      <c r="N1989" s="9">
        <v>1.5202E-4</v>
      </c>
      <c r="O1989" s="9">
        <v>1.4101000000000001E-4</v>
      </c>
      <c r="P1989" s="9">
        <v>1.2392999999999999E-4</v>
      </c>
      <c r="Q1989" s="9">
        <v>1.0786E-4</v>
      </c>
      <c r="R1989" s="10">
        <v>1.3603891622891529E-6</v>
      </c>
      <c r="S1989" s="10">
        <v>5.0168776012154231E-6</v>
      </c>
      <c r="T1989" s="10">
        <v>1.6518082404792466E-4</v>
      </c>
      <c r="U1989" s="10">
        <v>1.4484E-4</v>
      </c>
      <c r="V1989" s="25"/>
      <c r="W1989" s="25"/>
      <c r="X1989" s="25"/>
      <c r="Y1989" s="25"/>
      <c r="Z1989" s="25"/>
      <c r="AA1989" s="25"/>
    </row>
    <row r="1990" spans="1:27" x14ac:dyDescent="0.35">
      <c r="A1990" s="5">
        <v>1986</v>
      </c>
      <c r="B1990" s="5">
        <v>83</v>
      </c>
      <c r="C1990" s="5">
        <v>3</v>
      </c>
      <c r="D1990" s="25">
        <v>1.1415000000000001E-4</v>
      </c>
      <c r="E1990" s="25">
        <v>1.1435E-4</v>
      </c>
      <c r="F1990" s="25">
        <v>1.1734E-4</v>
      </c>
      <c r="G1990" s="25">
        <v>1.6416E-4</v>
      </c>
      <c r="H1990" s="25">
        <v>1.2104000000000001E-4</v>
      </c>
      <c r="I1990" s="9">
        <v>1.3291E-4</v>
      </c>
      <c r="J1990" s="9">
        <v>1.3107E-4</v>
      </c>
      <c r="K1990" s="9">
        <v>5.9339999999999998E-5</v>
      </c>
      <c r="L1990" s="9">
        <v>1.3852999999999999E-4</v>
      </c>
      <c r="M1990" s="9">
        <v>1.2781000000000001E-4</v>
      </c>
      <c r="N1990" s="9">
        <v>1.3893E-4</v>
      </c>
      <c r="O1990" s="9">
        <v>1.4093999999999999E-4</v>
      </c>
      <c r="P1990" s="9">
        <v>1.2894E-4</v>
      </c>
      <c r="Q1990" s="9">
        <v>1.1788E-4</v>
      </c>
      <c r="R1990" s="10">
        <v>8.2971959215374505E-7</v>
      </c>
      <c r="S1990" s="10">
        <v>4.9592166629862407E-6</v>
      </c>
      <c r="T1990" s="10">
        <v>1.7604921151545723E-5</v>
      </c>
      <c r="U1990" s="10">
        <v>1.4484E-4</v>
      </c>
      <c r="V1990" s="25"/>
      <c r="W1990" s="25"/>
      <c r="X1990" s="25"/>
      <c r="Y1990" s="25"/>
      <c r="Z1990" s="25"/>
      <c r="AA1990" s="25"/>
    </row>
    <row r="1991" spans="1:27" x14ac:dyDescent="0.35">
      <c r="A1991" s="5">
        <v>1987</v>
      </c>
      <c r="B1991" s="5">
        <v>83</v>
      </c>
      <c r="C1991" s="5">
        <v>3</v>
      </c>
      <c r="D1991" s="25">
        <v>1.1416E-4</v>
      </c>
      <c r="E1991" s="25">
        <v>1.1286E-4</v>
      </c>
      <c r="F1991" s="25">
        <v>1.1014999999999999E-4</v>
      </c>
      <c r="G1991" s="25">
        <v>1.0768999999999999E-4</v>
      </c>
      <c r="H1991" s="25">
        <v>8.2269999999999997E-5</v>
      </c>
      <c r="I1991" s="9">
        <v>1.3305000000000001E-4</v>
      </c>
      <c r="J1991" s="9">
        <v>1.2794999999999999E-4</v>
      </c>
      <c r="K1991" s="9">
        <v>7.4179999999999998E-5</v>
      </c>
      <c r="L1991" s="9">
        <v>1.4027000000000001E-4</v>
      </c>
      <c r="M1991" s="9">
        <v>1.2695E-4</v>
      </c>
      <c r="N1991" s="9">
        <v>1.2997E-4</v>
      </c>
      <c r="O1991" s="9">
        <v>1.4176E-4</v>
      </c>
      <c r="P1991" s="9">
        <v>1.2406E-4</v>
      </c>
      <c r="Q1991" s="9">
        <v>1.0738000000000001E-4</v>
      </c>
      <c r="R1991" s="10">
        <v>1.0672414933444284E-6</v>
      </c>
      <c r="S1991" s="10">
        <v>7.3311983909563219E-6</v>
      </c>
      <c r="T1991" s="10">
        <v>0</v>
      </c>
      <c r="U1991" s="10">
        <v>1.4484E-4</v>
      </c>
      <c r="V1991" s="25"/>
      <c r="W1991" s="25"/>
      <c r="X1991" s="25"/>
      <c r="Y1991" s="25"/>
      <c r="Z1991" s="25"/>
      <c r="AA1991" s="25"/>
    </row>
    <row r="1992" spans="1:27" x14ac:dyDescent="0.35">
      <c r="A1992" s="5">
        <v>1988</v>
      </c>
      <c r="B1992" s="5">
        <v>83</v>
      </c>
      <c r="C1992" s="5">
        <v>3</v>
      </c>
      <c r="D1992" s="25">
        <v>1.1415000000000001E-4</v>
      </c>
      <c r="E1992" s="25">
        <v>1.1514E-4</v>
      </c>
      <c r="F1992" s="25">
        <v>1.0621E-4</v>
      </c>
      <c r="G1992" s="25">
        <v>1.0635E-4</v>
      </c>
      <c r="H1992" s="25">
        <v>8.1650000000000006E-5</v>
      </c>
      <c r="I1992" s="9">
        <v>1.3554999999999999E-4</v>
      </c>
      <c r="J1992" s="9">
        <v>1.3145E-4</v>
      </c>
      <c r="K1992" s="9">
        <v>8.4770000000000003E-5</v>
      </c>
      <c r="L1992" s="9">
        <v>1.4142000000000001E-4</v>
      </c>
      <c r="M1992" s="9">
        <v>1.2595E-4</v>
      </c>
      <c r="N1992" s="9">
        <v>1.2099000000000001E-4</v>
      </c>
      <c r="O1992" s="9">
        <v>1.4224999999999999E-4</v>
      </c>
      <c r="P1992" s="9">
        <v>1.2098E-4</v>
      </c>
      <c r="Q1992" s="9">
        <v>1.008E-4</v>
      </c>
      <c r="R1992" s="10">
        <v>2.2745076153775948E-6</v>
      </c>
      <c r="S1992" s="10">
        <v>1.0430972421049374E-5</v>
      </c>
      <c r="T1992" s="10">
        <v>0</v>
      </c>
      <c r="U1992" s="10">
        <v>1.4484E-4</v>
      </c>
      <c r="V1992" s="25"/>
      <c r="W1992" s="25"/>
      <c r="X1992" s="25"/>
      <c r="Y1992" s="25"/>
      <c r="Z1992" s="25"/>
      <c r="AA1992" s="25"/>
    </row>
    <row r="1993" spans="1:27" x14ac:dyDescent="0.35">
      <c r="A1993" s="5">
        <v>1989</v>
      </c>
      <c r="B1993" s="5">
        <v>83</v>
      </c>
      <c r="C1993" s="5">
        <v>3</v>
      </c>
      <c r="D1993" s="25">
        <v>1.1416E-4</v>
      </c>
      <c r="E1993" s="25">
        <v>1.0627E-4</v>
      </c>
      <c r="F1993" s="25">
        <v>1.0725E-4</v>
      </c>
      <c r="G1993" s="25">
        <v>6.2000000000000003E-5</v>
      </c>
      <c r="H1993" s="25">
        <v>4.1300000000000001E-5</v>
      </c>
      <c r="I1993" s="9">
        <v>1.3175E-4</v>
      </c>
      <c r="J1993" s="9">
        <v>1.2755000000000001E-4</v>
      </c>
      <c r="K1993" s="9">
        <v>8.6899999999999998E-5</v>
      </c>
      <c r="L1993" s="9">
        <v>1.4208999999999999E-4</v>
      </c>
      <c r="M1993" s="9">
        <v>1.2391999999999999E-4</v>
      </c>
      <c r="N1993" s="9">
        <v>1.1309E-4</v>
      </c>
      <c r="O1993" s="9">
        <v>8.4120000000000001E-5</v>
      </c>
      <c r="P1993" s="9">
        <v>8.5820000000000002E-5</v>
      </c>
      <c r="Q1993" s="9">
        <v>8.7810000000000001E-5</v>
      </c>
      <c r="R1993" s="10">
        <v>4.8169568200506977E-6</v>
      </c>
      <c r="S1993" s="10">
        <v>1.4797270986980833E-5</v>
      </c>
      <c r="T1993" s="10">
        <v>0</v>
      </c>
      <c r="U1993" s="10">
        <v>1.4484E-4</v>
      </c>
      <c r="V1993" s="25"/>
      <c r="W1993" s="25"/>
      <c r="X1993" s="25"/>
      <c r="Y1993" s="25"/>
      <c r="Z1993" s="25"/>
      <c r="AA1993" s="25"/>
    </row>
    <row r="1994" spans="1:27" x14ac:dyDescent="0.35">
      <c r="A1994" s="5">
        <v>1990</v>
      </c>
      <c r="B1994" s="5">
        <v>83</v>
      </c>
      <c r="C1994" s="5">
        <v>3</v>
      </c>
      <c r="D1994" s="25">
        <v>1.1415000000000001E-4</v>
      </c>
      <c r="E1994" s="25">
        <v>1.0624E-4</v>
      </c>
      <c r="F1994" s="25">
        <v>1.1188000000000001E-4</v>
      </c>
      <c r="G1994" s="25">
        <v>6.1439999999999995E-5</v>
      </c>
      <c r="H1994" s="25">
        <v>4.2629999999999997E-5</v>
      </c>
      <c r="I1994" s="9">
        <v>1.2594E-4</v>
      </c>
      <c r="J1994" s="9">
        <v>1.195E-4</v>
      </c>
      <c r="K1994" s="9">
        <v>9.3250000000000003E-5</v>
      </c>
      <c r="L1994" s="9">
        <v>9.6860000000000004E-5</v>
      </c>
      <c r="M1994" s="9">
        <v>1.0963000000000001E-4</v>
      </c>
      <c r="N1994" s="9">
        <v>1.0541E-4</v>
      </c>
      <c r="O1994" s="9">
        <v>8.8049999999999999E-5</v>
      </c>
      <c r="P1994" s="9">
        <v>8.8380000000000004E-5</v>
      </c>
      <c r="Q1994" s="9">
        <v>8.9030000000000006E-5</v>
      </c>
      <c r="R1994" s="10">
        <v>8.6222467539341798E-6</v>
      </c>
      <c r="S1994" s="10">
        <v>1.882263252001402E-5</v>
      </c>
      <c r="T1994" s="10">
        <v>0</v>
      </c>
      <c r="U1994" s="10">
        <v>1.4484E-4</v>
      </c>
      <c r="V1994" s="25"/>
      <c r="W1994" s="25"/>
      <c r="X1994" s="25"/>
      <c r="Y1994" s="25"/>
      <c r="Z1994" s="25"/>
      <c r="AA1994" s="25"/>
    </row>
    <row r="1995" spans="1:27" x14ac:dyDescent="0.35">
      <c r="A1995" s="5">
        <v>1991</v>
      </c>
      <c r="B1995" s="5">
        <v>83</v>
      </c>
      <c r="C1995" s="5">
        <v>3</v>
      </c>
      <c r="D1995" s="25">
        <v>1.1416E-4</v>
      </c>
      <c r="E1995" s="25">
        <v>1.1263E-4</v>
      </c>
      <c r="F1995" s="25">
        <v>1.198E-4</v>
      </c>
      <c r="G1995" s="25">
        <v>5.7630000000000002E-5</v>
      </c>
      <c r="H1995" s="25">
        <v>4.5359999999999999E-5</v>
      </c>
      <c r="I1995" s="9">
        <v>1.2622999999999999E-4</v>
      </c>
      <c r="J1995" s="9">
        <v>1.0967999999999999E-4</v>
      </c>
      <c r="K1995" s="9">
        <v>9.7490000000000003E-5</v>
      </c>
      <c r="L1995" s="9">
        <v>9.1249999999999995E-5</v>
      </c>
      <c r="M1995" s="9">
        <v>9.815E-5</v>
      </c>
      <c r="N1995" s="9">
        <v>9.9770000000000002E-5</v>
      </c>
      <c r="O1995" s="9">
        <v>8.4359999999999999E-5</v>
      </c>
      <c r="P1995" s="9">
        <v>7.5309999999999996E-5</v>
      </c>
      <c r="Q1995" s="9">
        <v>6.6710000000000003E-5</v>
      </c>
      <c r="R1995" s="10">
        <v>1.0627035438913724E-5</v>
      </c>
      <c r="S1995" s="10">
        <v>2.17000995739589E-5</v>
      </c>
      <c r="T1995" s="10">
        <v>0</v>
      </c>
      <c r="U1995" s="10">
        <v>1.4484E-4</v>
      </c>
      <c r="V1995" s="25"/>
      <c r="W1995" s="25"/>
      <c r="X1995" s="25"/>
      <c r="Y1995" s="25"/>
      <c r="Z1995" s="25"/>
      <c r="AA1995" s="25"/>
    </row>
    <row r="1996" spans="1:27" x14ac:dyDescent="0.35">
      <c r="A1996" s="5">
        <v>1992</v>
      </c>
      <c r="B1996" s="5">
        <v>83</v>
      </c>
      <c r="C1996" s="5">
        <v>3</v>
      </c>
      <c r="D1996" s="25">
        <v>1.1415000000000001E-4</v>
      </c>
      <c r="E1996" s="25">
        <v>1.1307999999999999E-4</v>
      </c>
      <c r="F1996" s="25">
        <v>1.2499000000000001E-4</v>
      </c>
      <c r="G1996" s="25">
        <v>6.0579999999999999E-5</v>
      </c>
      <c r="H1996" s="25">
        <v>4.4079999999999998E-5</v>
      </c>
      <c r="I1996" s="9">
        <v>1.2422999999999999E-4</v>
      </c>
      <c r="J1996" s="9">
        <v>1.0164E-4</v>
      </c>
      <c r="K1996" s="9">
        <v>8.6890000000000003E-5</v>
      </c>
      <c r="L1996" s="9">
        <v>8.6059999999999999E-5</v>
      </c>
      <c r="M1996" s="9">
        <v>8.7269999999999996E-5</v>
      </c>
      <c r="N1996" s="9">
        <v>9.0470000000000006E-5</v>
      </c>
      <c r="O1996" s="9">
        <v>7.928E-5</v>
      </c>
      <c r="P1996" s="9">
        <v>6.8919999999999997E-5</v>
      </c>
      <c r="Q1996" s="9">
        <v>5.8990000000000003E-5</v>
      </c>
      <c r="R1996" s="10">
        <v>7.7202571327956726E-6</v>
      </c>
      <c r="S1996" s="10">
        <v>2.0841267313205126E-5</v>
      </c>
      <c r="T1996" s="10">
        <v>0</v>
      </c>
      <c r="U1996" s="10">
        <v>1.4484E-4</v>
      </c>
      <c r="V1996" s="25"/>
      <c r="W1996" s="25"/>
      <c r="X1996" s="25"/>
      <c r="Y1996" s="25"/>
      <c r="Z1996" s="25"/>
      <c r="AA1996" s="25"/>
    </row>
    <row r="1997" spans="1:27" x14ac:dyDescent="0.35">
      <c r="A1997" s="5">
        <v>1993</v>
      </c>
      <c r="B1997" s="5">
        <v>84</v>
      </c>
      <c r="C1997" s="5">
        <v>3</v>
      </c>
      <c r="D1997" s="25">
        <v>1.1416E-4</v>
      </c>
      <c r="E1997" s="25">
        <v>1.1106E-4</v>
      </c>
      <c r="F1997" s="25">
        <v>1.1757E-4</v>
      </c>
      <c r="G1997" s="25">
        <v>6.3200000000000005E-5</v>
      </c>
      <c r="H1997" s="25">
        <v>1.5440000000000001E-5</v>
      </c>
      <c r="I1997" s="9">
        <v>1.1485999999999999E-4</v>
      </c>
      <c r="J1997" s="9">
        <v>9.3690000000000006E-5</v>
      </c>
      <c r="K1997" s="9">
        <v>8.6899999999999998E-5</v>
      </c>
      <c r="L1997" s="9">
        <v>8.0580000000000004E-5</v>
      </c>
      <c r="M1997" s="9">
        <v>7.8189999999999995E-5</v>
      </c>
      <c r="N1997" s="9">
        <v>8.1110000000000001E-5</v>
      </c>
      <c r="O1997" s="9">
        <v>6.7849999999999996E-5</v>
      </c>
      <c r="P1997" s="9">
        <v>6.0420000000000001E-5</v>
      </c>
      <c r="Q1997" s="9">
        <v>5.3279999999999998E-5</v>
      </c>
      <c r="R1997" s="10">
        <v>1.0793144233886536E-5</v>
      </c>
      <c r="S1997" s="10">
        <v>2.1944686175999767E-5</v>
      </c>
      <c r="T1997" s="10">
        <v>0</v>
      </c>
      <c r="U1997" s="10">
        <v>1.4266999999999999E-4</v>
      </c>
      <c r="V1997" s="25"/>
      <c r="W1997" s="25"/>
      <c r="X1997" s="25"/>
      <c r="Y1997" s="25"/>
      <c r="Z1997" s="25"/>
      <c r="AA1997" s="25"/>
    </row>
    <row r="1998" spans="1:27" x14ac:dyDescent="0.35">
      <c r="A1998" s="5">
        <v>1994</v>
      </c>
      <c r="B1998" s="5">
        <v>84</v>
      </c>
      <c r="C1998" s="5">
        <v>3</v>
      </c>
      <c r="D1998" s="25">
        <v>1.1415000000000001E-4</v>
      </c>
      <c r="E1998" s="25">
        <v>1.1627E-4</v>
      </c>
      <c r="F1998" s="25">
        <v>1.2192E-4</v>
      </c>
      <c r="G1998" s="25">
        <v>6.0149999999999998E-5</v>
      </c>
      <c r="H1998" s="25">
        <v>1.4039999999999999E-5</v>
      </c>
      <c r="I1998" s="9">
        <v>1.0787E-4</v>
      </c>
      <c r="J1998" s="9">
        <v>8.9389999999999996E-5</v>
      </c>
      <c r="K1998" s="9">
        <v>8.9010000000000003E-5</v>
      </c>
      <c r="L1998" s="9">
        <v>7.08E-5</v>
      </c>
      <c r="M1998" s="9">
        <v>6.9659999999999994E-5</v>
      </c>
      <c r="N1998" s="9">
        <v>7.2020000000000005E-5</v>
      </c>
      <c r="O1998" s="9">
        <v>3.5389999999999998E-5</v>
      </c>
      <c r="P1998" s="9">
        <v>4.6E-5</v>
      </c>
      <c r="Q1998" s="9">
        <v>5.6379999999999999E-5</v>
      </c>
      <c r="R1998" s="10">
        <v>1.3555568150357273E-5</v>
      </c>
      <c r="S1998" s="10">
        <v>2.4754301506455538E-5</v>
      </c>
      <c r="T1998" s="10">
        <v>0</v>
      </c>
      <c r="U1998" s="10">
        <v>1.4266999999999999E-4</v>
      </c>
      <c r="V1998" s="25"/>
      <c r="W1998" s="25"/>
      <c r="X1998" s="25"/>
      <c r="Y1998" s="25"/>
      <c r="Z1998" s="25"/>
      <c r="AA1998" s="25"/>
    </row>
    <row r="1999" spans="1:27" x14ac:dyDescent="0.35">
      <c r="A1999" s="5">
        <v>1995</v>
      </c>
      <c r="B1999" s="5">
        <v>84</v>
      </c>
      <c r="C1999" s="5">
        <v>3</v>
      </c>
      <c r="D1999" s="25">
        <v>1.1416E-4</v>
      </c>
      <c r="E1999" s="25">
        <v>1.0957E-4</v>
      </c>
      <c r="F1999" s="25">
        <v>1.1571E-4</v>
      </c>
      <c r="G1999" s="25">
        <v>6.1420000000000005E-5</v>
      </c>
      <c r="H1999" s="25">
        <v>1.468E-5</v>
      </c>
      <c r="I1999" s="9">
        <v>1.0382000000000001E-4</v>
      </c>
      <c r="J1999" s="9">
        <v>9.1979999999999997E-5</v>
      </c>
      <c r="K1999" s="9">
        <v>9.7490000000000003E-5</v>
      </c>
      <c r="L1999" s="9">
        <v>4.3439999999999997E-5</v>
      </c>
      <c r="M1999" s="9">
        <v>5.9129999999999998E-5</v>
      </c>
      <c r="N1999" s="9">
        <v>6.5519999999999996E-5</v>
      </c>
      <c r="O1999" s="9">
        <v>2.1990000000000001E-5</v>
      </c>
      <c r="P1999" s="9">
        <v>4.1820000000000003E-5</v>
      </c>
      <c r="Q1999" s="9">
        <v>6.1169999999999999E-5</v>
      </c>
      <c r="R1999" s="10">
        <v>1.6338171012299355E-5</v>
      </c>
      <c r="S1999" s="10">
        <v>2.9925658546498409E-5</v>
      </c>
      <c r="T1999" s="10">
        <v>0</v>
      </c>
      <c r="U1999" s="10">
        <v>1.4266999999999999E-4</v>
      </c>
      <c r="V1999" s="25"/>
      <c r="W1999" s="25"/>
      <c r="X1999" s="25"/>
      <c r="Y1999" s="25"/>
      <c r="Z1999" s="25"/>
      <c r="AA1999" s="25"/>
    </row>
    <row r="2000" spans="1:27" x14ac:dyDescent="0.35">
      <c r="A2000" s="5">
        <v>1996</v>
      </c>
      <c r="B2000" s="5">
        <v>84</v>
      </c>
      <c r="C2000" s="5">
        <v>3</v>
      </c>
      <c r="D2000" s="25">
        <v>1.1415000000000001E-4</v>
      </c>
      <c r="E2000" s="25">
        <v>1.1504E-4</v>
      </c>
      <c r="F2000" s="25">
        <v>1.3221000000000001E-4</v>
      </c>
      <c r="G2000" s="25">
        <v>6.1140000000000001E-5</v>
      </c>
      <c r="H2000" s="25">
        <v>1.446E-5</v>
      </c>
      <c r="I2000" s="9">
        <v>1.0123E-4</v>
      </c>
      <c r="J2000" s="9">
        <v>9.2349999999999995E-5</v>
      </c>
      <c r="K2000" s="9">
        <v>1.0597E-4</v>
      </c>
      <c r="L2000" s="9">
        <v>2.7440000000000002E-5</v>
      </c>
      <c r="M2000" s="9">
        <v>5.0370000000000001E-5</v>
      </c>
      <c r="N2000" s="9">
        <v>6.1849999999999999E-5</v>
      </c>
      <c r="O2000" s="9">
        <v>2.1710000000000001E-5</v>
      </c>
      <c r="P2000" s="9">
        <v>5.1560000000000001E-5</v>
      </c>
      <c r="Q2000" s="9">
        <v>8.0770000000000001E-5</v>
      </c>
      <c r="R2000" s="10">
        <v>2.135472964674085E-5</v>
      </c>
      <c r="S2000" s="10">
        <v>3.4480917514415215E-5</v>
      </c>
      <c r="T2000" s="10">
        <v>0</v>
      </c>
      <c r="U2000" s="10">
        <v>1.4266999999999999E-4</v>
      </c>
      <c r="V2000" s="25"/>
      <c r="W2000" s="25"/>
      <c r="X2000" s="25"/>
      <c r="Y2000" s="25"/>
      <c r="Z2000" s="25"/>
      <c r="AA2000" s="25"/>
    </row>
    <row r="2001" spans="1:27" x14ac:dyDescent="0.35">
      <c r="A2001" s="5">
        <v>1997</v>
      </c>
      <c r="B2001" s="5">
        <v>84</v>
      </c>
      <c r="C2001" s="5">
        <v>3</v>
      </c>
      <c r="D2001" s="25">
        <v>1.1416E-4</v>
      </c>
      <c r="E2001" s="25">
        <v>1.0898E-4</v>
      </c>
      <c r="F2001" s="25">
        <v>1.2968999999999999E-4</v>
      </c>
      <c r="G2001" s="25">
        <v>6.0359999999999998E-5</v>
      </c>
      <c r="H2001" s="25">
        <v>1.431E-5</v>
      </c>
      <c r="I2001" s="9">
        <v>1.0323999999999999E-4</v>
      </c>
      <c r="J2001" s="9">
        <v>9.2390000000000001E-5</v>
      </c>
      <c r="K2001" s="9">
        <v>1.0808E-4</v>
      </c>
      <c r="L2001" s="9">
        <v>2.336E-5</v>
      </c>
      <c r="M2001" s="9">
        <v>4.8749999999999999E-5</v>
      </c>
      <c r="N2001" s="9">
        <v>6.4480000000000006E-5</v>
      </c>
      <c r="O2001" s="9">
        <v>2.353E-5</v>
      </c>
      <c r="P2001" s="9">
        <v>5.9020000000000001E-5</v>
      </c>
      <c r="Q2001" s="9">
        <v>9.3800000000000003E-5</v>
      </c>
      <c r="R2001" s="10">
        <v>2.8716807170706522E-5</v>
      </c>
      <c r="S2001" s="10">
        <v>3.8991650865638336E-5</v>
      </c>
      <c r="T2001" s="10">
        <v>0</v>
      </c>
      <c r="U2001" s="10">
        <v>1.4266999999999999E-4</v>
      </c>
      <c r="V2001" s="25"/>
      <c r="W2001" s="25"/>
      <c r="X2001" s="25"/>
      <c r="Y2001" s="25"/>
      <c r="Z2001" s="25"/>
      <c r="AA2001" s="25"/>
    </row>
    <row r="2002" spans="1:27" x14ac:dyDescent="0.35">
      <c r="A2002" s="5">
        <v>1998</v>
      </c>
      <c r="B2002" s="5">
        <v>84</v>
      </c>
      <c r="C2002" s="5">
        <v>3</v>
      </c>
      <c r="D2002" s="25">
        <v>1.1415000000000001E-4</v>
      </c>
      <c r="E2002" s="25">
        <v>1.1581E-4</v>
      </c>
      <c r="F2002" s="25">
        <v>1.1381E-4</v>
      </c>
      <c r="G2002" s="25">
        <v>1.1346E-4</v>
      </c>
      <c r="H2002" s="25">
        <v>2.7650000000000001E-5</v>
      </c>
      <c r="I2002" s="9">
        <v>1.0932E-4</v>
      </c>
      <c r="J2002" s="9">
        <v>9.1929999999999996E-5</v>
      </c>
      <c r="K2002" s="9">
        <v>1.1233E-4</v>
      </c>
      <c r="L2002" s="9">
        <v>2.3419999999999999E-5</v>
      </c>
      <c r="M2002" s="9">
        <v>5.2389999999999998E-5</v>
      </c>
      <c r="N2002" s="9">
        <v>7.1060000000000001E-5</v>
      </c>
      <c r="O2002" s="9">
        <v>2.9600000000000001E-5</v>
      </c>
      <c r="P2002" s="9">
        <v>6.8319999999999996E-5</v>
      </c>
      <c r="Q2002" s="9">
        <v>1.0632999999999999E-4</v>
      </c>
      <c r="R2002" s="10">
        <v>3.7300394817593378E-5</v>
      </c>
      <c r="S2002" s="10">
        <v>4.4441346542787735E-5</v>
      </c>
      <c r="T2002" s="10">
        <v>0</v>
      </c>
      <c r="U2002" s="10">
        <v>1.4266999999999999E-4</v>
      </c>
      <c r="V2002" s="25"/>
      <c r="W2002" s="25"/>
      <c r="X2002" s="25"/>
      <c r="Y2002" s="25"/>
      <c r="Z2002" s="25"/>
      <c r="AA2002" s="25"/>
    </row>
    <row r="2003" spans="1:27" x14ac:dyDescent="0.35">
      <c r="A2003" s="5">
        <v>1999</v>
      </c>
      <c r="B2003" s="5">
        <v>84</v>
      </c>
      <c r="C2003" s="5">
        <v>3</v>
      </c>
      <c r="D2003" s="25">
        <v>1.1416E-4</v>
      </c>
      <c r="E2003" s="25">
        <v>1.1029E-4</v>
      </c>
      <c r="F2003" s="25">
        <v>1.3109999999999999E-4</v>
      </c>
      <c r="G2003" s="25">
        <v>1.0898E-4</v>
      </c>
      <c r="H2003" s="25">
        <v>2.7359999999999999E-5</v>
      </c>
      <c r="I2003" s="9">
        <v>1.2057000000000001E-4</v>
      </c>
      <c r="J2003" s="9">
        <v>1.0184E-4</v>
      </c>
      <c r="K2003" s="9">
        <v>1.1869E-4</v>
      </c>
      <c r="L2003" s="9">
        <v>2.8140000000000002E-5</v>
      </c>
      <c r="M2003" s="9">
        <v>5.9200000000000002E-5</v>
      </c>
      <c r="N2003" s="9">
        <v>8.0619999999999997E-5</v>
      </c>
      <c r="O2003" s="9">
        <v>4.6619999999999997E-5</v>
      </c>
      <c r="P2003" s="9">
        <v>8.0220000000000001E-5</v>
      </c>
      <c r="Q2003" s="9">
        <v>1.1332000000000001E-4</v>
      </c>
      <c r="R2003" s="10">
        <v>4.3133715339186501E-5</v>
      </c>
      <c r="S2003" s="10">
        <v>5.2699164733391477E-5</v>
      </c>
      <c r="T2003" s="10">
        <v>1.729100207559045E-5</v>
      </c>
      <c r="U2003" s="10">
        <v>1.4266999999999999E-4</v>
      </c>
      <c r="V2003" s="25"/>
      <c r="W2003" s="25"/>
      <c r="X2003" s="25"/>
      <c r="Y2003" s="25"/>
      <c r="Z2003" s="25"/>
      <c r="AA2003" s="25"/>
    </row>
    <row r="2004" spans="1:27" x14ac:dyDescent="0.35">
      <c r="A2004" s="5">
        <v>2000</v>
      </c>
      <c r="B2004" s="5">
        <v>84</v>
      </c>
      <c r="C2004" s="5">
        <v>3</v>
      </c>
      <c r="D2004" s="25">
        <v>1.1415000000000001E-4</v>
      </c>
      <c r="E2004" s="25">
        <v>1.1029E-4</v>
      </c>
      <c r="F2004" s="25">
        <v>1.1258E-4</v>
      </c>
      <c r="G2004" s="25">
        <v>1.6741999999999999E-4</v>
      </c>
      <c r="H2004" s="25">
        <v>3.9499999999999998E-5</v>
      </c>
      <c r="I2004" s="9">
        <v>1.284E-4</v>
      </c>
      <c r="J2004" s="9">
        <v>1.1768E-4</v>
      </c>
      <c r="K2004" s="9">
        <v>8.9010000000000003E-5</v>
      </c>
      <c r="L2004" s="9">
        <v>4.2410000000000002E-5</v>
      </c>
      <c r="M2004" s="9">
        <v>6.8479999999999995E-5</v>
      </c>
      <c r="N2004" s="9">
        <v>9.0920000000000004E-5</v>
      </c>
      <c r="O2004" s="9">
        <v>6.826E-5</v>
      </c>
      <c r="P2004" s="9">
        <v>1.0265E-4</v>
      </c>
      <c r="Q2004" s="9">
        <v>1.3668999999999999E-4</v>
      </c>
      <c r="R2004" s="10">
        <v>4.4066942953504905E-5</v>
      </c>
      <c r="S2004" s="10">
        <v>6.6626885141067723E-5</v>
      </c>
      <c r="T2004" s="10">
        <v>2.6572825564646365E-5</v>
      </c>
      <c r="U2004" s="10">
        <v>1.4266999999999999E-4</v>
      </c>
      <c r="V2004" s="25"/>
      <c r="W2004" s="25"/>
      <c r="X2004" s="25"/>
      <c r="Y2004" s="25"/>
      <c r="Z2004" s="25"/>
      <c r="AA2004" s="25"/>
    </row>
    <row r="2005" spans="1:27" x14ac:dyDescent="0.35">
      <c r="A2005" s="5">
        <v>2001</v>
      </c>
      <c r="B2005" s="5">
        <v>84</v>
      </c>
      <c r="C2005" s="5">
        <v>3</v>
      </c>
      <c r="D2005" s="25">
        <v>1.1416E-4</v>
      </c>
      <c r="E2005" s="25">
        <v>1.0827000000000001E-4</v>
      </c>
      <c r="F2005" s="25">
        <v>1.2973999999999999E-4</v>
      </c>
      <c r="G2005" s="25">
        <v>1.5972E-4</v>
      </c>
      <c r="H2005" s="25">
        <v>3.9039999999999999E-5</v>
      </c>
      <c r="I2005" s="9">
        <v>1.3176999999999999E-4</v>
      </c>
      <c r="J2005" s="9">
        <v>1.2846999999999999E-4</v>
      </c>
      <c r="K2005" s="9">
        <v>7.2059999999999998E-5</v>
      </c>
      <c r="L2005" s="9">
        <v>6.2189999999999999E-5</v>
      </c>
      <c r="M2005" s="9">
        <v>8.3100000000000001E-5</v>
      </c>
      <c r="N2005" s="9">
        <v>1.0467E-4</v>
      </c>
      <c r="O2005" s="9">
        <v>1.0039000000000001E-4</v>
      </c>
      <c r="P2005" s="9">
        <v>1.3923000000000001E-4</v>
      </c>
      <c r="Q2005" s="9">
        <v>1.7788999999999999E-4</v>
      </c>
      <c r="R2005" s="10">
        <v>4.3355792890783074E-5</v>
      </c>
      <c r="S2005" s="10">
        <v>8.5197297021858637E-5</v>
      </c>
      <c r="T2005" s="10">
        <v>5.9865216214605597E-5</v>
      </c>
      <c r="U2005" s="10">
        <v>1.4266999999999999E-4</v>
      </c>
      <c r="V2005" s="25"/>
      <c r="W2005" s="25"/>
      <c r="X2005" s="25"/>
      <c r="Y2005" s="25"/>
      <c r="Z2005" s="25"/>
      <c r="AA2005" s="25"/>
    </row>
    <row r="2006" spans="1:27" x14ac:dyDescent="0.35">
      <c r="A2006" s="5">
        <v>2002</v>
      </c>
      <c r="B2006" s="5">
        <v>84</v>
      </c>
      <c r="C2006" s="5">
        <v>3</v>
      </c>
      <c r="D2006" s="25">
        <v>1.1415000000000001E-4</v>
      </c>
      <c r="E2006" s="25">
        <v>1.1315E-4</v>
      </c>
      <c r="F2006" s="25">
        <v>1.1859E-4</v>
      </c>
      <c r="G2006" s="25">
        <v>1.6559999999999999E-4</v>
      </c>
      <c r="H2006" s="25">
        <v>3.9360000000000003E-5</v>
      </c>
      <c r="I2006" s="9">
        <v>1.3484E-4</v>
      </c>
      <c r="J2006" s="9">
        <v>1.3317E-4</v>
      </c>
      <c r="K2006" s="9">
        <v>5.9349999999999999E-5</v>
      </c>
      <c r="L2006" s="9">
        <v>9.1459999999999995E-5</v>
      </c>
      <c r="M2006" s="9">
        <v>1.0699E-4</v>
      </c>
      <c r="N2006" s="9">
        <v>1.2488000000000001E-4</v>
      </c>
      <c r="O2006" s="9">
        <v>1.282E-4</v>
      </c>
      <c r="P2006" s="9">
        <v>1.548E-4</v>
      </c>
      <c r="Q2006" s="9">
        <v>1.8163000000000001E-4</v>
      </c>
      <c r="R2006" s="10">
        <v>4.0399091666531364E-5</v>
      </c>
      <c r="S2006" s="10">
        <v>9.720526042670417E-5</v>
      </c>
      <c r="T2006" s="10">
        <v>8.9560263940104408E-5</v>
      </c>
      <c r="U2006" s="10">
        <v>1.4266999999999999E-4</v>
      </c>
      <c r="V2006" s="25"/>
      <c r="W2006" s="25"/>
      <c r="X2006" s="25"/>
      <c r="Y2006" s="25"/>
      <c r="Z2006" s="25"/>
      <c r="AA2006" s="25"/>
    </row>
    <row r="2007" spans="1:27" x14ac:dyDescent="0.35">
      <c r="A2007" s="5">
        <v>2003</v>
      </c>
      <c r="B2007" s="5">
        <v>84</v>
      </c>
      <c r="C2007" s="5">
        <v>3</v>
      </c>
      <c r="D2007" s="25">
        <v>1.1416E-4</v>
      </c>
      <c r="E2007" s="25">
        <v>1.0814E-4</v>
      </c>
      <c r="F2007" s="25">
        <v>1.225E-4</v>
      </c>
      <c r="G2007" s="25">
        <v>1.5993E-4</v>
      </c>
      <c r="H2007" s="25">
        <v>3.888E-5</v>
      </c>
      <c r="I2007" s="9">
        <v>1.3674999999999999E-4</v>
      </c>
      <c r="J2007" s="9">
        <v>1.3383000000000001E-4</v>
      </c>
      <c r="K2007" s="9">
        <v>5.5099999999999998E-5</v>
      </c>
      <c r="L2007" s="9">
        <v>1.194E-4</v>
      </c>
      <c r="M2007" s="9">
        <v>1.3024E-4</v>
      </c>
      <c r="N2007" s="9">
        <v>1.4284000000000001E-4</v>
      </c>
      <c r="O2007" s="9">
        <v>1.3726999999999999E-4</v>
      </c>
      <c r="P2007" s="9">
        <v>1.5849000000000001E-4</v>
      </c>
      <c r="Q2007" s="9">
        <v>1.8008999999999999E-4</v>
      </c>
      <c r="R2007" s="10">
        <v>3.2070774872205222E-5</v>
      </c>
      <c r="S2007" s="10">
        <v>9.768038868924202E-5</v>
      </c>
      <c r="T2007" s="10">
        <v>8.6234418594848536E-5</v>
      </c>
      <c r="U2007" s="10">
        <v>1.4266999999999999E-4</v>
      </c>
      <c r="V2007" s="25"/>
      <c r="W2007" s="25"/>
      <c r="X2007" s="25"/>
      <c r="Y2007" s="25"/>
      <c r="Z2007" s="25"/>
      <c r="AA2007" s="25"/>
    </row>
    <row r="2008" spans="1:27" x14ac:dyDescent="0.35">
      <c r="A2008" s="5">
        <v>2004</v>
      </c>
      <c r="B2008" s="5">
        <v>84</v>
      </c>
      <c r="C2008" s="5">
        <v>3</v>
      </c>
      <c r="D2008" s="25">
        <v>1.1415000000000001E-4</v>
      </c>
      <c r="E2008" s="25">
        <v>1.0662000000000001E-4</v>
      </c>
      <c r="F2008" s="25">
        <v>1.2214999999999999E-4</v>
      </c>
      <c r="G2008" s="25">
        <v>1.6367000000000001E-4</v>
      </c>
      <c r="H2008" s="25">
        <v>3.9440000000000002E-5</v>
      </c>
      <c r="I2008" s="9">
        <v>1.3927000000000001E-4</v>
      </c>
      <c r="J2008" s="9">
        <v>1.3397999999999999E-4</v>
      </c>
      <c r="K2008" s="9">
        <v>5.9349999999999999E-5</v>
      </c>
      <c r="L2008" s="9">
        <v>1.3269000000000001E-4</v>
      </c>
      <c r="M2008" s="9">
        <v>1.459E-4</v>
      </c>
      <c r="N2008" s="9">
        <v>1.5703000000000001E-4</v>
      </c>
      <c r="O2008" s="9">
        <v>1.3792000000000001E-4</v>
      </c>
      <c r="P2008" s="9">
        <v>1.5564999999999999E-4</v>
      </c>
      <c r="Q2008" s="9">
        <v>1.7380999999999999E-4</v>
      </c>
      <c r="R2008" s="10">
        <v>2.6763676301391541E-5</v>
      </c>
      <c r="S2008" s="10">
        <v>8.4205033352255552E-5</v>
      </c>
      <c r="T2008" s="10">
        <v>1.3008976193573522E-4</v>
      </c>
      <c r="U2008" s="10">
        <v>1.4266999999999999E-4</v>
      </c>
      <c r="V2008" s="25"/>
      <c r="W2008" s="25"/>
      <c r="X2008" s="25"/>
      <c r="Y2008" s="25"/>
      <c r="Z2008" s="25"/>
      <c r="AA2008" s="25"/>
    </row>
    <row r="2009" spans="1:27" x14ac:dyDescent="0.35">
      <c r="A2009" s="5">
        <v>2005</v>
      </c>
      <c r="B2009" s="5">
        <v>84</v>
      </c>
      <c r="C2009" s="5">
        <v>3</v>
      </c>
      <c r="D2009" s="25">
        <v>1.1416E-4</v>
      </c>
      <c r="E2009" s="25">
        <v>1.0739E-4</v>
      </c>
      <c r="F2009" s="25">
        <v>1.1351E-4</v>
      </c>
      <c r="G2009" s="25">
        <v>1.6541E-4</v>
      </c>
      <c r="H2009" s="25">
        <v>3.8500000000000001E-5</v>
      </c>
      <c r="I2009" s="9">
        <v>1.37E-4</v>
      </c>
      <c r="J2009" s="9">
        <v>1.3155999999999999E-4</v>
      </c>
      <c r="K2009" s="9">
        <v>7.4179999999999998E-5</v>
      </c>
      <c r="L2009" s="9">
        <v>1.3658999999999999E-4</v>
      </c>
      <c r="M2009" s="9">
        <v>1.5276999999999999E-4</v>
      </c>
      <c r="N2009" s="9">
        <v>1.6636E-4</v>
      </c>
      <c r="O2009" s="9">
        <v>1.3033000000000001E-4</v>
      </c>
      <c r="P2009" s="9">
        <v>1.4893999999999999E-4</v>
      </c>
      <c r="Q2009" s="9">
        <v>1.6792000000000001E-4</v>
      </c>
      <c r="R2009" s="10">
        <v>3.1876321166424792E-5</v>
      </c>
      <c r="S2009" s="10">
        <v>7.0406369372583914E-5</v>
      </c>
      <c r="T2009" s="10">
        <v>1.3958369290854468E-4</v>
      </c>
      <c r="U2009" s="10">
        <v>1.4266999999999999E-4</v>
      </c>
      <c r="V2009" s="25"/>
      <c r="W2009" s="25"/>
      <c r="X2009" s="25"/>
      <c r="Y2009" s="25"/>
      <c r="Z2009" s="25"/>
      <c r="AA2009" s="25"/>
    </row>
    <row r="2010" spans="1:27" x14ac:dyDescent="0.35">
      <c r="A2010" s="5">
        <v>2006</v>
      </c>
      <c r="B2010" s="5">
        <v>84</v>
      </c>
      <c r="C2010" s="5">
        <v>3</v>
      </c>
      <c r="D2010" s="25">
        <v>1.1415000000000001E-4</v>
      </c>
      <c r="E2010" s="25">
        <v>1.1593E-4</v>
      </c>
      <c r="F2010" s="25">
        <v>1.25E-4</v>
      </c>
      <c r="G2010" s="25">
        <v>1.5991000000000001E-4</v>
      </c>
      <c r="H2010" s="25">
        <v>4.0290000000000002E-5</v>
      </c>
      <c r="I2010" s="9">
        <v>1.3503000000000001E-4</v>
      </c>
      <c r="J2010" s="9">
        <v>1.3095000000000001E-4</v>
      </c>
      <c r="K2010" s="9">
        <v>8.9019999999999998E-5</v>
      </c>
      <c r="L2010" s="9">
        <v>1.3176999999999999E-4</v>
      </c>
      <c r="M2010" s="9">
        <v>1.5268000000000001E-4</v>
      </c>
      <c r="N2010" s="9">
        <v>1.7072999999999999E-4</v>
      </c>
      <c r="O2010" s="9">
        <v>1.1179999999999999E-4</v>
      </c>
      <c r="P2010" s="9">
        <v>1.3577000000000001E-4</v>
      </c>
      <c r="Q2010" s="9">
        <v>1.5987999999999999E-4</v>
      </c>
      <c r="R2010" s="10">
        <v>3.1552899193198984E-5</v>
      </c>
      <c r="S2010" s="10">
        <v>6.0954504228772647E-5</v>
      </c>
      <c r="T2010" s="10">
        <v>1.7058532273396543E-4</v>
      </c>
      <c r="U2010" s="10">
        <v>1.4266999999999999E-4</v>
      </c>
      <c r="V2010" s="25"/>
      <c r="W2010" s="25"/>
      <c r="X2010" s="25"/>
      <c r="Y2010" s="25"/>
      <c r="Z2010" s="25"/>
      <c r="AA2010" s="25"/>
    </row>
    <row r="2011" spans="1:27" x14ac:dyDescent="0.35">
      <c r="A2011" s="5">
        <v>2007</v>
      </c>
      <c r="B2011" s="5">
        <v>84</v>
      </c>
      <c r="C2011" s="5">
        <v>3</v>
      </c>
      <c r="D2011" s="25">
        <v>1.1416E-4</v>
      </c>
      <c r="E2011" s="25">
        <v>1.1637E-4</v>
      </c>
      <c r="F2011" s="25">
        <v>1.2511E-4</v>
      </c>
      <c r="G2011" s="25">
        <v>1.5647E-4</v>
      </c>
      <c r="H2011" s="25">
        <v>3.9789999999999997E-5</v>
      </c>
      <c r="I2011" s="9">
        <v>1.3329999999999999E-4</v>
      </c>
      <c r="J2011" s="9">
        <v>1.2975000000000001E-4</v>
      </c>
      <c r="K2011" s="9">
        <v>7.4179999999999998E-5</v>
      </c>
      <c r="L2011" s="9">
        <v>1.1639E-4</v>
      </c>
      <c r="M2011" s="9">
        <v>1.4631999999999999E-4</v>
      </c>
      <c r="N2011" s="9">
        <v>1.6998E-4</v>
      </c>
      <c r="O2011" s="9">
        <v>1.2651000000000001E-4</v>
      </c>
      <c r="P2011" s="9">
        <v>1.3897000000000001E-4</v>
      </c>
      <c r="Q2011" s="9">
        <v>1.5186E-4</v>
      </c>
      <c r="R2011" s="10">
        <v>3.6448486380837828E-5</v>
      </c>
      <c r="S2011" s="10">
        <v>5.2643709555275854E-5</v>
      </c>
      <c r="T2011" s="10">
        <v>9.9732938860925283E-5</v>
      </c>
      <c r="U2011" s="10">
        <v>1.4266999999999999E-4</v>
      </c>
      <c r="V2011" s="25"/>
      <c r="W2011" s="25"/>
      <c r="X2011" s="25"/>
      <c r="Y2011" s="25"/>
      <c r="Z2011" s="25"/>
      <c r="AA2011" s="25"/>
    </row>
    <row r="2012" spans="1:27" x14ac:dyDescent="0.35">
      <c r="A2012" s="5">
        <v>2008</v>
      </c>
      <c r="B2012" s="5">
        <v>84</v>
      </c>
      <c r="C2012" s="5">
        <v>3</v>
      </c>
      <c r="D2012" s="25">
        <v>1.1415000000000001E-4</v>
      </c>
      <c r="E2012" s="25">
        <v>1.1626E-4</v>
      </c>
      <c r="F2012" s="25">
        <v>1.2782000000000001E-4</v>
      </c>
      <c r="G2012" s="25">
        <v>1.6314000000000001E-4</v>
      </c>
      <c r="H2012" s="25">
        <v>3.9329999999999998E-5</v>
      </c>
      <c r="I2012" s="9">
        <v>1.3311E-4</v>
      </c>
      <c r="J2012" s="9">
        <v>1.2980000000000001E-4</v>
      </c>
      <c r="K2012" s="9">
        <v>7.4179999999999998E-5</v>
      </c>
      <c r="L2012" s="9">
        <v>1.2472000000000001E-4</v>
      </c>
      <c r="M2012" s="9">
        <v>1.4187999999999999E-4</v>
      </c>
      <c r="N2012" s="9">
        <v>1.6590999999999999E-4</v>
      </c>
      <c r="O2012" s="9">
        <v>1.3370999999999999E-4</v>
      </c>
      <c r="P2012" s="9">
        <v>1.2119E-4</v>
      </c>
      <c r="Q2012" s="9">
        <v>1.0955000000000001E-4</v>
      </c>
      <c r="R2012" s="10">
        <v>4.0130384664925127E-5</v>
      </c>
      <c r="S2012" s="10">
        <v>4.9391284414612577E-5</v>
      </c>
      <c r="T2012" s="10">
        <v>1.3550274492112616E-4</v>
      </c>
      <c r="U2012" s="10">
        <v>1.4266999999999999E-4</v>
      </c>
      <c r="V2012" s="25"/>
      <c r="W2012" s="25"/>
      <c r="X2012" s="25"/>
      <c r="Y2012" s="25"/>
      <c r="Z2012" s="25"/>
      <c r="AA2012" s="25"/>
    </row>
    <row r="2013" spans="1:27" x14ac:dyDescent="0.35">
      <c r="A2013" s="5">
        <v>2009</v>
      </c>
      <c r="B2013" s="5">
        <v>84</v>
      </c>
      <c r="C2013" s="5">
        <v>3</v>
      </c>
      <c r="D2013" s="25">
        <v>1.1416E-4</v>
      </c>
      <c r="E2013" s="25">
        <v>1.1692E-4</v>
      </c>
      <c r="F2013" s="25">
        <v>1.1666E-4</v>
      </c>
      <c r="G2013" s="25">
        <v>1.6320000000000001E-4</v>
      </c>
      <c r="H2013" s="25">
        <v>3.9329999999999998E-5</v>
      </c>
      <c r="I2013" s="9">
        <v>1.3024E-4</v>
      </c>
      <c r="J2013" s="9">
        <v>1.3122000000000001E-4</v>
      </c>
      <c r="K2013" s="9">
        <v>9.1130000000000003E-5</v>
      </c>
      <c r="L2013" s="9">
        <v>1.3147000000000001E-4</v>
      </c>
      <c r="M2013" s="9">
        <v>1.3344999999999999E-4</v>
      </c>
      <c r="N2013" s="9">
        <v>1.5213E-4</v>
      </c>
      <c r="O2013" s="9">
        <v>1.3909E-4</v>
      </c>
      <c r="P2013" s="9">
        <v>1.2224E-4</v>
      </c>
      <c r="Q2013" s="9">
        <v>1.0639E-4</v>
      </c>
      <c r="R2013" s="10">
        <v>4.0895985682688879E-5</v>
      </c>
      <c r="S2013" s="10">
        <v>4.5978583464950114E-5</v>
      </c>
      <c r="T2013" s="10">
        <v>7.1191755847045858E-5</v>
      </c>
      <c r="U2013" s="10">
        <v>1.4266999999999999E-4</v>
      </c>
      <c r="V2013" s="25"/>
      <c r="W2013" s="25"/>
      <c r="X2013" s="25"/>
      <c r="Y2013" s="25"/>
      <c r="Z2013" s="25"/>
      <c r="AA2013" s="25"/>
    </row>
    <row r="2014" spans="1:27" x14ac:dyDescent="0.35">
      <c r="A2014" s="5">
        <v>2010</v>
      </c>
      <c r="B2014" s="5">
        <v>84</v>
      </c>
      <c r="C2014" s="5">
        <v>3</v>
      </c>
      <c r="D2014" s="25">
        <v>1.1415000000000001E-4</v>
      </c>
      <c r="E2014" s="25">
        <v>1.1095999999999999E-4</v>
      </c>
      <c r="F2014" s="25">
        <v>1.2841E-4</v>
      </c>
      <c r="G2014" s="25">
        <v>1.6663E-4</v>
      </c>
      <c r="H2014" s="25">
        <v>4.1109999999999998E-5</v>
      </c>
      <c r="I2014" s="9">
        <v>1.3082999999999999E-4</v>
      </c>
      <c r="J2014" s="9">
        <v>1.3181999999999999E-4</v>
      </c>
      <c r="K2014" s="9">
        <v>9.7490000000000003E-5</v>
      </c>
      <c r="L2014" s="9">
        <v>1.3710999999999999E-4</v>
      </c>
      <c r="M2014" s="9">
        <v>1.2729000000000001E-4</v>
      </c>
      <c r="N2014" s="9">
        <v>1.3863999999999999E-4</v>
      </c>
      <c r="O2014" s="9">
        <v>1.3980000000000001E-4</v>
      </c>
      <c r="P2014" s="9">
        <v>1.2790999999999999E-4</v>
      </c>
      <c r="Q2014" s="9">
        <v>1.1694E-4</v>
      </c>
      <c r="R2014" s="10">
        <v>4.628418109888838E-5</v>
      </c>
      <c r="S2014" s="10">
        <v>4.0232867325191671E-5</v>
      </c>
      <c r="T2014" s="10">
        <v>7.1607486515202835E-6</v>
      </c>
      <c r="U2014" s="10">
        <v>1.4266999999999999E-4</v>
      </c>
      <c r="V2014" s="25"/>
      <c r="W2014" s="25"/>
      <c r="X2014" s="25"/>
      <c r="Y2014" s="25"/>
      <c r="Z2014" s="25"/>
      <c r="AA2014" s="25"/>
    </row>
    <row r="2015" spans="1:27" x14ac:dyDescent="0.35">
      <c r="A2015" s="5">
        <v>2011</v>
      </c>
      <c r="B2015" s="5">
        <v>84</v>
      </c>
      <c r="C2015" s="5">
        <v>3</v>
      </c>
      <c r="D2015" s="25">
        <v>1.1416E-4</v>
      </c>
      <c r="E2015" s="25">
        <v>1.16E-4</v>
      </c>
      <c r="F2015" s="25">
        <v>1.2611E-4</v>
      </c>
      <c r="G2015" s="25">
        <v>1.1105E-4</v>
      </c>
      <c r="H2015" s="25">
        <v>2.7399999999999999E-5</v>
      </c>
      <c r="I2015" s="9">
        <v>1.3186E-4</v>
      </c>
      <c r="J2015" s="9">
        <v>1.2962E-4</v>
      </c>
      <c r="K2015" s="9">
        <v>1.1656E-4</v>
      </c>
      <c r="L2015" s="9">
        <v>1.3913E-4</v>
      </c>
      <c r="M2015" s="9">
        <v>1.2609000000000001E-4</v>
      </c>
      <c r="N2015" s="9">
        <v>1.2946E-4</v>
      </c>
      <c r="O2015" s="9">
        <v>1.4148000000000001E-4</v>
      </c>
      <c r="P2015" s="9">
        <v>1.2381E-4</v>
      </c>
      <c r="Q2015" s="9">
        <v>1.0716E-4</v>
      </c>
      <c r="R2015" s="10">
        <v>5.3519772680689858E-5</v>
      </c>
      <c r="S2015" s="10">
        <v>3.4471286560628283E-5</v>
      </c>
      <c r="T2015" s="10">
        <v>0</v>
      </c>
      <c r="U2015" s="10">
        <v>1.4266999999999999E-4</v>
      </c>
      <c r="V2015" s="25"/>
      <c r="W2015" s="25"/>
      <c r="X2015" s="25"/>
      <c r="Y2015" s="25"/>
      <c r="Z2015" s="25"/>
      <c r="AA2015" s="25"/>
    </row>
    <row r="2016" spans="1:27" x14ac:dyDescent="0.35">
      <c r="A2016" s="5">
        <v>2012</v>
      </c>
      <c r="B2016" s="5">
        <v>84</v>
      </c>
      <c r="C2016" s="5">
        <v>3</v>
      </c>
      <c r="D2016" s="25">
        <v>1.1415000000000001E-4</v>
      </c>
      <c r="E2016" s="25">
        <v>1.098E-4</v>
      </c>
      <c r="F2016" s="25">
        <v>1.2579E-4</v>
      </c>
      <c r="G2016" s="25">
        <v>1.1438E-4</v>
      </c>
      <c r="H2016" s="25">
        <v>2.6310000000000001E-5</v>
      </c>
      <c r="I2016" s="9">
        <v>1.3469999999999999E-4</v>
      </c>
      <c r="J2016" s="9">
        <v>1.3205000000000001E-4</v>
      </c>
      <c r="K2016" s="9">
        <v>1.314E-4</v>
      </c>
      <c r="L2016" s="9">
        <v>1.4096000000000001E-4</v>
      </c>
      <c r="M2016" s="9">
        <v>1.2522999999999999E-4</v>
      </c>
      <c r="N2016" s="9">
        <v>1.2047E-4</v>
      </c>
      <c r="O2016" s="9">
        <v>1.4260999999999999E-4</v>
      </c>
      <c r="P2016" s="9">
        <v>1.2129E-4</v>
      </c>
      <c r="Q2016" s="9">
        <v>1.0105E-4</v>
      </c>
      <c r="R2016" s="10">
        <v>5.985535538058122E-5</v>
      </c>
      <c r="S2016" s="10">
        <v>3.2073954648732308E-5</v>
      </c>
      <c r="T2016" s="10">
        <v>0</v>
      </c>
      <c r="U2016" s="10">
        <v>1.4266999999999999E-4</v>
      </c>
      <c r="V2016" s="25"/>
      <c r="W2016" s="25"/>
      <c r="X2016" s="25"/>
      <c r="Y2016" s="25"/>
      <c r="Z2016" s="25"/>
      <c r="AA2016" s="25"/>
    </row>
    <row r="2017" spans="1:27" x14ac:dyDescent="0.35">
      <c r="A2017" s="5">
        <v>2013</v>
      </c>
      <c r="B2017" s="5">
        <v>84</v>
      </c>
      <c r="C2017" s="5">
        <v>3</v>
      </c>
      <c r="D2017" s="25">
        <v>1.1416E-4</v>
      </c>
      <c r="E2017" s="25">
        <v>1.1093E-4</v>
      </c>
      <c r="F2017" s="25">
        <v>1.1286E-4</v>
      </c>
      <c r="G2017" s="25">
        <v>5.7160000000000002E-5</v>
      </c>
      <c r="H2017" s="25">
        <v>1.5319999999999999E-5</v>
      </c>
      <c r="I2017" s="9">
        <v>1.2935999999999999E-4</v>
      </c>
      <c r="J2017" s="9">
        <v>1.2766000000000001E-4</v>
      </c>
      <c r="K2017" s="9">
        <v>1.2716E-4</v>
      </c>
      <c r="L2017" s="9">
        <v>1.4223E-4</v>
      </c>
      <c r="M2017" s="9">
        <v>1.2363000000000001E-4</v>
      </c>
      <c r="N2017" s="9">
        <v>1.1271E-4</v>
      </c>
      <c r="O2017" s="9">
        <v>8.5130000000000007E-5</v>
      </c>
      <c r="P2017" s="9">
        <v>8.6849999999999997E-5</v>
      </c>
      <c r="Q2017" s="9">
        <v>8.886E-5</v>
      </c>
      <c r="R2017" s="10">
        <v>6.1746897746383609E-5</v>
      </c>
      <c r="S2017" s="10">
        <v>3.4879905409598047E-5</v>
      </c>
      <c r="T2017" s="10">
        <v>0</v>
      </c>
      <c r="U2017" s="10">
        <v>1.4266999999999999E-4</v>
      </c>
      <c r="V2017" s="25"/>
      <c r="W2017" s="25"/>
      <c r="X2017" s="25"/>
      <c r="Y2017" s="25"/>
      <c r="Z2017" s="25"/>
      <c r="AA2017" s="25"/>
    </row>
    <row r="2018" spans="1:27" x14ac:dyDescent="0.35">
      <c r="A2018" s="5">
        <v>2014</v>
      </c>
      <c r="B2018" s="5">
        <v>84</v>
      </c>
      <c r="C2018" s="5">
        <v>3</v>
      </c>
      <c r="D2018" s="25">
        <v>1.1415000000000001E-4</v>
      </c>
      <c r="E2018" s="25">
        <v>1.0652E-4</v>
      </c>
      <c r="F2018" s="25">
        <v>1.1697E-4</v>
      </c>
      <c r="G2018" s="25">
        <v>5.7410000000000001E-5</v>
      </c>
      <c r="H2018" s="25">
        <v>1.5379999999999998E-5</v>
      </c>
      <c r="I2018" s="9">
        <v>1.2412999999999999E-4</v>
      </c>
      <c r="J2018" s="9">
        <v>1.1932E-4</v>
      </c>
      <c r="K2018" s="9">
        <v>1.2716999999999999E-4</v>
      </c>
      <c r="L2018" s="9">
        <v>9.7670000000000005E-5</v>
      </c>
      <c r="M2018" s="9">
        <v>1.0993E-4</v>
      </c>
      <c r="N2018" s="9">
        <v>1.0534E-4</v>
      </c>
      <c r="O2018" s="9">
        <v>8.6760000000000003E-5</v>
      </c>
      <c r="P2018" s="9">
        <v>8.7070000000000005E-5</v>
      </c>
      <c r="Q2018" s="9">
        <v>8.7719999999999994E-5</v>
      </c>
      <c r="R2018" s="10">
        <v>6.5000701764081153E-5</v>
      </c>
      <c r="S2018" s="10">
        <v>3.3385588896824249E-5</v>
      </c>
      <c r="T2018" s="10">
        <v>0</v>
      </c>
      <c r="U2018" s="10">
        <v>1.4266999999999999E-4</v>
      </c>
      <c r="V2018" s="25"/>
      <c r="W2018" s="25"/>
      <c r="X2018" s="25"/>
      <c r="Y2018" s="25"/>
      <c r="Z2018" s="25"/>
      <c r="AA2018" s="25"/>
    </row>
    <row r="2019" spans="1:27" x14ac:dyDescent="0.35">
      <c r="A2019" s="5">
        <v>2015</v>
      </c>
      <c r="B2019" s="5">
        <v>84</v>
      </c>
      <c r="C2019" s="5">
        <v>3</v>
      </c>
      <c r="D2019" s="25">
        <v>1.1416E-4</v>
      </c>
      <c r="E2019" s="25">
        <v>1.1624E-4</v>
      </c>
      <c r="F2019" s="25">
        <v>1.3443E-4</v>
      </c>
      <c r="G2019" s="25">
        <v>5.5909999999999998E-5</v>
      </c>
      <c r="H2019" s="25">
        <v>1.412E-5</v>
      </c>
      <c r="I2019" s="9">
        <v>1.2417999999999999E-4</v>
      </c>
      <c r="J2019" s="9">
        <v>1.1003E-4</v>
      </c>
      <c r="K2019" s="9">
        <v>1.3352000000000001E-4</v>
      </c>
      <c r="L2019" s="9">
        <v>9.0400000000000002E-5</v>
      </c>
      <c r="M2019" s="9">
        <v>9.802E-5</v>
      </c>
      <c r="N2019" s="9">
        <v>9.9530000000000004E-5</v>
      </c>
      <c r="O2019" s="9">
        <v>8.4489999999999999E-5</v>
      </c>
      <c r="P2019" s="9">
        <v>7.5430000000000001E-5</v>
      </c>
      <c r="Q2019" s="9">
        <v>6.6820000000000001E-5</v>
      </c>
      <c r="R2019" s="10">
        <v>6.5734888483582392E-5</v>
      </c>
      <c r="S2019" s="10">
        <v>3.039814241178763E-5</v>
      </c>
      <c r="T2019" s="10">
        <v>0</v>
      </c>
      <c r="U2019" s="10">
        <v>1.4266999999999999E-4</v>
      </c>
      <c r="V2019" s="25"/>
      <c r="W2019" s="25"/>
      <c r="X2019" s="25"/>
      <c r="Y2019" s="25"/>
      <c r="Z2019" s="25"/>
      <c r="AA2019" s="25"/>
    </row>
    <row r="2020" spans="1:27" x14ac:dyDescent="0.35">
      <c r="A2020" s="5">
        <v>2016</v>
      </c>
      <c r="B2020" s="5">
        <v>84</v>
      </c>
      <c r="C2020" s="5">
        <v>3</v>
      </c>
      <c r="D2020" s="25">
        <v>1.1415000000000001E-4</v>
      </c>
      <c r="E2020" s="25">
        <v>1.1341999999999999E-4</v>
      </c>
      <c r="F2020" s="25">
        <v>1.1203E-4</v>
      </c>
      <c r="G2020" s="25">
        <v>5.4969999999999997E-5</v>
      </c>
      <c r="H2020" s="25">
        <v>1.556E-5</v>
      </c>
      <c r="I2020" s="9">
        <v>1.2276E-4</v>
      </c>
      <c r="J2020" s="9">
        <v>1.0186E-4</v>
      </c>
      <c r="K2020" s="9">
        <v>1.4411E-4</v>
      </c>
      <c r="L2020" s="9">
        <v>8.6030000000000001E-5</v>
      </c>
      <c r="M2020" s="9">
        <v>8.7089999999999995E-5</v>
      </c>
      <c r="N2020" s="9">
        <v>9.0340000000000006E-5</v>
      </c>
      <c r="O2020" s="9">
        <v>7.8620000000000003E-5</v>
      </c>
      <c r="P2020" s="9">
        <v>6.834E-5</v>
      </c>
      <c r="Q2020" s="9">
        <v>5.8499999999999999E-5</v>
      </c>
      <c r="R2020" s="10">
        <v>5.6183528367586195E-5</v>
      </c>
      <c r="S2020" s="10">
        <v>2.9042567713299223E-5</v>
      </c>
      <c r="T2020" s="10">
        <v>0</v>
      </c>
      <c r="U2020" s="10">
        <v>1.4266999999999999E-4</v>
      </c>
      <c r="V2020" s="25"/>
      <c r="W2020" s="25"/>
      <c r="X2020" s="25"/>
      <c r="Y2020" s="25"/>
      <c r="Z2020" s="25"/>
      <c r="AA2020" s="25"/>
    </row>
    <row r="2021" spans="1:27" x14ac:dyDescent="0.35">
      <c r="A2021" s="5">
        <v>2017</v>
      </c>
      <c r="B2021" s="5">
        <v>85</v>
      </c>
      <c r="C2021" s="5">
        <v>3</v>
      </c>
      <c r="D2021" s="25">
        <v>1.1416E-4</v>
      </c>
      <c r="E2021" s="25">
        <v>1.1642999999999999E-4</v>
      </c>
      <c r="F2021" s="25">
        <v>9.3549999999999997E-5</v>
      </c>
      <c r="G2021" s="25">
        <v>6.0520000000000003E-5</v>
      </c>
      <c r="H2021" s="25">
        <v>7.25E-5</v>
      </c>
      <c r="I2021" s="9">
        <v>1.1543E-4</v>
      </c>
      <c r="J2021" s="9">
        <v>9.4569999999999997E-5</v>
      </c>
      <c r="K2021" s="9">
        <v>1.5259E-4</v>
      </c>
      <c r="L2021" s="9">
        <v>8.0039999999999999E-5</v>
      </c>
      <c r="M2021" s="9">
        <v>7.7860000000000003E-5</v>
      </c>
      <c r="N2021" s="9">
        <v>8.0909999999999996E-5</v>
      </c>
      <c r="O2021" s="9">
        <v>5.401E-5</v>
      </c>
      <c r="P2021" s="9">
        <v>5.3440000000000003E-5</v>
      </c>
      <c r="Q2021" s="9">
        <v>5.3019999999999997E-5</v>
      </c>
      <c r="R2021" s="10">
        <v>4.9645788317127698E-5</v>
      </c>
      <c r="S2021" s="10">
        <v>3.2113970528522669E-5</v>
      </c>
      <c r="T2021" s="10">
        <v>0</v>
      </c>
      <c r="U2021" s="10">
        <v>1.4076E-4</v>
      </c>
      <c r="V2021" s="25"/>
      <c r="W2021" s="25"/>
      <c r="X2021" s="25"/>
      <c r="Y2021" s="25"/>
      <c r="Z2021" s="25"/>
      <c r="AA2021" s="25"/>
    </row>
    <row r="2022" spans="1:27" x14ac:dyDescent="0.35">
      <c r="A2022" s="5">
        <v>2018</v>
      </c>
      <c r="B2022" s="5">
        <v>85</v>
      </c>
      <c r="C2022" s="5">
        <v>3</v>
      </c>
      <c r="D2022" s="25">
        <v>1.1415000000000001E-4</v>
      </c>
      <c r="E2022" s="25">
        <v>1.1475E-4</v>
      </c>
      <c r="F2022" s="25">
        <v>9.5210000000000005E-5</v>
      </c>
      <c r="G2022" s="25">
        <v>5.4110000000000002E-5</v>
      </c>
      <c r="H2022" s="25">
        <v>7.3860000000000001E-5</v>
      </c>
      <c r="I2022" s="9">
        <v>1.086E-4</v>
      </c>
      <c r="J2022" s="9">
        <v>9.2849999999999994E-5</v>
      </c>
      <c r="K2022" s="9">
        <v>1.6107E-4</v>
      </c>
      <c r="L2022" s="9">
        <v>5.9880000000000003E-5</v>
      </c>
      <c r="M2022" s="9">
        <v>6.6909999999999995E-5</v>
      </c>
      <c r="N2022" s="9">
        <v>7.1790000000000002E-5</v>
      </c>
      <c r="O2022" s="9">
        <v>1.8989999999999999E-5</v>
      </c>
      <c r="P2022" s="9">
        <v>3.7929999999999998E-5</v>
      </c>
      <c r="Q2022" s="9">
        <v>5.6440000000000002E-5</v>
      </c>
      <c r="R2022" s="10">
        <v>4.154988748496466E-5</v>
      </c>
      <c r="S2022" s="10">
        <v>3.7847610658881472E-5</v>
      </c>
      <c r="T2022" s="10">
        <v>0</v>
      </c>
      <c r="U2022" s="10">
        <v>1.4076E-4</v>
      </c>
      <c r="V2022" s="25"/>
      <c r="W2022" s="25"/>
      <c r="X2022" s="25"/>
      <c r="Y2022" s="25"/>
      <c r="Z2022" s="25"/>
      <c r="AA2022" s="25"/>
    </row>
    <row r="2023" spans="1:27" x14ac:dyDescent="0.35">
      <c r="A2023" s="5">
        <v>2019</v>
      </c>
      <c r="B2023" s="5">
        <v>85</v>
      </c>
      <c r="C2023" s="5">
        <v>3</v>
      </c>
      <c r="D2023" s="25">
        <v>1.1416E-4</v>
      </c>
      <c r="E2023" s="25">
        <v>1.204E-4</v>
      </c>
      <c r="F2023" s="25">
        <v>1.0478E-4</v>
      </c>
      <c r="G2023" s="25">
        <v>6.3120000000000006E-5</v>
      </c>
      <c r="H2023" s="25">
        <v>7.4740000000000006E-5</v>
      </c>
      <c r="I2023" s="9">
        <v>1.0485E-4</v>
      </c>
      <c r="J2023" s="9">
        <v>8.9209999999999995E-5</v>
      </c>
      <c r="K2023" s="9">
        <v>1.5683E-4</v>
      </c>
      <c r="L2023" s="9">
        <v>2.8540000000000001E-5</v>
      </c>
      <c r="M2023" s="9">
        <v>5.3789999999999998E-5</v>
      </c>
      <c r="N2023" s="9">
        <v>6.5320000000000005E-5</v>
      </c>
      <c r="O2023" s="9">
        <v>1.344E-5</v>
      </c>
      <c r="P2023" s="9">
        <v>3.7780000000000001E-5</v>
      </c>
      <c r="Q2023" s="9">
        <v>6.1589999999999998E-5</v>
      </c>
      <c r="R2023" s="10">
        <v>4.0747051199174608E-5</v>
      </c>
      <c r="S2023" s="10">
        <v>3.3412914175160543E-5</v>
      </c>
      <c r="T2023" s="10">
        <v>0</v>
      </c>
      <c r="U2023" s="10">
        <v>1.4076E-4</v>
      </c>
      <c r="V2023" s="25"/>
      <c r="W2023" s="25"/>
      <c r="X2023" s="25"/>
      <c r="Y2023" s="25"/>
      <c r="Z2023" s="25"/>
      <c r="AA2023" s="25"/>
    </row>
    <row r="2024" spans="1:27" x14ac:dyDescent="0.35">
      <c r="A2024" s="5">
        <v>2020</v>
      </c>
      <c r="B2024" s="5">
        <v>85</v>
      </c>
      <c r="C2024" s="5">
        <v>3</v>
      </c>
      <c r="D2024" s="25">
        <v>1.1415000000000001E-4</v>
      </c>
      <c r="E2024" s="25">
        <v>1.1819000000000001E-4</v>
      </c>
      <c r="F2024" s="25">
        <v>1.0183000000000001E-4</v>
      </c>
      <c r="G2024" s="25">
        <v>5.257E-5</v>
      </c>
      <c r="H2024" s="25">
        <v>7.0560000000000002E-5</v>
      </c>
      <c r="I2024" s="9">
        <v>1.0323E-4</v>
      </c>
      <c r="J2024" s="9">
        <v>8.9179999999999997E-5</v>
      </c>
      <c r="K2024" s="9">
        <v>1.5683E-4</v>
      </c>
      <c r="L2024" s="9">
        <v>1.7600000000000001E-5</v>
      </c>
      <c r="M2024" s="9">
        <v>4.4870000000000002E-5</v>
      </c>
      <c r="N2024" s="9">
        <v>6.1790000000000003E-5</v>
      </c>
      <c r="O2024" s="9">
        <v>1.347E-5</v>
      </c>
      <c r="P2024" s="9">
        <v>4.7349999999999999E-5</v>
      </c>
      <c r="Q2024" s="9">
        <v>8.0539999999999998E-5</v>
      </c>
      <c r="R2024" s="10">
        <v>3.3767615074169653E-5</v>
      </c>
      <c r="S2024" s="10">
        <v>3.0969204374017751E-5</v>
      </c>
      <c r="T2024" s="10">
        <v>0</v>
      </c>
      <c r="U2024" s="10">
        <v>1.4076E-4</v>
      </c>
      <c r="V2024" s="25"/>
      <c r="W2024" s="25"/>
      <c r="X2024" s="25"/>
      <c r="Y2024" s="25"/>
      <c r="Z2024" s="25"/>
      <c r="AA2024" s="25"/>
    </row>
    <row r="2025" spans="1:27" x14ac:dyDescent="0.35">
      <c r="A2025" s="5">
        <v>2021</v>
      </c>
      <c r="B2025" s="5">
        <v>85</v>
      </c>
      <c r="C2025" s="5">
        <v>3</v>
      </c>
      <c r="D2025" s="25">
        <v>1.1416E-4</v>
      </c>
      <c r="E2025" s="25">
        <v>1.1365E-4</v>
      </c>
      <c r="F2025" s="25">
        <v>1.0914E-4</v>
      </c>
      <c r="G2025" s="25">
        <v>5.6199999999999997E-5</v>
      </c>
      <c r="H2025" s="25">
        <v>6.5409999999999999E-5</v>
      </c>
      <c r="I2025" s="9">
        <v>1.0448E-4</v>
      </c>
      <c r="J2025" s="9">
        <v>9.2230000000000003E-5</v>
      </c>
      <c r="K2025" s="9">
        <v>1.5683E-4</v>
      </c>
      <c r="L2025" s="9">
        <v>1.455E-5</v>
      </c>
      <c r="M2025" s="9">
        <v>4.3800000000000001E-5</v>
      </c>
      <c r="N2025" s="9">
        <v>6.4410000000000002E-5</v>
      </c>
      <c r="O2025" s="9">
        <v>1.908E-5</v>
      </c>
      <c r="P2025" s="9">
        <v>5.7170000000000003E-5</v>
      </c>
      <c r="Q2025" s="9">
        <v>9.4530000000000005E-5</v>
      </c>
      <c r="R2025" s="10">
        <v>3.6773311995713432E-5</v>
      </c>
      <c r="S2025" s="10">
        <v>3.4107820238642514E-5</v>
      </c>
      <c r="T2025" s="10">
        <v>0</v>
      </c>
      <c r="U2025" s="10">
        <v>1.4076E-4</v>
      </c>
      <c r="V2025" s="25"/>
      <c r="W2025" s="25"/>
      <c r="X2025" s="25"/>
      <c r="Y2025" s="25"/>
      <c r="Z2025" s="25"/>
      <c r="AA2025" s="25"/>
    </row>
    <row r="2026" spans="1:27" x14ac:dyDescent="0.35">
      <c r="A2026" s="5">
        <v>2022</v>
      </c>
      <c r="B2026" s="5">
        <v>85</v>
      </c>
      <c r="C2026" s="5">
        <v>3</v>
      </c>
      <c r="D2026" s="25">
        <v>1.1415000000000001E-4</v>
      </c>
      <c r="E2026" s="25">
        <v>1.1701000000000001E-4</v>
      </c>
      <c r="F2026" s="25">
        <v>9.48E-5</v>
      </c>
      <c r="G2026" s="25">
        <v>1.0896E-4</v>
      </c>
      <c r="H2026" s="25">
        <v>1.3109999999999999E-4</v>
      </c>
      <c r="I2026" s="9">
        <v>1.1003E-4</v>
      </c>
      <c r="J2026" s="9">
        <v>9.4510000000000001E-5</v>
      </c>
      <c r="K2026" s="9">
        <v>1.5259E-4</v>
      </c>
      <c r="L2026" s="9">
        <v>1.7960000000000001E-5</v>
      </c>
      <c r="M2026" s="9">
        <v>4.871E-5</v>
      </c>
      <c r="N2026" s="9">
        <v>7.1199999999999996E-5</v>
      </c>
      <c r="O2026" s="9">
        <v>4.6749999999999998E-5</v>
      </c>
      <c r="P2026" s="9">
        <v>7.7600000000000002E-5</v>
      </c>
      <c r="Q2026" s="9">
        <v>1.0806000000000001E-4</v>
      </c>
      <c r="R2026" s="10">
        <v>3.4717207125017346E-5</v>
      </c>
      <c r="S2026" s="10">
        <v>3.7658363822886109E-5</v>
      </c>
      <c r="T2026" s="10">
        <v>0</v>
      </c>
      <c r="U2026" s="10">
        <v>1.4076E-4</v>
      </c>
      <c r="V2026" s="25"/>
      <c r="W2026" s="25"/>
      <c r="X2026" s="25"/>
      <c r="Y2026" s="25"/>
      <c r="Z2026" s="25"/>
      <c r="AA2026" s="25"/>
    </row>
    <row r="2027" spans="1:27" x14ac:dyDescent="0.35">
      <c r="A2027" s="5">
        <v>2023</v>
      </c>
      <c r="B2027" s="5">
        <v>85</v>
      </c>
      <c r="C2027" s="5">
        <v>3</v>
      </c>
      <c r="D2027" s="25">
        <v>1.1416E-4</v>
      </c>
      <c r="E2027" s="25">
        <v>1.1175000000000001E-4</v>
      </c>
      <c r="F2027" s="25">
        <v>9.6879999999999994E-5</v>
      </c>
      <c r="G2027" s="25">
        <v>1.1344E-4</v>
      </c>
      <c r="H2027" s="25">
        <v>1.3939000000000001E-4</v>
      </c>
      <c r="I2027" s="9">
        <v>1.2071E-4</v>
      </c>
      <c r="J2027" s="9">
        <v>1.0013000000000001E-4</v>
      </c>
      <c r="K2027" s="9">
        <v>1.3987E-4</v>
      </c>
      <c r="L2027" s="9">
        <v>4.0269999999999999E-5</v>
      </c>
      <c r="M2027" s="9">
        <v>6.0489999999999999E-5</v>
      </c>
      <c r="N2027" s="9">
        <v>8.1160000000000002E-5</v>
      </c>
      <c r="O2027" s="9">
        <v>1.2333E-4</v>
      </c>
      <c r="P2027" s="9">
        <v>1.1762E-4</v>
      </c>
      <c r="Q2027" s="9">
        <v>1.1267E-4</v>
      </c>
      <c r="R2027" s="10">
        <v>3.3584589179194171E-5</v>
      </c>
      <c r="S2027" s="10">
        <v>4.5730505815454575E-5</v>
      </c>
      <c r="T2027" s="10">
        <v>2.5223821967973702E-5</v>
      </c>
      <c r="U2027" s="10">
        <v>1.4076E-4</v>
      </c>
      <c r="V2027" s="25"/>
      <c r="W2027" s="25"/>
      <c r="X2027" s="25"/>
      <c r="Y2027" s="25"/>
      <c r="Z2027" s="25"/>
      <c r="AA2027" s="25"/>
    </row>
    <row r="2028" spans="1:27" x14ac:dyDescent="0.35">
      <c r="A2028" s="5">
        <v>2024</v>
      </c>
      <c r="B2028" s="5">
        <v>85</v>
      </c>
      <c r="C2028" s="5">
        <v>3</v>
      </c>
      <c r="D2028" s="25">
        <v>1.1415000000000001E-4</v>
      </c>
      <c r="E2028" s="25">
        <v>1.1137999999999999E-4</v>
      </c>
      <c r="F2028" s="25">
        <v>9.1130000000000003E-5</v>
      </c>
      <c r="G2028" s="25">
        <v>1.6761E-4</v>
      </c>
      <c r="H2028" s="25">
        <v>1.9977999999999999E-4</v>
      </c>
      <c r="I2028" s="9">
        <v>1.2866E-4</v>
      </c>
      <c r="J2028" s="9">
        <v>1.1252999999999999E-4</v>
      </c>
      <c r="K2028" s="9">
        <v>1.2929E-4</v>
      </c>
      <c r="L2028" s="9">
        <v>1.0444E-4</v>
      </c>
      <c r="M2028" s="9">
        <v>8.4110000000000006E-5</v>
      </c>
      <c r="N2028" s="9">
        <v>9.1279999999999993E-5</v>
      </c>
      <c r="O2028" s="9">
        <v>2.1986E-4</v>
      </c>
      <c r="P2028" s="9">
        <v>1.7741999999999999E-4</v>
      </c>
      <c r="Q2028" s="9">
        <v>1.3705999999999999E-4</v>
      </c>
      <c r="R2028" s="10">
        <v>4.1354739585875321E-5</v>
      </c>
      <c r="S2028" s="10">
        <v>5.9742161636424729E-5</v>
      </c>
      <c r="T2028" s="10">
        <v>2.077380695882395E-4</v>
      </c>
      <c r="U2028" s="10">
        <v>1.4076E-4</v>
      </c>
      <c r="V2028" s="25"/>
      <c r="W2028" s="25"/>
      <c r="X2028" s="25"/>
      <c r="Y2028" s="25"/>
      <c r="Z2028" s="25"/>
      <c r="AA2028" s="25"/>
    </row>
    <row r="2029" spans="1:27" x14ac:dyDescent="0.35">
      <c r="A2029" s="5">
        <v>2025</v>
      </c>
      <c r="B2029" s="5">
        <v>85</v>
      </c>
      <c r="C2029" s="5">
        <v>3</v>
      </c>
      <c r="D2029" s="25">
        <v>1.1416E-4</v>
      </c>
      <c r="E2029" s="25">
        <v>1.197E-4</v>
      </c>
      <c r="F2029" s="25">
        <v>1.0145999999999999E-4</v>
      </c>
      <c r="G2029" s="25">
        <v>1.5977E-4</v>
      </c>
      <c r="H2029" s="25">
        <v>1.8912000000000001E-4</v>
      </c>
      <c r="I2029" s="9">
        <v>1.3320000000000001E-4</v>
      </c>
      <c r="J2029" s="9">
        <v>1.2485999999999999E-4</v>
      </c>
      <c r="K2029" s="9">
        <v>1.1021E-4</v>
      </c>
      <c r="L2029" s="9">
        <v>1.9270999999999999E-4</v>
      </c>
      <c r="M2029" s="9">
        <v>1.238E-4</v>
      </c>
      <c r="N2029" s="9">
        <v>1.0505000000000001E-4</v>
      </c>
      <c r="O2029" s="9">
        <v>2.0964000000000001E-4</v>
      </c>
      <c r="P2029" s="9">
        <v>1.9186999999999999E-4</v>
      </c>
      <c r="Q2029" s="9">
        <v>1.7572E-4</v>
      </c>
      <c r="R2029" s="10">
        <v>5.7509541109107026E-5</v>
      </c>
      <c r="S2029" s="10">
        <v>7.8759545057699491E-5</v>
      </c>
      <c r="T2029" s="10">
        <v>2.2215289418413162E-4</v>
      </c>
      <c r="U2029" s="10">
        <v>1.4076E-4</v>
      </c>
      <c r="V2029" s="25"/>
      <c r="W2029" s="25"/>
      <c r="X2029" s="25"/>
      <c r="Y2029" s="25"/>
      <c r="Z2029" s="25"/>
      <c r="AA2029" s="25"/>
    </row>
    <row r="2030" spans="1:27" x14ac:dyDescent="0.35">
      <c r="A2030" s="5">
        <v>2026</v>
      </c>
      <c r="B2030" s="5">
        <v>85</v>
      </c>
      <c r="C2030" s="5">
        <v>3</v>
      </c>
      <c r="D2030" s="25">
        <v>1.1415000000000001E-4</v>
      </c>
      <c r="E2030" s="25">
        <v>1.1567E-4</v>
      </c>
      <c r="F2030" s="25">
        <v>9.1290000000000002E-5</v>
      </c>
      <c r="G2030" s="25">
        <v>1.5927000000000001E-4</v>
      </c>
      <c r="H2030" s="25">
        <v>2.0064E-4</v>
      </c>
      <c r="I2030" s="9">
        <v>1.3789E-4</v>
      </c>
      <c r="J2030" s="9">
        <v>1.3192E-4</v>
      </c>
      <c r="K2030" s="9">
        <v>9.1130000000000003E-5</v>
      </c>
      <c r="L2030" s="9">
        <v>2.0359999999999999E-4</v>
      </c>
      <c r="M2030" s="9">
        <v>1.5836999999999999E-4</v>
      </c>
      <c r="N2030" s="9">
        <v>1.2473000000000001E-4</v>
      </c>
      <c r="O2030" s="9">
        <v>1.6536E-4</v>
      </c>
      <c r="P2030" s="9">
        <v>1.7239999999999999E-4</v>
      </c>
      <c r="Q2030" s="9">
        <v>1.8033E-4</v>
      </c>
      <c r="R2030" s="10">
        <v>7.6660202129639145E-5</v>
      </c>
      <c r="S2030" s="10">
        <v>1.0414414760859436E-4</v>
      </c>
      <c r="T2030" s="10">
        <v>3.5683266206829398E-4</v>
      </c>
      <c r="U2030" s="10">
        <v>1.4076E-4</v>
      </c>
      <c r="V2030" s="25"/>
      <c r="W2030" s="25"/>
      <c r="X2030" s="25"/>
      <c r="Y2030" s="25"/>
      <c r="Z2030" s="25"/>
      <c r="AA2030" s="25"/>
    </row>
    <row r="2031" spans="1:27" x14ac:dyDescent="0.35">
      <c r="A2031" s="5">
        <v>2027</v>
      </c>
      <c r="B2031" s="5">
        <v>85</v>
      </c>
      <c r="C2031" s="5">
        <v>3</v>
      </c>
      <c r="D2031" s="25">
        <v>1.1416E-4</v>
      </c>
      <c r="E2031" s="25">
        <v>1.0997000000000001E-4</v>
      </c>
      <c r="F2031" s="25">
        <v>1.0309E-4</v>
      </c>
      <c r="G2031" s="25">
        <v>1.6168000000000001E-4</v>
      </c>
      <c r="H2031" s="25">
        <v>1.9126000000000001E-4</v>
      </c>
      <c r="I2031" s="9">
        <v>1.3908E-4</v>
      </c>
      <c r="J2031" s="9">
        <v>1.3333999999999999E-4</v>
      </c>
      <c r="K2031" s="9">
        <v>5.9339999999999998E-5</v>
      </c>
      <c r="L2031" s="9">
        <v>1.7389E-4</v>
      </c>
      <c r="M2031" s="9">
        <v>1.7139999999999999E-4</v>
      </c>
      <c r="N2031" s="9">
        <v>1.4231000000000001E-4</v>
      </c>
      <c r="O2031" s="9">
        <v>1.6844000000000001E-4</v>
      </c>
      <c r="P2031" s="9">
        <v>1.7425000000000001E-4</v>
      </c>
      <c r="Q2031" s="9">
        <v>1.8098999999999999E-4</v>
      </c>
      <c r="R2031" s="10">
        <v>8.7883922769315331E-5</v>
      </c>
      <c r="S2031" s="10">
        <v>1.3657334515115025E-4</v>
      </c>
      <c r="T2031" s="10">
        <v>9.3522431736620972E-5</v>
      </c>
      <c r="U2031" s="10">
        <v>1.4076E-4</v>
      </c>
      <c r="V2031" s="25"/>
      <c r="W2031" s="25"/>
      <c r="X2031" s="25"/>
      <c r="Y2031" s="25"/>
      <c r="Z2031" s="25"/>
      <c r="AA2031" s="25"/>
    </row>
    <row r="2032" spans="1:27" x14ac:dyDescent="0.35">
      <c r="A2032" s="5">
        <v>2028</v>
      </c>
      <c r="B2032" s="5">
        <v>85</v>
      </c>
      <c r="C2032" s="5">
        <v>3</v>
      </c>
      <c r="D2032" s="25">
        <v>1.1415000000000001E-4</v>
      </c>
      <c r="E2032" s="25">
        <v>1.1607000000000001E-4</v>
      </c>
      <c r="F2032" s="25">
        <v>9.6119999999999995E-5</v>
      </c>
      <c r="G2032" s="25">
        <v>1.5956E-4</v>
      </c>
      <c r="H2032" s="25">
        <v>1.9568E-4</v>
      </c>
      <c r="I2032" s="9">
        <v>1.4059000000000001E-4</v>
      </c>
      <c r="J2032" s="9">
        <v>1.3171E-4</v>
      </c>
      <c r="K2032" s="9">
        <v>2.332E-5</v>
      </c>
      <c r="L2032" s="9">
        <v>1.7107E-4</v>
      </c>
      <c r="M2032" s="9">
        <v>1.7458E-4</v>
      </c>
      <c r="N2032" s="9">
        <v>1.5665000000000001E-4</v>
      </c>
      <c r="O2032" s="9">
        <v>1.6812000000000001E-4</v>
      </c>
      <c r="P2032" s="9">
        <v>1.6977E-4</v>
      </c>
      <c r="Q2032" s="9">
        <v>1.7241000000000001E-4</v>
      </c>
      <c r="R2032" s="10">
        <v>1.0491921099767223E-4</v>
      </c>
      <c r="S2032" s="10">
        <v>1.6548397681089369E-4</v>
      </c>
      <c r="T2032" s="10">
        <v>1.884362885666653E-4</v>
      </c>
      <c r="U2032" s="10">
        <v>1.4076E-4</v>
      </c>
      <c r="V2032" s="25"/>
      <c r="W2032" s="25"/>
      <c r="X2032" s="25"/>
      <c r="Y2032" s="25"/>
      <c r="Z2032" s="25"/>
      <c r="AA2032" s="25"/>
    </row>
    <row r="2033" spans="1:27" x14ac:dyDescent="0.35">
      <c r="A2033" s="5">
        <v>2029</v>
      </c>
      <c r="B2033" s="5">
        <v>85</v>
      </c>
      <c r="C2033" s="5">
        <v>3</v>
      </c>
      <c r="D2033" s="25">
        <v>1.1416E-4</v>
      </c>
      <c r="E2033" s="25">
        <v>1.1892000000000001E-4</v>
      </c>
      <c r="F2033" s="25">
        <v>9.6039999999999995E-5</v>
      </c>
      <c r="G2033" s="25">
        <v>1.6624000000000001E-4</v>
      </c>
      <c r="H2033" s="25">
        <v>2.0195E-4</v>
      </c>
      <c r="I2033" s="9">
        <v>1.3862999999999999E-4</v>
      </c>
      <c r="J2033" s="9">
        <v>1.2918000000000001E-4</v>
      </c>
      <c r="K2033" s="9">
        <v>8.4800000000000001E-6</v>
      </c>
      <c r="L2033" s="9">
        <v>1.6886000000000001E-4</v>
      </c>
      <c r="M2033" s="9">
        <v>1.7322E-4</v>
      </c>
      <c r="N2033" s="9">
        <v>1.6571000000000001E-4</v>
      </c>
      <c r="O2033" s="9">
        <v>1.6218E-4</v>
      </c>
      <c r="P2033" s="9">
        <v>1.6466000000000001E-4</v>
      </c>
      <c r="Q2033" s="9">
        <v>1.6808E-4</v>
      </c>
      <c r="R2033" s="10">
        <v>1.4398465519737915E-4</v>
      </c>
      <c r="S2033" s="10">
        <v>1.8335999584363747E-4</v>
      </c>
      <c r="T2033" s="10">
        <v>7.2897100016424508E-5</v>
      </c>
      <c r="U2033" s="10">
        <v>1.4076E-4</v>
      </c>
      <c r="V2033" s="25"/>
      <c r="W2033" s="25"/>
      <c r="X2033" s="25"/>
      <c r="Y2033" s="25"/>
      <c r="Z2033" s="25"/>
      <c r="AA2033" s="25"/>
    </row>
    <row r="2034" spans="1:27" x14ac:dyDescent="0.35">
      <c r="A2034" s="5">
        <v>2030</v>
      </c>
      <c r="B2034" s="5">
        <v>85</v>
      </c>
      <c r="C2034" s="5">
        <v>3</v>
      </c>
      <c r="D2034" s="25">
        <v>1.1415000000000001E-4</v>
      </c>
      <c r="E2034" s="25">
        <v>1.1922E-4</v>
      </c>
      <c r="F2034" s="25">
        <v>9.3549999999999997E-5</v>
      </c>
      <c r="G2034" s="25">
        <v>1.5704E-4</v>
      </c>
      <c r="H2034" s="25">
        <v>1.8906000000000001E-4</v>
      </c>
      <c r="I2034" s="9">
        <v>1.3494000000000001E-4</v>
      </c>
      <c r="J2034" s="9">
        <v>1.2774999999999999E-4</v>
      </c>
      <c r="K2034" s="9">
        <v>0</v>
      </c>
      <c r="L2034" s="9">
        <v>1.6344999999999999E-4</v>
      </c>
      <c r="M2034" s="9">
        <v>1.6972999999999999E-4</v>
      </c>
      <c r="N2034" s="9">
        <v>1.7019E-4</v>
      </c>
      <c r="O2034" s="9">
        <v>1.7929E-4</v>
      </c>
      <c r="P2034" s="9">
        <v>1.6996000000000001E-4</v>
      </c>
      <c r="Q2034" s="9">
        <v>1.6187999999999999E-4</v>
      </c>
      <c r="R2034" s="10">
        <v>1.6862743052682984E-4</v>
      </c>
      <c r="S2034" s="10">
        <v>1.867596560890723E-4</v>
      </c>
      <c r="T2034" s="10">
        <v>6.7272009547280015E-5</v>
      </c>
      <c r="U2034" s="10">
        <v>1.4076E-4</v>
      </c>
      <c r="V2034" s="25"/>
      <c r="W2034" s="25"/>
      <c r="X2034" s="25"/>
      <c r="Y2034" s="25"/>
      <c r="Z2034" s="25"/>
      <c r="AA2034" s="25"/>
    </row>
    <row r="2035" spans="1:27" x14ac:dyDescent="0.35">
      <c r="A2035" s="5">
        <v>2031</v>
      </c>
      <c r="B2035" s="5">
        <v>85</v>
      </c>
      <c r="C2035" s="5">
        <v>3</v>
      </c>
      <c r="D2035" s="25">
        <v>1.1416E-4</v>
      </c>
      <c r="E2035" s="25">
        <v>1.1382E-4</v>
      </c>
      <c r="F2035" s="25">
        <v>1.0797E-4</v>
      </c>
      <c r="G2035" s="25">
        <v>1.6221000000000001E-4</v>
      </c>
      <c r="H2035" s="25">
        <v>1.9935999999999999E-4</v>
      </c>
      <c r="I2035" s="9">
        <v>1.3213E-4</v>
      </c>
      <c r="J2035" s="9">
        <v>1.2642E-4</v>
      </c>
      <c r="K2035" s="9">
        <v>0</v>
      </c>
      <c r="L2035" s="9">
        <v>1.7594999999999999E-4</v>
      </c>
      <c r="M2035" s="9">
        <v>1.6881E-4</v>
      </c>
      <c r="N2035" s="9">
        <v>1.7005000000000001E-4</v>
      </c>
      <c r="O2035" s="9">
        <v>1.8348999999999999E-4</v>
      </c>
      <c r="P2035" s="9">
        <v>1.6739000000000001E-4</v>
      </c>
      <c r="Q2035" s="9">
        <v>1.5268000000000001E-4</v>
      </c>
      <c r="R2035" s="10">
        <v>1.754672078744729E-4</v>
      </c>
      <c r="S2035" s="10">
        <v>1.8744402801889709E-4</v>
      </c>
      <c r="T2035" s="10">
        <v>6.9885173747123906E-5</v>
      </c>
      <c r="U2035" s="10">
        <v>1.4076E-4</v>
      </c>
      <c r="V2035" s="25"/>
      <c r="W2035" s="25"/>
      <c r="X2035" s="25"/>
      <c r="Y2035" s="25"/>
      <c r="Z2035" s="25"/>
      <c r="AA2035" s="25"/>
    </row>
    <row r="2036" spans="1:27" x14ac:dyDescent="0.35">
      <c r="A2036" s="5">
        <v>2032</v>
      </c>
      <c r="B2036" s="5">
        <v>85</v>
      </c>
      <c r="C2036" s="5">
        <v>3</v>
      </c>
      <c r="D2036" s="25">
        <v>1.1415000000000001E-4</v>
      </c>
      <c r="E2036" s="25">
        <v>1.1679E-4</v>
      </c>
      <c r="F2036" s="25">
        <v>9.522E-5</v>
      </c>
      <c r="G2036" s="25">
        <v>1.6191999999999999E-4</v>
      </c>
      <c r="H2036" s="25">
        <v>1.9131000000000001E-4</v>
      </c>
      <c r="I2036" s="9">
        <v>1.2886000000000001E-4</v>
      </c>
      <c r="J2036" s="9">
        <v>1.2344E-4</v>
      </c>
      <c r="K2036" s="9">
        <v>1.696E-5</v>
      </c>
      <c r="L2036" s="9">
        <v>1.8148E-4</v>
      </c>
      <c r="M2036" s="9">
        <v>1.6817000000000001E-4</v>
      </c>
      <c r="N2036" s="9">
        <v>1.6629000000000001E-4</v>
      </c>
      <c r="O2036" s="9">
        <v>1.9791000000000001E-4</v>
      </c>
      <c r="P2036" s="9">
        <v>1.5309000000000001E-4</v>
      </c>
      <c r="Q2036" s="9">
        <v>1.1022E-4</v>
      </c>
      <c r="R2036" s="10">
        <v>1.8271450657961964E-4</v>
      </c>
      <c r="S2036" s="10">
        <v>1.8855150372319021E-4</v>
      </c>
      <c r="T2036" s="10">
        <v>3.27069739947994E-5</v>
      </c>
      <c r="U2036" s="10">
        <v>1.4076E-4</v>
      </c>
      <c r="V2036" s="25"/>
      <c r="W2036" s="25"/>
      <c r="X2036" s="25"/>
      <c r="Y2036" s="25"/>
      <c r="Z2036" s="25"/>
      <c r="AA2036" s="25"/>
    </row>
    <row r="2037" spans="1:27" x14ac:dyDescent="0.35">
      <c r="A2037" s="5">
        <v>2033</v>
      </c>
      <c r="B2037" s="5">
        <v>85</v>
      </c>
      <c r="C2037" s="5">
        <v>3</v>
      </c>
      <c r="D2037" s="25">
        <v>1.1416E-4</v>
      </c>
      <c r="E2037" s="25">
        <v>1.1898E-4</v>
      </c>
      <c r="F2037" s="25">
        <v>1.0507E-4</v>
      </c>
      <c r="G2037" s="25">
        <v>1.6532999999999999E-4</v>
      </c>
      <c r="H2037" s="25">
        <v>1.9089000000000001E-4</v>
      </c>
      <c r="I2037" s="9">
        <v>1.2721999999999999E-4</v>
      </c>
      <c r="J2037" s="9">
        <v>1.2178E-4</v>
      </c>
      <c r="K2037" s="9">
        <v>2.332E-5</v>
      </c>
      <c r="L2037" s="9">
        <v>1.941E-4</v>
      </c>
      <c r="M2037" s="9">
        <v>1.6265E-4</v>
      </c>
      <c r="N2037" s="9">
        <v>1.5268000000000001E-4</v>
      </c>
      <c r="O2037" s="9">
        <v>2.1413000000000001E-4</v>
      </c>
      <c r="P2037" s="9">
        <v>1.5964000000000001E-4</v>
      </c>
      <c r="Q2037" s="9">
        <v>1.0738000000000001E-4</v>
      </c>
      <c r="R2037" s="10">
        <v>1.8825380891201369E-4</v>
      </c>
      <c r="S2037" s="10">
        <v>1.8778614591276297E-4</v>
      </c>
      <c r="T2037" s="10">
        <v>2.1507698852611281E-5</v>
      </c>
      <c r="U2037" s="10">
        <v>1.4076E-4</v>
      </c>
      <c r="V2037" s="25"/>
      <c r="W2037" s="25"/>
      <c r="X2037" s="25"/>
      <c r="Y2037" s="25"/>
      <c r="Z2037" s="25"/>
      <c r="AA2037" s="25"/>
    </row>
    <row r="2038" spans="1:27" x14ac:dyDescent="0.35">
      <c r="A2038" s="5">
        <v>2034</v>
      </c>
      <c r="B2038" s="5">
        <v>85</v>
      </c>
      <c r="C2038" s="5">
        <v>3</v>
      </c>
      <c r="D2038" s="25">
        <v>1.1415000000000001E-4</v>
      </c>
      <c r="E2038" s="25">
        <v>1.1368E-4</v>
      </c>
      <c r="F2038" s="25">
        <v>1.0007E-4</v>
      </c>
      <c r="G2038" s="25">
        <v>1.5918E-4</v>
      </c>
      <c r="H2038" s="25">
        <v>1.9059E-4</v>
      </c>
      <c r="I2038" s="9">
        <v>1.2559E-4</v>
      </c>
      <c r="J2038" s="9">
        <v>1.2339E-4</v>
      </c>
      <c r="K2038" s="9">
        <v>5.5109999999999999E-5</v>
      </c>
      <c r="L2038" s="9">
        <v>2.0945999999999999E-4</v>
      </c>
      <c r="M2038" s="9">
        <v>1.6003E-4</v>
      </c>
      <c r="N2038" s="9">
        <v>1.3943000000000001E-4</v>
      </c>
      <c r="O2038" s="9">
        <v>2.0510999999999999E-4</v>
      </c>
      <c r="P2038" s="9">
        <v>1.6039E-4</v>
      </c>
      <c r="Q2038" s="9">
        <v>1.1768E-4</v>
      </c>
      <c r="R2038" s="10">
        <v>1.9382291723961636E-4</v>
      </c>
      <c r="S2038" s="10">
        <v>1.840126783665829E-4</v>
      </c>
      <c r="T2038" s="10">
        <v>8.0600843826353906E-7</v>
      </c>
      <c r="U2038" s="10">
        <v>1.4076E-4</v>
      </c>
      <c r="V2038" s="25"/>
      <c r="W2038" s="25"/>
      <c r="X2038" s="25"/>
      <c r="Y2038" s="25"/>
      <c r="Z2038" s="25"/>
      <c r="AA2038" s="25"/>
    </row>
    <row r="2039" spans="1:27" x14ac:dyDescent="0.35">
      <c r="A2039" s="5">
        <v>2035</v>
      </c>
      <c r="B2039" s="5">
        <v>85</v>
      </c>
      <c r="C2039" s="5">
        <v>3</v>
      </c>
      <c r="D2039" s="25">
        <v>1.1416E-4</v>
      </c>
      <c r="E2039" s="25">
        <v>1.1658999999999999E-4</v>
      </c>
      <c r="F2039" s="25">
        <v>1.0361000000000001E-4</v>
      </c>
      <c r="G2039" s="25">
        <v>1.1218999999999999E-4</v>
      </c>
      <c r="H2039" s="25">
        <v>1.3091000000000001E-4</v>
      </c>
      <c r="I2039" s="9">
        <v>1.2449E-4</v>
      </c>
      <c r="J2039" s="9">
        <v>1.2082999999999999E-4</v>
      </c>
      <c r="K2039" s="9">
        <v>7.2059999999999998E-5</v>
      </c>
      <c r="L2039" s="9">
        <v>2.0567E-4</v>
      </c>
      <c r="M2039" s="9">
        <v>1.5965E-4</v>
      </c>
      <c r="N2039" s="9">
        <v>1.303E-4</v>
      </c>
      <c r="O2039" s="9">
        <v>1.6474999999999999E-4</v>
      </c>
      <c r="P2039" s="9">
        <v>1.3537E-4</v>
      </c>
      <c r="Q2039" s="9">
        <v>1.0744E-4</v>
      </c>
      <c r="R2039" s="10">
        <v>1.9181134773441888E-4</v>
      </c>
      <c r="S2039" s="10">
        <v>1.8289637183987279E-4</v>
      </c>
      <c r="T2039" s="10">
        <v>0</v>
      </c>
      <c r="U2039" s="10">
        <v>1.4076E-4</v>
      </c>
      <c r="V2039" s="25"/>
      <c r="W2039" s="25"/>
      <c r="X2039" s="25"/>
      <c r="Y2039" s="25"/>
      <c r="Z2039" s="25"/>
      <c r="AA2039" s="25"/>
    </row>
    <row r="2040" spans="1:27" x14ac:dyDescent="0.35">
      <c r="A2040" s="5">
        <v>2036</v>
      </c>
      <c r="B2040" s="5">
        <v>85</v>
      </c>
      <c r="C2040" s="5">
        <v>3</v>
      </c>
      <c r="D2040" s="25">
        <v>1.1415000000000001E-4</v>
      </c>
      <c r="E2040" s="25">
        <v>1.1929E-4</v>
      </c>
      <c r="F2040" s="25">
        <v>1.0493E-4</v>
      </c>
      <c r="G2040" s="25">
        <v>1.0991E-4</v>
      </c>
      <c r="H2040" s="25">
        <v>1.2860000000000001E-4</v>
      </c>
      <c r="I2040" s="9">
        <v>1.2750000000000001E-4</v>
      </c>
      <c r="J2040" s="9">
        <v>1.2370999999999999E-4</v>
      </c>
      <c r="K2040" s="9">
        <v>7.4179999999999998E-5</v>
      </c>
      <c r="L2040" s="9">
        <v>1.7393000000000001E-4</v>
      </c>
      <c r="M2040" s="9">
        <v>1.5096E-4</v>
      </c>
      <c r="N2040" s="9">
        <v>1.2119E-4</v>
      </c>
      <c r="O2040" s="9">
        <v>1.2748999999999999E-4</v>
      </c>
      <c r="P2040" s="9">
        <v>1.1373E-4</v>
      </c>
      <c r="Q2040" s="9">
        <v>1.0088E-4</v>
      </c>
      <c r="R2040" s="10">
        <v>1.8770449862886882E-4</v>
      </c>
      <c r="S2040" s="10">
        <v>1.6368675010955001E-4</v>
      </c>
      <c r="T2040" s="10">
        <v>0</v>
      </c>
      <c r="U2040" s="10">
        <v>1.4076E-4</v>
      </c>
      <c r="V2040" s="25"/>
      <c r="W2040" s="25"/>
      <c r="X2040" s="25"/>
      <c r="Y2040" s="25"/>
      <c r="Z2040" s="25"/>
      <c r="AA2040" s="25"/>
    </row>
    <row r="2041" spans="1:27" x14ac:dyDescent="0.35">
      <c r="A2041" s="5">
        <v>2037</v>
      </c>
      <c r="B2041" s="5">
        <v>85</v>
      </c>
      <c r="C2041" s="5">
        <v>3</v>
      </c>
      <c r="D2041" s="25">
        <v>1.1416E-4</v>
      </c>
      <c r="E2041" s="25">
        <v>1.1675000000000001E-4</v>
      </c>
      <c r="F2041" s="25">
        <v>1.0541E-4</v>
      </c>
      <c r="G2041" s="25">
        <v>5.5319999999999999E-5</v>
      </c>
      <c r="H2041" s="25">
        <v>7.3219999999999994E-5</v>
      </c>
      <c r="I2041" s="9">
        <v>1.2570999999999999E-4</v>
      </c>
      <c r="J2041" s="9">
        <v>1.2070000000000001E-4</v>
      </c>
      <c r="K2041" s="9">
        <v>8.6899999999999998E-5</v>
      </c>
      <c r="L2041" s="9">
        <v>1.3868999999999999E-4</v>
      </c>
      <c r="M2041" s="9">
        <v>1.3512999999999999E-4</v>
      </c>
      <c r="N2041" s="9">
        <v>1.1322E-4</v>
      </c>
      <c r="O2041" s="9">
        <v>8.5329999999999998E-5</v>
      </c>
      <c r="P2041" s="9">
        <v>8.6990000000000006E-5</v>
      </c>
      <c r="Q2041" s="9">
        <v>8.8999999999999995E-5</v>
      </c>
      <c r="R2041" s="10">
        <v>1.7953576678544998E-4</v>
      </c>
      <c r="S2041" s="10">
        <v>1.3747186350115013E-4</v>
      </c>
      <c r="T2041" s="10">
        <v>0</v>
      </c>
      <c r="U2041" s="10">
        <v>1.4076E-4</v>
      </c>
      <c r="V2041" s="25"/>
      <c r="W2041" s="25"/>
      <c r="X2041" s="25"/>
      <c r="Y2041" s="25"/>
      <c r="Z2041" s="25"/>
      <c r="AA2041" s="25"/>
    </row>
    <row r="2042" spans="1:27" x14ac:dyDescent="0.35">
      <c r="A2042" s="5">
        <v>2038</v>
      </c>
      <c r="B2042" s="5">
        <v>85</v>
      </c>
      <c r="C2042" s="5">
        <v>3</v>
      </c>
      <c r="D2042" s="25">
        <v>1.1415000000000001E-4</v>
      </c>
      <c r="E2042" s="25">
        <v>1.1827E-4</v>
      </c>
      <c r="F2042" s="25">
        <v>1.0496E-4</v>
      </c>
      <c r="G2042" s="25">
        <v>5.236E-5</v>
      </c>
      <c r="H2042" s="25">
        <v>7.2290000000000001E-5</v>
      </c>
      <c r="I2042" s="9">
        <v>1.2051E-4</v>
      </c>
      <c r="J2042" s="9">
        <v>1.1459999999999999E-4</v>
      </c>
      <c r="K2042" s="9">
        <v>9.3259999999999998E-5</v>
      </c>
      <c r="L2042" s="9">
        <v>9.802E-5</v>
      </c>
      <c r="M2042" s="9">
        <v>1.1372E-4</v>
      </c>
      <c r="N2042" s="9">
        <v>1.0571E-4</v>
      </c>
      <c r="O2042" s="9">
        <v>8.6829999999999994E-5</v>
      </c>
      <c r="P2042" s="9">
        <v>8.708E-5</v>
      </c>
      <c r="Q2042" s="9">
        <v>8.7719999999999994E-5</v>
      </c>
      <c r="R2042" s="10">
        <v>1.767880351772134E-4</v>
      </c>
      <c r="S2042" s="10">
        <v>1.2221424654187184E-4</v>
      </c>
      <c r="T2042" s="10">
        <v>0</v>
      </c>
      <c r="U2042" s="10">
        <v>1.4076E-4</v>
      </c>
      <c r="V2042" s="25"/>
      <c r="W2042" s="25"/>
      <c r="X2042" s="25"/>
      <c r="Y2042" s="25"/>
      <c r="Z2042" s="25"/>
      <c r="AA2042" s="25"/>
    </row>
    <row r="2043" spans="1:27" x14ac:dyDescent="0.35">
      <c r="A2043" s="5">
        <v>2039</v>
      </c>
      <c r="B2043" s="5">
        <v>85</v>
      </c>
      <c r="C2043" s="5">
        <v>3</v>
      </c>
      <c r="D2043" s="25">
        <v>1.1416E-4</v>
      </c>
      <c r="E2043" s="25">
        <v>1.1122E-4</v>
      </c>
      <c r="F2043" s="25">
        <v>1.0259000000000001E-4</v>
      </c>
      <c r="G2043" s="25">
        <v>5.8690000000000002E-5</v>
      </c>
      <c r="H2043" s="25">
        <v>6.97E-5</v>
      </c>
      <c r="I2043" s="9">
        <v>1.2219999999999999E-4</v>
      </c>
      <c r="J2043" s="9">
        <v>1.0698E-4</v>
      </c>
      <c r="K2043" s="9">
        <v>9.9610000000000003E-5</v>
      </c>
      <c r="L2043" s="9">
        <v>9.0199999999999997E-5</v>
      </c>
      <c r="M2043" s="9">
        <v>9.8900000000000005E-5</v>
      </c>
      <c r="N2043" s="9">
        <v>9.9749999999999999E-5</v>
      </c>
      <c r="O2043" s="9">
        <v>7.7899999999999996E-5</v>
      </c>
      <c r="P2043" s="9">
        <v>7.2230000000000005E-5</v>
      </c>
      <c r="Q2043" s="9">
        <v>6.6970000000000004E-5</v>
      </c>
      <c r="R2043" s="10">
        <v>1.7727908249370471E-4</v>
      </c>
      <c r="S2043" s="10">
        <v>1.2228923901864047E-4</v>
      </c>
      <c r="T2043" s="10">
        <v>0</v>
      </c>
      <c r="U2043" s="10">
        <v>1.4076E-4</v>
      </c>
      <c r="V2043" s="25"/>
      <c r="W2043" s="25"/>
      <c r="X2043" s="25"/>
      <c r="Y2043" s="25"/>
      <c r="Z2043" s="25"/>
      <c r="AA2043" s="25"/>
    </row>
    <row r="2044" spans="1:27" x14ac:dyDescent="0.35">
      <c r="A2044" s="5">
        <v>2040</v>
      </c>
      <c r="B2044" s="5">
        <v>85</v>
      </c>
      <c r="C2044" s="5">
        <v>3</v>
      </c>
      <c r="D2044" s="25">
        <v>1.1415000000000001E-4</v>
      </c>
      <c r="E2044" s="25">
        <v>1.188E-4</v>
      </c>
      <c r="F2044" s="25">
        <v>1.0828999999999999E-4</v>
      </c>
      <c r="G2044" s="25">
        <v>6.2739999999999999E-5</v>
      </c>
      <c r="H2044" s="25">
        <v>7.0519999999999996E-5</v>
      </c>
      <c r="I2044" s="9">
        <v>1.219E-4</v>
      </c>
      <c r="J2044" s="9">
        <v>1.0056E-4</v>
      </c>
      <c r="K2044" s="9">
        <v>1.0385E-4</v>
      </c>
      <c r="L2044" s="9">
        <v>8.0599999999999994E-5</v>
      </c>
      <c r="M2044" s="9">
        <v>8.6030000000000001E-5</v>
      </c>
      <c r="N2044" s="9">
        <v>9.0489999999999996E-5</v>
      </c>
      <c r="O2044" s="9">
        <v>6.3230000000000003E-5</v>
      </c>
      <c r="P2044" s="9">
        <v>6.1149999999999996E-5</v>
      </c>
      <c r="Q2044" s="9">
        <v>5.9320000000000001E-5</v>
      </c>
      <c r="R2044" s="10">
        <v>1.9343478416442307E-4</v>
      </c>
      <c r="S2044" s="10">
        <v>1.2536894524249346E-4</v>
      </c>
      <c r="T2044" s="10">
        <v>0</v>
      </c>
      <c r="U2044" s="10">
        <v>1.4076E-4</v>
      </c>
      <c r="V2044" s="25"/>
      <c r="W2044" s="25"/>
      <c r="X2044" s="25"/>
      <c r="Y2044" s="25"/>
      <c r="Z2044" s="25"/>
      <c r="AA2044" s="25"/>
    </row>
    <row r="2045" spans="1:27" x14ac:dyDescent="0.35">
      <c r="A2045" s="5">
        <v>2041</v>
      </c>
      <c r="B2045" s="5">
        <v>86</v>
      </c>
      <c r="C2045" s="5">
        <v>3</v>
      </c>
      <c r="D2045" s="25">
        <v>1.1416E-4</v>
      </c>
      <c r="E2045" s="25">
        <v>1.1061999999999999E-4</v>
      </c>
      <c r="F2045" s="25">
        <v>1.1620000000000001E-4</v>
      </c>
      <c r="G2045" s="25">
        <v>5.5359999999999999E-5</v>
      </c>
      <c r="H2045" s="25">
        <v>6.5959999999999999E-5</v>
      </c>
      <c r="I2045" s="9">
        <v>1.142E-4</v>
      </c>
      <c r="J2045" s="9">
        <v>9.3620000000000002E-5</v>
      </c>
      <c r="K2045" s="9">
        <v>1.1868E-4</v>
      </c>
      <c r="L2045" s="9">
        <v>6.7050000000000003E-5</v>
      </c>
      <c r="M2045" s="9">
        <v>7.4120000000000002E-5</v>
      </c>
      <c r="N2045" s="9">
        <v>8.1180000000000005E-5</v>
      </c>
      <c r="O2045" s="9">
        <v>5.4910000000000001E-5</v>
      </c>
      <c r="P2045" s="9">
        <v>5.4330000000000003E-5</v>
      </c>
      <c r="Q2045" s="9">
        <v>5.3900000000000002E-5</v>
      </c>
      <c r="R2045" s="10">
        <v>2.005616651487356E-4</v>
      </c>
      <c r="S2045" s="10">
        <v>1.3041858039026675E-4</v>
      </c>
      <c r="T2045" s="10">
        <v>0</v>
      </c>
      <c r="U2045" s="10">
        <v>1.3936999999999999E-4</v>
      </c>
      <c r="V2045" s="25"/>
      <c r="W2045" s="25"/>
      <c r="X2045" s="25"/>
      <c r="Y2045" s="25"/>
      <c r="Z2045" s="25"/>
      <c r="AA2045" s="25"/>
    </row>
    <row r="2046" spans="1:27" x14ac:dyDescent="0.35">
      <c r="A2046" s="5">
        <v>2042</v>
      </c>
      <c r="B2046" s="5">
        <v>86</v>
      </c>
      <c r="C2046" s="5">
        <v>3</v>
      </c>
      <c r="D2046" s="25">
        <v>1.1415000000000001E-4</v>
      </c>
      <c r="E2046" s="25">
        <v>1.1171999999999999E-4</v>
      </c>
      <c r="F2046" s="25">
        <v>1.1742E-4</v>
      </c>
      <c r="G2046" s="25">
        <v>6.0260000000000002E-5</v>
      </c>
      <c r="H2046" s="25">
        <v>6.8759999999999999E-5</v>
      </c>
      <c r="I2046" s="9">
        <v>1.0751000000000001E-4</v>
      </c>
      <c r="J2046" s="9">
        <v>8.8549999999999998E-5</v>
      </c>
      <c r="K2046" s="9">
        <v>1.3988E-4</v>
      </c>
      <c r="L2046" s="9">
        <v>5.7949999999999999E-5</v>
      </c>
      <c r="M2046" s="9">
        <v>6.4170000000000004E-5</v>
      </c>
      <c r="N2046" s="9">
        <v>7.2210000000000002E-5</v>
      </c>
      <c r="O2046" s="9">
        <v>1.91E-5</v>
      </c>
      <c r="P2046" s="9">
        <v>3.8139999999999997E-5</v>
      </c>
      <c r="Q2046" s="9">
        <v>5.6759999999999999E-5</v>
      </c>
      <c r="R2046" s="10">
        <v>1.9823467468785367E-4</v>
      </c>
      <c r="S2046" s="10">
        <v>1.3592009697937927E-4</v>
      </c>
      <c r="T2046" s="10">
        <v>0</v>
      </c>
      <c r="U2046" s="10">
        <v>1.3936999999999999E-4</v>
      </c>
      <c r="V2046" s="25"/>
      <c r="W2046" s="25"/>
      <c r="X2046" s="25"/>
      <c r="Y2046" s="25"/>
      <c r="Z2046" s="25"/>
      <c r="AA2046" s="25"/>
    </row>
    <row r="2047" spans="1:27" x14ac:dyDescent="0.35">
      <c r="A2047" s="5">
        <v>2043</v>
      </c>
      <c r="B2047" s="5">
        <v>86</v>
      </c>
      <c r="C2047" s="5">
        <v>3</v>
      </c>
      <c r="D2047" s="25">
        <v>1.1416E-4</v>
      </c>
      <c r="E2047" s="25">
        <v>1.1327E-4</v>
      </c>
      <c r="F2047" s="25">
        <v>1.1981000000000001E-4</v>
      </c>
      <c r="G2047" s="25">
        <v>5.2800000000000003E-5</v>
      </c>
      <c r="H2047" s="25">
        <v>6.3419999999999999E-5</v>
      </c>
      <c r="I2047" s="9">
        <v>1.0325E-4</v>
      </c>
      <c r="J2047" s="9">
        <v>8.8809999999999998E-5</v>
      </c>
      <c r="K2047" s="9">
        <v>1.3352000000000001E-4</v>
      </c>
      <c r="L2047" s="9">
        <v>2.7849999999999999E-5</v>
      </c>
      <c r="M2047" s="9">
        <v>5.2540000000000002E-5</v>
      </c>
      <c r="N2047" s="9">
        <v>6.5759999999999994E-5</v>
      </c>
      <c r="O2047" s="9">
        <v>1.3370000000000001E-5</v>
      </c>
      <c r="P2047" s="9">
        <v>3.7599999999999999E-5</v>
      </c>
      <c r="Q2047" s="9">
        <v>6.1279999999999996E-5</v>
      </c>
      <c r="R2047" s="10">
        <v>1.9321446399269874E-4</v>
      </c>
      <c r="S2047" s="10">
        <v>1.4207240382861479E-4</v>
      </c>
      <c r="T2047" s="10">
        <v>0</v>
      </c>
      <c r="U2047" s="10">
        <v>1.3936999999999999E-4</v>
      </c>
      <c r="V2047" s="25"/>
      <c r="W2047" s="25"/>
      <c r="X2047" s="25"/>
      <c r="Y2047" s="25"/>
      <c r="Z2047" s="25"/>
      <c r="AA2047" s="25"/>
    </row>
    <row r="2048" spans="1:27" x14ac:dyDescent="0.35">
      <c r="A2048" s="5">
        <v>2044</v>
      </c>
      <c r="B2048" s="5">
        <v>86</v>
      </c>
      <c r="C2048" s="5">
        <v>3</v>
      </c>
      <c r="D2048" s="25">
        <v>1.1415000000000001E-4</v>
      </c>
      <c r="E2048" s="25">
        <v>1.0628000000000001E-4</v>
      </c>
      <c r="F2048" s="25">
        <v>1.0645E-4</v>
      </c>
      <c r="G2048" s="25">
        <v>5.4089999999999999E-5</v>
      </c>
      <c r="H2048" s="25">
        <v>6.7119999999999994E-5</v>
      </c>
      <c r="I2048" s="9">
        <v>1.0097E-4</v>
      </c>
      <c r="J2048" s="9">
        <v>9.0859999999999994E-5</v>
      </c>
      <c r="K2048" s="9">
        <v>1.2505E-4</v>
      </c>
      <c r="L2048" s="9">
        <v>1.73E-5</v>
      </c>
      <c r="M2048" s="9">
        <v>4.4369999999999997E-5</v>
      </c>
      <c r="N2048" s="9">
        <v>6.211E-5</v>
      </c>
      <c r="O2048" s="9">
        <v>1.332E-5</v>
      </c>
      <c r="P2048" s="9">
        <v>4.6810000000000001E-5</v>
      </c>
      <c r="Q2048" s="9">
        <v>7.9610000000000005E-5</v>
      </c>
      <c r="R2048" s="10">
        <v>1.9678623577020244E-4</v>
      </c>
      <c r="S2048" s="10">
        <v>1.5248741098339682E-4</v>
      </c>
      <c r="T2048" s="10">
        <v>0</v>
      </c>
      <c r="U2048" s="10">
        <v>1.3936999999999999E-4</v>
      </c>
      <c r="V2048" s="25"/>
      <c r="W2048" s="25"/>
      <c r="X2048" s="25"/>
      <c r="Y2048" s="25"/>
      <c r="Z2048" s="25"/>
      <c r="AA2048" s="25"/>
    </row>
    <row r="2049" spans="1:27" x14ac:dyDescent="0.35">
      <c r="A2049" s="5">
        <v>2045</v>
      </c>
      <c r="B2049" s="5">
        <v>86</v>
      </c>
      <c r="C2049" s="5">
        <v>3</v>
      </c>
      <c r="D2049" s="25">
        <v>1.1416E-4</v>
      </c>
      <c r="E2049" s="25">
        <v>1.1383999999999999E-4</v>
      </c>
      <c r="F2049" s="25">
        <v>1.1666E-4</v>
      </c>
      <c r="G2049" s="25">
        <v>6.2970000000000002E-5</v>
      </c>
      <c r="H2049" s="25">
        <v>6.9960000000000001E-5</v>
      </c>
      <c r="I2049" s="9">
        <v>9.9720000000000001E-5</v>
      </c>
      <c r="J2049" s="9">
        <v>9.0829999999999996E-5</v>
      </c>
      <c r="K2049" s="9">
        <v>1.3776000000000001E-4</v>
      </c>
      <c r="L2049" s="9">
        <v>1.4440000000000001E-5</v>
      </c>
      <c r="M2049" s="9">
        <v>4.3409999999999999E-5</v>
      </c>
      <c r="N2049" s="9">
        <v>6.4449999999999994E-5</v>
      </c>
      <c r="O2049" s="9">
        <v>1.8859999999999999E-5</v>
      </c>
      <c r="P2049" s="9">
        <v>5.6499999999999998E-5</v>
      </c>
      <c r="Q2049" s="9">
        <v>9.3430000000000005E-5</v>
      </c>
      <c r="R2049" s="10">
        <v>2.026948214093678E-4</v>
      </c>
      <c r="S2049" s="10">
        <v>1.6313966882078402E-4</v>
      </c>
      <c r="T2049" s="10">
        <v>0</v>
      </c>
      <c r="U2049" s="10">
        <v>1.3936999999999999E-4</v>
      </c>
      <c r="V2049" s="25"/>
      <c r="W2049" s="25"/>
      <c r="X2049" s="25"/>
      <c r="Y2049" s="25"/>
      <c r="Z2049" s="25"/>
      <c r="AA2049" s="25"/>
    </row>
    <row r="2050" spans="1:27" x14ac:dyDescent="0.35">
      <c r="A2050" s="5">
        <v>2046</v>
      </c>
      <c r="B2050" s="5">
        <v>86</v>
      </c>
      <c r="C2050" s="5">
        <v>3</v>
      </c>
      <c r="D2050" s="25">
        <v>1.1415000000000001E-4</v>
      </c>
      <c r="E2050" s="25">
        <v>1.076E-4</v>
      </c>
      <c r="F2050" s="25">
        <v>1.1749E-4</v>
      </c>
      <c r="G2050" s="25">
        <v>1.0805E-4</v>
      </c>
      <c r="H2050" s="25">
        <v>1.2695999999999999E-4</v>
      </c>
      <c r="I2050" s="9">
        <v>1.0026000000000001E-4</v>
      </c>
      <c r="J2050" s="9">
        <v>9.1760000000000002E-5</v>
      </c>
      <c r="K2050" s="9">
        <v>1.4624000000000001E-4</v>
      </c>
      <c r="L2050" s="9">
        <v>1.7759999999999999E-5</v>
      </c>
      <c r="M2050" s="9">
        <v>4.8220000000000002E-5</v>
      </c>
      <c r="N2050" s="9">
        <v>7.0909999999999997E-5</v>
      </c>
      <c r="O2050" s="9">
        <v>4.6180000000000002E-5</v>
      </c>
      <c r="P2050" s="9">
        <v>7.6660000000000001E-5</v>
      </c>
      <c r="Q2050" s="9">
        <v>1.0675000000000001E-4</v>
      </c>
      <c r="R2050" s="10">
        <v>2.0580490211720109E-4</v>
      </c>
      <c r="S2050" s="10">
        <v>1.7363914612503266E-4</v>
      </c>
      <c r="T2050" s="10">
        <v>0</v>
      </c>
      <c r="U2050" s="10">
        <v>1.3936999999999999E-4</v>
      </c>
      <c r="V2050" s="25"/>
      <c r="W2050" s="25"/>
      <c r="X2050" s="25"/>
      <c r="Y2050" s="25"/>
      <c r="Z2050" s="25"/>
      <c r="AA2050" s="25"/>
    </row>
    <row r="2051" spans="1:27" x14ac:dyDescent="0.35">
      <c r="A2051" s="5">
        <v>2047</v>
      </c>
      <c r="B2051" s="5">
        <v>86</v>
      </c>
      <c r="C2051" s="5">
        <v>3</v>
      </c>
      <c r="D2051" s="25">
        <v>1.1416E-4</v>
      </c>
      <c r="E2051" s="25">
        <v>1.1035999999999999E-4</v>
      </c>
      <c r="F2051" s="25">
        <v>9.959E-5</v>
      </c>
      <c r="G2051" s="25">
        <v>1.1442000000000001E-4</v>
      </c>
      <c r="H2051" s="25">
        <v>1.2725E-4</v>
      </c>
      <c r="I2051" s="9">
        <v>1.0083E-4</v>
      </c>
      <c r="J2051" s="9">
        <v>9.3999999999999994E-5</v>
      </c>
      <c r="K2051" s="9">
        <v>1.2081E-4</v>
      </c>
      <c r="L2051" s="9">
        <v>3.9789999999999997E-5</v>
      </c>
      <c r="M2051" s="9">
        <v>5.9830000000000001E-5</v>
      </c>
      <c r="N2051" s="9">
        <v>8.0530000000000003E-5</v>
      </c>
      <c r="O2051" s="9">
        <v>1.2203E-4</v>
      </c>
      <c r="P2051" s="9">
        <v>1.1637999999999999E-4</v>
      </c>
      <c r="Q2051" s="9">
        <v>1.1148E-4</v>
      </c>
      <c r="R2051" s="10">
        <v>2.0688753290517298E-4</v>
      </c>
      <c r="S2051" s="10">
        <v>1.7891260075898063E-4</v>
      </c>
      <c r="T2051" s="10">
        <v>2.3255464518740639E-5</v>
      </c>
      <c r="U2051" s="10">
        <v>1.3936999999999999E-4</v>
      </c>
      <c r="V2051" s="25"/>
      <c r="W2051" s="25"/>
      <c r="X2051" s="25"/>
      <c r="Y2051" s="25"/>
      <c r="Z2051" s="25"/>
      <c r="AA2051" s="25"/>
    </row>
    <row r="2052" spans="1:27" x14ac:dyDescent="0.35">
      <c r="A2052" s="5">
        <v>2048</v>
      </c>
      <c r="B2052" s="5">
        <v>86</v>
      </c>
      <c r="C2052" s="5">
        <v>3</v>
      </c>
      <c r="D2052" s="25">
        <v>1.1415000000000001E-4</v>
      </c>
      <c r="E2052" s="25">
        <v>1.159E-4</v>
      </c>
      <c r="F2052" s="25">
        <v>1.2046E-4</v>
      </c>
      <c r="G2052" s="25">
        <v>1.6534000000000001E-4</v>
      </c>
      <c r="H2052" s="25">
        <v>1.9526999999999999E-4</v>
      </c>
      <c r="I2052" s="9">
        <v>1.0166999999999999E-4</v>
      </c>
      <c r="J2052" s="9">
        <v>9.467E-5</v>
      </c>
      <c r="K2052" s="9">
        <v>8.4779999999999998E-5</v>
      </c>
      <c r="L2052" s="9">
        <v>1.0331999999999999E-4</v>
      </c>
      <c r="M2052" s="9">
        <v>8.3189999999999995E-5</v>
      </c>
      <c r="N2052" s="9">
        <v>9.0400000000000002E-5</v>
      </c>
      <c r="O2052" s="9">
        <v>2.1797E-4</v>
      </c>
      <c r="P2052" s="9">
        <v>1.7589999999999999E-4</v>
      </c>
      <c r="Q2052" s="9">
        <v>1.3588000000000001E-4</v>
      </c>
      <c r="R2052" s="10">
        <v>2.096990391828077E-4</v>
      </c>
      <c r="S2052" s="10">
        <v>1.7939039704674409E-4</v>
      </c>
      <c r="T2052" s="10">
        <v>1.2310718357056791E-4</v>
      </c>
      <c r="U2052" s="10">
        <v>1.3936999999999999E-4</v>
      </c>
      <c r="V2052" s="25"/>
      <c r="W2052" s="25"/>
      <c r="X2052" s="25"/>
      <c r="Y2052" s="25"/>
      <c r="Z2052" s="25"/>
      <c r="AA2052" s="25"/>
    </row>
    <row r="2053" spans="1:27" x14ac:dyDescent="0.35">
      <c r="A2053" s="5">
        <v>2049</v>
      </c>
      <c r="B2053" s="5">
        <v>86</v>
      </c>
      <c r="C2053" s="5">
        <v>3</v>
      </c>
      <c r="D2053" s="25">
        <v>1.1416E-4</v>
      </c>
      <c r="E2053" s="25">
        <v>1.1067E-4</v>
      </c>
      <c r="F2053" s="25">
        <v>1.1234E-4</v>
      </c>
      <c r="G2053" s="25">
        <v>1.6721999999999999E-4</v>
      </c>
      <c r="H2053" s="25">
        <v>1.9008999999999999E-4</v>
      </c>
      <c r="I2053" s="9">
        <v>1.0796E-4</v>
      </c>
      <c r="J2053" s="9">
        <v>9.9339999999999994E-5</v>
      </c>
      <c r="K2053" s="9">
        <v>7.2059999999999998E-5</v>
      </c>
      <c r="L2053" s="9">
        <v>1.9101E-4</v>
      </c>
      <c r="M2053" s="9">
        <v>1.2259E-4</v>
      </c>
      <c r="N2053" s="9">
        <v>1.0401E-4</v>
      </c>
      <c r="O2053" s="9">
        <v>2.1065E-4</v>
      </c>
      <c r="P2053" s="9">
        <v>1.928E-4</v>
      </c>
      <c r="Q2053" s="9">
        <v>1.7657E-4</v>
      </c>
      <c r="R2053" s="10">
        <v>2.1055290630072696E-4</v>
      </c>
      <c r="S2053" s="10">
        <v>1.726137795175578E-4</v>
      </c>
      <c r="T2053" s="10">
        <v>1.711368021917247E-4</v>
      </c>
      <c r="U2053" s="10">
        <v>1.3936999999999999E-4</v>
      </c>
      <c r="V2053" s="25"/>
      <c r="W2053" s="25"/>
      <c r="X2053" s="25"/>
      <c r="Y2053" s="25"/>
      <c r="Z2053" s="25"/>
      <c r="AA2053" s="25"/>
    </row>
    <row r="2054" spans="1:27" x14ac:dyDescent="0.35">
      <c r="A2054" s="5">
        <v>2050</v>
      </c>
      <c r="B2054" s="5">
        <v>86</v>
      </c>
      <c r="C2054" s="5">
        <v>3</v>
      </c>
      <c r="D2054" s="25">
        <v>1.1415000000000001E-4</v>
      </c>
      <c r="E2054" s="25">
        <v>1.131E-4</v>
      </c>
      <c r="F2054" s="25">
        <v>1.1229E-4</v>
      </c>
      <c r="G2054" s="25">
        <v>1.5668999999999999E-4</v>
      </c>
      <c r="H2054" s="25">
        <v>1.908E-4</v>
      </c>
      <c r="I2054" s="9">
        <v>1.1351E-4</v>
      </c>
      <c r="J2054" s="9">
        <v>1.0292E-4</v>
      </c>
      <c r="K2054" s="9">
        <v>4.0269999999999999E-5</v>
      </c>
      <c r="L2054" s="9">
        <v>2.0403000000000001E-4</v>
      </c>
      <c r="M2054" s="9">
        <v>1.5786000000000001E-4</v>
      </c>
      <c r="N2054" s="9">
        <v>1.2404000000000001E-4</v>
      </c>
      <c r="O2054" s="9">
        <v>1.6532999999999999E-4</v>
      </c>
      <c r="P2054" s="9">
        <v>1.7236000000000001E-4</v>
      </c>
      <c r="Q2054" s="9">
        <v>1.8029E-4</v>
      </c>
      <c r="R2054" s="10">
        <v>2.0973677143913601E-4</v>
      </c>
      <c r="S2054" s="10">
        <v>1.5697914895620348E-4</v>
      </c>
      <c r="T2054" s="10">
        <v>1.0132798713875209E-4</v>
      </c>
      <c r="U2054" s="10">
        <v>1.3936999999999999E-4</v>
      </c>
      <c r="V2054" s="25"/>
      <c r="W2054" s="25"/>
      <c r="X2054" s="25"/>
      <c r="Y2054" s="25"/>
      <c r="Z2054" s="25"/>
      <c r="AA2054" s="25"/>
    </row>
    <row r="2055" spans="1:27" x14ac:dyDescent="0.35">
      <c r="A2055" s="5">
        <v>2051</v>
      </c>
      <c r="B2055" s="5">
        <v>86</v>
      </c>
      <c r="C2055" s="5">
        <v>3</v>
      </c>
      <c r="D2055" s="25">
        <v>1.1416E-4</v>
      </c>
      <c r="E2055" s="25">
        <v>1.1526E-4</v>
      </c>
      <c r="F2055" s="25">
        <v>1.1284E-4</v>
      </c>
      <c r="G2055" s="25">
        <v>1.5658E-4</v>
      </c>
      <c r="H2055" s="25">
        <v>1.9076999999999999E-4</v>
      </c>
      <c r="I2055" s="9">
        <v>1.1503E-4</v>
      </c>
      <c r="J2055" s="9">
        <v>1.0765E-4</v>
      </c>
      <c r="K2055" s="9">
        <v>2.3309999999999999E-5</v>
      </c>
      <c r="L2055" s="9">
        <v>1.7389E-4</v>
      </c>
      <c r="M2055" s="9">
        <v>1.7127000000000001E-4</v>
      </c>
      <c r="N2055" s="9">
        <v>1.4181E-4</v>
      </c>
      <c r="O2055" s="9">
        <v>1.6619000000000001E-4</v>
      </c>
      <c r="P2055" s="9">
        <v>1.7191999999999999E-4</v>
      </c>
      <c r="Q2055" s="9">
        <v>1.7856E-4</v>
      </c>
      <c r="R2055" s="10">
        <v>2.09856880327993E-4</v>
      </c>
      <c r="S2055" s="10">
        <v>1.3981749854085783E-4</v>
      </c>
      <c r="T2055" s="10">
        <v>2.7989703556120159E-4</v>
      </c>
      <c r="U2055" s="10">
        <v>1.3936999999999999E-4</v>
      </c>
      <c r="V2055" s="25"/>
      <c r="W2055" s="25"/>
      <c r="X2055" s="25"/>
      <c r="Y2055" s="25"/>
      <c r="Z2055" s="25"/>
      <c r="AA2055" s="25"/>
    </row>
    <row r="2056" spans="1:27" x14ac:dyDescent="0.35">
      <c r="A2056" s="5">
        <v>2052</v>
      </c>
      <c r="B2056" s="5">
        <v>86</v>
      </c>
      <c r="C2056" s="5">
        <v>3</v>
      </c>
      <c r="D2056" s="25">
        <v>1.1415000000000001E-4</v>
      </c>
      <c r="E2056" s="25">
        <v>1.0944E-4</v>
      </c>
      <c r="F2056" s="25">
        <v>1.0757E-4</v>
      </c>
      <c r="G2056" s="25">
        <v>1.5824E-4</v>
      </c>
      <c r="H2056" s="25">
        <v>2.0006000000000001E-4</v>
      </c>
      <c r="I2056" s="9">
        <v>1.1508E-4</v>
      </c>
      <c r="J2056" s="9">
        <v>1.0898E-4</v>
      </c>
      <c r="K2056" s="9">
        <v>2.1299999999999999E-6</v>
      </c>
      <c r="L2056" s="9">
        <v>1.6932000000000001E-4</v>
      </c>
      <c r="M2056" s="9">
        <v>1.7373000000000001E-4</v>
      </c>
      <c r="N2056" s="9">
        <v>1.5582000000000001E-4</v>
      </c>
      <c r="O2056" s="9">
        <v>1.6813E-4</v>
      </c>
      <c r="P2056" s="9">
        <v>1.6977999999999999E-4</v>
      </c>
      <c r="Q2056" s="9">
        <v>1.7242000000000001E-4</v>
      </c>
      <c r="R2056" s="10">
        <v>2.0882844722470281E-4</v>
      </c>
      <c r="S2056" s="10">
        <v>1.255055349324166E-4</v>
      </c>
      <c r="T2056" s="10">
        <v>9.7510052431187952E-5</v>
      </c>
      <c r="U2056" s="10">
        <v>1.3936999999999999E-4</v>
      </c>
      <c r="V2056" s="25"/>
      <c r="W2056" s="25"/>
      <c r="X2056" s="25"/>
      <c r="Y2056" s="25"/>
      <c r="Z2056" s="25"/>
      <c r="AA2056" s="25"/>
    </row>
    <row r="2057" spans="1:27" x14ac:dyDescent="0.35">
      <c r="A2057" s="5">
        <v>2053</v>
      </c>
      <c r="B2057" s="5">
        <v>86</v>
      </c>
      <c r="C2057" s="5">
        <v>3</v>
      </c>
      <c r="D2057" s="25">
        <v>1.1416E-4</v>
      </c>
      <c r="E2057" s="25">
        <v>1.0666E-4</v>
      </c>
      <c r="F2057" s="25">
        <v>1.1263E-4</v>
      </c>
      <c r="G2057" s="25">
        <v>1.6516E-4</v>
      </c>
      <c r="H2057" s="25">
        <v>1.8907E-4</v>
      </c>
      <c r="I2057" s="9">
        <v>1.1582E-4</v>
      </c>
      <c r="J2057" s="9">
        <v>1.0958E-4</v>
      </c>
      <c r="K2057" s="9">
        <v>0</v>
      </c>
      <c r="L2057" s="9">
        <v>1.6855E-4</v>
      </c>
      <c r="M2057" s="9">
        <v>1.7247000000000001E-4</v>
      </c>
      <c r="N2057" s="9">
        <v>1.6506999999999999E-4</v>
      </c>
      <c r="O2057" s="9">
        <v>1.5990000000000001E-4</v>
      </c>
      <c r="P2057" s="9">
        <v>1.6233999999999999E-4</v>
      </c>
      <c r="Q2057" s="9">
        <v>1.6571000000000001E-4</v>
      </c>
      <c r="R2057" s="10">
        <v>2.0699393554056685E-4</v>
      </c>
      <c r="S2057" s="10">
        <v>1.2099065898712118E-4</v>
      </c>
      <c r="T2057" s="10">
        <v>2.6176608784994707E-4</v>
      </c>
      <c r="U2057" s="10">
        <v>1.3936999999999999E-4</v>
      </c>
      <c r="V2057" s="25"/>
      <c r="W2057" s="25"/>
      <c r="X2057" s="25"/>
      <c r="Y2057" s="25"/>
      <c r="Z2057" s="25"/>
      <c r="AA2057" s="25"/>
    </row>
    <row r="2058" spans="1:27" x14ac:dyDescent="0.35">
      <c r="A2058" s="5">
        <v>2054</v>
      </c>
      <c r="B2058" s="5">
        <v>86</v>
      </c>
      <c r="C2058" s="5">
        <v>3</v>
      </c>
      <c r="D2058" s="25">
        <v>1.1415000000000001E-4</v>
      </c>
      <c r="E2058" s="25">
        <v>1.0967E-4</v>
      </c>
      <c r="F2058" s="25">
        <v>1.0121E-4</v>
      </c>
      <c r="G2058" s="25">
        <v>1.5995000000000001E-4</v>
      </c>
      <c r="H2058" s="25">
        <v>1.9136000000000001E-4</v>
      </c>
      <c r="I2058" s="9">
        <v>1.1105E-4</v>
      </c>
      <c r="J2058" s="9">
        <v>1.0891999999999999E-4</v>
      </c>
      <c r="K2058" s="9">
        <v>0</v>
      </c>
      <c r="L2058" s="9">
        <v>1.6155999999999999E-4</v>
      </c>
      <c r="M2058" s="9">
        <v>1.6846999999999999E-4</v>
      </c>
      <c r="N2058" s="9">
        <v>1.6919E-4</v>
      </c>
      <c r="O2058" s="9">
        <v>1.7815999999999999E-4</v>
      </c>
      <c r="P2058" s="9">
        <v>1.6888999999999999E-4</v>
      </c>
      <c r="Q2058" s="9">
        <v>1.6086E-4</v>
      </c>
      <c r="R2058" s="10">
        <v>2.0457897488935953E-4</v>
      </c>
      <c r="S2058" s="10">
        <v>1.2264091761598323E-4</v>
      </c>
      <c r="T2058" s="10">
        <v>2.2138082294326868E-4</v>
      </c>
      <c r="U2058" s="10">
        <v>1.3936999999999999E-4</v>
      </c>
      <c r="V2058" s="25"/>
      <c r="W2058" s="25"/>
      <c r="X2058" s="25"/>
      <c r="Y2058" s="25"/>
      <c r="Z2058" s="25"/>
      <c r="AA2058" s="25"/>
    </row>
    <row r="2059" spans="1:27" x14ac:dyDescent="0.35">
      <c r="A2059" s="5">
        <v>2055</v>
      </c>
      <c r="B2059" s="5">
        <v>86</v>
      </c>
      <c r="C2059" s="5">
        <v>3</v>
      </c>
      <c r="D2059" s="25">
        <v>1.1416E-4</v>
      </c>
      <c r="E2059" s="25">
        <v>1.0821E-4</v>
      </c>
      <c r="F2059" s="25">
        <v>1.1556E-4</v>
      </c>
      <c r="G2059" s="25">
        <v>1.561E-4</v>
      </c>
      <c r="H2059" s="25">
        <v>2.0034E-4</v>
      </c>
      <c r="I2059" s="9">
        <v>1.0674E-4</v>
      </c>
      <c r="J2059" s="9">
        <v>1.0979E-4</v>
      </c>
      <c r="K2059" s="9">
        <v>0</v>
      </c>
      <c r="L2059" s="9">
        <v>1.7468E-4</v>
      </c>
      <c r="M2059" s="9">
        <v>1.6747999999999999E-4</v>
      </c>
      <c r="N2059" s="9">
        <v>1.6893999999999999E-4</v>
      </c>
      <c r="O2059" s="9">
        <v>1.8195E-4</v>
      </c>
      <c r="P2059" s="9">
        <v>1.6599E-4</v>
      </c>
      <c r="Q2059" s="9">
        <v>1.5139999999999999E-4</v>
      </c>
      <c r="R2059" s="10">
        <v>2.0315340945554065E-4</v>
      </c>
      <c r="S2059" s="10">
        <v>9.9923066755859885E-5</v>
      </c>
      <c r="T2059" s="10">
        <v>1.1097463549986412E-4</v>
      </c>
      <c r="U2059" s="10">
        <v>1.3936999999999999E-4</v>
      </c>
      <c r="V2059" s="25"/>
      <c r="W2059" s="25"/>
      <c r="X2059" s="25"/>
      <c r="Y2059" s="25"/>
      <c r="Z2059" s="25"/>
      <c r="AA2059" s="25"/>
    </row>
    <row r="2060" spans="1:27" x14ac:dyDescent="0.35">
      <c r="A2060" s="5">
        <v>2056</v>
      </c>
      <c r="B2060" s="5">
        <v>86</v>
      </c>
      <c r="C2060" s="5">
        <v>3</v>
      </c>
      <c r="D2060" s="25">
        <v>1.1415000000000001E-4</v>
      </c>
      <c r="E2060" s="25">
        <v>1.0897E-4</v>
      </c>
      <c r="F2060" s="25">
        <v>1.1887000000000001E-4</v>
      </c>
      <c r="G2060" s="25">
        <v>1.593E-4</v>
      </c>
      <c r="H2060" s="25">
        <v>1.9377000000000001E-4</v>
      </c>
      <c r="I2060" s="9">
        <v>1.0721E-4</v>
      </c>
      <c r="J2060" s="9">
        <v>1.0902E-4</v>
      </c>
      <c r="K2060" s="9">
        <v>8.4800000000000001E-6</v>
      </c>
      <c r="L2060" s="9">
        <v>1.8000000000000001E-4</v>
      </c>
      <c r="M2060" s="9">
        <v>1.6679999999999999E-4</v>
      </c>
      <c r="N2060" s="9">
        <v>1.6506E-4</v>
      </c>
      <c r="O2060" s="9">
        <v>1.9588E-4</v>
      </c>
      <c r="P2060" s="9">
        <v>1.5152000000000001E-4</v>
      </c>
      <c r="Q2060" s="9">
        <v>1.0909E-4</v>
      </c>
      <c r="R2060" s="10">
        <v>2.0156355733394994E-4</v>
      </c>
      <c r="S2060" s="10">
        <v>7.9922491134580404E-5</v>
      </c>
      <c r="T2060" s="10">
        <v>1.3915947794103755E-4</v>
      </c>
      <c r="U2060" s="10">
        <v>1.3936999999999999E-4</v>
      </c>
      <c r="V2060" s="25"/>
      <c r="W2060" s="25"/>
      <c r="X2060" s="25"/>
      <c r="Y2060" s="25"/>
      <c r="Z2060" s="25"/>
      <c r="AA2060" s="25"/>
    </row>
    <row r="2061" spans="1:27" x14ac:dyDescent="0.35">
      <c r="A2061" s="5">
        <v>2057</v>
      </c>
      <c r="B2061" s="5">
        <v>86</v>
      </c>
      <c r="C2061" s="5">
        <v>3</v>
      </c>
      <c r="D2061" s="25">
        <v>1.1416E-4</v>
      </c>
      <c r="E2061" s="25">
        <v>1.0946E-4</v>
      </c>
      <c r="F2061" s="25">
        <v>1.1276E-4</v>
      </c>
      <c r="G2061" s="25">
        <v>1.5830999999999999E-4</v>
      </c>
      <c r="H2061" s="25">
        <v>1.9055999999999999E-4</v>
      </c>
      <c r="I2061" s="9">
        <v>1.0634E-4</v>
      </c>
      <c r="J2061" s="9">
        <v>1.0896E-4</v>
      </c>
      <c r="K2061" s="9">
        <v>5.5099999999999998E-5</v>
      </c>
      <c r="L2061" s="9">
        <v>1.9217999999999999E-4</v>
      </c>
      <c r="M2061" s="9">
        <v>1.6121000000000001E-4</v>
      </c>
      <c r="N2061" s="9">
        <v>1.5144999999999999E-4</v>
      </c>
      <c r="O2061" s="9">
        <v>2.1275999999999999E-4</v>
      </c>
      <c r="P2061" s="9">
        <v>1.5862E-4</v>
      </c>
      <c r="Q2061" s="9">
        <v>1.0670000000000001E-4</v>
      </c>
      <c r="R2061" s="10">
        <v>1.8812216900287204E-4</v>
      </c>
      <c r="S2061" s="10">
        <v>6.883430136183223E-5</v>
      </c>
      <c r="T2061" s="10">
        <v>8.4809056304024588E-5</v>
      </c>
      <c r="U2061" s="10">
        <v>1.3936999999999999E-4</v>
      </c>
      <c r="V2061" s="25"/>
      <c r="W2061" s="25"/>
      <c r="X2061" s="25"/>
      <c r="Y2061" s="25"/>
      <c r="Z2061" s="25"/>
      <c r="AA2061" s="25"/>
    </row>
    <row r="2062" spans="1:27" x14ac:dyDescent="0.35">
      <c r="A2062" s="5">
        <v>2058</v>
      </c>
      <c r="B2062" s="5">
        <v>86</v>
      </c>
      <c r="C2062" s="5">
        <v>3</v>
      </c>
      <c r="D2062" s="25">
        <v>1.1415000000000001E-4</v>
      </c>
      <c r="E2062" s="25">
        <v>1.0974E-4</v>
      </c>
      <c r="F2062" s="25">
        <v>9.8170000000000004E-5</v>
      </c>
      <c r="G2062" s="25">
        <v>1.6208999999999999E-4</v>
      </c>
      <c r="H2062" s="25">
        <v>1.9755E-4</v>
      </c>
      <c r="I2062" s="9">
        <v>1.0815999999999999E-4</v>
      </c>
      <c r="J2062" s="9">
        <v>1.1105E-4</v>
      </c>
      <c r="K2062" s="9">
        <v>5.5109999999999999E-5</v>
      </c>
      <c r="L2062" s="9">
        <v>2.0799999999999999E-4</v>
      </c>
      <c r="M2062" s="9">
        <v>1.5872E-4</v>
      </c>
      <c r="N2062" s="9">
        <v>1.3828000000000001E-4</v>
      </c>
      <c r="O2062" s="9">
        <v>2.0359999999999999E-4</v>
      </c>
      <c r="P2062" s="9">
        <v>1.5920999999999999E-4</v>
      </c>
      <c r="Q2062" s="9">
        <v>1.1681E-4</v>
      </c>
      <c r="R2062" s="10">
        <v>1.481934041491411E-4</v>
      </c>
      <c r="S2062" s="10">
        <v>5.7236149179905109E-5</v>
      </c>
      <c r="T2062" s="10">
        <v>3.359782542656437E-5</v>
      </c>
      <c r="U2062" s="10">
        <v>1.3936999999999999E-4</v>
      </c>
      <c r="V2062" s="25"/>
      <c r="W2062" s="25"/>
      <c r="X2062" s="25"/>
      <c r="Y2062" s="25"/>
      <c r="Z2062" s="25"/>
      <c r="AA2062" s="25"/>
    </row>
    <row r="2063" spans="1:27" x14ac:dyDescent="0.35">
      <c r="A2063" s="5">
        <v>2059</v>
      </c>
      <c r="B2063" s="5">
        <v>86</v>
      </c>
      <c r="C2063" s="5">
        <v>3</v>
      </c>
      <c r="D2063" s="25">
        <v>1.1416E-4</v>
      </c>
      <c r="E2063" s="25">
        <v>1.1323E-4</v>
      </c>
      <c r="F2063" s="25">
        <v>1.0492000000000001E-4</v>
      </c>
      <c r="G2063" s="25">
        <v>1.0919E-4</v>
      </c>
      <c r="H2063" s="25">
        <v>1.3411E-4</v>
      </c>
      <c r="I2063" s="9">
        <v>1.1184E-4</v>
      </c>
      <c r="J2063" s="9">
        <v>1.0903E-4</v>
      </c>
      <c r="K2063" s="9">
        <v>6.5710000000000006E-5</v>
      </c>
      <c r="L2063" s="9">
        <v>2.0416E-4</v>
      </c>
      <c r="M2063" s="9">
        <v>1.5841999999999999E-4</v>
      </c>
      <c r="N2063" s="9">
        <v>1.2925999999999999E-4</v>
      </c>
      <c r="O2063" s="9">
        <v>1.6511E-4</v>
      </c>
      <c r="P2063" s="9">
        <v>1.3567000000000001E-4</v>
      </c>
      <c r="Q2063" s="9">
        <v>1.0768E-4</v>
      </c>
      <c r="R2063" s="10">
        <v>1.1868191856107319E-4</v>
      </c>
      <c r="S2063" s="10">
        <v>7.6624603929206859E-5</v>
      </c>
      <c r="T2063" s="10">
        <v>0</v>
      </c>
      <c r="U2063" s="10">
        <v>1.3936999999999999E-4</v>
      </c>
      <c r="V2063" s="25"/>
      <c r="W2063" s="25"/>
      <c r="X2063" s="25"/>
      <c r="Y2063" s="25"/>
      <c r="Z2063" s="25"/>
      <c r="AA2063" s="25"/>
    </row>
    <row r="2064" spans="1:27" x14ac:dyDescent="0.35">
      <c r="A2064" s="5">
        <v>2060</v>
      </c>
      <c r="B2064" s="5">
        <v>86</v>
      </c>
      <c r="C2064" s="5">
        <v>3</v>
      </c>
      <c r="D2064" s="25">
        <v>1.1415000000000001E-4</v>
      </c>
      <c r="E2064" s="25">
        <v>1.0797E-4</v>
      </c>
      <c r="F2064" s="25">
        <v>1.0042E-4</v>
      </c>
      <c r="G2064" s="25">
        <v>1.0702E-4</v>
      </c>
      <c r="H2064" s="25">
        <v>1.3862999999999999E-4</v>
      </c>
      <c r="I2064" s="9">
        <v>1.1718999999999999E-4</v>
      </c>
      <c r="J2064" s="9">
        <v>1.1347E-4</v>
      </c>
      <c r="K2064" s="9">
        <v>6.9939999999999998E-5</v>
      </c>
      <c r="L2064" s="9">
        <v>1.7389E-4</v>
      </c>
      <c r="M2064" s="9">
        <v>1.5030999999999999E-4</v>
      </c>
      <c r="N2064" s="9">
        <v>1.2046E-4</v>
      </c>
      <c r="O2064" s="9">
        <v>1.2920999999999999E-4</v>
      </c>
      <c r="P2064" s="9">
        <v>1.1526E-4</v>
      </c>
      <c r="Q2064" s="9">
        <v>1.0224E-4</v>
      </c>
      <c r="R2064" s="10">
        <v>1.1443310472921417E-4</v>
      </c>
      <c r="S2064" s="10">
        <v>6.9462666558856159E-5</v>
      </c>
      <c r="T2064" s="10">
        <v>0</v>
      </c>
      <c r="U2064" s="10">
        <v>1.3936999999999999E-4</v>
      </c>
      <c r="V2064" s="25"/>
      <c r="W2064" s="25"/>
      <c r="X2064" s="25"/>
      <c r="Y2064" s="25"/>
      <c r="Z2064" s="25"/>
      <c r="AA2064" s="25"/>
    </row>
    <row r="2065" spans="1:27" x14ac:dyDescent="0.35">
      <c r="A2065" s="5">
        <v>2061</v>
      </c>
      <c r="B2065" s="5">
        <v>86</v>
      </c>
      <c r="C2065" s="5">
        <v>3</v>
      </c>
      <c r="D2065" s="25">
        <v>1.1416E-4</v>
      </c>
      <c r="E2065" s="25">
        <v>1.0733E-4</v>
      </c>
      <c r="F2065" s="25">
        <v>9.8740000000000007E-5</v>
      </c>
      <c r="G2065" s="25">
        <v>5.5670000000000001E-5</v>
      </c>
      <c r="H2065" s="25">
        <v>7.3059999999999995E-5</v>
      </c>
      <c r="I2065" s="9">
        <v>1.1472999999999999E-4</v>
      </c>
      <c r="J2065" s="9">
        <v>1.1178E-4</v>
      </c>
      <c r="K2065" s="9">
        <v>7.4179999999999998E-5</v>
      </c>
      <c r="L2065" s="9">
        <v>1.3998999999999999E-4</v>
      </c>
      <c r="M2065" s="9">
        <v>1.3541000000000001E-4</v>
      </c>
      <c r="N2065" s="9">
        <v>1.1302999999999999E-4</v>
      </c>
      <c r="O2065" s="9">
        <v>8.5110000000000003E-5</v>
      </c>
      <c r="P2065" s="9">
        <v>8.6760000000000003E-5</v>
      </c>
      <c r="Q2065" s="9">
        <v>8.8770000000000006E-5</v>
      </c>
      <c r="R2065" s="10">
        <v>9.0801666340983855E-5</v>
      </c>
      <c r="S2065" s="10">
        <v>5.0570083169181935E-5</v>
      </c>
      <c r="T2065" s="10">
        <v>0</v>
      </c>
      <c r="U2065" s="10">
        <v>1.3936999999999999E-4</v>
      </c>
      <c r="V2065" s="25"/>
      <c r="W2065" s="25"/>
      <c r="X2065" s="25"/>
      <c r="Y2065" s="25"/>
      <c r="Z2065" s="25"/>
      <c r="AA2065" s="25"/>
    </row>
    <row r="2066" spans="1:27" x14ac:dyDescent="0.35">
      <c r="A2066" s="5">
        <v>2062</v>
      </c>
      <c r="B2066" s="5">
        <v>86</v>
      </c>
      <c r="C2066" s="5">
        <v>3</v>
      </c>
      <c r="D2066" s="25">
        <v>1.1415000000000001E-4</v>
      </c>
      <c r="E2066" s="25">
        <v>1.1438E-4</v>
      </c>
      <c r="F2066" s="25">
        <v>1.0123E-4</v>
      </c>
      <c r="G2066" s="25">
        <v>5.4209999999999998E-5</v>
      </c>
      <c r="H2066" s="25">
        <v>6.7409999999999993E-5</v>
      </c>
      <c r="I2066" s="9">
        <v>1.0896E-4</v>
      </c>
      <c r="J2066" s="9">
        <v>1.0891999999999999E-4</v>
      </c>
      <c r="K2066" s="9">
        <v>9.3259999999999998E-5</v>
      </c>
      <c r="L2066" s="9">
        <v>9.8090000000000004E-5</v>
      </c>
      <c r="M2066" s="9">
        <v>1.1406E-4</v>
      </c>
      <c r="N2066" s="9">
        <v>1.0565000000000001E-4</v>
      </c>
      <c r="O2066" s="9">
        <v>8.7150000000000004E-5</v>
      </c>
      <c r="P2066" s="9">
        <v>8.7399999999999997E-5</v>
      </c>
      <c r="Q2066" s="9">
        <v>8.8049999999999999E-5</v>
      </c>
      <c r="R2066" s="10">
        <v>6.7809424559643383E-5</v>
      </c>
      <c r="S2066" s="10">
        <v>4.4170262546210757E-5</v>
      </c>
      <c r="T2066" s="10">
        <v>0</v>
      </c>
      <c r="U2066" s="10">
        <v>1.3936999999999999E-4</v>
      </c>
      <c r="V2066" s="25"/>
      <c r="W2066" s="25"/>
      <c r="X2066" s="25"/>
      <c r="Y2066" s="25"/>
      <c r="Z2066" s="25"/>
      <c r="AA2066" s="25"/>
    </row>
    <row r="2067" spans="1:27" x14ac:dyDescent="0.35">
      <c r="A2067" s="5">
        <v>2063</v>
      </c>
      <c r="B2067" s="5">
        <v>86</v>
      </c>
      <c r="C2067" s="5">
        <v>3</v>
      </c>
      <c r="D2067" s="25">
        <v>1.1416E-4</v>
      </c>
      <c r="E2067" s="25">
        <v>1.1576E-4</v>
      </c>
      <c r="F2067" s="25">
        <v>9.9160000000000006E-5</v>
      </c>
      <c r="G2067" s="25">
        <v>5.7370000000000001E-5</v>
      </c>
      <c r="H2067" s="25">
        <v>6.4930000000000003E-5</v>
      </c>
      <c r="I2067" s="9">
        <v>1.0912E-4</v>
      </c>
      <c r="J2067" s="9">
        <v>1.0274E-4</v>
      </c>
      <c r="K2067" s="9">
        <v>9.9610000000000003E-5</v>
      </c>
      <c r="L2067" s="9">
        <v>9.0509999999999999E-5</v>
      </c>
      <c r="M2067" s="9">
        <v>9.9209999999999994E-5</v>
      </c>
      <c r="N2067" s="9">
        <v>9.9870000000000004E-5</v>
      </c>
      <c r="O2067" s="9">
        <v>7.7559999999999996E-5</v>
      </c>
      <c r="P2067" s="9">
        <v>7.1909999999999994E-5</v>
      </c>
      <c r="Q2067" s="9">
        <v>6.6680000000000005E-5</v>
      </c>
      <c r="R2067" s="10">
        <v>6.1104214022216592E-5</v>
      </c>
      <c r="S2067" s="10">
        <v>4.575731090373354E-5</v>
      </c>
      <c r="T2067" s="10">
        <v>0</v>
      </c>
      <c r="U2067" s="10">
        <v>1.3936999999999999E-4</v>
      </c>
      <c r="V2067" s="25"/>
      <c r="W2067" s="25"/>
      <c r="X2067" s="25"/>
      <c r="Y2067" s="25"/>
      <c r="Z2067" s="25"/>
      <c r="AA2067" s="25"/>
    </row>
    <row r="2068" spans="1:27" x14ac:dyDescent="0.35">
      <c r="A2068" s="5">
        <v>2064</v>
      </c>
      <c r="B2068" s="5">
        <v>86</v>
      </c>
      <c r="C2068" s="5">
        <v>3</v>
      </c>
      <c r="D2068" s="25">
        <v>1.1415000000000001E-4</v>
      </c>
      <c r="E2068" s="25">
        <v>1.0564E-4</v>
      </c>
      <c r="F2068" s="25">
        <v>1.0957E-4</v>
      </c>
      <c r="G2068" s="25">
        <v>6.3319999999999997E-5</v>
      </c>
      <c r="H2068" s="25">
        <v>7.161E-5</v>
      </c>
      <c r="I2068" s="9">
        <v>1.0772000000000001E-4</v>
      </c>
      <c r="J2068" s="9">
        <v>9.5550000000000005E-5</v>
      </c>
      <c r="K2068" s="9">
        <v>9.3250000000000003E-5</v>
      </c>
      <c r="L2068" s="9">
        <v>8.0409999999999998E-5</v>
      </c>
      <c r="M2068" s="9">
        <v>8.6100000000000006E-5</v>
      </c>
      <c r="N2068" s="9">
        <v>9.0610000000000002E-5</v>
      </c>
      <c r="O2068" s="9">
        <v>6.2639999999999997E-5</v>
      </c>
      <c r="P2068" s="9">
        <v>6.0590000000000001E-5</v>
      </c>
      <c r="Q2068" s="9">
        <v>5.8770000000000001E-5</v>
      </c>
      <c r="R2068" s="10">
        <v>4.0739604007157106E-5</v>
      </c>
      <c r="S2068" s="10">
        <v>5.3332563033801558E-5</v>
      </c>
      <c r="T2068" s="10">
        <v>0</v>
      </c>
      <c r="U2068" s="10">
        <v>1.3936999999999999E-4</v>
      </c>
      <c r="V2068" s="25"/>
      <c r="W2068" s="25"/>
      <c r="X2068" s="25"/>
      <c r="Y2068" s="25"/>
      <c r="Z2068" s="25"/>
      <c r="AA2068" s="25"/>
    </row>
    <row r="2069" spans="1:27" x14ac:dyDescent="0.35">
      <c r="A2069" s="5">
        <v>2065</v>
      </c>
      <c r="B2069" s="5">
        <v>87</v>
      </c>
      <c r="C2069" s="5">
        <v>3</v>
      </c>
      <c r="D2069" s="25">
        <v>1.1416E-4</v>
      </c>
      <c r="E2069" s="25">
        <v>1.2124E-4</v>
      </c>
      <c r="F2069" s="25">
        <v>1.0985E-4</v>
      </c>
      <c r="G2069" s="25">
        <v>5.8520000000000002E-5</v>
      </c>
      <c r="H2069" s="25">
        <v>7.5090000000000001E-5</v>
      </c>
      <c r="I2069" s="9">
        <v>1.016E-4</v>
      </c>
      <c r="J2069" s="9">
        <v>9.4240000000000006E-5</v>
      </c>
      <c r="K2069" s="9">
        <v>9.3259999999999998E-5</v>
      </c>
      <c r="L2069" s="9">
        <v>6.6550000000000005E-5</v>
      </c>
      <c r="M2069" s="9">
        <v>7.3899999999999994E-5</v>
      </c>
      <c r="N2069" s="9">
        <v>8.1169999999999997E-5</v>
      </c>
      <c r="O2069" s="9">
        <v>5.4230000000000001E-5</v>
      </c>
      <c r="P2069" s="9">
        <v>5.3650000000000003E-5</v>
      </c>
      <c r="Q2069" s="9">
        <v>5.3229999999999997E-5</v>
      </c>
      <c r="R2069" s="10">
        <v>4.8164093630721809E-5</v>
      </c>
      <c r="S2069" s="10">
        <v>6.1520015940787651E-5</v>
      </c>
      <c r="T2069" s="10">
        <v>0</v>
      </c>
      <c r="U2069" s="10">
        <v>1.3625000000000001E-4</v>
      </c>
      <c r="V2069" s="25"/>
      <c r="W2069" s="25"/>
      <c r="X2069" s="25"/>
      <c r="Y2069" s="25"/>
      <c r="Z2069" s="25"/>
      <c r="AA2069" s="25"/>
    </row>
    <row r="2070" spans="1:27" x14ac:dyDescent="0.35">
      <c r="A2070" s="5">
        <v>2066</v>
      </c>
      <c r="B2070" s="5">
        <v>87</v>
      </c>
      <c r="C2070" s="5">
        <v>3</v>
      </c>
      <c r="D2070" s="25">
        <v>1.1415000000000001E-4</v>
      </c>
      <c r="E2070" s="25">
        <v>1.1743000000000001E-4</v>
      </c>
      <c r="F2070" s="25">
        <v>1.0368E-4</v>
      </c>
      <c r="G2070" s="25">
        <v>6.3369999999999998E-5</v>
      </c>
      <c r="H2070" s="25">
        <v>7.0090000000000001E-5</v>
      </c>
      <c r="I2070" s="9">
        <v>9.7029999999999998E-5</v>
      </c>
      <c r="J2070" s="9">
        <v>9.1910000000000006E-5</v>
      </c>
      <c r="K2070" s="9">
        <v>9.7490000000000003E-5</v>
      </c>
      <c r="L2070" s="9">
        <v>5.7309999999999998E-5</v>
      </c>
      <c r="M2070" s="9">
        <v>6.3720000000000007E-5</v>
      </c>
      <c r="N2070" s="9">
        <v>7.1989999999999993E-5</v>
      </c>
      <c r="O2070" s="9">
        <v>1.9049999999999999E-5</v>
      </c>
      <c r="P2070" s="9">
        <v>3.8050000000000003E-5</v>
      </c>
      <c r="Q2070" s="9">
        <v>5.6619999999999997E-5</v>
      </c>
      <c r="R2070" s="10">
        <v>4.7245214315557121E-5</v>
      </c>
      <c r="S2070" s="10">
        <v>5.4616992227031095E-5</v>
      </c>
      <c r="T2070" s="10">
        <v>0</v>
      </c>
      <c r="U2070" s="10">
        <v>1.3625000000000001E-4</v>
      </c>
      <c r="V2070" s="25"/>
      <c r="W2070" s="25"/>
      <c r="X2070" s="25"/>
      <c r="Y2070" s="25"/>
      <c r="Z2070" s="25"/>
      <c r="AA2070" s="25"/>
    </row>
    <row r="2071" spans="1:27" x14ac:dyDescent="0.35">
      <c r="A2071" s="5">
        <v>2067</v>
      </c>
      <c r="B2071" s="5">
        <v>87</v>
      </c>
      <c r="C2071" s="5">
        <v>3</v>
      </c>
      <c r="D2071" s="25">
        <v>1.1416E-4</v>
      </c>
      <c r="E2071" s="25">
        <v>1.1938E-4</v>
      </c>
      <c r="F2071" s="25">
        <v>1.1315999999999999E-4</v>
      </c>
      <c r="G2071" s="25">
        <v>5.9519999999999999E-5</v>
      </c>
      <c r="H2071" s="25">
        <v>6.9659999999999994E-5</v>
      </c>
      <c r="I2071" s="9">
        <v>9.3399999999999993E-5</v>
      </c>
      <c r="J2071" s="9">
        <v>8.4900000000000004E-5</v>
      </c>
      <c r="K2071" s="9">
        <v>9.7490000000000003E-5</v>
      </c>
      <c r="L2071" s="9">
        <v>2.7679999999999999E-5</v>
      </c>
      <c r="M2071" s="9">
        <v>5.215E-5</v>
      </c>
      <c r="N2071" s="9">
        <v>6.5510000000000001E-5</v>
      </c>
      <c r="O2071" s="9">
        <v>1.341E-5</v>
      </c>
      <c r="P2071" s="9">
        <v>3.7710000000000003E-5</v>
      </c>
      <c r="Q2071" s="9">
        <v>6.1470000000000006E-5</v>
      </c>
      <c r="R2071" s="10">
        <v>4.8333106818170919E-5</v>
      </c>
      <c r="S2071" s="10">
        <v>5.4157448219758885E-5</v>
      </c>
      <c r="T2071" s="10">
        <v>0</v>
      </c>
      <c r="U2071" s="10">
        <v>1.3625000000000001E-4</v>
      </c>
      <c r="V2071" s="25"/>
      <c r="W2071" s="25"/>
      <c r="X2071" s="25"/>
      <c r="Y2071" s="25"/>
      <c r="Z2071" s="25"/>
      <c r="AA2071" s="25"/>
    </row>
    <row r="2072" spans="1:27" x14ac:dyDescent="0.35">
      <c r="A2072" s="5">
        <v>2068</v>
      </c>
      <c r="B2072" s="5">
        <v>87</v>
      </c>
      <c r="C2072" s="5">
        <v>3</v>
      </c>
      <c r="D2072" s="25">
        <v>1.1415000000000001E-4</v>
      </c>
      <c r="E2072" s="25">
        <v>1.2066E-4</v>
      </c>
      <c r="F2072" s="25">
        <v>1.0751000000000001E-4</v>
      </c>
      <c r="G2072" s="25">
        <v>6.3299999999999994E-5</v>
      </c>
      <c r="H2072" s="25">
        <v>6.9339999999999997E-5</v>
      </c>
      <c r="I2072" s="9">
        <v>9.2089999999999994E-5</v>
      </c>
      <c r="J2072" s="9">
        <v>8.4229999999999998E-5</v>
      </c>
      <c r="K2072" s="9">
        <v>9.7490000000000003E-5</v>
      </c>
      <c r="L2072" s="9">
        <v>1.7280000000000001E-5</v>
      </c>
      <c r="M2072" s="9">
        <v>4.4199999999999997E-5</v>
      </c>
      <c r="N2072" s="9">
        <v>6.19E-5</v>
      </c>
      <c r="O2072" s="9">
        <v>1.348E-5</v>
      </c>
      <c r="P2072" s="9">
        <v>4.7370000000000002E-5</v>
      </c>
      <c r="Q2072" s="9">
        <v>8.0569999999999996E-5</v>
      </c>
      <c r="R2072" s="10">
        <v>6.1582377671171661E-5</v>
      </c>
      <c r="S2072" s="10">
        <v>5.4114315550166126E-5</v>
      </c>
      <c r="T2072" s="10">
        <v>0</v>
      </c>
      <c r="U2072" s="10">
        <v>1.3625000000000001E-4</v>
      </c>
      <c r="V2072" s="25"/>
      <c r="W2072" s="25"/>
      <c r="X2072" s="25"/>
      <c r="Y2072" s="25"/>
      <c r="Z2072" s="25"/>
      <c r="AA2072" s="25"/>
    </row>
    <row r="2073" spans="1:27" x14ac:dyDescent="0.35">
      <c r="A2073" s="5">
        <v>2069</v>
      </c>
      <c r="B2073" s="5">
        <v>87</v>
      </c>
      <c r="C2073" s="5">
        <v>3</v>
      </c>
      <c r="D2073" s="25">
        <v>1.1416E-4</v>
      </c>
      <c r="E2073" s="25">
        <v>1.197E-4</v>
      </c>
      <c r="F2073" s="25">
        <v>1.1374000000000001E-4</v>
      </c>
      <c r="G2073" s="25">
        <v>6.2440000000000005E-5</v>
      </c>
      <c r="H2073" s="25">
        <v>6.5909999999999997E-5</v>
      </c>
      <c r="I2073" s="9">
        <v>9.2230000000000003E-5</v>
      </c>
      <c r="J2073" s="9">
        <v>8.4649999999999998E-5</v>
      </c>
      <c r="K2073" s="9">
        <v>9.9610000000000003E-5</v>
      </c>
      <c r="L2073" s="9">
        <v>1.456E-5</v>
      </c>
      <c r="M2073" s="9">
        <v>4.3560000000000003E-5</v>
      </c>
      <c r="N2073" s="9">
        <v>6.4490000000000001E-5</v>
      </c>
      <c r="O2073" s="9">
        <v>1.893E-5</v>
      </c>
      <c r="P2073" s="9">
        <v>5.6700000000000003E-5</v>
      </c>
      <c r="Q2073" s="9">
        <v>9.3750000000000002E-5</v>
      </c>
      <c r="R2073" s="10">
        <v>6.9295900057209014E-5</v>
      </c>
      <c r="S2073" s="10">
        <v>6.6879762271996685E-5</v>
      </c>
      <c r="T2073" s="10">
        <v>0</v>
      </c>
      <c r="U2073" s="10">
        <v>1.3625000000000001E-4</v>
      </c>
      <c r="V2073" s="25"/>
      <c r="W2073" s="25"/>
      <c r="X2073" s="25"/>
      <c r="Y2073" s="25"/>
      <c r="Z2073" s="25"/>
      <c r="AA2073" s="25"/>
    </row>
    <row r="2074" spans="1:27" x14ac:dyDescent="0.35">
      <c r="A2074" s="5">
        <v>2070</v>
      </c>
      <c r="B2074" s="5">
        <v>87</v>
      </c>
      <c r="C2074" s="5">
        <v>3</v>
      </c>
      <c r="D2074" s="25">
        <v>1.1415000000000001E-4</v>
      </c>
      <c r="E2074" s="25">
        <v>1.2027E-4</v>
      </c>
      <c r="F2074" s="25">
        <v>9.9469999999999995E-5</v>
      </c>
      <c r="G2074" s="25">
        <v>1.0983E-4</v>
      </c>
      <c r="H2074" s="25">
        <v>1.3535000000000001E-4</v>
      </c>
      <c r="I2074" s="9">
        <v>9.4770000000000002E-5</v>
      </c>
      <c r="J2074" s="9">
        <v>8.1279999999999994E-5</v>
      </c>
      <c r="K2074" s="9">
        <v>9.5379999999999998E-5</v>
      </c>
      <c r="L2074" s="9">
        <v>1.783E-5</v>
      </c>
      <c r="M2074" s="9">
        <v>4.8470000000000002E-5</v>
      </c>
      <c r="N2074" s="9">
        <v>7.1080000000000004E-5</v>
      </c>
      <c r="O2074" s="9">
        <v>4.6539999999999998E-5</v>
      </c>
      <c r="P2074" s="9">
        <v>7.7260000000000002E-5</v>
      </c>
      <c r="Q2074" s="9">
        <v>1.0758E-4</v>
      </c>
      <c r="R2074" s="10">
        <v>9.1376655944543081E-5</v>
      </c>
      <c r="S2074" s="10">
        <v>8.9786879721484648E-5</v>
      </c>
      <c r="T2074" s="10">
        <v>0</v>
      </c>
      <c r="U2074" s="10">
        <v>1.3625000000000001E-4</v>
      </c>
      <c r="V2074" s="25"/>
      <c r="W2074" s="25"/>
      <c r="X2074" s="25"/>
      <c r="Y2074" s="25"/>
      <c r="Z2074" s="25"/>
      <c r="AA2074" s="25"/>
    </row>
    <row r="2075" spans="1:27" x14ac:dyDescent="0.35">
      <c r="A2075" s="5">
        <v>2071</v>
      </c>
      <c r="B2075" s="5">
        <v>87</v>
      </c>
      <c r="C2075" s="5">
        <v>3</v>
      </c>
      <c r="D2075" s="25">
        <v>1.1416E-4</v>
      </c>
      <c r="E2075" s="25">
        <v>1.1238E-4</v>
      </c>
      <c r="F2075" s="25">
        <v>1.0194E-4</v>
      </c>
      <c r="G2075" s="25">
        <v>1.1357999999999999E-4</v>
      </c>
      <c r="H2075" s="25">
        <v>1.3166E-4</v>
      </c>
      <c r="I2075" s="9">
        <v>9.4400000000000004E-5</v>
      </c>
      <c r="J2075" s="9">
        <v>8.7020000000000004E-5</v>
      </c>
      <c r="K2075" s="9">
        <v>8.6890000000000003E-5</v>
      </c>
      <c r="L2075" s="9">
        <v>4.0080000000000003E-5</v>
      </c>
      <c r="M2075" s="9">
        <v>6.0220000000000003E-5</v>
      </c>
      <c r="N2075" s="9">
        <v>8.0920000000000005E-5</v>
      </c>
      <c r="O2075" s="9">
        <v>1.2400000000000001E-4</v>
      </c>
      <c r="P2075" s="9">
        <v>1.1825E-4</v>
      </c>
      <c r="Q2075" s="9">
        <v>1.1328E-4</v>
      </c>
      <c r="R2075" s="10">
        <v>1.2085388328486626E-4</v>
      </c>
      <c r="S2075" s="10">
        <v>1.1045852107731426E-4</v>
      </c>
      <c r="T2075" s="10">
        <v>1.052053119417672E-5</v>
      </c>
      <c r="U2075" s="10">
        <v>1.3625000000000001E-4</v>
      </c>
      <c r="V2075" s="25"/>
      <c r="W2075" s="25"/>
      <c r="X2075" s="25"/>
      <c r="Y2075" s="25"/>
      <c r="Z2075" s="25"/>
      <c r="AA2075" s="25"/>
    </row>
    <row r="2076" spans="1:27" x14ac:dyDescent="0.35">
      <c r="A2076" s="5">
        <v>2072</v>
      </c>
      <c r="B2076" s="5">
        <v>87</v>
      </c>
      <c r="C2076" s="5">
        <v>3</v>
      </c>
      <c r="D2076" s="25">
        <v>1.1415000000000001E-4</v>
      </c>
      <c r="E2076" s="25">
        <v>1.1095E-4</v>
      </c>
      <c r="F2076" s="25">
        <v>1.1341999999999999E-4</v>
      </c>
      <c r="G2076" s="25">
        <v>1.571E-4</v>
      </c>
      <c r="H2076" s="25">
        <v>1.9489E-4</v>
      </c>
      <c r="I2076" s="9">
        <v>9.6390000000000004E-5</v>
      </c>
      <c r="J2076" s="9">
        <v>9.6860000000000004E-5</v>
      </c>
      <c r="K2076" s="9">
        <v>8.0530000000000003E-5</v>
      </c>
      <c r="L2076" s="9">
        <v>1.0492000000000001E-4</v>
      </c>
      <c r="M2076" s="9">
        <v>8.4140000000000004E-5</v>
      </c>
      <c r="N2076" s="9">
        <v>9.1180000000000005E-5</v>
      </c>
      <c r="O2076" s="9">
        <v>2.2008999999999999E-4</v>
      </c>
      <c r="P2076" s="9">
        <v>1.7761E-4</v>
      </c>
      <c r="Q2076" s="9">
        <v>1.372E-4</v>
      </c>
      <c r="R2076" s="10">
        <v>1.254860751281932E-4</v>
      </c>
      <c r="S2076" s="10">
        <v>1.4815692636007137E-4</v>
      </c>
      <c r="T2076" s="10">
        <v>1.1910259427730065E-4</v>
      </c>
      <c r="U2076" s="10">
        <v>1.3625000000000001E-4</v>
      </c>
      <c r="V2076" s="25"/>
      <c r="W2076" s="25"/>
      <c r="X2076" s="25"/>
      <c r="Y2076" s="25"/>
      <c r="Z2076" s="25"/>
      <c r="AA2076" s="25"/>
    </row>
    <row r="2077" spans="1:27" x14ac:dyDescent="0.35">
      <c r="A2077" s="5">
        <v>2073</v>
      </c>
      <c r="B2077" s="5">
        <v>87</v>
      </c>
      <c r="C2077" s="5">
        <v>3</v>
      </c>
      <c r="D2077" s="25">
        <v>1.1416E-4</v>
      </c>
      <c r="E2077" s="25">
        <v>1.1628E-4</v>
      </c>
      <c r="F2077" s="25">
        <v>1.1281E-4</v>
      </c>
      <c r="G2077" s="25">
        <v>1.671E-4</v>
      </c>
      <c r="H2077" s="25">
        <v>1.9720999999999999E-4</v>
      </c>
      <c r="I2077" s="9">
        <v>1.024E-4</v>
      </c>
      <c r="J2077" s="9">
        <v>1.0009E-4</v>
      </c>
      <c r="K2077" s="9">
        <v>6.3579999999999998E-5</v>
      </c>
      <c r="L2077" s="9">
        <v>1.9298000000000001E-4</v>
      </c>
      <c r="M2077" s="9">
        <v>1.2397999999999999E-4</v>
      </c>
      <c r="N2077" s="9">
        <v>1.05E-4</v>
      </c>
      <c r="O2077" s="9">
        <v>2.1107E-4</v>
      </c>
      <c r="P2077" s="9">
        <v>1.9317999999999999E-4</v>
      </c>
      <c r="Q2077" s="9">
        <v>1.7692000000000001E-4</v>
      </c>
      <c r="R2077" s="10">
        <v>1.4465362701373202E-4</v>
      </c>
      <c r="S2077" s="10">
        <v>1.8080565319706333E-4</v>
      </c>
      <c r="T2077" s="10">
        <v>1.5076599945203253E-4</v>
      </c>
      <c r="U2077" s="10">
        <v>1.3625000000000001E-4</v>
      </c>
      <c r="V2077" s="25"/>
      <c r="W2077" s="25"/>
      <c r="X2077" s="25"/>
      <c r="Y2077" s="25"/>
      <c r="Z2077" s="25"/>
      <c r="AA2077" s="25"/>
    </row>
    <row r="2078" spans="1:27" x14ac:dyDescent="0.35">
      <c r="A2078" s="5">
        <v>2074</v>
      </c>
      <c r="B2078" s="5">
        <v>87</v>
      </c>
      <c r="C2078" s="5">
        <v>3</v>
      </c>
      <c r="D2078" s="25">
        <v>1.1415000000000001E-4</v>
      </c>
      <c r="E2078" s="25">
        <v>1.1801E-4</v>
      </c>
      <c r="F2078" s="25">
        <v>1.1272E-4</v>
      </c>
      <c r="G2078" s="25">
        <v>1.673E-4</v>
      </c>
      <c r="H2078" s="25">
        <v>1.9463999999999999E-4</v>
      </c>
      <c r="I2078" s="9">
        <v>1.0637E-4</v>
      </c>
      <c r="J2078" s="9">
        <v>1.0264000000000001E-4</v>
      </c>
      <c r="K2078" s="9">
        <v>5.2989999999999999E-5</v>
      </c>
      <c r="L2078" s="9">
        <v>2.0478E-4</v>
      </c>
      <c r="M2078" s="9">
        <v>1.5898E-4</v>
      </c>
      <c r="N2078" s="9">
        <v>1.2496999999999999E-4</v>
      </c>
      <c r="O2078" s="9">
        <v>1.6563E-4</v>
      </c>
      <c r="P2078" s="9">
        <v>1.7268000000000001E-4</v>
      </c>
      <c r="Q2078" s="9">
        <v>1.8061999999999999E-4</v>
      </c>
      <c r="R2078" s="10">
        <v>1.6146561261968351E-4</v>
      </c>
      <c r="S2078" s="10">
        <v>1.8846607535373826E-4</v>
      </c>
      <c r="T2078" s="10">
        <v>1.8725697095699551E-4</v>
      </c>
      <c r="U2078" s="10">
        <v>1.3625000000000001E-4</v>
      </c>
      <c r="V2078" s="25"/>
      <c r="W2078" s="25"/>
      <c r="X2078" s="25"/>
      <c r="Y2078" s="25"/>
      <c r="Z2078" s="25"/>
      <c r="AA2078" s="25"/>
    </row>
    <row r="2079" spans="1:27" x14ac:dyDescent="0.35">
      <c r="A2079" s="5">
        <v>2075</v>
      </c>
      <c r="B2079" s="5">
        <v>87</v>
      </c>
      <c r="C2079" s="5">
        <v>3</v>
      </c>
      <c r="D2079" s="25">
        <v>1.1416E-4</v>
      </c>
      <c r="E2079" s="25">
        <v>1.1686E-4</v>
      </c>
      <c r="F2079" s="25">
        <v>1.0033E-4</v>
      </c>
      <c r="G2079" s="25">
        <v>1.6556000000000001E-4</v>
      </c>
      <c r="H2079" s="25">
        <v>1.9953000000000001E-4</v>
      </c>
      <c r="I2079" s="9">
        <v>1.0825E-4</v>
      </c>
      <c r="J2079" s="9">
        <v>1.0309E-4</v>
      </c>
      <c r="K2079" s="9">
        <v>2.9669999999999999E-5</v>
      </c>
      <c r="L2079" s="9">
        <v>1.7433999999999999E-4</v>
      </c>
      <c r="M2079" s="9">
        <v>1.7200000000000001E-4</v>
      </c>
      <c r="N2079" s="9">
        <v>1.4265E-4</v>
      </c>
      <c r="O2079" s="9">
        <v>1.6590999999999999E-4</v>
      </c>
      <c r="P2079" s="9">
        <v>1.7163000000000001E-4</v>
      </c>
      <c r="Q2079" s="9">
        <v>1.7825999999999999E-4</v>
      </c>
      <c r="R2079" s="10">
        <v>1.576580546660843E-4</v>
      </c>
      <c r="S2079" s="10">
        <v>1.9004444744448077E-4</v>
      </c>
      <c r="T2079" s="10">
        <v>1.4155205035777776E-4</v>
      </c>
      <c r="U2079" s="10">
        <v>1.3625000000000001E-4</v>
      </c>
      <c r="V2079" s="25"/>
      <c r="W2079" s="25"/>
      <c r="X2079" s="25"/>
      <c r="Y2079" s="25"/>
      <c r="Z2079" s="25"/>
      <c r="AA2079" s="25"/>
    </row>
    <row r="2080" spans="1:27" x14ac:dyDescent="0.35">
      <c r="A2080" s="5">
        <v>2076</v>
      </c>
      <c r="B2080" s="5">
        <v>87</v>
      </c>
      <c r="C2080" s="5">
        <v>3</v>
      </c>
      <c r="D2080" s="25">
        <v>1.1415000000000001E-4</v>
      </c>
      <c r="E2080" s="25">
        <v>1.1857E-4</v>
      </c>
      <c r="F2080" s="25">
        <v>1.0145E-4</v>
      </c>
      <c r="G2080" s="25">
        <v>1.6291999999999999E-4</v>
      </c>
      <c r="H2080" s="25">
        <v>1.9408000000000001E-4</v>
      </c>
      <c r="I2080" s="9">
        <v>1.0902E-4</v>
      </c>
      <c r="J2080" s="9">
        <v>1.0374000000000001E-4</v>
      </c>
      <c r="K2080" s="9">
        <v>5.9339999999999998E-5</v>
      </c>
      <c r="L2080" s="9">
        <v>1.6920999999999999E-4</v>
      </c>
      <c r="M2080" s="9">
        <v>1.74E-4</v>
      </c>
      <c r="N2080" s="9">
        <v>1.5637999999999999E-4</v>
      </c>
      <c r="O2080" s="9">
        <v>1.6945999999999999E-4</v>
      </c>
      <c r="P2080" s="9">
        <v>1.7113E-4</v>
      </c>
      <c r="Q2080" s="9">
        <v>1.7379E-4</v>
      </c>
      <c r="R2080" s="10">
        <v>1.669483061509872E-4</v>
      </c>
      <c r="S2080" s="10">
        <v>1.9021268023209357E-4</v>
      </c>
      <c r="T2080" s="10">
        <v>7.3991574632592883E-5</v>
      </c>
      <c r="U2080" s="10">
        <v>1.3625000000000001E-4</v>
      </c>
      <c r="V2080" s="25"/>
      <c r="W2080" s="25"/>
      <c r="X2080" s="25"/>
      <c r="Y2080" s="25"/>
      <c r="Z2080" s="25"/>
      <c r="AA2080" s="25"/>
    </row>
    <row r="2081" spans="1:27" x14ac:dyDescent="0.35">
      <c r="A2081" s="5">
        <v>2077</v>
      </c>
      <c r="B2081" s="5">
        <v>87</v>
      </c>
      <c r="C2081" s="5">
        <v>3</v>
      </c>
      <c r="D2081" s="25">
        <v>1.1416E-4</v>
      </c>
      <c r="E2081" s="25">
        <v>1.2070000000000001E-4</v>
      </c>
      <c r="F2081" s="25">
        <v>9.7529999999999996E-5</v>
      </c>
      <c r="G2081" s="25">
        <v>1.5986E-4</v>
      </c>
      <c r="H2081" s="25">
        <v>1.9987E-4</v>
      </c>
      <c r="I2081" s="9">
        <v>1.053E-4</v>
      </c>
      <c r="J2081" s="9">
        <v>1.0501E-4</v>
      </c>
      <c r="K2081" s="9">
        <v>7.2059999999999998E-5</v>
      </c>
      <c r="L2081" s="9">
        <v>1.6956999999999999E-4</v>
      </c>
      <c r="M2081" s="9">
        <v>1.7301999999999999E-4</v>
      </c>
      <c r="N2081" s="9">
        <v>1.6572000000000001E-4</v>
      </c>
      <c r="O2081" s="9">
        <v>1.6215000000000001E-4</v>
      </c>
      <c r="P2081" s="9">
        <v>1.6462000000000001E-4</v>
      </c>
      <c r="Q2081" s="9">
        <v>1.6804E-4</v>
      </c>
      <c r="R2081" s="10">
        <v>1.9237070225084111E-4</v>
      </c>
      <c r="S2081" s="10">
        <v>1.9028978856575589E-4</v>
      </c>
      <c r="T2081" s="10">
        <v>8.5419925857234863E-5</v>
      </c>
      <c r="U2081" s="10">
        <v>1.3625000000000001E-4</v>
      </c>
      <c r="V2081" s="25"/>
      <c r="W2081" s="25"/>
      <c r="X2081" s="25"/>
      <c r="Y2081" s="25"/>
      <c r="Z2081" s="25"/>
      <c r="AA2081" s="25"/>
    </row>
    <row r="2082" spans="1:27" x14ac:dyDescent="0.35">
      <c r="A2082" s="5">
        <v>2078</v>
      </c>
      <c r="B2082" s="5">
        <v>87</v>
      </c>
      <c r="C2082" s="5">
        <v>3</v>
      </c>
      <c r="D2082" s="25">
        <v>1.1415000000000001E-4</v>
      </c>
      <c r="E2082" s="25">
        <v>1.1629E-4</v>
      </c>
      <c r="F2082" s="25">
        <v>9.365E-5</v>
      </c>
      <c r="G2082" s="25">
        <v>1.5864000000000001E-4</v>
      </c>
      <c r="H2082" s="25">
        <v>1.8934999999999999E-4</v>
      </c>
      <c r="I2082" s="9">
        <v>1.0131E-4</v>
      </c>
      <c r="J2082" s="9">
        <v>1.0382000000000001E-4</v>
      </c>
      <c r="K2082" s="9">
        <v>7.4179999999999998E-5</v>
      </c>
      <c r="L2082" s="9">
        <v>1.6349999999999999E-4</v>
      </c>
      <c r="M2082" s="9">
        <v>1.6972999999999999E-4</v>
      </c>
      <c r="N2082" s="9">
        <v>1.7017000000000001E-4</v>
      </c>
      <c r="O2082" s="9">
        <v>1.7782E-4</v>
      </c>
      <c r="P2082" s="9">
        <v>1.6856999999999999E-4</v>
      </c>
      <c r="Q2082" s="9">
        <v>1.6055999999999999E-4</v>
      </c>
      <c r="R2082" s="10">
        <v>2.0524537707897157E-4</v>
      </c>
      <c r="S2082" s="10">
        <v>1.9029020759484994E-4</v>
      </c>
      <c r="T2082" s="10">
        <v>6.277533089170448E-5</v>
      </c>
      <c r="U2082" s="10">
        <v>1.3625000000000001E-4</v>
      </c>
      <c r="V2082" s="25"/>
      <c r="W2082" s="25"/>
      <c r="X2082" s="25"/>
      <c r="Y2082" s="25"/>
      <c r="Z2082" s="25"/>
      <c r="AA2082" s="25"/>
    </row>
    <row r="2083" spans="1:27" x14ac:dyDescent="0.35">
      <c r="A2083" s="5">
        <v>2079</v>
      </c>
      <c r="B2083" s="5">
        <v>87</v>
      </c>
      <c r="C2083" s="5">
        <v>3</v>
      </c>
      <c r="D2083" s="25">
        <v>1.1416E-4</v>
      </c>
      <c r="E2083" s="25">
        <v>1.1752E-4</v>
      </c>
      <c r="F2083" s="25">
        <v>1.0319000000000001E-4</v>
      </c>
      <c r="G2083" s="25">
        <v>1.6391999999999999E-4</v>
      </c>
      <c r="H2083" s="25">
        <v>1.9802E-4</v>
      </c>
      <c r="I2083" s="9">
        <v>9.9099999999999996E-5</v>
      </c>
      <c r="J2083" s="9">
        <v>1.0166999999999999E-4</v>
      </c>
      <c r="K2083" s="9">
        <v>7.4179999999999998E-5</v>
      </c>
      <c r="L2083" s="9">
        <v>1.7482000000000001E-4</v>
      </c>
      <c r="M2083" s="9">
        <v>1.6836999999999999E-4</v>
      </c>
      <c r="N2083" s="9">
        <v>1.6969000000000001E-4</v>
      </c>
      <c r="O2083" s="9">
        <v>1.8275999999999999E-4</v>
      </c>
      <c r="P2083" s="9">
        <v>1.6672E-4</v>
      </c>
      <c r="Q2083" s="9">
        <v>1.5207E-4</v>
      </c>
      <c r="R2083" s="10">
        <v>2.1060434171378886E-4</v>
      </c>
      <c r="S2083" s="10">
        <v>1.9029020759484994E-4</v>
      </c>
      <c r="T2083" s="10">
        <v>6.339468474426488E-5</v>
      </c>
      <c r="U2083" s="10">
        <v>1.3625000000000001E-4</v>
      </c>
      <c r="V2083" s="25"/>
      <c r="W2083" s="25"/>
      <c r="X2083" s="25"/>
      <c r="Y2083" s="25"/>
      <c r="Z2083" s="25"/>
      <c r="AA2083" s="25"/>
    </row>
    <row r="2084" spans="1:27" x14ac:dyDescent="0.35">
      <c r="A2084" s="5">
        <v>2080</v>
      </c>
      <c r="B2084" s="5">
        <v>87</v>
      </c>
      <c r="C2084" s="5">
        <v>3</v>
      </c>
      <c r="D2084" s="25">
        <v>1.1415000000000001E-4</v>
      </c>
      <c r="E2084" s="25">
        <v>1.1776E-4</v>
      </c>
      <c r="F2084" s="25">
        <v>9.5080000000000004E-5</v>
      </c>
      <c r="G2084" s="25">
        <v>1.6577000000000001E-4</v>
      </c>
      <c r="H2084" s="25">
        <v>1.9652E-4</v>
      </c>
      <c r="I2084" s="9">
        <v>9.8419999999999996E-5</v>
      </c>
      <c r="J2084" s="9">
        <v>1.0234E-4</v>
      </c>
      <c r="K2084" s="9">
        <v>9.5379999999999998E-5</v>
      </c>
      <c r="L2084" s="9">
        <v>1.8071999999999999E-4</v>
      </c>
      <c r="M2084" s="9">
        <v>1.6749000000000001E-4</v>
      </c>
      <c r="N2084" s="9">
        <v>1.6581000000000001E-4</v>
      </c>
      <c r="O2084" s="9">
        <v>1.9683999999999999E-4</v>
      </c>
      <c r="P2084" s="9">
        <v>1.5226000000000001E-4</v>
      </c>
      <c r="Q2084" s="9">
        <v>1.0962E-4</v>
      </c>
      <c r="R2084" s="10">
        <v>2.114336281203475E-4</v>
      </c>
      <c r="S2084" s="10">
        <v>1.9029020759484994E-4</v>
      </c>
      <c r="T2084" s="10">
        <v>5.9950059208107025E-5</v>
      </c>
      <c r="U2084" s="10">
        <v>1.3625000000000001E-4</v>
      </c>
      <c r="V2084" s="25"/>
      <c r="W2084" s="25"/>
      <c r="X2084" s="25"/>
      <c r="Y2084" s="25"/>
      <c r="Z2084" s="25"/>
      <c r="AA2084" s="25"/>
    </row>
    <row r="2085" spans="1:27" x14ac:dyDescent="0.35">
      <c r="A2085" s="5">
        <v>2081</v>
      </c>
      <c r="B2085" s="5">
        <v>87</v>
      </c>
      <c r="C2085" s="5">
        <v>3</v>
      </c>
      <c r="D2085" s="25">
        <v>1.1416E-4</v>
      </c>
      <c r="E2085" s="25">
        <v>1.1598E-4</v>
      </c>
      <c r="F2085" s="25">
        <v>1.0562E-4</v>
      </c>
      <c r="G2085" s="25">
        <v>1.6346000000000001E-4</v>
      </c>
      <c r="H2085" s="25">
        <v>1.8662999999999999E-4</v>
      </c>
      <c r="I2085" s="9">
        <v>9.8079999999999996E-5</v>
      </c>
      <c r="J2085" s="9">
        <v>1.0432E-4</v>
      </c>
      <c r="K2085" s="9">
        <v>9.7490000000000003E-5</v>
      </c>
      <c r="L2085" s="9">
        <v>1.9307999999999999E-4</v>
      </c>
      <c r="M2085" s="9">
        <v>1.6187999999999999E-4</v>
      </c>
      <c r="N2085" s="9">
        <v>1.5218E-4</v>
      </c>
      <c r="O2085" s="9">
        <v>2.1283000000000001E-4</v>
      </c>
      <c r="P2085" s="9">
        <v>1.5867999999999999E-4</v>
      </c>
      <c r="Q2085" s="9">
        <v>1.0673E-4</v>
      </c>
      <c r="R2085" s="10">
        <v>2.118937287555372E-4</v>
      </c>
      <c r="S2085" s="10">
        <v>1.9029020759484994E-4</v>
      </c>
      <c r="T2085" s="10">
        <v>8.1873488728875289E-5</v>
      </c>
      <c r="U2085" s="10">
        <v>1.3625000000000001E-4</v>
      </c>
      <c r="V2085" s="25"/>
      <c r="W2085" s="25"/>
      <c r="X2085" s="25"/>
      <c r="Y2085" s="25"/>
      <c r="Z2085" s="25"/>
      <c r="AA2085" s="25"/>
    </row>
    <row r="2086" spans="1:27" x14ac:dyDescent="0.35">
      <c r="A2086" s="5">
        <v>2082</v>
      </c>
      <c r="B2086" s="5">
        <v>87</v>
      </c>
      <c r="C2086" s="5">
        <v>3</v>
      </c>
      <c r="D2086" s="25">
        <v>1.1415000000000001E-4</v>
      </c>
      <c r="E2086" s="25">
        <v>1.2095999999999999E-4</v>
      </c>
      <c r="F2086" s="25">
        <v>1.1408000000000001E-4</v>
      </c>
      <c r="G2086" s="25">
        <v>1.6307E-4</v>
      </c>
      <c r="H2086" s="25">
        <v>1.9476000000000001E-4</v>
      </c>
      <c r="I2086" s="9">
        <v>1.0158E-4</v>
      </c>
      <c r="J2086" s="9">
        <v>1.0989000000000001E-4</v>
      </c>
      <c r="K2086" s="9">
        <v>1.2716999999999999E-4</v>
      </c>
      <c r="L2086" s="9">
        <v>2.0823E-4</v>
      </c>
      <c r="M2086" s="9">
        <v>1.5918E-4</v>
      </c>
      <c r="N2086" s="9">
        <v>1.3883E-4</v>
      </c>
      <c r="O2086" s="9">
        <v>2.0452E-4</v>
      </c>
      <c r="P2086" s="9">
        <v>1.5993E-4</v>
      </c>
      <c r="Q2086" s="9">
        <v>1.1734E-4</v>
      </c>
      <c r="R2086" s="10">
        <v>2.119764231917028E-4</v>
      </c>
      <c r="S2086" s="10">
        <v>1.9029020759484994E-4</v>
      </c>
      <c r="T2086" s="10">
        <v>2.5054135980970852E-5</v>
      </c>
      <c r="U2086" s="10">
        <v>1.3625000000000001E-4</v>
      </c>
      <c r="V2086" s="25"/>
      <c r="W2086" s="25"/>
      <c r="X2086" s="25"/>
      <c r="Y2086" s="25"/>
      <c r="Z2086" s="25"/>
      <c r="AA2086" s="25"/>
    </row>
    <row r="2087" spans="1:27" x14ac:dyDescent="0.35">
      <c r="A2087" s="5">
        <v>2083</v>
      </c>
      <c r="B2087" s="5">
        <v>87</v>
      </c>
      <c r="C2087" s="5">
        <v>3</v>
      </c>
      <c r="D2087" s="25">
        <v>1.1416E-4</v>
      </c>
      <c r="E2087" s="25">
        <v>1.1708E-4</v>
      </c>
      <c r="F2087" s="25">
        <v>9.6069999999999993E-5</v>
      </c>
      <c r="G2087" s="25">
        <v>1.1191E-4</v>
      </c>
      <c r="H2087" s="25">
        <v>1.2470999999999999E-4</v>
      </c>
      <c r="I2087" s="9">
        <v>1.0418E-4</v>
      </c>
      <c r="J2087" s="9">
        <v>1.0692999999999999E-4</v>
      </c>
      <c r="K2087" s="9">
        <v>1.3352000000000001E-4</v>
      </c>
      <c r="L2087" s="9">
        <v>2.0494999999999999E-4</v>
      </c>
      <c r="M2087" s="9">
        <v>1.5891000000000001E-4</v>
      </c>
      <c r="N2087" s="9">
        <v>1.2972999999999999E-4</v>
      </c>
      <c r="O2087" s="9">
        <v>1.6258000000000001E-4</v>
      </c>
      <c r="P2087" s="9">
        <v>1.3359E-4</v>
      </c>
      <c r="Q2087" s="9">
        <v>1.0603E-4</v>
      </c>
      <c r="R2087" s="10">
        <v>2.1224678292075367E-4</v>
      </c>
      <c r="S2087" s="10">
        <v>1.9029020759484994E-4</v>
      </c>
      <c r="T2087" s="10">
        <v>0</v>
      </c>
      <c r="U2087" s="10">
        <v>1.3625000000000001E-4</v>
      </c>
      <c r="V2087" s="25"/>
      <c r="W2087" s="25"/>
      <c r="X2087" s="25"/>
      <c r="Y2087" s="25"/>
      <c r="Z2087" s="25"/>
      <c r="AA2087" s="25"/>
    </row>
    <row r="2088" spans="1:27" x14ac:dyDescent="0.35">
      <c r="A2088" s="5">
        <v>2084</v>
      </c>
      <c r="B2088" s="5">
        <v>87</v>
      </c>
      <c r="C2088" s="5">
        <v>3</v>
      </c>
      <c r="D2088" s="25">
        <v>1.1415000000000001E-4</v>
      </c>
      <c r="E2088" s="25">
        <v>1.1547E-4</v>
      </c>
      <c r="F2088" s="25">
        <v>1.0035E-4</v>
      </c>
      <c r="G2088" s="25">
        <v>1.1226999999999999E-4</v>
      </c>
      <c r="H2088" s="25">
        <v>1.3250999999999999E-4</v>
      </c>
      <c r="I2088" s="9">
        <v>1.0919E-4</v>
      </c>
      <c r="J2088" s="9">
        <v>1.0608E-4</v>
      </c>
      <c r="K2088" s="9">
        <v>1.3774999999999999E-4</v>
      </c>
      <c r="L2088" s="9">
        <v>1.7207E-4</v>
      </c>
      <c r="M2088" s="9">
        <v>1.4987999999999999E-4</v>
      </c>
      <c r="N2088" s="9">
        <v>1.2045E-4</v>
      </c>
      <c r="O2088" s="9">
        <v>1.2735000000000001E-4</v>
      </c>
      <c r="P2088" s="9">
        <v>1.136E-4</v>
      </c>
      <c r="Q2088" s="9">
        <v>1.0077E-4</v>
      </c>
      <c r="R2088" s="10">
        <v>2.1241222196531279E-4</v>
      </c>
      <c r="S2088" s="10">
        <v>1.9029020759484994E-4</v>
      </c>
      <c r="T2088" s="10">
        <v>0</v>
      </c>
      <c r="U2088" s="10">
        <v>1.3625000000000001E-4</v>
      </c>
      <c r="V2088" s="25"/>
      <c r="W2088" s="25"/>
      <c r="X2088" s="25"/>
      <c r="Y2088" s="25"/>
      <c r="Z2088" s="25"/>
      <c r="AA2088" s="25"/>
    </row>
    <row r="2089" spans="1:27" x14ac:dyDescent="0.35">
      <c r="A2089" s="5">
        <v>2085</v>
      </c>
      <c r="B2089" s="5">
        <v>87</v>
      </c>
      <c r="C2089" s="5">
        <v>3</v>
      </c>
      <c r="D2089" s="25">
        <v>1.1416E-4</v>
      </c>
      <c r="E2089" s="25">
        <v>1.1699E-4</v>
      </c>
      <c r="F2089" s="25">
        <v>9.9190000000000004E-5</v>
      </c>
      <c r="G2089" s="25">
        <v>5.2580000000000001E-5</v>
      </c>
      <c r="H2089" s="25">
        <v>7.4909999999999999E-5</v>
      </c>
      <c r="I2089" s="9">
        <v>1.086E-4</v>
      </c>
      <c r="J2089" s="9">
        <v>1.089E-4</v>
      </c>
      <c r="K2089" s="9">
        <v>1.4411E-4</v>
      </c>
      <c r="L2089" s="9">
        <v>1.382E-4</v>
      </c>
      <c r="M2089" s="9">
        <v>1.3430000000000001E-4</v>
      </c>
      <c r="N2089" s="9">
        <v>1.1258E-4</v>
      </c>
      <c r="O2089" s="9">
        <v>8.4170000000000002E-5</v>
      </c>
      <c r="P2089" s="9">
        <v>8.5809999999999993E-5</v>
      </c>
      <c r="Q2089" s="9">
        <v>8.7789999999999998E-5</v>
      </c>
      <c r="R2089" s="10">
        <v>2.1235609369924717E-4</v>
      </c>
      <c r="S2089" s="10">
        <v>1.9029020759484994E-4</v>
      </c>
      <c r="T2089" s="10">
        <v>0</v>
      </c>
      <c r="U2089" s="10">
        <v>1.3625000000000001E-4</v>
      </c>
      <c r="V2089" s="25"/>
      <c r="W2089" s="25"/>
      <c r="X2089" s="25"/>
      <c r="Y2089" s="25"/>
      <c r="Z2089" s="25"/>
      <c r="AA2089" s="25"/>
    </row>
    <row r="2090" spans="1:27" x14ac:dyDescent="0.35">
      <c r="A2090" s="5">
        <v>2086</v>
      </c>
      <c r="B2090" s="5">
        <v>87</v>
      </c>
      <c r="C2090" s="5">
        <v>3</v>
      </c>
      <c r="D2090" s="25">
        <v>1.1415000000000001E-4</v>
      </c>
      <c r="E2090" s="25">
        <v>1.1945E-4</v>
      </c>
      <c r="F2090" s="25">
        <v>1.0438999999999999E-4</v>
      </c>
      <c r="G2090" s="25">
        <v>6.033E-5</v>
      </c>
      <c r="H2090" s="25">
        <v>6.3600000000000001E-5</v>
      </c>
      <c r="I2090" s="9">
        <v>1.0873E-4</v>
      </c>
      <c r="J2090" s="9">
        <v>1.0546E-4</v>
      </c>
      <c r="K2090" s="9">
        <v>1.4836E-4</v>
      </c>
      <c r="L2090" s="9">
        <v>9.6979999999999996E-5</v>
      </c>
      <c r="M2090" s="9">
        <v>1.1284E-4</v>
      </c>
      <c r="N2090" s="9">
        <v>1.0495E-4</v>
      </c>
      <c r="O2090" s="9">
        <v>8.7800000000000006E-5</v>
      </c>
      <c r="P2090" s="9">
        <v>8.8049999999999999E-5</v>
      </c>
      <c r="Q2090" s="9">
        <v>8.8700000000000001E-5</v>
      </c>
      <c r="R2090" s="10">
        <v>2.1237457002666019E-4</v>
      </c>
      <c r="S2090" s="10">
        <v>1.9029020759484994E-4</v>
      </c>
      <c r="T2090" s="10">
        <v>0</v>
      </c>
      <c r="U2090" s="10">
        <v>1.3625000000000001E-4</v>
      </c>
      <c r="V2090" s="25"/>
      <c r="W2090" s="25"/>
      <c r="X2090" s="25"/>
      <c r="Y2090" s="25"/>
      <c r="Z2090" s="25"/>
      <c r="AA2090" s="25"/>
    </row>
    <row r="2091" spans="1:27" x14ac:dyDescent="0.35">
      <c r="A2091" s="5">
        <v>2087</v>
      </c>
      <c r="B2091" s="5">
        <v>87</v>
      </c>
      <c r="C2091" s="5">
        <v>3</v>
      </c>
      <c r="D2091" s="25">
        <v>1.1416E-4</v>
      </c>
      <c r="E2091" s="25">
        <v>1.1097E-4</v>
      </c>
      <c r="F2091" s="25">
        <v>1.0122E-4</v>
      </c>
      <c r="G2091" s="25">
        <v>5.9920000000000002E-5</v>
      </c>
      <c r="H2091" s="25">
        <v>6.9339999999999997E-5</v>
      </c>
      <c r="I2091" s="9">
        <v>1.0862E-4</v>
      </c>
      <c r="J2091" s="9">
        <v>9.8950000000000006E-5</v>
      </c>
      <c r="K2091" s="9">
        <v>1.5046999999999999E-4</v>
      </c>
      <c r="L2091" s="9">
        <v>9.0729999999999994E-5</v>
      </c>
      <c r="M2091" s="9">
        <v>9.8670000000000002E-5</v>
      </c>
      <c r="N2091" s="9">
        <v>9.9359999999999997E-5</v>
      </c>
      <c r="O2091" s="9">
        <v>7.8300000000000006E-5</v>
      </c>
      <c r="P2091" s="9">
        <v>7.2589999999999994E-5</v>
      </c>
      <c r="Q2091" s="9">
        <v>6.7310000000000004E-5</v>
      </c>
      <c r="R2091" s="10">
        <v>2.1242090407176925E-4</v>
      </c>
      <c r="S2091" s="10">
        <v>1.9029013458177744E-4</v>
      </c>
      <c r="T2091" s="10">
        <v>0</v>
      </c>
      <c r="U2091" s="10">
        <v>1.3625000000000001E-4</v>
      </c>
      <c r="V2091" s="25"/>
      <c r="W2091" s="25"/>
      <c r="X2091" s="25"/>
      <c r="Y2091" s="25"/>
      <c r="Z2091" s="25"/>
      <c r="AA2091" s="25"/>
    </row>
    <row r="2092" spans="1:27" x14ac:dyDescent="0.35">
      <c r="A2092" s="5">
        <v>2088</v>
      </c>
      <c r="B2092" s="5">
        <v>87</v>
      </c>
      <c r="C2092" s="5">
        <v>3</v>
      </c>
      <c r="D2092" s="25">
        <v>1.1415000000000001E-4</v>
      </c>
      <c r="E2092" s="25">
        <v>1.1773999999999999E-4</v>
      </c>
      <c r="F2092" s="25">
        <v>1.038E-4</v>
      </c>
      <c r="G2092" s="25">
        <v>5.7989999999999999E-5</v>
      </c>
      <c r="H2092" s="25">
        <v>7.3209999999999999E-5</v>
      </c>
      <c r="I2092" s="9">
        <v>1.0207E-4</v>
      </c>
      <c r="J2092" s="9">
        <v>9.7349999999999995E-5</v>
      </c>
      <c r="K2092" s="9">
        <v>1.5259E-4</v>
      </c>
      <c r="L2092" s="9">
        <v>8.1000000000000004E-5</v>
      </c>
      <c r="M2092" s="9">
        <v>8.619E-5</v>
      </c>
      <c r="N2092" s="9">
        <v>9.0299999999999999E-5</v>
      </c>
      <c r="O2092" s="9">
        <v>6.2500000000000001E-5</v>
      </c>
      <c r="P2092" s="9">
        <v>6.0449999999999999E-5</v>
      </c>
      <c r="Q2092" s="9">
        <v>5.8640000000000001E-5</v>
      </c>
      <c r="R2092" s="10">
        <v>2.1239393330585752E-4</v>
      </c>
      <c r="S2092" s="10">
        <v>1.9028486726479704E-4</v>
      </c>
      <c r="T2092" s="10">
        <v>0</v>
      </c>
      <c r="U2092" s="10">
        <v>1.3625000000000001E-4</v>
      </c>
      <c r="V2092" s="25"/>
      <c r="W2092" s="25"/>
      <c r="X2092" s="25"/>
      <c r="Y2092" s="25"/>
      <c r="Z2092" s="25"/>
      <c r="AA2092" s="25"/>
    </row>
    <row r="2093" spans="1:27" x14ac:dyDescent="0.35">
      <c r="A2093" s="5">
        <v>2089</v>
      </c>
      <c r="B2093" s="5">
        <v>88</v>
      </c>
      <c r="C2093" s="5">
        <v>3</v>
      </c>
      <c r="D2093" s="25">
        <v>1.1416E-4</v>
      </c>
      <c r="E2093" s="25">
        <v>1.1451999999999999E-4</v>
      </c>
      <c r="F2093" s="25">
        <v>1.2517E-4</v>
      </c>
      <c r="G2093" s="25">
        <v>5.571E-5</v>
      </c>
      <c r="H2093" s="25">
        <v>6.3670000000000005E-5</v>
      </c>
      <c r="I2093" s="9">
        <v>9.6139999999999998E-5</v>
      </c>
      <c r="J2093" s="9">
        <v>9.3729999999999999E-5</v>
      </c>
      <c r="K2093" s="9">
        <v>1.5259E-4</v>
      </c>
      <c r="L2093" s="9">
        <v>6.6569999999999995E-5</v>
      </c>
      <c r="M2093" s="9">
        <v>7.4049999999999997E-5</v>
      </c>
      <c r="N2093" s="9">
        <v>8.0980000000000001E-5</v>
      </c>
      <c r="O2093" s="9">
        <v>5.4129999999999998E-5</v>
      </c>
      <c r="P2093" s="9">
        <v>5.3550000000000001E-5</v>
      </c>
      <c r="Q2093" s="9">
        <v>5.3130000000000001E-5</v>
      </c>
      <c r="R2093" s="10">
        <v>2.1233647945836324E-4</v>
      </c>
      <c r="S2093" s="10">
        <v>1.8912756319677763E-4</v>
      </c>
      <c r="T2093" s="10">
        <v>0</v>
      </c>
      <c r="U2093" s="10">
        <v>1.3547E-4</v>
      </c>
      <c r="V2093" s="25"/>
      <c r="W2093" s="25"/>
      <c r="X2093" s="25"/>
      <c r="Y2093" s="25"/>
      <c r="Z2093" s="25"/>
      <c r="AA2093" s="25"/>
    </row>
    <row r="2094" spans="1:27" x14ac:dyDescent="0.35">
      <c r="A2094" s="5">
        <v>2090</v>
      </c>
      <c r="B2094" s="5">
        <v>88</v>
      </c>
      <c r="C2094" s="5">
        <v>3</v>
      </c>
      <c r="D2094" s="25">
        <v>1.1415000000000001E-4</v>
      </c>
      <c r="E2094" s="25">
        <v>1.1398E-4</v>
      </c>
      <c r="F2094" s="25">
        <v>1.1090999999999999E-4</v>
      </c>
      <c r="G2094" s="25">
        <v>5.94E-5</v>
      </c>
      <c r="H2094" s="25">
        <v>7.0030000000000005E-5</v>
      </c>
      <c r="I2094" s="9">
        <v>9.1890000000000003E-5</v>
      </c>
      <c r="J2094" s="9">
        <v>9.1689999999999998E-5</v>
      </c>
      <c r="K2094" s="9">
        <v>1.5470999999999999E-4</v>
      </c>
      <c r="L2094" s="9">
        <v>5.7259999999999997E-5</v>
      </c>
      <c r="M2094" s="9">
        <v>6.3769999999999994E-5</v>
      </c>
      <c r="N2094" s="9">
        <v>7.1920000000000003E-5</v>
      </c>
      <c r="O2094" s="9">
        <v>1.906E-5</v>
      </c>
      <c r="P2094" s="9">
        <v>3.8059999999999998E-5</v>
      </c>
      <c r="Q2094" s="9">
        <v>5.6650000000000001E-5</v>
      </c>
      <c r="R2094" s="10">
        <v>2.1239985049430679E-4</v>
      </c>
      <c r="S2094" s="10">
        <v>1.8543370211264275E-4</v>
      </c>
      <c r="T2094" s="10">
        <v>0</v>
      </c>
      <c r="U2094" s="10">
        <v>1.3547E-4</v>
      </c>
      <c r="V2094" s="25"/>
      <c r="W2094" s="25"/>
      <c r="X2094" s="25"/>
      <c r="Y2094" s="25"/>
      <c r="Z2094" s="25"/>
      <c r="AA2094" s="25"/>
    </row>
    <row r="2095" spans="1:27" x14ac:dyDescent="0.35">
      <c r="A2095" s="5">
        <v>2091</v>
      </c>
      <c r="B2095" s="5">
        <v>88</v>
      </c>
      <c r="C2095" s="5">
        <v>3</v>
      </c>
      <c r="D2095" s="25">
        <v>1.1416E-4</v>
      </c>
      <c r="E2095" s="25">
        <v>1.1566E-4</v>
      </c>
      <c r="F2095" s="25">
        <v>1.1493999999999999E-4</v>
      </c>
      <c r="G2095" s="25">
        <v>5.3609999999999997E-5</v>
      </c>
      <c r="H2095" s="25">
        <v>7.3200000000000004E-5</v>
      </c>
      <c r="I2095" s="9">
        <v>8.9569999999999998E-5</v>
      </c>
      <c r="J2095" s="9">
        <v>9.0719999999999999E-5</v>
      </c>
      <c r="K2095" s="9">
        <v>1.5896000000000001E-4</v>
      </c>
      <c r="L2095" s="9">
        <v>2.7679999999999999E-5</v>
      </c>
      <c r="M2095" s="9">
        <v>5.2169999999999997E-5</v>
      </c>
      <c r="N2095" s="9">
        <v>6.5530000000000004E-5</v>
      </c>
      <c r="O2095" s="9">
        <v>1.3499999999999999E-5</v>
      </c>
      <c r="P2095" s="9">
        <v>3.7969999999999997E-5</v>
      </c>
      <c r="Q2095" s="9">
        <v>6.1890000000000005E-5</v>
      </c>
      <c r="R2095" s="10">
        <v>2.1244120528256371E-4</v>
      </c>
      <c r="S2095" s="10">
        <v>1.7652865696029746E-4</v>
      </c>
      <c r="T2095" s="10">
        <v>0</v>
      </c>
      <c r="U2095" s="10">
        <v>1.3547E-4</v>
      </c>
      <c r="V2095" s="25"/>
      <c r="W2095" s="25"/>
      <c r="X2095" s="25"/>
      <c r="Y2095" s="25"/>
      <c r="Z2095" s="25"/>
      <c r="AA2095" s="25"/>
    </row>
    <row r="2096" spans="1:27" x14ac:dyDescent="0.35">
      <c r="A2096" s="5">
        <v>2092</v>
      </c>
      <c r="B2096" s="5">
        <v>88</v>
      </c>
      <c r="C2096" s="5">
        <v>3</v>
      </c>
      <c r="D2096" s="25">
        <v>1.1415000000000001E-4</v>
      </c>
      <c r="E2096" s="25">
        <v>1.2402E-4</v>
      </c>
      <c r="F2096" s="25">
        <v>1.1916E-4</v>
      </c>
      <c r="G2096" s="25">
        <v>5.8130000000000001E-5</v>
      </c>
      <c r="H2096" s="25">
        <v>6.6160000000000004E-5</v>
      </c>
      <c r="I2096" s="9">
        <v>8.9690000000000004E-5</v>
      </c>
      <c r="J2096" s="9">
        <v>9.1349999999999998E-5</v>
      </c>
      <c r="K2096" s="9">
        <v>1.5683E-4</v>
      </c>
      <c r="L2096" s="9">
        <v>1.7350000000000002E-5</v>
      </c>
      <c r="M2096" s="9">
        <v>4.4299999999999999E-5</v>
      </c>
      <c r="N2096" s="9">
        <v>6.2030000000000001E-5</v>
      </c>
      <c r="O2096" s="9">
        <v>1.3550000000000001E-5</v>
      </c>
      <c r="P2096" s="9">
        <v>4.7630000000000003E-5</v>
      </c>
      <c r="Q2096" s="9">
        <v>8.1009999999999999E-5</v>
      </c>
      <c r="R2096" s="10">
        <v>2.1244323946978408E-4</v>
      </c>
      <c r="S2096" s="10">
        <v>1.743385870716119E-4</v>
      </c>
      <c r="T2096" s="10">
        <v>0</v>
      </c>
      <c r="U2096" s="10">
        <v>1.3547E-4</v>
      </c>
      <c r="V2096" s="25"/>
      <c r="W2096" s="25"/>
      <c r="X2096" s="25"/>
      <c r="Y2096" s="25"/>
      <c r="Z2096" s="25"/>
      <c r="AA2096" s="25"/>
    </row>
    <row r="2097" spans="1:27" x14ac:dyDescent="0.35">
      <c r="A2097" s="5">
        <v>2093</v>
      </c>
      <c r="B2097" s="5">
        <v>88</v>
      </c>
      <c r="C2097" s="5">
        <v>3</v>
      </c>
      <c r="D2097" s="25">
        <v>1.1416E-4</v>
      </c>
      <c r="E2097" s="25">
        <v>1.143E-4</v>
      </c>
      <c r="F2097" s="25">
        <v>1.2063E-4</v>
      </c>
      <c r="G2097" s="25">
        <v>6.2730000000000004E-5</v>
      </c>
      <c r="H2097" s="25">
        <v>6.8759999999999999E-5</v>
      </c>
      <c r="I2097" s="9">
        <v>9.1619999999999994E-5</v>
      </c>
      <c r="J2097" s="9">
        <v>9.2709999999999998E-5</v>
      </c>
      <c r="K2097" s="9">
        <v>1.5894999999999999E-4</v>
      </c>
      <c r="L2097" s="9">
        <v>1.4630000000000001E-5</v>
      </c>
      <c r="M2097" s="9">
        <v>4.3730000000000003E-5</v>
      </c>
      <c r="N2097" s="9">
        <v>6.4700000000000001E-5</v>
      </c>
      <c r="O2097" s="9">
        <v>1.9009999999999999E-5</v>
      </c>
      <c r="P2097" s="9">
        <v>5.694E-5</v>
      </c>
      <c r="Q2097" s="9">
        <v>9.4160000000000006E-5</v>
      </c>
      <c r="R2097" s="10">
        <v>2.1240068781692675E-4</v>
      </c>
      <c r="S2097" s="10">
        <v>1.8160336558110054E-4</v>
      </c>
      <c r="T2097" s="10">
        <v>0</v>
      </c>
      <c r="U2097" s="10">
        <v>1.3547E-4</v>
      </c>
      <c r="V2097" s="25"/>
      <c r="W2097" s="25"/>
      <c r="X2097" s="25"/>
      <c r="Y2097" s="25"/>
      <c r="Z2097" s="25"/>
      <c r="AA2097" s="25"/>
    </row>
    <row r="2098" spans="1:27" x14ac:dyDescent="0.35">
      <c r="A2098" s="5">
        <v>2094</v>
      </c>
      <c r="B2098" s="5">
        <v>88</v>
      </c>
      <c r="C2098" s="5">
        <v>3</v>
      </c>
      <c r="D2098" s="25">
        <v>1.1415000000000001E-4</v>
      </c>
      <c r="E2098" s="25">
        <v>1.2263000000000001E-4</v>
      </c>
      <c r="F2098" s="25">
        <v>1.1788E-4</v>
      </c>
      <c r="G2098" s="25">
        <v>1.0774E-4</v>
      </c>
      <c r="H2098" s="25">
        <v>1.2888E-4</v>
      </c>
      <c r="I2098" s="9">
        <v>9.5099999999999994E-5</v>
      </c>
      <c r="J2098" s="9">
        <v>9.6310000000000005E-5</v>
      </c>
      <c r="K2098" s="9">
        <v>1.5683E-4</v>
      </c>
      <c r="L2098" s="9">
        <v>1.791E-5</v>
      </c>
      <c r="M2098" s="9">
        <v>4.8690000000000003E-5</v>
      </c>
      <c r="N2098" s="9">
        <v>7.135E-5</v>
      </c>
      <c r="O2098" s="9">
        <v>4.587E-5</v>
      </c>
      <c r="P2098" s="9">
        <v>7.6149999999999994E-5</v>
      </c>
      <c r="Q2098" s="9">
        <v>1.0603E-4</v>
      </c>
      <c r="R2098" s="10">
        <v>2.1238553199834297E-4</v>
      </c>
      <c r="S2098" s="10">
        <v>1.8884164902153338E-4</v>
      </c>
      <c r="T2098" s="10">
        <v>0</v>
      </c>
      <c r="U2098" s="10">
        <v>1.3547E-4</v>
      </c>
      <c r="V2098" s="25"/>
      <c r="W2098" s="25"/>
      <c r="X2098" s="25"/>
      <c r="Y2098" s="25"/>
      <c r="Z2098" s="25"/>
      <c r="AA2098" s="25"/>
    </row>
    <row r="2099" spans="1:27" x14ac:dyDescent="0.35">
      <c r="A2099" s="5">
        <v>2095</v>
      </c>
      <c r="B2099" s="5">
        <v>88</v>
      </c>
      <c r="C2099" s="5">
        <v>3</v>
      </c>
      <c r="D2099" s="25">
        <v>1.1416E-4</v>
      </c>
      <c r="E2099" s="25">
        <v>1.1926000000000001E-4</v>
      </c>
      <c r="F2099" s="25">
        <v>1.0908000000000001E-4</v>
      </c>
      <c r="G2099" s="25">
        <v>1.1276E-4</v>
      </c>
      <c r="H2099" s="25">
        <v>1.3559999999999999E-4</v>
      </c>
      <c r="I2099" s="9">
        <v>9.3040000000000004E-5</v>
      </c>
      <c r="J2099" s="9">
        <v>9.9920000000000006E-5</v>
      </c>
      <c r="K2099" s="9">
        <v>1.5048000000000001E-4</v>
      </c>
      <c r="L2099" s="9">
        <v>3.9579999999999997E-5</v>
      </c>
      <c r="M2099" s="9">
        <v>5.9969999999999997E-5</v>
      </c>
      <c r="N2099" s="9">
        <v>8.0809999999999994E-5</v>
      </c>
      <c r="O2099" s="9">
        <v>1.2254E-4</v>
      </c>
      <c r="P2099" s="9">
        <v>1.1686E-4</v>
      </c>
      <c r="Q2099" s="9">
        <v>1.1195E-4</v>
      </c>
      <c r="R2099" s="10">
        <v>2.123915236285773E-4</v>
      </c>
      <c r="S2099" s="10">
        <v>1.8779689280453709E-4</v>
      </c>
      <c r="T2099" s="10">
        <v>4.1827595796202602E-6</v>
      </c>
      <c r="U2099" s="10">
        <v>1.3547E-4</v>
      </c>
      <c r="V2099" s="25"/>
      <c r="W2099" s="25"/>
      <c r="X2099" s="25"/>
      <c r="Y2099" s="25"/>
      <c r="Z2099" s="25"/>
      <c r="AA2099" s="25"/>
    </row>
    <row r="2100" spans="1:27" x14ac:dyDescent="0.35">
      <c r="A2100" s="5">
        <v>2096</v>
      </c>
      <c r="B2100" s="5">
        <v>88</v>
      </c>
      <c r="C2100" s="5">
        <v>3</v>
      </c>
      <c r="D2100" s="25">
        <v>1.1415000000000001E-4</v>
      </c>
      <c r="E2100" s="25">
        <v>1.2281E-4</v>
      </c>
      <c r="F2100" s="25">
        <v>1.0792E-4</v>
      </c>
      <c r="G2100" s="25">
        <v>1.6068000000000001E-4</v>
      </c>
      <c r="H2100" s="25">
        <v>2.0047000000000001E-4</v>
      </c>
      <c r="I2100" s="9">
        <v>9.5810000000000006E-5</v>
      </c>
      <c r="J2100" s="9">
        <v>1.05E-4</v>
      </c>
      <c r="K2100" s="9">
        <v>1.4412E-4</v>
      </c>
      <c r="L2100" s="9">
        <v>1.0368E-4</v>
      </c>
      <c r="M2100" s="9">
        <v>8.3350000000000007E-5</v>
      </c>
      <c r="N2100" s="9">
        <v>9.0749999999999997E-5</v>
      </c>
      <c r="O2100" s="9">
        <v>2.1711000000000001E-4</v>
      </c>
      <c r="P2100" s="9">
        <v>1.752E-4</v>
      </c>
      <c r="Q2100" s="9">
        <v>1.3533999999999999E-4</v>
      </c>
      <c r="R2100" s="10">
        <v>2.1241195830154575E-4</v>
      </c>
      <c r="S2100" s="10">
        <v>1.86455407890557E-4</v>
      </c>
      <c r="T2100" s="10">
        <v>8.2976447644393799E-6</v>
      </c>
      <c r="U2100" s="10">
        <v>1.3547E-4</v>
      </c>
      <c r="V2100" s="25"/>
      <c r="W2100" s="25"/>
      <c r="X2100" s="25"/>
      <c r="Y2100" s="25"/>
      <c r="Z2100" s="25"/>
      <c r="AA2100" s="25"/>
    </row>
    <row r="2101" spans="1:27" x14ac:dyDescent="0.35">
      <c r="A2101" s="5">
        <v>2097</v>
      </c>
      <c r="B2101" s="5">
        <v>88</v>
      </c>
      <c r="C2101" s="5">
        <v>3</v>
      </c>
      <c r="D2101" s="25">
        <v>1.1416E-4</v>
      </c>
      <c r="E2101" s="25">
        <v>1.2313999999999999E-4</v>
      </c>
      <c r="F2101" s="25">
        <v>1.1004E-4</v>
      </c>
      <c r="G2101" s="25">
        <v>1.5877E-4</v>
      </c>
      <c r="H2101" s="25">
        <v>1.9604E-4</v>
      </c>
      <c r="I2101" s="9">
        <v>1.0145E-4</v>
      </c>
      <c r="J2101" s="9">
        <v>1.0597E-4</v>
      </c>
      <c r="K2101" s="9">
        <v>1.1657E-4</v>
      </c>
      <c r="L2101" s="9">
        <v>1.9039999999999999E-4</v>
      </c>
      <c r="M2101" s="9">
        <v>1.2247000000000001E-4</v>
      </c>
      <c r="N2101" s="9">
        <v>1.0416000000000001E-4</v>
      </c>
      <c r="O2101" s="9">
        <v>2.1083000000000001E-4</v>
      </c>
      <c r="P2101" s="9">
        <v>1.9296E-4</v>
      </c>
      <c r="Q2101" s="9">
        <v>1.7671000000000001E-4</v>
      </c>
      <c r="R2101" s="10">
        <v>2.1233184770000859E-4</v>
      </c>
      <c r="S2101" s="10">
        <v>1.8776877403304666E-4</v>
      </c>
      <c r="T2101" s="10">
        <v>7.6112649470128522E-5</v>
      </c>
      <c r="U2101" s="10">
        <v>1.3547E-4</v>
      </c>
      <c r="V2101" s="25"/>
      <c r="W2101" s="25"/>
      <c r="X2101" s="25"/>
      <c r="Y2101" s="25"/>
      <c r="Z2101" s="25"/>
      <c r="AA2101" s="25"/>
    </row>
    <row r="2102" spans="1:27" x14ac:dyDescent="0.35">
      <c r="A2102" s="5">
        <v>2098</v>
      </c>
      <c r="B2102" s="5">
        <v>88</v>
      </c>
      <c r="C2102" s="5">
        <v>3</v>
      </c>
      <c r="D2102" s="25">
        <v>1.1415000000000001E-4</v>
      </c>
      <c r="E2102" s="25">
        <v>1.1864E-4</v>
      </c>
      <c r="F2102" s="25">
        <v>1.2002000000000001E-4</v>
      </c>
      <c r="G2102" s="25">
        <v>1.6336000000000001E-4</v>
      </c>
      <c r="H2102" s="25">
        <v>1.9341000000000001E-4</v>
      </c>
      <c r="I2102" s="9">
        <v>1.0615000000000001E-4</v>
      </c>
      <c r="J2102" s="9">
        <v>1.0675000000000001E-4</v>
      </c>
      <c r="K2102" s="9">
        <v>1.0809E-4</v>
      </c>
      <c r="L2102" s="9">
        <v>2.0405E-4</v>
      </c>
      <c r="M2102" s="9">
        <v>1.5776000000000001E-4</v>
      </c>
      <c r="N2102" s="9">
        <v>1.2412E-4</v>
      </c>
      <c r="O2102" s="9">
        <v>1.6604E-4</v>
      </c>
      <c r="P2102" s="9">
        <v>1.7310000000000001E-4</v>
      </c>
      <c r="Q2102" s="9">
        <v>1.8106E-4</v>
      </c>
      <c r="R2102" s="10">
        <v>2.1235179640989154E-4</v>
      </c>
      <c r="S2102" s="10">
        <v>1.8955448843952007E-4</v>
      </c>
      <c r="T2102" s="10">
        <v>7.3737045652088611E-5</v>
      </c>
      <c r="U2102" s="10">
        <v>1.3547E-4</v>
      </c>
      <c r="V2102" s="25"/>
      <c r="W2102" s="25"/>
      <c r="X2102" s="25"/>
      <c r="Y2102" s="25"/>
      <c r="Z2102" s="25"/>
      <c r="AA2102" s="25"/>
    </row>
    <row r="2103" spans="1:27" x14ac:dyDescent="0.35">
      <c r="A2103" s="5">
        <v>2099</v>
      </c>
      <c r="B2103" s="5">
        <v>88</v>
      </c>
      <c r="C2103" s="5">
        <v>3</v>
      </c>
      <c r="D2103" s="25">
        <v>1.1416E-4</v>
      </c>
      <c r="E2103" s="25">
        <v>1.2434999999999999E-4</v>
      </c>
      <c r="F2103" s="25">
        <v>1.1222000000000001E-4</v>
      </c>
      <c r="G2103" s="25">
        <v>1.5683E-4</v>
      </c>
      <c r="H2103" s="25">
        <v>1.9788E-4</v>
      </c>
      <c r="I2103" s="9">
        <v>1.1173E-4</v>
      </c>
      <c r="J2103" s="9">
        <v>1.0713E-4</v>
      </c>
      <c r="K2103" s="9">
        <v>7.2059999999999998E-5</v>
      </c>
      <c r="L2103" s="9">
        <v>1.7443999999999999E-4</v>
      </c>
      <c r="M2103" s="9">
        <v>1.7148E-4</v>
      </c>
      <c r="N2103" s="9">
        <v>1.4198999999999999E-4</v>
      </c>
      <c r="O2103" s="9">
        <v>1.6793E-4</v>
      </c>
      <c r="P2103" s="9">
        <v>1.7372000000000001E-4</v>
      </c>
      <c r="Q2103" s="9">
        <v>1.8044E-4</v>
      </c>
      <c r="R2103" s="10">
        <v>2.1222132296710785E-4</v>
      </c>
      <c r="S2103" s="10">
        <v>1.9021227344220206E-4</v>
      </c>
      <c r="T2103" s="10">
        <v>9.286065638730985E-5</v>
      </c>
      <c r="U2103" s="10">
        <v>1.3547E-4</v>
      </c>
      <c r="V2103" s="25"/>
      <c r="W2103" s="25"/>
      <c r="X2103" s="25"/>
      <c r="Y2103" s="25"/>
      <c r="Z2103" s="25"/>
      <c r="AA2103" s="25"/>
    </row>
    <row r="2104" spans="1:27" x14ac:dyDescent="0.35">
      <c r="A2104" s="5">
        <v>2100</v>
      </c>
      <c r="B2104" s="5">
        <v>88</v>
      </c>
      <c r="C2104" s="5">
        <v>3</v>
      </c>
      <c r="D2104" s="25">
        <v>1.1415000000000001E-4</v>
      </c>
      <c r="E2104" s="25">
        <v>1.1307E-4</v>
      </c>
      <c r="F2104" s="25">
        <v>1.0676E-4</v>
      </c>
      <c r="G2104" s="25">
        <v>1.6076E-4</v>
      </c>
      <c r="H2104" s="25">
        <v>1.9149E-4</v>
      </c>
      <c r="I2104" s="9">
        <v>1.1333E-4</v>
      </c>
      <c r="J2104" s="9">
        <v>1.0501999999999999E-4</v>
      </c>
      <c r="K2104" s="9">
        <v>4.6629999999999999E-5</v>
      </c>
      <c r="L2104" s="9">
        <v>1.7077999999999999E-4</v>
      </c>
      <c r="M2104" s="9">
        <v>1.7461000000000001E-4</v>
      </c>
      <c r="N2104" s="9">
        <v>1.5637999999999999E-4</v>
      </c>
      <c r="O2104" s="9">
        <v>1.7118999999999999E-4</v>
      </c>
      <c r="P2104" s="9">
        <v>1.7286999999999999E-4</v>
      </c>
      <c r="Q2104" s="9">
        <v>1.7556000000000001E-4</v>
      </c>
      <c r="R2104" s="10">
        <v>2.1131015632824007E-4</v>
      </c>
      <c r="S2104" s="10">
        <v>1.9016938516268927E-4</v>
      </c>
      <c r="T2104" s="10">
        <v>7.9854225483541382E-5</v>
      </c>
      <c r="U2104" s="10">
        <v>1.3547E-4</v>
      </c>
      <c r="V2104" s="25"/>
      <c r="W2104" s="25"/>
      <c r="X2104" s="25"/>
      <c r="Y2104" s="25"/>
      <c r="Z2104" s="25"/>
      <c r="AA2104" s="25"/>
    </row>
    <row r="2105" spans="1:27" x14ac:dyDescent="0.35">
      <c r="A2105" s="5">
        <v>2101</v>
      </c>
      <c r="B2105" s="5">
        <v>88</v>
      </c>
      <c r="C2105" s="5">
        <v>3</v>
      </c>
      <c r="D2105" s="25">
        <v>1.1416E-4</v>
      </c>
      <c r="E2105" s="25">
        <v>1.1341999999999999E-4</v>
      </c>
      <c r="F2105" s="25">
        <v>1.2532E-4</v>
      </c>
      <c r="G2105" s="25">
        <v>1.6626999999999999E-4</v>
      </c>
      <c r="H2105" s="25">
        <v>1.8746E-4</v>
      </c>
      <c r="I2105" s="9">
        <v>1.0957E-4</v>
      </c>
      <c r="J2105" s="9">
        <v>1.0158999999999999E-4</v>
      </c>
      <c r="K2105" s="9">
        <v>3.8149999999999999E-5</v>
      </c>
      <c r="L2105" s="9">
        <v>1.7123999999999999E-4</v>
      </c>
      <c r="M2105" s="9">
        <v>1.7431E-4</v>
      </c>
      <c r="N2105" s="9">
        <v>1.6626999999999999E-4</v>
      </c>
      <c r="O2105" s="9">
        <v>1.628E-4</v>
      </c>
      <c r="P2105" s="9">
        <v>1.6529000000000001E-4</v>
      </c>
      <c r="Q2105" s="9">
        <v>1.6871E-4</v>
      </c>
      <c r="R2105" s="10">
        <v>2.1200365965658277E-4</v>
      </c>
      <c r="S2105" s="10">
        <v>1.8990397928072631E-4</v>
      </c>
      <c r="T2105" s="10">
        <v>7.0241514319829897E-5</v>
      </c>
      <c r="U2105" s="10">
        <v>1.3547E-4</v>
      </c>
      <c r="V2105" s="25"/>
      <c r="W2105" s="25"/>
      <c r="X2105" s="25"/>
      <c r="Y2105" s="25"/>
      <c r="Z2105" s="25"/>
      <c r="AA2105" s="25"/>
    </row>
    <row r="2106" spans="1:27" x14ac:dyDescent="0.35">
      <c r="A2106" s="5">
        <v>2102</v>
      </c>
      <c r="B2106" s="5">
        <v>88</v>
      </c>
      <c r="C2106" s="5">
        <v>3</v>
      </c>
      <c r="D2106" s="25">
        <v>1.1415000000000001E-4</v>
      </c>
      <c r="E2106" s="25">
        <v>1.2203E-4</v>
      </c>
      <c r="F2106" s="25">
        <v>1.1657E-4</v>
      </c>
      <c r="G2106" s="25">
        <v>1.5920999999999999E-4</v>
      </c>
      <c r="H2106" s="25">
        <v>1.9183000000000001E-4</v>
      </c>
      <c r="I2106" s="9">
        <v>1.0619E-4</v>
      </c>
      <c r="J2106" s="9">
        <v>9.7540000000000005E-5</v>
      </c>
      <c r="K2106" s="9">
        <v>4.0269999999999999E-5</v>
      </c>
      <c r="L2106" s="9">
        <v>1.6437999999999999E-4</v>
      </c>
      <c r="M2106" s="9">
        <v>1.7095000000000001E-4</v>
      </c>
      <c r="N2106" s="9">
        <v>1.7097999999999999E-4</v>
      </c>
      <c r="O2106" s="9">
        <v>1.7772E-4</v>
      </c>
      <c r="P2106" s="9">
        <v>1.6846999999999999E-4</v>
      </c>
      <c r="Q2106" s="9">
        <v>1.6045999999999999E-4</v>
      </c>
      <c r="R2106" s="10">
        <v>2.1207337623107766E-4</v>
      </c>
      <c r="S2106" s="10">
        <v>1.8019439526180422E-4</v>
      </c>
      <c r="T2106" s="10">
        <v>7.1072975656143861E-5</v>
      </c>
      <c r="U2106" s="10">
        <v>1.3547E-4</v>
      </c>
      <c r="V2106" s="25"/>
      <c r="W2106" s="25"/>
      <c r="X2106" s="25"/>
      <c r="Y2106" s="25"/>
      <c r="Z2106" s="25"/>
      <c r="AA2106" s="25"/>
    </row>
    <row r="2107" spans="1:27" x14ac:dyDescent="0.35">
      <c r="A2107" s="5">
        <v>2103</v>
      </c>
      <c r="B2107" s="5">
        <v>88</v>
      </c>
      <c r="C2107" s="5">
        <v>3</v>
      </c>
      <c r="D2107" s="25">
        <v>1.1416E-4</v>
      </c>
      <c r="E2107" s="25">
        <v>1.1593E-4</v>
      </c>
      <c r="F2107" s="25">
        <v>1.0762E-4</v>
      </c>
      <c r="G2107" s="25">
        <v>1.6347000000000001E-4</v>
      </c>
      <c r="H2107" s="25">
        <v>1.9903E-4</v>
      </c>
      <c r="I2107" s="9">
        <v>1.0194E-4</v>
      </c>
      <c r="J2107" s="9">
        <v>9.5859999999999994E-5</v>
      </c>
      <c r="K2107" s="9">
        <v>3.6040000000000001E-5</v>
      </c>
      <c r="L2107" s="9">
        <v>1.7495999999999999E-4</v>
      </c>
      <c r="M2107" s="9">
        <v>1.6906000000000001E-4</v>
      </c>
      <c r="N2107" s="9">
        <v>1.7047000000000001E-4</v>
      </c>
      <c r="O2107" s="9">
        <v>1.8175E-4</v>
      </c>
      <c r="P2107" s="9">
        <v>1.6581000000000001E-4</v>
      </c>
      <c r="Q2107" s="9">
        <v>1.5124E-4</v>
      </c>
      <c r="R2107" s="10">
        <v>2.0338308710758218E-4</v>
      </c>
      <c r="S2107" s="10">
        <v>1.5142969239142058E-4</v>
      </c>
      <c r="T2107" s="10">
        <v>5.3476538803948284E-5</v>
      </c>
      <c r="U2107" s="10">
        <v>1.3547E-4</v>
      </c>
      <c r="V2107" s="25"/>
      <c r="W2107" s="25"/>
      <c r="X2107" s="25"/>
      <c r="Y2107" s="25"/>
      <c r="Z2107" s="25"/>
      <c r="AA2107" s="25"/>
    </row>
    <row r="2108" spans="1:27" x14ac:dyDescent="0.35">
      <c r="A2108" s="5">
        <v>2104</v>
      </c>
      <c r="B2108" s="5">
        <v>88</v>
      </c>
      <c r="C2108" s="5">
        <v>3</v>
      </c>
      <c r="D2108" s="25">
        <v>1.1415000000000001E-4</v>
      </c>
      <c r="E2108" s="25">
        <v>1.2013E-4</v>
      </c>
      <c r="F2108" s="25">
        <v>1.1998E-4</v>
      </c>
      <c r="G2108" s="25">
        <v>1.6542999999999999E-4</v>
      </c>
      <c r="H2108" s="25">
        <v>1.8839E-4</v>
      </c>
      <c r="I2108" s="9">
        <v>1.0064999999999999E-4</v>
      </c>
      <c r="J2108" s="9">
        <v>9.7780000000000002E-5</v>
      </c>
      <c r="K2108" s="9">
        <v>3.8149999999999999E-5</v>
      </c>
      <c r="L2108" s="9">
        <v>1.7998999999999999E-4</v>
      </c>
      <c r="M2108" s="9">
        <v>1.6746E-4</v>
      </c>
      <c r="N2108" s="9">
        <v>1.6629000000000001E-4</v>
      </c>
      <c r="O2108" s="9">
        <v>1.9551E-4</v>
      </c>
      <c r="P2108" s="9">
        <v>1.5123E-4</v>
      </c>
      <c r="Q2108" s="9">
        <v>1.0888E-4</v>
      </c>
      <c r="R2108" s="10">
        <v>1.9262456092554984E-4</v>
      </c>
      <c r="S2108" s="10">
        <v>1.2020803229496069E-4</v>
      </c>
      <c r="T2108" s="10">
        <v>6.9359147187415072E-5</v>
      </c>
      <c r="U2108" s="10">
        <v>1.3547E-4</v>
      </c>
      <c r="V2108" s="25"/>
      <c r="W2108" s="25"/>
      <c r="X2108" s="25"/>
      <c r="Y2108" s="25"/>
      <c r="Z2108" s="25"/>
      <c r="AA2108" s="25"/>
    </row>
    <row r="2109" spans="1:27" x14ac:dyDescent="0.35">
      <c r="A2109" s="5">
        <v>2105</v>
      </c>
      <c r="B2109" s="5">
        <v>88</v>
      </c>
      <c r="C2109" s="5">
        <v>3</v>
      </c>
      <c r="D2109" s="25">
        <v>1.1416E-4</v>
      </c>
      <c r="E2109" s="25">
        <v>1.2297999999999999E-4</v>
      </c>
      <c r="F2109" s="25">
        <v>1.142E-4</v>
      </c>
      <c r="G2109" s="25">
        <v>1.5777E-4</v>
      </c>
      <c r="H2109" s="25">
        <v>1.9429000000000001E-4</v>
      </c>
      <c r="I2109" s="9">
        <v>1.0249E-4</v>
      </c>
      <c r="J2109" s="9">
        <v>1.0641000000000001E-4</v>
      </c>
      <c r="K2109" s="9">
        <v>4.4509999999999999E-5</v>
      </c>
      <c r="L2109" s="9">
        <v>1.919E-4</v>
      </c>
      <c r="M2109" s="9">
        <v>1.6132000000000001E-4</v>
      </c>
      <c r="N2109" s="9">
        <v>1.5228999999999999E-4</v>
      </c>
      <c r="O2109" s="9">
        <v>2.1403000000000001E-4</v>
      </c>
      <c r="P2109" s="9">
        <v>1.5956999999999999E-4</v>
      </c>
      <c r="Q2109" s="9">
        <v>1.0733E-4</v>
      </c>
      <c r="R2109" s="10">
        <v>2.0036505452349635E-4</v>
      </c>
      <c r="S2109" s="10">
        <v>9.0813383508860261E-5</v>
      </c>
      <c r="T2109" s="10">
        <v>6.0238525386011865E-5</v>
      </c>
      <c r="U2109" s="10">
        <v>1.3547E-4</v>
      </c>
      <c r="V2109" s="25"/>
      <c r="W2109" s="25"/>
      <c r="X2109" s="25"/>
      <c r="Y2109" s="25"/>
      <c r="Z2109" s="25"/>
      <c r="AA2109" s="25"/>
    </row>
    <row r="2110" spans="1:27" x14ac:dyDescent="0.35">
      <c r="A2110" s="5">
        <v>2106</v>
      </c>
      <c r="B2110" s="5">
        <v>88</v>
      </c>
      <c r="C2110" s="5">
        <v>3</v>
      </c>
      <c r="D2110" s="25">
        <v>1.1415000000000001E-4</v>
      </c>
      <c r="E2110" s="25">
        <v>1.1679E-4</v>
      </c>
      <c r="F2110" s="25">
        <v>1.0823999999999999E-4</v>
      </c>
      <c r="G2110" s="25">
        <v>1.6614000000000001E-4</v>
      </c>
      <c r="H2110" s="25">
        <v>1.9285999999999999E-4</v>
      </c>
      <c r="I2110" s="9">
        <v>1.0467E-4</v>
      </c>
      <c r="J2110" s="9">
        <v>1.0452E-4</v>
      </c>
      <c r="K2110" s="9">
        <v>5.0859999999999998E-5</v>
      </c>
      <c r="L2110" s="9">
        <v>2.0891E-4</v>
      </c>
      <c r="M2110" s="9">
        <v>1.5902000000000001E-4</v>
      </c>
      <c r="N2110" s="9">
        <v>1.3888999999999999E-4</v>
      </c>
      <c r="O2110" s="9">
        <v>2.0463E-4</v>
      </c>
      <c r="P2110" s="9">
        <v>1.6002E-4</v>
      </c>
      <c r="Q2110" s="9">
        <v>1.1739999999999999E-4</v>
      </c>
      <c r="R2110" s="10">
        <v>2.1186947629852081E-4</v>
      </c>
      <c r="S2110" s="10">
        <v>1.1252655894338721E-4</v>
      </c>
      <c r="T2110" s="10">
        <v>2.5877113017934675E-6</v>
      </c>
      <c r="U2110" s="10">
        <v>1.3547E-4</v>
      </c>
      <c r="V2110" s="25"/>
      <c r="W2110" s="25"/>
      <c r="X2110" s="25"/>
      <c r="Y2110" s="25"/>
      <c r="Z2110" s="25"/>
      <c r="AA2110" s="25"/>
    </row>
    <row r="2111" spans="1:27" x14ac:dyDescent="0.35">
      <c r="A2111" s="5">
        <v>2107</v>
      </c>
      <c r="B2111" s="5">
        <v>88</v>
      </c>
      <c r="C2111" s="5">
        <v>3</v>
      </c>
      <c r="D2111" s="25">
        <v>1.1416E-4</v>
      </c>
      <c r="E2111" s="25">
        <v>1.1522E-4</v>
      </c>
      <c r="F2111" s="25">
        <v>1.1124E-4</v>
      </c>
      <c r="G2111" s="25">
        <v>1.1237E-4</v>
      </c>
      <c r="H2111" s="25">
        <v>1.3129999999999999E-4</v>
      </c>
      <c r="I2111" s="9">
        <v>1.0501E-4</v>
      </c>
      <c r="J2111" s="9">
        <v>1.037E-4</v>
      </c>
      <c r="K2111" s="9">
        <v>5.7219999999999998E-5</v>
      </c>
      <c r="L2111" s="9">
        <v>2.0513000000000001E-4</v>
      </c>
      <c r="M2111" s="9">
        <v>1.5897E-4</v>
      </c>
      <c r="N2111" s="9">
        <v>1.2970000000000001E-4</v>
      </c>
      <c r="O2111" s="9">
        <v>1.6385E-4</v>
      </c>
      <c r="P2111" s="9">
        <v>1.3463E-4</v>
      </c>
      <c r="Q2111" s="9">
        <v>1.0686E-4</v>
      </c>
      <c r="R2111" s="10">
        <v>2.1244936787709023E-4</v>
      </c>
      <c r="S2111" s="10">
        <v>1.5213258123639479E-4</v>
      </c>
      <c r="T2111" s="10">
        <v>0</v>
      </c>
      <c r="U2111" s="10">
        <v>1.3547E-4</v>
      </c>
      <c r="V2111" s="25"/>
      <c r="W2111" s="25"/>
      <c r="X2111" s="25"/>
      <c r="Y2111" s="25"/>
      <c r="Z2111" s="25"/>
      <c r="AA2111" s="25"/>
    </row>
    <row r="2112" spans="1:27" x14ac:dyDescent="0.35">
      <c r="A2112" s="5">
        <v>2108</v>
      </c>
      <c r="B2112" s="5">
        <v>88</v>
      </c>
      <c r="C2112" s="5">
        <v>3</v>
      </c>
      <c r="D2112" s="25">
        <v>1.1415000000000001E-4</v>
      </c>
      <c r="E2112" s="25">
        <v>1.1623E-4</v>
      </c>
      <c r="F2112" s="25">
        <v>1.0539000000000001E-4</v>
      </c>
      <c r="G2112" s="25">
        <v>1.0796E-4</v>
      </c>
      <c r="H2112" s="25">
        <v>1.2587000000000001E-4</v>
      </c>
      <c r="I2112" s="9">
        <v>1.0883999999999999E-4</v>
      </c>
      <c r="J2112" s="9">
        <v>1.0887000000000001E-4</v>
      </c>
      <c r="K2112" s="9">
        <v>6.1459999999999998E-5</v>
      </c>
      <c r="L2112" s="9">
        <v>1.7311E-4</v>
      </c>
      <c r="M2112" s="9">
        <v>1.5035E-4</v>
      </c>
      <c r="N2112" s="9">
        <v>1.2057000000000001E-4</v>
      </c>
      <c r="O2112" s="9">
        <v>1.2751E-4</v>
      </c>
      <c r="P2112" s="9">
        <v>1.1374000000000001E-4</v>
      </c>
      <c r="Q2112" s="9">
        <v>1.009E-4</v>
      </c>
      <c r="R2112" s="10">
        <v>2.1244926867519879E-4</v>
      </c>
      <c r="S2112" s="10">
        <v>1.7757170012146309E-4</v>
      </c>
      <c r="T2112" s="10">
        <v>0</v>
      </c>
      <c r="U2112" s="10">
        <v>1.3547E-4</v>
      </c>
      <c r="V2112" s="25"/>
      <c r="W2112" s="25"/>
      <c r="X2112" s="25"/>
      <c r="Y2112" s="25"/>
      <c r="Z2112" s="25"/>
      <c r="AA2112" s="25"/>
    </row>
    <row r="2113" spans="1:27" x14ac:dyDescent="0.35">
      <c r="A2113" s="5">
        <v>2109</v>
      </c>
      <c r="B2113" s="5">
        <v>88</v>
      </c>
      <c r="C2113" s="5">
        <v>3</v>
      </c>
      <c r="D2113" s="25">
        <v>1.1416E-4</v>
      </c>
      <c r="E2113" s="25">
        <v>1.203E-4</v>
      </c>
      <c r="F2113" s="25">
        <v>1.2069E-4</v>
      </c>
      <c r="G2113" s="25">
        <v>5.94E-5</v>
      </c>
      <c r="H2113" s="25">
        <v>6.2390000000000004E-5</v>
      </c>
      <c r="I2113" s="9">
        <v>1.0825E-4</v>
      </c>
      <c r="J2113" s="9">
        <v>1.0675000000000001E-4</v>
      </c>
      <c r="K2113" s="9">
        <v>7.8419999999999998E-5</v>
      </c>
      <c r="L2113" s="9">
        <v>1.3854000000000001E-4</v>
      </c>
      <c r="M2113" s="9">
        <v>1.3474E-4</v>
      </c>
      <c r="N2113" s="9">
        <v>1.1276E-4</v>
      </c>
      <c r="O2113" s="9">
        <v>8.5329999999999998E-5</v>
      </c>
      <c r="P2113" s="9">
        <v>8.6990000000000006E-5</v>
      </c>
      <c r="Q2113" s="9">
        <v>8.8999999999999995E-5</v>
      </c>
      <c r="R2113" s="10">
        <v>2.1244936787709023E-4</v>
      </c>
      <c r="S2113" s="10">
        <v>1.8547027077497481E-4</v>
      </c>
      <c r="T2113" s="10">
        <v>0</v>
      </c>
      <c r="U2113" s="10">
        <v>1.3547E-4</v>
      </c>
      <c r="V2113" s="25"/>
      <c r="W2113" s="25"/>
      <c r="X2113" s="25"/>
      <c r="Y2113" s="25"/>
      <c r="Z2113" s="25"/>
      <c r="AA2113" s="25"/>
    </row>
    <row r="2114" spans="1:27" x14ac:dyDescent="0.35">
      <c r="A2114" s="5">
        <v>2110</v>
      </c>
      <c r="B2114" s="5">
        <v>88</v>
      </c>
      <c r="C2114" s="5">
        <v>3</v>
      </c>
      <c r="D2114" s="25">
        <v>1.1415000000000001E-4</v>
      </c>
      <c r="E2114" s="25">
        <v>1.1404999999999999E-4</v>
      </c>
      <c r="F2114" s="25">
        <v>1.1234999999999999E-4</v>
      </c>
      <c r="G2114" s="25">
        <v>5.6509999999999999E-5</v>
      </c>
      <c r="H2114" s="25">
        <v>6.9460000000000002E-5</v>
      </c>
      <c r="I2114" s="9">
        <v>1.1137999999999999E-4</v>
      </c>
      <c r="J2114" s="9">
        <v>1.0058E-4</v>
      </c>
      <c r="K2114" s="9">
        <v>9.3250000000000003E-5</v>
      </c>
      <c r="L2114" s="9">
        <v>9.7969999999999999E-5</v>
      </c>
      <c r="M2114" s="9">
        <v>1.1353000000000001E-4</v>
      </c>
      <c r="N2114" s="9">
        <v>1.0541E-4</v>
      </c>
      <c r="O2114" s="9">
        <v>8.7540000000000006E-5</v>
      </c>
      <c r="P2114" s="9">
        <v>8.7789999999999998E-5</v>
      </c>
      <c r="Q2114" s="9">
        <v>8.844E-5</v>
      </c>
      <c r="R2114" s="10">
        <v>2.1244936787709023E-4</v>
      </c>
      <c r="S2114" s="10">
        <v>1.8858712643839764E-4</v>
      </c>
      <c r="T2114" s="10">
        <v>0</v>
      </c>
      <c r="U2114" s="10">
        <v>1.3547E-4</v>
      </c>
      <c r="V2114" s="25"/>
      <c r="W2114" s="25"/>
      <c r="X2114" s="25"/>
      <c r="Y2114" s="25"/>
      <c r="Z2114" s="25"/>
      <c r="AA2114" s="25"/>
    </row>
    <row r="2115" spans="1:27" x14ac:dyDescent="0.35">
      <c r="A2115" s="5">
        <v>2111</v>
      </c>
      <c r="B2115" s="5">
        <v>88</v>
      </c>
      <c r="C2115" s="5">
        <v>3</v>
      </c>
      <c r="D2115" s="25">
        <v>1.1416E-4</v>
      </c>
      <c r="E2115" s="25">
        <v>1.1775E-4</v>
      </c>
      <c r="F2115" s="25">
        <v>1.149E-4</v>
      </c>
      <c r="G2115" s="25">
        <v>6.3369999999999998E-5</v>
      </c>
      <c r="H2115" s="25">
        <v>6.6669999999999997E-5</v>
      </c>
      <c r="I2115" s="9">
        <v>1.1054E-4</v>
      </c>
      <c r="J2115" s="9">
        <v>9.7170000000000006E-5</v>
      </c>
      <c r="K2115" s="9">
        <v>9.9610000000000003E-5</v>
      </c>
      <c r="L2115" s="9">
        <v>9.0729999999999994E-5</v>
      </c>
      <c r="M2115" s="9">
        <v>9.9090000000000002E-5</v>
      </c>
      <c r="N2115" s="9">
        <v>9.9720000000000001E-5</v>
      </c>
      <c r="O2115" s="9">
        <v>7.8499999999999997E-5</v>
      </c>
      <c r="P2115" s="9">
        <v>7.2780000000000005E-5</v>
      </c>
      <c r="Q2115" s="9">
        <v>6.7479999999999998E-5</v>
      </c>
      <c r="R2115" s="10">
        <v>2.1244936787709023E-4</v>
      </c>
      <c r="S2115" s="10">
        <v>1.8817888884233385E-4</v>
      </c>
      <c r="T2115" s="10">
        <v>0</v>
      </c>
      <c r="U2115" s="10">
        <v>1.3547E-4</v>
      </c>
      <c r="V2115" s="25"/>
      <c r="W2115" s="25"/>
      <c r="X2115" s="25"/>
      <c r="Y2115" s="25"/>
      <c r="Z2115" s="25"/>
      <c r="AA2115" s="25"/>
    </row>
    <row r="2116" spans="1:27" x14ac:dyDescent="0.35">
      <c r="A2116" s="5">
        <v>2112</v>
      </c>
      <c r="B2116" s="5">
        <v>88</v>
      </c>
      <c r="C2116" s="5">
        <v>3</v>
      </c>
      <c r="D2116" s="25">
        <v>1.1415000000000001E-4</v>
      </c>
      <c r="E2116" s="25">
        <v>1.2388000000000001E-4</v>
      </c>
      <c r="F2116" s="25">
        <v>1.2659999999999999E-4</v>
      </c>
      <c r="G2116" s="25">
        <v>5.2819999999999999E-5</v>
      </c>
      <c r="H2116" s="25">
        <v>7.4250000000000002E-5</v>
      </c>
      <c r="I2116" s="9">
        <v>1.0441E-4</v>
      </c>
      <c r="J2116" s="9">
        <v>8.8869999999999994E-5</v>
      </c>
      <c r="K2116" s="9">
        <v>1.1233E-4</v>
      </c>
      <c r="L2116" s="9">
        <v>8.1180000000000005E-5</v>
      </c>
      <c r="M2116" s="9">
        <v>8.6440000000000006E-5</v>
      </c>
      <c r="N2116" s="9">
        <v>9.0649999999999994E-5</v>
      </c>
      <c r="O2116" s="9">
        <v>6.3009999999999995E-5</v>
      </c>
      <c r="P2116" s="9">
        <v>6.0940000000000003E-5</v>
      </c>
      <c r="Q2116" s="9">
        <v>5.9120000000000003E-5</v>
      </c>
      <c r="R2116" s="10">
        <v>2.1244899051457076E-4</v>
      </c>
      <c r="S2116" s="10">
        <v>1.8734960596537565E-4</v>
      </c>
      <c r="T2116" s="10">
        <v>0</v>
      </c>
      <c r="U2116" s="10">
        <v>1.3547E-4</v>
      </c>
      <c r="V2116" s="25"/>
      <c r="W2116" s="25"/>
      <c r="X2116" s="25"/>
      <c r="Y2116" s="25"/>
      <c r="Z2116" s="25"/>
      <c r="AA2116" s="25"/>
    </row>
    <row r="2117" spans="1:27" x14ac:dyDescent="0.35">
      <c r="A2117" s="5">
        <v>2113</v>
      </c>
      <c r="B2117" s="5">
        <v>89</v>
      </c>
      <c r="C2117" s="5">
        <v>3</v>
      </c>
      <c r="D2117" s="25">
        <v>1.1416E-4</v>
      </c>
      <c r="E2117" s="25">
        <v>1.1423E-4</v>
      </c>
      <c r="F2117" s="25">
        <v>1.0353000000000001E-4</v>
      </c>
      <c r="G2117" s="25">
        <v>5.2169999999999997E-5</v>
      </c>
      <c r="H2117" s="25">
        <v>7.2999999999999999E-5</v>
      </c>
      <c r="I2117" s="9">
        <v>9.8620000000000001E-5</v>
      </c>
      <c r="J2117" s="9">
        <v>8.4040000000000002E-5</v>
      </c>
      <c r="K2117" s="9">
        <v>1.2081E-4</v>
      </c>
      <c r="L2117" s="9">
        <v>6.7009999999999997E-5</v>
      </c>
      <c r="M2117" s="9">
        <v>7.436E-5</v>
      </c>
      <c r="N2117" s="9">
        <v>8.1340000000000004E-5</v>
      </c>
      <c r="O2117" s="9">
        <v>5.5009999999999997E-5</v>
      </c>
      <c r="P2117" s="9">
        <v>5.4419999999999997E-5</v>
      </c>
      <c r="Q2117" s="9">
        <v>5.3990000000000003E-5</v>
      </c>
      <c r="R2117" s="10">
        <v>2.1244642837932618E-4</v>
      </c>
      <c r="S2117" s="10">
        <v>1.8784561849380336E-4</v>
      </c>
      <c r="T2117" s="10">
        <v>0</v>
      </c>
      <c r="U2117" s="10">
        <v>1.3928000000000001E-4</v>
      </c>
      <c r="V2117" s="25"/>
      <c r="W2117" s="25"/>
      <c r="X2117" s="25"/>
      <c r="Y2117" s="25"/>
      <c r="Z2117" s="25"/>
      <c r="AA2117" s="25"/>
    </row>
    <row r="2118" spans="1:27" x14ac:dyDescent="0.35">
      <c r="A2118" s="5">
        <v>2114</v>
      </c>
      <c r="B2118" s="5">
        <v>89</v>
      </c>
      <c r="C2118" s="5">
        <v>3</v>
      </c>
      <c r="D2118" s="25">
        <v>1.1415000000000001E-4</v>
      </c>
      <c r="E2118" s="25">
        <v>1.1279E-4</v>
      </c>
      <c r="F2118" s="25">
        <v>1.2115E-4</v>
      </c>
      <c r="G2118" s="25">
        <v>5.9589999999999997E-5</v>
      </c>
      <c r="H2118" s="25">
        <v>6.3369999999999998E-5</v>
      </c>
      <c r="I2118" s="9">
        <v>9.4569999999999997E-5</v>
      </c>
      <c r="J2118" s="9">
        <v>8.7260000000000001E-5</v>
      </c>
      <c r="K2118" s="9">
        <v>1.2928000000000001E-4</v>
      </c>
      <c r="L2118" s="9">
        <v>5.804E-5</v>
      </c>
      <c r="M2118" s="9">
        <v>6.4300000000000004E-5</v>
      </c>
      <c r="N2118" s="9">
        <v>7.2379999999999995E-5</v>
      </c>
      <c r="O2118" s="9">
        <v>1.8810000000000001E-5</v>
      </c>
      <c r="P2118" s="9">
        <v>3.7570000000000001E-5</v>
      </c>
      <c r="Q2118" s="9">
        <v>5.5909999999999998E-5</v>
      </c>
      <c r="R2118" s="10">
        <v>2.1244007531988921E-4</v>
      </c>
      <c r="S2118" s="10">
        <v>1.8936609663319426E-4</v>
      </c>
      <c r="T2118" s="10">
        <v>0</v>
      </c>
      <c r="U2118" s="10">
        <v>1.3928000000000001E-4</v>
      </c>
      <c r="V2118" s="25"/>
      <c r="W2118" s="25"/>
      <c r="X2118" s="25"/>
      <c r="Y2118" s="25"/>
      <c r="Z2118" s="25"/>
      <c r="AA2118" s="25"/>
    </row>
    <row r="2119" spans="1:27" x14ac:dyDescent="0.35">
      <c r="A2119" s="5">
        <v>2115</v>
      </c>
      <c r="B2119" s="5">
        <v>89</v>
      </c>
      <c r="C2119" s="5">
        <v>3</v>
      </c>
      <c r="D2119" s="25">
        <v>1.1416E-4</v>
      </c>
      <c r="E2119" s="25">
        <v>1.1430999999999999E-4</v>
      </c>
      <c r="F2119" s="25">
        <v>1.2180000000000001E-4</v>
      </c>
      <c r="G2119" s="25">
        <v>5.6959999999999997E-5</v>
      </c>
      <c r="H2119" s="25">
        <v>7.5409999999999998E-5</v>
      </c>
      <c r="I2119" s="9">
        <v>9.3850000000000004E-5</v>
      </c>
      <c r="J2119" s="9">
        <v>8.9859999999999997E-5</v>
      </c>
      <c r="K2119" s="9">
        <v>1.314E-4</v>
      </c>
      <c r="L2119" s="9">
        <v>2.7650000000000001E-5</v>
      </c>
      <c r="M2119" s="9">
        <v>5.2389999999999998E-5</v>
      </c>
      <c r="N2119" s="9">
        <v>6.5720000000000001E-5</v>
      </c>
      <c r="O2119" s="9">
        <v>1.3529999999999999E-5</v>
      </c>
      <c r="P2119" s="9">
        <v>3.8040000000000002E-5</v>
      </c>
      <c r="Q2119" s="9">
        <v>6.2000000000000003E-5</v>
      </c>
      <c r="R2119" s="10">
        <v>2.1244896185711943E-4</v>
      </c>
      <c r="S2119" s="10">
        <v>1.9022549403958477E-4</v>
      </c>
      <c r="T2119" s="10">
        <v>0</v>
      </c>
      <c r="U2119" s="10">
        <v>1.3928000000000001E-4</v>
      </c>
      <c r="V2119" s="25"/>
      <c r="W2119" s="25"/>
      <c r="X2119" s="25"/>
      <c r="Y2119" s="25"/>
      <c r="Z2119" s="25"/>
      <c r="AA2119" s="25"/>
    </row>
    <row r="2120" spans="1:27" x14ac:dyDescent="0.35">
      <c r="A2120" s="5">
        <v>2116</v>
      </c>
      <c r="B2120" s="5">
        <v>89</v>
      </c>
      <c r="C2120" s="5">
        <v>3</v>
      </c>
      <c r="D2120" s="25">
        <v>1.1415000000000001E-4</v>
      </c>
      <c r="E2120" s="25">
        <v>1.1181E-4</v>
      </c>
      <c r="F2120" s="25">
        <v>1.2176E-4</v>
      </c>
      <c r="G2120" s="25">
        <v>5.2210000000000003E-5</v>
      </c>
      <c r="H2120" s="25">
        <v>6.6340000000000005E-5</v>
      </c>
      <c r="I2120" s="9">
        <v>9.577E-5</v>
      </c>
      <c r="J2120" s="9">
        <v>9.4599999999999996E-5</v>
      </c>
      <c r="K2120" s="9">
        <v>1.3776000000000001E-4</v>
      </c>
      <c r="L2120" s="9">
        <v>1.738E-5</v>
      </c>
      <c r="M2120" s="9">
        <v>4.4369999999999997E-5</v>
      </c>
      <c r="N2120" s="9">
        <v>6.2180000000000004E-5</v>
      </c>
      <c r="O2120" s="9">
        <v>1.3529999999999999E-5</v>
      </c>
      <c r="P2120" s="9">
        <v>4.7549999999999997E-5</v>
      </c>
      <c r="Q2120" s="9">
        <v>8.0870000000000003E-5</v>
      </c>
      <c r="R2120" s="10">
        <v>2.1244683151749934E-4</v>
      </c>
      <c r="S2120" s="10">
        <v>1.9028723870081327E-4</v>
      </c>
      <c r="T2120" s="10">
        <v>0</v>
      </c>
      <c r="U2120" s="10">
        <v>1.3928000000000001E-4</v>
      </c>
      <c r="V2120" s="25"/>
      <c r="W2120" s="25"/>
      <c r="X2120" s="25"/>
      <c r="Y2120" s="25"/>
      <c r="Z2120" s="25"/>
      <c r="AA2120" s="25"/>
    </row>
    <row r="2121" spans="1:27" x14ac:dyDescent="0.35">
      <c r="A2121" s="5">
        <v>2117</v>
      </c>
      <c r="B2121" s="5">
        <v>89</v>
      </c>
      <c r="C2121" s="5">
        <v>3</v>
      </c>
      <c r="D2121" s="25">
        <v>1.1416E-4</v>
      </c>
      <c r="E2121" s="25">
        <v>1.1608E-4</v>
      </c>
      <c r="F2121" s="25">
        <v>1.2599E-4</v>
      </c>
      <c r="G2121" s="25">
        <v>5.7309999999999998E-5</v>
      </c>
      <c r="H2121" s="25">
        <v>6.3410000000000004E-5</v>
      </c>
      <c r="I2121" s="9">
        <v>1.0179E-4</v>
      </c>
      <c r="J2121" s="9">
        <v>9.5160000000000004E-5</v>
      </c>
      <c r="K2121" s="9">
        <v>1.4624000000000001E-4</v>
      </c>
      <c r="L2121" s="9">
        <v>1.4620000000000001E-5</v>
      </c>
      <c r="M2121" s="9">
        <v>4.3720000000000002E-5</v>
      </c>
      <c r="N2121" s="9">
        <v>6.4759999999999997E-5</v>
      </c>
      <c r="O2121" s="9">
        <v>1.906E-5</v>
      </c>
      <c r="P2121" s="9">
        <v>5.7099999999999999E-5</v>
      </c>
      <c r="Q2121" s="9">
        <v>9.4419999999999994E-5</v>
      </c>
      <c r="R2121" s="10">
        <v>2.1244736631502312E-4</v>
      </c>
      <c r="S2121" s="10">
        <v>1.9028487087410895E-4</v>
      </c>
      <c r="T2121" s="10">
        <v>0</v>
      </c>
      <c r="U2121" s="10">
        <v>1.3928000000000001E-4</v>
      </c>
      <c r="V2121" s="25"/>
      <c r="W2121" s="25"/>
      <c r="X2121" s="25"/>
      <c r="Y2121" s="25"/>
      <c r="Z2121" s="25"/>
      <c r="AA2121" s="25"/>
    </row>
    <row r="2122" spans="1:27" x14ac:dyDescent="0.35">
      <c r="A2122" s="5">
        <v>2118</v>
      </c>
      <c r="B2122" s="5">
        <v>89</v>
      </c>
      <c r="C2122" s="5">
        <v>3</v>
      </c>
      <c r="D2122" s="25">
        <v>1.1415000000000001E-4</v>
      </c>
      <c r="E2122" s="25">
        <v>1.1641000000000001E-4</v>
      </c>
      <c r="F2122" s="25">
        <v>1.0868E-4</v>
      </c>
      <c r="G2122" s="25">
        <v>1.1553E-4</v>
      </c>
      <c r="H2122" s="25">
        <v>1.3617999999999999E-4</v>
      </c>
      <c r="I2122" s="9">
        <v>1.1328E-4</v>
      </c>
      <c r="J2122" s="9">
        <v>1.0252E-4</v>
      </c>
      <c r="K2122" s="9">
        <v>1.3564E-4</v>
      </c>
      <c r="L2122" s="9">
        <v>1.7949999999999999E-5</v>
      </c>
      <c r="M2122" s="9">
        <v>4.8720000000000001E-5</v>
      </c>
      <c r="N2122" s="9">
        <v>7.1420000000000004E-5</v>
      </c>
      <c r="O2122" s="9">
        <v>4.587E-5</v>
      </c>
      <c r="P2122" s="9">
        <v>7.6149999999999994E-5</v>
      </c>
      <c r="Q2122" s="9">
        <v>1.0603999999999999E-4</v>
      </c>
      <c r="R2122" s="10">
        <v>2.1244823386586855E-4</v>
      </c>
      <c r="S2122" s="10">
        <v>1.9026990550526776E-4</v>
      </c>
      <c r="T2122" s="10">
        <v>0</v>
      </c>
      <c r="U2122" s="10">
        <v>1.3928000000000001E-4</v>
      </c>
      <c r="V2122" s="25"/>
      <c r="W2122" s="25"/>
      <c r="X2122" s="25"/>
      <c r="Y2122" s="25"/>
      <c r="Z2122" s="25"/>
      <c r="AA2122" s="25"/>
    </row>
    <row r="2123" spans="1:27" x14ac:dyDescent="0.35">
      <c r="A2123" s="5">
        <v>2119</v>
      </c>
      <c r="B2123" s="5">
        <v>89</v>
      </c>
      <c r="C2123" s="5">
        <v>3</v>
      </c>
      <c r="D2123" s="25">
        <v>1.1416E-4</v>
      </c>
      <c r="E2123" s="25">
        <v>1.2044000000000001E-4</v>
      </c>
      <c r="F2123" s="25">
        <v>1.2048E-4</v>
      </c>
      <c r="G2123" s="25">
        <v>1.0569E-4</v>
      </c>
      <c r="H2123" s="25">
        <v>1.2626E-4</v>
      </c>
      <c r="I2123" s="9">
        <v>1.1915E-4</v>
      </c>
      <c r="J2123" s="9">
        <v>1.1497000000000001E-4</v>
      </c>
      <c r="K2123" s="9">
        <v>1.208E-4</v>
      </c>
      <c r="L2123" s="9">
        <v>3.9589999999999999E-5</v>
      </c>
      <c r="M2123" s="9">
        <v>6.0010000000000003E-5</v>
      </c>
      <c r="N2123" s="9">
        <v>8.0840000000000005E-5</v>
      </c>
      <c r="O2123" s="9">
        <v>1.2196E-4</v>
      </c>
      <c r="P2123" s="9">
        <v>1.1631E-4</v>
      </c>
      <c r="Q2123" s="9">
        <v>1.1142E-4</v>
      </c>
      <c r="R2123" s="10">
        <v>2.1244840847016506E-4</v>
      </c>
      <c r="S2123" s="10">
        <v>1.902579438326932E-4</v>
      </c>
      <c r="T2123" s="10">
        <v>4.4050482225939945E-5</v>
      </c>
      <c r="U2123" s="10">
        <v>1.3928000000000001E-4</v>
      </c>
      <c r="V2123" s="25"/>
      <c r="W2123" s="25"/>
      <c r="X2123" s="25"/>
      <c r="Y2123" s="25"/>
      <c r="Z2123" s="25"/>
      <c r="AA2123" s="25"/>
    </row>
    <row r="2124" spans="1:27" x14ac:dyDescent="0.35">
      <c r="A2124" s="5">
        <v>2120</v>
      </c>
      <c r="B2124" s="5">
        <v>89</v>
      </c>
      <c r="C2124" s="5">
        <v>3</v>
      </c>
      <c r="D2124" s="25">
        <v>1.1415000000000001E-4</v>
      </c>
      <c r="E2124" s="25">
        <v>1.1364E-4</v>
      </c>
      <c r="F2124" s="25">
        <v>1.2302E-4</v>
      </c>
      <c r="G2124" s="25">
        <v>1.6238E-4</v>
      </c>
      <c r="H2124" s="25">
        <v>1.9452E-4</v>
      </c>
      <c r="I2124" s="9">
        <v>1.2432E-4</v>
      </c>
      <c r="J2124" s="9">
        <v>1.2533999999999999E-4</v>
      </c>
      <c r="K2124" s="9">
        <v>1.1444E-4</v>
      </c>
      <c r="L2124" s="9">
        <v>1.0323E-4</v>
      </c>
      <c r="M2124" s="9">
        <v>8.3170000000000005E-5</v>
      </c>
      <c r="N2124" s="9">
        <v>9.0669999999999998E-5</v>
      </c>
      <c r="O2124" s="9">
        <v>2.1751E-4</v>
      </c>
      <c r="P2124" s="9">
        <v>1.7552E-4</v>
      </c>
      <c r="Q2124" s="9">
        <v>1.3558999999999999E-4</v>
      </c>
      <c r="R2124" s="10">
        <v>2.1244742763362222E-4</v>
      </c>
      <c r="S2124" s="10">
        <v>1.9028926240303659E-4</v>
      </c>
      <c r="T2124" s="10">
        <v>2.5415567133286923E-4</v>
      </c>
      <c r="U2124" s="10">
        <v>1.3928000000000001E-4</v>
      </c>
      <c r="V2124" s="25"/>
      <c r="W2124" s="25"/>
      <c r="X2124" s="25"/>
      <c r="Y2124" s="25"/>
      <c r="Z2124" s="25"/>
      <c r="AA2124" s="25"/>
    </row>
    <row r="2125" spans="1:27" x14ac:dyDescent="0.35">
      <c r="A2125" s="5">
        <v>2121</v>
      </c>
      <c r="B2125" s="5">
        <v>89</v>
      </c>
      <c r="C2125" s="5">
        <v>3</v>
      </c>
      <c r="D2125" s="25">
        <v>1.1416E-4</v>
      </c>
      <c r="E2125" s="25">
        <v>1.205E-4</v>
      </c>
      <c r="F2125" s="25">
        <v>1.1503E-4</v>
      </c>
      <c r="G2125" s="25">
        <v>1.5733000000000001E-4</v>
      </c>
      <c r="H2125" s="25">
        <v>1.9044999999999999E-4</v>
      </c>
      <c r="I2125" s="9">
        <v>1.2847999999999999E-4</v>
      </c>
      <c r="J2125" s="9">
        <v>1.3014E-4</v>
      </c>
      <c r="K2125" s="9">
        <v>1.0809E-4</v>
      </c>
      <c r="L2125" s="9">
        <v>1.9063000000000001E-4</v>
      </c>
      <c r="M2125" s="9">
        <v>1.2240999999999999E-4</v>
      </c>
      <c r="N2125" s="9">
        <v>1.0412E-4</v>
      </c>
      <c r="O2125" s="9">
        <v>2.1062000000000001E-4</v>
      </c>
      <c r="P2125" s="9">
        <v>1.9277000000000001E-4</v>
      </c>
      <c r="Q2125" s="9">
        <v>1.7653999999999999E-4</v>
      </c>
      <c r="R2125" s="10">
        <v>2.1244499135309247E-4</v>
      </c>
      <c r="S2125" s="10">
        <v>1.9028997040460087E-4</v>
      </c>
      <c r="T2125" s="10">
        <v>8.9416030851151982E-5</v>
      </c>
      <c r="U2125" s="10">
        <v>1.3928000000000001E-4</v>
      </c>
      <c r="V2125" s="25"/>
      <c r="W2125" s="25"/>
      <c r="X2125" s="25"/>
      <c r="Y2125" s="25"/>
      <c r="Z2125" s="25"/>
      <c r="AA2125" s="25"/>
    </row>
    <row r="2126" spans="1:27" x14ac:dyDescent="0.35">
      <c r="A2126" s="5">
        <v>2122</v>
      </c>
      <c r="B2126" s="5">
        <v>89</v>
      </c>
      <c r="C2126" s="5">
        <v>3</v>
      </c>
      <c r="D2126" s="25">
        <v>1.1415000000000001E-4</v>
      </c>
      <c r="E2126" s="25">
        <v>1.198E-4</v>
      </c>
      <c r="F2126" s="25">
        <v>1.1419E-4</v>
      </c>
      <c r="G2126" s="25">
        <v>1.6574E-4</v>
      </c>
      <c r="H2126" s="25">
        <v>1.9408000000000001E-4</v>
      </c>
      <c r="I2126" s="9">
        <v>1.306E-4</v>
      </c>
      <c r="J2126" s="9">
        <v>1.3109999999999999E-4</v>
      </c>
      <c r="K2126" s="9">
        <v>6.7819999999999998E-5</v>
      </c>
      <c r="L2126" s="9">
        <v>2.0393000000000001E-4</v>
      </c>
      <c r="M2126" s="9">
        <v>1.5770000000000001E-4</v>
      </c>
      <c r="N2126" s="9">
        <v>1.2405000000000001E-4</v>
      </c>
      <c r="O2126" s="9">
        <v>1.6713000000000001E-4</v>
      </c>
      <c r="P2126" s="9">
        <v>1.7424000000000001E-4</v>
      </c>
      <c r="Q2126" s="9">
        <v>1.8225000000000001E-4</v>
      </c>
      <c r="R2126" s="10">
        <v>2.1244923764633997E-4</v>
      </c>
      <c r="S2126" s="10">
        <v>1.9029020759484994E-4</v>
      </c>
      <c r="T2126" s="10">
        <v>4.1345687593114509E-4</v>
      </c>
      <c r="U2126" s="10">
        <v>1.3928000000000001E-4</v>
      </c>
      <c r="V2126" s="25"/>
      <c r="W2126" s="25"/>
      <c r="X2126" s="25"/>
      <c r="Y2126" s="25"/>
      <c r="Z2126" s="25"/>
      <c r="AA2126" s="25"/>
    </row>
    <row r="2127" spans="1:27" x14ac:dyDescent="0.35">
      <c r="A2127" s="5">
        <v>2123</v>
      </c>
      <c r="B2127" s="5">
        <v>89</v>
      </c>
      <c r="C2127" s="5">
        <v>3</v>
      </c>
      <c r="D2127" s="25">
        <v>1.1416E-4</v>
      </c>
      <c r="E2127" s="25">
        <v>1.1637999999999999E-4</v>
      </c>
      <c r="F2127" s="25">
        <v>1.0495E-4</v>
      </c>
      <c r="G2127" s="25">
        <v>1.5653999999999999E-4</v>
      </c>
      <c r="H2127" s="25">
        <v>2.0038E-4</v>
      </c>
      <c r="I2127" s="9">
        <v>1.3208999999999999E-4</v>
      </c>
      <c r="J2127" s="9">
        <v>1.3040999999999999E-4</v>
      </c>
      <c r="K2127" s="9">
        <v>4.8749999999999999E-5</v>
      </c>
      <c r="L2127" s="9">
        <v>1.7526999999999999E-4</v>
      </c>
      <c r="M2127" s="9">
        <v>1.7185E-4</v>
      </c>
      <c r="N2127" s="9">
        <v>1.4218999999999999E-4</v>
      </c>
      <c r="O2127" s="9">
        <v>1.6851E-4</v>
      </c>
      <c r="P2127" s="9">
        <v>1.7432E-4</v>
      </c>
      <c r="Q2127" s="9">
        <v>1.8106E-4</v>
      </c>
      <c r="R2127" s="10">
        <v>2.1244812109191759E-4</v>
      </c>
      <c r="S2127" s="10">
        <v>1.9029020759484994E-4</v>
      </c>
      <c r="T2127" s="10">
        <v>1.3665660963274552E-4</v>
      </c>
      <c r="U2127" s="10">
        <v>1.3928000000000001E-4</v>
      </c>
      <c r="V2127" s="25"/>
      <c r="W2127" s="25"/>
      <c r="X2127" s="25"/>
      <c r="Y2127" s="25"/>
      <c r="Z2127" s="25"/>
      <c r="AA2127" s="25"/>
    </row>
    <row r="2128" spans="1:27" x14ac:dyDescent="0.35">
      <c r="A2128" s="5">
        <v>2124</v>
      </c>
      <c r="B2128" s="5">
        <v>89</v>
      </c>
      <c r="C2128" s="5">
        <v>3</v>
      </c>
      <c r="D2128" s="25">
        <v>1.1415000000000001E-4</v>
      </c>
      <c r="E2128" s="25">
        <v>1.2139E-4</v>
      </c>
      <c r="F2128" s="25">
        <v>1.2349E-4</v>
      </c>
      <c r="G2128" s="25">
        <v>1.6295E-4</v>
      </c>
      <c r="H2128" s="25">
        <v>1.918E-4</v>
      </c>
      <c r="I2128" s="9">
        <v>1.2858999999999999E-4</v>
      </c>
      <c r="J2128" s="9">
        <v>1.2732999999999999E-4</v>
      </c>
      <c r="K2128" s="9">
        <v>2.544E-5</v>
      </c>
      <c r="L2128" s="9">
        <v>1.7139E-4</v>
      </c>
      <c r="M2128" s="9">
        <v>1.7516999999999999E-4</v>
      </c>
      <c r="N2128" s="9">
        <v>1.5672E-4</v>
      </c>
      <c r="O2128" s="9">
        <v>1.6804999999999999E-4</v>
      </c>
      <c r="P2128" s="9">
        <v>1.697E-4</v>
      </c>
      <c r="Q2128" s="9">
        <v>1.7233999999999999E-4</v>
      </c>
      <c r="R2128" s="10">
        <v>2.1236995522397391E-4</v>
      </c>
      <c r="S2128" s="10">
        <v>1.9025832837325833E-4</v>
      </c>
      <c r="T2128" s="10">
        <v>4.3224959899171078E-4</v>
      </c>
      <c r="U2128" s="10">
        <v>1.3928000000000001E-4</v>
      </c>
      <c r="V2128" s="25"/>
      <c r="W2128" s="25"/>
      <c r="X2128" s="25"/>
      <c r="Y2128" s="25"/>
      <c r="Z2128" s="25"/>
      <c r="AA2128" s="25"/>
    </row>
    <row r="2129" spans="1:27" x14ac:dyDescent="0.35">
      <c r="A2129" s="5">
        <v>2125</v>
      </c>
      <c r="B2129" s="5">
        <v>89</v>
      </c>
      <c r="C2129" s="5">
        <v>3</v>
      </c>
      <c r="D2129" s="25">
        <v>1.1416E-4</v>
      </c>
      <c r="E2129" s="25">
        <v>1.1398E-4</v>
      </c>
      <c r="F2129" s="25">
        <v>1.2568E-4</v>
      </c>
      <c r="G2129" s="25">
        <v>1.5954000000000001E-4</v>
      </c>
      <c r="H2129" s="25">
        <v>1.9230000000000001E-4</v>
      </c>
      <c r="I2129" s="9">
        <v>1.2662E-4</v>
      </c>
      <c r="J2129" s="9">
        <v>1.261E-4</v>
      </c>
      <c r="K2129" s="9">
        <v>1.06E-5</v>
      </c>
      <c r="L2129" s="9">
        <v>1.6892E-4</v>
      </c>
      <c r="M2129" s="9">
        <v>1.7357000000000001E-4</v>
      </c>
      <c r="N2129" s="9">
        <v>1.6589E-4</v>
      </c>
      <c r="O2129" s="9">
        <v>1.6055999999999999E-4</v>
      </c>
      <c r="P2129" s="9">
        <v>1.6301E-4</v>
      </c>
      <c r="Q2129" s="9">
        <v>1.6639000000000001E-4</v>
      </c>
      <c r="R2129" s="10">
        <v>2.123707254420858E-4</v>
      </c>
      <c r="S2129" s="10">
        <v>1.9026653632058963E-4</v>
      </c>
      <c r="T2129" s="10">
        <v>5.0887130642284786E-4</v>
      </c>
      <c r="U2129" s="10">
        <v>1.3928000000000001E-4</v>
      </c>
      <c r="V2129" s="25"/>
      <c r="W2129" s="25"/>
      <c r="X2129" s="25"/>
      <c r="Y2129" s="25"/>
      <c r="Z2129" s="25"/>
      <c r="AA2129" s="25"/>
    </row>
    <row r="2130" spans="1:27" x14ac:dyDescent="0.35">
      <c r="A2130" s="5">
        <v>2126</v>
      </c>
      <c r="B2130" s="5">
        <v>89</v>
      </c>
      <c r="C2130" s="5">
        <v>3</v>
      </c>
      <c r="D2130" s="25">
        <v>1.1415000000000001E-4</v>
      </c>
      <c r="E2130" s="25">
        <v>1.2260999999999999E-4</v>
      </c>
      <c r="F2130" s="25">
        <v>1.1201000000000001E-4</v>
      </c>
      <c r="G2130" s="25">
        <v>1.6375E-4</v>
      </c>
      <c r="H2130" s="25">
        <v>2.0315E-4</v>
      </c>
      <c r="I2130" s="9">
        <v>1.2714000000000001E-4</v>
      </c>
      <c r="J2130" s="9">
        <v>1.2422999999999999E-4</v>
      </c>
      <c r="K2130" s="9">
        <v>0</v>
      </c>
      <c r="L2130" s="9">
        <v>1.6221000000000001E-4</v>
      </c>
      <c r="M2130" s="9">
        <v>1.6928000000000001E-4</v>
      </c>
      <c r="N2130" s="9">
        <v>1.7008E-4</v>
      </c>
      <c r="O2130" s="9">
        <v>1.7906000000000001E-4</v>
      </c>
      <c r="P2130" s="9">
        <v>1.6974000000000001E-4</v>
      </c>
      <c r="Q2130" s="9">
        <v>1.6166999999999999E-4</v>
      </c>
      <c r="R2130" s="10">
        <v>2.1242040620861999E-4</v>
      </c>
      <c r="S2130" s="10">
        <v>1.8985398930815878E-4</v>
      </c>
      <c r="T2130" s="10">
        <v>6.2158522328949119E-4</v>
      </c>
      <c r="U2130" s="10">
        <v>1.3928000000000001E-4</v>
      </c>
      <c r="V2130" s="25"/>
      <c r="W2130" s="25"/>
      <c r="X2130" s="25"/>
      <c r="Y2130" s="25"/>
      <c r="Z2130" s="25"/>
      <c r="AA2130" s="25"/>
    </row>
    <row r="2131" spans="1:27" x14ac:dyDescent="0.35">
      <c r="A2131" s="5">
        <v>2127</v>
      </c>
      <c r="B2131" s="5">
        <v>89</v>
      </c>
      <c r="C2131" s="5">
        <v>3</v>
      </c>
      <c r="D2131" s="25">
        <v>1.1416E-4</v>
      </c>
      <c r="E2131" s="25">
        <v>1.1792E-4</v>
      </c>
      <c r="F2131" s="25">
        <v>1.1496E-4</v>
      </c>
      <c r="G2131" s="25">
        <v>1.6521E-4</v>
      </c>
      <c r="H2131" s="25">
        <v>1.9448999999999999E-4</v>
      </c>
      <c r="I2131" s="9">
        <v>1.2553999999999999E-4</v>
      </c>
      <c r="J2131" s="9">
        <v>1.2303999999999999E-4</v>
      </c>
      <c r="K2131" s="9">
        <v>0</v>
      </c>
      <c r="L2131" s="9">
        <v>1.7552E-4</v>
      </c>
      <c r="M2131" s="9">
        <v>1.6824E-4</v>
      </c>
      <c r="N2131" s="9">
        <v>1.6987E-4</v>
      </c>
      <c r="O2131" s="9">
        <v>1.8474999999999999E-4</v>
      </c>
      <c r="P2131" s="9">
        <v>1.6855E-4</v>
      </c>
      <c r="Q2131" s="9">
        <v>1.5374E-4</v>
      </c>
      <c r="R2131" s="10">
        <v>2.1244905909963081E-4</v>
      </c>
      <c r="S2131" s="10">
        <v>1.8719593372658013E-4</v>
      </c>
      <c r="T2131" s="10">
        <v>5.2702770703215278E-4</v>
      </c>
      <c r="U2131" s="10">
        <v>1.3928000000000001E-4</v>
      </c>
      <c r="V2131" s="25"/>
      <c r="W2131" s="25"/>
      <c r="X2131" s="25"/>
      <c r="Y2131" s="25"/>
      <c r="Z2131" s="25"/>
      <c r="AA2131" s="25"/>
    </row>
    <row r="2132" spans="1:27" x14ac:dyDescent="0.35">
      <c r="A2132" s="5">
        <v>2128</v>
      </c>
      <c r="B2132" s="5">
        <v>89</v>
      </c>
      <c r="C2132" s="5">
        <v>3</v>
      </c>
      <c r="D2132" s="25">
        <v>1.1415000000000001E-4</v>
      </c>
      <c r="E2132" s="25">
        <v>1.1892000000000001E-4</v>
      </c>
      <c r="F2132" s="25">
        <v>1.0776E-4</v>
      </c>
      <c r="G2132" s="25">
        <v>1.6678999999999999E-4</v>
      </c>
      <c r="H2132" s="25">
        <v>1.9815999999999999E-4</v>
      </c>
      <c r="I2132" s="9">
        <v>1.2243000000000001E-4</v>
      </c>
      <c r="J2132" s="9">
        <v>1.2227000000000001E-4</v>
      </c>
      <c r="K2132" s="9">
        <v>0</v>
      </c>
      <c r="L2132" s="9">
        <v>1.8234999999999999E-4</v>
      </c>
      <c r="M2132" s="9">
        <v>1.6820999999999999E-4</v>
      </c>
      <c r="N2132" s="9">
        <v>1.6627999999999999E-4</v>
      </c>
      <c r="O2132" s="9">
        <v>1.9762999999999999E-4</v>
      </c>
      <c r="P2132" s="9">
        <v>1.5286999999999999E-4</v>
      </c>
      <c r="Q2132" s="9">
        <v>1.1006E-4</v>
      </c>
      <c r="R2132" s="10">
        <v>2.1238859408878095E-4</v>
      </c>
      <c r="S2132" s="10">
        <v>1.8337553640873438E-4</v>
      </c>
      <c r="T2132" s="10">
        <v>4.7484926602877633E-4</v>
      </c>
      <c r="U2132" s="10">
        <v>1.3928000000000001E-4</v>
      </c>
      <c r="V2132" s="25"/>
      <c r="W2132" s="25"/>
      <c r="X2132" s="25"/>
      <c r="Y2132" s="25"/>
      <c r="Z2132" s="25"/>
      <c r="AA2132" s="25"/>
    </row>
    <row r="2133" spans="1:27" x14ac:dyDescent="0.35">
      <c r="A2133" s="5">
        <v>2129</v>
      </c>
      <c r="B2133" s="5">
        <v>89</v>
      </c>
      <c r="C2133" s="5">
        <v>3</v>
      </c>
      <c r="D2133" s="25">
        <v>1.1416E-4</v>
      </c>
      <c r="E2133" s="25">
        <v>1.1730000000000001E-4</v>
      </c>
      <c r="F2133" s="25">
        <v>1.1991E-4</v>
      </c>
      <c r="G2133" s="25">
        <v>1.6725999999999999E-4</v>
      </c>
      <c r="H2133" s="25">
        <v>1.9086999999999999E-4</v>
      </c>
      <c r="I2133" s="9">
        <v>1.2208E-4</v>
      </c>
      <c r="J2133" s="9">
        <v>1.2373000000000001E-4</v>
      </c>
      <c r="K2133" s="9">
        <v>6.3600000000000001E-6</v>
      </c>
      <c r="L2133" s="9">
        <v>1.9403000000000001E-4</v>
      </c>
      <c r="M2133" s="9">
        <v>1.6278000000000001E-4</v>
      </c>
      <c r="N2133" s="9">
        <v>1.5260999999999999E-4</v>
      </c>
      <c r="O2133" s="9">
        <v>2.1505999999999999E-4</v>
      </c>
      <c r="P2133" s="9">
        <v>1.6034E-4</v>
      </c>
      <c r="Q2133" s="9">
        <v>1.0785000000000001E-4</v>
      </c>
      <c r="R2133" s="10">
        <v>2.1143887315263089E-4</v>
      </c>
      <c r="S2133" s="10">
        <v>1.8496349848899591E-4</v>
      </c>
      <c r="T2133" s="10">
        <v>2.0884951280310818E-4</v>
      </c>
      <c r="U2133" s="10">
        <v>1.3928000000000001E-4</v>
      </c>
      <c r="V2133" s="25"/>
      <c r="W2133" s="25"/>
      <c r="X2133" s="25"/>
      <c r="Y2133" s="25"/>
      <c r="Z2133" s="25"/>
      <c r="AA2133" s="25"/>
    </row>
    <row r="2134" spans="1:27" x14ac:dyDescent="0.35">
      <c r="A2134" s="5">
        <v>2130</v>
      </c>
      <c r="B2134" s="5">
        <v>89</v>
      </c>
      <c r="C2134" s="5">
        <v>3</v>
      </c>
      <c r="D2134" s="25">
        <v>1.1415000000000001E-4</v>
      </c>
      <c r="E2134" s="25">
        <v>1.154E-4</v>
      </c>
      <c r="F2134" s="25">
        <v>1.1644E-4</v>
      </c>
      <c r="G2134" s="25">
        <v>1.6129E-4</v>
      </c>
      <c r="H2134" s="25">
        <v>1.9885000000000001E-4</v>
      </c>
      <c r="I2134" s="9">
        <v>1.215E-4</v>
      </c>
      <c r="J2134" s="9">
        <v>1.1946E-4</v>
      </c>
      <c r="K2134" s="9">
        <v>1.908E-5</v>
      </c>
      <c r="L2134" s="9">
        <v>2.1021000000000001E-4</v>
      </c>
      <c r="M2134" s="9">
        <v>1.6035999999999999E-4</v>
      </c>
      <c r="N2134" s="9">
        <v>1.3948000000000001E-4</v>
      </c>
      <c r="O2134" s="9">
        <v>2.0550000000000001E-4</v>
      </c>
      <c r="P2134" s="9">
        <v>1.607E-4</v>
      </c>
      <c r="Q2134" s="9">
        <v>1.1790000000000001E-4</v>
      </c>
      <c r="R2134" s="10">
        <v>2.0374500235629259E-4</v>
      </c>
      <c r="S2134" s="10">
        <v>1.8575219669587762E-4</v>
      </c>
      <c r="T2134" s="10">
        <v>6.049305436651615E-5</v>
      </c>
      <c r="U2134" s="10">
        <v>1.3928000000000001E-4</v>
      </c>
      <c r="V2134" s="25"/>
      <c r="W2134" s="25"/>
      <c r="X2134" s="25"/>
      <c r="Y2134" s="25"/>
      <c r="Z2134" s="25"/>
      <c r="AA2134" s="25"/>
    </row>
    <row r="2135" spans="1:27" x14ac:dyDescent="0.35">
      <c r="A2135" s="5">
        <v>2131</v>
      </c>
      <c r="B2135" s="5">
        <v>89</v>
      </c>
      <c r="C2135" s="5">
        <v>3</v>
      </c>
      <c r="D2135" s="25">
        <v>1.1416E-4</v>
      </c>
      <c r="E2135" s="25">
        <v>1.1882E-4</v>
      </c>
      <c r="F2135" s="25">
        <v>1.2376999999999999E-4</v>
      </c>
      <c r="G2135" s="25">
        <v>1.1383E-4</v>
      </c>
      <c r="H2135" s="25">
        <v>1.3578E-4</v>
      </c>
      <c r="I2135" s="9">
        <v>1.1972999999999999E-4</v>
      </c>
      <c r="J2135" s="9">
        <v>1.1786999999999999E-4</v>
      </c>
      <c r="K2135" s="9">
        <v>2.544E-5</v>
      </c>
      <c r="L2135" s="9">
        <v>2.0613000000000001E-4</v>
      </c>
      <c r="M2135" s="9">
        <v>1.6001000000000001E-4</v>
      </c>
      <c r="N2135" s="9">
        <v>1.3045999999999999E-4</v>
      </c>
      <c r="O2135" s="9">
        <v>1.6380999999999999E-4</v>
      </c>
      <c r="P2135" s="9">
        <v>1.3459999999999999E-4</v>
      </c>
      <c r="Q2135" s="9">
        <v>1.0683000000000001E-4</v>
      </c>
      <c r="R2135" s="10">
        <v>1.7305343296440196E-4</v>
      </c>
      <c r="S2135" s="10">
        <v>1.8342738127398675E-4</v>
      </c>
      <c r="T2135" s="10">
        <v>0</v>
      </c>
      <c r="U2135" s="10">
        <v>1.3928000000000001E-4</v>
      </c>
      <c r="V2135" s="25"/>
      <c r="W2135" s="25"/>
      <c r="X2135" s="25"/>
      <c r="Y2135" s="25"/>
      <c r="Z2135" s="25"/>
      <c r="AA2135" s="25"/>
    </row>
    <row r="2136" spans="1:27" x14ac:dyDescent="0.35">
      <c r="A2136" s="5">
        <v>2132</v>
      </c>
      <c r="B2136" s="5">
        <v>89</v>
      </c>
      <c r="C2136" s="5">
        <v>3</v>
      </c>
      <c r="D2136" s="25">
        <v>1.1415000000000001E-4</v>
      </c>
      <c r="E2136" s="25">
        <v>1.1422E-4</v>
      </c>
      <c r="F2136" s="25">
        <v>1.2328E-4</v>
      </c>
      <c r="G2136" s="25">
        <v>1.1116E-4</v>
      </c>
      <c r="H2136" s="25">
        <v>1.3009999999999999E-4</v>
      </c>
      <c r="I2136" s="9">
        <v>1.2284000000000001E-4</v>
      </c>
      <c r="J2136" s="9">
        <v>1.2165E-4</v>
      </c>
      <c r="K2136" s="9">
        <v>4.2389999999999999E-5</v>
      </c>
      <c r="L2136" s="9">
        <v>1.7330000000000001E-4</v>
      </c>
      <c r="M2136" s="9">
        <v>1.5092999999999999E-4</v>
      </c>
      <c r="N2136" s="9">
        <v>1.2123E-4</v>
      </c>
      <c r="O2136" s="9">
        <v>1.2925E-4</v>
      </c>
      <c r="P2136" s="9">
        <v>1.1529E-4</v>
      </c>
      <c r="Q2136" s="9">
        <v>1.0228E-4</v>
      </c>
      <c r="R2136" s="10">
        <v>1.5661912573466203E-4</v>
      </c>
      <c r="S2136" s="10">
        <v>1.8527035876716115E-4</v>
      </c>
      <c r="T2136" s="10">
        <v>0</v>
      </c>
      <c r="U2136" s="10">
        <v>1.3928000000000001E-4</v>
      </c>
      <c r="V2136" s="25"/>
      <c r="W2136" s="25"/>
      <c r="X2136" s="25"/>
      <c r="Y2136" s="25"/>
      <c r="Z2136" s="25"/>
      <c r="AA2136" s="25"/>
    </row>
    <row r="2137" spans="1:27" x14ac:dyDescent="0.35">
      <c r="A2137" s="5">
        <v>2133</v>
      </c>
      <c r="B2137" s="5">
        <v>89</v>
      </c>
      <c r="C2137" s="5">
        <v>3</v>
      </c>
      <c r="D2137" s="25">
        <v>1.1416E-4</v>
      </c>
      <c r="E2137" s="25">
        <v>1.2187E-4</v>
      </c>
      <c r="F2137" s="25">
        <v>1.2514000000000001E-4</v>
      </c>
      <c r="G2137" s="25">
        <v>5.6379999999999999E-5</v>
      </c>
      <c r="H2137" s="25">
        <v>6.8419999999999999E-5</v>
      </c>
      <c r="I2137" s="9">
        <v>1.194E-4</v>
      </c>
      <c r="J2137" s="9">
        <v>1.1854E-4</v>
      </c>
      <c r="K2137" s="9">
        <v>6.1459999999999998E-5</v>
      </c>
      <c r="L2137" s="9">
        <v>1.3996000000000001E-4</v>
      </c>
      <c r="M2137" s="9">
        <v>1.3554999999999999E-4</v>
      </c>
      <c r="N2137" s="9">
        <v>1.1354E-4</v>
      </c>
      <c r="O2137" s="9">
        <v>8.4889999999999995E-5</v>
      </c>
      <c r="P2137" s="9">
        <v>8.6539999999999995E-5</v>
      </c>
      <c r="Q2137" s="9">
        <v>8.8540000000000003E-5</v>
      </c>
      <c r="R2137" s="10">
        <v>1.6006828416602781E-4</v>
      </c>
      <c r="S2137" s="10">
        <v>1.8930943946650434E-4</v>
      </c>
      <c r="T2137" s="10">
        <v>0</v>
      </c>
      <c r="U2137" s="10">
        <v>1.3928000000000001E-4</v>
      </c>
      <c r="V2137" s="25"/>
      <c r="W2137" s="25"/>
      <c r="X2137" s="25"/>
      <c r="Y2137" s="25"/>
      <c r="Z2137" s="25"/>
      <c r="AA2137" s="25"/>
    </row>
    <row r="2138" spans="1:27" x14ac:dyDescent="0.35">
      <c r="A2138" s="5">
        <v>2134</v>
      </c>
      <c r="B2138" s="5">
        <v>89</v>
      </c>
      <c r="C2138" s="5">
        <v>3</v>
      </c>
      <c r="D2138" s="25">
        <v>1.1415000000000001E-4</v>
      </c>
      <c r="E2138" s="25">
        <v>1.1689E-4</v>
      </c>
      <c r="F2138" s="25">
        <v>1.2454999999999999E-4</v>
      </c>
      <c r="G2138" s="25">
        <v>6.0350000000000003E-5</v>
      </c>
      <c r="H2138" s="25">
        <v>6.6669999999999997E-5</v>
      </c>
      <c r="I2138" s="9">
        <v>1.2022E-4</v>
      </c>
      <c r="J2138" s="9">
        <v>1.0894E-4</v>
      </c>
      <c r="K2138" s="9">
        <v>6.1459999999999998E-5</v>
      </c>
      <c r="L2138" s="9">
        <v>9.7899999999999994E-5</v>
      </c>
      <c r="M2138" s="9">
        <v>1.1396999999999999E-4</v>
      </c>
      <c r="N2138" s="9">
        <v>1.0589E-4</v>
      </c>
      <c r="O2138" s="9">
        <v>8.8259999999999999E-5</v>
      </c>
      <c r="P2138" s="9">
        <v>8.852E-5</v>
      </c>
      <c r="Q2138" s="9">
        <v>8.9170000000000002E-5</v>
      </c>
      <c r="R2138" s="10">
        <v>1.7978397719460267E-4</v>
      </c>
      <c r="S2138" s="10">
        <v>1.9006188935942218E-4</v>
      </c>
      <c r="T2138" s="10">
        <v>0</v>
      </c>
      <c r="U2138" s="10">
        <v>1.3928000000000001E-4</v>
      </c>
      <c r="V2138" s="25"/>
      <c r="W2138" s="25"/>
      <c r="X2138" s="25"/>
      <c r="Y2138" s="25"/>
      <c r="Z2138" s="25"/>
      <c r="AA2138" s="25"/>
    </row>
    <row r="2139" spans="1:27" x14ac:dyDescent="0.35">
      <c r="A2139" s="5">
        <v>2135</v>
      </c>
      <c r="B2139" s="5">
        <v>89</v>
      </c>
      <c r="C2139" s="5">
        <v>3</v>
      </c>
      <c r="D2139" s="25">
        <v>1.1416E-4</v>
      </c>
      <c r="E2139" s="25">
        <v>1.2167000000000001E-4</v>
      </c>
      <c r="F2139" s="25">
        <v>1.1875E-4</v>
      </c>
      <c r="G2139" s="25">
        <v>5.4889999999999998E-5</v>
      </c>
      <c r="H2139" s="25">
        <v>6.6309999999999994E-5</v>
      </c>
      <c r="I2139" s="9">
        <v>1.1896E-4</v>
      </c>
      <c r="J2139" s="9">
        <v>1.0009E-4</v>
      </c>
      <c r="K2139" s="9">
        <v>6.1459999999999998E-5</v>
      </c>
      <c r="L2139" s="9">
        <v>9.132E-5</v>
      </c>
      <c r="M2139" s="9">
        <v>9.9519999999999996E-5</v>
      </c>
      <c r="N2139" s="9">
        <v>1.002E-4</v>
      </c>
      <c r="O2139" s="9">
        <v>7.7689999999999996E-5</v>
      </c>
      <c r="P2139" s="9">
        <v>7.2039999999999995E-5</v>
      </c>
      <c r="Q2139" s="9">
        <v>6.6790000000000003E-5</v>
      </c>
      <c r="R2139" s="10">
        <v>1.9979223022366014E-4</v>
      </c>
      <c r="S2139" s="10">
        <v>1.9014391641977474E-4</v>
      </c>
      <c r="T2139" s="10">
        <v>0</v>
      </c>
      <c r="U2139" s="10">
        <v>1.3928000000000001E-4</v>
      </c>
      <c r="V2139" s="25"/>
      <c r="W2139" s="25"/>
      <c r="X2139" s="25"/>
      <c r="Y2139" s="25"/>
      <c r="Z2139" s="25"/>
      <c r="AA2139" s="25"/>
    </row>
    <row r="2140" spans="1:27" x14ac:dyDescent="0.35">
      <c r="A2140" s="5">
        <v>2136</v>
      </c>
      <c r="B2140" s="5">
        <v>89</v>
      </c>
      <c r="C2140" s="5">
        <v>3</v>
      </c>
      <c r="D2140" s="25">
        <v>1.1415000000000001E-4</v>
      </c>
      <c r="E2140" s="25">
        <v>1.1509E-4</v>
      </c>
      <c r="F2140" s="25">
        <v>1.0783E-4</v>
      </c>
      <c r="G2140" s="25">
        <v>6.0189999999999998E-5</v>
      </c>
      <c r="H2140" s="25">
        <v>7.3759999999999999E-5</v>
      </c>
      <c r="I2140" s="9">
        <v>1.1081E-4</v>
      </c>
      <c r="J2140" s="9">
        <v>9.1440000000000005E-5</v>
      </c>
      <c r="K2140" s="9">
        <v>7.6299999999999998E-5</v>
      </c>
      <c r="L2140" s="9">
        <v>8.0669999999999998E-5</v>
      </c>
      <c r="M2140" s="9">
        <v>8.6450000000000001E-5</v>
      </c>
      <c r="N2140" s="9">
        <v>9.0840000000000004E-5</v>
      </c>
      <c r="O2140" s="9">
        <v>6.2189999999999999E-5</v>
      </c>
      <c r="P2140" s="9">
        <v>6.0149999999999998E-5</v>
      </c>
      <c r="Q2140" s="9">
        <v>5.8350000000000002E-5</v>
      </c>
      <c r="R2140" s="10">
        <v>2.1134836981825814E-4</v>
      </c>
      <c r="S2140" s="10">
        <v>1.9029020759484994E-4</v>
      </c>
      <c r="T2140" s="10">
        <v>0</v>
      </c>
      <c r="U2140" s="10">
        <v>1.3928000000000001E-4</v>
      </c>
      <c r="V2140" s="25"/>
      <c r="W2140" s="25"/>
      <c r="X2140" s="25"/>
      <c r="Y2140" s="25"/>
      <c r="Z2140" s="25"/>
      <c r="AA2140" s="25"/>
    </row>
    <row r="2141" spans="1:27" x14ac:dyDescent="0.35">
      <c r="A2141" s="5">
        <v>2137</v>
      </c>
      <c r="B2141" s="5">
        <v>90</v>
      </c>
      <c r="C2141" s="5">
        <v>3</v>
      </c>
      <c r="D2141" s="25">
        <v>1.1416E-4</v>
      </c>
      <c r="E2141" s="25">
        <v>1.2260999999999999E-4</v>
      </c>
      <c r="F2141" s="25">
        <v>1.0882000000000001E-4</v>
      </c>
      <c r="G2141" s="25">
        <v>5.8220000000000002E-5</v>
      </c>
      <c r="H2141" s="25">
        <v>4.3399999999999998E-5</v>
      </c>
      <c r="I2141" s="9">
        <v>1.0399999999999999E-4</v>
      </c>
      <c r="J2141" s="9">
        <v>8.6489999999999994E-5</v>
      </c>
      <c r="K2141" s="9">
        <v>9.1130000000000003E-5</v>
      </c>
      <c r="L2141" s="9">
        <v>6.6270000000000001E-5</v>
      </c>
      <c r="M2141" s="9">
        <v>7.3969999999999998E-5</v>
      </c>
      <c r="N2141" s="9">
        <v>8.1269999999999999E-5</v>
      </c>
      <c r="O2141" s="9">
        <v>6.8639999999999993E-5</v>
      </c>
      <c r="P2141" s="9">
        <v>6.1119999999999998E-5</v>
      </c>
      <c r="Q2141" s="9">
        <v>5.3900000000000002E-5</v>
      </c>
      <c r="R2141" s="10">
        <v>2.1225678487025881E-4</v>
      </c>
      <c r="S2141" s="10">
        <v>1.9028595524470313E-4</v>
      </c>
      <c r="T2141" s="10">
        <v>0</v>
      </c>
      <c r="U2141" s="10">
        <v>1.3893999999999999E-4</v>
      </c>
      <c r="V2141" s="25"/>
      <c r="W2141" s="25"/>
      <c r="X2141" s="25"/>
      <c r="Y2141" s="25"/>
      <c r="Z2141" s="25"/>
      <c r="AA2141" s="25"/>
    </row>
    <row r="2142" spans="1:27" x14ac:dyDescent="0.35">
      <c r="A2142" s="5">
        <v>2138</v>
      </c>
      <c r="B2142" s="5">
        <v>90</v>
      </c>
      <c r="C2142" s="5">
        <v>3</v>
      </c>
      <c r="D2142" s="25">
        <v>1.1415000000000001E-4</v>
      </c>
      <c r="E2142" s="25">
        <v>1.1758E-4</v>
      </c>
      <c r="F2142" s="25">
        <v>9.6020000000000006E-5</v>
      </c>
      <c r="G2142" s="25">
        <v>5.4530000000000001E-5</v>
      </c>
      <c r="H2142" s="25">
        <v>4.0099999999999999E-5</v>
      </c>
      <c r="I2142" s="9">
        <v>9.9560000000000002E-5</v>
      </c>
      <c r="J2142" s="9">
        <v>8.6030000000000001E-5</v>
      </c>
      <c r="K2142" s="9">
        <v>9.9610000000000003E-5</v>
      </c>
      <c r="L2142" s="9">
        <v>6.8520000000000001E-5</v>
      </c>
      <c r="M2142" s="9">
        <v>6.6370000000000003E-5</v>
      </c>
      <c r="N2142" s="9">
        <v>7.2219999999999996E-5</v>
      </c>
      <c r="O2142" s="9">
        <v>3.5559999999999998E-5</v>
      </c>
      <c r="P2142" s="9">
        <v>4.6220000000000001E-5</v>
      </c>
      <c r="Q2142" s="9">
        <v>5.6650000000000001E-5</v>
      </c>
      <c r="R2142" s="10">
        <v>2.124215505391247E-4</v>
      </c>
      <c r="S2142" s="10">
        <v>1.9019711770873319E-4</v>
      </c>
      <c r="T2142" s="10">
        <v>0</v>
      </c>
      <c r="U2142" s="10">
        <v>1.3893999999999999E-4</v>
      </c>
      <c r="V2142" s="25"/>
      <c r="W2142" s="25"/>
      <c r="X2142" s="25"/>
      <c r="Y2142" s="25"/>
      <c r="Z2142" s="25"/>
      <c r="AA2142" s="25"/>
    </row>
    <row r="2143" spans="1:27" x14ac:dyDescent="0.35">
      <c r="A2143" s="5">
        <v>2139</v>
      </c>
      <c r="B2143" s="5">
        <v>90</v>
      </c>
      <c r="C2143" s="5">
        <v>3</v>
      </c>
      <c r="D2143" s="25">
        <v>1.1416E-4</v>
      </c>
      <c r="E2143" s="25">
        <v>1.1432E-4</v>
      </c>
      <c r="F2143" s="25">
        <v>9.7429999999999994E-5</v>
      </c>
      <c r="G2143" s="25">
        <v>5.804E-5</v>
      </c>
      <c r="H2143" s="25">
        <v>4.6360000000000003E-5</v>
      </c>
      <c r="I2143" s="9">
        <v>9.8460000000000003E-5</v>
      </c>
      <c r="J2143" s="9">
        <v>9.0400000000000002E-5</v>
      </c>
      <c r="K2143" s="9">
        <v>1.1233E-4</v>
      </c>
      <c r="L2143" s="9">
        <v>4.2700000000000001E-5</v>
      </c>
      <c r="M2143" s="9">
        <v>5.7519999999999998E-5</v>
      </c>
      <c r="N2143" s="9">
        <v>6.5710000000000006E-5</v>
      </c>
      <c r="O2143" s="9">
        <v>2.192E-5</v>
      </c>
      <c r="P2143" s="9">
        <v>4.1680000000000001E-5</v>
      </c>
      <c r="Q2143" s="9">
        <v>6.0959999999999999E-5</v>
      </c>
      <c r="R2143" s="10">
        <v>2.1244921544427228E-4</v>
      </c>
      <c r="S2143" s="10">
        <v>1.8962457740253098E-4</v>
      </c>
      <c r="T2143" s="10">
        <v>0</v>
      </c>
      <c r="U2143" s="10">
        <v>1.3893999999999999E-4</v>
      </c>
      <c r="V2143" s="25"/>
      <c r="W2143" s="25"/>
      <c r="X2143" s="25"/>
      <c r="Y2143" s="25"/>
      <c r="Z2143" s="25"/>
      <c r="AA2143" s="25"/>
    </row>
    <row r="2144" spans="1:27" x14ac:dyDescent="0.35">
      <c r="A2144" s="5">
        <v>2140</v>
      </c>
      <c r="B2144" s="5">
        <v>90</v>
      </c>
      <c r="C2144" s="5">
        <v>3</v>
      </c>
      <c r="D2144" s="25">
        <v>1.1415000000000001E-4</v>
      </c>
      <c r="E2144" s="25">
        <v>1.1633000000000001E-4</v>
      </c>
      <c r="F2144" s="25">
        <v>9.09E-5</v>
      </c>
      <c r="G2144" s="25">
        <v>5.4410000000000003E-5</v>
      </c>
      <c r="H2144" s="25">
        <v>4.0210000000000003E-5</v>
      </c>
      <c r="I2144" s="9">
        <v>9.9539999999999999E-5</v>
      </c>
      <c r="J2144" s="9">
        <v>9.1290000000000002E-5</v>
      </c>
      <c r="K2144" s="9">
        <v>1.3776000000000001E-4</v>
      </c>
      <c r="L2144" s="9">
        <v>2.711E-5</v>
      </c>
      <c r="M2144" s="9">
        <v>4.973E-5</v>
      </c>
      <c r="N2144" s="9">
        <v>6.1929999999999998E-5</v>
      </c>
      <c r="O2144" s="9">
        <v>2.1529999999999999E-5</v>
      </c>
      <c r="P2144" s="9">
        <v>5.1140000000000002E-5</v>
      </c>
      <c r="Q2144" s="9">
        <v>8.0110000000000004E-5</v>
      </c>
      <c r="R2144" s="10">
        <v>2.1244936787709023E-4</v>
      </c>
      <c r="S2144" s="10">
        <v>1.8791779945552149E-4</v>
      </c>
      <c r="T2144" s="10">
        <v>0</v>
      </c>
      <c r="U2144" s="10">
        <v>1.3893999999999999E-4</v>
      </c>
      <c r="V2144" s="25"/>
      <c r="W2144" s="25"/>
      <c r="X2144" s="25"/>
      <c r="Y2144" s="25"/>
      <c r="Z2144" s="25"/>
      <c r="AA2144" s="25"/>
    </row>
    <row r="2145" spans="1:27" x14ac:dyDescent="0.35">
      <c r="A2145" s="5">
        <v>2141</v>
      </c>
      <c r="B2145" s="5">
        <v>90</v>
      </c>
      <c r="C2145" s="5">
        <v>3</v>
      </c>
      <c r="D2145" s="25">
        <v>1.1416E-4</v>
      </c>
      <c r="E2145" s="25">
        <v>1.1734E-4</v>
      </c>
      <c r="F2145" s="25">
        <v>1.0348000000000001E-4</v>
      </c>
      <c r="G2145" s="25">
        <v>6.3180000000000002E-5</v>
      </c>
      <c r="H2145" s="25">
        <v>4.3739999999999998E-5</v>
      </c>
      <c r="I2145" s="9">
        <v>1.0518000000000001E-4</v>
      </c>
      <c r="J2145" s="9">
        <v>9.3939999999999998E-5</v>
      </c>
      <c r="K2145" s="9">
        <v>1.5683E-4</v>
      </c>
      <c r="L2145" s="9">
        <v>2.3240000000000001E-5</v>
      </c>
      <c r="M2145" s="9">
        <v>4.8359999999999998E-5</v>
      </c>
      <c r="N2145" s="9">
        <v>6.4380000000000004E-5</v>
      </c>
      <c r="O2145" s="9">
        <v>2.37E-5</v>
      </c>
      <c r="P2145" s="9">
        <v>5.9429999999999999E-5</v>
      </c>
      <c r="Q2145" s="9">
        <v>9.4450000000000005E-5</v>
      </c>
      <c r="R2145" s="10">
        <v>2.1244936787709023E-4</v>
      </c>
      <c r="S2145" s="10">
        <v>1.8778034797682701E-4</v>
      </c>
      <c r="T2145" s="10">
        <v>0</v>
      </c>
      <c r="U2145" s="10">
        <v>1.3893999999999999E-4</v>
      </c>
      <c r="V2145" s="25"/>
      <c r="W2145" s="25"/>
      <c r="X2145" s="25"/>
      <c r="Y2145" s="25"/>
      <c r="Z2145" s="25"/>
      <c r="AA2145" s="25"/>
    </row>
    <row r="2146" spans="1:27" x14ac:dyDescent="0.35">
      <c r="A2146" s="5">
        <v>2142</v>
      </c>
      <c r="B2146" s="5">
        <v>90</v>
      </c>
      <c r="C2146" s="5">
        <v>3</v>
      </c>
      <c r="D2146" s="25">
        <v>1.1415000000000001E-4</v>
      </c>
      <c r="E2146" s="25">
        <v>1.1992E-4</v>
      </c>
      <c r="F2146" s="25">
        <v>9.4199999999999999E-5</v>
      </c>
      <c r="G2146" s="25">
        <v>1.0895000000000001E-4</v>
      </c>
      <c r="H2146" s="25">
        <v>7.695E-5</v>
      </c>
      <c r="I2146" s="9">
        <v>1.153E-4</v>
      </c>
      <c r="J2146" s="9">
        <v>1.0051E-4</v>
      </c>
      <c r="K2146" s="9">
        <v>1.6318999999999999E-4</v>
      </c>
      <c r="L2146" s="9">
        <v>2.3519999999999998E-5</v>
      </c>
      <c r="M2146" s="9">
        <v>5.2320000000000001E-5</v>
      </c>
      <c r="N2146" s="9">
        <v>7.1110000000000002E-5</v>
      </c>
      <c r="O2146" s="9">
        <v>2.9770000000000001E-5</v>
      </c>
      <c r="P2146" s="9">
        <v>6.8720000000000006E-5</v>
      </c>
      <c r="Q2146" s="9">
        <v>1.0695E-4</v>
      </c>
      <c r="R2146" s="10">
        <v>2.1244936787709023E-4</v>
      </c>
      <c r="S2146" s="10">
        <v>1.8915012955038427E-4</v>
      </c>
      <c r="T2146" s="10">
        <v>0</v>
      </c>
      <c r="U2146" s="10">
        <v>1.3893999999999999E-4</v>
      </c>
      <c r="V2146" s="25"/>
      <c r="W2146" s="25"/>
      <c r="X2146" s="25"/>
      <c r="Y2146" s="25"/>
      <c r="Z2146" s="25"/>
      <c r="AA2146" s="25"/>
    </row>
    <row r="2147" spans="1:27" x14ac:dyDescent="0.35">
      <c r="A2147" s="5">
        <v>2143</v>
      </c>
      <c r="B2147" s="5">
        <v>90</v>
      </c>
      <c r="C2147" s="5">
        <v>3</v>
      </c>
      <c r="D2147" s="25">
        <v>1.1416E-4</v>
      </c>
      <c r="E2147" s="25">
        <v>1.165E-4</v>
      </c>
      <c r="F2147" s="25">
        <v>9.8010000000000005E-5</v>
      </c>
      <c r="G2147" s="25">
        <v>1.0876E-4</v>
      </c>
      <c r="H2147" s="25">
        <v>7.8070000000000003E-5</v>
      </c>
      <c r="I2147" s="9">
        <v>1.2055E-4</v>
      </c>
      <c r="J2147" s="9">
        <v>1.1557000000000001E-4</v>
      </c>
      <c r="K2147" s="9">
        <v>1.3564E-4</v>
      </c>
      <c r="L2147" s="9">
        <v>2.8289999999999998E-5</v>
      </c>
      <c r="M2147" s="9">
        <v>5.94E-5</v>
      </c>
      <c r="N2147" s="9">
        <v>8.0790000000000004E-5</v>
      </c>
      <c r="O2147" s="9">
        <v>4.6279999999999997E-5</v>
      </c>
      <c r="P2147" s="9">
        <v>7.9640000000000003E-5</v>
      </c>
      <c r="Q2147" s="9">
        <v>1.125E-4</v>
      </c>
      <c r="R2147" s="10">
        <v>2.1244936787709023E-4</v>
      </c>
      <c r="S2147" s="10">
        <v>1.8847410559512176E-4</v>
      </c>
      <c r="T2147" s="10">
        <v>4.7308453176394673E-5</v>
      </c>
      <c r="U2147" s="10">
        <v>1.3893999999999999E-4</v>
      </c>
      <c r="V2147" s="25"/>
      <c r="W2147" s="25"/>
      <c r="X2147" s="25"/>
      <c r="Y2147" s="25"/>
      <c r="Z2147" s="25"/>
      <c r="AA2147" s="25"/>
    </row>
    <row r="2148" spans="1:27" x14ac:dyDescent="0.35">
      <c r="A2148" s="5">
        <v>2144</v>
      </c>
      <c r="B2148" s="5">
        <v>90</v>
      </c>
      <c r="C2148" s="5">
        <v>3</v>
      </c>
      <c r="D2148" s="25">
        <v>1.1415000000000001E-4</v>
      </c>
      <c r="E2148" s="25">
        <v>1.1582999999999999E-4</v>
      </c>
      <c r="F2148" s="25">
        <v>1.0139E-4</v>
      </c>
      <c r="G2148" s="25">
        <v>1.6747999999999999E-4</v>
      </c>
      <c r="H2148" s="25">
        <v>1.1789E-4</v>
      </c>
      <c r="I2148" s="9">
        <v>1.2687000000000001E-4</v>
      </c>
      <c r="J2148" s="9">
        <v>1.2496999999999999E-4</v>
      </c>
      <c r="K2148" s="9">
        <v>1.3564E-4</v>
      </c>
      <c r="L2148" s="9">
        <v>4.2179999999999999E-5</v>
      </c>
      <c r="M2148" s="9">
        <v>6.8449999999999997E-5</v>
      </c>
      <c r="N2148" s="9">
        <v>9.0890000000000006E-5</v>
      </c>
      <c r="O2148" s="9">
        <v>6.8059999999999996E-5</v>
      </c>
      <c r="P2148" s="9">
        <v>1.0234E-4</v>
      </c>
      <c r="Q2148" s="9">
        <v>1.3626999999999999E-4</v>
      </c>
      <c r="R2148" s="10">
        <v>2.1244936787709023E-4</v>
      </c>
      <c r="S2148" s="10">
        <v>1.824330676856375E-4</v>
      </c>
      <c r="T2148" s="10">
        <v>1.1045709323950542E-4</v>
      </c>
      <c r="U2148" s="10">
        <v>1.3893999999999999E-4</v>
      </c>
      <c r="V2148" s="25"/>
      <c r="W2148" s="25"/>
      <c r="X2148" s="25"/>
      <c r="Y2148" s="25"/>
      <c r="Z2148" s="25"/>
      <c r="AA2148" s="25"/>
    </row>
    <row r="2149" spans="1:27" x14ac:dyDescent="0.35">
      <c r="A2149" s="5">
        <v>2145</v>
      </c>
      <c r="B2149" s="5">
        <v>90</v>
      </c>
      <c r="C2149" s="5">
        <v>3</v>
      </c>
      <c r="D2149" s="25">
        <v>1.1416E-4</v>
      </c>
      <c r="E2149" s="25">
        <v>1.1758E-4</v>
      </c>
      <c r="F2149" s="25">
        <v>1.0073000000000001E-4</v>
      </c>
      <c r="G2149" s="25">
        <v>1.6555000000000001E-4</v>
      </c>
      <c r="H2149" s="25">
        <v>1.228E-4</v>
      </c>
      <c r="I2149" s="9">
        <v>1.3134E-4</v>
      </c>
      <c r="J2149" s="9">
        <v>1.2788E-4</v>
      </c>
      <c r="K2149" s="9">
        <v>1.0597E-4</v>
      </c>
      <c r="L2149" s="9">
        <v>6.1989999999999994E-5</v>
      </c>
      <c r="M2149" s="9">
        <v>8.2890000000000001E-5</v>
      </c>
      <c r="N2149" s="9">
        <v>1.0454999999999999E-4</v>
      </c>
      <c r="O2149" s="9">
        <v>9.9790000000000005E-5</v>
      </c>
      <c r="P2149" s="9">
        <v>1.3839000000000001E-4</v>
      </c>
      <c r="Q2149" s="9">
        <v>1.7682E-4</v>
      </c>
      <c r="R2149" s="10">
        <v>2.1244936787709023E-4</v>
      </c>
      <c r="S2149" s="10">
        <v>1.7472613557118378E-4</v>
      </c>
      <c r="T2149" s="10">
        <v>1.3071760008764576E-4</v>
      </c>
      <c r="U2149" s="10">
        <v>1.3893999999999999E-4</v>
      </c>
      <c r="V2149" s="25"/>
      <c r="W2149" s="25"/>
      <c r="X2149" s="25"/>
      <c r="Y2149" s="25"/>
      <c r="Z2149" s="25"/>
      <c r="AA2149" s="25"/>
    </row>
    <row r="2150" spans="1:27" x14ac:dyDescent="0.35">
      <c r="A2150" s="5">
        <v>2146</v>
      </c>
      <c r="B2150" s="5">
        <v>90</v>
      </c>
      <c r="C2150" s="5">
        <v>3</v>
      </c>
      <c r="D2150" s="25">
        <v>1.1415000000000001E-4</v>
      </c>
      <c r="E2150" s="25">
        <v>1.1276E-4</v>
      </c>
      <c r="F2150" s="25">
        <v>9.8729999999999998E-5</v>
      </c>
      <c r="G2150" s="25">
        <v>1.6085000000000001E-4</v>
      </c>
      <c r="H2150" s="25">
        <v>1.1657E-4</v>
      </c>
      <c r="I2150" s="9">
        <v>1.3255999999999999E-4</v>
      </c>
      <c r="J2150" s="9">
        <v>1.2658E-4</v>
      </c>
      <c r="K2150" s="9">
        <v>7.2059999999999998E-5</v>
      </c>
      <c r="L2150" s="9">
        <v>9.0950000000000002E-5</v>
      </c>
      <c r="M2150" s="9">
        <v>1.0652E-4</v>
      </c>
      <c r="N2150" s="9">
        <v>1.2454E-4</v>
      </c>
      <c r="O2150" s="9">
        <v>1.2957999999999999E-4</v>
      </c>
      <c r="P2150" s="9">
        <v>1.5646E-4</v>
      </c>
      <c r="Q2150" s="9">
        <v>1.8358E-4</v>
      </c>
      <c r="R2150" s="10">
        <v>2.1244936787709023E-4</v>
      </c>
      <c r="S2150" s="10">
        <v>1.7079679715443791E-4</v>
      </c>
      <c r="T2150" s="10">
        <v>1.0145525162900421E-4</v>
      </c>
      <c r="U2150" s="10">
        <v>1.3893999999999999E-4</v>
      </c>
      <c r="V2150" s="25"/>
      <c r="W2150" s="25"/>
      <c r="X2150" s="25"/>
      <c r="Y2150" s="25"/>
      <c r="Z2150" s="25"/>
      <c r="AA2150" s="25"/>
    </row>
    <row r="2151" spans="1:27" x14ac:dyDescent="0.35">
      <c r="A2151" s="5">
        <v>2147</v>
      </c>
      <c r="B2151" s="5">
        <v>90</v>
      </c>
      <c r="C2151" s="5">
        <v>3</v>
      </c>
      <c r="D2151" s="25">
        <v>1.1416E-4</v>
      </c>
      <c r="E2151" s="25">
        <v>1.2244999999999999E-4</v>
      </c>
      <c r="F2151" s="25">
        <v>9.6730000000000004E-5</v>
      </c>
      <c r="G2151" s="25">
        <v>1.6632999999999999E-4</v>
      </c>
      <c r="H2151" s="25">
        <v>1.2181E-4</v>
      </c>
      <c r="I2151" s="9">
        <v>1.3239E-4</v>
      </c>
      <c r="J2151" s="9">
        <v>1.2646000000000001E-4</v>
      </c>
      <c r="K2151" s="9">
        <v>2.968E-5</v>
      </c>
      <c r="L2151" s="9">
        <v>1.2037E-4</v>
      </c>
      <c r="M2151" s="9">
        <v>1.3046999999999999E-4</v>
      </c>
      <c r="N2151" s="9">
        <v>1.4292999999999999E-4</v>
      </c>
      <c r="O2151" s="9">
        <v>1.3789E-4</v>
      </c>
      <c r="P2151" s="9">
        <v>1.5919999999999999E-4</v>
      </c>
      <c r="Q2151" s="9">
        <v>1.8090000000000001E-4</v>
      </c>
      <c r="R2151" s="10">
        <v>2.112307606440259E-4</v>
      </c>
      <c r="S2151" s="10">
        <v>1.6593059359961725E-4</v>
      </c>
      <c r="T2151" s="10">
        <v>3.0227013294752744E-4</v>
      </c>
      <c r="U2151" s="10">
        <v>1.3893999999999999E-4</v>
      </c>
      <c r="V2151" s="25"/>
      <c r="W2151" s="25"/>
      <c r="X2151" s="25"/>
      <c r="Y2151" s="25"/>
      <c r="Z2151" s="25"/>
      <c r="AA2151" s="25"/>
    </row>
    <row r="2152" spans="1:27" x14ac:dyDescent="0.35">
      <c r="A2152" s="5">
        <v>2148</v>
      </c>
      <c r="B2152" s="5">
        <v>90</v>
      </c>
      <c r="C2152" s="5">
        <v>3</v>
      </c>
      <c r="D2152" s="25">
        <v>1.1415000000000001E-4</v>
      </c>
      <c r="E2152" s="25">
        <v>1.1680000000000001E-4</v>
      </c>
      <c r="F2152" s="25">
        <v>1.0186E-4</v>
      </c>
      <c r="G2152" s="25">
        <v>1.5892E-4</v>
      </c>
      <c r="H2152" s="25">
        <v>1.1577E-4</v>
      </c>
      <c r="I2152" s="9">
        <v>1.3049000000000001E-4</v>
      </c>
      <c r="J2152" s="9">
        <v>1.2463E-4</v>
      </c>
      <c r="K2152" s="9">
        <v>2.332E-5</v>
      </c>
      <c r="L2152" s="9">
        <v>1.3333999999999999E-4</v>
      </c>
      <c r="M2152" s="9">
        <v>1.4650000000000001E-4</v>
      </c>
      <c r="N2152" s="9">
        <v>1.573E-4</v>
      </c>
      <c r="O2152" s="9">
        <v>1.3893999999999999E-4</v>
      </c>
      <c r="P2152" s="9">
        <v>1.5678999999999999E-4</v>
      </c>
      <c r="Q2152" s="9">
        <v>1.7509000000000001E-4</v>
      </c>
      <c r="R2152" s="10">
        <v>2.1176221248414014E-4</v>
      </c>
      <c r="S2152" s="10">
        <v>1.549859051697168E-4</v>
      </c>
      <c r="T2152" s="10">
        <v>6.0555838181707206E-4</v>
      </c>
      <c r="U2152" s="10">
        <v>1.3893999999999999E-4</v>
      </c>
      <c r="V2152" s="25"/>
      <c r="W2152" s="25"/>
      <c r="X2152" s="25"/>
      <c r="Y2152" s="25"/>
      <c r="Z2152" s="25"/>
      <c r="AA2152" s="25"/>
    </row>
    <row r="2153" spans="1:27" x14ac:dyDescent="0.35">
      <c r="A2153" s="5">
        <v>2149</v>
      </c>
      <c r="B2153" s="5">
        <v>90</v>
      </c>
      <c r="C2153" s="5">
        <v>3</v>
      </c>
      <c r="D2153" s="25">
        <v>1.1416E-4</v>
      </c>
      <c r="E2153" s="25">
        <v>1.1476000000000001E-4</v>
      </c>
      <c r="F2153" s="25">
        <v>1.0131E-4</v>
      </c>
      <c r="G2153" s="25">
        <v>1.6297999999999999E-4</v>
      </c>
      <c r="H2153" s="25">
        <v>1.1825E-4</v>
      </c>
      <c r="I2153" s="9">
        <v>1.2924E-4</v>
      </c>
      <c r="J2153" s="9">
        <v>1.2371999999999999E-4</v>
      </c>
      <c r="K2153" s="9">
        <v>0</v>
      </c>
      <c r="L2153" s="9">
        <v>1.3752999999999999E-4</v>
      </c>
      <c r="M2153" s="9">
        <v>1.5364999999999999E-4</v>
      </c>
      <c r="N2153" s="9">
        <v>1.6694E-4</v>
      </c>
      <c r="O2153" s="9">
        <v>1.3003E-4</v>
      </c>
      <c r="P2153" s="9">
        <v>1.4860000000000001E-4</v>
      </c>
      <c r="Q2153" s="9">
        <v>1.6754000000000001E-4</v>
      </c>
      <c r="R2153" s="10">
        <v>2.116813603687188E-4</v>
      </c>
      <c r="S2153" s="10">
        <v>1.7208853404306886E-4</v>
      </c>
      <c r="T2153" s="10">
        <v>6.3565219161202757E-4</v>
      </c>
      <c r="U2153" s="10">
        <v>1.3893999999999999E-4</v>
      </c>
      <c r="V2153" s="25"/>
      <c r="W2153" s="25"/>
      <c r="X2153" s="25"/>
      <c r="Y2153" s="25"/>
      <c r="Z2153" s="25"/>
      <c r="AA2153" s="25"/>
    </row>
    <row r="2154" spans="1:27" x14ac:dyDescent="0.35">
      <c r="A2154" s="5">
        <v>2150</v>
      </c>
      <c r="B2154" s="5">
        <v>90</v>
      </c>
      <c r="C2154" s="5">
        <v>3</v>
      </c>
      <c r="D2154" s="25">
        <v>1.1415000000000001E-4</v>
      </c>
      <c r="E2154" s="25">
        <v>1.1399E-4</v>
      </c>
      <c r="F2154" s="25">
        <v>1.1094000000000001E-4</v>
      </c>
      <c r="G2154" s="25">
        <v>1.6553999999999999E-4</v>
      </c>
      <c r="H2154" s="25">
        <v>1.2095E-4</v>
      </c>
      <c r="I2154" s="9">
        <v>1.2761000000000001E-4</v>
      </c>
      <c r="J2154" s="9">
        <v>1.2158E-4</v>
      </c>
      <c r="K2154" s="9">
        <v>0</v>
      </c>
      <c r="L2154" s="9">
        <v>1.3175E-4</v>
      </c>
      <c r="M2154" s="9">
        <v>1.5317999999999999E-4</v>
      </c>
      <c r="N2154" s="9">
        <v>1.7121000000000001E-4</v>
      </c>
      <c r="O2154" s="9">
        <v>1.1139E-4</v>
      </c>
      <c r="P2154" s="9">
        <v>1.3527E-4</v>
      </c>
      <c r="Q2154" s="9">
        <v>1.593E-4</v>
      </c>
      <c r="R2154" s="10">
        <v>2.116813603687188E-4</v>
      </c>
      <c r="S2154" s="10">
        <v>1.8186616951183877E-4</v>
      </c>
      <c r="T2154" s="10">
        <v>6.0118896765174866E-4</v>
      </c>
      <c r="U2154" s="10">
        <v>1.3893999999999999E-4</v>
      </c>
      <c r="V2154" s="25"/>
      <c r="W2154" s="25"/>
      <c r="X2154" s="25"/>
      <c r="Y2154" s="25"/>
      <c r="Z2154" s="25"/>
      <c r="AA2154" s="25"/>
    </row>
    <row r="2155" spans="1:27" x14ac:dyDescent="0.35">
      <c r="A2155" s="5">
        <v>2151</v>
      </c>
      <c r="B2155" s="5">
        <v>90</v>
      </c>
      <c r="C2155" s="5">
        <v>3</v>
      </c>
      <c r="D2155" s="25">
        <v>1.1416E-4</v>
      </c>
      <c r="E2155" s="25">
        <v>1.1522E-4</v>
      </c>
      <c r="F2155" s="25">
        <v>9.5030000000000003E-5</v>
      </c>
      <c r="G2155" s="25">
        <v>1.5915999999999999E-4</v>
      </c>
      <c r="H2155" s="25">
        <v>1.2287999999999999E-4</v>
      </c>
      <c r="I2155" s="9">
        <v>1.2652E-4</v>
      </c>
      <c r="J2155" s="9">
        <v>1.199E-4</v>
      </c>
      <c r="K2155" s="9">
        <v>0</v>
      </c>
      <c r="L2155" s="9">
        <v>1.1608999999999999E-4</v>
      </c>
      <c r="M2155" s="9">
        <v>1.4634000000000001E-4</v>
      </c>
      <c r="N2155" s="9">
        <v>1.7029E-4</v>
      </c>
      <c r="O2155" s="9">
        <v>1.2626E-4</v>
      </c>
      <c r="P2155" s="9">
        <v>1.3868999999999999E-4</v>
      </c>
      <c r="Q2155" s="9">
        <v>1.5155999999999999E-4</v>
      </c>
      <c r="R2155" s="10">
        <v>2.1236851576166891E-4</v>
      </c>
      <c r="S2155" s="10">
        <v>1.8611311291519365E-4</v>
      </c>
      <c r="T2155" s="10">
        <v>4.9889377038708023E-4</v>
      </c>
      <c r="U2155" s="10">
        <v>1.3893999999999999E-4</v>
      </c>
      <c r="V2155" s="25"/>
      <c r="W2155" s="25"/>
      <c r="X2155" s="25"/>
      <c r="Y2155" s="25"/>
      <c r="Z2155" s="25"/>
      <c r="AA2155" s="25"/>
    </row>
    <row r="2156" spans="1:27" x14ac:dyDescent="0.35">
      <c r="A2156" s="5">
        <v>2152</v>
      </c>
      <c r="B2156" s="5">
        <v>90</v>
      </c>
      <c r="C2156" s="5">
        <v>3</v>
      </c>
      <c r="D2156" s="25">
        <v>1.1415000000000001E-4</v>
      </c>
      <c r="E2156" s="25">
        <v>1.2248000000000001E-4</v>
      </c>
      <c r="F2156" s="25">
        <v>1.071E-4</v>
      </c>
      <c r="G2156" s="25">
        <v>1.5718000000000001E-4</v>
      </c>
      <c r="H2156" s="25">
        <v>1.1872E-4</v>
      </c>
      <c r="I2156" s="9">
        <v>1.2396999999999999E-4</v>
      </c>
      <c r="J2156" s="9">
        <v>1.2111E-4</v>
      </c>
      <c r="K2156" s="9">
        <v>4.2400000000000001E-6</v>
      </c>
      <c r="L2156" s="9">
        <v>1.2447000000000001E-4</v>
      </c>
      <c r="M2156" s="9">
        <v>1.4169000000000001E-4</v>
      </c>
      <c r="N2156" s="9">
        <v>1.6603000000000001E-4</v>
      </c>
      <c r="O2156" s="9">
        <v>1.3269000000000001E-4</v>
      </c>
      <c r="P2156" s="9">
        <v>1.2026E-4</v>
      </c>
      <c r="Q2156" s="9">
        <v>1.0870999999999999E-4</v>
      </c>
      <c r="R2156" s="10">
        <v>2.1236851576166891E-4</v>
      </c>
      <c r="S2156" s="10">
        <v>1.8943362100011201E-4</v>
      </c>
      <c r="T2156" s="10">
        <v>2.9594084563232113E-4</v>
      </c>
      <c r="U2156" s="10">
        <v>1.3893999999999999E-4</v>
      </c>
      <c r="V2156" s="25"/>
      <c r="W2156" s="25"/>
      <c r="X2156" s="25"/>
      <c r="Y2156" s="25"/>
      <c r="Z2156" s="25"/>
      <c r="AA2156" s="25"/>
    </row>
    <row r="2157" spans="1:27" x14ac:dyDescent="0.35">
      <c r="A2157" s="5">
        <v>2153</v>
      </c>
      <c r="B2157" s="5">
        <v>90</v>
      </c>
      <c r="C2157" s="5">
        <v>3</v>
      </c>
      <c r="D2157" s="25">
        <v>1.1416E-4</v>
      </c>
      <c r="E2157" s="25">
        <v>1.2068E-4</v>
      </c>
      <c r="F2157" s="25">
        <v>9.0140000000000001E-5</v>
      </c>
      <c r="G2157" s="25">
        <v>1.5679999999999999E-4</v>
      </c>
      <c r="H2157" s="25">
        <v>1.1569E-4</v>
      </c>
      <c r="I2157" s="9">
        <v>1.2282999999999999E-4</v>
      </c>
      <c r="J2157" s="9">
        <v>1.2282999999999999E-4</v>
      </c>
      <c r="K2157" s="9">
        <v>6.3600000000000001E-6</v>
      </c>
      <c r="L2157" s="9">
        <v>1.3061E-4</v>
      </c>
      <c r="M2157" s="9">
        <v>1.3295000000000001E-4</v>
      </c>
      <c r="N2157" s="9">
        <v>1.5196E-4</v>
      </c>
      <c r="O2157" s="9">
        <v>1.4138000000000001E-4</v>
      </c>
      <c r="P2157" s="9">
        <v>1.2425000000000001E-4</v>
      </c>
      <c r="Q2157" s="9">
        <v>1.0813E-4</v>
      </c>
      <c r="R2157" s="10">
        <v>2.1244936787709023E-4</v>
      </c>
      <c r="S2157" s="10">
        <v>1.9027417442069231E-4</v>
      </c>
      <c r="T2157" s="10">
        <v>2.2901669235839695E-4</v>
      </c>
      <c r="U2157" s="10">
        <v>1.3893999999999999E-4</v>
      </c>
      <c r="V2157" s="25"/>
      <c r="W2157" s="25"/>
      <c r="X2157" s="25"/>
      <c r="Y2157" s="25"/>
      <c r="Z2157" s="25"/>
      <c r="AA2157" s="25"/>
    </row>
    <row r="2158" spans="1:27" x14ac:dyDescent="0.35">
      <c r="A2158" s="5">
        <v>2154</v>
      </c>
      <c r="B2158" s="5">
        <v>90</v>
      </c>
      <c r="C2158" s="5">
        <v>3</v>
      </c>
      <c r="D2158" s="25">
        <v>1.1415000000000001E-4</v>
      </c>
      <c r="E2158" s="25">
        <v>1.1428E-4</v>
      </c>
      <c r="F2158" s="25">
        <v>1.0574E-4</v>
      </c>
      <c r="G2158" s="25">
        <v>1.6228999999999999E-4</v>
      </c>
      <c r="H2158" s="25">
        <v>1.2224999999999999E-4</v>
      </c>
      <c r="I2158" s="9">
        <v>1.2350999999999999E-4</v>
      </c>
      <c r="J2158" s="9">
        <v>1.1956E-4</v>
      </c>
      <c r="K2158" s="9">
        <v>4.2389999999999999E-5</v>
      </c>
      <c r="L2158" s="9">
        <v>1.3872E-4</v>
      </c>
      <c r="M2158" s="9">
        <v>1.2761000000000001E-4</v>
      </c>
      <c r="N2158" s="9">
        <v>1.3877E-4</v>
      </c>
      <c r="O2158" s="9">
        <v>1.4182999999999999E-4</v>
      </c>
      <c r="P2158" s="9">
        <v>1.2976E-4</v>
      </c>
      <c r="Q2158" s="9">
        <v>1.1862999999999999E-4</v>
      </c>
      <c r="R2158" s="10">
        <v>2.1244936787709023E-4</v>
      </c>
      <c r="S2158" s="10">
        <v>1.902273086985382E-4</v>
      </c>
      <c r="T2158" s="10">
        <v>1.2047705077202371E-6</v>
      </c>
      <c r="U2158" s="10">
        <v>1.3893999999999999E-4</v>
      </c>
      <c r="V2158" s="25"/>
      <c r="W2158" s="25"/>
      <c r="X2158" s="25"/>
      <c r="Y2158" s="25"/>
      <c r="Z2158" s="25"/>
      <c r="AA2158" s="25"/>
    </row>
    <row r="2159" spans="1:27" x14ac:dyDescent="0.35">
      <c r="A2159" s="5">
        <v>2155</v>
      </c>
      <c r="B2159" s="5">
        <v>90</v>
      </c>
      <c r="C2159" s="5">
        <v>3</v>
      </c>
      <c r="D2159" s="25">
        <v>1.1416E-4</v>
      </c>
      <c r="E2159" s="25">
        <v>1.2234999999999999E-4</v>
      </c>
      <c r="F2159" s="25">
        <v>1.0946E-4</v>
      </c>
      <c r="G2159" s="25">
        <v>1.1415E-4</v>
      </c>
      <c r="H2159" s="25">
        <v>8.1849999999999997E-5</v>
      </c>
      <c r="I2159" s="9">
        <v>1.2229999999999999E-4</v>
      </c>
      <c r="J2159" s="9">
        <v>1.1888E-4</v>
      </c>
      <c r="K2159" s="9">
        <v>6.3579999999999998E-5</v>
      </c>
      <c r="L2159" s="9">
        <v>1.4098999999999999E-4</v>
      </c>
      <c r="M2159" s="9">
        <v>1.272E-4</v>
      </c>
      <c r="N2159" s="9">
        <v>1.2993999999999999E-4</v>
      </c>
      <c r="O2159" s="9">
        <v>1.4097E-4</v>
      </c>
      <c r="P2159" s="9">
        <v>1.2336000000000001E-4</v>
      </c>
      <c r="Q2159" s="9">
        <v>1.0678E-4</v>
      </c>
      <c r="R2159" s="10">
        <v>2.1244936787709023E-4</v>
      </c>
      <c r="S2159" s="10">
        <v>1.9028924547106639E-4</v>
      </c>
      <c r="T2159" s="10">
        <v>0</v>
      </c>
      <c r="U2159" s="10">
        <v>1.3893999999999999E-4</v>
      </c>
      <c r="V2159" s="25"/>
      <c r="W2159" s="25"/>
      <c r="X2159" s="25"/>
      <c r="Y2159" s="25"/>
      <c r="Z2159" s="25"/>
      <c r="AA2159" s="25"/>
    </row>
    <row r="2160" spans="1:27" x14ac:dyDescent="0.35">
      <c r="A2160" s="5">
        <v>2156</v>
      </c>
      <c r="B2160" s="5">
        <v>90</v>
      </c>
      <c r="C2160" s="5">
        <v>3</v>
      </c>
      <c r="D2160" s="25">
        <v>1.1415000000000001E-4</v>
      </c>
      <c r="E2160" s="25">
        <v>1.1542E-4</v>
      </c>
      <c r="F2160" s="25">
        <v>9.7969999999999999E-5</v>
      </c>
      <c r="G2160" s="25">
        <v>1.1145E-4</v>
      </c>
      <c r="H2160" s="25">
        <v>7.9110000000000007E-5</v>
      </c>
      <c r="I2160" s="9">
        <v>1.2383000000000001E-4</v>
      </c>
      <c r="J2160" s="9">
        <v>1.2205E-4</v>
      </c>
      <c r="K2160" s="9">
        <v>6.9939999999999998E-5</v>
      </c>
      <c r="L2160" s="9">
        <v>1.4095000000000001E-4</v>
      </c>
      <c r="M2160" s="9">
        <v>1.2596999999999999E-4</v>
      </c>
      <c r="N2160" s="9">
        <v>1.2086E-4</v>
      </c>
      <c r="O2160" s="9">
        <v>1.4441000000000001E-4</v>
      </c>
      <c r="P2160" s="9">
        <v>1.2281E-4</v>
      </c>
      <c r="Q2160" s="9">
        <v>1.0233E-4</v>
      </c>
      <c r="R2160" s="10">
        <v>2.1244936787709023E-4</v>
      </c>
      <c r="S2160" s="10">
        <v>1.9028714676016652E-4</v>
      </c>
      <c r="T2160" s="10">
        <v>0</v>
      </c>
      <c r="U2160" s="10">
        <v>1.3893999999999999E-4</v>
      </c>
      <c r="V2160" s="25"/>
      <c r="W2160" s="25"/>
      <c r="X2160" s="25"/>
      <c r="Y2160" s="25"/>
      <c r="Z2160" s="25"/>
      <c r="AA2160" s="25"/>
    </row>
    <row r="2161" spans="1:27" x14ac:dyDescent="0.35">
      <c r="A2161" s="5">
        <v>2157</v>
      </c>
      <c r="B2161" s="5">
        <v>90</v>
      </c>
      <c r="C2161" s="5">
        <v>3</v>
      </c>
      <c r="D2161" s="25">
        <v>1.1416E-4</v>
      </c>
      <c r="E2161" s="25">
        <v>1.2121E-4</v>
      </c>
      <c r="F2161" s="25">
        <v>1.0571E-4</v>
      </c>
      <c r="G2161" s="25">
        <v>6.0449999999999999E-5</v>
      </c>
      <c r="H2161" s="25">
        <v>4.163E-5</v>
      </c>
      <c r="I2161" s="9">
        <v>1.2059E-4</v>
      </c>
      <c r="J2161" s="9">
        <v>1.1794999999999999E-4</v>
      </c>
      <c r="K2161" s="9">
        <v>9.9610000000000003E-5</v>
      </c>
      <c r="L2161" s="9">
        <v>1.437E-4</v>
      </c>
      <c r="M2161" s="9">
        <v>1.2451000000000001E-4</v>
      </c>
      <c r="N2161" s="9">
        <v>1.1336999999999999E-4</v>
      </c>
      <c r="O2161" s="9">
        <v>8.5320000000000003E-5</v>
      </c>
      <c r="P2161" s="9">
        <v>8.7050000000000002E-5</v>
      </c>
      <c r="Q2161" s="9">
        <v>8.9060000000000005E-5</v>
      </c>
      <c r="R2161" s="10">
        <v>2.1244936787709023E-4</v>
      </c>
      <c r="S2161" s="10">
        <v>1.9028526877923969E-4</v>
      </c>
      <c r="T2161" s="10">
        <v>0</v>
      </c>
      <c r="U2161" s="10">
        <v>1.3893999999999999E-4</v>
      </c>
      <c r="V2161" s="25"/>
      <c r="W2161" s="25"/>
      <c r="X2161" s="25"/>
      <c r="Y2161" s="25"/>
      <c r="Z2161" s="25"/>
      <c r="AA2161" s="25"/>
    </row>
    <row r="2162" spans="1:27" x14ac:dyDescent="0.35">
      <c r="A2162" s="5">
        <v>2158</v>
      </c>
      <c r="B2162" s="5">
        <v>90</v>
      </c>
      <c r="C2162" s="5">
        <v>3</v>
      </c>
      <c r="D2162" s="25">
        <v>1.1415000000000001E-4</v>
      </c>
      <c r="E2162" s="25">
        <v>1.193E-4</v>
      </c>
      <c r="F2162" s="25">
        <v>1.0334E-4</v>
      </c>
      <c r="G2162" s="25">
        <v>6.2470000000000003E-5</v>
      </c>
      <c r="H2162" s="25">
        <v>3.9230000000000002E-5</v>
      </c>
      <c r="I2162" s="9">
        <v>1.2121999999999999E-4</v>
      </c>
      <c r="J2162" s="9">
        <v>1.0908000000000001E-4</v>
      </c>
      <c r="K2162" s="9">
        <v>1.314E-4</v>
      </c>
      <c r="L2162" s="9">
        <v>9.8099999999999999E-5</v>
      </c>
      <c r="M2162" s="9">
        <v>1.1061999999999999E-4</v>
      </c>
      <c r="N2162" s="9">
        <v>1.0599000000000001E-4</v>
      </c>
      <c r="O2162" s="9">
        <v>8.7899999999999995E-5</v>
      </c>
      <c r="P2162" s="9">
        <v>8.8220000000000006E-5</v>
      </c>
      <c r="Q2162" s="9">
        <v>8.8869999999999994E-5</v>
      </c>
      <c r="R2162" s="10">
        <v>2.1244936787709023E-4</v>
      </c>
      <c r="S2162" s="10">
        <v>1.902728218822666E-4</v>
      </c>
      <c r="T2162" s="10">
        <v>0</v>
      </c>
      <c r="U2162" s="10">
        <v>1.3893999999999999E-4</v>
      </c>
      <c r="V2162" s="25"/>
      <c r="W2162" s="25"/>
      <c r="X2162" s="25"/>
      <c r="Y2162" s="25"/>
      <c r="Z2162" s="25"/>
      <c r="AA2162" s="25"/>
    </row>
    <row r="2163" spans="1:27" x14ac:dyDescent="0.35">
      <c r="A2163" s="5">
        <v>2159</v>
      </c>
      <c r="B2163" s="5">
        <v>90</v>
      </c>
      <c r="C2163" s="5">
        <v>3</v>
      </c>
      <c r="D2163" s="25">
        <v>1.1416E-4</v>
      </c>
      <c r="E2163" s="25">
        <v>1.2292E-4</v>
      </c>
      <c r="F2163" s="25">
        <v>9.9759999999999994E-5</v>
      </c>
      <c r="G2163" s="25">
        <v>6.2249999999999995E-5</v>
      </c>
      <c r="H2163" s="25">
        <v>3.8460000000000001E-5</v>
      </c>
      <c r="I2163" s="9">
        <v>1.2070000000000001E-4</v>
      </c>
      <c r="J2163" s="9">
        <v>1.0076E-4</v>
      </c>
      <c r="K2163" s="9">
        <v>1.4622999999999999E-4</v>
      </c>
      <c r="L2163" s="9">
        <v>9.1399999999999999E-5</v>
      </c>
      <c r="M2163" s="9">
        <v>9.8820000000000006E-5</v>
      </c>
      <c r="N2163" s="9">
        <v>1.0028E-4</v>
      </c>
      <c r="O2163" s="9">
        <v>8.3809999999999999E-5</v>
      </c>
      <c r="P2163" s="9">
        <v>7.4820000000000005E-5</v>
      </c>
      <c r="Q2163" s="9">
        <v>6.6279999999999996E-5</v>
      </c>
      <c r="R2163" s="10">
        <v>2.1244936787709023E-4</v>
      </c>
      <c r="S2163" s="10">
        <v>1.90215327063287E-4</v>
      </c>
      <c r="T2163" s="10">
        <v>0</v>
      </c>
      <c r="U2163" s="10">
        <v>1.3893999999999999E-4</v>
      </c>
      <c r="V2163" s="25"/>
      <c r="W2163" s="25"/>
      <c r="X2163" s="25"/>
      <c r="Y2163" s="25"/>
      <c r="Z2163" s="25"/>
      <c r="AA2163" s="25"/>
    </row>
    <row r="2164" spans="1:27" x14ac:dyDescent="0.35">
      <c r="A2164" s="5">
        <v>2160</v>
      </c>
      <c r="B2164" s="5">
        <v>90</v>
      </c>
      <c r="C2164" s="5">
        <v>3</v>
      </c>
      <c r="D2164" s="25">
        <v>1.1415000000000001E-4</v>
      </c>
      <c r="E2164" s="25">
        <v>1.2121E-4</v>
      </c>
      <c r="F2164" s="25">
        <v>9.5810000000000006E-5</v>
      </c>
      <c r="G2164" s="25">
        <v>5.6339999999999999E-5</v>
      </c>
      <c r="H2164" s="25">
        <v>4.5460000000000002E-5</v>
      </c>
      <c r="I2164" s="9">
        <v>1.1272E-4</v>
      </c>
      <c r="J2164" s="9">
        <v>9.2769999999999994E-5</v>
      </c>
      <c r="K2164" s="9">
        <v>1.6531E-4</v>
      </c>
      <c r="L2164" s="9">
        <v>8.5710000000000004E-5</v>
      </c>
      <c r="M2164" s="9">
        <v>8.7410000000000005E-5</v>
      </c>
      <c r="N2164" s="9">
        <v>9.0799999999999998E-5</v>
      </c>
      <c r="O2164" s="9">
        <v>7.907E-5</v>
      </c>
      <c r="P2164" s="9">
        <v>6.8739999999999996E-5</v>
      </c>
      <c r="Q2164" s="9">
        <v>5.8839999999999999E-5</v>
      </c>
      <c r="R2164" s="10">
        <v>2.1244936787709023E-4</v>
      </c>
      <c r="S2164" s="10">
        <v>1.9029004566249611E-4</v>
      </c>
      <c r="T2164" s="10">
        <v>0</v>
      </c>
      <c r="U2164" s="10">
        <v>1.3893999999999999E-4</v>
      </c>
      <c r="V2164" s="25"/>
      <c r="W2164" s="25"/>
      <c r="X2164" s="25"/>
      <c r="Y2164" s="25"/>
      <c r="Z2164" s="25"/>
      <c r="AA2164" s="25"/>
    </row>
    <row r="2165" spans="1:27" x14ac:dyDescent="0.35">
      <c r="A2165" s="5">
        <v>2161</v>
      </c>
      <c r="B2165" s="5">
        <v>91</v>
      </c>
      <c r="C2165" s="5">
        <v>4</v>
      </c>
      <c r="D2165" s="25">
        <v>1.1416E-4</v>
      </c>
      <c r="E2165" s="25">
        <v>1.1885E-4</v>
      </c>
      <c r="F2165" s="25">
        <v>1.4379E-4</v>
      </c>
      <c r="G2165" s="25">
        <v>5.7139999999999998E-5</v>
      </c>
      <c r="H2165" s="25">
        <v>1.5500000000000001E-5</v>
      </c>
      <c r="I2165" s="9">
        <v>1.065E-4</v>
      </c>
      <c r="J2165" s="9">
        <v>8.7429999999999995E-5</v>
      </c>
      <c r="K2165" s="9">
        <v>1.8013999999999999E-4</v>
      </c>
      <c r="L2165" s="9">
        <v>8.0350000000000001E-5</v>
      </c>
      <c r="M2165" s="9">
        <v>7.8079999999999998E-5</v>
      </c>
      <c r="N2165" s="9">
        <v>8.1320000000000001E-5</v>
      </c>
      <c r="O2165" s="9">
        <v>6.8300000000000007E-5</v>
      </c>
      <c r="P2165" s="9">
        <v>6.0810000000000002E-5</v>
      </c>
      <c r="Q2165" s="9">
        <v>5.363E-5</v>
      </c>
      <c r="R2165" s="10">
        <v>2.1244936787709023E-4</v>
      </c>
      <c r="S2165" s="10">
        <v>1.9028969598036485E-4</v>
      </c>
      <c r="T2165" s="10">
        <v>0</v>
      </c>
      <c r="U2165" s="10">
        <v>1.3988999999999999E-4</v>
      </c>
      <c r="V2165" s="25"/>
      <c r="W2165" s="25"/>
      <c r="X2165" s="25"/>
      <c r="Y2165" s="25"/>
      <c r="Z2165" s="25"/>
      <c r="AA2165" s="25"/>
    </row>
    <row r="2166" spans="1:27" x14ac:dyDescent="0.35">
      <c r="A2166" s="5">
        <v>2162</v>
      </c>
      <c r="B2166" s="5">
        <v>91</v>
      </c>
      <c r="C2166" s="5">
        <v>4</v>
      </c>
      <c r="D2166" s="25">
        <v>1.1415000000000001E-4</v>
      </c>
      <c r="E2166" s="25">
        <v>1.1389E-4</v>
      </c>
      <c r="F2166" s="25">
        <v>1.2999999999999999E-4</v>
      </c>
      <c r="G2166" s="25">
        <v>5.3279999999999998E-5</v>
      </c>
      <c r="H2166" s="25">
        <v>1.399E-5</v>
      </c>
      <c r="I2166" s="9">
        <v>1.0208999999999999E-4</v>
      </c>
      <c r="J2166" s="9">
        <v>8.4889999999999995E-5</v>
      </c>
      <c r="K2166" s="9">
        <v>1.8650000000000001E-4</v>
      </c>
      <c r="L2166" s="9">
        <v>7.1089999999999999E-5</v>
      </c>
      <c r="M2166" s="9">
        <v>6.9690000000000005E-5</v>
      </c>
      <c r="N2166" s="9">
        <v>7.2180000000000003E-5</v>
      </c>
      <c r="O2166" s="9">
        <v>3.5389999999999998E-5</v>
      </c>
      <c r="P2166" s="9">
        <v>4.579E-5</v>
      </c>
      <c r="Q2166" s="9">
        <v>5.6119999999999998E-5</v>
      </c>
      <c r="R2166" s="10">
        <v>2.1244936787709023E-4</v>
      </c>
      <c r="S2166" s="10">
        <v>1.9029006024897884E-4</v>
      </c>
      <c r="T2166" s="10">
        <v>0</v>
      </c>
      <c r="U2166" s="10">
        <v>1.3988999999999999E-4</v>
      </c>
      <c r="V2166" s="25"/>
      <c r="W2166" s="25"/>
      <c r="X2166" s="25"/>
      <c r="Y2166" s="25"/>
      <c r="Z2166" s="25"/>
      <c r="AA2166" s="25"/>
    </row>
    <row r="2167" spans="1:27" x14ac:dyDescent="0.35">
      <c r="A2167" s="5">
        <v>2163</v>
      </c>
      <c r="B2167" s="5">
        <v>91</v>
      </c>
      <c r="C2167" s="5">
        <v>4</v>
      </c>
      <c r="D2167" s="25">
        <v>1.1416E-4</v>
      </c>
      <c r="E2167" s="25">
        <v>1.2163E-4</v>
      </c>
      <c r="F2167" s="25">
        <v>1.3666000000000001E-4</v>
      </c>
      <c r="G2167" s="25">
        <v>6.0890000000000001E-5</v>
      </c>
      <c r="H2167" s="25">
        <v>1.447E-5</v>
      </c>
      <c r="I2167" s="9">
        <v>1.0105E-4</v>
      </c>
      <c r="J2167" s="9">
        <v>8.4309999999999997E-5</v>
      </c>
      <c r="K2167" s="9">
        <v>2.0133999999999999E-4</v>
      </c>
      <c r="L2167" s="9">
        <v>4.3479999999999997E-5</v>
      </c>
      <c r="M2167" s="9">
        <v>5.9120000000000003E-5</v>
      </c>
      <c r="N2167" s="9">
        <v>6.5539999999999999E-5</v>
      </c>
      <c r="O2167" s="9">
        <v>2.215E-5</v>
      </c>
      <c r="P2167" s="9">
        <v>4.1680000000000001E-5</v>
      </c>
      <c r="Q2167" s="9">
        <v>6.0970000000000001E-5</v>
      </c>
      <c r="R2167" s="10">
        <v>2.1244936787709023E-4</v>
      </c>
      <c r="S2167" s="10">
        <v>1.9028941617879296E-4</v>
      </c>
      <c r="T2167" s="10">
        <v>0</v>
      </c>
      <c r="U2167" s="10">
        <v>1.3988999999999999E-4</v>
      </c>
      <c r="V2167" s="25"/>
      <c r="W2167" s="25"/>
      <c r="X2167" s="25"/>
      <c r="Y2167" s="25"/>
      <c r="Z2167" s="25"/>
      <c r="AA2167" s="25"/>
    </row>
    <row r="2168" spans="1:27" x14ac:dyDescent="0.35">
      <c r="A2168" s="5">
        <v>2164</v>
      </c>
      <c r="B2168" s="5">
        <v>91</v>
      </c>
      <c r="C2168" s="5">
        <v>4</v>
      </c>
      <c r="D2168" s="25">
        <v>1.1415000000000001E-4</v>
      </c>
      <c r="E2168" s="25">
        <v>1.2436000000000001E-4</v>
      </c>
      <c r="F2168" s="25">
        <v>1.3850000000000001E-4</v>
      </c>
      <c r="G2168" s="25">
        <v>6.2619999999999993E-5</v>
      </c>
      <c r="H2168" s="25">
        <v>1.377E-5</v>
      </c>
      <c r="I2168" s="9">
        <v>1.0161E-4</v>
      </c>
      <c r="J2168" s="9">
        <v>8.8880000000000003E-5</v>
      </c>
      <c r="K2168" s="9">
        <v>2.1193000000000001E-4</v>
      </c>
      <c r="L2168" s="9">
        <v>2.758E-5</v>
      </c>
      <c r="M2168" s="9">
        <v>5.0300000000000003E-5</v>
      </c>
      <c r="N2168" s="9">
        <v>6.1779999999999995E-5</v>
      </c>
      <c r="O2168" s="9">
        <v>2.179E-5</v>
      </c>
      <c r="P2168" s="9">
        <v>5.1190000000000003E-5</v>
      </c>
      <c r="Q2168" s="9">
        <v>8.0190000000000003E-5</v>
      </c>
      <c r="R2168" s="10">
        <v>2.1244936787709023E-4</v>
      </c>
      <c r="S2168" s="10">
        <v>1.9029016176581946E-4</v>
      </c>
      <c r="T2168" s="10">
        <v>0</v>
      </c>
      <c r="U2168" s="10">
        <v>1.3988999999999999E-4</v>
      </c>
      <c r="V2168" s="25"/>
      <c r="W2168" s="25"/>
      <c r="X2168" s="25"/>
      <c r="Y2168" s="25"/>
      <c r="Z2168" s="25"/>
      <c r="AA2168" s="25"/>
    </row>
    <row r="2169" spans="1:27" x14ac:dyDescent="0.35">
      <c r="A2169" s="5">
        <v>2165</v>
      </c>
      <c r="B2169" s="5">
        <v>91</v>
      </c>
      <c r="C2169" s="5">
        <v>4</v>
      </c>
      <c r="D2169" s="25">
        <v>1.1416E-4</v>
      </c>
      <c r="E2169" s="25">
        <v>1.1409E-4</v>
      </c>
      <c r="F2169" s="25">
        <v>1.2474E-4</v>
      </c>
      <c r="G2169" s="25">
        <v>5.4339999999999998E-5</v>
      </c>
      <c r="H2169" s="25">
        <v>1.508E-5</v>
      </c>
      <c r="I2169" s="9">
        <v>1.0561E-4</v>
      </c>
      <c r="J2169" s="9">
        <v>8.9270000000000004E-5</v>
      </c>
      <c r="K2169" s="9">
        <v>2.2041000000000001E-4</v>
      </c>
      <c r="L2169" s="9">
        <v>2.3450000000000001E-5</v>
      </c>
      <c r="M2169" s="9">
        <v>4.8560000000000003E-5</v>
      </c>
      <c r="N2169" s="9">
        <v>6.4280000000000001E-5</v>
      </c>
      <c r="O2169" s="9">
        <v>2.357E-5</v>
      </c>
      <c r="P2169" s="9">
        <v>5.855E-5</v>
      </c>
      <c r="Q2169" s="9">
        <v>9.3049999999999998E-5</v>
      </c>
      <c r="R2169" s="10">
        <v>2.1244862294395535E-4</v>
      </c>
      <c r="S2169" s="10">
        <v>1.9029015964819871E-4</v>
      </c>
      <c r="T2169" s="10">
        <v>0</v>
      </c>
      <c r="U2169" s="10">
        <v>1.3988999999999999E-4</v>
      </c>
      <c r="V2169" s="25"/>
      <c r="W2169" s="25"/>
      <c r="X2169" s="25"/>
      <c r="Y2169" s="25"/>
      <c r="Z2169" s="25"/>
      <c r="AA2169" s="25"/>
    </row>
    <row r="2170" spans="1:27" x14ac:dyDescent="0.35">
      <c r="A2170" s="5">
        <v>2166</v>
      </c>
      <c r="B2170" s="5">
        <v>91</v>
      </c>
      <c r="C2170" s="5">
        <v>4</v>
      </c>
      <c r="D2170" s="25">
        <v>1.1415000000000001E-4</v>
      </c>
      <c r="E2170" s="25">
        <v>1.2243000000000001E-4</v>
      </c>
      <c r="F2170" s="25">
        <v>1.2657E-4</v>
      </c>
      <c r="G2170" s="25">
        <v>1.1352E-4</v>
      </c>
      <c r="H2170" s="25">
        <v>2.8019999999999999E-5</v>
      </c>
      <c r="I2170" s="9">
        <v>1.1561999999999999E-4</v>
      </c>
      <c r="J2170" s="9">
        <v>1.0074E-4</v>
      </c>
      <c r="K2170" s="9">
        <v>2.1405E-4</v>
      </c>
      <c r="L2170" s="9">
        <v>2.3459999999999999E-5</v>
      </c>
      <c r="M2170" s="9">
        <v>5.2070000000000001E-5</v>
      </c>
      <c r="N2170" s="9">
        <v>7.0720000000000001E-5</v>
      </c>
      <c r="O2170" s="9">
        <v>3.0069999999999998E-5</v>
      </c>
      <c r="P2170" s="9">
        <v>6.8960000000000004E-5</v>
      </c>
      <c r="Q2170" s="9">
        <v>1.0732E-4</v>
      </c>
      <c r="R2170" s="10">
        <v>2.1244730356111116E-4</v>
      </c>
      <c r="S2170" s="10">
        <v>1.9029020759484994E-4</v>
      </c>
      <c r="T2170" s="10">
        <v>0</v>
      </c>
      <c r="U2170" s="10">
        <v>1.3988999999999999E-4</v>
      </c>
      <c r="V2170" s="25"/>
      <c r="W2170" s="25"/>
      <c r="X2170" s="25"/>
      <c r="Y2170" s="25"/>
      <c r="Z2170" s="25"/>
      <c r="AA2170" s="25"/>
    </row>
    <row r="2171" spans="1:27" x14ac:dyDescent="0.35">
      <c r="A2171" s="5">
        <v>2167</v>
      </c>
      <c r="B2171" s="5">
        <v>91</v>
      </c>
      <c r="C2171" s="5">
        <v>4</v>
      </c>
      <c r="D2171" s="25">
        <v>1.1416E-4</v>
      </c>
      <c r="E2171" s="25">
        <v>1.2079E-4</v>
      </c>
      <c r="F2171" s="25">
        <v>1.3862E-4</v>
      </c>
      <c r="G2171" s="25">
        <v>1.0963000000000001E-4</v>
      </c>
      <c r="H2171" s="25">
        <v>2.83E-5</v>
      </c>
      <c r="I2171" s="9">
        <v>1.2197999999999999E-4</v>
      </c>
      <c r="J2171" s="9">
        <v>1.1598E-4</v>
      </c>
      <c r="K2171" s="9">
        <v>1.6955E-4</v>
      </c>
      <c r="L2171" s="9">
        <v>2.8520000000000001E-5</v>
      </c>
      <c r="M2171" s="9">
        <v>5.9190000000000001E-5</v>
      </c>
      <c r="N2171" s="9">
        <v>8.0519999999999995E-5</v>
      </c>
      <c r="O2171" s="9">
        <v>4.6419999999999999E-5</v>
      </c>
      <c r="P2171" s="9">
        <v>7.9679999999999996E-5</v>
      </c>
      <c r="Q2171" s="9">
        <v>1.1256000000000001E-4</v>
      </c>
      <c r="R2171" s="10">
        <v>2.1244322254550366E-4</v>
      </c>
      <c r="S2171" s="10">
        <v>1.9029020759484994E-4</v>
      </c>
      <c r="T2171" s="10">
        <v>5.239903278648018E-5</v>
      </c>
      <c r="U2171" s="10">
        <v>1.3988999999999999E-4</v>
      </c>
      <c r="V2171" s="25"/>
      <c r="W2171" s="25"/>
      <c r="X2171" s="25"/>
      <c r="Y2171" s="25"/>
      <c r="Z2171" s="25"/>
      <c r="AA2171" s="25"/>
    </row>
    <row r="2172" spans="1:27" x14ac:dyDescent="0.35">
      <c r="A2172" s="5">
        <v>2168</v>
      </c>
      <c r="B2172" s="5">
        <v>91</v>
      </c>
      <c r="C2172" s="5">
        <v>4</v>
      </c>
      <c r="D2172" s="25">
        <v>1.1415000000000001E-4</v>
      </c>
      <c r="E2172" s="25">
        <v>1.1836E-4</v>
      </c>
      <c r="F2172" s="25">
        <v>1.3561000000000001E-4</v>
      </c>
      <c r="G2172" s="25">
        <v>1.6218E-4</v>
      </c>
      <c r="H2172" s="25">
        <v>4.036E-5</v>
      </c>
      <c r="I2172" s="9">
        <v>1.2819E-4</v>
      </c>
      <c r="J2172" s="9">
        <v>1.2559999999999999E-4</v>
      </c>
      <c r="K2172" s="9">
        <v>1.1657E-4</v>
      </c>
      <c r="L2172" s="9">
        <v>4.2330000000000003E-5</v>
      </c>
      <c r="M2172" s="9">
        <v>6.8369999999999998E-5</v>
      </c>
      <c r="N2172" s="9">
        <v>9.0690000000000001E-5</v>
      </c>
      <c r="O2172" s="9">
        <v>6.8150000000000003E-5</v>
      </c>
      <c r="P2172" s="9">
        <v>1.0247999999999999E-4</v>
      </c>
      <c r="Q2172" s="9">
        <v>1.3646E-4</v>
      </c>
      <c r="R2172" s="10">
        <v>2.1244036619036418E-4</v>
      </c>
      <c r="S2172" s="10">
        <v>1.9029020759484994E-4</v>
      </c>
      <c r="T2172" s="10">
        <v>2.4316850367443469E-4</v>
      </c>
      <c r="U2172" s="10">
        <v>1.3988999999999999E-4</v>
      </c>
      <c r="V2172" s="25"/>
      <c r="W2172" s="25"/>
      <c r="X2172" s="25"/>
      <c r="Y2172" s="25"/>
      <c r="Z2172" s="25"/>
      <c r="AA2172" s="25"/>
    </row>
    <row r="2173" spans="1:27" x14ac:dyDescent="0.35">
      <c r="A2173" s="5">
        <v>2169</v>
      </c>
      <c r="B2173" s="5">
        <v>91</v>
      </c>
      <c r="C2173" s="5">
        <v>4</v>
      </c>
      <c r="D2173" s="25">
        <v>1.1416E-4</v>
      </c>
      <c r="E2173" s="25">
        <v>1.1485999999999999E-4</v>
      </c>
      <c r="F2173" s="25">
        <v>1.4229999999999999E-4</v>
      </c>
      <c r="G2173" s="25">
        <v>1.6171E-4</v>
      </c>
      <c r="H2173" s="25">
        <v>4.0129999999999997E-5</v>
      </c>
      <c r="I2173" s="9">
        <v>1.3259E-4</v>
      </c>
      <c r="J2173" s="9">
        <v>1.2978999999999999E-4</v>
      </c>
      <c r="K2173" s="9">
        <v>8.6899999999999998E-5</v>
      </c>
      <c r="L2173" s="9">
        <v>6.2089999999999997E-5</v>
      </c>
      <c r="M2173" s="9">
        <v>8.2929999999999994E-5</v>
      </c>
      <c r="N2173" s="9">
        <v>1.0444E-4</v>
      </c>
      <c r="O2173" s="9">
        <v>9.9309999999999996E-5</v>
      </c>
      <c r="P2173" s="9">
        <v>1.3794999999999999E-4</v>
      </c>
      <c r="Q2173" s="9">
        <v>1.7626E-4</v>
      </c>
      <c r="R2173" s="10">
        <v>2.1240327683028919E-4</v>
      </c>
      <c r="S2173" s="10">
        <v>1.9029020759484994E-4</v>
      </c>
      <c r="T2173" s="10">
        <v>2.1256563591847061E-4</v>
      </c>
      <c r="U2173" s="10">
        <v>1.3988999999999999E-4</v>
      </c>
      <c r="V2173" s="25"/>
      <c r="W2173" s="25"/>
      <c r="X2173" s="25"/>
      <c r="Y2173" s="25"/>
      <c r="Z2173" s="25"/>
      <c r="AA2173" s="25"/>
    </row>
    <row r="2174" spans="1:27" x14ac:dyDescent="0.35">
      <c r="A2174" s="5">
        <v>2170</v>
      </c>
      <c r="B2174" s="5">
        <v>91</v>
      </c>
      <c r="C2174" s="5">
        <v>4</v>
      </c>
      <c r="D2174" s="25">
        <v>1.1415000000000001E-4</v>
      </c>
      <c r="E2174" s="25">
        <v>1.1315E-4</v>
      </c>
      <c r="F2174" s="25">
        <v>1.3028000000000001E-4</v>
      </c>
      <c r="G2174" s="25">
        <v>1.6517999999999999E-4</v>
      </c>
      <c r="H2174" s="25">
        <v>4.1140000000000003E-5</v>
      </c>
      <c r="I2174" s="9">
        <v>1.3401999999999999E-4</v>
      </c>
      <c r="J2174" s="9">
        <v>1.2924E-4</v>
      </c>
      <c r="K2174" s="9">
        <v>4.8749999999999999E-5</v>
      </c>
      <c r="L2174" s="9">
        <v>9.0610000000000002E-5</v>
      </c>
      <c r="M2174" s="9">
        <v>1.0641000000000001E-4</v>
      </c>
      <c r="N2174" s="9">
        <v>1.2436000000000001E-4</v>
      </c>
      <c r="O2174" s="9">
        <v>1.2768E-4</v>
      </c>
      <c r="P2174" s="9">
        <v>1.5453999999999999E-4</v>
      </c>
      <c r="Q2174" s="9">
        <v>1.8132000000000001E-4</v>
      </c>
      <c r="R2174" s="10">
        <v>2.1186411886549048E-4</v>
      </c>
      <c r="S2174" s="10">
        <v>1.9029020759484994E-4</v>
      </c>
      <c r="T2174" s="10">
        <v>2.0221479071129674E-4</v>
      </c>
      <c r="U2174" s="10">
        <v>1.3988999999999999E-4</v>
      </c>
      <c r="V2174" s="25"/>
      <c r="W2174" s="25"/>
      <c r="X2174" s="25"/>
      <c r="Y2174" s="25"/>
      <c r="Z2174" s="25"/>
      <c r="AA2174" s="25"/>
    </row>
    <row r="2175" spans="1:27" x14ac:dyDescent="0.35">
      <c r="A2175" s="5">
        <v>2171</v>
      </c>
      <c r="B2175" s="5">
        <v>91</v>
      </c>
      <c r="C2175" s="5">
        <v>4</v>
      </c>
      <c r="D2175" s="25">
        <v>1.1416E-4</v>
      </c>
      <c r="E2175" s="25">
        <v>1.1964E-4</v>
      </c>
      <c r="F2175" s="25">
        <v>1.3145999999999999E-4</v>
      </c>
      <c r="G2175" s="25">
        <v>1.6278000000000001E-4</v>
      </c>
      <c r="H2175" s="25">
        <v>3.9650000000000002E-5</v>
      </c>
      <c r="I2175" s="9">
        <v>1.3698000000000001E-4</v>
      </c>
      <c r="J2175" s="9">
        <v>1.2773E-4</v>
      </c>
      <c r="K2175" s="9">
        <v>8.4800000000000001E-6</v>
      </c>
      <c r="L2175" s="9">
        <v>1.1883E-4</v>
      </c>
      <c r="M2175" s="9">
        <v>1.2966E-4</v>
      </c>
      <c r="N2175" s="9">
        <v>1.4232000000000001E-4</v>
      </c>
      <c r="O2175" s="9">
        <v>1.3553E-4</v>
      </c>
      <c r="P2175" s="9">
        <v>1.5688E-4</v>
      </c>
      <c r="Q2175" s="9">
        <v>1.7825999999999999E-4</v>
      </c>
      <c r="R2175" s="10">
        <v>2.1129432432845667E-4</v>
      </c>
      <c r="S2175" s="10">
        <v>1.9029000285576686E-4</v>
      </c>
      <c r="T2175" s="10">
        <v>4.2806683941209051E-4</v>
      </c>
      <c r="U2175" s="10">
        <v>1.3988999999999999E-4</v>
      </c>
      <c r="V2175" s="25"/>
      <c r="W2175" s="25"/>
      <c r="X2175" s="25"/>
      <c r="Y2175" s="25"/>
      <c r="Z2175" s="25"/>
      <c r="AA2175" s="25"/>
    </row>
    <row r="2176" spans="1:27" x14ac:dyDescent="0.35">
      <c r="A2176" s="5">
        <v>2172</v>
      </c>
      <c r="B2176" s="5">
        <v>91</v>
      </c>
      <c r="C2176" s="5">
        <v>4</v>
      </c>
      <c r="D2176" s="25">
        <v>1.1415000000000001E-4</v>
      </c>
      <c r="E2176" s="25">
        <v>1.1862E-4</v>
      </c>
      <c r="F2176" s="25">
        <v>1.4719000000000001E-4</v>
      </c>
      <c r="G2176" s="25">
        <v>1.6174000000000001E-4</v>
      </c>
      <c r="H2176" s="25">
        <v>3.854E-5</v>
      </c>
      <c r="I2176" s="9">
        <v>1.3447000000000001E-4</v>
      </c>
      <c r="J2176" s="9">
        <v>1.2494000000000001E-4</v>
      </c>
      <c r="K2176" s="9">
        <v>0</v>
      </c>
      <c r="L2176" s="9">
        <v>1.3119999999999999E-4</v>
      </c>
      <c r="M2176" s="9">
        <v>1.4495999999999999E-4</v>
      </c>
      <c r="N2176" s="9">
        <v>1.5616E-4</v>
      </c>
      <c r="O2176" s="9">
        <v>1.3891000000000001E-4</v>
      </c>
      <c r="P2176" s="9">
        <v>1.5715999999999999E-4</v>
      </c>
      <c r="Q2176" s="9">
        <v>1.7548999999999999E-4</v>
      </c>
      <c r="R2176" s="10">
        <v>2.1147926228875697E-4</v>
      </c>
      <c r="S2176" s="10">
        <v>1.8839091239795705E-4</v>
      </c>
      <c r="T2176" s="10">
        <v>6.9830025801347984E-4</v>
      </c>
      <c r="U2176" s="10">
        <v>1.3988999999999999E-4</v>
      </c>
      <c r="V2176" s="25"/>
      <c r="W2176" s="25"/>
      <c r="X2176" s="25"/>
      <c r="Y2176" s="25"/>
      <c r="Z2176" s="25"/>
      <c r="AA2176" s="25"/>
    </row>
    <row r="2177" spans="1:27" x14ac:dyDescent="0.35">
      <c r="A2177" s="5">
        <v>2173</v>
      </c>
      <c r="B2177" s="5">
        <v>91</v>
      </c>
      <c r="C2177" s="5">
        <v>4</v>
      </c>
      <c r="D2177" s="25">
        <v>1.1416E-4</v>
      </c>
      <c r="E2177" s="25">
        <v>1.1359E-4</v>
      </c>
      <c r="F2177" s="25">
        <v>1.2978999999999999E-4</v>
      </c>
      <c r="G2177" s="25">
        <v>1.6624000000000001E-4</v>
      </c>
      <c r="H2177" s="25">
        <v>3.8980000000000003E-5</v>
      </c>
      <c r="I2177" s="9">
        <v>1.3301E-4</v>
      </c>
      <c r="J2177" s="9">
        <v>1.2546000000000001E-4</v>
      </c>
      <c r="K2177" s="9">
        <v>0</v>
      </c>
      <c r="L2177" s="9">
        <v>1.3705E-4</v>
      </c>
      <c r="M2177" s="9">
        <v>1.5262000000000001E-4</v>
      </c>
      <c r="N2177" s="9">
        <v>1.6597000000000001E-4</v>
      </c>
      <c r="O2177" s="9">
        <v>1.3049000000000001E-4</v>
      </c>
      <c r="P2177" s="9">
        <v>1.4948000000000001E-4</v>
      </c>
      <c r="Q2177" s="9">
        <v>1.6851999999999999E-4</v>
      </c>
      <c r="R2177" s="10">
        <v>2.1240292658613629E-4</v>
      </c>
      <c r="S2177" s="10">
        <v>1.8966266147197057E-4</v>
      </c>
      <c r="T2177" s="10">
        <v>1.9752297317066794E-4</v>
      </c>
      <c r="U2177" s="10">
        <v>1.3988999999999999E-4</v>
      </c>
      <c r="V2177" s="25"/>
      <c r="W2177" s="25"/>
      <c r="X2177" s="25"/>
      <c r="Y2177" s="25"/>
      <c r="Z2177" s="25"/>
      <c r="AA2177" s="25"/>
    </row>
    <row r="2178" spans="1:27" x14ac:dyDescent="0.35">
      <c r="A2178" s="5">
        <v>2174</v>
      </c>
      <c r="B2178" s="5">
        <v>91</v>
      </c>
      <c r="C2178" s="5">
        <v>4</v>
      </c>
      <c r="D2178" s="25">
        <v>1.1415000000000001E-4</v>
      </c>
      <c r="E2178" s="25">
        <v>1.1523000000000001E-4</v>
      </c>
      <c r="F2178" s="25">
        <v>1.4148000000000001E-4</v>
      </c>
      <c r="G2178" s="25">
        <v>1.6072999999999999E-4</v>
      </c>
      <c r="H2178" s="25">
        <v>4.0380000000000003E-5</v>
      </c>
      <c r="I2178" s="9">
        <v>1.3156999999999999E-4</v>
      </c>
      <c r="J2178" s="9">
        <v>1.2457000000000001E-4</v>
      </c>
      <c r="K2178" s="9">
        <v>0</v>
      </c>
      <c r="L2178" s="9">
        <v>1.3195000000000001E-4</v>
      </c>
      <c r="M2178" s="9">
        <v>1.5301E-4</v>
      </c>
      <c r="N2178" s="9">
        <v>1.706E-4</v>
      </c>
      <c r="O2178" s="9">
        <v>1.1097E-4</v>
      </c>
      <c r="P2178" s="9">
        <v>1.3503000000000001E-4</v>
      </c>
      <c r="Q2178" s="9">
        <v>1.5901000000000001E-4</v>
      </c>
      <c r="R2178" s="10">
        <v>2.1232976347880449E-4</v>
      </c>
      <c r="S2178" s="10">
        <v>1.9027869232907341E-4</v>
      </c>
      <c r="T2178" s="10">
        <v>4.7213429023673073E-4</v>
      </c>
      <c r="U2178" s="10">
        <v>1.3988999999999999E-4</v>
      </c>
      <c r="V2178" s="25"/>
      <c r="W2178" s="25"/>
      <c r="X2178" s="25"/>
      <c r="Y2178" s="25"/>
      <c r="Z2178" s="25"/>
      <c r="AA2178" s="25"/>
    </row>
    <row r="2179" spans="1:27" x14ac:dyDescent="0.35">
      <c r="A2179" s="5">
        <v>2175</v>
      </c>
      <c r="B2179" s="5">
        <v>91</v>
      </c>
      <c r="C2179" s="5">
        <v>4</v>
      </c>
      <c r="D2179" s="25">
        <v>1.1416E-4</v>
      </c>
      <c r="E2179" s="25">
        <v>1.2205999999999999E-4</v>
      </c>
      <c r="F2179" s="25">
        <v>1.4122000000000001E-4</v>
      </c>
      <c r="G2179" s="25">
        <v>1.5765000000000001E-4</v>
      </c>
      <c r="H2179" s="25">
        <v>4.0989999999999999E-5</v>
      </c>
      <c r="I2179" s="9">
        <v>1.3098E-4</v>
      </c>
      <c r="J2179" s="9">
        <v>1.2320000000000001E-4</v>
      </c>
      <c r="K2179" s="9">
        <v>0</v>
      </c>
      <c r="L2179" s="9">
        <v>1.1579E-4</v>
      </c>
      <c r="M2179" s="9">
        <v>1.4636E-4</v>
      </c>
      <c r="N2179" s="9">
        <v>1.6979000000000001E-4</v>
      </c>
      <c r="O2179" s="9">
        <v>1.2776000000000001E-4</v>
      </c>
      <c r="P2179" s="9">
        <v>1.4066E-4</v>
      </c>
      <c r="Q2179" s="9">
        <v>1.5370999999999999E-4</v>
      </c>
      <c r="R2179" s="10">
        <v>2.1238772081338958E-4</v>
      </c>
      <c r="S2179" s="10">
        <v>1.9029016427791998E-4</v>
      </c>
      <c r="T2179" s="10">
        <v>4.2143211732027916E-4</v>
      </c>
      <c r="U2179" s="10">
        <v>1.3988999999999999E-4</v>
      </c>
      <c r="V2179" s="25"/>
      <c r="W2179" s="25"/>
      <c r="X2179" s="25"/>
      <c r="Y2179" s="25"/>
      <c r="Z2179" s="25"/>
      <c r="AA2179" s="25"/>
    </row>
    <row r="2180" spans="1:27" x14ac:dyDescent="0.35">
      <c r="A2180" s="5">
        <v>2176</v>
      </c>
      <c r="B2180" s="5">
        <v>91</v>
      </c>
      <c r="C2180" s="5">
        <v>4</v>
      </c>
      <c r="D2180" s="25">
        <v>1.1415000000000001E-4</v>
      </c>
      <c r="E2180" s="25">
        <v>1.2203E-4</v>
      </c>
      <c r="F2180" s="25">
        <v>1.2663E-4</v>
      </c>
      <c r="G2180" s="25">
        <v>1.572E-4</v>
      </c>
      <c r="H2180" s="25">
        <v>4.0620000000000001E-5</v>
      </c>
      <c r="I2180" s="9">
        <v>1.2760000000000001E-4</v>
      </c>
      <c r="J2180" s="9">
        <v>1.2432E-4</v>
      </c>
      <c r="K2180" s="9">
        <v>0</v>
      </c>
      <c r="L2180" s="9">
        <v>1.2559999999999999E-4</v>
      </c>
      <c r="M2180" s="9">
        <v>1.4242000000000001E-4</v>
      </c>
      <c r="N2180" s="9">
        <v>1.6623000000000001E-4</v>
      </c>
      <c r="O2180" s="9">
        <v>1.3397999999999999E-4</v>
      </c>
      <c r="P2180" s="9">
        <v>1.2173E-4</v>
      </c>
      <c r="Q2180" s="9">
        <v>1.1003E-4</v>
      </c>
      <c r="R2180" s="10">
        <v>2.124021460282883E-4</v>
      </c>
      <c r="S2180" s="10">
        <v>1.9029017481546099E-4</v>
      </c>
      <c r="T2180" s="10">
        <v>2.7213390165582122E-4</v>
      </c>
      <c r="U2180" s="10">
        <v>1.3988999999999999E-4</v>
      </c>
      <c r="V2180" s="25"/>
      <c r="W2180" s="25"/>
      <c r="X2180" s="25"/>
      <c r="Y2180" s="25"/>
      <c r="Z2180" s="25"/>
      <c r="AA2180" s="25"/>
    </row>
    <row r="2181" spans="1:27" x14ac:dyDescent="0.35">
      <c r="A2181" s="5">
        <v>2177</v>
      </c>
      <c r="B2181" s="5">
        <v>91</v>
      </c>
      <c r="C2181" s="5">
        <v>4</v>
      </c>
      <c r="D2181" s="25">
        <v>1.1416E-4</v>
      </c>
      <c r="E2181" s="25">
        <v>1.194E-4</v>
      </c>
      <c r="F2181" s="25">
        <v>1.3816999999999999E-4</v>
      </c>
      <c r="G2181" s="25">
        <v>1.6541E-4</v>
      </c>
      <c r="H2181" s="25">
        <v>3.8739999999999998E-5</v>
      </c>
      <c r="I2181" s="9">
        <v>1.2683E-4</v>
      </c>
      <c r="J2181" s="9">
        <v>1.2481999999999999E-4</v>
      </c>
      <c r="K2181" s="9">
        <v>0</v>
      </c>
      <c r="L2181" s="9">
        <v>1.3182999999999999E-4</v>
      </c>
      <c r="M2181" s="9">
        <v>1.3414000000000001E-4</v>
      </c>
      <c r="N2181" s="9">
        <v>1.5262000000000001E-4</v>
      </c>
      <c r="O2181" s="9">
        <v>1.4017000000000001E-4</v>
      </c>
      <c r="P2181" s="9">
        <v>1.2349999999999999E-4</v>
      </c>
      <c r="Q2181" s="9">
        <v>1.0747999999999999E-4</v>
      </c>
      <c r="R2181" s="10">
        <v>2.124214383490877E-4</v>
      </c>
      <c r="S2181" s="10">
        <v>1.9028815504437617E-4</v>
      </c>
      <c r="T2181" s="10">
        <v>1.0707185779879856E-4</v>
      </c>
      <c r="U2181" s="10">
        <v>1.3988999999999999E-4</v>
      </c>
      <c r="V2181" s="25"/>
      <c r="W2181" s="25"/>
      <c r="X2181" s="25"/>
      <c r="Y2181" s="25"/>
      <c r="Z2181" s="25"/>
      <c r="AA2181" s="25"/>
    </row>
    <row r="2182" spans="1:27" x14ac:dyDescent="0.35">
      <c r="A2182" s="5">
        <v>2178</v>
      </c>
      <c r="B2182" s="5">
        <v>91</v>
      </c>
      <c r="C2182" s="5">
        <v>4</v>
      </c>
      <c r="D2182" s="25">
        <v>1.1415000000000001E-4</v>
      </c>
      <c r="E2182" s="25">
        <v>1.1877E-4</v>
      </c>
      <c r="F2182" s="25">
        <v>1.4041999999999999E-4</v>
      </c>
      <c r="G2182" s="25">
        <v>1.6526999999999999E-4</v>
      </c>
      <c r="H2182" s="25">
        <v>4.0890000000000003E-5</v>
      </c>
      <c r="I2182" s="9">
        <v>1.2635000000000001E-4</v>
      </c>
      <c r="J2182" s="9">
        <v>1.2202E-4</v>
      </c>
      <c r="K2182" s="9">
        <v>3.6040000000000001E-5</v>
      </c>
      <c r="L2182" s="9">
        <v>1.3804E-4</v>
      </c>
      <c r="M2182" s="9">
        <v>1.2820999999999999E-4</v>
      </c>
      <c r="N2182" s="9">
        <v>1.3930999999999999E-4</v>
      </c>
      <c r="O2182" s="9">
        <v>1.3994999999999999E-4</v>
      </c>
      <c r="P2182" s="9">
        <v>1.2836999999999999E-4</v>
      </c>
      <c r="Q2182" s="9">
        <v>1.1736E-4</v>
      </c>
      <c r="R2182" s="10">
        <v>2.1242716883512267E-4</v>
      </c>
      <c r="S2182" s="10">
        <v>1.9027664774488626E-4</v>
      </c>
      <c r="T2182" s="10">
        <v>3.4819564532984887E-5</v>
      </c>
      <c r="U2182" s="10">
        <v>1.3988999999999999E-4</v>
      </c>
      <c r="V2182" s="25"/>
      <c r="W2182" s="25"/>
      <c r="X2182" s="25"/>
      <c r="Y2182" s="25"/>
      <c r="Z2182" s="25"/>
      <c r="AA2182" s="25"/>
    </row>
    <row r="2183" spans="1:27" x14ac:dyDescent="0.35">
      <c r="A2183" s="5">
        <v>2179</v>
      </c>
      <c r="B2183" s="5">
        <v>91</v>
      </c>
      <c r="C2183" s="5">
        <v>4</v>
      </c>
      <c r="D2183" s="25">
        <v>1.1416E-4</v>
      </c>
      <c r="E2183" s="25">
        <v>1.1346E-4</v>
      </c>
      <c r="F2183" s="25">
        <v>1.2719000000000001E-4</v>
      </c>
      <c r="G2183" s="25">
        <v>1.1198E-4</v>
      </c>
      <c r="H2183" s="25">
        <v>2.7529999999999999E-5</v>
      </c>
      <c r="I2183" s="9">
        <v>1.2337000000000001E-4</v>
      </c>
      <c r="J2183" s="9">
        <v>1.2037E-4</v>
      </c>
      <c r="K2183" s="9">
        <v>1.1233E-4</v>
      </c>
      <c r="L2183" s="9">
        <v>1.3944000000000001E-4</v>
      </c>
      <c r="M2183" s="9">
        <v>1.2689999999999999E-4</v>
      </c>
      <c r="N2183" s="9">
        <v>1.3013E-4</v>
      </c>
      <c r="O2183" s="9">
        <v>1.3981E-4</v>
      </c>
      <c r="P2183" s="9">
        <v>1.2265999999999999E-4</v>
      </c>
      <c r="Q2183" s="9">
        <v>1.0616999999999999E-4</v>
      </c>
      <c r="R2183" s="10">
        <v>2.124275220534538E-4</v>
      </c>
      <c r="S2183" s="10">
        <v>1.9029007428904106E-4</v>
      </c>
      <c r="T2183" s="10">
        <v>0</v>
      </c>
      <c r="U2183" s="10">
        <v>1.3988999999999999E-4</v>
      </c>
      <c r="V2183" s="25"/>
      <c r="W2183" s="25"/>
      <c r="X2183" s="25"/>
      <c r="Y2183" s="25"/>
      <c r="Z2183" s="25"/>
      <c r="AA2183" s="25"/>
    </row>
    <row r="2184" spans="1:27" x14ac:dyDescent="0.35">
      <c r="A2184" s="5">
        <v>2180</v>
      </c>
      <c r="B2184" s="5">
        <v>91</v>
      </c>
      <c r="C2184" s="5">
        <v>4</v>
      </c>
      <c r="D2184" s="25">
        <v>1.1415000000000001E-4</v>
      </c>
      <c r="E2184" s="25">
        <v>1.2119E-4</v>
      </c>
      <c r="F2184" s="25">
        <v>1.3746E-4</v>
      </c>
      <c r="G2184" s="25">
        <v>1.0982E-4</v>
      </c>
      <c r="H2184" s="25">
        <v>2.7540000000000001E-5</v>
      </c>
      <c r="I2184" s="9">
        <v>1.2431000000000001E-4</v>
      </c>
      <c r="J2184" s="9">
        <v>1.2297E-4</v>
      </c>
      <c r="K2184" s="9">
        <v>1.526E-4</v>
      </c>
      <c r="L2184" s="9">
        <v>1.3972999999999999E-4</v>
      </c>
      <c r="M2184" s="9">
        <v>1.2530000000000001E-4</v>
      </c>
      <c r="N2184" s="9">
        <v>1.2082999999999999E-4</v>
      </c>
      <c r="O2184" s="9">
        <v>1.4283000000000001E-4</v>
      </c>
      <c r="P2184" s="9">
        <v>1.2178E-4</v>
      </c>
      <c r="Q2184" s="9">
        <v>1.0147E-4</v>
      </c>
      <c r="R2184" s="10">
        <v>2.1216500468520093E-4</v>
      </c>
      <c r="S2184" s="10">
        <v>1.9028399747847741E-4</v>
      </c>
      <c r="T2184" s="10">
        <v>0</v>
      </c>
      <c r="U2184" s="10">
        <v>1.3988999999999999E-4</v>
      </c>
      <c r="V2184" s="25"/>
      <c r="W2184" s="25"/>
      <c r="X2184" s="25"/>
      <c r="Y2184" s="25"/>
      <c r="Z2184" s="25"/>
      <c r="AA2184" s="25"/>
    </row>
    <row r="2185" spans="1:27" x14ac:dyDescent="0.35">
      <c r="A2185" s="5">
        <v>2181</v>
      </c>
      <c r="B2185" s="5">
        <v>91</v>
      </c>
      <c r="C2185" s="5">
        <v>4</v>
      </c>
      <c r="D2185" s="25">
        <v>1.1416E-4</v>
      </c>
      <c r="E2185" s="25">
        <v>1.1699E-4</v>
      </c>
      <c r="F2185" s="25">
        <v>1.4579E-4</v>
      </c>
      <c r="G2185" s="25">
        <v>6.0510000000000002E-5</v>
      </c>
      <c r="H2185" s="25">
        <v>1.4250000000000001E-5</v>
      </c>
      <c r="I2185" s="9">
        <v>1.2167000000000001E-4</v>
      </c>
      <c r="J2185" s="9">
        <v>1.1898E-4</v>
      </c>
      <c r="K2185" s="9">
        <v>1.3563E-4</v>
      </c>
      <c r="L2185" s="9">
        <v>1.4218E-4</v>
      </c>
      <c r="M2185" s="9">
        <v>1.2365E-4</v>
      </c>
      <c r="N2185" s="9">
        <v>1.13E-4</v>
      </c>
      <c r="O2185" s="9">
        <v>8.4740000000000005E-5</v>
      </c>
      <c r="P2185" s="9">
        <v>8.6539999999999995E-5</v>
      </c>
      <c r="Q2185" s="9">
        <v>8.8540000000000003E-5</v>
      </c>
      <c r="R2185" s="10">
        <v>2.1227809613377207E-4</v>
      </c>
      <c r="S2185" s="10">
        <v>1.9016656140932419E-4</v>
      </c>
      <c r="T2185" s="10">
        <v>0</v>
      </c>
      <c r="U2185" s="10">
        <v>1.3988999999999999E-4</v>
      </c>
      <c r="V2185" s="25"/>
      <c r="W2185" s="25"/>
      <c r="X2185" s="25"/>
      <c r="Y2185" s="25"/>
      <c r="Z2185" s="25"/>
      <c r="AA2185" s="25"/>
    </row>
    <row r="2186" spans="1:27" x14ac:dyDescent="0.35">
      <c r="A2186" s="5">
        <v>2182</v>
      </c>
      <c r="B2186" s="5">
        <v>91</v>
      </c>
      <c r="C2186" s="5">
        <v>4</v>
      </c>
      <c r="D2186" s="25">
        <v>1.1415000000000001E-4</v>
      </c>
      <c r="E2186" s="25">
        <v>1.2163999999999999E-4</v>
      </c>
      <c r="F2186" s="25">
        <v>1.3951E-4</v>
      </c>
      <c r="G2186" s="25">
        <v>6.0690000000000003E-5</v>
      </c>
      <c r="H2186" s="25">
        <v>1.378E-5</v>
      </c>
      <c r="I2186" s="9">
        <v>1.2307999999999999E-4</v>
      </c>
      <c r="J2186" s="9">
        <v>1.0991E-4</v>
      </c>
      <c r="K2186" s="9">
        <v>1.6531E-4</v>
      </c>
      <c r="L2186" s="9">
        <v>9.7310000000000002E-5</v>
      </c>
      <c r="M2186" s="9">
        <v>1.0984000000000001E-4</v>
      </c>
      <c r="N2186" s="9">
        <v>1.0543999999999999E-4</v>
      </c>
      <c r="O2186" s="9">
        <v>8.7830000000000004E-5</v>
      </c>
      <c r="P2186" s="9">
        <v>8.8250000000000004E-5</v>
      </c>
      <c r="Q2186" s="9">
        <v>8.8900000000000006E-5</v>
      </c>
      <c r="R2186" s="10">
        <v>2.120682505461136E-4</v>
      </c>
      <c r="S2186" s="10">
        <v>1.8910668129725429E-4</v>
      </c>
      <c r="T2186" s="10">
        <v>0</v>
      </c>
      <c r="U2186" s="10">
        <v>1.3988999999999999E-4</v>
      </c>
      <c r="V2186" s="25"/>
      <c r="W2186" s="25"/>
      <c r="X2186" s="25"/>
      <c r="Y2186" s="25"/>
      <c r="Z2186" s="25"/>
      <c r="AA2186" s="25"/>
    </row>
    <row r="2187" spans="1:27" x14ac:dyDescent="0.35">
      <c r="A2187" s="5">
        <v>2183</v>
      </c>
      <c r="B2187" s="5">
        <v>91</v>
      </c>
      <c r="C2187" s="5">
        <v>4</v>
      </c>
      <c r="D2187" s="25">
        <v>1.1416E-4</v>
      </c>
      <c r="E2187" s="25">
        <v>1.1297E-4</v>
      </c>
      <c r="F2187" s="25">
        <v>1.4318999999999999E-4</v>
      </c>
      <c r="G2187" s="25">
        <v>6.1229999999999995E-5</v>
      </c>
      <c r="H2187" s="25">
        <v>1.5099999999999999E-5</v>
      </c>
      <c r="I2187" s="9">
        <v>1.2252000000000001E-4</v>
      </c>
      <c r="J2187" s="9">
        <v>1.0161E-4</v>
      </c>
      <c r="K2187" s="9">
        <v>1.6318999999999999E-4</v>
      </c>
      <c r="L2187" s="9">
        <v>9.1160000000000001E-5</v>
      </c>
      <c r="M2187" s="9">
        <v>9.8369999999999995E-5</v>
      </c>
      <c r="N2187" s="9">
        <v>9.9790000000000005E-5</v>
      </c>
      <c r="O2187" s="9">
        <v>8.4339999999999995E-5</v>
      </c>
      <c r="P2187" s="9">
        <v>7.5359999999999997E-5</v>
      </c>
      <c r="Q2187" s="9">
        <v>6.6760000000000005E-5</v>
      </c>
      <c r="R2187" s="10">
        <v>2.123590958351899E-4</v>
      </c>
      <c r="S2187" s="10">
        <v>1.8733775489062189E-4</v>
      </c>
      <c r="T2187" s="10">
        <v>0</v>
      </c>
      <c r="U2187" s="10">
        <v>1.3988999999999999E-4</v>
      </c>
      <c r="V2187" s="25"/>
      <c r="W2187" s="25"/>
      <c r="X2187" s="25"/>
      <c r="Y2187" s="25"/>
      <c r="Z2187" s="25"/>
      <c r="AA2187" s="25"/>
    </row>
    <row r="2188" spans="1:27" x14ac:dyDescent="0.35">
      <c r="A2188" s="5">
        <v>2184</v>
      </c>
      <c r="B2188" s="5">
        <v>91</v>
      </c>
      <c r="C2188" s="5">
        <v>4</v>
      </c>
      <c r="D2188" s="25">
        <v>1.1415000000000001E-4</v>
      </c>
      <c r="E2188" s="25">
        <v>1.2229999999999999E-4</v>
      </c>
      <c r="F2188" s="25">
        <v>1.4171E-4</v>
      </c>
      <c r="G2188" s="25">
        <v>5.7949999999999999E-5</v>
      </c>
      <c r="H2188" s="25">
        <v>1.454E-5</v>
      </c>
      <c r="I2188" s="9">
        <v>1.1476000000000001E-4</v>
      </c>
      <c r="J2188" s="9">
        <v>9.2230000000000003E-5</v>
      </c>
      <c r="K2188" s="9">
        <v>1.8438999999999999E-4</v>
      </c>
      <c r="L2188" s="9">
        <v>8.6050000000000005E-5</v>
      </c>
      <c r="M2188" s="9">
        <v>8.7399999999999997E-5</v>
      </c>
      <c r="N2188" s="9">
        <v>9.0519999999999994E-5</v>
      </c>
      <c r="O2188" s="9">
        <v>7.8659999999999996E-5</v>
      </c>
      <c r="P2188" s="9">
        <v>6.8429999999999994E-5</v>
      </c>
      <c r="Q2188" s="9">
        <v>5.8570000000000003E-5</v>
      </c>
      <c r="R2188" s="10">
        <v>2.1243147218524036E-4</v>
      </c>
      <c r="S2188" s="10">
        <v>1.8584543718346995E-4</v>
      </c>
      <c r="T2188" s="10">
        <v>0</v>
      </c>
      <c r="U2188" s="10">
        <v>1.3988999999999999E-4</v>
      </c>
      <c r="V2188" s="25"/>
      <c r="W2188" s="25"/>
      <c r="X2188" s="25"/>
      <c r="Y2188" s="25"/>
      <c r="Z2188" s="25"/>
      <c r="AA2188" s="25"/>
    </row>
    <row r="2189" spans="1:27" x14ac:dyDescent="0.35">
      <c r="A2189" s="5">
        <v>2185</v>
      </c>
      <c r="B2189" s="5">
        <v>92</v>
      </c>
      <c r="C2189" s="5">
        <v>4</v>
      </c>
      <c r="D2189" s="25">
        <v>1.1416E-4</v>
      </c>
      <c r="E2189" s="25">
        <v>1.091E-4</v>
      </c>
      <c r="F2189" s="25">
        <v>8.5010000000000001E-5</v>
      </c>
      <c r="G2189" s="25">
        <v>5.5829999999999999E-5</v>
      </c>
      <c r="H2189" s="25">
        <v>7.4140000000000005E-5</v>
      </c>
      <c r="I2189" s="9">
        <v>1.0835E-4</v>
      </c>
      <c r="J2189" s="9">
        <v>8.8090000000000005E-5</v>
      </c>
      <c r="K2189" s="9">
        <v>2.0133999999999999E-4</v>
      </c>
      <c r="L2189" s="9">
        <v>8.0090000000000001E-5</v>
      </c>
      <c r="M2189" s="9">
        <v>7.8070000000000003E-5</v>
      </c>
      <c r="N2189" s="9">
        <v>8.1100000000000006E-5</v>
      </c>
      <c r="O2189" s="9">
        <v>5.435E-5</v>
      </c>
      <c r="P2189" s="9">
        <v>5.3770000000000002E-5</v>
      </c>
      <c r="Q2189" s="9">
        <v>5.3350000000000003E-5</v>
      </c>
      <c r="R2189" s="10">
        <v>2.1228915742274075E-4</v>
      </c>
      <c r="S2189" s="10">
        <v>1.8594597440674363E-4</v>
      </c>
      <c r="T2189" s="10">
        <v>0</v>
      </c>
      <c r="U2189" s="10">
        <v>1.4484E-4</v>
      </c>
      <c r="V2189" s="25"/>
      <c r="W2189" s="25"/>
      <c r="X2189" s="25"/>
      <c r="Y2189" s="25"/>
      <c r="Z2189" s="25"/>
      <c r="AA2189" s="25"/>
    </row>
    <row r="2190" spans="1:27" x14ac:dyDescent="0.35">
      <c r="A2190" s="5">
        <v>2186</v>
      </c>
      <c r="B2190" s="5">
        <v>92</v>
      </c>
      <c r="C2190" s="5">
        <v>4</v>
      </c>
      <c r="D2190" s="25">
        <v>1.1415000000000001E-4</v>
      </c>
      <c r="E2190" s="25">
        <v>1.1011E-4</v>
      </c>
      <c r="F2190" s="25">
        <v>9.658E-5</v>
      </c>
      <c r="G2190" s="25">
        <v>5.2320000000000001E-5</v>
      </c>
      <c r="H2190" s="25">
        <v>7.0320000000000004E-5</v>
      </c>
      <c r="I2190" s="9">
        <v>1.0518000000000001E-4</v>
      </c>
      <c r="J2190" s="9">
        <v>8.5459999999999998E-5</v>
      </c>
      <c r="K2190" s="9">
        <v>2.0769000000000001E-4</v>
      </c>
      <c r="L2190" s="9">
        <v>6.0170000000000002E-5</v>
      </c>
      <c r="M2190" s="9">
        <v>6.7130000000000003E-5</v>
      </c>
      <c r="N2190" s="9">
        <v>7.2020000000000005E-5</v>
      </c>
      <c r="O2190" s="9">
        <v>1.9239999999999999E-5</v>
      </c>
      <c r="P2190" s="9">
        <v>3.807E-5</v>
      </c>
      <c r="Q2190" s="9">
        <v>5.6650000000000001E-5</v>
      </c>
      <c r="R2190" s="10">
        <v>2.1217657095127539E-4</v>
      </c>
      <c r="S2190" s="10">
        <v>1.821665752186185E-4</v>
      </c>
      <c r="T2190" s="10">
        <v>0</v>
      </c>
      <c r="U2190" s="10">
        <v>1.4484E-4</v>
      </c>
      <c r="V2190" s="25"/>
      <c r="W2190" s="25"/>
      <c r="X2190" s="25"/>
      <c r="Y2190" s="25"/>
      <c r="Z2190" s="25"/>
      <c r="AA2190" s="25"/>
    </row>
    <row r="2191" spans="1:27" x14ac:dyDescent="0.35">
      <c r="A2191" s="5">
        <v>2187</v>
      </c>
      <c r="B2191" s="5">
        <v>92</v>
      </c>
      <c r="C2191" s="5">
        <v>4</v>
      </c>
      <c r="D2191" s="25">
        <v>1.1416E-4</v>
      </c>
      <c r="E2191" s="25">
        <v>1.1205999999999999E-4</v>
      </c>
      <c r="F2191" s="25">
        <v>9.7600000000000001E-5</v>
      </c>
      <c r="G2191" s="25">
        <v>5.9599999999999999E-5</v>
      </c>
      <c r="H2191" s="25">
        <v>6.9930000000000003E-5</v>
      </c>
      <c r="I2191" s="9">
        <v>1.0395000000000001E-4</v>
      </c>
      <c r="J2191" s="9">
        <v>8.7730000000000002E-5</v>
      </c>
      <c r="K2191" s="9">
        <v>2.2889000000000001E-4</v>
      </c>
      <c r="L2191" s="9">
        <v>2.8779999999999999E-5</v>
      </c>
      <c r="M2191" s="9">
        <v>5.3990000000000003E-5</v>
      </c>
      <c r="N2191" s="9">
        <v>6.5560000000000002E-5</v>
      </c>
      <c r="O2191" s="9">
        <v>1.364E-5</v>
      </c>
      <c r="P2191" s="9">
        <v>3.7780000000000001E-5</v>
      </c>
      <c r="Q2191" s="9">
        <v>6.1580000000000003E-5</v>
      </c>
      <c r="R2191" s="10">
        <v>2.0982968307978702E-4</v>
      </c>
      <c r="S2191" s="10">
        <v>1.7949615718515583E-4</v>
      </c>
      <c r="T2191" s="10">
        <v>0</v>
      </c>
      <c r="U2191" s="10">
        <v>1.4484E-4</v>
      </c>
      <c r="V2191" s="25"/>
      <c r="W2191" s="25"/>
      <c r="X2191" s="25"/>
      <c r="Y2191" s="25"/>
      <c r="Z2191" s="25"/>
      <c r="AA2191" s="25"/>
    </row>
    <row r="2192" spans="1:27" x14ac:dyDescent="0.35">
      <c r="A2192" s="5">
        <v>2188</v>
      </c>
      <c r="B2192" s="5">
        <v>92</v>
      </c>
      <c r="C2192" s="5">
        <v>4</v>
      </c>
      <c r="D2192" s="25">
        <v>1.1415000000000001E-4</v>
      </c>
      <c r="E2192" s="25">
        <v>1.1357E-4</v>
      </c>
      <c r="F2192" s="25">
        <v>1.0349999999999999E-4</v>
      </c>
      <c r="G2192" s="25">
        <v>6.2650000000000005E-5</v>
      </c>
      <c r="H2192" s="25">
        <v>6.3499999999999999E-5</v>
      </c>
      <c r="I2192" s="9">
        <v>1.0519E-4</v>
      </c>
      <c r="J2192" s="9">
        <v>8.8469999999999998E-5</v>
      </c>
      <c r="K2192" s="9">
        <v>2.3313000000000001E-4</v>
      </c>
      <c r="L2192" s="9">
        <v>1.7819999999999999E-5</v>
      </c>
      <c r="M2192" s="9">
        <v>4.5000000000000003E-5</v>
      </c>
      <c r="N2192" s="9">
        <v>6.1970000000000005E-5</v>
      </c>
      <c r="O2192" s="9">
        <v>1.365E-5</v>
      </c>
      <c r="P2192" s="9">
        <v>4.727E-5</v>
      </c>
      <c r="Q2192" s="9">
        <v>8.0389999999999994E-5</v>
      </c>
      <c r="R2192" s="10">
        <v>2.0062138938067836E-4</v>
      </c>
      <c r="S2192" s="10">
        <v>1.8010580378985996E-4</v>
      </c>
      <c r="T2192" s="10">
        <v>0</v>
      </c>
      <c r="U2192" s="10">
        <v>1.4484E-4</v>
      </c>
      <c r="V2192" s="25"/>
      <c r="W2192" s="25"/>
      <c r="X2192" s="25"/>
      <c r="Y2192" s="25"/>
      <c r="Z2192" s="25"/>
      <c r="AA2192" s="25"/>
    </row>
    <row r="2193" spans="1:27" x14ac:dyDescent="0.35">
      <c r="A2193" s="5">
        <v>2189</v>
      </c>
      <c r="B2193" s="5">
        <v>92</v>
      </c>
      <c r="C2193" s="5">
        <v>4</v>
      </c>
      <c r="D2193" s="25">
        <v>1.1416E-4</v>
      </c>
      <c r="E2193" s="25">
        <v>1.1652E-4</v>
      </c>
      <c r="F2193" s="25">
        <v>8.9149999999999999E-5</v>
      </c>
      <c r="G2193" s="25">
        <v>6.2639999999999997E-5</v>
      </c>
      <c r="H2193" s="25">
        <v>7.4590000000000002E-5</v>
      </c>
      <c r="I2193" s="9">
        <v>1.1018000000000001E-4</v>
      </c>
      <c r="J2193" s="9">
        <v>9.001E-5</v>
      </c>
      <c r="K2193" s="9">
        <v>2.4795999999999998E-4</v>
      </c>
      <c r="L2193" s="9">
        <v>1.4739999999999999E-5</v>
      </c>
      <c r="M2193" s="9">
        <v>4.3829999999999999E-5</v>
      </c>
      <c r="N2193" s="9">
        <v>6.4510000000000004E-5</v>
      </c>
      <c r="O2193" s="9">
        <v>1.9199999999999999E-5</v>
      </c>
      <c r="P2193" s="9">
        <v>5.6969999999999998E-5</v>
      </c>
      <c r="Q2193" s="9">
        <v>9.4209999999999994E-5</v>
      </c>
      <c r="R2193" s="10">
        <v>1.8872827189827846E-4</v>
      </c>
      <c r="S2193" s="10">
        <v>1.8516791814029407E-4</v>
      </c>
      <c r="T2193" s="10">
        <v>0</v>
      </c>
      <c r="U2193" s="10">
        <v>1.4484E-4</v>
      </c>
      <c r="V2193" s="25"/>
      <c r="W2193" s="25"/>
      <c r="X2193" s="25"/>
      <c r="Y2193" s="25"/>
      <c r="Z2193" s="25"/>
      <c r="AA2193" s="25"/>
    </row>
    <row r="2194" spans="1:27" x14ac:dyDescent="0.35">
      <c r="A2194" s="5">
        <v>2190</v>
      </c>
      <c r="B2194" s="5">
        <v>92</v>
      </c>
      <c r="C2194" s="5">
        <v>4</v>
      </c>
      <c r="D2194" s="25">
        <v>1.1415000000000001E-4</v>
      </c>
      <c r="E2194" s="25">
        <v>1.1175000000000001E-4</v>
      </c>
      <c r="F2194" s="25">
        <v>9.9539999999999999E-5</v>
      </c>
      <c r="G2194" s="25">
        <v>1.1208E-4</v>
      </c>
      <c r="H2194" s="25">
        <v>1.3668999999999999E-4</v>
      </c>
      <c r="I2194" s="9">
        <v>1.1993E-4</v>
      </c>
      <c r="J2194" s="9">
        <v>9.9179999999999996E-5</v>
      </c>
      <c r="K2194" s="9">
        <v>2.2253E-4</v>
      </c>
      <c r="L2194" s="9">
        <v>1.8090000000000001E-5</v>
      </c>
      <c r="M2194" s="9">
        <v>4.863E-5</v>
      </c>
      <c r="N2194" s="9">
        <v>7.1180000000000006E-5</v>
      </c>
      <c r="O2194" s="9">
        <v>4.6119999999999999E-5</v>
      </c>
      <c r="P2194" s="9">
        <v>7.648E-5</v>
      </c>
      <c r="Q2194" s="9">
        <v>1.065E-4</v>
      </c>
      <c r="R2194" s="10">
        <v>1.8298017505154443E-4</v>
      </c>
      <c r="S2194" s="10">
        <v>1.8871323701782672E-4</v>
      </c>
      <c r="T2194" s="10">
        <v>0</v>
      </c>
      <c r="U2194" s="10">
        <v>1.4484E-4</v>
      </c>
      <c r="V2194" s="25"/>
      <c r="W2194" s="25"/>
      <c r="X2194" s="25"/>
      <c r="Y2194" s="25"/>
      <c r="Z2194" s="25"/>
      <c r="AA2194" s="25"/>
    </row>
    <row r="2195" spans="1:27" x14ac:dyDescent="0.35">
      <c r="A2195" s="5">
        <v>2191</v>
      </c>
      <c r="B2195" s="5">
        <v>92</v>
      </c>
      <c r="C2195" s="5">
        <v>4</v>
      </c>
      <c r="D2195" s="25">
        <v>1.1416E-4</v>
      </c>
      <c r="E2195" s="25">
        <v>1.1785E-4</v>
      </c>
      <c r="F2195" s="25">
        <v>8.8889999999999998E-5</v>
      </c>
      <c r="G2195" s="25">
        <v>1.1281999999999999E-4</v>
      </c>
      <c r="H2195" s="25">
        <v>1.2898E-4</v>
      </c>
      <c r="I2195" s="9">
        <v>1.2454999999999999E-4</v>
      </c>
      <c r="J2195" s="9">
        <v>1.1355E-4</v>
      </c>
      <c r="K2195" s="9">
        <v>1.4622999999999999E-4</v>
      </c>
      <c r="L2195" s="9">
        <v>3.981E-5</v>
      </c>
      <c r="M2195" s="9">
        <v>6.0019999999999998E-5</v>
      </c>
      <c r="N2195" s="9">
        <v>8.0770000000000001E-5</v>
      </c>
      <c r="O2195" s="9">
        <v>1.2214999999999999E-4</v>
      </c>
      <c r="P2195" s="9">
        <v>1.1681E-4</v>
      </c>
      <c r="Q2195" s="9">
        <v>1.119E-4</v>
      </c>
      <c r="R2195" s="10">
        <v>1.7937559155545993E-4</v>
      </c>
      <c r="S2195" s="10">
        <v>1.9022425297962272E-4</v>
      </c>
      <c r="T2195" s="10">
        <v>1.8699395767714108E-5</v>
      </c>
      <c r="U2195" s="10">
        <v>1.4484E-4</v>
      </c>
      <c r="V2195" s="25"/>
      <c r="W2195" s="25"/>
      <c r="X2195" s="25"/>
      <c r="Y2195" s="25"/>
      <c r="Z2195" s="25"/>
      <c r="AA2195" s="25"/>
    </row>
    <row r="2196" spans="1:27" x14ac:dyDescent="0.35">
      <c r="A2196" s="5">
        <v>2192</v>
      </c>
      <c r="B2196" s="5">
        <v>92</v>
      </c>
      <c r="C2196" s="5">
        <v>4</v>
      </c>
      <c r="D2196" s="25">
        <v>1.1415000000000001E-4</v>
      </c>
      <c r="E2196" s="25">
        <v>1.1171999999999999E-4</v>
      </c>
      <c r="F2196" s="25">
        <v>1.0076E-4</v>
      </c>
      <c r="G2196" s="25">
        <v>1.5770000000000001E-4</v>
      </c>
      <c r="H2196" s="25">
        <v>1.9532999999999999E-4</v>
      </c>
      <c r="I2196" s="9">
        <v>1.2987E-4</v>
      </c>
      <c r="J2196" s="9">
        <v>1.2258000000000001E-4</v>
      </c>
      <c r="K2196" s="9">
        <v>8.2650000000000003E-5</v>
      </c>
      <c r="L2196" s="9">
        <v>1.0342E-4</v>
      </c>
      <c r="M2196" s="9">
        <v>8.3410000000000003E-5</v>
      </c>
      <c r="N2196" s="9">
        <v>9.0719999999999999E-5</v>
      </c>
      <c r="O2196" s="9">
        <v>2.1667E-4</v>
      </c>
      <c r="P2196" s="9">
        <v>1.7550000000000001E-4</v>
      </c>
      <c r="Q2196" s="9">
        <v>1.3558E-4</v>
      </c>
      <c r="R2196" s="10">
        <v>1.8813037881959297E-4</v>
      </c>
      <c r="S2196" s="10">
        <v>1.9028509917149808E-4</v>
      </c>
      <c r="T2196" s="10">
        <v>2.2818523102208297E-4</v>
      </c>
      <c r="U2196" s="10">
        <v>1.4484E-4</v>
      </c>
      <c r="V2196" s="25"/>
      <c r="W2196" s="25"/>
      <c r="X2196" s="25"/>
      <c r="Y2196" s="25"/>
      <c r="Z2196" s="25"/>
      <c r="AA2196" s="25"/>
    </row>
    <row r="2197" spans="1:27" x14ac:dyDescent="0.35">
      <c r="A2197" s="5">
        <v>2193</v>
      </c>
      <c r="B2197" s="5">
        <v>92</v>
      </c>
      <c r="C2197" s="5">
        <v>4</v>
      </c>
      <c r="D2197" s="25">
        <v>1.1416E-4</v>
      </c>
      <c r="E2197" s="25">
        <v>1.1812E-4</v>
      </c>
      <c r="F2197" s="25">
        <v>8.5459999999999998E-5</v>
      </c>
      <c r="G2197" s="25">
        <v>1.5686000000000001E-4</v>
      </c>
      <c r="H2197" s="25">
        <v>1.9044E-4</v>
      </c>
      <c r="I2197" s="9">
        <v>1.3299000000000001E-4</v>
      </c>
      <c r="J2197" s="9">
        <v>1.2490999999999999E-4</v>
      </c>
      <c r="K2197" s="9">
        <v>3.8149999999999999E-5</v>
      </c>
      <c r="L2197" s="9">
        <v>1.9001000000000001E-4</v>
      </c>
      <c r="M2197" s="9">
        <v>1.2260999999999999E-4</v>
      </c>
      <c r="N2197" s="9">
        <v>1.0420999999999999E-4</v>
      </c>
      <c r="O2197" s="9">
        <v>2.1083000000000001E-4</v>
      </c>
      <c r="P2197" s="9">
        <v>1.9368E-4</v>
      </c>
      <c r="Q2197" s="9">
        <v>1.7738000000000001E-4</v>
      </c>
      <c r="R2197" s="10">
        <v>1.9761630142076897E-4</v>
      </c>
      <c r="S2197" s="10">
        <v>1.9020199869969689E-4</v>
      </c>
      <c r="T2197" s="10">
        <v>4.4670684508435368E-4</v>
      </c>
      <c r="U2197" s="10">
        <v>1.4484E-4</v>
      </c>
      <c r="V2197" s="25"/>
      <c r="W2197" s="25"/>
      <c r="X2197" s="25"/>
      <c r="Y2197" s="25"/>
      <c r="Z2197" s="25"/>
      <c r="AA2197" s="25"/>
    </row>
    <row r="2198" spans="1:27" x14ac:dyDescent="0.35">
      <c r="A2198" s="5">
        <v>2194</v>
      </c>
      <c r="B2198" s="5">
        <v>92</v>
      </c>
      <c r="C2198" s="5">
        <v>4</v>
      </c>
      <c r="D2198" s="25">
        <v>1.1415000000000001E-4</v>
      </c>
      <c r="E2198" s="25">
        <v>1.1043E-4</v>
      </c>
      <c r="F2198" s="25">
        <v>1.0582999999999999E-4</v>
      </c>
      <c r="G2198" s="25">
        <v>1.6042000000000001E-4</v>
      </c>
      <c r="H2198" s="25">
        <v>1.9380999999999999E-4</v>
      </c>
      <c r="I2198" s="9">
        <v>1.3281999999999999E-4</v>
      </c>
      <c r="J2198" s="9">
        <v>1.2271E-4</v>
      </c>
      <c r="K2198" s="9">
        <v>2.12E-5</v>
      </c>
      <c r="L2198" s="9">
        <v>2.0398000000000001E-4</v>
      </c>
      <c r="M2198" s="9">
        <v>1.5813000000000001E-4</v>
      </c>
      <c r="N2198" s="9">
        <v>1.2433999999999999E-4</v>
      </c>
      <c r="O2198" s="9">
        <v>1.6584E-4</v>
      </c>
      <c r="P2198" s="9">
        <v>1.7348E-4</v>
      </c>
      <c r="Q2198" s="9">
        <v>1.8145999999999999E-4</v>
      </c>
      <c r="R2198" s="10">
        <v>2.0514278524411456E-4</v>
      </c>
      <c r="S2198" s="10">
        <v>1.901350456241282E-4</v>
      </c>
      <c r="T2198" s="10">
        <v>4.9348927170103944E-4</v>
      </c>
      <c r="U2198" s="10">
        <v>1.4484E-4</v>
      </c>
      <c r="V2198" s="25"/>
      <c r="W2198" s="25"/>
      <c r="X2198" s="25"/>
      <c r="Y2198" s="25"/>
      <c r="Z2198" s="25"/>
      <c r="AA2198" s="25"/>
    </row>
    <row r="2199" spans="1:27" x14ac:dyDescent="0.35">
      <c r="A2199" s="5">
        <v>2195</v>
      </c>
      <c r="B2199" s="5">
        <v>92</v>
      </c>
      <c r="C2199" s="5">
        <v>4</v>
      </c>
      <c r="D2199" s="25">
        <v>1.1416E-4</v>
      </c>
      <c r="E2199" s="25">
        <v>1.1707E-4</v>
      </c>
      <c r="F2199" s="25">
        <v>9.1819999999999998E-5</v>
      </c>
      <c r="G2199" s="25">
        <v>1.6547E-4</v>
      </c>
      <c r="H2199" s="25">
        <v>2.0322E-4</v>
      </c>
      <c r="I2199" s="9">
        <v>1.3339E-4</v>
      </c>
      <c r="J2199" s="9">
        <v>1.2064E-4</v>
      </c>
      <c r="K2199" s="9">
        <v>2.1299999999999999E-6</v>
      </c>
      <c r="L2199" s="9">
        <v>1.7426E-4</v>
      </c>
      <c r="M2199" s="9">
        <v>1.7191999999999999E-4</v>
      </c>
      <c r="N2199" s="9">
        <v>1.4228999999999999E-4</v>
      </c>
      <c r="O2199" s="9">
        <v>1.6579E-4</v>
      </c>
      <c r="P2199" s="9">
        <v>1.7208999999999999E-4</v>
      </c>
      <c r="Q2199" s="9">
        <v>1.7874000000000001E-4</v>
      </c>
      <c r="R2199" s="10">
        <v>2.1165178195502551E-4</v>
      </c>
      <c r="S2199" s="10">
        <v>1.9008837566858442E-4</v>
      </c>
      <c r="T2199" s="10">
        <v>6.5950155708527814E-4</v>
      </c>
      <c r="U2199" s="10">
        <v>1.4484E-4</v>
      </c>
      <c r="V2199" s="25"/>
      <c r="W2199" s="25"/>
      <c r="X2199" s="25"/>
      <c r="Y2199" s="25"/>
      <c r="Z2199" s="25"/>
      <c r="AA2199" s="25"/>
    </row>
    <row r="2200" spans="1:27" x14ac:dyDescent="0.35">
      <c r="A2200" s="5">
        <v>2196</v>
      </c>
      <c r="B2200" s="5">
        <v>92</v>
      </c>
      <c r="C2200" s="5">
        <v>4</v>
      </c>
      <c r="D2200" s="25">
        <v>1.1415000000000001E-4</v>
      </c>
      <c r="E2200" s="25">
        <v>1.098E-4</v>
      </c>
      <c r="F2200" s="25">
        <v>9.5290000000000004E-5</v>
      </c>
      <c r="G2200" s="25">
        <v>1.6619000000000001E-4</v>
      </c>
      <c r="H2200" s="25">
        <v>2.0367000000000001E-4</v>
      </c>
      <c r="I2200" s="9">
        <v>1.3149E-4</v>
      </c>
      <c r="J2200" s="9">
        <v>1.1768E-4</v>
      </c>
      <c r="K2200" s="9">
        <v>0</v>
      </c>
      <c r="L2200" s="9">
        <v>1.6907000000000001E-4</v>
      </c>
      <c r="M2200" s="9">
        <v>1.7431E-4</v>
      </c>
      <c r="N2200" s="9">
        <v>1.5626999999999999E-4</v>
      </c>
      <c r="O2200" s="9">
        <v>1.6882999999999999E-4</v>
      </c>
      <c r="P2200" s="9">
        <v>1.7106000000000001E-4</v>
      </c>
      <c r="Q2200" s="9">
        <v>1.7373000000000001E-4</v>
      </c>
      <c r="R2200" s="10">
        <v>2.0975527771966039E-4</v>
      </c>
      <c r="S2200" s="10">
        <v>1.8480033706299247E-4</v>
      </c>
      <c r="T2200" s="10">
        <v>5.3306004387010419E-4</v>
      </c>
      <c r="U2200" s="10">
        <v>1.4484E-4</v>
      </c>
      <c r="V2200" s="25"/>
      <c r="W2200" s="25"/>
      <c r="X2200" s="25"/>
      <c r="Y2200" s="25"/>
      <c r="Z2200" s="25"/>
      <c r="AA2200" s="25"/>
    </row>
    <row r="2201" spans="1:27" x14ac:dyDescent="0.35">
      <c r="A2201" s="5">
        <v>2197</v>
      </c>
      <c r="B2201" s="5">
        <v>92</v>
      </c>
      <c r="C2201" s="5">
        <v>4</v>
      </c>
      <c r="D2201" s="25">
        <v>1.1416E-4</v>
      </c>
      <c r="E2201" s="25">
        <v>1.0959999999999999E-4</v>
      </c>
      <c r="F2201" s="25">
        <v>1.0678E-4</v>
      </c>
      <c r="G2201" s="25">
        <v>1.6053000000000001E-4</v>
      </c>
      <c r="H2201" s="25">
        <v>1.9686000000000001E-4</v>
      </c>
      <c r="I2201" s="9">
        <v>1.3033000000000001E-4</v>
      </c>
      <c r="J2201" s="9">
        <v>1.1653E-4</v>
      </c>
      <c r="K2201" s="9">
        <v>0</v>
      </c>
      <c r="L2201" s="9">
        <v>1.6906000000000001E-4</v>
      </c>
      <c r="M2201" s="9">
        <v>1.7326E-4</v>
      </c>
      <c r="N2201" s="9">
        <v>1.6573E-4</v>
      </c>
      <c r="O2201" s="9">
        <v>1.617E-4</v>
      </c>
      <c r="P2201" s="9">
        <v>1.6472000000000001E-4</v>
      </c>
      <c r="Q2201" s="9">
        <v>1.6813E-4</v>
      </c>
      <c r="R2201" s="10">
        <v>2.0965037285223672E-4</v>
      </c>
      <c r="S2201" s="10">
        <v>1.7893830784256311E-4</v>
      </c>
      <c r="T2201" s="10">
        <v>7.0104917100292604E-4</v>
      </c>
      <c r="U2201" s="10">
        <v>1.4484E-4</v>
      </c>
      <c r="V2201" s="25"/>
      <c r="W2201" s="25"/>
      <c r="X2201" s="25"/>
      <c r="Y2201" s="25"/>
      <c r="Z2201" s="25"/>
      <c r="AA2201" s="25"/>
    </row>
    <row r="2202" spans="1:27" x14ac:dyDescent="0.35">
      <c r="A2202" s="5">
        <v>2198</v>
      </c>
      <c r="B2202" s="5">
        <v>92</v>
      </c>
      <c r="C2202" s="5">
        <v>4</v>
      </c>
      <c r="D2202" s="25">
        <v>1.1415000000000001E-4</v>
      </c>
      <c r="E2202" s="25">
        <v>1.0776E-4</v>
      </c>
      <c r="F2202" s="25">
        <v>9.2849999999999994E-5</v>
      </c>
      <c r="G2202" s="25">
        <v>1.6648999999999999E-4</v>
      </c>
      <c r="H2202" s="25">
        <v>1.9466000000000001E-4</v>
      </c>
      <c r="I2202" s="9">
        <v>1.2587000000000001E-4</v>
      </c>
      <c r="J2202" s="9">
        <v>1.1453E-4</v>
      </c>
      <c r="K2202" s="9">
        <v>0</v>
      </c>
      <c r="L2202" s="9">
        <v>1.6306E-4</v>
      </c>
      <c r="M2202" s="9">
        <v>1.6988999999999999E-4</v>
      </c>
      <c r="N2202" s="9">
        <v>1.7030999999999999E-4</v>
      </c>
      <c r="O2202" s="9">
        <v>1.7626999999999999E-4</v>
      </c>
      <c r="P2202" s="9">
        <v>1.6767E-4</v>
      </c>
      <c r="Q2202" s="9">
        <v>1.5970000000000001E-4</v>
      </c>
      <c r="R2202" s="10">
        <v>2.0997190279546405E-4</v>
      </c>
      <c r="S2202" s="10">
        <v>1.7488251717896576E-4</v>
      </c>
      <c r="T2202" s="10">
        <v>2.6755238000674428E-4</v>
      </c>
      <c r="U2202" s="10">
        <v>1.4484E-4</v>
      </c>
      <c r="V2202" s="25"/>
      <c r="W2202" s="25"/>
      <c r="X2202" s="25"/>
      <c r="Y2202" s="25"/>
      <c r="Z2202" s="25"/>
      <c r="AA2202" s="25"/>
    </row>
    <row r="2203" spans="1:27" x14ac:dyDescent="0.35">
      <c r="A2203" s="5">
        <v>2199</v>
      </c>
      <c r="B2203" s="5">
        <v>92</v>
      </c>
      <c r="C2203" s="5">
        <v>4</v>
      </c>
      <c r="D2203" s="25">
        <v>1.1416E-4</v>
      </c>
      <c r="E2203" s="25">
        <v>1.0888E-4</v>
      </c>
      <c r="F2203" s="25">
        <v>9.7150000000000003E-5</v>
      </c>
      <c r="G2203" s="25">
        <v>1.5881000000000001E-4</v>
      </c>
      <c r="H2203" s="25">
        <v>1.9233E-4</v>
      </c>
      <c r="I2203" s="9">
        <v>1.249E-4</v>
      </c>
      <c r="J2203" s="9">
        <v>1.1398E-4</v>
      </c>
      <c r="K2203" s="9">
        <v>0</v>
      </c>
      <c r="L2203" s="9">
        <v>1.7349999999999999E-4</v>
      </c>
      <c r="M2203" s="9">
        <v>1.6813E-4</v>
      </c>
      <c r="N2203" s="9">
        <v>1.6965E-4</v>
      </c>
      <c r="O2203" s="9">
        <v>1.8393000000000001E-4</v>
      </c>
      <c r="P2203" s="9">
        <v>1.6838000000000001E-4</v>
      </c>
      <c r="Q2203" s="9">
        <v>1.5359E-4</v>
      </c>
      <c r="R2203" s="10">
        <v>2.0924939771354271E-4</v>
      </c>
      <c r="S2203" s="10">
        <v>1.7813194460982004E-4</v>
      </c>
      <c r="T2203" s="10">
        <v>1.230647620738172E-4</v>
      </c>
      <c r="U2203" s="10">
        <v>1.4484E-4</v>
      </c>
      <c r="V2203" s="25"/>
      <c r="W2203" s="25"/>
      <c r="X2203" s="25"/>
      <c r="Y2203" s="25"/>
      <c r="Z2203" s="25"/>
      <c r="AA2203" s="25"/>
    </row>
    <row r="2204" spans="1:27" x14ac:dyDescent="0.35">
      <c r="A2204" s="5">
        <v>2200</v>
      </c>
      <c r="B2204" s="5">
        <v>92</v>
      </c>
      <c r="C2204" s="5">
        <v>4</v>
      </c>
      <c r="D2204" s="25">
        <v>1.1415000000000001E-4</v>
      </c>
      <c r="E2204" s="25">
        <v>1.1552000000000001E-4</v>
      </c>
      <c r="F2204" s="25">
        <v>9.4590000000000001E-5</v>
      </c>
      <c r="G2204" s="25">
        <v>1.5887E-4</v>
      </c>
      <c r="H2204" s="25">
        <v>2.0019999999999999E-4</v>
      </c>
      <c r="I2204" s="9">
        <v>1.2289000000000001E-4</v>
      </c>
      <c r="J2204" s="9">
        <v>1.1478E-4</v>
      </c>
      <c r="K2204" s="9">
        <v>0</v>
      </c>
      <c r="L2204" s="9">
        <v>1.8137000000000001E-4</v>
      </c>
      <c r="M2204" s="9">
        <v>1.6783E-4</v>
      </c>
      <c r="N2204" s="9">
        <v>1.6608000000000001E-4</v>
      </c>
      <c r="O2204" s="9">
        <v>1.9818E-4</v>
      </c>
      <c r="P2204" s="9">
        <v>1.5385E-4</v>
      </c>
      <c r="Q2204" s="9">
        <v>1.1077E-4</v>
      </c>
      <c r="R2204" s="10">
        <v>2.0810699041437492E-4</v>
      </c>
      <c r="S2204" s="10">
        <v>1.7978165352169789E-4</v>
      </c>
      <c r="T2204" s="10">
        <v>1.6731038318481043E-4</v>
      </c>
      <c r="U2204" s="10">
        <v>1.4484E-4</v>
      </c>
      <c r="V2204" s="25"/>
      <c r="W2204" s="25"/>
      <c r="X2204" s="25"/>
      <c r="Y2204" s="25"/>
      <c r="Z2204" s="25"/>
      <c r="AA2204" s="25"/>
    </row>
    <row r="2205" spans="1:27" x14ac:dyDescent="0.35">
      <c r="A2205" s="5">
        <v>2201</v>
      </c>
      <c r="B2205" s="5">
        <v>92</v>
      </c>
      <c r="C2205" s="5">
        <v>4</v>
      </c>
      <c r="D2205" s="25">
        <v>1.1416E-4</v>
      </c>
      <c r="E2205" s="25">
        <v>1.1035E-4</v>
      </c>
      <c r="F2205" s="25">
        <v>1.0262E-4</v>
      </c>
      <c r="G2205" s="25">
        <v>1.6343999999999999E-4</v>
      </c>
      <c r="H2205" s="25">
        <v>1.9495E-4</v>
      </c>
      <c r="I2205" s="9">
        <v>1.2322E-4</v>
      </c>
      <c r="J2205" s="9">
        <v>1.1677E-4</v>
      </c>
      <c r="K2205" s="9">
        <v>0</v>
      </c>
      <c r="L2205" s="9">
        <v>1.9421999999999999E-4</v>
      </c>
      <c r="M2205" s="9">
        <v>1.6284000000000001E-4</v>
      </c>
      <c r="N2205" s="9">
        <v>1.5265E-4</v>
      </c>
      <c r="O2205" s="9">
        <v>2.1117999999999999E-4</v>
      </c>
      <c r="P2205" s="9">
        <v>1.5803E-4</v>
      </c>
      <c r="Q2205" s="9">
        <v>1.063E-4</v>
      </c>
      <c r="R2205" s="10">
        <v>2.0613539290701934E-4</v>
      </c>
      <c r="S2205" s="10">
        <v>1.7722736024273404E-4</v>
      </c>
      <c r="T2205" s="10">
        <v>1.0359329506524013E-4</v>
      </c>
      <c r="U2205" s="10">
        <v>1.4484E-4</v>
      </c>
      <c r="V2205" s="25"/>
      <c r="W2205" s="25"/>
      <c r="X2205" s="25"/>
      <c r="Y2205" s="25"/>
      <c r="Z2205" s="25"/>
      <c r="AA2205" s="25"/>
    </row>
    <row r="2206" spans="1:27" x14ac:dyDescent="0.35">
      <c r="A2206" s="5">
        <v>2202</v>
      </c>
      <c r="B2206" s="5">
        <v>92</v>
      </c>
      <c r="C2206" s="5">
        <v>4</v>
      </c>
      <c r="D2206" s="25">
        <v>1.1415000000000001E-4</v>
      </c>
      <c r="E2206" s="25">
        <v>1.1713E-4</v>
      </c>
      <c r="F2206" s="25">
        <v>8.5309999999999995E-5</v>
      </c>
      <c r="G2206" s="25">
        <v>1.6396999999999999E-4</v>
      </c>
      <c r="H2206" s="25">
        <v>1.9436E-4</v>
      </c>
      <c r="I2206" s="9">
        <v>1.2316000000000001E-4</v>
      </c>
      <c r="J2206" s="9">
        <v>1.1512E-4</v>
      </c>
      <c r="K2206" s="9">
        <v>0</v>
      </c>
      <c r="L2206" s="9">
        <v>2.0717000000000001E-4</v>
      </c>
      <c r="M2206" s="9">
        <v>1.5972E-4</v>
      </c>
      <c r="N2206" s="9">
        <v>1.3915999999999999E-4</v>
      </c>
      <c r="O2206" s="9">
        <v>2.0502000000000001E-4</v>
      </c>
      <c r="P2206" s="9">
        <v>1.6091E-4</v>
      </c>
      <c r="Q2206" s="9">
        <v>1.1806E-4</v>
      </c>
      <c r="R2206" s="10">
        <v>2.0307826518306093E-4</v>
      </c>
      <c r="S2206" s="10">
        <v>1.7460140692338719E-4</v>
      </c>
      <c r="T2206" s="10">
        <v>5.9924606310056595E-5</v>
      </c>
      <c r="U2206" s="10">
        <v>1.4484E-4</v>
      </c>
      <c r="V2206" s="25"/>
      <c r="W2206" s="25"/>
      <c r="X2206" s="25"/>
      <c r="Y2206" s="25"/>
      <c r="Z2206" s="25"/>
      <c r="AA2206" s="25"/>
    </row>
    <row r="2207" spans="1:27" x14ac:dyDescent="0.35">
      <c r="A2207" s="5">
        <v>2203</v>
      </c>
      <c r="B2207" s="5">
        <v>92</v>
      </c>
      <c r="C2207" s="5">
        <v>4</v>
      </c>
      <c r="D2207" s="25">
        <v>1.1416E-4</v>
      </c>
      <c r="E2207" s="25">
        <v>1.1616E-4</v>
      </c>
      <c r="F2207" s="25">
        <v>8.8020000000000001E-5</v>
      </c>
      <c r="G2207" s="25">
        <v>1.0653E-4</v>
      </c>
      <c r="H2207" s="25">
        <v>1.3553E-4</v>
      </c>
      <c r="I2207" s="9">
        <v>1.2031000000000001E-4</v>
      </c>
      <c r="J2207" s="9">
        <v>1.1322E-4</v>
      </c>
      <c r="K2207" s="9">
        <v>9.5370000000000003E-5</v>
      </c>
      <c r="L2207" s="9">
        <v>2.0518000000000001E-4</v>
      </c>
      <c r="M2207" s="9">
        <v>1.5945999999999999E-4</v>
      </c>
      <c r="N2207" s="9">
        <v>1.3017000000000001E-4</v>
      </c>
      <c r="O2207" s="9">
        <v>1.6388000000000001E-4</v>
      </c>
      <c r="P2207" s="9">
        <v>1.3511E-4</v>
      </c>
      <c r="Q2207" s="9">
        <v>1.0724E-4</v>
      </c>
      <c r="R2207" s="10">
        <v>1.8890586982276723E-4</v>
      </c>
      <c r="S2207" s="10">
        <v>1.7166233270009056E-4</v>
      </c>
      <c r="T2207" s="10">
        <v>0</v>
      </c>
      <c r="U2207" s="10">
        <v>1.4484E-4</v>
      </c>
      <c r="V2207" s="25"/>
      <c r="W2207" s="25"/>
      <c r="X2207" s="25"/>
      <c r="Y2207" s="25"/>
      <c r="Z2207" s="25"/>
      <c r="AA2207" s="25"/>
    </row>
    <row r="2208" spans="1:27" x14ac:dyDescent="0.35">
      <c r="A2208" s="5">
        <v>2204</v>
      </c>
      <c r="B2208" s="5">
        <v>92</v>
      </c>
      <c r="C2208" s="5">
        <v>4</v>
      </c>
      <c r="D2208" s="25">
        <v>1.1415000000000001E-4</v>
      </c>
      <c r="E2208" s="25">
        <v>1.1162000000000001E-4</v>
      </c>
      <c r="F2208" s="25">
        <v>9.9599999999999995E-5</v>
      </c>
      <c r="G2208" s="25">
        <v>1.1341E-4</v>
      </c>
      <c r="H2208" s="25">
        <v>1.3788E-4</v>
      </c>
      <c r="I2208" s="9">
        <v>1.2202E-4</v>
      </c>
      <c r="J2208" s="9">
        <v>1.1665E-4</v>
      </c>
      <c r="K2208" s="9">
        <v>1.6955E-4</v>
      </c>
      <c r="L2208" s="9">
        <v>1.7311E-4</v>
      </c>
      <c r="M2208" s="9">
        <v>1.5080000000000001E-4</v>
      </c>
      <c r="N2208" s="9">
        <v>1.211E-4</v>
      </c>
      <c r="O2208" s="9">
        <v>1.2914E-4</v>
      </c>
      <c r="P2208" s="9">
        <v>1.1552000000000001E-4</v>
      </c>
      <c r="Q2208" s="9">
        <v>1.0247999999999999E-4</v>
      </c>
      <c r="R2208" s="10">
        <v>1.7244279562626349E-4</v>
      </c>
      <c r="S2208" s="10">
        <v>1.6415713714148196E-4</v>
      </c>
      <c r="T2208" s="10">
        <v>0</v>
      </c>
      <c r="U2208" s="10">
        <v>1.4484E-4</v>
      </c>
      <c r="V2208" s="25"/>
      <c r="W2208" s="25"/>
      <c r="X2208" s="25"/>
      <c r="Y2208" s="25"/>
      <c r="Z2208" s="25"/>
      <c r="AA2208" s="25"/>
    </row>
    <row r="2209" spans="1:27" x14ac:dyDescent="0.35">
      <c r="A2209" s="5">
        <v>2205</v>
      </c>
      <c r="B2209" s="5">
        <v>92</v>
      </c>
      <c r="C2209" s="5">
        <v>4</v>
      </c>
      <c r="D2209" s="25">
        <v>1.1416E-4</v>
      </c>
      <c r="E2209" s="25">
        <v>1.1126E-4</v>
      </c>
      <c r="F2209" s="25">
        <v>9.8410000000000001E-5</v>
      </c>
      <c r="G2209" s="25">
        <v>6.2840000000000001E-5</v>
      </c>
      <c r="H2209" s="25">
        <v>6.5950000000000004E-5</v>
      </c>
      <c r="I2209" s="9">
        <v>1.1868E-4</v>
      </c>
      <c r="J2209" s="9">
        <v>1.1313E-4</v>
      </c>
      <c r="K2209" s="9">
        <v>1.4836E-4</v>
      </c>
      <c r="L2209" s="9">
        <v>1.3977999999999999E-4</v>
      </c>
      <c r="M2209" s="9">
        <v>1.3569E-4</v>
      </c>
      <c r="N2209" s="9">
        <v>1.1348E-4</v>
      </c>
      <c r="O2209" s="9">
        <v>8.5309999999999995E-5</v>
      </c>
      <c r="P2209" s="9">
        <v>8.7120000000000006E-5</v>
      </c>
      <c r="Q2209" s="9">
        <v>8.9140000000000004E-5</v>
      </c>
      <c r="R2209" s="10">
        <v>1.6190417955942813E-4</v>
      </c>
      <c r="S2209" s="10">
        <v>1.4998503446720415E-4</v>
      </c>
      <c r="T2209" s="10">
        <v>0</v>
      </c>
      <c r="U2209" s="10">
        <v>1.4484E-4</v>
      </c>
      <c r="V2209" s="25"/>
      <c r="W2209" s="25"/>
      <c r="X2209" s="25"/>
      <c r="Y2209" s="25"/>
      <c r="Z2209" s="25"/>
      <c r="AA2209" s="25"/>
    </row>
    <row r="2210" spans="1:27" x14ac:dyDescent="0.35">
      <c r="A2210" s="5">
        <v>2206</v>
      </c>
      <c r="B2210" s="5">
        <v>92</v>
      </c>
      <c r="C2210" s="5">
        <v>4</v>
      </c>
      <c r="D2210" s="25">
        <v>1.1415000000000001E-4</v>
      </c>
      <c r="E2210" s="25">
        <v>1.1676E-4</v>
      </c>
      <c r="F2210" s="25">
        <v>9.0309999999999994E-5</v>
      </c>
      <c r="G2210" s="25">
        <v>6.2189999999999999E-5</v>
      </c>
      <c r="H2210" s="25">
        <v>7.08E-5</v>
      </c>
      <c r="I2210" s="9">
        <v>1.1972999999999999E-4</v>
      </c>
      <c r="J2210" s="9">
        <v>1.0491E-4</v>
      </c>
      <c r="K2210" s="9">
        <v>1.4412E-4</v>
      </c>
      <c r="L2210" s="9">
        <v>9.8209999999999997E-5</v>
      </c>
      <c r="M2210" s="9">
        <v>1.1430999999999999E-4</v>
      </c>
      <c r="N2210" s="9">
        <v>1.06E-4</v>
      </c>
      <c r="O2210" s="9">
        <v>8.7100000000000003E-5</v>
      </c>
      <c r="P2210" s="9">
        <v>8.7509999999999994E-5</v>
      </c>
      <c r="Q2210" s="9">
        <v>8.8159999999999996E-5</v>
      </c>
      <c r="R2210" s="10">
        <v>1.5151261711166932E-4</v>
      </c>
      <c r="S2210" s="10">
        <v>1.2618008372160437E-4</v>
      </c>
      <c r="T2210" s="10">
        <v>0</v>
      </c>
      <c r="U2210" s="10">
        <v>1.4484E-4</v>
      </c>
      <c r="V2210" s="25"/>
      <c r="W2210" s="25"/>
      <c r="X2210" s="25"/>
      <c r="Y2210" s="25"/>
      <c r="Z2210" s="25"/>
      <c r="AA2210" s="25"/>
    </row>
    <row r="2211" spans="1:27" x14ac:dyDescent="0.35">
      <c r="A2211" s="5">
        <v>2207</v>
      </c>
      <c r="B2211" s="5">
        <v>92</v>
      </c>
      <c r="C2211" s="5">
        <v>4</v>
      </c>
      <c r="D2211" s="25">
        <v>1.1416E-4</v>
      </c>
      <c r="E2211" s="25">
        <v>1.0916000000000001E-4</v>
      </c>
      <c r="F2211" s="25">
        <v>9.6979999999999996E-5</v>
      </c>
      <c r="G2211" s="25">
        <v>5.2620000000000001E-5</v>
      </c>
      <c r="H2211" s="25">
        <v>7.6299999999999998E-5</v>
      </c>
      <c r="I2211" s="9">
        <v>1.1959999999999999E-4</v>
      </c>
      <c r="J2211" s="9">
        <v>9.8200000000000002E-5</v>
      </c>
      <c r="K2211" s="9">
        <v>8.0539999999999998E-5</v>
      </c>
      <c r="L2211" s="9">
        <v>9.0470000000000006E-5</v>
      </c>
      <c r="M2211" s="9">
        <v>9.9419999999999993E-5</v>
      </c>
      <c r="N2211" s="9">
        <v>1.0014999999999999E-4</v>
      </c>
      <c r="O2211" s="9">
        <v>7.7669999999999993E-5</v>
      </c>
      <c r="P2211" s="9">
        <v>7.2119999999999994E-5</v>
      </c>
      <c r="Q2211" s="9">
        <v>6.6879999999999997E-5</v>
      </c>
      <c r="R2211" s="10">
        <v>1.4079138199595614E-4</v>
      </c>
      <c r="S2211" s="10">
        <v>9.468336667012772E-5</v>
      </c>
      <c r="T2211" s="10">
        <v>0</v>
      </c>
      <c r="U2211" s="10">
        <v>1.4484E-4</v>
      </c>
      <c r="V2211" s="25"/>
      <c r="W2211" s="25"/>
      <c r="X2211" s="25"/>
      <c r="Y2211" s="25"/>
      <c r="Z2211" s="25"/>
      <c r="AA2211" s="25"/>
    </row>
    <row r="2212" spans="1:27" x14ac:dyDescent="0.35">
      <c r="A2212" s="5">
        <v>2208</v>
      </c>
      <c r="B2212" s="5">
        <v>92</v>
      </c>
      <c r="C2212" s="5">
        <v>4</v>
      </c>
      <c r="D2212" s="25">
        <v>1.1415000000000001E-4</v>
      </c>
      <c r="E2212" s="25">
        <v>1.1815E-4</v>
      </c>
      <c r="F2212" s="25">
        <v>9.1030000000000001E-5</v>
      </c>
      <c r="G2212" s="25">
        <v>5.4809999999999999E-5</v>
      </c>
      <c r="H2212" s="25">
        <v>7.224E-5</v>
      </c>
      <c r="I2212" s="9">
        <v>1.1179999999999999E-4</v>
      </c>
      <c r="J2212" s="9">
        <v>9.4419999999999994E-5</v>
      </c>
      <c r="K2212" s="9">
        <v>8.6890000000000003E-5</v>
      </c>
      <c r="L2212" s="9">
        <v>8.0500000000000005E-5</v>
      </c>
      <c r="M2212" s="9">
        <v>8.6299999999999997E-5</v>
      </c>
      <c r="N2212" s="9">
        <v>9.0810000000000006E-5</v>
      </c>
      <c r="O2212" s="9">
        <v>6.3219999999999994E-5</v>
      </c>
      <c r="P2212" s="9">
        <v>6.1190000000000002E-5</v>
      </c>
      <c r="Q2212" s="9">
        <v>5.9360000000000001E-5</v>
      </c>
      <c r="R2212" s="10">
        <v>1.1105681531376907E-4</v>
      </c>
      <c r="S2212" s="10">
        <v>6.4139578141782851E-5</v>
      </c>
      <c r="T2212" s="10">
        <v>0</v>
      </c>
      <c r="U2212" s="10">
        <v>1.4484E-4</v>
      </c>
      <c r="V2212" s="25"/>
      <c r="W2212" s="25"/>
      <c r="X2212" s="25"/>
      <c r="Y2212" s="25"/>
      <c r="Z2212" s="25"/>
      <c r="AA2212" s="25"/>
    </row>
    <row r="2213" spans="1:27" x14ac:dyDescent="0.35">
      <c r="A2213" s="5">
        <v>2209</v>
      </c>
      <c r="B2213" s="5">
        <v>93</v>
      </c>
      <c r="C2213" s="5">
        <v>4</v>
      </c>
      <c r="D2213" s="25">
        <v>1.1416E-4</v>
      </c>
      <c r="E2213" s="25">
        <v>1.1372E-4</v>
      </c>
      <c r="F2213" s="25">
        <v>1.0632E-4</v>
      </c>
      <c r="G2213" s="25">
        <v>5.5059999999999998E-5</v>
      </c>
      <c r="H2213" s="25">
        <v>6.3429999999999994E-5</v>
      </c>
      <c r="I2213" s="9">
        <v>1.0365999999999999E-4</v>
      </c>
      <c r="J2213" s="9">
        <v>8.9259999999999996E-5</v>
      </c>
      <c r="K2213" s="9">
        <v>9.7490000000000003E-5</v>
      </c>
      <c r="L2213" s="9">
        <v>6.703E-5</v>
      </c>
      <c r="M2213" s="9">
        <v>7.4239999999999994E-5</v>
      </c>
      <c r="N2213" s="9">
        <v>8.1450000000000001E-5</v>
      </c>
      <c r="O2213" s="9">
        <v>5.4750000000000003E-5</v>
      </c>
      <c r="P2213" s="9">
        <v>5.4169999999999998E-5</v>
      </c>
      <c r="Q2213" s="9">
        <v>5.3739999999999997E-5</v>
      </c>
      <c r="R2213" s="10">
        <v>1.0806219674454932E-4</v>
      </c>
      <c r="S2213" s="10">
        <v>5.0405503894856656E-5</v>
      </c>
      <c r="T2213" s="10">
        <v>0</v>
      </c>
      <c r="U2213" s="10">
        <v>1.4519000000000001E-4</v>
      </c>
      <c r="V2213" s="25"/>
      <c r="W2213" s="25"/>
      <c r="X2213" s="25"/>
      <c r="Y2213" s="25"/>
      <c r="Z2213" s="25"/>
      <c r="AA2213" s="25"/>
    </row>
    <row r="2214" spans="1:27" x14ac:dyDescent="0.35">
      <c r="A2214" s="5">
        <v>2210</v>
      </c>
      <c r="B2214" s="5">
        <v>93</v>
      </c>
      <c r="C2214" s="5">
        <v>4</v>
      </c>
      <c r="D2214" s="25">
        <v>1.1415000000000001E-4</v>
      </c>
      <c r="E2214" s="25">
        <v>1.0878999999999999E-4</v>
      </c>
      <c r="F2214" s="25">
        <v>1.1566E-4</v>
      </c>
      <c r="G2214" s="25">
        <v>5.2439999999999999E-5</v>
      </c>
      <c r="H2214" s="25">
        <v>6.4579999999999995E-5</v>
      </c>
      <c r="I2214" s="9">
        <v>9.9710000000000006E-5</v>
      </c>
      <c r="J2214" s="9">
        <v>8.5190000000000003E-5</v>
      </c>
      <c r="K2214" s="9">
        <v>1.0809E-4</v>
      </c>
      <c r="L2214" s="9">
        <v>5.7819999999999999E-5</v>
      </c>
      <c r="M2214" s="9">
        <v>6.4170000000000004E-5</v>
      </c>
      <c r="N2214" s="9">
        <v>7.2340000000000002E-5</v>
      </c>
      <c r="O2214" s="9">
        <v>1.8989999999999999E-5</v>
      </c>
      <c r="P2214" s="9">
        <v>3.7580000000000003E-5</v>
      </c>
      <c r="Q2214" s="9">
        <v>5.592E-5</v>
      </c>
      <c r="R2214" s="10">
        <v>1.015633332862127E-4</v>
      </c>
      <c r="S2214" s="10">
        <v>3.7168130554901803E-5</v>
      </c>
      <c r="T2214" s="10">
        <v>0</v>
      </c>
      <c r="U2214" s="10">
        <v>1.4519000000000001E-4</v>
      </c>
      <c r="V2214" s="25"/>
      <c r="W2214" s="25"/>
      <c r="X2214" s="25"/>
      <c r="Y2214" s="25"/>
      <c r="Z2214" s="25"/>
      <c r="AA2214" s="25"/>
    </row>
    <row r="2215" spans="1:27" x14ac:dyDescent="0.35">
      <c r="A2215" s="5">
        <v>2211</v>
      </c>
      <c r="B2215" s="5">
        <v>93</v>
      </c>
      <c r="C2215" s="5">
        <v>4</v>
      </c>
      <c r="D2215" s="25">
        <v>1.1416E-4</v>
      </c>
      <c r="E2215" s="25">
        <v>1.0796E-4</v>
      </c>
      <c r="F2215" s="25">
        <v>1.1943999999999999E-4</v>
      </c>
      <c r="G2215" s="25">
        <v>5.8199999999999998E-5</v>
      </c>
      <c r="H2215" s="25">
        <v>7.6329999999999996E-5</v>
      </c>
      <c r="I2215" s="9">
        <v>9.7819999999999995E-5</v>
      </c>
      <c r="J2215" s="9">
        <v>8.5290000000000005E-5</v>
      </c>
      <c r="K2215" s="9">
        <v>1.1233E-4</v>
      </c>
      <c r="L2215" s="9">
        <v>2.7739999999999999E-5</v>
      </c>
      <c r="M2215" s="9">
        <v>5.2290000000000002E-5</v>
      </c>
      <c r="N2215" s="9">
        <v>6.5640000000000002E-5</v>
      </c>
      <c r="O2215" s="9">
        <v>1.364E-5</v>
      </c>
      <c r="P2215" s="9">
        <v>3.7790000000000002E-5</v>
      </c>
      <c r="Q2215" s="9">
        <v>6.1600000000000007E-5</v>
      </c>
      <c r="R2215" s="10">
        <v>8.8742265791272209E-5</v>
      </c>
      <c r="S2215" s="10">
        <v>2.8011975236298818E-5</v>
      </c>
      <c r="T2215" s="10">
        <v>0</v>
      </c>
      <c r="U2215" s="10">
        <v>1.4519000000000001E-4</v>
      </c>
      <c r="V2215" s="25"/>
      <c r="W2215" s="25"/>
      <c r="X2215" s="25"/>
      <c r="Y2215" s="25"/>
      <c r="Z2215" s="25"/>
      <c r="AA2215" s="25"/>
    </row>
    <row r="2216" spans="1:27" x14ac:dyDescent="0.35">
      <c r="A2216" s="5">
        <v>2212</v>
      </c>
      <c r="B2216" s="5">
        <v>93</v>
      </c>
      <c r="C2216" s="5">
        <v>4</v>
      </c>
      <c r="D2216" s="25">
        <v>1.1415000000000001E-4</v>
      </c>
      <c r="E2216" s="25">
        <v>1.1896E-4</v>
      </c>
      <c r="F2216" s="25">
        <v>1.15E-4</v>
      </c>
      <c r="G2216" s="25">
        <v>5.6759999999999999E-5</v>
      </c>
      <c r="H2216" s="25">
        <v>7.4640000000000004E-5</v>
      </c>
      <c r="I2216" s="9">
        <v>9.6869999999999999E-5</v>
      </c>
      <c r="J2216" s="9">
        <v>8.5560000000000001E-5</v>
      </c>
      <c r="K2216" s="9">
        <v>1.2292999999999999E-4</v>
      </c>
      <c r="L2216" s="9">
        <v>1.749E-5</v>
      </c>
      <c r="M2216" s="9">
        <v>4.4230000000000002E-5</v>
      </c>
      <c r="N2216" s="9">
        <v>6.2020000000000006E-5</v>
      </c>
      <c r="O2216" s="9">
        <v>1.365E-5</v>
      </c>
      <c r="P2216" s="9">
        <v>4.727E-5</v>
      </c>
      <c r="Q2216" s="9">
        <v>8.0400000000000003E-5</v>
      </c>
      <c r="R2216" s="10">
        <v>7.2915123576163803E-5</v>
      </c>
      <c r="S2216" s="10">
        <v>2.4522013223170443E-5</v>
      </c>
      <c r="T2216" s="10">
        <v>0</v>
      </c>
      <c r="U2216" s="10">
        <v>1.4519000000000001E-4</v>
      </c>
      <c r="V2216" s="25"/>
      <c r="W2216" s="25"/>
      <c r="X2216" s="25"/>
      <c r="Y2216" s="25"/>
      <c r="Z2216" s="25"/>
      <c r="AA2216" s="25"/>
    </row>
    <row r="2217" spans="1:27" x14ac:dyDescent="0.35">
      <c r="A2217" s="5">
        <v>2213</v>
      </c>
      <c r="B2217" s="5">
        <v>93</v>
      </c>
      <c r="C2217" s="5">
        <v>4</v>
      </c>
      <c r="D2217" s="25">
        <v>1.1416E-4</v>
      </c>
      <c r="E2217" s="25">
        <v>1.1611E-4</v>
      </c>
      <c r="F2217" s="25">
        <v>1.1287E-4</v>
      </c>
      <c r="G2217" s="25">
        <v>5.6730000000000001E-5</v>
      </c>
      <c r="H2217" s="25">
        <v>6.711E-5</v>
      </c>
      <c r="I2217" s="9">
        <v>9.7639999999999994E-5</v>
      </c>
      <c r="J2217" s="9">
        <v>8.5470000000000007E-5</v>
      </c>
      <c r="K2217" s="9">
        <v>1.2292999999999999E-4</v>
      </c>
      <c r="L2217" s="9">
        <v>1.4739999999999999E-5</v>
      </c>
      <c r="M2217" s="9">
        <v>4.3519999999999997E-5</v>
      </c>
      <c r="N2217" s="9">
        <v>6.4519999999999999E-5</v>
      </c>
      <c r="O2217" s="9">
        <v>1.9239999999999999E-5</v>
      </c>
      <c r="P2217" s="9">
        <v>5.7099999999999999E-5</v>
      </c>
      <c r="Q2217" s="9">
        <v>9.4430000000000002E-5</v>
      </c>
      <c r="R2217" s="10">
        <v>6.0051488018902705E-5</v>
      </c>
      <c r="S2217" s="10">
        <v>1.9998625118034431E-5</v>
      </c>
      <c r="T2217" s="10">
        <v>0</v>
      </c>
      <c r="U2217" s="10">
        <v>1.4519000000000001E-4</v>
      </c>
      <c r="V2217" s="25"/>
      <c r="W2217" s="25"/>
      <c r="X2217" s="25"/>
      <c r="Y2217" s="25"/>
      <c r="Z2217" s="25"/>
      <c r="AA2217" s="25"/>
    </row>
    <row r="2218" spans="1:27" x14ac:dyDescent="0.35">
      <c r="A2218" s="5">
        <v>2214</v>
      </c>
      <c r="B2218" s="5">
        <v>93</v>
      </c>
      <c r="C2218" s="5">
        <v>4</v>
      </c>
      <c r="D2218" s="25">
        <v>1.1415000000000001E-4</v>
      </c>
      <c r="E2218" s="25">
        <v>1.1226999999999999E-4</v>
      </c>
      <c r="F2218" s="25">
        <v>1.0106E-4</v>
      </c>
      <c r="G2218" s="25">
        <v>1.13E-4</v>
      </c>
      <c r="H2218" s="25">
        <v>1.3028000000000001E-4</v>
      </c>
      <c r="I2218" s="9">
        <v>1.0163E-4</v>
      </c>
      <c r="J2218" s="9">
        <v>8.4950000000000005E-5</v>
      </c>
      <c r="K2218" s="9">
        <v>1.3352000000000001E-4</v>
      </c>
      <c r="L2218" s="9">
        <v>1.8119999999999999E-5</v>
      </c>
      <c r="M2218" s="9">
        <v>4.8579999999999999E-5</v>
      </c>
      <c r="N2218" s="9">
        <v>7.1210000000000004E-5</v>
      </c>
      <c r="O2218" s="9">
        <v>4.6159999999999999E-5</v>
      </c>
      <c r="P2218" s="9">
        <v>7.6550000000000004E-5</v>
      </c>
      <c r="Q2218" s="9">
        <v>1.066E-4</v>
      </c>
      <c r="R2218" s="10">
        <v>4.4943512535944675E-5</v>
      </c>
      <c r="S2218" s="10">
        <v>1.4492033873629314E-5</v>
      </c>
      <c r="T2218" s="10">
        <v>0</v>
      </c>
      <c r="U2218" s="10">
        <v>1.4519000000000001E-4</v>
      </c>
      <c r="V2218" s="25"/>
      <c r="W2218" s="25"/>
      <c r="X2218" s="25"/>
      <c r="Y2218" s="25"/>
      <c r="Z2218" s="25"/>
      <c r="AA2218" s="25"/>
    </row>
    <row r="2219" spans="1:27" x14ac:dyDescent="0.35">
      <c r="A2219" s="5">
        <v>2215</v>
      </c>
      <c r="B2219" s="5">
        <v>93</v>
      </c>
      <c r="C2219" s="5">
        <v>4</v>
      </c>
      <c r="D2219" s="25">
        <v>1.1416E-4</v>
      </c>
      <c r="E2219" s="25">
        <v>1.1399E-4</v>
      </c>
      <c r="F2219" s="25">
        <v>1.1403E-4</v>
      </c>
      <c r="G2219" s="25">
        <v>1.1006E-4</v>
      </c>
      <c r="H2219" s="25">
        <v>1.3449999999999999E-4</v>
      </c>
      <c r="I2219" s="9">
        <v>1.0289E-4</v>
      </c>
      <c r="J2219" s="9">
        <v>9.0649999999999994E-5</v>
      </c>
      <c r="K2219" s="9">
        <v>9.3250000000000003E-5</v>
      </c>
      <c r="L2219" s="9">
        <v>3.9839999999999998E-5</v>
      </c>
      <c r="M2219" s="9">
        <v>6.0080000000000001E-5</v>
      </c>
      <c r="N2219" s="9">
        <v>8.0799999999999999E-5</v>
      </c>
      <c r="O2219" s="9">
        <v>1.2392999999999999E-4</v>
      </c>
      <c r="P2219" s="9">
        <v>1.1852E-4</v>
      </c>
      <c r="Q2219" s="9">
        <v>1.1353000000000001E-4</v>
      </c>
      <c r="R2219" s="10">
        <v>3.0407144981718795E-5</v>
      </c>
      <c r="S2219" s="10">
        <v>9.6155410823878439E-6</v>
      </c>
      <c r="T2219" s="10">
        <v>3.1332517500076311E-5</v>
      </c>
      <c r="U2219" s="10">
        <v>1.4519000000000001E-4</v>
      </c>
      <c r="V2219" s="25"/>
      <c r="W2219" s="25"/>
      <c r="X2219" s="25"/>
      <c r="Y2219" s="25"/>
      <c r="Z2219" s="25"/>
      <c r="AA2219" s="25"/>
    </row>
    <row r="2220" spans="1:27" x14ac:dyDescent="0.35">
      <c r="A2220" s="5">
        <v>2216</v>
      </c>
      <c r="B2220" s="5">
        <v>93</v>
      </c>
      <c r="C2220" s="5">
        <v>4</v>
      </c>
      <c r="D2220" s="25">
        <v>1.1415000000000001E-4</v>
      </c>
      <c r="E2220" s="25">
        <v>1.1511E-4</v>
      </c>
      <c r="F2220" s="25">
        <v>1.2218E-4</v>
      </c>
      <c r="G2220" s="25">
        <v>1.5807000000000001E-4</v>
      </c>
      <c r="H2220" s="25">
        <v>1.9718000000000001E-4</v>
      </c>
      <c r="I2220" s="9">
        <v>1.087E-4</v>
      </c>
      <c r="J2220" s="9">
        <v>9.8960000000000001E-5</v>
      </c>
      <c r="K2220" s="9">
        <v>5.2989999999999999E-5</v>
      </c>
      <c r="L2220" s="9">
        <v>1.0483E-4</v>
      </c>
      <c r="M2220" s="9">
        <v>8.407E-5</v>
      </c>
      <c r="N2220" s="9">
        <v>9.1119999999999995E-5</v>
      </c>
      <c r="O2220" s="9">
        <v>2.1818E-4</v>
      </c>
      <c r="P2220" s="9">
        <v>1.7673E-4</v>
      </c>
      <c r="Q2220" s="9">
        <v>1.3652E-4</v>
      </c>
      <c r="R2220" s="10">
        <v>2.258997227976235E-5</v>
      </c>
      <c r="S2220" s="10">
        <v>6.7830854191903529E-6</v>
      </c>
      <c r="T2220" s="10">
        <v>8.1568053952270158E-5</v>
      </c>
      <c r="U2220" s="10">
        <v>1.4519000000000001E-4</v>
      </c>
      <c r="V2220" s="25"/>
      <c r="W2220" s="25"/>
      <c r="X2220" s="25"/>
      <c r="Y2220" s="25"/>
      <c r="Z2220" s="25"/>
      <c r="AA2220" s="25"/>
    </row>
    <row r="2221" spans="1:27" x14ac:dyDescent="0.35">
      <c r="A2221" s="5">
        <v>2217</v>
      </c>
      <c r="B2221" s="5">
        <v>93</v>
      </c>
      <c r="C2221" s="5">
        <v>4</v>
      </c>
      <c r="D2221" s="25">
        <v>1.1416E-4</v>
      </c>
      <c r="E2221" s="25">
        <v>1.1909999999999999E-4</v>
      </c>
      <c r="F2221" s="25">
        <v>1.0539000000000001E-4</v>
      </c>
      <c r="G2221" s="25">
        <v>1.5770000000000001E-4</v>
      </c>
      <c r="H2221" s="25">
        <v>2.0136000000000001E-4</v>
      </c>
      <c r="I2221" s="9">
        <v>1.149E-4</v>
      </c>
      <c r="J2221" s="9">
        <v>1.0558E-4</v>
      </c>
      <c r="K2221" s="9">
        <v>2.1189999999999999E-5</v>
      </c>
      <c r="L2221" s="9">
        <v>1.9147000000000001E-4</v>
      </c>
      <c r="M2221" s="9">
        <v>1.2364E-4</v>
      </c>
      <c r="N2221" s="9">
        <v>1.048E-4</v>
      </c>
      <c r="O2221" s="9">
        <v>2.0922000000000001E-4</v>
      </c>
      <c r="P2221" s="9">
        <v>1.9220000000000001E-4</v>
      </c>
      <c r="Q2221" s="9">
        <v>1.7602000000000001E-4</v>
      </c>
      <c r="R2221" s="10">
        <v>1.8263872226128537E-5</v>
      </c>
      <c r="S2221" s="10">
        <v>6.4638041481988859E-6</v>
      </c>
      <c r="T2221" s="10">
        <v>2.657961300412647E-4</v>
      </c>
      <c r="U2221" s="10">
        <v>1.4519000000000001E-4</v>
      </c>
      <c r="V2221" s="25"/>
      <c r="W2221" s="25"/>
      <c r="X2221" s="25"/>
      <c r="Y2221" s="25"/>
      <c r="Z2221" s="25"/>
      <c r="AA2221" s="25"/>
    </row>
    <row r="2222" spans="1:27" x14ac:dyDescent="0.35">
      <c r="A2222" s="5">
        <v>2218</v>
      </c>
      <c r="B2222" s="5">
        <v>93</v>
      </c>
      <c r="C2222" s="5">
        <v>4</v>
      </c>
      <c r="D2222" s="25">
        <v>1.1415000000000001E-4</v>
      </c>
      <c r="E2222" s="25">
        <v>1.0843E-4</v>
      </c>
      <c r="F2222" s="25">
        <v>1.0901E-4</v>
      </c>
      <c r="G2222" s="25">
        <v>1.5897E-4</v>
      </c>
      <c r="H2222" s="25">
        <v>1.8891000000000001E-4</v>
      </c>
      <c r="I2222" s="9">
        <v>1.1776E-4</v>
      </c>
      <c r="J2222" s="9">
        <v>1.0785000000000001E-4</v>
      </c>
      <c r="K2222" s="9">
        <v>0</v>
      </c>
      <c r="L2222" s="9">
        <v>2.0304000000000001E-4</v>
      </c>
      <c r="M2222" s="9">
        <v>1.5834000000000001E-4</v>
      </c>
      <c r="N2222" s="9">
        <v>1.2458E-4</v>
      </c>
      <c r="O2222" s="9">
        <v>1.671E-4</v>
      </c>
      <c r="P2222" s="9">
        <v>1.7479999999999999E-4</v>
      </c>
      <c r="Q2222" s="9">
        <v>1.8284E-4</v>
      </c>
      <c r="R2222" s="10">
        <v>1.4001681764179415E-5</v>
      </c>
      <c r="S2222" s="10">
        <v>8.1829443418868899E-6</v>
      </c>
      <c r="T2222" s="10">
        <v>2.8091515148321873E-4</v>
      </c>
      <c r="U2222" s="10">
        <v>1.4519000000000001E-4</v>
      </c>
      <c r="V2222" s="25"/>
      <c r="W2222" s="25"/>
      <c r="X2222" s="25"/>
      <c r="Y2222" s="25"/>
      <c r="Z2222" s="25"/>
      <c r="AA2222" s="25"/>
    </row>
    <row r="2223" spans="1:27" x14ac:dyDescent="0.35">
      <c r="A2223" s="5">
        <v>2219</v>
      </c>
      <c r="B2223" s="5">
        <v>93</v>
      </c>
      <c r="C2223" s="5">
        <v>4</v>
      </c>
      <c r="D2223" s="25">
        <v>1.1416E-4</v>
      </c>
      <c r="E2223" s="25">
        <v>1.1215E-4</v>
      </c>
      <c r="F2223" s="25">
        <v>1.0888E-4</v>
      </c>
      <c r="G2223" s="25">
        <v>1.629E-4</v>
      </c>
      <c r="H2223" s="25">
        <v>2.0040999999999999E-4</v>
      </c>
      <c r="I2223" s="9">
        <v>1.1862E-4</v>
      </c>
      <c r="J2223" s="9">
        <v>1.0665E-4</v>
      </c>
      <c r="K2223" s="9">
        <v>0</v>
      </c>
      <c r="L2223" s="9">
        <v>1.7511E-4</v>
      </c>
      <c r="M2223" s="9">
        <v>1.7228E-4</v>
      </c>
      <c r="N2223" s="9">
        <v>1.4278000000000001E-4</v>
      </c>
      <c r="O2223" s="9">
        <v>1.6547999999999999E-4</v>
      </c>
      <c r="P2223" s="9">
        <v>1.7176E-4</v>
      </c>
      <c r="Q2223" s="9">
        <v>1.784E-4</v>
      </c>
      <c r="R2223" s="10">
        <v>8.9027653165225817E-6</v>
      </c>
      <c r="S2223" s="10">
        <v>9.7735231401198003E-6</v>
      </c>
      <c r="T2223" s="10">
        <v>4.7783573940002658E-4</v>
      </c>
      <c r="U2223" s="10">
        <v>1.4519000000000001E-4</v>
      </c>
      <c r="V2223" s="25"/>
      <c r="W2223" s="25"/>
      <c r="X2223" s="25"/>
      <c r="Y2223" s="25"/>
      <c r="Z2223" s="25"/>
      <c r="AA2223" s="25"/>
    </row>
    <row r="2224" spans="1:27" x14ac:dyDescent="0.35">
      <c r="A2224" s="5">
        <v>2220</v>
      </c>
      <c r="B2224" s="5">
        <v>93</v>
      </c>
      <c r="C2224" s="5">
        <v>4</v>
      </c>
      <c r="D2224" s="25">
        <v>1.1415000000000001E-4</v>
      </c>
      <c r="E2224" s="25">
        <v>1.1196000000000001E-4</v>
      </c>
      <c r="F2224" s="25">
        <v>1.1781999999999999E-4</v>
      </c>
      <c r="G2224" s="25">
        <v>1.6420000000000001E-4</v>
      </c>
      <c r="H2224" s="25">
        <v>1.8865E-4</v>
      </c>
      <c r="I2224" s="9">
        <v>1.1616999999999999E-4</v>
      </c>
      <c r="J2224" s="9">
        <v>1.0742E-4</v>
      </c>
      <c r="K2224" s="9">
        <v>0</v>
      </c>
      <c r="L2224" s="9">
        <v>1.6897E-4</v>
      </c>
      <c r="M2224" s="9">
        <v>1.7450000000000001E-4</v>
      </c>
      <c r="N2224" s="9">
        <v>1.5658999999999999E-4</v>
      </c>
      <c r="O2224" s="9">
        <v>1.6992999999999999E-4</v>
      </c>
      <c r="P2224" s="9">
        <v>1.7217999999999999E-4</v>
      </c>
      <c r="Q2224" s="9">
        <v>1.7485999999999999E-4</v>
      </c>
      <c r="R2224" s="10">
        <v>5.9676000142395948E-6</v>
      </c>
      <c r="S2224" s="10">
        <v>1.260245692173281E-5</v>
      </c>
      <c r="T2224" s="10">
        <v>3.5567879735667462E-4</v>
      </c>
      <c r="U2224" s="10">
        <v>1.4519000000000001E-4</v>
      </c>
      <c r="V2224" s="25"/>
      <c r="W2224" s="25"/>
      <c r="X2224" s="25"/>
      <c r="Y2224" s="25"/>
      <c r="Z2224" s="25"/>
      <c r="AA2224" s="25"/>
    </row>
    <row r="2225" spans="1:27" x14ac:dyDescent="0.35">
      <c r="A2225" s="5">
        <v>2221</v>
      </c>
      <c r="B2225" s="5">
        <v>93</v>
      </c>
      <c r="C2225" s="5">
        <v>4</v>
      </c>
      <c r="D2225" s="25">
        <v>1.1416E-4</v>
      </c>
      <c r="E2225" s="25">
        <v>1.1781999999999999E-4</v>
      </c>
      <c r="F2225" s="25">
        <v>1.0279E-4</v>
      </c>
      <c r="G2225" s="25">
        <v>1.6265E-4</v>
      </c>
      <c r="H2225" s="25">
        <v>1.9039E-4</v>
      </c>
      <c r="I2225" s="9">
        <v>1.1357E-4</v>
      </c>
      <c r="J2225" s="9">
        <v>1.0184E-4</v>
      </c>
      <c r="K2225" s="9">
        <v>0</v>
      </c>
      <c r="L2225" s="9">
        <v>1.6991E-4</v>
      </c>
      <c r="M2225" s="9">
        <v>1.7374E-4</v>
      </c>
      <c r="N2225" s="9">
        <v>1.6616999999999999E-4</v>
      </c>
      <c r="O2225" s="9">
        <v>1.6191E-4</v>
      </c>
      <c r="P2225" s="9">
        <v>1.6493000000000001E-4</v>
      </c>
      <c r="Q2225" s="9">
        <v>1.6835E-4</v>
      </c>
      <c r="R2225" s="10">
        <v>6.249467329724638E-6</v>
      </c>
      <c r="S2225" s="10">
        <v>1.2727786134866961E-5</v>
      </c>
      <c r="T2225" s="10">
        <v>3.6469760756587612E-4</v>
      </c>
      <c r="U2225" s="10">
        <v>1.4519000000000001E-4</v>
      </c>
      <c r="V2225" s="25"/>
      <c r="W2225" s="25"/>
      <c r="X2225" s="25"/>
      <c r="Y2225" s="25"/>
      <c r="Z2225" s="25"/>
      <c r="AA2225" s="25"/>
    </row>
    <row r="2226" spans="1:27" x14ac:dyDescent="0.35">
      <c r="A2226" s="5">
        <v>2222</v>
      </c>
      <c r="B2226" s="5">
        <v>93</v>
      </c>
      <c r="C2226" s="5">
        <v>4</v>
      </c>
      <c r="D2226" s="25">
        <v>1.1415000000000001E-4</v>
      </c>
      <c r="E2226" s="25">
        <v>1.1103E-4</v>
      </c>
      <c r="F2226" s="25">
        <v>1.1370999999999999E-4</v>
      </c>
      <c r="G2226" s="25">
        <v>1.5635000000000001E-4</v>
      </c>
      <c r="H2226" s="25">
        <v>1.9317E-4</v>
      </c>
      <c r="I2226" s="9">
        <v>1.1122E-4</v>
      </c>
      <c r="J2226" s="9">
        <v>1.0340000000000001E-4</v>
      </c>
      <c r="K2226" s="9">
        <v>0</v>
      </c>
      <c r="L2226" s="9">
        <v>1.6339999999999999E-4</v>
      </c>
      <c r="M2226" s="9">
        <v>1.7034999999999999E-4</v>
      </c>
      <c r="N2226" s="9">
        <v>1.7069000000000001E-4</v>
      </c>
      <c r="O2226" s="9">
        <v>1.7626E-4</v>
      </c>
      <c r="P2226" s="9">
        <v>1.6767E-4</v>
      </c>
      <c r="Q2226" s="9">
        <v>1.5970000000000001E-4</v>
      </c>
      <c r="R2226" s="10">
        <v>6.2007235978435734E-6</v>
      </c>
      <c r="S2226" s="10">
        <v>1.2621029220176854E-5</v>
      </c>
      <c r="T2226" s="10">
        <v>3.7618534888596907E-4</v>
      </c>
      <c r="U2226" s="10">
        <v>1.4519000000000001E-4</v>
      </c>
      <c r="V2226" s="25"/>
      <c r="W2226" s="25"/>
      <c r="X2226" s="25"/>
      <c r="Y2226" s="25"/>
      <c r="Z2226" s="25"/>
      <c r="AA2226" s="25"/>
    </row>
    <row r="2227" spans="1:27" x14ac:dyDescent="0.35">
      <c r="A2227" s="5">
        <v>2223</v>
      </c>
      <c r="B2227" s="5">
        <v>93</v>
      </c>
      <c r="C2227" s="5">
        <v>4</v>
      </c>
      <c r="D2227" s="25">
        <v>1.1416E-4</v>
      </c>
      <c r="E2227" s="25">
        <v>1.1676E-4</v>
      </c>
      <c r="F2227" s="25">
        <v>1.1514E-4</v>
      </c>
      <c r="G2227" s="25">
        <v>1.6042000000000001E-4</v>
      </c>
      <c r="H2227" s="25">
        <v>1.9796000000000001E-4</v>
      </c>
      <c r="I2227" s="9">
        <v>1.0878999999999999E-4</v>
      </c>
      <c r="J2227" s="9">
        <v>1.0281999999999999E-4</v>
      </c>
      <c r="K2227" s="9">
        <v>0</v>
      </c>
      <c r="L2227" s="9">
        <v>1.7358E-4</v>
      </c>
      <c r="M2227" s="9">
        <v>1.6841E-4</v>
      </c>
      <c r="N2227" s="9">
        <v>1.6998999999999999E-4</v>
      </c>
      <c r="O2227" s="9">
        <v>1.8191E-4</v>
      </c>
      <c r="P2227" s="9">
        <v>1.6653999999999999E-4</v>
      </c>
      <c r="Q2227" s="9">
        <v>1.5190000000000001E-4</v>
      </c>
      <c r="R2227" s="10">
        <v>7.1385023550797792E-6</v>
      </c>
      <c r="S2227" s="10">
        <v>1.1983862895343004E-5</v>
      </c>
      <c r="T2227" s="10">
        <v>3.031525000799423E-4</v>
      </c>
      <c r="U2227" s="10">
        <v>1.4519000000000001E-4</v>
      </c>
      <c r="V2227" s="25"/>
      <c r="W2227" s="25"/>
      <c r="X2227" s="25"/>
      <c r="Y2227" s="25"/>
      <c r="Z2227" s="25"/>
      <c r="AA2227" s="25"/>
    </row>
    <row r="2228" spans="1:27" x14ac:dyDescent="0.35">
      <c r="A2228" s="5">
        <v>2224</v>
      </c>
      <c r="B2228" s="5">
        <v>93</v>
      </c>
      <c r="C2228" s="5">
        <v>4</v>
      </c>
      <c r="D2228" s="25">
        <v>1.1415000000000001E-4</v>
      </c>
      <c r="E2228" s="25">
        <v>1.0949E-4</v>
      </c>
      <c r="F2228" s="25">
        <v>1.0346E-4</v>
      </c>
      <c r="G2228" s="25">
        <v>1.5703000000000001E-4</v>
      </c>
      <c r="H2228" s="25">
        <v>2.0128E-4</v>
      </c>
      <c r="I2228" s="9">
        <v>1.0917999999999999E-4</v>
      </c>
      <c r="J2228" s="9">
        <v>1.0650999999999999E-4</v>
      </c>
      <c r="K2228" s="9">
        <v>0</v>
      </c>
      <c r="L2228" s="9">
        <v>1.7982999999999999E-4</v>
      </c>
      <c r="M2228" s="9">
        <v>1.673E-4</v>
      </c>
      <c r="N2228" s="9">
        <v>1.6594E-4</v>
      </c>
      <c r="O2228" s="9">
        <v>1.9756999999999999E-4</v>
      </c>
      <c r="P2228" s="9">
        <v>1.5338E-4</v>
      </c>
      <c r="Q2228" s="9">
        <v>1.1043E-4</v>
      </c>
      <c r="R2228" s="10">
        <v>6.1494998703526002E-6</v>
      </c>
      <c r="S2228" s="10">
        <v>9.3821608472154002E-6</v>
      </c>
      <c r="T2228" s="10">
        <v>1.9412925343061094E-4</v>
      </c>
      <c r="U2228" s="10">
        <v>1.4519000000000001E-4</v>
      </c>
      <c r="V2228" s="25"/>
      <c r="W2228" s="25"/>
      <c r="X2228" s="25"/>
      <c r="Y2228" s="25"/>
      <c r="Z2228" s="25"/>
      <c r="AA2228" s="25"/>
    </row>
    <row r="2229" spans="1:27" x14ac:dyDescent="0.35">
      <c r="A2229" s="5">
        <v>2225</v>
      </c>
      <c r="B2229" s="5">
        <v>93</v>
      </c>
      <c r="C2229" s="5">
        <v>4</v>
      </c>
      <c r="D2229" s="25">
        <v>1.1416E-4</v>
      </c>
      <c r="E2229" s="25">
        <v>1.0978E-4</v>
      </c>
      <c r="F2229" s="25">
        <v>1.1069E-4</v>
      </c>
      <c r="G2229" s="25">
        <v>1.5917000000000001E-4</v>
      </c>
      <c r="H2229" s="25">
        <v>1.9426999999999999E-4</v>
      </c>
      <c r="I2229" s="9">
        <v>1.1027999999999999E-4</v>
      </c>
      <c r="J2229" s="9">
        <v>1.0852E-4</v>
      </c>
      <c r="K2229" s="9">
        <v>0</v>
      </c>
      <c r="L2229" s="9">
        <v>1.9345000000000001E-4</v>
      </c>
      <c r="M2229" s="9">
        <v>1.6211E-4</v>
      </c>
      <c r="N2229" s="9">
        <v>1.5241000000000001E-4</v>
      </c>
      <c r="O2229" s="9">
        <v>2.1484E-4</v>
      </c>
      <c r="P2229" s="9">
        <v>1.6076999999999999E-4</v>
      </c>
      <c r="Q2229" s="9">
        <v>1.0814E-4</v>
      </c>
      <c r="R2229" s="10">
        <v>6.1020632716835453E-6</v>
      </c>
      <c r="S2229" s="10">
        <v>7.4859507613219576E-6</v>
      </c>
      <c r="T2229" s="10">
        <v>1.1405443616396585E-4</v>
      </c>
      <c r="U2229" s="10">
        <v>1.4519000000000001E-4</v>
      </c>
      <c r="V2229" s="25"/>
      <c r="W2229" s="25"/>
      <c r="X2229" s="25"/>
      <c r="Y2229" s="25"/>
      <c r="Z2229" s="25"/>
      <c r="AA2229" s="25"/>
    </row>
    <row r="2230" spans="1:27" x14ac:dyDescent="0.35">
      <c r="A2230" s="5">
        <v>2226</v>
      </c>
      <c r="B2230" s="5">
        <v>93</v>
      </c>
      <c r="C2230" s="5">
        <v>4</v>
      </c>
      <c r="D2230" s="25">
        <v>1.1415000000000001E-4</v>
      </c>
      <c r="E2230" s="25">
        <v>1.092E-4</v>
      </c>
      <c r="F2230" s="25">
        <v>1.1557000000000001E-4</v>
      </c>
      <c r="G2230" s="25">
        <v>1.6075E-4</v>
      </c>
      <c r="H2230" s="25">
        <v>2.0049999999999999E-4</v>
      </c>
      <c r="I2230" s="9">
        <v>1.1249E-4</v>
      </c>
      <c r="J2230" s="9">
        <v>1.0513E-4</v>
      </c>
      <c r="K2230" s="9">
        <v>0</v>
      </c>
      <c r="L2230" s="9">
        <v>2.0982999999999999E-4</v>
      </c>
      <c r="M2230" s="9">
        <v>1.6022000000000001E-4</v>
      </c>
      <c r="N2230" s="9">
        <v>1.3927000000000001E-4</v>
      </c>
      <c r="O2230" s="9">
        <v>2.0515999999999999E-4</v>
      </c>
      <c r="P2230" s="9">
        <v>1.6102E-4</v>
      </c>
      <c r="Q2230" s="9">
        <v>1.1814E-4</v>
      </c>
      <c r="R2230" s="10">
        <v>6.6535583606855663E-6</v>
      </c>
      <c r="S2230" s="10">
        <v>5.4196668871935722E-6</v>
      </c>
      <c r="T2230" s="10">
        <v>5.4435264630514384E-5</v>
      </c>
      <c r="U2230" s="10">
        <v>1.4519000000000001E-4</v>
      </c>
      <c r="V2230" s="25"/>
      <c r="W2230" s="25"/>
      <c r="X2230" s="25"/>
      <c r="Y2230" s="25"/>
      <c r="Z2230" s="25"/>
      <c r="AA2230" s="25"/>
    </row>
    <row r="2231" spans="1:27" x14ac:dyDescent="0.35">
      <c r="A2231" s="5">
        <v>2227</v>
      </c>
      <c r="B2231" s="5">
        <v>93</v>
      </c>
      <c r="C2231" s="5">
        <v>4</v>
      </c>
      <c r="D2231" s="25">
        <v>1.1416E-4</v>
      </c>
      <c r="E2231" s="25">
        <v>1.1398E-4</v>
      </c>
      <c r="F2231" s="25">
        <v>1.1578000000000001E-4</v>
      </c>
      <c r="G2231" s="25">
        <v>1.1259E-4</v>
      </c>
      <c r="H2231" s="25">
        <v>1.2810999999999999E-4</v>
      </c>
      <c r="I2231" s="9">
        <v>1.1205999999999999E-4</v>
      </c>
      <c r="J2231" s="9">
        <v>1.0461E-4</v>
      </c>
      <c r="K2231" s="9">
        <v>0</v>
      </c>
      <c r="L2231" s="9">
        <v>2.0577E-4</v>
      </c>
      <c r="M2231" s="9">
        <v>1.6017000000000001E-4</v>
      </c>
      <c r="N2231" s="9">
        <v>1.3028000000000001E-4</v>
      </c>
      <c r="O2231" s="9">
        <v>1.6357000000000001E-4</v>
      </c>
      <c r="P2231" s="9">
        <v>1.3485E-4</v>
      </c>
      <c r="Q2231" s="9">
        <v>1.0703E-4</v>
      </c>
      <c r="R2231" s="10">
        <v>9.4934352944336961E-6</v>
      </c>
      <c r="S2231" s="10">
        <v>5.5756684570410541E-6</v>
      </c>
      <c r="T2231" s="10">
        <v>0</v>
      </c>
      <c r="U2231" s="10">
        <v>1.4519000000000001E-4</v>
      </c>
      <c r="V2231" s="25"/>
      <c r="W2231" s="25"/>
      <c r="X2231" s="25"/>
      <c r="Y2231" s="25"/>
      <c r="Z2231" s="25"/>
      <c r="AA2231" s="25"/>
    </row>
    <row r="2232" spans="1:27" x14ac:dyDescent="0.35">
      <c r="A2232" s="5">
        <v>2228</v>
      </c>
      <c r="B2232" s="5">
        <v>93</v>
      </c>
      <c r="C2232" s="5">
        <v>4</v>
      </c>
      <c r="D2232" s="25">
        <v>1.1415000000000001E-4</v>
      </c>
      <c r="E2232" s="25">
        <v>1.176E-4</v>
      </c>
      <c r="F2232" s="25">
        <v>1.1723E-4</v>
      </c>
      <c r="G2232" s="25">
        <v>1.1018000000000001E-4</v>
      </c>
      <c r="H2232" s="25">
        <v>1.3867E-4</v>
      </c>
      <c r="I2232" s="9">
        <v>1.1334E-4</v>
      </c>
      <c r="J2232" s="9">
        <v>1.0698E-4</v>
      </c>
      <c r="K2232" s="9">
        <v>1.696E-5</v>
      </c>
      <c r="L2232" s="9">
        <v>1.7305000000000001E-4</v>
      </c>
      <c r="M2232" s="9">
        <v>1.5117E-4</v>
      </c>
      <c r="N2232" s="9">
        <v>1.2118E-4</v>
      </c>
      <c r="O2232" s="9">
        <v>1.2709E-4</v>
      </c>
      <c r="P2232" s="9">
        <v>1.1369E-4</v>
      </c>
      <c r="Q2232" s="9">
        <v>1.0086000000000001E-4</v>
      </c>
      <c r="R2232" s="10">
        <v>1.8251491256582954E-5</v>
      </c>
      <c r="S2232" s="10">
        <v>8.0057675717447951E-6</v>
      </c>
      <c r="T2232" s="10">
        <v>0</v>
      </c>
      <c r="U2232" s="10">
        <v>1.4519000000000001E-4</v>
      </c>
      <c r="V2232" s="25"/>
      <c r="W2232" s="25"/>
      <c r="X2232" s="25"/>
      <c r="Y2232" s="25"/>
      <c r="Z2232" s="25"/>
      <c r="AA2232" s="25"/>
    </row>
    <row r="2233" spans="1:27" x14ac:dyDescent="0.35">
      <c r="A2233" s="5">
        <v>2229</v>
      </c>
      <c r="B2233" s="5">
        <v>93</v>
      </c>
      <c r="C2233" s="5">
        <v>4</v>
      </c>
      <c r="D2233" s="25">
        <v>1.1416E-4</v>
      </c>
      <c r="E2233" s="25">
        <v>1.1767E-4</v>
      </c>
      <c r="F2233" s="25">
        <v>1.1290000000000001E-4</v>
      </c>
      <c r="G2233" s="25">
        <v>5.698E-5</v>
      </c>
      <c r="H2233" s="25">
        <v>6.8709999999999998E-5</v>
      </c>
      <c r="I2233" s="9">
        <v>1.1082E-4</v>
      </c>
      <c r="J2233" s="9">
        <v>1.0381E-4</v>
      </c>
      <c r="K2233" s="9">
        <v>7.4179999999999998E-5</v>
      </c>
      <c r="L2233" s="9">
        <v>1.3821999999999999E-4</v>
      </c>
      <c r="M2233" s="9">
        <v>1.3515000000000001E-4</v>
      </c>
      <c r="N2233" s="9">
        <v>1.1325E-4</v>
      </c>
      <c r="O2233" s="9">
        <v>8.4699999999999999E-5</v>
      </c>
      <c r="P2233" s="9">
        <v>8.6500000000000002E-5</v>
      </c>
      <c r="Q2233" s="9">
        <v>8.8499999999999996E-5</v>
      </c>
      <c r="R2233" s="10">
        <v>3.3913689766756684E-5</v>
      </c>
      <c r="S2233" s="10">
        <v>1.3492090250788273E-5</v>
      </c>
      <c r="T2233" s="10">
        <v>0</v>
      </c>
      <c r="U2233" s="10">
        <v>1.4519000000000001E-4</v>
      </c>
      <c r="V2233" s="25"/>
      <c r="W2233" s="25"/>
      <c r="X2233" s="25"/>
      <c r="Y2233" s="25"/>
      <c r="Z2233" s="25"/>
      <c r="AA2233" s="25"/>
    </row>
    <row r="2234" spans="1:27" x14ac:dyDescent="0.35">
      <c r="A2234" s="5">
        <v>2230</v>
      </c>
      <c r="B2234" s="5">
        <v>93</v>
      </c>
      <c r="C2234" s="5">
        <v>4</v>
      </c>
      <c r="D2234" s="25">
        <v>1.1415000000000001E-4</v>
      </c>
      <c r="E2234" s="25">
        <v>1.183E-4</v>
      </c>
      <c r="F2234" s="25">
        <v>1.0428E-4</v>
      </c>
      <c r="G2234" s="25">
        <v>5.5300000000000002E-5</v>
      </c>
      <c r="H2234" s="25">
        <v>7.4010000000000005E-5</v>
      </c>
      <c r="I2234" s="9">
        <v>1.1035E-4</v>
      </c>
      <c r="J2234" s="9">
        <v>9.7969999999999999E-5</v>
      </c>
      <c r="K2234" s="9">
        <v>1.102E-4</v>
      </c>
      <c r="L2234" s="9">
        <v>9.7410000000000004E-5</v>
      </c>
      <c r="M2234" s="9">
        <v>1.1352E-4</v>
      </c>
      <c r="N2234" s="9">
        <v>1.0564E-4</v>
      </c>
      <c r="O2234" s="9">
        <v>8.7159999999999999E-5</v>
      </c>
      <c r="P2234" s="9">
        <v>8.7570000000000004E-5</v>
      </c>
      <c r="Q2234" s="9">
        <v>8.8220000000000006E-5</v>
      </c>
      <c r="R2234" s="10">
        <v>4.6789409144581037E-5</v>
      </c>
      <c r="S2234" s="10">
        <v>1.7968695649987164E-5</v>
      </c>
      <c r="T2234" s="10">
        <v>0</v>
      </c>
      <c r="U2234" s="10">
        <v>1.4519000000000001E-4</v>
      </c>
      <c r="V2234" s="25"/>
      <c r="W2234" s="25"/>
      <c r="X2234" s="25"/>
      <c r="Y2234" s="25"/>
      <c r="Z2234" s="25"/>
      <c r="AA2234" s="25"/>
    </row>
    <row r="2235" spans="1:27" x14ac:dyDescent="0.35">
      <c r="A2235" s="5">
        <v>2231</v>
      </c>
      <c r="B2235" s="5">
        <v>93</v>
      </c>
      <c r="C2235" s="5">
        <v>4</v>
      </c>
      <c r="D2235" s="25">
        <v>1.1416E-4</v>
      </c>
      <c r="E2235" s="25">
        <v>1.1487E-4</v>
      </c>
      <c r="F2235" s="25">
        <v>1.199E-4</v>
      </c>
      <c r="G2235" s="25">
        <v>5.6119999999999998E-5</v>
      </c>
      <c r="H2235" s="25">
        <v>7.3670000000000004E-5</v>
      </c>
      <c r="I2235" s="9">
        <v>1.0993E-4</v>
      </c>
      <c r="J2235" s="9">
        <v>9.2150000000000004E-5</v>
      </c>
      <c r="K2235" s="9">
        <v>1.3350999999999999E-4</v>
      </c>
      <c r="L2235" s="9">
        <v>9.0309999999999994E-5</v>
      </c>
      <c r="M2235" s="9">
        <v>9.8900000000000005E-5</v>
      </c>
      <c r="N2235" s="9">
        <v>9.9779999999999997E-5</v>
      </c>
      <c r="O2235" s="9">
        <v>7.7319999999999998E-5</v>
      </c>
      <c r="P2235" s="9">
        <v>7.1799999999999997E-5</v>
      </c>
      <c r="Q2235" s="9">
        <v>6.6569999999999995E-5</v>
      </c>
      <c r="R2235" s="10">
        <v>5.3918235458810694E-5</v>
      </c>
      <c r="S2235" s="10">
        <v>2.1573934914732462E-5</v>
      </c>
      <c r="T2235" s="10">
        <v>0</v>
      </c>
      <c r="U2235" s="10">
        <v>1.4519000000000001E-4</v>
      </c>
      <c r="V2235" s="25"/>
      <c r="W2235" s="25"/>
      <c r="X2235" s="25"/>
      <c r="Y2235" s="25"/>
      <c r="Z2235" s="25"/>
      <c r="AA2235" s="25"/>
    </row>
    <row r="2236" spans="1:27" x14ac:dyDescent="0.35">
      <c r="A2236" s="5">
        <v>2232</v>
      </c>
      <c r="B2236" s="5">
        <v>93</v>
      </c>
      <c r="C2236" s="5">
        <v>4</v>
      </c>
      <c r="D2236" s="25">
        <v>1.1415000000000001E-4</v>
      </c>
      <c r="E2236" s="25">
        <v>1.1226999999999999E-4</v>
      </c>
      <c r="F2236" s="25">
        <v>1.0086000000000001E-4</v>
      </c>
      <c r="G2236" s="25">
        <v>5.4190000000000001E-5</v>
      </c>
      <c r="H2236" s="25">
        <v>6.5320000000000005E-5</v>
      </c>
      <c r="I2236" s="9">
        <v>1.0268E-4</v>
      </c>
      <c r="J2236" s="9">
        <v>9.056E-5</v>
      </c>
      <c r="K2236" s="9">
        <v>1.3352000000000001E-4</v>
      </c>
      <c r="L2236" s="9">
        <v>8.0160000000000005E-5</v>
      </c>
      <c r="M2236" s="9">
        <v>8.5929999999999999E-5</v>
      </c>
      <c r="N2236" s="9">
        <v>9.0409999999999997E-5</v>
      </c>
      <c r="O2236" s="9">
        <v>6.2550000000000003E-5</v>
      </c>
      <c r="P2236" s="9">
        <v>6.0529999999999998E-5</v>
      </c>
      <c r="Q2236" s="9">
        <v>5.872E-5</v>
      </c>
      <c r="R2236" s="10">
        <v>4.4529959463381514E-5</v>
      </c>
      <c r="S2236" s="10">
        <v>1.9029520158415161E-5</v>
      </c>
      <c r="T2236" s="10">
        <v>0</v>
      </c>
      <c r="U2236" s="10">
        <v>1.4519000000000001E-4</v>
      </c>
      <c r="V2236" s="25"/>
      <c r="W2236" s="25"/>
      <c r="X2236" s="25"/>
      <c r="Y2236" s="25"/>
      <c r="Z2236" s="25"/>
      <c r="AA2236" s="25"/>
    </row>
    <row r="2237" spans="1:27" x14ac:dyDescent="0.35">
      <c r="A2237" s="5">
        <v>2233</v>
      </c>
      <c r="B2237" s="5">
        <v>94</v>
      </c>
      <c r="C2237" s="5">
        <v>4</v>
      </c>
      <c r="D2237" s="25">
        <v>1.1416E-4</v>
      </c>
      <c r="E2237" s="25">
        <v>1.1263E-4</v>
      </c>
      <c r="F2237" s="25">
        <v>1.1989000000000001E-4</v>
      </c>
      <c r="G2237" s="25">
        <v>5.9330000000000003E-5</v>
      </c>
      <c r="H2237" s="25">
        <v>6.7160000000000001E-5</v>
      </c>
      <c r="I2237" s="9">
        <v>9.624E-5</v>
      </c>
      <c r="J2237" s="9">
        <v>9.0710000000000004E-5</v>
      </c>
      <c r="K2237" s="9">
        <v>1.5046999999999999E-4</v>
      </c>
      <c r="L2237" s="9">
        <v>6.6439999999999994E-5</v>
      </c>
      <c r="M2237" s="9">
        <v>7.3800000000000005E-5</v>
      </c>
      <c r="N2237" s="9">
        <v>8.0970000000000006E-5</v>
      </c>
      <c r="O2237" s="9">
        <v>5.4620000000000002E-5</v>
      </c>
      <c r="P2237" s="9">
        <v>5.4039999999999998E-5</v>
      </c>
      <c r="Q2237" s="9">
        <v>5.3609999999999997E-5</v>
      </c>
      <c r="R2237" s="10">
        <v>4.8342182435133934E-5</v>
      </c>
      <c r="S2237" s="10">
        <v>1.4613439898633027E-5</v>
      </c>
      <c r="T2237" s="10">
        <v>0</v>
      </c>
      <c r="U2237" s="10">
        <v>1.4223999999999999E-4</v>
      </c>
      <c r="V2237" s="25"/>
      <c r="W2237" s="25"/>
      <c r="X2237" s="25"/>
      <c r="Y2237" s="25"/>
      <c r="Z2237" s="25"/>
      <c r="AA2237" s="25"/>
    </row>
    <row r="2238" spans="1:27" x14ac:dyDescent="0.35">
      <c r="A2238" s="5">
        <v>2234</v>
      </c>
      <c r="B2238" s="5">
        <v>94</v>
      </c>
      <c r="C2238" s="5">
        <v>4</v>
      </c>
      <c r="D2238" s="25">
        <v>1.1415000000000001E-4</v>
      </c>
      <c r="E2238" s="25">
        <v>1.0873E-4</v>
      </c>
      <c r="F2238" s="25">
        <v>1.1382E-4</v>
      </c>
      <c r="G2238" s="25">
        <v>5.3270000000000003E-5</v>
      </c>
      <c r="H2238" s="25">
        <v>7.2600000000000003E-5</v>
      </c>
      <c r="I2238" s="9">
        <v>9.2E-5</v>
      </c>
      <c r="J2238" s="9">
        <v>8.9829999999999999E-5</v>
      </c>
      <c r="K2238" s="9">
        <v>1.4622999999999999E-4</v>
      </c>
      <c r="L2238" s="9">
        <v>5.7599999999999997E-5</v>
      </c>
      <c r="M2238" s="9">
        <v>6.3810000000000001E-5</v>
      </c>
      <c r="N2238" s="9">
        <v>7.1950000000000001E-5</v>
      </c>
      <c r="O2238" s="9">
        <v>1.9020000000000001E-5</v>
      </c>
      <c r="P2238" s="9">
        <v>3.7639999999999999E-5</v>
      </c>
      <c r="Q2238" s="9">
        <v>5.6020000000000002E-5</v>
      </c>
      <c r="R2238" s="10">
        <v>4.6561028786032033E-5</v>
      </c>
      <c r="S2238" s="10">
        <v>1.239269124675678E-5</v>
      </c>
      <c r="T2238" s="10">
        <v>0</v>
      </c>
      <c r="U2238" s="10">
        <v>1.4223999999999999E-4</v>
      </c>
      <c r="V2238" s="25"/>
      <c r="W2238" s="25"/>
      <c r="X2238" s="25"/>
      <c r="Y2238" s="25"/>
      <c r="Z2238" s="25"/>
      <c r="AA2238" s="25"/>
    </row>
    <row r="2239" spans="1:27" x14ac:dyDescent="0.35">
      <c r="A2239" s="5">
        <v>2235</v>
      </c>
      <c r="B2239" s="5">
        <v>94</v>
      </c>
      <c r="C2239" s="5">
        <v>4</v>
      </c>
      <c r="D2239" s="25">
        <v>1.1416E-4</v>
      </c>
      <c r="E2239" s="25">
        <v>1.0403000000000001E-4</v>
      </c>
      <c r="F2239" s="25">
        <v>1.2268000000000001E-4</v>
      </c>
      <c r="G2239" s="25">
        <v>6.2269999999999998E-5</v>
      </c>
      <c r="H2239" s="25">
        <v>6.9040000000000003E-5</v>
      </c>
      <c r="I2239" s="9">
        <v>9.0849999999999999E-5</v>
      </c>
      <c r="J2239" s="9">
        <v>8.8360000000000001E-5</v>
      </c>
      <c r="K2239" s="9">
        <v>1.6318999999999999E-4</v>
      </c>
      <c r="L2239" s="9">
        <v>2.7710000000000001E-5</v>
      </c>
      <c r="M2239" s="9">
        <v>5.2120000000000002E-5</v>
      </c>
      <c r="N2239" s="9">
        <v>6.5380000000000001E-5</v>
      </c>
      <c r="O2239" s="9">
        <v>1.364E-5</v>
      </c>
      <c r="P2239" s="9">
        <v>3.7790000000000002E-5</v>
      </c>
      <c r="Q2239" s="9">
        <v>6.1600000000000007E-5</v>
      </c>
      <c r="R2239" s="10">
        <v>4.5055493530012805E-5</v>
      </c>
      <c r="S2239" s="10">
        <v>1.3947320515694603E-5</v>
      </c>
      <c r="T2239" s="10">
        <v>0</v>
      </c>
      <c r="U2239" s="10">
        <v>1.4223999999999999E-4</v>
      </c>
      <c r="V2239" s="25"/>
      <c r="W2239" s="25"/>
      <c r="X2239" s="25"/>
      <c r="Y2239" s="25"/>
      <c r="Z2239" s="25"/>
      <c r="AA2239" s="25"/>
    </row>
    <row r="2240" spans="1:27" x14ac:dyDescent="0.35">
      <c r="A2240" s="5">
        <v>2236</v>
      </c>
      <c r="B2240" s="5">
        <v>94</v>
      </c>
      <c r="C2240" s="5">
        <v>4</v>
      </c>
      <c r="D2240" s="25">
        <v>1.1415000000000001E-4</v>
      </c>
      <c r="E2240" s="25">
        <v>1.0832000000000001E-4</v>
      </c>
      <c r="F2240" s="25">
        <v>1.2525000000000001E-4</v>
      </c>
      <c r="G2240" s="25">
        <v>6.1820000000000001E-5</v>
      </c>
      <c r="H2240" s="25">
        <v>6.7840000000000001E-5</v>
      </c>
      <c r="I2240" s="9">
        <v>8.9480000000000004E-5</v>
      </c>
      <c r="J2240" s="9">
        <v>8.8300000000000005E-5</v>
      </c>
      <c r="K2240" s="9">
        <v>1.6742999999999999E-4</v>
      </c>
      <c r="L2240" s="9">
        <v>1.7479999999999999E-5</v>
      </c>
      <c r="M2240" s="9">
        <v>4.4169999999999999E-5</v>
      </c>
      <c r="N2240" s="9">
        <v>6.1840000000000004E-5</v>
      </c>
      <c r="O2240" s="9">
        <v>1.3699999999999999E-5</v>
      </c>
      <c r="P2240" s="9">
        <v>4.7450000000000001E-5</v>
      </c>
      <c r="Q2240" s="9">
        <v>8.0699999999999996E-5</v>
      </c>
      <c r="R2240" s="10">
        <v>4.9597041937662117E-5</v>
      </c>
      <c r="S2240" s="10">
        <v>1.4841837675805429E-5</v>
      </c>
      <c r="T2240" s="10">
        <v>0</v>
      </c>
      <c r="U2240" s="10">
        <v>1.4223999999999999E-4</v>
      </c>
      <c r="V2240" s="25"/>
      <c r="W2240" s="25"/>
      <c r="X2240" s="25"/>
      <c r="Y2240" s="25"/>
      <c r="Z2240" s="25"/>
      <c r="AA2240" s="25"/>
    </row>
    <row r="2241" spans="1:27" x14ac:dyDescent="0.35">
      <c r="A2241" s="5">
        <v>2237</v>
      </c>
      <c r="B2241" s="5">
        <v>94</v>
      </c>
      <c r="C2241" s="5">
        <v>4</v>
      </c>
      <c r="D2241" s="25">
        <v>1.1416E-4</v>
      </c>
      <c r="E2241" s="25">
        <v>1.0764000000000001E-4</v>
      </c>
      <c r="F2241" s="25">
        <v>1.1291E-4</v>
      </c>
      <c r="G2241" s="25">
        <v>5.3390000000000002E-5</v>
      </c>
      <c r="H2241" s="25">
        <v>7.5740000000000003E-5</v>
      </c>
      <c r="I2241" s="9">
        <v>9.0149999999999996E-5</v>
      </c>
      <c r="J2241" s="9">
        <v>8.8759999999999997E-5</v>
      </c>
      <c r="K2241" s="9">
        <v>1.5470999999999999E-4</v>
      </c>
      <c r="L2241" s="9">
        <v>1.4780000000000001E-5</v>
      </c>
      <c r="M2241" s="9">
        <v>4.3560000000000003E-5</v>
      </c>
      <c r="N2241" s="9">
        <v>6.4480000000000006E-5</v>
      </c>
      <c r="O2241" s="9">
        <v>1.9029999999999999E-5</v>
      </c>
      <c r="P2241" s="9">
        <v>5.6490000000000003E-5</v>
      </c>
      <c r="Q2241" s="9">
        <v>9.3410000000000002E-5</v>
      </c>
      <c r="R2241" s="10">
        <v>5.5093792603093295E-5</v>
      </c>
      <c r="S2241" s="10">
        <v>1.9084580713785458E-5</v>
      </c>
      <c r="T2241" s="10">
        <v>0</v>
      </c>
      <c r="U2241" s="10">
        <v>1.4223999999999999E-4</v>
      </c>
      <c r="V2241" s="25"/>
      <c r="W2241" s="25"/>
      <c r="X2241" s="25"/>
      <c r="Y2241" s="25"/>
      <c r="Z2241" s="25"/>
      <c r="AA2241" s="25"/>
    </row>
    <row r="2242" spans="1:27" x14ac:dyDescent="0.35">
      <c r="A2242" s="5">
        <v>2238</v>
      </c>
      <c r="B2242" s="5">
        <v>94</v>
      </c>
      <c r="C2242" s="5">
        <v>4</v>
      </c>
      <c r="D2242" s="25">
        <v>1.1415000000000001E-4</v>
      </c>
      <c r="E2242" s="25">
        <v>1.0974E-4</v>
      </c>
      <c r="F2242" s="25">
        <v>1.2735000000000001E-4</v>
      </c>
      <c r="G2242" s="25">
        <v>1.0868E-4</v>
      </c>
      <c r="H2242" s="25">
        <v>1.3358000000000001E-4</v>
      </c>
      <c r="I2242" s="9">
        <v>9.2629999999999999E-5</v>
      </c>
      <c r="J2242" s="9">
        <v>9.0459999999999998E-5</v>
      </c>
      <c r="K2242" s="9">
        <v>1.3776000000000001E-4</v>
      </c>
      <c r="L2242" s="9">
        <v>1.7960000000000001E-5</v>
      </c>
      <c r="M2242" s="9">
        <v>4.8409999999999999E-5</v>
      </c>
      <c r="N2242" s="9">
        <v>7.1000000000000005E-5</v>
      </c>
      <c r="O2242" s="9">
        <v>4.6589999999999999E-5</v>
      </c>
      <c r="P2242" s="9">
        <v>7.7260000000000002E-5</v>
      </c>
      <c r="Q2242" s="9">
        <v>1.0759E-4</v>
      </c>
      <c r="R2242" s="10">
        <v>6.2339335000769774E-5</v>
      </c>
      <c r="S2242" s="10">
        <v>2.7966130825542232E-5</v>
      </c>
      <c r="T2242" s="10">
        <v>0</v>
      </c>
      <c r="U2242" s="10">
        <v>1.4223999999999999E-4</v>
      </c>
      <c r="V2242" s="25"/>
      <c r="W2242" s="25"/>
      <c r="X2242" s="25"/>
      <c r="Y2242" s="25"/>
      <c r="Z2242" s="25"/>
      <c r="AA2242" s="25"/>
    </row>
    <row r="2243" spans="1:27" x14ac:dyDescent="0.35">
      <c r="A2243" s="5">
        <v>2239</v>
      </c>
      <c r="B2243" s="5">
        <v>94</v>
      </c>
      <c r="C2243" s="5">
        <v>4</v>
      </c>
      <c r="D2243" s="25">
        <v>1.1416E-4</v>
      </c>
      <c r="E2243" s="25">
        <v>1.1188000000000001E-4</v>
      </c>
      <c r="F2243" s="25">
        <v>1.2312E-4</v>
      </c>
      <c r="G2243" s="25">
        <v>1.1024E-4</v>
      </c>
      <c r="H2243" s="25">
        <v>1.3352000000000001E-4</v>
      </c>
      <c r="I2243" s="9">
        <v>9.4129999999999995E-5</v>
      </c>
      <c r="J2243" s="9">
        <v>9.2380000000000007E-5</v>
      </c>
      <c r="K2243" s="9">
        <v>9.5370000000000003E-5</v>
      </c>
      <c r="L2243" s="9">
        <v>4.015E-5</v>
      </c>
      <c r="M2243" s="9">
        <v>6.016E-5</v>
      </c>
      <c r="N2243" s="9">
        <v>8.0840000000000005E-5</v>
      </c>
      <c r="O2243" s="9">
        <v>1.2231000000000001E-4</v>
      </c>
      <c r="P2243" s="9">
        <v>1.1697E-4</v>
      </c>
      <c r="Q2243" s="9">
        <v>1.1205E-4</v>
      </c>
      <c r="R2243" s="10">
        <v>7.128928609037417E-5</v>
      </c>
      <c r="S2243" s="10">
        <v>3.1562617037303129E-5</v>
      </c>
      <c r="T2243" s="10">
        <v>3.0093809794955509E-5</v>
      </c>
      <c r="U2243" s="10">
        <v>1.4223999999999999E-4</v>
      </c>
      <c r="V2243" s="25"/>
      <c r="W2243" s="25"/>
      <c r="X2243" s="25"/>
      <c r="Y2243" s="25"/>
      <c r="Z2243" s="25"/>
      <c r="AA2243" s="25"/>
    </row>
    <row r="2244" spans="1:27" x14ac:dyDescent="0.35">
      <c r="A2244" s="5">
        <v>2240</v>
      </c>
      <c r="B2244" s="5">
        <v>94</v>
      </c>
      <c r="C2244" s="5">
        <v>4</v>
      </c>
      <c r="D2244" s="25">
        <v>1.1415000000000001E-4</v>
      </c>
      <c r="E2244" s="25">
        <v>1.0941E-4</v>
      </c>
      <c r="F2244" s="25">
        <v>1.0925E-4</v>
      </c>
      <c r="G2244" s="25">
        <v>1.6671000000000001E-4</v>
      </c>
      <c r="H2244" s="25">
        <v>1.9557E-4</v>
      </c>
      <c r="I2244" s="9">
        <v>9.8640000000000004E-5</v>
      </c>
      <c r="J2244" s="9">
        <v>9.8410000000000001E-5</v>
      </c>
      <c r="K2244" s="9">
        <v>5.9339999999999998E-5</v>
      </c>
      <c r="L2244" s="9">
        <v>1.0361000000000001E-4</v>
      </c>
      <c r="M2244" s="9">
        <v>8.3640000000000006E-5</v>
      </c>
      <c r="N2244" s="9">
        <v>9.0849999999999999E-5</v>
      </c>
      <c r="O2244" s="9">
        <v>2.1861999999999999E-4</v>
      </c>
      <c r="P2244" s="9">
        <v>1.7708000000000001E-4</v>
      </c>
      <c r="Q2244" s="9">
        <v>1.3679E-4</v>
      </c>
      <c r="R2244" s="10">
        <v>6.9915122821752047E-5</v>
      </c>
      <c r="S2244" s="10">
        <v>3.6732749677642955E-5</v>
      </c>
      <c r="T2244" s="10">
        <v>4.4033513627239661E-5</v>
      </c>
      <c r="U2244" s="10">
        <v>1.4223999999999999E-4</v>
      </c>
      <c r="V2244" s="25"/>
      <c r="W2244" s="25"/>
      <c r="X2244" s="25"/>
      <c r="Y2244" s="25"/>
      <c r="Z2244" s="25"/>
      <c r="AA2244" s="25"/>
    </row>
    <row r="2245" spans="1:27" x14ac:dyDescent="0.35">
      <c r="A2245" s="5">
        <v>2241</v>
      </c>
      <c r="B2245" s="5">
        <v>94</v>
      </c>
      <c r="C2245" s="5">
        <v>4</v>
      </c>
      <c r="D2245" s="25">
        <v>1.1416E-4</v>
      </c>
      <c r="E2245" s="25">
        <v>1.1328999999999999E-4</v>
      </c>
      <c r="F2245" s="25">
        <v>1.0951999999999999E-4</v>
      </c>
      <c r="G2245" s="25">
        <v>1.6304000000000001E-4</v>
      </c>
      <c r="H2245" s="25">
        <v>1.9192999999999999E-4</v>
      </c>
      <c r="I2245" s="9">
        <v>1.0375E-4</v>
      </c>
      <c r="J2245" s="9">
        <v>1.0367E-4</v>
      </c>
      <c r="K2245" s="9">
        <v>2.1299999999999999E-6</v>
      </c>
      <c r="L2245" s="9">
        <v>1.9158000000000001E-4</v>
      </c>
      <c r="M2245" s="9">
        <v>1.2334999999999999E-4</v>
      </c>
      <c r="N2245" s="9">
        <v>1.0461E-4</v>
      </c>
      <c r="O2245" s="9">
        <v>2.0823E-4</v>
      </c>
      <c r="P2245" s="9">
        <v>1.9128999999999999E-4</v>
      </c>
      <c r="Q2245" s="9">
        <v>1.7519000000000001E-4</v>
      </c>
      <c r="R2245" s="10">
        <v>6.1811461902165315E-5</v>
      </c>
      <c r="S2245" s="10">
        <v>4.5489049062982278E-5</v>
      </c>
      <c r="T2245" s="10">
        <v>2.0349591991316828E-4</v>
      </c>
      <c r="U2245" s="10">
        <v>1.4223999999999999E-4</v>
      </c>
      <c r="V2245" s="25"/>
      <c r="W2245" s="25"/>
      <c r="X2245" s="25"/>
      <c r="Y2245" s="25"/>
      <c r="Z2245" s="25"/>
      <c r="AA2245" s="25"/>
    </row>
    <row r="2246" spans="1:27" x14ac:dyDescent="0.35">
      <c r="A2246" s="5">
        <v>2242</v>
      </c>
      <c r="B2246" s="5">
        <v>94</v>
      </c>
      <c r="C2246" s="5">
        <v>4</v>
      </c>
      <c r="D2246" s="25">
        <v>1.1415000000000001E-4</v>
      </c>
      <c r="E2246" s="25">
        <v>1.1302999999999999E-4</v>
      </c>
      <c r="F2246" s="25">
        <v>1.2543E-4</v>
      </c>
      <c r="G2246" s="25">
        <v>1.6364E-4</v>
      </c>
      <c r="H2246" s="25">
        <v>1.8624000000000001E-4</v>
      </c>
      <c r="I2246" s="9">
        <v>1.0632E-4</v>
      </c>
      <c r="J2246" s="9">
        <v>1.0746E-4</v>
      </c>
      <c r="K2246" s="9">
        <v>0</v>
      </c>
      <c r="L2246" s="9">
        <v>2.0226E-4</v>
      </c>
      <c r="M2246" s="9">
        <v>1.5787E-4</v>
      </c>
      <c r="N2246" s="9">
        <v>1.2422999999999999E-4</v>
      </c>
      <c r="O2246" s="9">
        <v>1.6574E-4</v>
      </c>
      <c r="P2246" s="9">
        <v>1.7337E-4</v>
      </c>
      <c r="Q2246" s="9">
        <v>1.8134E-4</v>
      </c>
      <c r="R2246" s="10">
        <v>5.9131814660549645E-5</v>
      </c>
      <c r="S2246" s="10">
        <v>5.4338171931331375E-5</v>
      </c>
      <c r="T2246" s="10">
        <v>1.406866518240632E-4</v>
      </c>
      <c r="U2246" s="10">
        <v>1.4223999999999999E-4</v>
      </c>
      <c r="V2246" s="25"/>
      <c r="W2246" s="25"/>
      <c r="X2246" s="25"/>
      <c r="Y2246" s="25"/>
      <c r="Z2246" s="25"/>
      <c r="AA2246" s="25"/>
    </row>
    <row r="2247" spans="1:27" x14ac:dyDescent="0.35">
      <c r="A2247" s="5">
        <v>2243</v>
      </c>
      <c r="B2247" s="5">
        <v>94</v>
      </c>
      <c r="C2247" s="5">
        <v>4</v>
      </c>
      <c r="D2247" s="25">
        <v>1.1416E-4</v>
      </c>
      <c r="E2247" s="25">
        <v>1.1178E-4</v>
      </c>
      <c r="F2247" s="25">
        <v>1.1013E-4</v>
      </c>
      <c r="G2247" s="25">
        <v>1.5756E-4</v>
      </c>
      <c r="H2247" s="25">
        <v>1.8954E-4</v>
      </c>
      <c r="I2247" s="9">
        <v>1.0917E-4</v>
      </c>
      <c r="J2247" s="9">
        <v>1.0712E-4</v>
      </c>
      <c r="K2247" s="9">
        <v>0</v>
      </c>
      <c r="L2247" s="9">
        <v>1.7389E-4</v>
      </c>
      <c r="M2247" s="9">
        <v>1.7142000000000001E-4</v>
      </c>
      <c r="N2247" s="9">
        <v>1.4215000000000001E-4</v>
      </c>
      <c r="O2247" s="9">
        <v>1.6524000000000001E-4</v>
      </c>
      <c r="P2247" s="9">
        <v>1.7150999999999999E-4</v>
      </c>
      <c r="Q2247" s="9">
        <v>1.7814E-4</v>
      </c>
      <c r="R2247" s="10">
        <v>7.5332233476944839E-5</v>
      </c>
      <c r="S2247" s="10">
        <v>6.3493790290763816E-5</v>
      </c>
      <c r="T2247" s="10">
        <v>2.4476355195226151E-4</v>
      </c>
      <c r="U2247" s="10">
        <v>1.4223999999999999E-4</v>
      </c>
      <c r="V2247" s="25"/>
      <c r="W2247" s="25"/>
      <c r="X2247" s="25"/>
      <c r="Y2247" s="25"/>
      <c r="Z2247" s="25"/>
      <c r="AA2247" s="25"/>
    </row>
    <row r="2248" spans="1:27" x14ac:dyDescent="0.35">
      <c r="A2248" s="5">
        <v>2244</v>
      </c>
      <c r="B2248" s="5">
        <v>94</v>
      </c>
      <c r="C2248" s="5">
        <v>4</v>
      </c>
      <c r="D2248" s="25">
        <v>1.1415000000000001E-4</v>
      </c>
      <c r="E2248" s="25">
        <v>1.0742E-4</v>
      </c>
      <c r="F2248" s="25">
        <v>1.2252000000000001E-4</v>
      </c>
      <c r="G2248" s="25">
        <v>1.6462000000000001E-4</v>
      </c>
      <c r="H2248" s="25">
        <v>1.9828000000000001E-4</v>
      </c>
      <c r="I2248" s="9">
        <v>1.0969E-4</v>
      </c>
      <c r="J2248" s="9">
        <v>1.0616E-4</v>
      </c>
      <c r="K2248" s="9">
        <v>0</v>
      </c>
      <c r="L2248" s="9">
        <v>1.6852999999999999E-4</v>
      </c>
      <c r="M2248" s="9">
        <v>1.7374999999999999E-4</v>
      </c>
      <c r="N2248" s="9">
        <v>1.5595E-4</v>
      </c>
      <c r="O2248" s="9">
        <v>1.6783E-4</v>
      </c>
      <c r="P2248" s="9">
        <v>1.7005000000000001E-4</v>
      </c>
      <c r="Q2248" s="9">
        <v>1.727E-4</v>
      </c>
      <c r="R2248" s="10">
        <v>5.967581506036407E-5</v>
      </c>
      <c r="S2248" s="10">
        <v>4.9798963879943905E-5</v>
      </c>
      <c r="T2248" s="10">
        <v>1.9110884286196019E-4</v>
      </c>
      <c r="U2248" s="10">
        <v>1.4223999999999999E-4</v>
      </c>
      <c r="V2248" s="25"/>
      <c r="W2248" s="25"/>
      <c r="X2248" s="25"/>
      <c r="Y2248" s="25"/>
      <c r="Z2248" s="25"/>
      <c r="AA2248" s="25"/>
    </row>
    <row r="2249" spans="1:27" x14ac:dyDescent="0.35">
      <c r="A2249" s="5">
        <v>2245</v>
      </c>
      <c r="B2249" s="5">
        <v>94</v>
      </c>
      <c r="C2249" s="5">
        <v>4</v>
      </c>
      <c r="D2249" s="25">
        <v>1.1416E-4</v>
      </c>
      <c r="E2249" s="25">
        <v>1.0778E-4</v>
      </c>
      <c r="F2249" s="25">
        <v>1.2038E-4</v>
      </c>
      <c r="G2249" s="25">
        <v>1.5788E-4</v>
      </c>
      <c r="H2249" s="25">
        <v>1.9900000000000001E-4</v>
      </c>
      <c r="I2249" s="9">
        <v>1.0532E-4</v>
      </c>
      <c r="J2249" s="9">
        <v>1.0354E-4</v>
      </c>
      <c r="K2249" s="9">
        <v>0</v>
      </c>
      <c r="L2249" s="9">
        <v>1.6814E-4</v>
      </c>
      <c r="M2249" s="9">
        <v>1.7254E-4</v>
      </c>
      <c r="N2249" s="9">
        <v>1.6519000000000001E-4</v>
      </c>
      <c r="O2249" s="9">
        <v>1.6055E-4</v>
      </c>
      <c r="P2249" s="9">
        <v>1.6354999999999999E-4</v>
      </c>
      <c r="Q2249" s="9">
        <v>1.6694E-4</v>
      </c>
      <c r="R2249" s="10">
        <v>8.1914167290055291E-5</v>
      </c>
      <c r="S2249" s="10">
        <v>5.2110611959979755E-5</v>
      </c>
      <c r="T2249" s="10">
        <v>1.5796068530095339E-4</v>
      </c>
      <c r="U2249" s="10">
        <v>1.4223999999999999E-4</v>
      </c>
      <c r="V2249" s="25"/>
      <c r="W2249" s="25"/>
      <c r="X2249" s="25"/>
      <c r="Y2249" s="25"/>
      <c r="Z2249" s="25"/>
      <c r="AA2249" s="25"/>
    </row>
    <row r="2250" spans="1:27" x14ac:dyDescent="0.35">
      <c r="A2250" s="5">
        <v>2246</v>
      </c>
      <c r="B2250" s="5">
        <v>94</v>
      </c>
      <c r="C2250" s="5">
        <v>4</v>
      </c>
      <c r="D2250" s="25">
        <v>1.1415000000000001E-4</v>
      </c>
      <c r="E2250" s="25">
        <v>1.0897E-4</v>
      </c>
      <c r="F2250" s="25">
        <v>1.092E-4</v>
      </c>
      <c r="G2250" s="25">
        <v>1.5713000000000001E-4</v>
      </c>
      <c r="H2250" s="25">
        <v>1.9258E-4</v>
      </c>
      <c r="I2250" s="9">
        <v>1.0132E-4</v>
      </c>
      <c r="J2250" s="9">
        <v>1.0084E-4</v>
      </c>
      <c r="K2250" s="9">
        <v>0</v>
      </c>
      <c r="L2250" s="9">
        <v>1.6197999999999999E-4</v>
      </c>
      <c r="M2250" s="9">
        <v>1.6896000000000001E-4</v>
      </c>
      <c r="N2250" s="9">
        <v>1.6951999999999999E-4</v>
      </c>
      <c r="O2250" s="9">
        <v>1.7886000000000001E-4</v>
      </c>
      <c r="P2250" s="9">
        <v>1.7013999999999999E-4</v>
      </c>
      <c r="Q2250" s="9">
        <v>1.6205000000000001E-4</v>
      </c>
      <c r="R2250" s="10">
        <v>9.4475734410767625E-5</v>
      </c>
      <c r="S2250" s="10">
        <v>5.7227135042118885E-5</v>
      </c>
      <c r="T2250" s="10">
        <v>1.702798879573603E-4</v>
      </c>
      <c r="U2250" s="10">
        <v>1.4223999999999999E-4</v>
      </c>
      <c r="V2250" s="25"/>
      <c r="W2250" s="25"/>
      <c r="X2250" s="25"/>
      <c r="Y2250" s="25"/>
      <c r="Z2250" s="25"/>
      <c r="AA2250" s="25"/>
    </row>
    <row r="2251" spans="1:27" x14ac:dyDescent="0.35">
      <c r="A2251" s="5">
        <v>2247</v>
      </c>
      <c r="B2251" s="5">
        <v>94</v>
      </c>
      <c r="C2251" s="5">
        <v>4</v>
      </c>
      <c r="D2251" s="25">
        <v>1.1416E-4</v>
      </c>
      <c r="E2251" s="25">
        <v>1.1187E-4</v>
      </c>
      <c r="F2251" s="25">
        <v>1.1249E-4</v>
      </c>
      <c r="G2251" s="25">
        <v>1.5951999999999999E-4</v>
      </c>
      <c r="H2251" s="25">
        <v>1.9895000000000001E-4</v>
      </c>
      <c r="I2251" s="9">
        <v>9.9149999999999998E-5</v>
      </c>
      <c r="J2251" s="9">
        <v>9.4320000000000005E-5</v>
      </c>
      <c r="K2251" s="9">
        <v>1.272E-5</v>
      </c>
      <c r="L2251" s="9">
        <v>1.7529000000000001E-4</v>
      </c>
      <c r="M2251" s="9">
        <v>1.6835999999999999E-4</v>
      </c>
      <c r="N2251" s="9">
        <v>1.6951999999999999E-4</v>
      </c>
      <c r="O2251" s="9">
        <v>1.8358E-4</v>
      </c>
      <c r="P2251" s="9">
        <v>1.6805999999999999E-4</v>
      </c>
      <c r="Q2251" s="9">
        <v>1.5328999999999999E-4</v>
      </c>
      <c r="R2251" s="10">
        <v>1.1032743054442592E-4</v>
      </c>
      <c r="S2251" s="10">
        <v>6.0833376535479457E-5</v>
      </c>
      <c r="T2251" s="10">
        <v>2.0468372182218822E-4</v>
      </c>
      <c r="U2251" s="10">
        <v>1.4223999999999999E-4</v>
      </c>
      <c r="V2251" s="25"/>
      <c r="W2251" s="25"/>
      <c r="X2251" s="25"/>
      <c r="Y2251" s="25"/>
      <c r="Z2251" s="25"/>
      <c r="AA2251" s="25"/>
    </row>
    <row r="2252" spans="1:27" x14ac:dyDescent="0.35">
      <c r="A2252" s="5">
        <v>2248</v>
      </c>
      <c r="B2252" s="5">
        <v>94</v>
      </c>
      <c r="C2252" s="5">
        <v>4</v>
      </c>
      <c r="D2252" s="25">
        <v>1.1415000000000001E-4</v>
      </c>
      <c r="E2252" s="25">
        <v>1.0684E-4</v>
      </c>
      <c r="F2252" s="25">
        <v>1.1391999999999999E-4</v>
      </c>
      <c r="G2252" s="25">
        <v>1.6267000000000001E-4</v>
      </c>
      <c r="H2252" s="25">
        <v>1.9168000000000001E-4</v>
      </c>
      <c r="I2252" s="9">
        <v>9.9530000000000004E-5</v>
      </c>
      <c r="J2252" s="9">
        <v>9.0480000000000001E-5</v>
      </c>
      <c r="K2252" s="9">
        <v>4.2400000000000001E-6</v>
      </c>
      <c r="L2252" s="9">
        <v>1.8139999999999999E-4</v>
      </c>
      <c r="M2252" s="9">
        <v>1.682E-4</v>
      </c>
      <c r="N2252" s="9">
        <v>1.6598000000000001E-4</v>
      </c>
      <c r="O2252" s="9">
        <v>1.9542E-4</v>
      </c>
      <c r="P2252" s="9">
        <v>1.5171E-4</v>
      </c>
      <c r="Q2252" s="9">
        <v>1.0922E-4</v>
      </c>
      <c r="R2252" s="10">
        <v>1.2767911738672887E-4</v>
      </c>
      <c r="S2252" s="10">
        <v>6.5064001744762428E-5</v>
      </c>
      <c r="T2252" s="10">
        <v>2.5855902269559324E-4</v>
      </c>
      <c r="U2252" s="10">
        <v>1.4223999999999999E-4</v>
      </c>
      <c r="V2252" s="25"/>
      <c r="W2252" s="25"/>
      <c r="X2252" s="25"/>
      <c r="Y2252" s="25"/>
      <c r="Z2252" s="25"/>
      <c r="AA2252" s="25"/>
    </row>
    <row r="2253" spans="1:27" x14ac:dyDescent="0.35">
      <c r="A2253" s="5">
        <v>2249</v>
      </c>
      <c r="B2253" s="5">
        <v>94</v>
      </c>
      <c r="C2253" s="5">
        <v>4</v>
      </c>
      <c r="D2253" s="25">
        <v>1.1416E-4</v>
      </c>
      <c r="E2253" s="25">
        <v>1.0365999999999999E-4</v>
      </c>
      <c r="F2253" s="25">
        <v>1.2553999999999999E-4</v>
      </c>
      <c r="G2253" s="25">
        <v>1.5639000000000001E-4</v>
      </c>
      <c r="H2253" s="25">
        <v>1.9011000000000001E-4</v>
      </c>
      <c r="I2253" s="9">
        <v>1.0081000000000001E-4</v>
      </c>
      <c r="J2253" s="9">
        <v>9.4900000000000003E-5</v>
      </c>
      <c r="K2253" s="9">
        <v>1.908E-5</v>
      </c>
      <c r="L2253" s="9">
        <v>1.9211E-4</v>
      </c>
      <c r="M2253" s="9">
        <v>1.6229999999999999E-4</v>
      </c>
      <c r="N2253" s="9">
        <v>1.5232000000000001E-4</v>
      </c>
      <c r="O2253" s="9">
        <v>2.1196999999999999E-4</v>
      </c>
      <c r="P2253" s="9">
        <v>1.5862E-4</v>
      </c>
      <c r="Q2253" s="9">
        <v>1.0669E-4</v>
      </c>
      <c r="R2253" s="10">
        <v>1.3417943176742317E-4</v>
      </c>
      <c r="S2253" s="10">
        <v>7.9771937880459052E-5</v>
      </c>
      <c r="T2253" s="10">
        <v>2.4631617873333754E-4</v>
      </c>
      <c r="U2253" s="10">
        <v>1.4223999999999999E-4</v>
      </c>
      <c r="V2253" s="25"/>
      <c r="W2253" s="25"/>
      <c r="X2253" s="25"/>
      <c r="Y2253" s="25"/>
      <c r="Z2253" s="25"/>
      <c r="AA2253" s="25"/>
    </row>
    <row r="2254" spans="1:27" x14ac:dyDescent="0.35">
      <c r="A2254" s="5">
        <v>2250</v>
      </c>
      <c r="B2254" s="5">
        <v>94</v>
      </c>
      <c r="C2254" s="5">
        <v>4</v>
      </c>
      <c r="D2254" s="25">
        <v>1.1415000000000001E-4</v>
      </c>
      <c r="E2254" s="25">
        <v>1.0596E-4</v>
      </c>
      <c r="F2254" s="25">
        <v>1.2789999999999999E-4</v>
      </c>
      <c r="G2254" s="25">
        <v>1.6197999999999999E-4</v>
      </c>
      <c r="H2254" s="25">
        <v>1.8917000000000001E-4</v>
      </c>
      <c r="I2254" s="9">
        <v>1.0284E-4</v>
      </c>
      <c r="J2254" s="9">
        <v>9.8789999999999994E-5</v>
      </c>
      <c r="K2254" s="9">
        <v>3.8149999999999999E-5</v>
      </c>
      <c r="L2254" s="9">
        <v>2.074E-4</v>
      </c>
      <c r="M2254" s="9">
        <v>1.5932000000000001E-4</v>
      </c>
      <c r="N2254" s="9">
        <v>1.3901000000000001E-4</v>
      </c>
      <c r="O2254" s="9">
        <v>2.029E-4</v>
      </c>
      <c r="P2254" s="9">
        <v>1.5924999999999999E-4</v>
      </c>
      <c r="Q2254" s="9">
        <v>1.1684E-4</v>
      </c>
      <c r="R2254" s="10">
        <v>1.4526305946509316E-4</v>
      </c>
      <c r="S2254" s="10">
        <v>8.6707012564417207E-5</v>
      </c>
      <c r="T2254" s="10">
        <v>6.046760146846572E-5</v>
      </c>
      <c r="U2254" s="10">
        <v>1.4223999999999999E-4</v>
      </c>
      <c r="V2254" s="25"/>
      <c r="W2254" s="25"/>
      <c r="X2254" s="25"/>
      <c r="Y2254" s="25"/>
      <c r="Z2254" s="25"/>
      <c r="AA2254" s="25"/>
    </row>
    <row r="2255" spans="1:27" x14ac:dyDescent="0.35">
      <c r="A2255" s="5">
        <v>2251</v>
      </c>
      <c r="B2255" s="5">
        <v>94</v>
      </c>
      <c r="C2255" s="5">
        <v>4</v>
      </c>
      <c r="D2255" s="25">
        <v>1.1416E-4</v>
      </c>
      <c r="E2255" s="25">
        <v>1.1244E-4</v>
      </c>
      <c r="F2255" s="25">
        <v>1.2478000000000001E-4</v>
      </c>
      <c r="G2255" s="25">
        <v>1.1393E-4</v>
      </c>
      <c r="H2255" s="25">
        <v>1.3369E-4</v>
      </c>
      <c r="I2255" s="9">
        <v>1.0592E-4</v>
      </c>
      <c r="J2255" s="9">
        <v>1.0022999999999999E-4</v>
      </c>
      <c r="K2255" s="9">
        <v>6.7830000000000006E-5</v>
      </c>
      <c r="L2255" s="9">
        <v>2.0350000000000001E-4</v>
      </c>
      <c r="M2255" s="9">
        <v>1.5867999999999999E-4</v>
      </c>
      <c r="N2255" s="9">
        <v>1.2981000000000001E-4</v>
      </c>
      <c r="O2255" s="9">
        <v>1.6354999999999999E-4</v>
      </c>
      <c r="P2255" s="9">
        <v>1.3484E-4</v>
      </c>
      <c r="Q2255" s="9">
        <v>1.0702E-4</v>
      </c>
      <c r="R2255" s="10">
        <v>1.3953375836911011E-4</v>
      </c>
      <c r="S2255" s="10">
        <v>8.5877308367559479E-5</v>
      </c>
      <c r="T2255" s="10">
        <v>0</v>
      </c>
      <c r="U2255" s="10">
        <v>1.4223999999999999E-4</v>
      </c>
      <c r="V2255" s="25"/>
      <c r="W2255" s="25"/>
      <c r="X2255" s="25"/>
      <c r="Y2255" s="25"/>
      <c r="Z2255" s="25"/>
      <c r="AA2255" s="25"/>
    </row>
    <row r="2256" spans="1:27" x14ac:dyDescent="0.35">
      <c r="A2256" s="5">
        <v>2252</v>
      </c>
      <c r="B2256" s="5">
        <v>94</v>
      </c>
      <c r="C2256" s="5">
        <v>4</v>
      </c>
      <c r="D2256" s="25">
        <v>1.1415000000000001E-4</v>
      </c>
      <c r="E2256" s="25">
        <v>1.1139E-4</v>
      </c>
      <c r="F2256" s="25">
        <v>1.1457E-4</v>
      </c>
      <c r="G2256" s="25">
        <v>1.0446999999999999E-4</v>
      </c>
      <c r="H2256" s="25">
        <v>1.3112E-4</v>
      </c>
      <c r="I2256" s="9">
        <v>1.1014999999999999E-4</v>
      </c>
      <c r="J2256" s="9">
        <v>1.0456E-4</v>
      </c>
      <c r="K2256" s="9">
        <v>1.0385E-4</v>
      </c>
      <c r="L2256" s="9">
        <v>1.7250999999999999E-4</v>
      </c>
      <c r="M2256" s="9">
        <v>1.5011000000000001E-4</v>
      </c>
      <c r="N2256" s="9">
        <v>1.2068E-4</v>
      </c>
      <c r="O2256" s="9">
        <v>1.2912000000000001E-4</v>
      </c>
      <c r="P2256" s="9">
        <v>1.1551E-4</v>
      </c>
      <c r="Q2256" s="9">
        <v>1.0247E-4</v>
      </c>
      <c r="R2256" s="10">
        <v>1.3652555713492963E-4</v>
      </c>
      <c r="S2256" s="10">
        <v>8.3566085886674935E-5</v>
      </c>
      <c r="T2256" s="10">
        <v>0</v>
      </c>
      <c r="U2256" s="10">
        <v>1.4223999999999999E-4</v>
      </c>
      <c r="V2256" s="25"/>
      <c r="W2256" s="25"/>
      <c r="X2256" s="25"/>
      <c r="Y2256" s="25"/>
      <c r="Z2256" s="25"/>
      <c r="AA2256" s="25"/>
    </row>
    <row r="2257" spans="1:27" x14ac:dyDescent="0.35">
      <c r="A2257" s="5">
        <v>2253</v>
      </c>
      <c r="B2257" s="5">
        <v>94</v>
      </c>
      <c r="C2257" s="5">
        <v>4</v>
      </c>
      <c r="D2257" s="25">
        <v>1.1416E-4</v>
      </c>
      <c r="E2257" s="25">
        <v>1.0768999999999999E-4</v>
      </c>
      <c r="F2257" s="25">
        <v>1.1925E-4</v>
      </c>
      <c r="G2257" s="25">
        <v>5.4759999999999997E-5</v>
      </c>
      <c r="H2257" s="25">
        <v>6.3109999999999997E-5</v>
      </c>
      <c r="I2257" s="9">
        <v>1.0929000000000001E-4</v>
      </c>
      <c r="J2257" s="9">
        <v>1.0344999999999999E-4</v>
      </c>
      <c r="K2257" s="9">
        <v>1.2928000000000001E-4</v>
      </c>
      <c r="L2257" s="9">
        <v>1.3962999999999999E-4</v>
      </c>
      <c r="M2257" s="9">
        <v>1.3526E-4</v>
      </c>
      <c r="N2257" s="9">
        <v>1.1312E-4</v>
      </c>
      <c r="O2257" s="9">
        <v>8.4969999999999995E-5</v>
      </c>
      <c r="P2257" s="9">
        <v>8.6769999999999998E-5</v>
      </c>
      <c r="Q2257" s="9">
        <v>8.878E-5</v>
      </c>
      <c r="R2257" s="10">
        <v>1.4063538168804332E-4</v>
      </c>
      <c r="S2257" s="10">
        <v>8.075098448152218E-5</v>
      </c>
      <c r="T2257" s="10">
        <v>0</v>
      </c>
      <c r="U2257" s="10">
        <v>1.4223999999999999E-4</v>
      </c>
      <c r="V2257" s="25"/>
      <c r="W2257" s="25"/>
      <c r="X2257" s="25"/>
      <c r="Y2257" s="25"/>
      <c r="Z2257" s="25"/>
      <c r="AA2257" s="25"/>
    </row>
    <row r="2258" spans="1:27" x14ac:dyDescent="0.35">
      <c r="A2258" s="5">
        <v>2254</v>
      </c>
      <c r="B2258" s="5">
        <v>94</v>
      </c>
      <c r="C2258" s="5">
        <v>4</v>
      </c>
      <c r="D2258" s="25">
        <v>1.1415000000000001E-4</v>
      </c>
      <c r="E2258" s="25">
        <v>1.0574E-4</v>
      </c>
      <c r="F2258" s="25">
        <v>1.2005E-4</v>
      </c>
      <c r="G2258" s="25">
        <v>5.3990000000000003E-5</v>
      </c>
      <c r="H2258" s="25">
        <v>6.2550000000000003E-5</v>
      </c>
      <c r="I2258" s="9">
        <v>1.091E-4</v>
      </c>
      <c r="J2258" s="9">
        <v>9.8079999999999996E-5</v>
      </c>
      <c r="K2258" s="9">
        <v>1.3352000000000001E-4</v>
      </c>
      <c r="L2258" s="9">
        <v>9.7880000000000005E-5</v>
      </c>
      <c r="M2258" s="9">
        <v>1.1399E-4</v>
      </c>
      <c r="N2258" s="9">
        <v>1.0565000000000001E-4</v>
      </c>
      <c r="O2258" s="9">
        <v>8.6899999999999998E-5</v>
      </c>
      <c r="P2258" s="9">
        <v>8.7310000000000003E-5</v>
      </c>
      <c r="Q2258" s="9">
        <v>8.7960000000000005E-5</v>
      </c>
      <c r="R2258" s="10">
        <v>1.3540444930144332E-4</v>
      </c>
      <c r="S2258" s="10">
        <v>6.7420074064640476E-5</v>
      </c>
      <c r="T2258" s="10">
        <v>0</v>
      </c>
      <c r="U2258" s="10">
        <v>1.4223999999999999E-4</v>
      </c>
      <c r="V2258" s="25"/>
      <c r="W2258" s="25"/>
      <c r="X2258" s="25"/>
      <c r="Y2258" s="25"/>
      <c r="Z2258" s="25"/>
      <c r="AA2258" s="25"/>
    </row>
    <row r="2259" spans="1:27" x14ac:dyDescent="0.35">
      <c r="A2259" s="5">
        <v>2255</v>
      </c>
      <c r="B2259" s="5">
        <v>94</v>
      </c>
      <c r="C2259" s="5">
        <v>4</v>
      </c>
      <c r="D2259" s="25">
        <v>1.1416E-4</v>
      </c>
      <c r="E2259" s="25">
        <v>1.1307999999999999E-4</v>
      </c>
      <c r="F2259" s="25">
        <v>1.1503E-4</v>
      </c>
      <c r="G2259" s="25">
        <v>5.8069999999999998E-5</v>
      </c>
      <c r="H2259" s="25">
        <v>6.4499999999999996E-5</v>
      </c>
      <c r="I2259" s="9">
        <v>1.0673E-4</v>
      </c>
      <c r="J2259" s="9">
        <v>9.2960000000000004E-5</v>
      </c>
      <c r="K2259" s="9">
        <v>1.3987E-4</v>
      </c>
      <c r="L2259" s="9">
        <v>9.0249999999999998E-5</v>
      </c>
      <c r="M2259" s="9">
        <v>9.9170000000000001E-5</v>
      </c>
      <c r="N2259" s="9">
        <v>9.9820000000000003E-5</v>
      </c>
      <c r="O2259" s="9">
        <v>7.7260000000000002E-5</v>
      </c>
      <c r="P2259" s="9">
        <v>7.1740000000000001E-5</v>
      </c>
      <c r="Q2259" s="9">
        <v>6.6519999999999993E-5</v>
      </c>
      <c r="R2259" s="10">
        <v>1.2323021194162462E-4</v>
      </c>
      <c r="S2259" s="10">
        <v>5.2949419196241092E-5</v>
      </c>
      <c r="T2259" s="10">
        <v>0</v>
      </c>
      <c r="U2259" s="10">
        <v>1.4223999999999999E-4</v>
      </c>
      <c r="V2259" s="25"/>
      <c r="W2259" s="25"/>
      <c r="X2259" s="25"/>
      <c r="Y2259" s="25"/>
      <c r="Z2259" s="25"/>
      <c r="AA2259" s="25"/>
    </row>
    <row r="2260" spans="1:27" x14ac:dyDescent="0.35">
      <c r="A2260" s="5">
        <v>2256</v>
      </c>
      <c r="B2260" s="5">
        <v>94</v>
      </c>
      <c r="C2260" s="5">
        <v>4</v>
      </c>
      <c r="D2260" s="25">
        <v>1.1415000000000001E-4</v>
      </c>
      <c r="E2260" s="25">
        <v>1.0946E-4</v>
      </c>
      <c r="F2260" s="25">
        <v>1.0844E-4</v>
      </c>
      <c r="G2260" s="25">
        <v>5.7399999999999999E-5</v>
      </c>
      <c r="H2260" s="25">
        <v>6.4700000000000001E-5</v>
      </c>
      <c r="I2260" s="9">
        <v>9.9329999999999999E-5</v>
      </c>
      <c r="J2260" s="9">
        <v>9.0279999999999996E-5</v>
      </c>
      <c r="K2260" s="9">
        <v>1.4622999999999999E-4</v>
      </c>
      <c r="L2260" s="9">
        <v>8.0129999999999993E-5</v>
      </c>
      <c r="M2260" s="9">
        <v>8.6000000000000003E-5</v>
      </c>
      <c r="N2260" s="9">
        <v>9.0509999999999999E-5</v>
      </c>
      <c r="O2260" s="9">
        <v>6.3020000000000003E-5</v>
      </c>
      <c r="P2260" s="9">
        <v>6.0989999999999997E-5</v>
      </c>
      <c r="Q2260" s="9">
        <v>5.9160000000000003E-5</v>
      </c>
      <c r="R2260" s="10">
        <v>1.0618261474016439E-4</v>
      </c>
      <c r="S2260" s="10">
        <v>2.7849970963515059E-5</v>
      </c>
      <c r="T2260" s="10">
        <v>0</v>
      </c>
      <c r="U2260" s="10">
        <v>1.4223999999999999E-4</v>
      </c>
      <c r="V2260" s="25"/>
      <c r="W2260" s="25"/>
      <c r="X2260" s="25"/>
      <c r="Y2260" s="25"/>
      <c r="Z2260" s="25"/>
      <c r="AA2260" s="25"/>
    </row>
    <row r="2261" spans="1:27" x14ac:dyDescent="0.35">
      <c r="A2261" s="5">
        <v>2257</v>
      </c>
      <c r="B2261" s="5">
        <v>95</v>
      </c>
      <c r="C2261" s="5">
        <v>4</v>
      </c>
      <c r="D2261" s="25">
        <v>1.1416E-4</v>
      </c>
      <c r="E2261" s="25">
        <v>1.1807999999999999E-4</v>
      </c>
      <c r="F2261" s="25">
        <v>1.0792E-4</v>
      </c>
      <c r="G2261" s="25">
        <v>5.9729999999999999E-5</v>
      </c>
      <c r="H2261" s="25">
        <v>7.3310000000000001E-5</v>
      </c>
      <c r="I2261" s="9">
        <v>9.4240000000000006E-5</v>
      </c>
      <c r="J2261" s="9">
        <v>8.6269999999999999E-5</v>
      </c>
      <c r="K2261" s="9">
        <v>1.5048000000000001E-4</v>
      </c>
      <c r="L2261" s="9">
        <v>6.6790000000000003E-5</v>
      </c>
      <c r="M2261" s="9">
        <v>7.3969999999999998E-5</v>
      </c>
      <c r="N2261" s="9">
        <v>8.119E-5</v>
      </c>
      <c r="O2261" s="9">
        <v>5.486E-5</v>
      </c>
      <c r="P2261" s="9">
        <v>5.4280000000000002E-5</v>
      </c>
      <c r="Q2261" s="9">
        <v>5.3850000000000001E-5</v>
      </c>
      <c r="R2261" s="10">
        <v>8.531677407901998E-5</v>
      </c>
      <c r="S2261" s="10">
        <v>2.4795874225806176E-5</v>
      </c>
      <c r="T2261" s="10">
        <v>0</v>
      </c>
      <c r="U2261" s="10">
        <v>1.3954000000000001E-4</v>
      </c>
      <c r="V2261" s="25"/>
      <c r="W2261" s="25"/>
      <c r="X2261" s="25"/>
      <c r="Y2261" s="25"/>
      <c r="Z2261" s="25"/>
      <c r="AA2261" s="25"/>
    </row>
    <row r="2262" spans="1:27" x14ac:dyDescent="0.35">
      <c r="A2262" s="5">
        <v>2258</v>
      </c>
      <c r="B2262" s="5">
        <v>95</v>
      </c>
      <c r="C2262" s="5">
        <v>4</v>
      </c>
      <c r="D2262" s="25">
        <v>1.1415000000000001E-4</v>
      </c>
      <c r="E2262" s="25">
        <v>1.1699E-4</v>
      </c>
      <c r="F2262" s="25">
        <v>9.6949999999999998E-5</v>
      </c>
      <c r="G2262" s="25">
        <v>5.6740000000000002E-5</v>
      </c>
      <c r="H2262" s="25">
        <v>6.9919999999999995E-5</v>
      </c>
      <c r="I2262" s="9">
        <v>9.0959999999999996E-5</v>
      </c>
      <c r="J2262" s="9">
        <v>8.475E-5</v>
      </c>
      <c r="K2262" s="9">
        <v>1.5683E-4</v>
      </c>
      <c r="L2262" s="9">
        <v>5.7849999999999997E-5</v>
      </c>
      <c r="M2262" s="9">
        <v>6.4040000000000003E-5</v>
      </c>
      <c r="N2262" s="9">
        <v>7.216E-5</v>
      </c>
      <c r="O2262" s="9">
        <v>1.912E-5</v>
      </c>
      <c r="P2262" s="9">
        <v>3.7830000000000002E-5</v>
      </c>
      <c r="Q2262" s="9">
        <v>5.63E-5</v>
      </c>
      <c r="R2262" s="10">
        <v>7.7893008449135198E-5</v>
      </c>
      <c r="S2262" s="10">
        <v>2.4308258541499304E-5</v>
      </c>
      <c r="T2262" s="10">
        <v>0</v>
      </c>
      <c r="U2262" s="10">
        <v>1.3954000000000001E-4</v>
      </c>
      <c r="V2262" s="25"/>
      <c r="W2262" s="25"/>
      <c r="X2262" s="25"/>
      <c r="Y2262" s="25"/>
      <c r="Z2262" s="25"/>
      <c r="AA2262" s="25"/>
    </row>
    <row r="2263" spans="1:27" x14ac:dyDescent="0.35">
      <c r="A2263" s="5">
        <v>2259</v>
      </c>
      <c r="B2263" s="5">
        <v>95</v>
      </c>
      <c r="C2263" s="5">
        <v>4</v>
      </c>
      <c r="D2263" s="25">
        <v>1.1416E-4</v>
      </c>
      <c r="E2263" s="25">
        <v>1.2068E-4</v>
      </c>
      <c r="F2263" s="25">
        <v>1.0192999999999999E-4</v>
      </c>
      <c r="G2263" s="25">
        <v>6.0789999999999999E-5</v>
      </c>
      <c r="H2263" s="25">
        <v>6.3629999999999999E-5</v>
      </c>
      <c r="I2263" s="9">
        <v>9.0379999999999999E-5</v>
      </c>
      <c r="J2263" s="9">
        <v>8.4679999999999996E-5</v>
      </c>
      <c r="K2263" s="9">
        <v>1.6318999999999999E-4</v>
      </c>
      <c r="L2263" s="9">
        <v>2.7840000000000001E-5</v>
      </c>
      <c r="M2263" s="9">
        <v>5.2339999999999997E-5</v>
      </c>
      <c r="N2263" s="9">
        <v>6.5599999999999995E-5</v>
      </c>
      <c r="O2263" s="9">
        <v>1.358E-5</v>
      </c>
      <c r="P2263" s="9">
        <v>3.7610000000000001E-5</v>
      </c>
      <c r="Q2263" s="9">
        <v>6.1299999999999999E-5</v>
      </c>
      <c r="R2263" s="10">
        <v>7.1281628127757446E-5</v>
      </c>
      <c r="S2263" s="10">
        <v>1.95929672602451E-5</v>
      </c>
      <c r="T2263" s="10">
        <v>0</v>
      </c>
      <c r="U2263" s="10">
        <v>1.3954000000000001E-4</v>
      </c>
      <c r="V2263" s="25"/>
      <c r="W2263" s="25"/>
      <c r="X2263" s="25"/>
      <c r="Y2263" s="25"/>
      <c r="Z2263" s="25"/>
      <c r="AA2263" s="25"/>
    </row>
    <row r="2264" spans="1:27" x14ac:dyDescent="0.35">
      <c r="A2264" s="5">
        <v>2260</v>
      </c>
      <c r="B2264" s="5">
        <v>95</v>
      </c>
      <c r="C2264" s="5">
        <v>4</v>
      </c>
      <c r="D2264" s="25">
        <v>1.1415000000000001E-4</v>
      </c>
      <c r="E2264" s="25">
        <v>1.1608E-4</v>
      </c>
      <c r="F2264" s="25">
        <v>1.0108E-4</v>
      </c>
      <c r="G2264" s="25">
        <v>6.0789999999999999E-5</v>
      </c>
      <c r="H2264" s="25">
        <v>6.5450000000000005E-5</v>
      </c>
      <c r="I2264" s="9">
        <v>9.1279999999999993E-5</v>
      </c>
      <c r="J2264" s="9">
        <v>8.5820000000000002E-5</v>
      </c>
      <c r="K2264" s="9">
        <v>1.5894999999999999E-4</v>
      </c>
      <c r="L2264" s="9">
        <v>1.7459999999999999E-5</v>
      </c>
      <c r="M2264" s="9">
        <v>4.4240000000000003E-5</v>
      </c>
      <c r="N2264" s="9">
        <v>6.1950000000000001E-5</v>
      </c>
      <c r="O2264" s="9">
        <v>1.359E-5</v>
      </c>
      <c r="P2264" s="9">
        <v>4.7049999999999998E-5</v>
      </c>
      <c r="Q2264" s="9">
        <v>8.0030000000000005E-5</v>
      </c>
      <c r="R2264" s="10">
        <v>7.1077365008425582E-5</v>
      </c>
      <c r="S2264" s="10">
        <v>1.6719860391094644E-5</v>
      </c>
      <c r="T2264" s="10">
        <v>0</v>
      </c>
      <c r="U2264" s="10">
        <v>1.3954000000000001E-4</v>
      </c>
      <c r="V2264" s="25"/>
      <c r="W2264" s="25"/>
      <c r="X2264" s="25"/>
      <c r="Y2264" s="25"/>
      <c r="Z2264" s="25"/>
      <c r="AA2264" s="25"/>
    </row>
    <row r="2265" spans="1:27" x14ac:dyDescent="0.35">
      <c r="A2265" s="5">
        <v>2261</v>
      </c>
      <c r="B2265" s="5">
        <v>95</v>
      </c>
      <c r="C2265" s="5">
        <v>4</v>
      </c>
      <c r="D2265" s="25">
        <v>1.1416E-4</v>
      </c>
      <c r="E2265" s="25">
        <v>1.228E-4</v>
      </c>
      <c r="F2265" s="25">
        <v>1.0022999999999999E-4</v>
      </c>
      <c r="G2265" s="25">
        <v>5.4190000000000001E-5</v>
      </c>
      <c r="H2265" s="25">
        <v>6.5099999999999997E-5</v>
      </c>
      <c r="I2265" s="9">
        <v>9.7559999999999994E-5</v>
      </c>
      <c r="J2265" s="9">
        <v>8.8230000000000001E-5</v>
      </c>
      <c r="K2265" s="9">
        <v>1.5894999999999999E-4</v>
      </c>
      <c r="L2265" s="9">
        <v>1.469E-5</v>
      </c>
      <c r="M2265" s="9">
        <v>4.3430000000000003E-5</v>
      </c>
      <c r="N2265" s="9">
        <v>6.4410000000000002E-5</v>
      </c>
      <c r="O2265" s="9">
        <v>1.9069999999999999E-5</v>
      </c>
      <c r="P2265" s="9">
        <v>5.6589999999999999E-5</v>
      </c>
      <c r="Q2265" s="9">
        <v>9.3579999999999995E-5</v>
      </c>
      <c r="R2265" s="10">
        <v>6.8702974123769191E-5</v>
      </c>
      <c r="S2265" s="10">
        <v>1.1882073206789825E-5</v>
      </c>
      <c r="T2265" s="10">
        <v>0</v>
      </c>
      <c r="U2265" s="10">
        <v>1.3954000000000001E-4</v>
      </c>
      <c r="V2265" s="25"/>
      <c r="W2265" s="25"/>
      <c r="X2265" s="25"/>
      <c r="Y2265" s="25"/>
      <c r="Z2265" s="25"/>
      <c r="AA2265" s="25"/>
    </row>
    <row r="2266" spans="1:27" x14ac:dyDescent="0.35">
      <c r="A2266" s="5">
        <v>2262</v>
      </c>
      <c r="B2266" s="5">
        <v>95</v>
      </c>
      <c r="C2266" s="5">
        <v>4</v>
      </c>
      <c r="D2266" s="25">
        <v>1.1415000000000001E-4</v>
      </c>
      <c r="E2266" s="25">
        <v>1.137E-4</v>
      </c>
      <c r="F2266" s="25">
        <v>1.0361000000000001E-4</v>
      </c>
      <c r="G2266" s="25">
        <v>1.0614E-4</v>
      </c>
      <c r="H2266" s="25">
        <v>1.3462000000000001E-4</v>
      </c>
      <c r="I2266" s="9">
        <v>1.0983E-4</v>
      </c>
      <c r="J2266" s="9">
        <v>9.4320000000000005E-5</v>
      </c>
      <c r="K2266" s="9">
        <v>1.6531E-4</v>
      </c>
      <c r="L2266" s="9">
        <v>1.7969999999999999E-5</v>
      </c>
      <c r="M2266" s="9">
        <v>4.8310000000000003E-5</v>
      </c>
      <c r="N2266" s="9">
        <v>7.0939999999999995E-5</v>
      </c>
      <c r="O2266" s="9">
        <v>4.5989999999999998E-5</v>
      </c>
      <c r="P2266" s="9">
        <v>7.6279999999999995E-5</v>
      </c>
      <c r="Q2266" s="9">
        <v>1.0621E-4</v>
      </c>
      <c r="R2266" s="10">
        <v>6.1761471184820348E-5</v>
      </c>
      <c r="S2266" s="10">
        <v>8.2687499032086636E-6</v>
      </c>
      <c r="T2266" s="10">
        <v>0</v>
      </c>
      <c r="U2266" s="10">
        <v>1.3954000000000001E-4</v>
      </c>
      <c r="V2266" s="25"/>
      <c r="W2266" s="25"/>
      <c r="X2266" s="25"/>
      <c r="Y2266" s="25"/>
      <c r="Z2266" s="25"/>
      <c r="AA2266" s="25"/>
    </row>
    <row r="2267" spans="1:27" x14ac:dyDescent="0.35">
      <c r="A2267" s="5">
        <v>2263</v>
      </c>
      <c r="B2267" s="5">
        <v>95</v>
      </c>
      <c r="C2267" s="5">
        <v>4</v>
      </c>
      <c r="D2267" s="25">
        <v>1.1416E-4</v>
      </c>
      <c r="E2267" s="25">
        <v>1.2331000000000001E-4</v>
      </c>
      <c r="F2267" s="25">
        <v>1.0757E-4</v>
      </c>
      <c r="G2267" s="25">
        <v>1.1367E-4</v>
      </c>
      <c r="H2267" s="25">
        <v>1.3260999999999999E-4</v>
      </c>
      <c r="I2267" s="9">
        <v>1.1813E-4</v>
      </c>
      <c r="J2267" s="9">
        <v>1.0908000000000001E-4</v>
      </c>
      <c r="K2267" s="9">
        <v>1.5259E-4</v>
      </c>
      <c r="L2267" s="9">
        <v>3.968E-5</v>
      </c>
      <c r="M2267" s="9">
        <v>5.9759999999999997E-5</v>
      </c>
      <c r="N2267" s="9">
        <v>8.0459999999999999E-5</v>
      </c>
      <c r="O2267" s="9">
        <v>1.2392999999999999E-4</v>
      </c>
      <c r="P2267" s="9">
        <v>1.1852E-4</v>
      </c>
      <c r="Q2267" s="9">
        <v>1.1353000000000001E-4</v>
      </c>
      <c r="R2267" s="10">
        <v>5.246193060158023E-5</v>
      </c>
      <c r="S2267" s="10">
        <v>4.7780148368184869E-6</v>
      </c>
      <c r="T2267" s="10">
        <v>6.4574002353934697E-5</v>
      </c>
      <c r="U2267" s="10">
        <v>1.3954000000000001E-4</v>
      </c>
      <c r="V2267" s="25"/>
      <c r="W2267" s="25"/>
      <c r="X2267" s="25"/>
      <c r="Y2267" s="25"/>
      <c r="Z2267" s="25"/>
      <c r="AA2267" s="25"/>
    </row>
    <row r="2268" spans="1:27" x14ac:dyDescent="0.35">
      <c r="A2268" s="5">
        <v>2264</v>
      </c>
      <c r="B2268" s="5">
        <v>95</v>
      </c>
      <c r="C2268" s="5">
        <v>4</v>
      </c>
      <c r="D2268" s="25">
        <v>1.1415000000000001E-4</v>
      </c>
      <c r="E2268" s="25">
        <v>1.198E-4</v>
      </c>
      <c r="F2268" s="25">
        <v>9.0660000000000003E-5</v>
      </c>
      <c r="G2268" s="25">
        <v>1.5954000000000001E-4</v>
      </c>
      <c r="H2268" s="25">
        <v>1.8856E-4</v>
      </c>
      <c r="I2268" s="9">
        <v>1.2611999999999999E-4</v>
      </c>
      <c r="J2268" s="9">
        <v>1.1924E-4</v>
      </c>
      <c r="K2268" s="9">
        <v>1.314E-4</v>
      </c>
      <c r="L2268" s="9">
        <v>1.0479E-4</v>
      </c>
      <c r="M2268" s="9">
        <v>8.386E-5</v>
      </c>
      <c r="N2268" s="9">
        <v>9.0810000000000006E-5</v>
      </c>
      <c r="O2268" s="9">
        <v>2.1851999999999999E-4</v>
      </c>
      <c r="P2268" s="9">
        <v>1.7699999999999999E-4</v>
      </c>
      <c r="Q2268" s="9">
        <v>1.3674E-4</v>
      </c>
      <c r="R2268" s="10">
        <v>4.2797231316987473E-5</v>
      </c>
      <c r="S2268" s="10">
        <v>2.2629206675193799E-6</v>
      </c>
      <c r="T2268" s="10">
        <v>2.7255811662332835E-4</v>
      </c>
      <c r="U2268" s="10">
        <v>1.3954000000000001E-4</v>
      </c>
      <c r="V2268" s="25"/>
      <c r="W2268" s="25"/>
      <c r="X2268" s="25"/>
      <c r="Y2268" s="25"/>
      <c r="Z2268" s="25"/>
      <c r="AA2268" s="25"/>
    </row>
    <row r="2269" spans="1:27" x14ac:dyDescent="0.35">
      <c r="A2269" s="5">
        <v>2265</v>
      </c>
      <c r="B2269" s="5">
        <v>95</v>
      </c>
      <c r="C2269" s="5">
        <v>4</v>
      </c>
      <c r="D2269" s="25">
        <v>1.1416E-4</v>
      </c>
      <c r="E2269" s="25">
        <v>1.1796E-4</v>
      </c>
      <c r="F2269" s="25">
        <v>9.4829999999999998E-5</v>
      </c>
      <c r="G2269" s="25">
        <v>1.6513000000000001E-4</v>
      </c>
      <c r="H2269" s="25">
        <v>1.8731999999999999E-4</v>
      </c>
      <c r="I2269" s="9">
        <v>1.3095000000000001E-4</v>
      </c>
      <c r="J2269" s="9">
        <v>1.2545000000000001E-4</v>
      </c>
      <c r="K2269" s="9">
        <v>1.0597E-4</v>
      </c>
      <c r="L2269" s="9">
        <v>1.9171999999999999E-4</v>
      </c>
      <c r="M2269" s="9">
        <v>1.2364E-4</v>
      </c>
      <c r="N2269" s="9">
        <v>1.0459E-4</v>
      </c>
      <c r="O2269" s="9">
        <v>2.1111E-4</v>
      </c>
      <c r="P2269" s="9">
        <v>1.9393000000000001E-4</v>
      </c>
      <c r="Q2269" s="9">
        <v>1.7761E-4</v>
      </c>
      <c r="R2269" s="10">
        <v>3.2787606319866503E-5</v>
      </c>
      <c r="S2269" s="10">
        <v>9.3283597403098196E-7</v>
      </c>
      <c r="T2269" s="10">
        <v>4.6519413336831421E-4</v>
      </c>
      <c r="U2269" s="10">
        <v>1.3954000000000001E-4</v>
      </c>
      <c r="V2269" s="25"/>
      <c r="W2269" s="25"/>
      <c r="X2269" s="25"/>
      <c r="Y2269" s="25"/>
      <c r="Z2269" s="25"/>
      <c r="AA2269" s="25"/>
    </row>
    <row r="2270" spans="1:27" x14ac:dyDescent="0.35">
      <c r="A2270" s="5">
        <v>2266</v>
      </c>
      <c r="B2270" s="5">
        <v>95</v>
      </c>
      <c r="C2270" s="5">
        <v>4</v>
      </c>
      <c r="D2270" s="25">
        <v>1.1415000000000001E-4</v>
      </c>
      <c r="E2270" s="25">
        <v>1.1797E-4</v>
      </c>
      <c r="F2270" s="25">
        <v>1.0734E-4</v>
      </c>
      <c r="G2270" s="25">
        <v>1.6023E-4</v>
      </c>
      <c r="H2270" s="25">
        <v>1.8927000000000001E-4</v>
      </c>
      <c r="I2270" s="9">
        <v>1.3282999999999999E-4</v>
      </c>
      <c r="J2270" s="9">
        <v>1.2705E-4</v>
      </c>
      <c r="K2270" s="9">
        <v>8.4770000000000003E-5</v>
      </c>
      <c r="L2270" s="9">
        <v>2.0456000000000001E-4</v>
      </c>
      <c r="M2270" s="9">
        <v>1.5902000000000001E-4</v>
      </c>
      <c r="N2270" s="9">
        <v>1.2479E-4</v>
      </c>
      <c r="O2270" s="9">
        <v>1.6545000000000001E-4</v>
      </c>
      <c r="P2270" s="9">
        <v>1.7306999999999999E-4</v>
      </c>
      <c r="Q2270" s="9">
        <v>1.8102E-4</v>
      </c>
      <c r="R2270" s="10">
        <v>7.2637675835008485E-6</v>
      </c>
      <c r="S2270" s="10">
        <v>4.9859876507339281E-7</v>
      </c>
      <c r="T2270" s="10">
        <v>6.1002112327524698E-4</v>
      </c>
      <c r="U2270" s="10">
        <v>1.3954000000000001E-4</v>
      </c>
      <c r="V2270" s="25"/>
      <c r="W2270" s="25"/>
      <c r="X2270" s="25"/>
      <c r="Y2270" s="25"/>
      <c r="Z2270" s="25"/>
      <c r="AA2270" s="25"/>
    </row>
    <row r="2271" spans="1:27" x14ac:dyDescent="0.35">
      <c r="A2271" s="5">
        <v>2267</v>
      </c>
      <c r="B2271" s="5">
        <v>95</v>
      </c>
      <c r="C2271" s="5">
        <v>4</v>
      </c>
      <c r="D2271" s="25">
        <v>1.1416E-4</v>
      </c>
      <c r="E2271" s="25">
        <v>1.197E-4</v>
      </c>
      <c r="F2271" s="25">
        <v>1.0556E-4</v>
      </c>
      <c r="G2271" s="25">
        <v>1.6432999999999999E-4</v>
      </c>
      <c r="H2271" s="25">
        <v>1.9322999999999999E-4</v>
      </c>
      <c r="I2271" s="9">
        <v>1.3441000000000001E-4</v>
      </c>
      <c r="J2271" s="9">
        <v>1.2935E-4</v>
      </c>
      <c r="K2271" s="9">
        <v>7.6299999999999998E-5</v>
      </c>
      <c r="L2271" s="9">
        <v>1.7411999999999999E-4</v>
      </c>
      <c r="M2271" s="9">
        <v>1.7227E-4</v>
      </c>
      <c r="N2271" s="9">
        <v>1.4264E-4</v>
      </c>
      <c r="O2271" s="9">
        <v>1.6489E-4</v>
      </c>
      <c r="P2271" s="9">
        <v>1.7115000000000001E-4</v>
      </c>
      <c r="Q2271" s="9">
        <v>1.7776000000000001E-4</v>
      </c>
      <c r="R2271" s="10">
        <v>4.0011355886629875E-6</v>
      </c>
      <c r="S2271" s="10">
        <v>1.1442076371288528E-6</v>
      </c>
      <c r="T2271" s="10">
        <v>6.4658845347436117E-4</v>
      </c>
      <c r="U2271" s="10">
        <v>1.3954000000000001E-4</v>
      </c>
      <c r="V2271" s="25"/>
      <c r="W2271" s="25"/>
      <c r="X2271" s="25"/>
      <c r="Y2271" s="25"/>
      <c r="Z2271" s="25"/>
      <c r="AA2271" s="25"/>
    </row>
    <row r="2272" spans="1:27" x14ac:dyDescent="0.35">
      <c r="A2272" s="5">
        <v>2268</v>
      </c>
      <c r="B2272" s="5">
        <v>95</v>
      </c>
      <c r="C2272" s="5">
        <v>4</v>
      </c>
      <c r="D2272" s="25">
        <v>1.1415000000000001E-4</v>
      </c>
      <c r="E2272" s="25">
        <v>1.1943E-4</v>
      </c>
      <c r="F2272" s="25">
        <v>9.1669999999999995E-5</v>
      </c>
      <c r="G2272" s="25">
        <v>1.6538999999999999E-4</v>
      </c>
      <c r="H2272" s="25">
        <v>1.9773999999999999E-4</v>
      </c>
      <c r="I2272" s="9">
        <v>1.3025999999999999E-4</v>
      </c>
      <c r="J2272" s="9">
        <v>1.3129E-4</v>
      </c>
      <c r="K2272" s="9">
        <v>6.7819999999999998E-5</v>
      </c>
      <c r="L2272" s="9">
        <v>1.6835999999999999E-4</v>
      </c>
      <c r="M2272" s="9">
        <v>1.7405E-4</v>
      </c>
      <c r="N2272" s="9">
        <v>1.5635000000000001E-4</v>
      </c>
      <c r="O2272" s="9">
        <v>1.6741999999999999E-4</v>
      </c>
      <c r="P2272" s="9">
        <v>1.6964000000000001E-4</v>
      </c>
      <c r="Q2272" s="9">
        <v>1.7228E-4</v>
      </c>
      <c r="R2272" s="10">
        <v>3.6412640922678648E-6</v>
      </c>
      <c r="S2272" s="10">
        <v>3.3600952434099038E-6</v>
      </c>
      <c r="T2272" s="10">
        <v>6.1586680552749515E-4</v>
      </c>
      <c r="U2272" s="10">
        <v>1.3954000000000001E-4</v>
      </c>
      <c r="V2272" s="25"/>
      <c r="W2272" s="25"/>
      <c r="X2272" s="25"/>
      <c r="Y2272" s="25"/>
      <c r="Z2272" s="25"/>
      <c r="AA2272" s="25"/>
    </row>
    <row r="2273" spans="1:27" x14ac:dyDescent="0.35">
      <c r="A2273" s="5">
        <v>2269</v>
      </c>
      <c r="B2273" s="5">
        <v>95</v>
      </c>
      <c r="C2273" s="5">
        <v>4</v>
      </c>
      <c r="D2273" s="25">
        <v>1.1416E-4</v>
      </c>
      <c r="E2273" s="25">
        <v>1.1229E-4</v>
      </c>
      <c r="F2273" s="25">
        <v>1.0587E-4</v>
      </c>
      <c r="G2273" s="25">
        <v>1.6639000000000001E-4</v>
      </c>
      <c r="H2273" s="25">
        <v>1.9436E-4</v>
      </c>
      <c r="I2273" s="9">
        <v>1.2732999999999999E-4</v>
      </c>
      <c r="J2273" s="9">
        <v>1.2584E-4</v>
      </c>
      <c r="K2273" s="9">
        <v>6.9939999999999998E-5</v>
      </c>
      <c r="L2273" s="9">
        <v>1.6782E-4</v>
      </c>
      <c r="M2273" s="9">
        <v>1.7244E-4</v>
      </c>
      <c r="N2273" s="9">
        <v>1.6538999999999999E-4</v>
      </c>
      <c r="O2273" s="9">
        <v>1.6007E-4</v>
      </c>
      <c r="P2273" s="9">
        <v>1.6306E-4</v>
      </c>
      <c r="Q2273" s="9">
        <v>1.6644000000000001E-4</v>
      </c>
      <c r="R2273" s="10">
        <v>2.8286635048901917E-6</v>
      </c>
      <c r="S2273" s="10">
        <v>6.8084632997432071E-6</v>
      </c>
      <c r="T2273" s="10">
        <v>4.703271344751504E-4</v>
      </c>
      <c r="U2273" s="10">
        <v>1.3954000000000001E-4</v>
      </c>
      <c r="V2273" s="25"/>
      <c r="W2273" s="25"/>
      <c r="X2273" s="25"/>
      <c r="Y2273" s="25"/>
      <c r="Z2273" s="25"/>
      <c r="AA2273" s="25"/>
    </row>
    <row r="2274" spans="1:27" x14ac:dyDescent="0.35">
      <c r="A2274" s="5">
        <v>2270</v>
      </c>
      <c r="B2274" s="5">
        <v>95</v>
      </c>
      <c r="C2274" s="5">
        <v>4</v>
      </c>
      <c r="D2274" s="25">
        <v>1.1415000000000001E-4</v>
      </c>
      <c r="E2274" s="25">
        <v>1.2079E-4</v>
      </c>
      <c r="F2274" s="25">
        <v>9.5530000000000002E-5</v>
      </c>
      <c r="G2274" s="25">
        <v>1.6352000000000001E-4</v>
      </c>
      <c r="H2274" s="25">
        <v>1.8812000000000001E-4</v>
      </c>
      <c r="I2274" s="9">
        <v>1.2651000000000001E-4</v>
      </c>
      <c r="J2274" s="9">
        <v>1.2247000000000001E-4</v>
      </c>
      <c r="K2274" s="9">
        <v>5.9339999999999998E-5</v>
      </c>
      <c r="L2274" s="9">
        <v>1.6152000000000001E-4</v>
      </c>
      <c r="M2274" s="9">
        <v>1.6862999999999999E-4</v>
      </c>
      <c r="N2274" s="9">
        <v>1.6951999999999999E-4</v>
      </c>
      <c r="O2274" s="9">
        <v>1.7749000000000001E-4</v>
      </c>
      <c r="P2274" s="9">
        <v>1.6883999999999999E-4</v>
      </c>
      <c r="Q2274" s="9">
        <v>1.6081E-4</v>
      </c>
      <c r="R2274" s="10">
        <v>4.1181284180183018E-6</v>
      </c>
      <c r="S2274" s="10">
        <v>1.2860740304239037E-5</v>
      </c>
      <c r="T2274" s="10">
        <v>4.06660952151681E-4</v>
      </c>
      <c r="U2274" s="10">
        <v>1.3954000000000001E-4</v>
      </c>
      <c r="V2274" s="25"/>
      <c r="W2274" s="25"/>
      <c r="X2274" s="25"/>
      <c r="Y2274" s="25"/>
      <c r="Z2274" s="25"/>
      <c r="AA2274" s="25"/>
    </row>
    <row r="2275" spans="1:27" x14ac:dyDescent="0.35">
      <c r="A2275" s="5">
        <v>2271</v>
      </c>
      <c r="B2275" s="5">
        <v>95</v>
      </c>
      <c r="C2275" s="5">
        <v>4</v>
      </c>
      <c r="D2275" s="25">
        <v>1.1416E-4</v>
      </c>
      <c r="E2275" s="25">
        <v>1.1489000000000001E-4</v>
      </c>
      <c r="F2275" s="25">
        <v>9.768E-5</v>
      </c>
      <c r="G2275" s="25">
        <v>1.6132000000000001E-4</v>
      </c>
      <c r="H2275" s="25">
        <v>1.9201E-4</v>
      </c>
      <c r="I2275" s="9">
        <v>1.2404000000000001E-4</v>
      </c>
      <c r="J2275" s="9">
        <v>1.1843E-4</v>
      </c>
      <c r="K2275" s="9">
        <v>6.3590000000000006E-5</v>
      </c>
      <c r="L2275" s="9">
        <v>1.7412999999999999E-4</v>
      </c>
      <c r="M2275" s="9">
        <v>1.6765000000000001E-4</v>
      </c>
      <c r="N2275" s="9">
        <v>1.6912000000000001E-4</v>
      </c>
      <c r="O2275" s="9">
        <v>1.8205000000000001E-4</v>
      </c>
      <c r="P2275" s="9">
        <v>1.6666000000000001E-4</v>
      </c>
      <c r="Q2275" s="9">
        <v>1.5202E-4</v>
      </c>
      <c r="R2275" s="10">
        <v>7.3040547649661612E-6</v>
      </c>
      <c r="S2275" s="10">
        <v>2.1767266117230303E-5</v>
      </c>
      <c r="T2275" s="10">
        <v>4.2791412202378799E-4</v>
      </c>
      <c r="U2275" s="10">
        <v>1.3954000000000001E-4</v>
      </c>
      <c r="V2275" s="25"/>
      <c r="W2275" s="25"/>
      <c r="X2275" s="25"/>
      <c r="Y2275" s="25"/>
      <c r="Z2275" s="25"/>
      <c r="AA2275" s="25"/>
    </row>
    <row r="2276" spans="1:27" x14ac:dyDescent="0.35">
      <c r="A2276" s="5">
        <v>2272</v>
      </c>
      <c r="B2276" s="5">
        <v>95</v>
      </c>
      <c r="C2276" s="5">
        <v>4</v>
      </c>
      <c r="D2276" s="25">
        <v>1.1415000000000001E-4</v>
      </c>
      <c r="E2276" s="25">
        <v>1.2006E-4</v>
      </c>
      <c r="F2276" s="25">
        <v>1.027E-4</v>
      </c>
      <c r="G2276" s="25">
        <v>1.6040999999999999E-4</v>
      </c>
      <c r="H2276" s="25">
        <v>1.9614E-4</v>
      </c>
      <c r="I2276" s="9">
        <v>1.2289000000000001E-4</v>
      </c>
      <c r="J2276" s="9">
        <v>1.1815999999999999E-4</v>
      </c>
      <c r="K2276" s="9">
        <v>7.6299999999999998E-5</v>
      </c>
      <c r="L2276" s="9">
        <v>1.7997999999999999E-4</v>
      </c>
      <c r="M2276" s="9">
        <v>1.6713000000000001E-4</v>
      </c>
      <c r="N2276" s="9">
        <v>1.6529000000000001E-4</v>
      </c>
      <c r="O2276" s="9">
        <v>1.9689999999999999E-4</v>
      </c>
      <c r="P2276" s="9">
        <v>1.5286E-4</v>
      </c>
      <c r="Q2276" s="9">
        <v>1.1005000000000001E-4</v>
      </c>
      <c r="R2276" s="10">
        <v>1.338119870616016E-5</v>
      </c>
      <c r="S2276" s="10">
        <v>2.9601953840866371E-5</v>
      </c>
      <c r="T2276" s="10">
        <v>4.1691847006600327E-4</v>
      </c>
      <c r="U2276" s="10">
        <v>1.3954000000000001E-4</v>
      </c>
      <c r="V2276" s="25"/>
      <c r="W2276" s="25"/>
      <c r="X2276" s="25"/>
      <c r="Y2276" s="25"/>
      <c r="Z2276" s="25"/>
      <c r="AA2276" s="25"/>
    </row>
    <row r="2277" spans="1:27" x14ac:dyDescent="0.35">
      <c r="A2277" s="5">
        <v>2273</v>
      </c>
      <c r="B2277" s="5">
        <v>95</v>
      </c>
      <c r="C2277" s="5">
        <v>4</v>
      </c>
      <c r="D2277" s="25">
        <v>1.1416E-4</v>
      </c>
      <c r="E2277" s="25">
        <v>1.1451E-4</v>
      </c>
      <c r="F2277" s="25">
        <v>1.1129999999999999E-4</v>
      </c>
      <c r="G2277" s="25">
        <v>1.5932000000000001E-4</v>
      </c>
      <c r="H2277" s="25">
        <v>1.8972999999999999E-4</v>
      </c>
      <c r="I2277" s="9">
        <v>1.2318999999999999E-4</v>
      </c>
      <c r="J2277" s="9">
        <v>1.1883999999999999E-4</v>
      </c>
      <c r="K2277" s="9">
        <v>8.6899999999999998E-5</v>
      </c>
      <c r="L2277" s="9">
        <v>1.9296E-4</v>
      </c>
      <c r="M2277" s="9">
        <v>1.6195000000000001E-4</v>
      </c>
      <c r="N2277" s="9">
        <v>1.5186999999999999E-4</v>
      </c>
      <c r="O2277" s="9">
        <v>2.1431E-4</v>
      </c>
      <c r="P2277" s="9">
        <v>1.6037000000000001E-4</v>
      </c>
      <c r="Q2277" s="9">
        <v>1.0787E-4</v>
      </c>
      <c r="R2277" s="10">
        <v>2.586141926885822E-5</v>
      </c>
      <c r="S2277" s="10">
        <v>3.6144296477750524E-5</v>
      </c>
      <c r="T2277" s="10">
        <v>2.66585169880828E-4</v>
      </c>
      <c r="U2277" s="10">
        <v>1.3954000000000001E-4</v>
      </c>
      <c r="V2277" s="25"/>
      <c r="W2277" s="25"/>
      <c r="X2277" s="25"/>
      <c r="Y2277" s="25"/>
      <c r="Z2277" s="25"/>
      <c r="AA2277" s="25"/>
    </row>
    <row r="2278" spans="1:27" x14ac:dyDescent="0.35">
      <c r="A2278" s="5">
        <v>2274</v>
      </c>
      <c r="B2278" s="5">
        <v>95</v>
      </c>
      <c r="C2278" s="5">
        <v>4</v>
      </c>
      <c r="D2278" s="25">
        <v>1.1415000000000001E-4</v>
      </c>
      <c r="E2278" s="25">
        <v>1.2229E-4</v>
      </c>
      <c r="F2278" s="25">
        <v>1.0478E-4</v>
      </c>
      <c r="G2278" s="25">
        <v>1.5699999999999999E-4</v>
      </c>
      <c r="H2278" s="25">
        <v>1.8833000000000001E-4</v>
      </c>
      <c r="I2278" s="9">
        <v>1.2413999999999999E-4</v>
      </c>
      <c r="J2278" s="9">
        <v>1.1552000000000001E-4</v>
      </c>
      <c r="K2278" s="9">
        <v>1.0173E-4</v>
      </c>
      <c r="L2278" s="9">
        <v>2.0934999999999999E-4</v>
      </c>
      <c r="M2278" s="9">
        <v>1.5993999999999999E-4</v>
      </c>
      <c r="N2278" s="9">
        <v>1.3891000000000001E-4</v>
      </c>
      <c r="O2278" s="9">
        <v>2.0338999999999999E-4</v>
      </c>
      <c r="P2278" s="9">
        <v>1.5962999999999999E-4</v>
      </c>
      <c r="Q2278" s="9">
        <v>1.1712E-4</v>
      </c>
      <c r="R2278" s="10">
        <v>3.8901263836239889E-5</v>
      </c>
      <c r="S2278" s="10">
        <v>4.2195284122193578E-5</v>
      </c>
      <c r="T2278" s="10">
        <v>7.1734751005454983E-5</v>
      </c>
      <c r="U2278" s="10">
        <v>1.3954000000000001E-4</v>
      </c>
      <c r="V2278" s="25"/>
      <c r="W2278" s="25"/>
      <c r="X2278" s="25"/>
      <c r="Y2278" s="25"/>
      <c r="Z2278" s="25"/>
      <c r="AA2278" s="25"/>
    </row>
    <row r="2279" spans="1:27" x14ac:dyDescent="0.35">
      <c r="A2279" s="5">
        <v>2275</v>
      </c>
      <c r="B2279" s="5">
        <v>95</v>
      </c>
      <c r="C2279" s="5">
        <v>4</v>
      </c>
      <c r="D2279" s="25">
        <v>1.1416E-4</v>
      </c>
      <c r="E2279" s="25">
        <v>1.1297E-4</v>
      </c>
      <c r="F2279" s="25">
        <v>9.0920000000000004E-5</v>
      </c>
      <c r="G2279" s="25">
        <v>1.1381E-4</v>
      </c>
      <c r="H2279" s="25">
        <v>1.3307E-4</v>
      </c>
      <c r="I2279" s="9">
        <v>1.2113E-4</v>
      </c>
      <c r="J2279" s="9">
        <v>1.1349E-4</v>
      </c>
      <c r="K2279" s="9">
        <v>1.3352000000000001E-4</v>
      </c>
      <c r="L2279" s="9">
        <v>2.0427999999999999E-4</v>
      </c>
      <c r="M2279" s="9">
        <v>1.5945999999999999E-4</v>
      </c>
      <c r="N2279" s="9">
        <v>1.2988E-4</v>
      </c>
      <c r="O2279" s="9">
        <v>1.6452E-4</v>
      </c>
      <c r="P2279" s="9">
        <v>1.3563E-4</v>
      </c>
      <c r="Q2279" s="9">
        <v>1.0765E-4</v>
      </c>
      <c r="R2279" s="10">
        <v>5.3100882386756784E-5</v>
      </c>
      <c r="S2279" s="10">
        <v>4.847973568956204E-5</v>
      </c>
      <c r="T2279" s="10">
        <v>0</v>
      </c>
      <c r="U2279" s="10">
        <v>1.3954000000000001E-4</v>
      </c>
      <c r="V2279" s="25"/>
      <c r="W2279" s="25"/>
      <c r="X2279" s="25"/>
      <c r="Y2279" s="25"/>
      <c r="Z2279" s="25"/>
      <c r="AA2279" s="25"/>
    </row>
    <row r="2280" spans="1:27" x14ac:dyDescent="0.35">
      <c r="A2280" s="5">
        <v>2276</v>
      </c>
      <c r="B2280" s="5">
        <v>95</v>
      </c>
      <c r="C2280" s="5">
        <v>4</v>
      </c>
      <c r="D2280" s="25">
        <v>1.1415000000000001E-4</v>
      </c>
      <c r="E2280" s="25">
        <v>1.1381E-4</v>
      </c>
      <c r="F2280" s="25">
        <v>1.0974E-4</v>
      </c>
      <c r="G2280" s="25">
        <v>1.0794E-4</v>
      </c>
      <c r="H2280" s="25">
        <v>1.2735000000000001E-4</v>
      </c>
      <c r="I2280" s="9">
        <v>1.2165E-4</v>
      </c>
      <c r="J2280" s="9">
        <v>1.1565000000000001E-4</v>
      </c>
      <c r="K2280" s="9">
        <v>1.3776000000000001E-4</v>
      </c>
      <c r="L2280" s="9">
        <v>1.7348E-4</v>
      </c>
      <c r="M2280" s="9">
        <v>1.5088999999999999E-4</v>
      </c>
      <c r="N2280" s="9">
        <v>1.2099000000000001E-4</v>
      </c>
      <c r="O2280" s="9">
        <v>1.2725E-4</v>
      </c>
      <c r="P2280" s="9">
        <v>1.1383999999999999E-4</v>
      </c>
      <c r="Q2280" s="9">
        <v>1.0098E-4</v>
      </c>
      <c r="R2280" s="10">
        <v>7.0415739833480052E-5</v>
      </c>
      <c r="S2280" s="10">
        <v>5.3602946850002971E-5</v>
      </c>
      <c r="T2280" s="10">
        <v>0</v>
      </c>
      <c r="U2280" s="10">
        <v>1.3954000000000001E-4</v>
      </c>
      <c r="V2280" s="25"/>
      <c r="W2280" s="25"/>
      <c r="X2280" s="25"/>
      <c r="Y2280" s="25"/>
      <c r="Z2280" s="25"/>
      <c r="AA2280" s="25"/>
    </row>
    <row r="2281" spans="1:27" x14ac:dyDescent="0.35">
      <c r="A2281" s="5">
        <v>2277</v>
      </c>
      <c r="B2281" s="5">
        <v>95</v>
      </c>
      <c r="C2281" s="5">
        <v>4</v>
      </c>
      <c r="D2281" s="25">
        <v>1.1416E-4</v>
      </c>
      <c r="E2281" s="25">
        <v>1.2237000000000001E-4</v>
      </c>
      <c r="F2281" s="25">
        <v>9.1509999999999996E-5</v>
      </c>
      <c r="G2281" s="25">
        <v>6.1279999999999996E-5</v>
      </c>
      <c r="H2281" s="25">
        <v>6.7100000000000005E-5</v>
      </c>
      <c r="I2281" s="9">
        <v>1.2121999999999999E-4</v>
      </c>
      <c r="J2281" s="9">
        <v>1.1387000000000001E-4</v>
      </c>
      <c r="K2281" s="9">
        <v>1.7166999999999999E-4</v>
      </c>
      <c r="L2281" s="9">
        <v>1.3839000000000001E-4</v>
      </c>
      <c r="M2281" s="9">
        <v>1.3515000000000001E-4</v>
      </c>
      <c r="N2281" s="9">
        <v>1.1315E-4</v>
      </c>
      <c r="O2281" s="9">
        <v>8.5270000000000002E-5</v>
      </c>
      <c r="P2281" s="9">
        <v>8.708E-5</v>
      </c>
      <c r="Q2281" s="9">
        <v>8.9090000000000003E-5</v>
      </c>
      <c r="R2281" s="10">
        <v>8.2358296445827399E-5</v>
      </c>
      <c r="S2281" s="10">
        <v>5.6698958267877733E-5</v>
      </c>
      <c r="T2281" s="10">
        <v>0</v>
      </c>
      <c r="U2281" s="10">
        <v>1.3954000000000001E-4</v>
      </c>
      <c r="V2281" s="25"/>
      <c r="W2281" s="25"/>
      <c r="X2281" s="25"/>
      <c r="Y2281" s="25"/>
      <c r="Z2281" s="25"/>
      <c r="AA2281" s="25"/>
    </row>
    <row r="2282" spans="1:27" x14ac:dyDescent="0.35">
      <c r="A2282" s="5">
        <v>2278</v>
      </c>
      <c r="B2282" s="5">
        <v>95</v>
      </c>
      <c r="C2282" s="5">
        <v>4</v>
      </c>
      <c r="D2282" s="25">
        <v>1.1415000000000001E-4</v>
      </c>
      <c r="E2282" s="25">
        <v>1.1993999999999999E-4</v>
      </c>
      <c r="F2282" s="25">
        <v>9.4010000000000003E-5</v>
      </c>
      <c r="G2282" s="25">
        <v>5.3000000000000001E-5</v>
      </c>
      <c r="H2282" s="25">
        <v>7.4430000000000004E-5</v>
      </c>
      <c r="I2282" s="9">
        <v>1.2059E-4</v>
      </c>
      <c r="J2282" s="9">
        <v>1.0463000000000001E-4</v>
      </c>
      <c r="K2282" s="9">
        <v>1.9498000000000001E-4</v>
      </c>
      <c r="L2282" s="9">
        <v>9.789E-5</v>
      </c>
      <c r="M2282" s="9">
        <v>1.1379000000000001E-4</v>
      </c>
      <c r="N2282" s="9">
        <v>1.0572E-4</v>
      </c>
      <c r="O2282" s="9">
        <v>8.8010000000000006E-5</v>
      </c>
      <c r="P2282" s="9">
        <v>8.8430000000000005E-5</v>
      </c>
      <c r="Q2282" s="9">
        <v>8.9090000000000003E-5</v>
      </c>
      <c r="R2282" s="10">
        <v>7.3217588500371617E-5</v>
      </c>
      <c r="S2282" s="10">
        <v>6.5484307575197515E-5</v>
      </c>
      <c r="T2282" s="10">
        <v>0</v>
      </c>
      <c r="U2282" s="10">
        <v>1.3954000000000001E-4</v>
      </c>
      <c r="V2282" s="25"/>
      <c r="W2282" s="25"/>
      <c r="X2282" s="25"/>
      <c r="Y2282" s="25"/>
      <c r="Z2282" s="25"/>
      <c r="AA2282" s="25"/>
    </row>
    <row r="2283" spans="1:27" x14ac:dyDescent="0.35">
      <c r="A2283" s="5">
        <v>2279</v>
      </c>
      <c r="B2283" s="5">
        <v>95</v>
      </c>
      <c r="C2283" s="5">
        <v>4</v>
      </c>
      <c r="D2283" s="25">
        <v>1.1416E-4</v>
      </c>
      <c r="E2283" s="25">
        <v>1.2250999999999999E-4</v>
      </c>
      <c r="F2283" s="25">
        <v>1.0946999999999999E-4</v>
      </c>
      <c r="G2283" s="25">
        <v>5.9150000000000001E-5</v>
      </c>
      <c r="H2283" s="25">
        <v>7.4460000000000002E-5</v>
      </c>
      <c r="I2283" s="9">
        <v>1.1862E-4</v>
      </c>
      <c r="J2283" s="9">
        <v>9.6810000000000003E-5</v>
      </c>
      <c r="K2283" s="9">
        <v>1.9922000000000001E-4</v>
      </c>
      <c r="L2283" s="9">
        <v>9.1089999999999997E-5</v>
      </c>
      <c r="M2283" s="9">
        <v>9.9439999999999997E-5</v>
      </c>
      <c r="N2283" s="9">
        <v>1.0007E-4</v>
      </c>
      <c r="O2283" s="9">
        <v>7.7239999999999999E-5</v>
      </c>
      <c r="P2283" s="9">
        <v>7.1719999999999998E-5</v>
      </c>
      <c r="Q2283" s="9">
        <v>6.6500000000000004E-5</v>
      </c>
      <c r="R2283" s="10">
        <v>5.947860181890759E-5</v>
      </c>
      <c r="S2283" s="10">
        <v>7.4015392103642824E-5</v>
      </c>
      <c r="T2283" s="10">
        <v>0</v>
      </c>
      <c r="U2283" s="10">
        <v>1.3954000000000001E-4</v>
      </c>
      <c r="V2283" s="25"/>
      <c r="W2283" s="25"/>
      <c r="X2283" s="25"/>
      <c r="Y2283" s="25"/>
      <c r="Z2283" s="25"/>
      <c r="AA2283" s="25"/>
    </row>
    <row r="2284" spans="1:27" x14ac:dyDescent="0.35">
      <c r="A2284" s="5">
        <v>2280</v>
      </c>
      <c r="B2284" s="5">
        <v>95</v>
      </c>
      <c r="C2284" s="5">
        <v>4</v>
      </c>
      <c r="D2284" s="25">
        <v>1.1415000000000001E-4</v>
      </c>
      <c r="E2284" s="25">
        <v>1.1279E-4</v>
      </c>
      <c r="F2284" s="25">
        <v>9.1890000000000003E-5</v>
      </c>
      <c r="G2284" s="25">
        <v>5.842E-5</v>
      </c>
      <c r="H2284" s="25">
        <v>6.7299999999999996E-5</v>
      </c>
      <c r="I2284" s="9">
        <v>1.0938999999999999E-4</v>
      </c>
      <c r="J2284" s="9">
        <v>8.9300000000000002E-5</v>
      </c>
      <c r="K2284" s="9">
        <v>2.0557999999999999E-4</v>
      </c>
      <c r="L2284" s="9">
        <v>8.0259999999999994E-5</v>
      </c>
      <c r="M2284" s="9">
        <v>8.632E-5</v>
      </c>
      <c r="N2284" s="9">
        <v>9.0710000000000004E-5</v>
      </c>
      <c r="O2284" s="9">
        <v>6.2929999999999995E-5</v>
      </c>
      <c r="P2284" s="9">
        <v>6.0900000000000003E-5</v>
      </c>
      <c r="Q2284" s="9">
        <v>5.9079999999999997E-5</v>
      </c>
      <c r="R2284" s="10">
        <v>5.2873356035927059E-5</v>
      </c>
      <c r="S2284" s="10">
        <v>5.5113995994519246E-5</v>
      </c>
      <c r="T2284" s="10">
        <v>0</v>
      </c>
      <c r="U2284" s="10">
        <v>1.3954000000000001E-4</v>
      </c>
      <c r="V2284" s="25"/>
      <c r="W2284" s="25"/>
      <c r="X2284" s="25"/>
      <c r="Y2284" s="25"/>
      <c r="Z2284" s="25"/>
      <c r="AA2284" s="25"/>
    </row>
    <row r="2285" spans="1:27" x14ac:dyDescent="0.35">
      <c r="A2285" s="5">
        <v>2281</v>
      </c>
      <c r="B2285" s="5">
        <v>96</v>
      </c>
      <c r="C2285" s="5">
        <v>4</v>
      </c>
      <c r="D2285" s="25">
        <v>1.1416E-4</v>
      </c>
      <c r="E2285" s="25">
        <v>1.1064E-4</v>
      </c>
      <c r="F2285" s="25">
        <v>1.2867999999999999E-4</v>
      </c>
      <c r="G2285" s="25">
        <v>5.2509999999999997E-5</v>
      </c>
      <c r="H2285" s="25">
        <v>6.8250000000000006E-5</v>
      </c>
      <c r="I2285" s="9">
        <v>1.0323999999999999E-4</v>
      </c>
      <c r="J2285" s="9">
        <v>8.4010000000000004E-5</v>
      </c>
      <c r="K2285" s="9">
        <v>2.1193000000000001E-4</v>
      </c>
      <c r="L2285" s="9">
        <v>6.6779999999999994E-5</v>
      </c>
      <c r="M2285" s="9">
        <v>7.4129999999999997E-5</v>
      </c>
      <c r="N2285" s="9">
        <v>8.1310000000000006E-5</v>
      </c>
      <c r="O2285" s="9">
        <v>5.4849999999999998E-5</v>
      </c>
      <c r="P2285" s="9">
        <v>5.427E-5</v>
      </c>
      <c r="Q2285" s="9">
        <v>5.384E-5</v>
      </c>
      <c r="R2285" s="10">
        <v>4.4529131965514559E-5</v>
      </c>
      <c r="S2285" s="10">
        <v>5.6505337667400519E-5</v>
      </c>
      <c r="T2285" s="10">
        <v>0</v>
      </c>
      <c r="U2285" s="10">
        <v>1.359E-4</v>
      </c>
      <c r="V2285" s="25"/>
      <c r="W2285" s="25"/>
      <c r="X2285" s="25"/>
      <c r="Y2285" s="25"/>
      <c r="Z2285" s="25"/>
      <c r="AA2285" s="25"/>
    </row>
    <row r="2286" spans="1:27" x14ac:dyDescent="0.35">
      <c r="A2286" s="5">
        <v>2282</v>
      </c>
      <c r="B2286" s="5">
        <v>96</v>
      </c>
      <c r="C2286" s="5">
        <v>4</v>
      </c>
      <c r="D2286" s="25">
        <v>1.1415000000000001E-4</v>
      </c>
      <c r="E2286" s="25">
        <v>1.1900000000000001E-4</v>
      </c>
      <c r="F2286" s="25">
        <v>1.3702000000000001E-4</v>
      </c>
      <c r="G2286" s="25">
        <v>6.1370000000000004E-5</v>
      </c>
      <c r="H2286" s="25">
        <v>6.8999999999999997E-5</v>
      </c>
      <c r="I2286" s="9">
        <v>9.8930000000000003E-5</v>
      </c>
      <c r="J2286" s="9">
        <v>8.2880000000000006E-5</v>
      </c>
      <c r="K2286" s="9">
        <v>2.0769000000000001E-4</v>
      </c>
      <c r="L2286" s="9">
        <v>5.7849999999999997E-5</v>
      </c>
      <c r="M2286" s="9">
        <v>6.4090000000000005E-5</v>
      </c>
      <c r="N2286" s="9">
        <v>7.2290000000000001E-5</v>
      </c>
      <c r="O2286" s="9">
        <v>1.908E-5</v>
      </c>
      <c r="P2286" s="9">
        <v>3.7759999999999998E-5</v>
      </c>
      <c r="Q2286" s="9">
        <v>5.6199999999999997E-5</v>
      </c>
      <c r="R2286" s="10">
        <v>3.7903009361900604E-5</v>
      </c>
      <c r="S2286" s="10">
        <v>7.2019875384650377E-5</v>
      </c>
      <c r="T2286" s="10">
        <v>0</v>
      </c>
      <c r="U2286" s="10">
        <v>1.359E-4</v>
      </c>
      <c r="V2286" s="25"/>
      <c r="W2286" s="25"/>
      <c r="X2286" s="25"/>
      <c r="Y2286" s="25"/>
      <c r="Z2286" s="25"/>
      <c r="AA2286" s="25"/>
    </row>
    <row r="2287" spans="1:27" x14ac:dyDescent="0.35">
      <c r="A2287" s="5">
        <v>2283</v>
      </c>
      <c r="B2287" s="5">
        <v>96</v>
      </c>
      <c r="C2287" s="5">
        <v>4</v>
      </c>
      <c r="D2287" s="25">
        <v>1.1416E-4</v>
      </c>
      <c r="E2287" s="25">
        <v>1.1892000000000001E-4</v>
      </c>
      <c r="F2287" s="25">
        <v>1.3133E-4</v>
      </c>
      <c r="G2287" s="25">
        <v>5.6150000000000003E-5</v>
      </c>
      <c r="H2287" s="25">
        <v>6.2830000000000007E-5</v>
      </c>
      <c r="I2287" s="9">
        <v>9.7819999999999995E-5</v>
      </c>
      <c r="J2287" s="9">
        <v>8.6580000000000001E-5</v>
      </c>
      <c r="K2287" s="9">
        <v>2.0981E-4</v>
      </c>
      <c r="L2287" s="9">
        <v>2.7800000000000001E-5</v>
      </c>
      <c r="M2287" s="9">
        <v>5.2330000000000002E-5</v>
      </c>
      <c r="N2287" s="9">
        <v>6.5679999999999995E-5</v>
      </c>
      <c r="O2287" s="9">
        <v>1.375E-5</v>
      </c>
      <c r="P2287" s="9">
        <v>3.8090000000000003E-5</v>
      </c>
      <c r="Q2287" s="9">
        <v>6.2089999999999997E-5</v>
      </c>
      <c r="R2287" s="10">
        <v>3.898697371403381E-5</v>
      </c>
      <c r="S2287" s="10">
        <v>8.0845119164056189E-5</v>
      </c>
      <c r="T2287" s="10">
        <v>0</v>
      </c>
      <c r="U2287" s="10">
        <v>1.359E-4</v>
      </c>
      <c r="V2287" s="25"/>
      <c r="W2287" s="25"/>
      <c r="X2287" s="25"/>
      <c r="Y2287" s="25"/>
      <c r="Z2287" s="25"/>
      <c r="AA2287" s="25"/>
    </row>
    <row r="2288" spans="1:27" x14ac:dyDescent="0.35">
      <c r="A2288" s="5">
        <v>2284</v>
      </c>
      <c r="B2288" s="5">
        <v>96</v>
      </c>
      <c r="C2288" s="5">
        <v>4</v>
      </c>
      <c r="D2288" s="25">
        <v>1.1415000000000001E-4</v>
      </c>
      <c r="E2288" s="25">
        <v>1.1479E-4</v>
      </c>
      <c r="F2288" s="25">
        <v>1.2011E-4</v>
      </c>
      <c r="G2288" s="25">
        <v>5.694E-5</v>
      </c>
      <c r="H2288" s="25">
        <v>6.6370000000000003E-5</v>
      </c>
      <c r="I2288" s="9">
        <v>9.9329999999999999E-5</v>
      </c>
      <c r="J2288" s="9">
        <v>8.6429999999999997E-5</v>
      </c>
      <c r="K2288" s="9">
        <v>2.0770000000000001E-4</v>
      </c>
      <c r="L2288" s="9">
        <v>1.7589999999999999E-5</v>
      </c>
      <c r="M2288" s="9">
        <v>4.439E-5</v>
      </c>
      <c r="N2288" s="9">
        <v>6.2150000000000006E-5</v>
      </c>
      <c r="O2288" s="9">
        <v>1.3699999999999999E-5</v>
      </c>
      <c r="P2288" s="9">
        <v>4.7429999999999998E-5</v>
      </c>
      <c r="Q2288" s="9">
        <v>8.0669999999999998E-5</v>
      </c>
      <c r="R2288" s="10">
        <v>5.042206636417325E-5</v>
      </c>
      <c r="S2288" s="10">
        <v>8.662247433632491E-5</v>
      </c>
      <c r="T2288" s="10">
        <v>0</v>
      </c>
      <c r="U2288" s="10">
        <v>1.359E-4</v>
      </c>
      <c r="V2288" s="25"/>
      <c r="W2288" s="25"/>
      <c r="X2288" s="25"/>
      <c r="Y2288" s="25"/>
      <c r="Z2288" s="25"/>
      <c r="AA2288" s="25"/>
    </row>
    <row r="2289" spans="1:27" x14ac:dyDescent="0.35">
      <c r="A2289" s="5">
        <v>2285</v>
      </c>
      <c r="B2289" s="5">
        <v>96</v>
      </c>
      <c r="C2289" s="5">
        <v>4</v>
      </c>
      <c r="D2289" s="25">
        <v>1.1416E-4</v>
      </c>
      <c r="E2289" s="25">
        <v>1.1331E-4</v>
      </c>
      <c r="F2289" s="25">
        <v>1.3651000000000001E-4</v>
      </c>
      <c r="G2289" s="25">
        <v>5.6310000000000001E-5</v>
      </c>
      <c r="H2289" s="25">
        <v>7.0950000000000003E-5</v>
      </c>
      <c r="I2289" s="9">
        <v>1.0513E-4</v>
      </c>
      <c r="J2289" s="9">
        <v>8.81E-5</v>
      </c>
      <c r="K2289" s="9">
        <v>2.0133999999999999E-4</v>
      </c>
      <c r="L2289" s="9">
        <v>1.4800000000000001E-5</v>
      </c>
      <c r="M2289" s="9">
        <v>4.371E-5</v>
      </c>
      <c r="N2289" s="9">
        <v>6.4720000000000004E-5</v>
      </c>
      <c r="O2289" s="9">
        <v>1.908E-5</v>
      </c>
      <c r="P2289" s="9">
        <v>5.664E-5</v>
      </c>
      <c r="Q2289" s="9">
        <v>9.3659999999999994E-5</v>
      </c>
      <c r="R2289" s="10">
        <v>6.009602721252847E-5</v>
      </c>
      <c r="S2289" s="10">
        <v>8.2498071770053518E-5</v>
      </c>
      <c r="T2289" s="10">
        <v>0</v>
      </c>
      <c r="U2289" s="10">
        <v>1.359E-4</v>
      </c>
      <c r="V2289" s="25"/>
      <c r="W2289" s="25"/>
      <c r="X2289" s="25"/>
      <c r="Y2289" s="25"/>
      <c r="Z2289" s="25"/>
      <c r="AA2289" s="25"/>
    </row>
    <row r="2290" spans="1:27" x14ac:dyDescent="0.35">
      <c r="A2290" s="5">
        <v>2286</v>
      </c>
      <c r="B2290" s="5">
        <v>96</v>
      </c>
      <c r="C2290" s="5">
        <v>4</v>
      </c>
      <c r="D2290" s="25">
        <v>1.1415000000000001E-4</v>
      </c>
      <c r="E2290" s="25">
        <v>1.1578000000000001E-4</v>
      </c>
      <c r="F2290" s="25">
        <v>1.3315000000000001E-4</v>
      </c>
      <c r="G2290" s="25">
        <v>1.1217000000000001E-4</v>
      </c>
      <c r="H2290" s="25">
        <v>1.3511999999999999E-4</v>
      </c>
      <c r="I2290" s="9">
        <v>1.1535E-4</v>
      </c>
      <c r="J2290" s="9">
        <v>9.5829999999999996E-5</v>
      </c>
      <c r="K2290" s="9">
        <v>1.9074000000000001E-4</v>
      </c>
      <c r="L2290" s="9">
        <v>1.8009999999999999E-5</v>
      </c>
      <c r="M2290" s="9">
        <v>4.8539999999999999E-5</v>
      </c>
      <c r="N2290" s="9">
        <v>7.1229999999999994E-5</v>
      </c>
      <c r="O2290" s="9">
        <v>4.617E-5</v>
      </c>
      <c r="P2290" s="9">
        <v>7.6569999999999994E-5</v>
      </c>
      <c r="Q2290" s="9">
        <v>1.0662000000000001E-4</v>
      </c>
      <c r="R2290" s="10">
        <v>6.169580298390273E-5</v>
      </c>
      <c r="S2290" s="10">
        <v>8.4231085632453142E-5</v>
      </c>
      <c r="T2290" s="10">
        <v>0</v>
      </c>
      <c r="U2290" s="10">
        <v>1.359E-4</v>
      </c>
      <c r="V2290" s="25"/>
      <c r="W2290" s="25"/>
      <c r="X2290" s="25"/>
      <c r="Y2290" s="25"/>
      <c r="Z2290" s="25"/>
      <c r="AA2290" s="25"/>
    </row>
    <row r="2291" spans="1:27" x14ac:dyDescent="0.35">
      <c r="A2291" s="5">
        <v>2287</v>
      </c>
      <c r="B2291" s="5">
        <v>96</v>
      </c>
      <c r="C2291" s="5">
        <v>4</v>
      </c>
      <c r="D2291" s="25">
        <v>1.1416E-4</v>
      </c>
      <c r="E2291" s="25">
        <v>1.1174E-4</v>
      </c>
      <c r="F2291" s="25">
        <v>1.3809E-4</v>
      </c>
      <c r="G2291" s="25">
        <v>1.0828999999999999E-4</v>
      </c>
      <c r="H2291" s="25">
        <v>1.3175E-4</v>
      </c>
      <c r="I2291" s="9">
        <v>1.2125000000000001E-4</v>
      </c>
      <c r="J2291" s="9">
        <v>1.1064E-4</v>
      </c>
      <c r="K2291" s="9">
        <v>1.6955E-4</v>
      </c>
      <c r="L2291" s="9">
        <v>3.9830000000000003E-5</v>
      </c>
      <c r="M2291" s="9">
        <v>5.999E-5</v>
      </c>
      <c r="N2291" s="9">
        <v>8.0799999999999999E-5</v>
      </c>
      <c r="O2291" s="9">
        <v>1.2224999999999999E-4</v>
      </c>
      <c r="P2291" s="9">
        <v>1.1691E-4</v>
      </c>
      <c r="Q2291" s="9">
        <v>1.1199E-4</v>
      </c>
      <c r="R2291" s="10">
        <v>6.0228438182624178E-5</v>
      </c>
      <c r="S2291" s="10">
        <v>8.1134246846408385E-5</v>
      </c>
      <c r="T2291" s="10">
        <v>2.8727837599582562E-5</v>
      </c>
      <c r="U2291" s="10">
        <v>1.359E-4</v>
      </c>
      <c r="V2291" s="25"/>
      <c r="W2291" s="25"/>
      <c r="X2291" s="25"/>
      <c r="Y2291" s="25"/>
      <c r="Z2291" s="25"/>
      <c r="AA2291" s="25"/>
    </row>
    <row r="2292" spans="1:27" x14ac:dyDescent="0.35">
      <c r="A2292" s="5">
        <v>2288</v>
      </c>
      <c r="B2292" s="5">
        <v>96</v>
      </c>
      <c r="C2292" s="5">
        <v>4</v>
      </c>
      <c r="D2292" s="25">
        <v>1.1415000000000001E-4</v>
      </c>
      <c r="E2292" s="25">
        <v>1.1725E-4</v>
      </c>
      <c r="F2292" s="25">
        <v>1.16E-4</v>
      </c>
      <c r="G2292" s="25">
        <v>1.5868999999999999E-4</v>
      </c>
      <c r="H2292" s="25">
        <v>1.8976E-4</v>
      </c>
      <c r="I2292" s="9">
        <v>1.2808000000000001E-4</v>
      </c>
      <c r="J2292" s="9">
        <v>1.2113E-4</v>
      </c>
      <c r="K2292" s="9">
        <v>1.3774999999999999E-4</v>
      </c>
      <c r="L2292" s="9">
        <v>1.0351E-4</v>
      </c>
      <c r="M2292" s="9">
        <v>8.3430000000000006E-5</v>
      </c>
      <c r="N2292" s="9">
        <v>9.0760000000000005E-5</v>
      </c>
      <c r="O2292" s="9">
        <v>2.1615E-4</v>
      </c>
      <c r="P2292" s="9">
        <v>1.7508000000000001E-4</v>
      </c>
      <c r="Q2292" s="9">
        <v>1.3525000000000001E-4</v>
      </c>
      <c r="R2292" s="10">
        <v>5.4104871963826666E-5</v>
      </c>
      <c r="S2292" s="10">
        <v>7.6347495758976696E-5</v>
      </c>
      <c r="T2292" s="10">
        <v>8.6344714486400395E-5</v>
      </c>
      <c r="U2292" s="10">
        <v>1.359E-4</v>
      </c>
      <c r="V2292" s="25"/>
      <c r="W2292" s="25"/>
      <c r="X2292" s="25"/>
      <c r="Y2292" s="25"/>
      <c r="Z2292" s="25"/>
      <c r="AA2292" s="25"/>
    </row>
    <row r="2293" spans="1:27" x14ac:dyDescent="0.35">
      <c r="A2293" s="5">
        <v>2289</v>
      </c>
      <c r="B2293" s="5">
        <v>96</v>
      </c>
      <c r="C2293" s="5">
        <v>4</v>
      </c>
      <c r="D2293" s="25">
        <v>1.1416E-4</v>
      </c>
      <c r="E2293" s="25">
        <v>1.0950000000000001E-4</v>
      </c>
      <c r="F2293" s="25">
        <v>1.2944000000000001E-4</v>
      </c>
      <c r="G2293" s="25">
        <v>1.6254999999999999E-4</v>
      </c>
      <c r="H2293" s="25">
        <v>1.9196E-4</v>
      </c>
      <c r="I2293" s="9">
        <v>1.3216000000000001E-4</v>
      </c>
      <c r="J2293" s="9">
        <v>1.2579E-4</v>
      </c>
      <c r="K2293" s="9">
        <v>1.1444E-4</v>
      </c>
      <c r="L2293" s="9">
        <v>1.8963000000000001E-4</v>
      </c>
      <c r="M2293" s="9">
        <v>1.2249E-4</v>
      </c>
      <c r="N2293" s="9">
        <v>1.0415E-4</v>
      </c>
      <c r="O2293" s="9">
        <v>2.1151000000000001E-4</v>
      </c>
      <c r="P2293" s="9">
        <v>1.9430000000000001E-4</v>
      </c>
      <c r="Q2293" s="9">
        <v>1.7794999999999999E-4</v>
      </c>
      <c r="R2293" s="10">
        <v>4.2459744744504389E-5</v>
      </c>
      <c r="S2293" s="10">
        <v>7.3874836753469577E-5</v>
      </c>
      <c r="T2293" s="10">
        <v>9.7433693737036662E-5</v>
      </c>
      <c r="U2293" s="10">
        <v>1.359E-4</v>
      </c>
      <c r="V2293" s="25"/>
      <c r="W2293" s="25"/>
      <c r="X2293" s="25"/>
      <c r="Y2293" s="25"/>
      <c r="Z2293" s="25"/>
      <c r="AA2293" s="25"/>
    </row>
    <row r="2294" spans="1:27" x14ac:dyDescent="0.35">
      <c r="A2294" s="5">
        <v>2290</v>
      </c>
      <c r="B2294" s="5">
        <v>96</v>
      </c>
      <c r="C2294" s="5">
        <v>4</v>
      </c>
      <c r="D2294" s="25">
        <v>1.1415000000000001E-4</v>
      </c>
      <c r="E2294" s="25">
        <v>1.1394E-4</v>
      </c>
      <c r="F2294" s="25">
        <v>1.2339999999999999E-4</v>
      </c>
      <c r="G2294" s="25">
        <v>1.6760000000000001E-4</v>
      </c>
      <c r="H2294" s="25">
        <v>1.9002999999999999E-4</v>
      </c>
      <c r="I2294" s="9">
        <v>1.3328999999999999E-4</v>
      </c>
      <c r="J2294" s="9">
        <v>1.2643999999999999E-4</v>
      </c>
      <c r="K2294" s="9">
        <v>9.3250000000000003E-5</v>
      </c>
      <c r="L2294" s="9">
        <v>2.0443999999999999E-4</v>
      </c>
      <c r="M2294" s="9">
        <v>1.5824E-4</v>
      </c>
      <c r="N2294" s="9">
        <v>1.2438999999999999E-4</v>
      </c>
      <c r="O2294" s="9">
        <v>1.6646E-4</v>
      </c>
      <c r="P2294" s="9">
        <v>1.7412999999999999E-4</v>
      </c>
      <c r="Q2294" s="9">
        <v>1.8212999999999999E-4</v>
      </c>
      <c r="R2294" s="10">
        <v>2.6436353147351018E-5</v>
      </c>
      <c r="S2294" s="10">
        <v>7.0835995535581023E-5</v>
      </c>
      <c r="T2294" s="10">
        <v>1.035084520717387E-4</v>
      </c>
      <c r="U2294" s="10">
        <v>1.359E-4</v>
      </c>
      <c r="V2294" s="25"/>
      <c r="W2294" s="25"/>
      <c r="X2294" s="25"/>
      <c r="Y2294" s="25"/>
      <c r="Z2294" s="25"/>
      <c r="AA2294" s="25"/>
    </row>
    <row r="2295" spans="1:27" x14ac:dyDescent="0.35">
      <c r="A2295" s="5">
        <v>2291</v>
      </c>
      <c r="B2295" s="5">
        <v>96</v>
      </c>
      <c r="C2295" s="5">
        <v>4</v>
      </c>
      <c r="D2295" s="25">
        <v>1.1416E-4</v>
      </c>
      <c r="E2295" s="25">
        <v>1.0852E-4</v>
      </c>
      <c r="F2295" s="25">
        <v>1.2658E-4</v>
      </c>
      <c r="G2295" s="25">
        <v>1.5788999999999999E-4</v>
      </c>
      <c r="H2295" s="25">
        <v>1.9362000000000001E-4</v>
      </c>
      <c r="I2295" s="9">
        <v>1.3543E-4</v>
      </c>
      <c r="J2295" s="9">
        <v>1.2664999999999999E-4</v>
      </c>
      <c r="K2295" s="9">
        <v>6.9950000000000006E-5</v>
      </c>
      <c r="L2295" s="9">
        <v>1.7482000000000001E-4</v>
      </c>
      <c r="M2295" s="9">
        <v>1.7228999999999999E-4</v>
      </c>
      <c r="N2295" s="9">
        <v>1.4250999999999999E-4</v>
      </c>
      <c r="O2295" s="9">
        <v>1.6776000000000001E-4</v>
      </c>
      <c r="P2295" s="9">
        <v>1.7411999999999999E-4</v>
      </c>
      <c r="Q2295" s="9">
        <v>1.8085E-4</v>
      </c>
      <c r="R2295" s="10">
        <v>1.3117216954200461E-5</v>
      </c>
      <c r="S2295" s="10">
        <v>6.4419750094588812E-5</v>
      </c>
      <c r="T2295" s="10">
        <v>9.7476115233787383E-5</v>
      </c>
      <c r="U2295" s="10">
        <v>1.359E-4</v>
      </c>
      <c r="V2295" s="25"/>
      <c r="W2295" s="25"/>
      <c r="X2295" s="25"/>
      <c r="Y2295" s="25"/>
      <c r="Z2295" s="25"/>
      <c r="AA2295" s="25"/>
    </row>
    <row r="2296" spans="1:27" x14ac:dyDescent="0.35">
      <c r="A2296" s="5">
        <v>2292</v>
      </c>
      <c r="B2296" s="5">
        <v>96</v>
      </c>
      <c r="C2296" s="5">
        <v>4</v>
      </c>
      <c r="D2296" s="25">
        <v>1.1415000000000001E-4</v>
      </c>
      <c r="E2296" s="25">
        <v>1.1747999999999999E-4</v>
      </c>
      <c r="F2296" s="25">
        <v>1.3205000000000001E-4</v>
      </c>
      <c r="G2296" s="25">
        <v>1.5741E-4</v>
      </c>
      <c r="H2296" s="25">
        <v>1.9319000000000001E-4</v>
      </c>
      <c r="I2296" s="9">
        <v>1.3399000000000001E-4</v>
      </c>
      <c r="J2296" s="9">
        <v>1.2404000000000001E-4</v>
      </c>
      <c r="K2296" s="9">
        <v>6.9950000000000006E-5</v>
      </c>
      <c r="L2296" s="9">
        <v>1.7071999999999999E-4</v>
      </c>
      <c r="M2296" s="9">
        <v>1.7534000000000001E-4</v>
      </c>
      <c r="N2296" s="9">
        <v>1.5694E-4</v>
      </c>
      <c r="O2296" s="9">
        <v>1.7048000000000001E-4</v>
      </c>
      <c r="P2296" s="9">
        <v>1.7273000000000001E-4</v>
      </c>
      <c r="Q2296" s="9">
        <v>1.7542E-4</v>
      </c>
      <c r="R2296" s="10">
        <v>8.4070234257248077E-6</v>
      </c>
      <c r="S2296" s="10">
        <v>5.0231756119214983E-5</v>
      </c>
      <c r="T2296" s="10">
        <v>3.1341001799426452E-4</v>
      </c>
      <c r="U2296" s="10">
        <v>1.359E-4</v>
      </c>
      <c r="V2296" s="25"/>
      <c r="W2296" s="25"/>
      <c r="X2296" s="25"/>
      <c r="Y2296" s="25"/>
      <c r="Z2296" s="25"/>
      <c r="AA2296" s="25"/>
    </row>
    <row r="2297" spans="1:27" x14ac:dyDescent="0.35">
      <c r="A2297" s="5">
        <v>2293</v>
      </c>
      <c r="B2297" s="5">
        <v>96</v>
      </c>
      <c r="C2297" s="5">
        <v>4</v>
      </c>
      <c r="D2297" s="25">
        <v>1.1416E-4</v>
      </c>
      <c r="E2297" s="25">
        <v>1.1315E-4</v>
      </c>
      <c r="F2297" s="25">
        <v>1.1832000000000001E-4</v>
      </c>
      <c r="G2297" s="25">
        <v>1.5930999999999999E-4</v>
      </c>
      <c r="H2297" s="25">
        <v>1.9197999999999999E-4</v>
      </c>
      <c r="I2297" s="9">
        <v>1.3213E-4</v>
      </c>
      <c r="J2297" s="9">
        <v>1.2333999999999999E-4</v>
      </c>
      <c r="K2297" s="9">
        <v>5.2989999999999999E-5</v>
      </c>
      <c r="L2297" s="9">
        <v>1.7069000000000001E-4</v>
      </c>
      <c r="M2297" s="9">
        <v>1.7469E-4</v>
      </c>
      <c r="N2297" s="9">
        <v>1.6673E-4</v>
      </c>
      <c r="O2297" s="9">
        <v>1.5975000000000001E-4</v>
      </c>
      <c r="P2297" s="9">
        <v>1.6273000000000001E-4</v>
      </c>
      <c r="Q2297" s="9">
        <v>1.661E-4</v>
      </c>
      <c r="R2297" s="10">
        <v>5.4797178469465076E-6</v>
      </c>
      <c r="S2297" s="10">
        <v>3.780167618329991E-5</v>
      </c>
      <c r="T2297" s="10">
        <v>3.501470341803817E-4</v>
      </c>
      <c r="U2297" s="10">
        <v>1.359E-4</v>
      </c>
      <c r="V2297" s="25"/>
      <c r="W2297" s="25"/>
      <c r="X2297" s="25"/>
      <c r="Y2297" s="25"/>
      <c r="Z2297" s="25"/>
      <c r="AA2297" s="25"/>
    </row>
    <row r="2298" spans="1:27" x14ac:dyDescent="0.35">
      <c r="A2298" s="5">
        <v>2294</v>
      </c>
      <c r="B2298" s="5">
        <v>96</v>
      </c>
      <c r="C2298" s="5">
        <v>4</v>
      </c>
      <c r="D2298" s="25">
        <v>1.1415000000000001E-4</v>
      </c>
      <c r="E2298" s="25">
        <v>1.1321E-4</v>
      </c>
      <c r="F2298" s="25">
        <v>1.2551000000000001E-4</v>
      </c>
      <c r="G2298" s="25">
        <v>1.5752999999999999E-4</v>
      </c>
      <c r="H2298" s="25">
        <v>1.9759000000000001E-4</v>
      </c>
      <c r="I2298" s="9">
        <v>1.3109999999999999E-4</v>
      </c>
      <c r="J2298" s="9">
        <v>1.2224999999999999E-4</v>
      </c>
      <c r="K2298" s="9">
        <v>6.5699999999999998E-5</v>
      </c>
      <c r="L2298" s="9">
        <v>1.6189000000000001E-4</v>
      </c>
      <c r="M2298" s="9">
        <v>1.7018E-4</v>
      </c>
      <c r="N2298" s="9">
        <v>1.7077999999999999E-4</v>
      </c>
      <c r="O2298" s="9">
        <v>1.7571000000000001E-4</v>
      </c>
      <c r="P2298" s="9">
        <v>1.6714E-4</v>
      </c>
      <c r="Q2298" s="9">
        <v>1.5919999999999999E-4</v>
      </c>
      <c r="R2298" s="10">
        <v>4.8830239615259792E-6</v>
      </c>
      <c r="S2298" s="10">
        <v>2.9158356600718824E-5</v>
      </c>
      <c r="T2298" s="10">
        <v>1.6925328773599306E-4</v>
      </c>
      <c r="U2298" s="10">
        <v>1.359E-4</v>
      </c>
      <c r="V2298" s="25"/>
      <c r="W2298" s="25"/>
      <c r="X2298" s="25"/>
      <c r="Y2298" s="25"/>
      <c r="Z2298" s="25"/>
      <c r="AA2298" s="25"/>
    </row>
    <row r="2299" spans="1:27" x14ac:dyDescent="0.35">
      <c r="A2299" s="5">
        <v>2295</v>
      </c>
      <c r="B2299" s="5">
        <v>96</v>
      </c>
      <c r="C2299" s="5">
        <v>4</v>
      </c>
      <c r="D2299" s="25">
        <v>1.1416E-4</v>
      </c>
      <c r="E2299" s="25">
        <v>1.181E-4</v>
      </c>
      <c r="F2299" s="25">
        <v>1.3097E-4</v>
      </c>
      <c r="G2299" s="25">
        <v>1.5656000000000001E-4</v>
      </c>
      <c r="H2299" s="25">
        <v>1.9767E-4</v>
      </c>
      <c r="I2299" s="9">
        <v>1.2862999999999999E-4</v>
      </c>
      <c r="J2299" s="9">
        <v>1.2208E-4</v>
      </c>
      <c r="K2299" s="9">
        <v>8.9019999999999998E-5</v>
      </c>
      <c r="L2299" s="9">
        <v>1.7289000000000001E-4</v>
      </c>
      <c r="M2299" s="9">
        <v>1.6778999999999999E-4</v>
      </c>
      <c r="N2299" s="9">
        <v>1.6987999999999999E-4</v>
      </c>
      <c r="O2299" s="9">
        <v>1.8320000000000001E-4</v>
      </c>
      <c r="P2299" s="9">
        <v>1.6772E-4</v>
      </c>
      <c r="Q2299" s="9">
        <v>1.5297999999999999E-4</v>
      </c>
      <c r="R2299" s="10">
        <v>5.246165335462895E-6</v>
      </c>
      <c r="S2299" s="10">
        <v>2.337446415332865E-5</v>
      </c>
      <c r="T2299" s="10">
        <v>4.4559540186948501E-5</v>
      </c>
      <c r="U2299" s="10">
        <v>1.359E-4</v>
      </c>
      <c r="V2299" s="25"/>
      <c r="W2299" s="25"/>
      <c r="X2299" s="25"/>
      <c r="Y2299" s="25"/>
      <c r="Z2299" s="25"/>
      <c r="AA2299" s="25"/>
    </row>
    <row r="2300" spans="1:27" x14ac:dyDescent="0.35">
      <c r="A2300" s="5">
        <v>2296</v>
      </c>
      <c r="B2300" s="5">
        <v>96</v>
      </c>
      <c r="C2300" s="5">
        <v>4</v>
      </c>
      <c r="D2300" s="25">
        <v>1.1415000000000001E-4</v>
      </c>
      <c r="E2300" s="25">
        <v>1.0935E-4</v>
      </c>
      <c r="F2300" s="25">
        <v>1.3053000000000001E-4</v>
      </c>
      <c r="G2300" s="25">
        <v>1.6401999999999999E-4</v>
      </c>
      <c r="H2300" s="25">
        <v>1.9904999999999999E-4</v>
      </c>
      <c r="I2300" s="9">
        <v>1.2547E-4</v>
      </c>
      <c r="J2300" s="9">
        <v>1.2208999999999999E-4</v>
      </c>
      <c r="K2300" s="9">
        <v>1.0173E-4</v>
      </c>
      <c r="L2300" s="9">
        <v>1.8065E-4</v>
      </c>
      <c r="M2300" s="9">
        <v>1.6724E-4</v>
      </c>
      <c r="N2300" s="9">
        <v>1.6603000000000001E-4</v>
      </c>
      <c r="O2300" s="9">
        <v>1.9466000000000001E-4</v>
      </c>
      <c r="P2300" s="9">
        <v>1.5112E-4</v>
      </c>
      <c r="Q2300" s="9">
        <v>1.088E-4</v>
      </c>
      <c r="R2300" s="10">
        <v>3.9780987005751185E-6</v>
      </c>
      <c r="S2300" s="10">
        <v>1.7446883079066352E-5</v>
      </c>
      <c r="T2300" s="10">
        <v>2.1102997773609481E-4</v>
      </c>
      <c r="U2300" s="10">
        <v>1.359E-4</v>
      </c>
      <c r="V2300" s="25"/>
      <c r="W2300" s="25"/>
      <c r="X2300" s="25"/>
      <c r="Y2300" s="25"/>
      <c r="Z2300" s="25"/>
      <c r="AA2300" s="25"/>
    </row>
    <row r="2301" spans="1:27" x14ac:dyDescent="0.35">
      <c r="A2301" s="5">
        <v>2297</v>
      </c>
      <c r="B2301" s="5">
        <v>96</v>
      </c>
      <c r="C2301" s="5">
        <v>4</v>
      </c>
      <c r="D2301" s="25">
        <v>1.1416E-4</v>
      </c>
      <c r="E2301" s="25">
        <v>1.1238E-4</v>
      </c>
      <c r="F2301" s="25">
        <v>1.3724000000000001E-4</v>
      </c>
      <c r="G2301" s="25">
        <v>1.5745000000000001E-4</v>
      </c>
      <c r="H2301" s="25">
        <v>1.9162000000000001E-4</v>
      </c>
      <c r="I2301" s="9">
        <v>1.2486999999999999E-4</v>
      </c>
      <c r="J2301" s="9">
        <v>1.2234999999999999E-4</v>
      </c>
      <c r="K2301" s="9">
        <v>1.0173E-4</v>
      </c>
      <c r="L2301" s="9">
        <v>1.9129999999999999E-4</v>
      </c>
      <c r="M2301" s="9">
        <v>1.6144999999999999E-4</v>
      </c>
      <c r="N2301" s="9">
        <v>1.5202999999999999E-4</v>
      </c>
      <c r="O2301" s="9">
        <v>2.1164E-4</v>
      </c>
      <c r="P2301" s="9">
        <v>1.5836999999999999E-4</v>
      </c>
      <c r="Q2301" s="9">
        <v>1.0653E-4</v>
      </c>
      <c r="R2301" s="10">
        <v>3.986751830247351E-6</v>
      </c>
      <c r="S2301" s="10">
        <v>1.404783794007606E-5</v>
      </c>
      <c r="T2301" s="10">
        <v>1.840923272993923E-4</v>
      </c>
      <c r="U2301" s="10">
        <v>1.359E-4</v>
      </c>
      <c r="V2301" s="25"/>
      <c r="W2301" s="25"/>
      <c r="X2301" s="25"/>
      <c r="Y2301" s="25"/>
      <c r="Z2301" s="25"/>
      <c r="AA2301" s="25"/>
    </row>
    <row r="2302" spans="1:27" x14ac:dyDescent="0.35">
      <c r="A2302" s="5">
        <v>2298</v>
      </c>
      <c r="B2302" s="5">
        <v>96</v>
      </c>
      <c r="C2302" s="5">
        <v>4</v>
      </c>
      <c r="D2302" s="25">
        <v>1.1415000000000001E-4</v>
      </c>
      <c r="E2302" s="25">
        <v>1.1149E-4</v>
      </c>
      <c r="F2302" s="25">
        <v>1.2249E-4</v>
      </c>
      <c r="G2302" s="25">
        <v>1.6401E-4</v>
      </c>
      <c r="H2302" s="25">
        <v>1.9153E-4</v>
      </c>
      <c r="I2302" s="9">
        <v>1.2396E-4</v>
      </c>
      <c r="J2302" s="9">
        <v>1.1804E-4</v>
      </c>
      <c r="K2302" s="9">
        <v>1.1233E-4</v>
      </c>
      <c r="L2302" s="9">
        <v>2.0694999999999999E-4</v>
      </c>
      <c r="M2302" s="9">
        <v>1.5872999999999999E-4</v>
      </c>
      <c r="N2302" s="9">
        <v>1.3852999999999999E-4</v>
      </c>
      <c r="O2302" s="9">
        <v>2.0556E-4</v>
      </c>
      <c r="P2302" s="9">
        <v>1.6133E-4</v>
      </c>
      <c r="Q2302" s="9">
        <v>1.1836E-4</v>
      </c>
      <c r="R2302" s="10">
        <v>5.4114329413149704E-6</v>
      </c>
      <c r="S2302" s="10">
        <v>1.1410101226593796E-5</v>
      </c>
      <c r="T2302" s="10">
        <v>4.6918175406288114E-5</v>
      </c>
      <c r="U2302" s="10">
        <v>1.359E-4</v>
      </c>
      <c r="V2302" s="25"/>
      <c r="W2302" s="25"/>
      <c r="X2302" s="25"/>
      <c r="Y2302" s="25"/>
      <c r="Z2302" s="25"/>
      <c r="AA2302" s="25"/>
    </row>
    <row r="2303" spans="1:27" x14ac:dyDescent="0.35">
      <c r="A2303" s="5">
        <v>2299</v>
      </c>
      <c r="B2303" s="5">
        <v>96</v>
      </c>
      <c r="C2303" s="5">
        <v>4</v>
      </c>
      <c r="D2303" s="25">
        <v>1.1416E-4</v>
      </c>
      <c r="E2303" s="25">
        <v>1.1767E-4</v>
      </c>
      <c r="F2303" s="25">
        <v>1.1896999999999999E-4</v>
      </c>
      <c r="G2303" s="25">
        <v>1.0764000000000001E-4</v>
      </c>
      <c r="H2303" s="25">
        <v>1.3761000000000001E-4</v>
      </c>
      <c r="I2303" s="9">
        <v>1.2137E-4</v>
      </c>
      <c r="J2303" s="9">
        <v>1.1551E-4</v>
      </c>
      <c r="K2303" s="9">
        <v>1.1657E-4</v>
      </c>
      <c r="L2303" s="9">
        <v>2.0547999999999999E-4</v>
      </c>
      <c r="M2303" s="9">
        <v>1.5911000000000001E-4</v>
      </c>
      <c r="N2303" s="9">
        <v>1.2970000000000001E-4</v>
      </c>
      <c r="O2303" s="9">
        <v>1.6462000000000001E-4</v>
      </c>
      <c r="P2303" s="9">
        <v>1.3572000000000001E-4</v>
      </c>
      <c r="Q2303" s="9">
        <v>1.0772000000000001E-4</v>
      </c>
      <c r="R2303" s="10">
        <v>9.9671901282461391E-6</v>
      </c>
      <c r="S2303" s="10">
        <v>9.7260744647346135E-6</v>
      </c>
      <c r="T2303" s="10">
        <v>0</v>
      </c>
      <c r="U2303" s="10">
        <v>1.359E-4</v>
      </c>
      <c r="V2303" s="25"/>
      <c r="W2303" s="25"/>
      <c r="X2303" s="25"/>
      <c r="Y2303" s="25"/>
      <c r="Z2303" s="25"/>
      <c r="AA2303" s="25"/>
    </row>
    <row r="2304" spans="1:27" x14ac:dyDescent="0.35">
      <c r="A2304" s="5">
        <v>2300</v>
      </c>
      <c r="B2304" s="5">
        <v>96</v>
      </c>
      <c r="C2304" s="5">
        <v>4</v>
      </c>
      <c r="D2304" s="25">
        <v>1.1415000000000001E-4</v>
      </c>
      <c r="E2304" s="25">
        <v>1.1332000000000001E-4</v>
      </c>
      <c r="F2304" s="25">
        <v>1.3273000000000001E-4</v>
      </c>
      <c r="G2304" s="25">
        <v>1.0495E-4</v>
      </c>
      <c r="H2304" s="25">
        <v>1.3428E-4</v>
      </c>
      <c r="I2304" s="9">
        <v>1.2271E-4</v>
      </c>
      <c r="J2304" s="9">
        <v>1.1747E-4</v>
      </c>
      <c r="K2304" s="9">
        <v>1.0809E-4</v>
      </c>
      <c r="L2304" s="9">
        <v>1.7370999999999999E-4</v>
      </c>
      <c r="M2304" s="9">
        <v>1.5097999999999999E-4</v>
      </c>
      <c r="N2304" s="9">
        <v>1.2085E-4</v>
      </c>
      <c r="O2304" s="9">
        <v>1.2787000000000001E-4</v>
      </c>
      <c r="P2304" s="9">
        <v>1.1438999999999999E-4</v>
      </c>
      <c r="Q2304" s="9">
        <v>1.0147E-4</v>
      </c>
      <c r="R2304" s="10">
        <v>1.5556111154670515E-5</v>
      </c>
      <c r="S2304" s="10">
        <v>8.5566327372272784E-6</v>
      </c>
      <c r="T2304" s="10">
        <v>0</v>
      </c>
      <c r="U2304" s="10">
        <v>1.359E-4</v>
      </c>
      <c r="V2304" s="25"/>
      <c r="W2304" s="25"/>
      <c r="X2304" s="25"/>
      <c r="Y2304" s="25"/>
      <c r="Z2304" s="25"/>
      <c r="AA2304" s="25"/>
    </row>
    <row r="2305" spans="1:27" x14ac:dyDescent="0.35">
      <c r="A2305" s="5">
        <v>2301</v>
      </c>
      <c r="B2305" s="5">
        <v>96</v>
      </c>
      <c r="C2305" s="5">
        <v>4</v>
      </c>
      <c r="D2305" s="25">
        <v>1.1416E-4</v>
      </c>
      <c r="E2305" s="25">
        <v>1.1529E-4</v>
      </c>
      <c r="F2305" s="25">
        <v>1.2103E-4</v>
      </c>
      <c r="G2305" s="25">
        <v>5.4360000000000001E-5</v>
      </c>
      <c r="H2305" s="25">
        <v>7.4540000000000001E-5</v>
      </c>
      <c r="I2305" s="9">
        <v>1.2157E-4</v>
      </c>
      <c r="J2305" s="9">
        <v>1.1557000000000001E-4</v>
      </c>
      <c r="K2305" s="9">
        <v>1.208E-4</v>
      </c>
      <c r="L2305" s="9">
        <v>1.3893999999999999E-4</v>
      </c>
      <c r="M2305" s="9">
        <v>1.3549999999999999E-4</v>
      </c>
      <c r="N2305" s="9">
        <v>1.1315E-4</v>
      </c>
      <c r="O2305" s="9">
        <v>8.386E-5</v>
      </c>
      <c r="P2305" s="9">
        <v>8.564E-5</v>
      </c>
      <c r="Q2305" s="9">
        <v>8.7620000000000005E-5</v>
      </c>
      <c r="R2305" s="10">
        <v>1.7744435813985318E-5</v>
      </c>
      <c r="S2305" s="10">
        <v>7.2675370734097983E-6</v>
      </c>
      <c r="T2305" s="10">
        <v>0</v>
      </c>
      <c r="U2305" s="10">
        <v>1.359E-4</v>
      </c>
      <c r="V2305" s="25"/>
      <c r="W2305" s="25"/>
      <c r="X2305" s="25"/>
      <c r="Y2305" s="25"/>
      <c r="Z2305" s="25"/>
      <c r="AA2305" s="25"/>
    </row>
    <row r="2306" spans="1:27" x14ac:dyDescent="0.35">
      <c r="A2306" s="5">
        <v>2302</v>
      </c>
      <c r="B2306" s="5">
        <v>96</v>
      </c>
      <c r="C2306" s="5">
        <v>4</v>
      </c>
      <c r="D2306" s="25">
        <v>1.1415000000000001E-4</v>
      </c>
      <c r="E2306" s="25">
        <v>1.1379000000000001E-4</v>
      </c>
      <c r="F2306" s="25">
        <v>1.2477000000000001E-4</v>
      </c>
      <c r="G2306" s="25">
        <v>5.8369999999999998E-5</v>
      </c>
      <c r="H2306" s="25">
        <v>6.69E-5</v>
      </c>
      <c r="I2306" s="9">
        <v>1.2295000000000001E-4</v>
      </c>
      <c r="J2306" s="9">
        <v>1.0709000000000001E-4</v>
      </c>
      <c r="K2306" s="9">
        <v>1.3564E-4</v>
      </c>
      <c r="L2306" s="9">
        <v>9.6929999999999995E-5</v>
      </c>
      <c r="M2306" s="9">
        <v>1.1353000000000001E-4</v>
      </c>
      <c r="N2306" s="9">
        <v>1.0548E-4</v>
      </c>
      <c r="O2306" s="9">
        <v>8.6949999999999999E-5</v>
      </c>
      <c r="P2306" s="9">
        <v>8.7360000000000004E-5</v>
      </c>
      <c r="Q2306" s="9">
        <v>8.8010000000000006E-5</v>
      </c>
      <c r="R2306" s="10">
        <v>1.4010555982815383E-5</v>
      </c>
      <c r="S2306" s="10">
        <v>5.4134862750068502E-6</v>
      </c>
      <c r="T2306" s="10">
        <v>0</v>
      </c>
      <c r="U2306" s="10">
        <v>1.359E-4</v>
      </c>
      <c r="V2306" s="25"/>
      <c r="W2306" s="25"/>
      <c r="X2306" s="25"/>
      <c r="Y2306" s="25"/>
      <c r="Z2306" s="25"/>
      <c r="AA2306" s="25"/>
    </row>
    <row r="2307" spans="1:27" x14ac:dyDescent="0.35">
      <c r="A2307" s="5">
        <v>2303</v>
      </c>
      <c r="B2307" s="5">
        <v>96</v>
      </c>
      <c r="C2307" s="5">
        <v>4</v>
      </c>
      <c r="D2307" s="25">
        <v>1.1416E-4</v>
      </c>
      <c r="E2307" s="25">
        <v>1.1637999999999999E-4</v>
      </c>
      <c r="F2307" s="25">
        <v>1.2131E-4</v>
      </c>
      <c r="G2307" s="25">
        <v>5.7500000000000002E-5</v>
      </c>
      <c r="H2307" s="25">
        <v>6.3360000000000003E-5</v>
      </c>
      <c r="I2307" s="9">
        <v>1.1989000000000001E-4</v>
      </c>
      <c r="J2307" s="9">
        <v>9.9430000000000002E-5</v>
      </c>
      <c r="K2307" s="9">
        <v>1.208E-4</v>
      </c>
      <c r="L2307" s="9">
        <v>9.0080000000000005E-5</v>
      </c>
      <c r="M2307" s="9">
        <v>9.8729999999999998E-5</v>
      </c>
      <c r="N2307" s="9">
        <v>9.9669999999999999E-5</v>
      </c>
      <c r="O2307" s="9">
        <v>7.695E-5</v>
      </c>
      <c r="P2307" s="9">
        <v>7.1450000000000002E-5</v>
      </c>
      <c r="Q2307" s="9">
        <v>6.6249999999999998E-5</v>
      </c>
      <c r="R2307" s="10">
        <v>9.6948867368199722E-6</v>
      </c>
      <c r="S2307" s="10">
        <v>4.1364267504430124E-6</v>
      </c>
      <c r="T2307" s="10">
        <v>0</v>
      </c>
      <c r="U2307" s="10">
        <v>1.359E-4</v>
      </c>
      <c r="V2307" s="25"/>
      <c r="W2307" s="25"/>
      <c r="X2307" s="25"/>
      <c r="Y2307" s="25"/>
      <c r="Z2307" s="25"/>
      <c r="AA2307" s="25"/>
    </row>
    <row r="2308" spans="1:27" x14ac:dyDescent="0.35">
      <c r="A2308" s="5">
        <v>2304</v>
      </c>
      <c r="B2308" s="5">
        <v>96</v>
      </c>
      <c r="C2308" s="5">
        <v>4</v>
      </c>
      <c r="D2308" s="25">
        <v>1.1415000000000001E-4</v>
      </c>
      <c r="E2308" s="25">
        <v>1.1561E-4</v>
      </c>
      <c r="F2308" s="25">
        <v>1.3736999999999999E-4</v>
      </c>
      <c r="G2308" s="25">
        <v>5.6230000000000002E-5</v>
      </c>
      <c r="H2308" s="25">
        <v>7.1860000000000007E-5</v>
      </c>
      <c r="I2308" s="9">
        <v>1.1056E-4</v>
      </c>
      <c r="J2308" s="9">
        <v>9.6080000000000002E-5</v>
      </c>
      <c r="K2308" s="9">
        <v>1.3776000000000001E-4</v>
      </c>
      <c r="L2308" s="9">
        <v>7.9820000000000005E-5</v>
      </c>
      <c r="M2308" s="9">
        <v>8.5660000000000003E-5</v>
      </c>
      <c r="N2308" s="9">
        <v>9.0249999999999998E-5</v>
      </c>
      <c r="O2308" s="9">
        <v>6.2749999999999994E-5</v>
      </c>
      <c r="P2308" s="9">
        <v>6.0720000000000001E-5</v>
      </c>
      <c r="Q2308" s="9">
        <v>5.8909999999999997E-5</v>
      </c>
      <c r="R2308" s="10">
        <v>8.8433485489284938E-6</v>
      </c>
      <c r="S2308" s="10">
        <v>6.0055904100998181E-6</v>
      </c>
      <c r="T2308" s="10">
        <v>0</v>
      </c>
      <c r="U2308" s="10">
        <v>1.359E-4</v>
      </c>
      <c r="V2308" s="25"/>
      <c r="W2308" s="25"/>
      <c r="X2308" s="25"/>
      <c r="Y2308" s="25"/>
      <c r="Z2308" s="25"/>
      <c r="AA2308" s="25"/>
    </row>
    <row r="2309" spans="1:27" x14ac:dyDescent="0.35">
      <c r="A2309" s="5">
        <v>2305</v>
      </c>
      <c r="B2309" s="5">
        <v>97</v>
      </c>
      <c r="C2309" s="5">
        <v>4</v>
      </c>
      <c r="D2309" s="25">
        <v>1.1416E-4</v>
      </c>
      <c r="E2309" s="25">
        <v>1.0532E-4</v>
      </c>
      <c r="F2309" s="25">
        <v>1.0212E-4</v>
      </c>
      <c r="G2309" s="25">
        <v>5.7340000000000003E-5</v>
      </c>
      <c r="H2309" s="25">
        <v>4.4289999999999998E-5</v>
      </c>
      <c r="I2309" s="9">
        <v>1.0314000000000001E-4</v>
      </c>
      <c r="J2309" s="9">
        <v>9.1199999999999994E-5</v>
      </c>
      <c r="K2309" s="9">
        <v>1.4412E-4</v>
      </c>
      <c r="L2309" s="9">
        <v>6.6509999999999998E-5</v>
      </c>
      <c r="M2309" s="9">
        <v>7.3679999999999999E-5</v>
      </c>
      <c r="N2309" s="9">
        <v>8.0870000000000003E-5</v>
      </c>
      <c r="O2309" s="9">
        <v>6.7949999999999998E-5</v>
      </c>
      <c r="P2309" s="9">
        <v>6.05E-5</v>
      </c>
      <c r="Q2309" s="9">
        <v>5.3350000000000003E-5</v>
      </c>
      <c r="R2309" s="10">
        <v>1.1888656415462112E-5</v>
      </c>
      <c r="S2309" s="10">
        <v>9.1637965663292162E-6</v>
      </c>
      <c r="T2309" s="10">
        <v>0</v>
      </c>
      <c r="U2309" s="10">
        <v>1.3599E-4</v>
      </c>
      <c r="V2309" s="25"/>
      <c r="W2309" s="25"/>
      <c r="X2309" s="25"/>
      <c r="Y2309" s="25"/>
      <c r="Z2309" s="25"/>
      <c r="AA2309" s="25"/>
    </row>
    <row r="2310" spans="1:27" x14ac:dyDescent="0.35">
      <c r="A2310" s="5">
        <v>2306</v>
      </c>
      <c r="B2310" s="5">
        <v>97</v>
      </c>
      <c r="C2310" s="5">
        <v>4</v>
      </c>
      <c r="D2310" s="25">
        <v>1.1415000000000001E-4</v>
      </c>
      <c r="E2310" s="25">
        <v>1.154E-4</v>
      </c>
      <c r="F2310" s="25">
        <v>9.9790000000000005E-5</v>
      </c>
      <c r="G2310" s="25">
        <v>5.6610000000000002E-5</v>
      </c>
      <c r="H2310" s="25">
        <v>4.3779999999999998E-5</v>
      </c>
      <c r="I2310" s="9">
        <v>9.9850000000000001E-5</v>
      </c>
      <c r="J2310" s="9">
        <v>8.9110000000000006E-5</v>
      </c>
      <c r="K2310" s="9">
        <v>1.5894999999999999E-4</v>
      </c>
      <c r="L2310" s="9">
        <v>6.7999999999999999E-5</v>
      </c>
      <c r="M2310" s="9">
        <v>6.6099999999999994E-5</v>
      </c>
      <c r="N2310" s="9">
        <v>7.1799999999999997E-5</v>
      </c>
      <c r="O2310" s="9">
        <v>3.5549999999999997E-5</v>
      </c>
      <c r="P2310" s="9">
        <v>4.6E-5</v>
      </c>
      <c r="Q2310" s="9">
        <v>5.6369999999999997E-5</v>
      </c>
      <c r="R2310" s="10">
        <v>1.4378337626431399E-5</v>
      </c>
      <c r="S2310" s="10">
        <v>1.3534795280513339E-5</v>
      </c>
      <c r="T2310" s="10">
        <v>0</v>
      </c>
      <c r="U2310" s="10">
        <v>1.3599E-4</v>
      </c>
      <c r="V2310" s="25"/>
      <c r="W2310" s="25"/>
      <c r="X2310" s="25"/>
      <c r="Y2310" s="25"/>
      <c r="Z2310" s="25"/>
      <c r="AA2310" s="25"/>
    </row>
    <row r="2311" spans="1:27" x14ac:dyDescent="0.35">
      <c r="A2311" s="5">
        <v>2307</v>
      </c>
      <c r="B2311" s="5">
        <v>97</v>
      </c>
      <c r="C2311" s="5">
        <v>4</v>
      </c>
      <c r="D2311" s="25">
        <v>1.1416E-4</v>
      </c>
      <c r="E2311" s="25">
        <v>1.1354E-4</v>
      </c>
      <c r="F2311" s="25">
        <v>8.6719999999999996E-5</v>
      </c>
      <c r="G2311" s="25">
        <v>5.5479999999999997E-5</v>
      </c>
      <c r="H2311" s="25">
        <v>3.8609999999999998E-5</v>
      </c>
      <c r="I2311" s="9">
        <v>9.8549999999999997E-5</v>
      </c>
      <c r="J2311" s="9">
        <v>8.8090000000000005E-5</v>
      </c>
      <c r="K2311" s="9">
        <v>1.6107E-4</v>
      </c>
      <c r="L2311" s="9">
        <v>4.2599999999999999E-5</v>
      </c>
      <c r="M2311" s="9">
        <v>5.7250000000000002E-5</v>
      </c>
      <c r="N2311" s="9">
        <v>6.5339999999999994E-5</v>
      </c>
      <c r="O2311" s="9">
        <v>2.2439999999999999E-5</v>
      </c>
      <c r="P2311" s="9">
        <v>4.2240000000000002E-5</v>
      </c>
      <c r="Q2311" s="9">
        <v>6.1790000000000003E-5</v>
      </c>
      <c r="R2311" s="10">
        <v>1.50052896084854E-5</v>
      </c>
      <c r="S2311" s="10">
        <v>2.1890481819890083E-5</v>
      </c>
      <c r="T2311" s="10">
        <v>0</v>
      </c>
      <c r="U2311" s="10">
        <v>1.3599E-4</v>
      </c>
      <c r="V2311" s="25"/>
      <c r="W2311" s="25"/>
      <c r="X2311" s="25"/>
      <c r="Y2311" s="25"/>
      <c r="Z2311" s="25"/>
      <c r="AA2311" s="25"/>
    </row>
    <row r="2312" spans="1:27" x14ac:dyDescent="0.35">
      <c r="A2312" s="5">
        <v>2308</v>
      </c>
      <c r="B2312" s="5">
        <v>97</v>
      </c>
      <c r="C2312" s="5">
        <v>4</v>
      </c>
      <c r="D2312" s="25">
        <v>1.1415000000000001E-4</v>
      </c>
      <c r="E2312" s="25">
        <v>1.0601E-4</v>
      </c>
      <c r="F2312" s="25">
        <v>8.9660000000000006E-5</v>
      </c>
      <c r="G2312" s="25">
        <v>6.2039999999999996E-5</v>
      </c>
      <c r="H2312" s="25">
        <v>3.9660000000000003E-5</v>
      </c>
      <c r="I2312" s="9">
        <v>1.0035E-4</v>
      </c>
      <c r="J2312" s="9">
        <v>8.8350000000000006E-5</v>
      </c>
      <c r="K2312" s="9">
        <v>1.6531E-4</v>
      </c>
      <c r="L2312" s="9">
        <v>2.7489999999999999E-5</v>
      </c>
      <c r="M2312" s="9">
        <v>4.9750000000000003E-5</v>
      </c>
      <c r="N2312" s="9">
        <v>6.1870000000000002E-5</v>
      </c>
      <c r="O2312" s="9">
        <v>2.2039999999999999E-5</v>
      </c>
      <c r="P2312" s="9">
        <v>5.1770000000000001E-5</v>
      </c>
      <c r="Q2312" s="9">
        <v>8.1110000000000001E-5</v>
      </c>
      <c r="R2312" s="10">
        <v>1.9943568361104242E-5</v>
      </c>
      <c r="S2312" s="10">
        <v>3.8398681194778388E-5</v>
      </c>
      <c r="T2312" s="10">
        <v>0</v>
      </c>
      <c r="U2312" s="10">
        <v>1.3599E-4</v>
      </c>
      <c r="V2312" s="25"/>
      <c r="W2312" s="25"/>
      <c r="X2312" s="25"/>
      <c r="Y2312" s="25"/>
      <c r="Z2312" s="25"/>
      <c r="AA2312" s="25"/>
    </row>
    <row r="2313" spans="1:27" x14ac:dyDescent="0.35">
      <c r="A2313" s="5">
        <v>2309</v>
      </c>
      <c r="B2313" s="5">
        <v>97</v>
      </c>
      <c r="C2313" s="5">
        <v>4</v>
      </c>
      <c r="D2313" s="25">
        <v>1.1416E-4</v>
      </c>
      <c r="E2313" s="25">
        <v>1.0514999999999999E-4</v>
      </c>
      <c r="F2313" s="25">
        <v>8.3819999999999994E-5</v>
      </c>
      <c r="G2313" s="25">
        <v>5.5399999999999998E-5</v>
      </c>
      <c r="H2313" s="25">
        <v>3.9740000000000002E-5</v>
      </c>
      <c r="I2313" s="9">
        <v>1.0505000000000001E-4</v>
      </c>
      <c r="J2313" s="9">
        <v>9.111E-5</v>
      </c>
      <c r="K2313" s="9">
        <v>1.5894999999999999E-4</v>
      </c>
      <c r="L2313" s="9">
        <v>2.3689999999999998E-5</v>
      </c>
      <c r="M2313" s="9">
        <v>4.8690000000000003E-5</v>
      </c>
      <c r="N2313" s="9">
        <v>6.4629999999999996E-5</v>
      </c>
      <c r="O2313" s="9">
        <v>2.3900000000000002E-5</v>
      </c>
      <c r="P2313" s="9">
        <v>5.9389999999999999E-5</v>
      </c>
      <c r="Q2313" s="9">
        <v>9.4389999999999996E-5</v>
      </c>
      <c r="R2313" s="10">
        <v>2.9694575584296046E-5</v>
      </c>
      <c r="S2313" s="10">
        <v>5.6999002698009853E-5</v>
      </c>
      <c r="T2313" s="10">
        <v>0</v>
      </c>
      <c r="U2313" s="10">
        <v>1.3599E-4</v>
      </c>
      <c r="V2313" s="25"/>
      <c r="W2313" s="25"/>
      <c r="X2313" s="25"/>
      <c r="Y2313" s="25"/>
      <c r="Z2313" s="25"/>
      <c r="AA2313" s="25"/>
    </row>
    <row r="2314" spans="1:27" x14ac:dyDescent="0.35">
      <c r="A2314" s="5">
        <v>2310</v>
      </c>
      <c r="B2314" s="5">
        <v>97</v>
      </c>
      <c r="C2314" s="5">
        <v>4</v>
      </c>
      <c r="D2314" s="25">
        <v>1.1415000000000001E-4</v>
      </c>
      <c r="E2314" s="25">
        <v>1.0606E-4</v>
      </c>
      <c r="F2314" s="25">
        <v>9.0179999999999994E-5</v>
      </c>
      <c r="G2314" s="25">
        <v>1.1503E-4</v>
      </c>
      <c r="H2314" s="25">
        <v>7.6970000000000003E-5</v>
      </c>
      <c r="I2314" s="9">
        <v>1.1642E-4</v>
      </c>
      <c r="J2314" s="9">
        <v>9.7050000000000001E-5</v>
      </c>
      <c r="K2314" s="9">
        <v>1.4835E-4</v>
      </c>
      <c r="L2314" s="9">
        <v>2.3779999999999999E-5</v>
      </c>
      <c r="M2314" s="9">
        <v>5.2590000000000003E-5</v>
      </c>
      <c r="N2314" s="9">
        <v>7.1359999999999994E-5</v>
      </c>
      <c r="O2314" s="9">
        <v>2.9830000000000001E-5</v>
      </c>
      <c r="P2314" s="9">
        <v>6.8419999999999999E-5</v>
      </c>
      <c r="Q2314" s="9">
        <v>1.0648E-4</v>
      </c>
      <c r="R2314" s="10">
        <v>3.9682319784545866E-5</v>
      </c>
      <c r="S2314" s="10">
        <v>7.3382063654045749E-5</v>
      </c>
      <c r="T2314" s="10">
        <v>0</v>
      </c>
      <c r="U2314" s="10">
        <v>1.3599E-4</v>
      </c>
      <c r="V2314" s="25"/>
      <c r="W2314" s="25"/>
      <c r="X2314" s="25"/>
      <c r="Y2314" s="25"/>
      <c r="Z2314" s="25"/>
      <c r="AA2314" s="25"/>
    </row>
    <row r="2315" spans="1:27" x14ac:dyDescent="0.35">
      <c r="A2315" s="5">
        <v>2311</v>
      </c>
      <c r="B2315" s="5">
        <v>97</v>
      </c>
      <c r="C2315" s="5">
        <v>4</v>
      </c>
      <c r="D2315" s="25">
        <v>1.1416E-4</v>
      </c>
      <c r="E2315" s="25">
        <v>1.075E-4</v>
      </c>
      <c r="F2315" s="25">
        <v>1.0355E-4</v>
      </c>
      <c r="G2315" s="25">
        <v>1.1434000000000001E-4</v>
      </c>
      <c r="H2315" s="25">
        <v>7.8479999999999994E-5</v>
      </c>
      <c r="I2315" s="9">
        <v>1.226E-4</v>
      </c>
      <c r="J2315" s="9">
        <v>1.1156E-4</v>
      </c>
      <c r="K2315" s="9">
        <v>1.4198999999999999E-4</v>
      </c>
      <c r="L2315" s="9">
        <v>2.8410000000000001E-5</v>
      </c>
      <c r="M2315" s="9">
        <v>5.9429999999999999E-5</v>
      </c>
      <c r="N2315" s="9">
        <v>8.0939999999999994E-5</v>
      </c>
      <c r="O2315" s="9">
        <v>4.6740000000000003E-5</v>
      </c>
      <c r="P2315" s="9">
        <v>8.0240000000000004E-5</v>
      </c>
      <c r="Q2315" s="9">
        <v>1.1334E-4</v>
      </c>
      <c r="R2315" s="10">
        <v>4.5261033698879068E-5</v>
      </c>
      <c r="S2315" s="10">
        <v>8.7173208211845579E-5</v>
      </c>
      <c r="T2315" s="10">
        <v>5.4757668005819806E-5</v>
      </c>
      <c r="U2315" s="10">
        <v>1.3599E-4</v>
      </c>
      <c r="V2315" s="25"/>
      <c r="W2315" s="25"/>
      <c r="X2315" s="25"/>
      <c r="Y2315" s="25"/>
      <c r="Z2315" s="25"/>
      <c r="AA2315" s="25"/>
    </row>
    <row r="2316" spans="1:27" x14ac:dyDescent="0.35">
      <c r="A2316" s="5">
        <v>2312</v>
      </c>
      <c r="B2316" s="5">
        <v>97</v>
      </c>
      <c r="C2316" s="5">
        <v>4</v>
      </c>
      <c r="D2316" s="25">
        <v>1.1415000000000001E-4</v>
      </c>
      <c r="E2316" s="25">
        <v>1.0912999999999999E-4</v>
      </c>
      <c r="F2316" s="25">
        <v>1.005E-4</v>
      </c>
      <c r="G2316" s="25">
        <v>1.5637E-4</v>
      </c>
      <c r="H2316" s="25">
        <v>1.1773999999999999E-4</v>
      </c>
      <c r="I2316" s="9">
        <v>1.2758999999999999E-4</v>
      </c>
      <c r="J2316" s="9">
        <v>1.215E-4</v>
      </c>
      <c r="K2316" s="9">
        <v>1.3776000000000001E-4</v>
      </c>
      <c r="L2316" s="9">
        <v>4.2570000000000001E-5</v>
      </c>
      <c r="M2316" s="9">
        <v>6.8620000000000004E-5</v>
      </c>
      <c r="N2316" s="9">
        <v>9.1189999999999999E-5</v>
      </c>
      <c r="O2316" s="9">
        <v>6.8499999999999998E-5</v>
      </c>
      <c r="P2316" s="9">
        <v>1.0301E-4</v>
      </c>
      <c r="Q2316" s="9">
        <v>1.3715999999999999E-4</v>
      </c>
      <c r="R2316" s="10">
        <v>4.9248082720403728E-5</v>
      </c>
      <c r="S2316" s="10">
        <v>9.9696700485156061E-5</v>
      </c>
      <c r="T2316" s="10">
        <v>2.2913547254929892E-4</v>
      </c>
      <c r="U2316" s="10">
        <v>1.3599E-4</v>
      </c>
      <c r="V2316" s="25"/>
      <c r="W2316" s="25"/>
      <c r="X2316" s="25"/>
      <c r="Y2316" s="25"/>
      <c r="Z2316" s="25"/>
      <c r="AA2316" s="25"/>
    </row>
    <row r="2317" spans="1:27" x14ac:dyDescent="0.35">
      <c r="A2317" s="5">
        <v>2313</v>
      </c>
      <c r="B2317" s="5">
        <v>97</v>
      </c>
      <c r="C2317" s="5">
        <v>4</v>
      </c>
      <c r="D2317" s="25">
        <v>1.1416E-4</v>
      </c>
      <c r="E2317" s="25">
        <v>1.1464E-4</v>
      </c>
      <c r="F2317" s="25">
        <v>1.0145E-4</v>
      </c>
      <c r="G2317" s="25">
        <v>1.561E-4</v>
      </c>
      <c r="H2317" s="25">
        <v>1.1356E-4</v>
      </c>
      <c r="I2317" s="9">
        <v>1.3098999999999999E-4</v>
      </c>
      <c r="J2317" s="9">
        <v>1.2452000000000001E-4</v>
      </c>
      <c r="K2317" s="9">
        <v>1.3352000000000001E-4</v>
      </c>
      <c r="L2317" s="9">
        <v>6.2409999999999994E-5</v>
      </c>
      <c r="M2317" s="9">
        <v>8.3289999999999997E-5</v>
      </c>
      <c r="N2317" s="9">
        <v>1.0498E-4</v>
      </c>
      <c r="O2317" s="9">
        <v>9.9149999999999998E-5</v>
      </c>
      <c r="P2317" s="9">
        <v>1.3773E-4</v>
      </c>
      <c r="Q2317" s="9">
        <v>1.7597000000000001E-4</v>
      </c>
      <c r="R2317" s="10">
        <v>5.4821511670129981E-5</v>
      </c>
      <c r="S2317" s="10">
        <v>1.1048490604730788E-4</v>
      </c>
      <c r="T2317" s="10">
        <v>3.7516723296395193E-4</v>
      </c>
      <c r="U2317" s="10">
        <v>1.3599E-4</v>
      </c>
      <c r="V2317" s="25"/>
      <c r="W2317" s="25"/>
      <c r="X2317" s="25"/>
      <c r="Y2317" s="25"/>
      <c r="Z2317" s="25"/>
      <c r="AA2317" s="25"/>
    </row>
    <row r="2318" spans="1:27" x14ac:dyDescent="0.35">
      <c r="A2318" s="5">
        <v>2314</v>
      </c>
      <c r="B2318" s="5">
        <v>97</v>
      </c>
      <c r="C2318" s="5">
        <v>4</v>
      </c>
      <c r="D2318" s="25">
        <v>1.1415000000000001E-4</v>
      </c>
      <c r="E2318" s="25">
        <v>1.0571E-4</v>
      </c>
      <c r="F2318" s="25">
        <v>1.0408000000000001E-4</v>
      </c>
      <c r="G2318" s="25">
        <v>1.5851E-4</v>
      </c>
      <c r="H2318" s="25">
        <v>1.1981000000000001E-4</v>
      </c>
      <c r="I2318" s="9">
        <v>1.314E-4</v>
      </c>
      <c r="J2318" s="9">
        <v>1.2357000000000001E-4</v>
      </c>
      <c r="K2318" s="9">
        <v>1.314E-4</v>
      </c>
      <c r="L2318" s="9">
        <v>9.0550000000000005E-5</v>
      </c>
      <c r="M2318" s="9">
        <v>1.0658999999999999E-4</v>
      </c>
      <c r="N2318" s="9">
        <v>1.247E-4</v>
      </c>
      <c r="O2318" s="9">
        <v>1.2926999999999999E-4</v>
      </c>
      <c r="P2318" s="9">
        <v>1.5646E-4</v>
      </c>
      <c r="Q2318" s="9">
        <v>1.8357000000000001E-4</v>
      </c>
      <c r="R2318" s="10">
        <v>5.1781210768730293E-5</v>
      </c>
      <c r="S2318" s="10">
        <v>1.1359883468667724E-4</v>
      </c>
      <c r="T2318" s="10">
        <v>4.5937390401411645E-4</v>
      </c>
      <c r="U2318" s="10">
        <v>1.3599E-4</v>
      </c>
      <c r="V2318" s="25"/>
      <c r="W2318" s="25"/>
      <c r="X2318" s="25"/>
      <c r="Y2318" s="25"/>
      <c r="Z2318" s="25"/>
      <c r="AA2318" s="25"/>
    </row>
    <row r="2319" spans="1:27" x14ac:dyDescent="0.35">
      <c r="A2319" s="5">
        <v>2315</v>
      </c>
      <c r="B2319" s="5">
        <v>97</v>
      </c>
      <c r="C2319" s="5">
        <v>4</v>
      </c>
      <c r="D2319" s="25">
        <v>1.1416E-4</v>
      </c>
      <c r="E2319" s="25">
        <v>1.1259E-4</v>
      </c>
      <c r="F2319" s="25">
        <v>9.5370000000000003E-5</v>
      </c>
      <c r="G2319" s="25">
        <v>1.6409000000000001E-4</v>
      </c>
      <c r="H2319" s="25">
        <v>1.1757E-4</v>
      </c>
      <c r="I2319" s="9">
        <v>1.3273000000000001E-4</v>
      </c>
      <c r="J2319" s="9">
        <v>1.2402E-4</v>
      </c>
      <c r="K2319" s="9">
        <v>9.1139999999999998E-5</v>
      </c>
      <c r="L2319" s="9">
        <v>1.2006E-4</v>
      </c>
      <c r="M2319" s="9">
        <v>1.3040999999999999E-4</v>
      </c>
      <c r="N2319" s="9">
        <v>1.4302999999999999E-4</v>
      </c>
      <c r="O2319" s="9">
        <v>1.3724000000000001E-4</v>
      </c>
      <c r="P2319" s="9">
        <v>1.5885000000000001E-4</v>
      </c>
      <c r="Q2319" s="9">
        <v>1.805E-4</v>
      </c>
      <c r="R2319" s="10">
        <v>1.9695098282500519E-5</v>
      </c>
      <c r="S2319" s="10">
        <v>1.1474269533500692E-4</v>
      </c>
      <c r="T2319" s="10">
        <v>3.4302022272626195E-4</v>
      </c>
      <c r="U2319" s="10">
        <v>1.3599E-4</v>
      </c>
      <c r="V2319" s="25"/>
      <c r="W2319" s="25"/>
      <c r="X2319" s="25"/>
      <c r="Y2319" s="25"/>
      <c r="Z2319" s="25"/>
      <c r="AA2319" s="25"/>
    </row>
    <row r="2320" spans="1:27" x14ac:dyDescent="0.35">
      <c r="A2320" s="5">
        <v>2316</v>
      </c>
      <c r="B2320" s="5">
        <v>97</v>
      </c>
      <c r="C2320" s="5">
        <v>4</v>
      </c>
      <c r="D2320" s="25">
        <v>1.1415000000000001E-4</v>
      </c>
      <c r="E2320" s="25">
        <v>1.1084E-4</v>
      </c>
      <c r="F2320" s="25">
        <v>9.8740000000000007E-5</v>
      </c>
      <c r="G2320" s="25">
        <v>1.6673999999999999E-4</v>
      </c>
      <c r="H2320" s="25">
        <v>1.1985E-4</v>
      </c>
      <c r="I2320" s="9">
        <v>1.3077999999999999E-4</v>
      </c>
      <c r="J2320" s="9">
        <v>1.2464E-4</v>
      </c>
      <c r="K2320" s="9">
        <v>7.6299999999999998E-5</v>
      </c>
      <c r="L2320" s="9">
        <v>1.3276E-4</v>
      </c>
      <c r="M2320" s="9">
        <v>1.4631999999999999E-4</v>
      </c>
      <c r="N2320" s="9">
        <v>1.5726999999999999E-4</v>
      </c>
      <c r="O2320" s="9">
        <v>1.3652E-4</v>
      </c>
      <c r="P2320" s="9">
        <v>1.5444999999999999E-4</v>
      </c>
      <c r="Q2320" s="9">
        <v>1.7247000000000001E-4</v>
      </c>
      <c r="R2320" s="10">
        <v>2.5525927151888121E-5</v>
      </c>
      <c r="S2320" s="10">
        <v>1.1131081777166412E-4</v>
      </c>
      <c r="T2320" s="10">
        <v>3.0974480067500295E-4</v>
      </c>
      <c r="U2320" s="10">
        <v>1.3599E-4</v>
      </c>
      <c r="V2320" s="25"/>
      <c r="W2320" s="25"/>
      <c r="X2320" s="25"/>
      <c r="Y2320" s="25"/>
      <c r="Z2320" s="25"/>
      <c r="AA2320" s="25"/>
    </row>
    <row r="2321" spans="1:27" x14ac:dyDescent="0.35">
      <c r="A2321" s="5">
        <v>2317</v>
      </c>
      <c r="B2321" s="5">
        <v>97</v>
      </c>
      <c r="C2321" s="5">
        <v>4</v>
      </c>
      <c r="D2321" s="25">
        <v>1.1416E-4</v>
      </c>
      <c r="E2321" s="25">
        <v>1.0542E-4</v>
      </c>
      <c r="F2321" s="25">
        <v>9.2299999999999994E-5</v>
      </c>
      <c r="G2321" s="25">
        <v>1.5939E-4</v>
      </c>
      <c r="H2321" s="25">
        <v>1.164E-4</v>
      </c>
      <c r="I2321" s="9">
        <v>1.2894999999999999E-4</v>
      </c>
      <c r="J2321" s="9">
        <v>1.2657E-4</v>
      </c>
      <c r="K2321" s="9">
        <v>5.5109999999999999E-5</v>
      </c>
      <c r="L2321" s="9">
        <v>1.3552E-4</v>
      </c>
      <c r="M2321" s="9">
        <v>1.5265999999999999E-4</v>
      </c>
      <c r="N2321" s="9">
        <v>1.6627999999999999E-4</v>
      </c>
      <c r="O2321" s="9">
        <v>1.2972999999999999E-4</v>
      </c>
      <c r="P2321" s="9">
        <v>1.4860000000000001E-4</v>
      </c>
      <c r="Q2321" s="9">
        <v>1.6754000000000001E-4</v>
      </c>
      <c r="R2321" s="10">
        <v>4.6757701856318072E-5</v>
      </c>
      <c r="S2321" s="10">
        <v>1.1057715049901619E-4</v>
      </c>
      <c r="T2321" s="10">
        <v>3.6997484176166473E-4</v>
      </c>
      <c r="U2321" s="10">
        <v>1.3599E-4</v>
      </c>
      <c r="V2321" s="25"/>
      <c r="W2321" s="25"/>
      <c r="X2321" s="25"/>
      <c r="Y2321" s="25"/>
      <c r="Z2321" s="25"/>
      <c r="AA2321" s="25"/>
    </row>
    <row r="2322" spans="1:27" x14ac:dyDescent="0.35">
      <c r="A2322" s="5">
        <v>2318</v>
      </c>
      <c r="B2322" s="5">
        <v>97</v>
      </c>
      <c r="C2322" s="5">
        <v>4</v>
      </c>
      <c r="D2322" s="25">
        <v>1.1415000000000001E-4</v>
      </c>
      <c r="E2322" s="25">
        <v>1.1535E-4</v>
      </c>
      <c r="F2322" s="25">
        <v>9.9560000000000002E-5</v>
      </c>
      <c r="G2322" s="25">
        <v>1.6301E-4</v>
      </c>
      <c r="H2322" s="25">
        <v>1.1679E-4</v>
      </c>
      <c r="I2322" s="9">
        <v>1.2844000000000001E-4</v>
      </c>
      <c r="J2322" s="9">
        <v>1.2589E-4</v>
      </c>
      <c r="K2322" s="9">
        <v>8.2650000000000003E-5</v>
      </c>
      <c r="L2322" s="9">
        <v>1.3111000000000001E-4</v>
      </c>
      <c r="M2322" s="9">
        <v>1.5232000000000001E-4</v>
      </c>
      <c r="N2322" s="9">
        <v>1.7055999999999999E-4</v>
      </c>
      <c r="O2322" s="9">
        <v>1.1249E-4</v>
      </c>
      <c r="P2322" s="9">
        <v>1.3688E-4</v>
      </c>
      <c r="Q2322" s="9">
        <v>1.6118999999999999E-4</v>
      </c>
      <c r="R2322" s="10">
        <v>5.3812332963307695E-5</v>
      </c>
      <c r="S2322" s="10">
        <v>1.1006181309519252E-4</v>
      </c>
      <c r="T2322" s="10">
        <v>3.8713857934700308E-4</v>
      </c>
      <c r="U2322" s="10">
        <v>1.3599E-4</v>
      </c>
      <c r="V2322" s="25"/>
      <c r="W2322" s="25"/>
      <c r="X2322" s="25"/>
      <c r="Y2322" s="25"/>
      <c r="Z2322" s="25"/>
      <c r="AA2322" s="25"/>
    </row>
    <row r="2323" spans="1:27" x14ac:dyDescent="0.35">
      <c r="A2323" s="5">
        <v>2319</v>
      </c>
      <c r="B2323" s="5">
        <v>97</v>
      </c>
      <c r="C2323" s="5">
        <v>4</v>
      </c>
      <c r="D2323" s="25">
        <v>1.1416E-4</v>
      </c>
      <c r="E2323" s="25">
        <v>1.1229E-4</v>
      </c>
      <c r="F2323" s="25">
        <v>1.0029E-4</v>
      </c>
      <c r="G2323" s="25">
        <v>1.5713000000000001E-4</v>
      </c>
      <c r="H2323" s="25">
        <v>1.1958E-4</v>
      </c>
      <c r="I2323" s="9">
        <v>1.2904E-4</v>
      </c>
      <c r="J2323" s="9">
        <v>1.2729000000000001E-4</v>
      </c>
      <c r="K2323" s="9">
        <v>7.4170000000000003E-5</v>
      </c>
      <c r="L2323" s="9">
        <v>1.1677E-4</v>
      </c>
      <c r="M2323" s="9">
        <v>1.4643999999999999E-4</v>
      </c>
      <c r="N2323" s="9">
        <v>1.7013E-4</v>
      </c>
      <c r="O2323" s="9">
        <v>1.2653E-4</v>
      </c>
      <c r="P2323" s="9">
        <v>1.3930999999999999E-4</v>
      </c>
      <c r="Q2323" s="9">
        <v>1.5223E-4</v>
      </c>
      <c r="R2323" s="10">
        <v>6.2417966726825485E-5</v>
      </c>
      <c r="S2323" s="10">
        <v>9.8157590809987659E-5</v>
      </c>
      <c r="T2323" s="10">
        <v>5.1680412631523111E-4</v>
      </c>
      <c r="U2323" s="10">
        <v>1.3599E-4</v>
      </c>
      <c r="V2323" s="25"/>
      <c r="W2323" s="25"/>
      <c r="X2323" s="25"/>
      <c r="Y2323" s="25"/>
      <c r="Z2323" s="25"/>
      <c r="AA2323" s="25"/>
    </row>
    <row r="2324" spans="1:27" x14ac:dyDescent="0.35">
      <c r="A2324" s="5">
        <v>2320</v>
      </c>
      <c r="B2324" s="5">
        <v>97</v>
      </c>
      <c r="C2324" s="5">
        <v>4</v>
      </c>
      <c r="D2324" s="25">
        <v>1.1415000000000001E-4</v>
      </c>
      <c r="E2324" s="25">
        <v>1.0854E-4</v>
      </c>
      <c r="F2324" s="25">
        <v>9.5409999999999996E-5</v>
      </c>
      <c r="G2324" s="25">
        <v>1.6625E-4</v>
      </c>
      <c r="H2324" s="25">
        <v>1.138E-4</v>
      </c>
      <c r="I2324" s="9">
        <v>1.2746E-4</v>
      </c>
      <c r="J2324" s="9">
        <v>1.2737999999999999E-4</v>
      </c>
      <c r="K2324" s="9">
        <v>6.5699999999999998E-5</v>
      </c>
      <c r="L2324" s="9">
        <v>1.2478000000000001E-4</v>
      </c>
      <c r="M2324" s="9">
        <v>1.4223999999999999E-4</v>
      </c>
      <c r="N2324" s="9">
        <v>1.6609E-4</v>
      </c>
      <c r="O2324" s="9">
        <v>1.3297999999999999E-4</v>
      </c>
      <c r="P2324" s="9">
        <v>1.2082E-4</v>
      </c>
      <c r="Q2324" s="9">
        <v>1.0922E-4</v>
      </c>
      <c r="R2324" s="10">
        <v>6.5405490371451346E-5</v>
      </c>
      <c r="S2324" s="10">
        <v>7.8719637265937519E-5</v>
      </c>
      <c r="T2324" s="10">
        <v>4.3637296847588014E-4</v>
      </c>
      <c r="U2324" s="10">
        <v>1.3599E-4</v>
      </c>
      <c r="V2324" s="25"/>
      <c r="W2324" s="25"/>
      <c r="X2324" s="25"/>
      <c r="Y2324" s="25"/>
      <c r="Z2324" s="25"/>
      <c r="AA2324" s="25"/>
    </row>
    <row r="2325" spans="1:27" x14ac:dyDescent="0.35">
      <c r="A2325" s="5">
        <v>2321</v>
      </c>
      <c r="B2325" s="5">
        <v>97</v>
      </c>
      <c r="C2325" s="5">
        <v>4</v>
      </c>
      <c r="D2325" s="25">
        <v>1.1416E-4</v>
      </c>
      <c r="E2325" s="25">
        <v>1.1199E-4</v>
      </c>
      <c r="F2325" s="25">
        <v>8.454E-5</v>
      </c>
      <c r="G2325" s="25">
        <v>1.6624000000000001E-4</v>
      </c>
      <c r="H2325" s="25">
        <v>1.1901E-4</v>
      </c>
      <c r="I2325" s="9">
        <v>1.2883E-4</v>
      </c>
      <c r="J2325" s="9">
        <v>1.2637999999999999E-4</v>
      </c>
      <c r="K2325" s="9">
        <v>8.9019999999999998E-5</v>
      </c>
      <c r="L2325" s="9">
        <v>1.3092999999999999E-4</v>
      </c>
      <c r="M2325" s="9">
        <v>1.3358000000000001E-4</v>
      </c>
      <c r="N2325" s="9">
        <v>1.5222E-4</v>
      </c>
      <c r="O2325" s="9">
        <v>1.3999999999999999E-4</v>
      </c>
      <c r="P2325" s="9">
        <v>1.2334999999999999E-4</v>
      </c>
      <c r="Q2325" s="9">
        <v>1.0734999999999999E-4</v>
      </c>
      <c r="R2325" s="10">
        <v>6.6577180670918774E-5</v>
      </c>
      <c r="S2325" s="10">
        <v>5.9501720939638207E-5</v>
      </c>
      <c r="T2325" s="10">
        <v>2.5390962665171508E-4</v>
      </c>
      <c r="U2325" s="10">
        <v>1.3599E-4</v>
      </c>
      <c r="V2325" s="25"/>
      <c r="W2325" s="25"/>
      <c r="X2325" s="25"/>
      <c r="Y2325" s="25"/>
      <c r="Z2325" s="25"/>
      <c r="AA2325" s="25"/>
    </row>
    <row r="2326" spans="1:27" x14ac:dyDescent="0.35">
      <c r="A2326" s="5">
        <v>2322</v>
      </c>
      <c r="B2326" s="5">
        <v>97</v>
      </c>
      <c r="C2326" s="5">
        <v>4</v>
      </c>
      <c r="D2326" s="25">
        <v>1.1415000000000001E-4</v>
      </c>
      <c r="E2326" s="25">
        <v>1.0463000000000001E-4</v>
      </c>
      <c r="F2326" s="25">
        <v>1.0221999999999999E-4</v>
      </c>
      <c r="G2326" s="25">
        <v>1.5809999999999999E-4</v>
      </c>
      <c r="H2326" s="25">
        <v>1.1474E-4</v>
      </c>
      <c r="I2326" s="9">
        <v>1.2763999999999999E-4</v>
      </c>
      <c r="J2326" s="9">
        <v>1.2021E-4</v>
      </c>
      <c r="K2326" s="9">
        <v>1.1656E-4</v>
      </c>
      <c r="L2326" s="9">
        <v>1.3772E-4</v>
      </c>
      <c r="M2326" s="9">
        <v>1.2769999999999999E-4</v>
      </c>
      <c r="N2326" s="9">
        <v>1.3897000000000001E-4</v>
      </c>
      <c r="O2326" s="9">
        <v>1.3930999999999999E-4</v>
      </c>
      <c r="P2326" s="9">
        <v>1.2778E-4</v>
      </c>
      <c r="Q2326" s="9">
        <v>1.1682E-4</v>
      </c>
      <c r="R2326" s="10">
        <v>6.7943965439394956E-5</v>
      </c>
      <c r="S2326" s="10">
        <v>4.4526570418252814E-5</v>
      </c>
      <c r="T2326" s="10">
        <v>6.807801798554355E-5</v>
      </c>
      <c r="U2326" s="10">
        <v>1.3599E-4</v>
      </c>
      <c r="V2326" s="25"/>
      <c r="W2326" s="25"/>
      <c r="X2326" s="25"/>
      <c r="Y2326" s="25"/>
      <c r="Z2326" s="25"/>
      <c r="AA2326" s="25"/>
    </row>
    <row r="2327" spans="1:27" x14ac:dyDescent="0.35">
      <c r="A2327" s="5">
        <v>2323</v>
      </c>
      <c r="B2327" s="5">
        <v>97</v>
      </c>
      <c r="C2327" s="5">
        <v>4</v>
      </c>
      <c r="D2327" s="25">
        <v>1.1416E-4</v>
      </c>
      <c r="E2327" s="25">
        <v>1.1542E-4</v>
      </c>
      <c r="F2327" s="25">
        <v>8.5229999999999995E-5</v>
      </c>
      <c r="G2327" s="25">
        <v>1.1359E-4</v>
      </c>
      <c r="H2327" s="25">
        <v>8.2429999999999995E-5</v>
      </c>
      <c r="I2327" s="9">
        <v>1.2411E-4</v>
      </c>
      <c r="J2327" s="9">
        <v>1.1962E-4</v>
      </c>
      <c r="K2327" s="9">
        <v>1.314E-4</v>
      </c>
      <c r="L2327" s="9">
        <v>1.3883999999999999E-4</v>
      </c>
      <c r="M2327" s="9">
        <v>1.2640000000000001E-4</v>
      </c>
      <c r="N2327" s="9">
        <v>1.2972999999999999E-4</v>
      </c>
      <c r="O2327" s="9">
        <v>1.4072999999999999E-4</v>
      </c>
      <c r="P2327" s="9">
        <v>1.2347000000000001E-4</v>
      </c>
      <c r="Q2327" s="9">
        <v>1.0687E-4</v>
      </c>
      <c r="R2327" s="10">
        <v>7.7671105165645664E-5</v>
      </c>
      <c r="S2327" s="10">
        <v>3.5043993383229167E-5</v>
      </c>
      <c r="T2327" s="10">
        <v>0</v>
      </c>
      <c r="U2327" s="10">
        <v>1.3599E-4</v>
      </c>
      <c r="V2327" s="25"/>
      <c r="W2327" s="25"/>
      <c r="X2327" s="25"/>
      <c r="Y2327" s="25"/>
      <c r="Z2327" s="25"/>
      <c r="AA2327" s="25"/>
    </row>
    <row r="2328" spans="1:27" x14ac:dyDescent="0.35">
      <c r="A2328" s="5">
        <v>2324</v>
      </c>
      <c r="B2328" s="5">
        <v>97</v>
      </c>
      <c r="C2328" s="5">
        <v>4</v>
      </c>
      <c r="D2328" s="25">
        <v>1.1415000000000001E-4</v>
      </c>
      <c r="E2328" s="25">
        <v>1.099E-4</v>
      </c>
      <c r="F2328" s="25">
        <v>8.8729999999999999E-5</v>
      </c>
      <c r="G2328" s="25">
        <v>1.1084E-4</v>
      </c>
      <c r="H2328" s="25">
        <v>7.6349999999999999E-5</v>
      </c>
      <c r="I2328" s="9">
        <v>1.2307999999999999E-4</v>
      </c>
      <c r="J2328" s="9">
        <v>1.1972999999999999E-4</v>
      </c>
      <c r="K2328" s="9">
        <v>1.3776000000000001E-4</v>
      </c>
      <c r="L2328" s="9">
        <v>1.4033000000000001E-4</v>
      </c>
      <c r="M2328" s="9">
        <v>1.2527E-4</v>
      </c>
      <c r="N2328" s="9">
        <v>1.2061E-4</v>
      </c>
      <c r="O2328" s="9">
        <v>1.4438999999999999E-4</v>
      </c>
      <c r="P2328" s="9">
        <v>1.2312E-4</v>
      </c>
      <c r="Q2328" s="9">
        <v>1.0258E-4</v>
      </c>
      <c r="R2328" s="10">
        <v>8.9772706546232335E-5</v>
      </c>
      <c r="S2328" s="10">
        <v>2.9739786953081944E-5</v>
      </c>
      <c r="T2328" s="10">
        <v>0</v>
      </c>
      <c r="U2328" s="10">
        <v>1.3599E-4</v>
      </c>
      <c r="V2328" s="25"/>
      <c r="W2328" s="25"/>
      <c r="X2328" s="25"/>
      <c r="Y2328" s="25"/>
      <c r="Z2328" s="25"/>
      <c r="AA2328" s="25"/>
    </row>
    <row r="2329" spans="1:27" x14ac:dyDescent="0.35">
      <c r="A2329" s="5">
        <v>2325</v>
      </c>
      <c r="B2329" s="5">
        <v>97</v>
      </c>
      <c r="C2329" s="5">
        <v>4</v>
      </c>
      <c r="D2329" s="25">
        <v>1.1416E-4</v>
      </c>
      <c r="E2329" s="25">
        <v>1.1476000000000001E-4</v>
      </c>
      <c r="F2329" s="25">
        <v>8.6299999999999997E-5</v>
      </c>
      <c r="G2329" s="25">
        <v>5.8159999999999999E-5</v>
      </c>
      <c r="H2329" s="25">
        <v>4.1669999999999999E-5</v>
      </c>
      <c r="I2329" s="9">
        <v>1.225E-4</v>
      </c>
      <c r="J2329" s="9">
        <v>1.1668E-4</v>
      </c>
      <c r="K2329" s="9">
        <v>1.4200000000000001E-4</v>
      </c>
      <c r="L2329" s="9">
        <v>1.4349999999999999E-4</v>
      </c>
      <c r="M2329" s="9">
        <v>1.2422999999999999E-4</v>
      </c>
      <c r="N2329" s="9">
        <v>1.1313E-4</v>
      </c>
      <c r="O2329" s="9">
        <v>8.3960000000000003E-5</v>
      </c>
      <c r="P2329" s="9">
        <v>8.5740000000000002E-5</v>
      </c>
      <c r="Q2329" s="9">
        <v>8.7719999999999994E-5</v>
      </c>
      <c r="R2329" s="10">
        <v>9.5772116424597885E-5</v>
      </c>
      <c r="S2329" s="10">
        <v>2.9227676641932063E-5</v>
      </c>
      <c r="T2329" s="10">
        <v>0</v>
      </c>
      <c r="U2329" s="10">
        <v>1.3599E-4</v>
      </c>
      <c r="V2329" s="25"/>
      <c r="W2329" s="25"/>
      <c r="X2329" s="25"/>
      <c r="Y2329" s="25"/>
      <c r="Z2329" s="25"/>
      <c r="AA2329" s="25"/>
    </row>
    <row r="2330" spans="1:27" x14ac:dyDescent="0.35">
      <c r="A2330" s="5">
        <v>2326</v>
      </c>
      <c r="B2330" s="5">
        <v>97</v>
      </c>
      <c r="C2330" s="5">
        <v>4</v>
      </c>
      <c r="D2330" s="25">
        <v>1.1415000000000001E-4</v>
      </c>
      <c r="E2330" s="25">
        <v>1.1116999999999999E-4</v>
      </c>
      <c r="F2330" s="25">
        <v>8.3960000000000003E-5</v>
      </c>
      <c r="G2330" s="25">
        <v>6.0149999999999998E-5</v>
      </c>
      <c r="H2330" s="25">
        <v>4.1539999999999999E-5</v>
      </c>
      <c r="I2330" s="9">
        <v>1.2218E-4</v>
      </c>
      <c r="J2330" s="9">
        <v>1.0815E-4</v>
      </c>
      <c r="K2330" s="9">
        <v>1.3774999999999999E-4</v>
      </c>
      <c r="L2330" s="9">
        <v>9.6970000000000002E-5</v>
      </c>
      <c r="M2330" s="9">
        <v>1.1008E-4</v>
      </c>
      <c r="N2330" s="9">
        <v>1.0545E-4</v>
      </c>
      <c r="O2330" s="9">
        <v>8.8020000000000001E-5</v>
      </c>
      <c r="P2330" s="9">
        <v>8.844E-5</v>
      </c>
      <c r="Q2330" s="9">
        <v>8.9090000000000003E-5</v>
      </c>
      <c r="R2330" s="10">
        <v>8.8537903405744726E-5</v>
      </c>
      <c r="S2330" s="10">
        <v>2.7231189038531232E-5</v>
      </c>
      <c r="T2330" s="10">
        <v>0</v>
      </c>
      <c r="U2330" s="10">
        <v>1.3599E-4</v>
      </c>
      <c r="V2330" s="25"/>
      <c r="W2330" s="25"/>
      <c r="X2330" s="25"/>
      <c r="Y2330" s="25"/>
      <c r="Z2330" s="25"/>
      <c r="AA2330" s="25"/>
    </row>
    <row r="2331" spans="1:27" x14ac:dyDescent="0.35">
      <c r="A2331" s="5">
        <v>2327</v>
      </c>
      <c r="B2331" s="5">
        <v>97</v>
      </c>
      <c r="C2331" s="5">
        <v>4</v>
      </c>
      <c r="D2331" s="25">
        <v>1.1416E-4</v>
      </c>
      <c r="E2331" s="25">
        <v>1.0543999999999999E-4</v>
      </c>
      <c r="F2331" s="25">
        <v>1.0054E-4</v>
      </c>
      <c r="G2331" s="25">
        <v>5.524E-5</v>
      </c>
      <c r="H2331" s="25">
        <v>4.1829999999999998E-5</v>
      </c>
      <c r="I2331" s="9">
        <v>1.2097E-4</v>
      </c>
      <c r="J2331" s="9">
        <v>1.024E-4</v>
      </c>
      <c r="K2331" s="9">
        <v>1.4200000000000001E-4</v>
      </c>
      <c r="L2331" s="9">
        <v>9.1279999999999993E-5</v>
      </c>
      <c r="M2331" s="9">
        <v>9.8469999999999997E-5</v>
      </c>
      <c r="N2331" s="9">
        <v>9.9870000000000004E-5</v>
      </c>
      <c r="O2331" s="9">
        <v>8.4369999999999994E-5</v>
      </c>
      <c r="P2331" s="9">
        <v>7.5389999999999995E-5</v>
      </c>
      <c r="Q2331" s="9">
        <v>6.6790000000000003E-5</v>
      </c>
      <c r="R2331" s="10">
        <v>7.3080428216988275E-5</v>
      </c>
      <c r="S2331" s="10">
        <v>2.1713224269803995E-5</v>
      </c>
      <c r="T2331" s="10">
        <v>0</v>
      </c>
      <c r="U2331" s="10">
        <v>1.3599E-4</v>
      </c>
      <c r="V2331" s="25"/>
      <c r="W2331" s="25"/>
      <c r="X2331" s="25"/>
      <c r="Y2331" s="25"/>
      <c r="Z2331" s="25"/>
      <c r="AA2331" s="25"/>
    </row>
    <row r="2332" spans="1:27" x14ac:dyDescent="0.35">
      <c r="A2332" s="5">
        <v>2328</v>
      </c>
      <c r="B2332" s="5">
        <v>97</v>
      </c>
      <c r="C2332" s="5">
        <v>4</v>
      </c>
      <c r="D2332" s="25">
        <v>1.1415000000000001E-4</v>
      </c>
      <c r="E2332" s="25">
        <v>1.1448E-4</v>
      </c>
      <c r="F2332" s="25">
        <v>1.0136000000000001E-4</v>
      </c>
      <c r="G2332" s="25">
        <v>5.7720000000000003E-5</v>
      </c>
      <c r="H2332" s="25">
        <v>4.0229999999999999E-5</v>
      </c>
      <c r="I2332" s="9">
        <v>1.1239999999999999E-4</v>
      </c>
      <c r="J2332" s="9">
        <v>9.6650000000000005E-5</v>
      </c>
      <c r="K2332" s="9">
        <v>1.5683E-4</v>
      </c>
      <c r="L2332" s="9">
        <v>8.6100000000000006E-5</v>
      </c>
      <c r="M2332" s="9">
        <v>8.7449999999999998E-5</v>
      </c>
      <c r="N2332" s="9">
        <v>9.0630000000000005E-5</v>
      </c>
      <c r="O2332" s="9">
        <v>7.9640000000000003E-5</v>
      </c>
      <c r="P2332" s="9">
        <v>6.9280000000000001E-5</v>
      </c>
      <c r="Q2332" s="9">
        <v>5.9299999999999998E-5</v>
      </c>
      <c r="R2332" s="10">
        <v>5.0514804854655109E-5</v>
      </c>
      <c r="S2332" s="10">
        <v>2.3655756313327846E-5</v>
      </c>
      <c r="T2332" s="10">
        <v>0</v>
      </c>
      <c r="U2332" s="10">
        <v>1.3599E-4</v>
      </c>
      <c r="V2332" s="25"/>
      <c r="W2332" s="25"/>
      <c r="X2332" s="25"/>
      <c r="Y2332" s="25"/>
      <c r="Z2332" s="25"/>
      <c r="AA2332" s="25"/>
    </row>
    <row r="2333" spans="1:27" x14ac:dyDescent="0.35">
      <c r="A2333" s="5">
        <v>2329</v>
      </c>
      <c r="B2333" s="5">
        <v>98</v>
      </c>
      <c r="C2333" s="5">
        <v>4</v>
      </c>
      <c r="D2333" s="25">
        <v>1.1416E-4</v>
      </c>
      <c r="E2333" s="25">
        <v>1.1574999999999999E-4</v>
      </c>
      <c r="F2333" s="25">
        <v>1.1058E-4</v>
      </c>
      <c r="G2333" s="25">
        <v>5.9259999999999998E-5</v>
      </c>
      <c r="H2333" s="25">
        <v>1.486E-5</v>
      </c>
      <c r="I2333" s="9">
        <v>1.0597E-4</v>
      </c>
      <c r="J2333" s="9">
        <v>9.0840000000000004E-5</v>
      </c>
      <c r="K2333" s="9">
        <v>1.6742999999999999E-4</v>
      </c>
      <c r="L2333" s="9">
        <v>8.0859999999999995E-5</v>
      </c>
      <c r="M2333" s="9">
        <v>7.8410000000000003E-5</v>
      </c>
      <c r="N2333" s="9">
        <v>8.1329999999999996E-5</v>
      </c>
      <c r="O2333" s="9">
        <v>6.7650000000000005E-5</v>
      </c>
      <c r="P2333" s="9">
        <v>6.0229999999999998E-5</v>
      </c>
      <c r="Q2333" s="9">
        <v>5.312E-5</v>
      </c>
      <c r="R2333" s="10">
        <v>4.1013286708095154E-5</v>
      </c>
      <c r="S2333" s="10">
        <v>2.5484791751534728E-5</v>
      </c>
      <c r="T2333" s="10">
        <v>0</v>
      </c>
      <c r="U2333" s="10">
        <v>1.3303999999999999E-4</v>
      </c>
      <c r="V2333" s="25"/>
      <c r="W2333" s="25"/>
      <c r="X2333" s="25"/>
      <c r="Y2333" s="25"/>
      <c r="Z2333" s="25"/>
      <c r="AA2333" s="25"/>
    </row>
    <row r="2334" spans="1:27" x14ac:dyDescent="0.35">
      <c r="A2334" s="5">
        <v>2330</v>
      </c>
      <c r="B2334" s="5">
        <v>98</v>
      </c>
      <c r="C2334" s="5">
        <v>4</v>
      </c>
      <c r="D2334" s="25">
        <v>1.1415000000000001E-4</v>
      </c>
      <c r="E2334" s="25">
        <v>1.1401E-4</v>
      </c>
      <c r="F2334" s="25">
        <v>9.9920000000000006E-5</v>
      </c>
      <c r="G2334" s="25">
        <v>6.0550000000000001E-5</v>
      </c>
      <c r="H2334" s="25">
        <v>1.499E-5</v>
      </c>
      <c r="I2334" s="9">
        <v>1.0231E-4</v>
      </c>
      <c r="J2334" s="9">
        <v>8.8399999999999994E-5</v>
      </c>
      <c r="K2334" s="9">
        <v>1.9498000000000001E-4</v>
      </c>
      <c r="L2334" s="9">
        <v>7.0690000000000003E-5</v>
      </c>
      <c r="M2334" s="9">
        <v>6.9750000000000001E-5</v>
      </c>
      <c r="N2334" s="9">
        <v>7.2139999999999997E-5</v>
      </c>
      <c r="O2334" s="9">
        <v>3.5150000000000001E-5</v>
      </c>
      <c r="P2334" s="9">
        <v>4.5479999999999998E-5</v>
      </c>
      <c r="Q2334" s="9">
        <v>5.5739999999999998E-5</v>
      </c>
      <c r="R2334" s="10">
        <v>3.2007187979527073E-5</v>
      </c>
      <c r="S2334" s="10">
        <v>2.6529398071540665E-5</v>
      </c>
      <c r="T2334" s="10">
        <v>0</v>
      </c>
      <c r="U2334" s="10">
        <v>1.3303999999999999E-4</v>
      </c>
      <c r="V2334" s="25"/>
      <c r="W2334" s="25"/>
      <c r="X2334" s="25"/>
      <c r="Y2334" s="25"/>
      <c r="Z2334" s="25"/>
      <c r="AA2334" s="25"/>
    </row>
    <row r="2335" spans="1:27" x14ac:dyDescent="0.35">
      <c r="A2335" s="5">
        <v>2331</v>
      </c>
      <c r="B2335" s="5">
        <v>98</v>
      </c>
      <c r="C2335" s="5">
        <v>4</v>
      </c>
      <c r="D2335" s="25">
        <v>1.1416E-4</v>
      </c>
      <c r="E2335" s="25">
        <v>1.1654000000000001E-4</v>
      </c>
      <c r="F2335" s="25">
        <v>9.3999999999999994E-5</v>
      </c>
      <c r="G2335" s="25">
        <v>6.313E-5</v>
      </c>
      <c r="H2335" s="25">
        <v>1.414E-5</v>
      </c>
      <c r="I2335" s="9">
        <v>1.0126E-4</v>
      </c>
      <c r="J2335" s="9">
        <v>9.1429999999999997E-5</v>
      </c>
      <c r="K2335" s="9">
        <v>1.9498000000000001E-4</v>
      </c>
      <c r="L2335" s="9">
        <v>4.3239999999999999E-5</v>
      </c>
      <c r="M2335" s="9">
        <v>5.8950000000000003E-5</v>
      </c>
      <c r="N2335" s="9">
        <v>6.5469999999999995E-5</v>
      </c>
      <c r="O2335" s="9">
        <v>2.2500000000000001E-5</v>
      </c>
      <c r="P2335" s="9">
        <v>4.2339999999999998E-5</v>
      </c>
      <c r="Q2335" s="9">
        <v>6.1929999999999998E-5</v>
      </c>
      <c r="R2335" s="10">
        <v>2.1653655884679682E-5</v>
      </c>
      <c r="S2335" s="10">
        <v>2.4406469066601312E-5</v>
      </c>
      <c r="T2335" s="10">
        <v>0</v>
      </c>
      <c r="U2335" s="10">
        <v>1.3303999999999999E-4</v>
      </c>
      <c r="V2335" s="25"/>
      <c r="W2335" s="25"/>
      <c r="X2335" s="25"/>
      <c r="Y2335" s="25"/>
      <c r="Z2335" s="25"/>
      <c r="AA2335" s="25"/>
    </row>
    <row r="2336" spans="1:27" x14ac:dyDescent="0.35">
      <c r="A2336" s="5">
        <v>2332</v>
      </c>
      <c r="B2336" s="5">
        <v>98</v>
      </c>
      <c r="C2336" s="5">
        <v>4</v>
      </c>
      <c r="D2336" s="25">
        <v>1.1415000000000001E-4</v>
      </c>
      <c r="E2336" s="25">
        <v>1.1598E-4</v>
      </c>
      <c r="F2336" s="25">
        <v>1.1567E-4</v>
      </c>
      <c r="G2336" s="25">
        <v>5.4169999999999998E-5</v>
      </c>
      <c r="H2336" s="25">
        <v>1.5299999999999999E-5</v>
      </c>
      <c r="I2336" s="9">
        <v>1.0262E-4</v>
      </c>
      <c r="J2336" s="9">
        <v>9.3250000000000003E-5</v>
      </c>
      <c r="K2336" s="9">
        <v>1.9285999999999999E-4</v>
      </c>
      <c r="L2336" s="9">
        <v>2.779E-5</v>
      </c>
      <c r="M2336" s="9">
        <v>5.0380000000000002E-5</v>
      </c>
      <c r="N2336" s="9">
        <v>6.1929999999999998E-5</v>
      </c>
      <c r="O2336" s="9">
        <v>2.1650000000000001E-5</v>
      </c>
      <c r="P2336" s="9">
        <v>5.0869999999999999E-5</v>
      </c>
      <c r="Q2336" s="9">
        <v>7.9690000000000004E-5</v>
      </c>
      <c r="R2336" s="10">
        <v>1.5143759931717451E-5</v>
      </c>
      <c r="S2336" s="10">
        <v>2.2146574916622082E-5</v>
      </c>
      <c r="T2336" s="10">
        <v>0</v>
      </c>
      <c r="U2336" s="10">
        <v>1.3303999999999999E-4</v>
      </c>
      <c r="V2336" s="25"/>
      <c r="W2336" s="25"/>
      <c r="X2336" s="25"/>
      <c r="Y2336" s="25"/>
      <c r="Z2336" s="25"/>
      <c r="AA2336" s="25"/>
    </row>
    <row r="2337" spans="1:27" x14ac:dyDescent="0.35">
      <c r="A2337" s="5">
        <v>2333</v>
      </c>
      <c r="B2337" s="5">
        <v>98</v>
      </c>
      <c r="C2337" s="5">
        <v>4</v>
      </c>
      <c r="D2337" s="25">
        <v>1.1416E-4</v>
      </c>
      <c r="E2337" s="25">
        <v>1.1943999999999999E-4</v>
      </c>
      <c r="F2337" s="25">
        <v>1.1224E-4</v>
      </c>
      <c r="G2337" s="25">
        <v>6.2749999999999994E-5</v>
      </c>
      <c r="H2337" s="25">
        <v>1.396E-5</v>
      </c>
      <c r="I2337" s="9">
        <v>1.0755E-4</v>
      </c>
      <c r="J2337" s="9">
        <v>9.2810000000000001E-5</v>
      </c>
      <c r="K2337" s="9">
        <v>2.0133999999999999E-4</v>
      </c>
      <c r="L2337" s="9">
        <v>2.3370000000000002E-5</v>
      </c>
      <c r="M2337" s="9">
        <v>4.8579999999999999E-5</v>
      </c>
      <c r="N2337" s="9">
        <v>6.4300000000000004E-5</v>
      </c>
      <c r="O2337" s="9">
        <v>2.368E-5</v>
      </c>
      <c r="P2337" s="9">
        <v>5.8839999999999999E-5</v>
      </c>
      <c r="Q2337" s="9">
        <v>9.3510000000000004E-5</v>
      </c>
      <c r="R2337" s="10">
        <v>1.2115648774943345E-5</v>
      </c>
      <c r="S2337" s="10">
        <v>2.136571382987128E-5</v>
      </c>
      <c r="T2337" s="10">
        <v>0</v>
      </c>
      <c r="U2337" s="10">
        <v>1.3303999999999999E-4</v>
      </c>
      <c r="V2337" s="25"/>
      <c r="W2337" s="25"/>
      <c r="X2337" s="25"/>
      <c r="Y2337" s="25"/>
      <c r="Z2337" s="25"/>
      <c r="AA2337" s="25"/>
    </row>
    <row r="2338" spans="1:27" x14ac:dyDescent="0.35">
      <c r="A2338" s="5">
        <v>2334</v>
      </c>
      <c r="B2338" s="5">
        <v>98</v>
      </c>
      <c r="C2338" s="5">
        <v>4</v>
      </c>
      <c r="D2338" s="25">
        <v>1.1415000000000001E-4</v>
      </c>
      <c r="E2338" s="25">
        <v>1.1421000000000001E-4</v>
      </c>
      <c r="F2338" s="25">
        <v>9.8369999999999995E-5</v>
      </c>
      <c r="G2338" s="25">
        <v>1.1401E-4</v>
      </c>
      <c r="H2338" s="25">
        <v>2.764E-5</v>
      </c>
      <c r="I2338" s="9">
        <v>1.1832000000000001E-4</v>
      </c>
      <c r="J2338" s="9">
        <v>9.9400000000000004E-5</v>
      </c>
      <c r="K2338" s="9">
        <v>2.0557999999999999E-4</v>
      </c>
      <c r="L2338" s="9">
        <v>2.355E-5</v>
      </c>
      <c r="M2338" s="9">
        <v>5.215E-5</v>
      </c>
      <c r="N2338" s="9">
        <v>7.0820000000000003E-5</v>
      </c>
      <c r="O2338" s="9">
        <v>2.9750000000000001E-5</v>
      </c>
      <c r="P2338" s="9">
        <v>6.8219999999999994E-5</v>
      </c>
      <c r="Q2338" s="9">
        <v>1.0616999999999999E-4</v>
      </c>
      <c r="R2338" s="10">
        <v>1.0872341689340916E-5</v>
      </c>
      <c r="S2338" s="10">
        <v>2.1806608162444511E-5</v>
      </c>
      <c r="T2338" s="10">
        <v>0</v>
      </c>
      <c r="U2338" s="10">
        <v>1.3303999999999999E-4</v>
      </c>
      <c r="V2338" s="25"/>
      <c r="W2338" s="25"/>
      <c r="X2338" s="25"/>
      <c r="Y2338" s="25"/>
      <c r="Z2338" s="25"/>
      <c r="AA2338" s="25"/>
    </row>
    <row r="2339" spans="1:27" x14ac:dyDescent="0.35">
      <c r="A2339" s="5">
        <v>2335</v>
      </c>
      <c r="B2339" s="5">
        <v>98</v>
      </c>
      <c r="C2339" s="5">
        <v>4</v>
      </c>
      <c r="D2339" s="25">
        <v>1.1416E-4</v>
      </c>
      <c r="E2339" s="25">
        <v>1.1731E-4</v>
      </c>
      <c r="F2339" s="25">
        <v>1.0789999999999999E-4</v>
      </c>
      <c r="G2339" s="25">
        <v>1.1196000000000001E-4</v>
      </c>
      <c r="H2339" s="25">
        <v>2.5570000000000001E-5</v>
      </c>
      <c r="I2339" s="9">
        <v>1.2284000000000001E-4</v>
      </c>
      <c r="J2339" s="9">
        <v>1.1218999999999999E-4</v>
      </c>
      <c r="K2339" s="9">
        <v>1.9498000000000001E-4</v>
      </c>
      <c r="L2339" s="9">
        <v>2.8289999999999998E-5</v>
      </c>
      <c r="M2339" s="9">
        <v>5.8999999999999998E-5</v>
      </c>
      <c r="N2339" s="9">
        <v>8.0370000000000005E-5</v>
      </c>
      <c r="O2339" s="9">
        <v>4.6430000000000001E-5</v>
      </c>
      <c r="P2339" s="9">
        <v>7.9709999999999994E-5</v>
      </c>
      <c r="Q2339" s="9">
        <v>1.1259E-4</v>
      </c>
      <c r="R2339" s="10">
        <v>8.4841463141337676E-6</v>
      </c>
      <c r="S2339" s="10">
        <v>1.9781979280030936E-5</v>
      </c>
      <c r="T2339" s="10">
        <v>4.1072493154039919E-5</v>
      </c>
      <c r="U2339" s="10">
        <v>1.3303999999999999E-4</v>
      </c>
      <c r="V2339" s="25"/>
      <c r="W2339" s="25"/>
      <c r="X2339" s="25"/>
      <c r="Y2339" s="25"/>
      <c r="Z2339" s="25"/>
      <c r="AA2339" s="25"/>
    </row>
    <row r="2340" spans="1:27" x14ac:dyDescent="0.35">
      <c r="A2340" s="5">
        <v>2336</v>
      </c>
      <c r="B2340" s="5">
        <v>98</v>
      </c>
      <c r="C2340" s="5">
        <v>4</v>
      </c>
      <c r="D2340" s="25">
        <v>1.1415000000000001E-4</v>
      </c>
      <c r="E2340" s="25">
        <v>1.1951999999999999E-4</v>
      </c>
      <c r="F2340" s="25">
        <v>9.4710000000000006E-5</v>
      </c>
      <c r="G2340" s="25">
        <v>1.6746E-4</v>
      </c>
      <c r="H2340" s="25">
        <v>4.0200000000000001E-5</v>
      </c>
      <c r="I2340" s="9">
        <v>1.2755000000000001E-4</v>
      </c>
      <c r="J2340" s="9">
        <v>1.2145E-4</v>
      </c>
      <c r="K2340" s="9">
        <v>1.7589999999999999E-4</v>
      </c>
      <c r="L2340" s="9">
        <v>4.2299999999999998E-5</v>
      </c>
      <c r="M2340" s="9">
        <v>6.8180000000000001E-5</v>
      </c>
      <c r="N2340" s="9">
        <v>9.0550000000000005E-5</v>
      </c>
      <c r="O2340" s="9">
        <v>6.7550000000000002E-5</v>
      </c>
      <c r="P2340" s="9">
        <v>1.0157000000000001E-4</v>
      </c>
      <c r="Q2340" s="9">
        <v>1.3525000000000001E-4</v>
      </c>
      <c r="R2340" s="10">
        <v>7.221606043747319E-6</v>
      </c>
      <c r="S2340" s="10">
        <v>1.905237263368067E-5</v>
      </c>
      <c r="T2340" s="10">
        <v>1.3341560728099107E-4</v>
      </c>
      <c r="U2340" s="10">
        <v>1.3303999999999999E-4</v>
      </c>
      <c r="V2340" s="25"/>
      <c r="W2340" s="25"/>
      <c r="X2340" s="25"/>
      <c r="Y2340" s="25"/>
      <c r="Z2340" s="25"/>
      <c r="AA2340" s="25"/>
    </row>
    <row r="2341" spans="1:27" x14ac:dyDescent="0.35">
      <c r="A2341" s="5">
        <v>2337</v>
      </c>
      <c r="B2341" s="5">
        <v>98</v>
      </c>
      <c r="C2341" s="5">
        <v>4</v>
      </c>
      <c r="D2341" s="25">
        <v>1.1416E-4</v>
      </c>
      <c r="E2341" s="25">
        <v>1.105E-4</v>
      </c>
      <c r="F2341" s="25">
        <v>1.0038E-4</v>
      </c>
      <c r="G2341" s="25">
        <v>1.5856999999999999E-4</v>
      </c>
      <c r="H2341" s="25">
        <v>3.807E-5</v>
      </c>
      <c r="I2341" s="9">
        <v>1.3095000000000001E-4</v>
      </c>
      <c r="J2341" s="9">
        <v>1.2532E-4</v>
      </c>
      <c r="K2341" s="9">
        <v>1.4836E-4</v>
      </c>
      <c r="L2341" s="9">
        <v>6.1610000000000001E-5</v>
      </c>
      <c r="M2341" s="9">
        <v>8.2490000000000005E-5</v>
      </c>
      <c r="N2341" s="9">
        <v>1.0402E-4</v>
      </c>
      <c r="O2341" s="9">
        <v>9.8759999999999996E-5</v>
      </c>
      <c r="P2341" s="9">
        <v>1.3719000000000001E-4</v>
      </c>
      <c r="Q2341" s="9">
        <v>1.7529000000000001E-4</v>
      </c>
      <c r="R2341" s="10">
        <v>6.9745069771264918E-6</v>
      </c>
      <c r="S2341" s="10">
        <v>1.6617052174707639E-5</v>
      </c>
      <c r="T2341" s="10">
        <v>1.2482949633864683E-4</v>
      </c>
      <c r="U2341" s="10">
        <v>1.3303999999999999E-4</v>
      </c>
      <c r="V2341" s="25"/>
      <c r="W2341" s="25"/>
      <c r="X2341" s="25"/>
      <c r="Y2341" s="25"/>
      <c r="Z2341" s="25"/>
      <c r="AA2341" s="25"/>
    </row>
    <row r="2342" spans="1:27" x14ac:dyDescent="0.35">
      <c r="A2342" s="5">
        <v>2338</v>
      </c>
      <c r="B2342" s="5">
        <v>98</v>
      </c>
      <c r="C2342" s="5">
        <v>4</v>
      </c>
      <c r="D2342" s="25">
        <v>1.1415000000000001E-4</v>
      </c>
      <c r="E2342" s="25">
        <v>1.1267E-4</v>
      </c>
      <c r="F2342" s="25">
        <v>1.0569999999999999E-4</v>
      </c>
      <c r="G2342" s="25">
        <v>1.6496999999999999E-4</v>
      </c>
      <c r="H2342" s="25">
        <v>4.0099999999999999E-5</v>
      </c>
      <c r="I2342" s="9">
        <v>1.3124E-4</v>
      </c>
      <c r="J2342" s="9">
        <v>1.2563E-4</v>
      </c>
      <c r="K2342" s="9">
        <v>1.3774999999999999E-4</v>
      </c>
      <c r="L2342" s="9">
        <v>9.0080000000000005E-5</v>
      </c>
      <c r="M2342" s="9">
        <v>1.0577999999999999E-4</v>
      </c>
      <c r="N2342" s="9">
        <v>1.2375999999999999E-4</v>
      </c>
      <c r="O2342" s="9">
        <v>1.2909999999999999E-4</v>
      </c>
      <c r="P2342" s="9">
        <v>1.5625E-4</v>
      </c>
      <c r="Q2342" s="9">
        <v>1.8332999999999999E-4</v>
      </c>
      <c r="R2342" s="10">
        <v>3.7427657176555184E-6</v>
      </c>
      <c r="S2342" s="10">
        <v>1.4290550299583381E-5</v>
      </c>
      <c r="T2342" s="10">
        <v>1.4945093305276043E-4</v>
      </c>
      <c r="U2342" s="10">
        <v>1.3303999999999999E-4</v>
      </c>
      <c r="V2342" s="25"/>
      <c r="W2342" s="25"/>
      <c r="X2342" s="25"/>
      <c r="Y2342" s="25"/>
      <c r="Z2342" s="25"/>
      <c r="AA2342" s="25"/>
    </row>
    <row r="2343" spans="1:27" x14ac:dyDescent="0.35">
      <c r="A2343" s="5">
        <v>2339</v>
      </c>
      <c r="B2343" s="5">
        <v>98</v>
      </c>
      <c r="C2343" s="5">
        <v>4</v>
      </c>
      <c r="D2343" s="25">
        <v>1.1416E-4</v>
      </c>
      <c r="E2343" s="25">
        <v>1.1462E-4</v>
      </c>
      <c r="F2343" s="25">
        <v>1.0666E-4</v>
      </c>
      <c r="G2343" s="25">
        <v>1.6311E-4</v>
      </c>
      <c r="H2343" s="25">
        <v>3.9050000000000001E-5</v>
      </c>
      <c r="I2343" s="9">
        <v>1.3337000000000001E-4</v>
      </c>
      <c r="J2343" s="9">
        <v>1.2642999999999999E-4</v>
      </c>
      <c r="K2343" s="9">
        <v>1.5048000000000001E-4</v>
      </c>
      <c r="L2343" s="9">
        <v>1.1982E-4</v>
      </c>
      <c r="M2343" s="9">
        <v>1.2983E-4</v>
      </c>
      <c r="N2343" s="9">
        <v>1.4222E-4</v>
      </c>
      <c r="O2343" s="9">
        <v>1.3664999999999999E-4</v>
      </c>
      <c r="P2343" s="9">
        <v>1.5817000000000001E-4</v>
      </c>
      <c r="Q2343" s="9">
        <v>1.7972999999999999E-4</v>
      </c>
      <c r="R2343" s="10">
        <v>7.888460331703057E-7</v>
      </c>
      <c r="S2343" s="10">
        <v>1.025238122432664E-5</v>
      </c>
      <c r="T2343" s="10">
        <v>1.4225624720383957E-4</v>
      </c>
      <c r="U2343" s="10">
        <v>1.3303999999999999E-4</v>
      </c>
      <c r="V2343" s="25"/>
      <c r="W2343" s="25"/>
      <c r="X2343" s="25"/>
      <c r="Y2343" s="25"/>
      <c r="Z2343" s="25"/>
      <c r="AA2343" s="25"/>
    </row>
    <row r="2344" spans="1:27" x14ac:dyDescent="0.35">
      <c r="A2344" s="5">
        <v>2340</v>
      </c>
      <c r="B2344" s="5">
        <v>98</v>
      </c>
      <c r="C2344" s="5">
        <v>4</v>
      </c>
      <c r="D2344" s="25">
        <v>1.1415000000000001E-4</v>
      </c>
      <c r="E2344" s="25">
        <v>1.1382E-4</v>
      </c>
      <c r="F2344" s="25">
        <v>9.7349999999999995E-5</v>
      </c>
      <c r="G2344" s="25">
        <v>1.6534000000000001E-4</v>
      </c>
      <c r="H2344" s="25">
        <v>4.0280000000000001E-5</v>
      </c>
      <c r="I2344" s="9">
        <v>1.3145999999999999E-4</v>
      </c>
      <c r="J2344" s="9">
        <v>1.2392999999999999E-4</v>
      </c>
      <c r="K2344" s="9">
        <v>1.2928000000000001E-4</v>
      </c>
      <c r="L2344" s="9">
        <v>1.3223999999999999E-4</v>
      </c>
      <c r="M2344" s="9">
        <v>1.4577000000000001E-4</v>
      </c>
      <c r="N2344" s="9">
        <v>1.5647E-4</v>
      </c>
      <c r="O2344" s="9">
        <v>1.3855000000000001E-4</v>
      </c>
      <c r="P2344" s="9">
        <v>1.5674999999999999E-4</v>
      </c>
      <c r="Q2344" s="9">
        <v>1.7504E-4</v>
      </c>
      <c r="R2344" s="10">
        <v>6.9791198810990673E-8</v>
      </c>
      <c r="S2344" s="10">
        <v>7.5170608662461847E-6</v>
      </c>
      <c r="T2344" s="10">
        <v>1.6465479748821582E-4</v>
      </c>
      <c r="U2344" s="10">
        <v>1.3303999999999999E-4</v>
      </c>
      <c r="V2344" s="25"/>
      <c r="W2344" s="25"/>
      <c r="X2344" s="25"/>
      <c r="Y2344" s="25"/>
      <c r="Z2344" s="25"/>
      <c r="AA2344" s="25"/>
    </row>
    <row r="2345" spans="1:27" x14ac:dyDescent="0.35">
      <c r="A2345" s="5">
        <v>2341</v>
      </c>
      <c r="B2345" s="5">
        <v>98</v>
      </c>
      <c r="C2345" s="5">
        <v>4</v>
      </c>
      <c r="D2345" s="25">
        <v>1.1416E-4</v>
      </c>
      <c r="E2345" s="25">
        <v>1.208E-4</v>
      </c>
      <c r="F2345" s="25">
        <v>1.0915E-4</v>
      </c>
      <c r="G2345" s="25">
        <v>1.6744000000000001E-4</v>
      </c>
      <c r="H2345" s="25">
        <v>3.7750000000000003E-5</v>
      </c>
      <c r="I2345" s="9">
        <v>1.3081E-4</v>
      </c>
      <c r="J2345" s="9">
        <v>1.2350999999999999E-4</v>
      </c>
      <c r="K2345" s="9">
        <v>1.1868E-4</v>
      </c>
      <c r="L2345" s="9">
        <v>1.37E-4</v>
      </c>
      <c r="M2345" s="9">
        <v>1.5312999999999999E-4</v>
      </c>
      <c r="N2345" s="9">
        <v>1.6624000000000001E-4</v>
      </c>
      <c r="O2345" s="9">
        <v>1.2956999999999999E-4</v>
      </c>
      <c r="P2345" s="9">
        <v>1.4842999999999999E-4</v>
      </c>
      <c r="Q2345" s="9">
        <v>1.6734000000000001E-4</v>
      </c>
      <c r="R2345" s="10">
        <v>1.2658899406974424E-7</v>
      </c>
      <c r="S2345" s="10">
        <v>3.44333243065988E-6</v>
      </c>
      <c r="T2345" s="10">
        <v>5.2840216352687582E-4</v>
      </c>
      <c r="U2345" s="10">
        <v>1.3303999999999999E-4</v>
      </c>
      <c r="V2345" s="25"/>
      <c r="W2345" s="25"/>
      <c r="X2345" s="25"/>
      <c r="Y2345" s="25"/>
      <c r="Z2345" s="25"/>
      <c r="AA2345" s="25"/>
    </row>
    <row r="2346" spans="1:27" x14ac:dyDescent="0.35">
      <c r="A2346" s="5">
        <v>2342</v>
      </c>
      <c r="B2346" s="5">
        <v>98</v>
      </c>
      <c r="C2346" s="5">
        <v>4</v>
      </c>
      <c r="D2346" s="25">
        <v>1.1415000000000001E-4</v>
      </c>
      <c r="E2346" s="25">
        <v>1.1120000000000001E-4</v>
      </c>
      <c r="F2346" s="25">
        <v>1.1073000000000001E-4</v>
      </c>
      <c r="G2346" s="25">
        <v>1.6636E-4</v>
      </c>
      <c r="H2346" s="25">
        <v>3.9789999999999997E-5</v>
      </c>
      <c r="I2346" s="9">
        <v>1.2898E-4</v>
      </c>
      <c r="J2346" s="9">
        <v>1.2148E-4</v>
      </c>
      <c r="K2346" s="9">
        <v>1.0385E-4</v>
      </c>
      <c r="L2346" s="9">
        <v>1.3125999999999999E-4</v>
      </c>
      <c r="M2346" s="9">
        <v>1.5284000000000001E-4</v>
      </c>
      <c r="N2346" s="9">
        <v>1.7064000000000001E-4</v>
      </c>
      <c r="O2346" s="9">
        <v>1.1294999999999999E-4</v>
      </c>
      <c r="P2346" s="9">
        <v>1.3744000000000001E-4</v>
      </c>
      <c r="Q2346" s="9">
        <v>1.6185E-4</v>
      </c>
      <c r="R2346" s="10">
        <v>3.1798919339014448E-7</v>
      </c>
      <c r="S2346" s="10">
        <v>1.6112582869844499E-6</v>
      </c>
      <c r="T2346" s="10">
        <v>6.4135364077532332E-4</v>
      </c>
      <c r="U2346" s="10">
        <v>1.3303999999999999E-4</v>
      </c>
      <c r="V2346" s="25"/>
      <c r="W2346" s="25"/>
      <c r="X2346" s="25"/>
      <c r="Y2346" s="25"/>
      <c r="Z2346" s="25"/>
      <c r="AA2346" s="25"/>
    </row>
    <row r="2347" spans="1:27" x14ac:dyDescent="0.35">
      <c r="A2347" s="5">
        <v>2343</v>
      </c>
      <c r="B2347" s="5">
        <v>98</v>
      </c>
      <c r="C2347" s="5">
        <v>4</v>
      </c>
      <c r="D2347" s="25">
        <v>1.1416E-4</v>
      </c>
      <c r="E2347" s="25">
        <v>1.1627E-4</v>
      </c>
      <c r="F2347" s="25">
        <v>1.1188000000000001E-4</v>
      </c>
      <c r="G2347" s="25">
        <v>1.6029E-4</v>
      </c>
      <c r="H2347" s="25">
        <v>3.8510000000000002E-5</v>
      </c>
      <c r="I2347" s="9">
        <v>1.2761000000000001E-4</v>
      </c>
      <c r="J2347" s="9">
        <v>1.2045E-4</v>
      </c>
      <c r="K2347" s="9">
        <v>1.2504000000000001E-4</v>
      </c>
      <c r="L2347" s="9">
        <v>1.172E-4</v>
      </c>
      <c r="M2347" s="9">
        <v>1.4694999999999999E-4</v>
      </c>
      <c r="N2347" s="9">
        <v>1.7045999999999999E-4</v>
      </c>
      <c r="O2347" s="9">
        <v>1.2697000000000001E-4</v>
      </c>
      <c r="P2347" s="9">
        <v>1.3980000000000001E-4</v>
      </c>
      <c r="Q2347" s="9">
        <v>1.5276999999999999E-4</v>
      </c>
      <c r="R2347" s="10">
        <v>5.4675470010608166E-7</v>
      </c>
      <c r="S2347" s="10">
        <v>9.7067130403416144E-7</v>
      </c>
      <c r="T2347" s="10">
        <v>4.955085349463733E-4</v>
      </c>
      <c r="U2347" s="10">
        <v>1.3303999999999999E-4</v>
      </c>
      <c r="V2347" s="25"/>
      <c r="W2347" s="25"/>
      <c r="X2347" s="25"/>
      <c r="Y2347" s="25"/>
      <c r="Z2347" s="25"/>
      <c r="AA2347" s="25"/>
    </row>
    <row r="2348" spans="1:27" x14ac:dyDescent="0.35">
      <c r="A2348" s="5">
        <v>2344</v>
      </c>
      <c r="B2348" s="5">
        <v>98</v>
      </c>
      <c r="C2348" s="5">
        <v>4</v>
      </c>
      <c r="D2348" s="25">
        <v>1.1415000000000001E-4</v>
      </c>
      <c r="E2348" s="25">
        <v>1.1825E-4</v>
      </c>
      <c r="F2348" s="25">
        <v>1.0362E-4</v>
      </c>
      <c r="G2348" s="25">
        <v>1.6163000000000001E-4</v>
      </c>
      <c r="H2348" s="25">
        <v>4.0200000000000001E-5</v>
      </c>
      <c r="I2348" s="9">
        <v>1.2504000000000001E-4</v>
      </c>
      <c r="J2348" s="9">
        <v>1.208E-4</v>
      </c>
      <c r="K2348" s="9">
        <v>1.5048000000000001E-4</v>
      </c>
      <c r="L2348" s="9">
        <v>1.2522999999999999E-4</v>
      </c>
      <c r="M2348" s="9">
        <v>1.4273000000000001E-4</v>
      </c>
      <c r="N2348" s="9">
        <v>1.6657999999999999E-4</v>
      </c>
      <c r="O2348" s="9">
        <v>1.3452000000000001E-4</v>
      </c>
      <c r="P2348" s="9">
        <v>1.2222000000000001E-4</v>
      </c>
      <c r="Q2348" s="9">
        <v>1.1048E-4</v>
      </c>
      <c r="R2348" s="10">
        <v>7.354832358806277E-7</v>
      </c>
      <c r="S2348" s="10">
        <v>5.1037263807226385E-7</v>
      </c>
      <c r="T2348" s="10">
        <v>3.5773199779940904E-4</v>
      </c>
      <c r="U2348" s="10">
        <v>1.3303999999999999E-4</v>
      </c>
      <c r="V2348" s="25"/>
      <c r="W2348" s="25"/>
      <c r="X2348" s="25"/>
      <c r="Y2348" s="25"/>
      <c r="Z2348" s="25"/>
      <c r="AA2348" s="25"/>
    </row>
    <row r="2349" spans="1:27" x14ac:dyDescent="0.35">
      <c r="A2349" s="5">
        <v>2345</v>
      </c>
      <c r="B2349" s="5">
        <v>98</v>
      </c>
      <c r="C2349" s="5">
        <v>4</v>
      </c>
      <c r="D2349" s="25">
        <v>1.1416E-4</v>
      </c>
      <c r="E2349" s="25">
        <v>1.1845000000000001E-4</v>
      </c>
      <c r="F2349" s="25">
        <v>9.8319999999999994E-5</v>
      </c>
      <c r="G2349" s="25">
        <v>1.6108E-4</v>
      </c>
      <c r="H2349" s="25">
        <v>3.9929999999999999E-5</v>
      </c>
      <c r="I2349" s="9">
        <v>1.2590999999999999E-4</v>
      </c>
      <c r="J2349" s="9">
        <v>1.214E-4</v>
      </c>
      <c r="K2349" s="9">
        <v>1.7379E-4</v>
      </c>
      <c r="L2349" s="9">
        <v>1.3221000000000001E-4</v>
      </c>
      <c r="M2349" s="9">
        <v>1.3439999999999999E-4</v>
      </c>
      <c r="N2349" s="9">
        <v>1.5296E-4</v>
      </c>
      <c r="O2349" s="9">
        <v>1.4087999999999999E-4</v>
      </c>
      <c r="P2349" s="9">
        <v>1.2412999999999999E-4</v>
      </c>
      <c r="Q2349" s="9">
        <v>1.0802999999999999E-4</v>
      </c>
      <c r="R2349" s="10">
        <v>9.2306579745819783E-7</v>
      </c>
      <c r="S2349" s="10">
        <v>2.5351785922926897E-7</v>
      </c>
      <c r="T2349" s="10">
        <v>2.1906460922067978E-4</v>
      </c>
      <c r="U2349" s="10">
        <v>1.3303999999999999E-4</v>
      </c>
      <c r="V2349" s="25"/>
      <c r="W2349" s="25"/>
      <c r="X2349" s="25"/>
      <c r="Y2349" s="25"/>
      <c r="Z2349" s="25"/>
      <c r="AA2349" s="25"/>
    </row>
    <row r="2350" spans="1:27" x14ac:dyDescent="0.35">
      <c r="A2350" s="5">
        <v>2346</v>
      </c>
      <c r="B2350" s="5">
        <v>98</v>
      </c>
      <c r="C2350" s="5">
        <v>4</v>
      </c>
      <c r="D2350" s="25">
        <v>1.1415000000000001E-4</v>
      </c>
      <c r="E2350" s="25">
        <v>1.1043E-4</v>
      </c>
      <c r="F2350" s="25">
        <v>9.7559999999999994E-5</v>
      </c>
      <c r="G2350" s="25">
        <v>1.5712000000000001E-4</v>
      </c>
      <c r="H2350" s="25">
        <v>3.9409999999999997E-5</v>
      </c>
      <c r="I2350" s="9">
        <v>1.2522999999999999E-4</v>
      </c>
      <c r="J2350" s="9">
        <v>1.1843E-4</v>
      </c>
      <c r="K2350" s="9">
        <v>1.9498000000000001E-4</v>
      </c>
      <c r="L2350" s="9">
        <v>1.3867E-4</v>
      </c>
      <c r="M2350" s="9">
        <v>1.2860000000000001E-4</v>
      </c>
      <c r="N2350" s="9">
        <v>1.3970000000000001E-4</v>
      </c>
      <c r="O2350" s="9">
        <v>1.3985000000000001E-4</v>
      </c>
      <c r="P2350" s="9">
        <v>1.2828000000000001E-4</v>
      </c>
      <c r="Q2350" s="9">
        <v>1.1728E-4</v>
      </c>
      <c r="R2350" s="10">
        <v>1.6768448427186149E-6</v>
      </c>
      <c r="S2350" s="10">
        <v>1.6081326489531632E-7</v>
      </c>
      <c r="T2350" s="10">
        <v>5.1839069029370778E-5</v>
      </c>
      <c r="U2350" s="10">
        <v>1.3303999999999999E-4</v>
      </c>
      <c r="V2350" s="25"/>
      <c r="W2350" s="25"/>
      <c r="X2350" s="25"/>
      <c r="Y2350" s="25"/>
      <c r="Z2350" s="25"/>
      <c r="AA2350" s="25"/>
    </row>
    <row r="2351" spans="1:27" x14ac:dyDescent="0.35">
      <c r="A2351" s="5">
        <v>2347</v>
      </c>
      <c r="B2351" s="5">
        <v>98</v>
      </c>
      <c r="C2351" s="5">
        <v>4</v>
      </c>
      <c r="D2351" s="25">
        <v>1.1416E-4</v>
      </c>
      <c r="E2351" s="25">
        <v>1.1771E-4</v>
      </c>
      <c r="F2351" s="25">
        <v>9.8189999999999993E-5</v>
      </c>
      <c r="G2351" s="25">
        <v>1.0423E-4</v>
      </c>
      <c r="H2351" s="25">
        <v>2.529E-5</v>
      </c>
      <c r="I2351" s="9">
        <v>1.2338E-4</v>
      </c>
      <c r="J2351" s="9">
        <v>1.1697E-4</v>
      </c>
      <c r="K2351" s="9">
        <v>2.1405E-4</v>
      </c>
      <c r="L2351" s="9">
        <v>1.3948000000000001E-4</v>
      </c>
      <c r="M2351" s="9">
        <v>1.2716E-4</v>
      </c>
      <c r="N2351" s="9">
        <v>1.3043000000000001E-4</v>
      </c>
      <c r="O2351" s="9">
        <v>1.4082999999999999E-4</v>
      </c>
      <c r="P2351" s="9">
        <v>1.2355999999999999E-4</v>
      </c>
      <c r="Q2351" s="9">
        <v>1.0695E-4</v>
      </c>
      <c r="R2351" s="10">
        <v>3.8532754128379419E-6</v>
      </c>
      <c r="S2351" s="10">
        <v>2.6584177230073039E-7</v>
      </c>
      <c r="T2351" s="10">
        <v>0</v>
      </c>
      <c r="U2351" s="10">
        <v>1.3303999999999999E-4</v>
      </c>
      <c r="V2351" s="25"/>
      <c r="W2351" s="25"/>
      <c r="X2351" s="25"/>
      <c r="Y2351" s="25"/>
      <c r="Z2351" s="25"/>
      <c r="AA2351" s="25"/>
    </row>
    <row r="2352" spans="1:27" x14ac:dyDescent="0.35">
      <c r="A2352" s="5">
        <v>2348</v>
      </c>
      <c r="B2352" s="5">
        <v>98</v>
      </c>
      <c r="C2352" s="5">
        <v>4</v>
      </c>
      <c r="D2352" s="25">
        <v>1.1415000000000001E-4</v>
      </c>
      <c r="E2352" s="25">
        <v>1.1948E-4</v>
      </c>
      <c r="F2352" s="25">
        <v>1.0665E-4</v>
      </c>
      <c r="G2352" s="25">
        <v>1.1504E-4</v>
      </c>
      <c r="H2352" s="25">
        <v>2.7160000000000001E-5</v>
      </c>
      <c r="I2352" s="9">
        <v>1.2519000000000001E-4</v>
      </c>
      <c r="J2352" s="9">
        <v>1.1866000000000001E-4</v>
      </c>
      <c r="K2352" s="9">
        <v>2.3313000000000001E-4</v>
      </c>
      <c r="L2352" s="9">
        <v>1.4056E-4</v>
      </c>
      <c r="M2352" s="9">
        <v>1.2574E-4</v>
      </c>
      <c r="N2352" s="9">
        <v>1.2116999999999999E-4</v>
      </c>
      <c r="O2352" s="9">
        <v>1.4318999999999999E-4</v>
      </c>
      <c r="P2352" s="9">
        <v>1.2208999999999999E-4</v>
      </c>
      <c r="Q2352" s="9">
        <v>1.0173E-4</v>
      </c>
      <c r="R2352" s="10">
        <v>7.6060757353643102E-6</v>
      </c>
      <c r="S2352" s="10">
        <v>5.357323710629928E-7</v>
      </c>
      <c r="T2352" s="10">
        <v>0</v>
      </c>
      <c r="U2352" s="10">
        <v>1.3303999999999999E-4</v>
      </c>
      <c r="V2352" s="25"/>
      <c r="W2352" s="25"/>
      <c r="X2352" s="25"/>
      <c r="Y2352" s="25"/>
      <c r="Z2352" s="25"/>
      <c r="AA2352" s="25"/>
    </row>
    <row r="2353" spans="1:27" x14ac:dyDescent="0.35">
      <c r="A2353" s="5">
        <v>2349</v>
      </c>
      <c r="B2353" s="5">
        <v>98</v>
      </c>
      <c r="C2353" s="5">
        <v>4</v>
      </c>
      <c r="D2353" s="25">
        <v>1.1416E-4</v>
      </c>
      <c r="E2353" s="25">
        <v>1.1318E-4</v>
      </c>
      <c r="F2353" s="25">
        <v>9.4430000000000002E-5</v>
      </c>
      <c r="G2353" s="25">
        <v>5.7370000000000001E-5</v>
      </c>
      <c r="H2353" s="25">
        <v>1.5099999999999999E-5</v>
      </c>
      <c r="I2353" s="9">
        <v>1.2310000000000001E-4</v>
      </c>
      <c r="J2353" s="9">
        <v>1.1663E-4</v>
      </c>
      <c r="K2353" s="9">
        <v>2.3735999999999999E-4</v>
      </c>
      <c r="L2353" s="9">
        <v>1.4262000000000001E-4</v>
      </c>
      <c r="M2353" s="9">
        <v>1.2410000000000001E-4</v>
      </c>
      <c r="N2353" s="9">
        <v>1.1336E-4</v>
      </c>
      <c r="O2353" s="9">
        <v>8.4939999999999997E-5</v>
      </c>
      <c r="P2353" s="9">
        <v>8.674E-5</v>
      </c>
      <c r="Q2353" s="9">
        <v>8.8750000000000002E-5</v>
      </c>
      <c r="R2353" s="10">
        <v>1.4290621433292705E-5</v>
      </c>
      <c r="S2353" s="10">
        <v>1.477898993727013E-6</v>
      </c>
      <c r="T2353" s="10">
        <v>0</v>
      </c>
      <c r="U2353" s="10">
        <v>1.3303999999999999E-4</v>
      </c>
      <c r="V2353" s="25"/>
      <c r="W2353" s="25"/>
      <c r="X2353" s="25"/>
      <c r="Y2353" s="25"/>
      <c r="Z2353" s="25"/>
      <c r="AA2353" s="25"/>
    </row>
    <row r="2354" spans="1:27" x14ac:dyDescent="0.35">
      <c r="A2354" s="5">
        <v>2350</v>
      </c>
      <c r="B2354" s="5">
        <v>98</v>
      </c>
      <c r="C2354" s="5">
        <v>4</v>
      </c>
      <c r="D2354" s="25">
        <v>1.1415000000000001E-4</v>
      </c>
      <c r="E2354" s="25">
        <v>1.1462E-4</v>
      </c>
      <c r="F2354" s="25">
        <v>9.31E-5</v>
      </c>
      <c r="G2354" s="25">
        <v>6.1199999999999997E-5</v>
      </c>
      <c r="H2354" s="25">
        <v>1.3570000000000001E-5</v>
      </c>
      <c r="I2354" s="9">
        <v>1.2442E-4</v>
      </c>
      <c r="J2354" s="9">
        <v>1.0773E-4</v>
      </c>
      <c r="K2354" s="9">
        <v>2.3737000000000001E-4</v>
      </c>
      <c r="L2354" s="9">
        <v>9.7570000000000003E-5</v>
      </c>
      <c r="M2354" s="9">
        <v>1.102E-4</v>
      </c>
      <c r="N2354" s="9">
        <v>1.0576E-4</v>
      </c>
      <c r="O2354" s="9">
        <v>8.7990000000000003E-5</v>
      </c>
      <c r="P2354" s="9">
        <v>8.8410000000000002E-5</v>
      </c>
      <c r="Q2354" s="9">
        <v>8.9069999999999999E-5</v>
      </c>
      <c r="R2354" s="10">
        <v>1.7795011439742184E-5</v>
      </c>
      <c r="S2354" s="10">
        <v>2.5287987792805574E-6</v>
      </c>
      <c r="T2354" s="10">
        <v>0</v>
      </c>
      <c r="U2354" s="10">
        <v>1.3303999999999999E-4</v>
      </c>
      <c r="V2354" s="25"/>
      <c r="W2354" s="25"/>
      <c r="X2354" s="25"/>
      <c r="Y2354" s="25"/>
      <c r="Z2354" s="25"/>
      <c r="AA2354" s="25"/>
    </row>
    <row r="2355" spans="1:27" x14ac:dyDescent="0.35">
      <c r="A2355" s="5">
        <v>2351</v>
      </c>
      <c r="B2355" s="5">
        <v>98</v>
      </c>
      <c r="C2355" s="5">
        <v>4</v>
      </c>
      <c r="D2355" s="25">
        <v>1.1416E-4</v>
      </c>
      <c r="E2355" s="25">
        <v>1.1177E-4</v>
      </c>
      <c r="F2355" s="25">
        <v>9.8380000000000003E-5</v>
      </c>
      <c r="G2355" s="25">
        <v>6.1329999999999997E-5</v>
      </c>
      <c r="H2355" s="25">
        <v>1.3390000000000001E-5</v>
      </c>
      <c r="I2355" s="9">
        <v>1.2184999999999999E-4</v>
      </c>
      <c r="J2355" s="9">
        <v>9.9170000000000001E-5</v>
      </c>
      <c r="K2355" s="9">
        <v>2.4159999999999999E-4</v>
      </c>
      <c r="L2355" s="9">
        <v>9.1349999999999998E-5</v>
      </c>
      <c r="M2355" s="9">
        <v>9.8620000000000001E-5</v>
      </c>
      <c r="N2355" s="9">
        <v>1.0007E-4</v>
      </c>
      <c r="O2355" s="9">
        <v>8.3720000000000005E-5</v>
      </c>
      <c r="P2355" s="9">
        <v>7.4809999999999997E-5</v>
      </c>
      <c r="Q2355" s="9">
        <v>6.6270000000000001E-5</v>
      </c>
      <c r="R2355" s="10">
        <v>2.3031245429038038E-5</v>
      </c>
      <c r="S2355" s="10">
        <v>3.9789708558490957E-6</v>
      </c>
      <c r="T2355" s="10">
        <v>0</v>
      </c>
      <c r="U2355" s="10">
        <v>1.3303999999999999E-4</v>
      </c>
      <c r="V2355" s="25"/>
      <c r="W2355" s="25"/>
      <c r="X2355" s="25"/>
      <c r="Y2355" s="25"/>
      <c r="Z2355" s="25"/>
      <c r="AA2355" s="25"/>
    </row>
    <row r="2356" spans="1:27" x14ac:dyDescent="0.35">
      <c r="A2356" s="5">
        <v>2352</v>
      </c>
      <c r="B2356" s="5">
        <v>98</v>
      </c>
      <c r="C2356" s="5">
        <v>4</v>
      </c>
      <c r="D2356" s="25">
        <v>1.1415000000000001E-4</v>
      </c>
      <c r="E2356" s="25">
        <v>1.1467E-4</v>
      </c>
      <c r="F2356" s="25">
        <v>1.1408000000000001E-4</v>
      </c>
      <c r="G2356" s="25">
        <v>5.2599999999999998E-5</v>
      </c>
      <c r="H2356" s="25">
        <v>1.3699999999999999E-5</v>
      </c>
      <c r="I2356" s="9">
        <v>1.1341E-4</v>
      </c>
      <c r="J2356" s="9">
        <v>9.1349999999999998E-5</v>
      </c>
      <c r="K2356" s="9">
        <v>2.4372E-4</v>
      </c>
      <c r="L2356" s="9">
        <v>8.5610000000000002E-5</v>
      </c>
      <c r="M2356" s="9">
        <v>8.7349999999999995E-5</v>
      </c>
      <c r="N2356" s="9">
        <v>9.064E-5</v>
      </c>
      <c r="O2356" s="9">
        <v>7.86E-5</v>
      </c>
      <c r="P2356" s="9">
        <v>6.8380000000000006E-5</v>
      </c>
      <c r="Q2356" s="9">
        <v>5.8529999999999997E-5</v>
      </c>
      <c r="R2356" s="10">
        <v>6.389049762581615E-5</v>
      </c>
      <c r="S2356" s="10">
        <v>6.9763587541822162E-6</v>
      </c>
      <c r="T2356" s="10">
        <v>0</v>
      </c>
      <c r="U2356" s="10">
        <v>1.3303999999999999E-4</v>
      </c>
      <c r="V2356" s="25"/>
      <c r="W2356" s="25"/>
      <c r="X2356" s="25"/>
      <c r="Y2356" s="25"/>
      <c r="Z2356" s="25"/>
      <c r="AA2356" s="25"/>
    </row>
    <row r="2357" spans="1:27" x14ac:dyDescent="0.35">
      <c r="A2357" s="5">
        <v>2353</v>
      </c>
      <c r="B2357" s="5">
        <v>99</v>
      </c>
      <c r="C2357" s="5">
        <v>4</v>
      </c>
      <c r="D2357" s="25">
        <v>1.1416E-4</v>
      </c>
      <c r="E2357" s="25">
        <v>1.1212E-4</v>
      </c>
      <c r="F2357" s="25">
        <v>1.1365E-4</v>
      </c>
      <c r="G2357" s="25">
        <v>6.3109999999999997E-5</v>
      </c>
      <c r="H2357" s="25">
        <v>6.9319999999999994E-5</v>
      </c>
      <c r="I2357" s="9">
        <v>1.0767E-4</v>
      </c>
      <c r="J2357" s="9">
        <v>8.6269999999999999E-5</v>
      </c>
      <c r="K2357" s="9">
        <v>2.4795999999999998E-4</v>
      </c>
      <c r="L2357" s="9">
        <v>7.9969999999999995E-5</v>
      </c>
      <c r="M2357" s="9">
        <v>7.7940000000000003E-5</v>
      </c>
      <c r="N2357" s="9">
        <v>8.1139999999999999E-5</v>
      </c>
      <c r="O2357" s="9">
        <v>5.4230000000000001E-5</v>
      </c>
      <c r="P2357" s="9">
        <v>5.3650000000000003E-5</v>
      </c>
      <c r="Q2357" s="9">
        <v>5.3229999999999997E-5</v>
      </c>
      <c r="R2357" s="10">
        <v>8.3609398327825821E-5</v>
      </c>
      <c r="S2357" s="10">
        <v>8.172065242685004E-6</v>
      </c>
      <c r="T2357" s="10">
        <v>0</v>
      </c>
      <c r="U2357" s="10">
        <v>1.3009E-4</v>
      </c>
      <c r="V2357" s="25"/>
      <c r="W2357" s="25"/>
      <c r="X2357" s="25"/>
      <c r="Y2357" s="25"/>
      <c r="Z2357" s="25"/>
      <c r="AA2357" s="25"/>
    </row>
    <row r="2358" spans="1:27" x14ac:dyDescent="0.35">
      <c r="A2358" s="5">
        <v>2354</v>
      </c>
      <c r="B2358" s="5">
        <v>99</v>
      </c>
      <c r="C2358" s="5">
        <v>4</v>
      </c>
      <c r="D2358" s="25">
        <v>1.1415000000000001E-4</v>
      </c>
      <c r="E2358" s="25">
        <v>1.1783E-4</v>
      </c>
      <c r="F2358" s="25">
        <v>1.2489000000000001E-4</v>
      </c>
      <c r="G2358" s="25">
        <v>5.287E-5</v>
      </c>
      <c r="H2358" s="25">
        <v>6.6600000000000006E-5</v>
      </c>
      <c r="I2358" s="9">
        <v>1.0276999999999999E-4</v>
      </c>
      <c r="J2358" s="9">
        <v>8.3830000000000002E-5</v>
      </c>
      <c r="K2358" s="9">
        <v>2.4583999999999999E-4</v>
      </c>
      <c r="L2358" s="9">
        <v>6.0040000000000001E-5</v>
      </c>
      <c r="M2358" s="9">
        <v>6.6989999999999994E-5</v>
      </c>
      <c r="N2358" s="9">
        <v>7.1979999999999999E-5</v>
      </c>
      <c r="O2358" s="9">
        <v>1.914E-5</v>
      </c>
      <c r="P2358" s="9">
        <v>3.7870000000000002E-5</v>
      </c>
      <c r="Q2358" s="9">
        <v>5.6360000000000002E-5</v>
      </c>
      <c r="R2358" s="10">
        <v>9.0571440135103518E-5</v>
      </c>
      <c r="S2358" s="10">
        <v>7.9600192610360678E-6</v>
      </c>
      <c r="T2358" s="10">
        <v>0</v>
      </c>
      <c r="U2358" s="10">
        <v>1.3009E-4</v>
      </c>
      <c r="V2358" s="25"/>
      <c r="W2358" s="25"/>
      <c r="X2358" s="25"/>
      <c r="Y2358" s="25"/>
      <c r="Z2358" s="25"/>
      <c r="AA2358" s="25"/>
    </row>
    <row r="2359" spans="1:27" x14ac:dyDescent="0.35">
      <c r="A2359" s="5">
        <v>2355</v>
      </c>
      <c r="B2359" s="5">
        <v>99</v>
      </c>
      <c r="C2359" s="5">
        <v>4</v>
      </c>
      <c r="D2359" s="25">
        <v>1.1416E-4</v>
      </c>
      <c r="E2359" s="25">
        <v>1.0752E-4</v>
      </c>
      <c r="F2359" s="25">
        <v>1.2636E-4</v>
      </c>
      <c r="G2359" s="25">
        <v>5.8879999999999999E-5</v>
      </c>
      <c r="H2359" s="25">
        <v>7.1950000000000001E-5</v>
      </c>
      <c r="I2359" s="9">
        <v>1.0178E-4</v>
      </c>
      <c r="J2359" s="9">
        <v>8.3040000000000005E-5</v>
      </c>
      <c r="K2359" s="9">
        <v>2.522E-4</v>
      </c>
      <c r="L2359" s="9">
        <v>2.8670000000000002E-5</v>
      </c>
      <c r="M2359" s="9">
        <v>5.384E-5</v>
      </c>
      <c r="N2359" s="9">
        <v>6.5439999999999997E-5</v>
      </c>
      <c r="O2359" s="9">
        <v>1.3709999999999999E-5</v>
      </c>
      <c r="P2359" s="9">
        <v>3.799E-5</v>
      </c>
      <c r="Q2359" s="9">
        <v>6.1920000000000003E-5</v>
      </c>
      <c r="R2359" s="10">
        <v>9.1751220609440813E-5</v>
      </c>
      <c r="S2359" s="10">
        <v>6.7746212417379959E-6</v>
      </c>
      <c r="T2359" s="10">
        <v>0</v>
      </c>
      <c r="U2359" s="10">
        <v>1.3009E-4</v>
      </c>
      <c r="V2359" s="25"/>
      <c r="W2359" s="25"/>
      <c r="X2359" s="25"/>
      <c r="Y2359" s="25"/>
      <c r="Z2359" s="25"/>
      <c r="AA2359" s="25"/>
    </row>
    <row r="2360" spans="1:27" x14ac:dyDescent="0.35">
      <c r="A2360" s="5">
        <v>2356</v>
      </c>
      <c r="B2360" s="5">
        <v>99</v>
      </c>
      <c r="C2360" s="5">
        <v>4</v>
      </c>
      <c r="D2360" s="25">
        <v>1.1415000000000001E-4</v>
      </c>
      <c r="E2360" s="25">
        <v>1.1519999999999999E-4</v>
      </c>
      <c r="F2360" s="25">
        <v>1.3444999999999999E-4</v>
      </c>
      <c r="G2360" s="25">
        <v>5.486E-5</v>
      </c>
      <c r="H2360" s="25">
        <v>7.3499999999999998E-5</v>
      </c>
      <c r="I2360" s="9">
        <v>1.0381E-4</v>
      </c>
      <c r="J2360" s="9">
        <v>8.3289999999999997E-5</v>
      </c>
      <c r="K2360" s="9">
        <v>2.7338999999999998E-4</v>
      </c>
      <c r="L2360" s="9">
        <v>1.785E-5</v>
      </c>
      <c r="M2360" s="9">
        <v>4.4969999999999998E-5</v>
      </c>
      <c r="N2360" s="9">
        <v>6.1909999999999995E-5</v>
      </c>
      <c r="O2360" s="9">
        <v>1.363E-5</v>
      </c>
      <c r="P2360" s="9">
        <v>4.7179999999999999E-5</v>
      </c>
      <c r="Q2360" s="9">
        <v>8.0240000000000004E-5</v>
      </c>
      <c r="R2360" s="10">
        <v>9.1187212125565953E-5</v>
      </c>
      <c r="S2360" s="10">
        <v>5.0427769055834344E-6</v>
      </c>
      <c r="T2360" s="10">
        <v>0</v>
      </c>
      <c r="U2360" s="10">
        <v>1.3009E-4</v>
      </c>
      <c r="V2360" s="25"/>
      <c r="W2360" s="25"/>
      <c r="X2360" s="25"/>
      <c r="Y2360" s="25"/>
      <c r="Z2360" s="25"/>
      <c r="AA2360" s="25"/>
    </row>
    <row r="2361" spans="1:27" x14ac:dyDescent="0.35">
      <c r="A2361" s="5">
        <v>2357</v>
      </c>
      <c r="B2361" s="5">
        <v>99</v>
      </c>
      <c r="C2361" s="5">
        <v>4</v>
      </c>
      <c r="D2361" s="25">
        <v>1.1416E-4</v>
      </c>
      <c r="E2361" s="25">
        <v>1.1245E-4</v>
      </c>
      <c r="F2361" s="25">
        <v>1.3259E-4</v>
      </c>
      <c r="G2361" s="25">
        <v>5.4939999999999999E-5</v>
      </c>
      <c r="H2361" s="25">
        <v>6.3100000000000002E-5</v>
      </c>
      <c r="I2361" s="9">
        <v>1.0874000000000001E-4</v>
      </c>
      <c r="J2361" s="9">
        <v>8.6580000000000001E-5</v>
      </c>
      <c r="K2361" s="9">
        <v>2.8399000000000002E-4</v>
      </c>
      <c r="L2361" s="9">
        <v>1.473E-5</v>
      </c>
      <c r="M2361" s="9">
        <v>4.3810000000000002E-5</v>
      </c>
      <c r="N2361" s="9">
        <v>6.444E-5</v>
      </c>
      <c r="O2361" s="9">
        <v>1.9279999999999998E-5</v>
      </c>
      <c r="P2361" s="9">
        <v>5.7210000000000003E-5</v>
      </c>
      <c r="Q2361" s="9">
        <v>9.4599999999999996E-5</v>
      </c>
      <c r="R2361" s="10">
        <v>8.8884140593226797E-5</v>
      </c>
      <c r="S2361" s="10">
        <v>3.7416672370539972E-6</v>
      </c>
      <c r="T2361" s="10">
        <v>0</v>
      </c>
      <c r="U2361" s="10">
        <v>1.3009E-4</v>
      </c>
      <c r="V2361" s="25"/>
      <c r="W2361" s="25"/>
      <c r="X2361" s="25"/>
      <c r="Y2361" s="25"/>
      <c r="Z2361" s="25"/>
      <c r="AA2361" s="25"/>
    </row>
    <row r="2362" spans="1:27" x14ac:dyDescent="0.35">
      <c r="A2362" s="5">
        <v>2358</v>
      </c>
      <c r="B2362" s="5">
        <v>99</v>
      </c>
      <c r="C2362" s="5">
        <v>4</v>
      </c>
      <c r="D2362" s="25">
        <v>1.1415000000000001E-4</v>
      </c>
      <c r="E2362" s="25">
        <v>1.1367E-4</v>
      </c>
      <c r="F2362" s="25">
        <v>1.3346000000000001E-4</v>
      </c>
      <c r="G2362" s="25">
        <v>1.1388E-4</v>
      </c>
      <c r="H2362" s="25">
        <v>1.2753999999999999E-4</v>
      </c>
      <c r="I2362" s="9">
        <v>1.1754E-4</v>
      </c>
      <c r="J2362" s="9">
        <v>9.7299999999999993E-5</v>
      </c>
      <c r="K2362" s="9">
        <v>2.5856000000000002E-4</v>
      </c>
      <c r="L2362" s="9">
        <v>1.8150000000000001E-5</v>
      </c>
      <c r="M2362" s="9">
        <v>4.8699999999999998E-5</v>
      </c>
      <c r="N2362" s="9">
        <v>7.1219999999999999E-5</v>
      </c>
      <c r="O2362" s="9">
        <v>4.6109999999999997E-5</v>
      </c>
      <c r="P2362" s="9">
        <v>7.6470000000000005E-5</v>
      </c>
      <c r="Q2362" s="9">
        <v>1.0649000000000001E-4</v>
      </c>
      <c r="R2362" s="10">
        <v>7.6107646724399614E-5</v>
      </c>
      <c r="S2362" s="10">
        <v>3.2624343701878023E-6</v>
      </c>
      <c r="T2362" s="10">
        <v>0</v>
      </c>
      <c r="U2362" s="10">
        <v>1.3009E-4</v>
      </c>
      <c r="V2362" s="25"/>
      <c r="W2362" s="25"/>
      <c r="X2362" s="25"/>
      <c r="Y2362" s="25"/>
      <c r="Z2362" s="25"/>
      <c r="AA2362" s="25"/>
    </row>
    <row r="2363" spans="1:27" x14ac:dyDescent="0.35">
      <c r="A2363" s="5">
        <v>2359</v>
      </c>
      <c r="B2363" s="5">
        <v>99</v>
      </c>
      <c r="C2363" s="5">
        <v>4</v>
      </c>
      <c r="D2363" s="25">
        <v>1.1416E-4</v>
      </c>
      <c r="E2363" s="25">
        <v>1.1612000000000001E-4</v>
      </c>
      <c r="F2363" s="25">
        <v>1.2709E-4</v>
      </c>
      <c r="G2363" s="25">
        <v>1.0423E-4</v>
      </c>
      <c r="H2363" s="25">
        <v>1.2956E-4</v>
      </c>
      <c r="I2363" s="9">
        <v>1.2289000000000001E-4</v>
      </c>
      <c r="J2363" s="9">
        <v>1.1249E-4</v>
      </c>
      <c r="K2363" s="9">
        <v>2.5008000000000002E-4</v>
      </c>
      <c r="L2363" s="9">
        <v>3.981E-5</v>
      </c>
      <c r="M2363" s="9">
        <v>6.0080000000000001E-5</v>
      </c>
      <c r="N2363" s="9">
        <v>8.0820000000000002E-5</v>
      </c>
      <c r="O2363" s="9">
        <v>1.2308999999999999E-4</v>
      </c>
      <c r="P2363" s="9">
        <v>1.1772E-4</v>
      </c>
      <c r="Q2363" s="9">
        <v>1.1276E-4</v>
      </c>
      <c r="R2363" s="10">
        <v>5.8987658771945214E-5</v>
      </c>
      <c r="S2363" s="10">
        <v>4.5200045676335655E-6</v>
      </c>
      <c r="T2363" s="10">
        <v>6.9944563842574904E-5</v>
      </c>
      <c r="U2363" s="10">
        <v>1.3009E-4</v>
      </c>
      <c r="V2363" s="25"/>
      <c r="W2363" s="25"/>
      <c r="X2363" s="25"/>
      <c r="Y2363" s="25"/>
      <c r="Z2363" s="25"/>
      <c r="AA2363" s="25"/>
    </row>
    <row r="2364" spans="1:27" x14ac:dyDescent="0.35">
      <c r="A2364" s="5">
        <v>2360</v>
      </c>
      <c r="B2364" s="5">
        <v>99</v>
      </c>
      <c r="C2364" s="5">
        <v>4</v>
      </c>
      <c r="D2364" s="25">
        <v>1.1415000000000001E-4</v>
      </c>
      <c r="E2364" s="25">
        <v>1.0898E-4</v>
      </c>
      <c r="F2364" s="25">
        <v>1.1341E-4</v>
      </c>
      <c r="G2364" s="25">
        <v>1.6595E-4</v>
      </c>
      <c r="H2364" s="25">
        <v>1.8886E-4</v>
      </c>
      <c r="I2364" s="9">
        <v>1.3004E-4</v>
      </c>
      <c r="J2364" s="9">
        <v>1.2301E-4</v>
      </c>
      <c r="K2364" s="9">
        <v>2.2253E-4</v>
      </c>
      <c r="L2364" s="9">
        <v>1.0416000000000001E-4</v>
      </c>
      <c r="M2364" s="9">
        <v>8.3780000000000001E-5</v>
      </c>
      <c r="N2364" s="9">
        <v>9.098E-5</v>
      </c>
      <c r="O2364" s="9">
        <v>2.1919999999999999E-4</v>
      </c>
      <c r="P2364" s="9">
        <v>1.7755000000000001E-4</v>
      </c>
      <c r="Q2364" s="9">
        <v>1.3715999999999999E-4</v>
      </c>
      <c r="R2364" s="10">
        <v>4.2436891240488716E-5</v>
      </c>
      <c r="S2364" s="10">
        <v>4.6591610573622572E-6</v>
      </c>
      <c r="T2364" s="10">
        <v>2.5722698769762084E-4</v>
      </c>
      <c r="U2364" s="10">
        <v>1.3009E-4</v>
      </c>
      <c r="V2364" s="25"/>
      <c r="W2364" s="25"/>
      <c r="X2364" s="25"/>
      <c r="Y2364" s="25"/>
      <c r="Z2364" s="25"/>
      <c r="AA2364" s="25"/>
    </row>
    <row r="2365" spans="1:27" x14ac:dyDescent="0.35">
      <c r="A2365" s="5">
        <v>2361</v>
      </c>
      <c r="B2365" s="5">
        <v>99</v>
      </c>
      <c r="C2365" s="5">
        <v>4</v>
      </c>
      <c r="D2365" s="25">
        <v>1.1416E-4</v>
      </c>
      <c r="E2365" s="25">
        <v>1.1301E-4</v>
      </c>
      <c r="F2365" s="25">
        <v>1.1556E-4</v>
      </c>
      <c r="G2365" s="25">
        <v>1.6176999999999999E-4</v>
      </c>
      <c r="H2365" s="25">
        <v>1.8918E-4</v>
      </c>
      <c r="I2365" s="9">
        <v>1.339E-4</v>
      </c>
      <c r="J2365" s="9">
        <v>1.2715E-4</v>
      </c>
      <c r="K2365" s="9">
        <v>1.9709999999999999E-4</v>
      </c>
      <c r="L2365" s="9">
        <v>1.9212999999999999E-4</v>
      </c>
      <c r="M2365" s="9">
        <v>1.2366999999999999E-4</v>
      </c>
      <c r="N2365" s="9">
        <v>1.0479E-4</v>
      </c>
      <c r="O2365" s="9">
        <v>2.1120000000000001E-4</v>
      </c>
      <c r="P2365" s="9">
        <v>1.9401999999999999E-4</v>
      </c>
      <c r="Q2365" s="9">
        <v>1.7768999999999999E-4</v>
      </c>
      <c r="R2365" s="10">
        <v>2.7109181905019155E-5</v>
      </c>
      <c r="S2365" s="10">
        <v>4.6927229406860931E-6</v>
      </c>
      <c r="T2365" s="10">
        <v>4.4145506378661542E-4</v>
      </c>
      <c r="U2365" s="10">
        <v>1.3009E-4</v>
      </c>
      <c r="V2365" s="25"/>
      <c r="W2365" s="25"/>
      <c r="X2365" s="25"/>
      <c r="Y2365" s="25"/>
      <c r="Z2365" s="25"/>
      <c r="AA2365" s="25"/>
    </row>
    <row r="2366" spans="1:27" x14ac:dyDescent="0.35">
      <c r="A2366" s="5">
        <v>2362</v>
      </c>
      <c r="B2366" s="5">
        <v>99</v>
      </c>
      <c r="C2366" s="5">
        <v>4</v>
      </c>
      <c r="D2366" s="25">
        <v>1.1415000000000001E-4</v>
      </c>
      <c r="E2366" s="25">
        <v>1.1765E-4</v>
      </c>
      <c r="F2366" s="25">
        <v>1.181E-4</v>
      </c>
      <c r="G2366" s="25">
        <v>1.6608000000000001E-4</v>
      </c>
      <c r="H2366" s="25">
        <v>1.9100000000000001E-4</v>
      </c>
      <c r="I2366" s="9">
        <v>1.3402999999999999E-4</v>
      </c>
      <c r="J2366" s="9">
        <v>1.2616E-4</v>
      </c>
      <c r="K2366" s="9">
        <v>1.8226000000000001E-4</v>
      </c>
      <c r="L2366" s="9">
        <v>2.0468999999999999E-4</v>
      </c>
      <c r="M2366" s="9">
        <v>1.5911000000000001E-4</v>
      </c>
      <c r="N2366" s="9">
        <v>1.2494000000000001E-4</v>
      </c>
      <c r="O2366" s="9">
        <v>1.6684E-4</v>
      </c>
      <c r="P2366" s="9">
        <v>1.7453E-4</v>
      </c>
      <c r="Q2366" s="9">
        <v>1.8254999999999999E-4</v>
      </c>
      <c r="R2366" s="10">
        <v>1.0650240697485052E-5</v>
      </c>
      <c r="S2366" s="10">
        <v>4.2291856623340494E-6</v>
      </c>
      <c r="T2366" s="10">
        <v>5.8542513945918377E-4</v>
      </c>
      <c r="U2366" s="10">
        <v>1.3009E-4</v>
      </c>
      <c r="V2366" s="25"/>
      <c r="W2366" s="25"/>
      <c r="X2366" s="25"/>
      <c r="Y2366" s="25"/>
      <c r="Z2366" s="25"/>
      <c r="AA2366" s="25"/>
    </row>
    <row r="2367" spans="1:27" x14ac:dyDescent="0.35">
      <c r="A2367" s="5">
        <v>2363</v>
      </c>
      <c r="B2367" s="5">
        <v>99</v>
      </c>
      <c r="C2367" s="5">
        <v>4</v>
      </c>
      <c r="D2367" s="25">
        <v>1.1416E-4</v>
      </c>
      <c r="E2367" s="25">
        <v>1.1396999999999999E-4</v>
      </c>
      <c r="F2367" s="25">
        <v>1.1585E-4</v>
      </c>
      <c r="G2367" s="25">
        <v>1.6598000000000001E-4</v>
      </c>
      <c r="H2367" s="25">
        <v>1.9798999999999999E-4</v>
      </c>
      <c r="I2367" s="9">
        <v>1.3477000000000001E-4</v>
      </c>
      <c r="J2367" s="9">
        <v>1.2459999999999999E-4</v>
      </c>
      <c r="K2367" s="9">
        <v>1.9285999999999999E-4</v>
      </c>
      <c r="L2367" s="9">
        <v>1.7524000000000001E-4</v>
      </c>
      <c r="M2367" s="9">
        <v>1.7286999999999999E-4</v>
      </c>
      <c r="N2367" s="9">
        <v>1.4306E-4</v>
      </c>
      <c r="O2367" s="9">
        <v>1.6729000000000001E-4</v>
      </c>
      <c r="P2367" s="9">
        <v>1.7364E-4</v>
      </c>
      <c r="Q2367" s="9">
        <v>1.8034999999999999E-4</v>
      </c>
      <c r="R2367" s="10">
        <v>1.1766488246907583E-6</v>
      </c>
      <c r="S2367" s="10">
        <v>3.8498412499567525E-6</v>
      </c>
      <c r="T2367" s="10">
        <v>6.7436604954672775E-4</v>
      </c>
      <c r="U2367" s="10">
        <v>1.3009E-4</v>
      </c>
      <c r="V2367" s="25"/>
      <c r="W2367" s="25"/>
      <c r="X2367" s="25"/>
      <c r="Y2367" s="25"/>
      <c r="Z2367" s="25"/>
      <c r="AA2367" s="25"/>
    </row>
    <row r="2368" spans="1:27" x14ac:dyDescent="0.35">
      <c r="A2368" s="5">
        <v>2364</v>
      </c>
      <c r="B2368" s="5">
        <v>99</v>
      </c>
      <c r="C2368" s="5">
        <v>4</v>
      </c>
      <c r="D2368" s="25">
        <v>1.1415000000000001E-4</v>
      </c>
      <c r="E2368" s="25">
        <v>1.1823E-4</v>
      </c>
      <c r="F2368" s="25">
        <v>1.2746E-4</v>
      </c>
      <c r="G2368" s="25">
        <v>1.629E-4</v>
      </c>
      <c r="H2368" s="25">
        <v>2.0064E-4</v>
      </c>
      <c r="I2368" s="9">
        <v>1.3255999999999999E-4</v>
      </c>
      <c r="J2368" s="9">
        <v>1.2183E-4</v>
      </c>
      <c r="K2368" s="9">
        <v>1.9709999999999999E-4</v>
      </c>
      <c r="L2368" s="9">
        <v>1.7045999999999999E-4</v>
      </c>
      <c r="M2368" s="9">
        <v>1.7547E-4</v>
      </c>
      <c r="N2368" s="9">
        <v>1.5728000000000001E-4</v>
      </c>
      <c r="O2368" s="9">
        <v>1.7049E-4</v>
      </c>
      <c r="P2368" s="9">
        <v>1.7275E-4</v>
      </c>
      <c r="Q2368" s="9">
        <v>1.7543999999999999E-4</v>
      </c>
      <c r="R2368" s="10">
        <v>4.6425394431931819E-8</v>
      </c>
      <c r="S2368" s="10">
        <v>5.2665297589436473E-6</v>
      </c>
      <c r="T2368" s="10">
        <v>7.0863413462195343E-4</v>
      </c>
      <c r="U2368" s="10">
        <v>1.3009E-4</v>
      </c>
      <c r="V2368" s="25"/>
      <c r="W2368" s="25"/>
      <c r="X2368" s="25"/>
      <c r="Y2368" s="25"/>
      <c r="Z2368" s="25"/>
      <c r="AA2368" s="25"/>
    </row>
    <row r="2369" spans="1:27" x14ac:dyDescent="0.35">
      <c r="A2369" s="5">
        <v>2365</v>
      </c>
      <c r="B2369" s="5">
        <v>99</v>
      </c>
      <c r="C2369" s="5">
        <v>4</v>
      </c>
      <c r="D2369" s="25">
        <v>1.1416E-4</v>
      </c>
      <c r="E2369" s="25">
        <v>1.1699E-4</v>
      </c>
      <c r="F2369" s="25">
        <v>1.1495E-4</v>
      </c>
      <c r="G2369" s="25">
        <v>1.6473E-4</v>
      </c>
      <c r="H2369" s="25">
        <v>1.8864000000000001E-4</v>
      </c>
      <c r="I2369" s="9">
        <v>1.2930999999999999E-4</v>
      </c>
      <c r="J2369" s="9">
        <v>1.2147E-4</v>
      </c>
      <c r="K2369" s="9">
        <v>2.2889000000000001E-4</v>
      </c>
      <c r="L2369" s="9">
        <v>1.7064000000000001E-4</v>
      </c>
      <c r="M2369" s="9">
        <v>1.7468E-4</v>
      </c>
      <c r="N2369" s="9">
        <v>1.6694999999999999E-4</v>
      </c>
      <c r="O2369" s="9">
        <v>1.5948000000000001E-4</v>
      </c>
      <c r="P2369" s="9">
        <v>1.6246000000000001E-4</v>
      </c>
      <c r="Q2369" s="9">
        <v>1.6582000000000001E-4</v>
      </c>
      <c r="R2369" s="10">
        <v>8.9480773108278858E-8</v>
      </c>
      <c r="S2369" s="10">
        <v>5.2003040805485474E-6</v>
      </c>
      <c r="T2369" s="10">
        <v>6.9783362154922206E-4</v>
      </c>
      <c r="U2369" s="10">
        <v>1.3009E-4</v>
      </c>
      <c r="V2369" s="25"/>
      <c r="W2369" s="25"/>
      <c r="X2369" s="25"/>
      <c r="Y2369" s="25"/>
      <c r="Z2369" s="25"/>
      <c r="AA2369" s="25"/>
    </row>
    <row r="2370" spans="1:27" x14ac:dyDescent="0.35">
      <c r="A2370" s="5">
        <v>2366</v>
      </c>
      <c r="B2370" s="5">
        <v>99</v>
      </c>
      <c r="C2370" s="5">
        <v>4</v>
      </c>
      <c r="D2370" s="25">
        <v>1.1415000000000001E-4</v>
      </c>
      <c r="E2370" s="25">
        <v>1.1429000000000001E-4</v>
      </c>
      <c r="F2370" s="25">
        <v>1.1224E-4</v>
      </c>
      <c r="G2370" s="25">
        <v>1.5641E-4</v>
      </c>
      <c r="H2370" s="25">
        <v>1.8878999999999999E-4</v>
      </c>
      <c r="I2370" s="9">
        <v>1.2750000000000001E-4</v>
      </c>
      <c r="J2370" s="9">
        <v>1.2092E-4</v>
      </c>
      <c r="K2370" s="9">
        <v>2.4372E-4</v>
      </c>
      <c r="L2370" s="9">
        <v>1.6166999999999999E-4</v>
      </c>
      <c r="M2370" s="9">
        <v>1.7003999999999999E-4</v>
      </c>
      <c r="N2370" s="9">
        <v>1.708E-4</v>
      </c>
      <c r="O2370" s="9">
        <v>1.7651E-4</v>
      </c>
      <c r="P2370" s="9">
        <v>1.6791000000000001E-4</v>
      </c>
      <c r="Q2370" s="9">
        <v>1.5992E-4</v>
      </c>
      <c r="R2370" s="10">
        <v>1.5225984052250907E-7</v>
      </c>
      <c r="S2370" s="10">
        <v>5.0371746095191926E-6</v>
      </c>
      <c r="T2370" s="10">
        <v>6.581949749853562E-4</v>
      </c>
      <c r="U2370" s="10">
        <v>1.3009E-4</v>
      </c>
      <c r="V2370" s="25"/>
      <c r="W2370" s="25"/>
      <c r="X2370" s="25"/>
      <c r="Y2370" s="25"/>
      <c r="Z2370" s="25"/>
      <c r="AA2370" s="25"/>
    </row>
    <row r="2371" spans="1:27" x14ac:dyDescent="0.35">
      <c r="A2371" s="5">
        <v>2367</v>
      </c>
      <c r="B2371" s="5">
        <v>99</v>
      </c>
      <c r="C2371" s="5">
        <v>4</v>
      </c>
      <c r="D2371" s="25">
        <v>1.1416E-4</v>
      </c>
      <c r="E2371" s="25">
        <v>1.1539E-4</v>
      </c>
      <c r="F2371" s="25">
        <v>1.2391999999999999E-4</v>
      </c>
      <c r="G2371" s="25">
        <v>1.6374E-4</v>
      </c>
      <c r="H2371" s="25">
        <v>2.0120000000000001E-4</v>
      </c>
      <c r="I2371" s="9">
        <v>1.2431000000000001E-4</v>
      </c>
      <c r="J2371" s="9">
        <v>1.1862E-4</v>
      </c>
      <c r="K2371" s="9">
        <v>2.3311999999999999E-4</v>
      </c>
      <c r="L2371" s="9">
        <v>1.7347E-4</v>
      </c>
      <c r="M2371" s="9">
        <v>1.6794999999999999E-4</v>
      </c>
      <c r="N2371" s="9">
        <v>1.7000000000000001E-4</v>
      </c>
      <c r="O2371" s="9">
        <v>1.8213999999999999E-4</v>
      </c>
      <c r="P2371" s="9">
        <v>1.6673999999999999E-4</v>
      </c>
      <c r="Q2371" s="9">
        <v>1.5208999999999999E-4</v>
      </c>
      <c r="R2371" s="10">
        <v>1.121559254112221E-7</v>
      </c>
      <c r="S2371" s="10">
        <v>5.0976793077059375E-6</v>
      </c>
      <c r="T2371" s="10">
        <v>5.5063951212359951E-4</v>
      </c>
      <c r="U2371" s="10">
        <v>1.3009E-4</v>
      </c>
      <c r="V2371" s="25"/>
      <c r="W2371" s="25"/>
      <c r="X2371" s="25"/>
      <c r="Y2371" s="25"/>
      <c r="Z2371" s="25"/>
      <c r="AA2371" s="25"/>
    </row>
    <row r="2372" spans="1:27" x14ac:dyDescent="0.35">
      <c r="A2372" s="5">
        <v>2368</v>
      </c>
      <c r="B2372" s="5">
        <v>99</v>
      </c>
      <c r="C2372" s="5">
        <v>4</v>
      </c>
      <c r="D2372" s="25">
        <v>1.1415000000000001E-4</v>
      </c>
      <c r="E2372" s="25">
        <v>1.0833E-4</v>
      </c>
      <c r="F2372" s="25">
        <v>1.2464999999999999E-4</v>
      </c>
      <c r="G2372" s="25">
        <v>1.6603000000000001E-4</v>
      </c>
      <c r="H2372" s="25">
        <v>1.9153E-4</v>
      </c>
      <c r="I2372" s="9">
        <v>1.2279000000000001E-4</v>
      </c>
      <c r="J2372" s="9">
        <v>1.1767E-4</v>
      </c>
      <c r="K2372" s="9">
        <v>1.9498000000000001E-4</v>
      </c>
      <c r="L2372" s="9">
        <v>1.7992999999999999E-4</v>
      </c>
      <c r="M2372" s="9">
        <v>1.6708000000000001E-4</v>
      </c>
      <c r="N2372" s="9">
        <v>1.6592000000000001E-4</v>
      </c>
      <c r="O2372" s="9">
        <v>1.9790000000000001E-4</v>
      </c>
      <c r="P2372" s="9">
        <v>1.5364E-4</v>
      </c>
      <c r="Q2372" s="9">
        <v>1.1061E-4</v>
      </c>
      <c r="R2372" s="10">
        <v>7.3121097759953227E-8</v>
      </c>
      <c r="S2372" s="10">
        <v>6.3149630771425043E-6</v>
      </c>
      <c r="T2372" s="10">
        <v>4.211606197410745E-4</v>
      </c>
      <c r="U2372" s="10">
        <v>1.3009E-4</v>
      </c>
      <c r="V2372" s="25"/>
      <c r="W2372" s="25"/>
      <c r="X2372" s="25"/>
      <c r="Y2372" s="25"/>
      <c r="Z2372" s="25"/>
      <c r="AA2372" s="25"/>
    </row>
    <row r="2373" spans="1:27" x14ac:dyDescent="0.35">
      <c r="A2373" s="5">
        <v>2369</v>
      </c>
      <c r="B2373" s="5">
        <v>99</v>
      </c>
      <c r="C2373" s="5">
        <v>4</v>
      </c>
      <c r="D2373" s="25">
        <v>1.1416E-4</v>
      </c>
      <c r="E2373" s="25">
        <v>1.1079E-4</v>
      </c>
      <c r="F2373" s="25">
        <v>1.2498000000000001E-4</v>
      </c>
      <c r="G2373" s="25">
        <v>1.5632999999999999E-4</v>
      </c>
      <c r="H2373" s="25">
        <v>1.9139E-4</v>
      </c>
      <c r="I2373" s="9">
        <v>1.238E-4</v>
      </c>
      <c r="J2373" s="9">
        <v>1.1870999999999999E-4</v>
      </c>
      <c r="K2373" s="9">
        <v>1.8650000000000001E-4</v>
      </c>
      <c r="L2373" s="9">
        <v>1.9369999999999999E-4</v>
      </c>
      <c r="M2373" s="9">
        <v>1.6215000000000001E-4</v>
      </c>
      <c r="N2373" s="9">
        <v>1.5232000000000001E-4</v>
      </c>
      <c r="O2373" s="9">
        <v>2.1222999999999999E-4</v>
      </c>
      <c r="P2373" s="9">
        <v>1.5882E-4</v>
      </c>
      <c r="Q2373" s="9">
        <v>1.0683000000000001E-4</v>
      </c>
      <c r="R2373" s="10">
        <v>2.0298042122714459E-7</v>
      </c>
      <c r="S2373" s="10">
        <v>7.906983971698417E-6</v>
      </c>
      <c r="T2373" s="10">
        <v>2.4110681893235004E-4</v>
      </c>
      <c r="U2373" s="10">
        <v>1.3009E-4</v>
      </c>
      <c r="V2373" s="25"/>
      <c r="W2373" s="25"/>
      <c r="X2373" s="25"/>
      <c r="Y2373" s="25"/>
      <c r="Z2373" s="25"/>
      <c r="AA2373" s="25"/>
    </row>
    <row r="2374" spans="1:27" x14ac:dyDescent="0.35">
      <c r="A2374" s="5">
        <v>2370</v>
      </c>
      <c r="B2374" s="5">
        <v>99</v>
      </c>
      <c r="C2374" s="5">
        <v>4</v>
      </c>
      <c r="D2374" s="25">
        <v>1.1415000000000001E-4</v>
      </c>
      <c r="E2374" s="25">
        <v>1.15E-4</v>
      </c>
      <c r="F2374" s="25">
        <v>1.1666E-4</v>
      </c>
      <c r="G2374" s="25">
        <v>1.5893E-4</v>
      </c>
      <c r="H2374" s="25">
        <v>1.9340000000000001E-4</v>
      </c>
      <c r="I2374" s="9">
        <v>1.2370999999999999E-4</v>
      </c>
      <c r="J2374" s="9">
        <v>1.1594E-4</v>
      </c>
      <c r="K2374" s="9">
        <v>1.7590999999999999E-4</v>
      </c>
      <c r="L2374" s="9">
        <v>2.0786000000000001E-4</v>
      </c>
      <c r="M2374" s="9">
        <v>1.5959000000000001E-4</v>
      </c>
      <c r="N2374" s="9">
        <v>1.3888E-4</v>
      </c>
      <c r="O2374" s="9">
        <v>2.0598E-4</v>
      </c>
      <c r="P2374" s="9">
        <v>1.6165999999999999E-4</v>
      </c>
      <c r="Q2374" s="9">
        <v>1.1861E-4</v>
      </c>
      <c r="R2374" s="10">
        <v>5.72907759491163E-7</v>
      </c>
      <c r="S2374" s="10">
        <v>8.0577742468310555E-6</v>
      </c>
      <c r="T2374" s="10">
        <v>7.0657244987986886E-5</v>
      </c>
      <c r="U2374" s="10">
        <v>1.3009E-4</v>
      </c>
      <c r="V2374" s="25"/>
      <c r="W2374" s="25"/>
      <c r="X2374" s="25"/>
      <c r="Y2374" s="25"/>
      <c r="Z2374" s="25"/>
      <c r="AA2374" s="25"/>
    </row>
    <row r="2375" spans="1:27" x14ac:dyDescent="0.35">
      <c r="A2375" s="5">
        <v>2371</v>
      </c>
      <c r="B2375" s="5">
        <v>99</v>
      </c>
      <c r="C2375" s="5">
        <v>4</v>
      </c>
      <c r="D2375" s="25">
        <v>1.1416E-4</v>
      </c>
      <c r="E2375" s="25">
        <v>1.1347E-4</v>
      </c>
      <c r="F2375" s="25">
        <v>1.2640000000000001E-4</v>
      </c>
      <c r="G2375" s="25">
        <v>1.0791E-4</v>
      </c>
      <c r="H2375" s="25">
        <v>1.3186E-4</v>
      </c>
      <c r="I2375" s="9">
        <v>1.1894E-4</v>
      </c>
      <c r="J2375" s="9">
        <v>1.1314E-4</v>
      </c>
      <c r="K2375" s="9">
        <v>1.7379E-4</v>
      </c>
      <c r="L2375" s="9">
        <v>2.0603E-4</v>
      </c>
      <c r="M2375" s="9">
        <v>1.5980000000000001E-4</v>
      </c>
      <c r="N2375" s="9">
        <v>1.3008E-4</v>
      </c>
      <c r="O2375" s="9">
        <v>1.638E-4</v>
      </c>
      <c r="P2375" s="9">
        <v>1.3504000000000001E-4</v>
      </c>
      <c r="Q2375" s="9">
        <v>1.0718E-4</v>
      </c>
      <c r="R2375" s="10">
        <v>2.222910311644862E-6</v>
      </c>
      <c r="S2375" s="10">
        <v>6.0382236696776029E-6</v>
      </c>
      <c r="T2375" s="10">
        <v>0</v>
      </c>
      <c r="U2375" s="10">
        <v>1.3009E-4</v>
      </c>
      <c r="V2375" s="25"/>
      <c r="W2375" s="25"/>
      <c r="X2375" s="25"/>
      <c r="Y2375" s="25"/>
      <c r="Z2375" s="25"/>
      <c r="AA2375" s="25"/>
    </row>
    <row r="2376" spans="1:27" x14ac:dyDescent="0.35">
      <c r="A2376" s="5">
        <v>2372</v>
      </c>
      <c r="B2376" s="5">
        <v>99</v>
      </c>
      <c r="C2376" s="5">
        <v>4</v>
      </c>
      <c r="D2376" s="25">
        <v>1.1415000000000001E-4</v>
      </c>
      <c r="E2376" s="25">
        <v>1.1040999999999999E-4</v>
      </c>
      <c r="F2376" s="25">
        <v>1.3231000000000001E-4</v>
      </c>
      <c r="G2376" s="25">
        <v>1.1459E-4</v>
      </c>
      <c r="H2376" s="25">
        <v>1.2564999999999999E-4</v>
      </c>
      <c r="I2376" s="9">
        <v>1.1958E-4</v>
      </c>
      <c r="J2376" s="9">
        <v>1.1454E-4</v>
      </c>
      <c r="K2376" s="9">
        <v>1.8226000000000001E-4</v>
      </c>
      <c r="L2376" s="9">
        <v>1.7322999999999999E-4</v>
      </c>
      <c r="M2376" s="9">
        <v>1.5111000000000001E-4</v>
      </c>
      <c r="N2376" s="9">
        <v>1.2106E-4</v>
      </c>
      <c r="O2376" s="9">
        <v>1.2935999999999999E-4</v>
      </c>
      <c r="P2376" s="9">
        <v>1.1573E-4</v>
      </c>
      <c r="Q2376" s="9">
        <v>1.0266E-4</v>
      </c>
      <c r="R2376" s="10">
        <v>6.7475435570223758E-6</v>
      </c>
      <c r="S2376" s="10">
        <v>4.2986320115864814E-6</v>
      </c>
      <c r="T2376" s="10">
        <v>0</v>
      </c>
      <c r="U2376" s="10">
        <v>1.3009E-4</v>
      </c>
      <c r="V2376" s="25"/>
      <c r="W2376" s="25"/>
      <c r="X2376" s="25"/>
      <c r="Y2376" s="25"/>
      <c r="Z2376" s="25"/>
      <c r="AA2376" s="25"/>
    </row>
    <row r="2377" spans="1:27" x14ac:dyDescent="0.35">
      <c r="A2377" s="5">
        <v>2373</v>
      </c>
      <c r="B2377" s="5">
        <v>99</v>
      </c>
      <c r="C2377" s="5">
        <v>4</v>
      </c>
      <c r="D2377" s="25">
        <v>1.1416E-4</v>
      </c>
      <c r="E2377" s="25">
        <v>1.1675000000000001E-4</v>
      </c>
      <c r="F2377" s="25">
        <v>1.1547E-4</v>
      </c>
      <c r="G2377" s="25">
        <v>5.2139999999999999E-5</v>
      </c>
      <c r="H2377" s="25">
        <v>6.4700000000000001E-5</v>
      </c>
      <c r="I2377" s="9">
        <v>1.1844E-4</v>
      </c>
      <c r="J2377" s="9">
        <v>1.1281999999999999E-4</v>
      </c>
      <c r="K2377" s="9">
        <v>1.8226000000000001E-4</v>
      </c>
      <c r="L2377" s="9">
        <v>1.4002E-4</v>
      </c>
      <c r="M2377" s="9">
        <v>1.3592000000000001E-4</v>
      </c>
      <c r="N2377" s="9">
        <v>1.1357999999999999E-4</v>
      </c>
      <c r="O2377" s="9">
        <v>8.4649999999999998E-5</v>
      </c>
      <c r="P2377" s="9">
        <v>8.6450000000000001E-5</v>
      </c>
      <c r="Q2377" s="9">
        <v>8.8449999999999995E-5</v>
      </c>
      <c r="R2377" s="10">
        <v>1.2543018706154378E-5</v>
      </c>
      <c r="S2377" s="10">
        <v>2.7760713453564422E-6</v>
      </c>
      <c r="T2377" s="10">
        <v>0</v>
      </c>
      <c r="U2377" s="10">
        <v>1.3009E-4</v>
      </c>
      <c r="V2377" s="25"/>
      <c r="W2377" s="25"/>
      <c r="X2377" s="25"/>
      <c r="Y2377" s="25"/>
      <c r="Z2377" s="25"/>
      <c r="AA2377" s="25"/>
    </row>
    <row r="2378" spans="1:27" x14ac:dyDescent="0.35">
      <c r="A2378" s="5">
        <v>2374</v>
      </c>
      <c r="B2378" s="5">
        <v>99</v>
      </c>
      <c r="C2378" s="5">
        <v>4</v>
      </c>
      <c r="D2378" s="25">
        <v>1.1415000000000001E-4</v>
      </c>
      <c r="E2378" s="25">
        <v>1.1769000000000001E-4</v>
      </c>
      <c r="F2378" s="25">
        <v>1.2348E-4</v>
      </c>
      <c r="G2378" s="25">
        <v>5.401E-5</v>
      </c>
      <c r="H2378" s="25">
        <v>7.6119999999999996E-5</v>
      </c>
      <c r="I2378" s="9">
        <v>1.2089E-4</v>
      </c>
      <c r="J2378" s="9">
        <v>1.0492000000000001E-4</v>
      </c>
      <c r="K2378" s="9">
        <v>1.9285999999999999E-4</v>
      </c>
      <c r="L2378" s="9">
        <v>9.7739999999999996E-5</v>
      </c>
      <c r="M2378" s="9">
        <v>1.142E-4</v>
      </c>
      <c r="N2378" s="9">
        <v>1.0598E-4</v>
      </c>
      <c r="O2378" s="9">
        <v>8.6849999999999997E-5</v>
      </c>
      <c r="P2378" s="9">
        <v>8.7260000000000001E-5</v>
      </c>
      <c r="Q2378" s="9">
        <v>8.7899999999999995E-5</v>
      </c>
      <c r="R2378" s="10">
        <v>1.5305547563169201E-5</v>
      </c>
      <c r="S2378" s="10">
        <v>2.3669200615679301E-6</v>
      </c>
      <c r="T2378" s="10">
        <v>0</v>
      </c>
      <c r="U2378" s="10">
        <v>1.3009E-4</v>
      </c>
      <c r="V2378" s="25"/>
      <c r="W2378" s="25"/>
      <c r="X2378" s="25"/>
      <c r="Y2378" s="25"/>
      <c r="Z2378" s="25"/>
      <c r="AA2378" s="25"/>
    </row>
    <row r="2379" spans="1:27" x14ac:dyDescent="0.35">
      <c r="A2379" s="5">
        <v>2375</v>
      </c>
      <c r="B2379" s="5">
        <v>99</v>
      </c>
      <c r="C2379" s="5">
        <v>4</v>
      </c>
      <c r="D2379" s="25">
        <v>1.1416E-4</v>
      </c>
      <c r="E2379" s="25">
        <v>1.153E-4</v>
      </c>
      <c r="F2379" s="25">
        <v>1.1411E-4</v>
      </c>
      <c r="G2379" s="25">
        <v>5.4969999999999997E-5</v>
      </c>
      <c r="H2379" s="25">
        <v>6.5629999999999993E-5</v>
      </c>
      <c r="I2379" s="9">
        <v>1.198E-4</v>
      </c>
      <c r="J2379" s="9">
        <v>9.8449999999999994E-5</v>
      </c>
      <c r="K2379" s="9">
        <v>1.9074000000000001E-4</v>
      </c>
      <c r="L2379" s="9">
        <v>9.0179999999999994E-5</v>
      </c>
      <c r="M2379" s="9">
        <v>9.9170000000000001E-5</v>
      </c>
      <c r="N2379" s="9">
        <v>1.0005000000000001E-4</v>
      </c>
      <c r="O2379" s="9">
        <v>7.784E-5</v>
      </c>
      <c r="P2379" s="9">
        <v>7.2280000000000006E-5</v>
      </c>
      <c r="Q2379" s="9">
        <v>6.7020000000000005E-5</v>
      </c>
      <c r="R2379" s="10">
        <v>1.5905340156147306E-5</v>
      </c>
      <c r="S2379" s="10">
        <v>2.5746510486760322E-6</v>
      </c>
      <c r="T2379" s="10">
        <v>0</v>
      </c>
      <c r="U2379" s="10">
        <v>1.3009E-4</v>
      </c>
      <c r="V2379" s="25"/>
      <c r="W2379" s="25"/>
      <c r="X2379" s="25"/>
      <c r="Y2379" s="25"/>
      <c r="Z2379" s="25"/>
      <c r="AA2379" s="25"/>
    </row>
    <row r="2380" spans="1:27" x14ac:dyDescent="0.35">
      <c r="A2380" s="5">
        <v>2376</v>
      </c>
      <c r="B2380" s="5">
        <v>99</v>
      </c>
      <c r="C2380" s="5">
        <v>4</v>
      </c>
      <c r="D2380" s="25">
        <v>1.1415000000000001E-4</v>
      </c>
      <c r="E2380" s="25">
        <v>1.1480999999999999E-4</v>
      </c>
      <c r="F2380" s="25">
        <v>1.1815E-4</v>
      </c>
      <c r="G2380" s="25">
        <v>5.3550000000000001E-5</v>
      </c>
      <c r="H2380" s="25">
        <v>6.4189999999999994E-5</v>
      </c>
      <c r="I2380" s="9">
        <v>1.1145999999999999E-4</v>
      </c>
      <c r="J2380" s="9">
        <v>9.0580000000000004E-5</v>
      </c>
      <c r="K2380" s="9">
        <v>1.9285999999999999E-4</v>
      </c>
      <c r="L2380" s="9">
        <v>8.0569999999999996E-5</v>
      </c>
      <c r="M2380" s="9">
        <v>8.6169999999999997E-5</v>
      </c>
      <c r="N2380" s="9">
        <v>9.0719999999999999E-5</v>
      </c>
      <c r="O2380" s="9">
        <v>6.3089999999999994E-5</v>
      </c>
      <c r="P2380" s="9">
        <v>6.1060000000000002E-5</v>
      </c>
      <c r="Q2380" s="9">
        <v>5.923E-5</v>
      </c>
      <c r="R2380" s="10">
        <v>2.192861847691806E-5</v>
      </c>
      <c r="S2380" s="10">
        <v>3.0089359772417924E-6</v>
      </c>
      <c r="T2380" s="10">
        <v>0</v>
      </c>
      <c r="U2380" s="10">
        <v>1.3009E-4</v>
      </c>
      <c r="V2380" s="25"/>
      <c r="W2380" s="25"/>
      <c r="X2380" s="25"/>
      <c r="Y2380" s="25"/>
      <c r="Z2380" s="25"/>
      <c r="AA2380" s="25"/>
    </row>
    <row r="2381" spans="1:27" x14ac:dyDescent="0.35">
      <c r="A2381" s="5">
        <v>2377</v>
      </c>
      <c r="B2381" s="5">
        <v>100</v>
      </c>
      <c r="C2381" s="5">
        <v>4</v>
      </c>
      <c r="D2381" s="25">
        <v>1.1416E-4</v>
      </c>
      <c r="E2381" s="25">
        <v>1.1919E-4</v>
      </c>
      <c r="F2381" s="25">
        <v>1.1009E-4</v>
      </c>
      <c r="G2381" s="25">
        <v>6.3449999999999997E-5</v>
      </c>
      <c r="H2381" s="25">
        <v>7.2340000000000002E-5</v>
      </c>
      <c r="I2381" s="9">
        <v>1.0456E-4</v>
      </c>
      <c r="J2381" s="9">
        <v>8.5039999999999999E-5</v>
      </c>
      <c r="K2381" s="9">
        <v>1.8861999999999999E-4</v>
      </c>
      <c r="L2381" s="9">
        <v>6.6920000000000003E-5</v>
      </c>
      <c r="M2381" s="9">
        <v>7.415E-5</v>
      </c>
      <c r="N2381" s="9">
        <v>8.1340000000000004E-5</v>
      </c>
      <c r="O2381" s="9">
        <v>5.4589999999999997E-5</v>
      </c>
      <c r="P2381" s="9">
        <v>5.3999999999999998E-5</v>
      </c>
      <c r="Q2381" s="9">
        <v>5.3579999999999999E-5</v>
      </c>
      <c r="R2381" s="10">
        <v>1.856791762217628E-5</v>
      </c>
      <c r="S2381" s="10">
        <v>4.7042273925877333E-6</v>
      </c>
      <c r="T2381" s="10">
        <v>0</v>
      </c>
      <c r="U2381" s="10">
        <v>1.2721999999999999E-4</v>
      </c>
      <c r="V2381" s="25"/>
      <c r="W2381" s="25"/>
      <c r="X2381" s="25"/>
      <c r="Y2381" s="25"/>
      <c r="Z2381" s="25"/>
      <c r="AA2381" s="25"/>
    </row>
    <row r="2382" spans="1:27" x14ac:dyDescent="0.35">
      <c r="A2382" s="5">
        <v>2378</v>
      </c>
      <c r="B2382" s="5">
        <v>100</v>
      </c>
      <c r="C2382" s="5">
        <v>4</v>
      </c>
      <c r="D2382" s="25">
        <v>1.1415000000000001E-4</v>
      </c>
      <c r="E2382" s="25">
        <v>1.1817E-4</v>
      </c>
      <c r="F2382" s="25">
        <v>1.0071E-4</v>
      </c>
      <c r="G2382" s="25">
        <v>5.4219999999999999E-5</v>
      </c>
      <c r="H2382" s="25">
        <v>7.1459999999999997E-5</v>
      </c>
      <c r="I2382" s="9">
        <v>1.0035E-4</v>
      </c>
      <c r="J2382" s="9">
        <v>8.1990000000000006E-5</v>
      </c>
      <c r="K2382" s="9">
        <v>1.8437999999999999E-4</v>
      </c>
      <c r="L2382" s="9">
        <v>5.7670000000000002E-5</v>
      </c>
      <c r="M2382" s="9">
        <v>6.4049999999999998E-5</v>
      </c>
      <c r="N2382" s="9">
        <v>7.2200000000000007E-5</v>
      </c>
      <c r="O2382" s="9">
        <v>1.8940000000000002E-5</v>
      </c>
      <c r="P2382" s="9">
        <v>3.748E-5</v>
      </c>
      <c r="Q2382" s="9">
        <v>5.5770000000000003E-5</v>
      </c>
      <c r="R2382" s="10">
        <v>1.357441831678055E-5</v>
      </c>
      <c r="S2382" s="10">
        <v>6.3519961955266099E-6</v>
      </c>
      <c r="T2382" s="10">
        <v>0</v>
      </c>
      <c r="U2382" s="10">
        <v>1.2721999999999999E-4</v>
      </c>
      <c r="V2382" s="25"/>
      <c r="W2382" s="25"/>
      <c r="X2382" s="25"/>
      <c r="Y2382" s="25"/>
      <c r="Z2382" s="25"/>
      <c r="AA2382" s="25"/>
    </row>
    <row r="2383" spans="1:27" x14ac:dyDescent="0.35">
      <c r="A2383" s="5">
        <v>2379</v>
      </c>
      <c r="B2383" s="5">
        <v>100</v>
      </c>
      <c r="C2383" s="5">
        <v>4</v>
      </c>
      <c r="D2383" s="25">
        <v>1.1416E-4</v>
      </c>
      <c r="E2383" s="25">
        <v>1.1533E-4</v>
      </c>
      <c r="F2383" s="25">
        <v>9.1290000000000002E-5</v>
      </c>
      <c r="G2383" s="25">
        <v>5.6959999999999997E-5</v>
      </c>
      <c r="H2383" s="25">
        <v>6.2979999999999997E-5</v>
      </c>
      <c r="I2383" s="9">
        <v>9.7960000000000004E-5</v>
      </c>
      <c r="J2383" s="9">
        <v>8.0589999999999999E-5</v>
      </c>
      <c r="K2383" s="9">
        <v>1.8226000000000001E-4</v>
      </c>
      <c r="L2383" s="9">
        <v>2.7670000000000001E-5</v>
      </c>
      <c r="M2383" s="9">
        <v>5.2179999999999998E-5</v>
      </c>
      <c r="N2383" s="9">
        <v>6.5510000000000001E-5</v>
      </c>
      <c r="O2383" s="9">
        <v>1.3699999999999999E-5</v>
      </c>
      <c r="P2383" s="9">
        <v>3.7939999999999999E-5</v>
      </c>
      <c r="Q2383" s="9">
        <v>6.1840000000000004E-5</v>
      </c>
      <c r="R2383" s="10">
        <v>8.6706154323746551E-6</v>
      </c>
      <c r="S2383" s="10">
        <v>7.7507420512582395E-6</v>
      </c>
      <c r="T2383" s="10">
        <v>0</v>
      </c>
      <c r="U2383" s="10">
        <v>1.2721999999999999E-4</v>
      </c>
      <c r="V2383" s="25"/>
      <c r="W2383" s="25"/>
      <c r="X2383" s="25"/>
      <c r="Y2383" s="25"/>
      <c r="Z2383" s="25"/>
      <c r="AA2383" s="25"/>
    </row>
    <row r="2384" spans="1:27" x14ac:dyDescent="0.35">
      <c r="A2384" s="5">
        <v>2380</v>
      </c>
      <c r="B2384" s="5">
        <v>100</v>
      </c>
      <c r="C2384" s="5">
        <v>4</v>
      </c>
      <c r="D2384" s="25">
        <v>1.1415000000000001E-4</v>
      </c>
      <c r="E2384" s="25">
        <v>1.1552000000000001E-4</v>
      </c>
      <c r="F2384" s="25">
        <v>1.048E-4</v>
      </c>
      <c r="G2384" s="25">
        <v>5.9840000000000003E-5</v>
      </c>
      <c r="H2384" s="25">
        <v>7.6420000000000004E-5</v>
      </c>
      <c r="I2384" s="9">
        <v>9.7659999999999997E-5</v>
      </c>
      <c r="J2384" s="9">
        <v>8.3900000000000006E-5</v>
      </c>
      <c r="K2384" s="9">
        <v>1.7802000000000001E-4</v>
      </c>
      <c r="L2384" s="9">
        <v>1.7520000000000002E-5</v>
      </c>
      <c r="M2384" s="9">
        <v>4.4209999999999999E-5</v>
      </c>
      <c r="N2384" s="9">
        <v>6.1970000000000005E-5</v>
      </c>
      <c r="O2384" s="9">
        <v>1.376E-5</v>
      </c>
      <c r="P2384" s="9">
        <v>4.7660000000000001E-5</v>
      </c>
      <c r="Q2384" s="9">
        <v>8.1050000000000005E-5</v>
      </c>
      <c r="R2384" s="10">
        <v>5.2078387924860712E-6</v>
      </c>
      <c r="S2384" s="10">
        <v>8.2068272312872688E-6</v>
      </c>
      <c r="T2384" s="10">
        <v>0</v>
      </c>
      <c r="U2384" s="10">
        <v>1.2721999999999999E-4</v>
      </c>
      <c r="V2384" s="25"/>
      <c r="W2384" s="25"/>
      <c r="X2384" s="25"/>
      <c r="Y2384" s="25"/>
      <c r="Z2384" s="25"/>
      <c r="AA2384" s="25"/>
    </row>
    <row r="2385" spans="1:27" x14ac:dyDescent="0.35">
      <c r="A2385" s="5">
        <v>2381</v>
      </c>
      <c r="B2385" s="5">
        <v>100</v>
      </c>
      <c r="C2385" s="5">
        <v>4</v>
      </c>
      <c r="D2385" s="25">
        <v>1.1416E-4</v>
      </c>
      <c r="E2385" s="25">
        <v>1.1938E-4</v>
      </c>
      <c r="F2385" s="25">
        <v>1.0399999999999999E-4</v>
      </c>
      <c r="G2385" s="25">
        <v>5.8539999999999999E-5</v>
      </c>
      <c r="H2385" s="25">
        <v>7.2280000000000006E-5</v>
      </c>
      <c r="I2385" s="9">
        <v>9.8220000000000005E-5</v>
      </c>
      <c r="J2385" s="9">
        <v>8.5199999999999997E-5</v>
      </c>
      <c r="K2385" s="9">
        <v>1.8226000000000001E-4</v>
      </c>
      <c r="L2385" s="9">
        <v>1.483E-5</v>
      </c>
      <c r="M2385" s="9">
        <v>4.367E-5</v>
      </c>
      <c r="N2385" s="9">
        <v>6.4640000000000005E-5</v>
      </c>
      <c r="O2385" s="9">
        <v>1.893E-5</v>
      </c>
      <c r="P2385" s="9">
        <v>5.6180000000000001E-5</v>
      </c>
      <c r="Q2385" s="9">
        <v>9.2899999999999995E-5</v>
      </c>
      <c r="R2385" s="10">
        <v>3.7321886785387818E-6</v>
      </c>
      <c r="S2385" s="10">
        <v>7.3487048651425792E-6</v>
      </c>
      <c r="T2385" s="10">
        <v>0</v>
      </c>
      <c r="U2385" s="10">
        <v>1.2721999999999999E-4</v>
      </c>
      <c r="V2385" s="25"/>
      <c r="W2385" s="25"/>
      <c r="X2385" s="25"/>
      <c r="Y2385" s="25"/>
      <c r="Z2385" s="25"/>
      <c r="AA2385" s="25"/>
    </row>
    <row r="2386" spans="1:27" x14ac:dyDescent="0.35">
      <c r="A2386" s="5">
        <v>2382</v>
      </c>
      <c r="B2386" s="5">
        <v>100</v>
      </c>
      <c r="C2386" s="5">
        <v>4</v>
      </c>
      <c r="D2386" s="25">
        <v>1.1415000000000001E-4</v>
      </c>
      <c r="E2386" s="25">
        <v>1.1307999999999999E-4</v>
      </c>
      <c r="F2386" s="25">
        <v>9.8599999999999998E-5</v>
      </c>
      <c r="G2386" s="25">
        <v>1.0575E-4</v>
      </c>
      <c r="H2386" s="25">
        <v>1.2616E-4</v>
      </c>
      <c r="I2386" s="9">
        <v>1.0144E-4</v>
      </c>
      <c r="J2386" s="9">
        <v>8.5019999999999996E-5</v>
      </c>
      <c r="K2386" s="9">
        <v>1.9498000000000001E-4</v>
      </c>
      <c r="L2386" s="9">
        <v>1.789E-5</v>
      </c>
      <c r="M2386" s="9">
        <v>4.8390000000000003E-5</v>
      </c>
      <c r="N2386" s="9">
        <v>7.1009999999999999E-5</v>
      </c>
      <c r="O2386" s="9">
        <v>4.634E-5</v>
      </c>
      <c r="P2386" s="9">
        <v>7.6860000000000006E-5</v>
      </c>
      <c r="Q2386" s="9">
        <v>1.0702E-4</v>
      </c>
      <c r="R2386" s="10">
        <v>3.7654127838022468E-6</v>
      </c>
      <c r="S2386" s="10">
        <v>6.0351562587839999E-6</v>
      </c>
      <c r="T2386" s="10">
        <v>0</v>
      </c>
      <c r="U2386" s="10">
        <v>1.2721999999999999E-4</v>
      </c>
      <c r="V2386" s="25"/>
      <c r="W2386" s="25"/>
      <c r="X2386" s="25"/>
      <c r="Y2386" s="25"/>
      <c r="Z2386" s="25"/>
      <c r="AA2386" s="25"/>
    </row>
    <row r="2387" spans="1:27" x14ac:dyDescent="0.35">
      <c r="A2387" s="5">
        <v>2383</v>
      </c>
      <c r="B2387" s="5">
        <v>100</v>
      </c>
      <c r="C2387" s="5">
        <v>4</v>
      </c>
      <c r="D2387" s="25">
        <v>1.1416E-4</v>
      </c>
      <c r="E2387" s="25">
        <v>1.2043E-4</v>
      </c>
      <c r="F2387" s="25">
        <v>9.3739999999999994E-5</v>
      </c>
      <c r="G2387" s="25">
        <v>1.1319000000000001E-4</v>
      </c>
      <c r="H2387" s="25">
        <v>1.3521E-4</v>
      </c>
      <c r="I2387" s="9">
        <v>1.0254E-4</v>
      </c>
      <c r="J2387" s="9">
        <v>9.0039999999999999E-5</v>
      </c>
      <c r="K2387" s="9">
        <v>1.6741999999999999E-4</v>
      </c>
      <c r="L2387" s="9">
        <v>3.9950000000000002E-5</v>
      </c>
      <c r="M2387" s="9">
        <v>5.9960000000000002E-5</v>
      </c>
      <c r="N2387" s="9">
        <v>8.0699999999999996E-5</v>
      </c>
      <c r="O2387" s="9">
        <v>1.2245999999999999E-4</v>
      </c>
      <c r="P2387" s="9">
        <v>1.1711E-4</v>
      </c>
      <c r="Q2387" s="9">
        <v>1.1218E-4</v>
      </c>
      <c r="R2387" s="10">
        <v>4.7357218586656558E-6</v>
      </c>
      <c r="S2387" s="10">
        <v>5.1955471809517433E-6</v>
      </c>
      <c r="T2387" s="10">
        <v>6.0365789876264014E-5</v>
      </c>
      <c r="U2387" s="10">
        <v>1.2721999999999999E-4</v>
      </c>
      <c r="V2387" s="25"/>
      <c r="W2387" s="25"/>
      <c r="X2387" s="25"/>
      <c r="Y2387" s="25"/>
      <c r="Z2387" s="25"/>
      <c r="AA2387" s="25"/>
    </row>
    <row r="2388" spans="1:27" x14ac:dyDescent="0.35">
      <c r="A2388" s="5">
        <v>2384</v>
      </c>
      <c r="B2388" s="5">
        <v>100</v>
      </c>
      <c r="C2388" s="5">
        <v>4</v>
      </c>
      <c r="D2388" s="25">
        <v>1.1415000000000001E-4</v>
      </c>
      <c r="E2388" s="25">
        <v>1.1263E-4</v>
      </c>
      <c r="F2388" s="25">
        <v>8.8930000000000004E-5</v>
      </c>
      <c r="G2388" s="25">
        <v>1.6126000000000001E-4</v>
      </c>
      <c r="H2388" s="25">
        <v>2.0265999999999999E-4</v>
      </c>
      <c r="I2388" s="9">
        <v>1.0730000000000001E-4</v>
      </c>
      <c r="J2388" s="9">
        <v>9.7440000000000002E-5</v>
      </c>
      <c r="K2388" s="9">
        <v>1.4622999999999999E-4</v>
      </c>
      <c r="L2388" s="9">
        <v>1.0369000000000001E-4</v>
      </c>
      <c r="M2388" s="9">
        <v>8.352E-5</v>
      </c>
      <c r="N2388" s="9">
        <v>9.0740000000000002E-5</v>
      </c>
      <c r="O2388" s="9">
        <v>2.1975E-4</v>
      </c>
      <c r="P2388" s="9">
        <v>1.7799999999999999E-4</v>
      </c>
      <c r="Q2388" s="9">
        <v>1.3750000000000001E-4</v>
      </c>
      <c r="R2388" s="10">
        <v>5.2870624366060312E-6</v>
      </c>
      <c r="S2388" s="10">
        <v>4.3993593334300246E-6</v>
      </c>
      <c r="T2388" s="10">
        <v>2.2670047863580805E-4</v>
      </c>
      <c r="U2388" s="10">
        <v>1.2721999999999999E-4</v>
      </c>
      <c r="V2388" s="25"/>
      <c r="W2388" s="25"/>
      <c r="X2388" s="25"/>
      <c r="Y2388" s="25"/>
      <c r="Z2388" s="25"/>
      <c r="AA2388" s="25"/>
    </row>
    <row r="2389" spans="1:27" x14ac:dyDescent="0.35">
      <c r="A2389" s="5">
        <v>2385</v>
      </c>
      <c r="B2389" s="5">
        <v>100</v>
      </c>
      <c r="C2389" s="5">
        <v>4</v>
      </c>
      <c r="D2389" s="25">
        <v>1.1416E-4</v>
      </c>
      <c r="E2389" s="25">
        <v>1.1411E-4</v>
      </c>
      <c r="F2389" s="25">
        <v>1.0342E-4</v>
      </c>
      <c r="G2389" s="25">
        <v>1.6228E-4</v>
      </c>
      <c r="H2389" s="25">
        <v>1.9516999999999999E-4</v>
      </c>
      <c r="I2389" s="9">
        <v>1.1226999999999999E-4</v>
      </c>
      <c r="J2389" s="9">
        <v>1.0236E-4</v>
      </c>
      <c r="K2389" s="9">
        <v>1.314E-4</v>
      </c>
      <c r="L2389" s="9">
        <v>1.9247000000000001E-4</v>
      </c>
      <c r="M2389" s="9">
        <v>1.2363000000000001E-4</v>
      </c>
      <c r="N2389" s="9">
        <v>1.0465E-4</v>
      </c>
      <c r="O2389" s="9">
        <v>2.0935999999999999E-4</v>
      </c>
      <c r="P2389" s="9">
        <v>1.9232E-4</v>
      </c>
      <c r="Q2389" s="9">
        <v>1.7614E-4</v>
      </c>
      <c r="R2389" s="10">
        <v>4.9290909220654662E-6</v>
      </c>
      <c r="S2389" s="10">
        <v>5.0595924896561659E-6</v>
      </c>
      <c r="T2389" s="10">
        <v>3.9352725675766034E-4</v>
      </c>
      <c r="U2389" s="10">
        <v>1.2721999999999999E-4</v>
      </c>
      <c r="V2389" s="25"/>
      <c r="W2389" s="25"/>
      <c r="X2389" s="25"/>
      <c r="Y2389" s="25"/>
      <c r="Z2389" s="25"/>
      <c r="AA2389" s="25"/>
    </row>
    <row r="2390" spans="1:27" x14ac:dyDescent="0.35">
      <c r="A2390" s="5">
        <v>2386</v>
      </c>
      <c r="B2390" s="5">
        <v>100</v>
      </c>
      <c r="C2390" s="5">
        <v>4</v>
      </c>
      <c r="D2390" s="25">
        <v>1.1415000000000001E-4</v>
      </c>
      <c r="E2390" s="25">
        <v>1.1696000000000001E-4</v>
      </c>
      <c r="F2390" s="25">
        <v>1.0083E-4</v>
      </c>
      <c r="G2390" s="25">
        <v>1.6317E-4</v>
      </c>
      <c r="H2390" s="25">
        <v>1.9055E-4</v>
      </c>
      <c r="I2390" s="9">
        <v>1.1422E-4</v>
      </c>
      <c r="J2390" s="9">
        <v>1.0347E-4</v>
      </c>
      <c r="K2390" s="9">
        <v>1.2081E-4</v>
      </c>
      <c r="L2390" s="9">
        <v>2.0331E-4</v>
      </c>
      <c r="M2390" s="9">
        <v>1.5854000000000001E-4</v>
      </c>
      <c r="N2390" s="9">
        <v>1.2449E-4</v>
      </c>
      <c r="O2390" s="9">
        <v>1.6655000000000001E-4</v>
      </c>
      <c r="P2390" s="9">
        <v>1.7422E-4</v>
      </c>
      <c r="Q2390" s="9">
        <v>1.8223E-4</v>
      </c>
      <c r="R2390" s="10">
        <v>2.9589603252631866E-6</v>
      </c>
      <c r="S2390" s="10">
        <v>9.1291188993683751E-6</v>
      </c>
      <c r="T2390" s="10">
        <v>5.5657003736934909E-4</v>
      </c>
      <c r="U2390" s="10">
        <v>1.2721999999999999E-4</v>
      </c>
      <c r="V2390" s="25"/>
      <c r="W2390" s="25"/>
      <c r="X2390" s="25"/>
      <c r="Y2390" s="25"/>
      <c r="Z2390" s="25"/>
      <c r="AA2390" s="25"/>
    </row>
    <row r="2391" spans="1:27" x14ac:dyDescent="0.35">
      <c r="A2391" s="5">
        <v>2387</v>
      </c>
      <c r="B2391" s="5">
        <v>100</v>
      </c>
      <c r="C2391" s="5">
        <v>4</v>
      </c>
      <c r="D2391" s="25">
        <v>1.1416E-4</v>
      </c>
      <c r="E2391" s="25">
        <v>1.18E-4</v>
      </c>
      <c r="F2391" s="25">
        <v>1.0259000000000001E-4</v>
      </c>
      <c r="G2391" s="25">
        <v>1.6364999999999999E-4</v>
      </c>
      <c r="H2391" s="25">
        <v>1.9815999999999999E-4</v>
      </c>
      <c r="I2391" s="9">
        <v>1.1514E-4</v>
      </c>
      <c r="J2391" s="9">
        <v>1.0302999999999999E-4</v>
      </c>
      <c r="K2391" s="9">
        <v>1.4624000000000001E-4</v>
      </c>
      <c r="L2391" s="9">
        <v>1.7474999999999999E-4</v>
      </c>
      <c r="M2391" s="9">
        <v>1.7223999999999999E-4</v>
      </c>
      <c r="N2391" s="9">
        <v>1.4262000000000001E-4</v>
      </c>
      <c r="O2391" s="9">
        <v>1.671E-4</v>
      </c>
      <c r="P2391" s="9">
        <v>1.7343999999999999E-4</v>
      </c>
      <c r="Q2391" s="9">
        <v>1.8014999999999999E-4</v>
      </c>
      <c r="R2391" s="10">
        <v>6.3658214168418174E-7</v>
      </c>
      <c r="S2391" s="10">
        <v>1.5373860331225969E-5</v>
      </c>
      <c r="T2391" s="10">
        <v>6.3807021692681811E-4</v>
      </c>
      <c r="U2391" s="10">
        <v>1.2721999999999999E-4</v>
      </c>
      <c r="V2391" s="25"/>
      <c r="W2391" s="25"/>
      <c r="X2391" s="25"/>
      <c r="Y2391" s="25"/>
      <c r="Z2391" s="25"/>
      <c r="AA2391" s="25"/>
    </row>
    <row r="2392" spans="1:27" x14ac:dyDescent="0.35">
      <c r="A2392" s="5">
        <v>2388</v>
      </c>
      <c r="B2392" s="5">
        <v>100</v>
      </c>
      <c r="C2392" s="5">
        <v>4</v>
      </c>
      <c r="D2392" s="25">
        <v>1.1415000000000001E-4</v>
      </c>
      <c r="E2392" s="25">
        <v>1.1154000000000001E-4</v>
      </c>
      <c r="F2392" s="25">
        <v>9.6879999999999994E-5</v>
      </c>
      <c r="G2392" s="25">
        <v>1.6516999999999999E-4</v>
      </c>
      <c r="H2392" s="25">
        <v>2.0026000000000001E-4</v>
      </c>
      <c r="I2392" s="9">
        <v>1.1398E-4</v>
      </c>
      <c r="J2392" s="9">
        <v>1.0244E-4</v>
      </c>
      <c r="K2392" s="9">
        <v>1.3988E-4</v>
      </c>
      <c r="L2392" s="9">
        <v>1.7018E-4</v>
      </c>
      <c r="M2392" s="9">
        <v>1.75E-4</v>
      </c>
      <c r="N2392" s="9">
        <v>1.5684999999999999E-4</v>
      </c>
      <c r="O2392" s="9">
        <v>1.6804E-4</v>
      </c>
      <c r="P2392" s="9">
        <v>1.7026000000000001E-4</v>
      </c>
      <c r="Q2392" s="9">
        <v>1.7291E-4</v>
      </c>
      <c r="R2392" s="10">
        <v>2.1949952237200463E-7</v>
      </c>
      <c r="S2392" s="10">
        <v>2.2465087876649252E-5</v>
      </c>
      <c r="T2392" s="10">
        <v>6.8089047574698735E-4</v>
      </c>
      <c r="U2392" s="10">
        <v>1.2721999999999999E-4</v>
      </c>
      <c r="V2392" s="25"/>
      <c r="W2392" s="25"/>
      <c r="X2392" s="25"/>
      <c r="Y2392" s="25"/>
      <c r="Z2392" s="25"/>
      <c r="AA2392" s="25"/>
    </row>
    <row r="2393" spans="1:27" x14ac:dyDescent="0.35">
      <c r="A2393" s="5">
        <v>2389</v>
      </c>
      <c r="B2393" s="5">
        <v>100</v>
      </c>
      <c r="C2393" s="5">
        <v>4</v>
      </c>
      <c r="D2393" s="25">
        <v>1.1416E-4</v>
      </c>
      <c r="E2393" s="25">
        <v>1.1144E-4</v>
      </c>
      <c r="F2393" s="25">
        <v>9.6849999999999996E-5</v>
      </c>
      <c r="G2393" s="25">
        <v>1.6489E-4</v>
      </c>
      <c r="H2393" s="25">
        <v>2.0066999999999999E-4</v>
      </c>
      <c r="I2393" s="9">
        <v>1.1186E-4</v>
      </c>
      <c r="J2393" s="9">
        <v>1.0344999999999999E-4</v>
      </c>
      <c r="K2393" s="9">
        <v>1.1445E-4</v>
      </c>
      <c r="L2393" s="9">
        <v>1.6865000000000001E-4</v>
      </c>
      <c r="M2393" s="9">
        <v>1.7353E-4</v>
      </c>
      <c r="N2393" s="9">
        <v>1.6605E-4</v>
      </c>
      <c r="O2393" s="9">
        <v>1.6222E-4</v>
      </c>
      <c r="P2393" s="9">
        <v>1.6524000000000001E-4</v>
      </c>
      <c r="Q2393" s="9">
        <v>1.6867E-4</v>
      </c>
      <c r="R2393" s="10">
        <v>1.2515985342036775E-6</v>
      </c>
      <c r="S2393" s="10">
        <v>2.3432928996940449E-5</v>
      </c>
      <c r="T2393" s="10">
        <v>6.8903540312312424E-4</v>
      </c>
      <c r="U2393" s="10">
        <v>1.2721999999999999E-4</v>
      </c>
      <c r="V2393" s="25"/>
      <c r="W2393" s="25"/>
      <c r="X2393" s="25"/>
      <c r="Y2393" s="25"/>
      <c r="Z2393" s="25"/>
      <c r="AA2393" s="25"/>
    </row>
    <row r="2394" spans="1:27" x14ac:dyDescent="0.35">
      <c r="A2394" s="5">
        <v>2390</v>
      </c>
      <c r="B2394" s="5">
        <v>100</v>
      </c>
      <c r="C2394" s="5">
        <v>4</v>
      </c>
      <c r="D2394" s="25">
        <v>1.1415000000000001E-4</v>
      </c>
      <c r="E2394" s="25">
        <v>1.2204E-4</v>
      </c>
      <c r="F2394" s="25">
        <v>9.0130000000000006E-5</v>
      </c>
      <c r="G2394" s="25">
        <v>1.6474E-4</v>
      </c>
      <c r="H2394" s="25">
        <v>1.983E-4</v>
      </c>
      <c r="I2394" s="9">
        <v>1.0886E-4</v>
      </c>
      <c r="J2394" s="9">
        <v>1.0229E-4</v>
      </c>
      <c r="K2394" s="9">
        <v>1.0173E-4</v>
      </c>
      <c r="L2394" s="9">
        <v>1.6342E-4</v>
      </c>
      <c r="M2394" s="9">
        <v>1.7012E-4</v>
      </c>
      <c r="N2394" s="9">
        <v>1.7063000000000001E-4</v>
      </c>
      <c r="O2394" s="9">
        <v>1.7761E-4</v>
      </c>
      <c r="P2394" s="9">
        <v>1.6896000000000001E-4</v>
      </c>
      <c r="Q2394" s="9">
        <v>1.6092E-4</v>
      </c>
      <c r="R2394" s="10">
        <v>3.547680416338651E-6</v>
      </c>
      <c r="S2394" s="10">
        <v>2.3957335943601819E-5</v>
      </c>
      <c r="T2394" s="10">
        <v>6.4831076624244008E-4</v>
      </c>
      <c r="U2394" s="10">
        <v>1.2721999999999999E-4</v>
      </c>
      <c r="V2394" s="25"/>
      <c r="W2394" s="25"/>
      <c r="X2394" s="25"/>
      <c r="Y2394" s="25"/>
      <c r="Z2394" s="25"/>
      <c r="AA2394" s="25"/>
    </row>
    <row r="2395" spans="1:27" x14ac:dyDescent="0.35">
      <c r="A2395" s="5">
        <v>2391</v>
      </c>
      <c r="B2395" s="5">
        <v>100</v>
      </c>
      <c r="C2395" s="5">
        <v>4</v>
      </c>
      <c r="D2395" s="25">
        <v>1.1416E-4</v>
      </c>
      <c r="E2395" s="25">
        <v>1.1289E-4</v>
      </c>
      <c r="F2395" s="25">
        <v>9.679E-5</v>
      </c>
      <c r="G2395" s="25">
        <v>1.5724000000000001E-4</v>
      </c>
      <c r="H2395" s="25">
        <v>2.0007E-4</v>
      </c>
      <c r="I2395" s="9">
        <v>1.0721999999999999E-4</v>
      </c>
      <c r="J2395" s="9">
        <v>1.0168E-4</v>
      </c>
      <c r="K2395" s="9">
        <v>7.2059999999999998E-5</v>
      </c>
      <c r="L2395" s="9">
        <v>1.7462000000000001E-4</v>
      </c>
      <c r="M2395" s="9">
        <v>1.6872999999999999E-4</v>
      </c>
      <c r="N2395" s="9">
        <v>1.7018E-4</v>
      </c>
      <c r="O2395" s="9">
        <v>1.8251000000000001E-4</v>
      </c>
      <c r="P2395" s="9">
        <v>1.6708000000000001E-4</v>
      </c>
      <c r="Q2395" s="9">
        <v>1.5239999999999999E-4</v>
      </c>
      <c r="R2395" s="10">
        <v>4.1891710188165196E-6</v>
      </c>
      <c r="S2395" s="10">
        <v>2.346657405784807E-5</v>
      </c>
      <c r="T2395" s="10">
        <v>5.2474543050696446E-4</v>
      </c>
      <c r="U2395" s="10">
        <v>1.2721999999999999E-4</v>
      </c>
      <c r="V2395" s="25"/>
      <c r="W2395" s="25"/>
      <c r="X2395" s="25"/>
      <c r="Y2395" s="25"/>
      <c r="Z2395" s="25"/>
      <c r="AA2395" s="25"/>
    </row>
    <row r="2396" spans="1:27" x14ac:dyDescent="0.35">
      <c r="A2396" s="5">
        <v>2392</v>
      </c>
      <c r="B2396" s="5">
        <v>100</v>
      </c>
      <c r="C2396" s="5">
        <v>4</v>
      </c>
      <c r="D2396" s="25">
        <v>1.1415000000000001E-4</v>
      </c>
      <c r="E2396" s="25">
        <v>1.1451E-4</v>
      </c>
      <c r="F2396" s="25">
        <v>1.0453E-4</v>
      </c>
      <c r="G2396" s="25">
        <v>1.5668999999999999E-4</v>
      </c>
      <c r="H2396" s="25">
        <v>1.9406E-4</v>
      </c>
      <c r="I2396" s="9">
        <v>1.0650999999999999E-4</v>
      </c>
      <c r="J2396" s="9">
        <v>1.0255E-4</v>
      </c>
      <c r="K2396" s="9">
        <v>6.7819999999999998E-5</v>
      </c>
      <c r="L2396" s="9">
        <v>1.8047000000000001E-4</v>
      </c>
      <c r="M2396" s="9">
        <v>1.6787E-4</v>
      </c>
      <c r="N2396" s="9">
        <v>1.6624000000000001E-4</v>
      </c>
      <c r="O2396" s="9">
        <v>1.9508000000000001E-4</v>
      </c>
      <c r="P2396" s="9">
        <v>1.5144999999999999E-4</v>
      </c>
      <c r="Q2396" s="9">
        <v>1.0904E-4</v>
      </c>
      <c r="R2396" s="10">
        <v>3.4508988697086806E-6</v>
      </c>
      <c r="S2396" s="10">
        <v>2.2508431663238698E-5</v>
      </c>
      <c r="T2396" s="10">
        <v>4.1401683968825454E-4</v>
      </c>
      <c r="U2396" s="10">
        <v>1.2721999999999999E-4</v>
      </c>
      <c r="V2396" s="25"/>
      <c r="W2396" s="25"/>
      <c r="X2396" s="25"/>
      <c r="Y2396" s="25"/>
      <c r="Z2396" s="25"/>
      <c r="AA2396" s="25"/>
    </row>
    <row r="2397" spans="1:27" x14ac:dyDescent="0.35">
      <c r="A2397" s="5">
        <v>2393</v>
      </c>
      <c r="B2397" s="5">
        <v>100</v>
      </c>
      <c r="C2397" s="5">
        <v>4</v>
      </c>
      <c r="D2397" s="25">
        <v>1.1416E-4</v>
      </c>
      <c r="E2397" s="25">
        <v>1.1077E-4</v>
      </c>
      <c r="F2397" s="25">
        <v>1.0187E-4</v>
      </c>
      <c r="G2397" s="25">
        <v>1.6102E-4</v>
      </c>
      <c r="H2397" s="25">
        <v>1.9856999999999999E-4</v>
      </c>
      <c r="I2397" s="9">
        <v>1.0836E-4</v>
      </c>
      <c r="J2397" s="9">
        <v>1.0611E-4</v>
      </c>
      <c r="K2397" s="9">
        <v>8.6890000000000003E-5</v>
      </c>
      <c r="L2397" s="9">
        <v>1.9165999999999999E-4</v>
      </c>
      <c r="M2397" s="9">
        <v>1.6181999999999999E-4</v>
      </c>
      <c r="N2397" s="9">
        <v>1.5233999999999999E-4</v>
      </c>
      <c r="O2397" s="9">
        <v>2.1416999999999999E-4</v>
      </c>
      <c r="P2397" s="9">
        <v>1.6025999999999999E-4</v>
      </c>
      <c r="Q2397" s="9">
        <v>1.078E-4</v>
      </c>
      <c r="R2397" s="10">
        <v>2.0315645050245039E-6</v>
      </c>
      <c r="S2397" s="10">
        <v>2.1026470293595525E-5</v>
      </c>
      <c r="T2397" s="10">
        <v>2.2446910790672054E-4</v>
      </c>
      <c r="U2397" s="10">
        <v>1.2721999999999999E-4</v>
      </c>
      <c r="V2397" s="25"/>
      <c r="W2397" s="25"/>
      <c r="X2397" s="25"/>
      <c r="Y2397" s="25"/>
      <c r="Z2397" s="25"/>
      <c r="AA2397" s="25"/>
    </row>
    <row r="2398" spans="1:27" x14ac:dyDescent="0.35">
      <c r="A2398" s="5">
        <v>2394</v>
      </c>
      <c r="B2398" s="5">
        <v>100</v>
      </c>
      <c r="C2398" s="5">
        <v>4</v>
      </c>
      <c r="D2398" s="25">
        <v>1.1415000000000001E-4</v>
      </c>
      <c r="E2398" s="25">
        <v>1.1619E-4</v>
      </c>
      <c r="F2398" s="25">
        <v>1.0495E-4</v>
      </c>
      <c r="G2398" s="25">
        <v>1.6166999999999999E-4</v>
      </c>
      <c r="H2398" s="25">
        <v>1.9782999999999999E-4</v>
      </c>
      <c r="I2398" s="9">
        <v>1.0961E-4</v>
      </c>
      <c r="J2398" s="9">
        <v>1.0317E-4</v>
      </c>
      <c r="K2398" s="9">
        <v>1.1656E-4</v>
      </c>
      <c r="L2398" s="9">
        <v>2.0898999999999999E-4</v>
      </c>
      <c r="M2398" s="9">
        <v>1.5959000000000001E-4</v>
      </c>
      <c r="N2398" s="9">
        <v>1.3915999999999999E-4</v>
      </c>
      <c r="O2398" s="9">
        <v>2.0440000000000001E-4</v>
      </c>
      <c r="P2398" s="9">
        <v>1.6042000000000001E-4</v>
      </c>
      <c r="Q2398" s="9">
        <v>1.177E-4</v>
      </c>
      <c r="R2398" s="10">
        <v>5.8617466082257411E-7</v>
      </c>
      <c r="S2398" s="10">
        <v>2.0444943185382294E-5</v>
      </c>
      <c r="T2398" s="10">
        <v>6.0314884080163154E-5</v>
      </c>
      <c r="U2398" s="10">
        <v>1.2721999999999999E-4</v>
      </c>
      <c r="V2398" s="25"/>
      <c r="W2398" s="25"/>
      <c r="X2398" s="25"/>
      <c r="Y2398" s="25"/>
      <c r="Z2398" s="25"/>
      <c r="AA2398" s="25"/>
    </row>
    <row r="2399" spans="1:27" x14ac:dyDescent="0.35">
      <c r="A2399" s="5">
        <v>2395</v>
      </c>
      <c r="B2399" s="5">
        <v>100</v>
      </c>
      <c r="C2399" s="5">
        <v>4</v>
      </c>
      <c r="D2399" s="25">
        <v>1.1416E-4</v>
      </c>
      <c r="E2399" s="25">
        <v>1.1718999999999999E-4</v>
      </c>
      <c r="F2399" s="25">
        <v>9.6360000000000006E-5</v>
      </c>
      <c r="G2399" s="25">
        <v>1.1029E-4</v>
      </c>
      <c r="H2399" s="25">
        <v>1.3828000000000001E-4</v>
      </c>
      <c r="I2399" s="9">
        <v>1.0959999999999999E-4</v>
      </c>
      <c r="J2399" s="9">
        <v>1.0182E-4</v>
      </c>
      <c r="K2399" s="9">
        <v>1.5470999999999999E-4</v>
      </c>
      <c r="L2399" s="9">
        <v>2.0495999999999999E-4</v>
      </c>
      <c r="M2399" s="9">
        <v>1.595E-4</v>
      </c>
      <c r="N2399" s="9">
        <v>1.3004999999999999E-4</v>
      </c>
      <c r="O2399" s="9">
        <v>1.6517999999999999E-4</v>
      </c>
      <c r="P2399" s="9">
        <v>1.3617999999999999E-4</v>
      </c>
      <c r="Q2399" s="9">
        <v>1.0809E-4</v>
      </c>
      <c r="R2399" s="10">
        <v>1.3342587167133889E-7</v>
      </c>
      <c r="S2399" s="10">
        <v>2.1935390995809686E-5</v>
      </c>
      <c r="T2399" s="10">
        <v>0</v>
      </c>
      <c r="U2399" s="10">
        <v>1.2721999999999999E-4</v>
      </c>
      <c r="V2399" s="25"/>
      <c r="W2399" s="25"/>
      <c r="X2399" s="25"/>
      <c r="Y2399" s="25"/>
      <c r="Z2399" s="25"/>
      <c r="AA2399" s="25"/>
    </row>
    <row r="2400" spans="1:27" x14ac:dyDescent="0.35">
      <c r="A2400" s="5">
        <v>2396</v>
      </c>
      <c r="B2400" s="5">
        <v>100</v>
      </c>
      <c r="C2400" s="5">
        <v>4</v>
      </c>
      <c r="D2400" s="25">
        <v>1.1415000000000001E-4</v>
      </c>
      <c r="E2400" s="25">
        <v>1.1461E-4</v>
      </c>
      <c r="F2400" s="25">
        <v>1.0815999999999999E-4</v>
      </c>
      <c r="G2400" s="25">
        <v>1.1043E-4</v>
      </c>
      <c r="H2400" s="25">
        <v>1.2875000000000001E-4</v>
      </c>
      <c r="I2400" s="9">
        <v>1.1082E-4</v>
      </c>
      <c r="J2400" s="9">
        <v>1.0341E-4</v>
      </c>
      <c r="K2400" s="9">
        <v>1.9709999999999999E-4</v>
      </c>
      <c r="L2400" s="9">
        <v>1.7411E-4</v>
      </c>
      <c r="M2400" s="9">
        <v>1.5123E-4</v>
      </c>
      <c r="N2400" s="9">
        <v>1.2116E-4</v>
      </c>
      <c r="O2400" s="9">
        <v>1.2933000000000001E-4</v>
      </c>
      <c r="P2400" s="9">
        <v>1.1569999999999999E-4</v>
      </c>
      <c r="Q2400" s="9">
        <v>1.0264000000000001E-4</v>
      </c>
      <c r="R2400" s="10">
        <v>6.9071221844236398E-7</v>
      </c>
      <c r="S2400" s="10">
        <v>2.8129401744803509E-5</v>
      </c>
      <c r="T2400" s="10">
        <v>0</v>
      </c>
      <c r="U2400" s="10">
        <v>1.2721999999999999E-4</v>
      </c>
      <c r="V2400" s="25"/>
      <c r="W2400" s="25"/>
      <c r="X2400" s="25"/>
      <c r="Y2400" s="25"/>
      <c r="Z2400" s="25"/>
      <c r="AA2400" s="25"/>
    </row>
    <row r="2401" spans="1:27" x14ac:dyDescent="0.35">
      <c r="A2401" s="5">
        <v>2397</v>
      </c>
      <c r="B2401" s="5">
        <v>100</v>
      </c>
      <c r="C2401" s="5">
        <v>4</v>
      </c>
      <c r="D2401" s="25">
        <v>1.1416E-4</v>
      </c>
      <c r="E2401" s="25">
        <v>1.1765999999999999E-4</v>
      </c>
      <c r="F2401" s="25">
        <v>8.8480000000000007E-5</v>
      </c>
      <c r="G2401" s="25">
        <v>5.4750000000000003E-5</v>
      </c>
      <c r="H2401" s="25">
        <v>6.7280000000000006E-5</v>
      </c>
      <c r="I2401" s="9">
        <v>1.1052000000000001E-4</v>
      </c>
      <c r="J2401" s="9">
        <v>1.03E-4</v>
      </c>
      <c r="K2401" s="9">
        <v>1.9709999999999999E-4</v>
      </c>
      <c r="L2401" s="9">
        <v>1.4016000000000001E-4</v>
      </c>
      <c r="M2401" s="9">
        <v>1.3611E-4</v>
      </c>
      <c r="N2401" s="9">
        <v>1.1362999999999999E-4</v>
      </c>
      <c r="O2401" s="9">
        <v>8.4699999999999999E-5</v>
      </c>
      <c r="P2401" s="9">
        <v>8.6500000000000002E-5</v>
      </c>
      <c r="Q2401" s="9">
        <v>8.8499999999999996E-5</v>
      </c>
      <c r="R2401" s="10">
        <v>3.715308570520809E-6</v>
      </c>
      <c r="S2401" s="10">
        <v>3.4818122519451437E-5</v>
      </c>
      <c r="T2401" s="10">
        <v>0</v>
      </c>
      <c r="U2401" s="10">
        <v>1.2721999999999999E-4</v>
      </c>
      <c r="V2401" s="25"/>
      <c r="W2401" s="25"/>
      <c r="X2401" s="25"/>
      <c r="Y2401" s="25"/>
      <c r="Z2401" s="25"/>
      <c r="AA2401" s="25"/>
    </row>
    <row r="2402" spans="1:27" x14ac:dyDescent="0.35">
      <c r="A2402" s="5">
        <v>2398</v>
      </c>
      <c r="B2402" s="5">
        <v>100</v>
      </c>
      <c r="C2402" s="5">
        <v>4</v>
      </c>
      <c r="D2402" s="25">
        <v>1.1415000000000001E-4</v>
      </c>
      <c r="E2402" s="25">
        <v>1.2045E-4</v>
      </c>
      <c r="F2402" s="25">
        <v>1.0258E-4</v>
      </c>
      <c r="G2402" s="25">
        <v>5.571E-5</v>
      </c>
      <c r="H2402" s="25">
        <v>6.3050000000000001E-5</v>
      </c>
      <c r="I2402" s="9">
        <v>1.1021E-4</v>
      </c>
      <c r="J2402" s="9">
        <v>9.8270000000000006E-5</v>
      </c>
      <c r="K2402" s="9">
        <v>2.2041000000000001E-4</v>
      </c>
      <c r="L2402" s="9">
        <v>9.781E-5</v>
      </c>
      <c r="M2402" s="9">
        <v>1.1435E-4</v>
      </c>
      <c r="N2402" s="9">
        <v>1.0605E-4</v>
      </c>
      <c r="O2402" s="9">
        <v>8.7650000000000003E-5</v>
      </c>
      <c r="P2402" s="9">
        <v>8.8059999999999994E-5</v>
      </c>
      <c r="Q2402" s="9">
        <v>8.8709999999999996E-5</v>
      </c>
      <c r="R2402" s="10">
        <v>1.4177832412150109E-5</v>
      </c>
      <c r="S2402" s="10">
        <v>4.8015655227976328E-5</v>
      </c>
      <c r="T2402" s="10">
        <v>0</v>
      </c>
      <c r="U2402" s="10">
        <v>1.2721999999999999E-4</v>
      </c>
      <c r="V2402" s="25"/>
      <c r="W2402" s="25"/>
      <c r="X2402" s="25"/>
      <c r="Y2402" s="25"/>
      <c r="Z2402" s="25"/>
      <c r="AA2402" s="25"/>
    </row>
    <row r="2403" spans="1:27" x14ac:dyDescent="0.35">
      <c r="A2403" s="5">
        <v>2399</v>
      </c>
      <c r="B2403" s="5">
        <v>100</v>
      </c>
      <c r="C2403" s="5">
        <v>4</v>
      </c>
      <c r="D2403" s="25">
        <v>1.1416E-4</v>
      </c>
      <c r="E2403" s="25">
        <v>1.1959E-4</v>
      </c>
      <c r="F2403" s="25">
        <v>9.6429999999999997E-5</v>
      </c>
      <c r="G2403" s="25">
        <v>5.9429999999999999E-5</v>
      </c>
      <c r="H2403" s="25">
        <v>7.4919999999999994E-5</v>
      </c>
      <c r="I2403" s="9">
        <v>1.1005000000000001E-4</v>
      </c>
      <c r="J2403" s="9">
        <v>9.2289999999999999E-5</v>
      </c>
      <c r="K2403" s="9">
        <v>2.0346000000000001E-4</v>
      </c>
      <c r="L2403" s="9">
        <v>9.0840000000000004E-5</v>
      </c>
      <c r="M2403" s="9">
        <v>9.9539999999999999E-5</v>
      </c>
      <c r="N2403" s="9">
        <v>1.0028E-4</v>
      </c>
      <c r="O2403" s="9">
        <v>7.7819999999999997E-5</v>
      </c>
      <c r="P2403" s="9">
        <v>7.2260000000000003E-5</v>
      </c>
      <c r="Q2403" s="9">
        <v>6.7009999999999997E-5</v>
      </c>
      <c r="R2403" s="10">
        <v>3.4542590941819291E-5</v>
      </c>
      <c r="S2403" s="10">
        <v>6.6825269887873129E-5</v>
      </c>
      <c r="T2403" s="10">
        <v>0</v>
      </c>
      <c r="U2403" s="10">
        <v>1.2721999999999999E-4</v>
      </c>
      <c r="V2403" s="25"/>
      <c r="W2403" s="25"/>
      <c r="X2403" s="25"/>
      <c r="Y2403" s="25"/>
      <c r="Z2403" s="25"/>
      <c r="AA2403" s="25"/>
    </row>
    <row r="2404" spans="1:27" x14ac:dyDescent="0.35">
      <c r="A2404" s="5">
        <v>2400</v>
      </c>
      <c r="B2404" s="5">
        <v>100</v>
      </c>
      <c r="C2404" s="5">
        <v>4</v>
      </c>
      <c r="D2404" s="25">
        <v>1.1415000000000001E-4</v>
      </c>
      <c r="E2404" s="25">
        <v>1.1129999999999999E-4</v>
      </c>
      <c r="F2404" s="25">
        <v>9.6100000000000005E-5</v>
      </c>
      <c r="G2404" s="25">
        <v>5.7500000000000002E-5</v>
      </c>
      <c r="H2404" s="25">
        <v>7.5279999999999998E-5</v>
      </c>
      <c r="I2404" s="9">
        <v>1.0393E-4</v>
      </c>
      <c r="J2404" s="9">
        <v>8.9829999999999999E-5</v>
      </c>
      <c r="K2404" s="9">
        <v>1.8013999999999999E-4</v>
      </c>
      <c r="L2404" s="9">
        <v>8.0669999999999998E-5</v>
      </c>
      <c r="M2404" s="9">
        <v>8.6459999999999996E-5</v>
      </c>
      <c r="N2404" s="9">
        <v>9.0959999999999996E-5</v>
      </c>
      <c r="O2404" s="9">
        <v>6.2840000000000001E-5</v>
      </c>
      <c r="P2404" s="9">
        <v>6.0819999999999997E-5</v>
      </c>
      <c r="Q2404" s="9">
        <v>5.8999999999999998E-5</v>
      </c>
      <c r="R2404" s="10">
        <v>5.5677602259547764E-5</v>
      </c>
      <c r="S2404" s="10">
        <v>9.2459243650865058E-5</v>
      </c>
      <c r="T2404" s="10">
        <v>0</v>
      </c>
      <c r="U2404" s="10">
        <v>1.2721999999999999E-4</v>
      </c>
      <c r="V2404" s="25"/>
      <c r="W2404" s="25"/>
      <c r="X2404" s="25"/>
      <c r="Y2404" s="25"/>
      <c r="Z2404" s="25"/>
      <c r="AA2404" s="25"/>
    </row>
    <row r="2405" spans="1:27" x14ac:dyDescent="0.35">
      <c r="A2405" s="5">
        <v>2401</v>
      </c>
      <c r="B2405" s="5">
        <v>101</v>
      </c>
      <c r="C2405" s="5">
        <v>4</v>
      </c>
      <c r="D2405" s="25">
        <v>1.1416E-4</v>
      </c>
      <c r="E2405" s="25">
        <v>1.1619E-4</v>
      </c>
      <c r="F2405" s="25">
        <v>1.3018E-4</v>
      </c>
      <c r="G2405" s="25">
        <v>5.9939999999999999E-5</v>
      </c>
      <c r="H2405" s="25">
        <v>7.6730000000000006E-5</v>
      </c>
      <c r="I2405" s="9">
        <v>9.7109999999999997E-5</v>
      </c>
      <c r="J2405" s="9">
        <v>8.3770000000000006E-5</v>
      </c>
      <c r="K2405" s="9">
        <v>1.6955E-4</v>
      </c>
      <c r="L2405" s="9">
        <v>6.6769999999999999E-5</v>
      </c>
      <c r="M2405" s="9">
        <v>7.4229999999999999E-5</v>
      </c>
      <c r="N2405" s="9">
        <v>8.1479999999999999E-5</v>
      </c>
      <c r="O2405" s="9">
        <v>5.4400000000000001E-5</v>
      </c>
      <c r="P2405" s="9">
        <v>5.3820000000000003E-5</v>
      </c>
      <c r="Q2405" s="9">
        <v>5.3399999999999997E-5</v>
      </c>
      <c r="R2405" s="10">
        <v>8.9468036104207465E-5</v>
      </c>
      <c r="S2405" s="10">
        <v>1.1131861508820846E-4</v>
      </c>
      <c r="T2405" s="10">
        <v>0</v>
      </c>
      <c r="U2405" s="10">
        <v>1.2470999999999999E-4</v>
      </c>
      <c r="V2405" s="25"/>
      <c r="W2405" s="25"/>
      <c r="X2405" s="25"/>
      <c r="Y2405" s="25"/>
      <c r="Z2405" s="25"/>
      <c r="AA2405" s="25"/>
    </row>
    <row r="2406" spans="1:27" x14ac:dyDescent="0.35">
      <c r="A2406" s="5">
        <v>2402</v>
      </c>
      <c r="B2406" s="5">
        <v>101</v>
      </c>
      <c r="C2406" s="5">
        <v>4</v>
      </c>
      <c r="D2406" s="25">
        <v>1.1415000000000001E-4</v>
      </c>
      <c r="E2406" s="25">
        <v>1.1067E-4</v>
      </c>
      <c r="F2406" s="25">
        <v>1.3102E-4</v>
      </c>
      <c r="G2406" s="25">
        <v>6.1859999999999994E-5</v>
      </c>
      <c r="H2406" s="25">
        <v>6.5640000000000002E-5</v>
      </c>
      <c r="I2406" s="9">
        <v>9.2509999999999993E-5</v>
      </c>
      <c r="J2406" s="9">
        <v>8.3880000000000003E-5</v>
      </c>
      <c r="K2406" s="9">
        <v>1.6318999999999999E-4</v>
      </c>
      <c r="L2406" s="9">
        <v>5.7500000000000002E-5</v>
      </c>
      <c r="M2406" s="9">
        <v>6.3969999999999999E-5</v>
      </c>
      <c r="N2406" s="9">
        <v>7.2260000000000003E-5</v>
      </c>
      <c r="O2406" s="9">
        <v>1.9190000000000001E-5</v>
      </c>
      <c r="P2406" s="9">
        <v>3.7960000000000002E-5</v>
      </c>
      <c r="Q2406" s="9">
        <v>5.6490000000000003E-5</v>
      </c>
      <c r="R2406" s="10">
        <v>1.1541357669937753E-4</v>
      </c>
      <c r="S2406" s="10">
        <v>1.2792078435344226E-4</v>
      </c>
      <c r="T2406" s="10">
        <v>0</v>
      </c>
      <c r="U2406" s="10">
        <v>1.2470999999999999E-4</v>
      </c>
      <c r="V2406" s="25"/>
      <c r="W2406" s="25"/>
      <c r="X2406" s="25"/>
      <c r="Y2406" s="25"/>
      <c r="Z2406" s="25"/>
      <c r="AA2406" s="25"/>
    </row>
    <row r="2407" spans="1:27" x14ac:dyDescent="0.35">
      <c r="A2407" s="5">
        <v>2403</v>
      </c>
      <c r="B2407" s="5">
        <v>101</v>
      </c>
      <c r="C2407" s="5">
        <v>4</v>
      </c>
      <c r="D2407" s="25">
        <v>1.1416E-4</v>
      </c>
      <c r="E2407" s="25">
        <v>1.115E-4</v>
      </c>
      <c r="F2407" s="25">
        <v>1.4322E-4</v>
      </c>
      <c r="G2407" s="25">
        <v>5.8749999999999998E-5</v>
      </c>
      <c r="H2407" s="25">
        <v>7.1660000000000002E-5</v>
      </c>
      <c r="I2407" s="9">
        <v>9.0119999999999998E-5</v>
      </c>
      <c r="J2407" s="9">
        <v>8.3469999999999999E-5</v>
      </c>
      <c r="K2407" s="9">
        <v>1.5683E-4</v>
      </c>
      <c r="L2407" s="9">
        <v>2.7820000000000001E-5</v>
      </c>
      <c r="M2407" s="9">
        <v>5.2269999999999999E-5</v>
      </c>
      <c r="N2407" s="9">
        <v>6.5690000000000003E-5</v>
      </c>
      <c r="O2407" s="9">
        <v>1.358E-5</v>
      </c>
      <c r="P2407" s="9">
        <v>3.7599999999999999E-5</v>
      </c>
      <c r="Q2407" s="9">
        <v>6.1290000000000004E-5</v>
      </c>
      <c r="R2407" s="10">
        <v>1.3238652739802606E-4</v>
      </c>
      <c r="S2407" s="10">
        <v>1.4672121645129856E-4</v>
      </c>
      <c r="T2407" s="10">
        <v>0</v>
      </c>
      <c r="U2407" s="10">
        <v>1.2470999999999999E-4</v>
      </c>
      <c r="V2407" s="25"/>
      <c r="W2407" s="25"/>
      <c r="X2407" s="25"/>
      <c r="Y2407" s="25"/>
      <c r="Z2407" s="25"/>
      <c r="AA2407" s="25"/>
    </row>
    <row r="2408" spans="1:27" x14ac:dyDescent="0.35">
      <c r="A2408" s="5">
        <v>2404</v>
      </c>
      <c r="B2408" s="5">
        <v>101</v>
      </c>
      <c r="C2408" s="5">
        <v>4</v>
      </c>
      <c r="D2408" s="25">
        <v>1.1415000000000001E-4</v>
      </c>
      <c r="E2408" s="25">
        <v>1.1318E-4</v>
      </c>
      <c r="F2408" s="25">
        <v>1.2946E-4</v>
      </c>
      <c r="G2408" s="25">
        <v>5.3980000000000002E-5</v>
      </c>
      <c r="H2408" s="25">
        <v>6.3819999999999995E-5</v>
      </c>
      <c r="I2408" s="9">
        <v>8.988E-5</v>
      </c>
      <c r="J2408" s="9">
        <v>8.297E-5</v>
      </c>
      <c r="K2408" s="9">
        <v>1.8861999999999999E-4</v>
      </c>
      <c r="L2408" s="9">
        <v>1.7439999999999999E-5</v>
      </c>
      <c r="M2408" s="9">
        <v>4.4199999999999997E-5</v>
      </c>
      <c r="N2408" s="9">
        <v>6.198E-5</v>
      </c>
      <c r="O2408" s="9">
        <v>1.361E-5</v>
      </c>
      <c r="P2408" s="9">
        <v>4.7129999999999998E-5</v>
      </c>
      <c r="Q2408" s="9">
        <v>8.0160000000000005E-5</v>
      </c>
      <c r="R2408" s="10">
        <v>1.4950373287819568E-4</v>
      </c>
      <c r="S2408" s="10">
        <v>1.6143716043854324E-4</v>
      </c>
      <c r="T2408" s="10">
        <v>0</v>
      </c>
      <c r="U2408" s="10">
        <v>1.2470999999999999E-4</v>
      </c>
      <c r="V2408" s="25"/>
      <c r="W2408" s="25"/>
      <c r="X2408" s="25"/>
      <c r="Y2408" s="25"/>
      <c r="Z2408" s="25"/>
      <c r="AA2408" s="25"/>
    </row>
    <row r="2409" spans="1:27" x14ac:dyDescent="0.35">
      <c r="A2409" s="5">
        <v>2405</v>
      </c>
      <c r="B2409" s="5">
        <v>101</v>
      </c>
      <c r="C2409" s="5">
        <v>4</v>
      </c>
      <c r="D2409" s="25">
        <v>1.1416E-4</v>
      </c>
      <c r="E2409" s="25">
        <v>1.1357999999999999E-4</v>
      </c>
      <c r="F2409" s="25">
        <v>1.4311E-4</v>
      </c>
      <c r="G2409" s="25">
        <v>5.8699999999999997E-5</v>
      </c>
      <c r="H2409" s="25">
        <v>7.0129999999999994E-5</v>
      </c>
      <c r="I2409" s="9">
        <v>9.1799999999999995E-5</v>
      </c>
      <c r="J2409" s="9">
        <v>8.4839999999999994E-5</v>
      </c>
      <c r="K2409" s="9">
        <v>2.0769000000000001E-4</v>
      </c>
      <c r="L2409" s="9">
        <v>1.47E-5</v>
      </c>
      <c r="M2409" s="9">
        <v>4.3439999999999997E-5</v>
      </c>
      <c r="N2409" s="9">
        <v>6.4430000000000005E-5</v>
      </c>
      <c r="O2409" s="9">
        <v>1.8989999999999999E-5</v>
      </c>
      <c r="P2409" s="9">
        <v>5.6350000000000001E-5</v>
      </c>
      <c r="Q2409" s="9">
        <v>9.3179999999999999E-5</v>
      </c>
      <c r="R2409" s="10">
        <v>1.6415621366125611E-4</v>
      </c>
      <c r="S2409" s="10">
        <v>1.6587867432235189E-4</v>
      </c>
      <c r="T2409" s="10">
        <v>0</v>
      </c>
      <c r="U2409" s="10">
        <v>1.2470999999999999E-4</v>
      </c>
      <c r="V2409" s="25"/>
      <c r="W2409" s="25"/>
      <c r="X2409" s="25"/>
      <c r="Y2409" s="25"/>
      <c r="Z2409" s="25"/>
      <c r="AA2409" s="25"/>
    </row>
    <row r="2410" spans="1:27" x14ac:dyDescent="0.35">
      <c r="A2410" s="5">
        <v>2406</v>
      </c>
      <c r="B2410" s="5">
        <v>101</v>
      </c>
      <c r="C2410" s="5">
        <v>4</v>
      </c>
      <c r="D2410" s="25">
        <v>1.1415000000000001E-4</v>
      </c>
      <c r="E2410" s="25">
        <v>1.0699E-4</v>
      </c>
      <c r="F2410" s="25">
        <v>1.3075000000000001E-4</v>
      </c>
      <c r="G2410" s="25">
        <v>1.1119E-4</v>
      </c>
      <c r="H2410" s="25">
        <v>1.3613000000000001E-4</v>
      </c>
      <c r="I2410" s="9">
        <v>9.4339999999999995E-5</v>
      </c>
      <c r="J2410" s="9">
        <v>8.5039999999999999E-5</v>
      </c>
      <c r="K2410" s="9">
        <v>1.6742999999999999E-4</v>
      </c>
      <c r="L2410" s="9">
        <v>1.791E-5</v>
      </c>
      <c r="M2410" s="9">
        <v>4.8239999999999999E-5</v>
      </c>
      <c r="N2410" s="9">
        <v>7.0859999999999996E-5</v>
      </c>
      <c r="O2410" s="9">
        <v>4.6360000000000003E-5</v>
      </c>
      <c r="P2410" s="9">
        <v>7.6890000000000004E-5</v>
      </c>
      <c r="Q2410" s="9">
        <v>1.0707E-4</v>
      </c>
      <c r="R2410" s="10">
        <v>1.7421332205569618E-4</v>
      </c>
      <c r="S2410" s="10">
        <v>1.674150092277096E-4</v>
      </c>
      <c r="T2410" s="10">
        <v>0</v>
      </c>
      <c r="U2410" s="10">
        <v>1.2470999999999999E-4</v>
      </c>
      <c r="V2410" s="25"/>
      <c r="W2410" s="25"/>
      <c r="X2410" s="25"/>
      <c r="Y2410" s="25"/>
      <c r="Z2410" s="25"/>
      <c r="AA2410" s="25"/>
    </row>
    <row r="2411" spans="1:27" x14ac:dyDescent="0.35">
      <c r="A2411" s="5">
        <v>2407</v>
      </c>
      <c r="B2411" s="5">
        <v>101</v>
      </c>
      <c r="C2411" s="5">
        <v>4</v>
      </c>
      <c r="D2411" s="25">
        <v>1.1416E-4</v>
      </c>
      <c r="E2411" s="25">
        <v>1.1517E-4</v>
      </c>
      <c r="F2411" s="25">
        <v>1.4284000000000001E-4</v>
      </c>
      <c r="G2411" s="25">
        <v>1.1098E-4</v>
      </c>
      <c r="H2411" s="25">
        <v>1.3007000000000001E-4</v>
      </c>
      <c r="I2411" s="9">
        <v>9.3159999999999996E-5</v>
      </c>
      <c r="J2411" s="9">
        <v>8.6910000000000006E-5</v>
      </c>
      <c r="K2411" s="9">
        <v>1.208E-4</v>
      </c>
      <c r="L2411" s="9">
        <v>3.9959999999999997E-5</v>
      </c>
      <c r="M2411" s="9">
        <v>5.9920000000000002E-5</v>
      </c>
      <c r="N2411" s="9">
        <v>8.0580000000000004E-5</v>
      </c>
      <c r="O2411" s="9">
        <v>1.2379000000000001E-4</v>
      </c>
      <c r="P2411" s="9">
        <v>1.1838E-4</v>
      </c>
      <c r="Q2411" s="9">
        <v>1.1340000000000001E-4</v>
      </c>
      <c r="R2411" s="10">
        <v>1.8550069946216187E-4</v>
      </c>
      <c r="S2411" s="10">
        <v>1.6163026236158359E-4</v>
      </c>
      <c r="T2411" s="10">
        <v>6.4412800666281992E-5</v>
      </c>
      <c r="U2411" s="10">
        <v>1.2470999999999999E-4</v>
      </c>
      <c r="V2411" s="25"/>
      <c r="W2411" s="25"/>
      <c r="X2411" s="25"/>
      <c r="Y2411" s="25"/>
      <c r="Z2411" s="25"/>
      <c r="AA2411" s="25"/>
    </row>
    <row r="2412" spans="1:27" x14ac:dyDescent="0.35">
      <c r="A2412" s="5">
        <v>2408</v>
      </c>
      <c r="B2412" s="5">
        <v>101</v>
      </c>
      <c r="C2412" s="5">
        <v>4</v>
      </c>
      <c r="D2412" s="25">
        <v>1.1415000000000001E-4</v>
      </c>
      <c r="E2412" s="25">
        <v>1.1633000000000001E-4</v>
      </c>
      <c r="F2412" s="25">
        <v>1.3459E-4</v>
      </c>
      <c r="G2412" s="25">
        <v>1.6448E-4</v>
      </c>
      <c r="H2412" s="25">
        <v>2.0216E-4</v>
      </c>
      <c r="I2412" s="9">
        <v>9.8330000000000002E-5</v>
      </c>
      <c r="J2412" s="9">
        <v>9.221E-5</v>
      </c>
      <c r="K2412" s="9">
        <v>8.0539999999999998E-5</v>
      </c>
      <c r="L2412" s="9">
        <v>1.0473E-4</v>
      </c>
      <c r="M2412" s="9">
        <v>8.3980000000000006E-5</v>
      </c>
      <c r="N2412" s="9">
        <v>9.09E-5</v>
      </c>
      <c r="O2412" s="9">
        <v>2.1667999999999999E-4</v>
      </c>
      <c r="P2412" s="9">
        <v>1.7551000000000001E-4</v>
      </c>
      <c r="Q2412" s="9">
        <v>1.3558E-4</v>
      </c>
      <c r="R2412" s="10">
        <v>1.8958925116247495E-4</v>
      </c>
      <c r="S2412" s="10">
        <v>1.5613884642366261E-4</v>
      </c>
      <c r="T2412" s="10">
        <v>1.28350480568956E-4</v>
      </c>
      <c r="U2412" s="10">
        <v>1.2470999999999999E-4</v>
      </c>
      <c r="V2412" s="25"/>
      <c r="W2412" s="25"/>
      <c r="X2412" s="25"/>
      <c r="Y2412" s="25"/>
      <c r="Z2412" s="25"/>
      <c r="AA2412" s="25"/>
    </row>
    <row r="2413" spans="1:27" x14ac:dyDescent="0.35">
      <c r="A2413" s="5">
        <v>2409</v>
      </c>
      <c r="B2413" s="5">
        <v>101</v>
      </c>
      <c r="C2413" s="5">
        <v>4</v>
      </c>
      <c r="D2413" s="25">
        <v>1.1416E-4</v>
      </c>
      <c r="E2413" s="25">
        <v>1.1293E-4</v>
      </c>
      <c r="F2413" s="25">
        <v>1.451E-4</v>
      </c>
      <c r="G2413" s="25">
        <v>1.5956999999999999E-4</v>
      </c>
      <c r="H2413" s="25">
        <v>1.8913E-4</v>
      </c>
      <c r="I2413" s="9">
        <v>1.0331999999999999E-4</v>
      </c>
      <c r="J2413" s="9">
        <v>9.6310000000000005E-5</v>
      </c>
      <c r="K2413" s="9">
        <v>5.2979999999999998E-5</v>
      </c>
      <c r="L2413" s="9">
        <v>1.9027000000000001E-4</v>
      </c>
      <c r="M2413" s="9">
        <v>1.2315000000000001E-4</v>
      </c>
      <c r="N2413" s="9">
        <v>1.0442000000000001E-4</v>
      </c>
      <c r="O2413" s="9">
        <v>2.0953000000000001E-4</v>
      </c>
      <c r="P2413" s="9">
        <v>1.9248E-4</v>
      </c>
      <c r="Q2413" s="9">
        <v>1.7628000000000001E-4</v>
      </c>
      <c r="R2413" s="10">
        <v>1.9215766747713699E-4</v>
      </c>
      <c r="S2413" s="10">
        <v>1.6684327323327174E-4</v>
      </c>
      <c r="T2413" s="10">
        <v>2.0969794273812244E-4</v>
      </c>
      <c r="U2413" s="10">
        <v>1.2470999999999999E-4</v>
      </c>
      <c r="V2413" s="25"/>
      <c r="W2413" s="25"/>
      <c r="X2413" s="25"/>
      <c r="Y2413" s="25"/>
      <c r="Z2413" s="25"/>
      <c r="AA2413" s="25"/>
    </row>
    <row r="2414" spans="1:27" x14ac:dyDescent="0.35">
      <c r="A2414" s="5">
        <v>2410</v>
      </c>
      <c r="B2414" s="5">
        <v>101</v>
      </c>
      <c r="C2414" s="5">
        <v>4</v>
      </c>
      <c r="D2414" s="25">
        <v>1.1415000000000001E-4</v>
      </c>
      <c r="E2414" s="25">
        <v>1.1055E-4</v>
      </c>
      <c r="F2414" s="25">
        <v>1.2579999999999999E-4</v>
      </c>
      <c r="G2414" s="25">
        <v>1.6097999999999999E-4</v>
      </c>
      <c r="H2414" s="25">
        <v>1.9299000000000001E-4</v>
      </c>
      <c r="I2414" s="9">
        <v>1.0619E-4</v>
      </c>
      <c r="J2414" s="9">
        <v>9.6929999999999995E-5</v>
      </c>
      <c r="K2414" s="9">
        <v>3.3909999999999999E-5</v>
      </c>
      <c r="L2414" s="9">
        <v>2.0305E-4</v>
      </c>
      <c r="M2414" s="9">
        <v>1.5802000000000001E-4</v>
      </c>
      <c r="N2414" s="9">
        <v>1.2433E-4</v>
      </c>
      <c r="O2414" s="9">
        <v>1.6511E-4</v>
      </c>
      <c r="P2414" s="9">
        <v>1.7272000000000001E-4</v>
      </c>
      <c r="Q2414" s="9">
        <v>1.8065999999999999E-4</v>
      </c>
      <c r="R2414" s="10">
        <v>1.9166422178509775E-4</v>
      </c>
      <c r="S2414" s="10">
        <v>1.7981214041460389E-4</v>
      </c>
      <c r="T2414" s="10">
        <v>6.9740940658171493E-5</v>
      </c>
      <c r="U2414" s="10">
        <v>1.2470999999999999E-4</v>
      </c>
      <c r="V2414" s="25"/>
      <c r="W2414" s="25"/>
      <c r="X2414" s="25"/>
      <c r="Y2414" s="25"/>
      <c r="Z2414" s="25"/>
      <c r="AA2414" s="25"/>
    </row>
    <row r="2415" spans="1:27" x14ac:dyDescent="0.35">
      <c r="A2415" s="5">
        <v>2411</v>
      </c>
      <c r="B2415" s="5">
        <v>101</v>
      </c>
      <c r="C2415" s="5">
        <v>4</v>
      </c>
      <c r="D2415" s="25">
        <v>1.1416E-4</v>
      </c>
      <c r="E2415" s="25">
        <v>1.0957E-4</v>
      </c>
      <c r="F2415" s="25">
        <v>1.3263000000000001E-4</v>
      </c>
      <c r="G2415" s="25">
        <v>1.6255999999999999E-4</v>
      </c>
      <c r="H2415" s="25">
        <v>2.0099000000000001E-4</v>
      </c>
      <c r="I2415" s="9">
        <v>1.0862E-4</v>
      </c>
      <c r="J2415" s="9">
        <v>9.6470000000000003E-5</v>
      </c>
      <c r="K2415" s="9">
        <v>4.2400000000000001E-6</v>
      </c>
      <c r="L2415" s="9">
        <v>1.7353E-4</v>
      </c>
      <c r="M2415" s="9">
        <v>1.7138E-4</v>
      </c>
      <c r="N2415" s="9">
        <v>1.4212E-4</v>
      </c>
      <c r="O2415" s="9">
        <v>1.6605999999999999E-4</v>
      </c>
      <c r="P2415" s="9">
        <v>1.7236000000000001E-4</v>
      </c>
      <c r="Q2415" s="9">
        <v>1.7902E-4</v>
      </c>
      <c r="R2415" s="10">
        <v>2.0010978735132595E-4</v>
      </c>
      <c r="S2415" s="10">
        <v>1.860672103839976E-4</v>
      </c>
      <c r="T2415" s="10">
        <v>5.583517402328791E-5</v>
      </c>
      <c r="U2415" s="10">
        <v>1.2470999999999999E-4</v>
      </c>
      <c r="V2415" s="25"/>
      <c r="W2415" s="25"/>
      <c r="X2415" s="25"/>
      <c r="Y2415" s="25"/>
      <c r="Z2415" s="25"/>
      <c r="AA2415" s="25"/>
    </row>
    <row r="2416" spans="1:27" x14ac:dyDescent="0.35">
      <c r="A2416" s="5">
        <v>2412</v>
      </c>
      <c r="B2416" s="5">
        <v>101</v>
      </c>
      <c r="C2416" s="5">
        <v>4</v>
      </c>
      <c r="D2416" s="25">
        <v>1.1415000000000001E-4</v>
      </c>
      <c r="E2416" s="25">
        <v>1.1535E-4</v>
      </c>
      <c r="F2416" s="25">
        <v>1.4381999999999999E-4</v>
      </c>
      <c r="G2416" s="25">
        <v>1.6577000000000001E-4</v>
      </c>
      <c r="H2416" s="25">
        <v>1.9956999999999999E-4</v>
      </c>
      <c r="I2416" s="9">
        <v>1.1010000000000001E-4</v>
      </c>
      <c r="J2416" s="9">
        <v>9.9010000000000002E-5</v>
      </c>
      <c r="K2416" s="9">
        <v>0</v>
      </c>
      <c r="L2416" s="9">
        <v>1.6909999999999999E-4</v>
      </c>
      <c r="M2416" s="9">
        <v>1.7398000000000001E-4</v>
      </c>
      <c r="N2416" s="9">
        <v>1.5614000000000001E-4</v>
      </c>
      <c r="O2416" s="9">
        <v>1.6861999999999999E-4</v>
      </c>
      <c r="P2416" s="9">
        <v>1.7085000000000001E-4</v>
      </c>
      <c r="Q2416" s="9">
        <v>1.7351000000000001E-4</v>
      </c>
      <c r="R2416" s="10">
        <v>1.9978706594976436E-4</v>
      </c>
      <c r="S2416" s="10">
        <v>1.8631178286368136E-4</v>
      </c>
      <c r="T2416" s="10">
        <v>1.091505111395835E-4</v>
      </c>
      <c r="U2416" s="10">
        <v>1.2470999999999999E-4</v>
      </c>
      <c r="V2416" s="25"/>
      <c r="W2416" s="25"/>
      <c r="X2416" s="25"/>
      <c r="Y2416" s="25"/>
      <c r="Z2416" s="25"/>
      <c r="AA2416" s="25"/>
    </row>
    <row r="2417" spans="1:27" x14ac:dyDescent="0.35">
      <c r="A2417" s="5">
        <v>2413</v>
      </c>
      <c r="B2417" s="5">
        <v>101</v>
      </c>
      <c r="C2417" s="5">
        <v>4</v>
      </c>
      <c r="D2417" s="25">
        <v>1.1416E-4</v>
      </c>
      <c r="E2417" s="25">
        <v>1.1271E-4</v>
      </c>
      <c r="F2417" s="25">
        <v>1.2433999999999999E-4</v>
      </c>
      <c r="G2417" s="25">
        <v>1.6142000000000001E-4</v>
      </c>
      <c r="H2417" s="25">
        <v>1.93E-4</v>
      </c>
      <c r="I2417" s="9">
        <v>1.0496E-4</v>
      </c>
      <c r="J2417" s="9">
        <v>9.7040000000000006E-5</v>
      </c>
      <c r="K2417" s="9">
        <v>0</v>
      </c>
      <c r="L2417" s="9">
        <v>1.6888E-4</v>
      </c>
      <c r="M2417" s="9">
        <v>1.7305000000000001E-4</v>
      </c>
      <c r="N2417" s="9">
        <v>1.6551000000000001E-4</v>
      </c>
      <c r="O2417" s="9">
        <v>1.6210000000000001E-4</v>
      </c>
      <c r="P2417" s="9">
        <v>1.6511999999999999E-4</v>
      </c>
      <c r="Q2417" s="9">
        <v>1.6854000000000001E-4</v>
      </c>
      <c r="R2417" s="10">
        <v>2.0958105853226963E-4</v>
      </c>
      <c r="S2417" s="10">
        <v>1.8995562684095757E-4</v>
      </c>
      <c r="T2417" s="10">
        <v>2.0734779181813296E-4</v>
      </c>
      <c r="U2417" s="10">
        <v>1.2470999999999999E-4</v>
      </c>
      <c r="V2417" s="25"/>
      <c r="W2417" s="25"/>
      <c r="X2417" s="25"/>
      <c r="Y2417" s="25"/>
      <c r="Z2417" s="25"/>
      <c r="AA2417" s="25"/>
    </row>
    <row r="2418" spans="1:27" x14ac:dyDescent="0.35">
      <c r="A2418" s="5">
        <v>2414</v>
      </c>
      <c r="B2418" s="5">
        <v>101</v>
      </c>
      <c r="C2418" s="5">
        <v>4</v>
      </c>
      <c r="D2418" s="25">
        <v>1.1415000000000001E-4</v>
      </c>
      <c r="E2418" s="25">
        <v>1.1652E-4</v>
      </c>
      <c r="F2418" s="25">
        <v>1.3205000000000001E-4</v>
      </c>
      <c r="G2418" s="25">
        <v>1.6757999999999999E-4</v>
      </c>
      <c r="H2418" s="25">
        <v>1.9183000000000001E-4</v>
      </c>
      <c r="I2418" s="9">
        <v>1.0085E-4</v>
      </c>
      <c r="J2418" s="9">
        <v>9.4289999999999993E-5</v>
      </c>
      <c r="K2418" s="9">
        <v>0</v>
      </c>
      <c r="L2418" s="9">
        <v>1.6333E-4</v>
      </c>
      <c r="M2418" s="9">
        <v>1.6992E-4</v>
      </c>
      <c r="N2418" s="9">
        <v>1.7019999999999999E-4</v>
      </c>
      <c r="O2418" s="9">
        <v>1.7700999999999999E-4</v>
      </c>
      <c r="P2418" s="9">
        <v>1.6838000000000001E-4</v>
      </c>
      <c r="Q2418" s="9">
        <v>1.6038000000000001E-4</v>
      </c>
      <c r="R2418" s="10">
        <v>2.1203523121694618E-4</v>
      </c>
      <c r="S2418" s="10">
        <v>1.9025032544452318E-4</v>
      </c>
      <c r="T2418" s="10">
        <v>6.3564370731267737E-5</v>
      </c>
      <c r="U2418" s="10">
        <v>1.2470999999999999E-4</v>
      </c>
      <c r="V2418" s="25"/>
      <c r="W2418" s="25"/>
      <c r="X2418" s="25"/>
      <c r="Y2418" s="25"/>
      <c r="Z2418" s="25"/>
      <c r="AA2418" s="25"/>
    </row>
    <row r="2419" spans="1:27" x14ac:dyDescent="0.35">
      <c r="A2419" s="5">
        <v>2415</v>
      </c>
      <c r="B2419" s="5">
        <v>101</v>
      </c>
      <c r="C2419" s="5">
        <v>4</v>
      </c>
      <c r="D2419" s="25">
        <v>1.1416E-4</v>
      </c>
      <c r="E2419" s="25">
        <v>1.0928E-4</v>
      </c>
      <c r="F2419" s="25">
        <v>1.4660000000000001E-4</v>
      </c>
      <c r="G2419" s="25">
        <v>1.6461000000000001E-4</v>
      </c>
      <c r="H2419" s="25">
        <v>1.9861999999999999E-4</v>
      </c>
      <c r="I2419" s="9">
        <v>9.9140000000000003E-5</v>
      </c>
      <c r="J2419" s="9">
        <v>9.1810000000000004E-5</v>
      </c>
      <c r="K2419" s="9">
        <v>0</v>
      </c>
      <c r="L2419" s="9">
        <v>1.7414000000000001E-4</v>
      </c>
      <c r="M2419" s="9">
        <v>1.6846E-4</v>
      </c>
      <c r="N2419" s="9">
        <v>1.6974000000000001E-4</v>
      </c>
      <c r="O2419" s="9">
        <v>1.8283000000000001E-4</v>
      </c>
      <c r="P2419" s="9">
        <v>1.6736999999999999E-4</v>
      </c>
      <c r="Q2419" s="9">
        <v>1.5266999999999999E-4</v>
      </c>
      <c r="R2419" s="10">
        <v>2.1239580113115646E-4</v>
      </c>
      <c r="S2419" s="10">
        <v>1.902893538019319E-4</v>
      </c>
      <c r="T2419" s="10">
        <v>5.7404769403064265E-5</v>
      </c>
      <c r="U2419" s="10">
        <v>1.2470999999999999E-4</v>
      </c>
      <c r="V2419" s="25"/>
      <c r="W2419" s="25"/>
      <c r="X2419" s="25"/>
      <c r="Y2419" s="25"/>
      <c r="Z2419" s="25"/>
      <c r="AA2419" s="25"/>
    </row>
    <row r="2420" spans="1:27" x14ac:dyDescent="0.35">
      <c r="A2420" s="5">
        <v>2416</v>
      </c>
      <c r="B2420" s="5">
        <v>101</v>
      </c>
      <c r="C2420" s="5">
        <v>4</v>
      </c>
      <c r="D2420" s="25">
        <v>1.1415000000000001E-4</v>
      </c>
      <c r="E2420" s="25">
        <v>1.0857999999999999E-4</v>
      </c>
      <c r="F2420" s="25">
        <v>1.3929E-4</v>
      </c>
      <c r="G2420" s="25">
        <v>1.6660000000000001E-4</v>
      </c>
      <c r="H2420" s="25">
        <v>1.9000000000000001E-4</v>
      </c>
      <c r="I2420" s="9">
        <v>9.7930000000000006E-5</v>
      </c>
      <c r="J2420" s="9">
        <v>8.8579999999999996E-5</v>
      </c>
      <c r="K2420" s="9">
        <v>0</v>
      </c>
      <c r="L2420" s="9">
        <v>1.8063000000000001E-4</v>
      </c>
      <c r="M2420" s="9">
        <v>1.6776000000000001E-4</v>
      </c>
      <c r="N2420" s="9">
        <v>1.6602000000000001E-4</v>
      </c>
      <c r="O2420" s="9">
        <v>1.9548999999999999E-4</v>
      </c>
      <c r="P2420" s="9">
        <v>1.5176E-4</v>
      </c>
      <c r="Q2420" s="9">
        <v>1.0925999999999999E-4</v>
      </c>
      <c r="R2420" s="10">
        <v>2.1244087266179902E-4</v>
      </c>
      <c r="S2420" s="10">
        <v>1.8578758097994615E-4</v>
      </c>
      <c r="T2420" s="10">
        <v>7.7045922398644192E-5</v>
      </c>
      <c r="U2420" s="10">
        <v>1.2470999999999999E-4</v>
      </c>
      <c r="V2420" s="25"/>
      <c r="W2420" s="25"/>
      <c r="X2420" s="25"/>
      <c r="Y2420" s="25"/>
      <c r="Z2420" s="25"/>
      <c r="AA2420" s="25"/>
    </row>
    <row r="2421" spans="1:27" x14ac:dyDescent="0.35">
      <c r="A2421" s="5">
        <v>2417</v>
      </c>
      <c r="B2421" s="5">
        <v>101</v>
      </c>
      <c r="C2421" s="5">
        <v>4</v>
      </c>
      <c r="D2421" s="25">
        <v>1.1416E-4</v>
      </c>
      <c r="E2421" s="25">
        <v>1.0679999999999999E-4</v>
      </c>
      <c r="F2421" s="25">
        <v>1.2962E-4</v>
      </c>
      <c r="G2421" s="25">
        <v>1.6718000000000001E-4</v>
      </c>
      <c r="H2421" s="25">
        <v>1.9654000000000001E-4</v>
      </c>
      <c r="I2421" s="9">
        <v>1.0082E-4</v>
      </c>
      <c r="J2421" s="9">
        <v>9.5130000000000006E-5</v>
      </c>
      <c r="K2421" s="9">
        <v>1.06E-5</v>
      </c>
      <c r="L2421" s="9">
        <v>1.92E-4</v>
      </c>
      <c r="M2421" s="9">
        <v>1.6191999999999999E-4</v>
      </c>
      <c r="N2421" s="9">
        <v>1.5228E-4</v>
      </c>
      <c r="O2421" s="9">
        <v>2.1460000000000001E-4</v>
      </c>
      <c r="P2421" s="9">
        <v>1.6059000000000001E-4</v>
      </c>
      <c r="Q2421" s="9">
        <v>1.0802E-4</v>
      </c>
      <c r="R2421" s="10">
        <v>2.1214490591242685E-4</v>
      </c>
      <c r="S2421" s="10">
        <v>1.7949532807427323E-4</v>
      </c>
      <c r="T2421" s="10">
        <v>2.4700340698069907E-4</v>
      </c>
      <c r="U2421" s="10">
        <v>1.2470999999999999E-4</v>
      </c>
      <c r="V2421" s="25"/>
      <c r="W2421" s="25"/>
      <c r="X2421" s="25"/>
      <c r="Y2421" s="25"/>
      <c r="Z2421" s="25"/>
      <c r="AA2421" s="25"/>
    </row>
    <row r="2422" spans="1:27" x14ac:dyDescent="0.35">
      <c r="A2422" s="5">
        <v>2418</v>
      </c>
      <c r="B2422" s="5">
        <v>101</v>
      </c>
      <c r="C2422" s="5">
        <v>4</v>
      </c>
      <c r="D2422" s="25">
        <v>1.1415000000000001E-4</v>
      </c>
      <c r="E2422" s="25">
        <v>1.0738000000000001E-4</v>
      </c>
      <c r="F2422" s="25">
        <v>1.3797000000000001E-4</v>
      </c>
      <c r="G2422" s="25">
        <v>1.6317999999999999E-4</v>
      </c>
      <c r="H2422" s="25">
        <v>1.9194000000000001E-4</v>
      </c>
      <c r="I2422" s="9">
        <v>1.0397E-4</v>
      </c>
      <c r="J2422" s="9">
        <v>9.8400000000000007E-5</v>
      </c>
      <c r="K2422" s="9">
        <v>4.4509999999999999E-5</v>
      </c>
      <c r="L2422" s="9">
        <v>2.0939999999999999E-4</v>
      </c>
      <c r="M2422" s="9">
        <v>1.5982999999999999E-4</v>
      </c>
      <c r="N2422" s="9">
        <v>1.3919E-4</v>
      </c>
      <c r="O2422" s="9">
        <v>2.0551E-4</v>
      </c>
      <c r="P2422" s="9">
        <v>1.6129999999999999E-4</v>
      </c>
      <c r="Q2422" s="9">
        <v>1.1834E-4</v>
      </c>
      <c r="R2422" s="10">
        <v>1.916995380893896E-4</v>
      </c>
      <c r="S2422" s="10">
        <v>1.7528506932087677E-4</v>
      </c>
      <c r="T2422" s="10">
        <v>8.2170439206130267E-5</v>
      </c>
      <c r="U2422" s="10">
        <v>1.2470999999999999E-4</v>
      </c>
      <c r="V2422" s="25"/>
      <c r="W2422" s="25"/>
      <c r="X2422" s="25"/>
      <c r="Y2422" s="25"/>
      <c r="Z2422" s="25"/>
      <c r="AA2422" s="25"/>
    </row>
    <row r="2423" spans="1:27" x14ac:dyDescent="0.35">
      <c r="A2423" s="5">
        <v>2419</v>
      </c>
      <c r="B2423" s="5">
        <v>101</v>
      </c>
      <c r="C2423" s="5">
        <v>4</v>
      </c>
      <c r="D2423" s="25">
        <v>1.1416E-4</v>
      </c>
      <c r="E2423" s="25">
        <v>1.1233E-4</v>
      </c>
      <c r="F2423" s="25">
        <v>1.4470999999999999E-4</v>
      </c>
      <c r="G2423" s="25">
        <v>1.1150999999999999E-4</v>
      </c>
      <c r="H2423" s="25">
        <v>1.2970000000000001E-4</v>
      </c>
      <c r="I2423" s="9">
        <v>1.053E-4</v>
      </c>
      <c r="J2423" s="9">
        <v>9.9469999999999995E-5</v>
      </c>
      <c r="K2423" s="9">
        <v>9.9610000000000003E-5</v>
      </c>
      <c r="L2423" s="9">
        <v>2.0592000000000001E-4</v>
      </c>
      <c r="M2423" s="9">
        <v>1.5998999999999999E-4</v>
      </c>
      <c r="N2423" s="9">
        <v>1.3025999999999999E-4</v>
      </c>
      <c r="O2423" s="9">
        <v>1.6406E-4</v>
      </c>
      <c r="P2423" s="9">
        <v>1.3526E-4</v>
      </c>
      <c r="Q2423" s="9">
        <v>1.0736E-4</v>
      </c>
      <c r="R2423" s="10">
        <v>1.5723269651090455E-4</v>
      </c>
      <c r="S2423" s="10">
        <v>1.735444193381087E-4</v>
      </c>
      <c r="T2423" s="10">
        <v>0</v>
      </c>
      <c r="U2423" s="10">
        <v>1.2470999999999999E-4</v>
      </c>
      <c r="V2423" s="25"/>
      <c r="W2423" s="25"/>
      <c r="X2423" s="25"/>
      <c r="Y2423" s="25"/>
      <c r="Z2423" s="25"/>
      <c r="AA2423" s="25"/>
    </row>
    <row r="2424" spans="1:27" x14ac:dyDescent="0.35">
      <c r="A2424" s="5">
        <v>2420</v>
      </c>
      <c r="B2424" s="5">
        <v>101</v>
      </c>
      <c r="C2424" s="5">
        <v>4</v>
      </c>
      <c r="D2424" s="25">
        <v>1.1415000000000001E-4</v>
      </c>
      <c r="E2424" s="25">
        <v>1.0857E-4</v>
      </c>
      <c r="F2424" s="25">
        <v>1.3490999999999999E-4</v>
      </c>
      <c r="G2424" s="25">
        <v>1.1256000000000001E-4</v>
      </c>
      <c r="H2424" s="25">
        <v>1.3703000000000001E-4</v>
      </c>
      <c r="I2424" s="9">
        <v>1.0836E-4</v>
      </c>
      <c r="J2424" s="9">
        <v>1.0231E-4</v>
      </c>
      <c r="K2424" s="9">
        <v>1.2292E-4</v>
      </c>
      <c r="L2424" s="9">
        <v>1.7343999999999999E-4</v>
      </c>
      <c r="M2424" s="9">
        <v>1.5128E-4</v>
      </c>
      <c r="N2424" s="9">
        <v>1.2121E-4</v>
      </c>
      <c r="O2424" s="9">
        <v>1.2689999999999999E-4</v>
      </c>
      <c r="P2424" s="9">
        <v>1.1352E-4</v>
      </c>
      <c r="Q2424" s="9">
        <v>1.0071E-4</v>
      </c>
      <c r="R2424" s="10">
        <v>1.3267207807781447E-4</v>
      </c>
      <c r="S2424" s="10">
        <v>1.7581986760843466E-4</v>
      </c>
      <c r="T2424" s="10">
        <v>0</v>
      </c>
      <c r="U2424" s="10">
        <v>1.2470999999999999E-4</v>
      </c>
      <c r="V2424" s="25"/>
      <c r="W2424" s="25"/>
      <c r="X2424" s="25"/>
      <c r="Y2424" s="25"/>
      <c r="Z2424" s="25"/>
      <c r="AA2424" s="25"/>
    </row>
    <row r="2425" spans="1:27" x14ac:dyDescent="0.35">
      <c r="A2425" s="5">
        <v>2421</v>
      </c>
      <c r="B2425" s="5">
        <v>101</v>
      </c>
      <c r="C2425" s="5">
        <v>4</v>
      </c>
      <c r="D2425" s="25">
        <v>1.1416E-4</v>
      </c>
      <c r="E2425" s="25">
        <v>1.1177E-4</v>
      </c>
      <c r="F2425" s="25">
        <v>1.2805E-4</v>
      </c>
      <c r="G2425" s="25">
        <v>5.7670000000000002E-5</v>
      </c>
      <c r="H2425" s="25">
        <v>7.4709999999999995E-5</v>
      </c>
      <c r="I2425" s="9">
        <v>1.1019E-4</v>
      </c>
      <c r="J2425" s="9">
        <v>1.0372E-4</v>
      </c>
      <c r="K2425" s="9">
        <v>1.5894999999999999E-4</v>
      </c>
      <c r="L2425" s="9">
        <v>1.3815999999999999E-4</v>
      </c>
      <c r="M2425" s="9">
        <v>1.3522E-4</v>
      </c>
      <c r="N2425" s="9">
        <v>1.1323999999999999E-4</v>
      </c>
      <c r="O2425" s="9">
        <v>8.4489999999999999E-5</v>
      </c>
      <c r="P2425" s="9">
        <v>8.6279999999999994E-5</v>
      </c>
      <c r="Q2425" s="9">
        <v>8.8280000000000002E-5</v>
      </c>
      <c r="R2425" s="10">
        <v>1.1501886136576275E-4</v>
      </c>
      <c r="S2425" s="10">
        <v>1.7468927749577409E-4</v>
      </c>
      <c r="T2425" s="10">
        <v>0</v>
      </c>
      <c r="U2425" s="10">
        <v>1.2470999999999999E-4</v>
      </c>
      <c r="V2425" s="25"/>
      <c r="W2425" s="25"/>
      <c r="X2425" s="25"/>
      <c r="Y2425" s="25"/>
      <c r="Z2425" s="25"/>
      <c r="AA2425" s="25"/>
    </row>
    <row r="2426" spans="1:27" x14ac:dyDescent="0.35">
      <c r="A2426" s="5">
        <v>2422</v>
      </c>
      <c r="B2426" s="5">
        <v>101</v>
      </c>
      <c r="C2426" s="5">
        <v>4</v>
      </c>
      <c r="D2426" s="25">
        <v>1.1415000000000001E-4</v>
      </c>
      <c r="E2426" s="25">
        <v>1.1048E-4</v>
      </c>
      <c r="F2426" s="25">
        <v>1.4391E-4</v>
      </c>
      <c r="G2426" s="25">
        <v>5.5290000000000001E-5</v>
      </c>
      <c r="H2426" s="25">
        <v>7.5080000000000006E-5</v>
      </c>
      <c r="I2426" s="9">
        <v>1.0783E-4</v>
      </c>
      <c r="J2426" s="9">
        <v>1.0312E-4</v>
      </c>
      <c r="K2426" s="9">
        <v>1.7802000000000001E-4</v>
      </c>
      <c r="L2426" s="9">
        <v>9.7250000000000006E-5</v>
      </c>
      <c r="M2426" s="9">
        <v>1.1346E-4</v>
      </c>
      <c r="N2426" s="9">
        <v>1.0560000000000001E-4</v>
      </c>
      <c r="O2426" s="9">
        <v>8.7000000000000001E-5</v>
      </c>
      <c r="P2426" s="9">
        <v>8.7410000000000005E-5</v>
      </c>
      <c r="Q2426" s="9">
        <v>8.8059999999999994E-5</v>
      </c>
      <c r="R2426" s="10">
        <v>1.0852633105575124E-4</v>
      </c>
      <c r="S2426" s="10">
        <v>1.7108823044254036E-4</v>
      </c>
      <c r="T2426" s="10">
        <v>0</v>
      </c>
      <c r="U2426" s="10">
        <v>1.2470999999999999E-4</v>
      </c>
      <c r="V2426" s="25"/>
      <c r="W2426" s="25"/>
      <c r="X2426" s="25"/>
      <c r="Y2426" s="25"/>
      <c r="Z2426" s="25"/>
      <c r="AA2426" s="25"/>
    </row>
    <row r="2427" spans="1:27" x14ac:dyDescent="0.35">
      <c r="A2427" s="5">
        <v>2423</v>
      </c>
      <c r="B2427" s="5">
        <v>101</v>
      </c>
      <c r="C2427" s="5">
        <v>4</v>
      </c>
      <c r="D2427" s="25">
        <v>1.1416E-4</v>
      </c>
      <c r="E2427" s="25">
        <v>1.1089E-4</v>
      </c>
      <c r="F2427" s="25">
        <v>1.4098999999999999E-4</v>
      </c>
      <c r="G2427" s="25">
        <v>5.4849999999999998E-5</v>
      </c>
      <c r="H2427" s="25">
        <v>7.0010000000000002E-5</v>
      </c>
      <c r="I2427" s="9">
        <v>1.0571E-4</v>
      </c>
      <c r="J2427" s="9">
        <v>9.6970000000000002E-5</v>
      </c>
      <c r="K2427" s="9">
        <v>2.1617000000000001E-4</v>
      </c>
      <c r="L2427" s="9">
        <v>9.0160000000000004E-5</v>
      </c>
      <c r="M2427" s="9">
        <v>9.878E-5</v>
      </c>
      <c r="N2427" s="9">
        <v>9.9710000000000006E-5</v>
      </c>
      <c r="O2427" s="9">
        <v>7.7700000000000005E-5</v>
      </c>
      <c r="P2427" s="9">
        <v>7.2150000000000005E-5</v>
      </c>
      <c r="Q2427" s="9">
        <v>6.69E-5</v>
      </c>
      <c r="R2427" s="10">
        <v>1.0799127698590202E-4</v>
      </c>
      <c r="S2427" s="10">
        <v>1.7001740016490139E-4</v>
      </c>
      <c r="T2427" s="10">
        <v>0</v>
      </c>
      <c r="U2427" s="10">
        <v>1.2470999999999999E-4</v>
      </c>
      <c r="V2427" s="25"/>
      <c r="W2427" s="25"/>
      <c r="X2427" s="25"/>
      <c r="Y2427" s="25"/>
      <c r="Z2427" s="25"/>
      <c r="AA2427" s="25"/>
    </row>
    <row r="2428" spans="1:27" x14ac:dyDescent="0.35">
      <c r="A2428" s="5">
        <v>2424</v>
      </c>
      <c r="B2428" s="5">
        <v>101</v>
      </c>
      <c r="C2428" s="5">
        <v>4</v>
      </c>
      <c r="D2428" s="25">
        <v>1.1415000000000001E-4</v>
      </c>
      <c r="E2428" s="25">
        <v>1.0644E-4</v>
      </c>
      <c r="F2428" s="25">
        <v>1.4571000000000001E-4</v>
      </c>
      <c r="G2428" s="25">
        <v>5.927E-5</v>
      </c>
      <c r="H2428" s="25">
        <v>7.1799999999999997E-5</v>
      </c>
      <c r="I2428" s="9">
        <v>9.8060000000000006E-5</v>
      </c>
      <c r="J2428" s="9">
        <v>9.2369999999999998E-5</v>
      </c>
      <c r="K2428" s="9">
        <v>2.2889000000000001E-4</v>
      </c>
      <c r="L2428" s="9">
        <v>8.0420000000000006E-5</v>
      </c>
      <c r="M2428" s="9">
        <v>8.5959999999999997E-5</v>
      </c>
      <c r="N2428" s="9">
        <v>9.0409999999999997E-5</v>
      </c>
      <c r="O2428" s="9">
        <v>6.2680000000000003E-5</v>
      </c>
      <c r="P2428" s="9">
        <v>6.0659999999999999E-5</v>
      </c>
      <c r="Q2428" s="9">
        <v>5.8850000000000001E-5</v>
      </c>
      <c r="R2428" s="10">
        <v>1.1736285771095622E-4</v>
      </c>
      <c r="S2428" s="10">
        <v>1.6358153545565984E-4</v>
      </c>
      <c r="T2428" s="10">
        <v>0</v>
      </c>
      <c r="U2428" s="10">
        <v>1.2470999999999999E-4</v>
      </c>
      <c r="V2428" s="25"/>
      <c r="W2428" s="25"/>
      <c r="X2428" s="25"/>
      <c r="Y2428" s="25"/>
      <c r="Z2428" s="25"/>
      <c r="AA2428" s="25"/>
    </row>
    <row r="2429" spans="1:27" x14ac:dyDescent="0.35">
      <c r="A2429" s="5">
        <v>2425</v>
      </c>
      <c r="B2429" s="5">
        <v>102</v>
      </c>
      <c r="C2429" s="5">
        <v>4</v>
      </c>
      <c r="D2429" s="25">
        <v>1.1416E-4</v>
      </c>
      <c r="E2429" s="25">
        <v>1.1075E-4</v>
      </c>
      <c r="F2429" s="25">
        <v>1.1466E-4</v>
      </c>
      <c r="G2429" s="25">
        <v>5.9910000000000001E-5</v>
      </c>
      <c r="H2429" s="25">
        <v>7.3830000000000003E-5</v>
      </c>
      <c r="I2429" s="9">
        <v>9.3150000000000001E-5</v>
      </c>
      <c r="J2429" s="9">
        <v>9.2399999999999996E-5</v>
      </c>
      <c r="K2429" s="9">
        <v>2.3311999999999999E-4</v>
      </c>
      <c r="L2429" s="9">
        <v>6.6580000000000003E-5</v>
      </c>
      <c r="M2429" s="9">
        <v>7.3919999999999997E-5</v>
      </c>
      <c r="N2429" s="9">
        <v>8.1009999999999999E-5</v>
      </c>
      <c r="O2429" s="9">
        <v>5.465E-5</v>
      </c>
      <c r="P2429" s="9">
        <v>5.4060000000000001E-5</v>
      </c>
      <c r="Q2429" s="9">
        <v>5.3640000000000001E-5</v>
      </c>
      <c r="R2429" s="10">
        <v>1.45807164808777E-4</v>
      </c>
      <c r="S2429" s="10">
        <v>1.596627149383679E-4</v>
      </c>
      <c r="T2429" s="10">
        <v>0</v>
      </c>
      <c r="U2429" s="10">
        <v>1.2254E-4</v>
      </c>
      <c r="V2429" s="25"/>
      <c r="W2429" s="25"/>
      <c r="X2429" s="25"/>
      <c r="Y2429" s="25"/>
      <c r="Z2429" s="25"/>
      <c r="AA2429" s="25"/>
    </row>
    <row r="2430" spans="1:27" x14ac:dyDescent="0.35">
      <c r="A2430" s="5">
        <v>2426</v>
      </c>
      <c r="B2430" s="5">
        <v>102</v>
      </c>
      <c r="C2430" s="5">
        <v>4</v>
      </c>
      <c r="D2430" s="25">
        <v>1.1415000000000001E-4</v>
      </c>
      <c r="E2430" s="25">
        <v>1.1281E-4</v>
      </c>
      <c r="F2430" s="25">
        <v>1.1752999999999999E-4</v>
      </c>
      <c r="G2430" s="25">
        <v>5.3130000000000001E-5</v>
      </c>
      <c r="H2430" s="25">
        <v>6.7589999999999995E-5</v>
      </c>
      <c r="I2430" s="9">
        <v>8.8809999999999998E-5</v>
      </c>
      <c r="J2430" s="9">
        <v>9.1169999999999996E-5</v>
      </c>
      <c r="K2430" s="9">
        <v>2.5643999999999998E-4</v>
      </c>
      <c r="L2430" s="9">
        <v>5.7649999999999999E-5</v>
      </c>
      <c r="M2430" s="9">
        <v>6.3910000000000003E-5</v>
      </c>
      <c r="N2430" s="9">
        <v>7.2000000000000002E-5</v>
      </c>
      <c r="O2430" s="9">
        <v>1.9000000000000001E-5</v>
      </c>
      <c r="P2430" s="9">
        <v>3.7599999999999999E-5</v>
      </c>
      <c r="Q2430" s="9">
        <v>5.5949999999999998E-5</v>
      </c>
      <c r="R2430" s="10">
        <v>1.7927402729787516E-4</v>
      </c>
      <c r="S2430" s="10">
        <v>1.6914641487152126E-4</v>
      </c>
      <c r="T2430" s="10">
        <v>0</v>
      </c>
      <c r="U2430" s="10">
        <v>1.2254E-4</v>
      </c>
      <c r="V2430" s="25"/>
      <c r="W2430" s="25"/>
      <c r="X2430" s="25"/>
      <c r="Y2430" s="25"/>
      <c r="Z2430" s="25"/>
      <c r="AA2430" s="25"/>
    </row>
    <row r="2431" spans="1:27" x14ac:dyDescent="0.35">
      <c r="A2431" s="5">
        <v>2427</v>
      </c>
      <c r="B2431" s="5">
        <v>102</v>
      </c>
      <c r="C2431" s="5">
        <v>4</v>
      </c>
      <c r="D2431" s="25">
        <v>1.1416E-4</v>
      </c>
      <c r="E2431" s="25">
        <v>1.2103E-4</v>
      </c>
      <c r="F2431" s="25">
        <v>1.069E-4</v>
      </c>
      <c r="G2431" s="25">
        <v>5.9740000000000001E-5</v>
      </c>
      <c r="H2431" s="25">
        <v>7.2399999999999998E-5</v>
      </c>
      <c r="I2431" s="9">
        <v>8.8949999999999994E-5</v>
      </c>
      <c r="J2431" s="9">
        <v>9.0810000000000006E-5</v>
      </c>
      <c r="K2431" s="9">
        <v>2.6067000000000001E-4</v>
      </c>
      <c r="L2431" s="9">
        <v>2.7710000000000001E-5</v>
      </c>
      <c r="M2431" s="9">
        <v>5.2160000000000002E-5</v>
      </c>
      <c r="N2431" s="9">
        <v>6.5419999999999994E-5</v>
      </c>
      <c r="O2431" s="9">
        <v>1.3699999999999999E-5</v>
      </c>
      <c r="P2431" s="9">
        <v>3.7960000000000002E-5</v>
      </c>
      <c r="Q2431" s="9">
        <v>6.1870000000000002E-5</v>
      </c>
      <c r="R2431" s="10">
        <v>1.907836388632289E-4</v>
      </c>
      <c r="S2431" s="10">
        <v>1.671734761787361E-4</v>
      </c>
      <c r="T2431" s="10">
        <v>0</v>
      </c>
      <c r="U2431" s="10">
        <v>1.2254E-4</v>
      </c>
      <c r="V2431" s="25"/>
      <c r="W2431" s="25"/>
      <c r="X2431" s="25"/>
      <c r="Y2431" s="25"/>
      <c r="Z2431" s="25"/>
      <c r="AA2431" s="25"/>
    </row>
    <row r="2432" spans="1:27" x14ac:dyDescent="0.35">
      <c r="A2432" s="5">
        <v>2428</v>
      </c>
      <c r="B2432" s="5">
        <v>102</v>
      </c>
      <c r="C2432" s="5">
        <v>4</v>
      </c>
      <c r="D2432" s="25">
        <v>1.1415000000000001E-4</v>
      </c>
      <c r="E2432" s="25">
        <v>1.1019E-4</v>
      </c>
      <c r="F2432" s="25">
        <v>1.1644E-4</v>
      </c>
      <c r="G2432" s="25">
        <v>5.9799999999999997E-5</v>
      </c>
      <c r="H2432" s="25">
        <v>6.3750000000000005E-5</v>
      </c>
      <c r="I2432" s="9">
        <v>9.0779999999999995E-5</v>
      </c>
      <c r="J2432" s="9">
        <v>9.1639999999999997E-5</v>
      </c>
      <c r="K2432" s="9">
        <v>2.6067000000000001E-4</v>
      </c>
      <c r="L2432" s="9">
        <v>1.7520000000000002E-5</v>
      </c>
      <c r="M2432" s="9">
        <v>4.4230000000000002E-5</v>
      </c>
      <c r="N2432" s="9">
        <v>6.1929999999999998E-5</v>
      </c>
      <c r="O2432" s="9">
        <v>1.366E-5</v>
      </c>
      <c r="P2432" s="9">
        <v>4.7290000000000003E-5</v>
      </c>
      <c r="Q2432" s="9">
        <v>8.0420000000000006E-5</v>
      </c>
      <c r="R2432" s="10">
        <v>1.8310389187369038E-4</v>
      </c>
      <c r="S2432" s="10">
        <v>1.6305823634973248E-4</v>
      </c>
      <c r="T2432" s="10">
        <v>0</v>
      </c>
      <c r="U2432" s="10">
        <v>1.2254E-4</v>
      </c>
      <c r="V2432" s="25"/>
      <c r="W2432" s="25"/>
      <c r="X2432" s="25"/>
      <c r="Y2432" s="25"/>
      <c r="Z2432" s="25"/>
      <c r="AA2432" s="25"/>
    </row>
    <row r="2433" spans="1:27" x14ac:dyDescent="0.35">
      <c r="A2433" s="5">
        <v>2429</v>
      </c>
      <c r="B2433" s="5">
        <v>102</v>
      </c>
      <c r="C2433" s="5">
        <v>4</v>
      </c>
      <c r="D2433" s="25">
        <v>1.1416E-4</v>
      </c>
      <c r="E2433" s="25">
        <v>1.181E-4</v>
      </c>
      <c r="F2433" s="25">
        <v>1.2558E-4</v>
      </c>
      <c r="G2433" s="25">
        <v>5.5510000000000002E-5</v>
      </c>
      <c r="H2433" s="25">
        <v>6.7409999999999993E-5</v>
      </c>
      <c r="I2433" s="9">
        <v>9.8129999999999997E-5</v>
      </c>
      <c r="J2433" s="9">
        <v>9.1379999999999996E-5</v>
      </c>
      <c r="K2433" s="9">
        <v>2.5856000000000002E-4</v>
      </c>
      <c r="L2433" s="9">
        <v>1.4749999999999999E-5</v>
      </c>
      <c r="M2433" s="9">
        <v>4.3560000000000003E-5</v>
      </c>
      <c r="N2433" s="9">
        <v>6.4499999999999996E-5</v>
      </c>
      <c r="O2433" s="9">
        <v>1.891E-5</v>
      </c>
      <c r="P2433" s="9">
        <v>5.6110000000000003E-5</v>
      </c>
      <c r="Q2433" s="9">
        <v>9.2780000000000003E-5</v>
      </c>
      <c r="R2433" s="10">
        <v>1.8358744685782887E-4</v>
      </c>
      <c r="S2433" s="10">
        <v>1.6921723432384127E-4</v>
      </c>
      <c r="T2433" s="10">
        <v>0</v>
      </c>
      <c r="U2433" s="10">
        <v>1.2254E-4</v>
      </c>
      <c r="V2433" s="25"/>
      <c r="W2433" s="25"/>
      <c r="X2433" s="25"/>
      <c r="Y2433" s="25"/>
      <c r="Z2433" s="25"/>
      <c r="AA2433" s="25"/>
    </row>
    <row r="2434" spans="1:27" x14ac:dyDescent="0.35">
      <c r="A2434" s="5">
        <v>2430</v>
      </c>
      <c r="B2434" s="5">
        <v>102</v>
      </c>
      <c r="C2434" s="5">
        <v>4</v>
      </c>
      <c r="D2434" s="25">
        <v>1.1415000000000001E-4</v>
      </c>
      <c r="E2434" s="25">
        <v>1.1853000000000001E-4</v>
      </c>
      <c r="F2434" s="25">
        <v>1.0733E-4</v>
      </c>
      <c r="G2434" s="25">
        <v>1.1561999999999999E-4</v>
      </c>
      <c r="H2434" s="25">
        <v>1.3596999999999999E-4</v>
      </c>
      <c r="I2434" s="9">
        <v>1.1163E-4</v>
      </c>
      <c r="J2434" s="9">
        <v>9.7590000000000006E-5</v>
      </c>
      <c r="K2434" s="9">
        <v>2.1617000000000001E-4</v>
      </c>
      <c r="L2434" s="9">
        <v>1.7859999999999998E-5</v>
      </c>
      <c r="M2434" s="9">
        <v>4.8250000000000001E-5</v>
      </c>
      <c r="N2434" s="9">
        <v>7.0859999999999996E-5</v>
      </c>
      <c r="O2434" s="9">
        <v>4.6699999999999997E-5</v>
      </c>
      <c r="P2434" s="9">
        <v>7.7459999999999994E-5</v>
      </c>
      <c r="Q2434" s="9">
        <v>1.0786E-4</v>
      </c>
      <c r="R2434" s="10">
        <v>1.8262704140075244E-4</v>
      </c>
      <c r="S2434" s="10">
        <v>1.7007498858477498E-4</v>
      </c>
      <c r="T2434" s="10">
        <v>0</v>
      </c>
      <c r="U2434" s="10">
        <v>1.2254E-4</v>
      </c>
      <c r="V2434" s="25"/>
      <c r="W2434" s="25"/>
      <c r="X2434" s="25"/>
      <c r="Y2434" s="25"/>
      <c r="Z2434" s="25"/>
      <c r="AA2434" s="25"/>
    </row>
    <row r="2435" spans="1:27" x14ac:dyDescent="0.35">
      <c r="A2435" s="5">
        <v>2431</v>
      </c>
      <c r="B2435" s="5">
        <v>102</v>
      </c>
      <c r="C2435" s="5">
        <v>4</v>
      </c>
      <c r="D2435" s="25">
        <v>1.1416E-4</v>
      </c>
      <c r="E2435" s="25">
        <v>1.1705E-4</v>
      </c>
      <c r="F2435" s="25">
        <v>1.1238E-4</v>
      </c>
      <c r="G2435" s="25">
        <v>1.0789999999999999E-4</v>
      </c>
      <c r="H2435" s="25">
        <v>1.2858999999999999E-4</v>
      </c>
      <c r="I2435" s="9">
        <v>1.1937E-4</v>
      </c>
      <c r="J2435" s="9">
        <v>1.0951999999999999E-4</v>
      </c>
      <c r="K2435" s="9">
        <v>1.2292E-4</v>
      </c>
      <c r="L2435" s="9">
        <v>4.0219999999999998E-5</v>
      </c>
      <c r="M2435" s="9">
        <v>6.0090000000000002E-5</v>
      </c>
      <c r="N2435" s="9">
        <v>8.0760000000000006E-5</v>
      </c>
      <c r="O2435" s="9">
        <v>1.2213999999999999E-4</v>
      </c>
      <c r="P2435" s="9">
        <v>1.1681E-4</v>
      </c>
      <c r="Q2435" s="9">
        <v>1.1189E-4</v>
      </c>
      <c r="R2435" s="10">
        <v>1.736920855505961E-4</v>
      </c>
      <c r="S2435" s="10">
        <v>1.6477933683179042E-4</v>
      </c>
      <c r="T2435" s="10">
        <v>8.2857667453491819E-5</v>
      </c>
      <c r="U2435" s="10">
        <v>1.2254E-4</v>
      </c>
      <c r="V2435" s="25"/>
      <c r="W2435" s="25"/>
      <c r="X2435" s="25"/>
      <c r="Y2435" s="25"/>
      <c r="Z2435" s="25"/>
      <c r="AA2435" s="25"/>
    </row>
    <row r="2436" spans="1:27" x14ac:dyDescent="0.35">
      <c r="A2436" s="5">
        <v>2432</v>
      </c>
      <c r="B2436" s="5">
        <v>102</v>
      </c>
      <c r="C2436" s="5">
        <v>4</v>
      </c>
      <c r="D2436" s="25">
        <v>1.1415000000000001E-4</v>
      </c>
      <c r="E2436" s="25">
        <v>1.1951E-4</v>
      </c>
      <c r="F2436" s="25">
        <v>1.0438999999999999E-4</v>
      </c>
      <c r="G2436" s="25">
        <v>1.5651E-4</v>
      </c>
      <c r="H2436" s="25">
        <v>1.9121000000000001E-4</v>
      </c>
      <c r="I2436" s="9">
        <v>1.2368000000000001E-4</v>
      </c>
      <c r="J2436" s="9">
        <v>1.1875E-4</v>
      </c>
      <c r="K2436" s="9">
        <v>5.5109999999999999E-5</v>
      </c>
      <c r="L2436" s="9">
        <v>1.0349E-4</v>
      </c>
      <c r="M2436" s="9">
        <v>8.3570000000000001E-5</v>
      </c>
      <c r="N2436" s="9">
        <v>9.0740000000000002E-5</v>
      </c>
      <c r="O2436" s="9">
        <v>2.1736999999999999E-4</v>
      </c>
      <c r="P2436" s="9">
        <v>1.7607000000000001E-4</v>
      </c>
      <c r="Q2436" s="9">
        <v>1.3601999999999999E-4</v>
      </c>
      <c r="R2436" s="10">
        <v>1.7031006518547343E-4</v>
      </c>
      <c r="S2436" s="10">
        <v>1.6594947760895749E-4</v>
      </c>
      <c r="T2436" s="10">
        <v>2.7892982543528536E-4</v>
      </c>
      <c r="U2436" s="10">
        <v>1.2254E-4</v>
      </c>
      <c r="V2436" s="25"/>
      <c r="W2436" s="25"/>
      <c r="X2436" s="25"/>
      <c r="Y2436" s="25"/>
      <c r="Z2436" s="25"/>
      <c r="AA2436" s="25"/>
    </row>
    <row r="2437" spans="1:27" x14ac:dyDescent="0.35">
      <c r="A2437" s="5">
        <v>2433</v>
      </c>
      <c r="B2437" s="5">
        <v>102</v>
      </c>
      <c r="C2437" s="5">
        <v>4</v>
      </c>
      <c r="D2437" s="25">
        <v>1.1416E-4</v>
      </c>
      <c r="E2437" s="25">
        <v>1.1565000000000001E-4</v>
      </c>
      <c r="F2437" s="25">
        <v>1.2240999999999999E-4</v>
      </c>
      <c r="G2437" s="25">
        <v>1.5820999999999999E-4</v>
      </c>
      <c r="H2437" s="25">
        <v>1.9353999999999999E-4</v>
      </c>
      <c r="I2437" s="9">
        <v>1.2666000000000001E-4</v>
      </c>
      <c r="J2437" s="9">
        <v>1.2002000000000001E-4</v>
      </c>
      <c r="K2437" s="9">
        <v>2.5429999999999999E-5</v>
      </c>
      <c r="L2437" s="9">
        <v>1.9059E-4</v>
      </c>
      <c r="M2437" s="9">
        <v>1.2294000000000001E-4</v>
      </c>
      <c r="N2437" s="9">
        <v>1.0433999999999999E-4</v>
      </c>
      <c r="O2437" s="9">
        <v>2.0968000000000001E-4</v>
      </c>
      <c r="P2437" s="9">
        <v>1.9262000000000001E-4</v>
      </c>
      <c r="Q2437" s="9">
        <v>1.7641E-4</v>
      </c>
      <c r="R2437" s="10">
        <v>1.6010748364278027E-4</v>
      </c>
      <c r="S2437" s="10">
        <v>1.6973610136360309E-4</v>
      </c>
      <c r="T2437" s="10">
        <v>4.7293181437564413E-4</v>
      </c>
      <c r="U2437" s="10">
        <v>1.2254E-4</v>
      </c>
      <c r="V2437" s="25"/>
      <c r="W2437" s="25"/>
      <c r="X2437" s="25"/>
      <c r="Y2437" s="25"/>
      <c r="Z2437" s="25"/>
      <c r="AA2437" s="25"/>
    </row>
    <row r="2438" spans="1:27" x14ac:dyDescent="0.35">
      <c r="A2438" s="5">
        <v>2434</v>
      </c>
      <c r="B2438" s="5">
        <v>102</v>
      </c>
      <c r="C2438" s="5">
        <v>4</v>
      </c>
      <c r="D2438" s="25">
        <v>1.1415000000000001E-4</v>
      </c>
      <c r="E2438" s="25">
        <v>1.145E-4</v>
      </c>
      <c r="F2438" s="25">
        <v>1.0408000000000001E-4</v>
      </c>
      <c r="G2438" s="25">
        <v>1.6453999999999999E-4</v>
      </c>
      <c r="H2438" s="25">
        <v>1.9597000000000001E-4</v>
      </c>
      <c r="I2438" s="9">
        <v>1.2690999999999999E-4</v>
      </c>
      <c r="J2438" s="9">
        <v>1.1865E-4</v>
      </c>
      <c r="K2438" s="9">
        <v>1.696E-5</v>
      </c>
      <c r="L2438" s="9">
        <v>2.0320000000000001E-4</v>
      </c>
      <c r="M2438" s="9">
        <v>1.5799E-4</v>
      </c>
      <c r="N2438" s="9">
        <v>1.2426000000000001E-4</v>
      </c>
      <c r="O2438" s="9">
        <v>1.6720999999999999E-4</v>
      </c>
      <c r="P2438" s="9">
        <v>1.7490999999999999E-4</v>
      </c>
      <c r="Q2438" s="9">
        <v>1.8295E-4</v>
      </c>
      <c r="R2438" s="10">
        <v>8.6187317499567388E-5</v>
      </c>
      <c r="S2438" s="10">
        <v>1.72705595105631E-4</v>
      </c>
      <c r="T2438" s="10">
        <v>5.4095892656508694E-4</v>
      </c>
      <c r="U2438" s="10">
        <v>1.2254E-4</v>
      </c>
      <c r="V2438" s="25"/>
      <c r="W2438" s="25"/>
      <c r="X2438" s="25"/>
      <c r="Y2438" s="25"/>
      <c r="Z2438" s="25"/>
      <c r="AA2438" s="25"/>
    </row>
    <row r="2439" spans="1:27" x14ac:dyDescent="0.35">
      <c r="A2439" s="5">
        <v>2435</v>
      </c>
      <c r="B2439" s="5">
        <v>102</v>
      </c>
      <c r="C2439" s="5">
        <v>4</v>
      </c>
      <c r="D2439" s="25">
        <v>1.1416E-4</v>
      </c>
      <c r="E2439" s="25">
        <v>1.1279E-4</v>
      </c>
      <c r="F2439" s="25">
        <v>1.1078000000000001E-4</v>
      </c>
      <c r="G2439" s="25">
        <v>1.562E-4</v>
      </c>
      <c r="H2439" s="25">
        <v>1.9874000000000001E-4</v>
      </c>
      <c r="I2439" s="9">
        <v>1.2819E-4</v>
      </c>
      <c r="J2439" s="9">
        <v>1.1773E-4</v>
      </c>
      <c r="K2439" s="9">
        <v>0</v>
      </c>
      <c r="L2439" s="9">
        <v>1.7519000000000001E-4</v>
      </c>
      <c r="M2439" s="9">
        <v>1.7222E-4</v>
      </c>
      <c r="N2439" s="9">
        <v>1.4258000000000001E-4</v>
      </c>
      <c r="O2439" s="9">
        <v>1.6592000000000001E-4</v>
      </c>
      <c r="P2439" s="9">
        <v>1.7221000000000001E-4</v>
      </c>
      <c r="Q2439" s="9">
        <v>1.7887E-4</v>
      </c>
      <c r="R2439" s="10">
        <v>6.5369826732201731E-5</v>
      </c>
      <c r="S2439" s="10">
        <v>1.8057204779291667E-4</v>
      </c>
      <c r="T2439" s="10">
        <v>5.795285514108348E-4</v>
      </c>
      <c r="U2439" s="10">
        <v>1.2254E-4</v>
      </c>
      <c r="V2439" s="25"/>
      <c r="W2439" s="25"/>
      <c r="X2439" s="25"/>
      <c r="Y2439" s="25"/>
      <c r="Z2439" s="25"/>
      <c r="AA2439" s="25"/>
    </row>
    <row r="2440" spans="1:27" x14ac:dyDescent="0.35">
      <c r="A2440" s="5">
        <v>2436</v>
      </c>
      <c r="B2440" s="5">
        <v>102</v>
      </c>
      <c r="C2440" s="5">
        <v>4</v>
      </c>
      <c r="D2440" s="25">
        <v>1.1415000000000001E-4</v>
      </c>
      <c r="E2440" s="25">
        <v>1.1875999999999999E-4</v>
      </c>
      <c r="F2440" s="25">
        <v>1.2213E-4</v>
      </c>
      <c r="G2440" s="25">
        <v>1.6642999999999999E-4</v>
      </c>
      <c r="H2440" s="25">
        <v>1.9065E-4</v>
      </c>
      <c r="I2440" s="9">
        <v>1.2469E-4</v>
      </c>
      <c r="J2440" s="9">
        <v>1.1529E-4</v>
      </c>
      <c r="K2440" s="9">
        <v>0</v>
      </c>
      <c r="L2440" s="9">
        <v>1.6933000000000001E-4</v>
      </c>
      <c r="M2440" s="9">
        <v>1.7468E-4</v>
      </c>
      <c r="N2440" s="9">
        <v>1.5653999999999999E-4</v>
      </c>
      <c r="O2440" s="9">
        <v>1.685E-4</v>
      </c>
      <c r="P2440" s="9">
        <v>1.7072999999999999E-4</v>
      </c>
      <c r="Q2440" s="9">
        <v>1.7338999999999999E-4</v>
      </c>
      <c r="R2440" s="10">
        <v>8.7674779510015267E-5</v>
      </c>
      <c r="S2440" s="10">
        <v>1.8779928465283846E-4</v>
      </c>
      <c r="T2440" s="10">
        <v>7.1152728070035195E-4</v>
      </c>
      <c r="U2440" s="10">
        <v>1.2254E-4</v>
      </c>
      <c r="V2440" s="25"/>
      <c r="W2440" s="25"/>
      <c r="X2440" s="25"/>
      <c r="Y2440" s="25"/>
      <c r="Z2440" s="25"/>
      <c r="AA2440" s="25"/>
    </row>
    <row r="2441" spans="1:27" x14ac:dyDescent="0.35">
      <c r="A2441" s="5">
        <v>2437</v>
      </c>
      <c r="B2441" s="5">
        <v>102</v>
      </c>
      <c r="C2441" s="5">
        <v>4</v>
      </c>
      <c r="D2441" s="25">
        <v>1.1416E-4</v>
      </c>
      <c r="E2441" s="25">
        <v>1.1213E-4</v>
      </c>
      <c r="F2441" s="25">
        <v>1.0491E-4</v>
      </c>
      <c r="G2441" s="25">
        <v>1.5977E-4</v>
      </c>
      <c r="H2441" s="25">
        <v>1.9511999999999999E-4</v>
      </c>
      <c r="I2441" s="9">
        <v>1.2561000000000001E-4</v>
      </c>
      <c r="J2441" s="9">
        <v>1.1542E-4</v>
      </c>
      <c r="K2441" s="9">
        <v>0</v>
      </c>
      <c r="L2441" s="9">
        <v>1.6887E-4</v>
      </c>
      <c r="M2441" s="9">
        <v>1.7338999999999999E-4</v>
      </c>
      <c r="N2441" s="9">
        <v>1.6589E-4</v>
      </c>
      <c r="O2441" s="9">
        <v>1.6103999999999999E-4</v>
      </c>
      <c r="P2441" s="9">
        <v>1.6404000000000001E-4</v>
      </c>
      <c r="Q2441" s="9">
        <v>1.6744000000000001E-4</v>
      </c>
      <c r="R2441" s="10">
        <v>1.2830862539014838E-4</v>
      </c>
      <c r="S2441" s="10">
        <v>1.899353319057674E-4</v>
      </c>
      <c r="T2441" s="10">
        <v>7.2934430933565132E-4</v>
      </c>
      <c r="U2441" s="10">
        <v>1.2254E-4</v>
      </c>
      <c r="V2441" s="25"/>
      <c r="W2441" s="25"/>
      <c r="X2441" s="25"/>
      <c r="Y2441" s="25"/>
      <c r="Z2441" s="25"/>
      <c r="AA2441" s="25"/>
    </row>
    <row r="2442" spans="1:27" x14ac:dyDescent="0.35">
      <c r="A2442" s="5">
        <v>2438</v>
      </c>
      <c r="B2442" s="5">
        <v>102</v>
      </c>
      <c r="C2442" s="5">
        <v>4</v>
      </c>
      <c r="D2442" s="25">
        <v>1.1415000000000001E-4</v>
      </c>
      <c r="E2442" s="25">
        <v>1.1251000000000001E-4</v>
      </c>
      <c r="F2442" s="25">
        <v>1.0449E-4</v>
      </c>
      <c r="G2442" s="25">
        <v>1.6373000000000001E-4</v>
      </c>
      <c r="H2442" s="25">
        <v>1.8882E-4</v>
      </c>
      <c r="I2442" s="9">
        <v>1.2417E-4</v>
      </c>
      <c r="J2442" s="9">
        <v>1.1475E-4</v>
      </c>
      <c r="K2442" s="9">
        <v>0</v>
      </c>
      <c r="L2442" s="9">
        <v>1.6252000000000001E-4</v>
      </c>
      <c r="M2442" s="9">
        <v>1.6965E-4</v>
      </c>
      <c r="N2442" s="9">
        <v>1.7027000000000001E-4</v>
      </c>
      <c r="O2442" s="9">
        <v>1.7802000000000001E-4</v>
      </c>
      <c r="P2442" s="9">
        <v>1.6934E-4</v>
      </c>
      <c r="Q2442" s="9">
        <v>1.6129E-4</v>
      </c>
      <c r="R2442" s="10">
        <v>1.4682814029294883E-4</v>
      </c>
      <c r="S2442" s="10">
        <v>1.9028762856297866E-4</v>
      </c>
      <c r="T2442" s="10">
        <v>7.0850687013170131E-4</v>
      </c>
      <c r="U2442" s="10">
        <v>1.2254E-4</v>
      </c>
      <c r="V2442" s="25"/>
      <c r="W2442" s="25"/>
      <c r="X2442" s="25"/>
      <c r="Y2442" s="25"/>
      <c r="Z2442" s="25"/>
      <c r="AA2442" s="25"/>
    </row>
    <row r="2443" spans="1:27" x14ac:dyDescent="0.35">
      <c r="A2443" s="5">
        <v>2439</v>
      </c>
      <c r="B2443" s="5">
        <v>102</v>
      </c>
      <c r="C2443" s="5">
        <v>4</v>
      </c>
      <c r="D2443" s="25">
        <v>1.1416E-4</v>
      </c>
      <c r="E2443" s="25">
        <v>1.139E-4</v>
      </c>
      <c r="F2443" s="25">
        <v>1.1195E-4</v>
      </c>
      <c r="G2443" s="25">
        <v>1.5872999999999999E-4</v>
      </c>
      <c r="H2443" s="25">
        <v>1.9921000000000001E-4</v>
      </c>
      <c r="I2443" s="9">
        <v>1.2328999999999999E-4</v>
      </c>
      <c r="J2443" s="9">
        <v>1.1466E-4</v>
      </c>
      <c r="K2443" s="9">
        <v>1.06E-5</v>
      </c>
      <c r="L2443" s="9">
        <v>1.7474999999999999E-4</v>
      </c>
      <c r="M2443" s="9">
        <v>1.6849000000000001E-4</v>
      </c>
      <c r="N2443" s="9">
        <v>1.6995000000000001E-4</v>
      </c>
      <c r="O2443" s="9">
        <v>1.8128E-4</v>
      </c>
      <c r="P2443" s="9">
        <v>1.6595999999999999E-4</v>
      </c>
      <c r="Q2443" s="9">
        <v>1.5137000000000001E-4</v>
      </c>
      <c r="R2443" s="10">
        <v>1.6107356735332377E-4</v>
      </c>
      <c r="S2443" s="10">
        <v>1.9029016316599541E-4</v>
      </c>
      <c r="T2443" s="10">
        <v>6.0585533229432702E-4</v>
      </c>
      <c r="U2443" s="10">
        <v>1.2254E-4</v>
      </c>
      <c r="V2443" s="25"/>
      <c r="W2443" s="25"/>
      <c r="X2443" s="25"/>
      <c r="Y2443" s="25"/>
      <c r="Z2443" s="25"/>
      <c r="AA2443" s="25"/>
    </row>
    <row r="2444" spans="1:27" x14ac:dyDescent="0.35">
      <c r="A2444" s="5">
        <v>2440</v>
      </c>
      <c r="B2444" s="5">
        <v>102</v>
      </c>
      <c r="C2444" s="5">
        <v>4</v>
      </c>
      <c r="D2444" s="25">
        <v>1.1415000000000001E-4</v>
      </c>
      <c r="E2444" s="25">
        <v>1.2036000000000001E-4</v>
      </c>
      <c r="F2444" s="25">
        <v>1.181E-4</v>
      </c>
      <c r="G2444" s="25">
        <v>1.5747999999999999E-4</v>
      </c>
      <c r="H2444" s="25">
        <v>1.92E-4</v>
      </c>
      <c r="I2444" s="9">
        <v>1.2248000000000001E-4</v>
      </c>
      <c r="J2444" s="9">
        <v>1.1566E-4</v>
      </c>
      <c r="K2444" s="9">
        <v>4.2400000000000001E-6</v>
      </c>
      <c r="L2444" s="9">
        <v>1.7951999999999999E-4</v>
      </c>
      <c r="M2444" s="9">
        <v>1.6736999999999999E-4</v>
      </c>
      <c r="N2444" s="9">
        <v>1.6582000000000001E-4</v>
      </c>
      <c r="O2444" s="9">
        <v>1.9694999999999999E-4</v>
      </c>
      <c r="P2444" s="9">
        <v>1.529E-4</v>
      </c>
      <c r="Q2444" s="9">
        <v>1.1008E-4</v>
      </c>
      <c r="R2444" s="10">
        <v>1.7607808901464153E-4</v>
      </c>
      <c r="S2444" s="10">
        <v>1.9022188084279553E-4</v>
      </c>
      <c r="T2444" s="10">
        <v>4.6594075171112675E-4</v>
      </c>
      <c r="U2444" s="10">
        <v>1.2254E-4</v>
      </c>
      <c r="V2444" s="25"/>
      <c r="W2444" s="25"/>
      <c r="X2444" s="25"/>
      <c r="Y2444" s="25"/>
      <c r="Z2444" s="25"/>
      <c r="AA2444" s="25"/>
    </row>
    <row r="2445" spans="1:27" x14ac:dyDescent="0.35">
      <c r="A2445" s="5">
        <v>2441</v>
      </c>
      <c r="B2445" s="5">
        <v>102</v>
      </c>
      <c r="C2445" s="5">
        <v>4</v>
      </c>
      <c r="D2445" s="25">
        <v>1.1416E-4</v>
      </c>
      <c r="E2445" s="25">
        <v>1.138E-4</v>
      </c>
      <c r="F2445" s="25">
        <v>1.1988E-4</v>
      </c>
      <c r="G2445" s="25">
        <v>1.6318999999999999E-4</v>
      </c>
      <c r="H2445" s="25">
        <v>1.8739000000000001E-4</v>
      </c>
      <c r="I2445" s="9">
        <v>1.2470999999999999E-4</v>
      </c>
      <c r="J2445" s="9">
        <v>1.1841E-4</v>
      </c>
      <c r="K2445" s="9">
        <v>2.12E-5</v>
      </c>
      <c r="L2445" s="9">
        <v>1.9294000000000001E-4</v>
      </c>
      <c r="M2445" s="9">
        <v>1.6195000000000001E-4</v>
      </c>
      <c r="N2445" s="9">
        <v>1.5223E-4</v>
      </c>
      <c r="O2445" s="9">
        <v>2.14E-4</v>
      </c>
      <c r="P2445" s="9">
        <v>1.6013999999999999E-4</v>
      </c>
      <c r="Q2445" s="9">
        <v>1.0772000000000001E-4</v>
      </c>
      <c r="R2445" s="10">
        <v>1.9263036143492285E-4</v>
      </c>
      <c r="S2445" s="10">
        <v>1.8955032932310405E-4</v>
      </c>
      <c r="T2445" s="10">
        <v>2.7655422161724548E-4</v>
      </c>
      <c r="U2445" s="10">
        <v>1.2254E-4</v>
      </c>
      <c r="V2445" s="25"/>
      <c r="W2445" s="25"/>
      <c r="X2445" s="25"/>
      <c r="Y2445" s="25"/>
      <c r="Z2445" s="25"/>
      <c r="AA2445" s="25"/>
    </row>
    <row r="2446" spans="1:27" x14ac:dyDescent="0.35">
      <c r="A2446" s="5">
        <v>2442</v>
      </c>
      <c r="B2446" s="5">
        <v>102</v>
      </c>
      <c r="C2446" s="5">
        <v>4</v>
      </c>
      <c r="D2446" s="25">
        <v>1.1415000000000001E-4</v>
      </c>
      <c r="E2446" s="25">
        <v>1.1191E-4</v>
      </c>
      <c r="F2446" s="25">
        <v>1.2273000000000001E-4</v>
      </c>
      <c r="G2446" s="25">
        <v>1.6449999999999999E-4</v>
      </c>
      <c r="H2446" s="25">
        <v>1.9631E-4</v>
      </c>
      <c r="I2446" s="9">
        <v>1.2455999999999999E-4</v>
      </c>
      <c r="J2446" s="9">
        <v>1.1574E-4</v>
      </c>
      <c r="K2446" s="9">
        <v>6.1459999999999998E-5</v>
      </c>
      <c r="L2446" s="9">
        <v>2.0908999999999999E-4</v>
      </c>
      <c r="M2446" s="9">
        <v>1.5982E-4</v>
      </c>
      <c r="N2446" s="9">
        <v>1.3907000000000001E-4</v>
      </c>
      <c r="O2446" s="9">
        <v>2.0384E-4</v>
      </c>
      <c r="P2446" s="9">
        <v>1.5998E-4</v>
      </c>
      <c r="Q2446" s="9">
        <v>1.1738E-4</v>
      </c>
      <c r="R2446" s="10">
        <v>2.034362004693281E-4</v>
      </c>
      <c r="S2446" s="10">
        <v>1.901223122255349E-4</v>
      </c>
      <c r="T2446" s="10">
        <v>7.0750572280838453E-5</v>
      </c>
      <c r="U2446" s="10">
        <v>1.2254E-4</v>
      </c>
      <c r="V2446" s="25"/>
      <c r="W2446" s="25"/>
      <c r="X2446" s="25"/>
      <c r="Y2446" s="25"/>
      <c r="Z2446" s="25"/>
      <c r="AA2446" s="25"/>
    </row>
    <row r="2447" spans="1:27" x14ac:dyDescent="0.35">
      <c r="A2447" s="5">
        <v>2443</v>
      </c>
      <c r="B2447" s="5">
        <v>102</v>
      </c>
      <c r="C2447" s="5">
        <v>4</v>
      </c>
      <c r="D2447" s="25">
        <v>1.1416E-4</v>
      </c>
      <c r="E2447" s="25">
        <v>1.1806E-4</v>
      </c>
      <c r="F2447" s="25">
        <v>1.2053999999999999E-4</v>
      </c>
      <c r="G2447" s="25">
        <v>1.1006999999999999E-4</v>
      </c>
      <c r="H2447" s="25">
        <v>1.3373000000000001E-4</v>
      </c>
      <c r="I2447" s="9">
        <v>1.2085E-4</v>
      </c>
      <c r="J2447" s="9">
        <v>1.1451999999999999E-4</v>
      </c>
      <c r="K2447" s="9">
        <v>9.3250000000000003E-5</v>
      </c>
      <c r="L2447" s="9">
        <v>2.0457E-4</v>
      </c>
      <c r="M2447" s="9">
        <v>1.5949000000000001E-4</v>
      </c>
      <c r="N2447" s="9">
        <v>1.2997E-4</v>
      </c>
      <c r="O2447" s="9">
        <v>1.6427E-4</v>
      </c>
      <c r="P2447" s="9">
        <v>1.3543E-4</v>
      </c>
      <c r="Q2447" s="9">
        <v>1.0749E-4</v>
      </c>
      <c r="R2447" s="10">
        <v>2.0834885873540469E-4</v>
      </c>
      <c r="S2447" s="10">
        <v>1.8988663428345383E-4</v>
      </c>
      <c r="T2447" s="10">
        <v>0</v>
      </c>
      <c r="U2447" s="10">
        <v>1.2254E-4</v>
      </c>
      <c r="V2447" s="25"/>
      <c r="W2447" s="25"/>
      <c r="X2447" s="25"/>
      <c r="Y2447" s="25"/>
      <c r="Z2447" s="25"/>
      <c r="AA2447" s="25"/>
    </row>
    <row r="2448" spans="1:27" x14ac:dyDescent="0.35">
      <c r="A2448" s="5">
        <v>2444</v>
      </c>
      <c r="B2448" s="5">
        <v>102</v>
      </c>
      <c r="C2448" s="5">
        <v>4</v>
      </c>
      <c r="D2448" s="25">
        <v>1.1415000000000001E-4</v>
      </c>
      <c r="E2448" s="25">
        <v>1.175E-4</v>
      </c>
      <c r="F2448" s="25">
        <v>1.0826E-4</v>
      </c>
      <c r="G2448" s="25">
        <v>1.0933E-4</v>
      </c>
      <c r="H2448" s="25">
        <v>1.3296E-4</v>
      </c>
      <c r="I2448" s="9">
        <v>1.1934000000000001E-4</v>
      </c>
      <c r="J2448" s="9">
        <v>1.1561E-4</v>
      </c>
      <c r="K2448" s="9">
        <v>9.3250000000000003E-5</v>
      </c>
      <c r="L2448" s="9">
        <v>1.7335000000000001E-4</v>
      </c>
      <c r="M2448" s="9">
        <v>1.5087999999999999E-4</v>
      </c>
      <c r="N2448" s="9">
        <v>1.2098E-4</v>
      </c>
      <c r="O2448" s="9">
        <v>1.2784999999999999E-4</v>
      </c>
      <c r="P2448" s="9">
        <v>1.1437E-4</v>
      </c>
      <c r="Q2448" s="9">
        <v>1.0145999999999999E-4</v>
      </c>
      <c r="R2448" s="10">
        <v>2.1179747319332662E-4</v>
      </c>
      <c r="S2448" s="10">
        <v>1.9004398970729405E-4</v>
      </c>
      <c r="T2448" s="10">
        <v>0</v>
      </c>
      <c r="U2448" s="10">
        <v>1.2254E-4</v>
      </c>
      <c r="V2448" s="25"/>
      <c r="W2448" s="25"/>
      <c r="X2448" s="25"/>
      <c r="Y2448" s="25"/>
      <c r="Z2448" s="25"/>
      <c r="AA2448" s="25"/>
    </row>
    <row r="2449" spans="1:27" x14ac:dyDescent="0.35">
      <c r="A2449" s="5">
        <v>2445</v>
      </c>
      <c r="B2449" s="5">
        <v>102</v>
      </c>
      <c r="C2449" s="5">
        <v>4</v>
      </c>
      <c r="D2449" s="25">
        <v>1.1416E-4</v>
      </c>
      <c r="E2449" s="25">
        <v>1.0998E-4</v>
      </c>
      <c r="F2449" s="25">
        <v>1.1153E-4</v>
      </c>
      <c r="G2449" s="25">
        <v>5.325E-5</v>
      </c>
      <c r="H2449" s="25">
        <v>6.9750000000000001E-5</v>
      </c>
      <c r="I2449" s="9">
        <v>1.1776E-4</v>
      </c>
      <c r="J2449" s="9">
        <v>1.1479E-4</v>
      </c>
      <c r="K2449" s="9">
        <v>1.1869E-4</v>
      </c>
      <c r="L2449" s="9">
        <v>1.3883E-4</v>
      </c>
      <c r="M2449" s="9">
        <v>1.3532E-4</v>
      </c>
      <c r="N2449" s="9">
        <v>1.1323999999999999E-4</v>
      </c>
      <c r="O2449" s="9">
        <v>8.4829999999999999E-5</v>
      </c>
      <c r="P2449" s="9">
        <v>8.6630000000000002E-5</v>
      </c>
      <c r="Q2449" s="9">
        <v>8.8640000000000005E-5</v>
      </c>
      <c r="R2449" s="10">
        <v>2.1238830045618937E-4</v>
      </c>
      <c r="S2449" s="10">
        <v>1.9025012423645778E-4</v>
      </c>
      <c r="T2449" s="10">
        <v>0</v>
      </c>
      <c r="U2449" s="10">
        <v>1.2254E-4</v>
      </c>
      <c r="V2449" s="25"/>
      <c r="W2449" s="25"/>
      <c r="X2449" s="25"/>
      <c r="Y2449" s="25"/>
      <c r="Z2449" s="25"/>
      <c r="AA2449" s="25"/>
    </row>
    <row r="2450" spans="1:27" x14ac:dyDescent="0.35">
      <c r="A2450" s="5">
        <v>2446</v>
      </c>
      <c r="B2450" s="5">
        <v>102</v>
      </c>
      <c r="C2450" s="5">
        <v>4</v>
      </c>
      <c r="D2450" s="25">
        <v>1.1415000000000001E-4</v>
      </c>
      <c r="E2450" s="25">
        <v>1.1765999999999999E-4</v>
      </c>
      <c r="F2450" s="25">
        <v>1.0801E-4</v>
      </c>
      <c r="G2450" s="25">
        <v>5.5940000000000003E-5</v>
      </c>
      <c r="H2450" s="25">
        <v>6.4189999999999994E-5</v>
      </c>
      <c r="I2450" s="9">
        <v>1.1665E-4</v>
      </c>
      <c r="J2450" s="9">
        <v>1.0601E-4</v>
      </c>
      <c r="K2450" s="9">
        <v>1.6318999999999999E-4</v>
      </c>
      <c r="L2450" s="9">
        <v>9.7639999999999994E-5</v>
      </c>
      <c r="M2450" s="9">
        <v>1.1379000000000001E-4</v>
      </c>
      <c r="N2450" s="9">
        <v>1.0569999999999999E-4</v>
      </c>
      <c r="O2450" s="9">
        <v>8.7059999999999997E-5</v>
      </c>
      <c r="P2450" s="9">
        <v>8.7470000000000001E-5</v>
      </c>
      <c r="Q2450" s="9">
        <v>8.8120000000000003E-5</v>
      </c>
      <c r="R2450" s="10">
        <v>2.1244245851233378E-4</v>
      </c>
      <c r="S2450" s="10">
        <v>1.902901830625927E-4</v>
      </c>
      <c r="T2450" s="10">
        <v>0</v>
      </c>
      <c r="U2450" s="10">
        <v>1.2254E-4</v>
      </c>
      <c r="V2450" s="25"/>
      <c r="W2450" s="25"/>
      <c r="X2450" s="25"/>
      <c r="Y2450" s="25"/>
      <c r="Z2450" s="25"/>
      <c r="AA2450" s="25"/>
    </row>
    <row r="2451" spans="1:27" x14ac:dyDescent="0.35">
      <c r="A2451" s="5">
        <v>2447</v>
      </c>
      <c r="B2451" s="5">
        <v>102</v>
      </c>
      <c r="C2451" s="5">
        <v>4</v>
      </c>
      <c r="D2451" s="25">
        <v>1.1416E-4</v>
      </c>
      <c r="E2451" s="25">
        <v>1.1612000000000001E-4</v>
      </c>
      <c r="F2451" s="25">
        <v>1.1385E-4</v>
      </c>
      <c r="G2451" s="25">
        <v>5.7139999999999998E-5</v>
      </c>
      <c r="H2451" s="25">
        <v>7.4549999999999996E-5</v>
      </c>
      <c r="I2451" s="9">
        <v>1.1272E-4</v>
      </c>
      <c r="J2451" s="9">
        <v>9.7349999999999995E-5</v>
      </c>
      <c r="K2451" s="9">
        <v>1.5683E-4</v>
      </c>
      <c r="L2451" s="9">
        <v>9.0309999999999994E-5</v>
      </c>
      <c r="M2451" s="9">
        <v>9.904E-5</v>
      </c>
      <c r="N2451" s="9">
        <v>9.9840000000000006E-5</v>
      </c>
      <c r="O2451" s="9">
        <v>7.8170000000000005E-5</v>
      </c>
      <c r="P2451" s="9">
        <v>7.2589999999999994E-5</v>
      </c>
      <c r="Q2451" s="9">
        <v>6.7299999999999996E-5</v>
      </c>
      <c r="R2451" s="10">
        <v>2.1244835426470469E-4</v>
      </c>
      <c r="S2451" s="10">
        <v>1.9007903844273338E-4</v>
      </c>
      <c r="T2451" s="10">
        <v>0</v>
      </c>
      <c r="U2451" s="10">
        <v>1.2254E-4</v>
      </c>
      <c r="V2451" s="25"/>
      <c r="W2451" s="25"/>
      <c r="X2451" s="25"/>
      <c r="Y2451" s="25"/>
      <c r="Z2451" s="25"/>
      <c r="AA2451" s="25"/>
    </row>
    <row r="2452" spans="1:27" x14ac:dyDescent="0.35">
      <c r="A2452" s="5">
        <v>2448</v>
      </c>
      <c r="B2452" s="5">
        <v>102</v>
      </c>
      <c r="C2452" s="5">
        <v>4</v>
      </c>
      <c r="D2452" s="25">
        <v>1.1415000000000001E-4</v>
      </c>
      <c r="E2452" s="25">
        <v>1.1294E-4</v>
      </c>
      <c r="F2452" s="25">
        <v>1.1082999999999999E-4</v>
      </c>
      <c r="G2452" s="25">
        <v>6.2479999999999998E-5</v>
      </c>
      <c r="H2452" s="25">
        <v>6.8479999999999995E-5</v>
      </c>
      <c r="I2452" s="9">
        <v>1.0572E-4</v>
      </c>
      <c r="J2452" s="9">
        <v>8.9010000000000003E-5</v>
      </c>
      <c r="K2452" s="9">
        <v>1.6107E-4</v>
      </c>
      <c r="L2452" s="9">
        <v>8.0829999999999997E-5</v>
      </c>
      <c r="M2452" s="9">
        <v>8.6269999999999999E-5</v>
      </c>
      <c r="N2452" s="9">
        <v>9.0660000000000003E-5</v>
      </c>
      <c r="O2452" s="9">
        <v>6.2329999999999994E-5</v>
      </c>
      <c r="P2452" s="9">
        <v>6.0319999999999998E-5</v>
      </c>
      <c r="Q2452" s="9">
        <v>5.8520000000000002E-5</v>
      </c>
      <c r="R2452" s="10">
        <v>2.1239755587847486E-4</v>
      </c>
      <c r="S2452" s="10">
        <v>1.8463216641191764E-4</v>
      </c>
      <c r="T2452" s="10">
        <v>0</v>
      </c>
      <c r="U2452" s="10">
        <v>1.2254E-4</v>
      </c>
      <c r="V2452" s="25"/>
      <c r="W2452" s="25"/>
      <c r="X2452" s="25"/>
      <c r="Y2452" s="25"/>
      <c r="Z2452" s="25"/>
      <c r="AA2452" s="25"/>
    </row>
    <row r="2453" spans="1:27" x14ac:dyDescent="0.35">
      <c r="A2453" s="5">
        <v>2449</v>
      </c>
      <c r="B2453" s="5">
        <v>103</v>
      </c>
      <c r="C2453" s="5">
        <v>4</v>
      </c>
      <c r="D2453" s="25">
        <v>1.1416E-4</v>
      </c>
      <c r="E2453" s="25">
        <v>1.1006E-4</v>
      </c>
      <c r="F2453" s="25">
        <v>1.0627E-4</v>
      </c>
      <c r="G2453" s="25">
        <v>5.4049999999999999E-5</v>
      </c>
      <c r="H2453" s="25">
        <v>7.1429999999999999E-5</v>
      </c>
      <c r="I2453" s="9">
        <v>9.8880000000000002E-5</v>
      </c>
      <c r="J2453" s="9">
        <v>8.3750000000000003E-5</v>
      </c>
      <c r="K2453" s="9">
        <v>1.4836E-4</v>
      </c>
      <c r="L2453" s="9">
        <v>6.6390000000000006E-5</v>
      </c>
      <c r="M2453" s="9">
        <v>7.3999999999999996E-5</v>
      </c>
      <c r="N2453" s="9">
        <v>8.1149999999999994E-5</v>
      </c>
      <c r="O2453" s="9">
        <v>5.4400000000000001E-5</v>
      </c>
      <c r="P2453" s="9">
        <v>5.3820000000000003E-5</v>
      </c>
      <c r="Q2453" s="9">
        <v>5.3390000000000002E-5</v>
      </c>
      <c r="R2453" s="10">
        <v>2.1165566878459939E-4</v>
      </c>
      <c r="S2453" s="10">
        <v>1.6366307027919941E-4</v>
      </c>
      <c r="T2453" s="10">
        <v>0</v>
      </c>
      <c r="U2453" s="10">
        <v>1.2210000000000001E-4</v>
      </c>
      <c r="V2453" s="25"/>
      <c r="W2453" s="25"/>
      <c r="X2453" s="25"/>
      <c r="Y2453" s="25"/>
      <c r="Z2453" s="25"/>
      <c r="AA2453" s="25"/>
    </row>
    <row r="2454" spans="1:27" x14ac:dyDescent="0.35">
      <c r="A2454" s="5">
        <v>2450</v>
      </c>
      <c r="B2454" s="5">
        <v>103</v>
      </c>
      <c r="C2454" s="5">
        <v>4</v>
      </c>
      <c r="D2454" s="25">
        <v>1.1415000000000001E-4</v>
      </c>
      <c r="E2454" s="25">
        <v>1.1014E-4</v>
      </c>
      <c r="F2454" s="25">
        <v>1.1832000000000001E-4</v>
      </c>
      <c r="G2454" s="25">
        <v>5.4960000000000002E-5</v>
      </c>
      <c r="H2454" s="25">
        <v>6.5160000000000006E-5</v>
      </c>
      <c r="I2454" s="9">
        <v>9.4480000000000003E-5</v>
      </c>
      <c r="J2454" s="9">
        <v>8.195E-5</v>
      </c>
      <c r="K2454" s="9">
        <v>1.3564E-4</v>
      </c>
      <c r="L2454" s="9">
        <v>5.7429999999999997E-5</v>
      </c>
      <c r="M2454" s="9">
        <v>6.3810000000000001E-5</v>
      </c>
      <c r="N2454" s="9">
        <v>7.2039999999999995E-5</v>
      </c>
      <c r="O2454" s="9">
        <v>1.91E-5</v>
      </c>
      <c r="P2454" s="9">
        <v>3.7790000000000002E-5</v>
      </c>
      <c r="Q2454" s="9">
        <v>5.6249999999999998E-5</v>
      </c>
      <c r="R2454" s="10">
        <v>1.9638815998091987E-4</v>
      </c>
      <c r="S2454" s="10">
        <v>1.3536844704896997E-4</v>
      </c>
      <c r="T2454" s="10">
        <v>0</v>
      </c>
      <c r="U2454" s="10">
        <v>1.2210000000000001E-4</v>
      </c>
      <c r="V2454" s="25"/>
      <c r="W2454" s="25"/>
      <c r="X2454" s="25"/>
      <c r="Y2454" s="25"/>
      <c r="Z2454" s="25"/>
      <c r="AA2454" s="25"/>
    </row>
    <row r="2455" spans="1:27" x14ac:dyDescent="0.35">
      <c r="A2455" s="5">
        <v>2451</v>
      </c>
      <c r="B2455" s="5">
        <v>103</v>
      </c>
      <c r="C2455" s="5">
        <v>4</v>
      </c>
      <c r="D2455" s="25">
        <v>1.1416E-4</v>
      </c>
      <c r="E2455" s="25">
        <v>1.0953E-4</v>
      </c>
      <c r="F2455" s="25">
        <v>1.1485E-4</v>
      </c>
      <c r="G2455" s="25">
        <v>6.3419999999999999E-5</v>
      </c>
      <c r="H2455" s="25">
        <v>6.3990000000000002E-5</v>
      </c>
      <c r="I2455" s="9">
        <v>9.4350000000000003E-5</v>
      </c>
      <c r="J2455" s="9">
        <v>8.1009999999999999E-5</v>
      </c>
      <c r="K2455" s="9">
        <v>1.3776000000000001E-4</v>
      </c>
      <c r="L2455" s="9">
        <v>2.7739999999999999E-5</v>
      </c>
      <c r="M2455" s="9">
        <v>5.2120000000000002E-5</v>
      </c>
      <c r="N2455" s="9">
        <v>6.5480000000000003E-5</v>
      </c>
      <c r="O2455" s="9">
        <v>1.3709999999999999E-5</v>
      </c>
      <c r="P2455" s="9">
        <v>3.7969999999999997E-5</v>
      </c>
      <c r="Q2455" s="9">
        <v>6.1879999999999997E-5</v>
      </c>
      <c r="R2455" s="10">
        <v>1.4941781135956474E-4</v>
      </c>
      <c r="S2455" s="10">
        <v>1.1942755760483586E-4</v>
      </c>
      <c r="T2455" s="10">
        <v>0</v>
      </c>
      <c r="U2455" s="10">
        <v>1.2210000000000001E-4</v>
      </c>
      <c r="V2455" s="25"/>
      <c r="W2455" s="25"/>
      <c r="X2455" s="25"/>
      <c r="Y2455" s="25"/>
      <c r="Z2455" s="25"/>
      <c r="AA2455" s="25"/>
    </row>
    <row r="2456" spans="1:27" x14ac:dyDescent="0.35">
      <c r="A2456" s="5">
        <v>2452</v>
      </c>
      <c r="B2456" s="5">
        <v>103</v>
      </c>
      <c r="C2456" s="5">
        <v>4</v>
      </c>
      <c r="D2456" s="25">
        <v>1.1415000000000001E-4</v>
      </c>
      <c r="E2456" s="25">
        <v>1.1278E-4</v>
      </c>
      <c r="F2456" s="25">
        <v>1.0135E-4</v>
      </c>
      <c r="G2456" s="25">
        <v>6.0930000000000001E-5</v>
      </c>
      <c r="H2456" s="25">
        <v>7.2249999999999994E-5</v>
      </c>
      <c r="I2456" s="9">
        <v>9.4599999999999996E-5</v>
      </c>
      <c r="J2456" s="9">
        <v>8.2910000000000004E-5</v>
      </c>
      <c r="K2456" s="9">
        <v>1.3563E-4</v>
      </c>
      <c r="L2456" s="9">
        <v>1.7520000000000002E-5</v>
      </c>
      <c r="M2456" s="9">
        <v>4.4240000000000003E-5</v>
      </c>
      <c r="N2456" s="9">
        <v>6.1970000000000005E-5</v>
      </c>
      <c r="O2456" s="9">
        <v>1.36E-5</v>
      </c>
      <c r="P2456" s="9">
        <v>4.7110000000000001E-5</v>
      </c>
      <c r="Q2456" s="9">
        <v>8.0119999999999999E-5</v>
      </c>
      <c r="R2456" s="10">
        <v>1.1400214789215489E-4</v>
      </c>
      <c r="S2456" s="10">
        <v>1.2219311747723038E-4</v>
      </c>
      <c r="T2456" s="10">
        <v>0</v>
      </c>
      <c r="U2456" s="10">
        <v>1.2210000000000001E-4</v>
      </c>
      <c r="V2456" s="25"/>
      <c r="W2456" s="25"/>
      <c r="X2456" s="25"/>
      <c r="Y2456" s="25"/>
      <c r="Z2456" s="25"/>
      <c r="AA2456" s="25"/>
    </row>
    <row r="2457" spans="1:27" x14ac:dyDescent="0.35">
      <c r="A2457" s="5">
        <v>2453</v>
      </c>
      <c r="B2457" s="5">
        <v>103</v>
      </c>
      <c r="C2457" s="5">
        <v>4</v>
      </c>
      <c r="D2457" s="25">
        <v>1.1416E-4</v>
      </c>
      <c r="E2457" s="25">
        <v>1.1817E-4</v>
      </c>
      <c r="F2457" s="25">
        <v>1.1105E-4</v>
      </c>
      <c r="G2457" s="25">
        <v>6.2650000000000005E-5</v>
      </c>
      <c r="H2457" s="25">
        <v>7.0779999999999997E-5</v>
      </c>
      <c r="I2457" s="9">
        <v>1.0105E-4</v>
      </c>
      <c r="J2457" s="9">
        <v>8.6539999999999995E-5</v>
      </c>
      <c r="K2457" s="9">
        <v>1.3564E-4</v>
      </c>
      <c r="L2457" s="9">
        <v>1.471E-5</v>
      </c>
      <c r="M2457" s="9">
        <v>4.3510000000000002E-5</v>
      </c>
      <c r="N2457" s="9">
        <v>6.444E-5</v>
      </c>
      <c r="O2457" s="9">
        <v>1.9230000000000001E-5</v>
      </c>
      <c r="P2457" s="9">
        <v>5.7080000000000002E-5</v>
      </c>
      <c r="Q2457" s="9">
        <v>9.4380000000000001E-5</v>
      </c>
      <c r="R2457" s="10">
        <v>1.0083731592207707E-4</v>
      </c>
      <c r="S2457" s="10">
        <v>1.3929632652939032E-4</v>
      </c>
      <c r="T2457" s="10">
        <v>0</v>
      </c>
      <c r="U2457" s="10">
        <v>1.2210000000000001E-4</v>
      </c>
      <c r="V2457" s="25"/>
      <c r="W2457" s="25"/>
      <c r="X2457" s="25"/>
      <c r="Y2457" s="25"/>
      <c r="Z2457" s="25"/>
      <c r="AA2457" s="25"/>
    </row>
    <row r="2458" spans="1:27" x14ac:dyDescent="0.35">
      <c r="A2458" s="5">
        <v>2454</v>
      </c>
      <c r="B2458" s="5">
        <v>103</v>
      </c>
      <c r="C2458" s="5">
        <v>4</v>
      </c>
      <c r="D2458" s="25">
        <v>1.1415000000000001E-4</v>
      </c>
      <c r="E2458" s="25">
        <v>1.1555E-4</v>
      </c>
      <c r="F2458" s="25">
        <v>1.0309E-4</v>
      </c>
      <c r="G2458" s="25">
        <v>1.1417E-4</v>
      </c>
      <c r="H2458" s="25">
        <v>1.3574E-4</v>
      </c>
      <c r="I2458" s="9">
        <v>1.1366000000000001E-4</v>
      </c>
      <c r="J2458" s="9">
        <v>9.5989999999999994E-5</v>
      </c>
      <c r="K2458" s="9">
        <v>1.2292E-4</v>
      </c>
      <c r="L2458" s="9">
        <v>1.8110000000000001E-5</v>
      </c>
      <c r="M2458" s="9">
        <v>4.8550000000000001E-5</v>
      </c>
      <c r="N2458" s="9">
        <v>7.1160000000000003E-5</v>
      </c>
      <c r="O2458" s="9">
        <v>4.6499999999999999E-5</v>
      </c>
      <c r="P2458" s="9">
        <v>7.7119999999999993E-5</v>
      </c>
      <c r="Q2458" s="9">
        <v>1.0738000000000001E-4</v>
      </c>
      <c r="R2458" s="10">
        <v>9.4090525164866742E-5</v>
      </c>
      <c r="S2458" s="10">
        <v>1.4780234393951792E-4</v>
      </c>
      <c r="T2458" s="10">
        <v>1.0520531194176721E-6</v>
      </c>
      <c r="U2458" s="10">
        <v>1.2210000000000001E-4</v>
      </c>
      <c r="V2458" s="25"/>
      <c r="W2458" s="25"/>
      <c r="X2458" s="25"/>
      <c r="Y2458" s="25"/>
      <c r="Z2458" s="25"/>
      <c r="AA2458" s="25"/>
    </row>
    <row r="2459" spans="1:27" x14ac:dyDescent="0.35">
      <c r="A2459" s="5">
        <v>2455</v>
      </c>
      <c r="B2459" s="5">
        <v>103</v>
      </c>
      <c r="C2459" s="5">
        <v>4</v>
      </c>
      <c r="D2459" s="25">
        <v>1.1416E-4</v>
      </c>
      <c r="E2459" s="25">
        <v>1.1326E-4</v>
      </c>
      <c r="F2459" s="25">
        <v>1.0082E-4</v>
      </c>
      <c r="G2459" s="25">
        <v>1.1305E-4</v>
      </c>
      <c r="H2459" s="25">
        <v>1.3119E-4</v>
      </c>
      <c r="I2459" s="9">
        <v>1.2150999999999999E-4</v>
      </c>
      <c r="J2459" s="9">
        <v>1.097E-4</v>
      </c>
      <c r="K2459" s="9">
        <v>1.1233E-4</v>
      </c>
      <c r="L2459" s="9">
        <v>4.0110000000000001E-5</v>
      </c>
      <c r="M2459" s="9">
        <v>6.0260000000000002E-5</v>
      </c>
      <c r="N2459" s="9">
        <v>8.0950000000000003E-5</v>
      </c>
      <c r="O2459" s="9">
        <v>1.2359E-4</v>
      </c>
      <c r="P2459" s="9">
        <v>1.1819000000000001E-4</v>
      </c>
      <c r="Q2459" s="9">
        <v>1.1322E-4</v>
      </c>
      <c r="R2459" s="10">
        <v>7.9037034777751909E-5</v>
      </c>
      <c r="S2459" s="10">
        <v>1.4423498645360939E-4</v>
      </c>
      <c r="T2459" s="10">
        <v>8.2857667453491819E-5</v>
      </c>
      <c r="U2459" s="10">
        <v>1.2210000000000001E-4</v>
      </c>
      <c r="V2459" s="25"/>
      <c r="W2459" s="25"/>
      <c r="X2459" s="25"/>
      <c r="Y2459" s="25"/>
      <c r="Z2459" s="25"/>
      <c r="AA2459" s="25"/>
    </row>
    <row r="2460" spans="1:27" x14ac:dyDescent="0.35">
      <c r="A2460" s="5">
        <v>2456</v>
      </c>
      <c r="B2460" s="5">
        <v>103</v>
      </c>
      <c r="C2460" s="5">
        <v>4</v>
      </c>
      <c r="D2460" s="25">
        <v>1.1415000000000001E-4</v>
      </c>
      <c r="E2460" s="25">
        <v>1.1705E-4</v>
      </c>
      <c r="F2460" s="25">
        <v>1.1721E-4</v>
      </c>
      <c r="G2460" s="25">
        <v>1.6563999999999999E-4</v>
      </c>
      <c r="H2460" s="25">
        <v>1.9213999999999999E-4</v>
      </c>
      <c r="I2460" s="9">
        <v>1.2402E-4</v>
      </c>
      <c r="J2460" s="9">
        <v>1.1938999999999999E-4</v>
      </c>
      <c r="K2460" s="9">
        <v>8.9010000000000003E-5</v>
      </c>
      <c r="L2460" s="9">
        <v>1.0461E-4</v>
      </c>
      <c r="M2460" s="9">
        <v>8.4129999999999996E-5</v>
      </c>
      <c r="N2460" s="9">
        <v>9.1199999999999994E-5</v>
      </c>
      <c r="O2460" s="9">
        <v>2.1772E-4</v>
      </c>
      <c r="P2460" s="9">
        <v>1.7635E-4</v>
      </c>
      <c r="Q2460" s="9">
        <v>1.3622999999999999E-4</v>
      </c>
      <c r="R2460" s="10">
        <v>7.2872530540441701E-5</v>
      </c>
      <c r="S2460" s="10">
        <v>1.3515833621522108E-4</v>
      </c>
      <c r="T2460" s="10">
        <v>2.5769362416187868E-4</v>
      </c>
      <c r="U2460" s="10">
        <v>1.2210000000000001E-4</v>
      </c>
      <c r="V2460" s="25"/>
      <c r="W2460" s="25"/>
      <c r="X2460" s="25"/>
      <c r="Y2460" s="25"/>
      <c r="Z2460" s="25"/>
      <c r="AA2460" s="25"/>
    </row>
    <row r="2461" spans="1:27" x14ac:dyDescent="0.35">
      <c r="A2461" s="5">
        <v>2457</v>
      </c>
      <c r="B2461" s="5">
        <v>103</v>
      </c>
      <c r="C2461" s="5">
        <v>4</v>
      </c>
      <c r="D2461" s="25">
        <v>1.1416E-4</v>
      </c>
      <c r="E2461" s="25">
        <v>1.1922E-4</v>
      </c>
      <c r="F2461" s="25">
        <v>1.0370999999999999E-4</v>
      </c>
      <c r="G2461" s="25">
        <v>1.5951999999999999E-4</v>
      </c>
      <c r="H2461" s="25">
        <v>1.8828000000000001E-4</v>
      </c>
      <c r="I2461" s="9">
        <v>1.2662E-4</v>
      </c>
      <c r="J2461" s="9">
        <v>1.211E-4</v>
      </c>
      <c r="K2461" s="9">
        <v>6.9939999999999998E-5</v>
      </c>
      <c r="L2461" s="9">
        <v>1.9107E-4</v>
      </c>
      <c r="M2461" s="9">
        <v>1.2349999999999999E-4</v>
      </c>
      <c r="N2461" s="9">
        <v>1.048E-4</v>
      </c>
      <c r="O2461" s="9">
        <v>2.1191E-4</v>
      </c>
      <c r="P2461" s="9">
        <v>1.9467E-4</v>
      </c>
      <c r="Q2461" s="9">
        <v>1.7828000000000001E-4</v>
      </c>
      <c r="R2461" s="10">
        <v>6.7396556580821108E-5</v>
      </c>
      <c r="S2461" s="10">
        <v>1.1441202411513831E-4</v>
      </c>
      <c r="T2461" s="10">
        <v>4.1752085531986338E-4</v>
      </c>
      <c r="U2461" s="10">
        <v>1.2210000000000001E-4</v>
      </c>
      <c r="V2461" s="25"/>
      <c r="W2461" s="25"/>
      <c r="X2461" s="25"/>
      <c r="Y2461" s="25"/>
      <c r="Z2461" s="25"/>
      <c r="AA2461" s="25"/>
    </row>
    <row r="2462" spans="1:27" x14ac:dyDescent="0.35">
      <c r="A2462" s="5">
        <v>2458</v>
      </c>
      <c r="B2462" s="5">
        <v>103</v>
      </c>
      <c r="C2462" s="5">
        <v>4</v>
      </c>
      <c r="D2462" s="25">
        <v>1.1415000000000001E-4</v>
      </c>
      <c r="E2462" s="25">
        <v>1.0959E-4</v>
      </c>
      <c r="F2462" s="25">
        <v>1.1347E-4</v>
      </c>
      <c r="G2462" s="25">
        <v>1.6543999999999999E-4</v>
      </c>
      <c r="H2462" s="25">
        <v>2.0005000000000001E-4</v>
      </c>
      <c r="I2462" s="9">
        <v>1.26E-4</v>
      </c>
      <c r="J2462" s="9">
        <v>1.2002000000000001E-4</v>
      </c>
      <c r="K2462" s="9">
        <v>6.1459999999999998E-5</v>
      </c>
      <c r="L2462" s="9">
        <v>2.0505999999999999E-4</v>
      </c>
      <c r="M2462" s="9">
        <v>1.5909E-4</v>
      </c>
      <c r="N2462" s="9">
        <v>1.2507999999999999E-4</v>
      </c>
      <c r="O2462" s="9">
        <v>1.6742999999999999E-4</v>
      </c>
      <c r="P2462" s="9">
        <v>1.7514000000000001E-4</v>
      </c>
      <c r="Q2462" s="9">
        <v>1.8320000000000001E-4</v>
      </c>
      <c r="R2462" s="10">
        <v>5.5983862073404452E-5</v>
      </c>
      <c r="S2462" s="10">
        <v>9.3963676258206817E-5</v>
      </c>
      <c r="T2462" s="10">
        <v>4.915803043472575E-4</v>
      </c>
      <c r="U2462" s="10">
        <v>1.2210000000000001E-4</v>
      </c>
      <c r="V2462" s="25"/>
      <c r="W2462" s="25"/>
      <c r="X2462" s="25"/>
      <c r="Y2462" s="25"/>
      <c r="Z2462" s="25"/>
      <c r="AA2462" s="25"/>
    </row>
    <row r="2463" spans="1:27" x14ac:dyDescent="0.35">
      <c r="A2463" s="5">
        <v>2459</v>
      </c>
      <c r="B2463" s="5">
        <v>103</v>
      </c>
      <c r="C2463" s="5">
        <v>4</v>
      </c>
      <c r="D2463" s="25">
        <v>1.1416E-4</v>
      </c>
      <c r="E2463" s="25">
        <v>1.1762E-4</v>
      </c>
      <c r="F2463" s="25">
        <v>1.0576E-4</v>
      </c>
      <c r="G2463" s="25">
        <v>1.6708000000000001E-4</v>
      </c>
      <c r="H2463" s="25">
        <v>1.8641999999999999E-4</v>
      </c>
      <c r="I2463" s="9">
        <v>1.2705999999999999E-4</v>
      </c>
      <c r="J2463" s="9">
        <v>1.1857E-4</v>
      </c>
      <c r="K2463" s="9">
        <v>6.5710000000000006E-5</v>
      </c>
      <c r="L2463" s="9">
        <v>1.7573999999999999E-4</v>
      </c>
      <c r="M2463" s="9">
        <v>1.7314000000000001E-4</v>
      </c>
      <c r="N2463" s="9">
        <v>1.4331000000000001E-4</v>
      </c>
      <c r="O2463" s="9">
        <v>1.6576000000000001E-4</v>
      </c>
      <c r="P2463" s="9">
        <v>1.7205000000000001E-4</v>
      </c>
      <c r="Q2463" s="9">
        <v>1.7870000000000001E-4</v>
      </c>
      <c r="R2463" s="10">
        <v>4.9197748428582269E-5</v>
      </c>
      <c r="S2463" s="10">
        <v>6.8560603686287395E-5</v>
      </c>
      <c r="T2463" s="10">
        <v>4.5016843921921181E-4</v>
      </c>
      <c r="U2463" s="10">
        <v>1.2210000000000001E-4</v>
      </c>
      <c r="V2463" s="25"/>
      <c r="W2463" s="25"/>
      <c r="X2463" s="25"/>
      <c r="Y2463" s="25"/>
      <c r="Z2463" s="25"/>
      <c r="AA2463" s="25"/>
    </row>
    <row r="2464" spans="1:27" x14ac:dyDescent="0.35">
      <c r="A2464" s="5">
        <v>2460</v>
      </c>
      <c r="B2464" s="5">
        <v>103</v>
      </c>
      <c r="C2464" s="5">
        <v>4</v>
      </c>
      <c r="D2464" s="25">
        <v>1.1415000000000001E-4</v>
      </c>
      <c r="E2464" s="25">
        <v>1.0794E-4</v>
      </c>
      <c r="F2464" s="25">
        <v>1.0685E-4</v>
      </c>
      <c r="G2464" s="25">
        <v>1.6097999999999999E-4</v>
      </c>
      <c r="H2464" s="25">
        <v>1.9729E-4</v>
      </c>
      <c r="I2464" s="9">
        <v>1.2375999999999999E-4</v>
      </c>
      <c r="J2464" s="9">
        <v>1.1657E-4</v>
      </c>
      <c r="K2464" s="9">
        <v>8.0539999999999998E-5</v>
      </c>
      <c r="L2464" s="9">
        <v>1.6935E-4</v>
      </c>
      <c r="M2464" s="9">
        <v>1.7515E-4</v>
      </c>
      <c r="N2464" s="9">
        <v>1.5712000000000001E-4</v>
      </c>
      <c r="O2464" s="9">
        <v>1.6809999999999999E-4</v>
      </c>
      <c r="P2464" s="9">
        <v>1.7032000000000001E-4</v>
      </c>
      <c r="Q2464" s="9">
        <v>1.7296999999999999E-4</v>
      </c>
      <c r="R2464" s="10">
        <v>3.5012260478295525E-5</v>
      </c>
      <c r="S2464" s="10">
        <v>3.7858467483887425E-5</v>
      </c>
      <c r="T2464" s="10">
        <v>5.5676517625440232E-4</v>
      </c>
      <c r="U2464" s="10">
        <v>1.2210000000000001E-4</v>
      </c>
      <c r="V2464" s="25"/>
      <c r="W2464" s="25"/>
      <c r="X2464" s="25"/>
      <c r="Y2464" s="25"/>
      <c r="Z2464" s="25"/>
      <c r="AA2464" s="25"/>
    </row>
    <row r="2465" spans="1:27" x14ac:dyDescent="0.35">
      <c r="A2465" s="5">
        <v>2461</v>
      </c>
      <c r="B2465" s="5">
        <v>103</v>
      </c>
      <c r="C2465" s="5">
        <v>4</v>
      </c>
      <c r="D2465" s="25">
        <v>1.1416E-4</v>
      </c>
      <c r="E2465" s="25">
        <v>1.1875E-4</v>
      </c>
      <c r="F2465" s="25">
        <v>1.08E-4</v>
      </c>
      <c r="G2465" s="25">
        <v>1.5799E-4</v>
      </c>
      <c r="H2465" s="25">
        <v>1.9018E-4</v>
      </c>
      <c r="I2465" s="9">
        <v>1.2558E-4</v>
      </c>
      <c r="J2465" s="9">
        <v>1.1783E-4</v>
      </c>
      <c r="K2465" s="9">
        <v>8.0539999999999998E-5</v>
      </c>
      <c r="L2465" s="9">
        <v>1.6859000000000001E-4</v>
      </c>
      <c r="M2465" s="9">
        <v>1.7341000000000001E-4</v>
      </c>
      <c r="N2465" s="9">
        <v>1.6621999999999999E-4</v>
      </c>
      <c r="O2465" s="9">
        <v>1.6216000000000001E-4</v>
      </c>
      <c r="P2465" s="9">
        <v>1.6517999999999999E-4</v>
      </c>
      <c r="Q2465" s="9">
        <v>1.6861E-4</v>
      </c>
      <c r="R2465" s="10">
        <v>4.031938314831891E-5</v>
      </c>
      <c r="S2465" s="10">
        <v>3.1506877064747888E-5</v>
      </c>
      <c r="T2465" s="10">
        <v>5.0912583540335221E-4</v>
      </c>
      <c r="U2465" s="10">
        <v>1.2210000000000001E-4</v>
      </c>
      <c r="V2465" s="25"/>
      <c r="W2465" s="25"/>
      <c r="X2465" s="25"/>
      <c r="Y2465" s="25"/>
      <c r="Z2465" s="25"/>
      <c r="AA2465" s="25"/>
    </row>
    <row r="2466" spans="1:27" x14ac:dyDescent="0.35">
      <c r="A2466" s="5">
        <v>2462</v>
      </c>
      <c r="B2466" s="5">
        <v>103</v>
      </c>
      <c r="C2466" s="5">
        <v>4</v>
      </c>
      <c r="D2466" s="25">
        <v>1.1415000000000001E-4</v>
      </c>
      <c r="E2466" s="25">
        <v>1.1112000000000001E-4</v>
      </c>
      <c r="F2466" s="25">
        <v>1.0437000000000001E-4</v>
      </c>
      <c r="G2466" s="25">
        <v>1.6719E-4</v>
      </c>
      <c r="H2466" s="25">
        <v>1.9924E-4</v>
      </c>
      <c r="I2466" s="9">
        <v>1.2525000000000001E-4</v>
      </c>
      <c r="J2466" s="9">
        <v>1.1776E-4</v>
      </c>
      <c r="K2466" s="9">
        <v>7.8410000000000003E-5</v>
      </c>
      <c r="L2466" s="9">
        <v>1.6333999999999999E-4</v>
      </c>
      <c r="M2466" s="9">
        <v>1.6998E-4</v>
      </c>
      <c r="N2466" s="9">
        <v>1.7071999999999999E-4</v>
      </c>
      <c r="O2466" s="9">
        <v>1.7708000000000001E-4</v>
      </c>
      <c r="P2466" s="9">
        <v>1.6844000000000001E-4</v>
      </c>
      <c r="Q2466" s="9">
        <v>1.6044E-4</v>
      </c>
      <c r="R2466" s="10">
        <v>4.4359968234780668E-5</v>
      </c>
      <c r="S2466" s="10">
        <v>2.6975613037446332E-5</v>
      </c>
      <c r="T2466" s="10">
        <v>5.9311191467041299E-4</v>
      </c>
      <c r="U2466" s="10">
        <v>1.2210000000000001E-4</v>
      </c>
      <c r="V2466" s="25"/>
      <c r="W2466" s="25"/>
      <c r="X2466" s="25"/>
      <c r="Y2466" s="25"/>
      <c r="Z2466" s="25"/>
      <c r="AA2466" s="25"/>
    </row>
    <row r="2467" spans="1:27" x14ac:dyDescent="0.35">
      <c r="A2467" s="5">
        <v>2463</v>
      </c>
      <c r="B2467" s="5">
        <v>103</v>
      </c>
      <c r="C2467" s="5">
        <v>4</v>
      </c>
      <c r="D2467" s="25">
        <v>1.1416E-4</v>
      </c>
      <c r="E2467" s="25">
        <v>1.1307E-4</v>
      </c>
      <c r="F2467" s="25">
        <v>1.1877E-4</v>
      </c>
      <c r="G2467" s="25">
        <v>1.6405E-4</v>
      </c>
      <c r="H2467" s="25">
        <v>1.9352E-4</v>
      </c>
      <c r="I2467" s="9">
        <v>1.2531E-4</v>
      </c>
      <c r="J2467" s="9">
        <v>1.1679E-4</v>
      </c>
      <c r="K2467" s="9">
        <v>7.4179999999999998E-5</v>
      </c>
      <c r="L2467" s="9">
        <v>1.7416E-4</v>
      </c>
      <c r="M2467" s="9">
        <v>1.6848000000000001E-4</v>
      </c>
      <c r="N2467" s="9">
        <v>1.7006000000000001E-4</v>
      </c>
      <c r="O2467" s="9">
        <v>1.8113E-4</v>
      </c>
      <c r="P2467" s="9">
        <v>1.6582000000000001E-4</v>
      </c>
      <c r="Q2467" s="9">
        <v>1.5124999999999999E-4</v>
      </c>
      <c r="R2467" s="10">
        <v>4.3363823502359272E-5</v>
      </c>
      <c r="S2467" s="10">
        <v>2.2561829736811034E-5</v>
      </c>
      <c r="T2467" s="10">
        <v>5.4657553273488126E-4</v>
      </c>
      <c r="U2467" s="10">
        <v>1.2210000000000001E-4</v>
      </c>
      <c r="V2467" s="25"/>
      <c r="W2467" s="25"/>
      <c r="X2467" s="25"/>
      <c r="Y2467" s="25"/>
      <c r="Z2467" s="25"/>
      <c r="AA2467" s="25"/>
    </row>
    <row r="2468" spans="1:27" x14ac:dyDescent="0.35">
      <c r="A2468" s="5">
        <v>2464</v>
      </c>
      <c r="B2468" s="5">
        <v>103</v>
      </c>
      <c r="C2468" s="5">
        <v>4</v>
      </c>
      <c r="D2468" s="25">
        <v>1.1415000000000001E-4</v>
      </c>
      <c r="E2468" s="25">
        <v>1.1433E-4</v>
      </c>
      <c r="F2468" s="25">
        <v>1.0166E-4</v>
      </c>
      <c r="G2468" s="25">
        <v>1.6228999999999999E-4</v>
      </c>
      <c r="H2468" s="25">
        <v>1.9562E-4</v>
      </c>
      <c r="I2468" s="9">
        <v>1.25E-4</v>
      </c>
      <c r="J2468" s="9">
        <v>1.1775E-4</v>
      </c>
      <c r="K2468" s="9">
        <v>6.9939999999999998E-5</v>
      </c>
      <c r="L2468" s="9">
        <v>1.7932000000000001E-4</v>
      </c>
      <c r="M2468" s="9">
        <v>1.6720999999999999E-4</v>
      </c>
      <c r="N2468" s="9">
        <v>1.6582000000000001E-4</v>
      </c>
      <c r="O2468" s="9">
        <v>1.9799999999999999E-4</v>
      </c>
      <c r="P2468" s="9">
        <v>1.5370999999999999E-4</v>
      </c>
      <c r="Q2468" s="9">
        <v>1.1067E-4</v>
      </c>
      <c r="R2468" s="10">
        <v>4.0794607023514065E-5</v>
      </c>
      <c r="S2468" s="10">
        <v>2.0699882003858996E-5</v>
      </c>
      <c r="T2468" s="10">
        <v>3.9725186417237292E-4</v>
      </c>
      <c r="U2468" s="10">
        <v>1.2210000000000001E-4</v>
      </c>
      <c r="V2468" s="25"/>
      <c r="W2468" s="25"/>
      <c r="X2468" s="25"/>
      <c r="Y2468" s="25"/>
      <c r="Z2468" s="25"/>
      <c r="AA2468" s="25"/>
    </row>
    <row r="2469" spans="1:27" x14ac:dyDescent="0.35">
      <c r="A2469" s="5">
        <v>2465</v>
      </c>
      <c r="B2469" s="5">
        <v>103</v>
      </c>
      <c r="C2469" s="5">
        <v>4</v>
      </c>
      <c r="D2469" s="25">
        <v>1.1416E-4</v>
      </c>
      <c r="E2469" s="25">
        <v>1.1755E-4</v>
      </c>
      <c r="F2469" s="25">
        <v>1.0113E-4</v>
      </c>
      <c r="G2469" s="25">
        <v>1.6143E-4</v>
      </c>
      <c r="H2469" s="25">
        <v>1.9683E-4</v>
      </c>
      <c r="I2469" s="9">
        <v>1.2605E-4</v>
      </c>
      <c r="J2469" s="9">
        <v>1.2025E-4</v>
      </c>
      <c r="K2469" s="9">
        <v>6.7819999999999998E-5</v>
      </c>
      <c r="L2469" s="9">
        <v>1.9370999999999999E-4</v>
      </c>
      <c r="M2469" s="9">
        <v>1.6211E-4</v>
      </c>
      <c r="N2469" s="9">
        <v>1.5233E-4</v>
      </c>
      <c r="O2469" s="9">
        <v>2.1395999999999999E-4</v>
      </c>
      <c r="P2469" s="9">
        <v>1.6011000000000001E-4</v>
      </c>
      <c r="Q2469" s="9">
        <v>1.077E-4</v>
      </c>
      <c r="R2469" s="10">
        <v>3.8735186835826169E-5</v>
      </c>
      <c r="S2469" s="10">
        <v>2.4762691253313881E-5</v>
      </c>
      <c r="T2469" s="10">
        <v>2.5310361821345153E-4</v>
      </c>
      <c r="U2469" s="10">
        <v>1.2210000000000001E-4</v>
      </c>
      <c r="V2469" s="25"/>
      <c r="W2469" s="25"/>
      <c r="X2469" s="25"/>
      <c r="Y2469" s="25"/>
      <c r="Z2469" s="25"/>
      <c r="AA2469" s="25"/>
    </row>
    <row r="2470" spans="1:27" x14ac:dyDescent="0.35">
      <c r="A2470" s="5">
        <v>2466</v>
      </c>
      <c r="B2470" s="5">
        <v>103</v>
      </c>
      <c r="C2470" s="5">
        <v>4</v>
      </c>
      <c r="D2470" s="25">
        <v>1.1415000000000001E-4</v>
      </c>
      <c r="E2470" s="25">
        <v>1.1182E-4</v>
      </c>
      <c r="F2470" s="25">
        <v>1.1683E-4</v>
      </c>
      <c r="G2470" s="25">
        <v>1.5899999999999999E-4</v>
      </c>
      <c r="H2470" s="25">
        <v>1.9879000000000001E-4</v>
      </c>
      <c r="I2470" s="9">
        <v>1.2348E-4</v>
      </c>
      <c r="J2470" s="9">
        <v>1.1752999999999999E-4</v>
      </c>
      <c r="K2470" s="9">
        <v>7.6299999999999998E-5</v>
      </c>
      <c r="L2470" s="9">
        <v>2.0918999999999999E-4</v>
      </c>
      <c r="M2470" s="9">
        <v>1.6001000000000001E-4</v>
      </c>
      <c r="N2470" s="9">
        <v>1.3914999999999999E-4</v>
      </c>
      <c r="O2470" s="9">
        <v>2.0536E-4</v>
      </c>
      <c r="P2470" s="9">
        <v>1.6118E-4</v>
      </c>
      <c r="Q2470" s="9">
        <v>1.1825E-4</v>
      </c>
      <c r="R2470" s="10">
        <v>3.3608368181307423E-5</v>
      </c>
      <c r="S2470" s="10">
        <v>3.2984162992600687E-5</v>
      </c>
      <c r="T2470" s="10">
        <v>8.3799424681357641E-5</v>
      </c>
      <c r="U2470" s="10">
        <v>1.2210000000000001E-4</v>
      </c>
      <c r="V2470" s="25"/>
      <c r="W2470" s="25"/>
      <c r="X2470" s="25"/>
      <c r="Y2470" s="25"/>
      <c r="Z2470" s="25"/>
      <c r="AA2470" s="25"/>
    </row>
    <row r="2471" spans="1:27" x14ac:dyDescent="0.35">
      <c r="A2471" s="5">
        <v>2467</v>
      </c>
      <c r="B2471" s="5">
        <v>103</v>
      </c>
      <c r="C2471" s="5">
        <v>4</v>
      </c>
      <c r="D2471" s="25">
        <v>1.1416E-4</v>
      </c>
      <c r="E2471" s="25">
        <v>1.1361E-4</v>
      </c>
      <c r="F2471" s="25">
        <v>1.1027E-4</v>
      </c>
      <c r="G2471" s="25">
        <v>1.0864E-4</v>
      </c>
      <c r="H2471" s="25">
        <v>1.3770000000000001E-4</v>
      </c>
      <c r="I2471" s="9">
        <v>1.2048999999999999E-4</v>
      </c>
      <c r="J2471" s="9">
        <v>1.1616999999999999E-4</v>
      </c>
      <c r="K2471" s="9">
        <v>7.8419999999999998E-5</v>
      </c>
      <c r="L2471" s="9">
        <v>2.0579999999999999E-4</v>
      </c>
      <c r="M2471" s="9">
        <v>1.6003999999999999E-4</v>
      </c>
      <c r="N2471" s="9">
        <v>1.3019999999999999E-4</v>
      </c>
      <c r="O2471" s="9">
        <v>1.6447E-4</v>
      </c>
      <c r="P2471" s="9">
        <v>1.3558999999999999E-4</v>
      </c>
      <c r="Q2471" s="9">
        <v>1.0762E-4</v>
      </c>
      <c r="R2471" s="10">
        <v>2.7447343018663407E-5</v>
      </c>
      <c r="S2471" s="10">
        <v>3.864700744786284E-5</v>
      </c>
      <c r="T2471" s="10">
        <v>0</v>
      </c>
      <c r="U2471" s="10">
        <v>1.2210000000000001E-4</v>
      </c>
      <c r="V2471" s="25"/>
      <c r="W2471" s="25"/>
      <c r="X2471" s="25"/>
      <c r="Y2471" s="25"/>
      <c r="Z2471" s="25"/>
      <c r="AA2471" s="25"/>
    </row>
    <row r="2472" spans="1:27" x14ac:dyDescent="0.35">
      <c r="A2472" s="5">
        <v>2468</v>
      </c>
      <c r="B2472" s="5">
        <v>103</v>
      </c>
      <c r="C2472" s="5">
        <v>4</v>
      </c>
      <c r="D2472" s="25">
        <v>1.1415000000000001E-4</v>
      </c>
      <c r="E2472" s="25">
        <v>1.1779E-4</v>
      </c>
      <c r="F2472" s="25">
        <v>1.0562E-4</v>
      </c>
      <c r="G2472" s="25">
        <v>1.148E-4</v>
      </c>
      <c r="H2472" s="25">
        <v>1.3206000000000001E-4</v>
      </c>
      <c r="I2472" s="9">
        <v>1.2004E-4</v>
      </c>
      <c r="J2472" s="9">
        <v>1.1755E-4</v>
      </c>
      <c r="K2472" s="9">
        <v>8.2659999999999998E-5</v>
      </c>
      <c r="L2472" s="9">
        <v>1.7374999999999999E-4</v>
      </c>
      <c r="M2472" s="9">
        <v>1.5138E-4</v>
      </c>
      <c r="N2472" s="9">
        <v>1.2124E-4</v>
      </c>
      <c r="O2472" s="9">
        <v>1.2776000000000001E-4</v>
      </c>
      <c r="P2472" s="9">
        <v>1.1429000000000001E-4</v>
      </c>
      <c r="Q2472" s="9">
        <v>1.0137999999999999E-4</v>
      </c>
      <c r="R2472" s="10">
        <v>2.9209066194988192E-5</v>
      </c>
      <c r="S2472" s="10">
        <v>5.4939032242284238E-5</v>
      </c>
      <c r="T2472" s="10">
        <v>0</v>
      </c>
      <c r="U2472" s="10">
        <v>1.2210000000000001E-4</v>
      </c>
      <c r="V2472" s="25"/>
      <c r="W2472" s="25"/>
      <c r="X2472" s="25"/>
      <c r="Y2472" s="25"/>
      <c r="Z2472" s="25"/>
      <c r="AA2472" s="25"/>
    </row>
    <row r="2473" spans="1:27" x14ac:dyDescent="0.35">
      <c r="A2473" s="5">
        <v>2469</v>
      </c>
      <c r="B2473" s="5">
        <v>103</v>
      </c>
      <c r="C2473" s="5">
        <v>4</v>
      </c>
      <c r="D2473" s="25">
        <v>1.1416E-4</v>
      </c>
      <c r="E2473" s="25">
        <v>1.1184999999999999E-4</v>
      </c>
      <c r="F2473" s="25">
        <v>1.1025E-4</v>
      </c>
      <c r="G2473" s="25">
        <v>6.3040000000000006E-5</v>
      </c>
      <c r="H2473" s="25">
        <v>6.7230000000000005E-5</v>
      </c>
      <c r="I2473" s="9">
        <v>1.192E-4</v>
      </c>
      <c r="J2473" s="9">
        <v>1.156E-4</v>
      </c>
      <c r="K2473" s="9">
        <v>8.6899999999999998E-5</v>
      </c>
      <c r="L2473" s="9">
        <v>1.3887E-4</v>
      </c>
      <c r="M2473" s="9">
        <v>1.3558999999999999E-4</v>
      </c>
      <c r="N2473" s="9">
        <v>1.1346E-4</v>
      </c>
      <c r="O2473" s="9">
        <v>8.4640000000000003E-5</v>
      </c>
      <c r="P2473" s="9">
        <v>8.6429999999999997E-5</v>
      </c>
      <c r="Q2473" s="9">
        <v>8.8430000000000005E-5</v>
      </c>
      <c r="R2473" s="10">
        <v>2.7183621898263339E-5</v>
      </c>
      <c r="S2473" s="10">
        <v>7.1951415881974586E-5</v>
      </c>
      <c r="T2473" s="10">
        <v>0</v>
      </c>
      <c r="U2473" s="10">
        <v>1.2210000000000001E-4</v>
      </c>
      <c r="V2473" s="25"/>
      <c r="W2473" s="25"/>
      <c r="X2473" s="25"/>
      <c r="Y2473" s="25"/>
      <c r="Z2473" s="25"/>
      <c r="AA2473" s="25"/>
    </row>
    <row r="2474" spans="1:27" x14ac:dyDescent="0.35">
      <c r="A2474" s="5">
        <v>2470</v>
      </c>
      <c r="B2474" s="5">
        <v>103</v>
      </c>
      <c r="C2474" s="5">
        <v>4</v>
      </c>
      <c r="D2474" s="25">
        <v>1.1415000000000001E-4</v>
      </c>
      <c r="E2474" s="25">
        <v>1.0888E-4</v>
      </c>
      <c r="F2474" s="25">
        <v>1.009E-4</v>
      </c>
      <c r="G2474" s="25">
        <v>5.4360000000000001E-5</v>
      </c>
      <c r="H2474" s="25">
        <v>6.9659999999999994E-5</v>
      </c>
      <c r="I2474" s="9">
        <v>1.1824000000000001E-4</v>
      </c>
      <c r="J2474" s="9">
        <v>1.0697E-4</v>
      </c>
      <c r="K2474" s="9">
        <v>9.1130000000000003E-5</v>
      </c>
      <c r="L2474" s="9">
        <v>9.7510000000000007E-5</v>
      </c>
      <c r="M2474" s="9">
        <v>1.1383E-4</v>
      </c>
      <c r="N2474" s="9">
        <v>1.0582E-4</v>
      </c>
      <c r="O2474" s="9">
        <v>8.7819999999999996E-5</v>
      </c>
      <c r="P2474" s="9">
        <v>8.8239999999999995E-5</v>
      </c>
      <c r="Q2474" s="9">
        <v>8.8889999999999998E-5</v>
      </c>
      <c r="R2474" s="10">
        <v>1.9239401005641216E-5</v>
      </c>
      <c r="S2474" s="10">
        <v>9.6851177996815324E-5</v>
      </c>
      <c r="T2474" s="10">
        <v>0</v>
      </c>
      <c r="U2474" s="10">
        <v>1.2210000000000001E-4</v>
      </c>
      <c r="V2474" s="25"/>
      <c r="W2474" s="25"/>
      <c r="X2474" s="25"/>
      <c r="Y2474" s="25"/>
      <c r="Z2474" s="25"/>
      <c r="AA2474" s="25"/>
    </row>
    <row r="2475" spans="1:27" x14ac:dyDescent="0.35">
      <c r="A2475" s="5">
        <v>2471</v>
      </c>
      <c r="B2475" s="5">
        <v>103</v>
      </c>
      <c r="C2475" s="5">
        <v>4</v>
      </c>
      <c r="D2475" s="25">
        <v>1.1416E-4</v>
      </c>
      <c r="E2475" s="25">
        <v>1.1539E-4</v>
      </c>
      <c r="F2475" s="25">
        <v>1.0361000000000001E-4</v>
      </c>
      <c r="G2475" s="25">
        <v>6.0730000000000003E-5</v>
      </c>
      <c r="H2475" s="25">
        <v>7.5500000000000006E-5</v>
      </c>
      <c r="I2475" s="9">
        <v>1.1553999999999999E-4</v>
      </c>
      <c r="J2475" s="9">
        <v>9.8889999999999997E-5</v>
      </c>
      <c r="K2475" s="9">
        <v>9.3250000000000003E-5</v>
      </c>
      <c r="L2475" s="9">
        <v>9.0870000000000002E-5</v>
      </c>
      <c r="M2475" s="9">
        <v>9.9290000000000007E-5</v>
      </c>
      <c r="N2475" s="9">
        <v>1.0009E-4</v>
      </c>
      <c r="O2475" s="9">
        <v>7.8399999999999995E-5</v>
      </c>
      <c r="P2475" s="9">
        <v>7.2799999999999994E-5</v>
      </c>
      <c r="Q2475" s="9">
        <v>6.7500000000000001E-5</v>
      </c>
      <c r="R2475" s="10">
        <v>1.3250772759409673E-5</v>
      </c>
      <c r="S2475" s="10">
        <v>1.1474736363313385E-4</v>
      </c>
      <c r="T2475" s="10">
        <v>0</v>
      </c>
      <c r="U2475" s="10">
        <v>1.2210000000000001E-4</v>
      </c>
      <c r="V2475" s="25"/>
      <c r="W2475" s="25"/>
      <c r="X2475" s="25"/>
      <c r="Y2475" s="25"/>
      <c r="Z2475" s="25"/>
      <c r="AA2475" s="25"/>
    </row>
    <row r="2476" spans="1:27" x14ac:dyDescent="0.35">
      <c r="A2476" s="5">
        <v>2472</v>
      </c>
      <c r="B2476" s="5">
        <v>103</v>
      </c>
      <c r="C2476" s="5">
        <v>4</v>
      </c>
      <c r="D2476" s="25">
        <v>1.1415000000000001E-4</v>
      </c>
      <c r="E2476" s="25">
        <v>1.111E-4</v>
      </c>
      <c r="F2476" s="25">
        <v>1.1912E-4</v>
      </c>
      <c r="G2476" s="25">
        <v>6.2550000000000003E-5</v>
      </c>
      <c r="H2476" s="25">
        <v>7.1169999999999998E-5</v>
      </c>
      <c r="I2476" s="9">
        <v>1.0689E-4</v>
      </c>
      <c r="J2476" s="9">
        <v>9.1130000000000003E-5</v>
      </c>
      <c r="K2476" s="9">
        <v>9.7490000000000003E-5</v>
      </c>
      <c r="L2476" s="9">
        <v>8.1110000000000001E-5</v>
      </c>
      <c r="M2476" s="9">
        <v>8.6570000000000006E-5</v>
      </c>
      <c r="N2476" s="9">
        <v>9.0890000000000006E-5</v>
      </c>
      <c r="O2476" s="9">
        <v>6.2920000000000001E-5</v>
      </c>
      <c r="P2476" s="9">
        <v>6.0890000000000001E-5</v>
      </c>
      <c r="Q2476" s="9">
        <v>5.9070000000000002E-5</v>
      </c>
      <c r="R2476" s="10">
        <v>1.3671137889634764E-5</v>
      </c>
      <c r="S2476" s="10">
        <v>1.5169870296994668E-4</v>
      </c>
      <c r="T2476" s="10">
        <v>0</v>
      </c>
      <c r="U2476" s="10">
        <v>1.2210000000000001E-4</v>
      </c>
      <c r="V2476" s="25"/>
      <c r="W2476" s="25"/>
      <c r="X2476" s="25"/>
      <c r="Y2476" s="25"/>
      <c r="Z2476" s="25"/>
      <c r="AA2476" s="25"/>
    </row>
    <row r="2477" spans="1:27" x14ac:dyDescent="0.35">
      <c r="A2477" s="5">
        <v>2473</v>
      </c>
      <c r="B2477" s="5">
        <v>104</v>
      </c>
      <c r="C2477" s="5">
        <v>4</v>
      </c>
      <c r="D2477" s="25">
        <v>1.1416E-4</v>
      </c>
      <c r="E2477" s="25">
        <v>1.2144E-4</v>
      </c>
      <c r="F2477" s="25">
        <v>1.0987E-4</v>
      </c>
      <c r="G2477" s="25">
        <v>5.4339999999999998E-5</v>
      </c>
      <c r="H2477" s="25">
        <v>3.9830000000000003E-5</v>
      </c>
      <c r="I2477" s="9">
        <v>1.0095E-4</v>
      </c>
      <c r="J2477" s="9">
        <v>8.7800000000000006E-5</v>
      </c>
      <c r="K2477" s="9">
        <v>1.0174E-4</v>
      </c>
      <c r="L2477" s="9">
        <v>6.6920000000000003E-5</v>
      </c>
      <c r="M2477" s="9">
        <v>7.4410000000000001E-5</v>
      </c>
      <c r="N2477" s="9">
        <v>8.1459999999999996E-5</v>
      </c>
      <c r="O2477" s="9">
        <v>6.8780000000000002E-5</v>
      </c>
      <c r="P2477" s="9">
        <v>6.1240000000000003E-5</v>
      </c>
      <c r="Q2477" s="9">
        <v>5.3999999999999998E-5</v>
      </c>
      <c r="R2477" s="10">
        <v>3.9338038811077814E-5</v>
      </c>
      <c r="S2477" s="10">
        <v>1.7351342489840095E-4</v>
      </c>
      <c r="T2477" s="10">
        <v>0</v>
      </c>
      <c r="U2477" s="10">
        <v>1.2071E-4</v>
      </c>
      <c r="V2477" s="25"/>
      <c r="W2477" s="25"/>
      <c r="X2477" s="25"/>
      <c r="Y2477" s="25"/>
      <c r="Z2477" s="25"/>
      <c r="AA2477" s="25"/>
    </row>
    <row r="2478" spans="1:27" x14ac:dyDescent="0.35">
      <c r="A2478" s="5">
        <v>2474</v>
      </c>
      <c r="B2478" s="5">
        <v>104</v>
      </c>
      <c r="C2478" s="5">
        <v>4</v>
      </c>
      <c r="D2478" s="25">
        <v>1.1415000000000001E-4</v>
      </c>
      <c r="E2478" s="25">
        <v>1.1597E-4</v>
      </c>
      <c r="F2478" s="25">
        <v>1.1938E-4</v>
      </c>
      <c r="G2478" s="25">
        <v>6.1890000000000005E-5</v>
      </c>
      <c r="H2478" s="25">
        <v>4.3529999999999998E-5</v>
      </c>
      <c r="I2478" s="9">
        <v>9.6680000000000003E-5</v>
      </c>
      <c r="J2478" s="9">
        <v>8.577E-5</v>
      </c>
      <c r="K2478" s="9">
        <v>1.0385E-4</v>
      </c>
      <c r="L2478" s="9">
        <v>6.8759999999999999E-5</v>
      </c>
      <c r="M2478" s="9">
        <v>6.6760000000000005E-5</v>
      </c>
      <c r="N2478" s="9">
        <v>7.2440000000000004E-5</v>
      </c>
      <c r="O2478" s="9">
        <v>3.5559999999999998E-5</v>
      </c>
      <c r="P2478" s="9">
        <v>4.6010000000000002E-5</v>
      </c>
      <c r="Q2478" s="9">
        <v>5.6390000000000001E-5</v>
      </c>
      <c r="R2478" s="10">
        <v>8.6756011034107649E-5</v>
      </c>
      <c r="S2478" s="10">
        <v>1.8373656114265471E-4</v>
      </c>
      <c r="T2478" s="10">
        <v>0</v>
      </c>
      <c r="U2478" s="10">
        <v>1.2071E-4</v>
      </c>
      <c r="V2478" s="25"/>
      <c r="W2478" s="25"/>
      <c r="X2478" s="25"/>
      <c r="Y2478" s="25"/>
      <c r="Z2478" s="25"/>
      <c r="AA2478" s="25"/>
    </row>
    <row r="2479" spans="1:27" x14ac:dyDescent="0.35">
      <c r="A2479" s="5">
        <v>2475</v>
      </c>
      <c r="B2479" s="5">
        <v>104</v>
      </c>
      <c r="C2479" s="5">
        <v>4</v>
      </c>
      <c r="D2479" s="25">
        <v>1.1416E-4</v>
      </c>
      <c r="E2479" s="25">
        <v>1.2184999999999999E-4</v>
      </c>
      <c r="F2479" s="25">
        <v>1.183E-4</v>
      </c>
      <c r="G2479" s="25">
        <v>5.9759999999999997E-5</v>
      </c>
      <c r="H2479" s="25">
        <v>3.8720000000000002E-5</v>
      </c>
      <c r="I2479" s="9">
        <v>9.6319999999999999E-5</v>
      </c>
      <c r="J2479" s="9">
        <v>8.5220000000000001E-5</v>
      </c>
      <c r="K2479" s="9">
        <v>1.0385E-4</v>
      </c>
      <c r="L2479" s="9">
        <v>4.2769999999999999E-5</v>
      </c>
      <c r="M2479" s="9">
        <v>5.7679999999999997E-5</v>
      </c>
      <c r="N2479" s="9">
        <v>6.5859999999999996E-5</v>
      </c>
      <c r="O2479" s="9">
        <v>2.2249999999999999E-5</v>
      </c>
      <c r="P2479" s="9">
        <v>4.1869999999999997E-5</v>
      </c>
      <c r="Q2479" s="9">
        <v>6.1240000000000003E-5</v>
      </c>
      <c r="R2479" s="10">
        <v>1.4248665632621155E-4</v>
      </c>
      <c r="S2479" s="10">
        <v>1.8752045772091496E-4</v>
      </c>
      <c r="T2479" s="10">
        <v>0</v>
      </c>
      <c r="U2479" s="10">
        <v>1.2071E-4</v>
      </c>
      <c r="V2479" s="25"/>
      <c r="W2479" s="25"/>
      <c r="X2479" s="25"/>
      <c r="Y2479" s="25"/>
      <c r="Z2479" s="25"/>
      <c r="AA2479" s="25"/>
    </row>
    <row r="2480" spans="1:27" x14ac:dyDescent="0.35">
      <c r="A2480" s="5">
        <v>2476</v>
      </c>
      <c r="B2480" s="5">
        <v>104</v>
      </c>
      <c r="C2480" s="5">
        <v>4</v>
      </c>
      <c r="D2480" s="25">
        <v>1.1415000000000001E-4</v>
      </c>
      <c r="E2480" s="25">
        <v>1.2232000000000001E-4</v>
      </c>
      <c r="F2480" s="25">
        <v>1.2331000000000001E-4</v>
      </c>
      <c r="G2480" s="25">
        <v>5.2769999999999998E-5</v>
      </c>
      <c r="H2480" s="25">
        <v>4.5850000000000003E-5</v>
      </c>
      <c r="I2480" s="9">
        <v>9.8519999999999999E-5</v>
      </c>
      <c r="J2480" s="9">
        <v>8.6929999999999996E-5</v>
      </c>
      <c r="K2480" s="9">
        <v>1.0173E-4</v>
      </c>
      <c r="L2480" s="9">
        <v>2.7379999999999999E-5</v>
      </c>
      <c r="M2480" s="9">
        <v>4.9830000000000002E-5</v>
      </c>
      <c r="N2480" s="9">
        <v>6.2130000000000003E-5</v>
      </c>
      <c r="O2480" s="9">
        <v>2.1990000000000001E-5</v>
      </c>
      <c r="P2480" s="9">
        <v>5.1669999999999998E-5</v>
      </c>
      <c r="Q2480" s="9">
        <v>8.0939999999999994E-5</v>
      </c>
      <c r="R2480" s="10">
        <v>1.6286734344844641E-4</v>
      </c>
      <c r="S2480" s="10">
        <v>1.882420117053974E-4</v>
      </c>
      <c r="T2480" s="10">
        <v>0</v>
      </c>
      <c r="U2480" s="10">
        <v>1.2071E-4</v>
      </c>
      <c r="V2480" s="25"/>
      <c r="W2480" s="25"/>
      <c r="X2480" s="25"/>
      <c r="Y2480" s="25"/>
      <c r="Z2480" s="25"/>
      <c r="AA2480" s="25"/>
    </row>
    <row r="2481" spans="1:27" x14ac:dyDescent="0.35">
      <c r="A2481" s="5">
        <v>2477</v>
      </c>
      <c r="B2481" s="5">
        <v>104</v>
      </c>
      <c r="C2481" s="5">
        <v>4</v>
      </c>
      <c r="D2481" s="25">
        <v>1.1416E-4</v>
      </c>
      <c r="E2481" s="25">
        <v>1.141E-4</v>
      </c>
      <c r="F2481" s="25">
        <v>1.1493999999999999E-4</v>
      </c>
      <c r="G2481" s="25">
        <v>6.0930000000000001E-5</v>
      </c>
      <c r="H2481" s="25">
        <v>3.9610000000000002E-5</v>
      </c>
      <c r="I2481" s="9">
        <v>1.0521E-4</v>
      </c>
      <c r="J2481" s="9">
        <v>8.9110000000000006E-5</v>
      </c>
      <c r="K2481" s="9">
        <v>1.0173E-4</v>
      </c>
      <c r="L2481" s="9">
        <v>2.3640000000000001E-5</v>
      </c>
      <c r="M2481" s="9">
        <v>4.8609999999999997E-5</v>
      </c>
      <c r="N2481" s="9">
        <v>6.4709999999999995E-5</v>
      </c>
      <c r="O2481" s="9">
        <v>2.368E-5</v>
      </c>
      <c r="P2481" s="9">
        <v>5.8850000000000001E-5</v>
      </c>
      <c r="Q2481" s="9">
        <v>9.3519999999999999E-5</v>
      </c>
      <c r="R2481" s="10">
        <v>1.7550836819884414E-4</v>
      </c>
      <c r="S2481" s="10">
        <v>1.8919015454667401E-4</v>
      </c>
      <c r="T2481" s="10">
        <v>0</v>
      </c>
      <c r="U2481" s="10">
        <v>1.2071E-4</v>
      </c>
      <c r="V2481" s="25"/>
      <c r="W2481" s="25"/>
      <c r="X2481" s="25"/>
      <c r="Y2481" s="25"/>
      <c r="Z2481" s="25"/>
      <c r="AA2481" s="25"/>
    </row>
    <row r="2482" spans="1:27" x14ac:dyDescent="0.35">
      <c r="A2482" s="5">
        <v>2478</v>
      </c>
      <c r="B2482" s="5">
        <v>104</v>
      </c>
      <c r="C2482" s="5">
        <v>4</v>
      </c>
      <c r="D2482" s="25">
        <v>1.1415000000000001E-4</v>
      </c>
      <c r="E2482" s="25">
        <v>1.2175E-4</v>
      </c>
      <c r="F2482" s="25">
        <v>1.1963E-4</v>
      </c>
      <c r="G2482" s="25">
        <v>1.0853000000000001E-4</v>
      </c>
      <c r="H2482" s="25">
        <v>7.983E-5</v>
      </c>
      <c r="I2482" s="9">
        <v>1.1679E-4</v>
      </c>
      <c r="J2482" s="9">
        <v>9.6100000000000005E-5</v>
      </c>
      <c r="K2482" s="9">
        <v>9.7490000000000003E-5</v>
      </c>
      <c r="L2482" s="9">
        <v>2.3600000000000001E-5</v>
      </c>
      <c r="M2482" s="9">
        <v>5.2320000000000001E-5</v>
      </c>
      <c r="N2482" s="9">
        <v>7.1169999999999998E-5</v>
      </c>
      <c r="O2482" s="9">
        <v>3.0139999999999999E-5</v>
      </c>
      <c r="P2482" s="9">
        <v>6.9129999999999997E-5</v>
      </c>
      <c r="Q2482" s="9">
        <v>1.0759E-4</v>
      </c>
      <c r="R2482" s="10">
        <v>1.8270345123864784E-4</v>
      </c>
      <c r="S2482" s="10">
        <v>1.8934299546570483E-4</v>
      </c>
      <c r="T2482" s="10">
        <v>3.3597825426564365E-6</v>
      </c>
      <c r="U2482" s="10">
        <v>1.2071E-4</v>
      </c>
      <c r="V2482" s="25"/>
      <c r="W2482" s="25"/>
      <c r="X2482" s="25"/>
      <c r="Y2482" s="25"/>
      <c r="Z2482" s="25"/>
      <c r="AA2482" s="25"/>
    </row>
    <row r="2483" spans="1:27" x14ac:dyDescent="0.35">
      <c r="A2483" s="5">
        <v>2479</v>
      </c>
      <c r="B2483" s="5">
        <v>104</v>
      </c>
      <c r="C2483" s="5">
        <v>4</v>
      </c>
      <c r="D2483" s="25">
        <v>1.1416E-4</v>
      </c>
      <c r="E2483" s="25">
        <v>1.1833E-4</v>
      </c>
      <c r="F2483" s="25">
        <v>1.1888E-4</v>
      </c>
      <c r="G2483" s="25">
        <v>1.0931E-4</v>
      </c>
      <c r="H2483" s="25">
        <v>8.0679999999999993E-5</v>
      </c>
      <c r="I2483" s="9">
        <v>1.2535000000000001E-4</v>
      </c>
      <c r="J2483" s="9">
        <v>1.1010000000000001E-4</v>
      </c>
      <c r="K2483" s="9">
        <v>8.9010000000000003E-5</v>
      </c>
      <c r="L2483" s="9">
        <v>2.8609999999999999E-5</v>
      </c>
      <c r="M2483" s="9">
        <v>5.9469999999999998E-5</v>
      </c>
      <c r="N2483" s="9">
        <v>8.0939999999999994E-5</v>
      </c>
      <c r="O2483" s="9">
        <v>4.6409999999999998E-5</v>
      </c>
      <c r="P2483" s="9">
        <v>7.9670000000000001E-5</v>
      </c>
      <c r="Q2483" s="9">
        <v>1.1254E-4</v>
      </c>
      <c r="R2483" s="10">
        <v>1.9113860291962757E-4</v>
      </c>
      <c r="S2483" s="10">
        <v>1.8894256517133291E-4</v>
      </c>
      <c r="T2483" s="10">
        <v>7.4025511829993451E-5</v>
      </c>
      <c r="U2483" s="10">
        <v>1.2071E-4</v>
      </c>
      <c r="V2483" s="25"/>
      <c r="W2483" s="25"/>
      <c r="X2483" s="25"/>
      <c r="Y2483" s="25"/>
      <c r="Z2483" s="25"/>
      <c r="AA2483" s="25"/>
    </row>
    <row r="2484" spans="1:27" x14ac:dyDescent="0.35">
      <c r="A2484" s="5">
        <v>2480</v>
      </c>
      <c r="B2484" s="5">
        <v>104</v>
      </c>
      <c r="C2484" s="5">
        <v>4</v>
      </c>
      <c r="D2484" s="25">
        <v>1.1415000000000001E-4</v>
      </c>
      <c r="E2484" s="25">
        <v>1.1646000000000001E-4</v>
      </c>
      <c r="F2484" s="25">
        <v>1.2344E-4</v>
      </c>
      <c r="G2484" s="25">
        <v>1.6201E-4</v>
      </c>
      <c r="H2484" s="25">
        <v>1.1343E-4</v>
      </c>
      <c r="I2484" s="9">
        <v>1.3009999999999999E-4</v>
      </c>
      <c r="J2484" s="9">
        <v>1.1904999999999999E-4</v>
      </c>
      <c r="K2484" s="9">
        <v>7.2059999999999998E-5</v>
      </c>
      <c r="L2484" s="9">
        <v>4.2339999999999998E-5</v>
      </c>
      <c r="M2484" s="9">
        <v>6.8529999999999996E-5</v>
      </c>
      <c r="N2484" s="9">
        <v>9.1020000000000006E-5</v>
      </c>
      <c r="O2484" s="9">
        <v>6.7929999999999995E-5</v>
      </c>
      <c r="P2484" s="9">
        <v>1.0215E-4</v>
      </c>
      <c r="Q2484" s="9">
        <v>1.3601999999999999E-4</v>
      </c>
      <c r="R2484" s="10">
        <v>1.9408119943792559E-4</v>
      </c>
      <c r="S2484" s="10">
        <v>1.8867454893665311E-4</v>
      </c>
      <c r="T2484" s="10">
        <v>2.4778396252091221E-4</v>
      </c>
      <c r="U2484" s="10">
        <v>1.2071E-4</v>
      </c>
      <c r="V2484" s="25"/>
      <c r="W2484" s="25"/>
      <c r="X2484" s="25"/>
      <c r="Y2484" s="25"/>
      <c r="Z2484" s="25"/>
      <c r="AA2484" s="25"/>
    </row>
    <row r="2485" spans="1:27" x14ac:dyDescent="0.35">
      <c r="A2485" s="5">
        <v>2481</v>
      </c>
      <c r="B2485" s="5">
        <v>104</v>
      </c>
      <c r="C2485" s="5">
        <v>4</v>
      </c>
      <c r="D2485" s="25">
        <v>1.1416E-4</v>
      </c>
      <c r="E2485" s="25">
        <v>1.1231E-4</v>
      </c>
      <c r="F2485" s="25">
        <v>1.1637999999999999E-4</v>
      </c>
      <c r="G2485" s="25">
        <v>1.6555000000000001E-4</v>
      </c>
      <c r="H2485" s="25">
        <v>1.1495E-4</v>
      </c>
      <c r="I2485" s="9">
        <v>1.3308999999999999E-4</v>
      </c>
      <c r="J2485" s="9">
        <v>1.219E-4</v>
      </c>
      <c r="K2485" s="9">
        <v>5.7219999999999998E-5</v>
      </c>
      <c r="L2485" s="9">
        <v>6.1929999999999998E-5</v>
      </c>
      <c r="M2485" s="9">
        <v>8.2880000000000006E-5</v>
      </c>
      <c r="N2485" s="9">
        <v>1.0458E-4</v>
      </c>
      <c r="O2485" s="9">
        <v>9.9569999999999997E-5</v>
      </c>
      <c r="P2485" s="9">
        <v>1.3831E-4</v>
      </c>
      <c r="Q2485" s="9">
        <v>1.7672E-4</v>
      </c>
      <c r="R2485" s="10">
        <v>1.9756192942969484E-4</v>
      </c>
      <c r="S2485" s="10">
        <v>1.8879103196965335E-4</v>
      </c>
      <c r="T2485" s="10">
        <v>4.6809576374606294E-4</v>
      </c>
      <c r="U2485" s="10">
        <v>1.2071E-4</v>
      </c>
      <c r="V2485" s="25"/>
      <c r="W2485" s="25"/>
      <c r="X2485" s="25"/>
      <c r="Y2485" s="25"/>
      <c r="Z2485" s="25"/>
      <c r="AA2485" s="25"/>
    </row>
    <row r="2486" spans="1:27" x14ac:dyDescent="0.35">
      <c r="A2486" s="5">
        <v>2482</v>
      </c>
      <c r="B2486" s="5">
        <v>104</v>
      </c>
      <c r="C2486" s="5">
        <v>4</v>
      </c>
      <c r="D2486" s="25">
        <v>1.1415000000000001E-4</v>
      </c>
      <c r="E2486" s="25">
        <v>1.1215E-4</v>
      </c>
      <c r="F2486" s="25">
        <v>1.1275E-4</v>
      </c>
      <c r="G2486" s="25">
        <v>1.5677000000000001E-4</v>
      </c>
      <c r="H2486" s="25">
        <v>1.2015000000000001E-4</v>
      </c>
      <c r="I2486" s="9">
        <v>1.3263000000000001E-4</v>
      </c>
      <c r="J2486" s="9">
        <v>1.2136E-4</v>
      </c>
      <c r="K2486" s="9">
        <v>4.8749999999999999E-5</v>
      </c>
      <c r="L2486" s="9">
        <v>9.0779999999999995E-5</v>
      </c>
      <c r="M2486" s="9">
        <v>1.0645E-4</v>
      </c>
      <c r="N2486" s="9">
        <v>1.2452000000000001E-4</v>
      </c>
      <c r="O2486" s="9">
        <v>1.2737999999999999E-4</v>
      </c>
      <c r="P2486" s="9">
        <v>1.5417E-4</v>
      </c>
      <c r="Q2486" s="9">
        <v>1.8087999999999999E-4</v>
      </c>
      <c r="R2486" s="10">
        <v>1.7722863713430506E-4</v>
      </c>
      <c r="S2486" s="10">
        <v>1.8899978672331719E-4</v>
      </c>
      <c r="T2486" s="10">
        <v>5.7486218676825634E-4</v>
      </c>
      <c r="U2486" s="10">
        <v>1.2071E-4</v>
      </c>
      <c r="V2486" s="25"/>
      <c r="W2486" s="25"/>
      <c r="X2486" s="25"/>
      <c r="Y2486" s="25"/>
      <c r="Z2486" s="25"/>
      <c r="AA2486" s="25"/>
    </row>
    <row r="2487" spans="1:27" x14ac:dyDescent="0.35">
      <c r="A2487" s="5">
        <v>2483</v>
      </c>
      <c r="B2487" s="5">
        <v>104</v>
      </c>
      <c r="C2487" s="5">
        <v>4</v>
      </c>
      <c r="D2487" s="25">
        <v>1.1416E-4</v>
      </c>
      <c r="E2487" s="25">
        <v>1.2345999999999999E-4</v>
      </c>
      <c r="F2487" s="25">
        <v>1.2086E-4</v>
      </c>
      <c r="G2487" s="25">
        <v>1.5909999999999999E-4</v>
      </c>
      <c r="H2487" s="25">
        <v>1.1519999999999999E-4</v>
      </c>
      <c r="I2487" s="9">
        <v>1.3166999999999999E-4</v>
      </c>
      <c r="J2487" s="9">
        <v>1.2138000000000001E-4</v>
      </c>
      <c r="K2487" s="9">
        <v>3.6029999999999999E-5</v>
      </c>
      <c r="L2487" s="9">
        <v>1.1861E-4</v>
      </c>
      <c r="M2487" s="9">
        <v>1.2959000000000001E-4</v>
      </c>
      <c r="N2487" s="9">
        <v>1.4232000000000001E-4</v>
      </c>
      <c r="O2487" s="9">
        <v>1.3723000000000001E-4</v>
      </c>
      <c r="P2487" s="9">
        <v>1.5883999999999999E-4</v>
      </c>
      <c r="Q2487" s="9">
        <v>1.8049E-4</v>
      </c>
      <c r="R2487" s="10">
        <v>1.255525888464593E-4</v>
      </c>
      <c r="S2487" s="10">
        <v>1.8910252252182252E-4</v>
      </c>
      <c r="T2487" s="10">
        <v>7.1205330726006085E-4</v>
      </c>
      <c r="U2487" s="10">
        <v>1.2071E-4</v>
      </c>
      <c r="V2487" s="25"/>
      <c r="W2487" s="25"/>
      <c r="X2487" s="25"/>
      <c r="Y2487" s="25"/>
      <c r="Z2487" s="25"/>
      <c r="AA2487" s="25"/>
    </row>
    <row r="2488" spans="1:27" x14ac:dyDescent="0.35">
      <c r="A2488" s="5">
        <v>2484</v>
      </c>
      <c r="B2488" s="5">
        <v>104</v>
      </c>
      <c r="C2488" s="5">
        <v>4</v>
      </c>
      <c r="D2488" s="25">
        <v>1.1415000000000001E-4</v>
      </c>
      <c r="E2488" s="25">
        <v>1.1834E-4</v>
      </c>
      <c r="F2488" s="25">
        <v>1.1014999999999999E-4</v>
      </c>
      <c r="G2488" s="25">
        <v>1.5642E-4</v>
      </c>
      <c r="H2488" s="25">
        <v>1.1472999999999999E-4</v>
      </c>
      <c r="I2488" s="9">
        <v>1.3098E-4</v>
      </c>
      <c r="J2488" s="9">
        <v>1.1916E-4</v>
      </c>
      <c r="K2488" s="9">
        <v>2.12E-5</v>
      </c>
      <c r="L2488" s="9">
        <v>1.3248000000000001E-4</v>
      </c>
      <c r="M2488" s="9">
        <v>1.4558999999999999E-4</v>
      </c>
      <c r="N2488" s="9">
        <v>1.5661000000000001E-4</v>
      </c>
      <c r="O2488" s="9">
        <v>1.3681000000000001E-4</v>
      </c>
      <c r="P2488" s="9">
        <v>1.5478000000000001E-4</v>
      </c>
      <c r="Q2488" s="9">
        <v>1.7284000000000001E-4</v>
      </c>
      <c r="R2488" s="10">
        <v>1.2085921428577459E-4</v>
      </c>
      <c r="S2488" s="10">
        <v>1.8458932881074692E-4</v>
      </c>
      <c r="T2488" s="10">
        <v>7.292340134440995E-4</v>
      </c>
      <c r="U2488" s="10">
        <v>1.2071E-4</v>
      </c>
      <c r="V2488" s="25"/>
      <c r="W2488" s="25"/>
      <c r="X2488" s="25"/>
      <c r="Y2488" s="25"/>
      <c r="Z2488" s="25"/>
      <c r="AA2488" s="25"/>
    </row>
    <row r="2489" spans="1:27" x14ac:dyDescent="0.35">
      <c r="A2489" s="5">
        <v>2485</v>
      </c>
      <c r="B2489" s="5">
        <v>104</v>
      </c>
      <c r="C2489" s="5">
        <v>4</v>
      </c>
      <c r="D2489" s="25">
        <v>1.1416E-4</v>
      </c>
      <c r="E2489" s="25">
        <v>1.1451999999999999E-4</v>
      </c>
      <c r="F2489" s="25">
        <v>1.2187E-4</v>
      </c>
      <c r="G2489" s="25">
        <v>1.6011000000000001E-4</v>
      </c>
      <c r="H2489" s="25">
        <v>1.1680000000000001E-4</v>
      </c>
      <c r="I2489" s="9">
        <v>1.3113999999999999E-4</v>
      </c>
      <c r="J2489" s="9">
        <v>1.199E-4</v>
      </c>
      <c r="K2489" s="9">
        <v>6.3600000000000001E-6</v>
      </c>
      <c r="L2489" s="9">
        <v>1.3566000000000001E-4</v>
      </c>
      <c r="M2489" s="9">
        <v>1.5234999999999999E-4</v>
      </c>
      <c r="N2489" s="9">
        <v>1.6581000000000001E-4</v>
      </c>
      <c r="O2489" s="9">
        <v>1.3066E-4</v>
      </c>
      <c r="P2489" s="9">
        <v>1.4967E-4</v>
      </c>
      <c r="Q2489" s="9">
        <v>1.6875000000000001E-4</v>
      </c>
      <c r="R2489" s="10">
        <v>1.5018709726473747E-4</v>
      </c>
      <c r="S2489" s="10">
        <v>1.849234947389892E-4</v>
      </c>
      <c r="T2489" s="10">
        <v>7.5138651904732155E-4</v>
      </c>
      <c r="U2489" s="10">
        <v>1.2071E-4</v>
      </c>
      <c r="V2489" s="25"/>
      <c r="W2489" s="25"/>
      <c r="X2489" s="25"/>
      <c r="Y2489" s="25"/>
      <c r="Z2489" s="25"/>
      <c r="AA2489" s="25"/>
    </row>
    <row r="2490" spans="1:27" x14ac:dyDescent="0.35">
      <c r="A2490" s="5">
        <v>2486</v>
      </c>
      <c r="B2490" s="5">
        <v>104</v>
      </c>
      <c r="C2490" s="5">
        <v>4</v>
      </c>
      <c r="D2490" s="25">
        <v>1.1415000000000001E-4</v>
      </c>
      <c r="E2490" s="25">
        <v>1.2296E-4</v>
      </c>
      <c r="F2490" s="25">
        <v>1.1671999999999999E-4</v>
      </c>
      <c r="G2490" s="25">
        <v>1.6689999999999999E-4</v>
      </c>
      <c r="H2490" s="25">
        <v>1.2010000000000001E-4</v>
      </c>
      <c r="I2490" s="9">
        <v>1.2908E-4</v>
      </c>
      <c r="J2490" s="9">
        <v>1.1917999999999999E-4</v>
      </c>
      <c r="K2490" s="9">
        <v>0</v>
      </c>
      <c r="L2490" s="9">
        <v>1.3185000000000001E-4</v>
      </c>
      <c r="M2490" s="9">
        <v>1.5264E-4</v>
      </c>
      <c r="N2490" s="9">
        <v>1.7047000000000001E-4</v>
      </c>
      <c r="O2490" s="9">
        <v>1.1120000000000001E-4</v>
      </c>
      <c r="P2490" s="9">
        <v>1.3530000000000001E-4</v>
      </c>
      <c r="Q2490" s="9">
        <v>1.5933000000000001E-4</v>
      </c>
      <c r="R2490" s="10">
        <v>1.6528911173194129E-4</v>
      </c>
      <c r="S2490" s="10">
        <v>1.8541315664206634E-4</v>
      </c>
      <c r="T2490" s="10">
        <v>7.0243211179699919E-4</v>
      </c>
      <c r="U2490" s="10">
        <v>1.2071E-4</v>
      </c>
      <c r="V2490" s="25"/>
      <c r="W2490" s="25"/>
      <c r="X2490" s="25"/>
      <c r="Y2490" s="25"/>
      <c r="Z2490" s="25"/>
      <c r="AA2490" s="25"/>
    </row>
    <row r="2491" spans="1:27" x14ac:dyDescent="0.35">
      <c r="A2491" s="5">
        <v>2487</v>
      </c>
      <c r="B2491" s="5">
        <v>104</v>
      </c>
      <c r="C2491" s="5">
        <v>4</v>
      </c>
      <c r="D2491" s="25">
        <v>1.1416E-4</v>
      </c>
      <c r="E2491" s="25">
        <v>1.2001E-4</v>
      </c>
      <c r="F2491" s="25">
        <v>1.1434000000000001E-4</v>
      </c>
      <c r="G2491" s="25">
        <v>1.6353E-4</v>
      </c>
      <c r="H2491" s="25">
        <v>1.192E-4</v>
      </c>
      <c r="I2491" s="9">
        <v>1.2925999999999999E-4</v>
      </c>
      <c r="J2491" s="9">
        <v>1.1854E-4</v>
      </c>
      <c r="K2491" s="9">
        <v>0</v>
      </c>
      <c r="L2491" s="9">
        <v>1.1592E-4</v>
      </c>
      <c r="M2491" s="9">
        <v>1.4621999999999999E-4</v>
      </c>
      <c r="N2491" s="9">
        <v>1.6971999999999999E-4</v>
      </c>
      <c r="O2491" s="9">
        <v>1.2640000000000001E-4</v>
      </c>
      <c r="P2491" s="9">
        <v>1.3917000000000001E-4</v>
      </c>
      <c r="Q2491" s="9">
        <v>1.5208999999999999E-4</v>
      </c>
      <c r="R2491" s="10">
        <v>1.7458352504176876E-4</v>
      </c>
      <c r="S2491" s="10">
        <v>1.816881344040586E-4</v>
      </c>
      <c r="T2491" s="10">
        <v>5.970571138682292E-4</v>
      </c>
      <c r="U2491" s="10">
        <v>1.2071E-4</v>
      </c>
      <c r="V2491" s="25"/>
      <c r="W2491" s="25"/>
      <c r="X2491" s="25"/>
      <c r="Y2491" s="25"/>
      <c r="Z2491" s="25"/>
      <c r="AA2491" s="25"/>
    </row>
    <row r="2492" spans="1:27" x14ac:dyDescent="0.35">
      <c r="A2492" s="5">
        <v>2488</v>
      </c>
      <c r="B2492" s="5">
        <v>104</v>
      </c>
      <c r="C2492" s="5">
        <v>4</v>
      </c>
      <c r="D2492" s="25">
        <v>1.1415000000000001E-4</v>
      </c>
      <c r="E2492" s="25">
        <v>1.2016E-4</v>
      </c>
      <c r="F2492" s="25">
        <v>1.0594000000000001E-4</v>
      </c>
      <c r="G2492" s="25">
        <v>1.5854000000000001E-4</v>
      </c>
      <c r="H2492" s="25">
        <v>1.1835E-4</v>
      </c>
      <c r="I2492" s="9">
        <v>1.2803000000000001E-4</v>
      </c>
      <c r="J2492" s="9">
        <v>1.1914E-4</v>
      </c>
      <c r="K2492" s="9">
        <v>0</v>
      </c>
      <c r="L2492" s="9">
        <v>1.2454E-4</v>
      </c>
      <c r="M2492" s="9">
        <v>1.4187999999999999E-4</v>
      </c>
      <c r="N2492" s="9">
        <v>1.6581000000000001E-4</v>
      </c>
      <c r="O2492" s="9">
        <v>1.3405000000000001E-4</v>
      </c>
      <c r="P2492" s="9">
        <v>1.2179E-4</v>
      </c>
      <c r="Q2492" s="9">
        <v>1.1009E-4</v>
      </c>
      <c r="R2492" s="10">
        <v>1.791112408847571E-4</v>
      </c>
      <c r="S2492" s="10">
        <v>1.7940477166130872E-4</v>
      </c>
      <c r="T2492" s="10">
        <v>4.6998776250114474E-4</v>
      </c>
      <c r="U2492" s="10">
        <v>1.2071E-4</v>
      </c>
      <c r="V2492" s="25"/>
      <c r="W2492" s="25"/>
      <c r="X2492" s="25"/>
      <c r="Y2492" s="25"/>
      <c r="Z2492" s="25"/>
      <c r="AA2492" s="25"/>
    </row>
    <row r="2493" spans="1:27" x14ac:dyDescent="0.35">
      <c r="A2493" s="5">
        <v>2489</v>
      </c>
      <c r="B2493" s="5">
        <v>104</v>
      </c>
      <c r="C2493" s="5">
        <v>4</v>
      </c>
      <c r="D2493" s="25">
        <v>1.1416E-4</v>
      </c>
      <c r="E2493" s="25">
        <v>1.1459999999999999E-4</v>
      </c>
      <c r="F2493" s="25">
        <v>1.097E-4</v>
      </c>
      <c r="G2493" s="25">
        <v>1.5621E-4</v>
      </c>
      <c r="H2493" s="25">
        <v>1.1365E-4</v>
      </c>
      <c r="I2493" s="9">
        <v>1.2847999999999999E-4</v>
      </c>
      <c r="J2493" s="9">
        <v>1.2047E-4</v>
      </c>
      <c r="K2493" s="9">
        <v>0</v>
      </c>
      <c r="L2493" s="9">
        <v>1.317E-4</v>
      </c>
      <c r="M2493" s="9">
        <v>1.3369E-4</v>
      </c>
      <c r="N2493" s="9">
        <v>1.5220000000000001E-4</v>
      </c>
      <c r="O2493" s="9">
        <v>1.3962999999999999E-4</v>
      </c>
      <c r="P2493" s="9">
        <v>1.2302999999999999E-4</v>
      </c>
      <c r="Q2493" s="9">
        <v>1.0707E-4</v>
      </c>
      <c r="R2493" s="10">
        <v>1.7372252116719172E-4</v>
      </c>
      <c r="S2493" s="10">
        <v>1.7549120952521682E-4</v>
      </c>
      <c r="T2493" s="10">
        <v>2.7464525426346343E-4</v>
      </c>
      <c r="U2493" s="10">
        <v>1.2071E-4</v>
      </c>
      <c r="V2493" s="25"/>
      <c r="W2493" s="25"/>
      <c r="X2493" s="25"/>
      <c r="Y2493" s="25"/>
      <c r="Z2493" s="25"/>
      <c r="AA2493" s="25"/>
    </row>
    <row r="2494" spans="1:27" x14ac:dyDescent="0.35">
      <c r="A2494" s="5">
        <v>2490</v>
      </c>
      <c r="B2494" s="5">
        <v>104</v>
      </c>
      <c r="C2494" s="5">
        <v>4</v>
      </c>
      <c r="D2494" s="25">
        <v>1.1415000000000001E-4</v>
      </c>
      <c r="E2494" s="25">
        <v>1.2070000000000001E-4</v>
      </c>
      <c r="F2494" s="25">
        <v>1.0404E-4</v>
      </c>
      <c r="G2494" s="25">
        <v>1.6576000000000001E-4</v>
      </c>
      <c r="H2494" s="25">
        <v>1.1355E-4</v>
      </c>
      <c r="I2494" s="9">
        <v>1.2632E-4</v>
      </c>
      <c r="J2494" s="9">
        <v>1.1616999999999999E-4</v>
      </c>
      <c r="K2494" s="9">
        <v>2.1299999999999999E-6</v>
      </c>
      <c r="L2494" s="9">
        <v>1.3756E-4</v>
      </c>
      <c r="M2494" s="9">
        <v>1.2778999999999999E-4</v>
      </c>
      <c r="N2494" s="9">
        <v>1.3891000000000001E-4</v>
      </c>
      <c r="O2494" s="9">
        <v>1.3955E-4</v>
      </c>
      <c r="P2494" s="9">
        <v>1.2800999999999999E-4</v>
      </c>
      <c r="Q2494" s="9">
        <v>1.1703E-4</v>
      </c>
      <c r="R2494" s="10">
        <v>1.4975781523448044E-4</v>
      </c>
      <c r="S2494" s="10">
        <v>1.6541016633732966E-4</v>
      </c>
      <c r="T2494" s="10">
        <v>8.4325451241066475E-5</v>
      </c>
      <c r="U2494" s="10">
        <v>1.2071E-4</v>
      </c>
      <c r="V2494" s="25"/>
      <c r="W2494" s="25"/>
      <c r="X2494" s="25"/>
      <c r="Y2494" s="25"/>
      <c r="Z2494" s="25"/>
      <c r="AA2494" s="25"/>
    </row>
    <row r="2495" spans="1:27" x14ac:dyDescent="0.35">
      <c r="A2495" s="5">
        <v>2491</v>
      </c>
      <c r="B2495" s="5">
        <v>104</v>
      </c>
      <c r="C2495" s="5">
        <v>4</v>
      </c>
      <c r="D2495" s="25">
        <v>1.1416E-4</v>
      </c>
      <c r="E2495" s="25">
        <v>1.1864E-4</v>
      </c>
      <c r="F2495" s="25">
        <v>1.0349E-4</v>
      </c>
      <c r="G2495" s="25">
        <v>1.0569999999999999E-4</v>
      </c>
      <c r="H2495" s="25">
        <v>7.8869999999999995E-5</v>
      </c>
      <c r="I2495" s="9">
        <v>1.2301E-4</v>
      </c>
      <c r="J2495" s="9">
        <v>1.1422E-4</v>
      </c>
      <c r="K2495" s="9">
        <v>2.5429999999999999E-5</v>
      </c>
      <c r="L2495" s="9">
        <v>1.3903E-4</v>
      </c>
      <c r="M2495" s="9">
        <v>1.2651000000000001E-4</v>
      </c>
      <c r="N2495" s="9">
        <v>1.2972E-4</v>
      </c>
      <c r="O2495" s="9">
        <v>1.415E-4</v>
      </c>
      <c r="P2495" s="9">
        <v>1.2415000000000001E-4</v>
      </c>
      <c r="Q2495" s="9">
        <v>1.0746E-4</v>
      </c>
      <c r="R2495" s="10">
        <v>1.3320084011830211E-4</v>
      </c>
      <c r="S2495" s="10">
        <v>1.5306794362105532E-4</v>
      </c>
      <c r="T2495" s="10">
        <v>1.8156400609304986E-6</v>
      </c>
      <c r="U2495" s="10">
        <v>1.2071E-4</v>
      </c>
      <c r="V2495" s="25"/>
      <c r="W2495" s="25"/>
      <c r="X2495" s="25"/>
      <c r="Y2495" s="25"/>
      <c r="Z2495" s="25"/>
      <c r="AA2495" s="25"/>
    </row>
    <row r="2496" spans="1:27" x14ac:dyDescent="0.35">
      <c r="A2496" s="5">
        <v>2492</v>
      </c>
      <c r="B2496" s="5">
        <v>104</v>
      </c>
      <c r="C2496" s="5">
        <v>4</v>
      </c>
      <c r="D2496" s="25">
        <v>1.1415000000000001E-4</v>
      </c>
      <c r="E2496" s="25">
        <v>1.1917E-4</v>
      </c>
      <c r="F2496" s="25">
        <v>1.2286E-4</v>
      </c>
      <c r="G2496" s="25">
        <v>1.1374000000000001E-4</v>
      </c>
      <c r="H2496" s="25">
        <v>7.9330000000000001E-5</v>
      </c>
      <c r="I2496" s="9">
        <v>1.2165E-4</v>
      </c>
      <c r="J2496" s="9">
        <v>1.1446E-4</v>
      </c>
      <c r="K2496" s="9">
        <v>4.4509999999999999E-5</v>
      </c>
      <c r="L2496" s="9">
        <v>1.4097E-4</v>
      </c>
      <c r="M2496" s="9">
        <v>1.2558E-4</v>
      </c>
      <c r="N2496" s="9">
        <v>1.2078000000000001E-4</v>
      </c>
      <c r="O2496" s="9">
        <v>1.4175E-4</v>
      </c>
      <c r="P2496" s="9">
        <v>1.2087E-4</v>
      </c>
      <c r="Q2496" s="9">
        <v>1.0069999999999999E-4</v>
      </c>
      <c r="R2496" s="10">
        <v>1.2051342525622279E-4</v>
      </c>
      <c r="S2496" s="10">
        <v>1.4152635248616726E-4</v>
      </c>
      <c r="T2496" s="10">
        <v>0</v>
      </c>
      <c r="U2496" s="10">
        <v>1.2071E-4</v>
      </c>
      <c r="V2496" s="25"/>
      <c r="W2496" s="25"/>
      <c r="X2496" s="25"/>
      <c r="Y2496" s="25"/>
      <c r="Z2496" s="25"/>
      <c r="AA2496" s="25"/>
    </row>
    <row r="2497" spans="1:27" x14ac:dyDescent="0.35">
      <c r="A2497" s="5">
        <v>2493</v>
      </c>
      <c r="B2497" s="5">
        <v>104</v>
      </c>
      <c r="C2497" s="5">
        <v>4</v>
      </c>
      <c r="D2497" s="25">
        <v>1.1416E-4</v>
      </c>
      <c r="E2497" s="25">
        <v>1.1917E-4</v>
      </c>
      <c r="F2497" s="25">
        <v>1.1972E-4</v>
      </c>
      <c r="G2497" s="25">
        <v>5.3569999999999997E-5</v>
      </c>
      <c r="H2497" s="25">
        <v>4.2429999999999999E-5</v>
      </c>
      <c r="I2497" s="9">
        <v>1.2248000000000001E-4</v>
      </c>
      <c r="J2497" s="9">
        <v>1.1469E-4</v>
      </c>
      <c r="K2497" s="9">
        <v>8.0539999999999998E-5</v>
      </c>
      <c r="L2497" s="9">
        <v>1.4155999999999999E-4</v>
      </c>
      <c r="M2497" s="9">
        <v>1.2369E-4</v>
      </c>
      <c r="N2497" s="9">
        <v>1.1289E-4</v>
      </c>
      <c r="O2497" s="9">
        <v>8.373E-5</v>
      </c>
      <c r="P2497" s="9">
        <v>8.5500000000000005E-5</v>
      </c>
      <c r="Q2497" s="9">
        <v>8.7479999999999996E-5</v>
      </c>
      <c r="R2497" s="10">
        <v>1.0579431256092811E-4</v>
      </c>
      <c r="S2497" s="10">
        <v>1.3073800577074817E-4</v>
      </c>
      <c r="T2497" s="10">
        <v>0</v>
      </c>
      <c r="U2497" s="10">
        <v>1.2071E-4</v>
      </c>
      <c r="V2497" s="25"/>
      <c r="W2497" s="25"/>
      <c r="X2497" s="25"/>
      <c r="Y2497" s="25"/>
      <c r="Z2497" s="25"/>
      <c r="AA2497" s="25"/>
    </row>
    <row r="2498" spans="1:27" x14ac:dyDescent="0.35">
      <c r="A2498" s="5">
        <v>2494</v>
      </c>
      <c r="B2498" s="5">
        <v>104</v>
      </c>
      <c r="C2498" s="5">
        <v>4</v>
      </c>
      <c r="D2498" s="25">
        <v>1.1415000000000001E-4</v>
      </c>
      <c r="E2498" s="25">
        <v>1.1909999999999999E-4</v>
      </c>
      <c r="F2498" s="25">
        <v>1.0341E-4</v>
      </c>
      <c r="G2498" s="25">
        <v>6.0590000000000001E-5</v>
      </c>
      <c r="H2498" s="25">
        <v>4.5710000000000001E-5</v>
      </c>
      <c r="I2498" s="9">
        <v>1.2147E-4</v>
      </c>
      <c r="J2498" s="9">
        <v>1.0637E-4</v>
      </c>
      <c r="K2498" s="9">
        <v>7.4179999999999998E-5</v>
      </c>
      <c r="L2498" s="9">
        <v>9.6429999999999997E-5</v>
      </c>
      <c r="M2498" s="9">
        <v>1.094E-4</v>
      </c>
      <c r="N2498" s="9">
        <v>1.0514999999999999E-4</v>
      </c>
      <c r="O2498" s="9">
        <v>8.7020000000000004E-5</v>
      </c>
      <c r="P2498" s="9">
        <v>8.7429999999999995E-5</v>
      </c>
      <c r="Q2498" s="9">
        <v>8.8079999999999997E-5</v>
      </c>
      <c r="R2498" s="10">
        <v>9.485657840239945E-5</v>
      </c>
      <c r="S2498" s="10">
        <v>1.2456267507756532E-4</v>
      </c>
      <c r="T2498" s="10">
        <v>0</v>
      </c>
      <c r="U2498" s="10">
        <v>1.2071E-4</v>
      </c>
      <c r="V2498" s="25"/>
      <c r="W2498" s="25"/>
      <c r="X2498" s="25"/>
      <c r="Y2498" s="25"/>
      <c r="Z2498" s="25"/>
      <c r="AA2498" s="25"/>
    </row>
    <row r="2499" spans="1:27" x14ac:dyDescent="0.35">
      <c r="A2499" s="5">
        <v>2495</v>
      </c>
      <c r="B2499" s="5">
        <v>104</v>
      </c>
      <c r="C2499" s="5">
        <v>4</v>
      </c>
      <c r="D2499" s="25">
        <v>1.1416E-4</v>
      </c>
      <c r="E2499" s="25">
        <v>1.1383E-4</v>
      </c>
      <c r="F2499" s="25">
        <v>1.1196000000000001E-4</v>
      </c>
      <c r="G2499" s="25">
        <v>6.1619999999999996E-5</v>
      </c>
      <c r="H2499" s="25">
        <v>4.2110000000000002E-5</v>
      </c>
      <c r="I2499" s="9">
        <v>1.1728E-4</v>
      </c>
      <c r="J2499" s="9">
        <v>9.8809999999999998E-5</v>
      </c>
      <c r="K2499" s="9">
        <v>8.4770000000000003E-5</v>
      </c>
      <c r="L2499" s="9">
        <v>9.0350000000000001E-5</v>
      </c>
      <c r="M2499" s="9">
        <v>9.7659999999999997E-5</v>
      </c>
      <c r="N2499" s="9">
        <v>9.9370000000000006E-5</v>
      </c>
      <c r="O2499" s="9">
        <v>8.4980000000000003E-5</v>
      </c>
      <c r="P2499" s="9">
        <v>7.5939999999999995E-5</v>
      </c>
      <c r="Q2499" s="9">
        <v>6.7269999999999998E-5</v>
      </c>
      <c r="R2499" s="10">
        <v>8.9475680982227767E-5</v>
      </c>
      <c r="S2499" s="10">
        <v>1.2475514150402561E-4</v>
      </c>
      <c r="T2499" s="10">
        <v>0</v>
      </c>
      <c r="U2499" s="10">
        <v>1.2071E-4</v>
      </c>
      <c r="V2499" s="25"/>
      <c r="W2499" s="25"/>
      <c r="X2499" s="25"/>
      <c r="Y2499" s="25"/>
      <c r="Z2499" s="25"/>
      <c r="AA2499" s="25"/>
    </row>
    <row r="2500" spans="1:27" x14ac:dyDescent="0.35">
      <c r="A2500" s="5">
        <v>2496</v>
      </c>
      <c r="B2500" s="5">
        <v>104</v>
      </c>
      <c r="C2500" s="5">
        <v>4</v>
      </c>
      <c r="D2500" s="25">
        <v>1.1415000000000001E-4</v>
      </c>
      <c r="E2500" s="25">
        <v>1.1817E-4</v>
      </c>
      <c r="F2500" s="25">
        <v>1.2097E-4</v>
      </c>
      <c r="G2500" s="25">
        <v>6.1459999999999998E-5</v>
      </c>
      <c r="H2500" s="25">
        <v>3.9860000000000001E-5</v>
      </c>
      <c r="I2500" s="9">
        <v>1.0975E-4</v>
      </c>
      <c r="J2500" s="9">
        <v>9.0610000000000002E-5</v>
      </c>
      <c r="K2500" s="9">
        <v>1.1021E-4</v>
      </c>
      <c r="L2500" s="9">
        <v>8.6360000000000007E-5</v>
      </c>
      <c r="M2500" s="9">
        <v>8.7109999999999998E-5</v>
      </c>
      <c r="N2500" s="9">
        <v>9.0260000000000007E-5</v>
      </c>
      <c r="O2500" s="9">
        <v>7.9569999999999999E-5</v>
      </c>
      <c r="P2500" s="9">
        <v>6.9220000000000005E-5</v>
      </c>
      <c r="Q2500" s="9">
        <v>5.9249999999999997E-5</v>
      </c>
      <c r="R2500" s="10">
        <v>9.9980597843864991E-5</v>
      </c>
      <c r="S2500" s="10">
        <v>1.3376080353551969E-4</v>
      </c>
      <c r="T2500" s="10">
        <v>0</v>
      </c>
      <c r="U2500" s="10">
        <v>1.2071E-4</v>
      </c>
      <c r="V2500" s="25"/>
      <c r="W2500" s="25"/>
      <c r="X2500" s="25"/>
      <c r="Y2500" s="25"/>
      <c r="Z2500" s="25"/>
      <c r="AA2500" s="25"/>
    </row>
    <row r="2501" spans="1:27" x14ac:dyDescent="0.35">
      <c r="A2501" s="5">
        <v>2497</v>
      </c>
      <c r="B2501" s="5">
        <v>105</v>
      </c>
      <c r="C2501" s="5">
        <v>4</v>
      </c>
      <c r="D2501" s="25">
        <v>1.1416E-4</v>
      </c>
      <c r="E2501" s="25">
        <v>1.1347E-4</v>
      </c>
      <c r="F2501" s="25">
        <v>1.1332000000000001E-4</v>
      </c>
      <c r="G2501" s="25">
        <v>5.825E-5</v>
      </c>
      <c r="H2501" s="25">
        <v>1.4739999999999999E-5</v>
      </c>
      <c r="I2501" s="9">
        <v>1.0373E-4</v>
      </c>
      <c r="J2501" s="9">
        <v>9.0099999999999995E-5</v>
      </c>
      <c r="K2501" s="9">
        <v>1.6531E-4</v>
      </c>
      <c r="L2501" s="9">
        <v>8.0829999999999997E-5</v>
      </c>
      <c r="M2501" s="9">
        <v>7.8300000000000006E-5</v>
      </c>
      <c r="N2501" s="9">
        <v>8.1009999999999999E-5</v>
      </c>
      <c r="O2501" s="9">
        <v>6.8570000000000002E-5</v>
      </c>
      <c r="P2501" s="9">
        <v>6.1050000000000007E-5</v>
      </c>
      <c r="Q2501" s="9">
        <v>5.384E-5</v>
      </c>
      <c r="R2501" s="10">
        <v>1.1180265637310837E-4</v>
      </c>
      <c r="S2501" s="10">
        <v>1.4009772686869276E-4</v>
      </c>
      <c r="T2501" s="10">
        <v>0</v>
      </c>
      <c r="U2501" s="10">
        <v>1.1906E-4</v>
      </c>
      <c r="V2501" s="25"/>
      <c r="W2501" s="25"/>
      <c r="X2501" s="25"/>
      <c r="Y2501" s="25"/>
      <c r="Z2501" s="25"/>
      <c r="AA2501" s="25"/>
    </row>
    <row r="2502" spans="1:27" x14ac:dyDescent="0.35">
      <c r="A2502" s="5">
        <v>2498</v>
      </c>
      <c r="B2502" s="5">
        <v>105</v>
      </c>
      <c r="C2502" s="5">
        <v>4</v>
      </c>
      <c r="D2502" s="25">
        <v>1.1415000000000001E-4</v>
      </c>
      <c r="E2502" s="25">
        <v>1.0545E-4</v>
      </c>
      <c r="F2502" s="25">
        <v>1.1805E-4</v>
      </c>
      <c r="G2502" s="25">
        <v>5.2689999999999999E-5</v>
      </c>
      <c r="H2502" s="25">
        <v>1.5650000000000001E-5</v>
      </c>
      <c r="I2502" s="9">
        <v>9.9489999999999998E-5</v>
      </c>
      <c r="J2502" s="9">
        <v>8.9099999999999997E-5</v>
      </c>
      <c r="K2502" s="9">
        <v>1.5683E-4</v>
      </c>
      <c r="L2502" s="9">
        <v>7.1409999999999996E-5</v>
      </c>
      <c r="M2502" s="9">
        <v>7.0019999999999997E-5</v>
      </c>
      <c r="N2502" s="9">
        <v>7.2089999999999996E-5</v>
      </c>
      <c r="O2502" s="9">
        <v>3.5209999999999997E-5</v>
      </c>
      <c r="P2502" s="9">
        <v>4.5550000000000003E-5</v>
      </c>
      <c r="Q2502" s="9">
        <v>5.5829999999999999E-5</v>
      </c>
      <c r="R2502" s="10">
        <v>1.2541810718370939E-4</v>
      </c>
      <c r="S2502" s="10">
        <v>1.5117696510310303E-4</v>
      </c>
      <c r="T2502" s="10">
        <v>0</v>
      </c>
      <c r="U2502" s="10">
        <v>1.1906E-4</v>
      </c>
      <c r="V2502" s="25"/>
      <c r="W2502" s="25"/>
      <c r="X2502" s="25"/>
      <c r="Y2502" s="25"/>
      <c r="Z2502" s="25"/>
      <c r="AA2502" s="25"/>
    </row>
    <row r="2503" spans="1:27" x14ac:dyDescent="0.35">
      <c r="A2503" s="5">
        <v>2499</v>
      </c>
      <c r="B2503" s="5">
        <v>105</v>
      </c>
      <c r="C2503" s="5">
        <v>4</v>
      </c>
      <c r="D2503" s="25">
        <v>1.1416E-4</v>
      </c>
      <c r="E2503" s="25">
        <v>1.0632E-4</v>
      </c>
      <c r="F2503" s="25">
        <v>1.3124999999999999E-4</v>
      </c>
      <c r="G2503" s="25">
        <v>5.2210000000000003E-5</v>
      </c>
      <c r="H2503" s="25">
        <v>1.609E-5</v>
      </c>
      <c r="I2503" s="9">
        <v>9.8620000000000001E-5</v>
      </c>
      <c r="J2503" s="9">
        <v>8.8590000000000004E-5</v>
      </c>
      <c r="K2503" s="9">
        <v>1.5470999999999999E-4</v>
      </c>
      <c r="L2503" s="9">
        <v>4.3430000000000003E-5</v>
      </c>
      <c r="M2503" s="9">
        <v>5.9249999999999997E-5</v>
      </c>
      <c r="N2503" s="9">
        <v>6.5519999999999996E-5</v>
      </c>
      <c r="O2503" s="9">
        <v>2.2240000000000001E-5</v>
      </c>
      <c r="P2503" s="9">
        <v>4.1850000000000001E-5</v>
      </c>
      <c r="Q2503" s="9">
        <v>6.122E-5</v>
      </c>
      <c r="R2503" s="10">
        <v>1.3901781222420384E-4</v>
      </c>
      <c r="S2503" s="10">
        <v>1.6610772117117202E-4</v>
      </c>
      <c r="T2503" s="10">
        <v>0</v>
      </c>
      <c r="U2503" s="10">
        <v>1.1906E-4</v>
      </c>
      <c r="V2503" s="25"/>
      <c r="W2503" s="25"/>
      <c r="X2503" s="25"/>
      <c r="Y2503" s="25"/>
      <c r="Z2503" s="25"/>
      <c r="AA2503" s="25"/>
    </row>
    <row r="2504" spans="1:27" x14ac:dyDescent="0.35">
      <c r="A2504" s="5">
        <v>2500</v>
      </c>
      <c r="B2504" s="5">
        <v>105</v>
      </c>
      <c r="C2504" s="5">
        <v>4</v>
      </c>
      <c r="D2504" s="25">
        <v>1.1415000000000001E-4</v>
      </c>
      <c r="E2504" s="25">
        <v>1.1477E-4</v>
      </c>
      <c r="F2504" s="25">
        <v>1.2430000000000001E-4</v>
      </c>
      <c r="G2504" s="25">
        <v>5.516E-5</v>
      </c>
      <c r="H2504" s="25">
        <v>1.6229999999999999E-5</v>
      </c>
      <c r="I2504" s="9">
        <v>1.0073000000000001E-4</v>
      </c>
      <c r="J2504" s="9">
        <v>8.9030000000000006E-5</v>
      </c>
      <c r="K2504" s="9">
        <v>1.3564E-4</v>
      </c>
      <c r="L2504" s="9">
        <v>2.7650000000000001E-5</v>
      </c>
      <c r="M2504" s="9">
        <v>5.0389999999999997E-5</v>
      </c>
      <c r="N2504" s="9">
        <v>6.1890000000000005E-5</v>
      </c>
      <c r="O2504" s="9">
        <v>2.196E-5</v>
      </c>
      <c r="P2504" s="9">
        <v>5.1610000000000002E-5</v>
      </c>
      <c r="Q2504" s="9">
        <v>8.085E-5</v>
      </c>
      <c r="R2504" s="10">
        <v>1.4668566380843091E-4</v>
      </c>
      <c r="S2504" s="10">
        <v>1.7416067415884577E-4</v>
      </c>
      <c r="T2504" s="10">
        <v>0</v>
      </c>
      <c r="U2504" s="10">
        <v>1.1906E-4</v>
      </c>
      <c r="V2504" s="25"/>
      <c r="W2504" s="25"/>
      <c r="X2504" s="25"/>
      <c r="Y2504" s="25"/>
      <c r="Z2504" s="25"/>
      <c r="AA2504" s="25"/>
    </row>
    <row r="2505" spans="1:27" x14ac:dyDescent="0.35">
      <c r="A2505" s="5">
        <v>2501</v>
      </c>
      <c r="B2505" s="5">
        <v>105</v>
      </c>
      <c r="C2505" s="5">
        <v>4</v>
      </c>
      <c r="D2505" s="25">
        <v>1.1416E-4</v>
      </c>
      <c r="E2505" s="25">
        <v>1.1548999999999999E-4</v>
      </c>
      <c r="F2505" s="25">
        <v>1.1687E-4</v>
      </c>
      <c r="G2505" s="25">
        <v>6.1069999999999996E-5</v>
      </c>
      <c r="H2505" s="25">
        <v>1.487E-5</v>
      </c>
      <c r="I2505" s="9">
        <v>1.0755999999999999E-4</v>
      </c>
      <c r="J2505" s="9">
        <v>9.1210000000000003E-5</v>
      </c>
      <c r="K2505" s="9">
        <v>1.4836E-4</v>
      </c>
      <c r="L2505" s="9">
        <v>2.3600000000000001E-5</v>
      </c>
      <c r="M2505" s="9">
        <v>4.8770000000000002E-5</v>
      </c>
      <c r="N2505" s="9">
        <v>6.4529999999999994E-5</v>
      </c>
      <c r="O2505" s="9">
        <v>2.3879999999999998E-5</v>
      </c>
      <c r="P2505" s="9">
        <v>5.9339999999999998E-5</v>
      </c>
      <c r="Q2505" s="9">
        <v>9.4309999999999997E-5</v>
      </c>
      <c r="R2505" s="10">
        <v>1.5668796846228614E-4</v>
      </c>
      <c r="S2505" s="10">
        <v>1.788108454798518E-4</v>
      </c>
      <c r="T2505" s="10">
        <v>0</v>
      </c>
      <c r="U2505" s="10">
        <v>1.1906E-4</v>
      </c>
      <c r="V2505" s="25"/>
      <c r="W2505" s="25"/>
      <c r="X2505" s="25"/>
      <c r="Y2505" s="25"/>
      <c r="Z2505" s="25"/>
      <c r="AA2505" s="25"/>
    </row>
    <row r="2506" spans="1:27" x14ac:dyDescent="0.35">
      <c r="A2506" s="5">
        <v>2502</v>
      </c>
      <c r="B2506" s="5">
        <v>105</v>
      </c>
      <c r="C2506" s="5">
        <v>4</v>
      </c>
      <c r="D2506" s="25">
        <v>1.1415000000000001E-4</v>
      </c>
      <c r="E2506" s="25">
        <v>1.1354E-4</v>
      </c>
      <c r="F2506" s="25">
        <v>1.2996000000000001E-4</v>
      </c>
      <c r="G2506" s="25">
        <v>1.047E-4</v>
      </c>
      <c r="H2506" s="25">
        <v>2.7909999999999999E-5</v>
      </c>
      <c r="I2506" s="9">
        <v>1.1946E-4</v>
      </c>
      <c r="J2506" s="9">
        <v>9.679E-5</v>
      </c>
      <c r="K2506" s="9">
        <v>1.3776000000000001E-4</v>
      </c>
      <c r="L2506" s="9">
        <v>2.374E-5</v>
      </c>
      <c r="M2506" s="9">
        <v>5.2509999999999997E-5</v>
      </c>
      <c r="N2506" s="9">
        <v>7.1210000000000004E-5</v>
      </c>
      <c r="O2506" s="9">
        <v>2.9940000000000001E-5</v>
      </c>
      <c r="P2506" s="9">
        <v>6.868E-5</v>
      </c>
      <c r="Q2506" s="9">
        <v>1.0688000000000001E-4</v>
      </c>
      <c r="R2506" s="10">
        <v>1.5617839751257045E-4</v>
      </c>
      <c r="S2506" s="10">
        <v>1.7919237027935736E-4</v>
      </c>
      <c r="T2506" s="10">
        <v>4.9208936230826594E-6</v>
      </c>
      <c r="U2506" s="10">
        <v>1.1906E-4</v>
      </c>
      <c r="V2506" s="25"/>
      <c r="W2506" s="25"/>
      <c r="X2506" s="25"/>
      <c r="Y2506" s="25"/>
      <c r="Z2506" s="25"/>
      <c r="AA2506" s="25"/>
    </row>
    <row r="2507" spans="1:27" x14ac:dyDescent="0.35">
      <c r="A2507" s="5">
        <v>2503</v>
      </c>
      <c r="B2507" s="5">
        <v>105</v>
      </c>
      <c r="C2507" s="5">
        <v>4</v>
      </c>
      <c r="D2507" s="25">
        <v>1.1416E-4</v>
      </c>
      <c r="E2507" s="25">
        <v>1.1073000000000001E-4</v>
      </c>
      <c r="F2507" s="25">
        <v>1.1811000000000001E-4</v>
      </c>
      <c r="G2507" s="25">
        <v>1.1009E-4</v>
      </c>
      <c r="H2507" s="25">
        <v>2.9850000000000001E-5</v>
      </c>
      <c r="I2507" s="9">
        <v>1.2627999999999999E-4</v>
      </c>
      <c r="J2507" s="9">
        <v>1.1027E-4</v>
      </c>
      <c r="K2507" s="9">
        <v>1.314E-4</v>
      </c>
      <c r="L2507" s="9">
        <v>2.8479999999999998E-5</v>
      </c>
      <c r="M2507" s="9">
        <v>5.944E-5</v>
      </c>
      <c r="N2507" s="9">
        <v>8.085E-5</v>
      </c>
      <c r="O2507" s="9">
        <v>4.5949999999999999E-5</v>
      </c>
      <c r="P2507" s="9">
        <v>7.8880000000000004E-5</v>
      </c>
      <c r="Q2507" s="9">
        <v>1.1143E-4</v>
      </c>
      <c r="R2507" s="10">
        <v>1.5672787610096882E-4</v>
      </c>
      <c r="S2507" s="10">
        <v>1.7968473697975958E-4</v>
      </c>
      <c r="T2507" s="10">
        <v>9.581319256115944E-5</v>
      </c>
      <c r="U2507" s="10">
        <v>1.1906E-4</v>
      </c>
      <c r="V2507" s="25"/>
      <c r="W2507" s="25"/>
      <c r="X2507" s="25"/>
      <c r="Y2507" s="25"/>
      <c r="Z2507" s="25"/>
      <c r="AA2507" s="25"/>
    </row>
    <row r="2508" spans="1:27" x14ac:dyDescent="0.35">
      <c r="A2508" s="5">
        <v>2504</v>
      </c>
      <c r="B2508" s="5">
        <v>105</v>
      </c>
      <c r="C2508" s="5">
        <v>4</v>
      </c>
      <c r="D2508" s="25">
        <v>1.1415000000000001E-4</v>
      </c>
      <c r="E2508" s="25">
        <v>1.1256000000000001E-4</v>
      </c>
      <c r="F2508" s="25">
        <v>1.1572E-4</v>
      </c>
      <c r="G2508" s="25">
        <v>1.6736E-4</v>
      </c>
      <c r="H2508" s="25">
        <v>4.1170000000000001E-5</v>
      </c>
      <c r="I2508" s="9">
        <v>1.2931999999999999E-4</v>
      </c>
      <c r="J2508" s="9">
        <v>1.1872E-4</v>
      </c>
      <c r="K2508" s="9">
        <v>1.0385E-4</v>
      </c>
      <c r="L2508" s="9">
        <v>4.197E-5</v>
      </c>
      <c r="M2508" s="9">
        <v>6.8180000000000001E-5</v>
      </c>
      <c r="N2508" s="9">
        <v>9.0719999999999999E-5</v>
      </c>
      <c r="O2508" s="9">
        <v>6.758E-5</v>
      </c>
      <c r="P2508" s="9">
        <v>1.0162000000000001E-4</v>
      </c>
      <c r="Q2508" s="9">
        <v>1.3532E-4</v>
      </c>
      <c r="R2508" s="10">
        <v>1.5921163754448281E-4</v>
      </c>
      <c r="S2508" s="10">
        <v>1.7969992747793778E-4</v>
      </c>
      <c r="T2508" s="10">
        <v>2.9842674534191288E-4</v>
      </c>
      <c r="U2508" s="10">
        <v>1.1906E-4</v>
      </c>
      <c r="V2508" s="25"/>
      <c r="W2508" s="25"/>
      <c r="X2508" s="25"/>
      <c r="Y2508" s="25"/>
      <c r="Z2508" s="25"/>
      <c r="AA2508" s="25"/>
    </row>
    <row r="2509" spans="1:27" x14ac:dyDescent="0.35">
      <c r="A2509" s="5">
        <v>2505</v>
      </c>
      <c r="B2509" s="5">
        <v>105</v>
      </c>
      <c r="C2509" s="5">
        <v>4</v>
      </c>
      <c r="D2509" s="25">
        <v>1.1416E-4</v>
      </c>
      <c r="E2509" s="25">
        <v>1.1322E-4</v>
      </c>
      <c r="F2509" s="25">
        <v>1.3525000000000001E-4</v>
      </c>
      <c r="G2509" s="25">
        <v>1.6414000000000001E-4</v>
      </c>
      <c r="H2509" s="25">
        <v>4.091E-5</v>
      </c>
      <c r="I2509" s="9">
        <v>1.3124E-4</v>
      </c>
      <c r="J2509" s="9">
        <v>1.2167000000000001E-4</v>
      </c>
      <c r="K2509" s="9">
        <v>2.12E-5</v>
      </c>
      <c r="L2509" s="9">
        <v>6.1580000000000003E-5</v>
      </c>
      <c r="M2509" s="9">
        <v>8.2379999999999994E-5</v>
      </c>
      <c r="N2509" s="9">
        <v>1.0415E-4</v>
      </c>
      <c r="O2509" s="9">
        <v>1.0012E-4</v>
      </c>
      <c r="P2509" s="9">
        <v>1.3907000000000001E-4</v>
      </c>
      <c r="Q2509" s="9">
        <v>1.7768999999999999E-4</v>
      </c>
      <c r="R2509" s="10">
        <v>1.5236180130284417E-4</v>
      </c>
      <c r="S2509" s="10">
        <v>1.7815439479382765E-4</v>
      </c>
      <c r="T2509" s="10">
        <v>4.7910838430254802E-4</v>
      </c>
      <c r="U2509" s="10">
        <v>1.1906E-4</v>
      </c>
      <c r="V2509" s="25"/>
      <c r="W2509" s="25"/>
      <c r="X2509" s="25"/>
      <c r="Y2509" s="25"/>
      <c r="Z2509" s="25"/>
      <c r="AA2509" s="25"/>
    </row>
    <row r="2510" spans="1:27" x14ac:dyDescent="0.35">
      <c r="A2510" s="5">
        <v>2506</v>
      </c>
      <c r="B2510" s="5">
        <v>105</v>
      </c>
      <c r="C2510" s="5">
        <v>4</v>
      </c>
      <c r="D2510" s="25">
        <v>1.1415000000000001E-4</v>
      </c>
      <c r="E2510" s="25">
        <v>1.0821E-4</v>
      </c>
      <c r="F2510" s="25">
        <v>1.3195000000000001E-4</v>
      </c>
      <c r="G2510" s="25">
        <v>1.5933000000000001E-4</v>
      </c>
      <c r="H2510" s="25">
        <v>4.1300000000000001E-5</v>
      </c>
      <c r="I2510" s="9">
        <v>1.3090000000000001E-4</v>
      </c>
      <c r="J2510" s="9">
        <v>1.2057000000000001E-4</v>
      </c>
      <c r="K2510" s="9">
        <v>0</v>
      </c>
      <c r="L2510" s="9">
        <v>9.1130000000000003E-5</v>
      </c>
      <c r="M2510" s="9">
        <v>1.0637999999999999E-4</v>
      </c>
      <c r="N2510" s="9">
        <v>1.2433999999999999E-4</v>
      </c>
      <c r="O2510" s="9">
        <v>1.2761000000000001E-4</v>
      </c>
      <c r="P2510" s="9">
        <v>1.5444999999999999E-4</v>
      </c>
      <c r="Q2510" s="9">
        <v>1.8122E-4</v>
      </c>
      <c r="R2510" s="10">
        <v>1.15261966978728E-4</v>
      </c>
      <c r="S2510" s="10">
        <v>1.7864337302081793E-4</v>
      </c>
      <c r="T2510" s="10">
        <v>6.2012592380126662E-4</v>
      </c>
      <c r="U2510" s="10">
        <v>1.1906E-4</v>
      </c>
      <c r="V2510" s="25"/>
      <c r="W2510" s="25"/>
      <c r="X2510" s="25"/>
      <c r="Y2510" s="25"/>
      <c r="Z2510" s="25"/>
      <c r="AA2510" s="25"/>
    </row>
    <row r="2511" spans="1:27" x14ac:dyDescent="0.35">
      <c r="A2511" s="5">
        <v>2507</v>
      </c>
      <c r="B2511" s="5">
        <v>105</v>
      </c>
      <c r="C2511" s="5">
        <v>4</v>
      </c>
      <c r="D2511" s="25">
        <v>1.1416E-4</v>
      </c>
      <c r="E2511" s="25">
        <v>1.1353000000000001E-4</v>
      </c>
      <c r="F2511" s="25">
        <v>1.2736E-4</v>
      </c>
      <c r="G2511" s="25">
        <v>1.6242000000000001E-4</v>
      </c>
      <c r="H2511" s="25">
        <v>4.1850000000000001E-5</v>
      </c>
      <c r="I2511" s="9">
        <v>1.3223E-4</v>
      </c>
      <c r="J2511" s="9">
        <v>1.1985E-4</v>
      </c>
      <c r="K2511" s="9">
        <v>0</v>
      </c>
      <c r="L2511" s="9">
        <v>1.1885E-4</v>
      </c>
      <c r="M2511" s="9">
        <v>1.2977E-4</v>
      </c>
      <c r="N2511" s="9">
        <v>1.4223999999999999E-4</v>
      </c>
      <c r="O2511" s="9">
        <v>1.3763999999999999E-4</v>
      </c>
      <c r="P2511" s="9">
        <v>1.5930999999999999E-4</v>
      </c>
      <c r="Q2511" s="9">
        <v>1.8102E-4</v>
      </c>
      <c r="R2511" s="10">
        <v>1.0183107789955601E-4</v>
      </c>
      <c r="S2511" s="10">
        <v>1.7909864783414024E-4</v>
      </c>
      <c r="T2511" s="10">
        <v>7.1004252831407709E-4</v>
      </c>
      <c r="U2511" s="10">
        <v>1.1906E-4</v>
      </c>
      <c r="V2511" s="25"/>
      <c r="W2511" s="25"/>
      <c r="X2511" s="25"/>
      <c r="Y2511" s="25"/>
      <c r="Z2511" s="25"/>
      <c r="AA2511" s="25"/>
    </row>
    <row r="2512" spans="1:27" x14ac:dyDescent="0.35">
      <c r="A2512" s="5">
        <v>2508</v>
      </c>
      <c r="B2512" s="5">
        <v>105</v>
      </c>
      <c r="C2512" s="5">
        <v>4</v>
      </c>
      <c r="D2512" s="25">
        <v>1.1415000000000001E-4</v>
      </c>
      <c r="E2512" s="25">
        <v>1.0724E-4</v>
      </c>
      <c r="F2512" s="25">
        <v>1.2910999999999999E-4</v>
      </c>
      <c r="G2512" s="25">
        <v>1.6489E-4</v>
      </c>
      <c r="H2512" s="25">
        <v>4.176E-5</v>
      </c>
      <c r="I2512" s="9">
        <v>1.2769999999999999E-4</v>
      </c>
      <c r="J2512" s="9">
        <v>1.1809E-4</v>
      </c>
      <c r="K2512" s="9">
        <v>0</v>
      </c>
      <c r="L2512" s="9">
        <v>1.3285E-4</v>
      </c>
      <c r="M2512" s="9">
        <v>1.4593000000000001E-4</v>
      </c>
      <c r="N2512" s="9">
        <v>1.5672E-4</v>
      </c>
      <c r="O2512" s="9">
        <v>1.3800999999999999E-4</v>
      </c>
      <c r="P2512" s="9">
        <v>1.5614000000000001E-4</v>
      </c>
      <c r="Q2512" s="9">
        <v>1.7436E-4</v>
      </c>
      <c r="R2512" s="10">
        <v>8.2595168535450344E-5</v>
      </c>
      <c r="S2512" s="10">
        <v>1.7250412713015355E-4</v>
      </c>
      <c r="T2512" s="10">
        <v>7.4970662777599335E-4</v>
      </c>
      <c r="U2512" s="10">
        <v>1.1906E-4</v>
      </c>
      <c r="V2512" s="25"/>
      <c r="W2512" s="25"/>
      <c r="X2512" s="25"/>
      <c r="Y2512" s="25"/>
      <c r="Z2512" s="25"/>
      <c r="AA2512" s="25"/>
    </row>
    <row r="2513" spans="1:27" x14ac:dyDescent="0.35">
      <c r="A2513" s="5">
        <v>2509</v>
      </c>
      <c r="B2513" s="5">
        <v>105</v>
      </c>
      <c r="C2513" s="5">
        <v>4</v>
      </c>
      <c r="D2513" s="25">
        <v>1.1416E-4</v>
      </c>
      <c r="E2513" s="25">
        <v>1.1364E-4</v>
      </c>
      <c r="F2513" s="25">
        <v>1.1464999999999999E-4</v>
      </c>
      <c r="G2513" s="25">
        <v>1.5898E-4</v>
      </c>
      <c r="H2513" s="25">
        <v>4.3789999999999999E-5</v>
      </c>
      <c r="I2513" s="9">
        <v>1.2727999999999999E-4</v>
      </c>
      <c r="J2513" s="9">
        <v>1.1854999999999999E-4</v>
      </c>
      <c r="K2513" s="9">
        <v>0</v>
      </c>
      <c r="L2513" s="9">
        <v>1.3668E-4</v>
      </c>
      <c r="M2513" s="9">
        <v>1.5309000000000001E-4</v>
      </c>
      <c r="N2513" s="9">
        <v>1.6631E-4</v>
      </c>
      <c r="O2513" s="9">
        <v>1.2951999999999999E-4</v>
      </c>
      <c r="P2513" s="9">
        <v>1.4836999999999999E-4</v>
      </c>
      <c r="Q2513" s="9">
        <v>1.6728000000000001E-4</v>
      </c>
      <c r="R2513" s="10">
        <v>1.0220938270539667E-4</v>
      </c>
      <c r="S2513" s="10">
        <v>1.736914613258405E-4</v>
      </c>
      <c r="T2513" s="10">
        <v>7.4336037186208668E-4</v>
      </c>
      <c r="U2513" s="10">
        <v>1.1906E-4</v>
      </c>
      <c r="V2513" s="25"/>
      <c r="W2513" s="25"/>
      <c r="X2513" s="25"/>
      <c r="Y2513" s="25"/>
      <c r="Z2513" s="25"/>
      <c r="AA2513" s="25"/>
    </row>
    <row r="2514" spans="1:27" x14ac:dyDescent="0.35">
      <c r="A2514" s="5">
        <v>2510</v>
      </c>
      <c r="B2514" s="5">
        <v>105</v>
      </c>
      <c r="C2514" s="5">
        <v>4</v>
      </c>
      <c r="D2514" s="25">
        <v>1.1415000000000001E-4</v>
      </c>
      <c r="E2514" s="25">
        <v>1.1521E-4</v>
      </c>
      <c r="F2514" s="25">
        <v>1.1411E-4</v>
      </c>
      <c r="G2514" s="25">
        <v>1.6515E-4</v>
      </c>
      <c r="H2514" s="25">
        <v>4.1739999999999997E-5</v>
      </c>
      <c r="I2514" s="9">
        <v>1.2616E-4</v>
      </c>
      <c r="J2514" s="9">
        <v>1.1896E-4</v>
      </c>
      <c r="K2514" s="9">
        <v>0</v>
      </c>
      <c r="L2514" s="9">
        <v>1.3117000000000001E-4</v>
      </c>
      <c r="M2514" s="9">
        <v>1.5275E-4</v>
      </c>
      <c r="N2514" s="9">
        <v>1.7066E-4</v>
      </c>
      <c r="O2514" s="9">
        <v>1.12E-4</v>
      </c>
      <c r="P2514" s="9">
        <v>1.3627999999999999E-4</v>
      </c>
      <c r="Q2514" s="9">
        <v>1.6048000000000001E-4</v>
      </c>
      <c r="R2514" s="10">
        <v>1.1436899765890137E-4</v>
      </c>
      <c r="S2514" s="10">
        <v>1.7310503842697569E-4</v>
      </c>
      <c r="T2514" s="10">
        <v>6.9817299352322771E-4</v>
      </c>
      <c r="U2514" s="10">
        <v>1.1906E-4</v>
      </c>
      <c r="V2514" s="25"/>
      <c r="W2514" s="25"/>
      <c r="X2514" s="25"/>
      <c r="Y2514" s="25"/>
      <c r="Z2514" s="25"/>
      <c r="AA2514" s="25"/>
    </row>
    <row r="2515" spans="1:27" x14ac:dyDescent="0.35">
      <c r="A2515" s="5">
        <v>2511</v>
      </c>
      <c r="B2515" s="5">
        <v>105</v>
      </c>
      <c r="C2515" s="5">
        <v>4</v>
      </c>
      <c r="D2515" s="25">
        <v>1.1416E-4</v>
      </c>
      <c r="E2515" s="25">
        <v>1.1436E-4</v>
      </c>
      <c r="F2515" s="25">
        <v>1.294E-4</v>
      </c>
      <c r="G2515" s="25">
        <v>1.6691000000000001E-4</v>
      </c>
      <c r="H2515" s="25">
        <v>4.303E-5</v>
      </c>
      <c r="I2515" s="9">
        <v>1.2525000000000001E-4</v>
      </c>
      <c r="J2515" s="9">
        <v>1.2183E-4</v>
      </c>
      <c r="K2515" s="9">
        <v>0</v>
      </c>
      <c r="L2515" s="9">
        <v>1.1644E-4</v>
      </c>
      <c r="M2515" s="9">
        <v>1.4646E-4</v>
      </c>
      <c r="N2515" s="9">
        <v>1.7011000000000001E-4</v>
      </c>
      <c r="O2515" s="9">
        <v>1.2732999999999999E-4</v>
      </c>
      <c r="P2515" s="9">
        <v>1.4019E-4</v>
      </c>
      <c r="Q2515" s="9">
        <v>1.5320000000000001E-4</v>
      </c>
      <c r="R2515" s="10">
        <v>1.2007439613493263E-4</v>
      </c>
      <c r="S2515" s="10">
        <v>1.6979680323478801E-4</v>
      </c>
      <c r="T2515" s="10">
        <v>5.9446091826708552E-4</v>
      </c>
      <c r="U2515" s="10">
        <v>1.1906E-4</v>
      </c>
      <c r="V2515" s="25"/>
      <c r="W2515" s="25"/>
      <c r="X2515" s="25"/>
      <c r="Y2515" s="25"/>
      <c r="Z2515" s="25"/>
      <c r="AA2515" s="25"/>
    </row>
    <row r="2516" spans="1:27" x14ac:dyDescent="0.35">
      <c r="A2516" s="5">
        <v>2512</v>
      </c>
      <c r="B2516" s="5">
        <v>105</v>
      </c>
      <c r="C2516" s="5">
        <v>4</v>
      </c>
      <c r="D2516" s="25">
        <v>1.1415000000000001E-4</v>
      </c>
      <c r="E2516" s="25">
        <v>1.0671999999999999E-4</v>
      </c>
      <c r="F2516" s="25">
        <v>1.1408000000000001E-4</v>
      </c>
      <c r="G2516" s="25">
        <v>1.5745000000000001E-4</v>
      </c>
      <c r="H2516" s="25">
        <v>4.2899999999999999E-5</v>
      </c>
      <c r="I2516" s="9">
        <v>1.2294000000000001E-4</v>
      </c>
      <c r="J2516" s="9">
        <v>1.1957E-4</v>
      </c>
      <c r="K2516" s="9">
        <v>7.6299999999999998E-5</v>
      </c>
      <c r="L2516" s="9">
        <v>1.2535000000000001E-4</v>
      </c>
      <c r="M2516" s="9">
        <v>1.4244999999999999E-4</v>
      </c>
      <c r="N2516" s="9">
        <v>1.6636999999999999E-4</v>
      </c>
      <c r="O2516" s="9">
        <v>1.3294000000000001E-4</v>
      </c>
      <c r="P2516" s="9">
        <v>1.2078000000000001E-4</v>
      </c>
      <c r="Q2516" s="9">
        <v>1.0917999999999999E-4</v>
      </c>
      <c r="R2516" s="10">
        <v>1.1565580614654267E-4</v>
      </c>
      <c r="S2516" s="10">
        <v>1.6444171965610942E-4</v>
      </c>
      <c r="T2516" s="10">
        <v>4.623773459840669E-4</v>
      </c>
      <c r="U2516" s="10">
        <v>1.1906E-4</v>
      </c>
      <c r="V2516" s="25"/>
      <c r="W2516" s="25"/>
      <c r="X2516" s="25"/>
      <c r="Y2516" s="25"/>
      <c r="Z2516" s="25"/>
      <c r="AA2516" s="25"/>
    </row>
    <row r="2517" spans="1:27" x14ac:dyDescent="0.35">
      <c r="A2517" s="5">
        <v>2513</v>
      </c>
      <c r="B2517" s="5">
        <v>105</v>
      </c>
      <c r="C2517" s="5">
        <v>4</v>
      </c>
      <c r="D2517" s="25">
        <v>1.1416E-4</v>
      </c>
      <c r="E2517" s="25">
        <v>1.0933999999999999E-4</v>
      </c>
      <c r="F2517" s="25">
        <v>1.1458E-4</v>
      </c>
      <c r="G2517" s="25">
        <v>1.6725999999999999E-4</v>
      </c>
      <c r="H2517" s="25">
        <v>4.1050000000000002E-5</v>
      </c>
      <c r="I2517" s="9">
        <v>1.2343E-4</v>
      </c>
      <c r="J2517" s="9">
        <v>1.1788E-4</v>
      </c>
      <c r="K2517" s="9">
        <v>1.1656E-4</v>
      </c>
      <c r="L2517" s="9">
        <v>1.3098E-4</v>
      </c>
      <c r="M2517" s="9">
        <v>1.3378000000000001E-4</v>
      </c>
      <c r="N2517" s="9">
        <v>1.5244999999999999E-4</v>
      </c>
      <c r="O2517" s="9">
        <v>1.4077E-4</v>
      </c>
      <c r="P2517" s="9">
        <v>1.2402999999999999E-4</v>
      </c>
      <c r="Q2517" s="9">
        <v>1.0794E-4</v>
      </c>
      <c r="R2517" s="10">
        <v>1.0257701783566988E-4</v>
      </c>
      <c r="S2517" s="10">
        <v>1.5464741162071489E-4</v>
      </c>
      <c r="T2517" s="10">
        <v>2.733980622589925E-4</v>
      </c>
      <c r="U2517" s="10">
        <v>1.1906E-4</v>
      </c>
      <c r="V2517" s="25"/>
      <c r="W2517" s="25"/>
      <c r="X2517" s="25"/>
      <c r="Y2517" s="25"/>
      <c r="Z2517" s="25"/>
      <c r="AA2517" s="25"/>
    </row>
    <row r="2518" spans="1:27" x14ac:dyDescent="0.35">
      <c r="A2518" s="5">
        <v>2514</v>
      </c>
      <c r="B2518" s="5">
        <v>105</v>
      </c>
      <c r="C2518" s="5">
        <v>4</v>
      </c>
      <c r="D2518" s="25">
        <v>1.1415000000000001E-4</v>
      </c>
      <c r="E2518" s="25">
        <v>1.0992E-4</v>
      </c>
      <c r="F2518" s="25">
        <v>1.339E-4</v>
      </c>
      <c r="G2518" s="25">
        <v>1.6562E-4</v>
      </c>
      <c r="H2518" s="25">
        <v>4.2969999999999997E-5</v>
      </c>
      <c r="I2518" s="9">
        <v>1.236E-4</v>
      </c>
      <c r="J2518" s="9">
        <v>1.1519E-4</v>
      </c>
      <c r="K2518" s="9">
        <v>1.3352000000000001E-4</v>
      </c>
      <c r="L2518" s="9">
        <v>1.3835E-4</v>
      </c>
      <c r="M2518" s="9">
        <v>1.2805999999999999E-4</v>
      </c>
      <c r="N2518" s="9">
        <v>1.3924E-4</v>
      </c>
      <c r="O2518" s="9">
        <v>1.4179000000000001E-4</v>
      </c>
      <c r="P2518" s="9">
        <v>1.3006000000000001E-4</v>
      </c>
      <c r="Q2518" s="9">
        <v>1.1891E-4</v>
      </c>
      <c r="R2518" s="10">
        <v>8.2933232557899479E-5</v>
      </c>
      <c r="S2518" s="10">
        <v>1.3778573420417995E-4</v>
      </c>
      <c r="T2518" s="10">
        <v>8.5377504360484142E-5</v>
      </c>
      <c r="U2518" s="10">
        <v>1.1906E-4</v>
      </c>
      <c r="V2518" s="25"/>
      <c r="W2518" s="25"/>
      <c r="X2518" s="25"/>
      <c r="Y2518" s="25"/>
      <c r="Z2518" s="25"/>
      <c r="AA2518" s="25"/>
    </row>
    <row r="2519" spans="1:27" x14ac:dyDescent="0.35">
      <c r="A2519" s="5">
        <v>2515</v>
      </c>
      <c r="B2519" s="5">
        <v>105</v>
      </c>
      <c r="C2519" s="5">
        <v>4</v>
      </c>
      <c r="D2519" s="25">
        <v>1.1416E-4</v>
      </c>
      <c r="E2519" s="25">
        <v>1.0898E-4</v>
      </c>
      <c r="F2519" s="25">
        <v>1.2175E-4</v>
      </c>
      <c r="G2519" s="25">
        <v>1.1326E-4</v>
      </c>
      <c r="H2519" s="25">
        <v>2.7610000000000002E-5</v>
      </c>
      <c r="I2519" s="9">
        <v>1.2077E-4</v>
      </c>
      <c r="J2519" s="9">
        <v>1.1369E-4</v>
      </c>
      <c r="K2519" s="9">
        <v>1.3776000000000001E-4</v>
      </c>
      <c r="L2519" s="9">
        <v>1.4091E-4</v>
      </c>
      <c r="M2519" s="9">
        <v>1.2748999999999999E-4</v>
      </c>
      <c r="N2519" s="9">
        <v>1.3041999999999999E-4</v>
      </c>
      <c r="O2519" s="9">
        <v>1.4221000000000001E-4</v>
      </c>
      <c r="P2519" s="9">
        <v>1.2477000000000001E-4</v>
      </c>
      <c r="Q2519" s="9">
        <v>1.08E-4</v>
      </c>
      <c r="R2519" s="10">
        <v>7.616858617309477E-5</v>
      </c>
      <c r="S2519" s="10">
        <v>1.2848229789294501E-4</v>
      </c>
      <c r="T2519" s="10">
        <v>2.7319443907458908E-6</v>
      </c>
      <c r="U2519" s="10">
        <v>1.1906E-4</v>
      </c>
      <c r="V2519" s="25"/>
      <c r="W2519" s="25"/>
      <c r="X2519" s="25"/>
      <c r="Y2519" s="25"/>
      <c r="Z2519" s="25"/>
      <c r="AA2519" s="25"/>
    </row>
    <row r="2520" spans="1:27" x14ac:dyDescent="0.35">
      <c r="A2520" s="5">
        <v>2516</v>
      </c>
      <c r="B2520" s="5">
        <v>105</v>
      </c>
      <c r="C2520" s="5">
        <v>4</v>
      </c>
      <c r="D2520" s="25">
        <v>1.1415000000000001E-4</v>
      </c>
      <c r="E2520" s="25">
        <v>1.1236E-4</v>
      </c>
      <c r="F2520" s="25">
        <v>1.3066E-4</v>
      </c>
      <c r="G2520" s="25">
        <v>1.0739E-4</v>
      </c>
      <c r="H2520" s="25">
        <v>2.968E-5</v>
      </c>
      <c r="I2520" s="9">
        <v>1.1991E-4</v>
      </c>
      <c r="J2520" s="9">
        <v>1.1429000000000001E-4</v>
      </c>
      <c r="K2520" s="9">
        <v>1.4412E-4</v>
      </c>
      <c r="L2520" s="9">
        <v>1.4189000000000001E-4</v>
      </c>
      <c r="M2520" s="9">
        <v>1.2663999999999999E-4</v>
      </c>
      <c r="N2520" s="9">
        <v>1.2148E-4</v>
      </c>
      <c r="O2520" s="9">
        <v>1.4307999999999999E-4</v>
      </c>
      <c r="P2520" s="9">
        <v>1.22E-4</v>
      </c>
      <c r="Q2520" s="9">
        <v>1.0165E-4</v>
      </c>
      <c r="R2520" s="10">
        <v>9.266271757209147E-5</v>
      </c>
      <c r="S2520" s="10">
        <v>1.264123267321548E-4</v>
      </c>
      <c r="T2520" s="10">
        <v>0</v>
      </c>
      <c r="U2520" s="10">
        <v>1.1906E-4</v>
      </c>
      <c r="V2520" s="25"/>
      <c r="W2520" s="25"/>
      <c r="X2520" s="25"/>
      <c r="Y2520" s="25"/>
      <c r="Z2520" s="25"/>
      <c r="AA2520" s="25"/>
    </row>
    <row r="2521" spans="1:27" x14ac:dyDescent="0.35">
      <c r="A2521" s="5">
        <v>2517</v>
      </c>
      <c r="B2521" s="5">
        <v>105</v>
      </c>
      <c r="C2521" s="5">
        <v>4</v>
      </c>
      <c r="D2521" s="25">
        <v>1.1416E-4</v>
      </c>
      <c r="E2521" s="25">
        <v>1.1574E-4</v>
      </c>
      <c r="F2521" s="25">
        <v>1.2866E-4</v>
      </c>
      <c r="G2521" s="25">
        <v>6.0239999999999999E-5</v>
      </c>
      <c r="H2521" s="25">
        <v>1.383E-5</v>
      </c>
      <c r="I2521" s="9">
        <v>1.2081E-4</v>
      </c>
      <c r="J2521" s="9">
        <v>1.1483E-4</v>
      </c>
      <c r="K2521" s="9">
        <v>1.5259E-4</v>
      </c>
      <c r="L2521" s="9">
        <v>1.4284000000000001E-4</v>
      </c>
      <c r="M2521" s="9">
        <v>1.2475999999999999E-4</v>
      </c>
      <c r="N2521" s="9">
        <v>1.1369E-4</v>
      </c>
      <c r="O2521" s="9">
        <v>8.5069999999999997E-5</v>
      </c>
      <c r="P2521" s="9">
        <v>8.687E-5</v>
      </c>
      <c r="Q2521" s="9">
        <v>8.8880000000000003E-5</v>
      </c>
      <c r="R2521" s="10">
        <v>1.0926429723187081E-4</v>
      </c>
      <c r="S2521" s="10">
        <v>1.1676685677872659E-4</v>
      </c>
      <c r="T2521" s="10">
        <v>0</v>
      </c>
      <c r="U2521" s="10">
        <v>1.1906E-4</v>
      </c>
      <c r="V2521" s="25"/>
      <c r="W2521" s="25"/>
      <c r="X2521" s="25"/>
      <c r="Y2521" s="25"/>
      <c r="Z2521" s="25"/>
      <c r="AA2521" s="25"/>
    </row>
    <row r="2522" spans="1:27" x14ac:dyDescent="0.35">
      <c r="A2522" s="5">
        <v>2518</v>
      </c>
      <c r="B2522" s="5">
        <v>105</v>
      </c>
      <c r="C2522" s="5">
        <v>4</v>
      </c>
      <c r="D2522" s="25">
        <v>1.1415000000000001E-4</v>
      </c>
      <c r="E2522" s="25">
        <v>1.1365E-4</v>
      </c>
      <c r="F2522" s="25">
        <v>1.35E-4</v>
      </c>
      <c r="G2522" s="25">
        <v>5.52E-5</v>
      </c>
      <c r="H2522" s="25">
        <v>1.575E-5</v>
      </c>
      <c r="I2522" s="9">
        <v>1.1904E-4</v>
      </c>
      <c r="J2522" s="9">
        <v>1.0632999999999999E-4</v>
      </c>
      <c r="K2522" s="9">
        <v>1.526E-4</v>
      </c>
      <c r="L2522" s="9">
        <v>9.7759999999999999E-5</v>
      </c>
      <c r="M2522" s="9">
        <v>1.1056999999999999E-4</v>
      </c>
      <c r="N2522" s="9">
        <v>1.0615000000000001E-4</v>
      </c>
      <c r="O2522" s="9">
        <v>8.7739999999999997E-5</v>
      </c>
      <c r="P2522" s="9">
        <v>8.8159999999999996E-5</v>
      </c>
      <c r="Q2522" s="9">
        <v>8.8809999999999998E-5</v>
      </c>
      <c r="R2522" s="10">
        <v>1.0780808420686493E-4</v>
      </c>
      <c r="S2522" s="10">
        <v>1.0281322599718174E-4</v>
      </c>
      <c r="T2522" s="10">
        <v>0</v>
      </c>
      <c r="U2522" s="10">
        <v>1.1906E-4</v>
      </c>
      <c r="V2522" s="25"/>
      <c r="W2522" s="25"/>
      <c r="X2522" s="25"/>
      <c r="Y2522" s="25"/>
      <c r="Z2522" s="25"/>
      <c r="AA2522" s="25"/>
    </row>
    <row r="2523" spans="1:27" x14ac:dyDescent="0.35">
      <c r="A2523" s="5">
        <v>2519</v>
      </c>
      <c r="B2523" s="5">
        <v>105</v>
      </c>
      <c r="C2523" s="5">
        <v>4</v>
      </c>
      <c r="D2523" s="25">
        <v>1.1416E-4</v>
      </c>
      <c r="E2523" s="25">
        <v>1.0794999999999999E-4</v>
      </c>
      <c r="F2523" s="25">
        <v>1.1453E-4</v>
      </c>
      <c r="G2523" s="25">
        <v>5.7679999999999997E-5</v>
      </c>
      <c r="H2523" s="25">
        <v>1.414E-5</v>
      </c>
      <c r="I2523" s="9">
        <v>1.1629E-4</v>
      </c>
      <c r="J2523" s="9">
        <v>9.8439999999999999E-5</v>
      </c>
      <c r="K2523" s="9">
        <v>1.5683E-4</v>
      </c>
      <c r="L2523" s="9">
        <v>9.1199999999999994E-5</v>
      </c>
      <c r="M2523" s="9">
        <v>9.8709999999999995E-5</v>
      </c>
      <c r="N2523" s="9">
        <v>1.0035E-4</v>
      </c>
      <c r="O2523" s="9">
        <v>8.4489999999999999E-5</v>
      </c>
      <c r="P2523" s="9">
        <v>7.5500000000000006E-5</v>
      </c>
      <c r="Q2523" s="9">
        <v>6.6879999999999997E-5</v>
      </c>
      <c r="R2523" s="10">
        <v>9.7422393912252389E-5</v>
      </c>
      <c r="S2523" s="10">
        <v>8.609289179297344E-5</v>
      </c>
      <c r="T2523" s="10">
        <v>0</v>
      </c>
      <c r="U2523" s="10">
        <v>1.1906E-4</v>
      </c>
      <c r="V2523" s="25"/>
      <c r="W2523" s="25"/>
      <c r="X2523" s="25"/>
      <c r="Y2523" s="25"/>
      <c r="Z2523" s="25"/>
      <c r="AA2523" s="25"/>
    </row>
    <row r="2524" spans="1:27" x14ac:dyDescent="0.35">
      <c r="A2524" s="5">
        <v>2520</v>
      </c>
      <c r="B2524" s="5">
        <v>105</v>
      </c>
      <c r="C2524" s="5">
        <v>4</v>
      </c>
      <c r="D2524" s="25">
        <v>1.1415000000000001E-4</v>
      </c>
      <c r="E2524" s="25">
        <v>1.0957E-4</v>
      </c>
      <c r="F2524" s="25">
        <v>1.1992E-4</v>
      </c>
      <c r="G2524" s="25">
        <v>5.715E-5</v>
      </c>
      <c r="H2524" s="25">
        <v>1.6609999999999999E-5</v>
      </c>
      <c r="I2524" s="9">
        <v>1.0765E-4</v>
      </c>
      <c r="J2524" s="9">
        <v>9.1490000000000007E-5</v>
      </c>
      <c r="K2524" s="9">
        <v>1.5894999999999999E-4</v>
      </c>
      <c r="L2524" s="9">
        <v>8.6180000000000005E-5</v>
      </c>
      <c r="M2524" s="9">
        <v>8.7579999999999998E-5</v>
      </c>
      <c r="N2524" s="9">
        <v>9.0939999999999993E-5</v>
      </c>
      <c r="O2524" s="9">
        <v>7.9400000000000006E-5</v>
      </c>
      <c r="P2524" s="9">
        <v>6.9070000000000001E-5</v>
      </c>
      <c r="Q2524" s="9">
        <v>5.9120000000000003E-5</v>
      </c>
      <c r="R2524" s="10">
        <v>8.4031078339898122E-5</v>
      </c>
      <c r="S2524" s="10">
        <v>6.1225415332827874E-5</v>
      </c>
      <c r="T2524" s="10">
        <v>0</v>
      </c>
      <c r="U2524" s="10">
        <v>1.1906E-4</v>
      </c>
      <c r="V2524" s="25"/>
      <c r="W2524" s="25"/>
      <c r="X2524" s="25"/>
      <c r="Y2524" s="25"/>
      <c r="Z2524" s="25"/>
      <c r="AA2524" s="25"/>
    </row>
    <row r="2525" spans="1:27" x14ac:dyDescent="0.35">
      <c r="A2525" s="5">
        <v>2521</v>
      </c>
      <c r="B2525" s="5">
        <v>106</v>
      </c>
      <c r="C2525" s="5">
        <v>4</v>
      </c>
      <c r="D2525" s="25">
        <v>1.1416E-4</v>
      </c>
      <c r="E2525" s="25">
        <v>1.1807E-4</v>
      </c>
      <c r="F2525" s="25">
        <v>8.2200000000000006E-5</v>
      </c>
      <c r="G2525" s="25">
        <v>5.5489999999999999E-5</v>
      </c>
      <c r="H2525" s="25">
        <v>6.5480000000000003E-5</v>
      </c>
      <c r="I2525" s="9">
        <v>1.0161E-4</v>
      </c>
      <c r="J2525" s="9">
        <v>9.0849999999999999E-5</v>
      </c>
      <c r="K2525" s="9">
        <v>1.6742999999999999E-4</v>
      </c>
      <c r="L2525" s="9">
        <v>8.0690000000000002E-5</v>
      </c>
      <c r="M2525" s="9">
        <v>7.839E-5</v>
      </c>
      <c r="N2525" s="9">
        <v>8.1470000000000004E-5</v>
      </c>
      <c r="O2525" s="9">
        <v>5.4060000000000001E-5</v>
      </c>
      <c r="P2525" s="9">
        <v>5.3480000000000003E-5</v>
      </c>
      <c r="Q2525" s="9">
        <v>5.3059999999999997E-5</v>
      </c>
      <c r="R2525" s="10">
        <v>6.9406194877640005E-5</v>
      </c>
      <c r="S2525" s="10">
        <v>4.8782105769435082E-5</v>
      </c>
      <c r="T2525" s="10">
        <v>0</v>
      </c>
      <c r="U2525" s="10">
        <v>1.1697999999999999E-4</v>
      </c>
      <c r="V2525" s="25"/>
      <c r="W2525" s="25"/>
      <c r="X2525" s="25"/>
      <c r="Y2525" s="25"/>
      <c r="Z2525" s="25"/>
      <c r="AA2525" s="25"/>
    </row>
    <row r="2526" spans="1:27" x14ac:dyDescent="0.35">
      <c r="A2526" s="5">
        <v>2522</v>
      </c>
      <c r="B2526" s="5">
        <v>106</v>
      </c>
      <c r="C2526" s="5">
        <v>4</v>
      </c>
      <c r="D2526" s="25">
        <v>1.1415000000000001E-4</v>
      </c>
      <c r="E2526" s="25">
        <v>1.1629E-4</v>
      </c>
      <c r="F2526" s="25">
        <v>1.0465E-4</v>
      </c>
      <c r="G2526" s="25">
        <v>5.2679999999999997E-5</v>
      </c>
      <c r="H2526" s="25">
        <v>6.7050000000000003E-5</v>
      </c>
      <c r="I2526" s="9">
        <v>9.8449999999999994E-5</v>
      </c>
      <c r="J2526" s="9">
        <v>8.9099999999999997E-5</v>
      </c>
      <c r="K2526" s="9">
        <v>1.6954000000000001E-4</v>
      </c>
      <c r="L2526" s="9">
        <v>6.0050000000000003E-5</v>
      </c>
      <c r="M2526" s="9">
        <v>6.7269999999999998E-5</v>
      </c>
      <c r="N2526" s="9">
        <v>7.2200000000000007E-5</v>
      </c>
      <c r="O2526" s="9">
        <v>1.9029999999999999E-5</v>
      </c>
      <c r="P2526" s="9">
        <v>3.765E-5</v>
      </c>
      <c r="Q2526" s="9">
        <v>5.6029999999999997E-5</v>
      </c>
      <c r="R2526" s="10">
        <v>5.4333286117292812E-5</v>
      </c>
      <c r="S2526" s="10">
        <v>4.5245322120243542E-5</v>
      </c>
      <c r="T2526" s="10">
        <v>0</v>
      </c>
      <c r="U2526" s="10">
        <v>1.1697999999999999E-4</v>
      </c>
      <c r="V2526" s="25"/>
      <c r="W2526" s="25"/>
      <c r="X2526" s="25"/>
      <c r="Y2526" s="25"/>
      <c r="Z2526" s="25"/>
      <c r="AA2526" s="25"/>
    </row>
    <row r="2527" spans="1:27" x14ac:dyDescent="0.35">
      <c r="A2527" s="5">
        <v>2523</v>
      </c>
      <c r="B2527" s="5">
        <v>106</v>
      </c>
      <c r="C2527" s="5">
        <v>4</v>
      </c>
      <c r="D2527" s="25">
        <v>1.1416E-4</v>
      </c>
      <c r="E2527" s="25">
        <v>1.1017E-4</v>
      </c>
      <c r="F2527" s="25">
        <v>8.4049999999999997E-5</v>
      </c>
      <c r="G2527" s="25">
        <v>5.7269999999999999E-5</v>
      </c>
      <c r="H2527" s="25">
        <v>7.2879999999999993E-5</v>
      </c>
      <c r="I2527" s="9">
        <v>9.6620000000000007E-5</v>
      </c>
      <c r="J2527" s="9">
        <v>8.8129999999999998E-5</v>
      </c>
      <c r="K2527" s="9">
        <v>1.6742999999999999E-4</v>
      </c>
      <c r="L2527" s="9">
        <v>2.8609999999999999E-5</v>
      </c>
      <c r="M2527" s="9">
        <v>5.3879999999999999E-5</v>
      </c>
      <c r="N2527" s="9">
        <v>6.5519999999999996E-5</v>
      </c>
      <c r="O2527" s="9">
        <v>1.358E-5</v>
      </c>
      <c r="P2527" s="9">
        <v>3.7610000000000001E-5</v>
      </c>
      <c r="Q2527" s="9">
        <v>6.1299999999999999E-5</v>
      </c>
      <c r="R2527" s="10">
        <v>4.4134425590559757E-5</v>
      </c>
      <c r="S2527" s="10">
        <v>4.2606015931810611E-5</v>
      </c>
      <c r="T2527" s="10">
        <v>0</v>
      </c>
      <c r="U2527" s="10">
        <v>1.1697999999999999E-4</v>
      </c>
      <c r="V2527" s="25"/>
      <c r="W2527" s="25"/>
      <c r="X2527" s="25"/>
      <c r="Y2527" s="25"/>
      <c r="Z2527" s="25"/>
      <c r="AA2527" s="25"/>
    </row>
    <row r="2528" spans="1:27" x14ac:dyDescent="0.35">
      <c r="A2528" s="5">
        <v>2524</v>
      </c>
      <c r="B2528" s="5">
        <v>106</v>
      </c>
      <c r="C2528" s="5">
        <v>4</v>
      </c>
      <c r="D2528" s="25">
        <v>1.1415000000000001E-4</v>
      </c>
      <c r="E2528" s="25">
        <v>1.1801E-4</v>
      </c>
      <c r="F2528" s="25">
        <v>8.954E-5</v>
      </c>
      <c r="G2528" s="25">
        <v>5.5840000000000001E-5</v>
      </c>
      <c r="H2528" s="25">
        <v>6.3289999999999999E-5</v>
      </c>
      <c r="I2528" s="9">
        <v>9.7949999999999996E-5</v>
      </c>
      <c r="J2528" s="9">
        <v>8.8460000000000003E-5</v>
      </c>
      <c r="K2528" s="9">
        <v>1.7803E-4</v>
      </c>
      <c r="L2528" s="9">
        <v>1.7730000000000001E-5</v>
      </c>
      <c r="M2528" s="9">
        <v>4.4799999999999998E-5</v>
      </c>
      <c r="N2528" s="9">
        <v>6.1829999999999996E-5</v>
      </c>
      <c r="O2528" s="9">
        <v>1.364E-5</v>
      </c>
      <c r="P2528" s="9">
        <v>4.7250000000000003E-5</v>
      </c>
      <c r="Q2528" s="9">
        <v>8.0359999999999996E-5</v>
      </c>
      <c r="R2528" s="10">
        <v>3.8929987084771626E-5</v>
      </c>
      <c r="S2528" s="10">
        <v>4.0065489960123224E-5</v>
      </c>
      <c r="T2528" s="10">
        <v>0</v>
      </c>
      <c r="U2528" s="10">
        <v>1.1697999999999999E-4</v>
      </c>
      <c r="V2528" s="25"/>
      <c r="W2528" s="25"/>
      <c r="X2528" s="25"/>
      <c r="Y2528" s="25"/>
      <c r="Z2528" s="25"/>
      <c r="AA2528" s="25"/>
    </row>
    <row r="2529" spans="1:27" x14ac:dyDescent="0.35">
      <c r="A2529" s="5">
        <v>2525</v>
      </c>
      <c r="B2529" s="5">
        <v>106</v>
      </c>
      <c r="C2529" s="5">
        <v>4</v>
      </c>
      <c r="D2529" s="25">
        <v>1.1416E-4</v>
      </c>
      <c r="E2529" s="25">
        <v>1.1525E-4</v>
      </c>
      <c r="F2529" s="25">
        <v>9.2910000000000003E-5</v>
      </c>
      <c r="G2529" s="25">
        <v>5.2429999999999998E-5</v>
      </c>
      <c r="H2529" s="25">
        <v>6.5599999999999995E-5</v>
      </c>
      <c r="I2529" s="9">
        <v>1.0381E-4</v>
      </c>
      <c r="J2529" s="9">
        <v>9.0779999999999995E-5</v>
      </c>
      <c r="K2529" s="9">
        <v>1.8013999999999999E-4</v>
      </c>
      <c r="L2529" s="9">
        <v>1.471E-5</v>
      </c>
      <c r="M2529" s="9">
        <v>4.3680000000000002E-5</v>
      </c>
      <c r="N2529" s="9">
        <v>6.4350000000000006E-5</v>
      </c>
      <c r="O2529" s="9">
        <v>1.9049999999999999E-5</v>
      </c>
      <c r="P2529" s="9">
        <v>5.6549999999999999E-5</v>
      </c>
      <c r="Q2529" s="9">
        <v>9.3510000000000004E-5</v>
      </c>
      <c r="R2529" s="10">
        <v>3.4719560191351711E-5</v>
      </c>
      <c r="S2529" s="10">
        <v>3.7692827504168247E-5</v>
      </c>
      <c r="T2529" s="10">
        <v>0</v>
      </c>
      <c r="U2529" s="10">
        <v>1.1697999999999999E-4</v>
      </c>
      <c r="V2529" s="25"/>
      <c r="W2529" s="25"/>
      <c r="X2529" s="25"/>
      <c r="Y2529" s="25"/>
      <c r="Z2529" s="25"/>
      <c r="AA2529" s="25"/>
    </row>
    <row r="2530" spans="1:27" x14ac:dyDescent="0.35">
      <c r="A2530" s="5">
        <v>2526</v>
      </c>
      <c r="B2530" s="5">
        <v>106</v>
      </c>
      <c r="C2530" s="5">
        <v>4</v>
      </c>
      <c r="D2530" s="25">
        <v>1.1415000000000001E-4</v>
      </c>
      <c r="E2530" s="25">
        <v>1.1132E-4</v>
      </c>
      <c r="F2530" s="25">
        <v>1.0088E-4</v>
      </c>
      <c r="G2530" s="25">
        <v>1.0573000000000001E-4</v>
      </c>
      <c r="H2530" s="25">
        <v>1.2532E-4</v>
      </c>
      <c r="I2530" s="9">
        <v>1.1526E-4</v>
      </c>
      <c r="J2530" s="9">
        <v>9.6409999999999993E-5</v>
      </c>
      <c r="K2530" s="9">
        <v>1.8014999999999999E-4</v>
      </c>
      <c r="L2530" s="9">
        <v>1.7969999999999999E-5</v>
      </c>
      <c r="M2530" s="9">
        <v>4.8399999999999997E-5</v>
      </c>
      <c r="N2530" s="9">
        <v>7.0870000000000004E-5</v>
      </c>
      <c r="O2530" s="9">
        <v>4.6810000000000001E-5</v>
      </c>
      <c r="P2530" s="9">
        <v>7.7639999999999995E-5</v>
      </c>
      <c r="Q2530" s="9">
        <v>1.0812E-4</v>
      </c>
      <c r="R2530" s="10">
        <v>2.9559736671069357E-5</v>
      </c>
      <c r="S2530" s="10">
        <v>3.8653085362454197E-5</v>
      </c>
      <c r="T2530" s="10">
        <v>3.3597825426564365E-6</v>
      </c>
      <c r="U2530" s="10">
        <v>1.1697999999999999E-4</v>
      </c>
      <c r="V2530" s="25"/>
      <c r="W2530" s="25"/>
      <c r="X2530" s="25"/>
      <c r="Y2530" s="25"/>
      <c r="Z2530" s="25"/>
      <c r="AA2530" s="25"/>
    </row>
    <row r="2531" spans="1:27" x14ac:dyDescent="0.35">
      <c r="A2531" s="5">
        <v>2527</v>
      </c>
      <c r="B2531" s="5">
        <v>106</v>
      </c>
      <c r="C2531" s="5">
        <v>4</v>
      </c>
      <c r="D2531" s="25">
        <v>1.1416E-4</v>
      </c>
      <c r="E2531" s="25">
        <v>1.2138000000000001E-4</v>
      </c>
      <c r="F2531" s="25">
        <v>9.569E-5</v>
      </c>
      <c r="G2531" s="25">
        <v>1.1326E-4</v>
      </c>
      <c r="H2531" s="25">
        <v>1.3071E-4</v>
      </c>
      <c r="I2531" s="9">
        <v>1.2323E-4</v>
      </c>
      <c r="J2531" s="9">
        <v>1.1105E-4</v>
      </c>
      <c r="K2531" s="9">
        <v>1.7166999999999999E-4</v>
      </c>
      <c r="L2531" s="9">
        <v>4.0330000000000002E-5</v>
      </c>
      <c r="M2531" s="9">
        <v>6.0260000000000002E-5</v>
      </c>
      <c r="N2531" s="9">
        <v>8.085E-5</v>
      </c>
      <c r="O2531" s="9">
        <v>1.2159000000000001E-4</v>
      </c>
      <c r="P2531" s="9">
        <v>1.1628E-4</v>
      </c>
      <c r="Q2531" s="9">
        <v>1.1139E-4</v>
      </c>
      <c r="R2531" s="10">
        <v>2.672654081317956E-5</v>
      </c>
      <c r="S2531" s="10">
        <v>4.348527868536921E-5</v>
      </c>
      <c r="T2531" s="10">
        <v>8.58271722260417E-5</v>
      </c>
      <c r="U2531" s="10">
        <v>1.1697999999999999E-4</v>
      </c>
      <c r="V2531" s="25"/>
      <c r="W2531" s="25"/>
      <c r="X2531" s="25"/>
      <c r="Y2531" s="25"/>
      <c r="Z2531" s="25"/>
      <c r="AA2531" s="25"/>
    </row>
    <row r="2532" spans="1:27" x14ac:dyDescent="0.35">
      <c r="A2532" s="5">
        <v>2528</v>
      </c>
      <c r="B2532" s="5">
        <v>106</v>
      </c>
      <c r="C2532" s="5">
        <v>4</v>
      </c>
      <c r="D2532" s="25">
        <v>1.1415000000000001E-4</v>
      </c>
      <c r="E2532" s="25">
        <v>1.142E-4</v>
      </c>
      <c r="F2532" s="25">
        <v>1.0442000000000001E-4</v>
      </c>
      <c r="G2532" s="25">
        <v>1.6249E-4</v>
      </c>
      <c r="H2532" s="25">
        <v>1.8798999999999999E-4</v>
      </c>
      <c r="I2532" s="9">
        <v>1.2700999999999999E-4</v>
      </c>
      <c r="J2532" s="9">
        <v>1.2218E-4</v>
      </c>
      <c r="K2532" s="9">
        <v>1.6318999999999999E-4</v>
      </c>
      <c r="L2532" s="9">
        <v>1.0309E-4</v>
      </c>
      <c r="M2532" s="9">
        <v>8.3510000000000005E-5</v>
      </c>
      <c r="N2532" s="9">
        <v>9.0729999999999994E-5</v>
      </c>
      <c r="O2532" s="9">
        <v>2.1651999999999999E-4</v>
      </c>
      <c r="P2532" s="9">
        <v>1.7537999999999999E-4</v>
      </c>
      <c r="Q2532" s="9">
        <v>1.3548E-4</v>
      </c>
      <c r="R2532" s="10">
        <v>2.3744480256010495E-5</v>
      </c>
      <c r="S2532" s="10">
        <v>4.8538650480103445E-5</v>
      </c>
      <c r="T2532" s="10">
        <v>1.7212946521569139E-4</v>
      </c>
      <c r="U2532" s="10">
        <v>1.1697999999999999E-4</v>
      </c>
      <c r="V2532" s="25"/>
      <c r="W2532" s="25"/>
      <c r="X2532" s="25"/>
      <c r="Y2532" s="25"/>
      <c r="Z2532" s="25"/>
      <c r="AA2532" s="25"/>
    </row>
    <row r="2533" spans="1:27" x14ac:dyDescent="0.35">
      <c r="A2533" s="5">
        <v>2529</v>
      </c>
      <c r="B2533" s="5">
        <v>106</v>
      </c>
      <c r="C2533" s="5">
        <v>4</v>
      </c>
      <c r="D2533" s="25">
        <v>1.1416E-4</v>
      </c>
      <c r="E2533" s="25">
        <v>1.1095999999999999E-4</v>
      </c>
      <c r="F2533" s="25">
        <v>9.2230000000000003E-5</v>
      </c>
      <c r="G2533" s="25">
        <v>1.6215000000000001E-4</v>
      </c>
      <c r="H2533" s="25">
        <v>1.9620999999999999E-4</v>
      </c>
      <c r="I2533" s="9">
        <v>1.3092E-4</v>
      </c>
      <c r="J2533" s="9">
        <v>1.2736E-4</v>
      </c>
      <c r="K2533" s="9">
        <v>1.5470999999999999E-4</v>
      </c>
      <c r="L2533" s="9">
        <v>1.8984000000000001E-4</v>
      </c>
      <c r="M2533" s="9">
        <v>1.2258000000000001E-4</v>
      </c>
      <c r="N2533" s="9">
        <v>1.0423E-4</v>
      </c>
      <c r="O2533" s="9">
        <v>2.1043E-4</v>
      </c>
      <c r="P2533" s="9">
        <v>1.9331E-4</v>
      </c>
      <c r="Q2533" s="9">
        <v>1.7704E-4</v>
      </c>
      <c r="R2533" s="10">
        <v>1.7327177008092413E-5</v>
      </c>
      <c r="S2533" s="10">
        <v>4.7180041141052715E-5</v>
      </c>
      <c r="T2533" s="10">
        <v>3.3340751156255054E-4</v>
      </c>
      <c r="U2533" s="10">
        <v>1.1697999999999999E-4</v>
      </c>
      <c r="V2533" s="25"/>
      <c r="W2533" s="25"/>
      <c r="X2533" s="25"/>
      <c r="Y2533" s="25"/>
      <c r="Z2533" s="25"/>
      <c r="AA2533" s="25"/>
    </row>
    <row r="2534" spans="1:27" x14ac:dyDescent="0.35">
      <c r="A2534" s="5">
        <v>2530</v>
      </c>
      <c r="B2534" s="5">
        <v>106</v>
      </c>
      <c r="C2534" s="5">
        <v>4</v>
      </c>
      <c r="D2534" s="25">
        <v>1.1415000000000001E-4</v>
      </c>
      <c r="E2534" s="25">
        <v>1.1336E-4</v>
      </c>
      <c r="F2534" s="25">
        <v>8.9259999999999996E-5</v>
      </c>
      <c r="G2534" s="25">
        <v>1.5661000000000001E-4</v>
      </c>
      <c r="H2534" s="25">
        <v>1.9304000000000001E-4</v>
      </c>
      <c r="I2534" s="9">
        <v>1.3101000000000001E-4</v>
      </c>
      <c r="J2534" s="9">
        <v>1.2888E-4</v>
      </c>
      <c r="K2534" s="9">
        <v>1.4835E-4</v>
      </c>
      <c r="L2534" s="9">
        <v>2.0363E-4</v>
      </c>
      <c r="M2534" s="9">
        <v>1.5794E-4</v>
      </c>
      <c r="N2534" s="9">
        <v>1.2430000000000001E-4</v>
      </c>
      <c r="O2534" s="9">
        <v>1.6728000000000001E-4</v>
      </c>
      <c r="P2534" s="9">
        <v>1.7498000000000001E-4</v>
      </c>
      <c r="Q2534" s="9">
        <v>1.8302999999999999E-4</v>
      </c>
      <c r="R2534" s="10">
        <v>1.6319456312661269E-5</v>
      </c>
      <c r="S2534" s="10">
        <v>3.9878056183135442E-5</v>
      </c>
      <c r="T2534" s="10">
        <v>6.1149739136217175E-4</v>
      </c>
      <c r="U2534" s="10">
        <v>1.1697999999999999E-4</v>
      </c>
      <c r="V2534" s="25"/>
      <c r="W2534" s="25"/>
      <c r="X2534" s="25"/>
      <c r="Y2534" s="25"/>
      <c r="Z2534" s="25"/>
      <c r="AA2534" s="25"/>
    </row>
    <row r="2535" spans="1:27" x14ac:dyDescent="0.35">
      <c r="A2535" s="5">
        <v>2531</v>
      </c>
      <c r="B2535" s="5">
        <v>106</v>
      </c>
      <c r="C2535" s="5">
        <v>4</v>
      </c>
      <c r="D2535" s="25">
        <v>1.1416E-4</v>
      </c>
      <c r="E2535" s="25">
        <v>1.1462E-4</v>
      </c>
      <c r="F2535" s="25">
        <v>9.7380000000000006E-5</v>
      </c>
      <c r="G2535" s="25">
        <v>1.6703000000000001E-4</v>
      </c>
      <c r="H2535" s="25">
        <v>1.9304000000000001E-4</v>
      </c>
      <c r="I2535" s="9">
        <v>1.3191E-4</v>
      </c>
      <c r="J2535" s="9">
        <v>1.2868999999999999E-4</v>
      </c>
      <c r="K2535" s="9">
        <v>1.4411E-4</v>
      </c>
      <c r="L2535" s="9">
        <v>1.7530000000000001E-4</v>
      </c>
      <c r="M2535" s="9">
        <v>1.7231000000000001E-4</v>
      </c>
      <c r="N2535" s="9">
        <v>1.4262000000000001E-4</v>
      </c>
      <c r="O2535" s="9">
        <v>1.65E-4</v>
      </c>
      <c r="P2535" s="9">
        <v>1.7126000000000001E-4</v>
      </c>
      <c r="Q2535" s="9">
        <v>1.7788E-4</v>
      </c>
      <c r="R2535" s="10">
        <v>1.8372837766628022E-5</v>
      </c>
      <c r="S2535" s="10">
        <v>3.5612501999186568E-5</v>
      </c>
      <c r="T2535" s="10">
        <v>7.2311683361264668E-4</v>
      </c>
      <c r="U2535" s="10">
        <v>1.1697999999999999E-4</v>
      </c>
      <c r="V2535" s="25"/>
      <c r="W2535" s="25"/>
      <c r="X2535" s="25"/>
      <c r="Y2535" s="25"/>
      <c r="Z2535" s="25"/>
      <c r="AA2535" s="25"/>
    </row>
    <row r="2536" spans="1:27" x14ac:dyDescent="0.35">
      <c r="A2536" s="5">
        <v>2532</v>
      </c>
      <c r="B2536" s="5">
        <v>106</v>
      </c>
      <c r="C2536" s="5">
        <v>4</v>
      </c>
      <c r="D2536" s="25">
        <v>1.1415000000000001E-4</v>
      </c>
      <c r="E2536" s="25">
        <v>1.1412E-4</v>
      </c>
      <c r="F2536" s="25">
        <v>1.0425E-4</v>
      </c>
      <c r="G2536" s="25">
        <v>1.5616E-4</v>
      </c>
      <c r="H2536" s="25">
        <v>1.9321E-4</v>
      </c>
      <c r="I2536" s="9">
        <v>1.2781000000000001E-4</v>
      </c>
      <c r="J2536" s="9">
        <v>1.2588000000000001E-4</v>
      </c>
      <c r="K2536" s="9">
        <v>1.4198999999999999E-4</v>
      </c>
      <c r="L2536" s="9">
        <v>1.6864000000000001E-4</v>
      </c>
      <c r="M2536" s="9">
        <v>1.7442E-4</v>
      </c>
      <c r="N2536" s="9">
        <v>1.5635000000000001E-4</v>
      </c>
      <c r="O2536" s="9">
        <v>1.6924999999999999E-4</v>
      </c>
      <c r="P2536" s="9">
        <v>1.7149E-4</v>
      </c>
      <c r="Q2536" s="9">
        <v>1.7416E-4</v>
      </c>
      <c r="R2536" s="10">
        <v>1.7487487812021402E-5</v>
      </c>
      <c r="S2536" s="10">
        <v>2.0068270068867255E-5</v>
      </c>
      <c r="T2536" s="10">
        <v>7.4832368698192009E-4</v>
      </c>
      <c r="U2536" s="10">
        <v>1.1697999999999999E-4</v>
      </c>
      <c r="V2536" s="25"/>
      <c r="W2536" s="25"/>
      <c r="X2536" s="25"/>
      <c r="Y2536" s="25"/>
      <c r="Z2536" s="25"/>
      <c r="AA2536" s="25"/>
    </row>
    <row r="2537" spans="1:27" x14ac:dyDescent="0.35">
      <c r="A2537" s="5">
        <v>2533</v>
      </c>
      <c r="B2537" s="5">
        <v>106</v>
      </c>
      <c r="C2537" s="5">
        <v>4</v>
      </c>
      <c r="D2537" s="25">
        <v>1.1416E-4</v>
      </c>
      <c r="E2537" s="25">
        <v>1.1001E-4</v>
      </c>
      <c r="F2537" s="25">
        <v>8.2319999999999998E-5</v>
      </c>
      <c r="G2537" s="25">
        <v>1.5636E-4</v>
      </c>
      <c r="H2537" s="25">
        <v>1.863E-4</v>
      </c>
      <c r="I2537" s="9">
        <v>1.2715E-4</v>
      </c>
      <c r="J2537" s="9">
        <v>1.2430000000000001E-4</v>
      </c>
      <c r="K2537" s="9">
        <v>1.4198999999999999E-4</v>
      </c>
      <c r="L2537" s="9">
        <v>1.6933000000000001E-4</v>
      </c>
      <c r="M2537" s="9">
        <v>1.7338999999999999E-4</v>
      </c>
      <c r="N2537" s="9">
        <v>1.6589E-4</v>
      </c>
      <c r="O2537" s="9">
        <v>1.6080000000000001E-4</v>
      </c>
      <c r="P2537" s="9">
        <v>1.638E-4</v>
      </c>
      <c r="Q2537" s="9">
        <v>1.6719E-4</v>
      </c>
      <c r="R2537" s="10">
        <v>1.8116246198972746E-5</v>
      </c>
      <c r="S2537" s="10">
        <v>2.0501029046828012E-5</v>
      </c>
      <c r="T2537" s="10">
        <v>7.5181073401482874E-4</v>
      </c>
      <c r="U2537" s="10">
        <v>1.1697999999999999E-4</v>
      </c>
      <c r="V2537" s="25"/>
      <c r="W2537" s="25"/>
      <c r="X2537" s="25"/>
      <c r="Y2537" s="25"/>
      <c r="Z2537" s="25"/>
      <c r="AA2537" s="25"/>
    </row>
    <row r="2538" spans="1:27" x14ac:dyDescent="0.35">
      <c r="A2538" s="5">
        <v>2534</v>
      </c>
      <c r="B2538" s="5">
        <v>106</v>
      </c>
      <c r="C2538" s="5">
        <v>4</v>
      </c>
      <c r="D2538" s="25">
        <v>1.1415000000000001E-4</v>
      </c>
      <c r="E2538" s="25">
        <v>1.1230000000000001E-4</v>
      </c>
      <c r="F2538" s="25">
        <v>8.7139999999999996E-5</v>
      </c>
      <c r="G2538" s="25">
        <v>1.6223E-4</v>
      </c>
      <c r="H2538" s="25">
        <v>1.9556E-4</v>
      </c>
      <c r="I2538" s="9">
        <v>1.2326000000000001E-4</v>
      </c>
      <c r="J2538" s="9">
        <v>1.2271E-4</v>
      </c>
      <c r="K2538" s="9">
        <v>1.3988E-4</v>
      </c>
      <c r="L2538" s="9">
        <v>1.6241000000000001E-4</v>
      </c>
      <c r="M2538" s="9">
        <v>1.6965E-4</v>
      </c>
      <c r="N2538" s="9">
        <v>1.7023E-4</v>
      </c>
      <c r="O2538" s="9">
        <v>1.7618000000000001E-4</v>
      </c>
      <c r="P2538" s="9">
        <v>1.6759000000000001E-4</v>
      </c>
      <c r="Q2538" s="9">
        <v>1.5961999999999999E-4</v>
      </c>
      <c r="R2538" s="10">
        <v>2.0884372368019572E-5</v>
      </c>
      <c r="S2538" s="10">
        <v>1.9763226512022355E-5</v>
      </c>
      <c r="T2538" s="10">
        <v>6.8961233547893384E-4</v>
      </c>
      <c r="U2538" s="10">
        <v>1.1697999999999999E-4</v>
      </c>
      <c r="V2538" s="25"/>
      <c r="W2538" s="25"/>
      <c r="X2538" s="25"/>
      <c r="Y2538" s="25"/>
      <c r="Z2538" s="25"/>
      <c r="AA2538" s="25"/>
    </row>
    <row r="2539" spans="1:27" x14ac:dyDescent="0.35">
      <c r="A2539" s="5">
        <v>2535</v>
      </c>
      <c r="B2539" s="5">
        <v>106</v>
      </c>
      <c r="C2539" s="5">
        <v>4</v>
      </c>
      <c r="D2539" s="25">
        <v>1.1416E-4</v>
      </c>
      <c r="E2539" s="25">
        <v>1.1150999999999999E-4</v>
      </c>
      <c r="F2539" s="25">
        <v>8.5530000000000003E-5</v>
      </c>
      <c r="G2539" s="25">
        <v>1.649E-4</v>
      </c>
      <c r="H2539" s="25">
        <v>1.9882999999999999E-4</v>
      </c>
      <c r="I2539" s="9">
        <v>1.2201000000000001E-4</v>
      </c>
      <c r="J2539" s="9">
        <v>1.2294000000000001E-4</v>
      </c>
      <c r="K2539" s="9">
        <v>1.3352000000000001E-4</v>
      </c>
      <c r="L2539" s="9">
        <v>1.7330000000000001E-4</v>
      </c>
      <c r="M2539" s="9">
        <v>1.6784999999999999E-4</v>
      </c>
      <c r="N2539" s="9">
        <v>1.6954000000000001E-4</v>
      </c>
      <c r="O2539" s="9">
        <v>1.8412999999999999E-4</v>
      </c>
      <c r="P2539" s="9">
        <v>1.6856999999999999E-4</v>
      </c>
      <c r="Q2539" s="9">
        <v>1.5375E-4</v>
      </c>
      <c r="R2539" s="10">
        <v>2.5579437736451094E-5</v>
      </c>
      <c r="S2539" s="10">
        <v>2.0958199469721392E-5</v>
      </c>
      <c r="T2539" s="10">
        <v>4.2874558336010194E-4</v>
      </c>
      <c r="U2539" s="10">
        <v>1.1697999999999999E-4</v>
      </c>
      <c r="V2539" s="25"/>
      <c r="W2539" s="25"/>
      <c r="X2539" s="25"/>
      <c r="Y2539" s="25"/>
      <c r="Z2539" s="25"/>
      <c r="AA2539" s="25"/>
    </row>
    <row r="2540" spans="1:27" x14ac:dyDescent="0.35">
      <c r="A2540" s="5">
        <v>2536</v>
      </c>
      <c r="B2540" s="5">
        <v>106</v>
      </c>
      <c r="C2540" s="5">
        <v>4</v>
      </c>
      <c r="D2540" s="25">
        <v>1.1415000000000001E-4</v>
      </c>
      <c r="E2540" s="25">
        <v>1.1221E-4</v>
      </c>
      <c r="F2540" s="25">
        <v>9.0649999999999994E-5</v>
      </c>
      <c r="G2540" s="25">
        <v>1.5914E-4</v>
      </c>
      <c r="H2540" s="25">
        <v>1.9035999999999999E-4</v>
      </c>
      <c r="I2540" s="9">
        <v>1.2152E-4</v>
      </c>
      <c r="J2540" s="9">
        <v>1.2436000000000001E-4</v>
      </c>
      <c r="K2540" s="9">
        <v>1.314E-4</v>
      </c>
      <c r="L2540" s="9">
        <v>1.8147000000000001E-4</v>
      </c>
      <c r="M2540" s="9">
        <v>1.6772E-4</v>
      </c>
      <c r="N2540" s="9">
        <v>1.6597000000000001E-4</v>
      </c>
      <c r="O2540" s="9">
        <v>1.9824E-4</v>
      </c>
      <c r="P2540" s="9">
        <v>1.539E-4</v>
      </c>
      <c r="Q2540" s="9">
        <v>1.108E-4</v>
      </c>
      <c r="R2540" s="10">
        <v>3.1756615519139407E-5</v>
      </c>
      <c r="S2540" s="10">
        <v>2.4150606155830883E-5</v>
      </c>
      <c r="T2540" s="10">
        <v>4.3002671256197348E-4</v>
      </c>
      <c r="U2540" s="10">
        <v>1.1697999999999999E-4</v>
      </c>
      <c r="V2540" s="25"/>
      <c r="W2540" s="25"/>
      <c r="X2540" s="25"/>
      <c r="Y2540" s="25"/>
      <c r="Z2540" s="25"/>
      <c r="AA2540" s="25"/>
    </row>
    <row r="2541" spans="1:27" x14ac:dyDescent="0.35">
      <c r="A2541" s="5">
        <v>2537</v>
      </c>
      <c r="B2541" s="5">
        <v>106</v>
      </c>
      <c r="C2541" s="5">
        <v>4</v>
      </c>
      <c r="D2541" s="25">
        <v>1.1416E-4</v>
      </c>
      <c r="E2541" s="25">
        <v>1.1922E-4</v>
      </c>
      <c r="F2541" s="25">
        <v>1.0365E-4</v>
      </c>
      <c r="G2541" s="25">
        <v>1.6101000000000001E-4</v>
      </c>
      <c r="H2541" s="25">
        <v>1.9464999999999999E-4</v>
      </c>
      <c r="I2541" s="9">
        <v>1.208E-4</v>
      </c>
      <c r="J2541" s="9">
        <v>1.2479E-4</v>
      </c>
      <c r="K2541" s="9">
        <v>1.2928000000000001E-4</v>
      </c>
      <c r="L2541" s="9">
        <v>1.9426999999999999E-4</v>
      </c>
      <c r="M2541" s="9">
        <v>1.6283000000000001E-4</v>
      </c>
      <c r="N2541" s="9">
        <v>1.5258000000000001E-4</v>
      </c>
      <c r="O2541" s="9">
        <v>2.1431E-4</v>
      </c>
      <c r="P2541" s="9">
        <v>1.6037000000000001E-4</v>
      </c>
      <c r="Q2541" s="9">
        <v>1.0787E-4</v>
      </c>
      <c r="R2541" s="10">
        <v>4.1661578561411785E-5</v>
      </c>
      <c r="S2541" s="10">
        <v>2.6959865441395876E-5</v>
      </c>
      <c r="T2541" s="10">
        <v>2.8670992793936609E-4</v>
      </c>
      <c r="U2541" s="10">
        <v>1.1697999999999999E-4</v>
      </c>
      <c r="V2541" s="25"/>
      <c r="W2541" s="25"/>
      <c r="X2541" s="25"/>
      <c r="Y2541" s="25"/>
      <c r="Z2541" s="25"/>
      <c r="AA2541" s="25"/>
    </row>
    <row r="2542" spans="1:27" x14ac:dyDescent="0.35">
      <c r="A2542" s="5">
        <v>2538</v>
      </c>
      <c r="B2542" s="5">
        <v>106</v>
      </c>
      <c r="C2542" s="5">
        <v>4</v>
      </c>
      <c r="D2542" s="25">
        <v>1.1415000000000001E-4</v>
      </c>
      <c r="E2542" s="25">
        <v>1.1415E-4</v>
      </c>
      <c r="F2542" s="25">
        <v>8.9240000000000006E-5</v>
      </c>
      <c r="G2542" s="25">
        <v>1.5914E-4</v>
      </c>
      <c r="H2542" s="25">
        <v>1.9273000000000001E-4</v>
      </c>
      <c r="I2542" s="9">
        <v>1.2123E-4</v>
      </c>
      <c r="J2542" s="9">
        <v>1.1849999999999999E-4</v>
      </c>
      <c r="K2542" s="9">
        <v>1.3352000000000001E-4</v>
      </c>
      <c r="L2542" s="9">
        <v>2.0963000000000001E-4</v>
      </c>
      <c r="M2542" s="9">
        <v>1.6058000000000001E-4</v>
      </c>
      <c r="N2542" s="9">
        <v>1.3943000000000001E-4</v>
      </c>
      <c r="O2542" s="9">
        <v>2.0519000000000001E-4</v>
      </c>
      <c r="P2542" s="9">
        <v>1.6103999999999999E-4</v>
      </c>
      <c r="Q2542" s="9">
        <v>1.1815E-4</v>
      </c>
      <c r="R2542" s="10">
        <v>5.4506142744482334E-5</v>
      </c>
      <c r="S2542" s="10">
        <v>3.0648787734213974E-5</v>
      </c>
      <c r="T2542" s="10">
        <v>8.8745771202490721E-5</v>
      </c>
      <c r="U2542" s="10">
        <v>1.1697999999999999E-4</v>
      </c>
      <c r="V2542" s="25"/>
      <c r="W2542" s="25"/>
      <c r="X2542" s="25"/>
      <c r="Y2542" s="25"/>
      <c r="Z2542" s="25"/>
      <c r="AA2542" s="25"/>
    </row>
    <row r="2543" spans="1:27" x14ac:dyDescent="0.35">
      <c r="A2543" s="5">
        <v>2539</v>
      </c>
      <c r="B2543" s="5">
        <v>106</v>
      </c>
      <c r="C2543" s="5">
        <v>4</v>
      </c>
      <c r="D2543" s="25">
        <v>1.1416E-4</v>
      </c>
      <c r="E2543" s="25">
        <v>1.1134E-4</v>
      </c>
      <c r="F2543" s="25">
        <v>9.5760000000000005E-5</v>
      </c>
      <c r="G2543" s="25">
        <v>1.0755E-4</v>
      </c>
      <c r="H2543" s="25">
        <v>1.3417E-4</v>
      </c>
      <c r="I2543" s="9">
        <v>1.1870999999999999E-4</v>
      </c>
      <c r="J2543" s="9">
        <v>1.1616E-4</v>
      </c>
      <c r="K2543" s="9">
        <v>1.4412E-4</v>
      </c>
      <c r="L2543" s="9">
        <v>2.0578999999999999E-4</v>
      </c>
      <c r="M2543" s="9">
        <v>1.6029E-4</v>
      </c>
      <c r="N2543" s="9">
        <v>1.3049000000000001E-4</v>
      </c>
      <c r="O2543" s="9">
        <v>1.6202E-4</v>
      </c>
      <c r="P2543" s="9">
        <v>1.3357000000000001E-4</v>
      </c>
      <c r="Q2543" s="9">
        <v>1.0602E-4</v>
      </c>
      <c r="R2543" s="10">
        <v>6.7823165510734002E-5</v>
      </c>
      <c r="S2543" s="10">
        <v>3.4102585407282471E-5</v>
      </c>
      <c r="T2543" s="10">
        <v>3.2749395491550112E-6</v>
      </c>
      <c r="U2543" s="10">
        <v>1.1697999999999999E-4</v>
      </c>
      <c r="V2543" s="25"/>
      <c r="W2543" s="25"/>
      <c r="X2543" s="25"/>
      <c r="Y2543" s="25"/>
      <c r="Z2543" s="25"/>
      <c r="AA2543" s="25"/>
    </row>
    <row r="2544" spans="1:27" x14ac:dyDescent="0.35">
      <c r="A2544" s="5">
        <v>2540</v>
      </c>
      <c r="B2544" s="5">
        <v>106</v>
      </c>
      <c r="C2544" s="5">
        <v>4</v>
      </c>
      <c r="D2544" s="25">
        <v>1.1415000000000001E-4</v>
      </c>
      <c r="E2544" s="25">
        <v>1.2051E-4</v>
      </c>
      <c r="F2544" s="25">
        <v>8.263E-5</v>
      </c>
      <c r="G2544" s="25">
        <v>1.0586000000000001E-4</v>
      </c>
      <c r="H2544" s="25">
        <v>1.2726E-4</v>
      </c>
      <c r="I2544" s="9">
        <v>1.1658999999999999E-4</v>
      </c>
      <c r="J2544" s="9">
        <v>1.15E-4</v>
      </c>
      <c r="K2544" s="9">
        <v>1.4412E-4</v>
      </c>
      <c r="L2544" s="9">
        <v>1.7184000000000001E-4</v>
      </c>
      <c r="M2544" s="9">
        <v>1.5075000000000001E-4</v>
      </c>
      <c r="N2544" s="9">
        <v>1.2115E-4</v>
      </c>
      <c r="O2544" s="9">
        <v>1.2850000000000001E-4</v>
      </c>
      <c r="P2544" s="9">
        <v>1.1495E-4</v>
      </c>
      <c r="Q2544" s="9">
        <v>1.0197E-4</v>
      </c>
      <c r="R2544" s="10">
        <v>9.6867317542304225E-5</v>
      </c>
      <c r="S2544" s="10">
        <v>3.7251465587780975E-5</v>
      </c>
      <c r="T2544" s="10">
        <v>0</v>
      </c>
      <c r="U2544" s="10">
        <v>1.1697999999999999E-4</v>
      </c>
      <c r="V2544" s="25"/>
      <c r="W2544" s="25"/>
      <c r="X2544" s="25"/>
      <c r="Y2544" s="25"/>
      <c r="Z2544" s="25"/>
      <c r="AA2544" s="25"/>
    </row>
    <row r="2545" spans="1:27" x14ac:dyDescent="0.35">
      <c r="A2545" s="5">
        <v>2541</v>
      </c>
      <c r="B2545" s="5">
        <v>106</v>
      </c>
      <c r="C2545" s="5">
        <v>4</v>
      </c>
      <c r="D2545" s="25">
        <v>1.1416E-4</v>
      </c>
      <c r="E2545" s="25">
        <v>1.1438999999999999E-4</v>
      </c>
      <c r="F2545" s="25">
        <v>8.5000000000000006E-5</v>
      </c>
      <c r="G2545" s="25">
        <v>5.7609999999999999E-5</v>
      </c>
      <c r="H2545" s="25">
        <v>6.6710000000000003E-5</v>
      </c>
      <c r="I2545" s="9">
        <v>1.1701000000000001E-4</v>
      </c>
      <c r="J2545" s="9">
        <v>1.1283E-4</v>
      </c>
      <c r="K2545" s="9">
        <v>1.4624000000000001E-4</v>
      </c>
      <c r="L2545" s="9">
        <v>1.3908E-4</v>
      </c>
      <c r="M2545" s="9">
        <v>1.3519000000000001E-4</v>
      </c>
      <c r="N2545" s="9">
        <v>1.1339E-4</v>
      </c>
      <c r="O2545" s="9">
        <v>8.5249999999999999E-5</v>
      </c>
      <c r="P2545" s="9">
        <v>8.7059999999999997E-5</v>
      </c>
      <c r="Q2545" s="9">
        <v>8.9069999999999999E-5</v>
      </c>
      <c r="R2545" s="10">
        <v>1.2348861516466711E-4</v>
      </c>
      <c r="S2545" s="10">
        <v>4.0904162687038788E-5</v>
      </c>
      <c r="T2545" s="10">
        <v>0</v>
      </c>
      <c r="U2545" s="10">
        <v>1.1697999999999999E-4</v>
      </c>
      <c r="V2545" s="25"/>
      <c r="W2545" s="25"/>
      <c r="X2545" s="25"/>
      <c r="Y2545" s="25"/>
      <c r="Z2545" s="25"/>
      <c r="AA2545" s="25"/>
    </row>
    <row r="2546" spans="1:27" x14ac:dyDescent="0.35">
      <c r="A2546" s="5">
        <v>2542</v>
      </c>
      <c r="B2546" s="5">
        <v>106</v>
      </c>
      <c r="C2546" s="5">
        <v>4</v>
      </c>
      <c r="D2546" s="25">
        <v>1.1415000000000001E-4</v>
      </c>
      <c r="E2546" s="25">
        <v>1.1491E-4</v>
      </c>
      <c r="F2546" s="25">
        <v>1.0090999999999999E-4</v>
      </c>
      <c r="G2546" s="25">
        <v>6.1630000000000005E-5</v>
      </c>
      <c r="H2546" s="25">
        <v>7.5370000000000005E-5</v>
      </c>
      <c r="I2546" s="9">
        <v>1.1726999999999999E-4</v>
      </c>
      <c r="J2546" s="9">
        <v>1.0524E-4</v>
      </c>
      <c r="K2546" s="9">
        <v>1.4412E-4</v>
      </c>
      <c r="L2546" s="9">
        <v>9.7969999999999999E-5</v>
      </c>
      <c r="M2546" s="9">
        <v>1.1389E-4</v>
      </c>
      <c r="N2546" s="9">
        <v>1.0586000000000001E-4</v>
      </c>
      <c r="O2546" s="9">
        <v>8.6979999999999997E-5</v>
      </c>
      <c r="P2546" s="9">
        <v>8.7390000000000002E-5</v>
      </c>
      <c r="Q2546" s="9">
        <v>8.8040000000000004E-5</v>
      </c>
      <c r="R2546" s="10">
        <v>1.3310750012422094E-4</v>
      </c>
      <c r="S2546" s="10">
        <v>4.5704341808587586E-5</v>
      </c>
      <c r="T2546" s="10">
        <v>0</v>
      </c>
      <c r="U2546" s="10">
        <v>1.1697999999999999E-4</v>
      </c>
      <c r="V2546" s="25"/>
      <c r="W2546" s="25"/>
      <c r="X2546" s="25"/>
      <c r="Y2546" s="25"/>
      <c r="Z2546" s="25"/>
      <c r="AA2546" s="25"/>
    </row>
    <row r="2547" spans="1:27" x14ac:dyDescent="0.35">
      <c r="A2547" s="5">
        <v>2543</v>
      </c>
      <c r="B2547" s="5">
        <v>106</v>
      </c>
      <c r="C2547" s="5">
        <v>4</v>
      </c>
      <c r="D2547" s="25">
        <v>1.1416E-4</v>
      </c>
      <c r="E2547" s="25">
        <v>1.1121E-4</v>
      </c>
      <c r="F2547" s="25">
        <v>8.3079999999999997E-5</v>
      </c>
      <c r="G2547" s="25">
        <v>5.5670000000000001E-5</v>
      </c>
      <c r="H2547" s="25">
        <v>7.2650000000000004E-5</v>
      </c>
      <c r="I2547" s="9">
        <v>1.1595E-4</v>
      </c>
      <c r="J2547" s="9">
        <v>9.9019999999999997E-5</v>
      </c>
      <c r="K2547" s="9">
        <v>1.526E-4</v>
      </c>
      <c r="L2547" s="9">
        <v>9.0299999999999999E-5</v>
      </c>
      <c r="M2547" s="9">
        <v>9.9149999999999998E-5</v>
      </c>
      <c r="N2547" s="9">
        <v>9.9920000000000006E-5</v>
      </c>
      <c r="O2547" s="9">
        <v>7.6959999999999995E-5</v>
      </c>
      <c r="P2547" s="9">
        <v>7.1459999999999997E-5</v>
      </c>
      <c r="Q2547" s="9">
        <v>6.6260000000000006E-5</v>
      </c>
      <c r="R2547" s="10">
        <v>1.3107350847098846E-4</v>
      </c>
      <c r="S2547" s="10">
        <v>4.9704375371171453E-5</v>
      </c>
      <c r="T2547" s="10">
        <v>0</v>
      </c>
      <c r="U2547" s="10">
        <v>1.1697999999999999E-4</v>
      </c>
      <c r="V2547" s="25"/>
      <c r="W2547" s="25"/>
      <c r="X2547" s="25"/>
      <c r="Y2547" s="25"/>
      <c r="Z2547" s="25"/>
      <c r="AA2547" s="25"/>
    </row>
    <row r="2548" spans="1:27" x14ac:dyDescent="0.35">
      <c r="A2548" s="5">
        <v>2544</v>
      </c>
      <c r="B2548" s="5">
        <v>106</v>
      </c>
      <c r="C2548" s="5">
        <v>4</v>
      </c>
      <c r="D2548" s="25">
        <v>1.1415000000000001E-4</v>
      </c>
      <c r="E2548" s="25">
        <v>1.1864E-4</v>
      </c>
      <c r="F2548" s="25">
        <v>8.5049999999999994E-5</v>
      </c>
      <c r="G2548" s="25">
        <v>5.9070000000000002E-5</v>
      </c>
      <c r="H2548" s="25">
        <v>6.2440000000000005E-5</v>
      </c>
      <c r="I2548" s="9">
        <v>1.0755999999999999E-4</v>
      </c>
      <c r="J2548" s="9">
        <v>9.6329999999999994E-5</v>
      </c>
      <c r="K2548" s="9">
        <v>1.5259E-4</v>
      </c>
      <c r="L2548" s="9">
        <v>7.9909999999999999E-5</v>
      </c>
      <c r="M2548" s="9">
        <v>8.5920000000000004E-5</v>
      </c>
      <c r="N2548" s="9">
        <v>9.0459999999999998E-5</v>
      </c>
      <c r="O2548" s="9">
        <v>6.3310000000000002E-5</v>
      </c>
      <c r="P2548" s="9">
        <v>6.1270000000000001E-5</v>
      </c>
      <c r="Q2548" s="9">
        <v>5.944E-5</v>
      </c>
      <c r="R2548" s="10">
        <v>1.1943861391747971E-4</v>
      </c>
      <c r="S2548" s="10">
        <v>4.7002565498857534E-5</v>
      </c>
      <c r="T2548" s="10">
        <v>0</v>
      </c>
      <c r="U2548" s="10">
        <v>1.1697999999999999E-4</v>
      </c>
      <c r="V2548" s="25"/>
      <c r="W2548" s="25"/>
      <c r="X2548" s="25"/>
      <c r="Y2548" s="25"/>
      <c r="Z2548" s="25"/>
      <c r="AA2548" s="25"/>
    </row>
    <row r="2549" spans="1:27" x14ac:dyDescent="0.35">
      <c r="A2549" s="5">
        <v>2545</v>
      </c>
      <c r="B2549" s="5">
        <v>107</v>
      </c>
      <c r="C2549" s="5">
        <v>4</v>
      </c>
      <c r="D2549" s="25">
        <v>1.1416E-4</v>
      </c>
      <c r="E2549" s="25">
        <v>1.1886E-4</v>
      </c>
      <c r="F2549" s="25">
        <v>1.4655000000000001E-4</v>
      </c>
      <c r="G2549" s="25">
        <v>5.2099999999999999E-5</v>
      </c>
      <c r="H2549" s="25">
        <v>6.8839999999999998E-5</v>
      </c>
      <c r="I2549" s="9">
        <v>9.9729999999999996E-5</v>
      </c>
      <c r="J2549" s="9">
        <v>9.2410000000000005E-5</v>
      </c>
      <c r="K2549" s="9">
        <v>1.5046999999999999E-4</v>
      </c>
      <c r="L2549" s="9">
        <v>6.6979999999999999E-5</v>
      </c>
      <c r="M2549" s="9">
        <v>7.3990000000000001E-5</v>
      </c>
      <c r="N2549" s="9">
        <v>8.119E-5</v>
      </c>
      <c r="O2549" s="9">
        <v>5.4540000000000003E-5</v>
      </c>
      <c r="P2549" s="9">
        <v>5.3949999999999997E-5</v>
      </c>
      <c r="Q2549" s="9">
        <v>5.3529999999999997E-5</v>
      </c>
      <c r="R2549" s="10">
        <v>1.1139914411413555E-4</v>
      </c>
      <c r="S2549" s="10">
        <v>5.0882694521066009E-5</v>
      </c>
      <c r="T2549" s="10">
        <v>0</v>
      </c>
      <c r="U2549" s="10">
        <v>1.1568E-4</v>
      </c>
      <c r="V2549" s="25"/>
      <c r="W2549" s="25"/>
      <c r="X2549" s="25"/>
      <c r="Y2549" s="25"/>
      <c r="Z2549" s="25"/>
      <c r="AA2549" s="25"/>
    </row>
    <row r="2550" spans="1:27" x14ac:dyDescent="0.35">
      <c r="A2550" s="5">
        <v>2546</v>
      </c>
      <c r="B2550" s="5">
        <v>107</v>
      </c>
      <c r="C2550" s="5">
        <v>4</v>
      </c>
      <c r="D2550" s="25">
        <v>1.1415000000000001E-4</v>
      </c>
      <c r="E2550" s="25">
        <v>1.1673E-4</v>
      </c>
      <c r="F2550" s="25">
        <v>1.3577000000000001E-4</v>
      </c>
      <c r="G2550" s="25">
        <v>5.9589999999999997E-5</v>
      </c>
      <c r="H2550" s="25">
        <v>6.2810000000000003E-5</v>
      </c>
      <c r="I2550" s="9">
        <v>9.4510000000000001E-5</v>
      </c>
      <c r="J2550" s="9">
        <v>9.0459999999999998E-5</v>
      </c>
      <c r="K2550" s="9">
        <v>1.5470999999999999E-4</v>
      </c>
      <c r="L2550" s="9">
        <v>5.7620000000000001E-5</v>
      </c>
      <c r="M2550" s="9">
        <v>6.3969999999999999E-5</v>
      </c>
      <c r="N2550" s="9">
        <v>7.2100000000000004E-5</v>
      </c>
      <c r="O2550" s="9">
        <v>1.925E-5</v>
      </c>
      <c r="P2550" s="9">
        <v>3.8090000000000003E-5</v>
      </c>
      <c r="Q2550" s="9">
        <v>5.6690000000000001E-5</v>
      </c>
      <c r="R2550" s="10">
        <v>1.0622700576809245E-4</v>
      </c>
      <c r="S2550" s="10">
        <v>5.3332341132150018E-5</v>
      </c>
      <c r="T2550" s="10">
        <v>0</v>
      </c>
      <c r="U2550" s="10">
        <v>1.1568E-4</v>
      </c>
      <c r="V2550" s="25"/>
      <c r="W2550" s="25"/>
      <c r="X2550" s="25"/>
      <c r="Y2550" s="25"/>
      <c r="Z2550" s="25"/>
      <c r="AA2550" s="25"/>
    </row>
    <row r="2551" spans="1:27" x14ac:dyDescent="0.35">
      <c r="A2551" s="5">
        <v>2547</v>
      </c>
      <c r="B2551" s="5">
        <v>107</v>
      </c>
      <c r="C2551" s="5">
        <v>4</v>
      </c>
      <c r="D2551" s="25">
        <v>1.1416E-4</v>
      </c>
      <c r="E2551" s="25">
        <v>1.1592E-4</v>
      </c>
      <c r="F2551" s="25">
        <v>1.4587000000000001E-4</v>
      </c>
      <c r="G2551" s="25">
        <v>5.2559999999999998E-5</v>
      </c>
      <c r="H2551" s="25">
        <v>7.1500000000000003E-5</v>
      </c>
      <c r="I2551" s="9">
        <v>9.3120000000000003E-5</v>
      </c>
      <c r="J2551" s="9">
        <v>9.268E-5</v>
      </c>
      <c r="K2551" s="9">
        <v>1.526E-4</v>
      </c>
      <c r="L2551" s="9">
        <v>2.7900000000000001E-5</v>
      </c>
      <c r="M2551" s="9">
        <v>5.2370000000000002E-5</v>
      </c>
      <c r="N2551" s="9">
        <v>6.5640000000000002E-5</v>
      </c>
      <c r="O2551" s="9">
        <v>1.361E-5</v>
      </c>
      <c r="P2551" s="9">
        <v>3.7710000000000003E-5</v>
      </c>
      <c r="Q2551" s="9">
        <v>6.1470000000000006E-5</v>
      </c>
      <c r="R2551" s="10">
        <v>9.9710889606643605E-5</v>
      </c>
      <c r="S2551" s="10">
        <v>5.3638940425097601E-5</v>
      </c>
      <c r="T2551" s="10">
        <v>0</v>
      </c>
      <c r="U2551" s="10">
        <v>1.1568E-4</v>
      </c>
      <c r="V2551" s="25"/>
      <c r="W2551" s="25"/>
      <c r="X2551" s="25"/>
      <c r="Y2551" s="25"/>
      <c r="Z2551" s="25"/>
      <c r="AA2551" s="25"/>
    </row>
    <row r="2552" spans="1:27" x14ac:dyDescent="0.35">
      <c r="A2552" s="5">
        <v>2548</v>
      </c>
      <c r="B2552" s="5">
        <v>107</v>
      </c>
      <c r="C2552" s="5">
        <v>4</v>
      </c>
      <c r="D2552" s="25">
        <v>1.1415000000000001E-4</v>
      </c>
      <c r="E2552" s="25">
        <v>1.1434000000000001E-4</v>
      </c>
      <c r="F2552" s="25">
        <v>1.461E-4</v>
      </c>
      <c r="G2552" s="25">
        <v>6.3449999999999997E-5</v>
      </c>
      <c r="H2552" s="25">
        <v>6.3250000000000006E-5</v>
      </c>
      <c r="I2552" s="9">
        <v>9.2330000000000005E-5</v>
      </c>
      <c r="J2552" s="9">
        <v>9.2239999999999998E-5</v>
      </c>
      <c r="K2552" s="9">
        <v>1.4622999999999999E-4</v>
      </c>
      <c r="L2552" s="9">
        <v>1.7499999999999998E-5</v>
      </c>
      <c r="M2552" s="9">
        <v>4.4320000000000003E-5</v>
      </c>
      <c r="N2552" s="9">
        <v>6.2030000000000001E-5</v>
      </c>
      <c r="O2552" s="9">
        <v>1.3509999999999999E-5</v>
      </c>
      <c r="P2552" s="9">
        <v>4.6789999999999998E-5</v>
      </c>
      <c r="Q2552" s="9">
        <v>7.9579999999999994E-5</v>
      </c>
      <c r="R2552" s="10">
        <v>9.6198141191033789E-5</v>
      </c>
      <c r="S2552" s="10">
        <v>5.4950231059033811E-5</v>
      </c>
      <c r="T2552" s="10">
        <v>0</v>
      </c>
      <c r="U2552" s="10">
        <v>1.1568E-4</v>
      </c>
      <c r="V2552" s="25"/>
      <c r="W2552" s="25"/>
      <c r="X2552" s="25"/>
      <c r="Y2552" s="25"/>
      <c r="Z2552" s="25"/>
      <c r="AA2552" s="25"/>
    </row>
    <row r="2553" spans="1:27" x14ac:dyDescent="0.35">
      <c r="A2553" s="5">
        <v>2549</v>
      </c>
      <c r="B2553" s="5">
        <v>107</v>
      </c>
      <c r="C2553" s="5">
        <v>4</v>
      </c>
      <c r="D2553" s="25">
        <v>1.1416E-4</v>
      </c>
      <c r="E2553" s="25">
        <v>1.1885E-4</v>
      </c>
      <c r="F2553" s="25">
        <v>1.4599E-4</v>
      </c>
      <c r="G2553" s="25">
        <v>5.3569999999999997E-5</v>
      </c>
      <c r="H2553" s="25">
        <v>7.428E-5</v>
      </c>
      <c r="I2553" s="9">
        <v>9.3850000000000004E-5</v>
      </c>
      <c r="J2553" s="9">
        <v>9.2579999999999998E-5</v>
      </c>
      <c r="K2553" s="9">
        <v>1.5046999999999999E-4</v>
      </c>
      <c r="L2553" s="9">
        <v>1.464E-5</v>
      </c>
      <c r="M2553" s="9">
        <v>4.3399999999999998E-5</v>
      </c>
      <c r="N2553" s="9">
        <v>6.4389999999999998E-5</v>
      </c>
      <c r="O2553" s="9">
        <v>1.9170000000000001E-5</v>
      </c>
      <c r="P2553" s="9">
        <v>5.6879999999999998E-5</v>
      </c>
      <c r="Q2553" s="9">
        <v>9.4049999999999996E-5</v>
      </c>
      <c r="R2553" s="10">
        <v>9.4880704105888353E-5</v>
      </c>
      <c r="S2553" s="10">
        <v>6.0647769994431189E-5</v>
      </c>
      <c r="T2553" s="10">
        <v>0</v>
      </c>
      <c r="U2553" s="10">
        <v>1.1568E-4</v>
      </c>
      <c r="V2553" s="25"/>
      <c r="W2553" s="25"/>
      <c r="X2553" s="25"/>
      <c r="Y2553" s="25"/>
      <c r="Z2553" s="25"/>
      <c r="AA2553" s="25"/>
    </row>
    <row r="2554" spans="1:27" x14ac:dyDescent="0.35">
      <c r="A2554" s="5">
        <v>2550</v>
      </c>
      <c r="B2554" s="5">
        <v>107</v>
      </c>
      <c r="C2554" s="5">
        <v>4</v>
      </c>
      <c r="D2554" s="25">
        <v>1.1415000000000001E-4</v>
      </c>
      <c r="E2554" s="25">
        <v>1.0929000000000001E-4</v>
      </c>
      <c r="F2554" s="25">
        <v>1.4151999999999999E-4</v>
      </c>
      <c r="G2554" s="25">
        <v>1.1157E-4</v>
      </c>
      <c r="H2554" s="25">
        <v>1.2645000000000001E-4</v>
      </c>
      <c r="I2554" s="9">
        <v>9.6630000000000001E-5</v>
      </c>
      <c r="J2554" s="9">
        <v>9.0619999999999996E-5</v>
      </c>
      <c r="K2554" s="9">
        <v>1.3776000000000001E-4</v>
      </c>
      <c r="L2554" s="9">
        <v>1.804E-5</v>
      </c>
      <c r="M2554" s="9">
        <v>4.8359999999999998E-5</v>
      </c>
      <c r="N2554" s="9">
        <v>7.1009999999999999E-5</v>
      </c>
      <c r="O2554" s="9">
        <v>4.6239999999999998E-5</v>
      </c>
      <c r="P2554" s="9">
        <v>7.6689999999999999E-5</v>
      </c>
      <c r="Q2554" s="9">
        <v>1.0679999999999999E-4</v>
      </c>
      <c r="R2554" s="10">
        <v>9.5386153803754114E-5</v>
      </c>
      <c r="S2554" s="10">
        <v>6.6987380425899388E-5</v>
      </c>
      <c r="T2554" s="10">
        <v>0</v>
      </c>
      <c r="U2554" s="10">
        <v>1.1568E-4</v>
      </c>
      <c r="V2554" s="25"/>
      <c r="W2554" s="25"/>
      <c r="X2554" s="25"/>
      <c r="Y2554" s="25"/>
      <c r="Z2554" s="25"/>
      <c r="AA2554" s="25"/>
    </row>
    <row r="2555" spans="1:27" x14ac:dyDescent="0.35">
      <c r="A2555" s="5">
        <v>2551</v>
      </c>
      <c r="B2555" s="5">
        <v>107</v>
      </c>
      <c r="C2555" s="5">
        <v>4</v>
      </c>
      <c r="D2555" s="25">
        <v>1.1416E-4</v>
      </c>
      <c r="E2555" s="25">
        <v>1.1236E-4</v>
      </c>
      <c r="F2555" s="25">
        <v>1.3983999999999999E-4</v>
      </c>
      <c r="G2555" s="25">
        <v>1.0614E-4</v>
      </c>
      <c r="H2555" s="25">
        <v>1.3454999999999999E-4</v>
      </c>
      <c r="I2555" s="9">
        <v>9.9359999999999997E-5</v>
      </c>
      <c r="J2555" s="9">
        <v>1.0064999999999999E-4</v>
      </c>
      <c r="K2555" s="9">
        <v>1.0596E-4</v>
      </c>
      <c r="L2555" s="9">
        <v>3.9889999999999999E-5</v>
      </c>
      <c r="M2555" s="9">
        <v>5.9969999999999997E-5</v>
      </c>
      <c r="N2555" s="9">
        <v>8.0660000000000004E-5</v>
      </c>
      <c r="O2555" s="9">
        <v>1.2305000000000001E-4</v>
      </c>
      <c r="P2555" s="9">
        <v>1.1768E-4</v>
      </c>
      <c r="Q2555" s="9">
        <v>1.1273E-4</v>
      </c>
      <c r="R2555" s="10">
        <v>9.7444039112708688E-5</v>
      </c>
      <c r="S2555" s="10">
        <v>6.9379162848393354E-5</v>
      </c>
      <c r="T2555" s="10">
        <v>6.4514612258483712E-5</v>
      </c>
      <c r="U2555" s="10">
        <v>1.1568E-4</v>
      </c>
      <c r="V2555" s="25"/>
      <c r="W2555" s="25"/>
      <c r="X2555" s="25"/>
      <c r="Y2555" s="25"/>
      <c r="Z2555" s="25"/>
      <c r="AA2555" s="25"/>
    </row>
    <row r="2556" spans="1:27" x14ac:dyDescent="0.35">
      <c r="A2556" s="5">
        <v>2552</v>
      </c>
      <c r="B2556" s="5">
        <v>107</v>
      </c>
      <c r="C2556" s="5">
        <v>4</v>
      </c>
      <c r="D2556" s="25">
        <v>1.1415000000000001E-4</v>
      </c>
      <c r="E2556" s="25">
        <v>1.1444E-4</v>
      </c>
      <c r="F2556" s="25">
        <v>1.2616E-4</v>
      </c>
      <c r="G2556" s="25">
        <v>1.6704999999999999E-4</v>
      </c>
      <c r="H2556" s="25">
        <v>1.8893999999999999E-4</v>
      </c>
      <c r="I2556" s="9">
        <v>1.0632E-4</v>
      </c>
      <c r="J2556" s="9">
        <v>1.0362E-4</v>
      </c>
      <c r="K2556" s="9">
        <v>6.7819999999999998E-5</v>
      </c>
      <c r="L2556" s="9">
        <v>1.0415E-4</v>
      </c>
      <c r="M2556" s="9">
        <v>8.3739999999999994E-5</v>
      </c>
      <c r="N2556" s="9">
        <v>9.0810000000000006E-5</v>
      </c>
      <c r="O2556" s="9">
        <v>2.2018E-4</v>
      </c>
      <c r="P2556" s="9">
        <v>1.7834E-4</v>
      </c>
      <c r="Q2556" s="9">
        <v>1.3777E-4</v>
      </c>
      <c r="R2556" s="10">
        <v>9.6988066822733545E-5</v>
      </c>
      <c r="S2556" s="10">
        <v>7.7446033977997733E-5</v>
      </c>
      <c r="T2556" s="10">
        <v>2.8152602103642899E-4</v>
      </c>
      <c r="U2556" s="10">
        <v>1.1568E-4</v>
      </c>
      <c r="V2556" s="25"/>
      <c r="W2556" s="25"/>
      <c r="X2556" s="25"/>
      <c r="Y2556" s="25"/>
      <c r="Z2556" s="25"/>
      <c r="AA2556" s="25"/>
    </row>
    <row r="2557" spans="1:27" x14ac:dyDescent="0.35">
      <c r="A2557" s="5">
        <v>2553</v>
      </c>
      <c r="B2557" s="5">
        <v>107</v>
      </c>
      <c r="C2557" s="5">
        <v>4</v>
      </c>
      <c r="D2557" s="25">
        <v>1.1416E-4</v>
      </c>
      <c r="E2557" s="25">
        <v>1.1133000000000001E-4</v>
      </c>
      <c r="F2557" s="25">
        <v>1.2455999999999999E-4</v>
      </c>
      <c r="G2557" s="25">
        <v>1.574E-4</v>
      </c>
      <c r="H2557" s="25">
        <v>1.9280999999999999E-4</v>
      </c>
      <c r="I2557" s="9">
        <v>1.1218999999999999E-4</v>
      </c>
      <c r="J2557" s="9">
        <v>1.0928E-4</v>
      </c>
      <c r="K2557" s="9">
        <v>5.7219999999999998E-5</v>
      </c>
      <c r="L2557" s="9">
        <v>1.9289E-4</v>
      </c>
      <c r="M2557" s="9">
        <v>1.2394000000000001E-4</v>
      </c>
      <c r="N2557" s="9">
        <v>1.048E-4</v>
      </c>
      <c r="O2557" s="9">
        <v>2.0882E-4</v>
      </c>
      <c r="P2557" s="9">
        <v>1.9183000000000001E-4</v>
      </c>
      <c r="Q2557" s="9">
        <v>1.7568E-4</v>
      </c>
      <c r="R2557" s="10">
        <v>7.3378182591987009E-5</v>
      </c>
      <c r="S2557" s="10">
        <v>8.7070295503815446E-5</v>
      </c>
      <c r="T2557" s="10">
        <v>3.3931258391024967E-4</v>
      </c>
      <c r="U2557" s="10">
        <v>1.1568E-4</v>
      </c>
      <c r="V2557" s="25"/>
      <c r="W2557" s="25"/>
      <c r="X2557" s="25"/>
      <c r="Y2557" s="25"/>
      <c r="Z2557" s="25"/>
      <c r="AA2557" s="25"/>
    </row>
    <row r="2558" spans="1:27" x14ac:dyDescent="0.35">
      <c r="A2558" s="5">
        <v>2554</v>
      </c>
      <c r="B2558" s="5">
        <v>107</v>
      </c>
      <c r="C2558" s="5">
        <v>4</v>
      </c>
      <c r="D2558" s="25">
        <v>1.1415000000000001E-4</v>
      </c>
      <c r="E2558" s="25">
        <v>1.1788E-4</v>
      </c>
      <c r="F2558" s="25">
        <v>1.4389000000000001E-4</v>
      </c>
      <c r="G2558" s="25">
        <v>1.5917000000000001E-4</v>
      </c>
      <c r="H2558" s="25">
        <v>1.9027000000000001E-4</v>
      </c>
      <c r="I2558" s="9">
        <v>1.1443E-4</v>
      </c>
      <c r="J2558" s="9">
        <v>1.1215E-4</v>
      </c>
      <c r="K2558" s="9">
        <v>2.544E-5</v>
      </c>
      <c r="L2558" s="9">
        <v>2.0299000000000001E-4</v>
      </c>
      <c r="M2558" s="9">
        <v>1.5857999999999999E-4</v>
      </c>
      <c r="N2558" s="9">
        <v>1.2455999999999999E-4</v>
      </c>
      <c r="O2558" s="9">
        <v>1.6587000000000001E-4</v>
      </c>
      <c r="P2558" s="9">
        <v>1.7351000000000001E-4</v>
      </c>
      <c r="Q2558" s="9">
        <v>1.8149E-4</v>
      </c>
      <c r="R2558" s="10">
        <v>8.2927293016590864E-5</v>
      </c>
      <c r="S2558" s="10">
        <v>8.7866414009501881E-5</v>
      </c>
      <c r="T2558" s="10">
        <v>3.8917481119103725E-4</v>
      </c>
      <c r="U2558" s="10">
        <v>1.1568E-4</v>
      </c>
      <c r="V2558" s="25"/>
      <c r="W2558" s="25"/>
      <c r="X2558" s="25"/>
      <c r="Y2558" s="25"/>
      <c r="Z2558" s="25"/>
      <c r="AA2558" s="25"/>
    </row>
    <row r="2559" spans="1:27" x14ac:dyDescent="0.35">
      <c r="A2559" s="5">
        <v>2555</v>
      </c>
      <c r="B2559" s="5">
        <v>107</v>
      </c>
      <c r="C2559" s="5">
        <v>4</v>
      </c>
      <c r="D2559" s="25">
        <v>1.1416E-4</v>
      </c>
      <c r="E2559" s="25">
        <v>1.1828999999999999E-4</v>
      </c>
      <c r="F2559" s="25">
        <v>1.4245999999999999E-4</v>
      </c>
      <c r="G2559" s="25">
        <v>1.6197E-4</v>
      </c>
      <c r="H2559" s="25">
        <v>1.9353999999999999E-4</v>
      </c>
      <c r="I2559" s="9">
        <v>1.1629E-4</v>
      </c>
      <c r="J2559" s="9">
        <v>1.1035999999999999E-4</v>
      </c>
      <c r="K2559" s="9">
        <v>0</v>
      </c>
      <c r="L2559" s="9">
        <v>1.7416999999999999E-4</v>
      </c>
      <c r="M2559" s="9">
        <v>1.7194000000000001E-4</v>
      </c>
      <c r="N2559" s="9">
        <v>1.4249E-4</v>
      </c>
      <c r="O2559" s="9">
        <v>1.6694999999999999E-4</v>
      </c>
      <c r="P2559" s="9">
        <v>1.7327999999999999E-4</v>
      </c>
      <c r="Q2559" s="9">
        <v>1.7997999999999999E-4</v>
      </c>
      <c r="R2559" s="10">
        <v>8.4652229164916985E-5</v>
      </c>
      <c r="S2559" s="10">
        <v>8.6519132257773827E-5</v>
      </c>
      <c r="T2559" s="10">
        <v>4.1582399544983487E-4</v>
      </c>
      <c r="U2559" s="10">
        <v>1.1568E-4</v>
      </c>
      <c r="V2559" s="25"/>
      <c r="W2559" s="25"/>
      <c r="X2559" s="25"/>
      <c r="Y2559" s="25"/>
      <c r="Z2559" s="25"/>
      <c r="AA2559" s="25"/>
    </row>
    <row r="2560" spans="1:27" x14ac:dyDescent="0.35">
      <c r="A2560" s="5">
        <v>2556</v>
      </c>
      <c r="B2560" s="5">
        <v>107</v>
      </c>
      <c r="C2560" s="5">
        <v>4</v>
      </c>
      <c r="D2560" s="25">
        <v>1.1415000000000001E-4</v>
      </c>
      <c r="E2560" s="25">
        <v>1.182E-4</v>
      </c>
      <c r="F2560" s="25">
        <v>1.4181999999999999E-4</v>
      </c>
      <c r="G2560" s="25">
        <v>1.596E-4</v>
      </c>
      <c r="H2560" s="25">
        <v>1.9132E-4</v>
      </c>
      <c r="I2560" s="9">
        <v>1.1620000000000001E-4</v>
      </c>
      <c r="J2560" s="9">
        <v>1.108E-4</v>
      </c>
      <c r="K2560" s="9">
        <v>0</v>
      </c>
      <c r="L2560" s="9">
        <v>1.6993999999999999E-4</v>
      </c>
      <c r="M2560" s="9">
        <v>1.7464999999999999E-4</v>
      </c>
      <c r="N2560" s="9">
        <v>1.5668E-4</v>
      </c>
      <c r="O2560" s="9">
        <v>1.6813E-4</v>
      </c>
      <c r="P2560" s="9">
        <v>1.7034999999999999E-4</v>
      </c>
      <c r="Q2560" s="9">
        <v>1.73E-4</v>
      </c>
      <c r="R2560" s="10">
        <v>6.0986658263941729E-5</v>
      </c>
      <c r="S2560" s="10">
        <v>7.3036782548338585E-5</v>
      </c>
      <c r="T2560" s="10">
        <v>6.0806973442471422E-4</v>
      </c>
      <c r="U2560" s="10">
        <v>1.1568E-4</v>
      </c>
      <c r="V2560" s="25"/>
      <c r="W2560" s="25"/>
      <c r="X2560" s="25"/>
      <c r="Y2560" s="25"/>
      <c r="Z2560" s="25"/>
      <c r="AA2560" s="25"/>
    </row>
    <row r="2561" spans="1:27" x14ac:dyDescent="0.35">
      <c r="A2561" s="5">
        <v>2557</v>
      </c>
      <c r="B2561" s="5">
        <v>107</v>
      </c>
      <c r="C2561" s="5">
        <v>4</v>
      </c>
      <c r="D2561" s="25">
        <v>1.1416E-4</v>
      </c>
      <c r="E2561" s="25">
        <v>1.1383E-4</v>
      </c>
      <c r="F2561" s="25">
        <v>1.3125999999999999E-4</v>
      </c>
      <c r="G2561" s="25">
        <v>1.6321E-4</v>
      </c>
      <c r="H2561" s="25">
        <v>1.9361000000000001E-4</v>
      </c>
      <c r="I2561" s="9">
        <v>1.1353000000000001E-4</v>
      </c>
      <c r="J2561" s="9">
        <v>1.0854E-4</v>
      </c>
      <c r="K2561" s="9">
        <v>0</v>
      </c>
      <c r="L2561" s="9">
        <v>1.6865000000000001E-4</v>
      </c>
      <c r="M2561" s="9">
        <v>1.7335000000000001E-4</v>
      </c>
      <c r="N2561" s="9">
        <v>1.6589E-4</v>
      </c>
      <c r="O2561" s="9">
        <v>1.5957999999999999E-4</v>
      </c>
      <c r="P2561" s="9">
        <v>1.6255999999999999E-4</v>
      </c>
      <c r="Q2561" s="9">
        <v>1.6592000000000001E-4</v>
      </c>
      <c r="R2561" s="10">
        <v>6.6986361043567207E-5</v>
      </c>
      <c r="S2561" s="10">
        <v>7.5477306958132804E-5</v>
      </c>
      <c r="T2561" s="10">
        <v>6.3302205881348339E-4</v>
      </c>
      <c r="U2561" s="10">
        <v>1.1568E-4</v>
      </c>
      <c r="V2561" s="25"/>
      <c r="W2561" s="25"/>
      <c r="X2561" s="25"/>
      <c r="Y2561" s="25"/>
      <c r="Z2561" s="25"/>
      <c r="AA2561" s="25"/>
    </row>
    <row r="2562" spans="1:27" x14ac:dyDescent="0.35">
      <c r="A2562" s="5">
        <v>2558</v>
      </c>
      <c r="B2562" s="5">
        <v>107</v>
      </c>
      <c r="C2562" s="5">
        <v>4</v>
      </c>
      <c r="D2562" s="25">
        <v>1.1415000000000001E-4</v>
      </c>
      <c r="E2562" s="25">
        <v>1.145E-4</v>
      </c>
      <c r="F2562" s="25">
        <v>1.3978999999999999E-4</v>
      </c>
      <c r="G2562" s="25">
        <v>1.6237000000000001E-4</v>
      </c>
      <c r="H2562" s="25">
        <v>1.9270999999999999E-4</v>
      </c>
      <c r="I2562" s="9">
        <v>1.1012E-4</v>
      </c>
      <c r="J2562" s="9">
        <v>1.075E-4</v>
      </c>
      <c r="K2562" s="9">
        <v>0</v>
      </c>
      <c r="L2562" s="9">
        <v>1.6135999999999999E-4</v>
      </c>
      <c r="M2562" s="9">
        <v>1.6908E-4</v>
      </c>
      <c r="N2562" s="9">
        <v>1.6987E-4</v>
      </c>
      <c r="O2562" s="9">
        <v>1.7567E-4</v>
      </c>
      <c r="P2562" s="9">
        <v>1.6710999999999999E-4</v>
      </c>
      <c r="Q2562" s="9">
        <v>1.5915999999999999E-4</v>
      </c>
      <c r="R2562" s="10">
        <v>7.7280453010326847E-5</v>
      </c>
      <c r="S2562" s="10">
        <v>8.0062555256769173E-5</v>
      </c>
      <c r="T2562" s="10">
        <v>5.216401769448124E-4</v>
      </c>
      <c r="U2562" s="10">
        <v>1.1568E-4</v>
      </c>
      <c r="V2562" s="25"/>
      <c r="W2562" s="25"/>
      <c r="X2562" s="25"/>
      <c r="Y2562" s="25"/>
      <c r="Z2562" s="25"/>
      <c r="AA2562" s="25"/>
    </row>
    <row r="2563" spans="1:27" x14ac:dyDescent="0.35">
      <c r="A2563" s="5">
        <v>2559</v>
      </c>
      <c r="B2563" s="5">
        <v>107</v>
      </c>
      <c r="C2563" s="5">
        <v>4</v>
      </c>
      <c r="D2563" s="25">
        <v>1.1416E-4</v>
      </c>
      <c r="E2563" s="25">
        <v>1.1594E-4</v>
      </c>
      <c r="F2563" s="25">
        <v>1.2506999999999999E-4</v>
      </c>
      <c r="G2563" s="25">
        <v>1.6158000000000001E-4</v>
      </c>
      <c r="H2563" s="25">
        <v>1.997E-4</v>
      </c>
      <c r="I2563" s="9">
        <v>1.1032E-4</v>
      </c>
      <c r="J2563" s="9">
        <v>1.0653E-4</v>
      </c>
      <c r="K2563" s="9">
        <v>0</v>
      </c>
      <c r="L2563" s="9">
        <v>1.727E-4</v>
      </c>
      <c r="M2563" s="9">
        <v>1.6715E-4</v>
      </c>
      <c r="N2563" s="9">
        <v>1.6911000000000001E-4</v>
      </c>
      <c r="O2563" s="9">
        <v>1.8276999999999999E-4</v>
      </c>
      <c r="P2563" s="9">
        <v>1.6731999999999999E-4</v>
      </c>
      <c r="Q2563" s="9">
        <v>1.5260999999999999E-4</v>
      </c>
      <c r="R2563" s="10">
        <v>8.7890963477561134E-5</v>
      </c>
      <c r="S2563" s="10">
        <v>8.398951121528149E-5</v>
      </c>
      <c r="T2563" s="10">
        <v>4.2242478034424578E-4</v>
      </c>
      <c r="U2563" s="10">
        <v>1.1568E-4</v>
      </c>
      <c r="V2563" s="25"/>
      <c r="W2563" s="25"/>
      <c r="X2563" s="25"/>
      <c r="Y2563" s="25"/>
      <c r="Z2563" s="25"/>
      <c r="AA2563" s="25"/>
    </row>
    <row r="2564" spans="1:27" x14ac:dyDescent="0.35">
      <c r="A2564" s="5">
        <v>2560</v>
      </c>
      <c r="B2564" s="5">
        <v>107</v>
      </c>
      <c r="C2564" s="5">
        <v>4</v>
      </c>
      <c r="D2564" s="25">
        <v>1.1415000000000001E-4</v>
      </c>
      <c r="E2564" s="25">
        <v>1.1616E-4</v>
      </c>
      <c r="F2564" s="25">
        <v>1.4354999999999999E-4</v>
      </c>
      <c r="G2564" s="25">
        <v>1.5665000000000001E-4</v>
      </c>
      <c r="H2564" s="25">
        <v>1.9592000000000001E-4</v>
      </c>
      <c r="I2564" s="9">
        <v>1.0993E-4</v>
      </c>
      <c r="J2564" s="9">
        <v>1.0675000000000001E-4</v>
      </c>
      <c r="K2564" s="9">
        <v>0</v>
      </c>
      <c r="L2564" s="9">
        <v>1.8024999999999999E-4</v>
      </c>
      <c r="M2564" s="9">
        <v>1.6683E-4</v>
      </c>
      <c r="N2564" s="9">
        <v>1.6534000000000001E-4</v>
      </c>
      <c r="O2564" s="9">
        <v>1.9770000000000001E-4</v>
      </c>
      <c r="P2564" s="9">
        <v>1.5348E-4</v>
      </c>
      <c r="Q2564" s="9">
        <v>1.105E-4</v>
      </c>
      <c r="R2564" s="10">
        <v>9.6394719866707408E-5</v>
      </c>
      <c r="S2564" s="10">
        <v>8.8030701386250114E-5</v>
      </c>
      <c r="T2564" s="10">
        <v>4.2047339149371297E-4</v>
      </c>
      <c r="U2564" s="10">
        <v>1.1568E-4</v>
      </c>
      <c r="V2564" s="25"/>
      <c r="W2564" s="25"/>
      <c r="X2564" s="25"/>
      <c r="Y2564" s="25"/>
      <c r="Z2564" s="25"/>
      <c r="AA2564" s="25"/>
    </row>
    <row r="2565" spans="1:27" x14ac:dyDescent="0.35">
      <c r="A2565" s="5">
        <v>2561</v>
      </c>
      <c r="B2565" s="5">
        <v>107</v>
      </c>
      <c r="C2565" s="5">
        <v>4</v>
      </c>
      <c r="D2565" s="25">
        <v>1.1416E-4</v>
      </c>
      <c r="E2565" s="25">
        <v>1.1068E-4</v>
      </c>
      <c r="F2565" s="25">
        <v>1.3943000000000001E-4</v>
      </c>
      <c r="G2565" s="25">
        <v>1.5847999999999999E-4</v>
      </c>
      <c r="H2565" s="25">
        <v>1.9247000000000001E-4</v>
      </c>
      <c r="I2565" s="9">
        <v>1.116E-4</v>
      </c>
      <c r="J2565" s="9">
        <v>1.1012E-4</v>
      </c>
      <c r="K2565" s="9">
        <v>0</v>
      </c>
      <c r="L2565" s="9">
        <v>1.9359999999999999E-4</v>
      </c>
      <c r="M2565" s="9">
        <v>1.6207E-4</v>
      </c>
      <c r="N2565" s="9">
        <v>1.5191E-4</v>
      </c>
      <c r="O2565" s="9">
        <v>2.1338999999999999E-4</v>
      </c>
      <c r="P2565" s="9">
        <v>1.5969000000000001E-4</v>
      </c>
      <c r="Q2565" s="9">
        <v>1.0741E-4</v>
      </c>
      <c r="R2565" s="10">
        <v>9.9626423854951474E-5</v>
      </c>
      <c r="S2565" s="10">
        <v>9.4069151484521104E-5</v>
      </c>
      <c r="T2565" s="10">
        <v>2.1429643298589971E-4</v>
      </c>
      <c r="U2565" s="10">
        <v>1.1568E-4</v>
      </c>
      <c r="V2565" s="25"/>
      <c r="W2565" s="25"/>
      <c r="X2565" s="25"/>
      <c r="Y2565" s="25"/>
      <c r="Z2565" s="25"/>
      <c r="AA2565" s="25"/>
    </row>
    <row r="2566" spans="1:27" x14ac:dyDescent="0.35">
      <c r="A2566" s="5">
        <v>2562</v>
      </c>
      <c r="B2566" s="5">
        <v>107</v>
      </c>
      <c r="C2566" s="5">
        <v>4</v>
      </c>
      <c r="D2566" s="25">
        <v>1.1415000000000001E-4</v>
      </c>
      <c r="E2566" s="25">
        <v>1.1909999999999999E-4</v>
      </c>
      <c r="F2566" s="25">
        <v>1.3988999999999999E-4</v>
      </c>
      <c r="G2566" s="25">
        <v>1.5812000000000001E-4</v>
      </c>
      <c r="H2566" s="25">
        <v>1.9819E-4</v>
      </c>
      <c r="I2566" s="9">
        <v>1.1150999999999999E-4</v>
      </c>
      <c r="J2566" s="9">
        <v>1.0988E-4</v>
      </c>
      <c r="K2566" s="9">
        <v>4.8749999999999999E-5</v>
      </c>
      <c r="L2566" s="9">
        <v>2.0875000000000001E-4</v>
      </c>
      <c r="M2566" s="9">
        <v>1.5987E-4</v>
      </c>
      <c r="N2566" s="9">
        <v>1.3880000000000001E-4</v>
      </c>
      <c r="O2566" s="9">
        <v>2.0519000000000001E-4</v>
      </c>
      <c r="P2566" s="9">
        <v>1.6103999999999999E-4</v>
      </c>
      <c r="Q2566" s="9">
        <v>1.1815E-4</v>
      </c>
      <c r="R2566" s="10">
        <v>1.049384212453872E-4</v>
      </c>
      <c r="S2566" s="10">
        <v>1.0104149575649355E-4</v>
      </c>
      <c r="T2566" s="10">
        <v>9.3216996960015841E-5</v>
      </c>
      <c r="U2566" s="10">
        <v>1.1568E-4</v>
      </c>
      <c r="V2566" s="25"/>
      <c r="W2566" s="25"/>
      <c r="X2566" s="25"/>
      <c r="Y2566" s="25"/>
      <c r="Z2566" s="25"/>
      <c r="AA2566" s="25"/>
    </row>
    <row r="2567" spans="1:27" x14ac:dyDescent="0.35">
      <c r="A2567" s="5">
        <v>2563</v>
      </c>
      <c r="B2567" s="5">
        <v>107</v>
      </c>
      <c r="C2567" s="5">
        <v>4</v>
      </c>
      <c r="D2567" s="25">
        <v>1.1416E-4</v>
      </c>
      <c r="E2567" s="25">
        <v>1.1849999999999999E-4</v>
      </c>
      <c r="F2567" s="25">
        <v>1.4227E-4</v>
      </c>
      <c r="G2567" s="25">
        <v>1.0632E-4</v>
      </c>
      <c r="H2567" s="25">
        <v>1.3522E-4</v>
      </c>
      <c r="I2567" s="9">
        <v>1.1033E-4</v>
      </c>
      <c r="J2567" s="9">
        <v>1.0802999999999999E-4</v>
      </c>
      <c r="K2567" s="9">
        <v>9.3250000000000003E-5</v>
      </c>
      <c r="L2567" s="9">
        <v>2.0560000000000001E-4</v>
      </c>
      <c r="M2567" s="9">
        <v>1.5986E-4</v>
      </c>
      <c r="N2567" s="9">
        <v>1.3001000000000001E-4</v>
      </c>
      <c r="O2567" s="9">
        <v>1.6309000000000001E-4</v>
      </c>
      <c r="P2567" s="9">
        <v>1.3446000000000001E-4</v>
      </c>
      <c r="Q2567" s="9">
        <v>1.0671999999999999E-4</v>
      </c>
      <c r="R2567" s="10">
        <v>1.104986692273818E-4</v>
      </c>
      <c r="S2567" s="10">
        <v>1.1158876413104112E-4</v>
      </c>
      <c r="T2567" s="10">
        <v>4.3439612672729687E-6</v>
      </c>
      <c r="U2567" s="10">
        <v>1.1568E-4</v>
      </c>
      <c r="V2567" s="25"/>
      <c r="W2567" s="25"/>
      <c r="X2567" s="25"/>
      <c r="Y2567" s="25"/>
      <c r="Z2567" s="25"/>
      <c r="AA2567" s="25"/>
    </row>
    <row r="2568" spans="1:27" x14ac:dyDescent="0.35">
      <c r="A2568" s="5">
        <v>2564</v>
      </c>
      <c r="B2568" s="5">
        <v>107</v>
      </c>
      <c r="C2568" s="5">
        <v>4</v>
      </c>
      <c r="D2568" s="25">
        <v>1.1415000000000001E-4</v>
      </c>
      <c r="E2568" s="25">
        <v>1.1051E-4</v>
      </c>
      <c r="F2568" s="25">
        <v>1.2788E-4</v>
      </c>
      <c r="G2568" s="25">
        <v>1.064E-4</v>
      </c>
      <c r="H2568" s="25">
        <v>1.2567000000000001E-4</v>
      </c>
      <c r="I2568" s="9">
        <v>1.0866000000000001E-4</v>
      </c>
      <c r="J2568" s="9">
        <v>1.026E-4</v>
      </c>
      <c r="K2568" s="9">
        <v>1.102E-4</v>
      </c>
      <c r="L2568" s="9">
        <v>1.7262000000000001E-4</v>
      </c>
      <c r="M2568" s="9">
        <v>1.5086E-4</v>
      </c>
      <c r="N2568" s="9">
        <v>1.2095E-4</v>
      </c>
      <c r="O2568" s="9">
        <v>1.2871000000000001E-4</v>
      </c>
      <c r="P2568" s="9">
        <v>1.1514E-4</v>
      </c>
      <c r="Q2568" s="9">
        <v>1.0213999999999999E-4</v>
      </c>
      <c r="R2568" s="10">
        <v>1.2679276449752971E-4</v>
      </c>
      <c r="S2568" s="10">
        <v>1.2032757364577691E-4</v>
      </c>
      <c r="T2568" s="10">
        <v>0</v>
      </c>
      <c r="U2568" s="10">
        <v>1.1568E-4</v>
      </c>
      <c r="V2568" s="25"/>
      <c r="W2568" s="25"/>
      <c r="X2568" s="25"/>
      <c r="Y2568" s="25"/>
      <c r="Z2568" s="25"/>
      <c r="AA2568" s="25"/>
    </row>
    <row r="2569" spans="1:27" x14ac:dyDescent="0.35">
      <c r="A2569" s="5">
        <v>2565</v>
      </c>
      <c r="B2569" s="5">
        <v>107</v>
      </c>
      <c r="C2569" s="5">
        <v>4</v>
      </c>
      <c r="D2569" s="25">
        <v>1.1416E-4</v>
      </c>
      <c r="E2569" s="25">
        <v>1.082E-4</v>
      </c>
      <c r="F2569" s="25">
        <v>1.4626999999999999E-4</v>
      </c>
      <c r="G2569" s="25">
        <v>5.2309999999999999E-5</v>
      </c>
      <c r="H2569" s="25">
        <v>6.4640000000000005E-5</v>
      </c>
      <c r="I2569" s="9">
        <v>1.0867E-4</v>
      </c>
      <c r="J2569" s="9">
        <v>1.0326E-4</v>
      </c>
      <c r="K2569" s="9">
        <v>1.1868E-4</v>
      </c>
      <c r="L2569" s="9">
        <v>1.3938000000000001E-4</v>
      </c>
      <c r="M2569" s="9">
        <v>1.3547E-4</v>
      </c>
      <c r="N2569" s="9">
        <v>1.1336999999999999E-4</v>
      </c>
      <c r="O2569" s="9">
        <v>8.4369999999999994E-5</v>
      </c>
      <c r="P2569" s="9">
        <v>8.6160000000000002E-5</v>
      </c>
      <c r="Q2569" s="9">
        <v>8.8159999999999996E-5</v>
      </c>
      <c r="R2569" s="10">
        <v>1.5584484077653727E-4</v>
      </c>
      <c r="S2569" s="10">
        <v>1.2521621244547144E-4</v>
      </c>
      <c r="T2569" s="10">
        <v>0</v>
      </c>
      <c r="U2569" s="10">
        <v>1.1568E-4</v>
      </c>
      <c r="V2569" s="25"/>
      <c r="W2569" s="25"/>
      <c r="X2569" s="25"/>
      <c r="Y2569" s="25"/>
      <c r="Z2569" s="25"/>
      <c r="AA2569" s="25"/>
    </row>
    <row r="2570" spans="1:27" x14ac:dyDescent="0.35">
      <c r="A2570" s="5">
        <v>2566</v>
      </c>
      <c r="B2570" s="5">
        <v>107</v>
      </c>
      <c r="C2570" s="5">
        <v>4</v>
      </c>
      <c r="D2570" s="25">
        <v>1.1415000000000001E-4</v>
      </c>
      <c r="E2570" s="25">
        <v>1.1437E-4</v>
      </c>
      <c r="F2570" s="25">
        <v>1.4286999999999999E-4</v>
      </c>
      <c r="G2570" s="25">
        <v>5.4049999999999999E-5</v>
      </c>
      <c r="H2570" s="25">
        <v>6.5289999999999993E-5</v>
      </c>
      <c r="I2570" s="9">
        <v>1.0864E-4</v>
      </c>
      <c r="J2570" s="9">
        <v>9.9060000000000004E-5</v>
      </c>
      <c r="K2570" s="9">
        <v>1.2292E-4</v>
      </c>
      <c r="L2570" s="9">
        <v>9.7369999999999998E-5</v>
      </c>
      <c r="M2570" s="9">
        <v>1.1377E-4</v>
      </c>
      <c r="N2570" s="9">
        <v>1.0571E-4</v>
      </c>
      <c r="O2570" s="9">
        <v>8.7830000000000004E-5</v>
      </c>
      <c r="P2570" s="9">
        <v>8.8250000000000004E-5</v>
      </c>
      <c r="Q2570" s="9">
        <v>8.8900000000000006E-5</v>
      </c>
      <c r="R2570" s="10">
        <v>1.7271096934874306E-4</v>
      </c>
      <c r="S2570" s="10">
        <v>1.2693715867531676E-4</v>
      </c>
      <c r="T2570" s="10">
        <v>0</v>
      </c>
      <c r="U2570" s="10">
        <v>1.1568E-4</v>
      </c>
      <c r="V2570" s="25"/>
      <c r="W2570" s="25"/>
      <c r="X2570" s="25"/>
      <c r="Y2570" s="25"/>
      <c r="Z2570" s="25"/>
      <c r="AA2570" s="25"/>
    </row>
    <row r="2571" spans="1:27" x14ac:dyDescent="0.35">
      <c r="A2571" s="5">
        <v>2567</v>
      </c>
      <c r="B2571" s="5">
        <v>107</v>
      </c>
      <c r="C2571" s="5">
        <v>4</v>
      </c>
      <c r="D2571" s="25">
        <v>1.1416E-4</v>
      </c>
      <c r="E2571" s="25">
        <v>1.0946999999999999E-4</v>
      </c>
      <c r="F2571" s="25">
        <v>1.3433999999999999E-4</v>
      </c>
      <c r="G2571" s="25">
        <v>6.0080000000000001E-5</v>
      </c>
      <c r="H2571" s="25">
        <v>6.7150000000000006E-5</v>
      </c>
      <c r="I2571" s="9">
        <v>1.0719E-4</v>
      </c>
      <c r="J2571" s="9">
        <v>9.302E-5</v>
      </c>
      <c r="K2571" s="9">
        <v>1.2928000000000001E-4</v>
      </c>
      <c r="L2571" s="9">
        <v>9.0859999999999994E-5</v>
      </c>
      <c r="M2571" s="9">
        <v>9.9259999999999995E-5</v>
      </c>
      <c r="N2571" s="9">
        <v>1.0001999999999999E-4</v>
      </c>
      <c r="O2571" s="9">
        <v>7.7189999999999998E-5</v>
      </c>
      <c r="P2571" s="9">
        <v>7.1680000000000005E-5</v>
      </c>
      <c r="Q2571" s="9">
        <v>6.6459999999999997E-5</v>
      </c>
      <c r="R2571" s="10">
        <v>1.770659277073838E-4</v>
      </c>
      <c r="S2571" s="10">
        <v>1.2737939414257532E-4</v>
      </c>
      <c r="T2571" s="10">
        <v>0</v>
      </c>
      <c r="U2571" s="10">
        <v>1.1568E-4</v>
      </c>
      <c r="V2571" s="25"/>
      <c r="W2571" s="25"/>
      <c r="X2571" s="25"/>
      <c r="Y2571" s="25"/>
      <c r="Z2571" s="25"/>
      <c r="AA2571" s="25"/>
    </row>
    <row r="2572" spans="1:27" x14ac:dyDescent="0.35">
      <c r="A2572" s="5">
        <v>2568</v>
      </c>
      <c r="B2572" s="5">
        <v>107</v>
      </c>
      <c r="C2572" s="5">
        <v>4</v>
      </c>
      <c r="D2572" s="25">
        <v>1.1415000000000001E-4</v>
      </c>
      <c r="E2572" s="25">
        <v>1.1382E-4</v>
      </c>
      <c r="F2572" s="25">
        <v>1.2825E-4</v>
      </c>
      <c r="G2572" s="25">
        <v>5.7840000000000002E-5</v>
      </c>
      <c r="H2572" s="25">
        <v>6.5759999999999994E-5</v>
      </c>
      <c r="I2572" s="9">
        <v>1.0074E-4</v>
      </c>
      <c r="J2572" s="9">
        <v>8.9450000000000006E-5</v>
      </c>
      <c r="K2572" s="9">
        <v>1.314E-4</v>
      </c>
      <c r="L2572" s="9">
        <v>8.0179999999999995E-5</v>
      </c>
      <c r="M2572" s="9">
        <v>8.6149999999999993E-5</v>
      </c>
      <c r="N2572" s="9">
        <v>9.0610000000000002E-5</v>
      </c>
      <c r="O2572" s="9">
        <v>6.2619999999999993E-5</v>
      </c>
      <c r="P2572" s="9">
        <v>6.0600000000000003E-5</v>
      </c>
      <c r="Q2572" s="9">
        <v>5.8789999999999998E-5</v>
      </c>
      <c r="R2572" s="10">
        <v>1.6867578500524759E-4</v>
      </c>
      <c r="S2572" s="10">
        <v>1.1213375844505881E-4</v>
      </c>
      <c r="T2572" s="10">
        <v>0</v>
      </c>
      <c r="U2572" s="10">
        <v>1.1568E-4</v>
      </c>
      <c r="V2572" s="25"/>
      <c r="W2572" s="25"/>
      <c r="X2572" s="25"/>
      <c r="Y2572" s="25"/>
      <c r="Z2572" s="25"/>
      <c r="AA2572" s="25"/>
    </row>
    <row r="2573" spans="1:27" x14ac:dyDescent="0.35">
      <c r="A2573" s="5">
        <v>2569</v>
      </c>
      <c r="B2573" s="5">
        <v>108</v>
      </c>
      <c r="C2573" s="5">
        <v>4</v>
      </c>
      <c r="D2573" s="25">
        <v>1.1416E-4</v>
      </c>
      <c r="E2573" s="25">
        <v>1.1621E-4</v>
      </c>
      <c r="F2573" s="25">
        <v>1.0911E-4</v>
      </c>
      <c r="G2573" s="25">
        <v>6.0720000000000001E-5</v>
      </c>
      <c r="H2573" s="25">
        <v>6.9540000000000002E-5</v>
      </c>
      <c r="I2573" s="9">
        <v>9.5459999999999997E-5</v>
      </c>
      <c r="J2573" s="9">
        <v>8.5550000000000006E-5</v>
      </c>
      <c r="K2573" s="9">
        <v>1.3776000000000001E-4</v>
      </c>
      <c r="L2573" s="9">
        <v>6.6500000000000004E-5</v>
      </c>
      <c r="M2573" s="9">
        <v>7.3930000000000005E-5</v>
      </c>
      <c r="N2573" s="9">
        <v>8.1169999999999997E-5</v>
      </c>
      <c r="O2573" s="9">
        <v>5.4320000000000002E-5</v>
      </c>
      <c r="P2573" s="9">
        <v>5.3739999999999997E-5</v>
      </c>
      <c r="Q2573" s="9">
        <v>5.3319999999999998E-5</v>
      </c>
      <c r="R2573" s="10">
        <v>1.6183325452099112E-4</v>
      </c>
      <c r="S2573" s="10">
        <v>1.0948639816346574E-4</v>
      </c>
      <c r="T2573" s="10">
        <v>0</v>
      </c>
      <c r="U2573" s="10">
        <v>1.1412E-4</v>
      </c>
      <c r="V2573" s="25"/>
      <c r="W2573" s="25"/>
      <c r="X2573" s="25"/>
      <c r="Y2573" s="25"/>
      <c r="Z2573" s="25"/>
      <c r="AA2573" s="25"/>
    </row>
    <row r="2574" spans="1:27" x14ac:dyDescent="0.35">
      <c r="A2574" s="5">
        <v>2570</v>
      </c>
      <c r="B2574" s="5">
        <v>108</v>
      </c>
      <c r="C2574" s="5">
        <v>4</v>
      </c>
      <c r="D2574" s="25">
        <v>1.1415000000000001E-4</v>
      </c>
      <c r="E2574" s="25">
        <v>1.1713E-4</v>
      </c>
      <c r="F2574" s="25">
        <v>1.0255E-4</v>
      </c>
      <c r="G2574" s="25">
        <v>5.7809999999999997E-5</v>
      </c>
      <c r="H2574" s="25">
        <v>6.5660000000000005E-5</v>
      </c>
      <c r="I2574" s="9">
        <v>9.2070000000000004E-5</v>
      </c>
      <c r="J2574" s="9">
        <v>8.6030000000000001E-5</v>
      </c>
      <c r="K2574" s="9">
        <v>1.3776000000000001E-4</v>
      </c>
      <c r="L2574" s="9">
        <v>5.7380000000000003E-5</v>
      </c>
      <c r="M2574" s="9">
        <v>6.3759999999999999E-5</v>
      </c>
      <c r="N2574" s="9">
        <v>7.2020000000000005E-5</v>
      </c>
      <c r="O2574" s="9">
        <v>1.912E-5</v>
      </c>
      <c r="P2574" s="9">
        <v>3.782E-5</v>
      </c>
      <c r="Q2574" s="9">
        <v>5.6289999999999998E-5</v>
      </c>
      <c r="R2574" s="10">
        <v>1.5575841298200272E-4</v>
      </c>
      <c r="S2574" s="10">
        <v>1.0667639457591965E-4</v>
      </c>
      <c r="T2574" s="10">
        <v>0</v>
      </c>
      <c r="U2574" s="10">
        <v>1.1412E-4</v>
      </c>
      <c r="V2574" s="25"/>
      <c r="W2574" s="25"/>
      <c r="X2574" s="25"/>
      <c r="Y2574" s="25"/>
      <c r="Z2574" s="25"/>
      <c r="AA2574" s="25"/>
    </row>
    <row r="2575" spans="1:27" x14ac:dyDescent="0.35">
      <c r="A2575" s="5">
        <v>2571</v>
      </c>
      <c r="B2575" s="5">
        <v>108</v>
      </c>
      <c r="C2575" s="5">
        <v>4</v>
      </c>
      <c r="D2575" s="25">
        <v>1.1416E-4</v>
      </c>
      <c r="E2575" s="25">
        <v>1.1977E-4</v>
      </c>
      <c r="F2575" s="25">
        <v>1.0758E-4</v>
      </c>
      <c r="G2575" s="25">
        <v>6.0460000000000001E-5</v>
      </c>
      <c r="H2575" s="25">
        <v>6.6190000000000002E-5</v>
      </c>
      <c r="I2575" s="9">
        <v>9.0500000000000004E-5</v>
      </c>
      <c r="J2575" s="9">
        <v>8.5749999999999997E-5</v>
      </c>
      <c r="K2575" s="9">
        <v>1.4198999999999999E-4</v>
      </c>
      <c r="L2575" s="9">
        <v>2.773E-5</v>
      </c>
      <c r="M2575" s="9">
        <v>5.2110000000000001E-5</v>
      </c>
      <c r="N2575" s="9">
        <v>6.5469999999999995E-5</v>
      </c>
      <c r="O2575" s="9">
        <v>1.3540000000000001E-5</v>
      </c>
      <c r="P2575" s="9">
        <v>3.752E-5</v>
      </c>
      <c r="Q2575" s="9">
        <v>6.1160000000000004E-5</v>
      </c>
      <c r="R2575" s="10">
        <v>1.5252586260772555E-4</v>
      </c>
      <c r="S2575" s="10">
        <v>1.0135162329821016E-4</v>
      </c>
      <c r="T2575" s="10">
        <v>0</v>
      </c>
      <c r="U2575" s="10">
        <v>1.1412E-4</v>
      </c>
      <c r="V2575" s="25"/>
      <c r="W2575" s="25"/>
      <c r="X2575" s="25"/>
      <c r="Y2575" s="25"/>
      <c r="Z2575" s="25"/>
      <c r="AA2575" s="25"/>
    </row>
    <row r="2576" spans="1:27" x14ac:dyDescent="0.35">
      <c r="A2576" s="5">
        <v>2572</v>
      </c>
      <c r="B2576" s="5">
        <v>108</v>
      </c>
      <c r="C2576" s="5">
        <v>4</v>
      </c>
      <c r="D2576" s="25">
        <v>1.1415000000000001E-4</v>
      </c>
      <c r="E2576" s="25">
        <v>1.1267E-4</v>
      </c>
      <c r="F2576" s="25">
        <v>1.1017E-4</v>
      </c>
      <c r="G2576" s="25">
        <v>5.5840000000000001E-5</v>
      </c>
      <c r="H2576" s="25">
        <v>6.5179999999999996E-5</v>
      </c>
      <c r="I2576" s="9">
        <v>9.0649999999999994E-5</v>
      </c>
      <c r="J2576" s="9">
        <v>8.7349999999999995E-5</v>
      </c>
      <c r="K2576" s="9">
        <v>1.4200000000000001E-4</v>
      </c>
      <c r="L2576" s="9">
        <v>1.7399999999999999E-5</v>
      </c>
      <c r="M2576" s="9">
        <v>4.4079999999999998E-5</v>
      </c>
      <c r="N2576" s="9">
        <v>6.1790000000000003E-5</v>
      </c>
      <c r="O2576" s="9">
        <v>1.362E-5</v>
      </c>
      <c r="P2576" s="9">
        <v>4.7160000000000002E-5</v>
      </c>
      <c r="Q2576" s="9">
        <v>8.0210000000000006E-5</v>
      </c>
      <c r="R2576" s="10">
        <v>1.4828749281160076E-4</v>
      </c>
      <c r="S2576" s="10">
        <v>9.6356935145499987E-5</v>
      </c>
      <c r="T2576" s="10">
        <v>0</v>
      </c>
      <c r="U2576" s="10">
        <v>1.1412E-4</v>
      </c>
      <c r="V2576" s="25"/>
      <c r="W2576" s="25"/>
      <c r="X2576" s="25"/>
      <c r="Y2576" s="25"/>
      <c r="Z2576" s="25"/>
      <c r="AA2576" s="25"/>
    </row>
    <row r="2577" spans="1:27" x14ac:dyDescent="0.35">
      <c r="A2577" s="5">
        <v>2573</v>
      </c>
      <c r="B2577" s="5">
        <v>108</v>
      </c>
      <c r="C2577" s="5">
        <v>4</v>
      </c>
      <c r="D2577" s="25">
        <v>1.1416E-4</v>
      </c>
      <c r="E2577" s="25">
        <v>1.133E-4</v>
      </c>
      <c r="F2577" s="25">
        <v>1.1852E-4</v>
      </c>
      <c r="G2577" s="25">
        <v>6.2230000000000006E-5</v>
      </c>
      <c r="H2577" s="25">
        <v>6.5809999999999995E-5</v>
      </c>
      <c r="I2577" s="9">
        <v>9.2150000000000004E-5</v>
      </c>
      <c r="J2577" s="9">
        <v>8.8350000000000006E-5</v>
      </c>
      <c r="K2577" s="9">
        <v>1.3988E-4</v>
      </c>
      <c r="L2577" s="9">
        <v>1.47E-5</v>
      </c>
      <c r="M2577" s="9">
        <v>4.3380000000000001E-5</v>
      </c>
      <c r="N2577" s="9">
        <v>6.4309999999999999E-5</v>
      </c>
      <c r="O2577" s="9">
        <v>1.893E-5</v>
      </c>
      <c r="P2577" s="9">
        <v>5.6169999999999999E-5</v>
      </c>
      <c r="Q2577" s="9">
        <v>9.289E-5</v>
      </c>
      <c r="R2577" s="10">
        <v>1.3738733943310089E-4</v>
      </c>
      <c r="S2577" s="10">
        <v>9.3145307312146559E-5</v>
      </c>
      <c r="T2577" s="10">
        <v>0</v>
      </c>
      <c r="U2577" s="10">
        <v>1.1412E-4</v>
      </c>
      <c r="V2577" s="25"/>
      <c r="W2577" s="25"/>
      <c r="X2577" s="25"/>
      <c r="Y2577" s="25"/>
      <c r="Z2577" s="25"/>
      <c r="AA2577" s="25"/>
    </row>
    <row r="2578" spans="1:27" x14ac:dyDescent="0.35">
      <c r="A2578" s="5">
        <v>2574</v>
      </c>
      <c r="B2578" s="5">
        <v>108</v>
      </c>
      <c r="C2578" s="5">
        <v>4</v>
      </c>
      <c r="D2578" s="25">
        <v>1.1415000000000001E-4</v>
      </c>
      <c r="E2578" s="25">
        <v>1.1694E-4</v>
      </c>
      <c r="F2578" s="25">
        <v>1.1759E-4</v>
      </c>
      <c r="G2578" s="25">
        <v>1.0631E-4</v>
      </c>
      <c r="H2578" s="25">
        <v>1.2977999999999999E-4</v>
      </c>
      <c r="I2578" s="9">
        <v>9.1970000000000002E-5</v>
      </c>
      <c r="J2578" s="9">
        <v>8.8200000000000003E-5</v>
      </c>
      <c r="K2578" s="9">
        <v>1.2928000000000001E-4</v>
      </c>
      <c r="L2578" s="9">
        <v>1.787E-5</v>
      </c>
      <c r="M2578" s="9">
        <v>4.816E-5</v>
      </c>
      <c r="N2578" s="9">
        <v>7.0710000000000006E-5</v>
      </c>
      <c r="O2578" s="9">
        <v>4.6699999999999997E-5</v>
      </c>
      <c r="P2578" s="9">
        <v>7.7449999999999999E-5</v>
      </c>
      <c r="Q2578" s="9">
        <v>1.0785000000000001E-4</v>
      </c>
      <c r="R2578" s="10">
        <v>1.3052155181237266E-4</v>
      </c>
      <c r="S2578" s="10">
        <v>8.8781068674913971E-5</v>
      </c>
      <c r="T2578" s="10">
        <v>8.5352051462433736E-6</v>
      </c>
      <c r="U2578" s="10">
        <v>1.1412E-4</v>
      </c>
      <c r="V2578" s="25"/>
      <c r="W2578" s="25"/>
      <c r="X2578" s="25"/>
      <c r="Y2578" s="25"/>
      <c r="Z2578" s="25"/>
      <c r="AA2578" s="25"/>
    </row>
    <row r="2579" spans="1:27" x14ac:dyDescent="0.35">
      <c r="A2579" s="5">
        <v>2575</v>
      </c>
      <c r="B2579" s="5">
        <v>108</v>
      </c>
      <c r="C2579" s="5">
        <v>4</v>
      </c>
      <c r="D2579" s="25">
        <v>1.1416E-4</v>
      </c>
      <c r="E2579" s="25">
        <v>1.1684E-4</v>
      </c>
      <c r="F2579" s="25">
        <v>1.0252E-4</v>
      </c>
      <c r="G2579" s="25">
        <v>1.0734999999999999E-4</v>
      </c>
      <c r="H2579" s="25">
        <v>1.3972999999999999E-4</v>
      </c>
      <c r="I2579" s="9">
        <v>9.3739999999999994E-5</v>
      </c>
      <c r="J2579" s="9">
        <v>9.0500000000000004E-5</v>
      </c>
      <c r="K2579" s="9">
        <v>1.1656E-4</v>
      </c>
      <c r="L2579" s="9">
        <v>4.0219999999999998E-5</v>
      </c>
      <c r="M2579" s="9">
        <v>6.0050000000000003E-5</v>
      </c>
      <c r="N2579" s="9">
        <v>8.064E-5</v>
      </c>
      <c r="O2579" s="9">
        <v>1.2318999999999999E-4</v>
      </c>
      <c r="P2579" s="9">
        <v>1.1781E-4</v>
      </c>
      <c r="Q2579" s="9">
        <v>1.1286E-4</v>
      </c>
      <c r="R2579" s="10">
        <v>1.2830097108873376E-4</v>
      </c>
      <c r="S2579" s="10">
        <v>8.0043721340156327E-5</v>
      </c>
      <c r="T2579" s="10">
        <v>1.0832753410261967E-4</v>
      </c>
      <c r="U2579" s="10">
        <v>1.1412E-4</v>
      </c>
      <c r="V2579" s="25"/>
      <c r="W2579" s="25"/>
      <c r="X2579" s="25"/>
      <c r="Y2579" s="25"/>
      <c r="Z2579" s="25"/>
      <c r="AA2579" s="25"/>
    </row>
    <row r="2580" spans="1:27" x14ac:dyDescent="0.35">
      <c r="A2580" s="5">
        <v>2576</v>
      </c>
      <c r="B2580" s="5">
        <v>108</v>
      </c>
      <c r="C2580" s="5">
        <v>4</v>
      </c>
      <c r="D2580" s="25">
        <v>1.1415000000000001E-4</v>
      </c>
      <c r="E2580" s="25">
        <v>1.1351E-4</v>
      </c>
      <c r="F2580" s="25">
        <v>1.1754E-4</v>
      </c>
      <c r="G2580" s="25">
        <v>1.5761E-4</v>
      </c>
      <c r="H2580" s="25">
        <v>1.8881E-4</v>
      </c>
      <c r="I2580" s="9">
        <v>9.8839999999999996E-5</v>
      </c>
      <c r="J2580" s="9">
        <v>9.3339999999999997E-5</v>
      </c>
      <c r="K2580" s="9">
        <v>8.2659999999999998E-5</v>
      </c>
      <c r="L2580" s="9">
        <v>1.0431E-4</v>
      </c>
      <c r="M2580" s="9">
        <v>8.3919999999999996E-5</v>
      </c>
      <c r="N2580" s="9">
        <v>9.0859999999999994E-5</v>
      </c>
      <c r="O2580" s="9">
        <v>2.1771E-4</v>
      </c>
      <c r="P2580" s="9">
        <v>1.7634000000000001E-4</v>
      </c>
      <c r="Q2580" s="9">
        <v>1.3622999999999999E-4</v>
      </c>
      <c r="R2580" s="10">
        <v>1.2283744546807312E-4</v>
      </c>
      <c r="S2580" s="10">
        <v>7.1870995834810638E-5</v>
      </c>
      <c r="T2580" s="10">
        <v>3.2072348403408741E-4</v>
      </c>
      <c r="U2580" s="10">
        <v>1.1412E-4</v>
      </c>
      <c r="V2580" s="25"/>
      <c r="W2580" s="25"/>
      <c r="X2580" s="25"/>
      <c r="Y2580" s="25"/>
      <c r="Z2580" s="25"/>
      <c r="AA2580" s="25"/>
    </row>
    <row r="2581" spans="1:27" x14ac:dyDescent="0.35">
      <c r="A2581" s="5">
        <v>2577</v>
      </c>
      <c r="B2581" s="5">
        <v>108</v>
      </c>
      <c r="C2581" s="5">
        <v>4</v>
      </c>
      <c r="D2581" s="25">
        <v>1.1416E-4</v>
      </c>
      <c r="E2581" s="25">
        <v>1.2032999999999999E-4</v>
      </c>
      <c r="F2581" s="25">
        <v>1.1234E-4</v>
      </c>
      <c r="G2581" s="25">
        <v>1.5873999999999999E-4</v>
      </c>
      <c r="H2581" s="25">
        <v>2.0242E-4</v>
      </c>
      <c r="I2581" s="9">
        <v>1.0338E-4</v>
      </c>
      <c r="J2581" s="9">
        <v>9.6199999999999994E-5</v>
      </c>
      <c r="K2581" s="9">
        <v>5.0869999999999999E-5</v>
      </c>
      <c r="L2581" s="9">
        <v>1.9100000000000001E-4</v>
      </c>
      <c r="M2581" s="9">
        <v>1.2336000000000001E-4</v>
      </c>
      <c r="N2581" s="9">
        <v>1.0454E-4</v>
      </c>
      <c r="O2581" s="9">
        <v>2.1125000000000001E-4</v>
      </c>
      <c r="P2581" s="9">
        <v>1.9406E-4</v>
      </c>
      <c r="Q2581" s="9">
        <v>1.7772999999999999E-4</v>
      </c>
      <c r="R2581" s="10">
        <v>8.1822920640613498E-5</v>
      </c>
      <c r="S2581" s="10">
        <v>6.1615459774689281E-5</v>
      </c>
      <c r="T2581" s="10">
        <v>4.9943676554548933E-4</v>
      </c>
      <c r="U2581" s="10">
        <v>1.1412E-4</v>
      </c>
      <c r="V2581" s="25"/>
      <c r="W2581" s="25"/>
      <c r="X2581" s="25"/>
      <c r="Y2581" s="25"/>
      <c r="Z2581" s="25"/>
      <c r="AA2581" s="25"/>
    </row>
    <row r="2582" spans="1:27" x14ac:dyDescent="0.35">
      <c r="A2582" s="5">
        <v>2578</v>
      </c>
      <c r="B2582" s="5">
        <v>108</v>
      </c>
      <c r="C2582" s="5">
        <v>4</v>
      </c>
      <c r="D2582" s="25">
        <v>1.1415000000000001E-4</v>
      </c>
      <c r="E2582" s="25">
        <v>1.1676E-4</v>
      </c>
      <c r="F2582" s="25">
        <v>1.1899E-4</v>
      </c>
      <c r="G2582" s="25">
        <v>1.6087999999999999E-4</v>
      </c>
      <c r="H2582" s="25">
        <v>2.0063000000000001E-4</v>
      </c>
      <c r="I2582" s="9">
        <v>1.0817E-4</v>
      </c>
      <c r="J2582" s="9">
        <v>1.0281E-4</v>
      </c>
      <c r="K2582" s="9">
        <v>2.12E-5</v>
      </c>
      <c r="L2582" s="9">
        <v>2.0453E-4</v>
      </c>
      <c r="M2582" s="9">
        <v>1.5878999999999999E-4</v>
      </c>
      <c r="N2582" s="9">
        <v>1.2475999999999999E-4</v>
      </c>
      <c r="O2582" s="9">
        <v>1.6485999999999999E-4</v>
      </c>
      <c r="P2582" s="9">
        <v>1.7244999999999999E-4</v>
      </c>
      <c r="Q2582" s="9">
        <v>1.8038E-4</v>
      </c>
      <c r="R2582" s="10">
        <v>2.3194120123707224E-5</v>
      </c>
      <c r="S2582" s="10">
        <v>5.5858937025430886E-5</v>
      </c>
      <c r="T2582" s="10">
        <v>6.429317204544498E-4</v>
      </c>
      <c r="U2582" s="10">
        <v>1.1412E-4</v>
      </c>
      <c r="V2582" s="25"/>
      <c r="W2582" s="25"/>
      <c r="X2582" s="25"/>
      <c r="Y2582" s="25"/>
      <c r="Z2582" s="25"/>
      <c r="AA2582" s="25"/>
    </row>
    <row r="2583" spans="1:27" x14ac:dyDescent="0.35">
      <c r="A2583" s="5">
        <v>2579</v>
      </c>
      <c r="B2583" s="5">
        <v>108</v>
      </c>
      <c r="C2583" s="5">
        <v>4</v>
      </c>
      <c r="D2583" s="25">
        <v>1.1416E-4</v>
      </c>
      <c r="E2583" s="25">
        <v>1.1692E-4</v>
      </c>
      <c r="F2583" s="25">
        <v>1.2412E-4</v>
      </c>
      <c r="G2583" s="25">
        <v>1.6122E-4</v>
      </c>
      <c r="H2583" s="25">
        <v>1.9246000000000001E-4</v>
      </c>
      <c r="I2583" s="9">
        <v>1.1079E-4</v>
      </c>
      <c r="J2583" s="9">
        <v>1.0415E-4</v>
      </c>
      <c r="K2583" s="9">
        <v>0</v>
      </c>
      <c r="L2583" s="9">
        <v>1.7362000000000001E-4</v>
      </c>
      <c r="M2583" s="9">
        <v>1.7194000000000001E-4</v>
      </c>
      <c r="N2583" s="9">
        <v>1.4248E-4</v>
      </c>
      <c r="O2583" s="9">
        <v>1.6670000000000001E-4</v>
      </c>
      <c r="P2583" s="9">
        <v>1.7302999999999999E-4</v>
      </c>
      <c r="Q2583" s="9">
        <v>1.7971999999999999E-4</v>
      </c>
      <c r="R2583" s="10">
        <v>3.6450620916295347E-5</v>
      </c>
      <c r="S2583" s="10">
        <v>5.2072560753912799E-5</v>
      </c>
      <c r="T2583" s="10">
        <v>7.0513011899034459E-4</v>
      </c>
      <c r="U2583" s="10">
        <v>1.1412E-4</v>
      </c>
      <c r="V2583" s="25"/>
      <c r="W2583" s="25"/>
      <c r="X2583" s="25"/>
      <c r="Y2583" s="25"/>
      <c r="Z2583" s="25"/>
      <c r="AA2583" s="25"/>
    </row>
    <row r="2584" spans="1:27" x14ac:dyDescent="0.35">
      <c r="A2584" s="5">
        <v>2580</v>
      </c>
      <c r="B2584" s="5">
        <v>108</v>
      </c>
      <c r="C2584" s="5">
        <v>4</v>
      </c>
      <c r="D2584" s="25">
        <v>1.1415000000000001E-4</v>
      </c>
      <c r="E2584" s="25">
        <v>1.1926000000000001E-4</v>
      </c>
      <c r="F2584" s="25">
        <v>1.2407E-4</v>
      </c>
      <c r="G2584" s="25">
        <v>1.6531E-4</v>
      </c>
      <c r="H2584" s="25">
        <v>2.0039999999999999E-4</v>
      </c>
      <c r="I2584" s="9">
        <v>1.1273999999999999E-4</v>
      </c>
      <c r="J2584" s="9">
        <v>9.9720000000000001E-5</v>
      </c>
      <c r="K2584" s="9">
        <v>0</v>
      </c>
      <c r="L2584" s="9">
        <v>1.6966999999999999E-4</v>
      </c>
      <c r="M2584" s="9">
        <v>1.7448999999999999E-4</v>
      </c>
      <c r="N2584" s="9">
        <v>1.5658E-4</v>
      </c>
      <c r="O2584" s="9">
        <v>1.6985000000000001E-4</v>
      </c>
      <c r="P2584" s="9">
        <v>1.7210000000000001E-4</v>
      </c>
      <c r="Q2584" s="9">
        <v>1.7478E-4</v>
      </c>
      <c r="R2584" s="10">
        <v>3.8347490019525632E-5</v>
      </c>
      <c r="S2584" s="10">
        <v>4.4473886686084337E-5</v>
      </c>
      <c r="T2584" s="10">
        <v>6.9432960591761322E-4</v>
      </c>
      <c r="U2584" s="10">
        <v>1.1412E-4</v>
      </c>
      <c r="V2584" s="25"/>
      <c r="W2584" s="25"/>
      <c r="X2584" s="25"/>
      <c r="Y2584" s="25"/>
      <c r="Z2584" s="25"/>
      <c r="AA2584" s="25"/>
    </row>
    <row r="2585" spans="1:27" x14ac:dyDescent="0.35">
      <c r="A2585" s="5">
        <v>2581</v>
      </c>
      <c r="B2585" s="5">
        <v>108</v>
      </c>
      <c r="C2585" s="5">
        <v>4</v>
      </c>
      <c r="D2585" s="25">
        <v>1.1416E-4</v>
      </c>
      <c r="E2585" s="25">
        <v>1.1814E-4</v>
      </c>
      <c r="F2585" s="25">
        <v>1.1491E-4</v>
      </c>
      <c r="G2585" s="25">
        <v>1.6265999999999999E-4</v>
      </c>
      <c r="H2585" s="25">
        <v>1.9557E-4</v>
      </c>
      <c r="I2585" s="9">
        <v>1.0798000000000001E-4</v>
      </c>
      <c r="J2585" s="9">
        <v>9.5699999999999995E-5</v>
      </c>
      <c r="K2585" s="9">
        <v>0</v>
      </c>
      <c r="L2585" s="9">
        <v>1.6995000000000001E-4</v>
      </c>
      <c r="M2585" s="9">
        <v>1.7380999999999999E-4</v>
      </c>
      <c r="N2585" s="9">
        <v>1.6618000000000001E-4</v>
      </c>
      <c r="O2585" s="9">
        <v>1.6118999999999999E-4</v>
      </c>
      <c r="P2585" s="9">
        <v>1.6420000000000001E-4</v>
      </c>
      <c r="Q2585" s="9">
        <v>1.6760000000000001E-4</v>
      </c>
      <c r="R2585" s="10">
        <v>6.4109093728488437E-5</v>
      </c>
      <c r="S2585" s="10">
        <v>4.34515798815422E-5</v>
      </c>
      <c r="T2585" s="10">
        <v>6.8945113379128122E-4</v>
      </c>
      <c r="U2585" s="10">
        <v>1.1412E-4</v>
      </c>
      <c r="V2585" s="25"/>
      <c r="W2585" s="25"/>
      <c r="X2585" s="25"/>
      <c r="Y2585" s="25"/>
      <c r="Z2585" s="25"/>
      <c r="AA2585" s="25"/>
    </row>
    <row r="2586" spans="1:27" x14ac:dyDescent="0.35">
      <c r="A2586" s="5">
        <v>2582</v>
      </c>
      <c r="B2586" s="5">
        <v>108</v>
      </c>
      <c r="C2586" s="5">
        <v>4</v>
      </c>
      <c r="D2586" s="25">
        <v>1.1415000000000001E-4</v>
      </c>
      <c r="E2586" s="25">
        <v>1.2E-4</v>
      </c>
      <c r="F2586" s="25">
        <v>1.1205999999999999E-4</v>
      </c>
      <c r="G2586" s="25">
        <v>1.5767999999999999E-4</v>
      </c>
      <c r="H2586" s="25">
        <v>1.9441E-4</v>
      </c>
      <c r="I2586" s="9">
        <v>1.0236E-4</v>
      </c>
      <c r="J2586" s="9">
        <v>9.488E-5</v>
      </c>
      <c r="K2586" s="9">
        <v>1.9069999999999999E-5</v>
      </c>
      <c r="L2586" s="9">
        <v>1.6284000000000001E-4</v>
      </c>
      <c r="M2586" s="9">
        <v>1.7016000000000001E-4</v>
      </c>
      <c r="N2586" s="9">
        <v>1.7055E-4</v>
      </c>
      <c r="O2586" s="9">
        <v>1.7739000000000001E-4</v>
      </c>
      <c r="P2586" s="9">
        <v>1.6873999999999999E-4</v>
      </c>
      <c r="Q2586" s="9">
        <v>1.6071999999999999E-4</v>
      </c>
      <c r="R2586" s="10">
        <v>5.9681757810882066E-5</v>
      </c>
      <c r="S2586" s="10">
        <v>4.3374996512022268E-5</v>
      </c>
      <c r="T2586" s="10">
        <v>5.8075877481660542E-4</v>
      </c>
      <c r="U2586" s="10">
        <v>1.1412E-4</v>
      </c>
      <c r="V2586" s="25"/>
      <c r="W2586" s="25"/>
      <c r="X2586" s="25"/>
      <c r="Y2586" s="25"/>
      <c r="Z2586" s="25"/>
      <c r="AA2586" s="25"/>
    </row>
    <row r="2587" spans="1:27" x14ac:dyDescent="0.35">
      <c r="A2587" s="5">
        <v>2583</v>
      </c>
      <c r="B2587" s="5">
        <v>108</v>
      </c>
      <c r="C2587" s="5">
        <v>4</v>
      </c>
      <c r="D2587" s="25">
        <v>1.1416E-4</v>
      </c>
      <c r="E2587" s="25">
        <v>1.1290000000000001E-4</v>
      </c>
      <c r="F2587" s="25">
        <v>1.21E-4</v>
      </c>
      <c r="G2587" s="25">
        <v>1.5982E-4</v>
      </c>
      <c r="H2587" s="25">
        <v>1.8892E-4</v>
      </c>
      <c r="I2587" s="9">
        <v>1.0247E-4</v>
      </c>
      <c r="J2587" s="9">
        <v>9.5699999999999995E-5</v>
      </c>
      <c r="K2587" s="9">
        <v>1.908E-5</v>
      </c>
      <c r="L2587" s="9">
        <v>1.7437E-4</v>
      </c>
      <c r="M2587" s="9">
        <v>1.6859000000000001E-4</v>
      </c>
      <c r="N2587" s="9">
        <v>1.7003999999999999E-4</v>
      </c>
      <c r="O2587" s="9">
        <v>1.8100000000000001E-4</v>
      </c>
      <c r="P2587" s="9">
        <v>1.6569999999999999E-4</v>
      </c>
      <c r="Q2587" s="9">
        <v>1.5113999999999999E-4</v>
      </c>
      <c r="R2587" s="10">
        <v>5.8168486272748619E-5</v>
      </c>
      <c r="S2587" s="10">
        <v>4.817576180526599E-5</v>
      </c>
      <c r="T2587" s="10">
        <v>4.9036704954018707E-4</v>
      </c>
      <c r="U2587" s="10">
        <v>1.1412E-4</v>
      </c>
      <c r="V2587" s="25"/>
      <c r="W2587" s="25"/>
      <c r="X2587" s="25"/>
      <c r="Y2587" s="25"/>
      <c r="Z2587" s="25"/>
      <c r="AA2587" s="25"/>
    </row>
    <row r="2588" spans="1:27" x14ac:dyDescent="0.35">
      <c r="A2588" s="5">
        <v>2584</v>
      </c>
      <c r="B2588" s="5">
        <v>108</v>
      </c>
      <c r="C2588" s="5">
        <v>4</v>
      </c>
      <c r="D2588" s="25">
        <v>1.1415000000000001E-4</v>
      </c>
      <c r="E2588" s="25">
        <v>1.1082999999999999E-4</v>
      </c>
      <c r="F2588" s="25">
        <v>1.1843E-4</v>
      </c>
      <c r="G2588" s="25">
        <v>1.6710999999999999E-4</v>
      </c>
      <c r="H2588" s="25">
        <v>2.0137E-4</v>
      </c>
      <c r="I2588" s="9">
        <v>1.0003E-4</v>
      </c>
      <c r="J2588" s="9">
        <v>1.0037E-4</v>
      </c>
      <c r="K2588" s="9">
        <v>6.5699999999999998E-5</v>
      </c>
      <c r="L2588" s="9">
        <v>1.7924E-4</v>
      </c>
      <c r="M2588" s="9">
        <v>1.6721999999999999E-4</v>
      </c>
      <c r="N2588" s="9">
        <v>1.6589E-4</v>
      </c>
      <c r="O2588" s="9">
        <v>1.9514000000000001E-4</v>
      </c>
      <c r="P2588" s="9">
        <v>1.5149E-4</v>
      </c>
      <c r="Q2588" s="9">
        <v>1.0907E-4</v>
      </c>
      <c r="R2588" s="10">
        <v>5.8696341736148645E-5</v>
      </c>
      <c r="S2588" s="10">
        <v>5.5395146305919732E-5</v>
      </c>
      <c r="T2588" s="10">
        <v>4.3214778739950906E-4</v>
      </c>
      <c r="U2588" s="10">
        <v>1.1412E-4</v>
      </c>
      <c r="V2588" s="25"/>
      <c r="W2588" s="25"/>
      <c r="X2588" s="25"/>
      <c r="Y2588" s="25"/>
      <c r="Z2588" s="25"/>
      <c r="AA2588" s="25"/>
    </row>
    <row r="2589" spans="1:27" x14ac:dyDescent="0.35">
      <c r="A2589" s="5">
        <v>2585</v>
      </c>
      <c r="B2589" s="5">
        <v>108</v>
      </c>
      <c r="C2589" s="5">
        <v>4</v>
      </c>
      <c r="D2589" s="25">
        <v>1.1416E-4</v>
      </c>
      <c r="E2589" s="25">
        <v>1.1765E-4</v>
      </c>
      <c r="F2589" s="25">
        <v>1.0801E-4</v>
      </c>
      <c r="G2589" s="25">
        <v>1.5669999999999999E-4</v>
      </c>
      <c r="H2589" s="25">
        <v>1.9825999999999999E-4</v>
      </c>
      <c r="I2589" s="9">
        <v>1.0230000000000001E-4</v>
      </c>
      <c r="J2589" s="9">
        <v>1.0268999999999999E-4</v>
      </c>
      <c r="K2589" s="9">
        <v>9.5370000000000003E-5</v>
      </c>
      <c r="L2589" s="9">
        <v>1.9144999999999999E-4</v>
      </c>
      <c r="M2589" s="9">
        <v>1.6131000000000001E-4</v>
      </c>
      <c r="N2589" s="9">
        <v>1.5202999999999999E-4</v>
      </c>
      <c r="O2589" s="9">
        <v>2.1389E-4</v>
      </c>
      <c r="P2589" s="9">
        <v>1.6006000000000001E-4</v>
      </c>
      <c r="Q2589" s="9">
        <v>1.0766E-4</v>
      </c>
      <c r="R2589" s="10">
        <v>6.2895277616797281E-5</v>
      </c>
      <c r="S2589" s="10">
        <v>6.6070014562932927E-5</v>
      </c>
      <c r="T2589" s="10">
        <v>2.9070603293328322E-4</v>
      </c>
      <c r="U2589" s="10">
        <v>1.1412E-4</v>
      </c>
      <c r="V2589" s="25"/>
      <c r="W2589" s="25"/>
      <c r="X2589" s="25"/>
      <c r="Y2589" s="25"/>
      <c r="Z2589" s="25"/>
      <c r="AA2589" s="25"/>
    </row>
    <row r="2590" spans="1:27" x14ac:dyDescent="0.35">
      <c r="A2590" s="5">
        <v>2586</v>
      </c>
      <c r="B2590" s="5">
        <v>108</v>
      </c>
      <c r="C2590" s="5">
        <v>4</v>
      </c>
      <c r="D2590" s="25">
        <v>1.1415000000000001E-4</v>
      </c>
      <c r="E2590" s="25">
        <v>1.1977E-4</v>
      </c>
      <c r="F2590" s="25">
        <v>1.0882000000000001E-4</v>
      </c>
      <c r="G2590" s="25">
        <v>1.629E-4</v>
      </c>
      <c r="H2590" s="25">
        <v>1.9254999999999999E-4</v>
      </c>
      <c r="I2590" s="9">
        <v>1.0509E-4</v>
      </c>
      <c r="J2590" s="9">
        <v>1.0271E-4</v>
      </c>
      <c r="K2590" s="9">
        <v>9.1130000000000003E-5</v>
      </c>
      <c r="L2590" s="9">
        <v>2.087E-4</v>
      </c>
      <c r="M2590" s="9">
        <v>1.5924E-4</v>
      </c>
      <c r="N2590" s="9">
        <v>1.3882E-4</v>
      </c>
      <c r="O2590" s="9">
        <v>2.0479999999999999E-4</v>
      </c>
      <c r="P2590" s="9">
        <v>1.6074000000000001E-4</v>
      </c>
      <c r="Q2590" s="9">
        <v>1.1793E-4</v>
      </c>
      <c r="R2590" s="10">
        <v>7.4644595768753855E-5</v>
      </c>
      <c r="S2590" s="10">
        <v>7.7748770678028273E-5</v>
      </c>
      <c r="T2590" s="10">
        <v>9.2699454699657146E-5</v>
      </c>
      <c r="U2590" s="10">
        <v>1.1412E-4</v>
      </c>
      <c r="V2590" s="25"/>
      <c r="W2590" s="25"/>
      <c r="X2590" s="25"/>
      <c r="Y2590" s="25"/>
      <c r="Z2590" s="25"/>
      <c r="AA2590" s="25"/>
    </row>
    <row r="2591" spans="1:27" x14ac:dyDescent="0.35">
      <c r="A2591" s="5">
        <v>2587</v>
      </c>
      <c r="B2591" s="5">
        <v>108</v>
      </c>
      <c r="C2591" s="5">
        <v>4</v>
      </c>
      <c r="D2591" s="25">
        <v>1.1416E-4</v>
      </c>
      <c r="E2591" s="25">
        <v>1.1654000000000001E-4</v>
      </c>
      <c r="F2591" s="25">
        <v>1.065E-4</v>
      </c>
      <c r="G2591" s="25">
        <v>1.0438999999999999E-4</v>
      </c>
      <c r="H2591" s="25">
        <v>1.2915999999999999E-4</v>
      </c>
      <c r="I2591" s="9">
        <v>1.0611E-4</v>
      </c>
      <c r="J2591" s="9">
        <v>9.9560000000000002E-5</v>
      </c>
      <c r="K2591" s="9">
        <v>1.2081E-4</v>
      </c>
      <c r="L2591" s="9">
        <v>2.0521E-4</v>
      </c>
      <c r="M2591" s="9">
        <v>1.5943000000000001E-4</v>
      </c>
      <c r="N2591" s="9">
        <v>1.2983999999999999E-4</v>
      </c>
      <c r="O2591" s="9">
        <v>1.6506999999999999E-4</v>
      </c>
      <c r="P2591" s="9">
        <v>1.3609000000000001E-4</v>
      </c>
      <c r="Q2591" s="9">
        <v>1.0801E-4</v>
      </c>
      <c r="R2591" s="10">
        <v>9.4141452038658138E-5</v>
      </c>
      <c r="S2591" s="10">
        <v>8.7898403264732077E-5</v>
      </c>
      <c r="T2591" s="10">
        <v>5.9135566470493341E-6</v>
      </c>
      <c r="U2591" s="10">
        <v>1.1412E-4</v>
      </c>
      <c r="V2591" s="25"/>
      <c r="W2591" s="25"/>
      <c r="X2591" s="25"/>
      <c r="Y2591" s="25"/>
      <c r="Z2591" s="25"/>
      <c r="AA2591" s="25"/>
    </row>
    <row r="2592" spans="1:27" x14ac:dyDescent="0.35">
      <c r="A2592" s="5">
        <v>2588</v>
      </c>
      <c r="B2592" s="5">
        <v>108</v>
      </c>
      <c r="C2592" s="5">
        <v>4</v>
      </c>
      <c r="D2592" s="25">
        <v>1.1415000000000001E-4</v>
      </c>
      <c r="E2592" s="25">
        <v>1.0951999999999999E-4</v>
      </c>
      <c r="F2592" s="25">
        <v>1.1553E-4</v>
      </c>
      <c r="G2592" s="25">
        <v>1.0518000000000001E-4</v>
      </c>
      <c r="H2592" s="25">
        <v>1.3367000000000001E-4</v>
      </c>
      <c r="I2592" s="9">
        <v>1.0624999999999999E-4</v>
      </c>
      <c r="J2592" s="9">
        <v>1.0045E-4</v>
      </c>
      <c r="K2592" s="9">
        <v>1.314E-4</v>
      </c>
      <c r="L2592" s="9">
        <v>1.7406999999999999E-4</v>
      </c>
      <c r="M2592" s="9">
        <v>1.5122000000000001E-4</v>
      </c>
      <c r="N2592" s="9">
        <v>1.2099000000000001E-4</v>
      </c>
      <c r="O2592" s="9">
        <v>1.2883999999999999E-4</v>
      </c>
      <c r="P2592" s="9">
        <v>1.1526E-4</v>
      </c>
      <c r="Q2592" s="9">
        <v>1.0225000000000001E-4</v>
      </c>
      <c r="R2592" s="10">
        <v>1.2527090221013697E-4</v>
      </c>
      <c r="S2592" s="10">
        <v>9.3907016476890159E-5</v>
      </c>
      <c r="T2592" s="10">
        <v>0</v>
      </c>
      <c r="U2592" s="10">
        <v>1.1412E-4</v>
      </c>
      <c r="V2592" s="25"/>
      <c r="W2592" s="25"/>
      <c r="X2592" s="25"/>
      <c r="Y2592" s="25"/>
      <c r="Z2592" s="25"/>
      <c r="AA2592" s="25"/>
    </row>
    <row r="2593" spans="1:27" x14ac:dyDescent="0.35">
      <c r="A2593" s="5">
        <v>2589</v>
      </c>
      <c r="B2593" s="5">
        <v>108</v>
      </c>
      <c r="C2593" s="5">
        <v>4</v>
      </c>
      <c r="D2593" s="25">
        <v>1.1416E-4</v>
      </c>
      <c r="E2593" s="25">
        <v>1.1658E-4</v>
      </c>
      <c r="F2593" s="25">
        <v>1.1985999999999999E-4</v>
      </c>
      <c r="G2593" s="25">
        <v>6.1140000000000001E-5</v>
      </c>
      <c r="H2593" s="25">
        <v>6.9729999999999998E-5</v>
      </c>
      <c r="I2593" s="9">
        <v>1.0889E-4</v>
      </c>
      <c r="J2593" s="9">
        <v>1.0347E-4</v>
      </c>
      <c r="K2593" s="9">
        <v>1.3564E-4</v>
      </c>
      <c r="L2593" s="9">
        <v>1.3977999999999999E-4</v>
      </c>
      <c r="M2593" s="9">
        <v>1.3595E-4</v>
      </c>
      <c r="N2593" s="9">
        <v>1.1346E-4</v>
      </c>
      <c r="O2593" s="9">
        <v>8.4480000000000004E-5</v>
      </c>
      <c r="P2593" s="9">
        <v>8.6279999999999994E-5</v>
      </c>
      <c r="Q2593" s="9">
        <v>8.8269999999999993E-5</v>
      </c>
      <c r="R2593" s="10">
        <v>1.4794136437831581E-4</v>
      </c>
      <c r="S2593" s="10">
        <v>1.0562256562627154E-4</v>
      </c>
      <c r="T2593" s="10">
        <v>0</v>
      </c>
      <c r="U2593" s="10">
        <v>1.1412E-4</v>
      </c>
      <c r="V2593" s="25"/>
      <c r="W2593" s="25"/>
      <c r="X2593" s="25"/>
      <c r="Y2593" s="25"/>
      <c r="Z2593" s="25"/>
      <c r="AA2593" s="25"/>
    </row>
    <row r="2594" spans="1:27" x14ac:dyDescent="0.35">
      <c r="A2594" s="5">
        <v>2590</v>
      </c>
      <c r="B2594" s="5">
        <v>108</v>
      </c>
      <c r="C2594" s="5">
        <v>4</v>
      </c>
      <c r="D2594" s="25">
        <v>1.1415000000000001E-4</v>
      </c>
      <c r="E2594" s="25">
        <v>1.155E-4</v>
      </c>
      <c r="F2594" s="25">
        <v>1.1525E-4</v>
      </c>
      <c r="G2594" s="25">
        <v>5.376E-5</v>
      </c>
      <c r="H2594" s="25">
        <v>6.5220000000000002E-5</v>
      </c>
      <c r="I2594" s="9">
        <v>1.0812E-4</v>
      </c>
      <c r="J2594" s="9">
        <v>9.8560000000000005E-5</v>
      </c>
      <c r="K2594" s="9">
        <v>1.4411E-4</v>
      </c>
      <c r="L2594" s="9">
        <v>9.7570000000000003E-5</v>
      </c>
      <c r="M2594" s="9">
        <v>1.1413000000000001E-4</v>
      </c>
      <c r="N2594" s="9">
        <v>1.0589E-4</v>
      </c>
      <c r="O2594" s="9">
        <v>8.7659999999999998E-5</v>
      </c>
      <c r="P2594" s="9">
        <v>8.8079999999999997E-5</v>
      </c>
      <c r="Q2594" s="9">
        <v>8.8729999999999999E-5</v>
      </c>
      <c r="R2594" s="10">
        <v>1.5033901738666783E-4</v>
      </c>
      <c r="S2594" s="10">
        <v>1.1474529986579287E-4</v>
      </c>
      <c r="T2594" s="10">
        <v>0</v>
      </c>
      <c r="U2594" s="10">
        <v>1.1412E-4</v>
      </c>
      <c r="V2594" s="25"/>
      <c r="W2594" s="25"/>
      <c r="X2594" s="25"/>
      <c r="Y2594" s="25"/>
      <c r="Z2594" s="25"/>
      <c r="AA2594" s="25"/>
    </row>
    <row r="2595" spans="1:27" x14ac:dyDescent="0.35">
      <c r="A2595" s="5">
        <v>2591</v>
      </c>
      <c r="B2595" s="5">
        <v>108</v>
      </c>
      <c r="C2595" s="5">
        <v>4</v>
      </c>
      <c r="D2595" s="25">
        <v>1.1416E-4</v>
      </c>
      <c r="E2595" s="25">
        <v>1.1699E-4</v>
      </c>
      <c r="F2595" s="25">
        <v>1.1647E-4</v>
      </c>
      <c r="G2595" s="25">
        <v>5.3100000000000003E-5</v>
      </c>
      <c r="H2595" s="25">
        <v>7.3300000000000006E-5</v>
      </c>
      <c r="I2595" s="9">
        <v>1.0579E-4</v>
      </c>
      <c r="J2595" s="9">
        <v>9.09E-5</v>
      </c>
      <c r="K2595" s="9">
        <v>1.9074000000000001E-4</v>
      </c>
      <c r="L2595" s="9">
        <v>9.0790000000000003E-5</v>
      </c>
      <c r="M2595" s="9">
        <v>9.9389999999999995E-5</v>
      </c>
      <c r="N2595" s="9">
        <v>1.0016E-4</v>
      </c>
      <c r="O2595" s="9">
        <v>7.7200000000000006E-5</v>
      </c>
      <c r="P2595" s="9">
        <v>7.169E-5</v>
      </c>
      <c r="Q2595" s="9">
        <v>6.6470000000000006E-5</v>
      </c>
      <c r="R2595" s="10">
        <v>1.4623499182531033E-4</v>
      </c>
      <c r="S2595" s="10">
        <v>1.1775592402354484E-4</v>
      </c>
      <c r="T2595" s="10">
        <v>0</v>
      </c>
      <c r="U2595" s="10">
        <v>1.1412E-4</v>
      </c>
      <c r="V2595" s="25"/>
      <c r="W2595" s="25"/>
      <c r="X2595" s="25"/>
      <c r="Y2595" s="25"/>
      <c r="Z2595" s="25"/>
      <c r="AA2595" s="25"/>
    </row>
    <row r="2596" spans="1:27" x14ac:dyDescent="0.35">
      <c r="A2596" s="5">
        <v>2592</v>
      </c>
      <c r="B2596" s="5">
        <v>108</v>
      </c>
      <c r="C2596" s="5">
        <v>4</v>
      </c>
      <c r="D2596" s="25">
        <v>1.1415000000000001E-4</v>
      </c>
      <c r="E2596" s="25">
        <v>1.1386E-4</v>
      </c>
      <c r="F2596" s="25">
        <v>1.0353000000000001E-4</v>
      </c>
      <c r="G2596" s="25">
        <v>5.3399999999999997E-5</v>
      </c>
      <c r="H2596" s="25">
        <v>7.6089999999999998E-5</v>
      </c>
      <c r="I2596" s="9">
        <v>9.8289999999999996E-5</v>
      </c>
      <c r="J2596" s="9">
        <v>8.4419999999999995E-5</v>
      </c>
      <c r="K2596" s="9">
        <v>2.0557E-4</v>
      </c>
      <c r="L2596" s="9">
        <v>8.017E-5</v>
      </c>
      <c r="M2596" s="9">
        <v>8.6180000000000005E-5</v>
      </c>
      <c r="N2596" s="9">
        <v>9.0749999999999997E-5</v>
      </c>
      <c r="O2596" s="9">
        <v>6.2459999999999995E-5</v>
      </c>
      <c r="P2596" s="9">
        <v>6.0439999999999997E-5</v>
      </c>
      <c r="Q2596" s="9">
        <v>5.8640000000000001E-5</v>
      </c>
      <c r="R2596" s="10">
        <v>1.2429743039542226E-4</v>
      </c>
      <c r="S2596" s="10">
        <v>1.2438679171835424E-4</v>
      </c>
      <c r="T2596" s="10">
        <v>0</v>
      </c>
      <c r="U2596" s="10">
        <v>1.1412E-4</v>
      </c>
      <c r="V2596" s="25"/>
      <c r="W2596" s="25"/>
      <c r="X2596" s="25"/>
      <c r="Y2596" s="25"/>
      <c r="Z2596" s="25"/>
      <c r="AA2596" s="25"/>
    </row>
    <row r="2597" spans="1:27" x14ac:dyDescent="0.35">
      <c r="A2597" s="5">
        <v>2593</v>
      </c>
      <c r="B2597" s="5">
        <v>109</v>
      </c>
      <c r="C2597" s="5">
        <v>4</v>
      </c>
      <c r="D2597" s="25">
        <v>1.1416E-4</v>
      </c>
      <c r="E2597" s="25">
        <v>1.1441E-4</v>
      </c>
      <c r="F2597" s="25">
        <v>9.1700000000000006E-5</v>
      </c>
      <c r="G2597" s="25">
        <v>5.3380000000000001E-5</v>
      </c>
      <c r="H2597" s="25">
        <v>6.6509999999999998E-5</v>
      </c>
      <c r="I2597" s="9">
        <v>9.357E-5</v>
      </c>
      <c r="J2597" s="9">
        <v>8.0840000000000005E-5</v>
      </c>
      <c r="K2597" s="9">
        <v>1.9921000000000001E-4</v>
      </c>
      <c r="L2597" s="9">
        <v>6.6370000000000003E-5</v>
      </c>
      <c r="M2597" s="9">
        <v>7.3869999999999996E-5</v>
      </c>
      <c r="N2597" s="9">
        <v>8.1210000000000003E-5</v>
      </c>
      <c r="O2597" s="9">
        <v>5.4629999999999997E-5</v>
      </c>
      <c r="P2597" s="9">
        <v>5.4049999999999999E-5</v>
      </c>
      <c r="Q2597" s="9">
        <v>5.3619999999999998E-5</v>
      </c>
      <c r="R2597" s="10">
        <v>1.0725311406503613E-4</v>
      </c>
      <c r="S2597" s="10">
        <v>1.2201555459105104E-4</v>
      </c>
      <c r="T2597" s="10">
        <v>0</v>
      </c>
      <c r="U2597" s="10">
        <v>1.1238E-4</v>
      </c>
      <c r="V2597" s="25"/>
      <c r="W2597" s="25"/>
      <c r="X2597" s="25"/>
      <c r="Y2597" s="25"/>
      <c r="Z2597" s="25"/>
      <c r="AA2597" s="25"/>
    </row>
    <row r="2598" spans="1:27" x14ac:dyDescent="0.35">
      <c r="A2598" s="5">
        <v>2594</v>
      </c>
      <c r="B2598" s="5">
        <v>109</v>
      </c>
      <c r="C2598" s="5">
        <v>4</v>
      </c>
      <c r="D2598" s="25">
        <v>1.1415000000000001E-4</v>
      </c>
      <c r="E2598" s="25">
        <v>1.2133000000000001E-4</v>
      </c>
      <c r="F2598" s="25">
        <v>9.5970000000000004E-5</v>
      </c>
      <c r="G2598" s="25">
        <v>5.808E-5</v>
      </c>
      <c r="H2598" s="25">
        <v>6.6829999999999995E-5</v>
      </c>
      <c r="I2598" s="9">
        <v>9.2020000000000003E-5</v>
      </c>
      <c r="J2598" s="9">
        <v>8.441E-5</v>
      </c>
      <c r="K2598" s="9">
        <v>1.9285999999999999E-4</v>
      </c>
      <c r="L2598" s="9">
        <v>5.7599999999999997E-5</v>
      </c>
      <c r="M2598" s="9">
        <v>6.3810000000000001E-5</v>
      </c>
      <c r="N2598" s="9">
        <v>7.2080000000000001E-5</v>
      </c>
      <c r="O2598" s="9">
        <v>1.8980000000000001E-5</v>
      </c>
      <c r="P2598" s="9">
        <v>3.756E-5</v>
      </c>
      <c r="Q2598" s="9">
        <v>5.5899999999999997E-5</v>
      </c>
      <c r="R2598" s="10">
        <v>9.0076175376091697E-5</v>
      </c>
      <c r="S2598" s="10">
        <v>1.211204216893223E-4</v>
      </c>
      <c r="T2598" s="10">
        <v>0</v>
      </c>
      <c r="U2598" s="10">
        <v>1.1238E-4</v>
      </c>
      <c r="V2598" s="25"/>
      <c r="W2598" s="25"/>
      <c r="X2598" s="25"/>
      <c r="Y2598" s="25"/>
      <c r="Z2598" s="25"/>
      <c r="AA2598" s="25"/>
    </row>
    <row r="2599" spans="1:27" x14ac:dyDescent="0.35">
      <c r="A2599" s="5">
        <v>2595</v>
      </c>
      <c r="B2599" s="5">
        <v>109</v>
      </c>
      <c r="C2599" s="5">
        <v>4</v>
      </c>
      <c r="D2599" s="25">
        <v>1.1416E-4</v>
      </c>
      <c r="E2599" s="25">
        <v>1.2331000000000001E-4</v>
      </c>
      <c r="F2599" s="25">
        <v>1.0404E-4</v>
      </c>
      <c r="G2599" s="25">
        <v>6.1119999999999998E-5</v>
      </c>
      <c r="H2599" s="25">
        <v>6.5149999999999998E-5</v>
      </c>
      <c r="I2599" s="9">
        <v>9.0610000000000002E-5</v>
      </c>
      <c r="J2599" s="9">
        <v>8.5409999999999997E-5</v>
      </c>
      <c r="K2599" s="9">
        <v>1.8437999999999999E-4</v>
      </c>
      <c r="L2599" s="9">
        <v>2.7670000000000001E-5</v>
      </c>
      <c r="M2599" s="9">
        <v>5.2080000000000003E-5</v>
      </c>
      <c r="N2599" s="9">
        <v>6.5430000000000002E-5</v>
      </c>
      <c r="O2599" s="9">
        <v>1.3560000000000001E-5</v>
      </c>
      <c r="P2599" s="9">
        <v>3.756E-5</v>
      </c>
      <c r="Q2599" s="9">
        <v>6.122E-5</v>
      </c>
      <c r="R2599" s="10">
        <v>6.7184262219873648E-5</v>
      </c>
      <c r="S2599" s="10">
        <v>1.2177258174246282E-4</v>
      </c>
      <c r="T2599" s="10">
        <v>0</v>
      </c>
      <c r="U2599" s="10">
        <v>1.1238E-4</v>
      </c>
      <c r="V2599" s="25"/>
      <c r="W2599" s="25"/>
      <c r="X2599" s="25"/>
      <c r="Y2599" s="25"/>
      <c r="Z2599" s="25"/>
      <c r="AA2599" s="25"/>
    </row>
    <row r="2600" spans="1:27" x14ac:dyDescent="0.35">
      <c r="A2600" s="5">
        <v>2596</v>
      </c>
      <c r="B2600" s="5">
        <v>109</v>
      </c>
      <c r="C2600" s="5">
        <v>4</v>
      </c>
      <c r="D2600" s="25">
        <v>1.1415000000000001E-4</v>
      </c>
      <c r="E2600" s="25">
        <v>1.2239E-4</v>
      </c>
      <c r="F2600" s="25">
        <v>1.0386E-4</v>
      </c>
      <c r="G2600" s="25">
        <v>5.6860000000000001E-5</v>
      </c>
      <c r="H2600" s="25">
        <v>6.2370000000000001E-5</v>
      </c>
      <c r="I2600" s="9">
        <v>9.3820000000000006E-5</v>
      </c>
      <c r="J2600" s="9">
        <v>8.6409999999999994E-5</v>
      </c>
      <c r="K2600" s="9">
        <v>1.6742999999999999E-4</v>
      </c>
      <c r="L2600" s="9">
        <v>1.7399999999999999E-5</v>
      </c>
      <c r="M2600" s="9">
        <v>4.405E-5</v>
      </c>
      <c r="N2600" s="9">
        <v>6.1749999999999997E-5</v>
      </c>
      <c r="O2600" s="9">
        <v>1.3529999999999999E-5</v>
      </c>
      <c r="P2600" s="9">
        <v>4.6860000000000002E-5</v>
      </c>
      <c r="Q2600" s="9">
        <v>7.9699999999999999E-5</v>
      </c>
      <c r="R2600" s="10">
        <v>5.0678183026199656E-5</v>
      </c>
      <c r="S2600" s="10">
        <v>1.2754265256039189E-4</v>
      </c>
      <c r="T2600" s="10">
        <v>0</v>
      </c>
      <c r="U2600" s="10">
        <v>1.1238E-4</v>
      </c>
      <c r="V2600" s="25"/>
      <c r="W2600" s="25"/>
      <c r="X2600" s="25"/>
      <c r="Y2600" s="25"/>
      <c r="Z2600" s="25"/>
      <c r="AA2600" s="25"/>
    </row>
    <row r="2601" spans="1:27" x14ac:dyDescent="0.35">
      <c r="A2601" s="5">
        <v>2597</v>
      </c>
      <c r="B2601" s="5">
        <v>109</v>
      </c>
      <c r="C2601" s="5">
        <v>4</v>
      </c>
      <c r="D2601" s="25">
        <v>1.1416E-4</v>
      </c>
      <c r="E2601" s="25">
        <v>1.1653E-4</v>
      </c>
      <c r="F2601" s="25">
        <v>8.789E-5</v>
      </c>
      <c r="G2601" s="25">
        <v>6.084E-5</v>
      </c>
      <c r="H2601" s="25">
        <v>6.2929999999999995E-5</v>
      </c>
      <c r="I2601" s="9">
        <v>1.0105E-4</v>
      </c>
      <c r="J2601" s="9">
        <v>8.9190000000000005E-5</v>
      </c>
      <c r="K2601" s="9">
        <v>1.6742999999999999E-4</v>
      </c>
      <c r="L2601" s="9">
        <v>1.4630000000000001E-5</v>
      </c>
      <c r="M2601" s="9">
        <v>4.3250000000000001E-5</v>
      </c>
      <c r="N2601" s="9">
        <v>6.4159999999999996E-5</v>
      </c>
      <c r="O2601" s="9">
        <v>1.9230000000000001E-5</v>
      </c>
      <c r="P2601" s="9">
        <v>5.7059999999999999E-5</v>
      </c>
      <c r="Q2601" s="9">
        <v>9.4350000000000003E-5</v>
      </c>
      <c r="R2601" s="10">
        <v>4.1431060186244582E-5</v>
      </c>
      <c r="S2601" s="10">
        <v>1.3551557320102742E-4</v>
      </c>
      <c r="T2601" s="10">
        <v>0</v>
      </c>
      <c r="U2601" s="10">
        <v>1.1238E-4</v>
      </c>
      <c r="V2601" s="25"/>
      <c r="W2601" s="25"/>
      <c r="X2601" s="25"/>
      <c r="Y2601" s="25"/>
      <c r="Z2601" s="25"/>
      <c r="AA2601" s="25"/>
    </row>
    <row r="2602" spans="1:27" x14ac:dyDescent="0.35">
      <c r="A2602" s="5">
        <v>2598</v>
      </c>
      <c r="B2602" s="5">
        <v>109</v>
      </c>
      <c r="C2602" s="5">
        <v>4</v>
      </c>
      <c r="D2602" s="25">
        <v>1.1415000000000001E-4</v>
      </c>
      <c r="E2602" s="25">
        <v>1.1581E-4</v>
      </c>
      <c r="F2602" s="25">
        <v>9.3449999999999995E-5</v>
      </c>
      <c r="G2602" s="25">
        <v>1.0664E-4</v>
      </c>
      <c r="H2602" s="25">
        <v>1.2946999999999999E-4</v>
      </c>
      <c r="I2602" s="9">
        <v>1.1336E-4</v>
      </c>
      <c r="J2602" s="9">
        <v>9.7219999999999994E-5</v>
      </c>
      <c r="K2602" s="9">
        <v>1.5470999999999999E-4</v>
      </c>
      <c r="L2602" s="9">
        <v>1.808E-5</v>
      </c>
      <c r="M2602" s="9">
        <v>4.8369999999999999E-5</v>
      </c>
      <c r="N2602" s="9">
        <v>7.0900000000000002E-5</v>
      </c>
      <c r="O2602" s="9">
        <v>4.6669999999999999E-5</v>
      </c>
      <c r="P2602" s="9">
        <v>7.7410000000000006E-5</v>
      </c>
      <c r="Q2602" s="9">
        <v>1.0779E-4</v>
      </c>
      <c r="R2602" s="10">
        <v>3.2199496434854299E-5</v>
      </c>
      <c r="S2602" s="10">
        <v>1.3302305706922767E-4</v>
      </c>
      <c r="T2602" s="10">
        <v>1.0444172500025439E-5</v>
      </c>
      <c r="U2602" s="10">
        <v>1.1238E-4</v>
      </c>
      <c r="V2602" s="25"/>
      <c r="W2602" s="25"/>
      <c r="X2602" s="25"/>
      <c r="Y2602" s="25"/>
      <c r="Z2602" s="25"/>
      <c r="AA2602" s="25"/>
    </row>
    <row r="2603" spans="1:27" x14ac:dyDescent="0.35">
      <c r="A2603" s="5">
        <v>2599</v>
      </c>
      <c r="B2603" s="5">
        <v>109</v>
      </c>
      <c r="C2603" s="5">
        <v>4</v>
      </c>
      <c r="D2603" s="25">
        <v>1.1416E-4</v>
      </c>
      <c r="E2603" s="25">
        <v>1.1841E-4</v>
      </c>
      <c r="F2603" s="25">
        <v>8.3590000000000004E-5</v>
      </c>
      <c r="G2603" s="25">
        <v>1.1338E-4</v>
      </c>
      <c r="H2603" s="25">
        <v>1.3784999999999999E-4</v>
      </c>
      <c r="I2603" s="9">
        <v>1.214E-4</v>
      </c>
      <c r="J2603" s="9">
        <v>1.115E-4</v>
      </c>
      <c r="K2603" s="9">
        <v>1.3564E-4</v>
      </c>
      <c r="L2603" s="9">
        <v>4.0240000000000001E-5</v>
      </c>
      <c r="M2603" s="9">
        <v>6.0269999999999997E-5</v>
      </c>
      <c r="N2603" s="9">
        <v>8.0809999999999994E-5</v>
      </c>
      <c r="O2603" s="9">
        <v>1.2202E-4</v>
      </c>
      <c r="P2603" s="9">
        <v>1.1669E-4</v>
      </c>
      <c r="Q2603" s="9">
        <v>1.1178E-4</v>
      </c>
      <c r="R2603" s="10">
        <v>2.2838670478070867E-5</v>
      </c>
      <c r="S2603" s="10">
        <v>1.3613976406906918E-4</v>
      </c>
      <c r="T2603" s="10">
        <v>9.4599937754089069E-5</v>
      </c>
      <c r="U2603" s="10">
        <v>1.1238E-4</v>
      </c>
      <c r="V2603" s="25"/>
      <c r="W2603" s="25"/>
      <c r="X2603" s="25"/>
      <c r="Y2603" s="25"/>
      <c r="Z2603" s="25"/>
      <c r="AA2603" s="25"/>
    </row>
    <row r="2604" spans="1:27" x14ac:dyDescent="0.35">
      <c r="A2604" s="5">
        <v>2600</v>
      </c>
      <c r="B2604" s="5">
        <v>109</v>
      </c>
      <c r="C2604" s="5">
        <v>4</v>
      </c>
      <c r="D2604" s="25">
        <v>1.1415000000000001E-4</v>
      </c>
      <c r="E2604" s="25">
        <v>1.2490999999999999E-4</v>
      </c>
      <c r="F2604" s="25">
        <v>9.9840000000000006E-5</v>
      </c>
      <c r="G2604" s="25">
        <v>1.6752999999999999E-4</v>
      </c>
      <c r="H2604" s="25">
        <v>1.9037000000000001E-4</v>
      </c>
      <c r="I2604" s="9">
        <v>1.2532E-4</v>
      </c>
      <c r="J2604" s="9">
        <v>1.2066E-4</v>
      </c>
      <c r="K2604" s="9">
        <v>1.1868E-4</v>
      </c>
      <c r="L2604" s="9">
        <v>1.0341E-4</v>
      </c>
      <c r="M2604" s="9">
        <v>8.365E-5</v>
      </c>
      <c r="N2604" s="9">
        <v>9.0799999999999998E-5</v>
      </c>
      <c r="O2604" s="9">
        <v>2.1605999999999999E-4</v>
      </c>
      <c r="P2604" s="9">
        <v>1.75E-4</v>
      </c>
      <c r="Q2604" s="9">
        <v>1.3519000000000001E-4</v>
      </c>
      <c r="R2604" s="10">
        <v>1.1111036494932773E-5</v>
      </c>
      <c r="S2604" s="10">
        <v>1.1002358759733621E-4</v>
      </c>
      <c r="T2604" s="10">
        <v>2.4858148665982561E-4</v>
      </c>
      <c r="U2604" s="10">
        <v>1.1238E-4</v>
      </c>
      <c r="V2604" s="25"/>
      <c r="W2604" s="25"/>
      <c r="X2604" s="25"/>
      <c r="Y2604" s="25"/>
      <c r="Z2604" s="25"/>
      <c r="AA2604" s="25"/>
    </row>
    <row r="2605" spans="1:27" x14ac:dyDescent="0.35">
      <c r="A2605" s="5">
        <v>2601</v>
      </c>
      <c r="B2605" s="5">
        <v>109</v>
      </c>
      <c r="C2605" s="5">
        <v>4</v>
      </c>
      <c r="D2605" s="25">
        <v>1.1416E-4</v>
      </c>
      <c r="E2605" s="25">
        <v>1.1561999999999999E-4</v>
      </c>
      <c r="F2605" s="25">
        <v>8.3739999999999994E-5</v>
      </c>
      <c r="G2605" s="25">
        <v>1.6573E-4</v>
      </c>
      <c r="H2605" s="25">
        <v>1.8747999999999999E-4</v>
      </c>
      <c r="I2605" s="9">
        <v>1.2812000000000001E-4</v>
      </c>
      <c r="J2605" s="9">
        <v>1.2285E-4</v>
      </c>
      <c r="K2605" s="9">
        <v>9.3259999999999998E-5</v>
      </c>
      <c r="L2605" s="9">
        <v>1.8955E-4</v>
      </c>
      <c r="M2605" s="9">
        <v>1.2255999999999999E-4</v>
      </c>
      <c r="N2605" s="9">
        <v>1.0424E-4</v>
      </c>
      <c r="O2605" s="9">
        <v>2.0977999999999999E-4</v>
      </c>
      <c r="P2605" s="9">
        <v>1.9270999999999999E-4</v>
      </c>
      <c r="Q2605" s="9">
        <v>1.7649000000000001E-4</v>
      </c>
      <c r="R2605" s="10">
        <v>3.3652408109956894E-6</v>
      </c>
      <c r="S2605" s="10">
        <v>9.7380202518387713E-5</v>
      </c>
      <c r="T2605" s="10">
        <v>4.2770201454003445E-4</v>
      </c>
      <c r="U2605" s="10">
        <v>1.1238E-4</v>
      </c>
      <c r="V2605" s="25"/>
      <c r="W2605" s="25"/>
      <c r="X2605" s="25"/>
      <c r="Y2605" s="25"/>
      <c r="Z2605" s="25"/>
      <c r="AA2605" s="25"/>
    </row>
    <row r="2606" spans="1:27" x14ac:dyDescent="0.35">
      <c r="A2606" s="5">
        <v>2602</v>
      </c>
      <c r="B2606" s="5">
        <v>109</v>
      </c>
      <c r="C2606" s="5">
        <v>4</v>
      </c>
      <c r="D2606" s="25">
        <v>1.1415000000000001E-4</v>
      </c>
      <c r="E2606" s="25">
        <v>1.1547E-4</v>
      </c>
      <c r="F2606" s="25">
        <v>9.1030000000000001E-5</v>
      </c>
      <c r="G2606" s="25">
        <v>1.6462000000000001E-4</v>
      </c>
      <c r="H2606" s="25">
        <v>1.9913999999999999E-4</v>
      </c>
      <c r="I2606" s="9">
        <v>1.2888999999999999E-4</v>
      </c>
      <c r="J2606" s="9">
        <v>1.2098E-4</v>
      </c>
      <c r="K2606" s="9">
        <v>6.1470000000000006E-5</v>
      </c>
      <c r="L2606" s="9">
        <v>2.0306999999999999E-4</v>
      </c>
      <c r="M2606" s="9">
        <v>1.5767E-4</v>
      </c>
      <c r="N2606" s="9">
        <v>1.2420000000000001E-4</v>
      </c>
      <c r="O2606" s="9">
        <v>1.6656E-4</v>
      </c>
      <c r="P2606" s="9">
        <v>1.7422999999999999E-4</v>
      </c>
      <c r="Q2606" s="9">
        <v>1.8223999999999999E-4</v>
      </c>
      <c r="R2606" s="10">
        <v>2.8573761240432077E-6</v>
      </c>
      <c r="S2606" s="10">
        <v>8.3909900466852042E-5</v>
      </c>
      <c r="T2606" s="10">
        <v>4.94889181093813E-4</v>
      </c>
      <c r="U2606" s="10">
        <v>1.1238E-4</v>
      </c>
      <c r="V2606" s="25"/>
      <c r="W2606" s="25"/>
      <c r="X2606" s="25"/>
      <c r="Y2606" s="25"/>
      <c r="Z2606" s="25"/>
      <c r="AA2606" s="25"/>
    </row>
    <row r="2607" spans="1:27" x14ac:dyDescent="0.35">
      <c r="A2607" s="5">
        <v>2603</v>
      </c>
      <c r="B2607" s="5">
        <v>109</v>
      </c>
      <c r="C2607" s="5">
        <v>4</v>
      </c>
      <c r="D2607" s="25">
        <v>1.1416E-4</v>
      </c>
      <c r="E2607" s="25">
        <v>1.1396999999999999E-4</v>
      </c>
      <c r="F2607" s="25">
        <v>9.4030000000000006E-5</v>
      </c>
      <c r="G2607" s="25">
        <v>1.5673E-4</v>
      </c>
      <c r="H2607" s="25">
        <v>2.0033E-4</v>
      </c>
      <c r="I2607" s="9">
        <v>1.2924E-4</v>
      </c>
      <c r="J2607" s="9">
        <v>1.2079E-4</v>
      </c>
      <c r="K2607" s="9">
        <v>5.7219999999999998E-5</v>
      </c>
      <c r="L2607" s="9">
        <v>1.7463E-4</v>
      </c>
      <c r="M2607" s="9">
        <v>1.718E-4</v>
      </c>
      <c r="N2607" s="9">
        <v>1.4233E-4</v>
      </c>
      <c r="O2607" s="9">
        <v>1.6477000000000001E-4</v>
      </c>
      <c r="P2607" s="9">
        <v>1.7102E-4</v>
      </c>
      <c r="Q2607" s="9">
        <v>1.7762999999999999E-4</v>
      </c>
      <c r="R2607" s="10">
        <v>2.4490519852850094E-6</v>
      </c>
      <c r="S2607" s="10">
        <v>7.6781282418930251E-5</v>
      </c>
      <c r="T2607" s="10">
        <v>5.8080119631335613E-4</v>
      </c>
      <c r="U2607" s="10">
        <v>1.1238E-4</v>
      </c>
      <c r="V2607" s="25"/>
      <c r="W2607" s="25"/>
      <c r="X2607" s="25"/>
      <c r="Y2607" s="25"/>
      <c r="Z2607" s="25"/>
      <c r="AA2607" s="25"/>
    </row>
    <row r="2608" spans="1:27" x14ac:dyDescent="0.35">
      <c r="A2608" s="5">
        <v>2604</v>
      </c>
      <c r="B2608" s="5">
        <v>109</v>
      </c>
      <c r="C2608" s="5">
        <v>4</v>
      </c>
      <c r="D2608" s="25">
        <v>1.1415000000000001E-4</v>
      </c>
      <c r="E2608" s="25">
        <v>1.219E-4</v>
      </c>
      <c r="F2608" s="25">
        <v>9.9400000000000004E-5</v>
      </c>
      <c r="G2608" s="25">
        <v>1.5647E-4</v>
      </c>
      <c r="H2608" s="25">
        <v>1.961E-4</v>
      </c>
      <c r="I2608" s="9">
        <v>1.249E-4</v>
      </c>
      <c r="J2608" s="9">
        <v>1.2061999999999999E-4</v>
      </c>
      <c r="K2608" s="9">
        <v>5.5099999999999998E-5</v>
      </c>
      <c r="L2608" s="9">
        <v>1.6830999999999999E-4</v>
      </c>
      <c r="M2608" s="9">
        <v>1.7395E-4</v>
      </c>
      <c r="N2608" s="9">
        <v>1.5601999999999999E-4</v>
      </c>
      <c r="O2608" s="9">
        <v>1.6919999999999999E-4</v>
      </c>
      <c r="P2608" s="9">
        <v>1.7144E-4</v>
      </c>
      <c r="Q2608" s="9">
        <v>1.7411E-4</v>
      </c>
      <c r="R2608" s="10">
        <v>1.5340451288013375E-6</v>
      </c>
      <c r="S2608" s="10">
        <v>7.7641884218104657E-5</v>
      </c>
      <c r="T2608" s="10">
        <v>6.6726469099065856E-4</v>
      </c>
      <c r="U2608" s="10">
        <v>1.1238E-4</v>
      </c>
      <c r="V2608" s="25"/>
      <c r="W2608" s="25"/>
      <c r="X2608" s="25"/>
      <c r="Y2608" s="25"/>
      <c r="Z2608" s="25"/>
      <c r="AA2608" s="25"/>
    </row>
    <row r="2609" spans="1:27" x14ac:dyDescent="0.35">
      <c r="A2609" s="5">
        <v>2605</v>
      </c>
      <c r="B2609" s="5">
        <v>109</v>
      </c>
      <c r="C2609" s="5">
        <v>4</v>
      </c>
      <c r="D2609" s="25">
        <v>1.1416E-4</v>
      </c>
      <c r="E2609" s="25">
        <v>1.2362000000000001E-4</v>
      </c>
      <c r="F2609" s="25">
        <v>1.0204000000000001E-4</v>
      </c>
      <c r="G2609" s="25">
        <v>1.6746E-4</v>
      </c>
      <c r="H2609" s="25">
        <v>1.8877999999999999E-4</v>
      </c>
      <c r="I2609" s="9">
        <v>1.228E-4</v>
      </c>
      <c r="J2609" s="9">
        <v>1.2203E-4</v>
      </c>
      <c r="K2609" s="9">
        <v>6.7819999999999998E-5</v>
      </c>
      <c r="L2609" s="9">
        <v>1.6920999999999999E-4</v>
      </c>
      <c r="M2609" s="9">
        <v>1.7309000000000001E-4</v>
      </c>
      <c r="N2609" s="9">
        <v>1.6558E-4</v>
      </c>
      <c r="O2609" s="9">
        <v>1.6039E-4</v>
      </c>
      <c r="P2609" s="9">
        <v>1.6338E-4</v>
      </c>
      <c r="Q2609" s="9">
        <v>1.6677E-4</v>
      </c>
      <c r="R2609" s="10">
        <v>1.5662006008771056E-6</v>
      </c>
      <c r="S2609" s="10">
        <v>7.8674116743799048E-5</v>
      </c>
      <c r="T2609" s="10">
        <v>7.2081758848875817E-4</v>
      </c>
      <c r="U2609" s="10">
        <v>1.1238E-4</v>
      </c>
      <c r="V2609" s="25"/>
      <c r="W2609" s="25"/>
      <c r="X2609" s="25"/>
      <c r="Y2609" s="25"/>
      <c r="Z2609" s="25"/>
      <c r="AA2609" s="25"/>
    </row>
    <row r="2610" spans="1:27" x14ac:dyDescent="0.35">
      <c r="A2610" s="5">
        <v>2606</v>
      </c>
      <c r="B2610" s="5">
        <v>109</v>
      </c>
      <c r="C2610" s="5">
        <v>4</v>
      </c>
      <c r="D2610" s="25">
        <v>1.1415000000000001E-4</v>
      </c>
      <c r="E2610" s="25">
        <v>1.2142E-4</v>
      </c>
      <c r="F2610" s="25">
        <v>9.8449999999999994E-5</v>
      </c>
      <c r="G2610" s="25">
        <v>1.5883E-4</v>
      </c>
      <c r="H2610" s="25">
        <v>1.9603000000000001E-4</v>
      </c>
      <c r="I2610" s="9">
        <v>1.237E-4</v>
      </c>
      <c r="J2610" s="9">
        <v>1.1883E-4</v>
      </c>
      <c r="K2610" s="9">
        <v>1.2504000000000001E-4</v>
      </c>
      <c r="L2610" s="9">
        <v>1.6205000000000001E-4</v>
      </c>
      <c r="M2610" s="9">
        <v>1.6935999999999999E-4</v>
      </c>
      <c r="N2610" s="9">
        <v>1.6987999999999999E-4</v>
      </c>
      <c r="O2610" s="9">
        <v>1.7861999999999999E-4</v>
      </c>
      <c r="P2610" s="9">
        <v>1.6992E-4</v>
      </c>
      <c r="Q2610" s="9">
        <v>1.6184000000000001E-4</v>
      </c>
      <c r="R2610" s="10">
        <v>1.9879922609869151E-6</v>
      </c>
      <c r="S2610" s="10">
        <v>7.8683171400158693E-5</v>
      </c>
      <c r="T2610" s="10">
        <v>6.789475711958048E-4</v>
      </c>
      <c r="U2610" s="10">
        <v>1.1238E-4</v>
      </c>
      <c r="V2610" s="25"/>
      <c r="W2610" s="25"/>
      <c r="X2610" s="25"/>
      <c r="Y2610" s="25"/>
      <c r="Z2610" s="25"/>
      <c r="AA2610" s="25"/>
    </row>
    <row r="2611" spans="1:27" x14ac:dyDescent="0.35">
      <c r="A2611" s="5">
        <v>2607</v>
      </c>
      <c r="B2611" s="5">
        <v>109</v>
      </c>
      <c r="C2611" s="5">
        <v>4</v>
      </c>
      <c r="D2611" s="25">
        <v>1.1416E-4</v>
      </c>
      <c r="E2611" s="25">
        <v>1.2061E-4</v>
      </c>
      <c r="F2611" s="25">
        <v>9.5519999999999993E-5</v>
      </c>
      <c r="G2611" s="25">
        <v>1.6480999999999999E-4</v>
      </c>
      <c r="H2611" s="25">
        <v>1.9895000000000001E-4</v>
      </c>
      <c r="I2611" s="9">
        <v>1.2343E-4</v>
      </c>
      <c r="J2611" s="9">
        <v>1.1760999999999999E-4</v>
      </c>
      <c r="K2611" s="9">
        <v>1.2292E-4</v>
      </c>
      <c r="L2611" s="9">
        <v>1.7514000000000001E-4</v>
      </c>
      <c r="M2611" s="9">
        <v>1.6849000000000001E-4</v>
      </c>
      <c r="N2611" s="9">
        <v>1.6976E-4</v>
      </c>
      <c r="O2611" s="9">
        <v>1.8163000000000001E-4</v>
      </c>
      <c r="P2611" s="9">
        <v>1.6626999999999999E-4</v>
      </c>
      <c r="Q2611" s="9">
        <v>1.5165999999999999E-4</v>
      </c>
      <c r="R2611" s="10">
        <v>1.3439702287717211E-6</v>
      </c>
      <c r="S2611" s="10">
        <v>7.7006986332422219E-5</v>
      </c>
      <c r="T2611" s="10">
        <v>5.9646321291371919E-4</v>
      </c>
      <c r="U2611" s="10">
        <v>1.1238E-4</v>
      </c>
      <c r="V2611" s="25"/>
      <c r="W2611" s="25"/>
      <c r="X2611" s="25"/>
      <c r="Y2611" s="25"/>
      <c r="Z2611" s="25"/>
      <c r="AA2611" s="25"/>
    </row>
    <row r="2612" spans="1:27" x14ac:dyDescent="0.35">
      <c r="A2612" s="5">
        <v>2608</v>
      </c>
      <c r="B2612" s="5">
        <v>109</v>
      </c>
      <c r="C2612" s="5">
        <v>4</v>
      </c>
      <c r="D2612" s="25">
        <v>1.1415000000000001E-4</v>
      </c>
      <c r="E2612" s="25">
        <v>1.2379000000000001E-4</v>
      </c>
      <c r="F2612" s="25">
        <v>8.7700000000000004E-5</v>
      </c>
      <c r="G2612" s="25">
        <v>1.5915999999999999E-4</v>
      </c>
      <c r="H2612" s="25">
        <v>1.8924E-4</v>
      </c>
      <c r="I2612" s="9">
        <v>1.2155999999999999E-4</v>
      </c>
      <c r="J2612" s="9">
        <v>1.1883E-4</v>
      </c>
      <c r="K2612" s="9">
        <v>1.4200000000000001E-4</v>
      </c>
      <c r="L2612" s="9">
        <v>1.7987E-4</v>
      </c>
      <c r="M2612" s="9">
        <v>1.6756E-4</v>
      </c>
      <c r="N2612" s="9">
        <v>1.6579E-4</v>
      </c>
      <c r="O2612" s="9">
        <v>1.9558999999999999E-4</v>
      </c>
      <c r="P2612" s="9">
        <v>1.5184000000000001E-4</v>
      </c>
      <c r="Q2612" s="9">
        <v>1.0932E-4</v>
      </c>
      <c r="R2612" s="10">
        <v>1.7998123498813108E-6</v>
      </c>
      <c r="S2612" s="10">
        <v>7.5413454097686202E-5</v>
      </c>
      <c r="T2612" s="10">
        <v>4.7343238803730257E-4</v>
      </c>
      <c r="U2612" s="10">
        <v>1.1238E-4</v>
      </c>
      <c r="V2612" s="25"/>
      <c r="W2612" s="25"/>
      <c r="X2612" s="25"/>
      <c r="Y2612" s="25"/>
      <c r="Z2612" s="25"/>
      <c r="AA2612" s="25"/>
    </row>
    <row r="2613" spans="1:27" x14ac:dyDescent="0.35">
      <c r="A2613" s="5">
        <v>2609</v>
      </c>
      <c r="B2613" s="5">
        <v>109</v>
      </c>
      <c r="C2613" s="5">
        <v>4</v>
      </c>
      <c r="D2613" s="25">
        <v>1.1416E-4</v>
      </c>
      <c r="E2613" s="25">
        <v>1.2271999999999999E-4</v>
      </c>
      <c r="F2613" s="25">
        <v>9.692E-5</v>
      </c>
      <c r="G2613" s="25">
        <v>1.6709E-4</v>
      </c>
      <c r="H2613" s="25">
        <v>1.9434000000000001E-4</v>
      </c>
      <c r="I2613" s="9">
        <v>1.2296E-4</v>
      </c>
      <c r="J2613" s="9">
        <v>1.216E-4</v>
      </c>
      <c r="K2613" s="9">
        <v>1.5048000000000001E-4</v>
      </c>
      <c r="L2613" s="9">
        <v>1.9194000000000001E-4</v>
      </c>
      <c r="M2613" s="9">
        <v>1.6174000000000001E-4</v>
      </c>
      <c r="N2613" s="9">
        <v>1.5211000000000001E-4</v>
      </c>
      <c r="O2613" s="9">
        <v>2.1287000000000001E-4</v>
      </c>
      <c r="P2613" s="9">
        <v>1.593E-4</v>
      </c>
      <c r="Q2613" s="9">
        <v>1.0715E-4</v>
      </c>
      <c r="R2613" s="10">
        <v>4.3892233897231301E-6</v>
      </c>
      <c r="S2613" s="10">
        <v>7.3678297196410434E-5</v>
      </c>
      <c r="T2613" s="10">
        <v>2.8930612354050972E-4</v>
      </c>
      <c r="U2613" s="10">
        <v>1.1238E-4</v>
      </c>
      <c r="V2613" s="25"/>
      <c r="W2613" s="25"/>
      <c r="X2613" s="25"/>
      <c r="Y2613" s="25"/>
      <c r="Z2613" s="25"/>
      <c r="AA2613" s="25"/>
    </row>
    <row r="2614" spans="1:27" x14ac:dyDescent="0.35">
      <c r="A2614" s="5">
        <v>2610</v>
      </c>
      <c r="B2614" s="5">
        <v>109</v>
      </c>
      <c r="C2614" s="5">
        <v>4</v>
      </c>
      <c r="D2614" s="25">
        <v>1.1415000000000001E-4</v>
      </c>
      <c r="E2614" s="25">
        <v>1.1909E-4</v>
      </c>
      <c r="F2614" s="25">
        <v>8.8200000000000003E-5</v>
      </c>
      <c r="G2614" s="25">
        <v>1.5715999999999999E-4</v>
      </c>
      <c r="H2614" s="25">
        <v>1.8851999999999999E-4</v>
      </c>
      <c r="I2614" s="9">
        <v>1.2292999999999999E-4</v>
      </c>
      <c r="J2614" s="9">
        <v>1.1828E-4</v>
      </c>
      <c r="K2614" s="9">
        <v>1.5683E-4</v>
      </c>
      <c r="L2614" s="9">
        <v>2.0803E-4</v>
      </c>
      <c r="M2614" s="9">
        <v>1.5924999999999999E-4</v>
      </c>
      <c r="N2614" s="9">
        <v>1.3884999999999999E-4</v>
      </c>
      <c r="O2614" s="9">
        <v>2.0655000000000001E-4</v>
      </c>
      <c r="P2614" s="9">
        <v>1.6211E-4</v>
      </c>
      <c r="Q2614" s="9">
        <v>1.1893E-4</v>
      </c>
      <c r="R2614" s="10">
        <v>1.0864598088693451E-5</v>
      </c>
      <c r="S2614" s="10">
        <v>5.9524657011770002E-5</v>
      </c>
      <c r="T2614" s="10">
        <v>9.4175722786581941E-5</v>
      </c>
      <c r="U2614" s="10">
        <v>1.1238E-4</v>
      </c>
      <c r="V2614" s="25"/>
      <c r="W2614" s="25"/>
      <c r="X2614" s="25"/>
      <c r="Y2614" s="25"/>
      <c r="Z2614" s="25"/>
      <c r="AA2614" s="25"/>
    </row>
    <row r="2615" spans="1:27" x14ac:dyDescent="0.35">
      <c r="A2615" s="5">
        <v>2611</v>
      </c>
      <c r="B2615" s="5">
        <v>109</v>
      </c>
      <c r="C2615" s="5">
        <v>4</v>
      </c>
      <c r="D2615" s="25">
        <v>1.1416E-4</v>
      </c>
      <c r="E2615" s="25">
        <v>1.1754E-4</v>
      </c>
      <c r="F2615" s="25">
        <v>8.7280000000000005E-5</v>
      </c>
      <c r="G2615" s="25">
        <v>1.1412E-4</v>
      </c>
      <c r="H2615" s="25">
        <v>1.3343E-4</v>
      </c>
      <c r="I2615" s="9">
        <v>1.2043E-4</v>
      </c>
      <c r="J2615" s="9">
        <v>1.1618E-4</v>
      </c>
      <c r="K2615" s="9">
        <v>1.5683E-4</v>
      </c>
      <c r="L2615" s="9">
        <v>2.0645E-4</v>
      </c>
      <c r="M2615" s="9">
        <v>1.5981E-4</v>
      </c>
      <c r="N2615" s="9">
        <v>1.3013E-4</v>
      </c>
      <c r="O2615" s="9">
        <v>1.6369999999999999E-4</v>
      </c>
      <c r="P2615" s="9">
        <v>1.3496E-4</v>
      </c>
      <c r="Q2615" s="9">
        <v>1.0712E-4</v>
      </c>
      <c r="R2615" s="10">
        <v>2.081566340639024E-5</v>
      </c>
      <c r="S2615" s="10">
        <v>3.9068917030659131E-5</v>
      </c>
      <c r="T2615" s="10">
        <v>6.4395832067581694E-6</v>
      </c>
      <c r="U2615" s="10">
        <v>1.1238E-4</v>
      </c>
      <c r="V2615" s="25"/>
      <c r="W2615" s="25"/>
      <c r="X2615" s="25"/>
      <c r="Y2615" s="25"/>
      <c r="Z2615" s="25"/>
      <c r="AA2615" s="25"/>
    </row>
    <row r="2616" spans="1:27" x14ac:dyDescent="0.35">
      <c r="A2616" s="5">
        <v>2612</v>
      </c>
      <c r="B2616" s="5">
        <v>109</v>
      </c>
      <c r="C2616" s="5">
        <v>4</v>
      </c>
      <c r="D2616" s="25">
        <v>1.1415000000000001E-4</v>
      </c>
      <c r="E2616" s="25">
        <v>1.2315000000000001E-4</v>
      </c>
      <c r="F2616" s="25">
        <v>9.5719999999999998E-5</v>
      </c>
      <c r="G2616" s="25">
        <v>1.1204E-4</v>
      </c>
      <c r="H2616" s="25">
        <v>1.3193999999999999E-4</v>
      </c>
      <c r="I2616" s="9">
        <v>1.1974E-4</v>
      </c>
      <c r="J2616" s="9">
        <v>1.1584E-4</v>
      </c>
      <c r="K2616" s="9">
        <v>1.5259E-4</v>
      </c>
      <c r="L2616" s="9">
        <v>1.7322E-4</v>
      </c>
      <c r="M2616" s="9">
        <v>1.5118E-4</v>
      </c>
      <c r="N2616" s="9">
        <v>1.2104000000000001E-4</v>
      </c>
      <c r="O2616" s="9">
        <v>1.2815E-4</v>
      </c>
      <c r="P2616" s="9">
        <v>1.1464E-4</v>
      </c>
      <c r="Q2616" s="9">
        <v>1.0170000000000001E-4</v>
      </c>
      <c r="R2616" s="10">
        <v>4.3560813769264508E-5</v>
      </c>
      <c r="S2616" s="10">
        <v>3.1023638610242362E-5</v>
      </c>
      <c r="T2616" s="10">
        <v>0</v>
      </c>
      <c r="U2616" s="10">
        <v>1.1238E-4</v>
      </c>
      <c r="V2616" s="25"/>
      <c r="W2616" s="25"/>
      <c r="X2616" s="25"/>
      <c r="Y2616" s="25"/>
      <c r="Z2616" s="25"/>
      <c r="AA2616" s="25"/>
    </row>
    <row r="2617" spans="1:27" x14ac:dyDescent="0.35">
      <c r="A2617" s="5">
        <v>2613</v>
      </c>
      <c r="B2617" s="5">
        <v>109</v>
      </c>
      <c r="C2617" s="5">
        <v>4</v>
      </c>
      <c r="D2617" s="25">
        <v>1.1416E-4</v>
      </c>
      <c r="E2617" s="25">
        <v>1.1776E-4</v>
      </c>
      <c r="F2617" s="25">
        <v>1.0043E-4</v>
      </c>
      <c r="G2617" s="25">
        <v>6.2290000000000002E-5</v>
      </c>
      <c r="H2617" s="25">
        <v>7.093E-5</v>
      </c>
      <c r="I2617" s="9">
        <v>1.1967E-4</v>
      </c>
      <c r="J2617" s="9">
        <v>1.15E-4</v>
      </c>
      <c r="K2617" s="9">
        <v>1.5046999999999999E-4</v>
      </c>
      <c r="L2617" s="9">
        <v>1.3909999999999999E-4</v>
      </c>
      <c r="M2617" s="9">
        <v>1.3557E-4</v>
      </c>
      <c r="N2617" s="9">
        <v>1.1335E-4</v>
      </c>
      <c r="O2617" s="9">
        <v>8.5290000000000005E-5</v>
      </c>
      <c r="P2617" s="9">
        <v>8.7100000000000003E-5</v>
      </c>
      <c r="Q2617" s="9">
        <v>8.9110000000000006E-5</v>
      </c>
      <c r="R2617" s="10">
        <v>9.4648822378019787E-5</v>
      </c>
      <c r="S2617" s="10">
        <v>3.3841596772848244E-5</v>
      </c>
      <c r="T2617" s="10">
        <v>0</v>
      </c>
      <c r="U2617" s="10">
        <v>1.1238E-4</v>
      </c>
      <c r="V2617" s="25"/>
      <c r="W2617" s="25"/>
      <c r="X2617" s="25"/>
      <c r="Y2617" s="25"/>
      <c r="Z2617" s="25"/>
      <c r="AA2617" s="25"/>
    </row>
    <row r="2618" spans="1:27" x14ac:dyDescent="0.35">
      <c r="A2618" s="5">
        <v>2614</v>
      </c>
      <c r="B2618" s="5">
        <v>109</v>
      </c>
      <c r="C2618" s="5">
        <v>4</v>
      </c>
      <c r="D2618" s="25">
        <v>1.1415000000000001E-4</v>
      </c>
      <c r="E2618" s="25">
        <v>1.1472E-4</v>
      </c>
      <c r="F2618" s="25">
        <v>9.1819999999999998E-5</v>
      </c>
      <c r="G2618" s="25">
        <v>5.304E-5</v>
      </c>
      <c r="H2618" s="25">
        <v>6.3509999999999993E-5</v>
      </c>
      <c r="I2618" s="9">
        <v>1.1866000000000001E-4</v>
      </c>
      <c r="J2618" s="9">
        <v>1.0663E-4</v>
      </c>
      <c r="K2618" s="9">
        <v>1.5048000000000001E-4</v>
      </c>
      <c r="L2618" s="9">
        <v>9.8060000000000006E-5</v>
      </c>
      <c r="M2618" s="9">
        <v>1.1409E-4</v>
      </c>
      <c r="N2618" s="9">
        <v>1.0593E-4</v>
      </c>
      <c r="O2618" s="9">
        <v>8.7269999999999996E-5</v>
      </c>
      <c r="P2618" s="9">
        <v>8.7689999999999996E-5</v>
      </c>
      <c r="Q2618" s="9">
        <v>8.8339999999999998E-5</v>
      </c>
      <c r="R2618" s="10">
        <v>1.5037975188212754E-4</v>
      </c>
      <c r="S2618" s="10">
        <v>3.9088587183900883E-5</v>
      </c>
      <c r="T2618" s="10">
        <v>0</v>
      </c>
      <c r="U2618" s="10">
        <v>1.1238E-4</v>
      </c>
      <c r="V2618" s="25"/>
      <c r="W2618" s="25"/>
      <c r="X2618" s="25"/>
      <c r="Y2618" s="25"/>
      <c r="Z2618" s="25"/>
      <c r="AA2618" s="25"/>
    </row>
    <row r="2619" spans="1:27" x14ac:dyDescent="0.35">
      <c r="A2619" s="5">
        <v>2615</v>
      </c>
      <c r="B2619" s="5">
        <v>109</v>
      </c>
      <c r="C2619" s="5">
        <v>4</v>
      </c>
      <c r="D2619" s="25">
        <v>1.1416E-4</v>
      </c>
      <c r="E2619" s="25">
        <v>1.1332000000000001E-4</v>
      </c>
      <c r="F2619" s="25">
        <v>1.0107000000000001E-4</v>
      </c>
      <c r="G2619" s="25">
        <v>6.3159999999999998E-5</v>
      </c>
      <c r="H2619" s="25">
        <v>6.9060000000000006E-5</v>
      </c>
      <c r="I2619" s="9">
        <v>1.1556E-4</v>
      </c>
      <c r="J2619" s="9">
        <v>9.8560000000000005E-5</v>
      </c>
      <c r="K2619" s="9">
        <v>1.4836E-4</v>
      </c>
      <c r="L2619" s="9">
        <v>9.0550000000000005E-5</v>
      </c>
      <c r="M2619" s="9">
        <v>9.9350000000000003E-5</v>
      </c>
      <c r="N2619" s="9">
        <v>1.0011E-4</v>
      </c>
      <c r="O2619" s="9">
        <v>7.8380000000000005E-5</v>
      </c>
      <c r="P2619" s="9">
        <v>7.2780000000000005E-5</v>
      </c>
      <c r="Q2619" s="9">
        <v>6.7479999999999998E-5</v>
      </c>
      <c r="R2619" s="10">
        <v>1.7181419386985122E-4</v>
      </c>
      <c r="S2619" s="10">
        <v>4.6355152233211028E-5</v>
      </c>
      <c r="T2619" s="10">
        <v>0</v>
      </c>
      <c r="U2619" s="10">
        <v>1.1238E-4</v>
      </c>
      <c r="V2619" s="25"/>
      <c r="W2619" s="25"/>
      <c r="X2619" s="25"/>
      <c r="Y2619" s="25"/>
      <c r="Z2619" s="25"/>
      <c r="AA2619" s="25"/>
    </row>
    <row r="2620" spans="1:27" x14ac:dyDescent="0.35">
      <c r="A2620" s="5">
        <v>2616</v>
      </c>
      <c r="B2620" s="5">
        <v>109</v>
      </c>
      <c r="C2620" s="5">
        <v>4</v>
      </c>
      <c r="D2620" s="25">
        <v>1.1415000000000001E-4</v>
      </c>
      <c r="E2620" s="25">
        <v>1.2395E-4</v>
      </c>
      <c r="F2620" s="25">
        <v>1.0565000000000001E-4</v>
      </c>
      <c r="G2620" s="25">
        <v>6.0269999999999997E-5</v>
      </c>
      <c r="H2620" s="25">
        <v>6.8880000000000005E-5</v>
      </c>
      <c r="I2620" s="9">
        <v>1.0647E-4</v>
      </c>
      <c r="J2620" s="9">
        <v>9.1920000000000001E-5</v>
      </c>
      <c r="K2620" s="9">
        <v>1.4624000000000001E-4</v>
      </c>
      <c r="L2620" s="9">
        <v>8.1050000000000005E-5</v>
      </c>
      <c r="M2620" s="9">
        <v>8.653E-5</v>
      </c>
      <c r="N2620" s="9">
        <v>9.09E-5</v>
      </c>
      <c r="O2620" s="9">
        <v>6.2360000000000006E-5</v>
      </c>
      <c r="P2620" s="9">
        <v>6.0359999999999998E-5</v>
      </c>
      <c r="Q2620" s="9">
        <v>5.855E-5</v>
      </c>
      <c r="R2620" s="10">
        <v>1.7371925489121582E-4</v>
      </c>
      <c r="S2620" s="10">
        <v>4.8498654702760507E-5</v>
      </c>
      <c r="T2620" s="10">
        <v>0</v>
      </c>
      <c r="U2620" s="10">
        <v>1.1238E-4</v>
      </c>
      <c r="V2620" s="25"/>
      <c r="W2620" s="25"/>
      <c r="X2620" s="25"/>
      <c r="Y2620" s="25"/>
      <c r="Z2620" s="25"/>
      <c r="AA2620" s="25"/>
    </row>
    <row r="2621" spans="1:27" x14ac:dyDescent="0.35">
      <c r="A2621" s="5">
        <v>2617</v>
      </c>
      <c r="B2621" s="5">
        <v>110</v>
      </c>
      <c r="C2621" s="5">
        <v>4</v>
      </c>
      <c r="D2621" s="25">
        <v>1.1416E-4</v>
      </c>
      <c r="E2621" s="25">
        <v>1.1567E-4</v>
      </c>
      <c r="F2621" s="25">
        <v>1.0796E-4</v>
      </c>
      <c r="G2621" s="25">
        <v>5.4769999999999999E-5</v>
      </c>
      <c r="H2621" s="25">
        <v>6.2589999999999995E-5</v>
      </c>
      <c r="I2621" s="9">
        <v>1.0067E-4</v>
      </c>
      <c r="J2621" s="9">
        <v>8.8720000000000004E-5</v>
      </c>
      <c r="K2621" s="9">
        <v>1.4624000000000001E-4</v>
      </c>
      <c r="L2621" s="9">
        <v>6.6470000000000006E-5</v>
      </c>
      <c r="M2621" s="9">
        <v>7.4159999999999995E-5</v>
      </c>
      <c r="N2621" s="9">
        <v>8.1370000000000002E-5</v>
      </c>
      <c r="O2621" s="9">
        <v>5.4719999999999998E-5</v>
      </c>
      <c r="P2621" s="9">
        <v>5.414E-5</v>
      </c>
      <c r="Q2621" s="9">
        <v>5.3709999999999999E-5</v>
      </c>
      <c r="R2621" s="10">
        <v>1.5943745090589532E-4</v>
      </c>
      <c r="S2621" s="10">
        <v>4.7251136459968249E-5</v>
      </c>
      <c r="T2621" s="10">
        <v>0</v>
      </c>
      <c r="U2621" s="10">
        <v>1.1039000000000001E-4</v>
      </c>
      <c r="V2621" s="25"/>
      <c r="W2621" s="25"/>
      <c r="X2621" s="25"/>
      <c r="Y2621" s="25"/>
      <c r="Z2621" s="25"/>
      <c r="AA2621" s="25"/>
    </row>
    <row r="2622" spans="1:27" x14ac:dyDescent="0.35">
      <c r="A2622" s="5">
        <v>2618</v>
      </c>
      <c r="B2622" s="5">
        <v>110</v>
      </c>
      <c r="C2622" s="5">
        <v>4</v>
      </c>
      <c r="D2622" s="25">
        <v>1.1415000000000001E-4</v>
      </c>
      <c r="E2622" s="25">
        <v>1.1932E-4</v>
      </c>
      <c r="F2622" s="25">
        <v>1.2163999999999999E-4</v>
      </c>
      <c r="G2622" s="25">
        <v>6.109E-5</v>
      </c>
      <c r="H2622" s="25">
        <v>7.1810000000000005E-5</v>
      </c>
      <c r="I2622" s="9">
        <v>9.7079999999999999E-5</v>
      </c>
      <c r="J2622" s="9">
        <v>8.454E-5</v>
      </c>
      <c r="K2622" s="9">
        <v>1.4411E-4</v>
      </c>
      <c r="L2622" s="9">
        <v>5.77E-5</v>
      </c>
      <c r="M2622" s="9">
        <v>6.4010000000000005E-5</v>
      </c>
      <c r="N2622" s="9">
        <v>7.2269999999999998E-5</v>
      </c>
      <c r="O2622" s="9">
        <v>1.908E-5</v>
      </c>
      <c r="P2622" s="9">
        <v>3.7759999999999998E-5</v>
      </c>
      <c r="Q2622" s="9">
        <v>5.6199999999999997E-5</v>
      </c>
      <c r="R2622" s="10">
        <v>1.5564518989917353E-4</v>
      </c>
      <c r="S2622" s="10">
        <v>4.3347164172184545E-5</v>
      </c>
      <c r="T2622" s="10">
        <v>0</v>
      </c>
      <c r="U2622" s="10">
        <v>1.1039000000000001E-4</v>
      </c>
      <c r="V2622" s="25"/>
      <c r="W2622" s="25"/>
      <c r="X2622" s="25"/>
      <c r="Y2622" s="25"/>
      <c r="Z2622" s="25"/>
      <c r="AA2622" s="25"/>
    </row>
    <row r="2623" spans="1:27" x14ac:dyDescent="0.35">
      <c r="A2623" s="5">
        <v>2619</v>
      </c>
      <c r="B2623" s="5">
        <v>110</v>
      </c>
      <c r="C2623" s="5">
        <v>4</v>
      </c>
      <c r="D2623" s="25">
        <v>1.1416E-4</v>
      </c>
      <c r="E2623" s="25">
        <v>1.1491E-4</v>
      </c>
      <c r="F2623" s="25">
        <v>1.0119999999999999E-4</v>
      </c>
      <c r="G2623" s="25">
        <v>6.321E-5</v>
      </c>
      <c r="H2623" s="25">
        <v>6.8739999999999996E-5</v>
      </c>
      <c r="I2623" s="9">
        <v>9.4809999999999995E-5</v>
      </c>
      <c r="J2623" s="9">
        <v>8.4469999999999996E-5</v>
      </c>
      <c r="K2623" s="9">
        <v>1.4411E-4</v>
      </c>
      <c r="L2623" s="9">
        <v>2.7780000000000002E-5</v>
      </c>
      <c r="M2623" s="9">
        <v>5.2250000000000003E-5</v>
      </c>
      <c r="N2623" s="9">
        <v>6.5629999999999993E-5</v>
      </c>
      <c r="O2623" s="9">
        <v>1.367E-5</v>
      </c>
      <c r="P2623" s="9">
        <v>3.7880000000000003E-5</v>
      </c>
      <c r="Q2623" s="9">
        <v>6.1740000000000002E-5</v>
      </c>
      <c r="R2623" s="10">
        <v>1.5579658928935918E-4</v>
      </c>
      <c r="S2623" s="10">
        <v>3.7877852114974342E-5</v>
      </c>
      <c r="T2623" s="10">
        <v>0</v>
      </c>
      <c r="U2623" s="10">
        <v>1.1039000000000001E-4</v>
      </c>
      <c r="V2623" s="25"/>
      <c r="W2623" s="25"/>
      <c r="X2623" s="25"/>
      <c r="Y2623" s="25"/>
      <c r="Z2623" s="25"/>
      <c r="AA2623" s="25"/>
    </row>
    <row r="2624" spans="1:27" x14ac:dyDescent="0.35">
      <c r="A2624" s="5">
        <v>2620</v>
      </c>
      <c r="B2624" s="5">
        <v>110</v>
      </c>
      <c r="C2624" s="5">
        <v>4</v>
      </c>
      <c r="D2624" s="25">
        <v>1.1415000000000001E-4</v>
      </c>
      <c r="E2624" s="25">
        <v>1.1963E-4</v>
      </c>
      <c r="F2624" s="25">
        <v>1.0657E-4</v>
      </c>
      <c r="G2624" s="25">
        <v>5.6180000000000001E-5</v>
      </c>
      <c r="H2624" s="25">
        <v>6.8999999999999997E-5</v>
      </c>
      <c r="I2624" s="9">
        <v>9.6269999999999998E-5</v>
      </c>
      <c r="J2624" s="9">
        <v>8.6459999999999996E-5</v>
      </c>
      <c r="K2624" s="9">
        <v>1.4412E-4</v>
      </c>
      <c r="L2624" s="9">
        <v>1.751E-5</v>
      </c>
      <c r="M2624" s="9">
        <v>4.4270000000000001E-5</v>
      </c>
      <c r="N2624" s="9">
        <v>6.2050000000000004E-5</v>
      </c>
      <c r="O2624" s="9">
        <v>1.358E-5</v>
      </c>
      <c r="P2624" s="9">
        <v>4.6999999999999997E-5</v>
      </c>
      <c r="Q2624" s="9">
        <v>7.9950000000000005E-5</v>
      </c>
      <c r="R2624" s="10">
        <v>1.5168643874700715E-4</v>
      </c>
      <c r="S2624" s="10">
        <v>4.0782790491614532E-5</v>
      </c>
      <c r="T2624" s="10">
        <v>0</v>
      </c>
      <c r="U2624" s="10">
        <v>1.1039000000000001E-4</v>
      </c>
      <c r="V2624" s="25"/>
      <c r="W2624" s="25"/>
      <c r="X2624" s="25"/>
      <c r="Y2624" s="25"/>
      <c r="Z2624" s="25"/>
      <c r="AA2624" s="25"/>
    </row>
    <row r="2625" spans="1:27" x14ac:dyDescent="0.35">
      <c r="A2625" s="5">
        <v>2621</v>
      </c>
      <c r="B2625" s="5">
        <v>110</v>
      </c>
      <c r="C2625" s="5">
        <v>4</v>
      </c>
      <c r="D2625" s="25">
        <v>1.1416E-4</v>
      </c>
      <c r="E2625" s="25">
        <v>1.1362999999999999E-4</v>
      </c>
      <c r="F2625" s="25">
        <v>1.1435E-4</v>
      </c>
      <c r="G2625" s="25">
        <v>6.1340000000000006E-5</v>
      </c>
      <c r="H2625" s="25">
        <v>6.9040000000000003E-5</v>
      </c>
      <c r="I2625" s="9">
        <v>1.0338E-4</v>
      </c>
      <c r="J2625" s="9">
        <v>8.8679999999999998E-5</v>
      </c>
      <c r="K2625" s="9">
        <v>1.4622999999999999E-4</v>
      </c>
      <c r="L2625" s="9">
        <v>1.469E-5</v>
      </c>
      <c r="M2625" s="9">
        <v>4.3470000000000002E-5</v>
      </c>
      <c r="N2625" s="9">
        <v>6.444E-5</v>
      </c>
      <c r="O2625" s="9">
        <v>1.895E-5</v>
      </c>
      <c r="P2625" s="9">
        <v>5.6249999999999998E-5</v>
      </c>
      <c r="Q2625" s="9">
        <v>9.302E-5</v>
      </c>
      <c r="R2625" s="10">
        <v>1.4224976363396655E-4</v>
      </c>
      <c r="S2625" s="10">
        <v>4.1780308587144122E-5</v>
      </c>
      <c r="T2625" s="10">
        <v>0</v>
      </c>
      <c r="U2625" s="10">
        <v>1.1039000000000001E-4</v>
      </c>
      <c r="V2625" s="25"/>
      <c r="W2625" s="25"/>
      <c r="X2625" s="25"/>
      <c r="Y2625" s="25"/>
      <c r="Z2625" s="25"/>
      <c r="AA2625" s="25"/>
    </row>
    <row r="2626" spans="1:27" x14ac:dyDescent="0.35">
      <c r="A2626" s="5">
        <v>2622</v>
      </c>
      <c r="B2626" s="5">
        <v>110</v>
      </c>
      <c r="C2626" s="5">
        <v>4</v>
      </c>
      <c r="D2626" s="25">
        <v>1.1415000000000001E-4</v>
      </c>
      <c r="E2626" s="25">
        <v>1.1017E-4</v>
      </c>
      <c r="F2626" s="25">
        <v>1.0178E-4</v>
      </c>
      <c r="G2626" s="25">
        <v>1.1145999999999999E-4</v>
      </c>
      <c r="H2626" s="25">
        <v>1.3129999999999999E-4</v>
      </c>
      <c r="I2626" s="9">
        <v>1.1518000000000001E-4</v>
      </c>
      <c r="J2626" s="9">
        <v>9.6009999999999997E-5</v>
      </c>
      <c r="K2626" s="9">
        <v>1.8013999999999999E-4</v>
      </c>
      <c r="L2626" s="9">
        <v>1.789E-5</v>
      </c>
      <c r="M2626" s="9">
        <v>4.8210000000000001E-5</v>
      </c>
      <c r="N2626" s="9">
        <v>7.0840000000000006E-5</v>
      </c>
      <c r="O2626" s="9">
        <v>4.6230000000000003E-5</v>
      </c>
      <c r="P2626" s="9">
        <v>7.6680000000000004E-5</v>
      </c>
      <c r="Q2626" s="9">
        <v>1.0678E-4</v>
      </c>
      <c r="R2626" s="10">
        <v>1.2735978933732213E-4</v>
      </c>
      <c r="S2626" s="10">
        <v>3.4969814763680863E-5</v>
      </c>
      <c r="T2626" s="10">
        <v>9.7145227559131815E-6</v>
      </c>
      <c r="U2626" s="10">
        <v>1.1039000000000001E-4</v>
      </c>
      <c r="V2626" s="25"/>
      <c r="W2626" s="25"/>
      <c r="X2626" s="25"/>
      <c r="Y2626" s="25"/>
      <c r="Z2626" s="25"/>
      <c r="AA2626" s="25"/>
    </row>
    <row r="2627" spans="1:27" x14ac:dyDescent="0.35">
      <c r="A2627" s="5">
        <v>2623</v>
      </c>
      <c r="B2627" s="5">
        <v>110</v>
      </c>
      <c r="C2627" s="5">
        <v>4</v>
      </c>
      <c r="D2627" s="25">
        <v>1.1416E-4</v>
      </c>
      <c r="E2627" s="25">
        <v>1.1668E-4</v>
      </c>
      <c r="F2627" s="25">
        <v>1.2171E-4</v>
      </c>
      <c r="G2627" s="25">
        <v>1.0457E-4</v>
      </c>
      <c r="H2627" s="25">
        <v>1.2935999999999999E-4</v>
      </c>
      <c r="I2627" s="9">
        <v>1.2386E-4</v>
      </c>
      <c r="J2627" s="9">
        <v>1.1048E-4</v>
      </c>
      <c r="K2627" s="9">
        <v>1.8226000000000001E-4</v>
      </c>
      <c r="L2627" s="9">
        <v>3.9860000000000001E-5</v>
      </c>
      <c r="M2627" s="9">
        <v>5.9799999999999997E-5</v>
      </c>
      <c r="N2627" s="9">
        <v>8.0489999999999997E-5</v>
      </c>
      <c r="O2627" s="9">
        <v>1.2328E-4</v>
      </c>
      <c r="P2627" s="9">
        <v>1.1789E-4</v>
      </c>
      <c r="Q2627" s="9">
        <v>1.1293E-4</v>
      </c>
      <c r="R2627" s="10">
        <v>1.0277234187988302E-4</v>
      </c>
      <c r="S2627" s="10">
        <v>2.3848659877632668E-5</v>
      </c>
      <c r="T2627" s="10">
        <v>1.0309272140358172E-4</v>
      </c>
      <c r="U2627" s="10">
        <v>1.1039000000000001E-4</v>
      </c>
      <c r="V2627" s="25"/>
      <c r="W2627" s="25"/>
      <c r="X2627" s="25"/>
      <c r="Y2627" s="25"/>
      <c r="Z2627" s="25"/>
      <c r="AA2627" s="25"/>
    </row>
    <row r="2628" spans="1:27" x14ac:dyDescent="0.35">
      <c r="A2628" s="5">
        <v>2624</v>
      </c>
      <c r="B2628" s="5">
        <v>110</v>
      </c>
      <c r="C2628" s="5">
        <v>4</v>
      </c>
      <c r="D2628" s="25">
        <v>1.1415000000000001E-4</v>
      </c>
      <c r="E2628" s="25">
        <v>1.1504E-4</v>
      </c>
      <c r="F2628" s="25">
        <v>1.07E-4</v>
      </c>
      <c r="G2628" s="25">
        <v>1.5710999999999999E-4</v>
      </c>
      <c r="H2628" s="25">
        <v>1.9587000000000001E-4</v>
      </c>
      <c r="I2628" s="9">
        <v>1.2810999999999999E-4</v>
      </c>
      <c r="J2628" s="9">
        <v>1.1937E-4</v>
      </c>
      <c r="K2628" s="9">
        <v>1.8226000000000001E-4</v>
      </c>
      <c r="L2628" s="9">
        <v>1.0431E-4</v>
      </c>
      <c r="M2628" s="9">
        <v>8.3709999999999996E-5</v>
      </c>
      <c r="N2628" s="9">
        <v>9.0710000000000004E-5</v>
      </c>
      <c r="O2628" s="9">
        <v>2.1876999999999999E-4</v>
      </c>
      <c r="P2628" s="9">
        <v>1.772E-4</v>
      </c>
      <c r="Q2628" s="9">
        <v>1.3689E-4</v>
      </c>
      <c r="R2628" s="10">
        <v>8.0383107191310454E-5</v>
      </c>
      <c r="S2628" s="10">
        <v>1.7770281500289175E-5</v>
      </c>
      <c r="T2628" s="10">
        <v>3.1727885849792953E-4</v>
      </c>
      <c r="U2628" s="10">
        <v>1.1039000000000001E-4</v>
      </c>
      <c r="V2628" s="25"/>
      <c r="W2628" s="25"/>
      <c r="X2628" s="25"/>
      <c r="Y2628" s="25"/>
      <c r="Z2628" s="25"/>
      <c r="AA2628" s="25"/>
    </row>
    <row r="2629" spans="1:27" x14ac:dyDescent="0.35">
      <c r="A2629" s="5">
        <v>2625</v>
      </c>
      <c r="B2629" s="5">
        <v>110</v>
      </c>
      <c r="C2629" s="5">
        <v>4</v>
      </c>
      <c r="D2629" s="25">
        <v>1.1416E-4</v>
      </c>
      <c r="E2629" s="25">
        <v>1.0978E-4</v>
      </c>
      <c r="F2629" s="25">
        <v>1.0783E-4</v>
      </c>
      <c r="G2629" s="25">
        <v>1.6061999999999999E-4</v>
      </c>
      <c r="H2629" s="25">
        <v>1.8801000000000001E-4</v>
      </c>
      <c r="I2629" s="9">
        <v>1.3083999999999999E-4</v>
      </c>
      <c r="J2629" s="9">
        <v>1.2159000000000001E-4</v>
      </c>
      <c r="K2629" s="9">
        <v>1.8437999999999999E-4</v>
      </c>
      <c r="L2629" s="9">
        <v>1.9183000000000001E-4</v>
      </c>
      <c r="M2629" s="9">
        <v>1.2355999999999999E-4</v>
      </c>
      <c r="N2629" s="9">
        <v>1.0452E-4</v>
      </c>
      <c r="O2629" s="9">
        <v>2.0952000000000001E-4</v>
      </c>
      <c r="P2629" s="9">
        <v>1.9247000000000001E-4</v>
      </c>
      <c r="Q2629" s="9">
        <v>1.7626999999999999E-4</v>
      </c>
      <c r="R2629" s="10">
        <v>6.0736756243766166E-5</v>
      </c>
      <c r="S2629" s="10">
        <v>1.8485266473498547E-5</v>
      </c>
      <c r="T2629" s="10">
        <v>4.7767453771237385E-4</v>
      </c>
      <c r="U2629" s="10">
        <v>1.1039000000000001E-4</v>
      </c>
      <c r="V2629" s="25"/>
      <c r="W2629" s="25"/>
      <c r="X2629" s="25"/>
      <c r="Y2629" s="25"/>
      <c r="Z2629" s="25"/>
      <c r="AA2629" s="25"/>
    </row>
    <row r="2630" spans="1:27" x14ac:dyDescent="0.35">
      <c r="A2630" s="5">
        <v>2626</v>
      </c>
      <c r="B2630" s="5">
        <v>110</v>
      </c>
      <c r="C2630" s="5">
        <v>4</v>
      </c>
      <c r="D2630" s="25">
        <v>1.1415000000000001E-4</v>
      </c>
      <c r="E2630" s="25">
        <v>1.0989000000000001E-4</v>
      </c>
      <c r="F2630" s="25">
        <v>1.2161E-4</v>
      </c>
      <c r="G2630" s="25">
        <v>1.5644000000000001E-4</v>
      </c>
      <c r="H2630" s="25">
        <v>1.9406999999999999E-4</v>
      </c>
      <c r="I2630" s="9">
        <v>1.2861E-4</v>
      </c>
      <c r="J2630" s="9">
        <v>1.2032999999999999E-4</v>
      </c>
      <c r="K2630" s="9">
        <v>1.6742999999999999E-4</v>
      </c>
      <c r="L2630" s="9">
        <v>2.0332999999999999E-4</v>
      </c>
      <c r="M2630" s="9">
        <v>1.5846E-4</v>
      </c>
      <c r="N2630" s="9">
        <v>1.2443999999999999E-4</v>
      </c>
      <c r="O2630" s="9">
        <v>1.6610999999999999E-4</v>
      </c>
      <c r="P2630" s="9">
        <v>1.7375999999999999E-4</v>
      </c>
      <c r="Q2630" s="9">
        <v>1.8175E-4</v>
      </c>
      <c r="R2630" s="10">
        <v>3.6064849506957677E-5</v>
      </c>
      <c r="S2630" s="10">
        <v>2.2965837295630742E-5</v>
      </c>
      <c r="T2630" s="10">
        <v>6.3119793445320276E-4</v>
      </c>
      <c r="U2630" s="10">
        <v>1.1039000000000001E-4</v>
      </c>
      <c r="V2630" s="25"/>
      <c r="W2630" s="25"/>
      <c r="X2630" s="25"/>
      <c r="Y2630" s="25"/>
      <c r="Z2630" s="25"/>
      <c r="AA2630" s="25"/>
    </row>
    <row r="2631" spans="1:27" x14ac:dyDescent="0.35">
      <c r="A2631" s="5">
        <v>2627</v>
      </c>
      <c r="B2631" s="5">
        <v>110</v>
      </c>
      <c r="C2631" s="5">
        <v>4</v>
      </c>
      <c r="D2631" s="25">
        <v>1.1416E-4</v>
      </c>
      <c r="E2631" s="25">
        <v>1.1491E-4</v>
      </c>
      <c r="F2631" s="25">
        <v>1.1043E-4</v>
      </c>
      <c r="G2631" s="25">
        <v>1.6716999999999999E-4</v>
      </c>
      <c r="H2631" s="25">
        <v>1.8870000000000001E-4</v>
      </c>
      <c r="I2631" s="9">
        <v>1.3004E-4</v>
      </c>
      <c r="J2631" s="9">
        <v>1.2079E-4</v>
      </c>
      <c r="K2631" s="9">
        <v>1.3776000000000001E-4</v>
      </c>
      <c r="L2631" s="9">
        <v>1.7438999999999999E-4</v>
      </c>
      <c r="M2631" s="9">
        <v>1.7202999999999999E-4</v>
      </c>
      <c r="N2631" s="9">
        <v>1.4249E-4</v>
      </c>
      <c r="O2631" s="9">
        <v>1.6577000000000001E-4</v>
      </c>
      <c r="P2631" s="9">
        <v>1.7206E-4</v>
      </c>
      <c r="Q2631" s="9">
        <v>1.7871E-4</v>
      </c>
      <c r="R2631" s="10">
        <v>1.752121379287567E-5</v>
      </c>
      <c r="S2631" s="10">
        <v>3.1581622203359305E-5</v>
      </c>
      <c r="T2631" s="10">
        <v>7.2586574660209288E-4</v>
      </c>
      <c r="U2631" s="10">
        <v>1.1039000000000001E-4</v>
      </c>
      <c r="V2631" s="25"/>
      <c r="W2631" s="25"/>
      <c r="X2631" s="25"/>
      <c r="Y2631" s="25"/>
      <c r="Z2631" s="25"/>
      <c r="AA2631" s="25"/>
    </row>
    <row r="2632" spans="1:27" x14ac:dyDescent="0.35">
      <c r="A2632" s="5">
        <v>2628</v>
      </c>
      <c r="B2632" s="5">
        <v>110</v>
      </c>
      <c r="C2632" s="5">
        <v>4</v>
      </c>
      <c r="D2632" s="25">
        <v>1.1415000000000001E-4</v>
      </c>
      <c r="E2632" s="25">
        <v>1.1916E-4</v>
      </c>
      <c r="F2632" s="25">
        <v>1.1122E-4</v>
      </c>
      <c r="G2632" s="25">
        <v>1.6702000000000001E-4</v>
      </c>
      <c r="H2632" s="25">
        <v>2.0016000000000001E-4</v>
      </c>
      <c r="I2632" s="9">
        <v>1.3012000000000001E-4</v>
      </c>
      <c r="J2632" s="9">
        <v>1.1946E-4</v>
      </c>
      <c r="K2632" s="9">
        <v>1.1868E-4</v>
      </c>
      <c r="L2632" s="9">
        <v>1.6907000000000001E-4</v>
      </c>
      <c r="M2632" s="9">
        <v>1.7432999999999999E-4</v>
      </c>
      <c r="N2632" s="9">
        <v>1.5642E-4</v>
      </c>
      <c r="O2632" s="9">
        <v>1.6746E-4</v>
      </c>
      <c r="P2632" s="9">
        <v>1.6967999999999999E-4</v>
      </c>
      <c r="Q2632" s="9">
        <v>1.7232E-4</v>
      </c>
      <c r="R2632" s="10">
        <v>3.0068712370202185E-5</v>
      </c>
      <c r="S2632" s="10">
        <v>4.4371087291436658E-5</v>
      </c>
      <c r="T2632" s="10">
        <v>7.6684491246328118E-4</v>
      </c>
      <c r="U2632" s="10">
        <v>1.1039000000000001E-4</v>
      </c>
      <c r="V2632" s="25"/>
      <c r="W2632" s="25"/>
      <c r="X2632" s="25"/>
      <c r="Y2632" s="25"/>
      <c r="Z2632" s="25"/>
      <c r="AA2632" s="25"/>
    </row>
    <row r="2633" spans="1:27" x14ac:dyDescent="0.35">
      <c r="A2633" s="5">
        <v>2629</v>
      </c>
      <c r="B2633" s="5">
        <v>110</v>
      </c>
      <c r="C2633" s="5">
        <v>4</v>
      </c>
      <c r="D2633" s="25">
        <v>1.1416E-4</v>
      </c>
      <c r="E2633" s="25">
        <v>1.1400000000000001E-4</v>
      </c>
      <c r="F2633" s="25">
        <v>9.9959999999999998E-5</v>
      </c>
      <c r="G2633" s="25">
        <v>1.6171E-4</v>
      </c>
      <c r="H2633" s="25">
        <v>1.9712000000000001E-4</v>
      </c>
      <c r="I2633" s="9">
        <v>1.3034E-4</v>
      </c>
      <c r="J2633" s="9">
        <v>1.1882E-4</v>
      </c>
      <c r="K2633" s="9">
        <v>7.8419999999999998E-5</v>
      </c>
      <c r="L2633" s="9">
        <v>1.6798E-4</v>
      </c>
      <c r="M2633" s="9">
        <v>1.7276999999999999E-4</v>
      </c>
      <c r="N2633" s="9">
        <v>1.6551000000000001E-4</v>
      </c>
      <c r="O2633" s="9">
        <v>1.6144E-4</v>
      </c>
      <c r="P2633" s="9">
        <v>1.6445000000000001E-4</v>
      </c>
      <c r="Q2633" s="9">
        <v>1.6786000000000001E-4</v>
      </c>
      <c r="R2633" s="10">
        <v>3.5533529080048856E-5</v>
      </c>
      <c r="S2633" s="10">
        <v>5.0801995306627125E-5</v>
      </c>
      <c r="T2633" s="10">
        <v>7.5204829439663268E-4</v>
      </c>
      <c r="U2633" s="10">
        <v>1.1039000000000001E-4</v>
      </c>
      <c r="V2633" s="25"/>
      <c r="W2633" s="25"/>
      <c r="X2633" s="25"/>
      <c r="Y2633" s="25"/>
      <c r="Z2633" s="25"/>
      <c r="AA2633" s="25"/>
    </row>
    <row r="2634" spans="1:27" x14ac:dyDescent="0.35">
      <c r="A2634" s="5">
        <v>2630</v>
      </c>
      <c r="B2634" s="5">
        <v>110</v>
      </c>
      <c r="C2634" s="5">
        <v>4</v>
      </c>
      <c r="D2634" s="25">
        <v>1.1415000000000001E-4</v>
      </c>
      <c r="E2634" s="25">
        <v>1.1341E-4</v>
      </c>
      <c r="F2634" s="25">
        <v>1.1404999999999999E-4</v>
      </c>
      <c r="G2634" s="25">
        <v>1.64E-4</v>
      </c>
      <c r="H2634" s="25">
        <v>1.9165E-4</v>
      </c>
      <c r="I2634" s="9">
        <v>1.2789E-4</v>
      </c>
      <c r="J2634" s="9">
        <v>1.1841999999999999E-4</v>
      </c>
      <c r="K2634" s="9">
        <v>6.1459999999999998E-5</v>
      </c>
      <c r="L2634" s="9">
        <v>1.6265E-4</v>
      </c>
      <c r="M2634" s="9">
        <v>1.6933000000000001E-4</v>
      </c>
      <c r="N2634" s="9">
        <v>1.6997E-4</v>
      </c>
      <c r="O2634" s="9">
        <v>1.7834E-4</v>
      </c>
      <c r="P2634" s="9">
        <v>1.6965E-4</v>
      </c>
      <c r="Q2634" s="9">
        <v>1.6158000000000001E-4</v>
      </c>
      <c r="R2634" s="10">
        <v>3.6598248847627174E-5</v>
      </c>
      <c r="S2634" s="10">
        <v>6.1294494136645243E-5</v>
      </c>
      <c r="T2634" s="10">
        <v>7.0707302354152714E-4</v>
      </c>
      <c r="U2634" s="10">
        <v>1.1039000000000001E-4</v>
      </c>
      <c r="V2634" s="25"/>
      <c r="W2634" s="25"/>
      <c r="X2634" s="25"/>
      <c r="Y2634" s="25"/>
      <c r="Z2634" s="25"/>
      <c r="AA2634" s="25"/>
    </row>
    <row r="2635" spans="1:27" x14ac:dyDescent="0.35">
      <c r="A2635" s="5">
        <v>2631</v>
      </c>
      <c r="B2635" s="5">
        <v>110</v>
      </c>
      <c r="C2635" s="5">
        <v>4</v>
      </c>
      <c r="D2635" s="25">
        <v>1.1416E-4</v>
      </c>
      <c r="E2635" s="25">
        <v>1.1783E-4</v>
      </c>
      <c r="F2635" s="25">
        <v>1.0219E-4</v>
      </c>
      <c r="G2635" s="25">
        <v>1.6016000000000001E-4</v>
      </c>
      <c r="H2635" s="25">
        <v>1.9888999999999999E-4</v>
      </c>
      <c r="I2635" s="9">
        <v>1.2447000000000001E-4</v>
      </c>
      <c r="J2635" s="9">
        <v>1.1767E-4</v>
      </c>
      <c r="K2635" s="9">
        <v>4.8749999999999999E-5</v>
      </c>
      <c r="L2635" s="9">
        <v>1.7500999999999999E-4</v>
      </c>
      <c r="M2635" s="9">
        <v>1.6848000000000001E-4</v>
      </c>
      <c r="N2635" s="9">
        <v>1.6975000000000001E-4</v>
      </c>
      <c r="O2635" s="9">
        <v>1.8095000000000001E-4</v>
      </c>
      <c r="P2635" s="9">
        <v>1.6564999999999999E-4</v>
      </c>
      <c r="Q2635" s="9">
        <v>1.5109999999999999E-4</v>
      </c>
      <c r="R2635" s="10">
        <v>4.1684634458279306E-5</v>
      </c>
      <c r="S2635" s="10">
        <v>7.0349891040571988E-5</v>
      </c>
      <c r="T2635" s="10">
        <v>6.0587230089302732E-4</v>
      </c>
      <c r="U2635" s="10">
        <v>1.1039000000000001E-4</v>
      </c>
      <c r="V2635" s="25"/>
      <c r="W2635" s="25"/>
      <c r="X2635" s="25"/>
      <c r="Y2635" s="25"/>
      <c r="Z2635" s="25"/>
      <c r="AA2635" s="25"/>
    </row>
    <row r="2636" spans="1:27" x14ac:dyDescent="0.35">
      <c r="A2636" s="5">
        <v>2632</v>
      </c>
      <c r="B2636" s="5">
        <v>110</v>
      </c>
      <c r="C2636" s="5">
        <v>4</v>
      </c>
      <c r="D2636" s="25">
        <v>1.1415000000000001E-4</v>
      </c>
      <c r="E2636" s="25">
        <v>1.1993999999999999E-4</v>
      </c>
      <c r="F2636" s="25">
        <v>1.0302999999999999E-4</v>
      </c>
      <c r="G2636" s="25">
        <v>1.6574999999999999E-4</v>
      </c>
      <c r="H2636" s="25">
        <v>1.9686000000000001E-4</v>
      </c>
      <c r="I2636" s="9">
        <v>1.2357000000000001E-4</v>
      </c>
      <c r="J2636" s="9">
        <v>1.1735000000000001E-4</v>
      </c>
      <c r="K2636" s="9">
        <v>3.3909999999999999E-5</v>
      </c>
      <c r="L2636" s="9">
        <v>1.7930999999999999E-4</v>
      </c>
      <c r="M2636" s="9">
        <v>1.6734000000000001E-4</v>
      </c>
      <c r="N2636" s="9">
        <v>1.6564999999999999E-4</v>
      </c>
      <c r="O2636" s="9">
        <v>1.9626999999999999E-4</v>
      </c>
      <c r="P2636" s="9">
        <v>1.5237000000000001E-4</v>
      </c>
      <c r="Q2636" s="9">
        <v>1.097E-4</v>
      </c>
      <c r="R2636" s="10">
        <v>5.0404158057326119E-5</v>
      </c>
      <c r="S2636" s="10">
        <v>8.1123047995307207E-5</v>
      </c>
      <c r="T2636" s="10">
        <v>4.7357662112625494E-4</v>
      </c>
      <c r="U2636" s="10">
        <v>1.1039000000000001E-4</v>
      </c>
      <c r="V2636" s="25"/>
      <c r="W2636" s="25"/>
      <c r="X2636" s="25"/>
      <c r="Y2636" s="25"/>
      <c r="Z2636" s="25"/>
      <c r="AA2636" s="25"/>
    </row>
    <row r="2637" spans="1:27" x14ac:dyDescent="0.35">
      <c r="A2637" s="5">
        <v>2633</v>
      </c>
      <c r="B2637" s="5">
        <v>110</v>
      </c>
      <c r="C2637" s="5">
        <v>4</v>
      </c>
      <c r="D2637" s="25">
        <v>1.1416E-4</v>
      </c>
      <c r="E2637" s="25">
        <v>1.1699E-4</v>
      </c>
      <c r="F2637" s="25">
        <v>1.0363E-4</v>
      </c>
      <c r="G2637" s="25">
        <v>1.5886000000000001E-4</v>
      </c>
      <c r="H2637" s="25">
        <v>1.9159E-4</v>
      </c>
      <c r="I2637" s="9">
        <v>1.2386E-4</v>
      </c>
      <c r="J2637" s="9">
        <v>1.1844E-4</v>
      </c>
      <c r="K2637" s="9">
        <v>3.3909999999999999E-5</v>
      </c>
      <c r="L2637" s="9">
        <v>1.9238E-4</v>
      </c>
      <c r="M2637" s="9">
        <v>1.6171999999999999E-4</v>
      </c>
      <c r="N2637" s="9">
        <v>1.5203999999999999E-4</v>
      </c>
      <c r="O2637" s="9">
        <v>2.1376000000000001E-4</v>
      </c>
      <c r="P2637" s="9">
        <v>1.5996000000000001E-4</v>
      </c>
      <c r="Q2637" s="9">
        <v>1.076E-4</v>
      </c>
      <c r="R2637" s="10">
        <v>6.0881544024196821E-5</v>
      </c>
      <c r="S2637" s="10">
        <v>9.5771329437216549E-5</v>
      </c>
      <c r="T2637" s="10">
        <v>2.7892134113593521E-4</v>
      </c>
      <c r="U2637" s="10">
        <v>1.1039000000000001E-4</v>
      </c>
      <c r="V2637" s="25"/>
      <c r="W2637" s="25"/>
      <c r="X2637" s="25"/>
      <c r="Y2637" s="25"/>
      <c r="Z2637" s="25"/>
      <c r="AA2637" s="25"/>
    </row>
    <row r="2638" spans="1:27" x14ac:dyDescent="0.35">
      <c r="A2638" s="5">
        <v>2634</v>
      </c>
      <c r="B2638" s="5">
        <v>110</v>
      </c>
      <c r="C2638" s="5">
        <v>4</v>
      </c>
      <c r="D2638" s="25">
        <v>1.1415000000000001E-4</v>
      </c>
      <c r="E2638" s="25">
        <v>1.1724E-4</v>
      </c>
      <c r="F2638" s="25">
        <v>1.0401E-4</v>
      </c>
      <c r="G2638" s="25">
        <v>1.6532999999999999E-4</v>
      </c>
      <c r="H2638" s="25">
        <v>1.9165999999999999E-4</v>
      </c>
      <c r="I2638" s="9">
        <v>1.2256999999999999E-4</v>
      </c>
      <c r="J2638" s="9">
        <v>1.1464999999999999E-4</v>
      </c>
      <c r="K2638" s="9">
        <v>6.3590000000000006E-5</v>
      </c>
      <c r="L2638" s="9">
        <v>2.0879000000000001E-4</v>
      </c>
      <c r="M2638" s="9">
        <v>1.5955E-4</v>
      </c>
      <c r="N2638" s="9">
        <v>1.3893E-4</v>
      </c>
      <c r="O2638" s="9">
        <v>2.0301999999999999E-4</v>
      </c>
      <c r="P2638" s="9">
        <v>1.5934E-4</v>
      </c>
      <c r="Q2638" s="9">
        <v>1.169E-4</v>
      </c>
      <c r="R2638" s="10">
        <v>7.3301404509182967E-5</v>
      </c>
      <c r="S2638" s="10">
        <v>1.095716455041323E-4</v>
      </c>
      <c r="T2638" s="10">
        <v>9.1163796517281352E-5</v>
      </c>
      <c r="U2638" s="10">
        <v>1.1039000000000001E-4</v>
      </c>
      <c r="V2638" s="25"/>
      <c r="W2638" s="25"/>
      <c r="X2638" s="25"/>
      <c r="Y2638" s="25"/>
      <c r="Z2638" s="25"/>
      <c r="AA2638" s="25"/>
    </row>
    <row r="2639" spans="1:27" x14ac:dyDescent="0.35">
      <c r="A2639" s="5">
        <v>2635</v>
      </c>
      <c r="B2639" s="5">
        <v>110</v>
      </c>
      <c r="C2639" s="5">
        <v>4</v>
      </c>
      <c r="D2639" s="25">
        <v>1.1416E-4</v>
      </c>
      <c r="E2639" s="25">
        <v>1.155E-4</v>
      </c>
      <c r="F2639" s="25">
        <v>1.013E-4</v>
      </c>
      <c r="G2639" s="25">
        <v>1.1332000000000001E-4</v>
      </c>
      <c r="H2639" s="25">
        <v>1.2842999999999999E-4</v>
      </c>
      <c r="I2639" s="9">
        <v>1.1841999999999999E-4</v>
      </c>
      <c r="J2639" s="9">
        <v>1.1361E-4</v>
      </c>
      <c r="K2639" s="9">
        <v>1.0173E-4</v>
      </c>
      <c r="L2639" s="9">
        <v>2.0384999999999999E-4</v>
      </c>
      <c r="M2639" s="9">
        <v>1.5909E-4</v>
      </c>
      <c r="N2639" s="9">
        <v>1.2975000000000001E-4</v>
      </c>
      <c r="O2639" s="9">
        <v>1.6352000000000001E-4</v>
      </c>
      <c r="P2639" s="9">
        <v>1.3480999999999999E-4</v>
      </c>
      <c r="Q2639" s="9">
        <v>1.07E-4</v>
      </c>
      <c r="R2639" s="10">
        <v>9.8427097840260143E-5</v>
      </c>
      <c r="S2639" s="10">
        <v>1.2345907778174022E-4</v>
      </c>
      <c r="T2639" s="10">
        <v>6.3717088119570306E-6</v>
      </c>
      <c r="U2639" s="10">
        <v>1.1039000000000001E-4</v>
      </c>
      <c r="V2639" s="25"/>
      <c r="W2639" s="25"/>
      <c r="X2639" s="25"/>
      <c r="Y2639" s="25"/>
      <c r="Z2639" s="25"/>
      <c r="AA2639" s="25"/>
    </row>
    <row r="2640" spans="1:27" x14ac:dyDescent="0.35">
      <c r="A2640" s="5">
        <v>2636</v>
      </c>
      <c r="B2640" s="5">
        <v>110</v>
      </c>
      <c r="C2640" s="5">
        <v>4</v>
      </c>
      <c r="D2640" s="25">
        <v>1.1415000000000001E-4</v>
      </c>
      <c r="E2640" s="25">
        <v>1.1367E-4</v>
      </c>
      <c r="F2640" s="25">
        <v>1.0254E-4</v>
      </c>
      <c r="G2640" s="25">
        <v>1.055E-4</v>
      </c>
      <c r="H2640" s="25">
        <v>1.3243E-4</v>
      </c>
      <c r="I2640" s="9">
        <v>1.1623E-4</v>
      </c>
      <c r="J2640" s="9">
        <v>1.1279E-4</v>
      </c>
      <c r="K2640" s="9">
        <v>1.314E-4</v>
      </c>
      <c r="L2640" s="9">
        <v>1.7260999999999999E-4</v>
      </c>
      <c r="M2640" s="9">
        <v>1.5035999999999999E-4</v>
      </c>
      <c r="N2640" s="9">
        <v>1.2066999999999999E-4</v>
      </c>
      <c r="O2640" s="9">
        <v>1.2865000000000001E-4</v>
      </c>
      <c r="P2640" s="9">
        <v>1.1509E-4</v>
      </c>
      <c r="Q2640" s="9">
        <v>1.0208999999999999E-4</v>
      </c>
      <c r="R2640" s="10">
        <v>1.4047178585569937E-4</v>
      </c>
      <c r="S2640" s="10">
        <v>1.3381113491289253E-4</v>
      </c>
      <c r="T2640" s="10">
        <v>0</v>
      </c>
      <c r="U2640" s="10">
        <v>1.1039000000000001E-4</v>
      </c>
      <c r="V2640" s="25"/>
      <c r="W2640" s="25"/>
      <c r="X2640" s="25"/>
      <c r="Y2640" s="25"/>
      <c r="Z2640" s="25"/>
      <c r="AA2640" s="25"/>
    </row>
    <row r="2641" spans="1:27" x14ac:dyDescent="0.35">
      <c r="A2641" s="5">
        <v>2637</v>
      </c>
      <c r="B2641" s="5">
        <v>110</v>
      </c>
      <c r="C2641" s="5">
        <v>4</v>
      </c>
      <c r="D2641" s="25">
        <v>1.1416E-4</v>
      </c>
      <c r="E2641" s="25">
        <v>1.0931E-4</v>
      </c>
      <c r="F2641" s="25">
        <v>1.2059E-4</v>
      </c>
      <c r="G2641" s="25">
        <v>6.2089999999999997E-5</v>
      </c>
      <c r="H2641" s="25">
        <v>7.4859999999999998E-5</v>
      </c>
      <c r="I2641" s="9">
        <v>1.186E-4</v>
      </c>
      <c r="J2641" s="9">
        <v>1.153E-4</v>
      </c>
      <c r="K2641" s="9">
        <v>1.5259E-4</v>
      </c>
      <c r="L2641" s="9">
        <v>1.393E-4</v>
      </c>
      <c r="M2641" s="9">
        <v>1.3522E-4</v>
      </c>
      <c r="N2641" s="9">
        <v>1.1311000000000001E-4</v>
      </c>
      <c r="O2641" s="9">
        <v>8.4770000000000003E-5</v>
      </c>
      <c r="P2641" s="9">
        <v>8.6570000000000006E-5</v>
      </c>
      <c r="Q2641" s="9">
        <v>8.8579999999999996E-5</v>
      </c>
      <c r="R2641" s="10">
        <v>1.7785528488827325E-4</v>
      </c>
      <c r="S2641" s="10">
        <v>1.3537574346628341E-4</v>
      </c>
      <c r="T2641" s="10">
        <v>0</v>
      </c>
      <c r="U2641" s="10">
        <v>1.1039000000000001E-4</v>
      </c>
      <c r="V2641" s="25"/>
      <c r="W2641" s="25"/>
      <c r="X2641" s="25"/>
      <c r="Y2641" s="25"/>
      <c r="Z2641" s="25"/>
      <c r="AA2641" s="25"/>
    </row>
    <row r="2642" spans="1:27" x14ac:dyDescent="0.35">
      <c r="A2642" s="5">
        <v>2638</v>
      </c>
      <c r="B2642" s="5">
        <v>110</v>
      </c>
      <c r="C2642" s="5">
        <v>4</v>
      </c>
      <c r="D2642" s="25">
        <v>1.1415000000000001E-4</v>
      </c>
      <c r="E2642" s="25">
        <v>1.1663E-4</v>
      </c>
      <c r="F2642" s="25">
        <v>1.1484000000000001E-4</v>
      </c>
      <c r="G2642" s="25">
        <v>6.2780000000000005E-5</v>
      </c>
      <c r="H2642" s="25">
        <v>6.7899999999999997E-5</v>
      </c>
      <c r="I2642" s="9">
        <v>1.1849999999999999E-4</v>
      </c>
      <c r="J2642" s="9">
        <v>1.0797E-4</v>
      </c>
      <c r="K2642" s="9">
        <v>1.8013999999999999E-4</v>
      </c>
      <c r="L2642" s="9">
        <v>9.7659999999999997E-5</v>
      </c>
      <c r="M2642" s="9">
        <v>1.1383E-4</v>
      </c>
      <c r="N2642" s="9">
        <v>1.0560000000000001E-4</v>
      </c>
      <c r="O2642" s="9">
        <v>8.7509999999999994E-5</v>
      </c>
      <c r="P2642" s="9">
        <v>8.7919999999999998E-5</v>
      </c>
      <c r="Q2642" s="9">
        <v>8.8570000000000001E-5</v>
      </c>
      <c r="R2642" s="10">
        <v>1.8679065185405686E-4</v>
      </c>
      <c r="S2642" s="10">
        <v>1.2759048232405506E-4</v>
      </c>
      <c r="T2642" s="10">
        <v>0</v>
      </c>
      <c r="U2642" s="10">
        <v>1.1039000000000001E-4</v>
      </c>
      <c r="V2642" s="25"/>
      <c r="W2642" s="25"/>
      <c r="X2642" s="25"/>
      <c r="Y2642" s="25"/>
      <c r="Z2642" s="25"/>
      <c r="AA2642" s="25"/>
    </row>
    <row r="2643" spans="1:27" x14ac:dyDescent="0.35">
      <c r="A2643" s="5">
        <v>2639</v>
      </c>
      <c r="B2643" s="5">
        <v>110</v>
      </c>
      <c r="C2643" s="5">
        <v>4</v>
      </c>
      <c r="D2643" s="25">
        <v>1.1416E-4</v>
      </c>
      <c r="E2643" s="25">
        <v>1.1794E-4</v>
      </c>
      <c r="F2643" s="25">
        <v>1.0357E-4</v>
      </c>
      <c r="G2643" s="25">
        <v>5.4389999999999999E-5</v>
      </c>
      <c r="H2643" s="25">
        <v>7.3180000000000001E-5</v>
      </c>
      <c r="I2643" s="9">
        <v>1.1503E-4</v>
      </c>
      <c r="J2643" s="9">
        <v>9.9970000000000007E-5</v>
      </c>
      <c r="K2643" s="9">
        <v>1.9074000000000001E-4</v>
      </c>
      <c r="L2643" s="9">
        <v>9.0669999999999998E-5</v>
      </c>
      <c r="M2643" s="9">
        <v>9.925E-5</v>
      </c>
      <c r="N2643" s="9">
        <v>9.9889999999999994E-5</v>
      </c>
      <c r="O2643" s="9">
        <v>7.7319999999999998E-5</v>
      </c>
      <c r="P2643" s="9">
        <v>7.1799999999999997E-5</v>
      </c>
      <c r="Q2643" s="9">
        <v>6.6569999999999995E-5</v>
      </c>
      <c r="R2643" s="10">
        <v>1.7824443808121387E-4</v>
      </c>
      <c r="S2643" s="10">
        <v>1.1308067276040698E-4</v>
      </c>
      <c r="T2643" s="10">
        <v>0</v>
      </c>
      <c r="U2643" s="10">
        <v>1.1039000000000001E-4</v>
      </c>
      <c r="V2643" s="25"/>
      <c r="W2643" s="25"/>
      <c r="X2643" s="25"/>
      <c r="Y2643" s="25"/>
      <c r="Z2643" s="25"/>
      <c r="AA2643" s="25"/>
    </row>
    <row r="2644" spans="1:27" x14ac:dyDescent="0.35">
      <c r="A2644" s="5">
        <v>2640</v>
      </c>
      <c r="B2644" s="5">
        <v>110</v>
      </c>
      <c r="C2644" s="5">
        <v>4</v>
      </c>
      <c r="D2644" s="25">
        <v>1.1415000000000001E-4</v>
      </c>
      <c r="E2644" s="25">
        <v>1.1938E-4</v>
      </c>
      <c r="F2644" s="25">
        <v>1.1521E-4</v>
      </c>
      <c r="G2644" s="25">
        <v>5.4339999999999998E-5</v>
      </c>
      <c r="H2644" s="25">
        <v>6.7490000000000006E-5</v>
      </c>
      <c r="I2644" s="9">
        <v>1.0609E-4</v>
      </c>
      <c r="J2644" s="9">
        <v>9.1780000000000006E-5</v>
      </c>
      <c r="K2644" s="9">
        <v>2.0981E-4</v>
      </c>
      <c r="L2644" s="9">
        <v>8.0249999999999999E-5</v>
      </c>
      <c r="M2644" s="9">
        <v>8.6149999999999993E-5</v>
      </c>
      <c r="N2644" s="9">
        <v>9.0589999999999998E-5</v>
      </c>
      <c r="O2644" s="9">
        <v>6.3120000000000006E-5</v>
      </c>
      <c r="P2644" s="9">
        <v>6.109E-5</v>
      </c>
      <c r="Q2644" s="9">
        <v>5.9259999999999998E-5</v>
      </c>
      <c r="R2644" s="10">
        <v>1.5700652075993998E-4</v>
      </c>
      <c r="S2644" s="10">
        <v>1.0380335851199064E-4</v>
      </c>
      <c r="T2644" s="10">
        <v>0</v>
      </c>
      <c r="U2644" s="10">
        <v>1.1039000000000001E-4</v>
      </c>
      <c r="V2644" s="25"/>
      <c r="W2644" s="25"/>
      <c r="X2644" s="25"/>
      <c r="Y2644" s="25"/>
      <c r="Z2644" s="25"/>
      <c r="AA2644" s="25"/>
    </row>
    <row r="2645" spans="1:27" x14ac:dyDescent="0.35">
      <c r="A2645" s="5">
        <v>2641</v>
      </c>
      <c r="B2645" s="5">
        <v>111</v>
      </c>
      <c r="C2645" s="5">
        <v>4</v>
      </c>
      <c r="D2645" s="25">
        <v>1.1416E-4</v>
      </c>
      <c r="E2645" s="25">
        <v>1.077E-4</v>
      </c>
      <c r="F2645" s="25">
        <v>1.1879000000000001E-4</v>
      </c>
      <c r="G2645" s="25">
        <v>5.821E-5</v>
      </c>
      <c r="H2645" s="25">
        <v>4.1010000000000002E-5</v>
      </c>
      <c r="I2645" s="9">
        <v>1.0033E-4</v>
      </c>
      <c r="J2645" s="9">
        <v>8.6799999999999996E-5</v>
      </c>
      <c r="K2645" s="9">
        <v>2.0770000000000001E-4</v>
      </c>
      <c r="L2645" s="9">
        <v>6.6909999999999995E-5</v>
      </c>
      <c r="M2645" s="9">
        <v>7.4120000000000002E-5</v>
      </c>
      <c r="N2645" s="9">
        <v>8.1269999999999999E-5</v>
      </c>
      <c r="O2645" s="9">
        <v>6.8769999999999994E-5</v>
      </c>
      <c r="P2645" s="9">
        <v>6.1229999999999995E-5</v>
      </c>
      <c r="Q2645" s="9">
        <v>5.3999999999999998E-5</v>
      </c>
      <c r="R2645" s="10">
        <v>1.3701886532667515E-4</v>
      </c>
      <c r="S2645" s="10">
        <v>1.1486269684395104E-4</v>
      </c>
      <c r="T2645" s="10">
        <v>0</v>
      </c>
      <c r="U2645" s="10">
        <v>1.0874000000000001E-4</v>
      </c>
      <c r="V2645" s="25"/>
      <c r="W2645" s="25"/>
      <c r="X2645" s="25"/>
      <c r="Y2645" s="25"/>
      <c r="Z2645" s="25"/>
      <c r="AA2645" s="25"/>
    </row>
    <row r="2646" spans="1:27" x14ac:dyDescent="0.35">
      <c r="A2646" s="5">
        <v>2642</v>
      </c>
      <c r="B2646" s="5">
        <v>111</v>
      </c>
      <c r="C2646" s="5">
        <v>4</v>
      </c>
      <c r="D2646" s="25">
        <v>1.1415000000000001E-4</v>
      </c>
      <c r="E2646" s="25">
        <v>1.1368E-4</v>
      </c>
      <c r="F2646" s="25">
        <v>1.1835E-4</v>
      </c>
      <c r="G2646" s="25">
        <v>5.2590000000000003E-5</v>
      </c>
      <c r="H2646" s="25">
        <v>4.4490000000000003E-5</v>
      </c>
      <c r="I2646" s="9">
        <v>9.6949999999999998E-5</v>
      </c>
      <c r="J2646" s="9">
        <v>8.6700000000000007E-5</v>
      </c>
      <c r="K2646" s="9">
        <v>2.2041000000000001E-4</v>
      </c>
      <c r="L2646" s="9">
        <v>6.8730000000000001E-5</v>
      </c>
      <c r="M2646" s="9">
        <v>6.6630000000000004E-5</v>
      </c>
      <c r="N2646" s="9">
        <v>7.2280000000000006E-5</v>
      </c>
      <c r="O2646" s="9">
        <v>3.5110000000000001E-5</v>
      </c>
      <c r="P2646" s="9">
        <v>4.5420000000000002E-5</v>
      </c>
      <c r="Q2646" s="9">
        <v>5.5670000000000001E-5</v>
      </c>
      <c r="R2646" s="10">
        <v>1.2281492954331928E-4</v>
      </c>
      <c r="S2646" s="10">
        <v>1.3188421586722064E-4</v>
      </c>
      <c r="T2646" s="10">
        <v>0</v>
      </c>
      <c r="U2646" s="10">
        <v>1.0874000000000001E-4</v>
      </c>
      <c r="V2646" s="25"/>
      <c r="W2646" s="25"/>
      <c r="X2646" s="25"/>
      <c r="Y2646" s="25"/>
      <c r="Z2646" s="25"/>
      <c r="AA2646" s="25"/>
    </row>
    <row r="2647" spans="1:27" x14ac:dyDescent="0.35">
      <c r="A2647" s="5">
        <v>2643</v>
      </c>
      <c r="B2647" s="5">
        <v>111</v>
      </c>
      <c r="C2647" s="5">
        <v>4</v>
      </c>
      <c r="D2647" s="25">
        <v>1.1416E-4</v>
      </c>
      <c r="E2647" s="25">
        <v>1.0836999999999999E-4</v>
      </c>
      <c r="F2647" s="25">
        <v>1.0409E-4</v>
      </c>
      <c r="G2647" s="25">
        <v>5.427E-5</v>
      </c>
      <c r="H2647" s="25">
        <v>4.2410000000000002E-5</v>
      </c>
      <c r="I2647" s="9">
        <v>9.5799999999999998E-5</v>
      </c>
      <c r="J2647" s="9">
        <v>8.9950000000000004E-5</v>
      </c>
      <c r="K2647" s="9">
        <v>2.4795999999999998E-4</v>
      </c>
      <c r="L2647" s="9">
        <v>4.2400000000000001E-5</v>
      </c>
      <c r="M2647" s="9">
        <v>5.7410000000000001E-5</v>
      </c>
      <c r="N2647" s="9">
        <v>6.5569999999999997E-5</v>
      </c>
      <c r="O2647" s="9">
        <v>2.215E-5</v>
      </c>
      <c r="P2647" s="9">
        <v>4.1680000000000001E-5</v>
      </c>
      <c r="Q2647" s="9">
        <v>6.0970000000000001E-5</v>
      </c>
      <c r="R2647" s="10">
        <v>1.1039715900064928E-4</v>
      </c>
      <c r="S2647" s="10">
        <v>1.3719820564704456E-4</v>
      </c>
      <c r="T2647" s="10">
        <v>0</v>
      </c>
      <c r="U2647" s="10">
        <v>1.0874000000000001E-4</v>
      </c>
      <c r="V2647" s="25"/>
      <c r="W2647" s="25"/>
      <c r="X2647" s="25"/>
      <c r="Y2647" s="25"/>
      <c r="Z2647" s="25"/>
      <c r="AA2647" s="25"/>
    </row>
    <row r="2648" spans="1:27" x14ac:dyDescent="0.35">
      <c r="A2648" s="5">
        <v>2644</v>
      </c>
      <c r="B2648" s="5">
        <v>111</v>
      </c>
      <c r="C2648" s="5">
        <v>4</v>
      </c>
      <c r="D2648" s="25">
        <v>1.1415000000000001E-4</v>
      </c>
      <c r="E2648" s="25">
        <v>1.0857999999999999E-4</v>
      </c>
      <c r="F2648" s="25">
        <v>1.1102E-4</v>
      </c>
      <c r="G2648" s="25">
        <v>5.4280000000000002E-5</v>
      </c>
      <c r="H2648" s="25">
        <v>4.5710000000000001E-5</v>
      </c>
      <c r="I2648" s="9">
        <v>9.8090000000000004E-5</v>
      </c>
      <c r="J2648" s="9">
        <v>9.0749999999999997E-5</v>
      </c>
      <c r="K2648" s="9">
        <v>2.6704000000000002E-4</v>
      </c>
      <c r="L2648" s="9">
        <v>2.724E-5</v>
      </c>
      <c r="M2648" s="9">
        <v>4.9549999999999998E-5</v>
      </c>
      <c r="N2648" s="9">
        <v>6.1829999999999996E-5</v>
      </c>
      <c r="O2648" s="9">
        <v>2.1929999999999998E-5</v>
      </c>
      <c r="P2648" s="9">
        <v>5.1539999999999998E-5</v>
      </c>
      <c r="Q2648" s="9">
        <v>8.0729999999999994E-5</v>
      </c>
      <c r="R2648" s="10">
        <v>1.0330179093583529E-4</v>
      </c>
      <c r="S2648" s="10">
        <v>1.4071503012366362E-4</v>
      </c>
      <c r="T2648" s="10">
        <v>0</v>
      </c>
      <c r="U2648" s="10">
        <v>1.0874000000000001E-4</v>
      </c>
      <c r="V2648" s="25"/>
      <c r="W2648" s="25"/>
      <c r="X2648" s="25"/>
      <c r="Y2648" s="25"/>
      <c r="Z2648" s="25"/>
      <c r="AA2648" s="25"/>
    </row>
    <row r="2649" spans="1:27" x14ac:dyDescent="0.35">
      <c r="A2649" s="5">
        <v>2645</v>
      </c>
      <c r="B2649" s="5">
        <v>111</v>
      </c>
      <c r="C2649" s="5">
        <v>4</v>
      </c>
      <c r="D2649" s="25">
        <v>1.1416E-4</v>
      </c>
      <c r="E2649" s="25">
        <v>1.1472E-4</v>
      </c>
      <c r="F2649" s="25">
        <v>1.0980999999999999E-4</v>
      </c>
      <c r="G2649" s="25">
        <v>5.9790000000000002E-5</v>
      </c>
      <c r="H2649" s="25">
        <v>4.1119999999999999E-5</v>
      </c>
      <c r="I2649" s="9">
        <v>1.0412999999999999E-4</v>
      </c>
      <c r="J2649" s="9">
        <v>9.2579999999999998E-5</v>
      </c>
      <c r="K2649" s="9">
        <v>2.7338999999999998E-4</v>
      </c>
      <c r="L2649" s="9">
        <v>2.3560000000000001E-5</v>
      </c>
      <c r="M2649" s="9">
        <v>4.8390000000000003E-5</v>
      </c>
      <c r="N2649" s="9">
        <v>6.4430000000000005E-5</v>
      </c>
      <c r="O2649" s="9">
        <v>2.3580000000000001E-5</v>
      </c>
      <c r="P2649" s="9">
        <v>5.8579999999999998E-5</v>
      </c>
      <c r="Q2649" s="9">
        <v>9.3090000000000005E-5</v>
      </c>
      <c r="R2649" s="10">
        <v>9.5874568246484912E-5</v>
      </c>
      <c r="S2649" s="10">
        <v>1.3308431291740905E-4</v>
      </c>
      <c r="T2649" s="10">
        <v>0</v>
      </c>
      <c r="U2649" s="10">
        <v>1.0874000000000001E-4</v>
      </c>
      <c r="V2649" s="25"/>
      <c r="W2649" s="25"/>
      <c r="X2649" s="25"/>
      <c r="Y2649" s="25"/>
      <c r="Z2649" s="25"/>
      <c r="AA2649" s="25"/>
    </row>
    <row r="2650" spans="1:27" x14ac:dyDescent="0.35">
      <c r="A2650" s="5">
        <v>2646</v>
      </c>
      <c r="B2650" s="5">
        <v>111</v>
      </c>
      <c r="C2650" s="5">
        <v>4</v>
      </c>
      <c r="D2650" s="25">
        <v>1.1415000000000001E-4</v>
      </c>
      <c r="E2650" s="25">
        <v>1.0822E-4</v>
      </c>
      <c r="F2650" s="25">
        <v>1.0718E-4</v>
      </c>
      <c r="G2650" s="25">
        <v>1.1187E-4</v>
      </c>
      <c r="H2650" s="25">
        <v>7.4909999999999999E-5</v>
      </c>
      <c r="I2650" s="9">
        <v>1.1579E-4</v>
      </c>
      <c r="J2650" s="9">
        <v>9.6990000000000005E-5</v>
      </c>
      <c r="K2650" s="9">
        <v>2.2253E-4</v>
      </c>
      <c r="L2650" s="9">
        <v>2.349E-5</v>
      </c>
      <c r="M2650" s="9">
        <v>5.2099999999999999E-5</v>
      </c>
      <c r="N2650" s="9">
        <v>7.0840000000000006E-5</v>
      </c>
      <c r="O2650" s="9">
        <v>2.9850000000000001E-5</v>
      </c>
      <c r="P2650" s="9">
        <v>6.8460000000000005E-5</v>
      </c>
      <c r="Q2650" s="9">
        <v>1.0654000000000001E-4</v>
      </c>
      <c r="R2650" s="10">
        <v>9.8029014017617788E-5</v>
      </c>
      <c r="S2650" s="10">
        <v>1.2243632952685905E-4</v>
      </c>
      <c r="T2650" s="10">
        <v>1.2938556508967337E-5</v>
      </c>
      <c r="U2650" s="10">
        <v>1.0874000000000001E-4</v>
      </c>
      <c r="V2650" s="25"/>
      <c r="W2650" s="25"/>
      <c r="X2650" s="25"/>
      <c r="Y2650" s="25"/>
      <c r="Z2650" s="25"/>
      <c r="AA2650" s="25"/>
    </row>
    <row r="2651" spans="1:27" x14ac:dyDescent="0.35">
      <c r="A2651" s="5">
        <v>2647</v>
      </c>
      <c r="B2651" s="5">
        <v>111</v>
      </c>
      <c r="C2651" s="5">
        <v>4</v>
      </c>
      <c r="D2651" s="25">
        <v>1.1416E-4</v>
      </c>
      <c r="E2651" s="25">
        <v>1.0933E-4</v>
      </c>
      <c r="F2651" s="25">
        <v>9.8529999999999993E-5</v>
      </c>
      <c r="G2651" s="25">
        <v>1.0928E-4</v>
      </c>
      <c r="H2651" s="25">
        <v>7.5439999999999996E-5</v>
      </c>
      <c r="I2651" s="9">
        <v>1.2368000000000001E-4</v>
      </c>
      <c r="J2651" s="9">
        <v>1.1129E-4</v>
      </c>
      <c r="K2651" s="9">
        <v>1.526E-4</v>
      </c>
      <c r="L2651" s="9">
        <v>2.836E-5</v>
      </c>
      <c r="M2651" s="9">
        <v>5.9079999999999997E-5</v>
      </c>
      <c r="N2651" s="9">
        <v>8.0450000000000004E-5</v>
      </c>
      <c r="O2651" s="9">
        <v>4.6319999999999997E-5</v>
      </c>
      <c r="P2651" s="9">
        <v>7.9510000000000003E-5</v>
      </c>
      <c r="Q2651" s="9">
        <v>1.1231E-4</v>
      </c>
      <c r="R2651" s="10">
        <v>1.0589982264535876E-4</v>
      </c>
      <c r="S2651" s="10">
        <v>1.1115793402515342E-4</v>
      </c>
      <c r="T2651" s="10">
        <v>1.1331630212050347E-4</v>
      </c>
      <c r="U2651" s="10">
        <v>1.0874000000000001E-4</v>
      </c>
      <c r="V2651" s="25"/>
      <c r="W2651" s="25"/>
      <c r="X2651" s="25"/>
      <c r="Y2651" s="25"/>
      <c r="Z2651" s="25"/>
      <c r="AA2651" s="25"/>
    </row>
    <row r="2652" spans="1:27" x14ac:dyDescent="0.35">
      <c r="A2652" s="5">
        <v>2648</v>
      </c>
      <c r="B2652" s="5">
        <v>111</v>
      </c>
      <c r="C2652" s="5">
        <v>4</v>
      </c>
      <c r="D2652" s="25">
        <v>1.1415000000000001E-4</v>
      </c>
      <c r="E2652" s="25">
        <v>1.1224E-4</v>
      </c>
      <c r="F2652" s="25">
        <v>1.1631E-4</v>
      </c>
      <c r="G2652" s="25">
        <v>1.6623000000000001E-4</v>
      </c>
      <c r="H2652" s="25">
        <v>1.2002000000000001E-4</v>
      </c>
      <c r="I2652" s="9">
        <v>1.2682000000000001E-4</v>
      </c>
      <c r="J2652" s="9">
        <v>1.1951999999999999E-4</v>
      </c>
      <c r="K2652" s="9">
        <v>1.0173E-4</v>
      </c>
      <c r="L2652" s="9">
        <v>4.2219999999999999E-5</v>
      </c>
      <c r="M2652" s="9">
        <v>6.8170000000000006E-5</v>
      </c>
      <c r="N2652" s="9">
        <v>9.056E-5</v>
      </c>
      <c r="O2652" s="9">
        <v>6.8650000000000002E-5</v>
      </c>
      <c r="P2652" s="9">
        <v>1.0323999999999999E-4</v>
      </c>
      <c r="Q2652" s="9">
        <v>1.3747E-4</v>
      </c>
      <c r="R2652" s="10">
        <v>1.095217874103342E-4</v>
      </c>
      <c r="S2652" s="10">
        <v>1.1227326161026729E-4</v>
      </c>
      <c r="T2652" s="10">
        <v>3.1195920280539021E-4</v>
      </c>
      <c r="U2652" s="10">
        <v>1.0874000000000001E-4</v>
      </c>
      <c r="V2652" s="25"/>
      <c r="W2652" s="25"/>
      <c r="X2652" s="25"/>
      <c r="Y2652" s="25"/>
      <c r="Z2652" s="25"/>
      <c r="AA2652" s="25"/>
    </row>
    <row r="2653" spans="1:27" x14ac:dyDescent="0.35">
      <c r="A2653" s="5">
        <v>2649</v>
      </c>
      <c r="B2653" s="5">
        <v>111</v>
      </c>
      <c r="C2653" s="5">
        <v>4</v>
      </c>
      <c r="D2653" s="25">
        <v>1.1416E-4</v>
      </c>
      <c r="E2653" s="25">
        <v>1.0673E-4</v>
      </c>
      <c r="F2653" s="25">
        <v>1.2045E-4</v>
      </c>
      <c r="G2653" s="25">
        <v>1.6663999999999999E-4</v>
      </c>
      <c r="H2653" s="25">
        <v>1.1736E-4</v>
      </c>
      <c r="I2653" s="9">
        <v>1.2844000000000001E-4</v>
      </c>
      <c r="J2653" s="9">
        <v>1.2202E-4</v>
      </c>
      <c r="K2653" s="9">
        <v>8.2659999999999998E-5</v>
      </c>
      <c r="L2653" s="9">
        <v>6.2459999999999995E-5</v>
      </c>
      <c r="M2653" s="9">
        <v>8.3059999999999994E-5</v>
      </c>
      <c r="N2653" s="9">
        <v>1.0452E-4</v>
      </c>
      <c r="O2653" s="9">
        <v>1.0045E-4</v>
      </c>
      <c r="P2653" s="9">
        <v>1.3954000000000001E-4</v>
      </c>
      <c r="Q2653" s="9">
        <v>1.7829E-4</v>
      </c>
      <c r="R2653" s="10">
        <v>9.5452247844491993E-5</v>
      </c>
      <c r="S2653" s="10">
        <v>1.1556756592109891E-4</v>
      </c>
      <c r="T2653" s="10">
        <v>4.938371279743953E-4</v>
      </c>
      <c r="U2653" s="10">
        <v>1.0874000000000001E-4</v>
      </c>
      <c r="V2653" s="25"/>
      <c r="W2653" s="25"/>
      <c r="X2653" s="25"/>
      <c r="Y2653" s="25"/>
      <c r="Z2653" s="25"/>
      <c r="AA2653" s="25"/>
    </row>
    <row r="2654" spans="1:27" x14ac:dyDescent="0.35">
      <c r="A2654" s="5">
        <v>2650</v>
      </c>
      <c r="B2654" s="5">
        <v>111</v>
      </c>
      <c r="C2654" s="5">
        <v>4</v>
      </c>
      <c r="D2654" s="25">
        <v>1.1415000000000001E-4</v>
      </c>
      <c r="E2654" s="25">
        <v>1.0669E-4</v>
      </c>
      <c r="F2654" s="25">
        <v>1.1252999999999999E-4</v>
      </c>
      <c r="G2654" s="25">
        <v>1.6461000000000001E-4</v>
      </c>
      <c r="H2654" s="25">
        <v>1.1602E-4</v>
      </c>
      <c r="I2654" s="9">
        <v>1.2787000000000001E-4</v>
      </c>
      <c r="J2654" s="9">
        <v>1.2146000000000001E-4</v>
      </c>
      <c r="K2654" s="9">
        <v>5.0869999999999999E-5</v>
      </c>
      <c r="L2654" s="9">
        <v>9.1570000000000006E-5</v>
      </c>
      <c r="M2654" s="9">
        <v>1.0716E-4</v>
      </c>
      <c r="N2654" s="9">
        <v>1.2488000000000001E-4</v>
      </c>
      <c r="O2654" s="9">
        <v>1.2752999999999999E-4</v>
      </c>
      <c r="P2654" s="9">
        <v>1.5435000000000001E-4</v>
      </c>
      <c r="Q2654" s="9">
        <v>1.8110000000000001E-4</v>
      </c>
      <c r="R2654" s="10">
        <v>3.9791435609675703E-5</v>
      </c>
      <c r="S2654" s="10">
        <v>1.2253167951586642E-4</v>
      </c>
      <c r="T2654" s="10">
        <v>6.2563223407950913E-4</v>
      </c>
      <c r="U2654" s="10">
        <v>1.0874000000000001E-4</v>
      </c>
      <c r="V2654" s="25"/>
      <c r="W2654" s="25"/>
      <c r="X2654" s="25"/>
      <c r="Y2654" s="25"/>
      <c r="Z2654" s="25"/>
      <c r="AA2654" s="25"/>
    </row>
    <row r="2655" spans="1:27" x14ac:dyDescent="0.35">
      <c r="A2655" s="5">
        <v>2651</v>
      </c>
      <c r="B2655" s="5">
        <v>111</v>
      </c>
      <c r="C2655" s="5">
        <v>4</v>
      </c>
      <c r="D2655" s="25">
        <v>1.1416E-4</v>
      </c>
      <c r="E2655" s="25">
        <v>1.1243000000000001E-4</v>
      </c>
      <c r="F2655" s="25">
        <v>1.1864E-4</v>
      </c>
      <c r="G2655" s="25">
        <v>1.6411999999999999E-4</v>
      </c>
      <c r="H2655" s="25">
        <v>1.1273999999999999E-4</v>
      </c>
      <c r="I2655" s="9">
        <v>1.2857999999999999E-4</v>
      </c>
      <c r="J2655" s="9">
        <v>1.2034E-4</v>
      </c>
      <c r="K2655" s="9">
        <v>6.1470000000000006E-5</v>
      </c>
      <c r="L2655" s="9">
        <v>1.189E-4</v>
      </c>
      <c r="M2655" s="9">
        <v>1.3023000000000001E-4</v>
      </c>
      <c r="N2655" s="9">
        <v>1.4276999999999999E-4</v>
      </c>
      <c r="O2655" s="9">
        <v>1.3563E-4</v>
      </c>
      <c r="P2655" s="9">
        <v>1.5699E-4</v>
      </c>
      <c r="Q2655" s="9">
        <v>1.7838000000000001E-4</v>
      </c>
      <c r="R2655" s="10">
        <v>2.1140290104511219E-5</v>
      </c>
      <c r="S2655" s="10">
        <v>1.2275113840438327E-4</v>
      </c>
      <c r="T2655" s="10">
        <v>7.0921955127711323E-4</v>
      </c>
      <c r="U2655" s="10">
        <v>1.0874000000000001E-4</v>
      </c>
      <c r="V2655" s="25"/>
      <c r="W2655" s="25"/>
      <c r="X2655" s="25"/>
      <c r="Y2655" s="25"/>
      <c r="Z2655" s="25"/>
      <c r="AA2655" s="25"/>
    </row>
    <row r="2656" spans="1:27" x14ac:dyDescent="0.35">
      <c r="A2656" s="5">
        <v>2652</v>
      </c>
      <c r="B2656" s="5">
        <v>111</v>
      </c>
      <c r="C2656" s="5">
        <v>4</v>
      </c>
      <c r="D2656" s="25">
        <v>1.1415000000000001E-4</v>
      </c>
      <c r="E2656" s="25">
        <v>1.1006E-4</v>
      </c>
      <c r="F2656" s="25">
        <v>1.0377E-4</v>
      </c>
      <c r="G2656" s="25">
        <v>1.6168000000000001E-4</v>
      </c>
      <c r="H2656" s="25">
        <v>1.1794999999999999E-4</v>
      </c>
      <c r="I2656" s="9">
        <v>1.2523999999999999E-4</v>
      </c>
      <c r="J2656" s="9">
        <v>1.1967E-4</v>
      </c>
      <c r="K2656" s="9">
        <v>4.2389999999999999E-5</v>
      </c>
      <c r="L2656" s="9">
        <v>1.3130999999999999E-4</v>
      </c>
      <c r="M2656" s="9">
        <v>1.4529000000000001E-4</v>
      </c>
      <c r="N2656" s="9">
        <v>1.5662E-4</v>
      </c>
      <c r="O2656" s="9">
        <v>1.3713000000000001E-4</v>
      </c>
      <c r="P2656" s="9">
        <v>1.5514000000000001E-4</v>
      </c>
      <c r="Q2656" s="9">
        <v>1.7323999999999999E-4</v>
      </c>
      <c r="R2656" s="10">
        <v>2.2344503792099934E-5</v>
      </c>
      <c r="S2656" s="10">
        <v>7.3482112267441761E-5</v>
      </c>
      <c r="T2656" s="10">
        <v>7.4608383195348248E-4</v>
      </c>
      <c r="U2656" s="10">
        <v>1.0874000000000001E-4</v>
      </c>
      <c r="V2656" s="25"/>
      <c r="W2656" s="25"/>
      <c r="X2656" s="25"/>
      <c r="Y2656" s="25"/>
      <c r="Z2656" s="25"/>
      <c r="AA2656" s="25"/>
    </row>
    <row r="2657" spans="1:27" x14ac:dyDescent="0.35">
      <c r="A2657" s="5">
        <v>2653</v>
      </c>
      <c r="B2657" s="5">
        <v>111</v>
      </c>
      <c r="C2657" s="5">
        <v>4</v>
      </c>
      <c r="D2657" s="25">
        <v>1.1416E-4</v>
      </c>
      <c r="E2657" s="25">
        <v>1.1327E-4</v>
      </c>
      <c r="F2657" s="25">
        <v>1.1979E-4</v>
      </c>
      <c r="G2657" s="25">
        <v>1.64E-4</v>
      </c>
      <c r="H2657" s="25">
        <v>1.1231E-4</v>
      </c>
      <c r="I2657" s="9">
        <v>1.2421000000000001E-4</v>
      </c>
      <c r="J2657" s="9">
        <v>1.2191E-4</v>
      </c>
      <c r="K2657" s="9">
        <v>4.0269999999999999E-5</v>
      </c>
      <c r="L2657" s="9">
        <v>1.3569E-4</v>
      </c>
      <c r="M2657" s="9">
        <v>1.5203999999999999E-4</v>
      </c>
      <c r="N2657" s="9">
        <v>1.6587000000000001E-4</v>
      </c>
      <c r="O2657" s="9">
        <v>1.2857999999999999E-4</v>
      </c>
      <c r="P2657" s="9">
        <v>1.4728000000000001E-4</v>
      </c>
      <c r="Q2657" s="9">
        <v>1.6605E-4</v>
      </c>
      <c r="R2657" s="10">
        <v>3.3360683148304892E-5</v>
      </c>
      <c r="S2657" s="10">
        <v>5.6930161242330149E-5</v>
      </c>
      <c r="T2657" s="10">
        <v>7.4706801067809896E-4</v>
      </c>
      <c r="U2657" s="10">
        <v>1.0874000000000001E-4</v>
      </c>
      <c r="V2657" s="25"/>
      <c r="W2657" s="25"/>
      <c r="X2657" s="25"/>
      <c r="Y2657" s="25"/>
      <c r="Z2657" s="25"/>
      <c r="AA2657" s="25"/>
    </row>
    <row r="2658" spans="1:27" x14ac:dyDescent="0.35">
      <c r="A2658" s="5">
        <v>2654</v>
      </c>
      <c r="B2658" s="5">
        <v>111</v>
      </c>
      <c r="C2658" s="5">
        <v>4</v>
      </c>
      <c r="D2658" s="25">
        <v>1.1415000000000001E-4</v>
      </c>
      <c r="E2658" s="25">
        <v>1.1351E-4</v>
      </c>
      <c r="F2658" s="25">
        <v>1.1381E-4</v>
      </c>
      <c r="G2658" s="25">
        <v>1.6684999999999999E-4</v>
      </c>
      <c r="H2658" s="25">
        <v>1.1993999999999999E-4</v>
      </c>
      <c r="I2658" s="9">
        <v>1.2305000000000001E-4</v>
      </c>
      <c r="J2658" s="9">
        <v>1.2038E-4</v>
      </c>
      <c r="K2658" s="9">
        <v>3.8160000000000001E-5</v>
      </c>
      <c r="L2658" s="9">
        <v>1.3019E-4</v>
      </c>
      <c r="M2658" s="9">
        <v>1.5160999999999999E-4</v>
      </c>
      <c r="N2658" s="9">
        <v>1.6986E-4</v>
      </c>
      <c r="O2658" s="9">
        <v>1.1301E-4</v>
      </c>
      <c r="P2658" s="9">
        <v>1.3751E-4</v>
      </c>
      <c r="Q2658" s="9">
        <v>1.6194000000000001E-4</v>
      </c>
      <c r="R2658" s="10">
        <v>4.260376301778246E-5</v>
      </c>
      <c r="S2658" s="10">
        <v>5.1766879887235004E-5</v>
      </c>
      <c r="T2658" s="10">
        <v>7.2153026963416998E-4</v>
      </c>
      <c r="U2658" s="10">
        <v>1.0874000000000001E-4</v>
      </c>
      <c r="V2658" s="25"/>
      <c r="W2658" s="25"/>
      <c r="X2658" s="25"/>
      <c r="Y2658" s="25"/>
      <c r="Z2658" s="25"/>
      <c r="AA2658" s="25"/>
    </row>
    <row r="2659" spans="1:27" x14ac:dyDescent="0.35">
      <c r="A2659" s="5">
        <v>2655</v>
      </c>
      <c r="B2659" s="5">
        <v>111</v>
      </c>
      <c r="C2659" s="5">
        <v>4</v>
      </c>
      <c r="D2659" s="25">
        <v>1.1416E-4</v>
      </c>
      <c r="E2659" s="25">
        <v>1.1359E-4</v>
      </c>
      <c r="F2659" s="25">
        <v>1.0485E-4</v>
      </c>
      <c r="G2659" s="25">
        <v>1.5890000000000001E-4</v>
      </c>
      <c r="H2659" s="25">
        <v>1.1312E-4</v>
      </c>
      <c r="I2659" s="9">
        <v>1.225E-4</v>
      </c>
      <c r="J2659" s="9">
        <v>1.1767E-4</v>
      </c>
      <c r="K2659" s="9">
        <v>3.1789999999999999E-5</v>
      </c>
      <c r="L2659" s="9">
        <v>1.1701000000000001E-4</v>
      </c>
      <c r="M2659" s="9">
        <v>1.4616999999999999E-4</v>
      </c>
      <c r="N2659" s="9">
        <v>1.6962999999999999E-4</v>
      </c>
      <c r="O2659" s="9">
        <v>1.26E-4</v>
      </c>
      <c r="P2659" s="9">
        <v>1.3872E-4</v>
      </c>
      <c r="Q2659" s="9">
        <v>1.516E-4</v>
      </c>
      <c r="R2659" s="10">
        <v>5.5835789923211487E-5</v>
      </c>
      <c r="S2659" s="10">
        <v>5.110680859583575E-5</v>
      </c>
      <c r="T2659" s="10">
        <v>6.1877692020459408E-4</v>
      </c>
      <c r="U2659" s="10">
        <v>1.0874000000000001E-4</v>
      </c>
      <c r="V2659" s="25"/>
      <c r="W2659" s="25"/>
      <c r="X2659" s="25"/>
      <c r="Y2659" s="25"/>
      <c r="Z2659" s="25"/>
      <c r="AA2659" s="25"/>
    </row>
    <row r="2660" spans="1:27" x14ac:dyDescent="0.35">
      <c r="A2660" s="5">
        <v>2656</v>
      </c>
      <c r="B2660" s="5">
        <v>111</v>
      </c>
      <c r="C2660" s="5">
        <v>4</v>
      </c>
      <c r="D2660" s="25">
        <v>1.1415000000000001E-4</v>
      </c>
      <c r="E2660" s="25">
        <v>1.0971E-4</v>
      </c>
      <c r="F2660" s="25">
        <v>1.1281E-4</v>
      </c>
      <c r="G2660" s="25">
        <v>1.6124999999999999E-4</v>
      </c>
      <c r="H2660" s="25">
        <v>1.1773E-4</v>
      </c>
      <c r="I2660" s="9">
        <v>1.2213999999999999E-4</v>
      </c>
      <c r="J2660" s="9">
        <v>1.1914E-4</v>
      </c>
      <c r="K2660" s="9">
        <v>4.8749999999999999E-5</v>
      </c>
      <c r="L2660" s="9">
        <v>1.2439999999999999E-4</v>
      </c>
      <c r="M2660" s="9">
        <v>1.4197E-4</v>
      </c>
      <c r="N2660" s="9">
        <v>1.6562E-4</v>
      </c>
      <c r="O2660" s="9">
        <v>1.348E-4</v>
      </c>
      <c r="P2660" s="9">
        <v>1.2247000000000001E-4</v>
      </c>
      <c r="Q2660" s="9">
        <v>1.1071E-4</v>
      </c>
      <c r="R2660" s="10">
        <v>7.213661784907491E-5</v>
      </c>
      <c r="S2660" s="10">
        <v>5.8306200329996441E-5</v>
      </c>
      <c r="T2660" s="10">
        <v>4.85064362446348E-4</v>
      </c>
      <c r="U2660" s="10">
        <v>1.0874000000000001E-4</v>
      </c>
      <c r="V2660" s="25"/>
      <c r="W2660" s="25"/>
      <c r="X2660" s="25"/>
      <c r="Y2660" s="25"/>
      <c r="Z2660" s="25"/>
      <c r="AA2660" s="25"/>
    </row>
    <row r="2661" spans="1:27" x14ac:dyDescent="0.35">
      <c r="A2661" s="5">
        <v>2657</v>
      </c>
      <c r="B2661" s="5">
        <v>111</v>
      </c>
      <c r="C2661" s="5">
        <v>4</v>
      </c>
      <c r="D2661" s="25">
        <v>1.1416E-4</v>
      </c>
      <c r="E2661" s="25">
        <v>1.0828E-4</v>
      </c>
      <c r="F2661" s="25">
        <v>1.0876E-4</v>
      </c>
      <c r="G2661" s="25">
        <v>1.6309000000000001E-4</v>
      </c>
      <c r="H2661" s="25">
        <v>1.1914E-4</v>
      </c>
      <c r="I2661" s="9">
        <v>1.2183E-4</v>
      </c>
      <c r="J2661" s="9">
        <v>1.2089E-4</v>
      </c>
      <c r="K2661" s="9">
        <v>6.3590000000000006E-5</v>
      </c>
      <c r="L2661" s="9">
        <v>1.3226000000000001E-4</v>
      </c>
      <c r="M2661" s="9">
        <v>1.34E-4</v>
      </c>
      <c r="N2661" s="9">
        <v>1.5223999999999999E-4</v>
      </c>
      <c r="O2661" s="9">
        <v>1.4046999999999999E-4</v>
      </c>
      <c r="P2661" s="9">
        <v>1.2376999999999999E-4</v>
      </c>
      <c r="Q2661" s="9">
        <v>1.0771E-4</v>
      </c>
      <c r="R2661" s="10">
        <v>8.6309899903835142E-5</v>
      </c>
      <c r="S2661" s="10">
        <v>7.465231711604782E-5</v>
      </c>
      <c r="T2661" s="10">
        <v>2.8631965016925957E-4</v>
      </c>
      <c r="U2661" s="10">
        <v>1.0874000000000001E-4</v>
      </c>
      <c r="V2661" s="25"/>
      <c r="W2661" s="25"/>
      <c r="X2661" s="25"/>
      <c r="Y2661" s="25"/>
      <c r="Z2661" s="25"/>
      <c r="AA2661" s="25"/>
    </row>
    <row r="2662" spans="1:27" x14ac:dyDescent="0.35">
      <c r="A2662" s="5">
        <v>2658</v>
      </c>
      <c r="B2662" s="5">
        <v>111</v>
      </c>
      <c r="C2662" s="5">
        <v>4</v>
      </c>
      <c r="D2662" s="25">
        <v>1.1415000000000001E-4</v>
      </c>
      <c r="E2662" s="25">
        <v>1.1279E-4</v>
      </c>
      <c r="F2662" s="25">
        <v>1.0441E-4</v>
      </c>
      <c r="G2662" s="25">
        <v>1.651E-4</v>
      </c>
      <c r="H2662" s="25">
        <v>1.1691E-4</v>
      </c>
      <c r="I2662" s="9">
        <v>1.2085E-4</v>
      </c>
      <c r="J2662" s="9">
        <v>1.1341999999999999E-4</v>
      </c>
      <c r="K2662" s="9">
        <v>9.1130000000000003E-5</v>
      </c>
      <c r="L2662" s="9">
        <v>1.3835E-4</v>
      </c>
      <c r="M2662" s="9">
        <v>1.283E-4</v>
      </c>
      <c r="N2662" s="9">
        <v>1.3914E-4</v>
      </c>
      <c r="O2662" s="9">
        <v>1.4018E-4</v>
      </c>
      <c r="P2662" s="9">
        <v>1.2857999999999999E-4</v>
      </c>
      <c r="Q2662" s="9">
        <v>1.1755E-4</v>
      </c>
      <c r="R2662" s="10">
        <v>9.9829686663835082E-5</v>
      </c>
      <c r="S2662" s="10">
        <v>1.0192114622609235E-4</v>
      </c>
      <c r="T2662" s="10">
        <v>9.7510052431187952E-5</v>
      </c>
      <c r="U2662" s="10">
        <v>1.0874000000000001E-4</v>
      </c>
      <c r="V2662" s="25"/>
      <c r="W2662" s="25"/>
      <c r="X2662" s="25"/>
      <c r="Y2662" s="25"/>
      <c r="Z2662" s="25"/>
      <c r="AA2662" s="25"/>
    </row>
    <row r="2663" spans="1:27" x14ac:dyDescent="0.35">
      <c r="A2663" s="5">
        <v>2659</v>
      </c>
      <c r="B2663" s="5">
        <v>111</v>
      </c>
      <c r="C2663" s="5">
        <v>4</v>
      </c>
      <c r="D2663" s="25">
        <v>1.1416E-4</v>
      </c>
      <c r="E2663" s="25">
        <v>1.0495E-4</v>
      </c>
      <c r="F2663" s="25">
        <v>1.1585E-4</v>
      </c>
      <c r="G2663" s="25">
        <v>1.1327E-4</v>
      </c>
      <c r="H2663" s="25">
        <v>7.4850000000000003E-5</v>
      </c>
      <c r="I2663" s="9">
        <v>1.1781E-4</v>
      </c>
      <c r="J2663" s="9">
        <v>1.1171999999999999E-4</v>
      </c>
      <c r="K2663" s="9">
        <v>1.1868E-4</v>
      </c>
      <c r="L2663" s="9">
        <v>1.3967E-4</v>
      </c>
      <c r="M2663" s="9">
        <v>1.271E-4</v>
      </c>
      <c r="N2663" s="9">
        <v>1.3014999999999999E-4</v>
      </c>
      <c r="O2663" s="9">
        <v>1.4226000000000001E-4</v>
      </c>
      <c r="P2663" s="9">
        <v>1.2480999999999999E-4</v>
      </c>
      <c r="Q2663" s="9">
        <v>1.0802999999999999E-4</v>
      </c>
      <c r="R2663" s="10">
        <v>1.2814110587629091E-4</v>
      </c>
      <c r="S2663" s="10">
        <v>1.2792222244348677E-4</v>
      </c>
      <c r="T2663" s="10">
        <v>7.5934479183775526E-6</v>
      </c>
      <c r="U2663" s="10">
        <v>1.0874000000000001E-4</v>
      </c>
      <c r="V2663" s="25"/>
      <c r="W2663" s="25"/>
      <c r="X2663" s="25"/>
      <c r="Y2663" s="25"/>
      <c r="Z2663" s="25"/>
      <c r="AA2663" s="25"/>
    </row>
    <row r="2664" spans="1:27" x14ac:dyDescent="0.35">
      <c r="A2664" s="5">
        <v>2660</v>
      </c>
      <c r="B2664" s="5">
        <v>111</v>
      </c>
      <c r="C2664" s="5">
        <v>4</v>
      </c>
      <c r="D2664" s="25">
        <v>1.1415000000000001E-4</v>
      </c>
      <c r="E2664" s="25">
        <v>1.1424E-4</v>
      </c>
      <c r="F2664" s="25">
        <v>1.1976000000000001E-4</v>
      </c>
      <c r="G2664" s="25">
        <v>1.1407E-4</v>
      </c>
      <c r="H2664" s="25">
        <v>7.9560000000000004E-5</v>
      </c>
      <c r="I2664" s="9">
        <v>1.1637999999999999E-4</v>
      </c>
      <c r="J2664" s="9">
        <v>1.1063E-4</v>
      </c>
      <c r="K2664" s="9">
        <v>1.5046999999999999E-4</v>
      </c>
      <c r="L2664" s="9">
        <v>1.4171E-4</v>
      </c>
      <c r="M2664" s="9">
        <v>1.2621E-4</v>
      </c>
      <c r="N2664" s="9">
        <v>1.2125000000000001E-4</v>
      </c>
      <c r="O2664" s="9">
        <v>1.4438999999999999E-4</v>
      </c>
      <c r="P2664" s="9">
        <v>1.2312E-4</v>
      </c>
      <c r="Q2664" s="9">
        <v>1.0258E-4</v>
      </c>
      <c r="R2664" s="10">
        <v>1.5328008715106812E-4</v>
      </c>
      <c r="S2664" s="10">
        <v>1.4685788348592954E-4</v>
      </c>
      <c r="T2664" s="10">
        <v>0</v>
      </c>
      <c r="U2664" s="10">
        <v>1.0874000000000001E-4</v>
      </c>
      <c r="V2664" s="25"/>
      <c r="W2664" s="25"/>
      <c r="X2664" s="25"/>
      <c r="Y2664" s="25"/>
      <c r="Z2664" s="25"/>
      <c r="AA2664" s="25"/>
    </row>
    <row r="2665" spans="1:27" x14ac:dyDescent="0.35">
      <c r="A2665" s="5">
        <v>2661</v>
      </c>
      <c r="B2665" s="5">
        <v>111</v>
      </c>
      <c r="C2665" s="5">
        <v>4</v>
      </c>
      <c r="D2665" s="25">
        <v>1.1416E-4</v>
      </c>
      <c r="E2665" s="25">
        <v>1.1413000000000001E-4</v>
      </c>
      <c r="F2665" s="25">
        <v>1.2086E-4</v>
      </c>
      <c r="G2665" s="25">
        <v>6.1989999999999994E-5</v>
      </c>
      <c r="H2665" s="25">
        <v>4.049E-5</v>
      </c>
      <c r="I2665" s="9">
        <v>1.1878E-4</v>
      </c>
      <c r="J2665" s="9">
        <v>1.1391999999999999E-4</v>
      </c>
      <c r="K2665" s="9">
        <v>1.7802000000000001E-4</v>
      </c>
      <c r="L2665" s="9">
        <v>1.4378000000000001E-4</v>
      </c>
      <c r="M2665" s="9">
        <v>1.249E-4</v>
      </c>
      <c r="N2665" s="9">
        <v>1.1372E-4</v>
      </c>
      <c r="O2665" s="9">
        <v>8.4770000000000003E-5</v>
      </c>
      <c r="P2665" s="9">
        <v>8.6570000000000006E-5</v>
      </c>
      <c r="Q2665" s="9">
        <v>8.8570000000000001E-5</v>
      </c>
      <c r="R2665" s="10">
        <v>1.7704834175083427E-4</v>
      </c>
      <c r="S2665" s="10">
        <v>1.5723139215794658E-4</v>
      </c>
      <c r="T2665" s="10">
        <v>0</v>
      </c>
      <c r="U2665" s="10">
        <v>1.0874000000000001E-4</v>
      </c>
      <c r="V2665" s="25"/>
      <c r="W2665" s="25"/>
      <c r="X2665" s="25"/>
      <c r="Y2665" s="25"/>
      <c r="Z2665" s="25"/>
      <c r="AA2665" s="25"/>
    </row>
    <row r="2666" spans="1:27" x14ac:dyDescent="0.35">
      <c r="A2666" s="5">
        <v>2662</v>
      </c>
      <c r="B2666" s="5">
        <v>111</v>
      </c>
      <c r="C2666" s="5">
        <v>4</v>
      </c>
      <c r="D2666" s="25">
        <v>1.1415000000000001E-4</v>
      </c>
      <c r="E2666" s="25">
        <v>1.1404999999999999E-4</v>
      </c>
      <c r="F2666" s="25">
        <v>1.0003E-4</v>
      </c>
      <c r="G2666" s="25">
        <v>5.5349999999999997E-5</v>
      </c>
      <c r="H2666" s="25">
        <v>4.0779999999999999E-5</v>
      </c>
      <c r="I2666" s="9">
        <v>1.188E-4</v>
      </c>
      <c r="J2666" s="9">
        <v>1.0695E-4</v>
      </c>
      <c r="K2666" s="9">
        <v>2.1617000000000001E-4</v>
      </c>
      <c r="L2666" s="9">
        <v>9.7689999999999995E-5</v>
      </c>
      <c r="M2666" s="9">
        <v>1.1073000000000001E-4</v>
      </c>
      <c r="N2666" s="9">
        <v>1.061E-4</v>
      </c>
      <c r="O2666" s="9">
        <v>8.6829999999999994E-5</v>
      </c>
      <c r="P2666" s="9">
        <v>8.7239999999999998E-5</v>
      </c>
      <c r="Q2666" s="9">
        <v>8.789E-5</v>
      </c>
      <c r="R2666" s="10">
        <v>1.7398844893389624E-4</v>
      </c>
      <c r="S2666" s="10">
        <v>1.5407119691978152E-4</v>
      </c>
      <c r="T2666" s="10">
        <v>0</v>
      </c>
      <c r="U2666" s="10">
        <v>1.0874000000000001E-4</v>
      </c>
      <c r="V2666" s="25"/>
      <c r="W2666" s="25"/>
      <c r="X2666" s="25"/>
      <c r="Y2666" s="25"/>
      <c r="Z2666" s="25"/>
      <c r="AA2666" s="25"/>
    </row>
    <row r="2667" spans="1:27" x14ac:dyDescent="0.35">
      <c r="A2667" s="5">
        <v>2663</v>
      </c>
      <c r="B2667" s="5">
        <v>111</v>
      </c>
      <c r="C2667" s="5">
        <v>4</v>
      </c>
      <c r="D2667" s="25">
        <v>1.1416E-4</v>
      </c>
      <c r="E2667" s="25">
        <v>1.0998E-4</v>
      </c>
      <c r="F2667" s="25">
        <v>1.0697E-4</v>
      </c>
      <c r="G2667" s="25">
        <v>5.3350000000000003E-5</v>
      </c>
      <c r="H2667" s="25">
        <v>4.1019999999999997E-5</v>
      </c>
      <c r="I2667" s="9">
        <v>1.1538E-4</v>
      </c>
      <c r="J2667" s="9">
        <v>9.891E-5</v>
      </c>
      <c r="K2667" s="9">
        <v>2.4372E-4</v>
      </c>
      <c r="L2667" s="9">
        <v>9.0509999999999999E-5</v>
      </c>
      <c r="M2667" s="9">
        <v>9.8449999999999994E-5</v>
      </c>
      <c r="N2667" s="9">
        <v>1.0012E-4</v>
      </c>
      <c r="O2667" s="9">
        <v>8.4079999999999995E-5</v>
      </c>
      <c r="P2667" s="9">
        <v>7.5129999999999994E-5</v>
      </c>
      <c r="Q2667" s="9">
        <v>6.6550000000000005E-5</v>
      </c>
      <c r="R2667" s="10">
        <v>1.628226277563231E-4</v>
      </c>
      <c r="S2667" s="10">
        <v>1.485286914624252E-4</v>
      </c>
      <c r="T2667" s="10">
        <v>0</v>
      </c>
      <c r="U2667" s="10">
        <v>1.0874000000000001E-4</v>
      </c>
      <c r="V2667" s="25"/>
      <c r="W2667" s="25"/>
      <c r="X2667" s="25"/>
      <c r="Y2667" s="25"/>
      <c r="Z2667" s="25"/>
      <c r="AA2667" s="25"/>
    </row>
    <row r="2668" spans="1:27" x14ac:dyDescent="0.35">
      <c r="A2668" s="5">
        <v>2664</v>
      </c>
      <c r="B2668" s="5">
        <v>111</v>
      </c>
      <c r="C2668" s="5">
        <v>4</v>
      </c>
      <c r="D2668" s="25">
        <v>1.1415000000000001E-4</v>
      </c>
      <c r="E2668" s="25">
        <v>1.1026E-4</v>
      </c>
      <c r="F2668" s="25">
        <v>1.0789E-4</v>
      </c>
      <c r="G2668" s="25">
        <v>6.2230000000000006E-5</v>
      </c>
      <c r="H2668" s="25">
        <v>3.8689999999999997E-5</v>
      </c>
      <c r="I2668" s="9">
        <v>1.0624999999999999E-4</v>
      </c>
      <c r="J2668" s="9">
        <v>9.0799999999999998E-5</v>
      </c>
      <c r="K2668" s="9">
        <v>2.6491999999999998E-4</v>
      </c>
      <c r="L2668" s="9">
        <v>8.5729999999999994E-5</v>
      </c>
      <c r="M2668" s="9">
        <v>8.7159999999999999E-5</v>
      </c>
      <c r="N2668" s="9">
        <v>9.0690000000000001E-5</v>
      </c>
      <c r="O2668" s="9">
        <v>7.9320000000000006E-5</v>
      </c>
      <c r="P2668" s="9">
        <v>6.8999999999999997E-5</v>
      </c>
      <c r="Q2668" s="9">
        <v>5.906E-5</v>
      </c>
      <c r="R2668" s="10">
        <v>1.2566998660581833E-4</v>
      </c>
      <c r="S2668" s="10">
        <v>1.3489992750272375E-4</v>
      </c>
      <c r="T2668" s="10">
        <v>0</v>
      </c>
      <c r="U2668" s="10">
        <v>1.0874000000000001E-4</v>
      </c>
      <c r="V2668" s="25"/>
      <c r="W2668" s="25"/>
      <c r="X2668" s="25"/>
      <c r="Y2668" s="25"/>
      <c r="Z2668" s="25"/>
      <c r="AA2668" s="25"/>
    </row>
    <row r="2669" spans="1:27" x14ac:dyDescent="0.35">
      <c r="A2669" s="5">
        <v>2665</v>
      </c>
      <c r="B2669" s="5">
        <v>112</v>
      </c>
      <c r="C2669" s="5">
        <v>4</v>
      </c>
      <c r="D2669" s="25">
        <v>1.1416E-4</v>
      </c>
      <c r="E2669" s="25">
        <v>1.1488E-4</v>
      </c>
      <c r="F2669" s="25">
        <v>1.3061999999999999E-4</v>
      </c>
      <c r="G2669" s="25">
        <v>5.4530000000000001E-5</v>
      </c>
      <c r="H2669" s="25">
        <v>1.466E-5</v>
      </c>
      <c r="I2669" s="9">
        <v>1.0062E-4</v>
      </c>
      <c r="J2669" s="9">
        <v>9.0500000000000004E-5</v>
      </c>
      <c r="K2669" s="9">
        <v>2.7763000000000001E-4</v>
      </c>
      <c r="L2669" s="9">
        <v>8.051E-5</v>
      </c>
      <c r="M2669" s="9">
        <v>7.8070000000000003E-5</v>
      </c>
      <c r="N2669" s="9">
        <v>8.1230000000000007E-5</v>
      </c>
      <c r="O2669" s="9">
        <v>6.7990000000000005E-5</v>
      </c>
      <c r="P2669" s="9">
        <v>6.0529999999999998E-5</v>
      </c>
      <c r="Q2669" s="9">
        <v>5.3390000000000002E-5</v>
      </c>
      <c r="R2669" s="10">
        <v>1.1694893304327013E-4</v>
      </c>
      <c r="S2669" s="10">
        <v>1.4094335385862405E-4</v>
      </c>
      <c r="T2669" s="10">
        <v>0</v>
      </c>
      <c r="U2669" s="10">
        <v>1.0692E-4</v>
      </c>
      <c r="V2669" s="25"/>
      <c r="W2669" s="25"/>
      <c r="X2669" s="25"/>
      <c r="Y2669" s="25"/>
      <c r="Z2669" s="25"/>
      <c r="AA2669" s="25"/>
    </row>
    <row r="2670" spans="1:27" x14ac:dyDescent="0.35">
      <c r="A2670" s="5">
        <v>2666</v>
      </c>
      <c r="B2670" s="5">
        <v>112</v>
      </c>
      <c r="C2670" s="5">
        <v>4</v>
      </c>
      <c r="D2670" s="25">
        <v>1.1415000000000001E-4</v>
      </c>
      <c r="E2670" s="25">
        <v>1.0812E-4</v>
      </c>
      <c r="F2670" s="25">
        <v>1.3635000000000001E-4</v>
      </c>
      <c r="G2670" s="25">
        <v>5.5210000000000002E-5</v>
      </c>
      <c r="H2670" s="25">
        <v>1.472E-5</v>
      </c>
      <c r="I2670" s="9">
        <v>9.6479999999999998E-5</v>
      </c>
      <c r="J2670" s="9">
        <v>8.9619999999999999E-5</v>
      </c>
      <c r="K2670" s="9">
        <v>2.9458000000000002E-4</v>
      </c>
      <c r="L2670" s="9">
        <v>7.0870000000000004E-5</v>
      </c>
      <c r="M2670" s="9">
        <v>6.9640000000000004E-5</v>
      </c>
      <c r="N2670" s="9">
        <v>7.2050000000000003E-5</v>
      </c>
      <c r="O2670" s="9">
        <v>3.5099999999999999E-5</v>
      </c>
      <c r="P2670" s="9">
        <v>4.5410000000000001E-5</v>
      </c>
      <c r="Q2670" s="9">
        <v>5.5659999999999999E-5</v>
      </c>
      <c r="R2670" s="10">
        <v>1.1848262511934048E-4</v>
      </c>
      <c r="S2670" s="10">
        <v>1.5067261231109869E-4</v>
      </c>
      <c r="T2670" s="10">
        <v>0</v>
      </c>
      <c r="U2670" s="10">
        <v>1.0692E-4</v>
      </c>
      <c r="V2670" s="25"/>
      <c r="W2670" s="25"/>
      <c r="X2670" s="25"/>
      <c r="Y2670" s="25"/>
      <c r="Z2670" s="25"/>
      <c r="AA2670" s="25"/>
    </row>
    <row r="2671" spans="1:27" x14ac:dyDescent="0.35">
      <c r="A2671" s="5">
        <v>2667</v>
      </c>
      <c r="B2671" s="5">
        <v>112</v>
      </c>
      <c r="C2671" s="5">
        <v>4</v>
      </c>
      <c r="D2671" s="25">
        <v>1.1416E-4</v>
      </c>
      <c r="E2671" s="25">
        <v>1.0589E-4</v>
      </c>
      <c r="F2671" s="25">
        <v>1.2546000000000001E-4</v>
      </c>
      <c r="G2671" s="25">
        <v>5.5250000000000001E-5</v>
      </c>
      <c r="H2671" s="25">
        <v>1.464E-5</v>
      </c>
      <c r="I2671" s="9">
        <v>9.5379999999999998E-5</v>
      </c>
      <c r="J2671" s="9">
        <v>8.9220000000000003E-5</v>
      </c>
      <c r="K2671" s="9">
        <v>2.9245999999999997E-4</v>
      </c>
      <c r="L2671" s="9">
        <v>4.3229999999999998E-5</v>
      </c>
      <c r="M2671" s="9">
        <v>5.893E-5</v>
      </c>
      <c r="N2671" s="9">
        <v>6.5339999999999994E-5</v>
      </c>
      <c r="O2671" s="9">
        <v>2.245E-5</v>
      </c>
      <c r="P2671" s="9">
        <v>4.2259999999999999E-5</v>
      </c>
      <c r="Q2671" s="9">
        <v>6.1820000000000001E-5</v>
      </c>
      <c r="R2671" s="10">
        <v>1.3033874809343309E-4</v>
      </c>
      <c r="S2671" s="10">
        <v>1.5570036524666442E-4</v>
      </c>
      <c r="T2671" s="10">
        <v>0</v>
      </c>
      <c r="U2671" s="10">
        <v>1.0692E-4</v>
      </c>
      <c r="V2671" s="25"/>
      <c r="W2671" s="25"/>
      <c r="X2671" s="25"/>
      <c r="Y2671" s="25"/>
      <c r="Z2671" s="25"/>
      <c r="AA2671" s="25"/>
    </row>
    <row r="2672" spans="1:27" x14ac:dyDescent="0.35">
      <c r="A2672" s="5">
        <v>2668</v>
      </c>
      <c r="B2672" s="5">
        <v>112</v>
      </c>
      <c r="C2672" s="5">
        <v>4</v>
      </c>
      <c r="D2672" s="25">
        <v>1.1415000000000001E-4</v>
      </c>
      <c r="E2672" s="25">
        <v>1.1289E-4</v>
      </c>
      <c r="F2672" s="25">
        <v>1.2211000000000001E-4</v>
      </c>
      <c r="G2672" s="25">
        <v>6.2509999999999996E-5</v>
      </c>
      <c r="H2672" s="25">
        <v>1.5800000000000001E-5</v>
      </c>
      <c r="I2672" s="9">
        <v>9.7020000000000003E-5</v>
      </c>
      <c r="J2672" s="9">
        <v>9.0060000000000002E-5</v>
      </c>
      <c r="K2672" s="9">
        <v>3.0306000000000002E-4</v>
      </c>
      <c r="L2672" s="9">
        <v>2.777E-5</v>
      </c>
      <c r="M2672" s="9">
        <v>5.0349999999999997E-5</v>
      </c>
      <c r="N2672" s="9">
        <v>6.1820000000000001E-5</v>
      </c>
      <c r="O2672" s="9">
        <v>2.19E-5</v>
      </c>
      <c r="P2672" s="9">
        <v>5.1459999999999999E-5</v>
      </c>
      <c r="Q2672" s="9">
        <v>8.0619999999999997E-5</v>
      </c>
      <c r="R2672" s="10">
        <v>1.4084885014874313E-4</v>
      </c>
      <c r="S2672" s="10">
        <v>1.5488822576998815E-4</v>
      </c>
      <c r="T2672" s="10">
        <v>0</v>
      </c>
      <c r="U2672" s="10">
        <v>1.0692E-4</v>
      </c>
      <c r="V2672" s="25"/>
      <c r="W2672" s="25"/>
      <c r="X2672" s="25"/>
      <c r="Y2672" s="25"/>
      <c r="Z2672" s="25"/>
      <c r="AA2672" s="25"/>
    </row>
    <row r="2673" spans="1:27" x14ac:dyDescent="0.35">
      <c r="A2673" s="5">
        <v>2669</v>
      </c>
      <c r="B2673" s="5">
        <v>112</v>
      </c>
      <c r="C2673" s="5">
        <v>4</v>
      </c>
      <c r="D2673" s="25">
        <v>1.1416E-4</v>
      </c>
      <c r="E2673" s="25">
        <v>1.0766E-4</v>
      </c>
      <c r="F2673" s="25">
        <v>1.3514000000000001E-4</v>
      </c>
      <c r="G2673" s="25">
        <v>6.2150000000000006E-5</v>
      </c>
      <c r="H2673" s="25">
        <v>1.508E-5</v>
      </c>
      <c r="I2673" s="9">
        <v>1.0297E-4</v>
      </c>
      <c r="J2673" s="9">
        <v>9.2369999999999998E-5</v>
      </c>
      <c r="K2673" s="9">
        <v>3.0093999999999997E-4</v>
      </c>
      <c r="L2673" s="9">
        <v>2.357E-5</v>
      </c>
      <c r="M2673" s="9">
        <v>4.8760000000000001E-5</v>
      </c>
      <c r="N2673" s="9">
        <v>6.444E-5</v>
      </c>
      <c r="O2673" s="9">
        <v>2.3609999999999999E-5</v>
      </c>
      <c r="P2673" s="9">
        <v>5.8669999999999999E-5</v>
      </c>
      <c r="Q2673" s="9">
        <v>9.3250000000000003E-5</v>
      </c>
      <c r="R2673" s="10">
        <v>1.3520746293113682E-4</v>
      </c>
      <c r="S2673" s="10">
        <v>1.521407605710535E-4</v>
      </c>
      <c r="T2673" s="10">
        <v>0</v>
      </c>
      <c r="U2673" s="10">
        <v>1.0692E-4</v>
      </c>
      <c r="V2673" s="25"/>
      <c r="W2673" s="25"/>
      <c r="X2673" s="25"/>
      <c r="Y2673" s="25"/>
      <c r="Z2673" s="25"/>
      <c r="AA2673" s="25"/>
    </row>
    <row r="2674" spans="1:27" x14ac:dyDescent="0.35">
      <c r="A2674" s="5">
        <v>2670</v>
      </c>
      <c r="B2674" s="5">
        <v>112</v>
      </c>
      <c r="C2674" s="5">
        <v>4</v>
      </c>
      <c r="D2674" s="25">
        <v>1.1415000000000001E-4</v>
      </c>
      <c r="E2674" s="25">
        <v>1.0831E-4</v>
      </c>
      <c r="F2674" s="25">
        <v>1.1909999999999999E-4</v>
      </c>
      <c r="G2674" s="25">
        <v>1.1480999999999999E-4</v>
      </c>
      <c r="H2674" s="25">
        <v>2.7140000000000001E-5</v>
      </c>
      <c r="I2674" s="9">
        <v>1.1471E-4</v>
      </c>
      <c r="J2674" s="9">
        <v>9.7139999999999995E-5</v>
      </c>
      <c r="K2674" s="9">
        <v>2.4159999999999999E-4</v>
      </c>
      <c r="L2674" s="9">
        <v>2.353E-5</v>
      </c>
      <c r="M2674" s="9">
        <v>5.2269999999999999E-5</v>
      </c>
      <c r="N2674" s="9">
        <v>7.0920000000000005E-5</v>
      </c>
      <c r="O2674" s="9">
        <v>2.972E-5</v>
      </c>
      <c r="P2674" s="9">
        <v>6.8159999999999998E-5</v>
      </c>
      <c r="Q2674" s="9">
        <v>1.0608E-4</v>
      </c>
      <c r="R2674" s="10">
        <v>1.3196622479022063E-4</v>
      </c>
      <c r="S2674" s="10">
        <v>1.5522768161850504E-4</v>
      </c>
      <c r="T2674" s="10">
        <v>1.4889945359500116E-5</v>
      </c>
      <c r="U2674" s="10">
        <v>1.0692E-4</v>
      </c>
      <c r="V2674" s="25"/>
      <c r="W2674" s="25"/>
      <c r="X2674" s="25"/>
      <c r="Y2674" s="25"/>
      <c r="Z2674" s="25"/>
      <c r="AA2674" s="25"/>
    </row>
    <row r="2675" spans="1:27" x14ac:dyDescent="0.35">
      <c r="A2675" s="5">
        <v>2671</v>
      </c>
      <c r="B2675" s="5">
        <v>112</v>
      </c>
      <c r="C2675" s="5">
        <v>4</v>
      </c>
      <c r="D2675" s="25">
        <v>1.1416E-4</v>
      </c>
      <c r="E2675" s="25">
        <v>1.0592E-4</v>
      </c>
      <c r="F2675" s="25">
        <v>1.2006E-4</v>
      </c>
      <c r="G2675" s="25">
        <v>1.1073000000000001E-4</v>
      </c>
      <c r="H2675" s="25">
        <v>2.76E-5</v>
      </c>
      <c r="I2675" s="9">
        <v>1.2243000000000001E-4</v>
      </c>
      <c r="J2675" s="9">
        <v>1.1131E-4</v>
      </c>
      <c r="K2675" s="9">
        <v>1.5470999999999999E-4</v>
      </c>
      <c r="L2675" s="9">
        <v>2.8269999999999999E-5</v>
      </c>
      <c r="M2675" s="9">
        <v>5.9030000000000002E-5</v>
      </c>
      <c r="N2675" s="9">
        <v>8.0450000000000004E-5</v>
      </c>
      <c r="O2675" s="9">
        <v>4.6419999999999999E-5</v>
      </c>
      <c r="P2675" s="9">
        <v>7.9690000000000004E-5</v>
      </c>
      <c r="Q2675" s="9">
        <v>1.1257E-4</v>
      </c>
      <c r="R2675" s="10">
        <v>1.3516078360841308E-4</v>
      </c>
      <c r="S2675" s="10">
        <v>1.6061758891119132E-4</v>
      </c>
      <c r="T2675" s="10">
        <v>1.0161645331665693E-4</v>
      </c>
      <c r="U2675" s="10">
        <v>1.0692E-4</v>
      </c>
      <c r="V2675" s="25"/>
      <c r="W2675" s="25"/>
      <c r="X2675" s="25"/>
      <c r="Y2675" s="25"/>
      <c r="Z2675" s="25"/>
      <c r="AA2675" s="25"/>
    </row>
    <row r="2676" spans="1:27" x14ac:dyDescent="0.35">
      <c r="A2676" s="5">
        <v>2672</v>
      </c>
      <c r="B2676" s="5">
        <v>112</v>
      </c>
      <c r="C2676" s="5">
        <v>4</v>
      </c>
      <c r="D2676" s="25">
        <v>1.1415000000000001E-4</v>
      </c>
      <c r="E2676" s="25">
        <v>1.0596E-4</v>
      </c>
      <c r="F2676" s="25">
        <v>1.3608000000000001E-4</v>
      </c>
      <c r="G2676" s="25">
        <v>1.6475999999999999E-4</v>
      </c>
      <c r="H2676" s="25">
        <v>3.9879999999999998E-5</v>
      </c>
      <c r="I2676" s="9">
        <v>1.2615E-4</v>
      </c>
      <c r="J2676" s="9">
        <v>1.1953E-4</v>
      </c>
      <c r="K2676" s="9">
        <v>9.5379999999999998E-5</v>
      </c>
      <c r="L2676" s="9">
        <v>4.2280000000000002E-5</v>
      </c>
      <c r="M2676" s="9">
        <v>6.8170000000000006E-5</v>
      </c>
      <c r="N2676" s="9">
        <v>9.0610000000000002E-5</v>
      </c>
      <c r="O2676" s="9">
        <v>6.758E-5</v>
      </c>
      <c r="P2676" s="9">
        <v>1.0162000000000001E-4</v>
      </c>
      <c r="Q2676" s="9">
        <v>1.3532E-4</v>
      </c>
      <c r="R2676" s="10">
        <v>1.3802189967696422E-4</v>
      </c>
      <c r="S2676" s="10">
        <v>1.6641604789417047E-4</v>
      </c>
      <c r="T2676" s="10">
        <v>2.1682475419224217E-4</v>
      </c>
      <c r="U2676" s="10">
        <v>1.0692E-4</v>
      </c>
      <c r="V2676" s="25"/>
      <c r="W2676" s="25"/>
      <c r="X2676" s="25"/>
      <c r="Y2676" s="25"/>
      <c r="Z2676" s="25"/>
      <c r="AA2676" s="25"/>
    </row>
    <row r="2677" spans="1:27" x14ac:dyDescent="0.35">
      <c r="A2677" s="5">
        <v>2673</v>
      </c>
      <c r="B2677" s="5">
        <v>112</v>
      </c>
      <c r="C2677" s="5">
        <v>4</v>
      </c>
      <c r="D2677" s="25">
        <v>1.1416E-4</v>
      </c>
      <c r="E2677" s="25">
        <v>1.0573000000000001E-4</v>
      </c>
      <c r="F2677" s="25">
        <v>1.2369E-4</v>
      </c>
      <c r="G2677" s="25">
        <v>1.6416E-4</v>
      </c>
      <c r="H2677" s="25">
        <v>4.2540000000000003E-5</v>
      </c>
      <c r="I2677" s="9">
        <v>1.2813000000000001E-4</v>
      </c>
      <c r="J2677" s="9">
        <v>1.2084E-4</v>
      </c>
      <c r="K2677" s="9">
        <v>6.3590000000000006E-5</v>
      </c>
      <c r="L2677" s="9">
        <v>6.1630000000000005E-5</v>
      </c>
      <c r="M2677" s="9">
        <v>8.2490000000000005E-5</v>
      </c>
      <c r="N2677" s="9">
        <v>1.0407E-4</v>
      </c>
      <c r="O2677" s="9">
        <v>9.8830000000000001E-5</v>
      </c>
      <c r="P2677" s="9">
        <v>1.3727999999999999E-4</v>
      </c>
      <c r="Q2677" s="9">
        <v>1.7540000000000001E-4</v>
      </c>
      <c r="R2677" s="10">
        <v>1.1538030229322612E-4</v>
      </c>
      <c r="S2677" s="10">
        <v>1.6664312253021878E-4</v>
      </c>
      <c r="T2677" s="10">
        <v>2.1805497759801285E-4</v>
      </c>
      <c r="U2677" s="10">
        <v>1.0692E-4</v>
      </c>
      <c r="V2677" s="25"/>
      <c r="W2677" s="25"/>
      <c r="X2677" s="25"/>
      <c r="Y2677" s="25"/>
      <c r="Z2677" s="25"/>
      <c r="AA2677" s="25"/>
    </row>
    <row r="2678" spans="1:27" x14ac:dyDescent="0.35">
      <c r="A2678" s="5">
        <v>2674</v>
      </c>
      <c r="B2678" s="5">
        <v>112</v>
      </c>
      <c r="C2678" s="5">
        <v>4</v>
      </c>
      <c r="D2678" s="25">
        <v>1.1415000000000001E-4</v>
      </c>
      <c r="E2678" s="25">
        <v>1.1189E-4</v>
      </c>
      <c r="F2678" s="25">
        <v>1.1726E-4</v>
      </c>
      <c r="G2678" s="25">
        <v>1.639E-4</v>
      </c>
      <c r="H2678" s="25">
        <v>4.2360000000000001E-5</v>
      </c>
      <c r="I2678" s="9">
        <v>1.2836E-4</v>
      </c>
      <c r="J2678" s="9">
        <v>1.1936E-4</v>
      </c>
      <c r="K2678" s="9">
        <v>3.8149999999999999E-5</v>
      </c>
      <c r="L2678" s="9">
        <v>9.0140000000000001E-5</v>
      </c>
      <c r="M2678" s="9">
        <v>1.0582999999999999E-4</v>
      </c>
      <c r="N2678" s="9">
        <v>1.238E-4</v>
      </c>
      <c r="O2678" s="9">
        <v>1.2904E-4</v>
      </c>
      <c r="P2678" s="9">
        <v>1.5616999999999999E-4</v>
      </c>
      <c r="Q2678" s="9">
        <v>1.8323999999999999E-4</v>
      </c>
      <c r="R2678" s="10">
        <v>1.4225878665761438E-4</v>
      </c>
      <c r="S2678" s="10">
        <v>1.6156503351711366E-4</v>
      </c>
      <c r="T2678" s="10">
        <v>2.4110681893235004E-4</v>
      </c>
      <c r="U2678" s="10">
        <v>1.0692E-4</v>
      </c>
      <c r="V2678" s="25"/>
      <c r="W2678" s="25"/>
      <c r="X2678" s="25"/>
      <c r="Y2678" s="25"/>
      <c r="Z2678" s="25"/>
      <c r="AA2678" s="25"/>
    </row>
    <row r="2679" spans="1:27" x14ac:dyDescent="0.35">
      <c r="A2679" s="5">
        <v>2675</v>
      </c>
      <c r="B2679" s="5">
        <v>112</v>
      </c>
      <c r="C2679" s="5">
        <v>4</v>
      </c>
      <c r="D2679" s="25">
        <v>1.1416E-4</v>
      </c>
      <c r="E2679" s="25">
        <v>1.1259E-4</v>
      </c>
      <c r="F2679" s="25">
        <v>1.2431000000000001E-4</v>
      </c>
      <c r="G2679" s="25">
        <v>1.5797000000000001E-4</v>
      </c>
      <c r="H2679" s="25">
        <v>4.0779999999999999E-5</v>
      </c>
      <c r="I2679" s="9">
        <v>1.2886000000000001E-4</v>
      </c>
      <c r="J2679" s="9">
        <v>1.1849999999999999E-4</v>
      </c>
      <c r="K2679" s="9">
        <v>3.8149999999999999E-5</v>
      </c>
      <c r="L2679" s="9">
        <v>1.1977999999999999E-4</v>
      </c>
      <c r="M2679" s="9">
        <v>1.2983999999999999E-4</v>
      </c>
      <c r="N2679" s="9">
        <v>1.4223E-4</v>
      </c>
      <c r="O2679" s="9">
        <v>1.3566000000000001E-4</v>
      </c>
      <c r="P2679" s="9">
        <v>1.5703000000000001E-4</v>
      </c>
      <c r="Q2679" s="9">
        <v>1.7843000000000001E-4</v>
      </c>
      <c r="R2679" s="10">
        <v>1.3701694182391877E-4</v>
      </c>
      <c r="S2679" s="10">
        <v>1.500861936510498E-4</v>
      </c>
      <c r="T2679" s="10">
        <v>1.7201068502478939E-4</v>
      </c>
      <c r="U2679" s="10">
        <v>1.0692E-4</v>
      </c>
      <c r="V2679" s="25"/>
      <c r="W2679" s="25"/>
      <c r="X2679" s="25"/>
      <c r="Y2679" s="25"/>
      <c r="Z2679" s="25"/>
      <c r="AA2679" s="25"/>
    </row>
    <row r="2680" spans="1:27" x14ac:dyDescent="0.35">
      <c r="A2680" s="5">
        <v>2676</v>
      </c>
      <c r="B2680" s="5">
        <v>112</v>
      </c>
      <c r="C2680" s="5">
        <v>4</v>
      </c>
      <c r="D2680" s="25">
        <v>1.1415000000000001E-4</v>
      </c>
      <c r="E2680" s="25">
        <v>1.0686E-4</v>
      </c>
      <c r="F2680" s="25">
        <v>1.2483000000000001E-4</v>
      </c>
      <c r="G2680" s="25">
        <v>1.6317999999999999E-4</v>
      </c>
      <c r="H2680" s="25">
        <v>4.108E-5</v>
      </c>
      <c r="I2680" s="9">
        <v>1.2605E-4</v>
      </c>
      <c r="J2680" s="9">
        <v>1.1585E-4</v>
      </c>
      <c r="K2680" s="9">
        <v>1.484E-5</v>
      </c>
      <c r="L2680" s="9">
        <v>1.3147000000000001E-4</v>
      </c>
      <c r="M2680" s="9">
        <v>1.4535000000000001E-4</v>
      </c>
      <c r="N2680" s="9">
        <v>1.5619000000000001E-4</v>
      </c>
      <c r="O2680" s="9">
        <v>1.3803E-4</v>
      </c>
      <c r="P2680" s="9">
        <v>1.5616E-4</v>
      </c>
      <c r="Q2680" s="9">
        <v>1.7438999999999999E-4</v>
      </c>
      <c r="R2680" s="10">
        <v>9.7845619002631876E-5</v>
      </c>
      <c r="S2680" s="10">
        <v>1.1835814104867436E-4</v>
      </c>
      <c r="T2680" s="10">
        <v>3.2522864698901309E-4</v>
      </c>
      <c r="U2680" s="10">
        <v>1.0692E-4</v>
      </c>
      <c r="V2680" s="25"/>
      <c r="W2680" s="25"/>
      <c r="X2680" s="25"/>
      <c r="Y2680" s="25"/>
      <c r="Z2680" s="25"/>
      <c r="AA2680" s="25"/>
    </row>
    <row r="2681" spans="1:27" x14ac:dyDescent="0.35">
      <c r="A2681" s="5">
        <v>2677</v>
      </c>
      <c r="B2681" s="5">
        <v>112</v>
      </c>
      <c r="C2681" s="5">
        <v>4</v>
      </c>
      <c r="D2681" s="25">
        <v>1.1416E-4</v>
      </c>
      <c r="E2681" s="25">
        <v>1.0857E-4</v>
      </c>
      <c r="F2681" s="25">
        <v>1.3803E-4</v>
      </c>
      <c r="G2681" s="25">
        <v>1.5632999999999999E-4</v>
      </c>
      <c r="H2681" s="25">
        <v>4.1430000000000001E-5</v>
      </c>
      <c r="I2681" s="9">
        <v>1.25E-4</v>
      </c>
      <c r="J2681" s="9">
        <v>1.1584E-4</v>
      </c>
      <c r="K2681" s="9">
        <v>2.12E-6</v>
      </c>
      <c r="L2681" s="9">
        <v>1.3643999999999999E-4</v>
      </c>
      <c r="M2681" s="9">
        <v>1.5254E-4</v>
      </c>
      <c r="N2681" s="9">
        <v>1.6582000000000001E-4</v>
      </c>
      <c r="O2681" s="9">
        <v>1.3027000000000001E-4</v>
      </c>
      <c r="P2681" s="9">
        <v>1.4922000000000001E-4</v>
      </c>
      <c r="Q2681" s="9">
        <v>1.6824E-4</v>
      </c>
      <c r="R2681" s="10">
        <v>8.0478627404305671E-5</v>
      </c>
      <c r="S2681" s="10">
        <v>1.1200526734276137E-4</v>
      </c>
      <c r="T2681" s="10">
        <v>4.73042110267196E-4</v>
      </c>
      <c r="U2681" s="10">
        <v>1.0692E-4</v>
      </c>
      <c r="V2681" s="25"/>
      <c r="W2681" s="25"/>
      <c r="X2681" s="25"/>
      <c r="Y2681" s="25"/>
      <c r="Z2681" s="25"/>
      <c r="AA2681" s="25"/>
    </row>
    <row r="2682" spans="1:27" x14ac:dyDescent="0.35">
      <c r="A2682" s="5">
        <v>2678</v>
      </c>
      <c r="B2682" s="5">
        <v>112</v>
      </c>
      <c r="C2682" s="5">
        <v>4</v>
      </c>
      <c r="D2682" s="25">
        <v>1.1415000000000001E-4</v>
      </c>
      <c r="E2682" s="25">
        <v>1.1467E-4</v>
      </c>
      <c r="F2682" s="25">
        <v>1.2291E-4</v>
      </c>
      <c r="G2682" s="25">
        <v>1.5907000000000001E-4</v>
      </c>
      <c r="H2682" s="25">
        <v>4.1950000000000003E-5</v>
      </c>
      <c r="I2682" s="9">
        <v>1.2428E-4</v>
      </c>
      <c r="J2682" s="9">
        <v>1.1493999999999999E-4</v>
      </c>
      <c r="K2682" s="9">
        <v>0</v>
      </c>
      <c r="L2682" s="9">
        <v>1.3168000000000001E-4</v>
      </c>
      <c r="M2682" s="9">
        <v>1.5271999999999999E-4</v>
      </c>
      <c r="N2682" s="9">
        <v>1.7045999999999999E-4</v>
      </c>
      <c r="O2682" s="9">
        <v>1.1281E-4</v>
      </c>
      <c r="P2682" s="9">
        <v>1.3726E-4</v>
      </c>
      <c r="Q2682" s="9">
        <v>1.6164E-4</v>
      </c>
      <c r="R2682" s="10">
        <v>7.0432637952783108E-5</v>
      </c>
      <c r="S2682" s="10">
        <v>1.0351952536609547E-4</v>
      </c>
      <c r="T2682" s="10">
        <v>4.6386209837034187E-4</v>
      </c>
      <c r="U2682" s="10">
        <v>1.0692E-4</v>
      </c>
      <c r="V2682" s="25"/>
      <c r="W2682" s="25"/>
      <c r="X2682" s="25"/>
      <c r="Y2682" s="25"/>
      <c r="Z2682" s="25"/>
      <c r="AA2682" s="25"/>
    </row>
    <row r="2683" spans="1:27" x14ac:dyDescent="0.35">
      <c r="A2683" s="5">
        <v>2679</v>
      </c>
      <c r="B2683" s="5">
        <v>112</v>
      </c>
      <c r="C2683" s="5">
        <v>4</v>
      </c>
      <c r="D2683" s="25">
        <v>1.1416E-4</v>
      </c>
      <c r="E2683" s="25">
        <v>1.121E-4</v>
      </c>
      <c r="F2683" s="25">
        <v>1.3407E-4</v>
      </c>
      <c r="G2683" s="25">
        <v>1.6719E-4</v>
      </c>
      <c r="H2683" s="25">
        <v>4.0229999999999999E-5</v>
      </c>
      <c r="I2683" s="9">
        <v>1.2248000000000001E-4</v>
      </c>
      <c r="J2683" s="9">
        <v>1.1437E-4</v>
      </c>
      <c r="K2683" s="9">
        <v>0</v>
      </c>
      <c r="L2683" s="9">
        <v>1.1714000000000001E-4</v>
      </c>
      <c r="M2683" s="9">
        <v>1.4694999999999999E-4</v>
      </c>
      <c r="N2683" s="9">
        <v>1.7027000000000001E-4</v>
      </c>
      <c r="O2683" s="9">
        <v>1.2744000000000001E-4</v>
      </c>
      <c r="P2683" s="9">
        <v>1.4032000000000001E-4</v>
      </c>
      <c r="Q2683" s="9">
        <v>1.5333999999999999E-4</v>
      </c>
      <c r="R2683" s="10">
        <v>7.1012862114699471E-5</v>
      </c>
      <c r="S2683" s="10">
        <v>9.0689402136565623E-5</v>
      </c>
      <c r="T2683" s="10">
        <v>5.1918821443262125E-4</v>
      </c>
      <c r="U2683" s="10">
        <v>1.0692E-4</v>
      </c>
      <c r="V2683" s="25"/>
      <c r="W2683" s="25"/>
      <c r="X2683" s="25"/>
      <c r="Y2683" s="25"/>
      <c r="Z2683" s="25"/>
      <c r="AA2683" s="25"/>
    </row>
    <row r="2684" spans="1:27" x14ac:dyDescent="0.35">
      <c r="A2684" s="5">
        <v>2680</v>
      </c>
      <c r="B2684" s="5">
        <v>112</v>
      </c>
      <c r="C2684" s="5">
        <v>4</v>
      </c>
      <c r="D2684" s="25">
        <v>1.1415000000000001E-4</v>
      </c>
      <c r="E2684" s="25">
        <v>1.0526000000000001E-4</v>
      </c>
      <c r="F2684" s="25">
        <v>1.3684999999999999E-4</v>
      </c>
      <c r="G2684" s="25">
        <v>1.6019999999999999E-4</v>
      </c>
      <c r="H2684" s="25">
        <v>4.0370000000000001E-5</v>
      </c>
      <c r="I2684" s="9">
        <v>1.2290000000000001E-4</v>
      </c>
      <c r="J2684" s="9">
        <v>1.148E-4</v>
      </c>
      <c r="K2684" s="9">
        <v>4.25E-6</v>
      </c>
      <c r="L2684" s="9">
        <v>1.2559999999999999E-4</v>
      </c>
      <c r="M2684" s="9">
        <v>1.4292999999999999E-4</v>
      </c>
      <c r="N2684" s="9">
        <v>1.6657E-4</v>
      </c>
      <c r="O2684" s="9">
        <v>1.3320000000000001E-4</v>
      </c>
      <c r="P2684" s="9">
        <v>1.2101E-4</v>
      </c>
      <c r="Q2684" s="9">
        <v>1.0938999999999999E-4</v>
      </c>
      <c r="R2684" s="10">
        <v>7.5100696999558922E-5</v>
      </c>
      <c r="S2684" s="10">
        <v>7.6989481443941819E-5</v>
      </c>
      <c r="T2684" s="10">
        <v>4.4065753964770202E-4</v>
      </c>
      <c r="U2684" s="10">
        <v>1.0692E-4</v>
      </c>
      <c r="V2684" s="25"/>
      <c r="W2684" s="25"/>
      <c r="X2684" s="25"/>
      <c r="Y2684" s="25"/>
      <c r="Z2684" s="25"/>
      <c r="AA2684" s="25"/>
    </row>
    <row r="2685" spans="1:27" x14ac:dyDescent="0.35">
      <c r="A2685" s="5">
        <v>2681</v>
      </c>
      <c r="B2685" s="5">
        <v>112</v>
      </c>
      <c r="C2685" s="5">
        <v>4</v>
      </c>
      <c r="D2685" s="25">
        <v>1.1416E-4</v>
      </c>
      <c r="E2685" s="25">
        <v>1.1278E-4</v>
      </c>
      <c r="F2685" s="25">
        <v>1.1885E-4</v>
      </c>
      <c r="G2685" s="25">
        <v>1.66E-4</v>
      </c>
      <c r="H2685" s="25">
        <v>4.1010000000000002E-5</v>
      </c>
      <c r="I2685" s="9">
        <v>1.2448E-4</v>
      </c>
      <c r="J2685" s="9">
        <v>1.1653E-4</v>
      </c>
      <c r="K2685" s="9">
        <v>2.12E-5</v>
      </c>
      <c r="L2685" s="9">
        <v>1.3124999999999999E-4</v>
      </c>
      <c r="M2685" s="9">
        <v>1.3414000000000001E-4</v>
      </c>
      <c r="N2685" s="9">
        <v>1.5278000000000001E-4</v>
      </c>
      <c r="O2685" s="9">
        <v>1.3961999999999999E-4</v>
      </c>
      <c r="P2685" s="9">
        <v>1.2302E-4</v>
      </c>
      <c r="Q2685" s="9">
        <v>1.0705999999999999E-4</v>
      </c>
      <c r="R2685" s="10">
        <v>7.277486413036094E-5</v>
      </c>
      <c r="S2685" s="10">
        <v>6.7789948965311453E-5</v>
      </c>
      <c r="T2685" s="10">
        <v>2.8958610541906442E-4</v>
      </c>
      <c r="U2685" s="10">
        <v>1.0692E-4</v>
      </c>
      <c r="V2685" s="25"/>
      <c r="W2685" s="25"/>
      <c r="X2685" s="25"/>
      <c r="Y2685" s="25"/>
      <c r="Z2685" s="25"/>
      <c r="AA2685" s="25"/>
    </row>
    <row r="2686" spans="1:27" x14ac:dyDescent="0.35">
      <c r="A2686" s="5">
        <v>2682</v>
      </c>
      <c r="B2686" s="5">
        <v>112</v>
      </c>
      <c r="C2686" s="5">
        <v>4</v>
      </c>
      <c r="D2686" s="25">
        <v>1.1415000000000001E-4</v>
      </c>
      <c r="E2686" s="25">
        <v>1.0479E-4</v>
      </c>
      <c r="F2686" s="25">
        <v>1.2983999999999999E-4</v>
      </c>
      <c r="G2686" s="25">
        <v>1.6221000000000001E-4</v>
      </c>
      <c r="H2686" s="25">
        <v>4.1010000000000002E-5</v>
      </c>
      <c r="I2686" s="9">
        <v>1.2366999999999999E-4</v>
      </c>
      <c r="J2686" s="9">
        <v>1.1504E-4</v>
      </c>
      <c r="K2686" s="9">
        <v>5.0869999999999999E-5</v>
      </c>
      <c r="L2686" s="9">
        <v>1.3751E-4</v>
      </c>
      <c r="M2686" s="9">
        <v>1.2789999999999999E-4</v>
      </c>
      <c r="N2686" s="9">
        <v>1.3935999999999999E-4</v>
      </c>
      <c r="O2686" s="9">
        <v>1.3909999999999999E-4</v>
      </c>
      <c r="P2686" s="9">
        <v>1.2758999999999999E-4</v>
      </c>
      <c r="Q2686" s="9">
        <v>1.1665E-4</v>
      </c>
      <c r="R2686" s="10">
        <v>6.2032020795823808E-5</v>
      </c>
      <c r="S2686" s="10">
        <v>6.0202426773706161E-5</v>
      </c>
      <c r="T2686" s="10">
        <v>1.0011473233168169E-4</v>
      </c>
      <c r="U2686" s="10">
        <v>1.0692E-4</v>
      </c>
      <c r="V2686" s="25"/>
      <c r="W2686" s="25"/>
      <c r="X2686" s="25"/>
      <c r="Y2686" s="25"/>
      <c r="Z2686" s="25"/>
      <c r="AA2686" s="25"/>
    </row>
    <row r="2687" spans="1:27" x14ac:dyDescent="0.35">
      <c r="A2687" s="5">
        <v>2683</v>
      </c>
      <c r="B2687" s="5">
        <v>112</v>
      </c>
      <c r="C2687" s="5">
        <v>4</v>
      </c>
      <c r="D2687" s="25">
        <v>1.1416E-4</v>
      </c>
      <c r="E2687" s="25">
        <v>1.1331E-4</v>
      </c>
      <c r="F2687" s="25">
        <v>1.3818000000000001E-4</v>
      </c>
      <c r="G2687" s="25">
        <v>1.0925999999999999E-4</v>
      </c>
      <c r="H2687" s="25">
        <v>2.815E-5</v>
      </c>
      <c r="I2687" s="9">
        <v>1.2069E-4</v>
      </c>
      <c r="J2687" s="9">
        <v>1.1398E-4</v>
      </c>
      <c r="K2687" s="9">
        <v>8.4770000000000003E-5</v>
      </c>
      <c r="L2687" s="9">
        <v>1.3865000000000001E-4</v>
      </c>
      <c r="M2687" s="9">
        <v>1.2636E-4</v>
      </c>
      <c r="N2687" s="9">
        <v>1.2997E-4</v>
      </c>
      <c r="O2687" s="9">
        <v>1.4105000000000001E-4</v>
      </c>
      <c r="P2687" s="9">
        <v>1.2375E-4</v>
      </c>
      <c r="Q2687" s="9">
        <v>1.0712E-4</v>
      </c>
      <c r="R2687" s="10">
        <v>5.4753020660738693E-5</v>
      </c>
      <c r="S2687" s="10">
        <v>5.5103889850698983E-5</v>
      </c>
      <c r="T2687" s="10">
        <v>9.3921193806077663E-6</v>
      </c>
      <c r="U2687" s="10">
        <v>1.0692E-4</v>
      </c>
      <c r="V2687" s="25"/>
      <c r="W2687" s="25"/>
      <c r="X2687" s="25"/>
      <c r="Y2687" s="25"/>
      <c r="Z2687" s="25"/>
      <c r="AA2687" s="25"/>
    </row>
    <row r="2688" spans="1:27" x14ac:dyDescent="0.35">
      <c r="A2688" s="5">
        <v>2684</v>
      </c>
      <c r="B2688" s="5">
        <v>112</v>
      </c>
      <c r="C2688" s="5">
        <v>4</v>
      </c>
      <c r="D2688" s="25">
        <v>1.1415000000000001E-4</v>
      </c>
      <c r="E2688" s="25">
        <v>1.0821E-4</v>
      </c>
      <c r="F2688" s="25">
        <v>1.2812000000000001E-4</v>
      </c>
      <c r="G2688" s="25">
        <v>1.0607000000000001E-4</v>
      </c>
      <c r="H2688" s="25">
        <v>2.834E-5</v>
      </c>
      <c r="I2688" s="9">
        <v>1.1841E-4</v>
      </c>
      <c r="J2688" s="9">
        <v>1.1338E-4</v>
      </c>
      <c r="K2688" s="9">
        <v>1.1445E-4</v>
      </c>
      <c r="L2688" s="9">
        <v>1.4053000000000001E-4</v>
      </c>
      <c r="M2688" s="9">
        <v>1.2528999999999999E-4</v>
      </c>
      <c r="N2688" s="9">
        <v>1.2079E-4</v>
      </c>
      <c r="O2688" s="9">
        <v>1.4213E-4</v>
      </c>
      <c r="P2688" s="9">
        <v>1.2120000000000001E-4</v>
      </c>
      <c r="Q2688" s="9">
        <v>1.0098E-4</v>
      </c>
      <c r="R2688" s="10">
        <v>5.3533869457552983E-5</v>
      </c>
      <c r="S2688" s="10">
        <v>5.1051208827463571E-5</v>
      </c>
      <c r="T2688" s="10">
        <v>0</v>
      </c>
      <c r="U2688" s="10">
        <v>1.0692E-4</v>
      </c>
      <c r="V2688" s="25"/>
      <c r="W2688" s="25"/>
      <c r="X2688" s="25"/>
      <c r="Y2688" s="25"/>
      <c r="Z2688" s="25"/>
      <c r="AA2688" s="25"/>
    </row>
    <row r="2689" spans="1:27" x14ac:dyDescent="0.35">
      <c r="A2689" s="5">
        <v>2685</v>
      </c>
      <c r="B2689" s="5">
        <v>112</v>
      </c>
      <c r="C2689" s="5">
        <v>4</v>
      </c>
      <c r="D2689" s="25">
        <v>1.1416E-4</v>
      </c>
      <c r="E2689" s="25">
        <v>1.0558E-4</v>
      </c>
      <c r="F2689" s="25">
        <v>1.3662E-4</v>
      </c>
      <c r="G2689" s="25">
        <v>5.5840000000000001E-5</v>
      </c>
      <c r="H2689" s="25">
        <v>1.381E-5</v>
      </c>
      <c r="I2689" s="9">
        <v>1.195E-4</v>
      </c>
      <c r="J2689" s="9">
        <v>1.142E-4</v>
      </c>
      <c r="K2689" s="9">
        <v>1.8226000000000001E-4</v>
      </c>
      <c r="L2689" s="9">
        <v>1.4176999999999999E-4</v>
      </c>
      <c r="M2689" s="9">
        <v>1.2359E-4</v>
      </c>
      <c r="N2689" s="9">
        <v>1.1286E-4</v>
      </c>
      <c r="O2689" s="9">
        <v>8.3819999999999994E-5</v>
      </c>
      <c r="P2689" s="9">
        <v>8.5599999999999994E-5</v>
      </c>
      <c r="Q2689" s="9">
        <v>8.7579999999999998E-5</v>
      </c>
      <c r="R2689" s="10">
        <v>6.1296987236982408E-5</v>
      </c>
      <c r="S2689" s="10">
        <v>5.2114530678472543E-5</v>
      </c>
      <c r="T2689" s="10">
        <v>0</v>
      </c>
      <c r="U2689" s="10">
        <v>1.0692E-4</v>
      </c>
      <c r="V2689" s="25"/>
      <c r="W2689" s="25"/>
      <c r="X2689" s="25"/>
      <c r="Y2689" s="25"/>
      <c r="Z2689" s="25"/>
      <c r="AA2689" s="25"/>
    </row>
    <row r="2690" spans="1:27" x14ac:dyDescent="0.35">
      <c r="A2690" s="5">
        <v>2686</v>
      </c>
      <c r="B2690" s="5">
        <v>112</v>
      </c>
      <c r="C2690" s="5">
        <v>4</v>
      </c>
      <c r="D2690" s="25">
        <v>1.1415000000000001E-4</v>
      </c>
      <c r="E2690" s="25">
        <v>1.0962E-4</v>
      </c>
      <c r="F2690" s="25">
        <v>1.2213999999999999E-4</v>
      </c>
      <c r="G2690" s="25">
        <v>5.4049999999999999E-5</v>
      </c>
      <c r="H2690" s="25">
        <v>1.473E-5</v>
      </c>
      <c r="I2690" s="9">
        <v>1.1836999999999999E-4</v>
      </c>
      <c r="J2690" s="9">
        <v>1.0692999999999999E-4</v>
      </c>
      <c r="K2690" s="9">
        <v>1.6107E-4</v>
      </c>
      <c r="L2690" s="9">
        <v>9.6539999999999994E-5</v>
      </c>
      <c r="M2690" s="9">
        <v>1.0943E-4</v>
      </c>
      <c r="N2690" s="9">
        <v>1.0512E-4</v>
      </c>
      <c r="O2690" s="9">
        <v>8.776E-5</v>
      </c>
      <c r="P2690" s="9">
        <v>8.8170000000000005E-5</v>
      </c>
      <c r="Q2690" s="9">
        <v>8.8830000000000002E-5</v>
      </c>
      <c r="R2690" s="10">
        <v>6.5559349506852171E-5</v>
      </c>
      <c r="S2690" s="10">
        <v>5.3700004560072606E-5</v>
      </c>
      <c r="T2690" s="10">
        <v>0</v>
      </c>
      <c r="U2690" s="10">
        <v>1.0692E-4</v>
      </c>
      <c r="V2690" s="25"/>
      <c r="W2690" s="25"/>
      <c r="X2690" s="25"/>
      <c r="Y2690" s="25"/>
      <c r="Z2690" s="25"/>
      <c r="AA2690" s="25"/>
    </row>
    <row r="2691" spans="1:27" x14ac:dyDescent="0.35">
      <c r="A2691" s="5">
        <v>2687</v>
      </c>
      <c r="B2691" s="5">
        <v>112</v>
      </c>
      <c r="C2691" s="5">
        <v>4</v>
      </c>
      <c r="D2691" s="25">
        <v>1.1416E-4</v>
      </c>
      <c r="E2691" s="25">
        <v>1.11E-4</v>
      </c>
      <c r="F2691" s="25">
        <v>1.3265E-4</v>
      </c>
      <c r="G2691" s="25">
        <v>6.0229999999999998E-5</v>
      </c>
      <c r="H2691" s="25">
        <v>1.5809999999999999E-5</v>
      </c>
      <c r="I2691" s="9">
        <v>1.1625000000000001E-4</v>
      </c>
      <c r="J2691" s="9">
        <v>9.9359999999999997E-5</v>
      </c>
      <c r="K2691" s="9">
        <v>1.8861999999999999E-4</v>
      </c>
      <c r="L2691" s="9">
        <v>9.0950000000000002E-5</v>
      </c>
      <c r="M2691" s="9">
        <v>9.7979999999999994E-5</v>
      </c>
      <c r="N2691" s="9">
        <v>9.9489999999999998E-5</v>
      </c>
      <c r="O2691" s="9">
        <v>8.5210000000000006E-5</v>
      </c>
      <c r="P2691" s="9">
        <v>7.6139999999999999E-5</v>
      </c>
      <c r="Q2691" s="9">
        <v>6.745E-5</v>
      </c>
      <c r="R2691" s="10">
        <v>7.0175749679910813E-5</v>
      </c>
      <c r="S2691" s="10">
        <v>5.5180379642580228E-5</v>
      </c>
      <c r="T2691" s="10">
        <v>0</v>
      </c>
      <c r="U2691" s="10">
        <v>1.0692E-4</v>
      </c>
      <c r="V2691" s="25"/>
      <c r="W2691" s="25"/>
      <c r="X2691" s="25"/>
      <c r="Y2691" s="25"/>
      <c r="Z2691" s="25"/>
      <c r="AA2691" s="25"/>
    </row>
    <row r="2692" spans="1:27" x14ac:dyDescent="0.35">
      <c r="A2692" s="5">
        <v>2688</v>
      </c>
      <c r="B2692" s="5">
        <v>112</v>
      </c>
      <c r="C2692" s="5">
        <v>4</v>
      </c>
      <c r="D2692" s="25">
        <v>1.1415000000000001E-4</v>
      </c>
      <c r="E2692" s="25">
        <v>1.0992E-4</v>
      </c>
      <c r="F2692" s="25">
        <v>1.3761000000000001E-4</v>
      </c>
      <c r="G2692" s="25">
        <v>6.0439999999999997E-5</v>
      </c>
      <c r="H2692" s="25">
        <v>1.577E-5</v>
      </c>
      <c r="I2692" s="9">
        <v>1.0741E-4</v>
      </c>
      <c r="J2692" s="9">
        <v>9.1310000000000005E-5</v>
      </c>
      <c r="K2692" s="9">
        <v>1.9498000000000001E-4</v>
      </c>
      <c r="L2692" s="9">
        <v>8.666E-5</v>
      </c>
      <c r="M2692" s="9">
        <v>8.7460000000000006E-5</v>
      </c>
      <c r="N2692" s="9">
        <v>9.0450000000000003E-5</v>
      </c>
      <c r="O2692" s="9">
        <v>7.9530000000000006E-5</v>
      </c>
      <c r="P2692" s="9">
        <v>6.9179999999999998E-5</v>
      </c>
      <c r="Q2692" s="9">
        <v>5.9219999999999999E-5</v>
      </c>
      <c r="R2692" s="10">
        <v>6.3425301772324492E-5</v>
      </c>
      <c r="S2692" s="10">
        <v>3.7560415611618613E-5</v>
      </c>
      <c r="T2692" s="10">
        <v>0</v>
      </c>
      <c r="U2692" s="10">
        <v>1.0692E-4</v>
      </c>
      <c r="V2692" s="25"/>
      <c r="W2692" s="25"/>
      <c r="X2692" s="25"/>
      <c r="Y2692" s="25"/>
      <c r="Z2692" s="25"/>
      <c r="AA2692" s="25"/>
    </row>
    <row r="2693" spans="1:27" x14ac:dyDescent="0.35">
      <c r="A2693" s="5">
        <v>2689</v>
      </c>
      <c r="B2693" s="5">
        <v>113</v>
      </c>
      <c r="C2693" s="5">
        <v>4</v>
      </c>
      <c r="D2693" s="25">
        <v>1.1416E-4</v>
      </c>
      <c r="E2693" s="25">
        <v>1.1956E-4</v>
      </c>
      <c r="F2693" s="25">
        <v>1.1797E-4</v>
      </c>
      <c r="G2693" s="25">
        <v>5.4750000000000003E-5</v>
      </c>
      <c r="H2693" s="25">
        <v>7.4909999999999999E-5</v>
      </c>
      <c r="I2693" s="9">
        <v>1.0068000000000001E-4</v>
      </c>
      <c r="J2693" s="9">
        <v>8.6119999999999995E-5</v>
      </c>
      <c r="K2693" s="9">
        <v>2.0770000000000001E-4</v>
      </c>
      <c r="L2693" s="9">
        <v>8.0879999999999998E-5</v>
      </c>
      <c r="M2693" s="9">
        <v>7.8510000000000006E-5</v>
      </c>
      <c r="N2693" s="9">
        <v>8.1199999999999995E-5</v>
      </c>
      <c r="O2693" s="9">
        <v>5.469E-5</v>
      </c>
      <c r="P2693" s="9">
        <v>5.41E-5</v>
      </c>
      <c r="Q2693" s="9">
        <v>5.3680000000000001E-5</v>
      </c>
      <c r="R2693" s="10">
        <v>5.6807697625358557E-5</v>
      </c>
      <c r="S2693" s="10">
        <v>3.2098354069546208E-5</v>
      </c>
      <c r="T2693" s="10">
        <v>0</v>
      </c>
      <c r="U2693" s="10">
        <v>1.0543999999999999E-4</v>
      </c>
      <c r="V2693" s="25"/>
      <c r="W2693" s="25"/>
      <c r="X2693" s="25"/>
      <c r="Y2693" s="25"/>
      <c r="Z2693" s="25"/>
      <c r="AA2693" s="25"/>
    </row>
    <row r="2694" spans="1:27" x14ac:dyDescent="0.35">
      <c r="A2694" s="5">
        <v>2690</v>
      </c>
      <c r="B2694" s="5">
        <v>113</v>
      </c>
      <c r="C2694" s="5">
        <v>4</v>
      </c>
      <c r="D2694" s="25">
        <v>1.1415000000000001E-4</v>
      </c>
      <c r="E2694" s="25">
        <v>1.1349999999999999E-4</v>
      </c>
      <c r="F2694" s="25">
        <v>1.1689E-4</v>
      </c>
      <c r="G2694" s="25">
        <v>5.2819999999999999E-5</v>
      </c>
      <c r="H2694" s="25">
        <v>7.2760000000000001E-5</v>
      </c>
      <c r="I2694" s="9">
        <v>9.6539999999999994E-5</v>
      </c>
      <c r="J2694" s="9">
        <v>8.4359999999999999E-5</v>
      </c>
      <c r="K2694" s="9">
        <v>2.1617000000000001E-4</v>
      </c>
      <c r="L2694" s="9">
        <v>6.0600000000000003E-5</v>
      </c>
      <c r="M2694" s="9">
        <v>6.7609999999999998E-5</v>
      </c>
      <c r="N2694" s="9">
        <v>7.2219999999999996E-5</v>
      </c>
      <c r="O2694" s="9">
        <v>1.9069999999999999E-5</v>
      </c>
      <c r="P2694" s="9">
        <v>3.773E-5</v>
      </c>
      <c r="Q2694" s="9">
        <v>5.6140000000000001E-5</v>
      </c>
      <c r="R2694" s="10">
        <v>4.7398346891157125E-5</v>
      </c>
      <c r="S2694" s="10">
        <v>2.1496726162442618E-5</v>
      </c>
      <c r="T2694" s="10">
        <v>0</v>
      </c>
      <c r="U2694" s="10">
        <v>1.0543999999999999E-4</v>
      </c>
      <c r="V2694" s="25"/>
      <c r="W2694" s="25"/>
      <c r="X2694" s="25"/>
      <c r="Y2694" s="25"/>
      <c r="Z2694" s="25"/>
      <c r="AA2694" s="25"/>
    </row>
    <row r="2695" spans="1:27" x14ac:dyDescent="0.35">
      <c r="A2695" s="5">
        <v>2691</v>
      </c>
      <c r="B2695" s="5">
        <v>113</v>
      </c>
      <c r="C2695" s="5">
        <v>4</v>
      </c>
      <c r="D2695" s="25">
        <v>1.1416E-4</v>
      </c>
      <c r="E2695" s="25">
        <v>1.1046E-4</v>
      </c>
      <c r="F2695" s="25">
        <v>1.1985999999999999E-4</v>
      </c>
      <c r="G2695" s="25">
        <v>5.7000000000000003E-5</v>
      </c>
      <c r="H2695" s="25">
        <v>6.4880000000000002E-5</v>
      </c>
      <c r="I2695" s="9">
        <v>9.5610000000000001E-5</v>
      </c>
      <c r="J2695" s="9">
        <v>8.4400000000000005E-5</v>
      </c>
      <c r="K2695" s="9">
        <v>2.3524E-4</v>
      </c>
      <c r="L2695" s="9">
        <v>2.8759999999999999E-5</v>
      </c>
      <c r="M2695" s="9">
        <v>5.4169999999999998E-5</v>
      </c>
      <c r="N2695" s="9">
        <v>6.5679999999999995E-5</v>
      </c>
      <c r="O2695" s="9">
        <v>1.365E-5</v>
      </c>
      <c r="P2695" s="9">
        <v>3.7799999999999997E-5</v>
      </c>
      <c r="Q2695" s="9">
        <v>6.1610000000000001E-5</v>
      </c>
      <c r="R2695" s="10">
        <v>3.6618750468577446E-5</v>
      </c>
      <c r="S2695" s="10">
        <v>1.5274073772069999E-5</v>
      </c>
      <c r="T2695" s="10">
        <v>0</v>
      </c>
      <c r="U2695" s="10">
        <v>1.0543999999999999E-4</v>
      </c>
      <c r="V2695" s="25"/>
      <c r="W2695" s="25"/>
      <c r="X2695" s="25"/>
      <c r="Y2695" s="25"/>
      <c r="Z2695" s="25"/>
      <c r="AA2695" s="25"/>
    </row>
    <row r="2696" spans="1:27" x14ac:dyDescent="0.35">
      <c r="A2696" s="5">
        <v>2692</v>
      </c>
      <c r="B2696" s="5">
        <v>113</v>
      </c>
      <c r="C2696" s="5">
        <v>4</v>
      </c>
      <c r="D2696" s="25">
        <v>1.1415000000000001E-4</v>
      </c>
      <c r="E2696" s="25">
        <v>1.1279E-4</v>
      </c>
      <c r="F2696" s="25">
        <v>1.2317E-4</v>
      </c>
      <c r="G2696" s="25">
        <v>5.5600000000000003E-5</v>
      </c>
      <c r="H2696" s="25">
        <v>7.3100000000000001E-5</v>
      </c>
      <c r="I2696" s="9">
        <v>9.6180000000000004E-5</v>
      </c>
      <c r="J2696" s="9">
        <v>8.3620000000000002E-5</v>
      </c>
      <c r="K2696" s="9">
        <v>2.4795999999999998E-4</v>
      </c>
      <c r="L2696" s="9">
        <v>1.783E-5</v>
      </c>
      <c r="M2696" s="9">
        <v>4.5040000000000002E-5</v>
      </c>
      <c r="N2696" s="9">
        <v>6.2080000000000002E-5</v>
      </c>
      <c r="O2696" s="9">
        <v>1.361E-5</v>
      </c>
      <c r="P2696" s="9">
        <v>4.7129999999999998E-5</v>
      </c>
      <c r="Q2696" s="9">
        <v>8.0160000000000005E-5</v>
      </c>
      <c r="R2696" s="10">
        <v>2.8241950992766045E-5</v>
      </c>
      <c r="S2696" s="10">
        <v>1.3308802533538224E-5</v>
      </c>
      <c r="T2696" s="10">
        <v>0</v>
      </c>
      <c r="U2696" s="10">
        <v>1.0543999999999999E-4</v>
      </c>
      <c r="V2696" s="25"/>
      <c r="W2696" s="25"/>
      <c r="X2696" s="25"/>
      <c r="Y2696" s="25"/>
      <c r="Z2696" s="25"/>
      <c r="AA2696" s="25"/>
    </row>
    <row r="2697" spans="1:27" x14ac:dyDescent="0.35">
      <c r="A2697" s="5">
        <v>2693</v>
      </c>
      <c r="B2697" s="5">
        <v>113</v>
      </c>
      <c r="C2697" s="5">
        <v>4</v>
      </c>
      <c r="D2697" s="25">
        <v>1.1416E-4</v>
      </c>
      <c r="E2697" s="25">
        <v>1.1996E-4</v>
      </c>
      <c r="F2697" s="25">
        <v>1.2774999999999999E-4</v>
      </c>
      <c r="G2697" s="25">
        <v>5.9599999999999999E-5</v>
      </c>
      <c r="H2697" s="25">
        <v>7.3460000000000005E-5</v>
      </c>
      <c r="I2697" s="9">
        <v>1.0137999999999999E-4</v>
      </c>
      <c r="J2697" s="9">
        <v>8.687E-5</v>
      </c>
      <c r="K2697" s="9">
        <v>2.4795999999999998E-4</v>
      </c>
      <c r="L2697" s="9">
        <v>1.471E-5</v>
      </c>
      <c r="M2697" s="9">
        <v>4.3770000000000003E-5</v>
      </c>
      <c r="N2697" s="9">
        <v>6.4519999999999999E-5</v>
      </c>
      <c r="O2697" s="9">
        <v>1.9110000000000002E-5</v>
      </c>
      <c r="P2697" s="9">
        <v>5.6730000000000001E-5</v>
      </c>
      <c r="Q2697" s="9">
        <v>9.3800000000000003E-5</v>
      </c>
      <c r="R2697" s="10">
        <v>2.1272691719791013E-5</v>
      </c>
      <c r="S2697" s="10">
        <v>1.1432287262977713E-5</v>
      </c>
      <c r="T2697" s="10">
        <v>0</v>
      </c>
      <c r="U2697" s="10">
        <v>1.0543999999999999E-4</v>
      </c>
      <c r="V2697" s="25"/>
      <c r="W2697" s="25"/>
      <c r="X2697" s="25"/>
      <c r="Y2697" s="25"/>
      <c r="Z2697" s="25"/>
      <c r="AA2697" s="25"/>
    </row>
    <row r="2698" spans="1:27" x14ac:dyDescent="0.35">
      <c r="A2698" s="5">
        <v>2694</v>
      </c>
      <c r="B2698" s="5">
        <v>113</v>
      </c>
      <c r="C2698" s="5">
        <v>4</v>
      </c>
      <c r="D2698" s="25">
        <v>1.1415000000000001E-4</v>
      </c>
      <c r="E2698" s="25">
        <v>1.1339E-4</v>
      </c>
      <c r="F2698" s="25">
        <v>1.2365999999999999E-4</v>
      </c>
      <c r="G2698" s="25">
        <v>1.1046E-4</v>
      </c>
      <c r="H2698" s="25">
        <v>1.3662E-4</v>
      </c>
      <c r="I2698" s="9">
        <v>1.1301E-4</v>
      </c>
      <c r="J2698" s="9">
        <v>9.6139999999999998E-5</v>
      </c>
      <c r="K2698" s="9">
        <v>2.0345000000000001E-4</v>
      </c>
      <c r="L2698" s="9">
        <v>1.8009999999999999E-5</v>
      </c>
      <c r="M2698" s="9">
        <v>4.8489999999999998E-5</v>
      </c>
      <c r="N2698" s="9">
        <v>7.1069999999999995E-5</v>
      </c>
      <c r="O2698" s="9">
        <v>4.638E-5</v>
      </c>
      <c r="P2698" s="9">
        <v>7.6920000000000002E-5</v>
      </c>
      <c r="Q2698" s="9">
        <v>1.0711E-4</v>
      </c>
      <c r="R2698" s="10">
        <v>1.8600331657651322E-5</v>
      </c>
      <c r="S2698" s="10">
        <v>1.1544124822361563E-5</v>
      </c>
      <c r="T2698" s="10">
        <v>1.2217391064205224E-5</v>
      </c>
      <c r="U2698" s="10">
        <v>1.0543999999999999E-4</v>
      </c>
      <c r="V2698" s="25"/>
      <c r="W2698" s="25"/>
      <c r="X2698" s="25"/>
      <c r="Y2698" s="25"/>
      <c r="Z2698" s="25"/>
      <c r="AA2698" s="25"/>
    </row>
    <row r="2699" spans="1:27" x14ac:dyDescent="0.35">
      <c r="A2699" s="5">
        <v>2695</v>
      </c>
      <c r="B2699" s="5">
        <v>113</v>
      </c>
      <c r="C2699" s="5">
        <v>4</v>
      </c>
      <c r="D2699" s="25">
        <v>1.1416E-4</v>
      </c>
      <c r="E2699" s="25">
        <v>1.1233E-4</v>
      </c>
      <c r="F2699" s="25">
        <v>1.0965E-4</v>
      </c>
      <c r="G2699" s="25">
        <v>1.1480999999999999E-4</v>
      </c>
      <c r="H2699" s="25">
        <v>1.3726E-4</v>
      </c>
      <c r="I2699" s="9">
        <v>1.2199E-4</v>
      </c>
      <c r="J2699" s="9">
        <v>1.1043E-4</v>
      </c>
      <c r="K2699" s="9">
        <v>1.3350999999999999E-4</v>
      </c>
      <c r="L2699" s="9">
        <v>3.9990000000000002E-5</v>
      </c>
      <c r="M2699" s="9">
        <v>6.0059999999999998E-5</v>
      </c>
      <c r="N2699" s="9">
        <v>8.0760000000000006E-5</v>
      </c>
      <c r="O2699" s="9">
        <v>1.239E-4</v>
      </c>
      <c r="P2699" s="9">
        <v>1.1849E-4</v>
      </c>
      <c r="Q2699" s="9">
        <v>1.1351E-4</v>
      </c>
      <c r="R2699" s="10">
        <v>1.2051402872608663E-5</v>
      </c>
      <c r="S2699" s="10">
        <v>1.0424613231404847E-5</v>
      </c>
      <c r="T2699" s="10">
        <v>6.9885173747123906E-5</v>
      </c>
      <c r="U2699" s="10">
        <v>1.0543999999999999E-4</v>
      </c>
      <c r="V2699" s="25"/>
      <c r="W2699" s="25"/>
      <c r="X2699" s="25"/>
      <c r="Y2699" s="25"/>
      <c r="Z2699" s="25"/>
      <c r="AA2699" s="25"/>
    </row>
    <row r="2700" spans="1:27" x14ac:dyDescent="0.35">
      <c r="A2700" s="5">
        <v>2696</v>
      </c>
      <c r="B2700" s="5">
        <v>113</v>
      </c>
      <c r="C2700" s="5">
        <v>4</v>
      </c>
      <c r="D2700" s="25">
        <v>1.1415000000000001E-4</v>
      </c>
      <c r="E2700" s="25">
        <v>1.1113E-4</v>
      </c>
      <c r="F2700" s="25">
        <v>1.2828000000000001E-4</v>
      </c>
      <c r="G2700" s="25">
        <v>1.6417E-4</v>
      </c>
      <c r="H2700" s="25">
        <v>1.9731999999999999E-4</v>
      </c>
      <c r="I2700" s="9">
        <v>1.2732999999999999E-4</v>
      </c>
      <c r="J2700" s="9">
        <v>1.1995E-4</v>
      </c>
      <c r="K2700" s="9">
        <v>8.2650000000000003E-5</v>
      </c>
      <c r="L2700" s="9">
        <v>1.0483E-4</v>
      </c>
      <c r="M2700" s="9">
        <v>8.4099999999999998E-5</v>
      </c>
      <c r="N2700" s="9">
        <v>9.1080000000000002E-5</v>
      </c>
      <c r="O2700" s="9">
        <v>2.1919999999999999E-4</v>
      </c>
      <c r="P2700" s="9">
        <v>1.7755000000000001E-4</v>
      </c>
      <c r="Q2700" s="9">
        <v>1.3715999999999999E-4</v>
      </c>
      <c r="R2700" s="10">
        <v>4.4636961492200554E-6</v>
      </c>
      <c r="S2700" s="10">
        <v>9.6009582662775093E-6</v>
      </c>
      <c r="T2700" s="10">
        <v>1.3493429686466658E-4</v>
      </c>
      <c r="U2700" s="10">
        <v>1.0543999999999999E-4</v>
      </c>
      <c r="V2700" s="25"/>
      <c r="W2700" s="25"/>
      <c r="X2700" s="25"/>
      <c r="Y2700" s="25"/>
      <c r="Z2700" s="25"/>
      <c r="AA2700" s="25"/>
    </row>
    <row r="2701" spans="1:27" x14ac:dyDescent="0.35">
      <c r="A2701" s="5">
        <v>2697</v>
      </c>
      <c r="B2701" s="5">
        <v>113</v>
      </c>
      <c r="C2701" s="5">
        <v>4</v>
      </c>
      <c r="D2701" s="25">
        <v>1.1416E-4</v>
      </c>
      <c r="E2701" s="25">
        <v>1.1391999999999999E-4</v>
      </c>
      <c r="F2701" s="25">
        <v>1.1224E-4</v>
      </c>
      <c r="G2701" s="25">
        <v>1.6352000000000001E-4</v>
      </c>
      <c r="H2701" s="25">
        <v>1.9073000000000001E-4</v>
      </c>
      <c r="I2701" s="9">
        <v>1.3036999999999999E-4</v>
      </c>
      <c r="J2701" s="9">
        <v>1.2275E-4</v>
      </c>
      <c r="K2701" s="9">
        <v>3.8149999999999999E-5</v>
      </c>
      <c r="L2701" s="9">
        <v>1.9226000000000001E-4</v>
      </c>
      <c r="M2701" s="9">
        <v>1.2396E-4</v>
      </c>
      <c r="N2701" s="9">
        <v>1.0491E-4</v>
      </c>
      <c r="O2701" s="9">
        <v>2.1048E-4</v>
      </c>
      <c r="P2701" s="9">
        <v>1.9336000000000001E-4</v>
      </c>
      <c r="Q2701" s="9">
        <v>1.7708000000000001E-4</v>
      </c>
      <c r="R2701" s="10">
        <v>1.1352640640679467E-6</v>
      </c>
      <c r="S2701" s="10">
        <v>9.8590047701375134E-6</v>
      </c>
      <c r="T2701" s="10">
        <v>1.7337665722016234E-4</v>
      </c>
      <c r="U2701" s="10">
        <v>1.0543999999999999E-4</v>
      </c>
      <c r="V2701" s="25"/>
      <c r="W2701" s="25"/>
      <c r="X2701" s="25"/>
      <c r="Y2701" s="25"/>
      <c r="Z2701" s="25"/>
      <c r="AA2701" s="25"/>
    </row>
    <row r="2702" spans="1:27" x14ac:dyDescent="0.35">
      <c r="A2702" s="5">
        <v>2698</v>
      </c>
      <c r="B2702" s="5">
        <v>113</v>
      </c>
      <c r="C2702" s="5">
        <v>4</v>
      </c>
      <c r="D2702" s="25">
        <v>1.1415000000000001E-4</v>
      </c>
      <c r="E2702" s="25">
        <v>1.1487E-4</v>
      </c>
      <c r="F2702" s="25">
        <v>1.2433999999999999E-4</v>
      </c>
      <c r="G2702" s="25">
        <v>1.6611999999999999E-4</v>
      </c>
      <c r="H2702" s="25">
        <v>1.9546E-4</v>
      </c>
      <c r="I2702" s="9">
        <v>1.2977E-4</v>
      </c>
      <c r="J2702" s="9">
        <v>1.2191E-4</v>
      </c>
      <c r="K2702" s="9">
        <v>1.272E-5</v>
      </c>
      <c r="L2702" s="9">
        <v>2.0417999999999999E-4</v>
      </c>
      <c r="M2702" s="9">
        <v>1.5904E-4</v>
      </c>
      <c r="N2702" s="9">
        <v>1.2494000000000001E-4</v>
      </c>
      <c r="O2702" s="9">
        <v>1.6579999999999999E-4</v>
      </c>
      <c r="P2702" s="9">
        <v>1.7343E-4</v>
      </c>
      <c r="Q2702" s="9">
        <v>1.8141000000000001E-4</v>
      </c>
      <c r="R2702" s="10">
        <v>3.7141857587549732E-7</v>
      </c>
      <c r="S2702" s="10">
        <v>9.4508756700833833E-6</v>
      </c>
      <c r="T2702" s="10">
        <v>2.1785135441360941E-4</v>
      </c>
      <c r="U2702" s="10">
        <v>1.0543999999999999E-4</v>
      </c>
      <c r="V2702" s="25"/>
      <c r="W2702" s="25"/>
      <c r="X2702" s="25"/>
      <c r="Y2702" s="25"/>
      <c r="Z2702" s="25"/>
      <c r="AA2702" s="25"/>
    </row>
    <row r="2703" spans="1:27" x14ac:dyDescent="0.35">
      <c r="A2703" s="5">
        <v>2699</v>
      </c>
      <c r="B2703" s="5">
        <v>113</v>
      </c>
      <c r="C2703" s="5">
        <v>4</v>
      </c>
      <c r="D2703" s="25">
        <v>1.1416E-4</v>
      </c>
      <c r="E2703" s="25">
        <v>1.1565000000000001E-4</v>
      </c>
      <c r="F2703" s="25">
        <v>1.193E-4</v>
      </c>
      <c r="G2703" s="25">
        <v>1.5814E-4</v>
      </c>
      <c r="H2703" s="25">
        <v>1.8995000000000001E-4</v>
      </c>
      <c r="I2703" s="9">
        <v>1.3122000000000001E-4</v>
      </c>
      <c r="J2703" s="9">
        <v>1.2064E-4</v>
      </c>
      <c r="K2703" s="9">
        <v>0</v>
      </c>
      <c r="L2703" s="9">
        <v>1.7432999999999999E-4</v>
      </c>
      <c r="M2703" s="9">
        <v>1.7233E-4</v>
      </c>
      <c r="N2703" s="9">
        <v>1.4281999999999999E-4</v>
      </c>
      <c r="O2703" s="9">
        <v>1.6683E-4</v>
      </c>
      <c r="P2703" s="9">
        <v>1.7316E-4</v>
      </c>
      <c r="Q2703" s="9">
        <v>1.7985000000000001E-4</v>
      </c>
      <c r="R2703" s="10">
        <v>1.7737220776636864E-7</v>
      </c>
      <c r="S2703" s="10">
        <v>8.7037036687358518E-6</v>
      </c>
      <c r="T2703" s="10">
        <v>3.2533045858121481E-4</v>
      </c>
      <c r="U2703" s="10">
        <v>1.0543999999999999E-4</v>
      </c>
      <c r="V2703" s="25"/>
      <c r="W2703" s="25"/>
      <c r="X2703" s="25"/>
      <c r="Y2703" s="25"/>
      <c r="Z2703" s="25"/>
      <c r="AA2703" s="25"/>
    </row>
    <row r="2704" spans="1:27" x14ac:dyDescent="0.35">
      <c r="A2704" s="5">
        <v>2700</v>
      </c>
      <c r="B2704" s="5">
        <v>113</v>
      </c>
      <c r="C2704" s="5">
        <v>4</v>
      </c>
      <c r="D2704" s="25">
        <v>1.1415000000000001E-4</v>
      </c>
      <c r="E2704" s="25">
        <v>1.1290000000000001E-4</v>
      </c>
      <c r="F2704" s="25">
        <v>1.2841999999999999E-4</v>
      </c>
      <c r="G2704" s="25">
        <v>1.6224999999999999E-4</v>
      </c>
      <c r="H2704" s="25">
        <v>1.9212999999999999E-4</v>
      </c>
      <c r="I2704" s="9">
        <v>1.2815999999999999E-4</v>
      </c>
      <c r="J2704" s="9">
        <v>1.1869E-4</v>
      </c>
      <c r="K2704" s="9">
        <v>0</v>
      </c>
      <c r="L2704" s="9">
        <v>1.6990000000000001E-4</v>
      </c>
      <c r="M2704" s="9">
        <v>1.7484E-4</v>
      </c>
      <c r="N2704" s="9">
        <v>1.5692000000000001E-4</v>
      </c>
      <c r="O2704" s="9">
        <v>1.6838000000000001E-4</v>
      </c>
      <c r="P2704" s="9">
        <v>1.7060999999999999E-4</v>
      </c>
      <c r="Q2704" s="9">
        <v>1.7326E-4</v>
      </c>
      <c r="R2704" s="10">
        <v>2.7889664462625354E-7</v>
      </c>
      <c r="S2704" s="10">
        <v>3.3154112750246364E-6</v>
      </c>
      <c r="T2704" s="10">
        <v>5.3681858848221738E-4</v>
      </c>
      <c r="U2704" s="10">
        <v>1.0543999999999999E-4</v>
      </c>
      <c r="V2704" s="25"/>
      <c r="W2704" s="25"/>
      <c r="X2704" s="25"/>
      <c r="Y2704" s="25"/>
      <c r="Z2704" s="25"/>
      <c r="AA2704" s="25"/>
    </row>
    <row r="2705" spans="1:27" x14ac:dyDescent="0.35">
      <c r="A2705" s="5">
        <v>2701</v>
      </c>
      <c r="B2705" s="5">
        <v>113</v>
      </c>
      <c r="C2705" s="5">
        <v>4</v>
      </c>
      <c r="D2705" s="25">
        <v>1.1416E-4</v>
      </c>
      <c r="E2705" s="25">
        <v>1.1938999999999999E-4</v>
      </c>
      <c r="F2705" s="25">
        <v>1.1323E-4</v>
      </c>
      <c r="G2705" s="25">
        <v>1.6542E-4</v>
      </c>
      <c r="H2705" s="25">
        <v>2.0144999999999999E-4</v>
      </c>
      <c r="I2705" s="9">
        <v>1.2621999999999999E-4</v>
      </c>
      <c r="J2705" s="9">
        <v>1.1815E-4</v>
      </c>
      <c r="K2705" s="9">
        <v>0</v>
      </c>
      <c r="L2705" s="9">
        <v>1.6886000000000001E-4</v>
      </c>
      <c r="M2705" s="9">
        <v>1.7348999999999999E-4</v>
      </c>
      <c r="N2705" s="9">
        <v>1.6610999999999999E-4</v>
      </c>
      <c r="O2705" s="9">
        <v>1.5990000000000001E-4</v>
      </c>
      <c r="P2705" s="9">
        <v>1.6288000000000001E-4</v>
      </c>
      <c r="Q2705" s="9">
        <v>1.6625E-4</v>
      </c>
      <c r="R2705" s="10">
        <v>5.5822205444521329E-7</v>
      </c>
      <c r="S2705" s="10">
        <v>2.4217653122935988E-6</v>
      </c>
      <c r="T2705" s="10">
        <v>7.3605539012161394E-4</v>
      </c>
      <c r="U2705" s="10">
        <v>1.0543999999999999E-4</v>
      </c>
      <c r="V2705" s="25"/>
      <c r="W2705" s="25"/>
      <c r="X2705" s="25"/>
      <c r="Y2705" s="25"/>
      <c r="Z2705" s="25"/>
      <c r="AA2705" s="25"/>
    </row>
    <row r="2706" spans="1:27" x14ac:dyDescent="0.35">
      <c r="A2706" s="5">
        <v>2702</v>
      </c>
      <c r="B2706" s="5">
        <v>113</v>
      </c>
      <c r="C2706" s="5">
        <v>4</v>
      </c>
      <c r="D2706" s="25">
        <v>1.1415000000000001E-4</v>
      </c>
      <c r="E2706" s="25">
        <v>1.1205E-4</v>
      </c>
      <c r="F2706" s="25">
        <v>1.1819000000000001E-4</v>
      </c>
      <c r="G2706" s="25">
        <v>1.6437999999999999E-4</v>
      </c>
      <c r="H2706" s="25">
        <v>1.9546E-4</v>
      </c>
      <c r="I2706" s="9">
        <v>1.2507999999999999E-4</v>
      </c>
      <c r="J2706" s="9">
        <v>1.1788E-4</v>
      </c>
      <c r="K2706" s="9">
        <v>0</v>
      </c>
      <c r="L2706" s="9">
        <v>1.6163000000000001E-4</v>
      </c>
      <c r="M2706" s="9">
        <v>1.6929E-4</v>
      </c>
      <c r="N2706" s="9">
        <v>1.7011000000000001E-4</v>
      </c>
      <c r="O2706" s="9">
        <v>1.7683999999999999E-4</v>
      </c>
      <c r="P2706" s="9">
        <v>1.6822000000000001E-4</v>
      </c>
      <c r="Q2706" s="9">
        <v>1.6022000000000001E-4</v>
      </c>
      <c r="R2706" s="10">
        <v>6.8217387646027443E-7</v>
      </c>
      <c r="S2706" s="10">
        <v>2.8052355642442454E-6</v>
      </c>
      <c r="T2706" s="10">
        <v>6.9769787275961984E-4</v>
      </c>
      <c r="U2706" s="10">
        <v>1.0543999999999999E-4</v>
      </c>
      <c r="V2706" s="25"/>
      <c r="W2706" s="25"/>
      <c r="X2706" s="25"/>
      <c r="Y2706" s="25"/>
      <c r="Z2706" s="25"/>
      <c r="AA2706" s="25"/>
    </row>
    <row r="2707" spans="1:27" x14ac:dyDescent="0.35">
      <c r="A2707" s="5">
        <v>2703</v>
      </c>
      <c r="B2707" s="5">
        <v>113</v>
      </c>
      <c r="C2707" s="5">
        <v>4</v>
      </c>
      <c r="D2707" s="25">
        <v>1.1416E-4</v>
      </c>
      <c r="E2707" s="25">
        <v>1.1406E-4</v>
      </c>
      <c r="F2707" s="25">
        <v>1.1211E-4</v>
      </c>
      <c r="G2707" s="25">
        <v>1.5750000000000001E-4</v>
      </c>
      <c r="H2707" s="25">
        <v>1.9233999999999999E-4</v>
      </c>
      <c r="I2707" s="9">
        <v>1.2264E-4</v>
      </c>
      <c r="J2707" s="9">
        <v>1.1714000000000001E-4</v>
      </c>
      <c r="K2707" s="9">
        <v>0</v>
      </c>
      <c r="L2707" s="9">
        <v>1.7367000000000001E-4</v>
      </c>
      <c r="M2707" s="9">
        <v>1.6771000000000001E-4</v>
      </c>
      <c r="N2707" s="9">
        <v>1.695E-4</v>
      </c>
      <c r="O2707" s="9">
        <v>1.8401999999999999E-4</v>
      </c>
      <c r="P2707" s="9">
        <v>1.6846E-4</v>
      </c>
      <c r="Q2707" s="9">
        <v>1.5365999999999999E-4</v>
      </c>
      <c r="R2707" s="10">
        <v>6.6242086212460022E-7</v>
      </c>
      <c r="S2707" s="10">
        <v>4.8316303768420775E-6</v>
      </c>
      <c r="T2707" s="10">
        <v>5.9731164284873345E-4</v>
      </c>
      <c r="U2707" s="10">
        <v>1.0543999999999999E-4</v>
      </c>
      <c r="V2707" s="25"/>
      <c r="W2707" s="25"/>
      <c r="X2707" s="25"/>
      <c r="Y2707" s="25"/>
      <c r="Z2707" s="25"/>
      <c r="AA2707" s="25"/>
    </row>
    <row r="2708" spans="1:27" x14ac:dyDescent="0.35">
      <c r="A2708" s="5">
        <v>2704</v>
      </c>
      <c r="B2708" s="5">
        <v>113</v>
      </c>
      <c r="C2708" s="5">
        <v>4</v>
      </c>
      <c r="D2708" s="25">
        <v>1.1415000000000001E-4</v>
      </c>
      <c r="E2708" s="25">
        <v>1.1911E-4</v>
      </c>
      <c r="F2708" s="25">
        <v>1.2292999999999999E-4</v>
      </c>
      <c r="G2708" s="25">
        <v>1.5898E-4</v>
      </c>
      <c r="H2708" s="25">
        <v>1.9008999999999999E-4</v>
      </c>
      <c r="I2708" s="9">
        <v>1.2222000000000001E-4</v>
      </c>
      <c r="J2708" s="9">
        <v>1.1668E-4</v>
      </c>
      <c r="K2708" s="9">
        <v>0</v>
      </c>
      <c r="L2708" s="9">
        <v>1.8142000000000001E-4</v>
      </c>
      <c r="M2708" s="9">
        <v>1.6767999999999999E-4</v>
      </c>
      <c r="N2708" s="9">
        <v>1.6590999999999999E-4</v>
      </c>
      <c r="O2708" s="9">
        <v>1.9811000000000001E-4</v>
      </c>
      <c r="P2708" s="9">
        <v>1.538E-4</v>
      </c>
      <c r="Q2708" s="9">
        <v>1.1073000000000001E-4</v>
      </c>
      <c r="R2708" s="10">
        <v>6.1895151632732859E-7</v>
      </c>
      <c r="S2708" s="10">
        <v>9.0630044671758996E-6</v>
      </c>
      <c r="T2708" s="10">
        <v>4.8053374659337187E-4</v>
      </c>
      <c r="U2708" s="10">
        <v>1.0543999999999999E-4</v>
      </c>
      <c r="V2708" s="25"/>
      <c r="W2708" s="25"/>
      <c r="X2708" s="25"/>
      <c r="Y2708" s="25"/>
      <c r="Z2708" s="25"/>
      <c r="AA2708" s="25"/>
    </row>
    <row r="2709" spans="1:27" x14ac:dyDescent="0.35">
      <c r="A2709" s="5">
        <v>2705</v>
      </c>
      <c r="B2709" s="5">
        <v>113</v>
      </c>
      <c r="C2709" s="5">
        <v>4</v>
      </c>
      <c r="D2709" s="25">
        <v>1.1416E-4</v>
      </c>
      <c r="E2709" s="25">
        <v>1.1432E-4</v>
      </c>
      <c r="F2709" s="25">
        <v>1.2667000000000001E-4</v>
      </c>
      <c r="G2709" s="25">
        <v>1.6389E-4</v>
      </c>
      <c r="H2709" s="25">
        <v>2.0095000000000001E-4</v>
      </c>
      <c r="I2709" s="9">
        <v>1.2113E-4</v>
      </c>
      <c r="J2709" s="9">
        <v>1.1856E-4</v>
      </c>
      <c r="K2709" s="9">
        <v>0</v>
      </c>
      <c r="L2709" s="9">
        <v>1.9416999999999999E-4</v>
      </c>
      <c r="M2709" s="9">
        <v>1.628E-4</v>
      </c>
      <c r="N2709" s="9">
        <v>1.5247000000000001E-4</v>
      </c>
      <c r="O2709" s="9">
        <v>2.1089000000000001E-4</v>
      </c>
      <c r="P2709" s="9">
        <v>1.5781000000000001E-4</v>
      </c>
      <c r="Q2709" s="9">
        <v>1.0615000000000001E-4</v>
      </c>
      <c r="R2709" s="10">
        <v>6.8492460435382577E-7</v>
      </c>
      <c r="S2709" s="10">
        <v>1.1903026154612085E-5</v>
      </c>
      <c r="T2709" s="10">
        <v>2.9482091811810232E-4</v>
      </c>
      <c r="U2709" s="10">
        <v>1.0543999999999999E-4</v>
      </c>
      <c r="V2709" s="25"/>
      <c r="W2709" s="25"/>
      <c r="X2709" s="25"/>
      <c r="Y2709" s="25"/>
      <c r="Z2709" s="25"/>
      <c r="AA2709" s="25"/>
    </row>
    <row r="2710" spans="1:27" x14ac:dyDescent="0.35">
      <c r="A2710" s="5">
        <v>2706</v>
      </c>
      <c r="B2710" s="5">
        <v>113</v>
      </c>
      <c r="C2710" s="5">
        <v>4</v>
      </c>
      <c r="D2710" s="25">
        <v>1.1415000000000001E-4</v>
      </c>
      <c r="E2710" s="25">
        <v>1.1862999999999999E-4</v>
      </c>
      <c r="F2710" s="25">
        <v>1.216E-4</v>
      </c>
      <c r="G2710" s="25">
        <v>1.6246000000000001E-4</v>
      </c>
      <c r="H2710" s="25">
        <v>2.0165E-4</v>
      </c>
      <c r="I2710" s="9">
        <v>1.1977E-4</v>
      </c>
      <c r="J2710" s="9">
        <v>1.1616E-4</v>
      </c>
      <c r="K2710" s="9">
        <v>0</v>
      </c>
      <c r="L2710" s="9">
        <v>2.0694999999999999E-4</v>
      </c>
      <c r="M2710" s="9">
        <v>1.5961999999999999E-4</v>
      </c>
      <c r="N2710" s="9">
        <v>1.3899E-4</v>
      </c>
      <c r="O2710" s="9">
        <v>2.0573999999999999E-4</v>
      </c>
      <c r="P2710" s="9">
        <v>1.6147000000000001E-4</v>
      </c>
      <c r="Q2710" s="9">
        <v>1.1847E-4</v>
      </c>
      <c r="R2710" s="10">
        <v>8.4325335795319946E-7</v>
      </c>
      <c r="S2710" s="10">
        <v>1.2239806435245589E-5</v>
      </c>
      <c r="T2710" s="10">
        <v>1.0053894729918882E-4</v>
      </c>
      <c r="U2710" s="10">
        <v>1.0543999999999999E-4</v>
      </c>
      <c r="V2710" s="25"/>
      <c r="W2710" s="25"/>
      <c r="X2710" s="25"/>
      <c r="Y2710" s="25"/>
      <c r="Z2710" s="25"/>
      <c r="AA2710" s="25"/>
    </row>
    <row r="2711" spans="1:27" x14ac:dyDescent="0.35">
      <c r="A2711" s="5">
        <v>2707</v>
      </c>
      <c r="B2711" s="5">
        <v>113</v>
      </c>
      <c r="C2711" s="5">
        <v>4</v>
      </c>
      <c r="D2711" s="25">
        <v>1.1416E-4</v>
      </c>
      <c r="E2711" s="25">
        <v>1.1572E-4</v>
      </c>
      <c r="F2711" s="25">
        <v>1.1953E-4</v>
      </c>
      <c r="G2711" s="25">
        <v>1.0624999999999999E-4</v>
      </c>
      <c r="H2711" s="25">
        <v>1.3761000000000001E-4</v>
      </c>
      <c r="I2711" s="9">
        <v>1.1662E-4</v>
      </c>
      <c r="J2711" s="9">
        <v>1.1370999999999999E-4</v>
      </c>
      <c r="K2711" s="9">
        <v>1.484E-5</v>
      </c>
      <c r="L2711" s="9">
        <v>2.0570000000000001E-4</v>
      </c>
      <c r="M2711" s="9">
        <v>1.5957999999999999E-4</v>
      </c>
      <c r="N2711" s="9">
        <v>1.3018E-4</v>
      </c>
      <c r="O2711" s="9">
        <v>1.6495999999999999E-4</v>
      </c>
      <c r="P2711" s="9">
        <v>1.36E-4</v>
      </c>
      <c r="Q2711" s="9">
        <v>1.0794E-4</v>
      </c>
      <c r="R2711" s="10">
        <v>1.1836636508319764E-6</v>
      </c>
      <c r="S2711" s="10">
        <v>1.00240479981859E-5</v>
      </c>
      <c r="T2711" s="10">
        <v>1.0486593996776151E-5</v>
      </c>
      <c r="U2711" s="10">
        <v>1.0543999999999999E-4</v>
      </c>
      <c r="V2711" s="25"/>
      <c r="W2711" s="25"/>
      <c r="X2711" s="25"/>
      <c r="Y2711" s="25"/>
      <c r="Z2711" s="25"/>
      <c r="AA2711" s="25"/>
    </row>
    <row r="2712" spans="1:27" x14ac:dyDescent="0.35">
      <c r="A2712" s="5">
        <v>2708</v>
      </c>
      <c r="B2712" s="5">
        <v>113</v>
      </c>
      <c r="C2712" s="5">
        <v>4</v>
      </c>
      <c r="D2712" s="25">
        <v>1.1415000000000001E-4</v>
      </c>
      <c r="E2712" s="25">
        <v>1.1211E-4</v>
      </c>
      <c r="F2712" s="25">
        <v>1.1391E-4</v>
      </c>
      <c r="G2712" s="25">
        <v>1.0561E-4</v>
      </c>
      <c r="H2712" s="25">
        <v>1.3603000000000001E-4</v>
      </c>
      <c r="I2712" s="9">
        <v>1.1458E-4</v>
      </c>
      <c r="J2712" s="9">
        <v>1.1187E-4</v>
      </c>
      <c r="K2712" s="9">
        <v>5.0869999999999999E-5</v>
      </c>
      <c r="L2712" s="9">
        <v>1.7404000000000001E-4</v>
      </c>
      <c r="M2712" s="9">
        <v>1.5127000000000001E-4</v>
      </c>
      <c r="N2712" s="9">
        <v>1.2128E-4</v>
      </c>
      <c r="O2712" s="9">
        <v>1.2797000000000001E-4</v>
      </c>
      <c r="P2712" s="9">
        <v>1.1448E-4</v>
      </c>
      <c r="Q2712" s="9">
        <v>1.0155E-4</v>
      </c>
      <c r="R2712" s="10">
        <v>2.7607821448710899E-6</v>
      </c>
      <c r="S2712" s="10">
        <v>8.1685036456614245E-6</v>
      </c>
      <c r="T2712" s="10">
        <v>0</v>
      </c>
      <c r="U2712" s="10">
        <v>1.0543999999999999E-4</v>
      </c>
      <c r="V2712" s="25"/>
      <c r="W2712" s="25"/>
      <c r="X2712" s="25"/>
      <c r="Y2712" s="25"/>
      <c r="Z2712" s="25"/>
      <c r="AA2712" s="25"/>
    </row>
    <row r="2713" spans="1:27" x14ac:dyDescent="0.35">
      <c r="A2713" s="5">
        <v>2709</v>
      </c>
      <c r="B2713" s="5">
        <v>113</v>
      </c>
      <c r="C2713" s="5">
        <v>4</v>
      </c>
      <c r="D2713" s="25">
        <v>1.1416E-4</v>
      </c>
      <c r="E2713" s="25">
        <v>1.1751E-4</v>
      </c>
      <c r="F2713" s="25">
        <v>1.2153E-4</v>
      </c>
      <c r="G2713" s="25">
        <v>6.3579999999999998E-5</v>
      </c>
      <c r="H2713" s="25">
        <v>6.6039999999999998E-5</v>
      </c>
      <c r="I2713" s="9">
        <v>1.1569E-4</v>
      </c>
      <c r="J2713" s="9">
        <v>1.1142E-4</v>
      </c>
      <c r="K2713" s="9">
        <v>1.0385E-4</v>
      </c>
      <c r="L2713" s="9">
        <v>1.3905999999999999E-4</v>
      </c>
      <c r="M2713" s="9">
        <v>1.3569E-4</v>
      </c>
      <c r="N2713" s="9">
        <v>1.1348E-4</v>
      </c>
      <c r="O2713" s="9">
        <v>8.4110000000000006E-5</v>
      </c>
      <c r="P2713" s="9">
        <v>8.5900000000000001E-5</v>
      </c>
      <c r="Q2713" s="9">
        <v>8.7880000000000006E-5</v>
      </c>
      <c r="R2713" s="10">
        <v>4.8357028186117035E-6</v>
      </c>
      <c r="S2713" s="10">
        <v>6.6565497856164352E-6</v>
      </c>
      <c r="T2713" s="10">
        <v>0</v>
      </c>
      <c r="U2713" s="10">
        <v>1.0543999999999999E-4</v>
      </c>
      <c r="V2713" s="25"/>
      <c r="W2713" s="25"/>
      <c r="X2713" s="25"/>
      <c r="Y2713" s="25"/>
      <c r="Z2713" s="25"/>
      <c r="AA2713" s="25"/>
    </row>
    <row r="2714" spans="1:27" x14ac:dyDescent="0.35">
      <c r="A2714" s="5">
        <v>2710</v>
      </c>
      <c r="B2714" s="5">
        <v>113</v>
      </c>
      <c r="C2714" s="5">
        <v>4</v>
      </c>
      <c r="D2714" s="25">
        <v>1.1415000000000001E-4</v>
      </c>
      <c r="E2714" s="25">
        <v>1.1383E-4</v>
      </c>
      <c r="F2714" s="25">
        <v>1.1495E-4</v>
      </c>
      <c r="G2714" s="25">
        <v>6.0590000000000001E-5</v>
      </c>
      <c r="H2714" s="25">
        <v>7.0270000000000003E-5</v>
      </c>
      <c r="I2714" s="9">
        <v>1.1644E-4</v>
      </c>
      <c r="J2714" s="9">
        <v>1.0432E-4</v>
      </c>
      <c r="K2714" s="9">
        <v>1.4835E-4</v>
      </c>
      <c r="L2714" s="9">
        <v>9.7159999999999998E-5</v>
      </c>
      <c r="M2714" s="9">
        <v>1.1373E-4</v>
      </c>
      <c r="N2714" s="9">
        <v>1.0572E-4</v>
      </c>
      <c r="O2714" s="9">
        <v>8.7130000000000001E-5</v>
      </c>
      <c r="P2714" s="9">
        <v>8.755E-5</v>
      </c>
      <c r="Q2714" s="9">
        <v>8.8200000000000003E-5</v>
      </c>
      <c r="R2714" s="10">
        <v>4.0557308059336215E-6</v>
      </c>
      <c r="S2714" s="10">
        <v>6.0718071760170252E-6</v>
      </c>
      <c r="T2714" s="10">
        <v>0</v>
      </c>
      <c r="U2714" s="10">
        <v>1.0543999999999999E-4</v>
      </c>
      <c r="V2714" s="25"/>
      <c r="W2714" s="25"/>
      <c r="X2714" s="25"/>
      <c r="Y2714" s="25"/>
      <c r="Z2714" s="25"/>
      <c r="AA2714" s="25"/>
    </row>
    <row r="2715" spans="1:27" x14ac:dyDescent="0.35">
      <c r="A2715" s="5">
        <v>2711</v>
      </c>
      <c r="B2715" s="5">
        <v>113</v>
      </c>
      <c r="C2715" s="5">
        <v>4</v>
      </c>
      <c r="D2715" s="25">
        <v>1.1416E-4</v>
      </c>
      <c r="E2715" s="25">
        <v>1.1817E-4</v>
      </c>
      <c r="F2715" s="25">
        <v>1.2184999999999999E-4</v>
      </c>
      <c r="G2715" s="25">
        <v>5.5720000000000002E-5</v>
      </c>
      <c r="H2715" s="25">
        <v>7.3800000000000005E-5</v>
      </c>
      <c r="I2715" s="9">
        <v>1.1457E-4</v>
      </c>
      <c r="J2715" s="9">
        <v>9.7869999999999996E-5</v>
      </c>
      <c r="K2715" s="9">
        <v>1.8013999999999999E-4</v>
      </c>
      <c r="L2715" s="9">
        <v>9.0279999999999996E-5</v>
      </c>
      <c r="M2715" s="9">
        <v>9.891E-5</v>
      </c>
      <c r="N2715" s="9">
        <v>9.9870000000000004E-5</v>
      </c>
      <c r="O2715" s="9">
        <v>7.8250000000000005E-5</v>
      </c>
      <c r="P2715" s="9">
        <v>7.2659999999999999E-5</v>
      </c>
      <c r="Q2715" s="9">
        <v>6.7379999999999995E-5</v>
      </c>
      <c r="R2715" s="10">
        <v>2.4185903470174784E-6</v>
      </c>
      <c r="S2715" s="10">
        <v>5.8863060042466247E-6</v>
      </c>
      <c r="T2715" s="10">
        <v>0</v>
      </c>
      <c r="U2715" s="10">
        <v>1.0543999999999999E-4</v>
      </c>
      <c r="V2715" s="25"/>
      <c r="W2715" s="25"/>
      <c r="X2715" s="25"/>
      <c r="Y2715" s="25"/>
      <c r="Z2715" s="25"/>
      <c r="AA2715" s="25"/>
    </row>
    <row r="2716" spans="1:27" x14ac:dyDescent="0.35">
      <c r="A2716" s="5">
        <v>2712</v>
      </c>
      <c r="B2716" s="5">
        <v>113</v>
      </c>
      <c r="C2716" s="5">
        <v>4</v>
      </c>
      <c r="D2716" s="25">
        <v>1.1415000000000001E-4</v>
      </c>
      <c r="E2716" s="25">
        <v>1.1114E-4</v>
      </c>
      <c r="F2716" s="25">
        <v>1.1582E-4</v>
      </c>
      <c r="G2716" s="25">
        <v>5.49E-5</v>
      </c>
      <c r="H2716" s="25">
        <v>7.1310000000000007E-5</v>
      </c>
      <c r="I2716" s="9">
        <v>1.0603E-4</v>
      </c>
      <c r="J2716" s="9">
        <v>9.0470000000000006E-5</v>
      </c>
      <c r="K2716" s="9">
        <v>2.0346000000000001E-4</v>
      </c>
      <c r="L2716" s="9">
        <v>8.0870000000000003E-5</v>
      </c>
      <c r="M2716" s="9">
        <v>8.6219999999999998E-5</v>
      </c>
      <c r="N2716" s="9">
        <v>9.064E-5</v>
      </c>
      <c r="O2716" s="9">
        <v>6.2409999999999994E-5</v>
      </c>
      <c r="P2716" s="9">
        <v>6.0399999999999998E-5</v>
      </c>
      <c r="Q2716" s="9">
        <v>5.8600000000000001E-5</v>
      </c>
      <c r="R2716" s="10">
        <v>6.106408196917397E-7</v>
      </c>
      <c r="S2716" s="10">
        <v>7.896818402957918E-6</v>
      </c>
      <c r="T2716" s="10">
        <v>0</v>
      </c>
      <c r="U2716" s="10">
        <v>1.0543999999999999E-4</v>
      </c>
      <c r="V2716" s="25"/>
      <c r="W2716" s="25"/>
      <c r="X2716" s="25"/>
      <c r="Y2716" s="25"/>
      <c r="Z2716" s="25"/>
      <c r="AA2716" s="25"/>
    </row>
    <row r="2717" spans="1:27" x14ac:dyDescent="0.35">
      <c r="A2717" s="5">
        <v>2713</v>
      </c>
      <c r="B2717" s="5">
        <v>114</v>
      </c>
      <c r="C2717" s="5">
        <v>4</v>
      </c>
      <c r="D2717" s="25">
        <v>1.1416E-4</v>
      </c>
      <c r="E2717" s="25">
        <v>1.2427E-4</v>
      </c>
      <c r="F2717" s="25">
        <v>1.1735000000000001E-4</v>
      </c>
      <c r="G2717" s="25">
        <v>5.3029999999999999E-5</v>
      </c>
      <c r="H2717" s="25">
        <v>6.9999999999999994E-5</v>
      </c>
      <c r="I2717" s="9">
        <v>9.98E-5</v>
      </c>
      <c r="J2717" s="9">
        <v>8.5420000000000005E-5</v>
      </c>
      <c r="K2717" s="9">
        <v>2.1617000000000001E-4</v>
      </c>
      <c r="L2717" s="9">
        <v>6.6459999999999997E-5</v>
      </c>
      <c r="M2717" s="9">
        <v>7.4019999999999999E-5</v>
      </c>
      <c r="N2717" s="9">
        <v>8.1139999999999999E-5</v>
      </c>
      <c r="O2717" s="9">
        <v>5.5000000000000002E-5</v>
      </c>
      <c r="P2717" s="9">
        <v>5.4410000000000003E-5</v>
      </c>
      <c r="Q2717" s="9">
        <v>5.3980000000000002E-5</v>
      </c>
      <c r="R2717" s="10">
        <v>3.450385181360572E-7</v>
      </c>
      <c r="S2717" s="10">
        <v>7.4420074174873423E-6</v>
      </c>
      <c r="T2717" s="10">
        <v>0</v>
      </c>
      <c r="U2717" s="10">
        <v>1.0396E-4</v>
      </c>
      <c r="V2717" s="25"/>
      <c r="W2717" s="25"/>
      <c r="X2717" s="25"/>
      <c r="Y2717" s="25"/>
      <c r="Z2717" s="25"/>
      <c r="AA2717" s="25"/>
    </row>
    <row r="2718" spans="1:27" x14ac:dyDescent="0.35">
      <c r="A2718" s="5">
        <v>2714</v>
      </c>
      <c r="B2718" s="5">
        <v>114</v>
      </c>
      <c r="C2718" s="5">
        <v>4</v>
      </c>
      <c r="D2718" s="25">
        <v>1.1415000000000001E-4</v>
      </c>
      <c r="E2718" s="25">
        <v>1.1372E-4</v>
      </c>
      <c r="F2718" s="25">
        <v>1.2579E-4</v>
      </c>
      <c r="G2718" s="25">
        <v>5.732E-5</v>
      </c>
      <c r="H2718" s="25">
        <v>6.9610000000000006E-5</v>
      </c>
      <c r="I2718" s="9">
        <v>9.5450000000000003E-5</v>
      </c>
      <c r="J2718" s="9">
        <v>8.5530000000000003E-5</v>
      </c>
      <c r="K2718" s="9">
        <v>2.3948E-4</v>
      </c>
      <c r="L2718" s="9">
        <v>5.7920000000000001E-5</v>
      </c>
      <c r="M2718" s="9">
        <v>6.4049999999999998E-5</v>
      </c>
      <c r="N2718" s="9">
        <v>7.216E-5</v>
      </c>
      <c r="O2718" s="9">
        <v>1.9190000000000001E-5</v>
      </c>
      <c r="P2718" s="9">
        <v>3.7960000000000002E-5</v>
      </c>
      <c r="Q2718" s="9">
        <v>5.6490000000000003E-5</v>
      </c>
      <c r="R2718" s="10">
        <v>4.5693598558937697E-7</v>
      </c>
      <c r="S2718" s="10">
        <v>6.6735071928359254E-6</v>
      </c>
      <c r="T2718" s="10">
        <v>0</v>
      </c>
      <c r="U2718" s="10">
        <v>1.0396E-4</v>
      </c>
      <c r="V2718" s="25"/>
      <c r="W2718" s="25"/>
      <c r="X2718" s="25"/>
      <c r="Y2718" s="25"/>
      <c r="Z2718" s="25"/>
      <c r="AA2718" s="25"/>
    </row>
    <row r="2719" spans="1:27" x14ac:dyDescent="0.35">
      <c r="A2719" s="5">
        <v>2715</v>
      </c>
      <c r="B2719" s="5">
        <v>114</v>
      </c>
      <c r="C2719" s="5">
        <v>4</v>
      </c>
      <c r="D2719" s="25">
        <v>1.1416E-4</v>
      </c>
      <c r="E2719" s="25">
        <v>1.1354E-4</v>
      </c>
      <c r="F2719" s="25">
        <v>1.0831E-4</v>
      </c>
      <c r="G2719" s="25">
        <v>5.2609999999999999E-5</v>
      </c>
      <c r="H2719" s="25">
        <v>7.0840000000000006E-5</v>
      </c>
      <c r="I2719" s="9">
        <v>9.357E-5</v>
      </c>
      <c r="J2719" s="9">
        <v>8.5939999999999994E-5</v>
      </c>
      <c r="K2719" s="9">
        <v>2.3524E-4</v>
      </c>
      <c r="L2719" s="9">
        <v>2.7900000000000001E-5</v>
      </c>
      <c r="M2719" s="9">
        <v>5.24E-5</v>
      </c>
      <c r="N2719" s="9">
        <v>6.5660000000000005E-5</v>
      </c>
      <c r="O2719" s="9">
        <v>1.3679999999999999E-5</v>
      </c>
      <c r="P2719" s="9">
        <v>3.7889999999999998E-5</v>
      </c>
      <c r="Q2719" s="9">
        <v>6.177E-5</v>
      </c>
      <c r="R2719" s="10">
        <v>8.9538852566150935E-7</v>
      </c>
      <c r="S2719" s="10">
        <v>7.0085658439527291E-6</v>
      </c>
      <c r="T2719" s="10">
        <v>0</v>
      </c>
      <c r="U2719" s="10">
        <v>1.0396E-4</v>
      </c>
      <c r="V2719" s="25"/>
      <c r="W2719" s="25"/>
      <c r="X2719" s="25"/>
      <c r="Y2719" s="25"/>
      <c r="Z2719" s="25"/>
      <c r="AA2719" s="25"/>
    </row>
    <row r="2720" spans="1:27" x14ac:dyDescent="0.35">
      <c r="A2720" s="5">
        <v>2716</v>
      </c>
      <c r="B2720" s="5">
        <v>114</v>
      </c>
      <c r="C2720" s="5">
        <v>4</v>
      </c>
      <c r="D2720" s="25">
        <v>1.1415000000000001E-4</v>
      </c>
      <c r="E2720" s="25">
        <v>1.1889E-4</v>
      </c>
      <c r="F2720" s="25">
        <v>1.2058E-4</v>
      </c>
      <c r="G2720" s="25">
        <v>6.0460000000000001E-5</v>
      </c>
      <c r="H2720" s="25">
        <v>7.0740000000000004E-5</v>
      </c>
      <c r="I2720" s="9">
        <v>9.3919999999999995E-5</v>
      </c>
      <c r="J2720" s="9">
        <v>8.5970000000000005E-5</v>
      </c>
      <c r="K2720" s="9">
        <v>2.3524E-4</v>
      </c>
      <c r="L2720" s="9">
        <v>1.755E-5</v>
      </c>
      <c r="M2720" s="9">
        <v>4.439E-5</v>
      </c>
      <c r="N2720" s="9">
        <v>6.211E-5</v>
      </c>
      <c r="O2720" s="9">
        <v>1.3709999999999999E-5</v>
      </c>
      <c r="P2720" s="9">
        <v>4.7469999999999998E-5</v>
      </c>
      <c r="Q2720" s="9">
        <v>8.0740000000000003E-5</v>
      </c>
      <c r="R2720" s="10">
        <v>2.0328698545941629E-6</v>
      </c>
      <c r="S2720" s="10">
        <v>7.9661667465965885E-6</v>
      </c>
      <c r="T2720" s="10">
        <v>0</v>
      </c>
      <c r="U2720" s="10">
        <v>1.0396E-4</v>
      </c>
      <c r="V2720" s="25"/>
      <c r="W2720" s="25"/>
      <c r="X2720" s="25"/>
      <c r="Y2720" s="25"/>
      <c r="Z2720" s="25"/>
      <c r="AA2720" s="25"/>
    </row>
    <row r="2721" spans="1:27" x14ac:dyDescent="0.35">
      <c r="A2721" s="5">
        <v>2717</v>
      </c>
      <c r="B2721" s="5">
        <v>114</v>
      </c>
      <c r="C2721" s="5">
        <v>4</v>
      </c>
      <c r="D2721" s="25">
        <v>1.1416E-4</v>
      </c>
      <c r="E2721" s="25">
        <v>1.1906E-4</v>
      </c>
      <c r="F2721" s="25">
        <v>1.2286999999999999E-4</v>
      </c>
      <c r="G2721" s="25">
        <v>5.2889999999999997E-5</v>
      </c>
      <c r="H2721" s="25">
        <v>7.0170000000000001E-5</v>
      </c>
      <c r="I2721" s="9">
        <v>9.4179999999999996E-5</v>
      </c>
      <c r="J2721" s="9">
        <v>8.6959999999999994E-5</v>
      </c>
      <c r="K2721" s="9">
        <v>2.4795999999999998E-4</v>
      </c>
      <c r="L2721" s="9">
        <v>1.4800000000000001E-5</v>
      </c>
      <c r="M2721" s="9">
        <v>4.3699999999999998E-5</v>
      </c>
      <c r="N2721" s="9">
        <v>6.4700000000000001E-5</v>
      </c>
      <c r="O2721" s="9">
        <v>1.9029999999999999E-5</v>
      </c>
      <c r="P2721" s="9">
        <v>5.6490000000000003E-5</v>
      </c>
      <c r="Q2721" s="9">
        <v>9.3419999999999997E-5</v>
      </c>
      <c r="R2721" s="10">
        <v>5.5366879300856858E-6</v>
      </c>
      <c r="S2721" s="10">
        <v>1.0126459953550649E-5</v>
      </c>
      <c r="T2721" s="10">
        <v>0</v>
      </c>
      <c r="U2721" s="10">
        <v>1.0396E-4</v>
      </c>
      <c r="V2721" s="25"/>
      <c r="W2721" s="25"/>
      <c r="X2721" s="25"/>
      <c r="Y2721" s="25"/>
      <c r="Z2721" s="25"/>
      <c r="AA2721" s="25"/>
    </row>
    <row r="2722" spans="1:27" x14ac:dyDescent="0.35">
      <c r="A2722" s="5">
        <v>2718</v>
      </c>
      <c r="B2722" s="5">
        <v>114</v>
      </c>
      <c r="C2722" s="5">
        <v>4</v>
      </c>
      <c r="D2722" s="25">
        <v>1.1415000000000001E-4</v>
      </c>
      <c r="E2722" s="25">
        <v>1.1339E-4</v>
      </c>
      <c r="F2722" s="25">
        <v>1.2479E-4</v>
      </c>
      <c r="G2722" s="25">
        <v>1.1551E-4</v>
      </c>
      <c r="H2722" s="25">
        <v>1.3524000000000001E-4</v>
      </c>
      <c r="I2722" s="9">
        <v>9.666E-5</v>
      </c>
      <c r="J2722" s="9">
        <v>8.988E-5</v>
      </c>
      <c r="K2722" s="9">
        <v>1.8226000000000001E-4</v>
      </c>
      <c r="L2722" s="9">
        <v>1.7969999999999999E-5</v>
      </c>
      <c r="M2722" s="9">
        <v>4.8479999999999997E-5</v>
      </c>
      <c r="N2722" s="9">
        <v>7.1180000000000006E-5</v>
      </c>
      <c r="O2722" s="9">
        <v>4.6350000000000002E-5</v>
      </c>
      <c r="P2722" s="9">
        <v>7.6870000000000001E-5</v>
      </c>
      <c r="Q2722" s="9">
        <v>1.0704000000000001E-4</v>
      </c>
      <c r="R2722" s="10">
        <v>1.0002370465074465E-5</v>
      </c>
      <c r="S2722" s="10">
        <v>1.2956593063190438E-5</v>
      </c>
      <c r="T2722" s="10">
        <v>1.7537046756744582E-5</v>
      </c>
      <c r="U2722" s="10">
        <v>1.0396E-4</v>
      </c>
      <c r="V2722" s="25"/>
      <c r="W2722" s="25"/>
      <c r="X2722" s="25"/>
      <c r="Y2722" s="25"/>
      <c r="Z2722" s="25"/>
      <c r="AA2722" s="25"/>
    </row>
    <row r="2723" spans="1:27" x14ac:dyDescent="0.35">
      <c r="A2723" s="5">
        <v>2719</v>
      </c>
      <c r="B2723" s="5">
        <v>114</v>
      </c>
      <c r="C2723" s="5">
        <v>4</v>
      </c>
      <c r="D2723" s="25">
        <v>1.1416E-4</v>
      </c>
      <c r="E2723" s="25">
        <v>1.1548999999999999E-4</v>
      </c>
      <c r="F2723" s="25">
        <v>1.1900000000000001E-4</v>
      </c>
      <c r="G2723" s="25">
        <v>1.0454E-4</v>
      </c>
      <c r="H2723" s="25">
        <v>1.2994999999999999E-4</v>
      </c>
      <c r="I2723" s="9">
        <v>9.9840000000000006E-5</v>
      </c>
      <c r="J2723" s="9">
        <v>9.5550000000000005E-5</v>
      </c>
      <c r="K2723" s="9">
        <v>1.0809E-4</v>
      </c>
      <c r="L2723" s="9">
        <v>3.9969999999999998E-5</v>
      </c>
      <c r="M2723" s="9">
        <v>6.0050000000000003E-5</v>
      </c>
      <c r="N2723" s="9">
        <v>8.0840000000000005E-5</v>
      </c>
      <c r="O2723" s="9">
        <v>1.2229999999999999E-4</v>
      </c>
      <c r="P2723" s="9">
        <v>1.1696000000000001E-4</v>
      </c>
      <c r="Q2723" s="9">
        <v>1.1204E-4</v>
      </c>
      <c r="R2723" s="10">
        <v>1.4662267385797226E-5</v>
      </c>
      <c r="S2723" s="10">
        <v>1.5625470031717866E-5</v>
      </c>
      <c r="T2723" s="10">
        <v>1.1867837930979353E-4</v>
      </c>
      <c r="U2723" s="10">
        <v>1.0396E-4</v>
      </c>
      <c r="V2723" s="25"/>
      <c r="W2723" s="25"/>
      <c r="X2723" s="25"/>
      <c r="Y2723" s="25"/>
      <c r="Z2723" s="25"/>
      <c r="AA2723" s="25"/>
    </row>
    <row r="2724" spans="1:27" x14ac:dyDescent="0.35">
      <c r="A2724" s="5">
        <v>2720</v>
      </c>
      <c r="B2724" s="5">
        <v>114</v>
      </c>
      <c r="C2724" s="5">
        <v>4</v>
      </c>
      <c r="D2724" s="25">
        <v>1.1415000000000001E-4</v>
      </c>
      <c r="E2724" s="25">
        <v>1.1374000000000001E-4</v>
      </c>
      <c r="F2724" s="25">
        <v>1.2951E-4</v>
      </c>
      <c r="G2724" s="25">
        <v>1.6709E-4</v>
      </c>
      <c r="H2724" s="25">
        <v>1.9571000000000001E-4</v>
      </c>
      <c r="I2724" s="9">
        <v>1.0726E-4</v>
      </c>
      <c r="J2724" s="9">
        <v>9.8179999999999999E-5</v>
      </c>
      <c r="K2724" s="9">
        <v>3.8149999999999999E-5</v>
      </c>
      <c r="L2724" s="9">
        <v>1.0357E-4</v>
      </c>
      <c r="M2724" s="9">
        <v>8.352E-5</v>
      </c>
      <c r="N2724" s="9">
        <v>9.0799999999999998E-5</v>
      </c>
      <c r="O2724" s="9">
        <v>2.1625999999999999E-4</v>
      </c>
      <c r="P2724" s="9">
        <v>1.7516999999999999E-4</v>
      </c>
      <c r="Q2724" s="9">
        <v>1.3532E-4</v>
      </c>
      <c r="R2724" s="10">
        <v>1.7281680429384189E-5</v>
      </c>
      <c r="S2724" s="10">
        <v>1.7244405549742724E-5</v>
      </c>
      <c r="T2724" s="10">
        <v>3.0624078504339416E-4</v>
      </c>
      <c r="U2724" s="10">
        <v>1.0396E-4</v>
      </c>
      <c r="V2724" s="25"/>
      <c r="W2724" s="25"/>
      <c r="X2724" s="25"/>
      <c r="Y2724" s="25"/>
      <c r="Z2724" s="25"/>
      <c r="AA2724" s="25"/>
    </row>
    <row r="2725" spans="1:27" x14ac:dyDescent="0.35">
      <c r="A2725" s="5">
        <v>2721</v>
      </c>
      <c r="B2725" s="5">
        <v>114</v>
      </c>
      <c r="C2725" s="5">
        <v>4</v>
      </c>
      <c r="D2725" s="25">
        <v>1.1416E-4</v>
      </c>
      <c r="E2725" s="25">
        <v>1.2426000000000001E-4</v>
      </c>
      <c r="F2725" s="25">
        <v>1.2837999999999999E-4</v>
      </c>
      <c r="G2725" s="25">
        <v>1.6574E-4</v>
      </c>
      <c r="H2725" s="25">
        <v>1.9745E-4</v>
      </c>
      <c r="I2725" s="9">
        <v>1.1388E-4</v>
      </c>
      <c r="J2725" s="9">
        <v>1.0276999999999999E-4</v>
      </c>
      <c r="K2725" s="9">
        <v>0</v>
      </c>
      <c r="L2725" s="9">
        <v>1.8971999999999999E-4</v>
      </c>
      <c r="M2725" s="9">
        <v>1.2258000000000001E-4</v>
      </c>
      <c r="N2725" s="9">
        <v>1.0420999999999999E-4</v>
      </c>
      <c r="O2725" s="9">
        <v>2.1055999999999999E-4</v>
      </c>
      <c r="P2725" s="9">
        <v>1.9342E-4</v>
      </c>
      <c r="Q2725" s="9">
        <v>1.7714E-4</v>
      </c>
      <c r="R2725" s="10">
        <v>1.28047366922976E-5</v>
      </c>
      <c r="S2725" s="10">
        <v>2.5084901179970327E-5</v>
      </c>
      <c r="T2725" s="10">
        <v>4.7279606558604185E-4</v>
      </c>
      <c r="U2725" s="10">
        <v>1.0396E-4</v>
      </c>
      <c r="V2725" s="25"/>
      <c r="W2725" s="25"/>
      <c r="X2725" s="25"/>
      <c r="Y2725" s="25"/>
      <c r="Z2725" s="25"/>
      <c r="AA2725" s="25"/>
    </row>
    <row r="2726" spans="1:27" x14ac:dyDescent="0.35">
      <c r="A2726" s="5">
        <v>2722</v>
      </c>
      <c r="B2726" s="5">
        <v>114</v>
      </c>
      <c r="C2726" s="5">
        <v>4</v>
      </c>
      <c r="D2726" s="25">
        <v>1.1415000000000001E-4</v>
      </c>
      <c r="E2726" s="25">
        <v>1.1438999999999999E-4</v>
      </c>
      <c r="F2726" s="25">
        <v>1.293E-4</v>
      </c>
      <c r="G2726" s="25">
        <v>1.5637999999999999E-4</v>
      </c>
      <c r="H2726" s="25">
        <v>1.9693999999999999E-4</v>
      </c>
      <c r="I2726" s="9">
        <v>1.1437E-4</v>
      </c>
      <c r="J2726" s="9">
        <v>1.0529E-4</v>
      </c>
      <c r="K2726" s="9">
        <v>0</v>
      </c>
      <c r="L2726" s="9">
        <v>2.0371000000000001E-4</v>
      </c>
      <c r="M2726" s="9">
        <v>1.5798E-4</v>
      </c>
      <c r="N2726" s="9">
        <v>1.2427E-4</v>
      </c>
      <c r="O2726" s="9">
        <v>1.6558999999999999E-4</v>
      </c>
      <c r="P2726" s="9">
        <v>1.7322E-4</v>
      </c>
      <c r="Q2726" s="9">
        <v>1.8118999999999999E-4</v>
      </c>
      <c r="R2726" s="10">
        <v>1.0803247437353833E-5</v>
      </c>
      <c r="S2726" s="10">
        <v>3.7846698385937178E-5</v>
      </c>
      <c r="T2726" s="10">
        <v>5.9269618400225601E-4</v>
      </c>
      <c r="U2726" s="10">
        <v>1.0396E-4</v>
      </c>
      <c r="V2726" s="25"/>
      <c r="W2726" s="25"/>
      <c r="X2726" s="25"/>
      <c r="Y2726" s="25"/>
      <c r="Z2726" s="25"/>
      <c r="AA2726" s="25"/>
    </row>
    <row r="2727" spans="1:27" x14ac:dyDescent="0.35">
      <c r="A2727" s="5">
        <v>2723</v>
      </c>
      <c r="B2727" s="5">
        <v>114</v>
      </c>
      <c r="C2727" s="5">
        <v>4</v>
      </c>
      <c r="D2727" s="25">
        <v>1.1416E-4</v>
      </c>
      <c r="E2727" s="25">
        <v>1.1875E-4</v>
      </c>
      <c r="F2727" s="25">
        <v>1.1085E-4</v>
      </c>
      <c r="G2727" s="25">
        <v>1.6305000000000001E-4</v>
      </c>
      <c r="H2727" s="25">
        <v>2.018E-4</v>
      </c>
      <c r="I2727" s="9">
        <v>1.1767E-4</v>
      </c>
      <c r="J2727" s="9">
        <v>1.0492000000000001E-4</v>
      </c>
      <c r="K2727" s="9">
        <v>0</v>
      </c>
      <c r="L2727" s="9">
        <v>1.7401E-4</v>
      </c>
      <c r="M2727" s="9">
        <v>1.717E-4</v>
      </c>
      <c r="N2727" s="9">
        <v>1.4218999999999999E-4</v>
      </c>
      <c r="O2727" s="9">
        <v>1.652E-4</v>
      </c>
      <c r="P2727" s="9">
        <v>1.7147000000000001E-4</v>
      </c>
      <c r="Q2727" s="9">
        <v>1.7809999999999999E-4</v>
      </c>
      <c r="R2727" s="10">
        <v>1.457701543196192E-5</v>
      </c>
      <c r="S2727" s="10">
        <v>5.1904978351793652E-5</v>
      </c>
      <c r="T2727" s="10">
        <v>6.735430725097639E-4</v>
      </c>
      <c r="U2727" s="10">
        <v>1.0396E-4</v>
      </c>
      <c r="V2727" s="25"/>
      <c r="W2727" s="25"/>
      <c r="X2727" s="25"/>
      <c r="Y2727" s="25"/>
      <c r="Z2727" s="25"/>
      <c r="AA2727" s="25"/>
    </row>
    <row r="2728" spans="1:27" x14ac:dyDescent="0.35">
      <c r="A2728" s="5">
        <v>2724</v>
      </c>
      <c r="B2728" s="5">
        <v>114</v>
      </c>
      <c r="C2728" s="5">
        <v>4</v>
      </c>
      <c r="D2728" s="25">
        <v>1.1415000000000001E-4</v>
      </c>
      <c r="E2728" s="25">
        <v>1.2300000000000001E-4</v>
      </c>
      <c r="F2728" s="25">
        <v>1.1034E-4</v>
      </c>
      <c r="G2728" s="25">
        <v>1.6699999999999999E-4</v>
      </c>
      <c r="H2728" s="25">
        <v>1.8929999999999999E-4</v>
      </c>
      <c r="I2728" s="9">
        <v>1.1631E-4</v>
      </c>
      <c r="J2728" s="9">
        <v>1.0479E-4</v>
      </c>
      <c r="K2728" s="9">
        <v>0</v>
      </c>
      <c r="L2728" s="9">
        <v>1.6855E-4</v>
      </c>
      <c r="M2728" s="9">
        <v>1.7393000000000001E-4</v>
      </c>
      <c r="N2728" s="9">
        <v>1.5601999999999999E-4</v>
      </c>
      <c r="O2728" s="9">
        <v>1.6943000000000001E-4</v>
      </c>
      <c r="P2728" s="9">
        <v>1.7166999999999999E-4</v>
      </c>
      <c r="Q2728" s="9">
        <v>1.7435000000000001E-4</v>
      </c>
      <c r="R2728" s="10">
        <v>1.5732847261205372E-5</v>
      </c>
      <c r="S2728" s="10">
        <v>6.6209705983169185E-5</v>
      </c>
      <c r="T2728" s="10">
        <v>6.5029609229037345E-4</v>
      </c>
      <c r="U2728" s="10">
        <v>1.0396E-4</v>
      </c>
      <c r="V2728" s="25"/>
      <c r="W2728" s="25"/>
      <c r="X2728" s="25"/>
      <c r="Y2728" s="25"/>
      <c r="Z2728" s="25"/>
      <c r="AA2728" s="25"/>
    </row>
    <row r="2729" spans="1:27" x14ac:dyDescent="0.35">
      <c r="A2729" s="5">
        <v>2725</v>
      </c>
      <c r="B2729" s="5">
        <v>114</v>
      </c>
      <c r="C2729" s="5">
        <v>4</v>
      </c>
      <c r="D2729" s="25">
        <v>1.1416E-4</v>
      </c>
      <c r="E2729" s="25">
        <v>1.1916E-4</v>
      </c>
      <c r="F2729" s="25">
        <v>1.1056999999999999E-4</v>
      </c>
      <c r="G2729" s="25">
        <v>1.6103999999999999E-4</v>
      </c>
      <c r="H2729" s="25">
        <v>1.9352E-4</v>
      </c>
      <c r="I2729" s="9">
        <v>1.1416E-4</v>
      </c>
      <c r="J2729" s="9">
        <v>1.0688000000000001E-4</v>
      </c>
      <c r="K2729" s="9">
        <v>0</v>
      </c>
      <c r="L2729" s="9">
        <v>1.6943000000000001E-4</v>
      </c>
      <c r="M2729" s="9">
        <v>1.7320000000000001E-4</v>
      </c>
      <c r="N2729" s="9">
        <v>1.6563E-4</v>
      </c>
      <c r="O2729" s="9">
        <v>1.6075E-4</v>
      </c>
      <c r="P2729" s="9">
        <v>1.6374E-4</v>
      </c>
      <c r="Q2729" s="9">
        <v>1.6714E-4</v>
      </c>
      <c r="R2729" s="10">
        <v>3.559294390629039E-5</v>
      </c>
      <c r="S2729" s="10">
        <v>8.0742556450348439E-5</v>
      </c>
      <c r="T2729" s="10">
        <v>6.9352359747934956E-4</v>
      </c>
      <c r="U2729" s="10">
        <v>1.0396E-4</v>
      </c>
      <c r="V2729" s="25"/>
      <c r="W2729" s="25"/>
      <c r="X2729" s="25"/>
      <c r="Y2729" s="25"/>
      <c r="Z2729" s="25"/>
      <c r="AA2729" s="25"/>
    </row>
    <row r="2730" spans="1:27" x14ac:dyDescent="0.35">
      <c r="A2730" s="5">
        <v>2726</v>
      </c>
      <c r="B2730" s="5">
        <v>114</v>
      </c>
      <c r="C2730" s="5">
        <v>4</v>
      </c>
      <c r="D2730" s="25">
        <v>1.1415000000000001E-4</v>
      </c>
      <c r="E2730" s="25">
        <v>1.1285000000000001E-4</v>
      </c>
      <c r="F2730" s="25">
        <v>1.2970000000000001E-4</v>
      </c>
      <c r="G2730" s="25">
        <v>1.6213999999999999E-4</v>
      </c>
      <c r="H2730" s="25">
        <v>1.9137000000000001E-4</v>
      </c>
      <c r="I2730" s="9">
        <v>1.1255E-4</v>
      </c>
      <c r="J2730" s="9">
        <v>1.0472E-4</v>
      </c>
      <c r="K2730" s="9">
        <v>0</v>
      </c>
      <c r="L2730" s="9">
        <v>1.6237000000000001E-4</v>
      </c>
      <c r="M2730" s="9">
        <v>1.6959000000000001E-4</v>
      </c>
      <c r="N2730" s="9">
        <v>1.7002E-4</v>
      </c>
      <c r="O2730" s="9">
        <v>1.7849000000000001E-4</v>
      </c>
      <c r="P2730" s="9">
        <v>1.6979000000000001E-4</v>
      </c>
      <c r="Q2730" s="9">
        <v>1.6171E-4</v>
      </c>
      <c r="R2730" s="10">
        <v>4.9931944054826914E-5</v>
      </c>
      <c r="S2730" s="10">
        <v>9.4203075971168395E-5</v>
      </c>
      <c r="T2730" s="10">
        <v>6.7170197955078307E-4</v>
      </c>
      <c r="U2730" s="10">
        <v>1.0396E-4</v>
      </c>
      <c r="V2730" s="25"/>
      <c r="W2730" s="25"/>
      <c r="X2730" s="25"/>
      <c r="Y2730" s="25"/>
      <c r="Z2730" s="25"/>
      <c r="AA2730" s="25"/>
    </row>
    <row r="2731" spans="1:27" x14ac:dyDescent="0.35">
      <c r="A2731" s="5">
        <v>2727</v>
      </c>
      <c r="B2731" s="5">
        <v>114</v>
      </c>
      <c r="C2731" s="5">
        <v>4</v>
      </c>
      <c r="D2731" s="25">
        <v>1.1416E-4</v>
      </c>
      <c r="E2731" s="25">
        <v>1.1328999999999999E-4</v>
      </c>
      <c r="F2731" s="25">
        <v>1.2692000000000001E-4</v>
      </c>
      <c r="G2731" s="25">
        <v>1.5871E-4</v>
      </c>
      <c r="H2731" s="25">
        <v>1.9120000000000001E-4</v>
      </c>
      <c r="I2731" s="9">
        <v>1.1078000000000001E-4</v>
      </c>
      <c r="J2731" s="9">
        <v>1.0696000000000001E-4</v>
      </c>
      <c r="K2731" s="9">
        <v>0</v>
      </c>
      <c r="L2731" s="9">
        <v>1.7511E-4</v>
      </c>
      <c r="M2731" s="9">
        <v>1.6861999999999999E-4</v>
      </c>
      <c r="N2731" s="9">
        <v>1.6985000000000001E-4</v>
      </c>
      <c r="O2731" s="9">
        <v>1.8274E-4</v>
      </c>
      <c r="P2731" s="9">
        <v>1.6729000000000001E-4</v>
      </c>
      <c r="Q2731" s="9">
        <v>1.5259E-4</v>
      </c>
      <c r="R2731" s="10">
        <v>5.787373938543487E-5</v>
      </c>
      <c r="S2731" s="10">
        <v>1.0757503345928985E-4</v>
      </c>
      <c r="T2731" s="10">
        <v>5.3138863689812619E-4</v>
      </c>
      <c r="U2731" s="10">
        <v>1.0396E-4</v>
      </c>
      <c r="V2731" s="25"/>
      <c r="W2731" s="25"/>
      <c r="X2731" s="25"/>
      <c r="Y2731" s="25"/>
      <c r="Z2731" s="25"/>
      <c r="AA2731" s="25"/>
    </row>
    <row r="2732" spans="1:27" x14ac:dyDescent="0.35">
      <c r="A2732" s="5">
        <v>2728</v>
      </c>
      <c r="B2732" s="5">
        <v>114</v>
      </c>
      <c r="C2732" s="5">
        <v>4</v>
      </c>
      <c r="D2732" s="25">
        <v>1.1415000000000001E-4</v>
      </c>
      <c r="E2732" s="25">
        <v>1.1723E-4</v>
      </c>
      <c r="F2732" s="25">
        <v>1.2087999999999999E-4</v>
      </c>
      <c r="G2732" s="25">
        <v>1.6072999999999999E-4</v>
      </c>
      <c r="H2732" s="25">
        <v>2.0209000000000001E-4</v>
      </c>
      <c r="I2732" s="9">
        <v>1.0876E-4</v>
      </c>
      <c r="J2732" s="9">
        <v>1.0882000000000001E-4</v>
      </c>
      <c r="K2732" s="9">
        <v>0</v>
      </c>
      <c r="L2732" s="9">
        <v>1.8073000000000001E-4</v>
      </c>
      <c r="M2732" s="9">
        <v>1.6798E-4</v>
      </c>
      <c r="N2732" s="9">
        <v>1.6609E-4</v>
      </c>
      <c r="O2732" s="9">
        <v>1.9645E-4</v>
      </c>
      <c r="P2732" s="9">
        <v>1.5250999999999999E-4</v>
      </c>
      <c r="Q2732" s="9">
        <v>1.098E-4</v>
      </c>
      <c r="R2732" s="10">
        <v>6.0164471519168276E-5</v>
      </c>
      <c r="S2732" s="10">
        <v>1.1241571999946754E-4</v>
      </c>
      <c r="T2732" s="10">
        <v>4.0258848846361255E-4</v>
      </c>
      <c r="U2732" s="10">
        <v>1.0396E-4</v>
      </c>
      <c r="V2732" s="25"/>
      <c r="W2732" s="25"/>
      <c r="X2732" s="25"/>
      <c r="Y2732" s="25"/>
      <c r="Z2732" s="25"/>
      <c r="AA2732" s="25"/>
    </row>
    <row r="2733" spans="1:27" x14ac:dyDescent="0.35">
      <c r="A2733" s="5">
        <v>2729</v>
      </c>
      <c r="B2733" s="5">
        <v>114</v>
      </c>
      <c r="C2733" s="5">
        <v>4</v>
      </c>
      <c r="D2733" s="25">
        <v>1.1416E-4</v>
      </c>
      <c r="E2733" s="25">
        <v>1.1771E-4</v>
      </c>
      <c r="F2733" s="25">
        <v>1.1553999999999999E-4</v>
      </c>
      <c r="G2733" s="25">
        <v>1.6648999999999999E-4</v>
      </c>
      <c r="H2733" s="25">
        <v>1.9296999999999999E-4</v>
      </c>
      <c r="I2733" s="9">
        <v>1.0943E-4</v>
      </c>
      <c r="J2733" s="9">
        <v>1.1291E-4</v>
      </c>
      <c r="K2733" s="9">
        <v>0</v>
      </c>
      <c r="L2733" s="9">
        <v>1.9278000000000001E-4</v>
      </c>
      <c r="M2733" s="9">
        <v>1.6233E-4</v>
      </c>
      <c r="N2733" s="9">
        <v>1.5248E-4</v>
      </c>
      <c r="O2733" s="9">
        <v>2.1278000000000001E-4</v>
      </c>
      <c r="P2733" s="9">
        <v>1.5923000000000001E-4</v>
      </c>
      <c r="Q2733" s="9">
        <v>1.071E-4</v>
      </c>
      <c r="R2733" s="10">
        <v>5.5067605486090492E-5</v>
      </c>
      <c r="S2733" s="10">
        <v>1.0853695904999164E-4</v>
      </c>
      <c r="T2733" s="10">
        <v>1.4306225564210311E-4</v>
      </c>
      <c r="U2733" s="10">
        <v>1.0396E-4</v>
      </c>
      <c r="V2733" s="25"/>
      <c r="W2733" s="25"/>
      <c r="X2733" s="25"/>
      <c r="Y2733" s="25"/>
      <c r="Z2733" s="25"/>
      <c r="AA2733" s="25"/>
    </row>
    <row r="2734" spans="1:27" x14ac:dyDescent="0.35">
      <c r="A2734" s="5">
        <v>2730</v>
      </c>
      <c r="B2734" s="5">
        <v>114</v>
      </c>
      <c r="C2734" s="5">
        <v>4</v>
      </c>
      <c r="D2734" s="25">
        <v>1.1415000000000001E-4</v>
      </c>
      <c r="E2734" s="25">
        <v>1.1875999999999999E-4</v>
      </c>
      <c r="F2734" s="25">
        <v>1.1292E-4</v>
      </c>
      <c r="G2734" s="25">
        <v>1.5692000000000001E-4</v>
      </c>
      <c r="H2734" s="25">
        <v>2.0044999999999999E-4</v>
      </c>
      <c r="I2734" s="9">
        <v>1.0962E-4</v>
      </c>
      <c r="J2734" s="9">
        <v>1.0885E-4</v>
      </c>
      <c r="K2734" s="9">
        <v>0</v>
      </c>
      <c r="L2734" s="9">
        <v>2.0814E-4</v>
      </c>
      <c r="M2734" s="9">
        <v>1.5965E-4</v>
      </c>
      <c r="N2734" s="9">
        <v>1.3915999999999999E-4</v>
      </c>
      <c r="O2734" s="9">
        <v>2.0435000000000001E-4</v>
      </c>
      <c r="P2734" s="9">
        <v>1.6038000000000001E-4</v>
      </c>
      <c r="Q2734" s="9">
        <v>1.1767E-4</v>
      </c>
      <c r="R2734" s="10">
        <v>4.2670363943392624E-5</v>
      </c>
      <c r="S2734" s="10">
        <v>1.0528773904793328E-4</v>
      </c>
      <c r="T2734" s="10">
        <v>9.1638917280889326E-5</v>
      </c>
      <c r="U2734" s="10">
        <v>1.0396E-4</v>
      </c>
      <c r="V2734" s="25"/>
      <c r="W2734" s="25"/>
      <c r="X2734" s="25"/>
      <c r="Y2734" s="25"/>
      <c r="Z2734" s="25"/>
      <c r="AA2734" s="25"/>
    </row>
    <row r="2735" spans="1:27" x14ac:dyDescent="0.35">
      <c r="A2735" s="5">
        <v>2731</v>
      </c>
      <c r="B2735" s="5">
        <v>114</v>
      </c>
      <c r="C2735" s="5">
        <v>4</v>
      </c>
      <c r="D2735" s="25">
        <v>1.1416E-4</v>
      </c>
      <c r="E2735" s="25">
        <v>1.1998E-4</v>
      </c>
      <c r="F2735" s="25">
        <v>1.2413999999999999E-4</v>
      </c>
      <c r="G2735" s="25">
        <v>1.1323E-4</v>
      </c>
      <c r="H2735" s="25">
        <v>1.2971E-4</v>
      </c>
      <c r="I2735" s="9">
        <v>1.0725E-4</v>
      </c>
      <c r="J2735" s="9">
        <v>1.0635E-4</v>
      </c>
      <c r="K2735" s="9">
        <v>0</v>
      </c>
      <c r="L2735" s="9">
        <v>2.0478E-4</v>
      </c>
      <c r="M2735" s="9">
        <v>1.5936999999999999E-4</v>
      </c>
      <c r="N2735" s="9">
        <v>1.3009999999999999E-4</v>
      </c>
      <c r="O2735" s="9">
        <v>1.6307999999999999E-4</v>
      </c>
      <c r="P2735" s="9">
        <v>1.3444999999999999E-4</v>
      </c>
      <c r="Q2735" s="9">
        <v>1.0671E-4</v>
      </c>
      <c r="R2735" s="10">
        <v>2.9184678835220692E-5</v>
      </c>
      <c r="S2735" s="10">
        <v>1.023285419373447E-4</v>
      </c>
      <c r="T2735" s="10">
        <v>1.0842934569482137E-5</v>
      </c>
      <c r="U2735" s="10">
        <v>1.0396E-4</v>
      </c>
      <c r="V2735" s="25"/>
      <c r="W2735" s="25"/>
      <c r="X2735" s="25"/>
      <c r="Y2735" s="25"/>
      <c r="Z2735" s="25"/>
      <c r="AA2735" s="25"/>
    </row>
    <row r="2736" spans="1:27" x14ac:dyDescent="0.35">
      <c r="A2736" s="5">
        <v>2732</v>
      </c>
      <c r="B2736" s="5">
        <v>114</v>
      </c>
      <c r="C2736" s="5">
        <v>4</v>
      </c>
      <c r="D2736" s="25">
        <v>1.1415000000000001E-4</v>
      </c>
      <c r="E2736" s="25">
        <v>1.1275E-4</v>
      </c>
      <c r="F2736" s="25">
        <v>1.2643999999999999E-4</v>
      </c>
      <c r="G2736" s="25">
        <v>1.0821E-4</v>
      </c>
      <c r="H2736" s="25">
        <v>1.2710999999999999E-4</v>
      </c>
      <c r="I2736" s="9">
        <v>1.0590999999999999E-4</v>
      </c>
      <c r="J2736" s="9">
        <v>1.0071E-4</v>
      </c>
      <c r="K2736" s="9">
        <v>1.484E-5</v>
      </c>
      <c r="L2736" s="9">
        <v>1.7242000000000001E-4</v>
      </c>
      <c r="M2736" s="9">
        <v>1.505E-4</v>
      </c>
      <c r="N2736" s="9">
        <v>1.2087999999999999E-4</v>
      </c>
      <c r="O2736" s="9">
        <v>1.2800999999999999E-4</v>
      </c>
      <c r="P2736" s="9">
        <v>1.1451999999999999E-4</v>
      </c>
      <c r="Q2736" s="9">
        <v>1.0158999999999999E-4</v>
      </c>
      <c r="R2736" s="10">
        <v>3.1195963279369609E-5</v>
      </c>
      <c r="S2736" s="10">
        <v>9.6143292979819229E-5</v>
      </c>
      <c r="T2736" s="10">
        <v>0</v>
      </c>
      <c r="U2736" s="10">
        <v>1.0396E-4</v>
      </c>
      <c r="V2736" s="25"/>
      <c r="W2736" s="25"/>
      <c r="X2736" s="25"/>
      <c r="Y2736" s="25"/>
      <c r="Z2736" s="25"/>
      <c r="AA2736" s="25"/>
    </row>
    <row r="2737" spans="1:27" x14ac:dyDescent="0.35">
      <c r="A2737" s="5">
        <v>2733</v>
      </c>
      <c r="B2737" s="5">
        <v>114</v>
      </c>
      <c r="C2737" s="5">
        <v>4</v>
      </c>
      <c r="D2737" s="25">
        <v>1.1416E-4</v>
      </c>
      <c r="E2737" s="25">
        <v>1.1927E-4</v>
      </c>
      <c r="F2737" s="25">
        <v>1.2944000000000001E-4</v>
      </c>
      <c r="G2737" s="25">
        <v>5.6400000000000002E-5</v>
      </c>
      <c r="H2737" s="25">
        <v>6.9439999999999999E-5</v>
      </c>
      <c r="I2737" s="9">
        <v>1.0801E-4</v>
      </c>
      <c r="J2737" s="9">
        <v>1.0254E-4</v>
      </c>
      <c r="K2737" s="9">
        <v>1.908E-5</v>
      </c>
      <c r="L2737" s="9">
        <v>1.3878999999999999E-4</v>
      </c>
      <c r="M2737" s="9">
        <v>1.3505E-4</v>
      </c>
      <c r="N2737" s="9">
        <v>1.1311000000000001E-4</v>
      </c>
      <c r="O2737" s="9">
        <v>8.4709999999999994E-5</v>
      </c>
      <c r="P2737" s="9">
        <v>8.6509999999999997E-5</v>
      </c>
      <c r="Q2737" s="9">
        <v>8.8510000000000005E-5</v>
      </c>
      <c r="R2737" s="10">
        <v>4.5052827241308639E-5</v>
      </c>
      <c r="S2737" s="10">
        <v>9.9440176980630993E-5</v>
      </c>
      <c r="T2737" s="10">
        <v>0</v>
      </c>
      <c r="U2737" s="10">
        <v>1.0396E-4</v>
      </c>
      <c r="V2737" s="25"/>
      <c r="W2737" s="25"/>
      <c r="X2737" s="25"/>
      <c r="Y2737" s="25"/>
      <c r="Z2737" s="25"/>
      <c r="AA2737" s="25"/>
    </row>
    <row r="2738" spans="1:27" x14ac:dyDescent="0.35">
      <c r="A2738" s="5">
        <v>2734</v>
      </c>
      <c r="B2738" s="5">
        <v>114</v>
      </c>
      <c r="C2738" s="5">
        <v>4</v>
      </c>
      <c r="D2738" s="25">
        <v>1.1415000000000001E-4</v>
      </c>
      <c r="E2738" s="25">
        <v>1.1383999999999999E-4</v>
      </c>
      <c r="F2738" s="25">
        <v>1.0969E-4</v>
      </c>
      <c r="G2738" s="25">
        <v>5.3220000000000002E-5</v>
      </c>
      <c r="H2738" s="25">
        <v>6.7290000000000001E-5</v>
      </c>
      <c r="I2738" s="9">
        <v>1.0967999999999999E-4</v>
      </c>
      <c r="J2738" s="9">
        <v>9.912E-5</v>
      </c>
      <c r="K2738" s="9">
        <v>3.1789999999999999E-5</v>
      </c>
      <c r="L2738" s="9">
        <v>9.7520000000000001E-5</v>
      </c>
      <c r="M2738" s="9">
        <v>1.1361E-4</v>
      </c>
      <c r="N2738" s="9">
        <v>1.0554E-4</v>
      </c>
      <c r="O2738" s="9">
        <v>8.6559999999999998E-5</v>
      </c>
      <c r="P2738" s="9">
        <v>8.6970000000000002E-5</v>
      </c>
      <c r="Q2738" s="9">
        <v>8.7620000000000005E-5</v>
      </c>
      <c r="R2738" s="10">
        <v>6.5890370360151612E-5</v>
      </c>
      <c r="S2738" s="10">
        <v>1.1013018777855919E-4</v>
      </c>
      <c r="T2738" s="10">
        <v>0</v>
      </c>
      <c r="U2738" s="10">
        <v>1.0396E-4</v>
      </c>
      <c r="V2738" s="25"/>
      <c r="W2738" s="25"/>
      <c r="X2738" s="25"/>
      <c r="Y2738" s="25"/>
      <c r="Z2738" s="25"/>
      <c r="AA2738" s="25"/>
    </row>
    <row r="2739" spans="1:27" x14ac:dyDescent="0.35">
      <c r="A2739" s="5">
        <v>2735</v>
      </c>
      <c r="B2739" s="5">
        <v>114</v>
      </c>
      <c r="C2739" s="5">
        <v>4</v>
      </c>
      <c r="D2739" s="25">
        <v>1.1416E-4</v>
      </c>
      <c r="E2739" s="25">
        <v>1.2078000000000001E-4</v>
      </c>
      <c r="F2739" s="25">
        <v>1.1862E-4</v>
      </c>
      <c r="G2739" s="25">
        <v>5.5630000000000001E-5</v>
      </c>
      <c r="H2739" s="25">
        <v>7.5309999999999996E-5</v>
      </c>
      <c r="I2739" s="9">
        <v>1.0899E-4</v>
      </c>
      <c r="J2739" s="9">
        <v>9.8250000000000003E-5</v>
      </c>
      <c r="K2739" s="9">
        <v>4.6629999999999999E-5</v>
      </c>
      <c r="L2739" s="9">
        <v>8.9889999999999995E-5</v>
      </c>
      <c r="M2739" s="9">
        <v>9.8770000000000005E-5</v>
      </c>
      <c r="N2739" s="9">
        <v>9.9599999999999995E-5</v>
      </c>
      <c r="O2739" s="9">
        <v>7.7609999999999997E-5</v>
      </c>
      <c r="P2739" s="9">
        <v>7.2070000000000006E-5</v>
      </c>
      <c r="Q2739" s="9">
        <v>6.6829999999999995E-5</v>
      </c>
      <c r="R2739" s="10">
        <v>8.6895689594421036E-5</v>
      </c>
      <c r="S2739" s="10">
        <v>1.2426793828411832E-4</v>
      </c>
      <c r="T2739" s="10">
        <v>0</v>
      </c>
      <c r="U2739" s="10">
        <v>1.0396E-4</v>
      </c>
      <c r="V2739" s="25"/>
      <c r="W2739" s="25"/>
      <c r="X2739" s="25"/>
      <c r="Y2739" s="25"/>
      <c r="Z2739" s="25"/>
      <c r="AA2739" s="25"/>
    </row>
    <row r="2740" spans="1:27" x14ac:dyDescent="0.35">
      <c r="A2740" s="5">
        <v>2736</v>
      </c>
      <c r="B2740" s="5">
        <v>114</v>
      </c>
      <c r="C2740" s="5">
        <v>4</v>
      </c>
      <c r="D2740" s="25">
        <v>1.1415000000000001E-4</v>
      </c>
      <c r="E2740" s="25">
        <v>1.1435E-4</v>
      </c>
      <c r="F2740" s="25">
        <v>1.2695E-4</v>
      </c>
      <c r="G2740" s="25">
        <v>5.2779999999999999E-5</v>
      </c>
      <c r="H2740" s="25">
        <v>7.3490000000000003E-5</v>
      </c>
      <c r="I2740" s="9">
        <v>1.0281E-4</v>
      </c>
      <c r="J2740" s="9">
        <v>9.6990000000000005E-5</v>
      </c>
      <c r="K2740" s="9">
        <v>7.2059999999999998E-5</v>
      </c>
      <c r="L2740" s="9">
        <v>8.0320000000000003E-5</v>
      </c>
      <c r="M2740" s="9">
        <v>8.5879999999999998E-5</v>
      </c>
      <c r="N2740" s="9">
        <v>9.0350000000000001E-5</v>
      </c>
      <c r="O2740" s="9">
        <v>6.2399999999999999E-5</v>
      </c>
      <c r="P2740" s="9">
        <v>6.0390000000000003E-5</v>
      </c>
      <c r="Q2740" s="9">
        <v>5.8579999999999998E-5</v>
      </c>
      <c r="R2740" s="10">
        <v>1.1201577651302805E-4</v>
      </c>
      <c r="S2740" s="10">
        <v>1.4901746205381739E-4</v>
      </c>
      <c r="T2740" s="10">
        <v>0</v>
      </c>
      <c r="U2740" s="10">
        <v>1.0396E-4</v>
      </c>
      <c r="V2740" s="25"/>
      <c r="W2740" s="25"/>
      <c r="X2740" s="25"/>
      <c r="Y2740" s="25"/>
      <c r="Z2740" s="25"/>
      <c r="AA2740" s="25"/>
    </row>
    <row r="2741" spans="1:27" x14ac:dyDescent="0.35">
      <c r="A2741" s="5">
        <v>2737</v>
      </c>
      <c r="B2741" s="5">
        <v>115</v>
      </c>
      <c r="C2741" s="5">
        <v>4</v>
      </c>
      <c r="D2741" s="25">
        <v>1.1416E-4</v>
      </c>
      <c r="E2741" s="25">
        <v>1.2027999999999999E-4</v>
      </c>
      <c r="F2741" s="25">
        <v>1.1771E-4</v>
      </c>
      <c r="G2741" s="25">
        <v>5.9360000000000001E-5</v>
      </c>
      <c r="H2741" s="25">
        <v>6.3079999999999999E-5</v>
      </c>
      <c r="I2741" s="9">
        <v>9.7250000000000006E-5</v>
      </c>
      <c r="J2741" s="9">
        <v>9.4759999999999994E-5</v>
      </c>
      <c r="K2741" s="9">
        <v>6.7819999999999998E-5</v>
      </c>
      <c r="L2741" s="9">
        <v>6.6329999999999997E-5</v>
      </c>
      <c r="M2741" s="9">
        <v>7.3750000000000004E-5</v>
      </c>
      <c r="N2741" s="9">
        <v>8.0920000000000005E-5</v>
      </c>
      <c r="O2741" s="9">
        <v>5.4119999999999997E-5</v>
      </c>
      <c r="P2741" s="9">
        <v>5.3539999999999999E-5</v>
      </c>
      <c r="Q2741" s="9">
        <v>5.312E-5</v>
      </c>
      <c r="R2741" s="10">
        <v>1.2385290346873944E-4</v>
      </c>
      <c r="S2741" s="10">
        <v>1.5577003566039562E-4</v>
      </c>
      <c r="T2741" s="10">
        <v>0</v>
      </c>
      <c r="U2741" s="10">
        <v>1.0292E-4</v>
      </c>
      <c r="V2741" s="25"/>
      <c r="W2741" s="25"/>
      <c r="X2741" s="25"/>
      <c r="Y2741" s="25"/>
      <c r="Z2741" s="25"/>
      <c r="AA2741" s="25"/>
    </row>
    <row r="2742" spans="1:27" x14ac:dyDescent="0.35">
      <c r="A2742" s="5">
        <v>2738</v>
      </c>
      <c r="B2742" s="5">
        <v>115</v>
      </c>
      <c r="C2742" s="5">
        <v>4</v>
      </c>
      <c r="D2742" s="25">
        <v>1.1415000000000001E-4</v>
      </c>
      <c r="E2742" s="25">
        <v>1.1327E-4</v>
      </c>
      <c r="F2742" s="25">
        <v>1.1922E-4</v>
      </c>
      <c r="G2742" s="25">
        <v>5.4570000000000001E-5</v>
      </c>
      <c r="H2742" s="25">
        <v>7.2650000000000004E-5</v>
      </c>
      <c r="I2742" s="9">
        <v>9.2689999999999995E-5</v>
      </c>
      <c r="J2742" s="9">
        <v>9.234E-5</v>
      </c>
      <c r="K2742" s="9">
        <v>8.0539999999999998E-5</v>
      </c>
      <c r="L2742" s="9">
        <v>5.719E-5</v>
      </c>
      <c r="M2742" s="9">
        <v>6.3590000000000006E-5</v>
      </c>
      <c r="N2742" s="9">
        <v>7.1799999999999997E-5</v>
      </c>
      <c r="O2742" s="9">
        <v>1.9089999999999998E-5</v>
      </c>
      <c r="P2742" s="9">
        <v>3.7769999999999999E-5</v>
      </c>
      <c r="Q2742" s="9">
        <v>5.6209999999999999E-5</v>
      </c>
      <c r="R2742" s="10">
        <v>1.2998970022054922E-4</v>
      </c>
      <c r="S2742" s="10">
        <v>1.4965555185285121E-4</v>
      </c>
      <c r="T2742" s="10">
        <v>0</v>
      </c>
      <c r="U2742" s="10">
        <v>1.0292E-4</v>
      </c>
      <c r="V2742" s="25"/>
      <c r="W2742" s="25"/>
      <c r="X2742" s="25"/>
      <c r="Y2742" s="25"/>
      <c r="Z2742" s="25"/>
      <c r="AA2742" s="25"/>
    </row>
    <row r="2743" spans="1:27" x14ac:dyDescent="0.35">
      <c r="A2743" s="5">
        <v>2739</v>
      </c>
      <c r="B2743" s="5">
        <v>115</v>
      </c>
      <c r="C2743" s="5">
        <v>4</v>
      </c>
      <c r="D2743" s="25">
        <v>1.1416E-4</v>
      </c>
      <c r="E2743" s="25">
        <v>1.1461E-4</v>
      </c>
      <c r="F2743" s="25">
        <v>1.2145E-4</v>
      </c>
      <c r="G2743" s="25">
        <v>5.7779999999999999E-5</v>
      </c>
      <c r="H2743" s="25">
        <v>7.5749999999999998E-5</v>
      </c>
      <c r="I2743" s="9">
        <v>9.0959999999999996E-5</v>
      </c>
      <c r="J2743" s="9">
        <v>9.0779999999999995E-5</v>
      </c>
      <c r="K2743" s="9">
        <v>8.6899999999999998E-5</v>
      </c>
      <c r="L2743" s="9">
        <v>2.7679999999999999E-5</v>
      </c>
      <c r="M2743" s="9">
        <v>5.198E-5</v>
      </c>
      <c r="N2743" s="9">
        <v>6.5279999999999998E-5</v>
      </c>
      <c r="O2743" s="9">
        <v>1.3720000000000001E-5</v>
      </c>
      <c r="P2743" s="9">
        <v>3.8009999999999997E-5</v>
      </c>
      <c r="Q2743" s="9">
        <v>6.1959999999999996E-5</v>
      </c>
      <c r="R2743" s="10">
        <v>1.2425817853934905E-4</v>
      </c>
      <c r="S2743" s="10">
        <v>1.39010900077309E-4</v>
      </c>
      <c r="T2743" s="10">
        <v>0</v>
      </c>
      <c r="U2743" s="10">
        <v>1.0292E-4</v>
      </c>
      <c r="V2743" s="25"/>
      <c r="W2743" s="25"/>
      <c r="X2743" s="25"/>
      <c r="Y2743" s="25"/>
      <c r="Z2743" s="25"/>
      <c r="AA2743" s="25"/>
    </row>
    <row r="2744" spans="1:27" x14ac:dyDescent="0.35">
      <c r="A2744" s="5">
        <v>2740</v>
      </c>
      <c r="B2744" s="5">
        <v>115</v>
      </c>
      <c r="C2744" s="5">
        <v>4</v>
      </c>
      <c r="D2744" s="25">
        <v>1.1415000000000001E-4</v>
      </c>
      <c r="E2744" s="25">
        <v>1.1735000000000001E-4</v>
      </c>
      <c r="F2744" s="25">
        <v>1.2752E-4</v>
      </c>
      <c r="G2744" s="25">
        <v>5.4719999999999998E-5</v>
      </c>
      <c r="H2744" s="25">
        <v>7.428E-5</v>
      </c>
      <c r="I2744" s="9">
        <v>9.1559999999999998E-5</v>
      </c>
      <c r="J2744" s="9">
        <v>9.0290000000000005E-5</v>
      </c>
      <c r="K2744" s="9">
        <v>1.0173E-4</v>
      </c>
      <c r="L2744" s="9">
        <v>1.7520000000000002E-5</v>
      </c>
      <c r="M2744" s="9">
        <v>4.4180000000000001E-5</v>
      </c>
      <c r="N2744" s="9">
        <v>6.1849999999999999E-5</v>
      </c>
      <c r="O2744" s="9">
        <v>1.376E-5</v>
      </c>
      <c r="P2744" s="9">
        <v>4.7630000000000003E-5</v>
      </c>
      <c r="Q2744" s="9">
        <v>8.1009999999999999E-5</v>
      </c>
      <c r="R2744" s="10">
        <v>1.0642396634086255E-4</v>
      </c>
      <c r="S2744" s="10">
        <v>1.3207003994731995E-4</v>
      </c>
      <c r="T2744" s="10">
        <v>0</v>
      </c>
      <c r="U2744" s="10">
        <v>1.0292E-4</v>
      </c>
      <c r="V2744" s="25"/>
      <c r="W2744" s="25"/>
      <c r="X2744" s="25"/>
      <c r="Y2744" s="25"/>
      <c r="Z2744" s="25"/>
      <c r="AA2744" s="25"/>
    </row>
    <row r="2745" spans="1:27" x14ac:dyDescent="0.35">
      <c r="A2745" s="5">
        <v>2741</v>
      </c>
      <c r="B2745" s="5">
        <v>115</v>
      </c>
      <c r="C2745" s="5">
        <v>4</v>
      </c>
      <c r="D2745" s="25">
        <v>1.1416E-4</v>
      </c>
      <c r="E2745" s="25">
        <v>1.1754E-4</v>
      </c>
      <c r="F2745" s="25">
        <v>1.3134E-4</v>
      </c>
      <c r="G2745" s="25">
        <v>5.5000000000000002E-5</v>
      </c>
      <c r="H2745" s="25">
        <v>6.5320000000000005E-5</v>
      </c>
      <c r="I2745" s="9">
        <v>9.1899999999999998E-5</v>
      </c>
      <c r="J2745" s="9">
        <v>9.077E-5</v>
      </c>
      <c r="K2745" s="9">
        <v>1.1444E-4</v>
      </c>
      <c r="L2745" s="9">
        <v>1.482E-5</v>
      </c>
      <c r="M2745" s="9">
        <v>4.3680000000000002E-5</v>
      </c>
      <c r="N2745" s="9">
        <v>6.457E-5</v>
      </c>
      <c r="O2745" s="9">
        <v>1.9069999999999999E-5</v>
      </c>
      <c r="P2745" s="9">
        <v>5.6610000000000002E-5</v>
      </c>
      <c r="Q2745" s="9">
        <v>9.3599999999999998E-5</v>
      </c>
      <c r="R2745" s="10">
        <v>9.1010767565067425E-5</v>
      </c>
      <c r="S2745" s="10">
        <v>1.3505944004380932E-4</v>
      </c>
      <c r="T2745" s="10">
        <v>0</v>
      </c>
      <c r="U2745" s="10">
        <v>1.0292E-4</v>
      </c>
      <c r="V2745" s="25"/>
      <c r="W2745" s="25"/>
      <c r="X2745" s="25"/>
      <c r="Y2745" s="25"/>
      <c r="Z2745" s="25"/>
      <c r="AA2745" s="25"/>
    </row>
    <row r="2746" spans="1:27" x14ac:dyDescent="0.35">
      <c r="A2746" s="5">
        <v>2742</v>
      </c>
      <c r="B2746" s="5">
        <v>115</v>
      </c>
      <c r="C2746" s="5">
        <v>4</v>
      </c>
      <c r="D2746" s="25">
        <v>1.1415000000000001E-4</v>
      </c>
      <c r="E2746" s="25">
        <v>1.2072E-4</v>
      </c>
      <c r="F2746" s="25">
        <v>1.2347000000000001E-4</v>
      </c>
      <c r="G2746" s="25">
        <v>1.1075E-4</v>
      </c>
      <c r="H2746" s="25">
        <v>1.3248000000000001E-4</v>
      </c>
      <c r="I2746" s="9">
        <v>9.179E-5</v>
      </c>
      <c r="J2746" s="9">
        <v>9.0480000000000001E-5</v>
      </c>
      <c r="K2746" s="9">
        <v>1.1445E-4</v>
      </c>
      <c r="L2746" s="9">
        <v>1.8009999999999999E-5</v>
      </c>
      <c r="M2746" s="9">
        <v>4.8550000000000001E-5</v>
      </c>
      <c r="N2746" s="9">
        <v>7.114E-5</v>
      </c>
      <c r="O2746" s="9">
        <v>4.5899999999999998E-5</v>
      </c>
      <c r="P2746" s="9">
        <v>7.6130000000000005E-5</v>
      </c>
      <c r="Q2746" s="9">
        <v>1.0601E-4</v>
      </c>
      <c r="R2746" s="10">
        <v>8.6826425415340201E-5</v>
      </c>
      <c r="S2746" s="10">
        <v>1.4650847541918004E-4</v>
      </c>
      <c r="T2746" s="10">
        <v>7.6528380138285511E-6</v>
      </c>
      <c r="U2746" s="10">
        <v>1.0292E-4</v>
      </c>
      <c r="V2746" s="25"/>
      <c r="W2746" s="25"/>
      <c r="X2746" s="25"/>
      <c r="Y2746" s="25"/>
      <c r="Z2746" s="25"/>
      <c r="AA2746" s="25"/>
    </row>
    <row r="2747" spans="1:27" x14ac:dyDescent="0.35">
      <c r="A2747" s="5">
        <v>2743</v>
      </c>
      <c r="B2747" s="5">
        <v>115</v>
      </c>
      <c r="C2747" s="5">
        <v>4</v>
      </c>
      <c r="D2747" s="25">
        <v>1.1416E-4</v>
      </c>
      <c r="E2747" s="25">
        <v>1.165E-4</v>
      </c>
      <c r="F2747" s="25">
        <v>1.1636E-4</v>
      </c>
      <c r="G2747" s="25">
        <v>1.0768999999999999E-4</v>
      </c>
      <c r="H2747" s="25">
        <v>1.2726999999999999E-4</v>
      </c>
      <c r="I2747" s="9">
        <v>9.2600000000000001E-5</v>
      </c>
      <c r="J2747" s="9">
        <v>9.3200000000000002E-5</v>
      </c>
      <c r="K2747" s="9">
        <v>1.0808E-4</v>
      </c>
      <c r="L2747" s="9">
        <v>3.9629999999999998E-5</v>
      </c>
      <c r="M2747" s="9">
        <v>5.9849999999999998E-5</v>
      </c>
      <c r="N2747" s="9">
        <v>8.064E-5</v>
      </c>
      <c r="O2747" s="9">
        <v>1.2261999999999999E-4</v>
      </c>
      <c r="P2747" s="9">
        <v>1.1726E-4</v>
      </c>
      <c r="Q2747" s="9">
        <v>1.1233E-4</v>
      </c>
      <c r="R2747" s="10">
        <v>9.7482605867563245E-5</v>
      </c>
      <c r="S2747" s="10">
        <v>1.6317840651752747E-4</v>
      </c>
      <c r="T2747" s="10">
        <v>7.2532275144368379E-5</v>
      </c>
      <c r="U2747" s="10">
        <v>1.0292E-4</v>
      </c>
      <c r="V2747" s="25"/>
      <c r="W2747" s="25"/>
      <c r="X2747" s="25"/>
      <c r="Y2747" s="25"/>
      <c r="Z2747" s="25"/>
      <c r="AA2747" s="25"/>
    </row>
    <row r="2748" spans="1:27" x14ac:dyDescent="0.35">
      <c r="A2748" s="5">
        <v>2744</v>
      </c>
      <c r="B2748" s="5">
        <v>115</v>
      </c>
      <c r="C2748" s="5">
        <v>4</v>
      </c>
      <c r="D2748" s="25">
        <v>1.1415000000000001E-4</v>
      </c>
      <c r="E2748" s="25">
        <v>1.2037E-4</v>
      </c>
      <c r="F2748" s="25">
        <v>1.2870000000000001E-4</v>
      </c>
      <c r="G2748" s="25">
        <v>1.6674999999999999E-4</v>
      </c>
      <c r="H2748" s="25">
        <v>1.9712000000000001E-4</v>
      </c>
      <c r="I2748" s="9">
        <v>9.8809999999999998E-5</v>
      </c>
      <c r="J2748" s="9">
        <v>9.7850000000000007E-5</v>
      </c>
      <c r="K2748" s="9">
        <v>1.0173E-4</v>
      </c>
      <c r="L2748" s="9">
        <v>1.0375E-4</v>
      </c>
      <c r="M2748" s="9">
        <v>8.3419999999999998E-5</v>
      </c>
      <c r="N2748" s="9">
        <v>9.0710000000000004E-5</v>
      </c>
      <c r="O2748" s="9">
        <v>2.1660000000000001E-4</v>
      </c>
      <c r="P2748" s="9">
        <v>1.7545000000000001E-4</v>
      </c>
      <c r="Q2748" s="9">
        <v>1.3553E-4</v>
      </c>
      <c r="R2748" s="10">
        <v>1.0388488223076915E-4</v>
      </c>
      <c r="S2748" s="10">
        <v>1.7091867688436596E-4</v>
      </c>
      <c r="T2748" s="10">
        <v>8.6344714486400395E-5</v>
      </c>
      <c r="U2748" s="10">
        <v>1.0292E-4</v>
      </c>
      <c r="V2748" s="25"/>
      <c r="W2748" s="25"/>
      <c r="X2748" s="25"/>
      <c r="Y2748" s="25"/>
      <c r="Z2748" s="25"/>
      <c r="AA2748" s="25"/>
    </row>
    <row r="2749" spans="1:27" x14ac:dyDescent="0.35">
      <c r="A2749" s="5">
        <v>2745</v>
      </c>
      <c r="B2749" s="5">
        <v>115</v>
      </c>
      <c r="C2749" s="5">
        <v>4</v>
      </c>
      <c r="D2749" s="25">
        <v>1.1416E-4</v>
      </c>
      <c r="E2749" s="25">
        <v>1.1157E-4</v>
      </c>
      <c r="F2749" s="25">
        <v>1.2680999999999999E-4</v>
      </c>
      <c r="G2749" s="25">
        <v>1.6077999999999999E-4</v>
      </c>
      <c r="H2749" s="25">
        <v>1.8762999999999999E-4</v>
      </c>
      <c r="I2749" s="9">
        <v>1.0563E-4</v>
      </c>
      <c r="J2749" s="9">
        <v>1.0293000000000001E-4</v>
      </c>
      <c r="K2749" s="9">
        <v>3.3909999999999999E-5</v>
      </c>
      <c r="L2749" s="9">
        <v>1.9002E-4</v>
      </c>
      <c r="M2749" s="9">
        <v>1.2265999999999999E-4</v>
      </c>
      <c r="N2749" s="9">
        <v>1.0418E-4</v>
      </c>
      <c r="O2749" s="9">
        <v>2.1036000000000001E-4</v>
      </c>
      <c r="P2749" s="9">
        <v>1.9325000000000001E-4</v>
      </c>
      <c r="Q2749" s="9">
        <v>1.7698E-4</v>
      </c>
      <c r="R2749" s="10">
        <v>1.0595593899107395E-4</v>
      </c>
      <c r="S2749" s="10">
        <v>1.7581547551630668E-4</v>
      </c>
      <c r="T2749" s="10">
        <v>1.1476711730937782E-4</v>
      </c>
      <c r="U2749" s="10">
        <v>1.0292E-4</v>
      </c>
      <c r="V2749" s="25"/>
      <c r="W2749" s="25"/>
      <c r="X2749" s="25"/>
      <c r="Y2749" s="25"/>
      <c r="Z2749" s="25"/>
      <c r="AA2749" s="25"/>
    </row>
    <row r="2750" spans="1:27" x14ac:dyDescent="0.35">
      <c r="A2750" s="5">
        <v>2746</v>
      </c>
      <c r="B2750" s="5">
        <v>115</v>
      </c>
      <c r="C2750" s="5">
        <v>4</v>
      </c>
      <c r="D2750" s="25">
        <v>1.1415000000000001E-4</v>
      </c>
      <c r="E2750" s="25">
        <v>1.2014E-4</v>
      </c>
      <c r="F2750" s="25">
        <v>1.1171999999999999E-4</v>
      </c>
      <c r="G2750" s="25">
        <v>1.6013999999999999E-4</v>
      </c>
      <c r="H2750" s="25">
        <v>1.9144999999999999E-4</v>
      </c>
      <c r="I2750" s="9">
        <v>1.1017E-4</v>
      </c>
      <c r="J2750" s="9">
        <v>1.0576E-4</v>
      </c>
      <c r="K2750" s="9">
        <v>2.7549999999999999E-5</v>
      </c>
      <c r="L2750" s="9">
        <v>2.0362000000000001E-4</v>
      </c>
      <c r="M2750" s="9">
        <v>1.5801000000000001E-4</v>
      </c>
      <c r="N2750" s="9">
        <v>1.2422E-4</v>
      </c>
      <c r="O2750" s="9">
        <v>1.6558999999999999E-4</v>
      </c>
      <c r="P2750" s="9">
        <v>1.7322E-4</v>
      </c>
      <c r="Q2750" s="9">
        <v>1.8118999999999999E-4</v>
      </c>
      <c r="R2750" s="10">
        <v>9.9779799883058153E-5</v>
      </c>
      <c r="S2750" s="10">
        <v>1.7474611878185546E-4</v>
      </c>
      <c r="T2750" s="10">
        <v>2.2323040020159977E-4</v>
      </c>
      <c r="U2750" s="10">
        <v>1.0292E-4</v>
      </c>
      <c r="V2750" s="25"/>
      <c r="W2750" s="25"/>
      <c r="X2750" s="25"/>
      <c r="Y2750" s="25"/>
      <c r="Z2750" s="25"/>
      <c r="AA2750" s="25"/>
    </row>
    <row r="2751" spans="1:27" x14ac:dyDescent="0.35">
      <c r="A2751" s="5">
        <v>2747</v>
      </c>
      <c r="B2751" s="5">
        <v>115</v>
      </c>
      <c r="C2751" s="5">
        <v>4</v>
      </c>
      <c r="D2751" s="25">
        <v>1.1416E-4</v>
      </c>
      <c r="E2751" s="25">
        <v>1.1305E-4</v>
      </c>
      <c r="F2751" s="25">
        <v>1.2998E-4</v>
      </c>
      <c r="G2751" s="25">
        <v>1.5674999999999999E-4</v>
      </c>
      <c r="H2751" s="25">
        <v>1.8855E-4</v>
      </c>
      <c r="I2751" s="9">
        <v>1.1302E-4</v>
      </c>
      <c r="J2751" s="9">
        <v>1.0774E-4</v>
      </c>
      <c r="K2751" s="9">
        <v>0</v>
      </c>
      <c r="L2751" s="9">
        <v>1.74E-4</v>
      </c>
      <c r="M2751" s="9">
        <v>1.717E-4</v>
      </c>
      <c r="N2751" s="9">
        <v>1.4213999999999999E-4</v>
      </c>
      <c r="O2751" s="9">
        <v>1.6781000000000001E-4</v>
      </c>
      <c r="P2751" s="9">
        <v>1.7417999999999999E-4</v>
      </c>
      <c r="Q2751" s="9">
        <v>1.8091E-4</v>
      </c>
      <c r="R2751" s="10">
        <v>1.0330491653822695E-4</v>
      </c>
      <c r="S2751" s="10">
        <v>1.7126839500220925E-4</v>
      </c>
      <c r="T2751" s="10">
        <v>1.5942846908852804E-4</v>
      </c>
      <c r="U2751" s="10">
        <v>1.0292E-4</v>
      </c>
      <c r="V2751" s="25"/>
      <c r="W2751" s="25"/>
      <c r="X2751" s="25"/>
      <c r="Y2751" s="25"/>
      <c r="Z2751" s="25"/>
      <c r="AA2751" s="25"/>
    </row>
    <row r="2752" spans="1:27" x14ac:dyDescent="0.35">
      <c r="A2752" s="5">
        <v>2748</v>
      </c>
      <c r="B2752" s="5">
        <v>115</v>
      </c>
      <c r="C2752" s="5">
        <v>4</v>
      </c>
      <c r="D2752" s="25">
        <v>1.1415000000000001E-4</v>
      </c>
      <c r="E2752" s="25">
        <v>1.1176E-4</v>
      </c>
      <c r="F2752" s="25">
        <v>1.3221000000000001E-4</v>
      </c>
      <c r="G2752" s="25">
        <v>1.6485E-4</v>
      </c>
      <c r="H2752" s="25">
        <v>1.9992999999999999E-4</v>
      </c>
      <c r="I2752" s="9">
        <v>1.1370999999999999E-4</v>
      </c>
      <c r="J2752" s="9">
        <v>1.0919E-4</v>
      </c>
      <c r="K2752" s="9">
        <v>0</v>
      </c>
      <c r="L2752" s="9">
        <v>1.7058000000000001E-4</v>
      </c>
      <c r="M2752" s="9">
        <v>1.749E-4</v>
      </c>
      <c r="N2752" s="9">
        <v>1.5662E-4</v>
      </c>
      <c r="O2752" s="9">
        <v>1.6896000000000001E-4</v>
      </c>
      <c r="P2752" s="9">
        <v>1.7119999999999999E-4</v>
      </c>
      <c r="Q2752" s="9">
        <v>1.7386999999999999E-4</v>
      </c>
      <c r="R2752" s="10">
        <v>7.3608021671170003E-5</v>
      </c>
      <c r="S2752" s="10">
        <v>1.6960364619794755E-4</v>
      </c>
      <c r="T2752" s="10">
        <v>2.1899673482587867E-4</v>
      </c>
      <c r="U2752" s="10">
        <v>1.0292E-4</v>
      </c>
      <c r="V2752" s="25"/>
      <c r="W2752" s="25"/>
      <c r="X2752" s="25"/>
      <c r="Y2752" s="25"/>
      <c r="Z2752" s="25"/>
      <c r="AA2752" s="25"/>
    </row>
    <row r="2753" spans="1:27" x14ac:dyDescent="0.35">
      <c r="A2753" s="5">
        <v>2749</v>
      </c>
      <c r="B2753" s="5">
        <v>115</v>
      </c>
      <c r="C2753" s="5">
        <v>4</v>
      </c>
      <c r="D2753" s="25">
        <v>1.1416E-4</v>
      </c>
      <c r="E2753" s="25">
        <v>1.2057000000000001E-4</v>
      </c>
      <c r="F2753" s="25">
        <v>1.1361E-4</v>
      </c>
      <c r="G2753" s="25">
        <v>1.6003999999999999E-4</v>
      </c>
      <c r="H2753" s="25">
        <v>1.8971E-4</v>
      </c>
      <c r="I2753" s="9">
        <v>1.1033E-4</v>
      </c>
      <c r="J2753" s="9">
        <v>1.082E-4</v>
      </c>
      <c r="K2753" s="9">
        <v>0</v>
      </c>
      <c r="L2753" s="9">
        <v>1.6945E-4</v>
      </c>
      <c r="M2753" s="9">
        <v>1.7391999999999999E-4</v>
      </c>
      <c r="N2753" s="9">
        <v>1.661E-4</v>
      </c>
      <c r="O2753" s="9">
        <v>1.6154E-4</v>
      </c>
      <c r="P2753" s="9">
        <v>1.6454999999999999E-4</v>
      </c>
      <c r="Q2753" s="9">
        <v>1.6796000000000001E-4</v>
      </c>
      <c r="R2753" s="10">
        <v>8.1098170363221064E-5</v>
      </c>
      <c r="S2753" s="10">
        <v>1.7539954725451332E-4</v>
      </c>
      <c r="T2753" s="10">
        <v>8.8457305024585881E-5</v>
      </c>
      <c r="U2753" s="10">
        <v>1.0292E-4</v>
      </c>
      <c r="V2753" s="25"/>
      <c r="W2753" s="25"/>
      <c r="X2753" s="25"/>
      <c r="Y2753" s="25"/>
      <c r="Z2753" s="25"/>
      <c r="AA2753" s="25"/>
    </row>
    <row r="2754" spans="1:27" x14ac:dyDescent="0.35">
      <c r="A2754" s="5">
        <v>2750</v>
      </c>
      <c r="B2754" s="5">
        <v>115</v>
      </c>
      <c r="C2754" s="5">
        <v>4</v>
      </c>
      <c r="D2754" s="25">
        <v>1.1415000000000001E-4</v>
      </c>
      <c r="E2754" s="25">
        <v>1.2077E-4</v>
      </c>
      <c r="F2754" s="25">
        <v>1.3093999999999999E-4</v>
      </c>
      <c r="G2754" s="25">
        <v>1.6636E-4</v>
      </c>
      <c r="H2754" s="25">
        <v>1.8675000000000001E-4</v>
      </c>
      <c r="I2754" s="9">
        <v>1.0652E-4</v>
      </c>
      <c r="J2754" s="9">
        <v>1.0639E-4</v>
      </c>
      <c r="K2754" s="9">
        <v>0</v>
      </c>
      <c r="L2754" s="9">
        <v>1.6305000000000001E-4</v>
      </c>
      <c r="M2754" s="9">
        <v>1.7024E-4</v>
      </c>
      <c r="N2754" s="9">
        <v>1.7063000000000001E-4</v>
      </c>
      <c r="O2754" s="9">
        <v>1.7789999999999999E-4</v>
      </c>
      <c r="P2754" s="9">
        <v>1.6923E-4</v>
      </c>
      <c r="Q2754" s="9">
        <v>1.6118E-4</v>
      </c>
      <c r="R2754" s="10">
        <v>8.8561216696460602E-5</v>
      </c>
      <c r="S2754" s="10">
        <v>1.8055751747218744E-4</v>
      </c>
      <c r="T2754" s="10">
        <v>9.5550179281305017E-5</v>
      </c>
      <c r="U2754" s="10">
        <v>1.0292E-4</v>
      </c>
      <c r="V2754" s="25"/>
      <c r="W2754" s="25"/>
      <c r="X2754" s="25"/>
      <c r="Y2754" s="25"/>
      <c r="Z2754" s="25"/>
      <c r="AA2754" s="25"/>
    </row>
    <row r="2755" spans="1:27" x14ac:dyDescent="0.35">
      <c r="A2755" s="5">
        <v>2751</v>
      </c>
      <c r="B2755" s="5">
        <v>115</v>
      </c>
      <c r="C2755" s="5">
        <v>4</v>
      </c>
      <c r="D2755" s="25">
        <v>1.1416E-4</v>
      </c>
      <c r="E2755" s="25">
        <v>1.1285000000000001E-4</v>
      </c>
      <c r="F2755" s="25">
        <v>1.2951999999999999E-4</v>
      </c>
      <c r="G2755" s="25">
        <v>1.6605E-4</v>
      </c>
      <c r="H2755" s="25">
        <v>1.8766E-4</v>
      </c>
      <c r="I2755" s="9">
        <v>1.0491E-4</v>
      </c>
      <c r="J2755" s="9">
        <v>1.0486E-4</v>
      </c>
      <c r="K2755" s="9">
        <v>0</v>
      </c>
      <c r="L2755" s="9">
        <v>1.7479999999999999E-4</v>
      </c>
      <c r="M2755" s="9">
        <v>1.6882E-4</v>
      </c>
      <c r="N2755" s="9">
        <v>1.7026000000000001E-4</v>
      </c>
      <c r="O2755" s="9">
        <v>1.8406E-4</v>
      </c>
      <c r="P2755" s="9">
        <v>1.685E-4</v>
      </c>
      <c r="Q2755" s="9">
        <v>1.537E-4</v>
      </c>
      <c r="R2755" s="10">
        <v>9.4548835429854409E-5</v>
      </c>
      <c r="S2755" s="10">
        <v>1.8165722370206726E-4</v>
      </c>
      <c r="T2755" s="10">
        <v>1.3159996722006059E-4</v>
      </c>
      <c r="U2755" s="10">
        <v>1.0292E-4</v>
      </c>
      <c r="V2755" s="25"/>
      <c r="W2755" s="25"/>
      <c r="X2755" s="25"/>
      <c r="Y2755" s="25"/>
      <c r="Z2755" s="25"/>
      <c r="AA2755" s="25"/>
    </row>
    <row r="2756" spans="1:27" x14ac:dyDescent="0.35">
      <c r="A2756" s="5">
        <v>2752</v>
      </c>
      <c r="B2756" s="5">
        <v>115</v>
      </c>
      <c r="C2756" s="5">
        <v>4</v>
      </c>
      <c r="D2756" s="25">
        <v>1.1415000000000001E-4</v>
      </c>
      <c r="E2756" s="25">
        <v>1.1032E-4</v>
      </c>
      <c r="F2756" s="25">
        <v>1.1475E-4</v>
      </c>
      <c r="G2756" s="25">
        <v>1.5875000000000001E-4</v>
      </c>
      <c r="H2756" s="25">
        <v>1.8752999999999999E-4</v>
      </c>
      <c r="I2756" s="9">
        <v>1.0351E-4</v>
      </c>
      <c r="J2756" s="9">
        <v>1.06E-4</v>
      </c>
      <c r="K2756" s="9">
        <v>0</v>
      </c>
      <c r="L2756" s="9">
        <v>1.8170999999999999E-4</v>
      </c>
      <c r="M2756" s="9">
        <v>1.6843000000000001E-4</v>
      </c>
      <c r="N2756" s="9">
        <v>1.6663999999999999E-4</v>
      </c>
      <c r="O2756" s="9">
        <v>1.9676000000000001E-4</v>
      </c>
      <c r="P2756" s="9">
        <v>1.5275E-4</v>
      </c>
      <c r="Q2756" s="9">
        <v>1.0997000000000001E-4</v>
      </c>
      <c r="R2756" s="10">
        <v>1.0697421121243508E-4</v>
      </c>
      <c r="S2756" s="10">
        <v>1.8114751703047854E-4</v>
      </c>
      <c r="T2756" s="10">
        <v>3.8145409878240753E-4</v>
      </c>
      <c r="U2756" s="10">
        <v>1.0292E-4</v>
      </c>
      <c r="V2756" s="25"/>
      <c r="W2756" s="25"/>
      <c r="X2756" s="25"/>
      <c r="Y2756" s="25"/>
      <c r="Z2756" s="25"/>
      <c r="AA2756" s="25"/>
    </row>
    <row r="2757" spans="1:27" x14ac:dyDescent="0.35">
      <c r="A2757" s="5">
        <v>2753</v>
      </c>
      <c r="B2757" s="5">
        <v>115</v>
      </c>
      <c r="C2757" s="5">
        <v>4</v>
      </c>
      <c r="D2757" s="25">
        <v>1.1416E-4</v>
      </c>
      <c r="E2757" s="25">
        <v>1.1239999999999999E-4</v>
      </c>
      <c r="F2757" s="25">
        <v>1.2752E-4</v>
      </c>
      <c r="G2757" s="25">
        <v>1.5828000000000001E-4</v>
      </c>
      <c r="H2757" s="25">
        <v>1.9521999999999999E-4</v>
      </c>
      <c r="I2757" s="9">
        <v>1.0562E-4</v>
      </c>
      <c r="J2757" s="9">
        <v>1.1191E-4</v>
      </c>
      <c r="K2757" s="9">
        <v>0</v>
      </c>
      <c r="L2757" s="9">
        <v>1.9321E-4</v>
      </c>
      <c r="M2757" s="9">
        <v>1.6279000000000001E-4</v>
      </c>
      <c r="N2757" s="9">
        <v>1.5289000000000001E-4</v>
      </c>
      <c r="O2757" s="9">
        <v>2.1379999999999999E-4</v>
      </c>
      <c r="P2757" s="9">
        <v>1.5998999999999999E-4</v>
      </c>
      <c r="Q2757" s="9">
        <v>1.0760999999999999E-4</v>
      </c>
      <c r="R2757" s="10">
        <v>1.1094493140803403E-4</v>
      </c>
      <c r="S2757" s="10">
        <v>1.8062349622107639E-4</v>
      </c>
      <c r="T2757" s="10">
        <v>1.5219136174285646E-4</v>
      </c>
      <c r="U2757" s="10">
        <v>1.0292E-4</v>
      </c>
      <c r="V2757" s="25"/>
      <c r="W2757" s="25"/>
      <c r="X2757" s="25"/>
      <c r="Y2757" s="25"/>
      <c r="Z2757" s="25"/>
      <c r="AA2757" s="25"/>
    </row>
    <row r="2758" spans="1:27" x14ac:dyDescent="0.35">
      <c r="A2758" s="5">
        <v>2754</v>
      </c>
      <c r="B2758" s="5">
        <v>115</v>
      </c>
      <c r="C2758" s="5">
        <v>4</v>
      </c>
      <c r="D2758" s="25">
        <v>1.1415000000000001E-4</v>
      </c>
      <c r="E2758" s="25">
        <v>1.1544000000000001E-4</v>
      </c>
      <c r="F2758" s="25">
        <v>1.2453E-4</v>
      </c>
      <c r="G2758" s="25">
        <v>1.5787E-4</v>
      </c>
      <c r="H2758" s="25">
        <v>1.8917000000000001E-4</v>
      </c>
      <c r="I2758" s="9">
        <v>1.0798000000000001E-4</v>
      </c>
      <c r="J2758" s="9">
        <v>1.1267E-4</v>
      </c>
      <c r="K2758" s="9">
        <v>0</v>
      </c>
      <c r="L2758" s="9">
        <v>2.0903999999999999E-4</v>
      </c>
      <c r="M2758" s="9">
        <v>1.6021000000000001E-4</v>
      </c>
      <c r="N2758" s="9">
        <v>1.3959000000000001E-4</v>
      </c>
      <c r="O2758" s="9">
        <v>2.0321E-4</v>
      </c>
      <c r="P2758" s="9">
        <v>1.5949000000000001E-4</v>
      </c>
      <c r="Q2758" s="9">
        <v>1.1701000000000001E-4</v>
      </c>
      <c r="R2758" s="10">
        <v>1.0946602469636942E-4</v>
      </c>
      <c r="S2758" s="10">
        <v>1.6702524163862134E-4</v>
      </c>
      <c r="T2758" s="10">
        <v>8.2144986308079837E-5</v>
      </c>
      <c r="U2758" s="10">
        <v>1.0292E-4</v>
      </c>
      <c r="V2758" s="25"/>
      <c r="W2758" s="25"/>
      <c r="X2758" s="25"/>
      <c r="Y2758" s="25"/>
      <c r="Z2758" s="25"/>
      <c r="AA2758" s="25"/>
    </row>
    <row r="2759" spans="1:27" x14ac:dyDescent="0.35">
      <c r="A2759" s="5">
        <v>2755</v>
      </c>
      <c r="B2759" s="5">
        <v>115</v>
      </c>
      <c r="C2759" s="5">
        <v>4</v>
      </c>
      <c r="D2759" s="25">
        <v>1.1416E-4</v>
      </c>
      <c r="E2759" s="25">
        <v>1.1005000000000001E-4</v>
      </c>
      <c r="F2759" s="25">
        <v>1.1724E-4</v>
      </c>
      <c r="G2759" s="25">
        <v>1.1175000000000001E-4</v>
      </c>
      <c r="H2759" s="25">
        <v>1.2705999999999999E-4</v>
      </c>
      <c r="I2759" s="9">
        <v>1.0807E-4</v>
      </c>
      <c r="J2759" s="9">
        <v>1.077E-4</v>
      </c>
      <c r="K2759" s="9">
        <v>4.0280000000000001E-5</v>
      </c>
      <c r="L2759" s="9">
        <v>2.0409000000000001E-4</v>
      </c>
      <c r="M2759" s="9">
        <v>1.5944E-4</v>
      </c>
      <c r="N2759" s="9">
        <v>1.3027000000000001E-4</v>
      </c>
      <c r="O2759" s="9">
        <v>1.6207E-4</v>
      </c>
      <c r="P2759" s="9">
        <v>1.3362000000000001E-4</v>
      </c>
      <c r="Q2759" s="9">
        <v>1.0605E-4</v>
      </c>
      <c r="R2759" s="10">
        <v>1.0342046445186364E-4</v>
      </c>
      <c r="S2759" s="10">
        <v>1.3823918850360459E-4</v>
      </c>
      <c r="T2759" s="10">
        <v>0</v>
      </c>
      <c r="U2759" s="10">
        <v>1.0292E-4</v>
      </c>
      <c r="V2759" s="25"/>
      <c r="W2759" s="25"/>
      <c r="X2759" s="25"/>
      <c r="Y2759" s="25"/>
      <c r="Z2759" s="25"/>
      <c r="AA2759" s="25"/>
    </row>
    <row r="2760" spans="1:27" x14ac:dyDescent="0.35">
      <c r="A2760" s="5">
        <v>2756</v>
      </c>
      <c r="B2760" s="5">
        <v>115</v>
      </c>
      <c r="C2760" s="5">
        <v>4</v>
      </c>
      <c r="D2760" s="25">
        <v>1.1415000000000001E-4</v>
      </c>
      <c r="E2760" s="25">
        <v>1.1307E-4</v>
      </c>
      <c r="F2760" s="25">
        <v>1.2452000000000001E-4</v>
      </c>
      <c r="G2760" s="25">
        <v>1.1354E-4</v>
      </c>
      <c r="H2760" s="25">
        <v>1.3253000000000001E-4</v>
      </c>
      <c r="I2760" s="9">
        <v>1.0878999999999999E-4</v>
      </c>
      <c r="J2760" s="9">
        <v>1.0335E-4</v>
      </c>
      <c r="K2760" s="9">
        <v>6.7819999999999998E-5</v>
      </c>
      <c r="L2760" s="9">
        <v>1.7152000000000001E-4</v>
      </c>
      <c r="M2760" s="9">
        <v>1.5009999999999999E-4</v>
      </c>
      <c r="N2760" s="9">
        <v>1.2084E-4</v>
      </c>
      <c r="O2760" s="9">
        <v>1.2779999999999999E-4</v>
      </c>
      <c r="P2760" s="9">
        <v>1.1433E-4</v>
      </c>
      <c r="Q2760" s="9">
        <v>1.0142E-4</v>
      </c>
      <c r="R2760" s="10">
        <v>9.0072794174344845E-5</v>
      </c>
      <c r="S2760" s="10">
        <v>1.0955594674194315E-4</v>
      </c>
      <c r="T2760" s="10">
        <v>0</v>
      </c>
      <c r="U2760" s="10">
        <v>1.0292E-4</v>
      </c>
      <c r="V2760" s="25"/>
      <c r="W2760" s="25"/>
      <c r="X2760" s="25"/>
      <c r="Y2760" s="25"/>
      <c r="Z2760" s="25"/>
      <c r="AA2760" s="25"/>
    </row>
    <row r="2761" spans="1:27" x14ac:dyDescent="0.35">
      <c r="A2761" s="5">
        <v>2757</v>
      </c>
      <c r="B2761" s="5">
        <v>115</v>
      </c>
      <c r="C2761" s="5">
        <v>4</v>
      </c>
      <c r="D2761" s="25">
        <v>1.1416E-4</v>
      </c>
      <c r="E2761" s="25">
        <v>1.1026E-4</v>
      </c>
      <c r="F2761" s="25">
        <v>1.1340000000000001E-4</v>
      </c>
      <c r="G2761" s="25">
        <v>5.3430000000000002E-5</v>
      </c>
      <c r="H2761" s="25">
        <v>6.3620000000000004E-5</v>
      </c>
      <c r="I2761" s="9">
        <v>1.1120000000000001E-4</v>
      </c>
      <c r="J2761" s="9">
        <v>1.0412E-4</v>
      </c>
      <c r="K2761" s="9">
        <v>8.9010000000000003E-5</v>
      </c>
      <c r="L2761" s="9">
        <v>1.3842999999999999E-4</v>
      </c>
      <c r="M2761" s="9">
        <v>1.3462000000000001E-4</v>
      </c>
      <c r="N2761" s="9">
        <v>1.1297E-4</v>
      </c>
      <c r="O2761" s="9">
        <v>8.5119999999999998E-5</v>
      </c>
      <c r="P2761" s="9">
        <v>8.6929999999999996E-5</v>
      </c>
      <c r="Q2761" s="9">
        <v>8.8939999999999999E-5</v>
      </c>
      <c r="R2761" s="10">
        <v>7.7039365237138716E-5</v>
      </c>
      <c r="S2761" s="10">
        <v>8.5287461153722087E-5</v>
      </c>
      <c r="T2761" s="10">
        <v>0</v>
      </c>
      <c r="U2761" s="10">
        <v>1.0292E-4</v>
      </c>
      <c r="V2761" s="25"/>
      <c r="W2761" s="25"/>
      <c r="X2761" s="25"/>
      <c r="Y2761" s="25"/>
      <c r="Z2761" s="25"/>
      <c r="AA2761" s="25"/>
    </row>
    <row r="2762" spans="1:27" x14ac:dyDescent="0.35">
      <c r="A2762" s="5">
        <v>2758</v>
      </c>
      <c r="B2762" s="5">
        <v>115</v>
      </c>
      <c r="C2762" s="5">
        <v>4</v>
      </c>
      <c r="D2762" s="25">
        <v>1.1415000000000001E-4</v>
      </c>
      <c r="E2762" s="25">
        <v>1.1118E-4</v>
      </c>
      <c r="F2762" s="25">
        <v>1.208E-4</v>
      </c>
      <c r="G2762" s="25">
        <v>5.4700000000000001E-5</v>
      </c>
      <c r="H2762" s="25">
        <v>7.2869999999999999E-5</v>
      </c>
      <c r="I2762" s="9">
        <v>1.1069E-4</v>
      </c>
      <c r="J2762" s="9">
        <v>1.0014E-4</v>
      </c>
      <c r="K2762" s="9">
        <v>1.0173E-4</v>
      </c>
      <c r="L2762" s="9">
        <v>9.7730000000000001E-5</v>
      </c>
      <c r="M2762" s="9">
        <v>1.1349999999999999E-4</v>
      </c>
      <c r="N2762" s="9">
        <v>1.0547E-4</v>
      </c>
      <c r="O2762" s="9">
        <v>8.7609999999999996E-5</v>
      </c>
      <c r="P2762" s="9">
        <v>8.8029999999999996E-5</v>
      </c>
      <c r="Q2762" s="9">
        <v>8.8679999999999998E-5</v>
      </c>
      <c r="R2762" s="10">
        <v>7.4695256064525272E-5</v>
      </c>
      <c r="S2762" s="10">
        <v>7.1953732554756324E-5</v>
      </c>
      <c r="T2762" s="10">
        <v>0</v>
      </c>
      <c r="U2762" s="10">
        <v>1.0292E-4</v>
      </c>
      <c r="V2762" s="25"/>
      <c r="W2762" s="25"/>
      <c r="X2762" s="25"/>
      <c r="Y2762" s="25"/>
      <c r="Z2762" s="25"/>
      <c r="AA2762" s="25"/>
    </row>
    <row r="2763" spans="1:27" x14ac:dyDescent="0.35">
      <c r="A2763" s="5">
        <v>2759</v>
      </c>
      <c r="B2763" s="5">
        <v>115</v>
      </c>
      <c r="C2763" s="5">
        <v>4</v>
      </c>
      <c r="D2763" s="25">
        <v>1.1416E-4</v>
      </c>
      <c r="E2763" s="25">
        <v>1.1658999999999999E-4</v>
      </c>
      <c r="F2763" s="25">
        <v>1.2575999999999999E-4</v>
      </c>
      <c r="G2763" s="25">
        <v>5.6459999999999998E-5</v>
      </c>
      <c r="H2763" s="25">
        <v>7.1009999999999999E-5</v>
      </c>
      <c r="I2763" s="9">
        <v>1.0864E-4</v>
      </c>
      <c r="J2763" s="9">
        <v>9.2979999999999994E-5</v>
      </c>
      <c r="K2763" s="9">
        <v>1.314E-4</v>
      </c>
      <c r="L2763" s="9">
        <v>9.0740000000000002E-5</v>
      </c>
      <c r="M2763" s="9">
        <v>9.9170000000000001E-5</v>
      </c>
      <c r="N2763" s="9">
        <v>9.9759999999999994E-5</v>
      </c>
      <c r="O2763" s="9">
        <v>7.8079999999999998E-5</v>
      </c>
      <c r="P2763" s="9">
        <v>7.25E-5</v>
      </c>
      <c r="Q2763" s="9">
        <v>6.7219999999999997E-5</v>
      </c>
      <c r="R2763" s="10">
        <v>7.7648133107780196E-5</v>
      </c>
      <c r="S2763" s="10">
        <v>6.0717534796714381E-5</v>
      </c>
      <c r="T2763" s="10">
        <v>0</v>
      </c>
      <c r="U2763" s="10">
        <v>1.0292E-4</v>
      </c>
      <c r="V2763" s="25"/>
      <c r="W2763" s="25"/>
      <c r="X2763" s="25"/>
      <c r="Y2763" s="25"/>
      <c r="Z2763" s="25"/>
      <c r="AA2763" s="25"/>
    </row>
    <row r="2764" spans="1:27" x14ac:dyDescent="0.35">
      <c r="A2764" s="5">
        <v>2760</v>
      </c>
      <c r="B2764" s="5">
        <v>115</v>
      </c>
      <c r="C2764" s="5">
        <v>4</v>
      </c>
      <c r="D2764" s="25">
        <v>1.1415000000000001E-4</v>
      </c>
      <c r="E2764" s="25">
        <v>1.1853000000000001E-4</v>
      </c>
      <c r="F2764" s="25">
        <v>1.1404E-4</v>
      </c>
      <c r="G2764" s="25">
        <v>5.3440000000000003E-5</v>
      </c>
      <c r="H2764" s="25">
        <v>6.6730000000000007E-5</v>
      </c>
      <c r="I2764" s="9">
        <v>1.0179999999999999E-4</v>
      </c>
      <c r="J2764" s="9">
        <v>9.0660000000000003E-5</v>
      </c>
      <c r="K2764" s="9">
        <v>1.5046999999999999E-4</v>
      </c>
      <c r="L2764" s="9">
        <v>8.085E-5</v>
      </c>
      <c r="M2764" s="9">
        <v>8.6409999999999994E-5</v>
      </c>
      <c r="N2764" s="9">
        <v>9.0610000000000002E-5</v>
      </c>
      <c r="O2764" s="9">
        <v>6.2199999999999994E-5</v>
      </c>
      <c r="P2764" s="9">
        <v>6.0189999999999998E-5</v>
      </c>
      <c r="Q2764" s="9">
        <v>5.8390000000000002E-5</v>
      </c>
      <c r="R2764" s="10">
        <v>1.3030923097333719E-4</v>
      </c>
      <c r="S2764" s="10">
        <v>4.4732783763529573E-5</v>
      </c>
      <c r="T2764" s="10">
        <v>0</v>
      </c>
      <c r="U2764" s="10">
        <v>1.0292E-4</v>
      </c>
      <c r="V2764" s="25"/>
      <c r="W2764" s="25"/>
      <c r="X2764" s="25"/>
      <c r="Y2764" s="25"/>
      <c r="Z2764" s="25"/>
      <c r="AA2764" s="25"/>
    </row>
    <row r="2765" spans="1:27" x14ac:dyDescent="0.35">
      <c r="A2765" s="5">
        <v>2761</v>
      </c>
      <c r="B2765" s="5">
        <v>116</v>
      </c>
      <c r="C2765" s="5">
        <v>4</v>
      </c>
      <c r="D2765" s="25">
        <v>1.1416E-4</v>
      </c>
      <c r="E2765" s="25">
        <v>1.2010000000000001E-4</v>
      </c>
      <c r="F2765" s="25">
        <v>1.2909E-4</v>
      </c>
      <c r="G2765" s="25">
        <v>5.2469999999999997E-5</v>
      </c>
      <c r="H2765" s="25">
        <v>6.3109999999999997E-5</v>
      </c>
      <c r="I2765" s="9">
        <v>9.6879999999999994E-5</v>
      </c>
      <c r="J2765" s="9">
        <v>8.8789999999999995E-5</v>
      </c>
      <c r="K2765" s="9">
        <v>1.7590999999999999E-4</v>
      </c>
      <c r="L2765" s="9">
        <v>6.6309999999999994E-5</v>
      </c>
      <c r="M2765" s="9">
        <v>7.4040000000000003E-5</v>
      </c>
      <c r="N2765" s="9">
        <v>8.1160000000000002E-5</v>
      </c>
      <c r="O2765" s="9">
        <v>5.4589999999999997E-5</v>
      </c>
      <c r="P2765" s="9">
        <v>5.3999999999999998E-5</v>
      </c>
      <c r="Q2765" s="9">
        <v>5.3579999999999999E-5</v>
      </c>
      <c r="R2765" s="10">
        <v>1.227767881408181E-4</v>
      </c>
      <c r="S2765" s="10">
        <v>3.4874816279418406E-5</v>
      </c>
      <c r="T2765" s="10">
        <v>0</v>
      </c>
      <c r="U2765" s="10">
        <v>1.024E-4</v>
      </c>
      <c r="V2765" s="25"/>
      <c r="W2765" s="25"/>
      <c r="X2765" s="25"/>
      <c r="Y2765" s="25"/>
      <c r="Z2765" s="25"/>
      <c r="AA2765" s="25"/>
    </row>
    <row r="2766" spans="1:27" x14ac:dyDescent="0.35">
      <c r="A2766" s="5">
        <v>2762</v>
      </c>
      <c r="B2766" s="5">
        <v>116</v>
      </c>
      <c r="C2766" s="5">
        <v>4</v>
      </c>
      <c r="D2766" s="25">
        <v>1.1415000000000001E-4</v>
      </c>
      <c r="E2766" s="25">
        <v>1.1385E-4</v>
      </c>
      <c r="F2766" s="25">
        <v>1.0773E-4</v>
      </c>
      <c r="G2766" s="25">
        <v>5.6709999999999997E-5</v>
      </c>
      <c r="H2766" s="25">
        <v>6.2760000000000002E-5</v>
      </c>
      <c r="I2766" s="9">
        <v>9.2399999999999996E-5</v>
      </c>
      <c r="J2766" s="9">
        <v>8.7529999999999997E-5</v>
      </c>
      <c r="K2766" s="9">
        <v>1.9074000000000001E-4</v>
      </c>
      <c r="L2766" s="9">
        <v>5.7559999999999998E-5</v>
      </c>
      <c r="M2766" s="9">
        <v>6.3869999999999997E-5</v>
      </c>
      <c r="N2766" s="9">
        <v>7.2119999999999994E-5</v>
      </c>
      <c r="O2766" s="9">
        <v>1.9000000000000001E-5</v>
      </c>
      <c r="P2766" s="9">
        <v>3.7599999999999999E-5</v>
      </c>
      <c r="Q2766" s="9">
        <v>5.596E-5</v>
      </c>
      <c r="R2766" s="10">
        <v>9.0728259216153292E-5</v>
      </c>
      <c r="S2766" s="10">
        <v>3.1419089059970104E-5</v>
      </c>
      <c r="T2766" s="10">
        <v>0</v>
      </c>
      <c r="U2766" s="10">
        <v>1.024E-4</v>
      </c>
      <c r="V2766" s="25"/>
      <c r="W2766" s="25"/>
      <c r="X2766" s="25"/>
      <c r="Y2766" s="25"/>
      <c r="Z2766" s="25"/>
      <c r="AA2766" s="25"/>
    </row>
    <row r="2767" spans="1:27" x14ac:dyDescent="0.35">
      <c r="A2767" s="5">
        <v>2763</v>
      </c>
      <c r="B2767" s="5">
        <v>116</v>
      </c>
      <c r="C2767" s="5">
        <v>4</v>
      </c>
      <c r="D2767" s="25">
        <v>1.1416E-4</v>
      </c>
      <c r="E2767" s="25">
        <v>1.1635E-4</v>
      </c>
      <c r="F2767" s="25">
        <v>1.2577000000000001E-4</v>
      </c>
      <c r="G2767" s="25">
        <v>6.2050000000000004E-5</v>
      </c>
      <c r="H2767" s="25">
        <v>6.9900000000000005E-5</v>
      </c>
      <c r="I2767" s="9">
        <v>9.2009999999999995E-5</v>
      </c>
      <c r="J2767" s="9">
        <v>8.7349999999999995E-5</v>
      </c>
      <c r="K2767" s="9">
        <v>2.0981E-4</v>
      </c>
      <c r="L2767" s="9">
        <v>2.7679999999999999E-5</v>
      </c>
      <c r="M2767" s="9">
        <v>5.2099999999999999E-5</v>
      </c>
      <c r="N2767" s="9">
        <v>6.5489999999999998E-5</v>
      </c>
      <c r="O2767" s="9">
        <v>1.3740000000000001E-5</v>
      </c>
      <c r="P2767" s="9">
        <v>3.807E-5</v>
      </c>
      <c r="Q2767" s="9">
        <v>6.2059999999999999E-5</v>
      </c>
      <c r="R2767" s="10">
        <v>7.0292401235235829E-5</v>
      </c>
      <c r="S2767" s="10">
        <v>2.824565164406558E-5</v>
      </c>
      <c r="T2767" s="10">
        <v>0</v>
      </c>
      <c r="U2767" s="10">
        <v>1.024E-4</v>
      </c>
      <c r="V2767" s="25"/>
      <c r="W2767" s="25"/>
      <c r="X2767" s="25"/>
      <c r="Y2767" s="25"/>
      <c r="Z2767" s="25"/>
      <c r="AA2767" s="25"/>
    </row>
    <row r="2768" spans="1:27" x14ac:dyDescent="0.35">
      <c r="A2768" s="5">
        <v>2764</v>
      </c>
      <c r="B2768" s="5">
        <v>116</v>
      </c>
      <c r="C2768" s="5">
        <v>4</v>
      </c>
      <c r="D2768" s="25">
        <v>1.1415000000000001E-4</v>
      </c>
      <c r="E2768" s="25">
        <v>1.1497000000000001E-4</v>
      </c>
      <c r="F2768" s="25">
        <v>1.1442000000000001E-4</v>
      </c>
      <c r="G2768" s="25">
        <v>6.2520000000000004E-5</v>
      </c>
      <c r="H2768" s="25">
        <v>6.3689999999999995E-5</v>
      </c>
      <c r="I2768" s="9">
        <v>9.4359999999999998E-5</v>
      </c>
      <c r="J2768" s="9">
        <v>8.9740000000000005E-5</v>
      </c>
      <c r="K2768" s="9">
        <v>2.0133E-4</v>
      </c>
      <c r="L2768" s="9">
        <v>1.7540000000000001E-5</v>
      </c>
      <c r="M2768" s="9">
        <v>4.4249999999999998E-5</v>
      </c>
      <c r="N2768" s="9">
        <v>6.2000000000000003E-5</v>
      </c>
      <c r="O2768" s="9">
        <v>1.3540000000000001E-5</v>
      </c>
      <c r="P2768" s="9">
        <v>4.6879999999999998E-5</v>
      </c>
      <c r="Q2768" s="9">
        <v>7.9729999999999997E-5</v>
      </c>
      <c r="R2768" s="10">
        <v>6.151589753095373E-5</v>
      </c>
      <c r="S2768" s="10">
        <v>2.8113051568315305E-5</v>
      </c>
      <c r="T2768" s="10">
        <v>0</v>
      </c>
      <c r="U2768" s="10">
        <v>1.024E-4</v>
      </c>
      <c r="V2768" s="25"/>
      <c r="W2768" s="25"/>
      <c r="X2768" s="25"/>
      <c r="Y2768" s="25"/>
      <c r="Z2768" s="25"/>
      <c r="AA2768" s="25"/>
    </row>
    <row r="2769" spans="1:27" x14ac:dyDescent="0.35">
      <c r="A2769" s="5">
        <v>2765</v>
      </c>
      <c r="B2769" s="5">
        <v>116</v>
      </c>
      <c r="C2769" s="5">
        <v>4</v>
      </c>
      <c r="D2769" s="25">
        <v>1.1416E-4</v>
      </c>
      <c r="E2769" s="25">
        <v>1.1893E-4</v>
      </c>
      <c r="F2769" s="25">
        <v>1.114E-4</v>
      </c>
      <c r="G2769" s="25">
        <v>5.6390000000000001E-5</v>
      </c>
      <c r="H2769" s="25">
        <v>7.2869999999999999E-5</v>
      </c>
      <c r="I2769" s="9">
        <v>1.0117E-4</v>
      </c>
      <c r="J2769" s="9">
        <v>9.111E-5</v>
      </c>
      <c r="K2769" s="9">
        <v>1.8227E-4</v>
      </c>
      <c r="L2769" s="9">
        <v>1.466E-5</v>
      </c>
      <c r="M2769" s="9">
        <v>4.3439999999999997E-5</v>
      </c>
      <c r="N2769" s="9">
        <v>6.4369999999999995E-5</v>
      </c>
      <c r="O2769" s="9">
        <v>1.9190000000000001E-5</v>
      </c>
      <c r="P2769" s="9">
        <v>5.6959999999999997E-5</v>
      </c>
      <c r="Q2769" s="9">
        <v>9.4190000000000005E-5</v>
      </c>
      <c r="R2769" s="10">
        <v>5.164511135010457E-5</v>
      </c>
      <c r="S2769" s="10">
        <v>2.790485314157334E-5</v>
      </c>
      <c r="T2769" s="10">
        <v>0</v>
      </c>
      <c r="U2769" s="10">
        <v>1.024E-4</v>
      </c>
      <c r="V2769" s="25"/>
      <c r="W2769" s="25"/>
      <c r="X2769" s="25"/>
      <c r="Y2769" s="25"/>
      <c r="Z2769" s="25"/>
      <c r="AA2769" s="25"/>
    </row>
    <row r="2770" spans="1:27" x14ac:dyDescent="0.35">
      <c r="A2770" s="5">
        <v>2766</v>
      </c>
      <c r="B2770" s="5">
        <v>116</v>
      </c>
      <c r="C2770" s="5">
        <v>4</v>
      </c>
      <c r="D2770" s="25">
        <v>1.1415000000000001E-4</v>
      </c>
      <c r="E2770" s="25">
        <v>1.206E-4</v>
      </c>
      <c r="F2770" s="25">
        <v>1.2213E-4</v>
      </c>
      <c r="G2770" s="25">
        <v>1.0764000000000001E-4</v>
      </c>
      <c r="H2770" s="25">
        <v>1.3208999999999999E-4</v>
      </c>
      <c r="I2770" s="9">
        <v>1.143E-4</v>
      </c>
      <c r="J2770" s="9">
        <v>9.5589999999999998E-5</v>
      </c>
      <c r="K2770" s="9">
        <v>1.3774999999999999E-4</v>
      </c>
      <c r="L2770" s="9">
        <v>1.8070000000000001E-5</v>
      </c>
      <c r="M2770" s="9">
        <v>4.8439999999999997E-5</v>
      </c>
      <c r="N2770" s="9">
        <v>7.1050000000000006E-5</v>
      </c>
      <c r="O2770" s="9">
        <v>4.6560000000000001E-5</v>
      </c>
      <c r="P2770" s="9">
        <v>7.7219999999999996E-5</v>
      </c>
      <c r="Q2770" s="9">
        <v>1.0753E-4</v>
      </c>
      <c r="R2770" s="10">
        <v>4.8661027581200128E-5</v>
      </c>
      <c r="S2770" s="10">
        <v>2.8863930972602128E-5</v>
      </c>
      <c r="T2770" s="10">
        <v>5.9390095450997623E-6</v>
      </c>
      <c r="U2770" s="10">
        <v>1.024E-4</v>
      </c>
      <c r="V2770" s="25"/>
      <c r="W2770" s="25"/>
      <c r="X2770" s="25"/>
      <c r="Y2770" s="25"/>
      <c r="Z2770" s="25"/>
      <c r="AA2770" s="25"/>
    </row>
    <row r="2771" spans="1:27" x14ac:dyDescent="0.35">
      <c r="A2771" s="5">
        <v>2767</v>
      </c>
      <c r="B2771" s="5">
        <v>116</v>
      </c>
      <c r="C2771" s="5">
        <v>4</v>
      </c>
      <c r="D2771" s="25">
        <v>1.1416E-4</v>
      </c>
      <c r="E2771" s="25">
        <v>1.2284000000000001E-4</v>
      </c>
      <c r="F2771" s="25">
        <v>1.2426000000000001E-4</v>
      </c>
      <c r="G2771" s="25">
        <v>1.0821E-4</v>
      </c>
      <c r="H2771" s="25">
        <v>1.35E-4</v>
      </c>
      <c r="I2771" s="9">
        <v>1.2381E-4</v>
      </c>
      <c r="J2771" s="9">
        <v>1.0928E-4</v>
      </c>
      <c r="K2771" s="9">
        <v>1.1656E-4</v>
      </c>
      <c r="L2771" s="9">
        <v>4.015E-5</v>
      </c>
      <c r="M2771" s="9">
        <v>6.0220000000000003E-5</v>
      </c>
      <c r="N2771" s="9">
        <v>8.0870000000000003E-5</v>
      </c>
      <c r="O2771" s="9">
        <v>1.2318999999999999E-4</v>
      </c>
      <c r="P2771" s="9">
        <v>1.1781E-4</v>
      </c>
      <c r="Q2771" s="9">
        <v>1.1285000000000001E-4</v>
      </c>
      <c r="R2771" s="10">
        <v>4.5911904019540441E-5</v>
      </c>
      <c r="S2771" s="10">
        <v>3.600567526149605E-5</v>
      </c>
      <c r="T2771" s="10">
        <v>8.7040427033112085E-5</v>
      </c>
      <c r="U2771" s="10">
        <v>1.024E-4</v>
      </c>
      <c r="V2771" s="25"/>
      <c r="W2771" s="25"/>
      <c r="X2771" s="25"/>
      <c r="Y2771" s="25"/>
      <c r="Z2771" s="25"/>
      <c r="AA2771" s="25"/>
    </row>
    <row r="2772" spans="1:27" x14ac:dyDescent="0.35">
      <c r="A2772" s="5">
        <v>2768</v>
      </c>
      <c r="B2772" s="5">
        <v>116</v>
      </c>
      <c r="C2772" s="5">
        <v>4</v>
      </c>
      <c r="D2772" s="25">
        <v>1.1415000000000001E-4</v>
      </c>
      <c r="E2772" s="25">
        <v>1.2281999999999999E-4</v>
      </c>
      <c r="F2772" s="25">
        <v>1.1614E-4</v>
      </c>
      <c r="G2772" s="25">
        <v>1.5809E-4</v>
      </c>
      <c r="H2772" s="25">
        <v>1.9152000000000001E-4</v>
      </c>
      <c r="I2772" s="9">
        <v>1.2917000000000001E-4</v>
      </c>
      <c r="J2772" s="9">
        <v>1.1993E-4</v>
      </c>
      <c r="K2772" s="9">
        <v>8.2650000000000003E-5</v>
      </c>
      <c r="L2772" s="9">
        <v>1.043E-4</v>
      </c>
      <c r="M2772" s="9">
        <v>8.3990000000000001E-5</v>
      </c>
      <c r="N2772" s="9">
        <v>9.1059999999999999E-5</v>
      </c>
      <c r="O2772" s="9">
        <v>2.2023E-4</v>
      </c>
      <c r="P2772" s="9">
        <v>1.7839E-4</v>
      </c>
      <c r="Q2772" s="9">
        <v>1.3781000000000001E-4</v>
      </c>
      <c r="R2772" s="10">
        <v>4.47976758298017E-5</v>
      </c>
      <c r="S2772" s="10">
        <v>4.0795053949666577E-5</v>
      </c>
      <c r="T2772" s="10">
        <v>1.2785839120664773E-4</v>
      </c>
      <c r="U2772" s="10">
        <v>1.024E-4</v>
      </c>
      <c r="V2772" s="25"/>
      <c r="W2772" s="25"/>
      <c r="X2772" s="25"/>
      <c r="Y2772" s="25"/>
      <c r="Z2772" s="25"/>
      <c r="AA2772" s="25"/>
    </row>
    <row r="2773" spans="1:27" x14ac:dyDescent="0.35">
      <c r="A2773" s="5">
        <v>2769</v>
      </c>
      <c r="B2773" s="5">
        <v>116</v>
      </c>
      <c r="C2773" s="5">
        <v>4</v>
      </c>
      <c r="D2773" s="25">
        <v>1.1416E-4</v>
      </c>
      <c r="E2773" s="25">
        <v>1.2300000000000001E-4</v>
      </c>
      <c r="F2773" s="25">
        <v>1.2425000000000001E-4</v>
      </c>
      <c r="G2773" s="25">
        <v>1.5715999999999999E-4</v>
      </c>
      <c r="H2773" s="25">
        <v>1.8820999999999999E-4</v>
      </c>
      <c r="I2773" s="9">
        <v>1.3323999999999999E-4</v>
      </c>
      <c r="J2773" s="9">
        <v>1.2291E-4</v>
      </c>
      <c r="K2773" s="9">
        <v>8.4779999999999998E-5</v>
      </c>
      <c r="L2773" s="9">
        <v>1.9296999999999999E-4</v>
      </c>
      <c r="M2773" s="9">
        <v>1.2411E-4</v>
      </c>
      <c r="N2773" s="9">
        <v>1.0501999999999999E-4</v>
      </c>
      <c r="O2773" s="9">
        <v>2.1191999999999999E-4</v>
      </c>
      <c r="P2773" s="9">
        <v>1.9468E-4</v>
      </c>
      <c r="Q2773" s="9">
        <v>1.7829E-4</v>
      </c>
      <c r="R2773" s="10">
        <v>5.5486644638218101E-5</v>
      </c>
      <c r="S2773" s="10">
        <v>3.8595833957785017E-5</v>
      </c>
      <c r="T2773" s="10">
        <v>2.752815767147241E-4</v>
      </c>
      <c r="U2773" s="10">
        <v>1.024E-4</v>
      </c>
      <c r="V2773" s="25"/>
      <c r="W2773" s="25"/>
      <c r="X2773" s="25"/>
      <c r="Y2773" s="25"/>
      <c r="Z2773" s="25"/>
      <c r="AA2773" s="25"/>
    </row>
    <row r="2774" spans="1:27" x14ac:dyDescent="0.35">
      <c r="A2774" s="5">
        <v>2770</v>
      </c>
      <c r="B2774" s="5">
        <v>116</v>
      </c>
      <c r="C2774" s="5">
        <v>4</v>
      </c>
      <c r="D2774" s="25">
        <v>1.1415000000000001E-4</v>
      </c>
      <c r="E2774" s="25">
        <v>1.1325E-4</v>
      </c>
      <c r="F2774" s="25">
        <v>1.2931999999999999E-4</v>
      </c>
      <c r="G2774" s="25">
        <v>1.6296E-4</v>
      </c>
      <c r="H2774" s="25">
        <v>1.9950999999999999E-4</v>
      </c>
      <c r="I2774" s="9">
        <v>1.3412999999999999E-4</v>
      </c>
      <c r="J2774" s="9">
        <v>1.2430000000000001E-4</v>
      </c>
      <c r="K2774" s="9">
        <v>8.0530000000000003E-5</v>
      </c>
      <c r="L2774" s="9">
        <v>2.0542999999999999E-4</v>
      </c>
      <c r="M2774" s="9">
        <v>1.5969000000000001E-4</v>
      </c>
      <c r="N2774" s="9">
        <v>1.2532E-4</v>
      </c>
      <c r="O2774" s="9">
        <v>1.6679999999999999E-4</v>
      </c>
      <c r="P2774" s="9">
        <v>1.7448E-4</v>
      </c>
      <c r="Q2774" s="9">
        <v>1.8249999999999999E-4</v>
      </c>
      <c r="R2774" s="10">
        <v>6.1929787185077318E-5</v>
      </c>
      <c r="S2774" s="10">
        <v>2.9959583641050252E-5</v>
      </c>
      <c r="T2774" s="10">
        <v>9.9232365199266865E-5</v>
      </c>
      <c r="U2774" s="10">
        <v>1.024E-4</v>
      </c>
      <c r="V2774" s="25"/>
      <c r="W2774" s="25"/>
      <c r="X2774" s="25"/>
      <c r="Y2774" s="25"/>
      <c r="Z2774" s="25"/>
      <c r="AA2774" s="25"/>
    </row>
    <row r="2775" spans="1:27" x14ac:dyDescent="0.35">
      <c r="A2775" s="5">
        <v>2771</v>
      </c>
      <c r="B2775" s="5">
        <v>116</v>
      </c>
      <c r="C2775" s="5">
        <v>4</v>
      </c>
      <c r="D2775" s="25">
        <v>1.1416E-4</v>
      </c>
      <c r="E2775" s="25">
        <v>1.2359E-4</v>
      </c>
      <c r="F2775" s="25">
        <v>1.0739999999999999E-4</v>
      </c>
      <c r="G2775" s="25">
        <v>1.6337E-4</v>
      </c>
      <c r="H2775" s="25">
        <v>1.9167000000000001E-4</v>
      </c>
      <c r="I2775" s="9">
        <v>1.371E-4</v>
      </c>
      <c r="J2775" s="9">
        <v>1.2710999999999999E-4</v>
      </c>
      <c r="K2775" s="9">
        <v>5.2989999999999999E-5</v>
      </c>
      <c r="L2775" s="9">
        <v>1.7536E-4</v>
      </c>
      <c r="M2775" s="9">
        <v>1.7326E-4</v>
      </c>
      <c r="N2775" s="9">
        <v>1.4339999999999999E-4</v>
      </c>
      <c r="O2775" s="9">
        <v>1.6802000000000001E-4</v>
      </c>
      <c r="P2775" s="9">
        <v>1.7440000000000001E-4</v>
      </c>
      <c r="Q2775" s="9">
        <v>1.8113999999999999E-4</v>
      </c>
      <c r="R2775" s="10">
        <v>6.0475355714013156E-5</v>
      </c>
      <c r="S2775" s="10">
        <v>2.232584117374945E-5</v>
      </c>
      <c r="T2775" s="10">
        <v>1.7300334804875607E-4</v>
      </c>
      <c r="U2775" s="10">
        <v>1.024E-4</v>
      </c>
      <c r="V2775" s="25"/>
      <c r="W2775" s="25"/>
      <c r="X2775" s="25"/>
      <c r="Y2775" s="25"/>
      <c r="Z2775" s="25"/>
      <c r="AA2775" s="25"/>
    </row>
    <row r="2776" spans="1:27" x14ac:dyDescent="0.35">
      <c r="A2776" s="5">
        <v>2772</v>
      </c>
      <c r="B2776" s="5">
        <v>116</v>
      </c>
      <c r="C2776" s="5">
        <v>4</v>
      </c>
      <c r="D2776" s="25">
        <v>1.1415000000000001E-4</v>
      </c>
      <c r="E2776" s="25">
        <v>1.1972999999999999E-4</v>
      </c>
      <c r="F2776" s="25">
        <v>1.0943E-4</v>
      </c>
      <c r="G2776" s="25">
        <v>1.6700999999999999E-4</v>
      </c>
      <c r="H2776" s="25">
        <v>1.9212E-4</v>
      </c>
      <c r="I2776" s="9">
        <v>1.3407999999999999E-4</v>
      </c>
      <c r="J2776" s="9">
        <v>1.2645000000000001E-4</v>
      </c>
      <c r="K2776" s="9">
        <v>4.0269999999999999E-5</v>
      </c>
      <c r="L2776" s="9">
        <v>1.7108E-4</v>
      </c>
      <c r="M2776" s="9">
        <v>1.7593E-4</v>
      </c>
      <c r="N2776" s="9">
        <v>1.5772E-4</v>
      </c>
      <c r="O2776" s="9">
        <v>1.6979000000000001E-4</v>
      </c>
      <c r="P2776" s="9">
        <v>1.7204000000000001E-4</v>
      </c>
      <c r="Q2776" s="9">
        <v>1.7472000000000001E-4</v>
      </c>
      <c r="R2776" s="10">
        <v>4.1313967556389354E-5</v>
      </c>
      <c r="S2776" s="10">
        <v>1.1489878475687413E-5</v>
      </c>
      <c r="T2776" s="10">
        <v>3.1775397926153752E-4</v>
      </c>
      <c r="U2776" s="10">
        <v>1.024E-4</v>
      </c>
      <c r="V2776" s="25"/>
      <c r="W2776" s="25"/>
      <c r="X2776" s="25"/>
      <c r="Y2776" s="25"/>
      <c r="Z2776" s="25"/>
      <c r="AA2776" s="25"/>
    </row>
    <row r="2777" spans="1:27" x14ac:dyDescent="0.35">
      <c r="A2777" s="5">
        <v>2773</v>
      </c>
      <c r="B2777" s="5">
        <v>116</v>
      </c>
      <c r="C2777" s="5">
        <v>4</v>
      </c>
      <c r="D2777" s="25">
        <v>1.1416E-4</v>
      </c>
      <c r="E2777" s="25">
        <v>1.1835E-4</v>
      </c>
      <c r="F2777" s="25">
        <v>1.2493000000000001E-4</v>
      </c>
      <c r="G2777" s="25">
        <v>1.6762E-4</v>
      </c>
      <c r="H2777" s="25">
        <v>1.9504E-4</v>
      </c>
      <c r="I2777" s="9">
        <v>1.3359999999999999E-4</v>
      </c>
      <c r="J2777" s="9">
        <v>1.2752999999999999E-4</v>
      </c>
      <c r="K2777" s="9">
        <v>6.3600000000000001E-6</v>
      </c>
      <c r="L2777" s="9">
        <v>1.7022000000000001E-4</v>
      </c>
      <c r="M2777" s="9">
        <v>1.7474E-4</v>
      </c>
      <c r="N2777" s="9">
        <v>1.6715999999999999E-4</v>
      </c>
      <c r="O2777" s="9">
        <v>1.5949000000000001E-4</v>
      </c>
      <c r="P2777" s="9">
        <v>1.6247000000000001E-4</v>
      </c>
      <c r="Q2777" s="9">
        <v>1.6583E-4</v>
      </c>
      <c r="R2777" s="10">
        <v>3.2691359304244414E-5</v>
      </c>
      <c r="S2777" s="10">
        <v>9.6447561388954319E-6</v>
      </c>
      <c r="T2777" s="10">
        <v>3.0590141306938845E-4</v>
      </c>
      <c r="U2777" s="10">
        <v>1.024E-4</v>
      </c>
      <c r="V2777" s="25"/>
      <c r="W2777" s="25"/>
      <c r="X2777" s="25"/>
      <c r="Y2777" s="25"/>
      <c r="Z2777" s="25"/>
      <c r="AA2777" s="25"/>
    </row>
    <row r="2778" spans="1:27" x14ac:dyDescent="0.35">
      <c r="A2778" s="5">
        <v>2774</v>
      </c>
      <c r="B2778" s="5">
        <v>116</v>
      </c>
      <c r="C2778" s="5">
        <v>4</v>
      </c>
      <c r="D2778" s="25">
        <v>1.1415000000000001E-4</v>
      </c>
      <c r="E2778" s="25">
        <v>1.2199E-4</v>
      </c>
      <c r="F2778" s="25">
        <v>1.0941E-4</v>
      </c>
      <c r="G2778" s="25">
        <v>1.6244E-4</v>
      </c>
      <c r="H2778" s="25">
        <v>1.9155999999999999E-4</v>
      </c>
      <c r="I2778" s="9">
        <v>1.3358000000000001E-4</v>
      </c>
      <c r="J2778" s="9">
        <v>1.2836E-4</v>
      </c>
      <c r="K2778" s="9">
        <v>0</v>
      </c>
      <c r="L2778" s="9">
        <v>1.6160999999999999E-4</v>
      </c>
      <c r="M2778" s="9">
        <v>1.6998E-4</v>
      </c>
      <c r="N2778" s="9">
        <v>1.7092E-4</v>
      </c>
      <c r="O2778" s="9">
        <v>1.7861E-4</v>
      </c>
      <c r="P2778" s="9">
        <v>1.6990000000000001E-4</v>
      </c>
      <c r="Q2778" s="9">
        <v>1.6181999999999999E-4</v>
      </c>
      <c r="R2778" s="10">
        <v>2.4792805944266222E-5</v>
      </c>
      <c r="S2778" s="10">
        <v>9.631403070382184E-6</v>
      </c>
      <c r="T2778" s="10">
        <v>1.1742270300597243E-4</v>
      </c>
      <c r="U2778" s="10">
        <v>1.024E-4</v>
      </c>
      <c r="V2778" s="25"/>
      <c r="W2778" s="25"/>
      <c r="X2778" s="25"/>
      <c r="Y2778" s="25"/>
      <c r="Z2778" s="25"/>
      <c r="AA2778" s="25"/>
    </row>
    <row r="2779" spans="1:27" x14ac:dyDescent="0.35">
      <c r="A2779" s="5">
        <v>2775</v>
      </c>
      <c r="B2779" s="5">
        <v>116</v>
      </c>
      <c r="C2779" s="5">
        <v>4</v>
      </c>
      <c r="D2779" s="25">
        <v>1.1416E-4</v>
      </c>
      <c r="E2779" s="25">
        <v>1.1668E-4</v>
      </c>
      <c r="F2779" s="25">
        <v>1.2347000000000001E-4</v>
      </c>
      <c r="G2779" s="25">
        <v>1.5616E-4</v>
      </c>
      <c r="H2779" s="25">
        <v>1.9032000000000001E-4</v>
      </c>
      <c r="I2779" s="9">
        <v>1.3168000000000001E-4</v>
      </c>
      <c r="J2779" s="9">
        <v>1.2744000000000001E-4</v>
      </c>
      <c r="K2779" s="9">
        <v>0</v>
      </c>
      <c r="L2779" s="9">
        <v>1.7509000000000001E-4</v>
      </c>
      <c r="M2779" s="9">
        <v>1.6860000000000001E-4</v>
      </c>
      <c r="N2779" s="9">
        <v>1.7047000000000001E-4</v>
      </c>
      <c r="O2779" s="9">
        <v>1.8391999999999999E-4</v>
      </c>
      <c r="P2779" s="9">
        <v>1.6838000000000001E-4</v>
      </c>
      <c r="Q2779" s="9">
        <v>1.5358E-4</v>
      </c>
      <c r="R2779" s="10">
        <v>2.2469783034717725E-5</v>
      </c>
      <c r="S2779" s="10">
        <v>1.0672645510702833E-5</v>
      </c>
      <c r="T2779" s="10">
        <v>2.4893782723253157E-4</v>
      </c>
      <c r="U2779" s="10">
        <v>1.024E-4</v>
      </c>
      <c r="V2779" s="25"/>
      <c r="W2779" s="25"/>
      <c r="X2779" s="25"/>
      <c r="Y2779" s="25"/>
      <c r="Z2779" s="25"/>
      <c r="AA2779" s="25"/>
    </row>
    <row r="2780" spans="1:27" x14ac:dyDescent="0.35">
      <c r="A2780" s="5">
        <v>2776</v>
      </c>
      <c r="B2780" s="5">
        <v>116</v>
      </c>
      <c r="C2780" s="5">
        <v>4</v>
      </c>
      <c r="D2780" s="25">
        <v>1.1415000000000001E-4</v>
      </c>
      <c r="E2780" s="25">
        <v>1.1726999999999999E-4</v>
      </c>
      <c r="F2780" s="25">
        <v>1.2141E-4</v>
      </c>
      <c r="G2780" s="25">
        <v>1.6373000000000001E-4</v>
      </c>
      <c r="H2780" s="25">
        <v>1.907E-4</v>
      </c>
      <c r="I2780" s="9">
        <v>1.3088999999999999E-4</v>
      </c>
      <c r="J2780" s="9">
        <v>1.2695E-4</v>
      </c>
      <c r="K2780" s="9">
        <v>1.272E-5</v>
      </c>
      <c r="L2780" s="9">
        <v>1.8162000000000001E-4</v>
      </c>
      <c r="M2780" s="9">
        <v>1.6829E-4</v>
      </c>
      <c r="N2780" s="9">
        <v>1.6665000000000001E-4</v>
      </c>
      <c r="O2780" s="9">
        <v>1.9614E-4</v>
      </c>
      <c r="P2780" s="9">
        <v>1.5227E-4</v>
      </c>
      <c r="Q2780" s="9">
        <v>1.0963000000000001E-4</v>
      </c>
      <c r="R2780" s="10">
        <v>2.5275608422214504E-5</v>
      </c>
      <c r="S2780" s="10">
        <v>1.1509242418267405E-5</v>
      </c>
      <c r="T2780" s="10">
        <v>1.0656279983779001E-4</v>
      </c>
      <c r="U2780" s="10">
        <v>1.024E-4</v>
      </c>
      <c r="V2780" s="25"/>
      <c r="W2780" s="25"/>
      <c r="X2780" s="25"/>
      <c r="Y2780" s="25"/>
      <c r="Z2780" s="25"/>
      <c r="AA2780" s="25"/>
    </row>
    <row r="2781" spans="1:27" x14ac:dyDescent="0.35">
      <c r="A2781" s="5">
        <v>2777</v>
      </c>
      <c r="B2781" s="5">
        <v>116</v>
      </c>
      <c r="C2781" s="5">
        <v>4</v>
      </c>
      <c r="D2781" s="25">
        <v>1.1416E-4</v>
      </c>
      <c r="E2781" s="25">
        <v>1.1287E-4</v>
      </c>
      <c r="F2781" s="25">
        <v>1.0752E-4</v>
      </c>
      <c r="G2781" s="25">
        <v>1.6252000000000001E-4</v>
      </c>
      <c r="H2781" s="25">
        <v>1.9667E-4</v>
      </c>
      <c r="I2781" s="9">
        <v>1.3323999999999999E-4</v>
      </c>
      <c r="J2781" s="9">
        <v>1.2766000000000001E-4</v>
      </c>
      <c r="K2781" s="9">
        <v>5.5109999999999999E-5</v>
      </c>
      <c r="L2781" s="9">
        <v>1.9269999999999999E-4</v>
      </c>
      <c r="M2781" s="9">
        <v>1.6255999999999999E-4</v>
      </c>
      <c r="N2781" s="9">
        <v>1.5274E-4</v>
      </c>
      <c r="O2781" s="9">
        <v>2.1240000000000001E-4</v>
      </c>
      <c r="P2781" s="9">
        <v>1.5893999999999999E-4</v>
      </c>
      <c r="Q2781" s="9">
        <v>1.0691E-4</v>
      </c>
      <c r="R2781" s="10">
        <v>3.3254668863202668E-5</v>
      </c>
      <c r="S2781" s="10">
        <v>1.1511583522316248E-5</v>
      </c>
      <c r="T2781" s="10">
        <v>9.1621948682189035E-5</v>
      </c>
      <c r="U2781" s="10">
        <v>1.024E-4</v>
      </c>
      <c r="V2781" s="25"/>
      <c r="W2781" s="25"/>
      <c r="X2781" s="25"/>
      <c r="Y2781" s="25"/>
      <c r="Z2781" s="25"/>
      <c r="AA2781" s="25"/>
    </row>
    <row r="2782" spans="1:27" x14ac:dyDescent="0.35">
      <c r="A2782" s="5">
        <v>2778</v>
      </c>
      <c r="B2782" s="5">
        <v>116</v>
      </c>
      <c r="C2782" s="5">
        <v>4</v>
      </c>
      <c r="D2782" s="25">
        <v>1.1415000000000001E-4</v>
      </c>
      <c r="E2782" s="25">
        <v>1.1888E-4</v>
      </c>
      <c r="F2782" s="25">
        <v>1.0796E-4</v>
      </c>
      <c r="G2782" s="25">
        <v>1.5945E-4</v>
      </c>
      <c r="H2782" s="25">
        <v>1.9536999999999999E-4</v>
      </c>
      <c r="I2782" s="9">
        <v>1.3344999999999999E-4</v>
      </c>
      <c r="J2782" s="9">
        <v>1.2199E-4</v>
      </c>
      <c r="K2782" s="9">
        <v>7.4179999999999998E-5</v>
      </c>
      <c r="L2782" s="9">
        <v>2.0786000000000001E-4</v>
      </c>
      <c r="M2782" s="9">
        <v>1.5965E-4</v>
      </c>
      <c r="N2782" s="9">
        <v>1.3925999999999999E-4</v>
      </c>
      <c r="O2782" s="9">
        <v>2.0540000000000001E-4</v>
      </c>
      <c r="P2782" s="9">
        <v>1.6121000000000001E-4</v>
      </c>
      <c r="Q2782" s="9">
        <v>1.1828E-4</v>
      </c>
      <c r="R2782" s="10">
        <v>3.9016601388991327E-5</v>
      </c>
      <c r="S2782" s="10">
        <v>1.2339928793976188E-5</v>
      </c>
      <c r="T2782" s="10">
        <v>2.295851404148565E-5</v>
      </c>
      <c r="U2782" s="10">
        <v>1.024E-4</v>
      </c>
      <c r="V2782" s="25"/>
      <c r="W2782" s="25"/>
      <c r="X2782" s="25"/>
      <c r="Y2782" s="25"/>
      <c r="Z2782" s="25"/>
      <c r="AA2782" s="25"/>
    </row>
    <row r="2783" spans="1:27" x14ac:dyDescent="0.35">
      <c r="A2783" s="5">
        <v>2779</v>
      </c>
      <c r="B2783" s="5">
        <v>116</v>
      </c>
      <c r="C2783" s="5">
        <v>4</v>
      </c>
      <c r="D2783" s="25">
        <v>1.1416E-4</v>
      </c>
      <c r="E2783" s="25">
        <v>1.1883999999999999E-4</v>
      </c>
      <c r="F2783" s="25">
        <v>1.2679999999999999E-4</v>
      </c>
      <c r="G2783" s="25">
        <v>1.0941E-4</v>
      </c>
      <c r="H2783" s="25">
        <v>1.3384000000000001E-4</v>
      </c>
      <c r="I2783" s="9">
        <v>1.3002000000000001E-4</v>
      </c>
      <c r="J2783" s="9">
        <v>1.1865E-4</v>
      </c>
      <c r="K2783" s="9">
        <v>8.6899999999999998E-5</v>
      </c>
      <c r="L2783" s="9">
        <v>2.0556E-4</v>
      </c>
      <c r="M2783" s="9">
        <v>1.5961E-4</v>
      </c>
      <c r="N2783" s="9">
        <v>1.303E-4</v>
      </c>
      <c r="O2783" s="9">
        <v>1.6223E-4</v>
      </c>
      <c r="P2783" s="9">
        <v>1.3374E-4</v>
      </c>
      <c r="Q2783" s="9">
        <v>1.0615000000000001E-4</v>
      </c>
      <c r="R2783" s="10">
        <v>3.8979876160074187E-5</v>
      </c>
      <c r="S2783" s="10">
        <v>1.323136955920628E-5</v>
      </c>
      <c r="T2783" s="10">
        <v>5.3620771892900707E-6</v>
      </c>
      <c r="U2783" s="10">
        <v>1.024E-4</v>
      </c>
      <c r="V2783" s="25"/>
      <c r="W2783" s="25"/>
      <c r="X2783" s="25"/>
      <c r="Y2783" s="25"/>
      <c r="Z2783" s="25"/>
      <c r="AA2783" s="25"/>
    </row>
    <row r="2784" spans="1:27" x14ac:dyDescent="0.35">
      <c r="A2784" s="5">
        <v>2780</v>
      </c>
      <c r="B2784" s="5">
        <v>116</v>
      </c>
      <c r="C2784" s="5">
        <v>4</v>
      </c>
      <c r="D2784" s="25">
        <v>1.1415000000000001E-4</v>
      </c>
      <c r="E2784" s="25">
        <v>1.194E-4</v>
      </c>
      <c r="F2784" s="25">
        <v>1.0863E-4</v>
      </c>
      <c r="G2784" s="25">
        <v>1.0420999999999999E-4</v>
      </c>
      <c r="H2784" s="25">
        <v>1.2915999999999999E-4</v>
      </c>
      <c r="I2784" s="9">
        <v>1.2595999999999999E-4</v>
      </c>
      <c r="J2784" s="9">
        <v>1.1636E-4</v>
      </c>
      <c r="K2784" s="9">
        <v>8.2659999999999998E-5</v>
      </c>
      <c r="L2784" s="9">
        <v>1.7189000000000001E-4</v>
      </c>
      <c r="M2784" s="9">
        <v>1.5048000000000001E-4</v>
      </c>
      <c r="N2784" s="9">
        <v>1.2091000000000001E-4</v>
      </c>
      <c r="O2784" s="9">
        <v>1.2870000000000001E-4</v>
      </c>
      <c r="P2784" s="9">
        <v>1.1513E-4</v>
      </c>
      <c r="Q2784" s="9">
        <v>1.0213E-4</v>
      </c>
      <c r="R2784" s="10">
        <v>3.9550241911305372E-5</v>
      </c>
      <c r="S2784" s="10">
        <v>1.3443587881666365E-5</v>
      </c>
      <c r="T2784" s="10">
        <v>0</v>
      </c>
      <c r="U2784" s="10">
        <v>1.024E-4</v>
      </c>
      <c r="V2784" s="25"/>
      <c r="W2784" s="25"/>
      <c r="X2784" s="25"/>
      <c r="Y2784" s="25"/>
      <c r="Z2784" s="25"/>
      <c r="AA2784" s="25"/>
    </row>
    <row r="2785" spans="1:27" x14ac:dyDescent="0.35">
      <c r="A2785" s="5">
        <v>2781</v>
      </c>
      <c r="B2785" s="5">
        <v>116</v>
      </c>
      <c r="C2785" s="5">
        <v>4</v>
      </c>
      <c r="D2785" s="25">
        <v>1.1416E-4</v>
      </c>
      <c r="E2785" s="25">
        <v>1.1684E-4</v>
      </c>
      <c r="F2785" s="25">
        <v>1.1587E-4</v>
      </c>
      <c r="G2785" s="25">
        <v>5.2830000000000001E-5</v>
      </c>
      <c r="H2785" s="25">
        <v>6.7689999999999997E-5</v>
      </c>
      <c r="I2785" s="9">
        <v>1.2467000000000001E-4</v>
      </c>
      <c r="J2785" s="9">
        <v>1.1642E-4</v>
      </c>
      <c r="K2785" s="9">
        <v>9.7490000000000003E-5</v>
      </c>
      <c r="L2785" s="9">
        <v>1.3924E-4</v>
      </c>
      <c r="M2785" s="9">
        <v>1.3517999999999999E-4</v>
      </c>
      <c r="N2785" s="9">
        <v>1.1322E-4</v>
      </c>
      <c r="O2785" s="9">
        <v>8.3919999999999996E-5</v>
      </c>
      <c r="P2785" s="9">
        <v>8.5699999999999996E-5</v>
      </c>
      <c r="Q2785" s="9">
        <v>8.7680000000000001E-5</v>
      </c>
      <c r="R2785" s="10">
        <v>4.4651079867859047E-5</v>
      </c>
      <c r="S2785" s="10">
        <v>1.3294932067937536E-5</v>
      </c>
      <c r="T2785" s="10">
        <v>0</v>
      </c>
      <c r="U2785" s="10">
        <v>1.024E-4</v>
      </c>
      <c r="V2785" s="25"/>
      <c r="W2785" s="25"/>
      <c r="X2785" s="25"/>
      <c r="Y2785" s="25"/>
      <c r="Z2785" s="25"/>
      <c r="AA2785" s="25"/>
    </row>
    <row r="2786" spans="1:27" x14ac:dyDescent="0.35">
      <c r="A2786" s="5">
        <v>2782</v>
      </c>
      <c r="B2786" s="5">
        <v>116</v>
      </c>
      <c r="C2786" s="5">
        <v>4</v>
      </c>
      <c r="D2786" s="25">
        <v>1.1415000000000001E-4</v>
      </c>
      <c r="E2786" s="25">
        <v>1.1265E-4</v>
      </c>
      <c r="F2786" s="25">
        <v>1.1525E-4</v>
      </c>
      <c r="G2786" s="25">
        <v>5.376E-5</v>
      </c>
      <c r="H2786" s="25">
        <v>6.9389999999999998E-5</v>
      </c>
      <c r="I2786" s="9">
        <v>1.2443999999999999E-4</v>
      </c>
      <c r="J2786" s="9">
        <v>1.0848E-4</v>
      </c>
      <c r="K2786" s="9">
        <v>1.0384E-4</v>
      </c>
      <c r="L2786" s="9">
        <v>9.6979999999999996E-5</v>
      </c>
      <c r="M2786" s="9">
        <v>1.1344E-4</v>
      </c>
      <c r="N2786" s="9">
        <v>1.0546E-4</v>
      </c>
      <c r="O2786" s="9">
        <v>8.7709999999999999E-5</v>
      </c>
      <c r="P2786" s="9">
        <v>8.8129999999999998E-5</v>
      </c>
      <c r="Q2786" s="9">
        <v>8.878E-5</v>
      </c>
      <c r="R2786" s="10">
        <v>5.2272683883234971E-5</v>
      </c>
      <c r="S2786" s="10">
        <v>1.3709165176502954E-5</v>
      </c>
      <c r="T2786" s="10">
        <v>0</v>
      </c>
      <c r="U2786" s="10">
        <v>1.024E-4</v>
      </c>
      <c r="V2786" s="25"/>
      <c r="W2786" s="25"/>
      <c r="X2786" s="25"/>
      <c r="Y2786" s="25"/>
      <c r="Z2786" s="25"/>
      <c r="AA2786" s="25"/>
    </row>
    <row r="2787" spans="1:27" x14ac:dyDescent="0.35">
      <c r="A2787" s="5">
        <v>2783</v>
      </c>
      <c r="B2787" s="5">
        <v>116</v>
      </c>
      <c r="C2787" s="5">
        <v>4</v>
      </c>
      <c r="D2787" s="25">
        <v>1.1416E-4</v>
      </c>
      <c r="E2787" s="25">
        <v>1.206E-4</v>
      </c>
      <c r="F2787" s="25">
        <v>1.1103E-4</v>
      </c>
      <c r="G2787" s="25">
        <v>5.3569999999999997E-5</v>
      </c>
      <c r="H2787" s="25">
        <v>6.2349999999999998E-5</v>
      </c>
      <c r="I2787" s="9">
        <v>1.2193000000000001E-4</v>
      </c>
      <c r="J2787" s="9">
        <v>1.0101E-4</v>
      </c>
      <c r="K2787" s="9">
        <v>1.0385E-4</v>
      </c>
      <c r="L2787" s="9">
        <v>9.0680000000000006E-5</v>
      </c>
      <c r="M2787" s="9">
        <v>9.9010000000000002E-5</v>
      </c>
      <c r="N2787" s="9">
        <v>9.9770000000000002E-5</v>
      </c>
      <c r="O2787" s="9">
        <v>7.7470000000000002E-5</v>
      </c>
      <c r="P2787" s="9">
        <v>7.1929999999999997E-5</v>
      </c>
      <c r="Q2787" s="9">
        <v>6.6699999999999995E-5</v>
      </c>
      <c r="R2787" s="10">
        <v>5.455605811607462E-5</v>
      </c>
      <c r="S2787" s="10">
        <v>1.3725161269929389E-5</v>
      </c>
      <c r="T2787" s="10">
        <v>0</v>
      </c>
      <c r="U2787" s="10">
        <v>1.024E-4</v>
      </c>
      <c r="V2787" s="25"/>
      <c r="W2787" s="25"/>
      <c r="X2787" s="25"/>
      <c r="Y2787" s="25"/>
      <c r="Z2787" s="25"/>
      <c r="AA2787" s="25"/>
    </row>
    <row r="2788" spans="1:27" x14ac:dyDescent="0.35">
      <c r="A2788" s="5">
        <v>2784</v>
      </c>
      <c r="B2788" s="5">
        <v>116</v>
      </c>
      <c r="C2788" s="5">
        <v>4</v>
      </c>
      <c r="D2788" s="25">
        <v>1.1415000000000001E-4</v>
      </c>
      <c r="E2788" s="25">
        <v>1.2006999999999999E-4</v>
      </c>
      <c r="F2788" s="25">
        <v>1.1315E-4</v>
      </c>
      <c r="G2788" s="25">
        <v>5.6700000000000003E-5</v>
      </c>
      <c r="H2788" s="25">
        <v>6.9419999999999996E-5</v>
      </c>
      <c r="I2788" s="9">
        <v>1.1506999999999999E-4</v>
      </c>
      <c r="J2788" s="9">
        <v>9.6879999999999994E-5</v>
      </c>
      <c r="K2788" s="9">
        <v>8.9010000000000003E-5</v>
      </c>
      <c r="L2788" s="9">
        <v>8.0350000000000001E-5</v>
      </c>
      <c r="M2788" s="9">
        <v>8.6100000000000006E-5</v>
      </c>
      <c r="N2788" s="9">
        <v>9.0459999999999998E-5</v>
      </c>
      <c r="O2788" s="9">
        <v>6.3050000000000001E-5</v>
      </c>
      <c r="P2788" s="9">
        <v>6.1020000000000002E-5</v>
      </c>
      <c r="Q2788" s="9">
        <v>5.9200000000000002E-5</v>
      </c>
      <c r="R2788" s="10">
        <v>7.4683191882737526E-5</v>
      </c>
      <c r="S2788" s="10">
        <v>1.3994415227280702E-5</v>
      </c>
      <c r="T2788" s="10">
        <v>0</v>
      </c>
      <c r="U2788" s="10">
        <v>1.024E-4</v>
      </c>
      <c r="V2788" s="25"/>
      <c r="W2788" s="25"/>
      <c r="X2788" s="25"/>
      <c r="Y2788" s="25"/>
      <c r="Z2788" s="25"/>
      <c r="AA2788" s="25"/>
    </row>
    <row r="2789" spans="1:27" x14ac:dyDescent="0.35">
      <c r="A2789" s="5">
        <v>2785</v>
      </c>
      <c r="B2789" s="5">
        <v>117</v>
      </c>
      <c r="C2789" s="5">
        <v>4</v>
      </c>
      <c r="D2789" s="25">
        <v>1.1416E-4</v>
      </c>
      <c r="E2789" s="25">
        <v>1.1665E-4</v>
      </c>
      <c r="F2789" s="25">
        <v>1.1132E-4</v>
      </c>
      <c r="G2789" s="25">
        <v>5.7599999999999997E-5</v>
      </c>
      <c r="H2789" s="25">
        <v>7.5010000000000002E-5</v>
      </c>
      <c r="I2789" s="9">
        <v>1.0849999999999999E-4</v>
      </c>
      <c r="J2789" s="9">
        <v>9.3259999999999998E-5</v>
      </c>
      <c r="K2789" s="9">
        <v>9.7499999999999998E-5</v>
      </c>
      <c r="L2789" s="9">
        <v>6.6859999999999993E-5</v>
      </c>
      <c r="M2789" s="9">
        <v>7.4099999999999999E-5</v>
      </c>
      <c r="N2789" s="9">
        <v>8.1169999999999997E-5</v>
      </c>
      <c r="O2789" s="9">
        <v>5.4219999999999999E-5</v>
      </c>
      <c r="P2789" s="9">
        <v>5.3640000000000001E-5</v>
      </c>
      <c r="Q2789" s="9">
        <v>5.3220000000000002E-5</v>
      </c>
      <c r="R2789" s="10">
        <v>7.7372377719324369E-5</v>
      </c>
      <c r="S2789" s="10">
        <v>1.5668532550042916E-5</v>
      </c>
      <c r="T2789" s="10">
        <v>0</v>
      </c>
      <c r="U2789" s="10">
        <v>1.0275E-4</v>
      </c>
      <c r="V2789" s="25"/>
      <c r="W2789" s="25"/>
      <c r="X2789" s="25"/>
      <c r="Y2789" s="25"/>
      <c r="Z2789" s="25"/>
      <c r="AA2789" s="25"/>
    </row>
    <row r="2790" spans="1:27" x14ac:dyDescent="0.35">
      <c r="A2790" s="5">
        <v>2786</v>
      </c>
      <c r="B2790" s="5">
        <v>117</v>
      </c>
      <c r="C2790" s="5">
        <v>4</v>
      </c>
      <c r="D2790" s="25">
        <v>1.1415000000000001E-4</v>
      </c>
      <c r="E2790" s="25">
        <v>1.0974E-4</v>
      </c>
      <c r="F2790" s="25">
        <v>1.2276E-4</v>
      </c>
      <c r="G2790" s="25">
        <v>5.3690000000000003E-5</v>
      </c>
      <c r="H2790" s="25">
        <v>7.0939999999999995E-5</v>
      </c>
      <c r="I2790" s="9">
        <v>1.0436E-4</v>
      </c>
      <c r="J2790" s="9">
        <v>9.1139999999999998E-5</v>
      </c>
      <c r="K2790" s="9">
        <v>1.0385E-4</v>
      </c>
      <c r="L2790" s="9">
        <v>5.7380000000000003E-5</v>
      </c>
      <c r="M2790" s="9">
        <v>6.389E-5</v>
      </c>
      <c r="N2790" s="9">
        <v>7.203E-5</v>
      </c>
      <c r="O2790" s="9">
        <v>1.9009999999999999E-5</v>
      </c>
      <c r="P2790" s="9">
        <v>3.7620000000000002E-5</v>
      </c>
      <c r="Q2790" s="9">
        <v>5.5989999999999998E-5</v>
      </c>
      <c r="R2790" s="10">
        <v>8.3730144296540929E-5</v>
      </c>
      <c r="S2790" s="10">
        <v>1.9594142834718133E-5</v>
      </c>
      <c r="T2790" s="10">
        <v>0</v>
      </c>
      <c r="U2790" s="10">
        <v>1.0275E-4</v>
      </c>
      <c r="V2790" s="25"/>
      <c r="W2790" s="25"/>
      <c r="X2790" s="25"/>
      <c r="Y2790" s="25"/>
      <c r="Z2790" s="25"/>
      <c r="AA2790" s="25"/>
    </row>
    <row r="2791" spans="1:27" x14ac:dyDescent="0.35">
      <c r="A2791" s="5">
        <v>2787</v>
      </c>
      <c r="B2791" s="5">
        <v>117</v>
      </c>
      <c r="C2791" s="5">
        <v>4</v>
      </c>
      <c r="D2791" s="25">
        <v>1.1416E-4</v>
      </c>
      <c r="E2791" s="25">
        <v>1.0893E-4</v>
      </c>
      <c r="F2791" s="25">
        <v>1.1415E-4</v>
      </c>
      <c r="G2791" s="25">
        <v>6.2570000000000006E-5</v>
      </c>
      <c r="H2791" s="25">
        <v>7.1279999999999995E-5</v>
      </c>
      <c r="I2791" s="9">
        <v>1.0274E-4</v>
      </c>
      <c r="J2791" s="9">
        <v>9.0299999999999999E-5</v>
      </c>
      <c r="K2791" s="9">
        <v>1.102E-4</v>
      </c>
      <c r="L2791" s="9">
        <v>2.7670000000000001E-5</v>
      </c>
      <c r="M2791" s="9">
        <v>5.2089999999999998E-5</v>
      </c>
      <c r="N2791" s="9">
        <v>6.5450000000000005E-5</v>
      </c>
      <c r="O2791" s="9">
        <v>1.361E-5</v>
      </c>
      <c r="P2791" s="9">
        <v>3.7700000000000002E-5</v>
      </c>
      <c r="Q2791" s="9">
        <v>6.1459999999999998E-5</v>
      </c>
      <c r="R2791" s="10">
        <v>9.4587689042600843E-5</v>
      </c>
      <c r="S2791" s="10">
        <v>2.8723072560849442E-5</v>
      </c>
      <c r="T2791" s="10">
        <v>0</v>
      </c>
      <c r="U2791" s="10">
        <v>1.0275E-4</v>
      </c>
      <c r="V2791" s="25"/>
      <c r="W2791" s="25"/>
      <c r="X2791" s="25"/>
      <c r="Y2791" s="25"/>
      <c r="Z2791" s="25"/>
      <c r="AA2791" s="25"/>
    </row>
    <row r="2792" spans="1:27" x14ac:dyDescent="0.35">
      <c r="A2792" s="5">
        <v>2788</v>
      </c>
      <c r="B2792" s="5">
        <v>117</v>
      </c>
      <c r="C2792" s="5">
        <v>4</v>
      </c>
      <c r="D2792" s="25">
        <v>1.1415000000000001E-4</v>
      </c>
      <c r="E2792" s="25">
        <v>1.1187E-4</v>
      </c>
      <c r="F2792" s="25">
        <v>1.1359E-4</v>
      </c>
      <c r="G2792" s="25">
        <v>5.7779999999999999E-5</v>
      </c>
      <c r="H2792" s="25">
        <v>7.5389999999999995E-5</v>
      </c>
      <c r="I2792" s="9">
        <v>1.0384E-4</v>
      </c>
      <c r="J2792" s="9">
        <v>9.0649999999999994E-5</v>
      </c>
      <c r="K2792" s="9">
        <v>1.0385E-4</v>
      </c>
      <c r="L2792" s="9">
        <v>1.7439999999999999E-5</v>
      </c>
      <c r="M2792" s="9">
        <v>4.4100000000000001E-5</v>
      </c>
      <c r="N2792" s="9">
        <v>6.1840000000000004E-5</v>
      </c>
      <c r="O2792" s="9">
        <v>1.3689999999999999E-5</v>
      </c>
      <c r="P2792" s="9">
        <v>4.7410000000000002E-5</v>
      </c>
      <c r="Q2792" s="9">
        <v>8.064E-5</v>
      </c>
      <c r="R2792" s="10">
        <v>1.015367048316061E-4</v>
      </c>
      <c r="S2792" s="10">
        <v>5.2955544278653509E-5</v>
      </c>
      <c r="T2792" s="10">
        <v>0</v>
      </c>
      <c r="U2792" s="10">
        <v>1.0275E-4</v>
      </c>
      <c r="V2792" s="25"/>
      <c r="W2792" s="25"/>
      <c r="X2792" s="25"/>
      <c r="Y2792" s="25"/>
      <c r="Z2792" s="25"/>
      <c r="AA2792" s="25"/>
    </row>
    <row r="2793" spans="1:27" x14ac:dyDescent="0.35">
      <c r="A2793" s="5">
        <v>2789</v>
      </c>
      <c r="B2793" s="5">
        <v>117</v>
      </c>
      <c r="C2793" s="5">
        <v>4</v>
      </c>
      <c r="D2793" s="25">
        <v>1.1416E-4</v>
      </c>
      <c r="E2793" s="25">
        <v>1.0831E-4</v>
      </c>
      <c r="F2793" s="25">
        <v>1.2472000000000001E-4</v>
      </c>
      <c r="G2793" s="25">
        <v>5.8270000000000003E-5</v>
      </c>
      <c r="H2793" s="25">
        <v>6.3789999999999997E-5</v>
      </c>
      <c r="I2793" s="9">
        <v>1.1051E-4</v>
      </c>
      <c r="J2793" s="9">
        <v>9.3410000000000002E-5</v>
      </c>
      <c r="K2793" s="9">
        <v>9.9610000000000003E-5</v>
      </c>
      <c r="L2793" s="9">
        <v>1.4759999999999999E-5</v>
      </c>
      <c r="M2793" s="9">
        <v>4.35E-5</v>
      </c>
      <c r="N2793" s="9">
        <v>6.4449999999999994E-5</v>
      </c>
      <c r="O2793" s="9">
        <v>1.908E-5</v>
      </c>
      <c r="P2793" s="9">
        <v>5.6610000000000002E-5</v>
      </c>
      <c r="Q2793" s="9">
        <v>9.3610000000000007E-5</v>
      </c>
      <c r="R2793" s="10">
        <v>1.0683855977167828E-4</v>
      </c>
      <c r="S2793" s="10">
        <v>7.4098134176987264E-5</v>
      </c>
      <c r="T2793" s="10">
        <v>0</v>
      </c>
      <c r="U2793" s="10">
        <v>1.0275E-4</v>
      </c>
      <c r="V2793" s="25"/>
      <c r="W2793" s="25"/>
      <c r="X2793" s="25"/>
      <c r="Y2793" s="25"/>
      <c r="Z2793" s="25"/>
      <c r="AA2793" s="25"/>
    </row>
    <row r="2794" spans="1:27" x14ac:dyDescent="0.35">
      <c r="A2794" s="5">
        <v>2790</v>
      </c>
      <c r="B2794" s="5">
        <v>117</v>
      </c>
      <c r="C2794" s="5">
        <v>4</v>
      </c>
      <c r="D2794" s="25">
        <v>1.1415000000000001E-4</v>
      </c>
      <c r="E2794" s="25">
        <v>1.1692E-4</v>
      </c>
      <c r="F2794" s="25">
        <v>1.2540000000000001E-4</v>
      </c>
      <c r="G2794" s="25">
        <v>1.1413000000000001E-4</v>
      </c>
      <c r="H2794" s="25">
        <v>1.359E-4</v>
      </c>
      <c r="I2794" s="9">
        <v>1.2051E-4</v>
      </c>
      <c r="J2794" s="9">
        <v>9.7800000000000006E-5</v>
      </c>
      <c r="K2794" s="9">
        <v>1.0597E-4</v>
      </c>
      <c r="L2794" s="9">
        <v>1.7989999999999999E-5</v>
      </c>
      <c r="M2794" s="9">
        <v>4.8420000000000001E-5</v>
      </c>
      <c r="N2794" s="9">
        <v>7.0989999999999996E-5</v>
      </c>
      <c r="O2794" s="9">
        <v>4.5979999999999997E-5</v>
      </c>
      <c r="P2794" s="9">
        <v>7.627E-5</v>
      </c>
      <c r="Q2794" s="9">
        <v>1.0620000000000001E-4</v>
      </c>
      <c r="R2794" s="10">
        <v>1.1144351381844295E-4</v>
      </c>
      <c r="S2794" s="10">
        <v>9.6462114715622037E-5</v>
      </c>
      <c r="T2794" s="10">
        <v>2.1473761655210709E-5</v>
      </c>
      <c r="U2794" s="10">
        <v>1.0275E-4</v>
      </c>
      <c r="V2794" s="25"/>
      <c r="W2794" s="25"/>
      <c r="X2794" s="25"/>
      <c r="Y2794" s="25"/>
      <c r="Z2794" s="25"/>
      <c r="AA2794" s="25"/>
    </row>
    <row r="2795" spans="1:27" x14ac:dyDescent="0.35">
      <c r="A2795" s="5">
        <v>2791</v>
      </c>
      <c r="B2795" s="5">
        <v>117</v>
      </c>
      <c r="C2795" s="5">
        <v>4</v>
      </c>
      <c r="D2795" s="25">
        <v>1.1416E-4</v>
      </c>
      <c r="E2795" s="25">
        <v>1.1510000000000001E-4</v>
      </c>
      <c r="F2795" s="25">
        <v>1.0663E-4</v>
      </c>
      <c r="G2795" s="25">
        <v>1.1108E-4</v>
      </c>
      <c r="H2795" s="25">
        <v>1.3411E-4</v>
      </c>
      <c r="I2795" s="9">
        <v>1.2663999999999999E-4</v>
      </c>
      <c r="J2795" s="9">
        <v>1.1137999999999999E-4</v>
      </c>
      <c r="K2795" s="9">
        <v>9.5379999999999998E-5</v>
      </c>
      <c r="L2795" s="9">
        <v>3.9690000000000001E-5</v>
      </c>
      <c r="M2795" s="9">
        <v>5.9830000000000001E-5</v>
      </c>
      <c r="N2795" s="9">
        <v>8.0530000000000003E-5</v>
      </c>
      <c r="O2795" s="9">
        <v>1.217E-4</v>
      </c>
      <c r="P2795" s="9">
        <v>1.1637999999999999E-4</v>
      </c>
      <c r="Q2795" s="9">
        <v>1.1149E-4</v>
      </c>
      <c r="R2795" s="10">
        <v>1.1275195109547473E-4</v>
      </c>
      <c r="S2795" s="10">
        <v>1.0773475915569929E-4</v>
      </c>
      <c r="T2795" s="10">
        <v>1.2740023904174002E-4</v>
      </c>
      <c r="U2795" s="10">
        <v>1.0275E-4</v>
      </c>
      <c r="V2795" s="25"/>
      <c r="W2795" s="25"/>
      <c r="X2795" s="25"/>
      <c r="Y2795" s="25"/>
      <c r="Z2795" s="25"/>
      <c r="AA2795" s="25"/>
    </row>
    <row r="2796" spans="1:27" x14ac:dyDescent="0.35">
      <c r="A2796" s="5">
        <v>2792</v>
      </c>
      <c r="B2796" s="5">
        <v>117</v>
      </c>
      <c r="C2796" s="5">
        <v>4</v>
      </c>
      <c r="D2796" s="25">
        <v>1.1415000000000001E-4</v>
      </c>
      <c r="E2796" s="25">
        <v>1.1006E-4</v>
      </c>
      <c r="F2796" s="25">
        <v>1.1381E-4</v>
      </c>
      <c r="G2796" s="25">
        <v>1.6171999999999999E-4</v>
      </c>
      <c r="H2796" s="25">
        <v>1.9120000000000001E-4</v>
      </c>
      <c r="I2796" s="9">
        <v>1.3056E-4</v>
      </c>
      <c r="J2796" s="9">
        <v>1.2197E-4</v>
      </c>
      <c r="K2796" s="9">
        <v>8.0530000000000003E-5</v>
      </c>
      <c r="L2796" s="9">
        <v>1.0305E-4</v>
      </c>
      <c r="M2796" s="9">
        <v>8.3120000000000004E-5</v>
      </c>
      <c r="N2796" s="9">
        <v>9.0439999999999995E-5</v>
      </c>
      <c r="O2796" s="9">
        <v>2.1840999999999999E-4</v>
      </c>
      <c r="P2796" s="9">
        <v>1.7691000000000001E-4</v>
      </c>
      <c r="Q2796" s="9">
        <v>1.3667E-4</v>
      </c>
      <c r="R2796" s="10">
        <v>1.0517850706813982E-4</v>
      </c>
      <c r="S2796" s="10">
        <v>1.0779073059947723E-4</v>
      </c>
      <c r="T2796" s="10">
        <v>3.0459483096946651E-4</v>
      </c>
      <c r="U2796" s="10">
        <v>1.0275E-4</v>
      </c>
      <c r="V2796" s="25"/>
      <c r="W2796" s="25"/>
      <c r="X2796" s="25"/>
      <c r="Y2796" s="25"/>
      <c r="Z2796" s="25"/>
      <c r="AA2796" s="25"/>
    </row>
    <row r="2797" spans="1:27" x14ac:dyDescent="0.35">
      <c r="A2797" s="5">
        <v>2793</v>
      </c>
      <c r="B2797" s="5">
        <v>117</v>
      </c>
      <c r="C2797" s="5">
        <v>4</v>
      </c>
      <c r="D2797" s="25">
        <v>1.1416E-4</v>
      </c>
      <c r="E2797" s="25">
        <v>1.1336999999999999E-4</v>
      </c>
      <c r="F2797" s="25">
        <v>1.1998999999999999E-4</v>
      </c>
      <c r="G2797" s="25">
        <v>1.6174000000000001E-4</v>
      </c>
      <c r="H2797" s="25">
        <v>1.8940999999999999E-4</v>
      </c>
      <c r="I2797" s="9">
        <v>1.3312999999999999E-4</v>
      </c>
      <c r="J2797" s="9">
        <v>1.2595999999999999E-4</v>
      </c>
      <c r="K2797" s="9">
        <v>7.2059999999999998E-5</v>
      </c>
      <c r="L2797" s="9">
        <v>1.9129999999999999E-4</v>
      </c>
      <c r="M2797" s="9">
        <v>1.2291E-4</v>
      </c>
      <c r="N2797" s="9">
        <v>1.0420999999999999E-4</v>
      </c>
      <c r="O2797" s="9">
        <v>2.0864000000000001E-4</v>
      </c>
      <c r="P2797" s="9">
        <v>1.9167000000000001E-4</v>
      </c>
      <c r="Q2797" s="9">
        <v>1.7552999999999999E-4</v>
      </c>
      <c r="R2797" s="10">
        <v>1.0328936245312073E-4</v>
      </c>
      <c r="S2797" s="10">
        <v>1.0594064838897483E-4</v>
      </c>
      <c r="T2797" s="10">
        <v>4.3261442386376695E-4</v>
      </c>
      <c r="U2797" s="10">
        <v>1.0275E-4</v>
      </c>
      <c r="V2797" s="25"/>
      <c r="W2797" s="25"/>
      <c r="X2797" s="25"/>
      <c r="Y2797" s="25"/>
      <c r="Z2797" s="25"/>
      <c r="AA2797" s="25"/>
    </row>
    <row r="2798" spans="1:27" x14ac:dyDescent="0.35">
      <c r="A2798" s="5">
        <v>2794</v>
      </c>
      <c r="B2798" s="5">
        <v>117</v>
      </c>
      <c r="C2798" s="5">
        <v>4</v>
      </c>
      <c r="D2798" s="25">
        <v>1.1415000000000001E-4</v>
      </c>
      <c r="E2798" s="25">
        <v>1.0975E-4</v>
      </c>
      <c r="F2798" s="25">
        <v>1.2514000000000001E-4</v>
      </c>
      <c r="G2798" s="25">
        <v>1.6440000000000001E-4</v>
      </c>
      <c r="H2798" s="25">
        <v>1.94E-4</v>
      </c>
      <c r="I2798" s="9">
        <v>1.3473000000000001E-4</v>
      </c>
      <c r="J2798" s="9">
        <v>1.2657E-4</v>
      </c>
      <c r="K2798" s="9">
        <v>4.6629999999999999E-5</v>
      </c>
      <c r="L2798" s="9">
        <v>2.0251000000000001E-4</v>
      </c>
      <c r="M2798" s="9">
        <v>1.5777E-4</v>
      </c>
      <c r="N2798" s="9">
        <v>1.2396999999999999E-4</v>
      </c>
      <c r="O2798" s="9">
        <v>1.6731E-4</v>
      </c>
      <c r="P2798" s="9">
        <v>1.7500999999999999E-4</v>
      </c>
      <c r="Q2798" s="9">
        <v>1.8306E-4</v>
      </c>
      <c r="R2798" s="10">
        <v>1.123705099405797E-4</v>
      </c>
      <c r="S2798" s="10">
        <v>1.0160802583439416E-4</v>
      </c>
      <c r="T2798" s="10">
        <v>5.1770346204634628E-4</v>
      </c>
      <c r="U2798" s="10">
        <v>1.0275E-4</v>
      </c>
      <c r="V2798" s="25"/>
      <c r="W2798" s="25"/>
      <c r="X2798" s="25"/>
      <c r="Y2798" s="25"/>
      <c r="Z2798" s="25"/>
      <c r="AA2798" s="25"/>
    </row>
    <row r="2799" spans="1:27" x14ac:dyDescent="0.35">
      <c r="A2799" s="5">
        <v>2795</v>
      </c>
      <c r="B2799" s="5">
        <v>117</v>
      </c>
      <c r="C2799" s="5">
        <v>4</v>
      </c>
      <c r="D2799" s="25">
        <v>1.1416E-4</v>
      </c>
      <c r="E2799" s="25">
        <v>1.1555E-4</v>
      </c>
      <c r="F2799" s="25">
        <v>1.1155E-4</v>
      </c>
      <c r="G2799" s="25">
        <v>1.6519000000000001E-4</v>
      </c>
      <c r="H2799" s="25">
        <v>1.9790000000000001E-4</v>
      </c>
      <c r="I2799" s="9">
        <v>1.3779999999999999E-4</v>
      </c>
      <c r="J2799" s="9">
        <v>1.2688E-4</v>
      </c>
      <c r="K2799" s="9">
        <v>1.908E-5</v>
      </c>
      <c r="L2799" s="9">
        <v>1.7515E-4</v>
      </c>
      <c r="M2799" s="9">
        <v>1.7202999999999999E-4</v>
      </c>
      <c r="N2799" s="9">
        <v>1.4233E-4</v>
      </c>
      <c r="O2799" s="9">
        <v>1.6766E-4</v>
      </c>
      <c r="P2799" s="9">
        <v>1.7401999999999999E-4</v>
      </c>
      <c r="Q2799" s="9">
        <v>1.8074000000000001E-4</v>
      </c>
      <c r="R2799" s="10">
        <v>9.7232186575461928E-5</v>
      </c>
      <c r="S2799" s="10">
        <v>9.8506858922526103E-5</v>
      </c>
      <c r="T2799" s="10">
        <v>6.3439651530820644E-4</v>
      </c>
      <c r="U2799" s="10">
        <v>1.0275E-4</v>
      </c>
      <c r="V2799" s="25"/>
      <c r="W2799" s="25"/>
      <c r="X2799" s="25"/>
      <c r="Y2799" s="25"/>
      <c r="Z2799" s="25"/>
      <c r="AA2799" s="25"/>
    </row>
    <row r="2800" spans="1:27" x14ac:dyDescent="0.35">
      <c r="A2800" s="5">
        <v>2796</v>
      </c>
      <c r="B2800" s="5">
        <v>117</v>
      </c>
      <c r="C2800" s="5">
        <v>4</v>
      </c>
      <c r="D2800" s="25">
        <v>1.1415000000000001E-4</v>
      </c>
      <c r="E2800" s="25">
        <v>1.1565000000000001E-4</v>
      </c>
      <c r="F2800" s="25">
        <v>1.1245E-4</v>
      </c>
      <c r="G2800" s="25">
        <v>1.6500999999999999E-4</v>
      </c>
      <c r="H2800" s="25">
        <v>1.9924999999999999E-4</v>
      </c>
      <c r="I2800" s="9">
        <v>1.3525000000000001E-4</v>
      </c>
      <c r="J2800" s="9">
        <v>1.2478000000000001E-4</v>
      </c>
      <c r="K2800" s="9">
        <v>2.3309999999999999E-5</v>
      </c>
      <c r="L2800" s="9">
        <v>1.7066999999999999E-4</v>
      </c>
      <c r="M2800" s="9">
        <v>1.7522999999999999E-4</v>
      </c>
      <c r="N2800" s="9">
        <v>1.5678999999999999E-4</v>
      </c>
      <c r="O2800" s="9">
        <v>1.683E-4</v>
      </c>
      <c r="P2800" s="9">
        <v>1.7053000000000001E-4</v>
      </c>
      <c r="Q2800" s="9">
        <v>1.7317999999999999E-4</v>
      </c>
      <c r="R2800" s="10">
        <v>7.6848529306004361E-5</v>
      </c>
      <c r="S2800" s="10">
        <v>9.3224166847000788E-5</v>
      </c>
      <c r="T2800" s="10">
        <v>6.713117017806765E-4</v>
      </c>
      <c r="U2800" s="10">
        <v>1.0275E-4</v>
      </c>
      <c r="V2800" s="25"/>
      <c r="W2800" s="25"/>
      <c r="X2800" s="25"/>
      <c r="Y2800" s="25"/>
      <c r="Z2800" s="25"/>
      <c r="AA2800" s="25"/>
    </row>
    <row r="2801" spans="1:27" x14ac:dyDescent="0.35">
      <c r="A2801" s="5">
        <v>2797</v>
      </c>
      <c r="B2801" s="5">
        <v>117</v>
      </c>
      <c r="C2801" s="5">
        <v>4</v>
      </c>
      <c r="D2801" s="25">
        <v>1.1416E-4</v>
      </c>
      <c r="E2801" s="25">
        <v>1.0848E-4</v>
      </c>
      <c r="F2801" s="25">
        <v>1.1959E-4</v>
      </c>
      <c r="G2801" s="25">
        <v>1.571E-4</v>
      </c>
      <c r="H2801" s="25">
        <v>1.997E-4</v>
      </c>
      <c r="I2801" s="9">
        <v>1.3661000000000001E-4</v>
      </c>
      <c r="J2801" s="9">
        <v>1.2426000000000001E-4</v>
      </c>
      <c r="K2801" s="9">
        <v>1.696E-5</v>
      </c>
      <c r="L2801" s="9">
        <v>1.6896000000000001E-4</v>
      </c>
      <c r="M2801" s="9">
        <v>1.7386999999999999E-4</v>
      </c>
      <c r="N2801" s="9">
        <v>1.6613000000000001E-4</v>
      </c>
      <c r="O2801" s="9">
        <v>1.6178000000000001E-4</v>
      </c>
      <c r="P2801" s="9">
        <v>1.6479999999999999E-4</v>
      </c>
      <c r="Q2801" s="9">
        <v>1.6822000000000001E-4</v>
      </c>
      <c r="R2801" s="10">
        <v>8.2093583774095675E-5</v>
      </c>
      <c r="S2801" s="10">
        <v>8.0495271292735002E-5</v>
      </c>
      <c r="T2801" s="10">
        <v>5.1425035221083824E-4</v>
      </c>
      <c r="U2801" s="10">
        <v>1.0275E-4</v>
      </c>
      <c r="V2801" s="25"/>
      <c r="W2801" s="25"/>
      <c r="X2801" s="25"/>
      <c r="Y2801" s="25"/>
      <c r="Z2801" s="25"/>
      <c r="AA2801" s="25"/>
    </row>
    <row r="2802" spans="1:27" x14ac:dyDescent="0.35">
      <c r="A2802" s="5">
        <v>2798</v>
      </c>
      <c r="B2802" s="5">
        <v>117</v>
      </c>
      <c r="C2802" s="5">
        <v>4</v>
      </c>
      <c r="D2802" s="25">
        <v>1.1415000000000001E-4</v>
      </c>
      <c r="E2802" s="25">
        <v>1.12E-4</v>
      </c>
      <c r="F2802" s="25">
        <v>1.2703000000000001E-4</v>
      </c>
      <c r="G2802" s="25">
        <v>1.5956999999999999E-4</v>
      </c>
      <c r="H2802" s="25">
        <v>1.9279E-4</v>
      </c>
      <c r="I2802" s="9">
        <v>1.3417999999999999E-4</v>
      </c>
      <c r="J2802" s="9">
        <v>1.2343E-4</v>
      </c>
      <c r="K2802" s="9">
        <v>0</v>
      </c>
      <c r="L2802" s="9">
        <v>1.6317E-4</v>
      </c>
      <c r="M2802" s="9">
        <v>1.7019E-4</v>
      </c>
      <c r="N2802" s="9">
        <v>1.7068000000000001E-4</v>
      </c>
      <c r="O2802" s="9">
        <v>1.7661E-4</v>
      </c>
      <c r="P2802" s="9">
        <v>1.6799999999999999E-4</v>
      </c>
      <c r="Q2802" s="9">
        <v>1.6002E-4</v>
      </c>
      <c r="R2802" s="10">
        <v>8.0077753994785552E-5</v>
      </c>
      <c r="S2802" s="10">
        <v>6.9066070752126941E-5</v>
      </c>
      <c r="T2802" s="10">
        <v>6.7923603737370965E-4</v>
      </c>
      <c r="U2802" s="10">
        <v>1.0275E-4</v>
      </c>
      <c r="V2802" s="25"/>
      <c r="W2802" s="25"/>
      <c r="X2802" s="25"/>
      <c r="Y2802" s="25"/>
      <c r="Z2802" s="25"/>
      <c r="AA2802" s="25"/>
    </row>
    <row r="2803" spans="1:27" x14ac:dyDescent="0.35">
      <c r="A2803" s="5">
        <v>2799</v>
      </c>
      <c r="B2803" s="5">
        <v>117</v>
      </c>
      <c r="C2803" s="5">
        <v>4</v>
      </c>
      <c r="D2803" s="25">
        <v>1.1416E-4</v>
      </c>
      <c r="E2803" s="25">
        <v>1.1279E-4</v>
      </c>
      <c r="F2803" s="25">
        <v>1.1734E-4</v>
      </c>
      <c r="G2803" s="25">
        <v>1.6647E-4</v>
      </c>
      <c r="H2803" s="25">
        <v>1.9917000000000001E-4</v>
      </c>
      <c r="I2803" s="9">
        <v>1.3401999999999999E-4</v>
      </c>
      <c r="J2803" s="9">
        <v>1.2276E-4</v>
      </c>
      <c r="K2803" s="9">
        <v>2.12E-6</v>
      </c>
      <c r="L2803" s="9">
        <v>1.7379E-4</v>
      </c>
      <c r="M2803" s="9">
        <v>1.6835E-4</v>
      </c>
      <c r="N2803" s="9">
        <v>1.7007E-4</v>
      </c>
      <c r="O2803" s="9">
        <v>1.828E-4</v>
      </c>
      <c r="P2803" s="9">
        <v>1.6735E-4</v>
      </c>
      <c r="Q2803" s="9">
        <v>1.5264E-4</v>
      </c>
      <c r="R2803" s="10">
        <v>7.9775945037620304E-5</v>
      </c>
      <c r="S2803" s="10">
        <v>5.383467541412113E-5</v>
      </c>
      <c r="T2803" s="10">
        <v>5.3540171049074351E-4</v>
      </c>
      <c r="U2803" s="10">
        <v>1.0275E-4</v>
      </c>
      <c r="V2803" s="25"/>
      <c r="W2803" s="25"/>
      <c r="X2803" s="25"/>
      <c r="Y2803" s="25"/>
      <c r="Z2803" s="25"/>
      <c r="AA2803" s="25"/>
    </row>
    <row r="2804" spans="1:27" x14ac:dyDescent="0.35">
      <c r="A2804" s="5">
        <v>2800</v>
      </c>
      <c r="B2804" s="5">
        <v>117</v>
      </c>
      <c r="C2804" s="5">
        <v>4</v>
      </c>
      <c r="D2804" s="25">
        <v>1.1415000000000001E-4</v>
      </c>
      <c r="E2804" s="25">
        <v>1.1656E-4</v>
      </c>
      <c r="F2804" s="25">
        <v>1.1396E-4</v>
      </c>
      <c r="G2804" s="25">
        <v>1.5671000000000001E-4</v>
      </c>
      <c r="H2804" s="25">
        <v>2.0069E-4</v>
      </c>
      <c r="I2804" s="9">
        <v>1.3339E-4</v>
      </c>
      <c r="J2804" s="9">
        <v>1.2265E-4</v>
      </c>
      <c r="K2804" s="9">
        <v>2.12E-5</v>
      </c>
      <c r="L2804" s="9">
        <v>1.8053000000000001E-4</v>
      </c>
      <c r="M2804" s="9">
        <v>1.6761E-4</v>
      </c>
      <c r="N2804" s="9">
        <v>1.6615999999999999E-4</v>
      </c>
      <c r="O2804" s="9">
        <v>1.9712000000000001E-4</v>
      </c>
      <c r="P2804" s="9">
        <v>1.5302999999999999E-4</v>
      </c>
      <c r="Q2804" s="9">
        <v>1.1017E-4</v>
      </c>
      <c r="R2804" s="10">
        <v>7.9212137487107717E-5</v>
      </c>
      <c r="S2804" s="10">
        <v>4.1540645541194337E-5</v>
      </c>
      <c r="T2804" s="10">
        <v>2.8307016351815492E-4</v>
      </c>
      <c r="U2804" s="10">
        <v>1.0275E-4</v>
      </c>
      <c r="V2804" s="25"/>
      <c r="W2804" s="25"/>
      <c r="X2804" s="25"/>
      <c r="Y2804" s="25"/>
      <c r="Z2804" s="25"/>
      <c r="AA2804" s="25"/>
    </row>
    <row r="2805" spans="1:27" x14ac:dyDescent="0.35">
      <c r="A2805" s="5">
        <v>2801</v>
      </c>
      <c r="B2805" s="5">
        <v>117</v>
      </c>
      <c r="C2805" s="5">
        <v>4</v>
      </c>
      <c r="D2805" s="25">
        <v>1.1416E-4</v>
      </c>
      <c r="E2805" s="25">
        <v>1.0718E-4</v>
      </c>
      <c r="F2805" s="25">
        <v>1.2763E-4</v>
      </c>
      <c r="G2805" s="25">
        <v>1.5700999999999999E-4</v>
      </c>
      <c r="H2805" s="25">
        <v>1.9175E-4</v>
      </c>
      <c r="I2805" s="9">
        <v>1.3383000000000001E-4</v>
      </c>
      <c r="J2805" s="9">
        <v>1.2291E-4</v>
      </c>
      <c r="K2805" s="9">
        <v>3.8149999999999999E-5</v>
      </c>
      <c r="L2805" s="9">
        <v>1.9324000000000001E-4</v>
      </c>
      <c r="M2805" s="9">
        <v>1.6228E-4</v>
      </c>
      <c r="N2805" s="9">
        <v>1.5248E-4</v>
      </c>
      <c r="O2805" s="9">
        <v>2.1296999999999999E-4</v>
      </c>
      <c r="P2805" s="9">
        <v>1.5936999999999999E-4</v>
      </c>
      <c r="Q2805" s="9">
        <v>1.072E-4</v>
      </c>
      <c r="R2805" s="10">
        <v>8.2150599074382228E-5</v>
      </c>
      <c r="S2805" s="10">
        <v>3.7205546092981084E-5</v>
      </c>
      <c r="T2805" s="10">
        <v>2.2620838927349981E-4</v>
      </c>
      <c r="U2805" s="10">
        <v>1.0275E-4</v>
      </c>
      <c r="V2805" s="25"/>
      <c r="W2805" s="25"/>
      <c r="X2805" s="25"/>
      <c r="Y2805" s="25"/>
      <c r="Z2805" s="25"/>
      <c r="AA2805" s="25"/>
    </row>
    <row r="2806" spans="1:27" x14ac:dyDescent="0.35">
      <c r="A2806" s="5">
        <v>2802</v>
      </c>
      <c r="B2806" s="5">
        <v>117</v>
      </c>
      <c r="C2806" s="5">
        <v>4</v>
      </c>
      <c r="D2806" s="25">
        <v>1.1415000000000001E-4</v>
      </c>
      <c r="E2806" s="25">
        <v>1.1523000000000001E-4</v>
      </c>
      <c r="F2806" s="25">
        <v>1.1608E-4</v>
      </c>
      <c r="G2806" s="25">
        <v>1.6472000000000001E-4</v>
      </c>
      <c r="H2806" s="25">
        <v>1.9327999999999999E-4</v>
      </c>
      <c r="I2806" s="9">
        <v>1.3087999999999999E-4</v>
      </c>
      <c r="J2806" s="9">
        <v>1.1834E-4</v>
      </c>
      <c r="K2806" s="9">
        <v>5.5109999999999999E-5</v>
      </c>
      <c r="L2806" s="9">
        <v>2.0835999999999999E-4</v>
      </c>
      <c r="M2806" s="9">
        <v>1.5976E-4</v>
      </c>
      <c r="N2806" s="9">
        <v>1.3915999999999999E-4</v>
      </c>
      <c r="O2806" s="9">
        <v>2.0635E-4</v>
      </c>
      <c r="P2806" s="9">
        <v>1.6195000000000001E-4</v>
      </c>
      <c r="Q2806" s="9">
        <v>1.1882E-4</v>
      </c>
      <c r="R2806" s="10">
        <v>8.4034078484637045E-5</v>
      </c>
      <c r="S2806" s="10">
        <v>3.3899950724433941E-5</v>
      </c>
      <c r="T2806" s="10">
        <v>6.5566665377901365E-5</v>
      </c>
      <c r="U2806" s="10">
        <v>1.0275E-4</v>
      </c>
      <c r="V2806" s="25"/>
      <c r="W2806" s="25"/>
      <c r="X2806" s="25"/>
      <c r="Y2806" s="25"/>
      <c r="Z2806" s="25"/>
      <c r="AA2806" s="25"/>
    </row>
    <row r="2807" spans="1:27" x14ac:dyDescent="0.35">
      <c r="A2807" s="5">
        <v>2803</v>
      </c>
      <c r="B2807" s="5">
        <v>117</v>
      </c>
      <c r="C2807" s="5">
        <v>4</v>
      </c>
      <c r="D2807" s="25">
        <v>1.1416E-4</v>
      </c>
      <c r="E2807" s="25">
        <v>1.0726999999999999E-4</v>
      </c>
      <c r="F2807" s="25">
        <v>1.1162000000000001E-4</v>
      </c>
      <c r="G2807" s="25">
        <v>1.1430999999999999E-4</v>
      </c>
      <c r="H2807" s="25">
        <v>1.3259E-4</v>
      </c>
      <c r="I2807" s="9">
        <v>1.2669999999999999E-4</v>
      </c>
      <c r="J2807" s="9">
        <v>1.1579E-4</v>
      </c>
      <c r="K2807" s="9">
        <v>7.8419999999999998E-5</v>
      </c>
      <c r="L2807" s="9">
        <v>2.0641E-4</v>
      </c>
      <c r="M2807" s="9">
        <v>1.6004999999999999E-4</v>
      </c>
      <c r="N2807" s="9">
        <v>1.3030999999999999E-4</v>
      </c>
      <c r="O2807" s="9">
        <v>1.6227E-4</v>
      </c>
      <c r="P2807" s="9">
        <v>1.3376999999999999E-4</v>
      </c>
      <c r="Q2807" s="9">
        <v>1.0618E-4</v>
      </c>
      <c r="R2807" s="10">
        <v>8.24191956638738E-5</v>
      </c>
      <c r="S2807" s="10">
        <v>2.7208691979177596E-5</v>
      </c>
      <c r="T2807" s="10">
        <v>1.3294897081673325E-5</v>
      </c>
      <c r="U2807" s="10">
        <v>1.0275E-4</v>
      </c>
      <c r="V2807" s="25"/>
      <c r="W2807" s="25"/>
      <c r="X2807" s="25"/>
      <c r="Y2807" s="25"/>
      <c r="Z2807" s="25"/>
      <c r="AA2807" s="25"/>
    </row>
    <row r="2808" spans="1:27" x14ac:dyDescent="0.35">
      <c r="A2808" s="5">
        <v>2804</v>
      </c>
      <c r="B2808" s="5">
        <v>117</v>
      </c>
      <c r="C2808" s="5">
        <v>4</v>
      </c>
      <c r="D2808" s="25">
        <v>1.1415000000000001E-4</v>
      </c>
      <c r="E2808" s="25">
        <v>1.1034E-4</v>
      </c>
      <c r="F2808" s="25">
        <v>1.1444E-4</v>
      </c>
      <c r="G2808" s="25">
        <v>1.1179999999999999E-4</v>
      </c>
      <c r="H2808" s="25">
        <v>1.3134999999999999E-4</v>
      </c>
      <c r="I2808" s="9">
        <v>1.2336000000000001E-4</v>
      </c>
      <c r="J2808" s="9">
        <v>1.1373E-4</v>
      </c>
      <c r="K2808" s="9">
        <v>1.0173E-4</v>
      </c>
      <c r="L2808" s="9">
        <v>1.7211E-4</v>
      </c>
      <c r="M2808" s="9">
        <v>1.5082999999999999E-4</v>
      </c>
      <c r="N2808" s="9">
        <v>1.21E-4</v>
      </c>
      <c r="O2808" s="9">
        <v>1.2898E-4</v>
      </c>
      <c r="P2808" s="9">
        <v>1.1538E-4</v>
      </c>
      <c r="Q2808" s="9">
        <v>1.0234999999999999E-4</v>
      </c>
      <c r="R2808" s="10">
        <v>7.7116814109499905E-5</v>
      </c>
      <c r="S2808" s="10">
        <v>1.9944695602293113E-5</v>
      </c>
      <c r="T2808" s="10">
        <v>0</v>
      </c>
      <c r="U2808" s="10">
        <v>1.0275E-4</v>
      </c>
      <c r="V2808" s="25"/>
      <c r="W2808" s="25"/>
      <c r="X2808" s="25"/>
      <c r="Y2808" s="25"/>
      <c r="Z2808" s="25"/>
      <c r="AA2808" s="25"/>
    </row>
    <row r="2809" spans="1:27" x14ac:dyDescent="0.35">
      <c r="A2809" s="5">
        <v>2805</v>
      </c>
      <c r="B2809" s="5">
        <v>117</v>
      </c>
      <c r="C2809" s="5">
        <v>4</v>
      </c>
      <c r="D2809" s="25">
        <v>1.1416E-4</v>
      </c>
      <c r="E2809" s="25">
        <v>1.1724E-4</v>
      </c>
      <c r="F2809" s="25">
        <v>1.2207E-4</v>
      </c>
      <c r="G2809" s="25">
        <v>5.4950000000000001E-5</v>
      </c>
      <c r="H2809" s="25">
        <v>7.1970000000000004E-5</v>
      </c>
      <c r="I2809" s="9">
        <v>1.2428999999999999E-4</v>
      </c>
      <c r="J2809" s="9">
        <v>1.1356E-4</v>
      </c>
      <c r="K2809" s="9">
        <v>1.3564E-4</v>
      </c>
      <c r="L2809" s="9">
        <v>1.3951999999999999E-4</v>
      </c>
      <c r="M2809" s="9">
        <v>1.3547E-4</v>
      </c>
      <c r="N2809" s="9">
        <v>1.1341E-4</v>
      </c>
      <c r="O2809" s="9">
        <v>8.4909999999999998E-5</v>
      </c>
      <c r="P2809" s="9">
        <v>8.6710000000000002E-5</v>
      </c>
      <c r="Q2809" s="9">
        <v>8.8720000000000004E-5</v>
      </c>
      <c r="R2809" s="10">
        <v>7.0368281750363696E-5</v>
      </c>
      <c r="S2809" s="10">
        <v>1.24090098169814E-5</v>
      </c>
      <c r="T2809" s="10">
        <v>0</v>
      </c>
      <c r="U2809" s="10">
        <v>1.0275E-4</v>
      </c>
      <c r="V2809" s="25"/>
      <c r="W2809" s="25"/>
      <c r="X2809" s="25"/>
      <c r="Y2809" s="25"/>
      <c r="Z2809" s="25"/>
      <c r="AA2809" s="25"/>
    </row>
    <row r="2810" spans="1:27" x14ac:dyDescent="0.35">
      <c r="A2810" s="5">
        <v>2806</v>
      </c>
      <c r="B2810" s="5">
        <v>117</v>
      </c>
      <c r="C2810" s="5">
        <v>4</v>
      </c>
      <c r="D2810" s="25">
        <v>1.1415000000000001E-4</v>
      </c>
      <c r="E2810" s="25">
        <v>1.0743000000000001E-4</v>
      </c>
      <c r="F2810" s="25">
        <v>1.2643999999999999E-4</v>
      </c>
      <c r="G2810" s="25">
        <v>5.613E-5</v>
      </c>
      <c r="H2810" s="25">
        <v>7.1870000000000001E-5</v>
      </c>
      <c r="I2810" s="9">
        <v>1.2600999999999999E-4</v>
      </c>
      <c r="J2810" s="9">
        <v>1.0637999999999999E-4</v>
      </c>
      <c r="K2810" s="9">
        <v>1.3988E-4</v>
      </c>
      <c r="L2810" s="9">
        <v>9.7819999999999995E-5</v>
      </c>
      <c r="M2810" s="9">
        <v>1.1398E-4</v>
      </c>
      <c r="N2810" s="9">
        <v>1.0585E-4</v>
      </c>
      <c r="O2810" s="9">
        <v>8.6910000000000006E-5</v>
      </c>
      <c r="P2810" s="9">
        <v>8.7330000000000006E-5</v>
      </c>
      <c r="Q2810" s="9">
        <v>8.797E-5</v>
      </c>
      <c r="R2810" s="10">
        <v>6.2646908842936818E-5</v>
      </c>
      <c r="S2810" s="10">
        <v>5.4346236192067275E-6</v>
      </c>
      <c r="T2810" s="10">
        <v>0</v>
      </c>
      <c r="U2810" s="10">
        <v>1.0275E-4</v>
      </c>
      <c r="V2810" s="25"/>
      <c r="W2810" s="25"/>
      <c r="X2810" s="25"/>
      <c r="Y2810" s="25"/>
      <c r="Z2810" s="25"/>
      <c r="AA2810" s="25"/>
    </row>
    <row r="2811" spans="1:27" x14ac:dyDescent="0.35">
      <c r="A2811" s="5">
        <v>2807</v>
      </c>
      <c r="B2811" s="5">
        <v>117</v>
      </c>
      <c r="C2811" s="5">
        <v>4</v>
      </c>
      <c r="D2811" s="25">
        <v>1.1416E-4</v>
      </c>
      <c r="E2811" s="25">
        <v>1.1265E-4</v>
      </c>
      <c r="F2811" s="25">
        <v>1.2376999999999999E-4</v>
      </c>
      <c r="G2811" s="25">
        <v>6.3520000000000002E-5</v>
      </c>
      <c r="H2811" s="25">
        <v>6.8449999999999997E-5</v>
      </c>
      <c r="I2811" s="9">
        <v>1.2369E-4</v>
      </c>
      <c r="J2811" s="9">
        <v>9.9400000000000004E-5</v>
      </c>
      <c r="K2811" s="9">
        <v>1.4200000000000001E-4</v>
      </c>
      <c r="L2811" s="9">
        <v>9.022E-5</v>
      </c>
      <c r="M2811" s="9">
        <v>9.9129999999999994E-5</v>
      </c>
      <c r="N2811" s="9">
        <v>9.9939999999999995E-5</v>
      </c>
      <c r="O2811" s="9">
        <v>7.8250000000000005E-5</v>
      </c>
      <c r="P2811" s="9">
        <v>7.2659999999999999E-5</v>
      </c>
      <c r="Q2811" s="9">
        <v>6.737E-5</v>
      </c>
      <c r="R2811" s="10">
        <v>5.1432171369364403E-5</v>
      </c>
      <c r="S2811" s="10">
        <v>1.8292432826455711E-6</v>
      </c>
      <c r="T2811" s="10">
        <v>0</v>
      </c>
      <c r="U2811" s="10">
        <v>1.0275E-4</v>
      </c>
      <c r="V2811" s="25"/>
      <c r="W2811" s="25"/>
      <c r="X2811" s="25"/>
      <c r="Y2811" s="25"/>
      <c r="Z2811" s="25"/>
      <c r="AA2811" s="25"/>
    </row>
    <row r="2812" spans="1:27" x14ac:dyDescent="0.35">
      <c r="A2812" s="5">
        <v>2808</v>
      </c>
      <c r="B2812" s="5">
        <v>117</v>
      </c>
      <c r="C2812" s="5">
        <v>4</v>
      </c>
      <c r="D2812" s="25">
        <v>1.1415000000000001E-4</v>
      </c>
      <c r="E2812" s="25">
        <v>1.1663E-4</v>
      </c>
      <c r="F2812" s="25">
        <v>1.1462E-4</v>
      </c>
      <c r="G2812" s="25">
        <v>6.0649999999999997E-5</v>
      </c>
      <c r="H2812" s="25">
        <v>6.4850000000000004E-5</v>
      </c>
      <c r="I2812" s="9">
        <v>1.1634E-4</v>
      </c>
      <c r="J2812" s="9">
        <v>9.2969999999999999E-5</v>
      </c>
      <c r="K2812" s="9">
        <v>1.4200000000000001E-4</v>
      </c>
      <c r="L2812" s="9">
        <v>8.0900000000000001E-5</v>
      </c>
      <c r="M2812" s="9">
        <v>8.6310000000000005E-5</v>
      </c>
      <c r="N2812" s="9">
        <v>9.0719999999999999E-5</v>
      </c>
      <c r="O2812" s="9">
        <v>6.334E-5</v>
      </c>
      <c r="P2812" s="9">
        <v>6.1299999999999999E-5</v>
      </c>
      <c r="Q2812" s="9">
        <v>5.9460000000000003E-5</v>
      </c>
      <c r="R2812" s="10">
        <v>3.2511557322742217E-5</v>
      </c>
      <c r="S2812" s="10">
        <v>4.9453435934263091E-6</v>
      </c>
      <c r="T2812" s="10">
        <v>0</v>
      </c>
      <c r="U2812" s="10">
        <v>1.0275E-4</v>
      </c>
      <c r="V2812" s="25"/>
      <c r="W2812" s="25"/>
      <c r="X2812" s="25"/>
      <c r="Y2812" s="25"/>
      <c r="Z2812" s="25"/>
      <c r="AA2812" s="25"/>
    </row>
    <row r="2813" spans="1:27" x14ac:dyDescent="0.35">
      <c r="A2813" s="5">
        <v>2809</v>
      </c>
      <c r="B2813" s="5">
        <v>118</v>
      </c>
      <c r="C2813" s="5">
        <v>4</v>
      </c>
      <c r="D2813" s="25">
        <v>1.1416E-4</v>
      </c>
      <c r="E2813" s="25">
        <v>1.0996E-4</v>
      </c>
      <c r="F2813" s="25">
        <v>9.7070000000000004E-5</v>
      </c>
      <c r="G2813" s="25">
        <v>5.8350000000000002E-5</v>
      </c>
      <c r="H2813" s="25">
        <v>4.1709999999999999E-5</v>
      </c>
      <c r="I2813" s="9">
        <v>1.1009E-4</v>
      </c>
      <c r="J2813" s="9">
        <v>8.7499999999999999E-5</v>
      </c>
      <c r="K2813" s="9">
        <v>1.6742999999999999E-4</v>
      </c>
      <c r="L2813" s="9">
        <v>6.7180000000000004E-5</v>
      </c>
      <c r="M2813" s="9">
        <v>7.4369999999999994E-5</v>
      </c>
      <c r="N2813" s="9">
        <v>8.1429999999999998E-5</v>
      </c>
      <c r="O2813" s="9">
        <v>6.8150000000000003E-5</v>
      </c>
      <c r="P2813" s="9">
        <v>6.0680000000000002E-5</v>
      </c>
      <c r="Q2813" s="9">
        <v>5.3510000000000001E-5</v>
      </c>
      <c r="R2813" s="10">
        <v>2.243484197294578E-5</v>
      </c>
      <c r="S2813" s="10">
        <v>1.4261157029940708E-5</v>
      </c>
      <c r="T2813" s="10">
        <v>0</v>
      </c>
      <c r="U2813" s="10">
        <v>1.0344E-4</v>
      </c>
      <c r="V2813" s="25"/>
      <c r="W2813" s="25"/>
      <c r="X2813" s="25"/>
      <c r="Y2813" s="25"/>
      <c r="Z2813" s="25"/>
      <c r="AA2813" s="25"/>
    </row>
    <row r="2814" spans="1:27" x14ac:dyDescent="0.35">
      <c r="A2814" s="5">
        <v>2810</v>
      </c>
      <c r="B2814" s="5">
        <v>118</v>
      </c>
      <c r="C2814" s="5">
        <v>4</v>
      </c>
      <c r="D2814" s="25">
        <v>1.1415000000000001E-4</v>
      </c>
      <c r="E2814" s="25">
        <v>1.0774E-4</v>
      </c>
      <c r="F2814" s="25">
        <v>1.091E-4</v>
      </c>
      <c r="G2814" s="25">
        <v>5.3909999999999997E-5</v>
      </c>
      <c r="H2814" s="25">
        <v>3.8300000000000003E-5</v>
      </c>
      <c r="I2814" s="9">
        <v>1.0615000000000001E-4</v>
      </c>
      <c r="J2814" s="9">
        <v>8.3020000000000001E-5</v>
      </c>
      <c r="K2814" s="9">
        <v>2.1829E-4</v>
      </c>
      <c r="L2814" s="9">
        <v>6.8310000000000002E-5</v>
      </c>
      <c r="M2814" s="9">
        <v>6.6619999999999996E-5</v>
      </c>
      <c r="N2814" s="9">
        <v>7.2299999999999996E-5</v>
      </c>
      <c r="O2814" s="9">
        <v>3.5670000000000002E-5</v>
      </c>
      <c r="P2814" s="9">
        <v>4.6149999999999997E-5</v>
      </c>
      <c r="Q2814" s="9">
        <v>5.6560000000000001E-5</v>
      </c>
      <c r="R2814" s="10">
        <v>1.3339358403892197E-5</v>
      </c>
      <c r="S2814" s="10">
        <v>3.0204632770525983E-5</v>
      </c>
      <c r="T2814" s="10">
        <v>0</v>
      </c>
      <c r="U2814" s="10">
        <v>1.0344E-4</v>
      </c>
      <c r="V2814" s="25"/>
      <c r="W2814" s="25"/>
      <c r="X2814" s="25"/>
      <c r="Y2814" s="25"/>
      <c r="Z2814" s="25"/>
      <c r="AA2814" s="25"/>
    </row>
    <row r="2815" spans="1:27" x14ac:dyDescent="0.35">
      <c r="A2815" s="5">
        <v>2811</v>
      </c>
      <c r="B2815" s="5">
        <v>118</v>
      </c>
      <c r="C2815" s="5">
        <v>4</v>
      </c>
      <c r="D2815" s="25">
        <v>1.1416E-4</v>
      </c>
      <c r="E2815" s="25">
        <v>1.1714000000000001E-4</v>
      </c>
      <c r="F2815" s="25">
        <v>1.0288E-4</v>
      </c>
      <c r="G2815" s="25">
        <v>5.4110000000000002E-5</v>
      </c>
      <c r="H2815" s="25">
        <v>4.3449999999999999E-5</v>
      </c>
      <c r="I2815" s="9">
        <v>1.0417E-4</v>
      </c>
      <c r="J2815" s="9">
        <v>8.509E-5</v>
      </c>
      <c r="K2815" s="9">
        <v>2.31E-4</v>
      </c>
      <c r="L2815" s="9">
        <v>4.278E-5</v>
      </c>
      <c r="M2815" s="9">
        <v>5.7580000000000001E-5</v>
      </c>
      <c r="N2815" s="9">
        <v>6.5770000000000002E-5</v>
      </c>
      <c r="O2815" s="9">
        <v>2.2500000000000001E-5</v>
      </c>
      <c r="P2815" s="9">
        <v>4.2349999999999999E-5</v>
      </c>
      <c r="Q2815" s="9">
        <v>6.1959999999999996E-5</v>
      </c>
      <c r="R2815" s="10">
        <v>6.903016325633881E-6</v>
      </c>
      <c r="S2815" s="10">
        <v>5.2646335323501764E-5</v>
      </c>
      <c r="T2815" s="10">
        <v>0</v>
      </c>
      <c r="U2815" s="10">
        <v>1.0344E-4</v>
      </c>
      <c r="V2815" s="25"/>
      <c r="W2815" s="25"/>
      <c r="X2815" s="25"/>
      <c r="Y2815" s="25"/>
      <c r="Z2815" s="25"/>
      <c r="AA2815" s="25"/>
    </row>
    <row r="2816" spans="1:27" x14ac:dyDescent="0.35">
      <c r="A2816" s="5">
        <v>2812</v>
      </c>
      <c r="B2816" s="5">
        <v>118</v>
      </c>
      <c r="C2816" s="5">
        <v>4</v>
      </c>
      <c r="D2816" s="25">
        <v>1.1415000000000001E-4</v>
      </c>
      <c r="E2816" s="25">
        <v>1.0936E-4</v>
      </c>
      <c r="F2816" s="25">
        <v>1.1331E-4</v>
      </c>
      <c r="G2816" s="25">
        <v>5.7089999999999997E-5</v>
      </c>
      <c r="H2816" s="25">
        <v>4.4350000000000001E-5</v>
      </c>
      <c r="I2816" s="9">
        <v>1.0483E-4</v>
      </c>
      <c r="J2816" s="9">
        <v>8.7330000000000006E-5</v>
      </c>
      <c r="K2816" s="9">
        <v>2.2463999999999999E-4</v>
      </c>
      <c r="L2816" s="9">
        <v>2.758E-5</v>
      </c>
      <c r="M2816" s="9">
        <v>4.9960000000000003E-5</v>
      </c>
      <c r="N2816" s="9">
        <v>6.224E-5</v>
      </c>
      <c r="O2816" s="9">
        <v>2.1719999999999999E-5</v>
      </c>
      <c r="P2816" s="9">
        <v>5.1020000000000003E-5</v>
      </c>
      <c r="Q2816" s="9">
        <v>7.9930000000000002E-5</v>
      </c>
      <c r="R2816" s="10">
        <v>4.863028246670225E-6</v>
      </c>
      <c r="S2816" s="10">
        <v>8.5547650611866749E-5</v>
      </c>
      <c r="T2816" s="10">
        <v>0</v>
      </c>
      <c r="U2816" s="10">
        <v>1.0344E-4</v>
      </c>
      <c r="V2816" s="25"/>
      <c r="W2816" s="25"/>
      <c r="X2816" s="25"/>
      <c r="Y2816" s="25"/>
      <c r="Z2816" s="25"/>
      <c r="AA2816" s="25"/>
    </row>
    <row r="2817" spans="1:27" x14ac:dyDescent="0.35">
      <c r="A2817" s="5">
        <v>2813</v>
      </c>
      <c r="B2817" s="5">
        <v>118</v>
      </c>
      <c r="C2817" s="5">
        <v>4</v>
      </c>
      <c r="D2817" s="25">
        <v>1.1416E-4</v>
      </c>
      <c r="E2817" s="25">
        <v>1.0974E-4</v>
      </c>
      <c r="F2817" s="25">
        <v>1.1038E-4</v>
      </c>
      <c r="G2817" s="25">
        <v>5.3149999999999998E-5</v>
      </c>
      <c r="H2817" s="25">
        <v>4.3890000000000002E-5</v>
      </c>
      <c r="I2817" s="9">
        <v>1.1174E-4</v>
      </c>
      <c r="J2817" s="9">
        <v>8.5039999999999999E-5</v>
      </c>
      <c r="K2817" s="9">
        <v>2.1617000000000001E-4</v>
      </c>
      <c r="L2817" s="9">
        <v>2.3459999999999999E-5</v>
      </c>
      <c r="M2817" s="9">
        <v>4.8529999999999998E-5</v>
      </c>
      <c r="N2817" s="9">
        <v>6.4610000000000007E-5</v>
      </c>
      <c r="O2817" s="9">
        <v>2.3540000000000002E-5</v>
      </c>
      <c r="P2817" s="9">
        <v>5.8489999999999997E-5</v>
      </c>
      <c r="Q2817" s="9">
        <v>9.2949999999999996E-5</v>
      </c>
      <c r="R2817" s="10">
        <v>7.6166023983830364E-6</v>
      </c>
      <c r="S2817" s="10">
        <v>1.1396149985166874E-4</v>
      </c>
      <c r="T2817" s="10">
        <v>0</v>
      </c>
      <c r="U2817" s="10">
        <v>1.0344E-4</v>
      </c>
      <c r="V2817" s="25"/>
      <c r="W2817" s="25"/>
      <c r="X2817" s="25"/>
      <c r="Y2817" s="25"/>
      <c r="Z2817" s="25"/>
      <c r="AA2817" s="25"/>
    </row>
    <row r="2818" spans="1:27" x14ac:dyDescent="0.35">
      <c r="A2818" s="5">
        <v>2814</v>
      </c>
      <c r="B2818" s="5">
        <v>118</v>
      </c>
      <c r="C2818" s="5">
        <v>4</v>
      </c>
      <c r="D2818" s="25">
        <v>1.1415000000000001E-4</v>
      </c>
      <c r="E2818" s="25">
        <v>1.1446E-4</v>
      </c>
      <c r="F2818" s="25">
        <v>1.1082E-4</v>
      </c>
      <c r="G2818" s="25">
        <v>1.1332000000000001E-4</v>
      </c>
      <c r="H2818" s="25">
        <v>7.9640000000000003E-5</v>
      </c>
      <c r="I2818" s="9">
        <v>1.2244999999999999E-4</v>
      </c>
      <c r="J2818" s="9">
        <v>8.3529999999999995E-5</v>
      </c>
      <c r="K2818" s="9">
        <v>1.4836E-4</v>
      </c>
      <c r="L2818" s="9">
        <v>2.3459999999999999E-5</v>
      </c>
      <c r="M2818" s="9">
        <v>5.2070000000000001E-5</v>
      </c>
      <c r="N2818" s="9">
        <v>7.0939999999999995E-5</v>
      </c>
      <c r="O2818" s="9">
        <v>3.0219999999999999E-5</v>
      </c>
      <c r="P2818" s="9">
        <v>6.9319999999999994E-5</v>
      </c>
      <c r="Q2818" s="9">
        <v>1.0788E-4</v>
      </c>
      <c r="R2818" s="10">
        <v>2.0231749076406799E-5</v>
      </c>
      <c r="S2818" s="10">
        <v>1.3467453162657126E-4</v>
      </c>
      <c r="T2818" s="10">
        <v>8.6964068338960795E-6</v>
      </c>
      <c r="U2818" s="10">
        <v>1.0344E-4</v>
      </c>
      <c r="V2818" s="25"/>
      <c r="W2818" s="25"/>
      <c r="X2818" s="25"/>
      <c r="Y2818" s="25"/>
      <c r="Z2818" s="25"/>
      <c r="AA2818" s="25"/>
    </row>
    <row r="2819" spans="1:27" x14ac:dyDescent="0.35">
      <c r="A2819" s="5">
        <v>2815</v>
      </c>
      <c r="B2819" s="5">
        <v>118</v>
      </c>
      <c r="C2819" s="5">
        <v>4</v>
      </c>
      <c r="D2819" s="25">
        <v>1.1416E-4</v>
      </c>
      <c r="E2819" s="25">
        <v>1.1508E-4</v>
      </c>
      <c r="F2819" s="25">
        <v>9.8309999999999999E-5</v>
      </c>
      <c r="G2819" s="25">
        <v>1.1469E-4</v>
      </c>
      <c r="H2819" s="25">
        <v>8.2819999999999996E-5</v>
      </c>
      <c r="I2819" s="9">
        <v>1.315E-4</v>
      </c>
      <c r="J2819" s="9">
        <v>8.8239999999999995E-5</v>
      </c>
      <c r="K2819" s="9">
        <v>1.0385E-4</v>
      </c>
      <c r="L2819" s="9">
        <v>2.864E-5</v>
      </c>
      <c r="M2819" s="9">
        <v>5.9330000000000003E-5</v>
      </c>
      <c r="N2819" s="9">
        <v>8.0809999999999994E-5</v>
      </c>
      <c r="O2819" s="9">
        <v>4.634E-5</v>
      </c>
      <c r="P2819" s="9">
        <v>7.9549999999999996E-5</v>
      </c>
      <c r="Q2819" s="9">
        <v>1.1237E-4</v>
      </c>
      <c r="R2819" s="10">
        <v>3.8431734409363434E-5</v>
      </c>
      <c r="S2819" s="10">
        <v>1.4714348303865158E-4</v>
      </c>
      <c r="T2819" s="10">
        <v>1.2001041430776589E-4</v>
      </c>
      <c r="U2819" s="10">
        <v>1.0344E-4</v>
      </c>
      <c r="V2819" s="25"/>
      <c r="W2819" s="25"/>
      <c r="X2819" s="25"/>
      <c r="Y2819" s="25"/>
      <c r="Z2819" s="25"/>
      <c r="AA2819" s="25"/>
    </row>
    <row r="2820" spans="1:27" x14ac:dyDescent="0.35">
      <c r="A2820" s="5">
        <v>2816</v>
      </c>
      <c r="B2820" s="5">
        <v>118</v>
      </c>
      <c r="C2820" s="5">
        <v>4</v>
      </c>
      <c r="D2820" s="25">
        <v>1.1415000000000001E-4</v>
      </c>
      <c r="E2820" s="25">
        <v>1.1831E-4</v>
      </c>
      <c r="F2820" s="25">
        <v>1.1448E-4</v>
      </c>
      <c r="G2820" s="25">
        <v>1.6321E-4</v>
      </c>
      <c r="H2820" s="25">
        <v>1.2037E-4</v>
      </c>
      <c r="I2820" s="9">
        <v>1.3669999999999999E-4</v>
      </c>
      <c r="J2820" s="9">
        <v>9.5550000000000005E-5</v>
      </c>
      <c r="K2820" s="9">
        <v>5.0869999999999999E-5</v>
      </c>
      <c r="L2820" s="9">
        <v>4.2290000000000003E-5</v>
      </c>
      <c r="M2820" s="9">
        <v>6.8440000000000002E-5</v>
      </c>
      <c r="N2820" s="9">
        <v>9.0849999999999999E-5</v>
      </c>
      <c r="O2820" s="9">
        <v>6.8429999999999994E-5</v>
      </c>
      <c r="P2820" s="9">
        <v>1.0291E-4</v>
      </c>
      <c r="Q2820" s="9">
        <v>1.3703000000000001E-4</v>
      </c>
      <c r="R2820" s="10">
        <v>5.4629256831654734E-5</v>
      </c>
      <c r="S2820" s="10">
        <v>1.5441895461436989E-4</v>
      </c>
      <c r="T2820" s="10">
        <v>2.9618689031347527E-4</v>
      </c>
      <c r="U2820" s="10">
        <v>1.0344E-4</v>
      </c>
      <c r="V2820" s="25"/>
      <c r="W2820" s="25"/>
      <c r="X2820" s="25"/>
      <c r="Y2820" s="25"/>
      <c r="Z2820" s="25"/>
      <c r="AA2820" s="25"/>
    </row>
    <row r="2821" spans="1:27" x14ac:dyDescent="0.35">
      <c r="A2821" s="5">
        <v>2817</v>
      </c>
      <c r="B2821" s="5">
        <v>118</v>
      </c>
      <c r="C2821" s="5">
        <v>4</v>
      </c>
      <c r="D2821" s="25">
        <v>1.1416E-4</v>
      </c>
      <c r="E2821" s="25">
        <v>1.0854E-4</v>
      </c>
      <c r="F2821" s="25">
        <v>1.0170000000000001E-4</v>
      </c>
      <c r="G2821" s="25">
        <v>1.5754000000000001E-4</v>
      </c>
      <c r="H2821" s="25">
        <v>1.22E-4</v>
      </c>
      <c r="I2821" s="9">
        <v>1.4118E-4</v>
      </c>
      <c r="J2821" s="9">
        <v>1.0163E-4</v>
      </c>
      <c r="K2821" s="9">
        <v>1.696E-5</v>
      </c>
      <c r="L2821" s="9">
        <v>6.2310000000000005E-5</v>
      </c>
      <c r="M2821" s="9">
        <v>8.3100000000000001E-5</v>
      </c>
      <c r="N2821" s="9">
        <v>1.0465E-4</v>
      </c>
      <c r="O2821" s="9">
        <v>9.8679999999999997E-5</v>
      </c>
      <c r="P2821" s="9">
        <v>1.3708000000000001E-4</v>
      </c>
      <c r="Q2821" s="9">
        <v>1.7515E-4</v>
      </c>
      <c r="R2821" s="10">
        <v>5.5744540955765717E-5</v>
      </c>
      <c r="S2821" s="10">
        <v>1.4608457418111858E-4</v>
      </c>
      <c r="T2821" s="10">
        <v>0</v>
      </c>
      <c r="U2821" s="10">
        <v>1.0344E-4</v>
      </c>
      <c r="V2821" s="25"/>
      <c r="W2821" s="25"/>
      <c r="X2821" s="25"/>
      <c r="Y2821" s="25"/>
      <c r="Z2821" s="25"/>
      <c r="AA2821" s="25"/>
    </row>
    <row r="2822" spans="1:27" x14ac:dyDescent="0.35">
      <c r="A2822" s="5">
        <v>2818</v>
      </c>
      <c r="B2822" s="5">
        <v>118</v>
      </c>
      <c r="C2822" s="5">
        <v>4</v>
      </c>
      <c r="D2822" s="25">
        <v>1.1415000000000001E-4</v>
      </c>
      <c r="E2822" s="25">
        <v>1.0849E-4</v>
      </c>
      <c r="F2822" s="25">
        <v>1.1442000000000001E-4</v>
      </c>
      <c r="G2822" s="25">
        <v>1.6725999999999999E-4</v>
      </c>
      <c r="H2822" s="25">
        <v>1.1790000000000001E-4</v>
      </c>
      <c r="I2822" s="9">
        <v>1.427E-4</v>
      </c>
      <c r="J2822" s="9">
        <v>1.0386E-4</v>
      </c>
      <c r="K2822" s="9">
        <v>0</v>
      </c>
      <c r="L2822" s="9">
        <v>9.0160000000000004E-5</v>
      </c>
      <c r="M2822" s="9">
        <v>1.0623E-4</v>
      </c>
      <c r="N2822" s="9">
        <v>1.2428999999999999E-4</v>
      </c>
      <c r="O2822" s="9">
        <v>1.2886000000000001E-4</v>
      </c>
      <c r="P2822" s="9">
        <v>1.5595999999999999E-4</v>
      </c>
      <c r="Q2822" s="9">
        <v>1.8299000000000001E-4</v>
      </c>
      <c r="R2822" s="10">
        <v>7.1753942447860166E-5</v>
      </c>
      <c r="S2822" s="10">
        <v>1.3391221245928042E-4</v>
      </c>
      <c r="T2822" s="10">
        <v>3.6937245650780462E-4</v>
      </c>
      <c r="U2822" s="10">
        <v>1.0344E-4</v>
      </c>
      <c r="V2822" s="25"/>
      <c r="W2822" s="25"/>
      <c r="X2822" s="25"/>
      <c r="Y2822" s="25"/>
      <c r="Z2822" s="25"/>
      <c r="AA2822" s="25"/>
    </row>
    <row r="2823" spans="1:27" x14ac:dyDescent="0.35">
      <c r="A2823" s="5">
        <v>2819</v>
      </c>
      <c r="B2823" s="5">
        <v>118</v>
      </c>
      <c r="C2823" s="5">
        <v>4</v>
      </c>
      <c r="D2823" s="25">
        <v>1.1416E-4</v>
      </c>
      <c r="E2823" s="25">
        <v>1.1427E-4</v>
      </c>
      <c r="F2823" s="25">
        <v>9.8679999999999997E-5</v>
      </c>
      <c r="G2823" s="25">
        <v>1.5975000000000001E-4</v>
      </c>
      <c r="H2823" s="25">
        <v>1.1847E-4</v>
      </c>
      <c r="I2823" s="9">
        <v>1.4292999999999999E-4</v>
      </c>
      <c r="J2823" s="9">
        <v>1.0302999999999999E-4</v>
      </c>
      <c r="K2823" s="9">
        <v>0</v>
      </c>
      <c r="L2823" s="9">
        <v>1.1966E-4</v>
      </c>
      <c r="M2823" s="9">
        <v>1.2996000000000001E-4</v>
      </c>
      <c r="N2823" s="9">
        <v>1.4259E-4</v>
      </c>
      <c r="O2823" s="9">
        <v>1.3725E-4</v>
      </c>
      <c r="P2823" s="9">
        <v>1.5887E-4</v>
      </c>
      <c r="Q2823" s="9">
        <v>1.8052000000000001E-4</v>
      </c>
      <c r="R2823" s="10">
        <v>9.7607081792718407E-5</v>
      </c>
      <c r="S2823" s="10">
        <v>1.4031610170799698E-4</v>
      </c>
      <c r="T2823" s="10">
        <v>3.8920874838843786E-4</v>
      </c>
      <c r="U2823" s="10">
        <v>1.0344E-4</v>
      </c>
      <c r="V2823" s="25"/>
      <c r="W2823" s="25"/>
      <c r="X2823" s="25"/>
      <c r="Y2823" s="25"/>
      <c r="Z2823" s="25"/>
      <c r="AA2823" s="25"/>
    </row>
    <row r="2824" spans="1:27" x14ac:dyDescent="0.35">
      <c r="A2824" s="5">
        <v>2820</v>
      </c>
      <c r="B2824" s="5">
        <v>118</v>
      </c>
      <c r="C2824" s="5">
        <v>4</v>
      </c>
      <c r="D2824" s="25">
        <v>1.1415000000000001E-4</v>
      </c>
      <c r="E2824" s="25">
        <v>1.169E-4</v>
      </c>
      <c r="F2824" s="25">
        <v>9.925E-5</v>
      </c>
      <c r="G2824" s="25">
        <v>1.6417999999999999E-4</v>
      </c>
      <c r="H2824" s="25">
        <v>1.2081E-4</v>
      </c>
      <c r="I2824" s="9">
        <v>1.3949000000000001E-4</v>
      </c>
      <c r="J2824" s="9">
        <v>1.0037E-4</v>
      </c>
      <c r="K2824" s="9">
        <v>0</v>
      </c>
      <c r="L2824" s="9">
        <v>1.3269000000000001E-4</v>
      </c>
      <c r="M2824" s="9">
        <v>1.4601999999999999E-4</v>
      </c>
      <c r="N2824" s="9">
        <v>1.5689E-4</v>
      </c>
      <c r="O2824" s="9">
        <v>1.3797000000000001E-4</v>
      </c>
      <c r="P2824" s="9">
        <v>1.5609E-4</v>
      </c>
      <c r="Q2824" s="9">
        <v>1.7431E-4</v>
      </c>
      <c r="R2824" s="10">
        <v>1.1347690901687698E-4</v>
      </c>
      <c r="S2824" s="10">
        <v>1.6604749894115418E-4</v>
      </c>
      <c r="T2824" s="10">
        <v>6.4194754172983322E-4</v>
      </c>
      <c r="U2824" s="10">
        <v>1.0344E-4</v>
      </c>
      <c r="V2824" s="25"/>
      <c r="W2824" s="25"/>
      <c r="X2824" s="25"/>
      <c r="Y2824" s="25"/>
      <c r="Z2824" s="25"/>
      <c r="AA2824" s="25"/>
    </row>
    <row r="2825" spans="1:27" x14ac:dyDescent="0.35">
      <c r="A2825" s="5">
        <v>2821</v>
      </c>
      <c r="B2825" s="5">
        <v>118</v>
      </c>
      <c r="C2825" s="5">
        <v>4</v>
      </c>
      <c r="D2825" s="25">
        <v>1.1416E-4</v>
      </c>
      <c r="E2825" s="25">
        <v>1.0931E-4</v>
      </c>
      <c r="F2825" s="25">
        <v>1.1582999999999999E-4</v>
      </c>
      <c r="G2825" s="25">
        <v>1.6309000000000001E-4</v>
      </c>
      <c r="H2825" s="25">
        <v>1.1711E-4</v>
      </c>
      <c r="I2825" s="9">
        <v>1.4033000000000001E-4</v>
      </c>
      <c r="J2825" s="9">
        <v>9.8140000000000006E-5</v>
      </c>
      <c r="K2825" s="9">
        <v>0</v>
      </c>
      <c r="L2825" s="9">
        <v>1.3662E-4</v>
      </c>
      <c r="M2825" s="9">
        <v>1.5310000000000001E-4</v>
      </c>
      <c r="N2825" s="9">
        <v>1.6640000000000001E-4</v>
      </c>
      <c r="O2825" s="9">
        <v>1.2862999999999999E-4</v>
      </c>
      <c r="P2825" s="9">
        <v>1.4734000000000001E-4</v>
      </c>
      <c r="Q2825" s="9">
        <v>1.6611999999999999E-4</v>
      </c>
      <c r="R2825" s="10">
        <v>1.3120903003652478E-4</v>
      </c>
      <c r="S2825" s="10">
        <v>1.7351719181545977E-4</v>
      </c>
      <c r="T2825" s="10">
        <v>0</v>
      </c>
      <c r="U2825" s="10">
        <v>1.0344E-4</v>
      </c>
      <c r="V2825" s="25"/>
      <c r="W2825" s="25"/>
      <c r="X2825" s="25"/>
      <c r="Y2825" s="25"/>
      <c r="Z2825" s="25"/>
      <c r="AA2825" s="25"/>
    </row>
    <row r="2826" spans="1:27" x14ac:dyDescent="0.35">
      <c r="A2826" s="5">
        <v>2822</v>
      </c>
      <c r="B2826" s="5">
        <v>118</v>
      </c>
      <c r="C2826" s="5">
        <v>4</v>
      </c>
      <c r="D2826" s="25">
        <v>1.1415000000000001E-4</v>
      </c>
      <c r="E2826" s="25">
        <v>1.1226999999999999E-4</v>
      </c>
      <c r="F2826" s="25">
        <v>1.0208E-4</v>
      </c>
      <c r="G2826" s="25">
        <v>1.6087999999999999E-4</v>
      </c>
      <c r="H2826" s="25">
        <v>1.1608E-4</v>
      </c>
      <c r="I2826" s="9">
        <v>1.3798E-4</v>
      </c>
      <c r="J2826" s="9">
        <v>9.5749999999999996E-5</v>
      </c>
      <c r="K2826" s="9">
        <v>0</v>
      </c>
      <c r="L2826" s="9">
        <v>1.3045999999999999E-4</v>
      </c>
      <c r="M2826" s="9">
        <v>1.5236000000000001E-4</v>
      </c>
      <c r="N2826" s="9">
        <v>1.7042000000000001E-4</v>
      </c>
      <c r="O2826" s="9">
        <v>1.1107000000000001E-4</v>
      </c>
      <c r="P2826" s="9">
        <v>1.3515000000000001E-4</v>
      </c>
      <c r="Q2826" s="9">
        <v>1.5914999999999999E-4</v>
      </c>
      <c r="R2826" s="10">
        <v>1.4893763248073369E-4</v>
      </c>
      <c r="S2826" s="10">
        <v>1.7308466035623565E-4</v>
      </c>
      <c r="T2826" s="10">
        <v>4.8551403031190553E-4</v>
      </c>
      <c r="U2826" s="10">
        <v>1.0344E-4</v>
      </c>
      <c r="V2826" s="25"/>
      <c r="W2826" s="25"/>
      <c r="X2826" s="25"/>
      <c r="Y2826" s="25"/>
      <c r="Z2826" s="25"/>
      <c r="AA2826" s="25"/>
    </row>
    <row r="2827" spans="1:27" x14ac:dyDescent="0.35">
      <c r="A2827" s="5">
        <v>2823</v>
      </c>
      <c r="B2827" s="5">
        <v>118</v>
      </c>
      <c r="C2827" s="5">
        <v>4</v>
      </c>
      <c r="D2827" s="25">
        <v>1.1416E-4</v>
      </c>
      <c r="E2827" s="25">
        <v>1.1764000000000001E-4</v>
      </c>
      <c r="F2827" s="25">
        <v>1.1768E-4</v>
      </c>
      <c r="G2827" s="25">
        <v>1.5882E-4</v>
      </c>
      <c r="H2827" s="25">
        <v>1.2131E-4</v>
      </c>
      <c r="I2827" s="9">
        <v>1.3507999999999999E-4</v>
      </c>
      <c r="J2827" s="9">
        <v>9.4469999999999995E-5</v>
      </c>
      <c r="K2827" s="9">
        <v>0</v>
      </c>
      <c r="L2827" s="9">
        <v>1.1557000000000001E-4</v>
      </c>
      <c r="M2827" s="9">
        <v>1.4569E-4</v>
      </c>
      <c r="N2827" s="9">
        <v>1.696E-4</v>
      </c>
      <c r="O2827" s="9">
        <v>1.2617999999999999E-4</v>
      </c>
      <c r="P2827" s="9">
        <v>1.3892E-4</v>
      </c>
      <c r="Q2827" s="9">
        <v>1.5181999999999999E-4</v>
      </c>
      <c r="R2827" s="10">
        <v>1.523137650716066E-4</v>
      </c>
      <c r="S2827" s="10">
        <v>1.7444195700884869E-4</v>
      </c>
      <c r="T2827" s="10">
        <v>3.7913788505981866E-4</v>
      </c>
      <c r="U2827" s="10">
        <v>1.0344E-4</v>
      </c>
      <c r="V2827" s="25"/>
      <c r="W2827" s="25"/>
      <c r="X2827" s="25"/>
      <c r="Y2827" s="25"/>
      <c r="Z2827" s="25"/>
      <c r="AA2827" s="25"/>
    </row>
    <row r="2828" spans="1:27" x14ac:dyDescent="0.35">
      <c r="A2828" s="5">
        <v>2824</v>
      </c>
      <c r="B2828" s="5">
        <v>118</v>
      </c>
      <c r="C2828" s="5">
        <v>4</v>
      </c>
      <c r="D2828" s="25">
        <v>1.1415000000000001E-4</v>
      </c>
      <c r="E2828" s="25">
        <v>1.1524E-4</v>
      </c>
      <c r="F2828" s="25">
        <v>1.0704000000000001E-4</v>
      </c>
      <c r="G2828" s="25">
        <v>1.5760000000000001E-4</v>
      </c>
      <c r="H2828" s="25">
        <v>1.2082E-4</v>
      </c>
      <c r="I2828" s="9">
        <v>1.3236000000000001E-4</v>
      </c>
      <c r="J2828" s="9">
        <v>9.6000000000000002E-5</v>
      </c>
      <c r="K2828" s="9">
        <v>0</v>
      </c>
      <c r="L2828" s="9">
        <v>1.2427E-4</v>
      </c>
      <c r="M2828" s="9">
        <v>1.4142000000000001E-4</v>
      </c>
      <c r="N2828" s="9">
        <v>1.6553999999999999E-4</v>
      </c>
      <c r="O2828" s="9">
        <v>1.3302E-4</v>
      </c>
      <c r="P2828" s="9">
        <v>1.2085E-4</v>
      </c>
      <c r="Q2828" s="9">
        <v>1.0925E-4</v>
      </c>
      <c r="R2828" s="10">
        <v>1.5473078687421745E-4</v>
      </c>
      <c r="S2828" s="10">
        <v>1.7648892798428141E-4</v>
      </c>
      <c r="T2828" s="10">
        <v>4.8129733353488471E-4</v>
      </c>
      <c r="U2828" s="10">
        <v>1.0344E-4</v>
      </c>
      <c r="V2828" s="25"/>
      <c r="W2828" s="25"/>
      <c r="X2828" s="25"/>
      <c r="Y2828" s="25"/>
      <c r="Z2828" s="25"/>
      <c r="AA2828" s="25"/>
    </row>
    <row r="2829" spans="1:27" x14ac:dyDescent="0.35">
      <c r="A2829" s="5">
        <v>2825</v>
      </c>
      <c r="B2829" s="5">
        <v>118</v>
      </c>
      <c r="C2829" s="5">
        <v>4</v>
      </c>
      <c r="D2829" s="25">
        <v>1.1416E-4</v>
      </c>
      <c r="E2829" s="25">
        <v>1.1311000000000001E-4</v>
      </c>
      <c r="F2829" s="25">
        <v>1.0339E-4</v>
      </c>
      <c r="G2829" s="25">
        <v>1.6723000000000001E-4</v>
      </c>
      <c r="H2829" s="25">
        <v>1.1854999999999999E-4</v>
      </c>
      <c r="I2829" s="9">
        <v>1.3457000000000001E-4</v>
      </c>
      <c r="J2829" s="9">
        <v>1.0088E-4</v>
      </c>
      <c r="K2829" s="9">
        <v>0</v>
      </c>
      <c r="L2829" s="9">
        <v>1.3081E-4</v>
      </c>
      <c r="M2829" s="9">
        <v>1.3308999999999999E-4</v>
      </c>
      <c r="N2829" s="9">
        <v>1.5171999999999999E-4</v>
      </c>
      <c r="O2829" s="9">
        <v>1.4077999999999999E-4</v>
      </c>
      <c r="P2829" s="9">
        <v>1.2404000000000001E-4</v>
      </c>
      <c r="Q2829" s="9">
        <v>1.0794999999999999E-4</v>
      </c>
      <c r="R2829" s="10">
        <v>1.6647332208953502E-4</v>
      </c>
      <c r="S2829" s="10">
        <v>1.7405011873124451E-4</v>
      </c>
      <c r="T2829" s="10">
        <v>2.8379981326226721E-4</v>
      </c>
      <c r="U2829" s="10">
        <v>1.0344E-4</v>
      </c>
      <c r="V2829" s="25"/>
      <c r="W2829" s="25"/>
      <c r="X2829" s="25"/>
      <c r="Y2829" s="25"/>
      <c r="Z2829" s="25"/>
      <c r="AA2829" s="25"/>
    </row>
    <row r="2830" spans="1:27" x14ac:dyDescent="0.35">
      <c r="A2830" s="5">
        <v>2826</v>
      </c>
      <c r="B2830" s="5">
        <v>118</v>
      </c>
      <c r="C2830" s="5">
        <v>4</v>
      </c>
      <c r="D2830" s="25">
        <v>1.1415000000000001E-4</v>
      </c>
      <c r="E2830" s="25">
        <v>1.1245E-4</v>
      </c>
      <c r="F2830" s="25">
        <v>1.0603999999999999E-4</v>
      </c>
      <c r="G2830" s="25">
        <v>1.5663E-4</v>
      </c>
      <c r="H2830" s="25">
        <v>1.1412E-4</v>
      </c>
      <c r="I2830" s="9">
        <v>1.3151999999999999E-4</v>
      </c>
      <c r="J2830" s="9">
        <v>1.0234999999999999E-4</v>
      </c>
      <c r="K2830" s="9">
        <v>0</v>
      </c>
      <c r="L2830" s="9">
        <v>1.3829000000000001E-4</v>
      </c>
      <c r="M2830" s="9">
        <v>1.2772E-4</v>
      </c>
      <c r="N2830" s="9">
        <v>1.3863999999999999E-4</v>
      </c>
      <c r="O2830" s="9">
        <v>1.4114999999999999E-4</v>
      </c>
      <c r="P2830" s="9">
        <v>1.2946999999999999E-4</v>
      </c>
      <c r="Q2830" s="9">
        <v>1.1836999999999999E-4</v>
      </c>
      <c r="R2830" s="10">
        <v>1.6375446013513529E-4</v>
      </c>
      <c r="S2830" s="10">
        <v>1.6373182933791501E-4</v>
      </c>
      <c r="T2830" s="10">
        <v>1.1016014276225044E-4</v>
      </c>
      <c r="U2830" s="10">
        <v>1.0344E-4</v>
      </c>
      <c r="V2830" s="25"/>
      <c r="W2830" s="25"/>
      <c r="X2830" s="25"/>
      <c r="Y2830" s="25"/>
      <c r="Z2830" s="25"/>
      <c r="AA2830" s="25"/>
    </row>
    <row r="2831" spans="1:27" x14ac:dyDescent="0.35">
      <c r="A2831" s="5">
        <v>2827</v>
      </c>
      <c r="B2831" s="5">
        <v>118</v>
      </c>
      <c r="C2831" s="5">
        <v>4</v>
      </c>
      <c r="D2831" s="25">
        <v>1.1416E-4</v>
      </c>
      <c r="E2831" s="25">
        <v>1.1038E-4</v>
      </c>
      <c r="F2831" s="25">
        <v>1.0155E-4</v>
      </c>
      <c r="G2831" s="25">
        <v>1.0609E-4</v>
      </c>
      <c r="H2831" s="25">
        <v>8.4110000000000006E-5</v>
      </c>
      <c r="I2831" s="9">
        <v>1.2684E-4</v>
      </c>
      <c r="J2831" s="9">
        <v>1.0207E-4</v>
      </c>
      <c r="K2831" s="9">
        <v>0</v>
      </c>
      <c r="L2831" s="9">
        <v>1.4039E-4</v>
      </c>
      <c r="M2831" s="9">
        <v>1.2715E-4</v>
      </c>
      <c r="N2831" s="9">
        <v>1.2986000000000001E-4</v>
      </c>
      <c r="O2831" s="9">
        <v>1.4093999999999999E-4</v>
      </c>
      <c r="P2831" s="9">
        <v>1.2365999999999999E-4</v>
      </c>
      <c r="Q2831" s="9">
        <v>1.0703E-4</v>
      </c>
      <c r="R2831" s="10">
        <v>1.3800088402380847E-4</v>
      </c>
      <c r="S2831" s="10">
        <v>1.4912349714861853E-4</v>
      </c>
      <c r="T2831" s="10">
        <v>1.4525120487443989E-5</v>
      </c>
      <c r="U2831" s="10">
        <v>1.0344E-4</v>
      </c>
      <c r="V2831" s="25"/>
      <c r="W2831" s="25"/>
      <c r="X2831" s="25"/>
      <c r="Y2831" s="25"/>
      <c r="Z2831" s="25"/>
      <c r="AA2831" s="25"/>
    </row>
    <row r="2832" spans="1:27" x14ac:dyDescent="0.35">
      <c r="A2832" s="5">
        <v>2828</v>
      </c>
      <c r="B2832" s="5">
        <v>118</v>
      </c>
      <c r="C2832" s="5">
        <v>4</v>
      </c>
      <c r="D2832" s="25">
        <v>1.1415000000000001E-4</v>
      </c>
      <c r="E2832" s="25">
        <v>1.1581E-4</v>
      </c>
      <c r="F2832" s="25">
        <v>1.0605E-4</v>
      </c>
      <c r="G2832" s="25">
        <v>1.0833E-4</v>
      </c>
      <c r="H2832" s="25">
        <v>7.8200000000000003E-5</v>
      </c>
      <c r="I2832" s="9">
        <v>1.2462000000000001E-4</v>
      </c>
      <c r="J2832" s="9">
        <v>1.0195E-4</v>
      </c>
      <c r="K2832" s="9">
        <v>0</v>
      </c>
      <c r="L2832" s="9">
        <v>1.4081E-4</v>
      </c>
      <c r="M2832" s="9">
        <v>1.26E-4</v>
      </c>
      <c r="N2832" s="9">
        <v>1.2089E-4</v>
      </c>
      <c r="O2832" s="9">
        <v>1.4435000000000001E-4</v>
      </c>
      <c r="P2832" s="9">
        <v>1.2307999999999999E-4</v>
      </c>
      <c r="Q2832" s="9">
        <v>1.0255E-4</v>
      </c>
      <c r="R2832" s="10">
        <v>9.9205550707031961E-5</v>
      </c>
      <c r="S2832" s="10">
        <v>1.4046450328422463E-4</v>
      </c>
      <c r="T2832" s="10">
        <v>0</v>
      </c>
      <c r="U2832" s="10">
        <v>1.0344E-4</v>
      </c>
      <c r="V2832" s="25"/>
      <c r="W2832" s="25"/>
      <c r="X2832" s="25"/>
      <c r="Y2832" s="25"/>
      <c r="Z2832" s="25"/>
      <c r="AA2832" s="25"/>
    </row>
    <row r="2833" spans="1:27" x14ac:dyDescent="0.35">
      <c r="A2833" s="5">
        <v>2829</v>
      </c>
      <c r="B2833" s="5">
        <v>118</v>
      </c>
      <c r="C2833" s="5">
        <v>4</v>
      </c>
      <c r="D2833" s="25">
        <v>1.1416E-4</v>
      </c>
      <c r="E2833" s="25">
        <v>1.1627E-4</v>
      </c>
      <c r="F2833" s="25">
        <v>1.1635E-4</v>
      </c>
      <c r="G2833" s="25">
        <v>5.4960000000000002E-5</v>
      </c>
      <c r="H2833" s="25">
        <v>4.176E-5</v>
      </c>
      <c r="I2833" s="9">
        <v>1.2582000000000001E-4</v>
      </c>
      <c r="J2833" s="9">
        <v>1.0411E-4</v>
      </c>
      <c r="K2833" s="9">
        <v>0</v>
      </c>
      <c r="L2833" s="9">
        <v>1.4359999999999999E-4</v>
      </c>
      <c r="M2833" s="9">
        <v>1.2464999999999999E-4</v>
      </c>
      <c r="N2833" s="9">
        <v>1.1345000000000001E-4</v>
      </c>
      <c r="O2833" s="9">
        <v>8.5160000000000005E-5</v>
      </c>
      <c r="P2833" s="9">
        <v>8.6959999999999994E-5</v>
      </c>
      <c r="Q2833" s="9">
        <v>8.8980000000000005E-5</v>
      </c>
      <c r="R2833" s="10">
        <v>8.0544708511486751E-5</v>
      </c>
      <c r="S2833" s="10">
        <v>1.422111907643766E-4</v>
      </c>
      <c r="T2833" s="10">
        <v>0</v>
      </c>
      <c r="U2833" s="10">
        <v>1.0344E-4</v>
      </c>
      <c r="V2833" s="25"/>
      <c r="W2833" s="25"/>
      <c r="X2833" s="25"/>
      <c r="Y2833" s="25"/>
      <c r="Z2833" s="25"/>
      <c r="AA2833" s="25"/>
    </row>
    <row r="2834" spans="1:27" x14ac:dyDescent="0.35">
      <c r="A2834" s="5">
        <v>2830</v>
      </c>
      <c r="B2834" s="5">
        <v>118</v>
      </c>
      <c r="C2834" s="5">
        <v>4</v>
      </c>
      <c r="D2834" s="25">
        <v>1.1415000000000001E-4</v>
      </c>
      <c r="E2834" s="25">
        <v>1.1009E-4</v>
      </c>
      <c r="F2834" s="25">
        <v>1.1425999999999999E-4</v>
      </c>
      <c r="G2834" s="25">
        <v>5.7330000000000002E-5</v>
      </c>
      <c r="H2834" s="25">
        <v>4.464E-5</v>
      </c>
      <c r="I2834" s="9">
        <v>1.2744000000000001E-4</v>
      </c>
      <c r="J2834" s="9">
        <v>9.9989999999999996E-5</v>
      </c>
      <c r="K2834" s="9">
        <v>4.2400000000000001E-6</v>
      </c>
      <c r="L2834" s="9">
        <v>9.7940000000000001E-5</v>
      </c>
      <c r="M2834" s="9">
        <v>1.1071E-4</v>
      </c>
      <c r="N2834" s="9">
        <v>1.0603999999999999E-4</v>
      </c>
      <c r="O2834" s="9">
        <v>8.7620000000000005E-5</v>
      </c>
      <c r="P2834" s="9">
        <v>8.8040000000000004E-5</v>
      </c>
      <c r="Q2834" s="9">
        <v>8.8690000000000006E-5</v>
      </c>
      <c r="R2834" s="10">
        <v>8.4520668166461244E-5</v>
      </c>
      <c r="S2834" s="10">
        <v>1.4733255557037239E-4</v>
      </c>
      <c r="T2834" s="10">
        <v>0</v>
      </c>
      <c r="U2834" s="10">
        <v>1.0344E-4</v>
      </c>
      <c r="V2834" s="25"/>
      <c r="W2834" s="25"/>
      <c r="X2834" s="25"/>
      <c r="Y2834" s="25"/>
      <c r="Z2834" s="25"/>
      <c r="AA2834" s="25"/>
    </row>
    <row r="2835" spans="1:27" x14ac:dyDescent="0.35">
      <c r="A2835" s="5">
        <v>2831</v>
      </c>
      <c r="B2835" s="5">
        <v>118</v>
      </c>
      <c r="C2835" s="5">
        <v>4</v>
      </c>
      <c r="D2835" s="25">
        <v>1.1416E-4</v>
      </c>
      <c r="E2835" s="25">
        <v>1.1854E-4</v>
      </c>
      <c r="F2835" s="25">
        <v>1.0105E-4</v>
      </c>
      <c r="G2835" s="25">
        <v>6.1539999999999997E-5</v>
      </c>
      <c r="H2835" s="25">
        <v>4.46E-5</v>
      </c>
      <c r="I2835" s="9">
        <v>1.2540000000000001E-4</v>
      </c>
      <c r="J2835" s="9">
        <v>9.3869999999999994E-5</v>
      </c>
      <c r="K2835" s="9">
        <v>6.3600000000000001E-6</v>
      </c>
      <c r="L2835" s="9">
        <v>9.1160000000000001E-5</v>
      </c>
      <c r="M2835" s="9">
        <v>9.8800000000000003E-5</v>
      </c>
      <c r="N2835" s="9">
        <v>1.0028E-4</v>
      </c>
      <c r="O2835" s="9">
        <v>8.5279999999999997E-5</v>
      </c>
      <c r="P2835" s="9">
        <v>7.6199999999999995E-5</v>
      </c>
      <c r="Q2835" s="9">
        <v>6.7500000000000001E-5</v>
      </c>
      <c r="R2835" s="10">
        <v>9.9385680996607519E-5</v>
      </c>
      <c r="S2835" s="10">
        <v>1.5085557915389165E-4</v>
      </c>
      <c r="T2835" s="10">
        <v>0</v>
      </c>
      <c r="U2835" s="10">
        <v>1.0344E-4</v>
      </c>
      <c r="V2835" s="25"/>
      <c r="W2835" s="25"/>
      <c r="X2835" s="25"/>
      <c r="Y2835" s="25"/>
      <c r="Z2835" s="25"/>
      <c r="AA2835" s="25"/>
    </row>
    <row r="2836" spans="1:27" x14ac:dyDescent="0.35">
      <c r="A2836" s="5">
        <v>2832</v>
      </c>
      <c r="B2836" s="5">
        <v>118</v>
      </c>
      <c r="C2836" s="5">
        <v>4</v>
      </c>
      <c r="D2836" s="25">
        <v>1.1415000000000001E-4</v>
      </c>
      <c r="E2836" s="25">
        <v>1.1868E-4</v>
      </c>
      <c r="F2836" s="25">
        <v>9.645E-5</v>
      </c>
      <c r="G2836" s="25">
        <v>5.3390000000000002E-5</v>
      </c>
      <c r="H2836" s="25">
        <v>3.8439999999999998E-5</v>
      </c>
      <c r="I2836" s="9">
        <v>1.1883999999999999E-4</v>
      </c>
      <c r="J2836" s="9">
        <v>8.7479999999999996E-5</v>
      </c>
      <c r="K2836" s="9">
        <v>4.2389999999999999E-5</v>
      </c>
      <c r="L2836" s="9">
        <v>8.6799999999999996E-5</v>
      </c>
      <c r="M2836" s="9">
        <v>8.7860000000000002E-5</v>
      </c>
      <c r="N2836" s="9">
        <v>9.1069999999999994E-5</v>
      </c>
      <c r="O2836" s="9">
        <v>7.8949999999999995E-5</v>
      </c>
      <c r="P2836" s="9">
        <v>6.868E-5</v>
      </c>
      <c r="Q2836" s="9">
        <v>5.8789999999999998E-5</v>
      </c>
      <c r="R2836" s="10">
        <v>1.4150400131188675E-4</v>
      </c>
      <c r="S2836" s="10">
        <v>1.5776472574729623E-4</v>
      </c>
      <c r="T2836" s="10">
        <v>0</v>
      </c>
      <c r="U2836" s="10">
        <v>1.0344E-4</v>
      </c>
      <c r="V2836" s="25"/>
      <c r="W2836" s="25"/>
      <c r="X2836" s="25"/>
      <c r="Y2836" s="25"/>
      <c r="Z2836" s="25"/>
      <c r="AA2836" s="25"/>
    </row>
    <row r="2837" spans="1:27" x14ac:dyDescent="0.35">
      <c r="A2837" s="5">
        <v>2833</v>
      </c>
      <c r="B2837" s="5">
        <v>119</v>
      </c>
      <c r="C2837" s="5">
        <v>4</v>
      </c>
      <c r="D2837" s="25">
        <v>1.1416E-4</v>
      </c>
      <c r="E2837" s="25">
        <v>1.049E-4</v>
      </c>
      <c r="F2837" s="25">
        <v>1.3617999999999999E-4</v>
      </c>
      <c r="G2837" s="25">
        <v>6.0890000000000001E-5</v>
      </c>
      <c r="H2837" s="25">
        <v>1.3339999999999999E-5</v>
      </c>
      <c r="I2837" s="9">
        <v>1.1168E-4</v>
      </c>
      <c r="J2837" s="9">
        <v>8.3259999999999999E-5</v>
      </c>
      <c r="K2837" s="9">
        <v>6.5699999999999998E-5</v>
      </c>
      <c r="L2837" s="9">
        <v>8.0459999999999999E-5</v>
      </c>
      <c r="M2837" s="9">
        <v>7.8490000000000002E-5</v>
      </c>
      <c r="N2837" s="9">
        <v>8.1559999999999998E-5</v>
      </c>
      <c r="O2837" s="9">
        <v>6.8399999999999996E-5</v>
      </c>
      <c r="P2837" s="9">
        <v>6.0900000000000003E-5</v>
      </c>
      <c r="Q2837" s="9">
        <v>5.3709999999999999E-5</v>
      </c>
      <c r="R2837" s="10">
        <v>1.48756693952349E-4</v>
      </c>
      <c r="S2837" s="10">
        <v>1.5681016646005135E-4</v>
      </c>
      <c r="T2837" s="10">
        <v>0</v>
      </c>
      <c r="U2837" s="10">
        <v>1.037E-4</v>
      </c>
      <c r="V2837" s="25"/>
      <c r="W2837" s="25"/>
      <c r="X2837" s="25"/>
      <c r="Y2837" s="25"/>
      <c r="Z2837" s="25"/>
      <c r="AA2837" s="25"/>
    </row>
    <row r="2838" spans="1:27" x14ac:dyDescent="0.35">
      <c r="A2838" s="5">
        <v>2834</v>
      </c>
      <c r="B2838" s="5">
        <v>119</v>
      </c>
      <c r="C2838" s="5">
        <v>4</v>
      </c>
      <c r="D2838" s="25">
        <v>1.1415000000000001E-4</v>
      </c>
      <c r="E2838" s="25">
        <v>1.0328E-4</v>
      </c>
      <c r="F2838" s="25">
        <v>1.3053000000000001E-4</v>
      </c>
      <c r="G2838" s="25">
        <v>5.2240000000000001E-5</v>
      </c>
      <c r="H2838" s="25">
        <v>1.4070000000000001E-5</v>
      </c>
      <c r="I2838" s="9">
        <v>1.0643E-4</v>
      </c>
      <c r="J2838" s="9">
        <v>8.1180000000000005E-5</v>
      </c>
      <c r="K2838" s="9">
        <v>6.3579999999999998E-5</v>
      </c>
      <c r="L2838" s="9">
        <v>7.1210000000000004E-5</v>
      </c>
      <c r="M2838" s="9">
        <v>6.9950000000000006E-5</v>
      </c>
      <c r="N2838" s="9">
        <v>7.2399999999999998E-5</v>
      </c>
      <c r="O2838" s="9">
        <v>3.5760000000000003E-5</v>
      </c>
      <c r="P2838" s="9">
        <v>4.6260000000000001E-5</v>
      </c>
      <c r="Q2838" s="9">
        <v>5.6700000000000003E-5</v>
      </c>
      <c r="R2838" s="10">
        <v>1.4657972165644617E-4</v>
      </c>
      <c r="S2838" s="10">
        <v>1.5045333362388524E-4</v>
      </c>
      <c r="T2838" s="10">
        <v>0</v>
      </c>
      <c r="U2838" s="10">
        <v>1.037E-4</v>
      </c>
      <c r="V2838" s="25"/>
      <c r="W2838" s="25"/>
      <c r="X2838" s="25"/>
      <c r="Y2838" s="25"/>
      <c r="Z2838" s="25"/>
      <c r="AA2838" s="25"/>
    </row>
    <row r="2839" spans="1:27" x14ac:dyDescent="0.35">
      <c r="A2839" s="5">
        <v>2835</v>
      </c>
      <c r="B2839" s="5">
        <v>119</v>
      </c>
      <c r="C2839" s="5">
        <v>4</v>
      </c>
      <c r="D2839" s="25">
        <v>1.1416E-4</v>
      </c>
      <c r="E2839" s="25">
        <v>1.0572E-4</v>
      </c>
      <c r="F2839" s="25">
        <v>1.2472000000000001E-4</v>
      </c>
      <c r="G2839" s="25">
        <v>6.1729999999999993E-5</v>
      </c>
      <c r="H2839" s="25">
        <v>1.488E-5</v>
      </c>
      <c r="I2839" s="9">
        <v>1.0556E-4</v>
      </c>
      <c r="J2839" s="9">
        <v>8.0199999999999998E-5</v>
      </c>
      <c r="K2839" s="9">
        <v>6.1470000000000006E-5</v>
      </c>
      <c r="L2839" s="9">
        <v>4.3800000000000001E-5</v>
      </c>
      <c r="M2839" s="9">
        <v>5.9410000000000002E-5</v>
      </c>
      <c r="N2839" s="9">
        <v>6.5850000000000001E-5</v>
      </c>
      <c r="O2839" s="9">
        <v>2.2169999999999999E-5</v>
      </c>
      <c r="P2839" s="9">
        <v>4.1730000000000002E-5</v>
      </c>
      <c r="Q2839" s="9">
        <v>6.1039999999999998E-5</v>
      </c>
      <c r="R2839" s="10">
        <v>1.4093950406647999E-4</v>
      </c>
      <c r="S2839" s="10">
        <v>1.3931190487862641E-4</v>
      </c>
      <c r="T2839" s="10">
        <v>0</v>
      </c>
      <c r="U2839" s="10">
        <v>1.037E-4</v>
      </c>
      <c r="V2839" s="25"/>
      <c r="W2839" s="25"/>
      <c r="X2839" s="25"/>
      <c r="Y2839" s="25"/>
      <c r="Z2839" s="25"/>
      <c r="AA2839" s="25"/>
    </row>
    <row r="2840" spans="1:27" x14ac:dyDescent="0.35">
      <c r="A2840" s="5">
        <v>2836</v>
      </c>
      <c r="B2840" s="5">
        <v>119</v>
      </c>
      <c r="C2840" s="5">
        <v>4</v>
      </c>
      <c r="D2840" s="25">
        <v>1.1415000000000001E-4</v>
      </c>
      <c r="E2840" s="25">
        <v>1.092E-4</v>
      </c>
      <c r="F2840" s="25">
        <v>1.2425000000000001E-4</v>
      </c>
      <c r="G2840" s="25">
        <v>6.1569999999999995E-5</v>
      </c>
      <c r="H2840" s="25">
        <v>1.2989999999999999E-5</v>
      </c>
      <c r="I2840" s="9">
        <v>1.0745E-4</v>
      </c>
      <c r="J2840" s="9">
        <v>8.2100000000000003E-5</v>
      </c>
      <c r="K2840" s="9">
        <v>5.5109999999999999E-5</v>
      </c>
      <c r="L2840" s="9">
        <v>2.7659999999999999E-5</v>
      </c>
      <c r="M2840" s="9">
        <v>5.0519999999999997E-5</v>
      </c>
      <c r="N2840" s="9">
        <v>6.2059999999999999E-5</v>
      </c>
      <c r="O2840" s="9">
        <v>2.196E-5</v>
      </c>
      <c r="P2840" s="9">
        <v>5.1600000000000001E-5</v>
      </c>
      <c r="Q2840" s="9">
        <v>8.0840000000000005E-5</v>
      </c>
      <c r="R2840" s="10">
        <v>1.3297174303495411E-4</v>
      </c>
      <c r="S2840" s="10">
        <v>1.3491574750258575E-4</v>
      </c>
      <c r="T2840" s="10">
        <v>0</v>
      </c>
      <c r="U2840" s="10">
        <v>1.037E-4</v>
      </c>
      <c r="V2840" s="25"/>
      <c r="W2840" s="25"/>
      <c r="X2840" s="25"/>
      <c r="Y2840" s="25"/>
      <c r="Z2840" s="25"/>
      <c r="AA2840" s="25"/>
    </row>
    <row r="2841" spans="1:27" x14ac:dyDescent="0.35">
      <c r="A2841" s="5">
        <v>2837</v>
      </c>
      <c r="B2841" s="5">
        <v>119</v>
      </c>
      <c r="C2841" s="5">
        <v>4</v>
      </c>
      <c r="D2841" s="25">
        <v>1.1416E-4</v>
      </c>
      <c r="E2841" s="25">
        <v>1.1103999999999999E-4</v>
      </c>
      <c r="F2841" s="25">
        <v>1.1913000000000001E-4</v>
      </c>
      <c r="G2841" s="25">
        <v>5.9429999999999999E-5</v>
      </c>
      <c r="H2841" s="25">
        <v>1.5480000000000001E-5</v>
      </c>
      <c r="I2841" s="9">
        <v>1.1268999999999999E-4</v>
      </c>
      <c r="J2841" s="9">
        <v>8.4400000000000005E-5</v>
      </c>
      <c r="K2841" s="9">
        <v>4.6629999999999999E-5</v>
      </c>
      <c r="L2841" s="9">
        <v>2.3609999999999999E-5</v>
      </c>
      <c r="M2841" s="9">
        <v>4.8829999999999998E-5</v>
      </c>
      <c r="N2841" s="9">
        <v>6.4620000000000001E-5</v>
      </c>
      <c r="O2841" s="9">
        <v>2.3960000000000001E-5</v>
      </c>
      <c r="P2841" s="9">
        <v>5.9530000000000001E-5</v>
      </c>
      <c r="Q2841" s="9">
        <v>9.4610000000000004E-5</v>
      </c>
      <c r="R2841" s="10">
        <v>1.3298220411531571E-4</v>
      </c>
      <c r="S2841" s="10">
        <v>1.2999054472752594E-4</v>
      </c>
      <c r="T2841" s="10">
        <v>0</v>
      </c>
      <c r="U2841" s="10">
        <v>1.037E-4</v>
      </c>
      <c r="V2841" s="25"/>
      <c r="W2841" s="25"/>
      <c r="X2841" s="25"/>
      <c r="Y2841" s="25"/>
      <c r="Z2841" s="25"/>
      <c r="AA2841" s="25"/>
    </row>
    <row r="2842" spans="1:27" x14ac:dyDescent="0.35">
      <c r="A2842" s="5">
        <v>2838</v>
      </c>
      <c r="B2842" s="5">
        <v>119</v>
      </c>
      <c r="C2842" s="5">
        <v>4</v>
      </c>
      <c r="D2842" s="25">
        <v>1.1415000000000001E-4</v>
      </c>
      <c r="E2842" s="25">
        <v>1.0619E-4</v>
      </c>
      <c r="F2842" s="25">
        <v>1.2025E-4</v>
      </c>
      <c r="G2842" s="25">
        <v>1.0671E-4</v>
      </c>
      <c r="H2842" s="25">
        <v>2.6849999999999999E-5</v>
      </c>
      <c r="I2842" s="9">
        <v>1.2327E-4</v>
      </c>
      <c r="J2842" s="9">
        <v>9.2670000000000006E-5</v>
      </c>
      <c r="K2842" s="9">
        <v>4.0269999999999999E-5</v>
      </c>
      <c r="L2842" s="9">
        <v>2.3810000000000001E-5</v>
      </c>
      <c r="M2842" s="9">
        <v>5.2599999999999998E-5</v>
      </c>
      <c r="N2842" s="9">
        <v>7.1340000000000005E-5</v>
      </c>
      <c r="O2842" s="9">
        <v>2.9899999999999998E-5</v>
      </c>
      <c r="P2842" s="9">
        <v>6.8559999999999994E-5</v>
      </c>
      <c r="Q2842" s="9">
        <v>1.0671E-4</v>
      </c>
      <c r="R2842" s="10">
        <v>1.3827964428515734E-4</v>
      </c>
      <c r="S2842" s="10">
        <v>1.2560555917203169E-4</v>
      </c>
      <c r="T2842" s="10">
        <v>2.3857849772600758E-5</v>
      </c>
      <c r="U2842" s="10">
        <v>1.037E-4</v>
      </c>
      <c r="V2842" s="25"/>
      <c r="W2842" s="25"/>
      <c r="X2842" s="25"/>
      <c r="Y2842" s="25"/>
      <c r="Z2842" s="25"/>
      <c r="AA2842" s="25"/>
    </row>
    <row r="2843" spans="1:27" x14ac:dyDescent="0.35">
      <c r="A2843" s="5">
        <v>2839</v>
      </c>
      <c r="B2843" s="5">
        <v>119</v>
      </c>
      <c r="C2843" s="5">
        <v>4</v>
      </c>
      <c r="D2843" s="25">
        <v>1.1416E-4</v>
      </c>
      <c r="E2843" s="25">
        <v>1.1010000000000001E-4</v>
      </c>
      <c r="F2843" s="25">
        <v>1.2053999999999999E-4</v>
      </c>
      <c r="G2843" s="25">
        <v>1.1116999999999999E-4</v>
      </c>
      <c r="H2843" s="25">
        <v>2.8719999999999999E-5</v>
      </c>
      <c r="I2843" s="9">
        <v>1.2988E-4</v>
      </c>
      <c r="J2843" s="9">
        <v>1.0620000000000001E-4</v>
      </c>
      <c r="K2843" s="9">
        <v>2.9669999999999999E-5</v>
      </c>
      <c r="L2843" s="9">
        <v>2.845E-5</v>
      </c>
      <c r="M2843" s="9">
        <v>5.9469999999999998E-5</v>
      </c>
      <c r="N2843" s="9">
        <v>8.0929999999999999E-5</v>
      </c>
      <c r="O2843" s="9">
        <v>4.5989999999999998E-5</v>
      </c>
      <c r="P2843" s="9">
        <v>7.8949999999999995E-5</v>
      </c>
      <c r="Q2843" s="9">
        <v>1.1152E-4</v>
      </c>
      <c r="R2843" s="10">
        <v>1.4220010446156257E-4</v>
      </c>
      <c r="S2843" s="10">
        <v>1.2859285792602421E-4</v>
      </c>
      <c r="T2843" s="10">
        <v>1.342555529166552E-4</v>
      </c>
      <c r="U2843" s="10">
        <v>1.037E-4</v>
      </c>
      <c r="V2843" s="25"/>
      <c r="W2843" s="25"/>
      <c r="X2843" s="25"/>
      <c r="Y2843" s="25"/>
      <c r="Z2843" s="25"/>
      <c r="AA2843" s="25"/>
    </row>
    <row r="2844" spans="1:27" x14ac:dyDescent="0.35">
      <c r="A2844" s="5">
        <v>2840</v>
      </c>
      <c r="B2844" s="5">
        <v>119</v>
      </c>
      <c r="C2844" s="5">
        <v>4</v>
      </c>
      <c r="D2844" s="25">
        <v>1.1415000000000001E-4</v>
      </c>
      <c r="E2844" s="25">
        <v>1.083E-4</v>
      </c>
      <c r="F2844" s="25">
        <v>1.2519000000000001E-4</v>
      </c>
      <c r="G2844" s="25">
        <v>1.5957999999999999E-4</v>
      </c>
      <c r="H2844" s="25">
        <v>4.0420000000000003E-5</v>
      </c>
      <c r="I2844" s="9">
        <v>1.3221000000000001E-4</v>
      </c>
      <c r="J2844" s="9">
        <v>1.1594E-4</v>
      </c>
      <c r="K2844" s="9">
        <v>2.968E-5</v>
      </c>
      <c r="L2844" s="9">
        <v>4.1990000000000003E-5</v>
      </c>
      <c r="M2844" s="9">
        <v>6.8200000000000004E-5</v>
      </c>
      <c r="N2844" s="9">
        <v>9.0779999999999995E-5</v>
      </c>
      <c r="O2844" s="9">
        <v>6.8490000000000003E-5</v>
      </c>
      <c r="P2844" s="9">
        <v>1.03E-4</v>
      </c>
      <c r="Q2844" s="9">
        <v>1.3715E-4</v>
      </c>
      <c r="R2844" s="10">
        <v>1.4166904292887836E-4</v>
      </c>
      <c r="S2844" s="10">
        <v>1.4803634806913056E-4</v>
      </c>
      <c r="T2844" s="10">
        <v>2.8415615383497317E-4</v>
      </c>
      <c r="U2844" s="10">
        <v>1.037E-4</v>
      </c>
      <c r="V2844" s="25"/>
      <c r="W2844" s="25"/>
      <c r="X2844" s="25"/>
      <c r="Y2844" s="25"/>
      <c r="Z2844" s="25"/>
      <c r="AA2844" s="25"/>
    </row>
    <row r="2845" spans="1:27" x14ac:dyDescent="0.35">
      <c r="A2845" s="5">
        <v>2841</v>
      </c>
      <c r="B2845" s="5">
        <v>119</v>
      </c>
      <c r="C2845" s="5">
        <v>4</v>
      </c>
      <c r="D2845" s="25">
        <v>1.1416E-4</v>
      </c>
      <c r="E2845" s="25">
        <v>1.1266E-4</v>
      </c>
      <c r="F2845" s="25">
        <v>1.3456000000000001E-4</v>
      </c>
      <c r="G2845" s="25">
        <v>1.5812000000000001E-4</v>
      </c>
      <c r="H2845" s="25">
        <v>4.0880000000000002E-5</v>
      </c>
      <c r="I2845" s="9">
        <v>1.3381999999999999E-4</v>
      </c>
      <c r="J2845" s="9">
        <v>1.1981000000000001E-4</v>
      </c>
      <c r="K2845" s="9">
        <v>8.4800000000000001E-6</v>
      </c>
      <c r="L2845" s="9">
        <v>6.2299999999999996E-5</v>
      </c>
      <c r="M2845" s="9">
        <v>8.2890000000000001E-5</v>
      </c>
      <c r="N2845" s="9">
        <v>1.0459999999999999E-4</v>
      </c>
      <c r="O2845" s="9">
        <v>9.8659999999999994E-5</v>
      </c>
      <c r="P2845" s="9">
        <v>1.3705E-4</v>
      </c>
      <c r="Q2845" s="9">
        <v>1.7511E-4</v>
      </c>
      <c r="R2845" s="10">
        <v>1.1257590972157822E-4</v>
      </c>
      <c r="S2845" s="10">
        <v>1.6915603895199867E-4</v>
      </c>
      <c r="T2845" s="10">
        <v>4.1508586140637249E-4</v>
      </c>
      <c r="U2845" s="10">
        <v>1.037E-4</v>
      </c>
      <c r="V2845" s="25"/>
      <c r="W2845" s="25"/>
      <c r="X2845" s="25"/>
      <c r="Y2845" s="25"/>
      <c r="Z2845" s="25"/>
      <c r="AA2845" s="25"/>
    </row>
    <row r="2846" spans="1:27" x14ac:dyDescent="0.35">
      <c r="A2846" s="5">
        <v>2842</v>
      </c>
      <c r="B2846" s="5">
        <v>119</v>
      </c>
      <c r="C2846" s="5">
        <v>4</v>
      </c>
      <c r="D2846" s="25">
        <v>1.1415000000000001E-4</v>
      </c>
      <c r="E2846" s="25">
        <v>1.0993E-4</v>
      </c>
      <c r="F2846" s="25">
        <v>1.3568E-4</v>
      </c>
      <c r="G2846" s="25">
        <v>1.6464999999999999E-4</v>
      </c>
      <c r="H2846" s="25">
        <v>4.036E-5</v>
      </c>
      <c r="I2846" s="9">
        <v>1.3362000000000001E-4</v>
      </c>
      <c r="J2846" s="9">
        <v>1.2095E-4</v>
      </c>
      <c r="K2846" s="9">
        <v>0</v>
      </c>
      <c r="L2846" s="9">
        <v>9.0130000000000006E-5</v>
      </c>
      <c r="M2846" s="9">
        <v>1.0611E-4</v>
      </c>
      <c r="N2846" s="9">
        <v>1.2418999999999999E-4</v>
      </c>
      <c r="O2846" s="9">
        <v>1.2917000000000001E-4</v>
      </c>
      <c r="P2846" s="9">
        <v>1.5632999999999999E-4</v>
      </c>
      <c r="Q2846" s="9">
        <v>1.8343E-4</v>
      </c>
      <c r="R2846" s="10">
        <v>9.6884352139025516E-5</v>
      </c>
      <c r="S2846" s="10">
        <v>1.7812081637481902E-4</v>
      </c>
      <c r="T2846" s="10">
        <v>5.696867641646695E-4</v>
      </c>
      <c r="U2846" s="10">
        <v>1.037E-4</v>
      </c>
      <c r="V2846" s="25"/>
      <c r="W2846" s="25"/>
      <c r="X2846" s="25"/>
      <c r="Y2846" s="25"/>
      <c r="Z2846" s="25"/>
      <c r="AA2846" s="25"/>
    </row>
    <row r="2847" spans="1:27" x14ac:dyDescent="0.35">
      <c r="A2847" s="5">
        <v>2843</v>
      </c>
      <c r="B2847" s="5">
        <v>119</v>
      </c>
      <c r="C2847" s="5">
        <v>4</v>
      </c>
      <c r="D2847" s="25">
        <v>1.1416E-4</v>
      </c>
      <c r="E2847" s="25">
        <v>1.0351E-4</v>
      </c>
      <c r="F2847" s="25">
        <v>1.3341000000000001E-4</v>
      </c>
      <c r="G2847" s="25">
        <v>1.6674999999999999E-4</v>
      </c>
      <c r="H2847" s="25">
        <v>4.1050000000000002E-5</v>
      </c>
      <c r="I2847" s="9">
        <v>1.3676000000000001E-4</v>
      </c>
      <c r="J2847" s="9">
        <v>1.2222000000000001E-4</v>
      </c>
      <c r="K2847" s="9">
        <v>0</v>
      </c>
      <c r="L2847" s="9">
        <v>1.1989000000000001E-4</v>
      </c>
      <c r="M2847" s="9">
        <v>1.3004E-4</v>
      </c>
      <c r="N2847" s="9">
        <v>1.4254E-4</v>
      </c>
      <c r="O2847" s="9">
        <v>1.3711999999999999E-4</v>
      </c>
      <c r="P2847" s="9">
        <v>1.5872E-4</v>
      </c>
      <c r="Q2847" s="9">
        <v>1.8034999999999999E-4</v>
      </c>
      <c r="R2847" s="10">
        <v>1.109281849772679E-4</v>
      </c>
      <c r="S2847" s="10">
        <v>1.8621684656228927E-4</v>
      </c>
      <c r="T2847" s="10">
        <v>4.9388803377049622E-4</v>
      </c>
      <c r="U2847" s="10">
        <v>1.037E-4</v>
      </c>
      <c r="V2847" s="25"/>
      <c r="W2847" s="25"/>
      <c r="X2847" s="25"/>
      <c r="Y2847" s="25"/>
      <c r="Z2847" s="25"/>
      <c r="AA2847" s="25"/>
    </row>
    <row r="2848" spans="1:27" x14ac:dyDescent="0.35">
      <c r="A2848" s="5">
        <v>2844</v>
      </c>
      <c r="B2848" s="5">
        <v>119</v>
      </c>
      <c r="C2848" s="5">
        <v>4</v>
      </c>
      <c r="D2848" s="25">
        <v>1.1415000000000001E-4</v>
      </c>
      <c r="E2848" s="25">
        <v>1.1340000000000001E-4</v>
      </c>
      <c r="F2848" s="25">
        <v>1.3344E-4</v>
      </c>
      <c r="G2848" s="25">
        <v>1.5688E-4</v>
      </c>
      <c r="H2848" s="25">
        <v>3.9329999999999998E-5</v>
      </c>
      <c r="I2848" s="9">
        <v>1.3234E-4</v>
      </c>
      <c r="J2848" s="9">
        <v>1.2208999999999999E-4</v>
      </c>
      <c r="K2848" s="9">
        <v>0</v>
      </c>
      <c r="L2848" s="9">
        <v>1.3263000000000001E-4</v>
      </c>
      <c r="M2848" s="9">
        <v>1.4605999999999999E-4</v>
      </c>
      <c r="N2848" s="9">
        <v>1.5684E-4</v>
      </c>
      <c r="O2848" s="9">
        <v>1.3805999999999999E-4</v>
      </c>
      <c r="P2848" s="9">
        <v>1.5619000000000001E-4</v>
      </c>
      <c r="Q2848" s="9">
        <v>1.7442E-4</v>
      </c>
      <c r="R2848" s="10">
        <v>1.1449424198625256E-4</v>
      </c>
      <c r="S2848" s="10">
        <v>1.8876761893455978E-4</v>
      </c>
      <c r="T2848" s="10">
        <v>2.9571176954986729E-4</v>
      </c>
      <c r="U2848" s="10">
        <v>1.037E-4</v>
      </c>
      <c r="V2848" s="25"/>
      <c r="W2848" s="25"/>
      <c r="X2848" s="25"/>
      <c r="Y2848" s="25"/>
      <c r="Z2848" s="25"/>
      <c r="AA2848" s="25"/>
    </row>
    <row r="2849" spans="1:27" x14ac:dyDescent="0.35">
      <c r="A2849" s="5">
        <v>2845</v>
      </c>
      <c r="B2849" s="5">
        <v>119</v>
      </c>
      <c r="C2849" s="5">
        <v>4</v>
      </c>
      <c r="D2849" s="25">
        <v>1.1416E-4</v>
      </c>
      <c r="E2849" s="25">
        <v>1.1201000000000001E-4</v>
      </c>
      <c r="F2849" s="25">
        <v>1.2867999999999999E-4</v>
      </c>
      <c r="G2849" s="25">
        <v>1.5918E-4</v>
      </c>
      <c r="H2849" s="25">
        <v>4.0460000000000002E-5</v>
      </c>
      <c r="I2849" s="9">
        <v>1.3218999999999999E-4</v>
      </c>
      <c r="J2849" s="9">
        <v>1.2165E-4</v>
      </c>
      <c r="K2849" s="9">
        <v>0</v>
      </c>
      <c r="L2849" s="9">
        <v>1.3668999999999999E-4</v>
      </c>
      <c r="M2849" s="9">
        <v>1.5315000000000001E-4</v>
      </c>
      <c r="N2849" s="9">
        <v>1.6641E-4</v>
      </c>
      <c r="O2849" s="9">
        <v>1.2825E-4</v>
      </c>
      <c r="P2849" s="9">
        <v>1.4690999999999999E-4</v>
      </c>
      <c r="Q2849" s="9">
        <v>1.6563999999999999E-4</v>
      </c>
      <c r="R2849" s="10">
        <v>1.5906840662015647E-4</v>
      </c>
      <c r="S2849" s="10">
        <v>1.8956049964217406E-4</v>
      </c>
      <c r="T2849" s="10">
        <v>1.6110836035985624E-4</v>
      </c>
      <c r="U2849" s="10">
        <v>1.037E-4</v>
      </c>
      <c r="V2849" s="25"/>
      <c r="W2849" s="25"/>
      <c r="X2849" s="25"/>
      <c r="Y2849" s="25"/>
      <c r="Z2849" s="25"/>
      <c r="AA2849" s="25"/>
    </row>
    <row r="2850" spans="1:27" x14ac:dyDescent="0.35">
      <c r="A2850" s="5">
        <v>2846</v>
      </c>
      <c r="B2850" s="5">
        <v>119</v>
      </c>
      <c r="C2850" s="5">
        <v>4</v>
      </c>
      <c r="D2850" s="25">
        <v>1.1415000000000001E-4</v>
      </c>
      <c r="E2850" s="25">
        <v>1.122E-4</v>
      </c>
      <c r="F2850" s="25">
        <v>1.3365E-4</v>
      </c>
      <c r="G2850" s="25">
        <v>1.6330000000000001E-4</v>
      </c>
      <c r="H2850" s="25">
        <v>4.087E-5</v>
      </c>
      <c r="I2850" s="9">
        <v>1.3119999999999999E-4</v>
      </c>
      <c r="J2850" s="9">
        <v>1.2081E-4</v>
      </c>
      <c r="K2850" s="9">
        <v>0</v>
      </c>
      <c r="L2850" s="9">
        <v>1.3019E-4</v>
      </c>
      <c r="M2850" s="9">
        <v>1.5223999999999999E-4</v>
      </c>
      <c r="N2850" s="9">
        <v>1.7034E-4</v>
      </c>
      <c r="O2850" s="9">
        <v>1.1156E-4</v>
      </c>
      <c r="P2850" s="9">
        <v>1.3574999999999999E-4</v>
      </c>
      <c r="Q2850" s="9">
        <v>1.5986E-4</v>
      </c>
      <c r="R2850" s="10">
        <v>1.8777583991654907E-4</v>
      </c>
      <c r="S2850" s="10">
        <v>1.9011019280900057E-4</v>
      </c>
      <c r="T2850" s="10">
        <v>4.1358414042139726E-4</v>
      </c>
      <c r="U2850" s="10">
        <v>1.037E-4</v>
      </c>
      <c r="V2850" s="25"/>
      <c r="W2850" s="25"/>
      <c r="X2850" s="25"/>
      <c r="Y2850" s="25"/>
      <c r="Z2850" s="25"/>
      <c r="AA2850" s="25"/>
    </row>
    <row r="2851" spans="1:27" x14ac:dyDescent="0.35">
      <c r="A2851" s="5">
        <v>2847</v>
      </c>
      <c r="B2851" s="5">
        <v>119</v>
      </c>
      <c r="C2851" s="5">
        <v>4</v>
      </c>
      <c r="D2851" s="25">
        <v>1.1416E-4</v>
      </c>
      <c r="E2851" s="25">
        <v>1.0908000000000001E-4</v>
      </c>
      <c r="F2851" s="25">
        <v>1.3124E-4</v>
      </c>
      <c r="G2851" s="25">
        <v>1.6102E-4</v>
      </c>
      <c r="H2851" s="25">
        <v>3.8810000000000003E-5</v>
      </c>
      <c r="I2851" s="9">
        <v>1.3081E-4</v>
      </c>
      <c r="J2851" s="9">
        <v>1.2038E-4</v>
      </c>
      <c r="K2851" s="9">
        <v>0</v>
      </c>
      <c r="L2851" s="9">
        <v>1.159E-4</v>
      </c>
      <c r="M2851" s="9">
        <v>1.4578E-4</v>
      </c>
      <c r="N2851" s="9">
        <v>1.6969000000000001E-4</v>
      </c>
      <c r="O2851" s="9">
        <v>1.2656000000000001E-4</v>
      </c>
      <c r="P2851" s="9">
        <v>1.3934E-4</v>
      </c>
      <c r="Q2851" s="9">
        <v>1.5227E-4</v>
      </c>
      <c r="R2851" s="10">
        <v>1.8957978476896598E-4</v>
      </c>
      <c r="S2851" s="10">
        <v>1.9017669342266051E-4</v>
      </c>
      <c r="T2851" s="10">
        <v>3.0148109310796419E-4</v>
      </c>
      <c r="U2851" s="10">
        <v>1.037E-4</v>
      </c>
      <c r="V2851" s="25"/>
      <c r="W2851" s="25"/>
      <c r="X2851" s="25"/>
      <c r="Y2851" s="25"/>
      <c r="Z2851" s="25"/>
      <c r="AA2851" s="25"/>
    </row>
    <row r="2852" spans="1:27" x14ac:dyDescent="0.35">
      <c r="A2852" s="5">
        <v>2848</v>
      </c>
      <c r="B2852" s="5">
        <v>119</v>
      </c>
      <c r="C2852" s="5">
        <v>4</v>
      </c>
      <c r="D2852" s="25">
        <v>1.1415000000000001E-4</v>
      </c>
      <c r="E2852" s="25">
        <v>1.0739E-4</v>
      </c>
      <c r="F2852" s="25">
        <v>1.2861E-4</v>
      </c>
      <c r="G2852" s="25">
        <v>1.6600999999999999E-4</v>
      </c>
      <c r="H2852" s="25">
        <v>4.1600000000000002E-5</v>
      </c>
      <c r="I2852" s="9">
        <v>1.2968999999999999E-4</v>
      </c>
      <c r="J2852" s="9">
        <v>1.1988E-4</v>
      </c>
      <c r="K2852" s="9">
        <v>0</v>
      </c>
      <c r="L2852" s="9">
        <v>1.2462000000000001E-4</v>
      </c>
      <c r="M2852" s="9">
        <v>1.4169000000000001E-4</v>
      </c>
      <c r="N2852" s="9">
        <v>1.6572000000000001E-4</v>
      </c>
      <c r="O2852" s="9">
        <v>1.3399000000000001E-4</v>
      </c>
      <c r="P2852" s="9">
        <v>1.2174E-4</v>
      </c>
      <c r="Q2852" s="9">
        <v>1.1004E-4</v>
      </c>
      <c r="R2852" s="10">
        <v>1.776370062742951E-4</v>
      </c>
      <c r="S2852" s="10">
        <v>1.9020922190986987E-4</v>
      </c>
      <c r="T2852" s="10">
        <v>1.0014018522973212E-4</v>
      </c>
      <c r="U2852" s="10">
        <v>1.037E-4</v>
      </c>
      <c r="V2852" s="25"/>
      <c r="W2852" s="25"/>
      <c r="X2852" s="25"/>
      <c r="Y2852" s="25"/>
      <c r="Z2852" s="25"/>
      <c r="AA2852" s="25"/>
    </row>
    <row r="2853" spans="1:27" x14ac:dyDescent="0.35">
      <c r="A2853" s="5">
        <v>2849</v>
      </c>
      <c r="B2853" s="5">
        <v>119</v>
      </c>
      <c r="C2853" s="5">
        <v>4</v>
      </c>
      <c r="D2853" s="25">
        <v>1.1416E-4</v>
      </c>
      <c r="E2853" s="25">
        <v>1.0835E-4</v>
      </c>
      <c r="F2853" s="25">
        <v>1.2019999999999999E-4</v>
      </c>
      <c r="G2853" s="25">
        <v>1.5704E-4</v>
      </c>
      <c r="H2853" s="25">
        <v>4.0710000000000002E-5</v>
      </c>
      <c r="I2853" s="9">
        <v>1.2983999999999999E-4</v>
      </c>
      <c r="J2853" s="9">
        <v>1.1962E-4</v>
      </c>
      <c r="K2853" s="9">
        <v>0</v>
      </c>
      <c r="L2853" s="9">
        <v>1.3164000000000001E-4</v>
      </c>
      <c r="M2853" s="9">
        <v>1.3362000000000001E-4</v>
      </c>
      <c r="N2853" s="9">
        <v>1.5207E-4</v>
      </c>
      <c r="O2853" s="9">
        <v>1.3904E-4</v>
      </c>
      <c r="P2853" s="9">
        <v>1.225E-4</v>
      </c>
      <c r="Q2853" s="9">
        <v>1.0661E-4</v>
      </c>
      <c r="R2853" s="10">
        <v>1.7221342175735051E-4</v>
      </c>
      <c r="S2853" s="10">
        <v>1.8876248552896982E-4</v>
      </c>
      <c r="T2853" s="10">
        <v>4.7376327571195817E-5</v>
      </c>
      <c r="U2853" s="10">
        <v>1.037E-4</v>
      </c>
      <c r="V2853" s="25"/>
      <c r="W2853" s="25"/>
      <c r="X2853" s="25"/>
      <c r="Y2853" s="25"/>
      <c r="Z2853" s="25"/>
      <c r="AA2853" s="25"/>
    </row>
    <row r="2854" spans="1:27" x14ac:dyDescent="0.35">
      <c r="A2854" s="5">
        <v>2850</v>
      </c>
      <c r="B2854" s="5">
        <v>119</v>
      </c>
      <c r="C2854" s="5">
        <v>4</v>
      </c>
      <c r="D2854" s="25">
        <v>1.1415000000000001E-4</v>
      </c>
      <c r="E2854" s="25">
        <v>1.0533E-4</v>
      </c>
      <c r="F2854" s="25">
        <v>1.1923E-4</v>
      </c>
      <c r="G2854" s="25">
        <v>1.6451000000000001E-4</v>
      </c>
      <c r="H2854" s="25">
        <v>4.0429999999999997E-5</v>
      </c>
      <c r="I2854" s="9">
        <v>1.2769999999999999E-4</v>
      </c>
      <c r="J2854" s="9">
        <v>1.1605E-4</v>
      </c>
      <c r="K2854" s="9">
        <v>0</v>
      </c>
      <c r="L2854" s="9">
        <v>1.3710999999999999E-4</v>
      </c>
      <c r="M2854" s="9">
        <v>1.2757999999999999E-4</v>
      </c>
      <c r="N2854" s="9">
        <v>1.3866E-4</v>
      </c>
      <c r="O2854" s="9">
        <v>1.4002E-4</v>
      </c>
      <c r="P2854" s="9">
        <v>1.2842999999999999E-4</v>
      </c>
      <c r="Q2854" s="9">
        <v>1.1741E-4</v>
      </c>
      <c r="R2854" s="10">
        <v>1.6333031102865091E-4</v>
      </c>
      <c r="S2854" s="10">
        <v>1.6947762912106643E-4</v>
      </c>
      <c r="T2854" s="10">
        <v>5.2500844378681899E-5</v>
      </c>
      <c r="U2854" s="10">
        <v>1.037E-4</v>
      </c>
      <c r="V2854" s="25"/>
      <c r="W2854" s="25"/>
      <c r="X2854" s="25"/>
      <c r="Y2854" s="25"/>
      <c r="Z2854" s="25"/>
      <c r="AA2854" s="25"/>
    </row>
    <row r="2855" spans="1:27" x14ac:dyDescent="0.35">
      <c r="A2855" s="5">
        <v>2851</v>
      </c>
      <c r="B2855" s="5">
        <v>119</v>
      </c>
      <c r="C2855" s="5">
        <v>4</v>
      </c>
      <c r="D2855" s="25">
        <v>1.1416E-4</v>
      </c>
      <c r="E2855" s="25">
        <v>1.0343E-4</v>
      </c>
      <c r="F2855" s="25">
        <v>1.2745000000000001E-4</v>
      </c>
      <c r="G2855" s="25">
        <v>1.0969E-4</v>
      </c>
      <c r="H2855" s="25">
        <v>2.65E-5</v>
      </c>
      <c r="I2855" s="9">
        <v>1.2313999999999999E-4</v>
      </c>
      <c r="J2855" s="9">
        <v>1.1436E-4</v>
      </c>
      <c r="K2855" s="9">
        <v>8.4800000000000001E-6</v>
      </c>
      <c r="L2855" s="9">
        <v>1.393E-4</v>
      </c>
      <c r="M2855" s="9">
        <v>1.2648E-4</v>
      </c>
      <c r="N2855" s="9">
        <v>1.2965000000000001E-4</v>
      </c>
      <c r="O2855" s="9">
        <v>1.4077E-4</v>
      </c>
      <c r="P2855" s="9">
        <v>1.2349999999999999E-4</v>
      </c>
      <c r="Q2855" s="9">
        <v>1.069E-4</v>
      </c>
      <c r="R2855" s="10">
        <v>1.3789101739372544E-4</v>
      </c>
      <c r="S2855" s="10">
        <v>1.3454306705631215E-4</v>
      </c>
      <c r="T2855" s="10">
        <v>0</v>
      </c>
      <c r="U2855" s="10">
        <v>1.037E-4</v>
      </c>
      <c r="V2855" s="25"/>
      <c r="W2855" s="25"/>
      <c r="X2855" s="25"/>
      <c r="Y2855" s="25"/>
      <c r="Z2855" s="25"/>
      <c r="AA2855" s="25"/>
    </row>
    <row r="2856" spans="1:27" x14ac:dyDescent="0.35">
      <c r="A2856" s="5">
        <v>2852</v>
      </c>
      <c r="B2856" s="5">
        <v>119</v>
      </c>
      <c r="C2856" s="5">
        <v>4</v>
      </c>
      <c r="D2856" s="25">
        <v>1.1415000000000001E-4</v>
      </c>
      <c r="E2856" s="25">
        <v>1.0807E-4</v>
      </c>
      <c r="F2856" s="25">
        <v>1.3583000000000001E-4</v>
      </c>
      <c r="G2856" s="25">
        <v>1.0552000000000001E-4</v>
      </c>
      <c r="H2856" s="25">
        <v>2.8119999999999998E-5</v>
      </c>
      <c r="I2856" s="9">
        <v>1.2141E-4</v>
      </c>
      <c r="J2856" s="9">
        <v>1.1285000000000001E-4</v>
      </c>
      <c r="K2856" s="9">
        <v>3.6029999999999999E-5</v>
      </c>
      <c r="L2856" s="9">
        <v>1.4043000000000001E-4</v>
      </c>
      <c r="M2856" s="9">
        <v>1.2540000000000001E-4</v>
      </c>
      <c r="N2856" s="9">
        <v>1.2061999999999999E-4</v>
      </c>
      <c r="O2856" s="9">
        <v>1.4376999999999999E-4</v>
      </c>
      <c r="P2856" s="9">
        <v>1.2259E-4</v>
      </c>
      <c r="Q2856" s="9">
        <v>1.0213999999999999E-4</v>
      </c>
      <c r="R2856" s="10">
        <v>1.2442137259229523E-4</v>
      </c>
      <c r="S2856" s="10">
        <v>1.0336264245995229E-4</v>
      </c>
      <c r="T2856" s="10">
        <v>0</v>
      </c>
      <c r="U2856" s="10">
        <v>1.037E-4</v>
      </c>
      <c r="V2856" s="25"/>
      <c r="W2856" s="25"/>
      <c r="X2856" s="25"/>
      <c r="Y2856" s="25"/>
      <c r="Z2856" s="25"/>
      <c r="AA2856" s="25"/>
    </row>
    <row r="2857" spans="1:27" x14ac:dyDescent="0.35">
      <c r="A2857" s="5">
        <v>2853</v>
      </c>
      <c r="B2857" s="5">
        <v>119</v>
      </c>
      <c r="C2857" s="5">
        <v>4</v>
      </c>
      <c r="D2857" s="25">
        <v>1.1416E-4</v>
      </c>
      <c r="E2857" s="25">
        <v>1.091E-4</v>
      </c>
      <c r="F2857" s="25">
        <v>1.3554999999999999E-4</v>
      </c>
      <c r="G2857" s="25">
        <v>5.4039999999999998E-5</v>
      </c>
      <c r="H2857" s="25">
        <v>1.454E-5</v>
      </c>
      <c r="I2857" s="9">
        <v>1.2297999999999999E-4</v>
      </c>
      <c r="J2857" s="9">
        <v>1.1375E-4</v>
      </c>
      <c r="K2857" s="9">
        <v>3.18E-5</v>
      </c>
      <c r="L2857" s="9">
        <v>1.4304000000000001E-4</v>
      </c>
      <c r="M2857" s="9">
        <v>1.2413999999999999E-4</v>
      </c>
      <c r="N2857" s="9">
        <v>1.1307999999999999E-4</v>
      </c>
      <c r="O2857" s="9">
        <v>8.4989999999999998E-5</v>
      </c>
      <c r="P2857" s="9">
        <v>8.6790000000000001E-5</v>
      </c>
      <c r="Q2857" s="9">
        <v>8.8800000000000004E-5</v>
      </c>
      <c r="R2857" s="10">
        <v>1.0436423218953388E-4</v>
      </c>
      <c r="S2857" s="10">
        <v>7.9514754797932637E-5</v>
      </c>
      <c r="T2857" s="10">
        <v>0</v>
      </c>
      <c r="U2857" s="10">
        <v>1.037E-4</v>
      </c>
      <c r="V2857" s="25"/>
      <c r="W2857" s="25"/>
      <c r="X2857" s="25"/>
      <c r="Y2857" s="25"/>
      <c r="Z2857" s="25"/>
      <c r="AA2857" s="25"/>
    </row>
    <row r="2858" spans="1:27" x14ac:dyDescent="0.35">
      <c r="A2858" s="5">
        <v>2854</v>
      </c>
      <c r="B2858" s="5">
        <v>119</v>
      </c>
      <c r="C2858" s="5">
        <v>4</v>
      </c>
      <c r="D2858" s="25">
        <v>1.1415000000000001E-4</v>
      </c>
      <c r="E2858" s="25">
        <v>1.136E-4</v>
      </c>
      <c r="F2858" s="25">
        <v>1.1838E-4</v>
      </c>
      <c r="G2858" s="25">
        <v>5.9219999999999999E-5</v>
      </c>
      <c r="H2858" s="25">
        <v>1.432E-5</v>
      </c>
      <c r="I2858" s="9">
        <v>1.2449999999999999E-4</v>
      </c>
      <c r="J2858" s="9">
        <v>1.0731E-4</v>
      </c>
      <c r="K2858" s="9">
        <v>7.2059999999999998E-5</v>
      </c>
      <c r="L2858" s="9">
        <v>9.7689999999999995E-5</v>
      </c>
      <c r="M2858" s="9">
        <v>1.1033E-4</v>
      </c>
      <c r="N2858" s="9">
        <v>1.0565000000000001E-4</v>
      </c>
      <c r="O2858" s="9">
        <v>8.6580000000000001E-5</v>
      </c>
      <c r="P2858" s="9">
        <v>8.6990000000000006E-5</v>
      </c>
      <c r="Q2858" s="9">
        <v>8.763E-5</v>
      </c>
      <c r="R2858" s="10">
        <v>9.121125805160098E-5</v>
      </c>
      <c r="S2858" s="10">
        <v>7.0117870596779068E-5</v>
      </c>
      <c r="T2858" s="10">
        <v>0</v>
      </c>
      <c r="U2858" s="10">
        <v>1.037E-4</v>
      </c>
      <c r="V2858" s="25"/>
      <c r="W2858" s="25"/>
      <c r="X2858" s="25"/>
      <c r="Y2858" s="25"/>
      <c r="Z2858" s="25"/>
      <c r="AA2858" s="25"/>
    </row>
    <row r="2859" spans="1:27" x14ac:dyDescent="0.35">
      <c r="A2859" s="5">
        <v>2855</v>
      </c>
      <c r="B2859" s="5">
        <v>119</v>
      </c>
      <c r="C2859" s="5">
        <v>4</v>
      </c>
      <c r="D2859" s="25">
        <v>1.1416E-4</v>
      </c>
      <c r="E2859" s="25">
        <v>1.125E-4</v>
      </c>
      <c r="F2859" s="25">
        <v>1.2879999999999999E-4</v>
      </c>
      <c r="G2859" s="25">
        <v>6.3410000000000004E-5</v>
      </c>
      <c r="H2859" s="25">
        <v>1.362E-5</v>
      </c>
      <c r="I2859" s="9">
        <v>1.2294000000000001E-4</v>
      </c>
      <c r="J2859" s="9">
        <v>9.9560000000000002E-5</v>
      </c>
      <c r="K2859" s="9">
        <v>8.4770000000000003E-5</v>
      </c>
      <c r="L2859" s="9">
        <v>9.0279999999999996E-5</v>
      </c>
      <c r="M2859" s="9">
        <v>9.8209999999999997E-5</v>
      </c>
      <c r="N2859" s="9">
        <v>9.9749999999999999E-5</v>
      </c>
      <c r="O2859" s="9">
        <v>8.4900000000000004E-5</v>
      </c>
      <c r="P2859" s="9">
        <v>7.5859999999999995E-5</v>
      </c>
      <c r="Q2859" s="9">
        <v>6.7199999999999994E-5</v>
      </c>
      <c r="R2859" s="10">
        <v>9.6027146108420265E-5</v>
      </c>
      <c r="S2859" s="10">
        <v>7.2257758879287477E-5</v>
      </c>
      <c r="T2859" s="10">
        <v>0</v>
      </c>
      <c r="U2859" s="10">
        <v>1.037E-4</v>
      </c>
      <c r="V2859" s="25"/>
      <c r="W2859" s="25"/>
      <c r="X2859" s="25"/>
      <c r="Y2859" s="25"/>
      <c r="Z2859" s="25"/>
      <c r="AA2859" s="25"/>
    </row>
    <row r="2860" spans="1:27" x14ac:dyDescent="0.35">
      <c r="A2860" s="5">
        <v>2856</v>
      </c>
      <c r="B2860" s="5">
        <v>119</v>
      </c>
      <c r="C2860" s="5">
        <v>4</v>
      </c>
      <c r="D2860" s="25">
        <v>1.1415000000000001E-4</v>
      </c>
      <c r="E2860" s="25">
        <v>1.0786E-4</v>
      </c>
      <c r="F2860" s="25">
        <v>1.1972999999999999E-4</v>
      </c>
      <c r="G2860" s="25">
        <v>5.9249999999999997E-5</v>
      </c>
      <c r="H2860" s="25">
        <v>1.3570000000000001E-5</v>
      </c>
      <c r="I2860" s="9">
        <v>1.1455000000000001E-4</v>
      </c>
      <c r="J2860" s="9">
        <v>9.1650000000000005E-5</v>
      </c>
      <c r="K2860" s="9">
        <v>9.1130000000000003E-5</v>
      </c>
      <c r="L2860" s="9">
        <v>8.6329999999999995E-5</v>
      </c>
      <c r="M2860" s="9">
        <v>8.7299999999999994E-5</v>
      </c>
      <c r="N2860" s="9">
        <v>9.0569999999999995E-5</v>
      </c>
      <c r="O2860" s="9">
        <v>7.9369999999999994E-5</v>
      </c>
      <c r="P2860" s="9">
        <v>6.9049999999999998E-5</v>
      </c>
      <c r="Q2860" s="9">
        <v>5.91E-5</v>
      </c>
      <c r="R2860" s="10">
        <v>9.7409734512611488E-5</v>
      </c>
      <c r="S2860" s="10">
        <v>1.0720740472440809E-4</v>
      </c>
      <c r="T2860" s="10">
        <v>0</v>
      </c>
      <c r="U2860" s="10">
        <v>1.037E-4</v>
      </c>
      <c r="V2860" s="25"/>
      <c r="W2860" s="25"/>
      <c r="X2860" s="25"/>
      <c r="Y2860" s="25"/>
      <c r="Z2860" s="25"/>
      <c r="AA2860" s="25"/>
    </row>
    <row r="2861" spans="1:27" x14ac:dyDescent="0.35">
      <c r="A2861" s="5">
        <v>2857</v>
      </c>
      <c r="B2861" s="5">
        <v>120</v>
      </c>
      <c r="C2861" s="5">
        <v>4</v>
      </c>
      <c r="D2861" s="25">
        <v>1.1416E-4</v>
      </c>
      <c r="E2861" s="25">
        <v>1.1906E-4</v>
      </c>
      <c r="F2861" s="25">
        <v>1.2371999999999999E-4</v>
      </c>
      <c r="G2861" s="25">
        <v>5.5680000000000002E-5</v>
      </c>
      <c r="H2861" s="25">
        <v>7.6299999999999998E-5</v>
      </c>
      <c r="I2861" s="9">
        <v>1.0866000000000001E-4</v>
      </c>
      <c r="J2861" s="9">
        <v>8.5710000000000004E-5</v>
      </c>
      <c r="K2861" s="9">
        <v>8.6890000000000003E-5</v>
      </c>
      <c r="L2861" s="9">
        <v>8.0679999999999993E-5</v>
      </c>
      <c r="M2861" s="9">
        <v>7.8280000000000003E-5</v>
      </c>
      <c r="N2861" s="9">
        <v>8.1230000000000007E-5</v>
      </c>
      <c r="O2861" s="9">
        <v>5.4960000000000002E-5</v>
      </c>
      <c r="P2861" s="9">
        <v>5.4370000000000003E-5</v>
      </c>
      <c r="Q2861" s="9">
        <v>5.3949999999999997E-5</v>
      </c>
      <c r="R2861" s="10">
        <v>9.6456858018517455E-5</v>
      </c>
      <c r="S2861" s="10">
        <v>1.0143433875996884E-4</v>
      </c>
      <c r="T2861" s="10">
        <v>0</v>
      </c>
      <c r="U2861" s="10">
        <v>1.0353000000000001E-4</v>
      </c>
      <c r="V2861" s="25"/>
      <c r="W2861" s="25"/>
      <c r="X2861" s="25"/>
      <c r="Y2861" s="25"/>
      <c r="Z2861" s="25"/>
      <c r="AA2861" s="25"/>
    </row>
    <row r="2862" spans="1:27" x14ac:dyDescent="0.35">
      <c r="A2862" s="5">
        <v>2858</v>
      </c>
      <c r="B2862" s="5">
        <v>120</v>
      </c>
      <c r="C2862" s="5">
        <v>4</v>
      </c>
      <c r="D2862" s="25">
        <v>1.1415000000000001E-4</v>
      </c>
      <c r="E2862" s="25">
        <v>1.1868E-4</v>
      </c>
      <c r="F2862" s="25">
        <v>1.3134999999999999E-4</v>
      </c>
      <c r="G2862" s="25">
        <v>5.2590000000000003E-5</v>
      </c>
      <c r="H2862" s="25">
        <v>7.4720000000000003E-5</v>
      </c>
      <c r="I2862" s="9">
        <v>1.0471000000000001E-4</v>
      </c>
      <c r="J2862" s="9">
        <v>8.3049999999999999E-5</v>
      </c>
      <c r="K2862" s="9">
        <v>8.0539999999999998E-5</v>
      </c>
      <c r="L2862" s="9">
        <v>6.0749999999999999E-5</v>
      </c>
      <c r="M2862" s="9">
        <v>6.7559999999999997E-5</v>
      </c>
      <c r="N2862" s="9">
        <v>7.2230000000000005E-5</v>
      </c>
      <c r="O2862" s="9">
        <v>1.9219999999999999E-5</v>
      </c>
      <c r="P2862" s="9">
        <v>3.8019999999999999E-5</v>
      </c>
      <c r="Q2862" s="9">
        <v>5.6589999999999999E-5</v>
      </c>
      <c r="R2862" s="10">
        <v>9.9832379028997765E-5</v>
      </c>
      <c r="S2862" s="10">
        <v>1.1199301847918325E-4</v>
      </c>
      <c r="T2862" s="10">
        <v>0</v>
      </c>
      <c r="U2862" s="10">
        <v>1.0353000000000001E-4</v>
      </c>
      <c r="V2862" s="25"/>
      <c r="W2862" s="25"/>
      <c r="X2862" s="25"/>
      <c r="Y2862" s="25"/>
      <c r="Z2862" s="25"/>
      <c r="AA2862" s="25"/>
    </row>
    <row r="2863" spans="1:27" x14ac:dyDescent="0.35">
      <c r="A2863" s="5">
        <v>2859</v>
      </c>
      <c r="B2863" s="5">
        <v>120</v>
      </c>
      <c r="C2863" s="5">
        <v>4</v>
      </c>
      <c r="D2863" s="25">
        <v>1.1416E-4</v>
      </c>
      <c r="E2863" s="25">
        <v>1.1309E-4</v>
      </c>
      <c r="F2863" s="25">
        <v>1.3145E-4</v>
      </c>
      <c r="G2863" s="25">
        <v>6.2959999999999994E-5</v>
      </c>
      <c r="H2863" s="25">
        <v>6.3499999999999999E-5</v>
      </c>
      <c r="I2863" s="9">
        <v>1.0297E-4</v>
      </c>
      <c r="J2863" s="9">
        <v>8.1769999999999998E-5</v>
      </c>
      <c r="K2863" s="9">
        <v>6.9939999999999998E-5</v>
      </c>
      <c r="L2863" s="9">
        <v>2.8900000000000001E-5</v>
      </c>
      <c r="M2863" s="9">
        <v>5.4299999999999998E-5</v>
      </c>
      <c r="N2863" s="9">
        <v>6.5740000000000004E-5</v>
      </c>
      <c r="O2863" s="9">
        <v>1.3519999999999999E-5</v>
      </c>
      <c r="P2863" s="9">
        <v>3.7440000000000001E-5</v>
      </c>
      <c r="Q2863" s="9">
        <v>6.1020000000000002E-5</v>
      </c>
      <c r="R2863" s="10">
        <v>1.0314566503954987E-4</v>
      </c>
      <c r="S2863" s="10">
        <v>1.1634635981312411E-4</v>
      </c>
      <c r="T2863" s="10">
        <v>0</v>
      </c>
      <c r="U2863" s="10">
        <v>1.0353000000000001E-4</v>
      </c>
      <c r="V2863" s="25"/>
      <c r="W2863" s="25"/>
      <c r="X2863" s="25"/>
      <c r="Y2863" s="25"/>
      <c r="Z2863" s="25"/>
      <c r="AA2863" s="25"/>
    </row>
    <row r="2864" spans="1:27" x14ac:dyDescent="0.35">
      <c r="A2864" s="5">
        <v>2860</v>
      </c>
      <c r="B2864" s="5">
        <v>120</v>
      </c>
      <c r="C2864" s="5">
        <v>4</v>
      </c>
      <c r="D2864" s="25">
        <v>1.1415000000000001E-4</v>
      </c>
      <c r="E2864" s="25">
        <v>1.2223E-4</v>
      </c>
      <c r="F2864" s="25">
        <v>1.164E-4</v>
      </c>
      <c r="G2864" s="25">
        <v>5.9599999999999999E-5</v>
      </c>
      <c r="H2864" s="25">
        <v>7.0389999999999995E-5</v>
      </c>
      <c r="I2864" s="9">
        <v>1.0424E-4</v>
      </c>
      <c r="J2864" s="9">
        <v>8.2330000000000006E-5</v>
      </c>
      <c r="K2864" s="9">
        <v>5.9339999999999998E-5</v>
      </c>
      <c r="L2864" s="9">
        <v>1.7759999999999999E-5</v>
      </c>
      <c r="M2864" s="9">
        <v>4.5030000000000001E-5</v>
      </c>
      <c r="N2864" s="9">
        <v>6.2020000000000006E-5</v>
      </c>
      <c r="O2864" s="9">
        <v>1.363E-5</v>
      </c>
      <c r="P2864" s="9">
        <v>4.7200000000000002E-5</v>
      </c>
      <c r="Q2864" s="9">
        <v>8.0279999999999997E-5</v>
      </c>
      <c r="R2864" s="10">
        <v>1.0070886443171008E-4</v>
      </c>
      <c r="S2864" s="10">
        <v>1.1288944717871534E-4</v>
      </c>
      <c r="T2864" s="10">
        <v>0</v>
      </c>
      <c r="U2864" s="10">
        <v>1.0353000000000001E-4</v>
      </c>
      <c r="V2864" s="25"/>
      <c r="W2864" s="25"/>
      <c r="X2864" s="25"/>
      <c r="Y2864" s="25"/>
      <c r="Z2864" s="25"/>
      <c r="AA2864" s="25"/>
    </row>
    <row r="2865" spans="1:27" x14ac:dyDescent="0.35">
      <c r="A2865" s="5">
        <v>2861</v>
      </c>
      <c r="B2865" s="5">
        <v>120</v>
      </c>
      <c r="C2865" s="5">
        <v>4</v>
      </c>
      <c r="D2865" s="25">
        <v>1.1416E-4</v>
      </c>
      <c r="E2865" s="25">
        <v>1.2255999999999999E-4</v>
      </c>
      <c r="F2865" s="25">
        <v>1.3101000000000001E-4</v>
      </c>
      <c r="G2865" s="25">
        <v>5.7450000000000001E-5</v>
      </c>
      <c r="H2865" s="25">
        <v>7.0989999999999996E-5</v>
      </c>
      <c r="I2865" s="9">
        <v>1.1006999999999999E-4</v>
      </c>
      <c r="J2865" s="9">
        <v>8.6039999999999996E-5</v>
      </c>
      <c r="K2865" s="9">
        <v>5.5109999999999999E-5</v>
      </c>
      <c r="L2865" s="9">
        <v>1.472E-5</v>
      </c>
      <c r="M2865" s="9">
        <v>4.375E-5</v>
      </c>
      <c r="N2865" s="9">
        <v>6.4499999999999996E-5</v>
      </c>
      <c r="O2865" s="9">
        <v>1.9069999999999999E-5</v>
      </c>
      <c r="P2865" s="9">
        <v>5.6610000000000002E-5</v>
      </c>
      <c r="Q2865" s="9">
        <v>9.3599999999999998E-5</v>
      </c>
      <c r="R2865" s="10">
        <v>1.0002018294698214E-4</v>
      </c>
      <c r="S2865" s="10">
        <v>1.1949879215042104E-4</v>
      </c>
      <c r="T2865" s="10">
        <v>0</v>
      </c>
      <c r="U2865" s="10">
        <v>1.0353000000000001E-4</v>
      </c>
      <c r="V2865" s="25"/>
      <c r="W2865" s="25"/>
      <c r="X2865" s="25"/>
      <c r="Y2865" s="25"/>
      <c r="Z2865" s="25"/>
      <c r="AA2865" s="25"/>
    </row>
    <row r="2866" spans="1:27" x14ac:dyDescent="0.35">
      <c r="A2866" s="5">
        <v>2862</v>
      </c>
      <c r="B2866" s="5">
        <v>120</v>
      </c>
      <c r="C2866" s="5">
        <v>4</v>
      </c>
      <c r="D2866" s="25">
        <v>1.1415000000000001E-4</v>
      </c>
      <c r="E2866" s="25">
        <v>1.2026E-4</v>
      </c>
      <c r="F2866" s="25">
        <v>1.1976000000000001E-4</v>
      </c>
      <c r="G2866" s="25">
        <v>1.0423E-4</v>
      </c>
      <c r="H2866" s="25">
        <v>1.3658999999999999E-4</v>
      </c>
      <c r="I2866" s="9">
        <v>1.1962E-4</v>
      </c>
      <c r="J2866" s="9">
        <v>9.4190000000000005E-5</v>
      </c>
      <c r="K2866" s="9">
        <v>4.4509999999999999E-5</v>
      </c>
      <c r="L2866" s="9">
        <v>1.7980000000000001E-5</v>
      </c>
      <c r="M2866" s="9">
        <v>4.8430000000000002E-5</v>
      </c>
      <c r="N2866" s="9">
        <v>7.1009999999999999E-5</v>
      </c>
      <c r="O2866" s="9">
        <v>4.6470000000000001E-5</v>
      </c>
      <c r="P2866" s="9">
        <v>7.7070000000000006E-5</v>
      </c>
      <c r="Q2866" s="9">
        <v>1.0732E-4</v>
      </c>
      <c r="R2866" s="10">
        <v>1.0877500505587526E-4</v>
      </c>
      <c r="S2866" s="10">
        <v>1.2463670881724019E-4</v>
      </c>
      <c r="T2866" s="10">
        <v>2.0133242357888192E-5</v>
      </c>
      <c r="U2866" s="10">
        <v>1.0353000000000001E-4</v>
      </c>
      <c r="V2866" s="25"/>
      <c r="W2866" s="25"/>
      <c r="X2866" s="25"/>
      <c r="Y2866" s="25"/>
      <c r="Z2866" s="25"/>
      <c r="AA2866" s="25"/>
    </row>
    <row r="2867" spans="1:27" x14ac:dyDescent="0.35">
      <c r="A2867" s="5">
        <v>2863</v>
      </c>
      <c r="B2867" s="5">
        <v>120</v>
      </c>
      <c r="C2867" s="5">
        <v>4</v>
      </c>
      <c r="D2867" s="25">
        <v>1.1416E-4</v>
      </c>
      <c r="E2867" s="25">
        <v>1.1717E-4</v>
      </c>
      <c r="F2867" s="25">
        <v>1.2228E-4</v>
      </c>
      <c r="G2867" s="25">
        <v>1.0499E-4</v>
      </c>
      <c r="H2867" s="25">
        <v>1.3086E-4</v>
      </c>
      <c r="I2867" s="9">
        <v>1.2629000000000001E-4</v>
      </c>
      <c r="J2867" s="9">
        <v>1.0775E-4</v>
      </c>
      <c r="K2867" s="9">
        <v>2.12E-5</v>
      </c>
      <c r="L2867" s="9">
        <v>4.0059999999999999E-5</v>
      </c>
      <c r="M2867" s="9">
        <v>6.0069999999999999E-5</v>
      </c>
      <c r="N2867" s="9">
        <v>8.0760000000000006E-5</v>
      </c>
      <c r="O2867" s="9">
        <v>1.2276999999999999E-4</v>
      </c>
      <c r="P2867" s="9">
        <v>1.1741E-4</v>
      </c>
      <c r="Q2867" s="9">
        <v>1.1247E-4</v>
      </c>
      <c r="R2867" s="10">
        <v>1.0633211869376982E-4</v>
      </c>
      <c r="S2867" s="10">
        <v>1.1937493583808111E-4</v>
      </c>
      <c r="T2867" s="10">
        <v>1.1777055927932827E-4</v>
      </c>
      <c r="U2867" s="10">
        <v>1.0353000000000001E-4</v>
      </c>
      <c r="V2867" s="25"/>
      <c r="W2867" s="25"/>
      <c r="X2867" s="25"/>
      <c r="Y2867" s="25"/>
      <c r="Z2867" s="25"/>
      <c r="AA2867" s="25"/>
    </row>
    <row r="2868" spans="1:27" x14ac:dyDescent="0.35">
      <c r="A2868" s="5">
        <v>2864</v>
      </c>
      <c r="B2868" s="5">
        <v>120</v>
      </c>
      <c r="C2868" s="5">
        <v>4</v>
      </c>
      <c r="D2868" s="25">
        <v>1.1415000000000001E-4</v>
      </c>
      <c r="E2868" s="25">
        <v>1.1711E-4</v>
      </c>
      <c r="F2868" s="25">
        <v>1.1745E-4</v>
      </c>
      <c r="G2868" s="25">
        <v>1.5634000000000001E-4</v>
      </c>
      <c r="H2868" s="25">
        <v>1.9164E-4</v>
      </c>
      <c r="I2868" s="9">
        <v>1.3113999999999999E-4</v>
      </c>
      <c r="J2868" s="9">
        <v>1.1974E-4</v>
      </c>
      <c r="K2868" s="9">
        <v>0</v>
      </c>
      <c r="L2868" s="9">
        <v>1.0396E-4</v>
      </c>
      <c r="M2868" s="9">
        <v>8.3739999999999994E-5</v>
      </c>
      <c r="N2868" s="9">
        <v>9.0840000000000004E-5</v>
      </c>
      <c r="O2868" s="9">
        <v>2.1984000000000001E-4</v>
      </c>
      <c r="P2868" s="9">
        <v>1.7807000000000001E-4</v>
      </c>
      <c r="Q2868" s="9">
        <v>1.3756E-4</v>
      </c>
      <c r="R2868" s="10">
        <v>1.0494420270063148E-4</v>
      </c>
      <c r="S2868" s="10">
        <v>1.1105414881118504E-4</v>
      </c>
      <c r="T2868" s="10">
        <v>9.8960867620062317E-5</v>
      </c>
      <c r="U2868" s="10">
        <v>1.0353000000000001E-4</v>
      </c>
      <c r="V2868" s="25"/>
      <c r="W2868" s="25"/>
      <c r="X2868" s="25"/>
      <c r="Y2868" s="25"/>
      <c r="Z2868" s="25"/>
      <c r="AA2868" s="25"/>
    </row>
    <row r="2869" spans="1:27" x14ac:dyDescent="0.35">
      <c r="A2869" s="5">
        <v>2865</v>
      </c>
      <c r="B2869" s="5">
        <v>120</v>
      </c>
      <c r="C2869" s="5">
        <v>4</v>
      </c>
      <c r="D2869" s="25">
        <v>1.1416E-4</v>
      </c>
      <c r="E2869" s="25">
        <v>1.1775E-4</v>
      </c>
      <c r="F2869" s="25">
        <v>1.2851E-4</v>
      </c>
      <c r="G2869" s="25">
        <v>1.6389E-4</v>
      </c>
      <c r="H2869" s="25">
        <v>2.0002999999999999E-4</v>
      </c>
      <c r="I2869" s="9">
        <v>1.3480999999999999E-4</v>
      </c>
      <c r="J2869" s="9">
        <v>1.2516E-4</v>
      </c>
      <c r="K2869" s="9">
        <v>0</v>
      </c>
      <c r="L2869" s="9">
        <v>1.9259E-4</v>
      </c>
      <c r="M2869" s="9">
        <v>1.2381E-4</v>
      </c>
      <c r="N2869" s="9">
        <v>1.0478E-4</v>
      </c>
      <c r="O2869" s="9">
        <v>2.1149999999999999E-4</v>
      </c>
      <c r="P2869" s="9">
        <v>1.9429000000000001E-4</v>
      </c>
      <c r="Q2869" s="9">
        <v>1.7793999999999999E-4</v>
      </c>
      <c r="R2869" s="10">
        <v>1.0213379896724477E-4</v>
      </c>
      <c r="S2869" s="10">
        <v>1.1743615868687739E-4</v>
      </c>
      <c r="T2869" s="10">
        <v>3.042724275941611E-4</v>
      </c>
      <c r="U2869" s="10">
        <v>1.0353000000000001E-4</v>
      </c>
      <c r="V2869" s="25"/>
      <c r="W2869" s="25"/>
      <c r="X2869" s="25"/>
      <c r="Y2869" s="25"/>
      <c r="Z2869" s="25"/>
      <c r="AA2869" s="25"/>
    </row>
    <row r="2870" spans="1:27" x14ac:dyDescent="0.35">
      <c r="A2870" s="5">
        <v>2866</v>
      </c>
      <c r="B2870" s="5">
        <v>120</v>
      </c>
      <c r="C2870" s="5">
        <v>4</v>
      </c>
      <c r="D2870" s="25">
        <v>1.1415000000000001E-4</v>
      </c>
      <c r="E2870" s="25">
        <v>1.1430999999999999E-4</v>
      </c>
      <c r="F2870" s="25">
        <v>1.2553E-4</v>
      </c>
      <c r="G2870" s="25">
        <v>1.5896000000000001E-4</v>
      </c>
      <c r="H2870" s="25">
        <v>1.8893999999999999E-4</v>
      </c>
      <c r="I2870" s="9">
        <v>1.3531E-4</v>
      </c>
      <c r="J2870" s="9">
        <v>1.2569999999999999E-4</v>
      </c>
      <c r="K2870" s="9">
        <v>0</v>
      </c>
      <c r="L2870" s="9">
        <v>2.0500999999999999E-4</v>
      </c>
      <c r="M2870" s="9">
        <v>1.5935E-4</v>
      </c>
      <c r="N2870" s="9">
        <v>1.2501999999999999E-4</v>
      </c>
      <c r="O2870" s="9">
        <v>1.6693E-4</v>
      </c>
      <c r="P2870" s="9">
        <v>1.7462000000000001E-4</v>
      </c>
      <c r="Q2870" s="9">
        <v>1.8264999999999999E-4</v>
      </c>
      <c r="R2870" s="10">
        <v>9.4240876938423589E-5</v>
      </c>
      <c r="S2870" s="10">
        <v>1.3227481524575969E-4</v>
      </c>
      <c r="T2870" s="10">
        <v>6.3292024722128167E-4</v>
      </c>
      <c r="U2870" s="10">
        <v>1.0353000000000001E-4</v>
      </c>
      <c r="V2870" s="25"/>
      <c r="W2870" s="25"/>
      <c r="X2870" s="25"/>
      <c r="Y2870" s="25"/>
      <c r="Z2870" s="25"/>
      <c r="AA2870" s="25"/>
    </row>
    <row r="2871" spans="1:27" x14ac:dyDescent="0.35">
      <c r="A2871" s="5">
        <v>2867</v>
      </c>
      <c r="B2871" s="5">
        <v>120</v>
      </c>
      <c r="C2871" s="5">
        <v>4</v>
      </c>
      <c r="D2871" s="25">
        <v>1.1416E-4</v>
      </c>
      <c r="E2871" s="25">
        <v>1.1619E-4</v>
      </c>
      <c r="F2871" s="25">
        <v>1.2531E-4</v>
      </c>
      <c r="G2871" s="25">
        <v>1.5922000000000001E-4</v>
      </c>
      <c r="H2871" s="25">
        <v>1.9835E-4</v>
      </c>
      <c r="I2871" s="9">
        <v>1.3668E-4</v>
      </c>
      <c r="J2871" s="9">
        <v>1.2574999999999999E-4</v>
      </c>
      <c r="K2871" s="9">
        <v>0</v>
      </c>
      <c r="L2871" s="9">
        <v>1.7537999999999999E-4</v>
      </c>
      <c r="M2871" s="9">
        <v>1.7307999999999999E-4</v>
      </c>
      <c r="N2871" s="9">
        <v>1.4318999999999999E-4</v>
      </c>
      <c r="O2871" s="9">
        <v>1.6655000000000001E-4</v>
      </c>
      <c r="P2871" s="9">
        <v>1.7286999999999999E-4</v>
      </c>
      <c r="Q2871" s="9">
        <v>1.7955E-4</v>
      </c>
      <c r="R2871" s="10">
        <v>9.7921218161531835E-5</v>
      </c>
      <c r="S2871" s="10">
        <v>1.5088672759059862E-4</v>
      </c>
      <c r="T2871" s="10">
        <v>6.9230185837292914E-4</v>
      </c>
      <c r="U2871" s="10">
        <v>1.0353000000000001E-4</v>
      </c>
      <c r="V2871" s="25"/>
      <c r="W2871" s="25"/>
      <c r="X2871" s="25"/>
      <c r="Y2871" s="25"/>
      <c r="Z2871" s="25"/>
      <c r="AA2871" s="25"/>
    </row>
    <row r="2872" spans="1:27" x14ac:dyDescent="0.35">
      <c r="A2872" s="5">
        <v>2868</v>
      </c>
      <c r="B2872" s="5">
        <v>120</v>
      </c>
      <c r="C2872" s="5">
        <v>4</v>
      </c>
      <c r="D2872" s="25">
        <v>1.1415000000000001E-4</v>
      </c>
      <c r="E2872" s="25">
        <v>1.1734E-4</v>
      </c>
      <c r="F2872" s="25">
        <v>1.1471E-4</v>
      </c>
      <c r="G2872" s="25">
        <v>1.6712000000000001E-4</v>
      </c>
      <c r="H2872" s="25">
        <v>1.9657E-4</v>
      </c>
      <c r="I2872" s="9">
        <v>1.3442E-4</v>
      </c>
      <c r="J2872" s="9">
        <v>1.2338E-4</v>
      </c>
      <c r="K2872" s="9">
        <v>0</v>
      </c>
      <c r="L2872" s="9">
        <v>1.6992E-4</v>
      </c>
      <c r="M2872" s="9">
        <v>1.7531E-4</v>
      </c>
      <c r="N2872" s="9">
        <v>1.5721999999999999E-4</v>
      </c>
      <c r="O2872" s="9">
        <v>1.7034999999999999E-4</v>
      </c>
      <c r="P2872" s="9">
        <v>1.7259999999999999E-4</v>
      </c>
      <c r="Q2872" s="9">
        <v>1.7529000000000001E-4</v>
      </c>
      <c r="R2872" s="10">
        <v>1.2601024299410563E-4</v>
      </c>
      <c r="S2872" s="10">
        <v>1.5651891794022692E-4</v>
      </c>
      <c r="T2872" s="10">
        <v>3.3581705257799098E-4</v>
      </c>
      <c r="U2872" s="10">
        <v>1.0353000000000001E-4</v>
      </c>
      <c r="V2872" s="25"/>
      <c r="W2872" s="25"/>
      <c r="X2872" s="25"/>
      <c r="Y2872" s="25"/>
      <c r="Z2872" s="25"/>
      <c r="AA2872" s="25"/>
    </row>
    <row r="2873" spans="1:27" x14ac:dyDescent="0.35">
      <c r="A2873" s="5">
        <v>2869</v>
      </c>
      <c r="B2873" s="5">
        <v>120</v>
      </c>
      <c r="C2873" s="5">
        <v>4</v>
      </c>
      <c r="D2873" s="25">
        <v>1.1416E-4</v>
      </c>
      <c r="E2873" s="25">
        <v>1.1419E-4</v>
      </c>
      <c r="F2873" s="25">
        <v>1.2073E-4</v>
      </c>
      <c r="G2873" s="25">
        <v>1.6346000000000001E-4</v>
      </c>
      <c r="H2873" s="25">
        <v>1.9095000000000001E-4</v>
      </c>
      <c r="I2873" s="9">
        <v>1.3363000000000001E-4</v>
      </c>
      <c r="J2873" s="9">
        <v>1.217E-4</v>
      </c>
      <c r="K2873" s="9">
        <v>0</v>
      </c>
      <c r="L2873" s="9">
        <v>1.7043000000000001E-4</v>
      </c>
      <c r="M2873" s="9">
        <v>1.7442E-4</v>
      </c>
      <c r="N2873" s="9">
        <v>1.6684999999999999E-4</v>
      </c>
      <c r="O2873" s="9">
        <v>1.6237000000000001E-4</v>
      </c>
      <c r="P2873" s="9">
        <v>1.6538999999999999E-4</v>
      </c>
      <c r="Q2873" s="9">
        <v>1.6882E-4</v>
      </c>
      <c r="R2873" s="10">
        <v>1.2083417036655885E-4</v>
      </c>
      <c r="S2873" s="10">
        <v>1.610315157360369E-4</v>
      </c>
      <c r="T2873" s="10">
        <v>7.8691028042636836E-4</v>
      </c>
      <c r="U2873" s="10">
        <v>1.0353000000000001E-4</v>
      </c>
      <c r="V2873" s="25"/>
      <c r="W2873" s="25"/>
      <c r="X2873" s="25"/>
      <c r="Y2873" s="25"/>
      <c r="Z2873" s="25"/>
      <c r="AA2873" s="25"/>
    </row>
    <row r="2874" spans="1:27" x14ac:dyDescent="0.35">
      <c r="A2874" s="5">
        <v>2870</v>
      </c>
      <c r="B2874" s="5">
        <v>120</v>
      </c>
      <c r="C2874" s="5">
        <v>4</v>
      </c>
      <c r="D2874" s="25">
        <v>1.1415000000000001E-4</v>
      </c>
      <c r="E2874" s="25">
        <v>1.1311000000000001E-4</v>
      </c>
      <c r="F2874" s="25">
        <v>1.2955E-4</v>
      </c>
      <c r="G2874" s="25">
        <v>1.5883E-4</v>
      </c>
      <c r="H2874" s="25">
        <v>1.8946999999999999E-4</v>
      </c>
      <c r="I2874" s="9">
        <v>1.3218999999999999E-4</v>
      </c>
      <c r="J2874" s="9">
        <v>1.2077E-4</v>
      </c>
      <c r="K2874" s="9">
        <v>0</v>
      </c>
      <c r="L2874" s="9">
        <v>1.6385999999999999E-4</v>
      </c>
      <c r="M2874" s="9">
        <v>1.7092E-4</v>
      </c>
      <c r="N2874" s="9">
        <v>1.7134E-4</v>
      </c>
      <c r="O2874" s="9">
        <v>1.7814999999999999E-4</v>
      </c>
      <c r="P2874" s="9">
        <v>1.6945999999999999E-4</v>
      </c>
      <c r="Q2874" s="9">
        <v>1.6140999999999999E-4</v>
      </c>
      <c r="R2874" s="10">
        <v>1.106918099329089E-4</v>
      </c>
      <c r="S2874" s="10">
        <v>1.6490948682537673E-4</v>
      </c>
      <c r="T2874" s="10">
        <v>5.1792405382945002E-4</v>
      </c>
      <c r="U2874" s="10">
        <v>1.0353000000000001E-4</v>
      </c>
      <c r="V2874" s="25"/>
      <c r="W2874" s="25"/>
      <c r="X2874" s="25"/>
      <c r="Y2874" s="25"/>
      <c r="Z2874" s="25"/>
      <c r="AA2874" s="25"/>
    </row>
    <row r="2875" spans="1:27" x14ac:dyDescent="0.35">
      <c r="A2875" s="5">
        <v>2871</v>
      </c>
      <c r="B2875" s="5">
        <v>120</v>
      </c>
      <c r="C2875" s="5">
        <v>4</v>
      </c>
      <c r="D2875" s="25">
        <v>1.1416E-4</v>
      </c>
      <c r="E2875" s="25">
        <v>1.2292E-4</v>
      </c>
      <c r="F2875" s="25">
        <v>1.2135E-4</v>
      </c>
      <c r="G2875" s="25">
        <v>1.5974000000000001E-4</v>
      </c>
      <c r="H2875" s="25">
        <v>1.9568999999999999E-4</v>
      </c>
      <c r="I2875" s="9">
        <v>1.3072E-4</v>
      </c>
      <c r="J2875" s="9">
        <v>1.1869E-4</v>
      </c>
      <c r="K2875" s="9">
        <v>0</v>
      </c>
      <c r="L2875" s="9">
        <v>1.7516E-4</v>
      </c>
      <c r="M2875" s="9">
        <v>1.6939E-4</v>
      </c>
      <c r="N2875" s="9">
        <v>1.7084000000000001E-4</v>
      </c>
      <c r="O2875" s="9">
        <v>1.8373E-4</v>
      </c>
      <c r="P2875" s="9">
        <v>1.682E-4</v>
      </c>
      <c r="Q2875" s="9">
        <v>1.5342E-4</v>
      </c>
      <c r="R2875" s="10">
        <v>1.0846978441553651E-4</v>
      </c>
      <c r="S2875" s="10">
        <v>1.6230308785153627E-4</v>
      </c>
      <c r="T2875" s="10">
        <v>5.2343884840704252E-4</v>
      </c>
      <c r="U2875" s="10">
        <v>1.0353000000000001E-4</v>
      </c>
      <c r="V2875" s="25"/>
      <c r="W2875" s="25"/>
      <c r="X2875" s="25"/>
      <c r="Y2875" s="25"/>
      <c r="Z2875" s="25"/>
      <c r="AA2875" s="25"/>
    </row>
    <row r="2876" spans="1:27" x14ac:dyDescent="0.35">
      <c r="A2876" s="5">
        <v>2872</v>
      </c>
      <c r="B2876" s="5">
        <v>120</v>
      </c>
      <c r="C2876" s="5">
        <v>4</v>
      </c>
      <c r="D2876" s="25">
        <v>1.1415000000000001E-4</v>
      </c>
      <c r="E2876" s="25">
        <v>1.1633000000000001E-4</v>
      </c>
      <c r="F2876" s="25">
        <v>1.1408000000000001E-4</v>
      </c>
      <c r="G2876" s="25">
        <v>1.6333999999999999E-4</v>
      </c>
      <c r="H2876" s="25">
        <v>1.9782999999999999E-4</v>
      </c>
      <c r="I2876" s="9">
        <v>1.2910999999999999E-4</v>
      </c>
      <c r="J2876" s="9">
        <v>1.1775E-4</v>
      </c>
      <c r="K2876" s="9">
        <v>0</v>
      </c>
      <c r="L2876" s="9">
        <v>1.8154999999999999E-4</v>
      </c>
      <c r="M2876" s="9">
        <v>1.6864000000000001E-4</v>
      </c>
      <c r="N2876" s="9">
        <v>1.6699E-4</v>
      </c>
      <c r="O2876" s="9">
        <v>1.9541E-4</v>
      </c>
      <c r="P2876" s="9">
        <v>1.517E-4</v>
      </c>
      <c r="Q2876" s="9">
        <v>1.0922E-4</v>
      </c>
      <c r="R2876" s="10">
        <v>1.1780955123250925E-4</v>
      </c>
      <c r="S2876" s="10">
        <v>1.4405571546534927E-4</v>
      </c>
      <c r="T2876" s="10">
        <v>4.7768302201172395E-4</v>
      </c>
      <c r="U2876" s="10">
        <v>1.0353000000000001E-4</v>
      </c>
      <c r="V2876" s="25"/>
      <c r="W2876" s="25"/>
      <c r="X2876" s="25"/>
      <c r="Y2876" s="25"/>
      <c r="Z2876" s="25"/>
      <c r="AA2876" s="25"/>
    </row>
    <row r="2877" spans="1:27" x14ac:dyDescent="0.35">
      <c r="A2877" s="5">
        <v>2873</v>
      </c>
      <c r="B2877" s="5">
        <v>120</v>
      </c>
      <c r="C2877" s="5">
        <v>4</v>
      </c>
      <c r="D2877" s="25">
        <v>1.1416E-4</v>
      </c>
      <c r="E2877" s="25">
        <v>1.1364E-4</v>
      </c>
      <c r="F2877" s="25">
        <v>1.1527999999999999E-4</v>
      </c>
      <c r="G2877" s="25">
        <v>1.6563999999999999E-4</v>
      </c>
      <c r="H2877" s="25">
        <v>1.9191999999999999E-4</v>
      </c>
      <c r="I2877" s="9">
        <v>1.2939000000000001E-4</v>
      </c>
      <c r="J2877" s="9">
        <v>1.186E-4</v>
      </c>
      <c r="K2877" s="9">
        <v>0</v>
      </c>
      <c r="L2877" s="9">
        <v>1.9212999999999999E-4</v>
      </c>
      <c r="M2877" s="9">
        <v>1.6244999999999999E-4</v>
      </c>
      <c r="N2877" s="9">
        <v>1.5299000000000001E-4</v>
      </c>
      <c r="O2877" s="9">
        <v>2.1092999999999999E-4</v>
      </c>
      <c r="P2877" s="9">
        <v>1.5783999999999999E-4</v>
      </c>
      <c r="Q2877" s="9">
        <v>1.0616999999999999E-4</v>
      </c>
      <c r="R2877" s="10">
        <v>1.2765841225753847E-4</v>
      </c>
      <c r="S2877" s="10">
        <v>1.2863777687476953E-4</v>
      </c>
      <c r="T2877" s="10">
        <v>3.1385120156047201E-4</v>
      </c>
      <c r="U2877" s="10">
        <v>1.0353000000000001E-4</v>
      </c>
      <c r="V2877" s="25"/>
      <c r="W2877" s="25"/>
      <c r="X2877" s="25"/>
      <c r="Y2877" s="25"/>
      <c r="Z2877" s="25"/>
      <c r="AA2877" s="25"/>
    </row>
    <row r="2878" spans="1:27" x14ac:dyDescent="0.35">
      <c r="A2878" s="5">
        <v>2874</v>
      </c>
      <c r="B2878" s="5">
        <v>120</v>
      </c>
      <c r="C2878" s="5">
        <v>4</v>
      </c>
      <c r="D2878" s="25">
        <v>1.1415000000000001E-4</v>
      </c>
      <c r="E2878" s="25">
        <v>1.1298000000000001E-4</v>
      </c>
      <c r="F2878" s="25">
        <v>1.1254E-4</v>
      </c>
      <c r="G2878" s="25">
        <v>1.5882E-4</v>
      </c>
      <c r="H2878" s="25">
        <v>1.9372000000000001E-4</v>
      </c>
      <c r="I2878" s="9">
        <v>1.2700999999999999E-4</v>
      </c>
      <c r="J2878" s="9">
        <v>1.1514E-4</v>
      </c>
      <c r="K2878" s="9">
        <v>0</v>
      </c>
      <c r="L2878" s="9">
        <v>2.0659000000000001E-4</v>
      </c>
      <c r="M2878" s="9">
        <v>1.5909E-4</v>
      </c>
      <c r="N2878" s="9">
        <v>1.3925999999999999E-4</v>
      </c>
      <c r="O2878" s="9">
        <v>2.0447999999999999E-4</v>
      </c>
      <c r="P2878" s="9">
        <v>1.6048000000000001E-4</v>
      </c>
      <c r="Q2878" s="9">
        <v>1.1773999999999999E-4</v>
      </c>
      <c r="R2878" s="10">
        <v>1.2142309618796221E-4</v>
      </c>
      <c r="S2878" s="10">
        <v>1.1643237889682574E-4</v>
      </c>
      <c r="T2878" s="10">
        <v>1.1313813183415046E-4</v>
      </c>
      <c r="U2878" s="10">
        <v>1.0353000000000001E-4</v>
      </c>
      <c r="V2878" s="25"/>
      <c r="W2878" s="25"/>
      <c r="X2878" s="25"/>
      <c r="Y2878" s="25"/>
      <c r="Z2878" s="25"/>
      <c r="AA2878" s="25"/>
    </row>
    <row r="2879" spans="1:27" x14ac:dyDescent="0.35">
      <c r="A2879" s="5">
        <v>2875</v>
      </c>
      <c r="B2879" s="5">
        <v>120</v>
      </c>
      <c r="C2879" s="5">
        <v>4</v>
      </c>
      <c r="D2879" s="25">
        <v>1.1416E-4</v>
      </c>
      <c r="E2879" s="25">
        <v>1.1239999999999999E-4</v>
      </c>
      <c r="F2879" s="25">
        <v>1.2153E-4</v>
      </c>
      <c r="G2879" s="25">
        <v>1.0987E-4</v>
      </c>
      <c r="H2879" s="25">
        <v>1.384E-4</v>
      </c>
      <c r="I2879" s="9">
        <v>1.2291E-4</v>
      </c>
      <c r="J2879" s="9">
        <v>1.1165E-4</v>
      </c>
      <c r="K2879" s="9">
        <v>0</v>
      </c>
      <c r="L2879" s="9">
        <v>2.0458E-4</v>
      </c>
      <c r="M2879" s="9">
        <v>1.5888E-4</v>
      </c>
      <c r="N2879" s="9">
        <v>1.3004999999999999E-4</v>
      </c>
      <c r="O2879" s="9">
        <v>1.6348999999999999E-4</v>
      </c>
      <c r="P2879" s="9">
        <v>1.3479E-4</v>
      </c>
      <c r="Q2879" s="9">
        <v>1.0698E-4</v>
      </c>
      <c r="R2879" s="10">
        <v>1.0754332665226528E-4</v>
      </c>
      <c r="S2879" s="10">
        <v>1.0467553142584758E-4</v>
      </c>
      <c r="T2879" s="10">
        <v>1.567898519906337E-5</v>
      </c>
      <c r="U2879" s="10">
        <v>1.0353000000000001E-4</v>
      </c>
      <c r="V2879" s="25"/>
      <c r="W2879" s="25"/>
      <c r="X2879" s="25"/>
      <c r="Y2879" s="25"/>
      <c r="Z2879" s="25"/>
      <c r="AA2879" s="25"/>
    </row>
    <row r="2880" spans="1:27" x14ac:dyDescent="0.35">
      <c r="A2880" s="5">
        <v>2876</v>
      </c>
      <c r="B2880" s="5">
        <v>120</v>
      </c>
      <c r="C2880" s="5">
        <v>4</v>
      </c>
      <c r="D2880" s="25">
        <v>1.1415000000000001E-4</v>
      </c>
      <c r="E2880" s="25">
        <v>1.1584E-4</v>
      </c>
      <c r="F2880" s="25">
        <v>1.2704E-4</v>
      </c>
      <c r="G2880" s="25">
        <v>1.078E-4</v>
      </c>
      <c r="H2880" s="25">
        <v>1.2836E-4</v>
      </c>
      <c r="I2880" s="9">
        <v>1.1959999999999999E-4</v>
      </c>
      <c r="J2880" s="9">
        <v>1.0979E-4</v>
      </c>
      <c r="K2880" s="9">
        <v>4.2400000000000001E-6</v>
      </c>
      <c r="L2880" s="9">
        <v>1.7265E-4</v>
      </c>
      <c r="M2880" s="9">
        <v>1.5035E-4</v>
      </c>
      <c r="N2880" s="9">
        <v>1.2082E-4</v>
      </c>
      <c r="O2880" s="9">
        <v>1.2878E-4</v>
      </c>
      <c r="P2880" s="9">
        <v>1.1519999999999999E-4</v>
      </c>
      <c r="Q2880" s="9">
        <v>1.022E-4</v>
      </c>
      <c r="R2880" s="10">
        <v>9.0976488081784656E-5</v>
      </c>
      <c r="S2880" s="10">
        <v>9.9165312314819246E-5</v>
      </c>
      <c r="T2880" s="10">
        <v>0</v>
      </c>
      <c r="U2880" s="10">
        <v>1.0353000000000001E-4</v>
      </c>
      <c r="V2880" s="25"/>
      <c r="W2880" s="25"/>
      <c r="X2880" s="25"/>
      <c r="Y2880" s="25"/>
      <c r="Z2880" s="25"/>
      <c r="AA2880" s="25"/>
    </row>
    <row r="2881" spans="1:27" x14ac:dyDescent="0.35">
      <c r="A2881" s="5">
        <v>2877</v>
      </c>
      <c r="B2881" s="5">
        <v>120</v>
      </c>
      <c r="C2881" s="5">
        <v>4</v>
      </c>
      <c r="D2881" s="25">
        <v>1.1416E-4</v>
      </c>
      <c r="E2881" s="25">
        <v>1.2001E-4</v>
      </c>
      <c r="F2881" s="25">
        <v>1.1506E-4</v>
      </c>
      <c r="G2881" s="25">
        <v>5.6159999999999998E-5</v>
      </c>
      <c r="H2881" s="25">
        <v>6.8449999999999997E-5</v>
      </c>
      <c r="I2881" s="9">
        <v>1.2023000000000001E-4</v>
      </c>
      <c r="J2881" s="9">
        <v>1.0967999999999999E-4</v>
      </c>
      <c r="K2881" s="9">
        <v>3.8149999999999999E-5</v>
      </c>
      <c r="L2881" s="9">
        <v>1.3941E-4</v>
      </c>
      <c r="M2881" s="9">
        <v>1.3531E-4</v>
      </c>
      <c r="N2881" s="9">
        <v>1.1315E-4</v>
      </c>
      <c r="O2881" s="9">
        <v>8.4839999999999994E-5</v>
      </c>
      <c r="P2881" s="9">
        <v>8.6639999999999997E-5</v>
      </c>
      <c r="Q2881" s="9">
        <v>8.865E-5</v>
      </c>
      <c r="R2881" s="10">
        <v>6.6772122579573991E-5</v>
      </c>
      <c r="S2881" s="10">
        <v>9.8083570338886215E-5</v>
      </c>
      <c r="T2881" s="10">
        <v>0</v>
      </c>
      <c r="U2881" s="10">
        <v>1.0353000000000001E-4</v>
      </c>
      <c r="V2881" s="25"/>
      <c r="W2881" s="25"/>
      <c r="X2881" s="25"/>
      <c r="Y2881" s="25"/>
      <c r="Z2881" s="25"/>
      <c r="AA2881" s="25"/>
    </row>
    <row r="2882" spans="1:27" x14ac:dyDescent="0.35">
      <c r="A2882" s="5">
        <v>2878</v>
      </c>
      <c r="B2882" s="5">
        <v>120</v>
      </c>
      <c r="C2882" s="5">
        <v>4</v>
      </c>
      <c r="D2882" s="25">
        <v>1.1415000000000001E-4</v>
      </c>
      <c r="E2882" s="25">
        <v>1.1985999999999999E-4</v>
      </c>
      <c r="F2882" s="25">
        <v>1.3117000000000001E-4</v>
      </c>
      <c r="G2882" s="25">
        <v>5.6539999999999997E-5</v>
      </c>
      <c r="H2882" s="25">
        <v>6.9999999999999994E-5</v>
      </c>
      <c r="I2882" s="9">
        <v>1.2245999999999999E-4</v>
      </c>
      <c r="J2882" s="9">
        <v>1.0389E-4</v>
      </c>
      <c r="K2882" s="9">
        <v>6.5699999999999998E-5</v>
      </c>
      <c r="L2882" s="9">
        <v>9.7759999999999999E-5</v>
      </c>
      <c r="M2882" s="9">
        <v>1.1391E-4</v>
      </c>
      <c r="N2882" s="9">
        <v>1.0564E-4</v>
      </c>
      <c r="O2882" s="9">
        <v>8.8109999999999995E-5</v>
      </c>
      <c r="P2882" s="9">
        <v>8.8529999999999994E-5</v>
      </c>
      <c r="Q2882" s="9">
        <v>8.9190000000000005E-5</v>
      </c>
      <c r="R2882" s="10">
        <v>5.1294189280430129E-5</v>
      </c>
      <c r="S2882" s="10">
        <v>1.0342664114945052E-4</v>
      </c>
      <c r="T2882" s="10">
        <v>0</v>
      </c>
      <c r="U2882" s="10">
        <v>1.0353000000000001E-4</v>
      </c>
      <c r="V2882" s="25"/>
      <c r="W2882" s="25"/>
      <c r="X2882" s="25"/>
      <c r="Y2882" s="25"/>
      <c r="Z2882" s="25"/>
      <c r="AA2882" s="25"/>
    </row>
    <row r="2883" spans="1:27" x14ac:dyDescent="0.35">
      <c r="A2883" s="5">
        <v>2879</v>
      </c>
      <c r="B2883" s="5">
        <v>120</v>
      </c>
      <c r="C2883" s="5">
        <v>4</v>
      </c>
      <c r="D2883" s="25">
        <v>1.1416E-4</v>
      </c>
      <c r="E2883" s="25">
        <v>1.2226000000000001E-4</v>
      </c>
      <c r="F2883" s="25">
        <v>1.3135999999999999E-4</v>
      </c>
      <c r="G2883" s="25">
        <v>6.2600000000000004E-5</v>
      </c>
      <c r="H2883" s="25">
        <v>7.1420000000000004E-5</v>
      </c>
      <c r="I2883" s="9">
        <v>1.2146000000000001E-4</v>
      </c>
      <c r="J2883" s="9">
        <v>9.8159999999999995E-5</v>
      </c>
      <c r="K2883" s="9">
        <v>5.2979999999999998E-5</v>
      </c>
      <c r="L2883" s="9">
        <v>9.1160000000000001E-5</v>
      </c>
      <c r="M2883" s="9">
        <v>9.9530000000000004E-5</v>
      </c>
      <c r="N2883" s="9">
        <v>1.0008E-4</v>
      </c>
      <c r="O2883" s="9">
        <v>7.8230000000000001E-5</v>
      </c>
      <c r="P2883" s="9">
        <v>7.2650000000000004E-5</v>
      </c>
      <c r="Q2883" s="9">
        <v>6.7360000000000006E-5</v>
      </c>
      <c r="R2883" s="10">
        <v>4.3342969279463732E-5</v>
      </c>
      <c r="S2883" s="10">
        <v>1.0699980352874668E-4</v>
      </c>
      <c r="T2883" s="10">
        <v>0</v>
      </c>
      <c r="U2883" s="10">
        <v>1.0353000000000001E-4</v>
      </c>
      <c r="V2883" s="25"/>
      <c r="W2883" s="25"/>
      <c r="X2883" s="25"/>
      <c r="Y2883" s="25"/>
      <c r="Z2883" s="25"/>
      <c r="AA2883" s="25"/>
    </row>
    <row r="2884" spans="1:27" x14ac:dyDescent="0.35">
      <c r="A2884" s="5">
        <v>2880</v>
      </c>
      <c r="B2884" s="5">
        <v>120</v>
      </c>
      <c r="C2884" s="5">
        <v>4</v>
      </c>
      <c r="D2884" s="25">
        <v>1.1415000000000001E-4</v>
      </c>
      <c r="E2884" s="25">
        <v>1.1668E-4</v>
      </c>
      <c r="F2884" s="25">
        <v>1.1281E-4</v>
      </c>
      <c r="G2884" s="25">
        <v>5.855E-5</v>
      </c>
      <c r="H2884" s="25">
        <v>6.9029999999999995E-5</v>
      </c>
      <c r="I2884" s="9">
        <v>1.1398E-4</v>
      </c>
      <c r="J2884" s="9">
        <v>9.0660000000000003E-5</v>
      </c>
      <c r="K2884" s="9">
        <v>6.1470000000000006E-5</v>
      </c>
      <c r="L2884" s="9">
        <v>8.106E-5</v>
      </c>
      <c r="M2884" s="9">
        <v>8.6689999999999998E-5</v>
      </c>
      <c r="N2884" s="9">
        <v>9.0920000000000004E-5</v>
      </c>
      <c r="O2884" s="9">
        <v>6.2730000000000004E-5</v>
      </c>
      <c r="P2884" s="9">
        <v>6.071E-5</v>
      </c>
      <c r="Q2884" s="9">
        <v>5.889E-5</v>
      </c>
      <c r="R2884" s="10">
        <v>8.0564418705394449E-5</v>
      </c>
      <c r="S2884" s="10">
        <v>1.271787513618841E-4</v>
      </c>
      <c r="T2884" s="10">
        <v>0</v>
      </c>
      <c r="U2884" s="10">
        <v>1.0353000000000001E-4</v>
      </c>
      <c r="V2884" s="25"/>
      <c r="W2884" s="25"/>
      <c r="X2884" s="25"/>
      <c r="Y2884" s="25"/>
      <c r="Z2884" s="25"/>
      <c r="AA2884" s="25"/>
    </row>
    <row r="2885" spans="1:27" x14ac:dyDescent="0.35">
      <c r="A2885" s="5">
        <v>2881</v>
      </c>
      <c r="B2885" s="5">
        <v>121</v>
      </c>
      <c r="C2885" s="5">
        <v>5</v>
      </c>
      <c r="D2885" s="25">
        <v>1.1416E-4</v>
      </c>
      <c r="E2885" s="25">
        <v>1.1421000000000001E-4</v>
      </c>
      <c r="F2885" s="25">
        <v>1.1031000000000001E-4</v>
      </c>
      <c r="G2885" s="25">
        <v>5.52E-5</v>
      </c>
      <c r="H2885" s="25">
        <v>7.1060000000000001E-5</v>
      </c>
      <c r="I2885" s="9">
        <v>1.0631E-4</v>
      </c>
      <c r="J2885" s="9">
        <v>8.5130000000000007E-5</v>
      </c>
      <c r="K2885" s="9">
        <v>5.9339999999999998E-5</v>
      </c>
      <c r="L2885" s="9">
        <v>6.6769999999999999E-5</v>
      </c>
      <c r="M2885" s="9">
        <v>7.4380000000000003E-5</v>
      </c>
      <c r="N2885" s="9">
        <v>8.1509999999999997E-5</v>
      </c>
      <c r="O2885" s="9">
        <v>5.418E-5</v>
      </c>
      <c r="P2885" s="9">
        <v>5.3600000000000002E-5</v>
      </c>
      <c r="Q2885" s="9">
        <v>5.3180000000000002E-5</v>
      </c>
      <c r="R2885" s="10">
        <v>7.5008843761790645E-5</v>
      </c>
      <c r="S2885" s="10">
        <v>1.2445110714822617E-4</v>
      </c>
      <c r="T2885" s="10">
        <v>0</v>
      </c>
      <c r="U2885" s="10">
        <v>1.0414E-4</v>
      </c>
      <c r="V2885" s="25"/>
      <c r="W2885" s="25"/>
      <c r="X2885" s="25"/>
      <c r="Y2885" s="25"/>
      <c r="Z2885" s="25"/>
      <c r="AA2885" s="25"/>
    </row>
    <row r="2886" spans="1:27" x14ac:dyDescent="0.35">
      <c r="A2886" s="5">
        <v>2882</v>
      </c>
      <c r="B2886" s="5">
        <v>121</v>
      </c>
      <c r="C2886" s="5">
        <v>5</v>
      </c>
      <c r="D2886" s="25">
        <v>1.1415000000000001E-4</v>
      </c>
      <c r="E2886" s="25">
        <v>1.194E-4</v>
      </c>
      <c r="F2886" s="25">
        <v>1.0854E-4</v>
      </c>
      <c r="G2886" s="25">
        <v>5.4190000000000001E-5</v>
      </c>
      <c r="H2886" s="25">
        <v>7.161E-5</v>
      </c>
      <c r="I2886" s="9">
        <v>1.0173E-4</v>
      </c>
      <c r="J2886" s="9">
        <v>8.1920000000000002E-5</v>
      </c>
      <c r="K2886" s="9">
        <v>8.9019999999999998E-5</v>
      </c>
      <c r="L2886" s="9">
        <v>5.7340000000000003E-5</v>
      </c>
      <c r="M2886" s="9">
        <v>6.3969999999999999E-5</v>
      </c>
      <c r="N2886" s="9">
        <v>7.2290000000000001E-5</v>
      </c>
      <c r="O2886" s="9">
        <v>1.9449999999999998E-5</v>
      </c>
      <c r="P2886" s="9">
        <v>3.7639999999999999E-5</v>
      </c>
      <c r="Q2886" s="9">
        <v>5.6010000000000001E-5</v>
      </c>
      <c r="R2886" s="10">
        <v>7.6952213564483973E-5</v>
      </c>
      <c r="S2886" s="10">
        <v>1.1982690717338153E-4</v>
      </c>
      <c r="T2886" s="10">
        <v>0</v>
      </c>
      <c r="U2886" s="10">
        <v>1.0414E-4</v>
      </c>
      <c r="V2886" s="25"/>
      <c r="W2886" s="25"/>
      <c r="X2886" s="25"/>
      <c r="Y2886" s="25"/>
      <c r="Z2886" s="25"/>
      <c r="AA2886" s="25"/>
    </row>
    <row r="2887" spans="1:27" x14ac:dyDescent="0.35">
      <c r="A2887" s="5">
        <v>2883</v>
      </c>
      <c r="B2887" s="5">
        <v>121</v>
      </c>
      <c r="C2887" s="5">
        <v>5</v>
      </c>
      <c r="D2887" s="25">
        <v>1.1416E-4</v>
      </c>
      <c r="E2887" s="25">
        <v>1.2232000000000001E-4</v>
      </c>
      <c r="F2887" s="25">
        <v>1.2729000000000001E-4</v>
      </c>
      <c r="G2887" s="25">
        <v>5.3239999999999998E-5</v>
      </c>
      <c r="H2887" s="25">
        <v>6.8490000000000003E-5</v>
      </c>
      <c r="I2887" s="9">
        <v>9.8919999999999995E-5</v>
      </c>
      <c r="J2887" s="9">
        <v>8.0259999999999994E-5</v>
      </c>
      <c r="K2887" s="9">
        <v>6.7819999999999998E-5</v>
      </c>
      <c r="L2887" s="9">
        <v>2.8E-5</v>
      </c>
      <c r="M2887" s="9">
        <v>5.2099999999999999E-5</v>
      </c>
      <c r="N2887" s="9">
        <v>6.5610000000000004E-5</v>
      </c>
      <c r="O2887" s="9">
        <v>1.4219999999999999E-5</v>
      </c>
      <c r="P2887" s="9">
        <v>3.8019999999999999E-5</v>
      </c>
      <c r="Q2887" s="9">
        <v>6.1970000000000005E-5</v>
      </c>
      <c r="R2887" s="10">
        <v>7.6402998372697304E-5</v>
      </c>
      <c r="S2887" s="10">
        <v>1.1881322104078332E-4</v>
      </c>
      <c r="T2887" s="10">
        <v>0</v>
      </c>
      <c r="U2887" s="10">
        <v>1.0414E-4</v>
      </c>
      <c r="V2887" s="25"/>
      <c r="W2887" s="25"/>
      <c r="X2887" s="25"/>
      <c r="Y2887" s="25"/>
      <c r="Z2887" s="25"/>
      <c r="AA2887" s="25"/>
    </row>
    <row r="2888" spans="1:27" x14ac:dyDescent="0.35">
      <c r="A2888" s="5">
        <v>2884</v>
      </c>
      <c r="B2888" s="5">
        <v>121</v>
      </c>
      <c r="C2888" s="5">
        <v>5</v>
      </c>
      <c r="D2888" s="25">
        <v>1.1415000000000001E-4</v>
      </c>
      <c r="E2888" s="25">
        <v>1.2286999999999999E-4</v>
      </c>
      <c r="F2888" s="25">
        <v>1.1458E-4</v>
      </c>
      <c r="G2888" s="25">
        <v>5.8499999999999999E-5</v>
      </c>
      <c r="H2888" s="25">
        <v>7.0329999999999999E-5</v>
      </c>
      <c r="I2888" s="9">
        <v>9.8469999999999997E-5</v>
      </c>
      <c r="J2888" s="9">
        <v>7.9809999999999997E-5</v>
      </c>
      <c r="K2888" s="9">
        <v>1.102E-4</v>
      </c>
      <c r="L2888" s="9">
        <v>1.7969999999999999E-5</v>
      </c>
      <c r="M2888" s="9">
        <v>4.4209999999999999E-5</v>
      </c>
      <c r="N2888" s="9">
        <v>6.2039999999999996E-5</v>
      </c>
      <c r="O2888" s="9">
        <v>1.4080000000000001E-5</v>
      </c>
      <c r="P2888" s="9">
        <v>4.7070000000000002E-5</v>
      </c>
      <c r="Q2888" s="9">
        <v>8.0069999999999997E-5</v>
      </c>
      <c r="R2888" s="10">
        <v>7.3180964708695009E-5</v>
      </c>
      <c r="S2888" s="10">
        <v>1.1954313118375859E-4</v>
      </c>
      <c r="T2888" s="10">
        <v>0</v>
      </c>
      <c r="U2888" s="10">
        <v>1.0414E-4</v>
      </c>
      <c r="V2888" s="25"/>
      <c r="W2888" s="25"/>
      <c r="X2888" s="25"/>
      <c r="Y2888" s="25"/>
      <c r="Z2888" s="25"/>
      <c r="AA2888" s="25"/>
    </row>
    <row r="2889" spans="1:27" x14ac:dyDescent="0.35">
      <c r="A2889" s="5">
        <v>2885</v>
      </c>
      <c r="B2889" s="5">
        <v>121</v>
      </c>
      <c r="C2889" s="5">
        <v>5</v>
      </c>
      <c r="D2889" s="25">
        <v>1.1416E-4</v>
      </c>
      <c r="E2889" s="25">
        <v>1.2448E-4</v>
      </c>
      <c r="F2889" s="25">
        <v>1.1642999999999999E-4</v>
      </c>
      <c r="G2889" s="25">
        <v>6.0420000000000001E-5</v>
      </c>
      <c r="H2889" s="25">
        <v>7.4079999999999995E-5</v>
      </c>
      <c r="I2889" s="9">
        <v>9.9539999999999999E-5</v>
      </c>
      <c r="J2889" s="9">
        <v>8.0309999999999995E-5</v>
      </c>
      <c r="K2889" s="9">
        <v>8.0539999999999998E-5</v>
      </c>
      <c r="L2889" s="9">
        <v>1.518E-5</v>
      </c>
      <c r="M2889" s="9">
        <v>4.3479999999999997E-5</v>
      </c>
      <c r="N2889" s="9">
        <v>6.4449999999999994E-5</v>
      </c>
      <c r="O2889" s="9">
        <v>1.965E-5</v>
      </c>
      <c r="P2889" s="9">
        <v>5.7049999999999998E-5</v>
      </c>
      <c r="Q2889" s="9">
        <v>9.433E-5</v>
      </c>
      <c r="R2889" s="10">
        <v>6.7364615976582865E-5</v>
      </c>
      <c r="S2889" s="10">
        <v>1.1813096294382897E-4</v>
      </c>
      <c r="T2889" s="10">
        <v>0</v>
      </c>
      <c r="U2889" s="10">
        <v>1.0414E-4</v>
      </c>
      <c r="V2889" s="25"/>
      <c r="W2889" s="25"/>
      <c r="X2889" s="25"/>
      <c r="Y2889" s="25"/>
      <c r="Z2889" s="25"/>
      <c r="AA2889" s="25"/>
    </row>
    <row r="2890" spans="1:27" x14ac:dyDescent="0.35">
      <c r="A2890" s="5">
        <v>2886</v>
      </c>
      <c r="B2890" s="5">
        <v>121</v>
      </c>
      <c r="C2890" s="5">
        <v>5</v>
      </c>
      <c r="D2890" s="25">
        <v>1.1415000000000001E-4</v>
      </c>
      <c r="E2890" s="25">
        <v>1.1854999999999999E-4</v>
      </c>
      <c r="F2890" s="25">
        <v>1.1752E-4</v>
      </c>
      <c r="G2890" s="25">
        <v>1.137E-4</v>
      </c>
      <c r="H2890" s="25">
        <v>1.3884999999999999E-4</v>
      </c>
      <c r="I2890" s="9">
        <v>1.0042E-4</v>
      </c>
      <c r="J2890" s="9">
        <v>8.1680000000000004E-5</v>
      </c>
      <c r="K2890" s="9">
        <v>4.0280000000000001E-5</v>
      </c>
      <c r="L2890" s="9">
        <v>1.8539999999999999E-5</v>
      </c>
      <c r="M2890" s="9">
        <v>4.8520000000000003E-5</v>
      </c>
      <c r="N2890" s="9">
        <v>7.1130000000000005E-5</v>
      </c>
      <c r="O2890" s="9">
        <v>4.6190000000000003E-5</v>
      </c>
      <c r="P2890" s="9">
        <v>7.6450000000000002E-5</v>
      </c>
      <c r="Q2890" s="9">
        <v>1.0645E-4</v>
      </c>
      <c r="R2890" s="10">
        <v>6.0745642505433015E-5</v>
      </c>
      <c r="S2890" s="10">
        <v>1.1101269978199164E-4</v>
      </c>
      <c r="T2890" s="10">
        <v>2.4485687924511305E-5</v>
      </c>
      <c r="U2890" s="10">
        <v>1.0414E-4</v>
      </c>
      <c r="V2890" s="25"/>
      <c r="W2890" s="25"/>
      <c r="X2890" s="25"/>
      <c r="Y2890" s="25"/>
      <c r="Z2890" s="25"/>
      <c r="AA2890" s="25"/>
    </row>
    <row r="2891" spans="1:27" x14ac:dyDescent="0.35">
      <c r="A2891" s="5">
        <v>2887</v>
      </c>
      <c r="B2891" s="5">
        <v>121</v>
      </c>
      <c r="C2891" s="5">
        <v>5</v>
      </c>
      <c r="D2891" s="25">
        <v>1.1416E-4</v>
      </c>
      <c r="E2891" s="25">
        <v>1.1681E-4</v>
      </c>
      <c r="F2891" s="25">
        <v>1.1268E-4</v>
      </c>
      <c r="G2891" s="25">
        <v>1.0759E-4</v>
      </c>
      <c r="H2891" s="25">
        <v>1.3983999999999999E-4</v>
      </c>
      <c r="I2891" s="9">
        <v>1.0377E-4</v>
      </c>
      <c r="J2891" s="9">
        <v>8.7360000000000004E-5</v>
      </c>
      <c r="K2891" s="9">
        <v>0</v>
      </c>
      <c r="L2891" s="9">
        <v>3.9959999999999997E-5</v>
      </c>
      <c r="M2891" s="9">
        <v>6.0000000000000002E-5</v>
      </c>
      <c r="N2891" s="9">
        <v>8.0710000000000005E-5</v>
      </c>
      <c r="O2891" s="9">
        <v>1.2188000000000001E-4</v>
      </c>
      <c r="P2891" s="9">
        <v>1.1734E-4</v>
      </c>
      <c r="Q2891" s="9">
        <v>1.1239999999999999E-4</v>
      </c>
      <c r="R2891" s="10">
        <v>5.1810111091855848E-5</v>
      </c>
      <c r="S2891" s="10">
        <v>1.019522677649748E-4</v>
      </c>
      <c r="T2891" s="10">
        <v>1.159973407151485E-4</v>
      </c>
      <c r="U2891" s="10">
        <v>1.0414E-4</v>
      </c>
      <c r="V2891" s="25"/>
      <c r="W2891" s="25"/>
      <c r="X2891" s="25"/>
      <c r="Y2891" s="25"/>
      <c r="Z2891" s="25"/>
      <c r="AA2891" s="25"/>
    </row>
    <row r="2892" spans="1:27" x14ac:dyDescent="0.35">
      <c r="A2892" s="5">
        <v>2888</v>
      </c>
      <c r="B2892" s="5">
        <v>121</v>
      </c>
      <c r="C2892" s="5">
        <v>5</v>
      </c>
      <c r="D2892" s="25">
        <v>1.1415000000000001E-4</v>
      </c>
      <c r="E2892" s="25">
        <v>1.177E-4</v>
      </c>
      <c r="F2892" s="25">
        <v>1.1959999999999999E-4</v>
      </c>
      <c r="G2892" s="25">
        <v>1.6359E-4</v>
      </c>
      <c r="H2892" s="25">
        <v>1.9621999999999999E-4</v>
      </c>
      <c r="I2892" s="9">
        <v>1.1126E-4</v>
      </c>
      <c r="J2892" s="9">
        <v>9.4229999999999997E-5</v>
      </c>
      <c r="K2892" s="9">
        <v>0</v>
      </c>
      <c r="L2892" s="9">
        <v>1.0326E-4</v>
      </c>
      <c r="M2892" s="9">
        <v>8.3590000000000004E-5</v>
      </c>
      <c r="N2892" s="9">
        <v>9.0799999999999998E-5</v>
      </c>
      <c r="O2892" s="9">
        <v>2.1515E-4</v>
      </c>
      <c r="P2892" s="9">
        <v>1.7584999999999999E-4</v>
      </c>
      <c r="Q2892" s="9">
        <v>1.3585E-4</v>
      </c>
      <c r="R2892" s="10">
        <v>3.8366256258770522E-5</v>
      </c>
      <c r="S2892" s="10">
        <v>9.3166230086245042E-5</v>
      </c>
      <c r="T2892" s="10">
        <v>1.9205908438917616E-4</v>
      </c>
      <c r="U2892" s="10">
        <v>1.0414E-4</v>
      </c>
      <c r="V2892" s="25"/>
      <c r="W2892" s="25"/>
      <c r="X2892" s="25"/>
      <c r="Y2892" s="25"/>
      <c r="Z2892" s="25"/>
      <c r="AA2892" s="25"/>
    </row>
    <row r="2893" spans="1:27" x14ac:dyDescent="0.35">
      <c r="A2893" s="5">
        <v>2889</v>
      </c>
      <c r="B2893" s="5">
        <v>121</v>
      </c>
      <c r="C2893" s="5">
        <v>5</v>
      </c>
      <c r="D2893" s="25">
        <v>1.1416E-4</v>
      </c>
      <c r="E2893" s="25">
        <v>1.2141E-4</v>
      </c>
      <c r="F2893" s="25">
        <v>1.1395000000000001E-4</v>
      </c>
      <c r="G2893" s="25">
        <v>1.5678E-4</v>
      </c>
      <c r="H2893" s="25">
        <v>1.9477000000000001E-4</v>
      </c>
      <c r="I2893" s="9">
        <v>1.1828999999999999E-4</v>
      </c>
      <c r="J2893" s="9">
        <v>1.003E-4</v>
      </c>
      <c r="K2893" s="9">
        <v>0</v>
      </c>
      <c r="L2893" s="9">
        <v>1.8880000000000001E-4</v>
      </c>
      <c r="M2893" s="9">
        <v>1.2291E-4</v>
      </c>
      <c r="N2893" s="9">
        <v>1.0435E-4</v>
      </c>
      <c r="O2893" s="9">
        <v>2.0656E-4</v>
      </c>
      <c r="P2893" s="9">
        <v>1.9144999999999999E-4</v>
      </c>
      <c r="Q2893" s="9">
        <v>1.7534000000000001E-4</v>
      </c>
      <c r="R2893" s="10">
        <v>3.4644356858385821E-5</v>
      </c>
      <c r="S2893" s="10">
        <v>8.3041600564278978E-5</v>
      </c>
      <c r="T2893" s="10">
        <v>3.5048640615438736E-4</v>
      </c>
      <c r="U2893" s="10">
        <v>1.0414E-4</v>
      </c>
      <c r="V2893" s="25"/>
      <c r="W2893" s="25"/>
      <c r="X2893" s="25"/>
      <c r="Y2893" s="25"/>
      <c r="Z2893" s="25"/>
      <c r="AA2893" s="25"/>
    </row>
    <row r="2894" spans="1:27" x14ac:dyDescent="0.35">
      <c r="A2894" s="5">
        <v>2890</v>
      </c>
      <c r="B2894" s="5">
        <v>121</v>
      </c>
      <c r="C2894" s="5">
        <v>5</v>
      </c>
      <c r="D2894" s="25">
        <v>1.1415000000000001E-4</v>
      </c>
      <c r="E2894" s="25">
        <v>1.2441000000000001E-4</v>
      </c>
      <c r="F2894" s="25">
        <v>1.2505E-4</v>
      </c>
      <c r="G2894" s="25">
        <v>1.6233999999999999E-4</v>
      </c>
      <c r="H2894" s="25">
        <v>2.018E-4</v>
      </c>
      <c r="I2894" s="9">
        <v>1.2180000000000001E-4</v>
      </c>
      <c r="J2894" s="9">
        <v>1.0265E-4</v>
      </c>
      <c r="K2894" s="9">
        <v>0</v>
      </c>
      <c r="L2894" s="9">
        <v>2.0040999999999999E-4</v>
      </c>
      <c r="M2894" s="9">
        <v>1.5755000000000001E-4</v>
      </c>
      <c r="N2894" s="9">
        <v>1.2402999999999999E-4</v>
      </c>
      <c r="O2894" s="9">
        <v>1.6378000000000001E-4</v>
      </c>
      <c r="P2894" s="9">
        <v>1.7272000000000001E-4</v>
      </c>
      <c r="Q2894" s="9">
        <v>1.8065999999999999E-4</v>
      </c>
      <c r="R2894" s="10">
        <v>2.9605240603871538E-5</v>
      </c>
      <c r="S2894" s="10">
        <v>6.8648286844213066E-5</v>
      </c>
      <c r="T2894" s="10">
        <v>5.2847003792167704E-4</v>
      </c>
      <c r="U2894" s="10">
        <v>1.0414E-4</v>
      </c>
      <c r="V2894" s="25"/>
      <c r="W2894" s="25"/>
      <c r="X2894" s="25"/>
      <c r="Y2894" s="25"/>
      <c r="Z2894" s="25"/>
      <c r="AA2894" s="25"/>
    </row>
    <row r="2895" spans="1:27" x14ac:dyDescent="0.35">
      <c r="A2895" s="5">
        <v>2891</v>
      </c>
      <c r="B2895" s="5">
        <v>121</v>
      </c>
      <c r="C2895" s="5">
        <v>5</v>
      </c>
      <c r="D2895" s="25">
        <v>1.1416E-4</v>
      </c>
      <c r="E2895" s="25">
        <v>1.2250999999999999E-4</v>
      </c>
      <c r="F2895" s="25">
        <v>1.1932E-4</v>
      </c>
      <c r="G2895" s="25">
        <v>1.6131000000000001E-4</v>
      </c>
      <c r="H2895" s="25">
        <v>1.9322999999999999E-4</v>
      </c>
      <c r="I2895" s="9">
        <v>1.2316000000000001E-4</v>
      </c>
      <c r="J2895" s="9">
        <v>1.0284E-4</v>
      </c>
      <c r="K2895" s="9">
        <v>0</v>
      </c>
      <c r="L2895" s="9">
        <v>1.7192999999999999E-4</v>
      </c>
      <c r="M2895" s="9">
        <v>1.7102E-4</v>
      </c>
      <c r="N2895" s="9">
        <v>1.4181999999999999E-4</v>
      </c>
      <c r="O2895" s="9">
        <v>1.6579E-4</v>
      </c>
      <c r="P2895" s="9">
        <v>1.7348999999999999E-4</v>
      </c>
      <c r="Q2895" s="9">
        <v>1.8018999999999999E-4</v>
      </c>
      <c r="R2895" s="10">
        <v>1.9952962484720828E-5</v>
      </c>
      <c r="S2895" s="10">
        <v>5.3747616684181672E-5</v>
      </c>
      <c r="T2895" s="10">
        <v>4.954406605515723E-4</v>
      </c>
      <c r="U2895" s="10">
        <v>1.0414E-4</v>
      </c>
      <c r="V2895" s="25"/>
      <c r="W2895" s="25"/>
      <c r="X2895" s="25"/>
      <c r="Y2895" s="25"/>
      <c r="Z2895" s="25"/>
      <c r="AA2895" s="25"/>
    </row>
    <row r="2896" spans="1:27" x14ac:dyDescent="0.35">
      <c r="A2896" s="5">
        <v>2892</v>
      </c>
      <c r="B2896" s="5">
        <v>121</v>
      </c>
      <c r="C2896" s="5">
        <v>5</v>
      </c>
      <c r="D2896" s="25">
        <v>1.1415000000000001E-4</v>
      </c>
      <c r="E2896" s="25">
        <v>1.2095E-4</v>
      </c>
      <c r="F2896" s="25">
        <v>1.2504000000000001E-4</v>
      </c>
      <c r="G2896" s="25">
        <v>1.6673E-4</v>
      </c>
      <c r="H2896" s="25">
        <v>1.9102E-4</v>
      </c>
      <c r="I2896" s="9">
        <v>1.2127E-4</v>
      </c>
      <c r="J2896" s="9">
        <v>1.0319000000000001E-4</v>
      </c>
      <c r="K2896" s="9">
        <v>0</v>
      </c>
      <c r="L2896" s="9">
        <v>1.6851999999999999E-4</v>
      </c>
      <c r="M2896" s="9">
        <v>1.7417999999999999E-4</v>
      </c>
      <c r="N2896" s="9">
        <v>1.5614000000000001E-4</v>
      </c>
      <c r="O2896" s="9">
        <v>1.6618000000000001E-4</v>
      </c>
      <c r="P2896" s="9">
        <v>1.6976E-4</v>
      </c>
      <c r="Q2896" s="9">
        <v>1.7239999999999999E-4</v>
      </c>
      <c r="R2896" s="10">
        <v>6.8435301914166739E-6</v>
      </c>
      <c r="S2896" s="10">
        <v>3.6573981069630297E-5</v>
      </c>
      <c r="T2896" s="10">
        <v>6.5184023477209932E-4</v>
      </c>
      <c r="U2896" s="10">
        <v>1.0414E-4</v>
      </c>
      <c r="V2896" s="25"/>
      <c r="W2896" s="25"/>
      <c r="X2896" s="25"/>
      <c r="Y2896" s="25"/>
      <c r="Z2896" s="25"/>
      <c r="AA2896" s="25"/>
    </row>
    <row r="2897" spans="1:27" x14ac:dyDescent="0.35">
      <c r="A2897" s="5">
        <v>2893</v>
      </c>
      <c r="B2897" s="5">
        <v>121</v>
      </c>
      <c r="C2897" s="5">
        <v>5</v>
      </c>
      <c r="D2897" s="25">
        <v>1.1416E-4</v>
      </c>
      <c r="E2897" s="25">
        <v>1.2144E-4</v>
      </c>
      <c r="F2897" s="25">
        <v>1.2149E-4</v>
      </c>
      <c r="G2897" s="25">
        <v>1.6709E-4</v>
      </c>
      <c r="H2897" s="25">
        <v>1.9306E-4</v>
      </c>
      <c r="I2897" s="9">
        <v>1.1888E-4</v>
      </c>
      <c r="J2897" s="9">
        <v>1.0457E-4</v>
      </c>
      <c r="K2897" s="9">
        <v>0</v>
      </c>
      <c r="L2897" s="9">
        <v>1.6681000000000001E-4</v>
      </c>
      <c r="M2897" s="9">
        <v>1.7295E-4</v>
      </c>
      <c r="N2897" s="9">
        <v>1.6532999999999999E-4</v>
      </c>
      <c r="O2897" s="9">
        <v>1.5901000000000001E-4</v>
      </c>
      <c r="P2897" s="9">
        <v>1.6327E-4</v>
      </c>
      <c r="Q2897" s="9">
        <v>1.6666000000000001E-4</v>
      </c>
      <c r="R2897" s="10">
        <v>7.9996813459137989E-6</v>
      </c>
      <c r="S2897" s="10">
        <v>2.8003155558077998E-5</v>
      </c>
      <c r="T2897" s="10">
        <v>5.9749829743443658E-4</v>
      </c>
      <c r="U2897" s="10">
        <v>1.0414E-4</v>
      </c>
      <c r="V2897" s="25"/>
      <c r="W2897" s="25"/>
      <c r="X2897" s="25"/>
      <c r="Y2897" s="25"/>
      <c r="Z2897" s="25"/>
      <c r="AA2897" s="25"/>
    </row>
    <row r="2898" spans="1:27" x14ac:dyDescent="0.35">
      <c r="A2898" s="5">
        <v>2894</v>
      </c>
      <c r="B2898" s="5">
        <v>121</v>
      </c>
      <c r="C2898" s="5">
        <v>5</v>
      </c>
      <c r="D2898" s="25">
        <v>1.1415000000000001E-4</v>
      </c>
      <c r="E2898" s="25">
        <v>1.1874E-4</v>
      </c>
      <c r="F2898" s="25">
        <v>1.2724000000000001E-4</v>
      </c>
      <c r="G2898" s="25">
        <v>1.5899999999999999E-4</v>
      </c>
      <c r="H2898" s="25">
        <v>1.9273000000000001E-4</v>
      </c>
      <c r="I2898" s="9">
        <v>1.1594E-4</v>
      </c>
      <c r="J2898" s="9">
        <v>1.0314000000000001E-4</v>
      </c>
      <c r="K2898" s="9">
        <v>0</v>
      </c>
      <c r="L2898" s="9">
        <v>1.6051999999999999E-4</v>
      </c>
      <c r="M2898" s="9">
        <v>1.6908E-4</v>
      </c>
      <c r="N2898" s="9">
        <v>1.6964000000000001E-4</v>
      </c>
      <c r="O2898" s="9">
        <v>1.7755000000000001E-4</v>
      </c>
      <c r="P2898" s="9">
        <v>1.7030999999999999E-4</v>
      </c>
      <c r="Q2898" s="9">
        <v>1.6222E-4</v>
      </c>
      <c r="R2898" s="10">
        <v>8.8490262807549511E-6</v>
      </c>
      <c r="S2898" s="10">
        <v>2.6960043035262351E-5</v>
      </c>
      <c r="T2898" s="10">
        <v>5.3879543023080054E-4</v>
      </c>
      <c r="U2898" s="10">
        <v>1.0414E-4</v>
      </c>
      <c r="V2898" s="25"/>
      <c r="W2898" s="25"/>
      <c r="X2898" s="25"/>
      <c r="Y2898" s="25"/>
      <c r="Z2898" s="25"/>
      <c r="AA2898" s="25"/>
    </row>
    <row r="2899" spans="1:27" x14ac:dyDescent="0.35">
      <c r="A2899" s="5">
        <v>2895</v>
      </c>
      <c r="B2899" s="5">
        <v>121</v>
      </c>
      <c r="C2899" s="5">
        <v>5</v>
      </c>
      <c r="D2899" s="25">
        <v>1.1416E-4</v>
      </c>
      <c r="E2899" s="25">
        <v>1.187E-4</v>
      </c>
      <c r="F2899" s="25">
        <v>1.1788E-4</v>
      </c>
      <c r="G2899" s="25">
        <v>1.6033E-4</v>
      </c>
      <c r="H2899" s="25">
        <v>1.9379E-4</v>
      </c>
      <c r="I2899" s="9">
        <v>1.1472999999999999E-4</v>
      </c>
      <c r="J2899" s="9">
        <v>1.0255999999999999E-4</v>
      </c>
      <c r="K2899" s="9">
        <v>0</v>
      </c>
      <c r="L2899" s="9">
        <v>1.7396999999999999E-4</v>
      </c>
      <c r="M2899" s="9">
        <v>1.6841999999999999E-4</v>
      </c>
      <c r="N2899" s="9">
        <v>1.6966999999999999E-4</v>
      </c>
      <c r="O2899" s="9">
        <v>1.8118E-4</v>
      </c>
      <c r="P2899" s="9">
        <v>1.6728000000000001E-4</v>
      </c>
      <c r="Q2899" s="9">
        <v>1.5258000000000001E-4</v>
      </c>
      <c r="R2899" s="10">
        <v>1.0345899168920942E-5</v>
      </c>
      <c r="S2899" s="10">
        <v>2.921055657583019E-5</v>
      </c>
      <c r="T2899" s="10">
        <v>5.117729368005967E-4</v>
      </c>
      <c r="U2899" s="10">
        <v>1.0414E-4</v>
      </c>
      <c r="V2899" s="25"/>
      <c r="W2899" s="25"/>
      <c r="X2899" s="25"/>
      <c r="Y2899" s="25"/>
      <c r="Z2899" s="25"/>
      <c r="AA2899" s="25"/>
    </row>
    <row r="2900" spans="1:27" x14ac:dyDescent="0.35">
      <c r="A2900" s="5">
        <v>2896</v>
      </c>
      <c r="B2900" s="5">
        <v>121</v>
      </c>
      <c r="C2900" s="5">
        <v>5</v>
      </c>
      <c r="D2900" s="25">
        <v>1.1415000000000001E-4</v>
      </c>
      <c r="E2900" s="25">
        <v>1.2478000000000001E-4</v>
      </c>
      <c r="F2900" s="25">
        <v>1.066E-4</v>
      </c>
      <c r="G2900" s="25">
        <v>1.6503000000000001E-4</v>
      </c>
      <c r="H2900" s="25">
        <v>1.9116000000000001E-4</v>
      </c>
      <c r="I2900" s="9">
        <v>1.1356E-4</v>
      </c>
      <c r="J2900" s="9">
        <v>1.0340000000000001E-4</v>
      </c>
      <c r="K2900" s="9">
        <v>0</v>
      </c>
      <c r="L2900" s="9">
        <v>1.7923E-4</v>
      </c>
      <c r="M2900" s="9">
        <v>1.6796000000000001E-4</v>
      </c>
      <c r="N2900" s="9">
        <v>1.6595999999999999E-4</v>
      </c>
      <c r="O2900" s="9">
        <v>1.9309000000000001E-4</v>
      </c>
      <c r="P2900" s="9">
        <v>1.5121000000000001E-4</v>
      </c>
      <c r="Q2900" s="9">
        <v>1.0886E-4</v>
      </c>
      <c r="R2900" s="10">
        <v>1.4752638093619162E-5</v>
      </c>
      <c r="S2900" s="10">
        <v>3.1453390550116958E-5</v>
      </c>
      <c r="T2900" s="10">
        <v>4.564213678402668E-4</v>
      </c>
      <c r="U2900" s="10">
        <v>1.0414E-4</v>
      </c>
      <c r="V2900" s="25"/>
      <c r="W2900" s="25"/>
      <c r="X2900" s="25"/>
      <c r="Y2900" s="25"/>
      <c r="Z2900" s="25"/>
      <c r="AA2900" s="25"/>
    </row>
    <row r="2901" spans="1:27" x14ac:dyDescent="0.35">
      <c r="A2901" s="5">
        <v>2897</v>
      </c>
      <c r="B2901" s="5">
        <v>121</v>
      </c>
      <c r="C2901" s="5">
        <v>5</v>
      </c>
      <c r="D2901" s="25">
        <v>1.1416E-4</v>
      </c>
      <c r="E2901" s="25">
        <v>1.2034E-4</v>
      </c>
      <c r="F2901" s="25">
        <v>1.0798000000000001E-4</v>
      </c>
      <c r="G2901" s="25">
        <v>1.6341000000000001E-4</v>
      </c>
      <c r="H2901" s="25">
        <v>2.0249999999999999E-4</v>
      </c>
      <c r="I2901" s="9">
        <v>1.1451999999999999E-4</v>
      </c>
      <c r="J2901" s="9">
        <v>1.0657E-4</v>
      </c>
      <c r="K2901" s="9">
        <v>0</v>
      </c>
      <c r="L2901" s="9">
        <v>1.8984000000000001E-4</v>
      </c>
      <c r="M2901" s="9">
        <v>1.6189000000000001E-4</v>
      </c>
      <c r="N2901" s="9">
        <v>1.5215000000000001E-4</v>
      </c>
      <c r="O2901" s="9">
        <v>2.1249999999999999E-4</v>
      </c>
      <c r="P2901" s="9">
        <v>1.6045E-4</v>
      </c>
      <c r="Q2901" s="9">
        <v>1.0792E-4</v>
      </c>
      <c r="R2901" s="10">
        <v>2.004679784008474E-5</v>
      </c>
      <c r="S2901" s="10">
        <v>3.519983981490072E-5</v>
      </c>
      <c r="T2901" s="10">
        <v>3.0216832135532572E-4</v>
      </c>
      <c r="U2901" s="10">
        <v>1.0414E-4</v>
      </c>
      <c r="V2901" s="25"/>
      <c r="W2901" s="25"/>
      <c r="X2901" s="25"/>
      <c r="Y2901" s="25"/>
      <c r="Z2901" s="25"/>
      <c r="AA2901" s="25"/>
    </row>
    <row r="2902" spans="1:27" x14ac:dyDescent="0.35">
      <c r="A2902" s="5">
        <v>2898</v>
      </c>
      <c r="B2902" s="5">
        <v>121</v>
      </c>
      <c r="C2902" s="5">
        <v>5</v>
      </c>
      <c r="D2902" s="25">
        <v>1.1415000000000001E-4</v>
      </c>
      <c r="E2902" s="25">
        <v>1.2238E-4</v>
      </c>
      <c r="F2902" s="25">
        <v>1.2723000000000001E-4</v>
      </c>
      <c r="G2902" s="25">
        <v>1.6629000000000001E-4</v>
      </c>
      <c r="H2902" s="25">
        <v>1.9504E-4</v>
      </c>
      <c r="I2902" s="9">
        <v>1.1534E-4</v>
      </c>
      <c r="J2902" s="9">
        <v>1.0202E-4</v>
      </c>
      <c r="K2902" s="9">
        <v>0</v>
      </c>
      <c r="L2902" s="9">
        <v>2.0731999999999999E-4</v>
      </c>
      <c r="M2902" s="9">
        <v>1.5966E-4</v>
      </c>
      <c r="N2902" s="9">
        <v>1.3909999999999999E-4</v>
      </c>
      <c r="O2902" s="9">
        <v>2.0463999999999999E-4</v>
      </c>
      <c r="P2902" s="9">
        <v>1.6203999999999999E-4</v>
      </c>
      <c r="Q2902" s="9">
        <v>1.1888E-4</v>
      </c>
      <c r="R2902" s="10">
        <v>2.7956520952210282E-5</v>
      </c>
      <c r="S2902" s="10">
        <v>4.209733301566058E-5</v>
      </c>
      <c r="T2902" s="10">
        <v>1.1214546881018381E-4</v>
      </c>
      <c r="U2902" s="10">
        <v>1.0414E-4</v>
      </c>
      <c r="V2902" s="25"/>
      <c r="W2902" s="25"/>
      <c r="X2902" s="25"/>
      <c r="Y2902" s="25"/>
      <c r="Z2902" s="25"/>
      <c r="AA2902" s="25"/>
    </row>
    <row r="2903" spans="1:27" x14ac:dyDescent="0.35">
      <c r="A2903" s="5">
        <v>2899</v>
      </c>
      <c r="B2903" s="5">
        <v>121</v>
      </c>
      <c r="C2903" s="5">
        <v>5</v>
      </c>
      <c r="D2903" s="25">
        <v>1.1416E-4</v>
      </c>
      <c r="E2903" s="25">
        <v>1.1878E-4</v>
      </c>
      <c r="F2903" s="25">
        <v>1.142E-4</v>
      </c>
      <c r="G2903" s="25">
        <v>1.0861000000000001E-4</v>
      </c>
      <c r="H2903" s="25">
        <v>1.3870000000000001E-4</v>
      </c>
      <c r="I2903" s="9">
        <v>1.1301E-4</v>
      </c>
      <c r="J2903" s="9">
        <v>9.9640000000000001E-5</v>
      </c>
      <c r="K2903" s="9">
        <v>0</v>
      </c>
      <c r="L2903" s="9">
        <v>2.0477000000000001E-4</v>
      </c>
      <c r="M2903" s="9">
        <v>1.6013999999999999E-4</v>
      </c>
      <c r="N2903" s="9">
        <v>1.3035E-4</v>
      </c>
      <c r="O2903" s="9">
        <v>1.6112E-4</v>
      </c>
      <c r="P2903" s="9">
        <v>1.339E-4</v>
      </c>
      <c r="Q2903" s="9">
        <v>1.0628000000000001E-4</v>
      </c>
      <c r="R2903" s="10">
        <v>4.1752311554913808E-5</v>
      </c>
      <c r="S2903" s="10">
        <v>5.0066038867672581E-5</v>
      </c>
      <c r="T2903" s="10">
        <v>1.7689764145047148E-5</v>
      </c>
      <c r="U2903" s="10">
        <v>1.0414E-4</v>
      </c>
      <c r="V2903" s="25"/>
      <c r="W2903" s="25"/>
      <c r="X2903" s="25"/>
      <c r="Y2903" s="25"/>
      <c r="Z2903" s="25"/>
      <c r="AA2903" s="25"/>
    </row>
    <row r="2904" spans="1:27" x14ac:dyDescent="0.35">
      <c r="A2904" s="5">
        <v>2900</v>
      </c>
      <c r="B2904" s="5">
        <v>121</v>
      </c>
      <c r="C2904" s="5">
        <v>5</v>
      </c>
      <c r="D2904" s="25">
        <v>1.1415000000000001E-4</v>
      </c>
      <c r="E2904" s="25">
        <v>1.2488000000000001E-4</v>
      </c>
      <c r="F2904" s="25">
        <v>1.2865000000000001E-4</v>
      </c>
      <c r="G2904" s="25">
        <v>1.0679999999999999E-4</v>
      </c>
      <c r="H2904" s="25">
        <v>1.2994999999999999E-4</v>
      </c>
      <c r="I2904" s="9">
        <v>1.1003E-4</v>
      </c>
      <c r="J2904" s="9">
        <v>9.8519999999999999E-5</v>
      </c>
      <c r="K2904" s="9">
        <v>0</v>
      </c>
      <c r="L2904" s="9">
        <v>1.7085000000000001E-4</v>
      </c>
      <c r="M2904" s="9">
        <v>1.5097999999999999E-4</v>
      </c>
      <c r="N2904" s="9">
        <v>1.2104000000000001E-4</v>
      </c>
      <c r="O2904" s="9">
        <v>1.2606E-4</v>
      </c>
      <c r="P2904" s="9">
        <v>1.1355E-4</v>
      </c>
      <c r="Q2904" s="9">
        <v>1.0073000000000001E-4</v>
      </c>
      <c r="R2904" s="10">
        <v>5.731483919245078E-5</v>
      </c>
      <c r="S2904" s="10">
        <v>5.5996444402635443E-5</v>
      </c>
      <c r="T2904" s="10">
        <v>0</v>
      </c>
      <c r="U2904" s="10">
        <v>1.0414E-4</v>
      </c>
      <c r="V2904" s="25"/>
      <c r="W2904" s="25"/>
      <c r="X2904" s="25"/>
      <c r="Y2904" s="25"/>
      <c r="Z2904" s="25"/>
      <c r="AA2904" s="25"/>
    </row>
    <row r="2905" spans="1:27" x14ac:dyDescent="0.35">
      <c r="A2905" s="5">
        <v>2901</v>
      </c>
      <c r="B2905" s="5">
        <v>121</v>
      </c>
      <c r="C2905" s="5">
        <v>5</v>
      </c>
      <c r="D2905" s="25">
        <v>1.1416E-4</v>
      </c>
      <c r="E2905" s="25">
        <v>1.1611E-4</v>
      </c>
      <c r="F2905" s="25">
        <v>1.1997000000000001E-4</v>
      </c>
      <c r="G2905" s="25">
        <v>5.9700000000000001E-5</v>
      </c>
      <c r="H2905" s="25">
        <v>6.3079999999999999E-5</v>
      </c>
      <c r="I2905" s="9">
        <v>1.1056999999999999E-4</v>
      </c>
      <c r="J2905" s="9">
        <v>1.0005000000000001E-4</v>
      </c>
      <c r="K2905" s="9">
        <v>0</v>
      </c>
      <c r="L2905" s="9">
        <v>1.3697000000000001E-4</v>
      </c>
      <c r="M2905" s="9">
        <v>1.349E-4</v>
      </c>
      <c r="N2905" s="9">
        <v>1.1309E-4</v>
      </c>
      <c r="O2905" s="9">
        <v>8.4330000000000001E-5</v>
      </c>
      <c r="P2905" s="9">
        <v>8.6489999999999994E-5</v>
      </c>
      <c r="Q2905" s="9">
        <v>8.8490000000000001E-5</v>
      </c>
      <c r="R2905" s="10">
        <v>7.5292359166352025E-5</v>
      </c>
      <c r="S2905" s="10">
        <v>6.4564593371893965E-5</v>
      </c>
      <c r="T2905" s="10">
        <v>0</v>
      </c>
      <c r="U2905" s="10">
        <v>1.0414E-4</v>
      </c>
      <c r="V2905" s="25"/>
      <c r="W2905" s="25"/>
      <c r="X2905" s="25"/>
      <c r="Y2905" s="25"/>
      <c r="Z2905" s="25"/>
      <c r="AA2905" s="25"/>
    </row>
    <row r="2906" spans="1:27" x14ac:dyDescent="0.35">
      <c r="A2906" s="5">
        <v>2902</v>
      </c>
      <c r="B2906" s="5">
        <v>121</v>
      </c>
      <c r="C2906" s="5">
        <v>5</v>
      </c>
      <c r="D2906" s="25">
        <v>1.1415000000000001E-4</v>
      </c>
      <c r="E2906" s="25">
        <v>1.2158E-4</v>
      </c>
      <c r="F2906" s="25">
        <v>1.2322E-4</v>
      </c>
      <c r="G2906" s="25">
        <v>6.1169999999999999E-5</v>
      </c>
      <c r="H2906" s="25">
        <v>7.6279999999999995E-5</v>
      </c>
      <c r="I2906" s="9">
        <v>1.1345000000000001E-4</v>
      </c>
      <c r="J2906" s="9">
        <v>9.7369999999999998E-5</v>
      </c>
      <c r="K2906" s="9">
        <v>0</v>
      </c>
      <c r="L2906" s="9">
        <v>9.6840000000000001E-5</v>
      </c>
      <c r="M2906" s="9">
        <v>1.1334E-4</v>
      </c>
      <c r="N2906" s="9">
        <v>1.0552000000000001E-4</v>
      </c>
      <c r="O2906" s="9">
        <v>8.619E-5</v>
      </c>
      <c r="P2906" s="9">
        <v>8.6990000000000006E-5</v>
      </c>
      <c r="Q2906" s="9">
        <v>8.763E-5</v>
      </c>
      <c r="R2906" s="10">
        <v>8.4870566146516826E-5</v>
      </c>
      <c r="S2906" s="10">
        <v>6.7463421148498522E-5</v>
      </c>
      <c r="T2906" s="10">
        <v>0</v>
      </c>
      <c r="U2906" s="10">
        <v>1.0414E-4</v>
      </c>
      <c r="V2906" s="25"/>
      <c r="W2906" s="25"/>
      <c r="X2906" s="25"/>
      <c r="Y2906" s="25"/>
      <c r="Z2906" s="25"/>
      <c r="AA2906" s="25"/>
    </row>
    <row r="2907" spans="1:27" x14ac:dyDescent="0.35">
      <c r="A2907" s="5">
        <v>2903</v>
      </c>
      <c r="B2907" s="5">
        <v>121</v>
      </c>
      <c r="C2907" s="5">
        <v>5</v>
      </c>
      <c r="D2907" s="25">
        <v>1.1416E-4</v>
      </c>
      <c r="E2907" s="25">
        <v>1.2047E-4</v>
      </c>
      <c r="F2907" s="25">
        <v>1.0921000000000001E-4</v>
      </c>
      <c r="G2907" s="25">
        <v>6.0050000000000003E-5</v>
      </c>
      <c r="H2907" s="25">
        <v>6.9239999999999994E-5</v>
      </c>
      <c r="I2907" s="9">
        <v>1.1315999999999999E-4</v>
      </c>
      <c r="J2907" s="9">
        <v>9.2150000000000004E-5</v>
      </c>
      <c r="K2907" s="9">
        <v>0</v>
      </c>
      <c r="L2907" s="9">
        <v>8.9400000000000005E-5</v>
      </c>
      <c r="M2907" s="9">
        <v>9.8610000000000006E-5</v>
      </c>
      <c r="N2907" s="9">
        <v>9.9539999999999999E-5</v>
      </c>
      <c r="O2907" s="9">
        <v>7.7210000000000001E-5</v>
      </c>
      <c r="P2907" s="9">
        <v>7.1950000000000001E-5</v>
      </c>
      <c r="Q2907" s="9">
        <v>6.6719999999999998E-5</v>
      </c>
      <c r="R2907" s="10">
        <v>8.2574636975140439E-5</v>
      </c>
      <c r="S2907" s="10">
        <v>6.3831239898853013E-5</v>
      </c>
      <c r="T2907" s="10">
        <v>0</v>
      </c>
      <c r="U2907" s="10">
        <v>1.0414E-4</v>
      </c>
      <c r="V2907" s="25"/>
      <c r="W2907" s="25"/>
      <c r="X2907" s="25"/>
      <c r="Y2907" s="25"/>
      <c r="Z2907" s="25"/>
      <c r="AA2907" s="25"/>
    </row>
    <row r="2908" spans="1:27" x14ac:dyDescent="0.35">
      <c r="A2908" s="5">
        <v>2904</v>
      </c>
      <c r="B2908" s="5">
        <v>121</v>
      </c>
      <c r="C2908" s="5">
        <v>5</v>
      </c>
      <c r="D2908" s="25">
        <v>1.1415000000000001E-4</v>
      </c>
      <c r="E2908" s="25">
        <v>1.1376E-4</v>
      </c>
      <c r="F2908" s="25">
        <v>1.1242E-4</v>
      </c>
      <c r="G2908" s="25">
        <v>5.9150000000000001E-5</v>
      </c>
      <c r="H2908" s="25">
        <v>7.0660000000000004E-5</v>
      </c>
      <c r="I2908" s="9">
        <v>1.0503E-4</v>
      </c>
      <c r="J2908" s="9">
        <v>9.1000000000000003E-5</v>
      </c>
      <c r="K2908" s="9">
        <v>0</v>
      </c>
      <c r="L2908" s="9">
        <v>7.9889999999999996E-5</v>
      </c>
      <c r="M2908" s="9">
        <v>8.5760000000000006E-5</v>
      </c>
      <c r="N2908" s="9">
        <v>9.022E-5</v>
      </c>
      <c r="O2908" s="9">
        <v>6.3239999999999998E-5</v>
      </c>
      <c r="P2908" s="9">
        <v>6.1299999999999999E-5</v>
      </c>
      <c r="Q2908" s="9">
        <v>5.9469999999999998E-5</v>
      </c>
      <c r="R2908" s="10">
        <v>7.1074389529932009E-5</v>
      </c>
      <c r="S2908" s="10">
        <v>4.292039498575873E-5</v>
      </c>
      <c r="T2908" s="10">
        <v>0</v>
      </c>
      <c r="U2908" s="10">
        <v>1.0414E-4</v>
      </c>
      <c r="V2908" s="25"/>
      <c r="W2908" s="25"/>
      <c r="X2908" s="25"/>
      <c r="Y2908" s="25"/>
      <c r="Z2908" s="25"/>
      <c r="AA2908" s="25"/>
    </row>
    <row r="2909" spans="1:27" x14ac:dyDescent="0.35">
      <c r="A2909" s="5">
        <v>2905</v>
      </c>
      <c r="B2909" s="5">
        <v>122</v>
      </c>
      <c r="C2909" s="5">
        <v>5</v>
      </c>
      <c r="D2909" s="25">
        <v>1.1416E-4</v>
      </c>
      <c r="E2909" s="25">
        <v>1.122E-4</v>
      </c>
      <c r="F2909" s="25">
        <v>9.6329999999999994E-5</v>
      </c>
      <c r="G2909" s="25">
        <v>6.037E-5</v>
      </c>
      <c r="H2909" s="25">
        <v>6.491E-5</v>
      </c>
      <c r="I2909" s="9">
        <v>9.9069999999999998E-5</v>
      </c>
      <c r="J2909" s="9">
        <v>9.1240000000000001E-5</v>
      </c>
      <c r="K2909" s="9">
        <v>4.2400000000000001E-6</v>
      </c>
      <c r="L2909" s="9">
        <v>6.6909999999999995E-5</v>
      </c>
      <c r="M2909" s="9">
        <v>7.4010000000000005E-5</v>
      </c>
      <c r="N2909" s="9">
        <v>8.1009999999999999E-5</v>
      </c>
      <c r="O2909" s="9">
        <v>5.4070000000000002E-5</v>
      </c>
      <c r="P2909" s="9">
        <v>5.3489999999999998E-5</v>
      </c>
      <c r="Q2909" s="9">
        <v>5.3069999999999998E-5</v>
      </c>
      <c r="R2909" s="10">
        <v>4.9556902793870034E-5</v>
      </c>
      <c r="S2909" s="10">
        <v>3.8714275186469121E-5</v>
      </c>
      <c r="T2909" s="10">
        <v>0</v>
      </c>
      <c r="U2909" s="10">
        <v>1.0760999999999999E-4</v>
      </c>
      <c r="V2909" s="25"/>
      <c r="W2909" s="25"/>
      <c r="X2909" s="25"/>
      <c r="Y2909" s="25"/>
      <c r="Z2909" s="25"/>
      <c r="AA2909" s="25"/>
    </row>
    <row r="2910" spans="1:27" x14ac:dyDescent="0.35">
      <c r="A2910" s="5">
        <v>2906</v>
      </c>
      <c r="B2910" s="5">
        <v>122</v>
      </c>
      <c r="C2910" s="5">
        <v>5</v>
      </c>
      <c r="D2910" s="25">
        <v>1.1415000000000001E-4</v>
      </c>
      <c r="E2910" s="25">
        <v>1.1396999999999999E-4</v>
      </c>
      <c r="F2910" s="25">
        <v>9.0970000000000005E-5</v>
      </c>
      <c r="G2910" s="25">
        <v>5.3329999999999999E-5</v>
      </c>
      <c r="H2910" s="25">
        <v>7.3499999999999998E-5</v>
      </c>
      <c r="I2910" s="9">
        <v>9.5359999999999995E-5</v>
      </c>
      <c r="J2910" s="9">
        <v>9.0680000000000006E-5</v>
      </c>
      <c r="K2910" s="9">
        <v>1.696E-5</v>
      </c>
      <c r="L2910" s="9">
        <v>5.7240000000000001E-5</v>
      </c>
      <c r="M2910" s="9">
        <v>6.3849999999999993E-5</v>
      </c>
      <c r="N2910" s="9">
        <v>7.1899999999999999E-5</v>
      </c>
      <c r="O2910" s="9">
        <v>1.9349999999999999E-5</v>
      </c>
      <c r="P2910" s="9">
        <v>3.7450000000000002E-5</v>
      </c>
      <c r="Q2910" s="9">
        <v>5.5729999999999997E-5</v>
      </c>
      <c r="R2910" s="10">
        <v>3.5446642231734007E-5</v>
      </c>
      <c r="S2910" s="10">
        <v>3.6121101074518928E-5</v>
      </c>
      <c r="T2910" s="10">
        <v>0</v>
      </c>
      <c r="U2910" s="10">
        <v>1.0760999999999999E-4</v>
      </c>
      <c r="V2910" s="25"/>
      <c r="W2910" s="25"/>
      <c r="X2910" s="25"/>
      <c r="Y2910" s="25"/>
      <c r="Z2910" s="25"/>
      <c r="AA2910" s="25"/>
    </row>
    <row r="2911" spans="1:27" x14ac:dyDescent="0.35">
      <c r="A2911" s="5">
        <v>2907</v>
      </c>
      <c r="B2911" s="5">
        <v>122</v>
      </c>
      <c r="C2911" s="5">
        <v>5</v>
      </c>
      <c r="D2911" s="25">
        <v>1.1416E-4</v>
      </c>
      <c r="E2911" s="25">
        <v>1.2188000000000001E-4</v>
      </c>
      <c r="F2911" s="25">
        <v>1.07E-4</v>
      </c>
      <c r="G2911" s="25">
        <v>5.2460000000000003E-5</v>
      </c>
      <c r="H2911" s="25">
        <v>6.6619999999999996E-5</v>
      </c>
      <c r="I2911" s="9">
        <v>9.3739999999999994E-5</v>
      </c>
      <c r="J2911" s="9">
        <v>8.9469999999999995E-5</v>
      </c>
      <c r="K2911" s="9">
        <v>1.484E-5</v>
      </c>
      <c r="L2911" s="9">
        <v>2.7909999999999999E-5</v>
      </c>
      <c r="M2911" s="9">
        <v>5.2009999999999998E-5</v>
      </c>
      <c r="N2911" s="9">
        <v>6.5289999999999993E-5</v>
      </c>
      <c r="O2911" s="9">
        <v>1.4070000000000001E-5</v>
      </c>
      <c r="P2911" s="9">
        <v>3.7610000000000001E-5</v>
      </c>
      <c r="Q2911" s="9">
        <v>6.1299999999999999E-5</v>
      </c>
      <c r="R2911" s="10">
        <v>2.8397408931005414E-5</v>
      </c>
      <c r="S2911" s="10">
        <v>3.443026788241013E-5</v>
      </c>
      <c r="T2911" s="10">
        <v>0</v>
      </c>
      <c r="U2911" s="10">
        <v>1.0760999999999999E-4</v>
      </c>
      <c r="V2911" s="25"/>
      <c r="W2911" s="25"/>
      <c r="X2911" s="25"/>
      <c r="Y2911" s="25"/>
      <c r="Z2911" s="25"/>
      <c r="AA2911" s="25"/>
    </row>
    <row r="2912" spans="1:27" x14ac:dyDescent="0.35">
      <c r="A2912" s="5">
        <v>2908</v>
      </c>
      <c r="B2912" s="5">
        <v>122</v>
      </c>
      <c r="C2912" s="5">
        <v>5</v>
      </c>
      <c r="D2912" s="25">
        <v>1.1415000000000001E-4</v>
      </c>
      <c r="E2912" s="25">
        <v>1.1132E-4</v>
      </c>
      <c r="F2912" s="25">
        <v>9.4729999999999996E-5</v>
      </c>
      <c r="G2912" s="25">
        <v>5.6499999999999998E-5</v>
      </c>
      <c r="H2912" s="25">
        <v>7.0569999999999997E-5</v>
      </c>
      <c r="I2912" s="9">
        <v>9.3250000000000003E-5</v>
      </c>
      <c r="J2912" s="9">
        <v>8.8889999999999998E-5</v>
      </c>
      <c r="K2912" s="9">
        <v>2.756E-5</v>
      </c>
      <c r="L2912" s="9">
        <v>1.7839999999999999E-5</v>
      </c>
      <c r="M2912" s="9">
        <v>4.3989999999999997E-5</v>
      </c>
      <c r="N2912" s="9">
        <v>6.1710000000000004E-5</v>
      </c>
      <c r="O2912" s="9">
        <v>1.419E-5</v>
      </c>
      <c r="P2912" s="9">
        <v>4.7429999999999998E-5</v>
      </c>
      <c r="Q2912" s="9">
        <v>8.0669999999999998E-5</v>
      </c>
      <c r="R2912" s="10">
        <v>2.1052355875445372E-5</v>
      </c>
      <c r="S2912" s="10">
        <v>3.25168598198932E-5</v>
      </c>
      <c r="T2912" s="10">
        <v>0</v>
      </c>
      <c r="U2912" s="10">
        <v>1.0760999999999999E-4</v>
      </c>
      <c r="V2912" s="25"/>
      <c r="W2912" s="25"/>
      <c r="X2912" s="25"/>
      <c r="Y2912" s="25"/>
      <c r="Z2912" s="25"/>
      <c r="AA2912" s="25"/>
    </row>
    <row r="2913" spans="1:27" x14ac:dyDescent="0.35">
      <c r="A2913" s="5">
        <v>2909</v>
      </c>
      <c r="B2913" s="5">
        <v>122</v>
      </c>
      <c r="C2913" s="5">
        <v>5</v>
      </c>
      <c r="D2913" s="25">
        <v>1.1416E-4</v>
      </c>
      <c r="E2913" s="25">
        <v>1.1765999999999999E-4</v>
      </c>
      <c r="F2913" s="25">
        <v>8.6879999999999995E-5</v>
      </c>
      <c r="G2913" s="25">
        <v>5.982E-5</v>
      </c>
      <c r="H2913" s="25">
        <v>6.3399999999999996E-5</v>
      </c>
      <c r="I2913" s="9">
        <v>9.4480000000000003E-5</v>
      </c>
      <c r="J2913" s="9">
        <v>8.9060000000000005E-5</v>
      </c>
      <c r="K2913" s="9">
        <v>4.0269999999999999E-5</v>
      </c>
      <c r="L2913" s="9">
        <v>1.523E-5</v>
      </c>
      <c r="M2913" s="9">
        <v>4.3439999999999997E-5</v>
      </c>
      <c r="N2913" s="9">
        <v>6.4350000000000006E-5</v>
      </c>
      <c r="O2913" s="9">
        <v>1.9570000000000001E-5</v>
      </c>
      <c r="P2913" s="9">
        <v>5.681E-5</v>
      </c>
      <c r="Q2913" s="9">
        <v>9.3930000000000004E-5</v>
      </c>
      <c r="R2913" s="10">
        <v>1.2151580911773902E-5</v>
      </c>
      <c r="S2913" s="10">
        <v>2.9634156796175261E-5</v>
      </c>
      <c r="T2913" s="10">
        <v>0</v>
      </c>
      <c r="U2913" s="10">
        <v>1.0760999999999999E-4</v>
      </c>
      <c r="V2913" s="25"/>
      <c r="W2913" s="25"/>
      <c r="X2913" s="25"/>
      <c r="Y2913" s="25"/>
      <c r="Z2913" s="25"/>
      <c r="AA2913" s="25"/>
    </row>
    <row r="2914" spans="1:27" x14ac:dyDescent="0.35">
      <c r="A2914" s="5">
        <v>2910</v>
      </c>
      <c r="B2914" s="5">
        <v>122</v>
      </c>
      <c r="C2914" s="5">
        <v>5</v>
      </c>
      <c r="D2914" s="25">
        <v>1.1415000000000001E-4</v>
      </c>
      <c r="E2914" s="25">
        <v>1.1792E-4</v>
      </c>
      <c r="F2914" s="25">
        <v>9.5989999999999994E-5</v>
      </c>
      <c r="G2914" s="25">
        <v>1.0792E-4</v>
      </c>
      <c r="H2914" s="25">
        <v>1.2506E-4</v>
      </c>
      <c r="I2914" s="9">
        <v>9.4699999999999998E-5</v>
      </c>
      <c r="J2914" s="9">
        <v>8.8709999999999996E-5</v>
      </c>
      <c r="K2914" s="9">
        <v>1.06E-5</v>
      </c>
      <c r="L2914" s="9">
        <v>1.8479999999999999E-5</v>
      </c>
      <c r="M2914" s="9">
        <v>4.846E-5</v>
      </c>
      <c r="N2914" s="9">
        <v>7.0980000000000001E-5</v>
      </c>
      <c r="O2914" s="9">
        <v>4.6440000000000003E-5</v>
      </c>
      <c r="P2914" s="9">
        <v>7.6849999999999998E-5</v>
      </c>
      <c r="Q2914" s="9">
        <v>1.0702E-4</v>
      </c>
      <c r="R2914" s="10">
        <v>7.3530218284839384E-6</v>
      </c>
      <c r="S2914" s="10">
        <v>2.6157154319703372E-5</v>
      </c>
      <c r="T2914" s="10">
        <v>1.8987861945618954E-5</v>
      </c>
      <c r="U2914" s="10">
        <v>1.0760999999999999E-4</v>
      </c>
      <c r="V2914" s="25"/>
      <c r="W2914" s="25"/>
      <c r="X2914" s="25"/>
      <c r="Y2914" s="25"/>
      <c r="Z2914" s="25"/>
      <c r="AA2914" s="25"/>
    </row>
    <row r="2915" spans="1:27" x14ac:dyDescent="0.35">
      <c r="A2915" s="5">
        <v>2911</v>
      </c>
      <c r="B2915" s="5">
        <v>122</v>
      </c>
      <c r="C2915" s="5">
        <v>5</v>
      </c>
      <c r="D2915" s="25">
        <v>1.1416E-4</v>
      </c>
      <c r="E2915" s="25">
        <v>1.1218E-4</v>
      </c>
      <c r="F2915" s="25">
        <v>8.5480000000000002E-5</v>
      </c>
      <c r="G2915" s="25">
        <v>1.0624E-4</v>
      </c>
      <c r="H2915" s="25">
        <v>1.3685999999999999E-4</v>
      </c>
      <c r="I2915" s="9">
        <v>9.2460000000000006E-5</v>
      </c>
      <c r="J2915" s="9">
        <v>8.954E-5</v>
      </c>
      <c r="K2915" s="9">
        <v>0</v>
      </c>
      <c r="L2915" s="9">
        <v>4.015E-5</v>
      </c>
      <c r="M2915" s="9">
        <v>6.0090000000000002E-5</v>
      </c>
      <c r="N2915" s="9">
        <v>8.0729999999999994E-5</v>
      </c>
      <c r="O2915" s="9">
        <v>1.2148E-4</v>
      </c>
      <c r="P2915" s="9">
        <v>1.1695E-4</v>
      </c>
      <c r="Q2915" s="9">
        <v>1.1203E-4</v>
      </c>
      <c r="R2915" s="10">
        <v>6.739283625881947E-6</v>
      </c>
      <c r="S2915" s="10">
        <v>2.3744244226585541E-5</v>
      </c>
      <c r="T2915" s="10">
        <v>1.4588752732570058E-4</v>
      </c>
      <c r="U2915" s="10">
        <v>1.0760999999999999E-4</v>
      </c>
      <c r="V2915" s="25"/>
      <c r="W2915" s="25"/>
      <c r="X2915" s="25"/>
      <c r="Y2915" s="25"/>
      <c r="Z2915" s="25"/>
      <c r="AA2915" s="25"/>
    </row>
    <row r="2916" spans="1:27" x14ac:dyDescent="0.35">
      <c r="A2916" s="5">
        <v>2912</v>
      </c>
      <c r="B2916" s="5">
        <v>122</v>
      </c>
      <c r="C2916" s="5">
        <v>5</v>
      </c>
      <c r="D2916" s="25">
        <v>1.1415000000000001E-4</v>
      </c>
      <c r="E2916" s="25">
        <v>1.1197E-4</v>
      </c>
      <c r="F2916" s="25">
        <v>8.5210000000000006E-5</v>
      </c>
      <c r="G2916" s="25">
        <v>1.5822000000000001E-4</v>
      </c>
      <c r="H2916" s="25">
        <v>1.8851999999999999E-4</v>
      </c>
      <c r="I2916" s="9">
        <v>9.3750000000000002E-5</v>
      </c>
      <c r="J2916" s="9">
        <v>9.4090000000000002E-5</v>
      </c>
      <c r="K2916" s="9">
        <v>0</v>
      </c>
      <c r="L2916" s="9">
        <v>1.0298000000000001E-4</v>
      </c>
      <c r="M2916" s="9">
        <v>8.3549999999999998E-5</v>
      </c>
      <c r="N2916" s="9">
        <v>9.0760000000000005E-5</v>
      </c>
      <c r="O2916" s="9">
        <v>2.1413000000000001E-4</v>
      </c>
      <c r="P2916" s="9">
        <v>1.7501999999999999E-4</v>
      </c>
      <c r="Q2916" s="9">
        <v>1.3520000000000001E-4</v>
      </c>
      <c r="R2916" s="10">
        <v>4.9195465741406217E-6</v>
      </c>
      <c r="S2916" s="10">
        <v>2.1091041669424823E-5</v>
      </c>
      <c r="T2916" s="10">
        <v>3.4020343534201463E-4</v>
      </c>
      <c r="U2916" s="10">
        <v>1.0760999999999999E-4</v>
      </c>
      <c r="V2916" s="25"/>
      <c r="W2916" s="25"/>
      <c r="X2916" s="25"/>
      <c r="Y2916" s="25"/>
      <c r="Z2916" s="25"/>
      <c r="AA2916" s="25"/>
    </row>
    <row r="2917" spans="1:27" x14ac:dyDescent="0.35">
      <c r="A2917" s="5">
        <v>2913</v>
      </c>
      <c r="B2917" s="5">
        <v>122</v>
      </c>
      <c r="C2917" s="5">
        <v>5</v>
      </c>
      <c r="D2917" s="25">
        <v>1.1416E-4</v>
      </c>
      <c r="E2917" s="25">
        <v>1.167E-4</v>
      </c>
      <c r="F2917" s="25">
        <v>8.9660000000000006E-5</v>
      </c>
      <c r="G2917" s="25">
        <v>1.5789999999999999E-4</v>
      </c>
      <c r="H2917" s="25">
        <v>1.8615999999999999E-4</v>
      </c>
      <c r="I2917" s="9">
        <v>9.522E-5</v>
      </c>
      <c r="J2917" s="9">
        <v>1.0009E-4</v>
      </c>
      <c r="K2917" s="9">
        <v>0</v>
      </c>
      <c r="L2917" s="9">
        <v>1.8794999999999999E-4</v>
      </c>
      <c r="M2917" s="9">
        <v>1.2255E-4</v>
      </c>
      <c r="N2917" s="9">
        <v>1.0419E-4</v>
      </c>
      <c r="O2917" s="9">
        <v>2.0714E-4</v>
      </c>
      <c r="P2917" s="9">
        <v>1.9199000000000001E-4</v>
      </c>
      <c r="Q2917" s="9">
        <v>1.7583E-4</v>
      </c>
      <c r="R2917" s="10">
        <v>2.1897884934316055E-6</v>
      </c>
      <c r="S2917" s="10">
        <v>1.5332045719074205E-5</v>
      </c>
      <c r="T2917" s="10">
        <v>4.9663694675994231E-4</v>
      </c>
      <c r="U2917" s="10">
        <v>1.0760999999999999E-4</v>
      </c>
      <c r="V2917" s="25"/>
      <c r="W2917" s="25"/>
      <c r="X2917" s="25"/>
      <c r="Y2917" s="25"/>
      <c r="Z2917" s="25"/>
      <c r="AA2917" s="25"/>
    </row>
    <row r="2918" spans="1:27" x14ac:dyDescent="0.35">
      <c r="A2918" s="5">
        <v>2914</v>
      </c>
      <c r="B2918" s="5">
        <v>122</v>
      </c>
      <c r="C2918" s="5">
        <v>5</v>
      </c>
      <c r="D2918" s="25">
        <v>1.1415000000000001E-4</v>
      </c>
      <c r="E2918" s="25">
        <v>1.182E-4</v>
      </c>
      <c r="F2918" s="25">
        <v>9.1420000000000002E-5</v>
      </c>
      <c r="G2918" s="25">
        <v>1.5805999999999999E-4</v>
      </c>
      <c r="H2918" s="25">
        <v>1.9613000000000001E-4</v>
      </c>
      <c r="I2918" s="9">
        <v>9.3880000000000002E-5</v>
      </c>
      <c r="J2918" s="9">
        <v>1.0312E-4</v>
      </c>
      <c r="K2918" s="9">
        <v>0</v>
      </c>
      <c r="L2918" s="9">
        <v>2.0069E-4</v>
      </c>
      <c r="M2918" s="9">
        <v>1.5741999999999999E-4</v>
      </c>
      <c r="N2918" s="9">
        <v>1.2399000000000001E-4</v>
      </c>
      <c r="O2918" s="9">
        <v>1.6604E-4</v>
      </c>
      <c r="P2918" s="9">
        <v>1.751E-4</v>
      </c>
      <c r="Q2918" s="9">
        <v>1.8315000000000001E-4</v>
      </c>
      <c r="R2918" s="10">
        <v>1.2799067852537088E-6</v>
      </c>
      <c r="S2918" s="10">
        <v>1.0289642607932237E-5</v>
      </c>
      <c r="T2918" s="10">
        <v>5.9246710791980206E-4</v>
      </c>
      <c r="U2918" s="10">
        <v>1.0760999999999999E-4</v>
      </c>
      <c r="V2918" s="25"/>
      <c r="W2918" s="25"/>
      <c r="X2918" s="25"/>
      <c r="Y2918" s="25"/>
      <c r="Z2918" s="25"/>
      <c r="AA2918" s="25"/>
    </row>
    <row r="2919" spans="1:27" x14ac:dyDescent="0.35">
      <c r="A2919" s="5">
        <v>2915</v>
      </c>
      <c r="B2919" s="5">
        <v>122</v>
      </c>
      <c r="C2919" s="5">
        <v>5</v>
      </c>
      <c r="D2919" s="25">
        <v>1.1416E-4</v>
      </c>
      <c r="E2919" s="25">
        <v>1.2174E-4</v>
      </c>
      <c r="F2919" s="25">
        <v>9.7410000000000004E-5</v>
      </c>
      <c r="G2919" s="25">
        <v>1.6375E-4</v>
      </c>
      <c r="H2919" s="25">
        <v>1.9257000000000001E-4</v>
      </c>
      <c r="I2919" s="9">
        <v>8.9350000000000003E-5</v>
      </c>
      <c r="J2919" s="9">
        <v>1.0385E-4</v>
      </c>
      <c r="K2919" s="9">
        <v>0</v>
      </c>
      <c r="L2919" s="9">
        <v>1.7372000000000001E-4</v>
      </c>
      <c r="M2919" s="9">
        <v>1.7187999999999999E-4</v>
      </c>
      <c r="N2919" s="9">
        <v>1.4234E-4</v>
      </c>
      <c r="O2919" s="9">
        <v>1.6405E-4</v>
      </c>
      <c r="P2919" s="9">
        <v>1.7165999999999999E-4</v>
      </c>
      <c r="Q2919" s="9">
        <v>1.783E-4</v>
      </c>
      <c r="R2919" s="10">
        <v>9.3975925844632654E-7</v>
      </c>
      <c r="S2919" s="10">
        <v>9.0477578982571926E-6</v>
      </c>
      <c r="T2919" s="10">
        <v>6.1959989724155783E-4</v>
      </c>
      <c r="U2919" s="10">
        <v>1.0760999999999999E-4</v>
      </c>
      <c r="V2919" s="25"/>
      <c r="W2919" s="25"/>
      <c r="X2919" s="25"/>
      <c r="Y2919" s="25"/>
      <c r="Z2919" s="25"/>
      <c r="AA2919" s="25"/>
    </row>
    <row r="2920" spans="1:27" x14ac:dyDescent="0.35">
      <c r="A2920" s="5">
        <v>2916</v>
      </c>
      <c r="B2920" s="5">
        <v>122</v>
      </c>
      <c r="C2920" s="5">
        <v>5</v>
      </c>
      <c r="D2920" s="25">
        <v>1.1415000000000001E-4</v>
      </c>
      <c r="E2920" s="25">
        <v>1.1738E-4</v>
      </c>
      <c r="F2920" s="25">
        <v>1.0006E-4</v>
      </c>
      <c r="G2920" s="25">
        <v>1.5747999999999999E-4</v>
      </c>
      <c r="H2920" s="25">
        <v>1.8959000000000001E-4</v>
      </c>
      <c r="I2920" s="9">
        <v>8.5220000000000001E-5</v>
      </c>
      <c r="J2920" s="9">
        <v>1.037E-4</v>
      </c>
      <c r="K2920" s="9">
        <v>0</v>
      </c>
      <c r="L2920" s="9">
        <v>1.6750000000000001E-4</v>
      </c>
      <c r="M2920" s="9">
        <v>1.7433999999999999E-4</v>
      </c>
      <c r="N2920" s="9">
        <v>1.5621999999999999E-4</v>
      </c>
      <c r="O2920" s="9">
        <v>1.6691000000000001E-4</v>
      </c>
      <c r="P2920" s="9">
        <v>1.7050999999999999E-4</v>
      </c>
      <c r="Q2920" s="9">
        <v>1.7317E-4</v>
      </c>
      <c r="R2920" s="10">
        <v>7.7113961165828756E-7</v>
      </c>
      <c r="S2920" s="10">
        <v>8.792944323651764E-6</v>
      </c>
      <c r="T2920" s="10">
        <v>6.9540711193508131E-4</v>
      </c>
      <c r="U2920" s="10">
        <v>1.0760999999999999E-4</v>
      </c>
      <c r="V2920" s="25"/>
      <c r="W2920" s="25"/>
      <c r="X2920" s="25"/>
      <c r="Y2920" s="25"/>
      <c r="Z2920" s="25"/>
      <c r="AA2920" s="25"/>
    </row>
    <row r="2921" spans="1:27" x14ac:dyDescent="0.35">
      <c r="A2921" s="5">
        <v>2917</v>
      </c>
      <c r="B2921" s="5">
        <v>122</v>
      </c>
      <c r="C2921" s="5">
        <v>5</v>
      </c>
      <c r="D2921" s="25">
        <v>1.1416E-4</v>
      </c>
      <c r="E2921" s="25">
        <v>1.1822E-4</v>
      </c>
      <c r="F2921" s="25">
        <v>1.0508E-4</v>
      </c>
      <c r="G2921" s="25">
        <v>1.6286E-4</v>
      </c>
      <c r="H2921" s="25">
        <v>1.8647999999999999E-4</v>
      </c>
      <c r="I2921" s="9">
        <v>7.9629999999999995E-5</v>
      </c>
      <c r="J2921" s="9">
        <v>1.0102000000000001E-4</v>
      </c>
      <c r="K2921" s="9">
        <v>0</v>
      </c>
      <c r="L2921" s="9">
        <v>1.6725E-4</v>
      </c>
      <c r="M2921" s="9">
        <v>1.7307999999999999E-4</v>
      </c>
      <c r="N2921" s="9">
        <v>1.6557E-4</v>
      </c>
      <c r="O2921" s="9">
        <v>1.6091E-4</v>
      </c>
      <c r="P2921" s="9">
        <v>1.6521999999999999E-4</v>
      </c>
      <c r="Q2921" s="9">
        <v>1.6865000000000001E-4</v>
      </c>
      <c r="R2921" s="10">
        <v>5.5131311007884324E-7</v>
      </c>
      <c r="S2921" s="10">
        <v>8.0206610463457814E-6</v>
      </c>
      <c r="T2921" s="10">
        <v>7.2333742539575042E-4</v>
      </c>
      <c r="U2921" s="10">
        <v>1.0760999999999999E-4</v>
      </c>
      <c r="V2921" s="25"/>
      <c r="W2921" s="25"/>
      <c r="X2921" s="25"/>
      <c r="Y2921" s="25"/>
      <c r="Z2921" s="25"/>
      <c r="AA2921" s="25"/>
    </row>
    <row r="2922" spans="1:27" x14ac:dyDescent="0.35">
      <c r="A2922" s="5">
        <v>2918</v>
      </c>
      <c r="B2922" s="5">
        <v>122</v>
      </c>
      <c r="C2922" s="5">
        <v>5</v>
      </c>
      <c r="D2922" s="25">
        <v>1.1415000000000001E-4</v>
      </c>
      <c r="E2922" s="25">
        <v>1.1427E-4</v>
      </c>
      <c r="F2922" s="25">
        <v>8.7159999999999999E-5</v>
      </c>
      <c r="G2922" s="25">
        <v>1.5825E-4</v>
      </c>
      <c r="H2922" s="25">
        <v>1.8851E-4</v>
      </c>
      <c r="I2922" s="9">
        <v>7.6559999999999999E-5</v>
      </c>
      <c r="J2922" s="9">
        <v>9.8859999999999999E-5</v>
      </c>
      <c r="K2922" s="9">
        <v>0</v>
      </c>
      <c r="L2922" s="9">
        <v>1.6207E-4</v>
      </c>
      <c r="M2922" s="9">
        <v>1.6987999999999999E-4</v>
      </c>
      <c r="N2922" s="9">
        <v>1.7029E-4</v>
      </c>
      <c r="O2922" s="9">
        <v>1.7560000000000001E-4</v>
      </c>
      <c r="P2922" s="9">
        <v>1.6844000000000001E-4</v>
      </c>
      <c r="Q2922" s="9">
        <v>1.6043000000000001E-4</v>
      </c>
      <c r="R2922" s="10">
        <v>5.7123992134465062E-7</v>
      </c>
      <c r="S2922" s="10">
        <v>8.0049082650268264E-6</v>
      </c>
      <c r="T2922" s="10">
        <v>6.0944419091943738E-4</v>
      </c>
      <c r="U2922" s="10">
        <v>1.0760999999999999E-4</v>
      </c>
      <c r="V2922" s="25"/>
      <c r="W2922" s="25"/>
      <c r="X2922" s="25"/>
      <c r="Y2922" s="25"/>
      <c r="Z2922" s="25"/>
      <c r="AA2922" s="25"/>
    </row>
    <row r="2923" spans="1:27" x14ac:dyDescent="0.35">
      <c r="A2923" s="5">
        <v>2919</v>
      </c>
      <c r="B2923" s="5">
        <v>122</v>
      </c>
      <c r="C2923" s="5">
        <v>5</v>
      </c>
      <c r="D2923" s="25">
        <v>1.1416E-4</v>
      </c>
      <c r="E2923" s="25">
        <v>1.1764000000000001E-4</v>
      </c>
      <c r="F2923" s="25">
        <v>8.7830000000000004E-5</v>
      </c>
      <c r="G2923" s="25">
        <v>1.6384E-4</v>
      </c>
      <c r="H2923" s="25">
        <v>1.9490999999999999E-4</v>
      </c>
      <c r="I2923" s="9">
        <v>7.6710000000000002E-5</v>
      </c>
      <c r="J2923" s="9">
        <v>9.7579999999999997E-5</v>
      </c>
      <c r="K2923" s="9">
        <v>0</v>
      </c>
      <c r="L2923" s="9">
        <v>1.7273000000000001E-4</v>
      </c>
      <c r="M2923" s="9">
        <v>1.6846999999999999E-4</v>
      </c>
      <c r="N2923" s="9">
        <v>1.6983999999999999E-4</v>
      </c>
      <c r="O2923" s="9">
        <v>1.8017E-4</v>
      </c>
      <c r="P2923" s="9">
        <v>1.6634000000000001E-4</v>
      </c>
      <c r="Q2923" s="9">
        <v>1.5171999999999999E-4</v>
      </c>
      <c r="R2923" s="10">
        <v>9.7482816801406104E-7</v>
      </c>
      <c r="S2923" s="10">
        <v>9.0603464056037202E-6</v>
      </c>
      <c r="T2923" s="10">
        <v>5.3084564173971687E-4</v>
      </c>
      <c r="U2923" s="10">
        <v>1.0760999999999999E-4</v>
      </c>
      <c r="V2923" s="25"/>
      <c r="W2923" s="25"/>
      <c r="X2923" s="25"/>
      <c r="Y2923" s="25"/>
      <c r="Z2923" s="25"/>
      <c r="AA2923" s="25"/>
    </row>
    <row r="2924" spans="1:27" x14ac:dyDescent="0.35">
      <c r="A2924" s="5">
        <v>2920</v>
      </c>
      <c r="B2924" s="5">
        <v>122</v>
      </c>
      <c r="C2924" s="5">
        <v>5</v>
      </c>
      <c r="D2924" s="25">
        <v>1.1415000000000001E-4</v>
      </c>
      <c r="E2924" s="25">
        <v>1.1822E-4</v>
      </c>
      <c r="F2924" s="25">
        <v>1.0135E-4</v>
      </c>
      <c r="G2924" s="25">
        <v>1.6224999999999999E-4</v>
      </c>
      <c r="H2924" s="25">
        <v>1.9474E-4</v>
      </c>
      <c r="I2924" s="9">
        <v>7.8430000000000006E-5</v>
      </c>
      <c r="J2924" s="9">
        <v>9.9240000000000005E-5</v>
      </c>
      <c r="K2924" s="9">
        <v>0</v>
      </c>
      <c r="L2924" s="9">
        <v>1.7825999999999999E-4</v>
      </c>
      <c r="M2924" s="9">
        <v>1.674E-4</v>
      </c>
      <c r="N2924" s="9">
        <v>1.6583E-4</v>
      </c>
      <c r="O2924" s="9">
        <v>1.9307999999999999E-4</v>
      </c>
      <c r="P2924" s="9">
        <v>1.5119999999999999E-4</v>
      </c>
      <c r="Q2924" s="9">
        <v>1.0886E-4</v>
      </c>
      <c r="R2924" s="10">
        <v>1.4558464693029532E-6</v>
      </c>
      <c r="S2924" s="10">
        <v>1.1642757183861534E-5</v>
      </c>
      <c r="T2924" s="10">
        <v>4.5599715287275973E-4</v>
      </c>
      <c r="U2924" s="10">
        <v>1.0760999999999999E-4</v>
      </c>
      <c r="V2924" s="25"/>
      <c r="W2924" s="25"/>
      <c r="X2924" s="25"/>
      <c r="Y2924" s="25"/>
      <c r="Z2924" s="25"/>
      <c r="AA2924" s="25"/>
    </row>
    <row r="2925" spans="1:27" x14ac:dyDescent="0.35">
      <c r="A2925" s="5">
        <v>2921</v>
      </c>
      <c r="B2925" s="5">
        <v>122</v>
      </c>
      <c r="C2925" s="5">
        <v>5</v>
      </c>
      <c r="D2925" s="25">
        <v>1.1416E-4</v>
      </c>
      <c r="E2925" s="25">
        <v>1.2115E-4</v>
      </c>
      <c r="F2925" s="25">
        <v>9.4539999999999999E-5</v>
      </c>
      <c r="G2925" s="25">
        <v>1.6307E-4</v>
      </c>
      <c r="H2925" s="25">
        <v>1.9243999999999999E-4</v>
      </c>
      <c r="I2925" s="9">
        <v>8.4439999999999998E-5</v>
      </c>
      <c r="J2925" s="9">
        <v>1.0348000000000001E-4</v>
      </c>
      <c r="K2925" s="9">
        <v>0</v>
      </c>
      <c r="L2925" s="9">
        <v>1.8963000000000001E-4</v>
      </c>
      <c r="M2925" s="9">
        <v>1.6138E-4</v>
      </c>
      <c r="N2925" s="9">
        <v>1.5201E-4</v>
      </c>
      <c r="O2925" s="9">
        <v>2.1278000000000001E-4</v>
      </c>
      <c r="P2925" s="9">
        <v>1.6066E-4</v>
      </c>
      <c r="Q2925" s="9">
        <v>1.0806000000000001E-4</v>
      </c>
      <c r="R2925" s="10">
        <v>3.2727133550638543E-6</v>
      </c>
      <c r="S2925" s="10">
        <v>1.7677233389768568E-5</v>
      </c>
      <c r="T2925" s="10">
        <v>2.6768812879634656E-4</v>
      </c>
      <c r="U2925" s="10">
        <v>1.0760999999999999E-4</v>
      </c>
      <c r="V2925" s="25"/>
      <c r="W2925" s="25"/>
      <c r="X2925" s="25"/>
      <c r="Y2925" s="25"/>
      <c r="Z2925" s="25"/>
      <c r="AA2925" s="25"/>
    </row>
    <row r="2926" spans="1:27" x14ac:dyDescent="0.35">
      <c r="A2926" s="5">
        <v>2922</v>
      </c>
      <c r="B2926" s="5">
        <v>122</v>
      </c>
      <c r="C2926" s="5">
        <v>5</v>
      </c>
      <c r="D2926" s="25">
        <v>1.1415000000000001E-4</v>
      </c>
      <c r="E2926" s="25">
        <v>1.1516E-4</v>
      </c>
      <c r="F2926" s="25">
        <v>1.0593E-4</v>
      </c>
      <c r="G2926" s="25">
        <v>1.6379E-4</v>
      </c>
      <c r="H2926" s="25">
        <v>1.9778999999999999E-4</v>
      </c>
      <c r="I2926" s="9">
        <v>9.3939999999999998E-5</v>
      </c>
      <c r="J2926" s="9">
        <v>1.0226E-4</v>
      </c>
      <c r="K2926" s="9">
        <v>0</v>
      </c>
      <c r="L2926" s="9">
        <v>2.0745E-4</v>
      </c>
      <c r="M2926" s="9">
        <v>1.5948000000000001E-4</v>
      </c>
      <c r="N2926" s="9">
        <v>1.3893999999999999E-4</v>
      </c>
      <c r="O2926" s="9">
        <v>2.0452E-4</v>
      </c>
      <c r="P2926" s="9">
        <v>1.6194000000000001E-4</v>
      </c>
      <c r="Q2926" s="9">
        <v>1.1881E-4</v>
      </c>
      <c r="R2926" s="10">
        <v>7.7960951018393941E-6</v>
      </c>
      <c r="S2926" s="10">
        <v>2.7902353779157067E-5</v>
      </c>
      <c r="T2926" s="10">
        <v>1.0382237114769398E-4</v>
      </c>
      <c r="U2926" s="10">
        <v>1.0760999999999999E-4</v>
      </c>
      <c r="V2926" s="25"/>
      <c r="W2926" s="25"/>
      <c r="X2926" s="25"/>
      <c r="Y2926" s="25"/>
      <c r="Z2926" s="25"/>
      <c r="AA2926" s="25"/>
    </row>
    <row r="2927" spans="1:27" x14ac:dyDescent="0.35">
      <c r="A2927" s="5">
        <v>2923</v>
      </c>
      <c r="B2927" s="5">
        <v>122</v>
      </c>
      <c r="C2927" s="5">
        <v>5</v>
      </c>
      <c r="D2927" s="25">
        <v>1.1416E-4</v>
      </c>
      <c r="E2927" s="25">
        <v>1.2026E-4</v>
      </c>
      <c r="F2927" s="25">
        <v>9.4560000000000003E-5</v>
      </c>
      <c r="G2927" s="25">
        <v>1.0833E-4</v>
      </c>
      <c r="H2927" s="25">
        <v>1.3468E-4</v>
      </c>
      <c r="I2927" s="9">
        <v>1.0077999999999999E-4</v>
      </c>
      <c r="J2927" s="9">
        <v>1.0215E-4</v>
      </c>
      <c r="K2927" s="9">
        <v>0</v>
      </c>
      <c r="L2927" s="9">
        <v>2.0469999999999999E-4</v>
      </c>
      <c r="M2927" s="9">
        <v>1.6006000000000001E-4</v>
      </c>
      <c r="N2927" s="9">
        <v>1.3014E-4</v>
      </c>
      <c r="O2927" s="9">
        <v>1.6291E-4</v>
      </c>
      <c r="P2927" s="9">
        <v>1.3538999999999999E-4</v>
      </c>
      <c r="Q2927" s="9">
        <v>1.0746E-4</v>
      </c>
      <c r="R2927" s="10">
        <v>2.3465822958779763E-5</v>
      </c>
      <c r="S2927" s="10">
        <v>4.3025921031536712E-5</v>
      </c>
      <c r="T2927" s="10">
        <v>2.0667753216947171E-5</v>
      </c>
      <c r="U2927" s="10">
        <v>1.0760999999999999E-4</v>
      </c>
      <c r="V2927" s="25"/>
      <c r="W2927" s="25"/>
      <c r="X2927" s="25"/>
      <c r="Y2927" s="25"/>
      <c r="Z2927" s="25"/>
      <c r="AA2927" s="25"/>
    </row>
    <row r="2928" spans="1:27" x14ac:dyDescent="0.35">
      <c r="A2928" s="5">
        <v>2924</v>
      </c>
      <c r="B2928" s="5">
        <v>122</v>
      </c>
      <c r="C2928" s="5">
        <v>5</v>
      </c>
      <c r="D2928" s="25">
        <v>1.1415000000000001E-4</v>
      </c>
      <c r="E2928" s="25">
        <v>1.1446999999999999E-4</v>
      </c>
      <c r="F2928" s="25">
        <v>9.5710000000000004E-5</v>
      </c>
      <c r="G2928" s="25">
        <v>1.0615000000000001E-4</v>
      </c>
      <c r="H2928" s="25">
        <v>1.3532999999999999E-4</v>
      </c>
      <c r="I2928" s="9">
        <v>1.0476000000000001E-4</v>
      </c>
      <c r="J2928" s="9">
        <v>1.0289999999999999E-4</v>
      </c>
      <c r="K2928" s="9">
        <v>1.696E-5</v>
      </c>
      <c r="L2928" s="9">
        <v>1.7223999999999999E-4</v>
      </c>
      <c r="M2928" s="9">
        <v>1.5147000000000001E-4</v>
      </c>
      <c r="N2928" s="9">
        <v>1.2116999999999999E-4</v>
      </c>
      <c r="O2928" s="9">
        <v>1.2841E-4</v>
      </c>
      <c r="P2928" s="9">
        <v>1.1567E-4</v>
      </c>
      <c r="Q2928" s="9">
        <v>1.0261E-4</v>
      </c>
      <c r="R2928" s="10">
        <v>5.2840808520615505E-5</v>
      </c>
      <c r="S2928" s="10">
        <v>5.7257059526231659E-5</v>
      </c>
      <c r="T2928" s="10">
        <v>0</v>
      </c>
      <c r="U2928" s="10">
        <v>1.0760999999999999E-4</v>
      </c>
      <c r="V2928" s="25"/>
      <c r="W2928" s="25"/>
      <c r="X2928" s="25"/>
      <c r="Y2928" s="25"/>
      <c r="Z2928" s="25"/>
      <c r="AA2928" s="25"/>
    </row>
    <row r="2929" spans="1:27" x14ac:dyDescent="0.35">
      <c r="A2929" s="5">
        <v>2925</v>
      </c>
      <c r="B2929" s="5">
        <v>122</v>
      </c>
      <c r="C2929" s="5">
        <v>5</v>
      </c>
      <c r="D2929" s="25">
        <v>1.1416E-4</v>
      </c>
      <c r="E2929" s="25">
        <v>1.1485E-4</v>
      </c>
      <c r="F2929" s="25">
        <v>9.5649999999999994E-5</v>
      </c>
      <c r="G2929" s="25">
        <v>6.1729999999999993E-5</v>
      </c>
      <c r="H2929" s="25">
        <v>6.6240000000000003E-5</v>
      </c>
      <c r="I2929" s="9">
        <v>1.0776E-4</v>
      </c>
      <c r="J2929" s="9">
        <v>1.0529E-4</v>
      </c>
      <c r="K2929" s="9">
        <v>1.908E-5</v>
      </c>
      <c r="L2929" s="9">
        <v>1.3908E-4</v>
      </c>
      <c r="M2929" s="9">
        <v>1.3614000000000001E-4</v>
      </c>
      <c r="N2929" s="9">
        <v>1.1367E-4</v>
      </c>
      <c r="O2929" s="9">
        <v>8.373E-5</v>
      </c>
      <c r="P2929" s="9">
        <v>8.5870000000000003E-5</v>
      </c>
      <c r="Q2929" s="9">
        <v>8.7860000000000002E-5</v>
      </c>
      <c r="R2929" s="10">
        <v>8.5593642443360356E-5</v>
      </c>
      <c r="S2929" s="10">
        <v>7.1548324626437155E-5</v>
      </c>
      <c r="T2929" s="10">
        <v>0</v>
      </c>
      <c r="U2929" s="10">
        <v>1.0760999999999999E-4</v>
      </c>
      <c r="V2929" s="25"/>
      <c r="W2929" s="25"/>
      <c r="X2929" s="25"/>
      <c r="Y2929" s="25"/>
      <c r="Z2929" s="25"/>
      <c r="AA2929" s="25"/>
    </row>
    <row r="2930" spans="1:27" x14ac:dyDescent="0.35">
      <c r="A2930" s="5">
        <v>2926</v>
      </c>
      <c r="B2930" s="5">
        <v>122</v>
      </c>
      <c r="C2930" s="5">
        <v>5</v>
      </c>
      <c r="D2930" s="25">
        <v>1.1415000000000001E-4</v>
      </c>
      <c r="E2930" s="25">
        <v>1.1790000000000001E-4</v>
      </c>
      <c r="F2930" s="25">
        <v>8.8939999999999999E-5</v>
      </c>
      <c r="G2930" s="25">
        <v>5.7080000000000002E-5</v>
      </c>
      <c r="H2930" s="25">
        <v>6.6950000000000001E-5</v>
      </c>
      <c r="I2930" s="9">
        <v>1.0925999999999999E-4</v>
      </c>
      <c r="J2930" s="9">
        <v>9.8400000000000007E-5</v>
      </c>
      <c r="K2930" s="9">
        <v>5.0869999999999999E-5</v>
      </c>
      <c r="L2930" s="9">
        <v>9.6810000000000003E-5</v>
      </c>
      <c r="M2930" s="9">
        <v>1.1409E-4</v>
      </c>
      <c r="N2930" s="9">
        <v>1.0596E-4</v>
      </c>
      <c r="O2930" s="9">
        <v>8.7059999999999997E-5</v>
      </c>
      <c r="P2930" s="9">
        <v>8.7869999999999997E-5</v>
      </c>
      <c r="Q2930" s="9">
        <v>8.852E-5</v>
      </c>
      <c r="R2930" s="10">
        <v>1.130465399609136E-4</v>
      </c>
      <c r="S2930" s="10">
        <v>8.4255029680757999E-5</v>
      </c>
      <c r="T2930" s="10">
        <v>0</v>
      </c>
      <c r="U2930" s="10">
        <v>1.0760999999999999E-4</v>
      </c>
      <c r="V2930" s="25"/>
      <c r="W2930" s="25"/>
      <c r="X2930" s="25"/>
      <c r="Y2930" s="25"/>
      <c r="Z2930" s="25"/>
      <c r="AA2930" s="25"/>
    </row>
    <row r="2931" spans="1:27" x14ac:dyDescent="0.35">
      <c r="A2931" s="5">
        <v>2927</v>
      </c>
      <c r="B2931" s="5">
        <v>122</v>
      </c>
      <c r="C2931" s="5">
        <v>5</v>
      </c>
      <c r="D2931" s="25">
        <v>1.1416E-4</v>
      </c>
      <c r="E2931" s="25">
        <v>1.108E-4</v>
      </c>
      <c r="F2931" s="25">
        <v>9.3869999999999994E-5</v>
      </c>
      <c r="G2931" s="25">
        <v>6.2879999999999994E-5</v>
      </c>
      <c r="H2931" s="25">
        <v>6.9900000000000005E-5</v>
      </c>
      <c r="I2931" s="9">
        <v>1.0669E-4</v>
      </c>
      <c r="J2931" s="9">
        <v>9.1840000000000002E-5</v>
      </c>
      <c r="K2931" s="9">
        <v>7.6299999999999998E-5</v>
      </c>
      <c r="L2931" s="9">
        <v>9.0140000000000001E-5</v>
      </c>
      <c r="M2931" s="9">
        <v>9.9240000000000005E-5</v>
      </c>
      <c r="N2931" s="9">
        <v>1.0014E-4</v>
      </c>
      <c r="O2931" s="9">
        <v>7.7739999999999998E-5</v>
      </c>
      <c r="P2931" s="9">
        <v>7.2449999999999999E-5</v>
      </c>
      <c r="Q2931" s="9">
        <v>6.7180000000000004E-5</v>
      </c>
      <c r="R2931" s="10">
        <v>1.3849657505447227E-4</v>
      </c>
      <c r="S2931" s="10">
        <v>9.6069500388518291E-5</v>
      </c>
      <c r="T2931" s="10">
        <v>0</v>
      </c>
      <c r="U2931" s="10">
        <v>1.0760999999999999E-4</v>
      </c>
      <c r="V2931" s="25"/>
      <c r="W2931" s="25"/>
      <c r="X2931" s="25"/>
      <c r="Y2931" s="25"/>
      <c r="Z2931" s="25"/>
      <c r="AA2931" s="25"/>
    </row>
    <row r="2932" spans="1:27" x14ac:dyDescent="0.35">
      <c r="A2932" s="5">
        <v>2928</v>
      </c>
      <c r="B2932" s="5">
        <v>122</v>
      </c>
      <c r="C2932" s="5">
        <v>5</v>
      </c>
      <c r="D2932" s="25">
        <v>1.1415000000000001E-4</v>
      </c>
      <c r="E2932" s="25">
        <v>1.1537E-4</v>
      </c>
      <c r="F2932" s="25">
        <v>9.276E-5</v>
      </c>
      <c r="G2932" s="25">
        <v>5.5729999999999997E-5</v>
      </c>
      <c r="H2932" s="25">
        <v>6.4129999999999998E-5</v>
      </c>
      <c r="I2932" s="9">
        <v>9.9430000000000002E-5</v>
      </c>
      <c r="J2932" s="9">
        <v>8.9320000000000005E-5</v>
      </c>
      <c r="K2932" s="9">
        <v>9.7490000000000003E-5</v>
      </c>
      <c r="L2932" s="9">
        <v>8.0450000000000004E-5</v>
      </c>
      <c r="M2932" s="9">
        <v>8.6329999999999995E-5</v>
      </c>
      <c r="N2932" s="9">
        <v>9.0829999999999996E-5</v>
      </c>
      <c r="O2932" s="9">
        <v>6.2180000000000004E-5</v>
      </c>
      <c r="P2932" s="9">
        <v>6.0269999999999997E-5</v>
      </c>
      <c r="Q2932" s="9">
        <v>5.8470000000000001E-5</v>
      </c>
      <c r="R2932" s="10">
        <v>1.5232268300199151E-4</v>
      </c>
      <c r="S2932" s="10">
        <v>1.0970118063757591E-4</v>
      </c>
      <c r="T2932" s="10">
        <v>0</v>
      </c>
      <c r="U2932" s="10">
        <v>1.0760999999999999E-4</v>
      </c>
      <c r="V2932" s="25"/>
      <c r="W2932" s="25"/>
      <c r="X2932" s="25"/>
      <c r="Y2932" s="25"/>
      <c r="Z2932" s="25"/>
      <c r="AA2932" s="25"/>
    </row>
    <row r="2933" spans="1:27" x14ac:dyDescent="0.35">
      <c r="A2933" s="5">
        <v>2929</v>
      </c>
      <c r="B2933" s="5">
        <v>123</v>
      </c>
      <c r="C2933" s="5">
        <v>5</v>
      </c>
      <c r="D2933" s="25">
        <v>1.1416E-4</v>
      </c>
      <c r="E2933" s="25">
        <v>1.1255E-4</v>
      </c>
      <c r="F2933" s="25">
        <v>1.2826E-4</v>
      </c>
      <c r="G2933" s="25">
        <v>6.1249999999999998E-5</v>
      </c>
      <c r="H2933" s="25">
        <v>6.5099999999999997E-5</v>
      </c>
      <c r="I2933" s="9">
        <v>9.4749999999999999E-5</v>
      </c>
      <c r="J2933" s="9">
        <v>8.7700000000000004E-5</v>
      </c>
      <c r="K2933" s="9">
        <v>9.3259999999999998E-5</v>
      </c>
      <c r="L2933" s="9">
        <v>6.6190000000000002E-5</v>
      </c>
      <c r="M2933" s="9">
        <v>7.3990000000000001E-5</v>
      </c>
      <c r="N2933" s="9">
        <v>8.1249999999999996E-5</v>
      </c>
      <c r="O2933" s="9">
        <v>5.4969999999999997E-5</v>
      </c>
      <c r="P2933" s="9">
        <v>5.4379999999999998E-5</v>
      </c>
      <c r="Q2933" s="9">
        <v>5.3959999999999998E-5</v>
      </c>
      <c r="R2933" s="10">
        <v>1.5955469951704499E-4</v>
      </c>
      <c r="S2933" s="10">
        <v>1.1390683836526103E-4</v>
      </c>
      <c r="T2933" s="10">
        <v>0</v>
      </c>
      <c r="U2933" s="10">
        <v>1.0726E-4</v>
      </c>
      <c r="V2933" s="25"/>
      <c r="W2933" s="25"/>
      <c r="X2933" s="25"/>
      <c r="Y2933" s="25"/>
      <c r="Z2933" s="25"/>
      <c r="AA2933" s="25"/>
    </row>
    <row r="2934" spans="1:27" x14ac:dyDescent="0.35">
      <c r="A2934" s="5">
        <v>2930</v>
      </c>
      <c r="B2934" s="5">
        <v>123</v>
      </c>
      <c r="C2934" s="5">
        <v>5</v>
      </c>
      <c r="D2934" s="25">
        <v>1.1415000000000001E-4</v>
      </c>
      <c r="E2934" s="25">
        <v>1.1791E-4</v>
      </c>
      <c r="F2934" s="25">
        <v>1.249E-4</v>
      </c>
      <c r="G2934" s="25">
        <v>5.2250000000000003E-5</v>
      </c>
      <c r="H2934" s="25">
        <v>7.3330000000000004E-5</v>
      </c>
      <c r="I2934" s="9">
        <v>9.1710000000000001E-5</v>
      </c>
      <c r="J2934" s="9">
        <v>8.6279999999999994E-5</v>
      </c>
      <c r="K2934" s="9">
        <v>1.0596E-4</v>
      </c>
      <c r="L2934" s="9">
        <v>5.783E-5</v>
      </c>
      <c r="M2934" s="9">
        <v>6.3990000000000002E-5</v>
      </c>
      <c r="N2934" s="9">
        <v>7.2189999999999998E-5</v>
      </c>
      <c r="O2934" s="9">
        <v>1.933E-5</v>
      </c>
      <c r="P2934" s="9">
        <v>3.7410000000000003E-5</v>
      </c>
      <c r="Q2934" s="9">
        <v>5.5680000000000002E-5</v>
      </c>
      <c r="R2934" s="10">
        <v>1.6057107795095158E-4</v>
      </c>
      <c r="S2934" s="10">
        <v>1.1881278315895635E-4</v>
      </c>
      <c r="T2934" s="10">
        <v>0</v>
      </c>
      <c r="U2934" s="10">
        <v>1.0726E-4</v>
      </c>
      <c r="V2934" s="25"/>
      <c r="W2934" s="25"/>
      <c r="X2934" s="25"/>
      <c r="Y2934" s="25"/>
      <c r="Z2934" s="25"/>
      <c r="AA2934" s="25"/>
    </row>
    <row r="2935" spans="1:27" x14ac:dyDescent="0.35">
      <c r="A2935" s="5">
        <v>2931</v>
      </c>
      <c r="B2935" s="5">
        <v>123</v>
      </c>
      <c r="C2935" s="5">
        <v>5</v>
      </c>
      <c r="D2935" s="25">
        <v>1.1416E-4</v>
      </c>
      <c r="E2935" s="25">
        <v>1.1179999999999999E-4</v>
      </c>
      <c r="F2935" s="25">
        <v>1.3533999999999999E-4</v>
      </c>
      <c r="G2935" s="25">
        <v>6.321E-5</v>
      </c>
      <c r="H2935" s="25">
        <v>7.593E-5</v>
      </c>
      <c r="I2935" s="9">
        <v>9.1080000000000002E-5</v>
      </c>
      <c r="J2935" s="9">
        <v>8.6149999999999993E-5</v>
      </c>
      <c r="K2935" s="9">
        <v>1.1657E-4</v>
      </c>
      <c r="L2935" s="9">
        <v>2.7990000000000001E-5</v>
      </c>
      <c r="M2935" s="9">
        <v>5.2160000000000002E-5</v>
      </c>
      <c r="N2935" s="9">
        <v>6.5480000000000003E-5</v>
      </c>
      <c r="O2935" s="9">
        <v>1.4039999999999999E-5</v>
      </c>
      <c r="P2935" s="9">
        <v>3.7540000000000003E-5</v>
      </c>
      <c r="Q2935" s="9">
        <v>6.1179999999999994E-5</v>
      </c>
      <c r="R2935" s="10">
        <v>1.5767717491580482E-4</v>
      </c>
      <c r="S2935" s="10">
        <v>1.2630659107154622E-4</v>
      </c>
      <c r="T2935" s="10">
        <v>0</v>
      </c>
      <c r="U2935" s="10">
        <v>1.0726E-4</v>
      </c>
      <c r="V2935" s="25"/>
      <c r="W2935" s="25"/>
      <c r="X2935" s="25"/>
      <c r="Y2935" s="25"/>
      <c r="Z2935" s="25"/>
      <c r="AA2935" s="25"/>
    </row>
    <row r="2936" spans="1:27" x14ac:dyDescent="0.35">
      <c r="A2936" s="5">
        <v>2932</v>
      </c>
      <c r="B2936" s="5">
        <v>123</v>
      </c>
      <c r="C2936" s="5">
        <v>5</v>
      </c>
      <c r="D2936" s="25">
        <v>1.1415000000000001E-4</v>
      </c>
      <c r="E2936" s="25">
        <v>1.1453E-4</v>
      </c>
      <c r="F2936" s="25">
        <v>1.226E-4</v>
      </c>
      <c r="G2936" s="25">
        <v>5.5890000000000002E-5</v>
      </c>
      <c r="H2936" s="25">
        <v>6.7399999999999998E-5</v>
      </c>
      <c r="I2936" s="9">
        <v>9.3010000000000006E-5</v>
      </c>
      <c r="J2936" s="9">
        <v>8.6719999999999996E-5</v>
      </c>
      <c r="K2936" s="9">
        <v>9.5370000000000003E-5</v>
      </c>
      <c r="L2936" s="9">
        <v>1.7839999999999999E-5</v>
      </c>
      <c r="M2936" s="9">
        <v>4.4070000000000003E-5</v>
      </c>
      <c r="N2936" s="9">
        <v>6.1790000000000003E-5</v>
      </c>
      <c r="O2936" s="9">
        <v>1.402E-5</v>
      </c>
      <c r="P2936" s="9">
        <v>4.6860000000000002E-5</v>
      </c>
      <c r="Q2936" s="9">
        <v>7.9690000000000004E-5</v>
      </c>
      <c r="R2936" s="10">
        <v>1.5624577816742688E-4</v>
      </c>
      <c r="S2936" s="10">
        <v>1.3549917320202471E-4</v>
      </c>
      <c r="T2936" s="10">
        <v>0</v>
      </c>
      <c r="U2936" s="10">
        <v>1.0726E-4</v>
      </c>
      <c r="V2936" s="25"/>
      <c r="W2936" s="25"/>
      <c r="X2936" s="25"/>
      <c r="Y2936" s="25"/>
      <c r="Z2936" s="25"/>
      <c r="AA2936" s="25"/>
    </row>
    <row r="2937" spans="1:27" x14ac:dyDescent="0.35">
      <c r="A2937" s="5">
        <v>2933</v>
      </c>
      <c r="B2937" s="5">
        <v>123</v>
      </c>
      <c r="C2937" s="5">
        <v>5</v>
      </c>
      <c r="D2937" s="25">
        <v>1.1416E-4</v>
      </c>
      <c r="E2937" s="25">
        <v>1.1395000000000001E-4</v>
      </c>
      <c r="F2937" s="25">
        <v>1.3244999999999999E-4</v>
      </c>
      <c r="G2937" s="25">
        <v>5.6100000000000002E-5</v>
      </c>
      <c r="H2937" s="25">
        <v>6.3050000000000001E-5</v>
      </c>
      <c r="I2937" s="9">
        <v>1.0009E-4</v>
      </c>
      <c r="J2937" s="9">
        <v>8.9159999999999993E-5</v>
      </c>
      <c r="K2937" s="9">
        <v>7.8419999999999998E-5</v>
      </c>
      <c r="L2937" s="9">
        <v>1.5109999999999999E-5</v>
      </c>
      <c r="M2937" s="9">
        <v>4.3250000000000001E-5</v>
      </c>
      <c r="N2937" s="9">
        <v>6.4170000000000004E-5</v>
      </c>
      <c r="O2937" s="9">
        <v>1.9470000000000002E-5</v>
      </c>
      <c r="P2937" s="9">
        <v>5.6520000000000001E-5</v>
      </c>
      <c r="Q2937" s="9">
        <v>9.3460000000000003E-5</v>
      </c>
      <c r="R2937" s="10">
        <v>1.381595410048062E-4</v>
      </c>
      <c r="S2937" s="10">
        <v>1.4862433798071753E-4</v>
      </c>
      <c r="T2937" s="10">
        <v>0</v>
      </c>
      <c r="U2937" s="10">
        <v>1.0726E-4</v>
      </c>
      <c r="V2937" s="25"/>
      <c r="W2937" s="25"/>
      <c r="X2937" s="25"/>
      <c r="Y2937" s="25"/>
      <c r="Z2937" s="25"/>
      <c r="AA2937" s="25"/>
    </row>
    <row r="2938" spans="1:27" x14ac:dyDescent="0.35">
      <c r="A2938" s="5">
        <v>2934</v>
      </c>
      <c r="B2938" s="5">
        <v>123</v>
      </c>
      <c r="C2938" s="5">
        <v>5</v>
      </c>
      <c r="D2938" s="25">
        <v>1.1415000000000001E-4</v>
      </c>
      <c r="E2938" s="25">
        <v>1.1556E-4</v>
      </c>
      <c r="F2938" s="25">
        <v>1.3243E-4</v>
      </c>
      <c r="G2938" s="25">
        <v>1.0909E-4</v>
      </c>
      <c r="H2938" s="25">
        <v>1.3702000000000001E-4</v>
      </c>
      <c r="I2938" s="9">
        <v>1.0978E-4</v>
      </c>
      <c r="J2938" s="9">
        <v>9.1940000000000004E-5</v>
      </c>
      <c r="K2938" s="9">
        <v>6.7819999999999998E-5</v>
      </c>
      <c r="L2938" s="9">
        <v>1.838E-5</v>
      </c>
      <c r="M2938" s="9">
        <v>4.8170000000000001E-5</v>
      </c>
      <c r="N2938" s="9">
        <v>7.0710000000000006E-5</v>
      </c>
      <c r="O2938" s="9">
        <v>4.621E-5</v>
      </c>
      <c r="P2938" s="9">
        <v>7.6470000000000005E-5</v>
      </c>
      <c r="Q2938" s="9">
        <v>1.0649000000000001E-4</v>
      </c>
      <c r="R2938" s="10">
        <v>1.3293993296842636E-4</v>
      </c>
      <c r="S2938" s="10">
        <v>1.6164950527998705E-4</v>
      </c>
      <c r="T2938" s="10">
        <v>2.2237348596723537E-5</v>
      </c>
      <c r="U2938" s="10">
        <v>1.0726E-4</v>
      </c>
      <c r="V2938" s="25"/>
      <c r="W2938" s="25"/>
      <c r="X2938" s="25"/>
      <c r="Y2938" s="25"/>
      <c r="Z2938" s="25"/>
      <c r="AA2938" s="25"/>
    </row>
    <row r="2939" spans="1:27" x14ac:dyDescent="0.35">
      <c r="A2939" s="5">
        <v>2935</v>
      </c>
      <c r="B2939" s="5">
        <v>123</v>
      </c>
      <c r="C2939" s="5">
        <v>5</v>
      </c>
      <c r="D2939" s="25">
        <v>1.1416E-4</v>
      </c>
      <c r="E2939" s="25">
        <v>1.1675000000000001E-4</v>
      </c>
      <c r="F2939" s="25">
        <v>1.3161999999999999E-4</v>
      </c>
      <c r="G2939" s="25">
        <v>1.0983E-4</v>
      </c>
      <c r="H2939" s="25">
        <v>1.2777E-4</v>
      </c>
      <c r="I2939" s="9">
        <v>1.1482E-4</v>
      </c>
      <c r="J2939" s="9">
        <v>1.0801E-4</v>
      </c>
      <c r="K2939" s="9">
        <v>4.2389999999999999E-5</v>
      </c>
      <c r="L2939" s="9">
        <v>3.994E-5</v>
      </c>
      <c r="M2939" s="9">
        <v>5.9759999999999997E-5</v>
      </c>
      <c r="N2939" s="9">
        <v>8.0329999999999998E-5</v>
      </c>
      <c r="O2939" s="9">
        <v>1.2301E-4</v>
      </c>
      <c r="P2939" s="9">
        <v>1.1843E-4</v>
      </c>
      <c r="Q2939" s="9">
        <v>1.1345000000000001E-4</v>
      </c>
      <c r="R2939" s="10">
        <v>1.4476468685919593E-4</v>
      </c>
      <c r="S2939" s="10">
        <v>1.7250866735513481E-4</v>
      </c>
      <c r="T2939" s="10">
        <v>7.4899394663058137E-5</v>
      </c>
      <c r="U2939" s="10">
        <v>1.0726E-4</v>
      </c>
      <c r="V2939" s="25"/>
      <c r="W2939" s="25"/>
      <c r="X2939" s="25"/>
      <c r="Y2939" s="25"/>
      <c r="Z2939" s="25"/>
      <c r="AA2939" s="25"/>
    </row>
    <row r="2940" spans="1:27" x14ac:dyDescent="0.35">
      <c r="A2940" s="5">
        <v>2936</v>
      </c>
      <c r="B2940" s="5">
        <v>123</v>
      </c>
      <c r="C2940" s="5">
        <v>5</v>
      </c>
      <c r="D2940" s="25">
        <v>1.1415000000000001E-4</v>
      </c>
      <c r="E2940" s="25">
        <v>1.1072E-4</v>
      </c>
      <c r="F2940" s="25">
        <v>1.2564E-4</v>
      </c>
      <c r="G2940" s="25">
        <v>1.6563999999999999E-4</v>
      </c>
      <c r="H2940" s="25">
        <v>1.9139E-4</v>
      </c>
      <c r="I2940" s="9">
        <v>1.1519E-4</v>
      </c>
      <c r="J2940" s="9">
        <v>1.189E-4</v>
      </c>
      <c r="K2940" s="9">
        <v>3.8149999999999999E-5</v>
      </c>
      <c r="L2940" s="9">
        <v>1.0412999999999999E-4</v>
      </c>
      <c r="M2940" s="9">
        <v>8.386E-5</v>
      </c>
      <c r="N2940" s="9">
        <v>9.0719999999999999E-5</v>
      </c>
      <c r="O2940" s="9">
        <v>2.1427999999999999E-4</v>
      </c>
      <c r="P2940" s="9">
        <v>1.7514000000000001E-4</v>
      </c>
      <c r="Q2940" s="9">
        <v>1.3530000000000001E-4</v>
      </c>
      <c r="R2940" s="10">
        <v>1.4321511986899432E-4</v>
      </c>
      <c r="S2940" s="10">
        <v>1.7971933469252132E-4</v>
      </c>
      <c r="T2940" s="10">
        <v>2.0554912035590275E-4</v>
      </c>
      <c r="U2940" s="10">
        <v>1.0726E-4</v>
      </c>
      <c r="V2940" s="25"/>
      <c r="W2940" s="25"/>
      <c r="X2940" s="25"/>
      <c r="Y2940" s="25"/>
      <c r="Z2940" s="25"/>
      <c r="AA2940" s="25"/>
    </row>
    <row r="2941" spans="1:27" x14ac:dyDescent="0.35">
      <c r="A2941" s="5">
        <v>2937</v>
      </c>
      <c r="B2941" s="5">
        <v>123</v>
      </c>
      <c r="C2941" s="5">
        <v>5</v>
      </c>
      <c r="D2941" s="25">
        <v>1.1416E-4</v>
      </c>
      <c r="E2941" s="25">
        <v>1.1615E-4</v>
      </c>
      <c r="F2941" s="25">
        <v>1.2354E-4</v>
      </c>
      <c r="G2941" s="25">
        <v>1.5653999999999999E-4</v>
      </c>
      <c r="H2941" s="25">
        <v>1.8845E-4</v>
      </c>
      <c r="I2941" s="9">
        <v>1.1328999999999999E-4</v>
      </c>
      <c r="J2941" s="9">
        <v>1.1886E-4</v>
      </c>
      <c r="K2941" s="9">
        <v>3.3909999999999999E-5</v>
      </c>
      <c r="L2941" s="9">
        <v>1.8829E-4</v>
      </c>
      <c r="M2941" s="9">
        <v>1.2296E-4</v>
      </c>
      <c r="N2941" s="9">
        <v>1.0422E-4</v>
      </c>
      <c r="O2941" s="9">
        <v>2.0651E-4</v>
      </c>
      <c r="P2941" s="9">
        <v>1.9141000000000001E-4</v>
      </c>
      <c r="Q2941" s="9">
        <v>1.7530000000000001E-4</v>
      </c>
      <c r="R2941" s="10">
        <v>1.4060809578364067E-4</v>
      </c>
      <c r="S2941" s="10">
        <v>1.8653383964816112E-4</v>
      </c>
      <c r="T2941" s="10">
        <v>2.6372596099982992E-4</v>
      </c>
      <c r="U2941" s="10">
        <v>1.0726E-4</v>
      </c>
      <c r="V2941" s="25"/>
      <c r="W2941" s="25"/>
      <c r="X2941" s="25"/>
      <c r="Y2941" s="25"/>
      <c r="Z2941" s="25"/>
      <c r="AA2941" s="25"/>
    </row>
    <row r="2942" spans="1:27" x14ac:dyDescent="0.35">
      <c r="A2942" s="5">
        <v>2938</v>
      </c>
      <c r="B2942" s="5">
        <v>123</v>
      </c>
      <c r="C2942" s="5">
        <v>5</v>
      </c>
      <c r="D2942" s="25">
        <v>1.1415000000000001E-4</v>
      </c>
      <c r="E2942" s="25">
        <v>1.1535999999999999E-4</v>
      </c>
      <c r="F2942" s="25">
        <v>1.4468E-4</v>
      </c>
      <c r="G2942" s="25">
        <v>1.6139E-4</v>
      </c>
      <c r="H2942" s="25">
        <v>1.9751E-4</v>
      </c>
      <c r="I2942" s="9">
        <v>1.0883999999999999E-4</v>
      </c>
      <c r="J2942" s="9">
        <v>1.161E-4</v>
      </c>
      <c r="K2942" s="9">
        <v>1.696E-5</v>
      </c>
      <c r="L2942" s="9">
        <v>2.0029999999999999E-4</v>
      </c>
      <c r="M2942" s="9">
        <v>1.5749000000000001E-4</v>
      </c>
      <c r="N2942" s="9">
        <v>1.2396E-4</v>
      </c>
      <c r="O2942" s="9">
        <v>1.6396E-4</v>
      </c>
      <c r="P2942" s="9">
        <v>1.7291E-4</v>
      </c>
      <c r="Q2942" s="9">
        <v>1.8086E-4</v>
      </c>
      <c r="R2942" s="10">
        <v>1.2175530860262647E-4</v>
      </c>
      <c r="S2942" s="10">
        <v>1.8932693257272284E-4</v>
      </c>
      <c r="T2942" s="10">
        <v>2.6420108176343791E-4</v>
      </c>
      <c r="U2942" s="10">
        <v>1.0726E-4</v>
      </c>
      <c r="V2942" s="25"/>
      <c r="W2942" s="25"/>
      <c r="X2942" s="25"/>
      <c r="Y2942" s="25"/>
      <c r="Z2942" s="25"/>
      <c r="AA2942" s="25"/>
    </row>
    <row r="2943" spans="1:27" x14ac:dyDescent="0.35">
      <c r="A2943" s="5">
        <v>2939</v>
      </c>
      <c r="B2943" s="5">
        <v>123</v>
      </c>
      <c r="C2943" s="5">
        <v>5</v>
      </c>
      <c r="D2943" s="25">
        <v>1.1416E-4</v>
      </c>
      <c r="E2943" s="25">
        <v>1.1222000000000001E-4</v>
      </c>
      <c r="F2943" s="25">
        <v>1.3946E-4</v>
      </c>
      <c r="G2943" s="25">
        <v>1.5967999999999999E-4</v>
      </c>
      <c r="H2943" s="25">
        <v>1.9780000000000001E-4</v>
      </c>
      <c r="I2943" s="9">
        <v>1.0616999999999999E-4</v>
      </c>
      <c r="J2943" s="9">
        <v>1.1592E-4</v>
      </c>
      <c r="K2943" s="9">
        <v>0</v>
      </c>
      <c r="L2943" s="9">
        <v>1.7204000000000001E-4</v>
      </c>
      <c r="M2943" s="9">
        <v>1.7102E-4</v>
      </c>
      <c r="N2943" s="9">
        <v>1.4185000000000001E-4</v>
      </c>
      <c r="O2943" s="9">
        <v>1.6558999999999999E-4</v>
      </c>
      <c r="P2943" s="9">
        <v>1.7327E-4</v>
      </c>
      <c r="Q2943" s="9">
        <v>1.7997E-4</v>
      </c>
      <c r="R2943" s="10">
        <v>1.0850708166126707E-4</v>
      </c>
      <c r="S2943" s="10">
        <v>1.8969444344850059E-4</v>
      </c>
      <c r="T2943" s="10">
        <v>1.4519181477898891E-4</v>
      </c>
      <c r="U2943" s="10">
        <v>1.0726E-4</v>
      </c>
      <c r="V2943" s="25"/>
      <c r="W2943" s="25"/>
      <c r="X2943" s="25"/>
      <c r="Y2943" s="25"/>
      <c r="Z2943" s="25"/>
      <c r="AA2943" s="25"/>
    </row>
    <row r="2944" spans="1:27" x14ac:dyDescent="0.35">
      <c r="A2944" s="5">
        <v>2940</v>
      </c>
      <c r="B2944" s="5">
        <v>123</v>
      </c>
      <c r="C2944" s="5">
        <v>5</v>
      </c>
      <c r="D2944" s="25">
        <v>1.1415000000000001E-4</v>
      </c>
      <c r="E2944" s="25">
        <v>1.1493999999999999E-4</v>
      </c>
      <c r="F2944" s="25">
        <v>1.3359999999999999E-4</v>
      </c>
      <c r="G2944" s="25">
        <v>1.6270999999999999E-4</v>
      </c>
      <c r="H2944" s="25">
        <v>1.9591000000000001E-4</v>
      </c>
      <c r="I2944" s="9">
        <v>1.0170000000000001E-4</v>
      </c>
      <c r="J2944" s="9">
        <v>1.1417999999999999E-4</v>
      </c>
      <c r="K2944" s="9">
        <v>0</v>
      </c>
      <c r="L2944" s="9">
        <v>1.6835999999999999E-4</v>
      </c>
      <c r="M2944" s="9">
        <v>1.7412999999999999E-4</v>
      </c>
      <c r="N2944" s="9">
        <v>1.5613000000000001E-4</v>
      </c>
      <c r="O2944" s="9">
        <v>1.6914E-4</v>
      </c>
      <c r="P2944" s="9">
        <v>1.7279E-4</v>
      </c>
      <c r="Q2944" s="9">
        <v>1.7547999999999999E-4</v>
      </c>
      <c r="R2944" s="10">
        <v>9.0380425381149168E-5</v>
      </c>
      <c r="S2944" s="10">
        <v>1.8661022667068979E-4</v>
      </c>
      <c r="T2944" s="10">
        <v>9.0374756677718082E-5</v>
      </c>
      <c r="U2944" s="10">
        <v>1.0726E-4</v>
      </c>
      <c r="V2944" s="25"/>
      <c r="W2944" s="25"/>
      <c r="X2944" s="25"/>
      <c r="Y2944" s="25"/>
      <c r="Z2944" s="25"/>
      <c r="AA2944" s="25"/>
    </row>
    <row r="2945" spans="1:27" x14ac:dyDescent="0.35">
      <c r="A2945" s="5">
        <v>2941</v>
      </c>
      <c r="B2945" s="5">
        <v>123</v>
      </c>
      <c r="C2945" s="5">
        <v>5</v>
      </c>
      <c r="D2945" s="25">
        <v>1.1416E-4</v>
      </c>
      <c r="E2945" s="25">
        <v>1.1809E-4</v>
      </c>
      <c r="F2945" s="25">
        <v>1.2360999999999999E-4</v>
      </c>
      <c r="G2945" s="25">
        <v>1.6378000000000001E-4</v>
      </c>
      <c r="H2945" s="25">
        <v>1.9489999999999999E-4</v>
      </c>
      <c r="I2945" s="9">
        <v>1.0135E-4</v>
      </c>
      <c r="J2945" s="9">
        <v>1.1472999999999999E-4</v>
      </c>
      <c r="K2945" s="9">
        <v>0</v>
      </c>
      <c r="L2945" s="9">
        <v>1.6909999999999999E-4</v>
      </c>
      <c r="M2945" s="9">
        <v>1.7399000000000001E-4</v>
      </c>
      <c r="N2945" s="9">
        <v>1.6598000000000001E-4</v>
      </c>
      <c r="O2945" s="9">
        <v>1.6063000000000001E-4</v>
      </c>
      <c r="P2945" s="9">
        <v>1.6493000000000001E-4</v>
      </c>
      <c r="Q2945" s="9">
        <v>1.6835E-4</v>
      </c>
      <c r="R2945" s="10">
        <v>1.1787690834130166E-4</v>
      </c>
      <c r="S2945" s="10">
        <v>1.8925128917043858E-4</v>
      </c>
      <c r="T2945" s="10">
        <v>1.0686823461439513E-4</v>
      </c>
      <c r="U2945" s="10">
        <v>1.0726E-4</v>
      </c>
      <c r="V2945" s="25"/>
      <c r="W2945" s="25"/>
      <c r="X2945" s="25"/>
      <c r="Y2945" s="25"/>
      <c r="Z2945" s="25"/>
      <c r="AA2945" s="25"/>
    </row>
    <row r="2946" spans="1:27" x14ac:dyDescent="0.35">
      <c r="A2946" s="5">
        <v>2942</v>
      </c>
      <c r="B2946" s="5">
        <v>123</v>
      </c>
      <c r="C2946" s="5">
        <v>5</v>
      </c>
      <c r="D2946" s="25">
        <v>1.1415000000000001E-4</v>
      </c>
      <c r="E2946" s="25">
        <v>1.1191E-4</v>
      </c>
      <c r="F2946" s="25">
        <v>1.2553999999999999E-4</v>
      </c>
      <c r="G2946" s="25">
        <v>1.6636E-4</v>
      </c>
      <c r="H2946" s="25">
        <v>1.9526999999999999E-4</v>
      </c>
      <c r="I2946" s="9">
        <v>1.0267E-4</v>
      </c>
      <c r="J2946" s="9">
        <v>1.1402E-4</v>
      </c>
      <c r="K2946" s="9">
        <v>0</v>
      </c>
      <c r="L2946" s="9">
        <v>1.6222E-4</v>
      </c>
      <c r="M2946" s="9">
        <v>1.7064000000000001E-4</v>
      </c>
      <c r="N2946" s="9">
        <v>1.7064000000000001E-4</v>
      </c>
      <c r="O2946" s="9">
        <v>1.7484999999999999E-4</v>
      </c>
      <c r="P2946" s="9">
        <v>1.6772E-4</v>
      </c>
      <c r="Q2946" s="9">
        <v>1.5975000000000001E-4</v>
      </c>
      <c r="R2946" s="10">
        <v>1.5642872311701078E-4</v>
      </c>
      <c r="S2946" s="10">
        <v>1.8997070260279219E-4</v>
      </c>
      <c r="T2946" s="10">
        <v>6.3776478215021301E-5</v>
      </c>
      <c r="U2946" s="10">
        <v>1.0726E-4</v>
      </c>
      <c r="V2946" s="25"/>
      <c r="W2946" s="25"/>
      <c r="X2946" s="25"/>
      <c r="Y2946" s="25"/>
      <c r="Z2946" s="25"/>
      <c r="AA2946" s="25"/>
    </row>
    <row r="2947" spans="1:27" x14ac:dyDescent="0.35">
      <c r="A2947" s="5">
        <v>2943</v>
      </c>
      <c r="B2947" s="5">
        <v>123</v>
      </c>
      <c r="C2947" s="5">
        <v>5</v>
      </c>
      <c r="D2947" s="25">
        <v>1.1416E-4</v>
      </c>
      <c r="E2947" s="25">
        <v>1.1144E-4</v>
      </c>
      <c r="F2947" s="25">
        <v>1.4504000000000001E-4</v>
      </c>
      <c r="G2947" s="25">
        <v>1.6396E-4</v>
      </c>
      <c r="H2947" s="25">
        <v>1.8989000000000001E-4</v>
      </c>
      <c r="I2947" s="9">
        <v>1.0471000000000001E-4</v>
      </c>
      <c r="J2947" s="9">
        <v>1.1396E-4</v>
      </c>
      <c r="K2947" s="9">
        <v>0</v>
      </c>
      <c r="L2947" s="9">
        <v>1.7225000000000001E-4</v>
      </c>
      <c r="M2947" s="9">
        <v>1.6860000000000001E-4</v>
      </c>
      <c r="N2947" s="9">
        <v>1.7005000000000001E-4</v>
      </c>
      <c r="O2947" s="9">
        <v>1.8227E-4</v>
      </c>
      <c r="P2947" s="9">
        <v>1.6828000000000001E-4</v>
      </c>
      <c r="Q2947" s="9">
        <v>1.5349E-4</v>
      </c>
      <c r="R2947" s="10">
        <v>1.6749380078488207E-4</v>
      </c>
      <c r="S2947" s="10">
        <v>1.9010673518767257E-4</v>
      </c>
      <c r="T2947" s="10">
        <v>9.1358935402334625E-5</v>
      </c>
      <c r="U2947" s="10">
        <v>1.0726E-4</v>
      </c>
      <c r="V2947" s="25"/>
      <c r="W2947" s="25"/>
      <c r="X2947" s="25"/>
      <c r="Y2947" s="25"/>
      <c r="Z2947" s="25"/>
      <c r="AA2947" s="25"/>
    </row>
    <row r="2948" spans="1:27" x14ac:dyDescent="0.35">
      <c r="A2948" s="5">
        <v>2944</v>
      </c>
      <c r="B2948" s="5">
        <v>123</v>
      </c>
      <c r="C2948" s="5">
        <v>5</v>
      </c>
      <c r="D2948" s="25">
        <v>1.1415000000000001E-4</v>
      </c>
      <c r="E2948" s="25">
        <v>1.1065000000000001E-4</v>
      </c>
      <c r="F2948" s="25">
        <v>1.4376999999999999E-4</v>
      </c>
      <c r="G2948" s="25">
        <v>1.6707000000000001E-4</v>
      </c>
      <c r="H2948" s="25">
        <v>1.9479E-4</v>
      </c>
      <c r="I2948" s="9">
        <v>1.0801E-4</v>
      </c>
      <c r="J2948" s="9">
        <v>1.1513E-4</v>
      </c>
      <c r="K2948" s="9">
        <v>0</v>
      </c>
      <c r="L2948" s="9">
        <v>1.7981E-4</v>
      </c>
      <c r="M2948" s="9">
        <v>1.6801000000000001E-4</v>
      </c>
      <c r="N2948" s="9">
        <v>1.6644000000000001E-4</v>
      </c>
      <c r="O2948" s="9">
        <v>1.9594999999999999E-4</v>
      </c>
      <c r="P2948" s="9">
        <v>1.5344999999999999E-4</v>
      </c>
      <c r="Q2948" s="9">
        <v>1.1048E-4</v>
      </c>
      <c r="R2948" s="10">
        <v>1.8083465580175491E-4</v>
      </c>
      <c r="S2948" s="10">
        <v>1.9027931264258951E-4</v>
      </c>
      <c r="T2948" s="10">
        <v>5.3866816574054843E-5</v>
      </c>
      <c r="U2948" s="10">
        <v>1.0726E-4</v>
      </c>
      <c r="V2948" s="25"/>
      <c r="W2948" s="25"/>
      <c r="X2948" s="25"/>
      <c r="Y2948" s="25"/>
      <c r="Z2948" s="25"/>
      <c r="AA2948" s="25"/>
    </row>
    <row r="2949" spans="1:27" x14ac:dyDescent="0.35">
      <c r="A2949" s="5">
        <v>2945</v>
      </c>
      <c r="B2949" s="5">
        <v>123</v>
      </c>
      <c r="C2949" s="5">
        <v>5</v>
      </c>
      <c r="D2949" s="25">
        <v>1.1416E-4</v>
      </c>
      <c r="E2949" s="25">
        <v>1.1995E-4</v>
      </c>
      <c r="F2949" s="25">
        <v>1.395E-4</v>
      </c>
      <c r="G2949" s="25">
        <v>1.6155E-4</v>
      </c>
      <c r="H2949" s="25">
        <v>2.0136000000000001E-4</v>
      </c>
      <c r="I2949" s="9">
        <v>1.1345000000000001E-4</v>
      </c>
      <c r="J2949" s="9">
        <v>1.1745E-4</v>
      </c>
      <c r="K2949" s="9">
        <v>0</v>
      </c>
      <c r="L2949" s="9">
        <v>1.9213999999999999E-4</v>
      </c>
      <c r="M2949" s="9">
        <v>1.6275E-4</v>
      </c>
      <c r="N2949" s="9">
        <v>1.5286E-4</v>
      </c>
      <c r="O2949" s="9">
        <v>2.0984000000000001E-4</v>
      </c>
      <c r="P2949" s="9">
        <v>1.5844000000000001E-4</v>
      </c>
      <c r="Q2949" s="9">
        <v>1.0658E-4</v>
      </c>
      <c r="R2949" s="10">
        <v>1.9172512836627519E-4</v>
      </c>
      <c r="S2949" s="10">
        <v>1.9029008293870988E-4</v>
      </c>
      <c r="T2949" s="10">
        <v>4.2379075253961871E-5</v>
      </c>
      <c r="U2949" s="10">
        <v>1.0726E-4</v>
      </c>
      <c r="V2949" s="25"/>
      <c r="W2949" s="25"/>
      <c r="X2949" s="25"/>
      <c r="Y2949" s="25"/>
      <c r="Z2949" s="25"/>
      <c r="AA2949" s="25"/>
    </row>
    <row r="2950" spans="1:27" x14ac:dyDescent="0.35">
      <c r="A2950" s="5">
        <v>2946</v>
      </c>
      <c r="B2950" s="5">
        <v>123</v>
      </c>
      <c r="C2950" s="5">
        <v>5</v>
      </c>
      <c r="D2950" s="25">
        <v>1.1415000000000001E-4</v>
      </c>
      <c r="E2950" s="25">
        <v>1.1985999999999999E-4</v>
      </c>
      <c r="F2950" s="25">
        <v>1.2322E-4</v>
      </c>
      <c r="G2950" s="25">
        <v>1.6506999999999999E-4</v>
      </c>
      <c r="H2950" s="25">
        <v>1.9356000000000001E-4</v>
      </c>
      <c r="I2950" s="9">
        <v>1.1647E-4</v>
      </c>
      <c r="J2950" s="9">
        <v>1.1453E-4</v>
      </c>
      <c r="K2950" s="9">
        <v>0</v>
      </c>
      <c r="L2950" s="9">
        <v>2.0568E-4</v>
      </c>
      <c r="M2950" s="9">
        <v>1.5974000000000001E-4</v>
      </c>
      <c r="N2950" s="9">
        <v>1.3930999999999999E-4</v>
      </c>
      <c r="O2950" s="9">
        <v>2.0254999999999999E-4</v>
      </c>
      <c r="P2950" s="9">
        <v>1.6038000000000001E-4</v>
      </c>
      <c r="Q2950" s="9">
        <v>1.1767E-4</v>
      </c>
      <c r="R2950" s="10">
        <v>1.9650122110329108E-4</v>
      </c>
      <c r="S2950" s="10">
        <v>1.9026523708233451E-4</v>
      </c>
      <c r="T2950" s="10">
        <v>9.1571042886088189E-5</v>
      </c>
      <c r="U2950" s="10">
        <v>1.0726E-4</v>
      </c>
      <c r="V2950" s="25"/>
      <c r="W2950" s="25"/>
      <c r="X2950" s="25"/>
      <c r="Y2950" s="25"/>
      <c r="Z2950" s="25"/>
      <c r="AA2950" s="25"/>
    </row>
    <row r="2951" spans="1:27" x14ac:dyDescent="0.35">
      <c r="A2951" s="5">
        <v>2947</v>
      </c>
      <c r="B2951" s="5">
        <v>123</v>
      </c>
      <c r="C2951" s="5">
        <v>5</v>
      </c>
      <c r="D2951" s="25">
        <v>1.1416E-4</v>
      </c>
      <c r="E2951" s="25">
        <v>1.1123E-4</v>
      </c>
      <c r="F2951" s="25">
        <v>1.4232000000000001E-4</v>
      </c>
      <c r="G2951" s="25">
        <v>1.1044000000000001E-4</v>
      </c>
      <c r="H2951" s="25">
        <v>1.3690999999999999E-4</v>
      </c>
      <c r="I2951" s="9">
        <v>1.1626E-4</v>
      </c>
      <c r="J2951" s="9">
        <v>1.1173E-4</v>
      </c>
      <c r="K2951" s="9">
        <v>0</v>
      </c>
      <c r="L2951" s="9">
        <v>2.0290999999999999E-4</v>
      </c>
      <c r="M2951" s="9">
        <v>1.5932000000000001E-4</v>
      </c>
      <c r="N2951" s="9">
        <v>1.3014999999999999E-4</v>
      </c>
      <c r="O2951" s="9">
        <v>1.638E-4</v>
      </c>
      <c r="P2951" s="9">
        <v>1.3613000000000001E-4</v>
      </c>
      <c r="Q2951" s="9">
        <v>1.0805E-4</v>
      </c>
      <c r="R2951" s="10">
        <v>1.9896249641269088E-4</v>
      </c>
      <c r="S2951" s="10">
        <v>1.90282904340582E-4</v>
      </c>
      <c r="T2951" s="10">
        <v>1.9233906626773087E-5</v>
      </c>
      <c r="U2951" s="10">
        <v>1.0726E-4</v>
      </c>
      <c r="V2951" s="25"/>
      <c r="W2951" s="25"/>
      <c r="X2951" s="25"/>
      <c r="Y2951" s="25"/>
      <c r="Z2951" s="25"/>
      <c r="AA2951" s="25"/>
    </row>
    <row r="2952" spans="1:27" x14ac:dyDescent="0.35">
      <c r="A2952" s="5">
        <v>2948</v>
      </c>
      <c r="B2952" s="5">
        <v>123</v>
      </c>
      <c r="C2952" s="5">
        <v>5</v>
      </c>
      <c r="D2952" s="25">
        <v>1.1415000000000001E-4</v>
      </c>
      <c r="E2952" s="25">
        <v>1.1833E-4</v>
      </c>
      <c r="F2952" s="25">
        <v>1.3927000000000001E-4</v>
      </c>
      <c r="G2952" s="25">
        <v>1.1488E-4</v>
      </c>
      <c r="H2952" s="25">
        <v>1.3287999999999999E-4</v>
      </c>
      <c r="I2952" s="9">
        <v>1.1504E-4</v>
      </c>
      <c r="J2952" s="9">
        <v>1.0993999999999999E-4</v>
      </c>
      <c r="K2952" s="9">
        <v>2.544E-5</v>
      </c>
      <c r="L2952" s="9">
        <v>1.7255999999999999E-4</v>
      </c>
      <c r="M2952" s="9">
        <v>1.5103999999999999E-4</v>
      </c>
      <c r="N2952" s="9">
        <v>1.2121999999999999E-4</v>
      </c>
      <c r="O2952" s="9">
        <v>1.2679E-4</v>
      </c>
      <c r="P2952" s="9">
        <v>1.1421000000000001E-4</v>
      </c>
      <c r="Q2952" s="9">
        <v>1.0131E-4</v>
      </c>
      <c r="R2952" s="10">
        <v>1.9904604921797657E-4</v>
      </c>
      <c r="S2952" s="10">
        <v>1.9007920981350273E-4</v>
      </c>
      <c r="T2952" s="10">
        <v>0</v>
      </c>
      <c r="U2952" s="10">
        <v>1.0726E-4</v>
      </c>
      <c r="V2952" s="25"/>
      <c r="W2952" s="25"/>
      <c r="X2952" s="25"/>
      <c r="Y2952" s="25"/>
      <c r="Z2952" s="25"/>
      <c r="AA2952" s="25"/>
    </row>
    <row r="2953" spans="1:27" x14ac:dyDescent="0.35">
      <c r="A2953" s="5">
        <v>2949</v>
      </c>
      <c r="B2953" s="5">
        <v>123</v>
      </c>
      <c r="C2953" s="5">
        <v>5</v>
      </c>
      <c r="D2953" s="25">
        <v>1.1416E-4</v>
      </c>
      <c r="E2953" s="25">
        <v>1.0985E-4</v>
      </c>
      <c r="F2953" s="25">
        <v>1.3624000000000001E-4</v>
      </c>
      <c r="G2953" s="25">
        <v>6.1199999999999997E-5</v>
      </c>
      <c r="H2953" s="25">
        <v>6.6379999999999998E-5</v>
      </c>
      <c r="I2953" s="9">
        <v>1.1648E-4</v>
      </c>
      <c r="J2953" s="9">
        <v>1.108E-4</v>
      </c>
      <c r="K2953" s="9">
        <v>4.0269999999999999E-5</v>
      </c>
      <c r="L2953" s="9">
        <v>1.3778999999999999E-4</v>
      </c>
      <c r="M2953" s="9">
        <v>1.3547E-4</v>
      </c>
      <c r="N2953" s="9">
        <v>1.1333E-4</v>
      </c>
      <c r="O2953" s="9">
        <v>8.3780000000000001E-5</v>
      </c>
      <c r="P2953" s="9">
        <v>8.5929999999999999E-5</v>
      </c>
      <c r="Q2953" s="9">
        <v>8.7919999999999998E-5</v>
      </c>
      <c r="R2953" s="10">
        <v>1.9904998037766921E-4</v>
      </c>
      <c r="S2953" s="10">
        <v>1.851742511239525E-4</v>
      </c>
      <c r="T2953" s="10">
        <v>0</v>
      </c>
      <c r="U2953" s="10">
        <v>1.0726E-4</v>
      </c>
      <c r="V2953" s="25"/>
      <c r="W2953" s="25"/>
      <c r="X2953" s="25"/>
      <c r="Y2953" s="25"/>
      <c r="Z2953" s="25"/>
      <c r="AA2953" s="25"/>
    </row>
    <row r="2954" spans="1:27" x14ac:dyDescent="0.35">
      <c r="A2954" s="5">
        <v>2950</v>
      </c>
      <c r="B2954" s="5">
        <v>123</v>
      </c>
      <c r="C2954" s="5">
        <v>5</v>
      </c>
      <c r="D2954" s="25">
        <v>1.1415000000000001E-4</v>
      </c>
      <c r="E2954" s="25">
        <v>1.171E-4</v>
      </c>
      <c r="F2954" s="25">
        <v>1.3614000000000001E-4</v>
      </c>
      <c r="G2954" s="25">
        <v>5.5850000000000002E-5</v>
      </c>
      <c r="H2954" s="25">
        <v>6.7630000000000001E-5</v>
      </c>
      <c r="I2954" s="9">
        <v>1.1668E-4</v>
      </c>
      <c r="J2954" s="9">
        <v>1.0466E-4</v>
      </c>
      <c r="K2954" s="9">
        <v>3.8149999999999999E-5</v>
      </c>
      <c r="L2954" s="9">
        <v>9.6609999999999998E-5</v>
      </c>
      <c r="M2954" s="9">
        <v>1.1361E-4</v>
      </c>
      <c r="N2954" s="9">
        <v>1.0559E-4</v>
      </c>
      <c r="O2954" s="9">
        <v>8.6949999999999999E-5</v>
      </c>
      <c r="P2954" s="9">
        <v>8.776E-5</v>
      </c>
      <c r="Q2954" s="9">
        <v>8.8410000000000002E-5</v>
      </c>
      <c r="R2954" s="10">
        <v>2.0130084225790842E-4</v>
      </c>
      <c r="S2954" s="10">
        <v>1.8749734003421762E-4</v>
      </c>
      <c r="T2954" s="10">
        <v>0</v>
      </c>
      <c r="U2954" s="10">
        <v>1.0726E-4</v>
      </c>
      <c r="V2954" s="25"/>
      <c r="W2954" s="25"/>
      <c r="X2954" s="25"/>
      <c r="Y2954" s="25"/>
      <c r="Z2954" s="25"/>
      <c r="AA2954" s="25"/>
    </row>
    <row r="2955" spans="1:27" x14ac:dyDescent="0.35">
      <c r="A2955" s="5">
        <v>2951</v>
      </c>
      <c r="B2955" s="5">
        <v>123</v>
      </c>
      <c r="C2955" s="5">
        <v>5</v>
      </c>
      <c r="D2955" s="25">
        <v>1.1416E-4</v>
      </c>
      <c r="E2955" s="25">
        <v>1.1605E-4</v>
      </c>
      <c r="F2955" s="25">
        <v>1.3962999999999999E-4</v>
      </c>
      <c r="G2955" s="25">
        <v>5.8980000000000001E-5</v>
      </c>
      <c r="H2955" s="25">
        <v>7.0300000000000001E-5</v>
      </c>
      <c r="I2955" s="9">
        <v>1.1279E-4</v>
      </c>
      <c r="J2955" s="9">
        <v>9.7720000000000006E-5</v>
      </c>
      <c r="K2955" s="9">
        <v>3.18E-5</v>
      </c>
      <c r="L2955" s="9">
        <v>9.0000000000000006E-5</v>
      </c>
      <c r="M2955" s="9">
        <v>9.8930000000000003E-5</v>
      </c>
      <c r="N2955" s="9">
        <v>9.9809999999999995E-5</v>
      </c>
      <c r="O2955" s="9">
        <v>7.8059999999999995E-5</v>
      </c>
      <c r="P2955" s="9">
        <v>7.2739999999999998E-5</v>
      </c>
      <c r="Q2955" s="9">
        <v>6.745E-5</v>
      </c>
      <c r="R2955" s="10">
        <v>2.035218530053056E-4</v>
      </c>
      <c r="S2955" s="10">
        <v>1.8964729132409019E-4</v>
      </c>
      <c r="T2955" s="10">
        <v>0</v>
      </c>
      <c r="U2955" s="10">
        <v>1.0726E-4</v>
      </c>
      <c r="V2955" s="25"/>
      <c r="W2955" s="25"/>
      <c r="X2955" s="25"/>
      <c r="Y2955" s="25"/>
      <c r="Z2955" s="25"/>
      <c r="AA2955" s="25"/>
    </row>
    <row r="2956" spans="1:27" x14ac:dyDescent="0.35">
      <c r="A2956" s="5">
        <v>2952</v>
      </c>
      <c r="B2956" s="5">
        <v>123</v>
      </c>
      <c r="C2956" s="5">
        <v>5</v>
      </c>
      <c r="D2956" s="25">
        <v>1.1415000000000001E-4</v>
      </c>
      <c r="E2956" s="25">
        <v>1.1597E-4</v>
      </c>
      <c r="F2956" s="25">
        <v>1.3176999999999999E-4</v>
      </c>
      <c r="G2956" s="25">
        <v>5.3949999999999997E-5</v>
      </c>
      <c r="H2956" s="25">
        <v>6.4839999999999996E-5</v>
      </c>
      <c r="I2956" s="9">
        <v>1.0464E-4</v>
      </c>
      <c r="J2956" s="9">
        <v>9.0080000000000005E-5</v>
      </c>
      <c r="K2956" s="9">
        <v>5.0869999999999999E-5</v>
      </c>
      <c r="L2956" s="9">
        <v>8.0649999999999995E-5</v>
      </c>
      <c r="M2956" s="9">
        <v>8.6299999999999997E-5</v>
      </c>
      <c r="N2956" s="9">
        <v>9.0649999999999994E-5</v>
      </c>
      <c r="O2956" s="9">
        <v>6.2139999999999998E-5</v>
      </c>
      <c r="P2956" s="9">
        <v>6.0229999999999998E-5</v>
      </c>
      <c r="Q2956" s="9">
        <v>5.8430000000000001E-5</v>
      </c>
      <c r="R2956" s="10">
        <v>2.0814305682601605E-4</v>
      </c>
      <c r="S2956" s="10">
        <v>1.8184777454949326E-4</v>
      </c>
      <c r="T2956" s="10">
        <v>0</v>
      </c>
      <c r="U2956" s="10">
        <v>1.0726E-4</v>
      </c>
      <c r="V2956" s="25"/>
      <c r="W2956" s="25"/>
      <c r="X2956" s="25"/>
      <c r="Y2956" s="25"/>
      <c r="Z2956" s="25"/>
      <c r="AA2956" s="25"/>
    </row>
    <row r="2957" spans="1:27" x14ac:dyDescent="0.35">
      <c r="A2957" s="5">
        <v>2953</v>
      </c>
      <c r="B2957" s="5">
        <v>124</v>
      </c>
      <c r="C2957" s="5">
        <v>5</v>
      </c>
      <c r="D2957" s="25">
        <v>1.1416E-4</v>
      </c>
      <c r="E2957" s="25">
        <v>1.1275E-4</v>
      </c>
      <c r="F2957" s="25">
        <v>1.087E-4</v>
      </c>
      <c r="G2957" s="25">
        <v>6.2199999999999994E-5</v>
      </c>
      <c r="H2957" s="25">
        <v>6.7860000000000004E-5</v>
      </c>
      <c r="I2957" s="9">
        <v>9.857E-5</v>
      </c>
      <c r="J2957" s="9">
        <v>8.5530000000000003E-5</v>
      </c>
      <c r="K2957" s="9">
        <v>5.2979999999999998E-5</v>
      </c>
      <c r="L2957" s="9">
        <v>6.6199999999999996E-5</v>
      </c>
      <c r="M2957" s="9">
        <v>7.4019999999999999E-5</v>
      </c>
      <c r="N2957" s="9">
        <v>8.1119999999999996E-5</v>
      </c>
      <c r="O2957" s="9">
        <v>5.4660000000000002E-5</v>
      </c>
      <c r="P2957" s="9">
        <v>5.4070000000000002E-5</v>
      </c>
      <c r="Q2957" s="9">
        <v>5.3650000000000003E-5</v>
      </c>
      <c r="R2957" s="10">
        <v>2.0600285915361395E-4</v>
      </c>
      <c r="S2957" s="10">
        <v>1.8434706145009473E-4</v>
      </c>
      <c r="T2957" s="10">
        <v>0</v>
      </c>
      <c r="U2957" s="10">
        <v>1.0718E-4</v>
      </c>
      <c r="V2957" s="25"/>
      <c r="W2957" s="25"/>
      <c r="X2957" s="25"/>
      <c r="Y2957" s="25"/>
      <c r="Z2957" s="25"/>
      <c r="AA2957" s="25"/>
    </row>
    <row r="2958" spans="1:27" x14ac:dyDescent="0.35">
      <c r="A2958" s="5">
        <v>2954</v>
      </c>
      <c r="B2958" s="5">
        <v>124</v>
      </c>
      <c r="C2958" s="5">
        <v>5</v>
      </c>
      <c r="D2958" s="25">
        <v>1.1415000000000001E-4</v>
      </c>
      <c r="E2958" s="25">
        <v>1.1163E-4</v>
      </c>
      <c r="F2958" s="25">
        <v>1.117E-4</v>
      </c>
      <c r="G2958" s="25">
        <v>6.1149999999999996E-5</v>
      </c>
      <c r="H2958" s="25">
        <v>7.2639999999999996E-5</v>
      </c>
      <c r="I2958" s="9">
        <v>9.4909999999999998E-5</v>
      </c>
      <c r="J2958" s="9">
        <v>8.4110000000000006E-5</v>
      </c>
      <c r="K2958" s="9">
        <v>6.3579999999999998E-5</v>
      </c>
      <c r="L2958" s="9">
        <v>5.7590000000000003E-5</v>
      </c>
      <c r="M2958" s="9">
        <v>6.3899999999999995E-5</v>
      </c>
      <c r="N2958" s="9">
        <v>7.2080000000000001E-5</v>
      </c>
      <c r="O2958" s="9">
        <v>1.9640000000000002E-5</v>
      </c>
      <c r="P2958" s="9">
        <v>3.8019999999999999E-5</v>
      </c>
      <c r="Q2958" s="9">
        <v>5.6579999999999997E-5</v>
      </c>
      <c r="R2958" s="10">
        <v>2.0402973706144651E-4</v>
      </c>
      <c r="S2958" s="10">
        <v>1.8949423842224203E-4</v>
      </c>
      <c r="T2958" s="10">
        <v>0</v>
      </c>
      <c r="U2958" s="10">
        <v>1.0718E-4</v>
      </c>
      <c r="V2958" s="25"/>
      <c r="W2958" s="25"/>
      <c r="X2958" s="25"/>
      <c r="Y2958" s="25"/>
      <c r="Z2958" s="25"/>
      <c r="AA2958" s="25"/>
    </row>
    <row r="2959" spans="1:27" x14ac:dyDescent="0.35">
      <c r="A2959" s="5">
        <v>2955</v>
      </c>
      <c r="B2959" s="5">
        <v>124</v>
      </c>
      <c r="C2959" s="5">
        <v>5</v>
      </c>
      <c r="D2959" s="25">
        <v>1.1416E-4</v>
      </c>
      <c r="E2959" s="25">
        <v>1.1218E-4</v>
      </c>
      <c r="F2959" s="25">
        <v>1.0257E-4</v>
      </c>
      <c r="G2959" s="25">
        <v>5.3890000000000001E-5</v>
      </c>
      <c r="H2959" s="25">
        <v>7.4090000000000004E-5</v>
      </c>
      <c r="I2959" s="9">
        <v>9.3510000000000004E-5</v>
      </c>
      <c r="J2959" s="9">
        <v>8.8070000000000002E-5</v>
      </c>
      <c r="K2959" s="9">
        <v>8.6890000000000003E-5</v>
      </c>
      <c r="L2959" s="9">
        <v>2.8189999999999999E-5</v>
      </c>
      <c r="M2959" s="9">
        <v>5.2290000000000002E-5</v>
      </c>
      <c r="N2959" s="9">
        <v>6.5610000000000004E-5</v>
      </c>
      <c r="O2959" s="9">
        <v>1.399E-5</v>
      </c>
      <c r="P2959" s="9">
        <v>3.7400000000000001E-5</v>
      </c>
      <c r="Q2959" s="9">
        <v>6.0949999999999998E-5</v>
      </c>
      <c r="R2959" s="10">
        <v>1.9716368094304117E-4</v>
      </c>
      <c r="S2959" s="10">
        <v>1.8650117180057739E-4</v>
      </c>
      <c r="T2959" s="10">
        <v>0</v>
      </c>
      <c r="U2959" s="10">
        <v>1.0718E-4</v>
      </c>
      <c r="V2959" s="25"/>
      <c r="W2959" s="25"/>
      <c r="X2959" s="25"/>
      <c r="Y2959" s="25"/>
      <c r="Z2959" s="25"/>
      <c r="AA2959" s="25"/>
    </row>
    <row r="2960" spans="1:27" x14ac:dyDescent="0.35">
      <c r="A2960" s="5">
        <v>2956</v>
      </c>
      <c r="B2960" s="5">
        <v>124</v>
      </c>
      <c r="C2960" s="5">
        <v>5</v>
      </c>
      <c r="D2960" s="25">
        <v>1.1415000000000001E-4</v>
      </c>
      <c r="E2960" s="25">
        <v>1.1499E-4</v>
      </c>
      <c r="F2960" s="25">
        <v>1.2133000000000001E-4</v>
      </c>
      <c r="G2960" s="25">
        <v>6.0180000000000003E-5</v>
      </c>
      <c r="H2960" s="25">
        <v>6.7459999999999994E-5</v>
      </c>
      <c r="I2960" s="9">
        <v>9.4770000000000002E-5</v>
      </c>
      <c r="J2960" s="9">
        <v>8.6810000000000004E-5</v>
      </c>
      <c r="K2960" s="9">
        <v>7.6299999999999998E-5</v>
      </c>
      <c r="L2960" s="9">
        <v>1.783E-5</v>
      </c>
      <c r="M2960" s="9">
        <v>4.4159999999999997E-5</v>
      </c>
      <c r="N2960" s="9">
        <v>6.1879999999999997E-5</v>
      </c>
      <c r="O2960" s="9">
        <v>1.4039999999999999E-5</v>
      </c>
      <c r="P2960" s="9">
        <v>4.6910000000000003E-5</v>
      </c>
      <c r="Q2960" s="9">
        <v>7.9789999999999993E-5</v>
      </c>
      <c r="R2960" s="10">
        <v>1.8860509651384268E-4</v>
      </c>
      <c r="S2960" s="10">
        <v>1.8781258663369717E-4</v>
      </c>
      <c r="T2960" s="10">
        <v>0</v>
      </c>
      <c r="U2960" s="10">
        <v>1.0718E-4</v>
      </c>
      <c r="V2960" s="25"/>
      <c r="W2960" s="25"/>
      <c r="X2960" s="25"/>
      <c r="Y2960" s="25"/>
      <c r="Z2960" s="25"/>
      <c r="AA2960" s="25"/>
    </row>
    <row r="2961" spans="1:27" x14ac:dyDescent="0.35">
      <c r="A2961" s="5">
        <v>2957</v>
      </c>
      <c r="B2961" s="5">
        <v>124</v>
      </c>
      <c r="C2961" s="5">
        <v>5</v>
      </c>
      <c r="D2961" s="25">
        <v>1.1416E-4</v>
      </c>
      <c r="E2961" s="25">
        <v>1.1004E-4</v>
      </c>
      <c r="F2961" s="25">
        <v>1.0561E-4</v>
      </c>
      <c r="G2961" s="25">
        <v>5.469E-5</v>
      </c>
      <c r="H2961" s="25">
        <v>6.8910000000000003E-5</v>
      </c>
      <c r="I2961" s="9">
        <v>1.0089E-4</v>
      </c>
      <c r="J2961" s="9">
        <v>8.8399999999999994E-5</v>
      </c>
      <c r="K2961" s="9">
        <v>7.2059999999999998E-5</v>
      </c>
      <c r="L2961" s="9">
        <v>1.5119999999999999E-5</v>
      </c>
      <c r="M2961" s="9">
        <v>4.3309999999999997E-5</v>
      </c>
      <c r="N2961" s="9">
        <v>6.4280000000000001E-5</v>
      </c>
      <c r="O2961" s="9">
        <v>1.9709999999999999E-5</v>
      </c>
      <c r="P2961" s="9">
        <v>5.7219999999999998E-5</v>
      </c>
      <c r="Q2961" s="9">
        <v>9.4619999999999999E-5</v>
      </c>
      <c r="R2961" s="10">
        <v>1.868206108101836E-4</v>
      </c>
      <c r="S2961" s="10">
        <v>1.9017494915011732E-4</v>
      </c>
      <c r="T2961" s="10">
        <v>0</v>
      </c>
      <c r="U2961" s="10">
        <v>1.0718E-4</v>
      </c>
      <c r="V2961" s="25"/>
      <c r="W2961" s="25"/>
      <c r="X2961" s="25"/>
      <c r="Y2961" s="25"/>
      <c r="Z2961" s="25"/>
      <c r="AA2961" s="25"/>
    </row>
    <row r="2962" spans="1:27" x14ac:dyDescent="0.35">
      <c r="A2962" s="5">
        <v>2958</v>
      </c>
      <c r="B2962" s="5">
        <v>124</v>
      </c>
      <c r="C2962" s="5">
        <v>5</v>
      </c>
      <c r="D2962" s="25">
        <v>1.1415000000000001E-4</v>
      </c>
      <c r="E2962" s="25">
        <v>1.1143E-4</v>
      </c>
      <c r="F2962" s="25">
        <v>1.0836E-4</v>
      </c>
      <c r="G2962" s="25">
        <v>1.0496E-4</v>
      </c>
      <c r="H2962" s="25">
        <v>1.3161999999999999E-4</v>
      </c>
      <c r="I2962" s="9">
        <v>1.1099000000000001E-4</v>
      </c>
      <c r="J2962" s="9">
        <v>9.2200000000000005E-5</v>
      </c>
      <c r="K2962" s="9">
        <v>6.1459999999999998E-5</v>
      </c>
      <c r="L2962" s="9">
        <v>1.857E-5</v>
      </c>
      <c r="M2962" s="9">
        <v>4.8449999999999999E-5</v>
      </c>
      <c r="N2962" s="9">
        <v>7.1060000000000001E-5</v>
      </c>
      <c r="O2962" s="9">
        <v>4.6289999999999999E-5</v>
      </c>
      <c r="P2962" s="9">
        <v>7.661E-5</v>
      </c>
      <c r="Q2962" s="9">
        <v>1.0668E-4</v>
      </c>
      <c r="R2962" s="10">
        <v>1.8213345024525049E-4</v>
      </c>
      <c r="S2962" s="10">
        <v>1.9022996756331255E-4</v>
      </c>
      <c r="T2962" s="10">
        <v>2.4774154102416148E-5</v>
      </c>
      <c r="U2962" s="10">
        <v>1.0718E-4</v>
      </c>
      <c r="V2962" s="25"/>
      <c r="W2962" s="25"/>
      <c r="X2962" s="25"/>
      <c r="Y2962" s="25"/>
      <c r="Z2962" s="25"/>
      <c r="AA2962" s="25"/>
    </row>
    <row r="2963" spans="1:27" x14ac:dyDescent="0.35">
      <c r="A2963" s="5">
        <v>2959</v>
      </c>
      <c r="B2963" s="5">
        <v>124</v>
      </c>
      <c r="C2963" s="5">
        <v>5</v>
      </c>
      <c r="D2963" s="25">
        <v>1.1416E-4</v>
      </c>
      <c r="E2963" s="25">
        <v>1.1599000000000001E-4</v>
      </c>
      <c r="F2963" s="25">
        <v>1.071E-4</v>
      </c>
      <c r="G2963" s="25">
        <v>1.0598E-4</v>
      </c>
      <c r="H2963" s="25">
        <v>1.2747999999999999E-4</v>
      </c>
      <c r="I2963" s="9">
        <v>1.1773E-4</v>
      </c>
      <c r="J2963" s="9">
        <v>1.0473E-4</v>
      </c>
      <c r="K2963" s="9">
        <v>5.9349999999999999E-5</v>
      </c>
      <c r="L2963" s="9">
        <v>4.0040000000000003E-5</v>
      </c>
      <c r="M2963" s="9">
        <v>6.0050000000000003E-5</v>
      </c>
      <c r="N2963" s="9">
        <v>8.0690000000000002E-5</v>
      </c>
      <c r="O2963" s="9">
        <v>1.225E-4</v>
      </c>
      <c r="P2963" s="9">
        <v>1.1794E-4</v>
      </c>
      <c r="Q2963" s="9">
        <v>1.1297E-4</v>
      </c>
      <c r="R2963" s="10">
        <v>1.7921526310152628E-4</v>
      </c>
      <c r="S2963" s="10">
        <v>1.9002306879177701E-4</v>
      </c>
      <c r="T2963" s="10">
        <v>1.328641278232318E-4</v>
      </c>
      <c r="U2963" s="10">
        <v>1.0718E-4</v>
      </c>
      <c r="V2963" s="25"/>
      <c r="W2963" s="25"/>
      <c r="X2963" s="25"/>
      <c r="Y2963" s="25"/>
      <c r="Z2963" s="25"/>
      <c r="AA2963" s="25"/>
    </row>
    <row r="2964" spans="1:27" x14ac:dyDescent="0.35">
      <c r="A2964" s="5">
        <v>2960</v>
      </c>
      <c r="B2964" s="5">
        <v>124</v>
      </c>
      <c r="C2964" s="5">
        <v>5</v>
      </c>
      <c r="D2964" s="25">
        <v>1.1415000000000001E-4</v>
      </c>
      <c r="E2964" s="25">
        <v>1.1072E-4</v>
      </c>
      <c r="F2964" s="25">
        <v>1.0043999999999999E-4</v>
      </c>
      <c r="G2964" s="25">
        <v>1.6568E-4</v>
      </c>
      <c r="H2964" s="25">
        <v>1.9788E-4</v>
      </c>
      <c r="I2964" s="9">
        <v>1.1852E-4</v>
      </c>
      <c r="J2964" s="9">
        <v>1.1430999999999999E-4</v>
      </c>
      <c r="K2964" s="9">
        <v>4.4509999999999999E-5</v>
      </c>
      <c r="L2964" s="9">
        <v>1.0376E-4</v>
      </c>
      <c r="M2964" s="9">
        <v>8.3869999999999995E-5</v>
      </c>
      <c r="N2964" s="9">
        <v>9.09E-5</v>
      </c>
      <c r="O2964" s="9">
        <v>2.1723000000000001E-4</v>
      </c>
      <c r="P2964" s="9">
        <v>1.7755000000000001E-4</v>
      </c>
      <c r="Q2964" s="9">
        <v>1.3715999999999999E-4</v>
      </c>
      <c r="R2964" s="10">
        <v>1.7721283732827301E-4</v>
      </c>
      <c r="S2964" s="10">
        <v>1.8885329933908832E-4</v>
      </c>
      <c r="T2964" s="10">
        <v>2.2007424084334674E-4</v>
      </c>
      <c r="U2964" s="10">
        <v>1.0718E-4</v>
      </c>
      <c r="V2964" s="25"/>
      <c r="W2964" s="25"/>
      <c r="X2964" s="25"/>
      <c r="Y2964" s="25"/>
      <c r="Z2964" s="25"/>
      <c r="AA2964" s="25"/>
    </row>
    <row r="2965" spans="1:27" x14ac:dyDescent="0.35">
      <c r="A2965" s="5">
        <v>2961</v>
      </c>
      <c r="B2965" s="5">
        <v>124</v>
      </c>
      <c r="C2965" s="5">
        <v>5</v>
      </c>
      <c r="D2965" s="25">
        <v>1.1416E-4</v>
      </c>
      <c r="E2965" s="25">
        <v>1.1383999999999999E-4</v>
      </c>
      <c r="F2965" s="25">
        <v>1.0423E-4</v>
      </c>
      <c r="G2965" s="25">
        <v>1.6735E-4</v>
      </c>
      <c r="H2965" s="25">
        <v>1.942E-4</v>
      </c>
      <c r="I2965" s="9">
        <v>1.1621E-4</v>
      </c>
      <c r="J2965" s="9">
        <v>1.1703E-4</v>
      </c>
      <c r="K2965" s="9">
        <v>3.18E-5</v>
      </c>
      <c r="L2965" s="9">
        <v>1.9052000000000001E-4</v>
      </c>
      <c r="M2965" s="9">
        <v>1.2375E-4</v>
      </c>
      <c r="N2965" s="9">
        <v>1.0477E-4</v>
      </c>
      <c r="O2965" s="9">
        <v>2.0727000000000001E-4</v>
      </c>
      <c r="P2965" s="9">
        <v>1.9211E-4</v>
      </c>
      <c r="Q2965" s="9">
        <v>1.7594E-4</v>
      </c>
      <c r="R2965" s="10">
        <v>1.9375025381812864E-4</v>
      </c>
      <c r="S2965" s="10">
        <v>1.8828153677885492E-4</v>
      </c>
      <c r="T2965" s="10">
        <v>2.562003874762536E-4</v>
      </c>
      <c r="U2965" s="10">
        <v>1.0718E-4</v>
      </c>
      <c r="V2965" s="25"/>
      <c r="W2965" s="25"/>
      <c r="X2965" s="25"/>
      <c r="Y2965" s="25"/>
      <c r="Z2965" s="25"/>
      <c r="AA2965" s="25"/>
    </row>
    <row r="2966" spans="1:27" x14ac:dyDescent="0.35">
      <c r="A2966" s="5">
        <v>2962</v>
      </c>
      <c r="B2966" s="5">
        <v>124</v>
      </c>
      <c r="C2966" s="5">
        <v>5</v>
      </c>
      <c r="D2966" s="25">
        <v>1.1415000000000001E-4</v>
      </c>
      <c r="E2966" s="25">
        <v>1.0551E-4</v>
      </c>
      <c r="F2966" s="25">
        <v>1.0486E-4</v>
      </c>
      <c r="G2966" s="25">
        <v>1.5877999999999999E-4</v>
      </c>
      <c r="H2966" s="25">
        <v>1.9803E-4</v>
      </c>
      <c r="I2966" s="9">
        <v>1.1188000000000001E-4</v>
      </c>
      <c r="J2966" s="9">
        <v>1.1724E-4</v>
      </c>
      <c r="K2966" s="9">
        <v>5.2989999999999999E-5</v>
      </c>
      <c r="L2966" s="9">
        <v>2.0129999999999999E-4</v>
      </c>
      <c r="M2966" s="9">
        <v>1.5846999999999999E-4</v>
      </c>
      <c r="N2966" s="9">
        <v>1.2458E-4</v>
      </c>
      <c r="O2966" s="9">
        <v>1.6425000000000001E-4</v>
      </c>
      <c r="P2966" s="9">
        <v>1.7321E-4</v>
      </c>
      <c r="Q2966" s="9">
        <v>1.8118E-4</v>
      </c>
      <c r="R2966" s="10">
        <v>2.0488840849339633E-4</v>
      </c>
      <c r="S2966" s="10">
        <v>1.8755135315865769E-4</v>
      </c>
      <c r="T2966" s="10">
        <v>3.3289845360154194E-4</v>
      </c>
      <c r="U2966" s="10">
        <v>1.0718E-4</v>
      </c>
      <c r="V2966" s="25"/>
      <c r="W2966" s="25"/>
      <c r="X2966" s="25"/>
      <c r="Y2966" s="25"/>
      <c r="Z2966" s="25"/>
      <c r="AA2966" s="25"/>
    </row>
    <row r="2967" spans="1:27" x14ac:dyDescent="0.35">
      <c r="A2967" s="5">
        <v>2963</v>
      </c>
      <c r="B2967" s="5">
        <v>124</v>
      </c>
      <c r="C2967" s="5">
        <v>5</v>
      </c>
      <c r="D2967" s="25">
        <v>1.1416E-4</v>
      </c>
      <c r="E2967" s="25">
        <v>1.106E-4</v>
      </c>
      <c r="F2967" s="25">
        <v>1.1357999999999999E-4</v>
      </c>
      <c r="G2967" s="25">
        <v>1.5752E-4</v>
      </c>
      <c r="H2967" s="25">
        <v>1.9217999999999999E-4</v>
      </c>
      <c r="I2967" s="9">
        <v>1.1011E-4</v>
      </c>
      <c r="J2967" s="9">
        <v>1.1763E-4</v>
      </c>
      <c r="K2967" s="9">
        <v>5.5109999999999999E-5</v>
      </c>
      <c r="L2967" s="9">
        <v>1.7252000000000001E-4</v>
      </c>
      <c r="M2967" s="9">
        <v>1.7179000000000001E-4</v>
      </c>
      <c r="N2967" s="9">
        <v>1.4242000000000001E-4</v>
      </c>
      <c r="O2967" s="9">
        <v>1.6509000000000001E-4</v>
      </c>
      <c r="P2967" s="9">
        <v>1.7275E-4</v>
      </c>
      <c r="Q2967" s="9">
        <v>1.7943000000000001E-4</v>
      </c>
      <c r="R2967" s="10">
        <v>1.9712934677314022E-4</v>
      </c>
      <c r="S2967" s="10">
        <v>1.8506082698434628E-4</v>
      </c>
      <c r="T2967" s="10">
        <v>1.8926774990297927E-4</v>
      </c>
      <c r="U2967" s="10">
        <v>1.0718E-4</v>
      </c>
      <c r="V2967" s="25"/>
      <c r="W2967" s="25"/>
      <c r="X2967" s="25"/>
      <c r="Y2967" s="25"/>
      <c r="Z2967" s="25"/>
      <c r="AA2967" s="25"/>
    </row>
    <row r="2968" spans="1:27" x14ac:dyDescent="0.35">
      <c r="A2968" s="5">
        <v>2964</v>
      </c>
      <c r="B2968" s="5">
        <v>124</v>
      </c>
      <c r="C2968" s="5">
        <v>5</v>
      </c>
      <c r="D2968" s="25">
        <v>1.1415000000000001E-4</v>
      </c>
      <c r="E2968" s="25">
        <v>1.0611E-4</v>
      </c>
      <c r="F2968" s="25">
        <v>1.1435E-4</v>
      </c>
      <c r="G2968" s="25">
        <v>1.6068000000000001E-4</v>
      </c>
      <c r="H2968" s="25">
        <v>1.9817000000000001E-4</v>
      </c>
      <c r="I2968" s="9">
        <v>1.0488E-4</v>
      </c>
      <c r="J2968" s="9">
        <v>1.1526E-4</v>
      </c>
      <c r="K2968" s="9">
        <v>5.9339999999999998E-5</v>
      </c>
      <c r="L2968" s="9">
        <v>1.6812000000000001E-4</v>
      </c>
      <c r="M2968" s="9">
        <v>1.7436E-4</v>
      </c>
      <c r="N2968" s="9">
        <v>1.5648999999999999E-4</v>
      </c>
      <c r="O2968" s="9">
        <v>1.6873999999999999E-4</v>
      </c>
      <c r="P2968" s="9">
        <v>1.7237E-4</v>
      </c>
      <c r="Q2968" s="9">
        <v>1.7505999999999999E-4</v>
      </c>
      <c r="R2968" s="10">
        <v>1.5723433980838062E-4</v>
      </c>
      <c r="S2968" s="10">
        <v>1.6905917261476032E-4</v>
      </c>
      <c r="T2968" s="10">
        <v>9.2029195050995872E-5</v>
      </c>
      <c r="U2968" s="10">
        <v>1.0718E-4</v>
      </c>
      <c r="V2968" s="25"/>
      <c r="W2968" s="25"/>
      <c r="X2968" s="25"/>
      <c r="Y2968" s="25"/>
      <c r="Z2968" s="25"/>
      <c r="AA2968" s="25"/>
    </row>
    <row r="2969" spans="1:27" x14ac:dyDescent="0.35">
      <c r="A2969" s="5">
        <v>2965</v>
      </c>
      <c r="B2969" s="5">
        <v>124</v>
      </c>
      <c r="C2969" s="5">
        <v>5</v>
      </c>
      <c r="D2969" s="25">
        <v>1.1416E-4</v>
      </c>
      <c r="E2969" s="25">
        <v>1.0620000000000001E-4</v>
      </c>
      <c r="F2969" s="25">
        <v>1.0516E-4</v>
      </c>
      <c r="G2969" s="25">
        <v>1.6174000000000001E-4</v>
      </c>
      <c r="H2969" s="25">
        <v>1.9039999999999999E-4</v>
      </c>
      <c r="I2969" s="9">
        <v>1.0289999999999999E-4</v>
      </c>
      <c r="J2969" s="9">
        <v>1.1463000000000001E-4</v>
      </c>
      <c r="K2969" s="9">
        <v>5.0869999999999999E-5</v>
      </c>
      <c r="L2969" s="9">
        <v>1.6873999999999999E-4</v>
      </c>
      <c r="M2969" s="9">
        <v>1.7385E-4</v>
      </c>
      <c r="N2969" s="9">
        <v>1.6615E-4</v>
      </c>
      <c r="O2969" s="9">
        <v>1.583E-4</v>
      </c>
      <c r="P2969" s="9">
        <v>1.6254E-4</v>
      </c>
      <c r="Q2969" s="9">
        <v>1.6589999999999999E-4</v>
      </c>
      <c r="R2969" s="10">
        <v>1.3656594471614551E-4</v>
      </c>
      <c r="S2969" s="10">
        <v>1.4774202625104756E-4</v>
      </c>
      <c r="T2969" s="10">
        <v>4.4528148279352972E-4</v>
      </c>
      <c r="U2969" s="10">
        <v>1.0718E-4</v>
      </c>
      <c r="V2969" s="25"/>
      <c r="W2969" s="25"/>
      <c r="X2969" s="25"/>
      <c r="Y2969" s="25"/>
      <c r="Z2969" s="25"/>
      <c r="AA2969" s="25"/>
    </row>
    <row r="2970" spans="1:27" x14ac:dyDescent="0.35">
      <c r="A2970" s="5">
        <v>2966</v>
      </c>
      <c r="B2970" s="5">
        <v>124</v>
      </c>
      <c r="C2970" s="5">
        <v>5</v>
      </c>
      <c r="D2970" s="25">
        <v>1.1415000000000001E-4</v>
      </c>
      <c r="E2970" s="25">
        <v>1.0645999999999999E-4</v>
      </c>
      <c r="F2970" s="25">
        <v>1.0480999999999999E-4</v>
      </c>
      <c r="G2970" s="25">
        <v>1.6034999999999999E-4</v>
      </c>
      <c r="H2970" s="25">
        <v>1.9094000000000001E-4</v>
      </c>
      <c r="I2970" s="9">
        <v>1.0267E-4</v>
      </c>
      <c r="J2970" s="9">
        <v>1.1391E-4</v>
      </c>
      <c r="K2970" s="9">
        <v>4.6629999999999999E-5</v>
      </c>
      <c r="L2970" s="9">
        <v>1.6032000000000001E-4</v>
      </c>
      <c r="M2970" s="9">
        <v>1.6961E-4</v>
      </c>
      <c r="N2970" s="9">
        <v>1.7013999999999999E-4</v>
      </c>
      <c r="O2970" s="9">
        <v>1.7682E-4</v>
      </c>
      <c r="P2970" s="9">
        <v>1.696E-4</v>
      </c>
      <c r="Q2970" s="9">
        <v>1.6154E-4</v>
      </c>
      <c r="R2970" s="10">
        <v>1.0472465881812718E-4</v>
      </c>
      <c r="S2970" s="10">
        <v>1.1764123163290804E-4</v>
      </c>
      <c r="T2970" s="10">
        <v>5.2315038222913767E-4</v>
      </c>
      <c r="U2970" s="10">
        <v>1.0718E-4</v>
      </c>
      <c r="V2970" s="25"/>
      <c r="W2970" s="25"/>
      <c r="X2970" s="25"/>
      <c r="Y2970" s="25"/>
      <c r="Z2970" s="25"/>
      <c r="AA2970" s="25"/>
    </row>
    <row r="2971" spans="1:27" x14ac:dyDescent="0.35">
      <c r="A2971" s="5">
        <v>2967</v>
      </c>
      <c r="B2971" s="5">
        <v>124</v>
      </c>
      <c r="C2971" s="5">
        <v>5</v>
      </c>
      <c r="D2971" s="25">
        <v>1.1416E-4</v>
      </c>
      <c r="E2971" s="25">
        <v>1.1247E-4</v>
      </c>
      <c r="F2971" s="25">
        <v>1.1951999999999999E-4</v>
      </c>
      <c r="G2971" s="25">
        <v>1.5616999999999999E-4</v>
      </c>
      <c r="H2971" s="25">
        <v>1.9389E-4</v>
      </c>
      <c r="I2971" s="9">
        <v>1.0162000000000001E-4</v>
      </c>
      <c r="J2971" s="9">
        <v>1.1319000000000001E-4</v>
      </c>
      <c r="K2971" s="9">
        <v>5.7219999999999998E-5</v>
      </c>
      <c r="L2971" s="9">
        <v>1.7340000000000001E-4</v>
      </c>
      <c r="M2971" s="9">
        <v>1.6838000000000001E-4</v>
      </c>
      <c r="N2971" s="9">
        <v>1.6988999999999999E-4</v>
      </c>
      <c r="O2971" s="9">
        <v>1.8008999999999999E-4</v>
      </c>
      <c r="P2971" s="9">
        <v>1.6626999999999999E-4</v>
      </c>
      <c r="Q2971" s="9">
        <v>1.5165999999999999E-4</v>
      </c>
      <c r="R2971" s="10">
        <v>7.0223607136248443E-5</v>
      </c>
      <c r="S2971" s="10">
        <v>8.0249896316387265E-5</v>
      </c>
      <c r="T2971" s="10">
        <v>4.2044793859566257E-4</v>
      </c>
      <c r="U2971" s="10">
        <v>1.0718E-4</v>
      </c>
      <c r="V2971" s="25"/>
      <c r="W2971" s="25"/>
      <c r="X2971" s="25"/>
      <c r="Y2971" s="25"/>
      <c r="Z2971" s="25"/>
      <c r="AA2971" s="25"/>
    </row>
    <row r="2972" spans="1:27" x14ac:dyDescent="0.35">
      <c r="A2972" s="5">
        <v>2968</v>
      </c>
      <c r="B2972" s="5">
        <v>124</v>
      </c>
      <c r="C2972" s="5">
        <v>5</v>
      </c>
      <c r="D2972" s="25">
        <v>1.1415000000000001E-4</v>
      </c>
      <c r="E2972" s="25">
        <v>1.1346E-4</v>
      </c>
      <c r="F2972" s="25">
        <v>1.0221E-4</v>
      </c>
      <c r="G2972" s="25">
        <v>1.5943000000000001E-4</v>
      </c>
      <c r="H2972" s="25">
        <v>2.0021000000000001E-4</v>
      </c>
      <c r="I2972" s="9">
        <v>1.0259000000000001E-4</v>
      </c>
      <c r="J2972" s="9">
        <v>1.1353000000000001E-4</v>
      </c>
      <c r="K2972" s="9">
        <v>5.2989999999999999E-5</v>
      </c>
      <c r="L2972" s="9">
        <v>1.7828000000000001E-4</v>
      </c>
      <c r="M2972" s="9">
        <v>1.6741E-4</v>
      </c>
      <c r="N2972" s="9">
        <v>1.6587000000000001E-4</v>
      </c>
      <c r="O2972" s="9">
        <v>1.9290999999999999E-4</v>
      </c>
      <c r="P2972" s="9">
        <v>1.5107E-4</v>
      </c>
      <c r="Q2972" s="9">
        <v>1.0877E-4</v>
      </c>
      <c r="R2972" s="10">
        <v>4.5132245766296292E-5</v>
      </c>
      <c r="S2972" s="10">
        <v>5.0529108127392189E-5</v>
      </c>
      <c r="T2972" s="10">
        <v>3.5164027086600672E-4</v>
      </c>
      <c r="U2972" s="10">
        <v>1.0718E-4</v>
      </c>
      <c r="V2972" s="25"/>
      <c r="W2972" s="25"/>
      <c r="X2972" s="25"/>
      <c r="Y2972" s="25"/>
      <c r="Z2972" s="25"/>
      <c r="AA2972" s="25"/>
    </row>
    <row r="2973" spans="1:27" x14ac:dyDescent="0.35">
      <c r="A2973" s="5">
        <v>2969</v>
      </c>
      <c r="B2973" s="5">
        <v>124</v>
      </c>
      <c r="C2973" s="5">
        <v>5</v>
      </c>
      <c r="D2973" s="25">
        <v>1.1416E-4</v>
      </c>
      <c r="E2973" s="25">
        <v>1.1283E-4</v>
      </c>
      <c r="F2973" s="25">
        <v>1.0688000000000001E-4</v>
      </c>
      <c r="G2973" s="25">
        <v>1.6213999999999999E-4</v>
      </c>
      <c r="H2973" s="25">
        <v>2.0106E-4</v>
      </c>
      <c r="I2973" s="9">
        <v>1.0793000000000001E-4</v>
      </c>
      <c r="J2973" s="9">
        <v>1.1561E-4</v>
      </c>
      <c r="K2973" s="9">
        <v>5.5099999999999998E-5</v>
      </c>
      <c r="L2973" s="9">
        <v>1.8949E-4</v>
      </c>
      <c r="M2973" s="9">
        <v>1.6138E-4</v>
      </c>
      <c r="N2973" s="9">
        <v>1.5197999999999999E-4</v>
      </c>
      <c r="O2973" s="9">
        <v>2.1096999999999999E-4</v>
      </c>
      <c r="P2973" s="9">
        <v>1.593E-4</v>
      </c>
      <c r="Q2973" s="9">
        <v>1.0715E-4</v>
      </c>
      <c r="R2973" s="10">
        <v>2.9743611721235613E-5</v>
      </c>
      <c r="S2973" s="10">
        <v>2.9358123293115005E-5</v>
      </c>
      <c r="T2973" s="10">
        <v>2.4973535137144497E-4</v>
      </c>
      <c r="U2973" s="10">
        <v>1.0718E-4</v>
      </c>
      <c r="V2973" s="25"/>
      <c r="W2973" s="25"/>
      <c r="X2973" s="25"/>
      <c r="Y2973" s="25"/>
      <c r="Z2973" s="25"/>
      <c r="AA2973" s="25"/>
    </row>
    <row r="2974" spans="1:27" x14ac:dyDescent="0.35">
      <c r="A2974" s="5">
        <v>2970</v>
      </c>
      <c r="B2974" s="5">
        <v>124</v>
      </c>
      <c r="C2974" s="5">
        <v>5</v>
      </c>
      <c r="D2974" s="25">
        <v>1.1415000000000001E-4</v>
      </c>
      <c r="E2974" s="25">
        <v>1.1297E-4</v>
      </c>
      <c r="F2974" s="25">
        <v>1.0449E-4</v>
      </c>
      <c r="G2974" s="25">
        <v>1.5878999999999999E-4</v>
      </c>
      <c r="H2974" s="25">
        <v>2.0117999999999999E-4</v>
      </c>
      <c r="I2974" s="9">
        <v>1.1243000000000001E-4</v>
      </c>
      <c r="J2974" s="9">
        <v>1.1202E-4</v>
      </c>
      <c r="K2974" s="9">
        <v>5.2989999999999999E-5</v>
      </c>
      <c r="L2974" s="9">
        <v>2.0604E-4</v>
      </c>
      <c r="M2974" s="9">
        <v>1.5896000000000001E-4</v>
      </c>
      <c r="N2974" s="9">
        <v>1.3867999999999999E-4</v>
      </c>
      <c r="O2974" s="9">
        <v>2.0191E-4</v>
      </c>
      <c r="P2974" s="9">
        <v>1.5987E-4</v>
      </c>
      <c r="Q2974" s="9">
        <v>1.1730000000000001E-4</v>
      </c>
      <c r="R2974" s="10">
        <v>2.0965564164741508E-5</v>
      </c>
      <c r="S2974" s="10">
        <v>1.8101478842135412E-5</v>
      </c>
      <c r="T2974" s="10">
        <v>1.0571436990277575E-4</v>
      </c>
      <c r="U2974" s="10">
        <v>1.0718E-4</v>
      </c>
      <c r="V2974" s="25"/>
      <c r="W2974" s="25"/>
      <c r="X2974" s="25"/>
      <c r="Y2974" s="25"/>
      <c r="Z2974" s="25"/>
      <c r="AA2974" s="25"/>
    </row>
    <row r="2975" spans="1:27" x14ac:dyDescent="0.35">
      <c r="A2975" s="5">
        <v>2971</v>
      </c>
      <c r="B2975" s="5">
        <v>124</v>
      </c>
      <c r="C2975" s="5">
        <v>5</v>
      </c>
      <c r="D2975" s="25">
        <v>1.1416E-4</v>
      </c>
      <c r="E2975" s="25">
        <v>1.1444E-4</v>
      </c>
      <c r="F2975" s="25">
        <v>1.1351E-4</v>
      </c>
      <c r="G2975" s="25">
        <v>1.1097E-4</v>
      </c>
      <c r="H2975" s="25">
        <v>1.3122000000000001E-4</v>
      </c>
      <c r="I2975" s="9">
        <v>1.1467E-4</v>
      </c>
      <c r="J2975" s="9">
        <v>1.1046E-4</v>
      </c>
      <c r="K2975" s="9">
        <v>6.5699999999999998E-5</v>
      </c>
      <c r="L2975" s="9">
        <v>2.0238E-4</v>
      </c>
      <c r="M2975" s="9">
        <v>1.5883999999999999E-4</v>
      </c>
      <c r="N2975" s="9">
        <v>1.2962E-4</v>
      </c>
      <c r="O2975" s="9">
        <v>1.6278000000000001E-4</v>
      </c>
      <c r="P2975" s="9">
        <v>1.3527999999999999E-4</v>
      </c>
      <c r="Q2975" s="9">
        <v>1.0737E-4</v>
      </c>
      <c r="R2975" s="10">
        <v>1.0953864315676445E-5</v>
      </c>
      <c r="S2975" s="10">
        <v>1.0154098203678399E-5</v>
      </c>
      <c r="T2975" s="10">
        <v>2.2950029742135508E-5</v>
      </c>
      <c r="U2975" s="10">
        <v>1.0718E-4</v>
      </c>
      <c r="V2975" s="25"/>
      <c r="W2975" s="25"/>
      <c r="X2975" s="25"/>
      <c r="Y2975" s="25"/>
      <c r="Z2975" s="25"/>
      <c r="AA2975" s="25"/>
    </row>
    <row r="2976" spans="1:27" x14ac:dyDescent="0.35">
      <c r="A2976" s="5">
        <v>2972</v>
      </c>
      <c r="B2976" s="5">
        <v>124</v>
      </c>
      <c r="C2976" s="5">
        <v>5</v>
      </c>
      <c r="D2976" s="25">
        <v>1.1415000000000001E-4</v>
      </c>
      <c r="E2976" s="25">
        <v>1.1197E-4</v>
      </c>
      <c r="F2976" s="25">
        <v>1.0310999999999999E-4</v>
      </c>
      <c r="G2976" s="25">
        <v>1.1019E-4</v>
      </c>
      <c r="H2976" s="25">
        <v>1.2663999999999999E-4</v>
      </c>
      <c r="I2976" s="9">
        <v>1.1527999999999999E-4</v>
      </c>
      <c r="J2976" s="9">
        <v>1.0891999999999999E-4</v>
      </c>
      <c r="K2976" s="9">
        <v>9.3250000000000003E-5</v>
      </c>
      <c r="L2976" s="9">
        <v>1.7165999999999999E-4</v>
      </c>
      <c r="M2976" s="9">
        <v>1.5049E-4</v>
      </c>
      <c r="N2976" s="9">
        <v>1.2063E-4</v>
      </c>
      <c r="O2976" s="9">
        <v>1.2609000000000001E-4</v>
      </c>
      <c r="P2976" s="9">
        <v>1.1357999999999999E-4</v>
      </c>
      <c r="Q2976" s="9">
        <v>1.0076E-4</v>
      </c>
      <c r="R2976" s="10">
        <v>1.480362157583265E-5</v>
      </c>
      <c r="S2976" s="10">
        <v>6.3579732647154857E-6</v>
      </c>
      <c r="T2976" s="10">
        <v>0</v>
      </c>
      <c r="U2976" s="10">
        <v>1.0718E-4</v>
      </c>
      <c r="V2976" s="25"/>
      <c r="W2976" s="25"/>
      <c r="X2976" s="25"/>
      <c r="Y2976" s="25"/>
      <c r="Z2976" s="25"/>
      <c r="AA2976" s="25"/>
    </row>
    <row r="2977" spans="1:27" x14ac:dyDescent="0.35">
      <c r="A2977" s="5">
        <v>2973</v>
      </c>
      <c r="B2977" s="5">
        <v>124</v>
      </c>
      <c r="C2977" s="5">
        <v>5</v>
      </c>
      <c r="D2977" s="25">
        <v>1.1416E-4</v>
      </c>
      <c r="E2977" s="25">
        <v>1.0741E-4</v>
      </c>
      <c r="F2977" s="25">
        <v>1.1595999999999999E-4</v>
      </c>
      <c r="G2977" s="25">
        <v>6.1859999999999994E-5</v>
      </c>
      <c r="H2977" s="25">
        <v>6.4499999999999996E-5</v>
      </c>
      <c r="I2977" s="9">
        <v>1.1699E-4</v>
      </c>
      <c r="J2977" s="9">
        <v>1.1073000000000001E-4</v>
      </c>
      <c r="K2977" s="9">
        <v>9.9610000000000003E-5</v>
      </c>
      <c r="L2977" s="9">
        <v>1.3708000000000001E-4</v>
      </c>
      <c r="M2977" s="9">
        <v>1.3484E-4</v>
      </c>
      <c r="N2977" s="9">
        <v>1.128E-4</v>
      </c>
      <c r="O2977" s="9">
        <v>8.3670000000000004E-5</v>
      </c>
      <c r="P2977" s="9">
        <v>8.5820000000000002E-5</v>
      </c>
      <c r="Q2977" s="9">
        <v>8.7800000000000006E-5</v>
      </c>
      <c r="R2977" s="10">
        <v>4.5416761769046463E-5</v>
      </c>
      <c r="S2977" s="10">
        <v>1.4633607872229317E-5</v>
      </c>
      <c r="T2977" s="10">
        <v>0</v>
      </c>
      <c r="U2977" s="10">
        <v>1.0718E-4</v>
      </c>
      <c r="V2977" s="25"/>
      <c r="W2977" s="25"/>
      <c r="X2977" s="25"/>
      <c r="Y2977" s="25"/>
      <c r="Z2977" s="25"/>
      <c r="AA2977" s="25"/>
    </row>
    <row r="2978" spans="1:27" x14ac:dyDescent="0.35">
      <c r="A2978" s="5">
        <v>2974</v>
      </c>
      <c r="B2978" s="5">
        <v>124</v>
      </c>
      <c r="C2978" s="5">
        <v>5</v>
      </c>
      <c r="D2978" s="25">
        <v>1.1415000000000001E-4</v>
      </c>
      <c r="E2978" s="25">
        <v>1.0958E-4</v>
      </c>
      <c r="F2978" s="25">
        <v>1.1468000000000001E-4</v>
      </c>
      <c r="G2978" s="25">
        <v>5.9620000000000002E-5</v>
      </c>
      <c r="H2978" s="25">
        <v>7.2310000000000004E-5</v>
      </c>
      <c r="I2978" s="9">
        <v>1.1869E-4</v>
      </c>
      <c r="J2978" s="9">
        <v>1.0631E-4</v>
      </c>
      <c r="K2978" s="9">
        <v>1.0808E-4</v>
      </c>
      <c r="L2978" s="9">
        <v>9.6360000000000006E-5</v>
      </c>
      <c r="M2978" s="9">
        <v>1.1315999999999999E-4</v>
      </c>
      <c r="N2978" s="9">
        <v>1.0519E-4</v>
      </c>
      <c r="O2978" s="9">
        <v>8.6329999999999995E-5</v>
      </c>
      <c r="P2978" s="9">
        <v>8.7139999999999996E-5</v>
      </c>
      <c r="Q2978" s="9">
        <v>8.7780000000000003E-5</v>
      </c>
      <c r="R2978" s="10">
        <v>1.0662456523595689E-4</v>
      </c>
      <c r="S2978" s="10">
        <v>3.5504839467265487E-5</v>
      </c>
      <c r="T2978" s="10">
        <v>0</v>
      </c>
      <c r="U2978" s="10">
        <v>1.0718E-4</v>
      </c>
      <c r="V2978" s="25"/>
      <c r="W2978" s="25"/>
      <c r="X2978" s="25"/>
      <c r="Y2978" s="25"/>
      <c r="Z2978" s="25"/>
      <c r="AA2978" s="25"/>
    </row>
    <row r="2979" spans="1:27" x14ac:dyDescent="0.35">
      <c r="A2979" s="5">
        <v>2975</v>
      </c>
      <c r="B2979" s="5">
        <v>124</v>
      </c>
      <c r="C2979" s="5">
        <v>5</v>
      </c>
      <c r="D2979" s="25">
        <v>1.1416E-4</v>
      </c>
      <c r="E2979" s="25">
        <v>1.145E-4</v>
      </c>
      <c r="F2979" s="25">
        <v>1.1962E-4</v>
      </c>
      <c r="G2979" s="25">
        <v>5.4049999999999999E-5</v>
      </c>
      <c r="H2979" s="25">
        <v>7.3349999999999994E-5</v>
      </c>
      <c r="I2979" s="9">
        <v>1.1595E-4</v>
      </c>
      <c r="J2979" s="9">
        <v>1.0009999999999999E-4</v>
      </c>
      <c r="K2979" s="9">
        <v>1.1657E-4</v>
      </c>
      <c r="L2979" s="9">
        <v>8.9450000000000006E-5</v>
      </c>
      <c r="M2979" s="9">
        <v>9.8480000000000006E-5</v>
      </c>
      <c r="N2979" s="9">
        <v>9.9359999999999997E-5</v>
      </c>
      <c r="O2979" s="9">
        <v>7.674E-5</v>
      </c>
      <c r="P2979" s="9">
        <v>7.1520000000000006E-5</v>
      </c>
      <c r="Q2979" s="9">
        <v>6.6309999999999994E-5</v>
      </c>
      <c r="R2979" s="10">
        <v>1.6016229714014749E-4</v>
      </c>
      <c r="S2979" s="10">
        <v>6.8809224574198835E-5</v>
      </c>
      <c r="T2979" s="10">
        <v>0</v>
      </c>
      <c r="U2979" s="10">
        <v>1.0718E-4</v>
      </c>
      <c r="V2979" s="25"/>
      <c r="W2979" s="25"/>
      <c r="X2979" s="25"/>
      <c r="Y2979" s="25"/>
      <c r="Z2979" s="25"/>
      <c r="AA2979" s="25"/>
    </row>
    <row r="2980" spans="1:27" x14ac:dyDescent="0.35">
      <c r="A2980" s="5">
        <v>2976</v>
      </c>
      <c r="B2980" s="5">
        <v>124</v>
      </c>
      <c r="C2980" s="5">
        <v>5</v>
      </c>
      <c r="D2980" s="25">
        <v>1.1415000000000001E-4</v>
      </c>
      <c r="E2980" s="25">
        <v>1.088E-4</v>
      </c>
      <c r="F2980" s="25">
        <v>1.014E-4</v>
      </c>
      <c r="G2980" s="25">
        <v>6.3319999999999997E-5</v>
      </c>
      <c r="H2980" s="25">
        <v>7.6420000000000004E-5</v>
      </c>
      <c r="I2980" s="9">
        <v>1.0712E-4</v>
      </c>
      <c r="J2980" s="9">
        <v>9.3889999999999997E-5</v>
      </c>
      <c r="K2980" s="9">
        <v>1.2716E-4</v>
      </c>
      <c r="L2980" s="9">
        <v>7.9519999999999998E-5</v>
      </c>
      <c r="M2980" s="9">
        <v>8.5550000000000006E-5</v>
      </c>
      <c r="N2980" s="9">
        <v>9.0049999999999993E-5</v>
      </c>
      <c r="O2980" s="9">
        <v>6.2039999999999996E-5</v>
      </c>
      <c r="P2980" s="9">
        <v>6.0139999999999997E-5</v>
      </c>
      <c r="Q2980" s="9">
        <v>5.834E-5</v>
      </c>
      <c r="R2980" s="10">
        <v>1.8353927605981255E-4</v>
      </c>
      <c r="S2980" s="10">
        <v>1.0388099822196779E-4</v>
      </c>
      <c r="T2980" s="10">
        <v>0</v>
      </c>
      <c r="U2980" s="10">
        <v>1.0718E-4</v>
      </c>
      <c r="V2980" s="25"/>
      <c r="W2980" s="25"/>
      <c r="X2980" s="25"/>
      <c r="Y2980" s="25"/>
      <c r="Z2980" s="25"/>
      <c r="AA2980" s="25"/>
    </row>
    <row r="2981" spans="1:27" x14ac:dyDescent="0.35">
      <c r="A2981" s="5">
        <v>2977</v>
      </c>
      <c r="B2981" s="5">
        <v>125</v>
      </c>
      <c r="C2981" s="5">
        <v>5</v>
      </c>
      <c r="D2981" s="25">
        <v>1.1416E-4</v>
      </c>
      <c r="E2981" s="25">
        <v>1.138E-4</v>
      </c>
      <c r="F2981" s="25">
        <v>1.1561999999999999E-4</v>
      </c>
      <c r="G2981" s="25">
        <v>5.2729999999999998E-5</v>
      </c>
      <c r="H2981" s="25">
        <v>3.7960000000000002E-5</v>
      </c>
      <c r="I2981" s="9">
        <v>1.0158999999999999E-4</v>
      </c>
      <c r="J2981" s="9">
        <v>8.8250000000000004E-5</v>
      </c>
      <c r="K2981" s="9">
        <v>1.6318999999999999E-4</v>
      </c>
      <c r="L2981" s="9">
        <v>6.5889999999999994E-5</v>
      </c>
      <c r="M2981" s="9">
        <v>7.3430000000000007E-5</v>
      </c>
      <c r="N2981" s="9">
        <v>8.0610000000000002E-5</v>
      </c>
      <c r="O2981" s="9">
        <v>6.8070000000000004E-5</v>
      </c>
      <c r="P2981" s="9">
        <v>6.0609999999999997E-5</v>
      </c>
      <c r="Q2981" s="9">
        <v>5.3449999999999998E-5</v>
      </c>
      <c r="R2981" s="10">
        <v>1.9850660559473532E-4</v>
      </c>
      <c r="S2981" s="10">
        <v>1.4312186111670156E-4</v>
      </c>
      <c r="T2981" s="10">
        <v>0</v>
      </c>
      <c r="U2981" s="10">
        <v>1.0561E-4</v>
      </c>
      <c r="V2981" s="25"/>
      <c r="W2981" s="25"/>
      <c r="X2981" s="25"/>
      <c r="Y2981" s="25"/>
      <c r="Z2981" s="25"/>
      <c r="AA2981" s="25"/>
    </row>
    <row r="2982" spans="1:27" x14ac:dyDescent="0.35">
      <c r="A2982" s="5">
        <v>2978</v>
      </c>
      <c r="B2982" s="5">
        <v>125</v>
      </c>
      <c r="C2982" s="5">
        <v>5</v>
      </c>
      <c r="D2982" s="25">
        <v>1.1415000000000001E-4</v>
      </c>
      <c r="E2982" s="25">
        <v>1.1006E-4</v>
      </c>
      <c r="F2982" s="25">
        <v>1.2684999999999999E-4</v>
      </c>
      <c r="G2982" s="25">
        <v>6.016E-5</v>
      </c>
      <c r="H2982" s="25">
        <v>4.4889999999999999E-5</v>
      </c>
      <c r="I2982" s="9">
        <v>9.7479999999999995E-5</v>
      </c>
      <c r="J2982" s="9">
        <v>8.797E-5</v>
      </c>
      <c r="K2982" s="9">
        <v>1.8013999999999999E-4</v>
      </c>
      <c r="L2982" s="9">
        <v>6.7960000000000007E-5</v>
      </c>
      <c r="M2982" s="9">
        <v>6.5930000000000001E-5</v>
      </c>
      <c r="N2982" s="9">
        <v>7.1630000000000004E-5</v>
      </c>
      <c r="O2982" s="9">
        <v>3.6090000000000002E-5</v>
      </c>
      <c r="P2982" s="9">
        <v>4.6180000000000002E-5</v>
      </c>
      <c r="Q2982" s="9">
        <v>5.6589999999999999E-5</v>
      </c>
      <c r="R2982" s="10">
        <v>2.0781883437430765E-4</v>
      </c>
      <c r="S2982" s="10">
        <v>1.6215321385369282E-4</v>
      </c>
      <c r="T2982" s="10">
        <v>0</v>
      </c>
      <c r="U2982" s="10">
        <v>1.0561E-4</v>
      </c>
      <c r="V2982" s="25"/>
      <c r="W2982" s="25"/>
      <c r="X2982" s="25"/>
      <c r="Y2982" s="25"/>
      <c r="Z2982" s="25"/>
      <c r="AA2982" s="25"/>
    </row>
    <row r="2983" spans="1:27" x14ac:dyDescent="0.35">
      <c r="A2983" s="5">
        <v>2979</v>
      </c>
      <c r="B2983" s="5">
        <v>125</v>
      </c>
      <c r="C2983" s="5">
        <v>5</v>
      </c>
      <c r="D2983" s="25">
        <v>1.1416E-4</v>
      </c>
      <c r="E2983" s="25">
        <v>1.1642999999999999E-4</v>
      </c>
      <c r="F2983" s="25">
        <v>1.092E-4</v>
      </c>
      <c r="G2983" s="25">
        <v>6.313E-5</v>
      </c>
      <c r="H2983" s="25">
        <v>3.8000000000000002E-5</v>
      </c>
      <c r="I2983" s="9">
        <v>9.6490000000000006E-5</v>
      </c>
      <c r="J2983" s="9">
        <v>8.9309999999999997E-5</v>
      </c>
      <c r="K2983" s="9">
        <v>1.9709999999999999E-4</v>
      </c>
      <c r="L2983" s="9">
        <v>4.3000000000000002E-5</v>
      </c>
      <c r="M2983" s="9">
        <v>5.7240000000000001E-5</v>
      </c>
      <c r="N2983" s="9">
        <v>6.5270000000000004E-5</v>
      </c>
      <c r="O2983" s="9">
        <v>2.27E-5</v>
      </c>
      <c r="P2983" s="9">
        <v>4.1690000000000002E-5</v>
      </c>
      <c r="Q2983" s="9">
        <v>6.0989999999999997E-5</v>
      </c>
      <c r="R2983" s="10">
        <v>2.1225604234890286E-4</v>
      </c>
      <c r="S2983" s="10">
        <v>1.8742142971350667E-4</v>
      </c>
      <c r="T2983" s="10">
        <v>0</v>
      </c>
      <c r="U2983" s="10">
        <v>1.0561E-4</v>
      </c>
      <c r="V2983" s="25"/>
      <c r="W2983" s="25"/>
      <c r="X2983" s="25"/>
      <c r="Y2983" s="25"/>
      <c r="Z2983" s="25"/>
      <c r="AA2983" s="25"/>
    </row>
    <row r="2984" spans="1:27" x14ac:dyDescent="0.35">
      <c r="A2984" s="5">
        <v>2980</v>
      </c>
      <c r="B2984" s="5">
        <v>125</v>
      </c>
      <c r="C2984" s="5">
        <v>5</v>
      </c>
      <c r="D2984" s="25">
        <v>1.1415000000000001E-4</v>
      </c>
      <c r="E2984" s="25">
        <v>1.0561E-4</v>
      </c>
      <c r="F2984" s="25">
        <v>1.2310000000000001E-4</v>
      </c>
      <c r="G2984" s="25">
        <v>5.7389999999999998E-5</v>
      </c>
      <c r="H2984" s="25">
        <v>4.002E-5</v>
      </c>
      <c r="I2984" s="9">
        <v>9.7949999999999996E-5</v>
      </c>
      <c r="J2984" s="9">
        <v>8.9560000000000003E-5</v>
      </c>
      <c r="K2984" s="9">
        <v>2.0133E-4</v>
      </c>
      <c r="L2984" s="9">
        <v>2.7759999999999998E-5</v>
      </c>
      <c r="M2984" s="9">
        <v>4.9589999999999998E-5</v>
      </c>
      <c r="N2984" s="9">
        <v>6.1660000000000003E-5</v>
      </c>
      <c r="O2984" s="9">
        <v>2.247E-5</v>
      </c>
      <c r="P2984" s="9">
        <v>5.1480000000000002E-5</v>
      </c>
      <c r="Q2984" s="9">
        <v>8.064E-5</v>
      </c>
      <c r="R2984" s="10">
        <v>2.1241815815851127E-4</v>
      </c>
      <c r="S2984" s="10">
        <v>1.9022557441639214E-4</v>
      </c>
      <c r="T2984" s="10">
        <v>0</v>
      </c>
      <c r="U2984" s="10">
        <v>1.0561E-4</v>
      </c>
      <c r="V2984" s="25"/>
      <c r="W2984" s="25"/>
      <c r="X2984" s="25"/>
      <c r="Y2984" s="25"/>
      <c r="Z2984" s="25"/>
      <c r="AA2984" s="25"/>
    </row>
    <row r="2985" spans="1:27" x14ac:dyDescent="0.35">
      <c r="A2985" s="5">
        <v>2981</v>
      </c>
      <c r="B2985" s="5">
        <v>125</v>
      </c>
      <c r="C2985" s="5">
        <v>5</v>
      </c>
      <c r="D2985" s="25">
        <v>1.1416E-4</v>
      </c>
      <c r="E2985" s="25">
        <v>1.1292E-4</v>
      </c>
      <c r="F2985" s="25">
        <v>1.2862999999999999E-4</v>
      </c>
      <c r="G2985" s="25">
        <v>6.177E-5</v>
      </c>
      <c r="H2985" s="25">
        <v>3.8550000000000002E-5</v>
      </c>
      <c r="I2985" s="9">
        <v>1.0388E-4</v>
      </c>
      <c r="J2985" s="9">
        <v>9.1920000000000001E-5</v>
      </c>
      <c r="K2985" s="9">
        <v>1.9498000000000001E-4</v>
      </c>
      <c r="L2985" s="9">
        <v>2.41E-5</v>
      </c>
      <c r="M2985" s="9">
        <v>4.8430000000000002E-5</v>
      </c>
      <c r="N2985" s="9">
        <v>6.4339999999999997E-5</v>
      </c>
      <c r="O2985" s="9">
        <v>2.4170000000000001E-5</v>
      </c>
      <c r="P2985" s="9">
        <v>5.8730000000000002E-5</v>
      </c>
      <c r="Q2985" s="9">
        <v>9.3339999999999997E-5</v>
      </c>
      <c r="R2985" s="10">
        <v>2.1243124652395624E-4</v>
      </c>
      <c r="S2985" s="10">
        <v>1.9028981039629638E-4</v>
      </c>
      <c r="T2985" s="10">
        <v>0</v>
      </c>
      <c r="U2985" s="10">
        <v>1.0561E-4</v>
      </c>
      <c r="V2985" s="25"/>
      <c r="W2985" s="25"/>
      <c r="X2985" s="25"/>
      <c r="Y2985" s="25"/>
      <c r="Z2985" s="25"/>
      <c r="AA2985" s="25"/>
    </row>
    <row r="2986" spans="1:27" x14ac:dyDescent="0.35">
      <c r="A2986" s="5">
        <v>2982</v>
      </c>
      <c r="B2986" s="5">
        <v>125</v>
      </c>
      <c r="C2986" s="5">
        <v>5</v>
      </c>
      <c r="D2986" s="25">
        <v>1.1415000000000001E-4</v>
      </c>
      <c r="E2986" s="25">
        <v>1.1542E-4</v>
      </c>
      <c r="F2986" s="25">
        <v>1.2619000000000001E-4</v>
      </c>
      <c r="G2986" s="25">
        <v>1.0925E-4</v>
      </c>
      <c r="H2986" s="25">
        <v>7.6379999999999997E-5</v>
      </c>
      <c r="I2986" s="9">
        <v>1.1178E-4</v>
      </c>
      <c r="J2986" s="9">
        <v>9.4580000000000006E-5</v>
      </c>
      <c r="K2986" s="9">
        <v>1.6531E-4</v>
      </c>
      <c r="L2986" s="9">
        <v>2.408E-5</v>
      </c>
      <c r="M2986" s="9">
        <v>5.2169999999999997E-5</v>
      </c>
      <c r="N2986" s="9">
        <v>7.0889999999999994E-5</v>
      </c>
      <c r="O2986" s="9">
        <v>3.0679999999999998E-5</v>
      </c>
      <c r="P2986" s="9">
        <v>6.9300000000000004E-5</v>
      </c>
      <c r="Q2986" s="9">
        <v>1.0785000000000001E-4</v>
      </c>
      <c r="R2986" s="10">
        <v>2.1242291035096665E-4</v>
      </c>
      <c r="S2986" s="10">
        <v>1.9028835022672747E-4</v>
      </c>
      <c r="T2986" s="10">
        <v>2.1091968184454296E-5</v>
      </c>
      <c r="U2986" s="10">
        <v>1.0561E-4</v>
      </c>
      <c r="V2986" s="25"/>
      <c r="W2986" s="25"/>
      <c r="X2986" s="25"/>
      <c r="Y2986" s="25"/>
      <c r="Z2986" s="25"/>
      <c r="AA2986" s="25"/>
    </row>
    <row r="2987" spans="1:27" x14ac:dyDescent="0.35">
      <c r="A2987" s="5">
        <v>2983</v>
      </c>
      <c r="B2987" s="5">
        <v>125</v>
      </c>
      <c r="C2987" s="5">
        <v>5</v>
      </c>
      <c r="D2987" s="25">
        <v>1.1416E-4</v>
      </c>
      <c r="E2987" s="25">
        <v>1.1429000000000001E-4</v>
      </c>
      <c r="F2987" s="25">
        <v>1.1697999999999999E-4</v>
      </c>
      <c r="G2987" s="25">
        <v>1.0859E-4</v>
      </c>
      <c r="H2987" s="25">
        <v>7.9339999999999996E-5</v>
      </c>
      <c r="I2987" s="9">
        <v>1.1692E-4</v>
      </c>
      <c r="J2987" s="9">
        <v>1.0794999999999999E-4</v>
      </c>
      <c r="K2987" s="9">
        <v>1.3776000000000001E-4</v>
      </c>
      <c r="L2987" s="9">
        <v>2.9130000000000001E-5</v>
      </c>
      <c r="M2987" s="9">
        <v>5.944E-5</v>
      </c>
      <c r="N2987" s="9">
        <v>8.0820000000000002E-5</v>
      </c>
      <c r="O2987" s="9">
        <v>4.6990000000000002E-5</v>
      </c>
      <c r="P2987" s="9">
        <v>8.0210000000000006E-5</v>
      </c>
      <c r="Q2987" s="9">
        <v>1.1331E-4</v>
      </c>
      <c r="R2987" s="10">
        <v>2.1241081972216597E-4</v>
      </c>
      <c r="S2987" s="10">
        <v>1.8690925938512137E-4</v>
      </c>
      <c r="T2987" s="10">
        <v>1.478898219723342E-4</v>
      </c>
      <c r="U2987" s="10">
        <v>1.0561E-4</v>
      </c>
      <c r="V2987" s="25"/>
      <c r="W2987" s="25"/>
      <c r="X2987" s="25"/>
      <c r="Y2987" s="25"/>
      <c r="Z2987" s="25"/>
      <c r="AA2987" s="25"/>
    </row>
    <row r="2988" spans="1:27" x14ac:dyDescent="0.35">
      <c r="A2988" s="5">
        <v>2984</v>
      </c>
      <c r="B2988" s="5">
        <v>125</v>
      </c>
      <c r="C2988" s="5">
        <v>5</v>
      </c>
      <c r="D2988" s="25">
        <v>1.1415000000000001E-4</v>
      </c>
      <c r="E2988" s="25">
        <v>1.0972E-4</v>
      </c>
      <c r="F2988" s="25">
        <v>1.1334E-4</v>
      </c>
      <c r="G2988" s="25">
        <v>1.5866E-4</v>
      </c>
      <c r="H2988" s="25">
        <v>1.1901E-4</v>
      </c>
      <c r="I2988" s="9">
        <v>1.171E-4</v>
      </c>
      <c r="J2988" s="9">
        <v>1.2063E-4</v>
      </c>
      <c r="K2988" s="9">
        <v>1.1444E-4</v>
      </c>
      <c r="L2988" s="9">
        <v>4.2910000000000001E-5</v>
      </c>
      <c r="M2988" s="9">
        <v>6.8739999999999996E-5</v>
      </c>
      <c r="N2988" s="9">
        <v>9.111E-5</v>
      </c>
      <c r="O2988" s="9">
        <v>6.8269999999999995E-5</v>
      </c>
      <c r="P2988" s="9">
        <v>1.0267E-4</v>
      </c>
      <c r="Q2988" s="9">
        <v>1.3671000000000001E-4</v>
      </c>
      <c r="R2988" s="10">
        <v>2.1240134184972046E-4</v>
      </c>
      <c r="S2988" s="10">
        <v>1.9016154999093897E-4</v>
      </c>
      <c r="T2988" s="10">
        <v>1.8203912685665785E-4</v>
      </c>
      <c r="U2988" s="10">
        <v>1.0561E-4</v>
      </c>
      <c r="V2988" s="25"/>
      <c r="W2988" s="25"/>
      <c r="X2988" s="25"/>
      <c r="Y2988" s="25"/>
      <c r="Z2988" s="25"/>
      <c r="AA2988" s="25"/>
    </row>
    <row r="2989" spans="1:27" x14ac:dyDescent="0.35">
      <c r="A2989" s="5">
        <v>2985</v>
      </c>
      <c r="B2989" s="5">
        <v>125</v>
      </c>
      <c r="C2989" s="5">
        <v>5</v>
      </c>
      <c r="D2989" s="25">
        <v>1.1416E-4</v>
      </c>
      <c r="E2989" s="25">
        <v>1.1137E-4</v>
      </c>
      <c r="F2989" s="25">
        <v>1.1061999999999999E-4</v>
      </c>
      <c r="G2989" s="25">
        <v>1.5703000000000001E-4</v>
      </c>
      <c r="H2989" s="25">
        <v>1.1777000000000001E-4</v>
      </c>
      <c r="I2989" s="9">
        <v>1.1325E-4</v>
      </c>
      <c r="J2989" s="9">
        <v>1.2266999999999999E-4</v>
      </c>
      <c r="K2989" s="9">
        <v>7.6299999999999998E-5</v>
      </c>
      <c r="L2989" s="9">
        <v>6.232E-5</v>
      </c>
      <c r="M2989" s="9">
        <v>8.3259999999999999E-5</v>
      </c>
      <c r="N2989" s="9">
        <v>1.0486E-4</v>
      </c>
      <c r="O2989" s="9">
        <v>9.87E-5</v>
      </c>
      <c r="P2989" s="9">
        <v>1.3762E-4</v>
      </c>
      <c r="Q2989" s="9">
        <v>1.7584E-4</v>
      </c>
      <c r="R2989" s="10">
        <v>2.1240665219350095E-4</v>
      </c>
      <c r="S2989" s="10">
        <v>1.9027136692157043E-4</v>
      </c>
      <c r="T2989" s="10">
        <v>1.1214546881018381E-4</v>
      </c>
      <c r="U2989" s="10">
        <v>1.0561E-4</v>
      </c>
      <c r="V2989" s="25"/>
      <c r="W2989" s="25"/>
      <c r="X2989" s="25"/>
      <c r="Y2989" s="25"/>
      <c r="Z2989" s="25"/>
      <c r="AA2989" s="25"/>
    </row>
    <row r="2990" spans="1:27" x14ac:dyDescent="0.35">
      <c r="A2990" s="5">
        <v>2986</v>
      </c>
      <c r="B2990" s="5">
        <v>125</v>
      </c>
      <c r="C2990" s="5">
        <v>5</v>
      </c>
      <c r="D2990" s="25">
        <v>1.1415000000000001E-4</v>
      </c>
      <c r="E2990" s="25">
        <v>1.0928E-4</v>
      </c>
      <c r="F2990" s="25">
        <v>1.1917999999999999E-4</v>
      </c>
      <c r="G2990" s="25">
        <v>1.6116000000000001E-4</v>
      </c>
      <c r="H2990" s="25">
        <v>1.1429000000000001E-4</v>
      </c>
      <c r="I2990" s="9">
        <v>1.093E-4</v>
      </c>
      <c r="J2990" s="9">
        <v>1.211E-4</v>
      </c>
      <c r="K2990" s="9">
        <v>6.9939999999999998E-5</v>
      </c>
      <c r="L2990" s="9">
        <v>9.0190000000000002E-5</v>
      </c>
      <c r="M2990" s="9">
        <v>1.0649000000000001E-4</v>
      </c>
      <c r="N2990" s="9">
        <v>1.2460999999999999E-4</v>
      </c>
      <c r="O2990" s="9">
        <v>1.2834000000000001E-4</v>
      </c>
      <c r="P2990" s="9">
        <v>1.5621E-4</v>
      </c>
      <c r="Q2990" s="9">
        <v>1.8327999999999999E-4</v>
      </c>
      <c r="R2990" s="10">
        <v>2.1234350244103288E-4</v>
      </c>
      <c r="S2990" s="10">
        <v>1.88175127596819E-4</v>
      </c>
      <c r="T2990" s="10">
        <v>5.1486122176404856E-4</v>
      </c>
      <c r="U2990" s="10">
        <v>1.0561E-4</v>
      </c>
      <c r="V2990" s="25"/>
      <c r="W2990" s="25"/>
      <c r="X2990" s="25"/>
      <c r="Y2990" s="25"/>
      <c r="Z2990" s="25"/>
      <c r="AA2990" s="25"/>
    </row>
    <row r="2991" spans="1:27" x14ac:dyDescent="0.35">
      <c r="A2991" s="5">
        <v>2987</v>
      </c>
      <c r="B2991" s="5">
        <v>125</v>
      </c>
      <c r="C2991" s="5">
        <v>5</v>
      </c>
      <c r="D2991" s="25">
        <v>1.1416E-4</v>
      </c>
      <c r="E2991" s="25">
        <v>1.0679E-4</v>
      </c>
      <c r="F2991" s="25">
        <v>1.3076E-4</v>
      </c>
      <c r="G2991" s="25">
        <v>1.6265E-4</v>
      </c>
      <c r="H2991" s="25">
        <v>1.1458E-4</v>
      </c>
      <c r="I2991" s="9">
        <v>1.0666999999999999E-4</v>
      </c>
      <c r="J2991" s="9">
        <v>1.1684999999999999E-4</v>
      </c>
      <c r="K2991" s="9">
        <v>5.9339999999999998E-5</v>
      </c>
      <c r="L2991" s="9">
        <v>1.1926000000000001E-4</v>
      </c>
      <c r="M2991" s="9">
        <v>1.3024E-4</v>
      </c>
      <c r="N2991" s="9">
        <v>1.4291999999999999E-4</v>
      </c>
      <c r="O2991" s="9">
        <v>1.3678E-4</v>
      </c>
      <c r="P2991" s="9">
        <v>1.5928000000000001E-4</v>
      </c>
      <c r="Q2991" s="9">
        <v>1.8097999999999999E-4</v>
      </c>
      <c r="R2991" s="10">
        <v>2.1242520861685938E-4</v>
      </c>
      <c r="S2991" s="10">
        <v>1.901868683817509E-4</v>
      </c>
      <c r="T2991" s="10">
        <v>6.0289431182112725E-5</v>
      </c>
      <c r="U2991" s="10">
        <v>1.0561E-4</v>
      </c>
      <c r="V2991" s="25"/>
      <c r="W2991" s="25"/>
      <c r="X2991" s="25"/>
      <c r="Y2991" s="25"/>
      <c r="Z2991" s="25"/>
      <c r="AA2991" s="25"/>
    </row>
    <row r="2992" spans="1:27" x14ac:dyDescent="0.35">
      <c r="A2992" s="5">
        <v>2988</v>
      </c>
      <c r="B2992" s="5">
        <v>125</v>
      </c>
      <c r="C2992" s="5">
        <v>5</v>
      </c>
      <c r="D2992" s="25">
        <v>1.1415000000000001E-4</v>
      </c>
      <c r="E2992" s="25">
        <v>1.1480999999999999E-4</v>
      </c>
      <c r="F2992" s="25">
        <v>1.2708000000000001E-4</v>
      </c>
      <c r="G2992" s="25">
        <v>1.5749000000000001E-4</v>
      </c>
      <c r="H2992" s="25">
        <v>1.1578000000000001E-4</v>
      </c>
      <c r="I2992" s="9">
        <v>1.0221999999999999E-4</v>
      </c>
      <c r="J2992" s="9">
        <v>1.1491E-4</v>
      </c>
      <c r="K2992" s="9">
        <v>5.0869999999999999E-5</v>
      </c>
      <c r="L2992" s="9">
        <v>1.3223999999999999E-4</v>
      </c>
      <c r="M2992" s="9">
        <v>1.4635000000000001E-4</v>
      </c>
      <c r="N2992" s="9">
        <v>1.5726E-4</v>
      </c>
      <c r="O2992" s="9">
        <v>1.3815E-4</v>
      </c>
      <c r="P2992" s="9">
        <v>1.5724000000000001E-4</v>
      </c>
      <c r="Q2992" s="9">
        <v>1.7558999999999999E-4</v>
      </c>
      <c r="R2992" s="10">
        <v>2.0627510727585797E-4</v>
      </c>
      <c r="S2992" s="10">
        <v>1.9029020759484994E-4</v>
      </c>
      <c r="T2992" s="10">
        <v>1.5409184479728838E-4</v>
      </c>
      <c r="U2992" s="10">
        <v>1.0561E-4</v>
      </c>
      <c r="V2992" s="25"/>
      <c r="W2992" s="25"/>
      <c r="X2992" s="25"/>
      <c r="Y2992" s="25"/>
      <c r="Z2992" s="25"/>
      <c r="AA2992" s="25"/>
    </row>
    <row r="2993" spans="1:27" x14ac:dyDescent="0.35">
      <c r="A2993" s="5">
        <v>2989</v>
      </c>
      <c r="B2993" s="5">
        <v>125</v>
      </c>
      <c r="C2993" s="5">
        <v>5</v>
      </c>
      <c r="D2993" s="25">
        <v>1.1416E-4</v>
      </c>
      <c r="E2993" s="25">
        <v>1.0976000000000001E-4</v>
      </c>
      <c r="F2993" s="25">
        <v>1.2913000000000001E-4</v>
      </c>
      <c r="G2993" s="25">
        <v>1.6640000000000001E-4</v>
      </c>
      <c r="H2993" s="25">
        <v>1.167E-4</v>
      </c>
      <c r="I2993" s="9">
        <v>1.015E-4</v>
      </c>
      <c r="J2993" s="9">
        <v>1.1522E-4</v>
      </c>
      <c r="K2993" s="9">
        <v>4.6629999999999999E-5</v>
      </c>
      <c r="L2993" s="9">
        <v>1.3666000000000001E-4</v>
      </c>
      <c r="M2993" s="9">
        <v>1.5374E-4</v>
      </c>
      <c r="N2993" s="9">
        <v>1.6697000000000001E-4</v>
      </c>
      <c r="O2993" s="9">
        <v>1.2904E-4</v>
      </c>
      <c r="P2993" s="9">
        <v>1.4866E-4</v>
      </c>
      <c r="Q2993" s="9">
        <v>1.6761E-4</v>
      </c>
      <c r="R2993" s="10">
        <v>2.0024097932199868E-4</v>
      </c>
      <c r="S2993" s="10">
        <v>1.9029020759484994E-4</v>
      </c>
      <c r="T2993" s="10">
        <v>8.2467389683385273E-5</v>
      </c>
      <c r="U2993" s="10">
        <v>1.0561E-4</v>
      </c>
      <c r="V2993" s="25"/>
      <c r="W2993" s="25"/>
      <c r="X2993" s="25"/>
      <c r="Y2993" s="25"/>
      <c r="Z2993" s="25"/>
      <c r="AA2993" s="25"/>
    </row>
    <row r="2994" spans="1:27" x14ac:dyDescent="0.35">
      <c r="A2994" s="5">
        <v>2990</v>
      </c>
      <c r="B2994" s="5">
        <v>125</v>
      </c>
      <c r="C2994" s="5">
        <v>5</v>
      </c>
      <c r="D2994" s="25">
        <v>1.1415000000000001E-4</v>
      </c>
      <c r="E2994" s="25">
        <v>1.1266E-4</v>
      </c>
      <c r="F2994" s="25">
        <v>1.2432E-4</v>
      </c>
      <c r="G2994" s="25">
        <v>1.6574E-4</v>
      </c>
      <c r="H2994" s="25">
        <v>1.1716E-4</v>
      </c>
      <c r="I2994" s="9">
        <v>1.0039000000000001E-4</v>
      </c>
      <c r="J2994" s="9">
        <v>1.1746E-4</v>
      </c>
      <c r="K2994" s="9">
        <v>5.0869999999999999E-5</v>
      </c>
      <c r="L2994" s="9">
        <v>1.3077999999999999E-4</v>
      </c>
      <c r="M2994" s="9">
        <v>1.5332E-4</v>
      </c>
      <c r="N2994" s="9">
        <v>1.7123999999999999E-4</v>
      </c>
      <c r="O2994" s="9">
        <v>1.1213999999999999E-4</v>
      </c>
      <c r="P2994" s="9">
        <v>1.3709E-4</v>
      </c>
      <c r="Q2994" s="9">
        <v>1.6144E-4</v>
      </c>
      <c r="R2994" s="10">
        <v>2.0728963753340827E-4</v>
      </c>
      <c r="S2994" s="10">
        <v>1.9028677165899339E-4</v>
      </c>
      <c r="T2994" s="10">
        <v>4.9258993596992438E-4</v>
      </c>
      <c r="U2994" s="10">
        <v>1.0561E-4</v>
      </c>
      <c r="V2994" s="25"/>
      <c r="W2994" s="25"/>
      <c r="X2994" s="25"/>
      <c r="Y2994" s="25"/>
      <c r="Z2994" s="25"/>
      <c r="AA2994" s="25"/>
    </row>
    <row r="2995" spans="1:27" x14ac:dyDescent="0.35">
      <c r="A2995" s="5">
        <v>2991</v>
      </c>
      <c r="B2995" s="5">
        <v>125</v>
      </c>
      <c r="C2995" s="5">
        <v>5</v>
      </c>
      <c r="D2995" s="25">
        <v>1.1416E-4</v>
      </c>
      <c r="E2995" s="25">
        <v>1.0998E-4</v>
      </c>
      <c r="F2995" s="25">
        <v>1.2167000000000001E-4</v>
      </c>
      <c r="G2995" s="25">
        <v>1.6171E-4</v>
      </c>
      <c r="H2995" s="25">
        <v>1.1574E-4</v>
      </c>
      <c r="I2995" s="9">
        <v>1.0115000000000001E-4</v>
      </c>
      <c r="J2995" s="9">
        <v>1.1945E-4</v>
      </c>
      <c r="K2995" s="9">
        <v>6.7819999999999998E-5</v>
      </c>
      <c r="L2995" s="9">
        <v>1.1647E-4</v>
      </c>
      <c r="M2995" s="9">
        <v>1.4709E-4</v>
      </c>
      <c r="N2995" s="9">
        <v>1.7081E-4</v>
      </c>
      <c r="O2995" s="9">
        <v>1.2505E-4</v>
      </c>
      <c r="P2995" s="9">
        <v>1.3845E-4</v>
      </c>
      <c r="Q2995" s="9">
        <v>1.5129999999999999E-4</v>
      </c>
      <c r="R2995" s="10">
        <v>2.1224569576242769E-4</v>
      </c>
      <c r="S2995" s="10">
        <v>1.9026419509781623E-4</v>
      </c>
      <c r="T2995" s="10">
        <v>5.2157230255001129E-4</v>
      </c>
      <c r="U2995" s="10">
        <v>1.0561E-4</v>
      </c>
      <c r="V2995" s="25"/>
      <c r="W2995" s="25"/>
      <c r="X2995" s="25"/>
      <c r="Y2995" s="25"/>
      <c r="Z2995" s="25"/>
      <c r="AA2995" s="25"/>
    </row>
    <row r="2996" spans="1:27" x14ac:dyDescent="0.35">
      <c r="A2996" s="5">
        <v>2992</v>
      </c>
      <c r="B2996" s="5">
        <v>125</v>
      </c>
      <c r="C2996" s="5">
        <v>5</v>
      </c>
      <c r="D2996" s="25">
        <v>1.1415000000000001E-4</v>
      </c>
      <c r="E2996" s="25">
        <v>1.0653E-4</v>
      </c>
      <c r="F2996" s="25">
        <v>1.2798E-4</v>
      </c>
      <c r="G2996" s="25">
        <v>1.6547999999999999E-4</v>
      </c>
      <c r="H2996" s="25">
        <v>1.1407E-4</v>
      </c>
      <c r="I2996" s="9">
        <v>1.0158E-4</v>
      </c>
      <c r="J2996" s="9">
        <v>1.1912E-4</v>
      </c>
      <c r="K2996" s="9">
        <v>8.4779999999999998E-5</v>
      </c>
      <c r="L2996" s="9">
        <v>1.2358000000000001E-4</v>
      </c>
      <c r="M2996" s="9">
        <v>1.4224999999999999E-4</v>
      </c>
      <c r="N2996" s="9">
        <v>1.6648999999999999E-4</v>
      </c>
      <c r="O2996" s="9">
        <v>1.3391E-4</v>
      </c>
      <c r="P2996" s="9">
        <v>1.2238E-4</v>
      </c>
      <c r="Q2996" s="9">
        <v>1.1063E-4</v>
      </c>
      <c r="R2996" s="10">
        <v>2.12449364638782E-4</v>
      </c>
      <c r="S2996" s="10">
        <v>1.9026151616346174E-4</v>
      </c>
      <c r="T2996" s="10">
        <v>4.8480134916649355E-4</v>
      </c>
      <c r="U2996" s="10">
        <v>1.0561E-4</v>
      </c>
      <c r="V2996" s="25"/>
      <c r="W2996" s="25"/>
      <c r="X2996" s="25"/>
      <c r="Y2996" s="25"/>
      <c r="Z2996" s="25"/>
      <c r="AA2996" s="25"/>
    </row>
    <row r="2997" spans="1:27" x14ac:dyDescent="0.35">
      <c r="A2997" s="5">
        <v>2993</v>
      </c>
      <c r="B2997" s="5">
        <v>125</v>
      </c>
      <c r="C2997" s="5">
        <v>5</v>
      </c>
      <c r="D2997" s="25">
        <v>1.1416E-4</v>
      </c>
      <c r="E2997" s="25">
        <v>1.0603999999999999E-4</v>
      </c>
      <c r="F2997" s="25">
        <v>1.3048000000000001E-4</v>
      </c>
      <c r="G2997" s="25">
        <v>1.6102999999999999E-4</v>
      </c>
      <c r="H2997" s="25">
        <v>1.1913000000000001E-4</v>
      </c>
      <c r="I2997" s="9">
        <v>1.0529E-4</v>
      </c>
      <c r="J2997" s="9">
        <v>1.1888E-4</v>
      </c>
      <c r="K2997" s="9">
        <v>8.4779999999999998E-5</v>
      </c>
      <c r="L2997" s="9">
        <v>1.3139E-4</v>
      </c>
      <c r="M2997" s="9">
        <v>1.34E-4</v>
      </c>
      <c r="N2997" s="9">
        <v>1.5279000000000001E-4</v>
      </c>
      <c r="O2997" s="9">
        <v>1.3919E-4</v>
      </c>
      <c r="P2997" s="9">
        <v>1.2339E-4</v>
      </c>
      <c r="Q2997" s="9">
        <v>1.0739E-4</v>
      </c>
      <c r="R2997" s="10">
        <v>2.1244801767389868E-4</v>
      </c>
      <c r="S2997" s="10">
        <v>1.902805686365599E-4</v>
      </c>
      <c r="T2997" s="10">
        <v>2.2884700637139412E-4</v>
      </c>
      <c r="U2997" s="10">
        <v>1.0561E-4</v>
      </c>
      <c r="V2997" s="25"/>
      <c r="W2997" s="25"/>
      <c r="X2997" s="25"/>
      <c r="Y2997" s="25"/>
      <c r="Z2997" s="25"/>
      <c r="AA2997" s="25"/>
    </row>
    <row r="2998" spans="1:27" x14ac:dyDescent="0.35">
      <c r="A2998" s="5">
        <v>2994</v>
      </c>
      <c r="B2998" s="5">
        <v>125</v>
      </c>
      <c r="C2998" s="5">
        <v>5</v>
      </c>
      <c r="D2998" s="25">
        <v>1.1415000000000001E-4</v>
      </c>
      <c r="E2998" s="25">
        <v>1.1118E-4</v>
      </c>
      <c r="F2998" s="25">
        <v>1.188E-4</v>
      </c>
      <c r="G2998" s="25">
        <v>1.6448999999999999E-4</v>
      </c>
      <c r="H2998" s="25">
        <v>1.1492E-4</v>
      </c>
      <c r="I2998" s="9">
        <v>1.0821E-4</v>
      </c>
      <c r="J2998" s="9">
        <v>1.1073000000000001E-4</v>
      </c>
      <c r="K2998" s="9">
        <v>8.4770000000000003E-5</v>
      </c>
      <c r="L2998" s="9">
        <v>1.3715E-4</v>
      </c>
      <c r="M2998" s="9">
        <v>1.2810999999999999E-4</v>
      </c>
      <c r="N2998" s="9">
        <v>1.3935E-4</v>
      </c>
      <c r="O2998" s="9">
        <v>1.3846999999999999E-4</v>
      </c>
      <c r="P2998" s="9">
        <v>1.2781000000000001E-4</v>
      </c>
      <c r="Q2998" s="9">
        <v>1.1684E-4</v>
      </c>
      <c r="R2998" s="10">
        <v>2.1244435184794233E-4</v>
      </c>
      <c r="S2998" s="10">
        <v>1.9028227192081391E-4</v>
      </c>
      <c r="T2998" s="10">
        <v>1.1740573440727216E-4</v>
      </c>
      <c r="U2998" s="10">
        <v>1.0561E-4</v>
      </c>
      <c r="V2998" s="25"/>
      <c r="W2998" s="25"/>
      <c r="X2998" s="25"/>
      <c r="Y2998" s="25"/>
      <c r="Z2998" s="25"/>
      <c r="AA2998" s="25"/>
    </row>
    <row r="2999" spans="1:27" x14ac:dyDescent="0.35">
      <c r="A2999" s="5">
        <v>2995</v>
      </c>
      <c r="B2999" s="5">
        <v>125</v>
      </c>
      <c r="C2999" s="5">
        <v>5</v>
      </c>
      <c r="D2999" s="25">
        <v>1.1416E-4</v>
      </c>
      <c r="E2999" s="25">
        <v>1.1381E-4</v>
      </c>
      <c r="F2999" s="25">
        <v>1.2520000000000001E-4</v>
      </c>
      <c r="G2999" s="25">
        <v>1.1068E-4</v>
      </c>
      <c r="H2999" s="25">
        <v>7.682E-5</v>
      </c>
      <c r="I2999" s="9">
        <v>1.0906E-4</v>
      </c>
      <c r="J2999" s="9">
        <v>1.0797E-4</v>
      </c>
      <c r="K2999" s="9">
        <v>9.1130000000000003E-5</v>
      </c>
      <c r="L2999" s="9">
        <v>1.3808000000000001E-4</v>
      </c>
      <c r="M2999" s="9">
        <v>1.2666000000000001E-4</v>
      </c>
      <c r="N2999" s="9">
        <v>1.2998999999999999E-4</v>
      </c>
      <c r="O2999" s="9">
        <v>1.4024E-4</v>
      </c>
      <c r="P2999" s="9">
        <v>1.2381E-4</v>
      </c>
      <c r="Q2999" s="9">
        <v>1.0717000000000001E-4</v>
      </c>
      <c r="R2999" s="10">
        <v>2.1145198230160641E-4</v>
      </c>
      <c r="S2999" s="10">
        <v>1.9029015636756548E-4</v>
      </c>
      <c r="T2999" s="10">
        <v>2.261914206747995E-5</v>
      </c>
      <c r="U2999" s="10">
        <v>1.0561E-4</v>
      </c>
      <c r="V2999" s="25"/>
      <c r="W2999" s="25"/>
      <c r="X2999" s="25"/>
      <c r="Y2999" s="25"/>
      <c r="Z2999" s="25"/>
      <c r="AA2999" s="25"/>
    </row>
    <row r="3000" spans="1:27" x14ac:dyDescent="0.35">
      <c r="A3000" s="5">
        <v>2996</v>
      </c>
      <c r="B3000" s="5">
        <v>125</v>
      </c>
      <c r="C3000" s="5">
        <v>5</v>
      </c>
      <c r="D3000" s="25">
        <v>1.1415000000000001E-4</v>
      </c>
      <c r="E3000" s="25">
        <v>1.0713E-4</v>
      </c>
      <c r="F3000" s="25">
        <v>1.2721999999999999E-4</v>
      </c>
      <c r="G3000" s="25">
        <v>1.0807E-4</v>
      </c>
      <c r="H3000" s="25">
        <v>8.1119999999999996E-5</v>
      </c>
      <c r="I3000" s="9">
        <v>1.1090999999999999E-4</v>
      </c>
      <c r="J3000" s="9">
        <v>1.0507E-4</v>
      </c>
      <c r="K3000" s="9">
        <v>1.1021E-4</v>
      </c>
      <c r="L3000" s="9">
        <v>1.3980000000000001E-4</v>
      </c>
      <c r="M3000" s="9">
        <v>1.2551000000000001E-4</v>
      </c>
      <c r="N3000" s="9">
        <v>1.2084E-4</v>
      </c>
      <c r="O3000" s="9">
        <v>1.4197999999999999E-4</v>
      </c>
      <c r="P3000" s="9">
        <v>1.2183E-4</v>
      </c>
      <c r="Q3000" s="9">
        <v>1.015E-4</v>
      </c>
      <c r="R3000" s="10">
        <v>1.9954960297672921E-4</v>
      </c>
      <c r="S3000" s="10">
        <v>1.9029020759484994E-4</v>
      </c>
      <c r="T3000" s="10">
        <v>0</v>
      </c>
      <c r="U3000" s="10">
        <v>1.0561E-4</v>
      </c>
      <c r="V3000" s="25"/>
      <c r="W3000" s="25"/>
      <c r="X3000" s="25"/>
      <c r="Y3000" s="25"/>
      <c r="Z3000" s="25"/>
      <c r="AA3000" s="25"/>
    </row>
    <row r="3001" spans="1:27" x14ac:dyDescent="0.35">
      <c r="A3001" s="5">
        <v>2997</v>
      </c>
      <c r="B3001" s="5">
        <v>125</v>
      </c>
      <c r="C3001" s="5">
        <v>5</v>
      </c>
      <c r="D3001" s="25">
        <v>1.1416E-4</v>
      </c>
      <c r="E3001" s="25">
        <v>1.1212E-4</v>
      </c>
      <c r="F3001" s="25">
        <v>1.1038E-4</v>
      </c>
      <c r="G3001" s="25">
        <v>6.0760000000000001E-5</v>
      </c>
      <c r="H3001" s="25">
        <v>4.2799999999999997E-5</v>
      </c>
      <c r="I3001" s="9">
        <v>1.1202E-4</v>
      </c>
      <c r="J3001" s="9">
        <v>1.0759E-4</v>
      </c>
      <c r="K3001" s="9">
        <v>1.0385E-4</v>
      </c>
      <c r="L3001" s="9">
        <v>1.4149E-4</v>
      </c>
      <c r="M3001" s="9">
        <v>1.2392999999999999E-4</v>
      </c>
      <c r="N3001" s="9">
        <v>1.1309E-4</v>
      </c>
      <c r="O3001" s="9">
        <v>8.3689999999999993E-5</v>
      </c>
      <c r="P3001" s="9">
        <v>8.5660000000000003E-5</v>
      </c>
      <c r="Q3001" s="9">
        <v>8.7650000000000003E-5</v>
      </c>
      <c r="R3001" s="10">
        <v>1.7755948379409535E-4</v>
      </c>
      <c r="S3001" s="10">
        <v>1.9029020759484994E-4</v>
      </c>
      <c r="T3001" s="10">
        <v>0</v>
      </c>
      <c r="U3001" s="10">
        <v>1.0561E-4</v>
      </c>
      <c r="V3001" s="25"/>
      <c r="W3001" s="25"/>
      <c r="X3001" s="25"/>
      <c r="Y3001" s="25"/>
      <c r="Z3001" s="25"/>
      <c r="AA3001" s="25"/>
    </row>
    <row r="3002" spans="1:27" x14ac:dyDescent="0.35">
      <c r="A3002" s="5">
        <v>2998</v>
      </c>
      <c r="B3002" s="5">
        <v>125</v>
      </c>
      <c r="C3002" s="5">
        <v>5</v>
      </c>
      <c r="D3002" s="25">
        <v>1.1415000000000001E-4</v>
      </c>
      <c r="E3002" s="25">
        <v>1.1595999999999999E-4</v>
      </c>
      <c r="F3002" s="25">
        <v>1.1642E-4</v>
      </c>
      <c r="G3002" s="25">
        <v>5.3140000000000003E-5</v>
      </c>
      <c r="H3002" s="25">
        <v>4.3680000000000002E-5</v>
      </c>
      <c r="I3002" s="9">
        <v>1.1516E-4</v>
      </c>
      <c r="J3002" s="9">
        <v>1.0396E-4</v>
      </c>
      <c r="K3002" s="9">
        <v>9.5379999999999998E-5</v>
      </c>
      <c r="L3002" s="9">
        <v>9.6360000000000006E-5</v>
      </c>
      <c r="M3002" s="9">
        <v>1.0972E-4</v>
      </c>
      <c r="N3002" s="9">
        <v>1.0533E-4</v>
      </c>
      <c r="O3002" s="9">
        <v>8.6899999999999998E-5</v>
      </c>
      <c r="P3002" s="9">
        <v>8.755E-5</v>
      </c>
      <c r="Q3002" s="9">
        <v>8.8200000000000003E-5</v>
      </c>
      <c r="R3002" s="10">
        <v>1.6848048921678428E-4</v>
      </c>
      <c r="S3002" s="10">
        <v>1.9029020759484994E-4</v>
      </c>
      <c r="T3002" s="10">
        <v>0</v>
      </c>
      <c r="U3002" s="10">
        <v>1.0561E-4</v>
      </c>
      <c r="V3002" s="25"/>
      <c r="W3002" s="25"/>
      <c r="X3002" s="25"/>
      <c r="Y3002" s="25"/>
      <c r="Z3002" s="25"/>
      <c r="AA3002" s="25"/>
    </row>
    <row r="3003" spans="1:27" x14ac:dyDescent="0.35">
      <c r="A3003" s="5">
        <v>2999</v>
      </c>
      <c r="B3003" s="5">
        <v>125</v>
      </c>
      <c r="C3003" s="5">
        <v>5</v>
      </c>
      <c r="D3003" s="25">
        <v>1.1416E-4</v>
      </c>
      <c r="E3003" s="25">
        <v>1.1346E-4</v>
      </c>
      <c r="F3003" s="25">
        <v>1.1008E-4</v>
      </c>
      <c r="G3003" s="25">
        <v>5.3680000000000001E-5</v>
      </c>
      <c r="H3003" s="25">
        <v>3.9629999999999998E-5</v>
      </c>
      <c r="I3003" s="9">
        <v>1.1087E-4</v>
      </c>
      <c r="J3003" s="9">
        <v>9.7880000000000005E-5</v>
      </c>
      <c r="K3003" s="9">
        <v>1.0385E-4</v>
      </c>
      <c r="L3003" s="9">
        <v>9.0240000000000003E-5</v>
      </c>
      <c r="M3003" s="9">
        <v>9.7910000000000003E-5</v>
      </c>
      <c r="N3003" s="9">
        <v>9.9539999999999999E-5</v>
      </c>
      <c r="O3003" s="9">
        <v>8.3839999999999997E-5</v>
      </c>
      <c r="P3003" s="9">
        <v>7.5090000000000001E-5</v>
      </c>
      <c r="Q3003" s="9">
        <v>6.6519999999999993E-5</v>
      </c>
      <c r="R3003" s="10">
        <v>1.759376230505904E-4</v>
      </c>
      <c r="S3003" s="10">
        <v>1.9029020759484994E-4</v>
      </c>
      <c r="T3003" s="10">
        <v>0</v>
      </c>
      <c r="U3003" s="10">
        <v>1.0561E-4</v>
      </c>
      <c r="V3003" s="25"/>
      <c r="W3003" s="25"/>
      <c r="X3003" s="25"/>
      <c r="Y3003" s="25"/>
      <c r="Z3003" s="25"/>
      <c r="AA3003" s="25"/>
    </row>
    <row r="3004" spans="1:27" x14ac:dyDescent="0.35">
      <c r="A3004" s="5">
        <v>3000</v>
      </c>
      <c r="B3004" s="5">
        <v>125</v>
      </c>
      <c r="C3004" s="5">
        <v>5</v>
      </c>
      <c r="D3004" s="25">
        <v>1.1415000000000001E-4</v>
      </c>
      <c r="E3004" s="25">
        <v>1.1436E-4</v>
      </c>
      <c r="F3004" s="25">
        <v>1.2703000000000001E-4</v>
      </c>
      <c r="G3004" s="25">
        <v>5.8619999999999998E-5</v>
      </c>
      <c r="H3004" s="25">
        <v>4.4669999999999998E-5</v>
      </c>
      <c r="I3004" s="9">
        <v>1.0202E-4</v>
      </c>
      <c r="J3004" s="9">
        <v>9.4300000000000002E-5</v>
      </c>
      <c r="K3004" s="9">
        <v>1.0597E-4</v>
      </c>
      <c r="L3004" s="9">
        <v>8.5459999999999998E-5</v>
      </c>
      <c r="M3004" s="9">
        <v>8.6940000000000004E-5</v>
      </c>
      <c r="N3004" s="9">
        <v>9.0249999999999998E-5</v>
      </c>
      <c r="O3004" s="9">
        <v>7.9120000000000001E-5</v>
      </c>
      <c r="P3004" s="9">
        <v>6.8940000000000001E-5</v>
      </c>
      <c r="Q3004" s="9">
        <v>5.9009999999999999E-5</v>
      </c>
      <c r="R3004" s="10">
        <v>1.8411017702274623E-4</v>
      </c>
      <c r="S3004" s="10">
        <v>1.9029020759484994E-4</v>
      </c>
      <c r="T3004" s="10">
        <v>0</v>
      </c>
      <c r="U3004" s="10">
        <v>1.0561E-4</v>
      </c>
      <c r="V3004" s="25"/>
      <c r="W3004" s="25"/>
      <c r="X3004" s="25"/>
      <c r="Y3004" s="25"/>
      <c r="Z3004" s="25"/>
      <c r="AA3004" s="25"/>
    </row>
    <row r="3005" spans="1:27" x14ac:dyDescent="0.35">
      <c r="A3005" s="5">
        <v>3001</v>
      </c>
      <c r="B3005" s="5">
        <v>126</v>
      </c>
      <c r="C3005" s="5">
        <v>5</v>
      </c>
      <c r="D3005" s="25">
        <v>1.1416E-4</v>
      </c>
      <c r="E3005" s="25">
        <v>1.117E-4</v>
      </c>
      <c r="F3005" s="25">
        <v>9.5610000000000001E-5</v>
      </c>
      <c r="G3005" s="25">
        <v>6.1140000000000001E-5</v>
      </c>
      <c r="H3005" s="25">
        <v>1.543E-5</v>
      </c>
      <c r="I3005" s="9">
        <v>9.658E-5</v>
      </c>
      <c r="J3005" s="9">
        <v>9.0699999999999996E-5</v>
      </c>
      <c r="K3005" s="9">
        <v>1.0173E-4</v>
      </c>
      <c r="L3005" s="9">
        <v>8.0309999999999995E-5</v>
      </c>
      <c r="M3005" s="9">
        <v>7.7979999999999995E-5</v>
      </c>
      <c r="N3005" s="9">
        <v>8.0920000000000005E-5</v>
      </c>
      <c r="O3005" s="9">
        <v>6.8209999999999999E-5</v>
      </c>
      <c r="P3005" s="9">
        <v>6.0730000000000003E-5</v>
      </c>
      <c r="Q3005" s="9">
        <v>5.3560000000000002E-5</v>
      </c>
      <c r="R3005" s="10">
        <v>1.897777780664378E-4</v>
      </c>
      <c r="S3005" s="10">
        <v>1.9029020759484994E-4</v>
      </c>
      <c r="T3005" s="10">
        <v>0</v>
      </c>
      <c r="U3005" s="10">
        <v>1.044E-4</v>
      </c>
      <c r="V3005" s="25"/>
      <c r="W3005" s="25"/>
      <c r="X3005" s="25"/>
      <c r="Y3005" s="25"/>
      <c r="Z3005" s="25"/>
      <c r="AA3005" s="25"/>
    </row>
    <row r="3006" spans="1:27" x14ac:dyDescent="0.35">
      <c r="A3006" s="5">
        <v>3002</v>
      </c>
      <c r="B3006" s="5">
        <v>126</v>
      </c>
      <c r="C3006" s="5">
        <v>5</v>
      </c>
      <c r="D3006" s="25">
        <v>1.1415000000000001E-4</v>
      </c>
      <c r="E3006" s="25">
        <v>1.1251000000000001E-4</v>
      </c>
      <c r="F3006" s="25">
        <v>8.9030000000000006E-5</v>
      </c>
      <c r="G3006" s="25">
        <v>5.5220000000000003E-5</v>
      </c>
      <c r="H3006" s="25">
        <v>1.3329999999999999E-5</v>
      </c>
      <c r="I3006" s="9">
        <v>9.1920000000000001E-5</v>
      </c>
      <c r="J3006" s="9">
        <v>8.7839999999999999E-5</v>
      </c>
      <c r="K3006" s="9">
        <v>9.5370000000000003E-5</v>
      </c>
      <c r="L3006" s="9">
        <v>7.1000000000000005E-5</v>
      </c>
      <c r="M3006" s="9">
        <v>6.9679999999999997E-5</v>
      </c>
      <c r="N3006" s="9">
        <v>7.1920000000000003E-5</v>
      </c>
      <c r="O3006" s="9">
        <v>3.6189999999999997E-5</v>
      </c>
      <c r="P3006" s="9">
        <v>4.6310000000000002E-5</v>
      </c>
      <c r="Q3006" s="9">
        <v>5.6759999999999999E-5</v>
      </c>
      <c r="R3006" s="10">
        <v>1.9162331257630537E-4</v>
      </c>
      <c r="S3006" s="10">
        <v>1.9029020759484994E-4</v>
      </c>
      <c r="T3006" s="10">
        <v>0</v>
      </c>
      <c r="U3006" s="10">
        <v>1.044E-4</v>
      </c>
      <c r="V3006" s="25"/>
      <c r="W3006" s="25"/>
      <c r="X3006" s="25"/>
      <c r="Y3006" s="25"/>
      <c r="Z3006" s="25"/>
      <c r="AA3006" s="25"/>
    </row>
    <row r="3007" spans="1:27" x14ac:dyDescent="0.35">
      <c r="A3007" s="5">
        <v>3003</v>
      </c>
      <c r="B3007" s="5">
        <v>126</v>
      </c>
      <c r="C3007" s="5">
        <v>5</v>
      </c>
      <c r="D3007" s="25">
        <v>1.1416E-4</v>
      </c>
      <c r="E3007" s="25">
        <v>1.1048999999999999E-4</v>
      </c>
      <c r="F3007" s="25">
        <v>1.0263E-4</v>
      </c>
      <c r="G3007" s="25">
        <v>5.4620000000000002E-5</v>
      </c>
      <c r="H3007" s="25">
        <v>1.413E-5</v>
      </c>
      <c r="I3007" s="9">
        <v>9.0509999999999999E-5</v>
      </c>
      <c r="J3007" s="9">
        <v>8.6749999999999994E-5</v>
      </c>
      <c r="K3007" s="9">
        <v>9.3259999999999998E-5</v>
      </c>
      <c r="L3007" s="9">
        <v>4.4100000000000001E-5</v>
      </c>
      <c r="M3007" s="9">
        <v>5.9299999999999998E-5</v>
      </c>
      <c r="N3007" s="9">
        <v>6.5549999999999994E-5</v>
      </c>
      <c r="O3007" s="9">
        <v>2.3E-5</v>
      </c>
      <c r="P3007" s="9">
        <v>4.2249999999999997E-5</v>
      </c>
      <c r="Q3007" s="9">
        <v>6.1810000000000006E-5</v>
      </c>
      <c r="R3007" s="10">
        <v>1.8947822168766394E-4</v>
      </c>
      <c r="S3007" s="10">
        <v>1.9029020759484994E-4</v>
      </c>
      <c r="T3007" s="10">
        <v>0</v>
      </c>
      <c r="U3007" s="10">
        <v>1.044E-4</v>
      </c>
      <c r="V3007" s="25"/>
      <c r="W3007" s="25"/>
      <c r="X3007" s="25"/>
      <c r="Y3007" s="25"/>
      <c r="Z3007" s="25"/>
      <c r="AA3007" s="25"/>
    </row>
    <row r="3008" spans="1:27" x14ac:dyDescent="0.35">
      <c r="A3008" s="5">
        <v>3004</v>
      </c>
      <c r="B3008" s="5">
        <v>126</v>
      </c>
      <c r="C3008" s="5">
        <v>5</v>
      </c>
      <c r="D3008" s="25">
        <v>1.1415000000000001E-4</v>
      </c>
      <c r="E3008" s="25">
        <v>1.0877E-4</v>
      </c>
      <c r="F3008" s="25">
        <v>9.959E-5</v>
      </c>
      <c r="G3008" s="25">
        <v>5.448E-5</v>
      </c>
      <c r="H3008" s="25">
        <v>1.451E-5</v>
      </c>
      <c r="I3008" s="9">
        <v>8.9129999999999995E-5</v>
      </c>
      <c r="J3008" s="9">
        <v>8.6360000000000007E-5</v>
      </c>
      <c r="K3008" s="9">
        <v>1.1232E-4</v>
      </c>
      <c r="L3008" s="9">
        <v>2.836E-5</v>
      </c>
      <c r="M3008" s="9">
        <v>5.0680000000000003E-5</v>
      </c>
      <c r="N3008" s="9">
        <v>6.2050000000000004E-5</v>
      </c>
      <c r="O3008" s="9">
        <v>2.234E-5</v>
      </c>
      <c r="P3008" s="9">
        <v>5.1190000000000003E-5</v>
      </c>
      <c r="Q3008" s="9">
        <v>8.0190000000000003E-5</v>
      </c>
      <c r="R3008" s="10">
        <v>1.8678013025873731E-4</v>
      </c>
      <c r="S3008" s="10">
        <v>1.9029020759484994E-4</v>
      </c>
      <c r="T3008" s="10">
        <v>0</v>
      </c>
      <c r="U3008" s="10">
        <v>1.044E-4</v>
      </c>
      <c r="V3008" s="25"/>
      <c r="W3008" s="25"/>
      <c r="X3008" s="25"/>
      <c r="Y3008" s="25"/>
      <c r="Z3008" s="25"/>
      <c r="AA3008" s="25"/>
    </row>
    <row r="3009" spans="1:27" x14ac:dyDescent="0.35">
      <c r="A3009" s="5">
        <v>3005</v>
      </c>
      <c r="B3009" s="5">
        <v>126</v>
      </c>
      <c r="C3009" s="5">
        <v>5</v>
      </c>
      <c r="D3009" s="25">
        <v>1.1416E-4</v>
      </c>
      <c r="E3009" s="25">
        <v>1.1208E-4</v>
      </c>
      <c r="F3009" s="25">
        <v>1.0362E-4</v>
      </c>
      <c r="G3009" s="25">
        <v>5.4389999999999999E-5</v>
      </c>
      <c r="H3009" s="25">
        <v>1.359E-5</v>
      </c>
      <c r="I3009" s="9">
        <v>9.001E-5</v>
      </c>
      <c r="J3009" s="9">
        <v>8.6539999999999995E-5</v>
      </c>
      <c r="K3009" s="9">
        <v>1.1657E-4</v>
      </c>
      <c r="L3009" s="9">
        <v>2.4049999999999998E-5</v>
      </c>
      <c r="M3009" s="9">
        <v>4.8850000000000002E-5</v>
      </c>
      <c r="N3009" s="9">
        <v>6.457E-5</v>
      </c>
      <c r="O3009" s="9">
        <v>2.4369999999999999E-5</v>
      </c>
      <c r="P3009" s="9">
        <v>5.923E-5</v>
      </c>
      <c r="Q3009" s="9">
        <v>9.412E-5</v>
      </c>
      <c r="R3009" s="10">
        <v>1.8891832358311169E-4</v>
      </c>
      <c r="S3009" s="10">
        <v>1.9029020759484994E-4</v>
      </c>
      <c r="T3009" s="10">
        <v>0</v>
      </c>
      <c r="U3009" s="10">
        <v>1.044E-4</v>
      </c>
      <c r="V3009" s="25"/>
      <c r="W3009" s="25"/>
      <c r="X3009" s="25"/>
      <c r="Y3009" s="25"/>
      <c r="Z3009" s="25"/>
      <c r="AA3009" s="25"/>
    </row>
    <row r="3010" spans="1:27" x14ac:dyDescent="0.35">
      <c r="A3010" s="5">
        <v>3006</v>
      </c>
      <c r="B3010" s="5">
        <v>126</v>
      </c>
      <c r="C3010" s="5">
        <v>5</v>
      </c>
      <c r="D3010" s="25">
        <v>1.1415000000000001E-4</v>
      </c>
      <c r="E3010" s="25">
        <v>1.1309E-4</v>
      </c>
      <c r="F3010" s="25">
        <v>8.4380000000000002E-5</v>
      </c>
      <c r="G3010" s="25">
        <v>1.0888E-4</v>
      </c>
      <c r="H3010" s="25">
        <v>2.8200000000000001E-5</v>
      </c>
      <c r="I3010" s="9">
        <v>8.8850000000000005E-5</v>
      </c>
      <c r="J3010" s="9">
        <v>8.6210000000000003E-5</v>
      </c>
      <c r="K3010" s="9">
        <v>1.0385E-4</v>
      </c>
      <c r="L3010" s="9">
        <v>2.4239999999999998E-5</v>
      </c>
      <c r="M3010" s="9">
        <v>5.2460000000000003E-5</v>
      </c>
      <c r="N3010" s="9">
        <v>7.1219999999999999E-5</v>
      </c>
      <c r="O3010" s="9">
        <v>3.0580000000000002E-5</v>
      </c>
      <c r="P3010" s="9">
        <v>6.9090000000000004E-5</v>
      </c>
      <c r="Q3010" s="9">
        <v>1.0752E-4</v>
      </c>
      <c r="R3010" s="10">
        <v>1.9346332823051105E-4</v>
      </c>
      <c r="S3010" s="10">
        <v>1.9029020759484994E-4</v>
      </c>
      <c r="T3010" s="10">
        <v>2.4129347351805317E-5</v>
      </c>
      <c r="U3010" s="10">
        <v>1.044E-4</v>
      </c>
      <c r="V3010" s="25"/>
      <c r="W3010" s="25"/>
      <c r="X3010" s="25"/>
      <c r="Y3010" s="25"/>
      <c r="Z3010" s="25"/>
      <c r="AA3010" s="25"/>
    </row>
    <row r="3011" spans="1:27" x14ac:dyDescent="0.35">
      <c r="A3011" s="5">
        <v>3007</v>
      </c>
      <c r="B3011" s="5">
        <v>126</v>
      </c>
      <c r="C3011" s="5">
        <v>5</v>
      </c>
      <c r="D3011" s="25">
        <v>1.1416E-4</v>
      </c>
      <c r="E3011" s="25">
        <v>1.1369E-4</v>
      </c>
      <c r="F3011" s="25">
        <v>9.3490000000000001E-5</v>
      </c>
      <c r="G3011" s="25">
        <v>1.1010000000000001E-4</v>
      </c>
      <c r="H3011" s="25">
        <v>2.671E-5</v>
      </c>
      <c r="I3011" s="9">
        <v>8.8759999999999997E-5</v>
      </c>
      <c r="J3011" s="9">
        <v>9.4270000000000004E-5</v>
      </c>
      <c r="K3011" s="9">
        <v>8.6899999999999998E-5</v>
      </c>
      <c r="L3011" s="9">
        <v>2.9090000000000001E-5</v>
      </c>
      <c r="M3011" s="9">
        <v>5.9519999999999999E-5</v>
      </c>
      <c r="N3011" s="9">
        <v>8.1000000000000004E-5</v>
      </c>
      <c r="O3011" s="9">
        <v>4.6239999999999998E-5</v>
      </c>
      <c r="P3011" s="9">
        <v>7.8930000000000005E-5</v>
      </c>
      <c r="Q3011" s="9">
        <v>1.115E-4</v>
      </c>
      <c r="R3011" s="10">
        <v>1.9806412545308498E-4</v>
      </c>
      <c r="S3011" s="10">
        <v>1.9029020759484994E-4</v>
      </c>
      <c r="T3011" s="10">
        <v>1.5186047406820093E-4</v>
      </c>
      <c r="U3011" s="10">
        <v>1.044E-4</v>
      </c>
      <c r="V3011" s="25"/>
      <c r="W3011" s="25"/>
      <c r="X3011" s="25"/>
      <c r="Y3011" s="25"/>
      <c r="Z3011" s="25"/>
      <c r="AA3011" s="25"/>
    </row>
    <row r="3012" spans="1:27" x14ac:dyDescent="0.35">
      <c r="A3012" s="5">
        <v>3008</v>
      </c>
      <c r="B3012" s="5">
        <v>126</v>
      </c>
      <c r="C3012" s="5">
        <v>5</v>
      </c>
      <c r="D3012" s="25">
        <v>1.1415000000000001E-4</v>
      </c>
      <c r="E3012" s="25">
        <v>1.1290000000000001E-4</v>
      </c>
      <c r="F3012" s="25">
        <v>9.823E-5</v>
      </c>
      <c r="G3012" s="25">
        <v>1.6157000000000001E-4</v>
      </c>
      <c r="H3012" s="25">
        <v>4.0420000000000003E-5</v>
      </c>
      <c r="I3012" s="9">
        <v>8.7399999999999997E-5</v>
      </c>
      <c r="J3012" s="9">
        <v>9.9809999999999995E-5</v>
      </c>
      <c r="K3012" s="9">
        <v>9.1130000000000003E-5</v>
      </c>
      <c r="L3012" s="9">
        <v>4.2320000000000001E-5</v>
      </c>
      <c r="M3012" s="9">
        <v>6.8289999999999998E-5</v>
      </c>
      <c r="N3012" s="9">
        <v>9.0840000000000004E-5</v>
      </c>
      <c r="O3012" s="9">
        <v>6.7520000000000004E-5</v>
      </c>
      <c r="P3012" s="9">
        <v>1.0153999999999999E-4</v>
      </c>
      <c r="Q3012" s="9">
        <v>1.3520000000000001E-4</v>
      </c>
      <c r="R3012" s="10">
        <v>1.9755802570707465E-4</v>
      </c>
      <c r="S3012" s="10">
        <v>1.9029020759484994E-4</v>
      </c>
      <c r="T3012" s="10">
        <v>3.4406379154632943E-4</v>
      </c>
      <c r="U3012" s="10">
        <v>1.044E-4</v>
      </c>
      <c r="V3012" s="25"/>
      <c r="W3012" s="25"/>
      <c r="X3012" s="25"/>
      <c r="Y3012" s="25"/>
      <c r="Z3012" s="25"/>
      <c r="AA3012" s="25"/>
    </row>
    <row r="3013" spans="1:27" x14ac:dyDescent="0.35">
      <c r="A3013" s="5">
        <v>3009</v>
      </c>
      <c r="B3013" s="5">
        <v>126</v>
      </c>
      <c r="C3013" s="5">
        <v>5</v>
      </c>
      <c r="D3013" s="25">
        <v>1.1416E-4</v>
      </c>
      <c r="E3013" s="25">
        <v>1.1493E-4</v>
      </c>
      <c r="F3013" s="25">
        <v>1.0171E-4</v>
      </c>
      <c r="G3013" s="25">
        <v>1.6589999999999999E-4</v>
      </c>
      <c r="H3013" s="25">
        <v>4.0120000000000002E-5</v>
      </c>
      <c r="I3013" s="9">
        <v>8.5530000000000003E-5</v>
      </c>
      <c r="J3013" s="9">
        <v>1.0325E-4</v>
      </c>
      <c r="K3013" s="9">
        <v>8.4779999999999998E-5</v>
      </c>
      <c r="L3013" s="9">
        <v>6.1619999999999996E-5</v>
      </c>
      <c r="M3013" s="9">
        <v>8.242E-5</v>
      </c>
      <c r="N3013" s="9">
        <v>1.0422E-4</v>
      </c>
      <c r="O3013" s="9">
        <v>1.0012E-4</v>
      </c>
      <c r="P3013" s="9">
        <v>1.3961E-4</v>
      </c>
      <c r="Q3013" s="9">
        <v>1.7838000000000001E-4</v>
      </c>
      <c r="R3013" s="10">
        <v>2.0616777987043049E-4</v>
      </c>
      <c r="S3013" s="10">
        <v>1.9029020759484994E-4</v>
      </c>
      <c r="T3013" s="10">
        <v>2.1053788837378657E-4</v>
      </c>
      <c r="U3013" s="10">
        <v>1.044E-4</v>
      </c>
      <c r="V3013" s="25"/>
      <c r="W3013" s="25"/>
      <c r="X3013" s="25"/>
      <c r="Y3013" s="25"/>
      <c r="Z3013" s="25"/>
      <c r="AA3013" s="25"/>
    </row>
    <row r="3014" spans="1:27" x14ac:dyDescent="0.35">
      <c r="A3014" s="5">
        <v>3010</v>
      </c>
      <c r="B3014" s="5">
        <v>126</v>
      </c>
      <c r="C3014" s="5">
        <v>5</v>
      </c>
      <c r="D3014" s="25">
        <v>1.1415000000000001E-4</v>
      </c>
      <c r="E3014" s="25">
        <v>1.0932E-4</v>
      </c>
      <c r="F3014" s="25">
        <v>8.7849999999999994E-5</v>
      </c>
      <c r="G3014" s="25">
        <v>1.5987E-4</v>
      </c>
      <c r="H3014" s="25">
        <v>4.0439999999999999E-5</v>
      </c>
      <c r="I3014" s="9">
        <v>8.2490000000000005E-5</v>
      </c>
      <c r="J3014" s="9">
        <v>1.041E-4</v>
      </c>
      <c r="K3014" s="9">
        <v>7.6299999999999998E-5</v>
      </c>
      <c r="L3014" s="9">
        <v>9.1150000000000007E-5</v>
      </c>
      <c r="M3014" s="9">
        <v>1.0658E-4</v>
      </c>
      <c r="N3014" s="9">
        <v>1.2454999999999999E-4</v>
      </c>
      <c r="O3014" s="9">
        <v>1.2858999999999999E-4</v>
      </c>
      <c r="P3014" s="9">
        <v>1.5652E-4</v>
      </c>
      <c r="Q3014" s="9">
        <v>1.8364999999999999E-4</v>
      </c>
      <c r="R3014" s="10">
        <v>2.1221934336836747E-4</v>
      </c>
      <c r="S3014" s="10">
        <v>1.9029020759484994E-4</v>
      </c>
      <c r="T3014" s="10">
        <v>1.1754148319687443E-4</v>
      </c>
      <c r="U3014" s="10">
        <v>1.044E-4</v>
      </c>
      <c r="V3014" s="25"/>
      <c r="W3014" s="25"/>
      <c r="X3014" s="25"/>
      <c r="Y3014" s="25"/>
      <c r="Z3014" s="25"/>
      <c r="AA3014" s="25"/>
    </row>
    <row r="3015" spans="1:27" x14ac:dyDescent="0.35">
      <c r="A3015" s="5">
        <v>3011</v>
      </c>
      <c r="B3015" s="5">
        <v>126</v>
      </c>
      <c r="C3015" s="5">
        <v>5</v>
      </c>
      <c r="D3015" s="25">
        <v>1.1416E-4</v>
      </c>
      <c r="E3015" s="25">
        <v>1.1867E-4</v>
      </c>
      <c r="F3015" s="25">
        <v>8.6030000000000001E-5</v>
      </c>
      <c r="G3015" s="25">
        <v>1.561E-4</v>
      </c>
      <c r="H3015" s="25">
        <v>4.0370000000000001E-5</v>
      </c>
      <c r="I3015" s="9">
        <v>8.0589999999999999E-5</v>
      </c>
      <c r="J3015" s="9">
        <v>1.0361000000000001E-4</v>
      </c>
      <c r="K3015" s="9">
        <v>6.9939999999999998E-5</v>
      </c>
      <c r="L3015" s="9">
        <v>1.1962E-4</v>
      </c>
      <c r="M3015" s="9">
        <v>1.3069000000000001E-4</v>
      </c>
      <c r="N3015" s="9">
        <v>1.4296E-4</v>
      </c>
      <c r="O3015" s="9">
        <v>1.3595E-4</v>
      </c>
      <c r="P3015" s="9">
        <v>1.5830999999999999E-4</v>
      </c>
      <c r="Q3015" s="9">
        <v>1.7988999999999999E-4</v>
      </c>
      <c r="R3015" s="10">
        <v>2.1182642070515897E-4</v>
      </c>
      <c r="S3015" s="10">
        <v>1.9029020759484994E-4</v>
      </c>
      <c r="T3015" s="10">
        <v>5.0897311801504962E-5</v>
      </c>
      <c r="U3015" s="10">
        <v>1.044E-4</v>
      </c>
      <c r="V3015" s="25"/>
      <c r="W3015" s="25"/>
      <c r="X3015" s="25"/>
      <c r="Y3015" s="25"/>
      <c r="Z3015" s="25"/>
      <c r="AA3015" s="25"/>
    </row>
    <row r="3016" spans="1:27" x14ac:dyDescent="0.35">
      <c r="A3016" s="5">
        <v>3012</v>
      </c>
      <c r="B3016" s="5">
        <v>126</v>
      </c>
      <c r="C3016" s="5">
        <v>5</v>
      </c>
      <c r="D3016" s="25">
        <v>1.1415000000000001E-4</v>
      </c>
      <c r="E3016" s="25">
        <v>1.1779E-4</v>
      </c>
      <c r="F3016" s="25">
        <v>8.3319999999999995E-5</v>
      </c>
      <c r="G3016" s="25">
        <v>1.6417E-4</v>
      </c>
      <c r="H3016" s="25">
        <v>4.0800000000000002E-5</v>
      </c>
      <c r="I3016" s="9">
        <v>7.7929999999999994E-5</v>
      </c>
      <c r="J3016" s="9">
        <v>1.0266E-4</v>
      </c>
      <c r="K3016" s="9">
        <v>7.8410000000000003E-5</v>
      </c>
      <c r="L3016" s="9">
        <v>1.3169000000000001E-4</v>
      </c>
      <c r="M3016" s="9">
        <v>1.4635000000000001E-4</v>
      </c>
      <c r="N3016" s="9">
        <v>1.5712000000000001E-4</v>
      </c>
      <c r="O3016" s="9">
        <v>1.3787000000000001E-4</v>
      </c>
      <c r="P3016" s="9">
        <v>1.5693E-4</v>
      </c>
      <c r="Q3016" s="9">
        <v>1.7524000000000001E-4</v>
      </c>
      <c r="R3016" s="10">
        <v>2.0510076468582272E-4</v>
      </c>
      <c r="S3016" s="10">
        <v>1.9029018749260182E-4</v>
      </c>
      <c r="T3016" s="10">
        <v>7.5701160951646609E-4</v>
      </c>
      <c r="U3016" s="10">
        <v>1.044E-4</v>
      </c>
      <c r="V3016" s="25"/>
      <c r="W3016" s="25"/>
      <c r="X3016" s="25"/>
      <c r="Y3016" s="25"/>
      <c r="Z3016" s="25"/>
      <c r="AA3016" s="25"/>
    </row>
    <row r="3017" spans="1:27" x14ac:dyDescent="0.35">
      <c r="A3017" s="5">
        <v>3013</v>
      </c>
      <c r="B3017" s="5">
        <v>126</v>
      </c>
      <c r="C3017" s="5">
        <v>5</v>
      </c>
      <c r="D3017" s="25">
        <v>1.1416E-4</v>
      </c>
      <c r="E3017" s="25">
        <v>1.1504E-4</v>
      </c>
      <c r="F3017" s="25">
        <v>9.8239999999999995E-5</v>
      </c>
      <c r="G3017" s="25">
        <v>1.5766E-4</v>
      </c>
      <c r="H3017" s="25">
        <v>4.0710000000000002E-5</v>
      </c>
      <c r="I3017" s="9">
        <v>7.3869999999999996E-5</v>
      </c>
      <c r="J3017" s="9">
        <v>1.0030999999999999E-4</v>
      </c>
      <c r="K3017" s="9">
        <v>7.8419999999999998E-5</v>
      </c>
      <c r="L3017" s="9">
        <v>1.3636E-4</v>
      </c>
      <c r="M3017" s="9">
        <v>1.5348E-4</v>
      </c>
      <c r="N3017" s="9">
        <v>1.6684E-4</v>
      </c>
      <c r="O3017" s="9">
        <v>1.2872E-4</v>
      </c>
      <c r="P3017" s="9">
        <v>1.4829E-4</v>
      </c>
      <c r="Q3017" s="9">
        <v>1.6719E-4</v>
      </c>
      <c r="R3017" s="10">
        <v>2.0212357832068359E-4</v>
      </c>
      <c r="S3017" s="10">
        <v>1.9029020759484994E-4</v>
      </c>
      <c r="T3017" s="10">
        <v>8.721859731946508E-5</v>
      </c>
      <c r="U3017" s="10">
        <v>1.044E-4</v>
      </c>
      <c r="V3017" s="25"/>
      <c r="W3017" s="25"/>
      <c r="X3017" s="25"/>
      <c r="Y3017" s="25"/>
      <c r="Z3017" s="25"/>
      <c r="AA3017" s="25"/>
    </row>
    <row r="3018" spans="1:27" x14ac:dyDescent="0.35">
      <c r="A3018" s="5">
        <v>3014</v>
      </c>
      <c r="B3018" s="5">
        <v>126</v>
      </c>
      <c r="C3018" s="5">
        <v>5</v>
      </c>
      <c r="D3018" s="25">
        <v>1.1415000000000001E-4</v>
      </c>
      <c r="E3018" s="25">
        <v>1.1768E-4</v>
      </c>
      <c r="F3018" s="25">
        <v>8.9450000000000006E-5</v>
      </c>
      <c r="G3018" s="25">
        <v>1.5860000000000001E-4</v>
      </c>
      <c r="H3018" s="25">
        <v>3.9350000000000001E-5</v>
      </c>
      <c r="I3018" s="9">
        <v>7.1829999999999995E-5</v>
      </c>
      <c r="J3018" s="9">
        <v>9.878E-5</v>
      </c>
      <c r="K3018" s="9">
        <v>7.8419999999999998E-5</v>
      </c>
      <c r="L3018" s="9">
        <v>1.3045E-4</v>
      </c>
      <c r="M3018" s="9">
        <v>1.5296999999999999E-4</v>
      </c>
      <c r="N3018" s="9">
        <v>1.7108E-4</v>
      </c>
      <c r="O3018" s="9">
        <v>1.1093E-4</v>
      </c>
      <c r="P3018" s="9">
        <v>1.3561000000000001E-4</v>
      </c>
      <c r="Q3018" s="9">
        <v>1.5970000000000001E-4</v>
      </c>
      <c r="R3018" s="10">
        <v>2.0844034088215213E-4</v>
      </c>
      <c r="S3018" s="10">
        <v>1.9029020759484994E-4</v>
      </c>
      <c r="T3018" s="10">
        <v>3.4143365874778531E-4</v>
      </c>
      <c r="U3018" s="10">
        <v>1.044E-4</v>
      </c>
      <c r="V3018" s="25"/>
      <c r="W3018" s="25"/>
      <c r="X3018" s="25"/>
      <c r="Y3018" s="25"/>
      <c r="Z3018" s="25"/>
      <c r="AA3018" s="25"/>
    </row>
    <row r="3019" spans="1:27" x14ac:dyDescent="0.35">
      <c r="A3019" s="5">
        <v>3015</v>
      </c>
      <c r="B3019" s="5">
        <v>126</v>
      </c>
      <c r="C3019" s="5">
        <v>5</v>
      </c>
      <c r="D3019" s="25">
        <v>1.1416E-4</v>
      </c>
      <c r="E3019" s="25">
        <v>1.1252E-4</v>
      </c>
      <c r="F3019" s="25">
        <v>8.7999999999999998E-5</v>
      </c>
      <c r="G3019" s="25">
        <v>1.5991000000000001E-4</v>
      </c>
      <c r="H3019" s="25">
        <v>4.1109999999999998E-5</v>
      </c>
      <c r="I3019" s="9">
        <v>7.2169999999999995E-5</v>
      </c>
      <c r="J3019" s="9">
        <v>9.8529999999999993E-5</v>
      </c>
      <c r="K3019" s="9">
        <v>7.4179999999999998E-5</v>
      </c>
      <c r="L3019" s="9">
        <v>1.1545E-4</v>
      </c>
      <c r="M3019" s="9">
        <v>1.4632999999999999E-4</v>
      </c>
      <c r="N3019" s="9">
        <v>1.7023E-4</v>
      </c>
      <c r="O3019" s="9">
        <v>1.2689E-4</v>
      </c>
      <c r="P3019" s="9">
        <v>1.4048000000000001E-4</v>
      </c>
      <c r="Q3019" s="9">
        <v>1.5352000000000001E-4</v>
      </c>
      <c r="R3019" s="10">
        <v>2.0461416358709582E-4</v>
      </c>
      <c r="S3019" s="10">
        <v>1.902901235390484E-4</v>
      </c>
      <c r="T3019" s="10">
        <v>4.2260295063059874E-5</v>
      </c>
      <c r="U3019" s="10">
        <v>1.044E-4</v>
      </c>
      <c r="V3019" s="25"/>
      <c r="W3019" s="25"/>
      <c r="X3019" s="25"/>
      <c r="Y3019" s="25"/>
      <c r="Z3019" s="25"/>
      <c r="AA3019" s="25"/>
    </row>
    <row r="3020" spans="1:27" x14ac:dyDescent="0.35">
      <c r="A3020" s="5">
        <v>3016</v>
      </c>
      <c r="B3020" s="5">
        <v>126</v>
      </c>
      <c r="C3020" s="5">
        <v>5</v>
      </c>
      <c r="D3020" s="25">
        <v>1.1415000000000001E-4</v>
      </c>
      <c r="E3020" s="25">
        <v>1.1044000000000001E-4</v>
      </c>
      <c r="F3020" s="25">
        <v>1.0431E-4</v>
      </c>
      <c r="G3020" s="25">
        <v>1.6579999999999999E-4</v>
      </c>
      <c r="H3020" s="25">
        <v>4.1140000000000003E-5</v>
      </c>
      <c r="I3020" s="9">
        <v>7.5350000000000002E-5</v>
      </c>
      <c r="J3020" s="9">
        <v>1.0067E-4</v>
      </c>
      <c r="K3020" s="9">
        <v>5.7229999999999999E-5</v>
      </c>
      <c r="L3020" s="9">
        <v>1.248E-4</v>
      </c>
      <c r="M3020" s="9">
        <v>1.4237000000000001E-4</v>
      </c>
      <c r="N3020" s="9">
        <v>1.6642E-4</v>
      </c>
      <c r="O3020" s="9">
        <v>1.3253000000000001E-4</v>
      </c>
      <c r="P3020" s="9">
        <v>1.2113E-4</v>
      </c>
      <c r="Q3020" s="9">
        <v>1.0949E-4</v>
      </c>
      <c r="R3020" s="10">
        <v>2.0232307965293585E-4</v>
      </c>
      <c r="S3020" s="10">
        <v>1.9028418968769406E-4</v>
      </c>
      <c r="T3020" s="10">
        <v>5.1383462154268127E-4</v>
      </c>
      <c r="U3020" s="10">
        <v>1.044E-4</v>
      </c>
      <c r="V3020" s="25"/>
      <c r="W3020" s="25"/>
      <c r="X3020" s="25"/>
      <c r="Y3020" s="25"/>
      <c r="Z3020" s="25"/>
      <c r="AA3020" s="25"/>
    </row>
    <row r="3021" spans="1:27" x14ac:dyDescent="0.35">
      <c r="A3021" s="5">
        <v>3017</v>
      </c>
      <c r="B3021" s="5">
        <v>126</v>
      </c>
      <c r="C3021" s="5">
        <v>5</v>
      </c>
      <c r="D3021" s="25">
        <v>1.1416E-4</v>
      </c>
      <c r="E3021" s="25">
        <v>1.1779E-4</v>
      </c>
      <c r="F3021" s="25">
        <v>8.3389999999999999E-5</v>
      </c>
      <c r="G3021" s="25">
        <v>1.5729000000000001E-4</v>
      </c>
      <c r="H3021" s="25">
        <v>3.9740000000000002E-5</v>
      </c>
      <c r="I3021" s="9">
        <v>8.161E-5</v>
      </c>
      <c r="J3021" s="9">
        <v>1.0537E-4</v>
      </c>
      <c r="K3021" s="9">
        <v>7.8410000000000003E-5</v>
      </c>
      <c r="L3021" s="9">
        <v>1.3053000000000001E-4</v>
      </c>
      <c r="M3021" s="9">
        <v>1.3388000000000001E-4</v>
      </c>
      <c r="N3021" s="9">
        <v>1.5254E-4</v>
      </c>
      <c r="O3021" s="9">
        <v>1.4002E-4</v>
      </c>
      <c r="P3021" s="9">
        <v>1.2412999999999999E-4</v>
      </c>
      <c r="Q3021" s="9">
        <v>1.0802999999999999E-4</v>
      </c>
      <c r="R3021" s="10">
        <v>2.0108188441411443E-4</v>
      </c>
      <c r="S3021" s="10">
        <v>1.902730927791912E-4</v>
      </c>
      <c r="T3021" s="10">
        <v>4.6604256330332844E-5</v>
      </c>
      <c r="U3021" s="10">
        <v>1.044E-4</v>
      </c>
      <c r="V3021" s="25"/>
      <c r="W3021" s="25"/>
      <c r="X3021" s="25"/>
      <c r="Y3021" s="25"/>
      <c r="Z3021" s="25"/>
      <c r="AA3021" s="25"/>
    </row>
    <row r="3022" spans="1:27" x14ac:dyDescent="0.35">
      <c r="A3022" s="5">
        <v>3018</v>
      </c>
      <c r="B3022" s="5">
        <v>126</v>
      </c>
      <c r="C3022" s="5">
        <v>5</v>
      </c>
      <c r="D3022" s="25">
        <v>1.1415000000000001E-4</v>
      </c>
      <c r="E3022" s="25">
        <v>1.1335E-4</v>
      </c>
      <c r="F3022" s="25">
        <v>9.1509999999999996E-5</v>
      </c>
      <c r="G3022" s="25">
        <v>1.6278000000000001E-4</v>
      </c>
      <c r="H3022" s="25">
        <v>3.8930000000000002E-5</v>
      </c>
      <c r="I3022" s="9">
        <v>8.8770000000000006E-5</v>
      </c>
      <c r="J3022" s="9">
        <v>1.0664E-4</v>
      </c>
      <c r="K3022" s="9">
        <v>9.7490000000000003E-5</v>
      </c>
      <c r="L3022" s="9">
        <v>1.3766000000000001E-4</v>
      </c>
      <c r="M3022" s="9">
        <v>1.2821999999999999E-4</v>
      </c>
      <c r="N3022" s="9">
        <v>1.3929E-4</v>
      </c>
      <c r="O3022" s="9">
        <v>1.3996000000000001E-4</v>
      </c>
      <c r="P3022" s="9">
        <v>1.2918000000000001E-4</v>
      </c>
      <c r="Q3022" s="9">
        <v>1.181E-4</v>
      </c>
      <c r="R3022" s="10">
        <v>2.1032759700643388E-4</v>
      </c>
      <c r="S3022" s="10">
        <v>1.9028936521912502E-4</v>
      </c>
      <c r="T3022" s="10">
        <v>1.0143828303030393E-4</v>
      </c>
      <c r="U3022" s="10">
        <v>1.044E-4</v>
      </c>
      <c r="V3022" s="25"/>
      <c r="W3022" s="25"/>
      <c r="X3022" s="25"/>
      <c r="Y3022" s="25"/>
      <c r="Z3022" s="25"/>
      <c r="AA3022" s="25"/>
    </row>
    <row r="3023" spans="1:27" x14ac:dyDescent="0.35">
      <c r="A3023" s="5">
        <v>3019</v>
      </c>
      <c r="B3023" s="5">
        <v>126</v>
      </c>
      <c r="C3023" s="5">
        <v>5</v>
      </c>
      <c r="D3023" s="25">
        <v>1.1416E-4</v>
      </c>
      <c r="E3023" s="25">
        <v>1.1302E-4</v>
      </c>
      <c r="F3023" s="25">
        <v>9.8090000000000004E-5</v>
      </c>
      <c r="G3023" s="25">
        <v>1.0689E-4</v>
      </c>
      <c r="H3023" s="25">
        <v>2.6950000000000001E-5</v>
      </c>
      <c r="I3023" s="9">
        <v>9.4099999999999997E-5</v>
      </c>
      <c r="J3023" s="9">
        <v>1.0226E-4</v>
      </c>
      <c r="K3023" s="9">
        <v>1.1233E-4</v>
      </c>
      <c r="L3023" s="9">
        <v>1.3934E-4</v>
      </c>
      <c r="M3023" s="9">
        <v>1.2726999999999999E-4</v>
      </c>
      <c r="N3023" s="9">
        <v>1.3029E-4</v>
      </c>
      <c r="O3023" s="9">
        <v>1.3888999999999999E-4</v>
      </c>
      <c r="P3023" s="9">
        <v>1.2261999999999999E-4</v>
      </c>
      <c r="Q3023" s="9">
        <v>1.0613E-4</v>
      </c>
      <c r="R3023" s="10">
        <v>2.1240338892052573E-4</v>
      </c>
      <c r="S3023" s="10">
        <v>1.9029020529220562E-4</v>
      </c>
      <c r="T3023" s="10">
        <v>2.0761080509798738E-5</v>
      </c>
      <c r="U3023" s="10">
        <v>1.044E-4</v>
      </c>
      <c r="V3023" s="25"/>
      <c r="W3023" s="25"/>
      <c r="X3023" s="25"/>
      <c r="Y3023" s="25"/>
      <c r="Z3023" s="25"/>
      <c r="AA3023" s="25"/>
    </row>
    <row r="3024" spans="1:27" x14ac:dyDescent="0.35">
      <c r="A3024" s="5">
        <v>3020</v>
      </c>
      <c r="B3024" s="5">
        <v>126</v>
      </c>
      <c r="C3024" s="5">
        <v>5</v>
      </c>
      <c r="D3024" s="25">
        <v>1.1415000000000001E-4</v>
      </c>
      <c r="E3024" s="25">
        <v>1.1349999999999999E-4</v>
      </c>
      <c r="F3024" s="25">
        <v>8.6299999999999997E-5</v>
      </c>
      <c r="G3024" s="25">
        <v>1.1504E-4</v>
      </c>
      <c r="H3024" s="25">
        <v>2.7659999999999999E-5</v>
      </c>
      <c r="I3024" s="9">
        <v>9.692E-5</v>
      </c>
      <c r="J3024" s="9">
        <v>9.9679999999999994E-5</v>
      </c>
      <c r="K3024" s="9">
        <v>1.3352000000000001E-4</v>
      </c>
      <c r="L3024" s="9">
        <v>1.3898E-4</v>
      </c>
      <c r="M3024" s="9">
        <v>1.2562000000000001E-4</v>
      </c>
      <c r="N3024" s="9">
        <v>1.2097E-4</v>
      </c>
      <c r="O3024" s="9">
        <v>1.4155999999999999E-4</v>
      </c>
      <c r="P3024" s="9">
        <v>1.2147E-4</v>
      </c>
      <c r="Q3024" s="9">
        <v>1.0121E-4</v>
      </c>
      <c r="R3024" s="10">
        <v>2.123590447262808E-4</v>
      </c>
      <c r="S3024" s="10">
        <v>1.902900774851063E-4</v>
      </c>
      <c r="T3024" s="10">
        <v>0</v>
      </c>
      <c r="U3024" s="10">
        <v>1.044E-4</v>
      </c>
      <c r="V3024" s="25"/>
      <c r="W3024" s="25"/>
      <c r="X3024" s="25"/>
      <c r="Y3024" s="25"/>
      <c r="Z3024" s="25"/>
      <c r="AA3024" s="25"/>
    </row>
    <row r="3025" spans="1:27" x14ac:dyDescent="0.35">
      <c r="A3025" s="5">
        <v>3021</v>
      </c>
      <c r="B3025" s="5">
        <v>126</v>
      </c>
      <c r="C3025" s="5">
        <v>5</v>
      </c>
      <c r="D3025" s="25">
        <v>1.1416E-4</v>
      </c>
      <c r="E3025" s="25">
        <v>1.0986E-4</v>
      </c>
      <c r="F3025" s="25">
        <v>9.7930000000000006E-5</v>
      </c>
      <c r="G3025" s="25">
        <v>5.3069999999999998E-5</v>
      </c>
      <c r="H3025" s="25">
        <v>1.363E-5</v>
      </c>
      <c r="I3025" s="9">
        <v>1.0109E-4</v>
      </c>
      <c r="J3025" s="9">
        <v>9.9199999999999999E-5</v>
      </c>
      <c r="K3025" s="9">
        <v>1.2716E-4</v>
      </c>
      <c r="L3025" s="9">
        <v>1.4105000000000001E-4</v>
      </c>
      <c r="M3025" s="9">
        <v>1.2370999999999999E-4</v>
      </c>
      <c r="N3025" s="9">
        <v>1.1309E-4</v>
      </c>
      <c r="O3025" s="9">
        <v>8.4450000000000006E-5</v>
      </c>
      <c r="P3025" s="9">
        <v>8.6440000000000006E-5</v>
      </c>
      <c r="Q3025" s="9">
        <v>8.844E-5</v>
      </c>
      <c r="R3025" s="10">
        <v>2.1242710862421108E-4</v>
      </c>
      <c r="S3025" s="10">
        <v>1.9029012940851401E-4</v>
      </c>
      <c r="T3025" s="10">
        <v>0</v>
      </c>
      <c r="U3025" s="10">
        <v>1.044E-4</v>
      </c>
      <c r="V3025" s="25"/>
      <c r="W3025" s="25"/>
      <c r="X3025" s="25"/>
      <c r="Y3025" s="25"/>
      <c r="Z3025" s="25"/>
      <c r="AA3025" s="25"/>
    </row>
    <row r="3026" spans="1:27" x14ac:dyDescent="0.35">
      <c r="A3026" s="5">
        <v>3022</v>
      </c>
      <c r="B3026" s="5">
        <v>126</v>
      </c>
      <c r="C3026" s="5">
        <v>5</v>
      </c>
      <c r="D3026" s="25">
        <v>1.1415000000000001E-4</v>
      </c>
      <c r="E3026" s="25">
        <v>1.1741E-4</v>
      </c>
      <c r="F3026" s="25">
        <v>9.5569999999999995E-5</v>
      </c>
      <c r="G3026" s="25">
        <v>5.6119999999999998E-5</v>
      </c>
      <c r="H3026" s="25">
        <v>1.3560000000000001E-5</v>
      </c>
      <c r="I3026" s="9">
        <v>1.0433999999999999E-4</v>
      </c>
      <c r="J3026" s="9">
        <v>9.8439999999999999E-5</v>
      </c>
      <c r="K3026" s="9">
        <v>1.3350999999999999E-4</v>
      </c>
      <c r="L3026" s="9">
        <v>9.6849999999999996E-5</v>
      </c>
      <c r="M3026" s="9">
        <v>1.0977E-4</v>
      </c>
      <c r="N3026" s="9">
        <v>1.0551E-4</v>
      </c>
      <c r="O3026" s="9">
        <v>8.7739999999999997E-5</v>
      </c>
      <c r="P3026" s="9">
        <v>8.8389999999999999E-5</v>
      </c>
      <c r="Q3026" s="9">
        <v>8.9040000000000001E-5</v>
      </c>
      <c r="R3026" s="10">
        <v>2.1244545854256762E-4</v>
      </c>
      <c r="S3026" s="10">
        <v>1.9029020759484994E-4</v>
      </c>
      <c r="T3026" s="10">
        <v>0</v>
      </c>
      <c r="U3026" s="10">
        <v>1.044E-4</v>
      </c>
      <c r="V3026" s="25"/>
      <c r="W3026" s="25"/>
      <c r="X3026" s="25"/>
      <c r="Y3026" s="25"/>
      <c r="Z3026" s="25"/>
      <c r="AA3026" s="25"/>
    </row>
    <row r="3027" spans="1:27" x14ac:dyDescent="0.35">
      <c r="A3027" s="5">
        <v>3023</v>
      </c>
      <c r="B3027" s="5">
        <v>126</v>
      </c>
      <c r="C3027" s="5">
        <v>5</v>
      </c>
      <c r="D3027" s="25">
        <v>1.1416E-4</v>
      </c>
      <c r="E3027" s="25">
        <v>1.0846E-4</v>
      </c>
      <c r="F3027" s="25">
        <v>9.0370000000000004E-5</v>
      </c>
      <c r="G3027" s="25">
        <v>5.8560000000000002E-5</v>
      </c>
      <c r="H3027" s="25">
        <v>1.433E-5</v>
      </c>
      <c r="I3027" s="9">
        <v>1.0108E-4</v>
      </c>
      <c r="J3027" s="9">
        <v>9.6559999999999997E-5</v>
      </c>
      <c r="K3027" s="9">
        <v>1.3564E-4</v>
      </c>
      <c r="L3027" s="9">
        <v>9.0959999999999996E-5</v>
      </c>
      <c r="M3027" s="9">
        <v>9.8350000000000005E-5</v>
      </c>
      <c r="N3027" s="9">
        <v>9.9850000000000001E-5</v>
      </c>
      <c r="O3027" s="9">
        <v>8.4679999999999996E-5</v>
      </c>
      <c r="P3027" s="9">
        <v>7.5840000000000006E-5</v>
      </c>
      <c r="Q3027" s="9">
        <v>6.7180000000000004E-5</v>
      </c>
      <c r="R3027" s="10">
        <v>2.124445464763331E-4</v>
      </c>
      <c r="S3027" s="10">
        <v>1.9028739597089274E-4</v>
      </c>
      <c r="T3027" s="10">
        <v>0</v>
      </c>
      <c r="U3027" s="10">
        <v>1.044E-4</v>
      </c>
      <c r="V3027" s="25"/>
      <c r="W3027" s="25"/>
      <c r="X3027" s="25"/>
      <c r="Y3027" s="25"/>
      <c r="Z3027" s="25"/>
      <c r="AA3027" s="25"/>
    </row>
    <row r="3028" spans="1:27" x14ac:dyDescent="0.35">
      <c r="A3028" s="5">
        <v>3024</v>
      </c>
      <c r="B3028" s="5">
        <v>126</v>
      </c>
      <c r="C3028" s="5">
        <v>5</v>
      </c>
      <c r="D3028" s="25">
        <v>1.1415000000000001E-4</v>
      </c>
      <c r="E3028" s="25">
        <v>1.1098E-4</v>
      </c>
      <c r="F3028" s="25">
        <v>9.857E-5</v>
      </c>
      <c r="G3028" s="25">
        <v>5.5680000000000002E-5</v>
      </c>
      <c r="H3028" s="25">
        <v>1.453E-5</v>
      </c>
      <c r="I3028" s="9">
        <v>9.3980000000000005E-5</v>
      </c>
      <c r="J3028" s="9">
        <v>9.2250000000000006E-5</v>
      </c>
      <c r="K3028" s="9">
        <v>1.0808E-4</v>
      </c>
      <c r="L3028" s="9">
        <v>8.6260000000000004E-5</v>
      </c>
      <c r="M3028" s="9">
        <v>8.7579999999999998E-5</v>
      </c>
      <c r="N3028" s="9">
        <v>9.0630000000000005E-5</v>
      </c>
      <c r="O3028" s="9">
        <v>7.8800000000000004E-5</v>
      </c>
      <c r="P3028" s="9">
        <v>6.8659999999999997E-5</v>
      </c>
      <c r="Q3028" s="9">
        <v>5.8770000000000001E-5</v>
      </c>
      <c r="R3028" s="10">
        <v>2.1244890695275542E-4</v>
      </c>
      <c r="S3028" s="10">
        <v>1.9025124596575455E-4</v>
      </c>
      <c r="T3028" s="10">
        <v>0</v>
      </c>
      <c r="U3028" s="10">
        <v>1.044E-4</v>
      </c>
      <c r="V3028" s="25"/>
      <c r="W3028" s="25"/>
      <c r="X3028" s="25"/>
      <c r="Y3028" s="25"/>
      <c r="Z3028" s="25"/>
      <c r="AA3028" s="25"/>
    </row>
    <row r="3029" spans="1:27" x14ac:dyDescent="0.35">
      <c r="A3029" s="5">
        <v>3025</v>
      </c>
      <c r="B3029" s="5">
        <v>127</v>
      </c>
      <c r="C3029" s="5">
        <v>5</v>
      </c>
      <c r="D3029" s="25">
        <v>1.1416E-4</v>
      </c>
      <c r="E3029" s="25">
        <v>1.0621E-4</v>
      </c>
      <c r="F3029" s="25">
        <v>1.1179999999999999E-4</v>
      </c>
      <c r="G3029" s="25">
        <v>5.6400000000000002E-5</v>
      </c>
      <c r="H3029" s="25">
        <v>6.9079999999999996E-5</v>
      </c>
      <c r="I3029" s="9">
        <v>8.8679999999999998E-5</v>
      </c>
      <c r="J3029" s="9">
        <v>8.8029999999999996E-5</v>
      </c>
      <c r="K3029" s="9">
        <v>9.9610000000000003E-5</v>
      </c>
      <c r="L3029" s="9">
        <v>8.0240000000000004E-5</v>
      </c>
      <c r="M3029" s="9">
        <v>7.8330000000000004E-5</v>
      </c>
      <c r="N3029" s="9">
        <v>8.1240000000000001E-5</v>
      </c>
      <c r="O3029" s="9">
        <v>5.4330000000000003E-5</v>
      </c>
      <c r="P3029" s="9">
        <v>5.3749999999999999E-5</v>
      </c>
      <c r="Q3029" s="9">
        <v>5.3319999999999998E-5</v>
      </c>
      <c r="R3029" s="10">
        <v>2.1244881830323592E-4</v>
      </c>
      <c r="S3029" s="10">
        <v>1.9024734113059474E-4</v>
      </c>
      <c r="T3029" s="10">
        <v>0</v>
      </c>
      <c r="U3029" s="10">
        <v>1.024E-4</v>
      </c>
      <c r="V3029" s="25"/>
      <c r="W3029" s="25"/>
      <c r="X3029" s="25"/>
      <c r="Y3029" s="25"/>
      <c r="Z3029" s="25"/>
      <c r="AA3029" s="25"/>
    </row>
    <row r="3030" spans="1:27" x14ac:dyDescent="0.35">
      <c r="A3030" s="5">
        <v>3026</v>
      </c>
      <c r="B3030" s="5">
        <v>127</v>
      </c>
      <c r="C3030" s="5">
        <v>5</v>
      </c>
      <c r="D3030" s="25">
        <v>1.1415000000000001E-4</v>
      </c>
      <c r="E3030" s="25">
        <v>1.1589E-4</v>
      </c>
      <c r="F3030" s="25">
        <v>1.1476000000000001E-4</v>
      </c>
      <c r="G3030" s="25">
        <v>5.5659999999999999E-5</v>
      </c>
      <c r="H3030" s="25">
        <v>7.3869999999999996E-5</v>
      </c>
      <c r="I3030" s="9">
        <v>8.5740000000000002E-5</v>
      </c>
      <c r="J3030" s="9">
        <v>8.6119999999999995E-5</v>
      </c>
      <c r="K3030" s="9">
        <v>1.1656E-4</v>
      </c>
      <c r="L3030" s="9">
        <v>6.0180000000000003E-5</v>
      </c>
      <c r="M3030" s="9">
        <v>6.7299999999999996E-5</v>
      </c>
      <c r="N3030" s="9">
        <v>7.2139999999999997E-5</v>
      </c>
      <c r="O3030" s="9">
        <v>1.933E-5</v>
      </c>
      <c r="P3030" s="9">
        <v>3.7419999999999997E-5</v>
      </c>
      <c r="Q3030" s="9">
        <v>5.5689999999999997E-5</v>
      </c>
      <c r="R3030" s="10">
        <v>2.1244767627095259E-4</v>
      </c>
      <c r="S3030" s="10">
        <v>1.9009697714503931E-4</v>
      </c>
      <c r="T3030" s="10">
        <v>0</v>
      </c>
      <c r="U3030" s="10">
        <v>1.024E-4</v>
      </c>
      <c r="V3030" s="25"/>
      <c r="W3030" s="25"/>
      <c r="X3030" s="25"/>
      <c r="Y3030" s="25"/>
      <c r="Z3030" s="25"/>
      <c r="AA3030" s="25"/>
    </row>
    <row r="3031" spans="1:27" x14ac:dyDescent="0.35">
      <c r="A3031" s="5">
        <v>3027</v>
      </c>
      <c r="B3031" s="5">
        <v>127</v>
      </c>
      <c r="C3031" s="5">
        <v>5</v>
      </c>
      <c r="D3031" s="25">
        <v>1.1416E-4</v>
      </c>
      <c r="E3031" s="25">
        <v>1.1341999999999999E-4</v>
      </c>
      <c r="F3031" s="25">
        <v>1.1281E-4</v>
      </c>
      <c r="G3031" s="25">
        <v>5.6919999999999997E-5</v>
      </c>
      <c r="H3031" s="25">
        <v>7.3850000000000006E-5</v>
      </c>
      <c r="I3031" s="9">
        <v>8.4300000000000003E-5</v>
      </c>
      <c r="J3031" s="9">
        <v>8.4820000000000004E-5</v>
      </c>
      <c r="K3031" s="9">
        <v>1.2928000000000001E-4</v>
      </c>
      <c r="L3031" s="9">
        <v>2.8860000000000002E-5</v>
      </c>
      <c r="M3031" s="9">
        <v>5.384E-5</v>
      </c>
      <c r="N3031" s="9">
        <v>6.5450000000000005E-5</v>
      </c>
      <c r="O3031" s="9">
        <v>1.4E-5</v>
      </c>
      <c r="P3031" s="9">
        <v>3.7419999999999997E-5</v>
      </c>
      <c r="Q3031" s="9">
        <v>6.0999999999999999E-5</v>
      </c>
      <c r="R3031" s="10">
        <v>2.1244498704827496E-4</v>
      </c>
      <c r="S3031" s="10">
        <v>1.8998342184395987E-4</v>
      </c>
      <c r="T3031" s="10">
        <v>0</v>
      </c>
      <c r="U3031" s="10">
        <v>1.024E-4</v>
      </c>
      <c r="V3031" s="25"/>
      <c r="W3031" s="25"/>
      <c r="X3031" s="25"/>
      <c r="Y3031" s="25"/>
      <c r="Z3031" s="25"/>
      <c r="AA3031" s="25"/>
    </row>
    <row r="3032" spans="1:27" x14ac:dyDescent="0.35">
      <c r="A3032" s="5">
        <v>3028</v>
      </c>
      <c r="B3032" s="5">
        <v>127</v>
      </c>
      <c r="C3032" s="5">
        <v>5</v>
      </c>
      <c r="D3032" s="25">
        <v>1.1415000000000001E-4</v>
      </c>
      <c r="E3032" s="25">
        <v>1.145E-4</v>
      </c>
      <c r="F3032" s="25">
        <v>1.2121999999999999E-4</v>
      </c>
      <c r="G3032" s="25">
        <v>5.5940000000000003E-5</v>
      </c>
      <c r="H3032" s="25">
        <v>7.5779999999999996E-5</v>
      </c>
      <c r="I3032" s="9">
        <v>8.4480000000000004E-5</v>
      </c>
      <c r="J3032" s="9">
        <v>8.4519999999999997E-5</v>
      </c>
      <c r="K3032" s="9">
        <v>1.314E-4</v>
      </c>
      <c r="L3032" s="9">
        <v>1.8110000000000001E-5</v>
      </c>
      <c r="M3032" s="9">
        <v>4.4679999999999999E-5</v>
      </c>
      <c r="N3032" s="9">
        <v>6.1719999999999999E-5</v>
      </c>
      <c r="O3032" s="9">
        <v>1.42E-5</v>
      </c>
      <c r="P3032" s="9">
        <v>4.7469999999999998E-5</v>
      </c>
      <c r="Q3032" s="9">
        <v>8.0740000000000003E-5</v>
      </c>
      <c r="R3032" s="10">
        <v>2.1244129022748951E-4</v>
      </c>
      <c r="S3032" s="10">
        <v>1.9006289063784224E-4</v>
      </c>
      <c r="T3032" s="10">
        <v>0</v>
      </c>
      <c r="U3032" s="10">
        <v>1.024E-4</v>
      </c>
      <c r="V3032" s="25"/>
      <c r="W3032" s="25"/>
      <c r="X3032" s="25"/>
      <c r="Y3032" s="25"/>
      <c r="Z3032" s="25"/>
      <c r="AA3032" s="25"/>
    </row>
    <row r="3033" spans="1:27" x14ac:dyDescent="0.35">
      <c r="A3033" s="5">
        <v>3029</v>
      </c>
      <c r="B3033" s="5">
        <v>127</v>
      </c>
      <c r="C3033" s="5">
        <v>5</v>
      </c>
      <c r="D3033" s="25">
        <v>1.1416E-4</v>
      </c>
      <c r="E3033" s="25">
        <v>1.0967999999999999E-4</v>
      </c>
      <c r="F3033" s="25">
        <v>1.1485E-4</v>
      </c>
      <c r="G3033" s="25">
        <v>5.4960000000000002E-5</v>
      </c>
      <c r="H3033" s="25">
        <v>6.5809999999999995E-5</v>
      </c>
      <c r="I3033" s="9">
        <v>8.7839999999999999E-5</v>
      </c>
      <c r="J3033" s="9">
        <v>8.6559999999999998E-5</v>
      </c>
      <c r="K3033" s="9">
        <v>1.3776000000000001E-4</v>
      </c>
      <c r="L3033" s="9">
        <v>1.523E-5</v>
      </c>
      <c r="M3033" s="9">
        <v>4.367E-5</v>
      </c>
      <c r="N3033" s="9">
        <v>6.4319999999999994E-5</v>
      </c>
      <c r="O3033" s="9">
        <v>1.9429999999999999E-5</v>
      </c>
      <c r="P3033" s="9">
        <v>5.6400000000000002E-5</v>
      </c>
      <c r="Q3033" s="9">
        <v>9.3259999999999998E-5</v>
      </c>
      <c r="R3033" s="10">
        <v>2.1239548649020857E-4</v>
      </c>
      <c r="S3033" s="10">
        <v>1.8941142232628265E-4</v>
      </c>
      <c r="T3033" s="10">
        <v>0</v>
      </c>
      <c r="U3033" s="10">
        <v>1.024E-4</v>
      </c>
      <c r="V3033" s="25"/>
      <c r="W3033" s="25"/>
      <c r="X3033" s="25"/>
      <c r="Y3033" s="25"/>
      <c r="Z3033" s="25"/>
      <c r="AA3033" s="25"/>
    </row>
    <row r="3034" spans="1:27" x14ac:dyDescent="0.35">
      <c r="A3034" s="5">
        <v>3030</v>
      </c>
      <c r="B3034" s="5">
        <v>127</v>
      </c>
      <c r="C3034" s="5">
        <v>5</v>
      </c>
      <c r="D3034" s="25">
        <v>1.1415000000000001E-4</v>
      </c>
      <c r="E3034" s="25">
        <v>1.1592E-4</v>
      </c>
      <c r="F3034" s="25">
        <v>1.1277000000000001E-4</v>
      </c>
      <c r="G3034" s="25">
        <v>1.1064E-4</v>
      </c>
      <c r="H3034" s="25">
        <v>1.3292999999999999E-4</v>
      </c>
      <c r="I3034" s="9">
        <v>9.09E-5</v>
      </c>
      <c r="J3034" s="9">
        <v>8.6520000000000005E-5</v>
      </c>
      <c r="K3034" s="9">
        <v>1.3564E-4</v>
      </c>
      <c r="L3034" s="9">
        <v>1.8369999999999999E-5</v>
      </c>
      <c r="M3034" s="9">
        <v>4.8369999999999999E-5</v>
      </c>
      <c r="N3034" s="9">
        <v>7.08E-5</v>
      </c>
      <c r="O3034" s="9">
        <v>4.6600000000000001E-5</v>
      </c>
      <c r="P3034" s="9">
        <v>7.7119999999999993E-5</v>
      </c>
      <c r="Q3034" s="9">
        <v>1.0739E-4</v>
      </c>
      <c r="R3034" s="10">
        <v>2.1210263052081008E-4</v>
      </c>
      <c r="S3034" s="10">
        <v>1.8421541804232908E-4</v>
      </c>
      <c r="T3034" s="10">
        <v>1.142835122464197E-5</v>
      </c>
      <c r="U3034" s="10">
        <v>1.024E-4</v>
      </c>
      <c r="V3034" s="25"/>
      <c r="W3034" s="25"/>
      <c r="X3034" s="25"/>
      <c r="Y3034" s="25"/>
      <c r="Z3034" s="25"/>
      <c r="AA3034" s="25"/>
    </row>
    <row r="3035" spans="1:27" x14ac:dyDescent="0.35">
      <c r="A3035" s="5">
        <v>3031</v>
      </c>
      <c r="B3035" s="5">
        <v>127</v>
      </c>
      <c r="C3035" s="5">
        <v>5</v>
      </c>
      <c r="D3035" s="25">
        <v>1.1416E-4</v>
      </c>
      <c r="E3035" s="25">
        <v>1.1548E-4</v>
      </c>
      <c r="F3035" s="25">
        <v>1.1011E-4</v>
      </c>
      <c r="G3035" s="25">
        <v>1.115E-4</v>
      </c>
      <c r="H3035" s="25">
        <v>1.3407999999999999E-4</v>
      </c>
      <c r="I3035" s="9">
        <v>9.2839999999999999E-5</v>
      </c>
      <c r="J3035" s="9">
        <v>9.3490000000000001E-5</v>
      </c>
      <c r="K3035" s="9">
        <v>1.2716E-4</v>
      </c>
      <c r="L3035" s="9">
        <v>4.0250000000000003E-5</v>
      </c>
      <c r="M3035" s="9">
        <v>6.0050000000000003E-5</v>
      </c>
      <c r="N3035" s="9">
        <v>8.0630000000000006E-5</v>
      </c>
      <c r="O3035" s="9">
        <v>1.2184999999999999E-4</v>
      </c>
      <c r="P3035" s="9">
        <v>1.1731E-4</v>
      </c>
      <c r="Q3035" s="9">
        <v>1.1237E-4</v>
      </c>
      <c r="R3035" s="10">
        <v>2.1136732912790219E-4</v>
      </c>
      <c r="S3035" s="10">
        <v>1.6912587753532664E-4</v>
      </c>
      <c r="T3035" s="10">
        <v>3.6457034307562393E-5</v>
      </c>
      <c r="U3035" s="10">
        <v>1.024E-4</v>
      </c>
      <c r="V3035" s="25"/>
      <c r="W3035" s="25"/>
      <c r="X3035" s="25"/>
      <c r="Y3035" s="25"/>
      <c r="Z3035" s="25"/>
      <c r="AA3035" s="25"/>
    </row>
    <row r="3036" spans="1:27" x14ac:dyDescent="0.35">
      <c r="A3036" s="5">
        <v>3032</v>
      </c>
      <c r="B3036" s="5">
        <v>127</v>
      </c>
      <c r="C3036" s="5">
        <v>5</v>
      </c>
      <c r="D3036" s="25">
        <v>1.1415000000000001E-4</v>
      </c>
      <c r="E3036" s="25">
        <v>1.1344E-4</v>
      </c>
      <c r="F3036" s="25">
        <v>1.1921000000000001E-4</v>
      </c>
      <c r="G3036" s="25">
        <v>1.5851999999999999E-4</v>
      </c>
      <c r="H3036" s="25">
        <v>1.9971E-4</v>
      </c>
      <c r="I3036" s="9">
        <v>9.4289999999999993E-5</v>
      </c>
      <c r="J3036" s="9">
        <v>1.01E-4</v>
      </c>
      <c r="K3036" s="9">
        <v>1.208E-4</v>
      </c>
      <c r="L3036" s="9">
        <v>1.0329E-4</v>
      </c>
      <c r="M3036" s="9">
        <v>8.3689999999999993E-5</v>
      </c>
      <c r="N3036" s="9">
        <v>9.0760000000000005E-5</v>
      </c>
      <c r="O3036" s="9">
        <v>2.1583999999999999E-4</v>
      </c>
      <c r="P3036" s="9">
        <v>1.7641999999999999E-4</v>
      </c>
      <c r="Q3036" s="9">
        <v>1.3627999999999999E-4</v>
      </c>
      <c r="R3036" s="10">
        <v>2.0895351269806947E-4</v>
      </c>
      <c r="S3036" s="10">
        <v>1.4648990021518397E-4</v>
      </c>
      <c r="T3036" s="10">
        <v>2.556658766171946E-4</v>
      </c>
      <c r="U3036" s="10">
        <v>1.024E-4</v>
      </c>
      <c r="V3036" s="25"/>
      <c r="W3036" s="25"/>
      <c r="X3036" s="25"/>
      <c r="Y3036" s="25"/>
      <c r="Z3036" s="25"/>
      <c r="AA3036" s="25"/>
    </row>
    <row r="3037" spans="1:27" x14ac:dyDescent="0.35">
      <c r="A3037" s="5">
        <v>3033</v>
      </c>
      <c r="B3037" s="5">
        <v>127</v>
      </c>
      <c r="C3037" s="5">
        <v>5</v>
      </c>
      <c r="D3037" s="25">
        <v>1.1416E-4</v>
      </c>
      <c r="E3037" s="25">
        <v>1.087E-4</v>
      </c>
      <c r="F3037" s="25">
        <v>1.1683E-4</v>
      </c>
      <c r="G3037" s="25">
        <v>1.6492000000000001E-4</v>
      </c>
      <c r="H3037" s="25">
        <v>1.9479999999999999E-4</v>
      </c>
      <c r="I3037" s="9">
        <v>9.4079999999999994E-5</v>
      </c>
      <c r="J3037" s="9">
        <v>1.0535999999999999E-4</v>
      </c>
      <c r="K3037" s="9">
        <v>1.1657E-4</v>
      </c>
      <c r="L3037" s="9">
        <v>1.8934999999999999E-4</v>
      </c>
      <c r="M3037" s="9">
        <v>1.2318999999999999E-4</v>
      </c>
      <c r="N3037" s="9">
        <v>1.0446E-4</v>
      </c>
      <c r="O3037" s="9">
        <v>2.1021000000000001E-4</v>
      </c>
      <c r="P3037" s="9">
        <v>1.9484E-4</v>
      </c>
      <c r="Q3037" s="9">
        <v>1.7844000000000001E-4</v>
      </c>
      <c r="R3037" s="10">
        <v>1.9297497752523683E-4</v>
      </c>
      <c r="S3037" s="10">
        <v>1.1934002108756638E-4</v>
      </c>
      <c r="T3037" s="10">
        <v>3.7322432841276927E-4</v>
      </c>
      <c r="U3037" s="10">
        <v>1.024E-4</v>
      </c>
      <c r="V3037" s="25"/>
      <c r="W3037" s="25"/>
      <c r="X3037" s="25"/>
      <c r="Y3037" s="25"/>
      <c r="Z3037" s="25"/>
      <c r="AA3037" s="25"/>
    </row>
    <row r="3038" spans="1:27" x14ac:dyDescent="0.35">
      <c r="A3038" s="5">
        <v>3034</v>
      </c>
      <c r="B3038" s="5">
        <v>127</v>
      </c>
      <c r="C3038" s="5">
        <v>5</v>
      </c>
      <c r="D3038" s="25">
        <v>1.1415000000000001E-4</v>
      </c>
      <c r="E3038" s="25">
        <v>1.1123E-4</v>
      </c>
      <c r="F3038" s="25">
        <v>1.1574E-4</v>
      </c>
      <c r="G3038" s="25">
        <v>1.6168000000000001E-4</v>
      </c>
      <c r="H3038" s="25">
        <v>1.8862999999999999E-4</v>
      </c>
      <c r="I3038" s="9">
        <v>9.1130000000000003E-5</v>
      </c>
      <c r="J3038" s="9">
        <v>1.0894E-4</v>
      </c>
      <c r="K3038" s="9">
        <v>1.1657E-4</v>
      </c>
      <c r="L3038" s="9">
        <v>2.0337E-4</v>
      </c>
      <c r="M3038" s="9">
        <v>1.5898999999999999E-4</v>
      </c>
      <c r="N3038" s="9">
        <v>1.2483000000000001E-4</v>
      </c>
      <c r="O3038" s="9">
        <v>1.6650000000000001E-4</v>
      </c>
      <c r="P3038" s="9">
        <v>1.7558E-4</v>
      </c>
      <c r="Q3038" s="9">
        <v>1.8365999999999999E-4</v>
      </c>
      <c r="R3038" s="10">
        <v>1.6298117092684489E-4</v>
      </c>
      <c r="S3038" s="10">
        <v>9.8880672790026383E-5</v>
      </c>
      <c r="T3038" s="10">
        <v>5.9918667300511499E-4</v>
      </c>
      <c r="U3038" s="10">
        <v>1.024E-4</v>
      </c>
      <c r="V3038" s="25"/>
      <c r="W3038" s="25"/>
      <c r="X3038" s="25"/>
      <c r="Y3038" s="25"/>
      <c r="Z3038" s="25"/>
      <c r="AA3038" s="25"/>
    </row>
    <row r="3039" spans="1:27" x14ac:dyDescent="0.35">
      <c r="A3039" s="5">
        <v>3035</v>
      </c>
      <c r="B3039" s="5">
        <v>127</v>
      </c>
      <c r="C3039" s="5">
        <v>5</v>
      </c>
      <c r="D3039" s="25">
        <v>1.1416E-4</v>
      </c>
      <c r="E3039" s="25">
        <v>1.1011E-4</v>
      </c>
      <c r="F3039" s="25">
        <v>1.0844E-4</v>
      </c>
      <c r="G3039" s="25">
        <v>1.6755000000000001E-4</v>
      </c>
      <c r="H3039" s="25">
        <v>1.8786000000000001E-4</v>
      </c>
      <c r="I3039" s="9">
        <v>8.9729999999999996E-5</v>
      </c>
      <c r="J3039" s="9">
        <v>1.0856E-4</v>
      </c>
      <c r="K3039" s="9">
        <v>1.3987E-4</v>
      </c>
      <c r="L3039" s="9">
        <v>1.7463E-4</v>
      </c>
      <c r="M3039" s="9">
        <v>1.7328999999999999E-4</v>
      </c>
      <c r="N3039" s="9">
        <v>1.4326000000000001E-4</v>
      </c>
      <c r="O3039" s="9">
        <v>1.6631E-4</v>
      </c>
      <c r="P3039" s="9">
        <v>1.7403000000000001E-4</v>
      </c>
      <c r="Q3039" s="9">
        <v>1.8076E-4</v>
      </c>
      <c r="R3039" s="10">
        <v>1.3493930730074119E-4</v>
      </c>
      <c r="S3039" s="10">
        <v>8.4400886653633169E-5</v>
      </c>
      <c r="T3039" s="10">
        <v>6.2318875586666808E-4</v>
      </c>
      <c r="U3039" s="10">
        <v>1.024E-4</v>
      </c>
      <c r="V3039" s="25"/>
      <c r="W3039" s="25"/>
      <c r="X3039" s="25"/>
      <c r="Y3039" s="25"/>
      <c r="Z3039" s="25"/>
      <c r="AA3039" s="25"/>
    </row>
    <row r="3040" spans="1:27" x14ac:dyDescent="0.35">
      <c r="A3040" s="5">
        <v>3036</v>
      </c>
      <c r="B3040" s="5">
        <v>127</v>
      </c>
      <c r="C3040" s="5">
        <v>5</v>
      </c>
      <c r="D3040" s="25">
        <v>1.1415000000000001E-4</v>
      </c>
      <c r="E3040" s="25">
        <v>1.0859E-4</v>
      </c>
      <c r="F3040" s="25">
        <v>1.2223E-4</v>
      </c>
      <c r="G3040" s="25">
        <v>1.641E-4</v>
      </c>
      <c r="H3040" s="25">
        <v>1.9123999999999999E-4</v>
      </c>
      <c r="I3040" s="9">
        <v>8.7470000000000001E-5</v>
      </c>
      <c r="J3040" s="9">
        <v>1.052E-4</v>
      </c>
      <c r="K3040" s="9">
        <v>1.2928000000000001E-4</v>
      </c>
      <c r="L3040" s="9">
        <v>1.6953000000000001E-4</v>
      </c>
      <c r="M3040" s="9">
        <v>1.7602000000000001E-4</v>
      </c>
      <c r="N3040" s="9">
        <v>1.5757999999999999E-4</v>
      </c>
      <c r="O3040" s="9">
        <v>1.6658999999999999E-4</v>
      </c>
      <c r="P3040" s="9">
        <v>1.7017000000000001E-4</v>
      </c>
      <c r="Q3040" s="9">
        <v>1.7281999999999999E-4</v>
      </c>
      <c r="R3040" s="10">
        <v>1.0715619922993932E-4</v>
      </c>
      <c r="S3040" s="10">
        <v>9.7446474977231566E-5</v>
      </c>
      <c r="T3040" s="10">
        <v>6.696657477067489E-4</v>
      </c>
      <c r="U3040" s="10">
        <v>1.024E-4</v>
      </c>
      <c r="V3040" s="25"/>
      <c r="W3040" s="25"/>
      <c r="X3040" s="25"/>
      <c r="Y3040" s="25"/>
      <c r="Z3040" s="25"/>
      <c r="AA3040" s="25"/>
    </row>
    <row r="3041" spans="1:27" x14ac:dyDescent="0.35">
      <c r="A3041" s="5">
        <v>3037</v>
      </c>
      <c r="B3041" s="5">
        <v>127</v>
      </c>
      <c r="C3041" s="5">
        <v>5</v>
      </c>
      <c r="D3041" s="25">
        <v>1.1416E-4</v>
      </c>
      <c r="E3041" s="25">
        <v>1.1054E-4</v>
      </c>
      <c r="F3041" s="25">
        <v>1.2193000000000001E-4</v>
      </c>
      <c r="G3041" s="25">
        <v>1.6370999999999999E-4</v>
      </c>
      <c r="H3041" s="25">
        <v>1.8942000000000001E-4</v>
      </c>
      <c r="I3041" s="9">
        <v>8.5229999999999995E-5</v>
      </c>
      <c r="J3041" s="9">
        <v>1.0514E-4</v>
      </c>
      <c r="K3041" s="9">
        <v>1.0173E-4</v>
      </c>
      <c r="L3041" s="9">
        <v>1.6741E-4</v>
      </c>
      <c r="M3041" s="9">
        <v>1.7411E-4</v>
      </c>
      <c r="N3041" s="9">
        <v>1.6668E-4</v>
      </c>
      <c r="O3041" s="9">
        <v>1.5946999999999999E-4</v>
      </c>
      <c r="P3041" s="9">
        <v>1.6375E-4</v>
      </c>
      <c r="Q3041" s="9">
        <v>1.6714E-4</v>
      </c>
      <c r="R3041" s="10">
        <v>1.0225067838340416E-4</v>
      </c>
      <c r="S3041" s="10">
        <v>1.1768980534883777E-4</v>
      </c>
      <c r="T3041" s="10">
        <v>3.2191128594310738E-4</v>
      </c>
      <c r="U3041" s="10">
        <v>1.024E-4</v>
      </c>
      <c r="V3041" s="25"/>
      <c r="W3041" s="25"/>
      <c r="X3041" s="25"/>
      <c r="Y3041" s="25"/>
      <c r="Z3041" s="25"/>
      <c r="AA3041" s="25"/>
    </row>
    <row r="3042" spans="1:27" x14ac:dyDescent="0.35">
      <c r="A3042" s="5">
        <v>3038</v>
      </c>
      <c r="B3042" s="5">
        <v>127</v>
      </c>
      <c r="C3042" s="5">
        <v>5</v>
      </c>
      <c r="D3042" s="25">
        <v>1.1415000000000001E-4</v>
      </c>
      <c r="E3042" s="25">
        <v>1.1393E-4</v>
      </c>
      <c r="F3042" s="25">
        <v>1.0338E-4</v>
      </c>
      <c r="G3042" s="25">
        <v>1.5642E-4</v>
      </c>
      <c r="H3042" s="25">
        <v>1.9558999999999999E-4</v>
      </c>
      <c r="I3042" s="9">
        <v>8.3759999999999998E-5</v>
      </c>
      <c r="J3042" s="9">
        <v>1.0482E-4</v>
      </c>
      <c r="K3042" s="9">
        <v>1.0596E-4</v>
      </c>
      <c r="L3042" s="9">
        <v>1.6102E-4</v>
      </c>
      <c r="M3042" s="9">
        <v>1.6982999999999999E-4</v>
      </c>
      <c r="N3042" s="9">
        <v>1.7082999999999999E-4</v>
      </c>
      <c r="O3042" s="9">
        <v>1.7430000000000001E-4</v>
      </c>
      <c r="P3042" s="9">
        <v>1.6719E-4</v>
      </c>
      <c r="Q3042" s="9">
        <v>1.5924999999999999E-4</v>
      </c>
      <c r="R3042" s="10">
        <v>1.0709946487020559E-4</v>
      </c>
      <c r="S3042" s="10">
        <v>1.164306251082186E-4</v>
      </c>
      <c r="T3042" s="10">
        <v>2.6799356357295166E-4</v>
      </c>
      <c r="U3042" s="10">
        <v>1.024E-4</v>
      </c>
      <c r="V3042" s="25"/>
      <c r="W3042" s="25"/>
      <c r="X3042" s="25"/>
      <c r="Y3042" s="25"/>
      <c r="Z3042" s="25"/>
      <c r="AA3042" s="25"/>
    </row>
    <row r="3043" spans="1:27" x14ac:dyDescent="0.35">
      <c r="A3043" s="5">
        <v>3039</v>
      </c>
      <c r="B3043" s="5">
        <v>127</v>
      </c>
      <c r="C3043" s="5">
        <v>5</v>
      </c>
      <c r="D3043" s="25">
        <v>1.1416E-4</v>
      </c>
      <c r="E3043" s="25">
        <v>1.1463000000000001E-4</v>
      </c>
      <c r="F3043" s="25">
        <v>1.087E-4</v>
      </c>
      <c r="G3043" s="25">
        <v>1.5860000000000001E-4</v>
      </c>
      <c r="H3043" s="25">
        <v>1.9437E-4</v>
      </c>
      <c r="I3043" s="9">
        <v>8.4610000000000005E-5</v>
      </c>
      <c r="J3043" s="9">
        <v>1.0542E-4</v>
      </c>
      <c r="K3043" s="9">
        <v>1.0385E-4</v>
      </c>
      <c r="L3043" s="9">
        <v>1.7153000000000001E-4</v>
      </c>
      <c r="M3043" s="9">
        <v>1.6770000000000001E-4</v>
      </c>
      <c r="N3043" s="9">
        <v>1.6985000000000001E-4</v>
      </c>
      <c r="O3043" s="9">
        <v>1.8079000000000001E-4</v>
      </c>
      <c r="P3043" s="9">
        <v>1.6691000000000001E-4</v>
      </c>
      <c r="Q3043" s="9">
        <v>1.5223999999999999E-4</v>
      </c>
      <c r="R3043" s="10">
        <v>1.0677525173266306E-4</v>
      </c>
      <c r="S3043" s="10">
        <v>1.1727595955716597E-4</v>
      </c>
      <c r="T3043" s="10">
        <v>6.9647613365319926E-5</v>
      </c>
      <c r="U3043" s="10">
        <v>1.024E-4</v>
      </c>
      <c r="V3043" s="25"/>
      <c r="W3043" s="25"/>
      <c r="X3043" s="25"/>
      <c r="Y3043" s="25"/>
      <c r="Z3043" s="25"/>
      <c r="AA3043" s="25"/>
    </row>
    <row r="3044" spans="1:27" x14ac:dyDescent="0.35">
      <c r="A3044" s="5">
        <v>3040</v>
      </c>
      <c r="B3044" s="5">
        <v>127</v>
      </c>
      <c r="C3044" s="5">
        <v>5</v>
      </c>
      <c r="D3044" s="25">
        <v>1.1415000000000001E-4</v>
      </c>
      <c r="E3044" s="25">
        <v>1.1143E-4</v>
      </c>
      <c r="F3044" s="25">
        <v>1.0927E-4</v>
      </c>
      <c r="G3044" s="25">
        <v>1.5712000000000001E-4</v>
      </c>
      <c r="H3044" s="25">
        <v>1.9442E-4</v>
      </c>
      <c r="I3044" s="9">
        <v>8.7379999999999993E-5</v>
      </c>
      <c r="J3044" s="9">
        <v>1.0716E-4</v>
      </c>
      <c r="K3044" s="9">
        <v>9.9610000000000003E-5</v>
      </c>
      <c r="L3044" s="9">
        <v>1.7846E-4</v>
      </c>
      <c r="M3044" s="9">
        <v>1.6695999999999999E-4</v>
      </c>
      <c r="N3044" s="9">
        <v>1.6577000000000001E-4</v>
      </c>
      <c r="O3044" s="9">
        <v>1.9560000000000001E-4</v>
      </c>
      <c r="P3044" s="9">
        <v>1.5317999999999999E-4</v>
      </c>
      <c r="Q3044" s="9">
        <v>1.1027999999999999E-4</v>
      </c>
      <c r="R3044" s="10">
        <v>9.3839537095260554E-5</v>
      </c>
      <c r="S3044" s="10">
        <v>1.0236609385110426E-4</v>
      </c>
      <c r="T3044" s="10">
        <v>2.5358722327640967E-4</v>
      </c>
      <c r="U3044" s="10">
        <v>1.024E-4</v>
      </c>
      <c r="V3044" s="25"/>
      <c r="W3044" s="25"/>
      <c r="X3044" s="25"/>
      <c r="Y3044" s="25"/>
      <c r="Z3044" s="25"/>
      <c r="AA3044" s="25"/>
    </row>
    <row r="3045" spans="1:27" x14ac:dyDescent="0.35">
      <c r="A3045" s="5">
        <v>3041</v>
      </c>
      <c r="B3045" s="5">
        <v>127</v>
      </c>
      <c r="C3045" s="5">
        <v>5</v>
      </c>
      <c r="D3045" s="25">
        <v>1.1416E-4</v>
      </c>
      <c r="E3045" s="25">
        <v>1.0739E-4</v>
      </c>
      <c r="F3045" s="25">
        <v>1.1555E-4</v>
      </c>
      <c r="G3045" s="25">
        <v>1.5773999999999999E-4</v>
      </c>
      <c r="H3045" s="25">
        <v>1.9521E-4</v>
      </c>
      <c r="I3045" s="9">
        <v>9.2540000000000005E-5</v>
      </c>
      <c r="J3045" s="9">
        <v>1.088E-4</v>
      </c>
      <c r="K3045" s="9">
        <v>1.1868E-4</v>
      </c>
      <c r="L3045" s="9">
        <v>1.9159E-4</v>
      </c>
      <c r="M3045" s="9">
        <v>1.6194000000000001E-4</v>
      </c>
      <c r="N3045" s="9">
        <v>1.5211000000000001E-4</v>
      </c>
      <c r="O3045" s="9">
        <v>2.1236000000000001E-4</v>
      </c>
      <c r="P3045" s="9">
        <v>1.6034999999999999E-4</v>
      </c>
      <c r="Q3045" s="9">
        <v>1.0785000000000001E-4</v>
      </c>
      <c r="R3045" s="10">
        <v>7.3044062469932006E-5</v>
      </c>
      <c r="S3045" s="10">
        <v>8.7911136240084893E-5</v>
      </c>
      <c r="T3045" s="10">
        <v>5.6132124500542888E-5</v>
      </c>
      <c r="U3045" s="10">
        <v>1.024E-4</v>
      </c>
      <c r="V3045" s="25"/>
      <c r="W3045" s="25"/>
      <c r="X3045" s="25"/>
      <c r="Y3045" s="25"/>
      <c r="Z3045" s="25"/>
      <c r="AA3045" s="25"/>
    </row>
    <row r="3046" spans="1:27" x14ac:dyDescent="0.35">
      <c r="A3046" s="5">
        <v>3042</v>
      </c>
      <c r="B3046" s="5">
        <v>127</v>
      </c>
      <c r="C3046" s="5">
        <v>5</v>
      </c>
      <c r="D3046" s="25">
        <v>1.1415000000000001E-4</v>
      </c>
      <c r="E3046" s="25">
        <v>1.1375E-4</v>
      </c>
      <c r="F3046" s="25">
        <v>1.1762E-4</v>
      </c>
      <c r="G3046" s="25">
        <v>1.6055E-4</v>
      </c>
      <c r="H3046" s="25">
        <v>1.9477000000000001E-4</v>
      </c>
      <c r="I3046" s="9">
        <v>9.7280000000000004E-5</v>
      </c>
      <c r="J3046" s="9">
        <v>1.0802999999999999E-4</v>
      </c>
      <c r="K3046" s="9">
        <v>1.314E-4</v>
      </c>
      <c r="L3046" s="9">
        <v>2.0751E-4</v>
      </c>
      <c r="M3046" s="9">
        <v>1.5998E-4</v>
      </c>
      <c r="N3046" s="9">
        <v>1.3898E-4</v>
      </c>
      <c r="O3046" s="9">
        <v>2.018E-4</v>
      </c>
      <c r="P3046" s="9">
        <v>1.5979000000000001E-4</v>
      </c>
      <c r="Q3046" s="9">
        <v>1.1724E-4</v>
      </c>
      <c r="R3046" s="10">
        <v>4.6649812036927704E-5</v>
      </c>
      <c r="S3046" s="10">
        <v>6.6792557139856311E-5</v>
      </c>
      <c r="T3046" s="10">
        <v>4.2540276941614582E-5</v>
      </c>
      <c r="U3046" s="10">
        <v>1.024E-4</v>
      </c>
      <c r="V3046" s="25"/>
      <c r="W3046" s="25"/>
      <c r="X3046" s="25"/>
      <c r="Y3046" s="25"/>
      <c r="Z3046" s="25"/>
      <c r="AA3046" s="25"/>
    </row>
    <row r="3047" spans="1:27" x14ac:dyDescent="0.35">
      <c r="A3047" s="5">
        <v>3043</v>
      </c>
      <c r="B3047" s="5">
        <v>127</v>
      </c>
      <c r="C3047" s="5">
        <v>5</v>
      </c>
      <c r="D3047" s="25">
        <v>1.1416E-4</v>
      </c>
      <c r="E3047" s="25">
        <v>1.1341E-4</v>
      </c>
      <c r="F3047" s="25">
        <v>1.1136E-4</v>
      </c>
      <c r="G3047" s="25">
        <v>1.0713999999999999E-4</v>
      </c>
      <c r="H3047" s="25">
        <v>1.3535000000000001E-4</v>
      </c>
      <c r="I3047" s="9">
        <v>9.9610000000000003E-5</v>
      </c>
      <c r="J3047" s="9">
        <v>1.0634E-4</v>
      </c>
      <c r="K3047" s="9">
        <v>1.6318999999999999E-4</v>
      </c>
      <c r="L3047" s="9">
        <v>2.0265999999999999E-4</v>
      </c>
      <c r="M3047" s="9">
        <v>1.5955E-4</v>
      </c>
      <c r="N3047" s="9">
        <v>1.2988E-4</v>
      </c>
      <c r="O3047" s="9">
        <v>1.6264E-4</v>
      </c>
      <c r="P3047" s="9">
        <v>1.3516E-4</v>
      </c>
      <c r="Q3047" s="9">
        <v>1.0728E-4</v>
      </c>
      <c r="R3047" s="10">
        <v>2.6739870286332213E-5</v>
      </c>
      <c r="S3047" s="10">
        <v>4.7223106865906252E-5</v>
      </c>
      <c r="T3047" s="10">
        <v>2.6148610597139237E-5</v>
      </c>
      <c r="U3047" s="10">
        <v>1.024E-4</v>
      </c>
      <c r="V3047" s="25"/>
      <c r="W3047" s="25"/>
      <c r="X3047" s="25"/>
      <c r="Y3047" s="25"/>
      <c r="Z3047" s="25"/>
      <c r="AA3047" s="25"/>
    </row>
    <row r="3048" spans="1:27" x14ac:dyDescent="0.35">
      <c r="A3048" s="5">
        <v>3044</v>
      </c>
      <c r="B3048" s="5">
        <v>127</v>
      </c>
      <c r="C3048" s="5">
        <v>5</v>
      </c>
      <c r="D3048" s="25">
        <v>1.1415000000000001E-4</v>
      </c>
      <c r="E3048" s="25">
        <v>1.1292E-4</v>
      </c>
      <c r="F3048" s="25">
        <v>1.0674E-4</v>
      </c>
      <c r="G3048" s="25">
        <v>1.0668E-4</v>
      </c>
      <c r="H3048" s="25">
        <v>1.3813000000000001E-4</v>
      </c>
      <c r="I3048" s="9">
        <v>1.0232E-4</v>
      </c>
      <c r="J3048" s="9">
        <v>1.0425E-4</v>
      </c>
      <c r="K3048" s="9">
        <v>1.8227E-4</v>
      </c>
      <c r="L3048" s="9">
        <v>1.7165999999999999E-4</v>
      </c>
      <c r="M3048" s="9">
        <v>1.5079000000000001E-4</v>
      </c>
      <c r="N3048" s="9">
        <v>1.2093E-4</v>
      </c>
      <c r="O3048" s="9">
        <v>1.2810999999999999E-4</v>
      </c>
      <c r="P3048" s="9">
        <v>1.154E-4</v>
      </c>
      <c r="Q3048" s="9">
        <v>1.0237E-4</v>
      </c>
      <c r="R3048" s="10">
        <v>8.0141294410323402E-6</v>
      </c>
      <c r="S3048" s="10">
        <v>3.4771276797336946E-5</v>
      </c>
      <c r="T3048" s="10">
        <v>0</v>
      </c>
      <c r="U3048" s="10">
        <v>1.024E-4</v>
      </c>
      <c r="V3048" s="25"/>
      <c r="W3048" s="25"/>
      <c r="X3048" s="25"/>
      <c r="Y3048" s="25"/>
      <c r="Z3048" s="25"/>
      <c r="AA3048" s="25"/>
    </row>
    <row r="3049" spans="1:27" x14ac:dyDescent="0.35">
      <c r="A3049" s="5">
        <v>3045</v>
      </c>
      <c r="B3049" s="5">
        <v>127</v>
      </c>
      <c r="C3049" s="5">
        <v>5</v>
      </c>
      <c r="D3049" s="25">
        <v>1.1416E-4</v>
      </c>
      <c r="E3049" s="25">
        <v>1.1381E-4</v>
      </c>
      <c r="F3049" s="25">
        <v>1.1650999999999999E-4</v>
      </c>
      <c r="G3049" s="25">
        <v>5.4039999999999998E-5</v>
      </c>
      <c r="H3049" s="25">
        <v>6.9159999999999995E-5</v>
      </c>
      <c r="I3049" s="9">
        <v>1.0474E-4</v>
      </c>
      <c r="J3049" s="9">
        <v>1.0452E-4</v>
      </c>
      <c r="K3049" s="9">
        <v>1.8861999999999999E-4</v>
      </c>
      <c r="L3049" s="9">
        <v>1.3866E-4</v>
      </c>
      <c r="M3049" s="9">
        <v>1.3559999999999999E-4</v>
      </c>
      <c r="N3049" s="9">
        <v>1.1340000000000001E-4</v>
      </c>
      <c r="O3049" s="9">
        <v>8.3540000000000003E-5</v>
      </c>
      <c r="P3049" s="9">
        <v>8.5680000000000006E-5</v>
      </c>
      <c r="Q3049" s="9">
        <v>8.7659999999999998E-5</v>
      </c>
      <c r="R3049" s="10">
        <v>1.5258309654207001E-6</v>
      </c>
      <c r="S3049" s="10">
        <v>2.6672323178028245E-5</v>
      </c>
      <c r="T3049" s="10">
        <v>0</v>
      </c>
      <c r="U3049" s="10">
        <v>1.024E-4</v>
      </c>
      <c r="V3049" s="25"/>
      <c r="W3049" s="25"/>
      <c r="X3049" s="25"/>
      <c r="Y3049" s="25"/>
      <c r="Z3049" s="25"/>
      <c r="AA3049" s="25"/>
    </row>
    <row r="3050" spans="1:27" x14ac:dyDescent="0.35">
      <c r="A3050" s="5">
        <v>3046</v>
      </c>
      <c r="B3050" s="5">
        <v>127</v>
      </c>
      <c r="C3050" s="5">
        <v>5</v>
      </c>
      <c r="D3050" s="25">
        <v>1.1415000000000001E-4</v>
      </c>
      <c r="E3050" s="25">
        <v>1.1087E-4</v>
      </c>
      <c r="F3050" s="25">
        <v>1.01E-4</v>
      </c>
      <c r="G3050" s="25">
        <v>6.1589999999999998E-5</v>
      </c>
      <c r="H3050" s="25">
        <v>7.3969999999999998E-5</v>
      </c>
      <c r="I3050" s="9">
        <v>1.0747999999999999E-4</v>
      </c>
      <c r="J3050" s="9">
        <v>1.0195E-4</v>
      </c>
      <c r="K3050" s="9">
        <v>1.9285999999999999E-4</v>
      </c>
      <c r="L3050" s="9">
        <v>9.6550000000000002E-5</v>
      </c>
      <c r="M3050" s="9">
        <v>1.1373E-4</v>
      </c>
      <c r="N3050" s="9">
        <v>1.0564E-4</v>
      </c>
      <c r="O3050" s="9">
        <v>8.6459999999999996E-5</v>
      </c>
      <c r="P3050" s="9">
        <v>8.7260000000000001E-5</v>
      </c>
      <c r="Q3050" s="9">
        <v>8.7910000000000004E-5</v>
      </c>
      <c r="R3050" s="10">
        <v>4.6740689377371053E-7</v>
      </c>
      <c r="S3050" s="10">
        <v>2.2712899487413317E-5</v>
      </c>
      <c r="T3050" s="10">
        <v>0</v>
      </c>
      <c r="U3050" s="10">
        <v>1.024E-4</v>
      </c>
      <c r="V3050" s="25"/>
      <c r="W3050" s="25"/>
      <c r="X3050" s="25"/>
      <c r="Y3050" s="25"/>
      <c r="Z3050" s="25"/>
      <c r="AA3050" s="25"/>
    </row>
    <row r="3051" spans="1:27" x14ac:dyDescent="0.35">
      <c r="A3051" s="5">
        <v>3047</v>
      </c>
      <c r="B3051" s="5">
        <v>127</v>
      </c>
      <c r="C3051" s="5">
        <v>5</v>
      </c>
      <c r="D3051" s="25">
        <v>1.1416E-4</v>
      </c>
      <c r="E3051" s="25">
        <v>1.1297E-4</v>
      </c>
      <c r="F3051" s="25">
        <v>1.0739999999999999E-4</v>
      </c>
      <c r="G3051" s="25">
        <v>5.4339999999999998E-5</v>
      </c>
      <c r="H3051" s="25">
        <v>7.6190000000000001E-5</v>
      </c>
      <c r="I3051" s="9">
        <v>1.0389E-4</v>
      </c>
      <c r="J3051" s="9">
        <v>9.7079999999999999E-5</v>
      </c>
      <c r="K3051" s="9">
        <v>1.9498000000000001E-4</v>
      </c>
      <c r="L3051" s="9">
        <v>8.9629999999999994E-5</v>
      </c>
      <c r="M3051" s="9">
        <v>9.8830000000000001E-5</v>
      </c>
      <c r="N3051" s="9">
        <v>9.9740000000000004E-5</v>
      </c>
      <c r="O3051" s="9">
        <v>7.729E-5</v>
      </c>
      <c r="P3051" s="9">
        <v>7.203E-5</v>
      </c>
      <c r="Q3051" s="9">
        <v>6.6790000000000003E-5</v>
      </c>
      <c r="R3051" s="10">
        <v>1.7381480362577262E-6</v>
      </c>
      <c r="S3051" s="10">
        <v>2.2425732319712998E-5</v>
      </c>
      <c r="T3051" s="10">
        <v>0</v>
      </c>
      <c r="U3051" s="10">
        <v>1.024E-4</v>
      </c>
      <c r="V3051" s="25"/>
      <c r="W3051" s="25"/>
      <c r="X3051" s="25"/>
      <c r="Y3051" s="25"/>
      <c r="Z3051" s="25"/>
      <c r="AA3051" s="25"/>
    </row>
    <row r="3052" spans="1:27" x14ac:dyDescent="0.35">
      <c r="A3052" s="5">
        <v>3048</v>
      </c>
      <c r="B3052" s="5">
        <v>127</v>
      </c>
      <c r="C3052" s="5">
        <v>5</v>
      </c>
      <c r="D3052" s="25">
        <v>1.1415000000000001E-4</v>
      </c>
      <c r="E3052" s="25">
        <v>1.0556E-4</v>
      </c>
      <c r="F3052" s="25">
        <v>1.0097E-4</v>
      </c>
      <c r="G3052" s="25">
        <v>5.961E-5</v>
      </c>
      <c r="H3052" s="25">
        <v>7.5840000000000006E-5</v>
      </c>
      <c r="I3052" s="9">
        <v>9.5680000000000005E-5</v>
      </c>
      <c r="J3052" s="9">
        <v>9.6329999999999994E-5</v>
      </c>
      <c r="K3052" s="9">
        <v>2.0345000000000001E-4</v>
      </c>
      <c r="L3052" s="9">
        <v>8.0000000000000007E-5</v>
      </c>
      <c r="M3052" s="9">
        <v>8.5890000000000006E-5</v>
      </c>
      <c r="N3052" s="9">
        <v>9.0439999999999995E-5</v>
      </c>
      <c r="O3052" s="9">
        <v>6.2529999999999999E-5</v>
      </c>
      <c r="P3052" s="9">
        <v>6.0609999999999997E-5</v>
      </c>
      <c r="Q3052" s="9">
        <v>5.8799999999999999E-5</v>
      </c>
      <c r="R3052" s="10">
        <v>5.2936506855373513E-6</v>
      </c>
      <c r="S3052" s="10">
        <v>2.1705722473945852E-5</v>
      </c>
      <c r="T3052" s="10">
        <v>0</v>
      </c>
      <c r="U3052" s="10">
        <v>1.024E-4</v>
      </c>
      <c r="V3052" s="25"/>
      <c r="W3052" s="25"/>
      <c r="X3052" s="25"/>
      <c r="Y3052" s="25"/>
      <c r="Z3052" s="25"/>
      <c r="AA3052" s="25"/>
    </row>
    <row r="3053" spans="1:27" x14ac:dyDescent="0.35">
      <c r="A3053" s="5">
        <v>3049</v>
      </c>
      <c r="B3053" s="5">
        <v>128</v>
      </c>
      <c r="C3053" s="5">
        <v>5</v>
      </c>
      <c r="D3053" s="25">
        <v>1.1416E-4</v>
      </c>
      <c r="E3053" s="25">
        <v>1.131E-4</v>
      </c>
      <c r="F3053" s="25">
        <v>1.2402E-4</v>
      </c>
      <c r="G3053" s="25">
        <v>5.791E-5</v>
      </c>
      <c r="H3053" s="25">
        <v>7.3949999999999995E-5</v>
      </c>
      <c r="I3053" s="9">
        <v>9.0179999999999994E-5</v>
      </c>
      <c r="J3053" s="9">
        <v>9.0970000000000005E-5</v>
      </c>
      <c r="K3053" s="9">
        <v>1.9498000000000001E-4</v>
      </c>
      <c r="L3053" s="9">
        <v>6.6359999999999995E-5</v>
      </c>
      <c r="M3053" s="9">
        <v>7.3839999999999998E-5</v>
      </c>
      <c r="N3053" s="9">
        <v>8.1009999999999999E-5</v>
      </c>
      <c r="O3053" s="9">
        <v>5.4629999999999997E-5</v>
      </c>
      <c r="P3053" s="9">
        <v>5.4039999999999998E-5</v>
      </c>
      <c r="Q3053" s="9">
        <v>5.3619999999999998E-5</v>
      </c>
      <c r="R3053" s="10">
        <v>1.0657530991412652E-5</v>
      </c>
      <c r="S3053" s="10">
        <v>1.6808222317635285E-5</v>
      </c>
      <c r="T3053" s="10">
        <v>0</v>
      </c>
      <c r="U3053" s="10">
        <v>1.0049E-4</v>
      </c>
      <c r="V3053" s="25"/>
      <c r="W3053" s="25"/>
      <c r="X3053" s="25"/>
      <c r="Y3053" s="25"/>
      <c r="Z3053" s="25"/>
      <c r="AA3053" s="25"/>
    </row>
    <row r="3054" spans="1:27" x14ac:dyDescent="0.35">
      <c r="A3054" s="5">
        <v>3050</v>
      </c>
      <c r="B3054" s="5">
        <v>128</v>
      </c>
      <c r="C3054" s="5">
        <v>5</v>
      </c>
      <c r="D3054" s="25">
        <v>1.1415000000000001E-4</v>
      </c>
      <c r="E3054" s="25">
        <v>1.166E-4</v>
      </c>
      <c r="F3054" s="25">
        <v>1.1205E-4</v>
      </c>
      <c r="G3054" s="25">
        <v>5.3310000000000003E-5</v>
      </c>
      <c r="H3054" s="25">
        <v>6.8979999999999993E-5</v>
      </c>
      <c r="I3054" s="9">
        <v>8.5989999999999995E-5</v>
      </c>
      <c r="J3054" s="9">
        <v>8.7670000000000006E-5</v>
      </c>
      <c r="K3054" s="9">
        <v>2.2677E-4</v>
      </c>
      <c r="L3054" s="9">
        <v>5.7580000000000001E-5</v>
      </c>
      <c r="M3054" s="9">
        <v>6.3849999999999993E-5</v>
      </c>
      <c r="N3054" s="9">
        <v>7.1950000000000001E-5</v>
      </c>
      <c r="O3054" s="9">
        <v>1.9400000000000001E-5</v>
      </c>
      <c r="P3054" s="9">
        <v>3.7549999999999998E-5</v>
      </c>
      <c r="Q3054" s="9">
        <v>5.588E-5</v>
      </c>
      <c r="R3054" s="10">
        <v>1.9254965733356808E-5</v>
      </c>
      <c r="S3054" s="10">
        <v>1.1707498870979055E-5</v>
      </c>
      <c r="T3054" s="10">
        <v>0</v>
      </c>
      <c r="U3054" s="10">
        <v>1.0049E-4</v>
      </c>
      <c r="V3054" s="25"/>
      <c r="W3054" s="25"/>
      <c r="X3054" s="25"/>
      <c r="Y3054" s="25"/>
      <c r="Z3054" s="25"/>
      <c r="AA3054" s="25"/>
    </row>
    <row r="3055" spans="1:27" x14ac:dyDescent="0.35">
      <c r="A3055" s="5">
        <v>3051</v>
      </c>
      <c r="B3055" s="5">
        <v>128</v>
      </c>
      <c r="C3055" s="5">
        <v>5</v>
      </c>
      <c r="D3055" s="25">
        <v>1.1416E-4</v>
      </c>
      <c r="E3055" s="25">
        <v>1.1504E-4</v>
      </c>
      <c r="F3055" s="25">
        <v>1.1957E-4</v>
      </c>
      <c r="G3055" s="25">
        <v>5.702E-5</v>
      </c>
      <c r="H3055" s="25">
        <v>6.3189999999999996E-5</v>
      </c>
      <c r="I3055" s="9">
        <v>8.4699999999999999E-5</v>
      </c>
      <c r="J3055" s="9">
        <v>8.6020000000000007E-5</v>
      </c>
      <c r="K3055" s="9">
        <v>2.2041000000000001E-4</v>
      </c>
      <c r="L3055" s="9">
        <v>2.8E-5</v>
      </c>
      <c r="M3055" s="9">
        <v>5.2110000000000001E-5</v>
      </c>
      <c r="N3055" s="9">
        <v>6.5370000000000006E-5</v>
      </c>
      <c r="O3055" s="9">
        <v>1.418E-5</v>
      </c>
      <c r="P3055" s="9">
        <v>3.79E-5</v>
      </c>
      <c r="Q3055" s="9">
        <v>6.1779999999999995E-5</v>
      </c>
      <c r="R3055" s="10">
        <v>2.7080324213542689E-5</v>
      </c>
      <c r="S3055" s="10">
        <v>8.096180329664758E-6</v>
      </c>
      <c r="T3055" s="10">
        <v>0</v>
      </c>
      <c r="U3055" s="10">
        <v>1.0049E-4</v>
      </c>
      <c r="V3055" s="25"/>
      <c r="W3055" s="25"/>
      <c r="X3055" s="25"/>
      <c r="Y3055" s="25"/>
      <c r="Z3055" s="25"/>
      <c r="AA3055" s="25"/>
    </row>
    <row r="3056" spans="1:27" x14ac:dyDescent="0.35">
      <c r="A3056" s="5">
        <v>3052</v>
      </c>
      <c r="B3056" s="5">
        <v>128</v>
      </c>
      <c r="C3056" s="5">
        <v>5</v>
      </c>
      <c r="D3056" s="25">
        <v>1.1415000000000001E-4</v>
      </c>
      <c r="E3056" s="25">
        <v>1.1148E-4</v>
      </c>
      <c r="F3056" s="25">
        <v>1.2268000000000001E-4</v>
      </c>
      <c r="G3056" s="25">
        <v>5.7679999999999997E-5</v>
      </c>
      <c r="H3056" s="25">
        <v>7.1110000000000002E-5</v>
      </c>
      <c r="I3056" s="9">
        <v>8.4309999999999997E-5</v>
      </c>
      <c r="J3056" s="9">
        <v>8.5179999999999994E-5</v>
      </c>
      <c r="K3056" s="9">
        <v>2.3101E-4</v>
      </c>
      <c r="L3056" s="9">
        <v>1.7949999999999999E-5</v>
      </c>
      <c r="M3056" s="9">
        <v>4.4190000000000002E-5</v>
      </c>
      <c r="N3056" s="9">
        <v>6.1870000000000002E-5</v>
      </c>
      <c r="O3056" s="9">
        <v>1.4049999999999999E-5</v>
      </c>
      <c r="P3056" s="9">
        <v>4.6959999999999998E-5</v>
      </c>
      <c r="Q3056" s="9">
        <v>7.9870000000000006E-5</v>
      </c>
      <c r="R3056" s="10">
        <v>3.2926887230889082E-5</v>
      </c>
      <c r="S3056" s="10">
        <v>6.0687292406891488E-6</v>
      </c>
      <c r="T3056" s="10">
        <v>0</v>
      </c>
      <c r="U3056" s="10">
        <v>1.0049E-4</v>
      </c>
      <c r="V3056" s="25"/>
      <c r="W3056" s="25"/>
      <c r="X3056" s="25"/>
      <c r="Y3056" s="25"/>
      <c r="Z3056" s="25"/>
      <c r="AA3056" s="25"/>
    </row>
    <row r="3057" spans="1:27" x14ac:dyDescent="0.35">
      <c r="A3057" s="5">
        <v>3053</v>
      </c>
      <c r="B3057" s="5">
        <v>128</v>
      </c>
      <c r="C3057" s="5">
        <v>5</v>
      </c>
      <c r="D3057" s="25">
        <v>1.1416E-4</v>
      </c>
      <c r="E3057" s="25">
        <v>1.1400000000000001E-4</v>
      </c>
      <c r="F3057" s="25">
        <v>1.1543E-4</v>
      </c>
      <c r="G3057" s="25">
        <v>5.9939999999999999E-5</v>
      </c>
      <c r="H3057" s="25">
        <v>6.7719999999999995E-5</v>
      </c>
      <c r="I3057" s="9">
        <v>8.4010000000000004E-5</v>
      </c>
      <c r="J3057" s="9">
        <v>8.4850000000000002E-5</v>
      </c>
      <c r="K3057" s="9">
        <v>1.8650000000000001E-4</v>
      </c>
      <c r="L3057" s="9">
        <v>1.5150000000000001E-5</v>
      </c>
      <c r="M3057" s="9">
        <v>4.3409999999999999E-5</v>
      </c>
      <c r="N3057" s="9">
        <v>6.4319999999999994E-5</v>
      </c>
      <c r="O3057" s="9">
        <v>1.9409999999999999E-5</v>
      </c>
      <c r="P3057" s="9">
        <v>5.6339999999999999E-5</v>
      </c>
      <c r="Q3057" s="9">
        <v>9.3170000000000004E-5</v>
      </c>
      <c r="R3057" s="10">
        <v>3.5183072510303946E-5</v>
      </c>
      <c r="S3057" s="10">
        <v>6.5802927134836707E-6</v>
      </c>
      <c r="T3057" s="10">
        <v>0</v>
      </c>
      <c r="U3057" s="10">
        <v>1.0049E-4</v>
      </c>
      <c r="V3057" s="25"/>
      <c r="W3057" s="25"/>
      <c r="X3057" s="25"/>
      <c r="Y3057" s="25"/>
      <c r="Z3057" s="25"/>
      <c r="AA3057" s="25"/>
    </row>
    <row r="3058" spans="1:27" x14ac:dyDescent="0.35">
      <c r="A3058" s="5">
        <v>3054</v>
      </c>
      <c r="B3058" s="5">
        <v>128</v>
      </c>
      <c r="C3058" s="5">
        <v>5</v>
      </c>
      <c r="D3058" s="25">
        <v>1.1415000000000001E-4</v>
      </c>
      <c r="E3058" s="25">
        <v>1.1040999999999999E-4</v>
      </c>
      <c r="F3058" s="25">
        <v>1.3118E-4</v>
      </c>
      <c r="G3058" s="25">
        <v>1.0636E-4</v>
      </c>
      <c r="H3058" s="25">
        <v>1.2863999999999999E-4</v>
      </c>
      <c r="I3058" s="9">
        <v>8.454E-5</v>
      </c>
      <c r="J3058" s="9">
        <v>8.5110000000000003E-5</v>
      </c>
      <c r="K3058" s="9">
        <v>1.6742999999999999E-4</v>
      </c>
      <c r="L3058" s="9">
        <v>1.8340000000000001E-5</v>
      </c>
      <c r="M3058" s="9">
        <v>4.8210000000000001E-5</v>
      </c>
      <c r="N3058" s="9">
        <v>7.0790000000000005E-5</v>
      </c>
      <c r="O3058" s="9">
        <v>4.6820000000000002E-5</v>
      </c>
      <c r="P3058" s="9">
        <v>7.75E-5</v>
      </c>
      <c r="Q3058" s="9">
        <v>1.0791E-4</v>
      </c>
      <c r="R3058" s="10">
        <v>3.1747815125670662E-5</v>
      </c>
      <c r="S3058" s="10">
        <v>9.1666613315179347E-6</v>
      </c>
      <c r="T3058" s="10">
        <v>2.8744806198282847E-5</v>
      </c>
      <c r="U3058" s="10">
        <v>1.0049E-4</v>
      </c>
      <c r="V3058" s="25"/>
      <c r="W3058" s="25"/>
      <c r="X3058" s="25"/>
      <c r="Y3058" s="25"/>
      <c r="Z3058" s="25"/>
      <c r="AA3058" s="25"/>
    </row>
    <row r="3059" spans="1:27" x14ac:dyDescent="0.35">
      <c r="A3059" s="5">
        <v>3055</v>
      </c>
      <c r="B3059" s="5">
        <v>128</v>
      </c>
      <c r="C3059" s="5">
        <v>5</v>
      </c>
      <c r="D3059" s="25">
        <v>1.1416E-4</v>
      </c>
      <c r="E3059" s="25">
        <v>1.1094000000000001E-4</v>
      </c>
      <c r="F3059" s="25">
        <v>1.2645000000000001E-4</v>
      </c>
      <c r="G3059" s="25">
        <v>1.1321E-4</v>
      </c>
      <c r="H3059" s="25">
        <v>1.3043000000000001E-4</v>
      </c>
      <c r="I3059" s="9">
        <v>8.7070000000000005E-5</v>
      </c>
      <c r="J3059" s="9">
        <v>9.0619999999999996E-5</v>
      </c>
      <c r="K3059" s="9">
        <v>1.314E-4</v>
      </c>
      <c r="L3059" s="9">
        <v>4.0420000000000003E-5</v>
      </c>
      <c r="M3059" s="9">
        <v>6.0109999999999999E-5</v>
      </c>
      <c r="N3059" s="9">
        <v>8.072E-5</v>
      </c>
      <c r="O3059" s="9">
        <v>1.2174E-4</v>
      </c>
      <c r="P3059" s="9">
        <v>1.172E-4</v>
      </c>
      <c r="Q3059" s="9">
        <v>1.1226999999999999E-4</v>
      </c>
      <c r="R3059" s="10">
        <v>2.5071314324360693E-5</v>
      </c>
      <c r="S3059" s="10">
        <v>1.2862076809857877E-5</v>
      </c>
      <c r="T3059" s="10">
        <v>7.7775572142756451E-5</v>
      </c>
      <c r="U3059" s="10">
        <v>1.0049E-4</v>
      </c>
      <c r="V3059" s="25"/>
      <c r="W3059" s="25"/>
      <c r="X3059" s="25"/>
      <c r="Y3059" s="25"/>
      <c r="Z3059" s="25"/>
      <c r="AA3059" s="25"/>
    </row>
    <row r="3060" spans="1:27" x14ac:dyDescent="0.35">
      <c r="A3060" s="5">
        <v>3056</v>
      </c>
      <c r="B3060" s="5">
        <v>128</v>
      </c>
      <c r="C3060" s="5">
        <v>5</v>
      </c>
      <c r="D3060" s="25">
        <v>1.1415000000000001E-4</v>
      </c>
      <c r="E3060" s="25">
        <v>1.1666E-4</v>
      </c>
      <c r="F3060" s="25">
        <v>1.1375E-4</v>
      </c>
      <c r="G3060" s="25">
        <v>1.6364999999999999E-4</v>
      </c>
      <c r="H3060" s="25">
        <v>1.8918E-4</v>
      </c>
      <c r="I3060" s="9">
        <v>9.0489999999999996E-5</v>
      </c>
      <c r="J3060" s="9">
        <v>9.7410000000000004E-5</v>
      </c>
      <c r="K3060" s="9">
        <v>1.8437999999999999E-4</v>
      </c>
      <c r="L3060" s="9">
        <v>1.0323E-4</v>
      </c>
      <c r="M3060" s="9">
        <v>8.3739999999999994E-5</v>
      </c>
      <c r="N3060" s="9">
        <v>9.0810000000000006E-5</v>
      </c>
      <c r="O3060" s="9">
        <v>2.1603E-4</v>
      </c>
      <c r="P3060" s="9">
        <v>1.7657E-4</v>
      </c>
      <c r="Q3060" s="9">
        <v>1.3640000000000001E-4</v>
      </c>
      <c r="R3060" s="10">
        <v>1.8835682368751119E-5</v>
      </c>
      <c r="S3060" s="10">
        <v>1.4321851080290816E-5</v>
      </c>
      <c r="T3060" s="10">
        <v>1.8158097469175017E-4</v>
      </c>
      <c r="U3060" s="10">
        <v>1.0049E-4</v>
      </c>
      <c r="V3060" s="25"/>
      <c r="W3060" s="25"/>
      <c r="X3060" s="25"/>
      <c r="Y3060" s="25"/>
      <c r="Z3060" s="25"/>
      <c r="AA3060" s="25"/>
    </row>
    <row r="3061" spans="1:27" x14ac:dyDescent="0.35">
      <c r="A3061" s="5">
        <v>3057</v>
      </c>
      <c r="B3061" s="5">
        <v>128</v>
      </c>
      <c r="C3061" s="5">
        <v>5</v>
      </c>
      <c r="D3061" s="25">
        <v>1.1416E-4</v>
      </c>
      <c r="E3061" s="25">
        <v>1.1328999999999999E-4</v>
      </c>
      <c r="F3061" s="25">
        <v>1.2996000000000001E-4</v>
      </c>
      <c r="G3061" s="25">
        <v>1.6572000000000001E-4</v>
      </c>
      <c r="H3061" s="25">
        <v>1.9701000000000001E-4</v>
      </c>
      <c r="I3061" s="9">
        <v>9.166E-5</v>
      </c>
      <c r="J3061" s="9">
        <v>1.0365E-4</v>
      </c>
      <c r="K3061" s="9">
        <v>1.2292999999999999E-4</v>
      </c>
      <c r="L3061" s="9">
        <v>1.8949E-4</v>
      </c>
      <c r="M3061" s="9">
        <v>1.2326000000000001E-4</v>
      </c>
      <c r="N3061" s="9">
        <v>1.0450000000000001E-4</v>
      </c>
      <c r="O3061" s="9">
        <v>2.0890000000000001E-4</v>
      </c>
      <c r="P3061" s="9">
        <v>1.9363E-4</v>
      </c>
      <c r="Q3061" s="9">
        <v>1.7733000000000001E-4</v>
      </c>
      <c r="R3061" s="10">
        <v>6.7729855108193938E-6</v>
      </c>
      <c r="S3061" s="10">
        <v>1.2700236001972111E-5</v>
      </c>
      <c r="T3061" s="10">
        <v>4.1875107872563406E-4</v>
      </c>
      <c r="U3061" s="10">
        <v>1.0049E-4</v>
      </c>
      <c r="V3061" s="25"/>
      <c r="W3061" s="25"/>
      <c r="X3061" s="25"/>
      <c r="Y3061" s="25"/>
      <c r="Z3061" s="25"/>
      <c r="AA3061" s="25"/>
    </row>
    <row r="3062" spans="1:27" x14ac:dyDescent="0.35">
      <c r="A3062" s="5">
        <v>3058</v>
      </c>
      <c r="B3062" s="5">
        <v>128</v>
      </c>
      <c r="C3062" s="5">
        <v>5</v>
      </c>
      <c r="D3062" s="25">
        <v>1.1415000000000001E-4</v>
      </c>
      <c r="E3062" s="25">
        <v>1.0733E-4</v>
      </c>
      <c r="F3062" s="25">
        <v>1.2578000000000001E-4</v>
      </c>
      <c r="G3062" s="25">
        <v>1.6043000000000001E-4</v>
      </c>
      <c r="H3062" s="25">
        <v>1.8839E-4</v>
      </c>
      <c r="I3062" s="9">
        <v>8.954E-5</v>
      </c>
      <c r="J3062" s="9">
        <v>1.0524E-4</v>
      </c>
      <c r="K3062" s="9">
        <v>8.9019999999999998E-5</v>
      </c>
      <c r="L3062" s="9">
        <v>2.0237E-4</v>
      </c>
      <c r="M3062" s="9">
        <v>1.5860000000000001E-4</v>
      </c>
      <c r="N3062" s="9">
        <v>1.2464E-4</v>
      </c>
      <c r="O3062" s="9">
        <v>1.6338E-4</v>
      </c>
      <c r="P3062" s="9">
        <v>1.7228999999999999E-4</v>
      </c>
      <c r="Q3062" s="9">
        <v>1.8021000000000001E-4</v>
      </c>
      <c r="R3062" s="10">
        <v>3.3372095463681799E-6</v>
      </c>
      <c r="S3062" s="10">
        <v>1.2931564210145479E-5</v>
      </c>
      <c r="T3062" s="10">
        <v>3.3347538595735165E-4</v>
      </c>
      <c r="U3062" s="10">
        <v>1.0049E-4</v>
      </c>
      <c r="V3062" s="25"/>
      <c r="W3062" s="25"/>
      <c r="X3062" s="25"/>
      <c r="Y3062" s="25"/>
      <c r="Z3062" s="25"/>
      <c r="AA3062" s="25"/>
    </row>
    <row r="3063" spans="1:27" x14ac:dyDescent="0.35">
      <c r="A3063" s="5">
        <v>3059</v>
      </c>
      <c r="B3063" s="5">
        <v>128</v>
      </c>
      <c r="C3063" s="5">
        <v>5</v>
      </c>
      <c r="D3063" s="25">
        <v>1.1416E-4</v>
      </c>
      <c r="E3063" s="25">
        <v>1.1120000000000001E-4</v>
      </c>
      <c r="F3063" s="25">
        <v>1.2244E-4</v>
      </c>
      <c r="G3063" s="25">
        <v>1.6344999999999999E-4</v>
      </c>
      <c r="H3063" s="25">
        <v>1.8955E-4</v>
      </c>
      <c r="I3063" s="9">
        <v>8.7100000000000003E-5</v>
      </c>
      <c r="J3063" s="9">
        <v>1.048E-4</v>
      </c>
      <c r="K3063" s="9">
        <v>1.314E-4</v>
      </c>
      <c r="L3063" s="9">
        <v>1.7201E-4</v>
      </c>
      <c r="M3063" s="9">
        <v>1.7173000000000001E-4</v>
      </c>
      <c r="N3063" s="9">
        <v>1.4232000000000001E-4</v>
      </c>
      <c r="O3063" s="9">
        <v>1.6619000000000001E-4</v>
      </c>
      <c r="P3063" s="9">
        <v>1.739E-4</v>
      </c>
      <c r="Q3063" s="9">
        <v>1.8061999999999999E-4</v>
      </c>
      <c r="R3063" s="10">
        <v>3.369506932408459E-6</v>
      </c>
      <c r="S3063" s="10">
        <v>1.6081011177920105E-5</v>
      </c>
      <c r="T3063" s="10">
        <v>4.2499552304733895E-4</v>
      </c>
      <c r="U3063" s="10">
        <v>1.0049E-4</v>
      </c>
      <c r="V3063" s="25"/>
      <c r="W3063" s="25"/>
      <c r="X3063" s="25"/>
      <c r="Y3063" s="25"/>
      <c r="Z3063" s="25"/>
      <c r="AA3063" s="25"/>
    </row>
    <row r="3064" spans="1:27" x14ac:dyDescent="0.35">
      <c r="A3064" s="5">
        <v>3060</v>
      </c>
      <c r="B3064" s="5">
        <v>128</v>
      </c>
      <c r="C3064" s="5">
        <v>5</v>
      </c>
      <c r="D3064" s="25">
        <v>1.1415000000000001E-4</v>
      </c>
      <c r="E3064" s="25">
        <v>1.075E-4</v>
      </c>
      <c r="F3064" s="25">
        <v>1.1336999999999999E-4</v>
      </c>
      <c r="G3064" s="25">
        <v>1.5886000000000001E-4</v>
      </c>
      <c r="H3064" s="25">
        <v>1.8751E-4</v>
      </c>
      <c r="I3064" s="9">
        <v>8.4740000000000005E-5</v>
      </c>
      <c r="J3064" s="9">
        <v>1.0336E-4</v>
      </c>
      <c r="K3064" s="9">
        <v>1.1021E-4</v>
      </c>
      <c r="L3064" s="9">
        <v>1.6890000000000001E-4</v>
      </c>
      <c r="M3064" s="9">
        <v>1.7467000000000001E-4</v>
      </c>
      <c r="N3064" s="9">
        <v>1.5663999999999999E-4</v>
      </c>
      <c r="O3064" s="9">
        <v>1.6750000000000001E-4</v>
      </c>
      <c r="P3064" s="9">
        <v>1.7111000000000001E-4</v>
      </c>
      <c r="Q3064" s="9">
        <v>1.7378000000000001E-4</v>
      </c>
      <c r="R3064" s="10">
        <v>4.9596119406767914E-7</v>
      </c>
      <c r="S3064" s="10">
        <v>1.4834250080407351E-5</v>
      </c>
      <c r="T3064" s="10">
        <v>7.4828974978451959E-4</v>
      </c>
      <c r="U3064" s="10">
        <v>1.0049E-4</v>
      </c>
      <c r="V3064" s="25"/>
      <c r="W3064" s="25"/>
      <c r="X3064" s="25"/>
      <c r="Y3064" s="25"/>
      <c r="Z3064" s="25"/>
      <c r="AA3064" s="25"/>
    </row>
    <row r="3065" spans="1:27" x14ac:dyDescent="0.35">
      <c r="A3065" s="5">
        <v>3061</v>
      </c>
      <c r="B3065" s="5">
        <v>128</v>
      </c>
      <c r="C3065" s="5">
        <v>5</v>
      </c>
      <c r="D3065" s="25">
        <v>1.1416E-4</v>
      </c>
      <c r="E3065" s="25">
        <v>1.1319000000000001E-4</v>
      </c>
      <c r="F3065" s="25">
        <v>1.2729000000000001E-4</v>
      </c>
      <c r="G3065" s="25">
        <v>1.6103999999999999E-4</v>
      </c>
      <c r="H3065" s="25">
        <v>1.9405E-4</v>
      </c>
      <c r="I3065" s="9">
        <v>8.3369999999999996E-5</v>
      </c>
      <c r="J3065" s="9">
        <v>1.0171E-4</v>
      </c>
      <c r="K3065" s="9">
        <v>1.0809E-4</v>
      </c>
      <c r="L3065" s="9">
        <v>1.6793E-4</v>
      </c>
      <c r="M3065" s="9">
        <v>1.7368E-4</v>
      </c>
      <c r="N3065" s="9">
        <v>1.6605E-4</v>
      </c>
      <c r="O3065" s="9">
        <v>1.583E-4</v>
      </c>
      <c r="P3065" s="9">
        <v>1.6254E-4</v>
      </c>
      <c r="Q3065" s="9">
        <v>1.6590999999999999E-4</v>
      </c>
      <c r="R3065" s="10">
        <v>6.7567659617022587E-8</v>
      </c>
      <c r="S3065" s="10">
        <v>1.4769634569321362E-5</v>
      </c>
      <c r="T3065" s="10">
        <v>6.0428573691455063E-4</v>
      </c>
      <c r="U3065" s="10">
        <v>1.0049E-4</v>
      </c>
      <c r="V3065" s="25"/>
      <c r="W3065" s="25"/>
      <c r="X3065" s="25"/>
      <c r="Y3065" s="25"/>
      <c r="Z3065" s="25"/>
      <c r="AA3065" s="25"/>
    </row>
    <row r="3066" spans="1:27" x14ac:dyDescent="0.35">
      <c r="A3066" s="5">
        <v>3062</v>
      </c>
      <c r="B3066" s="5">
        <v>128</v>
      </c>
      <c r="C3066" s="5">
        <v>5</v>
      </c>
      <c r="D3066" s="25">
        <v>1.1415000000000001E-4</v>
      </c>
      <c r="E3066" s="25">
        <v>1.1063E-4</v>
      </c>
      <c r="F3066" s="25">
        <v>1.1928E-4</v>
      </c>
      <c r="G3066" s="25">
        <v>1.5930999999999999E-4</v>
      </c>
      <c r="H3066" s="25">
        <v>1.8922000000000001E-4</v>
      </c>
      <c r="I3066" s="9">
        <v>8.3440000000000001E-5</v>
      </c>
      <c r="J3066" s="9">
        <v>1.0058E-4</v>
      </c>
      <c r="K3066" s="9">
        <v>9.3259999999999998E-5</v>
      </c>
      <c r="L3066" s="9">
        <v>1.6018E-4</v>
      </c>
      <c r="M3066" s="9">
        <v>1.6938000000000001E-4</v>
      </c>
      <c r="N3066" s="9">
        <v>1.7006000000000001E-4</v>
      </c>
      <c r="O3066" s="9">
        <v>1.7483E-4</v>
      </c>
      <c r="P3066" s="9">
        <v>1.6770000000000001E-4</v>
      </c>
      <c r="Q3066" s="9">
        <v>1.5972E-4</v>
      </c>
      <c r="R3066" s="10">
        <v>1.6270685514732638E-7</v>
      </c>
      <c r="S3066" s="10">
        <v>1.5221072619012316E-5</v>
      </c>
      <c r="T3066" s="10">
        <v>5.6121094911387704E-4</v>
      </c>
      <c r="U3066" s="10">
        <v>1.0049E-4</v>
      </c>
      <c r="V3066" s="25"/>
      <c r="W3066" s="25"/>
      <c r="X3066" s="25"/>
      <c r="Y3066" s="25"/>
      <c r="Z3066" s="25"/>
      <c r="AA3066" s="25"/>
    </row>
    <row r="3067" spans="1:27" x14ac:dyDescent="0.35">
      <c r="A3067" s="5">
        <v>3063</v>
      </c>
      <c r="B3067" s="5">
        <v>128</v>
      </c>
      <c r="C3067" s="5">
        <v>5</v>
      </c>
      <c r="D3067" s="25">
        <v>1.1416E-4</v>
      </c>
      <c r="E3067" s="25">
        <v>1.1105E-4</v>
      </c>
      <c r="F3067" s="25">
        <v>1.1889E-4</v>
      </c>
      <c r="G3067" s="25">
        <v>1.6024E-4</v>
      </c>
      <c r="H3067" s="25">
        <v>1.9864000000000001E-4</v>
      </c>
      <c r="I3067" s="9">
        <v>8.4049999999999997E-5</v>
      </c>
      <c r="J3067" s="9">
        <v>1.0009E-4</v>
      </c>
      <c r="K3067" s="9">
        <v>1.0173E-4</v>
      </c>
      <c r="L3067" s="9">
        <v>1.7181E-4</v>
      </c>
      <c r="M3067" s="9">
        <v>1.6754000000000001E-4</v>
      </c>
      <c r="N3067" s="9">
        <v>1.6938000000000001E-4</v>
      </c>
      <c r="O3067" s="9">
        <v>1.8223E-4</v>
      </c>
      <c r="P3067" s="9">
        <v>1.6825E-4</v>
      </c>
      <c r="Q3067" s="9">
        <v>1.5346000000000001E-4</v>
      </c>
      <c r="R3067" s="10">
        <v>3.3115473630142092E-8</v>
      </c>
      <c r="S3067" s="10">
        <v>1.6695617962774416E-5</v>
      </c>
      <c r="T3067" s="10">
        <v>4.9580548542362836E-4</v>
      </c>
      <c r="U3067" s="10">
        <v>1.0049E-4</v>
      </c>
      <c r="V3067" s="25"/>
      <c r="W3067" s="25"/>
      <c r="X3067" s="25"/>
      <c r="Y3067" s="25"/>
      <c r="Z3067" s="25"/>
      <c r="AA3067" s="25"/>
    </row>
    <row r="3068" spans="1:27" x14ac:dyDescent="0.35">
      <c r="A3068" s="5">
        <v>3064</v>
      </c>
      <c r="B3068" s="5">
        <v>128</v>
      </c>
      <c r="C3068" s="5">
        <v>5</v>
      </c>
      <c r="D3068" s="25">
        <v>1.1415000000000001E-4</v>
      </c>
      <c r="E3068" s="25">
        <v>1.1399E-4</v>
      </c>
      <c r="F3068" s="25">
        <v>1.2831999999999999E-4</v>
      </c>
      <c r="G3068" s="25">
        <v>1.6045999999999999E-4</v>
      </c>
      <c r="H3068" s="25">
        <v>1.9937000000000001E-4</v>
      </c>
      <c r="I3068" s="9">
        <v>8.6570000000000006E-5</v>
      </c>
      <c r="J3068" s="9">
        <v>1.009E-4</v>
      </c>
      <c r="K3068" s="9">
        <v>1.0173E-4</v>
      </c>
      <c r="L3068" s="9">
        <v>1.7963000000000001E-4</v>
      </c>
      <c r="M3068" s="9">
        <v>1.6741999999999999E-4</v>
      </c>
      <c r="N3068" s="9">
        <v>1.6579999999999999E-4</v>
      </c>
      <c r="O3068" s="9">
        <v>1.9274E-4</v>
      </c>
      <c r="P3068" s="9">
        <v>1.5093999999999999E-4</v>
      </c>
      <c r="Q3068" s="9">
        <v>1.0867E-4</v>
      </c>
      <c r="R3068" s="10">
        <v>1.2909456440035032E-7</v>
      </c>
      <c r="S3068" s="10">
        <v>2.1396242903647838E-5</v>
      </c>
      <c r="T3068" s="10">
        <v>3.6975424997856099E-4</v>
      </c>
      <c r="U3068" s="10">
        <v>1.0049E-4</v>
      </c>
      <c r="V3068" s="25"/>
      <c r="W3068" s="25"/>
      <c r="X3068" s="25"/>
      <c r="Y3068" s="25"/>
      <c r="Z3068" s="25"/>
      <c r="AA3068" s="25"/>
    </row>
    <row r="3069" spans="1:27" x14ac:dyDescent="0.35">
      <c r="A3069" s="5">
        <v>3065</v>
      </c>
      <c r="B3069" s="5">
        <v>128</v>
      </c>
      <c r="C3069" s="5">
        <v>5</v>
      </c>
      <c r="D3069" s="25">
        <v>1.1416E-4</v>
      </c>
      <c r="E3069" s="25">
        <v>1.1163E-4</v>
      </c>
      <c r="F3069" s="25">
        <v>1.3027000000000001E-4</v>
      </c>
      <c r="G3069" s="25">
        <v>1.5866E-4</v>
      </c>
      <c r="H3069" s="25">
        <v>1.8673999999999999E-4</v>
      </c>
      <c r="I3069" s="9">
        <v>9.2390000000000001E-5</v>
      </c>
      <c r="J3069" s="9">
        <v>1.0396E-4</v>
      </c>
      <c r="K3069" s="9">
        <v>1.0597E-4</v>
      </c>
      <c r="L3069" s="9">
        <v>1.8958000000000001E-4</v>
      </c>
      <c r="M3069" s="9">
        <v>1.616E-4</v>
      </c>
      <c r="N3069" s="9">
        <v>1.5190000000000001E-4</v>
      </c>
      <c r="O3069" s="9">
        <v>2.1172000000000001E-4</v>
      </c>
      <c r="P3069" s="9">
        <v>1.5986E-4</v>
      </c>
      <c r="Q3069" s="9">
        <v>1.0753E-4</v>
      </c>
      <c r="R3069" s="10">
        <v>6.531832081432263E-7</v>
      </c>
      <c r="S3069" s="10">
        <v>2.745350017354827E-5</v>
      </c>
      <c r="T3069" s="10">
        <v>1.7773758708613559E-4</v>
      </c>
      <c r="U3069" s="10">
        <v>1.0049E-4</v>
      </c>
      <c r="V3069" s="25"/>
      <c r="W3069" s="25"/>
      <c r="X3069" s="25"/>
      <c r="Y3069" s="25"/>
      <c r="Z3069" s="25"/>
      <c r="AA3069" s="25"/>
    </row>
    <row r="3070" spans="1:27" x14ac:dyDescent="0.35">
      <c r="A3070" s="5">
        <v>3066</v>
      </c>
      <c r="B3070" s="5">
        <v>128</v>
      </c>
      <c r="C3070" s="5">
        <v>5</v>
      </c>
      <c r="D3070" s="25">
        <v>1.1415000000000001E-4</v>
      </c>
      <c r="E3070" s="25">
        <v>1.1531000000000001E-4</v>
      </c>
      <c r="F3070" s="25">
        <v>1.2831E-4</v>
      </c>
      <c r="G3070" s="25">
        <v>1.595E-4</v>
      </c>
      <c r="H3070" s="25">
        <v>1.9798999999999999E-4</v>
      </c>
      <c r="I3070" s="9">
        <v>9.7299999999999993E-5</v>
      </c>
      <c r="J3070" s="9">
        <v>1.0516E-4</v>
      </c>
      <c r="K3070" s="9">
        <v>1.2292E-4</v>
      </c>
      <c r="L3070" s="9">
        <v>2.0666E-4</v>
      </c>
      <c r="M3070" s="9">
        <v>1.5933000000000001E-4</v>
      </c>
      <c r="N3070" s="9">
        <v>1.3875000000000001E-4</v>
      </c>
      <c r="O3070" s="9">
        <v>2.0303000000000001E-4</v>
      </c>
      <c r="P3070" s="9">
        <v>1.6076E-4</v>
      </c>
      <c r="Q3070" s="9">
        <v>1.1794999999999999E-4</v>
      </c>
      <c r="R3070" s="10">
        <v>1.0947362370466763E-6</v>
      </c>
      <c r="S3070" s="10">
        <v>3.9684088620777358E-5</v>
      </c>
      <c r="T3070" s="10">
        <v>1.146653057171761E-4</v>
      </c>
      <c r="U3070" s="10">
        <v>1.0049E-4</v>
      </c>
      <c r="V3070" s="25"/>
      <c r="W3070" s="25"/>
      <c r="X3070" s="25"/>
      <c r="Y3070" s="25"/>
      <c r="Z3070" s="25"/>
      <c r="AA3070" s="25"/>
    </row>
    <row r="3071" spans="1:27" x14ac:dyDescent="0.35">
      <c r="A3071" s="5">
        <v>3067</v>
      </c>
      <c r="B3071" s="5">
        <v>128</v>
      </c>
      <c r="C3071" s="5">
        <v>5</v>
      </c>
      <c r="D3071" s="25">
        <v>1.1416E-4</v>
      </c>
      <c r="E3071" s="25">
        <v>1.0876E-4</v>
      </c>
      <c r="F3071" s="25">
        <v>1.1968000000000001E-4</v>
      </c>
      <c r="G3071" s="25">
        <v>1.1074E-4</v>
      </c>
      <c r="H3071" s="25">
        <v>1.2667000000000001E-4</v>
      </c>
      <c r="I3071" s="9">
        <v>9.9699999999999998E-5</v>
      </c>
      <c r="J3071" s="9">
        <v>1.0479E-4</v>
      </c>
      <c r="K3071" s="9">
        <v>1.4198999999999999E-4</v>
      </c>
      <c r="L3071" s="9">
        <v>2.0340000000000001E-4</v>
      </c>
      <c r="M3071" s="9">
        <v>1.5941999999999999E-4</v>
      </c>
      <c r="N3071" s="9">
        <v>1.2987E-4</v>
      </c>
      <c r="O3071" s="9">
        <v>1.6079000000000001E-4</v>
      </c>
      <c r="P3071" s="9">
        <v>1.3363000000000001E-4</v>
      </c>
      <c r="Q3071" s="9">
        <v>1.0606E-4</v>
      </c>
      <c r="R3071" s="10">
        <v>3.1521497476503142E-6</v>
      </c>
      <c r="S3071" s="10">
        <v>5.6475205146653446E-5</v>
      </c>
      <c r="T3071" s="10">
        <v>2.3017904136936645E-5</v>
      </c>
      <c r="U3071" s="10">
        <v>1.0049E-4</v>
      </c>
      <c r="V3071" s="25"/>
      <c r="W3071" s="25"/>
      <c r="X3071" s="25"/>
      <c r="Y3071" s="25"/>
      <c r="Z3071" s="25"/>
      <c r="AA3071" s="25"/>
    </row>
    <row r="3072" spans="1:27" x14ac:dyDescent="0.35">
      <c r="A3072" s="5">
        <v>3068</v>
      </c>
      <c r="B3072" s="5">
        <v>128</v>
      </c>
      <c r="C3072" s="5">
        <v>5</v>
      </c>
      <c r="D3072" s="25">
        <v>1.1415000000000001E-4</v>
      </c>
      <c r="E3072" s="25">
        <v>1.1311000000000001E-4</v>
      </c>
      <c r="F3072" s="25">
        <v>1.1868E-4</v>
      </c>
      <c r="G3072" s="25">
        <v>1.0743000000000001E-4</v>
      </c>
      <c r="H3072" s="25">
        <v>1.2549999999999999E-4</v>
      </c>
      <c r="I3072" s="9">
        <v>9.9539999999999999E-5</v>
      </c>
      <c r="J3072" s="9">
        <v>1.036E-4</v>
      </c>
      <c r="K3072" s="9">
        <v>1.6742999999999999E-4</v>
      </c>
      <c r="L3072" s="9">
        <v>1.7030999999999999E-4</v>
      </c>
      <c r="M3072" s="9">
        <v>1.5033000000000001E-4</v>
      </c>
      <c r="N3072" s="9">
        <v>1.2063E-4</v>
      </c>
      <c r="O3072" s="9">
        <v>1.2621E-4</v>
      </c>
      <c r="P3072" s="9">
        <v>1.1369E-4</v>
      </c>
      <c r="Q3072" s="9">
        <v>1.0086000000000001E-4</v>
      </c>
      <c r="R3072" s="10">
        <v>1.0210886381985544E-5</v>
      </c>
      <c r="S3072" s="10">
        <v>7.6228535359513559E-5</v>
      </c>
      <c r="T3072" s="10">
        <v>0</v>
      </c>
      <c r="U3072" s="10">
        <v>1.0049E-4</v>
      </c>
      <c r="V3072" s="25"/>
      <c r="W3072" s="25"/>
      <c r="X3072" s="25"/>
      <c r="Y3072" s="25"/>
      <c r="Z3072" s="25"/>
      <c r="AA3072" s="25"/>
    </row>
    <row r="3073" spans="1:27" x14ac:dyDescent="0.35">
      <c r="A3073" s="5">
        <v>3069</v>
      </c>
      <c r="B3073" s="5">
        <v>128</v>
      </c>
      <c r="C3073" s="5">
        <v>5</v>
      </c>
      <c r="D3073" s="25">
        <v>1.1416E-4</v>
      </c>
      <c r="E3073" s="25">
        <v>1.1485999999999999E-4</v>
      </c>
      <c r="F3073" s="25">
        <v>1.2349E-4</v>
      </c>
      <c r="G3073" s="25">
        <v>5.4469999999999999E-5</v>
      </c>
      <c r="H3073" s="25">
        <v>6.6110000000000002E-5</v>
      </c>
      <c r="I3073" s="9">
        <v>1.0174E-4</v>
      </c>
      <c r="J3073" s="9">
        <v>1.0454E-4</v>
      </c>
      <c r="K3073" s="9">
        <v>1.8437999999999999E-4</v>
      </c>
      <c r="L3073" s="9">
        <v>1.3694999999999999E-4</v>
      </c>
      <c r="M3073" s="9">
        <v>1.3457000000000001E-4</v>
      </c>
      <c r="N3073" s="9">
        <v>1.1277000000000001E-4</v>
      </c>
      <c r="O3073" s="9">
        <v>8.4549999999999995E-5</v>
      </c>
      <c r="P3073" s="9">
        <v>8.6719999999999996E-5</v>
      </c>
      <c r="Q3073" s="9">
        <v>8.8720000000000004E-5</v>
      </c>
      <c r="R3073" s="10">
        <v>2.190105938157557E-5</v>
      </c>
      <c r="S3073" s="10">
        <v>1.0117648297762868E-4</v>
      </c>
      <c r="T3073" s="10">
        <v>0</v>
      </c>
      <c r="U3073" s="10">
        <v>1.0049E-4</v>
      </c>
      <c r="V3073" s="25"/>
      <c r="W3073" s="25"/>
      <c r="X3073" s="25"/>
      <c r="Y3073" s="25"/>
      <c r="Z3073" s="25"/>
      <c r="AA3073" s="25"/>
    </row>
    <row r="3074" spans="1:27" x14ac:dyDescent="0.35">
      <c r="A3074" s="5">
        <v>3070</v>
      </c>
      <c r="B3074" s="5">
        <v>128</v>
      </c>
      <c r="C3074" s="5">
        <v>5</v>
      </c>
      <c r="D3074" s="25">
        <v>1.1415000000000001E-4</v>
      </c>
      <c r="E3074" s="25">
        <v>1.1132E-4</v>
      </c>
      <c r="F3074" s="25">
        <v>1.2199E-4</v>
      </c>
      <c r="G3074" s="25">
        <v>5.41E-5</v>
      </c>
      <c r="H3074" s="25">
        <v>7.3789999999999997E-5</v>
      </c>
      <c r="I3074" s="9">
        <v>1.033E-4</v>
      </c>
      <c r="J3074" s="9">
        <v>1.039E-4</v>
      </c>
      <c r="K3074" s="9">
        <v>2.0981E-4</v>
      </c>
      <c r="L3074" s="9">
        <v>9.6979999999999996E-5</v>
      </c>
      <c r="M3074" s="9">
        <v>1.1328999999999999E-4</v>
      </c>
      <c r="N3074" s="9">
        <v>1.0535E-4</v>
      </c>
      <c r="O3074" s="9">
        <v>8.7100000000000003E-5</v>
      </c>
      <c r="P3074" s="9">
        <v>8.7910000000000004E-5</v>
      </c>
      <c r="Q3074" s="9">
        <v>8.8560000000000006E-5</v>
      </c>
      <c r="R3074" s="10">
        <v>4.7230656560027151E-5</v>
      </c>
      <c r="S3074" s="10">
        <v>1.368004205495502E-4</v>
      </c>
      <c r="T3074" s="10">
        <v>0</v>
      </c>
      <c r="U3074" s="10">
        <v>1.0049E-4</v>
      </c>
      <c r="V3074" s="25"/>
      <c r="W3074" s="25"/>
      <c r="X3074" s="25"/>
      <c r="Y3074" s="25"/>
      <c r="Z3074" s="25"/>
      <c r="AA3074" s="25"/>
    </row>
    <row r="3075" spans="1:27" x14ac:dyDescent="0.35">
      <c r="A3075" s="5">
        <v>3071</v>
      </c>
      <c r="B3075" s="5">
        <v>128</v>
      </c>
      <c r="C3075" s="5">
        <v>5</v>
      </c>
      <c r="D3075" s="25">
        <v>1.1416E-4</v>
      </c>
      <c r="E3075" s="25">
        <v>1.1077E-4</v>
      </c>
      <c r="F3075" s="25">
        <v>1.2116999999999999E-4</v>
      </c>
      <c r="G3075" s="25">
        <v>5.342E-5</v>
      </c>
      <c r="H3075" s="25">
        <v>7.1409999999999996E-5</v>
      </c>
      <c r="I3075" s="9">
        <v>9.9370000000000006E-5</v>
      </c>
      <c r="J3075" s="9">
        <v>9.8889999999999997E-5</v>
      </c>
      <c r="K3075" s="9">
        <v>2.0346000000000001E-4</v>
      </c>
      <c r="L3075" s="9">
        <v>9.0140000000000001E-5</v>
      </c>
      <c r="M3075" s="9">
        <v>9.8980000000000004E-5</v>
      </c>
      <c r="N3075" s="9">
        <v>9.9649999999999996E-5</v>
      </c>
      <c r="O3075" s="9">
        <v>7.8189999999999995E-5</v>
      </c>
      <c r="P3075" s="9">
        <v>7.2869999999999999E-5</v>
      </c>
      <c r="Q3075" s="9">
        <v>6.7570000000000005E-5</v>
      </c>
      <c r="R3075" s="10">
        <v>7.4949451695215658E-5</v>
      </c>
      <c r="S3075" s="10">
        <v>1.6050351731264307E-4</v>
      </c>
      <c r="T3075" s="10">
        <v>0</v>
      </c>
      <c r="U3075" s="10">
        <v>1.0049E-4</v>
      </c>
      <c r="V3075" s="25"/>
      <c r="W3075" s="25"/>
      <c r="X3075" s="25"/>
      <c r="Y3075" s="25"/>
      <c r="Z3075" s="25"/>
      <c r="AA3075" s="25"/>
    </row>
    <row r="3076" spans="1:27" x14ac:dyDescent="0.35">
      <c r="A3076" s="5">
        <v>3072</v>
      </c>
      <c r="B3076" s="5">
        <v>128</v>
      </c>
      <c r="C3076" s="5">
        <v>5</v>
      </c>
      <c r="D3076" s="25">
        <v>1.1415000000000001E-4</v>
      </c>
      <c r="E3076" s="25">
        <v>1.1340000000000001E-4</v>
      </c>
      <c r="F3076" s="25">
        <v>1.2434999999999999E-4</v>
      </c>
      <c r="G3076" s="25">
        <v>5.6020000000000002E-5</v>
      </c>
      <c r="H3076" s="25">
        <v>7.4980000000000004E-5</v>
      </c>
      <c r="I3076" s="9">
        <v>9.2460000000000006E-5</v>
      </c>
      <c r="J3076" s="9">
        <v>9.3159999999999996E-5</v>
      </c>
      <c r="K3076" s="9">
        <v>1.9709E-4</v>
      </c>
      <c r="L3076" s="9">
        <v>8.0809999999999994E-5</v>
      </c>
      <c r="M3076" s="9">
        <v>8.6429999999999997E-5</v>
      </c>
      <c r="N3076" s="9">
        <v>9.0569999999999995E-5</v>
      </c>
      <c r="O3076" s="9">
        <v>6.3170000000000007E-5</v>
      </c>
      <c r="P3076" s="9">
        <v>6.1229999999999995E-5</v>
      </c>
      <c r="Q3076" s="9">
        <v>5.94E-5</v>
      </c>
      <c r="R3076" s="10">
        <v>1.2126029730616169E-4</v>
      </c>
      <c r="S3076" s="10">
        <v>1.7237930493681222E-4</v>
      </c>
      <c r="T3076" s="10">
        <v>0</v>
      </c>
      <c r="U3076" s="10">
        <v>1.0049E-4</v>
      </c>
      <c r="V3076" s="25"/>
      <c r="W3076" s="25"/>
      <c r="X3076" s="25"/>
      <c r="Y3076" s="25"/>
      <c r="Z3076" s="25"/>
      <c r="AA3076" s="25"/>
    </row>
    <row r="3077" spans="1:27" x14ac:dyDescent="0.35">
      <c r="A3077" s="5">
        <v>3073</v>
      </c>
      <c r="B3077" s="5">
        <v>129</v>
      </c>
      <c r="C3077" s="5">
        <v>5</v>
      </c>
      <c r="D3077" s="25">
        <v>1.1416E-4</v>
      </c>
      <c r="E3077" s="25">
        <v>1.1751E-4</v>
      </c>
      <c r="F3077" s="25">
        <v>1.1148E-4</v>
      </c>
      <c r="G3077" s="25">
        <v>5.9190000000000001E-5</v>
      </c>
      <c r="H3077" s="25">
        <v>6.5279999999999998E-5</v>
      </c>
      <c r="I3077" s="9">
        <v>8.8109999999999995E-5</v>
      </c>
      <c r="J3077" s="9">
        <v>8.8469999999999998E-5</v>
      </c>
      <c r="K3077" s="9">
        <v>2.0557E-4</v>
      </c>
      <c r="L3077" s="9">
        <v>6.7039999999999995E-5</v>
      </c>
      <c r="M3077" s="9">
        <v>7.4469999999999997E-5</v>
      </c>
      <c r="N3077" s="9">
        <v>8.1359999999999994E-5</v>
      </c>
      <c r="O3077" s="9">
        <v>5.4200000000000003E-5</v>
      </c>
      <c r="P3077" s="9">
        <v>5.3619999999999998E-5</v>
      </c>
      <c r="Q3077" s="9">
        <v>5.3199999999999999E-5</v>
      </c>
      <c r="R3077" s="10">
        <v>1.5350543961765013E-4</v>
      </c>
      <c r="S3077" s="10">
        <v>1.8586920319645867E-4</v>
      </c>
      <c r="T3077" s="10">
        <v>0</v>
      </c>
      <c r="U3077" s="10">
        <v>9.8839999999999996E-5</v>
      </c>
      <c r="V3077" s="25"/>
      <c r="W3077" s="25"/>
      <c r="X3077" s="25"/>
      <c r="Y3077" s="25"/>
      <c r="Z3077" s="25"/>
      <c r="AA3077" s="25"/>
    </row>
    <row r="3078" spans="1:27" x14ac:dyDescent="0.35">
      <c r="A3078" s="5">
        <v>3074</v>
      </c>
      <c r="B3078" s="5">
        <v>129</v>
      </c>
      <c r="C3078" s="5">
        <v>5</v>
      </c>
      <c r="D3078" s="25">
        <v>1.1415000000000001E-4</v>
      </c>
      <c r="E3078" s="25">
        <v>1.127E-4</v>
      </c>
      <c r="F3078" s="25">
        <v>1.0849999999999999E-4</v>
      </c>
      <c r="G3078" s="25">
        <v>5.8510000000000001E-5</v>
      </c>
      <c r="H3078" s="25">
        <v>6.4729999999999999E-5</v>
      </c>
      <c r="I3078" s="9">
        <v>8.4909999999999998E-5</v>
      </c>
      <c r="J3078" s="9">
        <v>8.5199999999999997E-5</v>
      </c>
      <c r="K3078" s="9">
        <v>2.0133E-4</v>
      </c>
      <c r="L3078" s="9">
        <v>5.7410000000000001E-5</v>
      </c>
      <c r="M3078" s="9">
        <v>6.4129999999999998E-5</v>
      </c>
      <c r="N3078" s="9">
        <v>7.224E-5</v>
      </c>
      <c r="O3078" s="9">
        <v>1.963E-5</v>
      </c>
      <c r="P3078" s="9">
        <v>3.8000000000000002E-5</v>
      </c>
      <c r="Q3078" s="9">
        <v>5.6560000000000001E-5</v>
      </c>
      <c r="R3078" s="10">
        <v>1.764840865929566E-4</v>
      </c>
      <c r="S3078" s="10">
        <v>1.8902254769588591E-4</v>
      </c>
      <c r="T3078" s="10">
        <v>0</v>
      </c>
      <c r="U3078" s="10">
        <v>9.8839999999999996E-5</v>
      </c>
      <c r="V3078" s="25"/>
      <c r="W3078" s="25"/>
      <c r="X3078" s="25"/>
      <c r="Y3078" s="25"/>
      <c r="Z3078" s="25"/>
      <c r="AA3078" s="25"/>
    </row>
    <row r="3079" spans="1:27" x14ac:dyDescent="0.35">
      <c r="A3079" s="5">
        <v>3075</v>
      </c>
      <c r="B3079" s="5">
        <v>129</v>
      </c>
      <c r="C3079" s="5">
        <v>5</v>
      </c>
      <c r="D3079" s="25">
        <v>1.1416E-4</v>
      </c>
      <c r="E3079" s="25">
        <v>1.0853000000000001E-4</v>
      </c>
      <c r="F3079" s="25">
        <v>1.0737E-4</v>
      </c>
      <c r="G3079" s="25">
        <v>5.8640000000000001E-5</v>
      </c>
      <c r="H3079" s="25">
        <v>7.5220000000000001E-5</v>
      </c>
      <c r="I3079" s="9">
        <v>8.2860000000000003E-5</v>
      </c>
      <c r="J3079" s="9">
        <v>8.3700000000000002E-5</v>
      </c>
      <c r="K3079" s="9">
        <v>2.0981999999999999E-4</v>
      </c>
      <c r="L3079" s="9">
        <v>2.817E-5</v>
      </c>
      <c r="M3079" s="9">
        <v>5.2339999999999997E-5</v>
      </c>
      <c r="N3079" s="9">
        <v>6.5749999999999999E-5</v>
      </c>
      <c r="O3079" s="9">
        <v>1.412E-5</v>
      </c>
      <c r="P3079" s="9">
        <v>3.7769999999999999E-5</v>
      </c>
      <c r="Q3079" s="9">
        <v>6.156E-5</v>
      </c>
      <c r="R3079" s="10">
        <v>1.8539051757318574E-4</v>
      </c>
      <c r="S3079" s="10">
        <v>1.8873465869759213E-4</v>
      </c>
      <c r="T3079" s="10">
        <v>0</v>
      </c>
      <c r="U3079" s="10">
        <v>9.8839999999999996E-5</v>
      </c>
      <c r="V3079" s="25"/>
      <c r="W3079" s="25"/>
      <c r="X3079" s="25"/>
      <c r="Y3079" s="25"/>
      <c r="Z3079" s="25"/>
      <c r="AA3079" s="25"/>
    </row>
    <row r="3080" spans="1:27" x14ac:dyDescent="0.35">
      <c r="A3080" s="5">
        <v>3076</v>
      </c>
      <c r="B3080" s="5">
        <v>129</v>
      </c>
      <c r="C3080" s="5">
        <v>5</v>
      </c>
      <c r="D3080" s="25">
        <v>1.1415000000000001E-4</v>
      </c>
      <c r="E3080" s="25">
        <v>1.0916000000000001E-4</v>
      </c>
      <c r="F3080" s="25">
        <v>1.1419E-4</v>
      </c>
      <c r="G3080" s="25">
        <v>5.6509999999999999E-5</v>
      </c>
      <c r="H3080" s="25">
        <v>6.3949999999999996E-5</v>
      </c>
      <c r="I3080" s="9">
        <v>8.1829999999999994E-5</v>
      </c>
      <c r="J3080" s="9">
        <v>8.2689999999999996E-5</v>
      </c>
      <c r="K3080" s="9">
        <v>1.9922000000000001E-4</v>
      </c>
      <c r="L3080" s="9">
        <v>1.7940000000000001E-5</v>
      </c>
      <c r="M3080" s="9">
        <v>4.4289999999999998E-5</v>
      </c>
      <c r="N3080" s="9">
        <v>6.2119999999999995E-5</v>
      </c>
      <c r="O3080" s="9">
        <v>1.419E-5</v>
      </c>
      <c r="P3080" s="9">
        <v>4.7410000000000002E-5</v>
      </c>
      <c r="Q3080" s="9">
        <v>8.064E-5</v>
      </c>
      <c r="R3080" s="10">
        <v>1.9330435183655272E-4</v>
      </c>
      <c r="S3080" s="10">
        <v>1.8870661223744422E-4</v>
      </c>
      <c r="T3080" s="10">
        <v>0</v>
      </c>
      <c r="U3080" s="10">
        <v>9.8839999999999996E-5</v>
      </c>
      <c r="V3080" s="25"/>
      <c r="W3080" s="25"/>
      <c r="X3080" s="25"/>
      <c r="Y3080" s="25"/>
      <c r="Z3080" s="25"/>
      <c r="AA3080" s="25"/>
    </row>
    <row r="3081" spans="1:27" x14ac:dyDescent="0.35">
      <c r="A3081" s="5">
        <v>3077</v>
      </c>
      <c r="B3081" s="5">
        <v>129</v>
      </c>
      <c r="C3081" s="5">
        <v>5</v>
      </c>
      <c r="D3081" s="25">
        <v>1.1416E-4</v>
      </c>
      <c r="E3081" s="25">
        <v>1.0849999999999999E-4</v>
      </c>
      <c r="F3081" s="25">
        <v>1.1268999999999999E-4</v>
      </c>
      <c r="G3081" s="25">
        <v>5.5670000000000001E-5</v>
      </c>
      <c r="H3081" s="25">
        <v>6.69E-5</v>
      </c>
      <c r="I3081" s="9">
        <v>8.2659999999999998E-5</v>
      </c>
      <c r="J3081" s="9">
        <v>8.1959999999999995E-5</v>
      </c>
      <c r="K3081" s="9">
        <v>1.9498000000000001E-4</v>
      </c>
      <c r="L3081" s="9">
        <v>1.525E-5</v>
      </c>
      <c r="M3081" s="9">
        <v>4.3609999999999998E-5</v>
      </c>
      <c r="N3081" s="9">
        <v>6.4649999999999999E-5</v>
      </c>
      <c r="O3081" s="9">
        <v>1.9539999999999999E-5</v>
      </c>
      <c r="P3081" s="9">
        <v>5.6740000000000002E-5</v>
      </c>
      <c r="Q3081" s="9">
        <v>9.3820000000000006E-5</v>
      </c>
      <c r="R3081" s="10">
        <v>2.0035458499811649E-4</v>
      </c>
      <c r="S3081" s="10">
        <v>1.8863989106044515E-4</v>
      </c>
      <c r="T3081" s="10">
        <v>0</v>
      </c>
      <c r="U3081" s="10">
        <v>9.8839999999999996E-5</v>
      </c>
      <c r="V3081" s="25"/>
      <c r="W3081" s="25"/>
      <c r="X3081" s="25"/>
      <c r="Y3081" s="25"/>
      <c r="Z3081" s="25"/>
      <c r="AA3081" s="25"/>
    </row>
    <row r="3082" spans="1:27" x14ac:dyDescent="0.35">
      <c r="A3082" s="5">
        <v>3078</v>
      </c>
      <c r="B3082" s="5">
        <v>129</v>
      </c>
      <c r="C3082" s="5">
        <v>5</v>
      </c>
      <c r="D3082" s="25">
        <v>1.1415000000000001E-4</v>
      </c>
      <c r="E3082" s="25">
        <v>1.1892000000000001E-4</v>
      </c>
      <c r="F3082" s="25">
        <v>1.1625000000000001E-4</v>
      </c>
      <c r="G3082" s="25">
        <v>1.0703E-4</v>
      </c>
      <c r="H3082" s="25">
        <v>1.2661000000000001E-4</v>
      </c>
      <c r="I3082" s="9">
        <v>8.1279999999999994E-5</v>
      </c>
      <c r="J3082" s="9">
        <v>8.051E-5</v>
      </c>
      <c r="K3082" s="9">
        <v>1.8437999999999999E-4</v>
      </c>
      <c r="L3082" s="9">
        <v>1.8470000000000001E-5</v>
      </c>
      <c r="M3082" s="9">
        <v>4.8510000000000001E-5</v>
      </c>
      <c r="N3082" s="9">
        <v>7.1180000000000006E-5</v>
      </c>
      <c r="O3082" s="9">
        <v>4.6900000000000002E-5</v>
      </c>
      <c r="P3082" s="9">
        <v>7.7620000000000006E-5</v>
      </c>
      <c r="Q3082" s="9">
        <v>1.0808E-4</v>
      </c>
      <c r="R3082" s="10">
        <v>2.0403136380778058E-4</v>
      </c>
      <c r="S3082" s="10">
        <v>1.8954492568969494E-4</v>
      </c>
      <c r="T3082" s="10">
        <v>3.705093526207237E-5</v>
      </c>
      <c r="U3082" s="10">
        <v>9.8839999999999996E-5</v>
      </c>
      <c r="V3082" s="25"/>
      <c r="W3082" s="25"/>
      <c r="X3082" s="25"/>
      <c r="Y3082" s="25"/>
      <c r="Z3082" s="25"/>
      <c r="AA3082" s="25"/>
    </row>
    <row r="3083" spans="1:27" x14ac:dyDescent="0.35">
      <c r="A3083" s="5">
        <v>3079</v>
      </c>
      <c r="B3083" s="5">
        <v>129</v>
      </c>
      <c r="C3083" s="5">
        <v>5</v>
      </c>
      <c r="D3083" s="25">
        <v>1.1416E-4</v>
      </c>
      <c r="E3083" s="25">
        <v>1.1793E-4</v>
      </c>
      <c r="F3083" s="25">
        <v>1.0876E-4</v>
      </c>
      <c r="G3083" s="25">
        <v>1.1414E-4</v>
      </c>
      <c r="H3083" s="25">
        <v>1.2789E-4</v>
      </c>
      <c r="I3083" s="9">
        <v>8.2700000000000004E-5</v>
      </c>
      <c r="J3083" s="9">
        <v>8.3300000000000005E-5</v>
      </c>
      <c r="K3083" s="9">
        <v>1.7590999999999999E-4</v>
      </c>
      <c r="L3083" s="9">
        <v>4.0500000000000002E-5</v>
      </c>
      <c r="M3083" s="9">
        <v>6.037E-5</v>
      </c>
      <c r="N3083" s="9">
        <v>8.1089999999999998E-5</v>
      </c>
      <c r="O3083" s="9">
        <v>1.2265999999999999E-4</v>
      </c>
      <c r="P3083" s="9">
        <v>1.1809E-4</v>
      </c>
      <c r="Q3083" s="9">
        <v>1.1312E-4</v>
      </c>
      <c r="R3083" s="10">
        <v>2.0873432754275022E-4</v>
      </c>
      <c r="S3083" s="10">
        <v>1.8563217361959483E-4</v>
      </c>
      <c r="T3083" s="10">
        <v>1.0605374187678146E-5</v>
      </c>
      <c r="U3083" s="10">
        <v>9.8839999999999996E-5</v>
      </c>
      <c r="V3083" s="25"/>
      <c r="W3083" s="25"/>
      <c r="X3083" s="25"/>
      <c r="Y3083" s="25"/>
      <c r="Z3083" s="25"/>
      <c r="AA3083" s="25"/>
    </row>
    <row r="3084" spans="1:27" x14ac:dyDescent="0.35">
      <c r="A3084" s="5">
        <v>3080</v>
      </c>
      <c r="B3084" s="5">
        <v>129</v>
      </c>
      <c r="C3084" s="5">
        <v>5</v>
      </c>
      <c r="D3084" s="25">
        <v>1.1415000000000001E-4</v>
      </c>
      <c r="E3084" s="25">
        <v>1.1811000000000001E-4</v>
      </c>
      <c r="F3084" s="25">
        <v>1.0187999999999999E-4</v>
      </c>
      <c r="G3084" s="25">
        <v>1.5634000000000001E-4</v>
      </c>
      <c r="H3084" s="25">
        <v>1.9144999999999999E-4</v>
      </c>
      <c r="I3084" s="9">
        <v>8.4519999999999997E-5</v>
      </c>
      <c r="J3084" s="9">
        <v>8.831E-5</v>
      </c>
      <c r="K3084" s="9">
        <v>1.314E-4</v>
      </c>
      <c r="L3084" s="9">
        <v>1.0397E-4</v>
      </c>
      <c r="M3084" s="9">
        <v>8.4209999999999995E-5</v>
      </c>
      <c r="N3084" s="9">
        <v>9.1279999999999993E-5</v>
      </c>
      <c r="O3084" s="9">
        <v>2.1535E-4</v>
      </c>
      <c r="P3084" s="9">
        <v>1.7600999999999999E-4</v>
      </c>
      <c r="Q3084" s="9">
        <v>1.3596999999999999E-4</v>
      </c>
      <c r="R3084" s="10">
        <v>2.084219918355941E-4</v>
      </c>
      <c r="S3084" s="10">
        <v>1.8349261622801962E-4</v>
      </c>
      <c r="T3084" s="10">
        <v>7.523876663706385E-5</v>
      </c>
      <c r="U3084" s="10">
        <v>9.8839999999999996E-5</v>
      </c>
      <c r="V3084" s="25"/>
      <c r="W3084" s="25"/>
      <c r="X3084" s="25"/>
      <c r="Y3084" s="25"/>
      <c r="Z3084" s="25"/>
      <c r="AA3084" s="25"/>
    </row>
    <row r="3085" spans="1:27" x14ac:dyDescent="0.35">
      <c r="A3085" s="5">
        <v>3081</v>
      </c>
      <c r="B3085" s="5">
        <v>129</v>
      </c>
      <c r="C3085" s="5">
        <v>5</v>
      </c>
      <c r="D3085" s="25">
        <v>1.1416E-4</v>
      </c>
      <c r="E3085" s="25">
        <v>1.1031000000000001E-4</v>
      </c>
      <c r="F3085" s="25">
        <v>1.1309E-4</v>
      </c>
      <c r="G3085" s="25">
        <v>1.6749000000000001E-4</v>
      </c>
      <c r="H3085" s="25">
        <v>1.9453E-4</v>
      </c>
      <c r="I3085" s="9">
        <v>8.4610000000000005E-5</v>
      </c>
      <c r="J3085" s="9">
        <v>9.276E-5</v>
      </c>
      <c r="K3085" s="9">
        <v>1.3350999999999999E-4</v>
      </c>
      <c r="L3085" s="9">
        <v>1.8911000000000001E-4</v>
      </c>
      <c r="M3085" s="9">
        <v>1.2342000000000001E-4</v>
      </c>
      <c r="N3085" s="9">
        <v>1.0482E-4</v>
      </c>
      <c r="O3085" s="9">
        <v>2.0900000000000001E-4</v>
      </c>
      <c r="P3085" s="9">
        <v>1.9370999999999999E-4</v>
      </c>
      <c r="Q3085" s="9">
        <v>1.7741E-4</v>
      </c>
      <c r="R3085" s="10">
        <v>2.1131475097576762E-4</v>
      </c>
      <c r="S3085" s="10">
        <v>1.8861714476840779E-4</v>
      </c>
      <c r="T3085" s="10">
        <v>1.0044562000633725E-4</v>
      </c>
      <c r="U3085" s="10">
        <v>9.8839999999999996E-5</v>
      </c>
      <c r="V3085" s="25"/>
      <c r="W3085" s="25"/>
      <c r="X3085" s="25"/>
      <c r="Y3085" s="25"/>
      <c r="Z3085" s="25"/>
      <c r="AA3085" s="25"/>
    </row>
    <row r="3086" spans="1:27" x14ac:dyDescent="0.35">
      <c r="A3086" s="5">
        <v>3082</v>
      </c>
      <c r="B3086" s="5">
        <v>129</v>
      </c>
      <c r="C3086" s="5">
        <v>5</v>
      </c>
      <c r="D3086" s="25">
        <v>1.1415000000000001E-4</v>
      </c>
      <c r="E3086" s="25">
        <v>1.1485E-4</v>
      </c>
      <c r="F3086" s="25">
        <v>1.0948E-4</v>
      </c>
      <c r="G3086" s="25">
        <v>1.6485999999999999E-4</v>
      </c>
      <c r="H3086" s="25">
        <v>1.9283000000000001E-4</v>
      </c>
      <c r="I3086" s="9">
        <v>8.2330000000000006E-5</v>
      </c>
      <c r="J3086" s="9">
        <v>9.467E-5</v>
      </c>
      <c r="K3086" s="9">
        <v>9.9610000000000003E-5</v>
      </c>
      <c r="L3086" s="9">
        <v>2.0238999999999999E-4</v>
      </c>
      <c r="M3086" s="9">
        <v>1.5864000000000001E-4</v>
      </c>
      <c r="N3086" s="9">
        <v>1.2488000000000001E-4</v>
      </c>
      <c r="O3086" s="9">
        <v>1.6388000000000001E-4</v>
      </c>
      <c r="P3086" s="9">
        <v>1.7281999999999999E-4</v>
      </c>
      <c r="Q3086" s="9">
        <v>1.8076E-4</v>
      </c>
      <c r="R3086" s="10">
        <v>2.1219248028499471E-4</v>
      </c>
      <c r="S3086" s="10">
        <v>1.8940818387618507E-4</v>
      </c>
      <c r="T3086" s="10">
        <v>2.7570579168223122E-4</v>
      </c>
      <c r="U3086" s="10">
        <v>9.8839999999999996E-5</v>
      </c>
      <c r="V3086" s="25"/>
      <c r="W3086" s="25"/>
      <c r="X3086" s="25"/>
      <c r="Y3086" s="25"/>
      <c r="Z3086" s="25"/>
      <c r="AA3086" s="25"/>
    </row>
    <row r="3087" spans="1:27" x14ac:dyDescent="0.35">
      <c r="A3087" s="5">
        <v>3083</v>
      </c>
      <c r="B3087" s="5">
        <v>129</v>
      </c>
      <c r="C3087" s="5">
        <v>5</v>
      </c>
      <c r="D3087" s="25">
        <v>1.1416E-4</v>
      </c>
      <c r="E3087" s="25">
        <v>1.1245E-4</v>
      </c>
      <c r="F3087" s="25">
        <v>1.2360999999999999E-4</v>
      </c>
      <c r="G3087" s="25">
        <v>1.6069000000000001E-4</v>
      </c>
      <c r="H3087" s="25">
        <v>2.0032000000000001E-4</v>
      </c>
      <c r="I3087" s="9">
        <v>8.1160000000000002E-5</v>
      </c>
      <c r="J3087" s="9">
        <v>9.4829999999999998E-5</v>
      </c>
      <c r="K3087" s="9">
        <v>1.3564E-4</v>
      </c>
      <c r="L3087" s="9">
        <v>1.7238999999999999E-4</v>
      </c>
      <c r="M3087" s="9">
        <v>1.7192999999999999E-4</v>
      </c>
      <c r="N3087" s="9">
        <v>1.4259E-4</v>
      </c>
      <c r="O3087" s="9">
        <v>1.6420000000000001E-4</v>
      </c>
      <c r="P3087" s="9">
        <v>1.7181999999999999E-4</v>
      </c>
      <c r="Q3087" s="9">
        <v>1.7846E-4</v>
      </c>
      <c r="R3087" s="10">
        <v>2.1192351337943386E-4</v>
      </c>
      <c r="S3087" s="10">
        <v>1.8995373027384232E-4</v>
      </c>
      <c r="T3087" s="10">
        <v>3.7391155666013085E-4</v>
      </c>
      <c r="U3087" s="10">
        <v>9.8839999999999996E-5</v>
      </c>
      <c r="V3087" s="25"/>
      <c r="W3087" s="25"/>
      <c r="X3087" s="25"/>
      <c r="Y3087" s="25"/>
      <c r="Z3087" s="25"/>
      <c r="AA3087" s="25"/>
    </row>
    <row r="3088" spans="1:27" x14ac:dyDescent="0.35">
      <c r="A3088" s="5">
        <v>3084</v>
      </c>
      <c r="B3088" s="5">
        <v>129</v>
      </c>
      <c r="C3088" s="5">
        <v>5</v>
      </c>
      <c r="D3088" s="25">
        <v>1.1415000000000001E-4</v>
      </c>
      <c r="E3088" s="25">
        <v>1.143E-4</v>
      </c>
      <c r="F3088" s="25">
        <v>1.0839E-4</v>
      </c>
      <c r="G3088" s="25">
        <v>1.6389E-4</v>
      </c>
      <c r="H3088" s="25">
        <v>1.9463999999999999E-4</v>
      </c>
      <c r="I3088" s="9">
        <v>7.8800000000000004E-5</v>
      </c>
      <c r="J3088" s="9">
        <v>9.4859999999999996E-5</v>
      </c>
      <c r="K3088" s="9">
        <v>9.3250000000000003E-5</v>
      </c>
      <c r="L3088" s="9">
        <v>1.6741E-4</v>
      </c>
      <c r="M3088" s="9">
        <v>1.7409000000000001E-4</v>
      </c>
      <c r="N3088" s="9">
        <v>1.5637E-4</v>
      </c>
      <c r="O3088" s="9">
        <v>1.6702000000000001E-4</v>
      </c>
      <c r="P3088" s="9">
        <v>1.7061999999999999E-4</v>
      </c>
      <c r="Q3088" s="9">
        <v>1.7327999999999999E-4</v>
      </c>
      <c r="R3088" s="10">
        <v>2.0847868769097465E-4</v>
      </c>
      <c r="S3088" s="10">
        <v>1.8973500578085863E-4</v>
      </c>
      <c r="T3088" s="10">
        <v>4.2649724403231418E-4</v>
      </c>
      <c r="U3088" s="10">
        <v>9.8839999999999996E-5</v>
      </c>
      <c r="V3088" s="25"/>
      <c r="W3088" s="25"/>
      <c r="X3088" s="25"/>
      <c r="Y3088" s="25"/>
      <c r="Z3088" s="25"/>
      <c r="AA3088" s="25"/>
    </row>
    <row r="3089" spans="1:27" x14ac:dyDescent="0.35">
      <c r="A3089" s="5">
        <v>3085</v>
      </c>
      <c r="B3089" s="5">
        <v>129</v>
      </c>
      <c r="C3089" s="5">
        <v>5</v>
      </c>
      <c r="D3089" s="25">
        <v>1.1416E-4</v>
      </c>
      <c r="E3089" s="25">
        <v>1.1803000000000001E-4</v>
      </c>
      <c r="F3089" s="25">
        <v>1.2428E-4</v>
      </c>
      <c r="G3089" s="25">
        <v>1.6634000000000001E-4</v>
      </c>
      <c r="H3089" s="25">
        <v>2.0054E-4</v>
      </c>
      <c r="I3089" s="9">
        <v>7.4400000000000006E-5</v>
      </c>
      <c r="J3089" s="9">
        <v>9.3480000000000006E-5</v>
      </c>
      <c r="K3089" s="9">
        <v>8.4779999999999998E-5</v>
      </c>
      <c r="L3089" s="9">
        <v>1.6728000000000001E-4</v>
      </c>
      <c r="M3089" s="9">
        <v>1.7291999999999999E-4</v>
      </c>
      <c r="N3089" s="9">
        <v>1.6561000000000001E-4</v>
      </c>
      <c r="O3089" s="9">
        <v>1.6046999999999999E-4</v>
      </c>
      <c r="P3089" s="9">
        <v>1.6475999999999999E-4</v>
      </c>
      <c r="Q3089" s="9">
        <v>1.6818000000000001E-4</v>
      </c>
      <c r="R3089" s="10">
        <v>2.1031250477849208E-4</v>
      </c>
      <c r="S3089" s="10">
        <v>1.9022894649272046E-4</v>
      </c>
      <c r="T3089" s="10">
        <v>4.6219917569771386E-4</v>
      </c>
      <c r="U3089" s="10">
        <v>9.8839999999999996E-5</v>
      </c>
      <c r="V3089" s="25"/>
      <c r="W3089" s="25"/>
      <c r="X3089" s="25"/>
      <c r="Y3089" s="25"/>
      <c r="Z3089" s="25"/>
      <c r="AA3089" s="25"/>
    </row>
    <row r="3090" spans="1:27" x14ac:dyDescent="0.35">
      <c r="A3090" s="5">
        <v>3086</v>
      </c>
      <c r="B3090" s="5">
        <v>129</v>
      </c>
      <c r="C3090" s="5">
        <v>5</v>
      </c>
      <c r="D3090" s="25">
        <v>1.1415000000000001E-4</v>
      </c>
      <c r="E3090" s="25">
        <v>1.1878E-4</v>
      </c>
      <c r="F3090" s="25">
        <v>1.2069E-4</v>
      </c>
      <c r="G3090" s="25">
        <v>1.6066999999999999E-4</v>
      </c>
      <c r="H3090" s="25">
        <v>1.9346000000000001E-4</v>
      </c>
      <c r="I3090" s="9">
        <v>7.2849999999999995E-5</v>
      </c>
      <c r="J3090" s="9">
        <v>9.2509999999999993E-5</v>
      </c>
      <c r="K3090" s="9">
        <v>9.7490000000000003E-5</v>
      </c>
      <c r="L3090" s="9">
        <v>1.617E-4</v>
      </c>
      <c r="M3090" s="9">
        <v>1.6966E-4</v>
      </c>
      <c r="N3090" s="9">
        <v>1.7013999999999999E-4</v>
      </c>
      <c r="O3090" s="9">
        <v>1.7631999999999999E-4</v>
      </c>
      <c r="P3090" s="9">
        <v>1.6913E-4</v>
      </c>
      <c r="Q3090" s="9">
        <v>1.6108999999999999E-4</v>
      </c>
      <c r="R3090" s="10">
        <v>2.0944213734658187E-4</v>
      </c>
      <c r="S3090" s="10">
        <v>1.9028790770000487E-4</v>
      </c>
      <c r="T3090" s="10">
        <v>2.0421708535793039E-4</v>
      </c>
      <c r="U3090" s="10">
        <v>9.8839999999999996E-5</v>
      </c>
      <c r="V3090" s="25"/>
      <c r="W3090" s="25"/>
      <c r="X3090" s="25"/>
      <c r="Y3090" s="25"/>
      <c r="Z3090" s="25"/>
      <c r="AA3090" s="25"/>
    </row>
    <row r="3091" spans="1:27" x14ac:dyDescent="0.35">
      <c r="A3091" s="5">
        <v>3087</v>
      </c>
      <c r="B3091" s="5">
        <v>129</v>
      </c>
      <c r="C3091" s="5">
        <v>5</v>
      </c>
      <c r="D3091" s="25">
        <v>1.1416E-4</v>
      </c>
      <c r="E3091" s="25">
        <v>1.1565000000000001E-4</v>
      </c>
      <c r="F3091" s="25">
        <v>1.2065000000000001E-4</v>
      </c>
      <c r="G3091" s="25">
        <v>1.5641E-4</v>
      </c>
      <c r="H3091" s="25">
        <v>1.9436E-4</v>
      </c>
      <c r="I3091" s="9">
        <v>7.4140000000000005E-5</v>
      </c>
      <c r="J3091" s="9">
        <v>9.2609999999999996E-5</v>
      </c>
      <c r="K3091" s="9">
        <v>1.0173E-4</v>
      </c>
      <c r="L3091" s="9">
        <v>1.7322999999999999E-4</v>
      </c>
      <c r="M3091" s="9">
        <v>1.6854000000000001E-4</v>
      </c>
      <c r="N3091" s="9">
        <v>1.6977999999999999E-4</v>
      </c>
      <c r="O3091" s="9">
        <v>1.8074000000000001E-4</v>
      </c>
      <c r="P3091" s="9">
        <v>1.6687000000000001E-4</v>
      </c>
      <c r="Q3091" s="9">
        <v>1.5220000000000001E-4</v>
      </c>
      <c r="R3091" s="10">
        <v>2.1121967733593036E-4</v>
      </c>
      <c r="S3091" s="10">
        <v>1.9029020240194375E-4</v>
      </c>
      <c r="T3091" s="10">
        <v>7.1361441834048714E-5</v>
      </c>
      <c r="U3091" s="10">
        <v>9.8839999999999996E-5</v>
      </c>
      <c r="V3091" s="25"/>
      <c r="W3091" s="25"/>
      <c r="X3091" s="25"/>
      <c r="Y3091" s="25"/>
      <c r="Z3091" s="25"/>
      <c r="AA3091" s="25"/>
    </row>
    <row r="3092" spans="1:27" x14ac:dyDescent="0.35">
      <c r="A3092" s="5">
        <v>3088</v>
      </c>
      <c r="B3092" s="5">
        <v>129</v>
      </c>
      <c r="C3092" s="5">
        <v>5</v>
      </c>
      <c r="D3092" s="25">
        <v>1.1415000000000001E-4</v>
      </c>
      <c r="E3092" s="25">
        <v>1.1493E-4</v>
      </c>
      <c r="F3092" s="25">
        <v>1.0754E-4</v>
      </c>
      <c r="G3092" s="25">
        <v>1.5618000000000001E-4</v>
      </c>
      <c r="H3092" s="25">
        <v>1.9803999999999999E-4</v>
      </c>
      <c r="I3092" s="9">
        <v>7.6699999999999994E-5</v>
      </c>
      <c r="J3092" s="9">
        <v>9.4040000000000001E-5</v>
      </c>
      <c r="K3092" s="9">
        <v>9.9610000000000003E-5</v>
      </c>
      <c r="L3092" s="9">
        <v>1.7878999999999999E-4</v>
      </c>
      <c r="M3092" s="9">
        <v>1.6772E-4</v>
      </c>
      <c r="N3092" s="9">
        <v>1.6593000000000001E-4</v>
      </c>
      <c r="O3092" s="9">
        <v>1.9651E-4</v>
      </c>
      <c r="P3092" s="9">
        <v>1.5389000000000001E-4</v>
      </c>
      <c r="Q3092" s="9">
        <v>1.1079E-4</v>
      </c>
      <c r="R3092" s="10">
        <v>2.1208482802906775E-4</v>
      </c>
      <c r="S3092" s="10">
        <v>1.9029020759484994E-4</v>
      </c>
      <c r="T3092" s="10">
        <v>1.8690063038428949E-4</v>
      </c>
      <c r="U3092" s="10">
        <v>9.8839999999999996E-5</v>
      </c>
      <c r="V3092" s="25"/>
      <c r="W3092" s="25"/>
      <c r="X3092" s="25"/>
      <c r="Y3092" s="25"/>
      <c r="Z3092" s="25"/>
      <c r="AA3092" s="25"/>
    </row>
    <row r="3093" spans="1:27" x14ac:dyDescent="0.35">
      <c r="A3093" s="5">
        <v>3089</v>
      </c>
      <c r="B3093" s="5">
        <v>129</v>
      </c>
      <c r="C3093" s="5">
        <v>5</v>
      </c>
      <c r="D3093" s="25">
        <v>1.1416E-4</v>
      </c>
      <c r="E3093" s="25">
        <v>1.0951E-4</v>
      </c>
      <c r="F3093" s="25">
        <v>1.142E-4</v>
      </c>
      <c r="G3093" s="25">
        <v>1.5631999999999999E-4</v>
      </c>
      <c r="H3093" s="25">
        <v>1.8987E-4</v>
      </c>
      <c r="I3093" s="9">
        <v>8.2029999999999999E-5</v>
      </c>
      <c r="J3093" s="9">
        <v>9.9170000000000001E-5</v>
      </c>
      <c r="K3093" s="9">
        <v>1.0173E-4</v>
      </c>
      <c r="L3093" s="9">
        <v>1.9241000000000001E-4</v>
      </c>
      <c r="M3093" s="9">
        <v>1.6262000000000001E-4</v>
      </c>
      <c r="N3093" s="9">
        <v>1.5254999999999999E-4</v>
      </c>
      <c r="O3093" s="9">
        <v>2.0952000000000001E-4</v>
      </c>
      <c r="P3093" s="9">
        <v>1.582E-4</v>
      </c>
      <c r="Q3093" s="9">
        <v>1.0641000000000001E-4</v>
      </c>
      <c r="R3093" s="10">
        <v>2.1220412536899526E-4</v>
      </c>
      <c r="S3093" s="10">
        <v>1.9028979378563822E-4</v>
      </c>
      <c r="T3093" s="10">
        <v>7.9565759305636529E-5</v>
      </c>
      <c r="U3093" s="10">
        <v>9.8839999999999996E-5</v>
      </c>
      <c r="V3093" s="25"/>
      <c r="W3093" s="25"/>
      <c r="X3093" s="25"/>
      <c r="Y3093" s="25"/>
      <c r="Z3093" s="25"/>
      <c r="AA3093" s="25"/>
    </row>
    <row r="3094" spans="1:27" x14ac:dyDescent="0.35">
      <c r="A3094" s="5">
        <v>3090</v>
      </c>
      <c r="B3094" s="5">
        <v>129</v>
      </c>
      <c r="C3094" s="5">
        <v>5</v>
      </c>
      <c r="D3094" s="25">
        <v>1.1415000000000001E-4</v>
      </c>
      <c r="E3094" s="25">
        <v>1.1268E-4</v>
      </c>
      <c r="F3094" s="25">
        <v>1.1464999999999999E-4</v>
      </c>
      <c r="G3094" s="25">
        <v>1.5648999999999999E-4</v>
      </c>
      <c r="H3094" s="25">
        <v>1.9828000000000001E-4</v>
      </c>
      <c r="I3094" s="9">
        <v>8.9030000000000006E-5</v>
      </c>
      <c r="J3094" s="9">
        <v>1.0194E-4</v>
      </c>
      <c r="K3094" s="9">
        <v>1.3352000000000001E-4</v>
      </c>
      <c r="L3094" s="9">
        <v>2.0547E-4</v>
      </c>
      <c r="M3094" s="9">
        <v>1.5961999999999999E-4</v>
      </c>
      <c r="N3094" s="9">
        <v>1.3910999999999999E-4</v>
      </c>
      <c r="O3094" s="9">
        <v>2.0105000000000001E-4</v>
      </c>
      <c r="P3094" s="9">
        <v>1.5919E-4</v>
      </c>
      <c r="Q3094" s="9">
        <v>1.1680000000000001E-4</v>
      </c>
      <c r="R3094" s="10">
        <v>2.1191420101853223E-4</v>
      </c>
      <c r="S3094" s="10">
        <v>1.9025647483837565E-4</v>
      </c>
      <c r="T3094" s="10">
        <v>1.1125461737841882E-4</v>
      </c>
      <c r="U3094" s="10">
        <v>9.8839999999999996E-5</v>
      </c>
      <c r="V3094" s="25"/>
      <c r="W3094" s="25"/>
      <c r="X3094" s="25"/>
      <c r="Y3094" s="25"/>
      <c r="Z3094" s="25"/>
      <c r="AA3094" s="25"/>
    </row>
    <row r="3095" spans="1:27" x14ac:dyDescent="0.35">
      <c r="A3095" s="5">
        <v>3091</v>
      </c>
      <c r="B3095" s="5">
        <v>129</v>
      </c>
      <c r="C3095" s="5">
        <v>5</v>
      </c>
      <c r="D3095" s="25">
        <v>1.1416E-4</v>
      </c>
      <c r="E3095" s="25">
        <v>1.08E-4</v>
      </c>
      <c r="F3095" s="25">
        <v>1.2347000000000001E-4</v>
      </c>
      <c r="G3095" s="25">
        <v>1.1256000000000001E-4</v>
      </c>
      <c r="H3095" s="25">
        <v>1.2787000000000001E-4</v>
      </c>
      <c r="I3095" s="9">
        <v>9.4859999999999996E-5</v>
      </c>
      <c r="J3095" s="9">
        <v>1.0255E-4</v>
      </c>
      <c r="K3095" s="9">
        <v>1.4836E-4</v>
      </c>
      <c r="L3095" s="9">
        <v>2.0169E-4</v>
      </c>
      <c r="M3095" s="9">
        <v>1.5883E-4</v>
      </c>
      <c r="N3095" s="9">
        <v>1.2985000000000001E-4</v>
      </c>
      <c r="O3095" s="9">
        <v>1.6169000000000001E-4</v>
      </c>
      <c r="P3095" s="9">
        <v>1.3438E-4</v>
      </c>
      <c r="Q3095" s="9">
        <v>1.0666E-4</v>
      </c>
      <c r="R3095" s="10">
        <v>2.1211496874769069E-4</v>
      </c>
      <c r="S3095" s="10">
        <v>1.8933565267168103E-4</v>
      </c>
      <c r="T3095" s="10">
        <v>2.5469866649127835E-5</v>
      </c>
      <c r="U3095" s="10">
        <v>9.8839999999999996E-5</v>
      </c>
      <c r="V3095" s="25"/>
      <c r="W3095" s="25"/>
      <c r="X3095" s="25"/>
      <c r="Y3095" s="25"/>
      <c r="Z3095" s="25"/>
      <c r="AA3095" s="25"/>
    </row>
    <row r="3096" spans="1:27" x14ac:dyDescent="0.35">
      <c r="A3096" s="5">
        <v>3092</v>
      </c>
      <c r="B3096" s="5">
        <v>129</v>
      </c>
      <c r="C3096" s="5">
        <v>5</v>
      </c>
      <c r="D3096" s="25">
        <v>1.1415000000000001E-4</v>
      </c>
      <c r="E3096" s="25">
        <v>1.1345000000000001E-4</v>
      </c>
      <c r="F3096" s="25">
        <v>1.2336000000000001E-4</v>
      </c>
      <c r="G3096" s="25">
        <v>1.0821E-4</v>
      </c>
      <c r="H3096" s="25">
        <v>1.3771000000000001E-4</v>
      </c>
      <c r="I3096" s="9">
        <v>9.8540000000000002E-5</v>
      </c>
      <c r="J3096" s="9">
        <v>1.0342E-4</v>
      </c>
      <c r="K3096" s="9">
        <v>1.6107E-4</v>
      </c>
      <c r="L3096" s="9">
        <v>1.7069000000000001E-4</v>
      </c>
      <c r="M3096" s="9">
        <v>1.4998E-4</v>
      </c>
      <c r="N3096" s="9">
        <v>1.2065000000000001E-4</v>
      </c>
      <c r="O3096" s="9">
        <v>1.2663E-4</v>
      </c>
      <c r="P3096" s="9">
        <v>1.1407E-4</v>
      </c>
      <c r="Q3096" s="9">
        <v>1.0119E-4</v>
      </c>
      <c r="R3096" s="10">
        <v>2.1233858087036771E-4</v>
      </c>
      <c r="S3096" s="10">
        <v>1.8546975192337557E-4</v>
      </c>
      <c r="T3096" s="10">
        <v>0</v>
      </c>
      <c r="U3096" s="10">
        <v>9.8839999999999996E-5</v>
      </c>
      <c r="V3096" s="25"/>
      <c r="W3096" s="25"/>
      <c r="X3096" s="25"/>
      <c r="Y3096" s="25"/>
      <c r="Z3096" s="25"/>
      <c r="AA3096" s="25"/>
    </row>
    <row r="3097" spans="1:27" x14ac:dyDescent="0.35">
      <c r="A3097" s="5">
        <v>3093</v>
      </c>
      <c r="B3097" s="5">
        <v>129</v>
      </c>
      <c r="C3097" s="5">
        <v>5</v>
      </c>
      <c r="D3097" s="25">
        <v>1.1416E-4</v>
      </c>
      <c r="E3097" s="25">
        <v>1.172E-4</v>
      </c>
      <c r="F3097" s="25">
        <v>1.0754E-4</v>
      </c>
      <c r="G3097" s="25">
        <v>5.8010000000000002E-5</v>
      </c>
      <c r="H3097" s="25">
        <v>7.2269999999999998E-5</v>
      </c>
      <c r="I3097" s="9">
        <v>1.0094000000000001E-4</v>
      </c>
      <c r="J3097" s="9">
        <v>1.054E-4</v>
      </c>
      <c r="K3097" s="9">
        <v>1.7166999999999999E-4</v>
      </c>
      <c r="L3097" s="9">
        <v>1.3726999999999999E-4</v>
      </c>
      <c r="M3097" s="9">
        <v>1.3459999999999999E-4</v>
      </c>
      <c r="N3097" s="9">
        <v>1.1281999999999999E-4</v>
      </c>
      <c r="O3097" s="9">
        <v>8.3599999999999999E-5</v>
      </c>
      <c r="P3097" s="9">
        <v>8.5740000000000002E-5</v>
      </c>
      <c r="Q3097" s="9">
        <v>8.7719999999999994E-5</v>
      </c>
      <c r="R3097" s="10">
        <v>2.1102092632427379E-4</v>
      </c>
      <c r="S3097" s="10">
        <v>1.8300013511239033E-4</v>
      </c>
      <c r="T3097" s="10">
        <v>0</v>
      </c>
      <c r="U3097" s="10">
        <v>9.8839999999999996E-5</v>
      </c>
      <c r="V3097" s="25"/>
      <c r="W3097" s="25"/>
      <c r="X3097" s="25"/>
      <c r="Y3097" s="25"/>
      <c r="Z3097" s="25"/>
      <c r="AA3097" s="25"/>
    </row>
    <row r="3098" spans="1:27" x14ac:dyDescent="0.35">
      <c r="A3098" s="5">
        <v>3094</v>
      </c>
      <c r="B3098" s="5">
        <v>129</v>
      </c>
      <c r="C3098" s="5">
        <v>5</v>
      </c>
      <c r="D3098" s="25">
        <v>1.1415000000000001E-4</v>
      </c>
      <c r="E3098" s="25">
        <v>1.1823E-4</v>
      </c>
      <c r="F3098" s="25">
        <v>1.111E-4</v>
      </c>
      <c r="G3098" s="25">
        <v>6.0139999999999997E-5</v>
      </c>
      <c r="H3098" s="25">
        <v>6.8819999999999995E-5</v>
      </c>
      <c r="I3098" s="9">
        <v>1.0254E-4</v>
      </c>
      <c r="J3098" s="9">
        <v>1.0535E-4</v>
      </c>
      <c r="K3098" s="9">
        <v>1.8226000000000001E-4</v>
      </c>
      <c r="L3098" s="9">
        <v>9.6310000000000005E-5</v>
      </c>
      <c r="M3098" s="9">
        <v>1.1306000000000001E-4</v>
      </c>
      <c r="N3098" s="9">
        <v>1.0509999999999999E-4</v>
      </c>
      <c r="O3098" s="9">
        <v>8.6790000000000001E-5</v>
      </c>
      <c r="P3098" s="9">
        <v>8.7600000000000002E-5</v>
      </c>
      <c r="Q3098" s="9">
        <v>8.8239999999999995E-5</v>
      </c>
      <c r="R3098" s="10">
        <v>2.0577300827609308E-4</v>
      </c>
      <c r="S3098" s="10">
        <v>1.8045202417542989E-4</v>
      </c>
      <c r="T3098" s="10">
        <v>0</v>
      </c>
      <c r="U3098" s="10">
        <v>9.8839999999999996E-5</v>
      </c>
      <c r="V3098" s="25"/>
      <c r="W3098" s="25"/>
      <c r="X3098" s="25"/>
      <c r="Y3098" s="25"/>
      <c r="Z3098" s="25"/>
      <c r="AA3098" s="25"/>
    </row>
    <row r="3099" spans="1:27" x14ac:dyDescent="0.35">
      <c r="A3099" s="5">
        <v>3095</v>
      </c>
      <c r="B3099" s="5">
        <v>129</v>
      </c>
      <c r="C3099" s="5">
        <v>5</v>
      </c>
      <c r="D3099" s="25">
        <v>1.1416E-4</v>
      </c>
      <c r="E3099" s="25">
        <v>1.1386E-4</v>
      </c>
      <c r="F3099" s="25">
        <v>1.1739E-4</v>
      </c>
      <c r="G3099" s="25">
        <v>5.3319999999999998E-5</v>
      </c>
      <c r="H3099" s="25">
        <v>6.8919999999999997E-5</v>
      </c>
      <c r="I3099" s="9">
        <v>9.679E-5</v>
      </c>
      <c r="J3099" s="9">
        <v>9.8750000000000002E-5</v>
      </c>
      <c r="K3099" s="9">
        <v>1.9922000000000001E-4</v>
      </c>
      <c r="L3099" s="9">
        <v>8.9800000000000001E-5</v>
      </c>
      <c r="M3099" s="9">
        <v>9.8610000000000006E-5</v>
      </c>
      <c r="N3099" s="9">
        <v>9.9370000000000006E-5</v>
      </c>
      <c r="O3099" s="9">
        <v>7.7579999999999999E-5</v>
      </c>
      <c r="P3099" s="9">
        <v>7.2290000000000001E-5</v>
      </c>
      <c r="Q3099" s="9">
        <v>6.703E-5</v>
      </c>
      <c r="R3099" s="10">
        <v>1.9440516305808261E-4</v>
      </c>
      <c r="S3099" s="10">
        <v>1.792042984680153E-4</v>
      </c>
      <c r="T3099" s="10">
        <v>0</v>
      </c>
      <c r="U3099" s="10">
        <v>9.8839999999999996E-5</v>
      </c>
      <c r="V3099" s="25"/>
      <c r="W3099" s="25"/>
      <c r="X3099" s="25"/>
      <c r="Y3099" s="25"/>
      <c r="Z3099" s="25"/>
      <c r="AA3099" s="25"/>
    </row>
    <row r="3100" spans="1:27" x14ac:dyDescent="0.35">
      <c r="A3100" s="5">
        <v>3096</v>
      </c>
      <c r="B3100" s="5">
        <v>129</v>
      </c>
      <c r="C3100" s="5">
        <v>5</v>
      </c>
      <c r="D3100" s="25">
        <v>1.1415000000000001E-4</v>
      </c>
      <c r="E3100" s="25">
        <v>1.093E-4</v>
      </c>
      <c r="F3100" s="25">
        <v>1.0488999999999999E-4</v>
      </c>
      <c r="G3100" s="25">
        <v>5.9280000000000002E-5</v>
      </c>
      <c r="H3100" s="25">
        <v>7.2769999999999996E-5</v>
      </c>
      <c r="I3100" s="9">
        <v>9.009E-5</v>
      </c>
      <c r="J3100" s="9">
        <v>9.2100000000000003E-5</v>
      </c>
      <c r="K3100" s="9">
        <v>1.9074000000000001E-4</v>
      </c>
      <c r="L3100" s="9">
        <v>8.0240000000000004E-5</v>
      </c>
      <c r="M3100" s="9">
        <v>8.5970000000000005E-5</v>
      </c>
      <c r="N3100" s="9">
        <v>9.0240000000000003E-5</v>
      </c>
      <c r="O3100" s="9">
        <v>6.2260000000000004E-5</v>
      </c>
      <c r="P3100" s="9">
        <v>6.0350000000000003E-5</v>
      </c>
      <c r="Q3100" s="9">
        <v>5.855E-5</v>
      </c>
      <c r="R3100" s="10">
        <v>1.8307648532023675E-4</v>
      </c>
      <c r="S3100" s="10">
        <v>1.7496231887703653E-4</v>
      </c>
      <c r="T3100" s="10">
        <v>0</v>
      </c>
      <c r="U3100" s="10">
        <v>9.8839999999999996E-5</v>
      </c>
      <c r="V3100" s="25"/>
      <c r="W3100" s="25"/>
      <c r="X3100" s="25"/>
      <c r="Y3100" s="25"/>
      <c r="Z3100" s="25"/>
      <c r="AA3100" s="25"/>
    </row>
    <row r="3101" spans="1:27" x14ac:dyDescent="0.35">
      <c r="A3101" s="5">
        <v>3097</v>
      </c>
      <c r="B3101" s="5">
        <v>130</v>
      </c>
      <c r="C3101" s="5">
        <v>5</v>
      </c>
      <c r="D3101" s="25">
        <v>1.1416E-4</v>
      </c>
      <c r="E3101" s="25">
        <v>1.1136E-4</v>
      </c>
      <c r="F3101" s="25">
        <v>1.0016E-4</v>
      </c>
      <c r="G3101" s="25">
        <v>6.1539999999999997E-5</v>
      </c>
      <c r="H3101" s="25">
        <v>7.2039999999999995E-5</v>
      </c>
      <c r="I3101" s="9">
        <v>8.6089999999999997E-5</v>
      </c>
      <c r="J3101" s="9">
        <v>8.8220000000000006E-5</v>
      </c>
      <c r="K3101" s="9">
        <v>2.0346000000000001E-4</v>
      </c>
      <c r="L3101" s="9">
        <v>6.6210000000000005E-5</v>
      </c>
      <c r="M3101" s="9">
        <v>7.3850000000000006E-5</v>
      </c>
      <c r="N3101" s="9">
        <v>8.0870000000000003E-5</v>
      </c>
      <c r="O3101" s="9">
        <v>5.4839999999999997E-5</v>
      </c>
      <c r="P3101" s="9">
        <v>5.4249999999999997E-5</v>
      </c>
      <c r="Q3101" s="9">
        <v>5.3829999999999998E-5</v>
      </c>
      <c r="R3101" s="10">
        <v>1.6005631362482744E-4</v>
      </c>
      <c r="S3101" s="10">
        <v>1.6458502812686338E-4</v>
      </c>
      <c r="T3101" s="10">
        <v>0</v>
      </c>
      <c r="U3101" s="10">
        <v>9.7109999999999997E-5</v>
      </c>
      <c r="V3101" s="25"/>
      <c r="W3101" s="25"/>
      <c r="X3101" s="25"/>
      <c r="Y3101" s="25"/>
      <c r="Z3101" s="25"/>
      <c r="AA3101" s="25"/>
    </row>
    <row r="3102" spans="1:27" x14ac:dyDescent="0.35">
      <c r="A3102" s="5">
        <v>3098</v>
      </c>
      <c r="B3102" s="5">
        <v>130</v>
      </c>
      <c r="C3102" s="5">
        <v>5</v>
      </c>
      <c r="D3102" s="25">
        <v>1.1415000000000001E-4</v>
      </c>
      <c r="E3102" s="25">
        <v>1.1203E-4</v>
      </c>
      <c r="F3102" s="25">
        <v>1.0559E-4</v>
      </c>
      <c r="G3102" s="25">
        <v>5.6789999999999997E-5</v>
      </c>
      <c r="H3102" s="25">
        <v>7.1439999999999994E-5</v>
      </c>
      <c r="I3102" s="9">
        <v>8.3809999999999999E-5</v>
      </c>
      <c r="J3102" s="9">
        <v>8.6819999999999999E-5</v>
      </c>
      <c r="K3102" s="9">
        <v>2.0346000000000001E-4</v>
      </c>
      <c r="L3102" s="9">
        <v>5.7729999999999998E-5</v>
      </c>
      <c r="M3102" s="9">
        <v>6.3899999999999995E-5</v>
      </c>
      <c r="N3102" s="9">
        <v>7.1959999999999995E-5</v>
      </c>
      <c r="O3102" s="9">
        <v>1.9559999999999999E-5</v>
      </c>
      <c r="P3102" s="9">
        <v>3.7849999999999998E-5</v>
      </c>
      <c r="Q3102" s="9">
        <v>5.6329999999999998E-5</v>
      </c>
      <c r="R3102" s="10">
        <v>1.3995379081339652E-4</v>
      </c>
      <c r="S3102" s="10">
        <v>1.5719886398493941E-4</v>
      </c>
      <c r="T3102" s="10">
        <v>0</v>
      </c>
      <c r="U3102" s="10">
        <v>9.7109999999999997E-5</v>
      </c>
      <c r="V3102" s="25"/>
      <c r="W3102" s="25"/>
      <c r="X3102" s="25"/>
      <c r="Y3102" s="25"/>
      <c r="Z3102" s="25"/>
      <c r="AA3102" s="25"/>
    </row>
    <row r="3103" spans="1:27" x14ac:dyDescent="0.35">
      <c r="A3103" s="5">
        <v>3099</v>
      </c>
      <c r="B3103" s="5">
        <v>130</v>
      </c>
      <c r="C3103" s="5">
        <v>5</v>
      </c>
      <c r="D3103" s="25">
        <v>1.1416E-4</v>
      </c>
      <c r="E3103" s="25">
        <v>1.1509E-4</v>
      </c>
      <c r="F3103" s="25">
        <v>9.692E-5</v>
      </c>
      <c r="G3103" s="25">
        <v>5.8019999999999997E-5</v>
      </c>
      <c r="H3103" s="25">
        <v>7.1180000000000006E-5</v>
      </c>
      <c r="I3103" s="9">
        <v>8.2249999999999993E-5</v>
      </c>
      <c r="J3103" s="9">
        <v>8.632E-5</v>
      </c>
      <c r="K3103" s="9">
        <v>1.9709999999999999E-4</v>
      </c>
      <c r="L3103" s="9">
        <v>2.815E-5</v>
      </c>
      <c r="M3103" s="9">
        <v>5.2269999999999999E-5</v>
      </c>
      <c r="N3103" s="9">
        <v>6.5500000000000006E-5</v>
      </c>
      <c r="O3103" s="9">
        <v>1.4080000000000001E-5</v>
      </c>
      <c r="P3103" s="9">
        <v>3.765E-5</v>
      </c>
      <c r="Q3103" s="9">
        <v>6.1370000000000004E-5</v>
      </c>
      <c r="R3103" s="10">
        <v>1.4008624738042012E-4</v>
      </c>
      <c r="S3103" s="10">
        <v>1.4230957806752066E-4</v>
      </c>
      <c r="T3103" s="10">
        <v>0</v>
      </c>
      <c r="U3103" s="10">
        <v>9.7109999999999997E-5</v>
      </c>
      <c r="V3103" s="25"/>
      <c r="W3103" s="25"/>
      <c r="X3103" s="25"/>
      <c r="Y3103" s="25"/>
      <c r="Z3103" s="25"/>
      <c r="AA3103" s="25"/>
    </row>
    <row r="3104" spans="1:27" x14ac:dyDescent="0.35">
      <c r="A3104" s="5">
        <v>3100</v>
      </c>
      <c r="B3104" s="5">
        <v>130</v>
      </c>
      <c r="C3104" s="5">
        <v>5</v>
      </c>
      <c r="D3104" s="25">
        <v>1.1415000000000001E-4</v>
      </c>
      <c r="E3104" s="25">
        <v>1.1145E-4</v>
      </c>
      <c r="F3104" s="25">
        <v>9.4359999999999998E-5</v>
      </c>
      <c r="G3104" s="25">
        <v>6.1890000000000005E-5</v>
      </c>
      <c r="H3104" s="25">
        <v>7.5859999999999995E-5</v>
      </c>
      <c r="I3104" s="9">
        <v>8.4909999999999998E-5</v>
      </c>
      <c r="J3104" s="9">
        <v>8.6589999999999996E-5</v>
      </c>
      <c r="K3104" s="9">
        <v>2.1829E-4</v>
      </c>
      <c r="L3104" s="9">
        <v>1.7900000000000001E-5</v>
      </c>
      <c r="M3104" s="9">
        <v>4.4230000000000002E-5</v>
      </c>
      <c r="N3104" s="9">
        <v>6.1909999999999995E-5</v>
      </c>
      <c r="O3104" s="9">
        <v>1.4100000000000001E-5</v>
      </c>
      <c r="P3104" s="9">
        <v>4.7139999999999999E-5</v>
      </c>
      <c r="Q3104" s="9">
        <v>8.0179999999999995E-5</v>
      </c>
      <c r="R3104" s="10">
        <v>1.1539586817975137E-4</v>
      </c>
      <c r="S3104" s="10">
        <v>1.2506176652858734E-4</v>
      </c>
      <c r="T3104" s="10">
        <v>0</v>
      </c>
      <c r="U3104" s="10">
        <v>9.7109999999999997E-5</v>
      </c>
      <c r="V3104" s="25"/>
      <c r="W3104" s="25"/>
      <c r="X3104" s="25"/>
      <c r="Y3104" s="25"/>
      <c r="Z3104" s="25"/>
      <c r="AA3104" s="25"/>
    </row>
    <row r="3105" spans="1:27" x14ac:dyDescent="0.35">
      <c r="A3105" s="5">
        <v>3101</v>
      </c>
      <c r="B3105" s="5">
        <v>130</v>
      </c>
      <c r="C3105" s="5">
        <v>5</v>
      </c>
      <c r="D3105" s="25">
        <v>1.1416E-4</v>
      </c>
      <c r="E3105" s="25">
        <v>1.1442000000000001E-4</v>
      </c>
      <c r="F3105" s="25">
        <v>8.5539999999999998E-5</v>
      </c>
      <c r="G3105" s="25">
        <v>5.257E-5</v>
      </c>
      <c r="H3105" s="25">
        <v>7.6349999999999999E-5</v>
      </c>
      <c r="I3105" s="9">
        <v>8.9510000000000002E-5</v>
      </c>
      <c r="J3105" s="9">
        <v>8.9069999999999999E-5</v>
      </c>
      <c r="K3105" s="9">
        <v>1.9922000000000001E-4</v>
      </c>
      <c r="L3105" s="9">
        <v>1.519E-5</v>
      </c>
      <c r="M3105" s="9">
        <v>4.3460000000000001E-5</v>
      </c>
      <c r="N3105" s="9">
        <v>6.4419999999999996E-5</v>
      </c>
      <c r="O3105" s="9">
        <v>1.9380000000000001E-5</v>
      </c>
      <c r="P3105" s="9">
        <v>5.6270000000000002E-5</v>
      </c>
      <c r="Q3105" s="9">
        <v>9.3049999999999998E-5</v>
      </c>
      <c r="R3105" s="10">
        <v>8.882749857127157E-5</v>
      </c>
      <c r="S3105" s="10">
        <v>1.0609763378428385E-4</v>
      </c>
      <c r="T3105" s="10">
        <v>0</v>
      </c>
      <c r="U3105" s="10">
        <v>9.7109999999999997E-5</v>
      </c>
      <c r="V3105" s="25"/>
      <c r="W3105" s="25"/>
      <c r="X3105" s="25"/>
      <c r="Y3105" s="25"/>
      <c r="Z3105" s="25"/>
      <c r="AA3105" s="25"/>
    </row>
    <row r="3106" spans="1:27" x14ac:dyDescent="0.35">
      <c r="A3106" s="5">
        <v>3102</v>
      </c>
      <c r="B3106" s="5">
        <v>130</v>
      </c>
      <c r="C3106" s="5">
        <v>5</v>
      </c>
      <c r="D3106" s="25">
        <v>1.1415000000000001E-4</v>
      </c>
      <c r="E3106" s="25">
        <v>1.1242E-4</v>
      </c>
      <c r="F3106" s="25">
        <v>1.0051E-4</v>
      </c>
      <c r="G3106" s="25">
        <v>1.1518000000000001E-4</v>
      </c>
      <c r="H3106" s="25">
        <v>1.4003999999999999E-4</v>
      </c>
      <c r="I3106" s="9">
        <v>9.7709999999999998E-5</v>
      </c>
      <c r="J3106" s="9">
        <v>9.6840000000000001E-5</v>
      </c>
      <c r="K3106" s="9">
        <v>1.5894999999999999E-4</v>
      </c>
      <c r="L3106" s="9">
        <v>1.8329999999999999E-5</v>
      </c>
      <c r="M3106" s="9">
        <v>4.8229999999999997E-5</v>
      </c>
      <c r="N3106" s="9">
        <v>7.0850000000000001E-5</v>
      </c>
      <c r="O3106" s="9">
        <v>4.6629999999999999E-5</v>
      </c>
      <c r="P3106" s="9">
        <v>7.7169999999999995E-5</v>
      </c>
      <c r="Q3106" s="9">
        <v>1.0746E-4</v>
      </c>
      <c r="R3106" s="10">
        <v>7.0213539103516738E-5</v>
      </c>
      <c r="S3106" s="10">
        <v>7.7991500998256369E-5</v>
      </c>
      <c r="T3106" s="10">
        <v>2.1931913820118406E-5</v>
      </c>
      <c r="U3106" s="10">
        <v>9.7109999999999997E-5</v>
      </c>
      <c r="V3106" s="25"/>
      <c r="W3106" s="25"/>
      <c r="X3106" s="25"/>
      <c r="Y3106" s="25"/>
      <c r="Z3106" s="25"/>
      <c r="AA3106" s="25"/>
    </row>
    <row r="3107" spans="1:27" x14ac:dyDescent="0.35">
      <c r="A3107" s="5">
        <v>3103</v>
      </c>
      <c r="B3107" s="5">
        <v>130</v>
      </c>
      <c r="C3107" s="5">
        <v>5</v>
      </c>
      <c r="D3107" s="25">
        <v>1.1416E-4</v>
      </c>
      <c r="E3107" s="25">
        <v>1.1291E-4</v>
      </c>
      <c r="F3107" s="25">
        <v>9.5600000000000006E-5</v>
      </c>
      <c r="G3107" s="25">
        <v>1.1336999999999999E-4</v>
      </c>
      <c r="H3107" s="25">
        <v>1.3306E-4</v>
      </c>
      <c r="I3107" s="9">
        <v>1.0622E-4</v>
      </c>
      <c r="J3107" s="9">
        <v>1.1145E-4</v>
      </c>
      <c r="K3107" s="9">
        <v>1.3564E-4</v>
      </c>
      <c r="L3107" s="9">
        <v>4.0259999999999997E-5</v>
      </c>
      <c r="M3107" s="9">
        <v>6.0000000000000002E-5</v>
      </c>
      <c r="N3107" s="9">
        <v>8.0649999999999995E-5</v>
      </c>
      <c r="O3107" s="9">
        <v>1.2077E-4</v>
      </c>
      <c r="P3107" s="9">
        <v>1.1628E-4</v>
      </c>
      <c r="Q3107" s="9">
        <v>1.1137999999999999E-4</v>
      </c>
      <c r="R3107" s="10">
        <v>5.1963891803106186E-5</v>
      </c>
      <c r="S3107" s="10">
        <v>4.4778773054976258E-5</v>
      </c>
      <c r="T3107" s="10">
        <v>1.5852913335741292E-4</v>
      </c>
      <c r="U3107" s="10">
        <v>9.7109999999999997E-5</v>
      </c>
      <c r="V3107" s="25"/>
      <c r="W3107" s="25"/>
      <c r="X3107" s="25"/>
      <c r="Y3107" s="25"/>
      <c r="Z3107" s="25"/>
      <c r="AA3107" s="25"/>
    </row>
    <row r="3108" spans="1:27" x14ac:dyDescent="0.35">
      <c r="A3108" s="5">
        <v>3104</v>
      </c>
      <c r="B3108" s="5">
        <v>130</v>
      </c>
      <c r="C3108" s="5">
        <v>5</v>
      </c>
      <c r="D3108" s="25">
        <v>1.1415000000000001E-4</v>
      </c>
      <c r="E3108" s="25">
        <v>1.1234E-4</v>
      </c>
      <c r="F3108" s="25">
        <v>1.0157000000000001E-4</v>
      </c>
      <c r="G3108" s="25">
        <v>1.5682000000000001E-4</v>
      </c>
      <c r="H3108" s="25">
        <v>1.9118E-4</v>
      </c>
      <c r="I3108" s="9">
        <v>1.0995E-4</v>
      </c>
      <c r="J3108" s="9">
        <v>1.2167000000000001E-4</v>
      </c>
      <c r="K3108" s="9">
        <v>1.1868E-4</v>
      </c>
      <c r="L3108" s="9">
        <v>1.0245E-4</v>
      </c>
      <c r="M3108" s="9">
        <v>8.3300000000000005E-5</v>
      </c>
      <c r="N3108" s="9">
        <v>9.0519999999999994E-5</v>
      </c>
      <c r="O3108" s="9">
        <v>2.1409000000000001E-4</v>
      </c>
      <c r="P3108" s="9">
        <v>1.7499E-4</v>
      </c>
      <c r="Q3108" s="9">
        <v>1.3517999999999999E-4</v>
      </c>
      <c r="R3108" s="10">
        <v>3.7892315847754556E-5</v>
      </c>
      <c r="S3108" s="10">
        <v>2.0488250543316966E-5</v>
      </c>
      <c r="T3108" s="10">
        <v>3.4536188934690127E-4</v>
      </c>
      <c r="U3108" s="10">
        <v>9.7109999999999997E-5</v>
      </c>
      <c r="V3108" s="25"/>
      <c r="W3108" s="25"/>
      <c r="X3108" s="25"/>
      <c r="Y3108" s="25"/>
      <c r="Z3108" s="25"/>
      <c r="AA3108" s="25"/>
    </row>
    <row r="3109" spans="1:27" x14ac:dyDescent="0.35">
      <c r="A3109" s="5">
        <v>3105</v>
      </c>
      <c r="B3109" s="5">
        <v>130</v>
      </c>
      <c r="C3109" s="5">
        <v>5</v>
      </c>
      <c r="D3109" s="25">
        <v>1.1416E-4</v>
      </c>
      <c r="E3109" s="25">
        <v>1.171E-4</v>
      </c>
      <c r="F3109" s="25">
        <v>1.0431E-4</v>
      </c>
      <c r="G3109" s="25">
        <v>1.6616999999999999E-4</v>
      </c>
      <c r="H3109" s="25">
        <v>1.9260999999999999E-4</v>
      </c>
      <c r="I3109" s="9">
        <v>1.0976000000000001E-4</v>
      </c>
      <c r="J3109" s="9">
        <v>1.2569E-4</v>
      </c>
      <c r="K3109" s="9">
        <v>1.2504000000000001E-4</v>
      </c>
      <c r="L3109" s="9">
        <v>1.8783E-4</v>
      </c>
      <c r="M3109" s="9">
        <v>1.2232000000000001E-4</v>
      </c>
      <c r="N3109" s="9">
        <v>1.0397E-4</v>
      </c>
      <c r="O3109" s="9">
        <v>2.0751E-4</v>
      </c>
      <c r="P3109" s="9">
        <v>1.9233999999999999E-4</v>
      </c>
      <c r="Q3109" s="9">
        <v>1.7615E-4</v>
      </c>
      <c r="R3109" s="10">
        <v>2.1958297737335128E-5</v>
      </c>
      <c r="S3109" s="10">
        <v>1.4043356504918742E-5</v>
      </c>
      <c r="T3109" s="10">
        <v>4.9800291895531527E-4</v>
      </c>
      <c r="U3109" s="10">
        <v>9.7109999999999997E-5</v>
      </c>
      <c r="V3109" s="25"/>
      <c r="W3109" s="25"/>
      <c r="X3109" s="25"/>
      <c r="Y3109" s="25"/>
      <c r="Z3109" s="25"/>
      <c r="AA3109" s="25"/>
    </row>
    <row r="3110" spans="1:27" x14ac:dyDescent="0.35">
      <c r="A3110" s="5">
        <v>3106</v>
      </c>
      <c r="B3110" s="5">
        <v>130</v>
      </c>
      <c r="C3110" s="5">
        <v>5</v>
      </c>
      <c r="D3110" s="25">
        <v>1.1415000000000001E-4</v>
      </c>
      <c r="E3110" s="25">
        <v>1.1642E-4</v>
      </c>
      <c r="F3110" s="25">
        <v>9.5190000000000002E-5</v>
      </c>
      <c r="G3110" s="25">
        <v>1.5976E-4</v>
      </c>
      <c r="H3110" s="25">
        <v>1.9593E-4</v>
      </c>
      <c r="I3110" s="9">
        <v>1.0784E-4</v>
      </c>
      <c r="J3110" s="9">
        <v>1.2630000000000001E-4</v>
      </c>
      <c r="K3110" s="9">
        <v>1.1444E-4</v>
      </c>
      <c r="L3110" s="9">
        <v>2.0095000000000001E-4</v>
      </c>
      <c r="M3110" s="9">
        <v>1.5741E-4</v>
      </c>
      <c r="N3110" s="9">
        <v>1.2388000000000001E-4</v>
      </c>
      <c r="O3110" s="9">
        <v>1.6404000000000001E-4</v>
      </c>
      <c r="P3110" s="9">
        <v>1.7299000000000001E-4</v>
      </c>
      <c r="Q3110" s="9">
        <v>1.8094000000000001E-4</v>
      </c>
      <c r="R3110" s="10">
        <v>1.0114542011452232E-5</v>
      </c>
      <c r="S3110" s="10">
        <v>1.8711887398208014E-5</v>
      </c>
      <c r="T3110" s="10">
        <v>6.2267121360630939E-4</v>
      </c>
      <c r="U3110" s="10">
        <v>9.7109999999999997E-5</v>
      </c>
      <c r="V3110" s="25"/>
      <c r="W3110" s="25"/>
      <c r="X3110" s="25"/>
      <c r="Y3110" s="25"/>
      <c r="Z3110" s="25"/>
      <c r="AA3110" s="25"/>
    </row>
    <row r="3111" spans="1:27" x14ac:dyDescent="0.35">
      <c r="A3111" s="5">
        <v>3107</v>
      </c>
      <c r="B3111" s="5">
        <v>130</v>
      </c>
      <c r="C3111" s="5">
        <v>5</v>
      </c>
      <c r="D3111" s="25">
        <v>1.1416E-4</v>
      </c>
      <c r="E3111" s="25">
        <v>1.1867E-4</v>
      </c>
      <c r="F3111" s="25">
        <v>8.8540000000000003E-5</v>
      </c>
      <c r="G3111" s="25">
        <v>1.6663999999999999E-4</v>
      </c>
      <c r="H3111" s="25">
        <v>2.0172000000000001E-4</v>
      </c>
      <c r="I3111" s="9">
        <v>1.069E-4</v>
      </c>
      <c r="J3111" s="9">
        <v>1.2643999999999999E-4</v>
      </c>
      <c r="K3111" s="9">
        <v>8.4779999999999998E-5</v>
      </c>
      <c r="L3111" s="9">
        <v>1.7220000000000001E-4</v>
      </c>
      <c r="M3111" s="9">
        <v>1.7117E-4</v>
      </c>
      <c r="N3111" s="9">
        <v>1.418E-4</v>
      </c>
      <c r="O3111" s="9">
        <v>1.6424000000000001E-4</v>
      </c>
      <c r="P3111" s="9">
        <v>1.7186E-4</v>
      </c>
      <c r="Q3111" s="9">
        <v>1.785E-4</v>
      </c>
      <c r="R3111" s="10">
        <v>5.2072279578678509E-6</v>
      </c>
      <c r="S3111" s="10">
        <v>3.6724552664238547E-5</v>
      </c>
      <c r="T3111" s="10">
        <v>7.1676209339938991E-4</v>
      </c>
      <c r="U3111" s="10">
        <v>9.7109999999999997E-5</v>
      </c>
      <c r="V3111" s="25"/>
      <c r="W3111" s="25"/>
      <c r="X3111" s="25"/>
      <c r="Y3111" s="25"/>
      <c r="Z3111" s="25"/>
      <c r="AA3111" s="25"/>
    </row>
    <row r="3112" spans="1:27" x14ac:dyDescent="0.35">
      <c r="A3112" s="5">
        <v>3108</v>
      </c>
      <c r="B3112" s="5">
        <v>130</v>
      </c>
      <c r="C3112" s="5">
        <v>5</v>
      </c>
      <c r="D3112" s="25">
        <v>1.1415000000000001E-4</v>
      </c>
      <c r="E3112" s="25">
        <v>1.2129999999999999E-4</v>
      </c>
      <c r="F3112" s="25">
        <v>9.0459999999999998E-5</v>
      </c>
      <c r="G3112" s="25">
        <v>1.6359999999999999E-4</v>
      </c>
      <c r="H3112" s="25">
        <v>2.0146000000000001E-4</v>
      </c>
      <c r="I3112" s="9">
        <v>1.0226999999999999E-4</v>
      </c>
      <c r="J3112" s="9">
        <v>1.2525000000000001E-4</v>
      </c>
      <c r="K3112" s="9">
        <v>4.8749999999999999E-5</v>
      </c>
      <c r="L3112" s="9">
        <v>1.6736999999999999E-4</v>
      </c>
      <c r="M3112" s="9">
        <v>1.7375999999999999E-4</v>
      </c>
      <c r="N3112" s="9">
        <v>1.5577000000000001E-4</v>
      </c>
      <c r="O3112" s="9">
        <v>1.6644000000000001E-4</v>
      </c>
      <c r="P3112" s="9">
        <v>1.7002E-4</v>
      </c>
      <c r="Q3112" s="9">
        <v>1.7267000000000001E-4</v>
      </c>
      <c r="R3112" s="10">
        <v>2.8978249080094628E-6</v>
      </c>
      <c r="S3112" s="10">
        <v>9.4235393877186991E-5</v>
      </c>
      <c r="T3112" s="10">
        <v>7.2990427309276072E-4</v>
      </c>
      <c r="U3112" s="10">
        <v>9.7109999999999997E-5</v>
      </c>
      <c r="V3112" s="25"/>
      <c r="W3112" s="25"/>
      <c r="X3112" s="25"/>
      <c r="Y3112" s="25"/>
      <c r="Z3112" s="25"/>
      <c r="AA3112" s="25"/>
    </row>
    <row r="3113" spans="1:27" x14ac:dyDescent="0.35">
      <c r="A3113" s="5">
        <v>3109</v>
      </c>
      <c r="B3113" s="5">
        <v>130</v>
      </c>
      <c r="C3113" s="5">
        <v>5</v>
      </c>
      <c r="D3113" s="25">
        <v>1.1416E-4</v>
      </c>
      <c r="E3113" s="25">
        <v>1.15E-4</v>
      </c>
      <c r="F3113" s="25">
        <v>8.9279999999999999E-5</v>
      </c>
      <c r="G3113" s="25">
        <v>1.606E-4</v>
      </c>
      <c r="H3113" s="25">
        <v>1.9027000000000001E-4</v>
      </c>
      <c r="I3113" s="9">
        <v>1.0486E-4</v>
      </c>
      <c r="J3113" s="9">
        <v>1.2615E-4</v>
      </c>
      <c r="K3113" s="9">
        <v>8.6899999999999998E-5</v>
      </c>
      <c r="L3113" s="9">
        <v>1.6681000000000001E-4</v>
      </c>
      <c r="M3113" s="9">
        <v>1.7259E-4</v>
      </c>
      <c r="N3113" s="9">
        <v>1.6509000000000001E-4</v>
      </c>
      <c r="O3113" s="9">
        <v>1.6102999999999999E-4</v>
      </c>
      <c r="P3113" s="9">
        <v>1.6534000000000001E-4</v>
      </c>
      <c r="Q3113" s="9">
        <v>1.6877E-4</v>
      </c>
      <c r="R3113" s="10">
        <v>5.3113394556653503E-6</v>
      </c>
      <c r="S3113" s="10">
        <v>1.3302830712791057E-4</v>
      </c>
      <c r="T3113" s="10">
        <v>6.8948507098868172E-4</v>
      </c>
      <c r="U3113" s="10">
        <v>9.7109999999999997E-5</v>
      </c>
      <c r="V3113" s="25"/>
      <c r="W3113" s="25"/>
      <c r="X3113" s="25"/>
      <c r="Y3113" s="25"/>
      <c r="Z3113" s="25"/>
      <c r="AA3113" s="25"/>
    </row>
    <row r="3114" spans="1:27" x14ac:dyDescent="0.35">
      <c r="A3114" s="5">
        <v>3110</v>
      </c>
      <c r="B3114" s="5">
        <v>130</v>
      </c>
      <c r="C3114" s="5">
        <v>5</v>
      </c>
      <c r="D3114" s="25">
        <v>1.1415000000000001E-4</v>
      </c>
      <c r="E3114" s="25">
        <v>1.1566E-4</v>
      </c>
      <c r="F3114" s="25">
        <v>1.0341E-4</v>
      </c>
      <c r="G3114" s="25">
        <v>1.6258000000000001E-4</v>
      </c>
      <c r="H3114" s="25">
        <v>2.0110000000000001E-4</v>
      </c>
      <c r="I3114" s="9">
        <v>1.0685E-4</v>
      </c>
      <c r="J3114" s="9">
        <v>1.2570999999999999E-4</v>
      </c>
      <c r="K3114" s="9">
        <v>1.1445E-4</v>
      </c>
      <c r="L3114" s="9">
        <v>1.6206E-4</v>
      </c>
      <c r="M3114" s="9">
        <v>1.6964000000000001E-4</v>
      </c>
      <c r="N3114" s="9">
        <v>1.6992E-4</v>
      </c>
      <c r="O3114" s="9">
        <v>1.7445000000000001E-4</v>
      </c>
      <c r="P3114" s="9">
        <v>1.6733000000000001E-4</v>
      </c>
      <c r="Q3114" s="9">
        <v>1.5938000000000001E-4</v>
      </c>
      <c r="R3114" s="10">
        <v>1.1215338796193704E-5</v>
      </c>
      <c r="S3114" s="10">
        <v>1.5165756947236293E-4</v>
      </c>
      <c r="T3114" s="10">
        <v>6.8858573525756666E-4</v>
      </c>
      <c r="U3114" s="10">
        <v>9.7109999999999997E-5</v>
      </c>
      <c r="V3114" s="25"/>
      <c r="W3114" s="25"/>
      <c r="X3114" s="25"/>
      <c r="Y3114" s="25"/>
      <c r="Z3114" s="25"/>
      <c r="AA3114" s="25"/>
    </row>
    <row r="3115" spans="1:27" x14ac:dyDescent="0.35">
      <c r="A3115" s="5">
        <v>3111</v>
      </c>
      <c r="B3115" s="5">
        <v>130</v>
      </c>
      <c r="C3115" s="5">
        <v>5</v>
      </c>
      <c r="D3115" s="25">
        <v>1.1416E-4</v>
      </c>
      <c r="E3115" s="25">
        <v>1.1317E-4</v>
      </c>
      <c r="F3115" s="25">
        <v>1.0389E-4</v>
      </c>
      <c r="G3115" s="25">
        <v>1.5694E-4</v>
      </c>
      <c r="H3115" s="25">
        <v>1.9511999999999999E-4</v>
      </c>
      <c r="I3115" s="9">
        <v>1.0815E-4</v>
      </c>
      <c r="J3115" s="9">
        <v>1.2569E-4</v>
      </c>
      <c r="K3115" s="9">
        <v>9.5370000000000003E-5</v>
      </c>
      <c r="L3115" s="9">
        <v>1.7183000000000001E-4</v>
      </c>
      <c r="M3115" s="9">
        <v>1.6797000000000001E-4</v>
      </c>
      <c r="N3115" s="9">
        <v>1.6932000000000001E-4</v>
      </c>
      <c r="O3115" s="9">
        <v>1.8082999999999999E-4</v>
      </c>
      <c r="P3115" s="9">
        <v>1.6694999999999999E-4</v>
      </c>
      <c r="Q3115" s="9">
        <v>1.5228E-4</v>
      </c>
      <c r="R3115" s="10">
        <v>1.7560261436693256E-5</v>
      </c>
      <c r="S3115" s="10">
        <v>1.5838967939292947E-4</v>
      </c>
      <c r="T3115" s="10">
        <v>5.83948871372259E-4</v>
      </c>
      <c r="U3115" s="10">
        <v>9.7109999999999997E-5</v>
      </c>
      <c r="V3115" s="25"/>
      <c r="W3115" s="25"/>
      <c r="X3115" s="25"/>
      <c r="Y3115" s="25"/>
      <c r="Z3115" s="25"/>
      <c r="AA3115" s="25"/>
    </row>
    <row r="3116" spans="1:27" x14ac:dyDescent="0.35">
      <c r="A3116" s="5">
        <v>3112</v>
      </c>
      <c r="B3116" s="5">
        <v>130</v>
      </c>
      <c r="C3116" s="5">
        <v>5</v>
      </c>
      <c r="D3116" s="25">
        <v>1.1415000000000001E-4</v>
      </c>
      <c r="E3116" s="25">
        <v>1.149E-4</v>
      </c>
      <c r="F3116" s="25">
        <v>9.0340000000000006E-5</v>
      </c>
      <c r="G3116" s="25">
        <v>1.6597000000000001E-4</v>
      </c>
      <c r="H3116" s="25">
        <v>1.9184000000000001E-4</v>
      </c>
      <c r="I3116" s="9">
        <v>1.1234999999999999E-4</v>
      </c>
      <c r="J3116" s="9">
        <v>1.2692000000000001E-4</v>
      </c>
      <c r="K3116" s="9">
        <v>1.0597E-4</v>
      </c>
      <c r="L3116" s="9">
        <v>1.786E-4</v>
      </c>
      <c r="M3116" s="9">
        <v>1.6721999999999999E-4</v>
      </c>
      <c r="N3116" s="9">
        <v>1.6558E-4</v>
      </c>
      <c r="O3116" s="9">
        <v>1.9563999999999999E-4</v>
      </c>
      <c r="P3116" s="9">
        <v>1.5321000000000001E-4</v>
      </c>
      <c r="Q3116" s="9">
        <v>1.103E-4</v>
      </c>
      <c r="R3116" s="10">
        <v>2.0678613869655877E-5</v>
      </c>
      <c r="S3116" s="10">
        <v>1.5673548423790373E-4</v>
      </c>
      <c r="T3116" s="10">
        <v>4.2738809546407909E-4</v>
      </c>
      <c r="U3116" s="10">
        <v>9.7109999999999997E-5</v>
      </c>
      <c r="V3116" s="25"/>
      <c r="W3116" s="25"/>
      <c r="X3116" s="25"/>
      <c r="Y3116" s="25"/>
      <c r="Z3116" s="25"/>
      <c r="AA3116" s="25"/>
    </row>
    <row r="3117" spans="1:27" x14ac:dyDescent="0.35">
      <c r="A3117" s="5">
        <v>3113</v>
      </c>
      <c r="B3117" s="5">
        <v>130</v>
      </c>
      <c r="C3117" s="5">
        <v>5</v>
      </c>
      <c r="D3117" s="25">
        <v>1.1416E-4</v>
      </c>
      <c r="E3117" s="25">
        <v>1.1635E-4</v>
      </c>
      <c r="F3117" s="25">
        <v>8.6230000000000006E-5</v>
      </c>
      <c r="G3117" s="25">
        <v>1.6571000000000001E-4</v>
      </c>
      <c r="H3117" s="25">
        <v>2.0144999999999999E-4</v>
      </c>
      <c r="I3117" s="9">
        <v>1.1547E-4</v>
      </c>
      <c r="J3117" s="9">
        <v>1.2815E-4</v>
      </c>
      <c r="K3117" s="9">
        <v>1.0597E-4</v>
      </c>
      <c r="L3117" s="9">
        <v>1.9167000000000001E-4</v>
      </c>
      <c r="M3117" s="9">
        <v>1.6208999999999999E-4</v>
      </c>
      <c r="N3117" s="9">
        <v>1.5215000000000001E-4</v>
      </c>
      <c r="O3117" s="9">
        <v>2.0875000000000001E-4</v>
      </c>
      <c r="P3117" s="9">
        <v>1.5762E-4</v>
      </c>
      <c r="Q3117" s="9">
        <v>1.0602E-4</v>
      </c>
      <c r="R3117" s="10">
        <v>2.110281477066408E-5</v>
      </c>
      <c r="S3117" s="10">
        <v>1.4997555450715376E-4</v>
      </c>
      <c r="T3117" s="10">
        <v>2.8057577950921301E-4</v>
      </c>
      <c r="U3117" s="10">
        <v>9.7109999999999997E-5</v>
      </c>
      <c r="V3117" s="25"/>
      <c r="W3117" s="25"/>
      <c r="X3117" s="25"/>
      <c r="Y3117" s="25"/>
      <c r="Z3117" s="25"/>
      <c r="AA3117" s="25"/>
    </row>
    <row r="3118" spans="1:27" x14ac:dyDescent="0.35">
      <c r="A3118" s="5">
        <v>3114</v>
      </c>
      <c r="B3118" s="5">
        <v>130</v>
      </c>
      <c r="C3118" s="5">
        <v>5</v>
      </c>
      <c r="D3118" s="25">
        <v>1.1415000000000001E-4</v>
      </c>
      <c r="E3118" s="25">
        <v>1.1616999999999999E-4</v>
      </c>
      <c r="F3118" s="25">
        <v>1.0171E-4</v>
      </c>
      <c r="G3118" s="25">
        <v>1.6556000000000001E-4</v>
      </c>
      <c r="H3118" s="25">
        <v>2.0108999999999999E-4</v>
      </c>
      <c r="I3118" s="9">
        <v>1.1745E-4</v>
      </c>
      <c r="J3118" s="9">
        <v>1.2379000000000001E-4</v>
      </c>
      <c r="K3118" s="9">
        <v>1.1233E-4</v>
      </c>
      <c r="L3118" s="9">
        <v>2.0469999999999999E-4</v>
      </c>
      <c r="M3118" s="9">
        <v>1.5907000000000001E-4</v>
      </c>
      <c r="N3118" s="9">
        <v>1.3870000000000001E-4</v>
      </c>
      <c r="O3118" s="9">
        <v>2.0244999999999999E-4</v>
      </c>
      <c r="P3118" s="9">
        <v>1.6029999999999999E-4</v>
      </c>
      <c r="Q3118" s="9">
        <v>1.1760999999999999E-4</v>
      </c>
      <c r="R3118" s="10">
        <v>1.9692188744444177E-5</v>
      </c>
      <c r="S3118" s="10">
        <v>1.4365568137640852E-4</v>
      </c>
      <c r="T3118" s="10">
        <v>1.1670153756121033E-4</v>
      </c>
      <c r="U3118" s="10">
        <v>9.7109999999999997E-5</v>
      </c>
      <c r="V3118" s="25"/>
      <c r="W3118" s="25"/>
      <c r="X3118" s="25"/>
      <c r="Y3118" s="25"/>
      <c r="Z3118" s="25"/>
      <c r="AA3118" s="25"/>
    </row>
    <row r="3119" spans="1:27" x14ac:dyDescent="0.35">
      <c r="A3119" s="5">
        <v>3115</v>
      </c>
      <c r="B3119" s="5">
        <v>130</v>
      </c>
      <c r="C3119" s="5">
        <v>5</v>
      </c>
      <c r="D3119" s="25">
        <v>1.1416E-4</v>
      </c>
      <c r="E3119" s="25">
        <v>1.2133000000000001E-4</v>
      </c>
      <c r="F3119" s="25">
        <v>1.0456E-4</v>
      </c>
      <c r="G3119" s="25">
        <v>1.1421000000000001E-4</v>
      </c>
      <c r="H3119" s="25">
        <v>1.2751E-4</v>
      </c>
      <c r="I3119" s="9">
        <v>1.1745E-4</v>
      </c>
      <c r="J3119" s="9">
        <v>1.2139E-4</v>
      </c>
      <c r="K3119" s="9">
        <v>1.3988E-4</v>
      </c>
      <c r="L3119" s="9">
        <v>2.0262000000000001E-4</v>
      </c>
      <c r="M3119" s="9">
        <v>1.5886000000000001E-4</v>
      </c>
      <c r="N3119" s="9">
        <v>1.2967999999999999E-4</v>
      </c>
      <c r="O3119" s="9">
        <v>1.6163000000000001E-4</v>
      </c>
      <c r="P3119" s="9">
        <v>1.3432E-4</v>
      </c>
      <c r="Q3119" s="9">
        <v>1.0661E-4</v>
      </c>
      <c r="R3119" s="10">
        <v>1.6917881208415049E-5</v>
      </c>
      <c r="S3119" s="10">
        <v>1.4213242153770627E-4</v>
      </c>
      <c r="T3119" s="10">
        <v>2.8982366580086834E-5</v>
      </c>
      <c r="U3119" s="10">
        <v>9.7109999999999997E-5</v>
      </c>
      <c r="V3119" s="25"/>
      <c r="W3119" s="25"/>
      <c r="X3119" s="25"/>
      <c r="Y3119" s="25"/>
      <c r="Z3119" s="25"/>
      <c r="AA3119" s="25"/>
    </row>
    <row r="3120" spans="1:27" x14ac:dyDescent="0.35">
      <c r="A3120" s="5">
        <v>3116</v>
      </c>
      <c r="B3120" s="5">
        <v>130</v>
      </c>
      <c r="C3120" s="5">
        <v>5</v>
      </c>
      <c r="D3120" s="25">
        <v>1.1415000000000001E-4</v>
      </c>
      <c r="E3120" s="25">
        <v>1.2112000000000001E-4</v>
      </c>
      <c r="F3120" s="25">
        <v>9.4690000000000003E-5</v>
      </c>
      <c r="G3120" s="25">
        <v>1.0739999999999999E-4</v>
      </c>
      <c r="H3120" s="25">
        <v>1.3457000000000001E-4</v>
      </c>
      <c r="I3120" s="9">
        <v>1.1417E-4</v>
      </c>
      <c r="J3120" s="9">
        <v>1.1848E-4</v>
      </c>
      <c r="K3120" s="9">
        <v>1.6318999999999999E-4</v>
      </c>
      <c r="L3120" s="9">
        <v>1.7079000000000001E-4</v>
      </c>
      <c r="M3120" s="9">
        <v>1.5014E-4</v>
      </c>
      <c r="N3120" s="9">
        <v>1.2057000000000001E-4</v>
      </c>
      <c r="O3120" s="9">
        <v>1.2648E-4</v>
      </c>
      <c r="P3120" s="9">
        <v>1.1393E-4</v>
      </c>
      <c r="Q3120" s="9">
        <v>1.0107000000000001E-4</v>
      </c>
      <c r="R3120" s="10">
        <v>2.1036056409697903E-5</v>
      </c>
      <c r="S3120" s="10">
        <v>1.4502462341908973E-4</v>
      </c>
      <c r="T3120" s="10">
        <v>0</v>
      </c>
      <c r="U3120" s="10">
        <v>9.7109999999999997E-5</v>
      </c>
      <c r="V3120" s="25"/>
      <c r="W3120" s="25"/>
      <c r="X3120" s="25"/>
      <c r="Y3120" s="25"/>
      <c r="Z3120" s="25"/>
      <c r="AA3120" s="25"/>
    </row>
    <row r="3121" spans="1:27" x14ac:dyDescent="0.35">
      <c r="A3121" s="5">
        <v>3117</v>
      </c>
      <c r="B3121" s="5">
        <v>130</v>
      </c>
      <c r="C3121" s="5">
        <v>5</v>
      </c>
      <c r="D3121" s="25">
        <v>1.1416E-4</v>
      </c>
      <c r="E3121" s="25">
        <v>1.1928E-4</v>
      </c>
      <c r="F3121" s="25">
        <v>1.0054E-4</v>
      </c>
      <c r="G3121" s="25">
        <v>5.9039999999999997E-5</v>
      </c>
      <c r="H3121" s="25">
        <v>6.4869999999999994E-5</v>
      </c>
      <c r="I3121" s="9">
        <v>1.1433E-4</v>
      </c>
      <c r="J3121" s="9">
        <v>1.184E-4</v>
      </c>
      <c r="K3121" s="9">
        <v>1.9498000000000001E-4</v>
      </c>
      <c r="L3121" s="9">
        <v>1.372E-4</v>
      </c>
      <c r="M3121" s="9">
        <v>1.3468E-4</v>
      </c>
      <c r="N3121" s="9">
        <v>1.1278E-4</v>
      </c>
      <c r="O3121" s="9">
        <v>8.4560000000000004E-5</v>
      </c>
      <c r="P3121" s="9">
        <v>8.6719999999999996E-5</v>
      </c>
      <c r="Q3121" s="9">
        <v>8.8729999999999999E-5</v>
      </c>
      <c r="R3121" s="10">
        <v>3.9675362274202392E-5</v>
      </c>
      <c r="S3121" s="10">
        <v>1.4776903835716468E-4</v>
      </c>
      <c r="T3121" s="10">
        <v>0</v>
      </c>
      <c r="U3121" s="10">
        <v>9.7109999999999997E-5</v>
      </c>
      <c r="V3121" s="25"/>
      <c r="W3121" s="25"/>
      <c r="X3121" s="25"/>
      <c r="Y3121" s="25"/>
      <c r="Z3121" s="25"/>
      <c r="AA3121" s="25"/>
    </row>
    <row r="3122" spans="1:27" x14ac:dyDescent="0.35">
      <c r="A3122" s="5">
        <v>3118</v>
      </c>
      <c r="B3122" s="5">
        <v>130</v>
      </c>
      <c r="C3122" s="5">
        <v>5</v>
      </c>
      <c r="D3122" s="25">
        <v>1.1415000000000001E-4</v>
      </c>
      <c r="E3122" s="25">
        <v>1.2167000000000001E-4</v>
      </c>
      <c r="F3122" s="25">
        <v>9.5060000000000001E-5</v>
      </c>
      <c r="G3122" s="25">
        <v>5.9750000000000002E-5</v>
      </c>
      <c r="H3122" s="25">
        <v>6.9350000000000005E-5</v>
      </c>
      <c r="I3122" s="9">
        <v>1.1362E-4</v>
      </c>
      <c r="J3122" s="9">
        <v>1.1539E-4</v>
      </c>
      <c r="K3122" s="9">
        <v>2.1194000000000001E-4</v>
      </c>
      <c r="L3122" s="9">
        <v>9.7059999999999996E-5</v>
      </c>
      <c r="M3122" s="9">
        <v>1.1341999999999999E-4</v>
      </c>
      <c r="N3122" s="9">
        <v>1.0532E-4</v>
      </c>
      <c r="O3122" s="9">
        <v>8.7399999999999997E-5</v>
      </c>
      <c r="P3122" s="9">
        <v>8.8220000000000006E-5</v>
      </c>
      <c r="Q3122" s="9">
        <v>8.8869999999999994E-5</v>
      </c>
      <c r="R3122" s="10">
        <v>7.3360756306382798E-5</v>
      </c>
      <c r="S3122" s="10">
        <v>1.516832174733502E-4</v>
      </c>
      <c r="T3122" s="10">
        <v>0</v>
      </c>
      <c r="U3122" s="10">
        <v>9.7109999999999997E-5</v>
      </c>
      <c r="V3122" s="25"/>
      <c r="W3122" s="25"/>
      <c r="X3122" s="25"/>
      <c r="Y3122" s="25"/>
      <c r="Z3122" s="25"/>
      <c r="AA3122" s="25"/>
    </row>
    <row r="3123" spans="1:27" x14ac:dyDescent="0.35">
      <c r="A3123" s="5">
        <v>3119</v>
      </c>
      <c r="B3123" s="5">
        <v>130</v>
      </c>
      <c r="C3123" s="5">
        <v>5</v>
      </c>
      <c r="D3123" s="25">
        <v>1.1416E-4</v>
      </c>
      <c r="E3123" s="25">
        <v>1.1514999999999999E-4</v>
      </c>
      <c r="F3123" s="25">
        <v>9.0439999999999995E-5</v>
      </c>
      <c r="G3123" s="25">
        <v>6.2819999999999998E-5</v>
      </c>
      <c r="H3123" s="25">
        <v>6.5500000000000006E-5</v>
      </c>
      <c r="I3123" s="9">
        <v>1.0681E-4</v>
      </c>
      <c r="J3123" s="9">
        <v>1.0804E-4</v>
      </c>
      <c r="K3123" s="9">
        <v>2.1829E-4</v>
      </c>
      <c r="L3123" s="9">
        <v>9.0420000000000005E-5</v>
      </c>
      <c r="M3123" s="9">
        <v>9.9149999999999998E-5</v>
      </c>
      <c r="N3123" s="9">
        <v>9.9749999999999999E-5</v>
      </c>
      <c r="O3123" s="9">
        <v>7.7559999999999996E-5</v>
      </c>
      <c r="P3123" s="9">
        <v>7.2280000000000006E-5</v>
      </c>
      <c r="Q3123" s="9">
        <v>6.7020000000000005E-5</v>
      </c>
      <c r="R3123" s="10">
        <v>1.1462081957919138E-4</v>
      </c>
      <c r="S3123" s="10">
        <v>1.5553890266058185E-4</v>
      </c>
      <c r="T3123" s="10">
        <v>0</v>
      </c>
      <c r="U3123" s="10">
        <v>9.7109999999999997E-5</v>
      </c>
      <c r="V3123" s="25"/>
      <c r="W3123" s="25"/>
      <c r="X3123" s="25"/>
      <c r="Y3123" s="25"/>
      <c r="Z3123" s="25"/>
      <c r="AA3123" s="25"/>
    </row>
    <row r="3124" spans="1:27" x14ac:dyDescent="0.35">
      <c r="A3124" s="5">
        <v>3120</v>
      </c>
      <c r="B3124" s="5">
        <v>130</v>
      </c>
      <c r="C3124" s="5">
        <v>5</v>
      </c>
      <c r="D3124" s="25">
        <v>1.1415000000000001E-4</v>
      </c>
      <c r="E3124" s="25">
        <v>1.2259E-4</v>
      </c>
      <c r="F3124" s="25">
        <v>9.8720000000000003E-5</v>
      </c>
      <c r="G3124" s="25">
        <v>6.2959999999999994E-5</v>
      </c>
      <c r="H3124" s="25">
        <v>7.6600000000000005E-5</v>
      </c>
      <c r="I3124" s="9">
        <v>9.8900000000000005E-5</v>
      </c>
      <c r="J3124" s="9">
        <v>9.9679999999999994E-5</v>
      </c>
      <c r="K3124" s="9">
        <v>2.1405E-4</v>
      </c>
      <c r="L3124" s="9">
        <v>8.0370000000000005E-5</v>
      </c>
      <c r="M3124" s="9">
        <v>8.6360000000000007E-5</v>
      </c>
      <c r="N3124" s="9">
        <v>9.0569999999999995E-5</v>
      </c>
      <c r="O3124" s="9">
        <v>6.3139999999999995E-5</v>
      </c>
      <c r="P3124" s="9">
        <v>6.1199999999999997E-5</v>
      </c>
      <c r="Q3124" s="9">
        <v>5.9370000000000002E-5</v>
      </c>
      <c r="R3124" s="10">
        <v>1.2669365484650158E-4</v>
      </c>
      <c r="S3124" s="10">
        <v>1.6746257931099027E-4</v>
      </c>
      <c r="T3124" s="10">
        <v>0</v>
      </c>
      <c r="U3124" s="10">
        <v>9.7109999999999997E-5</v>
      </c>
      <c r="V3124" s="25"/>
      <c r="W3124" s="25"/>
      <c r="X3124" s="25"/>
      <c r="Y3124" s="25"/>
      <c r="Z3124" s="25"/>
      <c r="AA3124" s="25"/>
    </row>
    <row r="3125" spans="1:27" x14ac:dyDescent="0.35">
      <c r="A3125" s="5">
        <v>3121</v>
      </c>
      <c r="B3125" s="5">
        <v>131</v>
      </c>
      <c r="C3125" s="5">
        <v>5</v>
      </c>
      <c r="D3125" s="25">
        <v>1.1416E-4</v>
      </c>
      <c r="E3125" s="25">
        <v>1.1013E-4</v>
      </c>
      <c r="F3125" s="25">
        <v>1.2053999999999999E-4</v>
      </c>
      <c r="G3125" s="25">
        <v>5.5909999999999998E-5</v>
      </c>
      <c r="H3125" s="25">
        <v>7.4820000000000005E-5</v>
      </c>
      <c r="I3125" s="9">
        <v>9.4920000000000006E-5</v>
      </c>
      <c r="J3125" s="9">
        <v>9.4190000000000005E-5</v>
      </c>
      <c r="K3125" s="9">
        <v>1.9285999999999999E-4</v>
      </c>
      <c r="L3125" s="9">
        <v>6.6950000000000001E-5</v>
      </c>
      <c r="M3125" s="9">
        <v>7.4350000000000005E-5</v>
      </c>
      <c r="N3125" s="9">
        <v>8.1329999999999996E-5</v>
      </c>
      <c r="O3125" s="9">
        <v>5.482E-5</v>
      </c>
      <c r="P3125" s="9">
        <v>5.4230000000000001E-5</v>
      </c>
      <c r="Q3125" s="9">
        <v>5.3810000000000001E-5</v>
      </c>
      <c r="R3125" s="10">
        <v>1.3426159806684244E-4</v>
      </c>
      <c r="S3125" s="10">
        <v>1.7621728609474059E-4</v>
      </c>
      <c r="T3125" s="10">
        <v>0</v>
      </c>
      <c r="U3125" s="10">
        <v>9.6150000000000006E-5</v>
      </c>
      <c r="V3125" s="25"/>
      <c r="W3125" s="25"/>
      <c r="X3125" s="25"/>
      <c r="Y3125" s="25"/>
      <c r="Z3125" s="25"/>
      <c r="AA3125" s="25"/>
    </row>
    <row r="3126" spans="1:27" x14ac:dyDescent="0.35">
      <c r="A3126" s="5">
        <v>3122</v>
      </c>
      <c r="B3126" s="5">
        <v>131</v>
      </c>
      <c r="C3126" s="5">
        <v>5</v>
      </c>
      <c r="D3126" s="25">
        <v>1.1415000000000001E-4</v>
      </c>
      <c r="E3126" s="25">
        <v>1.1010000000000001E-4</v>
      </c>
      <c r="F3126" s="25">
        <v>1.2407999999999999E-4</v>
      </c>
      <c r="G3126" s="25">
        <v>5.8829999999999997E-5</v>
      </c>
      <c r="H3126" s="25">
        <v>6.8250000000000006E-5</v>
      </c>
      <c r="I3126" s="9">
        <v>9.2849999999999994E-5</v>
      </c>
      <c r="J3126" s="9">
        <v>9.2159999999999999E-5</v>
      </c>
      <c r="K3126" s="9">
        <v>2.1618000000000001E-4</v>
      </c>
      <c r="L3126" s="9">
        <v>5.7859999999999998E-5</v>
      </c>
      <c r="M3126" s="9">
        <v>6.4250000000000003E-5</v>
      </c>
      <c r="N3126" s="9">
        <v>7.2349999999999997E-5</v>
      </c>
      <c r="O3126" s="9">
        <v>1.944E-5</v>
      </c>
      <c r="P3126" s="9">
        <v>3.7620000000000002E-5</v>
      </c>
      <c r="Q3126" s="9">
        <v>5.5980000000000003E-5</v>
      </c>
      <c r="R3126" s="10">
        <v>1.3364138546667775E-4</v>
      </c>
      <c r="S3126" s="10">
        <v>1.8246651329203122E-4</v>
      </c>
      <c r="T3126" s="10">
        <v>0</v>
      </c>
      <c r="U3126" s="10">
        <v>9.6150000000000006E-5</v>
      </c>
      <c r="V3126" s="25"/>
      <c r="W3126" s="25"/>
      <c r="X3126" s="25"/>
      <c r="Y3126" s="25"/>
      <c r="Z3126" s="25"/>
      <c r="AA3126" s="25"/>
    </row>
    <row r="3127" spans="1:27" x14ac:dyDescent="0.35">
      <c r="A3127" s="5">
        <v>3123</v>
      </c>
      <c r="B3127" s="5">
        <v>131</v>
      </c>
      <c r="C3127" s="5">
        <v>5</v>
      </c>
      <c r="D3127" s="25">
        <v>1.1416E-4</v>
      </c>
      <c r="E3127" s="25">
        <v>1.1322E-4</v>
      </c>
      <c r="F3127" s="25">
        <v>1.2805E-4</v>
      </c>
      <c r="G3127" s="25">
        <v>5.9030000000000002E-5</v>
      </c>
      <c r="H3127" s="25">
        <v>7.2860000000000004E-5</v>
      </c>
      <c r="I3127" s="9">
        <v>9.1370000000000001E-5</v>
      </c>
      <c r="J3127" s="9">
        <v>9.1009999999999998E-5</v>
      </c>
      <c r="K3127" s="9">
        <v>2.0981E-4</v>
      </c>
      <c r="L3127" s="9">
        <v>2.809E-5</v>
      </c>
      <c r="M3127" s="9">
        <v>5.236E-5</v>
      </c>
      <c r="N3127" s="9">
        <v>6.5710000000000006E-5</v>
      </c>
      <c r="O3127" s="9">
        <v>1.42E-5</v>
      </c>
      <c r="P3127" s="9">
        <v>3.7960000000000002E-5</v>
      </c>
      <c r="Q3127" s="9">
        <v>6.1870000000000002E-5</v>
      </c>
      <c r="R3127" s="10">
        <v>1.3543985238317563E-4</v>
      </c>
      <c r="S3127" s="10">
        <v>1.8617272856212799E-4</v>
      </c>
      <c r="T3127" s="10">
        <v>0</v>
      </c>
      <c r="U3127" s="10">
        <v>9.6150000000000006E-5</v>
      </c>
      <c r="V3127" s="25"/>
      <c r="W3127" s="25"/>
      <c r="X3127" s="25"/>
      <c r="Y3127" s="25"/>
      <c r="Z3127" s="25"/>
      <c r="AA3127" s="25"/>
    </row>
    <row r="3128" spans="1:27" x14ac:dyDescent="0.35">
      <c r="A3128" s="5">
        <v>3124</v>
      </c>
      <c r="B3128" s="5">
        <v>131</v>
      </c>
      <c r="C3128" s="5">
        <v>5</v>
      </c>
      <c r="D3128" s="25">
        <v>1.1415000000000001E-4</v>
      </c>
      <c r="E3128" s="25">
        <v>1.1757E-4</v>
      </c>
      <c r="F3128" s="25">
        <v>1.1628E-4</v>
      </c>
      <c r="G3128" s="25">
        <v>5.5930000000000002E-5</v>
      </c>
      <c r="H3128" s="25">
        <v>7.0649999999999996E-5</v>
      </c>
      <c r="I3128" s="9">
        <v>9.1440000000000005E-5</v>
      </c>
      <c r="J3128" s="9">
        <v>9.1150000000000007E-5</v>
      </c>
      <c r="K3128" s="9">
        <v>2.2253E-4</v>
      </c>
      <c r="L3128" s="9">
        <v>1.7989999999999999E-5</v>
      </c>
      <c r="M3128" s="9">
        <v>4.4329999999999997E-5</v>
      </c>
      <c r="N3128" s="9">
        <v>6.2139999999999998E-5</v>
      </c>
      <c r="O3128" s="9">
        <v>1.4219999999999999E-5</v>
      </c>
      <c r="P3128" s="9">
        <v>4.7530000000000001E-5</v>
      </c>
      <c r="Q3128" s="9">
        <v>8.085E-5</v>
      </c>
      <c r="R3128" s="10">
        <v>1.4947867709104345E-4</v>
      </c>
      <c r="S3128" s="10">
        <v>1.8680533948000973E-4</v>
      </c>
      <c r="T3128" s="10">
        <v>0</v>
      </c>
      <c r="U3128" s="10">
        <v>9.6150000000000006E-5</v>
      </c>
      <c r="V3128" s="25"/>
      <c r="W3128" s="25"/>
      <c r="X3128" s="25"/>
      <c r="Y3128" s="25"/>
      <c r="Z3128" s="25"/>
      <c r="AA3128" s="25"/>
    </row>
    <row r="3129" spans="1:27" x14ac:dyDescent="0.35">
      <c r="A3129" s="5">
        <v>3125</v>
      </c>
      <c r="B3129" s="5">
        <v>131</v>
      </c>
      <c r="C3129" s="5">
        <v>5</v>
      </c>
      <c r="D3129" s="25">
        <v>1.1416E-4</v>
      </c>
      <c r="E3129" s="25">
        <v>1.1783E-4</v>
      </c>
      <c r="F3129" s="25">
        <v>1.2139E-4</v>
      </c>
      <c r="G3129" s="25">
        <v>5.3690000000000003E-5</v>
      </c>
      <c r="H3129" s="25">
        <v>6.5010000000000003E-5</v>
      </c>
      <c r="I3129" s="9">
        <v>9.6639999999999996E-5</v>
      </c>
      <c r="J3129" s="9">
        <v>9.2520000000000002E-5</v>
      </c>
      <c r="K3129" s="9">
        <v>1.9921000000000001E-4</v>
      </c>
      <c r="L3129" s="9">
        <v>1.5290000000000001E-5</v>
      </c>
      <c r="M3129" s="9">
        <v>4.3680000000000002E-5</v>
      </c>
      <c r="N3129" s="9">
        <v>6.4720000000000004E-5</v>
      </c>
      <c r="O3129" s="9">
        <v>1.9380000000000001E-5</v>
      </c>
      <c r="P3129" s="9">
        <v>5.6280000000000003E-5</v>
      </c>
      <c r="Q3129" s="9">
        <v>9.3059999999999993E-5</v>
      </c>
      <c r="R3129" s="10">
        <v>1.6552524993490263E-4</v>
      </c>
      <c r="S3129" s="10">
        <v>1.8537184534459672E-4</v>
      </c>
      <c r="T3129" s="10">
        <v>0</v>
      </c>
      <c r="U3129" s="10">
        <v>9.6150000000000006E-5</v>
      </c>
      <c r="V3129" s="25"/>
      <c r="W3129" s="25"/>
      <c r="X3129" s="25"/>
      <c r="Y3129" s="25"/>
      <c r="Z3129" s="25"/>
      <c r="AA3129" s="25"/>
    </row>
    <row r="3130" spans="1:27" x14ac:dyDescent="0.35">
      <c r="A3130" s="5">
        <v>3126</v>
      </c>
      <c r="B3130" s="5">
        <v>131</v>
      </c>
      <c r="C3130" s="5">
        <v>5</v>
      </c>
      <c r="D3130" s="25">
        <v>1.1415000000000001E-4</v>
      </c>
      <c r="E3130" s="25">
        <v>1.1689E-4</v>
      </c>
      <c r="F3130" s="25">
        <v>1.2951E-4</v>
      </c>
      <c r="G3130" s="25">
        <v>1.0652E-4</v>
      </c>
      <c r="H3130" s="25">
        <v>1.3357000000000001E-4</v>
      </c>
      <c r="I3130" s="9">
        <v>1.0446999999999999E-4</v>
      </c>
      <c r="J3130" s="9">
        <v>9.9829999999999998E-5</v>
      </c>
      <c r="K3130" s="9">
        <v>1.526E-4</v>
      </c>
      <c r="L3130" s="9">
        <v>1.8349999999999999E-5</v>
      </c>
      <c r="M3130" s="9">
        <v>4.8409999999999999E-5</v>
      </c>
      <c r="N3130" s="9">
        <v>7.1080000000000004E-5</v>
      </c>
      <c r="O3130" s="9">
        <v>4.6119999999999999E-5</v>
      </c>
      <c r="P3130" s="9">
        <v>7.6329999999999996E-5</v>
      </c>
      <c r="Q3130" s="9">
        <v>1.0629E-4</v>
      </c>
      <c r="R3130" s="10">
        <v>1.6937923957489336E-4</v>
      </c>
      <c r="S3130" s="10">
        <v>1.8303681580533756E-4</v>
      </c>
      <c r="T3130" s="10">
        <v>1.9293296722224082E-5</v>
      </c>
      <c r="U3130" s="10">
        <v>9.6150000000000006E-5</v>
      </c>
      <c r="V3130" s="25"/>
      <c r="W3130" s="25"/>
      <c r="X3130" s="25"/>
      <c r="Y3130" s="25"/>
      <c r="Z3130" s="25"/>
      <c r="AA3130" s="25"/>
    </row>
    <row r="3131" spans="1:27" x14ac:dyDescent="0.35">
      <c r="A3131" s="5">
        <v>3127</v>
      </c>
      <c r="B3131" s="5">
        <v>131</v>
      </c>
      <c r="C3131" s="5">
        <v>5</v>
      </c>
      <c r="D3131" s="25">
        <v>1.1416E-4</v>
      </c>
      <c r="E3131" s="25">
        <v>1.0946E-4</v>
      </c>
      <c r="F3131" s="25">
        <v>1.2150999999999999E-4</v>
      </c>
      <c r="G3131" s="25">
        <v>1.0624E-4</v>
      </c>
      <c r="H3131" s="25">
        <v>1.3302E-4</v>
      </c>
      <c r="I3131" s="9">
        <v>1.1467E-4</v>
      </c>
      <c r="J3131" s="9">
        <v>1.1402E-4</v>
      </c>
      <c r="K3131" s="9">
        <v>1.1656E-4</v>
      </c>
      <c r="L3131" s="9">
        <v>3.9879999999999998E-5</v>
      </c>
      <c r="M3131" s="9">
        <v>5.9790000000000002E-5</v>
      </c>
      <c r="N3131" s="9">
        <v>8.0580000000000004E-5</v>
      </c>
      <c r="O3131" s="9">
        <v>1.2074E-4</v>
      </c>
      <c r="P3131" s="9">
        <v>1.1624E-4</v>
      </c>
      <c r="Q3131" s="9">
        <v>1.1135E-4</v>
      </c>
      <c r="R3131" s="10">
        <v>1.6966414461456596E-4</v>
      </c>
      <c r="S3131" s="10">
        <v>1.8335487532760412E-4</v>
      </c>
      <c r="T3131" s="10">
        <v>1.1157702075372423E-4</v>
      </c>
      <c r="U3131" s="10">
        <v>9.6150000000000006E-5</v>
      </c>
      <c r="V3131" s="25"/>
      <c r="W3131" s="25"/>
      <c r="X3131" s="25"/>
      <c r="Y3131" s="25"/>
      <c r="Z3131" s="25"/>
      <c r="AA3131" s="25"/>
    </row>
    <row r="3132" spans="1:27" x14ac:dyDescent="0.35">
      <c r="A3132" s="5">
        <v>3128</v>
      </c>
      <c r="B3132" s="5">
        <v>131</v>
      </c>
      <c r="C3132" s="5">
        <v>5</v>
      </c>
      <c r="D3132" s="25">
        <v>1.1415000000000001E-4</v>
      </c>
      <c r="E3132" s="25">
        <v>1.1373E-4</v>
      </c>
      <c r="F3132" s="25">
        <v>1.1459E-4</v>
      </c>
      <c r="G3132" s="25">
        <v>1.6288000000000001E-4</v>
      </c>
      <c r="H3132" s="25">
        <v>1.8917000000000001E-4</v>
      </c>
      <c r="I3132" s="9">
        <v>1.1985E-4</v>
      </c>
      <c r="J3132" s="9">
        <v>1.2418999999999999E-4</v>
      </c>
      <c r="K3132" s="9">
        <v>1.0596E-4</v>
      </c>
      <c r="L3132" s="9">
        <v>1.0234999999999999E-4</v>
      </c>
      <c r="M3132" s="9">
        <v>8.3049999999999999E-5</v>
      </c>
      <c r="N3132" s="9">
        <v>9.043E-5</v>
      </c>
      <c r="O3132" s="9">
        <v>2.1713E-4</v>
      </c>
      <c r="P3132" s="9">
        <v>1.7746999999999999E-4</v>
      </c>
      <c r="Q3132" s="9">
        <v>1.371E-4</v>
      </c>
      <c r="R3132" s="10">
        <v>1.6913742362145918E-4</v>
      </c>
      <c r="S3132" s="10">
        <v>1.867616022437074E-4</v>
      </c>
      <c r="T3132" s="10">
        <v>2.4416116669840135E-4</v>
      </c>
      <c r="U3132" s="10">
        <v>9.6150000000000006E-5</v>
      </c>
      <c r="V3132" s="25"/>
      <c r="W3132" s="25"/>
      <c r="X3132" s="25"/>
      <c r="Y3132" s="25"/>
      <c r="Z3132" s="25"/>
      <c r="AA3132" s="25"/>
    </row>
    <row r="3133" spans="1:27" x14ac:dyDescent="0.35">
      <c r="A3133" s="5">
        <v>3129</v>
      </c>
      <c r="B3133" s="5">
        <v>131</v>
      </c>
      <c r="C3133" s="5">
        <v>5</v>
      </c>
      <c r="D3133" s="25">
        <v>1.1416E-4</v>
      </c>
      <c r="E3133" s="25">
        <v>1.1491E-4</v>
      </c>
      <c r="F3133" s="25">
        <v>1.2263000000000001E-4</v>
      </c>
      <c r="G3133" s="25">
        <v>1.6314000000000001E-4</v>
      </c>
      <c r="H3133" s="25">
        <v>1.9612000000000001E-4</v>
      </c>
      <c r="I3133" s="9">
        <v>1.2238E-4</v>
      </c>
      <c r="J3133" s="9">
        <v>1.2909E-4</v>
      </c>
      <c r="K3133" s="9">
        <v>1.1444E-4</v>
      </c>
      <c r="L3133" s="9">
        <v>1.9016000000000001E-4</v>
      </c>
      <c r="M3133" s="9">
        <v>1.2306E-4</v>
      </c>
      <c r="N3133" s="9">
        <v>1.0425999999999999E-4</v>
      </c>
      <c r="O3133" s="9">
        <v>2.0666E-4</v>
      </c>
      <c r="P3133" s="9">
        <v>1.9154999999999999E-4</v>
      </c>
      <c r="Q3133" s="9">
        <v>1.7542999999999999E-4</v>
      </c>
      <c r="R3133" s="10">
        <v>1.5973713977198348E-4</v>
      </c>
      <c r="S3133" s="10">
        <v>1.8909680124968908E-4</v>
      </c>
      <c r="T3133" s="10">
        <v>3.6766711233842596E-4</v>
      </c>
      <c r="U3133" s="10">
        <v>9.6150000000000006E-5</v>
      </c>
      <c r="V3133" s="25"/>
      <c r="W3133" s="25"/>
      <c r="X3133" s="25"/>
      <c r="Y3133" s="25"/>
      <c r="Z3133" s="25"/>
      <c r="AA3133" s="25"/>
    </row>
    <row r="3134" spans="1:27" x14ac:dyDescent="0.35">
      <c r="A3134" s="5">
        <v>3130</v>
      </c>
      <c r="B3134" s="5">
        <v>131</v>
      </c>
      <c r="C3134" s="5">
        <v>5</v>
      </c>
      <c r="D3134" s="25">
        <v>1.1415000000000001E-4</v>
      </c>
      <c r="E3134" s="25">
        <v>1.1688000000000001E-4</v>
      </c>
      <c r="F3134" s="25">
        <v>1.1021E-4</v>
      </c>
      <c r="G3134" s="25">
        <v>1.6323999999999999E-4</v>
      </c>
      <c r="H3134" s="25">
        <v>1.9645E-4</v>
      </c>
      <c r="I3134" s="9">
        <v>1.2244E-4</v>
      </c>
      <c r="J3134" s="9">
        <v>1.3091000000000001E-4</v>
      </c>
      <c r="K3134" s="9">
        <v>1.2292E-4</v>
      </c>
      <c r="L3134" s="9">
        <v>2.0073000000000001E-4</v>
      </c>
      <c r="M3134" s="9">
        <v>1.5788E-4</v>
      </c>
      <c r="N3134" s="9">
        <v>1.2397999999999999E-4</v>
      </c>
      <c r="O3134" s="9">
        <v>1.66E-4</v>
      </c>
      <c r="P3134" s="9">
        <v>1.7505E-4</v>
      </c>
      <c r="Q3134" s="9">
        <v>1.8310000000000001E-4</v>
      </c>
      <c r="R3134" s="10">
        <v>1.1887545804802505E-4</v>
      </c>
      <c r="S3134" s="10">
        <v>1.8983157191631358E-4</v>
      </c>
      <c r="T3134" s="10">
        <v>6.0328458959123374E-4</v>
      </c>
      <c r="U3134" s="10">
        <v>9.6150000000000006E-5</v>
      </c>
      <c r="V3134" s="25"/>
      <c r="W3134" s="25"/>
      <c r="X3134" s="25"/>
      <c r="Y3134" s="25"/>
      <c r="Z3134" s="25"/>
      <c r="AA3134" s="25"/>
    </row>
    <row r="3135" spans="1:27" x14ac:dyDescent="0.35">
      <c r="A3135" s="5">
        <v>3131</v>
      </c>
      <c r="B3135" s="5">
        <v>131</v>
      </c>
      <c r="C3135" s="5">
        <v>5</v>
      </c>
      <c r="D3135" s="25">
        <v>1.1416E-4</v>
      </c>
      <c r="E3135" s="25">
        <v>1.1778E-4</v>
      </c>
      <c r="F3135" s="25">
        <v>1.1639E-4</v>
      </c>
      <c r="G3135" s="25">
        <v>1.6484E-4</v>
      </c>
      <c r="H3135" s="25">
        <v>1.8964000000000001E-4</v>
      </c>
      <c r="I3135" s="9">
        <v>1.2322E-4</v>
      </c>
      <c r="J3135" s="9">
        <v>1.3191E-4</v>
      </c>
      <c r="K3135" s="9">
        <v>9.1130000000000003E-5</v>
      </c>
      <c r="L3135" s="9">
        <v>1.7374999999999999E-4</v>
      </c>
      <c r="M3135" s="9">
        <v>1.7210000000000001E-4</v>
      </c>
      <c r="N3135" s="9">
        <v>1.4237000000000001E-4</v>
      </c>
      <c r="O3135" s="9">
        <v>1.6430000000000001E-4</v>
      </c>
      <c r="P3135" s="9">
        <v>1.7192999999999999E-4</v>
      </c>
      <c r="Q3135" s="9">
        <v>1.7856999999999999E-4</v>
      </c>
      <c r="R3135" s="10">
        <v>1.0093403460987544E-4</v>
      </c>
      <c r="S3135" s="10">
        <v>1.9004527568885327E-4</v>
      </c>
      <c r="T3135" s="10">
        <v>6.3884228816768116E-4</v>
      </c>
      <c r="U3135" s="10">
        <v>9.6150000000000006E-5</v>
      </c>
      <c r="V3135" s="25"/>
      <c r="W3135" s="25"/>
      <c r="X3135" s="25"/>
      <c r="Y3135" s="25"/>
      <c r="Z3135" s="25"/>
      <c r="AA3135" s="25"/>
    </row>
    <row r="3136" spans="1:27" x14ac:dyDescent="0.35">
      <c r="A3136" s="5">
        <v>3132</v>
      </c>
      <c r="B3136" s="5">
        <v>131</v>
      </c>
      <c r="C3136" s="5">
        <v>5</v>
      </c>
      <c r="D3136" s="25">
        <v>1.1415000000000001E-4</v>
      </c>
      <c r="E3136" s="25">
        <v>1.1341E-4</v>
      </c>
      <c r="F3136" s="25">
        <v>1.2747999999999999E-4</v>
      </c>
      <c r="G3136" s="25">
        <v>1.5845E-4</v>
      </c>
      <c r="H3136" s="25">
        <v>1.9866E-4</v>
      </c>
      <c r="I3136" s="9">
        <v>1.1812E-4</v>
      </c>
      <c r="J3136" s="9">
        <v>1.3059000000000001E-4</v>
      </c>
      <c r="K3136" s="9">
        <v>8.4779999999999998E-5</v>
      </c>
      <c r="L3136" s="9">
        <v>1.6772999999999999E-4</v>
      </c>
      <c r="M3136" s="9">
        <v>1.7450000000000001E-4</v>
      </c>
      <c r="N3136" s="9">
        <v>1.5634000000000001E-4</v>
      </c>
      <c r="O3136" s="9">
        <v>1.6663E-4</v>
      </c>
      <c r="P3136" s="9">
        <v>1.7022000000000001E-4</v>
      </c>
      <c r="Q3136" s="9">
        <v>1.7286999999999999E-4</v>
      </c>
      <c r="R3136" s="10">
        <v>7.0599466187349377E-5</v>
      </c>
      <c r="S3136" s="10">
        <v>1.8910973697934422E-4</v>
      </c>
      <c r="T3136" s="10">
        <v>6.0319974659773243E-4</v>
      </c>
      <c r="U3136" s="10">
        <v>9.6150000000000006E-5</v>
      </c>
      <c r="V3136" s="25"/>
      <c r="W3136" s="25"/>
      <c r="X3136" s="25"/>
      <c r="Y3136" s="25"/>
      <c r="Z3136" s="25"/>
      <c r="AA3136" s="25"/>
    </row>
    <row r="3137" spans="1:27" x14ac:dyDescent="0.35">
      <c r="A3137" s="5">
        <v>3133</v>
      </c>
      <c r="B3137" s="5">
        <v>131</v>
      </c>
      <c r="C3137" s="5">
        <v>5</v>
      </c>
      <c r="D3137" s="25">
        <v>1.1416E-4</v>
      </c>
      <c r="E3137" s="25">
        <v>1.1402E-4</v>
      </c>
      <c r="F3137" s="25">
        <v>1.2116E-4</v>
      </c>
      <c r="G3137" s="25">
        <v>1.6713000000000001E-4</v>
      </c>
      <c r="H3137" s="25">
        <v>1.9749000000000001E-4</v>
      </c>
      <c r="I3137" s="9">
        <v>1.1509E-4</v>
      </c>
      <c r="J3137" s="9">
        <v>1.3072E-4</v>
      </c>
      <c r="K3137" s="9">
        <v>8.6899999999999998E-5</v>
      </c>
      <c r="L3137" s="9">
        <v>1.6704999999999999E-4</v>
      </c>
      <c r="M3137" s="9">
        <v>1.7309000000000001E-4</v>
      </c>
      <c r="N3137" s="9">
        <v>1.6563999999999999E-4</v>
      </c>
      <c r="O3137" s="9">
        <v>1.5872999999999999E-4</v>
      </c>
      <c r="P3137" s="9">
        <v>1.6297999999999999E-4</v>
      </c>
      <c r="Q3137" s="9">
        <v>1.6636E-4</v>
      </c>
      <c r="R3137" s="10">
        <v>9.0805591686724216E-5</v>
      </c>
      <c r="S3137" s="10">
        <v>1.8902988564289844E-4</v>
      </c>
      <c r="T3137" s="10">
        <v>7.3149932137058751E-4</v>
      </c>
      <c r="U3137" s="10">
        <v>9.6150000000000006E-5</v>
      </c>
      <c r="V3137" s="25"/>
      <c r="W3137" s="25"/>
      <c r="X3137" s="25"/>
      <c r="Y3137" s="25"/>
      <c r="Z3137" s="25"/>
      <c r="AA3137" s="25"/>
    </row>
    <row r="3138" spans="1:27" x14ac:dyDescent="0.35">
      <c r="A3138" s="5">
        <v>3134</v>
      </c>
      <c r="B3138" s="5">
        <v>131</v>
      </c>
      <c r="C3138" s="5">
        <v>5</v>
      </c>
      <c r="D3138" s="25">
        <v>1.1415000000000001E-4</v>
      </c>
      <c r="E3138" s="25">
        <v>1.0909E-4</v>
      </c>
      <c r="F3138" s="25">
        <v>1.114E-4</v>
      </c>
      <c r="G3138" s="25">
        <v>1.5746E-4</v>
      </c>
      <c r="H3138" s="25">
        <v>1.9416999999999999E-4</v>
      </c>
      <c r="I3138" s="9">
        <v>1.1598E-4</v>
      </c>
      <c r="J3138" s="9">
        <v>1.3048000000000001E-4</v>
      </c>
      <c r="K3138" s="9">
        <v>6.1459999999999998E-5</v>
      </c>
      <c r="L3138" s="9">
        <v>1.6034E-4</v>
      </c>
      <c r="M3138" s="9">
        <v>1.6903999999999999E-4</v>
      </c>
      <c r="N3138" s="9">
        <v>1.6981E-4</v>
      </c>
      <c r="O3138" s="9">
        <v>1.7521999999999999E-4</v>
      </c>
      <c r="P3138" s="9">
        <v>1.6807000000000001E-4</v>
      </c>
      <c r="Q3138" s="9">
        <v>1.6008E-4</v>
      </c>
      <c r="R3138" s="10">
        <v>1.1879109407189794E-4</v>
      </c>
      <c r="S3138" s="10">
        <v>1.8922399472303292E-4</v>
      </c>
      <c r="T3138" s="10">
        <v>6.429402047537999E-4</v>
      </c>
      <c r="U3138" s="10">
        <v>9.6150000000000006E-5</v>
      </c>
      <c r="V3138" s="25"/>
      <c r="W3138" s="25"/>
      <c r="X3138" s="25"/>
      <c r="Y3138" s="25"/>
      <c r="Z3138" s="25"/>
      <c r="AA3138" s="25"/>
    </row>
    <row r="3139" spans="1:27" x14ac:dyDescent="0.35">
      <c r="A3139" s="5">
        <v>3135</v>
      </c>
      <c r="B3139" s="5">
        <v>131</v>
      </c>
      <c r="C3139" s="5">
        <v>5</v>
      </c>
      <c r="D3139" s="25">
        <v>1.1416E-4</v>
      </c>
      <c r="E3139" s="25">
        <v>1.1298000000000001E-4</v>
      </c>
      <c r="F3139" s="25">
        <v>1.1823E-4</v>
      </c>
      <c r="G3139" s="25">
        <v>1.6022000000000001E-4</v>
      </c>
      <c r="H3139" s="25">
        <v>1.9368E-4</v>
      </c>
      <c r="I3139" s="9">
        <v>1.148E-4</v>
      </c>
      <c r="J3139" s="9">
        <v>1.3004E-4</v>
      </c>
      <c r="K3139" s="9">
        <v>6.1470000000000006E-5</v>
      </c>
      <c r="L3139" s="9">
        <v>1.7210000000000001E-4</v>
      </c>
      <c r="M3139" s="9">
        <v>1.6755000000000001E-4</v>
      </c>
      <c r="N3139" s="9">
        <v>1.6929E-4</v>
      </c>
      <c r="O3139" s="9">
        <v>1.7987999999999999E-4</v>
      </c>
      <c r="P3139" s="9">
        <v>1.6606999999999999E-4</v>
      </c>
      <c r="Q3139" s="9">
        <v>1.5148000000000001E-4</v>
      </c>
      <c r="R3139" s="10">
        <v>1.2356784046505895E-4</v>
      </c>
      <c r="S3139" s="10">
        <v>1.8774969515254593E-4</v>
      </c>
      <c r="T3139" s="10">
        <v>5.6817655888034401E-4</v>
      </c>
      <c r="U3139" s="10">
        <v>9.6150000000000006E-5</v>
      </c>
      <c r="V3139" s="25"/>
      <c r="W3139" s="25"/>
      <c r="X3139" s="25"/>
      <c r="Y3139" s="25"/>
      <c r="Z3139" s="25"/>
      <c r="AA3139" s="25"/>
    </row>
    <row r="3140" spans="1:27" x14ac:dyDescent="0.35">
      <c r="A3140" s="5">
        <v>3136</v>
      </c>
      <c r="B3140" s="5">
        <v>131</v>
      </c>
      <c r="C3140" s="5">
        <v>5</v>
      </c>
      <c r="D3140" s="25">
        <v>1.1415000000000001E-4</v>
      </c>
      <c r="E3140" s="25">
        <v>1.1345000000000001E-4</v>
      </c>
      <c r="F3140" s="25">
        <v>1.3045999999999999E-4</v>
      </c>
      <c r="G3140" s="25">
        <v>1.5938000000000001E-4</v>
      </c>
      <c r="H3140" s="25">
        <v>1.8977999999999999E-4</v>
      </c>
      <c r="I3140" s="9">
        <v>1.1582999999999999E-4</v>
      </c>
      <c r="J3140" s="9">
        <v>1.3003E-4</v>
      </c>
      <c r="K3140" s="9">
        <v>8.2659999999999998E-5</v>
      </c>
      <c r="L3140" s="9">
        <v>1.7786000000000001E-4</v>
      </c>
      <c r="M3140" s="9">
        <v>1.6673999999999999E-4</v>
      </c>
      <c r="N3140" s="9">
        <v>1.6526E-4</v>
      </c>
      <c r="O3140" s="9">
        <v>1.9526E-4</v>
      </c>
      <c r="P3140" s="9">
        <v>1.5291E-4</v>
      </c>
      <c r="Q3140" s="9">
        <v>1.1009E-4</v>
      </c>
      <c r="R3140" s="10">
        <v>1.021856389173516E-4</v>
      </c>
      <c r="S3140" s="10">
        <v>1.8124345783518791E-4</v>
      </c>
      <c r="T3140" s="10">
        <v>4.8523404843335083E-4</v>
      </c>
      <c r="U3140" s="10">
        <v>9.6150000000000006E-5</v>
      </c>
      <c r="V3140" s="25"/>
      <c r="W3140" s="25"/>
      <c r="X3140" s="25"/>
      <c r="Y3140" s="25"/>
      <c r="Z3140" s="25"/>
      <c r="AA3140" s="25"/>
    </row>
    <row r="3141" spans="1:27" x14ac:dyDescent="0.35">
      <c r="A3141" s="5">
        <v>3137</v>
      </c>
      <c r="B3141" s="5">
        <v>131</v>
      </c>
      <c r="C3141" s="5">
        <v>5</v>
      </c>
      <c r="D3141" s="25">
        <v>1.1416E-4</v>
      </c>
      <c r="E3141" s="25">
        <v>1.1671999999999999E-4</v>
      </c>
      <c r="F3141" s="25">
        <v>1.1883E-4</v>
      </c>
      <c r="G3141" s="25">
        <v>1.5862E-4</v>
      </c>
      <c r="H3141" s="25">
        <v>1.8746E-4</v>
      </c>
      <c r="I3141" s="9">
        <v>1.1784E-4</v>
      </c>
      <c r="J3141" s="9">
        <v>1.3014E-4</v>
      </c>
      <c r="K3141" s="9">
        <v>8.9019999999999998E-5</v>
      </c>
      <c r="L3141" s="9">
        <v>1.9122E-4</v>
      </c>
      <c r="M3141" s="9">
        <v>1.6165E-4</v>
      </c>
      <c r="N3141" s="9">
        <v>1.5176999999999999E-4</v>
      </c>
      <c r="O3141" s="9">
        <v>2.1206E-4</v>
      </c>
      <c r="P3141" s="9">
        <v>1.6012000000000001E-4</v>
      </c>
      <c r="Q3141" s="9">
        <v>1.077E-4</v>
      </c>
      <c r="R3141" s="10">
        <v>8.9178298544385589E-5</v>
      </c>
      <c r="S3141" s="10">
        <v>1.8627252894513847E-4</v>
      </c>
      <c r="T3141" s="10">
        <v>2.6734027252299074E-4</v>
      </c>
      <c r="U3141" s="10">
        <v>9.6150000000000006E-5</v>
      </c>
      <c r="V3141" s="25"/>
      <c r="W3141" s="25"/>
      <c r="X3141" s="25"/>
      <c r="Y3141" s="25"/>
      <c r="Z3141" s="25"/>
      <c r="AA3141" s="25"/>
    </row>
    <row r="3142" spans="1:27" x14ac:dyDescent="0.35">
      <c r="A3142" s="5">
        <v>3138</v>
      </c>
      <c r="B3142" s="5">
        <v>131</v>
      </c>
      <c r="C3142" s="5">
        <v>5</v>
      </c>
      <c r="D3142" s="25">
        <v>1.1415000000000001E-4</v>
      </c>
      <c r="E3142" s="25">
        <v>1.1468000000000001E-4</v>
      </c>
      <c r="F3142" s="25">
        <v>1.2715E-4</v>
      </c>
      <c r="G3142" s="25">
        <v>1.6618000000000001E-4</v>
      </c>
      <c r="H3142" s="25">
        <v>1.8762E-4</v>
      </c>
      <c r="I3142" s="9">
        <v>1.1935E-4</v>
      </c>
      <c r="J3142" s="9">
        <v>1.2496E-4</v>
      </c>
      <c r="K3142" s="9">
        <v>1.0597E-4</v>
      </c>
      <c r="L3142" s="9">
        <v>2.0719E-4</v>
      </c>
      <c r="M3142" s="9">
        <v>1.5969000000000001E-4</v>
      </c>
      <c r="N3142" s="9">
        <v>1.3872999999999999E-4</v>
      </c>
      <c r="O3142" s="9">
        <v>2.0128E-4</v>
      </c>
      <c r="P3142" s="9">
        <v>1.5938000000000001E-4</v>
      </c>
      <c r="Q3142" s="9">
        <v>1.1692999999999999E-4</v>
      </c>
      <c r="R3142" s="10">
        <v>1.1675122215322819E-4</v>
      </c>
      <c r="S3142" s="10">
        <v>1.8053110376443086E-4</v>
      </c>
      <c r="T3142" s="10">
        <v>9.1087437823130063E-5</v>
      </c>
      <c r="U3142" s="10">
        <v>9.6150000000000006E-5</v>
      </c>
      <c r="V3142" s="25"/>
      <c r="W3142" s="25"/>
      <c r="X3142" s="25"/>
      <c r="Y3142" s="25"/>
      <c r="Z3142" s="25"/>
      <c r="AA3142" s="25"/>
    </row>
    <row r="3143" spans="1:27" x14ac:dyDescent="0.35">
      <c r="A3143" s="5">
        <v>3139</v>
      </c>
      <c r="B3143" s="5">
        <v>131</v>
      </c>
      <c r="C3143" s="5">
        <v>5</v>
      </c>
      <c r="D3143" s="25">
        <v>1.1416E-4</v>
      </c>
      <c r="E3143" s="25">
        <v>1.1112000000000001E-4</v>
      </c>
      <c r="F3143" s="25">
        <v>1.2139E-4</v>
      </c>
      <c r="G3143" s="25">
        <v>1.1288E-4</v>
      </c>
      <c r="H3143" s="25">
        <v>1.2766000000000001E-4</v>
      </c>
      <c r="I3143" s="9">
        <v>1.1645E-4</v>
      </c>
      <c r="J3143" s="9">
        <v>1.2223E-4</v>
      </c>
      <c r="K3143" s="9">
        <v>1.2928000000000001E-4</v>
      </c>
      <c r="L3143" s="9">
        <v>2.0217E-4</v>
      </c>
      <c r="M3143" s="9">
        <v>1.5923000000000001E-4</v>
      </c>
      <c r="N3143" s="9">
        <v>1.2966E-4</v>
      </c>
      <c r="O3143" s="9">
        <v>1.6098999999999999E-4</v>
      </c>
      <c r="P3143" s="9">
        <v>1.3379E-4</v>
      </c>
      <c r="Q3143" s="9">
        <v>1.0619E-4</v>
      </c>
      <c r="R3143" s="10">
        <v>9.7009483699989844E-5</v>
      </c>
      <c r="S3143" s="10">
        <v>1.7594196899190046E-4</v>
      </c>
      <c r="T3143" s="10">
        <v>2.2542783373328668E-5</v>
      </c>
      <c r="U3143" s="10">
        <v>9.6150000000000006E-5</v>
      </c>
      <c r="V3143" s="25"/>
      <c r="W3143" s="25"/>
      <c r="X3143" s="25"/>
      <c r="Y3143" s="25"/>
      <c r="Z3143" s="25"/>
      <c r="AA3143" s="25"/>
    </row>
    <row r="3144" spans="1:27" x14ac:dyDescent="0.35">
      <c r="A3144" s="5">
        <v>3140</v>
      </c>
      <c r="B3144" s="5">
        <v>131</v>
      </c>
      <c r="C3144" s="5">
        <v>5</v>
      </c>
      <c r="D3144" s="25">
        <v>1.1415000000000001E-4</v>
      </c>
      <c r="E3144" s="25">
        <v>1.1279E-4</v>
      </c>
      <c r="F3144" s="25">
        <v>1.1362999999999999E-4</v>
      </c>
      <c r="G3144" s="25">
        <v>1.154E-4</v>
      </c>
      <c r="H3144" s="25">
        <v>1.3190000000000001E-4</v>
      </c>
      <c r="I3144" s="9">
        <v>1.1414E-4</v>
      </c>
      <c r="J3144" s="9">
        <v>1.1977999999999999E-4</v>
      </c>
      <c r="K3144" s="9">
        <v>1.5894999999999999E-4</v>
      </c>
      <c r="L3144" s="9">
        <v>1.7027000000000001E-4</v>
      </c>
      <c r="M3144" s="9">
        <v>1.5008E-4</v>
      </c>
      <c r="N3144" s="9">
        <v>1.205E-4</v>
      </c>
      <c r="O3144" s="9">
        <v>1.2736E-4</v>
      </c>
      <c r="P3144" s="9">
        <v>1.1472999999999999E-4</v>
      </c>
      <c r="Q3144" s="9">
        <v>1.0177E-4</v>
      </c>
      <c r="R3144" s="10">
        <v>4.9047265380964281E-5</v>
      </c>
      <c r="S3144" s="10">
        <v>1.7965035361404262E-4</v>
      </c>
      <c r="T3144" s="10">
        <v>0</v>
      </c>
      <c r="U3144" s="10">
        <v>9.6150000000000006E-5</v>
      </c>
      <c r="V3144" s="25"/>
      <c r="W3144" s="25"/>
      <c r="X3144" s="25"/>
      <c r="Y3144" s="25"/>
      <c r="Z3144" s="25"/>
      <c r="AA3144" s="25"/>
    </row>
    <row r="3145" spans="1:27" x14ac:dyDescent="0.35">
      <c r="A3145" s="5">
        <v>3141</v>
      </c>
      <c r="B3145" s="5">
        <v>131</v>
      </c>
      <c r="C3145" s="5">
        <v>5</v>
      </c>
      <c r="D3145" s="25">
        <v>1.1416E-4</v>
      </c>
      <c r="E3145" s="25">
        <v>1.136E-4</v>
      </c>
      <c r="F3145" s="25">
        <v>1.122E-4</v>
      </c>
      <c r="G3145" s="25">
        <v>5.7070000000000001E-5</v>
      </c>
      <c r="H3145" s="25">
        <v>7.3419999999999998E-5</v>
      </c>
      <c r="I3145" s="9">
        <v>1.1421000000000001E-4</v>
      </c>
      <c r="J3145" s="9">
        <v>1.1906E-4</v>
      </c>
      <c r="K3145" s="9">
        <v>1.7590999999999999E-4</v>
      </c>
      <c r="L3145" s="9">
        <v>1.3779999999999999E-4</v>
      </c>
      <c r="M3145" s="9">
        <v>1.3479E-4</v>
      </c>
      <c r="N3145" s="9">
        <v>1.1291E-4</v>
      </c>
      <c r="O3145" s="9">
        <v>8.5019999999999996E-5</v>
      </c>
      <c r="P3145" s="9">
        <v>8.7189999999999997E-5</v>
      </c>
      <c r="Q3145" s="9">
        <v>8.9209999999999995E-5</v>
      </c>
      <c r="R3145" s="10">
        <v>5.7700684530377477E-5</v>
      </c>
      <c r="S3145" s="10">
        <v>1.7812222963385646E-4</v>
      </c>
      <c r="T3145" s="10">
        <v>0</v>
      </c>
      <c r="U3145" s="10">
        <v>9.6150000000000006E-5</v>
      </c>
      <c r="V3145" s="25"/>
      <c r="W3145" s="25"/>
      <c r="X3145" s="25"/>
      <c r="Y3145" s="25"/>
      <c r="Z3145" s="25"/>
      <c r="AA3145" s="25"/>
    </row>
    <row r="3146" spans="1:27" x14ac:dyDescent="0.35">
      <c r="A3146" s="5">
        <v>3142</v>
      </c>
      <c r="B3146" s="5">
        <v>131</v>
      </c>
      <c r="C3146" s="5">
        <v>5</v>
      </c>
      <c r="D3146" s="25">
        <v>1.1415000000000001E-4</v>
      </c>
      <c r="E3146" s="25">
        <v>1.1917E-4</v>
      </c>
      <c r="F3146" s="25">
        <v>1.1769000000000001E-4</v>
      </c>
      <c r="G3146" s="25">
        <v>5.931E-5</v>
      </c>
      <c r="H3146" s="25">
        <v>7.135E-5</v>
      </c>
      <c r="I3146" s="9">
        <v>1.1341999999999999E-4</v>
      </c>
      <c r="J3146" s="9">
        <v>1.1445E-4</v>
      </c>
      <c r="K3146" s="9">
        <v>1.9285999999999999E-4</v>
      </c>
      <c r="L3146" s="9">
        <v>9.7490000000000003E-5</v>
      </c>
      <c r="M3146" s="9">
        <v>1.1375E-4</v>
      </c>
      <c r="N3146" s="9">
        <v>1.0556E-4</v>
      </c>
      <c r="O3146" s="9">
        <v>8.7219999999999995E-5</v>
      </c>
      <c r="P3146" s="9">
        <v>8.8029999999999996E-5</v>
      </c>
      <c r="Q3146" s="9">
        <v>8.8679999999999998E-5</v>
      </c>
      <c r="R3146" s="10">
        <v>5.9771336058375125E-5</v>
      </c>
      <c r="S3146" s="10">
        <v>1.704024098699295E-4</v>
      </c>
      <c r="T3146" s="10">
        <v>0</v>
      </c>
      <c r="U3146" s="10">
        <v>9.6150000000000006E-5</v>
      </c>
      <c r="V3146" s="25"/>
      <c r="W3146" s="25"/>
      <c r="X3146" s="25"/>
      <c r="Y3146" s="25"/>
      <c r="Z3146" s="25"/>
      <c r="AA3146" s="25"/>
    </row>
    <row r="3147" spans="1:27" x14ac:dyDescent="0.35">
      <c r="A3147" s="5">
        <v>3143</v>
      </c>
      <c r="B3147" s="5">
        <v>131</v>
      </c>
      <c r="C3147" s="5">
        <v>5</v>
      </c>
      <c r="D3147" s="25">
        <v>1.1416E-4</v>
      </c>
      <c r="E3147" s="25">
        <v>1.1525E-4</v>
      </c>
      <c r="F3147" s="25">
        <v>1.1241E-4</v>
      </c>
      <c r="G3147" s="25">
        <v>5.397E-5</v>
      </c>
      <c r="H3147" s="25">
        <v>6.6719999999999998E-5</v>
      </c>
      <c r="I3147" s="9">
        <v>1.0801E-4</v>
      </c>
      <c r="J3147" s="9">
        <v>1.0783E-4</v>
      </c>
      <c r="K3147" s="9">
        <v>2.1829E-4</v>
      </c>
      <c r="L3147" s="9">
        <v>9.0370000000000004E-5</v>
      </c>
      <c r="M3147" s="9">
        <v>9.9350000000000003E-5</v>
      </c>
      <c r="N3147" s="9">
        <v>9.9879999999999999E-5</v>
      </c>
      <c r="O3147" s="9">
        <v>7.6940000000000005E-5</v>
      </c>
      <c r="P3147" s="9">
        <v>7.1699999999999995E-5</v>
      </c>
      <c r="Q3147" s="9">
        <v>6.6489999999999995E-5</v>
      </c>
      <c r="R3147" s="10">
        <v>5.617010585338749E-5</v>
      </c>
      <c r="S3147" s="10">
        <v>1.6600460304279986E-4</v>
      </c>
      <c r="T3147" s="10">
        <v>0</v>
      </c>
      <c r="U3147" s="10">
        <v>9.6150000000000006E-5</v>
      </c>
      <c r="V3147" s="25"/>
      <c r="W3147" s="25"/>
      <c r="X3147" s="25"/>
      <c r="Y3147" s="25"/>
      <c r="Z3147" s="25"/>
      <c r="AA3147" s="25"/>
    </row>
    <row r="3148" spans="1:27" x14ac:dyDescent="0.35">
      <c r="A3148" s="5">
        <v>3144</v>
      </c>
      <c r="B3148" s="5">
        <v>131</v>
      </c>
      <c r="C3148" s="5">
        <v>5</v>
      </c>
      <c r="D3148" s="25">
        <v>1.1415000000000001E-4</v>
      </c>
      <c r="E3148" s="25">
        <v>1.1309E-4</v>
      </c>
      <c r="F3148" s="25">
        <v>1.2522E-4</v>
      </c>
      <c r="G3148" s="25">
        <v>6.0819999999999997E-5</v>
      </c>
      <c r="H3148" s="25">
        <v>6.2749999999999994E-5</v>
      </c>
      <c r="I3148" s="9">
        <v>9.9759999999999994E-5</v>
      </c>
      <c r="J3148" s="9">
        <v>9.9920000000000006E-5</v>
      </c>
      <c r="K3148" s="9">
        <v>2.4795999999999998E-4</v>
      </c>
      <c r="L3148" s="9">
        <v>7.9900000000000004E-5</v>
      </c>
      <c r="M3148" s="9">
        <v>8.6219999999999998E-5</v>
      </c>
      <c r="N3148" s="9">
        <v>9.0580000000000004E-5</v>
      </c>
      <c r="O3148" s="9">
        <v>6.2990000000000005E-5</v>
      </c>
      <c r="P3148" s="9">
        <v>6.1060000000000002E-5</v>
      </c>
      <c r="Q3148" s="9">
        <v>5.923E-5</v>
      </c>
      <c r="R3148" s="10">
        <v>6.9178146760657711E-5</v>
      </c>
      <c r="S3148" s="10">
        <v>1.401334624270002E-4</v>
      </c>
      <c r="T3148" s="10">
        <v>0</v>
      </c>
      <c r="U3148" s="10">
        <v>9.6150000000000006E-5</v>
      </c>
      <c r="V3148" s="25"/>
      <c r="W3148" s="25"/>
      <c r="X3148" s="25"/>
      <c r="Y3148" s="25"/>
      <c r="Z3148" s="25"/>
      <c r="AA3148" s="25"/>
    </row>
    <row r="3149" spans="1:27" x14ac:dyDescent="0.35">
      <c r="A3149" s="5">
        <v>3145</v>
      </c>
      <c r="B3149" s="5">
        <v>132</v>
      </c>
      <c r="C3149" s="5">
        <v>5</v>
      </c>
      <c r="D3149" s="25">
        <v>1.1416E-4</v>
      </c>
      <c r="E3149" s="25">
        <v>1.1557000000000001E-4</v>
      </c>
      <c r="F3149" s="25">
        <v>8.7310000000000003E-5</v>
      </c>
      <c r="G3149" s="25">
        <v>5.9280000000000002E-5</v>
      </c>
      <c r="H3149" s="25">
        <v>3.9209999999999999E-5</v>
      </c>
      <c r="I3149" s="9">
        <v>9.5099999999999994E-5</v>
      </c>
      <c r="J3149" s="9">
        <v>9.4389999999999996E-5</v>
      </c>
      <c r="K3149" s="9">
        <v>2.6068E-4</v>
      </c>
      <c r="L3149" s="9">
        <v>6.6740000000000001E-5</v>
      </c>
      <c r="M3149" s="9">
        <v>7.4129999999999997E-5</v>
      </c>
      <c r="N3149" s="9">
        <v>8.1290000000000003E-5</v>
      </c>
      <c r="O3149" s="9">
        <v>6.8670000000000005E-5</v>
      </c>
      <c r="P3149" s="9">
        <v>6.1140000000000001E-5</v>
      </c>
      <c r="Q3149" s="9">
        <v>5.3919999999999999E-5</v>
      </c>
      <c r="R3149" s="10">
        <v>6.3393825699068425E-5</v>
      </c>
      <c r="S3149" s="10">
        <v>1.4696864427873535E-4</v>
      </c>
      <c r="T3149" s="10">
        <v>0</v>
      </c>
      <c r="U3149" s="10">
        <v>9.5110000000000002E-5</v>
      </c>
      <c r="V3149" s="25"/>
      <c r="W3149" s="25"/>
      <c r="X3149" s="25"/>
      <c r="Y3149" s="25"/>
      <c r="Z3149" s="25"/>
      <c r="AA3149" s="25"/>
    </row>
    <row r="3150" spans="1:27" x14ac:dyDescent="0.35">
      <c r="A3150" s="5">
        <v>3146</v>
      </c>
      <c r="B3150" s="5">
        <v>132</v>
      </c>
      <c r="C3150" s="5">
        <v>5</v>
      </c>
      <c r="D3150" s="25">
        <v>1.1415000000000001E-4</v>
      </c>
      <c r="E3150" s="25">
        <v>1.1688000000000001E-4</v>
      </c>
      <c r="F3150" s="25">
        <v>9.1399999999999999E-5</v>
      </c>
      <c r="G3150" s="25">
        <v>5.6629999999999998E-5</v>
      </c>
      <c r="H3150" s="25">
        <v>3.8149999999999999E-5</v>
      </c>
      <c r="I3150" s="9">
        <v>9.1650000000000005E-5</v>
      </c>
      <c r="J3150" s="9">
        <v>9.1899999999999998E-5</v>
      </c>
      <c r="K3150" s="9">
        <v>2.5856000000000002E-4</v>
      </c>
      <c r="L3150" s="9">
        <v>6.86E-5</v>
      </c>
      <c r="M3150" s="9">
        <v>6.6589999999999998E-5</v>
      </c>
      <c r="N3150" s="9">
        <v>7.2290000000000001E-5</v>
      </c>
      <c r="O3150" s="9">
        <v>3.612E-5</v>
      </c>
      <c r="P3150" s="9">
        <v>4.6220000000000001E-5</v>
      </c>
      <c r="Q3150" s="9">
        <v>5.664E-5</v>
      </c>
      <c r="R3150" s="10">
        <v>6.8951477412147451E-5</v>
      </c>
      <c r="S3150" s="10">
        <v>1.6279357602587332E-4</v>
      </c>
      <c r="T3150" s="10">
        <v>0</v>
      </c>
      <c r="U3150" s="10">
        <v>9.5110000000000002E-5</v>
      </c>
      <c r="V3150" s="25"/>
      <c r="W3150" s="25"/>
      <c r="X3150" s="25"/>
      <c r="Y3150" s="25"/>
      <c r="Z3150" s="25"/>
      <c r="AA3150" s="25"/>
    </row>
    <row r="3151" spans="1:27" x14ac:dyDescent="0.35">
      <c r="A3151" s="5">
        <v>3147</v>
      </c>
      <c r="B3151" s="5">
        <v>132</v>
      </c>
      <c r="C3151" s="5">
        <v>5</v>
      </c>
      <c r="D3151" s="25">
        <v>1.1416E-4</v>
      </c>
      <c r="E3151" s="25">
        <v>1.1730000000000001E-4</v>
      </c>
      <c r="F3151" s="25">
        <v>9.5149999999999995E-5</v>
      </c>
      <c r="G3151" s="25">
        <v>5.5210000000000002E-5</v>
      </c>
      <c r="H3151" s="25">
        <v>3.8210000000000002E-5</v>
      </c>
      <c r="I3151" s="9">
        <v>9.1570000000000006E-5</v>
      </c>
      <c r="J3151" s="9">
        <v>9.0829999999999996E-5</v>
      </c>
      <c r="K3151" s="9">
        <v>2.7975E-4</v>
      </c>
      <c r="L3151" s="9">
        <v>4.316E-5</v>
      </c>
      <c r="M3151" s="9">
        <v>5.766E-5</v>
      </c>
      <c r="N3151" s="9">
        <v>6.5790000000000005E-5</v>
      </c>
      <c r="O3151" s="9">
        <v>2.2779999999999999E-5</v>
      </c>
      <c r="P3151" s="9">
        <v>4.1839999999999999E-5</v>
      </c>
      <c r="Q3151" s="9">
        <v>6.1210000000000005E-5</v>
      </c>
      <c r="R3151" s="10">
        <v>6.7782922549291879E-5</v>
      </c>
      <c r="S3151" s="10">
        <v>1.6155885008116853E-4</v>
      </c>
      <c r="T3151" s="10">
        <v>0</v>
      </c>
      <c r="U3151" s="10">
        <v>9.5110000000000002E-5</v>
      </c>
      <c r="V3151" s="25"/>
      <c r="W3151" s="25"/>
      <c r="X3151" s="25"/>
      <c r="Y3151" s="25"/>
      <c r="Z3151" s="25"/>
      <c r="AA3151" s="25"/>
    </row>
    <row r="3152" spans="1:27" x14ac:dyDescent="0.35">
      <c r="A3152" s="5">
        <v>3148</v>
      </c>
      <c r="B3152" s="5">
        <v>132</v>
      </c>
      <c r="C3152" s="5">
        <v>5</v>
      </c>
      <c r="D3152" s="25">
        <v>1.1415000000000001E-4</v>
      </c>
      <c r="E3152" s="25">
        <v>1.0911E-4</v>
      </c>
      <c r="F3152" s="25">
        <v>9.535E-5</v>
      </c>
      <c r="G3152" s="25">
        <v>5.8400000000000003E-5</v>
      </c>
      <c r="H3152" s="25">
        <v>4.549E-5</v>
      </c>
      <c r="I3152" s="9">
        <v>9.2230000000000003E-5</v>
      </c>
      <c r="J3152" s="9">
        <v>9.0989999999999994E-5</v>
      </c>
      <c r="K3152" s="9">
        <v>3.0729999999999999E-4</v>
      </c>
      <c r="L3152" s="9">
        <v>2.7880000000000001E-5</v>
      </c>
      <c r="M3152" s="9">
        <v>4.9849999999999999E-5</v>
      </c>
      <c r="N3152" s="9">
        <v>6.2080000000000002E-5</v>
      </c>
      <c r="O3152" s="9">
        <v>2.251E-5</v>
      </c>
      <c r="P3152" s="9">
        <v>5.1579999999999997E-5</v>
      </c>
      <c r="Q3152" s="9">
        <v>8.0799999999999999E-5</v>
      </c>
      <c r="R3152" s="10">
        <v>6.3160186815009993E-5</v>
      </c>
      <c r="S3152" s="10">
        <v>1.4704281961254743E-4</v>
      </c>
      <c r="T3152" s="10">
        <v>0</v>
      </c>
      <c r="U3152" s="10">
        <v>9.5110000000000002E-5</v>
      </c>
      <c r="V3152" s="25"/>
      <c r="W3152" s="25"/>
      <c r="X3152" s="25"/>
      <c r="Y3152" s="25"/>
      <c r="Z3152" s="25"/>
      <c r="AA3152" s="25"/>
    </row>
    <row r="3153" spans="1:27" x14ac:dyDescent="0.35">
      <c r="A3153" s="5">
        <v>3149</v>
      </c>
      <c r="B3153" s="5">
        <v>132</v>
      </c>
      <c r="C3153" s="5">
        <v>5</v>
      </c>
      <c r="D3153" s="25">
        <v>1.1416E-4</v>
      </c>
      <c r="E3153" s="25">
        <v>1.0812E-4</v>
      </c>
      <c r="F3153" s="25">
        <v>8.3670000000000004E-5</v>
      </c>
      <c r="G3153" s="25">
        <v>5.9370000000000002E-5</v>
      </c>
      <c r="H3153" s="25">
        <v>3.9969999999999998E-5</v>
      </c>
      <c r="I3153" s="9">
        <v>9.5530000000000002E-5</v>
      </c>
      <c r="J3153" s="9">
        <v>9.3070000000000002E-5</v>
      </c>
      <c r="K3153" s="9">
        <v>2.5007000000000002E-4</v>
      </c>
      <c r="L3153" s="9">
        <v>2.4159999999999999E-5</v>
      </c>
      <c r="M3153" s="9">
        <v>4.8600000000000002E-5</v>
      </c>
      <c r="N3153" s="9">
        <v>6.4670000000000003E-5</v>
      </c>
      <c r="O3153" s="9">
        <v>2.4320000000000001E-5</v>
      </c>
      <c r="P3153" s="9">
        <v>5.9089999999999998E-5</v>
      </c>
      <c r="Q3153" s="9">
        <v>9.391E-5</v>
      </c>
      <c r="R3153" s="10">
        <v>5.5767061091817982E-5</v>
      </c>
      <c r="S3153" s="10">
        <v>1.3721181116805781E-4</v>
      </c>
      <c r="T3153" s="10">
        <v>0</v>
      </c>
      <c r="U3153" s="10">
        <v>9.5110000000000002E-5</v>
      </c>
      <c r="V3153" s="25"/>
      <c r="W3153" s="25"/>
      <c r="X3153" s="25"/>
      <c r="Y3153" s="25"/>
      <c r="Z3153" s="25"/>
      <c r="AA3153" s="25"/>
    </row>
    <row r="3154" spans="1:27" x14ac:dyDescent="0.35">
      <c r="A3154" s="5">
        <v>3150</v>
      </c>
      <c r="B3154" s="5">
        <v>132</v>
      </c>
      <c r="C3154" s="5">
        <v>5</v>
      </c>
      <c r="D3154" s="25">
        <v>1.1415000000000001E-4</v>
      </c>
      <c r="E3154" s="25">
        <v>1.1202E-4</v>
      </c>
      <c r="F3154" s="25">
        <v>9.6490000000000006E-5</v>
      </c>
      <c r="G3154" s="25">
        <v>1.0425999999999999E-4</v>
      </c>
      <c r="H3154" s="25">
        <v>7.5240000000000005E-5</v>
      </c>
      <c r="I3154" s="9">
        <v>1.0342E-4</v>
      </c>
      <c r="J3154" s="9">
        <v>1.0001999999999999E-4</v>
      </c>
      <c r="K3154" s="9">
        <v>1.8650000000000001E-4</v>
      </c>
      <c r="L3154" s="9">
        <v>2.421E-5</v>
      </c>
      <c r="M3154" s="9">
        <v>5.2389999999999998E-5</v>
      </c>
      <c r="N3154" s="9">
        <v>7.1229999999999994E-5</v>
      </c>
      <c r="O3154" s="9">
        <v>3.048E-5</v>
      </c>
      <c r="P3154" s="9">
        <v>6.8850000000000007E-5</v>
      </c>
      <c r="Q3154" s="9">
        <v>1.0715E-4</v>
      </c>
      <c r="R3154" s="10">
        <v>4.7273381280678077E-5</v>
      </c>
      <c r="S3154" s="10">
        <v>1.1487892386759524E-4</v>
      </c>
      <c r="T3154" s="10">
        <v>2.3509993499244917E-5</v>
      </c>
      <c r="U3154" s="10">
        <v>9.5110000000000002E-5</v>
      </c>
      <c r="V3154" s="25"/>
      <c r="W3154" s="25"/>
      <c r="X3154" s="25"/>
      <c r="Y3154" s="25"/>
      <c r="Z3154" s="25"/>
      <c r="AA3154" s="25"/>
    </row>
    <row r="3155" spans="1:27" x14ac:dyDescent="0.35">
      <c r="A3155" s="5">
        <v>3151</v>
      </c>
      <c r="B3155" s="5">
        <v>132</v>
      </c>
      <c r="C3155" s="5">
        <v>5</v>
      </c>
      <c r="D3155" s="25">
        <v>1.1416E-4</v>
      </c>
      <c r="E3155" s="25">
        <v>1.0787E-4</v>
      </c>
      <c r="F3155" s="25">
        <v>9.0099999999999995E-5</v>
      </c>
      <c r="G3155" s="25">
        <v>1.1334E-4</v>
      </c>
      <c r="H3155" s="25">
        <v>8.3389999999999999E-5</v>
      </c>
      <c r="I3155" s="9">
        <v>1.1351E-4</v>
      </c>
      <c r="J3155" s="9">
        <v>1.1427E-4</v>
      </c>
      <c r="K3155" s="9">
        <v>1.3352000000000001E-4</v>
      </c>
      <c r="L3155" s="9">
        <v>2.9E-5</v>
      </c>
      <c r="M3155" s="9">
        <v>5.9429999999999999E-5</v>
      </c>
      <c r="N3155" s="9">
        <v>8.0909999999999996E-5</v>
      </c>
      <c r="O3155" s="9">
        <v>4.7030000000000002E-5</v>
      </c>
      <c r="P3155" s="9">
        <v>8.0290000000000005E-5</v>
      </c>
      <c r="Q3155" s="9">
        <v>1.1341E-4</v>
      </c>
      <c r="R3155" s="10">
        <v>3.9539912617303494E-5</v>
      </c>
      <c r="S3155" s="10">
        <v>8.2862145643459987E-5</v>
      </c>
      <c r="T3155" s="10">
        <v>8.2993416243094093E-5</v>
      </c>
      <c r="U3155" s="10">
        <v>9.5110000000000002E-5</v>
      </c>
      <c r="V3155" s="25"/>
      <c r="W3155" s="25"/>
      <c r="X3155" s="25"/>
      <c r="Y3155" s="25"/>
      <c r="Z3155" s="25"/>
      <c r="AA3155" s="25"/>
    </row>
    <row r="3156" spans="1:27" x14ac:dyDescent="0.35">
      <c r="A3156" s="5">
        <v>3152</v>
      </c>
      <c r="B3156" s="5">
        <v>132</v>
      </c>
      <c r="C3156" s="5">
        <v>5</v>
      </c>
      <c r="D3156" s="25">
        <v>1.1415000000000001E-4</v>
      </c>
      <c r="E3156" s="25">
        <v>1.1124999999999999E-4</v>
      </c>
      <c r="F3156" s="25">
        <v>8.5459999999999998E-5</v>
      </c>
      <c r="G3156" s="25">
        <v>1.6276999999999999E-4</v>
      </c>
      <c r="H3156" s="25">
        <v>1.1955000000000001E-4</v>
      </c>
      <c r="I3156" s="9">
        <v>1.1611E-4</v>
      </c>
      <c r="J3156" s="9">
        <v>1.2465999999999999E-4</v>
      </c>
      <c r="K3156" s="9">
        <v>1.1021E-4</v>
      </c>
      <c r="L3156" s="9">
        <v>4.2920000000000002E-5</v>
      </c>
      <c r="M3156" s="9">
        <v>6.8689999999999995E-5</v>
      </c>
      <c r="N3156" s="9">
        <v>9.1180000000000005E-5</v>
      </c>
      <c r="O3156" s="9">
        <v>6.8639999999999993E-5</v>
      </c>
      <c r="P3156" s="9">
        <v>1.0321E-4</v>
      </c>
      <c r="Q3156" s="9">
        <v>1.3744000000000001E-4</v>
      </c>
      <c r="R3156" s="10">
        <v>3.0104003361867674E-5</v>
      </c>
      <c r="S3156" s="10">
        <v>7.7401572049738132E-5</v>
      </c>
      <c r="T3156" s="10">
        <v>1.4150114456167691E-4</v>
      </c>
      <c r="U3156" s="10">
        <v>9.5110000000000002E-5</v>
      </c>
      <c r="V3156" s="25"/>
      <c r="W3156" s="25"/>
      <c r="X3156" s="25"/>
      <c r="Y3156" s="25"/>
      <c r="Z3156" s="25"/>
      <c r="AA3156" s="25"/>
    </row>
    <row r="3157" spans="1:27" x14ac:dyDescent="0.35">
      <c r="A3157" s="5">
        <v>3153</v>
      </c>
      <c r="B3157" s="5">
        <v>132</v>
      </c>
      <c r="C3157" s="5">
        <v>5</v>
      </c>
      <c r="D3157" s="25">
        <v>1.1416E-4</v>
      </c>
      <c r="E3157" s="25">
        <v>1.0870999999999999E-4</v>
      </c>
      <c r="F3157" s="25">
        <v>9.7289999999999999E-5</v>
      </c>
      <c r="G3157" s="25">
        <v>1.6406E-4</v>
      </c>
      <c r="H3157" s="25">
        <v>1.2055E-4</v>
      </c>
      <c r="I3157" s="9">
        <v>1.1653E-4</v>
      </c>
      <c r="J3157" s="9">
        <v>1.2855000000000001E-4</v>
      </c>
      <c r="K3157" s="9">
        <v>9.3259999999999998E-5</v>
      </c>
      <c r="L3157" s="9">
        <v>6.2600000000000004E-5</v>
      </c>
      <c r="M3157" s="9">
        <v>8.3430000000000006E-5</v>
      </c>
      <c r="N3157" s="9">
        <v>1.0504E-4</v>
      </c>
      <c r="O3157" s="9">
        <v>9.9400000000000004E-5</v>
      </c>
      <c r="P3157" s="9">
        <v>1.3860000000000001E-4</v>
      </c>
      <c r="Q3157" s="9">
        <v>1.7709E-4</v>
      </c>
      <c r="R3157" s="10">
        <v>1.9630348567754162E-5</v>
      </c>
      <c r="S3157" s="10">
        <v>8.5796339446859039E-5</v>
      </c>
      <c r="T3157" s="10">
        <v>2.4892085863383127E-4</v>
      </c>
      <c r="U3157" s="10">
        <v>9.5110000000000002E-5</v>
      </c>
      <c r="V3157" s="25"/>
      <c r="W3157" s="25"/>
      <c r="X3157" s="25"/>
      <c r="Y3157" s="25"/>
      <c r="Z3157" s="25"/>
      <c r="AA3157" s="25"/>
    </row>
    <row r="3158" spans="1:27" x14ac:dyDescent="0.35">
      <c r="A3158" s="5">
        <v>3154</v>
      </c>
      <c r="B3158" s="5">
        <v>132</v>
      </c>
      <c r="C3158" s="5">
        <v>5</v>
      </c>
      <c r="D3158" s="25">
        <v>1.1415000000000001E-4</v>
      </c>
      <c r="E3158" s="25">
        <v>1.0977E-4</v>
      </c>
      <c r="F3158" s="25">
        <v>9.9619999999999998E-5</v>
      </c>
      <c r="G3158" s="25">
        <v>1.5860000000000001E-4</v>
      </c>
      <c r="H3158" s="25">
        <v>1.1613E-4</v>
      </c>
      <c r="I3158" s="9">
        <v>1.1327E-4</v>
      </c>
      <c r="J3158" s="9">
        <v>1.2908E-4</v>
      </c>
      <c r="K3158" s="9">
        <v>8.6899999999999998E-5</v>
      </c>
      <c r="L3158" s="9">
        <v>9.0790000000000003E-5</v>
      </c>
      <c r="M3158" s="9">
        <v>1.0700999999999999E-4</v>
      </c>
      <c r="N3158" s="9">
        <v>1.2502999999999999E-4</v>
      </c>
      <c r="O3158" s="9">
        <v>1.2795999999999999E-4</v>
      </c>
      <c r="P3158" s="9">
        <v>1.5574999999999999E-4</v>
      </c>
      <c r="Q3158" s="9">
        <v>1.8274E-4</v>
      </c>
      <c r="R3158" s="10">
        <v>2.3105435486037551E-5</v>
      </c>
      <c r="S3158" s="10">
        <v>1.2058900829107674E-4</v>
      </c>
      <c r="T3158" s="10">
        <v>5.0305107706865009E-4</v>
      </c>
      <c r="U3158" s="10">
        <v>9.5110000000000002E-5</v>
      </c>
      <c r="V3158" s="25"/>
      <c r="W3158" s="25"/>
      <c r="X3158" s="25"/>
      <c r="Y3158" s="25"/>
      <c r="Z3158" s="25"/>
      <c r="AA3158" s="25"/>
    </row>
    <row r="3159" spans="1:27" x14ac:dyDescent="0.35">
      <c r="A3159" s="5">
        <v>3155</v>
      </c>
      <c r="B3159" s="5">
        <v>132</v>
      </c>
      <c r="C3159" s="5">
        <v>5</v>
      </c>
      <c r="D3159" s="25">
        <v>1.1416E-4</v>
      </c>
      <c r="E3159" s="25">
        <v>1.161E-4</v>
      </c>
      <c r="F3159" s="25">
        <v>1.0061E-4</v>
      </c>
      <c r="G3159" s="25">
        <v>1.6687000000000001E-4</v>
      </c>
      <c r="H3159" s="25">
        <v>1.1745E-4</v>
      </c>
      <c r="I3159" s="9">
        <v>1.1139E-4</v>
      </c>
      <c r="J3159" s="9">
        <v>1.2964000000000001E-4</v>
      </c>
      <c r="K3159" s="9">
        <v>6.3579999999999998E-5</v>
      </c>
      <c r="L3159" s="9">
        <v>1.1909E-4</v>
      </c>
      <c r="M3159" s="9">
        <v>1.305E-4</v>
      </c>
      <c r="N3159" s="9">
        <v>1.4317999999999999E-4</v>
      </c>
      <c r="O3159" s="9">
        <v>1.3626E-4</v>
      </c>
      <c r="P3159" s="9">
        <v>1.5867E-4</v>
      </c>
      <c r="Q3159" s="9">
        <v>1.8029999999999999E-4</v>
      </c>
      <c r="R3159" s="10">
        <v>5.5058952889959315E-5</v>
      </c>
      <c r="S3159" s="10">
        <v>1.5931674650643656E-4</v>
      </c>
      <c r="T3159" s="10">
        <v>2.5932260963710602E-4</v>
      </c>
      <c r="U3159" s="10">
        <v>9.5110000000000002E-5</v>
      </c>
      <c r="V3159" s="25"/>
      <c r="W3159" s="25"/>
      <c r="X3159" s="25"/>
      <c r="Y3159" s="25"/>
      <c r="Z3159" s="25"/>
      <c r="AA3159" s="25"/>
    </row>
    <row r="3160" spans="1:27" x14ac:dyDescent="0.35">
      <c r="A3160" s="5">
        <v>3156</v>
      </c>
      <c r="B3160" s="5">
        <v>132</v>
      </c>
      <c r="C3160" s="5">
        <v>5</v>
      </c>
      <c r="D3160" s="25">
        <v>1.1415000000000001E-4</v>
      </c>
      <c r="E3160" s="25">
        <v>1.1417999999999999E-4</v>
      </c>
      <c r="F3160" s="25">
        <v>9.4950000000000004E-5</v>
      </c>
      <c r="G3160" s="25">
        <v>1.5694E-4</v>
      </c>
      <c r="H3160" s="25">
        <v>1.1565000000000001E-4</v>
      </c>
      <c r="I3160" s="9">
        <v>1.0951E-4</v>
      </c>
      <c r="J3160" s="9">
        <v>1.2846E-4</v>
      </c>
      <c r="K3160" s="9">
        <v>2.968E-5</v>
      </c>
      <c r="L3160" s="9">
        <v>1.3181999999999999E-4</v>
      </c>
      <c r="M3160" s="9">
        <v>1.4621E-4</v>
      </c>
      <c r="N3160" s="9">
        <v>1.5734000000000001E-4</v>
      </c>
      <c r="O3160" s="9">
        <v>1.3773E-4</v>
      </c>
      <c r="P3160" s="9">
        <v>1.5676000000000001E-4</v>
      </c>
      <c r="Q3160" s="9">
        <v>1.7505999999999999E-4</v>
      </c>
      <c r="R3160" s="10">
        <v>6.861750778727414E-5</v>
      </c>
      <c r="S3160" s="10">
        <v>1.6206444722615903E-4</v>
      </c>
      <c r="T3160" s="10">
        <v>7.5317670621020169E-4</v>
      </c>
      <c r="U3160" s="10">
        <v>9.5110000000000002E-5</v>
      </c>
      <c r="V3160" s="25"/>
      <c r="W3160" s="25"/>
      <c r="X3160" s="25"/>
      <c r="Y3160" s="25"/>
      <c r="Z3160" s="25"/>
      <c r="AA3160" s="25"/>
    </row>
    <row r="3161" spans="1:27" x14ac:dyDescent="0.35">
      <c r="A3161" s="5">
        <v>3157</v>
      </c>
      <c r="B3161" s="5">
        <v>132</v>
      </c>
      <c r="C3161" s="5">
        <v>5</v>
      </c>
      <c r="D3161" s="25">
        <v>1.1416E-4</v>
      </c>
      <c r="E3161" s="25">
        <v>1.1177E-4</v>
      </c>
      <c r="F3161" s="25">
        <v>8.2330000000000006E-5</v>
      </c>
      <c r="G3161" s="25">
        <v>1.6182999999999999E-4</v>
      </c>
      <c r="H3161" s="25">
        <v>1.1967E-4</v>
      </c>
      <c r="I3161" s="9">
        <v>1.0949E-4</v>
      </c>
      <c r="J3161" s="9">
        <v>1.2962E-4</v>
      </c>
      <c r="K3161" s="9">
        <v>2.3309999999999999E-5</v>
      </c>
      <c r="L3161" s="9">
        <v>1.3625000000000001E-4</v>
      </c>
      <c r="M3161" s="9">
        <v>1.5338E-4</v>
      </c>
      <c r="N3161" s="9">
        <v>1.6688E-4</v>
      </c>
      <c r="O3161" s="9">
        <v>1.2752E-4</v>
      </c>
      <c r="P3161" s="9">
        <v>1.4690999999999999E-4</v>
      </c>
      <c r="Q3161" s="9">
        <v>1.6563999999999999E-4</v>
      </c>
      <c r="R3161" s="10">
        <v>1.0681907542730787E-4</v>
      </c>
      <c r="S3161" s="10">
        <v>1.7069007250861983E-4</v>
      </c>
      <c r="T3161" s="10">
        <v>5.9081266954652426E-4</v>
      </c>
      <c r="U3161" s="10">
        <v>9.5110000000000002E-5</v>
      </c>
      <c r="V3161" s="25"/>
      <c r="W3161" s="25"/>
      <c r="X3161" s="25"/>
      <c r="Y3161" s="25"/>
      <c r="Z3161" s="25"/>
      <c r="AA3161" s="25"/>
    </row>
    <row r="3162" spans="1:27" x14ac:dyDescent="0.35">
      <c r="A3162" s="5">
        <v>3158</v>
      </c>
      <c r="B3162" s="5">
        <v>132</v>
      </c>
      <c r="C3162" s="5">
        <v>5</v>
      </c>
      <c r="D3162" s="25">
        <v>1.1415000000000001E-4</v>
      </c>
      <c r="E3162" s="25">
        <v>1.1239E-4</v>
      </c>
      <c r="F3162" s="25">
        <v>8.7020000000000004E-5</v>
      </c>
      <c r="G3162" s="25">
        <v>1.6332E-4</v>
      </c>
      <c r="H3162" s="25">
        <v>1.1923E-4</v>
      </c>
      <c r="I3162" s="9">
        <v>1.0894E-4</v>
      </c>
      <c r="J3162" s="9">
        <v>1.2928000000000001E-4</v>
      </c>
      <c r="K3162" s="9">
        <v>3.1789999999999999E-5</v>
      </c>
      <c r="L3162" s="9">
        <v>1.295E-4</v>
      </c>
      <c r="M3162" s="9">
        <v>1.5242000000000001E-4</v>
      </c>
      <c r="N3162" s="9">
        <v>1.7066999999999999E-4</v>
      </c>
      <c r="O3162" s="9">
        <v>1.1264000000000001E-4</v>
      </c>
      <c r="P3162" s="9">
        <v>1.3771000000000001E-4</v>
      </c>
      <c r="Q3162" s="9">
        <v>1.6217E-4</v>
      </c>
      <c r="R3162" s="10">
        <v>1.3350749301078711E-4</v>
      </c>
      <c r="S3162" s="10">
        <v>1.6702535333853254E-4</v>
      </c>
      <c r="T3162" s="10">
        <v>4.7648673580335393E-4</v>
      </c>
      <c r="U3162" s="10">
        <v>9.5110000000000002E-5</v>
      </c>
      <c r="V3162" s="25"/>
      <c r="W3162" s="25"/>
      <c r="X3162" s="25"/>
      <c r="Y3162" s="25"/>
      <c r="Z3162" s="25"/>
      <c r="AA3162" s="25"/>
    </row>
    <row r="3163" spans="1:27" x14ac:dyDescent="0.35">
      <c r="A3163" s="5">
        <v>3159</v>
      </c>
      <c r="B3163" s="5">
        <v>132</v>
      </c>
      <c r="C3163" s="5">
        <v>5</v>
      </c>
      <c r="D3163" s="25">
        <v>1.1416E-4</v>
      </c>
      <c r="E3163" s="25">
        <v>1.1739E-4</v>
      </c>
      <c r="F3163" s="25">
        <v>9.3549999999999997E-5</v>
      </c>
      <c r="G3163" s="25">
        <v>1.6185E-4</v>
      </c>
      <c r="H3163" s="25">
        <v>1.1293E-4</v>
      </c>
      <c r="I3163" s="9">
        <v>1.0904E-4</v>
      </c>
      <c r="J3163" s="9">
        <v>1.2907000000000001E-4</v>
      </c>
      <c r="K3163" s="9">
        <v>3.18E-5</v>
      </c>
      <c r="L3163" s="9">
        <v>1.166E-4</v>
      </c>
      <c r="M3163" s="9">
        <v>1.4658999999999999E-4</v>
      </c>
      <c r="N3163" s="9">
        <v>1.7038000000000001E-4</v>
      </c>
      <c r="O3163" s="9">
        <v>1.2543999999999999E-4</v>
      </c>
      <c r="P3163" s="9">
        <v>1.3888E-4</v>
      </c>
      <c r="Q3163" s="9">
        <v>1.5176999999999999E-4</v>
      </c>
      <c r="R3163" s="10">
        <v>1.4815306189239018E-4</v>
      </c>
      <c r="S3163" s="10">
        <v>1.7734188711178656E-4</v>
      </c>
      <c r="T3163" s="10">
        <v>6.1089500610831164E-4</v>
      </c>
      <c r="U3163" s="10">
        <v>9.5110000000000002E-5</v>
      </c>
      <c r="V3163" s="25"/>
      <c r="W3163" s="25"/>
      <c r="X3163" s="25"/>
      <c r="Y3163" s="25"/>
      <c r="Z3163" s="25"/>
      <c r="AA3163" s="25"/>
    </row>
    <row r="3164" spans="1:27" x14ac:dyDescent="0.35">
      <c r="A3164" s="5">
        <v>3160</v>
      </c>
      <c r="B3164" s="5">
        <v>132</v>
      </c>
      <c r="C3164" s="5">
        <v>5</v>
      </c>
      <c r="D3164" s="25">
        <v>1.1415000000000001E-4</v>
      </c>
      <c r="E3164" s="25">
        <v>1.1828999999999999E-4</v>
      </c>
      <c r="F3164" s="25">
        <v>8.988E-5</v>
      </c>
      <c r="G3164" s="25">
        <v>1.6374E-4</v>
      </c>
      <c r="H3164" s="25">
        <v>1.1885E-4</v>
      </c>
      <c r="I3164" s="9">
        <v>1.1044000000000001E-4</v>
      </c>
      <c r="J3164" s="9">
        <v>1.2910999999999999E-4</v>
      </c>
      <c r="K3164" s="9">
        <v>4.0269999999999999E-5</v>
      </c>
      <c r="L3164" s="9">
        <v>1.2386999999999999E-4</v>
      </c>
      <c r="M3164" s="9">
        <v>1.4221000000000001E-4</v>
      </c>
      <c r="N3164" s="9">
        <v>1.6621E-4</v>
      </c>
      <c r="O3164" s="9">
        <v>1.3238E-4</v>
      </c>
      <c r="P3164" s="9">
        <v>1.2098E-4</v>
      </c>
      <c r="Q3164" s="9">
        <v>1.0936E-4</v>
      </c>
      <c r="R3164" s="10">
        <v>1.6294474899907242E-4</v>
      </c>
      <c r="S3164" s="10">
        <v>1.8709041263826489E-4</v>
      </c>
      <c r="T3164" s="10">
        <v>4.2211086126829047E-4</v>
      </c>
      <c r="U3164" s="10">
        <v>9.5110000000000002E-5</v>
      </c>
      <c r="V3164" s="25"/>
      <c r="W3164" s="25"/>
      <c r="X3164" s="25"/>
      <c r="Y3164" s="25"/>
      <c r="Z3164" s="25"/>
      <c r="AA3164" s="25"/>
    </row>
    <row r="3165" spans="1:27" x14ac:dyDescent="0.35">
      <c r="A3165" s="5">
        <v>3161</v>
      </c>
      <c r="B3165" s="5">
        <v>132</v>
      </c>
      <c r="C3165" s="5">
        <v>5</v>
      </c>
      <c r="D3165" s="25">
        <v>1.1416E-4</v>
      </c>
      <c r="E3165" s="25">
        <v>1.1519E-4</v>
      </c>
      <c r="F3165" s="25">
        <v>8.6199999999999995E-5</v>
      </c>
      <c r="G3165" s="25">
        <v>1.6597000000000001E-4</v>
      </c>
      <c r="H3165" s="25">
        <v>1.1417E-4</v>
      </c>
      <c r="I3165" s="9">
        <v>1.1412E-4</v>
      </c>
      <c r="J3165" s="9">
        <v>1.3004999999999999E-4</v>
      </c>
      <c r="K3165" s="9">
        <v>4.8739999999999998E-5</v>
      </c>
      <c r="L3165" s="9">
        <v>1.3024999999999999E-4</v>
      </c>
      <c r="M3165" s="9">
        <v>1.3359E-4</v>
      </c>
      <c r="N3165" s="9">
        <v>1.5232000000000001E-4</v>
      </c>
      <c r="O3165" s="9">
        <v>1.3951E-4</v>
      </c>
      <c r="P3165" s="9">
        <v>1.2368000000000001E-4</v>
      </c>
      <c r="Q3165" s="9">
        <v>1.0764000000000001E-4</v>
      </c>
      <c r="R3165" s="10">
        <v>1.9560034119824114E-4</v>
      </c>
      <c r="S3165" s="10">
        <v>1.8813455002296284E-4</v>
      </c>
      <c r="T3165" s="10">
        <v>2.947191065259006E-4</v>
      </c>
      <c r="U3165" s="10">
        <v>9.5110000000000002E-5</v>
      </c>
      <c r="V3165" s="25"/>
      <c r="W3165" s="25"/>
      <c r="X3165" s="25"/>
      <c r="Y3165" s="25"/>
      <c r="Z3165" s="25"/>
      <c r="AA3165" s="25"/>
    </row>
    <row r="3166" spans="1:27" x14ac:dyDescent="0.35">
      <c r="A3166" s="5">
        <v>3162</v>
      </c>
      <c r="B3166" s="5">
        <v>132</v>
      </c>
      <c r="C3166" s="5">
        <v>5</v>
      </c>
      <c r="D3166" s="25">
        <v>1.1415000000000001E-4</v>
      </c>
      <c r="E3166" s="25">
        <v>1.1455000000000001E-4</v>
      </c>
      <c r="F3166" s="25">
        <v>9.0619999999999996E-5</v>
      </c>
      <c r="G3166" s="25">
        <v>1.6441000000000001E-4</v>
      </c>
      <c r="H3166" s="25">
        <v>1.1790000000000001E-4</v>
      </c>
      <c r="I3166" s="9">
        <v>1.1792E-4</v>
      </c>
      <c r="J3166" s="9">
        <v>1.2532999999999999E-4</v>
      </c>
      <c r="K3166" s="9">
        <v>6.3579999999999998E-5</v>
      </c>
      <c r="L3166" s="9">
        <v>1.372E-4</v>
      </c>
      <c r="M3166" s="9">
        <v>1.2783E-4</v>
      </c>
      <c r="N3166" s="9">
        <v>1.3904999999999999E-4</v>
      </c>
      <c r="O3166" s="9">
        <v>1.3943000000000001E-4</v>
      </c>
      <c r="P3166" s="9">
        <v>1.2868999999999999E-4</v>
      </c>
      <c r="Q3166" s="9">
        <v>1.1765E-4</v>
      </c>
      <c r="R3166" s="10">
        <v>2.0615027172491017E-4</v>
      </c>
      <c r="S3166" s="10">
        <v>1.8811935593752359E-4</v>
      </c>
      <c r="T3166" s="10">
        <v>1.2764628372289417E-4</v>
      </c>
      <c r="U3166" s="10">
        <v>9.5110000000000002E-5</v>
      </c>
      <c r="V3166" s="25"/>
      <c r="W3166" s="25"/>
      <c r="X3166" s="25"/>
      <c r="Y3166" s="25"/>
      <c r="Z3166" s="25"/>
      <c r="AA3166" s="25"/>
    </row>
    <row r="3167" spans="1:27" x14ac:dyDescent="0.35">
      <c r="A3167" s="5">
        <v>3163</v>
      </c>
      <c r="B3167" s="5">
        <v>132</v>
      </c>
      <c r="C3167" s="5">
        <v>5</v>
      </c>
      <c r="D3167" s="25">
        <v>1.1416E-4</v>
      </c>
      <c r="E3167" s="25">
        <v>1.1361E-4</v>
      </c>
      <c r="F3167" s="25">
        <v>1.0121E-4</v>
      </c>
      <c r="G3167" s="25">
        <v>1.1154000000000001E-4</v>
      </c>
      <c r="H3167" s="25">
        <v>8.0019999999999996E-5</v>
      </c>
      <c r="I3167" s="9">
        <v>1.1647E-4</v>
      </c>
      <c r="J3167" s="9">
        <v>1.2168E-4</v>
      </c>
      <c r="K3167" s="9">
        <v>8.2659999999999998E-5</v>
      </c>
      <c r="L3167" s="9">
        <v>1.3881000000000001E-4</v>
      </c>
      <c r="M3167" s="9">
        <v>1.2684E-4</v>
      </c>
      <c r="N3167" s="9">
        <v>1.2999999999999999E-4</v>
      </c>
      <c r="O3167" s="9">
        <v>1.3969000000000001E-4</v>
      </c>
      <c r="P3167" s="9">
        <v>1.2333E-4</v>
      </c>
      <c r="Q3167" s="9">
        <v>1.0675000000000001E-4</v>
      </c>
      <c r="R3167" s="10">
        <v>1.976635548827093E-4</v>
      </c>
      <c r="S3167" s="10">
        <v>1.8791032225345724E-4</v>
      </c>
      <c r="T3167" s="10">
        <v>2.6700090054898497E-5</v>
      </c>
      <c r="U3167" s="10">
        <v>9.5110000000000002E-5</v>
      </c>
      <c r="V3167" s="25"/>
      <c r="W3167" s="25"/>
      <c r="X3167" s="25"/>
      <c r="Y3167" s="25"/>
      <c r="Z3167" s="25"/>
      <c r="AA3167" s="25"/>
    </row>
    <row r="3168" spans="1:27" x14ac:dyDescent="0.35">
      <c r="A3168" s="5">
        <v>3164</v>
      </c>
      <c r="B3168" s="5">
        <v>132</v>
      </c>
      <c r="C3168" s="5">
        <v>5</v>
      </c>
      <c r="D3168" s="25">
        <v>1.1415000000000001E-4</v>
      </c>
      <c r="E3168" s="25">
        <v>1.1313E-4</v>
      </c>
      <c r="F3168" s="25">
        <v>1.0089E-4</v>
      </c>
      <c r="G3168" s="25">
        <v>1.1026E-4</v>
      </c>
      <c r="H3168" s="25">
        <v>7.5439999999999996E-5</v>
      </c>
      <c r="I3168" s="9">
        <v>1.139E-4</v>
      </c>
      <c r="J3168" s="9">
        <v>1.1868E-4</v>
      </c>
      <c r="K3168" s="9">
        <v>1.1657E-4</v>
      </c>
      <c r="L3168" s="9">
        <v>1.395E-4</v>
      </c>
      <c r="M3168" s="9">
        <v>1.2558E-4</v>
      </c>
      <c r="N3168" s="9">
        <v>1.208E-4</v>
      </c>
      <c r="O3168" s="9">
        <v>1.4304000000000001E-4</v>
      </c>
      <c r="P3168" s="9">
        <v>1.2274000000000001E-4</v>
      </c>
      <c r="Q3168" s="9">
        <v>1.0226E-4</v>
      </c>
      <c r="R3168" s="10">
        <v>1.7086459177058786E-4</v>
      </c>
      <c r="S3168" s="10">
        <v>1.8719996919364112E-4</v>
      </c>
      <c r="T3168" s="10">
        <v>0</v>
      </c>
      <c r="U3168" s="10">
        <v>9.5110000000000002E-5</v>
      </c>
      <c r="V3168" s="25"/>
      <c r="W3168" s="25"/>
      <c r="X3168" s="25"/>
      <c r="Y3168" s="25"/>
      <c r="Z3168" s="25"/>
      <c r="AA3168" s="25"/>
    </row>
    <row r="3169" spans="1:27" x14ac:dyDescent="0.35">
      <c r="A3169" s="5">
        <v>3165</v>
      </c>
      <c r="B3169" s="5">
        <v>132</v>
      </c>
      <c r="C3169" s="5">
        <v>5</v>
      </c>
      <c r="D3169" s="25">
        <v>1.1416E-4</v>
      </c>
      <c r="E3169" s="25">
        <v>1.1702E-4</v>
      </c>
      <c r="F3169" s="25">
        <v>1.0094000000000001E-4</v>
      </c>
      <c r="G3169" s="25">
        <v>6.0649999999999997E-5</v>
      </c>
      <c r="H3169" s="25">
        <v>3.773E-5</v>
      </c>
      <c r="I3169" s="9">
        <v>1.1334E-4</v>
      </c>
      <c r="J3169" s="9">
        <v>1.1870999999999999E-4</v>
      </c>
      <c r="K3169" s="9">
        <v>1.314E-4</v>
      </c>
      <c r="L3169" s="9">
        <v>1.4228E-4</v>
      </c>
      <c r="M3169" s="9">
        <v>1.2425000000000001E-4</v>
      </c>
      <c r="N3169" s="9">
        <v>1.1323999999999999E-4</v>
      </c>
      <c r="O3169" s="9">
        <v>8.4930000000000002E-5</v>
      </c>
      <c r="P3169" s="9">
        <v>8.6940000000000004E-5</v>
      </c>
      <c r="Q3169" s="9">
        <v>8.8949999999999994E-5</v>
      </c>
      <c r="R3169" s="10">
        <v>1.6437138946271567E-4</v>
      </c>
      <c r="S3169" s="10">
        <v>1.8610577290311854E-4</v>
      </c>
      <c r="T3169" s="10">
        <v>0</v>
      </c>
      <c r="U3169" s="10">
        <v>9.5110000000000002E-5</v>
      </c>
      <c r="V3169" s="25"/>
      <c r="W3169" s="25"/>
      <c r="X3169" s="25"/>
      <c r="Y3169" s="25"/>
      <c r="Z3169" s="25"/>
      <c r="AA3169" s="25"/>
    </row>
    <row r="3170" spans="1:27" x14ac:dyDescent="0.35">
      <c r="A3170" s="5">
        <v>3166</v>
      </c>
      <c r="B3170" s="5">
        <v>132</v>
      </c>
      <c r="C3170" s="5">
        <v>5</v>
      </c>
      <c r="D3170" s="25">
        <v>1.1415000000000001E-4</v>
      </c>
      <c r="E3170" s="25">
        <v>1.0789E-4</v>
      </c>
      <c r="F3170" s="25">
        <v>9.0509999999999999E-5</v>
      </c>
      <c r="G3170" s="25">
        <v>6.3449999999999997E-5</v>
      </c>
      <c r="H3170" s="25">
        <v>4.5210000000000003E-5</v>
      </c>
      <c r="I3170" s="9">
        <v>1.1343E-4</v>
      </c>
      <c r="J3170" s="9">
        <v>1.1587E-4</v>
      </c>
      <c r="K3170" s="9">
        <v>1.4836E-4</v>
      </c>
      <c r="L3170" s="9">
        <v>9.7479999999999995E-5</v>
      </c>
      <c r="M3170" s="9">
        <v>1.1045E-4</v>
      </c>
      <c r="N3170" s="9">
        <v>1.058E-4</v>
      </c>
      <c r="O3170" s="9">
        <v>8.7150000000000004E-5</v>
      </c>
      <c r="P3170" s="9">
        <v>8.7800000000000006E-5</v>
      </c>
      <c r="Q3170" s="9">
        <v>8.8449999999999995E-5</v>
      </c>
      <c r="R3170" s="10">
        <v>1.6290905889772416E-4</v>
      </c>
      <c r="S3170" s="10">
        <v>1.8469054947995022E-4</v>
      </c>
      <c r="T3170" s="10">
        <v>0</v>
      </c>
      <c r="U3170" s="10">
        <v>9.5110000000000002E-5</v>
      </c>
      <c r="V3170" s="25"/>
      <c r="W3170" s="25"/>
      <c r="X3170" s="25"/>
      <c r="Y3170" s="25"/>
      <c r="Z3170" s="25"/>
      <c r="AA3170" s="25"/>
    </row>
    <row r="3171" spans="1:27" x14ac:dyDescent="0.35">
      <c r="A3171" s="5">
        <v>3167</v>
      </c>
      <c r="B3171" s="5">
        <v>132</v>
      </c>
      <c r="C3171" s="5">
        <v>5</v>
      </c>
      <c r="D3171" s="25">
        <v>1.1416E-4</v>
      </c>
      <c r="E3171" s="25">
        <v>1.1307E-4</v>
      </c>
      <c r="F3171" s="25">
        <v>1.0056999999999999E-4</v>
      </c>
      <c r="G3171" s="25">
        <v>5.287E-5</v>
      </c>
      <c r="H3171" s="25">
        <v>3.8189999999999999E-5</v>
      </c>
      <c r="I3171" s="9">
        <v>1.0825E-4</v>
      </c>
      <c r="J3171" s="9">
        <v>1.0896E-4</v>
      </c>
      <c r="K3171" s="9">
        <v>1.5896000000000001E-4</v>
      </c>
      <c r="L3171" s="9">
        <v>9.0660000000000003E-5</v>
      </c>
      <c r="M3171" s="9">
        <v>9.8579999999999995E-5</v>
      </c>
      <c r="N3171" s="9">
        <v>1.0001999999999999E-4</v>
      </c>
      <c r="O3171" s="9">
        <v>8.462E-5</v>
      </c>
      <c r="P3171" s="9">
        <v>7.5790000000000005E-5</v>
      </c>
      <c r="Q3171" s="9">
        <v>6.7139999999999998E-5</v>
      </c>
      <c r="R3171" s="10">
        <v>1.662055270259271E-4</v>
      </c>
      <c r="S3171" s="10">
        <v>1.8212948713801873E-4</v>
      </c>
      <c r="T3171" s="10">
        <v>0</v>
      </c>
      <c r="U3171" s="10">
        <v>9.5110000000000002E-5</v>
      </c>
      <c r="V3171" s="25"/>
      <c r="W3171" s="25"/>
      <c r="X3171" s="25"/>
      <c r="Y3171" s="25"/>
      <c r="Z3171" s="25"/>
      <c r="AA3171" s="25"/>
    </row>
    <row r="3172" spans="1:27" x14ac:dyDescent="0.35">
      <c r="A3172" s="5">
        <v>3168</v>
      </c>
      <c r="B3172" s="5">
        <v>132</v>
      </c>
      <c r="C3172" s="5">
        <v>5</v>
      </c>
      <c r="D3172" s="25">
        <v>1.1415000000000001E-4</v>
      </c>
      <c r="E3172" s="25">
        <v>1.1443E-4</v>
      </c>
      <c r="F3172" s="25">
        <v>8.1100000000000006E-5</v>
      </c>
      <c r="G3172" s="25">
        <v>5.3770000000000002E-5</v>
      </c>
      <c r="H3172" s="25">
        <v>4.4830000000000003E-5</v>
      </c>
      <c r="I3172" s="9">
        <v>9.9370000000000006E-5</v>
      </c>
      <c r="J3172" s="9">
        <v>1.0088E-4</v>
      </c>
      <c r="K3172" s="9">
        <v>1.7378000000000001E-4</v>
      </c>
      <c r="L3172" s="9">
        <v>8.6180000000000005E-5</v>
      </c>
      <c r="M3172" s="9">
        <v>8.7579999999999998E-5</v>
      </c>
      <c r="N3172" s="9">
        <v>9.0799999999999998E-5</v>
      </c>
      <c r="O3172" s="9">
        <v>7.8430000000000006E-5</v>
      </c>
      <c r="P3172" s="9">
        <v>6.834E-5</v>
      </c>
      <c r="Q3172" s="9">
        <v>5.8489999999999997E-5</v>
      </c>
      <c r="R3172" s="10">
        <v>1.8191677652847662E-4</v>
      </c>
      <c r="S3172" s="10">
        <v>1.8436059000489203E-4</v>
      </c>
      <c r="T3172" s="10">
        <v>0</v>
      </c>
      <c r="U3172" s="10">
        <v>9.5110000000000002E-5</v>
      </c>
      <c r="V3172" s="25"/>
      <c r="W3172" s="25"/>
      <c r="X3172" s="25"/>
      <c r="Y3172" s="25"/>
      <c r="Z3172" s="25"/>
      <c r="AA3172" s="25"/>
    </row>
    <row r="3173" spans="1:27" x14ac:dyDescent="0.35">
      <c r="A3173" s="5">
        <v>3169</v>
      </c>
      <c r="B3173" s="5">
        <v>133</v>
      </c>
      <c r="C3173" s="5">
        <v>5</v>
      </c>
      <c r="D3173" s="25">
        <v>1.1416E-4</v>
      </c>
      <c r="E3173" s="25">
        <v>1.136E-4</v>
      </c>
      <c r="F3173" s="25">
        <v>1.0564E-4</v>
      </c>
      <c r="G3173" s="25">
        <v>6.3280000000000004E-5</v>
      </c>
      <c r="H3173" s="25">
        <v>1.485E-5</v>
      </c>
      <c r="I3173" s="9">
        <v>9.4590000000000001E-5</v>
      </c>
      <c r="J3173" s="9">
        <v>9.5039999999999998E-5</v>
      </c>
      <c r="K3173" s="9">
        <v>1.8438999999999999E-4</v>
      </c>
      <c r="L3173" s="9">
        <v>7.9919999999999994E-5</v>
      </c>
      <c r="M3173" s="9">
        <v>7.8159999999999997E-5</v>
      </c>
      <c r="N3173" s="9">
        <v>8.1290000000000003E-5</v>
      </c>
      <c r="O3173" s="9">
        <v>6.8280000000000004E-5</v>
      </c>
      <c r="P3173" s="9">
        <v>6.0789999999999999E-5</v>
      </c>
      <c r="Q3173" s="9">
        <v>5.3609999999999997E-5</v>
      </c>
      <c r="R3173" s="10">
        <v>1.824859013950453E-4</v>
      </c>
      <c r="S3173" s="10">
        <v>1.8514835244781241E-4</v>
      </c>
      <c r="T3173" s="10">
        <v>0</v>
      </c>
      <c r="U3173" s="10">
        <v>9.4510000000000001E-5</v>
      </c>
      <c r="V3173" s="25"/>
      <c r="W3173" s="25"/>
      <c r="X3173" s="25"/>
      <c r="Y3173" s="25"/>
      <c r="Z3173" s="25"/>
      <c r="AA3173" s="25"/>
    </row>
    <row r="3174" spans="1:27" x14ac:dyDescent="0.35">
      <c r="A3174" s="5">
        <v>3170</v>
      </c>
      <c r="B3174" s="5">
        <v>133</v>
      </c>
      <c r="C3174" s="5">
        <v>5</v>
      </c>
      <c r="D3174" s="25">
        <v>1.1415000000000001E-4</v>
      </c>
      <c r="E3174" s="25">
        <v>1.0809E-4</v>
      </c>
      <c r="F3174" s="25">
        <v>1.2509000000000001E-4</v>
      </c>
      <c r="G3174" s="25">
        <v>5.8839999999999999E-5</v>
      </c>
      <c r="H3174" s="25">
        <v>1.4749999999999999E-5</v>
      </c>
      <c r="I3174" s="9">
        <v>9.077E-5</v>
      </c>
      <c r="J3174" s="9">
        <v>9.2150000000000004E-5</v>
      </c>
      <c r="K3174" s="9">
        <v>1.9498000000000001E-4</v>
      </c>
      <c r="L3174" s="9">
        <v>7.0989999999999996E-5</v>
      </c>
      <c r="M3174" s="9">
        <v>6.97E-5</v>
      </c>
      <c r="N3174" s="9">
        <v>7.2169999999999995E-5</v>
      </c>
      <c r="O3174" s="9">
        <v>3.5689999999999999E-5</v>
      </c>
      <c r="P3174" s="9">
        <v>4.5670000000000002E-5</v>
      </c>
      <c r="Q3174" s="9">
        <v>5.5970000000000001E-5</v>
      </c>
      <c r="R3174" s="10">
        <v>1.7892099410951365E-4</v>
      </c>
      <c r="S3174" s="10">
        <v>1.8678684030977316E-4</v>
      </c>
      <c r="T3174" s="10">
        <v>0</v>
      </c>
      <c r="U3174" s="10">
        <v>9.4510000000000001E-5</v>
      </c>
      <c r="V3174" s="25"/>
      <c r="W3174" s="25"/>
      <c r="X3174" s="25"/>
      <c r="Y3174" s="25"/>
      <c r="Z3174" s="25"/>
      <c r="AA3174" s="25"/>
    </row>
    <row r="3175" spans="1:27" x14ac:dyDescent="0.35">
      <c r="A3175" s="5">
        <v>3171</v>
      </c>
      <c r="B3175" s="5">
        <v>133</v>
      </c>
      <c r="C3175" s="5">
        <v>5</v>
      </c>
      <c r="D3175" s="25">
        <v>1.1416E-4</v>
      </c>
      <c r="E3175" s="25">
        <v>1.0846E-4</v>
      </c>
      <c r="F3175" s="25">
        <v>1.0645E-4</v>
      </c>
      <c r="G3175" s="25">
        <v>5.6579999999999997E-5</v>
      </c>
      <c r="H3175" s="25">
        <v>1.3509999999999999E-5</v>
      </c>
      <c r="I3175" s="9">
        <v>8.9859999999999997E-5</v>
      </c>
      <c r="J3175" s="9">
        <v>9.1189999999999999E-5</v>
      </c>
      <c r="K3175" s="9">
        <v>1.9922000000000001E-4</v>
      </c>
      <c r="L3175" s="9">
        <v>4.3689999999999997E-5</v>
      </c>
      <c r="M3175" s="9">
        <v>5.9049999999999999E-5</v>
      </c>
      <c r="N3175" s="9">
        <v>6.5510000000000001E-5</v>
      </c>
      <c r="O3175" s="9">
        <v>2.2759999999999999E-5</v>
      </c>
      <c r="P3175" s="9">
        <v>4.18E-5</v>
      </c>
      <c r="Q3175" s="9">
        <v>6.1149999999999996E-5</v>
      </c>
      <c r="R3175" s="10">
        <v>1.7092125136420908E-4</v>
      </c>
      <c r="S3175" s="10">
        <v>1.8598613021923618E-4</v>
      </c>
      <c r="T3175" s="10">
        <v>0</v>
      </c>
      <c r="U3175" s="10">
        <v>9.4510000000000001E-5</v>
      </c>
      <c r="V3175" s="25"/>
      <c r="W3175" s="25"/>
      <c r="X3175" s="25"/>
      <c r="Y3175" s="25"/>
      <c r="Z3175" s="25"/>
      <c r="AA3175" s="25"/>
    </row>
    <row r="3176" spans="1:27" x14ac:dyDescent="0.35">
      <c r="A3176" s="5">
        <v>3172</v>
      </c>
      <c r="B3176" s="5">
        <v>133</v>
      </c>
      <c r="C3176" s="5">
        <v>5</v>
      </c>
      <c r="D3176" s="25">
        <v>1.1415000000000001E-4</v>
      </c>
      <c r="E3176" s="25">
        <v>1.1126E-4</v>
      </c>
      <c r="F3176" s="25">
        <v>1.1383999999999999E-4</v>
      </c>
      <c r="G3176" s="25">
        <v>5.4979999999999999E-5</v>
      </c>
      <c r="H3176" s="25">
        <v>1.2799999999999999E-5</v>
      </c>
      <c r="I3176" s="9">
        <v>9.0779999999999995E-5</v>
      </c>
      <c r="J3176" s="9">
        <v>9.1370000000000001E-5</v>
      </c>
      <c r="K3176" s="9">
        <v>2.0557999999999999E-4</v>
      </c>
      <c r="L3176" s="9">
        <v>2.809E-5</v>
      </c>
      <c r="M3176" s="9">
        <v>5.0290000000000001E-5</v>
      </c>
      <c r="N3176" s="9">
        <v>6.1810000000000006E-5</v>
      </c>
      <c r="O3176" s="9">
        <v>2.234E-5</v>
      </c>
      <c r="P3176" s="9">
        <v>5.1199999999999998E-5</v>
      </c>
      <c r="Q3176" s="9">
        <v>8.0199999999999998E-5</v>
      </c>
      <c r="R3176" s="10">
        <v>1.4996378273882241E-4</v>
      </c>
      <c r="S3176" s="10">
        <v>1.8402893268869161E-4</v>
      </c>
      <c r="T3176" s="10">
        <v>0</v>
      </c>
      <c r="U3176" s="10">
        <v>9.4510000000000001E-5</v>
      </c>
      <c r="V3176" s="25"/>
      <c r="W3176" s="25"/>
      <c r="X3176" s="25"/>
      <c r="Y3176" s="25"/>
      <c r="Z3176" s="25"/>
      <c r="AA3176" s="25"/>
    </row>
    <row r="3177" spans="1:27" x14ac:dyDescent="0.35">
      <c r="A3177" s="5">
        <v>3173</v>
      </c>
      <c r="B3177" s="5">
        <v>133</v>
      </c>
      <c r="C3177" s="5">
        <v>5</v>
      </c>
      <c r="D3177" s="25">
        <v>1.1416E-4</v>
      </c>
      <c r="E3177" s="25">
        <v>1.0840000000000001E-4</v>
      </c>
      <c r="F3177" s="25">
        <v>1.099E-4</v>
      </c>
      <c r="G3177" s="25">
        <v>5.5449999999999999E-5</v>
      </c>
      <c r="H3177" s="25">
        <v>1.375E-5</v>
      </c>
      <c r="I3177" s="9">
        <v>9.48E-5</v>
      </c>
      <c r="J3177" s="9">
        <v>9.2919999999999998E-5</v>
      </c>
      <c r="K3177" s="9">
        <v>1.9497000000000001E-4</v>
      </c>
      <c r="L3177" s="9">
        <v>2.3989999999999999E-5</v>
      </c>
      <c r="M3177" s="9">
        <v>4.8569999999999997E-5</v>
      </c>
      <c r="N3177" s="9">
        <v>6.4289999999999996E-5</v>
      </c>
      <c r="O3177" s="9">
        <v>2.4090000000000001E-5</v>
      </c>
      <c r="P3177" s="9">
        <v>5.8529999999999997E-5</v>
      </c>
      <c r="Q3177" s="9">
        <v>9.3029999999999995E-5</v>
      </c>
      <c r="R3177" s="10">
        <v>1.2899384978079444E-4</v>
      </c>
      <c r="S3177" s="10">
        <v>1.7986066291065606E-4</v>
      </c>
      <c r="T3177" s="10">
        <v>0</v>
      </c>
      <c r="U3177" s="10">
        <v>9.4510000000000001E-5</v>
      </c>
      <c r="V3177" s="25"/>
      <c r="W3177" s="25"/>
      <c r="X3177" s="25"/>
      <c r="Y3177" s="25"/>
      <c r="Z3177" s="25"/>
      <c r="AA3177" s="25"/>
    </row>
    <row r="3178" spans="1:27" x14ac:dyDescent="0.35">
      <c r="A3178" s="5">
        <v>3174</v>
      </c>
      <c r="B3178" s="5">
        <v>133</v>
      </c>
      <c r="C3178" s="5">
        <v>5</v>
      </c>
      <c r="D3178" s="25">
        <v>1.1415000000000001E-4</v>
      </c>
      <c r="E3178" s="25">
        <v>1.0916000000000001E-4</v>
      </c>
      <c r="F3178" s="25">
        <v>1.0649000000000001E-4</v>
      </c>
      <c r="G3178" s="25">
        <v>1.1467E-4</v>
      </c>
      <c r="H3178" s="25">
        <v>2.6659999999999999E-5</v>
      </c>
      <c r="I3178" s="9">
        <v>1.0198E-4</v>
      </c>
      <c r="J3178" s="9">
        <v>9.9240000000000005E-5</v>
      </c>
      <c r="K3178" s="9">
        <v>1.6955E-4</v>
      </c>
      <c r="L3178" s="9">
        <v>2.3989999999999999E-5</v>
      </c>
      <c r="M3178" s="9">
        <v>5.2070000000000001E-5</v>
      </c>
      <c r="N3178" s="9">
        <v>7.0720000000000001E-5</v>
      </c>
      <c r="O3178" s="9">
        <v>3.023E-5</v>
      </c>
      <c r="P3178" s="9">
        <v>6.8289999999999998E-5</v>
      </c>
      <c r="Q3178" s="9">
        <v>1.0628000000000001E-4</v>
      </c>
      <c r="R3178" s="10">
        <v>1.1139222062235221E-4</v>
      </c>
      <c r="S3178" s="10">
        <v>1.7253159849117585E-4</v>
      </c>
      <c r="T3178" s="10">
        <v>2.5469866649127835E-5</v>
      </c>
      <c r="U3178" s="10">
        <v>9.4510000000000001E-5</v>
      </c>
      <c r="V3178" s="25"/>
      <c r="W3178" s="25"/>
      <c r="X3178" s="25"/>
      <c r="Y3178" s="25"/>
      <c r="Z3178" s="25"/>
      <c r="AA3178" s="25"/>
    </row>
    <row r="3179" spans="1:27" x14ac:dyDescent="0.35">
      <c r="A3179" s="5">
        <v>3175</v>
      </c>
      <c r="B3179" s="5">
        <v>133</v>
      </c>
      <c r="C3179" s="5">
        <v>5</v>
      </c>
      <c r="D3179" s="25">
        <v>1.1416E-4</v>
      </c>
      <c r="E3179" s="25">
        <v>1.0965E-4</v>
      </c>
      <c r="F3179" s="25">
        <v>1.2013E-4</v>
      </c>
      <c r="G3179" s="25">
        <v>1.1225E-4</v>
      </c>
      <c r="H3179" s="25">
        <v>2.5809999999999999E-5</v>
      </c>
      <c r="I3179" s="9">
        <v>1.1205999999999999E-4</v>
      </c>
      <c r="J3179" s="9">
        <v>1.1344E-4</v>
      </c>
      <c r="K3179" s="9">
        <v>1.1657E-4</v>
      </c>
      <c r="L3179" s="9">
        <v>2.8770000000000001E-5</v>
      </c>
      <c r="M3179" s="9">
        <v>5.8950000000000003E-5</v>
      </c>
      <c r="N3179" s="9">
        <v>8.03E-5</v>
      </c>
      <c r="O3179" s="9">
        <v>4.6959999999999998E-5</v>
      </c>
      <c r="P3179" s="9">
        <v>8.0160000000000005E-5</v>
      </c>
      <c r="Q3179" s="9">
        <v>1.1323E-4</v>
      </c>
      <c r="R3179" s="10">
        <v>9.5686809937778241E-5</v>
      </c>
      <c r="S3179" s="10">
        <v>1.6142171279430155E-4</v>
      </c>
      <c r="T3179" s="10">
        <v>1.6392514774410359E-4</v>
      </c>
      <c r="U3179" s="10">
        <v>9.4510000000000001E-5</v>
      </c>
      <c r="V3179" s="25"/>
      <c r="W3179" s="25"/>
      <c r="X3179" s="25"/>
      <c r="Y3179" s="25"/>
      <c r="Z3179" s="25"/>
      <c r="AA3179" s="25"/>
    </row>
    <row r="3180" spans="1:27" x14ac:dyDescent="0.35">
      <c r="A3180" s="5">
        <v>3176</v>
      </c>
      <c r="B3180" s="5">
        <v>133</v>
      </c>
      <c r="C3180" s="5">
        <v>5</v>
      </c>
      <c r="D3180" s="25">
        <v>1.1415000000000001E-4</v>
      </c>
      <c r="E3180" s="25">
        <v>1.088E-4</v>
      </c>
      <c r="F3180" s="25">
        <v>1.2076E-4</v>
      </c>
      <c r="G3180" s="25">
        <v>1.5768999999999999E-4</v>
      </c>
      <c r="H3180" s="25">
        <v>3.8559999999999997E-5</v>
      </c>
      <c r="I3180" s="9">
        <v>1.1429000000000001E-4</v>
      </c>
      <c r="J3180" s="9">
        <v>1.2285E-4</v>
      </c>
      <c r="K3180" s="9">
        <v>6.9939999999999998E-5</v>
      </c>
      <c r="L3180" s="9">
        <v>4.2809999999999998E-5</v>
      </c>
      <c r="M3180" s="9">
        <v>6.8319999999999996E-5</v>
      </c>
      <c r="N3180" s="9">
        <v>9.0619999999999996E-5</v>
      </c>
      <c r="O3180" s="9">
        <v>6.8289999999999998E-5</v>
      </c>
      <c r="P3180" s="9">
        <v>1.0268999999999999E-4</v>
      </c>
      <c r="Q3180" s="9">
        <v>1.3673E-4</v>
      </c>
      <c r="R3180" s="10">
        <v>7.7476358193942011E-5</v>
      </c>
      <c r="S3180" s="10">
        <v>1.4815101408955991E-4</v>
      </c>
      <c r="T3180" s="10">
        <v>3.539819374866461E-4</v>
      </c>
      <c r="U3180" s="10">
        <v>9.4510000000000001E-5</v>
      </c>
      <c r="V3180" s="25"/>
      <c r="W3180" s="25"/>
      <c r="X3180" s="25"/>
      <c r="Y3180" s="25"/>
      <c r="Z3180" s="25"/>
      <c r="AA3180" s="25"/>
    </row>
    <row r="3181" spans="1:27" x14ac:dyDescent="0.35">
      <c r="A3181" s="5">
        <v>3177</v>
      </c>
      <c r="B3181" s="5">
        <v>133</v>
      </c>
      <c r="C3181" s="5">
        <v>5</v>
      </c>
      <c r="D3181" s="25">
        <v>1.1416E-4</v>
      </c>
      <c r="E3181" s="25">
        <v>1.1416E-4</v>
      </c>
      <c r="F3181" s="25">
        <v>1.1629E-4</v>
      </c>
      <c r="G3181" s="25">
        <v>1.5961999999999999E-4</v>
      </c>
      <c r="H3181" s="25">
        <v>3.9079999999999999E-5</v>
      </c>
      <c r="I3181" s="9">
        <v>1.1339E-4</v>
      </c>
      <c r="J3181" s="9">
        <v>1.2732999999999999E-4</v>
      </c>
      <c r="K3181" s="9">
        <v>2.9669999999999999E-5</v>
      </c>
      <c r="L3181" s="9">
        <v>6.2299999999999996E-5</v>
      </c>
      <c r="M3181" s="9">
        <v>8.3029999999999996E-5</v>
      </c>
      <c r="N3181" s="9">
        <v>1.0444E-4</v>
      </c>
      <c r="O3181" s="9">
        <v>9.9870000000000004E-5</v>
      </c>
      <c r="P3181" s="9">
        <v>1.3925E-4</v>
      </c>
      <c r="Q3181" s="9">
        <v>1.7791000000000001E-4</v>
      </c>
      <c r="R3181" s="10">
        <v>5.3322623775852425E-5</v>
      </c>
      <c r="S3181" s="10">
        <v>1.3078250750705658E-4</v>
      </c>
      <c r="T3181" s="10">
        <v>5.1520907803740432E-4</v>
      </c>
      <c r="U3181" s="10">
        <v>9.4510000000000001E-5</v>
      </c>
      <c r="V3181" s="25"/>
      <c r="W3181" s="25"/>
      <c r="X3181" s="25"/>
      <c r="Y3181" s="25"/>
      <c r="Z3181" s="25"/>
      <c r="AA3181" s="25"/>
    </row>
    <row r="3182" spans="1:27" x14ac:dyDescent="0.35">
      <c r="A3182" s="5">
        <v>3178</v>
      </c>
      <c r="B3182" s="5">
        <v>133</v>
      </c>
      <c r="C3182" s="5">
        <v>5</v>
      </c>
      <c r="D3182" s="25">
        <v>1.1415000000000001E-4</v>
      </c>
      <c r="E3182" s="25">
        <v>1.0582999999999999E-4</v>
      </c>
      <c r="F3182" s="25">
        <v>1.1406E-4</v>
      </c>
      <c r="G3182" s="25">
        <v>1.5647999999999999E-4</v>
      </c>
      <c r="H3182" s="25">
        <v>3.8380000000000002E-5</v>
      </c>
      <c r="I3182" s="9">
        <v>1.1202E-4</v>
      </c>
      <c r="J3182" s="9">
        <v>1.2768E-4</v>
      </c>
      <c r="K3182" s="9">
        <v>1.06E-5</v>
      </c>
      <c r="L3182" s="9">
        <v>9.1089999999999997E-5</v>
      </c>
      <c r="M3182" s="9">
        <v>1.0698E-4</v>
      </c>
      <c r="N3182" s="9">
        <v>1.2474E-4</v>
      </c>
      <c r="O3182" s="9">
        <v>1.2642999999999999E-4</v>
      </c>
      <c r="P3182" s="9">
        <v>1.5389000000000001E-4</v>
      </c>
      <c r="Q3182" s="9">
        <v>1.8055999999999999E-4</v>
      </c>
      <c r="R3182" s="10">
        <v>4.6050422685690852E-5</v>
      </c>
      <c r="S3182" s="10">
        <v>1.1532780771190284E-4</v>
      </c>
      <c r="T3182" s="10">
        <v>6.2361297083417526E-4</v>
      </c>
      <c r="U3182" s="10">
        <v>9.4510000000000001E-5</v>
      </c>
      <c r="V3182" s="25"/>
      <c r="W3182" s="25"/>
      <c r="X3182" s="25"/>
      <c r="Y3182" s="25"/>
      <c r="Z3182" s="25"/>
      <c r="AA3182" s="25"/>
    </row>
    <row r="3183" spans="1:27" x14ac:dyDescent="0.35">
      <c r="A3183" s="5">
        <v>3179</v>
      </c>
      <c r="B3183" s="5">
        <v>133</v>
      </c>
      <c r="C3183" s="5">
        <v>5</v>
      </c>
      <c r="D3183" s="25">
        <v>1.1416E-4</v>
      </c>
      <c r="E3183" s="25">
        <v>1.0505000000000001E-4</v>
      </c>
      <c r="F3183" s="25">
        <v>1.1764000000000001E-4</v>
      </c>
      <c r="G3183" s="25">
        <v>1.5815E-4</v>
      </c>
      <c r="H3183" s="25">
        <v>3.7809999999999999E-5</v>
      </c>
      <c r="I3183" s="9">
        <v>1.106E-4</v>
      </c>
      <c r="J3183" s="9">
        <v>1.284E-4</v>
      </c>
      <c r="K3183" s="9">
        <v>0</v>
      </c>
      <c r="L3183" s="9">
        <v>1.1794999999999999E-4</v>
      </c>
      <c r="M3183" s="9">
        <v>1.2991000000000001E-4</v>
      </c>
      <c r="N3183" s="9">
        <v>1.4253000000000001E-4</v>
      </c>
      <c r="O3183" s="9">
        <v>1.3511999999999999E-4</v>
      </c>
      <c r="P3183" s="9">
        <v>1.5734000000000001E-4</v>
      </c>
      <c r="Q3183" s="9">
        <v>1.7877999999999999E-4</v>
      </c>
      <c r="R3183" s="10">
        <v>4.7110305806379908E-5</v>
      </c>
      <c r="S3183" s="10">
        <v>9.9430444003566107E-5</v>
      </c>
      <c r="T3183" s="10">
        <v>5.5925107596399408E-4</v>
      </c>
      <c r="U3183" s="10">
        <v>9.4510000000000001E-5</v>
      </c>
      <c r="V3183" s="25"/>
      <c r="W3183" s="25"/>
      <c r="X3183" s="25"/>
      <c r="Y3183" s="25"/>
      <c r="Z3183" s="25"/>
      <c r="AA3183" s="25"/>
    </row>
    <row r="3184" spans="1:27" x14ac:dyDescent="0.35">
      <c r="A3184" s="5">
        <v>3180</v>
      </c>
      <c r="B3184" s="5">
        <v>133</v>
      </c>
      <c r="C3184" s="5">
        <v>5</v>
      </c>
      <c r="D3184" s="25">
        <v>1.1415000000000001E-4</v>
      </c>
      <c r="E3184" s="25">
        <v>1.1093E-4</v>
      </c>
      <c r="F3184" s="25">
        <v>1.1828999999999999E-4</v>
      </c>
      <c r="G3184" s="25">
        <v>1.6049E-4</v>
      </c>
      <c r="H3184" s="25">
        <v>3.824E-5</v>
      </c>
      <c r="I3184" s="9">
        <v>1.0615000000000001E-4</v>
      </c>
      <c r="J3184" s="9">
        <v>1.2676000000000001E-4</v>
      </c>
      <c r="K3184" s="9">
        <v>0</v>
      </c>
      <c r="L3184" s="9">
        <v>1.3071E-4</v>
      </c>
      <c r="M3184" s="9">
        <v>1.4517999999999999E-4</v>
      </c>
      <c r="N3184" s="9">
        <v>1.5648999999999999E-4</v>
      </c>
      <c r="O3184" s="9">
        <v>1.3694999999999999E-4</v>
      </c>
      <c r="P3184" s="9">
        <v>1.5588000000000001E-4</v>
      </c>
      <c r="Q3184" s="9">
        <v>1.7406E-4</v>
      </c>
      <c r="R3184" s="10">
        <v>3.0448103255678856E-5</v>
      </c>
      <c r="S3184" s="10">
        <v>6.2714799114675849E-5</v>
      </c>
      <c r="T3184" s="10">
        <v>5.7428525441244674E-4</v>
      </c>
      <c r="U3184" s="10">
        <v>9.4510000000000001E-5</v>
      </c>
      <c r="V3184" s="25"/>
      <c r="W3184" s="25"/>
      <c r="X3184" s="25"/>
      <c r="Y3184" s="25"/>
      <c r="Z3184" s="25"/>
      <c r="AA3184" s="25"/>
    </row>
    <row r="3185" spans="1:27" x14ac:dyDescent="0.35">
      <c r="A3185" s="5">
        <v>3181</v>
      </c>
      <c r="B3185" s="5">
        <v>133</v>
      </c>
      <c r="C3185" s="5">
        <v>5</v>
      </c>
      <c r="D3185" s="25">
        <v>1.1416E-4</v>
      </c>
      <c r="E3185" s="25">
        <v>1.1487E-4</v>
      </c>
      <c r="F3185" s="25">
        <v>1.1975E-4</v>
      </c>
      <c r="G3185" s="25">
        <v>1.6087E-4</v>
      </c>
      <c r="H3185" s="25">
        <v>4.0009999999999998E-5</v>
      </c>
      <c r="I3185" s="9">
        <v>1.0684E-4</v>
      </c>
      <c r="J3185" s="9">
        <v>1.2772E-4</v>
      </c>
      <c r="K3185" s="9">
        <v>0</v>
      </c>
      <c r="L3185" s="9">
        <v>1.3540000000000001E-4</v>
      </c>
      <c r="M3185" s="9">
        <v>1.5229999999999999E-4</v>
      </c>
      <c r="N3185" s="9">
        <v>1.6593000000000001E-4</v>
      </c>
      <c r="O3185" s="9">
        <v>1.2805999999999999E-4</v>
      </c>
      <c r="P3185" s="9">
        <v>1.4752999999999999E-4</v>
      </c>
      <c r="Q3185" s="9">
        <v>1.6632999999999999E-4</v>
      </c>
      <c r="R3185" s="10">
        <v>3.5421454443445784E-5</v>
      </c>
      <c r="S3185" s="10">
        <v>6.6035880855627561E-5</v>
      </c>
      <c r="T3185" s="10">
        <v>6.4444192573877518E-4</v>
      </c>
      <c r="U3185" s="10">
        <v>9.4510000000000001E-5</v>
      </c>
      <c r="V3185" s="25"/>
      <c r="W3185" s="25"/>
      <c r="X3185" s="25"/>
      <c r="Y3185" s="25"/>
      <c r="Z3185" s="25"/>
      <c r="AA3185" s="25"/>
    </row>
    <row r="3186" spans="1:27" x14ac:dyDescent="0.35">
      <c r="A3186" s="5">
        <v>3182</v>
      </c>
      <c r="B3186" s="5">
        <v>133</v>
      </c>
      <c r="C3186" s="5">
        <v>5</v>
      </c>
      <c r="D3186" s="25">
        <v>1.1415000000000001E-4</v>
      </c>
      <c r="E3186" s="25">
        <v>1.0797E-4</v>
      </c>
      <c r="F3186" s="25">
        <v>1.2548999999999999E-4</v>
      </c>
      <c r="G3186" s="25">
        <v>1.5857999999999999E-4</v>
      </c>
      <c r="H3186" s="25">
        <v>3.9119999999999998E-5</v>
      </c>
      <c r="I3186" s="9">
        <v>1.0931E-4</v>
      </c>
      <c r="J3186" s="9">
        <v>1.2829000000000001E-4</v>
      </c>
      <c r="K3186" s="9">
        <v>0</v>
      </c>
      <c r="L3186" s="9">
        <v>1.2971E-4</v>
      </c>
      <c r="M3186" s="9">
        <v>1.5196E-4</v>
      </c>
      <c r="N3186" s="9">
        <v>1.7002E-4</v>
      </c>
      <c r="O3186" s="9">
        <v>1.1197E-4</v>
      </c>
      <c r="P3186" s="9">
        <v>1.3688E-4</v>
      </c>
      <c r="Q3186" s="9">
        <v>1.6118999999999999E-4</v>
      </c>
      <c r="R3186" s="10">
        <v>3.411009436883589E-5</v>
      </c>
      <c r="S3186" s="10">
        <v>6.9860145150534142E-5</v>
      </c>
      <c r="T3186" s="10">
        <v>5.397117345606159E-4</v>
      </c>
      <c r="U3186" s="10">
        <v>9.4510000000000001E-5</v>
      </c>
      <c r="V3186" s="25"/>
      <c r="W3186" s="25"/>
      <c r="X3186" s="25"/>
      <c r="Y3186" s="25"/>
      <c r="Z3186" s="25"/>
      <c r="AA3186" s="25"/>
    </row>
    <row r="3187" spans="1:27" x14ac:dyDescent="0.35">
      <c r="A3187" s="5">
        <v>3183</v>
      </c>
      <c r="B3187" s="5">
        <v>133</v>
      </c>
      <c r="C3187" s="5">
        <v>5</v>
      </c>
      <c r="D3187" s="25">
        <v>1.1416E-4</v>
      </c>
      <c r="E3187" s="25">
        <v>1.0731E-4</v>
      </c>
      <c r="F3187" s="25">
        <v>1.2583000000000001E-4</v>
      </c>
      <c r="G3187" s="25">
        <v>1.5871E-4</v>
      </c>
      <c r="H3187" s="25">
        <v>3.8399999999999998E-5</v>
      </c>
      <c r="I3187" s="9">
        <v>1.1121E-4</v>
      </c>
      <c r="J3187" s="9">
        <v>1.2870000000000001E-4</v>
      </c>
      <c r="K3187" s="9">
        <v>0</v>
      </c>
      <c r="L3187" s="9">
        <v>1.1608999999999999E-4</v>
      </c>
      <c r="M3187" s="9">
        <v>1.4616999999999999E-4</v>
      </c>
      <c r="N3187" s="9">
        <v>1.6964000000000001E-4</v>
      </c>
      <c r="O3187" s="9">
        <v>1.2667000000000001E-4</v>
      </c>
      <c r="P3187" s="9">
        <v>1.4024999999999999E-4</v>
      </c>
      <c r="Q3187" s="9">
        <v>1.5326000000000001E-4</v>
      </c>
      <c r="R3187" s="10">
        <v>3.416892543403074E-5</v>
      </c>
      <c r="S3187" s="10">
        <v>7.2157942311322661E-5</v>
      </c>
      <c r="T3187" s="10">
        <v>4.6463416961120481E-4</v>
      </c>
      <c r="U3187" s="10">
        <v>9.4510000000000001E-5</v>
      </c>
      <c r="V3187" s="25"/>
      <c r="W3187" s="25"/>
      <c r="X3187" s="25"/>
      <c r="Y3187" s="25"/>
      <c r="Z3187" s="25"/>
      <c r="AA3187" s="25"/>
    </row>
    <row r="3188" spans="1:27" x14ac:dyDescent="0.35">
      <c r="A3188" s="5">
        <v>3184</v>
      </c>
      <c r="B3188" s="5">
        <v>133</v>
      </c>
      <c r="C3188" s="5">
        <v>5</v>
      </c>
      <c r="D3188" s="25">
        <v>1.1415000000000001E-4</v>
      </c>
      <c r="E3188" s="25">
        <v>1.1508E-4</v>
      </c>
      <c r="F3188" s="25">
        <v>1.1820999999999999E-4</v>
      </c>
      <c r="G3188" s="25">
        <v>1.6012000000000001E-4</v>
      </c>
      <c r="H3188" s="25">
        <v>3.8130000000000003E-5</v>
      </c>
      <c r="I3188" s="9">
        <v>1.1241E-4</v>
      </c>
      <c r="J3188" s="9">
        <v>1.2915E-4</v>
      </c>
      <c r="K3188" s="9">
        <v>0</v>
      </c>
      <c r="L3188" s="9">
        <v>1.2474E-4</v>
      </c>
      <c r="M3188" s="9">
        <v>1.4242000000000001E-4</v>
      </c>
      <c r="N3188" s="9">
        <v>1.6600999999999999E-4</v>
      </c>
      <c r="O3188" s="9">
        <v>1.3217E-4</v>
      </c>
      <c r="P3188" s="9">
        <v>1.2079E-4</v>
      </c>
      <c r="Q3188" s="9">
        <v>1.0919E-4</v>
      </c>
      <c r="R3188" s="10">
        <v>4.3471948066840729E-5</v>
      </c>
      <c r="S3188" s="10">
        <v>7.6835443515732866E-5</v>
      </c>
      <c r="T3188" s="10">
        <v>4.9399832966204804E-4</v>
      </c>
      <c r="U3188" s="10">
        <v>9.4510000000000001E-5</v>
      </c>
      <c r="V3188" s="25"/>
      <c r="W3188" s="25"/>
      <c r="X3188" s="25"/>
      <c r="Y3188" s="25"/>
      <c r="Z3188" s="25"/>
      <c r="AA3188" s="25"/>
    </row>
    <row r="3189" spans="1:27" x14ac:dyDescent="0.35">
      <c r="A3189" s="5">
        <v>3185</v>
      </c>
      <c r="B3189" s="5">
        <v>133</v>
      </c>
      <c r="C3189" s="5">
        <v>5</v>
      </c>
      <c r="D3189" s="25">
        <v>1.1416E-4</v>
      </c>
      <c r="E3189" s="25">
        <v>1.0444E-4</v>
      </c>
      <c r="F3189" s="25">
        <v>1.2316000000000001E-4</v>
      </c>
      <c r="G3189" s="25">
        <v>1.5943000000000001E-4</v>
      </c>
      <c r="H3189" s="25">
        <v>3.8430000000000003E-5</v>
      </c>
      <c r="I3189" s="9">
        <v>1.1548E-4</v>
      </c>
      <c r="J3189" s="9">
        <v>1.2928000000000001E-4</v>
      </c>
      <c r="K3189" s="9">
        <v>0</v>
      </c>
      <c r="L3189" s="9">
        <v>1.3024999999999999E-4</v>
      </c>
      <c r="M3189" s="9">
        <v>1.3381999999999999E-4</v>
      </c>
      <c r="N3189" s="9">
        <v>1.5226000000000001E-4</v>
      </c>
      <c r="O3189" s="9">
        <v>1.3828000000000001E-4</v>
      </c>
      <c r="P3189" s="9">
        <v>1.2259E-4</v>
      </c>
      <c r="Q3189" s="9">
        <v>1.0669E-4</v>
      </c>
      <c r="R3189" s="10">
        <v>5.6256841050959269E-5</v>
      </c>
      <c r="S3189" s="10">
        <v>8.4148582811777512E-5</v>
      </c>
      <c r="T3189" s="10">
        <v>3.0133686001901182E-4</v>
      </c>
      <c r="U3189" s="10">
        <v>9.4510000000000001E-5</v>
      </c>
      <c r="V3189" s="25"/>
      <c r="W3189" s="25"/>
      <c r="X3189" s="25"/>
      <c r="Y3189" s="25"/>
      <c r="Z3189" s="25"/>
      <c r="AA3189" s="25"/>
    </row>
    <row r="3190" spans="1:27" x14ac:dyDescent="0.35">
      <c r="A3190" s="5">
        <v>3186</v>
      </c>
      <c r="B3190" s="5">
        <v>133</v>
      </c>
      <c r="C3190" s="5">
        <v>5</v>
      </c>
      <c r="D3190" s="25">
        <v>1.1415000000000001E-4</v>
      </c>
      <c r="E3190" s="25">
        <v>1.1441E-4</v>
      </c>
      <c r="F3190" s="25">
        <v>1.1196000000000001E-4</v>
      </c>
      <c r="G3190" s="25">
        <v>1.6559999999999999E-4</v>
      </c>
      <c r="H3190" s="25">
        <v>4.0080000000000003E-5</v>
      </c>
      <c r="I3190" s="9">
        <v>1.1745E-4</v>
      </c>
      <c r="J3190" s="9">
        <v>1.2554999999999999E-4</v>
      </c>
      <c r="K3190" s="9">
        <v>0</v>
      </c>
      <c r="L3190" s="9">
        <v>1.3626E-4</v>
      </c>
      <c r="M3190" s="9">
        <v>1.2757E-4</v>
      </c>
      <c r="N3190" s="9">
        <v>1.3888E-4</v>
      </c>
      <c r="O3190" s="9">
        <v>1.4009999999999999E-4</v>
      </c>
      <c r="P3190" s="9">
        <v>1.2930999999999999E-4</v>
      </c>
      <c r="Q3190" s="9">
        <v>1.1822E-4</v>
      </c>
      <c r="R3190" s="10">
        <v>7.6381224311406769E-5</v>
      </c>
      <c r="S3190" s="10">
        <v>9.5761749667807832E-5</v>
      </c>
      <c r="T3190" s="10">
        <v>1.2941101798772382E-4</v>
      </c>
      <c r="U3190" s="10">
        <v>9.4510000000000001E-5</v>
      </c>
      <c r="V3190" s="25"/>
      <c r="W3190" s="25"/>
      <c r="X3190" s="25"/>
      <c r="Y3190" s="25"/>
      <c r="Z3190" s="25"/>
      <c r="AA3190" s="25"/>
    </row>
    <row r="3191" spans="1:27" x14ac:dyDescent="0.35">
      <c r="A3191" s="5">
        <v>3187</v>
      </c>
      <c r="B3191" s="5">
        <v>133</v>
      </c>
      <c r="C3191" s="5">
        <v>5</v>
      </c>
      <c r="D3191" s="25">
        <v>1.1416E-4</v>
      </c>
      <c r="E3191" s="25">
        <v>1.1446999999999999E-4</v>
      </c>
      <c r="F3191" s="25">
        <v>1.1847E-4</v>
      </c>
      <c r="G3191" s="25">
        <v>1.1485999999999999E-4</v>
      </c>
      <c r="H3191" s="25">
        <v>2.6040000000000001E-5</v>
      </c>
      <c r="I3191" s="9">
        <v>1.1594E-4</v>
      </c>
      <c r="J3191" s="9">
        <v>1.2296E-4</v>
      </c>
      <c r="K3191" s="9">
        <v>8.49E-6</v>
      </c>
      <c r="L3191" s="9">
        <v>1.3915999999999999E-4</v>
      </c>
      <c r="M3191" s="9">
        <v>1.2676000000000001E-4</v>
      </c>
      <c r="N3191" s="9">
        <v>1.3001000000000001E-4</v>
      </c>
      <c r="O3191" s="9">
        <v>1.3959000000000001E-4</v>
      </c>
      <c r="P3191" s="9">
        <v>1.2323999999999999E-4</v>
      </c>
      <c r="Q3191" s="9">
        <v>1.0666999999999999E-4</v>
      </c>
      <c r="R3191" s="10">
        <v>9.2483019587809133E-5</v>
      </c>
      <c r="S3191" s="10">
        <v>1.05734431742057E-4</v>
      </c>
      <c r="T3191" s="10">
        <v>2.2771859455782516E-5</v>
      </c>
      <c r="U3191" s="10">
        <v>9.4510000000000001E-5</v>
      </c>
      <c r="V3191" s="25"/>
      <c r="W3191" s="25"/>
      <c r="X3191" s="25"/>
      <c r="Y3191" s="25"/>
      <c r="Z3191" s="25"/>
      <c r="AA3191" s="25"/>
    </row>
    <row r="3192" spans="1:27" x14ac:dyDescent="0.35">
      <c r="A3192" s="5">
        <v>3188</v>
      </c>
      <c r="B3192" s="5">
        <v>133</v>
      </c>
      <c r="C3192" s="5">
        <v>5</v>
      </c>
      <c r="D3192" s="25">
        <v>1.1415000000000001E-4</v>
      </c>
      <c r="E3192" s="25">
        <v>1.0807E-4</v>
      </c>
      <c r="F3192" s="25">
        <v>1.0853000000000001E-4</v>
      </c>
      <c r="G3192" s="25">
        <v>1.0834E-4</v>
      </c>
      <c r="H3192" s="25">
        <v>2.7549999999999999E-5</v>
      </c>
      <c r="I3192" s="9">
        <v>1.1477E-4</v>
      </c>
      <c r="J3192" s="9">
        <v>1.1976000000000001E-4</v>
      </c>
      <c r="K3192" s="9">
        <v>4.6619999999999997E-5</v>
      </c>
      <c r="L3192" s="9">
        <v>1.3946E-4</v>
      </c>
      <c r="M3192" s="9">
        <v>1.2557000000000001E-4</v>
      </c>
      <c r="N3192" s="9">
        <v>1.2082999999999999E-4</v>
      </c>
      <c r="O3192" s="9">
        <v>1.4240999999999999E-4</v>
      </c>
      <c r="P3192" s="9">
        <v>1.2219999999999999E-4</v>
      </c>
      <c r="Q3192" s="9">
        <v>1.0182E-4</v>
      </c>
      <c r="R3192" s="10">
        <v>1.0156260022240532E-4</v>
      </c>
      <c r="S3192" s="10">
        <v>1.1102046080741555E-4</v>
      </c>
      <c r="T3192" s="10">
        <v>0</v>
      </c>
      <c r="U3192" s="10">
        <v>9.4510000000000001E-5</v>
      </c>
      <c r="V3192" s="25"/>
      <c r="W3192" s="25"/>
      <c r="X3192" s="25"/>
      <c r="Y3192" s="25"/>
      <c r="Z3192" s="25"/>
      <c r="AA3192" s="25"/>
    </row>
    <row r="3193" spans="1:27" x14ac:dyDescent="0.35">
      <c r="A3193" s="5">
        <v>3189</v>
      </c>
      <c r="B3193" s="5">
        <v>133</v>
      </c>
      <c r="C3193" s="5">
        <v>5</v>
      </c>
      <c r="D3193" s="25">
        <v>1.1416E-4</v>
      </c>
      <c r="E3193" s="25">
        <v>1.1097E-4</v>
      </c>
      <c r="F3193" s="25">
        <v>1.0746E-4</v>
      </c>
      <c r="G3193" s="25">
        <v>6.1970000000000005E-5</v>
      </c>
      <c r="H3193" s="25">
        <v>1.438E-5</v>
      </c>
      <c r="I3193" s="9">
        <v>1.1524E-4</v>
      </c>
      <c r="J3193" s="9">
        <v>1.1796E-4</v>
      </c>
      <c r="K3193" s="9">
        <v>8.0539999999999998E-5</v>
      </c>
      <c r="L3193" s="9">
        <v>1.4179000000000001E-4</v>
      </c>
      <c r="M3193" s="9">
        <v>1.2406E-4</v>
      </c>
      <c r="N3193" s="9">
        <v>1.1313E-4</v>
      </c>
      <c r="O3193" s="9">
        <v>8.3570000000000001E-5</v>
      </c>
      <c r="P3193" s="9">
        <v>8.5539999999999998E-5</v>
      </c>
      <c r="Q3193" s="9">
        <v>8.7520000000000002E-5</v>
      </c>
      <c r="R3193" s="10">
        <v>1.1805095973637378E-4</v>
      </c>
      <c r="S3193" s="10">
        <v>1.1210748495489475E-4</v>
      </c>
      <c r="T3193" s="10">
        <v>0</v>
      </c>
      <c r="U3193" s="10">
        <v>9.4510000000000001E-5</v>
      </c>
      <c r="V3193" s="25"/>
      <c r="W3193" s="25"/>
      <c r="X3193" s="25"/>
      <c r="Y3193" s="25"/>
      <c r="Z3193" s="25"/>
      <c r="AA3193" s="25"/>
    </row>
    <row r="3194" spans="1:27" x14ac:dyDescent="0.35">
      <c r="A3194" s="5">
        <v>3190</v>
      </c>
      <c r="B3194" s="5">
        <v>133</v>
      </c>
      <c r="C3194" s="5">
        <v>5</v>
      </c>
      <c r="D3194" s="25">
        <v>1.1415000000000001E-4</v>
      </c>
      <c r="E3194" s="25">
        <v>1.0459999999999999E-4</v>
      </c>
      <c r="F3194" s="25">
        <v>1.2176999999999999E-4</v>
      </c>
      <c r="G3194" s="25">
        <v>6.211E-5</v>
      </c>
      <c r="H3194" s="25">
        <v>1.3529999999999999E-5</v>
      </c>
      <c r="I3194" s="9">
        <v>1.1679E-4</v>
      </c>
      <c r="J3194" s="9">
        <v>1.1540999999999999E-4</v>
      </c>
      <c r="K3194" s="9">
        <v>1.0808E-4</v>
      </c>
      <c r="L3194" s="9">
        <v>9.6329999999999994E-5</v>
      </c>
      <c r="M3194" s="9">
        <v>1.0977E-4</v>
      </c>
      <c r="N3194" s="9">
        <v>1.0538E-4</v>
      </c>
      <c r="O3194" s="9">
        <v>8.7250000000000007E-5</v>
      </c>
      <c r="P3194" s="9">
        <v>8.789E-5</v>
      </c>
      <c r="Q3194" s="9">
        <v>8.8540000000000003E-5</v>
      </c>
      <c r="R3194" s="10">
        <v>1.1764314634409672E-4</v>
      </c>
      <c r="S3194" s="10">
        <v>1.1000741604518843E-4</v>
      </c>
      <c r="T3194" s="10">
        <v>0</v>
      </c>
      <c r="U3194" s="10">
        <v>9.4510000000000001E-5</v>
      </c>
      <c r="V3194" s="25"/>
      <c r="W3194" s="25"/>
      <c r="X3194" s="25"/>
      <c r="Y3194" s="25"/>
      <c r="Z3194" s="25"/>
      <c r="AA3194" s="25"/>
    </row>
    <row r="3195" spans="1:27" x14ac:dyDescent="0.35">
      <c r="A3195" s="5">
        <v>3191</v>
      </c>
      <c r="B3195" s="5">
        <v>133</v>
      </c>
      <c r="C3195" s="5">
        <v>5</v>
      </c>
      <c r="D3195" s="25">
        <v>1.1416E-4</v>
      </c>
      <c r="E3195" s="25">
        <v>1.0997000000000001E-4</v>
      </c>
      <c r="F3195" s="25">
        <v>1.2072E-4</v>
      </c>
      <c r="G3195" s="25">
        <v>5.8109999999999998E-5</v>
      </c>
      <c r="H3195" s="25">
        <v>1.309E-5</v>
      </c>
      <c r="I3195" s="9">
        <v>1.1156E-4</v>
      </c>
      <c r="J3195" s="9">
        <v>1.0882000000000001E-4</v>
      </c>
      <c r="K3195" s="9">
        <v>1.2928000000000001E-4</v>
      </c>
      <c r="L3195" s="9">
        <v>9.0500000000000004E-5</v>
      </c>
      <c r="M3195" s="9">
        <v>9.8049999999999998E-5</v>
      </c>
      <c r="N3195" s="9">
        <v>9.9669999999999999E-5</v>
      </c>
      <c r="O3195" s="9">
        <v>8.3960000000000003E-5</v>
      </c>
      <c r="P3195" s="9">
        <v>7.5199999999999998E-5</v>
      </c>
      <c r="Q3195" s="9">
        <v>6.6619999999999996E-5</v>
      </c>
      <c r="R3195" s="10">
        <v>1.0338113435186276E-4</v>
      </c>
      <c r="S3195" s="10">
        <v>1.0695030081136078E-4</v>
      </c>
      <c r="T3195" s="10">
        <v>0</v>
      </c>
      <c r="U3195" s="10">
        <v>9.4510000000000001E-5</v>
      </c>
      <c r="V3195" s="25"/>
      <c r="W3195" s="25"/>
      <c r="X3195" s="25"/>
      <c r="Y3195" s="25"/>
      <c r="Z3195" s="25"/>
      <c r="AA3195" s="25"/>
    </row>
    <row r="3196" spans="1:27" x14ac:dyDescent="0.35">
      <c r="A3196" s="5">
        <v>3192</v>
      </c>
      <c r="B3196" s="5">
        <v>133</v>
      </c>
      <c r="C3196" s="5">
        <v>5</v>
      </c>
      <c r="D3196" s="25">
        <v>1.1415000000000001E-4</v>
      </c>
      <c r="E3196" s="25">
        <v>1.0682E-4</v>
      </c>
      <c r="F3196" s="25">
        <v>1.0730000000000001E-4</v>
      </c>
      <c r="G3196" s="25">
        <v>6.2020000000000006E-5</v>
      </c>
      <c r="H3196" s="25">
        <v>1.3360000000000001E-5</v>
      </c>
      <c r="I3196" s="9">
        <v>1.0312E-4</v>
      </c>
      <c r="J3196" s="9">
        <v>1.0064999999999999E-4</v>
      </c>
      <c r="K3196" s="9">
        <v>1.4622999999999999E-4</v>
      </c>
      <c r="L3196" s="9">
        <v>8.5599999999999994E-5</v>
      </c>
      <c r="M3196" s="9">
        <v>8.7100000000000003E-5</v>
      </c>
      <c r="N3196" s="9">
        <v>9.0359999999999995E-5</v>
      </c>
      <c r="O3196" s="9">
        <v>7.818E-5</v>
      </c>
      <c r="P3196" s="9">
        <v>6.813E-5</v>
      </c>
      <c r="Q3196" s="9">
        <v>5.8310000000000002E-5</v>
      </c>
      <c r="R3196" s="10">
        <v>5.8678118924890778E-5</v>
      </c>
      <c r="S3196" s="10">
        <v>7.4742438614838064E-5</v>
      </c>
      <c r="T3196" s="10">
        <v>0</v>
      </c>
      <c r="U3196" s="10">
        <v>9.4510000000000001E-5</v>
      </c>
      <c r="V3196" s="25"/>
      <c r="W3196" s="25"/>
      <c r="X3196" s="25"/>
      <c r="Y3196" s="25"/>
      <c r="Z3196" s="25"/>
      <c r="AA3196" s="25"/>
    </row>
    <row r="3197" spans="1:27" x14ac:dyDescent="0.35">
      <c r="A3197" s="5">
        <v>3193</v>
      </c>
      <c r="B3197" s="5">
        <v>134</v>
      </c>
      <c r="C3197" s="5">
        <v>5</v>
      </c>
      <c r="D3197" s="25">
        <v>1.1416E-4</v>
      </c>
      <c r="E3197" s="25">
        <v>1.111E-4</v>
      </c>
      <c r="F3197" s="25">
        <v>1.208E-4</v>
      </c>
      <c r="G3197" s="25">
        <v>6.1420000000000005E-5</v>
      </c>
      <c r="H3197" s="25">
        <v>7.1870000000000001E-5</v>
      </c>
      <c r="I3197" s="9">
        <v>9.87E-5</v>
      </c>
      <c r="J3197" s="9">
        <v>9.4950000000000004E-5</v>
      </c>
      <c r="K3197" s="9">
        <v>1.5259E-4</v>
      </c>
      <c r="L3197" s="9">
        <v>7.9610000000000005E-5</v>
      </c>
      <c r="M3197" s="9">
        <v>7.7780000000000004E-5</v>
      </c>
      <c r="N3197" s="9">
        <v>8.0879999999999998E-5</v>
      </c>
      <c r="O3197" s="9">
        <v>5.401E-5</v>
      </c>
      <c r="P3197" s="9">
        <v>5.3430000000000002E-5</v>
      </c>
      <c r="Q3197" s="9">
        <v>5.3010000000000002E-5</v>
      </c>
      <c r="R3197" s="10">
        <v>4.9690695089248719E-5</v>
      </c>
      <c r="S3197" s="10">
        <v>7.841352460138708E-5</v>
      </c>
      <c r="T3197" s="10">
        <v>0</v>
      </c>
      <c r="U3197" s="10">
        <v>9.4419999999999994E-5</v>
      </c>
      <c r="V3197" s="25"/>
      <c r="W3197" s="25"/>
      <c r="X3197" s="25"/>
      <c r="Y3197" s="25"/>
      <c r="Z3197" s="25"/>
      <c r="AA3197" s="25"/>
    </row>
    <row r="3198" spans="1:27" x14ac:dyDescent="0.35">
      <c r="A3198" s="5">
        <v>3194</v>
      </c>
      <c r="B3198" s="5">
        <v>134</v>
      </c>
      <c r="C3198" s="5">
        <v>5</v>
      </c>
      <c r="D3198" s="25">
        <v>1.1415000000000001E-4</v>
      </c>
      <c r="E3198" s="25">
        <v>1.1034E-4</v>
      </c>
      <c r="F3198" s="25">
        <v>1.1404999999999999E-4</v>
      </c>
      <c r="G3198" s="25">
        <v>5.9519999999999999E-5</v>
      </c>
      <c r="H3198" s="25">
        <v>7.5060000000000003E-5</v>
      </c>
      <c r="I3198" s="9">
        <v>9.5840000000000004E-5</v>
      </c>
      <c r="J3198" s="9">
        <v>9.2200000000000005E-5</v>
      </c>
      <c r="K3198" s="9">
        <v>1.5894999999999999E-4</v>
      </c>
      <c r="L3198" s="9">
        <v>5.9799999999999997E-5</v>
      </c>
      <c r="M3198" s="9">
        <v>6.6820000000000001E-5</v>
      </c>
      <c r="N3198" s="9">
        <v>7.1730000000000006E-5</v>
      </c>
      <c r="O3198" s="9">
        <v>1.942E-5</v>
      </c>
      <c r="P3198" s="9">
        <v>3.7589999999999998E-5</v>
      </c>
      <c r="Q3198" s="9">
        <v>5.5940000000000003E-5</v>
      </c>
      <c r="R3198" s="10">
        <v>4.5899272865070954E-5</v>
      </c>
      <c r="S3198" s="10">
        <v>7.7925864400726653E-5</v>
      </c>
      <c r="T3198" s="10">
        <v>0</v>
      </c>
      <c r="U3198" s="10">
        <v>9.4419999999999994E-5</v>
      </c>
      <c r="V3198" s="25"/>
      <c r="W3198" s="25"/>
      <c r="X3198" s="25"/>
      <c r="Y3198" s="25"/>
      <c r="Z3198" s="25"/>
      <c r="AA3198" s="25"/>
    </row>
    <row r="3199" spans="1:27" x14ac:dyDescent="0.35">
      <c r="A3199" s="5">
        <v>3195</v>
      </c>
      <c r="B3199" s="5">
        <v>134</v>
      </c>
      <c r="C3199" s="5">
        <v>5</v>
      </c>
      <c r="D3199" s="25">
        <v>1.1416E-4</v>
      </c>
      <c r="E3199" s="25">
        <v>1.1254E-4</v>
      </c>
      <c r="F3199" s="25">
        <v>1.2928000000000001E-4</v>
      </c>
      <c r="G3199" s="25">
        <v>5.5109999999999999E-5</v>
      </c>
      <c r="H3199" s="25">
        <v>6.6569999999999995E-5</v>
      </c>
      <c r="I3199" s="9">
        <v>9.4270000000000004E-5</v>
      </c>
      <c r="J3199" s="9">
        <v>9.1360000000000006E-5</v>
      </c>
      <c r="K3199" s="9">
        <v>1.6531E-4</v>
      </c>
      <c r="L3199" s="9">
        <v>2.8839999999999998E-5</v>
      </c>
      <c r="M3199" s="9">
        <v>5.3619999999999998E-5</v>
      </c>
      <c r="N3199" s="9">
        <v>6.5179999999999996E-5</v>
      </c>
      <c r="O3199" s="9">
        <v>1.413E-5</v>
      </c>
      <c r="P3199" s="9">
        <v>3.7790000000000002E-5</v>
      </c>
      <c r="Q3199" s="9">
        <v>6.1589999999999998E-5</v>
      </c>
      <c r="R3199" s="10">
        <v>4.1772834268324609E-5</v>
      </c>
      <c r="S3199" s="10">
        <v>6.6286962838275426E-5</v>
      </c>
      <c r="T3199" s="10">
        <v>0</v>
      </c>
      <c r="U3199" s="10">
        <v>9.4419999999999994E-5</v>
      </c>
      <c r="V3199" s="25"/>
      <c r="W3199" s="25"/>
      <c r="X3199" s="25"/>
      <c r="Y3199" s="25"/>
      <c r="Z3199" s="25"/>
      <c r="AA3199" s="25"/>
    </row>
    <row r="3200" spans="1:27" x14ac:dyDescent="0.35">
      <c r="A3200" s="5">
        <v>3196</v>
      </c>
      <c r="B3200" s="5">
        <v>134</v>
      </c>
      <c r="C3200" s="5">
        <v>5</v>
      </c>
      <c r="D3200" s="25">
        <v>1.1415000000000001E-4</v>
      </c>
      <c r="E3200" s="25">
        <v>1.1464E-4</v>
      </c>
      <c r="F3200" s="25">
        <v>1.2651000000000001E-4</v>
      </c>
      <c r="G3200" s="25">
        <v>5.2210000000000003E-5</v>
      </c>
      <c r="H3200" s="25">
        <v>6.3520000000000002E-5</v>
      </c>
      <c r="I3200" s="9">
        <v>9.4850000000000002E-5</v>
      </c>
      <c r="J3200" s="9">
        <v>9.1069999999999994E-5</v>
      </c>
      <c r="K3200" s="9">
        <v>1.6741999999999999E-4</v>
      </c>
      <c r="L3200" s="9">
        <v>1.8199999999999999E-5</v>
      </c>
      <c r="M3200" s="9">
        <v>4.4749999999999997E-5</v>
      </c>
      <c r="N3200" s="9">
        <v>6.1649999999999994E-5</v>
      </c>
      <c r="O3200" s="9">
        <v>1.4E-5</v>
      </c>
      <c r="P3200" s="9">
        <v>4.6789999999999998E-5</v>
      </c>
      <c r="Q3200" s="9">
        <v>7.9579999999999994E-5</v>
      </c>
      <c r="R3200" s="10">
        <v>3.5957143690109075E-5</v>
      </c>
      <c r="S3200" s="10">
        <v>6.2692236775434832E-5</v>
      </c>
      <c r="T3200" s="10">
        <v>0</v>
      </c>
      <c r="U3200" s="10">
        <v>9.4419999999999994E-5</v>
      </c>
      <c r="V3200" s="25"/>
      <c r="W3200" s="25"/>
      <c r="X3200" s="25"/>
      <c r="Y3200" s="25"/>
      <c r="Z3200" s="25"/>
      <c r="AA3200" s="25"/>
    </row>
    <row r="3201" spans="1:27" x14ac:dyDescent="0.35">
      <c r="A3201" s="5">
        <v>3197</v>
      </c>
      <c r="B3201" s="5">
        <v>134</v>
      </c>
      <c r="C3201" s="5">
        <v>5</v>
      </c>
      <c r="D3201" s="25">
        <v>1.1416E-4</v>
      </c>
      <c r="E3201" s="25">
        <v>1.0792E-4</v>
      </c>
      <c r="F3201" s="25">
        <v>1.097E-4</v>
      </c>
      <c r="G3201" s="25">
        <v>5.8999999999999998E-5</v>
      </c>
      <c r="H3201" s="25">
        <v>6.9960000000000001E-5</v>
      </c>
      <c r="I3201" s="9">
        <v>9.7639999999999994E-5</v>
      </c>
      <c r="J3201" s="9">
        <v>9.2180000000000002E-5</v>
      </c>
      <c r="K3201" s="9">
        <v>1.5472000000000001E-4</v>
      </c>
      <c r="L3201" s="9">
        <v>1.509E-5</v>
      </c>
      <c r="M3201" s="9">
        <v>4.3529999999999998E-5</v>
      </c>
      <c r="N3201" s="9">
        <v>6.4079999999999996E-5</v>
      </c>
      <c r="O3201" s="9">
        <v>1.967E-5</v>
      </c>
      <c r="P3201" s="9">
        <v>5.7099999999999999E-5</v>
      </c>
      <c r="Q3201" s="9">
        <v>9.4419999999999994E-5</v>
      </c>
      <c r="R3201" s="10">
        <v>2.7038132983638564E-5</v>
      </c>
      <c r="S3201" s="10">
        <v>5.5957573446133521E-5</v>
      </c>
      <c r="T3201" s="10">
        <v>0</v>
      </c>
      <c r="U3201" s="10">
        <v>9.4419999999999994E-5</v>
      </c>
      <c r="V3201" s="25"/>
      <c r="W3201" s="25"/>
      <c r="X3201" s="25"/>
      <c r="Y3201" s="25"/>
      <c r="Z3201" s="25"/>
      <c r="AA3201" s="25"/>
    </row>
    <row r="3202" spans="1:27" x14ac:dyDescent="0.35">
      <c r="A3202" s="5">
        <v>3198</v>
      </c>
      <c r="B3202" s="5">
        <v>134</v>
      </c>
      <c r="C3202" s="5">
        <v>5</v>
      </c>
      <c r="D3202" s="25">
        <v>1.1415000000000001E-4</v>
      </c>
      <c r="E3202" s="25">
        <v>1.1658E-4</v>
      </c>
      <c r="F3202" s="25">
        <v>1.2522E-4</v>
      </c>
      <c r="G3202" s="25">
        <v>1.1179999999999999E-4</v>
      </c>
      <c r="H3202" s="25">
        <v>1.2747999999999999E-4</v>
      </c>
      <c r="I3202" s="9">
        <v>1.0555E-4</v>
      </c>
      <c r="J3202" s="9">
        <v>9.8820000000000006E-5</v>
      </c>
      <c r="K3202" s="9">
        <v>1.2504000000000001E-4</v>
      </c>
      <c r="L3202" s="9">
        <v>1.8539999999999999E-5</v>
      </c>
      <c r="M3202" s="9">
        <v>4.8470000000000002E-5</v>
      </c>
      <c r="N3202" s="9">
        <v>7.0879999999999999E-5</v>
      </c>
      <c r="O3202" s="9">
        <v>4.6810000000000001E-5</v>
      </c>
      <c r="P3202" s="9">
        <v>7.7470000000000002E-5</v>
      </c>
      <c r="Q3202" s="9">
        <v>1.0787E-4</v>
      </c>
      <c r="R3202" s="10">
        <v>2.3571389115839768E-5</v>
      </c>
      <c r="S3202" s="10">
        <v>4.8779424975879989E-5</v>
      </c>
      <c r="T3202" s="10">
        <v>3.7848459400985766E-5</v>
      </c>
      <c r="U3202" s="10">
        <v>9.4419999999999994E-5</v>
      </c>
      <c r="V3202" s="25"/>
      <c r="W3202" s="25"/>
      <c r="X3202" s="25"/>
      <c r="Y3202" s="25"/>
      <c r="Z3202" s="25"/>
      <c r="AA3202" s="25"/>
    </row>
    <row r="3203" spans="1:27" x14ac:dyDescent="0.35">
      <c r="A3203" s="5">
        <v>3199</v>
      </c>
      <c r="B3203" s="5">
        <v>134</v>
      </c>
      <c r="C3203" s="5">
        <v>5</v>
      </c>
      <c r="D3203" s="25">
        <v>1.1416E-4</v>
      </c>
      <c r="E3203" s="25">
        <v>1.1351E-4</v>
      </c>
      <c r="F3203" s="25">
        <v>1.2438999999999999E-4</v>
      </c>
      <c r="G3203" s="25">
        <v>1.0992E-4</v>
      </c>
      <c r="H3203" s="25">
        <v>1.3161999999999999E-4</v>
      </c>
      <c r="I3203" s="9">
        <v>1.1321E-4</v>
      </c>
      <c r="J3203" s="9">
        <v>1.121E-4</v>
      </c>
      <c r="K3203" s="9">
        <v>9.1139999999999998E-5</v>
      </c>
      <c r="L3203" s="9">
        <v>4.0439999999999999E-5</v>
      </c>
      <c r="M3203" s="9">
        <v>6.0309999999999997E-5</v>
      </c>
      <c r="N3203" s="9">
        <v>8.0840000000000005E-5</v>
      </c>
      <c r="O3203" s="9">
        <v>1.2169E-4</v>
      </c>
      <c r="P3203" s="9">
        <v>1.1715E-4</v>
      </c>
      <c r="Q3203" s="9">
        <v>1.1223E-4</v>
      </c>
      <c r="R3203" s="10">
        <v>1.8416836168745356E-5</v>
      </c>
      <c r="S3203" s="10">
        <v>4.4038890334336659E-5</v>
      </c>
      <c r="T3203" s="10">
        <v>1.4364767229726297E-4</v>
      </c>
      <c r="U3203" s="10">
        <v>9.4419999999999994E-5</v>
      </c>
      <c r="V3203" s="25"/>
      <c r="W3203" s="25"/>
      <c r="X3203" s="25"/>
      <c r="Y3203" s="25"/>
      <c r="Z3203" s="25"/>
      <c r="AA3203" s="25"/>
    </row>
    <row r="3204" spans="1:27" x14ac:dyDescent="0.35">
      <c r="A3204" s="5">
        <v>3200</v>
      </c>
      <c r="B3204" s="5">
        <v>134</v>
      </c>
      <c r="C3204" s="5">
        <v>5</v>
      </c>
      <c r="D3204" s="25">
        <v>1.1415000000000001E-4</v>
      </c>
      <c r="E3204" s="25">
        <v>1.1654000000000001E-4</v>
      </c>
      <c r="F3204" s="25">
        <v>1.2975000000000001E-4</v>
      </c>
      <c r="G3204" s="25">
        <v>1.6118E-4</v>
      </c>
      <c r="H3204" s="25">
        <v>1.9466000000000001E-4</v>
      </c>
      <c r="I3204" s="9">
        <v>1.1368E-4</v>
      </c>
      <c r="J3204" s="9">
        <v>1.2178E-4</v>
      </c>
      <c r="K3204" s="9">
        <v>4.2389999999999999E-5</v>
      </c>
      <c r="L3204" s="9">
        <v>1.032E-4</v>
      </c>
      <c r="M3204" s="9">
        <v>8.3839999999999997E-5</v>
      </c>
      <c r="N3204" s="9">
        <v>9.0939999999999993E-5</v>
      </c>
      <c r="O3204" s="9">
        <v>2.1563999999999999E-4</v>
      </c>
      <c r="P3204" s="9">
        <v>1.7626E-4</v>
      </c>
      <c r="Q3204" s="9">
        <v>1.3616E-4</v>
      </c>
      <c r="R3204" s="10">
        <v>1.197880520721049E-5</v>
      </c>
      <c r="S3204" s="10">
        <v>4.0106441771009218E-5</v>
      </c>
      <c r="T3204" s="10">
        <v>2.7381379292714948E-4</v>
      </c>
      <c r="U3204" s="10">
        <v>9.4419999999999994E-5</v>
      </c>
      <c r="V3204" s="25"/>
      <c r="W3204" s="25"/>
      <c r="X3204" s="25"/>
      <c r="Y3204" s="25"/>
      <c r="Z3204" s="25"/>
      <c r="AA3204" s="25"/>
    </row>
    <row r="3205" spans="1:27" x14ac:dyDescent="0.35">
      <c r="A3205" s="5">
        <v>3201</v>
      </c>
      <c r="B3205" s="5">
        <v>134</v>
      </c>
      <c r="C3205" s="5">
        <v>5</v>
      </c>
      <c r="D3205" s="25">
        <v>1.1416E-4</v>
      </c>
      <c r="E3205" s="25">
        <v>1.1723E-4</v>
      </c>
      <c r="F3205" s="25">
        <v>1.2410000000000001E-4</v>
      </c>
      <c r="G3205" s="25">
        <v>1.5655000000000001E-4</v>
      </c>
      <c r="H3205" s="25">
        <v>1.8734000000000001E-4</v>
      </c>
      <c r="I3205" s="9">
        <v>1.1224E-4</v>
      </c>
      <c r="J3205" s="9">
        <v>1.2506E-4</v>
      </c>
      <c r="K3205" s="9">
        <v>6.3600000000000001E-6</v>
      </c>
      <c r="L3205" s="9">
        <v>1.8919E-4</v>
      </c>
      <c r="M3205" s="9">
        <v>1.2318E-4</v>
      </c>
      <c r="N3205" s="9">
        <v>1.0458E-4</v>
      </c>
      <c r="O3205" s="9">
        <v>2.0888999999999999E-4</v>
      </c>
      <c r="P3205" s="9">
        <v>1.9361000000000001E-4</v>
      </c>
      <c r="Q3205" s="9">
        <v>1.7731999999999999E-4</v>
      </c>
      <c r="R3205" s="10">
        <v>1.1886000526776316E-5</v>
      </c>
      <c r="S3205" s="10">
        <v>3.518284464504749E-5</v>
      </c>
      <c r="T3205" s="10">
        <v>3.4320687731196508E-4</v>
      </c>
      <c r="U3205" s="10">
        <v>9.4419999999999994E-5</v>
      </c>
      <c r="V3205" s="25"/>
      <c r="W3205" s="25"/>
      <c r="X3205" s="25"/>
      <c r="Y3205" s="25"/>
      <c r="Z3205" s="25"/>
      <c r="AA3205" s="25"/>
    </row>
    <row r="3206" spans="1:27" x14ac:dyDescent="0.35">
      <c r="A3206" s="5">
        <v>3202</v>
      </c>
      <c r="B3206" s="5">
        <v>134</v>
      </c>
      <c r="C3206" s="5">
        <v>5</v>
      </c>
      <c r="D3206" s="25">
        <v>1.1415000000000001E-4</v>
      </c>
      <c r="E3206" s="25">
        <v>1.1852E-4</v>
      </c>
      <c r="F3206" s="25">
        <v>1.3056999999999999E-4</v>
      </c>
      <c r="G3206" s="25">
        <v>1.6353E-4</v>
      </c>
      <c r="H3206" s="25">
        <v>1.8958000000000001E-4</v>
      </c>
      <c r="I3206" s="9">
        <v>1.0916000000000001E-4</v>
      </c>
      <c r="J3206" s="9">
        <v>1.2632999999999999E-4</v>
      </c>
      <c r="K3206" s="9">
        <v>0</v>
      </c>
      <c r="L3206" s="9">
        <v>2.0230000000000001E-4</v>
      </c>
      <c r="M3206" s="9">
        <v>1.585E-4</v>
      </c>
      <c r="N3206" s="9">
        <v>1.247E-4</v>
      </c>
      <c r="O3206" s="9">
        <v>1.6511E-4</v>
      </c>
      <c r="P3206" s="9">
        <v>1.7411999999999999E-4</v>
      </c>
      <c r="Q3206" s="9">
        <v>1.8212999999999999E-4</v>
      </c>
      <c r="R3206" s="10">
        <v>1.0673217144825071E-5</v>
      </c>
      <c r="S3206" s="10">
        <v>2.8753477880224362E-5</v>
      </c>
      <c r="T3206" s="10">
        <v>5.5649367867519777E-4</v>
      </c>
      <c r="U3206" s="10">
        <v>9.4419999999999994E-5</v>
      </c>
      <c r="V3206" s="25"/>
      <c r="W3206" s="25"/>
      <c r="X3206" s="25"/>
      <c r="Y3206" s="25"/>
      <c r="Z3206" s="25"/>
      <c r="AA3206" s="25"/>
    </row>
    <row r="3207" spans="1:27" x14ac:dyDescent="0.35">
      <c r="A3207" s="5">
        <v>3203</v>
      </c>
      <c r="B3207" s="5">
        <v>134</v>
      </c>
      <c r="C3207" s="5">
        <v>5</v>
      </c>
      <c r="D3207" s="25">
        <v>1.1416E-4</v>
      </c>
      <c r="E3207" s="25">
        <v>1.1131E-4</v>
      </c>
      <c r="F3207" s="25">
        <v>1.2082999999999999E-4</v>
      </c>
      <c r="G3207" s="25">
        <v>1.5642E-4</v>
      </c>
      <c r="H3207" s="25">
        <v>1.9147000000000001E-4</v>
      </c>
      <c r="I3207" s="9">
        <v>1.0793000000000001E-4</v>
      </c>
      <c r="J3207" s="9">
        <v>1.2652E-4</v>
      </c>
      <c r="K3207" s="9">
        <v>0</v>
      </c>
      <c r="L3207" s="9">
        <v>1.7333E-4</v>
      </c>
      <c r="M3207" s="9">
        <v>1.7233E-4</v>
      </c>
      <c r="N3207" s="9">
        <v>1.4274000000000001E-4</v>
      </c>
      <c r="O3207" s="9">
        <v>1.6403000000000001E-4</v>
      </c>
      <c r="P3207" s="9">
        <v>1.7164E-4</v>
      </c>
      <c r="Q3207" s="9">
        <v>1.7828000000000001E-4</v>
      </c>
      <c r="R3207" s="10">
        <v>9.3988368791529709E-6</v>
      </c>
      <c r="S3207" s="10">
        <v>2.3873529859587067E-5</v>
      </c>
      <c r="T3207" s="10">
        <v>7.0833718414469837E-4</v>
      </c>
      <c r="U3207" s="10">
        <v>9.4419999999999994E-5</v>
      </c>
      <c r="V3207" s="25"/>
      <c r="W3207" s="25"/>
      <c r="X3207" s="25"/>
      <c r="Y3207" s="25"/>
      <c r="Z3207" s="25"/>
      <c r="AA3207" s="25"/>
    </row>
    <row r="3208" spans="1:27" x14ac:dyDescent="0.35">
      <c r="A3208" s="5">
        <v>3204</v>
      </c>
      <c r="B3208" s="5">
        <v>134</v>
      </c>
      <c r="C3208" s="5">
        <v>5</v>
      </c>
      <c r="D3208" s="25">
        <v>1.1415000000000001E-4</v>
      </c>
      <c r="E3208" s="25">
        <v>1.1705999999999999E-4</v>
      </c>
      <c r="F3208" s="25">
        <v>1.2159000000000001E-4</v>
      </c>
      <c r="G3208" s="25">
        <v>1.5767E-4</v>
      </c>
      <c r="H3208" s="25">
        <v>1.9322E-4</v>
      </c>
      <c r="I3208" s="9">
        <v>1.0317E-4</v>
      </c>
      <c r="J3208" s="9">
        <v>1.249E-4</v>
      </c>
      <c r="K3208" s="9">
        <v>0</v>
      </c>
      <c r="L3208" s="9">
        <v>1.6746999999999999E-4</v>
      </c>
      <c r="M3208" s="9">
        <v>1.7443E-4</v>
      </c>
      <c r="N3208" s="9">
        <v>1.5651E-4</v>
      </c>
      <c r="O3208" s="9">
        <v>1.6776000000000001E-4</v>
      </c>
      <c r="P3208" s="9">
        <v>1.7137000000000001E-4</v>
      </c>
      <c r="Q3208" s="9">
        <v>1.7404000000000001E-4</v>
      </c>
      <c r="R3208" s="10">
        <v>5.2246948250564932E-6</v>
      </c>
      <c r="S3208" s="10">
        <v>1.6329385395801212E-5</v>
      </c>
      <c r="T3208" s="10">
        <v>7.5695221942101508E-4</v>
      </c>
      <c r="U3208" s="10">
        <v>9.4419999999999994E-5</v>
      </c>
      <c r="V3208" s="25"/>
      <c r="W3208" s="25"/>
      <c r="X3208" s="25"/>
      <c r="Y3208" s="25"/>
      <c r="Z3208" s="25"/>
      <c r="AA3208" s="25"/>
    </row>
    <row r="3209" spans="1:27" x14ac:dyDescent="0.35">
      <c r="A3209" s="5">
        <v>3205</v>
      </c>
      <c r="B3209" s="5">
        <v>134</v>
      </c>
      <c r="C3209" s="5">
        <v>5</v>
      </c>
      <c r="D3209" s="25">
        <v>1.1416E-4</v>
      </c>
      <c r="E3209" s="25">
        <v>1.1108E-4</v>
      </c>
      <c r="F3209" s="25">
        <v>1.1487E-4</v>
      </c>
      <c r="G3209" s="25">
        <v>1.6647999999999999E-4</v>
      </c>
      <c r="H3209" s="25">
        <v>2.0000000000000001E-4</v>
      </c>
      <c r="I3209" s="9">
        <v>1.0207E-4</v>
      </c>
      <c r="J3209" s="9">
        <v>1.2443E-4</v>
      </c>
      <c r="K3209" s="9">
        <v>0</v>
      </c>
      <c r="L3209" s="9">
        <v>1.6788999999999999E-4</v>
      </c>
      <c r="M3209" s="9">
        <v>1.7337E-4</v>
      </c>
      <c r="N3209" s="9">
        <v>1.6595E-4</v>
      </c>
      <c r="O3209" s="9">
        <v>1.5962999999999999E-4</v>
      </c>
      <c r="P3209" s="9">
        <v>1.6390999999999999E-4</v>
      </c>
      <c r="Q3209" s="9">
        <v>1.673E-4</v>
      </c>
      <c r="R3209" s="10">
        <v>5.9169799134371289E-6</v>
      </c>
      <c r="S3209" s="10">
        <v>1.8794348798149597E-5</v>
      </c>
      <c r="T3209" s="10">
        <v>6.4585031943089884E-4</v>
      </c>
      <c r="U3209" s="10">
        <v>9.4419999999999994E-5</v>
      </c>
      <c r="V3209" s="25"/>
      <c r="W3209" s="25"/>
      <c r="X3209" s="25"/>
      <c r="Y3209" s="25"/>
      <c r="Z3209" s="25"/>
      <c r="AA3209" s="25"/>
    </row>
    <row r="3210" spans="1:27" x14ac:dyDescent="0.35">
      <c r="A3210" s="5">
        <v>3206</v>
      </c>
      <c r="B3210" s="5">
        <v>134</v>
      </c>
      <c r="C3210" s="5">
        <v>5</v>
      </c>
      <c r="D3210" s="25">
        <v>1.1415000000000001E-4</v>
      </c>
      <c r="E3210" s="25">
        <v>1.1686E-4</v>
      </c>
      <c r="F3210" s="25">
        <v>1.1372E-4</v>
      </c>
      <c r="G3210" s="25">
        <v>1.6265999999999999E-4</v>
      </c>
      <c r="H3210" s="25">
        <v>1.9793999999999999E-4</v>
      </c>
      <c r="I3210" s="9">
        <v>1.0195E-4</v>
      </c>
      <c r="J3210" s="9">
        <v>1.2359E-4</v>
      </c>
      <c r="K3210" s="9">
        <v>0</v>
      </c>
      <c r="L3210" s="9">
        <v>1.6118E-4</v>
      </c>
      <c r="M3210" s="9">
        <v>1.6966999999999999E-4</v>
      </c>
      <c r="N3210" s="9">
        <v>1.7026000000000001E-4</v>
      </c>
      <c r="O3210" s="9">
        <v>1.7691000000000001E-4</v>
      </c>
      <c r="P3210" s="9">
        <v>1.697E-4</v>
      </c>
      <c r="Q3210" s="9">
        <v>1.6163000000000001E-4</v>
      </c>
      <c r="R3210" s="10">
        <v>8.6857727558124514E-6</v>
      </c>
      <c r="S3210" s="10">
        <v>2.0792694713375341E-5</v>
      </c>
      <c r="T3210" s="10">
        <v>6.855144188928151E-4</v>
      </c>
      <c r="U3210" s="10">
        <v>9.4419999999999994E-5</v>
      </c>
      <c r="V3210" s="25"/>
      <c r="W3210" s="25"/>
      <c r="X3210" s="25"/>
      <c r="Y3210" s="25"/>
      <c r="Z3210" s="25"/>
      <c r="AA3210" s="25"/>
    </row>
    <row r="3211" spans="1:27" x14ac:dyDescent="0.35">
      <c r="A3211" s="5">
        <v>3207</v>
      </c>
      <c r="B3211" s="5">
        <v>134</v>
      </c>
      <c r="C3211" s="5">
        <v>5</v>
      </c>
      <c r="D3211" s="25">
        <v>1.1416E-4</v>
      </c>
      <c r="E3211" s="25">
        <v>1.1226999999999999E-4</v>
      </c>
      <c r="F3211" s="25">
        <v>1.2095999999999999E-4</v>
      </c>
      <c r="G3211" s="25">
        <v>1.6725E-4</v>
      </c>
      <c r="H3211" s="25">
        <v>1.9176999999999999E-4</v>
      </c>
      <c r="I3211" s="9">
        <v>1.022E-4</v>
      </c>
      <c r="J3211" s="9">
        <v>1.2197E-4</v>
      </c>
      <c r="K3211" s="9">
        <v>1.06E-5</v>
      </c>
      <c r="L3211" s="9">
        <v>1.7359999999999999E-4</v>
      </c>
      <c r="M3211" s="9">
        <v>1.6862999999999999E-4</v>
      </c>
      <c r="N3211" s="9">
        <v>1.6998E-4</v>
      </c>
      <c r="O3211" s="9">
        <v>1.8233E-4</v>
      </c>
      <c r="P3211" s="9">
        <v>1.6833000000000001E-4</v>
      </c>
      <c r="Q3211" s="9">
        <v>1.5354E-4</v>
      </c>
      <c r="R3211" s="10">
        <v>1.4680098743644687E-5</v>
      </c>
      <c r="S3211" s="10">
        <v>2.3818561715750781E-5</v>
      </c>
      <c r="T3211" s="10">
        <v>5.6766750091933552E-4</v>
      </c>
      <c r="U3211" s="10">
        <v>9.4419999999999994E-5</v>
      </c>
      <c r="V3211" s="25"/>
      <c r="W3211" s="25"/>
      <c r="X3211" s="25"/>
      <c r="Y3211" s="25"/>
      <c r="Z3211" s="25"/>
      <c r="AA3211" s="25"/>
    </row>
    <row r="3212" spans="1:27" x14ac:dyDescent="0.35">
      <c r="A3212" s="5">
        <v>3208</v>
      </c>
      <c r="B3212" s="5">
        <v>134</v>
      </c>
      <c r="C3212" s="5">
        <v>5</v>
      </c>
      <c r="D3212" s="25">
        <v>1.1415000000000001E-4</v>
      </c>
      <c r="E3212" s="25">
        <v>1.1328999999999999E-4</v>
      </c>
      <c r="F3212" s="25">
        <v>1.1345000000000001E-4</v>
      </c>
      <c r="G3212" s="25">
        <v>1.572E-4</v>
      </c>
      <c r="H3212" s="25">
        <v>1.9247000000000001E-4</v>
      </c>
      <c r="I3212" s="9">
        <v>1.0221E-4</v>
      </c>
      <c r="J3212" s="9">
        <v>1.211E-4</v>
      </c>
      <c r="K3212" s="9">
        <v>2.5429999999999999E-5</v>
      </c>
      <c r="L3212" s="9">
        <v>1.8008999999999999E-4</v>
      </c>
      <c r="M3212" s="9">
        <v>1.6834E-4</v>
      </c>
      <c r="N3212" s="9">
        <v>1.6636E-4</v>
      </c>
      <c r="O3212" s="9">
        <v>1.9614E-4</v>
      </c>
      <c r="P3212" s="9">
        <v>1.5359999999999999E-4</v>
      </c>
      <c r="Q3212" s="9">
        <v>1.1058E-4</v>
      </c>
      <c r="R3212" s="10">
        <v>2.0139749492419989E-5</v>
      </c>
      <c r="S3212" s="10">
        <v>3.2292760715103447E-5</v>
      </c>
      <c r="T3212" s="10">
        <v>4.2659057132516575E-4</v>
      </c>
      <c r="U3212" s="10">
        <v>9.4419999999999994E-5</v>
      </c>
      <c r="V3212" s="25"/>
      <c r="W3212" s="25"/>
      <c r="X3212" s="25"/>
      <c r="Y3212" s="25"/>
      <c r="Z3212" s="25"/>
      <c r="AA3212" s="25"/>
    </row>
    <row r="3213" spans="1:27" x14ac:dyDescent="0.35">
      <c r="A3213" s="5">
        <v>3209</v>
      </c>
      <c r="B3213" s="5">
        <v>134</v>
      </c>
      <c r="C3213" s="5">
        <v>5</v>
      </c>
      <c r="D3213" s="25">
        <v>1.1416E-4</v>
      </c>
      <c r="E3213" s="25">
        <v>1.1175000000000001E-4</v>
      </c>
      <c r="F3213" s="25">
        <v>1.2193000000000001E-4</v>
      </c>
      <c r="G3213" s="25">
        <v>1.6584999999999999E-4</v>
      </c>
      <c r="H3213" s="25">
        <v>1.9986E-4</v>
      </c>
      <c r="I3213" s="9">
        <v>1.0433E-4</v>
      </c>
      <c r="J3213" s="9">
        <v>1.2129E-4</v>
      </c>
      <c r="K3213" s="9">
        <v>5.0869999999999999E-5</v>
      </c>
      <c r="L3213" s="9">
        <v>1.9237E-4</v>
      </c>
      <c r="M3213" s="9">
        <v>1.6306E-4</v>
      </c>
      <c r="N3213" s="9">
        <v>1.5286999999999999E-4</v>
      </c>
      <c r="O3213" s="9">
        <v>2.1290999999999999E-4</v>
      </c>
      <c r="P3213" s="9">
        <v>1.6076E-4</v>
      </c>
      <c r="Q3213" s="9">
        <v>1.0813E-4</v>
      </c>
      <c r="R3213" s="10">
        <v>2.3243674438903913E-5</v>
      </c>
      <c r="S3213" s="10">
        <v>4.5036427278112916E-5</v>
      </c>
      <c r="T3213" s="10">
        <v>2.7492523614201813E-4</v>
      </c>
      <c r="U3213" s="10">
        <v>9.4419999999999994E-5</v>
      </c>
      <c r="V3213" s="25"/>
      <c r="W3213" s="25"/>
      <c r="X3213" s="25"/>
      <c r="Y3213" s="25"/>
      <c r="Z3213" s="25"/>
      <c r="AA3213" s="25"/>
    </row>
    <row r="3214" spans="1:27" x14ac:dyDescent="0.35">
      <c r="A3214" s="5">
        <v>3210</v>
      </c>
      <c r="B3214" s="5">
        <v>134</v>
      </c>
      <c r="C3214" s="5">
        <v>5</v>
      </c>
      <c r="D3214" s="25">
        <v>1.1415000000000001E-4</v>
      </c>
      <c r="E3214" s="25">
        <v>1.0928E-4</v>
      </c>
      <c r="F3214" s="25">
        <v>1.2323E-4</v>
      </c>
      <c r="G3214" s="25">
        <v>1.6322E-4</v>
      </c>
      <c r="H3214" s="25">
        <v>1.9087999999999999E-4</v>
      </c>
      <c r="I3214" s="9">
        <v>1.0812E-4</v>
      </c>
      <c r="J3214" s="9">
        <v>1.1909E-4</v>
      </c>
      <c r="K3214" s="9">
        <v>8.2650000000000003E-5</v>
      </c>
      <c r="L3214" s="9">
        <v>2.0814E-4</v>
      </c>
      <c r="M3214" s="9">
        <v>1.6075E-4</v>
      </c>
      <c r="N3214" s="9">
        <v>1.3972999999999999E-4</v>
      </c>
      <c r="O3214" s="9">
        <v>2.0217E-4</v>
      </c>
      <c r="P3214" s="9">
        <v>1.6008E-4</v>
      </c>
      <c r="Q3214" s="9">
        <v>1.1745E-4</v>
      </c>
      <c r="R3214" s="10">
        <v>2.2635146536282135E-5</v>
      </c>
      <c r="S3214" s="10">
        <v>5.0379673779834301E-5</v>
      </c>
      <c r="T3214" s="10">
        <v>8.5979889614344265E-5</v>
      </c>
      <c r="U3214" s="10">
        <v>9.4419999999999994E-5</v>
      </c>
      <c r="V3214" s="25"/>
      <c r="W3214" s="25"/>
      <c r="X3214" s="25"/>
      <c r="Y3214" s="25"/>
      <c r="Z3214" s="25"/>
      <c r="AA3214" s="25"/>
    </row>
    <row r="3215" spans="1:27" x14ac:dyDescent="0.35">
      <c r="A3215" s="5">
        <v>3211</v>
      </c>
      <c r="B3215" s="5">
        <v>134</v>
      </c>
      <c r="C3215" s="5">
        <v>5</v>
      </c>
      <c r="D3215" s="25">
        <v>1.1416E-4</v>
      </c>
      <c r="E3215" s="25">
        <v>1.106E-4</v>
      </c>
      <c r="F3215" s="25">
        <v>1.1458E-4</v>
      </c>
      <c r="G3215" s="25">
        <v>1.0488999999999999E-4</v>
      </c>
      <c r="H3215" s="25">
        <v>1.3779999999999999E-4</v>
      </c>
      <c r="I3215" s="9">
        <v>1.0866000000000001E-4</v>
      </c>
      <c r="J3215" s="9">
        <v>1.1663999999999999E-4</v>
      </c>
      <c r="K3215" s="9">
        <v>1.102E-4</v>
      </c>
      <c r="L3215" s="9">
        <v>2.0307999999999999E-4</v>
      </c>
      <c r="M3215" s="9">
        <v>1.6006000000000001E-4</v>
      </c>
      <c r="N3215" s="9">
        <v>1.3056E-4</v>
      </c>
      <c r="O3215" s="9">
        <v>1.6160999999999999E-4</v>
      </c>
      <c r="P3215" s="9">
        <v>1.3431000000000001E-4</v>
      </c>
      <c r="Q3215" s="9">
        <v>1.066E-4</v>
      </c>
      <c r="R3215" s="10">
        <v>2.2696930347314359E-5</v>
      </c>
      <c r="S3215" s="10">
        <v>5.1782604820071067E-5</v>
      </c>
      <c r="T3215" s="10">
        <v>2.4545078019962303E-5</v>
      </c>
      <c r="U3215" s="10">
        <v>9.4419999999999994E-5</v>
      </c>
      <c r="V3215" s="25"/>
      <c r="W3215" s="25"/>
      <c r="X3215" s="25"/>
      <c r="Y3215" s="25"/>
      <c r="Z3215" s="25"/>
      <c r="AA3215" s="25"/>
    </row>
    <row r="3216" spans="1:27" x14ac:dyDescent="0.35">
      <c r="A3216" s="5">
        <v>3212</v>
      </c>
      <c r="B3216" s="5">
        <v>134</v>
      </c>
      <c r="C3216" s="5">
        <v>5</v>
      </c>
      <c r="D3216" s="25">
        <v>1.1415000000000001E-4</v>
      </c>
      <c r="E3216" s="25">
        <v>1.1754E-4</v>
      </c>
      <c r="F3216" s="25">
        <v>1.1341999999999999E-4</v>
      </c>
      <c r="G3216" s="25">
        <v>1.0798000000000001E-4</v>
      </c>
      <c r="H3216" s="25">
        <v>1.2851E-4</v>
      </c>
      <c r="I3216" s="9">
        <v>1.0828E-4</v>
      </c>
      <c r="J3216" s="9">
        <v>1.1355E-4</v>
      </c>
      <c r="K3216" s="9">
        <v>1.3776000000000001E-4</v>
      </c>
      <c r="L3216" s="9">
        <v>1.7095000000000001E-4</v>
      </c>
      <c r="M3216" s="9">
        <v>1.5076E-4</v>
      </c>
      <c r="N3216" s="9">
        <v>1.2124E-4</v>
      </c>
      <c r="O3216" s="9">
        <v>1.2678E-4</v>
      </c>
      <c r="P3216" s="9">
        <v>1.142E-4</v>
      </c>
      <c r="Q3216" s="9">
        <v>1.0131E-4</v>
      </c>
      <c r="R3216" s="10">
        <v>3.5156218042654312E-5</v>
      </c>
      <c r="S3216" s="10">
        <v>5.2847968220718482E-5</v>
      </c>
      <c r="T3216" s="10">
        <v>0</v>
      </c>
      <c r="U3216" s="10">
        <v>9.4419999999999994E-5</v>
      </c>
      <c r="V3216" s="25"/>
      <c r="W3216" s="25"/>
      <c r="X3216" s="25"/>
      <c r="Y3216" s="25"/>
      <c r="Z3216" s="25"/>
      <c r="AA3216" s="25"/>
    </row>
    <row r="3217" spans="1:27" x14ac:dyDescent="0.35">
      <c r="A3217" s="5">
        <v>3213</v>
      </c>
      <c r="B3217" s="5">
        <v>134</v>
      </c>
      <c r="C3217" s="5">
        <v>5</v>
      </c>
      <c r="D3217" s="25">
        <v>1.1416E-4</v>
      </c>
      <c r="E3217" s="25">
        <v>1.1129999999999999E-4</v>
      </c>
      <c r="F3217" s="25">
        <v>1.2999999999999999E-4</v>
      </c>
      <c r="G3217" s="25">
        <v>6.2299999999999996E-5</v>
      </c>
      <c r="H3217" s="25">
        <v>7.5339999999999994E-5</v>
      </c>
      <c r="I3217" s="9">
        <v>1.0802999999999999E-4</v>
      </c>
      <c r="J3217" s="9">
        <v>1.1176E-4</v>
      </c>
      <c r="K3217" s="9">
        <v>1.5470999999999999E-4</v>
      </c>
      <c r="L3217" s="9">
        <v>1.3750000000000001E-4</v>
      </c>
      <c r="M3217" s="9">
        <v>1.35E-4</v>
      </c>
      <c r="N3217" s="9">
        <v>1.133E-4</v>
      </c>
      <c r="O3217" s="9">
        <v>8.3440000000000001E-5</v>
      </c>
      <c r="P3217" s="9">
        <v>8.5569999999999996E-5</v>
      </c>
      <c r="Q3217" s="9">
        <v>8.755E-5</v>
      </c>
      <c r="R3217" s="10">
        <v>7.1321848416214362E-5</v>
      </c>
      <c r="S3217" s="10">
        <v>5.5311536245637243E-5</v>
      </c>
      <c r="T3217" s="10">
        <v>0</v>
      </c>
      <c r="U3217" s="10">
        <v>9.4419999999999994E-5</v>
      </c>
      <c r="V3217" s="25"/>
      <c r="W3217" s="25"/>
      <c r="X3217" s="25"/>
      <c r="Y3217" s="25"/>
      <c r="Z3217" s="25"/>
      <c r="AA3217" s="25"/>
    </row>
    <row r="3218" spans="1:27" x14ac:dyDescent="0.35">
      <c r="A3218" s="5">
        <v>3214</v>
      </c>
      <c r="B3218" s="5">
        <v>134</v>
      </c>
      <c r="C3218" s="5">
        <v>5</v>
      </c>
      <c r="D3218" s="25">
        <v>1.1415000000000001E-4</v>
      </c>
      <c r="E3218" s="25">
        <v>1.0977E-4</v>
      </c>
      <c r="F3218" s="25">
        <v>1.1344E-4</v>
      </c>
      <c r="G3218" s="25">
        <v>6.2570000000000006E-5</v>
      </c>
      <c r="H3218" s="25">
        <v>6.6210000000000005E-5</v>
      </c>
      <c r="I3218" s="9">
        <v>1.114E-4</v>
      </c>
      <c r="J3218" s="9">
        <v>1.1027E-4</v>
      </c>
      <c r="K3218" s="9">
        <v>1.6742999999999999E-4</v>
      </c>
      <c r="L3218" s="9">
        <v>9.6219999999999997E-5</v>
      </c>
      <c r="M3218" s="9">
        <v>1.1318E-4</v>
      </c>
      <c r="N3218" s="9">
        <v>1.0542E-4</v>
      </c>
      <c r="O3218" s="9">
        <v>8.6500000000000002E-5</v>
      </c>
      <c r="P3218" s="9">
        <v>8.7310000000000003E-5</v>
      </c>
      <c r="Q3218" s="9">
        <v>8.7949999999999996E-5</v>
      </c>
      <c r="R3218" s="10">
        <v>1.0822914066378099E-4</v>
      </c>
      <c r="S3218" s="10">
        <v>5.8148226823799258E-5</v>
      </c>
      <c r="T3218" s="10">
        <v>0</v>
      </c>
      <c r="U3218" s="10">
        <v>9.4419999999999994E-5</v>
      </c>
      <c r="V3218" s="25"/>
      <c r="W3218" s="25"/>
      <c r="X3218" s="25"/>
      <c r="Y3218" s="25"/>
      <c r="Z3218" s="25"/>
      <c r="AA3218" s="25"/>
    </row>
    <row r="3219" spans="1:27" x14ac:dyDescent="0.35">
      <c r="A3219" s="5">
        <v>3215</v>
      </c>
      <c r="B3219" s="5">
        <v>134</v>
      </c>
      <c r="C3219" s="5">
        <v>5</v>
      </c>
      <c r="D3219" s="25">
        <v>1.1416E-4</v>
      </c>
      <c r="E3219" s="25">
        <v>1.0897E-4</v>
      </c>
      <c r="F3219" s="25">
        <v>1.1445E-4</v>
      </c>
      <c r="G3219" s="25">
        <v>5.8709999999999999E-5</v>
      </c>
      <c r="H3219" s="25">
        <v>6.3070000000000004E-5</v>
      </c>
      <c r="I3219" s="9">
        <v>1.0726E-4</v>
      </c>
      <c r="J3219" s="9">
        <v>1.0485E-4</v>
      </c>
      <c r="K3219" s="9">
        <v>1.6741999999999999E-4</v>
      </c>
      <c r="L3219" s="9">
        <v>8.9560000000000003E-5</v>
      </c>
      <c r="M3219" s="9">
        <v>9.8519999999999999E-5</v>
      </c>
      <c r="N3219" s="9">
        <v>9.9480000000000003E-5</v>
      </c>
      <c r="O3219" s="9">
        <v>7.7880000000000007E-5</v>
      </c>
      <c r="P3219" s="9">
        <v>7.2570000000000005E-5</v>
      </c>
      <c r="Q3219" s="9">
        <v>6.7290000000000001E-5</v>
      </c>
      <c r="R3219" s="10">
        <v>1.2234938474838536E-4</v>
      </c>
      <c r="S3219" s="10">
        <v>5.6952565758451846E-5</v>
      </c>
      <c r="T3219" s="10">
        <v>0</v>
      </c>
      <c r="U3219" s="10">
        <v>9.4419999999999994E-5</v>
      </c>
      <c r="V3219" s="25"/>
      <c r="W3219" s="25"/>
      <c r="X3219" s="25"/>
      <c r="Y3219" s="25"/>
      <c r="Z3219" s="25"/>
      <c r="AA3219" s="25"/>
    </row>
    <row r="3220" spans="1:27" x14ac:dyDescent="0.35">
      <c r="A3220" s="5">
        <v>3216</v>
      </c>
      <c r="B3220" s="5">
        <v>134</v>
      </c>
      <c r="C3220" s="5">
        <v>5</v>
      </c>
      <c r="D3220" s="25">
        <v>1.1415000000000001E-4</v>
      </c>
      <c r="E3220" s="25">
        <v>1.1029E-4</v>
      </c>
      <c r="F3220" s="25">
        <v>1.2345999999999999E-4</v>
      </c>
      <c r="G3220" s="25">
        <v>5.5189999999999998E-5</v>
      </c>
      <c r="H3220" s="25">
        <v>7.2459999999999994E-5</v>
      </c>
      <c r="I3220" s="9">
        <v>1.005E-4</v>
      </c>
      <c r="J3220" s="9">
        <v>9.7490000000000003E-5</v>
      </c>
      <c r="K3220" s="9">
        <v>1.6318999999999999E-4</v>
      </c>
      <c r="L3220" s="9">
        <v>8.0430000000000001E-5</v>
      </c>
      <c r="M3220" s="9">
        <v>8.5959999999999997E-5</v>
      </c>
      <c r="N3220" s="9">
        <v>9.0309999999999994E-5</v>
      </c>
      <c r="O3220" s="9">
        <v>6.2509999999999996E-5</v>
      </c>
      <c r="P3220" s="9">
        <v>6.0590000000000001E-5</v>
      </c>
      <c r="Q3220" s="9">
        <v>5.8780000000000003E-5</v>
      </c>
      <c r="R3220" s="10">
        <v>1.0761419201024053E-4</v>
      </c>
      <c r="S3220" s="10">
        <v>4.1588229483371124E-5</v>
      </c>
      <c r="T3220" s="10">
        <v>0</v>
      </c>
      <c r="U3220" s="10">
        <v>9.4419999999999994E-5</v>
      </c>
      <c r="V3220" s="25"/>
      <c r="W3220" s="25"/>
      <c r="X3220" s="25"/>
      <c r="Y3220" s="25"/>
      <c r="Z3220" s="25"/>
      <c r="AA3220" s="25"/>
    </row>
    <row r="3221" spans="1:27" x14ac:dyDescent="0.35">
      <c r="A3221" s="5">
        <v>3217</v>
      </c>
      <c r="B3221" s="5">
        <v>135</v>
      </c>
      <c r="C3221" s="5">
        <v>5</v>
      </c>
      <c r="D3221" s="25">
        <v>1.1416E-4</v>
      </c>
      <c r="E3221" s="25">
        <v>1.1518000000000001E-4</v>
      </c>
      <c r="F3221" s="25">
        <v>1.3090000000000001E-4</v>
      </c>
      <c r="G3221" s="25">
        <v>5.5829999999999999E-5</v>
      </c>
      <c r="H3221" s="25">
        <v>7.3930000000000005E-5</v>
      </c>
      <c r="I3221" s="9">
        <v>9.4079999999999994E-5</v>
      </c>
      <c r="J3221" s="9">
        <v>9.1970000000000002E-5</v>
      </c>
      <c r="K3221" s="9">
        <v>1.5683E-4</v>
      </c>
      <c r="L3221" s="9">
        <v>6.6429999999999999E-5</v>
      </c>
      <c r="M3221" s="9">
        <v>7.3960000000000003E-5</v>
      </c>
      <c r="N3221" s="9">
        <v>8.0939999999999994E-5</v>
      </c>
      <c r="O3221" s="9">
        <v>5.4969999999999997E-5</v>
      </c>
      <c r="P3221" s="9">
        <v>5.4379999999999998E-5</v>
      </c>
      <c r="Q3221" s="9">
        <v>5.3959999999999998E-5</v>
      </c>
      <c r="R3221" s="10">
        <v>1.0928100896521408E-4</v>
      </c>
      <c r="S3221" s="10">
        <v>3.9639696387184427E-5</v>
      </c>
      <c r="T3221" s="10">
        <v>0</v>
      </c>
      <c r="U3221" s="10">
        <v>9.4069999999999999E-5</v>
      </c>
      <c r="V3221" s="25"/>
      <c r="W3221" s="25"/>
      <c r="X3221" s="25"/>
      <c r="Y3221" s="25"/>
      <c r="Z3221" s="25"/>
      <c r="AA3221" s="25"/>
    </row>
    <row r="3222" spans="1:27" x14ac:dyDescent="0.35">
      <c r="A3222" s="5">
        <v>3218</v>
      </c>
      <c r="B3222" s="5">
        <v>135</v>
      </c>
      <c r="C3222" s="5">
        <v>5</v>
      </c>
      <c r="D3222" s="25">
        <v>1.1415000000000001E-4</v>
      </c>
      <c r="E3222" s="25">
        <v>1.1051E-4</v>
      </c>
      <c r="F3222" s="25">
        <v>1.2142999999999999E-4</v>
      </c>
      <c r="G3222" s="25">
        <v>5.6329999999999998E-5</v>
      </c>
      <c r="H3222" s="25">
        <v>6.8159999999999998E-5</v>
      </c>
      <c r="I3222" s="9">
        <v>9.0080000000000005E-5</v>
      </c>
      <c r="J3222" s="9">
        <v>8.8629999999999997E-5</v>
      </c>
      <c r="K3222" s="9">
        <v>1.4411E-4</v>
      </c>
      <c r="L3222" s="9">
        <v>5.7880000000000001E-5</v>
      </c>
      <c r="M3222" s="9">
        <v>6.4060000000000007E-5</v>
      </c>
      <c r="N3222" s="9">
        <v>7.203E-5</v>
      </c>
      <c r="O3222" s="9">
        <v>1.9619999999999998E-5</v>
      </c>
      <c r="P3222" s="9">
        <v>3.7969999999999997E-5</v>
      </c>
      <c r="Q3222" s="9">
        <v>5.6509999999999999E-5</v>
      </c>
      <c r="R3222" s="10">
        <v>1.1230587918286624E-4</v>
      </c>
      <c r="S3222" s="10">
        <v>4.2750758389229477E-5</v>
      </c>
      <c r="T3222" s="10">
        <v>0</v>
      </c>
      <c r="U3222" s="10">
        <v>9.4069999999999999E-5</v>
      </c>
      <c r="V3222" s="25"/>
      <c r="W3222" s="25"/>
      <c r="X3222" s="25"/>
      <c r="Y3222" s="25"/>
      <c r="Z3222" s="25"/>
      <c r="AA3222" s="25"/>
    </row>
    <row r="3223" spans="1:27" x14ac:dyDescent="0.35">
      <c r="A3223" s="5">
        <v>3219</v>
      </c>
      <c r="B3223" s="5">
        <v>135</v>
      </c>
      <c r="C3223" s="5">
        <v>5</v>
      </c>
      <c r="D3223" s="25">
        <v>1.1416E-4</v>
      </c>
      <c r="E3223" s="25">
        <v>1.1232E-4</v>
      </c>
      <c r="F3223" s="25">
        <v>1.27E-4</v>
      </c>
      <c r="G3223" s="25">
        <v>6.3330000000000005E-5</v>
      </c>
      <c r="H3223" s="25">
        <v>6.4579999999999995E-5</v>
      </c>
      <c r="I3223" s="9">
        <v>8.8189999999999994E-5</v>
      </c>
      <c r="J3223" s="9">
        <v>8.708E-5</v>
      </c>
      <c r="K3223" s="9">
        <v>1.4622999999999999E-4</v>
      </c>
      <c r="L3223" s="9">
        <v>2.8229999999999999E-5</v>
      </c>
      <c r="M3223" s="9">
        <v>5.2410000000000001E-5</v>
      </c>
      <c r="N3223" s="9">
        <v>6.5610000000000004E-5</v>
      </c>
      <c r="O3223" s="9">
        <v>1.413E-5</v>
      </c>
      <c r="P3223" s="9">
        <v>3.7790000000000002E-5</v>
      </c>
      <c r="Q3223" s="9">
        <v>6.1589999999999998E-5</v>
      </c>
      <c r="R3223" s="10">
        <v>1.1035987731022283E-4</v>
      </c>
      <c r="S3223" s="10">
        <v>4.6704654870771053E-5</v>
      </c>
      <c r="T3223" s="10">
        <v>0</v>
      </c>
      <c r="U3223" s="10">
        <v>9.4069999999999999E-5</v>
      </c>
      <c r="V3223" s="25"/>
      <c r="W3223" s="25"/>
      <c r="X3223" s="25"/>
      <c r="Y3223" s="25"/>
      <c r="Z3223" s="25"/>
      <c r="AA3223" s="25"/>
    </row>
    <row r="3224" spans="1:27" x14ac:dyDescent="0.35">
      <c r="A3224" s="5">
        <v>3220</v>
      </c>
      <c r="B3224" s="5">
        <v>135</v>
      </c>
      <c r="C3224" s="5">
        <v>5</v>
      </c>
      <c r="D3224" s="25">
        <v>1.1415000000000001E-4</v>
      </c>
      <c r="E3224" s="25">
        <v>1.1072E-4</v>
      </c>
      <c r="F3224" s="25">
        <v>1.2531E-4</v>
      </c>
      <c r="G3224" s="25">
        <v>5.2660000000000001E-5</v>
      </c>
      <c r="H3224" s="25">
        <v>7.6190000000000001E-5</v>
      </c>
      <c r="I3224" s="9">
        <v>8.7349999999999995E-5</v>
      </c>
      <c r="J3224" s="9">
        <v>8.6600000000000004E-5</v>
      </c>
      <c r="K3224" s="9">
        <v>1.4200000000000001E-4</v>
      </c>
      <c r="L3224" s="9">
        <v>1.7969999999999999E-5</v>
      </c>
      <c r="M3224" s="9">
        <v>4.4369999999999997E-5</v>
      </c>
      <c r="N3224" s="9">
        <v>6.2069999999999994E-5</v>
      </c>
      <c r="O3224" s="9">
        <v>1.412E-5</v>
      </c>
      <c r="P3224" s="9">
        <v>4.7179999999999999E-5</v>
      </c>
      <c r="Q3224" s="9">
        <v>8.0249999999999999E-5</v>
      </c>
      <c r="R3224" s="10">
        <v>1.1154036699440602E-4</v>
      </c>
      <c r="S3224" s="10">
        <v>5.0902911843784427E-5</v>
      </c>
      <c r="T3224" s="10">
        <v>0</v>
      </c>
      <c r="U3224" s="10">
        <v>9.4069999999999999E-5</v>
      </c>
      <c r="V3224" s="25"/>
      <c r="W3224" s="25"/>
      <c r="X3224" s="25"/>
      <c r="Y3224" s="25"/>
      <c r="Z3224" s="25"/>
      <c r="AA3224" s="25"/>
    </row>
    <row r="3225" spans="1:27" x14ac:dyDescent="0.35">
      <c r="A3225" s="5">
        <v>3221</v>
      </c>
      <c r="B3225" s="5">
        <v>135</v>
      </c>
      <c r="C3225" s="5">
        <v>5</v>
      </c>
      <c r="D3225" s="25">
        <v>1.1416E-4</v>
      </c>
      <c r="E3225" s="25">
        <v>1.0676E-4</v>
      </c>
      <c r="F3225" s="25">
        <v>1.3783999999999999E-4</v>
      </c>
      <c r="G3225" s="25">
        <v>5.914E-5</v>
      </c>
      <c r="H3225" s="25">
        <v>6.9499999999999995E-5</v>
      </c>
      <c r="I3225" s="9">
        <v>8.7449999999999998E-5</v>
      </c>
      <c r="J3225" s="9">
        <v>8.6370000000000001E-5</v>
      </c>
      <c r="K3225" s="9">
        <v>1.3352000000000001E-4</v>
      </c>
      <c r="L3225" s="9">
        <v>1.521E-5</v>
      </c>
      <c r="M3225" s="9">
        <v>4.3560000000000003E-5</v>
      </c>
      <c r="N3225" s="9">
        <v>6.4560000000000005E-5</v>
      </c>
      <c r="O3225" s="9">
        <v>1.942E-5</v>
      </c>
      <c r="P3225" s="9">
        <v>5.6369999999999997E-5</v>
      </c>
      <c r="Q3225" s="9">
        <v>9.3209999999999997E-5</v>
      </c>
      <c r="R3225" s="10">
        <v>1.1350696076391123E-4</v>
      </c>
      <c r="S3225" s="10">
        <v>5.4756281248049571E-5</v>
      </c>
      <c r="T3225" s="10">
        <v>1.0350845207173869E-6</v>
      </c>
      <c r="U3225" s="10">
        <v>9.4069999999999999E-5</v>
      </c>
      <c r="V3225" s="25"/>
      <c r="W3225" s="25"/>
      <c r="X3225" s="25"/>
      <c r="Y3225" s="25"/>
      <c r="Z3225" s="25"/>
      <c r="AA3225" s="25"/>
    </row>
    <row r="3226" spans="1:27" x14ac:dyDescent="0.35">
      <c r="A3226" s="5">
        <v>3222</v>
      </c>
      <c r="B3226" s="5">
        <v>135</v>
      </c>
      <c r="C3226" s="5">
        <v>5</v>
      </c>
      <c r="D3226" s="25">
        <v>1.1415000000000001E-4</v>
      </c>
      <c r="E3226" s="25">
        <v>1.1412E-4</v>
      </c>
      <c r="F3226" s="25">
        <v>1.2152E-4</v>
      </c>
      <c r="G3226" s="25">
        <v>1.1518000000000001E-4</v>
      </c>
      <c r="H3226" s="25">
        <v>1.3074000000000001E-4</v>
      </c>
      <c r="I3226" s="9">
        <v>8.8179999999999999E-5</v>
      </c>
      <c r="J3226" s="9">
        <v>8.7689999999999996E-5</v>
      </c>
      <c r="K3226" s="9">
        <v>1.2716E-4</v>
      </c>
      <c r="L3226" s="9">
        <v>1.836E-5</v>
      </c>
      <c r="M3226" s="9">
        <v>4.8319999999999998E-5</v>
      </c>
      <c r="N3226" s="9">
        <v>7.1000000000000005E-5</v>
      </c>
      <c r="O3226" s="9">
        <v>4.6199999999999998E-5</v>
      </c>
      <c r="P3226" s="9">
        <v>7.6459999999999996E-5</v>
      </c>
      <c r="Q3226" s="9">
        <v>1.0647E-4</v>
      </c>
      <c r="R3226" s="10">
        <v>1.1370532963254505E-4</v>
      </c>
      <c r="S3226" s="10">
        <v>6.0204357619951781E-5</v>
      </c>
      <c r="T3226" s="10">
        <v>4.0130735926174103E-5</v>
      </c>
      <c r="U3226" s="10">
        <v>9.4069999999999999E-5</v>
      </c>
      <c r="V3226" s="25"/>
      <c r="W3226" s="25"/>
      <c r="X3226" s="25"/>
      <c r="Y3226" s="25"/>
      <c r="Z3226" s="25"/>
      <c r="AA3226" s="25"/>
    </row>
    <row r="3227" spans="1:27" x14ac:dyDescent="0.35">
      <c r="A3227" s="5">
        <v>3223</v>
      </c>
      <c r="B3227" s="5">
        <v>135</v>
      </c>
      <c r="C3227" s="5">
        <v>5</v>
      </c>
      <c r="D3227" s="25">
        <v>1.1416E-4</v>
      </c>
      <c r="E3227" s="25">
        <v>1.0699E-4</v>
      </c>
      <c r="F3227" s="25">
        <v>1.2606E-4</v>
      </c>
      <c r="G3227" s="25">
        <v>1.0925E-4</v>
      </c>
      <c r="H3227" s="25">
        <v>1.3814E-4</v>
      </c>
      <c r="I3227" s="9">
        <v>9.1000000000000003E-5</v>
      </c>
      <c r="J3227" s="9">
        <v>9.276E-5</v>
      </c>
      <c r="K3227" s="9">
        <v>1.1445E-4</v>
      </c>
      <c r="L3227" s="9">
        <v>3.9929999999999999E-5</v>
      </c>
      <c r="M3227" s="9">
        <v>5.9799999999999997E-5</v>
      </c>
      <c r="N3227" s="9">
        <v>8.0550000000000006E-5</v>
      </c>
      <c r="O3227" s="9">
        <v>1.2223E-4</v>
      </c>
      <c r="P3227" s="9">
        <v>1.1767E-4</v>
      </c>
      <c r="Q3227" s="9">
        <v>1.1272E-4</v>
      </c>
      <c r="R3227" s="10">
        <v>1.0581956136017555E-4</v>
      </c>
      <c r="S3227" s="10">
        <v>5.6873034804447792E-5</v>
      </c>
      <c r="T3227" s="10">
        <v>1.6729341458611015E-4</v>
      </c>
      <c r="U3227" s="10">
        <v>9.4069999999999999E-5</v>
      </c>
      <c r="V3227" s="25"/>
      <c r="W3227" s="25"/>
      <c r="X3227" s="25"/>
      <c r="Y3227" s="25"/>
      <c r="Z3227" s="25"/>
      <c r="AA3227" s="25"/>
    </row>
    <row r="3228" spans="1:27" x14ac:dyDescent="0.35">
      <c r="A3228" s="5">
        <v>3224</v>
      </c>
      <c r="B3228" s="5">
        <v>135</v>
      </c>
      <c r="C3228" s="5">
        <v>5</v>
      </c>
      <c r="D3228" s="25">
        <v>1.1415000000000001E-4</v>
      </c>
      <c r="E3228" s="25">
        <v>1.1491E-4</v>
      </c>
      <c r="F3228" s="25">
        <v>1.4109999999999999E-4</v>
      </c>
      <c r="G3228" s="25">
        <v>1.5925999999999999E-4</v>
      </c>
      <c r="H3228" s="25">
        <v>1.9102E-4</v>
      </c>
      <c r="I3228" s="9">
        <v>9.5390000000000007E-5</v>
      </c>
      <c r="J3228" s="9">
        <v>9.9740000000000004E-5</v>
      </c>
      <c r="K3228" s="9">
        <v>1.102E-4</v>
      </c>
      <c r="L3228" s="9">
        <v>1.0352E-4</v>
      </c>
      <c r="M3228" s="9">
        <v>8.3590000000000004E-5</v>
      </c>
      <c r="N3228" s="9">
        <v>9.0690000000000001E-5</v>
      </c>
      <c r="O3228" s="9">
        <v>2.1717000000000001E-4</v>
      </c>
      <c r="P3228" s="9">
        <v>1.775E-4</v>
      </c>
      <c r="Q3228" s="9">
        <v>1.3711999999999999E-4</v>
      </c>
      <c r="R3228" s="10">
        <v>8.118310329035374E-5</v>
      </c>
      <c r="S3228" s="10">
        <v>4.7562807597083537E-5</v>
      </c>
      <c r="T3228" s="10">
        <v>3.6076937696676015E-4</v>
      </c>
      <c r="U3228" s="10">
        <v>9.4069999999999999E-5</v>
      </c>
      <c r="V3228" s="25"/>
      <c r="W3228" s="25"/>
      <c r="X3228" s="25"/>
      <c r="Y3228" s="25"/>
      <c r="Z3228" s="25"/>
      <c r="AA3228" s="25"/>
    </row>
    <row r="3229" spans="1:27" x14ac:dyDescent="0.35">
      <c r="A3229" s="5">
        <v>3225</v>
      </c>
      <c r="B3229" s="5">
        <v>135</v>
      </c>
      <c r="C3229" s="5">
        <v>5</v>
      </c>
      <c r="D3229" s="25">
        <v>1.1416E-4</v>
      </c>
      <c r="E3229" s="25">
        <v>1.1671999999999999E-4</v>
      </c>
      <c r="F3229" s="25">
        <v>1.3118E-4</v>
      </c>
      <c r="G3229" s="25">
        <v>1.6283000000000001E-4</v>
      </c>
      <c r="H3229" s="25">
        <v>2.0267000000000001E-4</v>
      </c>
      <c r="I3229" s="9">
        <v>9.9010000000000002E-5</v>
      </c>
      <c r="J3229" s="9">
        <v>1.0607000000000001E-4</v>
      </c>
      <c r="K3229" s="9">
        <v>1.0597E-4</v>
      </c>
      <c r="L3229" s="9">
        <v>1.9043E-4</v>
      </c>
      <c r="M3229" s="9">
        <v>1.2355999999999999E-4</v>
      </c>
      <c r="N3229" s="9">
        <v>1.0454E-4</v>
      </c>
      <c r="O3229" s="9">
        <v>2.0918E-4</v>
      </c>
      <c r="P3229" s="9">
        <v>1.9388000000000001E-4</v>
      </c>
      <c r="Q3229" s="9">
        <v>1.7756E-4</v>
      </c>
      <c r="R3229" s="10">
        <v>5.599082382419997E-5</v>
      </c>
      <c r="S3229" s="10">
        <v>3.9179457515501503E-5</v>
      </c>
      <c r="T3229" s="10">
        <v>4.186747200314828E-4</v>
      </c>
      <c r="U3229" s="10">
        <v>9.4069999999999999E-5</v>
      </c>
      <c r="V3229" s="25"/>
      <c r="W3229" s="25"/>
      <c r="X3229" s="25"/>
      <c r="Y3229" s="25"/>
      <c r="Z3229" s="25"/>
      <c r="AA3229" s="25"/>
    </row>
    <row r="3230" spans="1:27" x14ac:dyDescent="0.35">
      <c r="A3230" s="5">
        <v>3226</v>
      </c>
      <c r="B3230" s="5">
        <v>135</v>
      </c>
      <c r="C3230" s="5">
        <v>5</v>
      </c>
      <c r="D3230" s="25">
        <v>1.1415000000000001E-4</v>
      </c>
      <c r="E3230" s="25">
        <v>1.1075E-4</v>
      </c>
      <c r="F3230" s="25">
        <v>1.3323999999999999E-4</v>
      </c>
      <c r="G3230" s="25">
        <v>1.6694E-4</v>
      </c>
      <c r="H3230" s="25">
        <v>1.9877E-4</v>
      </c>
      <c r="I3230" s="9">
        <v>9.9699999999999998E-5</v>
      </c>
      <c r="J3230" s="9">
        <v>1.0857E-4</v>
      </c>
      <c r="K3230" s="9">
        <v>8.2659999999999998E-5</v>
      </c>
      <c r="L3230" s="9">
        <v>2.0277000000000001E-4</v>
      </c>
      <c r="M3230" s="9">
        <v>1.5901000000000001E-4</v>
      </c>
      <c r="N3230" s="9">
        <v>1.2472000000000001E-4</v>
      </c>
      <c r="O3230" s="9">
        <v>1.6412999999999999E-4</v>
      </c>
      <c r="P3230" s="9">
        <v>1.7309000000000001E-4</v>
      </c>
      <c r="Q3230" s="9">
        <v>1.8103999999999999E-4</v>
      </c>
      <c r="R3230" s="10">
        <v>3.9707121196230838E-5</v>
      </c>
      <c r="S3230" s="10">
        <v>2.8229658105674038E-5</v>
      </c>
      <c r="T3230" s="10">
        <v>3.714765627466399E-4</v>
      </c>
      <c r="U3230" s="10">
        <v>9.4069999999999999E-5</v>
      </c>
      <c r="V3230" s="25"/>
      <c r="W3230" s="25"/>
      <c r="X3230" s="25"/>
      <c r="Y3230" s="25"/>
      <c r="Z3230" s="25"/>
      <c r="AA3230" s="25"/>
    </row>
    <row r="3231" spans="1:27" x14ac:dyDescent="0.35">
      <c r="A3231" s="5">
        <v>3227</v>
      </c>
      <c r="B3231" s="5">
        <v>135</v>
      </c>
      <c r="C3231" s="5">
        <v>5</v>
      </c>
      <c r="D3231" s="25">
        <v>1.1416E-4</v>
      </c>
      <c r="E3231" s="25">
        <v>1.1150999999999999E-4</v>
      </c>
      <c r="F3231" s="25">
        <v>1.3407E-4</v>
      </c>
      <c r="G3231" s="25">
        <v>1.5613000000000001E-4</v>
      </c>
      <c r="H3231" s="25">
        <v>1.9100000000000001E-4</v>
      </c>
      <c r="I3231" s="9">
        <v>9.9339999999999994E-5</v>
      </c>
      <c r="J3231" s="9">
        <v>1.0864E-4</v>
      </c>
      <c r="K3231" s="9">
        <v>2.968E-5</v>
      </c>
      <c r="L3231" s="9">
        <v>1.727E-4</v>
      </c>
      <c r="M3231" s="9">
        <v>1.7228999999999999E-4</v>
      </c>
      <c r="N3231" s="9">
        <v>1.426E-4</v>
      </c>
      <c r="O3231" s="9">
        <v>1.6485E-4</v>
      </c>
      <c r="P3231" s="9">
        <v>1.7249999999999999E-4</v>
      </c>
      <c r="Q3231" s="9">
        <v>1.7917000000000001E-4</v>
      </c>
      <c r="R3231" s="10">
        <v>3.8963585419371704E-5</v>
      </c>
      <c r="S3231" s="10">
        <v>1.9923154080793309E-5</v>
      </c>
      <c r="T3231" s="10">
        <v>5.440217586304884E-4</v>
      </c>
      <c r="U3231" s="10">
        <v>9.4069999999999999E-5</v>
      </c>
      <c r="V3231" s="25"/>
      <c r="W3231" s="25"/>
      <c r="X3231" s="25"/>
      <c r="Y3231" s="25"/>
      <c r="Z3231" s="25"/>
      <c r="AA3231" s="25"/>
    </row>
    <row r="3232" spans="1:27" x14ac:dyDescent="0.35">
      <c r="A3232" s="5">
        <v>3228</v>
      </c>
      <c r="B3232" s="5">
        <v>135</v>
      </c>
      <c r="C3232" s="5">
        <v>5</v>
      </c>
      <c r="D3232" s="25">
        <v>1.1415000000000001E-4</v>
      </c>
      <c r="E3232" s="25">
        <v>1.1527E-4</v>
      </c>
      <c r="F3232" s="25">
        <v>1.4249999999999999E-4</v>
      </c>
      <c r="G3232" s="25">
        <v>1.6679999999999999E-4</v>
      </c>
      <c r="H3232" s="25">
        <v>1.9621999999999999E-4</v>
      </c>
      <c r="I3232" s="9">
        <v>9.6959999999999993E-5</v>
      </c>
      <c r="J3232" s="9">
        <v>1.0721E-4</v>
      </c>
      <c r="K3232" s="9">
        <v>2.7549999999999999E-5</v>
      </c>
      <c r="L3232" s="9">
        <v>1.6801000000000001E-4</v>
      </c>
      <c r="M3232" s="9">
        <v>1.7454999999999999E-4</v>
      </c>
      <c r="N3232" s="9">
        <v>1.5663E-4</v>
      </c>
      <c r="O3232" s="9">
        <v>1.6916000000000001E-4</v>
      </c>
      <c r="P3232" s="9">
        <v>1.728E-4</v>
      </c>
      <c r="Q3232" s="9">
        <v>1.7550000000000001E-4</v>
      </c>
      <c r="R3232" s="10">
        <v>3.1650504317854056E-5</v>
      </c>
      <c r="S3232" s="10">
        <v>1.7420875674616378E-5</v>
      </c>
      <c r="T3232" s="10">
        <v>7.2173389281857342E-4</v>
      </c>
      <c r="U3232" s="10">
        <v>9.4069999999999999E-5</v>
      </c>
      <c r="V3232" s="25"/>
      <c r="W3232" s="25"/>
      <c r="X3232" s="25"/>
      <c r="Y3232" s="25"/>
      <c r="Z3232" s="25"/>
      <c r="AA3232" s="25"/>
    </row>
    <row r="3233" spans="1:27" x14ac:dyDescent="0.35">
      <c r="A3233" s="5">
        <v>3229</v>
      </c>
      <c r="B3233" s="5">
        <v>135</v>
      </c>
      <c r="C3233" s="5">
        <v>5</v>
      </c>
      <c r="D3233" s="25">
        <v>1.1416E-4</v>
      </c>
      <c r="E3233" s="25">
        <v>1.077E-4</v>
      </c>
      <c r="F3233" s="25">
        <v>1.2506E-4</v>
      </c>
      <c r="G3233" s="25">
        <v>1.6521999999999999E-4</v>
      </c>
      <c r="H3233" s="25">
        <v>1.9829E-4</v>
      </c>
      <c r="I3233" s="9">
        <v>9.1730000000000004E-5</v>
      </c>
      <c r="J3233" s="9">
        <v>1.0543999999999999E-4</v>
      </c>
      <c r="K3233" s="9">
        <v>1.272E-5</v>
      </c>
      <c r="L3233" s="9">
        <v>1.6906000000000001E-4</v>
      </c>
      <c r="M3233" s="9">
        <v>1.7403000000000001E-4</v>
      </c>
      <c r="N3233" s="9">
        <v>1.6639000000000001E-4</v>
      </c>
      <c r="O3233" s="9">
        <v>1.5883E-4</v>
      </c>
      <c r="P3233" s="9">
        <v>1.6309000000000001E-4</v>
      </c>
      <c r="Q3233" s="9">
        <v>1.6647E-4</v>
      </c>
      <c r="R3233" s="10">
        <v>2.7089874270336838E-5</v>
      </c>
      <c r="S3233" s="10">
        <v>1.6949476990239187E-5</v>
      </c>
      <c r="T3233" s="10">
        <v>6.5120391232083871E-4</v>
      </c>
      <c r="U3233" s="10">
        <v>9.4069999999999999E-5</v>
      </c>
      <c r="V3233" s="25"/>
      <c r="W3233" s="25"/>
      <c r="X3233" s="25"/>
      <c r="Y3233" s="25"/>
      <c r="Z3233" s="25"/>
      <c r="AA3233" s="25"/>
    </row>
    <row r="3234" spans="1:27" x14ac:dyDescent="0.35">
      <c r="A3234" s="5">
        <v>3230</v>
      </c>
      <c r="B3234" s="5">
        <v>135</v>
      </c>
      <c r="C3234" s="5">
        <v>5</v>
      </c>
      <c r="D3234" s="25">
        <v>1.1415000000000001E-4</v>
      </c>
      <c r="E3234" s="25">
        <v>1.0967999999999999E-4</v>
      </c>
      <c r="F3234" s="25">
        <v>1.3897000000000001E-4</v>
      </c>
      <c r="G3234" s="25">
        <v>1.6124999999999999E-4</v>
      </c>
      <c r="H3234" s="25">
        <v>1.9792E-4</v>
      </c>
      <c r="I3234" s="9">
        <v>8.9069999999999999E-5</v>
      </c>
      <c r="J3234" s="9">
        <v>1.0391999999999999E-4</v>
      </c>
      <c r="K3234" s="9">
        <v>0</v>
      </c>
      <c r="L3234" s="9">
        <v>1.6079000000000001E-4</v>
      </c>
      <c r="M3234" s="9">
        <v>1.6995000000000001E-4</v>
      </c>
      <c r="N3234" s="9">
        <v>1.7047000000000001E-4</v>
      </c>
      <c r="O3234" s="9">
        <v>1.7735E-4</v>
      </c>
      <c r="P3234" s="9">
        <v>1.7012E-4</v>
      </c>
      <c r="Q3234" s="9">
        <v>1.6202999999999999E-4</v>
      </c>
      <c r="R3234" s="10">
        <v>1.9078412195652376E-5</v>
      </c>
      <c r="S3234" s="10">
        <v>2.0640777573294783E-5</v>
      </c>
      <c r="T3234" s="10">
        <v>5.7823045361026296E-4</v>
      </c>
      <c r="U3234" s="10">
        <v>9.4069999999999999E-5</v>
      </c>
      <c r="V3234" s="25"/>
      <c r="W3234" s="25"/>
      <c r="X3234" s="25"/>
      <c r="Y3234" s="25"/>
      <c r="Z3234" s="25"/>
      <c r="AA3234" s="25"/>
    </row>
    <row r="3235" spans="1:27" x14ac:dyDescent="0.35">
      <c r="A3235" s="5">
        <v>3231</v>
      </c>
      <c r="B3235" s="5">
        <v>135</v>
      </c>
      <c r="C3235" s="5">
        <v>5</v>
      </c>
      <c r="D3235" s="25">
        <v>1.1416E-4</v>
      </c>
      <c r="E3235" s="25">
        <v>1.1278E-4</v>
      </c>
      <c r="F3235" s="25">
        <v>1.4061999999999999E-4</v>
      </c>
      <c r="G3235" s="25">
        <v>1.6485999999999999E-4</v>
      </c>
      <c r="H3235" s="25">
        <v>1.9225000000000001E-4</v>
      </c>
      <c r="I3235" s="9">
        <v>8.878E-5</v>
      </c>
      <c r="J3235" s="9">
        <v>1.0245E-4</v>
      </c>
      <c r="K3235" s="9">
        <v>0</v>
      </c>
      <c r="L3235" s="9">
        <v>1.7390999999999999E-4</v>
      </c>
      <c r="M3235" s="9">
        <v>1.6882E-4</v>
      </c>
      <c r="N3235" s="9">
        <v>1.7023E-4</v>
      </c>
      <c r="O3235" s="9">
        <v>1.8200000000000001E-4</v>
      </c>
      <c r="P3235" s="9">
        <v>1.6803E-4</v>
      </c>
      <c r="Q3235" s="9">
        <v>1.5326000000000001E-4</v>
      </c>
      <c r="R3235" s="10">
        <v>1.7152317068601542E-5</v>
      </c>
      <c r="S3235" s="10">
        <v>2.1415384639744515E-5</v>
      </c>
      <c r="T3235" s="10">
        <v>6.5486064534075019E-4</v>
      </c>
      <c r="U3235" s="10">
        <v>9.4069999999999999E-5</v>
      </c>
      <c r="V3235" s="25"/>
      <c r="W3235" s="25"/>
      <c r="X3235" s="25"/>
      <c r="Y3235" s="25"/>
      <c r="Z3235" s="25"/>
      <c r="AA3235" s="25"/>
    </row>
    <row r="3236" spans="1:27" x14ac:dyDescent="0.35">
      <c r="A3236" s="5">
        <v>3232</v>
      </c>
      <c r="B3236" s="5">
        <v>135</v>
      </c>
      <c r="C3236" s="5">
        <v>5</v>
      </c>
      <c r="D3236" s="25">
        <v>1.1415000000000001E-4</v>
      </c>
      <c r="E3236" s="25">
        <v>1.1539E-4</v>
      </c>
      <c r="F3236" s="25">
        <v>1.3454999999999999E-4</v>
      </c>
      <c r="G3236" s="25">
        <v>1.6461000000000001E-4</v>
      </c>
      <c r="H3236" s="25">
        <v>1.9574999999999999E-4</v>
      </c>
      <c r="I3236" s="9">
        <v>8.9560000000000003E-5</v>
      </c>
      <c r="J3236" s="9">
        <v>1.0357999999999999E-4</v>
      </c>
      <c r="K3236" s="9">
        <v>2.332E-5</v>
      </c>
      <c r="L3236" s="9">
        <v>1.7987999999999999E-4</v>
      </c>
      <c r="M3236" s="9">
        <v>1.6834E-4</v>
      </c>
      <c r="N3236" s="9">
        <v>1.6651E-4</v>
      </c>
      <c r="O3236" s="9">
        <v>1.9331E-4</v>
      </c>
      <c r="P3236" s="9">
        <v>1.5138E-4</v>
      </c>
      <c r="Q3236" s="9">
        <v>1.0899E-4</v>
      </c>
      <c r="R3236" s="10">
        <v>2.1074005195007729E-5</v>
      </c>
      <c r="S3236" s="10">
        <v>1.8858668862076017E-5</v>
      </c>
      <c r="T3236" s="10">
        <v>5.0832831126443876E-4</v>
      </c>
      <c r="U3236" s="10">
        <v>9.4069999999999999E-5</v>
      </c>
      <c r="V3236" s="25"/>
      <c r="W3236" s="25"/>
      <c r="X3236" s="25"/>
      <c r="Y3236" s="25"/>
      <c r="Z3236" s="25"/>
      <c r="AA3236" s="25"/>
    </row>
    <row r="3237" spans="1:27" x14ac:dyDescent="0.35">
      <c r="A3237" s="5">
        <v>3233</v>
      </c>
      <c r="B3237" s="5">
        <v>135</v>
      </c>
      <c r="C3237" s="5">
        <v>5</v>
      </c>
      <c r="D3237" s="25">
        <v>1.1416E-4</v>
      </c>
      <c r="E3237" s="25">
        <v>1.1386E-4</v>
      </c>
      <c r="F3237" s="25">
        <v>1.2189E-4</v>
      </c>
      <c r="G3237" s="25">
        <v>1.5962999999999999E-4</v>
      </c>
      <c r="H3237" s="25">
        <v>1.9896000000000001E-4</v>
      </c>
      <c r="I3237" s="9">
        <v>9.3679999999999998E-5</v>
      </c>
      <c r="J3237" s="9">
        <v>1.0676E-4</v>
      </c>
      <c r="K3237" s="9">
        <v>1.272E-5</v>
      </c>
      <c r="L3237" s="9">
        <v>1.9012E-4</v>
      </c>
      <c r="M3237" s="9">
        <v>1.6222E-4</v>
      </c>
      <c r="N3237" s="9">
        <v>1.526E-4</v>
      </c>
      <c r="O3237" s="9">
        <v>2.1180999999999999E-4</v>
      </c>
      <c r="P3237" s="9">
        <v>1.5993E-4</v>
      </c>
      <c r="Q3237" s="9">
        <v>1.0757E-4</v>
      </c>
      <c r="R3237" s="10">
        <v>2.5031910645549427E-5</v>
      </c>
      <c r="S3237" s="10">
        <v>1.6088187555768621E-5</v>
      </c>
      <c r="T3237" s="10">
        <v>3.2541530157471622E-4</v>
      </c>
      <c r="U3237" s="10">
        <v>9.4069999999999999E-5</v>
      </c>
      <c r="V3237" s="25"/>
      <c r="W3237" s="25"/>
      <c r="X3237" s="25"/>
      <c r="Y3237" s="25"/>
      <c r="Z3237" s="25"/>
      <c r="AA3237" s="25"/>
    </row>
    <row r="3238" spans="1:27" x14ac:dyDescent="0.35">
      <c r="A3238" s="5">
        <v>3234</v>
      </c>
      <c r="B3238" s="5">
        <v>135</v>
      </c>
      <c r="C3238" s="5">
        <v>5</v>
      </c>
      <c r="D3238" s="25">
        <v>1.1415000000000001E-4</v>
      </c>
      <c r="E3238" s="25">
        <v>1.07E-4</v>
      </c>
      <c r="F3238" s="25">
        <v>1.3860000000000001E-4</v>
      </c>
      <c r="G3238" s="25">
        <v>1.6218999999999999E-4</v>
      </c>
      <c r="H3238" s="25">
        <v>2.0154E-4</v>
      </c>
      <c r="I3238" s="9">
        <v>9.8209999999999997E-5</v>
      </c>
      <c r="J3238" s="9">
        <v>1.0736E-4</v>
      </c>
      <c r="K3238" s="9">
        <v>2.7549999999999999E-5</v>
      </c>
      <c r="L3238" s="9">
        <v>2.0685000000000001E-4</v>
      </c>
      <c r="M3238" s="9">
        <v>1.5967999999999999E-4</v>
      </c>
      <c r="N3238" s="9">
        <v>1.3929E-4</v>
      </c>
      <c r="O3238" s="9">
        <v>2.0207999999999999E-4</v>
      </c>
      <c r="P3238" s="9">
        <v>1.6001000000000001E-4</v>
      </c>
      <c r="Q3238" s="9">
        <v>1.1739999999999999E-4</v>
      </c>
      <c r="R3238" s="10">
        <v>3.3664970412555625E-5</v>
      </c>
      <c r="S3238" s="10">
        <v>8.2194709209863006E-6</v>
      </c>
      <c r="T3238" s="10">
        <v>1.3195630779276656E-4</v>
      </c>
      <c r="U3238" s="10">
        <v>9.4069999999999999E-5</v>
      </c>
      <c r="V3238" s="25"/>
      <c r="W3238" s="25"/>
      <c r="X3238" s="25"/>
      <c r="Y3238" s="25"/>
      <c r="Z3238" s="25"/>
      <c r="AA3238" s="25"/>
    </row>
    <row r="3239" spans="1:27" x14ac:dyDescent="0.35">
      <c r="A3239" s="5">
        <v>3235</v>
      </c>
      <c r="B3239" s="5">
        <v>135</v>
      </c>
      <c r="C3239" s="5">
        <v>5</v>
      </c>
      <c r="D3239" s="25">
        <v>1.1416E-4</v>
      </c>
      <c r="E3239" s="25">
        <v>1.116E-4</v>
      </c>
      <c r="F3239" s="25">
        <v>1.3841999999999999E-4</v>
      </c>
      <c r="G3239" s="25">
        <v>1.1010000000000001E-4</v>
      </c>
      <c r="H3239" s="25">
        <v>1.3048000000000001E-4</v>
      </c>
      <c r="I3239" s="9">
        <v>9.98E-5</v>
      </c>
      <c r="J3239" s="9">
        <v>1.0632E-4</v>
      </c>
      <c r="K3239" s="9">
        <v>5.5099999999999998E-5</v>
      </c>
      <c r="L3239" s="9">
        <v>2.0269999999999999E-4</v>
      </c>
      <c r="M3239" s="9">
        <v>1.5932000000000001E-4</v>
      </c>
      <c r="N3239" s="9">
        <v>1.3014E-4</v>
      </c>
      <c r="O3239" s="9">
        <v>1.629E-4</v>
      </c>
      <c r="P3239" s="9">
        <v>1.3537999999999999E-4</v>
      </c>
      <c r="Q3239" s="9">
        <v>1.0746E-4</v>
      </c>
      <c r="R3239" s="10">
        <v>3.1396690502338984E-5</v>
      </c>
      <c r="S3239" s="10">
        <v>7.5629398142698544E-6</v>
      </c>
      <c r="T3239" s="10">
        <v>3.2002777148737571E-5</v>
      </c>
      <c r="U3239" s="10">
        <v>9.4069999999999999E-5</v>
      </c>
      <c r="V3239" s="25"/>
      <c r="W3239" s="25"/>
      <c r="X3239" s="25"/>
      <c r="Y3239" s="25"/>
      <c r="Z3239" s="25"/>
      <c r="AA3239" s="25"/>
    </row>
    <row r="3240" spans="1:27" x14ac:dyDescent="0.35">
      <c r="A3240" s="5">
        <v>3236</v>
      </c>
      <c r="B3240" s="5">
        <v>135</v>
      </c>
      <c r="C3240" s="5">
        <v>5</v>
      </c>
      <c r="D3240" s="25">
        <v>1.1415000000000001E-4</v>
      </c>
      <c r="E3240" s="25">
        <v>1.091E-4</v>
      </c>
      <c r="F3240" s="25">
        <v>1.2114E-4</v>
      </c>
      <c r="G3240" s="25">
        <v>1.1489000000000001E-4</v>
      </c>
      <c r="H3240" s="25">
        <v>1.3317E-4</v>
      </c>
      <c r="I3240" s="9">
        <v>1.0007E-4</v>
      </c>
      <c r="J3240" s="9">
        <v>1.0466E-4</v>
      </c>
      <c r="K3240" s="9">
        <v>1.0808E-4</v>
      </c>
      <c r="L3240" s="9">
        <v>1.7183000000000001E-4</v>
      </c>
      <c r="M3240" s="9">
        <v>1.5077999999999999E-4</v>
      </c>
      <c r="N3240" s="9">
        <v>1.2103E-4</v>
      </c>
      <c r="O3240" s="9">
        <v>1.2627999999999999E-4</v>
      </c>
      <c r="P3240" s="9">
        <v>1.1375E-4</v>
      </c>
      <c r="Q3240" s="9">
        <v>1.0090999999999999E-4</v>
      </c>
      <c r="R3240" s="10">
        <v>2.621804008116713E-5</v>
      </c>
      <c r="S3240" s="10">
        <v>1.6311777577122323E-5</v>
      </c>
      <c r="T3240" s="10">
        <v>0</v>
      </c>
      <c r="U3240" s="10">
        <v>9.4069999999999999E-5</v>
      </c>
      <c r="V3240" s="25"/>
      <c r="W3240" s="25"/>
      <c r="X3240" s="25"/>
      <c r="Y3240" s="25"/>
      <c r="Z3240" s="25"/>
      <c r="AA3240" s="25"/>
    </row>
    <row r="3241" spans="1:27" x14ac:dyDescent="0.35">
      <c r="A3241" s="5">
        <v>3237</v>
      </c>
      <c r="B3241" s="5">
        <v>135</v>
      </c>
      <c r="C3241" s="5">
        <v>5</v>
      </c>
      <c r="D3241" s="25">
        <v>1.1416E-4</v>
      </c>
      <c r="E3241" s="25">
        <v>1.1386E-4</v>
      </c>
      <c r="F3241" s="25">
        <v>1.2271999999999999E-4</v>
      </c>
      <c r="G3241" s="25">
        <v>5.5980000000000003E-5</v>
      </c>
      <c r="H3241" s="25">
        <v>6.6180000000000007E-5</v>
      </c>
      <c r="I3241" s="9">
        <v>1.0005000000000001E-4</v>
      </c>
      <c r="J3241" s="9">
        <v>1.0369000000000001E-4</v>
      </c>
      <c r="K3241" s="9">
        <v>1.2716E-4</v>
      </c>
      <c r="L3241" s="9">
        <v>1.3726999999999999E-4</v>
      </c>
      <c r="M3241" s="9">
        <v>1.3505E-4</v>
      </c>
      <c r="N3241" s="9">
        <v>1.1307999999999999E-4</v>
      </c>
      <c r="O3241" s="9">
        <v>8.3529999999999995E-5</v>
      </c>
      <c r="P3241" s="9">
        <v>8.5669999999999998E-5</v>
      </c>
      <c r="Q3241" s="9">
        <v>8.7650000000000003E-5</v>
      </c>
      <c r="R3241" s="10">
        <v>2.6886088942364656E-5</v>
      </c>
      <c r="S3241" s="10">
        <v>2.4335946747732501E-5</v>
      </c>
      <c r="T3241" s="10">
        <v>0</v>
      </c>
      <c r="U3241" s="10">
        <v>9.4069999999999999E-5</v>
      </c>
      <c r="V3241" s="25"/>
      <c r="W3241" s="25"/>
      <c r="X3241" s="25"/>
      <c r="Y3241" s="25"/>
      <c r="Z3241" s="25"/>
      <c r="AA3241" s="25"/>
    </row>
    <row r="3242" spans="1:27" x14ac:dyDescent="0.35">
      <c r="A3242" s="5">
        <v>3238</v>
      </c>
      <c r="B3242" s="5">
        <v>135</v>
      </c>
      <c r="C3242" s="5">
        <v>5</v>
      </c>
      <c r="D3242" s="25">
        <v>1.1415000000000001E-4</v>
      </c>
      <c r="E3242" s="25">
        <v>1.1157E-4</v>
      </c>
      <c r="F3242" s="25">
        <v>1.2653999999999999E-4</v>
      </c>
      <c r="G3242" s="25">
        <v>5.808E-5</v>
      </c>
      <c r="H3242" s="25">
        <v>6.8720000000000006E-5</v>
      </c>
      <c r="I3242" s="9">
        <v>1.0297E-4</v>
      </c>
      <c r="J3242" s="9">
        <v>1.0381E-4</v>
      </c>
      <c r="K3242" s="9">
        <v>1.4836E-4</v>
      </c>
      <c r="L3242" s="9">
        <v>9.6280000000000007E-5</v>
      </c>
      <c r="M3242" s="9">
        <v>1.1321E-4</v>
      </c>
      <c r="N3242" s="9">
        <v>1.0534E-4</v>
      </c>
      <c r="O3242" s="9">
        <v>8.6790000000000001E-5</v>
      </c>
      <c r="P3242" s="9">
        <v>8.7590000000000007E-5</v>
      </c>
      <c r="Q3242" s="9">
        <v>8.8239999999999995E-5</v>
      </c>
      <c r="R3242" s="10">
        <v>3.1874056817394912E-5</v>
      </c>
      <c r="S3242" s="10">
        <v>3.2042365162820096E-5</v>
      </c>
      <c r="T3242" s="10">
        <v>0</v>
      </c>
      <c r="U3242" s="10">
        <v>9.4069999999999999E-5</v>
      </c>
      <c r="V3242" s="25"/>
      <c r="W3242" s="25"/>
      <c r="X3242" s="25"/>
      <c r="Y3242" s="25"/>
      <c r="Z3242" s="25"/>
      <c r="AA3242" s="25"/>
    </row>
    <row r="3243" spans="1:27" x14ac:dyDescent="0.35">
      <c r="A3243" s="5">
        <v>3239</v>
      </c>
      <c r="B3243" s="5">
        <v>135</v>
      </c>
      <c r="C3243" s="5">
        <v>5</v>
      </c>
      <c r="D3243" s="25">
        <v>1.1416E-4</v>
      </c>
      <c r="E3243" s="25">
        <v>1.0802E-4</v>
      </c>
      <c r="F3243" s="25">
        <v>1.4011000000000001E-4</v>
      </c>
      <c r="G3243" s="25">
        <v>5.304E-5</v>
      </c>
      <c r="H3243" s="25">
        <v>6.402E-5</v>
      </c>
      <c r="I3243" s="9">
        <v>1.015E-4</v>
      </c>
      <c r="J3243" s="9">
        <v>9.9270000000000003E-5</v>
      </c>
      <c r="K3243" s="9">
        <v>1.7165999999999999E-4</v>
      </c>
      <c r="L3243" s="9">
        <v>8.9790000000000006E-5</v>
      </c>
      <c r="M3243" s="9">
        <v>9.8649999999999999E-5</v>
      </c>
      <c r="N3243" s="9">
        <v>9.9530000000000004E-5</v>
      </c>
      <c r="O3243" s="9">
        <v>7.763E-5</v>
      </c>
      <c r="P3243" s="9">
        <v>7.2340000000000002E-5</v>
      </c>
      <c r="Q3243" s="9">
        <v>6.7080000000000001E-5</v>
      </c>
      <c r="R3243" s="10">
        <v>3.6017435831670217E-5</v>
      </c>
      <c r="S3243" s="10">
        <v>5.0785820619087822E-5</v>
      </c>
      <c r="T3243" s="10">
        <v>0</v>
      </c>
      <c r="U3243" s="10">
        <v>9.4069999999999999E-5</v>
      </c>
      <c r="V3243" s="25"/>
      <c r="W3243" s="25"/>
      <c r="X3243" s="25"/>
      <c r="Y3243" s="25"/>
      <c r="Z3243" s="25"/>
      <c r="AA3243" s="25"/>
    </row>
    <row r="3244" spans="1:27" x14ac:dyDescent="0.35">
      <c r="A3244" s="5">
        <v>3240</v>
      </c>
      <c r="B3244" s="5">
        <v>135</v>
      </c>
      <c r="C3244" s="5">
        <v>5</v>
      </c>
      <c r="D3244" s="25">
        <v>1.1415000000000001E-4</v>
      </c>
      <c r="E3244" s="25">
        <v>1.1537E-4</v>
      </c>
      <c r="F3244" s="25">
        <v>1.4046999999999999E-4</v>
      </c>
      <c r="G3244" s="25">
        <v>5.2549999999999997E-5</v>
      </c>
      <c r="H3244" s="25">
        <v>6.9549999999999996E-5</v>
      </c>
      <c r="I3244" s="9">
        <v>9.5790000000000003E-5</v>
      </c>
      <c r="J3244" s="9">
        <v>9.4250000000000001E-5</v>
      </c>
      <c r="K3244" s="9">
        <v>1.9709E-4</v>
      </c>
      <c r="L3244" s="9">
        <v>8.0270000000000002E-5</v>
      </c>
      <c r="M3244" s="9">
        <v>8.5989999999999995E-5</v>
      </c>
      <c r="N3244" s="9">
        <v>9.0340000000000006E-5</v>
      </c>
      <c r="O3244" s="9">
        <v>6.2139999999999998E-5</v>
      </c>
      <c r="P3244" s="9">
        <v>6.0229999999999998E-5</v>
      </c>
      <c r="Q3244" s="9">
        <v>5.8430000000000001E-5</v>
      </c>
      <c r="R3244" s="10">
        <v>4.0451808286477567E-5</v>
      </c>
      <c r="S3244" s="10">
        <v>8.3489904991809248E-5</v>
      </c>
      <c r="T3244" s="10">
        <v>0</v>
      </c>
      <c r="U3244" s="10">
        <v>9.4069999999999999E-5</v>
      </c>
      <c r="V3244" s="25"/>
      <c r="W3244" s="25"/>
      <c r="X3244" s="25"/>
      <c r="Y3244" s="25"/>
      <c r="Z3244" s="25"/>
      <c r="AA3244" s="25"/>
    </row>
    <row r="3245" spans="1:27" x14ac:dyDescent="0.35">
      <c r="A3245" s="5">
        <v>3241</v>
      </c>
      <c r="B3245" s="5">
        <v>136</v>
      </c>
      <c r="C3245" s="5">
        <v>5</v>
      </c>
      <c r="D3245" s="25">
        <v>1.1416E-4</v>
      </c>
      <c r="E3245" s="25">
        <v>1.1331E-4</v>
      </c>
      <c r="F3245" s="25">
        <v>1.1718999999999999E-4</v>
      </c>
      <c r="G3245" s="25">
        <v>6.3570000000000003E-5</v>
      </c>
      <c r="H3245" s="25">
        <v>7.4259999999999997E-5</v>
      </c>
      <c r="I3245" s="9">
        <v>9.0970000000000005E-5</v>
      </c>
      <c r="J3245" s="9">
        <v>8.8499999999999996E-5</v>
      </c>
      <c r="K3245" s="9">
        <v>2.2253E-4</v>
      </c>
      <c r="L3245" s="9">
        <v>6.6119999999999997E-5</v>
      </c>
      <c r="M3245" s="9">
        <v>7.3819999999999995E-5</v>
      </c>
      <c r="N3245" s="9">
        <v>8.0879999999999998E-5</v>
      </c>
      <c r="O3245" s="9">
        <v>5.4379999999999998E-5</v>
      </c>
      <c r="P3245" s="9">
        <v>5.38E-5</v>
      </c>
      <c r="Q3245" s="9">
        <v>5.3380000000000001E-5</v>
      </c>
      <c r="R3245" s="10">
        <v>3.8780193728997015E-5</v>
      </c>
      <c r="S3245" s="10">
        <v>1.0793991035089448E-4</v>
      </c>
      <c r="T3245" s="10">
        <v>0</v>
      </c>
      <c r="U3245" s="10">
        <v>9.3460000000000003E-5</v>
      </c>
      <c r="V3245" s="25"/>
      <c r="W3245" s="25"/>
      <c r="X3245" s="25"/>
      <c r="Y3245" s="25"/>
      <c r="Z3245" s="25"/>
      <c r="AA3245" s="25"/>
    </row>
    <row r="3246" spans="1:27" x14ac:dyDescent="0.35">
      <c r="A3246" s="5">
        <v>3242</v>
      </c>
      <c r="B3246" s="5">
        <v>136</v>
      </c>
      <c r="C3246" s="5">
        <v>5</v>
      </c>
      <c r="D3246" s="25">
        <v>1.1415000000000001E-4</v>
      </c>
      <c r="E3246" s="25">
        <v>1.1432E-4</v>
      </c>
      <c r="F3246" s="25">
        <v>1.1772E-4</v>
      </c>
      <c r="G3246" s="25">
        <v>6.0149999999999998E-5</v>
      </c>
      <c r="H3246" s="25">
        <v>6.6429999999999999E-5</v>
      </c>
      <c r="I3246" s="9">
        <v>8.7540000000000006E-5</v>
      </c>
      <c r="J3246" s="9">
        <v>8.4839999999999994E-5</v>
      </c>
      <c r="K3246" s="9">
        <v>2.4795999999999998E-4</v>
      </c>
      <c r="L3246" s="9">
        <v>5.736E-5</v>
      </c>
      <c r="M3246" s="9">
        <v>6.3700000000000003E-5</v>
      </c>
      <c r="N3246" s="9">
        <v>7.1849999999999998E-5</v>
      </c>
      <c r="O3246" s="9">
        <v>1.9389999999999999E-5</v>
      </c>
      <c r="P3246" s="9">
        <v>3.752E-5</v>
      </c>
      <c r="Q3246" s="9">
        <v>5.5840000000000001E-5</v>
      </c>
      <c r="R3246" s="10">
        <v>3.5622906721242107E-5</v>
      </c>
      <c r="S3246" s="10">
        <v>1.3895901279102659E-4</v>
      </c>
      <c r="T3246" s="10">
        <v>0</v>
      </c>
      <c r="U3246" s="10">
        <v>9.3460000000000003E-5</v>
      </c>
      <c r="V3246" s="25"/>
      <c r="W3246" s="25"/>
      <c r="X3246" s="25"/>
      <c r="Y3246" s="25"/>
      <c r="Z3246" s="25"/>
      <c r="AA3246" s="25"/>
    </row>
    <row r="3247" spans="1:27" x14ac:dyDescent="0.35">
      <c r="A3247" s="5">
        <v>3243</v>
      </c>
      <c r="B3247" s="5">
        <v>136</v>
      </c>
      <c r="C3247" s="5">
        <v>5</v>
      </c>
      <c r="D3247" s="25">
        <v>1.1416E-4</v>
      </c>
      <c r="E3247" s="25">
        <v>1.0999E-4</v>
      </c>
      <c r="F3247" s="25">
        <v>1.1321E-4</v>
      </c>
      <c r="G3247" s="25">
        <v>5.855E-5</v>
      </c>
      <c r="H3247" s="25">
        <v>7.0129999999999994E-5</v>
      </c>
      <c r="I3247" s="9">
        <v>8.5379999999999999E-5</v>
      </c>
      <c r="J3247" s="9">
        <v>8.2890000000000001E-5</v>
      </c>
      <c r="K3247" s="9">
        <v>2.6279999999999999E-4</v>
      </c>
      <c r="L3247" s="9">
        <v>2.794E-5</v>
      </c>
      <c r="M3247" s="9">
        <v>5.198E-5</v>
      </c>
      <c r="N3247" s="9">
        <v>6.5279999999999998E-5</v>
      </c>
      <c r="O3247" s="9">
        <v>1.4250000000000001E-5</v>
      </c>
      <c r="P3247" s="9">
        <v>3.8109999999999999E-5</v>
      </c>
      <c r="Q3247" s="9">
        <v>6.211E-5</v>
      </c>
      <c r="R3247" s="10">
        <v>5.2874037588777227E-5</v>
      </c>
      <c r="S3247" s="10">
        <v>1.6258418413580975E-4</v>
      </c>
      <c r="T3247" s="10">
        <v>0</v>
      </c>
      <c r="U3247" s="10">
        <v>9.3460000000000003E-5</v>
      </c>
      <c r="V3247" s="25"/>
      <c r="W3247" s="25"/>
      <c r="X3247" s="25"/>
      <c r="Y3247" s="25"/>
      <c r="Z3247" s="25"/>
      <c r="AA3247" s="25"/>
    </row>
    <row r="3248" spans="1:27" x14ac:dyDescent="0.35">
      <c r="A3248" s="5">
        <v>3244</v>
      </c>
      <c r="B3248" s="5">
        <v>136</v>
      </c>
      <c r="C3248" s="5">
        <v>5</v>
      </c>
      <c r="D3248" s="25">
        <v>1.1415000000000001E-4</v>
      </c>
      <c r="E3248" s="25">
        <v>1.1527E-4</v>
      </c>
      <c r="F3248" s="25">
        <v>1.1241E-4</v>
      </c>
      <c r="G3248" s="25">
        <v>5.8799999999999999E-5</v>
      </c>
      <c r="H3248" s="25">
        <v>6.8330000000000005E-5</v>
      </c>
      <c r="I3248" s="9">
        <v>8.4300000000000003E-5</v>
      </c>
      <c r="J3248" s="9">
        <v>8.2429999999999995E-5</v>
      </c>
      <c r="K3248" s="9">
        <v>2.3101E-4</v>
      </c>
      <c r="L3248" s="9">
        <v>1.7989999999999999E-5</v>
      </c>
      <c r="M3248" s="9">
        <v>4.4190000000000002E-5</v>
      </c>
      <c r="N3248" s="9">
        <v>6.1859999999999994E-5</v>
      </c>
      <c r="O3248" s="9">
        <v>1.4039999999999999E-5</v>
      </c>
      <c r="P3248" s="9">
        <v>4.6910000000000003E-5</v>
      </c>
      <c r="Q3248" s="9">
        <v>7.9789999999999993E-5</v>
      </c>
      <c r="R3248" s="10">
        <v>8.388470625791314E-5</v>
      </c>
      <c r="S3248" s="10">
        <v>1.7781086428786958E-4</v>
      </c>
      <c r="T3248" s="10">
        <v>0</v>
      </c>
      <c r="U3248" s="10">
        <v>9.3460000000000003E-5</v>
      </c>
      <c r="V3248" s="25"/>
      <c r="W3248" s="25"/>
      <c r="X3248" s="25"/>
      <c r="Y3248" s="25"/>
      <c r="Z3248" s="25"/>
      <c r="AA3248" s="25"/>
    </row>
    <row r="3249" spans="1:27" x14ac:dyDescent="0.35">
      <c r="A3249" s="5">
        <v>3245</v>
      </c>
      <c r="B3249" s="5">
        <v>136</v>
      </c>
      <c r="C3249" s="5">
        <v>5</v>
      </c>
      <c r="D3249" s="25">
        <v>1.1416E-4</v>
      </c>
      <c r="E3249" s="25">
        <v>1.1068E-4</v>
      </c>
      <c r="F3249" s="25">
        <v>1.1623E-4</v>
      </c>
      <c r="G3249" s="25">
        <v>5.9379999999999997E-5</v>
      </c>
      <c r="H3249" s="25">
        <v>7.059E-5</v>
      </c>
      <c r="I3249" s="9">
        <v>8.4090000000000003E-5</v>
      </c>
      <c r="J3249" s="9">
        <v>8.1580000000000002E-5</v>
      </c>
      <c r="K3249" s="9">
        <v>1.8437999999999999E-4</v>
      </c>
      <c r="L3249" s="9">
        <v>1.5140000000000001E-5</v>
      </c>
      <c r="M3249" s="9">
        <v>4.3430000000000003E-5</v>
      </c>
      <c r="N3249" s="9">
        <v>6.4309999999999999E-5</v>
      </c>
      <c r="O3249" s="9">
        <v>1.9539999999999999E-5</v>
      </c>
      <c r="P3249" s="9">
        <v>5.6730000000000001E-5</v>
      </c>
      <c r="Q3249" s="9">
        <v>9.3800000000000003E-5</v>
      </c>
      <c r="R3249" s="10">
        <v>1.24229088737717E-4</v>
      </c>
      <c r="S3249" s="10">
        <v>1.8420102304808982E-4</v>
      </c>
      <c r="T3249" s="10">
        <v>0</v>
      </c>
      <c r="U3249" s="10">
        <v>9.3460000000000003E-5</v>
      </c>
      <c r="V3249" s="25"/>
      <c r="W3249" s="25"/>
      <c r="X3249" s="25"/>
      <c r="Y3249" s="25"/>
      <c r="Z3249" s="25"/>
      <c r="AA3249" s="25"/>
    </row>
    <row r="3250" spans="1:27" x14ac:dyDescent="0.35">
      <c r="A3250" s="5">
        <v>3246</v>
      </c>
      <c r="B3250" s="5">
        <v>136</v>
      </c>
      <c r="C3250" s="5">
        <v>5</v>
      </c>
      <c r="D3250" s="25">
        <v>1.1415000000000001E-4</v>
      </c>
      <c r="E3250" s="25">
        <v>1.1163E-4</v>
      </c>
      <c r="F3250" s="25">
        <v>1.0671999999999999E-4</v>
      </c>
      <c r="G3250" s="25">
        <v>1.1409E-4</v>
      </c>
      <c r="H3250" s="25">
        <v>1.3201E-4</v>
      </c>
      <c r="I3250" s="9">
        <v>8.4510000000000002E-5</v>
      </c>
      <c r="J3250" s="9">
        <v>8.0480000000000002E-5</v>
      </c>
      <c r="K3250" s="9">
        <v>1.6107E-4</v>
      </c>
      <c r="L3250" s="9">
        <v>1.8450000000000001E-5</v>
      </c>
      <c r="M3250" s="9">
        <v>4.8359999999999998E-5</v>
      </c>
      <c r="N3250" s="9">
        <v>7.093E-5</v>
      </c>
      <c r="O3250" s="9">
        <v>4.6789999999999998E-5</v>
      </c>
      <c r="P3250" s="9">
        <v>7.7429999999999996E-5</v>
      </c>
      <c r="Q3250" s="9">
        <v>1.0783E-4</v>
      </c>
      <c r="R3250" s="10">
        <v>1.5060343099561552E-4</v>
      </c>
      <c r="S3250" s="10">
        <v>1.8565935916956734E-4</v>
      </c>
      <c r="T3250" s="10">
        <v>5.3281399918895004E-6</v>
      </c>
      <c r="U3250" s="10">
        <v>9.3460000000000003E-5</v>
      </c>
      <c r="V3250" s="25"/>
      <c r="W3250" s="25"/>
      <c r="X3250" s="25"/>
      <c r="Y3250" s="25"/>
      <c r="Z3250" s="25"/>
      <c r="AA3250" s="25"/>
    </row>
    <row r="3251" spans="1:27" x14ac:dyDescent="0.35">
      <c r="A3251" s="5">
        <v>3247</v>
      </c>
      <c r="B3251" s="5">
        <v>136</v>
      </c>
      <c r="C3251" s="5">
        <v>5</v>
      </c>
      <c r="D3251" s="25">
        <v>1.1416E-4</v>
      </c>
      <c r="E3251" s="25">
        <v>1.0888E-4</v>
      </c>
      <c r="F3251" s="25">
        <v>1.0289E-4</v>
      </c>
      <c r="G3251" s="25">
        <v>1.1285000000000001E-4</v>
      </c>
      <c r="H3251" s="25">
        <v>1.3438999999999999E-4</v>
      </c>
      <c r="I3251" s="9">
        <v>8.5370000000000004E-5</v>
      </c>
      <c r="J3251" s="9">
        <v>8.2440000000000004E-5</v>
      </c>
      <c r="K3251" s="9">
        <v>1.3774999999999999E-4</v>
      </c>
      <c r="L3251" s="9">
        <v>4.0410000000000001E-5</v>
      </c>
      <c r="M3251" s="9">
        <v>6.0220000000000003E-5</v>
      </c>
      <c r="N3251" s="9">
        <v>8.0840000000000005E-5</v>
      </c>
      <c r="O3251" s="9">
        <v>1.2150999999999999E-4</v>
      </c>
      <c r="P3251" s="9">
        <v>1.1697999999999999E-4</v>
      </c>
      <c r="Q3251" s="9">
        <v>1.1205999999999999E-4</v>
      </c>
      <c r="R3251" s="10">
        <v>1.6858748126577484E-4</v>
      </c>
      <c r="S3251" s="10">
        <v>1.7855687627295333E-4</v>
      </c>
      <c r="T3251" s="10">
        <v>5.3544413198749421E-5</v>
      </c>
      <c r="U3251" s="10">
        <v>9.3460000000000003E-5</v>
      </c>
      <c r="V3251" s="25"/>
      <c r="W3251" s="25"/>
      <c r="X3251" s="25"/>
      <c r="Y3251" s="25"/>
      <c r="Z3251" s="25"/>
      <c r="AA3251" s="25"/>
    </row>
    <row r="3252" spans="1:27" x14ac:dyDescent="0.35">
      <c r="A3252" s="5">
        <v>3248</v>
      </c>
      <c r="B3252" s="5">
        <v>136</v>
      </c>
      <c r="C3252" s="5">
        <v>5</v>
      </c>
      <c r="D3252" s="25">
        <v>1.1415000000000001E-4</v>
      </c>
      <c r="E3252" s="25">
        <v>1.172E-4</v>
      </c>
      <c r="F3252" s="25">
        <v>1.1997000000000001E-4</v>
      </c>
      <c r="G3252" s="25">
        <v>1.5767999999999999E-4</v>
      </c>
      <c r="H3252" s="25">
        <v>1.9008E-4</v>
      </c>
      <c r="I3252" s="9">
        <v>8.6340000000000003E-5</v>
      </c>
      <c r="J3252" s="9">
        <v>8.6810000000000004E-5</v>
      </c>
      <c r="K3252" s="9">
        <v>1.0597E-4</v>
      </c>
      <c r="L3252" s="9">
        <v>1.0305E-4</v>
      </c>
      <c r="M3252" s="9">
        <v>8.3720000000000005E-5</v>
      </c>
      <c r="N3252" s="9">
        <v>9.0870000000000002E-5</v>
      </c>
      <c r="O3252" s="9">
        <v>2.1829999999999999E-4</v>
      </c>
      <c r="P3252" s="9">
        <v>1.7841999999999999E-4</v>
      </c>
      <c r="Q3252" s="9">
        <v>1.3783E-4</v>
      </c>
      <c r="R3252" s="10">
        <v>1.7390627906840051E-4</v>
      </c>
      <c r="S3252" s="10">
        <v>1.725196107244463E-4</v>
      </c>
      <c r="T3252" s="10">
        <v>4.9378622217829453E-5</v>
      </c>
      <c r="U3252" s="10">
        <v>9.3460000000000003E-5</v>
      </c>
      <c r="V3252" s="25"/>
      <c r="W3252" s="25"/>
      <c r="X3252" s="25"/>
      <c r="Y3252" s="25"/>
      <c r="Z3252" s="25"/>
      <c r="AA3252" s="25"/>
    </row>
    <row r="3253" spans="1:27" x14ac:dyDescent="0.35">
      <c r="A3253" s="5">
        <v>3249</v>
      </c>
      <c r="B3253" s="5">
        <v>136</v>
      </c>
      <c r="C3253" s="5">
        <v>5</v>
      </c>
      <c r="D3253" s="25">
        <v>1.1416E-4</v>
      </c>
      <c r="E3253" s="25">
        <v>1.154E-4</v>
      </c>
      <c r="F3253" s="25">
        <v>1.1427E-4</v>
      </c>
      <c r="G3253" s="25">
        <v>1.6034E-4</v>
      </c>
      <c r="H3253" s="25">
        <v>1.9378E-4</v>
      </c>
      <c r="I3253" s="9">
        <v>8.9729999999999996E-5</v>
      </c>
      <c r="J3253" s="9">
        <v>9.1520000000000005E-5</v>
      </c>
      <c r="K3253" s="9">
        <v>6.3579999999999998E-5</v>
      </c>
      <c r="L3253" s="9">
        <v>1.9123E-4</v>
      </c>
      <c r="M3253" s="9">
        <v>1.2388000000000001E-4</v>
      </c>
      <c r="N3253" s="9">
        <v>1.0486E-4</v>
      </c>
      <c r="O3253" s="9">
        <v>2.0905000000000001E-4</v>
      </c>
      <c r="P3253" s="9">
        <v>1.9377000000000001E-4</v>
      </c>
      <c r="Q3253" s="9">
        <v>1.7745E-4</v>
      </c>
      <c r="R3253" s="10">
        <v>1.7451587892545843E-4</v>
      </c>
      <c r="S3253" s="10">
        <v>1.7298846183552642E-4</v>
      </c>
      <c r="T3253" s="10">
        <v>5.1533634252765647E-5</v>
      </c>
      <c r="U3253" s="10">
        <v>9.3460000000000003E-5</v>
      </c>
      <c r="V3253" s="25"/>
      <c r="W3253" s="25"/>
      <c r="X3253" s="25"/>
      <c r="Y3253" s="25"/>
      <c r="Z3253" s="25"/>
      <c r="AA3253" s="25"/>
    </row>
    <row r="3254" spans="1:27" x14ac:dyDescent="0.35">
      <c r="A3254" s="5">
        <v>3250</v>
      </c>
      <c r="B3254" s="5">
        <v>136</v>
      </c>
      <c r="C3254" s="5">
        <v>5</v>
      </c>
      <c r="D3254" s="25">
        <v>1.1415000000000001E-4</v>
      </c>
      <c r="E3254" s="25">
        <v>1.0870999999999999E-4</v>
      </c>
      <c r="F3254" s="25">
        <v>1.2154000000000001E-4</v>
      </c>
      <c r="G3254" s="25">
        <v>1.5705999999999999E-4</v>
      </c>
      <c r="H3254" s="25">
        <v>1.9743000000000001E-4</v>
      </c>
      <c r="I3254" s="9">
        <v>9.2910000000000003E-5</v>
      </c>
      <c r="J3254" s="9">
        <v>9.48E-5</v>
      </c>
      <c r="K3254" s="9">
        <v>5.5109999999999999E-5</v>
      </c>
      <c r="L3254" s="9">
        <v>2.0282000000000001E-4</v>
      </c>
      <c r="M3254" s="9">
        <v>1.5923000000000001E-4</v>
      </c>
      <c r="N3254" s="9">
        <v>1.2499000000000001E-4</v>
      </c>
      <c r="O3254" s="9">
        <v>1.6354999999999999E-4</v>
      </c>
      <c r="P3254" s="9">
        <v>1.7248E-4</v>
      </c>
      <c r="Q3254" s="9">
        <v>1.8040999999999999E-4</v>
      </c>
      <c r="R3254" s="10">
        <v>1.8531154015823128E-4</v>
      </c>
      <c r="S3254" s="10">
        <v>1.7883767151774578E-4</v>
      </c>
      <c r="T3254" s="10">
        <v>8.2781308759340529E-5</v>
      </c>
      <c r="U3254" s="10">
        <v>9.3460000000000003E-5</v>
      </c>
      <c r="V3254" s="25"/>
      <c r="W3254" s="25"/>
      <c r="X3254" s="25"/>
      <c r="Y3254" s="25"/>
      <c r="Z3254" s="25"/>
      <c r="AA3254" s="25"/>
    </row>
    <row r="3255" spans="1:27" x14ac:dyDescent="0.35">
      <c r="A3255" s="5">
        <v>3251</v>
      </c>
      <c r="B3255" s="5">
        <v>136</v>
      </c>
      <c r="C3255" s="5">
        <v>5</v>
      </c>
      <c r="D3255" s="25">
        <v>1.1416E-4</v>
      </c>
      <c r="E3255" s="25">
        <v>1.1187E-4</v>
      </c>
      <c r="F3255" s="25">
        <v>1.1124999999999999E-4</v>
      </c>
      <c r="G3255" s="25">
        <v>1.5631999999999999E-4</v>
      </c>
      <c r="H3255" s="25">
        <v>1.9661E-4</v>
      </c>
      <c r="I3255" s="9">
        <v>9.3369999999999995E-5</v>
      </c>
      <c r="J3255" s="9">
        <v>9.5950000000000001E-5</v>
      </c>
      <c r="K3255" s="9">
        <v>2.544E-5</v>
      </c>
      <c r="L3255" s="9">
        <v>1.7227E-4</v>
      </c>
      <c r="M3255" s="9">
        <v>1.7217999999999999E-4</v>
      </c>
      <c r="N3255" s="9">
        <v>1.4265E-4</v>
      </c>
      <c r="O3255" s="9">
        <v>1.6658999999999999E-4</v>
      </c>
      <c r="P3255" s="9">
        <v>1.7432E-4</v>
      </c>
      <c r="Q3255" s="9">
        <v>1.8106E-4</v>
      </c>
      <c r="R3255" s="10">
        <v>1.9685796877735656E-4</v>
      </c>
      <c r="S3255" s="10">
        <v>1.8275443771202109E-4</v>
      </c>
      <c r="T3255" s="10">
        <v>5.4282547242211818E-5</v>
      </c>
      <c r="U3255" s="10">
        <v>9.3460000000000003E-5</v>
      </c>
      <c r="V3255" s="25"/>
      <c r="W3255" s="25"/>
      <c r="X3255" s="25"/>
      <c r="Y3255" s="25"/>
      <c r="Z3255" s="25"/>
      <c r="AA3255" s="25"/>
    </row>
    <row r="3256" spans="1:27" x14ac:dyDescent="0.35">
      <c r="A3256" s="5">
        <v>3252</v>
      </c>
      <c r="B3256" s="5">
        <v>136</v>
      </c>
      <c r="C3256" s="5">
        <v>5</v>
      </c>
      <c r="D3256" s="25">
        <v>1.1415000000000001E-4</v>
      </c>
      <c r="E3256" s="25">
        <v>1.1877E-4</v>
      </c>
      <c r="F3256" s="25">
        <v>1.0368E-4</v>
      </c>
      <c r="G3256" s="25">
        <v>1.6369E-4</v>
      </c>
      <c r="H3256" s="25">
        <v>1.9191E-4</v>
      </c>
      <c r="I3256" s="9">
        <v>9.2910000000000003E-5</v>
      </c>
      <c r="J3256" s="9">
        <v>9.6479999999999998E-5</v>
      </c>
      <c r="K3256" s="9">
        <v>1.484E-5</v>
      </c>
      <c r="L3256" s="9">
        <v>1.6929E-4</v>
      </c>
      <c r="M3256" s="9">
        <v>1.7504E-4</v>
      </c>
      <c r="N3256" s="9">
        <v>1.5702000000000001E-4</v>
      </c>
      <c r="O3256" s="9">
        <v>1.6637999999999999E-4</v>
      </c>
      <c r="P3256" s="9">
        <v>1.6996000000000001E-4</v>
      </c>
      <c r="Q3256" s="9">
        <v>1.7260999999999999E-4</v>
      </c>
      <c r="R3256" s="10">
        <v>1.908909165116145E-4</v>
      </c>
      <c r="S3256" s="10">
        <v>1.8254626776911624E-4</v>
      </c>
      <c r="T3256" s="10">
        <v>9.7560958227288798E-5</v>
      </c>
      <c r="U3256" s="10">
        <v>9.3460000000000003E-5</v>
      </c>
      <c r="V3256" s="25"/>
      <c r="W3256" s="25"/>
      <c r="X3256" s="25"/>
      <c r="Y3256" s="25"/>
      <c r="Z3256" s="25"/>
      <c r="AA3256" s="25"/>
    </row>
    <row r="3257" spans="1:27" x14ac:dyDescent="0.35">
      <c r="A3257" s="5">
        <v>3253</v>
      </c>
      <c r="B3257" s="5">
        <v>136</v>
      </c>
      <c r="C3257" s="5">
        <v>5</v>
      </c>
      <c r="D3257" s="25">
        <v>1.1416E-4</v>
      </c>
      <c r="E3257" s="25">
        <v>1.1764000000000001E-4</v>
      </c>
      <c r="F3257" s="25">
        <v>1.043E-4</v>
      </c>
      <c r="G3257" s="25">
        <v>1.6107E-4</v>
      </c>
      <c r="H3257" s="25">
        <v>1.9698E-4</v>
      </c>
      <c r="I3257" s="9">
        <v>8.9629999999999994E-5</v>
      </c>
      <c r="J3257" s="9">
        <v>9.5879999999999997E-5</v>
      </c>
      <c r="K3257" s="9">
        <v>4.2400000000000001E-6</v>
      </c>
      <c r="L3257" s="9">
        <v>1.6712000000000001E-4</v>
      </c>
      <c r="M3257" s="9">
        <v>1.7351000000000001E-4</v>
      </c>
      <c r="N3257" s="9">
        <v>1.661E-4</v>
      </c>
      <c r="O3257" s="9">
        <v>1.6019E-4</v>
      </c>
      <c r="P3257" s="9">
        <v>1.6448E-4</v>
      </c>
      <c r="Q3257" s="9">
        <v>1.6788999999999999E-4</v>
      </c>
      <c r="R3257" s="10">
        <v>1.8954147198982276E-4</v>
      </c>
      <c r="S3257" s="10">
        <v>1.7986865523999528E-4</v>
      </c>
      <c r="T3257" s="10">
        <v>1.9507949495782689E-4</v>
      </c>
      <c r="U3257" s="10">
        <v>9.3460000000000003E-5</v>
      </c>
      <c r="V3257" s="25"/>
      <c r="W3257" s="25"/>
      <c r="X3257" s="25"/>
      <c r="Y3257" s="25"/>
      <c r="Z3257" s="25"/>
      <c r="AA3257" s="25"/>
    </row>
    <row r="3258" spans="1:27" x14ac:dyDescent="0.35">
      <c r="A3258" s="5">
        <v>3254</v>
      </c>
      <c r="B3258" s="5">
        <v>136</v>
      </c>
      <c r="C3258" s="5">
        <v>5</v>
      </c>
      <c r="D3258" s="25">
        <v>1.1415000000000001E-4</v>
      </c>
      <c r="E3258" s="25">
        <v>1.0883999999999999E-4</v>
      </c>
      <c r="F3258" s="25">
        <v>1.1239999999999999E-4</v>
      </c>
      <c r="G3258" s="25">
        <v>1.6291999999999999E-4</v>
      </c>
      <c r="H3258" s="25">
        <v>1.8866999999999999E-4</v>
      </c>
      <c r="I3258" s="9">
        <v>8.6340000000000003E-5</v>
      </c>
      <c r="J3258" s="9">
        <v>9.467E-5</v>
      </c>
      <c r="K3258" s="9">
        <v>1.272E-5</v>
      </c>
      <c r="L3258" s="9">
        <v>1.615E-4</v>
      </c>
      <c r="M3258" s="9">
        <v>1.6982E-4</v>
      </c>
      <c r="N3258" s="9">
        <v>1.7045E-4</v>
      </c>
      <c r="O3258" s="9">
        <v>1.7577000000000001E-4</v>
      </c>
      <c r="P3258" s="9">
        <v>1.6860000000000001E-4</v>
      </c>
      <c r="Q3258" s="9">
        <v>1.6059000000000001E-4</v>
      </c>
      <c r="R3258" s="10">
        <v>1.8309446529043467E-4</v>
      </c>
      <c r="S3258" s="10">
        <v>1.7459407386099249E-4</v>
      </c>
      <c r="T3258" s="10">
        <v>1.401097194682535E-4</v>
      </c>
      <c r="U3258" s="10">
        <v>9.3460000000000003E-5</v>
      </c>
      <c r="V3258" s="25"/>
      <c r="W3258" s="25"/>
      <c r="X3258" s="25"/>
      <c r="Y3258" s="25"/>
      <c r="Z3258" s="25"/>
      <c r="AA3258" s="25"/>
    </row>
    <row r="3259" spans="1:27" x14ac:dyDescent="0.35">
      <c r="A3259" s="5">
        <v>3255</v>
      </c>
      <c r="B3259" s="5">
        <v>136</v>
      </c>
      <c r="C3259" s="5">
        <v>5</v>
      </c>
      <c r="D3259" s="25">
        <v>1.1416E-4</v>
      </c>
      <c r="E3259" s="25">
        <v>1.0781999999999999E-4</v>
      </c>
      <c r="F3259" s="25">
        <v>1.1115E-4</v>
      </c>
      <c r="G3259" s="25">
        <v>1.6210000000000001E-4</v>
      </c>
      <c r="H3259" s="25">
        <v>1.9027000000000001E-4</v>
      </c>
      <c r="I3259" s="9">
        <v>8.4900000000000004E-5</v>
      </c>
      <c r="J3259" s="9">
        <v>9.3540000000000002E-5</v>
      </c>
      <c r="K3259" s="9">
        <v>3.6029999999999999E-5</v>
      </c>
      <c r="L3259" s="9">
        <v>1.7278000000000001E-4</v>
      </c>
      <c r="M3259" s="9">
        <v>1.6833000000000001E-4</v>
      </c>
      <c r="N3259" s="9">
        <v>1.6990000000000001E-4</v>
      </c>
      <c r="O3259" s="9">
        <v>1.8089000000000001E-4</v>
      </c>
      <c r="P3259" s="9">
        <v>1.6699999999999999E-4</v>
      </c>
      <c r="Q3259" s="9">
        <v>1.5233E-4</v>
      </c>
      <c r="R3259" s="10">
        <v>1.7733076281526106E-4</v>
      </c>
      <c r="S3259" s="10">
        <v>1.6585748016406207E-4</v>
      </c>
      <c r="T3259" s="10">
        <v>3.9699733519186863E-4</v>
      </c>
      <c r="U3259" s="10">
        <v>9.3460000000000003E-5</v>
      </c>
      <c r="V3259" s="25"/>
      <c r="W3259" s="25"/>
      <c r="X3259" s="25"/>
      <c r="Y3259" s="25"/>
      <c r="Z3259" s="25"/>
      <c r="AA3259" s="25"/>
    </row>
    <row r="3260" spans="1:27" x14ac:dyDescent="0.35">
      <c r="A3260" s="5">
        <v>3256</v>
      </c>
      <c r="B3260" s="5">
        <v>136</v>
      </c>
      <c r="C3260" s="5">
        <v>5</v>
      </c>
      <c r="D3260" s="25">
        <v>1.1415000000000001E-4</v>
      </c>
      <c r="E3260" s="25">
        <v>1.1859E-4</v>
      </c>
      <c r="F3260" s="25">
        <v>1.0766E-4</v>
      </c>
      <c r="G3260" s="25">
        <v>1.6713000000000001E-4</v>
      </c>
      <c r="H3260" s="25">
        <v>2.0085E-4</v>
      </c>
      <c r="I3260" s="9">
        <v>8.7180000000000002E-5</v>
      </c>
      <c r="J3260" s="9">
        <v>9.4419999999999994E-5</v>
      </c>
      <c r="K3260" s="9">
        <v>3.392E-5</v>
      </c>
      <c r="L3260" s="9">
        <v>1.7880000000000001E-4</v>
      </c>
      <c r="M3260" s="9">
        <v>1.6756E-4</v>
      </c>
      <c r="N3260" s="9">
        <v>1.66E-4</v>
      </c>
      <c r="O3260" s="9">
        <v>1.9481000000000001E-4</v>
      </c>
      <c r="P3260" s="9">
        <v>1.5255999999999999E-4</v>
      </c>
      <c r="Q3260" s="9">
        <v>1.0984000000000001E-4</v>
      </c>
      <c r="R3260" s="10">
        <v>1.6735544677680872E-4</v>
      </c>
      <c r="S3260" s="10">
        <v>1.6151552215763949E-4</v>
      </c>
      <c r="T3260" s="10">
        <v>3.8954812036244351E-4</v>
      </c>
      <c r="U3260" s="10">
        <v>9.3460000000000003E-5</v>
      </c>
      <c r="V3260" s="25"/>
      <c r="W3260" s="25"/>
      <c r="X3260" s="25"/>
      <c r="Y3260" s="25"/>
      <c r="Z3260" s="25"/>
      <c r="AA3260" s="25"/>
    </row>
    <row r="3261" spans="1:27" x14ac:dyDescent="0.35">
      <c r="A3261" s="5">
        <v>3257</v>
      </c>
      <c r="B3261" s="5">
        <v>136</v>
      </c>
      <c r="C3261" s="5">
        <v>5</v>
      </c>
      <c r="D3261" s="25">
        <v>1.1416E-4</v>
      </c>
      <c r="E3261" s="25">
        <v>1.1307E-4</v>
      </c>
      <c r="F3261" s="25">
        <v>1.091E-4</v>
      </c>
      <c r="G3261" s="25">
        <v>1.5758999999999999E-4</v>
      </c>
      <c r="H3261" s="25">
        <v>1.8876E-4</v>
      </c>
      <c r="I3261" s="9">
        <v>9.179E-5</v>
      </c>
      <c r="J3261" s="9">
        <v>9.9489999999999998E-5</v>
      </c>
      <c r="K3261" s="9">
        <v>6.9939999999999998E-5</v>
      </c>
      <c r="L3261" s="9">
        <v>1.9107999999999999E-4</v>
      </c>
      <c r="M3261" s="9">
        <v>1.6207E-4</v>
      </c>
      <c r="N3261" s="9">
        <v>1.5228999999999999E-4</v>
      </c>
      <c r="O3261" s="9">
        <v>2.1206999999999999E-4</v>
      </c>
      <c r="P3261" s="9">
        <v>1.6013E-4</v>
      </c>
      <c r="Q3261" s="9">
        <v>1.0771E-4</v>
      </c>
      <c r="R3261" s="10">
        <v>1.5361446471186808E-4</v>
      </c>
      <c r="S3261" s="10">
        <v>1.4771510678967119E-4</v>
      </c>
      <c r="T3261" s="10">
        <v>2.2048148721215359E-4</v>
      </c>
      <c r="U3261" s="10">
        <v>9.3460000000000003E-5</v>
      </c>
      <c r="V3261" s="25"/>
      <c r="W3261" s="25"/>
      <c r="X3261" s="25"/>
      <c r="Y3261" s="25"/>
      <c r="Z3261" s="25"/>
      <c r="AA3261" s="25"/>
    </row>
    <row r="3262" spans="1:27" x14ac:dyDescent="0.35">
      <c r="A3262" s="5">
        <v>3258</v>
      </c>
      <c r="B3262" s="5">
        <v>136</v>
      </c>
      <c r="C3262" s="5">
        <v>5</v>
      </c>
      <c r="D3262" s="25">
        <v>1.1415000000000001E-4</v>
      </c>
      <c r="E3262" s="25">
        <v>1.127E-4</v>
      </c>
      <c r="F3262" s="25">
        <v>1.1649E-4</v>
      </c>
      <c r="G3262" s="25">
        <v>1.6449999999999999E-4</v>
      </c>
      <c r="H3262" s="25">
        <v>1.9542999999999999E-4</v>
      </c>
      <c r="I3262" s="9">
        <v>9.6080000000000002E-5</v>
      </c>
      <c r="J3262" s="9">
        <v>1.0184E-4</v>
      </c>
      <c r="K3262" s="9">
        <v>1.1657E-4</v>
      </c>
      <c r="L3262" s="9">
        <v>2.0719999999999999E-4</v>
      </c>
      <c r="M3262" s="9">
        <v>1.5983999999999999E-4</v>
      </c>
      <c r="N3262" s="9">
        <v>1.3914E-4</v>
      </c>
      <c r="O3262" s="9">
        <v>2.0105000000000001E-4</v>
      </c>
      <c r="P3262" s="9">
        <v>1.5919E-4</v>
      </c>
      <c r="Q3262" s="9">
        <v>1.1680000000000001E-4</v>
      </c>
      <c r="R3262" s="10">
        <v>1.4854942138658742E-4</v>
      </c>
      <c r="S3262" s="10">
        <v>1.2608667199741336E-4</v>
      </c>
      <c r="T3262" s="10">
        <v>1.1746512450272314E-4</v>
      </c>
      <c r="U3262" s="10">
        <v>9.3460000000000003E-5</v>
      </c>
      <c r="V3262" s="25"/>
      <c r="W3262" s="25"/>
      <c r="X3262" s="25"/>
      <c r="Y3262" s="25"/>
      <c r="Z3262" s="25"/>
      <c r="AA3262" s="25"/>
    </row>
    <row r="3263" spans="1:27" x14ac:dyDescent="0.35">
      <c r="A3263" s="5">
        <v>3259</v>
      </c>
      <c r="B3263" s="5">
        <v>136</v>
      </c>
      <c r="C3263" s="5">
        <v>5</v>
      </c>
      <c r="D3263" s="25">
        <v>1.1416E-4</v>
      </c>
      <c r="E3263" s="25">
        <v>1.1451999999999999E-4</v>
      </c>
      <c r="F3263" s="25">
        <v>1.2383000000000001E-4</v>
      </c>
      <c r="G3263" s="25">
        <v>1.0609E-4</v>
      </c>
      <c r="H3263" s="25">
        <v>1.3448999999999999E-4</v>
      </c>
      <c r="I3263" s="9">
        <v>9.9149999999999998E-5</v>
      </c>
      <c r="J3263" s="9">
        <v>1.014E-4</v>
      </c>
      <c r="K3263" s="9">
        <v>1.4835E-4</v>
      </c>
      <c r="L3263" s="9">
        <v>2.0199000000000001E-4</v>
      </c>
      <c r="M3263" s="9">
        <v>1.5919999999999999E-4</v>
      </c>
      <c r="N3263" s="9">
        <v>1.2988999999999999E-4</v>
      </c>
      <c r="O3263" s="9">
        <v>1.6249999999999999E-4</v>
      </c>
      <c r="P3263" s="9">
        <v>1.3505E-4</v>
      </c>
      <c r="Q3263" s="9">
        <v>1.0719E-4</v>
      </c>
      <c r="R3263" s="10">
        <v>1.4231412055931808E-4</v>
      </c>
      <c r="S3263" s="10">
        <v>1.0802919244538628E-4</v>
      </c>
      <c r="T3263" s="10">
        <v>3.2639099599998263E-5</v>
      </c>
      <c r="U3263" s="10">
        <v>9.3460000000000003E-5</v>
      </c>
      <c r="V3263" s="25"/>
      <c r="W3263" s="25"/>
      <c r="X3263" s="25"/>
      <c r="Y3263" s="25"/>
      <c r="Z3263" s="25"/>
      <c r="AA3263" s="25"/>
    </row>
    <row r="3264" spans="1:27" x14ac:dyDescent="0.35">
      <c r="A3264" s="5">
        <v>3260</v>
      </c>
      <c r="B3264" s="5">
        <v>136</v>
      </c>
      <c r="C3264" s="5">
        <v>5</v>
      </c>
      <c r="D3264" s="25">
        <v>1.1415000000000001E-4</v>
      </c>
      <c r="E3264" s="25">
        <v>1.0819000000000001E-4</v>
      </c>
      <c r="F3264" s="25">
        <v>1.03E-4</v>
      </c>
      <c r="G3264" s="25">
        <v>1.0900000000000001E-4</v>
      </c>
      <c r="H3264" s="25">
        <v>1.3816999999999999E-4</v>
      </c>
      <c r="I3264" s="9">
        <v>1.0016E-4</v>
      </c>
      <c r="J3264" s="9">
        <v>1.0064999999999999E-4</v>
      </c>
      <c r="K3264" s="9">
        <v>1.5894999999999999E-4</v>
      </c>
      <c r="L3264" s="9">
        <v>1.7140999999999999E-4</v>
      </c>
      <c r="M3264" s="9">
        <v>1.5048000000000001E-4</v>
      </c>
      <c r="N3264" s="9">
        <v>1.2082999999999999E-4</v>
      </c>
      <c r="O3264" s="9">
        <v>1.2663E-4</v>
      </c>
      <c r="P3264" s="9">
        <v>1.1407E-4</v>
      </c>
      <c r="Q3264" s="9">
        <v>1.0119E-4</v>
      </c>
      <c r="R3264" s="10">
        <v>1.0911948774772545E-4</v>
      </c>
      <c r="S3264" s="10">
        <v>9.5251607867314765E-5</v>
      </c>
      <c r="T3264" s="10">
        <v>0</v>
      </c>
      <c r="U3264" s="10">
        <v>9.3460000000000003E-5</v>
      </c>
      <c r="V3264" s="25"/>
      <c r="W3264" s="25"/>
      <c r="X3264" s="25"/>
      <c r="Y3264" s="25"/>
      <c r="Z3264" s="25"/>
      <c r="AA3264" s="25"/>
    </row>
    <row r="3265" spans="1:27" x14ac:dyDescent="0.35">
      <c r="A3265" s="5">
        <v>3261</v>
      </c>
      <c r="B3265" s="5">
        <v>136</v>
      </c>
      <c r="C3265" s="5">
        <v>5</v>
      </c>
      <c r="D3265" s="25">
        <v>1.1416E-4</v>
      </c>
      <c r="E3265" s="25">
        <v>1.1293E-4</v>
      </c>
      <c r="F3265" s="25">
        <v>1.0818E-4</v>
      </c>
      <c r="G3265" s="25">
        <v>5.8510000000000001E-5</v>
      </c>
      <c r="H3265" s="25">
        <v>7.1520000000000006E-5</v>
      </c>
      <c r="I3265" s="9">
        <v>1.0199E-4</v>
      </c>
      <c r="J3265" s="9">
        <v>1.0139E-4</v>
      </c>
      <c r="K3265" s="9">
        <v>1.6742999999999999E-4</v>
      </c>
      <c r="L3265" s="9">
        <v>1.3744000000000001E-4</v>
      </c>
      <c r="M3265" s="9">
        <v>1.3494000000000001E-4</v>
      </c>
      <c r="N3265" s="9">
        <v>1.1301E-4</v>
      </c>
      <c r="O3265" s="9">
        <v>8.3709999999999996E-5</v>
      </c>
      <c r="P3265" s="9">
        <v>8.585E-5</v>
      </c>
      <c r="Q3265" s="9">
        <v>8.7839999999999999E-5</v>
      </c>
      <c r="R3265" s="10">
        <v>7.9289937289794558E-5</v>
      </c>
      <c r="S3265" s="10">
        <v>1.0183036916905419E-4</v>
      </c>
      <c r="T3265" s="10">
        <v>0</v>
      </c>
      <c r="U3265" s="10">
        <v>9.3460000000000003E-5</v>
      </c>
      <c r="V3265" s="25"/>
      <c r="W3265" s="25"/>
      <c r="X3265" s="25"/>
      <c r="Y3265" s="25"/>
      <c r="Z3265" s="25"/>
      <c r="AA3265" s="25"/>
    </row>
    <row r="3266" spans="1:27" x14ac:dyDescent="0.35">
      <c r="A3266" s="5">
        <v>3262</v>
      </c>
      <c r="B3266" s="5">
        <v>136</v>
      </c>
      <c r="C3266" s="5">
        <v>5</v>
      </c>
      <c r="D3266" s="25">
        <v>1.1415000000000001E-4</v>
      </c>
      <c r="E3266" s="25">
        <v>1.1198E-4</v>
      </c>
      <c r="F3266" s="25">
        <v>1.1607000000000001E-4</v>
      </c>
      <c r="G3266" s="25">
        <v>5.4790000000000002E-5</v>
      </c>
      <c r="H3266" s="25">
        <v>6.4880000000000002E-5</v>
      </c>
      <c r="I3266" s="9">
        <v>1.0327000000000001E-4</v>
      </c>
      <c r="J3266" s="9">
        <v>1.0168E-4</v>
      </c>
      <c r="K3266" s="9">
        <v>1.6742999999999999E-4</v>
      </c>
      <c r="L3266" s="9">
        <v>9.6429999999999997E-5</v>
      </c>
      <c r="M3266" s="9">
        <v>1.1327E-4</v>
      </c>
      <c r="N3266" s="9">
        <v>1.0532E-4</v>
      </c>
      <c r="O3266" s="9">
        <v>8.708E-5</v>
      </c>
      <c r="P3266" s="9">
        <v>8.789E-5</v>
      </c>
      <c r="Q3266" s="9">
        <v>8.8540000000000003E-5</v>
      </c>
      <c r="R3266" s="10">
        <v>5.8665119074784295E-5</v>
      </c>
      <c r="S3266" s="10">
        <v>1.1922798134656735E-4</v>
      </c>
      <c r="T3266" s="10">
        <v>0</v>
      </c>
      <c r="U3266" s="10">
        <v>9.3460000000000003E-5</v>
      </c>
      <c r="V3266" s="25"/>
      <c r="W3266" s="25"/>
      <c r="X3266" s="25"/>
      <c r="Y3266" s="25"/>
      <c r="Z3266" s="25"/>
      <c r="AA3266" s="25"/>
    </row>
    <row r="3267" spans="1:27" x14ac:dyDescent="0.35">
      <c r="A3267" s="5">
        <v>3263</v>
      </c>
      <c r="B3267" s="5">
        <v>136</v>
      </c>
      <c r="C3267" s="5">
        <v>5</v>
      </c>
      <c r="D3267" s="25">
        <v>1.1416E-4</v>
      </c>
      <c r="E3267" s="25">
        <v>1.1163E-4</v>
      </c>
      <c r="F3267" s="25">
        <v>1.0674E-4</v>
      </c>
      <c r="G3267" s="25">
        <v>5.8539999999999999E-5</v>
      </c>
      <c r="H3267" s="25">
        <v>7.1180000000000006E-5</v>
      </c>
      <c r="I3267" s="9">
        <v>1.0026000000000001E-4</v>
      </c>
      <c r="J3267" s="9">
        <v>9.6819999999999998E-5</v>
      </c>
      <c r="K3267" s="9">
        <v>1.6955E-4</v>
      </c>
      <c r="L3267" s="9">
        <v>9.0060000000000002E-5</v>
      </c>
      <c r="M3267" s="9">
        <v>9.8830000000000001E-5</v>
      </c>
      <c r="N3267" s="9">
        <v>9.9599999999999995E-5</v>
      </c>
      <c r="O3267" s="9">
        <v>7.6829999999999995E-5</v>
      </c>
      <c r="P3267" s="9">
        <v>7.1600000000000006E-5</v>
      </c>
      <c r="Q3267" s="9">
        <v>6.6390000000000006E-5</v>
      </c>
      <c r="R3267" s="10">
        <v>5.7503776242189363E-5</v>
      </c>
      <c r="S3267" s="10">
        <v>1.4015941296946675E-4</v>
      </c>
      <c r="T3267" s="10">
        <v>0</v>
      </c>
      <c r="U3267" s="10">
        <v>9.3460000000000003E-5</v>
      </c>
      <c r="V3267" s="25"/>
      <c r="W3267" s="25"/>
      <c r="X3267" s="25"/>
      <c r="Y3267" s="25"/>
      <c r="Z3267" s="25"/>
      <c r="AA3267" s="25"/>
    </row>
    <row r="3268" spans="1:27" x14ac:dyDescent="0.35">
      <c r="A3268" s="5">
        <v>3264</v>
      </c>
      <c r="B3268" s="5">
        <v>136</v>
      </c>
      <c r="C3268" s="5">
        <v>5</v>
      </c>
      <c r="D3268" s="25">
        <v>1.1415000000000001E-4</v>
      </c>
      <c r="E3268" s="25">
        <v>1.1089E-4</v>
      </c>
      <c r="F3268" s="25">
        <v>1.1231E-4</v>
      </c>
      <c r="G3268" s="25">
        <v>5.2960000000000001E-5</v>
      </c>
      <c r="H3268" s="25">
        <v>6.2979999999999997E-5</v>
      </c>
      <c r="I3268" s="9">
        <v>9.3410000000000002E-5</v>
      </c>
      <c r="J3268" s="9">
        <v>9.0480000000000001E-5</v>
      </c>
      <c r="K3268" s="9">
        <v>1.8437999999999999E-4</v>
      </c>
      <c r="L3268" s="9">
        <v>7.9709999999999994E-5</v>
      </c>
      <c r="M3268" s="9">
        <v>8.5859999999999994E-5</v>
      </c>
      <c r="N3268" s="9">
        <v>9.0279999999999996E-5</v>
      </c>
      <c r="O3268" s="9">
        <v>6.3139999999999995E-5</v>
      </c>
      <c r="P3268" s="9">
        <v>6.1210000000000005E-5</v>
      </c>
      <c r="Q3268" s="9">
        <v>5.9379999999999997E-5</v>
      </c>
      <c r="R3268" s="10">
        <v>6.5522773432676466E-5</v>
      </c>
      <c r="S3268" s="10">
        <v>1.5003582468242413E-4</v>
      </c>
      <c r="T3268" s="10">
        <v>0</v>
      </c>
      <c r="U3268" s="10">
        <v>9.3460000000000003E-5</v>
      </c>
      <c r="V3268" s="25"/>
      <c r="W3268" s="25"/>
      <c r="X3268" s="25"/>
      <c r="Y3268" s="25"/>
      <c r="Z3268" s="25"/>
      <c r="AA3268" s="25"/>
    </row>
    <row r="3269" spans="1:27" x14ac:dyDescent="0.35">
      <c r="A3269" s="5">
        <v>3265</v>
      </c>
      <c r="B3269" s="5">
        <v>137</v>
      </c>
      <c r="C3269" s="5">
        <v>5</v>
      </c>
      <c r="D3269" s="25">
        <v>1.1416E-4</v>
      </c>
      <c r="E3269" s="25">
        <v>1.1169E-4</v>
      </c>
      <c r="F3269" s="25">
        <v>1.0702E-4</v>
      </c>
      <c r="G3269" s="25">
        <v>6.0850000000000002E-5</v>
      </c>
      <c r="H3269" s="25">
        <v>7.6149999999999994E-5</v>
      </c>
      <c r="I3269" s="9">
        <v>8.8850000000000005E-5</v>
      </c>
      <c r="J3269" s="9">
        <v>8.6279999999999994E-5</v>
      </c>
      <c r="K3269" s="9">
        <v>1.9285999999999999E-4</v>
      </c>
      <c r="L3269" s="9">
        <v>6.6810000000000006E-5</v>
      </c>
      <c r="M3269" s="9">
        <v>7.3999999999999996E-5</v>
      </c>
      <c r="N3269" s="9">
        <v>8.1039999999999997E-5</v>
      </c>
      <c r="O3269" s="9">
        <v>5.4540000000000003E-5</v>
      </c>
      <c r="P3269" s="9">
        <v>5.3959999999999998E-5</v>
      </c>
      <c r="Q3269" s="9">
        <v>5.3529999999999997E-5</v>
      </c>
      <c r="R3269" s="10">
        <v>8.5252184027823067E-5</v>
      </c>
      <c r="S3269" s="10">
        <v>1.5692677033372036E-4</v>
      </c>
      <c r="T3269" s="10">
        <v>0</v>
      </c>
      <c r="U3269" s="10">
        <v>9.268E-5</v>
      </c>
      <c r="V3269" s="25"/>
      <c r="W3269" s="25"/>
      <c r="X3269" s="25"/>
      <c r="Y3269" s="25"/>
      <c r="Z3269" s="25"/>
      <c r="AA3269" s="25"/>
    </row>
    <row r="3270" spans="1:27" x14ac:dyDescent="0.35">
      <c r="A3270" s="5">
        <v>3266</v>
      </c>
      <c r="B3270" s="5">
        <v>137</v>
      </c>
      <c r="C3270" s="5">
        <v>5</v>
      </c>
      <c r="D3270" s="25">
        <v>1.1415000000000001E-4</v>
      </c>
      <c r="E3270" s="25">
        <v>1.1736E-4</v>
      </c>
      <c r="F3270" s="25">
        <v>1.1436E-4</v>
      </c>
      <c r="G3270" s="25">
        <v>5.2710000000000002E-5</v>
      </c>
      <c r="H3270" s="25">
        <v>6.957E-5</v>
      </c>
      <c r="I3270" s="9">
        <v>8.6130000000000004E-5</v>
      </c>
      <c r="J3270" s="9">
        <v>8.4029999999999993E-5</v>
      </c>
      <c r="K3270" s="9">
        <v>1.9922000000000001E-4</v>
      </c>
      <c r="L3270" s="9">
        <v>5.7599999999999997E-5</v>
      </c>
      <c r="M3270" s="9">
        <v>6.3969999999999999E-5</v>
      </c>
      <c r="N3270" s="9">
        <v>7.2020000000000005E-5</v>
      </c>
      <c r="O3270" s="9">
        <v>1.9599999999999999E-5</v>
      </c>
      <c r="P3270" s="9">
        <v>3.7929999999999998E-5</v>
      </c>
      <c r="Q3270" s="9">
        <v>5.6440000000000002E-5</v>
      </c>
      <c r="R3270" s="10">
        <v>9.8382293804544666E-5</v>
      </c>
      <c r="S3270" s="10">
        <v>1.543716324621497E-4</v>
      </c>
      <c r="T3270" s="10">
        <v>0</v>
      </c>
      <c r="U3270" s="10">
        <v>9.268E-5</v>
      </c>
      <c r="V3270" s="25"/>
      <c r="W3270" s="25"/>
      <c r="X3270" s="25"/>
      <c r="Y3270" s="25"/>
      <c r="Z3270" s="25"/>
      <c r="AA3270" s="25"/>
    </row>
    <row r="3271" spans="1:27" x14ac:dyDescent="0.35">
      <c r="A3271" s="5">
        <v>3267</v>
      </c>
      <c r="B3271" s="5">
        <v>137</v>
      </c>
      <c r="C3271" s="5">
        <v>5</v>
      </c>
      <c r="D3271" s="25">
        <v>1.1416E-4</v>
      </c>
      <c r="E3271" s="25">
        <v>1.21E-4</v>
      </c>
      <c r="F3271" s="25">
        <v>1.0978E-4</v>
      </c>
      <c r="G3271" s="25">
        <v>6.2119999999999995E-5</v>
      </c>
      <c r="H3271" s="25">
        <v>6.9789999999999994E-5</v>
      </c>
      <c r="I3271" s="9">
        <v>8.4359999999999999E-5</v>
      </c>
      <c r="J3271" s="9">
        <v>8.3200000000000003E-5</v>
      </c>
      <c r="K3271" s="9">
        <v>2.0133999999999999E-4</v>
      </c>
      <c r="L3271" s="9">
        <v>2.8160000000000001E-5</v>
      </c>
      <c r="M3271" s="9">
        <v>5.2309999999999999E-5</v>
      </c>
      <c r="N3271" s="9">
        <v>6.5569999999999997E-5</v>
      </c>
      <c r="O3271" s="9">
        <v>1.399E-5</v>
      </c>
      <c r="P3271" s="9">
        <v>3.7400000000000001E-5</v>
      </c>
      <c r="Q3271" s="9">
        <v>6.0970000000000001E-5</v>
      </c>
      <c r="R3271" s="10">
        <v>1.1043919117376455E-4</v>
      </c>
      <c r="S3271" s="10">
        <v>1.5451267960232712E-4</v>
      </c>
      <c r="T3271" s="10">
        <v>0</v>
      </c>
      <c r="U3271" s="10">
        <v>9.268E-5</v>
      </c>
      <c r="V3271" s="25"/>
      <c r="W3271" s="25"/>
      <c r="X3271" s="25"/>
      <c r="Y3271" s="25"/>
      <c r="Z3271" s="25"/>
      <c r="AA3271" s="25"/>
    </row>
    <row r="3272" spans="1:27" x14ac:dyDescent="0.35">
      <c r="A3272" s="5">
        <v>3268</v>
      </c>
      <c r="B3272" s="5">
        <v>137</v>
      </c>
      <c r="C3272" s="5">
        <v>5</v>
      </c>
      <c r="D3272" s="25">
        <v>1.1415000000000001E-4</v>
      </c>
      <c r="E3272" s="25">
        <v>1.1247999999999999E-4</v>
      </c>
      <c r="F3272" s="25">
        <v>1.0349E-4</v>
      </c>
      <c r="G3272" s="25">
        <v>6.0069999999999999E-5</v>
      </c>
      <c r="H3272" s="25">
        <v>7.5829999999999997E-5</v>
      </c>
      <c r="I3272" s="9">
        <v>8.4209999999999995E-5</v>
      </c>
      <c r="J3272" s="9">
        <v>8.3109999999999995E-5</v>
      </c>
      <c r="K3272" s="9">
        <v>1.9921000000000001E-4</v>
      </c>
      <c r="L3272" s="9">
        <v>1.7839999999999999E-5</v>
      </c>
      <c r="M3272" s="9">
        <v>4.4159999999999997E-5</v>
      </c>
      <c r="N3272" s="9">
        <v>6.1859999999999994E-5</v>
      </c>
      <c r="O3272" s="9">
        <v>1.419E-5</v>
      </c>
      <c r="P3272" s="9">
        <v>4.744E-5</v>
      </c>
      <c r="Q3272" s="9">
        <v>8.0679999999999993E-5</v>
      </c>
      <c r="R3272" s="10">
        <v>1.1502389777896974E-4</v>
      </c>
      <c r="S3272" s="10">
        <v>1.5429668243646308E-4</v>
      </c>
      <c r="T3272" s="10">
        <v>0</v>
      </c>
      <c r="U3272" s="10">
        <v>9.268E-5</v>
      </c>
      <c r="V3272" s="25"/>
      <c r="W3272" s="25"/>
      <c r="X3272" s="25"/>
      <c r="Y3272" s="25"/>
      <c r="Z3272" s="25"/>
      <c r="AA3272" s="25"/>
    </row>
    <row r="3273" spans="1:27" x14ac:dyDescent="0.35">
      <c r="A3273" s="5">
        <v>3269</v>
      </c>
      <c r="B3273" s="5">
        <v>137</v>
      </c>
      <c r="C3273" s="5">
        <v>5</v>
      </c>
      <c r="D3273" s="25">
        <v>1.1416E-4</v>
      </c>
      <c r="E3273" s="25">
        <v>1.1764000000000001E-4</v>
      </c>
      <c r="F3273" s="25">
        <v>1.0857E-4</v>
      </c>
      <c r="G3273" s="25">
        <v>5.5349999999999997E-5</v>
      </c>
      <c r="H3273" s="25">
        <v>7.1080000000000004E-5</v>
      </c>
      <c r="I3273" s="9">
        <v>8.4629999999999994E-5</v>
      </c>
      <c r="J3273" s="9">
        <v>8.2269999999999997E-5</v>
      </c>
      <c r="K3273" s="9">
        <v>1.9285999999999999E-4</v>
      </c>
      <c r="L3273" s="9">
        <v>1.524E-5</v>
      </c>
      <c r="M3273" s="9">
        <v>4.35E-5</v>
      </c>
      <c r="N3273" s="9">
        <v>6.4490000000000001E-5</v>
      </c>
      <c r="O3273" s="9">
        <v>1.9400000000000001E-5</v>
      </c>
      <c r="P3273" s="9">
        <v>5.6320000000000003E-5</v>
      </c>
      <c r="Q3273" s="9">
        <v>9.3129999999999998E-5</v>
      </c>
      <c r="R3273" s="10">
        <v>1.1068672323262032E-4</v>
      </c>
      <c r="S3273" s="10">
        <v>1.48692439549583E-4</v>
      </c>
      <c r="T3273" s="10">
        <v>1.9004830544319239E-6</v>
      </c>
      <c r="U3273" s="10">
        <v>9.268E-5</v>
      </c>
      <c r="V3273" s="25"/>
      <c r="W3273" s="25"/>
      <c r="X3273" s="25"/>
      <c r="Y3273" s="25"/>
      <c r="Z3273" s="25"/>
      <c r="AA3273" s="25"/>
    </row>
    <row r="3274" spans="1:27" x14ac:dyDescent="0.35">
      <c r="A3274" s="5">
        <v>3270</v>
      </c>
      <c r="B3274" s="5">
        <v>137</v>
      </c>
      <c r="C3274" s="5">
        <v>5</v>
      </c>
      <c r="D3274" s="25">
        <v>1.1415000000000001E-4</v>
      </c>
      <c r="E3274" s="25">
        <v>1.1132E-4</v>
      </c>
      <c r="F3274" s="25">
        <v>1.119E-4</v>
      </c>
      <c r="G3274" s="25">
        <v>1.0868E-4</v>
      </c>
      <c r="H3274" s="25">
        <v>1.3321000000000001E-4</v>
      </c>
      <c r="I3274" s="9">
        <v>8.5099999999999995E-5</v>
      </c>
      <c r="J3274" s="9">
        <v>8.2379999999999994E-5</v>
      </c>
      <c r="K3274" s="9">
        <v>1.6531E-4</v>
      </c>
      <c r="L3274" s="9">
        <v>1.8349999999999999E-5</v>
      </c>
      <c r="M3274" s="9">
        <v>4.8300000000000002E-5</v>
      </c>
      <c r="N3274" s="9">
        <v>7.0909999999999997E-5</v>
      </c>
      <c r="O3274" s="9">
        <v>4.6560000000000001E-5</v>
      </c>
      <c r="P3274" s="9">
        <v>7.7059999999999997E-5</v>
      </c>
      <c r="Q3274" s="9">
        <v>1.0731E-4</v>
      </c>
      <c r="R3274" s="10">
        <v>1.0495826947051905E-4</v>
      </c>
      <c r="S3274" s="10">
        <v>1.427452620167508E-4</v>
      </c>
      <c r="T3274" s="10">
        <v>3.5243779500492015E-5</v>
      </c>
      <c r="U3274" s="10">
        <v>9.268E-5</v>
      </c>
      <c r="V3274" s="25"/>
      <c r="W3274" s="25"/>
      <c r="X3274" s="25"/>
      <c r="Y3274" s="25"/>
      <c r="Z3274" s="25"/>
      <c r="AA3274" s="25"/>
    </row>
    <row r="3275" spans="1:27" x14ac:dyDescent="0.35">
      <c r="A3275" s="5">
        <v>3271</v>
      </c>
      <c r="B3275" s="5">
        <v>137</v>
      </c>
      <c r="C3275" s="5">
        <v>5</v>
      </c>
      <c r="D3275" s="25">
        <v>1.1416E-4</v>
      </c>
      <c r="E3275" s="25">
        <v>1.1332000000000001E-4</v>
      </c>
      <c r="F3275" s="25">
        <v>1.0391999999999999E-4</v>
      </c>
      <c r="G3275" s="25">
        <v>1.0997000000000001E-4</v>
      </c>
      <c r="H3275" s="25">
        <v>1.2726E-4</v>
      </c>
      <c r="I3275" s="9">
        <v>8.619E-5</v>
      </c>
      <c r="J3275" s="9">
        <v>8.5829999999999996E-5</v>
      </c>
      <c r="K3275" s="9">
        <v>1.7802000000000001E-4</v>
      </c>
      <c r="L3275" s="9">
        <v>4.0219999999999998E-5</v>
      </c>
      <c r="M3275" s="9">
        <v>6.0010000000000003E-5</v>
      </c>
      <c r="N3275" s="9">
        <v>8.0679999999999993E-5</v>
      </c>
      <c r="O3275" s="9">
        <v>1.2212E-4</v>
      </c>
      <c r="P3275" s="9">
        <v>1.1757E-4</v>
      </c>
      <c r="Q3275" s="9">
        <v>1.1262E-4</v>
      </c>
      <c r="R3275" s="10">
        <v>9.2443775836186876E-5</v>
      </c>
      <c r="S3275" s="10">
        <v>1.4155030952466179E-4</v>
      </c>
      <c r="T3275" s="10">
        <v>1.6847273219577994E-4</v>
      </c>
      <c r="U3275" s="10">
        <v>9.268E-5</v>
      </c>
      <c r="V3275" s="25"/>
      <c r="W3275" s="25"/>
      <c r="X3275" s="25"/>
      <c r="Y3275" s="25"/>
      <c r="Z3275" s="25"/>
      <c r="AA3275" s="25"/>
    </row>
    <row r="3276" spans="1:27" x14ac:dyDescent="0.35">
      <c r="A3276" s="5">
        <v>3272</v>
      </c>
      <c r="B3276" s="5">
        <v>137</v>
      </c>
      <c r="C3276" s="5">
        <v>5</v>
      </c>
      <c r="D3276" s="25">
        <v>1.1415000000000001E-4</v>
      </c>
      <c r="E3276" s="25">
        <v>1.1812E-4</v>
      </c>
      <c r="F3276" s="25">
        <v>1.2038E-4</v>
      </c>
      <c r="G3276" s="25">
        <v>1.6427999999999999E-4</v>
      </c>
      <c r="H3276" s="25">
        <v>1.9631999999999999E-4</v>
      </c>
      <c r="I3276" s="9">
        <v>8.831E-5</v>
      </c>
      <c r="J3276" s="9">
        <v>9.0820000000000001E-5</v>
      </c>
      <c r="K3276" s="9">
        <v>1.8226000000000001E-4</v>
      </c>
      <c r="L3276" s="9">
        <v>1.0349E-4</v>
      </c>
      <c r="M3276" s="9">
        <v>8.3750000000000003E-5</v>
      </c>
      <c r="N3276" s="9">
        <v>9.0820000000000001E-5</v>
      </c>
      <c r="O3276" s="9">
        <v>2.1708E-4</v>
      </c>
      <c r="P3276" s="9">
        <v>1.7742999999999999E-4</v>
      </c>
      <c r="Q3276" s="9">
        <v>1.3705999999999999E-4</v>
      </c>
      <c r="R3276" s="10">
        <v>7.2570419641382385E-5</v>
      </c>
      <c r="S3276" s="10">
        <v>1.4487916359675549E-4</v>
      </c>
      <c r="T3276" s="10">
        <v>2.5556406502499294E-4</v>
      </c>
      <c r="U3276" s="10">
        <v>9.268E-5</v>
      </c>
      <c r="V3276" s="25"/>
      <c r="W3276" s="25"/>
      <c r="X3276" s="25"/>
      <c r="Y3276" s="25"/>
      <c r="Z3276" s="25"/>
      <c r="AA3276" s="25"/>
    </row>
    <row r="3277" spans="1:27" x14ac:dyDescent="0.35">
      <c r="A3277" s="5">
        <v>3273</v>
      </c>
      <c r="B3277" s="5">
        <v>137</v>
      </c>
      <c r="C3277" s="5">
        <v>5</v>
      </c>
      <c r="D3277" s="25">
        <v>1.1416E-4</v>
      </c>
      <c r="E3277" s="25">
        <v>1.1786E-4</v>
      </c>
      <c r="F3277" s="25">
        <v>1.1680000000000001E-4</v>
      </c>
      <c r="G3277" s="25">
        <v>1.6417E-4</v>
      </c>
      <c r="H3277" s="25">
        <v>2.0230000000000001E-4</v>
      </c>
      <c r="I3277" s="9">
        <v>9.0859999999999994E-5</v>
      </c>
      <c r="J3277" s="9">
        <v>9.6199999999999994E-5</v>
      </c>
      <c r="K3277" s="9">
        <v>1.6107E-4</v>
      </c>
      <c r="L3277" s="9">
        <v>1.9034999999999999E-4</v>
      </c>
      <c r="M3277" s="9">
        <v>1.2362000000000001E-4</v>
      </c>
      <c r="N3277" s="9">
        <v>1.0466E-4</v>
      </c>
      <c r="O3277" s="9">
        <v>2.0615E-4</v>
      </c>
      <c r="P3277" s="9">
        <v>1.9107E-4</v>
      </c>
      <c r="Q3277" s="9">
        <v>1.7499E-4</v>
      </c>
      <c r="R3277" s="10">
        <v>4.8708651080431676E-5</v>
      </c>
      <c r="S3277" s="10">
        <v>1.4562927654063066E-4</v>
      </c>
      <c r="T3277" s="10">
        <v>4.6286943534637508E-4</v>
      </c>
      <c r="U3277" s="10">
        <v>9.268E-5</v>
      </c>
      <c r="V3277" s="25"/>
      <c r="W3277" s="25"/>
      <c r="X3277" s="25"/>
      <c r="Y3277" s="25"/>
      <c r="Z3277" s="25"/>
      <c r="AA3277" s="25"/>
    </row>
    <row r="3278" spans="1:27" x14ac:dyDescent="0.35">
      <c r="A3278" s="5">
        <v>3274</v>
      </c>
      <c r="B3278" s="5">
        <v>137</v>
      </c>
      <c r="C3278" s="5">
        <v>5</v>
      </c>
      <c r="D3278" s="25">
        <v>1.1415000000000001E-4</v>
      </c>
      <c r="E3278" s="25">
        <v>1.1712E-4</v>
      </c>
      <c r="F3278" s="25">
        <v>1.1652E-4</v>
      </c>
      <c r="G3278" s="25">
        <v>1.6149E-4</v>
      </c>
      <c r="H3278" s="25">
        <v>1.9754000000000001E-4</v>
      </c>
      <c r="I3278" s="9">
        <v>9.2910000000000003E-5</v>
      </c>
      <c r="J3278" s="9">
        <v>9.9580000000000005E-5</v>
      </c>
      <c r="K3278" s="9">
        <v>1.3774999999999999E-4</v>
      </c>
      <c r="L3278" s="9">
        <v>2.0039E-4</v>
      </c>
      <c r="M3278" s="9">
        <v>1.5799999999999999E-4</v>
      </c>
      <c r="N3278" s="9">
        <v>1.2426000000000001E-4</v>
      </c>
      <c r="O3278" s="9">
        <v>1.6401E-4</v>
      </c>
      <c r="P3278" s="9">
        <v>1.7296E-4</v>
      </c>
      <c r="Q3278" s="9">
        <v>1.8091E-4</v>
      </c>
      <c r="R3278" s="10">
        <v>5.6912056681388587E-5</v>
      </c>
      <c r="S3278" s="10">
        <v>1.4944152914084341E-4</v>
      </c>
      <c r="T3278" s="10">
        <v>4.9290385504587963E-4</v>
      </c>
      <c r="U3278" s="10">
        <v>9.268E-5</v>
      </c>
      <c r="V3278" s="25"/>
      <c r="W3278" s="25"/>
      <c r="X3278" s="25"/>
      <c r="Y3278" s="25"/>
      <c r="Z3278" s="25"/>
      <c r="AA3278" s="25"/>
    </row>
    <row r="3279" spans="1:27" x14ac:dyDescent="0.35">
      <c r="A3279" s="5">
        <v>3275</v>
      </c>
      <c r="B3279" s="5">
        <v>137</v>
      </c>
      <c r="C3279" s="5">
        <v>5</v>
      </c>
      <c r="D3279" s="25">
        <v>1.1416E-4</v>
      </c>
      <c r="E3279" s="25">
        <v>1.1893E-4</v>
      </c>
      <c r="F3279" s="25">
        <v>1.1169E-4</v>
      </c>
      <c r="G3279" s="25">
        <v>1.6605E-4</v>
      </c>
      <c r="H3279" s="25">
        <v>1.9086999999999999E-4</v>
      </c>
      <c r="I3279" s="9">
        <v>9.3869999999999994E-5</v>
      </c>
      <c r="J3279" s="9">
        <v>1.0117E-4</v>
      </c>
      <c r="K3279" s="9">
        <v>1.6531E-4</v>
      </c>
      <c r="L3279" s="9">
        <v>1.7213999999999999E-4</v>
      </c>
      <c r="M3279" s="9">
        <v>1.7131000000000001E-4</v>
      </c>
      <c r="N3279" s="9">
        <v>1.4210000000000001E-4</v>
      </c>
      <c r="O3279" s="9">
        <v>1.6498000000000001E-4</v>
      </c>
      <c r="P3279" s="9">
        <v>1.7263000000000001E-4</v>
      </c>
      <c r="Q3279" s="9">
        <v>1.7930999999999999E-4</v>
      </c>
      <c r="R3279" s="10">
        <v>7.7610037818050107E-5</v>
      </c>
      <c r="S3279" s="10">
        <v>1.4887355768842045E-4</v>
      </c>
      <c r="T3279" s="10">
        <v>5.3831182516784245E-4</v>
      </c>
      <c r="U3279" s="10">
        <v>9.268E-5</v>
      </c>
      <c r="V3279" s="25"/>
      <c r="W3279" s="25"/>
      <c r="X3279" s="25"/>
      <c r="Y3279" s="25"/>
      <c r="Z3279" s="25"/>
      <c r="AA3279" s="25"/>
    </row>
    <row r="3280" spans="1:27" x14ac:dyDescent="0.35">
      <c r="A3280" s="5">
        <v>3276</v>
      </c>
      <c r="B3280" s="5">
        <v>137</v>
      </c>
      <c r="C3280" s="5">
        <v>5</v>
      </c>
      <c r="D3280" s="25">
        <v>1.1415000000000001E-4</v>
      </c>
      <c r="E3280" s="25">
        <v>1.1535E-4</v>
      </c>
      <c r="F3280" s="25">
        <v>1.2092E-4</v>
      </c>
      <c r="G3280" s="25">
        <v>1.6018E-4</v>
      </c>
      <c r="H3280" s="25">
        <v>1.9898999999999999E-4</v>
      </c>
      <c r="I3280" s="9">
        <v>9.2839999999999999E-5</v>
      </c>
      <c r="J3280" s="9">
        <v>1.0176E-4</v>
      </c>
      <c r="K3280" s="9">
        <v>1.3776000000000001E-4</v>
      </c>
      <c r="L3280" s="9">
        <v>1.6793E-4</v>
      </c>
      <c r="M3280" s="9">
        <v>1.7401999999999999E-4</v>
      </c>
      <c r="N3280" s="9">
        <v>1.5616999999999999E-4</v>
      </c>
      <c r="O3280" s="9">
        <v>1.6679999999999999E-4</v>
      </c>
      <c r="P3280" s="9">
        <v>1.7039E-4</v>
      </c>
      <c r="Q3280" s="9">
        <v>1.7305000000000001E-4</v>
      </c>
      <c r="R3280" s="10">
        <v>8.6627379392829228E-5</v>
      </c>
      <c r="S3280" s="10">
        <v>1.5320170028154448E-4</v>
      </c>
      <c r="T3280" s="10">
        <v>5.047394526393284E-4</v>
      </c>
      <c r="U3280" s="10">
        <v>9.268E-5</v>
      </c>
      <c r="V3280" s="25"/>
      <c r="W3280" s="25"/>
      <c r="X3280" s="25"/>
      <c r="Y3280" s="25"/>
      <c r="Z3280" s="25"/>
      <c r="AA3280" s="25"/>
    </row>
    <row r="3281" spans="1:27" x14ac:dyDescent="0.35">
      <c r="A3281" s="5">
        <v>3277</v>
      </c>
      <c r="B3281" s="5">
        <v>137</v>
      </c>
      <c r="C3281" s="5">
        <v>5</v>
      </c>
      <c r="D3281" s="25">
        <v>1.1416E-4</v>
      </c>
      <c r="E3281" s="25">
        <v>1.1658E-4</v>
      </c>
      <c r="F3281" s="25">
        <v>1.1257E-4</v>
      </c>
      <c r="G3281" s="25">
        <v>1.6600999999999999E-4</v>
      </c>
      <c r="H3281" s="25">
        <v>1.9431E-4</v>
      </c>
      <c r="I3281" s="9">
        <v>8.7609999999999996E-5</v>
      </c>
      <c r="J3281" s="9">
        <v>1.0073000000000001E-4</v>
      </c>
      <c r="K3281" s="9">
        <v>1.314E-4</v>
      </c>
      <c r="L3281" s="9">
        <v>1.6718000000000001E-4</v>
      </c>
      <c r="M3281" s="9">
        <v>1.7296E-4</v>
      </c>
      <c r="N3281" s="9">
        <v>1.6545000000000001E-4</v>
      </c>
      <c r="O3281" s="9">
        <v>1.5893E-4</v>
      </c>
      <c r="P3281" s="9">
        <v>1.6318999999999999E-4</v>
      </c>
      <c r="Q3281" s="9">
        <v>1.6657E-4</v>
      </c>
      <c r="R3281" s="10">
        <v>1.1489007249714306E-4</v>
      </c>
      <c r="S3281" s="10">
        <v>1.5803176503862286E-4</v>
      </c>
      <c r="T3281" s="10">
        <v>6.5264624321036298E-4</v>
      </c>
      <c r="U3281" s="10">
        <v>9.268E-5</v>
      </c>
      <c r="V3281" s="25"/>
      <c r="W3281" s="25"/>
      <c r="X3281" s="25"/>
      <c r="Y3281" s="25"/>
      <c r="Z3281" s="25"/>
      <c r="AA3281" s="25"/>
    </row>
    <row r="3282" spans="1:27" x14ac:dyDescent="0.35">
      <c r="A3282" s="5">
        <v>3278</v>
      </c>
      <c r="B3282" s="5">
        <v>137</v>
      </c>
      <c r="C3282" s="5">
        <v>5</v>
      </c>
      <c r="D3282" s="25">
        <v>1.1415000000000001E-4</v>
      </c>
      <c r="E3282" s="25">
        <v>1.1981000000000001E-4</v>
      </c>
      <c r="F3282" s="25">
        <v>1.0995E-4</v>
      </c>
      <c r="G3282" s="25">
        <v>1.6336000000000001E-4</v>
      </c>
      <c r="H3282" s="25">
        <v>1.9605999999999999E-4</v>
      </c>
      <c r="I3282" s="9">
        <v>8.5699999999999996E-5</v>
      </c>
      <c r="J3282" s="9">
        <v>9.9309999999999996E-5</v>
      </c>
      <c r="K3282" s="9">
        <v>1.1657E-4</v>
      </c>
      <c r="L3282" s="9">
        <v>1.6051999999999999E-4</v>
      </c>
      <c r="M3282" s="9">
        <v>1.6912000000000001E-4</v>
      </c>
      <c r="N3282" s="9">
        <v>1.6966999999999999E-4</v>
      </c>
      <c r="O3282" s="9">
        <v>1.7584999999999999E-4</v>
      </c>
      <c r="P3282" s="9">
        <v>1.6867999999999999E-4</v>
      </c>
      <c r="Q3282" s="9">
        <v>1.6066E-4</v>
      </c>
      <c r="R3282" s="10">
        <v>1.3283379548314963E-4</v>
      </c>
      <c r="S3282" s="10">
        <v>1.6347054972535479E-4</v>
      </c>
      <c r="T3282" s="10">
        <v>6.0694132261114521E-4</v>
      </c>
      <c r="U3282" s="10">
        <v>9.268E-5</v>
      </c>
      <c r="V3282" s="25"/>
      <c r="W3282" s="25"/>
      <c r="X3282" s="25"/>
      <c r="Y3282" s="25"/>
      <c r="Z3282" s="25"/>
      <c r="AA3282" s="25"/>
    </row>
    <row r="3283" spans="1:27" x14ac:dyDescent="0.35">
      <c r="A3283" s="5">
        <v>3279</v>
      </c>
      <c r="B3283" s="5">
        <v>137</v>
      </c>
      <c r="C3283" s="5">
        <v>5</v>
      </c>
      <c r="D3283" s="25">
        <v>1.1416E-4</v>
      </c>
      <c r="E3283" s="25">
        <v>1.1137999999999999E-4</v>
      </c>
      <c r="F3283" s="25">
        <v>1.0873E-4</v>
      </c>
      <c r="G3283" s="25">
        <v>1.6500999999999999E-4</v>
      </c>
      <c r="H3283" s="25">
        <v>1.974E-4</v>
      </c>
      <c r="I3283" s="9">
        <v>8.5119999999999998E-5</v>
      </c>
      <c r="J3283" s="9">
        <v>9.8610000000000006E-5</v>
      </c>
      <c r="K3283" s="9">
        <v>1.2928000000000001E-4</v>
      </c>
      <c r="L3283" s="9">
        <v>1.7264E-4</v>
      </c>
      <c r="M3283" s="9">
        <v>1.6786000000000001E-4</v>
      </c>
      <c r="N3283" s="9">
        <v>1.6934E-4</v>
      </c>
      <c r="O3283" s="9">
        <v>1.8063000000000001E-4</v>
      </c>
      <c r="P3283" s="9">
        <v>1.6676000000000001E-4</v>
      </c>
      <c r="Q3283" s="9">
        <v>1.5211000000000001E-4</v>
      </c>
      <c r="R3283" s="10">
        <v>1.4128837124368422E-4</v>
      </c>
      <c r="S3283" s="10">
        <v>1.6582804197750288E-4</v>
      </c>
      <c r="T3283" s="10">
        <v>5.0515518330748537E-4</v>
      </c>
      <c r="U3283" s="10">
        <v>9.268E-5</v>
      </c>
      <c r="V3283" s="25"/>
      <c r="W3283" s="25"/>
      <c r="X3283" s="25"/>
      <c r="Y3283" s="25"/>
      <c r="Z3283" s="25"/>
      <c r="AA3283" s="25"/>
    </row>
    <row r="3284" spans="1:27" x14ac:dyDescent="0.35">
      <c r="A3284" s="5">
        <v>3280</v>
      </c>
      <c r="B3284" s="5">
        <v>137</v>
      </c>
      <c r="C3284" s="5">
        <v>5</v>
      </c>
      <c r="D3284" s="25">
        <v>1.1415000000000001E-4</v>
      </c>
      <c r="E3284" s="25">
        <v>1.1692999999999999E-4</v>
      </c>
      <c r="F3284" s="25">
        <v>1.1908000000000001E-4</v>
      </c>
      <c r="G3284" s="25">
        <v>1.6249E-4</v>
      </c>
      <c r="H3284" s="25">
        <v>2.0084000000000001E-4</v>
      </c>
      <c r="I3284" s="9">
        <v>8.6509999999999997E-5</v>
      </c>
      <c r="J3284" s="9">
        <v>1.0069E-4</v>
      </c>
      <c r="K3284" s="9">
        <v>1.1656E-4</v>
      </c>
      <c r="L3284" s="9">
        <v>1.7855E-4</v>
      </c>
      <c r="M3284" s="9">
        <v>1.6724E-4</v>
      </c>
      <c r="N3284" s="9">
        <v>1.6553E-4</v>
      </c>
      <c r="O3284" s="9">
        <v>1.9548999999999999E-4</v>
      </c>
      <c r="P3284" s="9">
        <v>1.5309000000000001E-4</v>
      </c>
      <c r="Q3284" s="9">
        <v>1.1022E-4</v>
      </c>
      <c r="R3284" s="10">
        <v>1.4139896921268387E-4</v>
      </c>
      <c r="S3284" s="10">
        <v>1.6538599626793839E-4</v>
      </c>
      <c r="T3284" s="10">
        <v>3.7821309643065309E-4</v>
      </c>
      <c r="U3284" s="10">
        <v>9.268E-5</v>
      </c>
      <c r="V3284" s="25"/>
      <c r="W3284" s="25"/>
      <c r="X3284" s="25"/>
      <c r="Y3284" s="25"/>
      <c r="Z3284" s="25"/>
      <c r="AA3284" s="25"/>
    </row>
    <row r="3285" spans="1:27" x14ac:dyDescent="0.35">
      <c r="A3285" s="5">
        <v>3281</v>
      </c>
      <c r="B3285" s="5">
        <v>137</v>
      </c>
      <c r="C3285" s="5">
        <v>5</v>
      </c>
      <c r="D3285" s="25">
        <v>1.1416E-4</v>
      </c>
      <c r="E3285" s="25">
        <v>1.1865E-4</v>
      </c>
      <c r="F3285" s="25">
        <v>1.1014999999999999E-4</v>
      </c>
      <c r="G3285" s="25">
        <v>1.6311E-4</v>
      </c>
      <c r="H3285" s="25">
        <v>1.9845999999999999E-4</v>
      </c>
      <c r="I3285" s="9">
        <v>9.2180000000000002E-5</v>
      </c>
      <c r="J3285" s="9">
        <v>1.0616E-4</v>
      </c>
      <c r="K3285" s="9">
        <v>1.2292999999999999E-4</v>
      </c>
      <c r="L3285" s="9">
        <v>1.9154999999999999E-4</v>
      </c>
      <c r="M3285" s="9">
        <v>1.6208999999999999E-4</v>
      </c>
      <c r="N3285" s="9">
        <v>1.5207E-4</v>
      </c>
      <c r="O3285" s="9">
        <v>2.0908E-4</v>
      </c>
      <c r="P3285" s="9">
        <v>1.5786000000000001E-4</v>
      </c>
      <c r="Q3285" s="9">
        <v>1.0619E-4</v>
      </c>
      <c r="R3285" s="10">
        <v>1.394398284325541E-4</v>
      </c>
      <c r="S3285" s="10">
        <v>1.6354051556817766E-4</v>
      </c>
      <c r="T3285" s="10">
        <v>1.525561866149126E-4</v>
      </c>
      <c r="U3285" s="10">
        <v>9.268E-5</v>
      </c>
      <c r="V3285" s="25"/>
      <c r="W3285" s="25"/>
      <c r="X3285" s="25"/>
      <c r="Y3285" s="25"/>
      <c r="Z3285" s="25"/>
      <c r="AA3285" s="25"/>
    </row>
    <row r="3286" spans="1:27" x14ac:dyDescent="0.35">
      <c r="A3286" s="5">
        <v>3282</v>
      </c>
      <c r="B3286" s="5">
        <v>137</v>
      </c>
      <c r="C3286" s="5">
        <v>5</v>
      </c>
      <c r="D3286" s="25">
        <v>1.1415000000000001E-4</v>
      </c>
      <c r="E3286" s="25">
        <v>1.1904999999999999E-4</v>
      </c>
      <c r="F3286" s="25">
        <v>1.0863E-4</v>
      </c>
      <c r="G3286" s="25">
        <v>1.5838000000000001E-4</v>
      </c>
      <c r="H3286" s="25">
        <v>1.9802E-4</v>
      </c>
      <c r="I3286" s="9">
        <v>9.7590000000000006E-5</v>
      </c>
      <c r="J3286" s="9">
        <v>1.0747999999999999E-4</v>
      </c>
      <c r="K3286" s="9">
        <v>1.2928000000000001E-4</v>
      </c>
      <c r="L3286" s="9">
        <v>2.0494999999999999E-4</v>
      </c>
      <c r="M3286" s="9">
        <v>1.5913E-4</v>
      </c>
      <c r="N3286" s="9">
        <v>1.3867E-4</v>
      </c>
      <c r="O3286" s="9">
        <v>2.0155999999999999E-4</v>
      </c>
      <c r="P3286" s="9">
        <v>1.596E-4</v>
      </c>
      <c r="Q3286" s="9">
        <v>1.1709000000000001E-4</v>
      </c>
      <c r="R3286" s="10">
        <v>1.2895646164615878E-4</v>
      </c>
      <c r="S3286" s="10">
        <v>1.6490913227653313E-4</v>
      </c>
      <c r="T3286" s="10">
        <v>9.4116332691130943E-5</v>
      </c>
      <c r="U3286" s="10">
        <v>9.268E-5</v>
      </c>
      <c r="V3286" s="25"/>
      <c r="W3286" s="25"/>
      <c r="X3286" s="25"/>
      <c r="Y3286" s="25"/>
      <c r="Z3286" s="25"/>
      <c r="AA3286" s="25"/>
    </row>
    <row r="3287" spans="1:27" x14ac:dyDescent="0.35">
      <c r="A3287" s="5">
        <v>3283</v>
      </c>
      <c r="B3287" s="5">
        <v>137</v>
      </c>
      <c r="C3287" s="5">
        <v>5</v>
      </c>
      <c r="D3287" s="25">
        <v>1.1416E-4</v>
      </c>
      <c r="E3287" s="25">
        <v>1.1853000000000001E-4</v>
      </c>
      <c r="F3287" s="25">
        <v>1.065E-4</v>
      </c>
      <c r="G3287" s="25">
        <v>1.1527E-4</v>
      </c>
      <c r="H3287" s="25">
        <v>1.2857999999999999E-4</v>
      </c>
      <c r="I3287" s="9">
        <v>9.9900000000000002E-5</v>
      </c>
      <c r="J3287" s="9">
        <v>1.0657E-4</v>
      </c>
      <c r="K3287" s="9">
        <v>1.5259E-4</v>
      </c>
      <c r="L3287" s="9">
        <v>2.0196E-4</v>
      </c>
      <c r="M3287" s="9">
        <v>1.5867E-4</v>
      </c>
      <c r="N3287" s="9">
        <v>1.2960000000000001E-4</v>
      </c>
      <c r="O3287" s="9">
        <v>1.6132000000000001E-4</v>
      </c>
      <c r="P3287" s="9">
        <v>1.3407E-4</v>
      </c>
      <c r="Q3287" s="9">
        <v>1.0641000000000001E-4</v>
      </c>
      <c r="R3287" s="10">
        <v>1.0348127469702497E-4</v>
      </c>
      <c r="S3287" s="10">
        <v>1.6343194136610859E-4</v>
      </c>
      <c r="T3287" s="10">
        <v>3.3826901509018211E-5</v>
      </c>
      <c r="U3287" s="10">
        <v>9.268E-5</v>
      </c>
      <c r="V3287" s="25"/>
      <c r="W3287" s="25"/>
      <c r="X3287" s="25"/>
      <c r="Y3287" s="25"/>
      <c r="Z3287" s="25"/>
      <c r="AA3287" s="25"/>
    </row>
    <row r="3288" spans="1:27" x14ac:dyDescent="0.35">
      <c r="A3288" s="5">
        <v>3284</v>
      </c>
      <c r="B3288" s="5">
        <v>137</v>
      </c>
      <c r="C3288" s="5">
        <v>5</v>
      </c>
      <c r="D3288" s="25">
        <v>1.1415000000000001E-4</v>
      </c>
      <c r="E3288" s="25">
        <v>1.1924E-4</v>
      </c>
      <c r="F3288" s="25">
        <v>1.2126E-4</v>
      </c>
      <c r="G3288" s="25">
        <v>1.1457E-4</v>
      </c>
      <c r="H3288" s="25">
        <v>1.2716999999999999E-4</v>
      </c>
      <c r="I3288" s="9">
        <v>1.0021E-4</v>
      </c>
      <c r="J3288" s="9">
        <v>1.0539000000000001E-4</v>
      </c>
      <c r="K3288" s="9">
        <v>2.0346000000000001E-4</v>
      </c>
      <c r="L3288" s="9">
        <v>1.7042000000000001E-4</v>
      </c>
      <c r="M3288" s="9">
        <v>1.4986000000000001E-4</v>
      </c>
      <c r="N3288" s="9">
        <v>1.2043E-4</v>
      </c>
      <c r="O3288" s="9">
        <v>1.2766000000000001E-4</v>
      </c>
      <c r="P3288" s="9">
        <v>1.1499E-4</v>
      </c>
      <c r="Q3288" s="9">
        <v>1.0200999999999999E-4</v>
      </c>
      <c r="R3288" s="10">
        <v>6.9893286895190604E-5</v>
      </c>
      <c r="S3288" s="10">
        <v>1.5827580018258242E-4</v>
      </c>
      <c r="T3288" s="10">
        <v>0</v>
      </c>
      <c r="U3288" s="10">
        <v>9.268E-5</v>
      </c>
      <c r="V3288" s="25"/>
      <c r="W3288" s="25"/>
      <c r="X3288" s="25"/>
      <c r="Y3288" s="25"/>
      <c r="Z3288" s="25"/>
      <c r="AA3288" s="25"/>
    </row>
    <row r="3289" spans="1:27" x14ac:dyDescent="0.35">
      <c r="A3289" s="5">
        <v>3285</v>
      </c>
      <c r="B3289" s="5">
        <v>137</v>
      </c>
      <c r="C3289" s="5">
        <v>5</v>
      </c>
      <c r="D3289" s="25">
        <v>1.1416E-4</v>
      </c>
      <c r="E3289" s="25">
        <v>1.2063E-4</v>
      </c>
      <c r="F3289" s="25">
        <v>1.0917E-4</v>
      </c>
      <c r="G3289" s="25">
        <v>6.1240000000000003E-5</v>
      </c>
      <c r="H3289" s="25">
        <v>6.423E-5</v>
      </c>
      <c r="I3289" s="9">
        <v>1.0143E-4</v>
      </c>
      <c r="J3289" s="9">
        <v>1.053E-4</v>
      </c>
      <c r="K3289" s="9">
        <v>2.2677E-4</v>
      </c>
      <c r="L3289" s="9">
        <v>1.3803E-4</v>
      </c>
      <c r="M3289" s="9">
        <v>1.3485E-4</v>
      </c>
      <c r="N3289" s="9">
        <v>1.1286E-4</v>
      </c>
      <c r="O3289" s="9">
        <v>8.3529999999999995E-5</v>
      </c>
      <c r="P3289" s="9">
        <v>8.5660000000000003E-5</v>
      </c>
      <c r="Q3289" s="9">
        <v>8.7639999999999994E-5</v>
      </c>
      <c r="R3289" s="10">
        <v>5.1155568855880824E-5</v>
      </c>
      <c r="S3289" s="10">
        <v>1.4721971959106444E-4</v>
      </c>
      <c r="T3289" s="10">
        <v>0</v>
      </c>
      <c r="U3289" s="10">
        <v>9.268E-5</v>
      </c>
      <c r="V3289" s="25"/>
      <c r="W3289" s="25"/>
      <c r="X3289" s="25"/>
      <c r="Y3289" s="25"/>
      <c r="Z3289" s="25"/>
      <c r="AA3289" s="25"/>
    </row>
    <row r="3290" spans="1:27" x14ac:dyDescent="0.35">
      <c r="A3290" s="5">
        <v>3286</v>
      </c>
      <c r="B3290" s="5">
        <v>137</v>
      </c>
      <c r="C3290" s="5">
        <v>5</v>
      </c>
      <c r="D3290" s="25">
        <v>1.1415000000000001E-4</v>
      </c>
      <c r="E3290" s="25">
        <v>1.1082E-4</v>
      </c>
      <c r="F3290" s="25">
        <v>1.0325E-4</v>
      </c>
      <c r="G3290" s="25">
        <v>5.5649999999999997E-5</v>
      </c>
      <c r="H3290" s="25">
        <v>7.6340000000000004E-5</v>
      </c>
      <c r="I3290" s="9">
        <v>1.0606E-4</v>
      </c>
      <c r="J3290" s="9">
        <v>1.0451E-4</v>
      </c>
      <c r="K3290" s="9">
        <v>2.3948E-4</v>
      </c>
      <c r="L3290" s="9">
        <v>9.6399999999999999E-5</v>
      </c>
      <c r="M3290" s="9">
        <v>1.1328999999999999E-4</v>
      </c>
      <c r="N3290" s="9">
        <v>1.0518000000000001E-4</v>
      </c>
      <c r="O3290" s="9">
        <v>8.6619999999999994E-5</v>
      </c>
      <c r="P3290" s="9">
        <v>8.7429999999999995E-5</v>
      </c>
      <c r="Q3290" s="9">
        <v>8.8070000000000002E-5</v>
      </c>
      <c r="R3290" s="10">
        <v>4.4153716355908446E-5</v>
      </c>
      <c r="S3290" s="10">
        <v>1.2837744632728147E-4</v>
      </c>
      <c r="T3290" s="10">
        <v>0</v>
      </c>
      <c r="U3290" s="10">
        <v>9.268E-5</v>
      </c>
      <c r="V3290" s="25"/>
      <c r="W3290" s="25"/>
      <c r="X3290" s="25"/>
      <c r="Y3290" s="25"/>
      <c r="Z3290" s="25"/>
      <c r="AA3290" s="25"/>
    </row>
    <row r="3291" spans="1:27" x14ac:dyDescent="0.35">
      <c r="A3291" s="5">
        <v>3287</v>
      </c>
      <c r="B3291" s="5">
        <v>137</v>
      </c>
      <c r="C3291" s="5">
        <v>5</v>
      </c>
      <c r="D3291" s="25">
        <v>1.1416E-4</v>
      </c>
      <c r="E3291" s="25">
        <v>1.1993999999999999E-4</v>
      </c>
      <c r="F3291" s="25">
        <v>1.0197E-4</v>
      </c>
      <c r="G3291" s="25">
        <v>5.5399999999999998E-5</v>
      </c>
      <c r="H3291" s="25">
        <v>7.4270000000000006E-5</v>
      </c>
      <c r="I3291" s="9">
        <v>1.0166E-4</v>
      </c>
      <c r="J3291" s="9">
        <v>9.7769999999999994E-5</v>
      </c>
      <c r="K3291" s="9">
        <v>2.7127E-4</v>
      </c>
      <c r="L3291" s="9">
        <v>8.9699999999999998E-5</v>
      </c>
      <c r="M3291" s="9">
        <v>9.8679999999999997E-5</v>
      </c>
      <c r="N3291" s="9">
        <v>9.9439999999999997E-5</v>
      </c>
      <c r="O3291" s="9">
        <v>7.7070000000000006E-5</v>
      </c>
      <c r="P3291" s="9">
        <v>7.182E-5</v>
      </c>
      <c r="Q3291" s="9">
        <v>6.6589999999999998E-5</v>
      </c>
      <c r="R3291" s="10">
        <v>3.9799972521177728E-5</v>
      </c>
      <c r="S3291" s="10">
        <v>1.050165711431759E-4</v>
      </c>
      <c r="T3291" s="10">
        <v>0</v>
      </c>
      <c r="U3291" s="10">
        <v>9.268E-5</v>
      </c>
      <c r="V3291" s="25"/>
      <c r="W3291" s="25"/>
      <c r="X3291" s="25"/>
      <c r="Y3291" s="25"/>
      <c r="Z3291" s="25"/>
      <c r="AA3291" s="25"/>
    </row>
    <row r="3292" spans="1:27" x14ac:dyDescent="0.35">
      <c r="A3292" s="5">
        <v>3288</v>
      </c>
      <c r="B3292" s="5">
        <v>137</v>
      </c>
      <c r="C3292" s="5">
        <v>5</v>
      </c>
      <c r="D3292" s="25">
        <v>1.1415000000000001E-4</v>
      </c>
      <c r="E3292" s="25">
        <v>1.2077E-4</v>
      </c>
      <c r="F3292" s="25">
        <v>1.1035E-4</v>
      </c>
      <c r="G3292" s="25">
        <v>5.6690000000000001E-5</v>
      </c>
      <c r="H3292" s="25">
        <v>7.2410000000000006E-5</v>
      </c>
      <c r="I3292" s="9">
        <v>9.3869999999999994E-5</v>
      </c>
      <c r="J3292" s="9">
        <v>9.1609999999999999E-5</v>
      </c>
      <c r="K3292" s="9">
        <v>2.8399000000000002E-4</v>
      </c>
      <c r="L3292" s="9">
        <v>7.9839999999999995E-5</v>
      </c>
      <c r="M3292" s="9">
        <v>8.5799999999999998E-5</v>
      </c>
      <c r="N3292" s="9">
        <v>9.0199999999999997E-5</v>
      </c>
      <c r="O3292" s="9">
        <v>6.2559999999999997E-5</v>
      </c>
      <c r="P3292" s="9">
        <v>6.0640000000000002E-5</v>
      </c>
      <c r="Q3292" s="9">
        <v>5.8829999999999997E-5</v>
      </c>
      <c r="R3292" s="10">
        <v>4.1855146178191389E-5</v>
      </c>
      <c r="S3292" s="10">
        <v>1.0435686538384731E-4</v>
      </c>
      <c r="T3292" s="10">
        <v>0</v>
      </c>
      <c r="U3292" s="10">
        <v>9.268E-5</v>
      </c>
      <c r="V3292" s="25"/>
      <c r="W3292" s="25"/>
      <c r="X3292" s="25"/>
      <c r="Y3292" s="25"/>
      <c r="Z3292" s="25"/>
      <c r="AA3292" s="25"/>
    </row>
    <row r="3293" spans="1:27" x14ac:dyDescent="0.35">
      <c r="A3293" s="5">
        <v>3289</v>
      </c>
      <c r="B3293" s="5">
        <v>138</v>
      </c>
      <c r="C3293" s="5">
        <v>5</v>
      </c>
      <c r="D3293" s="25">
        <v>1.1416E-4</v>
      </c>
      <c r="E3293" s="25">
        <v>1.1234E-4</v>
      </c>
      <c r="F3293" s="25">
        <v>1.1705999999999999E-4</v>
      </c>
      <c r="G3293" s="25">
        <v>5.2930000000000003E-5</v>
      </c>
      <c r="H3293" s="25">
        <v>6.745E-5</v>
      </c>
      <c r="I3293" s="9">
        <v>8.975E-5</v>
      </c>
      <c r="J3293" s="9">
        <v>8.7869999999999997E-5</v>
      </c>
      <c r="K3293" s="9">
        <v>2.9881999999999999E-4</v>
      </c>
      <c r="L3293" s="9">
        <v>6.6359999999999995E-5</v>
      </c>
      <c r="M3293" s="9">
        <v>7.3789999999999997E-5</v>
      </c>
      <c r="N3293" s="9">
        <v>8.0890000000000006E-5</v>
      </c>
      <c r="O3293" s="9">
        <v>5.4110000000000002E-5</v>
      </c>
      <c r="P3293" s="9">
        <v>5.3529999999999997E-5</v>
      </c>
      <c r="Q3293" s="9">
        <v>5.3109999999999998E-5</v>
      </c>
      <c r="R3293" s="10">
        <v>4.184057682311446E-5</v>
      </c>
      <c r="S3293" s="10">
        <v>8.9764476862639629E-5</v>
      </c>
      <c r="T3293" s="10">
        <v>0</v>
      </c>
      <c r="U3293" s="10">
        <v>9.2079999999999999E-5</v>
      </c>
      <c r="V3293" s="25"/>
      <c r="W3293" s="25"/>
      <c r="X3293" s="25"/>
      <c r="Y3293" s="25"/>
      <c r="Z3293" s="25"/>
      <c r="AA3293" s="25"/>
    </row>
    <row r="3294" spans="1:27" x14ac:dyDescent="0.35">
      <c r="A3294" s="5">
        <v>3290</v>
      </c>
      <c r="B3294" s="5">
        <v>138</v>
      </c>
      <c r="C3294" s="5">
        <v>5</v>
      </c>
      <c r="D3294" s="25">
        <v>1.1415000000000001E-4</v>
      </c>
      <c r="E3294" s="25">
        <v>1.1365E-4</v>
      </c>
      <c r="F3294" s="25">
        <v>1.2184E-4</v>
      </c>
      <c r="G3294" s="25">
        <v>6.2119999999999995E-5</v>
      </c>
      <c r="H3294" s="25">
        <v>6.2929999999999995E-5</v>
      </c>
      <c r="I3294" s="9">
        <v>8.6920000000000001E-5</v>
      </c>
      <c r="J3294" s="9">
        <v>8.5900000000000001E-5</v>
      </c>
      <c r="K3294" s="9">
        <v>2.9881999999999999E-4</v>
      </c>
      <c r="L3294" s="9">
        <v>5.7179999999999998E-5</v>
      </c>
      <c r="M3294" s="9">
        <v>6.3639999999999994E-5</v>
      </c>
      <c r="N3294" s="9">
        <v>7.1790000000000002E-5</v>
      </c>
      <c r="O3294" s="9">
        <v>1.9660000000000002E-5</v>
      </c>
      <c r="P3294" s="9">
        <v>3.8059999999999998E-5</v>
      </c>
      <c r="Q3294" s="9">
        <v>5.6629999999999998E-5</v>
      </c>
      <c r="R3294" s="10">
        <v>5.0031880989232862E-5</v>
      </c>
      <c r="S3294" s="10">
        <v>8.4074697600997349E-5</v>
      </c>
      <c r="T3294" s="10">
        <v>0</v>
      </c>
      <c r="U3294" s="10">
        <v>9.2079999999999999E-5</v>
      </c>
      <c r="V3294" s="25"/>
      <c r="W3294" s="25"/>
      <c r="X3294" s="25"/>
      <c r="Y3294" s="25"/>
      <c r="Z3294" s="25"/>
      <c r="AA3294" s="25"/>
    </row>
    <row r="3295" spans="1:27" x14ac:dyDescent="0.35">
      <c r="A3295" s="5">
        <v>3291</v>
      </c>
      <c r="B3295" s="5">
        <v>138</v>
      </c>
      <c r="C3295" s="5">
        <v>5</v>
      </c>
      <c r="D3295" s="25">
        <v>1.1416E-4</v>
      </c>
      <c r="E3295" s="25">
        <v>1.1662E-4</v>
      </c>
      <c r="F3295" s="25">
        <v>1.0559E-4</v>
      </c>
      <c r="G3295" s="25">
        <v>6.3020000000000003E-5</v>
      </c>
      <c r="H3295" s="25">
        <v>6.3789999999999997E-5</v>
      </c>
      <c r="I3295" s="9">
        <v>8.5900000000000001E-5</v>
      </c>
      <c r="J3295" s="9">
        <v>8.5179999999999994E-5</v>
      </c>
      <c r="K3295" s="9">
        <v>3.0729999999999999E-4</v>
      </c>
      <c r="L3295" s="9">
        <v>2.8119999999999998E-5</v>
      </c>
      <c r="M3295" s="9">
        <v>5.2110000000000001E-5</v>
      </c>
      <c r="N3295" s="9">
        <v>6.5400000000000004E-5</v>
      </c>
      <c r="O3295" s="9">
        <v>1.416E-5</v>
      </c>
      <c r="P3295" s="9">
        <v>3.7849999999999998E-5</v>
      </c>
      <c r="Q3295" s="9">
        <v>6.1699999999999995E-5</v>
      </c>
      <c r="R3295" s="10">
        <v>7.1261657697086701E-5</v>
      </c>
      <c r="S3295" s="10">
        <v>8.0342857923086167E-5</v>
      </c>
      <c r="T3295" s="10">
        <v>0</v>
      </c>
      <c r="U3295" s="10">
        <v>9.2079999999999999E-5</v>
      </c>
      <c r="V3295" s="25"/>
      <c r="W3295" s="25"/>
      <c r="X3295" s="25"/>
      <c r="Y3295" s="25"/>
      <c r="Z3295" s="25"/>
      <c r="AA3295" s="25"/>
    </row>
    <row r="3296" spans="1:27" x14ac:dyDescent="0.35">
      <c r="A3296" s="5">
        <v>3292</v>
      </c>
      <c r="B3296" s="5">
        <v>138</v>
      </c>
      <c r="C3296" s="5">
        <v>5</v>
      </c>
      <c r="D3296" s="25">
        <v>1.1415000000000001E-4</v>
      </c>
      <c r="E3296" s="25">
        <v>1.1115E-4</v>
      </c>
      <c r="F3296" s="25">
        <v>1.1629E-4</v>
      </c>
      <c r="G3296" s="25">
        <v>5.948E-5</v>
      </c>
      <c r="H3296" s="25">
        <v>6.4880000000000002E-5</v>
      </c>
      <c r="I3296" s="9">
        <v>8.7499999999999999E-5</v>
      </c>
      <c r="J3296" s="9">
        <v>8.5920000000000004E-5</v>
      </c>
      <c r="K3296" s="9">
        <v>3.0729999999999999E-4</v>
      </c>
      <c r="L3296" s="9">
        <v>1.7949999999999999E-5</v>
      </c>
      <c r="M3296" s="9">
        <v>4.4240000000000003E-5</v>
      </c>
      <c r="N3296" s="9">
        <v>6.19E-5</v>
      </c>
      <c r="O3296" s="9">
        <v>1.4260000000000001E-5</v>
      </c>
      <c r="P3296" s="9">
        <v>4.7670000000000003E-5</v>
      </c>
      <c r="Q3296" s="9">
        <v>8.1080000000000003E-5</v>
      </c>
      <c r="R3296" s="10">
        <v>9.0527349766358369E-5</v>
      </c>
      <c r="S3296" s="10">
        <v>7.8723640691912906E-5</v>
      </c>
      <c r="T3296" s="10">
        <v>0</v>
      </c>
      <c r="U3296" s="10">
        <v>9.2079999999999999E-5</v>
      </c>
      <c r="V3296" s="25"/>
      <c r="W3296" s="25"/>
      <c r="X3296" s="25"/>
      <c r="Y3296" s="25"/>
      <c r="Z3296" s="25"/>
      <c r="AA3296" s="25"/>
    </row>
    <row r="3297" spans="1:27" x14ac:dyDescent="0.35">
      <c r="A3297" s="5">
        <v>3293</v>
      </c>
      <c r="B3297" s="5">
        <v>138</v>
      </c>
      <c r="C3297" s="5">
        <v>5</v>
      </c>
      <c r="D3297" s="25">
        <v>1.1416E-4</v>
      </c>
      <c r="E3297" s="25">
        <v>1.1289E-4</v>
      </c>
      <c r="F3297" s="25">
        <v>1.0565000000000001E-4</v>
      </c>
      <c r="G3297" s="25">
        <v>6.1639999999999999E-5</v>
      </c>
      <c r="H3297" s="25">
        <v>6.3380000000000006E-5</v>
      </c>
      <c r="I3297" s="9">
        <v>9.2910000000000003E-5</v>
      </c>
      <c r="J3297" s="9">
        <v>8.8750000000000002E-5</v>
      </c>
      <c r="K3297" s="9">
        <v>2.6279999999999999E-4</v>
      </c>
      <c r="L3297" s="9">
        <v>1.5310000000000001E-5</v>
      </c>
      <c r="M3297" s="9">
        <v>4.3699999999999998E-5</v>
      </c>
      <c r="N3297" s="9">
        <v>6.4629999999999996E-5</v>
      </c>
      <c r="O3297" s="9">
        <v>1.9530000000000001E-5</v>
      </c>
      <c r="P3297" s="9">
        <v>5.6690000000000001E-5</v>
      </c>
      <c r="Q3297" s="9">
        <v>9.3739999999999994E-5</v>
      </c>
      <c r="R3297" s="10">
        <v>1.0142253719986499E-4</v>
      </c>
      <c r="S3297" s="10">
        <v>7.8468563929647426E-5</v>
      </c>
      <c r="T3297" s="10">
        <v>3.860356204314845E-6</v>
      </c>
      <c r="U3297" s="10">
        <v>9.2079999999999999E-5</v>
      </c>
      <c r="V3297" s="25"/>
      <c r="W3297" s="25"/>
      <c r="X3297" s="25"/>
      <c r="Y3297" s="25"/>
      <c r="Z3297" s="25"/>
      <c r="AA3297" s="25"/>
    </row>
    <row r="3298" spans="1:27" x14ac:dyDescent="0.35">
      <c r="A3298" s="5">
        <v>3294</v>
      </c>
      <c r="B3298" s="5">
        <v>138</v>
      </c>
      <c r="C3298" s="5">
        <v>5</v>
      </c>
      <c r="D3298" s="25">
        <v>1.1415000000000001E-4</v>
      </c>
      <c r="E3298" s="25">
        <v>1.1547E-4</v>
      </c>
      <c r="F3298" s="25">
        <v>1.0859E-4</v>
      </c>
      <c r="G3298" s="25">
        <v>1.0975E-4</v>
      </c>
      <c r="H3298" s="25">
        <v>1.3080000000000001E-4</v>
      </c>
      <c r="I3298" s="9">
        <v>1.0334E-4</v>
      </c>
      <c r="J3298" s="9">
        <v>9.7769999999999994E-5</v>
      </c>
      <c r="K3298" s="9">
        <v>1.7166999999999999E-4</v>
      </c>
      <c r="L3298" s="9">
        <v>1.8470000000000001E-5</v>
      </c>
      <c r="M3298" s="9">
        <v>4.8590000000000001E-5</v>
      </c>
      <c r="N3298" s="9">
        <v>7.1210000000000004E-5</v>
      </c>
      <c r="O3298" s="9">
        <v>4.6400000000000003E-5</v>
      </c>
      <c r="P3298" s="9">
        <v>7.6790000000000002E-5</v>
      </c>
      <c r="Q3298" s="9">
        <v>1.0692999999999999E-4</v>
      </c>
      <c r="R3298" s="10">
        <v>1.083612370933791E-4</v>
      </c>
      <c r="S3298" s="10">
        <v>8.6815043550753974E-5</v>
      </c>
      <c r="T3298" s="10">
        <v>4.2743900126018E-5</v>
      </c>
      <c r="U3298" s="10">
        <v>9.2079999999999999E-5</v>
      </c>
      <c r="V3298" s="25"/>
      <c r="W3298" s="25"/>
      <c r="X3298" s="25"/>
      <c r="Y3298" s="25"/>
      <c r="Z3298" s="25"/>
      <c r="AA3298" s="25"/>
    </row>
    <row r="3299" spans="1:27" x14ac:dyDescent="0.35">
      <c r="A3299" s="5">
        <v>3295</v>
      </c>
      <c r="B3299" s="5">
        <v>138</v>
      </c>
      <c r="C3299" s="5">
        <v>5</v>
      </c>
      <c r="D3299" s="25">
        <v>1.1416E-4</v>
      </c>
      <c r="E3299" s="25">
        <v>1.1804E-4</v>
      </c>
      <c r="F3299" s="25">
        <v>1.1226E-4</v>
      </c>
      <c r="G3299" s="25">
        <v>1.0937E-4</v>
      </c>
      <c r="H3299" s="25">
        <v>1.2642E-4</v>
      </c>
      <c r="I3299" s="9">
        <v>1.1319000000000001E-4</v>
      </c>
      <c r="J3299" s="9">
        <v>1.1335E-4</v>
      </c>
      <c r="K3299" s="9">
        <v>1.4200000000000001E-4</v>
      </c>
      <c r="L3299" s="9">
        <v>4.0120000000000002E-5</v>
      </c>
      <c r="M3299" s="9">
        <v>6.0109999999999999E-5</v>
      </c>
      <c r="N3299" s="9">
        <v>8.0900000000000001E-5</v>
      </c>
      <c r="O3299" s="9">
        <v>1.2201000000000001E-4</v>
      </c>
      <c r="P3299" s="9">
        <v>1.1747E-4</v>
      </c>
      <c r="Q3299" s="9">
        <v>1.1252E-4</v>
      </c>
      <c r="R3299" s="10">
        <v>1.2316918577206785E-4</v>
      </c>
      <c r="S3299" s="10">
        <v>9.3963563852492808E-5</v>
      </c>
      <c r="T3299" s="10">
        <v>1.3890494896053328E-4</v>
      </c>
      <c r="U3299" s="10">
        <v>9.2079999999999999E-5</v>
      </c>
      <c r="V3299" s="25"/>
      <c r="W3299" s="25"/>
      <c r="X3299" s="25"/>
      <c r="Y3299" s="25"/>
      <c r="Z3299" s="25"/>
      <c r="AA3299" s="25"/>
    </row>
    <row r="3300" spans="1:27" x14ac:dyDescent="0.35">
      <c r="A3300" s="5">
        <v>3296</v>
      </c>
      <c r="B3300" s="5">
        <v>138</v>
      </c>
      <c r="C3300" s="5">
        <v>5</v>
      </c>
      <c r="D3300" s="25">
        <v>1.1415000000000001E-4</v>
      </c>
      <c r="E3300" s="25">
        <v>1.1767E-4</v>
      </c>
      <c r="F3300" s="25">
        <v>1.2462000000000001E-4</v>
      </c>
      <c r="G3300" s="25">
        <v>1.5843000000000001E-4</v>
      </c>
      <c r="H3300" s="25">
        <v>1.9349999999999999E-4</v>
      </c>
      <c r="I3300" s="9">
        <v>1.1632E-4</v>
      </c>
      <c r="J3300" s="9">
        <v>1.2345999999999999E-4</v>
      </c>
      <c r="K3300" s="9">
        <v>1.3564E-4</v>
      </c>
      <c r="L3300" s="9">
        <v>1.0339E-4</v>
      </c>
      <c r="M3300" s="9">
        <v>8.373E-5</v>
      </c>
      <c r="N3300" s="9">
        <v>9.098E-5</v>
      </c>
      <c r="O3300" s="9">
        <v>2.1723000000000001E-4</v>
      </c>
      <c r="P3300" s="9">
        <v>1.7755000000000001E-4</v>
      </c>
      <c r="Q3300" s="9">
        <v>1.3715999999999999E-4</v>
      </c>
      <c r="R3300" s="10">
        <v>1.1949925314192097E-4</v>
      </c>
      <c r="S3300" s="10">
        <v>1.0079114143929496E-4</v>
      </c>
      <c r="T3300" s="10">
        <v>2.304081174518203E-4</v>
      </c>
      <c r="U3300" s="10">
        <v>9.2079999999999999E-5</v>
      </c>
      <c r="V3300" s="25"/>
      <c r="W3300" s="25"/>
      <c r="X3300" s="25"/>
      <c r="Y3300" s="25"/>
      <c r="Z3300" s="25"/>
      <c r="AA3300" s="25"/>
    </row>
    <row r="3301" spans="1:27" x14ac:dyDescent="0.35">
      <c r="A3301" s="5">
        <v>3297</v>
      </c>
      <c r="B3301" s="5">
        <v>138</v>
      </c>
      <c r="C3301" s="5">
        <v>5</v>
      </c>
      <c r="D3301" s="25">
        <v>1.1416E-4</v>
      </c>
      <c r="E3301" s="25">
        <v>1.1537E-4</v>
      </c>
      <c r="F3301" s="25">
        <v>1.1781999999999999E-4</v>
      </c>
      <c r="G3301" s="25">
        <v>1.5914999999999999E-4</v>
      </c>
      <c r="H3301" s="25">
        <v>1.9519000000000001E-4</v>
      </c>
      <c r="I3301" s="9">
        <v>1.1523000000000001E-4</v>
      </c>
      <c r="J3301" s="9">
        <v>1.272E-4</v>
      </c>
      <c r="K3301" s="9">
        <v>8.9019999999999998E-5</v>
      </c>
      <c r="L3301" s="9">
        <v>1.9044999999999999E-4</v>
      </c>
      <c r="M3301" s="9">
        <v>1.2362000000000001E-4</v>
      </c>
      <c r="N3301" s="9">
        <v>1.0478E-4</v>
      </c>
      <c r="O3301" s="9">
        <v>2.0959E-4</v>
      </c>
      <c r="P3301" s="9">
        <v>1.9426E-4</v>
      </c>
      <c r="Q3301" s="9">
        <v>1.7791000000000001E-4</v>
      </c>
      <c r="R3301" s="10">
        <v>1.1734196364141529E-4</v>
      </c>
      <c r="S3301" s="10">
        <v>1.0617279044912908E-4</v>
      </c>
      <c r="T3301" s="10">
        <v>3.0402638291300696E-4</v>
      </c>
      <c r="U3301" s="10">
        <v>9.2079999999999999E-5</v>
      </c>
      <c r="V3301" s="25"/>
      <c r="W3301" s="25"/>
      <c r="X3301" s="25"/>
      <c r="Y3301" s="25"/>
      <c r="Z3301" s="25"/>
      <c r="AA3301" s="25"/>
    </row>
    <row r="3302" spans="1:27" x14ac:dyDescent="0.35">
      <c r="A3302" s="5">
        <v>3298</v>
      </c>
      <c r="B3302" s="5">
        <v>138</v>
      </c>
      <c r="C3302" s="5">
        <v>5</v>
      </c>
      <c r="D3302" s="25">
        <v>1.1415000000000001E-4</v>
      </c>
      <c r="E3302" s="25">
        <v>1.0902E-4</v>
      </c>
      <c r="F3302" s="25">
        <v>1.0753E-4</v>
      </c>
      <c r="G3302" s="25">
        <v>1.6674999999999999E-4</v>
      </c>
      <c r="H3302" s="25">
        <v>1.8734000000000001E-4</v>
      </c>
      <c r="I3302" s="9">
        <v>1.1165E-4</v>
      </c>
      <c r="J3302" s="9">
        <v>1.2676000000000001E-4</v>
      </c>
      <c r="K3302" s="9">
        <v>7.4179999999999998E-5</v>
      </c>
      <c r="L3302" s="9">
        <v>2.0309000000000001E-4</v>
      </c>
      <c r="M3302" s="9">
        <v>1.5915999999999999E-4</v>
      </c>
      <c r="N3302" s="9">
        <v>1.2496E-4</v>
      </c>
      <c r="O3302" s="9">
        <v>1.6583E-4</v>
      </c>
      <c r="P3302" s="9">
        <v>1.7488000000000001E-4</v>
      </c>
      <c r="Q3302" s="9">
        <v>1.8291999999999999E-4</v>
      </c>
      <c r="R3302" s="10">
        <v>1.2167088204198156E-4</v>
      </c>
      <c r="S3302" s="10">
        <v>1.0852480562675981E-4</v>
      </c>
      <c r="T3302" s="10">
        <v>1.2518583691135284E-4</v>
      </c>
      <c r="U3302" s="10">
        <v>9.2079999999999999E-5</v>
      </c>
      <c r="V3302" s="25"/>
      <c r="W3302" s="25"/>
      <c r="X3302" s="25"/>
      <c r="Y3302" s="25"/>
      <c r="Z3302" s="25"/>
      <c r="AA3302" s="25"/>
    </row>
    <row r="3303" spans="1:27" x14ac:dyDescent="0.35">
      <c r="A3303" s="5">
        <v>3299</v>
      </c>
      <c r="B3303" s="5">
        <v>138</v>
      </c>
      <c r="C3303" s="5">
        <v>5</v>
      </c>
      <c r="D3303" s="25">
        <v>1.1416E-4</v>
      </c>
      <c r="E3303" s="25">
        <v>1.1451E-4</v>
      </c>
      <c r="F3303" s="25">
        <v>1.0372E-4</v>
      </c>
      <c r="G3303" s="25">
        <v>1.5918E-4</v>
      </c>
      <c r="H3303" s="25">
        <v>1.9296E-4</v>
      </c>
      <c r="I3303" s="9">
        <v>1.1027999999999999E-4</v>
      </c>
      <c r="J3303" s="9">
        <v>1.2601999999999999E-4</v>
      </c>
      <c r="K3303" s="9">
        <v>6.1459999999999998E-5</v>
      </c>
      <c r="L3303" s="9">
        <v>1.7409000000000001E-4</v>
      </c>
      <c r="M3303" s="9">
        <v>1.7306999999999999E-4</v>
      </c>
      <c r="N3303" s="9">
        <v>1.4317E-4</v>
      </c>
      <c r="O3303" s="9">
        <v>1.6606999999999999E-4</v>
      </c>
      <c r="P3303" s="9">
        <v>1.7377000000000001E-4</v>
      </c>
      <c r="Q3303" s="9">
        <v>1.8049E-4</v>
      </c>
      <c r="R3303" s="10">
        <v>1.4847403484407855E-4</v>
      </c>
      <c r="S3303" s="10">
        <v>1.1188225219846072E-4</v>
      </c>
      <c r="T3303" s="10">
        <v>2.0166331125353747E-4</v>
      </c>
      <c r="U3303" s="10">
        <v>9.2079999999999999E-5</v>
      </c>
      <c r="V3303" s="25"/>
      <c r="W3303" s="25"/>
      <c r="X3303" s="25"/>
      <c r="Y3303" s="25"/>
      <c r="Z3303" s="25"/>
      <c r="AA3303" s="25"/>
    </row>
    <row r="3304" spans="1:27" x14ac:dyDescent="0.35">
      <c r="A3304" s="5">
        <v>3300</v>
      </c>
      <c r="B3304" s="5">
        <v>138</v>
      </c>
      <c r="C3304" s="5">
        <v>5</v>
      </c>
      <c r="D3304" s="25">
        <v>1.1415000000000001E-4</v>
      </c>
      <c r="E3304" s="25">
        <v>1.1417999999999999E-4</v>
      </c>
      <c r="F3304" s="25">
        <v>1.2253000000000001E-4</v>
      </c>
      <c r="G3304" s="25">
        <v>1.5870000000000001E-4</v>
      </c>
      <c r="H3304" s="25">
        <v>1.9136000000000001E-4</v>
      </c>
      <c r="I3304" s="9">
        <v>1.1022E-4</v>
      </c>
      <c r="J3304" s="9">
        <v>1.2401E-4</v>
      </c>
      <c r="K3304" s="9">
        <v>4.0269999999999999E-5</v>
      </c>
      <c r="L3304" s="9">
        <v>1.6923E-4</v>
      </c>
      <c r="M3304" s="9">
        <v>1.7567E-4</v>
      </c>
      <c r="N3304" s="9">
        <v>1.5741E-4</v>
      </c>
      <c r="O3304" s="9">
        <v>1.6625E-4</v>
      </c>
      <c r="P3304" s="9">
        <v>1.6982999999999999E-4</v>
      </c>
      <c r="Q3304" s="9">
        <v>1.7248E-4</v>
      </c>
      <c r="R3304" s="10">
        <v>1.5269366330837743E-4</v>
      </c>
      <c r="S3304" s="10">
        <v>1.0941444125210469E-4</v>
      </c>
      <c r="T3304" s="10">
        <v>3.9015050561630368E-4</v>
      </c>
      <c r="U3304" s="10">
        <v>9.2079999999999999E-5</v>
      </c>
      <c r="V3304" s="25"/>
      <c r="W3304" s="25"/>
      <c r="X3304" s="25"/>
      <c r="Y3304" s="25"/>
      <c r="Z3304" s="25"/>
      <c r="AA3304" s="25"/>
    </row>
    <row r="3305" spans="1:27" x14ac:dyDescent="0.35">
      <c r="A3305" s="5">
        <v>3301</v>
      </c>
      <c r="B3305" s="5">
        <v>138</v>
      </c>
      <c r="C3305" s="5">
        <v>5</v>
      </c>
      <c r="D3305" s="25">
        <v>1.1416E-4</v>
      </c>
      <c r="E3305" s="25">
        <v>1.1395000000000001E-4</v>
      </c>
      <c r="F3305" s="25">
        <v>1.0923E-4</v>
      </c>
      <c r="G3305" s="25">
        <v>1.6178000000000001E-4</v>
      </c>
      <c r="H3305" s="25">
        <v>1.9881E-4</v>
      </c>
      <c r="I3305" s="9">
        <v>1.1234E-4</v>
      </c>
      <c r="J3305" s="9">
        <v>1.2536000000000001E-4</v>
      </c>
      <c r="K3305" s="9">
        <v>4.4509999999999999E-5</v>
      </c>
      <c r="L3305" s="9">
        <v>1.6707000000000001E-4</v>
      </c>
      <c r="M3305" s="9">
        <v>1.7374999999999999E-4</v>
      </c>
      <c r="N3305" s="9">
        <v>1.6642E-4</v>
      </c>
      <c r="O3305" s="9">
        <v>1.5815999999999999E-4</v>
      </c>
      <c r="P3305" s="9">
        <v>1.6239999999999999E-4</v>
      </c>
      <c r="Q3305" s="9">
        <v>1.6577000000000001E-4</v>
      </c>
      <c r="R3305" s="10">
        <v>1.7992478267279461E-4</v>
      </c>
      <c r="S3305" s="10">
        <v>1.3779951777751889E-4</v>
      </c>
      <c r="T3305" s="10">
        <v>2.1149661420035267E-4</v>
      </c>
      <c r="U3305" s="10">
        <v>9.2079999999999999E-5</v>
      </c>
      <c r="V3305" s="25"/>
      <c r="W3305" s="25"/>
      <c r="X3305" s="25"/>
      <c r="Y3305" s="25"/>
      <c r="Z3305" s="25"/>
      <c r="AA3305" s="25"/>
    </row>
    <row r="3306" spans="1:27" x14ac:dyDescent="0.35">
      <c r="A3306" s="5">
        <v>3302</v>
      </c>
      <c r="B3306" s="5">
        <v>138</v>
      </c>
      <c r="C3306" s="5">
        <v>5</v>
      </c>
      <c r="D3306" s="25">
        <v>1.1415000000000001E-4</v>
      </c>
      <c r="E3306" s="25">
        <v>1.1739E-4</v>
      </c>
      <c r="F3306" s="25">
        <v>1.0598E-4</v>
      </c>
      <c r="G3306" s="25">
        <v>1.5760000000000001E-4</v>
      </c>
      <c r="H3306" s="25">
        <v>1.9589999999999999E-4</v>
      </c>
      <c r="I3306" s="9">
        <v>1.1334E-4</v>
      </c>
      <c r="J3306" s="9">
        <v>1.2443999999999999E-4</v>
      </c>
      <c r="K3306" s="9">
        <v>4.0269999999999999E-5</v>
      </c>
      <c r="L3306" s="9">
        <v>1.5992E-4</v>
      </c>
      <c r="M3306" s="9">
        <v>1.6912000000000001E-4</v>
      </c>
      <c r="N3306" s="9">
        <v>1.7027000000000001E-4</v>
      </c>
      <c r="O3306" s="9">
        <v>1.7593E-4</v>
      </c>
      <c r="P3306" s="9">
        <v>1.6875000000000001E-4</v>
      </c>
      <c r="Q3306" s="9">
        <v>1.6072999999999999E-4</v>
      </c>
      <c r="R3306" s="10">
        <v>1.9212789283998283E-4</v>
      </c>
      <c r="S3306" s="10">
        <v>1.5795802903171861E-4</v>
      </c>
      <c r="T3306" s="10">
        <v>1.0013170093038198E-4</v>
      </c>
      <c r="U3306" s="10">
        <v>9.2079999999999999E-5</v>
      </c>
      <c r="V3306" s="25"/>
      <c r="W3306" s="25"/>
      <c r="X3306" s="25"/>
      <c r="Y3306" s="25"/>
      <c r="Z3306" s="25"/>
      <c r="AA3306" s="25"/>
    </row>
    <row r="3307" spans="1:27" x14ac:dyDescent="0.35">
      <c r="A3307" s="5">
        <v>3303</v>
      </c>
      <c r="B3307" s="5">
        <v>138</v>
      </c>
      <c r="C3307" s="5">
        <v>5</v>
      </c>
      <c r="D3307" s="25">
        <v>1.1416E-4</v>
      </c>
      <c r="E3307" s="25">
        <v>1.1158999999999999E-4</v>
      </c>
      <c r="F3307" s="25">
        <v>1.1409E-4</v>
      </c>
      <c r="G3307" s="25">
        <v>1.6445000000000001E-4</v>
      </c>
      <c r="H3307" s="25">
        <v>1.9881E-4</v>
      </c>
      <c r="I3307" s="9">
        <v>1.1425E-4</v>
      </c>
      <c r="J3307" s="9">
        <v>1.2427E-4</v>
      </c>
      <c r="K3307" s="9">
        <v>3.8160000000000001E-5</v>
      </c>
      <c r="L3307" s="9">
        <v>1.7258E-4</v>
      </c>
      <c r="M3307" s="9">
        <v>1.6770000000000001E-4</v>
      </c>
      <c r="N3307" s="9">
        <v>1.6969000000000001E-4</v>
      </c>
      <c r="O3307" s="9">
        <v>1.8211E-4</v>
      </c>
      <c r="P3307" s="9">
        <v>1.6814E-4</v>
      </c>
      <c r="Q3307" s="9">
        <v>1.5336000000000001E-4</v>
      </c>
      <c r="R3307" s="10">
        <v>1.9264803212541161E-4</v>
      </c>
      <c r="S3307" s="10">
        <v>1.6323900958520665E-4</v>
      </c>
      <c r="T3307" s="10">
        <v>7.0826930974989729E-5</v>
      </c>
      <c r="U3307" s="10">
        <v>9.2079999999999999E-5</v>
      </c>
      <c r="V3307" s="25"/>
      <c r="W3307" s="25"/>
      <c r="X3307" s="25"/>
      <c r="Y3307" s="25"/>
      <c r="Z3307" s="25"/>
      <c r="AA3307" s="25"/>
    </row>
    <row r="3308" spans="1:27" x14ac:dyDescent="0.35">
      <c r="A3308" s="5">
        <v>3304</v>
      </c>
      <c r="B3308" s="5">
        <v>138</v>
      </c>
      <c r="C3308" s="5">
        <v>5</v>
      </c>
      <c r="D3308" s="25">
        <v>1.1415000000000001E-4</v>
      </c>
      <c r="E3308" s="25">
        <v>1.1752999999999999E-4</v>
      </c>
      <c r="F3308" s="25">
        <v>1.1226E-4</v>
      </c>
      <c r="G3308" s="25">
        <v>1.6517999999999999E-4</v>
      </c>
      <c r="H3308" s="25">
        <v>1.9900000000000001E-4</v>
      </c>
      <c r="I3308" s="9">
        <v>1.1533E-4</v>
      </c>
      <c r="J3308" s="9">
        <v>1.2411E-4</v>
      </c>
      <c r="K3308" s="9">
        <v>1.484E-5</v>
      </c>
      <c r="L3308" s="9">
        <v>1.7966999999999999E-4</v>
      </c>
      <c r="M3308" s="9">
        <v>1.6762E-4</v>
      </c>
      <c r="N3308" s="9">
        <v>1.6593000000000001E-4</v>
      </c>
      <c r="O3308" s="9">
        <v>1.9498000000000001E-4</v>
      </c>
      <c r="P3308" s="9">
        <v>1.5269E-4</v>
      </c>
      <c r="Q3308" s="9">
        <v>1.0993E-4</v>
      </c>
      <c r="R3308" s="10">
        <v>1.9560877075434644E-4</v>
      </c>
      <c r="S3308" s="10">
        <v>1.7199113361588154E-4</v>
      </c>
      <c r="T3308" s="10">
        <v>5.3077776734491586E-5</v>
      </c>
      <c r="U3308" s="10">
        <v>9.2079999999999999E-5</v>
      </c>
      <c r="V3308" s="25"/>
      <c r="W3308" s="25"/>
      <c r="X3308" s="25"/>
      <c r="Y3308" s="25"/>
      <c r="Z3308" s="25"/>
      <c r="AA3308" s="25"/>
    </row>
    <row r="3309" spans="1:27" x14ac:dyDescent="0.35">
      <c r="A3309" s="5">
        <v>3305</v>
      </c>
      <c r="B3309" s="5">
        <v>138</v>
      </c>
      <c r="C3309" s="5">
        <v>5</v>
      </c>
      <c r="D3309" s="25">
        <v>1.1416E-4</v>
      </c>
      <c r="E3309" s="25">
        <v>1.1738E-4</v>
      </c>
      <c r="F3309" s="25">
        <v>1.1849999999999999E-4</v>
      </c>
      <c r="G3309" s="25">
        <v>1.6668999999999999E-4</v>
      </c>
      <c r="H3309" s="25">
        <v>1.8621999999999999E-4</v>
      </c>
      <c r="I3309" s="9">
        <v>1.1786999999999999E-4</v>
      </c>
      <c r="J3309" s="9">
        <v>1.2449E-4</v>
      </c>
      <c r="K3309" s="9">
        <v>1.6949999999999999E-5</v>
      </c>
      <c r="L3309" s="9">
        <v>1.9136000000000001E-4</v>
      </c>
      <c r="M3309" s="9">
        <v>1.6233999999999999E-4</v>
      </c>
      <c r="N3309" s="9">
        <v>1.5224999999999999E-4</v>
      </c>
      <c r="O3309" s="9">
        <v>2.1087999999999999E-4</v>
      </c>
      <c r="P3309" s="9">
        <v>1.5922000000000001E-4</v>
      </c>
      <c r="Q3309" s="9">
        <v>1.071E-4</v>
      </c>
      <c r="R3309" s="10">
        <v>2.026674056798606E-4</v>
      </c>
      <c r="S3309" s="10">
        <v>1.78667072438652E-4</v>
      </c>
      <c r="T3309" s="10">
        <v>4.2514824043564152E-5</v>
      </c>
      <c r="U3309" s="10">
        <v>9.2079999999999999E-5</v>
      </c>
      <c r="V3309" s="25"/>
      <c r="W3309" s="25"/>
      <c r="X3309" s="25"/>
      <c r="Y3309" s="25"/>
      <c r="Z3309" s="25"/>
      <c r="AA3309" s="25"/>
    </row>
    <row r="3310" spans="1:27" x14ac:dyDescent="0.35">
      <c r="A3310" s="5">
        <v>3306</v>
      </c>
      <c r="B3310" s="5">
        <v>138</v>
      </c>
      <c r="C3310" s="5">
        <v>5</v>
      </c>
      <c r="D3310" s="25">
        <v>1.1415000000000001E-4</v>
      </c>
      <c r="E3310" s="25">
        <v>1.1236E-4</v>
      </c>
      <c r="F3310" s="25">
        <v>1.2296E-4</v>
      </c>
      <c r="G3310" s="25">
        <v>1.5854000000000001E-4</v>
      </c>
      <c r="H3310" s="25">
        <v>1.9174E-4</v>
      </c>
      <c r="I3310" s="9">
        <v>1.1754E-4</v>
      </c>
      <c r="J3310" s="9">
        <v>1.2063E-4</v>
      </c>
      <c r="K3310" s="9">
        <v>3.8149999999999999E-5</v>
      </c>
      <c r="L3310" s="9">
        <v>2.0635E-4</v>
      </c>
      <c r="M3310" s="9">
        <v>1.5972E-4</v>
      </c>
      <c r="N3310" s="9">
        <v>1.3899E-4</v>
      </c>
      <c r="O3310" s="9">
        <v>2.0212E-4</v>
      </c>
      <c r="P3310" s="9">
        <v>1.6003999999999999E-4</v>
      </c>
      <c r="Q3310" s="9">
        <v>1.1742E-4</v>
      </c>
      <c r="R3310" s="10">
        <v>2.0928741054375522E-4</v>
      </c>
      <c r="S3310" s="10">
        <v>1.8719240306718294E-4</v>
      </c>
      <c r="T3310" s="10">
        <v>4.2642088533816288E-5</v>
      </c>
      <c r="U3310" s="10">
        <v>9.2079999999999999E-5</v>
      </c>
      <c r="V3310" s="25"/>
      <c r="W3310" s="25"/>
      <c r="X3310" s="25"/>
      <c r="Y3310" s="25"/>
      <c r="Z3310" s="25"/>
      <c r="AA3310" s="25"/>
    </row>
    <row r="3311" spans="1:27" x14ac:dyDescent="0.35">
      <c r="A3311" s="5">
        <v>3307</v>
      </c>
      <c r="B3311" s="5">
        <v>138</v>
      </c>
      <c r="C3311" s="5">
        <v>5</v>
      </c>
      <c r="D3311" s="25">
        <v>1.1416E-4</v>
      </c>
      <c r="E3311" s="25">
        <v>1.1272E-4</v>
      </c>
      <c r="F3311" s="25">
        <v>1.1845000000000001E-4</v>
      </c>
      <c r="G3311" s="25">
        <v>1.0868E-4</v>
      </c>
      <c r="H3311" s="25">
        <v>1.2546000000000001E-4</v>
      </c>
      <c r="I3311" s="9">
        <v>1.1594E-4</v>
      </c>
      <c r="J3311" s="9">
        <v>1.1847E-4</v>
      </c>
      <c r="K3311" s="9">
        <v>8.9019999999999998E-5</v>
      </c>
      <c r="L3311" s="9">
        <v>2.0268E-4</v>
      </c>
      <c r="M3311" s="9">
        <v>1.5930999999999999E-4</v>
      </c>
      <c r="N3311" s="9">
        <v>1.2996000000000001E-4</v>
      </c>
      <c r="O3311" s="9">
        <v>1.615E-4</v>
      </c>
      <c r="P3311" s="9">
        <v>1.3422E-4</v>
      </c>
      <c r="Q3311" s="9">
        <v>1.0653E-4</v>
      </c>
      <c r="R3311" s="10">
        <v>2.1128436601380621E-4</v>
      </c>
      <c r="S3311" s="10">
        <v>1.8295607729737614E-4</v>
      </c>
      <c r="T3311" s="10">
        <v>1.1088979250636269E-5</v>
      </c>
      <c r="U3311" s="10">
        <v>9.2079999999999999E-5</v>
      </c>
      <c r="V3311" s="25"/>
      <c r="W3311" s="25"/>
      <c r="X3311" s="25"/>
      <c r="Y3311" s="25"/>
      <c r="Z3311" s="25"/>
      <c r="AA3311" s="25"/>
    </row>
    <row r="3312" spans="1:27" x14ac:dyDescent="0.35">
      <c r="A3312" s="5">
        <v>3308</v>
      </c>
      <c r="B3312" s="5">
        <v>138</v>
      </c>
      <c r="C3312" s="5">
        <v>5</v>
      </c>
      <c r="D3312" s="25">
        <v>1.1415000000000001E-4</v>
      </c>
      <c r="E3312" s="25">
        <v>1.1616E-4</v>
      </c>
      <c r="F3312" s="25">
        <v>1.0998E-4</v>
      </c>
      <c r="G3312" s="25">
        <v>1.1243000000000001E-4</v>
      </c>
      <c r="H3312" s="25">
        <v>1.2454E-4</v>
      </c>
      <c r="I3312" s="9">
        <v>1.1372E-4</v>
      </c>
      <c r="J3312" s="9">
        <v>1.1565000000000001E-4</v>
      </c>
      <c r="K3312" s="9">
        <v>1.4835E-4</v>
      </c>
      <c r="L3312" s="9">
        <v>1.7072999999999999E-4</v>
      </c>
      <c r="M3312" s="9">
        <v>1.5033000000000001E-4</v>
      </c>
      <c r="N3312" s="9">
        <v>1.2078000000000001E-4</v>
      </c>
      <c r="O3312" s="9">
        <v>1.2636E-4</v>
      </c>
      <c r="P3312" s="9">
        <v>1.1383E-4</v>
      </c>
      <c r="Q3312" s="9">
        <v>1.0098E-4</v>
      </c>
      <c r="R3312" s="10">
        <v>2.0944284210789785E-4</v>
      </c>
      <c r="S3312" s="10">
        <v>1.8839053768350973E-4</v>
      </c>
      <c r="T3312" s="10">
        <v>0</v>
      </c>
      <c r="U3312" s="10">
        <v>9.2079999999999999E-5</v>
      </c>
      <c r="V3312" s="25"/>
      <c r="W3312" s="25"/>
      <c r="X3312" s="25"/>
      <c r="Y3312" s="25"/>
      <c r="Z3312" s="25"/>
      <c r="AA3312" s="25"/>
    </row>
    <row r="3313" spans="1:27" x14ac:dyDescent="0.35">
      <c r="A3313" s="5">
        <v>3309</v>
      </c>
      <c r="B3313" s="5">
        <v>138</v>
      </c>
      <c r="C3313" s="5">
        <v>5</v>
      </c>
      <c r="D3313" s="25">
        <v>1.1416E-4</v>
      </c>
      <c r="E3313" s="25">
        <v>1.1865E-4</v>
      </c>
      <c r="F3313" s="25">
        <v>1.0396E-4</v>
      </c>
      <c r="G3313" s="25">
        <v>5.6419999999999999E-5</v>
      </c>
      <c r="H3313" s="25">
        <v>7.025E-5</v>
      </c>
      <c r="I3313" s="9">
        <v>1.1264000000000001E-4</v>
      </c>
      <c r="J3313" s="9">
        <v>1.1466E-4</v>
      </c>
      <c r="K3313" s="9">
        <v>1.6955E-4</v>
      </c>
      <c r="L3313" s="9">
        <v>1.3710999999999999E-4</v>
      </c>
      <c r="M3313" s="9">
        <v>1.3468E-4</v>
      </c>
      <c r="N3313" s="9">
        <v>1.1291E-4</v>
      </c>
      <c r="O3313" s="9">
        <v>8.4079999999999995E-5</v>
      </c>
      <c r="P3313" s="9">
        <v>8.6240000000000001E-5</v>
      </c>
      <c r="Q3313" s="9">
        <v>8.8230000000000001E-5</v>
      </c>
      <c r="R3313" s="10">
        <v>2.0694790437313337E-4</v>
      </c>
      <c r="S3313" s="10">
        <v>1.8341748272330264E-4</v>
      </c>
      <c r="T3313" s="10">
        <v>0</v>
      </c>
      <c r="U3313" s="10">
        <v>9.2079999999999999E-5</v>
      </c>
      <c r="V3313" s="25"/>
      <c r="W3313" s="25"/>
      <c r="X3313" s="25"/>
      <c r="Y3313" s="25"/>
      <c r="Z3313" s="25"/>
      <c r="AA3313" s="25"/>
    </row>
    <row r="3314" spans="1:27" x14ac:dyDescent="0.35">
      <c r="A3314" s="5">
        <v>3310</v>
      </c>
      <c r="B3314" s="5">
        <v>138</v>
      </c>
      <c r="C3314" s="5">
        <v>5</v>
      </c>
      <c r="D3314" s="25">
        <v>1.1415000000000001E-4</v>
      </c>
      <c r="E3314" s="25">
        <v>1.1484000000000001E-4</v>
      </c>
      <c r="F3314" s="25">
        <v>1.1634E-4</v>
      </c>
      <c r="G3314" s="25">
        <v>6.1149999999999996E-5</v>
      </c>
      <c r="H3314" s="25">
        <v>6.3590000000000006E-5</v>
      </c>
      <c r="I3314" s="9">
        <v>1.1517E-4</v>
      </c>
      <c r="J3314" s="9">
        <v>1.1278E-4</v>
      </c>
      <c r="K3314" s="9">
        <v>1.9497000000000001E-4</v>
      </c>
      <c r="L3314" s="9">
        <v>9.666E-5</v>
      </c>
      <c r="M3314" s="9">
        <v>1.1322E-4</v>
      </c>
      <c r="N3314" s="9">
        <v>1.053E-4</v>
      </c>
      <c r="O3314" s="9">
        <v>8.6299999999999997E-5</v>
      </c>
      <c r="P3314" s="9">
        <v>8.7100000000000003E-5</v>
      </c>
      <c r="Q3314" s="9">
        <v>8.7750000000000005E-5</v>
      </c>
      <c r="R3314" s="10">
        <v>1.9404814187262682E-4</v>
      </c>
      <c r="S3314" s="10">
        <v>1.7306767320259897E-4</v>
      </c>
      <c r="T3314" s="10">
        <v>0</v>
      </c>
      <c r="U3314" s="10">
        <v>9.2079999999999999E-5</v>
      </c>
      <c r="V3314" s="25"/>
      <c r="W3314" s="25"/>
      <c r="X3314" s="25"/>
      <c r="Y3314" s="25"/>
      <c r="Z3314" s="25"/>
      <c r="AA3314" s="25"/>
    </row>
    <row r="3315" spans="1:27" x14ac:dyDescent="0.35">
      <c r="A3315" s="5">
        <v>3311</v>
      </c>
      <c r="B3315" s="5">
        <v>138</v>
      </c>
      <c r="C3315" s="5">
        <v>5</v>
      </c>
      <c r="D3315" s="25">
        <v>1.1416E-4</v>
      </c>
      <c r="E3315" s="25">
        <v>1.1838E-4</v>
      </c>
      <c r="F3315" s="25">
        <v>1.2052E-4</v>
      </c>
      <c r="G3315" s="25">
        <v>5.4759999999999997E-5</v>
      </c>
      <c r="H3315" s="25">
        <v>6.3769999999999994E-5</v>
      </c>
      <c r="I3315" s="9">
        <v>1.103E-4</v>
      </c>
      <c r="J3315" s="9">
        <v>1.0574E-4</v>
      </c>
      <c r="K3315" s="9">
        <v>2.1405E-4</v>
      </c>
      <c r="L3315" s="9">
        <v>8.9480000000000004E-5</v>
      </c>
      <c r="M3315" s="9">
        <v>9.857E-5</v>
      </c>
      <c r="N3315" s="9">
        <v>9.9409999999999999E-5</v>
      </c>
      <c r="O3315" s="9">
        <v>7.6970000000000003E-5</v>
      </c>
      <c r="P3315" s="9">
        <v>7.1730000000000006E-5</v>
      </c>
      <c r="Q3315" s="9">
        <v>6.6509999999999998E-5</v>
      </c>
      <c r="R3315" s="10">
        <v>1.5949688490399407E-4</v>
      </c>
      <c r="S3315" s="10">
        <v>1.7023577388122294E-4</v>
      </c>
      <c r="T3315" s="10">
        <v>0</v>
      </c>
      <c r="U3315" s="10">
        <v>9.2079999999999999E-5</v>
      </c>
      <c r="V3315" s="25"/>
      <c r="W3315" s="25"/>
      <c r="X3315" s="25"/>
      <c r="Y3315" s="25"/>
      <c r="Z3315" s="25"/>
      <c r="AA3315" s="25"/>
    </row>
    <row r="3316" spans="1:27" x14ac:dyDescent="0.35">
      <c r="A3316" s="5">
        <v>3312</v>
      </c>
      <c r="B3316" s="5">
        <v>138</v>
      </c>
      <c r="C3316" s="5">
        <v>5</v>
      </c>
      <c r="D3316" s="25">
        <v>1.1415000000000001E-4</v>
      </c>
      <c r="E3316" s="25">
        <v>1.1943E-4</v>
      </c>
      <c r="F3316" s="25">
        <v>1.1789E-4</v>
      </c>
      <c r="G3316" s="25">
        <v>5.8909999999999997E-5</v>
      </c>
      <c r="H3316" s="25">
        <v>6.7559999999999997E-5</v>
      </c>
      <c r="I3316" s="9">
        <v>1.0315999999999999E-4</v>
      </c>
      <c r="J3316" s="9">
        <v>9.7910000000000003E-5</v>
      </c>
      <c r="K3316" s="9">
        <v>2.0981E-4</v>
      </c>
      <c r="L3316" s="9">
        <v>7.9720000000000002E-5</v>
      </c>
      <c r="M3316" s="9">
        <v>8.5690000000000001E-5</v>
      </c>
      <c r="N3316" s="9">
        <v>9.0119999999999998E-5</v>
      </c>
      <c r="O3316" s="9">
        <v>6.2020000000000006E-5</v>
      </c>
      <c r="P3316" s="9">
        <v>6.0109999999999999E-5</v>
      </c>
      <c r="Q3316" s="9">
        <v>5.8310000000000002E-5</v>
      </c>
      <c r="R3316" s="10">
        <v>1.541475971152107E-4</v>
      </c>
      <c r="S3316" s="10">
        <v>1.7452667070951512E-4</v>
      </c>
      <c r="T3316" s="10">
        <v>0</v>
      </c>
      <c r="U3316" s="10">
        <v>9.2079999999999999E-5</v>
      </c>
      <c r="V3316" s="25"/>
      <c r="W3316" s="25"/>
      <c r="X3316" s="25"/>
      <c r="Y3316" s="25"/>
      <c r="Z3316" s="25"/>
      <c r="AA3316" s="25"/>
    </row>
    <row r="3317" spans="1:27" x14ac:dyDescent="0.35">
      <c r="A3317" s="5">
        <v>3313</v>
      </c>
      <c r="B3317" s="5">
        <v>139</v>
      </c>
      <c r="C3317" s="5">
        <v>5</v>
      </c>
      <c r="D3317" s="25">
        <v>1.1416E-4</v>
      </c>
      <c r="E3317" s="25">
        <v>1.1441E-4</v>
      </c>
      <c r="F3317" s="25">
        <v>1.3171999999999999E-4</v>
      </c>
      <c r="G3317" s="25">
        <v>6.1459999999999998E-5</v>
      </c>
      <c r="H3317" s="25">
        <v>4.4140000000000001E-5</v>
      </c>
      <c r="I3317" s="9">
        <v>9.7319999999999997E-5</v>
      </c>
      <c r="J3317" s="9">
        <v>9.2380000000000007E-5</v>
      </c>
      <c r="K3317" s="9">
        <v>2.0133999999999999E-4</v>
      </c>
      <c r="L3317" s="9">
        <v>6.5909999999999997E-5</v>
      </c>
      <c r="M3317" s="9">
        <v>7.3520000000000001E-5</v>
      </c>
      <c r="N3317" s="9">
        <v>8.0690000000000002E-5</v>
      </c>
      <c r="O3317" s="9">
        <v>6.8570000000000002E-5</v>
      </c>
      <c r="P3317" s="9">
        <v>6.1050000000000007E-5</v>
      </c>
      <c r="Q3317" s="9">
        <v>5.384E-5</v>
      </c>
      <c r="R3317" s="10">
        <v>1.4182444589804142E-4</v>
      </c>
      <c r="S3317" s="10">
        <v>1.6816807759540171E-4</v>
      </c>
      <c r="T3317" s="10">
        <v>0</v>
      </c>
      <c r="U3317" s="10">
        <v>9.1990000000000005E-5</v>
      </c>
      <c r="V3317" s="25"/>
      <c r="W3317" s="25"/>
      <c r="X3317" s="25"/>
      <c r="Y3317" s="25"/>
      <c r="Z3317" s="25"/>
      <c r="AA3317" s="25"/>
    </row>
    <row r="3318" spans="1:27" x14ac:dyDescent="0.35">
      <c r="A3318" s="5">
        <v>3314</v>
      </c>
      <c r="B3318" s="5">
        <v>139</v>
      </c>
      <c r="C3318" s="5">
        <v>5</v>
      </c>
      <c r="D3318" s="25">
        <v>1.1415000000000001E-4</v>
      </c>
      <c r="E3318" s="25">
        <v>1.1663E-4</v>
      </c>
      <c r="F3318" s="25">
        <v>1.281E-4</v>
      </c>
      <c r="G3318" s="25">
        <v>6.0600000000000003E-5</v>
      </c>
      <c r="H3318" s="25">
        <v>4.5720000000000003E-5</v>
      </c>
      <c r="I3318" s="9">
        <v>9.4209999999999994E-5</v>
      </c>
      <c r="J3318" s="9">
        <v>9.0190000000000002E-5</v>
      </c>
      <c r="K3318" s="9">
        <v>1.9498000000000001E-4</v>
      </c>
      <c r="L3318" s="9">
        <v>6.8360000000000003E-5</v>
      </c>
      <c r="M3318" s="9">
        <v>6.614E-5</v>
      </c>
      <c r="N3318" s="9">
        <v>7.1779999999999994E-5</v>
      </c>
      <c r="O3318" s="9">
        <v>3.5519999999999999E-5</v>
      </c>
      <c r="P3318" s="9">
        <v>4.545E-5</v>
      </c>
      <c r="Q3318" s="9">
        <v>5.5699999999999999E-5</v>
      </c>
      <c r="R3318" s="10">
        <v>1.483825652193111E-4</v>
      </c>
      <c r="S3318" s="10">
        <v>1.7030444381923467E-4</v>
      </c>
      <c r="T3318" s="10">
        <v>0</v>
      </c>
      <c r="U3318" s="10">
        <v>9.1990000000000005E-5</v>
      </c>
      <c r="V3318" s="25"/>
      <c r="W3318" s="25"/>
      <c r="X3318" s="25"/>
      <c r="Y3318" s="25"/>
      <c r="Z3318" s="25"/>
      <c r="AA3318" s="25"/>
    </row>
    <row r="3319" spans="1:27" x14ac:dyDescent="0.35">
      <c r="A3319" s="5">
        <v>3315</v>
      </c>
      <c r="B3319" s="5">
        <v>139</v>
      </c>
      <c r="C3319" s="5">
        <v>5</v>
      </c>
      <c r="D3319" s="25">
        <v>1.1416E-4</v>
      </c>
      <c r="E3319" s="25">
        <v>1.1497000000000001E-4</v>
      </c>
      <c r="F3319" s="25">
        <v>1.3899999999999999E-4</v>
      </c>
      <c r="G3319" s="25">
        <v>5.677E-5</v>
      </c>
      <c r="H3319" s="25">
        <v>4.579E-5</v>
      </c>
      <c r="I3319" s="9">
        <v>9.3339999999999997E-5</v>
      </c>
      <c r="J3319" s="9">
        <v>8.8850000000000005E-5</v>
      </c>
      <c r="K3319" s="9">
        <v>1.7590999999999999E-4</v>
      </c>
      <c r="L3319" s="9">
        <v>4.2629999999999997E-5</v>
      </c>
      <c r="M3319" s="9">
        <v>5.7139999999999998E-5</v>
      </c>
      <c r="N3319" s="9">
        <v>6.5199999999999999E-5</v>
      </c>
      <c r="O3319" s="9">
        <v>2.2770000000000001E-5</v>
      </c>
      <c r="P3319" s="9">
        <v>4.1829999999999998E-5</v>
      </c>
      <c r="Q3319" s="9">
        <v>6.1179999999999994E-5</v>
      </c>
      <c r="R3319" s="10">
        <v>1.610946769911633E-4</v>
      </c>
      <c r="S3319" s="10">
        <v>1.7924145206828153E-4</v>
      </c>
      <c r="T3319" s="10">
        <v>0</v>
      </c>
      <c r="U3319" s="10">
        <v>9.1990000000000005E-5</v>
      </c>
      <c r="V3319" s="25"/>
      <c r="W3319" s="25"/>
      <c r="X3319" s="25"/>
      <c r="Y3319" s="25"/>
      <c r="Z3319" s="25"/>
      <c r="AA3319" s="25"/>
    </row>
    <row r="3320" spans="1:27" x14ac:dyDescent="0.35">
      <c r="A3320" s="5">
        <v>3316</v>
      </c>
      <c r="B3320" s="5">
        <v>139</v>
      </c>
      <c r="C3320" s="5">
        <v>5</v>
      </c>
      <c r="D3320" s="25">
        <v>1.1415000000000001E-4</v>
      </c>
      <c r="E3320" s="25">
        <v>1.1349999999999999E-4</v>
      </c>
      <c r="F3320" s="25">
        <v>1.3987E-4</v>
      </c>
      <c r="G3320" s="25">
        <v>6.1820000000000001E-5</v>
      </c>
      <c r="H3320" s="25">
        <v>4.617E-5</v>
      </c>
      <c r="I3320" s="9">
        <v>9.4580000000000006E-5</v>
      </c>
      <c r="J3320" s="9">
        <v>8.9129999999999995E-5</v>
      </c>
      <c r="K3320" s="9">
        <v>1.6107E-4</v>
      </c>
      <c r="L3320" s="9">
        <v>2.7759999999999998E-5</v>
      </c>
      <c r="M3320" s="9">
        <v>4.9490000000000002E-5</v>
      </c>
      <c r="N3320" s="9">
        <v>6.1619999999999996E-5</v>
      </c>
      <c r="O3320" s="9">
        <v>2.2289999999999998E-5</v>
      </c>
      <c r="P3320" s="9">
        <v>5.1060000000000002E-5</v>
      </c>
      <c r="Q3320" s="9">
        <v>7.9989999999999998E-5</v>
      </c>
      <c r="R3320" s="10">
        <v>1.7276948444642216E-4</v>
      </c>
      <c r="S3320" s="10">
        <v>1.7772821575631577E-4</v>
      </c>
      <c r="T3320" s="10">
        <v>0</v>
      </c>
      <c r="U3320" s="10">
        <v>9.1990000000000005E-5</v>
      </c>
      <c r="V3320" s="25"/>
      <c r="W3320" s="25"/>
      <c r="X3320" s="25"/>
      <c r="Y3320" s="25"/>
      <c r="Z3320" s="25"/>
      <c r="AA3320" s="25"/>
    </row>
    <row r="3321" spans="1:27" x14ac:dyDescent="0.35">
      <c r="A3321" s="5">
        <v>3317</v>
      </c>
      <c r="B3321" s="5">
        <v>139</v>
      </c>
      <c r="C3321" s="5">
        <v>5</v>
      </c>
      <c r="D3321" s="25">
        <v>1.1416E-4</v>
      </c>
      <c r="E3321" s="25">
        <v>1.1014E-4</v>
      </c>
      <c r="F3321" s="25">
        <v>1.4171E-4</v>
      </c>
      <c r="G3321" s="25">
        <v>5.9790000000000002E-5</v>
      </c>
      <c r="H3321" s="25">
        <v>4.1119999999999999E-5</v>
      </c>
      <c r="I3321" s="9">
        <v>9.8350000000000005E-5</v>
      </c>
      <c r="J3321" s="9">
        <v>9.0870000000000002E-5</v>
      </c>
      <c r="K3321" s="9">
        <v>1.5259E-4</v>
      </c>
      <c r="L3321" s="9">
        <v>2.3949999999999999E-5</v>
      </c>
      <c r="M3321" s="9">
        <v>4.8229999999999997E-5</v>
      </c>
      <c r="N3321" s="9">
        <v>6.4150000000000001E-5</v>
      </c>
      <c r="O3321" s="9">
        <v>2.423E-5</v>
      </c>
      <c r="P3321" s="9">
        <v>5.8869999999999997E-5</v>
      </c>
      <c r="Q3321" s="9">
        <v>9.3560000000000005E-5</v>
      </c>
      <c r="R3321" s="10">
        <v>1.7374143468119543E-4</v>
      </c>
      <c r="S3321" s="10">
        <v>1.6461798838579011E-4</v>
      </c>
      <c r="T3321" s="10">
        <v>4.369414165323396E-6</v>
      </c>
      <c r="U3321" s="10">
        <v>9.1990000000000005E-5</v>
      </c>
      <c r="V3321" s="25"/>
      <c r="W3321" s="25"/>
      <c r="X3321" s="25"/>
      <c r="Y3321" s="25"/>
      <c r="Z3321" s="25"/>
      <c r="AA3321" s="25"/>
    </row>
    <row r="3322" spans="1:27" x14ac:dyDescent="0.35">
      <c r="A3322" s="5">
        <v>3318</v>
      </c>
      <c r="B3322" s="5">
        <v>139</v>
      </c>
      <c r="C3322" s="5">
        <v>5</v>
      </c>
      <c r="D3322" s="25">
        <v>1.1415000000000001E-4</v>
      </c>
      <c r="E3322" s="25">
        <v>1.1579E-4</v>
      </c>
      <c r="F3322" s="25">
        <v>1.448E-4</v>
      </c>
      <c r="G3322" s="25">
        <v>1.0429000000000001E-4</v>
      </c>
      <c r="H3322" s="25">
        <v>8.0389999999999994E-5</v>
      </c>
      <c r="I3322" s="9">
        <v>1.0634E-4</v>
      </c>
      <c r="J3322" s="9">
        <v>9.8380000000000003E-5</v>
      </c>
      <c r="K3322" s="9">
        <v>1.3564E-4</v>
      </c>
      <c r="L3322" s="9">
        <v>2.4090000000000001E-5</v>
      </c>
      <c r="M3322" s="9">
        <v>5.206E-5</v>
      </c>
      <c r="N3322" s="9">
        <v>7.0749999999999999E-5</v>
      </c>
      <c r="O3322" s="9">
        <v>3.0710000000000002E-5</v>
      </c>
      <c r="P3322" s="9">
        <v>6.9369999999999995E-5</v>
      </c>
      <c r="Q3322" s="9">
        <v>1.0796E-4</v>
      </c>
      <c r="R3322" s="10">
        <v>1.7830178076182505E-4</v>
      </c>
      <c r="S3322" s="10">
        <v>1.6360690929727363E-4</v>
      </c>
      <c r="T3322" s="10">
        <v>3.8679920737299738E-5</v>
      </c>
      <c r="U3322" s="10">
        <v>9.1990000000000005E-5</v>
      </c>
      <c r="V3322" s="25"/>
      <c r="W3322" s="25"/>
      <c r="X3322" s="25"/>
      <c r="Y3322" s="25"/>
      <c r="Z3322" s="25"/>
      <c r="AA3322" s="25"/>
    </row>
    <row r="3323" spans="1:27" x14ac:dyDescent="0.35">
      <c r="A3323" s="5">
        <v>3319</v>
      </c>
      <c r="B3323" s="5">
        <v>139</v>
      </c>
      <c r="C3323" s="5">
        <v>5</v>
      </c>
      <c r="D3323" s="25">
        <v>1.1416E-4</v>
      </c>
      <c r="E3323" s="25">
        <v>1.1534E-4</v>
      </c>
      <c r="F3323" s="25">
        <v>1.2697000000000001E-4</v>
      </c>
      <c r="G3323" s="25">
        <v>1.0912E-4</v>
      </c>
      <c r="H3323" s="25">
        <v>7.8510000000000006E-5</v>
      </c>
      <c r="I3323" s="9">
        <v>1.1573E-4</v>
      </c>
      <c r="J3323" s="9">
        <v>1.1323E-4</v>
      </c>
      <c r="K3323" s="9">
        <v>1.1868E-4</v>
      </c>
      <c r="L3323" s="9">
        <v>2.9159999999999999E-5</v>
      </c>
      <c r="M3323" s="9">
        <v>5.9419999999999997E-5</v>
      </c>
      <c r="N3323" s="9">
        <v>8.072E-5</v>
      </c>
      <c r="O3323" s="9">
        <v>4.6400000000000003E-5</v>
      </c>
      <c r="P3323" s="9">
        <v>7.9200000000000001E-5</v>
      </c>
      <c r="Q3323" s="9">
        <v>1.1188000000000001E-4</v>
      </c>
      <c r="R3323" s="10">
        <v>1.8727778869348453E-4</v>
      </c>
      <c r="S3323" s="10">
        <v>1.6458009844050938E-4</v>
      </c>
      <c r="T3323" s="10">
        <v>1.7439477314217945E-4</v>
      </c>
      <c r="U3323" s="10">
        <v>9.1990000000000005E-5</v>
      </c>
      <c r="V3323" s="25"/>
      <c r="W3323" s="25"/>
      <c r="X3323" s="25"/>
      <c r="Y3323" s="25"/>
      <c r="Z3323" s="25"/>
      <c r="AA3323" s="25"/>
    </row>
    <row r="3324" spans="1:27" x14ac:dyDescent="0.35">
      <c r="A3324" s="5">
        <v>3320</v>
      </c>
      <c r="B3324" s="5">
        <v>139</v>
      </c>
      <c r="C3324" s="5">
        <v>5</v>
      </c>
      <c r="D3324" s="25">
        <v>1.1415000000000001E-4</v>
      </c>
      <c r="E3324" s="25">
        <v>1.1882E-4</v>
      </c>
      <c r="F3324" s="25">
        <v>1.3949000000000001E-4</v>
      </c>
      <c r="G3324" s="25">
        <v>1.6390999999999999E-4</v>
      </c>
      <c r="H3324" s="25">
        <v>1.2108999999999999E-4</v>
      </c>
      <c r="I3324" s="9">
        <v>1.2048999999999999E-4</v>
      </c>
      <c r="J3324" s="9">
        <v>1.2336000000000001E-4</v>
      </c>
      <c r="K3324" s="9">
        <v>7.8419999999999998E-5</v>
      </c>
      <c r="L3324" s="9">
        <v>4.2450000000000002E-5</v>
      </c>
      <c r="M3324" s="9">
        <v>6.8380000000000006E-5</v>
      </c>
      <c r="N3324" s="9">
        <v>9.0740000000000002E-5</v>
      </c>
      <c r="O3324" s="9">
        <v>6.8700000000000003E-5</v>
      </c>
      <c r="P3324" s="9">
        <v>1.0331E-4</v>
      </c>
      <c r="Q3324" s="9">
        <v>1.3756E-4</v>
      </c>
      <c r="R3324" s="10">
        <v>1.9840189252455406E-4</v>
      </c>
      <c r="S3324" s="10">
        <v>1.5908648115830554E-4</v>
      </c>
      <c r="T3324" s="10">
        <v>2.1199718786201109E-4</v>
      </c>
      <c r="U3324" s="10">
        <v>9.1990000000000005E-5</v>
      </c>
      <c r="V3324" s="25"/>
      <c r="W3324" s="25"/>
      <c r="X3324" s="25"/>
      <c r="Y3324" s="25"/>
      <c r="Z3324" s="25"/>
      <c r="AA3324" s="25"/>
    </row>
    <row r="3325" spans="1:27" x14ac:dyDescent="0.35">
      <c r="A3325" s="5">
        <v>3321</v>
      </c>
      <c r="B3325" s="5">
        <v>139</v>
      </c>
      <c r="C3325" s="5">
        <v>5</v>
      </c>
      <c r="D3325" s="25">
        <v>1.1416E-4</v>
      </c>
      <c r="E3325" s="25">
        <v>1.1679E-4</v>
      </c>
      <c r="F3325" s="25">
        <v>1.284E-4</v>
      </c>
      <c r="G3325" s="25">
        <v>1.6299000000000001E-4</v>
      </c>
      <c r="H3325" s="25">
        <v>1.1671E-4</v>
      </c>
      <c r="I3325" s="9">
        <v>1.2328E-4</v>
      </c>
      <c r="J3325" s="9">
        <v>1.2698000000000001E-4</v>
      </c>
      <c r="K3325" s="9">
        <v>2.544E-5</v>
      </c>
      <c r="L3325" s="9">
        <v>6.2570000000000006E-5</v>
      </c>
      <c r="M3325" s="9">
        <v>8.3170000000000005E-5</v>
      </c>
      <c r="N3325" s="9">
        <v>1.0472E-4</v>
      </c>
      <c r="O3325" s="9">
        <v>9.8659999999999994E-5</v>
      </c>
      <c r="P3325" s="9">
        <v>1.3757E-4</v>
      </c>
      <c r="Q3325" s="9">
        <v>1.7577000000000001E-4</v>
      </c>
      <c r="R3325" s="10">
        <v>2.0073053676470897E-4</v>
      </c>
      <c r="S3325" s="10">
        <v>1.681746606351486E-4</v>
      </c>
      <c r="T3325" s="10">
        <v>4.5069446577892071E-4</v>
      </c>
      <c r="U3325" s="10">
        <v>9.1990000000000005E-5</v>
      </c>
      <c r="V3325" s="25"/>
      <c r="W3325" s="25"/>
      <c r="X3325" s="25"/>
      <c r="Y3325" s="25"/>
      <c r="Z3325" s="25"/>
      <c r="AA3325" s="25"/>
    </row>
    <row r="3326" spans="1:27" x14ac:dyDescent="0.35">
      <c r="A3326" s="5">
        <v>3322</v>
      </c>
      <c r="B3326" s="5">
        <v>139</v>
      </c>
      <c r="C3326" s="5">
        <v>5</v>
      </c>
      <c r="D3326" s="25">
        <v>1.1415000000000001E-4</v>
      </c>
      <c r="E3326" s="25">
        <v>1.186E-4</v>
      </c>
      <c r="F3326" s="25">
        <v>1.3600999999999999E-4</v>
      </c>
      <c r="G3326" s="25">
        <v>1.6470999999999999E-4</v>
      </c>
      <c r="H3326" s="25">
        <v>1.1684E-4</v>
      </c>
      <c r="I3326" s="9">
        <v>1.1923E-4</v>
      </c>
      <c r="J3326" s="9">
        <v>1.2741E-4</v>
      </c>
      <c r="K3326" s="9">
        <v>0</v>
      </c>
      <c r="L3326" s="9">
        <v>9.0199999999999997E-5</v>
      </c>
      <c r="M3326" s="9">
        <v>1.0649000000000001E-4</v>
      </c>
      <c r="N3326" s="9">
        <v>1.2451000000000001E-4</v>
      </c>
      <c r="O3326" s="9">
        <v>1.2768999999999999E-4</v>
      </c>
      <c r="P3326" s="9">
        <v>1.5542E-4</v>
      </c>
      <c r="Q3326" s="9">
        <v>1.8236000000000001E-4</v>
      </c>
      <c r="R3326" s="10">
        <v>2.0204117895285652E-4</v>
      </c>
      <c r="S3326" s="10">
        <v>1.7183413204825804E-4</v>
      </c>
      <c r="T3326" s="10">
        <v>2.9276771767536779E-4</v>
      </c>
      <c r="U3326" s="10">
        <v>9.1990000000000005E-5</v>
      </c>
      <c r="V3326" s="25"/>
      <c r="W3326" s="25"/>
      <c r="X3326" s="25"/>
      <c r="Y3326" s="25"/>
      <c r="Z3326" s="25"/>
      <c r="AA3326" s="25"/>
    </row>
    <row r="3327" spans="1:27" x14ac:dyDescent="0.35">
      <c r="A3327" s="5">
        <v>3323</v>
      </c>
      <c r="B3327" s="5">
        <v>139</v>
      </c>
      <c r="C3327" s="5">
        <v>5</v>
      </c>
      <c r="D3327" s="25">
        <v>1.1416E-4</v>
      </c>
      <c r="E3327" s="25">
        <v>1.1875999999999999E-4</v>
      </c>
      <c r="F3327" s="25">
        <v>1.4409000000000001E-4</v>
      </c>
      <c r="G3327" s="25">
        <v>1.6190000000000001E-4</v>
      </c>
      <c r="H3327" s="25">
        <v>1.2094E-4</v>
      </c>
      <c r="I3327" s="9">
        <v>1.1589E-4</v>
      </c>
      <c r="J3327" s="9">
        <v>1.2762E-4</v>
      </c>
      <c r="K3327" s="9">
        <v>0</v>
      </c>
      <c r="L3327" s="9">
        <v>1.1875999999999999E-4</v>
      </c>
      <c r="M3327" s="9">
        <v>1.2998E-4</v>
      </c>
      <c r="N3327" s="9">
        <v>1.4265E-4</v>
      </c>
      <c r="O3327" s="9">
        <v>1.3599E-4</v>
      </c>
      <c r="P3327" s="9">
        <v>1.5835999999999999E-4</v>
      </c>
      <c r="Q3327" s="9">
        <v>1.7995000000000001E-4</v>
      </c>
      <c r="R3327" s="10">
        <v>2.0654659928206424E-4</v>
      </c>
      <c r="S3327" s="10">
        <v>1.6843319087257022E-4</v>
      </c>
      <c r="T3327" s="10">
        <v>6.2079618344992789E-5</v>
      </c>
      <c r="U3327" s="10">
        <v>9.1990000000000005E-5</v>
      </c>
      <c r="V3327" s="25"/>
      <c r="W3327" s="25"/>
      <c r="X3327" s="25"/>
      <c r="Y3327" s="25"/>
      <c r="Z3327" s="25"/>
      <c r="AA3327" s="25"/>
    </row>
    <row r="3328" spans="1:27" x14ac:dyDescent="0.35">
      <c r="A3328" s="5">
        <v>3324</v>
      </c>
      <c r="B3328" s="5">
        <v>139</v>
      </c>
      <c r="C3328" s="5">
        <v>5</v>
      </c>
      <c r="D3328" s="25">
        <v>1.1415000000000001E-4</v>
      </c>
      <c r="E3328" s="25">
        <v>1.1620000000000001E-4</v>
      </c>
      <c r="F3328" s="25">
        <v>1.2784999999999999E-4</v>
      </c>
      <c r="G3328" s="25">
        <v>1.6534000000000001E-4</v>
      </c>
      <c r="H3328" s="25">
        <v>1.1879000000000001E-4</v>
      </c>
      <c r="I3328" s="9">
        <v>1.1556E-4</v>
      </c>
      <c r="J3328" s="9">
        <v>1.2704E-4</v>
      </c>
      <c r="K3328" s="9">
        <v>0</v>
      </c>
      <c r="L3328" s="9">
        <v>1.3154E-4</v>
      </c>
      <c r="M3328" s="9">
        <v>1.4577000000000001E-4</v>
      </c>
      <c r="N3328" s="9">
        <v>1.5679999999999999E-4</v>
      </c>
      <c r="O3328" s="9">
        <v>1.3661000000000001E-4</v>
      </c>
      <c r="P3328" s="9">
        <v>1.5548999999999999E-4</v>
      </c>
      <c r="Q3328" s="9">
        <v>1.7363E-4</v>
      </c>
      <c r="R3328" s="10">
        <v>2.0343999039619954E-4</v>
      </c>
      <c r="S3328" s="10">
        <v>1.6784364280880251E-4</v>
      </c>
      <c r="T3328" s="10">
        <v>4.058634280127676E-4</v>
      </c>
      <c r="U3328" s="10">
        <v>9.1990000000000005E-5</v>
      </c>
      <c r="V3328" s="25"/>
      <c r="W3328" s="25"/>
      <c r="X3328" s="25"/>
      <c r="Y3328" s="25"/>
      <c r="Z3328" s="25"/>
      <c r="AA3328" s="25"/>
    </row>
    <row r="3329" spans="1:27" x14ac:dyDescent="0.35">
      <c r="A3329" s="5">
        <v>3325</v>
      </c>
      <c r="B3329" s="5">
        <v>139</v>
      </c>
      <c r="C3329" s="5">
        <v>5</v>
      </c>
      <c r="D3329" s="25">
        <v>1.1416E-4</v>
      </c>
      <c r="E3329" s="25">
        <v>1.1231E-4</v>
      </c>
      <c r="F3329" s="25">
        <v>1.3999999999999999E-4</v>
      </c>
      <c r="G3329" s="25">
        <v>1.6589999999999999E-4</v>
      </c>
      <c r="H3329" s="25">
        <v>1.1756000000000001E-4</v>
      </c>
      <c r="I3329" s="9">
        <v>1.1559E-4</v>
      </c>
      <c r="J3329" s="9">
        <v>1.2851E-4</v>
      </c>
      <c r="K3329" s="9">
        <v>0</v>
      </c>
      <c r="L3329" s="9">
        <v>1.3531E-4</v>
      </c>
      <c r="M3329" s="9">
        <v>1.5265999999999999E-4</v>
      </c>
      <c r="N3329" s="9">
        <v>1.6615E-4</v>
      </c>
      <c r="O3329" s="9">
        <v>1.2947999999999999E-4</v>
      </c>
      <c r="P3329" s="9">
        <v>1.4917000000000001E-4</v>
      </c>
      <c r="Q3329" s="9">
        <v>1.6818000000000001E-4</v>
      </c>
      <c r="R3329" s="10">
        <v>2.0947548621238669E-4</v>
      </c>
      <c r="S3329" s="10">
        <v>1.5874851555989014E-4</v>
      </c>
      <c r="T3329" s="10">
        <v>3.4990098949922756E-4</v>
      </c>
      <c r="U3329" s="10">
        <v>9.1990000000000005E-5</v>
      </c>
      <c r="V3329" s="25"/>
      <c r="W3329" s="25"/>
      <c r="X3329" s="25"/>
      <c r="Y3329" s="25"/>
      <c r="Z3329" s="25"/>
      <c r="AA3329" s="25"/>
    </row>
    <row r="3330" spans="1:27" x14ac:dyDescent="0.35">
      <c r="A3330" s="5">
        <v>3326</v>
      </c>
      <c r="B3330" s="5">
        <v>139</v>
      </c>
      <c r="C3330" s="5">
        <v>5</v>
      </c>
      <c r="D3330" s="25">
        <v>1.1415000000000001E-4</v>
      </c>
      <c r="E3330" s="25">
        <v>1.1924E-4</v>
      </c>
      <c r="F3330" s="25">
        <v>1.3184000000000001E-4</v>
      </c>
      <c r="G3330" s="25">
        <v>1.6459999999999999E-4</v>
      </c>
      <c r="H3330" s="25">
        <v>1.1674E-4</v>
      </c>
      <c r="I3330" s="9">
        <v>1.1356E-4</v>
      </c>
      <c r="J3330" s="9">
        <v>1.2924E-4</v>
      </c>
      <c r="K3330" s="9">
        <v>0</v>
      </c>
      <c r="L3330" s="9">
        <v>1.3083999999999999E-4</v>
      </c>
      <c r="M3330" s="9">
        <v>1.5269E-4</v>
      </c>
      <c r="N3330" s="9">
        <v>1.7060999999999999E-4</v>
      </c>
      <c r="O3330" s="9">
        <v>1.1244E-4</v>
      </c>
      <c r="P3330" s="9">
        <v>1.3745000000000001E-4</v>
      </c>
      <c r="Q3330" s="9">
        <v>1.6186999999999999E-4</v>
      </c>
      <c r="R3330" s="10">
        <v>2.0441159141344105E-4</v>
      </c>
      <c r="S3330" s="10">
        <v>1.5454828137720708E-4</v>
      </c>
      <c r="T3330" s="10">
        <v>3.3725089916816504E-4</v>
      </c>
      <c r="U3330" s="10">
        <v>9.1990000000000005E-5</v>
      </c>
      <c r="V3330" s="25"/>
      <c r="W3330" s="25"/>
      <c r="X3330" s="25"/>
      <c r="Y3330" s="25"/>
      <c r="Z3330" s="25"/>
      <c r="AA3330" s="25"/>
    </row>
    <row r="3331" spans="1:27" x14ac:dyDescent="0.35">
      <c r="A3331" s="5">
        <v>3327</v>
      </c>
      <c r="B3331" s="5">
        <v>139</v>
      </c>
      <c r="C3331" s="5">
        <v>5</v>
      </c>
      <c r="D3331" s="25">
        <v>1.1416E-4</v>
      </c>
      <c r="E3331" s="25">
        <v>1.0836E-4</v>
      </c>
      <c r="F3331" s="25">
        <v>1.3097E-4</v>
      </c>
      <c r="G3331" s="25">
        <v>1.6516999999999999E-4</v>
      </c>
      <c r="H3331" s="25">
        <v>1.1679E-4</v>
      </c>
      <c r="I3331" s="9">
        <v>1.1404999999999999E-4</v>
      </c>
      <c r="J3331" s="9">
        <v>1.2883E-4</v>
      </c>
      <c r="K3331" s="9">
        <v>0</v>
      </c>
      <c r="L3331" s="9">
        <v>1.1667000000000001E-4</v>
      </c>
      <c r="M3331" s="9">
        <v>1.4695999999999999E-4</v>
      </c>
      <c r="N3331" s="9">
        <v>1.7038000000000001E-4</v>
      </c>
      <c r="O3331" s="9">
        <v>1.26E-4</v>
      </c>
      <c r="P3331" s="9">
        <v>1.3949000000000001E-4</v>
      </c>
      <c r="Q3331" s="9">
        <v>1.5244E-4</v>
      </c>
      <c r="R3331" s="10">
        <v>1.9156195439086368E-4</v>
      </c>
      <c r="S3331" s="10">
        <v>1.5078075829854385E-4</v>
      </c>
      <c r="T3331" s="10">
        <v>6.3465952858806078E-4</v>
      </c>
      <c r="U3331" s="10">
        <v>9.1990000000000005E-5</v>
      </c>
      <c r="V3331" s="25"/>
      <c r="W3331" s="25"/>
      <c r="X3331" s="25"/>
      <c r="Y3331" s="25"/>
      <c r="Z3331" s="25"/>
      <c r="AA3331" s="25"/>
    </row>
    <row r="3332" spans="1:27" x14ac:dyDescent="0.35">
      <c r="A3332" s="5">
        <v>3328</v>
      </c>
      <c r="B3332" s="5">
        <v>139</v>
      </c>
      <c r="C3332" s="5">
        <v>5</v>
      </c>
      <c r="D3332" s="25">
        <v>1.1415000000000001E-4</v>
      </c>
      <c r="E3332" s="25">
        <v>1.1026E-4</v>
      </c>
      <c r="F3332" s="25">
        <v>1.3177999999999999E-4</v>
      </c>
      <c r="G3332" s="25">
        <v>1.6536E-4</v>
      </c>
      <c r="H3332" s="25">
        <v>1.1702E-4</v>
      </c>
      <c r="I3332" s="9">
        <v>1.1511E-4</v>
      </c>
      <c r="J3332" s="9">
        <v>1.2884999999999999E-4</v>
      </c>
      <c r="K3332" s="9">
        <v>0</v>
      </c>
      <c r="L3332" s="9">
        <v>1.2434999999999999E-4</v>
      </c>
      <c r="M3332" s="9">
        <v>1.4265999999999999E-4</v>
      </c>
      <c r="N3332" s="9">
        <v>1.6645000000000001E-4</v>
      </c>
      <c r="O3332" s="9">
        <v>1.3171999999999999E-4</v>
      </c>
      <c r="P3332" s="9">
        <v>1.2038E-4</v>
      </c>
      <c r="Q3332" s="9">
        <v>1.0882000000000001E-4</v>
      </c>
      <c r="R3332" s="10">
        <v>1.7510097789638591E-4</v>
      </c>
      <c r="S3332" s="10">
        <v>1.3910340724978382E-4</v>
      </c>
      <c r="T3332" s="10">
        <v>3.3417958280341348E-4</v>
      </c>
      <c r="U3332" s="10">
        <v>9.1990000000000005E-5</v>
      </c>
      <c r="V3332" s="25"/>
      <c r="W3332" s="25"/>
      <c r="X3332" s="25"/>
      <c r="Y3332" s="25"/>
      <c r="Z3332" s="25"/>
      <c r="AA3332" s="25"/>
    </row>
    <row r="3333" spans="1:27" x14ac:dyDescent="0.35">
      <c r="A3333" s="5">
        <v>3329</v>
      </c>
      <c r="B3333" s="5">
        <v>139</v>
      </c>
      <c r="C3333" s="5">
        <v>5</v>
      </c>
      <c r="D3333" s="25">
        <v>1.1416E-4</v>
      </c>
      <c r="E3333" s="25">
        <v>1.156E-4</v>
      </c>
      <c r="F3333" s="25">
        <v>1.4353E-4</v>
      </c>
      <c r="G3333" s="25">
        <v>1.6525000000000001E-4</v>
      </c>
      <c r="H3333" s="25">
        <v>1.2266999999999999E-4</v>
      </c>
      <c r="I3333" s="9">
        <v>1.1879000000000001E-4</v>
      </c>
      <c r="J3333" s="9">
        <v>1.293E-4</v>
      </c>
      <c r="K3333" s="9">
        <v>0</v>
      </c>
      <c r="L3333" s="9">
        <v>1.2985000000000001E-4</v>
      </c>
      <c r="M3333" s="9">
        <v>1.3367000000000001E-4</v>
      </c>
      <c r="N3333" s="9">
        <v>1.5248E-4</v>
      </c>
      <c r="O3333" s="9">
        <v>1.4009999999999999E-4</v>
      </c>
      <c r="P3333" s="9">
        <v>1.2420000000000001E-4</v>
      </c>
      <c r="Q3333" s="9">
        <v>1.081E-4</v>
      </c>
      <c r="R3333" s="10">
        <v>1.6019198563301909E-4</v>
      </c>
      <c r="S3333" s="10">
        <v>1.1054234295607084E-4</v>
      </c>
      <c r="T3333" s="10">
        <v>5.3586834695500128E-5</v>
      </c>
      <c r="U3333" s="10">
        <v>9.1990000000000005E-5</v>
      </c>
      <c r="V3333" s="25"/>
      <c r="W3333" s="25"/>
      <c r="X3333" s="25"/>
      <c r="Y3333" s="25"/>
      <c r="Z3333" s="25"/>
      <c r="AA3333" s="25"/>
    </row>
    <row r="3334" spans="1:27" x14ac:dyDescent="0.35">
      <c r="A3334" s="5">
        <v>3330</v>
      </c>
      <c r="B3334" s="5">
        <v>139</v>
      </c>
      <c r="C3334" s="5">
        <v>5</v>
      </c>
      <c r="D3334" s="25">
        <v>1.1415000000000001E-4</v>
      </c>
      <c r="E3334" s="25">
        <v>1.0874000000000001E-4</v>
      </c>
      <c r="F3334" s="25">
        <v>1.4076E-4</v>
      </c>
      <c r="G3334" s="25">
        <v>1.629E-4</v>
      </c>
      <c r="H3334" s="25">
        <v>1.1841999999999999E-4</v>
      </c>
      <c r="I3334" s="9">
        <v>1.1961E-4</v>
      </c>
      <c r="J3334" s="9">
        <v>1.2477000000000001E-4</v>
      </c>
      <c r="K3334" s="9">
        <v>0</v>
      </c>
      <c r="L3334" s="9">
        <v>1.3758999999999999E-4</v>
      </c>
      <c r="M3334" s="9">
        <v>1.2797000000000001E-4</v>
      </c>
      <c r="N3334" s="9">
        <v>1.3931999999999999E-4</v>
      </c>
      <c r="O3334" s="9">
        <v>1.3952999999999999E-4</v>
      </c>
      <c r="P3334" s="9">
        <v>1.2878999999999999E-4</v>
      </c>
      <c r="Q3334" s="9">
        <v>1.1773999999999999E-4</v>
      </c>
      <c r="R3334" s="10">
        <v>1.5836861249671102E-4</v>
      </c>
      <c r="S3334" s="10">
        <v>9.230507555086025E-5</v>
      </c>
      <c r="T3334" s="10">
        <v>1.3495126546336688E-4</v>
      </c>
      <c r="U3334" s="10">
        <v>9.1990000000000005E-5</v>
      </c>
      <c r="V3334" s="25"/>
      <c r="W3334" s="25"/>
      <c r="X3334" s="25"/>
      <c r="Y3334" s="25"/>
      <c r="Z3334" s="25"/>
      <c r="AA3334" s="25"/>
    </row>
    <row r="3335" spans="1:27" x14ac:dyDescent="0.35">
      <c r="A3335" s="5">
        <v>3331</v>
      </c>
      <c r="B3335" s="5">
        <v>139</v>
      </c>
      <c r="C3335" s="5">
        <v>5</v>
      </c>
      <c r="D3335" s="25">
        <v>1.1416E-4</v>
      </c>
      <c r="E3335" s="25">
        <v>1.1715E-4</v>
      </c>
      <c r="F3335" s="25">
        <v>1.3234E-4</v>
      </c>
      <c r="G3335" s="25">
        <v>1.0453E-4</v>
      </c>
      <c r="H3335" s="25">
        <v>7.9120000000000001E-5</v>
      </c>
      <c r="I3335" s="9">
        <v>1.1836E-4</v>
      </c>
      <c r="J3335" s="9">
        <v>1.2126E-4</v>
      </c>
      <c r="K3335" s="9">
        <v>0</v>
      </c>
      <c r="L3335" s="9">
        <v>1.3896000000000001E-4</v>
      </c>
      <c r="M3335" s="9">
        <v>1.27E-4</v>
      </c>
      <c r="N3335" s="9">
        <v>1.3019E-4</v>
      </c>
      <c r="O3335" s="9">
        <v>1.3915999999999999E-4</v>
      </c>
      <c r="P3335" s="9">
        <v>1.2285E-4</v>
      </c>
      <c r="Q3335" s="9">
        <v>1.0634E-4</v>
      </c>
      <c r="R3335" s="10">
        <v>1.556733848964429E-4</v>
      </c>
      <c r="S3335" s="10">
        <v>8.7581618426719665E-5</v>
      </c>
      <c r="T3335" s="10">
        <v>8.738828330646792E-6</v>
      </c>
      <c r="U3335" s="10">
        <v>9.1990000000000005E-5</v>
      </c>
      <c r="V3335" s="25"/>
      <c r="W3335" s="25"/>
      <c r="X3335" s="25"/>
      <c r="Y3335" s="25"/>
      <c r="Z3335" s="25"/>
      <c r="AA3335" s="25"/>
    </row>
    <row r="3336" spans="1:27" x14ac:dyDescent="0.35">
      <c r="A3336" s="5">
        <v>3332</v>
      </c>
      <c r="B3336" s="5">
        <v>139</v>
      </c>
      <c r="C3336" s="5">
        <v>5</v>
      </c>
      <c r="D3336" s="25">
        <v>1.1415000000000001E-4</v>
      </c>
      <c r="E3336" s="25">
        <v>1.0929000000000001E-4</v>
      </c>
      <c r="F3336" s="25">
        <v>1.3171999999999999E-4</v>
      </c>
      <c r="G3336" s="25">
        <v>1.0739E-4</v>
      </c>
      <c r="H3336" s="25">
        <v>8.2919999999999999E-5</v>
      </c>
      <c r="I3336" s="9">
        <v>1.1594E-4</v>
      </c>
      <c r="J3336" s="9">
        <v>1.181E-4</v>
      </c>
      <c r="K3336" s="9">
        <v>0</v>
      </c>
      <c r="L3336" s="9">
        <v>1.3910999999999999E-4</v>
      </c>
      <c r="M3336" s="9">
        <v>1.2552E-4</v>
      </c>
      <c r="N3336" s="9">
        <v>1.2086E-4</v>
      </c>
      <c r="O3336" s="9">
        <v>1.4359999999999999E-4</v>
      </c>
      <c r="P3336" s="9">
        <v>1.2322E-4</v>
      </c>
      <c r="Q3336" s="9">
        <v>1.0266E-4</v>
      </c>
      <c r="R3336" s="10">
        <v>1.3240160294418742E-4</v>
      </c>
      <c r="S3336" s="10">
        <v>8.1850497165377644E-5</v>
      </c>
      <c r="T3336" s="10">
        <v>0</v>
      </c>
      <c r="U3336" s="10">
        <v>9.1990000000000005E-5</v>
      </c>
      <c r="V3336" s="25"/>
      <c r="W3336" s="25"/>
      <c r="X3336" s="25"/>
      <c r="Y3336" s="25"/>
      <c r="Z3336" s="25"/>
      <c r="AA3336" s="25"/>
    </row>
    <row r="3337" spans="1:27" x14ac:dyDescent="0.35">
      <c r="A3337" s="5">
        <v>3333</v>
      </c>
      <c r="B3337" s="5">
        <v>139</v>
      </c>
      <c r="C3337" s="5">
        <v>5</v>
      </c>
      <c r="D3337" s="25">
        <v>1.1416E-4</v>
      </c>
      <c r="E3337" s="25">
        <v>1.1346E-4</v>
      </c>
      <c r="F3337" s="25">
        <v>1.3086E-4</v>
      </c>
      <c r="G3337" s="25">
        <v>6.3390000000000001E-5</v>
      </c>
      <c r="H3337" s="25">
        <v>4.5330000000000001E-5</v>
      </c>
      <c r="I3337" s="9">
        <v>1.1533E-4</v>
      </c>
      <c r="J3337" s="9">
        <v>1.1671999999999999E-4</v>
      </c>
      <c r="K3337" s="9">
        <v>3.1789999999999999E-5</v>
      </c>
      <c r="L3337" s="9">
        <v>1.4265999999999999E-4</v>
      </c>
      <c r="M3337" s="9">
        <v>1.2431000000000001E-4</v>
      </c>
      <c r="N3337" s="9">
        <v>1.1332000000000001E-4</v>
      </c>
      <c r="O3337" s="9">
        <v>8.5119999999999998E-5</v>
      </c>
      <c r="P3337" s="9">
        <v>8.7120000000000006E-5</v>
      </c>
      <c r="Q3337" s="9">
        <v>8.9140000000000004E-5</v>
      </c>
      <c r="R3337" s="10">
        <v>1.2238659052836586E-4</v>
      </c>
      <c r="S3337" s="10">
        <v>6.3582204755803989E-5</v>
      </c>
      <c r="T3337" s="10">
        <v>0</v>
      </c>
      <c r="U3337" s="10">
        <v>9.1990000000000005E-5</v>
      </c>
      <c r="V3337" s="25"/>
      <c r="W3337" s="25"/>
      <c r="X3337" s="25"/>
      <c r="Y3337" s="25"/>
      <c r="Z3337" s="25"/>
      <c r="AA3337" s="25"/>
    </row>
    <row r="3338" spans="1:27" x14ac:dyDescent="0.35">
      <c r="A3338" s="5">
        <v>3334</v>
      </c>
      <c r="B3338" s="5">
        <v>139</v>
      </c>
      <c r="C3338" s="5">
        <v>5</v>
      </c>
      <c r="D3338" s="25">
        <v>1.1415000000000001E-4</v>
      </c>
      <c r="E3338" s="25">
        <v>1.1691E-4</v>
      </c>
      <c r="F3338" s="25">
        <v>1.4456000000000001E-4</v>
      </c>
      <c r="G3338" s="25">
        <v>6.0850000000000002E-5</v>
      </c>
      <c r="H3338" s="25">
        <v>4.3420000000000001E-5</v>
      </c>
      <c r="I3338" s="9">
        <v>1.1647E-4</v>
      </c>
      <c r="J3338" s="9">
        <v>1.1290000000000001E-4</v>
      </c>
      <c r="K3338" s="9">
        <v>4.0269999999999999E-5</v>
      </c>
      <c r="L3338" s="9">
        <v>9.768E-5</v>
      </c>
      <c r="M3338" s="9">
        <v>1.106E-4</v>
      </c>
      <c r="N3338" s="9">
        <v>1.0590999999999999E-4</v>
      </c>
      <c r="O3338" s="9">
        <v>8.7189999999999997E-5</v>
      </c>
      <c r="P3338" s="9">
        <v>8.7830000000000004E-5</v>
      </c>
      <c r="Q3338" s="9">
        <v>8.8480000000000007E-5</v>
      </c>
      <c r="R3338" s="10">
        <v>1.1674772319759914E-4</v>
      </c>
      <c r="S3338" s="10">
        <v>5.5256014148010679E-5</v>
      </c>
      <c r="T3338" s="10">
        <v>0</v>
      </c>
      <c r="U3338" s="10">
        <v>9.1990000000000005E-5</v>
      </c>
      <c r="V3338" s="25"/>
      <c r="W3338" s="25"/>
      <c r="X3338" s="25"/>
      <c r="Y3338" s="25"/>
      <c r="Z3338" s="25"/>
      <c r="AA3338" s="25"/>
    </row>
    <row r="3339" spans="1:27" x14ac:dyDescent="0.35">
      <c r="A3339" s="5">
        <v>3335</v>
      </c>
      <c r="B3339" s="5">
        <v>139</v>
      </c>
      <c r="C3339" s="5">
        <v>5</v>
      </c>
      <c r="D3339" s="25">
        <v>1.1416E-4</v>
      </c>
      <c r="E3339" s="25">
        <v>1.092E-4</v>
      </c>
      <c r="F3339" s="25">
        <v>1.3478000000000001E-4</v>
      </c>
      <c r="G3339" s="25">
        <v>6.0579999999999999E-5</v>
      </c>
      <c r="H3339" s="25">
        <v>3.9950000000000002E-5</v>
      </c>
      <c r="I3339" s="9">
        <v>1.1276E-4</v>
      </c>
      <c r="J3339" s="9">
        <v>1.0587E-4</v>
      </c>
      <c r="K3339" s="9">
        <v>4.2389999999999999E-5</v>
      </c>
      <c r="L3339" s="9">
        <v>9.0740000000000002E-5</v>
      </c>
      <c r="M3339" s="9">
        <v>9.8720000000000003E-5</v>
      </c>
      <c r="N3339" s="9">
        <v>1.0011E-4</v>
      </c>
      <c r="O3339" s="9">
        <v>8.4389999999999997E-5</v>
      </c>
      <c r="P3339" s="9">
        <v>7.5580000000000005E-5</v>
      </c>
      <c r="Q3339" s="9">
        <v>6.6950000000000001E-5</v>
      </c>
      <c r="R3339" s="10">
        <v>1.2999356909590534E-4</v>
      </c>
      <c r="S3339" s="10">
        <v>5.473666117651157E-5</v>
      </c>
      <c r="T3339" s="10">
        <v>0</v>
      </c>
      <c r="U3339" s="10">
        <v>9.1990000000000005E-5</v>
      </c>
      <c r="V3339" s="25"/>
      <c r="W3339" s="25"/>
      <c r="X3339" s="25"/>
      <c r="Y3339" s="25"/>
      <c r="Z3339" s="25"/>
      <c r="AA3339" s="25"/>
    </row>
    <row r="3340" spans="1:27" x14ac:dyDescent="0.35">
      <c r="A3340" s="5">
        <v>3336</v>
      </c>
      <c r="B3340" s="5">
        <v>139</v>
      </c>
      <c r="C3340" s="5">
        <v>5</v>
      </c>
      <c r="D3340" s="25">
        <v>1.1415000000000001E-4</v>
      </c>
      <c r="E3340" s="25">
        <v>1.1053E-4</v>
      </c>
      <c r="F3340" s="25">
        <v>1.2578000000000001E-4</v>
      </c>
      <c r="G3340" s="25">
        <v>6.0350000000000003E-5</v>
      </c>
      <c r="H3340" s="25">
        <v>4.2910000000000001E-5</v>
      </c>
      <c r="I3340" s="9">
        <v>1.0436E-4</v>
      </c>
      <c r="J3340" s="9">
        <v>9.7990000000000002E-5</v>
      </c>
      <c r="K3340" s="9">
        <v>3.8149999999999999E-5</v>
      </c>
      <c r="L3340" s="9">
        <v>8.6030000000000001E-5</v>
      </c>
      <c r="M3340" s="9">
        <v>8.7579999999999998E-5</v>
      </c>
      <c r="N3340" s="9">
        <v>9.0829999999999996E-5</v>
      </c>
      <c r="O3340" s="9">
        <v>7.8289999999999998E-5</v>
      </c>
      <c r="P3340" s="9">
        <v>6.8219999999999994E-5</v>
      </c>
      <c r="Q3340" s="9">
        <v>5.8390000000000002E-5</v>
      </c>
      <c r="R3340" s="10">
        <v>1.6316751544084539E-4</v>
      </c>
      <c r="S3340" s="10">
        <v>6.906736398091978E-5</v>
      </c>
      <c r="T3340" s="10">
        <v>0</v>
      </c>
      <c r="U3340" s="10">
        <v>9.1990000000000005E-5</v>
      </c>
      <c r="V3340" s="25"/>
      <c r="W3340" s="25"/>
      <c r="X3340" s="25"/>
      <c r="Y3340" s="25"/>
      <c r="Z3340" s="25"/>
      <c r="AA3340" s="25"/>
    </row>
    <row r="3341" spans="1:27" x14ac:dyDescent="0.35">
      <c r="A3341" s="5">
        <v>3337</v>
      </c>
      <c r="B3341" s="5">
        <v>140</v>
      </c>
      <c r="C3341" s="5">
        <v>5</v>
      </c>
      <c r="D3341" s="25">
        <v>1.1416E-4</v>
      </c>
      <c r="E3341" s="25">
        <v>1.1811000000000001E-4</v>
      </c>
      <c r="F3341" s="25">
        <v>1.4071E-4</v>
      </c>
      <c r="G3341" s="25">
        <v>5.893E-5</v>
      </c>
      <c r="H3341" s="25">
        <v>1.5840000000000001E-5</v>
      </c>
      <c r="I3341" s="9">
        <v>9.8729999999999998E-5</v>
      </c>
      <c r="J3341" s="9">
        <v>9.3209999999999997E-5</v>
      </c>
      <c r="K3341" s="9">
        <v>4.0269999999999999E-5</v>
      </c>
      <c r="L3341" s="9">
        <v>7.9779999999999998E-5</v>
      </c>
      <c r="M3341" s="9">
        <v>7.8079999999999998E-5</v>
      </c>
      <c r="N3341" s="9">
        <v>8.1290000000000003E-5</v>
      </c>
      <c r="O3341" s="9">
        <v>6.8839999999999998E-5</v>
      </c>
      <c r="P3341" s="9">
        <v>6.1290000000000004E-5</v>
      </c>
      <c r="Q3341" s="9">
        <v>5.4049999999999999E-5</v>
      </c>
      <c r="R3341" s="10">
        <v>1.6567102970798289E-4</v>
      </c>
      <c r="S3341" s="10">
        <v>6.4246893183977254E-5</v>
      </c>
      <c r="T3341" s="10">
        <v>0</v>
      </c>
      <c r="U3341" s="10">
        <v>9.2079999999999999E-5</v>
      </c>
      <c r="V3341" s="25"/>
      <c r="W3341" s="25"/>
      <c r="X3341" s="25"/>
      <c r="Y3341" s="25"/>
      <c r="Z3341" s="25"/>
      <c r="AA3341" s="25"/>
    </row>
    <row r="3342" spans="1:27" x14ac:dyDescent="0.35">
      <c r="A3342" s="5">
        <v>3338</v>
      </c>
      <c r="B3342" s="5">
        <v>140</v>
      </c>
      <c r="C3342" s="5">
        <v>5</v>
      </c>
      <c r="D3342" s="25">
        <v>1.1415000000000001E-4</v>
      </c>
      <c r="E3342" s="25">
        <v>1.1836E-4</v>
      </c>
      <c r="F3342" s="25">
        <v>1.2454999999999999E-4</v>
      </c>
      <c r="G3342" s="25">
        <v>5.2240000000000001E-5</v>
      </c>
      <c r="H3342" s="25">
        <v>1.3540000000000001E-5</v>
      </c>
      <c r="I3342" s="9">
        <v>9.4820000000000004E-5</v>
      </c>
      <c r="J3342" s="9">
        <v>9.0530000000000002E-5</v>
      </c>
      <c r="K3342" s="9">
        <v>3.8149999999999999E-5</v>
      </c>
      <c r="L3342" s="9">
        <v>7.1400000000000001E-5</v>
      </c>
      <c r="M3342" s="9">
        <v>6.9809999999999997E-5</v>
      </c>
      <c r="N3342" s="9">
        <v>7.2260000000000003E-5</v>
      </c>
      <c r="O3342" s="9">
        <v>3.6090000000000002E-5</v>
      </c>
      <c r="P3342" s="9">
        <v>4.6180000000000002E-5</v>
      </c>
      <c r="Q3342" s="9">
        <v>5.66E-5</v>
      </c>
      <c r="R3342" s="10">
        <v>1.5378703264640241E-4</v>
      </c>
      <c r="S3342" s="10">
        <v>5.980977256254908E-5</v>
      </c>
      <c r="T3342" s="10">
        <v>0</v>
      </c>
      <c r="U3342" s="10">
        <v>9.2079999999999999E-5</v>
      </c>
      <c r="V3342" s="25"/>
      <c r="W3342" s="25"/>
      <c r="X3342" s="25"/>
      <c r="Y3342" s="25"/>
      <c r="Z3342" s="25"/>
      <c r="AA3342" s="25"/>
    </row>
    <row r="3343" spans="1:27" x14ac:dyDescent="0.35">
      <c r="A3343" s="5">
        <v>3339</v>
      </c>
      <c r="B3343" s="5">
        <v>140</v>
      </c>
      <c r="C3343" s="5">
        <v>5</v>
      </c>
      <c r="D3343" s="25">
        <v>1.1416E-4</v>
      </c>
      <c r="E3343" s="25">
        <v>1.2349999999999999E-4</v>
      </c>
      <c r="F3343" s="25">
        <v>1.3296E-4</v>
      </c>
      <c r="G3343" s="25">
        <v>5.206E-5</v>
      </c>
      <c r="H3343" s="25">
        <v>1.5909999999999998E-5</v>
      </c>
      <c r="I3343" s="9">
        <v>9.446E-5</v>
      </c>
      <c r="J3343" s="9">
        <v>8.9660000000000006E-5</v>
      </c>
      <c r="K3343" s="9">
        <v>4.0269999999999999E-5</v>
      </c>
      <c r="L3343" s="9">
        <v>4.4079999999999998E-5</v>
      </c>
      <c r="M3343" s="9">
        <v>5.9370000000000002E-5</v>
      </c>
      <c r="N3343" s="9">
        <v>6.5720000000000001E-5</v>
      </c>
      <c r="O3343" s="9">
        <v>2.313E-5</v>
      </c>
      <c r="P3343" s="9">
        <v>4.2490000000000001E-5</v>
      </c>
      <c r="Q3343" s="9">
        <v>6.2160000000000001E-5</v>
      </c>
      <c r="R3343" s="10">
        <v>1.2848808465054269E-4</v>
      </c>
      <c r="S3343" s="10">
        <v>6.1785847190330969E-5</v>
      </c>
      <c r="T3343" s="10">
        <v>0</v>
      </c>
      <c r="U3343" s="10">
        <v>9.2079999999999999E-5</v>
      </c>
      <c r="V3343" s="25"/>
      <c r="W3343" s="25"/>
      <c r="X3343" s="25"/>
      <c r="Y3343" s="25"/>
      <c r="Z3343" s="25"/>
      <c r="AA3343" s="25"/>
    </row>
    <row r="3344" spans="1:27" x14ac:dyDescent="0.35">
      <c r="A3344" s="5">
        <v>3340</v>
      </c>
      <c r="B3344" s="5">
        <v>140</v>
      </c>
      <c r="C3344" s="5">
        <v>5</v>
      </c>
      <c r="D3344" s="25">
        <v>1.1415000000000001E-4</v>
      </c>
      <c r="E3344" s="25">
        <v>1.1904E-4</v>
      </c>
      <c r="F3344" s="25">
        <v>1.2366999999999999E-4</v>
      </c>
      <c r="G3344" s="25">
        <v>6.198E-5</v>
      </c>
      <c r="H3344" s="25">
        <v>1.42E-5</v>
      </c>
      <c r="I3344" s="9">
        <v>9.5619999999999996E-5</v>
      </c>
      <c r="J3344" s="9">
        <v>8.9809999999999996E-5</v>
      </c>
      <c r="K3344" s="9">
        <v>3.6029999999999999E-5</v>
      </c>
      <c r="L3344" s="9">
        <v>2.847E-5</v>
      </c>
      <c r="M3344" s="9">
        <v>5.079E-5</v>
      </c>
      <c r="N3344" s="9">
        <v>6.2219999999999997E-5</v>
      </c>
      <c r="O3344" s="9">
        <v>2.2410000000000001E-5</v>
      </c>
      <c r="P3344" s="9">
        <v>5.134E-5</v>
      </c>
      <c r="Q3344" s="9">
        <v>8.0420000000000006E-5</v>
      </c>
      <c r="R3344" s="10">
        <v>1.0278315622539781E-4</v>
      </c>
      <c r="S3344" s="10">
        <v>5.5984311983253323E-5</v>
      </c>
      <c r="T3344" s="10">
        <v>0</v>
      </c>
      <c r="U3344" s="10">
        <v>9.2079999999999999E-5</v>
      </c>
      <c r="V3344" s="25"/>
      <c r="W3344" s="25"/>
      <c r="X3344" s="25"/>
      <c r="Y3344" s="25"/>
      <c r="Z3344" s="25"/>
      <c r="AA3344" s="25"/>
    </row>
    <row r="3345" spans="1:27" x14ac:dyDescent="0.35">
      <c r="A3345" s="5">
        <v>3341</v>
      </c>
      <c r="B3345" s="5">
        <v>140</v>
      </c>
      <c r="C3345" s="5">
        <v>5</v>
      </c>
      <c r="D3345" s="25">
        <v>1.1416E-4</v>
      </c>
      <c r="E3345" s="25">
        <v>1.1352E-4</v>
      </c>
      <c r="F3345" s="25">
        <v>1.3547E-4</v>
      </c>
      <c r="G3345" s="25">
        <v>5.8909999999999997E-5</v>
      </c>
      <c r="H3345" s="25">
        <v>1.501E-5</v>
      </c>
      <c r="I3345" s="9">
        <v>9.9240000000000005E-5</v>
      </c>
      <c r="J3345" s="9">
        <v>9.1710000000000001E-5</v>
      </c>
      <c r="K3345" s="9">
        <v>3.3909999999999999E-5</v>
      </c>
      <c r="L3345" s="9">
        <v>2.4130000000000001E-5</v>
      </c>
      <c r="M3345" s="9">
        <v>4.8980000000000002E-5</v>
      </c>
      <c r="N3345" s="9">
        <v>6.4720000000000004E-5</v>
      </c>
      <c r="O3345" s="9">
        <v>2.421E-5</v>
      </c>
      <c r="P3345" s="9">
        <v>5.8829999999999997E-5</v>
      </c>
      <c r="Q3345" s="9">
        <v>9.3499999999999996E-5</v>
      </c>
      <c r="R3345" s="10">
        <v>8.8588664489972066E-5</v>
      </c>
      <c r="S3345" s="10">
        <v>6.1980345680737859E-5</v>
      </c>
      <c r="T3345" s="10">
        <v>0</v>
      </c>
      <c r="U3345" s="10">
        <v>9.2079999999999999E-5</v>
      </c>
      <c r="V3345" s="25"/>
      <c r="W3345" s="25"/>
      <c r="X3345" s="25"/>
      <c r="Y3345" s="25"/>
      <c r="Z3345" s="25"/>
      <c r="AA3345" s="25"/>
    </row>
    <row r="3346" spans="1:27" x14ac:dyDescent="0.35">
      <c r="A3346" s="5">
        <v>3342</v>
      </c>
      <c r="B3346" s="5">
        <v>140</v>
      </c>
      <c r="C3346" s="5">
        <v>5</v>
      </c>
      <c r="D3346" s="25">
        <v>1.1415000000000001E-4</v>
      </c>
      <c r="E3346" s="25">
        <v>1.1755E-4</v>
      </c>
      <c r="F3346" s="25">
        <v>1.2887E-4</v>
      </c>
      <c r="G3346" s="25">
        <v>1.0498E-4</v>
      </c>
      <c r="H3346" s="25">
        <v>2.794E-5</v>
      </c>
      <c r="I3346" s="9">
        <v>1.0875E-4</v>
      </c>
      <c r="J3346" s="9">
        <v>9.9469999999999995E-5</v>
      </c>
      <c r="K3346" s="9">
        <v>3.18E-5</v>
      </c>
      <c r="L3346" s="9">
        <v>2.4119999999999999E-5</v>
      </c>
      <c r="M3346" s="9">
        <v>5.2410000000000001E-5</v>
      </c>
      <c r="N3346" s="9">
        <v>7.1210000000000004E-5</v>
      </c>
      <c r="O3346" s="9">
        <v>3.057E-5</v>
      </c>
      <c r="P3346" s="9">
        <v>6.9040000000000003E-5</v>
      </c>
      <c r="Q3346" s="9">
        <v>1.0745E-4</v>
      </c>
      <c r="R3346" s="10">
        <v>8.1055530073154453E-5</v>
      </c>
      <c r="S3346" s="10">
        <v>7.646519599954039E-5</v>
      </c>
      <c r="T3346" s="10">
        <v>4.7944775627655358E-5</v>
      </c>
      <c r="U3346" s="10">
        <v>9.2079999999999999E-5</v>
      </c>
      <c r="V3346" s="25"/>
      <c r="W3346" s="25"/>
      <c r="X3346" s="25"/>
      <c r="Y3346" s="25"/>
      <c r="Z3346" s="25"/>
      <c r="AA3346" s="25"/>
    </row>
    <row r="3347" spans="1:27" x14ac:dyDescent="0.35">
      <c r="A3347" s="5">
        <v>3343</v>
      </c>
      <c r="B3347" s="5">
        <v>140</v>
      </c>
      <c r="C3347" s="5">
        <v>5</v>
      </c>
      <c r="D3347" s="25">
        <v>1.1416E-4</v>
      </c>
      <c r="E3347" s="25">
        <v>1.2029E-4</v>
      </c>
      <c r="F3347" s="25">
        <v>1.3583000000000001E-4</v>
      </c>
      <c r="G3347" s="25">
        <v>1.1503E-4</v>
      </c>
      <c r="H3347" s="25">
        <v>2.906E-5</v>
      </c>
      <c r="I3347" s="9">
        <v>1.1458E-4</v>
      </c>
      <c r="J3347" s="9">
        <v>1.1414E-4</v>
      </c>
      <c r="K3347" s="9">
        <v>2.3309999999999999E-5</v>
      </c>
      <c r="L3347" s="9">
        <v>2.906E-5</v>
      </c>
      <c r="M3347" s="9">
        <v>5.9419999999999997E-5</v>
      </c>
      <c r="N3347" s="9">
        <v>8.0959999999999997E-5</v>
      </c>
      <c r="O3347" s="9">
        <v>4.6560000000000001E-5</v>
      </c>
      <c r="P3347" s="9">
        <v>7.9480000000000005E-5</v>
      </c>
      <c r="Q3347" s="9">
        <v>1.1226E-4</v>
      </c>
      <c r="R3347" s="10">
        <v>8.6273079324220809E-5</v>
      </c>
      <c r="S3347" s="10">
        <v>8.3058316784833096E-5</v>
      </c>
      <c r="T3347" s="10">
        <v>5.7727172778369687E-5</v>
      </c>
      <c r="U3347" s="10">
        <v>9.2079999999999999E-5</v>
      </c>
      <c r="V3347" s="25"/>
      <c r="W3347" s="25"/>
      <c r="X3347" s="25"/>
      <c r="Y3347" s="25"/>
      <c r="Z3347" s="25"/>
      <c r="AA3347" s="25"/>
    </row>
    <row r="3348" spans="1:27" x14ac:dyDescent="0.35">
      <c r="A3348" s="5">
        <v>3344</v>
      </c>
      <c r="B3348" s="5">
        <v>140</v>
      </c>
      <c r="C3348" s="5">
        <v>5</v>
      </c>
      <c r="D3348" s="25">
        <v>1.1415000000000001E-4</v>
      </c>
      <c r="E3348" s="25">
        <v>1.2224E-4</v>
      </c>
      <c r="F3348" s="25">
        <v>1.2381E-4</v>
      </c>
      <c r="G3348" s="25">
        <v>1.6197999999999999E-4</v>
      </c>
      <c r="H3348" s="25">
        <v>4.0439999999999999E-5</v>
      </c>
      <c r="I3348" s="9">
        <v>1.1425E-4</v>
      </c>
      <c r="J3348" s="9">
        <v>1.2417999999999999E-4</v>
      </c>
      <c r="K3348" s="9">
        <v>8.49E-6</v>
      </c>
      <c r="L3348" s="9">
        <v>4.2559999999999999E-5</v>
      </c>
      <c r="M3348" s="9">
        <v>6.8419999999999999E-5</v>
      </c>
      <c r="N3348" s="9">
        <v>9.0950000000000002E-5</v>
      </c>
      <c r="O3348" s="9">
        <v>6.8219999999999994E-5</v>
      </c>
      <c r="P3348" s="9">
        <v>1.0259000000000001E-4</v>
      </c>
      <c r="Q3348" s="9">
        <v>1.3660000000000001E-4</v>
      </c>
      <c r="R3348" s="10">
        <v>8.5203523988561515E-5</v>
      </c>
      <c r="S3348" s="10">
        <v>7.7711788436429929E-5</v>
      </c>
      <c r="T3348" s="10">
        <v>2.1008822050822901E-4</v>
      </c>
      <c r="U3348" s="10">
        <v>9.2079999999999999E-5</v>
      </c>
      <c r="V3348" s="25"/>
      <c r="W3348" s="25"/>
      <c r="X3348" s="25"/>
      <c r="Y3348" s="25"/>
      <c r="Z3348" s="25"/>
      <c r="AA3348" s="25"/>
    </row>
    <row r="3349" spans="1:27" x14ac:dyDescent="0.35">
      <c r="A3349" s="5">
        <v>3345</v>
      </c>
      <c r="B3349" s="5">
        <v>140</v>
      </c>
      <c r="C3349" s="5">
        <v>5</v>
      </c>
      <c r="D3349" s="25">
        <v>1.1416E-4</v>
      </c>
      <c r="E3349" s="25">
        <v>1.1546E-4</v>
      </c>
      <c r="F3349" s="25">
        <v>1.2245999999999999E-4</v>
      </c>
      <c r="G3349" s="25">
        <v>1.5894999999999999E-4</v>
      </c>
      <c r="H3349" s="25">
        <v>4.1529999999999997E-5</v>
      </c>
      <c r="I3349" s="9">
        <v>1.1331E-4</v>
      </c>
      <c r="J3349" s="9">
        <v>1.2858999999999999E-4</v>
      </c>
      <c r="K3349" s="9">
        <v>0</v>
      </c>
      <c r="L3349" s="9">
        <v>6.2210000000000002E-5</v>
      </c>
      <c r="M3349" s="9">
        <v>8.2949999999999997E-5</v>
      </c>
      <c r="N3349" s="9">
        <v>1.0462E-4</v>
      </c>
      <c r="O3349" s="9">
        <v>9.993E-5</v>
      </c>
      <c r="P3349" s="9">
        <v>1.3934E-4</v>
      </c>
      <c r="Q3349" s="9">
        <v>1.7804E-4</v>
      </c>
      <c r="R3349" s="10">
        <v>8.4971416053206884E-5</v>
      </c>
      <c r="S3349" s="10">
        <v>7.5419762824338585E-5</v>
      </c>
      <c r="T3349" s="10">
        <v>5.3513869721088906E-4</v>
      </c>
      <c r="U3349" s="10">
        <v>9.2079999999999999E-5</v>
      </c>
      <c r="V3349" s="25"/>
      <c r="W3349" s="25"/>
      <c r="X3349" s="25"/>
      <c r="Y3349" s="25"/>
      <c r="Z3349" s="25"/>
      <c r="AA3349" s="25"/>
    </row>
    <row r="3350" spans="1:27" x14ac:dyDescent="0.35">
      <c r="A3350" s="5">
        <v>3346</v>
      </c>
      <c r="B3350" s="5">
        <v>140</v>
      </c>
      <c r="C3350" s="5">
        <v>5</v>
      </c>
      <c r="D3350" s="25">
        <v>1.1415000000000001E-4</v>
      </c>
      <c r="E3350" s="25">
        <v>1.2386E-4</v>
      </c>
      <c r="F3350" s="25">
        <v>1.2359E-4</v>
      </c>
      <c r="G3350" s="25">
        <v>1.6665000000000001E-4</v>
      </c>
      <c r="H3350" s="25">
        <v>4.1950000000000003E-5</v>
      </c>
      <c r="I3350" s="9">
        <v>1.1192E-4</v>
      </c>
      <c r="J3350" s="9">
        <v>1.2868999999999999E-4</v>
      </c>
      <c r="K3350" s="9">
        <v>0</v>
      </c>
      <c r="L3350" s="9">
        <v>9.1119999999999995E-5</v>
      </c>
      <c r="M3350" s="9">
        <v>1.0692E-4</v>
      </c>
      <c r="N3350" s="9">
        <v>1.2485E-4</v>
      </c>
      <c r="O3350" s="9">
        <v>1.2715E-4</v>
      </c>
      <c r="P3350" s="9">
        <v>1.5475999999999999E-4</v>
      </c>
      <c r="Q3350" s="9">
        <v>1.8158000000000001E-4</v>
      </c>
      <c r="R3350" s="10">
        <v>7.8347316699312026E-5</v>
      </c>
      <c r="S3350" s="10">
        <v>8.6471635495897082E-5</v>
      </c>
      <c r="T3350" s="10">
        <v>4.0313996792137185E-4</v>
      </c>
      <c r="U3350" s="10">
        <v>9.2079999999999999E-5</v>
      </c>
      <c r="V3350" s="25"/>
      <c r="W3350" s="25"/>
      <c r="X3350" s="25"/>
      <c r="Y3350" s="25"/>
      <c r="Z3350" s="25"/>
      <c r="AA3350" s="25"/>
    </row>
    <row r="3351" spans="1:27" x14ac:dyDescent="0.35">
      <c r="A3351" s="5">
        <v>3347</v>
      </c>
      <c r="B3351" s="5">
        <v>140</v>
      </c>
      <c r="C3351" s="5">
        <v>5</v>
      </c>
      <c r="D3351" s="25">
        <v>1.1416E-4</v>
      </c>
      <c r="E3351" s="25">
        <v>1.1552000000000001E-4</v>
      </c>
      <c r="F3351" s="25">
        <v>1.4470999999999999E-4</v>
      </c>
      <c r="G3351" s="25">
        <v>1.6063000000000001E-4</v>
      </c>
      <c r="H3351" s="25">
        <v>4.07E-5</v>
      </c>
      <c r="I3351" s="9">
        <v>1.1315E-4</v>
      </c>
      <c r="J3351" s="9">
        <v>1.2849000000000001E-4</v>
      </c>
      <c r="K3351" s="9">
        <v>0</v>
      </c>
      <c r="L3351" s="9">
        <v>1.1851E-4</v>
      </c>
      <c r="M3351" s="9">
        <v>1.3020999999999999E-4</v>
      </c>
      <c r="N3351" s="9">
        <v>1.4279000000000001E-4</v>
      </c>
      <c r="O3351" s="9">
        <v>1.3684E-4</v>
      </c>
      <c r="P3351" s="9">
        <v>1.5934E-4</v>
      </c>
      <c r="Q3351" s="9">
        <v>1.8106E-4</v>
      </c>
      <c r="R3351" s="10">
        <v>7.70752086948789E-5</v>
      </c>
      <c r="S3351" s="10">
        <v>1.0365515503230267E-4</v>
      </c>
      <c r="T3351" s="10">
        <v>6.2758362293004188E-5</v>
      </c>
      <c r="U3351" s="10">
        <v>9.2079999999999999E-5</v>
      </c>
      <c r="V3351" s="25"/>
      <c r="W3351" s="25"/>
      <c r="X3351" s="25"/>
      <c r="Y3351" s="25"/>
      <c r="Z3351" s="25"/>
      <c r="AA3351" s="25"/>
    </row>
    <row r="3352" spans="1:27" x14ac:dyDescent="0.35">
      <c r="A3352" s="5">
        <v>3348</v>
      </c>
      <c r="B3352" s="5">
        <v>140</v>
      </c>
      <c r="C3352" s="5">
        <v>5</v>
      </c>
      <c r="D3352" s="25">
        <v>1.1415000000000001E-4</v>
      </c>
      <c r="E3352" s="25">
        <v>1.2167000000000001E-4</v>
      </c>
      <c r="F3352" s="25">
        <v>1.4187E-4</v>
      </c>
      <c r="G3352" s="25">
        <v>1.6543999999999999E-4</v>
      </c>
      <c r="H3352" s="25">
        <v>3.9870000000000003E-5</v>
      </c>
      <c r="I3352" s="9">
        <v>1.0985E-4</v>
      </c>
      <c r="J3352" s="9">
        <v>1.2619000000000001E-4</v>
      </c>
      <c r="K3352" s="9">
        <v>0</v>
      </c>
      <c r="L3352" s="9">
        <v>1.3217E-4</v>
      </c>
      <c r="M3352" s="9">
        <v>1.4619000000000001E-4</v>
      </c>
      <c r="N3352" s="9">
        <v>1.5718000000000001E-4</v>
      </c>
      <c r="O3352" s="9">
        <v>1.3742999999999999E-4</v>
      </c>
      <c r="P3352" s="9">
        <v>1.5642999999999999E-4</v>
      </c>
      <c r="Q3352" s="9">
        <v>1.7469E-4</v>
      </c>
      <c r="R3352" s="10">
        <v>7.0017305649331342E-5</v>
      </c>
      <c r="S3352" s="10">
        <v>1.2435390128889137E-4</v>
      </c>
      <c r="T3352" s="10">
        <v>5.4701671630108864E-4</v>
      </c>
      <c r="U3352" s="10">
        <v>9.2079999999999999E-5</v>
      </c>
      <c r="V3352" s="25"/>
      <c r="W3352" s="25"/>
      <c r="X3352" s="25"/>
      <c r="Y3352" s="25"/>
      <c r="Z3352" s="25"/>
      <c r="AA3352" s="25"/>
    </row>
    <row r="3353" spans="1:27" x14ac:dyDescent="0.35">
      <c r="A3353" s="5">
        <v>3349</v>
      </c>
      <c r="B3353" s="5">
        <v>140</v>
      </c>
      <c r="C3353" s="5">
        <v>5</v>
      </c>
      <c r="D3353" s="25">
        <v>1.1416E-4</v>
      </c>
      <c r="E3353" s="25">
        <v>1.1331E-4</v>
      </c>
      <c r="F3353" s="25">
        <v>1.3255E-4</v>
      </c>
      <c r="G3353" s="25">
        <v>1.5809E-4</v>
      </c>
      <c r="H3353" s="25">
        <v>4.1560000000000002E-5</v>
      </c>
      <c r="I3353" s="9">
        <v>1.08E-4</v>
      </c>
      <c r="J3353" s="9">
        <v>1.2603000000000001E-4</v>
      </c>
      <c r="K3353" s="9">
        <v>0</v>
      </c>
      <c r="L3353" s="9">
        <v>1.3608000000000001E-4</v>
      </c>
      <c r="M3353" s="9">
        <v>1.5332E-4</v>
      </c>
      <c r="N3353" s="9">
        <v>1.6673E-4</v>
      </c>
      <c r="O3353" s="9">
        <v>1.2962999999999999E-4</v>
      </c>
      <c r="P3353" s="9">
        <v>1.4934E-4</v>
      </c>
      <c r="Q3353" s="9">
        <v>1.6836999999999999E-4</v>
      </c>
      <c r="R3353" s="10">
        <v>8.1604764131135333E-5</v>
      </c>
      <c r="S3353" s="10">
        <v>1.3631290172170466E-4</v>
      </c>
      <c r="T3353" s="10">
        <v>6.5978153896383278E-4</v>
      </c>
      <c r="U3353" s="10">
        <v>9.2079999999999999E-5</v>
      </c>
      <c r="V3353" s="25"/>
      <c r="W3353" s="25"/>
      <c r="X3353" s="25"/>
      <c r="Y3353" s="25"/>
      <c r="Z3353" s="25"/>
      <c r="AA3353" s="25"/>
    </row>
    <row r="3354" spans="1:27" x14ac:dyDescent="0.35">
      <c r="A3354" s="5">
        <v>3350</v>
      </c>
      <c r="B3354" s="5">
        <v>140</v>
      </c>
      <c r="C3354" s="5">
        <v>5</v>
      </c>
      <c r="D3354" s="25">
        <v>1.1415000000000001E-4</v>
      </c>
      <c r="E3354" s="25">
        <v>1.1691E-4</v>
      </c>
      <c r="F3354" s="25">
        <v>1.3772E-4</v>
      </c>
      <c r="G3354" s="25">
        <v>1.6252000000000001E-4</v>
      </c>
      <c r="H3354" s="25">
        <v>4.1350000000000002E-5</v>
      </c>
      <c r="I3354" s="9">
        <v>1.0535999999999999E-4</v>
      </c>
      <c r="J3354" s="9">
        <v>1.2511E-4</v>
      </c>
      <c r="K3354" s="9">
        <v>0</v>
      </c>
      <c r="L3354" s="9">
        <v>1.3111000000000001E-4</v>
      </c>
      <c r="M3354" s="9">
        <v>1.5325000000000001E-4</v>
      </c>
      <c r="N3354" s="9">
        <v>1.7118E-4</v>
      </c>
      <c r="O3354" s="9">
        <v>1.106E-4</v>
      </c>
      <c r="P3354" s="9">
        <v>1.3521E-4</v>
      </c>
      <c r="Q3354" s="9">
        <v>1.5923000000000001E-4</v>
      </c>
      <c r="R3354" s="10">
        <v>8.8544368703022728E-5</v>
      </c>
      <c r="S3354" s="10">
        <v>1.3777438462989064E-4</v>
      </c>
      <c r="T3354" s="10">
        <v>5.156417773042616E-4</v>
      </c>
      <c r="U3354" s="10">
        <v>9.2079999999999999E-5</v>
      </c>
      <c r="V3354" s="25"/>
      <c r="W3354" s="25"/>
      <c r="X3354" s="25"/>
      <c r="Y3354" s="25"/>
      <c r="Z3354" s="25"/>
      <c r="AA3354" s="25"/>
    </row>
    <row r="3355" spans="1:27" x14ac:dyDescent="0.35">
      <c r="A3355" s="5">
        <v>3351</v>
      </c>
      <c r="B3355" s="5">
        <v>140</v>
      </c>
      <c r="C3355" s="5">
        <v>5</v>
      </c>
      <c r="D3355" s="25">
        <v>1.1416E-4</v>
      </c>
      <c r="E3355" s="25">
        <v>1.1854999999999999E-4</v>
      </c>
      <c r="F3355" s="25">
        <v>1.2973999999999999E-4</v>
      </c>
      <c r="G3355" s="25">
        <v>1.6540000000000001E-4</v>
      </c>
      <c r="H3355" s="25">
        <v>4.1010000000000002E-5</v>
      </c>
      <c r="I3355" s="9">
        <v>1.0517E-4</v>
      </c>
      <c r="J3355" s="9">
        <v>1.2488000000000001E-4</v>
      </c>
      <c r="K3355" s="9">
        <v>0</v>
      </c>
      <c r="L3355" s="9">
        <v>1.1532E-4</v>
      </c>
      <c r="M3355" s="9">
        <v>1.4646E-4</v>
      </c>
      <c r="N3355" s="9">
        <v>1.7024E-4</v>
      </c>
      <c r="O3355" s="9">
        <v>1.2566000000000001E-4</v>
      </c>
      <c r="P3355" s="9">
        <v>1.3913E-4</v>
      </c>
      <c r="Q3355" s="9">
        <v>1.5202999999999999E-4</v>
      </c>
      <c r="R3355" s="10">
        <v>9.5255721471213903E-5</v>
      </c>
      <c r="S3355" s="10">
        <v>1.3334336415508861E-4</v>
      </c>
      <c r="T3355" s="10">
        <v>5.3851544835224589E-4</v>
      </c>
      <c r="U3355" s="10">
        <v>9.2079999999999999E-5</v>
      </c>
      <c r="V3355" s="25"/>
      <c r="W3355" s="25"/>
      <c r="X3355" s="25"/>
      <c r="Y3355" s="25"/>
      <c r="Z3355" s="25"/>
      <c r="AA3355" s="25"/>
    </row>
    <row r="3356" spans="1:27" x14ac:dyDescent="0.35">
      <c r="A3356" s="5">
        <v>3352</v>
      </c>
      <c r="B3356" s="5">
        <v>140</v>
      </c>
      <c r="C3356" s="5">
        <v>5</v>
      </c>
      <c r="D3356" s="25">
        <v>1.1415000000000001E-4</v>
      </c>
      <c r="E3356" s="25">
        <v>1.2103E-4</v>
      </c>
      <c r="F3356" s="25">
        <v>1.373E-4</v>
      </c>
      <c r="G3356" s="25">
        <v>1.5652999999999999E-4</v>
      </c>
      <c r="H3356" s="25">
        <v>4.0779999999999999E-5</v>
      </c>
      <c r="I3356" s="9">
        <v>1.076E-4</v>
      </c>
      <c r="J3356" s="9">
        <v>1.2593000000000001E-4</v>
      </c>
      <c r="K3356" s="9">
        <v>0</v>
      </c>
      <c r="L3356" s="9">
        <v>1.2384000000000001E-4</v>
      </c>
      <c r="M3356" s="9">
        <v>1.4192E-4</v>
      </c>
      <c r="N3356" s="9">
        <v>1.6615999999999999E-4</v>
      </c>
      <c r="O3356" s="9">
        <v>1.3172999999999999E-4</v>
      </c>
      <c r="P3356" s="9">
        <v>1.2039E-4</v>
      </c>
      <c r="Q3356" s="9">
        <v>1.0883E-4</v>
      </c>
      <c r="R3356" s="10">
        <v>9.5398054904136979E-5</v>
      </c>
      <c r="S3356" s="10">
        <v>1.3154663496680127E-4</v>
      </c>
      <c r="T3356" s="10">
        <v>4.7975319105315883E-4</v>
      </c>
      <c r="U3356" s="10">
        <v>9.2079999999999999E-5</v>
      </c>
      <c r="V3356" s="25"/>
      <c r="W3356" s="25"/>
      <c r="X3356" s="25"/>
      <c r="Y3356" s="25"/>
      <c r="Z3356" s="25"/>
      <c r="AA3356" s="25"/>
    </row>
    <row r="3357" spans="1:27" x14ac:dyDescent="0.35">
      <c r="A3357" s="5">
        <v>3353</v>
      </c>
      <c r="B3357" s="5">
        <v>140</v>
      </c>
      <c r="C3357" s="5">
        <v>5</v>
      </c>
      <c r="D3357" s="25">
        <v>1.1416E-4</v>
      </c>
      <c r="E3357" s="25">
        <v>1.214E-4</v>
      </c>
      <c r="F3357" s="25">
        <v>1.3223E-4</v>
      </c>
      <c r="G3357" s="25">
        <v>1.6165999999999999E-4</v>
      </c>
      <c r="H3357" s="25">
        <v>4.0509999999999997E-5</v>
      </c>
      <c r="I3357" s="9">
        <v>1.1283E-4</v>
      </c>
      <c r="J3357" s="9">
        <v>1.2614000000000001E-4</v>
      </c>
      <c r="K3357" s="9">
        <v>0</v>
      </c>
      <c r="L3357" s="9">
        <v>1.2972E-4</v>
      </c>
      <c r="M3357" s="9">
        <v>1.3318E-4</v>
      </c>
      <c r="N3357" s="9">
        <v>1.5212E-4</v>
      </c>
      <c r="O3357" s="9">
        <v>1.381E-4</v>
      </c>
      <c r="P3357" s="9">
        <v>1.2243000000000001E-4</v>
      </c>
      <c r="Q3357" s="9">
        <v>1.0655E-4</v>
      </c>
      <c r="R3357" s="10">
        <v>1.019838007585065E-4</v>
      </c>
      <c r="S3357" s="10">
        <v>1.3557166316343822E-4</v>
      </c>
      <c r="T3357" s="10">
        <v>3.1855998769980112E-4</v>
      </c>
      <c r="U3357" s="10">
        <v>9.2079999999999999E-5</v>
      </c>
      <c r="V3357" s="25"/>
      <c r="W3357" s="25"/>
      <c r="X3357" s="25"/>
      <c r="Y3357" s="25"/>
      <c r="Z3357" s="25"/>
      <c r="AA3357" s="25"/>
    </row>
    <row r="3358" spans="1:27" x14ac:dyDescent="0.35">
      <c r="A3358" s="5">
        <v>3354</v>
      </c>
      <c r="B3358" s="5">
        <v>140</v>
      </c>
      <c r="C3358" s="5">
        <v>5</v>
      </c>
      <c r="D3358" s="25">
        <v>1.1415000000000001E-4</v>
      </c>
      <c r="E3358" s="25">
        <v>1.1483E-4</v>
      </c>
      <c r="F3358" s="25">
        <v>1.3489E-4</v>
      </c>
      <c r="G3358" s="25">
        <v>1.6553E-4</v>
      </c>
      <c r="H3358" s="25">
        <v>3.9419999999999999E-5</v>
      </c>
      <c r="I3358" s="9">
        <v>1.1546E-4</v>
      </c>
      <c r="J3358" s="9">
        <v>1.2232000000000001E-4</v>
      </c>
      <c r="K3358" s="9">
        <v>0</v>
      </c>
      <c r="L3358" s="9">
        <v>1.3596999999999999E-4</v>
      </c>
      <c r="M3358" s="9">
        <v>1.271E-4</v>
      </c>
      <c r="N3358" s="9">
        <v>1.3859000000000001E-4</v>
      </c>
      <c r="O3358" s="9">
        <v>1.3975000000000001E-4</v>
      </c>
      <c r="P3358" s="9">
        <v>1.2898E-4</v>
      </c>
      <c r="Q3358" s="9">
        <v>1.1792E-4</v>
      </c>
      <c r="R3358" s="10">
        <v>1.0372325211014207E-4</v>
      </c>
      <c r="S3358" s="10">
        <v>1.3989322526583898E-4</v>
      </c>
      <c r="T3358" s="10">
        <v>1.375304924658102E-4</v>
      </c>
      <c r="U3358" s="10">
        <v>9.2079999999999999E-5</v>
      </c>
      <c r="V3358" s="25"/>
      <c r="W3358" s="25"/>
      <c r="X3358" s="25"/>
      <c r="Y3358" s="25"/>
      <c r="Z3358" s="25"/>
      <c r="AA3358" s="25"/>
    </row>
    <row r="3359" spans="1:27" x14ac:dyDescent="0.35">
      <c r="A3359" s="5">
        <v>3355</v>
      </c>
      <c r="B3359" s="5">
        <v>140</v>
      </c>
      <c r="C3359" s="5">
        <v>5</v>
      </c>
      <c r="D3359" s="25">
        <v>1.1416E-4</v>
      </c>
      <c r="E3359" s="25">
        <v>1.2296E-4</v>
      </c>
      <c r="F3359" s="25">
        <v>1.3253000000000001E-4</v>
      </c>
      <c r="G3359" s="25">
        <v>1.1453E-4</v>
      </c>
      <c r="H3359" s="25">
        <v>2.8799999999999999E-5</v>
      </c>
      <c r="I3359" s="9">
        <v>1.1569E-4</v>
      </c>
      <c r="J3359" s="9">
        <v>1.2025E-4</v>
      </c>
      <c r="K3359" s="9">
        <v>0</v>
      </c>
      <c r="L3359" s="9">
        <v>1.3882E-4</v>
      </c>
      <c r="M3359" s="9">
        <v>1.2638999999999999E-4</v>
      </c>
      <c r="N3359" s="9">
        <v>1.2957999999999999E-4</v>
      </c>
      <c r="O3359" s="9">
        <v>1.4074000000000001E-4</v>
      </c>
      <c r="P3359" s="9">
        <v>1.2425000000000001E-4</v>
      </c>
      <c r="Q3359" s="9">
        <v>1.0755E-4</v>
      </c>
      <c r="R3359" s="10">
        <v>9.4666949903333907E-5</v>
      </c>
      <c r="S3359" s="10">
        <v>1.3803554561019353E-4</v>
      </c>
      <c r="T3359" s="10">
        <v>4.1284600637793483E-5</v>
      </c>
      <c r="U3359" s="10">
        <v>9.2079999999999999E-5</v>
      </c>
      <c r="V3359" s="25"/>
      <c r="W3359" s="25"/>
      <c r="X3359" s="25"/>
      <c r="Y3359" s="25"/>
      <c r="Z3359" s="25"/>
      <c r="AA3359" s="25"/>
    </row>
    <row r="3360" spans="1:27" x14ac:dyDescent="0.35">
      <c r="A3360" s="5">
        <v>3356</v>
      </c>
      <c r="B3360" s="5">
        <v>140</v>
      </c>
      <c r="C3360" s="5">
        <v>5</v>
      </c>
      <c r="D3360" s="25">
        <v>1.1415000000000001E-4</v>
      </c>
      <c r="E3360" s="25">
        <v>1.1745E-4</v>
      </c>
      <c r="F3360" s="25">
        <v>1.3116000000000001E-4</v>
      </c>
      <c r="G3360" s="25">
        <v>1.1435E-4</v>
      </c>
      <c r="H3360" s="25">
        <v>2.8580000000000001E-5</v>
      </c>
      <c r="I3360" s="9">
        <v>1.142E-4</v>
      </c>
      <c r="J3360" s="9">
        <v>1.1769000000000001E-4</v>
      </c>
      <c r="K3360" s="9">
        <v>0</v>
      </c>
      <c r="L3360" s="9">
        <v>1.4028000000000001E-4</v>
      </c>
      <c r="M3360" s="9">
        <v>1.2570999999999999E-4</v>
      </c>
      <c r="N3360" s="9">
        <v>1.2068E-4</v>
      </c>
      <c r="O3360" s="9">
        <v>1.4301E-4</v>
      </c>
      <c r="P3360" s="9">
        <v>1.2271E-4</v>
      </c>
      <c r="Q3360" s="9">
        <v>1.0224E-4</v>
      </c>
      <c r="R3360" s="10">
        <v>8.6203544061908618E-5</v>
      </c>
      <c r="S3360" s="10">
        <v>1.313005031685103E-4</v>
      </c>
      <c r="T3360" s="10">
        <v>0</v>
      </c>
      <c r="U3360" s="10">
        <v>9.2079999999999999E-5</v>
      </c>
      <c r="V3360" s="25"/>
      <c r="W3360" s="25"/>
      <c r="X3360" s="25"/>
      <c r="Y3360" s="25"/>
      <c r="Z3360" s="25"/>
      <c r="AA3360" s="25"/>
    </row>
    <row r="3361" spans="1:27" x14ac:dyDescent="0.35">
      <c r="A3361" s="5">
        <v>3357</v>
      </c>
      <c r="B3361" s="5">
        <v>140</v>
      </c>
      <c r="C3361" s="5">
        <v>5</v>
      </c>
      <c r="D3361" s="25">
        <v>1.1416E-4</v>
      </c>
      <c r="E3361" s="25">
        <v>1.2505E-4</v>
      </c>
      <c r="F3361" s="25">
        <v>1.3519000000000001E-4</v>
      </c>
      <c r="G3361" s="25">
        <v>5.3380000000000001E-5</v>
      </c>
      <c r="H3361" s="25">
        <v>1.3210000000000001E-5</v>
      </c>
      <c r="I3361" s="9">
        <v>1.1288E-4</v>
      </c>
      <c r="J3361" s="9">
        <v>1.1534E-4</v>
      </c>
      <c r="K3361" s="9">
        <v>0</v>
      </c>
      <c r="L3361" s="9">
        <v>1.4240999999999999E-4</v>
      </c>
      <c r="M3361" s="9">
        <v>1.2448E-4</v>
      </c>
      <c r="N3361" s="9">
        <v>1.1317E-4</v>
      </c>
      <c r="O3361" s="9">
        <v>8.4679999999999996E-5</v>
      </c>
      <c r="P3361" s="9">
        <v>8.6669999999999995E-5</v>
      </c>
      <c r="Q3361" s="9">
        <v>8.8679999999999998E-5</v>
      </c>
      <c r="R3361" s="10">
        <v>7.3764729535724414E-5</v>
      </c>
      <c r="S3361" s="10">
        <v>1.251832373288059E-4</v>
      </c>
      <c r="T3361" s="10">
        <v>0</v>
      </c>
      <c r="U3361" s="10">
        <v>9.2079999999999999E-5</v>
      </c>
      <c r="V3361" s="25"/>
      <c r="W3361" s="25"/>
      <c r="X3361" s="25"/>
      <c r="Y3361" s="25"/>
      <c r="Z3361" s="25"/>
      <c r="AA3361" s="25"/>
    </row>
    <row r="3362" spans="1:27" x14ac:dyDescent="0.35">
      <c r="A3362" s="5">
        <v>3358</v>
      </c>
      <c r="B3362" s="5">
        <v>140</v>
      </c>
      <c r="C3362" s="5">
        <v>5</v>
      </c>
      <c r="D3362" s="25">
        <v>1.1415000000000001E-4</v>
      </c>
      <c r="E3362" s="25">
        <v>1.1737E-4</v>
      </c>
      <c r="F3362" s="25">
        <v>1.3507999999999999E-4</v>
      </c>
      <c r="G3362" s="25">
        <v>5.961E-5</v>
      </c>
      <c r="H3362" s="25">
        <v>1.473E-5</v>
      </c>
      <c r="I3362" s="9">
        <v>1.1616E-4</v>
      </c>
      <c r="J3362" s="9">
        <v>1.1281999999999999E-4</v>
      </c>
      <c r="K3362" s="9">
        <v>0</v>
      </c>
      <c r="L3362" s="9">
        <v>9.7330000000000005E-5</v>
      </c>
      <c r="M3362" s="9">
        <v>1.105E-4</v>
      </c>
      <c r="N3362" s="9">
        <v>1.0575E-4</v>
      </c>
      <c r="O3362" s="9">
        <v>8.7789999999999998E-5</v>
      </c>
      <c r="P3362" s="9">
        <v>8.844E-5</v>
      </c>
      <c r="Q3362" s="9">
        <v>8.9099999999999997E-5</v>
      </c>
      <c r="R3362" s="10">
        <v>6.5485925505635333E-5</v>
      </c>
      <c r="S3362" s="10">
        <v>1.3168029495664102E-4</v>
      </c>
      <c r="T3362" s="10">
        <v>0</v>
      </c>
      <c r="U3362" s="10">
        <v>9.2079999999999999E-5</v>
      </c>
      <c r="V3362" s="25"/>
      <c r="W3362" s="25"/>
      <c r="X3362" s="25"/>
      <c r="Y3362" s="25"/>
      <c r="Z3362" s="25"/>
      <c r="AA3362" s="25"/>
    </row>
    <row r="3363" spans="1:27" x14ac:dyDescent="0.35">
      <c r="A3363" s="5">
        <v>3359</v>
      </c>
      <c r="B3363" s="5">
        <v>140</v>
      </c>
      <c r="C3363" s="5">
        <v>5</v>
      </c>
      <c r="D3363" s="25">
        <v>1.1416E-4</v>
      </c>
      <c r="E3363" s="25">
        <v>1.2163E-4</v>
      </c>
      <c r="F3363" s="25">
        <v>1.4326000000000001E-4</v>
      </c>
      <c r="G3363" s="25">
        <v>6.3559999999999995E-5</v>
      </c>
      <c r="H3363" s="25">
        <v>1.3730000000000001E-5</v>
      </c>
      <c r="I3363" s="9">
        <v>1.1071E-4</v>
      </c>
      <c r="J3363" s="9">
        <v>1.0637E-4</v>
      </c>
      <c r="K3363" s="9">
        <v>0</v>
      </c>
      <c r="L3363" s="9">
        <v>9.1139999999999998E-5</v>
      </c>
      <c r="M3363" s="9">
        <v>9.8789999999999994E-5</v>
      </c>
      <c r="N3363" s="9">
        <v>1.0019E-4</v>
      </c>
      <c r="O3363" s="9">
        <v>8.4649999999999998E-5</v>
      </c>
      <c r="P3363" s="9">
        <v>7.5820000000000003E-5</v>
      </c>
      <c r="Q3363" s="9">
        <v>6.7160000000000001E-5</v>
      </c>
      <c r="R3363" s="10">
        <v>7.1361788937838585E-5</v>
      </c>
      <c r="S3363" s="10">
        <v>1.3190174583351086E-4</v>
      </c>
      <c r="T3363" s="10">
        <v>0</v>
      </c>
      <c r="U3363" s="10">
        <v>9.2079999999999999E-5</v>
      </c>
      <c r="V3363" s="25"/>
      <c r="W3363" s="25"/>
      <c r="X3363" s="25"/>
      <c r="Y3363" s="25"/>
      <c r="Z3363" s="25"/>
      <c r="AA3363" s="25"/>
    </row>
    <row r="3364" spans="1:27" x14ac:dyDescent="0.35">
      <c r="A3364" s="5">
        <v>3360</v>
      </c>
      <c r="B3364" s="5">
        <v>140</v>
      </c>
      <c r="C3364" s="5">
        <v>5</v>
      </c>
      <c r="D3364" s="25">
        <v>1.1415000000000001E-4</v>
      </c>
      <c r="E3364" s="25">
        <v>1.2469E-4</v>
      </c>
      <c r="F3364" s="25">
        <v>1.2747999999999999E-4</v>
      </c>
      <c r="G3364" s="25">
        <v>6.2420000000000002E-5</v>
      </c>
      <c r="H3364" s="25">
        <v>1.326E-5</v>
      </c>
      <c r="I3364" s="9">
        <v>1.0245E-4</v>
      </c>
      <c r="J3364" s="9">
        <v>9.8599999999999998E-5</v>
      </c>
      <c r="K3364" s="9">
        <v>1.272E-5</v>
      </c>
      <c r="L3364" s="9">
        <v>8.6290000000000002E-5</v>
      </c>
      <c r="M3364" s="9">
        <v>8.7780000000000003E-5</v>
      </c>
      <c r="N3364" s="9">
        <v>9.0959999999999996E-5</v>
      </c>
      <c r="O3364" s="9">
        <v>7.818E-5</v>
      </c>
      <c r="P3364" s="9">
        <v>6.8120000000000005E-5</v>
      </c>
      <c r="Q3364" s="9">
        <v>5.8310000000000002E-5</v>
      </c>
      <c r="R3364" s="10">
        <v>1.0769174953545154E-4</v>
      </c>
      <c r="S3364" s="10">
        <v>1.4964643054497554E-4</v>
      </c>
      <c r="T3364" s="10">
        <v>0</v>
      </c>
      <c r="U3364" s="10">
        <v>9.2079999999999999E-5</v>
      </c>
      <c r="V3364" s="25"/>
      <c r="W3364" s="25"/>
      <c r="X3364" s="25"/>
      <c r="Y3364" s="25"/>
      <c r="Z3364" s="25"/>
      <c r="AA3364" s="25"/>
    </row>
    <row r="3365" spans="1:27" x14ac:dyDescent="0.35">
      <c r="A3365" s="5">
        <v>3361</v>
      </c>
      <c r="B3365" s="5">
        <v>141</v>
      </c>
      <c r="C3365" s="5">
        <v>5</v>
      </c>
      <c r="D3365" s="25">
        <v>1.1416E-4</v>
      </c>
      <c r="E3365" s="25">
        <v>1.1323999999999999E-4</v>
      </c>
      <c r="F3365" s="25">
        <v>1.3776000000000001E-4</v>
      </c>
      <c r="G3365" s="25">
        <v>5.342E-5</v>
      </c>
      <c r="H3365" s="25">
        <v>7.135E-5</v>
      </c>
      <c r="I3365" s="9">
        <v>9.7769999999999994E-5</v>
      </c>
      <c r="J3365" s="9">
        <v>9.3549999999999997E-5</v>
      </c>
      <c r="K3365" s="9">
        <v>2.544E-5</v>
      </c>
      <c r="L3365" s="9">
        <v>7.9759999999999995E-5</v>
      </c>
      <c r="M3365" s="9">
        <v>7.8209999999999998E-5</v>
      </c>
      <c r="N3365" s="9">
        <v>8.1370000000000002E-5</v>
      </c>
      <c r="O3365" s="9">
        <v>5.4530000000000001E-5</v>
      </c>
      <c r="P3365" s="9">
        <v>5.3940000000000002E-5</v>
      </c>
      <c r="Q3365" s="9">
        <v>5.3520000000000003E-5</v>
      </c>
      <c r="R3365" s="10">
        <v>1.1263100887255487E-4</v>
      </c>
      <c r="S3365" s="10">
        <v>1.4903123605858307E-4</v>
      </c>
      <c r="T3365" s="10">
        <v>0</v>
      </c>
      <c r="U3365" s="10">
        <v>9.2600000000000001E-5</v>
      </c>
      <c r="V3365" s="25"/>
      <c r="W3365" s="25"/>
      <c r="X3365" s="25"/>
      <c r="Y3365" s="25"/>
      <c r="Z3365" s="25"/>
      <c r="AA3365" s="25"/>
    </row>
    <row r="3366" spans="1:27" x14ac:dyDescent="0.35">
      <c r="A3366" s="5">
        <v>3362</v>
      </c>
      <c r="B3366" s="5">
        <v>141</v>
      </c>
      <c r="C3366" s="5">
        <v>5</v>
      </c>
      <c r="D3366" s="25">
        <v>1.1415000000000001E-4</v>
      </c>
      <c r="E3366" s="25">
        <v>1.1578000000000001E-4</v>
      </c>
      <c r="F3366" s="25">
        <v>1.3163000000000001E-4</v>
      </c>
      <c r="G3366" s="25">
        <v>6.245E-5</v>
      </c>
      <c r="H3366" s="25">
        <v>6.8150000000000003E-5</v>
      </c>
      <c r="I3366" s="9">
        <v>9.3880000000000002E-5</v>
      </c>
      <c r="J3366" s="9">
        <v>9.077E-5</v>
      </c>
      <c r="K3366" s="9">
        <v>3.392E-5</v>
      </c>
      <c r="L3366" s="9">
        <v>6.0250000000000001E-5</v>
      </c>
      <c r="M3366" s="9">
        <v>6.7210000000000002E-5</v>
      </c>
      <c r="N3366" s="9">
        <v>7.2219999999999996E-5</v>
      </c>
      <c r="O3366" s="9">
        <v>1.9539999999999999E-5</v>
      </c>
      <c r="P3366" s="9">
        <v>3.7809999999999999E-5</v>
      </c>
      <c r="Q3366" s="9">
        <v>5.6270000000000002E-5</v>
      </c>
      <c r="R3366" s="10">
        <v>1.1911456732771157E-4</v>
      </c>
      <c r="S3366" s="10">
        <v>1.395783095516432E-4</v>
      </c>
      <c r="T3366" s="10">
        <v>0</v>
      </c>
      <c r="U3366" s="10">
        <v>9.2600000000000001E-5</v>
      </c>
      <c r="V3366" s="25"/>
      <c r="W3366" s="25"/>
      <c r="X3366" s="25"/>
      <c r="Y3366" s="25"/>
      <c r="Z3366" s="25"/>
      <c r="AA3366" s="25"/>
    </row>
    <row r="3367" spans="1:27" x14ac:dyDescent="0.35">
      <c r="A3367" s="5">
        <v>3363</v>
      </c>
      <c r="B3367" s="5">
        <v>141</v>
      </c>
      <c r="C3367" s="5">
        <v>5</v>
      </c>
      <c r="D3367" s="25">
        <v>1.1416E-4</v>
      </c>
      <c r="E3367" s="25">
        <v>1.1459999999999999E-4</v>
      </c>
      <c r="F3367" s="25">
        <v>1.2886000000000001E-4</v>
      </c>
      <c r="G3367" s="25">
        <v>5.9160000000000003E-5</v>
      </c>
      <c r="H3367" s="25">
        <v>6.9670000000000002E-5</v>
      </c>
      <c r="I3367" s="9">
        <v>9.2849999999999994E-5</v>
      </c>
      <c r="J3367" s="9">
        <v>8.9599999999999996E-5</v>
      </c>
      <c r="K3367" s="9">
        <v>4.6629999999999999E-5</v>
      </c>
      <c r="L3367" s="9">
        <v>2.902E-5</v>
      </c>
      <c r="M3367" s="9">
        <v>5.3940000000000002E-5</v>
      </c>
      <c r="N3367" s="9">
        <v>6.5599999999999995E-5</v>
      </c>
      <c r="O3367" s="9">
        <v>1.4070000000000001E-5</v>
      </c>
      <c r="P3367" s="9">
        <v>3.7629999999999997E-5</v>
      </c>
      <c r="Q3367" s="9">
        <v>6.1340000000000006E-5</v>
      </c>
      <c r="R3367" s="10">
        <v>1.1898826959672077E-4</v>
      </c>
      <c r="S3367" s="10">
        <v>1.3284105791998559E-4</v>
      </c>
      <c r="T3367" s="10">
        <v>0</v>
      </c>
      <c r="U3367" s="10">
        <v>9.2600000000000001E-5</v>
      </c>
      <c r="V3367" s="25"/>
      <c r="W3367" s="25"/>
      <c r="X3367" s="25"/>
      <c r="Y3367" s="25"/>
      <c r="Z3367" s="25"/>
      <c r="AA3367" s="25"/>
    </row>
    <row r="3368" spans="1:27" x14ac:dyDescent="0.35">
      <c r="A3368" s="5">
        <v>3364</v>
      </c>
      <c r="B3368" s="5">
        <v>141</v>
      </c>
      <c r="C3368" s="5">
        <v>5</v>
      </c>
      <c r="D3368" s="25">
        <v>1.1415000000000001E-4</v>
      </c>
      <c r="E3368" s="25">
        <v>1.1786999999999999E-4</v>
      </c>
      <c r="F3368" s="25">
        <v>1.3889999999999999E-4</v>
      </c>
      <c r="G3368" s="25">
        <v>5.6990000000000002E-5</v>
      </c>
      <c r="H3368" s="25">
        <v>7.6890000000000004E-5</v>
      </c>
      <c r="I3368" s="9">
        <v>9.2960000000000004E-5</v>
      </c>
      <c r="J3368" s="9">
        <v>8.9790000000000006E-5</v>
      </c>
      <c r="K3368" s="9">
        <v>5.2989999999999999E-5</v>
      </c>
      <c r="L3368" s="9">
        <v>1.8199999999999999E-5</v>
      </c>
      <c r="M3368" s="9">
        <v>4.4879999999999997E-5</v>
      </c>
      <c r="N3368" s="9">
        <v>6.19E-5</v>
      </c>
      <c r="O3368" s="9">
        <v>1.4E-5</v>
      </c>
      <c r="P3368" s="9">
        <v>4.6789999999999998E-5</v>
      </c>
      <c r="Q3368" s="9">
        <v>7.9579999999999994E-5</v>
      </c>
      <c r="R3368" s="10">
        <v>1.0614316891704744E-4</v>
      </c>
      <c r="S3368" s="10">
        <v>1.1976604856452948E-4</v>
      </c>
      <c r="T3368" s="10">
        <v>0</v>
      </c>
      <c r="U3368" s="10">
        <v>9.2600000000000001E-5</v>
      </c>
      <c r="V3368" s="25"/>
      <c r="W3368" s="25"/>
      <c r="X3368" s="25"/>
      <c r="Y3368" s="25"/>
      <c r="Z3368" s="25"/>
      <c r="AA3368" s="25"/>
    </row>
    <row r="3369" spans="1:27" x14ac:dyDescent="0.35">
      <c r="A3369" s="5">
        <v>3365</v>
      </c>
      <c r="B3369" s="5">
        <v>141</v>
      </c>
      <c r="C3369" s="5">
        <v>5</v>
      </c>
      <c r="D3369" s="25">
        <v>1.1416E-4</v>
      </c>
      <c r="E3369" s="25">
        <v>1.0836999999999999E-4</v>
      </c>
      <c r="F3369" s="25">
        <v>1.4043000000000001E-4</v>
      </c>
      <c r="G3369" s="25">
        <v>5.8650000000000003E-5</v>
      </c>
      <c r="H3369" s="25">
        <v>7.2249999999999994E-5</v>
      </c>
      <c r="I3369" s="9">
        <v>9.7479999999999995E-5</v>
      </c>
      <c r="J3369" s="9">
        <v>9.2040000000000006E-5</v>
      </c>
      <c r="K3369" s="9">
        <v>4.0269999999999999E-5</v>
      </c>
      <c r="L3369" s="9">
        <v>1.5099999999999999E-5</v>
      </c>
      <c r="M3369" s="9">
        <v>4.3560000000000003E-5</v>
      </c>
      <c r="N3369" s="9">
        <v>6.423E-5</v>
      </c>
      <c r="O3369" s="9">
        <v>1.9619999999999998E-5</v>
      </c>
      <c r="P3369" s="9">
        <v>5.6969999999999998E-5</v>
      </c>
      <c r="Q3369" s="9">
        <v>9.4209999999999994E-5</v>
      </c>
      <c r="R3369" s="10">
        <v>9.4461828905627028E-5</v>
      </c>
      <c r="S3369" s="10">
        <v>1.0794540331076511E-4</v>
      </c>
      <c r="T3369" s="10">
        <v>6.0832426340521848E-6</v>
      </c>
      <c r="U3369" s="10">
        <v>9.2600000000000001E-5</v>
      </c>
      <c r="V3369" s="25"/>
      <c r="W3369" s="25"/>
      <c r="X3369" s="25"/>
      <c r="Y3369" s="25"/>
      <c r="Z3369" s="25"/>
      <c r="AA3369" s="25"/>
    </row>
    <row r="3370" spans="1:27" x14ac:dyDescent="0.35">
      <c r="A3370" s="5">
        <v>3366</v>
      </c>
      <c r="B3370" s="5">
        <v>141</v>
      </c>
      <c r="C3370" s="5">
        <v>5</v>
      </c>
      <c r="D3370" s="25">
        <v>1.1415000000000001E-4</v>
      </c>
      <c r="E3370" s="25">
        <v>1.1561999999999999E-4</v>
      </c>
      <c r="F3370" s="25">
        <v>1.2976E-4</v>
      </c>
      <c r="G3370" s="25">
        <v>1.0749E-4</v>
      </c>
      <c r="H3370" s="25">
        <v>1.3328E-4</v>
      </c>
      <c r="I3370" s="9">
        <v>1.0709000000000001E-4</v>
      </c>
      <c r="J3370" s="9">
        <v>1.0014E-4</v>
      </c>
      <c r="K3370" s="9">
        <v>1.484E-5</v>
      </c>
      <c r="L3370" s="9">
        <v>1.8499999999999999E-5</v>
      </c>
      <c r="M3370" s="9">
        <v>4.8420000000000001E-5</v>
      </c>
      <c r="N3370" s="9">
        <v>7.0920000000000005E-5</v>
      </c>
      <c r="O3370" s="9">
        <v>4.6480000000000002E-5</v>
      </c>
      <c r="P3370" s="9">
        <v>7.6929999999999997E-5</v>
      </c>
      <c r="Q3370" s="9">
        <v>1.0713E-4</v>
      </c>
      <c r="R3370" s="10">
        <v>8.1807469229579492E-5</v>
      </c>
      <c r="S3370" s="10">
        <v>9.0098464379306768E-5</v>
      </c>
      <c r="T3370" s="10">
        <v>2.9745953521599664E-5</v>
      </c>
      <c r="U3370" s="10">
        <v>9.2600000000000001E-5</v>
      </c>
      <c r="V3370" s="25"/>
      <c r="W3370" s="25"/>
      <c r="X3370" s="25"/>
      <c r="Y3370" s="25"/>
      <c r="Z3370" s="25"/>
      <c r="AA3370" s="25"/>
    </row>
    <row r="3371" spans="1:27" x14ac:dyDescent="0.35">
      <c r="A3371" s="5">
        <v>3367</v>
      </c>
      <c r="B3371" s="5">
        <v>141</v>
      </c>
      <c r="C3371" s="5">
        <v>5</v>
      </c>
      <c r="D3371" s="25">
        <v>1.1416E-4</v>
      </c>
      <c r="E3371" s="25">
        <v>1.0848E-4</v>
      </c>
      <c r="F3371" s="25">
        <v>1.4228E-4</v>
      </c>
      <c r="G3371" s="25">
        <v>1.1081E-4</v>
      </c>
      <c r="H3371" s="25">
        <v>1.2929E-4</v>
      </c>
      <c r="I3371" s="9">
        <v>1.1668E-4</v>
      </c>
      <c r="J3371" s="9">
        <v>1.1498E-4</v>
      </c>
      <c r="K3371" s="9">
        <v>0</v>
      </c>
      <c r="L3371" s="9">
        <v>4.0179999999999998E-5</v>
      </c>
      <c r="M3371" s="9">
        <v>6.0069999999999999E-5</v>
      </c>
      <c r="N3371" s="9">
        <v>8.0669999999999998E-5</v>
      </c>
      <c r="O3371" s="9">
        <v>1.2224999999999999E-4</v>
      </c>
      <c r="P3371" s="9">
        <v>1.1769000000000001E-4</v>
      </c>
      <c r="Q3371" s="9">
        <v>1.1273999999999999E-4</v>
      </c>
      <c r="R3371" s="10">
        <v>6.6507966487171983E-5</v>
      </c>
      <c r="S3371" s="10">
        <v>6.4245860766097253E-5</v>
      </c>
      <c r="T3371" s="10">
        <v>1.7509896998824128E-4</v>
      </c>
      <c r="U3371" s="10">
        <v>9.2600000000000001E-5</v>
      </c>
      <c r="V3371" s="25"/>
      <c r="W3371" s="25"/>
      <c r="X3371" s="25"/>
      <c r="Y3371" s="25"/>
      <c r="Z3371" s="25"/>
      <c r="AA3371" s="25"/>
    </row>
    <row r="3372" spans="1:27" x14ac:dyDescent="0.35">
      <c r="A3372" s="5">
        <v>3368</v>
      </c>
      <c r="B3372" s="5">
        <v>141</v>
      </c>
      <c r="C3372" s="5">
        <v>5</v>
      </c>
      <c r="D3372" s="25">
        <v>1.1415000000000001E-4</v>
      </c>
      <c r="E3372" s="25">
        <v>1.075E-4</v>
      </c>
      <c r="F3372" s="25">
        <v>1.2693000000000001E-4</v>
      </c>
      <c r="G3372" s="25">
        <v>1.5886000000000001E-4</v>
      </c>
      <c r="H3372" s="25">
        <v>2.0027000000000001E-4</v>
      </c>
      <c r="I3372" s="9">
        <v>1.2263000000000001E-4</v>
      </c>
      <c r="J3372" s="9">
        <v>1.2625000000000001E-4</v>
      </c>
      <c r="K3372" s="9">
        <v>6.3600000000000001E-6</v>
      </c>
      <c r="L3372" s="9">
        <v>1.0359E-4</v>
      </c>
      <c r="M3372" s="9">
        <v>8.3830000000000002E-5</v>
      </c>
      <c r="N3372" s="9">
        <v>9.0859999999999994E-5</v>
      </c>
      <c r="O3372" s="9">
        <v>2.1447E-4</v>
      </c>
      <c r="P3372" s="9">
        <v>1.7530000000000001E-4</v>
      </c>
      <c r="Q3372" s="9">
        <v>1.3542E-4</v>
      </c>
      <c r="R3372" s="10">
        <v>4.0841510688458682E-5</v>
      </c>
      <c r="S3372" s="10">
        <v>4.2162064940841523E-5</v>
      </c>
      <c r="T3372" s="10">
        <v>3.6156690110567355E-4</v>
      </c>
      <c r="U3372" s="10">
        <v>9.2600000000000001E-5</v>
      </c>
      <c r="V3372" s="25"/>
      <c r="W3372" s="25"/>
      <c r="X3372" s="25"/>
      <c r="Y3372" s="25"/>
      <c r="Z3372" s="25"/>
      <c r="AA3372" s="25"/>
    </row>
    <row r="3373" spans="1:27" x14ac:dyDescent="0.35">
      <c r="A3373" s="5">
        <v>3369</v>
      </c>
      <c r="B3373" s="5">
        <v>141</v>
      </c>
      <c r="C3373" s="5">
        <v>5</v>
      </c>
      <c r="D3373" s="25">
        <v>1.1416E-4</v>
      </c>
      <c r="E3373" s="25">
        <v>1.0877E-4</v>
      </c>
      <c r="F3373" s="25">
        <v>1.3616E-4</v>
      </c>
      <c r="G3373" s="25">
        <v>1.5619000000000001E-4</v>
      </c>
      <c r="H3373" s="25">
        <v>2.0288000000000001E-4</v>
      </c>
      <c r="I3373" s="9">
        <v>1.239E-4</v>
      </c>
      <c r="J3373" s="9">
        <v>1.3223999999999999E-4</v>
      </c>
      <c r="K3373" s="9">
        <v>0</v>
      </c>
      <c r="L3373" s="9">
        <v>1.8834E-4</v>
      </c>
      <c r="M3373" s="9">
        <v>1.2290000000000001E-4</v>
      </c>
      <c r="N3373" s="9">
        <v>1.0435E-4</v>
      </c>
      <c r="O3373" s="9">
        <v>2.0823E-4</v>
      </c>
      <c r="P3373" s="9">
        <v>1.9301E-4</v>
      </c>
      <c r="Q3373" s="9">
        <v>1.7676000000000001E-4</v>
      </c>
      <c r="R3373" s="10">
        <v>2.9640887939469752E-5</v>
      </c>
      <c r="S3373" s="10">
        <v>3.1626088160981003E-5</v>
      </c>
      <c r="T3373" s="10">
        <v>5.1595569638021685E-4</v>
      </c>
      <c r="U3373" s="10">
        <v>9.2600000000000001E-5</v>
      </c>
      <c r="V3373" s="25"/>
      <c r="W3373" s="25"/>
      <c r="X3373" s="25"/>
      <c r="Y3373" s="25"/>
      <c r="Z3373" s="25"/>
      <c r="AA3373" s="25"/>
    </row>
    <row r="3374" spans="1:27" x14ac:dyDescent="0.35">
      <c r="A3374" s="5">
        <v>3370</v>
      </c>
      <c r="B3374" s="5">
        <v>141</v>
      </c>
      <c r="C3374" s="5">
        <v>5</v>
      </c>
      <c r="D3374" s="25">
        <v>1.1415000000000001E-4</v>
      </c>
      <c r="E3374" s="25">
        <v>1.0815999999999999E-4</v>
      </c>
      <c r="F3374" s="25">
        <v>1.3496999999999999E-4</v>
      </c>
      <c r="G3374" s="25">
        <v>1.6629000000000001E-4</v>
      </c>
      <c r="H3374" s="25">
        <v>2.0104000000000001E-4</v>
      </c>
      <c r="I3374" s="9">
        <v>1.2458E-4</v>
      </c>
      <c r="J3374" s="9">
        <v>1.3325000000000001E-4</v>
      </c>
      <c r="K3374" s="9">
        <v>0</v>
      </c>
      <c r="L3374" s="9">
        <v>2.0163000000000001E-4</v>
      </c>
      <c r="M3374" s="9">
        <v>1.5802000000000001E-4</v>
      </c>
      <c r="N3374" s="9">
        <v>1.2437E-4</v>
      </c>
      <c r="O3374" s="9">
        <v>1.6530000000000001E-4</v>
      </c>
      <c r="P3374" s="9">
        <v>1.7432E-4</v>
      </c>
      <c r="Q3374" s="9">
        <v>1.8233999999999999E-4</v>
      </c>
      <c r="R3374" s="10">
        <v>2.5622595538440797E-5</v>
      </c>
      <c r="S3374" s="10">
        <v>2.7598436588222276E-5</v>
      </c>
      <c r="T3374" s="10">
        <v>5.1901004414626822E-4</v>
      </c>
      <c r="U3374" s="10">
        <v>9.2600000000000001E-5</v>
      </c>
      <c r="V3374" s="25"/>
      <c r="W3374" s="25"/>
      <c r="X3374" s="25"/>
      <c r="Y3374" s="25"/>
      <c r="Z3374" s="25"/>
      <c r="AA3374" s="25"/>
    </row>
    <row r="3375" spans="1:27" x14ac:dyDescent="0.35">
      <c r="A3375" s="5">
        <v>3371</v>
      </c>
      <c r="B3375" s="5">
        <v>141</v>
      </c>
      <c r="C3375" s="5">
        <v>5</v>
      </c>
      <c r="D3375" s="25">
        <v>1.1416E-4</v>
      </c>
      <c r="E3375" s="25">
        <v>1.1489000000000001E-4</v>
      </c>
      <c r="F3375" s="25">
        <v>1.2465999999999999E-4</v>
      </c>
      <c r="G3375" s="25">
        <v>1.5792000000000001E-4</v>
      </c>
      <c r="H3375" s="25">
        <v>1.9849000000000001E-4</v>
      </c>
      <c r="I3375" s="9">
        <v>1.2501999999999999E-4</v>
      </c>
      <c r="J3375" s="9">
        <v>1.3373000000000001E-4</v>
      </c>
      <c r="K3375" s="9">
        <v>0</v>
      </c>
      <c r="L3375" s="9">
        <v>1.7333999999999999E-4</v>
      </c>
      <c r="M3375" s="9">
        <v>1.7205000000000001E-4</v>
      </c>
      <c r="N3375" s="9">
        <v>1.4250999999999999E-4</v>
      </c>
      <c r="O3375" s="9">
        <v>1.6432E-4</v>
      </c>
      <c r="P3375" s="9">
        <v>1.7194000000000001E-4</v>
      </c>
      <c r="Q3375" s="9">
        <v>1.7859000000000001E-4</v>
      </c>
      <c r="R3375" s="10">
        <v>2.997337434672147E-5</v>
      </c>
      <c r="S3375" s="10">
        <v>2.8720738010812862E-5</v>
      </c>
      <c r="T3375" s="10">
        <v>2.2609809338194794E-4</v>
      </c>
      <c r="U3375" s="10">
        <v>9.2600000000000001E-5</v>
      </c>
      <c r="V3375" s="25"/>
      <c r="W3375" s="25"/>
      <c r="X3375" s="25"/>
      <c r="Y3375" s="25"/>
      <c r="Z3375" s="25"/>
      <c r="AA3375" s="25"/>
    </row>
    <row r="3376" spans="1:27" x14ac:dyDescent="0.35">
      <c r="A3376" s="5">
        <v>3372</v>
      </c>
      <c r="B3376" s="5">
        <v>141</v>
      </c>
      <c r="C3376" s="5">
        <v>5</v>
      </c>
      <c r="D3376" s="25">
        <v>1.1415000000000001E-4</v>
      </c>
      <c r="E3376" s="25">
        <v>1.1442000000000001E-4</v>
      </c>
      <c r="F3376" s="25">
        <v>1.2217E-4</v>
      </c>
      <c r="G3376" s="25">
        <v>1.6307E-4</v>
      </c>
      <c r="H3376" s="25">
        <v>2.0212E-4</v>
      </c>
      <c r="I3376" s="9">
        <v>1.2239999999999999E-4</v>
      </c>
      <c r="J3376" s="9">
        <v>1.3202E-4</v>
      </c>
      <c r="K3376" s="9">
        <v>0</v>
      </c>
      <c r="L3376" s="9">
        <v>1.6767E-4</v>
      </c>
      <c r="M3376" s="9">
        <v>1.7442E-4</v>
      </c>
      <c r="N3376" s="9">
        <v>1.5641E-4</v>
      </c>
      <c r="O3376" s="9">
        <v>1.6897E-4</v>
      </c>
      <c r="P3376" s="9">
        <v>1.7260999999999999E-4</v>
      </c>
      <c r="Q3376" s="9">
        <v>1.7530000000000001E-4</v>
      </c>
      <c r="R3376" s="10">
        <v>1.7292018771053142E-5</v>
      </c>
      <c r="S3376" s="10">
        <v>3.439031897037669E-5</v>
      </c>
      <c r="T3376" s="10">
        <v>7.7882474314568248E-4</v>
      </c>
      <c r="U3376" s="10">
        <v>9.2600000000000001E-5</v>
      </c>
      <c r="V3376" s="25"/>
      <c r="W3376" s="25"/>
      <c r="X3376" s="25"/>
      <c r="Y3376" s="25"/>
      <c r="Z3376" s="25"/>
      <c r="AA3376" s="25"/>
    </row>
    <row r="3377" spans="1:27" x14ac:dyDescent="0.35">
      <c r="A3377" s="5">
        <v>3373</v>
      </c>
      <c r="B3377" s="5">
        <v>141</v>
      </c>
      <c r="C3377" s="5">
        <v>5</v>
      </c>
      <c r="D3377" s="25">
        <v>1.1416E-4</v>
      </c>
      <c r="E3377" s="25">
        <v>1.1773E-4</v>
      </c>
      <c r="F3377" s="25">
        <v>1.2502999999999999E-4</v>
      </c>
      <c r="G3377" s="25">
        <v>1.6694999999999999E-4</v>
      </c>
      <c r="H3377" s="25">
        <v>1.9288000000000001E-4</v>
      </c>
      <c r="I3377" s="9">
        <v>1.1971E-4</v>
      </c>
      <c r="J3377" s="9">
        <v>1.3140999999999999E-4</v>
      </c>
      <c r="K3377" s="9">
        <v>0</v>
      </c>
      <c r="L3377" s="9">
        <v>1.6888E-4</v>
      </c>
      <c r="M3377" s="9">
        <v>1.7388000000000001E-4</v>
      </c>
      <c r="N3377" s="9">
        <v>1.6616999999999999E-4</v>
      </c>
      <c r="O3377" s="9">
        <v>1.5934E-4</v>
      </c>
      <c r="P3377" s="9">
        <v>1.6359999999999999E-4</v>
      </c>
      <c r="Q3377" s="9">
        <v>1.6699E-4</v>
      </c>
      <c r="R3377" s="10">
        <v>3.2515420372283393E-5</v>
      </c>
      <c r="S3377" s="10">
        <v>4.8149108254505311E-5</v>
      </c>
      <c r="T3377" s="10">
        <v>4.8353718856332232E-4</v>
      </c>
      <c r="U3377" s="10">
        <v>9.2600000000000001E-5</v>
      </c>
      <c r="V3377" s="25"/>
      <c r="W3377" s="25"/>
      <c r="X3377" s="25"/>
      <c r="Y3377" s="25"/>
      <c r="Z3377" s="25"/>
      <c r="AA3377" s="25"/>
    </row>
    <row r="3378" spans="1:27" x14ac:dyDescent="0.35">
      <c r="A3378" s="5">
        <v>3374</v>
      </c>
      <c r="B3378" s="5">
        <v>141</v>
      </c>
      <c r="C3378" s="5">
        <v>5</v>
      </c>
      <c r="D3378" s="25">
        <v>1.1415000000000001E-4</v>
      </c>
      <c r="E3378" s="25">
        <v>1.0993999999999999E-4</v>
      </c>
      <c r="F3378" s="25">
        <v>1.2606E-4</v>
      </c>
      <c r="G3378" s="25">
        <v>1.6106000000000001E-4</v>
      </c>
      <c r="H3378" s="25">
        <v>1.9175E-4</v>
      </c>
      <c r="I3378" s="9">
        <v>1.1621E-4</v>
      </c>
      <c r="J3378" s="9">
        <v>1.2954000000000001E-4</v>
      </c>
      <c r="K3378" s="9">
        <v>0</v>
      </c>
      <c r="L3378" s="9">
        <v>1.6114999999999999E-4</v>
      </c>
      <c r="M3378" s="9">
        <v>1.7002E-4</v>
      </c>
      <c r="N3378" s="9">
        <v>1.7045E-4</v>
      </c>
      <c r="O3378" s="9">
        <v>1.7568999999999999E-4</v>
      </c>
      <c r="P3378" s="9">
        <v>1.6851999999999999E-4</v>
      </c>
      <c r="Q3378" s="9">
        <v>1.6050999999999999E-4</v>
      </c>
      <c r="R3378" s="10">
        <v>4.9006308133922069E-5</v>
      </c>
      <c r="S3378" s="10">
        <v>5.772288235798909E-5</v>
      </c>
      <c r="T3378" s="10">
        <v>5.5297269444488863E-4</v>
      </c>
      <c r="U3378" s="10">
        <v>9.2600000000000001E-5</v>
      </c>
      <c r="V3378" s="25"/>
      <c r="W3378" s="25"/>
      <c r="X3378" s="25"/>
      <c r="Y3378" s="25"/>
      <c r="Z3378" s="25"/>
      <c r="AA3378" s="25"/>
    </row>
    <row r="3379" spans="1:27" x14ac:dyDescent="0.35">
      <c r="A3379" s="5">
        <v>3375</v>
      </c>
      <c r="B3379" s="5">
        <v>141</v>
      </c>
      <c r="C3379" s="5">
        <v>5</v>
      </c>
      <c r="D3379" s="25">
        <v>1.1416E-4</v>
      </c>
      <c r="E3379" s="25">
        <v>1.1506E-4</v>
      </c>
      <c r="F3379" s="25">
        <v>1.3029E-4</v>
      </c>
      <c r="G3379" s="25">
        <v>1.6752E-4</v>
      </c>
      <c r="H3379" s="25">
        <v>1.9259E-4</v>
      </c>
      <c r="I3379" s="9">
        <v>1.1216E-4</v>
      </c>
      <c r="J3379" s="9">
        <v>1.2709E-4</v>
      </c>
      <c r="K3379" s="9">
        <v>0</v>
      </c>
      <c r="L3379" s="9">
        <v>1.7267000000000001E-4</v>
      </c>
      <c r="M3379" s="9">
        <v>1.6836999999999999E-4</v>
      </c>
      <c r="N3379" s="9">
        <v>1.6993999999999999E-4</v>
      </c>
      <c r="O3379" s="9">
        <v>1.8294000000000001E-4</v>
      </c>
      <c r="P3379" s="9">
        <v>1.6888999999999999E-4</v>
      </c>
      <c r="Q3379" s="9">
        <v>1.5405E-4</v>
      </c>
      <c r="R3379" s="10">
        <v>5.9940255211333402E-5</v>
      </c>
      <c r="S3379" s="10">
        <v>6.210087159479439E-5</v>
      </c>
      <c r="T3379" s="10">
        <v>6.5252746301946096E-4</v>
      </c>
      <c r="U3379" s="10">
        <v>9.2600000000000001E-5</v>
      </c>
      <c r="V3379" s="25"/>
      <c r="W3379" s="25"/>
      <c r="X3379" s="25"/>
      <c r="Y3379" s="25"/>
      <c r="Z3379" s="25"/>
      <c r="AA3379" s="25"/>
    </row>
    <row r="3380" spans="1:27" x14ac:dyDescent="0.35">
      <c r="A3380" s="5">
        <v>3376</v>
      </c>
      <c r="B3380" s="5">
        <v>141</v>
      </c>
      <c r="C3380" s="5">
        <v>5</v>
      </c>
      <c r="D3380" s="25">
        <v>1.1415000000000001E-4</v>
      </c>
      <c r="E3380" s="25">
        <v>1.1731E-4</v>
      </c>
      <c r="F3380" s="25">
        <v>1.3302999999999999E-4</v>
      </c>
      <c r="G3380" s="25">
        <v>1.5739000000000001E-4</v>
      </c>
      <c r="H3380" s="25">
        <v>1.9452E-4</v>
      </c>
      <c r="I3380" s="9">
        <v>1.1043E-4</v>
      </c>
      <c r="J3380" s="9">
        <v>1.2548999999999999E-4</v>
      </c>
      <c r="K3380" s="9">
        <v>0</v>
      </c>
      <c r="L3380" s="9">
        <v>1.8039E-4</v>
      </c>
      <c r="M3380" s="9">
        <v>1.6820999999999999E-4</v>
      </c>
      <c r="N3380" s="9">
        <v>1.6640000000000001E-4</v>
      </c>
      <c r="O3380" s="9">
        <v>1.9542E-4</v>
      </c>
      <c r="P3380" s="9">
        <v>1.5302999999999999E-4</v>
      </c>
      <c r="Q3380" s="9">
        <v>1.1018000000000001E-4</v>
      </c>
      <c r="R3380" s="10">
        <v>6.6899708828716057E-5</v>
      </c>
      <c r="S3380" s="10">
        <v>6.9328977422307951E-5</v>
      </c>
      <c r="T3380" s="10">
        <v>4.8834778629485321E-4</v>
      </c>
      <c r="U3380" s="10">
        <v>9.2600000000000001E-5</v>
      </c>
      <c r="V3380" s="25"/>
      <c r="W3380" s="25"/>
      <c r="X3380" s="25"/>
      <c r="Y3380" s="25"/>
      <c r="Z3380" s="25"/>
      <c r="AA3380" s="25"/>
    </row>
    <row r="3381" spans="1:27" x14ac:dyDescent="0.35">
      <c r="A3381" s="5">
        <v>3377</v>
      </c>
      <c r="B3381" s="5">
        <v>141</v>
      </c>
      <c r="C3381" s="5">
        <v>5</v>
      </c>
      <c r="D3381" s="25">
        <v>1.1416E-4</v>
      </c>
      <c r="E3381" s="25">
        <v>1.1713E-4</v>
      </c>
      <c r="F3381" s="25">
        <v>1.2662E-4</v>
      </c>
      <c r="G3381" s="25">
        <v>1.6332E-4</v>
      </c>
      <c r="H3381" s="25">
        <v>2.0075E-4</v>
      </c>
      <c r="I3381" s="9">
        <v>1.1109E-4</v>
      </c>
      <c r="J3381" s="9">
        <v>1.2517E-4</v>
      </c>
      <c r="K3381" s="9">
        <v>0</v>
      </c>
      <c r="L3381" s="9">
        <v>1.9184000000000001E-4</v>
      </c>
      <c r="M3381" s="9">
        <v>1.6283000000000001E-4</v>
      </c>
      <c r="N3381" s="9">
        <v>1.528E-4</v>
      </c>
      <c r="O3381" s="9">
        <v>2.1047000000000001E-4</v>
      </c>
      <c r="P3381" s="9">
        <v>1.5892E-4</v>
      </c>
      <c r="Q3381" s="9">
        <v>1.0689E-4</v>
      </c>
      <c r="R3381" s="10">
        <v>6.8387281457627069E-5</v>
      </c>
      <c r="S3381" s="10">
        <v>7.2518736160736915E-5</v>
      </c>
      <c r="T3381" s="10">
        <v>3.3333115286839922E-4</v>
      </c>
      <c r="U3381" s="10">
        <v>9.2600000000000001E-5</v>
      </c>
      <c r="V3381" s="25"/>
      <c r="W3381" s="25"/>
      <c r="X3381" s="25"/>
      <c r="Y3381" s="25"/>
      <c r="Z3381" s="25"/>
      <c r="AA3381" s="25"/>
    </row>
    <row r="3382" spans="1:27" x14ac:dyDescent="0.35">
      <c r="A3382" s="5">
        <v>3378</v>
      </c>
      <c r="B3382" s="5">
        <v>141</v>
      </c>
      <c r="C3382" s="5">
        <v>5</v>
      </c>
      <c r="D3382" s="25">
        <v>1.1415000000000001E-4</v>
      </c>
      <c r="E3382" s="25">
        <v>1.1614E-4</v>
      </c>
      <c r="F3382" s="25">
        <v>1.3185000000000001E-4</v>
      </c>
      <c r="G3382" s="25">
        <v>1.6416E-4</v>
      </c>
      <c r="H3382" s="25">
        <v>1.9676000000000001E-4</v>
      </c>
      <c r="I3382" s="9">
        <v>1.1213999999999999E-4</v>
      </c>
      <c r="J3382" s="9">
        <v>1.2224E-4</v>
      </c>
      <c r="K3382" s="9">
        <v>0</v>
      </c>
      <c r="L3382" s="9">
        <v>2.0614E-4</v>
      </c>
      <c r="M3382" s="9">
        <v>1.5992E-4</v>
      </c>
      <c r="N3382" s="9">
        <v>1.3934E-4</v>
      </c>
      <c r="O3382" s="9">
        <v>2.0184000000000001E-4</v>
      </c>
      <c r="P3382" s="9">
        <v>1.5982E-4</v>
      </c>
      <c r="Q3382" s="9">
        <v>1.1726E-4</v>
      </c>
      <c r="R3382" s="10">
        <v>6.6912446244236562E-5</v>
      </c>
      <c r="S3382" s="10">
        <v>6.5571554382167708E-5</v>
      </c>
      <c r="T3382" s="10">
        <v>1.3978731609294809E-4</v>
      </c>
      <c r="U3382" s="10">
        <v>9.2600000000000001E-5</v>
      </c>
      <c r="V3382" s="25"/>
      <c r="W3382" s="25"/>
      <c r="X3382" s="25"/>
      <c r="Y3382" s="25"/>
      <c r="Z3382" s="25"/>
      <c r="AA3382" s="25"/>
    </row>
    <row r="3383" spans="1:27" x14ac:dyDescent="0.35">
      <c r="A3383" s="5">
        <v>3379</v>
      </c>
      <c r="B3383" s="5">
        <v>141</v>
      </c>
      <c r="C3383" s="5">
        <v>5</v>
      </c>
      <c r="D3383" s="25">
        <v>1.1416E-4</v>
      </c>
      <c r="E3383" s="25">
        <v>1.1734E-4</v>
      </c>
      <c r="F3383" s="25">
        <v>1.3135999999999999E-4</v>
      </c>
      <c r="G3383" s="25">
        <v>1.0636E-4</v>
      </c>
      <c r="H3383" s="25">
        <v>1.2778999999999999E-4</v>
      </c>
      <c r="I3383" s="9">
        <v>1.1157E-4</v>
      </c>
      <c r="J3383" s="9">
        <v>1.1917E-4</v>
      </c>
      <c r="K3383" s="9">
        <v>0</v>
      </c>
      <c r="L3383" s="9">
        <v>2.0243999999999999E-4</v>
      </c>
      <c r="M3383" s="9">
        <v>1.5925999999999999E-4</v>
      </c>
      <c r="N3383" s="9">
        <v>1.3014999999999999E-4</v>
      </c>
      <c r="O3383" s="9">
        <v>1.6373000000000001E-4</v>
      </c>
      <c r="P3383" s="9">
        <v>1.3606999999999999E-4</v>
      </c>
      <c r="Q3383" s="9">
        <v>1.08E-4</v>
      </c>
      <c r="R3383" s="10">
        <v>5.9707512442540586E-5</v>
      </c>
      <c r="S3383" s="10">
        <v>7.3509982843379955E-5</v>
      </c>
      <c r="T3383" s="10">
        <v>4.1505192420897199E-5</v>
      </c>
      <c r="U3383" s="10">
        <v>9.2600000000000001E-5</v>
      </c>
      <c r="V3383" s="25"/>
      <c r="W3383" s="25"/>
      <c r="X3383" s="25"/>
      <c r="Y3383" s="25"/>
      <c r="Z3383" s="25"/>
      <c r="AA3383" s="25"/>
    </row>
    <row r="3384" spans="1:27" x14ac:dyDescent="0.35">
      <c r="A3384" s="5">
        <v>3380</v>
      </c>
      <c r="B3384" s="5">
        <v>141</v>
      </c>
      <c r="C3384" s="5">
        <v>5</v>
      </c>
      <c r="D3384" s="25">
        <v>1.1415000000000001E-4</v>
      </c>
      <c r="E3384" s="25">
        <v>1.1123E-4</v>
      </c>
      <c r="F3384" s="25">
        <v>1.2328999999999999E-4</v>
      </c>
      <c r="G3384" s="25">
        <v>1.1139E-4</v>
      </c>
      <c r="H3384" s="25">
        <v>1.3802000000000001E-4</v>
      </c>
      <c r="I3384" s="9">
        <v>1.1079E-4</v>
      </c>
      <c r="J3384" s="9">
        <v>1.1594E-4</v>
      </c>
      <c r="K3384" s="9">
        <v>1.908E-5</v>
      </c>
      <c r="L3384" s="9">
        <v>1.7242000000000001E-4</v>
      </c>
      <c r="M3384" s="9">
        <v>1.5092E-4</v>
      </c>
      <c r="N3384" s="9">
        <v>1.2120000000000001E-4</v>
      </c>
      <c r="O3384" s="9">
        <v>1.2619000000000001E-4</v>
      </c>
      <c r="P3384" s="9">
        <v>1.1367E-4</v>
      </c>
      <c r="Q3384" s="9">
        <v>1.0083E-4</v>
      </c>
      <c r="R3384" s="10">
        <v>4.2176248341623555E-5</v>
      </c>
      <c r="S3384" s="10">
        <v>8.4766705890809233E-5</v>
      </c>
      <c r="T3384" s="10">
        <v>0</v>
      </c>
      <c r="U3384" s="10">
        <v>9.2600000000000001E-5</v>
      </c>
      <c r="V3384" s="25"/>
      <c r="W3384" s="25"/>
      <c r="X3384" s="25"/>
      <c r="Y3384" s="25"/>
      <c r="Z3384" s="25"/>
      <c r="AA3384" s="25"/>
    </row>
    <row r="3385" spans="1:27" x14ac:dyDescent="0.35">
      <c r="A3385" s="5">
        <v>3381</v>
      </c>
      <c r="B3385" s="5">
        <v>141</v>
      </c>
      <c r="C3385" s="5">
        <v>5</v>
      </c>
      <c r="D3385" s="25">
        <v>1.1416E-4</v>
      </c>
      <c r="E3385" s="25">
        <v>1.1512E-4</v>
      </c>
      <c r="F3385" s="25">
        <v>1.3312999999999999E-4</v>
      </c>
      <c r="G3385" s="25">
        <v>5.6450000000000003E-5</v>
      </c>
      <c r="H3385" s="25">
        <v>7.5569999999999996E-5</v>
      </c>
      <c r="I3385" s="9">
        <v>1.0908000000000001E-4</v>
      </c>
      <c r="J3385" s="9">
        <v>1.1283E-4</v>
      </c>
      <c r="K3385" s="9">
        <v>4.0280000000000001E-5</v>
      </c>
      <c r="L3385" s="9">
        <v>1.3729000000000001E-4</v>
      </c>
      <c r="M3385" s="9">
        <v>1.3517999999999999E-4</v>
      </c>
      <c r="N3385" s="9">
        <v>1.132E-4</v>
      </c>
      <c r="O3385" s="9">
        <v>8.4090000000000003E-5</v>
      </c>
      <c r="P3385" s="9">
        <v>8.6249999999999996E-5</v>
      </c>
      <c r="Q3385" s="9">
        <v>8.8239999999999995E-5</v>
      </c>
      <c r="R3385" s="10">
        <v>3.4027068805643608E-5</v>
      </c>
      <c r="S3385" s="10">
        <v>8.8909564176899898E-5</v>
      </c>
      <c r="T3385" s="10">
        <v>0</v>
      </c>
      <c r="U3385" s="10">
        <v>9.2600000000000001E-5</v>
      </c>
      <c r="V3385" s="25"/>
      <c r="W3385" s="25"/>
      <c r="X3385" s="25"/>
      <c r="Y3385" s="25"/>
      <c r="Z3385" s="25"/>
      <c r="AA3385" s="25"/>
    </row>
    <row r="3386" spans="1:27" x14ac:dyDescent="0.35">
      <c r="A3386" s="5">
        <v>3382</v>
      </c>
      <c r="B3386" s="5">
        <v>141</v>
      </c>
      <c r="C3386" s="5">
        <v>5</v>
      </c>
      <c r="D3386" s="25">
        <v>1.1415000000000001E-4</v>
      </c>
      <c r="E3386" s="25">
        <v>1.1543E-4</v>
      </c>
      <c r="F3386" s="25">
        <v>1.2616E-4</v>
      </c>
      <c r="G3386" s="25">
        <v>6.122E-5</v>
      </c>
      <c r="H3386" s="25">
        <v>6.5969999999999993E-5</v>
      </c>
      <c r="I3386" s="9">
        <v>1.1312E-4</v>
      </c>
      <c r="J3386" s="9">
        <v>1.1101E-4</v>
      </c>
      <c r="K3386" s="9">
        <v>5.9349999999999999E-5</v>
      </c>
      <c r="L3386" s="9">
        <v>9.6739999999999999E-5</v>
      </c>
      <c r="M3386" s="9">
        <v>1.1349999999999999E-4</v>
      </c>
      <c r="N3386" s="9">
        <v>1.0553E-4</v>
      </c>
      <c r="O3386" s="9">
        <v>8.7130000000000001E-5</v>
      </c>
      <c r="P3386" s="9">
        <v>8.7940000000000002E-5</v>
      </c>
      <c r="Q3386" s="9">
        <v>8.8599999999999999E-5</v>
      </c>
      <c r="R3386" s="10">
        <v>2.8830177137565778E-5</v>
      </c>
      <c r="S3386" s="10">
        <v>8.7379776476895007E-5</v>
      </c>
      <c r="T3386" s="10">
        <v>0</v>
      </c>
      <c r="U3386" s="10">
        <v>9.2600000000000001E-5</v>
      </c>
      <c r="V3386" s="25"/>
      <c r="W3386" s="25"/>
      <c r="X3386" s="25"/>
      <c r="Y3386" s="25"/>
      <c r="Z3386" s="25"/>
      <c r="AA3386" s="25"/>
    </row>
    <row r="3387" spans="1:27" x14ac:dyDescent="0.35">
      <c r="A3387" s="5">
        <v>3383</v>
      </c>
      <c r="B3387" s="5">
        <v>141</v>
      </c>
      <c r="C3387" s="5">
        <v>5</v>
      </c>
      <c r="D3387" s="25">
        <v>1.1416E-4</v>
      </c>
      <c r="E3387" s="25">
        <v>1.1632E-4</v>
      </c>
      <c r="F3387" s="25">
        <v>1.2496999999999999E-4</v>
      </c>
      <c r="G3387" s="25">
        <v>6.1909999999999995E-5</v>
      </c>
      <c r="H3387" s="25">
        <v>6.6519999999999993E-5</v>
      </c>
      <c r="I3387" s="9">
        <v>1.0812E-4</v>
      </c>
      <c r="J3387" s="9">
        <v>1.0563E-4</v>
      </c>
      <c r="K3387" s="9">
        <v>7.4179999999999998E-5</v>
      </c>
      <c r="L3387" s="9">
        <v>9.0160000000000004E-5</v>
      </c>
      <c r="M3387" s="9">
        <v>9.8989999999999999E-5</v>
      </c>
      <c r="N3387" s="9">
        <v>9.9790000000000005E-5</v>
      </c>
      <c r="O3387" s="9">
        <v>7.6849999999999998E-5</v>
      </c>
      <c r="P3387" s="9">
        <v>7.161E-5</v>
      </c>
      <c r="Q3387" s="9">
        <v>6.6400000000000001E-5</v>
      </c>
      <c r="R3387" s="10">
        <v>2.8086556920542416E-5</v>
      </c>
      <c r="S3387" s="10">
        <v>8.1460191104213938E-5</v>
      </c>
      <c r="T3387" s="10">
        <v>0</v>
      </c>
      <c r="U3387" s="10">
        <v>9.2600000000000001E-5</v>
      </c>
      <c r="V3387" s="25"/>
      <c r="W3387" s="25"/>
      <c r="X3387" s="25"/>
      <c r="Y3387" s="25"/>
      <c r="Z3387" s="25"/>
      <c r="AA3387" s="25"/>
    </row>
    <row r="3388" spans="1:27" x14ac:dyDescent="0.35">
      <c r="A3388" s="5">
        <v>3384</v>
      </c>
      <c r="B3388" s="5">
        <v>141</v>
      </c>
      <c r="C3388" s="5">
        <v>5</v>
      </c>
      <c r="D3388" s="25">
        <v>1.1415000000000001E-4</v>
      </c>
      <c r="E3388" s="25">
        <v>1.1581E-4</v>
      </c>
      <c r="F3388" s="25">
        <v>1.2137E-4</v>
      </c>
      <c r="G3388" s="25">
        <v>5.9670000000000003E-5</v>
      </c>
      <c r="H3388" s="25">
        <v>7.046E-5</v>
      </c>
      <c r="I3388" s="9">
        <v>9.9909999999999997E-5</v>
      </c>
      <c r="J3388" s="9">
        <v>9.8179999999999999E-5</v>
      </c>
      <c r="K3388" s="9">
        <v>7.6299999999999998E-5</v>
      </c>
      <c r="L3388" s="9">
        <v>7.9740000000000006E-5</v>
      </c>
      <c r="M3388" s="9">
        <v>8.5959999999999997E-5</v>
      </c>
      <c r="N3388" s="9">
        <v>9.0420000000000005E-5</v>
      </c>
      <c r="O3388" s="9">
        <v>6.266E-5</v>
      </c>
      <c r="P3388" s="9">
        <v>6.0739999999999998E-5</v>
      </c>
      <c r="Q3388" s="9">
        <v>5.8919999999999998E-5</v>
      </c>
      <c r="R3388" s="10">
        <v>3.443442280569958E-5</v>
      </c>
      <c r="S3388" s="10">
        <v>9.5473569772693231E-5</v>
      </c>
      <c r="T3388" s="10">
        <v>0</v>
      </c>
      <c r="U3388" s="10">
        <v>9.2600000000000001E-5</v>
      </c>
      <c r="V3388" s="25"/>
      <c r="W3388" s="25"/>
      <c r="X3388" s="25"/>
      <c r="Y3388" s="25"/>
      <c r="Z3388" s="25"/>
      <c r="AA3388" s="25"/>
    </row>
    <row r="3389" spans="1:27" x14ac:dyDescent="0.35">
      <c r="A3389" s="5">
        <v>3385</v>
      </c>
      <c r="B3389" s="5">
        <v>142</v>
      </c>
      <c r="C3389" s="5">
        <v>5</v>
      </c>
      <c r="D3389" s="25">
        <v>1.1416E-4</v>
      </c>
      <c r="E3389" s="25">
        <v>1.1775E-4</v>
      </c>
      <c r="F3389" s="25">
        <v>8.6539999999999995E-5</v>
      </c>
      <c r="G3389" s="25">
        <v>6.2609999999999999E-5</v>
      </c>
      <c r="H3389" s="25">
        <v>7.0480000000000003E-5</v>
      </c>
      <c r="I3389" s="9">
        <v>9.4489999999999998E-5</v>
      </c>
      <c r="J3389" s="9">
        <v>9.2789999999999998E-5</v>
      </c>
      <c r="K3389" s="9">
        <v>7.8419999999999998E-5</v>
      </c>
      <c r="L3389" s="9">
        <v>6.6439999999999994E-5</v>
      </c>
      <c r="M3389" s="9">
        <v>7.3880000000000004E-5</v>
      </c>
      <c r="N3389" s="9">
        <v>8.1030000000000002E-5</v>
      </c>
      <c r="O3389" s="9">
        <v>5.4939999999999999E-5</v>
      </c>
      <c r="P3389" s="9">
        <v>5.435E-5</v>
      </c>
      <c r="Q3389" s="9">
        <v>5.3919999999999999E-5</v>
      </c>
      <c r="R3389" s="10">
        <v>4.215826192044599E-5</v>
      </c>
      <c r="S3389" s="10">
        <v>8.4391983678235965E-5</v>
      </c>
      <c r="T3389" s="10">
        <v>0</v>
      </c>
      <c r="U3389" s="10">
        <v>9.2079999999999999E-5</v>
      </c>
      <c r="V3389" s="25"/>
      <c r="W3389" s="25"/>
      <c r="X3389" s="25"/>
      <c r="Y3389" s="25"/>
      <c r="Z3389" s="25"/>
      <c r="AA3389" s="25"/>
    </row>
    <row r="3390" spans="1:27" x14ac:dyDescent="0.35">
      <c r="A3390" s="5">
        <v>3386</v>
      </c>
      <c r="B3390" s="5">
        <v>142</v>
      </c>
      <c r="C3390" s="5">
        <v>5</v>
      </c>
      <c r="D3390" s="25">
        <v>1.1415000000000001E-4</v>
      </c>
      <c r="E3390" s="25">
        <v>1.1699E-4</v>
      </c>
      <c r="F3390" s="25">
        <v>8.0939999999999994E-5</v>
      </c>
      <c r="G3390" s="25">
        <v>5.8440000000000003E-5</v>
      </c>
      <c r="H3390" s="25">
        <v>7.4239999999999994E-5</v>
      </c>
      <c r="I3390" s="9">
        <v>9.0470000000000006E-5</v>
      </c>
      <c r="J3390" s="9">
        <v>8.9530000000000005E-5</v>
      </c>
      <c r="K3390" s="9">
        <v>9.3250000000000003E-5</v>
      </c>
      <c r="L3390" s="9">
        <v>5.783E-5</v>
      </c>
      <c r="M3390" s="9">
        <v>6.3969999999999999E-5</v>
      </c>
      <c r="N3390" s="9">
        <v>7.2080000000000001E-5</v>
      </c>
      <c r="O3390" s="9">
        <v>1.9400000000000001E-5</v>
      </c>
      <c r="P3390" s="9">
        <v>3.7549999999999998E-5</v>
      </c>
      <c r="Q3390" s="9">
        <v>5.5890000000000002E-5</v>
      </c>
      <c r="R3390" s="10">
        <v>5.9295604717867625E-5</v>
      </c>
      <c r="S3390" s="10">
        <v>8.0648241495171412E-5</v>
      </c>
      <c r="T3390" s="10">
        <v>0</v>
      </c>
      <c r="U3390" s="10">
        <v>9.2079999999999999E-5</v>
      </c>
      <c r="V3390" s="25"/>
      <c r="W3390" s="25"/>
      <c r="X3390" s="25"/>
      <c r="Y3390" s="25"/>
      <c r="Z3390" s="25"/>
      <c r="AA3390" s="25"/>
    </row>
    <row r="3391" spans="1:27" x14ac:dyDescent="0.35">
      <c r="A3391" s="5">
        <v>3387</v>
      </c>
      <c r="B3391" s="5">
        <v>142</v>
      </c>
      <c r="C3391" s="5">
        <v>5</v>
      </c>
      <c r="D3391" s="25">
        <v>1.1416E-4</v>
      </c>
      <c r="E3391" s="25">
        <v>1.2307E-4</v>
      </c>
      <c r="F3391" s="25">
        <v>1.0219E-4</v>
      </c>
      <c r="G3391" s="25">
        <v>5.4629999999999997E-5</v>
      </c>
      <c r="H3391" s="25">
        <v>6.9930000000000003E-5</v>
      </c>
      <c r="I3391" s="9">
        <v>8.8010000000000006E-5</v>
      </c>
      <c r="J3391" s="9">
        <v>8.7609999999999996E-5</v>
      </c>
      <c r="K3391" s="9">
        <v>9.7490000000000003E-5</v>
      </c>
      <c r="L3391" s="9">
        <v>2.8039999999999999E-5</v>
      </c>
      <c r="M3391" s="9">
        <v>5.2219999999999998E-5</v>
      </c>
      <c r="N3391" s="9">
        <v>6.5469999999999995E-5</v>
      </c>
      <c r="O3391" s="9">
        <v>1.414E-5</v>
      </c>
      <c r="P3391" s="9">
        <v>3.7799999999999997E-5</v>
      </c>
      <c r="Q3391" s="9">
        <v>6.1619999999999996E-5</v>
      </c>
      <c r="R3391" s="10">
        <v>7.8214134362061035E-5</v>
      </c>
      <c r="S3391" s="10">
        <v>7.8778176658813429E-5</v>
      </c>
      <c r="T3391" s="10">
        <v>0</v>
      </c>
      <c r="U3391" s="10">
        <v>9.2079999999999999E-5</v>
      </c>
      <c r="V3391" s="25"/>
      <c r="W3391" s="25"/>
      <c r="X3391" s="25"/>
      <c r="Y3391" s="25"/>
      <c r="Z3391" s="25"/>
      <c r="AA3391" s="25"/>
    </row>
    <row r="3392" spans="1:27" x14ac:dyDescent="0.35">
      <c r="A3392" s="5">
        <v>3388</v>
      </c>
      <c r="B3392" s="5">
        <v>142</v>
      </c>
      <c r="C3392" s="5">
        <v>5</v>
      </c>
      <c r="D3392" s="25">
        <v>1.1415000000000001E-4</v>
      </c>
      <c r="E3392" s="25">
        <v>1.1422E-4</v>
      </c>
      <c r="F3392" s="25">
        <v>1.0119E-4</v>
      </c>
      <c r="G3392" s="25">
        <v>5.503E-5</v>
      </c>
      <c r="H3392" s="25">
        <v>6.546E-5</v>
      </c>
      <c r="I3392" s="9">
        <v>8.7349999999999995E-5</v>
      </c>
      <c r="J3392" s="9">
        <v>8.7100000000000003E-5</v>
      </c>
      <c r="K3392" s="9">
        <v>1.0809E-4</v>
      </c>
      <c r="L3392" s="9">
        <v>1.7940000000000001E-5</v>
      </c>
      <c r="M3392" s="9">
        <v>4.4209999999999999E-5</v>
      </c>
      <c r="N3392" s="9">
        <v>6.19E-5</v>
      </c>
      <c r="O3392" s="9">
        <v>1.4209999999999999E-5</v>
      </c>
      <c r="P3392" s="9">
        <v>4.7500000000000003E-5</v>
      </c>
      <c r="Q3392" s="9">
        <v>8.0790000000000004E-5</v>
      </c>
      <c r="R3392" s="10">
        <v>9.1475789106687695E-5</v>
      </c>
      <c r="S3392" s="10">
        <v>7.1895102674003863E-5</v>
      </c>
      <c r="T3392" s="10">
        <v>0</v>
      </c>
      <c r="U3392" s="10">
        <v>9.2079999999999999E-5</v>
      </c>
      <c r="V3392" s="25"/>
      <c r="W3392" s="25"/>
      <c r="X3392" s="25"/>
      <c r="Y3392" s="25"/>
      <c r="Z3392" s="25"/>
      <c r="AA3392" s="25"/>
    </row>
    <row r="3393" spans="1:27" x14ac:dyDescent="0.35">
      <c r="A3393" s="5">
        <v>3389</v>
      </c>
      <c r="B3393" s="5">
        <v>142</v>
      </c>
      <c r="C3393" s="5">
        <v>5</v>
      </c>
      <c r="D3393" s="25">
        <v>1.1416E-4</v>
      </c>
      <c r="E3393" s="25">
        <v>1.1718E-4</v>
      </c>
      <c r="F3393" s="25">
        <v>8.3079999999999997E-5</v>
      </c>
      <c r="G3393" s="25">
        <v>5.906E-5</v>
      </c>
      <c r="H3393" s="25">
        <v>6.8209999999999999E-5</v>
      </c>
      <c r="I3393" s="9">
        <v>8.6700000000000007E-5</v>
      </c>
      <c r="J3393" s="9">
        <v>8.6329999999999995E-5</v>
      </c>
      <c r="K3393" s="9">
        <v>7.4179999999999998E-5</v>
      </c>
      <c r="L3393" s="9">
        <v>1.5279999999999999E-5</v>
      </c>
      <c r="M3393" s="9">
        <v>4.3600000000000003E-5</v>
      </c>
      <c r="N3393" s="9">
        <v>6.4549999999999997E-5</v>
      </c>
      <c r="O3393" s="9">
        <v>1.9680000000000001E-5</v>
      </c>
      <c r="P3393" s="9">
        <v>5.715E-5</v>
      </c>
      <c r="Q3393" s="9">
        <v>9.4500000000000007E-5</v>
      </c>
      <c r="R3393" s="10">
        <v>1.0039224231088445E-4</v>
      </c>
      <c r="S3393" s="10">
        <v>6.1619660864160495E-5</v>
      </c>
      <c r="T3393" s="10">
        <v>4.3439612672729687E-6</v>
      </c>
      <c r="U3393" s="10">
        <v>9.2079999999999999E-5</v>
      </c>
      <c r="V3393" s="25"/>
      <c r="W3393" s="25"/>
      <c r="X3393" s="25"/>
      <c r="Y3393" s="25"/>
      <c r="Z3393" s="25"/>
      <c r="AA3393" s="25"/>
    </row>
    <row r="3394" spans="1:27" x14ac:dyDescent="0.35">
      <c r="A3394" s="5">
        <v>3390</v>
      </c>
      <c r="B3394" s="5">
        <v>142</v>
      </c>
      <c r="C3394" s="5">
        <v>5</v>
      </c>
      <c r="D3394" s="25">
        <v>1.1415000000000001E-4</v>
      </c>
      <c r="E3394" s="25">
        <v>1.1786E-4</v>
      </c>
      <c r="F3394" s="25">
        <v>8.5439999999999995E-5</v>
      </c>
      <c r="G3394" s="25">
        <v>1.0867E-4</v>
      </c>
      <c r="H3394" s="25">
        <v>1.3604000000000001E-4</v>
      </c>
      <c r="I3394" s="9">
        <v>8.7410000000000005E-5</v>
      </c>
      <c r="J3394" s="9">
        <v>8.7650000000000003E-5</v>
      </c>
      <c r="K3394" s="9">
        <v>3.18E-5</v>
      </c>
      <c r="L3394" s="9">
        <v>1.8580000000000002E-5</v>
      </c>
      <c r="M3394" s="9">
        <v>4.867E-5</v>
      </c>
      <c r="N3394" s="9">
        <v>7.1290000000000004E-5</v>
      </c>
      <c r="O3394" s="9">
        <v>4.6860000000000002E-5</v>
      </c>
      <c r="P3394" s="9">
        <v>7.7550000000000001E-5</v>
      </c>
      <c r="Q3394" s="9">
        <v>1.0799E-4</v>
      </c>
      <c r="R3394" s="10">
        <v>1.041069393432514E-4</v>
      </c>
      <c r="S3394" s="10">
        <v>5.2126851271727285E-5</v>
      </c>
      <c r="T3394" s="10">
        <v>2.2398550284376244E-5</v>
      </c>
      <c r="U3394" s="10">
        <v>9.2079999999999999E-5</v>
      </c>
      <c r="V3394" s="25"/>
      <c r="W3394" s="25"/>
      <c r="X3394" s="25"/>
      <c r="Y3394" s="25"/>
      <c r="Z3394" s="25"/>
      <c r="AA3394" s="25"/>
    </row>
    <row r="3395" spans="1:27" x14ac:dyDescent="0.35">
      <c r="A3395" s="5">
        <v>3391</v>
      </c>
      <c r="B3395" s="5">
        <v>142</v>
      </c>
      <c r="C3395" s="5">
        <v>5</v>
      </c>
      <c r="D3395" s="25">
        <v>1.1416E-4</v>
      </c>
      <c r="E3395" s="25">
        <v>1.2274000000000001E-4</v>
      </c>
      <c r="F3395" s="25">
        <v>8.2020000000000004E-5</v>
      </c>
      <c r="G3395" s="25">
        <v>1.1256000000000001E-4</v>
      </c>
      <c r="H3395" s="25">
        <v>1.3055E-4</v>
      </c>
      <c r="I3395" s="9">
        <v>9.1739999999999999E-5</v>
      </c>
      <c r="J3395" s="9">
        <v>9.3800000000000003E-5</v>
      </c>
      <c r="K3395" s="9">
        <v>0</v>
      </c>
      <c r="L3395" s="9">
        <v>4.0500000000000002E-5</v>
      </c>
      <c r="M3395" s="9">
        <v>6.05E-5</v>
      </c>
      <c r="N3395" s="9">
        <v>8.119E-5</v>
      </c>
      <c r="O3395" s="9">
        <v>1.2294000000000001E-4</v>
      </c>
      <c r="P3395" s="9">
        <v>1.1836E-4</v>
      </c>
      <c r="Q3395" s="9">
        <v>1.1338E-4</v>
      </c>
      <c r="R3395" s="10">
        <v>1.046511732690701E-4</v>
      </c>
      <c r="S3395" s="10">
        <v>4.9815472592405988E-5</v>
      </c>
      <c r="T3395" s="10">
        <v>3.2435476415594844E-5</v>
      </c>
      <c r="U3395" s="10">
        <v>9.2079999999999999E-5</v>
      </c>
      <c r="V3395" s="25"/>
      <c r="W3395" s="25"/>
      <c r="X3395" s="25"/>
      <c r="Y3395" s="25"/>
      <c r="Z3395" s="25"/>
      <c r="AA3395" s="25"/>
    </row>
    <row r="3396" spans="1:27" x14ac:dyDescent="0.35">
      <c r="A3396" s="5">
        <v>3392</v>
      </c>
      <c r="B3396" s="5">
        <v>142</v>
      </c>
      <c r="C3396" s="5">
        <v>5</v>
      </c>
      <c r="D3396" s="25">
        <v>1.1415000000000001E-4</v>
      </c>
      <c r="E3396" s="25">
        <v>1.1262E-4</v>
      </c>
      <c r="F3396" s="25">
        <v>1.0098E-4</v>
      </c>
      <c r="G3396" s="25">
        <v>1.6478E-4</v>
      </c>
      <c r="H3396" s="25">
        <v>1.8843000000000001E-4</v>
      </c>
      <c r="I3396" s="9">
        <v>9.6520000000000004E-5</v>
      </c>
      <c r="J3396" s="9">
        <v>1.0195E-4</v>
      </c>
      <c r="K3396" s="9">
        <v>0</v>
      </c>
      <c r="L3396" s="9">
        <v>1.0419E-4</v>
      </c>
      <c r="M3396" s="9">
        <v>8.4369999999999994E-5</v>
      </c>
      <c r="N3396" s="9">
        <v>9.1459999999999995E-5</v>
      </c>
      <c r="O3396" s="9">
        <v>2.1558999999999999E-4</v>
      </c>
      <c r="P3396" s="9">
        <v>1.7621E-4</v>
      </c>
      <c r="Q3396" s="9">
        <v>1.3613000000000001E-4</v>
      </c>
      <c r="R3396" s="10">
        <v>9.7705325389398003E-5</v>
      </c>
      <c r="S3396" s="10">
        <v>5.294216946920862E-5</v>
      </c>
      <c r="T3396" s="10">
        <v>1.8140280440539716E-4</v>
      </c>
      <c r="U3396" s="10">
        <v>9.2079999999999999E-5</v>
      </c>
      <c r="V3396" s="25"/>
      <c r="W3396" s="25"/>
      <c r="X3396" s="25"/>
      <c r="Y3396" s="25"/>
      <c r="Z3396" s="25"/>
      <c r="AA3396" s="25"/>
    </row>
    <row r="3397" spans="1:27" x14ac:dyDescent="0.35">
      <c r="A3397" s="5">
        <v>3393</v>
      </c>
      <c r="B3397" s="5">
        <v>142</v>
      </c>
      <c r="C3397" s="5">
        <v>5</v>
      </c>
      <c r="D3397" s="25">
        <v>1.1416E-4</v>
      </c>
      <c r="E3397" s="25">
        <v>1.1894E-4</v>
      </c>
      <c r="F3397" s="25">
        <v>8.0459999999999999E-5</v>
      </c>
      <c r="G3397" s="25">
        <v>1.5615E-4</v>
      </c>
      <c r="H3397" s="25">
        <v>1.9001000000000001E-4</v>
      </c>
      <c r="I3397" s="9">
        <v>9.9079999999999993E-5</v>
      </c>
      <c r="J3397" s="9">
        <v>1.0885E-4</v>
      </c>
      <c r="K3397" s="9">
        <v>0</v>
      </c>
      <c r="L3397" s="9">
        <v>1.8934E-4</v>
      </c>
      <c r="M3397" s="9">
        <v>1.2360999999999999E-4</v>
      </c>
      <c r="N3397" s="9">
        <v>1.05E-4</v>
      </c>
      <c r="O3397" s="9">
        <v>2.0767999999999999E-4</v>
      </c>
      <c r="P3397" s="9">
        <v>1.9249E-4</v>
      </c>
      <c r="Q3397" s="9">
        <v>1.7629000000000001E-4</v>
      </c>
      <c r="R3397" s="10">
        <v>5.4700279207041332E-5</v>
      </c>
      <c r="S3397" s="10">
        <v>5.4886028071083519E-5</v>
      </c>
      <c r="T3397" s="10">
        <v>2.8190781450718535E-4</v>
      </c>
      <c r="U3397" s="10">
        <v>9.2079999999999999E-5</v>
      </c>
      <c r="V3397" s="25"/>
      <c r="W3397" s="25"/>
      <c r="X3397" s="25"/>
      <c r="Y3397" s="25"/>
      <c r="Z3397" s="25"/>
      <c r="AA3397" s="25"/>
    </row>
    <row r="3398" spans="1:27" x14ac:dyDescent="0.35">
      <c r="A3398" s="5">
        <v>3394</v>
      </c>
      <c r="B3398" s="5">
        <v>142</v>
      </c>
      <c r="C3398" s="5">
        <v>5</v>
      </c>
      <c r="D3398" s="25">
        <v>1.1415000000000001E-4</v>
      </c>
      <c r="E3398" s="25">
        <v>1.2184999999999999E-4</v>
      </c>
      <c r="F3398" s="25">
        <v>9.7629999999999999E-5</v>
      </c>
      <c r="G3398" s="25">
        <v>1.6286999999999999E-4</v>
      </c>
      <c r="H3398" s="25">
        <v>2.0167000000000001E-4</v>
      </c>
      <c r="I3398" s="9">
        <v>9.8480000000000006E-5</v>
      </c>
      <c r="J3398" s="9">
        <v>1.1069999999999999E-4</v>
      </c>
      <c r="K3398" s="9">
        <v>0</v>
      </c>
      <c r="L3398" s="9">
        <v>2.0141000000000001E-4</v>
      </c>
      <c r="M3398" s="9">
        <v>1.5833000000000001E-4</v>
      </c>
      <c r="N3398" s="9">
        <v>1.2479E-4</v>
      </c>
      <c r="O3398" s="9">
        <v>1.6663999999999999E-4</v>
      </c>
      <c r="P3398" s="9">
        <v>1.7573E-4</v>
      </c>
      <c r="Q3398" s="9">
        <v>1.8380999999999999E-4</v>
      </c>
      <c r="R3398" s="10">
        <v>3.1531194507116021E-5</v>
      </c>
      <c r="S3398" s="10">
        <v>6.0613133044561754E-5</v>
      </c>
      <c r="T3398" s="10">
        <v>5.9646321291371919E-4</v>
      </c>
      <c r="U3398" s="10">
        <v>9.2079999999999999E-5</v>
      </c>
      <c r="V3398" s="25"/>
      <c r="W3398" s="25"/>
      <c r="X3398" s="25"/>
      <c r="Y3398" s="25"/>
      <c r="Z3398" s="25"/>
      <c r="AA3398" s="25"/>
    </row>
    <row r="3399" spans="1:27" x14ac:dyDescent="0.35">
      <c r="A3399" s="5">
        <v>3395</v>
      </c>
      <c r="B3399" s="5">
        <v>142</v>
      </c>
      <c r="C3399" s="5">
        <v>5</v>
      </c>
      <c r="D3399" s="25">
        <v>1.1416E-4</v>
      </c>
      <c r="E3399" s="25">
        <v>1.1806E-4</v>
      </c>
      <c r="F3399" s="25">
        <v>9.3610000000000007E-5</v>
      </c>
      <c r="G3399" s="25">
        <v>1.6530000000000001E-4</v>
      </c>
      <c r="H3399" s="25">
        <v>2.0094000000000001E-4</v>
      </c>
      <c r="I3399" s="9">
        <v>9.8040000000000003E-5</v>
      </c>
      <c r="J3399" s="9">
        <v>1.1079E-4</v>
      </c>
      <c r="K3399" s="9">
        <v>0</v>
      </c>
      <c r="L3399" s="9">
        <v>1.7437E-4</v>
      </c>
      <c r="M3399" s="9">
        <v>1.7263000000000001E-4</v>
      </c>
      <c r="N3399" s="9">
        <v>1.4312999999999999E-4</v>
      </c>
      <c r="O3399" s="9">
        <v>1.6611999999999999E-4</v>
      </c>
      <c r="P3399" s="9">
        <v>1.7382000000000001E-4</v>
      </c>
      <c r="Q3399" s="9">
        <v>1.8054E-4</v>
      </c>
      <c r="R3399" s="10">
        <v>2.9790525666568238E-5</v>
      </c>
      <c r="S3399" s="10">
        <v>7.1377781924625584E-5</v>
      </c>
      <c r="T3399" s="10">
        <v>6.997086517056036E-4</v>
      </c>
      <c r="U3399" s="10">
        <v>9.2079999999999999E-5</v>
      </c>
      <c r="V3399" s="25"/>
      <c r="W3399" s="25"/>
      <c r="X3399" s="25"/>
      <c r="Y3399" s="25"/>
      <c r="Z3399" s="25"/>
      <c r="AA3399" s="25"/>
    </row>
    <row r="3400" spans="1:27" x14ac:dyDescent="0.35">
      <c r="A3400" s="5">
        <v>3396</v>
      </c>
      <c r="B3400" s="5">
        <v>142</v>
      </c>
      <c r="C3400" s="5">
        <v>5</v>
      </c>
      <c r="D3400" s="25">
        <v>1.1415000000000001E-4</v>
      </c>
      <c r="E3400" s="25">
        <v>1.1385E-4</v>
      </c>
      <c r="F3400" s="25">
        <v>1.0113E-4</v>
      </c>
      <c r="G3400" s="25">
        <v>1.5815E-4</v>
      </c>
      <c r="H3400" s="25">
        <v>1.9654000000000001E-4</v>
      </c>
      <c r="I3400" s="9">
        <v>9.5489999999999995E-5</v>
      </c>
      <c r="J3400" s="9">
        <v>1.0969E-4</v>
      </c>
      <c r="K3400" s="9">
        <v>0</v>
      </c>
      <c r="L3400" s="9">
        <v>1.6925999999999999E-4</v>
      </c>
      <c r="M3400" s="9">
        <v>1.7557E-4</v>
      </c>
      <c r="N3400" s="9">
        <v>1.5731999999999999E-4</v>
      </c>
      <c r="O3400" s="9">
        <v>1.6803E-4</v>
      </c>
      <c r="P3400" s="9">
        <v>1.7165E-4</v>
      </c>
      <c r="Q3400" s="9">
        <v>1.7432E-4</v>
      </c>
      <c r="R3400" s="10">
        <v>1.6482499515961372E-5</v>
      </c>
      <c r="S3400" s="10">
        <v>8.6790701260839803E-5</v>
      </c>
      <c r="T3400" s="10">
        <v>7.669297554567827E-4</v>
      </c>
      <c r="U3400" s="10">
        <v>9.2079999999999999E-5</v>
      </c>
      <c r="V3400" s="25"/>
      <c r="W3400" s="25"/>
      <c r="X3400" s="25"/>
      <c r="Y3400" s="25"/>
      <c r="Z3400" s="25"/>
      <c r="AA3400" s="25"/>
    </row>
    <row r="3401" spans="1:27" x14ac:dyDescent="0.35">
      <c r="A3401" s="5">
        <v>3397</v>
      </c>
      <c r="B3401" s="5">
        <v>142</v>
      </c>
      <c r="C3401" s="5">
        <v>5</v>
      </c>
      <c r="D3401" s="25">
        <v>1.1416E-4</v>
      </c>
      <c r="E3401" s="25">
        <v>1.1848E-4</v>
      </c>
      <c r="F3401" s="25">
        <v>9.0600000000000007E-5</v>
      </c>
      <c r="G3401" s="25">
        <v>1.65E-4</v>
      </c>
      <c r="H3401" s="25">
        <v>1.9686000000000001E-4</v>
      </c>
      <c r="I3401" s="9">
        <v>8.9030000000000006E-5</v>
      </c>
      <c r="J3401" s="9">
        <v>1.0814E-4</v>
      </c>
      <c r="K3401" s="9">
        <v>0</v>
      </c>
      <c r="L3401" s="9">
        <v>1.6846999999999999E-4</v>
      </c>
      <c r="M3401" s="9">
        <v>1.7441000000000001E-4</v>
      </c>
      <c r="N3401" s="9">
        <v>1.6672E-4</v>
      </c>
      <c r="O3401" s="9">
        <v>1.6119999999999999E-4</v>
      </c>
      <c r="P3401" s="9">
        <v>1.6552E-4</v>
      </c>
      <c r="Q3401" s="9">
        <v>1.6894999999999999E-4</v>
      </c>
      <c r="R3401" s="10">
        <v>2.1501258473874875E-5</v>
      </c>
      <c r="S3401" s="10">
        <v>9.9124407417674015E-5</v>
      </c>
      <c r="T3401" s="10">
        <v>7.1707601247534517E-4</v>
      </c>
      <c r="U3401" s="10">
        <v>9.2079999999999999E-5</v>
      </c>
      <c r="V3401" s="25"/>
      <c r="W3401" s="25"/>
      <c r="X3401" s="25"/>
      <c r="Y3401" s="25"/>
      <c r="Z3401" s="25"/>
      <c r="AA3401" s="25"/>
    </row>
    <row r="3402" spans="1:27" x14ac:dyDescent="0.35">
      <c r="A3402" s="5">
        <v>3398</v>
      </c>
      <c r="B3402" s="5">
        <v>142</v>
      </c>
      <c r="C3402" s="5">
        <v>5</v>
      </c>
      <c r="D3402" s="25">
        <v>1.1415000000000001E-4</v>
      </c>
      <c r="E3402" s="25">
        <v>1.2176E-4</v>
      </c>
      <c r="F3402" s="25">
        <v>9.2239999999999998E-5</v>
      </c>
      <c r="G3402" s="25">
        <v>1.6668E-4</v>
      </c>
      <c r="H3402" s="25">
        <v>1.9043E-4</v>
      </c>
      <c r="I3402" s="9">
        <v>8.6160000000000002E-5</v>
      </c>
      <c r="J3402" s="9">
        <v>1.0509E-4</v>
      </c>
      <c r="K3402" s="9">
        <v>0</v>
      </c>
      <c r="L3402" s="9">
        <v>1.6258000000000001E-4</v>
      </c>
      <c r="M3402" s="9">
        <v>1.7085000000000001E-4</v>
      </c>
      <c r="N3402" s="9">
        <v>1.7128999999999999E-4</v>
      </c>
      <c r="O3402" s="9">
        <v>1.7415E-4</v>
      </c>
      <c r="P3402" s="9">
        <v>1.6704999999999999E-4</v>
      </c>
      <c r="Q3402" s="9">
        <v>1.5911000000000001E-4</v>
      </c>
      <c r="R3402" s="10">
        <v>2.6754987654290815E-5</v>
      </c>
      <c r="S3402" s="10">
        <v>1.1723235796342868E-4</v>
      </c>
      <c r="T3402" s="10">
        <v>5.8488214430077467E-4</v>
      </c>
      <c r="U3402" s="10">
        <v>9.2079999999999999E-5</v>
      </c>
      <c r="V3402" s="25"/>
      <c r="W3402" s="25"/>
      <c r="X3402" s="25"/>
      <c r="Y3402" s="25"/>
      <c r="Z3402" s="25"/>
      <c r="AA3402" s="25"/>
    </row>
    <row r="3403" spans="1:27" x14ac:dyDescent="0.35">
      <c r="A3403" s="5">
        <v>3399</v>
      </c>
      <c r="B3403" s="5">
        <v>142</v>
      </c>
      <c r="C3403" s="5">
        <v>5</v>
      </c>
      <c r="D3403" s="25">
        <v>1.1416E-4</v>
      </c>
      <c r="E3403" s="25">
        <v>1.2211000000000001E-4</v>
      </c>
      <c r="F3403" s="25">
        <v>9.5179999999999993E-5</v>
      </c>
      <c r="G3403" s="25">
        <v>1.5726E-4</v>
      </c>
      <c r="H3403" s="25">
        <v>1.8974000000000001E-4</v>
      </c>
      <c r="I3403" s="9">
        <v>8.4289999999999994E-5</v>
      </c>
      <c r="J3403" s="9">
        <v>1.036E-4</v>
      </c>
      <c r="K3403" s="9">
        <v>0</v>
      </c>
      <c r="L3403" s="9">
        <v>1.7174000000000001E-4</v>
      </c>
      <c r="M3403" s="9">
        <v>1.6846999999999999E-4</v>
      </c>
      <c r="N3403" s="9">
        <v>1.7034E-4</v>
      </c>
      <c r="O3403" s="9">
        <v>1.7971E-4</v>
      </c>
      <c r="P3403" s="9">
        <v>1.6592000000000001E-4</v>
      </c>
      <c r="Q3403" s="9">
        <v>1.5134E-4</v>
      </c>
      <c r="R3403" s="10">
        <v>3.1681650542532404E-5</v>
      </c>
      <c r="S3403" s="10">
        <v>1.339549026101832E-4</v>
      </c>
      <c r="T3403" s="10">
        <v>3.9684461780356605E-4</v>
      </c>
      <c r="U3403" s="10">
        <v>9.2079999999999999E-5</v>
      </c>
      <c r="V3403" s="25"/>
      <c r="W3403" s="25"/>
      <c r="X3403" s="25"/>
      <c r="Y3403" s="25"/>
      <c r="Z3403" s="25"/>
      <c r="AA3403" s="25"/>
    </row>
    <row r="3404" spans="1:27" x14ac:dyDescent="0.35">
      <c r="A3404" s="5">
        <v>3400</v>
      </c>
      <c r="B3404" s="5">
        <v>142</v>
      </c>
      <c r="C3404" s="5">
        <v>5</v>
      </c>
      <c r="D3404" s="25">
        <v>1.1415000000000001E-4</v>
      </c>
      <c r="E3404" s="25">
        <v>1.1400000000000001E-4</v>
      </c>
      <c r="F3404" s="25">
        <v>8.7390000000000002E-5</v>
      </c>
      <c r="G3404" s="25">
        <v>1.5882E-4</v>
      </c>
      <c r="H3404" s="25">
        <v>2.0191999999999999E-4</v>
      </c>
      <c r="I3404" s="9">
        <v>8.7180000000000002E-5</v>
      </c>
      <c r="J3404" s="9">
        <v>1.0416000000000001E-4</v>
      </c>
      <c r="K3404" s="9">
        <v>0</v>
      </c>
      <c r="L3404" s="9">
        <v>1.7772E-4</v>
      </c>
      <c r="M3404" s="9">
        <v>1.6700999999999999E-4</v>
      </c>
      <c r="N3404" s="9">
        <v>1.6604E-4</v>
      </c>
      <c r="O3404" s="9">
        <v>1.9629000000000001E-4</v>
      </c>
      <c r="P3404" s="9">
        <v>1.5372000000000001E-4</v>
      </c>
      <c r="Q3404" s="9">
        <v>1.1067E-4</v>
      </c>
      <c r="R3404" s="10">
        <v>3.5280846531398949E-5</v>
      </c>
      <c r="S3404" s="10">
        <v>1.3828224321356191E-4</v>
      </c>
      <c r="T3404" s="10">
        <v>2.8213689058963925E-4</v>
      </c>
      <c r="U3404" s="10">
        <v>9.2079999999999999E-5</v>
      </c>
      <c r="V3404" s="25"/>
      <c r="W3404" s="25"/>
      <c r="X3404" s="25"/>
      <c r="Y3404" s="25"/>
      <c r="Z3404" s="25"/>
      <c r="AA3404" s="25"/>
    </row>
    <row r="3405" spans="1:27" x14ac:dyDescent="0.35">
      <c r="A3405" s="5">
        <v>3401</v>
      </c>
      <c r="B3405" s="5">
        <v>142</v>
      </c>
      <c r="C3405" s="5">
        <v>5</v>
      </c>
      <c r="D3405" s="25">
        <v>1.1416E-4</v>
      </c>
      <c r="E3405" s="25">
        <v>1.1779E-4</v>
      </c>
      <c r="F3405" s="25">
        <v>9.2029999999999998E-5</v>
      </c>
      <c r="G3405" s="25">
        <v>1.6359E-4</v>
      </c>
      <c r="H3405" s="25">
        <v>1.9823E-4</v>
      </c>
      <c r="I3405" s="9">
        <v>9.2810000000000001E-5</v>
      </c>
      <c r="J3405" s="9">
        <v>1.0685E-4</v>
      </c>
      <c r="K3405" s="9">
        <v>0</v>
      </c>
      <c r="L3405" s="9">
        <v>1.9199000000000001E-4</v>
      </c>
      <c r="M3405" s="9">
        <v>1.6196E-4</v>
      </c>
      <c r="N3405" s="9">
        <v>1.5242000000000001E-4</v>
      </c>
      <c r="O3405" s="9">
        <v>2.0974000000000001E-4</v>
      </c>
      <c r="P3405" s="9">
        <v>1.5835999999999999E-4</v>
      </c>
      <c r="Q3405" s="9">
        <v>1.0652E-4</v>
      </c>
      <c r="R3405" s="10">
        <v>4.3908072117787355E-5</v>
      </c>
      <c r="S3405" s="10">
        <v>1.3886805417577102E-4</v>
      </c>
      <c r="T3405" s="10">
        <v>2.0565093194810445E-4</v>
      </c>
      <c r="U3405" s="10">
        <v>9.2079999999999999E-5</v>
      </c>
      <c r="V3405" s="25"/>
      <c r="W3405" s="25"/>
      <c r="X3405" s="25"/>
      <c r="Y3405" s="25"/>
      <c r="Z3405" s="25"/>
      <c r="AA3405" s="25"/>
    </row>
    <row r="3406" spans="1:27" x14ac:dyDescent="0.35">
      <c r="A3406" s="5">
        <v>3402</v>
      </c>
      <c r="B3406" s="5">
        <v>142</v>
      </c>
      <c r="C3406" s="5">
        <v>5</v>
      </c>
      <c r="D3406" s="25">
        <v>1.1415000000000001E-4</v>
      </c>
      <c r="E3406" s="25">
        <v>1.1493E-4</v>
      </c>
      <c r="F3406" s="25">
        <v>9.9790000000000005E-5</v>
      </c>
      <c r="G3406" s="25">
        <v>1.5616E-4</v>
      </c>
      <c r="H3406" s="25">
        <v>1.9693E-4</v>
      </c>
      <c r="I3406" s="9">
        <v>9.8610000000000006E-5</v>
      </c>
      <c r="J3406" s="9">
        <v>1.0859E-4</v>
      </c>
      <c r="K3406" s="9">
        <v>0</v>
      </c>
      <c r="L3406" s="9">
        <v>2.0551E-4</v>
      </c>
      <c r="M3406" s="9">
        <v>1.5930999999999999E-4</v>
      </c>
      <c r="N3406" s="9">
        <v>1.3887E-4</v>
      </c>
      <c r="O3406" s="9">
        <v>2.0336E-4</v>
      </c>
      <c r="P3406" s="9">
        <v>1.6102E-4</v>
      </c>
      <c r="Q3406" s="9">
        <v>1.1814E-4</v>
      </c>
      <c r="R3406" s="10">
        <v>4.8452643286519095E-5</v>
      </c>
      <c r="S3406" s="10">
        <v>1.3837564150077732E-4</v>
      </c>
      <c r="T3406" s="10">
        <v>1.2902074021761724E-4</v>
      </c>
      <c r="U3406" s="10">
        <v>9.2079999999999999E-5</v>
      </c>
      <c r="V3406" s="25"/>
      <c r="W3406" s="25"/>
      <c r="X3406" s="25"/>
      <c r="Y3406" s="25"/>
      <c r="Z3406" s="25"/>
      <c r="AA3406" s="25"/>
    </row>
    <row r="3407" spans="1:27" x14ac:dyDescent="0.35">
      <c r="A3407" s="5">
        <v>3403</v>
      </c>
      <c r="B3407" s="5">
        <v>142</v>
      </c>
      <c r="C3407" s="5">
        <v>5</v>
      </c>
      <c r="D3407" s="25">
        <v>1.1416E-4</v>
      </c>
      <c r="E3407" s="25">
        <v>1.236E-4</v>
      </c>
      <c r="F3407" s="25">
        <v>8.4759999999999995E-5</v>
      </c>
      <c r="G3407" s="25">
        <v>1.0571E-4</v>
      </c>
      <c r="H3407" s="25">
        <v>1.3202999999999999E-4</v>
      </c>
      <c r="I3407" s="9">
        <v>1.0076E-4</v>
      </c>
      <c r="J3407" s="9">
        <v>1.0751000000000001E-4</v>
      </c>
      <c r="K3407" s="9">
        <v>0</v>
      </c>
      <c r="L3407" s="9">
        <v>2.0348999999999999E-4</v>
      </c>
      <c r="M3407" s="9">
        <v>1.5938000000000001E-4</v>
      </c>
      <c r="N3407" s="9">
        <v>1.2987E-4</v>
      </c>
      <c r="O3407" s="9">
        <v>1.6296999999999999E-4</v>
      </c>
      <c r="P3407" s="9">
        <v>1.3543999999999999E-4</v>
      </c>
      <c r="Q3407" s="9">
        <v>1.075E-4</v>
      </c>
      <c r="R3407" s="10">
        <v>4.097012753961166E-5</v>
      </c>
      <c r="S3407" s="10">
        <v>1.3344666943689736E-4</v>
      </c>
      <c r="T3407" s="10">
        <v>3.6813374880268377E-5</v>
      </c>
      <c r="U3407" s="10">
        <v>9.2079999999999999E-5</v>
      </c>
      <c r="V3407" s="25"/>
      <c r="W3407" s="25"/>
      <c r="X3407" s="25"/>
      <c r="Y3407" s="25"/>
      <c r="Z3407" s="25"/>
      <c r="AA3407" s="25"/>
    </row>
    <row r="3408" spans="1:27" x14ac:dyDescent="0.35">
      <c r="A3408" s="5">
        <v>3404</v>
      </c>
      <c r="B3408" s="5">
        <v>142</v>
      </c>
      <c r="C3408" s="5">
        <v>5</v>
      </c>
      <c r="D3408" s="25">
        <v>1.1415000000000001E-4</v>
      </c>
      <c r="E3408" s="25">
        <v>1.177E-4</v>
      </c>
      <c r="F3408" s="25">
        <v>8.6719999999999996E-5</v>
      </c>
      <c r="G3408" s="25">
        <v>1.1296E-4</v>
      </c>
      <c r="H3408" s="25">
        <v>1.3014E-4</v>
      </c>
      <c r="I3408" s="9">
        <v>1.008E-4</v>
      </c>
      <c r="J3408" s="9">
        <v>1.0555E-4</v>
      </c>
      <c r="K3408" s="9">
        <v>5.2989999999999999E-5</v>
      </c>
      <c r="L3408" s="9">
        <v>1.7204000000000001E-4</v>
      </c>
      <c r="M3408" s="9">
        <v>1.5092999999999999E-4</v>
      </c>
      <c r="N3408" s="9">
        <v>1.2092E-4</v>
      </c>
      <c r="O3408" s="9">
        <v>1.2804E-4</v>
      </c>
      <c r="P3408" s="9">
        <v>1.1534E-4</v>
      </c>
      <c r="Q3408" s="9">
        <v>1.0232E-4</v>
      </c>
      <c r="R3408" s="10">
        <v>3.427411130268034E-5</v>
      </c>
      <c r="S3408" s="10">
        <v>1.2312442931995037E-4</v>
      </c>
      <c r="T3408" s="10">
        <v>0</v>
      </c>
      <c r="U3408" s="10">
        <v>9.2079999999999999E-5</v>
      </c>
      <c r="V3408" s="25"/>
      <c r="W3408" s="25"/>
      <c r="X3408" s="25"/>
      <c r="Y3408" s="25"/>
      <c r="Z3408" s="25"/>
      <c r="AA3408" s="25"/>
    </row>
    <row r="3409" spans="1:27" x14ac:dyDescent="0.35">
      <c r="A3409" s="5">
        <v>3405</v>
      </c>
      <c r="B3409" s="5">
        <v>142</v>
      </c>
      <c r="C3409" s="5">
        <v>5</v>
      </c>
      <c r="D3409" s="25">
        <v>1.1416E-4</v>
      </c>
      <c r="E3409" s="25">
        <v>1.1607000000000001E-4</v>
      </c>
      <c r="F3409" s="25">
        <v>8.4010000000000004E-5</v>
      </c>
      <c r="G3409" s="25">
        <v>5.7219999999999998E-5</v>
      </c>
      <c r="H3409" s="25">
        <v>6.7970000000000001E-5</v>
      </c>
      <c r="I3409" s="9">
        <v>1.0208E-4</v>
      </c>
      <c r="J3409" s="9">
        <v>1.0463000000000001E-4</v>
      </c>
      <c r="K3409" s="9">
        <v>9.1139999999999998E-5</v>
      </c>
      <c r="L3409" s="9">
        <v>1.3867999999999999E-4</v>
      </c>
      <c r="M3409" s="9">
        <v>1.3574999999999999E-4</v>
      </c>
      <c r="N3409" s="9">
        <v>1.1340000000000001E-4</v>
      </c>
      <c r="O3409" s="9">
        <v>8.373E-5</v>
      </c>
      <c r="P3409" s="9">
        <v>8.5870000000000003E-5</v>
      </c>
      <c r="Q3409" s="9">
        <v>8.7860000000000002E-5</v>
      </c>
      <c r="R3409" s="10">
        <v>3.3340787338999989E-5</v>
      </c>
      <c r="S3409" s="10">
        <v>1.0765610125386895E-4</v>
      </c>
      <c r="T3409" s="10">
        <v>0</v>
      </c>
      <c r="U3409" s="10">
        <v>9.2079999999999999E-5</v>
      </c>
      <c r="V3409" s="25"/>
      <c r="W3409" s="25"/>
      <c r="X3409" s="25"/>
      <c r="Y3409" s="25"/>
      <c r="Z3409" s="25"/>
      <c r="AA3409" s="25"/>
    </row>
    <row r="3410" spans="1:27" x14ac:dyDescent="0.35">
      <c r="A3410" s="5">
        <v>3406</v>
      </c>
      <c r="B3410" s="5">
        <v>142</v>
      </c>
      <c r="C3410" s="5">
        <v>5</v>
      </c>
      <c r="D3410" s="25">
        <v>1.1415000000000001E-4</v>
      </c>
      <c r="E3410" s="25">
        <v>1.1666E-4</v>
      </c>
      <c r="F3410" s="25">
        <v>8.6349999999999998E-5</v>
      </c>
      <c r="G3410" s="25">
        <v>5.4669999999999997E-5</v>
      </c>
      <c r="H3410" s="25">
        <v>6.4610000000000007E-5</v>
      </c>
      <c r="I3410" s="9">
        <v>1.0349999999999999E-4</v>
      </c>
      <c r="J3410" s="9">
        <v>1.0499E-4</v>
      </c>
      <c r="K3410" s="9">
        <v>8.6890000000000003E-5</v>
      </c>
      <c r="L3410" s="9">
        <v>9.6730000000000004E-5</v>
      </c>
      <c r="M3410" s="9">
        <v>1.1388E-4</v>
      </c>
      <c r="N3410" s="9">
        <v>1.0569999999999999E-4</v>
      </c>
      <c r="O3410" s="9">
        <v>8.6940000000000004E-5</v>
      </c>
      <c r="P3410" s="9">
        <v>8.7750000000000005E-5</v>
      </c>
      <c r="Q3410" s="9">
        <v>8.8399999999999994E-5</v>
      </c>
      <c r="R3410" s="10">
        <v>3.2204041805853909E-5</v>
      </c>
      <c r="S3410" s="10">
        <v>1.107685645735022E-4</v>
      </c>
      <c r="T3410" s="10">
        <v>0</v>
      </c>
      <c r="U3410" s="10">
        <v>9.2079999999999999E-5</v>
      </c>
      <c r="V3410" s="25"/>
      <c r="W3410" s="25"/>
      <c r="X3410" s="25"/>
      <c r="Y3410" s="25"/>
      <c r="Z3410" s="25"/>
      <c r="AA3410" s="25"/>
    </row>
    <row r="3411" spans="1:27" x14ac:dyDescent="0.35">
      <c r="A3411" s="5">
        <v>3407</v>
      </c>
      <c r="B3411" s="5">
        <v>142</v>
      </c>
      <c r="C3411" s="5">
        <v>5</v>
      </c>
      <c r="D3411" s="25">
        <v>1.1416E-4</v>
      </c>
      <c r="E3411" s="25">
        <v>1.2059E-4</v>
      </c>
      <c r="F3411" s="25">
        <v>8.1429999999999998E-5</v>
      </c>
      <c r="G3411" s="25">
        <v>6.0460000000000001E-5</v>
      </c>
      <c r="H3411" s="25">
        <v>6.9280000000000001E-5</v>
      </c>
      <c r="I3411" s="9">
        <v>9.9669999999999999E-5</v>
      </c>
      <c r="J3411" s="9">
        <v>9.9870000000000004E-5</v>
      </c>
      <c r="K3411" s="9">
        <v>8.0530000000000003E-5</v>
      </c>
      <c r="L3411" s="9">
        <v>9.0039999999999999E-5</v>
      </c>
      <c r="M3411" s="9">
        <v>9.9090000000000002E-5</v>
      </c>
      <c r="N3411" s="9">
        <v>9.9939999999999995E-5</v>
      </c>
      <c r="O3411" s="9">
        <v>7.7130000000000002E-5</v>
      </c>
      <c r="P3411" s="9">
        <v>7.1879999999999996E-5</v>
      </c>
      <c r="Q3411" s="9">
        <v>6.6649999999999994E-5</v>
      </c>
      <c r="R3411" s="10">
        <v>3.0594804221339926E-5</v>
      </c>
      <c r="S3411" s="10">
        <v>9.5911308551673222E-5</v>
      </c>
      <c r="T3411" s="10">
        <v>0</v>
      </c>
      <c r="U3411" s="10">
        <v>9.2079999999999999E-5</v>
      </c>
      <c r="V3411" s="25"/>
      <c r="W3411" s="25"/>
      <c r="X3411" s="25"/>
      <c r="Y3411" s="25"/>
      <c r="Z3411" s="25"/>
      <c r="AA3411" s="25"/>
    </row>
    <row r="3412" spans="1:27" x14ac:dyDescent="0.35">
      <c r="A3412" s="5">
        <v>3408</v>
      </c>
      <c r="B3412" s="5">
        <v>142</v>
      </c>
      <c r="C3412" s="5">
        <v>5</v>
      </c>
      <c r="D3412" s="25">
        <v>1.1415000000000001E-4</v>
      </c>
      <c r="E3412" s="25">
        <v>1.147E-4</v>
      </c>
      <c r="F3412" s="25">
        <v>8.5350000000000001E-5</v>
      </c>
      <c r="G3412" s="25">
        <v>5.8900000000000002E-5</v>
      </c>
      <c r="H3412" s="25">
        <v>6.8289999999999998E-5</v>
      </c>
      <c r="I3412" s="9">
        <v>9.3179999999999999E-5</v>
      </c>
      <c r="J3412" s="9">
        <v>9.4199999999999999E-5</v>
      </c>
      <c r="K3412" s="9">
        <v>8.2659999999999998E-5</v>
      </c>
      <c r="L3412" s="9">
        <v>7.9950000000000005E-5</v>
      </c>
      <c r="M3412" s="9">
        <v>8.6050000000000005E-5</v>
      </c>
      <c r="N3412" s="9">
        <v>9.0580000000000004E-5</v>
      </c>
      <c r="O3412" s="9">
        <v>6.2500000000000001E-5</v>
      </c>
      <c r="P3412" s="9">
        <v>6.0579999999999999E-5</v>
      </c>
      <c r="Q3412" s="9">
        <v>5.8770000000000001E-5</v>
      </c>
      <c r="R3412" s="10">
        <v>3.3847730761971439E-5</v>
      </c>
      <c r="S3412" s="10">
        <v>6.5800133019401009E-5</v>
      </c>
      <c r="T3412" s="10">
        <v>0</v>
      </c>
      <c r="U3412" s="10">
        <v>9.2079999999999999E-5</v>
      </c>
      <c r="V3412" s="25"/>
      <c r="W3412" s="25"/>
      <c r="X3412" s="25"/>
      <c r="Y3412" s="25"/>
      <c r="Z3412" s="25"/>
      <c r="AA3412" s="25"/>
    </row>
    <row r="3413" spans="1:27" x14ac:dyDescent="0.35">
      <c r="A3413" s="5">
        <v>3409</v>
      </c>
      <c r="B3413" s="5">
        <v>143</v>
      </c>
      <c r="C3413" s="5">
        <v>5</v>
      </c>
      <c r="D3413" s="25">
        <v>1.1416E-4</v>
      </c>
      <c r="E3413" s="25">
        <v>1.1608999999999999E-4</v>
      </c>
      <c r="F3413" s="25">
        <v>1.3197E-4</v>
      </c>
      <c r="G3413" s="25">
        <v>5.7739999999999999E-5</v>
      </c>
      <c r="H3413" s="25">
        <v>6.7689999999999997E-5</v>
      </c>
      <c r="I3413" s="9">
        <v>8.8330000000000003E-5</v>
      </c>
      <c r="J3413" s="9">
        <v>8.9149999999999999E-5</v>
      </c>
      <c r="K3413" s="9">
        <v>7.6290000000000003E-5</v>
      </c>
      <c r="L3413" s="9">
        <v>6.6340000000000005E-5</v>
      </c>
      <c r="M3413" s="9">
        <v>7.3880000000000004E-5</v>
      </c>
      <c r="N3413" s="9">
        <v>8.1119999999999996E-5</v>
      </c>
      <c r="O3413" s="9">
        <v>5.4209999999999998E-5</v>
      </c>
      <c r="P3413" s="9">
        <v>5.363E-5</v>
      </c>
      <c r="Q3413" s="9">
        <v>5.321E-5</v>
      </c>
      <c r="R3413" s="10">
        <v>3.342099256800257E-5</v>
      </c>
      <c r="S3413" s="10">
        <v>6.2308387151320741E-5</v>
      </c>
      <c r="T3413" s="10">
        <v>0</v>
      </c>
      <c r="U3413" s="10">
        <v>9.3720000000000004E-5</v>
      </c>
      <c r="V3413" s="25"/>
      <c r="W3413" s="25"/>
      <c r="X3413" s="25"/>
      <c r="Y3413" s="25"/>
      <c r="Z3413" s="25"/>
      <c r="AA3413" s="25"/>
    </row>
    <row r="3414" spans="1:27" x14ac:dyDescent="0.35">
      <c r="A3414" s="5">
        <v>3410</v>
      </c>
      <c r="B3414" s="5">
        <v>143</v>
      </c>
      <c r="C3414" s="5">
        <v>5</v>
      </c>
      <c r="D3414" s="25">
        <v>1.1415000000000001E-4</v>
      </c>
      <c r="E3414" s="25">
        <v>1.1844E-4</v>
      </c>
      <c r="F3414" s="25">
        <v>1.3128E-4</v>
      </c>
      <c r="G3414" s="25">
        <v>5.8279999999999998E-5</v>
      </c>
      <c r="H3414" s="25">
        <v>7.695E-5</v>
      </c>
      <c r="I3414" s="9">
        <v>8.4359999999999999E-5</v>
      </c>
      <c r="J3414" s="9">
        <v>8.6100000000000006E-5</v>
      </c>
      <c r="K3414" s="9">
        <v>8.0539999999999998E-5</v>
      </c>
      <c r="L3414" s="9">
        <v>5.7250000000000002E-5</v>
      </c>
      <c r="M3414" s="9">
        <v>6.3700000000000003E-5</v>
      </c>
      <c r="N3414" s="9">
        <v>7.1940000000000006E-5</v>
      </c>
      <c r="O3414" s="9">
        <v>1.946E-5</v>
      </c>
      <c r="P3414" s="9">
        <v>3.7669999999999997E-5</v>
      </c>
      <c r="Q3414" s="9">
        <v>5.6060000000000002E-5</v>
      </c>
      <c r="R3414" s="10">
        <v>3.816489018365797E-5</v>
      </c>
      <c r="S3414" s="10">
        <v>6.3651840582944902E-5</v>
      </c>
      <c r="T3414" s="10">
        <v>0</v>
      </c>
      <c r="U3414" s="10">
        <v>9.3720000000000004E-5</v>
      </c>
      <c r="V3414" s="25"/>
      <c r="W3414" s="25"/>
      <c r="X3414" s="25"/>
      <c r="Y3414" s="25"/>
      <c r="Z3414" s="25"/>
      <c r="AA3414" s="25"/>
    </row>
    <row r="3415" spans="1:27" x14ac:dyDescent="0.35">
      <c r="A3415" s="5">
        <v>3411</v>
      </c>
      <c r="B3415" s="5">
        <v>143</v>
      </c>
      <c r="C3415" s="5">
        <v>5</v>
      </c>
      <c r="D3415" s="25">
        <v>1.1416E-4</v>
      </c>
      <c r="E3415" s="25">
        <v>1.1979E-4</v>
      </c>
      <c r="F3415" s="25">
        <v>1.1912E-4</v>
      </c>
      <c r="G3415" s="25">
        <v>6.2199999999999994E-5</v>
      </c>
      <c r="H3415" s="25">
        <v>6.6940000000000006E-5</v>
      </c>
      <c r="I3415" s="9">
        <v>8.3220000000000006E-5</v>
      </c>
      <c r="J3415" s="9">
        <v>8.4480000000000004E-5</v>
      </c>
      <c r="K3415" s="9">
        <v>9.5370000000000003E-5</v>
      </c>
      <c r="L3415" s="9">
        <v>2.798E-5</v>
      </c>
      <c r="M3415" s="9">
        <v>5.2009999999999998E-5</v>
      </c>
      <c r="N3415" s="9">
        <v>6.5359999999999998E-5</v>
      </c>
      <c r="O3415" s="9">
        <v>1.4250000000000001E-5</v>
      </c>
      <c r="P3415" s="9">
        <v>3.8099999999999998E-5</v>
      </c>
      <c r="Q3415" s="9">
        <v>6.2100000000000005E-5</v>
      </c>
      <c r="R3415" s="10">
        <v>3.9841826570822774E-5</v>
      </c>
      <c r="S3415" s="10">
        <v>6.248610125359638E-5</v>
      </c>
      <c r="T3415" s="10">
        <v>0</v>
      </c>
      <c r="U3415" s="10">
        <v>9.3720000000000004E-5</v>
      </c>
      <c r="V3415" s="25"/>
      <c r="W3415" s="25"/>
      <c r="X3415" s="25"/>
      <c r="Y3415" s="25"/>
      <c r="Z3415" s="25"/>
      <c r="AA3415" s="25"/>
    </row>
    <row r="3416" spans="1:27" x14ac:dyDescent="0.35">
      <c r="A3416" s="5">
        <v>3412</v>
      </c>
      <c r="B3416" s="5">
        <v>143</v>
      </c>
      <c r="C3416" s="5">
        <v>5</v>
      </c>
      <c r="D3416" s="25">
        <v>1.1415000000000001E-4</v>
      </c>
      <c r="E3416" s="25">
        <v>1.1885E-4</v>
      </c>
      <c r="F3416" s="25">
        <v>1.3854000000000001E-4</v>
      </c>
      <c r="G3416" s="25">
        <v>5.5779999999999998E-5</v>
      </c>
      <c r="H3416" s="25">
        <v>7.1769999999999999E-5</v>
      </c>
      <c r="I3416" s="9">
        <v>8.2349999999999996E-5</v>
      </c>
      <c r="J3416" s="9">
        <v>8.3839999999999997E-5</v>
      </c>
      <c r="K3416" s="9">
        <v>1.0809E-4</v>
      </c>
      <c r="L3416" s="9">
        <v>1.7989999999999999E-5</v>
      </c>
      <c r="M3416" s="9">
        <v>4.422E-5</v>
      </c>
      <c r="N3416" s="9">
        <v>6.1909999999999995E-5</v>
      </c>
      <c r="O3416" s="9">
        <v>1.4070000000000001E-5</v>
      </c>
      <c r="P3416" s="9">
        <v>4.7030000000000002E-5</v>
      </c>
      <c r="Q3416" s="9">
        <v>7.9980000000000003E-5</v>
      </c>
      <c r="R3416" s="10">
        <v>3.9076940355695353E-5</v>
      </c>
      <c r="S3416" s="10">
        <v>6.53775784554407E-5</v>
      </c>
      <c r="T3416" s="10">
        <v>0</v>
      </c>
      <c r="U3416" s="10">
        <v>9.3720000000000004E-5</v>
      </c>
      <c r="V3416" s="25"/>
      <c r="W3416" s="25"/>
      <c r="X3416" s="25"/>
      <c r="Y3416" s="25"/>
      <c r="Z3416" s="25"/>
      <c r="AA3416" s="25"/>
    </row>
    <row r="3417" spans="1:27" x14ac:dyDescent="0.35">
      <c r="A3417" s="5">
        <v>3413</v>
      </c>
      <c r="B3417" s="5">
        <v>143</v>
      </c>
      <c r="C3417" s="5">
        <v>5</v>
      </c>
      <c r="D3417" s="25">
        <v>1.1416E-4</v>
      </c>
      <c r="E3417" s="25">
        <v>1.1075E-4</v>
      </c>
      <c r="F3417" s="25">
        <v>1.3435000000000001E-4</v>
      </c>
      <c r="G3417" s="25">
        <v>6.177E-5</v>
      </c>
      <c r="H3417" s="25">
        <v>6.9830000000000001E-5</v>
      </c>
      <c r="I3417" s="9">
        <v>8.2460000000000007E-5</v>
      </c>
      <c r="J3417" s="9">
        <v>8.25E-5</v>
      </c>
      <c r="K3417" s="9">
        <v>7.8419999999999998E-5</v>
      </c>
      <c r="L3417" s="9">
        <v>1.517E-5</v>
      </c>
      <c r="M3417" s="9">
        <v>4.3489999999999999E-5</v>
      </c>
      <c r="N3417" s="9">
        <v>6.4380000000000004E-5</v>
      </c>
      <c r="O3417" s="9">
        <v>1.9599999999999999E-5</v>
      </c>
      <c r="P3417" s="9">
        <v>5.6889999999999999E-5</v>
      </c>
      <c r="Q3417" s="9">
        <v>9.4079999999999994E-5</v>
      </c>
      <c r="R3417" s="10">
        <v>3.6362990701396064E-5</v>
      </c>
      <c r="S3417" s="10">
        <v>7.2974179525368444E-5</v>
      </c>
      <c r="T3417" s="10">
        <v>0</v>
      </c>
      <c r="U3417" s="10">
        <v>9.3720000000000004E-5</v>
      </c>
      <c r="V3417" s="25"/>
      <c r="W3417" s="25"/>
      <c r="X3417" s="25"/>
      <c r="Y3417" s="25"/>
      <c r="Z3417" s="25"/>
      <c r="AA3417" s="25"/>
    </row>
    <row r="3418" spans="1:27" x14ac:dyDescent="0.35">
      <c r="A3418" s="5">
        <v>3414</v>
      </c>
      <c r="B3418" s="5">
        <v>143</v>
      </c>
      <c r="C3418" s="5">
        <v>5</v>
      </c>
      <c r="D3418" s="25">
        <v>1.1415000000000001E-4</v>
      </c>
      <c r="E3418" s="25">
        <v>1.1712E-4</v>
      </c>
      <c r="F3418" s="25">
        <v>1.2437E-4</v>
      </c>
      <c r="G3418" s="25">
        <v>1.0751000000000001E-4</v>
      </c>
      <c r="H3418" s="25">
        <v>1.3284000000000001E-4</v>
      </c>
      <c r="I3418" s="9">
        <v>8.2319999999999998E-5</v>
      </c>
      <c r="J3418" s="9">
        <v>8.2349999999999996E-5</v>
      </c>
      <c r="K3418" s="9">
        <v>5.7229999999999999E-5</v>
      </c>
      <c r="L3418" s="9">
        <v>1.8499999999999999E-5</v>
      </c>
      <c r="M3418" s="9">
        <v>4.8470000000000002E-5</v>
      </c>
      <c r="N3418" s="9">
        <v>7.1060000000000001E-5</v>
      </c>
      <c r="O3418" s="9">
        <v>4.6869999999999997E-5</v>
      </c>
      <c r="P3418" s="9">
        <v>7.7570000000000004E-5</v>
      </c>
      <c r="Q3418" s="9">
        <v>1.0801E-4</v>
      </c>
      <c r="R3418" s="10">
        <v>3.0227025636071225E-5</v>
      </c>
      <c r="S3418" s="10">
        <v>8.2024736094417447E-5</v>
      </c>
      <c r="T3418" s="10">
        <v>1.523780163285596E-5</v>
      </c>
      <c r="U3418" s="10">
        <v>9.3720000000000004E-5</v>
      </c>
      <c r="V3418" s="25"/>
      <c r="W3418" s="25"/>
      <c r="X3418" s="25"/>
      <c r="Y3418" s="25"/>
      <c r="Z3418" s="25"/>
      <c r="AA3418" s="25"/>
    </row>
    <row r="3419" spans="1:27" x14ac:dyDescent="0.35">
      <c r="A3419" s="5">
        <v>3415</v>
      </c>
      <c r="B3419" s="5">
        <v>143</v>
      </c>
      <c r="C3419" s="5">
        <v>5</v>
      </c>
      <c r="D3419" s="25">
        <v>1.1416E-4</v>
      </c>
      <c r="E3419" s="25">
        <v>1.1311000000000001E-4</v>
      </c>
      <c r="F3419" s="25">
        <v>1.3113999999999999E-4</v>
      </c>
      <c r="G3419" s="25">
        <v>1.066E-4</v>
      </c>
      <c r="H3419" s="25">
        <v>1.3138000000000001E-4</v>
      </c>
      <c r="I3419" s="9">
        <v>8.5099999999999995E-5</v>
      </c>
      <c r="J3419" s="9">
        <v>8.5379999999999999E-5</v>
      </c>
      <c r="K3419" s="9">
        <v>4.8749999999999999E-5</v>
      </c>
      <c r="L3419" s="9">
        <v>4.0479999999999999E-5</v>
      </c>
      <c r="M3419" s="9">
        <v>6.0350000000000003E-5</v>
      </c>
      <c r="N3419" s="9">
        <v>8.1000000000000004E-5</v>
      </c>
      <c r="O3419" s="9">
        <v>1.2127E-4</v>
      </c>
      <c r="P3419" s="9">
        <v>1.1675000000000001E-4</v>
      </c>
      <c r="Q3419" s="9">
        <v>1.1184E-4</v>
      </c>
      <c r="R3419" s="10">
        <v>3.1279950830082465E-5</v>
      </c>
      <c r="S3419" s="10">
        <v>9.6768590459974255E-5</v>
      </c>
      <c r="T3419" s="10">
        <v>1.0346603057498799E-4</v>
      </c>
      <c r="U3419" s="10">
        <v>9.3720000000000004E-5</v>
      </c>
      <c r="V3419" s="25"/>
      <c r="W3419" s="25"/>
      <c r="X3419" s="25"/>
      <c r="Y3419" s="25"/>
      <c r="Z3419" s="25"/>
      <c r="AA3419" s="25"/>
    </row>
    <row r="3420" spans="1:27" x14ac:dyDescent="0.35">
      <c r="A3420" s="5">
        <v>3416</v>
      </c>
      <c r="B3420" s="5">
        <v>143</v>
      </c>
      <c r="C3420" s="5">
        <v>5</v>
      </c>
      <c r="D3420" s="25">
        <v>1.1415000000000001E-4</v>
      </c>
      <c r="E3420" s="25">
        <v>1.1328E-4</v>
      </c>
      <c r="F3420" s="25">
        <v>1.2556000000000001E-4</v>
      </c>
      <c r="G3420" s="25">
        <v>1.63E-4</v>
      </c>
      <c r="H3420" s="25">
        <v>1.9468999999999999E-4</v>
      </c>
      <c r="I3420" s="9">
        <v>8.9270000000000004E-5</v>
      </c>
      <c r="J3420" s="9">
        <v>9.1080000000000002E-5</v>
      </c>
      <c r="K3420" s="9">
        <v>3.6029999999999999E-5</v>
      </c>
      <c r="L3420" s="9">
        <v>1.0288E-4</v>
      </c>
      <c r="M3420" s="9">
        <v>8.3720000000000005E-5</v>
      </c>
      <c r="N3420" s="9">
        <v>9.0959999999999996E-5</v>
      </c>
      <c r="O3420" s="9">
        <v>2.1713E-4</v>
      </c>
      <c r="P3420" s="9">
        <v>1.7746999999999999E-4</v>
      </c>
      <c r="Q3420" s="9">
        <v>1.371E-4</v>
      </c>
      <c r="R3420" s="10">
        <v>3.4865790956681457E-5</v>
      </c>
      <c r="S3420" s="10">
        <v>1.0574944001451259E-4</v>
      </c>
      <c r="T3420" s="10">
        <v>8.4859962100125447E-5</v>
      </c>
      <c r="U3420" s="10">
        <v>9.3720000000000004E-5</v>
      </c>
      <c r="V3420" s="25"/>
      <c r="W3420" s="25"/>
      <c r="X3420" s="25"/>
      <c r="Y3420" s="25"/>
      <c r="Z3420" s="25"/>
      <c r="AA3420" s="25"/>
    </row>
    <row r="3421" spans="1:27" x14ac:dyDescent="0.35">
      <c r="A3421" s="5">
        <v>3417</v>
      </c>
      <c r="B3421" s="5">
        <v>143</v>
      </c>
      <c r="C3421" s="5">
        <v>5</v>
      </c>
      <c r="D3421" s="25">
        <v>1.1416E-4</v>
      </c>
      <c r="E3421" s="25">
        <v>1.1158E-4</v>
      </c>
      <c r="F3421" s="25">
        <v>1.3347000000000001E-4</v>
      </c>
      <c r="G3421" s="25">
        <v>1.6185E-4</v>
      </c>
      <c r="H3421" s="25">
        <v>2.0264999999999999E-4</v>
      </c>
      <c r="I3421" s="9">
        <v>9.4170000000000001E-5</v>
      </c>
      <c r="J3421" s="9">
        <v>9.7070000000000004E-5</v>
      </c>
      <c r="K3421" s="9">
        <v>3.6029999999999999E-5</v>
      </c>
      <c r="L3421" s="9">
        <v>1.9029E-4</v>
      </c>
      <c r="M3421" s="9">
        <v>1.2349999999999999E-4</v>
      </c>
      <c r="N3421" s="9">
        <v>1.0476000000000001E-4</v>
      </c>
      <c r="O3421" s="9">
        <v>2.0963000000000001E-4</v>
      </c>
      <c r="P3421" s="9">
        <v>1.9430000000000001E-4</v>
      </c>
      <c r="Q3421" s="9">
        <v>1.7793999999999999E-4</v>
      </c>
      <c r="R3421" s="10">
        <v>3.8864646348765694E-5</v>
      </c>
      <c r="S3421" s="10">
        <v>1.0095267383395994E-4</v>
      </c>
      <c r="T3421" s="10">
        <v>9.9622642969373425E-5</v>
      </c>
      <c r="U3421" s="10">
        <v>9.3720000000000004E-5</v>
      </c>
      <c r="V3421" s="25"/>
      <c r="W3421" s="25"/>
      <c r="X3421" s="25"/>
      <c r="Y3421" s="25"/>
      <c r="Z3421" s="25"/>
      <c r="AA3421" s="25"/>
    </row>
    <row r="3422" spans="1:27" x14ac:dyDescent="0.35">
      <c r="A3422" s="5">
        <v>3418</v>
      </c>
      <c r="B3422" s="5">
        <v>143</v>
      </c>
      <c r="C3422" s="5">
        <v>5</v>
      </c>
      <c r="D3422" s="25">
        <v>1.1415000000000001E-4</v>
      </c>
      <c r="E3422" s="25">
        <v>1.1523000000000001E-4</v>
      </c>
      <c r="F3422" s="25">
        <v>1.2316000000000001E-4</v>
      </c>
      <c r="G3422" s="25">
        <v>1.5668E-4</v>
      </c>
      <c r="H3422" s="25">
        <v>1.9981E-4</v>
      </c>
      <c r="I3422" s="9">
        <v>9.8189999999999993E-5</v>
      </c>
      <c r="J3422" s="9">
        <v>1.0114E-4</v>
      </c>
      <c r="K3422" s="9">
        <v>0</v>
      </c>
      <c r="L3422" s="9">
        <v>2.0307999999999999E-4</v>
      </c>
      <c r="M3422" s="9">
        <v>1.5908E-4</v>
      </c>
      <c r="N3422" s="9">
        <v>1.2498000000000001E-4</v>
      </c>
      <c r="O3422" s="9">
        <v>1.6652999999999999E-4</v>
      </c>
      <c r="P3422" s="9">
        <v>1.7562E-4</v>
      </c>
      <c r="Q3422" s="9">
        <v>1.8369E-4</v>
      </c>
      <c r="R3422" s="10">
        <v>4.7054004795278236E-5</v>
      </c>
      <c r="S3422" s="10">
        <v>8.7238157491110059E-5</v>
      </c>
      <c r="T3422" s="10">
        <v>9.8231217875950071E-5</v>
      </c>
      <c r="U3422" s="10">
        <v>9.3720000000000004E-5</v>
      </c>
      <c r="V3422" s="25"/>
      <c r="W3422" s="25"/>
      <c r="X3422" s="25"/>
      <c r="Y3422" s="25"/>
      <c r="Z3422" s="25"/>
      <c r="AA3422" s="25"/>
    </row>
    <row r="3423" spans="1:27" x14ac:dyDescent="0.35">
      <c r="A3423" s="5">
        <v>3419</v>
      </c>
      <c r="B3423" s="5">
        <v>143</v>
      </c>
      <c r="C3423" s="5">
        <v>5</v>
      </c>
      <c r="D3423" s="25">
        <v>1.1416E-4</v>
      </c>
      <c r="E3423" s="25">
        <v>1.1323999999999999E-4</v>
      </c>
      <c r="F3423" s="25">
        <v>1.3402999999999999E-4</v>
      </c>
      <c r="G3423" s="25">
        <v>1.6417999999999999E-4</v>
      </c>
      <c r="H3423" s="25">
        <v>1.9029999999999999E-4</v>
      </c>
      <c r="I3423" s="9">
        <v>1.0363E-4</v>
      </c>
      <c r="J3423" s="9">
        <v>1.0396E-4</v>
      </c>
      <c r="K3423" s="9">
        <v>1.06E-5</v>
      </c>
      <c r="L3423" s="9">
        <v>1.7462000000000001E-4</v>
      </c>
      <c r="M3423" s="9">
        <v>1.7330000000000001E-4</v>
      </c>
      <c r="N3423" s="9">
        <v>1.4334999999999999E-4</v>
      </c>
      <c r="O3423" s="9">
        <v>1.6551000000000001E-4</v>
      </c>
      <c r="P3423" s="9">
        <v>1.7318999999999999E-4</v>
      </c>
      <c r="Q3423" s="9">
        <v>1.7987999999999999E-4</v>
      </c>
      <c r="R3423" s="10">
        <v>5.385710866384927E-5</v>
      </c>
      <c r="S3423" s="10">
        <v>7.607949964325128E-5</v>
      </c>
      <c r="T3423" s="10">
        <v>1.4853462872294504E-4</v>
      </c>
      <c r="U3423" s="10">
        <v>9.3720000000000004E-5</v>
      </c>
      <c r="V3423" s="25"/>
      <c r="W3423" s="25"/>
      <c r="X3423" s="25"/>
      <c r="Y3423" s="25"/>
      <c r="Z3423" s="25"/>
      <c r="AA3423" s="25"/>
    </row>
    <row r="3424" spans="1:27" x14ac:dyDescent="0.35">
      <c r="A3424" s="5">
        <v>3420</v>
      </c>
      <c r="B3424" s="5">
        <v>143</v>
      </c>
      <c r="C3424" s="5">
        <v>5</v>
      </c>
      <c r="D3424" s="25">
        <v>1.1415000000000001E-4</v>
      </c>
      <c r="E3424" s="25">
        <v>1.1705999999999999E-4</v>
      </c>
      <c r="F3424" s="25">
        <v>1.3244E-4</v>
      </c>
      <c r="G3424" s="25">
        <v>1.6059000000000001E-4</v>
      </c>
      <c r="H3424" s="25">
        <v>1.9212999999999999E-4</v>
      </c>
      <c r="I3424" s="9">
        <v>1.0527999999999999E-4</v>
      </c>
      <c r="J3424" s="9">
        <v>1.0558E-4</v>
      </c>
      <c r="K3424" s="9">
        <v>4.25E-6</v>
      </c>
      <c r="L3424" s="9">
        <v>1.6890000000000001E-4</v>
      </c>
      <c r="M3424" s="9">
        <v>1.7568999999999999E-4</v>
      </c>
      <c r="N3424" s="9">
        <v>1.5741999999999999E-4</v>
      </c>
      <c r="O3424" s="9">
        <v>1.6676000000000001E-4</v>
      </c>
      <c r="P3424" s="9">
        <v>1.7034999999999999E-4</v>
      </c>
      <c r="Q3424" s="9">
        <v>1.73E-4</v>
      </c>
      <c r="R3424" s="10">
        <v>5.8526160684430742E-5</v>
      </c>
      <c r="S3424" s="10">
        <v>5.7436559782493393E-5</v>
      </c>
      <c r="T3424" s="10">
        <v>1.8717212796349407E-4</v>
      </c>
      <c r="U3424" s="10">
        <v>9.3720000000000004E-5</v>
      </c>
      <c r="V3424" s="25"/>
      <c r="W3424" s="25"/>
      <c r="X3424" s="25"/>
      <c r="Y3424" s="25"/>
      <c r="Z3424" s="25"/>
      <c r="AA3424" s="25"/>
    </row>
    <row r="3425" spans="1:27" x14ac:dyDescent="0.35">
      <c r="A3425" s="5">
        <v>3421</v>
      </c>
      <c r="B3425" s="5">
        <v>143</v>
      </c>
      <c r="C3425" s="5">
        <v>5</v>
      </c>
      <c r="D3425" s="25">
        <v>1.1416E-4</v>
      </c>
      <c r="E3425" s="25">
        <v>1.1518000000000001E-4</v>
      </c>
      <c r="F3425" s="25">
        <v>1.2751E-4</v>
      </c>
      <c r="G3425" s="25">
        <v>1.6720999999999999E-4</v>
      </c>
      <c r="H3425" s="25">
        <v>1.9352E-4</v>
      </c>
      <c r="I3425" s="9">
        <v>1.0063E-4</v>
      </c>
      <c r="J3425" s="9">
        <v>1.0569999999999999E-4</v>
      </c>
      <c r="K3425" s="9">
        <v>0</v>
      </c>
      <c r="L3425" s="9">
        <v>1.6741999999999999E-4</v>
      </c>
      <c r="M3425" s="9">
        <v>1.7388000000000001E-4</v>
      </c>
      <c r="N3425" s="9">
        <v>1.6655000000000001E-4</v>
      </c>
      <c r="O3425" s="9">
        <v>1.6030999999999999E-4</v>
      </c>
      <c r="P3425" s="9">
        <v>1.6459999999999999E-4</v>
      </c>
      <c r="Q3425" s="9">
        <v>1.6801000000000001E-4</v>
      </c>
      <c r="R3425" s="10">
        <v>7.4993967041323407E-5</v>
      </c>
      <c r="S3425" s="10">
        <v>5.2566339267493024E-5</v>
      </c>
      <c r="T3425" s="10">
        <v>3.6559694329699118E-4</v>
      </c>
      <c r="U3425" s="10">
        <v>9.3720000000000004E-5</v>
      </c>
      <c r="V3425" s="25"/>
      <c r="W3425" s="25"/>
      <c r="X3425" s="25"/>
      <c r="Y3425" s="25"/>
      <c r="Z3425" s="25"/>
      <c r="AA3425" s="25"/>
    </row>
    <row r="3426" spans="1:27" x14ac:dyDescent="0.35">
      <c r="A3426" s="5">
        <v>3422</v>
      </c>
      <c r="B3426" s="5">
        <v>143</v>
      </c>
      <c r="C3426" s="5">
        <v>5</v>
      </c>
      <c r="D3426" s="25">
        <v>1.1415000000000001E-4</v>
      </c>
      <c r="E3426" s="25">
        <v>1.1845000000000001E-4</v>
      </c>
      <c r="F3426" s="25">
        <v>1.3456000000000001E-4</v>
      </c>
      <c r="G3426" s="25">
        <v>1.5810999999999999E-4</v>
      </c>
      <c r="H3426" s="25">
        <v>1.9761E-4</v>
      </c>
      <c r="I3426" s="9">
        <v>9.7910000000000003E-5</v>
      </c>
      <c r="J3426" s="9">
        <v>1.0487E-4</v>
      </c>
      <c r="K3426" s="9">
        <v>0</v>
      </c>
      <c r="L3426" s="9">
        <v>1.6165999999999999E-4</v>
      </c>
      <c r="M3426" s="9">
        <v>1.7003E-4</v>
      </c>
      <c r="N3426" s="9">
        <v>1.7087999999999999E-4</v>
      </c>
      <c r="O3426" s="9">
        <v>1.7563E-4</v>
      </c>
      <c r="P3426" s="9">
        <v>1.6846999999999999E-4</v>
      </c>
      <c r="Q3426" s="9">
        <v>1.6045999999999999E-4</v>
      </c>
      <c r="R3426" s="10">
        <v>8.4522899116920404E-5</v>
      </c>
      <c r="S3426" s="10">
        <v>4.7513005120545044E-5</v>
      </c>
      <c r="T3426" s="10">
        <v>4.5059265418671899E-4</v>
      </c>
      <c r="U3426" s="10">
        <v>9.3720000000000004E-5</v>
      </c>
      <c r="V3426" s="25"/>
      <c r="W3426" s="25"/>
      <c r="X3426" s="25"/>
      <c r="Y3426" s="25"/>
      <c r="Z3426" s="25"/>
      <c r="AA3426" s="25"/>
    </row>
    <row r="3427" spans="1:27" x14ac:dyDescent="0.35">
      <c r="A3427" s="5">
        <v>3423</v>
      </c>
      <c r="B3427" s="5">
        <v>143</v>
      </c>
      <c r="C3427" s="5">
        <v>5</v>
      </c>
      <c r="D3427" s="25">
        <v>1.1416E-4</v>
      </c>
      <c r="E3427" s="25">
        <v>1.1995E-4</v>
      </c>
      <c r="F3427" s="25">
        <v>1.2688E-4</v>
      </c>
      <c r="G3427" s="25">
        <v>1.5715E-4</v>
      </c>
      <c r="H3427" s="25">
        <v>1.9968000000000001E-4</v>
      </c>
      <c r="I3427" s="9">
        <v>9.6440000000000005E-5</v>
      </c>
      <c r="J3427" s="9">
        <v>1.0423E-4</v>
      </c>
      <c r="K3427" s="9">
        <v>1.484E-5</v>
      </c>
      <c r="L3427" s="9">
        <v>1.7269E-4</v>
      </c>
      <c r="M3427" s="9">
        <v>1.684E-4</v>
      </c>
      <c r="N3427" s="9">
        <v>1.7019E-4</v>
      </c>
      <c r="O3427" s="9">
        <v>1.8267000000000001E-4</v>
      </c>
      <c r="P3427" s="9">
        <v>1.6864000000000001E-4</v>
      </c>
      <c r="Q3427" s="9">
        <v>1.5383000000000001E-4</v>
      </c>
      <c r="R3427" s="10">
        <v>8.0057057047496456E-5</v>
      </c>
      <c r="S3427" s="10">
        <v>4.6035710137078714E-5</v>
      </c>
      <c r="T3427" s="10">
        <v>6.1239672709328691E-4</v>
      </c>
      <c r="U3427" s="10">
        <v>9.3720000000000004E-5</v>
      </c>
      <c r="V3427" s="25"/>
      <c r="W3427" s="25"/>
      <c r="X3427" s="25"/>
      <c r="Y3427" s="25"/>
      <c r="Z3427" s="25"/>
      <c r="AA3427" s="25"/>
    </row>
    <row r="3428" spans="1:27" x14ac:dyDescent="0.35">
      <c r="A3428" s="5">
        <v>3424</v>
      </c>
      <c r="B3428" s="5">
        <v>143</v>
      </c>
      <c r="C3428" s="5">
        <v>5</v>
      </c>
      <c r="D3428" s="25">
        <v>1.1415000000000001E-4</v>
      </c>
      <c r="E3428" s="25">
        <v>1.1914E-4</v>
      </c>
      <c r="F3428" s="25">
        <v>1.2593000000000001E-4</v>
      </c>
      <c r="G3428" s="25">
        <v>1.6019E-4</v>
      </c>
      <c r="H3428" s="25">
        <v>1.9598E-4</v>
      </c>
      <c r="I3428" s="9">
        <v>9.7330000000000005E-5</v>
      </c>
      <c r="J3428" s="9">
        <v>1.0555E-4</v>
      </c>
      <c r="K3428" s="9">
        <v>0</v>
      </c>
      <c r="L3428" s="9">
        <v>1.8017E-4</v>
      </c>
      <c r="M3428" s="9">
        <v>1.6815999999999999E-4</v>
      </c>
      <c r="N3428" s="9">
        <v>1.6646E-4</v>
      </c>
      <c r="O3428" s="9">
        <v>1.9466000000000001E-4</v>
      </c>
      <c r="P3428" s="9">
        <v>1.5244E-4</v>
      </c>
      <c r="Q3428" s="9">
        <v>1.0975E-4</v>
      </c>
      <c r="R3428" s="10">
        <v>8.0056142505641992E-5</v>
      </c>
      <c r="S3428" s="10">
        <v>4.7699501709584791E-5</v>
      </c>
      <c r="T3428" s="10">
        <v>4.7680065487930919E-4</v>
      </c>
      <c r="U3428" s="10">
        <v>9.3720000000000004E-5</v>
      </c>
      <c r="V3428" s="25"/>
      <c r="W3428" s="25"/>
      <c r="X3428" s="25"/>
      <c r="Y3428" s="25"/>
      <c r="Z3428" s="25"/>
      <c r="AA3428" s="25"/>
    </row>
    <row r="3429" spans="1:27" x14ac:dyDescent="0.35">
      <c r="A3429" s="5">
        <v>3425</v>
      </c>
      <c r="B3429" s="5">
        <v>143</v>
      </c>
      <c r="C3429" s="5">
        <v>5</v>
      </c>
      <c r="D3429" s="25">
        <v>1.1416E-4</v>
      </c>
      <c r="E3429" s="25">
        <v>1.1251000000000001E-4</v>
      </c>
      <c r="F3429" s="25">
        <v>1.348E-4</v>
      </c>
      <c r="G3429" s="25">
        <v>1.6333E-4</v>
      </c>
      <c r="H3429" s="25">
        <v>1.9094000000000001E-4</v>
      </c>
      <c r="I3429" s="9">
        <v>9.9649999999999996E-5</v>
      </c>
      <c r="J3429" s="9">
        <v>1.1027999999999999E-4</v>
      </c>
      <c r="K3429" s="9">
        <v>4.2400000000000001E-6</v>
      </c>
      <c r="L3429" s="9">
        <v>1.9122E-4</v>
      </c>
      <c r="M3429" s="9">
        <v>1.6254999999999999E-4</v>
      </c>
      <c r="N3429" s="9">
        <v>1.5265999999999999E-4</v>
      </c>
      <c r="O3429" s="9">
        <v>2.1071999999999999E-4</v>
      </c>
      <c r="P3429" s="9">
        <v>1.5911000000000001E-4</v>
      </c>
      <c r="Q3429" s="9">
        <v>1.0702E-4</v>
      </c>
      <c r="R3429" s="10">
        <v>7.6443514375445937E-5</v>
      </c>
      <c r="S3429" s="10">
        <v>4.1070519114904964E-5</v>
      </c>
      <c r="T3429" s="10">
        <v>2.8432583982197605E-4</v>
      </c>
      <c r="U3429" s="10">
        <v>9.3720000000000004E-5</v>
      </c>
      <c r="V3429" s="25"/>
      <c r="W3429" s="25"/>
      <c r="X3429" s="25"/>
      <c r="Y3429" s="25"/>
      <c r="Z3429" s="25"/>
      <c r="AA3429" s="25"/>
    </row>
    <row r="3430" spans="1:27" x14ac:dyDescent="0.35">
      <c r="A3430" s="5">
        <v>3426</v>
      </c>
      <c r="B3430" s="5">
        <v>143</v>
      </c>
      <c r="C3430" s="5">
        <v>5</v>
      </c>
      <c r="D3430" s="25">
        <v>1.1415000000000001E-4</v>
      </c>
      <c r="E3430" s="25">
        <v>1.1826E-4</v>
      </c>
      <c r="F3430" s="25">
        <v>1.3985000000000001E-4</v>
      </c>
      <c r="G3430" s="25">
        <v>1.6171999999999999E-4</v>
      </c>
      <c r="H3430" s="25">
        <v>1.9222999999999999E-4</v>
      </c>
      <c r="I3430" s="9">
        <v>1.0493999999999999E-4</v>
      </c>
      <c r="J3430" s="9">
        <v>1.1099000000000001E-4</v>
      </c>
      <c r="K3430" s="9">
        <v>4.4509999999999999E-5</v>
      </c>
      <c r="L3430" s="9">
        <v>2.0620999999999999E-4</v>
      </c>
      <c r="M3430" s="9">
        <v>1.5975000000000001E-4</v>
      </c>
      <c r="N3430" s="9">
        <v>1.3927000000000001E-4</v>
      </c>
      <c r="O3430" s="9">
        <v>2.0336E-4</v>
      </c>
      <c r="P3430" s="9">
        <v>1.6102E-4</v>
      </c>
      <c r="Q3430" s="9">
        <v>1.1814E-4</v>
      </c>
      <c r="R3430" s="10">
        <v>7.2196124721491623E-5</v>
      </c>
      <c r="S3430" s="10">
        <v>3.0543249695772633E-5</v>
      </c>
      <c r="T3430" s="10">
        <v>1.3980428469164839E-4</v>
      </c>
      <c r="U3430" s="10">
        <v>9.3720000000000004E-5</v>
      </c>
      <c r="V3430" s="25"/>
      <c r="W3430" s="25"/>
      <c r="X3430" s="25"/>
      <c r="Y3430" s="25"/>
      <c r="Z3430" s="25"/>
      <c r="AA3430" s="25"/>
    </row>
    <row r="3431" spans="1:27" x14ac:dyDescent="0.35">
      <c r="A3431" s="5">
        <v>3427</v>
      </c>
      <c r="B3431" s="5">
        <v>143</v>
      </c>
      <c r="C3431" s="5">
        <v>5</v>
      </c>
      <c r="D3431" s="25">
        <v>1.1416E-4</v>
      </c>
      <c r="E3431" s="25">
        <v>1.2111E-4</v>
      </c>
      <c r="F3431" s="25">
        <v>1.2852999999999999E-4</v>
      </c>
      <c r="G3431" s="25">
        <v>1.08E-4</v>
      </c>
      <c r="H3431" s="25">
        <v>1.3674999999999999E-4</v>
      </c>
      <c r="I3431" s="9">
        <v>1.0730000000000001E-4</v>
      </c>
      <c r="J3431" s="9">
        <v>1.0965E-4</v>
      </c>
      <c r="K3431" s="9">
        <v>5.7219999999999998E-5</v>
      </c>
      <c r="L3431" s="9">
        <v>2.0361000000000001E-4</v>
      </c>
      <c r="M3431" s="9">
        <v>1.5962999999999999E-4</v>
      </c>
      <c r="N3431" s="9">
        <v>1.3024999999999999E-4</v>
      </c>
      <c r="O3431" s="9">
        <v>1.6380999999999999E-4</v>
      </c>
      <c r="P3431" s="9">
        <v>1.3613000000000001E-4</v>
      </c>
      <c r="Q3431" s="9">
        <v>1.0805E-4</v>
      </c>
      <c r="R3431" s="10">
        <v>6.6907294514855823E-5</v>
      </c>
      <c r="S3431" s="10">
        <v>2.0208184031022917E-5</v>
      </c>
      <c r="T3431" s="10">
        <v>4.2998429106522278E-5</v>
      </c>
      <c r="U3431" s="10">
        <v>9.3720000000000004E-5</v>
      </c>
      <c r="V3431" s="25"/>
      <c r="W3431" s="25"/>
      <c r="X3431" s="25"/>
      <c r="Y3431" s="25"/>
      <c r="Z3431" s="25"/>
      <c r="AA3431" s="25"/>
    </row>
    <row r="3432" spans="1:27" x14ac:dyDescent="0.35">
      <c r="A3432" s="5">
        <v>3428</v>
      </c>
      <c r="B3432" s="5">
        <v>143</v>
      </c>
      <c r="C3432" s="5">
        <v>5</v>
      </c>
      <c r="D3432" s="25">
        <v>1.1415000000000001E-4</v>
      </c>
      <c r="E3432" s="25">
        <v>1.1242E-4</v>
      </c>
      <c r="F3432" s="25">
        <v>1.2736E-4</v>
      </c>
      <c r="G3432" s="25">
        <v>1.0932E-4</v>
      </c>
      <c r="H3432" s="25">
        <v>1.2875000000000001E-4</v>
      </c>
      <c r="I3432" s="9">
        <v>1.0597E-4</v>
      </c>
      <c r="J3432" s="9">
        <v>1.0838E-4</v>
      </c>
      <c r="K3432" s="9">
        <v>8.4770000000000003E-5</v>
      </c>
      <c r="L3432" s="9">
        <v>1.727E-4</v>
      </c>
      <c r="M3432" s="9">
        <v>1.5131000000000001E-4</v>
      </c>
      <c r="N3432" s="9">
        <v>1.2133000000000001E-4</v>
      </c>
      <c r="O3432" s="9">
        <v>1.2699E-4</v>
      </c>
      <c r="P3432" s="9">
        <v>1.1438999999999999E-4</v>
      </c>
      <c r="Q3432" s="9">
        <v>1.0148E-4</v>
      </c>
      <c r="R3432" s="10">
        <v>5.5741159989700138E-5</v>
      </c>
      <c r="S3432" s="10">
        <v>1.1672484392188994E-5</v>
      </c>
      <c r="T3432" s="10">
        <v>0</v>
      </c>
      <c r="U3432" s="10">
        <v>9.3720000000000004E-5</v>
      </c>
      <c r="V3432" s="25"/>
      <c r="W3432" s="25"/>
      <c r="X3432" s="25"/>
      <c r="Y3432" s="25"/>
      <c r="Z3432" s="25"/>
      <c r="AA3432" s="25"/>
    </row>
    <row r="3433" spans="1:27" x14ac:dyDescent="0.35">
      <c r="A3433" s="5">
        <v>3429</v>
      </c>
      <c r="B3433" s="5">
        <v>143</v>
      </c>
      <c r="C3433" s="5">
        <v>5</v>
      </c>
      <c r="D3433" s="25">
        <v>1.1416E-4</v>
      </c>
      <c r="E3433" s="25">
        <v>1.1275E-4</v>
      </c>
      <c r="F3433" s="25">
        <v>1.3071E-4</v>
      </c>
      <c r="G3433" s="25">
        <v>5.6610000000000002E-5</v>
      </c>
      <c r="H3433" s="25">
        <v>7.3930000000000005E-5</v>
      </c>
      <c r="I3433" s="9">
        <v>1.047E-4</v>
      </c>
      <c r="J3433" s="9">
        <v>1.0754E-4</v>
      </c>
      <c r="K3433" s="9">
        <v>1.0173E-4</v>
      </c>
      <c r="L3433" s="9">
        <v>1.3800999999999999E-4</v>
      </c>
      <c r="M3433" s="9">
        <v>1.3569E-4</v>
      </c>
      <c r="N3433" s="9">
        <v>1.1348E-4</v>
      </c>
      <c r="O3433" s="9">
        <v>8.3469999999999999E-5</v>
      </c>
      <c r="P3433" s="9">
        <v>8.5599999999999994E-5</v>
      </c>
      <c r="Q3433" s="9">
        <v>8.7579999999999998E-5</v>
      </c>
      <c r="R3433" s="10">
        <v>5.9481694388311183E-5</v>
      </c>
      <c r="S3433" s="10">
        <v>6.705112039989363E-6</v>
      </c>
      <c r="T3433" s="10">
        <v>0</v>
      </c>
      <c r="U3433" s="10">
        <v>9.3720000000000004E-5</v>
      </c>
      <c r="V3433" s="25"/>
      <c r="W3433" s="25"/>
      <c r="X3433" s="25"/>
      <c r="Y3433" s="25"/>
      <c r="Z3433" s="25"/>
      <c r="AA3433" s="25"/>
    </row>
    <row r="3434" spans="1:27" x14ac:dyDescent="0.35">
      <c r="A3434" s="5">
        <v>3430</v>
      </c>
      <c r="B3434" s="5">
        <v>143</v>
      </c>
      <c r="C3434" s="5">
        <v>5</v>
      </c>
      <c r="D3434" s="25">
        <v>1.1415000000000001E-4</v>
      </c>
      <c r="E3434" s="25">
        <v>1.2003E-4</v>
      </c>
      <c r="F3434" s="25">
        <v>1.3826999999999999E-4</v>
      </c>
      <c r="G3434" s="25">
        <v>5.6110000000000003E-5</v>
      </c>
      <c r="H3434" s="25">
        <v>6.8620000000000004E-5</v>
      </c>
      <c r="I3434" s="9">
        <v>1.0495E-4</v>
      </c>
      <c r="J3434" s="9">
        <v>1.0577E-4</v>
      </c>
      <c r="K3434" s="9">
        <v>1.4198999999999999E-4</v>
      </c>
      <c r="L3434" s="9">
        <v>9.6409999999999993E-5</v>
      </c>
      <c r="M3434" s="9">
        <v>1.1361E-4</v>
      </c>
      <c r="N3434" s="9">
        <v>1.0566E-4</v>
      </c>
      <c r="O3434" s="9">
        <v>8.6100000000000006E-5</v>
      </c>
      <c r="P3434" s="9">
        <v>8.6910000000000006E-5</v>
      </c>
      <c r="Q3434" s="9">
        <v>8.755E-5</v>
      </c>
      <c r="R3434" s="10">
        <v>7.7080742757414493E-5</v>
      </c>
      <c r="S3434" s="10">
        <v>3.8669341440785483E-6</v>
      </c>
      <c r="T3434" s="10">
        <v>0</v>
      </c>
      <c r="U3434" s="10">
        <v>9.3720000000000004E-5</v>
      </c>
      <c r="V3434" s="25"/>
      <c r="W3434" s="25"/>
      <c r="X3434" s="25"/>
      <c r="Y3434" s="25"/>
      <c r="Z3434" s="25"/>
      <c r="AA3434" s="25"/>
    </row>
    <row r="3435" spans="1:27" x14ac:dyDescent="0.35">
      <c r="A3435" s="5">
        <v>3431</v>
      </c>
      <c r="B3435" s="5">
        <v>143</v>
      </c>
      <c r="C3435" s="5">
        <v>5</v>
      </c>
      <c r="D3435" s="25">
        <v>1.1416E-4</v>
      </c>
      <c r="E3435" s="25">
        <v>1.2009E-4</v>
      </c>
      <c r="F3435" s="25">
        <v>1.3643999999999999E-4</v>
      </c>
      <c r="G3435" s="25">
        <v>6.2269999999999998E-5</v>
      </c>
      <c r="H3435" s="25">
        <v>6.7139999999999998E-5</v>
      </c>
      <c r="I3435" s="9">
        <v>1.0004E-4</v>
      </c>
      <c r="J3435" s="9">
        <v>9.9610000000000003E-5</v>
      </c>
      <c r="K3435" s="9">
        <v>1.4198999999999999E-4</v>
      </c>
      <c r="L3435" s="9">
        <v>8.9309999999999997E-5</v>
      </c>
      <c r="M3435" s="9">
        <v>9.8579999999999995E-5</v>
      </c>
      <c r="N3435" s="9">
        <v>9.9649999999999996E-5</v>
      </c>
      <c r="O3435" s="9">
        <v>7.805E-5</v>
      </c>
      <c r="P3435" s="9">
        <v>7.2739999999999998E-5</v>
      </c>
      <c r="Q3435" s="9">
        <v>6.745E-5</v>
      </c>
      <c r="R3435" s="10">
        <v>8.5491157776563324E-5</v>
      </c>
      <c r="S3435" s="10">
        <v>2.4555751575198989E-6</v>
      </c>
      <c r="T3435" s="10">
        <v>0</v>
      </c>
      <c r="U3435" s="10">
        <v>9.3720000000000004E-5</v>
      </c>
      <c r="V3435" s="25"/>
      <c r="W3435" s="25"/>
      <c r="X3435" s="25"/>
      <c r="Y3435" s="25"/>
      <c r="Z3435" s="25"/>
      <c r="AA3435" s="25"/>
    </row>
    <row r="3436" spans="1:27" x14ac:dyDescent="0.35">
      <c r="A3436" s="5">
        <v>3432</v>
      </c>
      <c r="B3436" s="5">
        <v>143</v>
      </c>
      <c r="C3436" s="5">
        <v>5</v>
      </c>
      <c r="D3436" s="25">
        <v>1.1415000000000001E-4</v>
      </c>
      <c r="E3436" s="25">
        <v>1.1273E-4</v>
      </c>
      <c r="F3436" s="25">
        <v>1.2430000000000001E-4</v>
      </c>
      <c r="G3436" s="25">
        <v>6.1130000000000006E-5</v>
      </c>
      <c r="H3436" s="25">
        <v>6.737E-5</v>
      </c>
      <c r="I3436" s="9">
        <v>9.1680000000000003E-5</v>
      </c>
      <c r="J3436" s="9">
        <v>9.3319999999999994E-5</v>
      </c>
      <c r="K3436" s="9">
        <v>1.4411E-4</v>
      </c>
      <c r="L3436" s="9">
        <v>8.051E-5</v>
      </c>
      <c r="M3436" s="9">
        <v>8.5970000000000005E-5</v>
      </c>
      <c r="N3436" s="9">
        <v>9.0459999999999998E-5</v>
      </c>
      <c r="O3436" s="9">
        <v>6.245E-5</v>
      </c>
      <c r="P3436" s="9">
        <v>6.0529999999999998E-5</v>
      </c>
      <c r="Q3436" s="9">
        <v>5.872E-5</v>
      </c>
      <c r="R3436" s="10">
        <v>7.3455304389669307E-5</v>
      </c>
      <c r="S3436" s="10">
        <v>3.5006380736527273E-6</v>
      </c>
      <c r="T3436" s="10">
        <v>0</v>
      </c>
      <c r="U3436" s="10">
        <v>9.3720000000000004E-5</v>
      </c>
      <c r="V3436" s="25"/>
      <c r="W3436" s="25"/>
      <c r="X3436" s="25"/>
      <c r="Y3436" s="25"/>
      <c r="Z3436" s="25"/>
      <c r="AA3436" s="25"/>
    </row>
    <row r="3437" spans="1:27" x14ac:dyDescent="0.35">
      <c r="A3437" s="5">
        <v>3433</v>
      </c>
      <c r="B3437" s="5">
        <v>144</v>
      </c>
      <c r="C3437" s="5">
        <v>5</v>
      </c>
      <c r="D3437" s="25">
        <v>1.1416E-4</v>
      </c>
      <c r="E3437" s="25">
        <v>1.1650999999999999E-4</v>
      </c>
      <c r="F3437" s="25">
        <v>1.4165E-4</v>
      </c>
      <c r="G3437" s="25">
        <v>6.0139999999999997E-5</v>
      </c>
      <c r="H3437" s="25">
        <v>6.7280000000000006E-5</v>
      </c>
      <c r="I3437" s="9">
        <v>8.8300000000000005E-5</v>
      </c>
      <c r="J3437" s="9">
        <v>8.9250000000000001E-5</v>
      </c>
      <c r="K3437" s="9">
        <v>1.3987E-4</v>
      </c>
      <c r="L3437" s="9">
        <v>6.6390000000000006E-5</v>
      </c>
      <c r="M3437" s="9">
        <v>7.3949999999999995E-5</v>
      </c>
      <c r="N3437" s="9">
        <v>8.1000000000000004E-5</v>
      </c>
      <c r="O3437" s="9">
        <v>5.5080000000000001E-5</v>
      </c>
      <c r="P3437" s="9">
        <v>5.4500000000000003E-5</v>
      </c>
      <c r="Q3437" s="9">
        <v>5.4070000000000002E-5</v>
      </c>
      <c r="R3437" s="10">
        <v>6.436392655413487E-5</v>
      </c>
      <c r="S3437" s="10">
        <v>6.2738672439217184E-6</v>
      </c>
      <c r="T3437" s="10">
        <v>0</v>
      </c>
      <c r="U3437" s="10">
        <v>9.4590000000000001E-5</v>
      </c>
      <c r="V3437" s="25"/>
      <c r="W3437" s="25"/>
      <c r="X3437" s="25"/>
      <c r="Y3437" s="25"/>
      <c r="Z3437" s="25"/>
      <c r="AA3437" s="25"/>
    </row>
    <row r="3438" spans="1:27" x14ac:dyDescent="0.35">
      <c r="A3438" s="5">
        <v>3434</v>
      </c>
      <c r="B3438" s="5">
        <v>144</v>
      </c>
      <c r="C3438" s="5">
        <v>5</v>
      </c>
      <c r="D3438" s="25">
        <v>1.1415000000000001E-4</v>
      </c>
      <c r="E3438" s="25">
        <v>1.1101E-4</v>
      </c>
      <c r="F3438" s="25">
        <v>1.2866E-4</v>
      </c>
      <c r="G3438" s="25">
        <v>6.2669999999999995E-5</v>
      </c>
      <c r="H3438" s="25">
        <v>7.1710000000000003E-5</v>
      </c>
      <c r="I3438" s="9">
        <v>8.5589999999999999E-5</v>
      </c>
      <c r="J3438" s="9">
        <v>8.776E-5</v>
      </c>
      <c r="K3438" s="9">
        <v>1.4624000000000001E-4</v>
      </c>
      <c r="L3438" s="9">
        <v>5.7960000000000001E-5</v>
      </c>
      <c r="M3438" s="9">
        <v>6.4079999999999996E-5</v>
      </c>
      <c r="N3438" s="9">
        <v>7.2070000000000006E-5</v>
      </c>
      <c r="O3438" s="9">
        <v>1.9409999999999999E-5</v>
      </c>
      <c r="P3438" s="9">
        <v>3.7570000000000001E-5</v>
      </c>
      <c r="Q3438" s="9">
        <v>5.592E-5</v>
      </c>
      <c r="R3438" s="10">
        <v>5.0416840548508346E-5</v>
      </c>
      <c r="S3438" s="10">
        <v>1.0297303839711469E-5</v>
      </c>
      <c r="T3438" s="10">
        <v>0</v>
      </c>
      <c r="U3438" s="10">
        <v>9.4590000000000001E-5</v>
      </c>
      <c r="V3438" s="25"/>
      <c r="W3438" s="25"/>
      <c r="X3438" s="25"/>
      <c r="Y3438" s="25"/>
      <c r="Z3438" s="25"/>
      <c r="AA3438" s="25"/>
    </row>
    <row r="3439" spans="1:27" x14ac:dyDescent="0.35">
      <c r="A3439" s="5">
        <v>3435</v>
      </c>
      <c r="B3439" s="5">
        <v>144</v>
      </c>
      <c r="C3439" s="5">
        <v>5</v>
      </c>
      <c r="D3439" s="25">
        <v>1.1416E-4</v>
      </c>
      <c r="E3439" s="25">
        <v>1.0992E-4</v>
      </c>
      <c r="F3439" s="25">
        <v>1.2692000000000001E-4</v>
      </c>
      <c r="G3439" s="25">
        <v>5.5500000000000001E-5</v>
      </c>
      <c r="H3439" s="25">
        <v>6.6050000000000006E-5</v>
      </c>
      <c r="I3439" s="9">
        <v>8.4790000000000006E-5</v>
      </c>
      <c r="J3439" s="9">
        <v>8.7029999999999999E-5</v>
      </c>
      <c r="K3439" s="9">
        <v>1.2928000000000001E-4</v>
      </c>
      <c r="L3439" s="9">
        <v>2.809E-5</v>
      </c>
      <c r="M3439" s="9">
        <v>5.2290000000000002E-5</v>
      </c>
      <c r="N3439" s="9">
        <v>6.5489999999999998E-5</v>
      </c>
      <c r="O3439" s="9">
        <v>1.417E-5</v>
      </c>
      <c r="P3439" s="9">
        <v>3.7870000000000002E-5</v>
      </c>
      <c r="Q3439" s="9">
        <v>6.1729999999999993E-5</v>
      </c>
      <c r="R3439" s="10">
        <v>4.1861544510284759E-5</v>
      </c>
      <c r="S3439" s="10">
        <v>1.4695790990091683E-5</v>
      </c>
      <c r="T3439" s="10">
        <v>0</v>
      </c>
      <c r="U3439" s="10">
        <v>9.4590000000000001E-5</v>
      </c>
      <c r="V3439" s="25"/>
      <c r="W3439" s="25"/>
      <c r="X3439" s="25"/>
      <c r="Y3439" s="25"/>
      <c r="Z3439" s="25"/>
      <c r="AA3439" s="25"/>
    </row>
    <row r="3440" spans="1:27" x14ac:dyDescent="0.35">
      <c r="A3440" s="5">
        <v>3436</v>
      </c>
      <c r="B3440" s="5">
        <v>144</v>
      </c>
      <c r="C3440" s="5">
        <v>5</v>
      </c>
      <c r="D3440" s="25">
        <v>1.1415000000000001E-4</v>
      </c>
      <c r="E3440" s="25">
        <v>1.1019E-4</v>
      </c>
      <c r="F3440" s="25">
        <v>1.4158000000000001E-4</v>
      </c>
      <c r="G3440" s="25">
        <v>5.3890000000000001E-5</v>
      </c>
      <c r="H3440" s="25">
        <v>7.2340000000000002E-5</v>
      </c>
      <c r="I3440" s="9">
        <v>8.6689999999999998E-5</v>
      </c>
      <c r="J3440" s="9">
        <v>8.7470000000000001E-5</v>
      </c>
      <c r="K3440" s="9">
        <v>1.3776000000000001E-4</v>
      </c>
      <c r="L3440" s="9">
        <v>1.7960000000000001E-5</v>
      </c>
      <c r="M3440" s="9">
        <v>4.4280000000000003E-5</v>
      </c>
      <c r="N3440" s="9">
        <v>6.198E-5</v>
      </c>
      <c r="O3440" s="9">
        <v>1.4270000000000001E-5</v>
      </c>
      <c r="P3440" s="9">
        <v>4.7679999999999998E-5</v>
      </c>
      <c r="Q3440" s="9">
        <v>8.1100000000000006E-5</v>
      </c>
      <c r="R3440" s="10">
        <v>3.1753045567854847E-5</v>
      </c>
      <c r="S3440" s="10">
        <v>2.0304998412932899E-5</v>
      </c>
      <c r="T3440" s="10">
        <v>0</v>
      </c>
      <c r="U3440" s="10">
        <v>9.4590000000000001E-5</v>
      </c>
      <c r="V3440" s="25"/>
      <c r="W3440" s="25"/>
      <c r="X3440" s="25"/>
      <c r="Y3440" s="25"/>
      <c r="Z3440" s="25"/>
      <c r="AA3440" s="25"/>
    </row>
    <row r="3441" spans="1:27" x14ac:dyDescent="0.35">
      <c r="A3441" s="5">
        <v>3437</v>
      </c>
      <c r="B3441" s="5">
        <v>144</v>
      </c>
      <c r="C3441" s="5">
        <v>5</v>
      </c>
      <c r="D3441" s="25">
        <v>1.1416E-4</v>
      </c>
      <c r="E3441" s="25">
        <v>1.0967999999999999E-4</v>
      </c>
      <c r="F3441" s="25">
        <v>1.2784999999999999E-4</v>
      </c>
      <c r="G3441" s="25">
        <v>5.3550000000000001E-5</v>
      </c>
      <c r="H3441" s="25">
        <v>7.1890000000000005E-5</v>
      </c>
      <c r="I3441" s="9">
        <v>9.2559999999999995E-5</v>
      </c>
      <c r="J3441" s="9">
        <v>9.009E-5</v>
      </c>
      <c r="K3441" s="9">
        <v>1.0597E-4</v>
      </c>
      <c r="L3441" s="9">
        <v>1.5330000000000001E-5</v>
      </c>
      <c r="M3441" s="9">
        <v>4.371E-5</v>
      </c>
      <c r="N3441" s="9">
        <v>6.4679999999999997E-5</v>
      </c>
      <c r="O3441" s="9">
        <v>1.944E-5</v>
      </c>
      <c r="P3441" s="9">
        <v>5.6450000000000003E-5</v>
      </c>
      <c r="Q3441" s="9">
        <v>9.3339999999999997E-5</v>
      </c>
      <c r="R3441" s="10">
        <v>2.4545170480372643E-5</v>
      </c>
      <c r="S3441" s="10">
        <v>2.8387732224791472E-5</v>
      </c>
      <c r="T3441" s="10">
        <v>5.5487317749932056E-6</v>
      </c>
      <c r="U3441" s="10">
        <v>9.4590000000000001E-5</v>
      </c>
      <c r="V3441" s="25"/>
      <c r="W3441" s="25"/>
      <c r="X3441" s="25"/>
      <c r="Y3441" s="25"/>
      <c r="Z3441" s="25"/>
      <c r="AA3441" s="25"/>
    </row>
    <row r="3442" spans="1:27" x14ac:dyDescent="0.35">
      <c r="A3442" s="5">
        <v>3438</v>
      </c>
      <c r="B3442" s="5">
        <v>144</v>
      </c>
      <c r="C3442" s="5">
        <v>5</v>
      </c>
      <c r="D3442" s="25">
        <v>1.1415000000000001E-4</v>
      </c>
      <c r="E3442" s="25">
        <v>1.1434000000000001E-4</v>
      </c>
      <c r="F3442" s="25">
        <v>1.3176E-4</v>
      </c>
      <c r="G3442" s="25">
        <v>1.0704000000000001E-4</v>
      </c>
      <c r="H3442" s="25">
        <v>1.3221000000000001E-4</v>
      </c>
      <c r="I3442" s="9">
        <v>1.0319000000000001E-4</v>
      </c>
      <c r="J3442" s="9">
        <v>9.9539999999999999E-5</v>
      </c>
      <c r="K3442" s="9">
        <v>7.8410000000000003E-5</v>
      </c>
      <c r="L3442" s="9">
        <v>1.84E-5</v>
      </c>
      <c r="M3442" s="9">
        <v>4.85E-5</v>
      </c>
      <c r="N3442" s="9">
        <v>7.1149999999999995E-5</v>
      </c>
      <c r="O3442" s="9">
        <v>4.6709999999999998E-5</v>
      </c>
      <c r="P3442" s="9">
        <v>7.7310000000000004E-5</v>
      </c>
      <c r="Q3442" s="9">
        <v>1.0766E-4</v>
      </c>
      <c r="R3442" s="10">
        <v>1.9222189501760119E-5</v>
      </c>
      <c r="S3442" s="10">
        <v>4.1573147710035694E-5</v>
      </c>
      <c r="T3442" s="10">
        <v>3.5337106793343582E-5</v>
      </c>
      <c r="U3442" s="10">
        <v>9.4590000000000001E-5</v>
      </c>
      <c r="V3442" s="25"/>
      <c r="W3442" s="25"/>
      <c r="X3442" s="25"/>
      <c r="Y3442" s="25"/>
      <c r="Z3442" s="25"/>
      <c r="AA3442" s="25"/>
    </row>
    <row r="3443" spans="1:27" x14ac:dyDescent="0.35">
      <c r="A3443" s="5">
        <v>3439</v>
      </c>
      <c r="B3443" s="5">
        <v>144</v>
      </c>
      <c r="C3443" s="5">
        <v>5</v>
      </c>
      <c r="D3443" s="25">
        <v>1.1416E-4</v>
      </c>
      <c r="E3443" s="25">
        <v>1.0906E-4</v>
      </c>
      <c r="F3443" s="25">
        <v>1.4618000000000001E-4</v>
      </c>
      <c r="G3443" s="25">
        <v>1.114E-4</v>
      </c>
      <c r="H3443" s="25">
        <v>1.2436000000000001E-4</v>
      </c>
      <c r="I3443" s="9">
        <v>1.1475E-4</v>
      </c>
      <c r="J3443" s="9">
        <v>1.1480999999999999E-4</v>
      </c>
      <c r="K3443" s="9">
        <v>7.4179999999999998E-5</v>
      </c>
      <c r="L3443" s="9">
        <v>4.0349999999999998E-5</v>
      </c>
      <c r="M3443" s="9">
        <v>6.0220000000000003E-5</v>
      </c>
      <c r="N3443" s="9">
        <v>8.0959999999999997E-5</v>
      </c>
      <c r="O3443" s="9">
        <v>1.2195E-4</v>
      </c>
      <c r="P3443" s="9">
        <v>1.1741E-4</v>
      </c>
      <c r="Q3443" s="9">
        <v>1.1247E-4</v>
      </c>
      <c r="R3443" s="10">
        <v>1.3181048508457369E-5</v>
      </c>
      <c r="S3443" s="10">
        <v>5.9694095300225361E-5</v>
      </c>
      <c r="T3443" s="10">
        <v>1.7856904842244954E-4</v>
      </c>
      <c r="U3443" s="10">
        <v>9.4590000000000001E-5</v>
      </c>
      <c r="V3443" s="25"/>
      <c r="W3443" s="25"/>
      <c r="X3443" s="25"/>
      <c r="Y3443" s="25"/>
      <c r="Z3443" s="25"/>
      <c r="AA3443" s="25"/>
    </row>
    <row r="3444" spans="1:27" x14ac:dyDescent="0.35">
      <c r="A3444" s="5">
        <v>3440</v>
      </c>
      <c r="B3444" s="5">
        <v>144</v>
      </c>
      <c r="C3444" s="5">
        <v>5</v>
      </c>
      <c r="D3444" s="25">
        <v>1.1415000000000001E-4</v>
      </c>
      <c r="E3444" s="25">
        <v>1.0959E-4</v>
      </c>
      <c r="F3444" s="25">
        <v>1.2825E-4</v>
      </c>
      <c r="G3444" s="25">
        <v>1.6587000000000001E-4</v>
      </c>
      <c r="H3444" s="25">
        <v>1.8688999999999999E-4</v>
      </c>
      <c r="I3444" s="9">
        <v>1.2102E-4</v>
      </c>
      <c r="J3444" s="9">
        <v>1.2658999999999999E-4</v>
      </c>
      <c r="K3444" s="9">
        <v>5.9349999999999999E-5</v>
      </c>
      <c r="L3444" s="9">
        <v>1.0339E-4</v>
      </c>
      <c r="M3444" s="9">
        <v>8.3830000000000002E-5</v>
      </c>
      <c r="N3444" s="9">
        <v>9.1030000000000001E-5</v>
      </c>
      <c r="O3444" s="9">
        <v>2.1787E-4</v>
      </c>
      <c r="P3444" s="9">
        <v>1.7808E-4</v>
      </c>
      <c r="Q3444" s="9">
        <v>1.3757E-4</v>
      </c>
      <c r="R3444" s="10">
        <v>3.3812325344599185E-6</v>
      </c>
      <c r="S3444" s="10">
        <v>7.9542113902281858E-5</v>
      </c>
      <c r="T3444" s="10">
        <v>3.6322982377830145E-4</v>
      </c>
      <c r="U3444" s="10">
        <v>9.4590000000000001E-5</v>
      </c>
      <c r="V3444" s="25"/>
      <c r="W3444" s="25"/>
      <c r="X3444" s="25"/>
      <c r="Y3444" s="25"/>
      <c r="Z3444" s="25"/>
      <c r="AA3444" s="25"/>
    </row>
    <row r="3445" spans="1:27" x14ac:dyDescent="0.35">
      <c r="A3445" s="5">
        <v>3441</v>
      </c>
      <c r="B3445" s="5">
        <v>144</v>
      </c>
      <c r="C3445" s="5">
        <v>5</v>
      </c>
      <c r="D3445" s="25">
        <v>1.1416E-4</v>
      </c>
      <c r="E3445" s="25">
        <v>1.072E-4</v>
      </c>
      <c r="F3445" s="25">
        <v>1.4337E-4</v>
      </c>
      <c r="G3445" s="25">
        <v>1.5668E-4</v>
      </c>
      <c r="H3445" s="25">
        <v>1.9366000000000001E-4</v>
      </c>
      <c r="I3445" s="9">
        <v>1.2418999999999999E-4</v>
      </c>
      <c r="J3445" s="9">
        <v>1.3161E-4</v>
      </c>
      <c r="K3445" s="9">
        <v>3.1789999999999999E-5</v>
      </c>
      <c r="L3445" s="9">
        <v>1.9096E-4</v>
      </c>
      <c r="M3445" s="9">
        <v>1.2386999999999999E-4</v>
      </c>
      <c r="N3445" s="9">
        <v>1.0493E-4</v>
      </c>
      <c r="O3445" s="9">
        <v>2.0969000000000001E-4</v>
      </c>
      <c r="P3445" s="9">
        <v>1.9436E-4</v>
      </c>
      <c r="Q3445" s="9">
        <v>1.7799999999999999E-4</v>
      </c>
      <c r="R3445" s="10">
        <v>3.8183258218652245E-7</v>
      </c>
      <c r="S3445" s="10">
        <v>9.4496718016407518E-5</v>
      </c>
      <c r="T3445" s="10">
        <v>5.1865370357356215E-4</v>
      </c>
      <c r="U3445" s="10">
        <v>9.4590000000000001E-5</v>
      </c>
      <c r="V3445" s="25"/>
      <c r="W3445" s="25"/>
      <c r="X3445" s="25"/>
      <c r="Y3445" s="25"/>
      <c r="Z3445" s="25"/>
      <c r="AA3445" s="25"/>
    </row>
    <row r="3446" spans="1:27" x14ac:dyDescent="0.35">
      <c r="A3446" s="5">
        <v>3442</v>
      </c>
      <c r="B3446" s="5">
        <v>144</v>
      </c>
      <c r="C3446" s="5">
        <v>5</v>
      </c>
      <c r="D3446" s="25">
        <v>1.1415000000000001E-4</v>
      </c>
      <c r="E3446" s="25">
        <v>1.1717E-4</v>
      </c>
      <c r="F3446" s="25">
        <v>1.2887E-4</v>
      </c>
      <c r="G3446" s="25">
        <v>1.6017000000000001E-4</v>
      </c>
      <c r="H3446" s="25">
        <v>1.9818E-4</v>
      </c>
      <c r="I3446" s="9">
        <v>1.226E-4</v>
      </c>
      <c r="J3446" s="9">
        <v>1.3323999999999999E-4</v>
      </c>
      <c r="K3446" s="9">
        <v>0</v>
      </c>
      <c r="L3446" s="9">
        <v>2.0327E-4</v>
      </c>
      <c r="M3446" s="9">
        <v>1.594E-4</v>
      </c>
      <c r="N3446" s="9">
        <v>1.2511999999999999E-4</v>
      </c>
      <c r="O3446" s="9">
        <v>1.6364999999999999E-4</v>
      </c>
      <c r="P3446" s="9">
        <v>1.7258E-4</v>
      </c>
      <c r="Q3446" s="9">
        <v>1.8052000000000001E-4</v>
      </c>
      <c r="R3446" s="10">
        <v>4.8815747501904125E-7</v>
      </c>
      <c r="S3446" s="10">
        <v>1.0649975344160949E-4</v>
      </c>
      <c r="T3446" s="10">
        <v>6.5296016228631824E-4</v>
      </c>
      <c r="U3446" s="10">
        <v>9.4590000000000001E-5</v>
      </c>
      <c r="V3446" s="25"/>
      <c r="W3446" s="25"/>
      <c r="X3446" s="25"/>
      <c r="Y3446" s="25"/>
      <c r="Z3446" s="25"/>
      <c r="AA3446" s="25"/>
    </row>
    <row r="3447" spans="1:27" x14ac:dyDescent="0.35">
      <c r="A3447" s="5">
        <v>3443</v>
      </c>
      <c r="B3447" s="5">
        <v>144</v>
      </c>
      <c r="C3447" s="5">
        <v>5</v>
      </c>
      <c r="D3447" s="25">
        <v>1.1416E-4</v>
      </c>
      <c r="E3447" s="25">
        <v>1.1409E-4</v>
      </c>
      <c r="F3447" s="25">
        <v>1.3210000000000001E-4</v>
      </c>
      <c r="G3447" s="25">
        <v>1.5971E-4</v>
      </c>
      <c r="H3447" s="25">
        <v>1.931E-4</v>
      </c>
      <c r="I3447" s="9">
        <v>1.2205E-4</v>
      </c>
      <c r="J3447" s="9">
        <v>1.3443999999999999E-4</v>
      </c>
      <c r="K3447" s="9">
        <v>0</v>
      </c>
      <c r="L3447" s="9">
        <v>1.7244E-4</v>
      </c>
      <c r="M3447" s="9">
        <v>1.7238E-4</v>
      </c>
      <c r="N3447" s="9">
        <v>1.428E-4</v>
      </c>
      <c r="O3447" s="9">
        <v>1.6458E-4</v>
      </c>
      <c r="P3447" s="9">
        <v>1.7221000000000001E-4</v>
      </c>
      <c r="Q3447" s="9">
        <v>1.7887E-4</v>
      </c>
      <c r="R3447" s="10">
        <v>7.332499268579967E-7</v>
      </c>
      <c r="S3447" s="10">
        <v>1.1608293372635195E-4</v>
      </c>
      <c r="T3447" s="10">
        <v>7.216066283283213E-4</v>
      </c>
      <c r="U3447" s="10">
        <v>9.4590000000000001E-5</v>
      </c>
      <c r="V3447" s="25"/>
      <c r="W3447" s="25"/>
      <c r="X3447" s="25"/>
      <c r="Y3447" s="25"/>
      <c r="Z3447" s="25"/>
      <c r="AA3447" s="25"/>
    </row>
    <row r="3448" spans="1:27" x14ac:dyDescent="0.35">
      <c r="A3448" s="5">
        <v>3444</v>
      </c>
      <c r="B3448" s="5">
        <v>144</v>
      </c>
      <c r="C3448" s="5">
        <v>5</v>
      </c>
      <c r="D3448" s="25">
        <v>1.1415000000000001E-4</v>
      </c>
      <c r="E3448" s="25">
        <v>1.0758E-4</v>
      </c>
      <c r="F3448" s="25">
        <v>1.3003E-4</v>
      </c>
      <c r="G3448" s="25">
        <v>1.6678E-4</v>
      </c>
      <c r="H3448" s="25">
        <v>1.895E-4</v>
      </c>
      <c r="I3448" s="9">
        <v>1.1784E-4</v>
      </c>
      <c r="J3448" s="9">
        <v>1.3271999999999999E-4</v>
      </c>
      <c r="K3448" s="9">
        <v>6.3600000000000001E-6</v>
      </c>
      <c r="L3448" s="9">
        <v>1.6776000000000001E-4</v>
      </c>
      <c r="M3448" s="9">
        <v>1.7442E-4</v>
      </c>
      <c r="N3448" s="9">
        <v>1.5666000000000001E-4</v>
      </c>
      <c r="O3448" s="9">
        <v>1.6682000000000001E-4</v>
      </c>
      <c r="P3448" s="9">
        <v>1.7040999999999999E-4</v>
      </c>
      <c r="Q3448" s="9">
        <v>1.7306E-4</v>
      </c>
      <c r="R3448" s="10">
        <v>7.8598314114559206E-7</v>
      </c>
      <c r="S3448" s="10">
        <v>1.2278933060545335E-4</v>
      </c>
      <c r="T3448" s="10">
        <v>7.6077863842792938E-4</v>
      </c>
      <c r="U3448" s="10">
        <v>9.4590000000000001E-5</v>
      </c>
      <c r="V3448" s="25"/>
      <c r="W3448" s="25"/>
      <c r="X3448" s="25"/>
      <c r="Y3448" s="25"/>
      <c r="Z3448" s="25"/>
      <c r="AA3448" s="25"/>
    </row>
    <row r="3449" spans="1:27" x14ac:dyDescent="0.35">
      <c r="A3449" s="5">
        <v>3445</v>
      </c>
      <c r="B3449" s="5">
        <v>144</v>
      </c>
      <c r="C3449" s="5">
        <v>5</v>
      </c>
      <c r="D3449" s="25">
        <v>1.1416E-4</v>
      </c>
      <c r="E3449" s="25">
        <v>1.0967999999999999E-4</v>
      </c>
      <c r="F3449" s="25">
        <v>1.3855000000000001E-4</v>
      </c>
      <c r="G3449" s="25">
        <v>1.6037000000000001E-4</v>
      </c>
      <c r="H3449" s="25">
        <v>1.8946999999999999E-4</v>
      </c>
      <c r="I3449" s="9">
        <v>1.1718E-4</v>
      </c>
      <c r="J3449" s="9">
        <v>1.3236000000000001E-4</v>
      </c>
      <c r="K3449" s="9">
        <v>0</v>
      </c>
      <c r="L3449" s="9">
        <v>1.6718000000000001E-4</v>
      </c>
      <c r="M3449" s="9">
        <v>1.7302999999999999E-4</v>
      </c>
      <c r="N3449" s="9">
        <v>1.6583E-4</v>
      </c>
      <c r="O3449" s="9">
        <v>1.5820999999999999E-4</v>
      </c>
      <c r="P3449" s="9">
        <v>1.6244999999999999E-4</v>
      </c>
      <c r="Q3449" s="9">
        <v>1.6581000000000001E-4</v>
      </c>
      <c r="R3449" s="10">
        <v>1.6339635743985287E-6</v>
      </c>
      <c r="S3449" s="10">
        <v>1.3295685285263367E-4</v>
      </c>
      <c r="T3449" s="10">
        <v>7.6070227973377806E-4</v>
      </c>
      <c r="U3449" s="10">
        <v>9.4590000000000001E-5</v>
      </c>
      <c r="V3449" s="25"/>
      <c r="W3449" s="25"/>
      <c r="X3449" s="25"/>
      <c r="Y3449" s="25"/>
      <c r="Z3449" s="25"/>
      <c r="AA3449" s="25"/>
    </row>
    <row r="3450" spans="1:27" x14ac:dyDescent="0.35">
      <c r="A3450" s="5">
        <v>3446</v>
      </c>
      <c r="B3450" s="5">
        <v>144</v>
      </c>
      <c r="C3450" s="5">
        <v>5</v>
      </c>
      <c r="D3450" s="25">
        <v>1.1415000000000001E-4</v>
      </c>
      <c r="E3450" s="25">
        <v>1.1191E-4</v>
      </c>
      <c r="F3450" s="25">
        <v>1.3658999999999999E-4</v>
      </c>
      <c r="G3450" s="25">
        <v>1.6710999999999999E-4</v>
      </c>
      <c r="H3450" s="25">
        <v>1.9385999999999999E-4</v>
      </c>
      <c r="I3450" s="9">
        <v>1.1828E-4</v>
      </c>
      <c r="J3450" s="9">
        <v>1.3166E-4</v>
      </c>
      <c r="K3450" s="9">
        <v>0</v>
      </c>
      <c r="L3450" s="9">
        <v>1.5993E-4</v>
      </c>
      <c r="M3450" s="9">
        <v>1.6886000000000001E-4</v>
      </c>
      <c r="N3450" s="9">
        <v>1.6976E-4</v>
      </c>
      <c r="O3450" s="9">
        <v>1.7752999999999999E-4</v>
      </c>
      <c r="P3450" s="9">
        <v>1.7029E-4</v>
      </c>
      <c r="Q3450" s="9">
        <v>1.6218999999999999E-4</v>
      </c>
      <c r="R3450" s="10">
        <v>2.2563338248650555E-6</v>
      </c>
      <c r="S3450" s="10">
        <v>1.3609057062692923E-4</v>
      </c>
      <c r="T3450" s="10">
        <v>7.0849838583235121E-4</v>
      </c>
      <c r="U3450" s="10">
        <v>9.4590000000000001E-5</v>
      </c>
      <c r="V3450" s="25"/>
      <c r="W3450" s="25"/>
      <c r="X3450" s="25"/>
      <c r="Y3450" s="25"/>
      <c r="Z3450" s="25"/>
      <c r="AA3450" s="25"/>
    </row>
    <row r="3451" spans="1:27" x14ac:dyDescent="0.35">
      <c r="A3451" s="5">
        <v>3447</v>
      </c>
      <c r="B3451" s="5">
        <v>144</v>
      </c>
      <c r="C3451" s="5">
        <v>5</v>
      </c>
      <c r="D3451" s="25">
        <v>1.1416E-4</v>
      </c>
      <c r="E3451" s="25">
        <v>1.0752E-4</v>
      </c>
      <c r="F3451" s="25">
        <v>1.2756000000000001E-4</v>
      </c>
      <c r="G3451" s="25">
        <v>1.6168000000000001E-4</v>
      </c>
      <c r="H3451" s="25">
        <v>1.8866E-4</v>
      </c>
      <c r="I3451" s="9">
        <v>1.1694E-4</v>
      </c>
      <c r="J3451" s="9">
        <v>1.3132000000000001E-4</v>
      </c>
      <c r="K3451" s="9">
        <v>0</v>
      </c>
      <c r="L3451" s="9">
        <v>1.7384E-4</v>
      </c>
      <c r="M3451" s="9">
        <v>1.6819E-4</v>
      </c>
      <c r="N3451" s="9">
        <v>1.696E-4</v>
      </c>
      <c r="O3451" s="9">
        <v>1.8075E-4</v>
      </c>
      <c r="P3451" s="9">
        <v>1.6688E-4</v>
      </c>
      <c r="Q3451" s="9">
        <v>1.5221000000000001E-4</v>
      </c>
      <c r="R3451" s="10">
        <v>2.8961632004417686E-6</v>
      </c>
      <c r="S3451" s="10">
        <v>1.3919920843031127E-4</v>
      </c>
      <c r="T3451" s="10">
        <v>6.3371777136019501E-4</v>
      </c>
      <c r="U3451" s="10">
        <v>9.4590000000000001E-5</v>
      </c>
      <c r="V3451" s="25"/>
      <c r="W3451" s="25"/>
      <c r="X3451" s="25"/>
      <c r="Y3451" s="25"/>
      <c r="Z3451" s="25"/>
      <c r="AA3451" s="25"/>
    </row>
    <row r="3452" spans="1:27" x14ac:dyDescent="0.35">
      <c r="A3452" s="5">
        <v>3448</v>
      </c>
      <c r="B3452" s="5">
        <v>144</v>
      </c>
      <c r="C3452" s="5">
        <v>5</v>
      </c>
      <c r="D3452" s="25">
        <v>1.1415000000000001E-4</v>
      </c>
      <c r="E3452" s="25">
        <v>1.1417999999999999E-4</v>
      </c>
      <c r="F3452" s="25">
        <v>1.3723000000000001E-4</v>
      </c>
      <c r="G3452" s="25">
        <v>1.6406999999999999E-4</v>
      </c>
      <c r="H3452" s="25">
        <v>1.9247000000000001E-4</v>
      </c>
      <c r="I3452" s="9">
        <v>1.1696000000000001E-4</v>
      </c>
      <c r="J3452" s="9">
        <v>1.3168000000000001E-4</v>
      </c>
      <c r="K3452" s="9">
        <v>0</v>
      </c>
      <c r="L3452" s="9">
        <v>1.7886000000000001E-4</v>
      </c>
      <c r="M3452" s="9">
        <v>1.6766E-4</v>
      </c>
      <c r="N3452" s="9">
        <v>1.6574999999999999E-4</v>
      </c>
      <c r="O3452" s="9">
        <v>1.9635E-4</v>
      </c>
      <c r="P3452" s="9">
        <v>1.5377000000000001E-4</v>
      </c>
      <c r="Q3452" s="9">
        <v>1.1071E-4</v>
      </c>
      <c r="R3452" s="10">
        <v>4.2473537257960051E-6</v>
      </c>
      <c r="S3452" s="10">
        <v>1.4589834928296168E-4</v>
      </c>
      <c r="T3452" s="10">
        <v>5.0635146951585549E-4</v>
      </c>
      <c r="U3452" s="10">
        <v>9.4590000000000001E-5</v>
      </c>
      <c r="V3452" s="25"/>
      <c r="W3452" s="25"/>
      <c r="X3452" s="25"/>
      <c r="Y3452" s="25"/>
      <c r="Z3452" s="25"/>
      <c r="AA3452" s="25"/>
    </row>
    <row r="3453" spans="1:27" x14ac:dyDescent="0.35">
      <c r="A3453" s="5">
        <v>3449</v>
      </c>
      <c r="B3453" s="5">
        <v>144</v>
      </c>
      <c r="C3453" s="5">
        <v>5</v>
      </c>
      <c r="D3453" s="25">
        <v>1.1416E-4</v>
      </c>
      <c r="E3453" s="25">
        <v>1.1389E-4</v>
      </c>
      <c r="F3453" s="25">
        <v>1.2850000000000001E-4</v>
      </c>
      <c r="G3453" s="25">
        <v>1.6297999999999999E-4</v>
      </c>
      <c r="H3453" s="25">
        <v>1.9708E-4</v>
      </c>
      <c r="I3453" s="9">
        <v>1.1945E-4</v>
      </c>
      <c r="J3453" s="9">
        <v>1.3181E-4</v>
      </c>
      <c r="K3453" s="9">
        <v>0</v>
      </c>
      <c r="L3453" s="9">
        <v>1.9231000000000001E-4</v>
      </c>
      <c r="M3453" s="9">
        <v>1.6260999999999999E-4</v>
      </c>
      <c r="N3453" s="9">
        <v>1.5236000000000001E-4</v>
      </c>
      <c r="O3453" s="9">
        <v>2.1055999999999999E-4</v>
      </c>
      <c r="P3453" s="9">
        <v>1.5898E-4</v>
      </c>
      <c r="Q3453" s="9">
        <v>1.0694E-4</v>
      </c>
      <c r="R3453" s="10">
        <v>7.3208648448219943E-6</v>
      </c>
      <c r="S3453" s="10">
        <v>1.4575623313011391E-4</v>
      </c>
      <c r="T3453" s="10">
        <v>3.2681521096748973E-4</v>
      </c>
      <c r="U3453" s="10">
        <v>9.4590000000000001E-5</v>
      </c>
      <c r="V3453" s="25"/>
      <c r="W3453" s="25"/>
      <c r="X3453" s="25"/>
      <c r="Y3453" s="25"/>
      <c r="Z3453" s="25"/>
      <c r="AA3453" s="25"/>
    </row>
    <row r="3454" spans="1:27" x14ac:dyDescent="0.35">
      <c r="A3454" s="5">
        <v>3450</v>
      </c>
      <c r="B3454" s="5">
        <v>144</v>
      </c>
      <c r="C3454" s="5">
        <v>5</v>
      </c>
      <c r="D3454" s="25">
        <v>1.1415000000000001E-4</v>
      </c>
      <c r="E3454" s="25">
        <v>1.0738000000000001E-4</v>
      </c>
      <c r="F3454" s="25">
        <v>1.3737999999999999E-4</v>
      </c>
      <c r="G3454" s="25">
        <v>1.6576000000000001E-4</v>
      </c>
      <c r="H3454" s="25">
        <v>1.9489E-4</v>
      </c>
      <c r="I3454" s="9">
        <v>1.2031000000000001E-4</v>
      </c>
      <c r="J3454" s="9">
        <v>1.2632999999999999E-4</v>
      </c>
      <c r="K3454" s="9">
        <v>0</v>
      </c>
      <c r="L3454" s="9">
        <v>2.0628000000000001E-4</v>
      </c>
      <c r="M3454" s="9">
        <v>1.5987999999999999E-4</v>
      </c>
      <c r="N3454" s="9">
        <v>1.3909999999999999E-4</v>
      </c>
      <c r="O3454" s="9">
        <v>2.0073000000000001E-4</v>
      </c>
      <c r="P3454" s="9">
        <v>1.5893999999999999E-4</v>
      </c>
      <c r="Q3454" s="9">
        <v>1.1662E-4</v>
      </c>
      <c r="R3454" s="10">
        <v>1.3920604900656187E-5</v>
      </c>
      <c r="S3454" s="10">
        <v>1.2793539759864807E-4</v>
      </c>
      <c r="T3454" s="10">
        <v>1.4202717112138573E-4</v>
      </c>
      <c r="U3454" s="10">
        <v>9.4590000000000001E-5</v>
      </c>
      <c r="V3454" s="25"/>
      <c r="W3454" s="25"/>
      <c r="X3454" s="25"/>
      <c r="Y3454" s="25"/>
      <c r="Z3454" s="25"/>
      <c r="AA3454" s="25"/>
    </row>
    <row r="3455" spans="1:27" x14ac:dyDescent="0.35">
      <c r="A3455" s="5">
        <v>3451</v>
      </c>
      <c r="B3455" s="5">
        <v>144</v>
      </c>
      <c r="C3455" s="5">
        <v>5</v>
      </c>
      <c r="D3455" s="25">
        <v>1.1416E-4</v>
      </c>
      <c r="E3455" s="25">
        <v>1.0793000000000001E-4</v>
      </c>
      <c r="F3455" s="25">
        <v>1.3431000000000001E-4</v>
      </c>
      <c r="G3455" s="25">
        <v>1.1325E-4</v>
      </c>
      <c r="H3455" s="25">
        <v>1.3579999999999999E-4</v>
      </c>
      <c r="I3455" s="9">
        <v>1.1755E-4</v>
      </c>
      <c r="J3455" s="9">
        <v>1.2336000000000001E-4</v>
      </c>
      <c r="K3455" s="9">
        <v>0</v>
      </c>
      <c r="L3455" s="9">
        <v>2.0159E-4</v>
      </c>
      <c r="M3455" s="9">
        <v>1.5898E-4</v>
      </c>
      <c r="N3455" s="9">
        <v>1.2988999999999999E-4</v>
      </c>
      <c r="O3455" s="9">
        <v>1.6213999999999999E-4</v>
      </c>
      <c r="P3455" s="9">
        <v>1.3475E-4</v>
      </c>
      <c r="Q3455" s="9">
        <v>1.0695E-4</v>
      </c>
      <c r="R3455" s="10">
        <v>2.8193728523264856E-5</v>
      </c>
      <c r="S3455" s="10">
        <v>1.046554560430241E-4</v>
      </c>
      <c r="T3455" s="10">
        <v>3.4904407526486315E-5</v>
      </c>
      <c r="U3455" s="10">
        <v>9.4590000000000001E-5</v>
      </c>
      <c r="V3455" s="25"/>
      <c r="W3455" s="25"/>
      <c r="X3455" s="25"/>
      <c r="Y3455" s="25"/>
      <c r="Z3455" s="25"/>
      <c r="AA3455" s="25"/>
    </row>
    <row r="3456" spans="1:27" x14ac:dyDescent="0.35">
      <c r="A3456" s="5">
        <v>3452</v>
      </c>
      <c r="B3456" s="5">
        <v>144</v>
      </c>
      <c r="C3456" s="5">
        <v>5</v>
      </c>
      <c r="D3456" s="25">
        <v>1.1415000000000001E-4</v>
      </c>
      <c r="E3456" s="25">
        <v>1.1519E-4</v>
      </c>
      <c r="F3456" s="25">
        <v>1.4317999999999999E-4</v>
      </c>
      <c r="G3456" s="25">
        <v>1.127E-4</v>
      </c>
      <c r="H3456" s="25">
        <v>1.2936999999999999E-4</v>
      </c>
      <c r="I3456" s="9">
        <v>1.1457E-4</v>
      </c>
      <c r="J3456" s="9">
        <v>1.1975E-4</v>
      </c>
      <c r="K3456" s="9">
        <v>2.5429999999999999E-5</v>
      </c>
      <c r="L3456" s="9">
        <v>1.7103999999999999E-4</v>
      </c>
      <c r="M3456" s="9">
        <v>1.5018E-4</v>
      </c>
      <c r="N3456" s="9">
        <v>1.2074999999999999E-4</v>
      </c>
      <c r="O3456" s="9">
        <v>1.2812000000000001E-4</v>
      </c>
      <c r="P3456" s="9">
        <v>1.1540999999999999E-4</v>
      </c>
      <c r="Q3456" s="9">
        <v>1.0238000000000001E-4</v>
      </c>
      <c r="R3456" s="10">
        <v>4.2890483448861474E-5</v>
      </c>
      <c r="S3456" s="10">
        <v>9.0968107025844025E-5</v>
      </c>
      <c r="T3456" s="10">
        <v>0</v>
      </c>
      <c r="U3456" s="10">
        <v>9.4590000000000001E-5</v>
      </c>
      <c r="V3456" s="25"/>
      <c r="W3456" s="25"/>
      <c r="X3456" s="25"/>
      <c r="Y3456" s="25"/>
      <c r="Z3456" s="25"/>
      <c r="AA3456" s="25"/>
    </row>
    <row r="3457" spans="1:27" x14ac:dyDescent="0.35">
      <c r="A3457" s="5">
        <v>3453</v>
      </c>
      <c r="B3457" s="5">
        <v>144</v>
      </c>
      <c r="C3457" s="5">
        <v>5</v>
      </c>
      <c r="D3457" s="25">
        <v>1.1416E-4</v>
      </c>
      <c r="E3457" s="25">
        <v>1.1601E-4</v>
      </c>
      <c r="F3457" s="25">
        <v>1.2501999999999999E-4</v>
      </c>
      <c r="G3457" s="25">
        <v>5.8489999999999997E-5</v>
      </c>
      <c r="H3457" s="25">
        <v>6.614E-5</v>
      </c>
      <c r="I3457" s="9">
        <v>1.1187E-4</v>
      </c>
      <c r="J3457" s="9">
        <v>1.1734E-4</v>
      </c>
      <c r="K3457" s="9">
        <v>2.1189999999999999E-5</v>
      </c>
      <c r="L3457" s="9">
        <v>1.3851E-4</v>
      </c>
      <c r="M3457" s="9">
        <v>1.3522E-4</v>
      </c>
      <c r="N3457" s="9">
        <v>1.1319000000000001E-4</v>
      </c>
      <c r="O3457" s="9">
        <v>8.4800000000000001E-5</v>
      </c>
      <c r="P3457" s="9">
        <v>8.6970000000000002E-5</v>
      </c>
      <c r="Q3457" s="9">
        <v>8.8980000000000005E-5</v>
      </c>
      <c r="R3457" s="10">
        <v>4.6418354348082535E-5</v>
      </c>
      <c r="S3457" s="10">
        <v>7.6831023579408916E-5</v>
      </c>
      <c r="T3457" s="10">
        <v>0</v>
      </c>
      <c r="U3457" s="10">
        <v>9.4590000000000001E-5</v>
      </c>
      <c r="V3457" s="25"/>
      <c r="W3457" s="25"/>
      <c r="X3457" s="25"/>
      <c r="Y3457" s="25"/>
      <c r="Z3457" s="25"/>
      <c r="AA3457" s="25"/>
    </row>
    <row r="3458" spans="1:27" x14ac:dyDescent="0.35">
      <c r="A3458" s="5">
        <v>3454</v>
      </c>
      <c r="B3458" s="5">
        <v>144</v>
      </c>
      <c r="C3458" s="5">
        <v>5</v>
      </c>
      <c r="D3458" s="25">
        <v>1.1415000000000001E-4</v>
      </c>
      <c r="E3458" s="25">
        <v>1.1165E-4</v>
      </c>
      <c r="F3458" s="25">
        <v>1.3027000000000001E-4</v>
      </c>
      <c r="G3458" s="25">
        <v>6.0090000000000002E-5</v>
      </c>
      <c r="H3458" s="25">
        <v>6.2760000000000002E-5</v>
      </c>
      <c r="I3458" s="9">
        <v>1.132E-4</v>
      </c>
      <c r="J3458" s="9">
        <v>1.1319000000000001E-4</v>
      </c>
      <c r="K3458" s="9">
        <v>1.908E-5</v>
      </c>
      <c r="L3458" s="9">
        <v>9.7490000000000003E-5</v>
      </c>
      <c r="M3458" s="9">
        <v>1.1402E-4</v>
      </c>
      <c r="N3458" s="9">
        <v>1.0572E-4</v>
      </c>
      <c r="O3458" s="9">
        <v>8.742E-5</v>
      </c>
      <c r="P3458" s="9">
        <v>8.8230000000000001E-5</v>
      </c>
      <c r="Q3458" s="9">
        <v>8.8880000000000003E-5</v>
      </c>
      <c r="R3458" s="10">
        <v>4.0998885197324352E-5</v>
      </c>
      <c r="S3458" s="10">
        <v>6.2953848177162164E-5</v>
      </c>
      <c r="T3458" s="10">
        <v>0</v>
      </c>
      <c r="U3458" s="10">
        <v>9.4590000000000001E-5</v>
      </c>
      <c r="V3458" s="25"/>
      <c r="W3458" s="25"/>
      <c r="X3458" s="25"/>
      <c r="Y3458" s="25"/>
      <c r="Z3458" s="25"/>
      <c r="AA3458" s="25"/>
    </row>
    <row r="3459" spans="1:27" x14ac:dyDescent="0.35">
      <c r="A3459" s="5">
        <v>3455</v>
      </c>
      <c r="B3459" s="5">
        <v>144</v>
      </c>
      <c r="C3459" s="5">
        <v>5</v>
      </c>
      <c r="D3459" s="25">
        <v>1.1416E-4</v>
      </c>
      <c r="E3459" s="25">
        <v>1.1599000000000001E-4</v>
      </c>
      <c r="F3459" s="25">
        <v>1.273E-4</v>
      </c>
      <c r="G3459" s="25">
        <v>6.266E-5</v>
      </c>
      <c r="H3459" s="25">
        <v>6.9200000000000002E-5</v>
      </c>
      <c r="I3459" s="9">
        <v>1.0857E-4</v>
      </c>
      <c r="J3459" s="9">
        <v>1.0594000000000001E-4</v>
      </c>
      <c r="K3459" s="9">
        <v>8.4800000000000001E-6</v>
      </c>
      <c r="L3459" s="9">
        <v>9.0550000000000005E-5</v>
      </c>
      <c r="M3459" s="9">
        <v>9.9530000000000004E-5</v>
      </c>
      <c r="N3459" s="9">
        <v>1.0006E-4</v>
      </c>
      <c r="O3459" s="9">
        <v>7.7399999999999998E-5</v>
      </c>
      <c r="P3459" s="9">
        <v>7.2130000000000002E-5</v>
      </c>
      <c r="Q3459" s="9">
        <v>6.6879999999999997E-5</v>
      </c>
      <c r="R3459" s="10">
        <v>3.5527498554143465E-5</v>
      </c>
      <c r="S3459" s="10">
        <v>5.6007909341857802E-5</v>
      </c>
      <c r="T3459" s="10">
        <v>0</v>
      </c>
      <c r="U3459" s="10">
        <v>9.4590000000000001E-5</v>
      </c>
      <c r="V3459" s="25"/>
      <c r="W3459" s="25"/>
      <c r="X3459" s="25"/>
      <c r="Y3459" s="25"/>
      <c r="Z3459" s="25"/>
      <c r="AA3459" s="25"/>
    </row>
    <row r="3460" spans="1:27" x14ac:dyDescent="0.35">
      <c r="A3460" s="5">
        <v>3456</v>
      </c>
      <c r="B3460" s="5">
        <v>144</v>
      </c>
      <c r="C3460" s="5">
        <v>5</v>
      </c>
      <c r="D3460" s="25">
        <v>1.1415000000000001E-4</v>
      </c>
      <c r="E3460" s="25">
        <v>1.1729E-4</v>
      </c>
      <c r="F3460" s="25">
        <v>1.3985000000000001E-4</v>
      </c>
      <c r="G3460" s="25">
        <v>5.859E-5</v>
      </c>
      <c r="H3460" s="25">
        <v>6.9549999999999996E-5</v>
      </c>
      <c r="I3460" s="9">
        <v>1.0103E-4</v>
      </c>
      <c r="J3460" s="9">
        <v>9.7559999999999994E-5</v>
      </c>
      <c r="K3460" s="9">
        <v>1.06E-5</v>
      </c>
      <c r="L3460" s="9">
        <v>8.0290000000000005E-5</v>
      </c>
      <c r="M3460" s="9">
        <v>8.6470000000000004E-5</v>
      </c>
      <c r="N3460" s="9">
        <v>9.0810000000000006E-5</v>
      </c>
      <c r="O3460" s="9">
        <v>6.2490000000000006E-5</v>
      </c>
      <c r="P3460" s="9">
        <v>6.0569999999999998E-5</v>
      </c>
      <c r="Q3460" s="9">
        <v>5.876E-5</v>
      </c>
      <c r="R3460" s="10">
        <v>4.2652784652757994E-5</v>
      </c>
      <c r="S3460" s="10">
        <v>6.4388026078060387E-5</v>
      </c>
      <c r="T3460" s="10">
        <v>0</v>
      </c>
      <c r="U3460" s="10">
        <v>9.4590000000000001E-5</v>
      </c>
      <c r="V3460" s="25"/>
      <c r="W3460" s="25"/>
      <c r="X3460" s="25"/>
      <c r="Y3460" s="25"/>
      <c r="Z3460" s="25"/>
      <c r="AA3460" s="25"/>
    </row>
    <row r="3461" spans="1:27" x14ac:dyDescent="0.35">
      <c r="A3461" s="5">
        <v>3457</v>
      </c>
      <c r="B3461" s="5">
        <v>145</v>
      </c>
      <c r="C3461" s="5">
        <v>5</v>
      </c>
      <c r="D3461" s="25">
        <v>1.1416E-4</v>
      </c>
      <c r="E3461" s="25">
        <v>1.2055E-4</v>
      </c>
      <c r="F3461" s="25">
        <v>1.1505E-4</v>
      </c>
      <c r="G3461" s="25">
        <v>5.2370000000000002E-5</v>
      </c>
      <c r="H3461" s="25">
        <v>6.4410000000000002E-5</v>
      </c>
      <c r="I3461" s="9">
        <v>9.5799999999999998E-5</v>
      </c>
      <c r="J3461" s="9">
        <v>9.2529999999999997E-5</v>
      </c>
      <c r="K3461" s="9">
        <v>1.484E-5</v>
      </c>
      <c r="L3461" s="9">
        <v>6.6420000000000004E-5</v>
      </c>
      <c r="M3461" s="9">
        <v>7.4140000000000005E-5</v>
      </c>
      <c r="N3461" s="9">
        <v>8.1370000000000002E-5</v>
      </c>
      <c r="O3461" s="9">
        <v>5.4500000000000003E-5</v>
      </c>
      <c r="P3461" s="9">
        <v>5.3919999999999999E-5</v>
      </c>
      <c r="Q3461" s="9">
        <v>5.3489999999999998E-5</v>
      </c>
      <c r="R3461" s="10">
        <v>3.8794315231896333E-5</v>
      </c>
      <c r="S3461" s="10">
        <v>5.433479186762308E-5</v>
      </c>
      <c r="T3461" s="10">
        <v>0</v>
      </c>
      <c r="U3461" s="10">
        <v>9.3549999999999997E-5</v>
      </c>
      <c r="V3461" s="25"/>
      <c r="W3461" s="25"/>
      <c r="X3461" s="25"/>
      <c r="Y3461" s="25"/>
      <c r="Z3461" s="25"/>
      <c r="AA3461" s="25"/>
    </row>
    <row r="3462" spans="1:27" x14ac:dyDescent="0.35">
      <c r="A3462" s="5">
        <v>3458</v>
      </c>
      <c r="B3462" s="5">
        <v>145</v>
      </c>
      <c r="C3462" s="5">
        <v>5</v>
      </c>
      <c r="D3462" s="25">
        <v>1.1415000000000001E-4</v>
      </c>
      <c r="E3462" s="25">
        <v>1.1187E-4</v>
      </c>
      <c r="F3462" s="25">
        <v>9.8969999999999996E-5</v>
      </c>
      <c r="G3462" s="25">
        <v>5.9419999999999997E-5</v>
      </c>
      <c r="H3462" s="25">
        <v>7.0149999999999998E-5</v>
      </c>
      <c r="I3462" s="9">
        <v>9.2590000000000006E-5</v>
      </c>
      <c r="J3462" s="9">
        <v>8.9569999999999998E-5</v>
      </c>
      <c r="K3462" s="9">
        <v>1.484E-5</v>
      </c>
      <c r="L3462" s="9">
        <v>5.7500000000000002E-5</v>
      </c>
      <c r="M3462" s="9">
        <v>6.3930000000000006E-5</v>
      </c>
      <c r="N3462" s="9">
        <v>7.2230000000000005E-5</v>
      </c>
      <c r="O3462" s="9">
        <v>1.9700000000000001E-5</v>
      </c>
      <c r="P3462" s="9">
        <v>3.8130000000000003E-5</v>
      </c>
      <c r="Q3462" s="9">
        <v>5.6740000000000002E-5</v>
      </c>
      <c r="R3462" s="10">
        <v>3.3385589653708544E-5</v>
      </c>
      <c r="S3462" s="10">
        <v>3.8801391484467819E-5</v>
      </c>
      <c r="T3462" s="10">
        <v>0</v>
      </c>
      <c r="U3462" s="10">
        <v>9.3549999999999997E-5</v>
      </c>
      <c r="V3462" s="25"/>
      <c r="W3462" s="25"/>
      <c r="X3462" s="25"/>
      <c r="Y3462" s="25"/>
      <c r="Z3462" s="25"/>
      <c r="AA3462" s="25"/>
    </row>
    <row r="3463" spans="1:27" x14ac:dyDescent="0.35">
      <c r="A3463" s="5">
        <v>3459</v>
      </c>
      <c r="B3463" s="5">
        <v>145</v>
      </c>
      <c r="C3463" s="5">
        <v>5</v>
      </c>
      <c r="D3463" s="25">
        <v>1.1416E-4</v>
      </c>
      <c r="E3463" s="25">
        <v>1.2073E-4</v>
      </c>
      <c r="F3463" s="25">
        <v>1.0131E-4</v>
      </c>
      <c r="G3463" s="25">
        <v>5.9450000000000002E-5</v>
      </c>
      <c r="H3463" s="25">
        <v>7.5500000000000006E-5</v>
      </c>
      <c r="I3463" s="9">
        <v>9.1669999999999995E-5</v>
      </c>
      <c r="J3463" s="9">
        <v>8.8759999999999997E-5</v>
      </c>
      <c r="K3463" s="9">
        <v>2.544E-5</v>
      </c>
      <c r="L3463" s="9">
        <v>2.8209999999999999E-5</v>
      </c>
      <c r="M3463" s="9">
        <v>5.2309999999999999E-5</v>
      </c>
      <c r="N3463" s="9">
        <v>6.5729999999999996E-5</v>
      </c>
      <c r="O3463" s="9">
        <v>1.413E-5</v>
      </c>
      <c r="P3463" s="9">
        <v>3.7790000000000002E-5</v>
      </c>
      <c r="Q3463" s="9">
        <v>6.1589999999999998E-5</v>
      </c>
      <c r="R3463" s="10">
        <v>2.7297595050023845E-5</v>
      </c>
      <c r="S3463" s="10">
        <v>2.7723345492180958E-5</v>
      </c>
      <c r="T3463" s="10">
        <v>0</v>
      </c>
      <c r="U3463" s="10">
        <v>9.3549999999999997E-5</v>
      </c>
      <c r="V3463" s="25"/>
      <c r="W3463" s="25"/>
      <c r="X3463" s="25"/>
      <c r="Y3463" s="25"/>
      <c r="Z3463" s="25"/>
      <c r="AA3463" s="25"/>
    </row>
    <row r="3464" spans="1:27" x14ac:dyDescent="0.35">
      <c r="A3464" s="5">
        <v>3460</v>
      </c>
      <c r="B3464" s="5">
        <v>145</v>
      </c>
      <c r="C3464" s="5">
        <v>5</v>
      </c>
      <c r="D3464" s="25">
        <v>1.1415000000000001E-4</v>
      </c>
      <c r="E3464" s="25">
        <v>1.1297E-4</v>
      </c>
      <c r="F3464" s="25">
        <v>1.1167000000000001E-4</v>
      </c>
      <c r="G3464" s="25">
        <v>5.9509999999999998E-5</v>
      </c>
      <c r="H3464" s="25">
        <v>7.326E-5</v>
      </c>
      <c r="I3464" s="9">
        <v>9.1979999999999997E-5</v>
      </c>
      <c r="J3464" s="9">
        <v>8.8659999999999995E-5</v>
      </c>
      <c r="K3464" s="9">
        <v>2.12E-5</v>
      </c>
      <c r="L3464" s="9">
        <v>1.7949999999999999E-5</v>
      </c>
      <c r="M3464" s="9">
        <v>4.4320000000000003E-5</v>
      </c>
      <c r="N3464" s="9">
        <v>6.2080000000000002E-5</v>
      </c>
      <c r="O3464" s="9">
        <v>1.4229999999999999E-5</v>
      </c>
      <c r="P3464" s="9">
        <v>4.757E-5</v>
      </c>
      <c r="Q3464" s="9">
        <v>8.0900000000000001E-5</v>
      </c>
      <c r="R3464" s="10">
        <v>2.4941212633274226E-5</v>
      </c>
      <c r="S3464" s="10">
        <v>2.2889814471060132E-5</v>
      </c>
      <c r="T3464" s="10">
        <v>0</v>
      </c>
      <c r="U3464" s="10">
        <v>9.3549999999999997E-5</v>
      </c>
      <c r="V3464" s="25"/>
      <c r="W3464" s="25"/>
      <c r="X3464" s="25"/>
      <c r="Y3464" s="25"/>
      <c r="Z3464" s="25"/>
      <c r="AA3464" s="25"/>
    </row>
    <row r="3465" spans="1:27" x14ac:dyDescent="0.35">
      <c r="A3465" s="5">
        <v>3461</v>
      </c>
      <c r="B3465" s="5">
        <v>145</v>
      </c>
      <c r="C3465" s="5">
        <v>5</v>
      </c>
      <c r="D3465" s="25">
        <v>1.1416E-4</v>
      </c>
      <c r="E3465" s="25">
        <v>1.198E-4</v>
      </c>
      <c r="F3465" s="25">
        <v>1.0200999999999999E-4</v>
      </c>
      <c r="G3465" s="25">
        <v>5.3229999999999997E-5</v>
      </c>
      <c r="H3465" s="25">
        <v>6.3559999999999995E-5</v>
      </c>
      <c r="I3465" s="9">
        <v>9.59E-5</v>
      </c>
      <c r="J3465" s="9">
        <v>9.0890000000000006E-5</v>
      </c>
      <c r="K3465" s="9">
        <v>2.544E-5</v>
      </c>
      <c r="L3465" s="9">
        <v>1.5299999999999999E-5</v>
      </c>
      <c r="M3465" s="9">
        <v>4.3689999999999997E-5</v>
      </c>
      <c r="N3465" s="9">
        <v>6.4690000000000006E-5</v>
      </c>
      <c r="O3465" s="9">
        <v>1.9559999999999999E-5</v>
      </c>
      <c r="P3465" s="9">
        <v>5.6780000000000002E-5</v>
      </c>
      <c r="Q3465" s="9">
        <v>9.3900000000000006E-5</v>
      </c>
      <c r="R3465" s="10">
        <v>2.3180557913100167E-5</v>
      </c>
      <c r="S3465" s="10">
        <v>2.2711764185851172E-5</v>
      </c>
      <c r="T3465" s="10">
        <v>2.545289805042755E-7</v>
      </c>
      <c r="U3465" s="10">
        <v>9.3549999999999997E-5</v>
      </c>
      <c r="V3465" s="25"/>
      <c r="W3465" s="25"/>
      <c r="X3465" s="25"/>
      <c r="Y3465" s="25"/>
      <c r="Z3465" s="25"/>
      <c r="AA3465" s="25"/>
    </row>
    <row r="3466" spans="1:27" x14ac:dyDescent="0.35">
      <c r="A3466" s="5">
        <v>3462</v>
      </c>
      <c r="B3466" s="5">
        <v>145</v>
      </c>
      <c r="C3466" s="5">
        <v>5</v>
      </c>
      <c r="D3466" s="25">
        <v>1.1415000000000001E-4</v>
      </c>
      <c r="E3466" s="25">
        <v>1.177E-4</v>
      </c>
      <c r="F3466" s="25">
        <v>1.1087E-4</v>
      </c>
      <c r="G3466" s="25">
        <v>1.0427E-4</v>
      </c>
      <c r="H3466" s="25">
        <v>1.3641E-4</v>
      </c>
      <c r="I3466" s="9">
        <v>1.0668E-4</v>
      </c>
      <c r="J3466" s="9">
        <v>9.8930000000000003E-5</v>
      </c>
      <c r="K3466" s="9">
        <v>2.12E-5</v>
      </c>
      <c r="L3466" s="9">
        <v>1.8490000000000001E-5</v>
      </c>
      <c r="M3466" s="9">
        <v>4.8590000000000001E-5</v>
      </c>
      <c r="N3466" s="9">
        <v>7.127E-5</v>
      </c>
      <c r="O3466" s="9">
        <v>4.6770000000000001E-5</v>
      </c>
      <c r="P3466" s="9">
        <v>7.7399999999999998E-5</v>
      </c>
      <c r="Q3466" s="9">
        <v>1.0778E-4</v>
      </c>
      <c r="R3466" s="10">
        <v>2.2954844187678685E-5</v>
      </c>
      <c r="S3466" s="10">
        <v>2.1582920223539612E-5</v>
      </c>
      <c r="T3466" s="10">
        <v>3.0238042883907929E-5</v>
      </c>
      <c r="U3466" s="10">
        <v>9.3549999999999997E-5</v>
      </c>
      <c r="V3466" s="25"/>
      <c r="W3466" s="25"/>
      <c r="X3466" s="25"/>
      <c r="Y3466" s="25"/>
      <c r="Z3466" s="25"/>
      <c r="AA3466" s="25"/>
    </row>
    <row r="3467" spans="1:27" x14ac:dyDescent="0.35">
      <c r="A3467" s="5">
        <v>3463</v>
      </c>
      <c r="B3467" s="5">
        <v>145</v>
      </c>
      <c r="C3467" s="5">
        <v>5</v>
      </c>
      <c r="D3467" s="25">
        <v>1.1416E-4</v>
      </c>
      <c r="E3467" s="25">
        <v>1.155E-4</v>
      </c>
      <c r="F3467" s="25">
        <v>1.1381E-4</v>
      </c>
      <c r="G3467" s="25">
        <v>1.1307E-4</v>
      </c>
      <c r="H3467" s="25">
        <v>1.3590999999999999E-4</v>
      </c>
      <c r="I3467" s="9">
        <v>1.1658999999999999E-4</v>
      </c>
      <c r="J3467" s="9">
        <v>1.1409E-4</v>
      </c>
      <c r="K3467" s="9">
        <v>1.272E-5</v>
      </c>
      <c r="L3467" s="9">
        <v>4.0410000000000001E-5</v>
      </c>
      <c r="M3467" s="9">
        <v>6.0350000000000003E-5</v>
      </c>
      <c r="N3467" s="9">
        <v>8.1110000000000001E-5</v>
      </c>
      <c r="O3467" s="9">
        <v>1.2295000000000001E-4</v>
      </c>
      <c r="P3467" s="9">
        <v>1.1836999999999999E-4</v>
      </c>
      <c r="Q3467" s="9">
        <v>1.1339E-4</v>
      </c>
      <c r="R3467" s="10">
        <v>2.1511302057803935E-5</v>
      </c>
      <c r="S3467" s="10">
        <v>2.0112049735372599E-5</v>
      </c>
      <c r="T3467" s="10">
        <v>1.6361971296749843E-4</v>
      </c>
      <c r="U3467" s="10">
        <v>9.3549999999999997E-5</v>
      </c>
      <c r="V3467" s="25"/>
      <c r="W3467" s="25"/>
      <c r="X3467" s="25"/>
      <c r="Y3467" s="25"/>
      <c r="Z3467" s="25"/>
      <c r="AA3467" s="25"/>
    </row>
    <row r="3468" spans="1:27" x14ac:dyDescent="0.35">
      <c r="A3468" s="5">
        <v>3464</v>
      </c>
      <c r="B3468" s="5">
        <v>145</v>
      </c>
      <c r="C3468" s="5">
        <v>5</v>
      </c>
      <c r="D3468" s="25">
        <v>1.1415000000000001E-4</v>
      </c>
      <c r="E3468" s="25">
        <v>1.1381E-4</v>
      </c>
      <c r="F3468" s="25">
        <v>1.1374000000000001E-4</v>
      </c>
      <c r="G3468" s="25">
        <v>1.5687000000000001E-4</v>
      </c>
      <c r="H3468" s="25">
        <v>2.017E-4</v>
      </c>
      <c r="I3468" s="9">
        <v>1.2162E-4</v>
      </c>
      <c r="J3468" s="9">
        <v>1.2496E-4</v>
      </c>
      <c r="K3468" s="9">
        <v>0</v>
      </c>
      <c r="L3468" s="9">
        <v>1.0418E-4</v>
      </c>
      <c r="M3468" s="9">
        <v>8.4259999999999996E-5</v>
      </c>
      <c r="N3468" s="9">
        <v>9.1349999999999998E-5</v>
      </c>
      <c r="O3468" s="9">
        <v>2.1783999999999999E-4</v>
      </c>
      <c r="P3468" s="9">
        <v>1.7804999999999999E-4</v>
      </c>
      <c r="Q3468" s="9">
        <v>1.3755000000000001E-4</v>
      </c>
      <c r="R3468" s="10">
        <v>1.4039169380965058E-5</v>
      </c>
      <c r="S3468" s="10">
        <v>2.3767051058408052E-5</v>
      </c>
      <c r="T3468" s="10">
        <v>2.0580364933640703E-4</v>
      </c>
      <c r="U3468" s="10">
        <v>9.3549999999999997E-5</v>
      </c>
      <c r="V3468" s="25"/>
      <c r="W3468" s="25"/>
      <c r="X3468" s="25"/>
      <c r="Y3468" s="25"/>
      <c r="Z3468" s="25"/>
      <c r="AA3468" s="25"/>
    </row>
    <row r="3469" spans="1:27" x14ac:dyDescent="0.35">
      <c r="A3469" s="5">
        <v>3465</v>
      </c>
      <c r="B3469" s="5">
        <v>145</v>
      </c>
      <c r="C3469" s="5">
        <v>5</v>
      </c>
      <c r="D3469" s="25">
        <v>1.1416E-4</v>
      </c>
      <c r="E3469" s="25">
        <v>1.1678E-4</v>
      </c>
      <c r="F3469" s="25">
        <v>9.7549999999999999E-5</v>
      </c>
      <c r="G3469" s="25">
        <v>1.6254999999999999E-4</v>
      </c>
      <c r="H3469" s="25">
        <v>1.9636999999999999E-4</v>
      </c>
      <c r="I3469" s="9">
        <v>1.2295000000000001E-4</v>
      </c>
      <c r="J3469" s="9">
        <v>1.2854000000000001E-4</v>
      </c>
      <c r="K3469" s="9">
        <v>0</v>
      </c>
      <c r="L3469" s="9">
        <v>1.9108999999999999E-4</v>
      </c>
      <c r="M3469" s="9">
        <v>1.2421000000000001E-4</v>
      </c>
      <c r="N3469" s="9">
        <v>1.0521E-4</v>
      </c>
      <c r="O3469" s="9">
        <v>2.0682E-4</v>
      </c>
      <c r="P3469" s="9">
        <v>1.9169E-4</v>
      </c>
      <c r="Q3469" s="9">
        <v>1.7556000000000001E-4</v>
      </c>
      <c r="R3469" s="10">
        <v>1.1024651388080321E-5</v>
      </c>
      <c r="S3469" s="10">
        <v>2.4899585246141015E-5</v>
      </c>
      <c r="T3469" s="10">
        <v>1.219108973621978E-4</v>
      </c>
      <c r="U3469" s="10">
        <v>9.3549999999999997E-5</v>
      </c>
      <c r="V3469" s="25"/>
      <c r="W3469" s="25"/>
      <c r="X3469" s="25"/>
      <c r="Y3469" s="25"/>
      <c r="Z3469" s="25"/>
      <c r="AA3469" s="25"/>
    </row>
    <row r="3470" spans="1:27" x14ac:dyDescent="0.35">
      <c r="A3470" s="5">
        <v>3466</v>
      </c>
      <c r="B3470" s="5">
        <v>145</v>
      </c>
      <c r="C3470" s="5">
        <v>5</v>
      </c>
      <c r="D3470" s="25">
        <v>1.1415000000000001E-4</v>
      </c>
      <c r="E3470" s="25">
        <v>1.1605E-4</v>
      </c>
      <c r="F3470" s="25">
        <v>1.0025E-4</v>
      </c>
      <c r="G3470" s="25">
        <v>1.6427E-4</v>
      </c>
      <c r="H3470" s="25">
        <v>1.9772E-4</v>
      </c>
      <c r="I3470" s="9">
        <v>1.2077E-4</v>
      </c>
      <c r="J3470" s="9">
        <v>1.2868999999999999E-4</v>
      </c>
      <c r="K3470" s="9">
        <v>0</v>
      </c>
      <c r="L3470" s="9">
        <v>2.0107999999999999E-4</v>
      </c>
      <c r="M3470" s="9">
        <v>1.5862999999999999E-4</v>
      </c>
      <c r="N3470" s="9">
        <v>1.2483000000000001E-4</v>
      </c>
      <c r="O3470" s="9">
        <v>1.663E-4</v>
      </c>
      <c r="P3470" s="9">
        <v>1.7537E-4</v>
      </c>
      <c r="Q3470" s="9">
        <v>1.8343999999999999E-4</v>
      </c>
      <c r="R3470" s="10">
        <v>9.3181367502006506E-6</v>
      </c>
      <c r="S3470" s="10">
        <v>2.7319374689982604E-5</v>
      </c>
      <c r="T3470" s="10">
        <v>5.1727924707883921E-4</v>
      </c>
      <c r="U3470" s="10">
        <v>9.3549999999999997E-5</v>
      </c>
      <c r="V3470" s="25"/>
      <c r="W3470" s="25"/>
      <c r="X3470" s="25"/>
      <c r="Y3470" s="25"/>
      <c r="Z3470" s="25"/>
      <c r="AA3470" s="25"/>
    </row>
    <row r="3471" spans="1:27" x14ac:dyDescent="0.35">
      <c r="A3471" s="5">
        <v>3467</v>
      </c>
      <c r="B3471" s="5">
        <v>145</v>
      </c>
      <c r="C3471" s="5">
        <v>5</v>
      </c>
      <c r="D3471" s="25">
        <v>1.1416E-4</v>
      </c>
      <c r="E3471" s="25">
        <v>1.1887000000000001E-4</v>
      </c>
      <c r="F3471" s="25">
        <v>9.8750000000000002E-5</v>
      </c>
      <c r="G3471" s="25">
        <v>1.5794999999999999E-4</v>
      </c>
      <c r="H3471" s="25">
        <v>1.9473E-4</v>
      </c>
      <c r="I3471" s="9">
        <v>1.1969E-4</v>
      </c>
      <c r="J3471" s="9">
        <v>1.2866E-4</v>
      </c>
      <c r="K3471" s="9">
        <v>0</v>
      </c>
      <c r="L3471" s="9">
        <v>1.7409000000000001E-4</v>
      </c>
      <c r="M3471" s="9">
        <v>1.7258E-4</v>
      </c>
      <c r="N3471" s="9">
        <v>1.4311E-4</v>
      </c>
      <c r="O3471" s="9">
        <v>1.6359E-4</v>
      </c>
      <c r="P3471" s="9">
        <v>1.7118E-4</v>
      </c>
      <c r="Q3471" s="9">
        <v>1.7778999999999999E-4</v>
      </c>
      <c r="R3471" s="10">
        <v>1.0587776348486015E-5</v>
      </c>
      <c r="S3471" s="10">
        <v>3.1518214165800348E-5</v>
      </c>
      <c r="T3471" s="10">
        <v>3.7955361572797569E-4</v>
      </c>
      <c r="U3471" s="10">
        <v>9.3549999999999997E-5</v>
      </c>
      <c r="V3471" s="25"/>
      <c r="W3471" s="25"/>
      <c r="X3471" s="25"/>
      <c r="Y3471" s="25"/>
      <c r="Z3471" s="25"/>
      <c r="AA3471" s="25"/>
    </row>
    <row r="3472" spans="1:27" x14ac:dyDescent="0.35">
      <c r="A3472" s="5">
        <v>3468</v>
      </c>
      <c r="B3472" s="5">
        <v>145</v>
      </c>
      <c r="C3472" s="5">
        <v>5</v>
      </c>
      <c r="D3472" s="25">
        <v>1.1415000000000001E-4</v>
      </c>
      <c r="E3472" s="25">
        <v>1.1072E-4</v>
      </c>
      <c r="F3472" s="25">
        <v>1.0492000000000001E-4</v>
      </c>
      <c r="G3472" s="25">
        <v>1.6351000000000001E-4</v>
      </c>
      <c r="H3472" s="25">
        <v>2.0101E-4</v>
      </c>
      <c r="I3472" s="9">
        <v>1.1338E-4</v>
      </c>
      <c r="J3472" s="9">
        <v>1.2689999999999999E-4</v>
      </c>
      <c r="K3472" s="9">
        <v>0</v>
      </c>
      <c r="L3472" s="9">
        <v>1.6724E-4</v>
      </c>
      <c r="M3472" s="9">
        <v>1.7448999999999999E-4</v>
      </c>
      <c r="N3472" s="9">
        <v>1.5669999999999999E-4</v>
      </c>
      <c r="O3472" s="9">
        <v>1.6857999999999999E-4</v>
      </c>
      <c r="P3472" s="9">
        <v>1.7221000000000001E-4</v>
      </c>
      <c r="Q3472" s="9">
        <v>1.749E-4</v>
      </c>
      <c r="R3472" s="10">
        <v>8.627752246069164E-6</v>
      </c>
      <c r="S3472" s="10">
        <v>3.5865470855559081E-5</v>
      </c>
      <c r="T3472" s="10">
        <v>5.5161520654886588E-4</v>
      </c>
      <c r="U3472" s="10">
        <v>9.3549999999999997E-5</v>
      </c>
      <c r="V3472" s="25"/>
      <c r="W3472" s="25"/>
      <c r="X3472" s="25"/>
      <c r="Y3472" s="25"/>
      <c r="Z3472" s="25"/>
      <c r="AA3472" s="25"/>
    </row>
    <row r="3473" spans="1:27" x14ac:dyDescent="0.35">
      <c r="A3473" s="5">
        <v>3469</v>
      </c>
      <c r="B3473" s="5">
        <v>145</v>
      </c>
      <c r="C3473" s="5">
        <v>5</v>
      </c>
      <c r="D3473" s="25">
        <v>1.1416E-4</v>
      </c>
      <c r="E3473" s="25">
        <v>1.147E-4</v>
      </c>
      <c r="F3473" s="25">
        <v>1.0063E-4</v>
      </c>
      <c r="G3473" s="25">
        <v>1.5793E-4</v>
      </c>
      <c r="H3473" s="25">
        <v>1.9275E-4</v>
      </c>
      <c r="I3473" s="9">
        <v>1.1184999999999999E-4</v>
      </c>
      <c r="J3473" s="9">
        <v>1.2711999999999999E-4</v>
      </c>
      <c r="K3473" s="9">
        <v>0</v>
      </c>
      <c r="L3473" s="9">
        <v>1.6848000000000001E-4</v>
      </c>
      <c r="M3473" s="9">
        <v>1.7367000000000001E-4</v>
      </c>
      <c r="N3473" s="9">
        <v>1.6624000000000001E-4</v>
      </c>
      <c r="O3473" s="9">
        <v>1.5911000000000001E-4</v>
      </c>
      <c r="P3473" s="9">
        <v>1.6337E-4</v>
      </c>
      <c r="Q3473" s="9">
        <v>1.6676000000000001E-4</v>
      </c>
      <c r="R3473" s="10">
        <v>2.1687226522948698E-5</v>
      </c>
      <c r="S3473" s="10">
        <v>4.3837375521863097E-5</v>
      </c>
      <c r="T3473" s="10">
        <v>3.3588492697279209E-4</v>
      </c>
      <c r="U3473" s="10">
        <v>9.3549999999999997E-5</v>
      </c>
      <c r="V3473" s="25"/>
      <c r="W3473" s="25"/>
      <c r="X3473" s="25"/>
      <c r="Y3473" s="25"/>
      <c r="Z3473" s="25"/>
      <c r="AA3473" s="25"/>
    </row>
    <row r="3474" spans="1:27" x14ac:dyDescent="0.35">
      <c r="A3474" s="5">
        <v>3470</v>
      </c>
      <c r="B3474" s="5">
        <v>145</v>
      </c>
      <c r="C3474" s="5">
        <v>5</v>
      </c>
      <c r="D3474" s="25">
        <v>1.1415000000000001E-4</v>
      </c>
      <c r="E3474" s="25">
        <v>1.1247E-4</v>
      </c>
      <c r="F3474" s="25">
        <v>9.823E-5</v>
      </c>
      <c r="G3474" s="25">
        <v>1.5804999999999999E-4</v>
      </c>
      <c r="H3474" s="25">
        <v>1.9735999999999999E-4</v>
      </c>
      <c r="I3474" s="9">
        <v>1.1027E-4</v>
      </c>
      <c r="J3474" s="9">
        <v>1.2676000000000001E-4</v>
      </c>
      <c r="K3474" s="9">
        <v>0</v>
      </c>
      <c r="L3474" s="9">
        <v>1.6090000000000001E-4</v>
      </c>
      <c r="M3474" s="9">
        <v>1.6972999999999999E-4</v>
      </c>
      <c r="N3474" s="9">
        <v>1.7034E-4</v>
      </c>
      <c r="O3474" s="9">
        <v>1.7426E-4</v>
      </c>
      <c r="P3474" s="9">
        <v>1.6715E-4</v>
      </c>
      <c r="Q3474" s="9">
        <v>1.5919999999999999E-4</v>
      </c>
      <c r="R3474" s="10">
        <v>3.9983078436208144E-5</v>
      </c>
      <c r="S3474" s="10">
        <v>4.4901178414348524E-5</v>
      </c>
      <c r="T3474" s="10">
        <v>2.1060576276858768E-4</v>
      </c>
      <c r="U3474" s="10">
        <v>9.3549999999999997E-5</v>
      </c>
      <c r="V3474" s="25"/>
      <c r="W3474" s="25"/>
      <c r="X3474" s="25"/>
      <c r="Y3474" s="25"/>
      <c r="Z3474" s="25"/>
      <c r="AA3474" s="25"/>
    </row>
    <row r="3475" spans="1:27" x14ac:dyDescent="0.35">
      <c r="A3475" s="5">
        <v>3471</v>
      </c>
      <c r="B3475" s="5">
        <v>145</v>
      </c>
      <c r="C3475" s="5">
        <v>5</v>
      </c>
      <c r="D3475" s="25">
        <v>1.1416E-4</v>
      </c>
      <c r="E3475" s="25">
        <v>1.1024E-4</v>
      </c>
      <c r="F3475" s="25">
        <v>1.0247E-4</v>
      </c>
      <c r="G3475" s="25">
        <v>1.6134999999999999E-4</v>
      </c>
      <c r="H3475" s="25">
        <v>1.93E-4</v>
      </c>
      <c r="I3475" s="9">
        <v>1.0904E-4</v>
      </c>
      <c r="J3475" s="9">
        <v>1.2646000000000001E-4</v>
      </c>
      <c r="K3475" s="9">
        <v>0</v>
      </c>
      <c r="L3475" s="9">
        <v>1.7149E-4</v>
      </c>
      <c r="M3475" s="9">
        <v>1.6767999999999999E-4</v>
      </c>
      <c r="N3475" s="9">
        <v>1.6953000000000001E-4</v>
      </c>
      <c r="O3475" s="9">
        <v>1.8233999999999999E-4</v>
      </c>
      <c r="P3475" s="9">
        <v>1.6834E-4</v>
      </c>
      <c r="Q3475" s="9">
        <v>1.5354999999999999E-4</v>
      </c>
      <c r="R3475" s="10">
        <v>5.037006690258761E-5</v>
      </c>
      <c r="S3475" s="10">
        <v>5.0823729719476005E-5</v>
      </c>
      <c r="T3475" s="10">
        <v>3.0013208951129155E-4</v>
      </c>
      <c r="U3475" s="10">
        <v>9.3549999999999997E-5</v>
      </c>
      <c r="V3475" s="25"/>
      <c r="W3475" s="25"/>
      <c r="X3475" s="25"/>
      <c r="Y3475" s="25"/>
      <c r="Z3475" s="25"/>
      <c r="AA3475" s="25"/>
    </row>
    <row r="3476" spans="1:27" x14ac:dyDescent="0.35">
      <c r="A3476" s="5">
        <v>3472</v>
      </c>
      <c r="B3476" s="5">
        <v>145</v>
      </c>
      <c r="C3476" s="5">
        <v>5</v>
      </c>
      <c r="D3476" s="25">
        <v>1.1415000000000001E-4</v>
      </c>
      <c r="E3476" s="25">
        <v>1.1099000000000001E-4</v>
      </c>
      <c r="F3476" s="25">
        <v>1.061E-4</v>
      </c>
      <c r="G3476" s="25">
        <v>1.5872999999999999E-4</v>
      </c>
      <c r="H3476" s="25">
        <v>2.0042000000000001E-4</v>
      </c>
      <c r="I3476" s="9">
        <v>1.1019E-4</v>
      </c>
      <c r="J3476" s="9">
        <v>1.2706999999999999E-4</v>
      </c>
      <c r="K3476" s="9">
        <v>0</v>
      </c>
      <c r="L3476" s="9">
        <v>1.7969000000000001E-4</v>
      </c>
      <c r="M3476" s="9">
        <v>1.6746999999999999E-4</v>
      </c>
      <c r="N3476" s="9">
        <v>1.6585999999999999E-4</v>
      </c>
      <c r="O3476" s="9">
        <v>1.9572E-4</v>
      </c>
      <c r="P3476" s="9">
        <v>1.5327E-4</v>
      </c>
      <c r="Q3476" s="9">
        <v>1.1035E-4</v>
      </c>
      <c r="R3476" s="10">
        <v>7.0089448887583543E-5</v>
      </c>
      <c r="S3476" s="10">
        <v>5.5074243307183572E-5</v>
      </c>
      <c r="T3476" s="10">
        <v>3.6577511358334421E-4</v>
      </c>
      <c r="U3476" s="10">
        <v>9.3549999999999997E-5</v>
      </c>
      <c r="V3476" s="25"/>
      <c r="W3476" s="25"/>
      <c r="X3476" s="25"/>
      <c r="Y3476" s="25"/>
      <c r="Z3476" s="25"/>
      <c r="AA3476" s="25"/>
    </row>
    <row r="3477" spans="1:27" x14ac:dyDescent="0.35">
      <c r="A3477" s="5">
        <v>3473</v>
      </c>
      <c r="B3477" s="5">
        <v>145</v>
      </c>
      <c r="C3477" s="5">
        <v>5</v>
      </c>
      <c r="D3477" s="25">
        <v>1.1416E-4</v>
      </c>
      <c r="E3477" s="25">
        <v>1.2045E-4</v>
      </c>
      <c r="F3477" s="25">
        <v>1.027E-4</v>
      </c>
      <c r="G3477" s="25">
        <v>1.6155999999999999E-4</v>
      </c>
      <c r="H3477" s="25">
        <v>1.964E-4</v>
      </c>
      <c r="I3477" s="9">
        <v>1.1323999999999999E-4</v>
      </c>
      <c r="J3477" s="9">
        <v>1.2789999999999999E-4</v>
      </c>
      <c r="K3477" s="9">
        <v>0</v>
      </c>
      <c r="L3477" s="9">
        <v>1.919E-4</v>
      </c>
      <c r="M3477" s="9">
        <v>1.6244E-4</v>
      </c>
      <c r="N3477" s="9">
        <v>1.5237000000000001E-4</v>
      </c>
      <c r="O3477" s="9">
        <v>2.1122E-4</v>
      </c>
      <c r="P3477" s="9">
        <v>1.5948000000000001E-4</v>
      </c>
      <c r="Q3477" s="9">
        <v>1.0728E-4</v>
      </c>
      <c r="R3477" s="10">
        <v>8.361419809735394E-5</v>
      </c>
      <c r="S3477" s="10">
        <v>6.8657452921265058E-5</v>
      </c>
      <c r="T3477" s="10">
        <v>2.2290799682629436E-4</v>
      </c>
      <c r="U3477" s="10">
        <v>9.3549999999999997E-5</v>
      </c>
      <c r="V3477" s="25"/>
      <c r="W3477" s="25"/>
      <c r="X3477" s="25"/>
      <c r="Y3477" s="25"/>
      <c r="Z3477" s="25"/>
      <c r="AA3477" s="25"/>
    </row>
    <row r="3478" spans="1:27" x14ac:dyDescent="0.35">
      <c r="A3478" s="5">
        <v>3474</v>
      </c>
      <c r="B3478" s="5">
        <v>145</v>
      </c>
      <c r="C3478" s="5">
        <v>5</v>
      </c>
      <c r="D3478" s="25">
        <v>1.1415000000000001E-4</v>
      </c>
      <c r="E3478" s="25">
        <v>1.1962E-4</v>
      </c>
      <c r="F3478" s="25">
        <v>1.0305E-4</v>
      </c>
      <c r="G3478" s="25">
        <v>1.674E-4</v>
      </c>
      <c r="H3478" s="25">
        <v>1.929E-4</v>
      </c>
      <c r="I3478" s="9">
        <v>1.1474E-4</v>
      </c>
      <c r="J3478" s="9">
        <v>1.2318E-4</v>
      </c>
      <c r="K3478" s="9">
        <v>0</v>
      </c>
      <c r="L3478" s="9">
        <v>2.0671E-4</v>
      </c>
      <c r="M3478" s="9">
        <v>1.5997E-4</v>
      </c>
      <c r="N3478" s="9">
        <v>1.3909E-4</v>
      </c>
      <c r="O3478" s="9">
        <v>2.041E-4</v>
      </c>
      <c r="P3478" s="9">
        <v>1.6160999999999999E-4</v>
      </c>
      <c r="Q3478" s="9">
        <v>1.1857E-4</v>
      </c>
      <c r="R3478" s="10">
        <v>9.05430353204876E-5</v>
      </c>
      <c r="S3478" s="10">
        <v>7.666175433543353E-5</v>
      </c>
      <c r="T3478" s="10">
        <v>1.1465682141782595E-4</v>
      </c>
      <c r="U3478" s="10">
        <v>9.3549999999999997E-5</v>
      </c>
      <c r="V3478" s="25"/>
      <c r="W3478" s="25"/>
      <c r="X3478" s="25"/>
      <c r="Y3478" s="25"/>
      <c r="Z3478" s="25"/>
      <c r="AA3478" s="25"/>
    </row>
    <row r="3479" spans="1:27" x14ac:dyDescent="0.35">
      <c r="A3479" s="5">
        <v>3475</v>
      </c>
      <c r="B3479" s="5">
        <v>145</v>
      </c>
      <c r="C3479" s="5">
        <v>5</v>
      </c>
      <c r="D3479" s="25">
        <v>1.1416E-4</v>
      </c>
      <c r="E3479" s="25">
        <v>1.1776E-4</v>
      </c>
      <c r="F3479" s="25">
        <v>1.0864E-4</v>
      </c>
      <c r="G3479" s="25">
        <v>1.0869E-4</v>
      </c>
      <c r="H3479" s="25">
        <v>1.3883E-4</v>
      </c>
      <c r="I3479" s="9">
        <v>1.1377E-4</v>
      </c>
      <c r="J3479" s="9">
        <v>1.2093E-4</v>
      </c>
      <c r="K3479" s="9">
        <v>0</v>
      </c>
      <c r="L3479" s="9">
        <v>2.0431E-4</v>
      </c>
      <c r="M3479" s="9">
        <v>1.6004999999999999E-4</v>
      </c>
      <c r="N3479" s="9">
        <v>1.3028000000000001E-4</v>
      </c>
      <c r="O3479" s="9">
        <v>1.6092999999999999E-4</v>
      </c>
      <c r="P3479" s="9">
        <v>1.3374E-4</v>
      </c>
      <c r="Q3479" s="9">
        <v>1.0615000000000001E-4</v>
      </c>
      <c r="R3479" s="10">
        <v>9.7968666203221666E-5</v>
      </c>
      <c r="S3479" s="10">
        <v>8.471060857448793E-5</v>
      </c>
      <c r="T3479" s="10">
        <v>3.6482487205612823E-5</v>
      </c>
      <c r="U3479" s="10">
        <v>9.3549999999999997E-5</v>
      </c>
      <c r="V3479" s="25"/>
      <c r="W3479" s="25"/>
      <c r="X3479" s="25"/>
      <c r="Y3479" s="25"/>
      <c r="Z3479" s="25"/>
      <c r="AA3479" s="25"/>
    </row>
    <row r="3480" spans="1:27" x14ac:dyDescent="0.35">
      <c r="A3480" s="5">
        <v>3476</v>
      </c>
      <c r="B3480" s="5">
        <v>145</v>
      </c>
      <c r="C3480" s="5">
        <v>5</v>
      </c>
      <c r="D3480" s="25">
        <v>1.1415000000000001E-4</v>
      </c>
      <c r="E3480" s="25">
        <v>1.1597E-4</v>
      </c>
      <c r="F3480" s="25">
        <v>1.1351E-4</v>
      </c>
      <c r="G3480" s="25">
        <v>1.1472E-4</v>
      </c>
      <c r="H3480" s="25">
        <v>1.3663999999999999E-4</v>
      </c>
      <c r="I3480" s="9">
        <v>1.1260999999999999E-4</v>
      </c>
      <c r="J3480" s="9">
        <v>1.1815E-4</v>
      </c>
      <c r="K3480" s="9">
        <v>0</v>
      </c>
      <c r="L3480" s="9">
        <v>1.7060999999999999E-4</v>
      </c>
      <c r="M3480" s="9">
        <v>1.5076E-4</v>
      </c>
      <c r="N3480" s="9">
        <v>1.2102E-4</v>
      </c>
      <c r="O3480" s="9">
        <v>1.2807000000000001E-4</v>
      </c>
      <c r="P3480" s="9">
        <v>1.1537E-4</v>
      </c>
      <c r="Q3480" s="9">
        <v>1.0234E-4</v>
      </c>
      <c r="R3480" s="10">
        <v>9.7888369630027156E-5</v>
      </c>
      <c r="S3480" s="10">
        <v>9.2926141823739423E-5</v>
      </c>
      <c r="T3480" s="10">
        <v>0</v>
      </c>
      <c r="U3480" s="10">
        <v>9.3549999999999997E-5</v>
      </c>
      <c r="V3480" s="25"/>
      <c r="W3480" s="25"/>
      <c r="X3480" s="25"/>
      <c r="Y3480" s="25"/>
      <c r="Z3480" s="25"/>
      <c r="AA3480" s="25"/>
    </row>
    <row r="3481" spans="1:27" x14ac:dyDescent="0.35">
      <c r="A3481" s="5">
        <v>3477</v>
      </c>
      <c r="B3481" s="5">
        <v>145</v>
      </c>
      <c r="C3481" s="5">
        <v>5</v>
      </c>
      <c r="D3481" s="25">
        <v>1.1416E-4</v>
      </c>
      <c r="E3481" s="25">
        <v>1.1139E-4</v>
      </c>
      <c r="F3481" s="25">
        <v>9.8189999999999993E-5</v>
      </c>
      <c r="G3481" s="25">
        <v>5.4209999999999998E-5</v>
      </c>
      <c r="H3481" s="25">
        <v>7.3980000000000007E-5</v>
      </c>
      <c r="I3481" s="9">
        <v>1.1183000000000001E-4</v>
      </c>
      <c r="J3481" s="9">
        <v>1.159E-4</v>
      </c>
      <c r="K3481" s="9">
        <v>0</v>
      </c>
      <c r="L3481" s="9">
        <v>1.3846E-4</v>
      </c>
      <c r="M3481" s="9">
        <v>1.3541000000000001E-4</v>
      </c>
      <c r="N3481" s="9">
        <v>1.1340000000000001E-4</v>
      </c>
      <c r="O3481" s="9">
        <v>8.4989999999999998E-5</v>
      </c>
      <c r="P3481" s="9">
        <v>8.7159999999999999E-5</v>
      </c>
      <c r="Q3481" s="9">
        <v>8.9179999999999997E-5</v>
      </c>
      <c r="R3481" s="10">
        <v>9.2224052722939448E-5</v>
      </c>
      <c r="S3481" s="10">
        <v>1.0258866798926847E-4</v>
      </c>
      <c r="T3481" s="10">
        <v>0</v>
      </c>
      <c r="U3481" s="10">
        <v>9.3549999999999997E-5</v>
      </c>
      <c r="V3481" s="25"/>
      <c r="W3481" s="25"/>
      <c r="X3481" s="25"/>
      <c r="Y3481" s="25"/>
      <c r="Z3481" s="25"/>
      <c r="AA3481" s="25"/>
    </row>
    <row r="3482" spans="1:27" x14ac:dyDescent="0.35">
      <c r="A3482" s="5">
        <v>3478</v>
      </c>
      <c r="B3482" s="5">
        <v>145</v>
      </c>
      <c r="C3482" s="5">
        <v>5</v>
      </c>
      <c r="D3482" s="25">
        <v>1.1415000000000001E-4</v>
      </c>
      <c r="E3482" s="25">
        <v>1.1705E-4</v>
      </c>
      <c r="F3482" s="25">
        <v>1.1093E-4</v>
      </c>
      <c r="G3482" s="25">
        <v>5.4799999999999997E-5</v>
      </c>
      <c r="H3482" s="25">
        <v>7.2169999999999995E-5</v>
      </c>
      <c r="I3482" s="9">
        <v>1.1459E-4</v>
      </c>
      <c r="J3482" s="9">
        <v>1.1234E-4</v>
      </c>
      <c r="K3482" s="9">
        <v>0</v>
      </c>
      <c r="L3482" s="9">
        <v>9.7629999999999999E-5</v>
      </c>
      <c r="M3482" s="9">
        <v>1.1411E-4</v>
      </c>
      <c r="N3482" s="9">
        <v>1.0594000000000001E-4</v>
      </c>
      <c r="O3482" s="9">
        <v>8.7650000000000003E-5</v>
      </c>
      <c r="P3482" s="9">
        <v>8.8469999999999998E-5</v>
      </c>
      <c r="Q3482" s="9">
        <v>8.9120000000000001E-5</v>
      </c>
      <c r="R3482" s="10">
        <v>8.6938573262474017E-5</v>
      </c>
      <c r="S3482" s="10">
        <v>1.0168949540948207E-4</v>
      </c>
      <c r="T3482" s="10">
        <v>0</v>
      </c>
      <c r="U3482" s="10">
        <v>9.3549999999999997E-5</v>
      </c>
      <c r="V3482" s="25"/>
      <c r="W3482" s="25"/>
      <c r="X3482" s="25"/>
      <c r="Y3482" s="25"/>
      <c r="Z3482" s="25"/>
      <c r="AA3482" s="25"/>
    </row>
    <row r="3483" spans="1:27" x14ac:dyDescent="0.35">
      <c r="A3483" s="5">
        <v>3479</v>
      </c>
      <c r="B3483" s="5">
        <v>145</v>
      </c>
      <c r="C3483" s="5">
        <v>5</v>
      </c>
      <c r="D3483" s="25">
        <v>1.1416E-4</v>
      </c>
      <c r="E3483" s="25">
        <v>1.116E-4</v>
      </c>
      <c r="F3483" s="25">
        <v>1.1243000000000001E-4</v>
      </c>
      <c r="G3483" s="25">
        <v>5.893E-5</v>
      </c>
      <c r="H3483" s="25">
        <v>6.4950000000000007E-5</v>
      </c>
      <c r="I3483" s="9">
        <v>1.0980999999999999E-4</v>
      </c>
      <c r="J3483" s="9">
        <v>1.0501999999999999E-4</v>
      </c>
      <c r="K3483" s="9">
        <v>0</v>
      </c>
      <c r="L3483" s="9">
        <v>9.0740000000000002E-5</v>
      </c>
      <c r="M3483" s="9">
        <v>9.9669999999999999E-5</v>
      </c>
      <c r="N3483" s="9">
        <v>1.0027E-4</v>
      </c>
      <c r="O3483" s="9">
        <v>7.6920000000000002E-5</v>
      </c>
      <c r="P3483" s="9">
        <v>7.1680000000000005E-5</v>
      </c>
      <c r="Q3483" s="9">
        <v>6.6470000000000006E-5</v>
      </c>
      <c r="R3483" s="10">
        <v>7.5849845631976401E-5</v>
      </c>
      <c r="S3483" s="10">
        <v>1.0199534306263843E-4</v>
      </c>
      <c r="T3483" s="10">
        <v>0</v>
      </c>
      <c r="U3483" s="10">
        <v>9.3549999999999997E-5</v>
      </c>
      <c r="V3483" s="25"/>
      <c r="W3483" s="25"/>
      <c r="X3483" s="25"/>
      <c r="Y3483" s="25"/>
      <c r="Z3483" s="25"/>
      <c r="AA3483" s="25"/>
    </row>
    <row r="3484" spans="1:27" x14ac:dyDescent="0.35">
      <c r="A3484" s="5">
        <v>3480</v>
      </c>
      <c r="B3484" s="5">
        <v>145</v>
      </c>
      <c r="C3484" s="5">
        <v>5</v>
      </c>
      <c r="D3484" s="25">
        <v>1.1415000000000001E-4</v>
      </c>
      <c r="E3484" s="25">
        <v>1.1436E-4</v>
      </c>
      <c r="F3484" s="25">
        <v>1.1168E-4</v>
      </c>
      <c r="G3484" s="25">
        <v>6.2490000000000006E-5</v>
      </c>
      <c r="H3484" s="25">
        <v>6.6610000000000001E-5</v>
      </c>
      <c r="I3484" s="9">
        <v>1.0108E-4</v>
      </c>
      <c r="J3484" s="9">
        <v>9.7919999999999998E-5</v>
      </c>
      <c r="K3484" s="9">
        <v>0</v>
      </c>
      <c r="L3484" s="9">
        <v>7.996E-5</v>
      </c>
      <c r="M3484" s="9">
        <v>8.6420000000000003E-5</v>
      </c>
      <c r="N3484" s="9">
        <v>9.0829999999999996E-5</v>
      </c>
      <c r="O3484" s="9">
        <v>6.321E-5</v>
      </c>
      <c r="P3484" s="9">
        <v>6.1270000000000001E-5</v>
      </c>
      <c r="Q3484" s="9">
        <v>5.944E-5</v>
      </c>
      <c r="R3484" s="10">
        <v>5.8016403964162022E-5</v>
      </c>
      <c r="S3484" s="10">
        <v>9.1208099699828402E-5</v>
      </c>
      <c r="T3484" s="10">
        <v>0</v>
      </c>
      <c r="U3484" s="10">
        <v>9.3549999999999997E-5</v>
      </c>
      <c r="V3484" s="25"/>
      <c r="W3484" s="25"/>
      <c r="X3484" s="25"/>
      <c r="Y3484" s="25"/>
      <c r="Z3484" s="25"/>
      <c r="AA3484" s="25"/>
    </row>
    <row r="3485" spans="1:27" x14ac:dyDescent="0.35">
      <c r="A3485" s="5">
        <v>3481</v>
      </c>
      <c r="B3485" s="5">
        <v>146</v>
      </c>
      <c r="C3485" s="5">
        <v>5</v>
      </c>
      <c r="D3485" s="25">
        <v>1.1416E-4</v>
      </c>
      <c r="E3485" s="25">
        <v>1.0888E-4</v>
      </c>
      <c r="F3485" s="25">
        <v>1.1636E-4</v>
      </c>
      <c r="G3485" s="25">
        <v>5.5300000000000002E-5</v>
      </c>
      <c r="H3485" s="25">
        <v>4.5200000000000001E-5</v>
      </c>
      <c r="I3485" s="9">
        <v>9.6399999999999999E-5</v>
      </c>
      <c r="J3485" s="9">
        <v>9.2490000000000004E-5</v>
      </c>
      <c r="K3485" s="9">
        <v>0</v>
      </c>
      <c r="L3485" s="9">
        <v>6.6920000000000003E-5</v>
      </c>
      <c r="M3485" s="9">
        <v>7.4289999999999995E-5</v>
      </c>
      <c r="N3485" s="9">
        <v>8.1520000000000006E-5</v>
      </c>
      <c r="O3485" s="9">
        <v>6.8700000000000003E-5</v>
      </c>
      <c r="P3485" s="9">
        <v>6.1169999999999999E-5</v>
      </c>
      <c r="Q3485" s="9">
        <v>5.3949999999999997E-5</v>
      </c>
      <c r="R3485" s="10">
        <v>6.2670739470667352E-5</v>
      </c>
      <c r="S3485" s="10">
        <v>1.0957664179990594E-4</v>
      </c>
      <c r="T3485" s="10">
        <v>0</v>
      </c>
      <c r="U3485" s="10">
        <v>9.3380000000000004E-5</v>
      </c>
      <c r="V3485" s="25"/>
      <c r="W3485" s="25"/>
      <c r="X3485" s="25"/>
      <c r="Y3485" s="25"/>
      <c r="Z3485" s="25"/>
      <c r="AA3485" s="25"/>
    </row>
    <row r="3486" spans="1:27" x14ac:dyDescent="0.35">
      <c r="A3486" s="5">
        <v>3482</v>
      </c>
      <c r="B3486" s="5">
        <v>146</v>
      </c>
      <c r="C3486" s="5">
        <v>5</v>
      </c>
      <c r="D3486" s="25">
        <v>1.1415000000000001E-4</v>
      </c>
      <c r="E3486" s="25">
        <v>1.0811000000000001E-4</v>
      </c>
      <c r="F3486" s="25">
        <v>1.2464E-4</v>
      </c>
      <c r="G3486" s="25">
        <v>5.5569999999999998E-5</v>
      </c>
      <c r="H3486" s="25">
        <v>4.1690000000000002E-5</v>
      </c>
      <c r="I3486" s="9">
        <v>9.3430000000000005E-5</v>
      </c>
      <c r="J3486" s="9">
        <v>9.0069999999999997E-5</v>
      </c>
      <c r="K3486" s="9">
        <v>8.4800000000000001E-6</v>
      </c>
      <c r="L3486" s="9">
        <v>6.8670000000000005E-5</v>
      </c>
      <c r="M3486" s="9">
        <v>6.6710000000000003E-5</v>
      </c>
      <c r="N3486" s="9">
        <v>7.2449999999999999E-5</v>
      </c>
      <c r="O3486" s="9">
        <v>3.6100000000000003E-5</v>
      </c>
      <c r="P3486" s="9">
        <v>4.6190000000000003E-5</v>
      </c>
      <c r="Q3486" s="9">
        <v>5.6610000000000002E-5</v>
      </c>
      <c r="R3486" s="10">
        <v>6.7329310775397053E-5</v>
      </c>
      <c r="S3486" s="10">
        <v>1.1591259617703616E-4</v>
      </c>
      <c r="T3486" s="10">
        <v>0</v>
      </c>
      <c r="U3486" s="10">
        <v>9.3380000000000004E-5</v>
      </c>
      <c r="V3486" s="25"/>
      <c r="W3486" s="25"/>
      <c r="X3486" s="25"/>
      <c r="Y3486" s="25"/>
      <c r="Z3486" s="25"/>
      <c r="AA3486" s="25"/>
    </row>
    <row r="3487" spans="1:27" x14ac:dyDescent="0.35">
      <c r="A3487" s="5">
        <v>3483</v>
      </c>
      <c r="B3487" s="5">
        <v>146</v>
      </c>
      <c r="C3487" s="5">
        <v>5</v>
      </c>
      <c r="D3487" s="25">
        <v>1.1416E-4</v>
      </c>
      <c r="E3487" s="25">
        <v>1.0687E-4</v>
      </c>
      <c r="F3487" s="25">
        <v>1.2548999999999999E-4</v>
      </c>
      <c r="G3487" s="25">
        <v>6.1820000000000001E-5</v>
      </c>
      <c r="H3487" s="25">
        <v>4.1140000000000003E-5</v>
      </c>
      <c r="I3487" s="9">
        <v>9.2410000000000005E-5</v>
      </c>
      <c r="J3487" s="9">
        <v>8.933E-5</v>
      </c>
      <c r="K3487" s="9">
        <v>2.12E-5</v>
      </c>
      <c r="L3487" s="9">
        <v>4.316E-5</v>
      </c>
      <c r="M3487" s="9">
        <v>5.7720000000000003E-5</v>
      </c>
      <c r="N3487" s="9">
        <v>6.5889999999999994E-5</v>
      </c>
      <c r="O3487" s="9">
        <v>2.2840000000000002E-5</v>
      </c>
      <c r="P3487" s="9">
        <v>4.1950000000000003E-5</v>
      </c>
      <c r="Q3487" s="9">
        <v>6.1359999999999995E-5</v>
      </c>
      <c r="R3487" s="10">
        <v>6.8779577833654867E-5</v>
      </c>
      <c r="S3487" s="10">
        <v>1.1548587618887397E-4</v>
      </c>
      <c r="T3487" s="10">
        <v>0</v>
      </c>
      <c r="U3487" s="10">
        <v>9.3380000000000004E-5</v>
      </c>
      <c r="V3487" s="25"/>
      <c r="W3487" s="25"/>
      <c r="X3487" s="25"/>
      <c r="Y3487" s="25"/>
      <c r="Z3487" s="25"/>
      <c r="AA3487" s="25"/>
    </row>
    <row r="3488" spans="1:27" x14ac:dyDescent="0.35">
      <c r="A3488" s="5">
        <v>3484</v>
      </c>
      <c r="B3488" s="5">
        <v>146</v>
      </c>
      <c r="C3488" s="5">
        <v>5</v>
      </c>
      <c r="D3488" s="25">
        <v>1.1415000000000001E-4</v>
      </c>
      <c r="E3488" s="25">
        <v>1.148E-4</v>
      </c>
      <c r="F3488" s="25">
        <v>1.0833E-4</v>
      </c>
      <c r="G3488" s="25">
        <v>6.3380000000000006E-5</v>
      </c>
      <c r="H3488" s="25">
        <v>4.6440000000000003E-5</v>
      </c>
      <c r="I3488" s="9">
        <v>9.4380000000000001E-5</v>
      </c>
      <c r="J3488" s="9">
        <v>8.9660000000000006E-5</v>
      </c>
      <c r="K3488" s="9">
        <v>2.12E-5</v>
      </c>
      <c r="L3488" s="9">
        <v>2.7929999999999999E-5</v>
      </c>
      <c r="M3488" s="9">
        <v>4.99E-5</v>
      </c>
      <c r="N3488" s="9">
        <v>6.2169999999999996E-5</v>
      </c>
      <c r="O3488" s="9">
        <v>2.2200000000000001E-5</v>
      </c>
      <c r="P3488" s="9">
        <v>5.0859999999999998E-5</v>
      </c>
      <c r="Q3488" s="9">
        <v>7.9670000000000001E-5</v>
      </c>
      <c r="R3488" s="10">
        <v>7.0676307219917961E-5</v>
      </c>
      <c r="S3488" s="10">
        <v>1.1382613838573074E-4</v>
      </c>
      <c r="T3488" s="10">
        <v>0</v>
      </c>
      <c r="U3488" s="10">
        <v>9.3380000000000004E-5</v>
      </c>
      <c r="V3488" s="25"/>
      <c r="W3488" s="25"/>
      <c r="X3488" s="25"/>
      <c r="Y3488" s="25"/>
      <c r="Z3488" s="25"/>
      <c r="AA3488" s="25"/>
    </row>
    <row r="3489" spans="1:27" x14ac:dyDescent="0.35">
      <c r="A3489" s="5">
        <v>3485</v>
      </c>
      <c r="B3489" s="5">
        <v>146</v>
      </c>
      <c r="C3489" s="5">
        <v>5</v>
      </c>
      <c r="D3489" s="25">
        <v>1.1416E-4</v>
      </c>
      <c r="E3489" s="25">
        <v>1.1291E-4</v>
      </c>
      <c r="F3489" s="25">
        <v>1.094E-4</v>
      </c>
      <c r="G3489" s="25">
        <v>5.7139999999999998E-5</v>
      </c>
      <c r="H3489" s="25">
        <v>4.6E-5</v>
      </c>
      <c r="I3489" s="9">
        <v>9.7180000000000001E-5</v>
      </c>
      <c r="J3489" s="9">
        <v>9.1580000000000001E-5</v>
      </c>
      <c r="K3489" s="9">
        <v>0</v>
      </c>
      <c r="L3489" s="9">
        <v>2.3920000000000001E-5</v>
      </c>
      <c r="M3489" s="9">
        <v>4.8380000000000001E-5</v>
      </c>
      <c r="N3489" s="9">
        <v>6.4490000000000001E-5</v>
      </c>
      <c r="O3489" s="9">
        <v>2.446E-5</v>
      </c>
      <c r="P3489" s="9">
        <v>5.9429999999999999E-5</v>
      </c>
      <c r="Q3489" s="9">
        <v>9.4439999999999997E-5</v>
      </c>
      <c r="R3489" s="10">
        <v>7.5183049482269561E-5</v>
      </c>
      <c r="S3489" s="10">
        <v>1.0730905787337437E-4</v>
      </c>
      <c r="T3489" s="10">
        <v>4.9208936230826594E-6</v>
      </c>
      <c r="U3489" s="10">
        <v>9.3380000000000004E-5</v>
      </c>
      <c r="V3489" s="25"/>
      <c r="W3489" s="25"/>
      <c r="X3489" s="25"/>
      <c r="Y3489" s="25"/>
      <c r="Z3489" s="25"/>
      <c r="AA3489" s="25"/>
    </row>
    <row r="3490" spans="1:27" x14ac:dyDescent="0.35">
      <c r="A3490" s="5">
        <v>3486</v>
      </c>
      <c r="B3490" s="5">
        <v>146</v>
      </c>
      <c r="C3490" s="5">
        <v>5</v>
      </c>
      <c r="D3490" s="25">
        <v>1.1415000000000001E-4</v>
      </c>
      <c r="E3490" s="25">
        <v>1.1296E-4</v>
      </c>
      <c r="F3490" s="25">
        <v>1.0932E-4</v>
      </c>
      <c r="G3490" s="25">
        <v>1.1424E-4</v>
      </c>
      <c r="H3490" s="25">
        <v>7.7360000000000005E-5</v>
      </c>
      <c r="I3490" s="9">
        <v>1.0704000000000001E-4</v>
      </c>
      <c r="J3490" s="9">
        <v>9.9630000000000007E-5</v>
      </c>
      <c r="K3490" s="9">
        <v>0</v>
      </c>
      <c r="L3490" s="9">
        <v>2.427E-5</v>
      </c>
      <c r="M3490" s="9">
        <v>5.2290000000000002E-5</v>
      </c>
      <c r="N3490" s="9">
        <v>7.1149999999999995E-5</v>
      </c>
      <c r="O3490" s="9">
        <v>3.0530000000000001E-5</v>
      </c>
      <c r="P3490" s="9">
        <v>6.8960000000000004E-5</v>
      </c>
      <c r="Q3490" s="9">
        <v>1.0732E-4</v>
      </c>
      <c r="R3490" s="10">
        <v>7.3326388574602219E-5</v>
      </c>
      <c r="S3490" s="10">
        <v>1.039550720223576E-4</v>
      </c>
      <c r="T3490" s="10">
        <v>5.0473096833997834E-5</v>
      </c>
      <c r="U3490" s="10">
        <v>9.3380000000000004E-5</v>
      </c>
      <c r="V3490" s="25"/>
      <c r="W3490" s="25"/>
      <c r="X3490" s="25"/>
      <c r="Y3490" s="25"/>
      <c r="Z3490" s="25"/>
      <c r="AA3490" s="25"/>
    </row>
    <row r="3491" spans="1:27" x14ac:dyDescent="0.35">
      <c r="A3491" s="5">
        <v>3487</v>
      </c>
      <c r="B3491" s="5">
        <v>146</v>
      </c>
      <c r="C3491" s="5">
        <v>5</v>
      </c>
      <c r="D3491" s="25">
        <v>1.1416E-4</v>
      </c>
      <c r="E3491" s="25">
        <v>1.0912999999999999E-4</v>
      </c>
      <c r="F3491" s="25">
        <v>1.2114E-4</v>
      </c>
      <c r="G3491" s="25">
        <v>1.1497000000000001E-4</v>
      </c>
      <c r="H3491" s="25">
        <v>8.2169999999999994E-5</v>
      </c>
      <c r="I3491" s="9">
        <v>1.177E-4</v>
      </c>
      <c r="J3491" s="9">
        <v>1.1513E-4</v>
      </c>
      <c r="K3491" s="9">
        <v>0</v>
      </c>
      <c r="L3491" s="9">
        <v>2.9050000000000001E-5</v>
      </c>
      <c r="M3491" s="9">
        <v>5.9450000000000002E-5</v>
      </c>
      <c r="N3491" s="9">
        <v>8.0879999999999998E-5</v>
      </c>
      <c r="O3491" s="9">
        <v>4.6390000000000001E-5</v>
      </c>
      <c r="P3491" s="9">
        <v>7.9190000000000006E-5</v>
      </c>
      <c r="Q3491" s="9">
        <v>1.1184999999999999E-4</v>
      </c>
      <c r="R3491" s="10">
        <v>6.7640008166287778E-5</v>
      </c>
      <c r="S3491" s="10">
        <v>1.0144045461018563E-4</v>
      </c>
      <c r="T3491" s="10">
        <v>1.1099160409856439E-4</v>
      </c>
      <c r="U3491" s="10">
        <v>9.3380000000000004E-5</v>
      </c>
      <c r="V3491" s="25"/>
      <c r="W3491" s="25"/>
      <c r="X3491" s="25"/>
      <c r="Y3491" s="25"/>
      <c r="Z3491" s="25"/>
      <c r="AA3491" s="25"/>
    </row>
    <row r="3492" spans="1:27" x14ac:dyDescent="0.35">
      <c r="A3492" s="5">
        <v>3488</v>
      </c>
      <c r="B3492" s="5">
        <v>146</v>
      </c>
      <c r="C3492" s="5">
        <v>5</v>
      </c>
      <c r="D3492" s="25">
        <v>1.1415000000000001E-4</v>
      </c>
      <c r="E3492" s="25">
        <v>1.0889E-4</v>
      </c>
      <c r="F3492" s="25">
        <v>1.2646000000000001E-4</v>
      </c>
      <c r="G3492" s="25">
        <v>1.6018E-4</v>
      </c>
      <c r="H3492" s="25">
        <v>1.1647E-4</v>
      </c>
      <c r="I3492" s="9">
        <v>1.2180000000000001E-4</v>
      </c>
      <c r="J3492" s="9">
        <v>1.2643999999999999E-4</v>
      </c>
      <c r="K3492" s="9">
        <v>0</v>
      </c>
      <c r="L3492" s="9">
        <v>4.2429999999999999E-5</v>
      </c>
      <c r="M3492" s="9">
        <v>6.834E-5</v>
      </c>
      <c r="N3492" s="9">
        <v>9.0810000000000006E-5</v>
      </c>
      <c r="O3492" s="9">
        <v>6.7990000000000005E-5</v>
      </c>
      <c r="P3492" s="9">
        <v>1.0223E-4</v>
      </c>
      <c r="Q3492" s="9">
        <v>1.3613000000000001E-4</v>
      </c>
      <c r="R3492" s="10">
        <v>4.8713342468304941E-5</v>
      </c>
      <c r="S3492" s="10">
        <v>1.0185067810881083E-4</v>
      </c>
      <c r="T3492" s="10">
        <v>2.7394954171675175E-4</v>
      </c>
      <c r="U3492" s="10">
        <v>9.3380000000000004E-5</v>
      </c>
      <c r="V3492" s="25"/>
      <c r="W3492" s="25"/>
      <c r="X3492" s="25"/>
      <c r="Y3492" s="25"/>
      <c r="Z3492" s="25"/>
      <c r="AA3492" s="25"/>
    </row>
    <row r="3493" spans="1:27" x14ac:dyDescent="0.35">
      <c r="A3493" s="5">
        <v>3489</v>
      </c>
      <c r="B3493" s="5">
        <v>146</v>
      </c>
      <c r="C3493" s="5">
        <v>5</v>
      </c>
      <c r="D3493" s="25">
        <v>1.1416E-4</v>
      </c>
      <c r="E3493" s="25">
        <v>1.1177E-4</v>
      </c>
      <c r="F3493" s="25">
        <v>1.0648E-4</v>
      </c>
      <c r="G3493" s="25">
        <v>1.6018E-4</v>
      </c>
      <c r="H3493" s="25">
        <v>1.1964999999999999E-4</v>
      </c>
      <c r="I3493" s="9">
        <v>1.2269000000000001E-4</v>
      </c>
      <c r="J3493" s="9">
        <v>1.3133E-4</v>
      </c>
      <c r="K3493" s="9">
        <v>0</v>
      </c>
      <c r="L3493" s="9">
        <v>6.2000000000000003E-5</v>
      </c>
      <c r="M3493" s="9">
        <v>8.2739999999999997E-5</v>
      </c>
      <c r="N3493" s="9">
        <v>1.0442000000000001E-4</v>
      </c>
      <c r="O3493" s="9">
        <v>9.8389999999999998E-5</v>
      </c>
      <c r="P3493" s="9">
        <v>1.3719000000000001E-4</v>
      </c>
      <c r="Q3493" s="9">
        <v>1.7529000000000001E-4</v>
      </c>
      <c r="R3493" s="10">
        <v>5.1297393353284007E-5</v>
      </c>
      <c r="S3493" s="10">
        <v>9.8191547646185408E-5</v>
      </c>
      <c r="T3493" s="10">
        <v>3.7839975101635628E-4</v>
      </c>
      <c r="U3493" s="10">
        <v>9.3380000000000004E-5</v>
      </c>
      <c r="V3493" s="25"/>
      <c r="W3493" s="25"/>
      <c r="X3493" s="25"/>
      <c r="Y3493" s="25"/>
      <c r="Z3493" s="25"/>
      <c r="AA3493" s="25"/>
    </row>
    <row r="3494" spans="1:27" x14ac:dyDescent="0.35">
      <c r="A3494" s="5">
        <v>3490</v>
      </c>
      <c r="B3494" s="5">
        <v>146</v>
      </c>
      <c r="C3494" s="5">
        <v>5</v>
      </c>
      <c r="D3494" s="25">
        <v>1.1415000000000001E-4</v>
      </c>
      <c r="E3494" s="25">
        <v>1.1391E-4</v>
      </c>
      <c r="F3494" s="25">
        <v>1.1792E-4</v>
      </c>
      <c r="G3494" s="25">
        <v>1.6086E-4</v>
      </c>
      <c r="H3494" s="25">
        <v>1.2166E-4</v>
      </c>
      <c r="I3494" s="9">
        <v>1.2048E-4</v>
      </c>
      <c r="J3494" s="9">
        <v>1.3234999999999999E-4</v>
      </c>
      <c r="K3494" s="9">
        <v>0</v>
      </c>
      <c r="L3494" s="9">
        <v>8.9870000000000005E-5</v>
      </c>
      <c r="M3494" s="9">
        <v>1.0598E-4</v>
      </c>
      <c r="N3494" s="9">
        <v>1.2409000000000001E-4</v>
      </c>
      <c r="O3494" s="9">
        <v>1.2852999999999999E-4</v>
      </c>
      <c r="P3494" s="9">
        <v>1.5644000000000001E-4</v>
      </c>
      <c r="Q3494" s="9">
        <v>1.8354999999999999E-4</v>
      </c>
      <c r="R3494" s="10">
        <v>5.5472263618886337E-5</v>
      </c>
      <c r="S3494" s="10">
        <v>9.4224338766439025E-5</v>
      </c>
      <c r="T3494" s="10">
        <v>3.6289893610364589E-4</v>
      </c>
      <c r="U3494" s="10">
        <v>9.3380000000000004E-5</v>
      </c>
      <c r="V3494" s="25"/>
      <c r="W3494" s="25"/>
      <c r="X3494" s="25"/>
      <c r="Y3494" s="25"/>
      <c r="Z3494" s="25"/>
      <c r="AA3494" s="25"/>
    </row>
    <row r="3495" spans="1:27" x14ac:dyDescent="0.35">
      <c r="A3495" s="5">
        <v>3491</v>
      </c>
      <c r="B3495" s="5">
        <v>146</v>
      </c>
      <c r="C3495" s="5">
        <v>5</v>
      </c>
      <c r="D3495" s="25">
        <v>1.1416E-4</v>
      </c>
      <c r="E3495" s="25">
        <v>1.0828E-4</v>
      </c>
      <c r="F3495" s="25">
        <v>1.1032E-4</v>
      </c>
      <c r="G3495" s="25">
        <v>1.6202E-4</v>
      </c>
      <c r="H3495" s="25">
        <v>1.2026E-4</v>
      </c>
      <c r="I3495" s="9">
        <v>1.2015000000000001E-4</v>
      </c>
      <c r="J3495" s="9">
        <v>1.3261999999999999E-4</v>
      </c>
      <c r="K3495" s="9">
        <v>0</v>
      </c>
      <c r="L3495" s="9">
        <v>1.1934000000000001E-4</v>
      </c>
      <c r="M3495" s="9">
        <v>1.3001000000000001E-4</v>
      </c>
      <c r="N3495" s="9">
        <v>1.4249999999999999E-4</v>
      </c>
      <c r="O3495" s="9">
        <v>1.3511999999999999E-4</v>
      </c>
      <c r="P3495" s="9">
        <v>1.5735E-4</v>
      </c>
      <c r="Q3495" s="9">
        <v>1.7878999999999999E-4</v>
      </c>
      <c r="R3495" s="10">
        <v>7.3710952083502082E-5</v>
      </c>
      <c r="S3495" s="10">
        <v>9.4401580553443568E-5</v>
      </c>
      <c r="T3495" s="10">
        <v>7.1953645928688663E-4</v>
      </c>
      <c r="U3495" s="10">
        <v>9.3380000000000004E-5</v>
      </c>
      <c r="V3495" s="25"/>
      <c r="W3495" s="25"/>
      <c r="X3495" s="25"/>
      <c r="Y3495" s="25"/>
      <c r="Z3495" s="25"/>
      <c r="AA3495" s="25"/>
    </row>
    <row r="3496" spans="1:27" x14ac:dyDescent="0.35">
      <c r="A3496" s="5">
        <v>3492</v>
      </c>
      <c r="B3496" s="5">
        <v>146</v>
      </c>
      <c r="C3496" s="5">
        <v>5</v>
      </c>
      <c r="D3496" s="25">
        <v>1.1415000000000001E-4</v>
      </c>
      <c r="E3496" s="25">
        <v>1.1592E-4</v>
      </c>
      <c r="F3496" s="25">
        <v>1.2486999999999999E-4</v>
      </c>
      <c r="G3496" s="25">
        <v>1.5726999999999999E-4</v>
      </c>
      <c r="H3496" s="25">
        <v>1.1843E-4</v>
      </c>
      <c r="I3496" s="9">
        <v>1.1777000000000001E-4</v>
      </c>
      <c r="J3496" s="9">
        <v>1.3097E-4</v>
      </c>
      <c r="K3496" s="9">
        <v>0</v>
      </c>
      <c r="L3496" s="9">
        <v>1.3096000000000001E-4</v>
      </c>
      <c r="M3496" s="9">
        <v>1.4558E-4</v>
      </c>
      <c r="N3496" s="9">
        <v>1.5646E-4</v>
      </c>
      <c r="O3496" s="9">
        <v>1.3718000000000001E-4</v>
      </c>
      <c r="P3496" s="9">
        <v>1.5614000000000001E-4</v>
      </c>
      <c r="Q3496" s="9">
        <v>1.7436E-4</v>
      </c>
      <c r="R3496" s="10">
        <v>6.9768341167844992E-5</v>
      </c>
      <c r="S3496" s="10">
        <v>9.9253945919308573E-5</v>
      </c>
      <c r="T3496" s="10">
        <v>1.4732137391587464E-4</v>
      </c>
      <c r="U3496" s="10">
        <v>9.3380000000000004E-5</v>
      </c>
      <c r="V3496" s="25"/>
      <c r="W3496" s="25"/>
      <c r="X3496" s="25"/>
      <c r="Y3496" s="25"/>
      <c r="Z3496" s="25"/>
      <c r="AA3496" s="25"/>
    </row>
    <row r="3497" spans="1:27" x14ac:dyDescent="0.35">
      <c r="A3497" s="5">
        <v>3493</v>
      </c>
      <c r="B3497" s="5">
        <v>146</v>
      </c>
      <c r="C3497" s="5">
        <v>5</v>
      </c>
      <c r="D3497" s="25">
        <v>1.1416E-4</v>
      </c>
      <c r="E3497" s="25">
        <v>1.1535E-4</v>
      </c>
      <c r="F3497" s="25">
        <v>1.1911E-4</v>
      </c>
      <c r="G3497" s="25">
        <v>1.6082999999999999E-4</v>
      </c>
      <c r="H3497" s="25">
        <v>1.1974E-4</v>
      </c>
      <c r="I3497" s="9">
        <v>1.1594E-4</v>
      </c>
      <c r="J3497" s="9">
        <v>1.3164000000000001E-4</v>
      </c>
      <c r="K3497" s="9">
        <v>0</v>
      </c>
      <c r="L3497" s="9">
        <v>1.3566000000000001E-4</v>
      </c>
      <c r="M3497" s="9">
        <v>1.5269E-4</v>
      </c>
      <c r="N3497" s="9">
        <v>1.6604E-4</v>
      </c>
      <c r="O3497" s="9">
        <v>1.2883E-4</v>
      </c>
      <c r="P3497" s="9">
        <v>1.4841999999999999E-4</v>
      </c>
      <c r="Q3497" s="9">
        <v>1.6733000000000001E-4</v>
      </c>
      <c r="R3497" s="10">
        <v>1.045857342285734E-4</v>
      </c>
      <c r="S3497" s="10">
        <v>1.0220405622923771E-4</v>
      </c>
      <c r="T3497" s="10">
        <v>3.487471247876082E-4</v>
      </c>
      <c r="U3497" s="10">
        <v>9.3380000000000004E-5</v>
      </c>
      <c r="V3497" s="25"/>
      <c r="W3497" s="25"/>
      <c r="X3497" s="25"/>
      <c r="Y3497" s="25"/>
      <c r="Z3497" s="25"/>
      <c r="AA3497" s="25"/>
    </row>
    <row r="3498" spans="1:27" x14ac:dyDescent="0.35">
      <c r="A3498" s="5">
        <v>3494</v>
      </c>
      <c r="B3498" s="5">
        <v>146</v>
      </c>
      <c r="C3498" s="5">
        <v>5</v>
      </c>
      <c r="D3498" s="25">
        <v>1.1415000000000001E-4</v>
      </c>
      <c r="E3498" s="25">
        <v>1.137E-4</v>
      </c>
      <c r="F3498" s="25">
        <v>1.0559E-4</v>
      </c>
      <c r="G3498" s="25">
        <v>1.5944E-4</v>
      </c>
      <c r="H3498" s="25">
        <v>1.1951999999999999E-4</v>
      </c>
      <c r="I3498" s="9">
        <v>1.111E-4</v>
      </c>
      <c r="J3498" s="9">
        <v>1.3104999999999999E-4</v>
      </c>
      <c r="K3498" s="9">
        <v>0</v>
      </c>
      <c r="L3498" s="9">
        <v>1.3039E-4</v>
      </c>
      <c r="M3498" s="9">
        <v>1.5250999999999999E-4</v>
      </c>
      <c r="N3498" s="9">
        <v>1.7039999999999999E-4</v>
      </c>
      <c r="O3498" s="9">
        <v>1.1163E-4</v>
      </c>
      <c r="P3498" s="9">
        <v>1.3647999999999999E-4</v>
      </c>
      <c r="Q3498" s="9">
        <v>1.6071999999999999E-4</v>
      </c>
      <c r="R3498" s="10">
        <v>1.331250203033554E-4</v>
      </c>
      <c r="S3498" s="10">
        <v>1.0832920162919659E-4</v>
      </c>
      <c r="T3498" s="10">
        <v>5.1139114332984022E-4</v>
      </c>
      <c r="U3498" s="10">
        <v>9.3380000000000004E-5</v>
      </c>
      <c r="V3498" s="25"/>
      <c r="W3498" s="25"/>
      <c r="X3498" s="25"/>
      <c r="Y3498" s="25"/>
      <c r="Z3498" s="25"/>
      <c r="AA3498" s="25"/>
    </row>
    <row r="3499" spans="1:27" x14ac:dyDescent="0.35">
      <c r="A3499" s="5">
        <v>3495</v>
      </c>
      <c r="B3499" s="5">
        <v>146</v>
      </c>
      <c r="C3499" s="5">
        <v>5</v>
      </c>
      <c r="D3499" s="25">
        <v>1.1416E-4</v>
      </c>
      <c r="E3499" s="25">
        <v>1.1493999999999999E-4</v>
      </c>
      <c r="F3499" s="25">
        <v>1.2593000000000001E-4</v>
      </c>
      <c r="G3499" s="25">
        <v>1.582E-4</v>
      </c>
      <c r="H3499" s="25">
        <v>1.2175E-4</v>
      </c>
      <c r="I3499" s="9">
        <v>1.1035999999999999E-4</v>
      </c>
      <c r="J3499" s="9">
        <v>1.2962E-4</v>
      </c>
      <c r="K3499" s="9">
        <v>0</v>
      </c>
      <c r="L3499" s="9">
        <v>1.1595999999999999E-4</v>
      </c>
      <c r="M3499" s="9">
        <v>1.4642999999999999E-4</v>
      </c>
      <c r="N3499" s="9">
        <v>1.6998E-4</v>
      </c>
      <c r="O3499" s="9">
        <v>1.2716999999999999E-4</v>
      </c>
      <c r="P3499" s="9">
        <v>1.4079000000000001E-4</v>
      </c>
      <c r="Q3499" s="9">
        <v>1.5385999999999999E-4</v>
      </c>
      <c r="R3499" s="10">
        <v>1.4688408061913226E-4</v>
      </c>
      <c r="S3499" s="10">
        <v>1.1143057743436863E-4</v>
      </c>
      <c r="T3499" s="10">
        <v>5.9681106918707506E-4</v>
      </c>
      <c r="U3499" s="10">
        <v>9.3380000000000004E-5</v>
      </c>
      <c r="V3499" s="25"/>
      <c r="W3499" s="25"/>
      <c r="X3499" s="25"/>
      <c r="Y3499" s="25"/>
      <c r="Z3499" s="25"/>
      <c r="AA3499" s="25"/>
    </row>
    <row r="3500" spans="1:27" x14ac:dyDescent="0.35">
      <c r="A3500" s="5">
        <v>3496</v>
      </c>
      <c r="B3500" s="5">
        <v>146</v>
      </c>
      <c r="C3500" s="5">
        <v>5</v>
      </c>
      <c r="D3500" s="25">
        <v>1.1415000000000001E-4</v>
      </c>
      <c r="E3500" s="25">
        <v>1.1441E-4</v>
      </c>
      <c r="F3500" s="25">
        <v>1.1221E-4</v>
      </c>
      <c r="G3500" s="25">
        <v>1.6223E-4</v>
      </c>
      <c r="H3500" s="25">
        <v>1.1652E-4</v>
      </c>
      <c r="I3500" s="9">
        <v>1.1014999999999999E-4</v>
      </c>
      <c r="J3500" s="9">
        <v>1.2914E-4</v>
      </c>
      <c r="K3500" s="9">
        <v>0</v>
      </c>
      <c r="L3500" s="9">
        <v>1.2511999999999999E-4</v>
      </c>
      <c r="M3500" s="9">
        <v>1.427E-4</v>
      </c>
      <c r="N3500" s="9">
        <v>1.6637999999999999E-4</v>
      </c>
      <c r="O3500" s="9">
        <v>1.3278000000000001E-4</v>
      </c>
      <c r="P3500" s="9">
        <v>1.2135E-4</v>
      </c>
      <c r="Q3500" s="9">
        <v>1.0969E-4</v>
      </c>
      <c r="R3500" s="10">
        <v>1.5455637993733756E-4</v>
      </c>
      <c r="S3500" s="10">
        <v>1.1797988719146034E-4</v>
      </c>
      <c r="T3500" s="10">
        <v>3.892002640890877E-4</v>
      </c>
      <c r="U3500" s="10">
        <v>9.3380000000000004E-5</v>
      </c>
      <c r="V3500" s="25"/>
      <c r="W3500" s="25"/>
      <c r="X3500" s="25"/>
      <c r="Y3500" s="25"/>
      <c r="Z3500" s="25"/>
      <c r="AA3500" s="25"/>
    </row>
    <row r="3501" spans="1:27" x14ac:dyDescent="0.35">
      <c r="A3501" s="5">
        <v>3497</v>
      </c>
      <c r="B3501" s="5">
        <v>146</v>
      </c>
      <c r="C3501" s="5">
        <v>5</v>
      </c>
      <c r="D3501" s="25">
        <v>1.1416E-4</v>
      </c>
      <c r="E3501" s="25">
        <v>1.1427E-4</v>
      </c>
      <c r="F3501" s="25">
        <v>1.0885E-4</v>
      </c>
      <c r="G3501" s="25">
        <v>1.6420000000000001E-4</v>
      </c>
      <c r="H3501" s="25">
        <v>1.1453E-4</v>
      </c>
      <c r="I3501" s="9">
        <v>1.1265E-4</v>
      </c>
      <c r="J3501" s="9">
        <v>1.2982E-4</v>
      </c>
      <c r="K3501" s="9">
        <v>0</v>
      </c>
      <c r="L3501" s="9">
        <v>1.3080000000000001E-4</v>
      </c>
      <c r="M3501" s="9">
        <v>1.3421E-4</v>
      </c>
      <c r="N3501" s="9">
        <v>1.5265999999999999E-4</v>
      </c>
      <c r="O3501" s="9">
        <v>1.3922000000000001E-4</v>
      </c>
      <c r="P3501" s="9">
        <v>1.2342000000000001E-4</v>
      </c>
      <c r="Q3501" s="9">
        <v>1.0742E-4</v>
      </c>
      <c r="R3501" s="10">
        <v>1.5569745634259663E-4</v>
      </c>
      <c r="S3501" s="10">
        <v>1.1625596031180222E-4</v>
      </c>
      <c r="T3501" s="10">
        <v>2.1102997773609481E-4</v>
      </c>
      <c r="U3501" s="10">
        <v>9.3380000000000004E-5</v>
      </c>
      <c r="V3501" s="25"/>
      <c r="W3501" s="25"/>
      <c r="X3501" s="25"/>
      <c r="Y3501" s="25"/>
      <c r="Z3501" s="25"/>
      <c r="AA3501" s="25"/>
    </row>
    <row r="3502" spans="1:27" x14ac:dyDescent="0.35">
      <c r="A3502" s="5">
        <v>3498</v>
      </c>
      <c r="B3502" s="5">
        <v>146</v>
      </c>
      <c r="C3502" s="5">
        <v>5</v>
      </c>
      <c r="D3502" s="25">
        <v>1.1415000000000001E-4</v>
      </c>
      <c r="E3502" s="25">
        <v>1.0717000000000001E-4</v>
      </c>
      <c r="F3502" s="25">
        <v>1.2003E-4</v>
      </c>
      <c r="G3502" s="25">
        <v>1.5924E-4</v>
      </c>
      <c r="H3502" s="25">
        <v>1.1919E-4</v>
      </c>
      <c r="I3502" s="9">
        <v>1.1438E-4</v>
      </c>
      <c r="J3502" s="9">
        <v>1.2453E-4</v>
      </c>
      <c r="K3502" s="9">
        <v>0</v>
      </c>
      <c r="L3502" s="9">
        <v>1.371E-4</v>
      </c>
      <c r="M3502" s="9">
        <v>1.2815999999999999E-4</v>
      </c>
      <c r="N3502" s="9">
        <v>1.3935999999999999E-4</v>
      </c>
      <c r="O3502" s="9">
        <v>1.4090000000000001E-4</v>
      </c>
      <c r="P3502" s="9">
        <v>1.3004E-4</v>
      </c>
      <c r="Q3502" s="9">
        <v>1.1889E-4</v>
      </c>
      <c r="R3502" s="10">
        <v>1.5122048746609901E-4</v>
      </c>
      <c r="S3502" s="10">
        <v>1.0074831638277484E-4</v>
      </c>
      <c r="T3502" s="10">
        <v>6.7679255916086852E-5</v>
      </c>
      <c r="U3502" s="10">
        <v>9.3380000000000004E-5</v>
      </c>
      <c r="V3502" s="25"/>
      <c r="W3502" s="25"/>
      <c r="X3502" s="25"/>
      <c r="Y3502" s="25"/>
      <c r="Z3502" s="25"/>
      <c r="AA3502" s="25"/>
    </row>
    <row r="3503" spans="1:27" x14ac:dyDescent="0.35">
      <c r="A3503" s="5">
        <v>3499</v>
      </c>
      <c r="B3503" s="5">
        <v>146</v>
      </c>
      <c r="C3503" s="5">
        <v>5</v>
      </c>
      <c r="D3503" s="25">
        <v>1.1416E-4</v>
      </c>
      <c r="E3503" s="25">
        <v>1.0525E-4</v>
      </c>
      <c r="F3503" s="25">
        <v>1.1262E-4</v>
      </c>
      <c r="G3503" s="25">
        <v>1.0946E-4</v>
      </c>
      <c r="H3503" s="25">
        <v>7.6489999999999994E-5</v>
      </c>
      <c r="I3503" s="9">
        <v>1.145E-4</v>
      </c>
      <c r="J3503" s="9">
        <v>1.2142E-4</v>
      </c>
      <c r="K3503" s="9">
        <v>0</v>
      </c>
      <c r="L3503" s="9">
        <v>1.3996000000000001E-4</v>
      </c>
      <c r="M3503" s="9">
        <v>1.2744000000000001E-4</v>
      </c>
      <c r="N3503" s="9">
        <v>1.3051999999999999E-4</v>
      </c>
      <c r="O3503" s="9">
        <v>1.4138000000000001E-4</v>
      </c>
      <c r="P3503" s="9">
        <v>1.2480999999999999E-4</v>
      </c>
      <c r="Q3503" s="9">
        <v>1.0802999999999999E-4</v>
      </c>
      <c r="R3503" s="10">
        <v>1.3594094715769649E-4</v>
      </c>
      <c r="S3503" s="10">
        <v>9.1133357926617879E-5</v>
      </c>
      <c r="T3503" s="10">
        <v>4.4975270855105477E-5</v>
      </c>
      <c r="U3503" s="10">
        <v>9.3380000000000004E-5</v>
      </c>
      <c r="V3503" s="25"/>
      <c r="W3503" s="25"/>
      <c r="X3503" s="25"/>
      <c r="Y3503" s="25"/>
      <c r="Z3503" s="25"/>
      <c r="AA3503" s="25"/>
    </row>
    <row r="3504" spans="1:27" x14ac:dyDescent="0.35">
      <c r="A3504" s="5">
        <v>3500</v>
      </c>
      <c r="B3504" s="5">
        <v>146</v>
      </c>
      <c r="C3504" s="5">
        <v>5</v>
      </c>
      <c r="D3504" s="25">
        <v>1.1415000000000001E-4</v>
      </c>
      <c r="E3504" s="25">
        <v>1.1519999999999999E-4</v>
      </c>
      <c r="F3504" s="25">
        <v>1.2303999999999999E-4</v>
      </c>
      <c r="G3504" s="25">
        <v>1.041E-4</v>
      </c>
      <c r="H3504" s="25">
        <v>7.9599999999999997E-5</v>
      </c>
      <c r="I3504" s="9">
        <v>1.1328999999999999E-4</v>
      </c>
      <c r="J3504" s="9">
        <v>1.1815999999999999E-4</v>
      </c>
      <c r="K3504" s="9">
        <v>0</v>
      </c>
      <c r="L3504" s="9">
        <v>1.4102E-4</v>
      </c>
      <c r="M3504" s="9">
        <v>1.2658999999999999E-4</v>
      </c>
      <c r="N3504" s="9">
        <v>1.2155999999999999E-4</v>
      </c>
      <c r="O3504" s="9">
        <v>1.4173000000000001E-4</v>
      </c>
      <c r="P3504" s="9">
        <v>1.2162E-4</v>
      </c>
      <c r="Q3504" s="9">
        <v>1.0132999999999999E-4</v>
      </c>
      <c r="R3504" s="10">
        <v>1.0028548418912784E-4</v>
      </c>
      <c r="S3504" s="10">
        <v>8.4491595581804606E-5</v>
      </c>
      <c r="T3504" s="10">
        <v>0</v>
      </c>
      <c r="U3504" s="10">
        <v>9.3380000000000004E-5</v>
      </c>
      <c r="V3504" s="25"/>
      <c r="W3504" s="25"/>
      <c r="X3504" s="25"/>
      <c r="Y3504" s="25"/>
      <c r="Z3504" s="25"/>
      <c r="AA3504" s="25"/>
    </row>
    <row r="3505" spans="1:27" x14ac:dyDescent="0.35">
      <c r="A3505" s="5">
        <v>3501</v>
      </c>
      <c r="B3505" s="5">
        <v>146</v>
      </c>
      <c r="C3505" s="5">
        <v>5</v>
      </c>
      <c r="D3505" s="25">
        <v>1.1416E-4</v>
      </c>
      <c r="E3505" s="25">
        <v>1.1471E-4</v>
      </c>
      <c r="F3505" s="25">
        <v>1.0562E-4</v>
      </c>
      <c r="G3505" s="25">
        <v>5.9530000000000001E-5</v>
      </c>
      <c r="H3505" s="25">
        <v>4.2769999999999999E-5</v>
      </c>
      <c r="I3505" s="9">
        <v>1.1182E-4</v>
      </c>
      <c r="J3505" s="9">
        <v>1.1592E-4</v>
      </c>
      <c r="K3505" s="9">
        <v>0</v>
      </c>
      <c r="L3505" s="9">
        <v>1.4159E-4</v>
      </c>
      <c r="M3505" s="9">
        <v>1.2459999999999999E-4</v>
      </c>
      <c r="N3505" s="9">
        <v>1.1364E-4</v>
      </c>
      <c r="O3505" s="9">
        <v>8.5179999999999994E-5</v>
      </c>
      <c r="P3505" s="9">
        <v>8.7189999999999997E-5</v>
      </c>
      <c r="Q3505" s="9">
        <v>8.9209999999999995E-5</v>
      </c>
      <c r="R3505" s="10">
        <v>7.3447633283083474E-5</v>
      </c>
      <c r="S3505" s="10">
        <v>7.5262272060530258E-5</v>
      </c>
      <c r="T3505" s="10">
        <v>0</v>
      </c>
      <c r="U3505" s="10">
        <v>9.3380000000000004E-5</v>
      </c>
      <c r="V3505" s="25"/>
      <c r="W3505" s="25"/>
      <c r="X3505" s="25"/>
      <c r="Y3505" s="25"/>
      <c r="Z3505" s="25"/>
      <c r="AA3505" s="25"/>
    </row>
    <row r="3506" spans="1:27" x14ac:dyDescent="0.35">
      <c r="A3506" s="5">
        <v>3502</v>
      </c>
      <c r="B3506" s="5">
        <v>146</v>
      </c>
      <c r="C3506" s="5">
        <v>5</v>
      </c>
      <c r="D3506" s="25">
        <v>1.1415000000000001E-4</v>
      </c>
      <c r="E3506" s="25">
        <v>1.0834E-4</v>
      </c>
      <c r="F3506" s="25">
        <v>1.1977E-4</v>
      </c>
      <c r="G3506" s="25">
        <v>6.0279999999999999E-5</v>
      </c>
      <c r="H3506" s="25">
        <v>4.0110000000000001E-5</v>
      </c>
      <c r="I3506" s="9">
        <v>1.1548999999999999E-4</v>
      </c>
      <c r="J3506" s="9">
        <v>1.1400000000000001E-4</v>
      </c>
      <c r="K3506" s="9">
        <v>0</v>
      </c>
      <c r="L3506" s="9">
        <v>9.7590000000000006E-5</v>
      </c>
      <c r="M3506" s="9">
        <v>1.1056E-4</v>
      </c>
      <c r="N3506" s="9">
        <v>1.0615000000000001E-4</v>
      </c>
      <c r="O3506" s="9">
        <v>8.6890000000000003E-5</v>
      </c>
      <c r="P3506" s="9">
        <v>8.7529999999999997E-5</v>
      </c>
      <c r="Q3506" s="9">
        <v>8.8179999999999999E-5</v>
      </c>
      <c r="R3506" s="10">
        <v>5.7756162785000615E-5</v>
      </c>
      <c r="S3506" s="10">
        <v>6.8449054504592864E-5</v>
      </c>
      <c r="T3506" s="10">
        <v>0</v>
      </c>
      <c r="U3506" s="10">
        <v>9.3380000000000004E-5</v>
      </c>
      <c r="V3506" s="25"/>
      <c r="W3506" s="25"/>
      <c r="X3506" s="25"/>
      <c r="Y3506" s="25"/>
      <c r="Z3506" s="25"/>
      <c r="AA3506" s="25"/>
    </row>
    <row r="3507" spans="1:27" x14ac:dyDescent="0.35">
      <c r="A3507" s="5">
        <v>3503</v>
      </c>
      <c r="B3507" s="5">
        <v>146</v>
      </c>
      <c r="C3507" s="5">
        <v>5</v>
      </c>
      <c r="D3507" s="25">
        <v>1.1416E-4</v>
      </c>
      <c r="E3507" s="25">
        <v>1.0652E-4</v>
      </c>
      <c r="F3507" s="25">
        <v>1.2147E-4</v>
      </c>
      <c r="G3507" s="25">
        <v>6.2290000000000002E-5</v>
      </c>
      <c r="H3507" s="25">
        <v>4.3980000000000002E-5</v>
      </c>
      <c r="I3507" s="9">
        <v>1.1078000000000001E-4</v>
      </c>
      <c r="J3507" s="9">
        <v>1.0757E-4</v>
      </c>
      <c r="K3507" s="9">
        <v>2.756E-5</v>
      </c>
      <c r="L3507" s="9">
        <v>9.0470000000000006E-5</v>
      </c>
      <c r="M3507" s="9">
        <v>9.8510000000000004E-5</v>
      </c>
      <c r="N3507" s="9">
        <v>1.0021E-4</v>
      </c>
      <c r="O3507" s="9">
        <v>8.4969999999999995E-5</v>
      </c>
      <c r="P3507" s="9">
        <v>7.6100000000000007E-5</v>
      </c>
      <c r="Q3507" s="9">
        <v>6.7409999999999993E-5</v>
      </c>
      <c r="R3507" s="10">
        <v>4.5228944026594168E-5</v>
      </c>
      <c r="S3507" s="10">
        <v>5.9782448907276292E-5</v>
      </c>
      <c r="T3507" s="10">
        <v>0</v>
      </c>
      <c r="U3507" s="10">
        <v>9.3380000000000004E-5</v>
      </c>
      <c r="V3507" s="25"/>
      <c r="W3507" s="25"/>
      <c r="X3507" s="25"/>
      <c r="Y3507" s="25"/>
      <c r="Z3507" s="25"/>
      <c r="AA3507" s="25"/>
    </row>
    <row r="3508" spans="1:27" x14ac:dyDescent="0.35">
      <c r="A3508" s="5">
        <v>3504</v>
      </c>
      <c r="B3508" s="5">
        <v>146</v>
      </c>
      <c r="C3508" s="5">
        <v>5</v>
      </c>
      <c r="D3508" s="25">
        <v>1.1415000000000001E-4</v>
      </c>
      <c r="E3508" s="25">
        <v>1.0567E-4</v>
      </c>
      <c r="F3508" s="25">
        <v>1.0700999999999999E-4</v>
      </c>
      <c r="G3508" s="25">
        <v>5.3779999999999997E-5</v>
      </c>
      <c r="H3508" s="25">
        <v>3.8090000000000003E-5</v>
      </c>
      <c r="I3508" s="9">
        <v>1.0263E-4</v>
      </c>
      <c r="J3508" s="9">
        <v>9.9690000000000003E-5</v>
      </c>
      <c r="K3508" s="9">
        <v>4.6619999999999997E-5</v>
      </c>
      <c r="L3508" s="9">
        <v>8.6399999999999999E-5</v>
      </c>
      <c r="M3508" s="9">
        <v>8.7620000000000005E-5</v>
      </c>
      <c r="N3508" s="9">
        <v>9.0929999999999998E-5</v>
      </c>
      <c r="O3508" s="9">
        <v>7.9729999999999997E-5</v>
      </c>
      <c r="P3508" s="9">
        <v>6.9469999999999997E-5</v>
      </c>
      <c r="Q3508" s="9">
        <v>5.9469999999999998E-5</v>
      </c>
      <c r="R3508" s="10">
        <v>3.3629183722735673E-5</v>
      </c>
      <c r="S3508" s="10">
        <v>6.1671524539725104E-5</v>
      </c>
      <c r="T3508" s="10">
        <v>0</v>
      </c>
      <c r="U3508" s="10">
        <v>9.3380000000000004E-5</v>
      </c>
      <c r="V3508" s="25"/>
      <c r="W3508" s="25"/>
      <c r="X3508" s="25"/>
      <c r="Y3508" s="25"/>
      <c r="Z3508" s="25"/>
      <c r="AA3508" s="25"/>
    </row>
    <row r="3509" spans="1:27" x14ac:dyDescent="0.35">
      <c r="A3509" s="5">
        <v>3505</v>
      </c>
      <c r="B3509" s="5">
        <v>147</v>
      </c>
      <c r="C3509" s="5">
        <v>5</v>
      </c>
      <c r="D3509" s="25">
        <v>1.1416E-4</v>
      </c>
      <c r="E3509" s="25">
        <v>1.1941E-4</v>
      </c>
      <c r="F3509" s="25">
        <v>1.1895E-4</v>
      </c>
      <c r="G3509" s="25">
        <v>6.0859999999999997E-5</v>
      </c>
      <c r="H3509" s="25">
        <v>1.3020000000000001E-5</v>
      </c>
      <c r="I3509" s="9">
        <v>9.6979999999999996E-5</v>
      </c>
      <c r="J3509" s="9">
        <v>9.4569999999999997E-5</v>
      </c>
      <c r="K3509" s="9">
        <v>6.3579999999999998E-5</v>
      </c>
      <c r="L3509" s="9">
        <v>8.0980000000000001E-5</v>
      </c>
      <c r="M3509" s="9">
        <v>7.8629999999999998E-5</v>
      </c>
      <c r="N3509" s="9">
        <v>8.1550000000000004E-5</v>
      </c>
      <c r="O3509" s="9">
        <v>6.8009999999999994E-5</v>
      </c>
      <c r="P3509" s="9">
        <v>6.0560000000000003E-5</v>
      </c>
      <c r="Q3509" s="9">
        <v>5.3409999999999999E-5</v>
      </c>
      <c r="R3509" s="10">
        <v>4.1851133694562246E-5</v>
      </c>
      <c r="S3509" s="10">
        <v>6.9734033443739945E-5</v>
      </c>
      <c r="T3509" s="10">
        <v>0</v>
      </c>
      <c r="U3509" s="10">
        <v>9.3120000000000003E-5</v>
      </c>
      <c r="V3509" s="25"/>
      <c r="W3509" s="25"/>
      <c r="X3509" s="25"/>
      <c r="Y3509" s="25"/>
      <c r="Z3509" s="25"/>
      <c r="AA3509" s="25"/>
    </row>
    <row r="3510" spans="1:27" x14ac:dyDescent="0.35">
      <c r="A3510" s="5">
        <v>3506</v>
      </c>
      <c r="B3510" s="5">
        <v>147</v>
      </c>
      <c r="C3510" s="5">
        <v>5</v>
      </c>
      <c r="D3510" s="25">
        <v>1.1415000000000001E-4</v>
      </c>
      <c r="E3510" s="25">
        <v>1.1464E-4</v>
      </c>
      <c r="F3510" s="25">
        <v>1.2039E-4</v>
      </c>
      <c r="G3510" s="25">
        <v>5.2500000000000002E-5</v>
      </c>
      <c r="H3510" s="25">
        <v>1.4620000000000001E-5</v>
      </c>
      <c r="I3510" s="9">
        <v>9.3460000000000003E-5</v>
      </c>
      <c r="J3510" s="9">
        <v>9.2009999999999995E-5</v>
      </c>
      <c r="K3510" s="9">
        <v>6.9939999999999998E-5</v>
      </c>
      <c r="L3510" s="9">
        <v>7.1000000000000005E-5</v>
      </c>
      <c r="M3510" s="9">
        <v>7.0019999999999997E-5</v>
      </c>
      <c r="N3510" s="9">
        <v>7.237E-5</v>
      </c>
      <c r="O3510" s="9">
        <v>3.5660000000000001E-5</v>
      </c>
      <c r="P3510" s="9">
        <v>4.5630000000000002E-5</v>
      </c>
      <c r="Q3510" s="9">
        <v>5.592E-5</v>
      </c>
      <c r="R3510" s="10">
        <v>4.686967781336599E-5</v>
      </c>
      <c r="S3510" s="10">
        <v>7.821171574783745E-5</v>
      </c>
      <c r="T3510" s="10">
        <v>0</v>
      </c>
      <c r="U3510" s="10">
        <v>9.3120000000000003E-5</v>
      </c>
      <c r="V3510" s="25"/>
      <c r="W3510" s="25"/>
      <c r="X3510" s="25"/>
      <c r="Y3510" s="25"/>
      <c r="Z3510" s="25"/>
      <c r="AA3510" s="25"/>
    </row>
    <row r="3511" spans="1:27" x14ac:dyDescent="0.35">
      <c r="A3511" s="5">
        <v>3507</v>
      </c>
      <c r="B3511" s="5">
        <v>147</v>
      </c>
      <c r="C3511" s="5">
        <v>5</v>
      </c>
      <c r="D3511" s="25">
        <v>1.1416E-4</v>
      </c>
      <c r="E3511" s="25">
        <v>1.1998999999999999E-4</v>
      </c>
      <c r="F3511" s="25">
        <v>1.2523999999999999E-4</v>
      </c>
      <c r="G3511" s="25">
        <v>6.3330000000000005E-5</v>
      </c>
      <c r="H3511" s="25">
        <v>1.562E-5</v>
      </c>
      <c r="I3511" s="9">
        <v>9.2429999999999994E-5</v>
      </c>
      <c r="J3511" s="9">
        <v>9.0849999999999999E-5</v>
      </c>
      <c r="K3511" s="9">
        <v>8.4770000000000003E-5</v>
      </c>
      <c r="L3511" s="9">
        <v>4.3699999999999998E-5</v>
      </c>
      <c r="M3511" s="9">
        <v>5.9200000000000002E-5</v>
      </c>
      <c r="N3511" s="9">
        <v>6.5660000000000005E-5</v>
      </c>
      <c r="O3511" s="9">
        <v>2.3010000000000002E-5</v>
      </c>
      <c r="P3511" s="9">
        <v>4.227E-5</v>
      </c>
      <c r="Q3511" s="9">
        <v>6.1829999999999996E-5</v>
      </c>
      <c r="R3511" s="10">
        <v>5.264611809148771E-5</v>
      </c>
      <c r="S3511" s="10">
        <v>7.3822903509626449E-5</v>
      </c>
      <c r="T3511" s="10">
        <v>0</v>
      </c>
      <c r="U3511" s="10">
        <v>9.3120000000000003E-5</v>
      </c>
      <c r="V3511" s="25"/>
      <c r="W3511" s="25"/>
      <c r="X3511" s="25"/>
      <c r="Y3511" s="25"/>
      <c r="Z3511" s="25"/>
      <c r="AA3511" s="25"/>
    </row>
    <row r="3512" spans="1:27" x14ac:dyDescent="0.35">
      <c r="A3512" s="5">
        <v>3508</v>
      </c>
      <c r="B3512" s="5">
        <v>147</v>
      </c>
      <c r="C3512" s="5">
        <v>5</v>
      </c>
      <c r="D3512" s="25">
        <v>1.1415000000000001E-4</v>
      </c>
      <c r="E3512" s="25">
        <v>1.1561E-4</v>
      </c>
      <c r="F3512" s="25">
        <v>1.1317E-4</v>
      </c>
      <c r="G3512" s="25">
        <v>5.9370000000000002E-5</v>
      </c>
      <c r="H3512" s="25">
        <v>1.4759999999999999E-5</v>
      </c>
      <c r="I3512" s="9">
        <v>9.2700000000000004E-5</v>
      </c>
      <c r="J3512" s="9">
        <v>9.1440000000000005E-5</v>
      </c>
      <c r="K3512" s="9">
        <v>8.6899999999999998E-5</v>
      </c>
      <c r="L3512" s="9">
        <v>2.8289999999999998E-5</v>
      </c>
      <c r="M3512" s="9">
        <v>5.0500000000000001E-5</v>
      </c>
      <c r="N3512" s="9">
        <v>6.2080000000000002E-5</v>
      </c>
      <c r="O3512" s="9">
        <v>2.2169999999999999E-5</v>
      </c>
      <c r="P3512" s="9">
        <v>5.079E-5</v>
      </c>
      <c r="Q3512" s="9">
        <v>7.9560000000000004E-5</v>
      </c>
      <c r="R3512" s="10">
        <v>5.5191579570961685E-5</v>
      </c>
      <c r="S3512" s="10">
        <v>5.9602273622909401E-5</v>
      </c>
      <c r="T3512" s="10">
        <v>0</v>
      </c>
      <c r="U3512" s="10">
        <v>9.3120000000000003E-5</v>
      </c>
      <c r="V3512" s="25"/>
      <c r="W3512" s="25"/>
      <c r="X3512" s="25"/>
      <c r="Y3512" s="25"/>
      <c r="Z3512" s="25"/>
      <c r="AA3512" s="25"/>
    </row>
    <row r="3513" spans="1:27" x14ac:dyDescent="0.35">
      <c r="A3513" s="5">
        <v>3509</v>
      </c>
      <c r="B3513" s="5">
        <v>147</v>
      </c>
      <c r="C3513" s="5">
        <v>5</v>
      </c>
      <c r="D3513" s="25">
        <v>1.1416E-4</v>
      </c>
      <c r="E3513" s="25">
        <v>1.2005E-4</v>
      </c>
      <c r="F3513" s="25">
        <v>1.0449E-4</v>
      </c>
      <c r="G3513" s="25">
        <v>5.4249999999999997E-5</v>
      </c>
      <c r="H3513" s="25">
        <v>1.556E-5</v>
      </c>
      <c r="I3513" s="9">
        <v>9.6269999999999998E-5</v>
      </c>
      <c r="J3513" s="9">
        <v>9.2600000000000001E-5</v>
      </c>
      <c r="K3513" s="9">
        <v>0</v>
      </c>
      <c r="L3513" s="9">
        <v>2.389E-5</v>
      </c>
      <c r="M3513" s="9">
        <v>4.8590000000000001E-5</v>
      </c>
      <c r="N3513" s="9">
        <v>6.4380000000000004E-5</v>
      </c>
      <c r="O3513" s="9">
        <v>2.429E-5</v>
      </c>
      <c r="P3513" s="9">
        <v>5.9020000000000001E-5</v>
      </c>
      <c r="Q3513" s="9">
        <v>9.3800000000000003E-5</v>
      </c>
      <c r="R3513" s="10">
        <v>5.1361500883538298E-5</v>
      </c>
      <c r="S3513" s="10">
        <v>4.1940683526237735E-5</v>
      </c>
      <c r="T3513" s="10">
        <v>2.8676931803481703E-6</v>
      </c>
      <c r="U3513" s="10">
        <v>9.3120000000000003E-5</v>
      </c>
      <c r="V3513" s="25"/>
      <c r="W3513" s="25"/>
      <c r="X3513" s="25"/>
      <c r="Y3513" s="25"/>
      <c r="Z3513" s="25"/>
      <c r="AA3513" s="25"/>
    </row>
    <row r="3514" spans="1:27" x14ac:dyDescent="0.35">
      <c r="A3514" s="5">
        <v>3510</v>
      </c>
      <c r="B3514" s="5">
        <v>147</v>
      </c>
      <c r="C3514" s="5">
        <v>5</v>
      </c>
      <c r="D3514" s="25">
        <v>1.1415000000000001E-4</v>
      </c>
      <c r="E3514" s="25">
        <v>1.1338E-4</v>
      </c>
      <c r="F3514" s="25">
        <v>1.2258000000000001E-4</v>
      </c>
      <c r="G3514" s="25">
        <v>1.111E-4</v>
      </c>
      <c r="H3514" s="25">
        <v>2.7440000000000002E-5</v>
      </c>
      <c r="I3514" s="9">
        <v>1.0454999999999999E-4</v>
      </c>
      <c r="J3514" s="9">
        <v>1.0096E-4</v>
      </c>
      <c r="K3514" s="9">
        <v>0</v>
      </c>
      <c r="L3514" s="9">
        <v>2.4139999999999999E-5</v>
      </c>
      <c r="M3514" s="9">
        <v>5.2200000000000002E-5</v>
      </c>
      <c r="N3514" s="9">
        <v>7.0920000000000005E-5</v>
      </c>
      <c r="O3514" s="9">
        <v>3.0729999999999999E-5</v>
      </c>
      <c r="P3514" s="9">
        <v>6.9410000000000001E-5</v>
      </c>
      <c r="Q3514" s="9">
        <v>1.0802E-4</v>
      </c>
      <c r="R3514" s="10">
        <v>3.9742517064970098E-5</v>
      </c>
      <c r="S3514" s="10">
        <v>2.4487163711428377E-5</v>
      </c>
      <c r="T3514" s="10">
        <v>3.6058272238105702E-5</v>
      </c>
      <c r="U3514" s="10">
        <v>9.3120000000000003E-5</v>
      </c>
      <c r="V3514" s="25"/>
      <c r="W3514" s="25"/>
      <c r="X3514" s="25"/>
      <c r="Y3514" s="25"/>
      <c r="Z3514" s="25"/>
      <c r="AA3514" s="25"/>
    </row>
    <row r="3515" spans="1:27" x14ac:dyDescent="0.35">
      <c r="A3515" s="5">
        <v>3511</v>
      </c>
      <c r="B3515" s="5">
        <v>147</v>
      </c>
      <c r="C3515" s="5">
        <v>5</v>
      </c>
      <c r="D3515" s="25">
        <v>1.1416E-4</v>
      </c>
      <c r="E3515" s="25">
        <v>1.1493E-4</v>
      </c>
      <c r="F3515" s="25">
        <v>1.1569999999999999E-4</v>
      </c>
      <c r="G3515" s="25">
        <v>1.0999E-4</v>
      </c>
      <c r="H3515" s="25">
        <v>2.6679999999999999E-5</v>
      </c>
      <c r="I3515" s="9">
        <v>1.1234999999999999E-4</v>
      </c>
      <c r="J3515" s="9">
        <v>1.1461E-4</v>
      </c>
      <c r="K3515" s="9">
        <v>0</v>
      </c>
      <c r="L3515" s="9">
        <v>2.9179999999999998E-5</v>
      </c>
      <c r="M3515" s="9">
        <v>5.9469999999999998E-5</v>
      </c>
      <c r="N3515" s="9">
        <v>8.0840000000000005E-5</v>
      </c>
      <c r="O3515" s="9">
        <v>4.6990000000000002E-5</v>
      </c>
      <c r="P3515" s="9">
        <v>8.0220000000000001E-5</v>
      </c>
      <c r="Q3515" s="9">
        <v>1.1331E-4</v>
      </c>
      <c r="R3515" s="10">
        <v>3.0347718607487276E-5</v>
      </c>
      <c r="S3515" s="10">
        <v>1.2935195886045E-5</v>
      </c>
      <c r="T3515" s="10">
        <v>1.3075153728504634E-4</v>
      </c>
      <c r="U3515" s="10">
        <v>9.3120000000000003E-5</v>
      </c>
      <c r="V3515" s="25"/>
      <c r="W3515" s="25"/>
      <c r="X3515" s="25"/>
      <c r="Y3515" s="25"/>
      <c r="Z3515" s="25"/>
      <c r="AA3515" s="25"/>
    </row>
    <row r="3516" spans="1:27" x14ac:dyDescent="0.35">
      <c r="A3516" s="5">
        <v>3512</v>
      </c>
      <c r="B3516" s="5">
        <v>147</v>
      </c>
      <c r="C3516" s="5">
        <v>5</v>
      </c>
      <c r="D3516" s="25">
        <v>1.1415000000000001E-4</v>
      </c>
      <c r="E3516" s="25">
        <v>1.1909E-4</v>
      </c>
      <c r="F3516" s="25">
        <v>1.1097E-4</v>
      </c>
      <c r="G3516" s="25">
        <v>1.5631999999999999E-4</v>
      </c>
      <c r="H3516" s="25">
        <v>4.0609999999999999E-5</v>
      </c>
      <c r="I3516" s="9">
        <v>1.1396E-4</v>
      </c>
      <c r="J3516" s="9">
        <v>1.2441000000000001E-4</v>
      </c>
      <c r="K3516" s="9">
        <v>0</v>
      </c>
      <c r="L3516" s="9">
        <v>4.2920000000000002E-5</v>
      </c>
      <c r="M3516" s="9">
        <v>6.8780000000000002E-5</v>
      </c>
      <c r="N3516" s="9">
        <v>9.1139999999999998E-5</v>
      </c>
      <c r="O3516" s="9">
        <v>6.8280000000000004E-5</v>
      </c>
      <c r="P3516" s="9">
        <v>1.0268E-4</v>
      </c>
      <c r="Q3516" s="9">
        <v>1.3673E-4</v>
      </c>
      <c r="R3516" s="10">
        <v>2.0390830912769345E-5</v>
      </c>
      <c r="S3516" s="10">
        <v>9.4675705894717395E-6</v>
      </c>
      <c r="T3516" s="10">
        <v>2.7193876277076793E-4</v>
      </c>
      <c r="U3516" s="10">
        <v>9.3120000000000003E-5</v>
      </c>
      <c r="V3516" s="25"/>
      <c r="W3516" s="25"/>
      <c r="X3516" s="25"/>
      <c r="Y3516" s="25"/>
      <c r="Z3516" s="25"/>
      <c r="AA3516" s="25"/>
    </row>
    <row r="3517" spans="1:27" x14ac:dyDescent="0.35">
      <c r="A3517" s="5">
        <v>3513</v>
      </c>
      <c r="B3517" s="5">
        <v>147</v>
      </c>
      <c r="C3517" s="5">
        <v>5</v>
      </c>
      <c r="D3517" s="25">
        <v>1.1416E-4</v>
      </c>
      <c r="E3517" s="25">
        <v>1.1616999999999999E-4</v>
      </c>
      <c r="F3517" s="25">
        <v>1.2568E-4</v>
      </c>
      <c r="G3517" s="25">
        <v>1.6279000000000001E-4</v>
      </c>
      <c r="H3517" s="25">
        <v>3.968E-5</v>
      </c>
      <c r="I3517" s="9">
        <v>1.1294E-4</v>
      </c>
      <c r="J3517" s="9">
        <v>1.2784999999999999E-4</v>
      </c>
      <c r="K3517" s="9">
        <v>0</v>
      </c>
      <c r="L3517" s="9">
        <v>6.2329999999999994E-5</v>
      </c>
      <c r="M3517" s="9">
        <v>8.3289999999999997E-5</v>
      </c>
      <c r="N3517" s="9">
        <v>1.0488E-4</v>
      </c>
      <c r="O3517" s="9">
        <v>9.9989999999999996E-5</v>
      </c>
      <c r="P3517" s="9">
        <v>1.3943000000000001E-4</v>
      </c>
      <c r="Q3517" s="9">
        <v>1.7814E-4</v>
      </c>
      <c r="R3517" s="10">
        <v>6.8988257294849945E-6</v>
      </c>
      <c r="S3517" s="10">
        <v>9.8706438202519958E-6</v>
      </c>
      <c r="T3517" s="10">
        <v>4.3319135621957666E-4</v>
      </c>
      <c r="U3517" s="10">
        <v>9.3120000000000003E-5</v>
      </c>
      <c r="V3517" s="25"/>
      <c r="W3517" s="25"/>
      <c r="X3517" s="25"/>
      <c r="Y3517" s="25"/>
      <c r="Z3517" s="25"/>
      <c r="AA3517" s="25"/>
    </row>
    <row r="3518" spans="1:27" x14ac:dyDescent="0.35">
      <c r="A3518" s="5">
        <v>3514</v>
      </c>
      <c r="B3518" s="5">
        <v>147</v>
      </c>
      <c r="C3518" s="5">
        <v>5</v>
      </c>
      <c r="D3518" s="25">
        <v>1.1415000000000001E-4</v>
      </c>
      <c r="E3518" s="25">
        <v>1.1801E-4</v>
      </c>
      <c r="F3518" s="25">
        <v>1.1228E-4</v>
      </c>
      <c r="G3518" s="25">
        <v>1.6086E-4</v>
      </c>
      <c r="H3518" s="25">
        <v>4.0429999999999997E-5</v>
      </c>
      <c r="I3518" s="9">
        <v>1.0896E-4</v>
      </c>
      <c r="J3518" s="9">
        <v>1.2693000000000001E-4</v>
      </c>
      <c r="K3518" s="9">
        <v>0</v>
      </c>
      <c r="L3518" s="9">
        <v>9.1199999999999994E-5</v>
      </c>
      <c r="M3518" s="9">
        <v>1.0715E-4</v>
      </c>
      <c r="N3518" s="9">
        <v>1.2516E-4</v>
      </c>
      <c r="O3518" s="9">
        <v>1.2668E-4</v>
      </c>
      <c r="P3518" s="9">
        <v>1.5419000000000001E-4</v>
      </c>
      <c r="Q3518" s="9">
        <v>1.8091E-4</v>
      </c>
      <c r="R3518" s="10">
        <v>4.1561725535126175E-6</v>
      </c>
      <c r="S3518" s="10">
        <v>1.3782506130746016E-5</v>
      </c>
      <c r="T3518" s="10">
        <v>6.6043483001379381E-4</v>
      </c>
      <c r="U3518" s="10">
        <v>9.3120000000000003E-5</v>
      </c>
      <c r="V3518" s="25"/>
      <c r="W3518" s="25"/>
      <c r="X3518" s="25"/>
      <c r="Y3518" s="25"/>
      <c r="Z3518" s="25"/>
      <c r="AA3518" s="25"/>
    </row>
    <row r="3519" spans="1:27" x14ac:dyDescent="0.35">
      <c r="A3519" s="5">
        <v>3515</v>
      </c>
      <c r="B3519" s="5">
        <v>147</v>
      </c>
      <c r="C3519" s="5">
        <v>5</v>
      </c>
      <c r="D3519" s="25">
        <v>1.1416E-4</v>
      </c>
      <c r="E3519" s="25">
        <v>1.1967E-4</v>
      </c>
      <c r="F3519" s="25">
        <v>1.0529E-4</v>
      </c>
      <c r="G3519" s="25">
        <v>1.6427E-4</v>
      </c>
      <c r="H3519" s="25">
        <v>3.9749999999999997E-5</v>
      </c>
      <c r="I3519" s="9">
        <v>1.0843E-4</v>
      </c>
      <c r="J3519" s="9">
        <v>1.2716999999999999E-4</v>
      </c>
      <c r="K3519" s="9">
        <v>0</v>
      </c>
      <c r="L3519" s="9">
        <v>1.1815999999999999E-4</v>
      </c>
      <c r="M3519" s="9">
        <v>1.3012000000000001E-4</v>
      </c>
      <c r="N3519" s="9">
        <v>1.4291E-4</v>
      </c>
      <c r="O3519" s="9">
        <v>1.3683E-4</v>
      </c>
      <c r="P3519" s="9">
        <v>1.5933000000000001E-4</v>
      </c>
      <c r="Q3519" s="9">
        <v>1.8105000000000001E-4</v>
      </c>
      <c r="R3519" s="10">
        <v>8.3843661833470586E-6</v>
      </c>
      <c r="S3519" s="10">
        <v>1.8855257339903738E-5</v>
      </c>
      <c r="T3519" s="10">
        <v>6.4394983637646689E-4</v>
      </c>
      <c r="U3519" s="10">
        <v>9.3120000000000003E-5</v>
      </c>
      <c r="V3519" s="25"/>
      <c r="W3519" s="25"/>
      <c r="X3519" s="25"/>
      <c r="Y3519" s="25"/>
      <c r="Z3519" s="25"/>
      <c r="AA3519" s="25"/>
    </row>
    <row r="3520" spans="1:27" x14ac:dyDescent="0.35">
      <c r="A3520" s="5">
        <v>3516</v>
      </c>
      <c r="B3520" s="5">
        <v>147</v>
      </c>
      <c r="C3520" s="5">
        <v>5</v>
      </c>
      <c r="D3520" s="25">
        <v>1.1415000000000001E-4</v>
      </c>
      <c r="E3520" s="25">
        <v>1.2069E-4</v>
      </c>
      <c r="F3520" s="25">
        <v>1.2297999999999999E-4</v>
      </c>
      <c r="G3520" s="25">
        <v>1.6751E-4</v>
      </c>
      <c r="H3520" s="25">
        <v>4.1619999999999998E-5</v>
      </c>
      <c r="I3520" s="9">
        <v>1.0353000000000001E-4</v>
      </c>
      <c r="J3520" s="9">
        <v>1.26E-4</v>
      </c>
      <c r="K3520" s="9">
        <v>0</v>
      </c>
      <c r="L3520" s="9">
        <v>1.3208999999999999E-4</v>
      </c>
      <c r="M3520" s="9">
        <v>1.4605E-4</v>
      </c>
      <c r="N3520" s="9">
        <v>1.5723000000000001E-4</v>
      </c>
      <c r="O3520" s="9">
        <v>1.3664999999999999E-4</v>
      </c>
      <c r="P3520" s="9">
        <v>1.5553999999999999E-4</v>
      </c>
      <c r="Q3520" s="9">
        <v>1.7369E-4</v>
      </c>
      <c r="R3520" s="10">
        <v>1.7459019075198388E-5</v>
      </c>
      <c r="S3520" s="10">
        <v>1.4145477795946721E-5</v>
      </c>
      <c r="T3520" s="10">
        <v>5.1383462154268127E-4</v>
      </c>
      <c r="U3520" s="10">
        <v>9.3120000000000003E-5</v>
      </c>
      <c r="V3520" s="25"/>
      <c r="W3520" s="25"/>
      <c r="X3520" s="25"/>
      <c r="Y3520" s="25"/>
      <c r="Z3520" s="25"/>
      <c r="AA3520" s="25"/>
    </row>
    <row r="3521" spans="1:27" x14ac:dyDescent="0.35">
      <c r="A3521" s="5">
        <v>3517</v>
      </c>
      <c r="B3521" s="5">
        <v>147</v>
      </c>
      <c r="C3521" s="5">
        <v>5</v>
      </c>
      <c r="D3521" s="25">
        <v>1.1416E-4</v>
      </c>
      <c r="E3521" s="25">
        <v>1.1462E-4</v>
      </c>
      <c r="F3521" s="25">
        <v>1.1333E-4</v>
      </c>
      <c r="G3521" s="25">
        <v>1.5746999999999999E-4</v>
      </c>
      <c r="H3521" s="25">
        <v>3.8970000000000001E-5</v>
      </c>
      <c r="I3521" s="9">
        <v>1.0325E-4</v>
      </c>
      <c r="J3521" s="9">
        <v>1.2673E-4</v>
      </c>
      <c r="K3521" s="9">
        <v>0</v>
      </c>
      <c r="L3521" s="9">
        <v>1.3545000000000001E-4</v>
      </c>
      <c r="M3521" s="9">
        <v>1.5291E-4</v>
      </c>
      <c r="N3521" s="9">
        <v>1.6648999999999999E-4</v>
      </c>
      <c r="O3521" s="9">
        <v>1.2962999999999999E-4</v>
      </c>
      <c r="P3521" s="9">
        <v>1.4934E-4</v>
      </c>
      <c r="Q3521" s="9">
        <v>1.6836999999999999E-4</v>
      </c>
      <c r="R3521" s="10">
        <v>2.8856931019351853E-5</v>
      </c>
      <c r="S3521" s="10">
        <v>1.3189910445865258E-5</v>
      </c>
      <c r="T3521" s="10">
        <v>4.1278661628248381E-4</v>
      </c>
      <c r="U3521" s="10">
        <v>9.3120000000000003E-5</v>
      </c>
      <c r="V3521" s="25"/>
      <c r="W3521" s="25"/>
      <c r="X3521" s="25"/>
      <c r="Y3521" s="25"/>
      <c r="Z3521" s="25"/>
      <c r="AA3521" s="25"/>
    </row>
    <row r="3522" spans="1:27" x14ac:dyDescent="0.35">
      <c r="A3522" s="5">
        <v>3518</v>
      </c>
      <c r="B3522" s="5">
        <v>147</v>
      </c>
      <c r="C3522" s="5">
        <v>5</v>
      </c>
      <c r="D3522" s="25">
        <v>1.1415000000000001E-4</v>
      </c>
      <c r="E3522" s="25">
        <v>1.2082999999999999E-4</v>
      </c>
      <c r="F3522" s="25">
        <v>1.2302E-4</v>
      </c>
      <c r="G3522" s="25">
        <v>1.6609E-4</v>
      </c>
      <c r="H3522" s="25">
        <v>4.1409999999999998E-5</v>
      </c>
      <c r="I3522" s="9">
        <v>1.0378E-4</v>
      </c>
      <c r="J3522" s="9">
        <v>1.2641E-4</v>
      </c>
      <c r="K3522" s="9">
        <v>0</v>
      </c>
      <c r="L3522" s="9">
        <v>1.3098E-4</v>
      </c>
      <c r="M3522" s="9">
        <v>1.5291E-4</v>
      </c>
      <c r="N3522" s="9">
        <v>1.7092E-4</v>
      </c>
      <c r="O3522" s="9">
        <v>1.1127E-4</v>
      </c>
      <c r="P3522" s="9">
        <v>1.3603000000000001E-4</v>
      </c>
      <c r="Q3522" s="9">
        <v>1.6019E-4</v>
      </c>
      <c r="R3522" s="10">
        <v>3.8892237084381844E-5</v>
      </c>
      <c r="S3522" s="10">
        <v>1.3167613093714966E-5</v>
      </c>
      <c r="T3522" s="10">
        <v>2.1663809960653904E-4</v>
      </c>
      <c r="U3522" s="10">
        <v>9.3120000000000003E-5</v>
      </c>
      <c r="V3522" s="25"/>
      <c r="W3522" s="25"/>
      <c r="X3522" s="25"/>
      <c r="Y3522" s="25"/>
      <c r="Z3522" s="25"/>
      <c r="AA3522" s="25"/>
    </row>
    <row r="3523" spans="1:27" x14ac:dyDescent="0.35">
      <c r="A3523" s="5">
        <v>3519</v>
      </c>
      <c r="B3523" s="5">
        <v>147</v>
      </c>
      <c r="C3523" s="5">
        <v>5</v>
      </c>
      <c r="D3523" s="25">
        <v>1.1416E-4</v>
      </c>
      <c r="E3523" s="25">
        <v>1.2095999999999999E-4</v>
      </c>
      <c r="F3523" s="25">
        <v>1.1599000000000001E-4</v>
      </c>
      <c r="G3523" s="25">
        <v>1.6605999999999999E-4</v>
      </c>
      <c r="H3523" s="25">
        <v>4.1430000000000001E-5</v>
      </c>
      <c r="I3523" s="9">
        <v>1.0461E-4</v>
      </c>
      <c r="J3523" s="9">
        <v>1.2564E-4</v>
      </c>
      <c r="K3523" s="9">
        <v>0</v>
      </c>
      <c r="L3523" s="9">
        <v>1.158E-4</v>
      </c>
      <c r="M3523" s="9">
        <v>1.4657E-4</v>
      </c>
      <c r="N3523" s="9">
        <v>1.7019999999999999E-4</v>
      </c>
      <c r="O3523" s="9">
        <v>1.2727999999999999E-4</v>
      </c>
      <c r="P3523" s="9">
        <v>1.4092E-4</v>
      </c>
      <c r="Q3523" s="9">
        <v>1.54E-4</v>
      </c>
      <c r="R3523" s="10">
        <v>4.6653296682189404E-5</v>
      </c>
      <c r="S3523" s="10">
        <v>1.3637214700056467E-5</v>
      </c>
      <c r="T3523" s="10">
        <v>2.3812034556109989E-4</v>
      </c>
      <c r="U3523" s="10">
        <v>9.3120000000000003E-5</v>
      </c>
      <c r="V3523" s="25"/>
      <c r="W3523" s="25"/>
      <c r="X3523" s="25"/>
      <c r="Y3523" s="25"/>
      <c r="Z3523" s="25"/>
      <c r="AA3523" s="25"/>
    </row>
    <row r="3524" spans="1:27" x14ac:dyDescent="0.35">
      <c r="A3524" s="5">
        <v>3520</v>
      </c>
      <c r="B3524" s="5">
        <v>147</v>
      </c>
      <c r="C3524" s="5">
        <v>5</v>
      </c>
      <c r="D3524" s="25">
        <v>1.1415000000000001E-4</v>
      </c>
      <c r="E3524" s="25">
        <v>1.195E-4</v>
      </c>
      <c r="F3524" s="25">
        <v>1.2626E-4</v>
      </c>
      <c r="G3524" s="25">
        <v>1.6735E-4</v>
      </c>
      <c r="H3524" s="25">
        <v>3.9329999999999998E-5</v>
      </c>
      <c r="I3524" s="9">
        <v>1.0754E-4</v>
      </c>
      <c r="J3524" s="9">
        <v>1.2589E-4</v>
      </c>
      <c r="K3524" s="9">
        <v>0</v>
      </c>
      <c r="L3524" s="9">
        <v>1.2519000000000001E-4</v>
      </c>
      <c r="M3524" s="9">
        <v>1.4276E-4</v>
      </c>
      <c r="N3524" s="9">
        <v>1.6658999999999999E-4</v>
      </c>
      <c r="O3524" s="9">
        <v>1.3219999999999999E-4</v>
      </c>
      <c r="P3524" s="9">
        <v>1.2082E-4</v>
      </c>
      <c r="Q3524" s="9">
        <v>1.0922E-4</v>
      </c>
      <c r="R3524" s="10">
        <v>4.6639176057111413E-5</v>
      </c>
      <c r="S3524" s="10">
        <v>1.5529114520080034E-5</v>
      </c>
      <c r="T3524" s="10">
        <v>4.7638492421115221E-4</v>
      </c>
      <c r="U3524" s="10">
        <v>9.3120000000000003E-5</v>
      </c>
      <c r="V3524" s="25"/>
      <c r="W3524" s="25"/>
      <c r="X3524" s="25"/>
      <c r="Y3524" s="25"/>
      <c r="Z3524" s="25"/>
      <c r="AA3524" s="25"/>
    </row>
    <row r="3525" spans="1:27" x14ac:dyDescent="0.35">
      <c r="A3525" s="5">
        <v>3521</v>
      </c>
      <c r="B3525" s="5">
        <v>147</v>
      </c>
      <c r="C3525" s="5">
        <v>5</v>
      </c>
      <c r="D3525" s="25">
        <v>1.1416E-4</v>
      </c>
      <c r="E3525" s="25">
        <v>1.166E-4</v>
      </c>
      <c r="F3525" s="25">
        <v>1.1233E-4</v>
      </c>
      <c r="G3525" s="25">
        <v>1.6273000000000001E-4</v>
      </c>
      <c r="H3525" s="25">
        <v>4.0559999999999998E-5</v>
      </c>
      <c r="I3525" s="9">
        <v>1.1120000000000001E-4</v>
      </c>
      <c r="J3525" s="9">
        <v>1.2595E-4</v>
      </c>
      <c r="K3525" s="9">
        <v>0</v>
      </c>
      <c r="L3525" s="9">
        <v>1.3036999999999999E-4</v>
      </c>
      <c r="M3525" s="9">
        <v>1.3405000000000001E-4</v>
      </c>
      <c r="N3525" s="9">
        <v>1.5265999999999999E-4</v>
      </c>
      <c r="O3525" s="9">
        <v>1.3948000000000001E-4</v>
      </c>
      <c r="P3525" s="9">
        <v>1.2365E-4</v>
      </c>
      <c r="Q3525" s="9">
        <v>1.0762E-4</v>
      </c>
      <c r="R3525" s="10">
        <v>3.897233118922089E-5</v>
      </c>
      <c r="S3525" s="10">
        <v>1.8018334088290218E-5</v>
      </c>
      <c r="T3525" s="10">
        <v>3.2822360465961344E-4</v>
      </c>
      <c r="U3525" s="10">
        <v>9.3120000000000003E-5</v>
      </c>
      <c r="V3525" s="25"/>
      <c r="W3525" s="25"/>
      <c r="X3525" s="25"/>
      <c r="Y3525" s="25"/>
      <c r="Z3525" s="25"/>
      <c r="AA3525" s="25"/>
    </row>
    <row r="3526" spans="1:27" x14ac:dyDescent="0.35">
      <c r="A3526" s="5">
        <v>3522</v>
      </c>
      <c r="B3526" s="5">
        <v>147</v>
      </c>
      <c r="C3526" s="5">
        <v>5</v>
      </c>
      <c r="D3526" s="25">
        <v>1.1415000000000001E-4</v>
      </c>
      <c r="E3526" s="25">
        <v>1.145E-4</v>
      </c>
      <c r="F3526" s="25">
        <v>1.2061999999999999E-4</v>
      </c>
      <c r="G3526" s="25">
        <v>1.6328999999999999E-4</v>
      </c>
      <c r="H3526" s="25">
        <v>3.9230000000000002E-5</v>
      </c>
      <c r="I3526" s="9">
        <v>1.1365E-4</v>
      </c>
      <c r="J3526" s="9">
        <v>1.2203E-4</v>
      </c>
      <c r="K3526" s="9">
        <v>0</v>
      </c>
      <c r="L3526" s="9">
        <v>1.3721E-4</v>
      </c>
      <c r="M3526" s="9">
        <v>1.2808000000000001E-4</v>
      </c>
      <c r="N3526" s="9">
        <v>1.3936999999999999E-4</v>
      </c>
      <c r="O3526" s="9">
        <v>1.406E-4</v>
      </c>
      <c r="P3526" s="9">
        <v>1.2977E-4</v>
      </c>
      <c r="Q3526" s="9">
        <v>1.1864E-4</v>
      </c>
      <c r="R3526" s="10">
        <v>3.6967785131532502E-5</v>
      </c>
      <c r="S3526" s="10">
        <v>1.9674682190952587E-5</v>
      </c>
      <c r="T3526" s="10">
        <v>1.4708381353407068E-4</v>
      </c>
      <c r="U3526" s="10">
        <v>9.3120000000000003E-5</v>
      </c>
      <c r="V3526" s="25"/>
      <c r="W3526" s="25"/>
      <c r="X3526" s="25"/>
      <c r="Y3526" s="25"/>
      <c r="Z3526" s="25"/>
      <c r="AA3526" s="25"/>
    </row>
    <row r="3527" spans="1:27" x14ac:dyDescent="0.35">
      <c r="A3527" s="5">
        <v>3523</v>
      </c>
      <c r="B3527" s="5">
        <v>147</v>
      </c>
      <c r="C3527" s="5">
        <v>5</v>
      </c>
      <c r="D3527" s="25">
        <v>1.1416E-4</v>
      </c>
      <c r="E3527" s="25">
        <v>1.2411E-4</v>
      </c>
      <c r="F3527" s="25">
        <v>1.2396999999999999E-4</v>
      </c>
      <c r="G3527" s="25">
        <v>1.1307999999999999E-4</v>
      </c>
      <c r="H3527" s="25">
        <v>2.866E-5</v>
      </c>
      <c r="I3527" s="9">
        <v>1.1323E-4</v>
      </c>
      <c r="J3527" s="9">
        <v>1.1961E-4</v>
      </c>
      <c r="K3527" s="9">
        <v>0</v>
      </c>
      <c r="L3527" s="9">
        <v>1.3973999999999999E-4</v>
      </c>
      <c r="M3527" s="9">
        <v>1.2732999999999999E-4</v>
      </c>
      <c r="N3527" s="9">
        <v>1.3044E-4</v>
      </c>
      <c r="O3527" s="9">
        <v>1.4056999999999999E-4</v>
      </c>
      <c r="P3527" s="9">
        <v>1.2410000000000001E-4</v>
      </c>
      <c r="Q3527" s="9">
        <v>1.0742E-4</v>
      </c>
      <c r="R3527" s="10">
        <v>3.4010299580794784E-5</v>
      </c>
      <c r="S3527" s="10">
        <v>2.1176154754054533E-5</v>
      </c>
      <c r="T3527" s="10">
        <v>3.9112620004157004E-5</v>
      </c>
      <c r="U3527" s="10">
        <v>9.3120000000000003E-5</v>
      </c>
      <c r="V3527" s="25"/>
      <c r="W3527" s="25"/>
      <c r="X3527" s="25"/>
      <c r="Y3527" s="25"/>
      <c r="Z3527" s="25"/>
      <c r="AA3527" s="25"/>
    </row>
    <row r="3528" spans="1:27" x14ac:dyDescent="0.35">
      <c r="A3528" s="5">
        <v>3524</v>
      </c>
      <c r="B3528" s="5">
        <v>147</v>
      </c>
      <c r="C3528" s="5">
        <v>5</v>
      </c>
      <c r="D3528" s="25">
        <v>1.1415000000000001E-4</v>
      </c>
      <c r="E3528" s="25">
        <v>1.1401E-4</v>
      </c>
      <c r="F3528" s="25">
        <v>1.2484E-4</v>
      </c>
      <c r="G3528" s="25">
        <v>1.1197E-4</v>
      </c>
      <c r="H3528" s="25">
        <v>2.5910000000000001E-5</v>
      </c>
      <c r="I3528" s="9">
        <v>1.1142E-4</v>
      </c>
      <c r="J3528" s="9">
        <v>1.1691E-4</v>
      </c>
      <c r="K3528" s="9">
        <v>0</v>
      </c>
      <c r="L3528" s="9">
        <v>1.4035E-4</v>
      </c>
      <c r="M3528" s="9">
        <v>1.2625000000000001E-4</v>
      </c>
      <c r="N3528" s="9">
        <v>1.2135E-4</v>
      </c>
      <c r="O3528" s="9">
        <v>1.4240999999999999E-4</v>
      </c>
      <c r="P3528" s="9">
        <v>1.2219999999999999E-4</v>
      </c>
      <c r="Q3528" s="9">
        <v>1.0182E-4</v>
      </c>
      <c r="R3528" s="10">
        <v>2.8956171552134537E-5</v>
      </c>
      <c r="S3528" s="10">
        <v>3.2968399679062829E-5</v>
      </c>
      <c r="T3528" s="10">
        <v>5.8541665515983363E-7</v>
      </c>
      <c r="U3528" s="10">
        <v>9.3120000000000003E-5</v>
      </c>
      <c r="V3528" s="25"/>
      <c r="W3528" s="25"/>
      <c r="X3528" s="25"/>
      <c r="Y3528" s="25"/>
      <c r="Z3528" s="25"/>
      <c r="AA3528" s="25"/>
    </row>
    <row r="3529" spans="1:27" x14ac:dyDescent="0.35">
      <c r="A3529" s="5">
        <v>3525</v>
      </c>
      <c r="B3529" s="5">
        <v>147</v>
      </c>
      <c r="C3529" s="5">
        <v>5</v>
      </c>
      <c r="D3529" s="25">
        <v>1.1416E-4</v>
      </c>
      <c r="E3529" s="25">
        <v>1.2205999999999999E-4</v>
      </c>
      <c r="F3529" s="25">
        <v>1.0899E-4</v>
      </c>
      <c r="G3529" s="25">
        <v>6.2869999999999999E-5</v>
      </c>
      <c r="H3529" s="25">
        <v>1.3210000000000001E-5</v>
      </c>
      <c r="I3529" s="9">
        <v>1.1012E-4</v>
      </c>
      <c r="J3529" s="9">
        <v>1.1394E-4</v>
      </c>
      <c r="K3529" s="9">
        <v>0</v>
      </c>
      <c r="L3529" s="9">
        <v>1.4198999999999999E-4</v>
      </c>
      <c r="M3529" s="9">
        <v>1.2453E-4</v>
      </c>
      <c r="N3529" s="9">
        <v>1.1355E-4</v>
      </c>
      <c r="O3529" s="9">
        <v>8.454E-5</v>
      </c>
      <c r="P3529" s="9">
        <v>8.6539999999999995E-5</v>
      </c>
      <c r="Q3529" s="9">
        <v>8.8540000000000003E-5</v>
      </c>
      <c r="R3529" s="10">
        <v>3.0402710248748237E-5</v>
      </c>
      <c r="S3529" s="10">
        <v>4.9453074530549283E-5</v>
      </c>
      <c r="T3529" s="10">
        <v>0</v>
      </c>
      <c r="U3529" s="10">
        <v>9.3120000000000003E-5</v>
      </c>
      <c r="V3529" s="25"/>
      <c r="W3529" s="25"/>
      <c r="X3529" s="25"/>
      <c r="Y3529" s="25"/>
      <c r="Z3529" s="25"/>
      <c r="AA3529" s="25"/>
    </row>
    <row r="3530" spans="1:27" x14ac:dyDescent="0.35">
      <c r="A3530" s="5">
        <v>3526</v>
      </c>
      <c r="B3530" s="5">
        <v>147</v>
      </c>
      <c r="C3530" s="5">
        <v>5</v>
      </c>
      <c r="D3530" s="25">
        <v>1.1415000000000001E-4</v>
      </c>
      <c r="E3530" s="25">
        <v>1.1669E-4</v>
      </c>
      <c r="F3530" s="25">
        <v>1.0932E-4</v>
      </c>
      <c r="G3530" s="25">
        <v>5.9249999999999997E-5</v>
      </c>
      <c r="H3530" s="25">
        <v>1.5760000000000002E-5</v>
      </c>
      <c r="I3530" s="9">
        <v>1.1345000000000001E-4</v>
      </c>
      <c r="J3530" s="9">
        <v>1.1290000000000001E-4</v>
      </c>
      <c r="K3530" s="9">
        <v>0</v>
      </c>
      <c r="L3530" s="9">
        <v>9.7139999999999995E-5</v>
      </c>
      <c r="M3530" s="9">
        <v>1.1035999999999999E-4</v>
      </c>
      <c r="N3530" s="9">
        <v>1.0594000000000001E-4</v>
      </c>
      <c r="O3530" s="9">
        <v>8.7109999999999998E-5</v>
      </c>
      <c r="P3530" s="9">
        <v>8.776E-5</v>
      </c>
      <c r="Q3530" s="9">
        <v>8.8410000000000002E-5</v>
      </c>
      <c r="R3530" s="10">
        <v>3.3692689967815204E-5</v>
      </c>
      <c r="S3530" s="10">
        <v>6.9433233667669223E-5</v>
      </c>
      <c r="T3530" s="10">
        <v>0</v>
      </c>
      <c r="U3530" s="10">
        <v>9.3120000000000003E-5</v>
      </c>
      <c r="V3530" s="25"/>
      <c r="W3530" s="25"/>
      <c r="X3530" s="25"/>
      <c r="Y3530" s="25"/>
      <c r="Z3530" s="25"/>
      <c r="AA3530" s="25"/>
    </row>
    <row r="3531" spans="1:27" x14ac:dyDescent="0.35">
      <c r="A3531" s="5">
        <v>3527</v>
      </c>
      <c r="B3531" s="5">
        <v>147</v>
      </c>
      <c r="C3531" s="5">
        <v>5</v>
      </c>
      <c r="D3531" s="25">
        <v>1.1416E-4</v>
      </c>
      <c r="E3531" s="25">
        <v>1.2437E-4</v>
      </c>
      <c r="F3531" s="25">
        <v>1.2264E-4</v>
      </c>
      <c r="G3531" s="25">
        <v>5.3560000000000002E-5</v>
      </c>
      <c r="H3531" s="25">
        <v>1.5590000000000002E-5</v>
      </c>
      <c r="I3531" s="9">
        <v>1.0942000000000001E-4</v>
      </c>
      <c r="J3531" s="9">
        <v>1.0691E-4</v>
      </c>
      <c r="K3531" s="9">
        <v>0</v>
      </c>
      <c r="L3531" s="9">
        <v>9.056E-5</v>
      </c>
      <c r="M3531" s="9">
        <v>9.8430000000000005E-5</v>
      </c>
      <c r="N3531" s="9">
        <v>1.0008E-4</v>
      </c>
      <c r="O3531" s="9">
        <v>8.5130000000000007E-5</v>
      </c>
      <c r="P3531" s="9">
        <v>7.6249999999999997E-5</v>
      </c>
      <c r="Q3531" s="9">
        <v>6.7539999999999994E-5</v>
      </c>
      <c r="R3531" s="10">
        <v>5.0852997787847524E-5</v>
      </c>
      <c r="S3531" s="10">
        <v>1.0222473545602272E-4</v>
      </c>
      <c r="T3531" s="10">
        <v>0</v>
      </c>
      <c r="U3531" s="10">
        <v>9.3120000000000003E-5</v>
      </c>
      <c r="V3531" s="25"/>
      <c r="W3531" s="25"/>
      <c r="X3531" s="25"/>
      <c r="Y3531" s="25"/>
      <c r="Z3531" s="25"/>
      <c r="AA3531" s="25"/>
    </row>
    <row r="3532" spans="1:27" x14ac:dyDescent="0.35">
      <c r="A3532" s="5">
        <v>3528</v>
      </c>
      <c r="B3532" s="5">
        <v>147</v>
      </c>
      <c r="C3532" s="5">
        <v>5</v>
      </c>
      <c r="D3532" s="25">
        <v>1.1415000000000001E-4</v>
      </c>
      <c r="E3532" s="25">
        <v>1.17E-4</v>
      </c>
      <c r="F3532" s="25">
        <v>1.1078000000000001E-4</v>
      </c>
      <c r="G3532" s="25">
        <v>5.5179999999999997E-5</v>
      </c>
      <c r="H3532" s="25">
        <v>1.3040000000000001E-5</v>
      </c>
      <c r="I3532" s="9">
        <v>1.0131E-4</v>
      </c>
      <c r="J3532" s="9">
        <v>9.9569999999999997E-5</v>
      </c>
      <c r="K3532" s="9">
        <v>0</v>
      </c>
      <c r="L3532" s="9">
        <v>8.6539999999999995E-5</v>
      </c>
      <c r="M3532" s="9">
        <v>8.7650000000000003E-5</v>
      </c>
      <c r="N3532" s="9">
        <v>9.0870000000000002E-5</v>
      </c>
      <c r="O3532" s="9">
        <v>7.9250000000000002E-5</v>
      </c>
      <c r="P3532" s="9">
        <v>6.9060000000000006E-5</v>
      </c>
      <c r="Q3532" s="9">
        <v>5.9110000000000002E-5</v>
      </c>
      <c r="R3532" s="10">
        <v>9.1903901801804216E-5</v>
      </c>
      <c r="S3532" s="10">
        <v>1.4622715776317624E-4</v>
      </c>
      <c r="T3532" s="10">
        <v>0</v>
      </c>
      <c r="U3532" s="10">
        <v>9.3120000000000003E-5</v>
      </c>
      <c r="V3532" s="25"/>
      <c r="W3532" s="25"/>
      <c r="X3532" s="25"/>
      <c r="Y3532" s="25"/>
      <c r="Z3532" s="25"/>
      <c r="AA3532" s="25"/>
    </row>
    <row r="3533" spans="1:27" x14ac:dyDescent="0.35">
      <c r="A3533" s="5">
        <v>3529</v>
      </c>
      <c r="B3533" s="5">
        <v>148</v>
      </c>
      <c r="C3533" s="5">
        <v>5</v>
      </c>
      <c r="D3533" s="25">
        <v>1.1416E-4</v>
      </c>
      <c r="E3533" s="25">
        <v>1.1533E-4</v>
      </c>
      <c r="F3533" s="25">
        <v>1.1033E-4</v>
      </c>
      <c r="G3533" s="25">
        <v>6.2490000000000006E-5</v>
      </c>
      <c r="H3533" s="25">
        <v>7.4259999999999997E-5</v>
      </c>
      <c r="I3533" s="9">
        <v>9.6100000000000005E-5</v>
      </c>
      <c r="J3533" s="9">
        <v>9.4279999999999999E-5</v>
      </c>
      <c r="K3533" s="9">
        <v>0</v>
      </c>
      <c r="L3533" s="9">
        <v>8.0630000000000006E-5</v>
      </c>
      <c r="M3533" s="9">
        <v>7.8529999999999995E-5</v>
      </c>
      <c r="N3533" s="9">
        <v>8.1450000000000001E-5</v>
      </c>
      <c r="O3533" s="9">
        <v>5.4589999999999997E-5</v>
      </c>
      <c r="P3533" s="9">
        <v>5.401E-5</v>
      </c>
      <c r="Q3533" s="9">
        <v>5.3579999999999999E-5</v>
      </c>
      <c r="R3533" s="10">
        <v>1.2464730404159212E-4</v>
      </c>
      <c r="S3533" s="10">
        <v>1.764773403418053E-4</v>
      </c>
      <c r="T3533" s="10">
        <v>0</v>
      </c>
      <c r="U3533" s="10">
        <v>9.1899999999999998E-5</v>
      </c>
      <c r="V3533" s="25"/>
      <c r="W3533" s="25"/>
      <c r="X3533" s="25"/>
      <c r="Y3533" s="25"/>
      <c r="Z3533" s="25"/>
      <c r="AA3533" s="25"/>
    </row>
    <row r="3534" spans="1:27" x14ac:dyDescent="0.35">
      <c r="A3534" s="5">
        <v>3530</v>
      </c>
      <c r="B3534" s="5">
        <v>148</v>
      </c>
      <c r="C3534" s="5">
        <v>5</v>
      </c>
      <c r="D3534" s="25">
        <v>1.1415000000000001E-4</v>
      </c>
      <c r="E3534" s="25">
        <v>1.0709000000000001E-4</v>
      </c>
      <c r="F3534" s="25">
        <v>9.8090000000000004E-5</v>
      </c>
      <c r="G3534" s="25">
        <v>5.401E-5</v>
      </c>
      <c r="H3534" s="25">
        <v>7.0320000000000004E-5</v>
      </c>
      <c r="I3534" s="9">
        <v>9.3090000000000005E-5</v>
      </c>
      <c r="J3534" s="9">
        <v>9.1260000000000004E-5</v>
      </c>
      <c r="K3534" s="9">
        <v>0</v>
      </c>
      <c r="L3534" s="9">
        <v>6.0470000000000002E-5</v>
      </c>
      <c r="M3534" s="9">
        <v>6.7559999999999997E-5</v>
      </c>
      <c r="N3534" s="9">
        <v>7.2319999999999999E-5</v>
      </c>
      <c r="O3534" s="9">
        <v>1.9530000000000001E-5</v>
      </c>
      <c r="P3534" s="9">
        <v>3.7790000000000002E-5</v>
      </c>
      <c r="Q3534" s="9">
        <v>5.6239999999999997E-5</v>
      </c>
      <c r="R3534" s="10">
        <v>1.5952187061489382E-4</v>
      </c>
      <c r="S3534" s="10">
        <v>1.8692387150159799E-4</v>
      </c>
      <c r="T3534" s="10">
        <v>0</v>
      </c>
      <c r="U3534" s="10">
        <v>9.1899999999999998E-5</v>
      </c>
      <c r="V3534" s="25"/>
      <c r="W3534" s="25"/>
      <c r="X3534" s="25"/>
      <c r="Y3534" s="25"/>
      <c r="Z3534" s="25"/>
      <c r="AA3534" s="25"/>
    </row>
    <row r="3535" spans="1:27" x14ac:dyDescent="0.35">
      <c r="A3535" s="5">
        <v>3531</v>
      </c>
      <c r="B3535" s="5">
        <v>148</v>
      </c>
      <c r="C3535" s="5">
        <v>5</v>
      </c>
      <c r="D3535" s="25">
        <v>1.1416E-4</v>
      </c>
      <c r="E3535" s="25">
        <v>1.1213999999999999E-4</v>
      </c>
      <c r="F3535" s="25">
        <v>1.0946E-4</v>
      </c>
      <c r="G3535" s="25">
        <v>5.6820000000000001E-5</v>
      </c>
      <c r="H3535" s="25">
        <v>6.9629999999999996E-5</v>
      </c>
      <c r="I3535" s="9">
        <v>9.2159999999999999E-5</v>
      </c>
      <c r="J3535" s="9">
        <v>9.0179999999999994E-5</v>
      </c>
      <c r="K3535" s="9">
        <v>0</v>
      </c>
      <c r="L3535" s="9">
        <v>2.9090000000000001E-5</v>
      </c>
      <c r="M3535" s="9">
        <v>5.4150000000000002E-5</v>
      </c>
      <c r="N3535" s="9">
        <v>6.5710000000000006E-5</v>
      </c>
      <c r="O3535" s="9">
        <v>1.401E-5</v>
      </c>
      <c r="P3535" s="9">
        <v>3.7450000000000002E-5</v>
      </c>
      <c r="Q3535" s="9">
        <v>6.1050000000000007E-5</v>
      </c>
      <c r="R3535" s="10">
        <v>1.8467518830818044E-4</v>
      </c>
      <c r="S3535" s="10">
        <v>1.898879154065151E-4</v>
      </c>
      <c r="T3535" s="10">
        <v>0</v>
      </c>
      <c r="U3535" s="10">
        <v>9.1899999999999998E-5</v>
      </c>
      <c r="V3535" s="25"/>
      <c r="W3535" s="25"/>
      <c r="X3535" s="25"/>
      <c r="Y3535" s="25"/>
      <c r="Z3535" s="25"/>
      <c r="AA3535" s="25"/>
    </row>
    <row r="3536" spans="1:27" x14ac:dyDescent="0.35">
      <c r="A3536" s="5">
        <v>3532</v>
      </c>
      <c r="B3536" s="5">
        <v>148</v>
      </c>
      <c r="C3536" s="5">
        <v>5</v>
      </c>
      <c r="D3536" s="25">
        <v>1.1415000000000001E-4</v>
      </c>
      <c r="E3536" s="25">
        <v>1.1802E-4</v>
      </c>
      <c r="F3536" s="25">
        <v>1.1856E-4</v>
      </c>
      <c r="G3536" s="25">
        <v>6.1870000000000002E-5</v>
      </c>
      <c r="H3536" s="25">
        <v>7.0220000000000002E-5</v>
      </c>
      <c r="I3536" s="9">
        <v>9.2449999999999997E-5</v>
      </c>
      <c r="J3536" s="9">
        <v>9.0350000000000001E-5</v>
      </c>
      <c r="K3536" s="9">
        <v>0</v>
      </c>
      <c r="L3536" s="9">
        <v>1.8170000000000001E-5</v>
      </c>
      <c r="M3536" s="9">
        <v>4.4910000000000002E-5</v>
      </c>
      <c r="N3536" s="9">
        <v>6.1959999999999996E-5</v>
      </c>
      <c r="O3536" s="9">
        <v>1.4260000000000001E-5</v>
      </c>
      <c r="P3536" s="9">
        <v>4.7649999999999999E-5</v>
      </c>
      <c r="Q3536" s="9">
        <v>8.1039999999999997E-5</v>
      </c>
      <c r="R3536" s="10">
        <v>1.9815691505498082E-4</v>
      </c>
      <c r="S3536" s="10">
        <v>1.9009341842436683E-4</v>
      </c>
      <c r="T3536" s="10">
        <v>0</v>
      </c>
      <c r="U3536" s="10">
        <v>9.1899999999999998E-5</v>
      </c>
      <c r="V3536" s="25"/>
      <c r="W3536" s="25"/>
      <c r="X3536" s="25"/>
      <c r="Y3536" s="25"/>
      <c r="Z3536" s="25"/>
      <c r="AA3536" s="25"/>
    </row>
    <row r="3537" spans="1:27" x14ac:dyDescent="0.35">
      <c r="A3537" s="5">
        <v>3533</v>
      </c>
      <c r="B3537" s="5">
        <v>148</v>
      </c>
      <c r="C3537" s="5">
        <v>5</v>
      </c>
      <c r="D3537" s="25">
        <v>1.1416E-4</v>
      </c>
      <c r="E3537" s="25">
        <v>1.1255E-4</v>
      </c>
      <c r="F3537" s="25">
        <v>1.0799E-4</v>
      </c>
      <c r="G3537" s="25">
        <v>6.2959999999999994E-5</v>
      </c>
      <c r="H3537" s="25">
        <v>7.3570000000000002E-5</v>
      </c>
      <c r="I3537" s="9">
        <v>9.5790000000000003E-5</v>
      </c>
      <c r="J3537" s="9">
        <v>9.1210000000000003E-5</v>
      </c>
      <c r="K3537" s="9">
        <v>0</v>
      </c>
      <c r="L3537" s="9">
        <v>1.5290000000000001E-5</v>
      </c>
      <c r="M3537" s="9">
        <v>4.3850000000000002E-5</v>
      </c>
      <c r="N3537" s="9">
        <v>6.4590000000000003E-5</v>
      </c>
      <c r="O3537" s="9">
        <v>1.9530000000000001E-5</v>
      </c>
      <c r="P3537" s="9">
        <v>5.6690000000000001E-5</v>
      </c>
      <c r="Q3537" s="9">
        <v>9.3739999999999994E-5</v>
      </c>
      <c r="R3537" s="10">
        <v>2.0435745796401944E-4</v>
      </c>
      <c r="S3537" s="10">
        <v>1.8940714457348822E-4</v>
      </c>
      <c r="T3537" s="10">
        <v>8.7473126299969341E-6</v>
      </c>
      <c r="U3537" s="10">
        <v>9.1899999999999998E-5</v>
      </c>
      <c r="V3537" s="25"/>
      <c r="W3537" s="25"/>
      <c r="X3537" s="25"/>
      <c r="Y3537" s="25"/>
      <c r="Z3537" s="25"/>
      <c r="AA3537" s="25"/>
    </row>
    <row r="3538" spans="1:27" x14ac:dyDescent="0.35">
      <c r="A3538" s="5">
        <v>3534</v>
      </c>
      <c r="B3538" s="5">
        <v>148</v>
      </c>
      <c r="C3538" s="5">
        <v>5</v>
      </c>
      <c r="D3538" s="25">
        <v>1.1415000000000001E-4</v>
      </c>
      <c r="E3538" s="25">
        <v>1.1454E-4</v>
      </c>
      <c r="F3538" s="25">
        <v>1.1474E-4</v>
      </c>
      <c r="G3538" s="25">
        <v>1.087E-4</v>
      </c>
      <c r="H3538" s="25">
        <v>1.3213E-4</v>
      </c>
      <c r="I3538" s="9">
        <v>1.0398E-4</v>
      </c>
      <c r="J3538" s="9">
        <v>9.8759999999999996E-5</v>
      </c>
      <c r="K3538" s="9">
        <v>0</v>
      </c>
      <c r="L3538" s="9">
        <v>1.8459999999999999E-5</v>
      </c>
      <c r="M3538" s="9">
        <v>4.8579999999999999E-5</v>
      </c>
      <c r="N3538" s="9">
        <v>7.1130000000000005E-5</v>
      </c>
      <c r="O3538" s="9">
        <v>4.6589999999999999E-5</v>
      </c>
      <c r="P3538" s="9">
        <v>7.7109999999999999E-5</v>
      </c>
      <c r="Q3538" s="9">
        <v>1.0738000000000001E-4</v>
      </c>
      <c r="R3538" s="10">
        <v>2.0279934475809664E-4</v>
      </c>
      <c r="S3538" s="10">
        <v>1.8765691660235925E-4</v>
      </c>
      <c r="T3538" s="10">
        <v>1.2582215936261352E-5</v>
      </c>
      <c r="U3538" s="10">
        <v>9.1899999999999998E-5</v>
      </c>
      <c r="V3538" s="25"/>
      <c r="W3538" s="25"/>
      <c r="X3538" s="25"/>
      <c r="Y3538" s="25"/>
      <c r="Z3538" s="25"/>
      <c r="AA3538" s="25"/>
    </row>
    <row r="3539" spans="1:27" x14ac:dyDescent="0.35">
      <c r="A3539" s="5">
        <v>3535</v>
      </c>
      <c r="B3539" s="5">
        <v>148</v>
      </c>
      <c r="C3539" s="5">
        <v>5</v>
      </c>
      <c r="D3539" s="25">
        <v>1.1416E-4</v>
      </c>
      <c r="E3539" s="25">
        <v>1.1639E-4</v>
      </c>
      <c r="F3539" s="25">
        <v>1.0122E-4</v>
      </c>
      <c r="G3539" s="25">
        <v>1.1409E-4</v>
      </c>
      <c r="H3539" s="25">
        <v>1.3807000000000001E-4</v>
      </c>
      <c r="I3539" s="9">
        <v>1.1341E-4</v>
      </c>
      <c r="J3539" s="9">
        <v>1.1276E-4</v>
      </c>
      <c r="K3539" s="9">
        <v>0</v>
      </c>
      <c r="L3539" s="9">
        <v>4.0269999999999999E-5</v>
      </c>
      <c r="M3539" s="9">
        <v>6.0189999999999998E-5</v>
      </c>
      <c r="N3539" s="9">
        <v>8.0890000000000006E-5</v>
      </c>
      <c r="O3539" s="9">
        <v>1.2292E-4</v>
      </c>
      <c r="P3539" s="9">
        <v>1.1834E-4</v>
      </c>
      <c r="Q3539" s="9">
        <v>1.1336E-4</v>
      </c>
      <c r="R3539" s="10">
        <v>1.886281687023911E-4</v>
      </c>
      <c r="S3539" s="10">
        <v>1.870817943841287E-4</v>
      </c>
      <c r="T3539" s="10">
        <v>3.3716605617466367E-5</v>
      </c>
      <c r="U3539" s="10">
        <v>9.1899999999999998E-5</v>
      </c>
      <c r="V3539" s="25"/>
      <c r="W3539" s="25"/>
      <c r="X3539" s="25"/>
      <c r="Y3539" s="25"/>
      <c r="Z3539" s="25"/>
      <c r="AA3539" s="25"/>
    </row>
    <row r="3540" spans="1:27" x14ac:dyDescent="0.35">
      <c r="A3540" s="5">
        <v>3536</v>
      </c>
      <c r="B3540" s="5">
        <v>148</v>
      </c>
      <c r="C3540" s="5">
        <v>5</v>
      </c>
      <c r="D3540" s="25">
        <v>1.1415000000000001E-4</v>
      </c>
      <c r="E3540" s="25">
        <v>1.1758E-4</v>
      </c>
      <c r="F3540" s="25">
        <v>1.0501E-4</v>
      </c>
      <c r="G3540" s="25">
        <v>1.5791000000000001E-4</v>
      </c>
      <c r="H3540" s="25">
        <v>1.8807000000000001E-4</v>
      </c>
      <c r="I3540" s="9">
        <v>1.1718E-4</v>
      </c>
      <c r="J3540" s="9">
        <v>1.2310000000000001E-4</v>
      </c>
      <c r="K3540" s="9">
        <v>0</v>
      </c>
      <c r="L3540" s="9">
        <v>1.0412999999999999E-4</v>
      </c>
      <c r="M3540" s="9">
        <v>8.4129999999999996E-5</v>
      </c>
      <c r="N3540" s="9">
        <v>9.1160000000000001E-5</v>
      </c>
      <c r="O3540" s="9">
        <v>2.1465000000000001E-4</v>
      </c>
      <c r="P3540" s="9">
        <v>1.7543999999999999E-4</v>
      </c>
      <c r="Q3540" s="9">
        <v>1.3553E-4</v>
      </c>
      <c r="R3540" s="10">
        <v>1.7736453226557152E-4</v>
      </c>
      <c r="S3540" s="10">
        <v>1.8841564033659098E-4</v>
      </c>
      <c r="T3540" s="10">
        <v>6.1731762071636951E-5</v>
      </c>
      <c r="U3540" s="10">
        <v>9.1899999999999998E-5</v>
      </c>
      <c r="V3540" s="25"/>
      <c r="W3540" s="25"/>
      <c r="X3540" s="25"/>
      <c r="Y3540" s="25"/>
      <c r="Z3540" s="25"/>
      <c r="AA3540" s="25"/>
    </row>
    <row r="3541" spans="1:27" x14ac:dyDescent="0.35">
      <c r="A3541" s="5">
        <v>3537</v>
      </c>
      <c r="B3541" s="5">
        <v>148</v>
      </c>
      <c r="C3541" s="5">
        <v>5</v>
      </c>
      <c r="D3541" s="25">
        <v>1.1416E-4</v>
      </c>
      <c r="E3541" s="25">
        <v>1.0865E-4</v>
      </c>
      <c r="F3541" s="25">
        <v>1.022E-4</v>
      </c>
      <c r="G3541" s="25">
        <v>1.6395E-4</v>
      </c>
      <c r="H3541" s="25">
        <v>1.9589E-4</v>
      </c>
      <c r="I3541" s="9">
        <v>1.1703E-4</v>
      </c>
      <c r="J3541" s="9">
        <v>1.2721999999999999E-4</v>
      </c>
      <c r="K3541" s="9">
        <v>0</v>
      </c>
      <c r="L3541" s="9">
        <v>1.8857999999999999E-4</v>
      </c>
      <c r="M3541" s="9">
        <v>1.2320000000000001E-4</v>
      </c>
      <c r="N3541" s="9">
        <v>1.0463000000000001E-4</v>
      </c>
      <c r="O3541" s="9">
        <v>2.0613000000000001E-4</v>
      </c>
      <c r="P3541" s="9">
        <v>1.9106E-4</v>
      </c>
      <c r="Q3541" s="9">
        <v>1.7496999999999999E-4</v>
      </c>
      <c r="R3541" s="10">
        <v>1.8811397732979471E-4</v>
      </c>
      <c r="S3541" s="10">
        <v>1.8925689535869984E-4</v>
      </c>
      <c r="T3541" s="10">
        <v>1.1786388657217984E-4</v>
      </c>
      <c r="U3541" s="10">
        <v>9.1899999999999998E-5</v>
      </c>
      <c r="V3541" s="25"/>
      <c r="W3541" s="25"/>
      <c r="X3541" s="25"/>
      <c r="Y3541" s="25"/>
      <c r="Z3541" s="25"/>
      <c r="AA3541" s="25"/>
    </row>
    <row r="3542" spans="1:27" x14ac:dyDescent="0.35">
      <c r="A3542" s="5">
        <v>3538</v>
      </c>
      <c r="B3542" s="5">
        <v>148</v>
      </c>
      <c r="C3542" s="5">
        <v>5</v>
      </c>
      <c r="D3542" s="25">
        <v>1.1415000000000001E-4</v>
      </c>
      <c r="E3542" s="25">
        <v>1.0872E-4</v>
      </c>
      <c r="F3542" s="25">
        <v>1.2026E-4</v>
      </c>
      <c r="G3542" s="25">
        <v>1.6024999999999999E-4</v>
      </c>
      <c r="H3542" s="25">
        <v>1.9557E-4</v>
      </c>
      <c r="I3542" s="9">
        <v>1.1445E-4</v>
      </c>
      <c r="J3542" s="9">
        <v>1.2772E-4</v>
      </c>
      <c r="K3542" s="9">
        <v>0</v>
      </c>
      <c r="L3542" s="9">
        <v>2.0006000000000001E-4</v>
      </c>
      <c r="M3542" s="9">
        <v>1.5751E-4</v>
      </c>
      <c r="N3542" s="9">
        <v>1.2417999999999999E-4</v>
      </c>
      <c r="O3542" s="9">
        <v>1.6473E-4</v>
      </c>
      <c r="P3542" s="9">
        <v>1.7372000000000001E-4</v>
      </c>
      <c r="Q3542" s="9">
        <v>1.817E-4</v>
      </c>
      <c r="R3542" s="10">
        <v>1.784145365003525E-4</v>
      </c>
      <c r="S3542" s="10">
        <v>1.8763391749242804E-4</v>
      </c>
      <c r="T3542" s="10">
        <v>2.1629024333318317E-4</v>
      </c>
      <c r="U3542" s="10">
        <v>9.1899999999999998E-5</v>
      </c>
      <c r="V3542" s="25"/>
      <c r="W3542" s="25"/>
      <c r="X3542" s="25"/>
      <c r="Y3542" s="25"/>
      <c r="Z3542" s="25"/>
      <c r="AA3542" s="25"/>
    </row>
    <row r="3543" spans="1:27" x14ac:dyDescent="0.35">
      <c r="A3543" s="5">
        <v>3539</v>
      </c>
      <c r="B3543" s="5">
        <v>148</v>
      </c>
      <c r="C3543" s="5">
        <v>5</v>
      </c>
      <c r="D3543" s="25">
        <v>1.1416E-4</v>
      </c>
      <c r="E3543" s="25">
        <v>1.1296E-4</v>
      </c>
      <c r="F3543" s="25">
        <v>1.1088E-4</v>
      </c>
      <c r="G3543" s="25">
        <v>1.6457E-4</v>
      </c>
      <c r="H3543" s="25">
        <v>2.0003999999999999E-4</v>
      </c>
      <c r="I3543" s="9">
        <v>1.1183000000000001E-4</v>
      </c>
      <c r="J3543" s="9">
        <v>1.2760000000000001E-4</v>
      </c>
      <c r="K3543" s="9">
        <v>0</v>
      </c>
      <c r="L3543" s="9">
        <v>1.7259999999999999E-4</v>
      </c>
      <c r="M3543" s="9">
        <v>1.7127000000000001E-4</v>
      </c>
      <c r="N3543" s="9">
        <v>1.4216000000000001E-4</v>
      </c>
      <c r="O3543" s="9">
        <v>1.6610999999999999E-4</v>
      </c>
      <c r="P3543" s="9">
        <v>1.7382000000000001E-4</v>
      </c>
      <c r="Q3543" s="9">
        <v>1.8054E-4</v>
      </c>
      <c r="R3543" s="10">
        <v>1.7568951782237691E-4</v>
      </c>
      <c r="S3543" s="10">
        <v>1.8304581393779019E-4</v>
      </c>
      <c r="T3543" s="10">
        <v>4.4869217113228704E-4</v>
      </c>
      <c r="U3543" s="10">
        <v>9.1899999999999998E-5</v>
      </c>
      <c r="V3543" s="25"/>
      <c r="W3543" s="25"/>
      <c r="X3543" s="25"/>
      <c r="Y3543" s="25"/>
      <c r="Z3543" s="25"/>
      <c r="AA3543" s="25"/>
    </row>
    <row r="3544" spans="1:27" x14ac:dyDescent="0.35">
      <c r="A3544" s="5">
        <v>3540</v>
      </c>
      <c r="B3544" s="5">
        <v>148</v>
      </c>
      <c r="C3544" s="5">
        <v>5</v>
      </c>
      <c r="D3544" s="25">
        <v>1.1415000000000001E-4</v>
      </c>
      <c r="E3544" s="25">
        <v>1.1595E-4</v>
      </c>
      <c r="F3544" s="25">
        <v>1.1487E-4</v>
      </c>
      <c r="G3544" s="25">
        <v>1.6011000000000001E-4</v>
      </c>
      <c r="H3544" s="25">
        <v>1.9553999999999999E-4</v>
      </c>
      <c r="I3544" s="9">
        <v>1.0624999999999999E-4</v>
      </c>
      <c r="J3544" s="9">
        <v>1.2558E-4</v>
      </c>
      <c r="K3544" s="9">
        <v>0</v>
      </c>
      <c r="L3544" s="9">
        <v>1.6888E-4</v>
      </c>
      <c r="M3544" s="9">
        <v>1.7456000000000001E-4</v>
      </c>
      <c r="N3544" s="9">
        <v>1.5647E-4</v>
      </c>
      <c r="O3544" s="9">
        <v>1.6829E-4</v>
      </c>
      <c r="P3544" s="9">
        <v>1.7191E-4</v>
      </c>
      <c r="Q3544" s="9">
        <v>1.7458999999999999E-4</v>
      </c>
      <c r="R3544" s="10">
        <v>1.5124392740950316E-4</v>
      </c>
      <c r="S3544" s="10">
        <v>1.7529868174525958E-4</v>
      </c>
      <c r="T3544" s="10">
        <v>1.3928674243128967E-4</v>
      </c>
      <c r="U3544" s="10">
        <v>9.1899999999999998E-5</v>
      </c>
      <c r="V3544" s="25"/>
      <c r="W3544" s="25"/>
      <c r="X3544" s="25"/>
      <c r="Y3544" s="25"/>
      <c r="Z3544" s="25"/>
      <c r="AA3544" s="25"/>
    </row>
    <row r="3545" spans="1:27" x14ac:dyDescent="0.35">
      <c r="A3545" s="5">
        <v>3541</v>
      </c>
      <c r="B3545" s="5">
        <v>148</v>
      </c>
      <c r="C3545" s="5">
        <v>5</v>
      </c>
      <c r="D3545" s="25">
        <v>1.1416E-4</v>
      </c>
      <c r="E3545" s="25">
        <v>1.1798000000000001E-4</v>
      </c>
      <c r="F3545" s="25">
        <v>1.0836E-4</v>
      </c>
      <c r="G3545" s="25">
        <v>1.6595999999999999E-4</v>
      </c>
      <c r="H3545" s="25">
        <v>1.8672E-4</v>
      </c>
      <c r="I3545" s="9">
        <v>1.0555E-4</v>
      </c>
      <c r="J3545" s="9">
        <v>1.2523999999999999E-4</v>
      </c>
      <c r="K3545" s="9">
        <v>0</v>
      </c>
      <c r="L3545" s="9">
        <v>1.6854000000000001E-4</v>
      </c>
      <c r="M3545" s="9">
        <v>1.7399000000000001E-4</v>
      </c>
      <c r="N3545" s="9">
        <v>1.6606999999999999E-4</v>
      </c>
      <c r="O3545" s="9">
        <v>1.6016000000000001E-4</v>
      </c>
      <c r="P3545" s="9">
        <v>1.6445000000000001E-4</v>
      </c>
      <c r="Q3545" s="9">
        <v>1.6786000000000001E-4</v>
      </c>
      <c r="R3545" s="10">
        <v>1.5813428370988413E-4</v>
      </c>
      <c r="S3545" s="10">
        <v>1.7411951129563612E-4</v>
      </c>
      <c r="T3545" s="10">
        <v>2.1361768903788828E-4</v>
      </c>
      <c r="U3545" s="10">
        <v>9.1899999999999998E-5</v>
      </c>
      <c r="V3545" s="25"/>
      <c r="W3545" s="25"/>
      <c r="X3545" s="25"/>
      <c r="Y3545" s="25"/>
      <c r="Z3545" s="25"/>
      <c r="AA3545" s="25"/>
    </row>
    <row r="3546" spans="1:27" x14ac:dyDescent="0.35">
      <c r="A3546" s="5">
        <v>3542</v>
      </c>
      <c r="B3546" s="5">
        <v>148</v>
      </c>
      <c r="C3546" s="5">
        <v>5</v>
      </c>
      <c r="D3546" s="25">
        <v>1.1415000000000001E-4</v>
      </c>
      <c r="E3546" s="25">
        <v>1.1701000000000001E-4</v>
      </c>
      <c r="F3546" s="25">
        <v>1.0273E-4</v>
      </c>
      <c r="G3546" s="25">
        <v>1.672E-4</v>
      </c>
      <c r="H3546" s="25">
        <v>1.8872E-4</v>
      </c>
      <c r="I3546" s="9">
        <v>1.0566E-4</v>
      </c>
      <c r="J3546" s="9">
        <v>1.2371999999999999E-4</v>
      </c>
      <c r="K3546" s="9">
        <v>0</v>
      </c>
      <c r="L3546" s="9">
        <v>1.6176999999999999E-4</v>
      </c>
      <c r="M3546" s="9">
        <v>1.7034E-4</v>
      </c>
      <c r="N3546" s="9">
        <v>1.7056999999999999E-4</v>
      </c>
      <c r="O3546" s="9">
        <v>1.7641E-4</v>
      </c>
      <c r="P3546" s="9">
        <v>1.6922000000000001E-4</v>
      </c>
      <c r="Q3546" s="9">
        <v>1.6118E-4</v>
      </c>
      <c r="R3546" s="10">
        <v>1.5137420612910789E-4</v>
      </c>
      <c r="S3546" s="10">
        <v>1.6751572403961857E-4</v>
      </c>
      <c r="T3546" s="10">
        <v>1.0026744971998427E-4</v>
      </c>
      <c r="U3546" s="10">
        <v>9.1899999999999998E-5</v>
      </c>
      <c r="V3546" s="25"/>
      <c r="W3546" s="25"/>
      <c r="X3546" s="25"/>
      <c r="Y3546" s="25"/>
      <c r="Z3546" s="25"/>
      <c r="AA3546" s="25"/>
    </row>
    <row r="3547" spans="1:27" x14ac:dyDescent="0.35">
      <c r="A3547" s="5">
        <v>3543</v>
      </c>
      <c r="B3547" s="5">
        <v>148</v>
      </c>
      <c r="C3547" s="5">
        <v>5</v>
      </c>
      <c r="D3547" s="25">
        <v>1.1416E-4</v>
      </c>
      <c r="E3547" s="25">
        <v>1.1661E-4</v>
      </c>
      <c r="F3547" s="25">
        <v>1.1688000000000001E-4</v>
      </c>
      <c r="G3547" s="25">
        <v>1.6689999999999999E-4</v>
      </c>
      <c r="H3547" s="25">
        <v>1.9604999999999999E-4</v>
      </c>
      <c r="I3547" s="9">
        <v>1.0577999999999999E-4</v>
      </c>
      <c r="J3547" s="9">
        <v>1.2194E-4</v>
      </c>
      <c r="K3547" s="9">
        <v>0</v>
      </c>
      <c r="L3547" s="9">
        <v>1.7336000000000001E-4</v>
      </c>
      <c r="M3547" s="9">
        <v>1.6888E-4</v>
      </c>
      <c r="N3547" s="9">
        <v>1.7027000000000001E-4</v>
      </c>
      <c r="O3547" s="9">
        <v>1.8148E-4</v>
      </c>
      <c r="P3547" s="9">
        <v>1.6755000000000001E-4</v>
      </c>
      <c r="Q3547" s="9">
        <v>1.5283000000000001E-4</v>
      </c>
      <c r="R3547" s="10">
        <v>1.5287864742954019E-4</v>
      </c>
      <c r="S3547" s="10">
        <v>1.5782715150103159E-4</v>
      </c>
      <c r="T3547" s="10">
        <v>6.3683150922169739E-4</v>
      </c>
      <c r="U3547" s="10">
        <v>9.1899999999999998E-5</v>
      </c>
      <c r="V3547" s="25"/>
      <c r="W3547" s="25"/>
      <c r="X3547" s="25"/>
      <c r="Y3547" s="25"/>
      <c r="Z3547" s="25"/>
      <c r="AA3547" s="25"/>
    </row>
    <row r="3548" spans="1:27" x14ac:dyDescent="0.35">
      <c r="A3548" s="5">
        <v>3544</v>
      </c>
      <c r="B3548" s="5">
        <v>148</v>
      </c>
      <c r="C3548" s="5">
        <v>5</v>
      </c>
      <c r="D3548" s="25">
        <v>1.1415000000000001E-4</v>
      </c>
      <c r="E3548" s="25">
        <v>1.0788E-4</v>
      </c>
      <c r="F3548" s="25">
        <v>1.1118E-4</v>
      </c>
      <c r="G3548" s="25">
        <v>1.6605999999999999E-4</v>
      </c>
      <c r="H3548" s="25">
        <v>1.9243E-4</v>
      </c>
      <c r="I3548" s="9">
        <v>1.078E-4</v>
      </c>
      <c r="J3548" s="9">
        <v>1.2119E-4</v>
      </c>
      <c r="K3548" s="9">
        <v>0</v>
      </c>
      <c r="L3548" s="9">
        <v>1.7939E-4</v>
      </c>
      <c r="M3548" s="9">
        <v>1.6810999999999999E-4</v>
      </c>
      <c r="N3548" s="9">
        <v>1.6647E-4</v>
      </c>
      <c r="O3548" s="9">
        <v>1.9363E-4</v>
      </c>
      <c r="P3548" s="9">
        <v>1.5164000000000001E-4</v>
      </c>
      <c r="Q3548" s="9">
        <v>1.0917E-4</v>
      </c>
      <c r="R3548" s="10">
        <v>1.5802961274100387E-4</v>
      </c>
      <c r="S3548" s="10">
        <v>1.4171512842050242E-4</v>
      </c>
      <c r="T3548" s="10">
        <v>4.4660503349215196E-4</v>
      </c>
      <c r="U3548" s="10">
        <v>9.1899999999999998E-5</v>
      </c>
      <c r="V3548" s="25"/>
      <c r="W3548" s="25"/>
      <c r="X3548" s="25"/>
      <c r="Y3548" s="25"/>
      <c r="Z3548" s="25"/>
      <c r="AA3548" s="25"/>
    </row>
    <row r="3549" spans="1:27" x14ac:dyDescent="0.35">
      <c r="A3549" s="5">
        <v>3545</v>
      </c>
      <c r="B3549" s="5">
        <v>148</v>
      </c>
      <c r="C3549" s="5">
        <v>5</v>
      </c>
      <c r="D3549" s="25">
        <v>1.1416E-4</v>
      </c>
      <c r="E3549" s="25">
        <v>1.1088E-4</v>
      </c>
      <c r="F3549" s="25">
        <v>1.0708E-4</v>
      </c>
      <c r="G3549" s="25">
        <v>1.5647999999999999E-4</v>
      </c>
      <c r="H3549" s="25">
        <v>1.9343E-4</v>
      </c>
      <c r="I3549" s="9">
        <v>1.1221E-4</v>
      </c>
      <c r="J3549" s="9">
        <v>1.2192E-4</v>
      </c>
      <c r="K3549" s="9">
        <v>0</v>
      </c>
      <c r="L3549" s="9">
        <v>1.9028E-4</v>
      </c>
      <c r="M3549" s="9">
        <v>1.6208999999999999E-4</v>
      </c>
      <c r="N3549" s="9">
        <v>1.5258000000000001E-4</v>
      </c>
      <c r="O3549" s="9">
        <v>2.0971E-4</v>
      </c>
      <c r="P3549" s="9">
        <v>1.5834000000000001E-4</v>
      </c>
      <c r="Q3549" s="9">
        <v>1.0650999999999999E-4</v>
      </c>
      <c r="R3549" s="10">
        <v>1.5517460137284605E-4</v>
      </c>
      <c r="S3549" s="10">
        <v>1.2563598437406745E-4</v>
      </c>
      <c r="T3549" s="10">
        <v>2.6206303832720202E-4</v>
      </c>
      <c r="U3549" s="10">
        <v>9.1899999999999998E-5</v>
      </c>
      <c r="V3549" s="25"/>
      <c r="W3549" s="25"/>
      <c r="X3549" s="25"/>
      <c r="Y3549" s="25"/>
      <c r="Z3549" s="25"/>
      <c r="AA3549" s="25"/>
    </row>
    <row r="3550" spans="1:27" x14ac:dyDescent="0.35">
      <c r="A3550" s="5">
        <v>3546</v>
      </c>
      <c r="B3550" s="5">
        <v>148</v>
      </c>
      <c r="C3550" s="5">
        <v>5</v>
      </c>
      <c r="D3550" s="25">
        <v>1.1415000000000001E-4</v>
      </c>
      <c r="E3550" s="25">
        <v>1.1691E-4</v>
      </c>
      <c r="F3550" s="25">
        <v>1.1018000000000001E-4</v>
      </c>
      <c r="G3550" s="25">
        <v>1.5914999999999999E-4</v>
      </c>
      <c r="H3550" s="25">
        <v>1.9509E-4</v>
      </c>
      <c r="I3550" s="9">
        <v>1.1374000000000001E-4</v>
      </c>
      <c r="J3550" s="9">
        <v>1.1898E-4</v>
      </c>
      <c r="K3550" s="9">
        <v>0</v>
      </c>
      <c r="L3550" s="9">
        <v>2.0521999999999999E-4</v>
      </c>
      <c r="M3550" s="9">
        <v>1.5907000000000001E-4</v>
      </c>
      <c r="N3550" s="9">
        <v>1.3904E-4</v>
      </c>
      <c r="O3550" s="9">
        <v>2.0206999999999999E-4</v>
      </c>
      <c r="P3550" s="9">
        <v>1.6000000000000001E-4</v>
      </c>
      <c r="Q3550" s="9">
        <v>1.1739E-4</v>
      </c>
      <c r="R3550" s="10">
        <v>1.3260352124755707E-4</v>
      </c>
      <c r="S3550" s="10">
        <v>1.1114761777028161E-4</v>
      </c>
      <c r="T3550" s="10">
        <v>1.3782744294306518E-4</v>
      </c>
      <c r="U3550" s="10">
        <v>9.1899999999999998E-5</v>
      </c>
      <c r="V3550" s="25"/>
      <c r="W3550" s="25"/>
      <c r="X3550" s="25"/>
      <c r="Y3550" s="25"/>
      <c r="Z3550" s="25"/>
      <c r="AA3550" s="25"/>
    </row>
    <row r="3551" spans="1:27" x14ac:dyDescent="0.35">
      <c r="A3551" s="5">
        <v>3547</v>
      </c>
      <c r="B3551" s="5">
        <v>148</v>
      </c>
      <c r="C3551" s="5">
        <v>5</v>
      </c>
      <c r="D3551" s="25">
        <v>1.1416E-4</v>
      </c>
      <c r="E3551" s="25">
        <v>1.1781E-4</v>
      </c>
      <c r="F3551" s="25">
        <v>9.9779999999999997E-5</v>
      </c>
      <c r="G3551" s="25">
        <v>1.0649000000000001E-4</v>
      </c>
      <c r="H3551" s="25">
        <v>1.3776000000000001E-4</v>
      </c>
      <c r="I3551" s="9">
        <v>1.1246E-4</v>
      </c>
      <c r="J3551" s="9">
        <v>1.1616E-4</v>
      </c>
      <c r="K3551" s="9">
        <v>0</v>
      </c>
      <c r="L3551" s="9">
        <v>2.0238E-4</v>
      </c>
      <c r="M3551" s="9">
        <v>1.5878999999999999E-4</v>
      </c>
      <c r="N3551" s="9">
        <v>1.2983999999999999E-4</v>
      </c>
      <c r="O3551" s="9">
        <v>1.6097E-4</v>
      </c>
      <c r="P3551" s="9">
        <v>1.3378000000000001E-4</v>
      </c>
      <c r="Q3551" s="9">
        <v>1.0618E-4</v>
      </c>
      <c r="R3551" s="10">
        <v>9.583567059563476E-5</v>
      </c>
      <c r="S3551" s="10">
        <v>1.068851423580255E-4</v>
      </c>
      <c r="T3551" s="10">
        <v>4.3278410985076979E-5</v>
      </c>
      <c r="U3551" s="10">
        <v>9.1899999999999998E-5</v>
      </c>
      <c r="V3551" s="25"/>
      <c r="W3551" s="25"/>
      <c r="X3551" s="25"/>
      <c r="Y3551" s="25"/>
      <c r="Z3551" s="25"/>
      <c r="AA3551" s="25"/>
    </row>
    <row r="3552" spans="1:27" x14ac:dyDescent="0.35">
      <c r="A3552" s="5">
        <v>3548</v>
      </c>
      <c r="B3552" s="5">
        <v>148</v>
      </c>
      <c r="C3552" s="5">
        <v>5</v>
      </c>
      <c r="D3552" s="25">
        <v>1.1415000000000001E-4</v>
      </c>
      <c r="E3552" s="25">
        <v>1.1292E-4</v>
      </c>
      <c r="F3552" s="25">
        <v>1.0291E-4</v>
      </c>
      <c r="G3552" s="25">
        <v>1.0577999999999999E-4</v>
      </c>
      <c r="H3552" s="25">
        <v>1.3684E-4</v>
      </c>
      <c r="I3552" s="9">
        <v>1.106E-4</v>
      </c>
      <c r="J3552" s="9">
        <v>1.1343E-4</v>
      </c>
      <c r="K3552" s="9">
        <v>0</v>
      </c>
      <c r="L3552" s="9">
        <v>1.7023E-4</v>
      </c>
      <c r="M3552" s="9">
        <v>1.4990000000000001E-4</v>
      </c>
      <c r="N3552" s="9">
        <v>1.2051E-4</v>
      </c>
      <c r="O3552" s="9">
        <v>1.2789E-4</v>
      </c>
      <c r="P3552" s="9">
        <v>1.1519999999999999E-4</v>
      </c>
      <c r="Q3552" s="9">
        <v>1.0219E-4</v>
      </c>
      <c r="R3552" s="10">
        <v>5.7696803249728611E-5</v>
      </c>
      <c r="S3552" s="10">
        <v>9.9202922145504491E-5</v>
      </c>
      <c r="T3552" s="10">
        <v>5.9390095450997621E-7</v>
      </c>
      <c r="U3552" s="10">
        <v>9.1899999999999998E-5</v>
      </c>
      <c r="V3552" s="25"/>
      <c r="W3552" s="25"/>
      <c r="X3552" s="25"/>
      <c r="Y3552" s="25"/>
      <c r="Z3552" s="25"/>
      <c r="AA3552" s="25"/>
    </row>
    <row r="3553" spans="1:27" x14ac:dyDescent="0.35">
      <c r="A3553" s="5">
        <v>3549</v>
      </c>
      <c r="B3553" s="5">
        <v>148</v>
      </c>
      <c r="C3553" s="5">
        <v>5</v>
      </c>
      <c r="D3553" s="25">
        <v>1.1416E-4</v>
      </c>
      <c r="E3553" s="25">
        <v>1.1529E-4</v>
      </c>
      <c r="F3553" s="25">
        <v>1.1725E-4</v>
      </c>
      <c r="G3553" s="25">
        <v>5.8739999999999997E-5</v>
      </c>
      <c r="H3553" s="25">
        <v>6.9079999999999996E-5</v>
      </c>
      <c r="I3553" s="9">
        <v>1.0786E-4</v>
      </c>
      <c r="J3553" s="9">
        <v>1.1042E-4</v>
      </c>
      <c r="K3553" s="9">
        <v>0</v>
      </c>
      <c r="L3553" s="9">
        <v>1.3819E-4</v>
      </c>
      <c r="M3553" s="9">
        <v>1.3490999999999999E-4</v>
      </c>
      <c r="N3553" s="9">
        <v>1.1291E-4</v>
      </c>
      <c r="O3553" s="9">
        <v>8.4809999999999996E-5</v>
      </c>
      <c r="P3553" s="9">
        <v>8.6970000000000002E-5</v>
      </c>
      <c r="Q3553" s="9">
        <v>8.899E-5</v>
      </c>
      <c r="R3553" s="10">
        <v>3.5216989255905948E-5</v>
      </c>
      <c r="S3553" s="10">
        <v>1.0178462463690519E-4</v>
      </c>
      <c r="T3553" s="10">
        <v>0</v>
      </c>
      <c r="U3553" s="10">
        <v>9.1899999999999998E-5</v>
      </c>
      <c r="V3553" s="25"/>
      <c r="W3553" s="25"/>
      <c r="X3553" s="25"/>
      <c r="Y3553" s="25"/>
      <c r="Z3553" s="25"/>
      <c r="AA3553" s="25"/>
    </row>
    <row r="3554" spans="1:27" x14ac:dyDescent="0.35">
      <c r="A3554" s="5">
        <v>3550</v>
      </c>
      <c r="B3554" s="5">
        <v>148</v>
      </c>
      <c r="C3554" s="5">
        <v>5</v>
      </c>
      <c r="D3554" s="25">
        <v>1.1415000000000001E-4</v>
      </c>
      <c r="E3554" s="25">
        <v>1.1645E-4</v>
      </c>
      <c r="F3554" s="25">
        <v>1.2039E-4</v>
      </c>
      <c r="G3554" s="25">
        <v>5.6010000000000001E-5</v>
      </c>
      <c r="H3554" s="25">
        <v>6.957E-5</v>
      </c>
      <c r="I3554" s="9">
        <v>1.1061999999999999E-4</v>
      </c>
      <c r="J3554" s="9">
        <v>1.0976000000000001E-4</v>
      </c>
      <c r="K3554" s="9">
        <v>1.272E-5</v>
      </c>
      <c r="L3554" s="9">
        <v>9.7419999999999999E-5</v>
      </c>
      <c r="M3554" s="9">
        <v>1.1381E-4</v>
      </c>
      <c r="N3554" s="9">
        <v>1.0552000000000001E-4</v>
      </c>
      <c r="O3554" s="9">
        <v>8.6310000000000005E-5</v>
      </c>
      <c r="P3554" s="9">
        <v>8.7120000000000006E-5</v>
      </c>
      <c r="Q3554" s="9">
        <v>8.776E-5</v>
      </c>
      <c r="R3554" s="10">
        <v>2.4663082941409221E-5</v>
      </c>
      <c r="S3554" s="10">
        <v>1.0341525159017752E-4</v>
      </c>
      <c r="T3554" s="10">
        <v>0</v>
      </c>
      <c r="U3554" s="10">
        <v>9.1899999999999998E-5</v>
      </c>
      <c r="V3554" s="25"/>
      <c r="W3554" s="25"/>
      <c r="X3554" s="25"/>
      <c r="Y3554" s="25"/>
      <c r="Z3554" s="25"/>
      <c r="AA3554" s="25"/>
    </row>
    <row r="3555" spans="1:27" x14ac:dyDescent="0.35">
      <c r="A3555" s="5">
        <v>3551</v>
      </c>
      <c r="B3555" s="5">
        <v>148</v>
      </c>
      <c r="C3555" s="5">
        <v>5</v>
      </c>
      <c r="D3555" s="25">
        <v>1.1416E-4</v>
      </c>
      <c r="E3555" s="25">
        <v>1.071E-4</v>
      </c>
      <c r="F3555" s="25">
        <v>9.8709999999999995E-5</v>
      </c>
      <c r="G3555" s="25">
        <v>5.7500000000000002E-5</v>
      </c>
      <c r="H3555" s="25">
        <v>7.5240000000000005E-5</v>
      </c>
      <c r="I3555" s="9">
        <v>1.0632E-4</v>
      </c>
      <c r="J3555" s="9">
        <v>1.0531000000000001E-4</v>
      </c>
      <c r="K3555" s="9">
        <v>3.3909999999999999E-5</v>
      </c>
      <c r="L3555" s="9">
        <v>8.9660000000000006E-5</v>
      </c>
      <c r="M3555" s="9">
        <v>9.904E-5</v>
      </c>
      <c r="N3555" s="9">
        <v>9.9679999999999994E-5</v>
      </c>
      <c r="O3555" s="9">
        <v>7.7420000000000001E-5</v>
      </c>
      <c r="P3555" s="9">
        <v>7.2150000000000005E-5</v>
      </c>
      <c r="Q3555" s="9">
        <v>6.69E-5</v>
      </c>
      <c r="R3555" s="10">
        <v>2.3974810316014183E-5</v>
      </c>
      <c r="S3555" s="10">
        <v>1.0639027400753712E-4</v>
      </c>
      <c r="T3555" s="10">
        <v>0</v>
      </c>
      <c r="U3555" s="10">
        <v>9.1899999999999998E-5</v>
      </c>
      <c r="V3555" s="25"/>
      <c r="W3555" s="25"/>
      <c r="X3555" s="25"/>
      <c r="Y3555" s="25"/>
      <c r="Z3555" s="25"/>
      <c r="AA3555" s="25"/>
    </row>
    <row r="3556" spans="1:27" x14ac:dyDescent="0.35">
      <c r="A3556" s="5">
        <v>3552</v>
      </c>
      <c r="B3556" s="5">
        <v>148</v>
      </c>
      <c r="C3556" s="5">
        <v>5</v>
      </c>
      <c r="D3556" s="25">
        <v>1.1415000000000001E-4</v>
      </c>
      <c r="E3556" s="25">
        <v>1.083E-4</v>
      </c>
      <c r="F3556" s="25">
        <v>1.0870999999999999E-4</v>
      </c>
      <c r="G3556" s="25">
        <v>6.2959999999999994E-5</v>
      </c>
      <c r="H3556" s="25">
        <v>7.1799999999999997E-5</v>
      </c>
      <c r="I3556" s="9">
        <v>9.836E-5</v>
      </c>
      <c r="J3556" s="9">
        <v>9.8140000000000006E-5</v>
      </c>
      <c r="K3556" s="9">
        <v>5.9339999999999998E-5</v>
      </c>
      <c r="L3556" s="9">
        <v>8.0140000000000002E-5</v>
      </c>
      <c r="M3556" s="9">
        <v>8.6080000000000003E-5</v>
      </c>
      <c r="N3556" s="9">
        <v>9.0480000000000001E-5</v>
      </c>
      <c r="O3556" s="9">
        <v>6.2589999999999995E-5</v>
      </c>
      <c r="P3556" s="9">
        <v>6.067E-5</v>
      </c>
      <c r="Q3556" s="9">
        <v>5.8850000000000001E-5</v>
      </c>
      <c r="R3556" s="10">
        <v>3.9118095679816697E-5</v>
      </c>
      <c r="S3556" s="10">
        <v>1.141314315467652E-4</v>
      </c>
      <c r="T3556" s="10">
        <v>0</v>
      </c>
      <c r="U3556" s="10">
        <v>9.1899999999999998E-5</v>
      </c>
      <c r="V3556" s="25"/>
      <c r="W3556" s="25"/>
      <c r="X3556" s="25"/>
      <c r="Y3556" s="25"/>
      <c r="Z3556" s="25"/>
      <c r="AA3556" s="25"/>
    </row>
    <row r="3557" spans="1:27" x14ac:dyDescent="0.35">
      <c r="A3557" s="5">
        <v>3553</v>
      </c>
      <c r="B3557" s="5">
        <v>149</v>
      </c>
      <c r="C3557" s="5">
        <v>5</v>
      </c>
      <c r="D3557" s="25">
        <v>1.1416E-4</v>
      </c>
      <c r="E3557" s="25">
        <v>1.0381E-4</v>
      </c>
      <c r="F3557" s="25">
        <v>1.4201E-4</v>
      </c>
      <c r="G3557" s="25">
        <v>5.2750000000000001E-5</v>
      </c>
      <c r="H3557" s="25">
        <v>6.368E-5</v>
      </c>
      <c r="I3557" s="9">
        <v>9.3309999999999999E-5</v>
      </c>
      <c r="J3557" s="9">
        <v>9.2659999999999997E-5</v>
      </c>
      <c r="K3557" s="9">
        <v>8.9010000000000003E-5</v>
      </c>
      <c r="L3557" s="9">
        <v>6.6439999999999994E-5</v>
      </c>
      <c r="M3557" s="9">
        <v>7.3949999999999995E-5</v>
      </c>
      <c r="N3557" s="9">
        <v>8.1130000000000004E-5</v>
      </c>
      <c r="O3557" s="9">
        <v>5.4079999999999997E-5</v>
      </c>
      <c r="P3557" s="9">
        <v>5.3499999999999999E-5</v>
      </c>
      <c r="Q3557" s="9">
        <v>5.308E-5</v>
      </c>
      <c r="R3557" s="10">
        <v>5.5602502243398631E-5</v>
      </c>
      <c r="S3557" s="10">
        <v>1.2297781744227977E-4</v>
      </c>
      <c r="T3557" s="10">
        <v>0</v>
      </c>
      <c r="U3557" s="10">
        <v>9.1379999999999996E-5</v>
      </c>
      <c r="V3557" s="25"/>
      <c r="W3557" s="25"/>
      <c r="X3557" s="25"/>
      <c r="Y3557" s="25"/>
      <c r="Z3557" s="25"/>
      <c r="AA3557" s="25"/>
    </row>
    <row r="3558" spans="1:27" x14ac:dyDescent="0.35">
      <c r="A3558" s="5">
        <v>3554</v>
      </c>
      <c r="B3558" s="5">
        <v>149</v>
      </c>
      <c r="C3558" s="5">
        <v>5</v>
      </c>
      <c r="D3558" s="25">
        <v>1.1415000000000001E-4</v>
      </c>
      <c r="E3558" s="25">
        <v>1.0475E-4</v>
      </c>
      <c r="F3558" s="25">
        <v>1.4103999999999999E-4</v>
      </c>
      <c r="G3558" s="25">
        <v>5.9689999999999999E-5</v>
      </c>
      <c r="H3558" s="25">
        <v>7.5679999999999994E-5</v>
      </c>
      <c r="I3558" s="9">
        <v>8.9850000000000002E-5</v>
      </c>
      <c r="J3558" s="9">
        <v>8.9350000000000003E-5</v>
      </c>
      <c r="K3558" s="9">
        <v>9.3250000000000003E-5</v>
      </c>
      <c r="L3558" s="9">
        <v>5.7170000000000003E-5</v>
      </c>
      <c r="M3558" s="9">
        <v>6.3720000000000007E-5</v>
      </c>
      <c r="N3558" s="9">
        <v>7.1959999999999995E-5</v>
      </c>
      <c r="O3558" s="9">
        <v>1.9470000000000002E-5</v>
      </c>
      <c r="P3558" s="9">
        <v>3.7679999999999998E-5</v>
      </c>
      <c r="Q3558" s="9">
        <v>5.6069999999999997E-5</v>
      </c>
      <c r="R3558" s="10">
        <v>6.3656932979755547E-5</v>
      </c>
      <c r="S3558" s="10">
        <v>1.2472801671208932E-4</v>
      </c>
      <c r="T3558" s="10">
        <v>0</v>
      </c>
      <c r="U3558" s="10">
        <v>9.1379999999999996E-5</v>
      </c>
      <c r="V3558" s="25"/>
      <c r="W3558" s="25"/>
      <c r="X3558" s="25"/>
      <c r="Y3558" s="25"/>
      <c r="Z3558" s="25"/>
      <c r="AA3558" s="25"/>
    </row>
    <row r="3559" spans="1:27" x14ac:dyDescent="0.35">
      <c r="A3559" s="5">
        <v>3555</v>
      </c>
      <c r="B3559" s="5">
        <v>149</v>
      </c>
      <c r="C3559" s="5">
        <v>5</v>
      </c>
      <c r="D3559" s="25">
        <v>1.1416E-4</v>
      </c>
      <c r="E3559" s="25">
        <v>1.1191E-4</v>
      </c>
      <c r="F3559" s="25">
        <v>1.3615E-4</v>
      </c>
      <c r="G3559" s="25">
        <v>5.3369999999999999E-5</v>
      </c>
      <c r="H3559" s="25">
        <v>7.3479999999999994E-5</v>
      </c>
      <c r="I3559" s="9">
        <v>8.7880000000000006E-5</v>
      </c>
      <c r="J3559" s="9">
        <v>8.7709999999999999E-5</v>
      </c>
      <c r="K3559" s="9">
        <v>1.102E-4</v>
      </c>
      <c r="L3559" s="9">
        <v>2.7970000000000002E-5</v>
      </c>
      <c r="M3559" s="9">
        <v>5.1999999999999997E-5</v>
      </c>
      <c r="N3559" s="9">
        <v>6.5370000000000006E-5</v>
      </c>
      <c r="O3559" s="9">
        <v>1.4049999999999999E-5</v>
      </c>
      <c r="P3559" s="9">
        <v>3.7570000000000001E-5</v>
      </c>
      <c r="Q3559" s="9">
        <v>6.1240000000000003E-5</v>
      </c>
      <c r="R3559" s="10">
        <v>6.6408876576577538E-5</v>
      </c>
      <c r="S3559" s="10">
        <v>1.2229900297144742E-4</v>
      </c>
      <c r="T3559" s="10">
        <v>0</v>
      </c>
      <c r="U3559" s="10">
        <v>9.1379999999999996E-5</v>
      </c>
      <c r="V3559" s="25"/>
      <c r="W3559" s="25"/>
      <c r="X3559" s="25"/>
      <c r="Y3559" s="25"/>
      <c r="Z3559" s="25"/>
      <c r="AA3559" s="25"/>
    </row>
    <row r="3560" spans="1:27" x14ac:dyDescent="0.35">
      <c r="A3560" s="5">
        <v>3556</v>
      </c>
      <c r="B3560" s="5">
        <v>149</v>
      </c>
      <c r="C3560" s="5">
        <v>5</v>
      </c>
      <c r="D3560" s="25">
        <v>1.1415000000000001E-4</v>
      </c>
      <c r="E3560" s="25">
        <v>1.0809E-4</v>
      </c>
      <c r="F3560" s="25">
        <v>1.2816999999999999E-4</v>
      </c>
      <c r="G3560" s="25">
        <v>6.1519999999999994E-5</v>
      </c>
      <c r="H3560" s="25">
        <v>7.1160000000000003E-5</v>
      </c>
      <c r="I3560" s="9">
        <v>8.7189999999999997E-5</v>
      </c>
      <c r="J3560" s="9">
        <v>8.6970000000000002E-5</v>
      </c>
      <c r="K3560" s="9">
        <v>1.2504000000000001E-4</v>
      </c>
      <c r="L3560" s="9">
        <v>1.7839999999999999E-5</v>
      </c>
      <c r="M3560" s="9">
        <v>4.401E-5</v>
      </c>
      <c r="N3560" s="9">
        <v>6.1729999999999993E-5</v>
      </c>
      <c r="O3560" s="9">
        <v>1.401E-5</v>
      </c>
      <c r="P3560" s="9">
        <v>4.6820000000000002E-5</v>
      </c>
      <c r="Q3560" s="9">
        <v>7.9629999999999995E-5</v>
      </c>
      <c r="R3560" s="10">
        <v>6.9318718634340637E-5</v>
      </c>
      <c r="S3560" s="10">
        <v>1.126511645373011E-4</v>
      </c>
      <c r="T3560" s="10">
        <v>0</v>
      </c>
      <c r="U3560" s="10">
        <v>9.1379999999999996E-5</v>
      </c>
      <c r="V3560" s="25"/>
      <c r="W3560" s="25"/>
      <c r="X3560" s="25"/>
      <c r="Y3560" s="25"/>
      <c r="Z3560" s="25"/>
      <c r="AA3560" s="25"/>
    </row>
    <row r="3561" spans="1:27" x14ac:dyDescent="0.35">
      <c r="A3561" s="5">
        <v>3557</v>
      </c>
      <c r="B3561" s="5">
        <v>149</v>
      </c>
      <c r="C3561" s="5">
        <v>5</v>
      </c>
      <c r="D3561" s="25">
        <v>1.1416E-4</v>
      </c>
      <c r="E3561" s="25">
        <v>1.0611E-4</v>
      </c>
      <c r="F3561" s="25">
        <v>1.3592000000000001E-4</v>
      </c>
      <c r="G3561" s="25">
        <v>6.084E-5</v>
      </c>
      <c r="H3561" s="25">
        <v>7.0419999999999993E-5</v>
      </c>
      <c r="I3561" s="9">
        <v>8.5439999999999995E-5</v>
      </c>
      <c r="J3561" s="9">
        <v>8.564E-5</v>
      </c>
      <c r="K3561" s="9">
        <v>6.5699999999999998E-5</v>
      </c>
      <c r="L3561" s="9">
        <v>1.509E-5</v>
      </c>
      <c r="M3561" s="9">
        <v>4.3229999999999998E-5</v>
      </c>
      <c r="N3561" s="9">
        <v>6.4120000000000003E-5</v>
      </c>
      <c r="O3561" s="9">
        <v>1.9470000000000002E-5</v>
      </c>
      <c r="P3561" s="9">
        <v>5.6520000000000001E-5</v>
      </c>
      <c r="Q3561" s="9">
        <v>9.3469999999999998E-5</v>
      </c>
      <c r="R3561" s="10">
        <v>7.4100772239260736E-5</v>
      </c>
      <c r="S3561" s="10">
        <v>9.9742876933345365E-5</v>
      </c>
      <c r="T3561" s="10">
        <v>6.2783815191054618E-7</v>
      </c>
      <c r="U3561" s="10">
        <v>9.1379999999999996E-5</v>
      </c>
      <c r="V3561" s="25"/>
      <c r="W3561" s="25"/>
      <c r="X3561" s="25"/>
      <c r="Y3561" s="25"/>
      <c r="Z3561" s="25"/>
      <c r="AA3561" s="25"/>
    </row>
    <row r="3562" spans="1:27" x14ac:dyDescent="0.35">
      <c r="A3562" s="5">
        <v>3558</v>
      </c>
      <c r="B3562" s="5">
        <v>149</v>
      </c>
      <c r="C3562" s="5">
        <v>5</v>
      </c>
      <c r="D3562" s="25">
        <v>1.1415000000000001E-4</v>
      </c>
      <c r="E3562" s="25">
        <v>1.086E-4</v>
      </c>
      <c r="F3562" s="25">
        <v>1.4129E-4</v>
      </c>
      <c r="G3562" s="25">
        <v>1.044E-4</v>
      </c>
      <c r="H3562" s="25">
        <v>1.3736E-4</v>
      </c>
      <c r="I3562" s="9">
        <v>8.7260000000000001E-5</v>
      </c>
      <c r="J3562" s="9">
        <v>8.6910000000000006E-5</v>
      </c>
      <c r="K3562" s="9">
        <v>1.484E-5</v>
      </c>
      <c r="L3562" s="9">
        <v>1.838E-5</v>
      </c>
      <c r="M3562" s="9">
        <v>4.816E-5</v>
      </c>
      <c r="N3562" s="9">
        <v>7.0679999999999994E-5</v>
      </c>
      <c r="O3562" s="9">
        <v>4.6749999999999998E-5</v>
      </c>
      <c r="P3562" s="9">
        <v>7.737E-5</v>
      </c>
      <c r="Q3562" s="9">
        <v>1.0774E-4</v>
      </c>
      <c r="R3562" s="10">
        <v>7.4811844892846047E-5</v>
      </c>
      <c r="S3562" s="10">
        <v>9.3896202421383864E-5</v>
      </c>
      <c r="T3562" s="10">
        <v>5.1991786417673343E-5</v>
      </c>
      <c r="U3562" s="10">
        <v>9.1379999999999996E-5</v>
      </c>
      <c r="V3562" s="25"/>
      <c r="W3562" s="25"/>
      <c r="X3562" s="25"/>
      <c r="Y3562" s="25"/>
      <c r="Z3562" s="25"/>
      <c r="AA3562" s="25"/>
    </row>
    <row r="3563" spans="1:27" x14ac:dyDescent="0.35">
      <c r="A3563" s="5">
        <v>3559</v>
      </c>
      <c r="B3563" s="5">
        <v>149</v>
      </c>
      <c r="C3563" s="5">
        <v>5</v>
      </c>
      <c r="D3563" s="25">
        <v>1.1416E-4</v>
      </c>
      <c r="E3563" s="25">
        <v>1.0365E-4</v>
      </c>
      <c r="F3563" s="25">
        <v>1.2889999999999999E-4</v>
      </c>
      <c r="G3563" s="25">
        <v>1.1061E-4</v>
      </c>
      <c r="H3563" s="25">
        <v>1.3297999999999999E-4</v>
      </c>
      <c r="I3563" s="9">
        <v>9.064E-5</v>
      </c>
      <c r="J3563" s="9">
        <v>9.2830000000000004E-5</v>
      </c>
      <c r="K3563" s="9">
        <v>0</v>
      </c>
      <c r="L3563" s="9">
        <v>4.0370000000000001E-5</v>
      </c>
      <c r="M3563" s="9">
        <v>6.0069999999999999E-5</v>
      </c>
      <c r="N3563" s="9">
        <v>8.0610000000000002E-5</v>
      </c>
      <c r="O3563" s="9">
        <v>1.2087999999999999E-4</v>
      </c>
      <c r="P3563" s="9">
        <v>1.1637E-4</v>
      </c>
      <c r="Q3563" s="9">
        <v>1.1148E-4</v>
      </c>
      <c r="R3563" s="10">
        <v>7.6848031646304426E-5</v>
      </c>
      <c r="S3563" s="10">
        <v>7.5864228242685647E-5</v>
      </c>
      <c r="T3563" s="10">
        <v>9.9817781854426711E-5</v>
      </c>
      <c r="U3563" s="10">
        <v>9.1379999999999996E-5</v>
      </c>
      <c r="V3563" s="25"/>
      <c r="W3563" s="25"/>
      <c r="X3563" s="25"/>
      <c r="Y3563" s="25"/>
      <c r="Z3563" s="25"/>
      <c r="AA3563" s="25"/>
    </row>
    <row r="3564" spans="1:27" x14ac:dyDescent="0.35">
      <c r="A3564" s="5">
        <v>3560</v>
      </c>
      <c r="B3564" s="5">
        <v>149</v>
      </c>
      <c r="C3564" s="5">
        <v>5</v>
      </c>
      <c r="D3564" s="25">
        <v>1.1415000000000001E-4</v>
      </c>
      <c r="E3564" s="25">
        <v>1.0743000000000001E-4</v>
      </c>
      <c r="F3564" s="25">
        <v>1.4062999999999999E-4</v>
      </c>
      <c r="G3564" s="25">
        <v>1.6642999999999999E-4</v>
      </c>
      <c r="H3564" s="25">
        <v>1.8705999999999999E-4</v>
      </c>
      <c r="I3564" s="9">
        <v>9.4350000000000003E-5</v>
      </c>
      <c r="J3564" s="9">
        <v>9.9989999999999996E-5</v>
      </c>
      <c r="K3564" s="9">
        <v>0</v>
      </c>
      <c r="L3564" s="9">
        <v>1.0255E-4</v>
      </c>
      <c r="M3564" s="9">
        <v>8.3419999999999998E-5</v>
      </c>
      <c r="N3564" s="9">
        <v>9.0539999999999997E-5</v>
      </c>
      <c r="O3564" s="9">
        <v>2.1649000000000001E-4</v>
      </c>
      <c r="P3564" s="9">
        <v>1.7694999999999999E-4</v>
      </c>
      <c r="Q3564" s="9">
        <v>1.3668999999999999E-4</v>
      </c>
      <c r="R3564" s="10">
        <v>7.9353965765550564E-5</v>
      </c>
      <c r="S3564" s="10">
        <v>6.5029799996821721E-5</v>
      </c>
      <c r="T3564" s="10">
        <v>2.2275527943799178E-4</v>
      </c>
      <c r="U3564" s="10">
        <v>9.1379999999999996E-5</v>
      </c>
      <c r="V3564" s="25"/>
      <c r="W3564" s="25"/>
      <c r="X3564" s="25"/>
      <c r="Y3564" s="25"/>
      <c r="Z3564" s="25"/>
      <c r="AA3564" s="25"/>
    </row>
    <row r="3565" spans="1:27" x14ac:dyDescent="0.35">
      <c r="A3565" s="5">
        <v>3561</v>
      </c>
      <c r="B3565" s="5">
        <v>149</v>
      </c>
      <c r="C3565" s="5">
        <v>5</v>
      </c>
      <c r="D3565" s="25">
        <v>1.1416E-4</v>
      </c>
      <c r="E3565" s="25">
        <v>1.0935E-4</v>
      </c>
      <c r="F3565" s="25">
        <v>1.4656000000000001E-4</v>
      </c>
      <c r="G3565" s="25">
        <v>1.6426E-4</v>
      </c>
      <c r="H3565" s="25">
        <v>1.9252000000000001E-4</v>
      </c>
      <c r="I3565" s="9">
        <v>9.7330000000000005E-5</v>
      </c>
      <c r="J3565" s="9">
        <v>1.0634E-4</v>
      </c>
      <c r="K3565" s="9">
        <v>0</v>
      </c>
      <c r="L3565" s="9">
        <v>1.8971999999999999E-4</v>
      </c>
      <c r="M3565" s="9">
        <v>1.2311000000000001E-4</v>
      </c>
      <c r="N3565" s="9">
        <v>1.0435E-4</v>
      </c>
      <c r="O3565" s="9">
        <v>2.0770000000000001E-4</v>
      </c>
      <c r="P3565" s="9">
        <v>1.9251000000000001E-4</v>
      </c>
      <c r="Q3565" s="9">
        <v>1.763E-4</v>
      </c>
      <c r="R3565" s="10">
        <v>8.1113933915948151E-5</v>
      </c>
      <c r="S3565" s="10">
        <v>6.3750471509189851E-5</v>
      </c>
      <c r="T3565" s="10">
        <v>3.1799153964334157E-4</v>
      </c>
      <c r="U3565" s="10">
        <v>9.1379999999999996E-5</v>
      </c>
      <c r="V3565" s="25"/>
      <c r="W3565" s="25"/>
      <c r="X3565" s="25"/>
      <c r="Y3565" s="25"/>
      <c r="Z3565" s="25"/>
      <c r="AA3565" s="25"/>
    </row>
    <row r="3566" spans="1:27" x14ac:dyDescent="0.35">
      <c r="A3566" s="5">
        <v>3562</v>
      </c>
      <c r="B3566" s="5">
        <v>149</v>
      </c>
      <c r="C3566" s="5">
        <v>5</v>
      </c>
      <c r="D3566" s="25">
        <v>1.1415000000000001E-4</v>
      </c>
      <c r="E3566" s="25">
        <v>1.0369000000000001E-4</v>
      </c>
      <c r="F3566" s="25">
        <v>1.3150999999999999E-4</v>
      </c>
      <c r="G3566" s="25">
        <v>1.6288000000000001E-4</v>
      </c>
      <c r="H3566" s="25">
        <v>1.9710999999999999E-4</v>
      </c>
      <c r="I3566" s="9">
        <v>9.6840000000000001E-5</v>
      </c>
      <c r="J3566" s="9">
        <v>1.0834E-4</v>
      </c>
      <c r="K3566" s="9">
        <v>0</v>
      </c>
      <c r="L3566" s="9">
        <v>2.0146000000000001E-4</v>
      </c>
      <c r="M3566" s="9">
        <v>1.5815999999999999E-4</v>
      </c>
      <c r="N3566" s="9">
        <v>1.2430000000000001E-4</v>
      </c>
      <c r="O3566" s="9">
        <v>1.6537999999999999E-4</v>
      </c>
      <c r="P3566" s="9">
        <v>1.7441000000000001E-4</v>
      </c>
      <c r="Q3566" s="9">
        <v>1.8243E-4</v>
      </c>
      <c r="R3566" s="10">
        <v>8.5777315642999845E-5</v>
      </c>
      <c r="S3566" s="10">
        <v>6.3375217478667422E-5</v>
      </c>
      <c r="T3566" s="10">
        <v>3.5220023462311612E-4</v>
      </c>
      <c r="U3566" s="10">
        <v>9.1379999999999996E-5</v>
      </c>
      <c r="V3566" s="25"/>
      <c r="W3566" s="25"/>
      <c r="X3566" s="25"/>
      <c r="Y3566" s="25"/>
      <c r="Z3566" s="25"/>
      <c r="AA3566" s="25"/>
    </row>
    <row r="3567" spans="1:27" x14ac:dyDescent="0.35">
      <c r="A3567" s="5">
        <v>3563</v>
      </c>
      <c r="B3567" s="5">
        <v>149</v>
      </c>
      <c r="C3567" s="5">
        <v>5</v>
      </c>
      <c r="D3567" s="25">
        <v>1.1416E-4</v>
      </c>
      <c r="E3567" s="25">
        <v>1.0708E-4</v>
      </c>
      <c r="F3567" s="25">
        <v>1.4236000000000001E-4</v>
      </c>
      <c r="G3567" s="25">
        <v>1.6353E-4</v>
      </c>
      <c r="H3567" s="25">
        <v>1.9155999999999999E-4</v>
      </c>
      <c r="I3567" s="9">
        <v>9.5169999999999999E-5</v>
      </c>
      <c r="J3567" s="9">
        <v>1.0724E-4</v>
      </c>
      <c r="K3567" s="9">
        <v>0</v>
      </c>
      <c r="L3567" s="9">
        <v>1.7338999999999999E-4</v>
      </c>
      <c r="M3567" s="9">
        <v>1.7212999999999999E-4</v>
      </c>
      <c r="N3567" s="9">
        <v>1.4249999999999999E-4</v>
      </c>
      <c r="O3567" s="9">
        <v>1.6378000000000001E-4</v>
      </c>
      <c r="P3567" s="9">
        <v>1.7138E-4</v>
      </c>
      <c r="Q3567" s="9">
        <v>1.7801000000000001E-4</v>
      </c>
      <c r="R3567" s="10">
        <v>1.0322612909453093E-4</v>
      </c>
      <c r="S3567" s="10">
        <v>6.060132834453995E-5</v>
      </c>
      <c r="T3567" s="10">
        <v>3.4205301260034572E-4</v>
      </c>
      <c r="U3567" s="10">
        <v>9.1379999999999996E-5</v>
      </c>
      <c r="V3567" s="25"/>
      <c r="W3567" s="25"/>
      <c r="X3567" s="25"/>
      <c r="Y3567" s="25"/>
      <c r="Z3567" s="25"/>
      <c r="AA3567" s="25"/>
    </row>
    <row r="3568" spans="1:27" x14ac:dyDescent="0.35">
      <c r="A3568" s="5">
        <v>3564</v>
      </c>
      <c r="B3568" s="5">
        <v>149</v>
      </c>
      <c r="C3568" s="5">
        <v>5</v>
      </c>
      <c r="D3568" s="25">
        <v>1.1415000000000001E-4</v>
      </c>
      <c r="E3568" s="25">
        <v>1.072E-4</v>
      </c>
      <c r="F3568" s="25">
        <v>1.2512999999999999E-4</v>
      </c>
      <c r="G3568" s="25">
        <v>1.6307E-4</v>
      </c>
      <c r="H3568" s="25">
        <v>1.9466000000000001E-4</v>
      </c>
      <c r="I3568" s="9">
        <v>9.2020000000000003E-5</v>
      </c>
      <c r="J3568" s="9">
        <v>1.0596E-4</v>
      </c>
      <c r="K3568" s="9">
        <v>0</v>
      </c>
      <c r="L3568" s="9">
        <v>1.6726999999999999E-4</v>
      </c>
      <c r="M3568" s="9">
        <v>1.7425000000000001E-4</v>
      </c>
      <c r="N3568" s="9">
        <v>1.5627999999999999E-4</v>
      </c>
      <c r="O3568" s="9">
        <v>1.6776000000000001E-4</v>
      </c>
      <c r="P3568" s="9">
        <v>1.7138E-4</v>
      </c>
      <c r="Q3568" s="9">
        <v>1.7405E-4</v>
      </c>
      <c r="R3568" s="10">
        <v>1.3978432817099629E-4</v>
      </c>
      <c r="S3568" s="10">
        <v>7.311682935918606E-5</v>
      </c>
      <c r="T3568" s="10">
        <v>3.5962399655449089E-4</v>
      </c>
      <c r="U3568" s="10">
        <v>9.1379999999999996E-5</v>
      </c>
      <c r="V3568" s="25"/>
      <c r="W3568" s="25"/>
      <c r="X3568" s="25"/>
      <c r="Y3568" s="25"/>
      <c r="Z3568" s="25"/>
      <c r="AA3568" s="25"/>
    </row>
    <row r="3569" spans="1:27" x14ac:dyDescent="0.35">
      <c r="A3569" s="5">
        <v>3565</v>
      </c>
      <c r="B3569" s="5">
        <v>149</v>
      </c>
      <c r="C3569" s="5">
        <v>5</v>
      </c>
      <c r="D3569" s="25">
        <v>1.1416E-4</v>
      </c>
      <c r="E3569" s="25">
        <v>1.1157E-4</v>
      </c>
      <c r="F3569" s="25">
        <v>1.4418999999999999E-4</v>
      </c>
      <c r="G3569" s="25">
        <v>1.6409000000000001E-4</v>
      </c>
      <c r="H3569" s="25">
        <v>1.8814999999999999E-4</v>
      </c>
      <c r="I3569" s="9">
        <v>8.831E-5</v>
      </c>
      <c r="J3569" s="9">
        <v>1.0509999999999999E-4</v>
      </c>
      <c r="K3569" s="9">
        <v>0</v>
      </c>
      <c r="L3569" s="9">
        <v>1.6784999999999999E-4</v>
      </c>
      <c r="M3569" s="9">
        <v>1.7326E-4</v>
      </c>
      <c r="N3569" s="9">
        <v>1.6579999999999999E-4</v>
      </c>
      <c r="O3569" s="9">
        <v>1.5877E-4</v>
      </c>
      <c r="P3569" s="9">
        <v>1.6301999999999999E-4</v>
      </c>
      <c r="Q3569" s="9">
        <v>1.6640000000000001E-4</v>
      </c>
      <c r="R3569" s="10">
        <v>1.5896370884736265E-4</v>
      </c>
      <c r="S3569" s="10">
        <v>9.4887188298757691E-5</v>
      </c>
      <c r="T3569" s="10">
        <v>1.9952526781730155E-4</v>
      </c>
      <c r="U3569" s="10">
        <v>9.1379999999999996E-5</v>
      </c>
      <c r="V3569" s="25"/>
      <c r="W3569" s="25"/>
      <c r="X3569" s="25"/>
      <c r="Y3569" s="25"/>
      <c r="Z3569" s="25"/>
      <c r="AA3569" s="25"/>
    </row>
    <row r="3570" spans="1:27" x14ac:dyDescent="0.35">
      <c r="A3570" s="5">
        <v>3566</v>
      </c>
      <c r="B3570" s="5">
        <v>149</v>
      </c>
      <c r="C3570" s="5">
        <v>5</v>
      </c>
      <c r="D3570" s="25">
        <v>1.1415000000000001E-4</v>
      </c>
      <c r="E3570" s="25">
        <v>1.1357999999999999E-4</v>
      </c>
      <c r="F3570" s="25">
        <v>1.2883E-4</v>
      </c>
      <c r="G3570" s="25">
        <v>1.6699999999999999E-4</v>
      </c>
      <c r="H3570" s="25">
        <v>1.9518000000000001E-4</v>
      </c>
      <c r="I3570" s="9">
        <v>8.7650000000000003E-5</v>
      </c>
      <c r="J3570" s="9">
        <v>1.0399E-4</v>
      </c>
      <c r="K3570" s="9">
        <v>0</v>
      </c>
      <c r="L3570" s="9">
        <v>1.605E-4</v>
      </c>
      <c r="M3570" s="9">
        <v>1.693E-4</v>
      </c>
      <c r="N3570" s="9">
        <v>1.6995000000000001E-4</v>
      </c>
      <c r="O3570" s="9">
        <v>1.7652999999999999E-4</v>
      </c>
      <c r="P3570" s="9">
        <v>1.6933000000000001E-4</v>
      </c>
      <c r="Q3570" s="9">
        <v>1.6128E-4</v>
      </c>
      <c r="R3570" s="10">
        <v>1.615446189824877E-4</v>
      </c>
      <c r="S3570" s="10">
        <v>1.1223344808851693E-4</v>
      </c>
      <c r="T3570" s="10">
        <v>5.2008755016373627E-5</v>
      </c>
      <c r="U3570" s="10">
        <v>9.1379999999999996E-5</v>
      </c>
      <c r="V3570" s="25"/>
      <c r="W3570" s="25"/>
      <c r="X3570" s="25"/>
      <c r="Y3570" s="25"/>
      <c r="Z3570" s="25"/>
      <c r="AA3570" s="25"/>
    </row>
    <row r="3571" spans="1:27" x14ac:dyDescent="0.35">
      <c r="A3571" s="5">
        <v>3567</v>
      </c>
      <c r="B3571" s="5">
        <v>149</v>
      </c>
      <c r="C3571" s="5">
        <v>5</v>
      </c>
      <c r="D3571" s="25">
        <v>1.1416E-4</v>
      </c>
      <c r="E3571" s="25">
        <v>1.1184E-4</v>
      </c>
      <c r="F3571" s="25">
        <v>1.3802000000000001E-4</v>
      </c>
      <c r="G3571" s="25">
        <v>1.5677000000000001E-4</v>
      </c>
      <c r="H3571" s="25">
        <v>1.9285999999999999E-4</v>
      </c>
      <c r="I3571" s="9">
        <v>8.8629999999999997E-5</v>
      </c>
      <c r="J3571" s="9">
        <v>1.0298000000000001E-4</v>
      </c>
      <c r="K3571" s="9">
        <v>0</v>
      </c>
      <c r="L3571" s="9">
        <v>1.7317E-4</v>
      </c>
      <c r="M3571" s="9">
        <v>1.6818000000000001E-4</v>
      </c>
      <c r="N3571" s="9">
        <v>1.6966E-4</v>
      </c>
      <c r="O3571" s="9">
        <v>1.8273000000000001E-4</v>
      </c>
      <c r="P3571" s="9">
        <v>1.6871E-4</v>
      </c>
      <c r="Q3571" s="9">
        <v>1.5388000000000001E-4</v>
      </c>
      <c r="R3571" s="10">
        <v>1.7714223730997677E-4</v>
      </c>
      <c r="S3571" s="10">
        <v>1.2415777741716321E-4</v>
      </c>
      <c r="T3571" s="10">
        <v>1.4333375322130769E-4</v>
      </c>
      <c r="U3571" s="10">
        <v>9.1379999999999996E-5</v>
      </c>
      <c r="V3571" s="25"/>
      <c r="W3571" s="25"/>
      <c r="X3571" s="25"/>
      <c r="Y3571" s="25"/>
      <c r="Z3571" s="25"/>
      <c r="AA3571" s="25"/>
    </row>
    <row r="3572" spans="1:27" x14ac:dyDescent="0.35">
      <c r="A3572" s="5">
        <v>3568</v>
      </c>
      <c r="B3572" s="5">
        <v>149</v>
      </c>
      <c r="C3572" s="5">
        <v>5</v>
      </c>
      <c r="D3572" s="25">
        <v>1.1415000000000001E-4</v>
      </c>
      <c r="E3572" s="25">
        <v>1.1322E-4</v>
      </c>
      <c r="F3572" s="25">
        <v>1.4300000000000001E-4</v>
      </c>
      <c r="G3572" s="25">
        <v>1.6746999999999999E-4</v>
      </c>
      <c r="H3572" s="25">
        <v>1.9864000000000001E-4</v>
      </c>
      <c r="I3572" s="9">
        <v>9.0290000000000005E-5</v>
      </c>
      <c r="J3572" s="9">
        <v>1.038E-4</v>
      </c>
      <c r="K3572" s="9">
        <v>0</v>
      </c>
      <c r="L3572" s="9">
        <v>1.8029999999999999E-4</v>
      </c>
      <c r="M3572" s="9">
        <v>1.6818000000000001E-4</v>
      </c>
      <c r="N3572" s="9">
        <v>1.6615E-4</v>
      </c>
      <c r="O3572" s="9">
        <v>1.9346000000000001E-4</v>
      </c>
      <c r="P3572" s="9">
        <v>1.515E-4</v>
      </c>
      <c r="Q3572" s="9">
        <v>1.0907E-4</v>
      </c>
      <c r="R3572" s="10">
        <v>1.8660787139659733E-4</v>
      </c>
      <c r="S3572" s="10">
        <v>1.2141140306447102E-4</v>
      </c>
      <c r="T3572" s="10">
        <v>7.0682697886037315E-5</v>
      </c>
      <c r="U3572" s="10">
        <v>9.1379999999999996E-5</v>
      </c>
      <c r="V3572" s="25"/>
      <c r="W3572" s="25"/>
      <c r="X3572" s="25"/>
      <c r="Y3572" s="25"/>
      <c r="Z3572" s="25"/>
      <c r="AA3572" s="25"/>
    </row>
    <row r="3573" spans="1:27" x14ac:dyDescent="0.35">
      <c r="A3573" s="5">
        <v>3569</v>
      </c>
      <c r="B3573" s="5">
        <v>149</v>
      </c>
      <c r="C3573" s="5">
        <v>5</v>
      </c>
      <c r="D3573" s="25">
        <v>1.1416E-4</v>
      </c>
      <c r="E3573" s="25">
        <v>1.1236E-4</v>
      </c>
      <c r="F3573" s="25">
        <v>1.2695E-4</v>
      </c>
      <c r="G3573" s="25">
        <v>1.6525000000000001E-4</v>
      </c>
      <c r="H3573" s="25">
        <v>1.9435000000000001E-4</v>
      </c>
      <c r="I3573" s="9">
        <v>9.4320000000000005E-5</v>
      </c>
      <c r="J3573" s="9">
        <v>1.0688000000000001E-4</v>
      </c>
      <c r="K3573" s="9">
        <v>0</v>
      </c>
      <c r="L3573" s="9">
        <v>1.9031000000000001E-4</v>
      </c>
      <c r="M3573" s="9">
        <v>1.6228E-4</v>
      </c>
      <c r="N3573" s="9">
        <v>1.5238E-4</v>
      </c>
      <c r="O3573" s="9">
        <v>2.1086E-4</v>
      </c>
      <c r="P3573" s="9">
        <v>1.5920999999999999E-4</v>
      </c>
      <c r="Q3573" s="9">
        <v>1.0709000000000001E-4</v>
      </c>
      <c r="R3573" s="10">
        <v>1.9156890559708368E-4</v>
      </c>
      <c r="S3573" s="10">
        <v>1.1855194607342397E-4</v>
      </c>
      <c r="T3573" s="10">
        <v>6.2283241529396215E-5</v>
      </c>
      <c r="U3573" s="10">
        <v>9.1379999999999996E-5</v>
      </c>
      <c r="V3573" s="25"/>
      <c r="W3573" s="25"/>
      <c r="X3573" s="25"/>
      <c r="Y3573" s="25"/>
      <c r="Z3573" s="25"/>
      <c r="AA3573" s="25"/>
    </row>
    <row r="3574" spans="1:27" x14ac:dyDescent="0.35">
      <c r="A3574" s="5">
        <v>3570</v>
      </c>
      <c r="B3574" s="5">
        <v>149</v>
      </c>
      <c r="C3574" s="5">
        <v>5</v>
      </c>
      <c r="D3574" s="25">
        <v>1.1415000000000001E-4</v>
      </c>
      <c r="E3574" s="25">
        <v>1.1241E-4</v>
      </c>
      <c r="F3574" s="25">
        <v>1.3074000000000001E-4</v>
      </c>
      <c r="G3574" s="25">
        <v>1.6479E-4</v>
      </c>
      <c r="H3574" s="25">
        <v>1.8693E-4</v>
      </c>
      <c r="I3574" s="9">
        <v>9.9069999999999998E-5</v>
      </c>
      <c r="J3574" s="9">
        <v>1.0726999999999999E-4</v>
      </c>
      <c r="K3574" s="9">
        <v>2.1299999999999999E-6</v>
      </c>
      <c r="L3574" s="9">
        <v>2.0615999999999999E-4</v>
      </c>
      <c r="M3574" s="9">
        <v>1.5951999999999999E-4</v>
      </c>
      <c r="N3574" s="9">
        <v>1.3908E-4</v>
      </c>
      <c r="O3574" s="9">
        <v>2.0194000000000001E-4</v>
      </c>
      <c r="P3574" s="9">
        <v>1.5990000000000001E-4</v>
      </c>
      <c r="Q3574" s="9">
        <v>1.1731999999999999E-4</v>
      </c>
      <c r="R3574" s="10">
        <v>1.9287290389669392E-4</v>
      </c>
      <c r="S3574" s="10">
        <v>1.0878958691537378E-4</v>
      </c>
      <c r="T3574" s="10">
        <v>3.2155494537040136E-5</v>
      </c>
      <c r="U3574" s="10">
        <v>9.1379999999999996E-5</v>
      </c>
      <c r="V3574" s="25"/>
      <c r="W3574" s="25"/>
      <c r="X3574" s="25"/>
      <c r="Y3574" s="25"/>
      <c r="Z3574" s="25"/>
      <c r="AA3574" s="25"/>
    </row>
    <row r="3575" spans="1:27" x14ac:dyDescent="0.35">
      <c r="A3575" s="5">
        <v>3571</v>
      </c>
      <c r="B3575" s="5">
        <v>149</v>
      </c>
      <c r="C3575" s="5">
        <v>5</v>
      </c>
      <c r="D3575" s="25">
        <v>1.1416E-4</v>
      </c>
      <c r="E3575" s="25">
        <v>1.1379000000000001E-4</v>
      </c>
      <c r="F3575" s="25">
        <v>1.4704E-4</v>
      </c>
      <c r="G3575" s="25">
        <v>1.0751000000000001E-4</v>
      </c>
      <c r="H3575" s="25">
        <v>1.2990000000000001E-4</v>
      </c>
      <c r="I3575" s="9">
        <v>1.0060000000000001E-4</v>
      </c>
      <c r="J3575" s="9">
        <v>1.0575E-4</v>
      </c>
      <c r="K3575" s="9">
        <v>1.908E-5</v>
      </c>
      <c r="L3575" s="9">
        <v>2.0247E-4</v>
      </c>
      <c r="M3575" s="9">
        <v>1.5909999999999999E-4</v>
      </c>
      <c r="N3575" s="9">
        <v>1.2998E-4</v>
      </c>
      <c r="O3575" s="9">
        <v>1.6305000000000001E-4</v>
      </c>
      <c r="P3575" s="9">
        <v>1.3551000000000001E-4</v>
      </c>
      <c r="Q3575" s="9">
        <v>1.0755E-4</v>
      </c>
      <c r="R3575" s="10">
        <v>2.0337395190305548E-4</v>
      </c>
      <c r="S3575" s="10">
        <v>1.0311971783443308E-4</v>
      </c>
      <c r="T3575" s="10">
        <v>2.6462529673094513E-5</v>
      </c>
      <c r="U3575" s="10">
        <v>9.1379999999999996E-5</v>
      </c>
      <c r="V3575" s="25"/>
      <c r="W3575" s="25"/>
      <c r="X3575" s="25"/>
      <c r="Y3575" s="25"/>
      <c r="Z3575" s="25"/>
      <c r="AA3575" s="25"/>
    </row>
    <row r="3576" spans="1:27" x14ac:dyDescent="0.35">
      <c r="A3576" s="5">
        <v>3572</v>
      </c>
      <c r="B3576" s="5">
        <v>149</v>
      </c>
      <c r="C3576" s="5">
        <v>5</v>
      </c>
      <c r="D3576" s="25">
        <v>1.1415000000000001E-4</v>
      </c>
      <c r="E3576" s="25">
        <v>1.1143E-4</v>
      </c>
      <c r="F3576" s="25">
        <v>1.4668999999999999E-4</v>
      </c>
      <c r="G3576" s="25">
        <v>1.1068E-4</v>
      </c>
      <c r="H3576" s="25">
        <v>1.2994999999999999E-4</v>
      </c>
      <c r="I3576" s="9">
        <v>9.9630000000000007E-5</v>
      </c>
      <c r="J3576" s="9">
        <v>1.0442000000000001E-4</v>
      </c>
      <c r="K3576" s="9">
        <v>3.6029999999999999E-5</v>
      </c>
      <c r="L3576" s="9">
        <v>1.7189000000000001E-4</v>
      </c>
      <c r="M3576" s="9">
        <v>1.5066999999999999E-4</v>
      </c>
      <c r="N3576" s="9">
        <v>1.2097E-4</v>
      </c>
      <c r="O3576" s="9">
        <v>1.2714000000000001E-4</v>
      </c>
      <c r="P3576" s="9">
        <v>1.1451999999999999E-4</v>
      </c>
      <c r="Q3576" s="9">
        <v>1.0158999999999999E-4</v>
      </c>
      <c r="R3576" s="10">
        <v>2.1153522537846188E-4</v>
      </c>
      <c r="S3576" s="10">
        <v>1.017596981370497E-4</v>
      </c>
      <c r="T3576" s="10">
        <v>2.4604468115413298E-7</v>
      </c>
      <c r="U3576" s="10">
        <v>9.1379999999999996E-5</v>
      </c>
      <c r="V3576" s="25"/>
      <c r="W3576" s="25"/>
      <c r="X3576" s="25"/>
      <c r="Y3576" s="25"/>
      <c r="Z3576" s="25"/>
      <c r="AA3576" s="25"/>
    </row>
    <row r="3577" spans="1:27" x14ac:dyDescent="0.35">
      <c r="A3577" s="5">
        <v>3573</v>
      </c>
      <c r="B3577" s="5">
        <v>149</v>
      </c>
      <c r="C3577" s="5">
        <v>5</v>
      </c>
      <c r="D3577" s="25">
        <v>1.1416E-4</v>
      </c>
      <c r="E3577" s="25">
        <v>1.0322E-4</v>
      </c>
      <c r="F3577" s="25">
        <v>1.4501E-4</v>
      </c>
      <c r="G3577" s="25">
        <v>5.4119999999999997E-5</v>
      </c>
      <c r="H3577" s="25">
        <v>7.5049999999999995E-5</v>
      </c>
      <c r="I3577" s="9">
        <v>9.9419999999999993E-5</v>
      </c>
      <c r="J3577" s="9">
        <v>1.0247E-4</v>
      </c>
      <c r="K3577" s="9">
        <v>8.0539999999999998E-5</v>
      </c>
      <c r="L3577" s="9">
        <v>1.3794E-4</v>
      </c>
      <c r="M3577" s="9">
        <v>1.3530000000000001E-4</v>
      </c>
      <c r="N3577" s="9">
        <v>1.1319000000000001E-4</v>
      </c>
      <c r="O3577" s="9">
        <v>8.3990000000000001E-5</v>
      </c>
      <c r="P3577" s="9">
        <v>8.6139999999999999E-5</v>
      </c>
      <c r="Q3577" s="9">
        <v>8.8129999999999998E-5</v>
      </c>
      <c r="R3577" s="10">
        <v>2.1180622629439E-4</v>
      </c>
      <c r="S3577" s="10">
        <v>1.1466368379480093E-4</v>
      </c>
      <c r="T3577" s="10">
        <v>0</v>
      </c>
      <c r="U3577" s="10">
        <v>9.1379999999999996E-5</v>
      </c>
      <c r="V3577" s="25"/>
      <c r="W3577" s="25"/>
      <c r="X3577" s="25"/>
      <c r="Y3577" s="25"/>
      <c r="Z3577" s="25"/>
      <c r="AA3577" s="25"/>
    </row>
    <row r="3578" spans="1:27" x14ac:dyDescent="0.35">
      <c r="A3578" s="5">
        <v>3574</v>
      </c>
      <c r="B3578" s="5">
        <v>149</v>
      </c>
      <c r="C3578" s="5">
        <v>5</v>
      </c>
      <c r="D3578" s="25">
        <v>1.1415000000000001E-4</v>
      </c>
      <c r="E3578" s="25">
        <v>1.0465E-4</v>
      </c>
      <c r="F3578" s="25">
        <v>1.4186E-4</v>
      </c>
      <c r="G3578" s="25">
        <v>6.2210000000000002E-5</v>
      </c>
      <c r="H3578" s="25">
        <v>6.7929999999999995E-5</v>
      </c>
      <c r="I3578" s="9">
        <v>1.0249E-4</v>
      </c>
      <c r="J3578" s="9">
        <v>1.0349999999999999E-4</v>
      </c>
      <c r="K3578" s="9">
        <v>1.0173E-4</v>
      </c>
      <c r="L3578" s="9">
        <v>9.6769999999999997E-5</v>
      </c>
      <c r="M3578" s="9">
        <v>1.1362999999999999E-4</v>
      </c>
      <c r="N3578" s="9">
        <v>1.0555E-4</v>
      </c>
      <c r="O3578" s="9">
        <v>8.7029999999999999E-5</v>
      </c>
      <c r="P3578" s="9">
        <v>8.7839999999999999E-5</v>
      </c>
      <c r="Q3578" s="9">
        <v>8.8490000000000001E-5</v>
      </c>
      <c r="R3578" s="10">
        <v>2.0814782135863768E-4</v>
      </c>
      <c r="S3578" s="10">
        <v>1.2525138312786249E-4</v>
      </c>
      <c r="T3578" s="10">
        <v>0</v>
      </c>
      <c r="U3578" s="10">
        <v>9.1379999999999996E-5</v>
      </c>
      <c r="V3578" s="25"/>
      <c r="W3578" s="25"/>
      <c r="X3578" s="25"/>
      <c r="Y3578" s="25"/>
      <c r="Z3578" s="25"/>
      <c r="AA3578" s="25"/>
    </row>
    <row r="3579" spans="1:27" x14ac:dyDescent="0.35">
      <c r="A3579" s="5">
        <v>3575</v>
      </c>
      <c r="B3579" s="5">
        <v>149</v>
      </c>
      <c r="C3579" s="5">
        <v>5</v>
      </c>
      <c r="D3579" s="25">
        <v>1.1416E-4</v>
      </c>
      <c r="E3579" s="25">
        <v>1.1298000000000001E-4</v>
      </c>
      <c r="F3579" s="25">
        <v>1.4501999999999999E-4</v>
      </c>
      <c r="G3579" s="25">
        <v>5.7340000000000003E-5</v>
      </c>
      <c r="H3579" s="25">
        <v>7.538E-5</v>
      </c>
      <c r="I3579" s="9">
        <v>9.9610000000000003E-5</v>
      </c>
      <c r="J3579" s="9">
        <v>9.9359999999999997E-5</v>
      </c>
      <c r="K3579" s="9">
        <v>1.0173E-4</v>
      </c>
      <c r="L3579" s="9">
        <v>9.0099999999999995E-5</v>
      </c>
      <c r="M3579" s="9">
        <v>9.904E-5</v>
      </c>
      <c r="N3579" s="9">
        <v>9.98E-5</v>
      </c>
      <c r="O3579" s="9">
        <v>7.6879999999999996E-5</v>
      </c>
      <c r="P3579" s="9">
        <v>7.1649999999999993E-5</v>
      </c>
      <c r="Q3579" s="9">
        <v>6.6429999999999999E-5</v>
      </c>
      <c r="R3579" s="10">
        <v>1.8876891846310599E-4</v>
      </c>
      <c r="S3579" s="10">
        <v>1.3654875949387063E-4</v>
      </c>
      <c r="T3579" s="10">
        <v>0</v>
      </c>
      <c r="U3579" s="10">
        <v>9.1379999999999996E-5</v>
      </c>
      <c r="V3579" s="25"/>
      <c r="W3579" s="25"/>
      <c r="X3579" s="25"/>
      <c r="Y3579" s="25"/>
      <c r="Z3579" s="25"/>
      <c r="AA3579" s="25"/>
    </row>
    <row r="3580" spans="1:27" x14ac:dyDescent="0.35">
      <c r="A3580" s="5">
        <v>3576</v>
      </c>
      <c r="B3580" s="5">
        <v>149</v>
      </c>
      <c r="C3580" s="5">
        <v>5</v>
      </c>
      <c r="D3580" s="25">
        <v>1.1415000000000001E-4</v>
      </c>
      <c r="E3580" s="25">
        <v>1.1189E-4</v>
      </c>
      <c r="F3580" s="25">
        <v>1.3325000000000001E-4</v>
      </c>
      <c r="G3580" s="25">
        <v>6.1270000000000001E-5</v>
      </c>
      <c r="H3580" s="25">
        <v>7.2860000000000004E-5</v>
      </c>
      <c r="I3580" s="9">
        <v>9.3729999999999999E-5</v>
      </c>
      <c r="J3580" s="9">
        <v>9.3889999999999997E-5</v>
      </c>
      <c r="K3580" s="9">
        <v>1.0808E-4</v>
      </c>
      <c r="L3580" s="9">
        <v>7.9770000000000004E-5</v>
      </c>
      <c r="M3580" s="9">
        <v>8.5970000000000005E-5</v>
      </c>
      <c r="N3580" s="9">
        <v>9.0450000000000003E-5</v>
      </c>
      <c r="O3580" s="9">
        <v>6.211E-5</v>
      </c>
      <c r="P3580" s="9">
        <v>6.0210000000000001E-5</v>
      </c>
      <c r="Q3580" s="9">
        <v>5.8409999999999998E-5</v>
      </c>
      <c r="R3580" s="10">
        <v>1.5988548520287201E-4</v>
      </c>
      <c r="S3580" s="10">
        <v>1.6248660602123934E-4</v>
      </c>
      <c r="T3580" s="10">
        <v>0</v>
      </c>
      <c r="U3580" s="10">
        <v>9.1379999999999996E-5</v>
      </c>
      <c r="V3580" s="25"/>
      <c r="W3580" s="25"/>
      <c r="X3580" s="25"/>
      <c r="Y3580" s="25"/>
      <c r="Z3580" s="25"/>
      <c r="AA3580" s="25"/>
    </row>
    <row r="3581" spans="1:27" x14ac:dyDescent="0.35">
      <c r="A3581" s="5">
        <v>3577</v>
      </c>
      <c r="B3581" s="5">
        <v>150</v>
      </c>
      <c r="C3581" s="5">
        <v>5</v>
      </c>
      <c r="D3581" s="25">
        <v>1.1416E-4</v>
      </c>
      <c r="E3581" s="25">
        <v>1.1205999999999999E-4</v>
      </c>
      <c r="F3581" s="25">
        <v>1.2486999999999999E-4</v>
      </c>
      <c r="G3581" s="25">
        <v>5.7779999999999999E-5</v>
      </c>
      <c r="H3581" s="25">
        <v>6.8319999999999996E-5</v>
      </c>
      <c r="I3581" s="9">
        <v>8.8640000000000005E-5</v>
      </c>
      <c r="J3581" s="9">
        <v>8.9220000000000003E-5</v>
      </c>
      <c r="K3581" s="9">
        <v>1.1021E-4</v>
      </c>
      <c r="L3581" s="9">
        <v>6.601E-5</v>
      </c>
      <c r="M3581" s="9">
        <v>7.3689999999999994E-5</v>
      </c>
      <c r="N3581" s="9">
        <v>8.0950000000000003E-5</v>
      </c>
      <c r="O3581" s="9">
        <v>5.4570000000000001E-5</v>
      </c>
      <c r="P3581" s="9">
        <v>5.3990000000000003E-5</v>
      </c>
      <c r="Q3581" s="9">
        <v>5.3560000000000002E-5</v>
      </c>
      <c r="R3581" s="10">
        <v>1.553605265141092E-4</v>
      </c>
      <c r="S3581" s="10">
        <v>1.6196178243699415E-4</v>
      </c>
      <c r="T3581" s="10">
        <v>0</v>
      </c>
      <c r="U3581" s="10">
        <v>9.1730000000000004E-5</v>
      </c>
      <c r="V3581" s="25"/>
      <c r="W3581" s="25"/>
      <c r="X3581" s="25"/>
      <c r="Y3581" s="25"/>
      <c r="Z3581" s="25"/>
      <c r="AA3581" s="25"/>
    </row>
    <row r="3582" spans="1:27" x14ac:dyDescent="0.35">
      <c r="A3582" s="5">
        <v>3578</v>
      </c>
      <c r="B3582" s="5">
        <v>150</v>
      </c>
      <c r="C3582" s="5">
        <v>5</v>
      </c>
      <c r="D3582" s="25">
        <v>1.1415000000000001E-4</v>
      </c>
      <c r="E3582" s="25">
        <v>1.1777000000000001E-4</v>
      </c>
      <c r="F3582" s="25">
        <v>1.4062999999999999E-4</v>
      </c>
      <c r="G3582" s="25">
        <v>5.5139999999999997E-5</v>
      </c>
      <c r="H3582" s="25">
        <v>6.5270000000000004E-5</v>
      </c>
      <c r="I3582" s="9">
        <v>8.5480000000000002E-5</v>
      </c>
      <c r="J3582" s="9">
        <v>8.6479999999999999E-5</v>
      </c>
      <c r="K3582" s="9">
        <v>1.1021E-4</v>
      </c>
      <c r="L3582" s="9">
        <v>5.7469999999999997E-5</v>
      </c>
      <c r="M3582" s="9">
        <v>6.3670000000000005E-5</v>
      </c>
      <c r="N3582" s="9">
        <v>7.1899999999999999E-5</v>
      </c>
      <c r="O3582" s="9">
        <v>1.9709999999999999E-5</v>
      </c>
      <c r="P3582" s="9">
        <v>3.8139999999999997E-5</v>
      </c>
      <c r="Q3582" s="9">
        <v>5.6759999999999999E-5</v>
      </c>
      <c r="R3582" s="10">
        <v>1.581303998667347E-4</v>
      </c>
      <c r="S3582" s="10">
        <v>1.5159997880859723E-4</v>
      </c>
      <c r="T3582" s="10">
        <v>0</v>
      </c>
      <c r="U3582" s="10">
        <v>9.1730000000000004E-5</v>
      </c>
      <c r="V3582" s="25"/>
      <c r="W3582" s="25"/>
      <c r="X3582" s="25"/>
      <c r="Y3582" s="25"/>
      <c r="Z3582" s="25"/>
      <c r="AA3582" s="25"/>
    </row>
    <row r="3583" spans="1:27" x14ac:dyDescent="0.35">
      <c r="A3583" s="5">
        <v>3579</v>
      </c>
      <c r="B3583" s="5">
        <v>150</v>
      </c>
      <c r="C3583" s="5">
        <v>5</v>
      </c>
      <c r="D3583" s="25">
        <v>1.1416E-4</v>
      </c>
      <c r="E3583" s="25">
        <v>1.1213999999999999E-4</v>
      </c>
      <c r="F3583" s="25">
        <v>1.2124E-4</v>
      </c>
      <c r="G3583" s="25">
        <v>5.6360000000000002E-5</v>
      </c>
      <c r="H3583" s="25">
        <v>6.355E-5</v>
      </c>
      <c r="I3583" s="9">
        <v>8.4060000000000005E-5</v>
      </c>
      <c r="J3583" s="9">
        <v>8.4649999999999998E-5</v>
      </c>
      <c r="K3583" s="9">
        <v>1.0808E-4</v>
      </c>
      <c r="L3583" s="9">
        <v>2.8200000000000001E-5</v>
      </c>
      <c r="M3583" s="9">
        <v>5.2210000000000003E-5</v>
      </c>
      <c r="N3583" s="9">
        <v>6.5489999999999998E-5</v>
      </c>
      <c r="O3583" s="9">
        <v>1.4250000000000001E-5</v>
      </c>
      <c r="P3583" s="9">
        <v>3.8090000000000003E-5</v>
      </c>
      <c r="Q3583" s="9">
        <v>6.2080000000000002E-5</v>
      </c>
      <c r="R3583" s="10">
        <v>1.3818831008454073E-4</v>
      </c>
      <c r="S3583" s="10">
        <v>1.3298841967186519E-4</v>
      </c>
      <c r="T3583" s="10">
        <v>0</v>
      </c>
      <c r="U3583" s="10">
        <v>9.1730000000000004E-5</v>
      </c>
      <c r="V3583" s="25"/>
      <c r="W3583" s="25"/>
      <c r="X3583" s="25"/>
      <c r="Y3583" s="25"/>
      <c r="Z3583" s="25"/>
      <c r="AA3583" s="25"/>
    </row>
    <row r="3584" spans="1:27" x14ac:dyDescent="0.35">
      <c r="A3584" s="5">
        <v>3580</v>
      </c>
      <c r="B3584" s="5">
        <v>150</v>
      </c>
      <c r="C3584" s="5">
        <v>5</v>
      </c>
      <c r="D3584" s="25">
        <v>1.1415000000000001E-4</v>
      </c>
      <c r="E3584" s="25">
        <v>1.1441E-4</v>
      </c>
      <c r="F3584" s="25">
        <v>1.3313999999999999E-4</v>
      </c>
      <c r="G3584" s="25">
        <v>5.4039999999999998E-5</v>
      </c>
      <c r="H3584" s="25">
        <v>6.5720000000000001E-5</v>
      </c>
      <c r="I3584" s="9">
        <v>8.2689999999999996E-5</v>
      </c>
      <c r="J3584" s="9">
        <v>8.3609999999999994E-5</v>
      </c>
      <c r="K3584" s="9">
        <v>1.0809E-4</v>
      </c>
      <c r="L3584" s="9">
        <v>1.804E-5</v>
      </c>
      <c r="M3584" s="9">
        <v>4.4400000000000002E-5</v>
      </c>
      <c r="N3584" s="9">
        <v>6.2039999999999996E-5</v>
      </c>
      <c r="O3584" s="9">
        <v>1.419E-5</v>
      </c>
      <c r="P3584" s="9">
        <v>4.7429999999999998E-5</v>
      </c>
      <c r="Q3584" s="9">
        <v>8.0660000000000004E-5</v>
      </c>
      <c r="R3584" s="10">
        <v>1.1957181556784973E-4</v>
      </c>
      <c r="S3584" s="10">
        <v>1.1018544446729563E-4</v>
      </c>
      <c r="T3584" s="10">
        <v>0</v>
      </c>
      <c r="U3584" s="10">
        <v>9.1730000000000004E-5</v>
      </c>
      <c r="V3584" s="25"/>
      <c r="W3584" s="25"/>
      <c r="X3584" s="25"/>
      <c r="Y3584" s="25"/>
      <c r="Z3584" s="25"/>
      <c r="AA3584" s="25"/>
    </row>
    <row r="3585" spans="1:27" x14ac:dyDescent="0.35">
      <c r="A3585" s="5">
        <v>3581</v>
      </c>
      <c r="B3585" s="5">
        <v>150</v>
      </c>
      <c r="C3585" s="5">
        <v>5</v>
      </c>
      <c r="D3585" s="25">
        <v>1.1416E-4</v>
      </c>
      <c r="E3585" s="25">
        <v>1.103E-4</v>
      </c>
      <c r="F3585" s="25">
        <v>1.2987E-4</v>
      </c>
      <c r="G3585" s="25">
        <v>5.2979999999999998E-5</v>
      </c>
      <c r="H3585" s="25">
        <v>7.2789999999999999E-5</v>
      </c>
      <c r="I3585" s="9">
        <v>8.1370000000000002E-5</v>
      </c>
      <c r="J3585" s="9">
        <v>8.1409999999999995E-5</v>
      </c>
      <c r="K3585" s="9">
        <v>1.0385E-4</v>
      </c>
      <c r="L3585" s="9">
        <v>1.5279999999999999E-5</v>
      </c>
      <c r="M3585" s="9">
        <v>4.3730000000000003E-5</v>
      </c>
      <c r="N3585" s="9">
        <v>6.4670000000000003E-5</v>
      </c>
      <c r="O3585" s="9">
        <v>1.933E-5</v>
      </c>
      <c r="P3585" s="9">
        <v>5.613E-5</v>
      </c>
      <c r="Q3585" s="9">
        <v>9.2810000000000001E-5</v>
      </c>
      <c r="R3585" s="10">
        <v>1.1129449048347496E-4</v>
      </c>
      <c r="S3585" s="10">
        <v>1.0190565919088857E-4</v>
      </c>
      <c r="T3585" s="10">
        <v>1.078354447403114E-5</v>
      </c>
      <c r="U3585" s="10">
        <v>9.1730000000000004E-5</v>
      </c>
      <c r="V3585" s="25"/>
      <c r="W3585" s="25"/>
      <c r="X3585" s="25"/>
      <c r="Y3585" s="25"/>
      <c r="Z3585" s="25"/>
      <c r="AA3585" s="25"/>
    </row>
    <row r="3586" spans="1:27" x14ac:dyDescent="0.35">
      <c r="A3586" s="5">
        <v>3582</v>
      </c>
      <c r="B3586" s="5">
        <v>150</v>
      </c>
      <c r="C3586" s="5">
        <v>5</v>
      </c>
      <c r="D3586" s="25">
        <v>1.1415000000000001E-4</v>
      </c>
      <c r="E3586" s="25">
        <v>1.1398E-4</v>
      </c>
      <c r="F3586" s="25">
        <v>1.2448E-4</v>
      </c>
      <c r="G3586" s="25">
        <v>1.1268E-4</v>
      </c>
      <c r="H3586" s="25">
        <v>1.2939000000000001E-4</v>
      </c>
      <c r="I3586" s="9">
        <v>8.1349999999999999E-5</v>
      </c>
      <c r="J3586" s="9">
        <v>8.0970000000000006E-5</v>
      </c>
      <c r="K3586" s="9">
        <v>9.1130000000000003E-5</v>
      </c>
      <c r="L3586" s="9">
        <v>1.8320000000000001E-5</v>
      </c>
      <c r="M3586" s="9">
        <v>4.8369999999999999E-5</v>
      </c>
      <c r="N3586" s="9">
        <v>7.1050000000000006E-5</v>
      </c>
      <c r="O3586" s="9">
        <v>4.6589999999999999E-5</v>
      </c>
      <c r="P3586" s="9">
        <v>7.7100000000000004E-5</v>
      </c>
      <c r="Q3586" s="9">
        <v>1.0736E-4</v>
      </c>
      <c r="R3586" s="10">
        <v>1.1567817702520534E-4</v>
      </c>
      <c r="S3586" s="10">
        <v>1.0119331984607277E-4</v>
      </c>
      <c r="T3586" s="10">
        <v>2.9601720432647238E-5</v>
      </c>
      <c r="U3586" s="10">
        <v>9.1730000000000004E-5</v>
      </c>
      <c r="V3586" s="25"/>
      <c r="W3586" s="25"/>
      <c r="X3586" s="25"/>
      <c r="Y3586" s="25"/>
      <c r="Z3586" s="25"/>
      <c r="AA3586" s="25"/>
    </row>
    <row r="3587" spans="1:27" x14ac:dyDescent="0.35">
      <c r="A3587" s="5">
        <v>3583</v>
      </c>
      <c r="B3587" s="5">
        <v>150</v>
      </c>
      <c r="C3587" s="5">
        <v>5</v>
      </c>
      <c r="D3587" s="25">
        <v>1.1416E-4</v>
      </c>
      <c r="E3587" s="25">
        <v>1.0953E-4</v>
      </c>
      <c r="F3587" s="25">
        <v>1.3392999999999999E-4</v>
      </c>
      <c r="G3587" s="25">
        <v>1.0553E-4</v>
      </c>
      <c r="H3587" s="25">
        <v>1.3379E-4</v>
      </c>
      <c r="I3587" s="9">
        <v>8.4560000000000004E-5</v>
      </c>
      <c r="J3587" s="9">
        <v>8.3419999999999998E-5</v>
      </c>
      <c r="K3587" s="9">
        <v>7.6299999999999998E-5</v>
      </c>
      <c r="L3587" s="9">
        <v>4.0229999999999999E-5</v>
      </c>
      <c r="M3587" s="9">
        <v>6.0019999999999998E-5</v>
      </c>
      <c r="N3587" s="9">
        <v>8.0809999999999994E-5</v>
      </c>
      <c r="O3587" s="9">
        <v>1.2162E-4</v>
      </c>
      <c r="P3587" s="9">
        <v>1.1709000000000001E-4</v>
      </c>
      <c r="Q3587" s="9">
        <v>1.1217000000000001E-4</v>
      </c>
      <c r="R3587" s="10">
        <v>1.2482372516348463E-4</v>
      </c>
      <c r="S3587" s="10">
        <v>9.8056892441216167E-5</v>
      </c>
      <c r="T3587" s="10">
        <v>1.8386325121693848E-4</v>
      </c>
      <c r="U3587" s="10">
        <v>9.1730000000000004E-5</v>
      </c>
      <c r="V3587" s="25"/>
      <c r="W3587" s="25"/>
      <c r="X3587" s="25"/>
      <c r="Y3587" s="25"/>
      <c r="Z3587" s="25"/>
      <c r="AA3587" s="25"/>
    </row>
    <row r="3588" spans="1:27" x14ac:dyDescent="0.35">
      <c r="A3588" s="5">
        <v>3584</v>
      </c>
      <c r="B3588" s="5">
        <v>150</v>
      </c>
      <c r="C3588" s="5">
        <v>5</v>
      </c>
      <c r="D3588" s="25">
        <v>1.1415000000000001E-4</v>
      </c>
      <c r="E3588" s="25">
        <v>1.1658E-4</v>
      </c>
      <c r="F3588" s="25">
        <v>1.2996000000000001E-4</v>
      </c>
      <c r="G3588" s="25">
        <v>1.6055E-4</v>
      </c>
      <c r="H3588" s="25">
        <v>1.9940999999999999E-4</v>
      </c>
      <c r="I3588" s="9">
        <v>8.8739999999999994E-5</v>
      </c>
      <c r="J3588" s="9">
        <v>8.8389999999999999E-5</v>
      </c>
      <c r="K3588" s="9">
        <v>5.2979999999999998E-5</v>
      </c>
      <c r="L3588" s="9">
        <v>1.031E-4</v>
      </c>
      <c r="M3588" s="9">
        <v>8.3579999999999996E-5</v>
      </c>
      <c r="N3588" s="9">
        <v>9.0810000000000006E-5</v>
      </c>
      <c r="O3588" s="9">
        <v>2.1617000000000001E-4</v>
      </c>
      <c r="P3588" s="9">
        <v>1.7668E-4</v>
      </c>
      <c r="Q3588" s="9">
        <v>1.3648999999999999E-4</v>
      </c>
      <c r="R3588" s="10">
        <v>1.3418203662971911E-4</v>
      </c>
      <c r="S3588" s="10">
        <v>9.9779995290574981E-5</v>
      </c>
      <c r="T3588" s="10">
        <v>8.7591906490871348E-5</v>
      </c>
      <c r="U3588" s="10">
        <v>9.1730000000000004E-5</v>
      </c>
      <c r="V3588" s="25"/>
      <c r="W3588" s="25"/>
      <c r="X3588" s="25"/>
      <c r="Y3588" s="25"/>
      <c r="Z3588" s="25"/>
      <c r="AA3588" s="25"/>
    </row>
    <row r="3589" spans="1:27" x14ac:dyDescent="0.35">
      <c r="A3589" s="5">
        <v>3585</v>
      </c>
      <c r="B3589" s="5">
        <v>150</v>
      </c>
      <c r="C3589" s="5">
        <v>5</v>
      </c>
      <c r="D3589" s="25">
        <v>1.1416E-4</v>
      </c>
      <c r="E3589" s="25">
        <v>1.1607000000000001E-4</v>
      </c>
      <c r="F3589" s="25">
        <v>1.3548E-4</v>
      </c>
      <c r="G3589" s="25">
        <v>1.5907000000000001E-4</v>
      </c>
      <c r="H3589" s="25">
        <v>2.0002E-4</v>
      </c>
      <c r="I3589" s="9">
        <v>9.2930000000000006E-5</v>
      </c>
      <c r="J3589" s="9">
        <v>9.4149999999999998E-5</v>
      </c>
      <c r="K3589" s="9">
        <v>4.8749999999999999E-5</v>
      </c>
      <c r="L3589" s="9">
        <v>1.8956999999999999E-4</v>
      </c>
      <c r="M3589" s="9">
        <v>1.2318999999999999E-4</v>
      </c>
      <c r="N3589" s="9">
        <v>1.0446999999999999E-4</v>
      </c>
      <c r="O3589" s="9">
        <v>2.0790000000000001E-4</v>
      </c>
      <c r="P3589" s="9">
        <v>1.9269999999999999E-4</v>
      </c>
      <c r="Q3589" s="9">
        <v>1.7647999999999999E-4</v>
      </c>
      <c r="R3589" s="10">
        <v>1.4207745766079013E-4</v>
      </c>
      <c r="S3589" s="10">
        <v>1.1226949656516456E-4</v>
      </c>
      <c r="T3589" s="10">
        <v>2.2659866704360633E-4</v>
      </c>
      <c r="U3589" s="10">
        <v>9.1730000000000004E-5</v>
      </c>
      <c r="V3589" s="25"/>
      <c r="W3589" s="25"/>
      <c r="X3589" s="25"/>
      <c r="Y3589" s="25"/>
      <c r="Z3589" s="25"/>
      <c r="AA3589" s="25"/>
    </row>
    <row r="3590" spans="1:27" x14ac:dyDescent="0.35">
      <c r="A3590" s="5">
        <v>3586</v>
      </c>
      <c r="B3590" s="5">
        <v>150</v>
      </c>
      <c r="C3590" s="5">
        <v>5</v>
      </c>
      <c r="D3590" s="25">
        <v>1.1415000000000001E-4</v>
      </c>
      <c r="E3590" s="25">
        <v>1.1025E-4</v>
      </c>
      <c r="F3590" s="25">
        <v>1.3469999999999999E-4</v>
      </c>
      <c r="G3590" s="25">
        <v>1.6102E-4</v>
      </c>
      <c r="H3590" s="25">
        <v>2.0054E-4</v>
      </c>
      <c r="I3590" s="9">
        <v>9.6180000000000004E-5</v>
      </c>
      <c r="J3590" s="9">
        <v>9.8439999999999999E-5</v>
      </c>
      <c r="K3590" s="9">
        <v>5.2979999999999998E-5</v>
      </c>
      <c r="L3590" s="9">
        <v>2.0159999999999999E-4</v>
      </c>
      <c r="M3590" s="9">
        <v>1.5825E-4</v>
      </c>
      <c r="N3590" s="9">
        <v>1.2438999999999999E-4</v>
      </c>
      <c r="O3590" s="9">
        <v>1.6420000000000001E-4</v>
      </c>
      <c r="P3590" s="9">
        <v>1.7316E-4</v>
      </c>
      <c r="Q3590" s="9">
        <v>1.8112E-4</v>
      </c>
      <c r="R3590" s="10">
        <v>1.4992915992729415E-4</v>
      </c>
      <c r="S3590" s="10">
        <v>1.2207069234834402E-4</v>
      </c>
      <c r="T3590" s="10">
        <v>2.4494172223861449E-4</v>
      </c>
      <c r="U3590" s="10">
        <v>9.1730000000000004E-5</v>
      </c>
      <c r="V3590" s="25"/>
      <c r="W3590" s="25"/>
      <c r="X3590" s="25"/>
      <c r="Y3590" s="25"/>
      <c r="Z3590" s="25"/>
      <c r="AA3590" s="25"/>
    </row>
    <row r="3591" spans="1:27" x14ac:dyDescent="0.35">
      <c r="A3591" s="5">
        <v>3587</v>
      </c>
      <c r="B3591" s="5">
        <v>150</v>
      </c>
      <c r="C3591" s="5">
        <v>5</v>
      </c>
      <c r="D3591" s="25">
        <v>1.1416E-4</v>
      </c>
      <c r="E3591" s="25">
        <v>1.1347E-4</v>
      </c>
      <c r="F3591" s="25">
        <v>1.3375999999999999E-4</v>
      </c>
      <c r="G3591" s="25">
        <v>1.5783999999999999E-4</v>
      </c>
      <c r="H3591" s="25">
        <v>1.9012E-4</v>
      </c>
      <c r="I3591" s="9">
        <v>9.9970000000000007E-5</v>
      </c>
      <c r="J3591" s="9">
        <v>1.0143E-4</v>
      </c>
      <c r="K3591" s="9">
        <v>6.7819999999999998E-5</v>
      </c>
      <c r="L3591" s="9">
        <v>1.7249999999999999E-4</v>
      </c>
      <c r="M3591" s="9">
        <v>1.7174000000000001E-4</v>
      </c>
      <c r="N3591" s="9">
        <v>1.4228E-4</v>
      </c>
      <c r="O3591" s="9">
        <v>1.6562E-4</v>
      </c>
      <c r="P3591" s="9">
        <v>1.7331000000000001E-4</v>
      </c>
      <c r="Q3591" s="9">
        <v>1.8001000000000001E-4</v>
      </c>
      <c r="R3591" s="10">
        <v>1.5316360921036951E-4</v>
      </c>
      <c r="S3591" s="10">
        <v>1.1966687485594679E-4</v>
      </c>
      <c r="T3591" s="10">
        <v>4.4775041390442117E-4</v>
      </c>
      <c r="U3591" s="10">
        <v>9.1730000000000004E-5</v>
      </c>
      <c r="V3591" s="25"/>
      <c r="W3591" s="25"/>
      <c r="X3591" s="25"/>
      <c r="Y3591" s="25"/>
      <c r="Z3591" s="25"/>
      <c r="AA3591" s="25"/>
    </row>
    <row r="3592" spans="1:27" x14ac:dyDescent="0.35">
      <c r="A3592" s="5">
        <v>3588</v>
      </c>
      <c r="B3592" s="5">
        <v>150</v>
      </c>
      <c r="C3592" s="5">
        <v>5</v>
      </c>
      <c r="D3592" s="25">
        <v>1.1415000000000001E-4</v>
      </c>
      <c r="E3592" s="25">
        <v>1.1347E-4</v>
      </c>
      <c r="F3592" s="25">
        <v>1.2867E-4</v>
      </c>
      <c r="G3592" s="25">
        <v>1.6704E-4</v>
      </c>
      <c r="H3592" s="25">
        <v>1.9641E-4</v>
      </c>
      <c r="I3592" s="9">
        <v>1.0009999999999999E-4</v>
      </c>
      <c r="J3592" s="9">
        <v>1.0376E-4</v>
      </c>
      <c r="K3592" s="9">
        <v>7.2059999999999998E-5</v>
      </c>
      <c r="L3592" s="9">
        <v>1.6854000000000001E-4</v>
      </c>
      <c r="M3592" s="9">
        <v>1.7457E-4</v>
      </c>
      <c r="N3592" s="9">
        <v>1.5650000000000001E-4</v>
      </c>
      <c r="O3592" s="9">
        <v>1.6871E-4</v>
      </c>
      <c r="P3592" s="9">
        <v>1.7233999999999999E-4</v>
      </c>
      <c r="Q3592" s="9">
        <v>1.7503000000000001E-4</v>
      </c>
      <c r="R3592" s="10">
        <v>1.7682918665015368E-4</v>
      </c>
      <c r="S3592" s="10">
        <v>1.2164544621984484E-4</v>
      </c>
      <c r="T3592" s="10">
        <v>6.5683748708933334E-4</v>
      </c>
      <c r="U3592" s="10">
        <v>9.1730000000000004E-5</v>
      </c>
      <c r="V3592" s="25"/>
      <c r="W3592" s="25"/>
      <c r="X3592" s="25"/>
      <c r="Y3592" s="25"/>
      <c r="Z3592" s="25"/>
      <c r="AA3592" s="25"/>
    </row>
    <row r="3593" spans="1:27" x14ac:dyDescent="0.35">
      <c r="A3593" s="5">
        <v>3589</v>
      </c>
      <c r="B3593" s="5">
        <v>150</v>
      </c>
      <c r="C3593" s="5">
        <v>5</v>
      </c>
      <c r="D3593" s="25">
        <v>1.1416E-4</v>
      </c>
      <c r="E3593" s="25">
        <v>1.1037E-4</v>
      </c>
      <c r="F3593" s="25">
        <v>1.3164000000000001E-4</v>
      </c>
      <c r="G3593" s="25">
        <v>1.6019999999999999E-4</v>
      </c>
      <c r="H3593" s="25">
        <v>1.9542999999999999E-4</v>
      </c>
      <c r="I3593" s="9">
        <v>9.6420000000000002E-5</v>
      </c>
      <c r="J3593" s="9">
        <v>1.0385E-4</v>
      </c>
      <c r="K3593" s="9">
        <v>7.4179999999999998E-5</v>
      </c>
      <c r="L3593" s="9">
        <v>1.6880000000000001E-4</v>
      </c>
      <c r="M3593" s="9">
        <v>1.7401999999999999E-4</v>
      </c>
      <c r="N3593" s="9">
        <v>1.6621E-4</v>
      </c>
      <c r="O3593" s="9">
        <v>1.6123E-4</v>
      </c>
      <c r="P3593" s="9">
        <v>1.6555000000000001E-4</v>
      </c>
      <c r="Q3593" s="9">
        <v>1.6898E-4</v>
      </c>
      <c r="R3593" s="10">
        <v>1.6785025851687518E-4</v>
      </c>
      <c r="S3593" s="10">
        <v>1.3355907080790411E-4</v>
      </c>
      <c r="T3593" s="10">
        <v>7.69093251791069E-4</v>
      </c>
      <c r="U3593" s="10">
        <v>9.1730000000000004E-5</v>
      </c>
      <c r="V3593" s="25"/>
      <c r="W3593" s="25"/>
      <c r="X3593" s="25"/>
      <c r="Y3593" s="25"/>
      <c r="Z3593" s="25"/>
      <c r="AA3593" s="25"/>
    </row>
    <row r="3594" spans="1:27" x14ac:dyDescent="0.35">
      <c r="A3594" s="5">
        <v>3590</v>
      </c>
      <c r="B3594" s="5">
        <v>150</v>
      </c>
      <c r="C3594" s="5">
        <v>5</v>
      </c>
      <c r="D3594" s="25">
        <v>1.1415000000000001E-4</v>
      </c>
      <c r="E3594" s="25">
        <v>1.1763E-4</v>
      </c>
      <c r="F3594" s="25">
        <v>1.2757999999999999E-4</v>
      </c>
      <c r="G3594" s="25">
        <v>1.6224999999999999E-4</v>
      </c>
      <c r="H3594" s="25">
        <v>1.9735E-4</v>
      </c>
      <c r="I3594" s="9">
        <v>9.4170000000000001E-5</v>
      </c>
      <c r="J3594" s="9">
        <v>1.0274E-4</v>
      </c>
      <c r="K3594" s="9">
        <v>7.4179999999999998E-5</v>
      </c>
      <c r="L3594" s="9">
        <v>1.6263000000000001E-4</v>
      </c>
      <c r="M3594" s="9">
        <v>1.708E-4</v>
      </c>
      <c r="N3594" s="9">
        <v>1.7092E-4</v>
      </c>
      <c r="O3594" s="9">
        <v>1.7566000000000001E-4</v>
      </c>
      <c r="P3594" s="9">
        <v>1.6849000000000001E-4</v>
      </c>
      <c r="Q3594" s="9">
        <v>1.6048000000000001E-4</v>
      </c>
      <c r="R3594" s="10">
        <v>1.638119218642547E-4</v>
      </c>
      <c r="S3594" s="10">
        <v>1.3786832138899216E-4</v>
      </c>
      <c r="T3594" s="10">
        <v>5.9995025994662784E-4</v>
      </c>
      <c r="U3594" s="10">
        <v>9.1730000000000004E-5</v>
      </c>
      <c r="V3594" s="25"/>
      <c r="W3594" s="25"/>
      <c r="X3594" s="25"/>
      <c r="Y3594" s="25"/>
      <c r="Z3594" s="25"/>
      <c r="AA3594" s="25"/>
    </row>
    <row r="3595" spans="1:27" x14ac:dyDescent="0.35">
      <c r="A3595" s="5">
        <v>3591</v>
      </c>
      <c r="B3595" s="5">
        <v>150</v>
      </c>
      <c r="C3595" s="5">
        <v>5</v>
      </c>
      <c r="D3595" s="25">
        <v>1.1416E-4</v>
      </c>
      <c r="E3595" s="25">
        <v>1.1425E-4</v>
      </c>
      <c r="F3595" s="25">
        <v>1.3603000000000001E-4</v>
      </c>
      <c r="G3595" s="25">
        <v>1.5658E-4</v>
      </c>
      <c r="H3595" s="25">
        <v>1.9264999999999999E-4</v>
      </c>
      <c r="I3595" s="9">
        <v>9.3759999999999997E-5</v>
      </c>
      <c r="J3595" s="9">
        <v>1.0199E-4</v>
      </c>
      <c r="K3595" s="9">
        <v>7.4179999999999998E-5</v>
      </c>
      <c r="L3595" s="9">
        <v>1.7294000000000001E-4</v>
      </c>
      <c r="M3595" s="9">
        <v>1.6902E-4</v>
      </c>
      <c r="N3595" s="9">
        <v>1.7039E-4</v>
      </c>
      <c r="O3595" s="9">
        <v>1.7967999999999999E-4</v>
      </c>
      <c r="P3595" s="9">
        <v>1.6589E-4</v>
      </c>
      <c r="Q3595" s="9">
        <v>1.5131000000000001E-4</v>
      </c>
      <c r="R3595" s="10">
        <v>1.6010743008884509E-4</v>
      </c>
      <c r="S3595" s="10">
        <v>1.3577233363531308E-4</v>
      </c>
      <c r="T3595" s="10">
        <v>6.3193606849666509E-4</v>
      </c>
      <c r="U3595" s="10">
        <v>9.1730000000000004E-5</v>
      </c>
      <c r="V3595" s="25"/>
      <c r="W3595" s="25"/>
      <c r="X3595" s="25"/>
      <c r="Y3595" s="25"/>
      <c r="Z3595" s="25"/>
      <c r="AA3595" s="25"/>
    </row>
    <row r="3596" spans="1:27" x14ac:dyDescent="0.35">
      <c r="A3596" s="5">
        <v>3592</v>
      </c>
      <c r="B3596" s="5">
        <v>150</v>
      </c>
      <c r="C3596" s="5">
        <v>5</v>
      </c>
      <c r="D3596" s="25">
        <v>1.1415000000000001E-4</v>
      </c>
      <c r="E3596" s="25">
        <v>1.1797E-4</v>
      </c>
      <c r="F3596" s="25">
        <v>1.338E-4</v>
      </c>
      <c r="G3596" s="25">
        <v>1.5744000000000001E-4</v>
      </c>
      <c r="H3596" s="25">
        <v>1.9986E-4</v>
      </c>
      <c r="I3596" s="9">
        <v>9.5149999999999995E-5</v>
      </c>
      <c r="J3596" s="9">
        <v>1.0289E-4</v>
      </c>
      <c r="K3596" s="9">
        <v>9.3250000000000003E-5</v>
      </c>
      <c r="L3596" s="9">
        <v>1.7793E-4</v>
      </c>
      <c r="M3596" s="9">
        <v>1.6749000000000001E-4</v>
      </c>
      <c r="N3596" s="9">
        <v>1.6623000000000001E-4</v>
      </c>
      <c r="O3596" s="9">
        <v>1.9656E-4</v>
      </c>
      <c r="P3596" s="9">
        <v>1.5393000000000001E-4</v>
      </c>
      <c r="Q3596" s="9">
        <v>1.1082E-4</v>
      </c>
      <c r="R3596" s="10">
        <v>1.5122812309330096E-4</v>
      </c>
      <c r="S3596" s="10">
        <v>1.3661618805540956E-4</v>
      </c>
      <c r="T3596" s="10">
        <v>4.2973824638406862E-4</v>
      </c>
      <c r="U3596" s="10">
        <v>9.1730000000000004E-5</v>
      </c>
      <c r="V3596" s="25"/>
      <c r="W3596" s="25"/>
      <c r="X3596" s="25"/>
      <c r="Y3596" s="25"/>
      <c r="Z3596" s="25"/>
      <c r="AA3596" s="25"/>
    </row>
    <row r="3597" spans="1:27" x14ac:dyDescent="0.35">
      <c r="A3597" s="5">
        <v>3593</v>
      </c>
      <c r="B3597" s="5">
        <v>150</v>
      </c>
      <c r="C3597" s="5">
        <v>5</v>
      </c>
      <c r="D3597" s="25">
        <v>1.1416E-4</v>
      </c>
      <c r="E3597" s="25">
        <v>1.1361E-4</v>
      </c>
      <c r="F3597" s="25">
        <v>1.2162E-4</v>
      </c>
      <c r="G3597" s="25">
        <v>1.6004999999999999E-4</v>
      </c>
      <c r="H3597" s="25">
        <v>1.9395E-4</v>
      </c>
      <c r="I3597" s="9">
        <v>9.8679999999999997E-5</v>
      </c>
      <c r="J3597" s="9">
        <v>1.0759E-4</v>
      </c>
      <c r="K3597" s="9">
        <v>9.7490000000000003E-5</v>
      </c>
      <c r="L3597" s="9">
        <v>1.9228E-4</v>
      </c>
      <c r="M3597" s="9">
        <v>1.6232E-4</v>
      </c>
      <c r="N3597" s="9">
        <v>1.5269E-4</v>
      </c>
      <c r="O3597" s="9">
        <v>2.0940999999999999E-4</v>
      </c>
      <c r="P3597" s="9">
        <v>1.5810999999999999E-4</v>
      </c>
      <c r="Q3597" s="9">
        <v>1.0635E-4</v>
      </c>
      <c r="R3597" s="10">
        <v>1.2791001658746479E-4</v>
      </c>
      <c r="S3597" s="10">
        <v>1.3530914165371633E-4</v>
      </c>
      <c r="T3597" s="10">
        <v>3.1618438388176118E-4</v>
      </c>
      <c r="U3597" s="10">
        <v>9.1730000000000004E-5</v>
      </c>
      <c r="V3597" s="25"/>
      <c r="W3597" s="25"/>
      <c r="X3597" s="25"/>
      <c r="Y3597" s="25"/>
      <c r="Z3597" s="25"/>
      <c r="AA3597" s="25"/>
    </row>
    <row r="3598" spans="1:27" x14ac:dyDescent="0.35">
      <c r="A3598" s="5">
        <v>3594</v>
      </c>
      <c r="B3598" s="5">
        <v>150</v>
      </c>
      <c r="C3598" s="5">
        <v>5</v>
      </c>
      <c r="D3598" s="25">
        <v>1.1415000000000001E-4</v>
      </c>
      <c r="E3598" s="25">
        <v>1.1488E-4</v>
      </c>
      <c r="F3598" s="25">
        <v>1.2964000000000001E-4</v>
      </c>
      <c r="G3598" s="25">
        <v>1.6100000000000001E-4</v>
      </c>
      <c r="H3598" s="25">
        <v>1.8776E-4</v>
      </c>
      <c r="I3598" s="9">
        <v>1.0302E-4</v>
      </c>
      <c r="J3598" s="9">
        <v>1.0883999999999999E-4</v>
      </c>
      <c r="K3598" s="9">
        <v>9.1130000000000003E-5</v>
      </c>
      <c r="L3598" s="9">
        <v>2.0531999999999999E-4</v>
      </c>
      <c r="M3598" s="9">
        <v>1.5940999999999999E-4</v>
      </c>
      <c r="N3598" s="9">
        <v>1.3909E-4</v>
      </c>
      <c r="O3598" s="9">
        <v>2.0285999999999999E-4</v>
      </c>
      <c r="P3598" s="9">
        <v>1.6063000000000001E-4</v>
      </c>
      <c r="Q3598" s="9">
        <v>1.1785E-4</v>
      </c>
      <c r="R3598" s="10">
        <v>1.0374662980411498E-4</v>
      </c>
      <c r="S3598" s="10">
        <v>1.2871888828068677E-4</v>
      </c>
      <c r="T3598" s="10">
        <v>1.4599782321725243E-4</v>
      </c>
      <c r="U3598" s="10">
        <v>9.1730000000000004E-5</v>
      </c>
      <c r="V3598" s="25"/>
      <c r="W3598" s="25"/>
      <c r="X3598" s="25"/>
      <c r="Y3598" s="25"/>
      <c r="Z3598" s="25"/>
      <c r="AA3598" s="25"/>
    </row>
    <row r="3599" spans="1:27" x14ac:dyDescent="0.35">
      <c r="A3599" s="5">
        <v>3595</v>
      </c>
      <c r="B3599" s="5">
        <v>150</v>
      </c>
      <c r="C3599" s="5">
        <v>5</v>
      </c>
      <c r="D3599" s="25">
        <v>1.1416E-4</v>
      </c>
      <c r="E3599" s="25">
        <v>1.1709000000000001E-4</v>
      </c>
      <c r="F3599" s="25">
        <v>1.3700999999999999E-4</v>
      </c>
      <c r="G3599" s="25">
        <v>1.1005000000000001E-4</v>
      </c>
      <c r="H3599" s="25">
        <v>1.3772E-4</v>
      </c>
      <c r="I3599" s="9">
        <v>1.0396E-4</v>
      </c>
      <c r="J3599" s="9">
        <v>1.075E-4</v>
      </c>
      <c r="K3599" s="9">
        <v>1.0385E-4</v>
      </c>
      <c r="L3599" s="9">
        <v>2.0306999999999999E-4</v>
      </c>
      <c r="M3599" s="9">
        <v>1.5923000000000001E-4</v>
      </c>
      <c r="N3599" s="9">
        <v>1.2997E-4</v>
      </c>
      <c r="O3599" s="9">
        <v>1.6231000000000001E-4</v>
      </c>
      <c r="P3599" s="9">
        <v>1.3489E-4</v>
      </c>
      <c r="Q3599" s="9">
        <v>1.0705999999999999E-4</v>
      </c>
      <c r="R3599" s="10">
        <v>8.4574524528497805E-5</v>
      </c>
      <c r="S3599" s="10">
        <v>1.1952804813917903E-4</v>
      </c>
      <c r="T3599" s="10">
        <v>4.6451538942030279E-5</v>
      </c>
      <c r="U3599" s="10">
        <v>9.1730000000000004E-5</v>
      </c>
      <c r="V3599" s="25"/>
      <c r="W3599" s="25"/>
      <c r="X3599" s="25"/>
      <c r="Y3599" s="25"/>
      <c r="Z3599" s="25"/>
      <c r="AA3599" s="25"/>
    </row>
    <row r="3600" spans="1:27" x14ac:dyDescent="0.35">
      <c r="A3600" s="5">
        <v>3596</v>
      </c>
      <c r="B3600" s="5">
        <v>150</v>
      </c>
      <c r="C3600" s="5">
        <v>5</v>
      </c>
      <c r="D3600" s="25">
        <v>1.1415000000000001E-4</v>
      </c>
      <c r="E3600" s="25">
        <v>1.1144E-4</v>
      </c>
      <c r="F3600" s="25">
        <v>1.2317E-4</v>
      </c>
      <c r="G3600" s="25">
        <v>1.1229E-4</v>
      </c>
      <c r="H3600" s="25">
        <v>1.2606E-4</v>
      </c>
      <c r="I3600" s="9">
        <v>1.0314000000000001E-4</v>
      </c>
      <c r="J3600" s="9">
        <v>1.0596E-4</v>
      </c>
      <c r="K3600" s="9">
        <v>1.3774999999999999E-4</v>
      </c>
      <c r="L3600" s="9">
        <v>1.7143E-4</v>
      </c>
      <c r="M3600" s="9">
        <v>1.5058000000000001E-4</v>
      </c>
      <c r="N3600" s="9">
        <v>1.2085E-4</v>
      </c>
      <c r="O3600" s="9">
        <v>1.2688E-4</v>
      </c>
      <c r="P3600" s="9">
        <v>1.1429000000000001E-4</v>
      </c>
      <c r="Q3600" s="9">
        <v>1.0139E-4</v>
      </c>
      <c r="R3600" s="10">
        <v>5.8788572500240228E-5</v>
      </c>
      <c r="S3600" s="10">
        <v>1.1432207888185388E-4</v>
      </c>
      <c r="T3600" s="10">
        <v>3.2410023517544414E-6</v>
      </c>
      <c r="U3600" s="10">
        <v>9.1730000000000004E-5</v>
      </c>
      <c r="V3600" s="25"/>
      <c r="W3600" s="25"/>
      <c r="X3600" s="25"/>
      <c r="Y3600" s="25"/>
      <c r="Z3600" s="25"/>
      <c r="AA3600" s="25"/>
    </row>
    <row r="3601" spans="1:27" x14ac:dyDescent="0.35">
      <c r="A3601" s="5">
        <v>3597</v>
      </c>
      <c r="B3601" s="5">
        <v>150</v>
      </c>
      <c r="C3601" s="5">
        <v>5</v>
      </c>
      <c r="D3601" s="25">
        <v>1.1416E-4</v>
      </c>
      <c r="E3601" s="25">
        <v>1.1613E-4</v>
      </c>
      <c r="F3601" s="25">
        <v>1.3380999999999999E-4</v>
      </c>
      <c r="G3601" s="25">
        <v>5.5970000000000001E-5</v>
      </c>
      <c r="H3601" s="25">
        <v>7.1340000000000005E-5</v>
      </c>
      <c r="I3601" s="9">
        <v>1.0132E-4</v>
      </c>
      <c r="J3601" s="9">
        <v>1.0493999999999999E-4</v>
      </c>
      <c r="K3601" s="9">
        <v>1.2928000000000001E-4</v>
      </c>
      <c r="L3601" s="9">
        <v>1.3763999999999999E-4</v>
      </c>
      <c r="M3601" s="9">
        <v>1.351E-4</v>
      </c>
      <c r="N3601" s="9">
        <v>1.1307999999999999E-4</v>
      </c>
      <c r="O3601" s="9">
        <v>8.4300000000000003E-5</v>
      </c>
      <c r="P3601" s="9">
        <v>8.6459999999999996E-5</v>
      </c>
      <c r="Q3601" s="9">
        <v>8.8460000000000003E-5</v>
      </c>
      <c r="R3601" s="10">
        <v>4.1424299286334907E-5</v>
      </c>
      <c r="S3601" s="10">
        <v>1.2289167587496713E-4</v>
      </c>
      <c r="T3601" s="10">
        <v>0</v>
      </c>
      <c r="U3601" s="10">
        <v>9.1730000000000004E-5</v>
      </c>
      <c r="V3601" s="25"/>
      <c r="W3601" s="25"/>
      <c r="X3601" s="25"/>
      <c r="Y3601" s="25"/>
      <c r="Z3601" s="25"/>
      <c r="AA3601" s="25"/>
    </row>
    <row r="3602" spans="1:27" x14ac:dyDescent="0.35">
      <c r="A3602" s="5">
        <v>3598</v>
      </c>
      <c r="B3602" s="5">
        <v>150</v>
      </c>
      <c r="C3602" s="5">
        <v>5</v>
      </c>
      <c r="D3602" s="25">
        <v>1.1415000000000001E-4</v>
      </c>
      <c r="E3602" s="25">
        <v>1.1717E-4</v>
      </c>
      <c r="F3602" s="25">
        <v>1.3941999999999999E-4</v>
      </c>
      <c r="G3602" s="25">
        <v>5.448E-5</v>
      </c>
      <c r="H3602" s="25">
        <v>6.2680000000000003E-5</v>
      </c>
      <c r="I3602" s="9">
        <v>1.0211E-4</v>
      </c>
      <c r="J3602" s="9">
        <v>1.0416000000000001E-4</v>
      </c>
      <c r="K3602" s="9">
        <v>1.4836E-4</v>
      </c>
      <c r="L3602" s="9">
        <v>9.6959999999999993E-5</v>
      </c>
      <c r="M3602" s="9">
        <v>1.136E-4</v>
      </c>
      <c r="N3602" s="9">
        <v>1.0551E-4</v>
      </c>
      <c r="O3602" s="9">
        <v>8.6749999999999994E-5</v>
      </c>
      <c r="P3602" s="9">
        <v>8.755E-5</v>
      </c>
      <c r="Q3602" s="9">
        <v>8.8200000000000003E-5</v>
      </c>
      <c r="R3602" s="10">
        <v>3.6058951739128608E-5</v>
      </c>
      <c r="S3602" s="10">
        <v>1.3440109565079827E-4</v>
      </c>
      <c r="T3602" s="10">
        <v>0</v>
      </c>
      <c r="U3602" s="10">
        <v>9.1730000000000004E-5</v>
      </c>
      <c r="V3602" s="25"/>
      <c r="W3602" s="25"/>
      <c r="X3602" s="25"/>
      <c r="Y3602" s="25"/>
      <c r="Z3602" s="25"/>
      <c r="AA3602" s="25"/>
    </row>
    <row r="3603" spans="1:27" x14ac:dyDescent="0.35">
      <c r="A3603" s="5">
        <v>3599</v>
      </c>
      <c r="B3603" s="5">
        <v>150</v>
      </c>
      <c r="C3603" s="5">
        <v>5</v>
      </c>
      <c r="D3603" s="25">
        <v>1.1416E-4</v>
      </c>
      <c r="E3603" s="25">
        <v>1.1267E-4</v>
      </c>
      <c r="F3603" s="25">
        <v>1.2517E-4</v>
      </c>
      <c r="G3603" s="25">
        <v>6.0699999999999998E-5</v>
      </c>
      <c r="H3603" s="25">
        <v>6.8529999999999996E-5</v>
      </c>
      <c r="I3603" s="9">
        <v>9.8040000000000003E-5</v>
      </c>
      <c r="J3603" s="9">
        <v>9.802E-5</v>
      </c>
      <c r="K3603" s="9">
        <v>1.6955E-4</v>
      </c>
      <c r="L3603" s="9">
        <v>8.9900000000000003E-5</v>
      </c>
      <c r="M3603" s="9">
        <v>9.8960000000000001E-5</v>
      </c>
      <c r="N3603" s="9">
        <v>9.9740000000000004E-5</v>
      </c>
      <c r="O3603" s="9">
        <v>7.6849999999999998E-5</v>
      </c>
      <c r="P3603" s="9">
        <v>7.161E-5</v>
      </c>
      <c r="Q3603" s="9">
        <v>6.6400000000000001E-5</v>
      </c>
      <c r="R3603" s="10">
        <v>3.3742640390945428E-5</v>
      </c>
      <c r="S3603" s="10">
        <v>1.4044504448333049E-4</v>
      </c>
      <c r="T3603" s="10">
        <v>0</v>
      </c>
      <c r="U3603" s="10">
        <v>9.1730000000000004E-5</v>
      </c>
      <c r="V3603" s="25"/>
      <c r="W3603" s="25"/>
      <c r="X3603" s="25"/>
      <c r="Y3603" s="25"/>
      <c r="Z3603" s="25"/>
      <c r="AA3603" s="25"/>
    </row>
    <row r="3604" spans="1:27" x14ac:dyDescent="0.35">
      <c r="A3604" s="5">
        <v>3600</v>
      </c>
      <c r="B3604" s="5">
        <v>150</v>
      </c>
      <c r="C3604" s="5">
        <v>5</v>
      </c>
      <c r="D3604" s="25">
        <v>1.1415000000000001E-4</v>
      </c>
      <c r="E3604" s="25">
        <v>1.1427E-4</v>
      </c>
      <c r="F3604" s="25">
        <v>1.4270999999999999E-4</v>
      </c>
      <c r="G3604" s="25">
        <v>6.3330000000000005E-5</v>
      </c>
      <c r="H3604" s="25">
        <v>7.2570000000000005E-5</v>
      </c>
      <c r="I3604" s="9">
        <v>9.166E-5</v>
      </c>
      <c r="J3604" s="9">
        <v>9.2579999999999998E-5</v>
      </c>
      <c r="K3604" s="9">
        <v>1.7166999999999999E-4</v>
      </c>
      <c r="L3604" s="9">
        <v>7.9709999999999994E-5</v>
      </c>
      <c r="M3604" s="9">
        <v>8.5900000000000001E-5</v>
      </c>
      <c r="N3604" s="9">
        <v>9.0379999999999999E-5</v>
      </c>
      <c r="O3604" s="9">
        <v>6.2000000000000003E-5</v>
      </c>
      <c r="P3604" s="9">
        <v>6.0099999999999997E-5</v>
      </c>
      <c r="Q3604" s="9">
        <v>5.8300000000000001E-5</v>
      </c>
      <c r="R3604" s="10">
        <v>5.444759597398221E-5</v>
      </c>
      <c r="S3604" s="10">
        <v>1.5275069016670257E-4</v>
      </c>
      <c r="T3604" s="10">
        <v>0</v>
      </c>
      <c r="U3604" s="10">
        <v>9.1730000000000004E-5</v>
      </c>
      <c r="V3604" s="25"/>
      <c r="W3604" s="25"/>
      <c r="X3604" s="25"/>
      <c r="Y3604" s="25"/>
      <c r="Z3604" s="25"/>
      <c r="AA3604" s="25"/>
    </row>
    <row r="3605" spans="1:27" x14ac:dyDescent="0.35">
      <c r="A3605" s="5">
        <v>3601</v>
      </c>
      <c r="B3605" s="5">
        <v>151</v>
      </c>
      <c r="C3605" s="5">
        <v>5</v>
      </c>
      <c r="D3605" s="25">
        <v>1.1416E-4</v>
      </c>
      <c r="E3605" s="25">
        <v>1.1304E-4</v>
      </c>
      <c r="F3605" s="25">
        <v>1.1147E-4</v>
      </c>
      <c r="G3605" s="25">
        <v>6.3570000000000003E-5</v>
      </c>
      <c r="H3605" s="25">
        <v>6.9659999999999994E-5</v>
      </c>
      <c r="I3605" s="9">
        <v>8.7460000000000006E-5</v>
      </c>
      <c r="J3605" s="9">
        <v>8.8490000000000001E-5</v>
      </c>
      <c r="K3605" s="9">
        <v>1.7802000000000001E-4</v>
      </c>
      <c r="L3605" s="9">
        <v>6.5909999999999997E-5</v>
      </c>
      <c r="M3605" s="9">
        <v>7.36E-5</v>
      </c>
      <c r="N3605" s="9">
        <v>8.0870000000000003E-5</v>
      </c>
      <c r="O3605" s="9">
        <v>5.4230000000000001E-5</v>
      </c>
      <c r="P3605" s="9">
        <v>5.3650000000000003E-5</v>
      </c>
      <c r="Q3605" s="9">
        <v>5.3229999999999997E-5</v>
      </c>
      <c r="R3605" s="10">
        <v>7.8283635840491799E-5</v>
      </c>
      <c r="S3605" s="10">
        <v>1.5316125568185199E-4</v>
      </c>
      <c r="T3605" s="10">
        <v>0</v>
      </c>
      <c r="U3605" s="10">
        <v>9.5030000000000003E-5</v>
      </c>
      <c r="V3605" s="25"/>
      <c r="W3605" s="25"/>
      <c r="X3605" s="25"/>
      <c r="Y3605" s="25"/>
      <c r="Z3605" s="25"/>
      <c r="AA3605" s="25"/>
    </row>
    <row r="3606" spans="1:27" x14ac:dyDescent="0.35">
      <c r="A3606" s="5">
        <v>3602</v>
      </c>
      <c r="B3606" s="5">
        <v>151</v>
      </c>
      <c r="C3606" s="5">
        <v>5</v>
      </c>
      <c r="D3606" s="25">
        <v>1.1415000000000001E-4</v>
      </c>
      <c r="E3606" s="25">
        <v>1.0662000000000001E-4</v>
      </c>
      <c r="F3606" s="25">
        <v>1.098E-4</v>
      </c>
      <c r="G3606" s="25">
        <v>5.9630000000000003E-5</v>
      </c>
      <c r="H3606" s="25">
        <v>6.8310000000000002E-5</v>
      </c>
      <c r="I3606" s="9">
        <v>8.5160000000000005E-5</v>
      </c>
      <c r="J3606" s="9">
        <v>8.7250000000000007E-5</v>
      </c>
      <c r="K3606" s="9">
        <v>1.7803E-4</v>
      </c>
      <c r="L3606" s="9">
        <v>5.7179999999999998E-5</v>
      </c>
      <c r="M3606" s="9">
        <v>6.3490000000000004E-5</v>
      </c>
      <c r="N3606" s="9">
        <v>7.1769999999999999E-5</v>
      </c>
      <c r="O3606" s="9">
        <v>1.9700000000000001E-5</v>
      </c>
      <c r="P3606" s="9">
        <v>3.8139999999999997E-5</v>
      </c>
      <c r="Q3606" s="9">
        <v>5.6749999999999997E-5</v>
      </c>
      <c r="R3606" s="10">
        <v>9.9965861101154827E-5</v>
      </c>
      <c r="S3606" s="10">
        <v>1.503985921607393E-4</v>
      </c>
      <c r="T3606" s="10">
        <v>0</v>
      </c>
      <c r="U3606" s="10">
        <v>9.5030000000000003E-5</v>
      </c>
      <c r="V3606" s="25"/>
      <c r="W3606" s="25"/>
      <c r="X3606" s="25"/>
      <c r="Y3606" s="25"/>
      <c r="Z3606" s="25"/>
      <c r="AA3606" s="25"/>
    </row>
    <row r="3607" spans="1:27" x14ac:dyDescent="0.35">
      <c r="A3607" s="5">
        <v>3603</v>
      </c>
      <c r="B3607" s="5">
        <v>151</v>
      </c>
      <c r="C3607" s="5">
        <v>5</v>
      </c>
      <c r="D3607" s="25">
        <v>1.1416E-4</v>
      </c>
      <c r="E3607" s="25">
        <v>1.1489000000000001E-4</v>
      </c>
      <c r="F3607" s="25">
        <v>1.0766E-4</v>
      </c>
      <c r="G3607" s="25">
        <v>5.397E-5</v>
      </c>
      <c r="H3607" s="25">
        <v>6.8800000000000005E-5</v>
      </c>
      <c r="I3607" s="9">
        <v>8.4060000000000005E-5</v>
      </c>
      <c r="J3607" s="9">
        <v>8.6890000000000003E-5</v>
      </c>
      <c r="K3607" s="9">
        <v>1.6741999999999999E-4</v>
      </c>
      <c r="L3607" s="9">
        <v>2.8140000000000002E-5</v>
      </c>
      <c r="M3607" s="9">
        <v>5.2070000000000001E-5</v>
      </c>
      <c r="N3607" s="9">
        <v>6.5370000000000006E-5</v>
      </c>
      <c r="O3607" s="9">
        <v>1.4059999999999999E-5</v>
      </c>
      <c r="P3607" s="9">
        <v>3.7610000000000001E-5</v>
      </c>
      <c r="Q3607" s="9">
        <v>6.1290000000000004E-5</v>
      </c>
      <c r="R3607" s="10">
        <v>1.0878318433005214E-4</v>
      </c>
      <c r="S3607" s="10">
        <v>1.4005116710661794E-4</v>
      </c>
      <c r="T3607" s="10">
        <v>0</v>
      </c>
      <c r="U3607" s="10">
        <v>9.5030000000000003E-5</v>
      </c>
      <c r="V3607" s="25"/>
      <c r="W3607" s="25"/>
      <c r="X3607" s="25"/>
      <c r="Y3607" s="25"/>
      <c r="Z3607" s="25"/>
      <c r="AA3607" s="25"/>
    </row>
    <row r="3608" spans="1:27" x14ac:dyDescent="0.35">
      <c r="A3608" s="5">
        <v>3604</v>
      </c>
      <c r="B3608" s="5">
        <v>151</v>
      </c>
      <c r="C3608" s="5">
        <v>5</v>
      </c>
      <c r="D3608" s="25">
        <v>1.1415000000000001E-4</v>
      </c>
      <c r="E3608" s="25">
        <v>1.1501E-4</v>
      </c>
      <c r="F3608" s="25">
        <v>1.137E-4</v>
      </c>
      <c r="G3608" s="25">
        <v>5.2490000000000001E-5</v>
      </c>
      <c r="H3608" s="25">
        <v>6.9690000000000005E-5</v>
      </c>
      <c r="I3608" s="9">
        <v>8.4839999999999994E-5</v>
      </c>
      <c r="J3608" s="9">
        <v>8.7319999999999997E-5</v>
      </c>
      <c r="K3608" s="9">
        <v>1.3776000000000001E-4</v>
      </c>
      <c r="L3608" s="9">
        <v>1.7880000000000002E-5</v>
      </c>
      <c r="M3608" s="9">
        <v>4.4150000000000003E-5</v>
      </c>
      <c r="N3608" s="9">
        <v>6.177E-5</v>
      </c>
      <c r="O3608" s="9">
        <v>1.4090000000000001E-5</v>
      </c>
      <c r="P3608" s="9">
        <v>4.7080000000000003E-5</v>
      </c>
      <c r="Q3608" s="9">
        <v>8.0080000000000006E-5</v>
      </c>
      <c r="R3608" s="10">
        <v>1.195336772115744E-4</v>
      </c>
      <c r="S3608" s="10">
        <v>1.2894118653557039E-4</v>
      </c>
      <c r="T3608" s="10">
        <v>0</v>
      </c>
      <c r="U3608" s="10">
        <v>9.5030000000000003E-5</v>
      </c>
      <c r="V3608" s="25"/>
      <c r="W3608" s="25"/>
      <c r="X3608" s="25"/>
      <c r="Y3608" s="25"/>
      <c r="Z3608" s="25"/>
      <c r="AA3608" s="25"/>
    </row>
    <row r="3609" spans="1:27" x14ac:dyDescent="0.35">
      <c r="A3609" s="5">
        <v>3605</v>
      </c>
      <c r="B3609" s="5">
        <v>151</v>
      </c>
      <c r="C3609" s="5">
        <v>5</v>
      </c>
      <c r="D3609" s="25">
        <v>1.1416E-4</v>
      </c>
      <c r="E3609" s="25">
        <v>1.1052000000000001E-4</v>
      </c>
      <c r="F3609" s="25">
        <v>1.1176E-4</v>
      </c>
      <c r="G3609" s="25">
        <v>5.8980000000000001E-5</v>
      </c>
      <c r="H3609" s="25">
        <v>7.5240000000000005E-5</v>
      </c>
      <c r="I3609" s="9">
        <v>8.9980000000000002E-5</v>
      </c>
      <c r="J3609" s="9">
        <v>8.9560000000000003E-5</v>
      </c>
      <c r="K3609" s="9">
        <v>1.2081E-4</v>
      </c>
      <c r="L3609" s="9">
        <v>1.517E-5</v>
      </c>
      <c r="M3609" s="9">
        <v>4.3420000000000001E-5</v>
      </c>
      <c r="N3609" s="9">
        <v>6.4300000000000004E-5</v>
      </c>
      <c r="O3609" s="9">
        <v>1.9619999999999998E-5</v>
      </c>
      <c r="P3609" s="9">
        <v>5.6969999999999998E-5</v>
      </c>
      <c r="Q3609" s="9">
        <v>9.4209999999999994E-5</v>
      </c>
      <c r="R3609" s="10">
        <v>1.3166316469805418E-4</v>
      </c>
      <c r="S3609" s="10">
        <v>1.2185538909658402E-4</v>
      </c>
      <c r="T3609" s="10">
        <v>1.8665458570313538E-6</v>
      </c>
      <c r="U3609" s="10">
        <v>9.5030000000000003E-5</v>
      </c>
      <c r="V3609" s="25"/>
      <c r="W3609" s="25"/>
      <c r="X3609" s="25"/>
      <c r="Y3609" s="25"/>
      <c r="Z3609" s="25"/>
      <c r="AA3609" s="25"/>
    </row>
    <row r="3610" spans="1:27" x14ac:dyDescent="0.35">
      <c r="A3610" s="5">
        <v>3606</v>
      </c>
      <c r="B3610" s="5">
        <v>151</v>
      </c>
      <c r="C3610" s="5">
        <v>5</v>
      </c>
      <c r="D3610" s="25">
        <v>1.1415000000000001E-4</v>
      </c>
      <c r="E3610" s="25">
        <v>1.1365E-4</v>
      </c>
      <c r="F3610" s="25">
        <v>9.6959999999999993E-5</v>
      </c>
      <c r="G3610" s="25">
        <v>1.0543999999999999E-4</v>
      </c>
      <c r="H3610" s="25">
        <v>1.3338E-4</v>
      </c>
      <c r="I3610" s="9">
        <v>1.0056999999999999E-4</v>
      </c>
      <c r="J3610" s="9">
        <v>9.8280000000000001E-5</v>
      </c>
      <c r="K3610" s="9">
        <v>6.9939999999999998E-5</v>
      </c>
      <c r="L3610" s="9">
        <v>1.8519999999999999E-5</v>
      </c>
      <c r="M3610" s="9">
        <v>4.8449999999999999E-5</v>
      </c>
      <c r="N3610" s="9">
        <v>7.1030000000000003E-5</v>
      </c>
      <c r="O3610" s="9">
        <v>4.6199999999999998E-5</v>
      </c>
      <c r="P3610" s="9">
        <v>7.6459999999999996E-5</v>
      </c>
      <c r="Q3610" s="9">
        <v>1.0647E-4</v>
      </c>
      <c r="R3610" s="10">
        <v>1.4389181480904396E-4</v>
      </c>
      <c r="S3610" s="10">
        <v>1.1912249378122546E-4</v>
      </c>
      <c r="T3610" s="10">
        <v>4.6748489419285269E-6</v>
      </c>
      <c r="U3610" s="10">
        <v>9.5030000000000003E-5</v>
      </c>
      <c r="V3610" s="25"/>
      <c r="W3610" s="25"/>
      <c r="X3610" s="25"/>
      <c r="Y3610" s="25"/>
      <c r="Z3610" s="25"/>
      <c r="AA3610" s="25"/>
    </row>
    <row r="3611" spans="1:27" x14ac:dyDescent="0.35">
      <c r="A3611" s="5">
        <v>3607</v>
      </c>
      <c r="B3611" s="5">
        <v>151</v>
      </c>
      <c r="C3611" s="5">
        <v>5</v>
      </c>
      <c r="D3611" s="25">
        <v>1.1416E-4</v>
      </c>
      <c r="E3611" s="25">
        <v>1.0975E-4</v>
      </c>
      <c r="F3611" s="25">
        <v>1.159E-4</v>
      </c>
      <c r="G3611" s="25">
        <v>1.0953E-4</v>
      </c>
      <c r="H3611" s="25">
        <v>1.3706999999999999E-4</v>
      </c>
      <c r="I3611" s="9">
        <v>1.1287E-4</v>
      </c>
      <c r="J3611" s="9">
        <v>1.1461E-4</v>
      </c>
      <c r="K3611" s="9">
        <v>2.9669999999999999E-5</v>
      </c>
      <c r="L3611" s="9">
        <v>3.9959999999999997E-5</v>
      </c>
      <c r="M3611" s="9">
        <v>5.9960000000000002E-5</v>
      </c>
      <c r="N3611" s="9">
        <v>8.0649999999999995E-5</v>
      </c>
      <c r="O3611" s="9">
        <v>1.2132E-4</v>
      </c>
      <c r="P3611" s="9">
        <v>1.1680000000000001E-4</v>
      </c>
      <c r="Q3611" s="9">
        <v>1.1189E-4</v>
      </c>
      <c r="R3611" s="10">
        <v>1.5204796097615956E-4</v>
      </c>
      <c r="S3611" s="10">
        <v>1.1630959825002991E-4</v>
      </c>
      <c r="T3611" s="10">
        <v>1.4576026283544845E-5</v>
      </c>
      <c r="U3611" s="10">
        <v>9.5030000000000003E-5</v>
      </c>
      <c r="V3611" s="25"/>
      <c r="W3611" s="25"/>
      <c r="X3611" s="25"/>
      <c r="Y3611" s="25"/>
      <c r="Z3611" s="25"/>
      <c r="AA3611" s="25"/>
    </row>
    <row r="3612" spans="1:27" x14ac:dyDescent="0.35">
      <c r="A3612" s="5">
        <v>3608</v>
      </c>
      <c r="B3612" s="5">
        <v>151</v>
      </c>
      <c r="C3612" s="5">
        <v>5</v>
      </c>
      <c r="D3612" s="25">
        <v>1.1415000000000001E-4</v>
      </c>
      <c r="E3612" s="25">
        <v>1.1090999999999999E-4</v>
      </c>
      <c r="F3612" s="25">
        <v>1.0084E-4</v>
      </c>
      <c r="G3612" s="25">
        <v>1.5804E-4</v>
      </c>
      <c r="H3612" s="25">
        <v>1.9492000000000001E-4</v>
      </c>
      <c r="I3612" s="9">
        <v>1.1956E-4</v>
      </c>
      <c r="J3612" s="9">
        <v>1.2615E-4</v>
      </c>
      <c r="K3612" s="9">
        <v>2.1299999999999999E-6</v>
      </c>
      <c r="L3612" s="9">
        <v>1.0281999999999999E-4</v>
      </c>
      <c r="M3612" s="9">
        <v>8.3380000000000005E-5</v>
      </c>
      <c r="N3612" s="9">
        <v>9.0630000000000005E-5</v>
      </c>
      <c r="O3612" s="9">
        <v>2.1688999999999999E-4</v>
      </c>
      <c r="P3612" s="9">
        <v>1.7726999999999999E-4</v>
      </c>
      <c r="Q3612" s="9">
        <v>1.3694E-4</v>
      </c>
      <c r="R3612" s="10">
        <v>1.6420562826088221E-4</v>
      </c>
      <c r="S3612" s="10">
        <v>1.283959288718961E-4</v>
      </c>
      <c r="T3612" s="10">
        <v>1.054428723235712E-4</v>
      </c>
      <c r="U3612" s="10">
        <v>9.5030000000000003E-5</v>
      </c>
      <c r="V3612" s="25"/>
      <c r="W3612" s="25"/>
      <c r="X3612" s="25"/>
      <c r="Y3612" s="25"/>
      <c r="Z3612" s="25"/>
      <c r="AA3612" s="25"/>
    </row>
    <row r="3613" spans="1:27" x14ac:dyDescent="0.35">
      <c r="A3613" s="5">
        <v>3609</v>
      </c>
      <c r="B3613" s="5">
        <v>151</v>
      </c>
      <c r="C3613" s="5">
        <v>5</v>
      </c>
      <c r="D3613" s="25">
        <v>1.1416E-4</v>
      </c>
      <c r="E3613" s="25">
        <v>1.1389E-4</v>
      </c>
      <c r="F3613" s="25">
        <v>9.7510000000000007E-5</v>
      </c>
      <c r="G3613" s="25">
        <v>1.6447E-4</v>
      </c>
      <c r="H3613" s="25">
        <v>1.9717000000000001E-4</v>
      </c>
      <c r="I3613" s="9">
        <v>1.2473000000000001E-4</v>
      </c>
      <c r="J3613" s="9">
        <v>1.3201E-4</v>
      </c>
      <c r="K3613" s="9">
        <v>2.7549999999999999E-5</v>
      </c>
      <c r="L3613" s="9">
        <v>1.9007E-4</v>
      </c>
      <c r="M3613" s="9">
        <v>1.2323999999999999E-4</v>
      </c>
      <c r="N3613" s="9">
        <v>1.0445E-4</v>
      </c>
      <c r="O3613" s="9">
        <v>2.0792E-4</v>
      </c>
      <c r="P3613" s="9">
        <v>1.9272000000000001E-4</v>
      </c>
      <c r="Q3613" s="9">
        <v>1.7650000000000001E-4</v>
      </c>
      <c r="R3613" s="10">
        <v>1.6536994968157555E-4</v>
      </c>
      <c r="S3613" s="10">
        <v>1.4557071970000695E-4</v>
      </c>
      <c r="T3613" s="10">
        <v>2.10563341271837E-4</v>
      </c>
      <c r="U3613" s="10">
        <v>9.5030000000000003E-5</v>
      </c>
      <c r="V3613" s="25"/>
      <c r="W3613" s="25"/>
      <c r="X3613" s="25"/>
      <c r="Y3613" s="25"/>
      <c r="Z3613" s="25"/>
      <c r="AA3613" s="25"/>
    </row>
    <row r="3614" spans="1:27" x14ac:dyDescent="0.35">
      <c r="A3614" s="5">
        <v>3610</v>
      </c>
      <c r="B3614" s="5">
        <v>151</v>
      </c>
      <c r="C3614" s="5">
        <v>5</v>
      </c>
      <c r="D3614" s="25">
        <v>1.1415000000000001E-4</v>
      </c>
      <c r="E3614" s="25">
        <v>1.1111E-4</v>
      </c>
      <c r="F3614" s="25">
        <v>1.1307999999999999E-4</v>
      </c>
      <c r="G3614" s="25">
        <v>1.6474E-4</v>
      </c>
      <c r="H3614" s="25">
        <v>1.9054E-4</v>
      </c>
      <c r="I3614" s="9">
        <v>1.271E-4</v>
      </c>
      <c r="J3614" s="9">
        <v>1.3323999999999999E-4</v>
      </c>
      <c r="K3614" s="9">
        <v>2.12E-6</v>
      </c>
      <c r="L3614" s="9">
        <v>2.017E-4</v>
      </c>
      <c r="M3614" s="9">
        <v>1.5836999999999999E-4</v>
      </c>
      <c r="N3614" s="9">
        <v>1.2439999999999999E-4</v>
      </c>
      <c r="O3614" s="9">
        <v>1.6440000000000001E-4</v>
      </c>
      <c r="P3614" s="9">
        <v>1.7337E-4</v>
      </c>
      <c r="Q3614" s="9">
        <v>1.8134999999999999E-4</v>
      </c>
      <c r="R3614" s="10">
        <v>1.7332727738918739E-4</v>
      </c>
      <c r="S3614" s="10">
        <v>1.7131274733666563E-4</v>
      </c>
      <c r="T3614" s="10">
        <v>3.8533990788477285E-4</v>
      </c>
      <c r="U3614" s="10">
        <v>9.5030000000000003E-5</v>
      </c>
      <c r="V3614" s="25"/>
      <c r="W3614" s="25"/>
      <c r="X3614" s="25"/>
      <c r="Y3614" s="25"/>
      <c r="Z3614" s="25"/>
      <c r="AA3614" s="25"/>
    </row>
    <row r="3615" spans="1:27" x14ac:dyDescent="0.35">
      <c r="A3615" s="5">
        <v>3611</v>
      </c>
      <c r="B3615" s="5">
        <v>151</v>
      </c>
      <c r="C3615" s="5">
        <v>5</v>
      </c>
      <c r="D3615" s="25">
        <v>1.1416E-4</v>
      </c>
      <c r="E3615" s="25">
        <v>1.1388E-4</v>
      </c>
      <c r="F3615" s="25">
        <v>1.053E-4</v>
      </c>
      <c r="G3615" s="25">
        <v>1.6589E-4</v>
      </c>
      <c r="H3615" s="25">
        <v>1.8901000000000001E-4</v>
      </c>
      <c r="I3615" s="9">
        <v>1.2960000000000001E-4</v>
      </c>
      <c r="J3615" s="9">
        <v>1.3438999999999999E-4</v>
      </c>
      <c r="K3615" s="9">
        <v>2.1189999999999999E-5</v>
      </c>
      <c r="L3615" s="9">
        <v>1.7269E-4</v>
      </c>
      <c r="M3615" s="9">
        <v>1.719E-4</v>
      </c>
      <c r="N3615" s="9">
        <v>1.4233E-4</v>
      </c>
      <c r="O3615" s="9">
        <v>1.6369999999999999E-4</v>
      </c>
      <c r="P3615" s="9">
        <v>1.7129999999999999E-4</v>
      </c>
      <c r="Q3615" s="9">
        <v>1.7792E-4</v>
      </c>
      <c r="R3615" s="10">
        <v>1.8822579186718896E-4</v>
      </c>
      <c r="S3615" s="10">
        <v>1.8257733359918873E-4</v>
      </c>
      <c r="T3615" s="10">
        <v>2.1291349219182645E-4</v>
      </c>
      <c r="U3615" s="10">
        <v>9.5030000000000003E-5</v>
      </c>
      <c r="V3615" s="25"/>
      <c r="W3615" s="25"/>
      <c r="X3615" s="25"/>
      <c r="Y3615" s="25"/>
      <c r="Z3615" s="25"/>
      <c r="AA3615" s="25"/>
    </row>
    <row r="3616" spans="1:27" x14ac:dyDescent="0.35">
      <c r="A3616" s="5">
        <v>3612</v>
      </c>
      <c r="B3616" s="5">
        <v>151</v>
      </c>
      <c r="C3616" s="5">
        <v>5</v>
      </c>
      <c r="D3616" s="25">
        <v>1.1415000000000001E-4</v>
      </c>
      <c r="E3616" s="25">
        <v>1.1686E-4</v>
      </c>
      <c r="F3616" s="25">
        <v>1.0459E-4</v>
      </c>
      <c r="G3616" s="25">
        <v>1.6106000000000001E-4</v>
      </c>
      <c r="H3616" s="25">
        <v>1.9780000000000001E-4</v>
      </c>
      <c r="I3616" s="9">
        <v>1.2697000000000001E-4</v>
      </c>
      <c r="J3616" s="9">
        <v>1.3224999999999999E-4</v>
      </c>
      <c r="K3616" s="9">
        <v>0</v>
      </c>
      <c r="L3616" s="9">
        <v>1.6708000000000001E-4</v>
      </c>
      <c r="M3616" s="9">
        <v>1.7395E-4</v>
      </c>
      <c r="N3616" s="9">
        <v>1.5610999999999999E-4</v>
      </c>
      <c r="O3616" s="9">
        <v>1.6755000000000001E-4</v>
      </c>
      <c r="P3616" s="9">
        <v>1.7116000000000001E-4</v>
      </c>
      <c r="Q3616" s="9">
        <v>1.7383000000000001E-4</v>
      </c>
      <c r="R3616" s="10">
        <v>1.7891955355460728E-4</v>
      </c>
      <c r="S3616" s="10">
        <v>1.8597776121167332E-4</v>
      </c>
      <c r="T3616" s="10">
        <v>1.1189942412902963E-4</v>
      </c>
      <c r="U3616" s="10">
        <v>9.5030000000000003E-5</v>
      </c>
      <c r="V3616" s="25"/>
      <c r="W3616" s="25"/>
      <c r="X3616" s="25"/>
      <c r="Y3616" s="25"/>
      <c r="Z3616" s="25"/>
      <c r="AA3616" s="25"/>
    </row>
    <row r="3617" spans="1:27" x14ac:dyDescent="0.35">
      <c r="A3617" s="5">
        <v>3613</v>
      </c>
      <c r="B3617" s="5">
        <v>151</v>
      </c>
      <c r="C3617" s="5">
        <v>5</v>
      </c>
      <c r="D3617" s="25">
        <v>1.1416E-4</v>
      </c>
      <c r="E3617" s="25">
        <v>1.1289E-4</v>
      </c>
      <c r="F3617" s="25">
        <v>1.1505E-4</v>
      </c>
      <c r="G3617" s="25">
        <v>1.5699E-4</v>
      </c>
      <c r="H3617" s="25">
        <v>1.9599E-4</v>
      </c>
      <c r="I3617" s="9">
        <v>1.2687000000000001E-4</v>
      </c>
      <c r="J3617" s="9">
        <v>1.3124E-4</v>
      </c>
      <c r="K3617" s="9">
        <v>0</v>
      </c>
      <c r="L3617" s="9">
        <v>1.6762E-4</v>
      </c>
      <c r="M3617" s="9">
        <v>1.7299000000000001E-4</v>
      </c>
      <c r="N3617" s="9">
        <v>1.6558E-4</v>
      </c>
      <c r="O3617" s="9">
        <v>1.5834000000000001E-4</v>
      </c>
      <c r="P3617" s="9">
        <v>1.6258000000000001E-4</v>
      </c>
      <c r="Q3617" s="9">
        <v>1.6595E-4</v>
      </c>
      <c r="R3617" s="10">
        <v>2.0280429118462156E-4</v>
      </c>
      <c r="S3617" s="10">
        <v>1.8949364217350201E-4</v>
      </c>
      <c r="T3617" s="10">
        <v>1.0162493761600707E-4</v>
      </c>
      <c r="U3617" s="10">
        <v>9.5030000000000003E-5</v>
      </c>
      <c r="V3617" s="25"/>
      <c r="W3617" s="25"/>
      <c r="X3617" s="25"/>
      <c r="Y3617" s="25"/>
      <c r="Z3617" s="25"/>
      <c r="AA3617" s="25"/>
    </row>
    <row r="3618" spans="1:27" x14ac:dyDescent="0.35">
      <c r="A3618" s="5">
        <v>3614</v>
      </c>
      <c r="B3618" s="5">
        <v>151</v>
      </c>
      <c r="C3618" s="5">
        <v>5</v>
      </c>
      <c r="D3618" s="25">
        <v>1.1415000000000001E-4</v>
      </c>
      <c r="E3618" s="25">
        <v>1.1271E-4</v>
      </c>
      <c r="F3618" s="25">
        <v>9.4840000000000007E-5</v>
      </c>
      <c r="G3618" s="25">
        <v>1.6033E-4</v>
      </c>
      <c r="H3618" s="25">
        <v>1.9052000000000001E-4</v>
      </c>
      <c r="I3618" s="9">
        <v>1.2617999999999999E-4</v>
      </c>
      <c r="J3618" s="9">
        <v>1.3011000000000001E-4</v>
      </c>
      <c r="K3618" s="9">
        <v>0</v>
      </c>
      <c r="L3618" s="9">
        <v>1.6011000000000001E-4</v>
      </c>
      <c r="M3618" s="9">
        <v>1.6898E-4</v>
      </c>
      <c r="N3618" s="9">
        <v>1.6965E-4</v>
      </c>
      <c r="O3618" s="9">
        <v>1.7623000000000001E-4</v>
      </c>
      <c r="P3618" s="9">
        <v>1.6904999999999999E-4</v>
      </c>
      <c r="Q3618" s="9">
        <v>1.6101000000000001E-4</v>
      </c>
      <c r="R3618" s="10">
        <v>2.1041844299612988E-4</v>
      </c>
      <c r="S3618" s="10">
        <v>1.901981340831783E-4</v>
      </c>
      <c r="T3618" s="10">
        <v>1.0900627805063104E-4</v>
      </c>
      <c r="U3618" s="10">
        <v>9.5030000000000003E-5</v>
      </c>
      <c r="V3618" s="25"/>
      <c r="W3618" s="25"/>
      <c r="X3618" s="25"/>
      <c r="Y3618" s="25"/>
      <c r="Z3618" s="25"/>
      <c r="AA3618" s="25"/>
    </row>
    <row r="3619" spans="1:27" x14ac:dyDescent="0.35">
      <c r="A3619" s="5">
        <v>3615</v>
      </c>
      <c r="B3619" s="5">
        <v>151</v>
      </c>
      <c r="C3619" s="5">
        <v>5</v>
      </c>
      <c r="D3619" s="25">
        <v>1.1416E-4</v>
      </c>
      <c r="E3619" s="25">
        <v>1.117E-4</v>
      </c>
      <c r="F3619" s="25">
        <v>9.4489999999999998E-5</v>
      </c>
      <c r="G3619" s="25">
        <v>1.5971E-4</v>
      </c>
      <c r="H3619" s="25">
        <v>1.9063000000000001E-4</v>
      </c>
      <c r="I3619" s="9">
        <v>1.2457000000000001E-4</v>
      </c>
      <c r="J3619" s="9">
        <v>1.2903E-4</v>
      </c>
      <c r="K3619" s="9">
        <v>0</v>
      </c>
      <c r="L3619" s="9">
        <v>1.7285999999999999E-4</v>
      </c>
      <c r="M3619" s="9">
        <v>1.6786000000000001E-4</v>
      </c>
      <c r="N3619" s="9">
        <v>1.6934E-4</v>
      </c>
      <c r="O3619" s="9">
        <v>1.7948000000000001E-4</v>
      </c>
      <c r="P3619" s="9">
        <v>1.6569999999999999E-4</v>
      </c>
      <c r="Q3619" s="9">
        <v>1.5113999999999999E-4</v>
      </c>
      <c r="R3619" s="10">
        <v>2.1047149542253874E-4</v>
      </c>
      <c r="S3619" s="10">
        <v>1.9028776596635705E-4</v>
      </c>
      <c r="T3619" s="10">
        <v>1.0206612118221447E-4</v>
      </c>
      <c r="U3619" s="10">
        <v>9.5030000000000003E-5</v>
      </c>
      <c r="V3619" s="25"/>
      <c r="W3619" s="25"/>
      <c r="X3619" s="25"/>
      <c r="Y3619" s="25"/>
      <c r="Z3619" s="25"/>
      <c r="AA3619" s="25"/>
    </row>
    <row r="3620" spans="1:27" x14ac:dyDescent="0.35">
      <c r="A3620" s="5">
        <v>3616</v>
      </c>
      <c r="B3620" s="5">
        <v>151</v>
      </c>
      <c r="C3620" s="5">
        <v>5</v>
      </c>
      <c r="D3620" s="25">
        <v>1.1415000000000001E-4</v>
      </c>
      <c r="E3620" s="25">
        <v>1.0854E-4</v>
      </c>
      <c r="F3620" s="25">
        <v>9.6399999999999999E-5</v>
      </c>
      <c r="G3620" s="25">
        <v>1.5663999999999999E-4</v>
      </c>
      <c r="H3620" s="25">
        <v>1.9195E-4</v>
      </c>
      <c r="I3620" s="9">
        <v>1.239E-4</v>
      </c>
      <c r="J3620" s="9">
        <v>1.2915E-4</v>
      </c>
      <c r="K3620" s="9">
        <v>0</v>
      </c>
      <c r="L3620" s="9">
        <v>1.7770000000000001E-4</v>
      </c>
      <c r="M3620" s="9">
        <v>1.6689999999999999E-4</v>
      </c>
      <c r="N3620" s="9">
        <v>1.6530000000000001E-4</v>
      </c>
      <c r="O3620" s="9">
        <v>1.9458999999999999E-4</v>
      </c>
      <c r="P3620" s="9">
        <v>1.5239E-4</v>
      </c>
      <c r="Q3620" s="9">
        <v>1.0971E-4</v>
      </c>
      <c r="R3620" s="10">
        <v>2.1164429520028374E-4</v>
      </c>
      <c r="S3620" s="10">
        <v>1.9028606992431722E-4</v>
      </c>
      <c r="T3620" s="10">
        <v>7.6884720710991488E-5</v>
      </c>
      <c r="U3620" s="10">
        <v>9.5030000000000003E-5</v>
      </c>
      <c r="V3620" s="25"/>
      <c r="W3620" s="25"/>
      <c r="X3620" s="25"/>
      <c r="Y3620" s="25"/>
      <c r="Z3620" s="25"/>
      <c r="AA3620" s="25"/>
    </row>
    <row r="3621" spans="1:27" x14ac:dyDescent="0.35">
      <c r="A3621" s="5">
        <v>3617</v>
      </c>
      <c r="B3621" s="5">
        <v>151</v>
      </c>
      <c r="C3621" s="5">
        <v>5</v>
      </c>
      <c r="D3621" s="25">
        <v>1.1416E-4</v>
      </c>
      <c r="E3621" s="25">
        <v>1.0835E-4</v>
      </c>
      <c r="F3621" s="25">
        <v>1.1005000000000001E-4</v>
      </c>
      <c r="G3621" s="25">
        <v>1.5660000000000001E-4</v>
      </c>
      <c r="H3621" s="25">
        <v>1.9270999999999999E-4</v>
      </c>
      <c r="I3621" s="9">
        <v>1.2485E-4</v>
      </c>
      <c r="J3621" s="9">
        <v>1.3081E-4</v>
      </c>
      <c r="K3621" s="9">
        <v>4.25E-6</v>
      </c>
      <c r="L3621" s="9">
        <v>1.9068000000000001E-4</v>
      </c>
      <c r="M3621" s="9">
        <v>1.6152000000000001E-4</v>
      </c>
      <c r="N3621" s="9">
        <v>1.5176E-4</v>
      </c>
      <c r="O3621" s="9">
        <v>2.0928E-4</v>
      </c>
      <c r="P3621" s="9">
        <v>1.5802000000000001E-4</v>
      </c>
      <c r="Q3621" s="9">
        <v>1.0629E-4</v>
      </c>
      <c r="R3621" s="10">
        <v>2.1236789274982798E-4</v>
      </c>
      <c r="S3621" s="10">
        <v>1.9016565432132456E-4</v>
      </c>
      <c r="T3621" s="10">
        <v>6.2826236687805326E-5</v>
      </c>
      <c r="U3621" s="10">
        <v>9.5030000000000003E-5</v>
      </c>
      <c r="V3621" s="25"/>
      <c r="W3621" s="25"/>
      <c r="X3621" s="25"/>
      <c r="Y3621" s="25"/>
      <c r="Z3621" s="25"/>
      <c r="AA3621" s="25"/>
    </row>
    <row r="3622" spans="1:27" x14ac:dyDescent="0.35">
      <c r="A3622" s="5">
        <v>3618</v>
      </c>
      <c r="B3622" s="5">
        <v>151</v>
      </c>
      <c r="C3622" s="5">
        <v>5</v>
      </c>
      <c r="D3622" s="25">
        <v>1.1415000000000001E-4</v>
      </c>
      <c r="E3622" s="25">
        <v>1.1239E-4</v>
      </c>
      <c r="F3622" s="25">
        <v>9.7209999999999999E-5</v>
      </c>
      <c r="G3622" s="25">
        <v>1.6407999999999999E-4</v>
      </c>
      <c r="H3622" s="25">
        <v>1.9593E-4</v>
      </c>
      <c r="I3622" s="9">
        <v>1.2563E-4</v>
      </c>
      <c r="J3622" s="9">
        <v>1.2676000000000001E-4</v>
      </c>
      <c r="K3622" s="9">
        <v>2.544E-5</v>
      </c>
      <c r="L3622" s="9">
        <v>2.0493E-4</v>
      </c>
      <c r="M3622" s="9">
        <v>1.5877E-4</v>
      </c>
      <c r="N3622" s="9">
        <v>1.384E-4</v>
      </c>
      <c r="O3622" s="9">
        <v>2.0259E-4</v>
      </c>
      <c r="P3622" s="9">
        <v>1.6040999999999999E-4</v>
      </c>
      <c r="Q3622" s="9">
        <v>1.1769000000000001E-4</v>
      </c>
      <c r="R3622" s="10">
        <v>2.1243230767617016E-4</v>
      </c>
      <c r="S3622" s="10">
        <v>1.9024147599890271E-4</v>
      </c>
      <c r="T3622" s="10">
        <v>4.1454286624796339E-5</v>
      </c>
      <c r="U3622" s="10">
        <v>9.5030000000000003E-5</v>
      </c>
      <c r="V3622" s="25"/>
      <c r="W3622" s="25"/>
      <c r="X3622" s="25"/>
      <c r="Y3622" s="25"/>
      <c r="Z3622" s="25"/>
      <c r="AA3622" s="25"/>
    </row>
    <row r="3623" spans="1:27" x14ac:dyDescent="0.35">
      <c r="A3623" s="5">
        <v>3619</v>
      </c>
      <c r="B3623" s="5">
        <v>151</v>
      </c>
      <c r="C3623" s="5">
        <v>5</v>
      </c>
      <c r="D3623" s="25">
        <v>1.1416E-4</v>
      </c>
      <c r="E3623" s="25">
        <v>1.0802999999999999E-4</v>
      </c>
      <c r="F3623" s="25">
        <v>1.0869E-4</v>
      </c>
      <c r="G3623" s="25">
        <v>1.0738000000000001E-4</v>
      </c>
      <c r="H3623" s="25">
        <v>1.3584E-4</v>
      </c>
      <c r="I3623" s="9">
        <v>1.2213999999999999E-4</v>
      </c>
      <c r="J3623" s="9">
        <v>1.2506E-4</v>
      </c>
      <c r="K3623" s="9">
        <v>5.0859999999999998E-5</v>
      </c>
      <c r="L3623" s="9">
        <v>2.0273000000000001E-4</v>
      </c>
      <c r="M3623" s="9">
        <v>1.5880000000000001E-4</v>
      </c>
      <c r="N3623" s="9">
        <v>1.2951E-4</v>
      </c>
      <c r="O3623" s="9">
        <v>1.6394000000000001E-4</v>
      </c>
      <c r="P3623" s="9">
        <v>1.3624000000000001E-4</v>
      </c>
      <c r="Q3623" s="9">
        <v>1.0814E-4</v>
      </c>
      <c r="R3623" s="10">
        <v>2.124142302041986E-4</v>
      </c>
      <c r="S3623" s="10">
        <v>1.8874798432668211E-4</v>
      </c>
      <c r="T3623" s="10">
        <v>2.7540035690562611E-5</v>
      </c>
      <c r="U3623" s="10">
        <v>9.5030000000000003E-5</v>
      </c>
      <c r="V3623" s="25"/>
      <c r="W3623" s="25"/>
      <c r="X3623" s="25"/>
      <c r="Y3623" s="25"/>
      <c r="Z3623" s="25"/>
      <c r="AA3623" s="25"/>
    </row>
    <row r="3624" spans="1:27" x14ac:dyDescent="0.35">
      <c r="A3624" s="5">
        <v>3620</v>
      </c>
      <c r="B3624" s="5">
        <v>151</v>
      </c>
      <c r="C3624" s="5">
        <v>5</v>
      </c>
      <c r="D3624" s="25">
        <v>1.1415000000000001E-4</v>
      </c>
      <c r="E3624" s="25">
        <v>1.0896E-4</v>
      </c>
      <c r="F3624" s="25">
        <v>1.0068000000000001E-4</v>
      </c>
      <c r="G3624" s="25">
        <v>1.0641000000000001E-4</v>
      </c>
      <c r="H3624" s="25">
        <v>1.3164000000000001E-4</v>
      </c>
      <c r="I3624" s="9">
        <v>1.1616E-4</v>
      </c>
      <c r="J3624" s="9">
        <v>1.2178E-4</v>
      </c>
      <c r="K3624" s="9">
        <v>8.6890000000000003E-5</v>
      </c>
      <c r="L3624" s="9">
        <v>1.7260999999999999E-4</v>
      </c>
      <c r="M3624" s="9">
        <v>1.5086E-4</v>
      </c>
      <c r="N3624" s="9">
        <v>1.2077E-4</v>
      </c>
      <c r="O3624" s="9">
        <v>1.2835E-4</v>
      </c>
      <c r="P3624" s="9">
        <v>1.1561999999999999E-4</v>
      </c>
      <c r="Q3624" s="9">
        <v>1.0255999999999999E-4</v>
      </c>
      <c r="R3624" s="10">
        <v>2.1224048576519485E-4</v>
      </c>
      <c r="S3624" s="10">
        <v>1.8119000839817847E-4</v>
      </c>
      <c r="T3624" s="10">
        <v>4.7003018399789542E-6</v>
      </c>
      <c r="U3624" s="10">
        <v>9.5030000000000003E-5</v>
      </c>
      <c r="V3624" s="25"/>
      <c r="W3624" s="25"/>
      <c r="X3624" s="25"/>
      <c r="Y3624" s="25"/>
      <c r="Z3624" s="25"/>
      <c r="AA3624" s="25"/>
    </row>
    <row r="3625" spans="1:27" x14ac:dyDescent="0.35">
      <c r="A3625" s="5">
        <v>3621</v>
      </c>
      <c r="B3625" s="5">
        <v>151</v>
      </c>
      <c r="C3625" s="5">
        <v>5</v>
      </c>
      <c r="D3625" s="25">
        <v>1.1416E-4</v>
      </c>
      <c r="E3625" s="25">
        <v>1.1129999999999999E-4</v>
      </c>
      <c r="F3625" s="25">
        <v>1.1037E-4</v>
      </c>
      <c r="G3625" s="25">
        <v>6.2689999999999998E-5</v>
      </c>
      <c r="H3625" s="25">
        <v>7.3200000000000004E-5</v>
      </c>
      <c r="I3625" s="9">
        <v>1.1205999999999999E-4</v>
      </c>
      <c r="J3625" s="9">
        <v>1.1822E-4</v>
      </c>
      <c r="K3625" s="9">
        <v>1.2716E-4</v>
      </c>
      <c r="L3625" s="9">
        <v>1.3902000000000001E-4</v>
      </c>
      <c r="M3625" s="9">
        <v>1.3593000000000001E-4</v>
      </c>
      <c r="N3625" s="9">
        <v>1.1336E-4</v>
      </c>
      <c r="O3625" s="9">
        <v>8.3789999999999996E-5</v>
      </c>
      <c r="P3625" s="9">
        <v>8.5939999999999994E-5</v>
      </c>
      <c r="Q3625" s="9">
        <v>8.7919999999999998E-5</v>
      </c>
      <c r="R3625" s="10">
        <v>2.0968119060918244E-4</v>
      </c>
      <c r="S3625" s="10">
        <v>1.7669920438569828E-4</v>
      </c>
      <c r="T3625" s="10">
        <v>0</v>
      </c>
      <c r="U3625" s="10">
        <v>9.5030000000000003E-5</v>
      </c>
      <c r="V3625" s="25"/>
      <c r="W3625" s="25"/>
      <c r="X3625" s="25"/>
      <c r="Y3625" s="25"/>
      <c r="Z3625" s="25"/>
      <c r="AA3625" s="25"/>
    </row>
    <row r="3626" spans="1:27" x14ac:dyDescent="0.35">
      <c r="A3626" s="5">
        <v>3622</v>
      </c>
      <c r="B3626" s="5">
        <v>151</v>
      </c>
      <c r="C3626" s="5">
        <v>5</v>
      </c>
      <c r="D3626" s="25">
        <v>1.1415000000000001E-4</v>
      </c>
      <c r="E3626" s="25">
        <v>1.1475E-4</v>
      </c>
      <c r="F3626" s="25">
        <v>9.8369999999999995E-5</v>
      </c>
      <c r="G3626" s="25">
        <v>6.2830000000000007E-5</v>
      </c>
      <c r="H3626" s="25">
        <v>6.3330000000000005E-5</v>
      </c>
      <c r="I3626" s="9">
        <v>1.1226E-4</v>
      </c>
      <c r="J3626" s="9">
        <v>1.1258E-4</v>
      </c>
      <c r="K3626" s="9">
        <v>1.5048000000000001E-4</v>
      </c>
      <c r="L3626" s="9">
        <v>9.6860000000000004E-5</v>
      </c>
      <c r="M3626" s="9">
        <v>1.1407E-4</v>
      </c>
      <c r="N3626" s="9">
        <v>1.0574E-4</v>
      </c>
      <c r="O3626" s="9">
        <v>8.6470000000000004E-5</v>
      </c>
      <c r="P3626" s="9">
        <v>8.7280000000000005E-5</v>
      </c>
      <c r="Q3626" s="9">
        <v>8.7919999999999998E-5</v>
      </c>
      <c r="R3626" s="10">
        <v>2.068186814415604E-4</v>
      </c>
      <c r="S3626" s="10">
        <v>1.7432667538954359E-4</v>
      </c>
      <c r="T3626" s="10">
        <v>0</v>
      </c>
      <c r="U3626" s="10">
        <v>9.5030000000000003E-5</v>
      </c>
      <c r="V3626" s="25"/>
      <c r="W3626" s="25"/>
      <c r="X3626" s="25"/>
      <c r="Y3626" s="25"/>
      <c r="Z3626" s="25"/>
      <c r="AA3626" s="25"/>
    </row>
    <row r="3627" spans="1:27" x14ac:dyDescent="0.35">
      <c r="A3627" s="5">
        <v>3623</v>
      </c>
      <c r="B3627" s="5">
        <v>151</v>
      </c>
      <c r="C3627" s="5">
        <v>5</v>
      </c>
      <c r="D3627" s="25">
        <v>1.1416E-4</v>
      </c>
      <c r="E3627" s="25">
        <v>1.0704000000000001E-4</v>
      </c>
      <c r="F3627" s="25">
        <v>9.9850000000000001E-5</v>
      </c>
      <c r="G3627" s="25">
        <v>5.3140000000000003E-5</v>
      </c>
      <c r="H3627" s="25">
        <v>7.2420000000000001E-5</v>
      </c>
      <c r="I3627" s="9">
        <v>1.0713999999999999E-4</v>
      </c>
      <c r="J3627" s="9">
        <v>1.0575E-4</v>
      </c>
      <c r="K3627" s="9">
        <v>1.6318999999999999E-4</v>
      </c>
      <c r="L3627" s="9">
        <v>8.9710000000000007E-5</v>
      </c>
      <c r="M3627" s="9">
        <v>9.904E-5</v>
      </c>
      <c r="N3627" s="9">
        <v>9.9900000000000002E-5</v>
      </c>
      <c r="O3627" s="9">
        <v>7.7540000000000006E-5</v>
      </c>
      <c r="P3627" s="9">
        <v>7.2260000000000003E-5</v>
      </c>
      <c r="Q3627" s="9">
        <v>6.7000000000000002E-5</v>
      </c>
      <c r="R3627" s="10">
        <v>1.9088338102179862E-4</v>
      </c>
      <c r="S3627" s="10">
        <v>1.7849078179266162E-4</v>
      </c>
      <c r="T3627" s="10">
        <v>0</v>
      </c>
      <c r="U3627" s="10">
        <v>9.5030000000000003E-5</v>
      </c>
      <c r="V3627" s="25"/>
      <c r="W3627" s="25"/>
      <c r="X3627" s="25"/>
      <c r="Y3627" s="25"/>
      <c r="Z3627" s="25"/>
      <c r="AA3627" s="25"/>
    </row>
    <row r="3628" spans="1:27" x14ac:dyDescent="0.35">
      <c r="A3628" s="5">
        <v>3624</v>
      </c>
      <c r="B3628" s="5">
        <v>151</v>
      </c>
      <c r="C3628" s="5">
        <v>5</v>
      </c>
      <c r="D3628" s="25">
        <v>1.1415000000000001E-4</v>
      </c>
      <c r="E3628" s="25">
        <v>1.0896E-4</v>
      </c>
      <c r="F3628" s="25">
        <v>1.1514E-4</v>
      </c>
      <c r="G3628" s="25">
        <v>5.3220000000000002E-5</v>
      </c>
      <c r="H3628" s="25">
        <v>6.5660000000000005E-5</v>
      </c>
      <c r="I3628" s="9">
        <v>9.9240000000000005E-5</v>
      </c>
      <c r="J3628" s="9">
        <v>9.8060000000000006E-5</v>
      </c>
      <c r="K3628" s="9">
        <v>1.8014999999999999E-4</v>
      </c>
      <c r="L3628" s="9">
        <v>8.0210000000000006E-5</v>
      </c>
      <c r="M3628" s="9">
        <v>8.6080000000000003E-5</v>
      </c>
      <c r="N3628" s="9">
        <v>9.064E-5</v>
      </c>
      <c r="O3628" s="9">
        <v>6.2009999999999998E-5</v>
      </c>
      <c r="P3628" s="9">
        <v>6.0109999999999999E-5</v>
      </c>
      <c r="Q3628" s="9">
        <v>5.8310000000000002E-5</v>
      </c>
      <c r="R3628" s="10">
        <v>1.7453929956021263E-4</v>
      </c>
      <c r="S3628" s="10">
        <v>1.7892677482085059E-4</v>
      </c>
      <c r="T3628" s="10">
        <v>0</v>
      </c>
      <c r="U3628" s="10">
        <v>9.5030000000000003E-5</v>
      </c>
      <c r="V3628" s="25"/>
      <c r="W3628" s="25"/>
      <c r="X3628" s="25"/>
      <c r="Y3628" s="25"/>
      <c r="Z3628" s="25"/>
      <c r="AA3628" s="25"/>
    </row>
    <row r="3629" spans="1:27" x14ac:dyDescent="0.35">
      <c r="A3629" s="5">
        <v>3625</v>
      </c>
      <c r="B3629" s="5">
        <v>152</v>
      </c>
      <c r="C3629" s="5">
        <v>6</v>
      </c>
      <c r="D3629" s="25">
        <v>1.1416E-4</v>
      </c>
      <c r="E3629" s="25">
        <v>1.1425E-4</v>
      </c>
      <c r="F3629" s="25">
        <v>9.5730000000000007E-5</v>
      </c>
      <c r="G3629" s="25">
        <v>6.1299999999999999E-5</v>
      </c>
      <c r="H3629" s="25">
        <v>6.3299999999999994E-5</v>
      </c>
      <c r="I3629" s="9">
        <v>9.446E-5</v>
      </c>
      <c r="J3629" s="9">
        <v>9.2529999999999997E-5</v>
      </c>
      <c r="K3629" s="9">
        <v>1.8861999999999999E-4</v>
      </c>
      <c r="L3629" s="9">
        <v>6.6000000000000005E-5</v>
      </c>
      <c r="M3629" s="9">
        <v>7.3769999999999993E-5</v>
      </c>
      <c r="N3629" s="9">
        <v>8.106E-5</v>
      </c>
      <c r="O3629" s="9">
        <v>5.4079999999999997E-5</v>
      </c>
      <c r="P3629" s="9">
        <v>5.3499999999999999E-5</v>
      </c>
      <c r="Q3629" s="9">
        <v>5.308E-5</v>
      </c>
      <c r="R3629" s="10">
        <v>1.3183242387570984E-4</v>
      </c>
      <c r="S3629" s="10">
        <v>1.7879875257969201E-4</v>
      </c>
      <c r="T3629" s="10">
        <v>0</v>
      </c>
      <c r="U3629" s="10">
        <v>9.7540000000000005E-5</v>
      </c>
      <c r="V3629" s="25"/>
      <c r="W3629" s="25"/>
      <c r="X3629" s="25"/>
      <c r="Y3629" s="25"/>
      <c r="Z3629" s="25"/>
      <c r="AA3629" s="25"/>
    </row>
    <row r="3630" spans="1:27" x14ac:dyDescent="0.35">
      <c r="A3630" s="5">
        <v>3626</v>
      </c>
      <c r="B3630" s="5">
        <v>152</v>
      </c>
      <c r="C3630" s="5">
        <v>6</v>
      </c>
      <c r="D3630" s="25">
        <v>1.1415000000000001E-4</v>
      </c>
      <c r="E3630" s="25">
        <v>1.0933999999999999E-4</v>
      </c>
      <c r="F3630" s="25">
        <v>8.1559999999999998E-5</v>
      </c>
      <c r="G3630" s="25">
        <v>5.3270000000000003E-5</v>
      </c>
      <c r="H3630" s="25">
        <v>7.3919999999999997E-5</v>
      </c>
      <c r="I3630" s="9">
        <v>9.1819999999999998E-5</v>
      </c>
      <c r="J3630" s="9">
        <v>9.0049999999999993E-5</v>
      </c>
      <c r="K3630" s="9">
        <v>2.1617000000000001E-4</v>
      </c>
      <c r="L3630" s="9">
        <v>5.7089999999999997E-5</v>
      </c>
      <c r="M3630" s="9">
        <v>6.3540000000000005E-5</v>
      </c>
      <c r="N3630" s="9">
        <v>7.1849999999999998E-5</v>
      </c>
      <c r="O3630" s="9">
        <v>2.4280000000000001E-5</v>
      </c>
      <c r="P3630" s="9">
        <v>3.799E-5</v>
      </c>
      <c r="Q3630" s="9">
        <v>5.6539999999999997E-5</v>
      </c>
      <c r="R3630" s="10">
        <v>1.001242385081253E-4</v>
      </c>
      <c r="S3630" s="10">
        <v>1.7982424575563116E-4</v>
      </c>
      <c r="T3630" s="10">
        <v>0</v>
      </c>
      <c r="U3630" s="10">
        <v>9.7540000000000005E-5</v>
      </c>
      <c r="V3630" s="25"/>
      <c r="W3630" s="25"/>
      <c r="X3630" s="25"/>
      <c r="Y3630" s="25"/>
      <c r="Z3630" s="25"/>
      <c r="AA3630" s="25"/>
    </row>
    <row r="3631" spans="1:27" x14ac:dyDescent="0.35">
      <c r="A3631" s="5">
        <v>3627</v>
      </c>
      <c r="B3631" s="5">
        <v>152</v>
      </c>
      <c r="C3631" s="5">
        <v>6</v>
      </c>
      <c r="D3631" s="25">
        <v>1.1416E-4</v>
      </c>
      <c r="E3631" s="25">
        <v>1.0832000000000001E-4</v>
      </c>
      <c r="F3631" s="25">
        <v>8.4930000000000002E-5</v>
      </c>
      <c r="G3631" s="25">
        <v>5.4669999999999997E-5</v>
      </c>
      <c r="H3631" s="25">
        <v>6.8739999999999996E-5</v>
      </c>
      <c r="I3631" s="9">
        <v>9.1069999999999994E-5</v>
      </c>
      <c r="J3631" s="9">
        <v>8.933E-5</v>
      </c>
      <c r="K3631" s="9">
        <v>2.3101E-4</v>
      </c>
      <c r="L3631" s="9">
        <v>3.1699999999999998E-5</v>
      </c>
      <c r="M3631" s="9">
        <v>5.2009999999999998E-5</v>
      </c>
      <c r="N3631" s="9">
        <v>6.5370000000000006E-5</v>
      </c>
      <c r="O3631" s="9">
        <v>1.929E-5</v>
      </c>
      <c r="P3631" s="9">
        <v>3.7440000000000001E-5</v>
      </c>
      <c r="Q3631" s="9">
        <v>6.1020000000000002E-5</v>
      </c>
      <c r="R3631" s="10">
        <v>8.9735831845300332E-5</v>
      </c>
      <c r="S3631" s="10">
        <v>1.8094954716871717E-4</v>
      </c>
      <c r="T3631" s="10">
        <v>0</v>
      </c>
      <c r="U3631" s="10">
        <v>9.7540000000000005E-5</v>
      </c>
      <c r="V3631" s="25"/>
      <c r="W3631" s="25"/>
      <c r="X3631" s="25"/>
      <c r="Y3631" s="25"/>
      <c r="Z3631" s="25"/>
      <c r="AA3631" s="25"/>
    </row>
    <row r="3632" spans="1:27" x14ac:dyDescent="0.35">
      <c r="A3632" s="5">
        <v>3628</v>
      </c>
      <c r="B3632" s="5">
        <v>152</v>
      </c>
      <c r="C3632" s="5">
        <v>6</v>
      </c>
      <c r="D3632" s="25">
        <v>1.1415000000000001E-4</v>
      </c>
      <c r="E3632" s="25">
        <v>1.1383999999999999E-4</v>
      </c>
      <c r="F3632" s="25">
        <v>8.8540000000000003E-5</v>
      </c>
      <c r="G3632" s="25">
        <v>6.2630000000000002E-5</v>
      </c>
      <c r="H3632" s="25">
        <v>7.0610000000000003E-5</v>
      </c>
      <c r="I3632" s="9">
        <v>9.2120000000000006E-5</v>
      </c>
      <c r="J3632" s="9">
        <v>8.9530000000000005E-5</v>
      </c>
      <c r="K3632" s="9">
        <v>2.2889000000000001E-4</v>
      </c>
      <c r="L3632" s="9">
        <v>2.2629999999999998E-5</v>
      </c>
      <c r="M3632" s="9">
        <v>4.4029999999999997E-5</v>
      </c>
      <c r="N3632" s="9">
        <v>6.1690000000000001E-5</v>
      </c>
      <c r="O3632" s="9">
        <v>1.9300000000000002E-5</v>
      </c>
      <c r="P3632" s="9">
        <v>4.6810000000000001E-5</v>
      </c>
      <c r="Q3632" s="9">
        <v>7.962E-5</v>
      </c>
      <c r="R3632" s="10">
        <v>8.4935201341891916E-5</v>
      </c>
      <c r="S3632" s="10">
        <v>1.7875113656446568E-4</v>
      </c>
      <c r="T3632" s="10">
        <v>0</v>
      </c>
      <c r="U3632" s="10">
        <v>9.7540000000000005E-5</v>
      </c>
      <c r="V3632" s="25"/>
      <c r="W3632" s="25"/>
      <c r="X3632" s="25"/>
      <c r="Y3632" s="25"/>
      <c r="Z3632" s="25"/>
      <c r="AA3632" s="25"/>
    </row>
    <row r="3633" spans="1:27" x14ac:dyDescent="0.35">
      <c r="A3633" s="5">
        <v>3629</v>
      </c>
      <c r="B3633" s="5">
        <v>152</v>
      </c>
      <c r="C3633" s="5">
        <v>6</v>
      </c>
      <c r="D3633" s="25">
        <v>1.1416E-4</v>
      </c>
      <c r="E3633" s="25">
        <v>1.1743000000000001E-4</v>
      </c>
      <c r="F3633" s="25">
        <v>9.7319999999999997E-5</v>
      </c>
      <c r="G3633" s="25">
        <v>6.1550000000000005E-5</v>
      </c>
      <c r="H3633" s="25">
        <v>6.7999999999999999E-5</v>
      </c>
      <c r="I3633" s="9">
        <v>9.4779999999999997E-5</v>
      </c>
      <c r="J3633" s="9">
        <v>9.0409999999999997E-5</v>
      </c>
      <c r="K3633" s="9">
        <v>1.6318999999999999E-4</v>
      </c>
      <c r="L3633" s="9">
        <v>2.0239999999999999E-5</v>
      </c>
      <c r="M3633" s="9">
        <v>4.3229999999999998E-5</v>
      </c>
      <c r="N3633" s="9">
        <v>6.41E-5</v>
      </c>
      <c r="O3633" s="9">
        <v>2.406E-5</v>
      </c>
      <c r="P3633" s="9">
        <v>5.647E-5</v>
      </c>
      <c r="Q3633" s="9">
        <v>9.3369999999999995E-5</v>
      </c>
      <c r="R3633" s="10">
        <v>7.7844218958327512E-5</v>
      </c>
      <c r="S3633" s="10">
        <v>1.7453123155971665E-4</v>
      </c>
      <c r="T3633" s="10">
        <v>3.3258453452558667E-6</v>
      </c>
      <c r="U3633" s="10">
        <v>9.7540000000000005E-5</v>
      </c>
      <c r="V3633" s="25"/>
      <c r="W3633" s="25"/>
      <c r="X3633" s="25"/>
      <c r="Y3633" s="25"/>
      <c r="Z3633" s="25"/>
      <c r="AA3633" s="25"/>
    </row>
    <row r="3634" spans="1:27" x14ac:dyDescent="0.35">
      <c r="A3634" s="5">
        <v>3630</v>
      </c>
      <c r="B3634" s="5">
        <v>152</v>
      </c>
      <c r="C3634" s="5">
        <v>6</v>
      </c>
      <c r="D3634" s="25">
        <v>1.1415000000000001E-4</v>
      </c>
      <c r="E3634" s="25">
        <v>1.1033E-4</v>
      </c>
      <c r="F3634" s="25">
        <v>1.0098E-4</v>
      </c>
      <c r="G3634" s="25">
        <v>1.08E-4</v>
      </c>
      <c r="H3634" s="25">
        <v>1.3049000000000001E-4</v>
      </c>
      <c r="I3634" s="9">
        <v>1.0326E-4</v>
      </c>
      <c r="J3634" s="9">
        <v>9.8620000000000001E-5</v>
      </c>
      <c r="K3634" s="9">
        <v>9.7499999999999998E-5</v>
      </c>
      <c r="L3634" s="9">
        <v>2.3110000000000001E-5</v>
      </c>
      <c r="M3634" s="9">
        <v>4.8130000000000002E-5</v>
      </c>
      <c r="N3634" s="9">
        <v>7.0660000000000004E-5</v>
      </c>
      <c r="O3634" s="9">
        <v>4.7700000000000001E-5</v>
      </c>
      <c r="P3634" s="9">
        <v>7.7169999999999995E-5</v>
      </c>
      <c r="Q3634" s="9">
        <v>1.0746E-4</v>
      </c>
      <c r="R3634" s="10">
        <v>7.2947197510959659E-5</v>
      </c>
      <c r="S3634" s="10">
        <v>1.6824327896404937E-4</v>
      </c>
      <c r="T3634" s="10">
        <v>4.55776561089656E-5</v>
      </c>
      <c r="U3634" s="10">
        <v>9.7540000000000005E-5</v>
      </c>
      <c r="V3634" s="25"/>
      <c r="W3634" s="25"/>
      <c r="X3634" s="25"/>
      <c r="Y3634" s="25"/>
      <c r="Z3634" s="25"/>
      <c r="AA3634" s="25"/>
    </row>
    <row r="3635" spans="1:27" x14ac:dyDescent="0.35">
      <c r="A3635" s="5">
        <v>3631</v>
      </c>
      <c r="B3635" s="5">
        <v>152</v>
      </c>
      <c r="C3635" s="5">
        <v>6</v>
      </c>
      <c r="D3635" s="25">
        <v>1.1416E-4</v>
      </c>
      <c r="E3635" s="25">
        <v>1.0941E-4</v>
      </c>
      <c r="F3635" s="25">
        <v>1.0005000000000001E-4</v>
      </c>
      <c r="G3635" s="25">
        <v>1.1162000000000001E-4</v>
      </c>
      <c r="H3635" s="25">
        <v>1.3229E-4</v>
      </c>
      <c r="I3635" s="9">
        <v>1.1351E-4</v>
      </c>
      <c r="J3635" s="9">
        <v>1.1304E-4</v>
      </c>
      <c r="K3635" s="9">
        <v>7.2059999999999998E-5</v>
      </c>
      <c r="L3635" s="9">
        <v>4.2160000000000003E-5</v>
      </c>
      <c r="M3635" s="9">
        <v>5.9979999999999998E-5</v>
      </c>
      <c r="N3635" s="9">
        <v>8.0530000000000003E-5</v>
      </c>
      <c r="O3635" s="9">
        <v>1.1243000000000001E-4</v>
      </c>
      <c r="P3635" s="9">
        <v>1.1675000000000001E-4</v>
      </c>
      <c r="Q3635" s="9">
        <v>1.1184E-4</v>
      </c>
      <c r="R3635" s="10">
        <v>6.2652590984977165E-5</v>
      </c>
      <c r="S3635" s="10">
        <v>1.5439349504822264E-4</v>
      </c>
      <c r="T3635" s="10">
        <v>1.1604824651124936E-4</v>
      </c>
      <c r="U3635" s="10">
        <v>9.7540000000000005E-5</v>
      </c>
      <c r="V3635" s="25"/>
      <c r="W3635" s="25"/>
      <c r="X3635" s="25"/>
      <c r="Y3635" s="25"/>
      <c r="Z3635" s="25"/>
      <c r="AA3635" s="25"/>
    </row>
    <row r="3636" spans="1:27" x14ac:dyDescent="0.35">
      <c r="A3636" s="5">
        <v>3632</v>
      </c>
      <c r="B3636" s="5">
        <v>152</v>
      </c>
      <c r="C3636" s="5">
        <v>6</v>
      </c>
      <c r="D3636" s="25">
        <v>1.1415000000000001E-4</v>
      </c>
      <c r="E3636" s="25">
        <v>1.1678E-4</v>
      </c>
      <c r="F3636" s="25">
        <v>9.9209999999999994E-5</v>
      </c>
      <c r="G3636" s="25">
        <v>1.6328E-4</v>
      </c>
      <c r="H3636" s="25">
        <v>1.9949E-4</v>
      </c>
      <c r="I3636" s="9">
        <v>1.1882E-4</v>
      </c>
      <c r="J3636" s="9">
        <v>1.228E-4</v>
      </c>
      <c r="K3636" s="9">
        <v>5.5109999999999999E-5</v>
      </c>
      <c r="L3636" s="9">
        <v>9.6440000000000005E-5</v>
      </c>
      <c r="M3636" s="9">
        <v>8.3469999999999999E-5</v>
      </c>
      <c r="N3636" s="9">
        <v>9.0539999999999997E-5</v>
      </c>
      <c r="O3636" s="9">
        <v>1.9416E-4</v>
      </c>
      <c r="P3636" s="9">
        <v>1.7607000000000001E-4</v>
      </c>
      <c r="Q3636" s="9">
        <v>1.3600999999999999E-4</v>
      </c>
      <c r="R3636" s="10">
        <v>4.5690785962288157E-5</v>
      </c>
      <c r="S3636" s="10">
        <v>1.4022597924535639E-4</v>
      </c>
      <c r="T3636" s="10">
        <v>1.805374058716826E-4</v>
      </c>
      <c r="U3636" s="10">
        <v>9.7540000000000005E-5</v>
      </c>
      <c r="V3636" s="25"/>
      <c r="W3636" s="25"/>
      <c r="X3636" s="25"/>
      <c r="Y3636" s="25"/>
      <c r="Z3636" s="25"/>
      <c r="AA3636" s="25"/>
    </row>
    <row r="3637" spans="1:27" x14ac:dyDescent="0.35">
      <c r="A3637" s="5">
        <v>3633</v>
      </c>
      <c r="B3637" s="5">
        <v>152</v>
      </c>
      <c r="C3637" s="5">
        <v>6</v>
      </c>
      <c r="D3637" s="25">
        <v>1.1416E-4</v>
      </c>
      <c r="E3637" s="25">
        <v>1.1056999999999999E-4</v>
      </c>
      <c r="F3637" s="25">
        <v>9.9900000000000002E-5</v>
      </c>
      <c r="G3637" s="25">
        <v>1.6333E-4</v>
      </c>
      <c r="H3637" s="25">
        <v>1.9076999999999999E-4</v>
      </c>
      <c r="I3637" s="9">
        <v>1.2136E-4</v>
      </c>
      <c r="J3637" s="9">
        <v>1.2669999999999999E-4</v>
      </c>
      <c r="K3637" s="9">
        <v>2.332E-5</v>
      </c>
      <c r="L3637" s="9">
        <v>1.7117E-4</v>
      </c>
      <c r="M3637" s="9">
        <v>1.2286999999999999E-4</v>
      </c>
      <c r="N3637" s="9">
        <v>1.0420999999999999E-4</v>
      </c>
      <c r="O3637" s="9">
        <v>1.8928E-4</v>
      </c>
      <c r="P3637" s="9">
        <v>1.9437E-4</v>
      </c>
      <c r="Q3637" s="9">
        <v>1.7801000000000001E-4</v>
      </c>
      <c r="R3637" s="10">
        <v>4.3540343255171926E-5</v>
      </c>
      <c r="S3637" s="10">
        <v>1.376557306855764E-4</v>
      </c>
      <c r="T3637" s="10">
        <v>2.3329277923086884E-4</v>
      </c>
      <c r="U3637" s="10">
        <v>9.7540000000000005E-5</v>
      </c>
      <c r="V3637" s="25"/>
      <c r="W3637" s="25"/>
      <c r="X3637" s="25"/>
      <c r="Y3637" s="25"/>
      <c r="Z3637" s="25"/>
      <c r="AA3637" s="25"/>
    </row>
    <row r="3638" spans="1:27" x14ac:dyDescent="0.35">
      <c r="A3638" s="5">
        <v>3634</v>
      </c>
      <c r="B3638" s="5">
        <v>152</v>
      </c>
      <c r="C3638" s="5">
        <v>6</v>
      </c>
      <c r="D3638" s="25">
        <v>1.1415000000000001E-4</v>
      </c>
      <c r="E3638" s="25">
        <v>1.0923E-4</v>
      </c>
      <c r="F3638" s="25">
        <v>8.441E-5</v>
      </c>
      <c r="G3638" s="25">
        <v>1.6306E-4</v>
      </c>
      <c r="H3638" s="25">
        <v>1.8723000000000001E-4</v>
      </c>
      <c r="I3638" s="9">
        <v>1.2265999999999999E-4</v>
      </c>
      <c r="J3638" s="9">
        <v>1.2745000000000001E-4</v>
      </c>
      <c r="K3638" s="9">
        <v>2.12E-6</v>
      </c>
      <c r="L3638" s="9">
        <v>1.8333999999999999E-4</v>
      </c>
      <c r="M3638" s="9">
        <v>1.5860000000000001E-4</v>
      </c>
      <c r="N3638" s="9">
        <v>1.2454999999999999E-4</v>
      </c>
      <c r="O3638" s="9">
        <v>1.5103E-4</v>
      </c>
      <c r="P3638" s="9">
        <v>1.7471000000000001E-4</v>
      </c>
      <c r="Q3638" s="9">
        <v>1.8274E-4</v>
      </c>
      <c r="R3638" s="10">
        <v>4.9844006074947795E-5</v>
      </c>
      <c r="S3638" s="10">
        <v>1.4614219083617427E-4</v>
      </c>
      <c r="T3638" s="10">
        <v>4.0462472030764677E-4</v>
      </c>
      <c r="U3638" s="10">
        <v>9.7540000000000005E-5</v>
      </c>
      <c r="V3638" s="25"/>
      <c r="W3638" s="25"/>
      <c r="X3638" s="25"/>
      <c r="Y3638" s="25"/>
      <c r="Z3638" s="25"/>
      <c r="AA3638" s="25"/>
    </row>
    <row r="3639" spans="1:27" x14ac:dyDescent="0.35">
      <c r="A3639" s="5">
        <v>3635</v>
      </c>
      <c r="B3639" s="5">
        <v>152</v>
      </c>
      <c r="C3639" s="5">
        <v>6</v>
      </c>
      <c r="D3639" s="25">
        <v>1.1416E-4</v>
      </c>
      <c r="E3639" s="25">
        <v>1.0891999999999999E-4</v>
      </c>
      <c r="F3639" s="25">
        <v>8.5229999999999995E-5</v>
      </c>
      <c r="G3639" s="25">
        <v>1.6488000000000001E-4</v>
      </c>
      <c r="H3639" s="25">
        <v>1.9717000000000001E-4</v>
      </c>
      <c r="I3639" s="9">
        <v>1.2341000000000001E-4</v>
      </c>
      <c r="J3639" s="9">
        <v>1.2846999999999999E-4</v>
      </c>
      <c r="K3639" s="9">
        <v>0</v>
      </c>
      <c r="L3639" s="9">
        <v>1.5815E-4</v>
      </c>
      <c r="M3639" s="9">
        <v>1.7270999999999999E-4</v>
      </c>
      <c r="N3639" s="9">
        <v>1.4281999999999999E-4</v>
      </c>
      <c r="O3639" s="9">
        <v>1.4909E-4</v>
      </c>
      <c r="P3639" s="9">
        <v>1.7113E-4</v>
      </c>
      <c r="Q3639" s="9">
        <v>1.7773999999999999E-4</v>
      </c>
      <c r="R3639" s="10">
        <v>6.3435204823562562E-5</v>
      </c>
      <c r="S3639" s="10">
        <v>1.5734604009530863E-4</v>
      </c>
      <c r="T3639" s="10">
        <v>4.3758622328295046E-4</v>
      </c>
      <c r="U3639" s="10">
        <v>9.7540000000000005E-5</v>
      </c>
      <c r="V3639" s="25"/>
      <c r="W3639" s="25"/>
      <c r="X3639" s="25"/>
      <c r="Y3639" s="25"/>
      <c r="Z3639" s="25"/>
      <c r="AA3639" s="25"/>
    </row>
    <row r="3640" spans="1:27" x14ac:dyDescent="0.35">
      <c r="A3640" s="5">
        <v>3636</v>
      </c>
      <c r="B3640" s="5">
        <v>152</v>
      </c>
      <c r="C3640" s="5">
        <v>6</v>
      </c>
      <c r="D3640" s="25">
        <v>1.1415000000000001E-4</v>
      </c>
      <c r="E3640" s="25">
        <v>1.1064E-4</v>
      </c>
      <c r="F3640" s="25">
        <v>8.4450000000000006E-5</v>
      </c>
      <c r="G3640" s="25">
        <v>1.6700999999999999E-4</v>
      </c>
      <c r="H3640" s="25">
        <v>1.9281999999999999E-4</v>
      </c>
      <c r="I3640" s="9">
        <v>1.1925E-4</v>
      </c>
      <c r="J3640" s="9">
        <v>1.2742E-4</v>
      </c>
      <c r="K3640" s="9">
        <v>0</v>
      </c>
      <c r="L3640" s="9">
        <v>1.5228999999999999E-4</v>
      </c>
      <c r="M3640" s="9">
        <v>1.7454999999999999E-4</v>
      </c>
      <c r="N3640" s="9">
        <v>1.5652999999999999E-4</v>
      </c>
      <c r="O3640" s="9">
        <v>1.5254999999999999E-4</v>
      </c>
      <c r="P3640" s="9">
        <v>1.7107E-4</v>
      </c>
      <c r="Q3640" s="9">
        <v>1.7373000000000001E-4</v>
      </c>
      <c r="R3640" s="10">
        <v>6.7113038808653739E-5</v>
      </c>
      <c r="S3640" s="10">
        <v>1.54378734275824E-4</v>
      </c>
      <c r="T3640" s="10">
        <v>5.8191263952822483E-4</v>
      </c>
      <c r="U3640" s="10">
        <v>9.7540000000000005E-5</v>
      </c>
      <c r="V3640" s="25"/>
      <c r="W3640" s="25"/>
      <c r="X3640" s="25"/>
      <c r="Y3640" s="25"/>
      <c r="Z3640" s="25"/>
      <c r="AA3640" s="25"/>
    </row>
    <row r="3641" spans="1:27" x14ac:dyDescent="0.35">
      <c r="A3641" s="5">
        <v>3637</v>
      </c>
      <c r="B3641" s="5">
        <v>152</v>
      </c>
      <c r="C3641" s="5">
        <v>6</v>
      </c>
      <c r="D3641" s="25">
        <v>1.1416E-4</v>
      </c>
      <c r="E3641" s="25">
        <v>1.1148E-4</v>
      </c>
      <c r="F3641" s="25">
        <v>8.687E-5</v>
      </c>
      <c r="G3641" s="25">
        <v>1.5959000000000001E-4</v>
      </c>
      <c r="H3641" s="25">
        <v>1.9729E-4</v>
      </c>
      <c r="I3641" s="9">
        <v>1.1906E-4</v>
      </c>
      <c r="J3641" s="9">
        <v>1.2805E-4</v>
      </c>
      <c r="K3641" s="9">
        <v>0</v>
      </c>
      <c r="L3641" s="9">
        <v>1.5269E-4</v>
      </c>
      <c r="M3641" s="9">
        <v>1.7325000000000001E-4</v>
      </c>
      <c r="N3641" s="9">
        <v>1.6594E-4</v>
      </c>
      <c r="O3641" s="9">
        <v>1.4646E-4</v>
      </c>
      <c r="P3641" s="9">
        <v>1.6469E-4</v>
      </c>
      <c r="Q3641" s="9">
        <v>1.6809999999999999E-4</v>
      </c>
      <c r="R3641" s="10">
        <v>6.8277832318795859E-5</v>
      </c>
      <c r="S3641" s="10">
        <v>1.5013065980601988E-4</v>
      </c>
      <c r="T3641" s="10">
        <v>7.3993271492462916E-4</v>
      </c>
      <c r="U3641" s="10">
        <v>9.7540000000000005E-5</v>
      </c>
      <c r="V3641" s="25"/>
      <c r="W3641" s="25"/>
      <c r="X3641" s="25"/>
      <c r="Y3641" s="25"/>
      <c r="Z3641" s="25"/>
      <c r="AA3641" s="25"/>
    </row>
    <row r="3642" spans="1:27" x14ac:dyDescent="0.35">
      <c r="A3642" s="5">
        <v>3638</v>
      </c>
      <c r="B3642" s="5">
        <v>152</v>
      </c>
      <c r="C3642" s="5">
        <v>6</v>
      </c>
      <c r="D3642" s="25">
        <v>1.1415000000000001E-4</v>
      </c>
      <c r="E3642" s="25">
        <v>1.0709000000000001E-4</v>
      </c>
      <c r="F3642" s="25">
        <v>8.1310000000000006E-5</v>
      </c>
      <c r="G3642" s="25">
        <v>1.6406E-4</v>
      </c>
      <c r="H3642" s="25">
        <v>1.9689999999999999E-4</v>
      </c>
      <c r="I3642" s="9">
        <v>1.1807E-4</v>
      </c>
      <c r="J3642" s="9">
        <v>1.2752999999999999E-4</v>
      </c>
      <c r="K3642" s="9">
        <v>0</v>
      </c>
      <c r="L3642" s="9">
        <v>1.4758999999999999E-4</v>
      </c>
      <c r="M3642" s="9">
        <v>1.6982E-4</v>
      </c>
      <c r="N3642" s="9">
        <v>1.7043000000000001E-4</v>
      </c>
      <c r="O3642" s="9">
        <v>1.6072999999999999E-4</v>
      </c>
      <c r="P3642" s="9">
        <v>1.6961999999999999E-4</v>
      </c>
      <c r="Q3642" s="9">
        <v>1.6155E-4</v>
      </c>
      <c r="R3642" s="10">
        <v>7.2296967164964883E-5</v>
      </c>
      <c r="S3642" s="10">
        <v>1.5118422994936311E-4</v>
      </c>
      <c r="T3642" s="10">
        <v>5.0283048528554635E-4</v>
      </c>
      <c r="U3642" s="10">
        <v>9.7540000000000005E-5</v>
      </c>
      <c r="V3642" s="25"/>
      <c r="W3642" s="25"/>
      <c r="X3642" s="25"/>
      <c r="Y3642" s="25"/>
      <c r="Z3642" s="25"/>
      <c r="AA3642" s="25"/>
    </row>
    <row r="3643" spans="1:27" x14ac:dyDescent="0.35">
      <c r="A3643" s="5">
        <v>3639</v>
      </c>
      <c r="B3643" s="5">
        <v>152</v>
      </c>
      <c r="C3643" s="5">
        <v>6</v>
      </c>
      <c r="D3643" s="25">
        <v>1.1416E-4</v>
      </c>
      <c r="E3643" s="25">
        <v>1.1572E-4</v>
      </c>
      <c r="F3643" s="25">
        <v>8.195E-5</v>
      </c>
      <c r="G3643" s="25">
        <v>1.6757E-4</v>
      </c>
      <c r="H3643" s="25">
        <v>1.9964000000000001E-4</v>
      </c>
      <c r="I3643" s="9">
        <v>1.1674E-4</v>
      </c>
      <c r="J3643" s="9">
        <v>1.2732999999999999E-4</v>
      </c>
      <c r="K3643" s="9">
        <v>0</v>
      </c>
      <c r="L3643" s="9">
        <v>1.5794999999999999E-4</v>
      </c>
      <c r="M3643" s="9">
        <v>1.6878999999999999E-4</v>
      </c>
      <c r="N3643" s="9">
        <v>1.7009999999999999E-4</v>
      </c>
      <c r="O3643" s="9">
        <v>1.6505E-4</v>
      </c>
      <c r="P3643" s="9">
        <v>1.6787E-4</v>
      </c>
      <c r="Q3643" s="9">
        <v>1.5312E-4</v>
      </c>
      <c r="R3643" s="10">
        <v>7.2218135220937277E-5</v>
      </c>
      <c r="S3643" s="10">
        <v>1.5601823969270412E-4</v>
      </c>
      <c r="T3643" s="10">
        <v>4.0736514899774283E-4</v>
      </c>
      <c r="U3643" s="10">
        <v>9.7540000000000005E-5</v>
      </c>
      <c r="V3643" s="25"/>
      <c r="W3643" s="25"/>
      <c r="X3643" s="25"/>
      <c r="Y3643" s="25"/>
      <c r="Z3643" s="25"/>
      <c r="AA3643" s="25"/>
    </row>
    <row r="3644" spans="1:27" x14ac:dyDescent="0.35">
      <c r="A3644" s="5">
        <v>3640</v>
      </c>
      <c r="B3644" s="5">
        <v>152</v>
      </c>
      <c r="C3644" s="5">
        <v>6</v>
      </c>
      <c r="D3644" s="25">
        <v>1.1415000000000001E-4</v>
      </c>
      <c r="E3644" s="25">
        <v>1.1306000000000001E-4</v>
      </c>
      <c r="F3644" s="25">
        <v>9.8759999999999996E-5</v>
      </c>
      <c r="G3644" s="25">
        <v>1.6259999999999999E-4</v>
      </c>
      <c r="H3644" s="25">
        <v>1.9138E-4</v>
      </c>
      <c r="I3644" s="9">
        <v>1.1518000000000001E-4</v>
      </c>
      <c r="J3644" s="9">
        <v>1.2718000000000001E-4</v>
      </c>
      <c r="K3644" s="9">
        <v>0</v>
      </c>
      <c r="L3644" s="9">
        <v>1.6322999999999999E-4</v>
      </c>
      <c r="M3644" s="9">
        <v>1.6825999999999999E-4</v>
      </c>
      <c r="N3644" s="9">
        <v>1.6634000000000001E-4</v>
      </c>
      <c r="O3644" s="9">
        <v>1.772E-4</v>
      </c>
      <c r="P3644" s="9">
        <v>1.5333999999999999E-4</v>
      </c>
      <c r="Q3644" s="9">
        <v>1.104E-4</v>
      </c>
      <c r="R3644" s="10">
        <v>6.2110968827399748E-5</v>
      </c>
      <c r="S3644" s="10">
        <v>1.6143927572725397E-4</v>
      </c>
      <c r="T3644" s="10">
        <v>3.774495094891403E-4</v>
      </c>
      <c r="U3644" s="10">
        <v>9.7540000000000005E-5</v>
      </c>
      <c r="V3644" s="25"/>
      <c r="W3644" s="25"/>
      <c r="X3644" s="25"/>
      <c r="Y3644" s="25"/>
      <c r="Z3644" s="25"/>
      <c r="AA3644" s="25"/>
    </row>
    <row r="3645" spans="1:27" x14ac:dyDescent="0.35">
      <c r="A3645" s="5">
        <v>3641</v>
      </c>
      <c r="B3645" s="5">
        <v>152</v>
      </c>
      <c r="C3645" s="5">
        <v>6</v>
      </c>
      <c r="D3645" s="25">
        <v>1.1416E-4</v>
      </c>
      <c r="E3645" s="25">
        <v>1.1746E-4</v>
      </c>
      <c r="F3645" s="25">
        <v>9.6299999999999996E-5</v>
      </c>
      <c r="G3645" s="25">
        <v>1.5641E-4</v>
      </c>
      <c r="H3645" s="25">
        <v>1.8914999999999999E-4</v>
      </c>
      <c r="I3645" s="9">
        <v>1.1751E-4</v>
      </c>
      <c r="J3645" s="9">
        <v>1.2658999999999999E-4</v>
      </c>
      <c r="K3645" s="9">
        <v>0</v>
      </c>
      <c r="L3645" s="9">
        <v>1.7394E-4</v>
      </c>
      <c r="M3645" s="9">
        <v>1.6284000000000001E-4</v>
      </c>
      <c r="N3645" s="9">
        <v>1.5281E-4</v>
      </c>
      <c r="O3645" s="9">
        <v>1.8906000000000001E-4</v>
      </c>
      <c r="P3645" s="9">
        <v>1.5823000000000001E-4</v>
      </c>
      <c r="Q3645" s="9">
        <v>1.0643E-4</v>
      </c>
      <c r="R3645" s="10">
        <v>5.8845426165709801E-5</v>
      </c>
      <c r="S3645" s="10">
        <v>1.6500003070018155E-4</v>
      </c>
      <c r="T3645" s="10">
        <v>2.3686466925727876E-4</v>
      </c>
      <c r="U3645" s="10">
        <v>9.7540000000000005E-5</v>
      </c>
      <c r="V3645" s="25"/>
      <c r="W3645" s="25"/>
      <c r="X3645" s="25"/>
      <c r="Y3645" s="25"/>
      <c r="Z3645" s="25"/>
      <c r="AA3645" s="25"/>
    </row>
    <row r="3646" spans="1:27" x14ac:dyDescent="0.35">
      <c r="A3646" s="5">
        <v>3642</v>
      </c>
      <c r="B3646" s="5">
        <v>152</v>
      </c>
      <c r="C3646" s="5">
        <v>6</v>
      </c>
      <c r="D3646" s="25">
        <v>1.1415000000000001E-4</v>
      </c>
      <c r="E3646" s="25">
        <v>1.1279E-4</v>
      </c>
      <c r="F3646" s="25">
        <v>8.9800000000000001E-5</v>
      </c>
      <c r="G3646" s="25">
        <v>1.6547999999999999E-4</v>
      </c>
      <c r="H3646" s="25">
        <v>1.9662999999999999E-4</v>
      </c>
      <c r="I3646" s="9">
        <v>1.1874E-4</v>
      </c>
      <c r="J3646" s="9">
        <v>1.2146000000000001E-4</v>
      </c>
      <c r="K3646" s="9">
        <v>0</v>
      </c>
      <c r="L3646" s="9">
        <v>1.8551E-4</v>
      </c>
      <c r="M3646" s="9">
        <v>1.5967999999999999E-4</v>
      </c>
      <c r="N3646" s="9">
        <v>1.3929E-4</v>
      </c>
      <c r="O3646" s="9">
        <v>1.8315000000000001E-4</v>
      </c>
      <c r="P3646" s="9">
        <v>1.6050999999999999E-4</v>
      </c>
      <c r="Q3646" s="9">
        <v>1.1776E-4</v>
      </c>
      <c r="R3646" s="10">
        <v>5.095032427187362E-5</v>
      </c>
      <c r="S3646" s="10">
        <v>1.7185427757633657E-4</v>
      </c>
      <c r="T3646" s="10">
        <v>1.519792542591029E-4</v>
      </c>
      <c r="U3646" s="10">
        <v>9.7540000000000005E-5</v>
      </c>
      <c r="V3646" s="25"/>
      <c r="W3646" s="25"/>
      <c r="X3646" s="25"/>
      <c r="Y3646" s="25"/>
      <c r="Z3646" s="25"/>
      <c r="AA3646" s="25"/>
    </row>
    <row r="3647" spans="1:27" x14ac:dyDescent="0.35">
      <c r="A3647" s="5">
        <v>3643</v>
      </c>
      <c r="B3647" s="5">
        <v>152</v>
      </c>
      <c r="C3647" s="5">
        <v>6</v>
      </c>
      <c r="D3647" s="25">
        <v>1.1416E-4</v>
      </c>
      <c r="E3647" s="25">
        <v>1.1572E-4</v>
      </c>
      <c r="F3647" s="25">
        <v>1.0236E-4</v>
      </c>
      <c r="G3647" s="25">
        <v>1.0598E-4</v>
      </c>
      <c r="H3647" s="25">
        <v>1.2662E-4</v>
      </c>
      <c r="I3647" s="9">
        <v>1.1586000000000001E-4</v>
      </c>
      <c r="J3647" s="9">
        <v>1.1836E-4</v>
      </c>
      <c r="K3647" s="9">
        <v>0</v>
      </c>
      <c r="L3647" s="9">
        <v>1.8338E-4</v>
      </c>
      <c r="M3647" s="9">
        <v>1.593E-4</v>
      </c>
      <c r="N3647" s="9">
        <v>1.3019E-4</v>
      </c>
      <c r="O3647" s="9">
        <v>1.4783999999999999E-4</v>
      </c>
      <c r="P3647" s="9">
        <v>1.3467000000000001E-4</v>
      </c>
      <c r="Q3647" s="9">
        <v>1.0689E-4</v>
      </c>
      <c r="R3647" s="10">
        <v>5.9616745026335106E-5</v>
      </c>
      <c r="S3647" s="10">
        <v>1.8361709882540252E-4</v>
      </c>
      <c r="T3647" s="10">
        <v>3.4870470329085743E-6</v>
      </c>
      <c r="U3647" s="10">
        <v>9.7540000000000005E-5</v>
      </c>
      <c r="V3647" s="25"/>
      <c r="W3647" s="25"/>
      <c r="X3647" s="25"/>
      <c r="Y3647" s="25"/>
      <c r="Z3647" s="25"/>
      <c r="AA3647" s="25"/>
    </row>
    <row r="3648" spans="1:27" x14ac:dyDescent="0.35">
      <c r="A3648" s="5">
        <v>3644</v>
      </c>
      <c r="B3648" s="5">
        <v>152</v>
      </c>
      <c r="C3648" s="5">
        <v>6</v>
      </c>
      <c r="D3648" s="25">
        <v>1.1415000000000001E-4</v>
      </c>
      <c r="E3648" s="25">
        <v>1.1026E-4</v>
      </c>
      <c r="F3648" s="25">
        <v>9.2499999999999999E-5</v>
      </c>
      <c r="G3648" s="25">
        <v>1.0631E-4</v>
      </c>
      <c r="H3648" s="25">
        <v>1.3276E-4</v>
      </c>
      <c r="I3648" s="9">
        <v>1.13E-4</v>
      </c>
      <c r="J3648" s="9">
        <v>1.1534E-4</v>
      </c>
      <c r="K3648" s="9">
        <v>0</v>
      </c>
      <c r="L3648" s="9">
        <v>1.5579E-4</v>
      </c>
      <c r="M3648" s="9">
        <v>1.5050999999999999E-4</v>
      </c>
      <c r="N3648" s="9">
        <v>1.2098E-4</v>
      </c>
      <c r="O3648" s="9">
        <v>1.1825E-4</v>
      </c>
      <c r="P3648" s="9">
        <v>1.1521E-4</v>
      </c>
      <c r="Q3648" s="9">
        <v>1.022E-4</v>
      </c>
      <c r="R3648" s="10">
        <v>5.8240388542455071E-5</v>
      </c>
      <c r="S3648" s="10">
        <v>1.8807623620239371E-4</v>
      </c>
      <c r="T3648" s="10">
        <v>0</v>
      </c>
      <c r="U3648" s="10">
        <v>9.7540000000000005E-5</v>
      </c>
      <c r="V3648" s="25"/>
      <c r="W3648" s="25"/>
      <c r="X3648" s="25"/>
      <c r="Y3648" s="25"/>
      <c r="Z3648" s="25"/>
      <c r="AA3648" s="25"/>
    </row>
    <row r="3649" spans="1:27" x14ac:dyDescent="0.35">
      <c r="A3649" s="5">
        <v>3645</v>
      </c>
      <c r="B3649" s="5">
        <v>152</v>
      </c>
      <c r="C3649" s="5">
        <v>6</v>
      </c>
      <c r="D3649" s="25">
        <v>1.1416E-4</v>
      </c>
      <c r="E3649" s="25">
        <v>1.12E-4</v>
      </c>
      <c r="F3649" s="25">
        <v>1.0009999999999999E-4</v>
      </c>
      <c r="G3649" s="25">
        <v>5.4469999999999999E-5</v>
      </c>
      <c r="H3649" s="25">
        <v>6.5439999999999997E-5</v>
      </c>
      <c r="I3649" s="9">
        <v>1.1011E-4</v>
      </c>
      <c r="J3649" s="9">
        <v>1.1196000000000001E-4</v>
      </c>
      <c r="K3649" s="9">
        <v>0</v>
      </c>
      <c r="L3649" s="9">
        <v>1.2735000000000001E-4</v>
      </c>
      <c r="M3649" s="9">
        <v>1.3535000000000001E-4</v>
      </c>
      <c r="N3649" s="9">
        <v>1.133E-4</v>
      </c>
      <c r="O3649" s="9">
        <v>8.1069999999999995E-5</v>
      </c>
      <c r="P3649" s="9">
        <v>8.7200000000000005E-5</v>
      </c>
      <c r="Q3649" s="9">
        <v>8.9220000000000003E-5</v>
      </c>
      <c r="R3649" s="10">
        <v>6.7019711850250868E-5</v>
      </c>
      <c r="S3649" s="10">
        <v>1.88207447481366E-4</v>
      </c>
      <c r="T3649" s="10">
        <v>0</v>
      </c>
      <c r="U3649" s="10">
        <v>9.7540000000000005E-5</v>
      </c>
      <c r="V3649" s="25"/>
      <c r="W3649" s="25"/>
      <c r="X3649" s="25"/>
      <c r="Y3649" s="25"/>
      <c r="Z3649" s="25"/>
      <c r="AA3649" s="25"/>
    </row>
    <row r="3650" spans="1:27" x14ac:dyDescent="0.35">
      <c r="A3650" s="5">
        <v>3646</v>
      </c>
      <c r="B3650" s="5">
        <v>152</v>
      </c>
      <c r="C3650" s="5">
        <v>6</v>
      </c>
      <c r="D3650" s="25">
        <v>1.1415000000000001E-4</v>
      </c>
      <c r="E3650" s="25">
        <v>1.143E-4</v>
      </c>
      <c r="F3650" s="25">
        <v>9.1009999999999998E-5</v>
      </c>
      <c r="G3650" s="25">
        <v>5.6669999999999998E-5</v>
      </c>
      <c r="H3650" s="25">
        <v>7.6240000000000002E-5</v>
      </c>
      <c r="I3650" s="9">
        <v>1.1203E-4</v>
      </c>
      <c r="J3650" s="9">
        <v>1.1141000000000001E-4</v>
      </c>
      <c r="K3650" s="9">
        <v>0</v>
      </c>
      <c r="L3650" s="9">
        <v>9.2029999999999998E-5</v>
      </c>
      <c r="M3650" s="9">
        <v>1.1412E-4</v>
      </c>
      <c r="N3650" s="9">
        <v>1.0585E-4</v>
      </c>
      <c r="O3650" s="9">
        <v>8.2249999999999993E-5</v>
      </c>
      <c r="P3650" s="9">
        <v>8.7310000000000003E-5</v>
      </c>
      <c r="Q3650" s="9">
        <v>8.7949999999999996E-5</v>
      </c>
      <c r="R3650" s="10">
        <v>8.6289665300023609E-5</v>
      </c>
      <c r="S3650" s="10">
        <v>1.8882983730028505E-4</v>
      </c>
      <c r="T3650" s="10">
        <v>0</v>
      </c>
      <c r="U3650" s="10">
        <v>9.7540000000000005E-5</v>
      </c>
      <c r="V3650" s="25"/>
      <c r="W3650" s="25"/>
      <c r="X3650" s="25"/>
      <c r="Y3650" s="25"/>
      <c r="Z3650" s="25"/>
      <c r="AA3650" s="25"/>
    </row>
    <row r="3651" spans="1:27" x14ac:dyDescent="0.35">
      <c r="A3651" s="5">
        <v>3647</v>
      </c>
      <c r="B3651" s="5">
        <v>152</v>
      </c>
      <c r="C3651" s="5">
        <v>6</v>
      </c>
      <c r="D3651" s="25">
        <v>1.1416E-4</v>
      </c>
      <c r="E3651" s="25">
        <v>1.1174E-4</v>
      </c>
      <c r="F3651" s="25">
        <v>8.2689999999999996E-5</v>
      </c>
      <c r="G3651" s="25">
        <v>5.524E-5</v>
      </c>
      <c r="H3651" s="25">
        <v>6.4319999999999994E-5</v>
      </c>
      <c r="I3651" s="9">
        <v>1.0738000000000001E-4</v>
      </c>
      <c r="J3651" s="9">
        <v>1.0584E-4</v>
      </c>
      <c r="K3651" s="9">
        <v>0</v>
      </c>
      <c r="L3651" s="9">
        <v>8.5190000000000003E-5</v>
      </c>
      <c r="M3651" s="9">
        <v>9.9270000000000003E-5</v>
      </c>
      <c r="N3651" s="9">
        <v>9.9970000000000007E-5</v>
      </c>
      <c r="O3651" s="9">
        <v>7.4040000000000003E-5</v>
      </c>
      <c r="P3651" s="9">
        <v>7.1799999999999997E-5</v>
      </c>
      <c r="Q3651" s="9">
        <v>6.6569999999999995E-5</v>
      </c>
      <c r="R3651" s="10">
        <v>1.1156678473420283E-4</v>
      </c>
      <c r="S3651" s="10">
        <v>1.8929222029311584E-4</v>
      </c>
      <c r="T3651" s="10">
        <v>0</v>
      </c>
      <c r="U3651" s="10">
        <v>9.7540000000000005E-5</v>
      </c>
      <c r="V3651" s="25"/>
      <c r="W3651" s="25"/>
      <c r="X3651" s="25"/>
      <c r="Y3651" s="25"/>
      <c r="Z3651" s="25"/>
      <c r="AA3651" s="25"/>
    </row>
    <row r="3652" spans="1:27" x14ac:dyDescent="0.35">
      <c r="A3652" s="5">
        <v>3648</v>
      </c>
      <c r="B3652" s="5">
        <v>152</v>
      </c>
      <c r="C3652" s="5">
        <v>6</v>
      </c>
      <c r="D3652" s="25">
        <v>1.1415000000000001E-4</v>
      </c>
      <c r="E3652" s="25">
        <v>1.1175000000000001E-4</v>
      </c>
      <c r="F3652" s="25">
        <v>9.9380000000000001E-5</v>
      </c>
      <c r="G3652" s="25">
        <v>5.5340000000000002E-5</v>
      </c>
      <c r="H3652" s="25">
        <v>7.0549999999999994E-5</v>
      </c>
      <c r="I3652" s="9">
        <v>9.9320000000000005E-5</v>
      </c>
      <c r="J3652" s="9">
        <v>9.7969999999999999E-5</v>
      </c>
      <c r="K3652" s="9">
        <v>8.4800000000000001E-6</v>
      </c>
      <c r="L3652" s="9">
        <v>7.6509999999999998E-5</v>
      </c>
      <c r="M3652" s="9">
        <v>8.6089999999999997E-5</v>
      </c>
      <c r="N3652" s="9">
        <v>9.0610000000000002E-5</v>
      </c>
      <c r="O3652" s="9">
        <v>6.177E-5</v>
      </c>
      <c r="P3652" s="9">
        <v>6.0909999999999998E-5</v>
      </c>
      <c r="Q3652" s="9">
        <v>5.9089999999999998E-5</v>
      </c>
      <c r="R3652" s="10">
        <v>1.5746847348637363E-4</v>
      </c>
      <c r="S3652" s="10">
        <v>1.8945318000278895E-4</v>
      </c>
      <c r="T3652" s="10">
        <v>0</v>
      </c>
      <c r="U3652" s="10">
        <v>9.7540000000000005E-5</v>
      </c>
      <c r="V3652" s="25"/>
      <c r="W3652" s="25"/>
      <c r="X3652" s="25"/>
      <c r="Y3652" s="25"/>
      <c r="Z3652" s="25"/>
      <c r="AA3652" s="25"/>
    </row>
    <row r="3653" spans="1:27" x14ac:dyDescent="0.35">
      <c r="A3653" s="5">
        <v>3649</v>
      </c>
      <c r="B3653" s="5">
        <v>153</v>
      </c>
      <c r="C3653" s="5">
        <v>6</v>
      </c>
      <c r="D3653" s="25">
        <v>1.1416E-4</v>
      </c>
      <c r="E3653" s="25">
        <v>1.1309E-4</v>
      </c>
      <c r="F3653" s="25">
        <v>1.0762E-4</v>
      </c>
      <c r="G3653" s="25">
        <v>5.9249999999999997E-5</v>
      </c>
      <c r="H3653" s="25">
        <v>3.9020000000000002E-5</v>
      </c>
      <c r="I3653" s="9">
        <v>9.4920000000000006E-5</v>
      </c>
      <c r="J3653" s="9">
        <v>9.2479999999999995E-5</v>
      </c>
      <c r="K3653" s="9">
        <v>3.392E-5</v>
      </c>
      <c r="L3653" s="9">
        <v>6.5019999999999998E-5</v>
      </c>
      <c r="M3653" s="9">
        <v>7.3990000000000001E-5</v>
      </c>
      <c r="N3653" s="9">
        <v>8.1240000000000001E-5</v>
      </c>
      <c r="O3653" s="9">
        <v>6.8769999999999994E-5</v>
      </c>
      <c r="P3653" s="9">
        <v>6.1229999999999995E-5</v>
      </c>
      <c r="Q3653" s="9">
        <v>5.3999999999999998E-5</v>
      </c>
      <c r="R3653" s="10">
        <v>1.9561812178147336E-4</v>
      </c>
      <c r="S3653" s="10">
        <v>1.9004303368182389E-4</v>
      </c>
      <c r="T3653" s="10">
        <v>0</v>
      </c>
      <c r="U3653" s="10">
        <v>9.7200000000000004E-5</v>
      </c>
      <c r="V3653" s="25"/>
      <c r="W3653" s="25"/>
      <c r="X3653" s="25"/>
      <c r="Y3653" s="25"/>
      <c r="Z3653" s="25"/>
      <c r="AA3653" s="25"/>
    </row>
    <row r="3654" spans="1:27" x14ac:dyDescent="0.35">
      <c r="A3654" s="5">
        <v>3650</v>
      </c>
      <c r="B3654" s="5">
        <v>153</v>
      </c>
      <c r="C3654" s="5">
        <v>6</v>
      </c>
      <c r="D3654" s="25">
        <v>1.1415000000000001E-4</v>
      </c>
      <c r="E3654" s="25">
        <v>1.0666999999999999E-4</v>
      </c>
      <c r="F3654" s="25">
        <v>1.2441000000000001E-4</v>
      </c>
      <c r="G3654" s="25">
        <v>6.0239999999999999E-5</v>
      </c>
      <c r="H3654" s="25">
        <v>4.2849999999999998E-5</v>
      </c>
      <c r="I3654" s="9">
        <v>9.2059999999999996E-5</v>
      </c>
      <c r="J3654" s="9">
        <v>9.0199999999999997E-5</v>
      </c>
      <c r="K3654" s="9">
        <v>3.1789999999999999E-5</v>
      </c>
      <c r="L3654" s="9">
        <v>6.8250000000000006E-5</v>
      </c>
      <c r="M3654" s="9">
        <v>6.6539999999999997E-5</v>
      </c>
      <c r="N3654" s="9">
        <v>7.2230000000000005E-5</v>
      </c>
      <c r="O3654" s="9">
        <v>4.0380000000000003E-5</v>
      </c>
      <c r="P3654" s="9">
        <v>4.617E-5</v>
      </c>
      <c r="Q3654" s="9">
        <v>5.6589999999999999E-5</v>
      </c>
      <c r="R3654" s="10">
        <v>2.0752883087881048E-4</v>
      </c>
      <c r="S3654" s="10">
        <v>1.9019996998428124E-4</v>
      </c>
      <c r="T3654" s="10">
        <v>0</v>
      </c>
      <c r="U3654" s="10">
        <v>9.7200000000000004E-5</v>
      </c>
      <c r="V3654" s="25"/>
      <c r="W3654" s="25"/>
      <c r="X3654" s="25"/>
      <c r="Y3654" s="25"/>
      <c r="Z3654" s="25"/>
      <c r="AA3654" s="25"/>
    </row>
    <row r="3655" spans="1:27" x14ac:dyDescent="0.35">
      <c r="A3655" s="5">
        <v>3651</v>
      </c>
      <c r="B3655" s="5">
        <v>153</v>
      </c>
      <c r="C3655" s="5">
        <v>6</v>
      </c>
      <c r="D3655" s="25">
        <v>1.1416E-4</v>
      </c>
      <c r="E3655" s="25">
        <v>1.1511E-4</v>
      </c>
      <c r="F3655" s="25">
        <v>1.1389E-4</v>
      </c>
      <c r="G3655" s="25">
        <v>5.5250000000000001E-5</v>
      </c>
      <c r="H3655" s="25">
        <v>4.3789999999999999E-5</v>
      </c>
      <c r="I3655" s="9">
        <v>9.0690000000000001E-5</v>
      </c>
      <c r="J3655" s="9">
        <v>8.9499999999999994E-5</v>
      </c>
      <c r="K3655" s="9">
        <v>1.908E-5</v>
      </c>
      <c r="L3655" s="9">
        <v>4.638E-5</v>
      </c>
      <c r="M3655" s="9">
        <v>5.7639999999999997E-5</v>
      </c>
      <c r="N3655" s="9">
        <v>6.5710000000000006E-5</v>
      </c>
      <c r="O3655" s="9">
        <v>2.8920000000000001E-5</v>
      </c>
      <c r="P3655" s="9">
        <v>4.214E-5</v>
      </c>
      <c r="Q3655" s="9">
        <v>6.1639999999999999E-5</v>
      </c>
      <c r="R3655" s="10">
        <v>2.1058636492991126E-4</v>
      </c>
      <c r="S3655" s="10">
        <v>1.9004148142294993E-4</v>
      </c>
      <c r="T3655" s="10">
        <v>0</v>
      </c>
      <c r="U3655" s="10">
        <v>9.7200000000000004E-5</v>
      </c>
      <c r="V3655" s="25"/>
      <c r="W3655" s="25"/>
      <c r="X3655" s="25"/>
      <c r="Y3655" s="25"/>
      <c r="Z3655" s="25"/>
      <c r="AA3655" s="25"/>
    </row>
    <row r="3656" spans="1:27" x14ac:dyDescent="0.35">
      <c r="A3656" s="5">
        <v>3652</v>
      </c>
      <c r="B3656" s="5">
        <v>153</v>
      </c>
      <c r="C3656" s="5">
        <v>6</v>
      </c>
      <c r="D3656" s="25">
        <v>1.1415000000000001E-4</v>
      </c>
      <c r="E3656" s="25">
        <v>1.0993999999999999E-4</v>
      </c>
      <c r="F3656" s="25">
        <v>1.1807999999999999E-4</v>
      </c>
      <c r="G3656" s="25">
        <v>5.2899999999999998E-5</v>
      </c>
      <c r="H3656" s="25">
        <v>4.0420000000000003E-5</v>
      </c>
      <c r="I3656" s="9">
        <v>9.1219999999999997E-5</v>
      </c>
      <c r="J3656" s="9">
        <v>8.9710000000000007E-5</v>
      </c>
      <c r="K3656" s="9">
        <v>1.484E-5</v>
      </c>
      <c r="L3656" s="9">
        <v>3.3290000000000001E-5</v>
      </c>
      <c r="M3656" s="9">
        <v>4.994E-5</v>
      </c>
      <c r="N3656" s="9">
        <v>6.2119999999999995E-5</v>
      </c>
      <c r="O3656" s="9">
        <v>2.8200000000000001E-5</v>
      </c>
      <c r="P3656" s="9">
        <v>5.0859999999999998E-5</v>
      </c>
      <c r="Q3656" s="9">
        <v>7.9670000000000001E-5</v>
      </c>
      <c r="R3656" s="10">
        <v>2.1181057967210203E-4</v>
      </c>
      <c r="S3656" s="10">
        <v>1.8875917753667914E-4</v>
      </c>
      <c r="T3656" s="10">
        <v>0</v>
      </c>
      <c r="U3656" s="10">
        <v>9.7200000000000004E-5</v>
      </c>
      <c r="V3656" s="25"/>
      <c r="W3656" s="25"/>
      <c r="X3656" s="25"/>
      <c r="Y3656" s="25"/>
      <c r="Z3656" s="25"/>
      <c r="AA3656" s="25"/>
    </row>
    <row r="3657" spans="1:27" x14ac:dyDescent="0.35">
      <c r="A3657" s="5">
        <v>3653</v>
      </c>
      <c r="B3657" s="5">
        <v>153</v>
      </c>
      <c r="C3657" s="5">
        <v>6</v>
      </c>
      <c r="D3657" s="25">
        <v>1.1416E-4</v>
      </c>
      <c r="E3657" s="25">
        <v>1.1323E-4</v>
      </c>
      <c r="F3657" s="25">
        <v>1.1673E-4</v>
      </c>
      <c r="G3657" s="25">
        <v>5.2710000000000002E-5</v>
      </c>
      <c r="H3657" s="25">
        <v>4.1610000000000003E-5</v>
      </c>
      <c r="I3657" s="9">
        <v>9.4019999999999998E-5</v>
      </c>
      <c r="J3657" s="9">
        <v>9.0459999999999998E-5</v>
      </c>
      <c r="K3657" s="9">
        <v>1.272E-5</v>
      </c>
      <c r="L3657" s="9">
        <v>2.9730000000000002E-5</v>
      </c>
      <c r="M3657" s="9">
        <v>4.8430000000000002E-5</v>
      </c>
      <c r="N3657" s="9">
        <v>6.4480000000000006E-5</v>
      </c>
      <c r="O3657" s="9">
        <v>3.027E-5</v>
      </c>
      <c r="P3657" s="9">
        <v>5.9360000000000001E-5</v>
      </c>
      <c r="Q3657" s="9">
        <v>9.4339999999999995E-5</v>
      </c>
      <c r="R3657" s="10">
        <v>2.123813568439756E-4</v>
      </c>
      <c r="S3657" s="10">
        <v>1.8770162462037037E-4</v>
      </c>
      <c r="T3657" s="10">
        <v>8.1279587774365318E-6</v>
      </c>
      <c r="U3657" s="10">
        <v>9.7200000000000004E-5</v>
      </c>
      <c r="V3657" s="25"/>
      <c r="W3657" s="25"/>
      <c r="X3657" s="25"/>
      <c r="Y3657" s="25"/>
      <c r="Z3657" s="25"/>
      <c r="AA3657" s="25"/>
    </row>
    <row r="3658" spans="1:27" x14ac:dyDescent="0.35">
      <c r="A3658" s="5">
        <v>3654</v>
      </c>
      <c r="B3658" s="5">
        <v>153</v>
      </c>
      <c r="C3658" s="5">
        <v>6</v>
      </c>
      <c r="D3658" s="25">
        <v>1.1415000000000001E-4</v>
      </c>
      <c r="E3658" s="25">
        <v>1.0937E-4</v>
      </c>
      <c r="F3658" s="25">
        <v>1.1912E-4</v>
      </c>
      <c r="G3658" s="25">
        <v>1.1074E-4</v>
      </c>
      <c r="H3658" s="25">
        <v>7.6409999999999995E-5</v>
      </c>
      <c r="I3658" s="9">
        <v>1.0301E-4</v>
      </c>
      <c r="J3658" s="9">
        <v>9.8449999999999994E-5</v>
      </c>
      <c r="K3658" s="9">
        <v>1.06E-5</v>
      </c>
      <c r="L3658" s="9">
        <v>3.0090000000000002E-5</v>
      </c>
      <c r="M3658" s="9">
        <v>5.2299999999999997E-5</v>
      </c>
      <c r="N3658" s="9">
        <v>7.1149999999999995E-5</v>
      </c>
      <c r="O3658" s="9">
        <v>3.5689999999999999E-5</v>
      </c>
      <c r="P3658" s="9">
        <v>6.9289999999999996E-5</v>
      </c>
      <c r="Q3658" s="9">
        <v>1.0783E-4</v>
      </c>
      <c r="R3658" s="10">
        <v>2.12442993719135E-4</v>
      </c>
      <c r="S3658" s="10">
        <v>1.8890754635064093E-4</v>
      </c>
      <c r="T3658" s="10">
        <v>3.61176623335567E-5</v>
      </c>
      <c r="U3658" s="10">
        <v>9.7200000000000004E-5</v>
      </c>
      <c r="V3658" s="25"/>
      <c r="W3658" s="25"/>
      <c r="X3658" s="25"/>
      <c r="Y3658" s="25"/>
      <c r="Z3658" s="25"/>
      <c r="AA3658" s="25"/>
    </row>
    <row r="3659" spans="1:27" x14ac:dyDescent="0.35">
      <c r="A3659" s="5">
        <v>3655</v>
      </c>
      <c r="B3659" s="5">
        <v>153</v>
      </c>
      <c r="C3659" s="5">
        <v>6</v>
      </c>
      <c r="D3659" s="25">
        <v>1.1416E-4</v>
      </c>
      <c r="E3659" s="25">
        <v>1.1348E-4</v>
      </c>
      <c r="F3659" s="25">
        <v>1.0478E-4</v>
      </c>
      <c r="G3659" s="25">
        <v>1.1203E-4</v>
      </c>
      <c r="H3659" s="25">
        <v>8.1769999999999998E-5</v>
      </c>
      <c r="I3659" s="9">
        <v>1.1383999999999999E-4</v>
      </c>
      <c r="J3659" s="9">
        <v>1.1354E-4</v>
      </c>
      <c r="K3659" s="9">
        <v>4.2400000000000001E-6</v>
      </c>
      <c r="L3659" s="9">
        <v>3.4360000000000003E-5</v>
      </c>
      <c r="M3659" s="9">
        <v>5.9559999999999999E-5</v>
      </c>
      <c r="N3659" s="9">
        <v>8.1000000000000004E-5</v>
      </c>
      <c r="O3659" s="9">
        <v>4.9509999999999999E-5</v>
      </c>
      <c r="P3659" s="9">
        <v>7.9660000000000006E-5</v>
      </c>
      <c r="Q3659" s="9">
        <v>1.1252E-4</v>
      </c>
      <c r="R3659" s="10">
        <v>2.1244866933267827E-4</v>
      </c>
      <c r="S3659" s="10">
        <v>1.8981472768492323E-4</v>
      </c>
      <c r="T3659" s="10">
        <v>5.4503139025315521E-5</v>
      </c>
      <c r="U3659" s="10">
        <v>9.7200000000000004E-5</v>
      </c>
      <c r="V3659" s="25"/>
      <c r="W3659" s="25"/>
      <c r="X3659" s="25"/>
      <c r="Y3659" s="25"/>
      <c r="Z3659" s="25"/>
      <c r="AA3659" s="25"/>
    </row>
    <row r="3660" spans="1:27" x14ac:dyDescent="0.35">
      <c r="A3660" s="5">
        <v>3656</v>
      </c>
      <c r="B3660" s="5">
        <v>153</v>
      </c>
      <c r="C3660" s="5">
        <v>6</v>
      </c>
      <c r="D3660" s="25">
        <v>1.1415000000000001E-4</v>
      </c>
      <c r="E3660" s="25">
        <v>1.0779E-4</v>
      </c>
      <c r="F3660" s="25">
        <v>1.2150999999999999E-4</v>
      </c>
      <c r="G3660" s="25">
        <v>1.596E-4</v>
      </c>
      <c r="H3660" s="25">
        <v>1.177E-4</v>
      </c>
      <c r="I3660" s="9">
        <v>1.199E-4</v>
      </c>
      <c r="J3660" s="9">
        <v>1.2480999999999999E-4</v>
      </c>
      <c r="K3660" s="9">
        <v>0</v>
      </c>
      <c r="L3660" s="9">
        <v>4.6050000000000001E-5</v>
      </c>
      <c r="M3660" s="9">
        <v>6.8609999999999995E-5</v>
      </c>
      <c r="N3660" s="9">
        <v>9.1069999999999994E-5</v>
      </c>
      <c r="O3660" s="9">
        <v>6.8139999999999995E-5</v>
      </c>
      <c r="P3660" s="9">
        <v>1.0247E-4</v>
      </c>
      <c r="Q3660" s="9">
        <v>1.3643999999999999E-4</v>
      </c>
      <c r="R3660" s="10">
        <v>2.1244936787709023E-4</v>
      </c>
      <c r="S3660" s="10">
        <v>1.899470391483391E-4</v>
      </c>
      <c r="T3660" s="10">
        <v>1.2062976816032631E-4</v>
      </c>
      <c r="U3660" s="10">
        <v>9.7200000000000004E-5</v>
      </c>
      <c r="V3660" s="25"/>
      <c r="W3660" s="25"/>
      <c r="X3660" s="25"/>
      <c r="Y3660" s="25"/>
      <c r="Z3660" s="25"/>
      <c r="AA3660" s="25"/>
    </row>
    <row r="3661" spans="1:27" x14ac:dyDescent="0.35">
      <c r="A3661" s="5">
        <v>3657</v>
      </c>
      <c r="B3661" s="5">
        <v>153</v>
      </c>
      <c r="C3661" s="5">
        <v>6</v>
      </c>
      <c r="D3661" s="25">
        <v>1.1416E-4</v>
      </c>
      <c r="E3661" s="25">
        <v>1.1472E-4</v>
      </c>
      <c r="F3661" s="25">
        <v>1.0595E-4</v>
      </c>
      <c r="G3661" s="25">
        <v>1.6551000000000001E-4</v>
      </c>
      <c r="H3661" s="25">
        <v>1.2112000000000001E-4</v>
      </c>
      <c r="I3661" s="9">
        <v>1.2385E-4</v>
      </c>
      <c r="J3661" s="9">
        <v>1.3007000000000001E-4</v>
      </c>
      <c r="K3661" s="9">
        <v>0</v>
      </c>
      <c r="L3661" s="9">
        <v>6.2970000000000002E-5</v>
      </c>
      <c r="M3661" s="9">
        <v>8.3040000000000005E-5</v>
      </c>
      <c r="N3661" s="9">
        <v>1.0473E-4</v>
      </c>
      <c r="O3661" s="9">
        <v>9.5879999999999997E-5</v>
      </c>
      <c r="P3661" s="9">
        <v>1.3943000000000001E-4</v>
      </c>
      <c r="Q3661" s="9">
        <v>1.7814999999999999E-4</v>
      </c>
      <c r="R3661" s="10">
        <v>2.1244936787709023E-4</v>
      </c>
      <c r="S3661" s="10">
        <v>1.9015796419147741E-4</v>
      </c>
      <c r="T3661" s="10">
        <v>1.2777354821314629E-4</v>
      </c>
      <c r="U3661" s="10">
        <v>9.7200000000000004E-5</v>
      </c>
      <c r="V3661" s="25"/>
      <c r="W3661" s="25"/>
      <c r="X3661" s="25"/>
      <c r="Y3661" s="25"/>
      <c r="Z3661" s="25"/>
      <c r="AA3661" s="25"/>
    </row>
    <row r="3662" spans="1:27" x14ac:dyDescent="0.35">
      <c r="A3662" s="5">
        <v>3658</v>
      </c>
      <c r="B3662" s="5">
        <v>153</v>
      </c>
      <c r="C3662" s="5">
        <v>6</v>
      </c>
      <c r="D3662" s="25">
        <v>1.1415000000000001E-4</v>
      </c>
      <c r="E3662" s="25">
        <v>1.1213999999999999E-4</v>
      </c>
      <c r="F3662" s="25">
        <v>1.1198E-4</v>
      </c>
      <c r="G3662" s="25">
        <v>1.6055999999999999E-4</v>
      </c>
      <c r="H3662" s="25">
        <v>1.147E-4</v>
      </c>
      <c r="I3662" s="9">
        <v>1.2543E-4</v>
      </c>
      <c r="J3662" s="9">
        <v>1.3107E-4</v>
      </c>
      <c r="K3662" s="9">
        <v>0</v>
      </c>
      <c r="L3662" s="9">
        <v>8.8189999999999994E-5</v>
      </c>
      <c r="M3662" s="9">
        <v>1.0698E-4</v>
      </c>
      <c r="N3662" s="9">
        <v>1.2499000000000001E-4</v>
      </c>
      <c r="O3662" s="9">
        <v>1.205E-4</v>
      </c>
      <c r="P3662" s="9">
        <v>1.5626E-4</v>
      </c>
      <c r="Q3662" s="9">
        <v>1.8333999999999999E-4</v>
      </c>
      <c r="R3662" s="10">
        <v>2.1244936787709023E-4</v>
      </c>
      <c r="S3662" s="10">
        <v>1.901776732554495E-4</v>
      </c>
      <c r="T3662" s="10">
        <v>1.3473067368026319E-4</v>
      </c>
      <c r="U3662" s="10">
        <v>9.7200000000000004E-5</v>
      </c>
      <c r="V3662" s="25"/>
      <c r="W3662" s="25"/>
      <c r="X3662" s="25"/>
      <c r="Y3662" s="25"/>
      <c r="Z3662" s="25"/>
      <c r="AA3662" s="25"/>
    </row>
    <row r="3663" spans="1:27" x14ac:dyDescent="0.35">
      <c r="A3663" s="5">
        <v>3659</v>
      </c>
      <c r="B3663" s="5">
        <v>153</v>
      </c>
      <c r="C3663" s="5">
        <v>6</v>
      </c>
      <c r="D3663" s="25">
        <v>1.1416E-4</v>
      </c>
      <c r="E3663" s="25">
        <v>1.1393E-4</v>
      </c>
      <c r="F3663" s="25">
        <v>1.1169E-4</v>
      </c>
      <c r="G3663" s="25">
        <v>1.6760000000000001E-4</v>
      </c>
      <c r="H3663" s="25">
        <v>1.1421000000000001E-4</v>
      </c>
      <c r="I3663" s="9">
        <v>1.2695E-4</v>
      </c>
      <c r="J3663" s="9">
        <v>1.3195000000000001E-4</v>
      </c>
      <c r="K3663" s="9">
        <v>0</v>
      </c>
      <c r="L3663" s="9">
        <v>1.1277000000000001E-4</v>
      </c>
      <c r="M3663" s="9">
        <v>1.3077999999999999E-4</v>
      </c>
      <c r="N3663" s="9">
        <v>1.4328E-4</v>
      </c>
      <c r="O3663" s="9">
        <v>1.2652E-4</v>
      </c>
      <c r="P3663" s="9">
        <v>1.5767E-4</v>
      </c>
      <c r="Q3663" s="9">
        <v>1.7916000000000001E-4</v>
      </c>
      <c r="R3663" s="10">
        <v>2.1244936787709023E-4</v>
      </c>
      <c r="S3663" s="10">
        <v>1.9020170150039527E-4</v>
      </c>
      <c r="T3663" s="10">
        <v>6.2588676306001345E-5</v>
      </c>
      <c r="U3663" s="10">
        <v>9.7200000000000004E-5</v>
      </c>
      <c r="V3663" s="25"/>
      <c r="W3663" s="25"/>
      <c r="X3663" s="25"/>
      <c r="Y3663" s="25"/>
      <c r="Z3663" s="25"/>
      <c r="AA3663" s="25"/>
    </row>
    <row r="3664" spans="1:27" x14ac:dyDescent="0.35">
      <c r="A3664" s="5">
        <v>3660</v>
      </c>
      <c r="B3664" s="5">
        <v>153</v>
      </c>
      <c r="C3664" s="5">
        <v>6</v>
      </c>
      <c r="D3664" s="25">
        <v>1.1415000000000001E-4</v>
      </c>
      <c r="E3664" s="25">
        <v>1.0944E-4</v>
      </c>
      <c r="F3664" s="25">
        <v>1.1946E-4</v>
      </c>
      <c r="G3664" s="25">
        <v>1.6262000000000001E-4</v>
      </c>
      <c r="H3664" s="25">
        <v>1.1588E-4</v>
      </c>
      <c r="I3664" s="9">
        <v>1.2411E-4</v>
      </c>
      <c r="J3664" s="9">
        <v>1.3091000000000001E-4</v>
      </c>
      <c r="K3664" s="9">
        <v>0</v>
      </c>
      <c r="L3664" s="9">
        <v>1.2292E-4</v>
      </c>
      <c r="M3664" s="9">
        <v>1.461E-4</v>
      </c>
      <c r="N3664" s="9">
        <v>1.572E-4</v>
      </c>
      <c r="O3664" s="9">
        <v>1.2841E-4</v>
      </c>
      <c r="P3664" s="9">
        <v>1.5652999999999999E-4</v>
      </c>
      <c r="Q3664" s="9">
        <v>1.7479E-4</v>
      </c>
      <c r="R3664" s="10">
        <v>2.1244388606539677E-4</v>
      </c>
      <c r="S3664" s="10">
        <v>1.9027186361743006E-4</v>
      </c>
      <c r="T3664" s="10">
        <v>1.0778453894421055E-4</v>
      </c>
      <c r="U3664" s="10">
        <v>9.7200000000000004E-5</v>
      </c>
      <c r="V3664" s="25"/>
      <c r="W3664" s="25"/>
      <c r="X3664" s="25"/>
      <c r="Y3664" s="25"/>
      <c r="Z3664" s="25"/>
      <c r="AA3664" s="25"/>
    </row>
    <row r="3665" spans="1:27" x14ac:dyDescent="0.35">
      <c r="A3665" s="5">
        <v>3661</v>
      </c>
      <c r="B3665" s="5">
        <v>153</v>
      </c>
      <c r="C3665" s="5">
        <v>6</v>
      </c>
      <c r="D3665" s="25">
        <v>1.1416E-4</v>
      </c>
      <c r="E3665" s="25">
        <v>1.1143E-4</v>
      </c>
      <c r="F3665" s="25">
        <v>1.1606E-4</v>
      </c>
      <c r="G3665" s="25">
        <v>1.6662E-4</v>
      </c>
      <c r="H3665" s="25">
        <v>1.1616E-4</v>
      </c>
      <c r="I3665" s="9">
        <v>1.2488000000000001E-4</v>
      </c>
      <c r="J3665" s="9">
        <v>1.3130999999999999E-4</v>
      </c>
      <c r="K3665" s="9">
        <v>0</v>
      </c>
      <c r="L3665" s="9">
        <v>1.2708000000000001E-4</v>
      </c>
      <c r="M3665" s="9">
        <v>1.5310000000000001E-4</v>
      </c>
      <c r="N3665" s="9">
        <v>1.6672E-4</v>
      </c>
      <c r="O3665" s="9">
        <v>1.2103E-4</v>
      </c>
      <c r="P3665" s="9">
        <v>1.4867E-4</v>
      </c>
      <c r="Q3665" s="9">
        <v>1.6762E-4</v>
      </c>
      <c r="R3665" s="10">
        <v>2.1244729341076722E-4</v>
      </c>
      <c r="S3665" s="10">
        <v>1.9017292623957498E-4</v>
      </c>
      <c r="T3665" s="10">
        <v>1.2464284175294369E-4</v>
      </c>
      <c r="U3665" s="10">
        <v>9.7200000000000004E-5</v>
      </c>
      <c r="V3665" s="25"/>
      <c r="W3665" s="25"/>
      <c r="X3665" s="25"/>
      <c r="Y3665" s="25"/>
      <c r="Z3665" s="25"/>
      <c r="AA3665" s="25"/>
    </row>
    <row r="3666" spans="1:27" x14ac:dyDescent="0.35">
      <c r="A3666" s="5">
        <v>3662</v>
      </c>
      <c r="B3666" s="5">
        <v>153</v>
      </c>
      <c r="C3666" s="5">
        <v>6</v>
      </c>
      <c r="D3666" s="25">
        <v>1.1415000000000001E-4</v>
      </c>
      <c r="E3666" s="25">
        <v>1.066E-4</v>
      </c>
      <c r="F3666" s="25">
        <v>1.0788E-4</v>
      </c>
      <c r="G3666" s="25">
        <v>1.6404000000000001E-4</v>
      </c>
      <c r="H3666" s="25">
        <v>1.1898E-4</v>
      </c>
      <c r="I3666" s="9">
        <v>1.2352000000000001E-4</v>
      </c>
      <c r="J3666" s="9">
        <v>1.3067999999999999E-4</v>
      </c>
      <c r="K3666" s="9">
        <v>0</v>
      </c>
      <c r="L3666" s="9">
        <v>1.2239999999999999E-4</v>
      </c>
      <c r="M3666" s="9">
        <v>1.5284000000000001E-4</v>
      </c>
      <c r="N3666" s="9">
        <v>1.7097999999999999E-4</v>
      </c>
      <c r="O3666" s="9">
        <v>1.0561E-4</v>
      </c>
      <c r="P3666" s="9">
        <v>1.3609000000000001E-4</v>
      </c>
      <c r="Q3666" s="9">
        <v>1.6027000000000001E-4</v>
      </c>
      <c r="R3666" s="10">
        <v>2.1244936787709023E-4</v>
      </c>
      <c r="S3666" s="10">
        <v>1.9008311401476257E-4</v>
      </c>
      <c r="T3666" s="10">
        <v>1.0735183967735327E-4</v>
      </c>
      <c r="U3666" s="10">
        <v>9.7200000000000004E-5</v>
      </c>
      <c r="V3666" s="25"/>
      <c r="W3666" s="25"/>
      <c r="X3666" s="25"/>
      <c r="Y3666" s="25"/>
      <c r="Z3666" s="25"/>
      <c r="AA3666" s="25"/>
    </row>
    <row r="3667" spans="1:27" x14ac:dyDescent="0.35">
      <c r="A3667" s="5">
        <v>3663</v>
      </c>
      <c r="B3667" s="5">
        <v>153</v>
      </c>
      <c r="C3667" s="5">
        <v>6</v>
      </c>
      <c r="D3667" s="25">
        <v>1.1416E-4</v>
      </c>
      <c r="E3667" s="25">
        <v>1.0760999999999999E-4</v>
      </c>
      <c r="F3667" s="25">
        <v>1.1688000000000001E-4</v>
      </c>
      <c r="G3667" s="25">
        <v>1.5794E-4</v>
      </c>
      <c r="H3667" s="25">
        <v>1.1540999999999999E-4</v>
      </c>
      <c r="I3667" s="9">
        <v>1.2249E-4</v>
      </c>
      <c r="J3667" s="9">
        <v>1.3039E-4</v>
      </c>
      <c r="K3667" s="9">
        <v>0</v>
      </c>
      <c r="L3667" s="9">
        <v>1.0948E-4</v>
      </c>
      <c r="M3667" s="9">
        <v>1.4648999999999999E-4</v>
      </c>
      <c r="N3667" s="9">
        <v>1.7024E-4</v>
      </c>
      <c r="O3667" s="9">
        <v>1.183E-4</v>
      </c>
      <c r="P3667" s="9">
        <v>1.3943000000000001E-4</v>
      </c>
      <c r="Q3667" s="9">
        <v>1.5237000000000001E-4</v>
      </c>
      <c r="R3667" s="10">
        <v>2.1244936787709023E-4</v>
      </c>
      <c r="S3667" s="10">
        <v>1.9005768277149116E-4</v>
      </c>
      <c r="T3667" s="10">
        <v>7.9939068477042797E-5</v>
      </c>
      <c r="U3667" s="10">
        <v>9.7200000000000004E-5</v>
      </c>
      <c r="V3667" s="25"/>
      <c r="W3667" s="25"/>
      <c r="X3667" s="25"/>
      <c r="Y3667" s="25"/>
      <c r="Z3667" s="25"/>
      <c r="AA3667" s="25"/>
    </row>
    <row r="3668" spans="1:27" x14ac:dyDescent="0.35">
      <c r="A3668" s="5">
        <v>3664</v>
      </c>
      <c r="B3668" s="5">
        <v>153</v>
      </c>
      <c r="C3668" s="5">
        <v>6</v>
      </c>
      <c r="D3668" s="25">
        <v>1.1415000000000001E-4</v>
      </c>
      <c r="E3668" s="25">
        <v>1.1312E-4</v>
      </c>
      <c r="F3668" s="25">
        <v>1.2392999999999999E-4</v>
      </c>
      <c r="G3668" s="25">
        <v>1.5995000000000001E-4</v>
      </c>
      <c r="H3668" s="25">
        <v>1.1455000000000001E-4</v>
      </c>
      <c r="I3668" s="9">
        <v>1.2197E-4</v>
      </c>
      <c r="J3668" s="9">
        <v>1.3011000000000001E-4</v>
      </c>
      <c r="K3668" s="9">
        <v>0</v>
      </c>
      <c r="L3668" s="9">
        <v>1.1674E-4</v>
      </c>
      <c r="M3668" s="9">
        <v>1.4217E-4</v>
      </c>
      <c r="N3668" s="9">
        <v>1.662E-4</v>
      </c>
      <c r="O3668" s="9">
        <v>1.2313E-4</v>
      </c>
      <c r="P3668" s="9">
        <v>1.2025E-4</v>
      </c>
      <c r="Q3668" s="9">
        <v>1.087E-4</v>
      </c>
      <c r="R3668" s="10">
        <v>2.1244936787709023E-4</v>
      </c>
      <c r="S3668" s="10">
        <v>1.900329796356829E-4</v>
      </c>
      <c r="T3668" s="10">
        <v>7.1403863330799422E-5</v>
      </c>
      <c r="U3668" s="10">
        <v>9.7200000000000004E-5</v>
      </c>
      <c r="V3668" s="25"/>
      <c r="W3668" s="25"/>
      <c r="X3668" s="25"/>
      <c r="Y3668" s="25"/>
      <c r="Z3668" s="25"/>
      <c r="AA3668" s="25"/>
    </row>
    <row r="3669" spans="1:27" x14ac:dyDescent="0.35">
      <c r="A3669" s="5">
        <v>3665</v>
      </c>
      <c r="B3669" s="5">
        <v>153</v>
      </c>
      <c r="C3669" s="5">
        <v>6</v>
      </c>
      <c r="D3669" s="25">
        <v>1.1416E-4</v>
      </c>
      <c r="E3669" s="25">
        <v>1.0932E-4</v>
      </c>
      <c r="F3669" s="25">
        <v>1.1688000000000001E-4</v>
      </c>
      <c r="G3669" s="25">
        <v>1.6003999999999999E-4</v>
      </c>
      <c r="H3669" s="25">
        <v>1.1636E-4</v>
      </c>
      <c r="I3669" s="9">
        <v>1.2311000000000001E-4</v>
      </c>
      <c r="J3669" s="9">
        <v>1.2939000000000001E-4</v>
      </c>
      <c r="K3669" s="9">
        <v>0</v>
      </c>
      <c r="L3669" s="9">
        <v>1.2148E-4</v>
      </c>
      <c r="M3669" s="9">
        <v>1.3333E-4</v>
      </c>
      <c r="N3669" s="9">
        <v>1.5218999999999999E-4</v>
      </c>
      <c r="O3669" s="9">
        <v>1.3041999999999999E-4</v>
      </c>
      <c r="P3669" s="9">
        <v>1.2395E-4</v>
      </c>
      <c r="Q3669" s="9">
        <v>1.0787E-4</v>
      </c>
      <c r="R3669" s="10">
        <v>2.1244936787709023E-4</v>
      </c>
      <c r="S3669" s="10">
        <v>1.8999778793072516E-4</v>
      </c>
      <c r="T3669" s="10">
        <v>7.3711592754038181E-5</v>
      </c>
      <c r="U3669" s="10">
        <v>9.7200000000000004E-5</v>
      </c>
      <c r="V3669" s="25"/>
      <c r="W3669" s="25"/>
      <c r="X3669" s="25"/>
      <c r="Y3669" s="25"/>
      <c r="Z3669" s="25"/>
      <c r="AA3669" s="25"/>
    </row>
    <row r="3670" spans="1:27" x14ac:dyDescent="0.35">
      <c r="A3670" s="5">
        <v>3666</v>
      </c>
      <c r="B3670" s="5">
        <v>153</v>
      </c>
      <c r="C3670" s="5">
        <v>6</v>
      </c>
      <c r="D3670" s="25">
        <v>1.1415000000000001E-4</v>
      </c>
      <c r="E3670" s="25">
        <v>1.0721999999999999E-4</v>
      </c>
      <c r="F3670" s="25">
        <v>1.1464999999999999E-4</v>
      </c>
      <c r="G3670" s="25">
        <v>1.5964000000000001E-4</v>
      </c>
      <c r="H3670" s="25">
        <v>1.2129E-4</v>
      </c>
      <c r="I3670" s="9">
        <v>1.2253000000000001E-4</v>
      </c>
      <c r="J3670" s="9">
        <v>1.2406E-4</v>
      </c>
      <c r="K3670" s="9">
        <v>0</v>
      </c>
      <c r="L3670" s="9">
        <v>1.2821999999999999E-4</v>
      </c>
      <c r="M3670" s="9">
        <v>1.2771000000000001E-4</v>
      </c>
      <c r="N3670" s="9">
        <v>1.3896000000000001E-4</v>
      </c>
      <c r="O3670" s="9">
        <v>1.2938000000000001E-4</v>
      </c>
      <c r="P3670" s="9">
        <v>1.2805999999999999E-4</v>
      </c>
      <c r="Q3670" s="9">
        <v>1.1707E-4</v>
      </c>
      <c r="R3670" s="10">
        <v>2.1244936787709023E-4</v>
      </c>
      <c r="S3670" s="10">
        <v>1.9002355233030648E-4</v>
      </c>
      <c r="T3670" s="10">
        <v>5.3748036383152846E-5</v>
      </c>
      <c r="U3670" s="10">
        <v>9.7200000000000004E-5</v>
      </c>
      <c r="V3670" s="25"/>
      <c r="W3670" s="25"/>
      <c r="X3670" s="25"/>
      <c r="Y3670" s="25"/>
      <c r="Z3670" s="25"/>
      <c r="AA3670" s="25"/>
    </row>
    <row r="3671" spans="1:27" x14ac:dyDescent="0.35">
      <c r="A3671" s="5">
        <v>3667</v>
      </c>
      <c r="B3671" s="5">
        <v>153</v>
      </c>
      <c r="C3671" s="5">
        <v>6</v>
      </c>
      <c r="D3671" s="25">
        <v>1.1416E-4</v>
      </c>
      <c r="E3671" s="25">
        <v>1.1073000000000001E-4</v>
      </c>
      <c r="F3671" s="25">
        <v>1.2316000000000001E-4</v>
      </c>
      <c r="G3671" s="25">
        <v>1.0841E-4</v>
      </c>
      <c r="H3671" s="25">
        <v>7.9540000000000001E-5</v>
      </c>
      <c r="I3671" s="9">
        <v>1.2004E-4</v>
      </c>
      <c r="J3671" s="9">
        <v>1.2093E-4</v>
      </c>
      <c r="K3671" s="9">
        <v>0</v>
      </c>
      <c r="L3671" s="9">
        <v>1.2899999999999999E-4</v>
      </c>
      <c r="M3671" s="9">
        <v>1.2657E-4</v>
      </c>
      <c r="N3671" s="9">
        <v>1.2976E-4</v>
      </c>
      <c r="O3671" s="9">
        <v>1.3095000000000001E-4</v>
      </c>
      <c r="P3671" s="9">
        <v>1.2401E-4</v>
      </c>
      <c r="Q3671" s="9">
        <v>1.0734E-4</v>
      </c>
      <c r="R3671" s="10">
        <v>2.1244936787709023E-4</v>
      </c>
      <c r="S3671" s="10">
        <v>1.9009912391154777E-4</v>
      </c>
      <c r="T3671" s="10">
        <v>4.8767752664619184E-5</v>
      </c>
      <c r="U3671" s="10">
        <v>9.7200000000000004E-5</v>
      </c>
      <c r="V3671" s="25"/>
      <c r="W3671" s="25"/>
      <c r="X3671" s="25"/>
      <c r="Y3671" s="25"/>
      <c r="Z3671" s="25"/>
      <c r="AA3671" s="25"/>
    </row>
    <row r="3672" spans="1:27" x14ac:dyDescent="0.35">
      <c r="A3672" s="5">
        <v>3668</v>
      </c>
      <c r="B3672" s="5">
        <v>153</v>
      </c>
      <c r="C3672" s="5">
        <v>6</v>
      </c>
      <c r="D3672" s="25">
        <v>1.1415000000000001E-4</v>
      </c>
      <c r="E3672" s="25">
        <v>1.0882000000000001E-4</v>
      </c>
      <c r="F3672" s="25">
        <v>1.0916000000000001E-4</v>
      </c>
      <c r="G3672" s="25">
        <v>1.1149E-4</v>
      </c>
      <c r="H3672" s="25">
        <v>7.8510000000000006E-5</v>
      </c>
      <c r="I3672" s="9">
        <v>1.1488E-4</v>
      </c>
      <c r="J3672" s="9">
        <v>1.1794E-4</v>
      </c>
      <c r="K3672" s="9">
        <v>0</v>
      </c>
      <c r="L3672" s="9">
        <v>1.3053000000000001E-4</v>
      </c>
      <c r="M3672" s="9">
        <v>1.2561000000000001E-4</v>
      </c>
      <c r="N3672" s="9">
        <v>1.2076E-4</v>
      </c>
      <c r="O3672" s="9">
        <v>1.3133E-4</v>
      </c>
      <c r="P3672" s="9">
        <v>1.2101E-4</v>
      </c>
      <c r="Q3672" s="9">
        <v>1.0082E-4</v>
      </c>
      <c r="R3672" s="10">
        <v>2.1244933327812694E-4</v>
      </c>
      <c r="S3672" s="10">
        <v>1.9016258595543105E-4</v>
      </c>
      <c r="T3672" s="10">
        <v>5.5996375710940613E-7</v>
      </c>
      <c r="U3672" s="10">
        <v>9.7200000000000004E-5</v>
      </c>
      <c r="V3672" s="25"/>
      <c r="W3672" s="25"/>
      <c r="X3672" s="25"/>
      <c r="Y3672" s="25"/>
      <c r="Z3672" s="25"/>
      <c r="AA3672" s="25"/>
    </row>
    <row r="3673" spans="1:27" x14ac:dyDescent="0.35">
      <c r="A3673" s="5">
        <v>3669</v>
      </c>
      <c r="B3673" s="5">
        <v>153</v>
      </c>
      <c r="C3673" s="5">
        <v>6</v>
      </c>
      <c r="D3673" s="25">
        <v>1.1416E-4</v>
      </c>
      <c r="E3673" s="25">
        <v>1.1209000000000001E-4</v>
      </c>
      <c r="F3673" s="25">
        <v>1.2053999999999999E-4</v>
      </c>
      <c r="G3673" s="25">
        <v>5.3990000000000003E-5</v>
      </c>
      <c r="H3673" s="25">
        <v>4.0170000000000003E-5</v>
      </c>
      <c r="I3673" s="9">
        <v>1.1231E-4</v>
      </c>
      <c r="J3673" s="9">
        <v>1.1498E-4</v>
      </c>
      <c r="K3673" s="9">
        <v>0</v>
      </c>
      <c r="L3673" s="9">
        <v>1.3116000000000001E-4</v>
      </c>
      <c r="M3673" s="9">
        <v>1.2373000000000001E-4</v>
      </c>
      <c r="N3673" s="9">
        <v>1.1289E-4</v>
      </c>
      <c r="O3673" s="9">
        <v>8.2249999999999993E-5</v>
      </c>
      <c r="P3673" s="9">
        <v>8.6379999999999996E-5</v>
      </c>
      <c r="Q3673" s="9">
        <v>8.8380000000000004E-5</v>
      </c>
      <c r="R3673" s="10">
        <v>2.1244921114951505E-4</v>
      </c>
      <c r="S3673" s="10">
        <v>1.9027119089992352E-4</v>
      </c>
      <c r="T3673" s="10">
        <v>0</v>
      </c>
      <c r="U3673" s="10">
        <v>9.7200000000000004E-5</v>
      </c>
      <c r="V3673" s="25"/>
      <c r="W3673" s="25"/>
      <c r="X3673" s="25"/>
      <c r="Y3673" s="25"/>
      <c r="Z3673" s="25"/>
      <c r="AA3673" s="25"/>
    </row>
    <row r="3674" spans="1:27" x14ac:dyDescent="0.35">
      <c r="A3674" s="5">
        <v>3670</v>
      </c>
      <c r="B3674" s="5">
        <v>153</v>
      </c>
      <c r="C3674" s="5">
        <v>6</v>
      </c>
      <c r="D3674" s="25">
        <v>1.1415000000000001E-4</v>
      </c>
      <c r="E3674" s="25">
        <v>1.1333E-4</v>
      </c>
      <c r="F3674" s="25">
        <v>1.0736E-4</v>
      </c>
      <c r="G3674" s="25">
        <v>5.8820000000000003E-5</v>
      </c>
      <c r="H3674" s="25">
        <v>4.1130000000000001E-5</v>
      </c>
      <c r="I3674" s="9">
        <v>1.1493E-4</v>
      </c>
      <c r="J3674" s="9">
        <v>1.1374000000000001E-4</v>
      </c>
      <c r="K3674" s="9">
        <v>2.12E-6</v>
      </c>
      <c r="L3674" s="9">
        <v>9.2990000000000002E-5</v>
      </c>
      <c r="M3674" s="9">
        <v>1.0976000000000001E-4</v>
      </c>
      <c r="N3674" s="9">
        <v>1.0538E-4</v>
      </c>
      <c r="O3674" s="9">
        <v>8.4369999999999994E-5</v>
      </c>
      <c r="P3674" s="9">
        <v>8.7499999999999999E-5</v>
      </c>
      <c r="Q3674" s="9">
        <v>8.8150000000000001E-5</v>
      </c>
      <c r="R3674" s="10">
        <v>2.1244899404127855E-4</v>
      </c>
      <c r="S3674" s="10">
        <v>1.9028971708408168E-4</v>
      </c>
      <c r="T3674" s="10">
        <v>0</v>
      </c>
      <c r="U3674" s="10">
        <v>9.7200000000000004E-5</v>
      </c>
      <c r="V3674" s="25"/>
      <c r="W3674" s="25"/>
      <c r="X3674" s="25"/>
      <c r="Y3674" s="25"/>
      <c r="Z3674" s="25"/>
      <c r="AA3674" s="25"/>
    </row>
    <row r="3675" spans="1:27" x14ac:dyDescent="0.35">
      <c r="A3675" s="5">
        <v>3671</v>
      </c>
      <c r="B3675" s="5">
        <v>153</v>
      </c>
      <c r="C3675" s="5">
        <v>6</v>
      </c>
      <c r="D3675" s="25">
        <v>1.1416E-4</v>
      </c>
      <c r="E3675" s="25">
        <v>1.1129E-4</v>
      </c>
      <c r="F3675" s="25">
        <v>1.0611E-4</v>
      </c>
      <c r="G3675" s="25">
        <v>5.626E-5</v>
      </c>
      <c r="H3675" s="25">
        <v>3.875E-5</v>
      </c>
      <c r="I3675" s="9">
        <v>1.0996E-4</v>
      </c>
      <c r="J3675" s="9">
        <v>1.077E-4</v>
      </c>
      <c r="K3675" s="9">
        <v>2.7549999999999999E-5</v>
      </c>
      <c r="L3675" s="9">
        <v>8.7330000000000006E-5</v>
      </c>
      <c r="M3675" s="9">
        <v>9.7999999999999997E-5</v>
      </c>
      <c r="N3675" s="9">
        <v>9.959E-5</v>
      </c>
      <c r="O3675" s="9">
        <v>8.2509999999999994E-5</v>
      </c>
      <c r="P3675" s="9">
        <v>7.5820000000000003E-5</v>
      </c>
      <c r="Q3675" s="9">
        <v>6.7160000000000001E-5</v>
      </c>
      <c r="R3675" s="10">
        <v>2.1244754298020888E-4</v>
      </c>
      <c r="S3675" s="10">
        <v>1.9029020759484994E-4</v>
      </c>
      <c r="T3675" s="10">
        <v>0</v>
      </c>
      <c r="U3675" s="10">
        <v>9.7200000000000004E-5</v>
      </c>
      <c r="V3675" s="25"/>
      <c r="W3675" s="25"/>
      <c r="X3675" s="25"/>
      <c r="Y3675" s="25"/>
      <c r="Z3675" s="25"/>
      <c r="AA3675" s="25"/>
    </row>
    <row r="3676" spans="1:27" x14ac:dyDescent="0.35">
      <c r="A3676" s="5">
        <v>3672</v>
      </c>
      <c r="B3676" s="5">
        <v>153</v>
      </c>
      <c r="C3676" s="5">
        <v>6</v>
      </c>
      <c r="D3676" s="25">
        <v>1.1415000000000001E-4</v>
      </c>
      <c r="E3676" s="25">
        <v>1.1396E-4</v>
      </c>
      <c r="F3676" s="25">
        <v>1.0878999999999999E-4</v>
      </c>
      <c r="G3676" s="25">
        <v>6.0460000000000001E-5</v>
      </c>
      <c r="H3676" s="25">
        <v>4.3220000000000003E-5</v>
      </c>
      <c r="I3676" s="9">
        <v>1.0181E-4</v>
      </c>
      <c r="J3676" s="9">
        <v>9.9320000000000005E-5</v>
      </c>
      <c r="K3676" s="9">
        <v>3.18E-5</v>
      </c>
      <c r="L3676" s="9">
        <v>8.3750000000000003E-5</v>
      </c>
      <c r="M3676" s="9">
        <v>8.7260000000000001E-5</v>
      </c>
      <c r="N3676" s="9">
        <v>9.0439999999999995E-5</v>
      </c>
      <c r="O3676" s="9">
        <v>7.8310000000000001E-5</v>
      </c>
      <c r="P3676" s="9">
        <v>6.949E-5</v>
      </c>
      <c r="Q3676" s="9">
        <v>5.948E-5</v>
      </c>
      <c r="R3676" s="10">
        <v>2.1240464887044592E-4</v>
      </c>
      <c r="S3676" s="10">
        <v>1.9029020759484994E-4</v>
      </c>
      <c r="T3676" s="10">
        <v>0</v>
      </c>
      <c r="U3676" s="10">
        <v>9.7200000000000004E-5</v>
      </c>
      <c r="V3676" s="25"/>
      <c r="W3676" s="25"/>
      <c r="X3676" s="25"/>
      <c r="Y3676" s="25"/>
      <c r="Z3676" s="25"/>
      <c r="AA3676" s="25"/>
    </row>
    <row r="3677" spans="1:27" x14ac:dyDescent="0.35">
      <c r="A3677" s="5">
        <v>3673</v>
      </c>
      <c r="B3677" s="5">
        <v>154</v>
      </c>
      <c r="C3677" s="5">
        <v>6</v>
      </c>
      <c r="D3677" s="25">
        <v>1.1416E-4</v>
      </c>
      <c r="E3677" s="25">
        <v>1.1171999999999999E-4</v>
      </c>
      <c r="F3677" s="25">
        <v>8.7100000000000003E-5</v>
      </c>
      <c r="G3677" s="25">
        <v>5.4979999999999999E-5</v>
      </c>
      <c r="H3677" s="25">
        <v>1.5500000000000001E-5</v>
      </c>
      <c r="I3677" s="9">
        <v>9.645E-5</v>
      </c>
      <c r="J3677" s="9">
        <v>9.4019999999999998E-5</v>
      </c>
      <c r="K3677" s="9">
        <v>1.908E-5</v>
      </c>
      <c r="L3677" s="9">
        <v>7.9320000000000006E-5</v>
      </c>
      <c r="M3677" s="9">
        <v>7.8440000000000001E-5</v>
      </c>
      <c r="N3677" s="9">
        <v>8.1210000000000003E-5</v>
      </c>
      <c r="O3677" s="9">
        <v>6.7669999999999994E-5</v>
      </c>
      <c r="P3677" s="9">
        <v>6.0250000000000001E-5</v>
      </c>
      <c r="Q3677" s="9">
        <v>5.3140000000000003E-5</v>
      </c>
      <c r="R3677" s="10">
        <v>2.1229295314209115E-4</v>
      </c>
      <c r="S3677" s="10">
        <v>1.9029020759484994E-4</v>
      </c>
      <c r="T3677" s="10">
        <v>0</v>
      </c>
      <c r="U3677" s="10">
        <v>9.9539999999999999E-5</v>
      </c>
      <c r="V3677" s="25"/>
      <c r="W3677" s="25"/>
      <c r="X3677" s="25"/>
      <c r="Y3677" s="25"/>
      <c r="Z3677" s="25"/>
      <c r="AA3677" s="25"/>
    </row>
    <row r="3678" spans="1:27" x14ac:dyDescent="0.35">
      <c r="A3678" s="5">
        <v>3674</v>
      </c>
      <c r="B3678" s="5">
        <v>154</v>
      </c>
      <c r="C3678" s="5">
        <v>6</v>
      </c>
      <c r="D3678" s="25">
        <v>1.1415000000000001E-4</v>
      </c>
      <c r="E3678" s="25">
        <v>1.0975E-4</v>
      </c>
      <c r="F3678" s="25">
        <v>1.0206E-4</v>
      </c>
      <c r="G3678" s="25">
        <v>5.4060000000000001E-5</v>
      </c>
      <c r="H3678" s="25">
        <v>1.471E-5</v>
      </c>
      <c r="I3678" s="9">
        <v>9.2839999999999999E-5</v>
      </c>
      <c r="J3678" s="9">
        <v>9.1689999999999998E-5</v>
      </c>
      <c r="K3678" s="9">
        <v>2.968E-5</v>
      </c>
      <c r="L3678" s="9">
        <v>7.0350000000000002E-5</v>
      </c>
      <c r="M3678" s="9">
        <v>6.9830000000000001E-5</v>
      </c>
      <c r="N3678" s="9">
        <v>7.2089999999999996E-5</v>
      </c>
      <c r="O3678" s="9">
        <v>4.0219999999999998E-5</v>
      </c>
      <c r="P3678" s="9">
        <v>4.5989999999999998E-5</v>
      </c>
      <c r="Q3678" s="9">
        <v>5.6369999999999997E-5</v>
      </c>
      <c r="R3678" s="10">
        <v>2.1207528658386939E-4</v>
      </c>
      <c r="S3678" s="10">
        <v>1.9029020759484994E-4</v>
      </c>
      <c r="T3678" s="10">
        <v>0</v>
      </c>
      <c r="U3678" s="10">
        <v>9.9539999999999999E-5</v>
      </c>
      <c r="V3678" s="25"/>
      <c r="W3678" s="25"/>
      <c r="X3678" s="25"/>
      <c r="Y3678" s="25"/>
      <c r="Z3678" s="25"/>
      <c r="AA3678" s="25"/>
    </row>
    <row r="3679" spans="1:27" x14ac:dyDescent="0.35">
      <c r="A3679" s="5">
        <v>3675</v>
      </c>
      <c r="B3679" s="5">
        <v>154</v>
      </c>
      <c r="C3679" s="5">
        <v>6</v>
      </c>
      <c r="D3679" s="25">
        <v>1.1416E-4</v>
      </c>
      <c r="E3679" s="25">
        <v>1.0631E-4</v>
      </c>
      <c r="F3679" s="25">
        <v>8.9870000000000005E-5</v>
      </c>
      <c r="G3679" s="25">
        <v>5.4299999999999998E-5</v>
      </c>
      <c r="H3679" s="25">
        <v>1.485E-5</v>
      </c>
      <c r="I3679" s="9">
        <v>9.2629999999999999E-5</v>
      </c>
      <c r="J3679" s="9">
        <v>9.1009999999999998E-5</v>
      </c>
      <c r="K3679" s="9">
        <v>2.12E-5</v>
      </c>
      <c r="L3679" s="9">
        <v>4.7089999999999998E-5</v>
      </c>
      <c r="M3679" s="9">
        <v>5.9200000000000002E-5</v>
      </c>
      <c r="N3679" s="9">
        <v>6.5590000000000001E-5</v>
      </c>
      <c r="O3679" s="9">
        <v>2.9090000000000001E-5</v>
      </c>
      <c r="P3679" s="9">
        <v>4.2389999999999999E-5</v>
      </c>
      <c r="Q3679" s="9">
        <v>6.2009999999999998E-5</v>
      </c>
      <c r="R3679" s="10">
        <v>2.1147442656977992E-4</v>
      </c>
      <c r="S3679" s="10">
        <v>1.9029020759484994E-4</v>
      </c>
      <c r="T3679" s="10">
        <v>0</v>
      </c>
      <c r="U3679" s="10">
        <v>9.9539999999999999E-5</v>
      </c>
      <c r="V3679" s="25"/>
      <c r="W3679" s="25"/>
      <c r="X3679" s="25"/>
      <c r="Y3679" s="25"/>
      <c r="Z3679" s="25"/>
      <c r="AA3679" s="25"/>
    </row>
    <row r="3680" spans="1:27" x14ac:dyDescent="0.35">
      <c r="A3680" s="5">
        <v>3676</v>
      </c>
      <c r="B3680" s="5">
        <v>154</v>
      </c>
      <c r="C3680" s="5">
        <v>6</v>
      </c>
      <c r="D3680" s="25">
        <v>1.1415000000000001E-4</v>
      </c>
      <c r="E3680" s="25">
        <v>1.1336E-4</v>
      </c>
      <c r="F3680" s="25">
        <v>8.8419999999999997E-5</v>
      </c>
      <c r="G3680" s="25">
        <v>5.3709999999999999E-5</v>
      </c>
      <c r="H3680" s="25">
        <v>1.4389999999999999E-5</v>
      </c>
      <c r="I3680" s="9">
        <v>9.3330000000000003E-5</v>
      </c>
      <c r="J3680" s="9">
        <v>9.0710000000000004E-5</v>
      </c>
      <c r="K3680" s="9">
        <v>1.484E-5</v>
      </c>
      <c r="L3680" s="9">
        <v>3.3680000000000003E-5</v>
      </c>
      <c r="M3680" s="9">
        <v>5.0599999999999997E-5</v>
      </c>
      <c r="N3680" s="9">
        <v>6.2100000000000005E-5</v>
      </c>
      <c r="O3680" s="9">
        <v>2.8459999999999999E-5</v>
      </c>
      <c r="P3680" s="9">
        <v>5.134E-5</v>
      </c>
      <c r="Q3680" s="9">
        <v>8.0430000000000001E-5</v>
      </c>
      <c r="R3680" s="10">
        <v>2.1053538642004497E-4</v>
      </c>
      <c r="S3680" s="10">
        <v>1.9029015270339954E-4</v>
      </c>
      <c r="T3680" s="10">
        <v>0</v>
      </c>
      <c r="U3680" s="10">
        <v>9.9539999999999999E-5</v>
      </c>
      <c r="V3680" s="25"/>
      <c r="W3680" s="25"/>
      <c r="X3680" s="25"/>
      <c r="Y3680" s="25"/>
      <c r="Z3680" s="25"/>
      <c r="AA3680" s="25"/>
    </row>
    <row r="3681" spans="1:27" x14ac:dyDescent="0.35">
      <c r="A3681" s="5">
        <v>3677</v>
      </c>
      <c r="B3681" s="5">
        <v>154</v>
      </c>
      <c r="C3681" s="5">
        <v>6</v>
      </c>
      <c r="D3681" s="25">
        <v>1.1416E-4</v>
      </c>
      <c r="E3681" s="25">
        <v>1.0965E-4</v>
      </c>
      <c r="F3681" s="25">
        <v>9.9870000000000004E-5</v>
      </c>
      <c r="G3681" s="25">
        <v>5.5550000000000002E-5</v>
      </c>
      <c r="H3681" s="25">
        <v>1.592E-5</v>
      </c>
      <c r="I3681" s="9">
        <v>9.5249999999999998E-5</v>
      </c>
      <c r="J3681" s="9">
        <v>9.1589999999999996E-5</v>
      </c>
      <c r="K3681" s="9">
        <v>0</v>
      </c>
      <c r="L3681" s="9">
        <v>2.993E-5</v>
      </c>
      <c r="M3681" s="9">
        <v>4.8869999999999998E-5</v>
      </c>
      <c r="N3681" s="9">
        <v>6.4620000000000001E-5</v>
      </c>
      <c r="O3681" s="9">
        <v>3.0009999999999999E-5</v>
      </c>
      <c r="P3681" s="9">
        <v>5.8850000000000001E-5</v>
      </c>
      <c r="Q3681" s="9">
        <v>9.3529999999999994E-5</v>
      </c>
      <c r="R3681" s="10">
        <v>2.1047750097050961E-4</v>
      </c>
      <c r="S3681" s="10">
        <v>1.9028296425556548E-4</v>
      </c>
      <c r="T3681" s="10">
        <v>1.2387077051208074E-5</v>
      </c>
      <c r="U3681" s="10">
        <v>9.9539999999999999E-5</v>
      </c>
      <c r="V3681" s="25"/>
      <c r="W3681" s="25"/>
      <c r="X3681" s="25"/>
      <c r="Y3681" s="25"/>
      <c r="Z3681" s="25"/>
      <c r="AA3681" s="25"/>
    </row>
    <row r="3682" spans="1:27" x14ac:dyDescent="0.35">
      <c r="A3682" s="5">
        <v>3678</v>
      </c>
      <c r="B3682" s="5">
        <v>154</v>
      </c>
      <c r="C3682" s="5">
        <v>6</v>
      </c>
      <c r="D3682" s="25">
        <v>1.1415000000000001E-4</v>
      </c>
      <c r="E3682" s="25">
        <v>1.0637999999999999E-4</v>
      </c>
      <c r="F3682" s="25">
        <v>8.6500000000000002E-5</v>
      </c>
      <c r="G3682" s="25">
        <v>1.0730000000000001E-4</v>
      </c>
      <c r="H3682" s="25">
        <v>2.9009999999999998E-5</v>
      </c>
      <c r="I3682" s="9">
        <v>1.05E-4</v>
      </c>
      <c r="J3682" s="9">
        <v>1.0018000000000001E-4</v>
      </c>
      <c r="K3682" s="9">
        <v>0</v>
      </c>
      <c r="L3682" s="9">
        <v>2.993E-5</v>
      </c>
      <c r="M3682" s="9">
        <v>5.2370000000000002E-5</v>
      </c>
      <c r="N3682" s="9">
        <v>7.1110000000000002E-5</v>
      </c>
      <c r="O3682" s="9">
        <v>3.5710000000000002E-5</v>
      </c>
      <c r="P3682" s="9">
        <v>6.9339999999999997E-5</v>
      </c>
      <c r="Q3682" s="9">
        <v>1.0791E-4</v>
      </c>
      <c r="R3682" s="10">
        <v>2.0927332965030209E-4</v>
      </c>
      <c r="S3682" s="10">
        <v>1.9024553775147477E-4</v>
      </c>
      <c r="T3682" s="10">
        <v>5.7141756123209848E-5</v>
      </c>
      <c r="U3682" s="10">
        <v>9.9539999999999999E-5</v>
      </c>
      <c r="V3682" s="25"/>
      <c r="W3682" s="25"/>
      <c r="X3682" s="25"/>
      <c r="Y3682" s="25"/>
      <c r="Z3682" s="25"/>
      <c r="AA3682" s="25"/>
    </row>
    <row r="3683" spans="1:27" x14ac:dyDescent="0.35">
      <c r="A3683" s="5">
        <v>3679</v>
      </c>
      <c r="B3683" s="5">
        <v>154</v>
      </c>
      <c r="C3683" s="5">
        <v>6</v>
      </c>
      <c r="D3683" s="25">
        <v>1.1416E-4</v>
      </c>
      <c r="E3683" s="25">
        <v>1.1063E-4</v>
      </c>
      <c r="F3683" s="25">
        <v>9.7180000000000001E-5</v>
      </c>
      <c r="G3683" s="25">
        <v>1.053E-4</v>
      </c>
      <c r="H3683" s="25">
        <v>2.6720000000000002E-5</v>
      </c>
      <c r="I3683" s="9">
        <v>1.167E-4</v>
      </c>
      <c r="J3683" s="9">
        <v>1.1502000000000001E-4</v>
      </c>
      <c r="K3683" s="9">
        <v>0</v>
      </c>
      <c r="L3683" s="9">
        <v>3.4360000000000003E-5</v>
      </c>
      <c r="M3683" s="9">
        <v>5.9509999999999998E-5</v>
      </c>
      <c r="N3683" s="9">
        <v>8.0989999999999995E-5</v>
      </c>
      <c r="O3683" s="9">
        <v>4.918E-5</v>
      </c>
      <c r="P3683" s="9">
        <v>7.9129999999999996E-5</v>
      </c>
      <c r="Q3683" s="9">
        <v>1.1178E-4</v>
      </c>
      <c r="R3683" s="10">
        <v>2.0832887346677989E-4</v>
      </c>
      <c r="S3683" s="10">
        <v>1.9012928514704208E-4</v>
      </c>
      <c r="T3683" s="10">
        <v>1.4230715299994043E-4</v>
      </c>
      <c r="U3683" s="10">
        <v>9.9539999999999999E-5</v>
      </c>
      <c r="V3683" s="25"/>
      <c r="W3683" s="25"/>
      <c r="X3683" s="25"/>
      <c r="Y3683" s="25"/>
      <c r="Z3683" s="25"/>
      <c r="AA3683" s="25"/>
    </row>
    <row r="3684" spans="1:27" x14ac:dyDescent="0.35">
      <c r="A3684" s="5">
        <v>3680</v>
      </c>
      <c r="B3684" s="5">
        <v>154</v>
      </c>
      <c r="C3684" s="5">
        <v>6</v>
      </c>
      <c r="D3684" s="25">
        <v>1.1415000000000001E-4</v>
      </c>
      <c r="E3684" s="25">
        <v>1.0809E-4</v>
      </c>
      <c r="F3684" s="25">
        <v>9.4450000000000005E-5</v>
      </c>
      <c r="G3684" s="25">
        <v>1.6626E-4</v>
      </c>
      <c r="H3684" s="25">
        <v>4.0290000000000002E-5</v>
      </c>
      <c r="I3684" s="9">
        <v>1.2321000000000001E-4</v>
      </c>
      <c r="J3684" s="9">
        <v>1.2579E-4</v>
      </c>
      <c r="K3684" s="9">
        <v>0</v>
      </c>
      <c r="L3684" s="9">
        <v>4.579E-5</v>
      </c>
      <c r="M3684" s="9">
        <v>6.8390000000000001E-5</v>
      </c>
      <c r="N3684" s="9">
        <v>9.09E-5</v>
      </c>
      <c r="O3684" s="9">
        <v>6.7570000000000005E-5</v>
      </c>
      <c r="P3684" s="9">
        <v>1.016E-4</v>
      </c>
      <c r="Q3684" s="9">
        <v>1.3528999999999999E-4</v>
      </c>
      <c r="R3684" s="10">
        <v>2.0595440941674158E-4</v>
      </c>
      <c r="S3684" s="10">
        <v>1.8998170575479695E-4</v>
      </c>
      <c r="T3684" s="10">
        <v>1.0015715382843241E-4</v>
      </c>
      <c r="U3684" s="10">
        <v>9.9539999999999999E-5</v>
      </c>
      <c r="V3684" s="25"/>
      <c r="W3684" s="25"/>
      <c r="X3684" s="25"/>
      <c r="Y3684" s="25"/>
      <c r="Z3684" s="25"/>
      <c r="AA3684" s="25"/>
    </row>
    <row r="3685" spans="1:27" x14ac:dyDescent="0.35">
      <c r="A3685" s="5">
        <v>3681</v>
      </c>
      <c r="B3685" s="5">
        <v>154</v>
      </c>
      <c r="C3685" s="5">
        <v>6</v>
      </c>
      <c r="D3685" s="25">
        <v>1.1416E-4</v>
      </c>
      <c r="E3685" s="25">
        <v>1.1218999999999999E-4</v>
      </c>
      <c r="F3685" s="25">
        <v>9.6349999999999997E-5</v>
      </c>
      <c r="G3685" s="25">
        <v>1.6577000000000001E-4</v>
      </c>
      <c r="H3685" s="25">
        <v>4.1950000000000003E-5</v>
      </c>
      <c r="I3685" s="9">
        <v>1.2684999999999999E-4</v>
      </c>
      <c r="J3685" s="9">
        <v>1.3101000000000001E-4</v>
      </c>
      <c r="K3685" s="9">
        <v>0</v>
      </c>
      <c r="L3685" s="9">
        <v>6.2470000000000003E-5</v>
      </c>
      <c r="M3685" s="9">
        <v>8.2540000000000006E-5</v>
      </c>
      <c r="N3685" s="9">
        <v>1.043E-4</v>
      </c>
      <c r="O3685" s="9">
        <v>9.5429999999999999E-5</v>
      </c>
      <c r="P3685" s="9">
        <v>1.3878999999999999E-4</v>
      </c>
      <c r="Q3685" s="9">
        <v>1.7733000000000001E-4</v>
      </c>
      <c r="R3685" s="10">
        <v>2.1032609413738665E-4</v>
      </c>
      <c r="S3685" s="10">
        <v>1.8940135179992262E-4</v>
      </c>
      <c r="T3685" s="10">
        <v>1.3161693581876084E-4</v>
      </c>
      <c r="U3685" s="10">
        <v>9.9539999999999999E-5</v>
      </c>
      <c r="V3685" s="25"/>
      <c r="W3685" s="25"/>
      <c r="X3685" s="25"/>
      <c r="Y3685" s="25"/>
      <c r="Z3685" s="25"/>
      <c r="AA3685" s="25"/>
    </row>
    <row r="3686" spans="1:27" x14ac:dyDescent="0.35">
      <c r="A3686" s="5">
        <v>3682</v>
      </c>
      <c r="B3686" s="5">
        <v>154</v>
      </c>
      <c r="C3686" s="5">
        <v>6</v>
      </c>
      <c r="D3686" s="25">
        <v>1.1415000000000001E-4</v>
      </c>
      <c r="E3686" s="25">
        <v>1.0815E-4</v>
      </c>
      <c r="F3686" s="25">
        <v>1.0042E-4</v>
      </c>
      <c r="G3686" s="25">
        <v>1.5808E-4</v>
      </c>
      <c r="H3686" s="25">
        <v>4.1409999999999998E-5</v>
      </c>
      <c r="I3686" s="9">
        <v>1.2658999999999999E-4</v>
      </c>
      <c r="J3686" s="9">
        <v>1.3212E-4</v>
      </c>
      <c r="K3686" s="9">
        <v>0</v>
      </c>
      <c r="L3686" s="9">
        <v>8.7750000000000005E-5</v>
      </c>
      <c r="M3686" s="9">
        <v>1.0636E-4</v>
      </c>
      <c r="N3686" s="9">
        <v>1.2439999999999999E-4</v>
      </c>
      <c r="O3686" s="9">
        <v>1.2002000000000001E-4</v>
      </c>
      <c r="P3686" s="9">
        <v>1.5563999999999999E-4</v>
      </c>
      <c r="Q3686" s="9">
        <v>1.8260999999999999E-4</v>
      </c>
      <c r="R3686" s="10">
        <v>2.1013279115318387E-4</v>
      </c>
      <c r="S3686" s="10">
        <v>1.8814250135621081E-4</v>
      </c>
      <c r="T3686" s="10">
        <v>1.2023100609086961E-4</v>
      </c>
      <c r="U3686" s="10">
        <v>9.9539999999999999E-5</v>
      </c>
      <c r="V3686" s="25"/>
      <c r="W3686" s="25"/>
      <c r="X3686" s="25"/>
      <c r="Y3686" s="25"/>
      <c r="Z3686" s="25"/>
      <c r="AA3686" s="25"/>
    </row>
    <row r="3687" spans="1:27" x14ac:dyDescent="0.35">
      <c r="A3687" s="5">
        <v>3683</v>
      </c>
      <c r="B3687" s="5">
        <v>154</v>
      </c>
      <c r="C3687" s="5">
        <v>6</v>
      </c>
      <c r="D3687" s="25">
        <v>1.1416E-4</v>
      </c>
      <c r="E3687" s="25">
        <v>1.1268E-4</v>
      </c>
      <c r="F3687" s="25">
        <v>8.6260000000000004E-5</v>
      </c>
      <c r="G3687" s="25">
        <v>1.6351000000000001E-4</v>
      </c>
      <c r="H3687" s="25">
        <v>4.21E-5</v>
      </c>
      <c r="I3687" s="9">
        <v>1.273E-4</v>
      </c>
      <c r="J3687" s="9">
        <v>1.3243E-4</v>
      </c>
      <c r="K3687" s="9">
        <v>0</v>
      </c>
      <c r="L3687" s="9">
        <v>1.1229E-4</v>
      </c>
      <c r="M3687" s="9">
        <v>1.3013E-4</v>
      </c>
      <c r="N3687" s="9">
        <v>1.426E-4</v>
      </c>
      <c r="O3687" s="9">
        <v>1.2666000000000001E-4</v>
      </c>
      <c r="P3687" s="9">
        <v>1.5784999999999999E-4</v>
      </c>
      <c r="Q3687" s="9">
        <v>1.7937000000000001E-4</v>
      </c>
      <c r="R3687" s="10">
        <v>2.0810574305468531E-4</v>
      </c>
      <c r="S3687" s="10">
        <v>1.8329016189059689E-4</v>
      </c>
      <c r="T3687" s="10">
        <v>1.9647940435060042E-4</v>
      </c>
      <c r="U3687" s="10">
        <v>9.9539999999999999E-5</v>
      </c>
      <c r="V3687" s="25"/>
      <c r="W3687" s="25"/>
      <c r="X3687" s="25"/>
      <c r="Y3687" s="25"/>
      <c r="Z3687" s="25"/>
      <c r="AA3687" s="25"/>
    </row>
    <row r="3688" spans="1:27" x14ac:dyDescent="0.35">
      <c r="A3688" s="5">
        <v>3684</v>
      </c>
      <c r="B3688" s="5">
        <v>154</v>
      </c>
      <c r="C3688" s="5">
        <v>6</v>
      </c>
      <c r="D3688" s="25">
        <v>1.1415000000000001E-4</v>
      </c>
      <c r="E3688" s="25">
        <v>1.1451999999999999E-4</v>
      </c>
      <c r="F3688" s="25">
        <v>1.0103E-4</v>
      </c>
      <c r="G3688" s="25">
        <v>1.5688E-4</v>
      </c>
      <c r="H3688" s="25">
        <v>4.07E-5</v>
      </c>
      <c r="I3688" s="9">
        <v>1.2355999999999999E-4</v>
      </c>
      <c r="J3688" s="9">
        <v>1.3057999999999999E-4</v>
      </c>
      <c r="K3688" s="9">
        <v>0</v>
      </c>
      <c r="L3688" s="9">
        <v>1.2292E-4</v>
      </c>
      <c r="M3688" s="9">
        <v>1.4574999999999999E-4</v>
      </c>
      <c r="N3688" s="9">
        <v>1.5665000000000001E-4</v>
      </c>
      <c r="O3688" s="9">
        <v>1.2908E-4</v>
      </c>
      <c r="P3688" s="9">
        <v>1.5735E-4</v>
      </c>
      <c r="Q3688" s="9">
        <v>1.7571000000000001E-4</v>
      </c>
      <c r="R3688" s="10">
        <v>1.5288363340575637E-4</v>
      </c>
      <c r="S3688" s="10">
        <v>1.5596412989372574E-4</v>
      </c>
      <c r="T3688" s="10">
        <v>2.2972937350380888E-4</v>
      </c>
      <c r="U3688" s="10">
        <v>9.9539999999999999E-5</v>
      </c>
      <c r="V3688" s="25"/>
      <c r="W3688" s="25"/>
      <c r="X3688" s="25"/>
      <c r="Y3688" s="25"/>
      <c r="Z3688" s="25"/>
      <c r="AA3688" s="25"/>
    </row>
    <row r="3689" spans="1:27" x14ac:dyDescent="0.35">
      <c r="A3689" s="5">
        <v>3685</v>
      </c>
      <c r="B3689" s="5">
        <v>154</v>
      </c>
      <c r="C3689" s="5">
        <v>6</v>
      </c>
      <c r="D3689" s="25">
        <v>1.1416E-4</v>
      </c>
      <c r="E3689" s="25">
        <v>1.1107000000000001E-4</v>
      </c>
      <c r="F3689" s="25">
        <v>8.4149999999999999E-5</v>
      </c>
      <c r="G3689" s="25">
        <v>1.5959000000000001E-4</v>
      </c>
      <c r="H3689" s="25">
        <v>4.2710000000000003E-5</v>
      </c>
      <c r="I3689" s="9">
        <v>1.2146000000000001E-4</v>
      </c>
      <c r="J3689" s="9">
        <v>1.3155999999999999E-4</v>
      </c>
      <c r="K3689" s="9">
        <v>0</v>
      </c>
      <c r="L3689" s="9">
        <v>1.2758999999999999E-4</v>
      </c>
      <c r="M3689" s="9">
        <v>1.5325000000000001E-4</v>
      </c>
      <c r="N3689" s="9">
        <v>1.6651E-4</v>
      </c>
      <c r="O3689" s="9">
        <v>1.1968000000000001E-4</v>
      </c>
      <c r="P3689" s="9">
        <v>1.4700999999999999E-4</v>
      </c>
      <c r="Q3689" s="9">
        <v>1.6574E-4</v>
      </c>
      <c r="R3689" s="10">
        <v>1.4071781546096048E-4</v>
      </c>
      <c r="S3689" s="10">
        <v>1.3208116174311265E-4</v>
      </c>
      <c r="T3689" s="10">
        <v>1.8706183207194219E-4</v>
      </c>
      <c r="U3689" s="10">
        <v>9.9539999999999999E-5</v>
      </c>
      <c r="V3689" s="25"/>
      <c r="W3689" s="25"/>
      <c r="X3689" s="25"/>
      <c r="Y3689" s="25"/>
      <c r="Z3689" s="25"/>
      <c r="AA3689" s="25"/>
    </row>
    <row r="3690" spans="1:27" x14ac:dyDescent="0.35">
      <c r="A3690" s="5">
        <v>3686</v>
      </c>
      <c r="B3690" s="5">
        <v>154</v>
      </c>
      <c r="C3690" s="5">
        <v>6</v>
      </c>
      <c r="D3690" s="25">
        <v>1.1415000000000001E-4</v>
      </c>
      <c r="E3690" s="25">
        <v>1.1532E-4</v>
      </c>
      <c r="F3690" s="25">
        <v>9.5580000000000003E-5</v>
      </c>
      <c r="G3690" s="25">
        <v>1.5888999999999999E-4</v>
      </c>
      <c r="H3690" s="25">
        <v>4.2740000000000001E-5</v>
      </c>
      <c r="I3690" s="9">
        <v>1.1912E-4</v>
      </c>
      <c r="J3690" s="9">
        <v>1.3098999999999999E-4</v>
      </c>
      <c r="K3690" s="9">
        <v>0</v>
      </c>
      <c r="L3690" s="9">
        <v>1.2145E-4</v>
      </c>
      <c r="M3690" s="9">
        <v>1.5247000000000001E-4</v>
      </c>
      <c r="N3690" s="9">
        <v>1.7049E-4</v>
      </c>
      <c r="O3690" s="9">
        <v>1.0534E-4</v>
      </c>
      <c r="P3690" s="9">
        <v>1.3574999999999999E-4</v>
      </c>
      <c r="Q3690" s="9">
        <v>1.5986E-4</v>
      </c>
      <c r="R3690" s="10">
        <v>1.2554101504002205E-4</v>
      </c>
      <c r="S3690" s="10">
        <v>1.225682317934757E-4</v>
      </c>
      <c r="T3690" s="10">
        <v>1.8596735745577382E-4</v>
      </c>
      <c r="U3690" s="10">
        <v>9.9539999999999999E-5</v>
      </c>
      <c r="V3690" s="25"/>
      <c r="W3690" s="25"/>
      <c r="X3690" s="25"/>
      <c r="Y3690" s="25"/>
      <c r="Z3690" s="25"/>
      <c r="AA3690" s="25"/>
    </row>
    <row r="3691" spans="1:27" x14ac:dyDescent="0.35">
      <c r="A3691" s="5">
        <v>3687</v>
      </c>
      <c r="B3691" s="5">
        <v>154</v>
      </c>
      <c r="C3691" s="5">
        <v>6</v>
      </c>
      <c r="D3691" s="25">
        <v>1.1416E-4</v>
      </c>
      <c r="E3691" s="25">
        <v>1.1577E-4</v>
      </c>
      <c r="F3691" s="25">
        <v>8.5249999999999999E-5</v>
      </c>
      <c r="G3691" s="25">
        <v>1.6100000000000001E-4</v>
      </c>
      <c r="H3691" s="25">
        <v>4.0129999999999997E-5</v>
      </c>
      <c r="I3691" s="9">
        <v>1.172E-4</v>
      </c>
      <c r="J3691" s="9">
        <v>1.306E-4</v>
      </c>
      <c r="K3691" s="9">
        <v>0</v>
      </c>
      <c r="L3691" s="9">
        <v>1.091E-4</v>
      </c>
      <c r="M3691" s="9">
        <v>1.4595999999999999E-4</v>
      </c>
      <c r="N3691" s="9">
        <v>1.6979000000000001E-4</v>
      </c>
      <c r="O3691" s="9">
        <v>1.1915E-4</v>
      </c>
      <c r="P3691" s="9">
        <v>1.4043000000000001E-4</v>
      </c>
      <c r="Q3691" s="9">
        <v>1.5346000000000001E-4</v>
      </c>
      <c r="R3691" s="10">
        <v>1.0991279851671384E-4</v>
      </c>
      <c r="S3691" s="10">
        <v>1.1634620796623138E-4</v>
      </c>
      <c r="T3691" s="10">
        <v>4.7283000278344241E-4</v>
      </c>
      <c r="U3691" s="10">
        <v>9.9539999999999999E-5</v>
      </c>
      <c r="V3691" s="25"/>
      <c r="W3691" s="25"/>
      <c r="X3691" s="25"/>
      <c r="Y3691" s="25"/>
      <c r="Z3691" s="25"/>
      <c r="AA3691" s="25"/>
    </row>
    <row r="3692" spans="1:27" x14ac:dyDescent="0.35">
      <c r="A3692" s="5">
        <v>3688</v>
      </c>
      <c r="B3692" s="5">
        <v>154</v>
      </c>
      <c r="C3692" s="5">
        <v>6</v>
      </c>
      <c r="D3692" s="25">
        <v>1.1415000000000001E-4</v>
      </c>
      <c r="E3692" s="25">
        <v>1.161E-4</v>
      </c>
      <c r="F3692" s="25">
        <v>8.7050000000000002E-5</v>
      </c>
      <c r="G3692" s="25">
        <v>1.6348E-4</v>
      </c>
      <c r="H3692" s="25">
        <v>4.231E-5</v>
      </c>
      <c r="I3692" s="9">
        <v>1.1699E-4</v>
      </c>
      <c r="J3692" s="9">
        <v>1.3087999999999999E-4</v>
      </c>
      <c r="K3692" s="9">
        <v>0</v>
      </c>
      <c r="L3692" s="9">
        <v>1.1731E-4</v>
      </c>
      <c r="M3692" s="9">
        <v>1.4216000000000001E-4</v>
      </c>
      <c r="N3692" s="9">
        <v>1.6609E-4</v>
      </c>
      <c r="O3692" s="9">
        <v>1.2530000000000001E-4</v>
      </c>
      <c r="P3692" s="9">
        <v>1.2238E-4</v>
      </c>
      <c r="Q3692" s="9">
        <v>1.1061999999999999E-4</v>
      </c>
      <c r="R3692" s="10">
        <v>9.4816132622640512E-5</v>
      </c>
      <c r="S3692" s="10">
        <v>1.065682998817536E-4</v>
      </c>
      <c r="T3692" s="10">
        <v>2.1047849827833558E-4</v>
      </c>
      <c r="U3692" s="10">
        <v>9.9539999999999999E-5</v>
      </c>
      <c r="V3692" s="25"/>
      <c r="W3692" s="25"/>
      <c r="X3692" s="25"/>
      <c r="Y3692" s="25"/>
      <c r="Z3692" s="25"/>
      <c r="AA3692" s="25"/>
    </row>
    <row r="3693" spans="1:27" x14ac:dyDescent="0.35">
      <c r="A3693" s="5">
        <v>3689</v>
      </c>
      <c r="B3693" s="5">
        <v>154</v>
      </c>
      <c r="C3693" s="5">
        <v>6</v>
      </c>
      <c r="D3693" s="25">
        <v>1.1416E-4</v>
      </c>
      <c r="E3693" s="25">
        <v>1.1061999999999999E-4</v>
      </c>
      <c r="F3693" s="25">
        <v>9.1710000000000001E-5</v>
      </c>
      <c r="G3693" s="25">
        <v>1.6066E-4</v>
      </c>
      <c r="H3693" s="25">
        <v>4.2459999999999997E-5</v>
      </c>
      <c r="I3693" s="9">
        <v>1.1949E-4</v>
      </c>
      <c r="J3693" s="9">
        <v>1.3088999999999999E-4</v>
      </c>
      <c r="K3693" s="9">
        <v>1.272E-5</v>
      </c>
      <c r="L3693" s="9">
        <v>1.2327E-4</v>
      </c>
      <c r="M3693" s="9">
        <v>1.3425000000000001E-4</v>
      </c>
      <c r="N3693" s="9">
        <v>1.5255999999999999E-4</v>
      </c>
      <c r="O3693" s="9">
        <v>1.2873999999999999E-4</v>
      </c>
      <c r="P3693" s="9">
        <v>1.2234999999999999E-4</v>
      </c>
      <c r="Q3693" s="9">
        <v>1.0648E-4</v>
      </c>
      <c r="R3693" s="10">
        <v>7.4867213635182935E-5</v>
      </c>
      <c r="S3693" s="10">
        <v>8.7117093403338706E-5</v>
      </c>
      <c r="T3693" s="10">
        <v>2.8297683622530335E-4</v>
      </c>
      <c r="U3693" s="10">
        <v>9.9539999999999999E-5</v>
      </c>
      <c r="V3693" s="25"/>
      <c r="W3693" s="25"/>
      <c r="X3693" s="25"/>
      <c r="Y3693" s="25"/>
      <c r="Z3693" s="25"/>
      <c r="AA3693" s="25"/>
    </row>
    <row r="3694" spans="1:27" x14ac:dyDescent="0.35">
      <c r="A3694" s="5">
        <v>3690</v>
      </c>
      <c r="B3694" s="5">
        <v>154</v>
      </c>
      <c r="C3694" s="5">
        <v>6</v>
      </c>
      <c r="D3694" s="25">
        <v>1.1415000000000001E-4</v>
      </c>
      <c r="E3694" s="25">
        <v>1.0708E-4</v>
      </c>
      <c r="F3694" s="25">
        <v>8.3259999999999999E-5</v>
      </c>
      <c r="G3694" s="25">
        <v>1.6511E-4</v>
      </c>
      <c r="H3694" s="25">
        <v>4.265E-5</v>
      </c>
      <c r="I3694" s="9">
        <v>1.2180000000000001E-4</v>
      </c>
      <c r="J3694" s="9">
        <v>1.2640000000000001E-4</v>
      </c>
      <c r="K3694" s="9">
        <v>1.696E-5</v>
      </c>
      <c r="L3694" s="9">
        <v>1.2727999999999999E-4</v>
      </c>
      <c r="M3694" s="9">
        <v>1.2795999999999999E-4</v>
      </c>
      <c r="N3694" s="9">
        <v>1.3903E-4</v>
      </c>
      <c r="O3694" s="9">
        <v>1.2993E-4</v>
      </c>
      <c r="P3694" s="9">
        <v>1.2860000000000001E-4</v>
      </c>
      <c r="Q3694" s="9">
        <v>1.1757E-4</v>
      </c>
      <c r="R3694" s="10">
        <v>5.6042235253001382E-5</v>
      </c>
      <c r="S3694" s="10">
        <v>6.890695139112828E-5</v>
      </c>
      <c r="T3694" s="10">
        <v>1.5420214068884023E-4</v>
      </c>
      <c r="U3694" s="10">
        <v>9.9539999999999999E-5</v>
      </c>
      <c r="V3694" s="25"/>
      <c r="W3694" s="25"/>
      <c r="X3694" s="25"/>
      <c r="Y3694" s="25"/>
      <c r="Z3694" s="25"/>
      <c r="AA3694" s="25"/>
    </row>
    <row r="3695" spans="1:27" x14ac:dyDescent="0.35">
      <c r="A3695" s="5">
        <v>3691</v>
      </c>
      <c r="B3695" s="5">
        <v>154</v>
      </c>
      <c r="C3695" s="5">
        <v>6</v>
      </c>
      <c r="D3695" s="25">
        <v>1.1416E-4</v>
      </c>
      <c r="E3695" s="25">
        <v>1.1315E-4</v>
      </c>
      <c r="F3695" s="25">
        <v>9.4209999999999994E-5</v>
      </c>
      <c r="G3695" s="25">
        <v>1.0721E-4</v>
      </c>
      <c r="H3695" s="25">
        <v>2.6950000000000001E-5</v>
      </c>
      <c r="I3695" s="9">
        <v>1.1966E-4</v>
      </c>
      <c r="J3695" s="9">
        <v>1.2369E-4</v>
      </c>
      <c r="K3695" s="9">
        <v>1.484E-5</v>
      </c>
      <c r="L3695" s="9">
        <v>1.293E-4</v>
      </c>
      <c r="M3695" s="9">
        <v>1.2669999999999999E-4</v>
      </c>
      <c r="N3695" s="9">
        <v>1.2998999999999999E-4</v>
      </c>
      <c r="O3695" s="9">
        <v>1.3066999999999999E-4</v>
      </c>
      <c r="P3695" s="9">
        <v>1.2375E-4</v>
      </c>
      <c r="Q3695" s="9">
        <v>1.0711E-4</v>
      </c>
      <c r="R3695" s="10">
        <v>3.8793585027718035E-5</v>
      </c>
      <c r="S3695" s="10">
        <v>4.8922298174237569E-5</v>
      </c>
      <c r="T3695" s="10">
        <v>4.2099093375407163E-5</v>
      </c>
      <c r="U3695" s="10">
        <v>9.9539999999999999E-5</v>
      </c>
      <c r="V3695" s="25"/>
      <c r="W3695" s="25"/>
      <c r="X3695" s="25"/>
      <c r="Y3695" s="25"/>
      <c r="Z3695" s="25"/>
      <c r="AA3695" s="25"/>
    </row>
    <row r="3696" spans="1:27" x14ac:dyDescent="0.35">
      <c r="A3696" s="5">
        <v>3692</v>
      </c>
      <c r="B3696" s="5">
        <v>154</v>
      </c>
      <c r="C3696" s="5">
        <v>6</v>
      </c>
      <c r="D3696" s="25">
        <v>1.1415000000000001E-4</v>
      </c>
      <c r="E3696" s="25">
        <v>1.1584E-4</v>
      </c>
      <c r="F3696" s="25">
        <v>9.2709999999999998E-5</v>
      </c>
      <c r="G3696" s="25">
        <v>1.0451E-4</v>
      </c>
      <c r="H3696" s="25">
        <v>2.836E-5</v>
      </c>
      <c r="I3696" s="9">
        <v>1.1564E-4</v>
      </c>
      <c r="J3696" s="9">
        <v>1.2061999999999999E-4</v>
      </c>
      <c r="K3696" s="9">
        <v>1.908E-5</v>
      </c>
      <c r="L3696" s="9">
        <v>1.3035999999999999E-4</v>
      </c>
      <c r="M3696" s="9">
        <v>1.2559E-4</v>
      </c>
      <c r="N3696" s="9">
        <v>1.2092E-4</v>
      </c>
      <c r="O3696" s="9">
        <v>1.3223E-4</v>
      </c>
      <c r="P3696" s="9">
        <v>1.2184E-4</v>
      </c>
      <c r="Q3696" s="9">
        <v>1.0151E-4</v>
      </c>
      <c r="R3696" s="10">
        <v>2.5015239649837379E-5</v>
      </c>
      <c r="S3696" s="10">
        <v>3.0089785363875105E-5</v>
      </c>
      <c r="T3696" s="10">
        <v>8.0006942871843928E-6</v>
      </c>
      <c r="U3696" s="10">
        <v>9.9539999999999999E-5</v>
      </c>
      <c r="V3696" s="25"/>
      <c r="W3696" s="25"/>
      <c r="X3696" s="25"/>
      <c r="Y3696" s="25"/>
      <c r="Z3696" s="25"/>
      <c r="AA3696" s="25"/>
    </row>
    <row r="3697" spans="1:27" x14ac:dyDescent="0.35">
      <c r="A3697" s="5">
        <v>3693</v>
      </c>
      <c r="B3697" s="5">
        <v>154</v>
      </c>
      <c r="C3697" s="5">
        <v>6</v>
      </c>
      <c r="D3697" s="25">
        <v>1.1416E-4</v>
      </c>
      <c r="E3697" s="25">
        <v>1.154E-4</v>
      </c>
      <c r="F3697" s="25">
        <v>9.2579999999999998E-5</v>
      </c>
      <c r="G3697" s="25">
        <v>5.2750000000000001E-5</v>
      </c>
      <c r="H3697" s="25">
        <v>1.3869999999999999E-5</v>
      </c>
      <c r="I3697" s="9">
        <v>1.1232E-4</v>
      </c>
      <c r="J3697" s="9">
        <v>1.1734E-4</v>
      </c>
      <c r="K3697" s="9">
        <v>1.06E-5</v>
      </c>
      <c r="L3697" s="9">
        <v>1.3181E-4</v>
      </c>
      <c r="M3697" s="9">
        <v>1.2400000000000001E-4</v>
      </c>
      <c r="N3697" s="9">
        <v>1.1314E-4</v>
      </c>
      <c r="O3697" s="9">
        <v>8.1929999999999997E-5</v>
      </c>
      <c r="P3697" s="9">
        <v>8.6039999999999996E-5</v>
      </c>
      <c r="Q3697" s="9">
        <v>8.8029999999999996E-5</v>
      </c>
      <c r="R3697" s="10">
        <v>2.024173270257839E-5</v>
      </c>
      <c r="S3697" s="10">
        <v>2.1445248909401488E-5</v>
      </c>
      <c r="T3697" s="10">
        <v>0</v>
      </c>
      <c r="U3697" s="10">
        <v>9.9539999999999999E-5</v>
      </c>
      <c r="V3697" s="25"/>
      <c r="W3697" s="25"/>
      <c r="X3697" s="25"/>
      <c r="Y3697" s="25"/>
      <c r="Z3697" s="25"/>
      <c r="AA3697" s="25"/>
    </row>
    <row r="3698" spans="1:27" x14ac:dyDescent="0.35">
      <c r="A3698" s="5">
        <v>3694</v>
      </c>
      <c r="B3698" s="5">
        <v>154</v>
      </c>
      <c r="C3698" s="5">
        <v>6</v>
      </c>
      <c r="D3698" s="25">
        <v>1.1415000000000001E-4</v>
      </c>
      <c r="E3698" s="25">
        <v>1.0733E-4</v>
      </c>
      <c r="F3698" s="25">
        <v>8.2520000000000003E-5</v>
      </c>
      <c r="G3698" s="25">
        <v>5.6209999999999999E-5</v>
      </c>
      <c r="H3698" s="25">
        <v>1.3499999999999999E-5</v>
      </c>
      <c r="I3698" s="9">
        <v>1.1421000000000001E-4</v>
      </c>
      <c r="J3698" s="9">
        <v>1.1376E-4</v>
      </c>
      <c r="K3698" s="9">
        <v>1.484E-5</v>
      </c>
      <c r="L3698" s="9">
        <v>9.2869999999999997E-5</v>
      </c>
      <c r="M3698" s="9">
        <v>1.0988E-4</v>
      </c>
      <c r="N3698" s="9">
        <v>1.0546E-4</v>
      </c>
      <c r="O3698" s="9">
        <v>8.5190000000000003E-5</v>
      </c>
      <c r="P3698" s="9">
        <v>8.8350000000000006E-5</v>
      </c>
      <c r="Q3698" s="9">
        <v>8.8999999999999995E-5</v>
      </c>
      <c r="R3698" s="10">
        <v>1.9580670559040192E-5</v>
      </c>
      <c r="S3698" s="10">
        <v>1.8902234779135314E-5</v>
      </c>
      <c r="T3698" s="10">
        <v>0</v>
      </c>
      <c r="U3698" s="10">
        <v>9.9539999999999999E-5</v>
      </c>
      <c r="V3698" s="25"/>
      <c r="W3698" s="25"/>
      <c r="X3698" s="25"/>
      <c r="Y3698" s="25"/>
      <c r="Z3698" s="25"/>
      <c r="AA3698" s="25"/>
    </row>
    <row r="3699" spans="1:27" x14ac:dyDescent="0.35">
      <c r="A3699" s="5">
        <v>3695</v>
      </c>
      <c r="B3699" s="5">
        <v>154</v>
      </c>
      <c r="C3699" s="5">
        <v>6</v>
      </c>
      <c r="D3699" s="25">
        <v>1.1416E-4</v>
      </c>
      <c r="E3699" s="25">
        <v>1.1152E-4</v>
      </c>
      <c r="F3699" s="25">
        <v>9.0530000000000002E-5</v>
      </c>
      <c r="G3699" s="25">
        <v>6.1359999999999995E-5</v>
      </c>
      <c r="H3699" s="25">
        <v>1.4620000000000001E-5</v>
      </c>
      <c r="I3699" s="9">
        <v>1.0959E-4</v>
      </c>
      <c r="J3699" s="9">
        <v>1.0734999999999999E-4</v>
      </c>
      <c r="K3699" s="9">
        <v>2.1189999999999999E-5</v>
      </c>
      <c r="L3699" s="9">
        <v>8.7960000000000005E-5</v>
      </c>
      <c r="M3699" s="9">
        <v>9.8330000000000002E-5</v>
      </c>
      <c r="N3699" s="9">
        <v>9.9840000000000006E-5</v>
      </c>
      <c r="O3699" s="9">
        <v>8.1580000000000002E-5</v>
      </c>
      <c r="P3699" s="9">
        <v>7.4960000000000001E-5</v>
      </c>
      <c r="Q3699" s="9">
        <v>6.6400000000000001E-5</v>
      </c>
      <c r="R3699" s="10">
        <v>1.795867638332874E-5</v>
      </c>
      <c r="S3699" s="10">
        <v>2.0933353383540537E-5</v>
      </c>
      <c r="T3699" s="10">
        <v>0</v>
      </c>
      <c r="U3699" s="10">
        <v>9.9539999999999999E-5</v>
      </c>
      <c r="V3699" s="25"/>
      <c r="W3699" s="25"/>
      <c r="X3699" s="25"/>
      <c r="Y3699" s="25"/>
      <c r="Z3699" s="25"/>
      <c r="AA3699" s="25"/>
    </row>
    <row r="3700" spans="1:27" x14ac:dyDescent="0.35">
      <c r="A3700" s="5">
        <v>3696</v>
      </c>
      <c r="B3700" s="5">
        <v>154</v>
      </c>
      <c r="C3700" s="5">
        <v>6</v>
      </c>
      <c r="D3700" s="25">
        <v>1.1415000000000001E-4</v>
      </c>
      <c r="E3700" s="25">
        <v>1.0933E-4</v>
      </c>
      <c r="F3700" s="25">
        <v>8.6230000000000006E-5</v>
      </c>
      <c r="G3700" s="25">
        <v>6.0779999999999997E-5</v>
      </c>
      <c r="H3700" s="25">
        <v>1.6220000000000001E-5</v>
      </c>
      <c r="I3700" s="9">
        <v>1.0142E-4</v>
      </c>
      <c r="J3700" s="9">
        <v>9.9829999999999998E-5</v>
      </c>
      <c r="K3700" s="9">
        <v>2.7549999999999999E-5</v>
      </c>
      <c r="L3700" s="9">
        <v>8.3150000000000002E-5</v>
      </c>
      <c r="M3700" s="9">
        <v>8.7239999999999998E-5</v>
      </c>
      <c r="N3700" s="9">
        <v>9.0480000000000001E-5</v>
      </c>
      <c r="O3700" s="9">
        <v>7.7919999999999999E-5</v>
      </c>
      <c r="P3700" s="9">
        <v>6.9140000000000005E-5</v>
      </c>
      <c r="Q3700" s="9">
        <v>5.9179999999999999E-5</v>
      </c>
      <c r="R3700" s="10">
        <v>1.0459398760588635E-5</v>
      </c>
      <c r="S3700" s="10">
        <v>3.5635421677524123E-5</v>
      </c>
      <c r="T3700" s="10">
        <v>0</v>
      </c>
      <c r="U3700" s="10">
        <v>9.9539999999999999E-5</v>
      </c>
      <c r="V3700" s="25"/>
      <c r="W3700" s="25"/>
      <c r="X3700" s="25"/>
      <c r="Y3700" s="25"/>
      <c r="Z3700" s="25"/>
      <c r="AA3700" s="25"/>
    </row>
    <row r="3701" spans="1:27" x14ac:dyDescent="0.35">
      <c r="A3701" s="5">
        <v>3697</v>
      </c>
      <c r="B3701" s="5">
        <v>155</v>
      </c>
      <c r="C3701" s="5">
        <v>6</v>
      </c>
      <c r="D3701" s="25">
        <v>1.1416E-4</v>
      </c>
      <c r="E3701" s="25">
        <v>1.1794999999999999E-4</v>
      </c>
      <c r="F3701" s="25">
        <v>8.9729999999999996E-5</v>
      </c>
      <c r="G3701" s="25">
        <v>5.6969999999999998E-5</v>
      </c>
      <c r="H3701" s="25">
        <v>6.8269999999999995E-5</v>
      </c>
      <c r="I3701" s="9">
        <v>9.6390000000000004E-5</v>
      </c>
      <c r="J3701" s="9">
        <v>9.4500000000000007E-5</v>
      </c>
      <c r="K3701" s="9">
        <v>4.4509999999999999E-5</v>
      </c>
      <c r="L3701" s="9">
        <v>7.8910000000000002E-5</v>
      </c>
      <c r="M3701" s="9">
        <v>7.8189999999999995E-5</v>
      </c>
      <c r="N3701" s="9">
        <v>8.1160000000000002E-5</v>
      </c>
      <c r="O3701" s="9">
        <v>5.4030000000000003E-5</v>
      </c>
      <c r="P3701" s="9">
        <v>5.3449999999999998E-5</v>
      </c>
      <c r="Q3701" s="9">
        <v>5.3029999999999999E-5</v>
      </c>
      <c r="R3701" s="10">
        <v>7.6385164164646705E-6</v>
      </c>
      <c r="S3701" s="10">
        <v>4.483904795604763E-5</v>
      </c>
      <c r="T3701" s="10">
        <v>0</v>
      </c>
      <c r="U3701" s="10">
        <v>1.0101E-4</v>
      </c>
      <c r="V3701" s="25"/>
      <c r="W3701" s="25"/>
      <c r="X3701" s="25"/>
      <c r="Y3701" s="25"/>
      <c r="Z3701" s="25"/>
      <c r="AA3701" s="25"/>
    </row>
    <row r="3702" spans="1:27" x14ac:dyDescent="0.35">
      <c r="A3702" s="5">
        <v>3698</v>
      </c>
      <c r="B3702" s="5">
        <v>155</v>
      </c>
      <c r="C3702" s="5">
        <v>6</v>
      </c>
      <c r="D3702" s="25">
        <v>1.1415000000000001E-4</v>
      </c>
      <c r="E3702" s="25">
        <v>1.1417E-4</v>
      </c>
      <c r="F3702" s="25">
        <v>8.3789999999999996E-5</v>
      </c>
      <c r="G3702" s="25">
        <v>5.5829999999999999E-5</v>
      </c>
      <c r="H3702" s="25">
        <v>6.991E-5</v>
      </c>
      <c r="I3702" s="9">
        <v>9.4250000000000001E-5</v>
      </c>
      <c r="J3702" s="9">
        <v>9.2239999999999998E-5</v>
      </c>
      <c r="K3702" s="9">
        <v>6.1470000000000006E-5</v>
      </c>
      <c r="L3702" s="9">
        <v>5.961E-5</v>
      </c>
      <c r="M3702" s="9">
        <v>6.7169999999999996E-5</v>
      </c>
      <c r="N3702" s="9">
        <v>7.2000000000000002E-5</v>
      </c>
      <c r="O3702" s="9">
        <v>2.406E-5</v>
      </c>
      <c r="P3702" s="9">
        <v>3.765E-5</v>
      </c>
      <c r="Q3702" s="9">
        <v>5.6029999999999997E-5</v>
      </c>
      <c r="R3702" s="10">
        <v>6.3992852316339705E-6</v>
      </c>
      <c r="S3702" s="10">
        <v>4.9094652296269023E-5</v>
      </c>
      <c r="T3702" s="10">
        <v>0</v>
      </c>
      <c r="U3702" s="10">
        <v>1.0101E-4</v>
      </c>
      <c r="V3702" s="25"/>
      <c r="W3702" s="25"/>
      <c r="X3702" s="25"/>
      <c r="Y3702" s="25"/>
      <c r="Z3702" s="25"/>
      <c r="AA3702" s="25"/>
    </row>
    <row r="3703" spans="1:27" x14ac:dyDescent="0.35">
      <c r="A3703" s="5">
        <v>3699</v>
      </c>
      <c r="B3703" s="5">
        <v>155</v>
      </c>
      <c r="C3703" s="5">
        <v>6</v>
      </c>
      <c r="D3703" s="25">
        <v>1.1416E-4</v>
      </c>
      <c r="E3703" s="25">
        <v>1.1088E-4</v>
      </c>
      <c r="F3703" s="25">
        <v>8.5580000000000004E-5</v>
      </c>
      <c r="G3703" s="25">
        <v>6.0439999999999997E-5</v>
      </c>
      <c r="H3703" s="25">
        <v>7.4759999999999996E-5</v>
      </c>
      <c r="I3703" s="9">
        <v>9.2769999999999994E-5</v>
      </c>
      <c r="J3703" s="9">
        <v>9.1020000000000006E-5</v>
      </c>
      <c r="K3703" s="9">
        <v>5.7229999999999999E-5</v>
      </c>
      <c r="L3703" s="9">
        <v>3.2400000000000001E-5</v>
      </c>
      <c r="M3703" s="9">
        <v>5.384E-5</v>
      </c>
      <c r="N3703" s="9">
        <v>6.5409999999999999E-5</v>
      </c>
      <c r="O3703" s="9">
        <v>1.965E-5</v>
      </c>
      <c r="P3703" s="9">
        <v>3.8130000000000003E-5</v>
      </c>
      <c r="Q3703" s="9">
        <v>6.2150000000000006E-5</v>
      </c>
      <c r="R3703" s="10">
        <v>7.8770132405630591E-6</v>
      </c>
      <c r="S3703" s="10">
        <v>4.950231930385611E-5</v>
      </c>
      <c r="T3703" s="10">
        <v>0</v>
      </c>
      <c r="U3703" s="10">
        <v>1.0101E-4</v>
      </c>
      <c r="V3703" s="25"/>
      <c r="W3703" s="25"/>
      <c r="X3703" s="25"/>
      <c r="Y3703" s="25"/>
      <c r="Z3703" s="25"/>
      <c r="AA3703" s="25"/>
    </row>
    <row r="3704" spans="1:27" x14ac:dyDescent="0.35">
      <c r="A3704" s="5">
        <v>3700</v>
      </c>
      <c r="B3704" s="5">
        <v>155</v>
      </c>
      <c r="C3704" s="5">
        <v>6</v>
      </c>
      <c r="D3704" s="25">
        <v>1.1415000000000001E-4</v>
      </c>
      <c r="E3704" s="25">
        <v>1.1192E-4</v>
      </c>
      <c r="F3704" s="25">
        <v>8.988E-5</v>
      </c>
      <c r="G3704" s="25">
        <v>6.2009999999999998E-5</v>
      </c>
      <c r="H3704" s="25">
        <v>7.4690000000000005E-5</v>
      </c>
      <c r="I3704" s="9">
        <v>9.4110000000000005E-5</v>
      </c>
      <c r="J3704" s="9">
        <v>9.1089999999999997E-5</v>
      </c>
      <c r="K3704" s="9">
        <v>5.2979999999999998E-5</v>
      </c>
      <c r="L3704" s="9">
        <v>2.319E-5</v>
      </c>
      <c r="M3704" s="9">
        <v>4.4969999999999998E-5</v>
      </c>
      <c r="N3704" s="9">
        <v>6.1950000000000001E-5</v>
      </c>
      <c r="O3704" s="9">
        <v>1.9619999999999998E-5</v>
      </c>
      <c r="P3704" s="9">
        <v>4.7599999999999998E-5</v>
      </c>
      <c r="Q3704" s="9">
        <v>8.0950000000000003E-5</v>
      </c>
      <c r="R3704" s="10">
        <v>1.2215191951398718E-5</v>
      </c>
      <c r="S3704" s="10">
        <v>4.7631361339787232E-5</v>
      </c>
      <c r="T3704" s="10">
        <v>0</v>
      </c>
      <c r="U3704" s="10">
        <v>1.0101E-4</v>
      </c>
      <c r="V3704" s="25"/>
      <c r="W3704" s="25"/>
      <c r="X3704" s="25"/>
      <c r="Y3704" s="25"/>
      <c r="Z3704" s="25"/>
      <c r="AA3704" s="25"/>
    </row>
    <row r="3705" spans="1:27" x14ac:dyDescent="0.35">
      <c r="A3705" s="5">
        <v>3701</v>
      </c>
      <c r="B3705" s="5">
        <v>155</v>
      </c>
      <c r="C3705" s="5">
        <v>6</v>
      </c>
      <c r="D3705" s="25">
        <v>1.1416E-4</v>
      </c>
      <c r="E3705" s="25">
        <v>1.1471E-4</v>
      </c>
      <c r="F3705" s="25">
        <v>9.2789999999999998E-5</v>
      </c>
      <c r="G3705" s="25">
        <v>5.7030000000000001E-5</v>
      </c>
      <c r="H3705" s="25">
        <v>6.4839999999999996E-5</v>
      </c>
      <c r="I3705" s="9">
        <v>9.6520000000000004E-5</v>
      </c>
      <c r="J3705" s="9">
        <v>9.2070000000000004E-5</v>
      </c>
      <c r="K3705" s="9">
        <v>5.7229999999999999E-5</v>
      </c>
      <c r="L3705" s="9">
        <v>2.0530000000000002E-5</v>
      </c>
      <c r="M3705" s="9">
        <v>4.3970000000000001E-5</v>
      </c>
      <c r="N3705" s="9">
        <v>6.4629999999999996E-5</v>
      </c>
      <c r="O3705" s="9">
        <v>2.4009999999999999E-5</v>
      </c>
      <c r="P3705" s="9">
        <v>5.6350000000000001E-5</v>
      </c>
      <c r="Q3705" s="9">
        <v>9.3189999999999994E-5</v>
      </c>
      <c r="R3705" s="10">
        <v>1.6346130850605086E-5</v>
      </c>
      <c r="S3705" s="10">
        <v>5.1539948652476393E-5</v>
      </c>
      <c r="T3705" s="10">
        <v>1.13944140272414E-5</v>
      </c>
      <c r="U3705" s="10">
        <v>1.0101E-4</v>
      </c>
      <c r="V3705" s="25"/>
      <c r="W3705" s="25"/>
      <c r="X3705" s="25"/>
      <c r="Y3705" s="25"/>
      <c r="Z3705" s="25"/>
      <c r="AA3705" s="25"/>
    </row>
    <row r="3706" spans="1:27" x14ac:dyDescent="0.35">
      <c r="A3706" s="5">
        <v>3702</v>
      </c>
      <c r="B3706" s="5">
        <v>155</v>
      </c>
      <c r="C3706" s="5">
        <v>6</v>
      </c>
      <c r="D3706" s="25">
        <v>1.1415000000000001E-4</v>
      </c>
      <c r="E3706" s="25">
        <v>1.192E-4</v>
      </c>
      <c r="F3706" s="25">
        <v>9.7070000000000004E-5</v>
      </c>
      <c r="G3706" s="25">
        <v>1.1149E-4</v>
      </c>
      <c r="H3706" s="25">
        <v>1.3036999999999999E-4</v>
      </c>
      <c r="I3706" s="9">
        <v>1.0458E-4</v>
      </c>
      <c r="J3706" s="9">
        <v>1.002E-4</v>
      </c>
      <c r="K3706" s="9">
        <v>5.9349999999999999E-5</v>
      </c>
      <c r="L3706" s="9">
        <v>2.313E-5</v>
      </c>
      <c r="M3706" s="9">
        <v>4.8550000000000001E-5</v>
      </c>
      <c r="N3706" s="9">
        <v>7.1069999999999995E-5</v>
      </c>
      <c r="O3706" s="9">
        <v>4.7190000000000001E-5</v>
      </c>
      <c r="P3706" s="9">
        <v>7.6340000000000004E-5</v>
      </c>
      <c r="Q3706" s="9">
        <v>1.0631E-4</v>
      </c>
      <c r="R3706" s="10">
        <v>2.0812491474385816E-5</v>
      </c>
      <c r="S3706" s="10">
        <v>5.3650801346023531E-5</v>
      </c>
      <c r="T3706" s="10">
        <v>2.9712016324199096E-5</v>
      </c>
      <c r="U3706" s="10">
        <v>1.0101E-4</v>
      </c>
      <c r="V3706" s="25"/>
      <c r="W3706" s="25"/>
      <c r="X3706" s="25"/>
      <c r="Y3706" s="25"/>
      <c r="Z3706" s="25"/>
      <c r="AA3706" s="25"/>
    </row>
    <row r="3707" spans="1:27" x14ac:dyDescent="0.35">
      <c r="A3707" s="5">
        <v>3703</v>
      </c>
      <c r="B3707" s="5">
        <v>155</v>
      </c>
      <c r="C3707" s="5">
        <v>6</v>
      </c>
      <c r="D3707" s="25">
        <v>1.1416E-4</v>
      </c>
      <c r="E3707" s="25">
        <v>1.1230000000000001E-4</v>
      </c>
      <c r="F3707" s="25">
        <v>9.2380000000000007E-5</v>
      </c>
      <c r="G3707" s="25">
        <v>1.1148E-4</v>
      </c>
      <c r="H3707" s="25">
        <v>1.3070000000000001E-4</v>
      </c>
      <c r="I3707" s="9">
        <v>1.1607000000000001E-4</v>
      </c>
      <c r="J3707" s="9">
        <v>1.1496E-4</v>
      </c>
      <c r="K3707" s="9">
        <v>6.1470000000000006E-5</v>
      </c>
      <c r="L3707" s="9">
        <v>4.1780000000000003E-5</v>
      </c>
      <c r="M3707" s="9">
        <v>5.9840000000000003E-5</v>
      </c>
      <c r="N3707" s="9">
        <v>8.0630000000000006E-5</v>
      </c>
      <c r="O3707" s="9">
        <v>1.1299E-4</v>
      </c>
      <c r="P3707" s="9">
        <v>1.1734E-4</v>
      </c>
      <c r="Q3707" s="9">
        <v>1.1241E-4</v>
      </c>
      <c r="R3707" s="10">
        <v>2.6341070454861726E-5</v>
      </c>
      <c r="S3707" s="10">
        <v>4.5293951939910499E-5</v>
      </c>
      <c r="T3707" s="10">
        <v>1.8001986361132393E-4</v>
      </c>
      <c r="U3707" s="10">
        <v>1.0101E-4</v>
      </c>
      <c r="V3707" s="25"/>
      <c r="W3707" s="25"/>
      <c r="X3707" s="25"/>
      <c r="Y3707" s="25"/>
      <c r="Z3707" s="25"/>
      <c r="AA3707" s="25"/>
    </row>
    <row r="3708" spans="1:27" x14ac:dyDescent="0.35">
      <c r="A3708" s="5">
        <v>3704</v>
      </c>
      <c r="B3708" s="5">
        <v>155</v>
      </c>
      <c r="C3708" s="5">
        <v>6</v>
      </c>
      <c r="D3708" s="25">
        <v>1.1415000000000001E-4</v>
      </c>
      <c r="E3708" s="25">
        <v>1.1847E-4</v>
      </c>
      <c r="F3708" s="25">
        <v>9.1650000000000005E-5</v>
      </c>
      <c r="G3708" s="25">
        <v>1.6286E-4</v>
      </c>
      <c r="H3708" s="25">
        <v>1.941E-4</v>
      </c>
      <c r="I3708" s="9">
        <v>1.2247000000000001E-4</v>
      </c>
      <c r="J3708" s="9">
        <v>1.2624000000000001E-4</v>
      </c>
      <c r="K3708" s="9">
        <v>5.5109999999999999E-5</v>
      </c>
      <c r="L3708" s="9">
        <v>9.6810000000000003E-5</v>
      </c>
      <c r="M3708" s="9">
        <v>8.3469999999999999E-5</v>
      </c>
      <c r="N3708" s="9">
        <v>9.0710000000000004E-5</v>
      </c>
      <c r="O3708" s="9">
        <v>1.9504E-4</v>
      </c>
      <c r="P3708" s="9">
        <v>1.7687000000000001E-4</v>
      </c>
      <c r="Q3708" s="9">
        <v>1.3663E-4</v>
      </c>
      <c r="R3708" s="10">
        <v>3.1187872833173269E-5</v>
      </c>
      <c r="S3708" s="10">
        <v>3.4666477591548154E-5</v>
      </c>
      <c r="T3708" s="10">
        <v>3.6175355569137663E-4</v>
      </c>
      <c r="U3708" s="10">
        <v>1.0101E-4</v>
      </c>
      <c r="V3708" s="25"/>
      <c r="W3708" s="25"/>
      <c r="X3708" s="25"/>
      <c r="Y3708" s="25"/>
      <c r="Z3708" s="25"/>
      <c r="AA3708" s="25"/>
    </row>
    <row r="3709" spans="1:27" x14ac:dyDescent="0.35">
      <c r="A3709" s="5">
        <v>3705</v>
      </c>
      <c r="B3709" s="5">
        <v>155</v>
      </c>
      <c r="C3709" s="5">
        <v>6</v>
      </c>
      <c r="D3709" s="25">
        <v>1.1416E-4</v>
      </c>
      <c r="E3709" s="25">
        <v>1.1115E-4</v>
      </c>
      <c r="F3709" s="25">
        <v>9.5409999999999996E-5</v>
      </c>
      <c r="G3709" s="25">
        <v>1.6678E-4</v>
      </c>
      <c r="H3709" s="25">
        <v>1.9482000000000001E-4</v>
      </c>
      <c r="I3709" s="9">
        <v>1.2656000000000001E-4</v>
      </c>
      <c r="J3709" s="9">
        <v>1.3142000000000001E-4</v>
      </c>
      <c r="K3709" s="9">
        <v>0</v>
      </c>
      <c r="L3709" s="9">
        <v>1.7191999999999999E-4</v>
      </c>
      <c r="M3709" s="9">
        <v>1.2322E-4</v>
      </c>
      <c r="N3709" s="9">
        <v>1.0443E-4</v>
      </c>
      <c r="O3709" s="9">
        <v>1.8968000000000001E-4</v>
      </c>
      <c r="P3709" s="9">
        <v>1.9478E-4</v>
      </c>
      <c r="Q3709" s="9">
        <v>1.7838000000000001E-4</v>
      </c>
      <c r="R3709" s="10">
        <v>2.1176508777227798E-5</v>
      </c>
      <c r="S3709" s="10">
        <v>2.5337804370417521E-5</v>
      </c>
      <c r="T3709" s="10">
        <v>5.1655808163407707E-4</v>
      </c>
      <c r="U3709" s="10">
        <v>1.0101E-4</v>
      </c>
      <c r="V3709" s="25"/>
      <c r="W3709" s="25"/>
      <c r="X3709" s="25"/>
      <c r="Y3709" s="25"/>
      <c r="Z3709" s="25"/>
      <c r="AA3709" s="25"/>
    </row>
    <row r="3710" spans="1:27" x14ac:dyDescent="0.35">
      <c r="A3710" s="5">
        <v>3706</v>
      </c>
      <c r="B3710" s="5">
        <v>155</v>
      </c>
      <c r="C3710" s="5">
        <v>6</v>
      </c>
      <c r="D3710" s="25">
        <v>1.1415000000000001E-4</v>
      </c>
      <c r="E3710" s="25">
        <v>1.1543E-4</v>
      </c>
      <c r="F3710" s="25">
        <v>9.5539999999999997E-5</v>
      </c>
      <c r="G3710" s="25">
        <v>1.5914999999999999E-4</v>
      </c>
      <c r="H3710" s="25">
        <v>2.0085E-4</v>
      </c>
      <c r="I3710" s="9">
        <v>1.2684999999999999E-4</v>
      </c>
      <c r="J3710" s="9">
        <v>1.3276E-4</v>
      </c>
      <c r="K3710" s="9">
        <v>8.4800000000000001E-6</v>
      </c>
      <c r="L3710" s="9">
        <v>1.838E-4</v>
      </c>
      <c r="M3710" s="9">
        <v>1.5904999999999999E-4</v>
      </c>
      <c r="N3710" s="9">
        <v>1.2477000000000001E-4</v>
      </c>
      <c r="O3710" s="9">
        <v>1.5048000000000001E-4</v>
      </c>
      <c r="P3710" s="9">
        <v>1.7406999999999999E-4</v>
      </c>
      <c r="Q3710" s="9">
        <v>1.8207999999999999E-4</v>
      </c>
      <c r="R3710" s="10">
        <v>9.1938696156600553E-6</v>
      </c>
      <c r="S3710" s="10">
        <v>1.8831420885727501E-5</v>
      </c>
      <c r="T3710" s="10">
        <v>6.3178335110836246E-4</v>
      </c>
      <c r="U3710" s="10">
        <v>1.0101E-4</v>
      </c>
      <c r="V3710" s="25"/>
      <c r="W3710" s="25"/>
      <c r="X3710" s="25"/>
      <c r="Y3710" s="25"/>
      <c r="Z3710" s="25"/>
      <c r="AA3710" s="25"/>
    </row>
    <row r="3711" spans="1:27" x14ac:dyDescent="0.35">
      <c r="A3711" s="5">
        <v>3707</v>
      </c>
      <c r="B3711" s="5">
        <v>155</v>
      </c>
      <c r="C3711" s="5">
        <v>6</v>
      </c>
      <c r="D3711" s="25">
        <v>1.1416E-4</v>
      </c>
      <c r="E3711" s="25">
        <v>1.1841E-4</v>
      </c>
      <c r="F3711" s="25">
        <v>9.4549999999999994E-5</v>
      </c>
      <c r="G3711" s="25">
        <v>1.6615999999999999E-4</v>
      </c>
      <c r="H3711" s="25">
        <v>1.9584999999999999E-4</v>
      </c>
      <c r="I3711" s="9">
        <v>1.2716E-4</v>
      </c>
      <c r="J3711" s="9">
        <v>1.3323999999999999E-4</v>
      </c>
      <c r="K3711" s="9">
        <v>0</v>
      </c>
      <c r="L3711" s="9">
        <v>1.5783999999999999E-4</v>
      </c>
      <c r="M3711" s="9">
        <v>1.7279E-4</v>
      </c>
      <c r="N3711" s="9">
        <v>1.4286E-4</v>
      </c>
      <c r="O3711" s="9">
        <v>1.5143000000000001E-4</v>
      </c>
      <c r="P3711" s="9">
        <v>1.7380999999999999E-4</v>
      </c>
      <c r="Q3711" s="9">
        <v>1.8053000000000001E-4</v>
      </c>
      <c r="R3711" s="10">
        <v>1.1072145338586196E-5</v>
      </c>
      <c r="S3711" s="10">
        <v>1.6058018333005935E-5</v>
      </c>
      <c r="T3711" s="10">
        <v>7.0479074701633882E-4</v>
      </c>
      <c r="U3711" s="10">
        <v>1.0101E-4</v>
      </c>
      <c r="V3711" s="25"/>
      <c r="W3711" s="25"/>
      <c r="X3711" s="25"/>
      <c r="Y3711" s="25"/>
      <c r="Z3711" s="25"/>
      <c r="AA3711" s="25"/>
    </row>
    <row r="3712" spans="1:27" x14ac:dyDescent="0.35">
      <c r="A3712" s="5">
        <v>3708</v>
      </c>
      <c r="B3712" s="5">
        <v>155</v>
      </c>
      <c r="C3712" s="5">
        <v>6</v>
      </c>
      <c r="D3712" s="25">
        <v>1.1415000000000001E-4</v>
      </c>
      <c r="E3712" s="25">
        <v>1.0925E-4</v>
      </c>
      <c r="F3712" s="25">
        <v>8.7719999999999994E-5</v>
      </c>
      <c r="G3712" s="25">
        <v>1.6683E-4</v>
      </c>
      <c r="H3712" s="25">
        <v>2.0159999999999999E-4</v>
      </c>
      <c r="I3712" s="9">
        <v>1.2285E-4</v>
      </c>
      <c r="J3712" s="9">
        <v>1.3056999999999999E-4</v>
      </c>
      <c r="K3712" s="9">
        <v>1.06E-5</v>
      </c>
      <c r="L3712" s="9">
        <v>1.5406999999999999E-4</v>
      </c>
      <c r="M3712" s="9">
        <v>1.7546E-4</v>
      </c>
      <c r="N3712" s="9">
        <v>1.5718000000000001E-4</v>
      </c>
      <c r="O3712" s="9">
        <v>1.5229999999999999E-4</v>
      </c>
      <c r="P3712" s="9">
        <v>1.7079000000000001E-4</v>
      </c>
      <c r="Q3712" s="9">
        <v>1.7344999999999999E-4</v>
      </c>
      <c r="R3712" s="10">
        <v>1.0807513657957939E-5</v>
      </c>
      <c r="S3712" s="10">
        <v>2.1086971332992105E-5</v>
      </c>
      <c r="T3712" s="10">
        <v>7.3533422467685192E-4</v>
      </c>
      <c r="U3712" s="10">
        <v>1.0101E-4</v>
      </c>
      <c r="V3712" s="25"/>
      <c r="W3712" s="25"/>
      <c r="X3712" s="25"/>
      <c r="Y3712" s="25"/>
      <c r="Z3712" s="25"/>
      <c r="AA3712" s="25"/>
    </row>
    <row r="3713" spans="1:27" x14ac:dyDescent="0.35">
      <c r="A3713" s="5">
        <v>3709</v>
      </c>
      <c r="B3713" s="5">
        <v>155</v>
      </c>
      <c r="C3713" s="5">
        <v>6</v>
      </c>
      <c r="D3713" s="25">
        <v>1.1416E-4</v>
      </c>
      <c r="E3713" s="25">
        <v>1.0883999999999999E-4</v>
      </c>
      <c r="F3713" s="25">
        <v>1.0265E-4</v>
      </c>
      <c r="G3713" s="25">
        <v>1.6609E-4</v>
      </c>
      <c r="H3713" s="25">
        <v>1.9472000000000001E-4</v>
      </c>
      <c r="I3713" s="9">
        <v>1.1951999999999999E-4</v>
      </c>
      <c r="J3713" s="9">
        <v>1.3043000000000001E-4</v>
      </c>
      <c r="K3713" s="9">
        <v>0</v>
      </c>
      <c r="L3713" s="9">
        <v>1.5283000000000001E-4</v>
      </c>
      <c r="M3713" s="9">
        <v>1.7398000000000001E-4</v>
      </c>
      <c r="N3713" s="9">
        <v>1.6647E-4</v>
      </c>
      <c r="O3713" s="9">
        <v>1.4605999999999999E-4</v>
      </c>
      <c r="P3713" s="9">
        <v>1.6425000000000001E-4</v>
      </c>
      <c r="Q3713" s="9">
        <v>1.6765000000000001E-4</v>
      </c>
      <c r="R3713" s="10">
        <v>1.1778341838557491E-5</v>
      </c>
      <c r="S3713" s="10">
        <v>1.96124355085638E-5</v>
      </c>
      <c r="T3713" s="10">
        <v>7.3285680926661026E-4</v>
      </c>
      <c r="U3713" s="10">
        <v>1.0101E-4</v>
      </c>
      <c r="V3713" s="25"/>
      <c r="W3713" s="25"/>
      <c r="X3713" s="25"/>
      <c r="Y3713" s="25"/>
      <c r="Z3713" s="25"/>
      <c r="AA3713" s="25"/>
    </row>
    <row r="3714" spans="1:27" x14ac:dyDescent="0.35">
      <c r="A3714" s="5">
        <v>3710</v>
      </c>
      <c r="B3714" s="5">
        <v>155</v>
      </c>
      <c r="C3714" s="5">
        <v>6</v>
      </c>
      <c r="D3714" s="25">
        <v>1.1415000000000001E-4</v>
      </c>
      <c r="E3714" s="25">
        <v>1.1277000000000001E-4</v>
      </c>
      <c r="F3714" s="25">
        <v>9.1279999999999993E-5</v>
      </c>
      <c r="G3714" s="25">
        <v>1.6034999999999999E-4</v>
      </c>
      <c r="H3714" s="25">
        <v>1.9359999999999999E-4</v>
      </c>
      <c r="I3714" s="9">
        <v>1.1715E-4</v>
      </c>
      <c r="J3714" s="9">
        <v>1.2879999999999999E-4</v>
      </c>
      <c r="K3714" s="9">
        <v>0</v>
      </c>
      <c r="L3714" s="9">
        <v>1.4735E-4</v>
      </c>
      <c r="M3714" s="9">
        <v>1.7005000000000001E-4</v>
      </c>
      <c r="N3714" s="9">
        <v>1.7077999999999999E-4</v>
      </c>
      <c r="O3714" s="9">
        <v>1.5856999999999999E-4</v>
      </c>
      <c r="P3714" s="9">
        <v>1.6734000000000001E-4</v>
      </c>
      <c r="Q3714" s="9">
        <v>1.5938000000000001E-4</v>
      </c>
      <c r="R3714" s="10">
        <v>1.2603013231276881E-5</v>
      </c>
      <c r="S3714" s="10">
        <v>1.6864353104815132E-5</v>
      </c>
      <c r="T3714" s="10">
        <v>5.9436759097423401E-4</v>
      </c>
      <c r="U3714" s="10">
        <v>1.0101E-4</v>
      </c>
      <c r="V3714" s="25"/>
      <c r="W3714" s="25"/>
      <c r="X3714" s="25"/>
      <c r="Y3714" s="25"/>
      <c r="Z3714" s="25"/>
      <c r="AA3714" s="25"/>
    </row>
    <row r="3715" spans="1:27" x14ac:dyDescent="0.35">
      <c r="A3715" s="5">
        <v>3711</v>
      </c>
      <c r="B3715" s="5">
        <v>155</v>
      </c>
      <c r="C3715" s="5">
        <v>6</v>
      </c>
      <c r="D3715" s="25">
        <v>1.1416E-4</v>
      </c>
      <c r="E3715" s="25">
        <v>1.087E-4</v>
      </c>
      <c r="F3715" s="25">
        <v>1.0142E-4</v>
      </c>
      <c r="G3715" s="25">
        <v>1.6744000000000001E-4</v>
      </c>
      <c r="H3715" s="25">
        <v>1.9523000000000001E-4</v>
      </c>
      <c r="I3715" s="9">
        <v>1.1448E-4</v>
      </c>
      <c r="J3715" s="9">
        <v>1.2703000000000001E-4</v>
      </c>
      <c r="K3715" s="9">
        <v>0</v>
      </c>
      <c r="L3715" s="9">
        <v>1.5624000000000001E-4</v>
      </c>
      <c r="M3715" s="9">
        <v>1.6797000000000001E-4</v>
      </c>
      <c r="N3715" s="9">
        <v>1.6988999999999999E-4</v>
      </c>
      <c r="O3715" s="9">
        <v>1.6322999999999999E-4</v>
      </c>
      <c r="P3715" s="9">
        <v>1.6602000000000001E-4</v>
      </c>
      <c r="Q3715" s="9">
        <v>1.5143000000000001E-4</v>
      </c>
      <c r="R3715" s="10">
        <v>1.3381604872821184E-5</v>
      </c>
      <c r="S3715" s="10">
        <v>1.7301942558698398E-5</v>
      </c>
      <c r="T3715" s="10">
        <v>6.0235980096206827E-4</v>
      </c>
      <c r="U3715" s="10">
        <v>1.0101E-4</v>
      </c>
      <c r="V3715" s="25"/>
      <c r="W3715" s="25"/>
      <c r="X3715" s="25"/>
      <c r="Y3715" s="25"/>
      <c r="Z3715" s="25"/>
      <c r="AA3715" s="25"/>
    </row>
    <row r="3716" spans="1:27" x14ac:dyDescent="0.35">
      <c r="A3716" s="5">
        <v>3712</v>
      </c>
      <c r="B3716" s="5">
        <v>155</v>
      </c>
      <c r="C3716" s="5">
        <v>6</v>
      </c>
      <c r="D3716" s="25">
        <v>1.1415000000000001E-4</v>
      </c>
      <c r="E3716" s="25">
        <v>1.1662E-4</v>
      </c>
      <c r="F3716" s="25">
        <v>8.831E-5</v>
      </c>
      <c r="G3716" s="25">
        <v>1.5616E-4</v>
      </c>
      <c r="H3716" s="25">
        <v>1.8929E-4</v>
      </c>
      <c r="I3716" s="9">
        <v>1.1383999999999999E-4</v>
      </c>
      <c r="J3716" s="9">
        <v>1.2622999999999999E-4</v>
      </c>
      <c r="K3716" s="9">
        <v>0</v>
      </c>
      <c r="L3716" s="9">
        <v>1.6145999999999999E-4</v>
      </c>
      <c r="M3716" s="9">
        <v>1.6681000000000001E-4</v>
      </c>
      <c r="N3716" s="9">
        <v>1.6569999999999999E-4</v>
      </c>
      <c r="O3716" s="9">
        <v>1.7649000000000001E-4</v>
      </c>
      <c r="P3716" s="9">
        <v>1.5271999999999999E-4</v>
      </c>
      <c r="Q3716" s="9">
        <v>1.0995E-4</v>
      </c>
      <c r="R3716" s="10">
        <v>1.5930610324528748E-5</v>
      </c>
      <c r="S3716" s="10">
        <v>1.9695184166752917E-5</v>
      </c>
      <c r="T3716" s="10">
        <v>4.8272269582570867E-4</v>
      </c>
      <c r="U3716" s="10">
        <v>1.0101E-4</v>
      </c>
      <c r="V3716" s="25"/>
      <c r="W3716" s="25"/>
      <c r="X3716" s="25"/>
      <c r="Y3716" s="25"/>
      <c r="Z3716" s="25"/>
      <c r="AA3716" s="25"/>
    </row>
    <row r="3717" spans="1:27" x14ac:dyDescent="0.35">
      <c r="A3717" s="5">
        <v>3713</v>
      </c>
      <c r="B3717" s="5">
        <v>155</v>
      </c>
      <c r="C3717" s="5">
        <v>6</v>
      </c>
      <c r="D3717" s="25">
        <v>1.1416E-4</v>
      </c>
      <c r="E3717" s="25">
        <v>1.1212E-4</v>
      </c>
      <c r="F3717" s="25">
        <v>8.4610000000000005E-5</v>
      </c>
      <c r="G3717" s="25">
        <v>1.6332E-4</v>
      </c>
      <c r="H3717" s="25">
        <v>1.9453999999999999E-4</v>
      </c>
      <c r="I3717" s="9">
        <v>1.1543E-4</v>
      </c>
      <c r="J3717" s="9">
        <v>1.2667000000000001E-4</v>
      </c>
      <c r="K3717" s="9">
        <v>0</v>
      </c>
      <c r="L3717" s="9">
        <v>1.7299000000000001E-4</v>
      </c>
      <c r="M3717" s="9">
        <v>1.6155999999999999E-4</v>
      </c>
      <c r="N3717" s="9">
        <v>1.5199000000000001E-4</v>
      </c>
      <c r="O3717" s="9">
        <v>1.8982999999999999E-4</v>
      </c>
      <c r="P3717" s="9">
        <v>1.5887E-4</v>
      </c>
      <c r="Q3717" s="9">
        <v>1.0686E-4</v>
      </c>
      <c r="R3717" s="10">
        <v>2.3602279212157527E-5</v>
      </c>
      <c r="S3717" s="10">
        <v>2.9591792268020467E-5</v>
      </c>
      <c r="T3717" s="10">
        <v>3.3153248140616899E-4</v>
      </c>
      <c r="U3717" s="10">
        <v>1.0101E-4</v>
      </c>
      <c r="V3717" s="25"/>
      <c r="W3717" s="25"/>
      <c r="X3717" s="25"/>
      <c r="Y3717" s="25"/>
      <c r="Z3717" s="25"/>
      <c r="AA3717" s="25"/>
    </row>
    <row r="3718" spans="1:27" x14ac:dyDescent="0.35">
      <c r="A3718" s="5">
        <v>3714</v>
      </c>
      <c r="B3718" s="5">
        <v>155</v>
      </c>
      <c r="C3718" s="5">
        <v>6</v>
      </c>
      <c r="D3718" s="25">
        <v>1.1415000000000001E-4</v>
      </c>
      <c r="E3718" s="25">
        <v>1.1404E-4</v>
      </c>
      <c r="F3718" s="25">
        <v>9.8620000000000001E-5</v>
      </c>
      <c r="G3718" s="25">
        <v>1.6461000000000001E-4</v>
      </c>
      <c r="H3718" s="25">
        <v>1.9793E-4</v>
      </c>
      <c r="I3718" s="9">
        <v>1.1637E-4</v>
      </c>
      <c r="J3718" s="9">
        <v>1.2322E-4</v>
      </c>
      <c r="K3718" s="9">
        <v>0</v>
      </c>
      <c r="L3718" s="9">
        <v>1.8587000000000001E-4</v>
      </c>
      <c r="M3718" s="9">
        <v>1.5915999999999999E-4</v>
      </c>
      <c r="N3718" s="9">
        <v>1.3862999999999999E-4</v>
      </c>
      <c r="O3718" s="9">
        <v>1.817E-4</v>
      </c>
      <c r="P3718" s="9">
        <v>1.5924E-4</v>
      </c>
      <c r="Q3718" s="9">
        <v>1.1683E-4</v>
      </c>
      <c r="R3718" s="10">
        <v>2.9485875708837401E-5</v>
      </c>
      <c r="S3718" s="10">
        <v>4.3767366187137216E-5</v>
      </c>
      <c r="T3718" s="10">
        <v>1.5218287744350634E-4</v>
      </c>
      <c r="U3718" s="10">
        <v>1.0101E-4</v>
      </c>
      <c r="V3718" s="25"/>
      <c r="W3718" s="25"/>
      <c r="X3718" s="25"/>
      <c r="Y3718" s="25"/>
      <c r="Z3718" s="25"/>
      <c r="AA3718" s="25"/>
    </row>
    <row r="3719" spans="1:27" x14ac:dyDescent="0.35">
      <c r="A3719" s="5">
        <v>3715</v>
      </c>
      <c r="B3719" s="5">
        <v>155</v>
      </c>
      <c r="C3719" s="5">
        <v>6</v>
      </c>
      <c r="D3719" s="25">
        <v>1.1416E-4</v>
      </c>
      <c r="E3719" s="25">
        <v>1.1527999999999999E-4</v>
      </c>
      <c r="F3719" s="25">
        <v>8.577E-5</v>
      </c>
      <c r="G3719" s="25">
        <v>1.0771E-4</v>
      </c>
      <c r="H3719" s="25">
        <v>1.3721999999999999E-4</v>
      </c>
      <c r="I3719" s="9">
        <v>1.144E-4</v>
      </c>
      <c r="J3719" s="9">
        <v>1.1964999999999999E-4</v>
      </c>
      <c r="K3719" s="9">
        <v>2.12E-6</v>
      </c>
      <c r="L3719" s="9">
        <v>1.8228999999999999E-4</v>
      </c>
      <c r="M3719" s="9">
        <v>1.5871E-4</v>
      </c>
      <c r="N3719" s="9">
        <v>1.2946E-4</v>
      </c>
      <c r="O3719" s="9">
        <v>1.4762999999999999E-4</v>
      </c>
      <c r="P3719" s="9">
        <v>1.3447000000000001E-4</v>
      </c>
      <c r="Q3719" s="9">
        <v>1.0673E-4</v>
      </c>
      <c r="R3719" s="10">
        <v>3.6481698573241671E-5</v>
      </c>
      <c r="S3719" s="10">
        <v>6.2310770332560739E-5</v>
      </c>
      <c r="T3719" s="10">
        <v>3.2639099599998263E-5</v>
      </c>
      <c r="U3719" s="10">
        <v>1.0101E-4</v>
      </c>
      <c r="V3719" s="25"/>
      <c r="W3719" s="25"/>
      <c r="X3719" s="25"/>
      <c r="Y3719" s="25"/>
      <c r="Z3719" s="25"/>
      <c r="AA3719" s="25"/>
    </row>
    <row r="3720" spans="1:27" x14ac:dyDescent="0.35">
      <c r="A3720" s="5">
        <v>3716</v>
      </c>
      <c r="B3720" s="5">
        <v>155</v>
      </c>
      <c r="C3720" s="5">
        <v>6</v>
      </c>
      <c r="D3720" s="25">
        <v>1.1415000000000001E-4</v>
      </c>
      <c r="E3720" s="25">
        <v>1.1221E-4</v>
      </c>
      <c r="F3720" s="25">
        <v>8.1379999999999997E-5</v>
      </c>
      <c r="G3720" s="25">
        <v>1.1268E-4</v>
      </c>
      <c r="H3720" s="25">
        <v>1.3812000000000001E-4</v>
      </c>
      <c r="I3720" s="9">
        <v>1.1119E-4</v>
      </c>
      <c r="J3720" s="9">
        <v>1.1616E-4</v>
      </c>
      <c r="K3720" s="9">
        <v>8.4800000000000001E-6</v>
      </c>
      <c r="L3720" s="9">
        <v>1.5542999999999999E-4</v>
      </c>
      <c r="M3720" s="9">
        <v>1.5002E-4</v>
      </c>
      <c r="N3720" s="9">
        <v>1.2040999999999999E-4</v>
      </c>
      <c r="O3720" s="9">
        <v>1.1759E-4</v>
      </c>
      <c r="P3720" s="9">
        <v>1.1457E-4</v>
      </c>
      <c r="Q3720" s="9">
        <v>1.0163E-4</v>
      </c>
      <c r="R3720" s="10">
        <v>6.0323723158806415E-5</v>
      </c>
      <c r="S3720" s="10">
        <v>8.4269704113022122E-5</v>
      </c>
      <c r="T3720" s="10">
        <v>8.3994563566410924E-6</v>
      </c>
      <c r="U3720" s="10">
        <v>1.0101E-4</v>
      </c>
      <c r="V3720" s="25"/>
      <c r="W3720" s="25"/>
      <c r="X3720" s="25"/>
      <c r="Y3720" s="25"/>
      <c r="Z3720" s="25"/>
      <c r="AA3720" s="25"/>
    </row>
    <row r="3721" spans="1:27" x14ac:dyDescent="0.35">
      <c r="A3721" s="5">
        <v>3717</v>
      </c>
      <c r="B3721" s="5">
        <v>155</v>
      </c>
      <c r="C3721" s="5">
        <v>6</v>
      </c>
      <c r="D3721" s="25">
        <v>1.1416E-4</v>
      </c>
      <c r="E3721" s="25">
        <v>1.1754E-4</v>
      </c>
      <c r="F3721" s="25">
        <v>8.9889999999999995E-5</v>
      </c>
      <c r="G3721" s="25">
        <v>5.2670000000000002E-5</v>
      </c>
      <c r="H3721" s="25">
        <v>7.5970000000000006E-5</v>
      </c>
      <c r="I3721" s="9">
        <v>1.0844E-4</v>
      </c>
      <c r="J3721" s="9">
        <v>1.1228E-4</v>
      </c>
      <c r="K3721" s="9">
        <v>2.12E-5</v>
      </c>
      <c r="L3721" s="9">
        <v>1.2674999999999999E-4</v>
      </c>
      <c r="M3721" s="9">
        <v>1.3483000000000001E-4</v>
      </c>
      <c r="N3721" s="9">
        <v>1.1281E-4</v>
      </c>
      <c r="O3721" s="9">
        <v>8.0660000000000004E-5</v>
      </c>
      <c r="P3721" s="9">
        <v>8.6749999999999994E-5</v>
      </c>
      <c r="Q3721" s="9">
        <v>8.8759999999999997E-5</v>
      </c>
      <c r="R3721" s="10">
        <v>1.1518910382629359E-4</v>
      </c>
      <c r="S3721" s="10">
        <v>1.0524121173202319E-4</v>
      </c>
      <c r="T3721" s="10">
        <v>0</v>
      </c>
      <c r="U3721" s="10">
        <v>1.0101E-4</v>
      </c>
      <c r="V3721" s="25"/>
      <c r="W3721" s="25"/>
      <c r="X3721" s="25"/>
      <c r="Y3721" s="25"/>
      <c r="Z3721" s="25"/>
      <c r="AA3721" s="25"/>
    </row>
    <row r="3722" spans="1:27" x14ac:dyDescent="0.35">
      <c r="A3722" s="5">
        <v>3718</v>
      </c>
      <c r="B3722" s="5">
        <v>155</v>
      </c>
      <c r="C3722" s="5">
        <v>6</v>
      </c>
      <c r="D3722" s="25">
        <v>1.1415000000000001E-4</v>
      </c>
      <c r="E3722" s="25">
        <v>1.1331E-4</v>
      </c>
      <c r="F3722" s="25">
        <v>9.2960000000000004E-5</v>
      </c>
      <c r="G3722" s="25">
        <v>6.1400000000000002E-5</v>
      </c>
      <c r="H3722" s="25">
        <v>6.41E-5</v>
      </c>
      <c r="I3722" s="9">
        <v>1.1267E-4</v>
      </c>
      <c r="J3722" s="9">
        <v>1.1143E-4</v>
      </c>
      <c r="K3722" s="9">
        <v>3.8149999999999999E-5</v>
      </c>
      <c r="L3722" s="9">
        <v>9.1570000000000006E-5</v>
      </c>
      <c r="M3722" s="9">
        <v>1.1362E-4</v>
      </c>
      <c r="N3722" s="9">
        <v>1.054E-4</v>
      </c>
      <c r="O3722" s="9">
        <v>8.1899999999999999E-5</v>
      </c>
      <c r="P3722" s="9">
        <v>8.6929999999999996E-5</v>
      </c>
      <c r="Q3722" s="9">
        <v>8.7579999999999998E-5</v>
      </c>
      <c r="R3722" s="10">
        <v>1.6945308019780875E-4</v>
      </c>
      <c r="S3722" s="10">
        <v>1.264110069802645E-4</v>
      </c>
      <c r="T3722" s="10">
        <v>0</v>
      </c>
      <c r="U3722" s="10">
        <v>1.0101E-4</v>
      </c>
      <c r="V3722" s="25"/>
      <c r="W3722" s="25"/>
      <c r="X3722" s="25"/>
      <c r="Y3722" s="25"/>
      <c r="Z3722" s="25"/>
      <c r="AA3722" s="25"/>
    </row>
    <row r="3723" spans="1:27" x14ac:dyDescent="0.35">
      <c r="A3723" s="5">
        <v>3719</v>
      </c>
      <c r="B3723" s="5">
        <v>155</v>
      </c>
      <c r="C3723" s="5">
        <v>6</v>
      </c>
      <c r="D3723" s="25">
        <v>1.1416E-4</v>
      </c>
      <c r="E3723" s="25">
        <v>1.1357E-4</v>
      </c>
      <c r="F3723" s="25">
        <v>8.8609999999999994E-5</v>
      </c>
      <c r="G3723" s="25">
        <v>6.0069999999999999E-5</v>
      </c>
      <c r="H3723" s="25">
        <v>7.3780000000000002E-5</v>
      </c>
      <c r="I3723" s="9">
        <v>1.0894E-4</v>
      </c>
      <c r="J3723" s="9">
        <v>1.0707E-4</v>
      </c>
      <c r="K3723" s="9">
        <v>4.0269999999999999E-5</v>
      </c>
      <c r="L3723" s="9">
        <v>8.4809999999999996E-5</v>
      </c>
      <c r="M3723" s="9">
        <v>9.8820000000000006E-5</v>
      </c>
      <c r="N3723" s="9">
        <v>9.9539999999999999E-5</v>
      </c>
      <c r="O3723" s="9">
        <v>7.5049999999999995E-5</v>
      </c>
      <c r="P3723" s="9">
        <v>7.2780000000000005E-5</v>
      </c>
      <c r="Q3723" s="9">
        <v>6.7479999999999998E-5</v>
      </c>
      <c r="R3723" s="10">
        <v>1.9554954104653965E-4</v>
      </c>
      <c r="S3723" s="10">
        <v>1.4444507977764238E-4</v>
      </c>
      <c r="T3723" s="10">
        <v>0</v>
      </c>
      <c r="U3723" s="10">
        <v>1.0101E-4</v>
      </c>
      <c r="V3723" s="25"/>
      <c r="W3723" s="25"/>
      <c r="X3723" s="25"/>
      <c r="Y3723" s="25"/>
      <c r="Z3723" s="25"/>
      <c r="AA3723" s="25"/>
    </row>
    <row r="3724" spans="1:27" x14ac:dyDescent="0.35">
      <c r="A3724" s="5">
        <v>3720</v>
      </c>
      <c r="B3724" s="5">
        <v>155</v>
      </c>
      <c r="C3724" s="5">
        <v>6</v>
      </c>
      <c r="D3724" s="25">
        <v>1.1415000000000001E-4</v>
      </c>
      <c r="E3724" s="25">
        <v>1.1343E-4</v>
      </c>
      <c r="F3724" s="25">
        <v>8.187E-5</v>
      </c>
      <c r="G3724" s="25">
        <v>6.2539999999999994E-5</v>
      </c>
      <c r="H3724" s="25">
        <v>6.4170000000000004E-5</v>
      </c>
      <c r="I3724" s="9">
        <v>1.0103E-4</v>
      </c>
      <c r="J3724" s="9">
        <v>9.9030000000000006E-5</v>
      </c>
      <c r="K3724" s="9">
        <v>3.6029999999999999E-5</v>
      </c>
      <c r="L3724" s="9">
        <v>7.7210000000000001E-5</v>
      </c>
      <c r="M3724" s="9">
        <v>8.6160000000000002E-5</v>
      </c>
      <c r="N3724" s="9">
        <v>9.0489999999999996E-5</v>
      </c>
      <c r="O3724" s="9">
        <v>6.1940000000000007E-5</v>
      </c>
      <c r="P3724" s="9">
        <v>6.1080000000000005E-5</v>
      </c>
      <c r="Q3724" s="9">
        <v>5.9249999999999997E-5</v>
      </c>
      <c r="R3724" s="10">
        <v>1.9715199828152733E-4</v>
      </c>
      <c r="S3724" s="10">
        <v>1.6253374322603133E-4</v>
      </c>
      <c r="T3724" s="10">
        <v>0</v>
      </c>
      <c r="U3724" s="10">
        <v>1.0101E-4</v>
      </c>
      <c r="V3724" s="25"/>
      <c r="W3724" s="25"/>
      <c r="X3724" s="25"/>
      <c r="Y3724" s="25"/>
      <c r="Z3724" s="25"/>
      <c r="AA3724" s="25"/>
    </row>
    <row r="3725" spans="1:27" x14ac:dyDescent="0.35">
      <c r="A3725" s="5">
        <v>3721</v>
      </c>
      <c r="B3725" s="5">
        <v>156</v>
      </c>
      <c r="C3725" s="5">
        <v>6</v>
      </c>
      <c r="D3725" s="25">
        <v>1.1416E-4</v>
      </c>
      <c r="E3725" s="25">
        <v>1.1899E-4</v>
      </c>
      <c r="F3725" s="25">
        <v>1.0881E-4</v>
      </c>
      <c r="G3725" s="25">
        <v>5.2710000000000002E-5</v>
      </c>
      <c r="H3725" s="25">
        <v>6.5629999999999993E-5</v>
      </c>
      <c r="I3725" s="9">
        <v>9.5489999999999995E-5</v>
      </c>
      <c r="J3725" s="9">
        <v>9.3469999999999998E-5</v>
      </c>
      <c r="K3725" s="9">
        <v>3.3909999999999999E-5</v>
      </c>
      <c r="L3725" s="9">
        <v>6.5279999999999998E-5</v>
      </c>
      <c r="M3725" s="9">
        <v>7.4239999999999994E-5</v>
      </c>
      <c r="N3725" s="9">
        <v>8.1219999999999998E-5</v>
      </c>
      <c r="O3725" s="9">
        <v>5.4669999999999997E-5</v>
      </c>
      <c r="P3725" s="9">
        <v>5.4079999999999997E-5</v>
      </c>
      <c r="Q3725" s="9">
        <v>5.3659999999999998E-5</v>
      </c>
      <c r="R3725" s="10">
        <v>1.8896323472570442E-4</v>
      </c>
      <c r="S3725" s="10">
        <v>1.697932190919453E-4</v>
      </c>
      <c r="T3725" s="10">
        <v>0</v>
      </c>
      <c r="U3725" s="10">
        <v>1.0049E-4</v>
      </c>
      <c r="V3725" s="25"/>
      <c r="W3725" s="25"/>
      <c r="X3725" s="25"/>
      <c r="Y3725" s="25"/>
      <c r="Z3725" s="25"/>
      <c r="AA3725" s="25"/>
    </row>
    <row r="3726" spans="1:27" x14ac:dyDescent="0.35">
      <c r="A3726" s="5">
        <v>3722</v>
      </c>
      <c r="B3726" s="5">
        <v>156</v>
      </c>
      <c r="C3726" s="5">
        <v>6</v>
      </c>
      <c r="D3726" s="25">
        <v>1.1415000000000001E-4</v>
      </c>
      <c r="E3726" s="25">
        <v>1.1976000000000001E-4</v>
      </c>
      <c r="F3726" s="25">
        <v>1.1229E-4</v>
      </c>
      <c r="G3726" s="25">
        <v>6.1729999999999993E-5</v>
      </c>
      <c r="H3726" s="25">
        <v>7.2349999999999997E-5</v>
      </c>
      <c r="I3726" s="9">
        <v>9.2189999999999997E-5</v>
      </c>
      <c r="J3726" s="9">
        <v>9.0589999999999998E-5</v>
      </c>
      <c r="K3726" s="9">
        <v>2.9669999999999999E-5</v>
      </c>
      <c r="L3726" s="9">
        <v>5.732E-5</v>
      </c>
      <c r="M3726" s="9">
        <v>6.4159999999999996E-5</v>
      </c>
      <c r="N3726" s="9">
        <v>7.2200000000000007E-5</v>
      </c>
      <c r="O3726" s="9">
        <v>2.438E-5</v>
      </c>
      <c r="P3726" s="9">
        <v>3.8139999999999997E-5</v>
      </c>
      <c r="Q3726" s="9">
        <v>5.677E-5</v>
      </c>
      <c r="R3726" s="10">
        <v>1.7915764928048186E-4</v>
      </c>
      <c r="S3726" s="10">
        <v>1.7789915041468464E-4</v>
      </c>
      <c r="T3726" s="10">
        <v>0</v>
      </c>
      <c r="U3726" s="10">
        <v>1.0049E-4</v>
      </c>
      <c r="V3726" s="25"/>
      <c r="W3726" s="25"/>
      <c r="X3726" s="25"/>
      <c r="Y3726" s="25"/>
      <c r="Z3726" s="25"/>
      <c r="AA3726" s="25"/>
    </row>
    <row r="3727" spans="1:27" x14ac:dyDescent="0.35">
      <c r="A3727" s="5">
        <v>3723</v>
      </c>
      <c r="B3727" s="5">
        <v>156</v>
      </c>
      <c r="C3727" s="5">
        <v>6</v>
      </c>
      <c r="D3727" s="25">
        <v>1.1416E-4</v>
      </c>
      <c r="E3727" s="25">
        <v>1.1349E-4</v>
      </c>
      <c r="F3727" s="25">
        <v>1.1928E-4</v>
      </c>
      <c r="G3727" s="25">
        <v>5.24E-5</v>
      </c>
      <c r="H3727" s="25">
        <v>6.8009999999999994E-5</v>
      </c>
      <c r="I3727" s="9">
        <v>9.0279999999999996E-5</v>
      </c>
      <c r="J3727" s="9">
        <v>8.8900000000000006E-5</v>
      </c>
      <c r="K3727" s="9">
        <v>4.6629999999999999E-5</v>
      </c>
      <c r="L3727" s="9">
        <v>3.1810000000000002E-5</v>
      </c>
      <c r="M3727" s="9">
        <v>5.2479999999999999E-5</v>
      </c>
      <c r="N3727" s="9">
        <v>6.5759999999999994E-5</v>
      </c>
      <c r="O3727" s="9">
        <v>1.9389999999999999E-5</v>
      </c>
      <c r="P3727" s="9">
        <v>3.7629999999999997E-5</v>
      </c>
      <c r="Q3727" s="9">
        <v>6.1340000000000006E-5</v>
      </c>
      <c r="R3727" s="10">
        <v>1.7180490658512179E-4</v>
      </c>
      <c r="S3727" s="10">
        <v>1.7906528686276697E-4</v>
      </c>
      <c r="T3727" s="10">
        <v>0</v>
      </c>
      <c r="U3727" s="10">
        <v>1.0049E-4</v>
      </c>
      <c r="V3727" s="25"/>
      <c r="W3727" s="25"/>
      <c r="X3727" s="25"/>
      <c r="Y3727" s="25"/>
      <c r="Z3727" s="25"/>
      <c r="AA3727" s="25"/>
    </row>
    <row r="3728" spans="1:27" x14ac:dyDescent="0.35">
      <c r="A3728" s="5">
        <v>3724</v>
      </c>
      <c r="B3728" s="5">
        <v>156</v>
      </c>
      <c r="C3728" s="5">
        <v>6</v>
      </c>
      <c r="D3728" s="25">
        <v>1.1415000000000001E-4</v>
      </c>
      <c r="E3728" s="25">
        <v>1.1325E-4</v>
      </c>
      <c r="F3728" s="25">
        <v>1.1484000000000001E-4</v>
      </c>
      <c r="G3728" s="25">
        <v>5.965E-5</v>
      </c>
      <c r="H3728" s="25">
        <v>6.457E-5</v>
      </c>
      <c r="I3728" s="9">
        <v>8.7499999999999999E-5</v>
      </c>
      <c r="J3728" s="9">
        <v>8.7929999999999993E-5</v>
      </c>
      <c r="K3728" s="9">
        <v>4.4509999999999999E-5</v>
      </c>
      <c r="L3728" s="9">
        <v>2.2750000000000001E-5</v>
      </c>
      <c r="M3728" s="9">
        <v>4.4350000000000001E-5</v>
      </c>
      <c r="N3728" s="9">
        <v>6.2119999999999995E-5</v>
      </c>
      <c r="O3728" s="9">
        <v>1.948E-5</v>
      </c>
      <c r="P3728" s="9">
        <v>4.7259999999999998E-5</v>
      </c>
      <c r="Q3728" s="9">
        <v>8.0389999999999994E-5</v>
      </c>
      <c r="R3728" s="10">
        <v>1.6567742447024146E-4</v>
      </c>
      <c r="S3728" s="10">
        <v>1.7540892899974513E-4</v>
      </c>
      <c r="T3728" s="10">
        <v>0</v>
      </c>
      <c r="U3728" s="10">
        <v>1.0049E-4</v>
      </c>
      <c r="V3728" s="25"/>
      <c r="W3728" s="25"/>
      <c r="X3728" s="25"/>
      <c r="Y3728" s="25"/>
      <c r="Z3728" s="25"/>
      <c r="AA3728" s="25"/>
    </row>
    <row r="3729" spans="1:27" x14ac:dyDescent="0.35">
      <c r="A3729" s="5">
        <v>3725</v>
      </c>
      <c r="B3729" s="5">
        <v>156</v>
      </c>
      <c r="C3729" s="5">
        <v>6</v>
      </c>
      <c r="D3729" s="25">
        <v>1.1416E-4</v>
      </c>
      <c r="E3729" s="25">
        <v>1.1267E-4</v>
      </c>
      <c r="F3729" s="25">
        <v>1.0377E-4</v>
      </c>
      <c r="G3729" s="25">
        <v>6.1439999999999995E-5</v>
      </c>
      <c r="H3729" s="25">
        <v>7.4229999999999999E-5</v>
      </c>
      <c r="I3729" s="9">
        <v>8.619E-5</v>
      </c>
      <c r="J3729" s="9">
        <v>8.5950000000000002E-5</v>
      </c>
      <c r="K3729" s="9">
        <v>4.0269999999999999E-5</v>
      </c>
      <c r="L3729" s="9">
        <v>2.0420000000000001E-5</v>
      </c>
      <c r="M3729" s="9">
        <v>4.3569999999999998E-5</v>
      </c>
      <c r="N3729" s="9">
        <v>6.4610000000000007E-5</v>
      </c>
      <c r="O3729" s="9">
        <v>2.4329999999999999E-5</v>
      </c>
      <c r="P3729" s="9">
        <v>5.711E-5</v>
      </c>
      <c r="Q3729" s="9">
        <v>9.4439999999999997E-5</v>
      </c>
      <c r="R3729" s="10">
        <v>1.535748308588143E-4</v>
      </c>
      <c r="S3729" s="10">
        <v>1.7040340850177634E-4</v>
      </c>
      <c r="T3729" s="10">
        <v>1.2904619311566769E-5</v>
      </c>
      <c r="U3729" s="10">
        <v>1.0049E-4</v>
      </c>
      <c r="V3729" s="25"/>
      <c r="W3729" s="25"/>
      <c r="X3729" s="25"/>
      <c r="Y3729" s="25"/>
      <c r="Z3729" s="25"/>
      <c r="AA3729" s="25"/>
    </row>
    <row r="3730" spans="1:27" x14ac:dyDescent="0.35">
      <c r="A3730" s="5">
        <v>3726</v>
      </c>
      <c r="B3730" s="5">
        <v>156</v>
      </c>
      <c r="C3730" s="5">
        <v>6</v>
      </c>
      <c r="D3730" s="25">
        <v>1.1415000000000001E-4</v>
      </c>
      <c r="E3730" s="25">
        <v>1.1184999999999999E-4</v>
      </c>
      <c r="F3730" s="25">
        <v>1.0669E-4</v>
      </c>
      <c r="G3730" s="25">
        <v>1.1123E-4</v>
      </c>
      <c r="H3730" s="25">
        <v>1.3210000000000001E-4</v>
      </c>
      <c r="I3730" s="9">
        <v>8.8220000000000006E-5</v>
      </c>
      <c r="J3730" s="9">
        <v>8.8269999999999993E-5</v>
      </c>
      <c r="K3730" s="9">
        <v>3.6029999999999999E-5</v>
      </c>
      <c r="L3730" s="9">
        <v>2.336E-5</v>
      </c>
      <c r="M3730" s="9">
        <v>4.8590000000000001E-5</v>
      </c>
      <c r="N3730" s="9">
        <v>7.1290000000000004E-5</v>
      </c>
      <c r="O3730" s="9">
        <v>4.7360000000000001E-5</v>
      </c>
      <c r="P3730" s="9">
        <v>7.6619999999999995E-5</v>
      </c>
      <c r="Q3730" s="9">
        <v>1.0669E-4</v>
      </c>
      <c r="R3730" s="10">
        <v>1.4048952781671263E-4</v>
      </c>
      <c r="S3730" s="10">
        <v>1.6587367900312895E-4</v>
      </c>
      <c r="T3730" s="10">
        <v>3.8340548763294031E-5</v>
      </c>
      <c r="U3730" s="10">
        <v>1.0049E-4</v>
      </c>
      <c r="V3730" s="25"/>
      <c r="W3730" s="25"/>
      <c r="X3730" s="25"/>
      <c r="Y3730" s="25"/>
      <c r="Z3730" s="25"/>
      <c r="AA3730" s="25"/>
    </row>
    <row r="3731" spans="1:27" x14ac:dyDescent="0.35">
      <c r="A3731" s="5">
        <v>3727</v>
      </c>
      <c r="B3731" s="5">
        <v>156</v>
      </c>
      <c r="C3731" s="5">
        <v>6</v>
      </c>
      <c r="D3731" s="25">
        <v>1.1416E-4</v>
      </c>
      <c r="E3731" s="25">
        <v>1.2047E-4</v>
      </c>
      <c r="F3731" s="25">
        <v>1.1044000000000001E-4</v>
      </c>
      <c r="G3731" s="25">
        <v>1.115E-4</v>
      </c>
      <c r="H3731" s="25">
        <v>1.3627999999999999E-4</v>
      </c>
      <c r="I3731" s="9">
        <v>9.2369999999999998E-5</v>
      </c>
      <c r="J3731" s="9">
        <v>9.4149999999999998E-5</v>
      </c>
      <c r="K3731" s="9">
        <v>2.968E-5</v>
      </c>
      <c r="L3731" s="9">
        <v>4.1950000000000003E-5</v>
      </c>
      <c r="M3731" s="9">
        <v>6.0109999999999999E-5</v>
      </c>
      <c r="N3731" s="9">
        <v>8.0879999999999998E-5</v>
      </c>
      <c r="O3731" s="9">
        <v>1.1366000000000001E-4</v>
      </c>
      <c r="P3731" s="9">
        <v>1.1804E-4</v>
      </c>
      <c r="Q3731" s="9">
        <v>1.1307E-4</v>
      </c>
      <c r="R3731" s="10">
        <v>1.3544789181479152E-4</v>
      </c>
      <c r="S3731" s="10">
        <v>1.5683645581377723E-4</v>
      </c>
      <c r="T3731" s="10">
        <v>1.7609163301220794E-4</v>
      </c>
      <c r="U3731" s="10">
        <v>1.0049E-4</v>
      </c>
      <c r="V3731" s="25"/>
      <c r="W3731" s="25"/>
      <c r="X3731" s="25"/>
      <c r="Y3731" s="25"/>
      <c r="Z3731" s="25"/>
      <c r="AA3731" s="25"/>
    </row>
    <row r="3732" spans="1:27" x14ac:dyDescent="0.35">
      <c r="A3732" s="5">
        <v>3728</v>
      </c>
      <c r="B3732" s="5">
        <v>156</v>
      </c>
      <c r="C3732" s="5">
        <v>6</v>
      </c>
      <c r="D3732" s="25">
        <v>1.1415000000000001E-4</v>
      </c>
      <c r="E3732" s="25">
        <v>1.1592E-4</v>
      </c>
      <c r="F3732" s="25">
        <v>1.0538E-4</v>
      </c>
      <c r="G3732" s="25">
        <v>1.6091E-4</v>
      </c>
      <c r="H3732" s="25">
        <v>1.9414000000000001E-4</v>
      </c>
      <c r="I3732" s="9">
        <v>9.9539999999999999E-5</v>
      </c>
      <c r="J3732" s="9">
        <v>1.0161E-4</v>
      </c>
      <c r="K3732" s="9">
        <v>2.12E-5</v>
      </c>
      <c r="L3732" s="9">
        <v>9.7369999999999998E-5</v>
      </c>
      <c r="M3732" s="9">
        <v>8.3919999999999996E-5</v>
      </c>
      <c r="N3732" s="9">
        <v>9.1059999999999999E-5</v>
      </c>
      <c r="O3732" s="9">
        <v>1.9458E-4</v>
      </c>
      <c r="P3732" s="9">
        <v>1.7646E-4</v>
      </c>
      <c r="Q3732" s="9">
        <v>1.3631E-4</v>
      </c>
      <c r="R3732" s="10">
        <v>1.2687922364381678E-4</v>
      </c>
      <c r="S3732" s="10">
        <v>1.4372242781219123E-4</v>
      </c>
      <c r="T3732" s="10">
        <v>3.4718601370718191E-4</v>
      </c>
      <c r="U3732" s="10">
        <v>1.0049E-4</v>
      </c>
      <c r="V3732" s="25"/>
      <c r="W3732" s="25"/>
      <c r="X3732" s="25"/>
      <c r="Y3732" s="25"/>
      <c r="Z3732" s="25"/>
      <c r="AA3732" s="25"/>
    </row>
    <row r="3733" spans="1:27" x14ac:dyDescent="0.35">
      <c r="A3733" s="5">
        <v>3729</v>
      </c>
      <c r="B3733" s="5">
        <v>156</v>
      </c>
      <c r="C3733" s="5">
        <v>6</v>
      </c>
      <c r="D3733" s="25">
        <v>1.1416E-4</v>
      </c>
      <c r="E3733" s="25">
        <v>1.1097E-4</v>
      </c>
      <c r="F3733" s="25">
        <v>1.0406E-4</v>
      </c>
      <c r="G3733" s="25">
        <v>1.6475999999999999E-4</v>
      </c>
      <c r="H3733" s="25">
        <v>1.9504E-4</v>
      </c>
      <c r="I3733" s="9">
        <v>1.0565000000000001E-4</v>
      </c>
      <c r="J3733" s="9">
        <v>1.0896E-4</v>
      </c>
      <c r="K3733" s="9">
        <v>8.4800000000000001E-6</v>
      </c>
      <c r="L3733" s="9">
        <v>1.7168000000000001E-4</v>
      </c>
      <c r="M3733" s="9">
        <v>1.2339999999999999E-4</v>
      </c>
      <c r="N3733" s="9">
        <v>1.0467999999999999E-4</v>
      </c>
      <c r="O3733" s="9">
        <v>1.8736999999999999E-4</v>
      </c>
      <c r="P3733" s="9">
        <v>1.9241000000000001E-4</v>
      </c>
      <c r="Q3733" s="9">
        <v>1.7621E-4</v>
      </c>
      <c r="R3733" s="10">
        <v>8.528522418460829E-5</v>
      </c>
      <c r="S3733" s="10">
        <v>1.4133306295773248E-4</v>
      </c>
      <c r="T3733" s="10">
        <v>4.9453284052110693E-4</v>
      </c>
      <c r="U3733" s="10">
        <v>1.0049E-4</v>
      </c>
      <c r="V3733" s="25"/>
      <c r="W3733" s="25"/>
      <c r="X3733" s="25"/>
      <c r="Y3733" s="25"/>
      <c r="Z3733" s="25"/>
      <c r="AA3733" s="25"/>
    </row>
    <row r="3734" spans="1:27" x14ac:dyDescent="0.35">
      <c r="A3734" s="5">
        <v>3730</v>
      </c>
      <c r="B3734" s="5">
        <v>156</v>
      </c>
      <c r="C3734" s="5">
        <v>6</v>
      </c>
      <c r="D3734" s="25">
        <v>1.1415000000000001E-4</v>
      </c>
      <c r="E3734" s="25">
        <v>1.0927E-4</v>
      </c>
      <c r="F3734" s="25">
        <v>1.1352E-4</v>
      </c>
      <c r="G3734" s="25">
        <v>1.6421E-4</v>
      </c>
      <c r="H3734" s="25">
        <v>1.9477000000000001E-4</v>
      </c>
      <c r="I3734" s="9">
        <v>1.0794999999999999E-4</v>
      </c>
      <c r="J3734" s="9">
        <v>1.1115E-4</v>
      </c>
      <c r="K3734" s="9">
        <v>1.06E-5</v>
      </c>
      <c r="L3734" s="9">
        <v>1.8196999999999999E-4</v>
      </c>
      <c r="M3734" s="9">
        <v>1.5824E-4</v>
      </c>
      <c r="N3734" s="9">
        <v>1.2451000000000001E-4</v>
      </c>
      <c r="O3734" s="9">
        <v>1.4933000000000001E-4</v>
      </c>
      <c r="P3734" s="9">
        <v>1.7275E-4</v>
      </c>
      <c r="Q3734" s="9">
        <v>1.8069000000000001E-4</v>
      </c>
      <c r="R3734" s="10">
        <v>4.6094064875143604E-5</v>
      </c>
      <c r="S3734" s="10">
        <v>1.3459547645919601E-4</v>
      </c>
      <c r="T3734" s="10">
        <v>6.1138709547061993E-4</v>
      </c>
      <c r="U3734" s="10">
        <v>1.0049E-4</v>
      </c>
      <c r="V3734" s="25"/>
      <c r="W3734" s="25"/>
      <c r="X3734" s="25"/>
      <c r="Y3734" s="25"/>
      <c r="Z3734" s="25"/>
      <c r="AA3734" s="25"/>
    </row>
    <row r="3735" spans="1:27" x14ac:dyDescent="0.35">
      <c r="A3735" s="5">
        <v>3731</v>
      </c>
      <c r="B3735" s="5">
        <v>156</v>
      </c>
      <c r="C3735" s="5">
        <v>6</v>
      </c>
      <c r="D3735" s="25">
        <v>1.1416E-4</v>
      </c>
      <c r="E3735" s="25">
        <v>1.133E-4</v>
      </c>
      <c r="F3735" s="25">
        <v>1.0488E-4</v>
      </c>
      <c r="G3735" s="25">
        <v>1.5782E-4</v>
      </c>
      <c r="H3735" s="25">
        <v>1.9388000000000001E-4</v>
      </c>
      <c r="I3735" s="9">
        <v>1.0917999999999999E-4</v>
      </c>
      <c r="J3735" s="9">
        <v>1.108E-4</v>
      </c>
      <c r="K3735" s="9">
        <v>0</v>
      </c>
      <c r="L3735" s="9">
        <v>1.5658999999999999E-4</v>
      </c>
      <c r="M3735" s="9">
        <v>1.7152000000000001E-4</v>
      </c>
      <c r="N3735" s="9">
        <v>1.4223999999999999E-4</v>
      </c>
      <c r="O3735" s="9">
        <v>1.5181999999999999E-4</v>
      </c>
      <c r="P3735" s="9">
        <v>1.7426E-4</v>
      </c>
      <c r="Q3735" s="9">
        <v>1.8098999999999999E-4</v>
      </c>
      <c r="R3735" s="10">
        <v>3.439413315616432E-5</v>
      </c>
      <c r="S3735" s="10">
        <v>1.3852192865795751E-4</v>
      </c>
      <c r="T3735" s="10">
        <v>6.8118742622424241E-4</v>
      </c>
      <c r="U3735" s="10">
        <v>1.0049E-4</v>
      </c>
      <c r="V3735" s="25"/>
      <c r="W3735" s="25"/>
      <c r="X3735" s="25"/>
      <c r="Y3735" s="25"/>
      <c r="Z3735" s="25"/>
      <c r="AA3735" s="25"/>
    </row>
    <row r="3736" spans="1:27" x14ac:dyDescent="0.35">
      <c r="A3736" s="5">
        <v>3732</v>
      </c>
      <c r="B3736" s="5">
        <v>156</v>
      </c>
      <c r="C3736" s="5">
        <v>6</v>
      </c>
      <c r="D3736" s="25">
        <v>1.1415000000000001E-4</v>
      </c>
      <c r="E3736" s="25">
        <v>1.1197E-4</v>
      </c>
      <c r="F3736" s="25">
        <v>1.2323E-4</v>
      </c>
      <c r="G3736" s="25">
        <v>1.6191E-4</v>
      </c>
      <c r="H3736" s="25">
        <v>1.997E-4</v>
      </c>
      <c r="I3736" s="9">
        <v>1.0846E-4</v>
      </c>
      <c r="J3736" s="9">
        <v>1.0909E-4</v>
      </c>
      <c r="K3736" s="9">
        <v>0</v>
      </c>
      <c r="L3736" s="9">
        <v>1.5407999999999999E-4</v>
      </c>
      <c r="M3736" s="9">
        <v>1.7472000000000001E-4</v>
      </c>
      <c r="N3736" s="9">
        <v>1.5666000000000001E-4</v>
      </c>
      <c r="O3736" s="9">
        <v>1.5291E-4</v>
      </c>
      <c r="P3736" s="9">
        <v>1.7148E-4</v>
      </c>
      <c r="Q3736" s="9">
        <v>1.7415E-4</v>
      </c>
      <c r="R3736" s="10">
        <v>2.5762730814390322E-5</v>
      </c>
      <c r="S3736" s="10">
        <v>1.3295913752381022E-4</v>
      </c>
      <c r="T3736" s="10">
        <v>7.0992374812317506E-4</v>
      </c>
      <c r="U3736" s="10">
        <v>1.0049E-4</v>
      </c>
      <c r="V3736" s="25"/>
      <c r="W3736" s="25"/>
      <c r="X3736" s="25"/>
      <c r="Y3736" s="25"/>
      <c r="Z3736" s="25"/>
      <c r="AA3736" s="25"/>
    </row>
    <row r="3737" spans="1:27" x14ac:dyDescent="0.35">
      <c r="A3737" s="5">
        <v>3733</v>
      </c>
      <c r="B3737" s="5">
        <v>156</v>
      </c>
      <c r="C3737" s="5">
        <v>6</v>
      </c>
      <c r="D3737" s="25">
        <v>1.1416E-4</v>
      </c>
      <c r="E3737" s="25">
        <v>1.1633000000000001E-4</v>
      </c>
      <c r="F3737" s="25">
        <v>1.0972999999999999E-4</v>
      </c>
      <c r="G3737" s="25">
        <v>1.6165999999999999E-4</v>
      </c>
      <c r="H3737" s="25">
        <v>1.9185E-4</v>
      </c>
      <c r="I3737" s="9">
        <v>1.0425999999999999E-4</v>
      </c>
      <c r="J3737" s="9">
        <v>1.0692999999999999E-4</v>
      </c>
      <c r="K3737" s="9">
        <v>0</v>
      </c>
      <c r="L3737" s="9">
        <v>1.5326000000000001E-4</v>
      </c>
      <c r="M3737" s="9">
        <v>1.7391999999999999E-4</v>
      </c>
      <c r="N3737" s="9">
        <v>1.6613000000000001E-4</v>
      </c>
      <c r="O3737" s="9">
        <v>1.4469E-4</v>
      </c>
      <c r="P3737" s="9">
        <v>1.627E-4</v>
      </c>
      <c r="Q3737" s="9">
        <v>1.6606999999999999E-4</v>
      </c>
      <c r="R3737" s="10">
        <v>2.9781668160967687E-5</v>
      </c>
      <c r="S3737" s="10">
        <v>1.4114712614558508E-4</v>
      </c>
      <c r="T3737" s="10">
        <v>7.144713325748515E-4</v>
      </c>
      <c r="U3737" s="10">
        <v>1.0049E-4</v>
      </c>
      <c r="V3737" s="25"/>
      <c r="W3737" s="25"/>
      <c r="X3737" s="25"/>
      <c r="Y3737" s="25"/>
      <c r="Z3737" s="25"/>
      <c r="AA3737" s="25"/>
    </row>
    <row r="3738" spans="1:27" x14ac:dyDescent="0.35">
      <c r="A3738" s="5">
        <v>3734</v>
      </c>
      <c r="B3738" s="5">
        <v>156</v>
      </c>
      <c r="C3738" s="5">
        <v>6</v>
      </c>
      <c r="D3738" s="25">
        <v>1.1415000000000001E-4</v>
      </c>
      <c r="E3738" s="25">
        <v>1.1912E-4</v>
      </c>
      <c r="F3738" s="25">
        <v>1.1215E-4</v>
      </c>
      <c r="G3738" s="25">
        <v>1.6288000000000001E-4</v>
      </c>
      <c r="H3738" s="25">
        <v>1.9646E-4</v>
      </c>
      <c r="I3738" s="9">
        <v>1.0039000000000001E-4</v>
      </c>
      <c r="J3738" s="9">
        <v>1.0545E-4</v>
      </c>
      <c r="K3738" s="9">
        <v>0</v>
      </c>
      <c r="L3738" s="9">
        <v>1.4637E-4</v>
      </c>
      <c r="M3738" s="9">
        <v>1.6961999999999999E-4</v>
      </c>
      <c r="N3738" s="9">
        <v>1.7019E-4</v>
      </c>
      <c r="O3738" s="9">
        <v>1.6093999999999999E-4</v>
      </c>
      <c r="P3738" s="9">
        <v>1.6983999999999999E-4</v>
      </c>
      <c r="Q3738" s="9">
        <v>1.6176E-4</v>
      </c>
      <c r="R3738" s="10">
        <v>3.2661238624141061E-5</v>
      </c>
      <c r="S3738" s="10">
        <v>1.3590359283480497E-4</v>
      </c>
      <c r="T3738" s="10">
        <v>6.6488908717261862E-4</v>
      </c>
      <c r="U3738" s="10">
        <v>1.0049E-4</v>
      </c>
      <c r="V3738" s="25"/>
      <c r="W3738" s="25"/>
      <c r="X3738" s="25"/>
      <c r="Y3738" s="25"/>
      <c r="Z3738" s="25"/>
      <c r="AA3738" s="25"/>
    </row>
    <row r="3739" spans="1:27" x14ac:dyDescent="0.35">
      <c r="A3739" s="5">
        <v>3735</v>
      </c>
      <c r="B3739" s="5">
        <v>156</v>
      </c>
      <c r="C3739" s="5">
        <v>6</v>
      </c>
      <c r="D3739" s="25">
        <v>1.1416E-4</v>
      </c>
      <c r="E3739" s="25">
        <v>1.1891E-4</v>
      </c>
      <c r="F3739" s="25">
        <v>1.0987E-4</v>
      </c>
      <c r="G3739" s="25">
        <v>1.5645000000000001E-4</v>
      </c>
      <c r="H3739" s="25">
        <v>1.9146000000000001E-4</v>
      </c>
      <c r="I3739" s="9">
        <v>9.6650000000000005E-5</v>
      </c>
      <c r="J3739" s="9">
        <v>1.0507E-4</v>
      </c>
      <c r="K3739" s="9">
        <v>0</v>
      </c>
      <c r="L3739" s="9">
        <v>1.5792000000000001E-4</v>
      </c>
      <c r="M3739" s="9">
        <v>1.6846E-4</v>
      </c>
      <c r="N3739" s="9">
        <v>1.6998E-4</v>
      </c>
      <c r="O3739" s="9">
        <v>1.6419000000000001E-4</v>
      </c>
      <c r="P3739" s="9">
        <v>1.6699E-4</v>
      </c>
      <c r="Q3739" s="9">
        <v>1.5232000000000001E-4</v>
      </c>
      <c r="R3739" s="10">
        <v>3.5436183774297549E-5</v>
      </c>
      <c r="S3739" s="10">
        <v>1.2949739046152597E-4</v>
      </c>
      <c r="T3739" s="10">
        <v>5.8771590028372229E-4</v>
      </c>
      <c r="U3739" s="10">
        <v>1.0049E-4</v>
      </c>
      <c r="V3739" s="25"/>
      <c r="W3739" s="25"/>
      <c r="X3739" s="25"/>
      <c r="Y3739" s="25"/>
      <c r="Z3739" s="25"/>
      <c r="AA3739" s="25"/>
    </row>
    <row r="3740" spans="1:27" x14ac:dyDescent="0.35">
      <c r="A3740" s="5">
        <v>3736</v>
      </c>
      <c r="B3740" s="5">
        <v>156</v>
      </c>
      <c r="C3740" s="5">
        <v>6</v>
      </c>
      <c r="D3740" s="25">
        <v>1.1415000000000001E-4</v>
      </c>
      <c r="E3740" s="25">
        <v>1.1936E-4</v>
      </c>
      <c r="F3740" s="25">
        <v>1.0867E-4</v>
      </c>
      <c r="G3740" s="25">
        <v>1.661E-4</v>
      </c>
      <c r="H3740" s="25">
        <v>1.9430000000000001E-4</v>
      </c>
      <c r="I3740" s="9">
        <v>9.6780000000000005E-5</v>
      </c>
      <c r="J3740" s="9">
        <v>1.063E-4</v>
      </c>
      <c r="K3740" s="9">
        <v>0</v>
      </c>
      <c r="L3740" s="9">
        <v>1.6249999999999999E-4</v>
      </c>
      <c r="M3740" s="9">
        <v>1.6775000000000001E-4</v>
      </c>
      <c r="N3740" s="9">
        <v>1.6610999999999999E-4</v>
      </c>
      <c r="O3740" s="9">
        <v>1.7542999999999999E-4</v>
      </c>
      <c r="P3740" s="9">
        <v>1.518E-4</v>
      </c>
      <c r="Q3740" s="9">
        <v>1.0929000000000001E-4</v>
      </c>
      <c r="R3740" s="10">
        <v>4.1462993571089908E-5</v>
      </c>
      <c r="S3740" s="10">
        <v>1.3010213599868822E-4</v>
      </c>
      <c r="T3740" s="10">
        <v>4.6445599932485178E-4</v>
      </c>
      <c r="U3740" s="10">
        <v>1.0049E-4</v>
      </c>
      <c r="V3740" s="25"/>
      <c r="W3740" s="25"/>
      <c r="X3740" s="25"/>
      <c r="Y3740" s="25"/>
      <c r="Z3740" s="25"/>
      <c r="AA3740" s="25"/>
    </row>
    <row r="3741" spans="1:27" x14ac:dyDescent="0.35">
      <c r="A3741" s="5">
        <v>3737</v>
      </c>
      <c r="B3741" s="5">
        <v>156</v>
      </c>
      <c r="C3741" s="5">
        <v>6</v>
      </c>
      <c r="D3741" s="25">
        <v>1.1416E-4</v>
      </c>
      <c r="E3741" s="25">
        <v>1.1781E-4</v>
      </c>
      <c r="F3741" s="25">
        <v>1.2147E-4</v>
      </c>
      <c r="G3741" s="25">
        <v>1.5993999999999999E-4</v>
      </c>
      <c r="H3741" s="25">
        <v>1.9010000000000001E-4</v>
      </c>
      <c r="I3741" s="9">
        <v>1.0126E-4</v>
      </c>
      <c r="J3741" s="9">
        <v>1.0847E-4</v>
      </c>
      <c r="K3741" s="9">
        <v>0</v>
      </c>
      <c r="L3741" s="9">
        <v>1.7239999999999999E-4</v>
      </c>
      <c r="M3741" s="9">
        <v>1.6192999999999999E-4</v>
      </c>
      <c r="N3741" s="9">
        <v>1.5228E-4</v>
      </c>
      <c r="O3741" s="9">
        <v>1.9154E-4</v>
      </c>
      <c r="P3741" s="9">
        <v>1.6030999999999999E-4</v>
      </c>
      <c r="Q3741" s="9">
        <v>1.0783E-4</v>
      </c>
      <c r="R3741" s="10">
        <v>5.3283019363744032E-5</v>
      </c>
      <c r="S3741" s="10">
        <v>1.4189875632592848E-4</v>
      </c>
      <c r="T3741" s="10">
        <v>7.5925994884425388E-5</v>
      </c>
      <c r="U3741" s="10">
        <v>1.0049E-4</v>
      </c>
      <c r="V3741" s="25"/>
      <c r="W3741" s="25"/>
      <c r="X3741" s="25"/>
      <c r="Y3741" s="25"/>
      <c r="Z3741" s="25"/>
      <c r="AA3741" s="25"/>
    </row>
    <row r="3742" spans="1:27" x14ac:dyDescent="0.35">
      <c r="A3742" s="5">
        <v>3738</v>
      </c>
      <c r="B3742" s="5">
        <v>156</v>
      </c>
      <c r="C3742" s="5">
        <v>6</v>
      </c>
      <c r="D3742" s="25">
        <v>1.1415000000000001E-4</v>
      </c>
      <c r="E3742" s="25">
        <v>1.1995E-4</v>
      </c>
      <c r="F3742" s="25">
        <v>1.0458E-4</v>
      </c>
      <c r="G3742" s="25">
        <v>1.6314000000000001E-4</v>
      </c>
      <c r="H3742" s="25">
        <v>2.0134999999999999E-4</v>
      </c>
      <c r="I3742" s="9">
        <v>1.0343E-4</v>
      </c>
      <c r="J3742" s="9">
        <v>1.0887000000000001E-4</v>
      </c>
      <c r="K3742" s="9">
        <v>2.1299999999999999E-6</v>
      </c>
      <c r="L3742" s="9">
        <v>1.8714E-4</v>
      </c>
      <c r="M3742" s="9">
        <v>1.5972E-4</v>
      </c>
      <c r="N3742" s="9">
        <v>1.3910999999999999E-4</v>
      </c>
      <c r="O3742" s="9">
        <v>1.8223E-4</v>
      </c>
      <c r="P3742" s="9">
        <v>1.5970000000000001E-4</v>
      </c>
      <c r="Q3742" s="9">
        <v>1.1717E-4</v>
      </c>
      <c r="R3742" s="10">
        <v>4.860023826886221E-5</v>
      </c>
      <c r="S3742" s="10">
        <v>1.5270834028412102E-4</v>
      </c>
      <c r="T3742" s="10">
        <v>2.1668900540263989E-5</v>
      </c>
      <c r="U3742" s="10">
        <v>1.0049E-4</v>
      </c>
      <c r="V3742" s="25"/>
      <c r="W3742" s="25"/>
      <c r="X3742" s="25"/>
      <c r="Y3742" s="25"/>
      <c r="Z3742" s="25"/>
      <c r="AA3742" s="25"/>
    </row>
    <row r="3743" spans="1:27" x14ac:dyDescent="0.35">
      <c r="A3743" s="5">
        <v>3739</v>
      </c>
      <c r="B3743" s="5">
        <v>156</v>
      </c>
      <c r="C3743" s="5">
        <v>6</v>
      </c>
      <c r="D3743" s="25">
        <v>1.1416E-4</v>
      </c>
      <c r="E3743" s="25">
        <v>1.0943E-4</v>
      </c>
      <c r="F3743" s="25">
        <v>1.1459E-4</v>
      </c>
      <c r="G3743" s="25">
        <v>1.1222000000000001E-4</v>
      </c>
      <c r="H3743" s="25">
        <v>1.3816999999999999E-4</v>
      </c>
      <c r="I3743" s="9">
        <v>1.0382000000000001E-4</v>
      </c>
      <c r="J3743" s="9">
        <v>1.0736E-4</v>
      </c>
      <c r="K3743" s="9">
        <v>1.484E-5</v>
      </c>
      <c r="L3743" s="9">
        <v>1.8291999999999999E-4</v>
      </c>
      <c r="M3743" s="9">
        <v>1.5932000000000001E-4</v>
      </c>
      <c r="N3743" s="9">
        <v>1.2997E-4</v>
      </c>
      <c r="O3743" s="9">
        <v>1.4898E-4</v>
      </c>
      <c r="P3743" s="9">
        <v>1.3569999999999999E-4</v>
      </c>
      <c r="Q3743" s="9">
        <v>1.0771E-4</v>
      </c>
      <c r="R3743" s="10">
        <v>4.0796522655455645E-5</v>
      </c>
      <c r="S3743" s="10">
        <v>1.3389322845730792E-4</v>
      </c>
      <c r="T3743" s="10">
        <v>3.7161231153624225E-6</v>
      </c>
      <c r="U3743" s="10">
        <v>1.0049E-4</v>
      </c>
      <c r="V3743" s="25"/>
      <c r="W3743" s="25"/>
      <c r="X3743" s="25"/>
      <c r="Y3743" s="25"/>
      <c r="Z3743" s="25"/>
      <c r="AA3743" s="25"/>
    </row>
    <row r="3744" spans="1:27" x14ac:dyDescent="0.35">
      <c r="A3744" s="5">
        <v>3740</v>
      </c>
      <c r="B3744" s="5">
        <v>156</v>
      </c>
      <c r="C3744" s="5">
        <v>6</v>
      </c>
      <c r="D3744" s="25">
        <v>1.1415000000000001E-4</v>
      </c>
      <c r="E3744" s="25">
        <v>1.1760999999999999E-4</v>
      </c>
      <c r="F3744" s="25">
        <v>1.2127E-4</v>
      </c>
      <c r="G3744" s="25">
        <v>1.1381E-4</v>
      </c>
      <c r="H3744" s="25">
        <v>1.2742999999999999E-4</v>
      </c>
      <c r="I3744" s="9">
        <v>1.0299E-4</v>
      </c>
      <c r="J3744" s="9">
        <v>1.0561E-4</v>
      </c>
      <c r="K3744" s="9">
        <v>2.756E-5</v>
      </c>
      <c r="L3744" s="9">
        <v>1.5662E-4</v>
      </c>
      <c r="M3744" s="9">
        <v>1.5086E-4</v>
      </c>
      <c r="N3744" s="9">
        <v>1.2098E-4</v>
      </c>
      <c r="O3744" s="9">
        <v>1.1749E-4</v>
      </c>
      <c r="P3744" s="9">
        <v>1.1446999999999999E-4</v>
      </c>
      <c r="Q3744" s="9">
        <v>1.0153999999999999E-4</v>
      </c>
      <c r="R3744" s="10">
        <v>3.4710503867010837E-5</v>
      </c>
      <c r="S3744" s="10">
        <v>1.3167299273396615E-4</v>
      </c>
      <c r="T3744" s="10">
        <v>8.9085143176496436E-7</v>
      </c>
      <c r="U3744" s="10">
        <v>1.0049E-4</v>
      </c>
      <c r="V3744" s="25"/>
      <c r="W3744" s="25"/>
      <c r="X3744" s="25"/>
      <c r="Y3744" s="25"/>
      <c r="Z3744" s="25"/>
      <c r="AA3744" s="25"/>
    </row>
    <row r="3745" spans="1:27" x14ac:dyDescent="0.35">
      <c r="A3745" s="5">
        <v>3741</v>
      </c>
      <c r="B3745" s="5">
        <v>156</v>
      </c>
      <c r="C3745" s="5">
        <v>6</v>
      </c>
      <c r="D3745" s="25">
        <v>1.1416E-4</v>
      </c>
      <c r="E3745" s="25">
        <v>1.1767E-4</v>
      </c>
      <c r="F3745" s="25">
        <v>1.0302E-4</v>
      </c>
      <c r="G3745" s="25">
        <v>5.4580000000000003E-5</v>
      </c>
      <c r="H3745" s="25">
        <v>7.3250000000000005E-5</v>
      </c>
      <c r="I3745" s="9">
        <v>1.0092E-4</v>
      </c>
      <c r="J3745" s="9">
        <v>1.0367E-4</v>
      </c>
      <c r="K3745" s="9">
        <v>3.6029999999999999E-5</v>
      </c>
      <c r="L3745" s="9">
        <v>1.2693000000000001E-4</v>
      </c>
      <c r="M3745" s="9">
        <v>1.3537999999999999E-4</v>
      </c>
      <c r="N3745" s="9">
        <v>1.1323999999999999E-4</v>
      </c>
      <c r="O3745" s="9">
        <v>8.1069999999999995E-5</v>
      </c>
      <c r="P3745" s="9">
        <v>8.7189999999999997E-5</v>
      </c>
      <c r="Q3745" s="9">
        <v>8.9209999999999995E-5</v>
      </c>
      <c r="R3745" s="10">
        <v>5.0442615004349865E-5</v>
      </c>
      <c r="S3745" s="10">
        <v>1.2941393053084982E-4</v>
      </c>
      <c r="T3745" s="10">
        <v>0</v>
      </c>
      <c r="U3745" s="10">
        <v>1.0049E-4</v>
      </c>
      <c r="V3745" s="25"/>
      <c r="W3745" s="25"/>
      <c r="X3745" s="25"/>
      <c r="Y3745" s="25"/>
      <c r="Z3745" s="25"/>
      <c r="AA3745" s="25"/>
    </row>
    <row r="3746" spans="1:27" x14ac:dyDescent="0.35">
      <c r="A3746" s="5">
        <v>3742</v>
      </c>
      <c r="B3746" s="5">
        <v>156</v>
      </c>
      <c r="C3746" s="5">
        <v>6</v>
      </c>
      <c r="D3746" s="25">
        <v>1.1415000000000001E-4</v>
      </c>
      <c r="E3746" s="25">
        <v>1.2066E-4</v>
      </c>
      <c r="F3746" s="25">
        <v>1.1523000000000001E-4</v>
      </c>
      <c r="G3746" s="25">
        <v>6.3399999999999996E-5</v>
      </c>
      <c r="H3746" s="25">
        <v>6.3849999999999993E-5</v>
      </c>
      <c r="I3746" s="9">
        <v>1.0338E-4</v>
      </c>
      <c r="J3746" s="9">
        <v>1.0531000000000001E-4</v>
      </c>
      <c r="K3746" s="9">
        <v>4.0269999999999999E-5</v>
      </c>
      <c r="L3746" s="9">
        <v>9.1949999999999999E-5</v>
      </c>
      <c r="M3746" s="9">
        <v>1.1404999999999999E-4</v>
      </c>
      <c r="N3746" s="9">
        <v>1.0585E-4</v>
      </c>
      <c r="O3746" s="9">
        <v>8.2520000000000003E-5</v>
      </c>
      <c r="P3746" s="9">
        <v>8.7590000000000007E-5</v>
      </c>
      <c r="Q3746" s="9">
        <v>8.8239999999999995E-5</v>
      </c>
      <c r="R3746" s="10">
        <v>6.2279320466285972E-5</v>
      </c>
      <c r="S3746" s="10">
        <v>1.2472896876889231E-4</v>
      </c>
      <c r="T3746" s="10">
        <v>0</v>
      </c>
      <c r="U3746" s="10">
        <v>1.0049E-4</v>
      </c>
      <c r="V3746" s="25"/>
      <c r="W3746" s="25"/>
      <c r="X3746" s="25"/>
      <c r="Y3746" s="25"/>
      <c r="Z3746" s="25"/>
      <c r="AA3746" s="25"/>
    </row>
    <row r="3747" spans="1:27" x14ac:dyDescent="0.35">
      <c r="A3747" s="5">
        <v>3743</v>
      </c>
      <c r="B3747" s="5">
        <v>156</v>
      </c>
      <c r="C3747" s="5">
        <v>6</v>
      </c>
      <c r="D3747" s="25">
        <v>1.1416E-4</v>
      </c>
      <c r="E3747" s="25">
        <v>1.1508E-4</v>
      </c>
      <c r="F3747" s="25">
        <v>1.1553E-4</v>
      </c>
      <c r="G3747" s="25">
        <v>6.0229999999999998E-5</v>
      </c>
      <c r="H3747" s="25">
        <v>6.9250000000000003E-5</v>
      </c>
      <c r="I3747" s="9">
        <v>1.0035999999999999E-4</v>
      </c>
      <c r="J3747" s="9">
        <v>1.0184E-4</v>
      </c>
      <c r="K3747" s="9">
        <v>4.4509999999999999E-5</v>
      </c>
      <c r="L3747" s="9">
        <v>8.5379999999999999E-5</v>
      </c>
      <c r="M3747" s="9">
        <v>9.9300000000000001E-5</v>
      </c>
      <c r="N3747" s="9">
        <v>1E-4</v>
      </c>
      <c r="O3747" s="9">
        <v>7.4850000000000003E-5</v>
      </c>
      <c r="P3747" s="9">
        <v>7.258E-5</v>
      </c>
      <c r="Q3747" s="9">
        <v>6.7299999999999996E-5</v>
      </c>
      <c r="R3747" s="10">
        <v>7.0923571554236284E-5</v>
      </c>
      <c r="S3747" s="10">
        <v>1.1380903203999809E-4</v>
      </c>
      <c r="T3747" s="10">
        <v>0</v>
      </c>
      <c r="U3747" s="10">
        <v>1.0049E-4</v>
      </c>
      <c r="V3747" s="25"/>
      <c r="W3747" s="25"/>
      <c r="X3747" s="25"/>
      <c r="Y3747" s="25"/>
      <c r="Z3747" s="25"/>
      <c r="AA3747" s="25"/>
    </row>
    <row r="3748" spans="1:27" x14ac:dyDescent="0.35">
      <c r="A3748" s="5">
        <v>3744</v>
      </c>
      <c r="B3748" s="5">
        <v>156</v>
      </c>
      <c r="C3748" s="5">
        <v>6</v>
      </c>
      <c r="D3748" s="25">
        <v>1.1415000000000001E-4</v>
      </c>
      <c r="E3748" s="25">
        <v>1.1189E-4</v>
      </c>
      <c r="F3748" s="25">
        <v>1.2401E-4</v>
      </c>
      <c r="G3748" s="25">
        <v>5.2750000000000001E-5</v>
      </c>
      <c r="H3748" s="25">
        <v>6.9510000000000004E-5</v>
      </c>
      <c r="I3748" s="9">
        <v>9.391E-5</v>
      </c>
      <c r="J3748" s="9">
        <v>9.5840000000000004E-5</v>
      </c>
      <c r="K3748" s="9">
        <v>4.8749999999999999E-5</v>
      </c>
      <c r="L3748" s="9">
        <v>7.716E-5</v>
      </c>
      <c r="M3748" s="9">
        <v>8.6429999999999997E-5</v>
      </c>
      <c r="N3748" s="9">
        <v>9.0820000000000001E-5</v>
      </c>
      <c r="O3748" s="9">
        <v>6.1229999999999995E-5</v>
      </c>
      <c r="P3748" s="9">
        <v>6.0380000000000001E-5</v>
      </c>
      <c r="Q3748" s="9">
        <v>5.8579999999999998E-5</v>
      </c>
      <c r="R3748" s="10">
        <v>1.4587184787828432E-4</v>
      </c>
      <c r="S3748" s="10">
        <v>1.3829444887670435E-4</v>
      </c>
      <c r="T3748" s="10">
        <v>0</v>
      </c>
      <c r="U3748" s="10">
        <v>1.0049E-4</v>
      </c>
      <c r="V3748" s="25"/>
      <c r="W3748" s="25"/>
      <c r="X3748" s="25"/>
      <c r="Y3748" s="25"/>
      <c r="Z3748" s="25"/>
      <c r="AA3748" s="25"/>
    </row>
    <row r="3749" spans="1:27" x14ac:dyDescent="0.35">
      <c r="A3749" s="5">
        <v>3745</v>
      </c>
      <c r="B3749" s="5">
        <v>157</v>
      </c>
      <c r="C3749" s="5">
        <v>6</v>
      </c>
      <c r="D3749" s="25">
        <v>1.1416E-4</v>
      </c>
      <c r="E3749" s="25">
        <v>1.1289E-4</v>
      </c>
      <c r="F3749" s="25">
        <v>1.022E-4</v>
      </c>
      <c r="G3749" s="25">
        <v>6.3440000000000002E-5</v>
      </c>
      <c r="H3749" s="25">
        <v>6.4629999999999996E-5</v>
      </c>
      <c r="I3749" s="9">
        <v>8.9489999999999999E-5</v>
      </c>
      <c r="J3749" s="9">
        <v>9.0920000000000004E-5</v>
      </c>
      <c r="K3749" s="9">
        <v>5.9349999999999999E-5</v>
      </c>
      <c r="L3749" s="9">
        <v>6.4739999999999993E-5</v>
      </c>
      <c r="M3749" s="9">
        <v>7.4099999999999999E-5</v>
      </c>
      <c r="N3749" s="9">
        <v>8.1299999999999997E-5</v>
      </c>
      <c r="O3749" s="9">
        <v>5.4020000000000001E-5</v>
      </c>
      <c r="P3749" s="9">
        <v>5.3440000000000003E-5</v>
      </c>
      <c r="Q3749" s="9">
        <v>5.3019999999999997E-5</v>
      </c>
      <c r="R3749" s="10">
        <v>1.6062858417282012E-4</v>
      </c>
      <c r="S3749" s="10">
        <v>1.1288013629650406E-4</v>
      </c>
      <c r="T3749" s="10">
        <v>0</v>
      </c>
      <c r="U3749" s="10">
        <v>1.0127E-4</v>
      </c>
      <c r="V3749" s="25"/>
      <c r="W3749" s="25"/>
      <c r="X3749" s="25"/>
      <c r="Y3749" s="25"/>
      <c r="Z3749" s="25"/>
      <c r="AA3749" s="25"/>
    </row>
    <row r="3750" spans="1:27" x14ac:dyDescent="0.35">
      <c r="A3750" s="5">
        <v>3746</v>
      </c>
      <c r="B3750" s="5">
        <v>157</v>
      </c>
      <c r="C3750" s="5">
        <v>6</v>
      </c>
      <c r="D3750" s="25">
        <v>1.1415000000000001E-4</v>
      </c>
      <c r="E3750" s="25">
        <v>1.1357999999999999E-4</v>
      </c>
      <c r="F3750" s="25">
        <v>1.0857E-4</v>
      </c>
      <c r="G3750" s="25">
        <v>5.6700000000000003E-5</v>
      </c>
      <c r="H3750" s="25">
        <v>6.5640000000000002E-5</v>
      </c>
      <c r="I3750" s="9">
        <v>8.5470000000000007E-5</v>
      </c>
      <c r="J3750" s="9">
        <v>8.7990000000000003E-5</v>
      </c>
      <c r="K3750" s="9">
        <v>6.5710000000000006E-5</v>
      </c>
      <c r="L3750" s="9">
        <v>5.6709999999999997E-5</v>
      </c>
      <c r="M3750" s="9">
        <v>6.3720000000000007E-5</v>
      </c>
      <c r="N3750" s="9">
        <v>7.2070000000000006E-5</v>
      </c>
      <c r="O3750" s="9">
        <v>2.3960000000000001E-5</v>
      </c>
      <c r="P3750" s="9">
        <v>3.7490000000000002E-5</v>
      </c>
      <c r="Q3750" s="9">
        <v>5.5789999999999999E-5</v>
      </c>
      <c r="R3750" s="10">
        <v>1.6355784000565693E-4</v>
      </c>
      <c r="S3750" s="10">
        <v>1.0802575179535467E-4</v>
      </c>
      <c r="T3750" s="10">
        <v>0</v>
      </c>
      <c r="U3750" s="10">
        <v>1.0127E-4</v>
      </c>
      <c r="V3750" s="25"/>
      <c r="W3750" s="25"/>
      <c r="X3750" s="25"/>
      <c r="Y3750" s="25"/>
      <c r="Z3750" s="25"/>
      <c r="AA3750" s="25"/>
    </row>
    <row r="3751" spans="1:27" x14ac:dyDescent="0.35">
      <c r="A3751" s="5">
        <v>3747</v>
      </c>
      <c r="B3751" s="5">
        <v>157</v>
      </c>
      <c r="C3751" s="5">
        <v>6</v>
      </c>
      <c r="D3751" s="25">
        <v>1.1416E-4</v>
      </c>
      <c r="E3751" s="25">
        <v>1.1506E-4</v>
      </c>
      <c r="F3751" s="25">
        <v>1.0555E-4</v>
      </c>
      <c r="G3751" s="25">
        <v>5.9899999999999999E-5</v>
      </c>
      <c r="H3751" s="25">
        <v>6.5099999999999997E-5</v>
      </c>
      <c r="I3751" s="9">
        <v>8.3949999999999994E-5</v>
      </c>
      <c r="J3751" s="9">
        <v>8.6360000000000007E-5</v>
      </c>
      <c r="K3751" s="9">
        <v>6.9939999999999998E-5</v>
      </c>
      <c r="L3751" s="9">
        <v>3.1350000000000003E-5</v>
      </c>
      <c r="M3751" s="9">
        <v>5.1910000000000003E-5</v>
      </c>
      <c r="N3751" s="9">
        <v>6.5370000000000006E-5</v>
      </c>
      <c r="O3751" s="9">
        <v>1.948E-5</v>
      </c>
      <c r="P3751" s="9">
        <v>3.7799999999999997E-5</v>
      </c>
      <c r="Q3751" s="9">
        <v>6.1610000000000001E-5</v>
      </c>
      <c r="R3751" s="10">
        <v>1.5807604457736092E-4</v>
      </c>
      <c r="S3751" s="10">
        <v>1.4633615964387137E-4</v>
      </c>
      <c r="T3751" s="10">
        <v>0</v>
      </c>
      <c r="U3751" s="10">
        <v>1.0127E-4</v>
      </c>
      <c r="V3751" s="25"/>
      <c r="W3751" s="25"/>
      <c r="X3751" s="25"/>
      <c r="Y3751" s="25"/>
      <c r="Z3751" s="25"/>
      <c r="AA3751" s="25"/>
    </row>
    <row r="3752" spans="1:27" x14ac:dyDescent="0.35">
      <c r="A3752" s="5">
        <v>3748</v>
      </c>
      <c r="B3752" s="5">
        <v>157</v>
      </c>
      <c r="C3752" s="5">
        <v>6</v>
      </c>
      <c r="D3752" s="25">
        <v>1.1415000000000001E-4</v>
      </c>
      <c r="E3752" s="25">
        <v>1.2363000000000001E-4</v>
      </c>
      <c r="F3752" s="25">
        <v>1.0064E-4</v>
      </c>
      <c r="G3752" s="25">
        <v>6.0900000000000003E-5</v>
      </c>
      <c r="H3752" s="25">
        <v>7.6680000000000004E-5</v>
      </c>
      <c r="I3752" s="9">
        <v>8.4240000000000007E-5</v>
      </c>
      <c r="J3752" s="9">
        <v>8.4900000000000004E-5</v>
      </c>
      <c r="K3752" s="9">
        <v>7.2059999999999998E-5</v>
      </c>
      <c r="L3752" s="9">
        <v>2.2710000000000001E-5</v>
      </c>
      <c r="M3752" s="9">
        <v>4.4020000000000002E-5</v>
      </c>
      <c r="N3752" s="9">
        <v>6.1779999999999995E-5</v>
      </c>
      <c r="O3752" s="9">
        <v>1.9340000000000001E-5</v>
      </c>
      <c r="P3752" s="9">
        <v>4.6919999999999998E-5</v>
      </c>
      <c r="Q3752" s="9">
        <v>7.9809999999999997E-5</v>
      </c>
      <c r="R3752" s="10">
        <v>1.5939391366369664E-4</v>
      </c>
      <c r="S3752" s="10">
        <v>1.8156264200041601E-4</v>
      </c>
      <c r="T3752" s="10">
        <v>0</v>
      </c>
      <c r="U3752" s="10">
        <v>1.0127E-4</v>
      </c>
      <c r="V3752" s="25"/>
      <c r="W3752" s="25"/>
      <c r="X3752" s="25"/>
      <c r="Y3752" s="25"/>
      <c r="Z3752" s="25"/>
      <c r="AA3752" s="25"/>
    </row>
    <row r="3753" spans="1:27" x14ac:dyDescent="0.35">
      <c r="A3753" s="5">
        <v>3749</v>
      </c>
      <c r="B3753" s="5">
        <v>157</v>
      </c>
      <c r="C3753" s="5">
        <v>6</v>
      </c>
      <c r="D3753" s="25">
        <v>1.1416E-4</v>
      </c>
      <c r="E3753" s="25">
        <v>1.1323999999999999E-4</v>
      </c>
      <c r="F3753" s="25">
        <v>1.0558E-4</v>
      </c>
      <c r="G3753" s="25">
        <v>5.9039999999999997E-5</v>
      </c>
      <c r="H3753" s="25">
        <v>6.6649999999999994E-5</v>
      </c>
      <c r="I3753" s="9">
        <v>8.2410000000000005E-5</v>
      </c>
      <c r="J3753" s="9">
        <v>8.2680000000000001E-5</v>
      </c>
      <c r="K3753" s="9">
        <v>7.4179999999999998E-5</v>
      </c>
      <c r="L3753" s="9">
        <v>2.0290000000000001E-5</v>
      </c>
      <c r="M3753" s="9">
        <v>4.3300000000000002E-5</v>
      </c>
      <c r="N3753" s="9">
        <v>6.4189999999999994E-5</v>
      </c>
      <c r="O3753" s="9">
        <v>2.3980000000000001E-5</v>
      </c>
      <c r="P3753" s="9">
        <v>5.6280000000000003E-5</v>
      </c>
      <c r="Q3753" s="9">
        <v>9.3059999999999993E-5</v>
      </c>
      <c r="R3753" s="10">
        <v>1.5436432357661175E-4</v>
      </c>
      <c r="S3753" s="10">
        <v>1.8345976041473475E-4</v>
      </c>
      <c r="T3753" s="10">
        <v>5.7693235580969108E-6</v>
      </c>
      <c r="U3753" s="10">
        <v>1.0127E-4</v>
      </c>
      <c r="V3753" s="25"/>
      <c r="W3753" s="25"/>
      <c r="X3753" s="25"/>
      <c r="Y3753" s="25"/>
      <c r="Z3753" s="25"/>
      <c r="AA3753" s="25"/>
    </row>
    <row r="3754" spans="1:27" x14ac:dyDescent="0.35">
      <c r="A3754" s="5">
        <v>3750</v>
      </c>
      <c r="B3754" s="5">
        <v>157</v>
      </c>
      <c r="C3754" s="5">
        <v>6</v>
      </c>
      <c r="D3754" s="25">
        <v>1.1415000000000001E-4</v>
      </c>
      <c r="E3754" s="25">
        <v>1.2369E-4</v>
      </c>
      <c r="F3754" s="25">
        <v>9.7949999999999996E-5</v>
      </c>
      <c r="G3754" s="25">
        <v>1.1298000000000001E-4</v>
      </c>
      <c r="H3754" s="25">
        <v>1.3339E-4</v>
      </c>
      <c r="I3754" s="9">
        <v>8.174E-5</v>
      </c>
      <c r="J3754" s="9">
        <v>8.2299999999999995E-5</v>
      </c>
      <c r="K3754" s="9">
        <v>7.2059999999999998E-5</v>
      </c>
      <c r="L3754" s="9">
        <v>2.3059999999999999E-5</v>
      </c>
      <c r="M3754" s="9">
        <v>4.8130000000000002E-5</v>
      </c>
      <c r="N3754" s="9">
        <v>7.0640000000000001E-5</v>
      </c>
      <c r="O3754" s="9">
        <v>4.7849999999999998E-5</v>
      </c>
      <c r="P3754" s="9">
        <v>7.7410000000000006E-5</v>
      </c>
      <c r="Q3754" s="9">
        <v>1.0779E-4</v>
      </c>
      <c r="R3754" s="10">
        <v>1.5622883315435511E-4</v>
      </c>
      <c r="S3754" s="10">
        <v>1.7433513856234833E-4</v>
      </c>
      <c r="T3754" s="10">
        <v>4.7096345692641109E-5</v>
      </c>
      <c r="U3754" s="10">
        <v>1.0127E-4</v>
      </c>
      <c r="V3754" s="25"/>
      <c r="W3754" s="25"/>
      <c r="X3754" s="25"/>
      <c r="Y3754" s="25"/>
      <c r="Z3754" s="25"/>
      <c r="AA3754" s="25"/>
    </row>
    <row r="3755" spans="1:27" x14ac:dyDescent="0.35">
      <c r="A3755" s="5">
        <v>3751</v>
      </c>
      <c r="B3755" s="5">
        <v>157</v>
      </c>
      <c r="C3755" s="5">
        <v>6</v>
      </c>
      <c r="D3755" s="25">
        <v>1.1416E-4</v>
      </c>
      <c r="E3755" s="25">
        <v>1.1259E-4</v>
      </c>
      <c r="F3755" s="25">
        <v>1.0996E-4</v>
      </c>
      <c r="G3755" s="25">
        <v>1.0451E-4</v>
      </c>
      <c r="H3755" s="25">
        <v>1.3212E-4</v>
      </c>
      <c r="I3755" s="9">
        <v>8.4829999999999999E-5</v>
      </c>
      <c r="J3755" s="9">
        <v>8.4930000000000002E-5</v>
      </c>
      <c r="K3755" s="9">
        <v>6.3579999999999998E-5</v>
      </c>
      <c r="L3755" s="9">
        <v>4.227E-5</v>
      </c>
      <c r="M3755" s="9">
        <v>6.0040000000000001E-5</v>
      </c>
      <c r="N3755" s="9">
        <v>8.0580000000000004E-5</v>
      </c>
      <c r="O3755" s="9">
        <v>1.1285000000000001E-4</v>
      </c>
      <c r="P3755" s="9">
        <v>1.1718999999999999E-4</v>
      </c>
      <c r="Q3755" s="9">
        <v>1.1226E-4</v>
      </c>
      <c r="R3755" s="10">
        <v>1.3368726789143615E-4</v>
      </c>
      <c r="S3755" s="10">
        <v>1.5952905545268039E-4</v>
      </c>
      <c r="T3755" s="10">
        <v>1.764479735849139E-4</v>
      </c>
      <c r="U3755" s="10">
        <v>1.0127E-4</v>
      </c>
      <c r="V3755" s="25"/>
      <c r="W3755" s="25"/>
      <c r="X3755" s="25"/>
      <c r="Y3755" s="25"/>
      <c r="Z3755" s="25"/>
      <c r="AA3755" s="25"/>
    </row>
    <row r="3756" spans="1:27" x14ac:dyDescent="0.35">
      <c r="A3756" s="5">
        <v>3752</v>
      </c>
      <c r="B3756" s="5">
        <v>157</v>
      </c>
      <c r="C3756" s="5">
        <v>6</v>
      </c>
      <c r="D3756" s="25">
        <v>1.1415000000000001E-4</v>
      </c>
      <c r="E3756" s="25">
        <v>1.1870999999999999E-4</v>
      </c>
      <c r="F3756" s="25">
        <v>1.1081E-4</v>
      </c>
      <c r="G3756" s="25">
        <v>1.5698E-4</v>
      </c>
      <c r="H3756" s="25">
        <v>1.9652999999999999E-4</v>
      </c>
      <c r="I3756" s="9">
        <v>8.9370000000000007E-5</v>
      </c>
      <c r="J3756" s="9">
        <v>8.9850000000000002E-5</v>
      </c>
      <c r="K3756" s="9">
        <v>6.7819999999999998E-5</v>
      </c>
      <c r="L3756" s="9">
        <v>9.6780000000000005E-5</v>
      </c>
      <c r="M3756" s="9">
        <v>8.3689999999999993E-5</v>
      </c>
      <c r="N3756" s="9">
        <v>9.0699999999999996E-5</v>
      </c>
      <c r="O3756" s="9">
        <v>1.9599E-4</v>
      </c>
      <c r="P3756" s="9">
        <v>1.7772999999999999E-4</v>
      </c>
      <c r="Q3756" s="9">
        <v>1.373E-4</v>
      </c>
      <c r="R3756" s="10">
        <v>1.024522223349584E-4</v>
      </c>
      <c r="S3756" s="10">
        <v>1.4936502461164401E-4</v>
      </c>
      <c r="T3756" s="10">
        <v>3.6552906890219007E-4</v>
      </c>
      <c r="U3756" s="10">
        <v>1.0127E-4</v>
      </c>
      <c r="V3756" s="25"/>
      <c r="W3756" s="25"/>
      <c r="X3756" s="25"/>
      <c r="Y3756" s="25"/>
      <c r="Z3756" s="25"/>
      <c r="AA3756" s="25"/>
    </row>
    <row r="3757" spans="1:27" x14ac:dyDescent="0.35">
      <c r="A3757" s="5">
        <v>3753</v>
      </c>
      <c r="B3757" s="5">
        <v>157</v>
      </c>
      <c r="C3757" s="5">
        <v>6</v>
      </c>
      <c r="D3757" s="25">
        <v>1.1416E-4</v>
      </c>
      <c r="E3757" s="25">
        <v>1.1275E-4</v>
      </c>
      <c r="F3757" s="25">
        <v>1.0276999999999999E-4</v>
      </c>
      <c r="G3757" s="25">
        <v>1.6309000000000001E-4</v>
      </c>
      <c r="H3757" s="25">
        <v>2.0179E-4</v>
      </c>
      <c r="I3757" s="9">
        <v>9.2730000000000002E-5</v>
      </c>
      <c r="J3757" s="9">
        <v>9.4959999999999999E-5</v>
      </c>
      <c r="K3757" s="9">
        <v>5.2989999999999999E-5</v>
      </c>
      <c r="L3757" s="9">
        <v>1.7267000000000001E-4</v>
      </c>
      <c r="M3757" s="9">
        <v>1.2365E-4</v>
      </c>
      <c r="N3757" s="9">
        <v>1.0463000000000001E-4</v>
      </c>
      <c r="O3757" s="9">
        <v>1.8684999999999999E-4</v>
      </c>
      <c r="P3757" s="9">
        <v>1.9186999999999999E-4</v>
      </c>
      <c r="Q3757" s="9">
        <v>1.7572E-4</v>
      </c>
      <c r="R3757" s="10">
        <v>9.4953422325892665E-5</v>
      </c>
      <c r="S3757" s="10">
        <v>1.4962269790925114E-4</v>
      </c>
      <c r="T3757" s="10">
        <v>5.2265829286682948E-4</v>
      </c>
      <c r="U3757" s="10">
        <v>1.0127E-4</v>
      </c>
      <c r="V3757" s="25"/>
      <c r="W3757" s="25"/>
      <c r="X3757" s="25"/>
      <c r="Y3757" s="25"/>
      <c r="Z3757" s="25"/>
      <c r="AA3757" s="25"/>
    </row>
    <row r="3758" spans="1:27" x14ac:dyDescent="0.35">
      <c r="A3758" s="5">
        <v>3754</v>
      </c>
      <c r="B3758" s="5">
        <v>157</v>
      </c>
      <c r="C3758" s="5">
        <v>6</v>
      </c>
      <c r="D3758" s="25">
        <v>1.1415000000000001E-4</v>
      </c>
      <c r="E3758" s="25">
        <v>1.1662E-4</v>
      </c>
      <c r="F3758" s="25">
        <v>1.0179E-4</v>
      </c>
      <c r="G3758" s="25">
        <v>1.6594E-4</v>
      </c>
      <c r="H3758" s="25">
        <v>1.9458999999999999E-4</v>
      </c>
      <c r="I3758" s="9">
        <v>9.3599999999999998E-5</v>
      </c>
      <c r="J3758" s="9">
        <v>9.7769999999999994E-5</v>
      </c>
      <c r="K3758" s="9">
        <v>2.9669999999999999E-5</v>
      </c>
      <c r="L3758" s="9">
        <v>1.8174E-4</v>
      </c>
      <c r="M3758" s="9">
        <v>1.5834000000000001E-4</v>
      </c>
      <c r="N3758" s="9">
        <v>1.2443E-4</v>
      </c>
      <c r="O3758" s="9">
        <v>1.5124E-4</v>
      </c>
      <c r="P3758" s="9">
        <v>1.7495E-4</v>
      </c>
      <c r="Q3758" s="9">
        <v>1.8299000000000001E-4</v>
      </c>
      <c r="R3758" s="10">
        <v>9.089328406796804E-5</v>
      </c>
      <c r="S3758" s="10">
        <v>1.5865687002932107E-4</v>
      </c>
      <c r="T3758" s="10">
        <v>6.1895509049094701E-4</v>
      </c>
      <c r="U3758" s="10">
        <v>1.0127E-4</v>
      </c>
      <c r="V3758" s="25"/>
      <c r="W3758" s="25"/>
      <c r="X3758" s="25"/>
      <c r="Y3758" s="25"/>
      <c r="Z3758" s="25"/>
      <c r="AA3758" s="25"/>
    </row>
    <row r="3759" spans="1:27" x14ac:dyDescent="0.35">
      <c r="A3759" s="5">
        <v>3755</v>
      </c>
      <c r="B3759" s="5">
        <v>157</v>
      </c>
      <c r="C3759" s="5">
        <v>6</v>
      </c>
      <c r="D3759" s="25">
        <v>1.1416E-4</v>
      </c>
      <c r="E3759" s="25">
        <v>1.182E-4</v>
      </c>
      <c r="F3759" s="25">
        <v>1.0267E-4</v>
      </c>
      <c r="G3759" s="25">
        <v>1.5883999999999999E-4</v>
      </c>
      <c r="H3759" s="25">
        <v>1.9153E-4</v>
      </c>
      <c r="I3759" s="9">
        <v>9.1819999999999998E-5</v>
      </c>
      <c r="J3759" s="9">
        <v>9.8549999999999997E-5</v>
      </c>
      <c r="K3759" s="9">
        <v>2.5429999999999999E-5</v>
      </c>
      <c r="L3759" s="9">
        <v>1.5804999999999999E-4</v>
      </c>
      <c r="M3759" s="9">
        <v>1.7233E-4</v>
      </c>
      <c r="N3759" s="9">
        <v>1.4274000000000001E-4</v>
      </c>
      <c r="O3759" s="9">
        <v>1.505E-4</v>
      </c>
      <c r="P3759" s="9">
        <v>1.7275E-4</v>
      </c>
      <c r="Q3759" s="9">
        <v>1.7942000000000001E-4</v>
      </c>
      <c r="R3759" s="10">
        <v>9.365822080956218E-5</v>
      </c>
      <c r="S3759" s="10">
        <v>1.6421527184788226E-4</v>
      </c>
      <c r="T3759" s="10">
        <v>7.1078914665688962E-4</v>
      </c>
      <c r="U3759" s="10">
        <v>1.0127E-4</v>
      </c>
      <c r="V3759" s="25"/>
      <c r="W3759" s="25"/>
      <c r="X3759" s="25"/>
      <c r="Y3759" s="25"/>
      <c r="Z3759" s="25"/>
      <c r="AA3759" s="25"/>
    </row>
    <row r="3760" spans="1:27" x14ac:dyDescent="0.35">
      <c r="A3760" s="5">
        <v>3756</v>
      </c>
      <c r="B3760" s="5">
        <v>157</v>
      </c>
      <c r="C3760" s="5">
        <v>6</v>
      </c>
      <c r="D3760" s="25">
        <v>1.1415000000000001E-4</v>
      </c>
      <c r="E3760" s="25">
        <v>1.1861E-4</v>
      </c>
      <c r="F3760" s="25">
        <v>1.0708E-4</v>
      </c>
      <c r="G3760" s="25">
        <v>1.6666000000000001E-4</v>
      </c>
      <c r="H3760" s="25">
        <v>1.9790000000000001E-4</v>
      </c>
      <c r="I3760" s="9">
        <v>8.8480000000000007E-5</v>
      </c>
      <c r="J3760" s="9">
        <v>9.8610000000000006E-5</v>
      </c>
      <c r="K3760" s="9">
        <v>5.0869999999999999E-5</v>
      </c>
      <c r="L3760" s="9">
        <v>1.5333999999999999E-4</v>
      </c>
      <c r="M3760" s="9">
        <v>1.7488000000000001E-4</v>
      </c>
      <c r="N3760" s="9">
        <v>1.5678E-4</v>
      </c>
      <c r="O3760" s="9">
        <v>1.5158000000000001E-4</v>
      </c>
      <c r="P3760" s="9">
        <v>1.6998E-4</v>
      </c>
      <c r="Q3760" s="9">
        <v>1.7263000000000001E-4</v>
      </c>
      <c r="R3760" s="10">
        <v>5.6827910086627346E-5</v>
      </c>
      <c r="S3760" s="10">
        <v>1.5160956085571363E-4</v>
      </c>
      <c r="T3760" s="10">
        <v>7.6050714084872483E-4</v>
      </c>
      <c r="U3760" s="10">
        <v>1.0127E-4</v>
      </c>
      <c r="V3760" s="25"/>
      <c r="W3760" s="25"/>
      <c r="X3760" s="25"/>
      <c r="Y3760" s="25"/>
      <c r="Z3760" s="25"/>
      <c r="AA3760" s="25"/>
    </row>
    <row r="3761" spans="1:27" x14ac:dyDescent="0.35">
      <c r="A3761" s="5">
        <v>3757</v>
      </c>
      <c r="B3761" s="5">
        <v>157</v>
      </c>
      <c r="C3761" s="5">
        <v>6</v>
      </c>
      <c r="D3761" s="25">
        <v>1.1416E-4</v>
      </c>
      <c r="E3761" s="25">
        <v>1.1468000000000001E-4</v>
      </c>
      <c r="F3761" s="25">
        <v>1.0606E-4</v>
      </c>
      <c r="G3761" s="25">
        <v>1.6152000000000001E-4</v>
      </c>
      <c r="H3761" s="25">
        <v>2.0043E-4</v>
      </c>
      <c r="I3761" s="9">
        <v>8.2230000000000004E-5</v>
      </c>
      <c r="J3761" s="9">
        <v>9.7490000000000003E-5</v>
      </c>
      <c r="K3761" s="9">
        <v>4.2389999999999999E-5</v>
      </c>
      <c r="L3761" s="9">
        <v>1.5210000000000001E-4</v>
      </c>
      <c r="M3761" s="9">
        <v>1.7328999999999999E-4</v>
      </c>
      <c r="N3761" s="9">
        <v>1.6592000000000001E-4</v>
      </c>
      <c r="O3761" s="9">
        <v>1.4630000000000001E-4</v>
      </c>
      <c r="P3761" s="9">
        <v>1.6451000000000001E-4</v>
      </c>
      <c r="Q3761" s="9">
        <v>1.6792000000000001E-4</v>
      </c>
      <c r="R3761" s="10">
        <v>7.6805790473430114E-5</v>
      </c>
      <c r="S3761" s="10">
        <v>1.5927552711972489E-4</v>
      </c>
      <c r="T3761" s="10">
        <v>7.6352755141737547E-4</v>
      </c>
      <c r="U3761" s="10">
        <v>1.0127E-4</v>
      </c>
      <c r="V3761" s="25"/>
      <c r="W3761" s="25"/>
      <c r="X3761" s="25"/>
      <c r="Y3761" s="25"/>
      <c r="Z3761" s="25"/>
      <c r="AA3761" s="25"/>
    </row>
    <row r="3762" spans="1:27" x14ac:dyDescent="0.35">
      <c r="A3762" s="5">
        <v>3758</v>
      </c>
      <c r="B3762" s="5">
        <v>157</v>
      </c>
      <c r="C3762" s="5">
        <v>6</v>
      </c>
      <c r="D3762" s="25">
        <v>1.1415000000000001E-4</v>
      </c>
      <c r="E3762" s="25">
        <v>1.1218999999999999E-4</v>
      </c>
      <c r="F3762" s="25">
        <v>1.0647E-4</v>
      </c>
      <c r="G3762" s="25">
        <v>1.6101000000000001E-4</v>
      </c>
      <c r="H3762" s="25">
        <v>1.8965E-4</v>
      </c>
      <c r="I3762" s="9">
        <v>7.941E-5</v>
      </c>
      <c r="J3762" s="9">
        <v>9.6399999999999999E-5</v>
      </c>
      <c r="K3762" s="9">
        <v>2.332E-5</v>
      </c>
      <c r="L3762" s="9">
        <v>1.474E-4</v>
      </c>
      <c r="M3762" s="9">
        <v>1.6966999999999999E-4</v>
      </c>
      <c r="N3762" s="9">
        <v>1.7033E-4</v>
      </c>
      <c r="O3762" s="9">
        <v>1.5898999999999999E-4</v>
      </c>
      <c r="P3762" s="9">
        <v>1.6778E-4</v>
      </c>
      <c r="Q3762" s="9">
        <v>1.5980000000000001E-4</v>
      </c>
      <c r="R3762" s="10">
        <v>7.4601169153705704E-5</v>
      </c>
      <c r="S3762" s="10">
        <v>1.7024549264392521E-4</v>
      </c>
      <c r="T3762" s="10">
        <v>7.1127275171984782E-4</v>
      </c>
      <c r="U3762" s="10">
        <v>1.0127E-4</v>
      </c>
      <c r="V3762" s="25"/>
      <c r="W3762" s="25"/>
      <c r="X3762" s="25"/>
      <c r="Y3762" s="25"/>
      <c r="Z3762" s="25"/>
      <c r="AA3762" s="25"/>
    </row>
    <row r="3763" spans="1:27" x14ac:dyDescent="0.35">
      <c r="A3763" s="5">
        <v>3759</v>
      </c>
      <c r="B3763" s="5">
        <v>157</v>
      </c>
      <c r="C3763" s="5">
        <v>6</v>
      </c>
      <c r="D3763" s="25">
        <v>1.1416E-4</v>
      </c>
      <c r="E3763" s="25">
        <v>1.1345000000000001E-4</v>
      </c>
      <c r="F3763" s="25">
        <v>1.0344E-4</v>
      </c>
      <c r="G3763" s="25">
        <v>1.6678999999999999E-4</v>
      </c>
      <c r="H3763" s="25">
        <v>1.9694999999999999E-4</v>
      </c>
      <c r="I3763" s="9">
        <v>8.0929999999999999E-5</v>
      </c>
      <c r="J3763" s="9">
        <v>9.5950000000000001E-5</v>
      </c>
      <c r="K3763" s="9">
        <v>3.8160000000000001E-5</v>
      </c>
      <c r="L3763" s="9">
        <v>1.5655000000000001E-4</v>
      </c>
      <c r="M3763" s="9">
        <v>1.6797000000000001E-4</v>
      </c>
      <c r="N3763" s="9">
        <v>1.6966999999999999E-4</v>
      </c>
      <c r="O3763" s="9">
        <v>1.6540000000000001E-4</v>
      </c>
      <c r="P3763" s="9">
        <v>1.6823000000000001E-4</v>
      </c>
      <c r="Q3763" s="9">
        <v>1.5343999999999999E-4</v>
      </c>
      <c r="R3763" s="10">
        <v>7.2194499466289325E-5</v>
      </c>
      <c r="S3763" s="10">
        <v>1.8053239906602568E-4</v>
      </c>
      <c r="T3763" s="10">
        <v>6.2962833907342637E-4</v>
      </c>
      <c r="U3763" s="10">
        <v>1.0127E-4</v>
      </c>
      <c r="V3763" s="25"/>
      <c r="W3763" s="25"/>
      <c r="X3763" s="25"/>
      <c r="Y3763" s="25"/>
      <c r="Z3763" s="25"/>
      <c r="AA3763" s="25"/>
    </row>
    <row r="3764" spans="1:27" x14ac:dyDescent="0.35">
      <c r="A3764" s="5">
        <v>3760</v>
      </c>
      <c r="B3764" s="5">
        <v>157</v>
      </c>
      <c r="C3764" s="5">
        <v>6</v>
      </c>
      <c r="D3764" s="25">
        <v>1.1415000000000001E-4</v>
      </c>
      <c r="E3764" s="25">
        <v>1.1751E-4</v>
      </c>
      <c r="F3764" s="25">
        <v>9.5950000000000001E-5</v>
      </c>
      <c r="G3764" s="25">
        <v>1.6525000000000001E-4</v>
      </c>
      <c r="H3764" s="25">
        <v>1.9950999999999999E-4</v>
      </c>
      <c r="I3764" s="9">
        <v>8.4829999999999999E-5</v>
      </c>
      <c r="J3764" s="9">
        <v>9.7590000000000006E-5</v>
      </c>
      <c r="K3764" s="9">
        <v>5.0859999999999998E-5</v>
      </c>
      <c r="L3764" s="9">
        <v>1.6321E-4</v>
      </c>
      <c r="M3764" s="9">
        <v>1.6772E-4</v>
      </c>
      <c r="N3764" s="9">
        <v>1.66E-4</v>
      </c>
      <c r="O3764" s="9">
        <v>1.7657999999999999E-4</v>
      </c>
      <c r="P3764" s="9">
        <v>1.528E-4</v>
      </c>
      <c r="Q3764" s="9">
        <v>1.1001E-4</v>
      </c>
      <c r="R3764" s="10">
        <v>8.0836015386975273E-5</v>
      </c>
      <c r="S3764" s="10">
        <v>1.8126857255419443E-4</v>
      </c>
      <c r="T3764" s="10">
        <v>5.0198205535053209E-4</v>
      </c>
      <c r="U3764" s="10">
        <v>1.0127E-4</v>
      </c>
      <c r="V3764" s="25"/>
      <c r="W3764" s="25"/>
      <c r="X3764" s="25"/>
      <c r="Y3764" s="25"/>
      <c r="Z3764" s="25"/>
      <c r="AA3764" s="25"/>
    </row>
    <row r="3765" spans="1:27" x14ac:dyDescent="0.35">
      <c r="A3765" s="5">
        <v>3761</v>
      </c>
      <c r="B3765" s="5">
        <v>157</v>
      </c>
      <c r="C3765" s="5">
        <v>6</v>
      </c>
      <c r="D3765" s="25">
        <v>1.1416E-4</v>
      </c>
      <c r="E3765" s="25">
        <v>1.13E-4</v>
      </c>
      <c r="F3765" s="25">
        <v>9.666E-5</v>
      </c>
      <c r="G3765" s="25">
        <v>1.6761E-4</v>
      </c>
      <c r="H3765" s="25">
        <v>2.0108999999999999E-4</v>
      </c>
      <c r="I3765" s="9">
        <v>9.0190000000000002E-5</v>
      </c>
      <c r="J3765" s="9">
        <v>1.0203E-4</v>
      </c>
      <c r="K3765" s="9">
        <v>5.9339999999999998E-5</v>
      </c>
      <c r="L3765" s="9">
        <v>1.7342E-4</v>
      </c>
      <c r="M3765" s="9">
        <v>1.6239E-4</v>
      </c>
      <c r="N3765" s="9">
        <v>1.5238E-4</v>
      </c>
      <c r="O3765" s="9">
        <v>1.8875000000000001E-4</v>
      </c>
      <c r="P3765" s="9">
        <v>1.5797000000000001E-4</v>
      </c>
      <c r="Q3765" s="9">
        <v>1.0626E-4</v>
      </c>
      <c r="R3765" s="10">
        <v>8.7216453023835161E-5</v>
      </c>
      <c r="S3765" s="10">
        <v>1.829563197992909E-4</v>
      </c>
      <c r="T3765" s="10">
        <v>3.4269781935095654E-4</v>
      </c>
      <c r="U3765" s="10">
        <v>1.0127E-4</v>
      </c>
      <c r="V3765" s="25"/>
      <c r="W3765" s="25"/>
      <c r="X3765" s="25"/>
      <c r="Y3765" s="25"/>
      <c r="Z3765" s="25"/>
      <c r="AA3765" s="25"/>
    </row>
    <row r="3766" spans="1:27" x14ac:dyDescent="0.35">
      <c r="A3766" s="5">
        <v>3762</v>
      </c>
      <c r="B3766" s="5">
        <v>157</v>
      </c>
      <c r="C3766" s="5">
        <v>6</v>
      </c>
      <c r="D3766" s="25">
        <v>1.1415000000000001E-4</v>
      </c>
      <c r="E3766" s="25">
        <v>1.1977E-4</v>
      </c>
      <c r="F3766" s="25">
        <v>9.7109999999999997E-5</v>
      </c>
      <c r="G3766" s="25">
        <v>1.5799E-4</v>
      </c>
      <c r="H3766" s="25">
        <v>1.9576000000000001E-4</v>
      </c>
      <c r="I3766" s="9">
        <v>9.5569999999999995E-5</v>
      </c>
      <c r="J3766" s="9">
        <v>1.0459999999999999E-4</v>
      </c>
      <c r="K3766" s="9">
        <v>6.9939999999999998E-5</v>
      </c>
      <c r="L3766" s="9">
        <v>1.8516E-4</v>
      </c>
      <c r="M3766" s="9">
        <v>1.5930999999999999E-4</v>
      </c>
      <c r="N3766" s="9">
        <v>1.3892E-4</v>
      </c>
      <c r="O3766" s="9">
        <v>1.8238999999999999E-4</v>
      </c>
      <c r="P3766" s="9">
        <v>1.5983999999999999E-4</v>
      </c>
      <c r="Q3766" s="9">
        <v>1.1726999999999999E-4</v>
      </c>
      <c r="R3766" s="10">
        <v>8.1925153303156627E-5</v>
      </c>
      <c r="S3766" s="10">
        <v>1.8671149920690999E-4</v>
      </c>
      <c r="T3766" s="10">
        <v>1.5743465874124455E-4</v>
      </c>
      <c r="U3766" s="10">
        <v>1.0127E-4</v>
      </c>
      <c r="V3766" s="25"/>
      <c r="W3766" s="25"/>
      <c r="X3766" s="25"/>
      <c r="Y3766" s="25"/>
      <c r="Z3766" s="25"/>
      <c r="AA3766" s="25"/>
    </row>
    <row r="3767" spans="1:27" x14ac:dyDescent="0.35">
      <c r="A3767" s="5">
        <v>3763</v>
      </c>
      <c r="B3767" s="5">
        <v>157</v>
      </c>
      <c r="C3767" s="5">
        <v>6</v>
      </c>
      <c r="D3767" s="25">
        <v>1.1416E-4</v>
      </c>
      <c r="E3767" s="25">
        <v>1.1378E-4</v>
      </c>
      <c r="F3767" s="25">
        <v>9.5439999999999994E-5</v>
      </c>
      <c r="G3767" s="25">
        <v>1.1357999999999999E-4</v>
      </c>
      <c r="H3767" s="25">
        <v>1.2648E-4</v>
      </c>
      <c r="I3767" s="9">
        <v>9.8410000000000001E-5</v>
      </c>
      <c r="J3767" s="9">
        <v>1.0473E-4</v>
      </c>
      <c r="K3767" s="9">
        <v>8.6899999999999998E-5</v>
      </c>
      <c r="L3767" s="9">
        <v>1.8272000000000001E-4</v>
      </c>
      <c r="M3767" s="9">
        <v>1.5883999999999999E-4</v>
      </c>
      <c r="N3767" s="9">
        <v>1.2978999999999999E-4</v>
      </c>
      <c r="O3767" s="9">
        <v>1.4742999999999999E-4</v>
      </c>
      <c r="P3767" s="9">
        <v>1.3428999999999999E-4</v>
      </c>
      <c r="Q3767" s="9">
        <v>1.0658999999999999E-4</v>
      </c>
      <c r="R3767" s="10">
        <v>7.7753866879482747E-5</v>
      </c>
      <c r="S3767" s="10">
        <v>1.879271147898276E-4</v>
      </c>
      <c r="T3767" s="10">
        <v>3.0662257851415057E-5</v>
      </c>
      <c r="U3767" s="10">
        <v>1.0127E-4</v>
      </c>
      <c r="V3767" s="25"/>
      <c r="W3767" s="25"/>
      <c r="X3767" s="25"/>
      <c r="Y3767" s="25"/>
      <c r="Z3767" s="25"/>
      <c r="AA3767" s="25"/>
    </row>
    <row r="3768" spans="1:27" x14ac:dyDescent="0.35">
      <c r="A3768" s="5">
        <v>3764</v>
      </c>
      <c r="B3768" s="5">
        <v>157</v>
      </c>
      <c r="C3768" s="5">
        <v>6</v>
      </c>
      <c r="D3768" s="25">
        <v>1.1415000000000001E-4</v>
      </c>
      <c r="E3768" s="25">
        <v>1.1471E-4</v>
      </c>
      <c r="F3768" s="25">
        <v>1.0009999999999999E-4</v>
      </c>
      <c r="G3768" s="25">
        <v>1.0985E-4</v>
      </c>
      <c r="H3768" s="25">
        <v>1.2956999999999999E-4</v>
      </c>
      <c r="I3768" s="9">
        <v>9.9690000000000003E-5</v>
      </c>
      <c r="J3768" s="9">
        <v>1.049E-4</v>
      </c>
      <c r="K3768" s="9">
        <v>9.5370000000000003E-5</v>
      </c>
      <c r="L3768" s="9">
        <v>1.5532E-4</v>
      </c>
      <c r="M3768" s="9">
        <v>1.5006000000000001E-4</v>
      </c>
      <c r="N3768" s="9">
        <v>1.2063E-4</v>
      </c>
      <c r="O3768" s="9">
        <v>1.1724E-4</v>
      </c>
      <c r="P3768" s="9">
        <v>1.1423E-4</v>
      </c>
      <c r="Q3768" s="9">
        <v>1.0132999999999999E-4</v>
      </c>
      <c r="R3768" s="10">
        <v>7.4834480880544446E-5</v>
      </c>
      <c r="S3768" s="10">
        <v>1.874389887175091E-4</v>
      </c>
      <c r="T3768" s="10">
        <v>9.1460746994536321E-6</v>
      </c>
      <c r="U3768" s="10">
        <v>1.0127E-4</v>
      </c>
      <c r="V3768" s="25"/>
      <c r="W3768" s="25"/>
      <c r="X3768" s="25"/>
      <c r="Y3768" s="25"/>
      <c r="Z3768" s="25"/>
      <c r="AA3768" s="25"/>
    </row>
    <row r="3769" spans="1:27" x14ac:dyDescent="0.35">
      <c r="A3769" s="5">
        <v>3765</v>
      </c>
      <c r="B3769" s="5">
        <v>157</v>
      </c>
      <c r="C3769" s="5">
        <v>6</v>
      </c>
      <c r="D3769" s="25">
        <v>1.1416E-4</v>
      </c>
      <c r="E3769" s="25">
        <v>1.1697999999999999E-4</v>
      </c>
      <c r="F3769" s="25">
        <v>1.0695E-4</v>
      </c>
      <c r="G3769" s="25">
        <v>5.6249999999999998E-5</v>
      </c>
      <c r="H3769" s="25">
        <v>7.2039999999999995E-5</v>
      </c>
      <c r="I3769" s="9">
        <v>9.9079999999999993E-5</v>
      </c>
      <c r="J3769" s="9">
        <v>1.0328E-4</v>
      </c>
      <c r="K3769" s="9">
        <v>1.1868E-4</v>
      </c>
      <c r="L3769" s="9">
        <v>1.2646000000000001E-4</v>
      </c>
      <c r="M3769" s="9">
        <v>1.3470999999999999E-4</v>
      </c>
      <c r="N3769" s="9">
        <v>1.1284E-4</v>
      </c>
      <c r="O3769" s="9">
        <v>7.9709999999999994E-5</v>
      </c>
      <c r="P3769" s="9">
        <v>8.5729999999999994E-5</v>
      </c>
      <c r="Q3769" s="9">
        <v>8.7719999999999994E-5</v>
      </c>
      <c r="R3769" s="10">
        <v>7.5837586365844862E-5</v>
      </c>
      <c r="S3769" s="10">
        <v>1.856004482471233E-4</v>
      </c>
      <c r="T3769" s="10">
        <v>0</v>
      </c>
      <c r="U3769" s="10">
        <v>1.0127E-4</v>
      </c>
      <c r="V3769" s="25"/>
      <c r="W3769" s="25"/>
      <c r="X3769" s="25"/>
      <c r="Y3769" s="25"/>
      <c r="Z3769" s="25"/>
      <c r="AA3769" s="25"/>
    </row>
    <row r="3770" spans="1:27" x14ac:dyDescent="0.35">
      <c r="A3770" s="5">
        <v>3766</v>
      </c>
      <c r="B3770" s="5">
        <v>157</v>
      </c>
      <c r="C3770" s="5">
        <v>6</v>
      </c>
      <c r="D3770" s="25">
        <v>1.1415000000000001E-4</v>
      </c>
      <c r="E3770" s="25">
        <v>1.2204E-4</v>
      </c>
      <c r="F3770" s="25">
        <v>1.1628E-4</v>
      </c>
      <c r="G3770" s="25">
        <v>5.3579999999999999E-5</v>
      </c>
      <c r="H3770" s="25">
        <v>7.2440000000000004E-5</v>
      </c>
      <c r="I3770" s="9">
        <v>1.0178E-4</v>
      </c>
      <c r="J3770" s="9">
        <v>1.052E-4</v>
      </c>
      <c r="K3770" s="9">
        <v>1.2081E-4</v>
      </c>
      <c r="L3770" s="9">
        <v>9.0779999999999995E-5</v>
      </c>
      <c r="M3770" s="9">
        <v>1.1313E-4</v>
      </c>
      <c r="N3770" s="9">
        <v>1.0514999999999999E-4</v>
      </c>
      <c r="O3770" s="9">
        <v>8.1829999999999994E-5</v>
      </c>
      <c r="P3770" s="9">
        <v>8.6849999999999997E-5</v>
      </c>
      <c r="Q3770" s="9">
        <v>8.7499999999999999E-5</v>
      </c>
      <c r="R3770" s="10">
        <v>7.8887744386854368E-5</v>
      </c>
      <c r="S3770" s="10">
        <v>1.7972612357364438E-4</v>
      </c>
      <c r="T3770" s="10">
        <v>0</v>
      </c>
      <c r="U3770" s="10">
        <v>1.0127E-4</v>
      </c>
      <c r="V3770" s="25"/>
      <c r="W3770" s="25"/>
      <c r="X3770" s="25"/>
      <c r="Y3770" s="25"/>
      <c r="Z3770" s="25"/>
      <c r="AA3770" s="25"/>
    </row>
    <row r="3771" spans="1:27" x14ac:dyDescent="0.35">
      <c r="A3771" s="5">
        <v>3767</v>
      </c>
      <c r="B3771" s="5">
        <v>157</v>
      </c>
      <c r="C3771" s="5">
        <v>6</v>
      </c>
      <c r="D3771" s="25">
        <v>1.1416E-4</v>
      </c>
      <c r="E3771" s="25">
        <v>1.1992E-4</v>
      </c>
      <c r="F3771" s="25">
        <v>1.1538E-4</v>
      </c>
      <c r="G3771" s="25">
        <v>5.2729999999999998E-5</v>
      </c>
      <c r="H3771" s="25">
        <v>7.4820000000000005E-5</v>
      </c>
      <c r="I3771" s="9">
        <v>9.8079999999999996E-5</v>
      </c>
      <c r="J3771" s="9">
        <v>1.0076E-4</v>
      </c>
      <c r="K3771" s="9">
        <v>1.3352000000000001E-4</v>
      </c>
      <c r="L3771" s="9">
        <v>8.4590000000000002E-5</v>
      </c>
      <c r="M3771" s="9">
        <v>9.8380000000000003E-5</v>
      </c>
      <c r="N3771" s="9">
        <v>9.9259999999999995E-5</v>
      </c>
      <c r="O3771" s="9">
        <v>7.4179999999999998E-5</v>
      </c>
      <c r="P3771" s="9">
        <v>7.1929999999999997E-5</v>
      </c>
      <c r="Q3771" s="9">
        <v>6.6699999999999995E-5</v>
      </c>
      <c r="R3771" s="10">
        <v>8.4421621997279146E-5</v>
      </c>
      <c r="S3771" s="10">
        <v>1.6563026857639252E-4</v>
      </c>
      <c r="T3771" s="10">
        <v>0</v>
      </c>
      <c r="U3771" s="10">
        <v>1.0127E-4</v>
      </c>
      <c r="V3771" s="25"/>
      <c r="W3771" s="25"/>
      <c r="X3771" s="25"/>
      <c r="Y3771" s="25"/>
      <c r="Z3771" s="25"/>
      <c r="AA3771" s="25"/>
    </row>
    <row r="3772" spans="1:27" x14ac:dyDescent="0.35">
      <c r="A3772" s="5">
        <v>3768</v>
      </c>
      <c r="B3772" s="5">
        <v>157</v>
      </c>
      <c r="C3772" s="5">
        <v>6</v>
      </c>
      <c r="D3772" s="25">
        <v>1.1415000000000001E-4</v>
      </c>
      <c r="E3772" s="25">
        <v>1.1974E-4</v>
      </c>
      <c r="F3772" s="25">
        <v>9.8029999999999995E-5</v>
      </c>
      <c r="G3772" s="25">
        <v>6.0800000000000001E-5</v>
      </c>
      <c r="H3772" s="25">
        <v>7.4250000000000002E-5</v>
      </c>
      <c r="I3772" s="9">
        <v>9.1310000000000005E-5</v>
      </c>
      <c r="J3772" s="9">
        <v>9.446E-5</v>
      </c>
      <c r="K3772" s="9">
        <v>1.2505E-4</v>
      </c>
      <c r="L3772" s="9">
        <v>7.6459999999999996E-5</v>
      </c>
      <c r="M3772" s="9">
        <v>8.5610000000000002E-5</v>
      </c>
      <c r="N3772" s="9">
        <v>9.0039999999999999E-5</v>
      </c>
      <c r="O3772" s="9">
        <v>6.1210000000000005E-5</v>
      </c>
      <c r="P3772" s="9">
        <v>6.0359999999999998E-5</v>
      </c>
      <c r="Q3772" s="9">
        <v>5.855E-5</v>
      </c>
      <c r="R3772" s="10">
        <v>8.7687020585094314E-5</v>
      </c>
      <c r="S3772" s="10">
        <v>1.5314043893375833E-4</v>
      </c>
      <c r="T3772" s="10">
        <v>0</v>
      </c>
      <c r="U3772" s="10">
        <v>1.0127E-4</v>
      </c>
      <c r="V3772" s="25"/>
      <c r="W3772" s="25"/>
      <c r="X3772" s="25"/>
      <c r="Y3772" s="25"/>
      <c r="Z3772" s="25"/>
      <c r="AA3772" s="25"/>
    </row>
    <row r="3773" spans="1:27" x14ac:dyDescent="0.35">
      <c r="A3773" s="5">
        <v>3769</v>
      </c>
      <c r="B3773" s="5">
        <v>158</v>
      </c>
      <c r="C3773" s="5">
        <v>6</v>
      </c>
      <c r="D3773" s="25">
        <v>1.1416E-4</v>
      </c>
      <c r="E3773" s="25">
        <v>1.0969E-4</v>
      </c>
      <c r="F3773" s="25">
        <v>1.0747E-4</v>
      </c>
      <c r="G3773" s="25">
        <v>5.9020000000000001E-5</v>
      </c>
      <c r="H3773" s="25">
        <v>7.5809999999999994E-5</v>
      </c>
      <c r="I3773" s="9">
        <v>8.6920000000000001E-5</v>
      </c>
      <c r="J3773" s="9">
        <v>9.0450000000000003E-5</v>
      </c>
      <c r="K3773" s="9">
        <v>1.2928000000000001E-4</v>
      </c>
      <c r="L3773" s="9">
        <v>6.4560000000000005E-5</v>
      </c>
      <c r="M3773" s="9">
        <v>7.36E-5</v>
      </c>
      <c r="N3773" s="9">
        <v>8.0679999999999993E-5</v>
      </c>
      <c r="O3773" s="9">
        <v>5.4849999999999998E-5</v>
      </c>
      <c r="P3773" s="9">
        <v>5.427E-5</v>
      </c>
      <c r="Q3773" s="9">
        <v>5.384E-5</v>
      </c>
      <c r="R3773" s="10">
        <v>1.0727751034728953E-4</v>
      </c>
      <c r="S3773" s="10">
        <v>1.5115255371650135E-4</v>
      </c>
      <c r="T3773" s="10">
        <v>0</v>
      </c>
      <c r="U3773" s="10">
        <v>1.0014999999999999E-4</v>
      </c>
      <c r="V3773" s="25"/>
      <c r="W3773" s="25"/>
      <c r="X3773" s="25"/>
      <c r="Y3773" s="25"/>
      <c r="Z3773" s="25"/>
      <c r="AA3773" s="25"/>
    </row>
    <row r="3774" spans="1:27" x14ac:dyDescent="0.35">
      <c r="A3774" s="5">
        <v>3770</v>
      </c>
      <c r="B3774" s="5">
        <v>158</v>
      </c>
      <c r="C3774" s="5">
        <v>6</v>
      </c>
      <c r="D3774" s="25">
        <v>1.1415000000000001E-4</v>
      </c>
      <c r="E3774" s="25">
        <v>1.1424E-4</v>
      </c>
      <c r="F3774" s="25">
        <v>9.234E-5</v>
      </c>
      <c r="G3774" s="25">
        <v>6.1480000000000001E-5</v>
      </c>
      <c r="H3774" s="25">
        <v>7.4250000000000002E-5</v>
      </c>
      <c r="I3774" s="9">
        <v>8.4480000000000004E-5</v>
      </c>
      <c r="J3774" s="9">
        <v>8.8830000000000002E-5</v>
      </c>
      <c r="K3774" s="9">
        <v>1.2716E-4</v>
      </c>
      <c r="L3774" s="9">
        <v>5.7309999999999998E-5</v>
      </c>
      <c r="M3774" s="9">
        <v>6.3780000000000003E-5</v>
      </c>
      <c r="N3774" s="9">
        <v>7.1790000000000002E-5</v>
      </c>
      <c r="O3774" s="9">
        <v>2.421E-5</v>
      </c>
      <c r="P3774" s="9">
        <v>3.7889999999999998E-5</v>
      </c>
      <c r="Q3774" s="9">
        <v>5.6379999999999999E-5</v>
      </c>
      <c r="R3774" s="10">
        <v>1.1828058135823198E-4</v>
      </c>
      <c r="S3774" s="10">
        <v>1.5840986521197792E-4</v>
      </c>
      <c r="T3774" s="10">
        <v>0</v>
      </c>
      <c r="U3774" s="10">
        <v>1.0014999999999999E-4</v>
      </c>
      <c r="V3774" s="25"/>
      <c r="W3774" s="25"/>
      <c r="X3774" s="25"/>
      <c r="Y3774" s="25"/>
      <c r="Z3774" s="25"/>
      <c r="AA3774" s="25"/>
    </row>
    <row r="3775" spans="1:27" x14ac:dyDescent="0.35">
      <c r="A3775" s="5">
        <v>3771</v>
      </c>
      <c r="B3775" s="5">
        <v>158</v>
      </c>
      <c r="C3775" s="5">
        <v>6</v>
      </c>
      <c r="D3775" s="25">
        <v>1.1416E-4</v>
      </c>
      <c r="E3775" s="25">
        <v>1.0552000000000001E-4</v>
      </c>
      <c r="F3775" s="25">
        <v>8.8709999999999996E-5</v>
      </c>
      <c r="G3775" s="25">
        <v>5.808E-5</v>
      </c>
      <c r="H3775" s="25">
        <v>7.2940000000000003E-5</v>
      </c>
      <c r="I3775" s="9">
        <v>8.5000000000000006E-5</v>
      </c>
      <c r="J3775" s="9">
        <v>8.8070000000000002E-5</v>
      </c>
      <c r="K3775" s="9">
        <v>1.2504000000000001E-4</v>
      </c>
      <c r="L3775" s="9">
        <v>3.1659999999999998E-5</v>
      </c>
      <c r="M3775" s="9">
        <v>5.223E-5</v>
      </c>
      <c r="N3775" s="9">
        <v>6.5380000000000001E-5</v>
      </c>
      <c r="O3775" s="9">
        <v>1.9300000000000002E-5</v>
      </c>
      <c r="P3775" s="9">
        <v>3.7459999999999997E-5</v>
      </c>
      <c r="Q3775" s="9">
        <v>6.1060000000000002E-5</v>
      </c>
      <c r="R3775" s="10">
        <v>1.1700635344261182E-4</v>
      </c>
      <c r="S3775" s="10">
        <v>1.6535940098729823E-4</v>
      </c>
      <c r="T3775" s="10">
        <v>0</v>
      </c>
      <c r="U3775" s="10">
        <v>1.0014999999999999E-4</v>
      </c>
      <c r="V3775" s="25"/>
      <c r="W3775" s="25"/>
      <c r="X3775" s="25"/>
      <c r="Y3775" s="25"/>
      <c r="Z3775" s="25"/>
      <c r="AA3775" s="25"/>
    </row>
    <row r="3776" spans="1:27" x14ac:dyDescent="0.35">
      <c r="A3776" s="5">
        <v>3772</v>
      </c>
      <c r="B3776" s="5">
        <v>158</v>
      </c>
      <c r="C3776" s="5">
        <v>6</v>
      </c>
      <c r="D3776" s="25">
        <v>1.1415000000000001E-4</v>
      </c>
      <c r="E3776" s="25">
        <v>1.1134E-4</v>
      </c>
      <c r="F3776" s="25">
        <v>9.4749999999999999E-5</v>
      </c>
      <c r="G3776" s="25">
        <v>5.6140000000000001E-5</v>
      </c>
      <c r="H3776" s="25">
        <v>7.3709999999999997E-5</v>
      </c>
      <c r="I3776" s="9">
        <v>8.5409999999999997E-5</v>
      </c>
      <c r="J3776" s="9">
        <v>8.8189999999999994E-5</v>
      </c>
      <c r="K3776" s="9">
        <v>1.2928000000000001E-4</v>
      </c>
      <c r="L3776" s="9">
        <v>2.2650000000000002E-5</v>
      </c>
      <c r="M3776" s="9">
        <v>4.4159999999999997E-5</v>
      </c>
      <c r="N3776" s="9">
        <v>6.177E-5</v>
      </c>
      <c r="O3776" s="9">
        <v>1.929E-5</v>
      </c>
      <c r="P3776" s="9">
        <v>4.6789999999999998E-5</v>
      </c>
      <c r="Q3776" s="9">
        <v>7.9590000000000002E-5</v>
      </c>
      <c r="R3776" s="10">
        <v>1.0336854252585767E-4</v>
      </c>
      <c r="S3776" s="10">
        <v>1.6747779715801163E-4</v>
      </c>
      <c r="T3776" s="10">
        <v>0</v>
      </c>
      <c r="U3776" s="10">
        <v>1.0014999999999999E-4</v>
      </c>
      <c r="V3776" s="25"/>
      <c r="W3776" s="25"/>
      <c r="X3776" s="25"/>
      <c r="Y3776" s="25"/>
      <c r="Z3776" s="25"/>
      <c r="AA3776" s="25"/>
    </row>
    <row r="3777" spans="1:27" x14ac:dyDescent="0.35">
      <c r="A3777" s="5">
        <v>3773</v>
      </c>
      <c r="B3777" s="5">
        <v>158</v>
      </c>
      <c r="C3777" s="5">
        <v>6</v>
      </c>
      <c r="D3777" s="25">
        <v>1.1416E-4</v>
      </c>
      <c r="E3777" s="25">
        <v>1.0654000000000001E-4</v>
      </c>
      <c r="F3777" s="25">
        <v>1.058E-4</v>
      </c>
      <c r="G3777" s="25">
        <v>5.6690000000000001E-5</v>
      </c>
      <c r="H3777" s="25">
        <v>6.2780000000000005E-5</v>
      </c>
      <c r="I3777" s="9">
        <v>8.8809999999999998E-5</v>
      </c>
      <c r="J3777" s="9">
        <v>8.9190000000000005E-5</v>
      </c>
      <c r="K3777" s="9">
        <v>1.102E-4</v>
      </c>
      <c r="L3777" s="9">
        <v>2.0250000000000001E-5</v>
      </c>
      <c r="M3777" s="9">
        <v>4.3279999999999999E-5</v>
      </c>
      <c r="N3777" s="9">
        <v>6.4189999999999994E-5</v>
      </c>
      <c r="O3777" s="9">
        <v>2.4130000000000001E-5</v>
      </c>
      <c r="P3777" s="9">
        <v>5.6629999999999998E-5</v>
      </c>
      <c r="Q3777" s="9">
        <v>9.3640000000000005E-5</v>
      </c>
      <c r="R3777" s="10">
        <v>9.1925862258150485E-5</v>
      </c>
      <c r="S3777" s="10">
        <v>1.7229143276906744E-4</v>
      </c>
      <c r="T3777" s="10">
        <v>1.2505857242110069E-5</v>
      </c>
      <c r="U3777" s="10">
        <v>1.0014999999999999E-4</v>
      </c>
      <c r="V3777" s="25"/>
      <c r="W3777" s="25"/>
      <c r="X3777" s="25"/>
      <c r="Y3777" s="25"/>
      <c r="Z3777" s="25"/>
      <c r="AA3777" s="25"/>
    </row>
    <row r="3778" spans="1:27" x14ac:dyDescent="0.35">
      <c r="A3778" s="5">
        <v>3774</v>
      </c>
      <c r="B3778" s="5">
        <v>158</v>
      </c>
      <c r="C3778" s="5">
        <v>6</v>
      </c>
      <c r="D3778" s="25">
        <v>1.1415000000000001E-4</v>
      </c>
      <c r="E3778" s="25">
        <v>1.0739E-4</v>
      </c>
      <c r="F3778" s="25">
        <v>1.0357999999999999E-4</v>
      </c>
      <c r="G3778" s="25">
        <v>1.0525E-4</v>
      </c>
      <c r="H3778" s="25">
        <v>1.3150999999999999E-4</v>
      </c>
      <c r="I3778" s="9">
        <v>9.8880000000000002E-5</v>
      </c>
      <c r="J3778" s="9">
        <v>9.781E-5</v>
      </c>
      <c r="K3778" s="9">
        <v>1.1232E-4</v>
      </c>
      <c r="L3778" s="9">
        <v>2.3159999999999998E-5</v>
      </c>
      <c r="M3778" s="9">
        <v>4.8210000000000001E-5</v>
      </c>
      <c r="N3778" s="9">
        <v>7.0790000000000005E-5</v>
      </c>
      <c r="O3778" s="9">
        <v>4.7889999999999997E-5</v>
      </c>
      <c r="P3778" s="9">
        <v>7.7490000000000005E-5</v>
      </c>
      <c r="Q3778" s="9">
        <v>1.0789999999999999E-4</v>
      </c>
      <c r="R3778" s="10">
        <v>8.8233191322448004E-5</v>
      </c>
      <c r="S3778" s="10">
        <v>1.7141363554794254E-4</v>
      </c>
      <c r="T3778" s="10">
        <v>3.3954165999270354E-5</v>
      </c>
      <c r="U3778" s="10">
        <v>1.0014999999999999E-4</v>
      </c>
      <c r="V3778" s="25"/>
      <c r="W3778" s="25"/>
      <c r="X3778" s="25"/>
      <c r="Y3778" s="25"/>
      <c r="Z3778" s="25"/>
      <c r="AA3778" s="25"/>
    </row>
    <row r="3779" spans="1:27" x14ac:dyDescent="0.35">
      <c r="A3779" s="5">
        <v>3775</v>
      </c>
      <c r="B3779" s="5">
        <v>158</v>
      </c>
      <c r="C3779" s="5">
        <v>6</v>
      </c>
      <c r="D3779" s="25">
        <v>1.1416E-4</v>
      </c>
      <c r="E3779" s="25">
        <v>1.0670000000000001E-4</v>
      </c>
      <c r="F3779" s="25">
        <v>1.0472E-4</v>
      </c>
      <c r="G3779" s="25">
        <v>1.1305E-4</v>
      </c>
      <c r="H3779" s="25">
        <v>1.2887E-4</v>
      </c>
      <c r="I3779" s="9">
        <v>1.0783E-4</v>
      </c>
      <c r="J3779" s="9">
        <v>1.1175000000000001E-4</v>
      </c>
      <c r="K3779" s="9">
        <v>6.9939999999999998E-5</v>
      </c>
      <c r="L3779" s="9">
        <v>4.2330000000000003E-5</v>
      </c>
      <c r="M3779" s="9">
        <v>6.0149999999999998E-5</v>
      </c>
      <c r="N3779" s="9">
        <v>8.0710000000000005E-5</v>
      </c>
      <c r="O3779" s="9">
        <v>1.1199E-4</v>
      </c>
      <c r="P3779" s="9">
        <v>1.1629E-4</v>
      </c>
      <c r="Q3779" s="9">
        <v>1.114E-4</v>
      </c>
      <c r="R3779" s="10">
        <v>6.3996368230648747E-5</v>
      </c>
      <c r="S3779" s="10">
        <v>1.6538584666855611E-4</v>
      </c>
      <c r="T3779" s="10">
        <v>1.7933263536396238E-4</v>
      </c>
      <c r="U3779" s="10">
        <v>1.0014999999999999E-4</v>
      </c>
      <c r="V3779" s="25"/>
      <c r="W3779" s="25"/>
      <c r="X3779" s="25"/>
      <c r="Y3779" s="25"/>
      <c r="Z3779" s="25"/>
      <c r="AA3779" s="25"/>
    </row>
    <row r="3780" spans="1:27" x14ac:dyDescent="0.35">
      <c r="A3780" s="5">
        <v>3776</v>
      </c>
      <c r="B3780" s="5">
        <v>158</v>
      </c>
      <c r="C3780" s="5">
        <v>6</v>
      </c>
      <c r="D3780" s="25">
        <v>1.1415000000000001E-4</v>
      </c>
      <c r="E3780" s="25">
        <v>1.0573000000000001E-4</v>
      </c>
      <c r="F3780" s="25">
        <v>9.6830000000000006E-5</v>
      </c>
      <c r="G3780" s="25">
        <v>1.6448999999999999E-4</v>
      </c>
      <c r="H3780" s="25">
        <v>1.9568E-4</v>
      </c>
      <c r="I3780" s="9">
        <v>1.1182E-4</v>
      </c>
      <c r="J3780" s="9">
        <v>1.2155E-4</v>
      </c>
      <c r="K3780" s="9">
        <v>5.9339999999999998E-5</v>
      </c>
      <c r="L3780" s="9">
        <v>9.6119999999999995E-5</v>
      </c>
      <c r="M3780" s="9">
        <v>8.3440000000000001E-5</v>
      </c>
      <c r="N3780" s="9">
        <v>9.0600000000000007E-5</v>
      </c>
      <c r="O3780" s="9">
        <v>1.9359999999999999E-4</v>
      </c>
      <c r="P3780" s="9">
        <v>1.7557E-4</v>
      </c>
      <c r="Q3780" s="9">
        <v>1.3563E-4</v>
      </c>
      <c r="R3780" s="10">
        <v>3.1230084759121499E-5</v>
      </c>
      <c r="S3780" s="10">
        <v>1.6519747443451802E-4</v>
      </c>
      <c r="T3780" s="10">
        <v>3.5928462458048518E-4</v>
      </c>
      <c r="U3780" s="10">
        <v>1.0014999999999999E-4</v>
      </c>
      <c r="V3780" s="25"/>
      <c r="W3780" s="25"/>
      <c r="X3780" s="25"/>
      <c r="Y3780" s="25"/>
      <c r="Z3780" s="25"/>
      <c r="AA3780" s="25"/>
    </row>
    <row r="3781" spans="1:27" x14ac:dyDescent="0.35">
      <c r="A3781" s="5">
        <v>3777</v>
      </c>
      <c r="B3781" s="5">
        <v>158</v>
      </c>
      <c r="C3781" s="5">
        <v>6</v>
      </c>
      <c r="D3781" s="25">
        <v>1.1416E-4</v>
      </c>
      <c r="E3781" s="25">
        <v>1.0806000000000001E-4</v>
      </c>
      <c r="F3781" s="25">
        <v>9.1139999999999998E-5</v>
      </c>
      <c r="G3781" s="25">
        <v>1.6238E-4</v>
      </c>
      <c r="H3781" s="25">
        <v>1.8940999999999999E-4</v>
      </c>
      <c r="I3781" s="9">
        <v>1.1183000000000001E-4</v>
      </c>
      <c r="J3781" s="9">
        <v>1.2563E-4</v>
      </c>
      <c r="K3781" s="9">
        <v>7.2059999999999998E-5</v>
      </c>
      <c r="L3781" s="9">
        <v>1.7069000000000001E-4</v>
      </c>
      <c r="M3781" s="9">
        <v>1.2260999999999999E-4</v>
      </c>
      <c r="N3781" s="9">
        <v>1.0416000000000001E-4</v>
      </c>
      <c r="O3781" s="9">
        <v>1.895E-4</v>
      </c>
      <c r="P3781" s="9">
        <v>1.9459999999999999E-4</v>
      </c>
      <c r="Q3781" s="9">
        <v>1.7822000000000001E-4</v>
      </c>
      <c r="R3781" s="10">
        <v>1.3612488293119034E-5</v>
      </c>
      <c r="S3781" s="10">
        <v>1.5812715270542804E-4</v>
      </c>
      <c r="T3781" s="10">
        <v>5.0893069651829887E-4</v>
      </c>
      <c r="U3781" s="10">
        <v>1.0014999999999999E-4</v>
      </c>
      <c r="V3781" s="25"/>
      <c r="W3781" s="25"/>
      <c r="X3781" s="25"/>
      <c r="Y3781" s="25"/>
      <c r="Z3781" s="25"/>
      <c r="AA3781" s="25"/>
    </row>
    <row r="3782" spans="1:27" x14ac:dyDescent="0.35">
      <c r="A3782" s="5">
        <v>3778</v>
      </c>
      <c r="B3782" s="5">
        <v>158</v>
      </c>
      <c r="C3782" s="5">
        <v>6</v>
      </c>
      <c r="D3782" s="25">
        <v>1.1415000000000001E-4</v>
      </c>
      <c r="E3782" s="25">
        <v>1.0843E-4</v>
      </c>
      <c r="F3782" s="25">
        <v>1.0509E-4</v>
      </c>
      <c r="G3782" s="25">
        <v>1.5786000000000001E-4</v>
      </c>
      <c r="H3782" s="25">
        <v>1.9735999999999999E-4</v>
      </c>
      <c r="I3782" s="9">
        <v>1.0872E-4</v>
      </c>
      <c r="J3782" s="9">
        <v>1.2588000000000001E-4</v>
      </c>
      <c r="K3782" s="9">
        <v>6.3579999999999998E-5</v>
      </c>
      <c r="L3782" s="9">
        <v>1.8341000000000001E-4</v>
      </c>
      <c r="M3782" s="9">
        <v>1.5845E-4</v>
      </c>
      <c r="N3782" s="9">
        <v>1.2453E-4</v>
      </c>
      <c r="O3782" s="9">
        <v>1.5084000000000001E-4</v>
      </c>
      <c r="P3782" s="9">
        <v>1.7448999999999999E-4</v>
      </c>
      <c r="Q3782" s="9">
        <v>1.8251000000000001E-4</v>
      </c>
      <c r="R3782" s="10">
        <v>1.283711752291069E-5</v>
      </c>
      <c r="S3782" s="10">
        <v>1.4541554156967713E-4</v>
      </c>
      <c r="T3782" s="10">
        <v>5.7288534501967318E-4</v>
      </c>
      <c r="U3782" s="10">
        <v>1.0014999999999999E-4</v>
      </c>
      <c r="V3782" s="25"/>
      <c r="W3782" s="25"/>
      <c r="X3782" s="25"/>
      <c r="Y3782" s="25"/>
      <c r="Z3782" s="25"/>
      <c r="AA3782" s="25"/>
    </row>
    <row r="3783" spans="1:27" x14ac:dyDescent="0.35">
      <c r="A3783" s="5">
        <v>3779</v>
      </c>
      <c r="B3783" s="5">
        <v>158</v>
      </c>
      <c r="C3783" s="5">
        <v>6</v>
      </c>
      <c r="D3783" s="25">
        <v>1.1416E-4</v>
      </c>
      <c r="E3783" s="25">
        <v>1.0775E-4</v>
      </c>
      <c r="F3783" s="25">
        <v>1.0676E-4</v>
      </c>
      <c r="G3783" s="25">
        <v>1.5762E-4</v>
      </c>
      <c r="H3783" s="25">
        <v>1.9523000000000001E-4</v>
      </c>
      <c r="I3783" s="9">
        <v>1.0753E-4</v>
      </c>
      <c r="J3783" s="9">
        <v>1.2653999999999999E-4</v>
      </c>
      <c r="K3783" s="9">
        <v>5.9339999999999998E-5</v>
      </c>
      <c r="L3783" s="9">
        <v>1.5799999999999999E-4</v>
      </c>
      <c r="M3783" s="9">
        <v>1.7259E-4</v>
      </c>
      <c r="N3783" s="9">
        <v>1.4274000000000001E-4</v>
      </c>
      <c r="O3783" s="9">
        <v>1.5117E-4</v>
      </c>
      <c r="P3783" s="9">
        <v>1.7352000000000001E-4</v>
      </c>
      <c r="Q3783" s="9">
        <v>1.8022000000000001E-4</v>
      </c>
      <c r="R3783" s="10">
        <v>1.5911413136995105E-5</v>
      </c>
      <c r="S3783" s="10">
        <v>1.2927955710044183E-4</v>
      </c>
      <c r="T3783" s="10">
        <v>5.7163815301520225E-4</v>
      </c>
      <c r="U3783" s="10">
        <v>1.0014999999999999E-4</v>
      </c>
      <c r="V3783" s="25"/>
      <c r="W3783" s="25"/>
      <c r="X3783" s="25"/>
      <c r="Y3783" s="25"/>
      <c r="Z3783" s="25"/>
      <c r="AA3783" s="25"/>
    </row>
    <row r="3784" spans="1:27" x14ac:dyDescent="0.35">
      <c r="A3784" s="5">
        <v>3780</v>
      </c>
      <c r="B3784" s="5">
        <v>158</v>
      </c>
      <c r="C3784" s="5">
        <v>6</v>
      </c>
      <c r="D3784" s="25">
        <v>1.1415000000000001E-4</v>
      </c>
      <c r="E3784" s="25">
        <v>1.116E-4</v>
      </c>
      <c r="F3784" s="25">
        <v>8.9510000000000002E-5</v>
      </c>
      <c r="G3784" s="25">
        <v>1.6734000000000001E-4</v>
      </c>
      <c r="H3784" s="25">
        <v>1.8788999999999999E-4</v>
      </c>
      <c r="I3784" s="9">
        <v>1.0436E-4</v>
      </c>
      <c r="J3784" s="9">
        <v>1.2569999999999999E-4</v>
      </c>
      <c r="K3784" s="9">
        <v>4.6629999999999999E-5</v>
      </c>
      <c r="L3784" s="9">
        <v>1.5389000000000001E-4</v>
      </c>
      <c r="M3784" s="9">
        <v>1.7532999999999999E-4</v>
      </c>
      <c r="N3784" s="9">
        <v>1.5699E-4</v>
      </c>
      <c r="O3784" s="9">
        <v>1.5241000000000001E-4</v>
      </c>
      <c r="P3784" s="9">
        <v>1.7091E-4</v>
      </c>
      <c r="Q3784" s="9">
        <v>1.7357000000000001E-4</v>
      </c>
      <c r="R3784" s="10">
        <v>1.4936576764753472E-5</v>
      </c>
      <c r="S3784" s="10">
        <v>9.3739663841447163E-5</v>
      </c>
      <c r="T3784" s="10">
        <v>6.9639129065969779E-4</v>
      </c>
      <c r="U3784" s="10">
        <v>1.0014999999999999E-4</v>
      </c>
      <c r="V3784" s="25"/>
      <c r="W3784" s="25"/>
      <c r="X3784" s="25"/>
      <c r="Y3784" s="25"/>
      <c r="Z3784" s="25"/>
      <c r="AA3784" s="25"/>
    </row>
    <row r="3785" spans="1:27" x14ac:dyDescent="0.35">
      <c r="A3785" s="5">
        <v>3781</v>
      </c>
      <c r="B3785" s="5">
        <v>158</v>
      </c>
      <c r="C3785" s="5">
        <v>6</v>
      </c>
      <c r="D3785" s="25">
        <v>1.1416E-4</v>
      </c>
      <c r="E3785" s="25">
        <v>1.1302E-4</v>
      </c>
      <c r="F3785" s="25">
        <v>9.5519999999999993E-5</v>
      </c>
      <c r="G3785" s="25">
        <v>1.6137000000000001E-4</v>
      </c>
      <c r="H3785" s="25">
        <v>1.9382000000000001E-4</v>
      </c>
      <c r="I3785" s="9">
        <v>1.0441E-4</v>
      </c>
      <c r="J3785" s="9">
        <v>1.2694E-4</v>
      </c>
      <c r="K3785" s="9">
        <v>5.2989999999999999E-5</v>
      </c>
      <c r="L3785" s="9">
        <v>1.5288000000000001E-4</v>
      </c>
      <c r="M3785" s="9">
        <v>1.7394E-4</v>
      </c>
      <c r="N3785" s="9">
        <v>1.6636E-4</v>
      </c>
      <c r="O3785" s="9">
        <v>1.4636E-4</v>
      </c>
      <c r="P3785" s="9">
        <v>1.6458E-4</v>
      </c>
      <c r="Q3785" s="9">
        <v>1.6799E-4</v>
      </c>
      <c r="R3785" s="10">
        <v>2.3401099465193923E-5</v>
      </c>
      <c r="S3785" s="10">
        <v>8.099594479110476E-5</v>
      </c>
      <c r="T3785" s="10">
        <v>7.1612577094812919E-4</v>
      </c>
      <c r="U3785" s="10">
        <v>1.0014999999999999E-4</v>
      </c>
      <c r="V3785" s="25"/>
      <c r="W3785" s="25"/>
      <c r="X3785" s="25"/>
      <c r="Y3785" s="25"/>
      <c r="Z3785" s="25"/>
      <c r="AA3785" s="25"/>
    </row>
    <row r="3786" spans="1:27" x14ac:dyDescent="0.35">
      <c r="A3786" s="5">
        <v>3782</v>
      </c>
      <c r="B3786" s="5">
        <v>158</v>
      </c>
      <c r="C3786" s="5">
        <v>6</v>
      </c>
      <c r="D3786" s="25">
        <v>1.1415000000000001E-4</v>
      </c>
      <c r="E3786" s="25">
        <v>1.0836999999999999E-4</v>
      </c>
      <c r="F3786" s="25">
        <v>1.0096E-4</v>
      </c>
      <c r="G3786" s="25">
        <v>1.6061999999999999E-4</v>
      </c>
      <c r="H3786" s="25">
        <v>1.9311999999999999E-4</v>
      </c>
      <c r="I3786" s="9">
        <v>1.0645E-4</v>
      </c>
      <c r="J3786" s="9">
        <v>1.2698000000000001E-4</v>
      </c>
      <c r="K3786" s="9">
        <v>3.6029999999999999E-5</v>
      </c>
      <c r="L3786" s="9">
        <v>1.4758999999999999E-4</v>
      </c>
      <c r="M3786" s="9">
        <v>1.7017000000000001E-4</v>
      </c>
      <c r="N3786" s="9">
        <v>1.708E-4</v>
      </c>
      <c r="O3786" s="9">
        <v>1.6056999999999999E-4</v>
      </c>
      <c r="P3786" s="9">
        <v>1.6945E-4</v>
      </c>
      <c r="Q3786" s="9">
        <v>1.6139E-4</v>
      </c>
      <c r="R3786" s="10">
        <v>3.3494745482895577E-5</v>
      </c>
      <c r="S3786" s="10">
        <v>6.4086223658212308E-5</v>
      </c>
      <c r="T3786" s="10">
        <v>6.9451626050331635E-4</v>
      </c>
      <c r="U3786" s="10">
        <v>1.0014999999999999E-4</v>
      </c>
      <c r="V3786" s="25"/>
      <c r="W3786" s="25"/>
      <c r="X3786" s="25"/>
      <c r="Y3786" s="25"/>
      <c r="Z3786" s="25"/>
      <c r="AA3786" s="25"/>
    </row>
    <row r="3787" spans="1:27" x14ac:dyDescent="0.35">
      <c r="A3787" s="5">
        <v>3783</v>
      </c>
      <c r="B3787" s="5">
        <v>158</v>
      </c>
      <c r="C3787" s="5">
        <v>6</v>
      </c>
      <c r="D3787" s="25">
        <v>1.1416E-4</v>
      </c>
      <c r="E3787" s="25">
        <v>1.1367E-4</v>
      </c>
      <c r="F3787" s="25">
        <v>9.488E-5</v>
      </c>
      <c r="G3787" s="25">
        <v>1.6017000000000001E-4</v>
      </c>
      <c r="H3787" s="25">
        <v>1.8946999999999999E-4</v>
      </c>
      <c r="I3787" s="9">
        <v>1.0963000000000001E-4</v>
      </c>
      <c r="J3787" s="9">
        <v>1.2773E-4</v>
      </c>
      <c r="K3787" s="9">
        <v>3.18E-5</v>
      </c>
      <c r="L3787" s="9">
        <v>1.5783999999999999E-4</v>
      </c>
      <c r="M3787" s="9">
        <v>1.6885000000000001E-4</v>
      </c>
      <c r="N3787" s="9">
        <v>1.7038000000000001E-4</v>
      </c>
      <c r="O3787" s="9">
        <v>1.6388000000000001E-4</v>
      </c>
      <c r="P3787" s="9">
        <v>1.6667E-4</v>
      </c>
      <c r="Q3787" s="9">
        <v>1.5202999999999999E-4</v>
      </c>
      <c r="R3787" s="10">
        <v>3.8735456949808261E-5</v>
      </c>
      <c r="S3787" s="10">
        <v>5.8129052703895913E-5</v>
      </c>
      <c r="T3787" s="10">
        <v>6.2637885242232167E-4</v>
      </c>
      <c r="U3787" s="10">
        <v>1.0014999999999999E-4</v>
      </c>
      <c r="V3787" s="25"/>
      <c r="W3787" s="25"/>
      <c r="X3787" s="25"/>
      <c r="Y3787" s="25"/>
      <c r="Z3787" s="25"/>
      <c r="AA3787" s="25"/>
    </row>
    <row r="3788" spans="1:27" x14ac:dyDescent="0.35">
      <c r="A3788" s="5">
        <v>3784</v>
      </c>
      <c r="B3788" s="5">
        <v>158</v>
      </c>
      <c r="C3788" s="5">
        <v>6</v>
      </c>
      <c r="D3788" s="25">
        <v>1.1415000000000001E-4</v>
      </c>
      <c r="E3788" s="25">
        <v>1.1344E-4</v>
      </c>
      <c r="F3788" s="25">
        <v>8.8919999999999996E-5</v>
      </c>
      <c r="G3788" s="25">
        <v>1.6661000000000001E-4</v>
      </c>
      <c r="H3788" s="25">
        <v>1.8804999999999999E-4</v>
      </c>
      <c r="I3788" s="9">
        <v>1.1297E-4</v>
      </c>
      <c r="J3788" s="9">
        <v>1.2813000000000001E-4</v>
      </c>
      <c r="K3788" s="9">
        <v>5.5099999999999998E-5</v>
      </c>
      <c r="L3788" s="9">
        <v>1.6228E-4</v>
      </c>
      <c r="M3788" s="9">
        <v>1.6781000000000001E-4</v>
      </c>
      <c r="N3788" s="9">
        <v>1.6631E-4</v>
      </c>
      <c r="O3788" s="9">
        <v>1.7629000000000001E-4</v>
      </c>
      <c r="P3788" s="9">
        <v>1.5254999999999999E-4</v>
      </c>
      <c r="Q3788" s="9">
        <v>1.0983E-4</v>
      </c>
      <c r="R3788" s="10">
        <v>4.2521369122868903E-5</v>
      </c>
      <c r="S3788" s="10">
        <v>6.1401977728958889E-5</v>
      </c>
      <c r="T3788" s="10">
        <v>5.0312743576280141E-4</v>
      </c>
      <c r="U3788" s="10">
        <v>1.0014999999999999E-4</v>
      </c>
      <c r="V3788" s="25"/>
      <c r="W3788" s="25"/>
      <c r="X3788" s="25"/>
      <c r="Y3788" s="25"/>
      <c r="Z3788" s="25"/>
      <c r="AA3788" s="25"/>
    </row>
    <row r="3789" spans="1:27" x14ac:dyDescent="0.35">
      <c r="A3789" s="5">
        <v>3785</v>
      </c>
      <c r="B3789" s="5">
        <v>158</v>
      </c>
      <c r="C3789" s="5">
        <v>6</v>
      </c>
      <c r="D3789" s="25">
        <v>1.1416E-4</v>
      </c>
      <c r="E3789" s="25">
        <v>1.0851E-4</v>
      </c>
      <c r="F3789" s="25">
        <v>9.2559999999999995E-5</v>
      </c>
      <c r="G3789" s="25">
        <v>1.6416E-4</v>
      </c>
      <c r="H3789" s="25">
        <v>1.9437999999999999E-4</v>
      </c>
      <c r="I3789" s="9">
        <v>1.1584E-4</v>
      </c>
      <c r="J3789" s="9">
        <v>1.2779999999999999E-4</v>
      </c>
      <c r="K3789" s="9">
        <v>6.3579999999999998E-5</v>
      </c>
      <c r="L3789" s="9">
        <v>1.7304000000000001E-4</v>
      </c>
      <c r="M3789" s="9">
        <v>1.6213999999999999E-4</v>
      </c>
      <c r="N3789" s="9">
        <v>1.5253E-4</v>
      </c>
      <c r="O3789" s="9">
        <v>1.8998999999999999E-4</v>
      </c>
      <c r="P3789" s="9">
        <v>1.5901000000000001E-4</v>
      </c>
      <c r="Q3789" s="9">
        <v>1.0696000000000001E-4</v>
      </c>
      <c r="R3789" s="10">
        <v>5.3215048163855145E-5</v>
      </c>
      <c r="S3789" s="10">
        <v>6.4931083738870973E-5</v>
      </c>
      <c r="T3789" s="10">
        <v>3.4246874326850264E-4</v>
      </c>
      <c r="U3789" s="10">
        <v>1.0014999999999999E-4</v>
      </c>
      <c r="V3789" s="25"/>
      <c r="W3789" s="25"/>
      <c r="X3789" s="25"/>
      <c r="Y3789" s="25"/>
      <c r="Z3789" s="25"/>
      <c r="AA3789" s="25"/>
    </row>
    <row r="3790" spans="1:27" x14ac:dyDescent="0.35">
      <c r="A3790" s="5">
        <v>3786</v>
      </c>
      <c r="B3790" s="5">
        <v>158</v>
      </c>
      <c r="C3790" s="5">
        <v>6</v>
      </c>
      <c r="D3790" s="25">
        <v>1.1415000000000001E-4</v>
      </c>
      <c r="E3790" s="25">
        <v>1.0802999999999999E-4</v>
      </c>
      <c r="F3790" s="25">
        <v>1.0784E-4</v>
      </c>
      <c r="G3790" s="25">
        <v>1.5752999999999999E-4</v>
      </c>
      <c r="H3790" s="25">
        <v>1.8859000000000001E-4</v>
      </c>
      <c r="I3790" s="9">
        <v>1.1912E-4</v>
      </c>
      <c r="J3790" s="9">
        <v>1.2324999999999999E-4</v>
      </c>
      <c r="K3790" s="9">
        <v>6.7819999999999998E-5</v>
      </c>
      <c r="L3790" s="9">
        <v>1.8604E-4</v>
      </c>
      <c r="M3790" s="9">
        <v>1.5945E-4</v>
      </c>
      <c r="N3790" s="9">
        <v>1.3910999999999999E-4</v>
      </c>
      <c r="O3790" s="9">
        <v>1.8232E-4</v>
      </c>
      <c r="P3790" s="9">
        <v>1.5977999999999999E-4</v>
      </c>
      <c r="Q3790" s="9">
        <v>1.1722000000000001E-4</v>
      </c>
      <c r="R3790" s="10">
        <v>7.284634275633357E-5</v>
      </c>
      <c r="S3790" s="10">
        <v>5.859549452369799E-5</v>
      </c>
      <c r="T3790" s="10">
        <v>1.5926726740087533E-4</v>
      </c>
      <c r="U3790" s="10">
        <v>1.0014999999999999E-4</v>
      </c>
      <c r="V3790" s="25"/>
      <c r="W3790" s="25"/>
      <c r="X3790" s="25"/>
      <c r="Y3790" s="25"/>
      <c r="Z3790" s="25"/>
      <c r="AA3790" s="25"/>
    </row>
    <row r="3791" spans="1:27" x14ac:dyDescent="0.35">
      <c r="A3791" s="5">
        <v>3787</v>
      </c>
      <c r="B3791" s="5">
        <v>158</v>
      </c>
      <c r="C3791" s="5">
        <v>6</v>
      </c>
      <c r="D3791" s="25">
        <v>1.1416E-4</v>
      </c>
      <c r="E3791" s="25">
        <v>1.0507E-4</v>
      </c>
      <c r="F3791" s="25">
        <v>9.7029999999999998E-5</v>
      </c>
      <c r="G3791" s="25">
        <v>1.0853000000000001E-4</v>
      </c>
      <c r="H3791" s="25">
        <v>1.2787000000000001E-4</v>
      </c>
      <c r="I3791" s="9">
        <v>1.1907E-4</v>
      </c>
      <c r="J3791" s="9">
        <v>1.206E-4</v>
      </c>
      <c r="K3791" s="9">
        <v>8.4779999999999998E-5</v>
      </c>
      <c r="L3791" s="9">
        <v>1.828E-4</v>
      </c>
      <c r="M3791" s="9">
        <v>1.5904E-4</v>
      </c>
      <c r="N3791" s="9">
        <v>1.2990000000000001E-4</v>
      </c>
      <c r="O3791" s="9">
        <v>1.4908E-4</v>
      </c>
      <c r="P3791" s="9">
        <v>1.3579E-4</v>
      </c>
      <c r="Q3791" s="9">
        <v>1.0778E-4</v>
      </c>
      <c r="R3791" s="10">
        <v>9.2596226611181391E-5</v>
      </c>
      <c r="S3791" s="10">
        <v>5.139156635351691E-5</v>
      </c>
      <c r="T3791" s="10">
        <v>3.1230705907874605E-5</v>
      </c>
      <c r="U3791" s="10">
        <v>1.0014999999999999E-4</v>
      </c>
      <c r="V3791" s="25"/>
      <c r="W3791" s="25"/>
      <c r="X3791" s="25"/>
      <c r="Y3791" s="25"/>
      <c r="Z3791" s="25"/>
      <c r="AA3791" s="25"/>
    </row>
    <row r="3792" spans="1:27" x14ac:dyDescent="0.35">
      <c r="A3792" s="5">
        <v>3788</v>
      </c>
      <c r="B3792" s="5">
        <v>158</v>
      </c>
      <c r="C3792" s="5">
        <v>6</v>
      </c>
      <c r="D3792" s="25">
        <v>1.1415000000000001E-4</v>
      </c>
      <c r="E3792" s="25">
        <v>1.1171E-4</v>
      </c>
      <c r="F3792" s="25">
        <v>8.8369999999999996E-5</v>
      </c>
      <c r="G3792" s="25">
        <v>1.0944E-4</v>
      </c>
      <c r="H3792" s="25">
        <v>1.3857999999999999E-4</v>
      </c>
      <c r="I3792" s="9">
        <v>1.1621E-4</v>
      </c>
      <c r="J3792" s="9">
        <v>1.1797E-4</v>
      </c>
      <c r="K3792" s="9">
        <v>1.1232E-4</v>
      </c>
      <c r="L3792" s="9">
        <v>1.5665000000000001E-4</v>
      </c>
      <c r="M3792" s="9">
        <v>1.5071999999999999E-4</v>
      </c>
      <c r="N3792" s="9">
        <v>1.2093E-4</v>
      </c>
      <c r="O3792" s="9">
        <v>1.1712E-4</v>
      </c>
      <c r="P3792" s="9">
        <v>1.141E-4</v>
      </c>
      <c r="Q3792" s="9">
        <v>1.0122E-4</v>
      </c>
      <c r="R3792" s="10">
        <v>9.8720226866400588E-5</v>
      </c>
      <c r="S3792" s="10">
        <v>4.6836564402904984E-5</v>
      </c>
      <c r="T3792" s="10">
        <v>9.8417872461653189E-6</v>
      </c>
      <c r="U3792" s="10">
        <v>1.0014999999999999E-4</v>
      </c>
      <c r="V3792" s="25"/>
      <c r="W3792" s="25"/>
      <c r="X3792" s="25"/>
      <c r="Y3792" s="25"/>
      <c r="Z3792" s="25"/>
      <c r="AA3792" s="25"/>
    </row>
    <row r="3793" spans="1:27" x14ac:dyDescent="0.35">
      <c r="A3793" s="5">
        <v>3789</v>
      </c>
      <c r="B3793" s="5">
        <v>158</v>
      </c>
      <c r="C3793" s="5">
        <v>6</v>
      </c>
      <c r="D3793" s="25">
        <v>1.1416E-4</v>
      </c>
      <c r="E3793" s="25">
        <v>1.1244E-4</v>
      </c>
      <c r="F3793" s="25">
        <v>9.5500000000000004E-5</v>
      </c>
      <c r="G3793" s="25">
        <v>5.6400000000000002E-5</v>
      </c>
      <c r="H3793" s="25">
        <v>7.2760000000000001E-5</v>
      </c>
      <c r="I3793" s="9">
        <v>1.1353000000000001E-4</v>
      </c>
      <c r="J3793" s="9">
        <v>1.147E-4</v>
      </c>
      <c r="K3793" s="9">
        <v>1.2292E-4</v>
      </c>
      <c r="L3793" s="9">
        <v>1.2663E-4</v>
      </c>
      <c r="M3793" s="9">
        <v>1.3521E-4</v>
      </c>
      <c r="N3793" s="9">
        <v>1.1311000000000001E-4</v>
      </c>
      <c r="O3793" s="9">
        <v>8.1030000000000002E-5</v>
      </c>
      <c r="P3793" s="9">
        <v>8.7150000000000004E-5</v>
      </c>
      <c r="Q3793" s="9">
        <v>8.9170000000000002E-5</v>
      </c>
      <c r="R3793" s="10">
        <v>1.0968070378800739E-4</v>
      </c>
      <c r="S3793" s="10">
        <v>4.7272734756215964E-5</v>
      </c>
      <c r="T3793" s="10">
        <v>0</v>
      </c>
      <c r="U3793" s="10">
        <v>1.0014999999999999E-4</v>
      </c>
      <c r="V3793" s="25"/>
      <c r="W3793" s="25"/>
      <c r="X3793" s="25"/>
      <c r="Y3793" s="25"/>
      <c r="Z3793" s="25"/>
      <c r="AA3793" s="25"/>
    </row>
    <row r="3794" spans="1:27" x14ac:dyDescent="0.35">
      <c r="A3794" s="5">
        <v>3790</v>
      </c>
      <c r="B3794" s="5">
        <v>158</v>
      </c>
      <c r="C3794" s="5">
        <v>6</v>
      </c>
      <c r="D3794" s="25">
        <v>1.1415000000000001E-4</v>
      </c>
      <c r="E3794" s="25">
        <v>1.1349999999999999E-4</v>
      </c>
      <c r="F3794" s="25">
        <v>1.0444E-4</v>
      </c>
      <c r="G3794" s="25">
        <v>5.9620000000000002E-5</v>
      </c>
      <c r="H3794" s="25">
        <v>6.2550000000000003E-5</v>
      </c>
      <c r="I3794" s="9">
        <v>1.1503E-4</v>
      </c>
      <c r="J3794" s="9">
        <v>1.1367E-4</v>
      </c>
      <c r="K3794" s="9">
        <v>1.2292999999999999E-4</v>
      </c>
      <c r="L3794" s="9">
        <v>9.187E-5</v>
      </c>
      <c r="M3794" s="9">
        <v>1.1391E-4</v>
      </c>
      <c r="N3794" s="9">
        <v>1.0571E-4</v>
      </c>
      <c r="O3794" s="9">
        <v>8.2349999999999996E-5</v>
      </c>
      <c r="P3794" s="9">
        <v>8.7410000000000005E-5</v>
      </c>
      <c r="Q3794" s="9">
        <v>8.8059999999999994E-5</v>
      </c>
      <c r="R3794" s="10">
        <v>1.1953998821610196E-4</v>
      </c>
      <c r="S3794" s="10">
        <v>5.1301636421014584E-5</v>
      </c>
      <c r="T3794" s="10">
        <v>0</v>
      </c>
      <c r="U3794" s="10">
        <v>1.0014999999999999E-4</v>
      </c>
      <c r="V3794" s="25"/>
      <c r="W3794" s="25"/>
      <c r="X3794" s="25"/>
      <c r="Y3794" s="25"/>
      <c r="Z3794" s="25"/>
      <c r="AA3794" s="25"/>
    </row>
    <row r="3795" spans="1:27" x14ac:dyDescent="0.35">
      <c r="A3795" s="5">
        <v>3791</v>
      </c>
      <c r="B3795" s="5">
        <v>158</v>
      </c>
      <c r="C3795" s="5">
        <v>6</v>
      </c>
      <c r="D3795" s="25">
        <v>1.1416E-4</v>
      </c>
      <c r="E3795" s="25">
        <v>1.0823E-4</v>
      </c>
      <c r="F3795" s="25">
        <v>9.1700000000000006E-5</v>
      </c>
      <c r="G3795" s="25">
        <v>6.2810000000000003E-5</v>
      </c>
      <c r="H3795" s="25">
        <v>6.7440000000000005E-5</v>
      </c>
      <c r="I3795" s="9">
        <v>1.0917E-4</v>
      </c>
      <c r="J3795" s="9">
        <v>1.0882000000000001E-4</v>
      </c>
      <c r="K3795" s="9">
        <v>1.2716E-4</v>
      </c>
      <c r="L3795" s="9">
        <v>8.5220000000000001E-5</v>
      </c>
      <c r="M3795" s="9">
        <v>9.9149999999999998E-5</v>
      </c>
      <c r="N3795" s="9">
        <v>9.9870000000000004E-5</v>
      </c>
      <c r="O3795" s="9">
        <v>7.462E-5</v>
      </c>
      <c r="P3795" s="9">
        <v>7.2360000000000005E-5</v>
      </c>
      <c r="Q3795" s="9">
        <v>6.7100000000000005E-5</v>
      </c>
      <c r="R3795" s="10">
        <v>1.1822309386240772E-4</v>
      </c>
      <c r="S3795" s="10">
        <v>5.5714811589398959E-5</v>
      </c>
      <c r="T3795" s="10">
        <v>0</v>
      </c>
      <c r="U3795" s="10">
        <v>1.0014999999999999E-4</v>
      </c>
      <c r="V3795" s="25"/>
      <c r="W3795" s="25"/>
      <c r="X3795" s="25"/>
      <c r="Y3795" s="25"/>
      <c r="Z3795" s="25"/>
      <c r="AA3795" s="25"/>
    </row>
    <row r="3796" spans="1:27" x14ac:dyDescent="0.35">
      <c r="A3796" s="5">
        <v>3792</v>
      </c>
      <c r="B3796" s="5">
        <v>158</v>
      </c>
      <c r="C3796" s="5">
        <v>6</v>
      </c>
      <c r="D3796" s="25">
        <v>1.1415000000000001E-4</v>
      </c>
      <c r="E3796" s="25">
        <v>1.1294999999999999E-4</v>
      </c>
      <c r="F3796" s="25">
        <v>1.0419E-4</v>
      </c>
      <c r="G3796" s="25">
        <v>5.342E-5</v>
      </c>
      <c r="H3796" s="25">
        <v>7.4259999999999997E-5</v>
      </c>
      <c r="I3796" s="9">
        <v>1.0049E-4</v>
      </c>
      <c r="J3796" s="9">
        <v>1.0101E-4</v>
      </c>
      <c r="K3796" s="9">
        <v>1.6318999999999999E-4</v>
      </c>
      <c r="L3796" s="9">
        <v>7.695E-5</v>
      </c>
      <c r="M3796" s="9">
        <v>8.6249999999999996E-5</v>
      </c>
      <c r="N3796" s="9">
        <v>9.0660000000000003E-5</v>
      </c>
      <c r="O3796" s="9">
        <v>6.2169999999999996E-5</v>
      </c>
      <c r="P3796" s="9">
        <v>6.1309999999999994E-5</v>
      </c>
      <c r="Q3796" s="9">
        <v>5.948E-5</v>
      </c>
      <c r="R3796" s="10">
        <v>1.147780449670904E-4</v>
      </c>
      <c r="S3796" s="10">
        <v>6.0554198806217524E-5</v>
      </c>
      <c r="T3796" s="10">
        <v>0</v>
      </c>
      <c r="U3796" s="10">
        <v>1.0014999999999999E-4</v>
      </c>
      <c r="V3796" s="25"/>
      <c r="W3796" s="25"/>
      <c r="X3796" s="25"/>
      <c r="Y3796" s="25"/>
      <c r="Z3796" s="25"/>
      <c r="AA3796" s="25"/>
    </row>
    <row r="3797" spans="1:27" x14ac:dyDescent="0.35">
      <c r="A3797" s="5">
        <v>3793</v>
      </c>
      <c r="B3797" s="5">
        <v>159</v>
      </c>
      <c r="C3797" s="5">
        <v>6</v>
      </c>
      <c r="D3797" s="25">
        <v>1.1416E-4</v>
      </c>
      <c r="E3797" s="25">
        <v>1.1272E-4</v>
      </c>
      <c r="F3797" s="25">
        <v>1.0678E-4</v>
      </c>
      <c r="G3797" s="25">
        <v>5.393E-5</v>
      </c>
      <c r="H3797" s="25">
        <v>6.4449999999999994E-5</v>
      </c>
      <c r="I3797" s="9">
        <v>9.6360000000000006E-5</v>
      </c>
      <c r="J3797" s="9">
        <v>9.5649999999999994E-5</v>
      </c>
      <c r="K3797" s="9">
        <v>1.6318999999999999E-4</v>
      </c>
      <c r="L3797" s="9">
        <v>6.5430000000000002E-5</v>
      </c>
      <c r="M3797" s="9">
        <v>7.4309999999999998E-5</v>
      </c>
      <c r="N3797" s="9">
        <v>8.1370000000000002E-5</v>
      </c>
      <c r="O3797" s="9">
        <v>5.4230000000000001E-5</v>
      </c>
      <c r="P3797" s="9">
        <v>5.3650000000000003E-5</v>
      </c>
      <c r="Q3797" s="9">
        <v>5.3229999999999997E-5</v>
      </c>
      <c r="R3797" s="10">
        <v>1.1059758469135651E-4</v>
      </c>
      <c r="S3797" s="10">
        <v>5.615644196802054E-5</v>
      </c>
      <c r="T3797" s="10">
        <v>0</v>
      </c>
      <c r="U3797" s="10">
        <v>9.9099999999999996E-5</v>
      </c>
      <c r="V3797" s="25"/>
      <c r="W3797" s="25"/>
      <c r="X3797" s="25"/>
      <c r="Y3797" s="25"/>
      <c r="Z3797" s="25"/>
      <c r="AA3797" s="25"/>
    </row>
    <row r="3798" spans="1:27" x14ac:dyDescent="0.35">
      <c r="A3798" s="5">
        <v>3794</v>
      </c>
      <c r="B3798" s="5">
        <v>159</v>
      </c>
      <c r="C3798" s="5">
        <v>6</v>
      </c>
      <c r="D3798" s="25">
        <v>1.1415000000000001E-4</v>
      </c>
      <c r="E3798" s="25">
        <v>1.226E-4</v>
      </c>
      <c r="F3798" s="25">
        <v>1.1476000000000001E-4</v>
      </c>
      <c r="G3798" s="25">
        <v>5.4679999999999998E-5</v>
      </c>
      <c r="H3798" s="25">
        <v>7.1290000000000004E-5</v>
      </c>
      <c r="I3798" s="9">
        <v>9.2940000000000001E-5</v>
      </c>
      <c r="J3798" s="9">
        <v>9.2899999999999995E-5</v>
      </c>
      <c r="K3798" s="9">
        <v>1.8014999999999999E-4</v>
      </c>
      <c r="L3798" s="9">
        <v>5.7009999999999998E-5</v>
      </c>
      <c r="M3798" s="9">
        <v>6.4049999999999998E-5</v>
      </c>
      <c r="N3798" s="9">
        <v>7.2219999999999996E-5</v>
      </c>
      <c r="O3798" s="9">
        <v>2.4029999999999999E-5</v>
      </c>
      <c r="P3798" s="9">
        <v>3.7599999999999999E-5</v>
      </c>
      <c r="Q3798" s="9">
        <v>5.596E-5</v>
      </c>
      <c r="R3798" s="10">
        <v>1.0895150019280964E-4</v>
      </c>
      <c r="S3798" s="10">
        <v>5.7694052821032E-5</v>
      </c>
      <c r="T3798" s="10">
        <v>0</v>
      </c>
      <c r="U3798" s="10">
        <v>9.9099999999999996E-5</v>
      </c>
      <c r="V3798" s="25"/>
      <c r="W3798" s="25"/>
      <c r="X3798" s="25"/>
      <c r="Y3798" s="25"/>
      <c r="Z3798" s="25"/>
      <c r="AA3798" s="25"/>
    </row>
    <row r="3799" spans="1:27" x14ac:dyDescent="0.35">
      <c r="A3799" s="5">
        <v>3795</v>
      </c>
      <c r="B3799" s="5">
        <v>159</v>
      </c>
      <c r="C3799" s="5">
        <v>6</v>
      </c>
      <c r="D3799" s="25">
        <v>1.1416E-4</v>
      </c>
      <c r="E3799" s="25">
        <v>1.1438999999999999E-4</v>
      </c>
      <c r="F3799" s="25">
        <v>1.2752999999999999E-4</v>
      </c>
      <c r="G3799" s="25">
        <v>6.3529999999999997E-5</v>
      </c>
      <c r="H3799" s="25">
        <v>7.1589999999999997E-5</v>
      </c>
      <c r="I3799" s="9">
        <v>9.3250000000000003E-5</v>
      </c>
      <c r="J3799" s="9">
        <v>9.1650000000000005E-5</v>
      </c>
      <c r="K3799" s="9">
        <v>2.0133999999999999E-4</v>
      </c>
      <c r="L3799" s="9">
        <v>3.1479999999999997E-5</v>
      </c>
      <c r="M3799" s="9">
        <v>5.2179999999999998E-5</v>
      </c>
      <c r="N3799" s="9">
        <v>6.5560000000000002E-5</v>
      </c>
      <c r="O3799" s="9">
        <v>1.948E-5</v>
      </c>
      <c r="P3799" s="9">
        <v>3.7809999999999999E-5</v>
      </c>
      <c r="Q3799" s="9">
        <v>6.1619999999999996E-5</v>
      </c>
      <c r="R3799" s="10">
        <v>1.0539457993628616E-4</v>
      </c>
      <c r="S3799" s="10">
        <v>6.0610716562001213E-5</v>
      </c>
      <c r="T3799" s="10">
        <v>0</v>
      </c>
      <c r="U3799" s="10">
        <v>9.9099999999999996E-5</v>
      </c>
      <c r="V3799" s="25"/>
      <c r="W3799" s="25"/>
      <c r="X3799" s="25"/>
      <c r="Y3799" s="25"/>
      <c r="Z3799" s="25"/>
      <c r="AA3799" s="25"/>
    </row>
    <row r="3800" spans="1:27" x14ac:dyDescent="0.35">
      <c r="A3800" s="5">
        <v>3796</v>
      </c>
      <c r="B3800" s="5">
        <v>159</v>
      </c>
      <c r="C3800" s="5">
        <v>6</v>
      </c>
      <c r="D3800" s="25">
        <v>1.1415000000000001E-4</v>
      </c>
      <c r="E3800" s="25">
        <v>1.1349E-4</v>
      </c>
      <c r="F3800" s="25">
        <v>1.2839000000000001E-4</v>
      </c>
      <c r="G3800" s="25">
        <v>6.279E-5</v>
      </c>
      <c r="H3800" s="25">
        <v>7.3759999999999999E-5</v>
      </c>
      <c r="I3800" s="9">
        <v>9.3330000000000003E-5</v>
      </c>
      <c r="J3800" s="9">
        <v>9.1849999999999996E-5</v>
      </c>
      <c r="K3800" s="9">
        <v>2.0981999999999999E-4</v>
      </c>
      <c r="L3800" s="9">
        <v>2.2750000000000001E-5</v>
      </c>
      <c r="M3800" s="9">
        <v>4.4159999999999997E-5</v>
      </c>
      <c r="N3800" s="9">
        <v>6.1959999999999996E-5</v>
      </c>
      <c r="O3800" s="9">
        <v>1.933E-5</v>
      </c>
      <c r="P3800" s="9">
        <v>4.689E-5</v>
      </c>
      <c r="Q3800" s="9">
        <v>7.975E-5</v>
      </c>
      <c r="R3800" s="10">
        <v>1.0492340321398161E-4</v>
      </c>
      <c r="S3800" s="10">
        <v>6.4716528118169363E-5</v>
      </c>
      <c r="T3800" s="10">
        <v>0</v>
      </c>
      <c r="U3800" s="10">
        <v>9.9099999999999996E-5</v>
      </c>
      <c r="V3800" s="25"/>
      <c r="W3800" s="25"/>
      <c r="X3800" s="25"/>
      <c r="Y3800" s="25"/>
      <c r="Z3800" s="25"/>
      <c r="AA3800" s="25"/>
    </row>
    <row r="3801" spans="1:27" x14ac:dyDescent="0.35">
      <c r="A3801" s="5">
        <v>3797</v>
      </c>
      <c r="B3801" s="5">
        <v>159</v>
      </c>
      <c r="C3801" s="5">
        <v>6</v>
      </c>
      <c r="D3801" s="25">
        <v>1.1416E-4</v>
      </c>
      <c r="E3801" s="25">
        <v>1.1786999999999999E-4</v>
      </c>
      <c r="F3801" s="25">
        <v>1.2281E-4</v>
      </c>
      <c r="G3801" s="25">
        <v>6.3399999999999996E-5</v>
      </c>
      <c r="H3801" s="25">
        <v>6.8100000000000002E-5</v>
      </c>
      <c r="I3801" s="9">
        <v>9.4909999999999998E-5</v>
      </c>
      <c r="J3801" s="9">
        <v>9.3029999999999995E-5</v>
      </c>
      <c r="K3801" s="9">
        <v>1.5259E-4</v>
      </c>
      <c r="L3801" s="9">
        <v>2.0279999999999999E-5</v>
      </c>
      <c r="M3801" s="9">
        <v>4.3359999999999998E-5</v>
      </c>
      <c r="N3801" s="9">
        <v>6.4330000000000002E-5</v>
      </c>
      <c r="O3801" s="9">
        <v>2.402E-5</v>
      </c>
      <c r="P3801" s="9">
        <v>5.6369999999999997E-5</v>
      </c>
      <c r="Q3801" s="9">
        <v>9.3209999999999997E-5</v>
      </c>
      <c r="R3801" s="10">
        <v>1.0285379613094256E-4</v>
      </c>
      <c r="S3801" s="10">
        <v>6.4825453581172489E-5</v>
      </c>
      <c r="T3801" s="10">
        <v>1.3897282335533441E-5</v>
      </c>
      <c r="U3801" s="10">
        <v>9.9099999999999996E-5</v>
      </c>
      <c r="V3801" s="25"/>
      <c r="W3801" s="25"/>
      <c r="X3801" s="25"/>
      <c r="Y3801" s="25"/>
      <c r="Z3801" s="25"/>
      <c r="AA3801" s="25"/>
    </row>
    <row r="3802" spans="1:27" x14ac:dyDescent="0.35">
      <c r="A3802" s="5">
        <v>3798</v>
      </c>
      <c r="B3802" s="5">
        <v>159</v>
      </c>
      <c r="C3802" s="5">
        <v>6</v>
      </c>
      <c r="D3802" s="25">
        <v>1.1415000000000001E-4</v>
      </c>
      <c r="E3802" s="25">
        <v>1.1442000000000001E-4</v>
      </c>
      <c r="F3802" s="25">
        <v>1.0749E-4</v>
      </c>
      <c r="G3802" s="25">
        <v>1.0912999999999999E-4</v>
      </c>
      <c r="H3802" s="25">
        <v>1.3517E-4</v>
      </c>
      <c r="I3802" s="9">
        <v>1.0336999999999999E-4</v>
      </c>
      <c r="J3802" s="9">
        <v>1.0062E-4</v>
      </c>
      <c r="K3802" s="9">
        <v>9.3250000000000003E-5</v>
      </c>
      <c r="L3802" s="9">
        <v>2.3090000000000001E-5</v>
      </c>
      <c r="M3802" s="9">
        <v>4.8180000000000003E-5</v>
      </c>
      <c r="N3802" s="9">
        <v>7.0770000000000002E-5</v>
      </c>
      <c r="O3802" s="9">
        <v>4.7559999999999999E-5</v>
      </c>
      <c r="P3802" s="9">
        <v>7.695E-5</v>
      </c>
      <c r="Q3802" s="9">
        <v>1.0715E-4</v>
      </c>
      <c r="R3802" s="10">
        <v>9.858035706422989E-5</v>
      </c>
      <c r="S3802" s="10">
        <v>6.9813388224480657E-5</v>
      </c>
      <c r="T3802" s="10">
        <v>3.8408423158095175E-5</v>
      </c>
      <c r="U3802" s="10">
        <v>9.9099999999999996E-5</v>
      </c>
      <c r="V3802" s="25"/>
      <c r="W3802" s="25"/>
      <c r="X3802" s="25"/>
      <c r="Y3802" s="25"/>
      <c r="Z3802" s="25"/>
      <c r="AA3802" s="25"/>
    </row>
    <row r="3803" spans="1:27" x14ac:dyDescent="0.35">
      <c r="A3803" s="5">
        <v>3799</v>
      </c>
      <c r="B3803" s="5">
        <v>159</v>
      </c>
      <c r="C3803" s="5">
        <v>6</v>
      </c>
      <c r="D3803" s="25">
        <v>1.1416E-4</v>
      </c>
      <c r="E3803" s="25">
        <v>1.1757E-4</v>
      </c>
      <c r="F3803" s="25">
        <v>1.2760000000000001E-4</v>
      </c>
      <c r="G3803" s="25">
        <v>1.1404E-4</v>
      </c>
      <c r="H3803" s="25">
        <v>1.2784999999999999E-4</v>
      </c>
      <c r="I3803" s="9">
        <v>1.1341999999999999E-4</v>
      </c>
      <c r="J3803" s="9">
        <v>1.1472999999999999E-4</v>
      </c>
      <c r="K3803" s="9">
        <v>7.2059999999999998E-5</v>
      </c>
      <c r="L3803" s="9">
        <v>4.206E-5</v>
      </c>
      <c r="M3803" s="9">
        <v>5.9899999999999999E-5</v>
      </c>
      <c r="N3803" s="9">
        <v>8.0530000000000003E-5</v>
      </c>
      <c r="O3803" s="9">
        <v>1.1331E-4</v>
      </c>
      <c r="P3803" s="9">
        <v>1.1767E-4</v>
      </c>
      <c r="Q3803" s="9">
        <v>1.1272E-4</v>
      </c>
      <c r="R3803" s="10">
        <v>9.5840030570333283E-5</v>
      </c>
      <c r="S3803" s="10">
        <v>7.2676060087342322E-5</v>
      </c>
      <c r="T3803" s="10">
        <v>1.8033378268727922E-4</v>
      </c>
      <c r="U3803" s="10">
        <v>9.9099999999999996E-5</v>
      </c>
      <c r="V3803" s="25"/>
      <c r="W3803" s="25"/>
      <c r="X3803" s="25"/>
      <c r="Y3803" s="25"/>
      <c r="Z3803" s="25"/>
      <c r="AA3803" s="25"/>
    </row>
    <row r="3804" spans="1:27" x14ac:dyDescent="0.35">
      <c r="A3804" s="5">
        <v>3800</v>
      </c>
      <c r="B3804" s="5">
        <v>159</v>
      </c>
      <c r="C3804" s="5">
        <v>6</v>
      </c>
      <c r="D3804" s="25">
        <v>1.1415000000000001E-4</v>
      </c>
      <c r="E3804" s="25">
        <v>1.1351E-4</v>
      </c>
      <c r="F3804" s="25">
        <v>1.2381E-4</v>
      </c>
      <c r="G3804" s="25">
        <v>1.5714E-4</v>
      </c>
      <c r="H3804" s="25">
        <v>1.8670000000000001E-4</v>
      </c>
      <c r="I3804" s="9">
        <v>1.1606E-4</v>
      </c>
      <c r="J3804" s="9">
        <v>1.2441000000000001E-4</v>
      </c>
      <c r="K3804" s="9">
        <v>5.5109999999999999E-5</v>
      </c>
      <c r="L3804" s="9">
        <v>9.7100000000000002E-5</v>
      </c>
      <c r="M3804" s="9">
        <v>8.373E-5</v>
      </c>
      <c r="N3804" s="9">
        <v>9.0710000000000004E-5</v>
      </c>
      <c r="O3804" s="9">
        <v>1.9455000000000001E-4</v>
      </c>
      <c r="P3804" s="9">
        <v>1.7641999999999999E-4</v>
      </c>
      <c r="Q3804" s="9">
        <v>1.3629000000000001E-4</v>
      </c>
      <c r="R3804" s="10">
        <v>6.9655754095085092E-5</v>
      </c>
      <c r="S3804" s="10">
        <v>7.8113969141848521E-5</v>
      </c>
      <c r="T3804" s="10">
        <v>3.3494316974492627E-4</v>
      </c>
      <c r="U3804" s="10">
        <v>9.9099999999999996E-5</v>
      </c>
      <c r="V3804" s="25"/>
      <c r="W3804" s="25"/>
      <c r="X3804" s="25"/>
      <c r="Y3804" s="25"/>
      <c r="Z3804" s="25"/>
      <c r="AA3804" s="25"/>
    </row>
    <row r="3805" spans="1:27" x14ac:dyDescent="0.35">
      <c r="A3805" s="5">
        <v>3801</v>
      </c>
      <c r="B3805" s="5">
        <v>159</v>
      </c>
      <c r="C3805" s="5">
        <v>6</v>
      </c>
      <c r="D3805" s="25">
        <v>1.1416E-4</v>
      </c>
      <c r="E3805" s="25">
        <v>1.1408000000000001E-4</v>
      </c>
      <c r="F3805" s="25">
        <v>1.2710999999999999E-4</v>
      </c>
      <c r="G3805" s="25">
        <v>1.5881000000000001E-4</v>
      </c>
      <c r="H3805" s="25">
        <v>1.9442E-4</v>
      </c>
      <c r="I3805" s="9">
        <v>1.1467E-4</v>
      </c>
      <c r="J3805" s="9">
        <v>1.2861E-4</v>
      </c>
      <c r="K3805" s="9">
        <v>2.544E-5</v>
      </c>
      <c r="L3805" s="9">
        <v>1.716E-4</v>
      </c>
      <c r="M3805" s="9">
        <v>1.2326000000000001E-4</v>
      </c>
      <c r="N3805" s="9">
        <v>1.0441E-4</v>
      </c>
      <c r="O3805" s="9">
        <v>1.8631999999999999E-4</v>
      </c>
      <c r="P3805" s="9">
        <v>1.9133E-4</v>
      </c>
      <c r="Q3805" s="9">
        <v>1.7521999999999999E-4</v>
      </c>
      <c r="R3805" s="10">
        <v>9.2030427961273053E-5</v>
      </c>
      <c r="S3805" s="10">
        <v>8.1708066308792805E-5</v>
      </c>
      <c r="T3805" s="10">
        <v>4.6670433865263959E-4</v>
      </c>
      <c r="U3805" s="10">
        <v>9.9099999999999996E-5</v>
      </c>
      <c r="V3805" s="25"/>
      <c r="W3805" s="25"/>
      <c r="X3805" s="25"/>
      <c r="Y3805" s="25"/>
      <c r="Z3805" s="25"/>
      <c r="AA3805" s="25"/>
    </row>
    <row r="3806" spans="1:27" x14ac:dyDescent="0.35">
      <c r="A3806" s="5">
        <v>3802</v>
      </c>
      <c r="B3806" s="5">
        <v>159</v>
      </c>
      <c r="C3806" s="5">
        <v>6</v>
      </c>
      <c r="D3806" s="25">
        <v>1.1415000000000001E-4</v>
      </c>
      <c r="E3806" s="25">
        <v>1.1942000000000001E-4</v>
      </c>
      <c r="F3806" s="25">
        <v>1.0652E-4</v>
      </c>
      <c r="G3806" s="25">
        <v>1.6306E-4</v>
      </c>
      <c r="H3806" s="25">
        <v>1.9853000000000001E-4</v>
      </c>
      <c r="I3806" s="9">
        <v>1.1302E-4</v>
      </c>
      <c r="J3806" s="9">
        <v>1.2899999999999999E-4</v>
      </c>
      <c r="K3806" s="9">
        <v>1.6949999999999999E-5</v>
      </c>
      <c r="L3806" s="9">
        <v>1.8113E-4</v>
      </c>
      <c r="M3806" s="9">
        <v>1.5777E-4</v>
      </c>
      <c r="N3806" s="9">
        <v>1.2411E-4</v>
      </c>
      <c r="O3806" s="9">
        <v>1.5045E-4</v>
      </c>
      <c r="P3806" s="9">
        <v>1.7404000000000001E-4</v>
      </c>
      <c r="Q3806" s="9">
        <v>1.8204000000000001E-4</v>
      </c>
      <c r="R3806" s="10">
        <v>9.3994412955280562E-5</v>
      </c>
      <c r="S3806" s="10">
        <v>8.3874227769920739E-5</v>
      </c>
      <c r="T3806" s="10">
        <v>4.5974721318552272E-4</v>
      </c>
      <c r="U3806" s="10">
        <v>9.9099999999999996E-5</v>
      </c>
      <c r="V3806" s="25"/>
      <c r="W3806" s="25"/>
      <c r="X3806" s="25"/>
      <c r="Y3806" s="25"/>
      <c r="Z3806" s="25"/>
      <c r="AA3806" s="25"/>
    </row>
    <row r="3807" spans="1:27" x14ac:dyDescent="0.35">
      <c r="A3807" s="5">
        <v>3803</v>
      </c>
      <c r="B3807" s="5">
        <v>159</v>
      </c>
      <c r="C3807" s="5">
        <v>6</v>
      </c>
      <c r="D3807" s="25">
        <v>1.1416E-4</v>
      </c>
      <c r="E3807" s="25">
        <v>1.1341E-4</v>
      </c>
      <c r="F3807" s="25">
        <v>1.1211E-4</v>
      </c>
      <c r="G3807" s="25">
        <v>1.5876E-4</v>
      </c>
      <c r="H3807" s="25">
        <v>1.9499E-4</v>
      </c>
      <c r="I3807" s="9">
        <v>1.1124999999999999E-4</v>
      </c>
      <c r="J3807" s="9">
        <v>1.2968999999999999E-4</v>
      </c>
      <c r="K3807" s="9">
        <v>1.484E-5</v>
      </c>
      <c r="L3807" s="9">
        <v>1.5729000000000001E-4</v>
      </c>
      <c r="M3807" s="9">
        <v>1.716E-4</v>
      </c>
      <c r="N3807" s="9">
        <v>1.4223999999999999E-4</v>
      </c>
      <c r="O3807" s="9">
        <v>1.5077999999999999E-4</v>
      </c>
      <c r="P3807" s="9">
        <v>1.7306999999999999E-4</v>
      </c>
      <c r="Q3807" s="9">
        <v>1.7976E-4</v>
      </c>
      <c r="R3807" s="10">
        <v>1.0625404956026909E-4</v>
      </c>
      <c r="S3807" s="10">
        <v>8.2558176027340834E-5</v>
      </c>
      <c r="T3807" s="10">
        <v>4.1272722618703286E-4</v>
      </c>
      <c r="U3807" s="10">
        <v>9.9099999999999996E-5</v>
      </c>
      <c r="V3807" s="25"/>
      <c r="W3807" s="25"/>
      <c r="X3807" s="25"/>
      <c r="Y3807" s="25"/>
      <c r="Z3807" s="25"/>
      <c r="AA3807" s="25"/>
    </row>
    <row r="3808" spans="1:27" x14ac:dyDescent="0.35">
      <c r="A3808" s="5">
        <v>3804</v>
      </c>
      <c r="B3808" s="5">
        <v>159</v>
      </c>
      <c r="C3808" s="5">
        <v>6</v>
      </c>
      <c r="D3808" s="25">
        <v>1.1415000000000001E-4</v>
      </c>
      <c r="E3808" s="25">
        <v>1.2295000000000001E-4</v>
      </c>
      <c r="F3808" s="25">
        <v>1.2876000000000001E-4</v>
      </c>
      <c r="G3808" s="25">
        <v>1.6318999999999999E-4</v>
      </c>
      <c r="H3808" s="25">
        <v>1.9185E-4</v>
      </c>
      <c r="I3808" s="9">
        <v>1.0788E-4</v>
      </c>
      <c r="J3808" s="9">
        <v>1.2913000000000001E-4</v>
      </c>
      <c r="K3808" s="9">
        <v>0</v>
      </c>
      <c r="L3808" s="9">
        <v>1.5338E-4</v>
      </c>
      <c r="M3808" s="9">
        <v>1.7450000000000001E-4</v>
      </c>
      <c r="N3808" s="9">
        <v>1.5642E-4</v>
      </c>
      <c r="O3808" s="9">
        <v>1.5348E-4</v>
      </c>
      <c r="P3808" s="9">
        <v>1.7211E-4</v>
      </c>
      <c r="Q3808" s="9">
        <v>1.7479E-4</v>
      </c>
      <c r="R3808" s="10">
        <v>8.4402376295271008E-5</v>
      </c>
      <c r="S3808" s="10">
        <v>6.0556341878781633E-5</v>
      </c>
      <c r="T3808" s="10">
        <v>5.734877302735334E-4</v>
      </c>
      <c r="U3808" s="10">
        <v>9.9099999999999996E-5</v>
      </c>
      <c r="V3808" s="25"/>
      <c r="W3808" s="25"/>
      <c r="X3808" s="25"/>
      <c r="Y3808" s="25"/>
      <c r="Z3808" s="25"/>
      <c r="AA3808" s="25"/>
    </row>
    <row r="3809" spans="1:27" x14ac:dyDescent="0.35">
      <c r="A3809" s="5">
        <v>3805</v>
      </c>
      <c r="B3809" s="5">
        <v>159</v>
      </c>
      <c r="C3809" s="5">
        <v>6</v>
      </c>
      <c r="D3809" s="25">
        <v>1.1416E-4</v>
      </c>
      <c r="E3809" s="25">
        <v>1.2032E-4</v>
      </c>
      <c r="F3809" s="25">
        <v>1.1294E-4</v>
      </c>
      <c r="G3809" s="25">
        <v>1.6416E-4</v>
      </c>
      <c r="H3809" s="25">
        <v>1.9053000000000001E-4</v>
      </c>
      <c r="I3809" s="9">
        <v>1.0767E-4</v>
      </c>
      <c r="J3809" s="9">
        <v>1.2973999999999999E-4</v>
      </c>
      <c r="K3809" s="9">
        <v>0</v>
      </c>
      <c r="L3809" s="9">
        <v>1.5358E-4</v>
      </c>
      <c r="M3809" s="9">
        <v>1.7391999999999999E-4</v>
      </c>
      <c r="N3809" s="9">
        <v>1.6609E-4</v>
      </c>
      <c r="O3809" s="9">
        <v>1.4643999999999999E-4</v>
      </c>
      <c r="P3809" s="9">
        <v>1.6467000000000001E-4</v>
      </c>
      <c r="Q3809" s="9">
        <v>1.6809E-4</v>
      </c>
      <c r="R3809" s="10">
        <v>9.246280117550102E-5</v>
      </c>
      <c r="S3809" s="10">
        <v>5.9412454292409707E-5</v>
      </c>
      <c r="T3809" s="10">
        <v>3.5082577812839308E-4</v>
      </c>
      <c r="U3809" s="10">
        <v>9.9099999999999996E-5</v>
      </c>
      <c r="V3809" s="25"/>
      <c r="W3809" s="25"/>
      <c r="X3809" s="25"/>
      <c r="Y3809" s="25"/>
      <c r="Z3809" s="25"/>
      <c r="AA3809" s="25"/>
    </row>
    <row r="3810" spans="1:27" x14ac:dyDescent="0.35">
      <c r="A3810" s="5">
        <v>3806</v>
      </c>
      <c r="B3810" s="5">
        <v>159</v>
      </c>
      <c r="C3810" s="5">
        <v>6</v>
      </c>
      <c r="D3810" s="25">
        <v>1.1415000000000001E-4</v>
      </c>
      <c r="E3810" s="25">
        <v>1.2289000000000001E-4</v>
      </c>
      <c r="F3810" s="25">
        <v>1.1687E-4</v>
      </c>
      <c r="G3810" s="25">
        <v>1.6126000000000001E-4</v>
      </c>
      <c r="H3810" s="25">
        <v>1.9348999999999999E-4</v>
      </c>
      <c r="I3810" s="9">
        <v>1.1011E-4</v>
      </c>
      <c r="J3810" s="9">
        <v>1.2934000000000001E-4</v>
      </c>
      <c r="K3810" s="9">
        <v>0</v>
      </c>
      <c r="L3810" s="9">
        <v>1.4778999999999999E-4</v>
      </c>
      <c r="M3810" s="9">
        <v>1.7039E-4</v>
      </c>
      <c r="N3810" s="9">
        <v>1.7061999999999999E-4</v>
      </c>
      <c r="O3810" s="9">
        <v>1.5993999999999999E-4</v>
      </c>
      <c r="P3810" s="9">
        <v>1.6877999999999999E-4</v>
      </c>
      <c r="Q3810" s="9">
        <v>1.6075E-4</v>
      </c>
      <c r="R3810" s="10">
        <v>1.0322805904213253E-4</v>
      </c>
      <c r="S3810" s="10">
        <v>6.6448136673769346E-5</v>
      </c>
      <c r="T3810" s="10">
        <v>4.4662200209085216E-4</v>
      </c>
      <c r="U3810" s="10">
        <v>9.9099999999999996E-5</v>
      </c>
      <c r="V3810" s="25"/>
      <c r="W3810" s="25"/>
      <c r="X3810" s="25"/>
      <c r="Y3810" s="25"/>
      <c r="Z3810" s="25"/>
      <c r="AA3810" s="25"/>
    </row>
    <row r="3811" spans="1:27" x14ac:dyDescent="0.35">
      <c r="A3811" s="5">
        <v>3807</v>
      </c>
      <c r="B3811" s="5">
        <v>159</v>
      </c>
      <c r="C3811" s="5">
        <v>6</v>
      </c>
      <c r="D3811" s="25">
        <v>1.1416E-4</v>
      </c>
      <c r="E3811" s="25">
        <v>1.1557000000000001E-4</v>
      </c>
      <c r="F3811" s="25">
        <v>1.1542E-4</v>
      </c>
      <c r="G3811" s="25">
        <v>1.6721999999999999E-4</v>
      </c>
      <c r="H3811" s="25">
        <v>1.9367000000000001E-4</v>
      </c>
      <c r="I3811" s="9">
        <v>1.1364E-4</v>
      </c>
      <c r="J3811" s="9">
        <v>1.2876000000000001E-4</v>
      </c>
      <c r="K3811" s="9">
        <v>0</v>
      </c>
      <c r="L3811" s="9">
        <v>1.5741E-4</v>
      </c>
      <c r="M3811" s="9">
        <v>1.6877999999999999E-4</v>
      </c>
      <c r="N3811" s="9">
        <v>1.7021000000000001E-4</v>
      </c>
      <c r="O3811" s="9">
        <v>1.6566000000000001E-4</v>
      </c>
      <c r="P3811" s="9">
        <v>1.6849000000000001E-4</v>
      </c>
      <c r="Q3811" s="9">
        <v>1.5368000000000001E-4</v>
      </c>
      <c r="R3811" s="10">
        <v>1.1357168941389055E-4</v>
      </c>
      <c r="S3811" s="10">
        <v>7.5441127555850022E-5</v>
      </c>
      <c r="T3811" s="10">
        <v>5.964801815124195E-4</v>
      </c>
      <c r="U3811" s="10">
        <v>9.9099999999999996E-5</v>
      </c>
      <c r="V3811" s="25"/>
      <c r="W3811" s="25"/>
      <c r="X3811" s="25"/>
      <c r="Y3811" s="25"/>
      <c r="Z3811" s="25"/>
      <c r="AA3811" s="25"/>
    </row>
    <row r="3812" spans="1:27" x14ac:dyDescent="0.35">
      <c r="A3812" s="5">
        <v>3808</v>
      </c>
      <c r="B3812" s="5">
        <v>159</v>
      </c>
      <c r="C3812" s="5">
        <v>6</v>
      </c>
      <c r="D3812" s="25">
        <v>1.1415000000000001E-4</v>
      </c>
      <c r="E3812" s="25">
        <v>1.1632E-4</v>
      </c>
      <c r="F3812" s="25">
        <v>1.192E-4</v>
      </c>
      <c r="G3812" s="25">
        <v>1.6525000000000001E-4</v>
      </c>
      <c r="H3812" s="25">
        <v>1.9495E-4</v>
      </c>
      <c r="I3812" s="9">
        <v>1.1731E-4</v>
      </c>
      <c r="J3812" s="9">
        <v>1.2904E-4</v>
      </c>
      <c r="K3812" s="9">
        <v>0</v>
      </c>
      <c r="L3812" s="9">
        <v>1.6359999999999999E-4</v>
      </c>
      <c r="M3812" s="9">
        <v>1.6834E-4</v>
      </c>
      <c r="N3812" s="9">
        <v>1.6657999999999999E-4</v>
      </c>
      <c r="O3812" s="9">
        <v>1.7662999999999999E-4</v>
      </c>
      <c r="P3812" s="9">
        <v>1.5284000000000001E-4</v>
      </c>
      <c r="Q3812" s="9">
        <v>1.1004E-4</v>
      </c>
      <c r="R3812" s="10">
        <v>1.2565294823354553E-4</v>
      </c>
      <c r="S3812" s="10">
        <v>8.3158631668143565E-5</v>
      </c>
      <c r="T3812" s="10">
        <v>4.8360506295812343E-4</v>
      </c>
      <c r="U3812" s="10">
        <v>9.9099999999999996E-5</v>
      </c>
      <c r="V3812" s="25"/>
      <c r="W3812" s="25"/>
      <c r="X3812" s="25"/>
      <c r="Y3812" s="25"/>
      <c r="Z3812" s="25"/>
      <c r="AA3812" s="25"/>
    </row>
    <row r="3813" spans="1:27" x14ac:dyDescent="0.35">
      <c r="A3813" s="5">
        <v>3809</v>
      </c>
      <c r="B3813" s="5">
        <v>159</v>
      </c>
      <c r="C3813" s="5">
        <v>6</v>
      </c>
      <c r="D3813" s="25">
        <v>1.1416E-4</v>
      </c>
      <c r="E3813" s="25">
        <v>1.1985999999999999E-4</v>
      </c>
      <c r="F3813" s="25">
        <v>1.2386E-4</v>
      </c>
      <c r="G3813" s="25">
        <v>1.6428999999999999E-4</v>
      </c>
      <c r="H3813" s="25">
        <v>1.9347E-4</v>
      </c>
      <c r="I3813" s="9">
        <v>1.219E-4</v>
      </c>
      <c r="J3813" s="9">
        <v>1.2881000000000001E-4</v>
      </c>
      <c r="K3813" s="9">
        <v>0</v>
      </c>
      <c r="L3813" s="9">
        <v>1.7354999999999999E-4</v>
      </c>
      <c r="M3813" s="9">
        <v>1.6275999999999999E-4</v>
      </c>
      <c r="N3813" s="9">
        <v>1.5289000000000001E-4</v>
      </c>
      <c r="O3813" s="9">
        <v>1.9164E-4</v>
      </c>
      <c r="P3813" s="9">
        <v>1.6039E-4</v>
      </c>
      <c r="Q3813" s="9">
        <v>1.0788E-4</v>
      </c>
      <c r="R3813" s="10">
        <v>1.3968830569300241E-4</v>
      </c>
      <c r="S3813" s="10">
        <v>9.003521244272273E-5</v>
      </c>
      <c r="T3813" s="10">
        <v>3.465836284533218E-4</v>
      </c>
      <c r="U3813" s="10">
        <v>9.9099999999999996E-5</v>
      </c>
      <c r="V3813" s="25"/>
      <c r="W3813" s="25"/>
      <c r="X3813" s="25"/>
      <c r="Y3813" s="25"/>
      <c r="Z3813" s="25"/>
      <c r="AA3813" s="25"/>
    </row>
    <row r="3814" spans="1:27" x14ac:dyDescent="0.35">
      <c r="A3814" s="5">
        <v>3810</v>
      </c>
      <c r="B3814" s="5">
        <v>159</v>
      </c>
      <c r="C3814" s="5">
        <v>6</v>
      </c>
      <c r="D3814" s="25">
        <v>1.1415000000000001E-4</v>
      </c>
      <c r="E3814" s="25">
        <v>1.1803000000000001E-4</v>
      </c>
      <c r="F3814" s="25">
        <v>1.0993E-4</v>
      </c>
      <c r="G3814" s="25">
        <v>1.6197999999999999E-4</v>
      </c>
      <c r="H3814" s="25">
        <v>1.9274E-4</v>
      </c>
      <c r="I3814" s="9">
        <v>1.2381999999999999E-4</v>
      </c>
      <c r="J3814" s="9">
        <v>1.2404000000000001E-4</v>
      </c>
      <c r="K3814" s="9">
        <v>2.12E-6</v>
      </c>
      <c r="L3814" s="9">
        <v>1.8745E-4</v>
      </c>
      <c r="M3814" s="9">
        <v>1.6034999999999999E-4</v>
      </c>
      <c r="N3814" s="9">
        <v>1.3962999999999999E-4</v>
      </c>
      <c r="O3814" s="9">
        <v>1.8404000000000001E-4</v>
      </c>
      <c r="P3814" s="9">
        <v>1.6129E-4</v>
      </c>
      <c r="Q3814" s="9">
        <v>1.1834E-4</v>
      </c>
      <c r="R3814" s="10">
        <v>1.5745043536251495E-4</v>
      </c>
      <c r="S3814" s="10">
        <v>9.6841414423922388E-5</v>
      </c>
      <c r="T3814" s="10">
        <v>1.618210415052682E-4</v>
      </c>
      <c r="U3814" s="10">
        <v>9.9099999999999996E-5</v>
      </c>
      <c r="V3814" s="25"/>
      <c r="W3814" s="25"/>
      <c r="X3814" s="25"/>
      <c r="Y3814" s="25"/>
      <c r="Z3814" s="25"/>
      <c r="AA3814" s="25"/>
    </row>
    <row r="3815" spans="1:27" x14ac:dyDescent="0.35">
      <c r="A3815" s="5">
        <v>3811</v>
      </c>
      <c r="B3815" s="5">
        <v>159</v>
      </c>
      <c r="C3815" s="5">
        <v>6</v>
      </c>
      <c r="D3815" s="25">
        <v>1.1416E-4</v>
      </c>
      <c r="E3815" s="25">
        <v>1.1254E-4</v>
      </c>
      <c r="F3815" s="25">
        <v>1.0787E-4</v>
      </c>
      <c r="G3815" s="25">
        <v>1.1438E-4</v>
      </c>
      <c r="H3815" s="25">
        <v>1.3537E-4</v>
      </c>
      <c r="I3815" s="9">
        <v>1.2E-4</v>
      </c>
      <c r="J3815" s="9">
        <v>1.2162E-4</v>
      </c>
      <c r="K3815" s="9">
        <v>2.5429999999999999E-5</v>
      </c>
      <c r="L3815" s="9">
        <v>1.8445000000000001E-4</v>
      </c>
      <c r="M3815" s="9">
        <v>1.6022000000000001E-4</v>
      </c>
      <c r="N3815" s="9">
        <v>1.306E-4</v>
      </c>
      <c r="O3815" s="9">
        <v>1.4922000000000001E-4</v>
      </c>
      <c r="P3815" s="9">
        <v>1.3592000000000001E-4</v>
      </c>
      <c r="Q3815" s="9">
        <v>1.0788E-4</v>
      </c>
      <c r="R3815" s="10">
        <v>1.7094100804214849E-4</v>
      </c>
      <c r="S3815" s="10">
        <v>1.0516569854965998E-4</v>
      </c>
      <c r="T3815" s="10">
        <v>2.5461382349777696E-5</v>
      </c>
      <c r="U3815" s="10">
        <v>9.9099999999999996E-5</v>
      </c>
      <c r="V3815" s="25"/>
      <c r="W3815" s="25"/>
      <c r="X3815" s="25"/>
      <c r="Y3815" s="25"/>
      <c r="Z3815" s="25"/>
      <c r="AA3815" s="25"/>
    </row>
    <row r="3816" spans="1:27" x14ac:dyDescent="0.35">
      <c r="A3816" s="5">
        <v>3812</v>
      </c>
      <c r="B3816" s="5">
        <v>159</v>
      </c>
      <c r="C3816" s="5">
        <v>6</v>
      </c>
      <c r="D3816" s="25">
        <v>1.1415000000000001E-4</v>
      </c>
      <c r="E3816" s="25">
        <v>1.1236E-4</v>
      </c>
      <c r="F3816" s="25">
        <v>1.164E-4</v>
      </c>
      <c r="G3816" s="25">
        <v>1.0415E-4</v>
      </c>
      <c r="H3816" s="25">
        <v>1.2663E-4</v>
      </c>
      <c r="I3816" s="9">
        <v>1.1488E-4</v>
      </c>
      <c r="J3816" s="9">
        <v>1.184E-4</v>
      </c>
      <c r="K3816" s="9">
        <v>5.7219999999999998E-5</v>
      </c>
      <c r="L3816" s="9">
        <v>1.5710999999999999E-4</v>
      </c>
      <c r="M3816" s="9">
        <v>1.516E-4</v>
      </c>
      <c r="N3816" s="9">
        <v>1.2157E-4</v>
      </c>
      <c r="O3816" s="9">
        <v>1.1715E-4</v>
      </c>
      <c r="P3816" s="9">
        <v>1.1414E-4</v>
      </c>
      <c r="Q3816" s="9">
        <v>1.0124999999999999E-4</v>
      </c>
      <c r="R3816" s="10">
        <v>1.7818187095959095E-4</v>
      </c>
      <c r="S3816" s="10">
        <v>1.1065971204905553E-4</v>
      </c>
      <c r="T3816" s="10">
        <v>1.0486593996776151E-5</v>
      </c>
      <c r="U3816" s="10">
        <v>9.9099999999999996E-5</v>
      </c>
      <c r="V3816" s="25"/>
      <c r="W3816" s="25"/>
      <c r="X3816" s="25"/>
      <c r="Y3816" s="25"/>
      <c r="Z3816" s="25"/>
      <c r="AA3816" s="25"/>
    </row>
    <row r="3817" spans="1:27" x14ac:dyDescent="0.35">
      <c r="A3817" s="5">
        <v>3813</v>
      </c>
      <c r="B3817" s="5">
        <v>159</v>
      </c>
      <c r="C3817" s="5">
        <v>6</v>
      </c>
      <c r="D3817" s="25">
        <v>1.1416E-4</v>
      </c>
      <c r="E3817" s="25">
        <v>1.1457E-4</v>
      </c>
      <c r="F3817" s="25">
        <v>1.2091000000000001E-4</v>
      </c>
      <c r="G3817" s="25">
        <v>5.9379999999999997E-5</v>
      </c>
      <c r="H3817" s="25">
        <v>7.4930000000000003E-5</v>
      </c>
      <c r="I3817" s="9">
        <v>1.1254E-4</v>
      </c>
      <c r="J3817" s="9">
        <v>1.1506E-4</v>
      </c>
      <c r="K3817" s="9">
        <v>9.3259999999999998E-5</v>
      </c>
      <c r="L3817" s="9">
        <v>1.2679E-4</v>
      </c>
      <c r="M3817" s="9">
        <v>1.3569E-4</v>
      </c>
      <c r="N3817" s="9">
        <v>1.136E-4</v>
      </c>
      <c r="O3817" s="9">
        <v>8.0770000000000001E-5</v>
      </c>
      <c r="P3817" s="9">
        <v>8.687E-5</v>
      </c>
      <c r="Q3817" s="9">
        <v>8.8880000000000003E-5</v>
      </c>
      <c r="R3817" s="10">
        <v>1.8218552310997639E-4</v>
      </c>
      <c r="S3817" s="10">
        <v>1.1233723846772692E-4</v>
      </c>
      <c r="T3817" s="10">
        <v>0</v>
      </c>
      <c r="U3817" s="10">
        <v>9.9099999999999996E-5</v>
      </c>
      <c r="V3817" s="25"/>
      <c r="W3817" s="25"/>
      <c r="X3817" s="25"/>
      <c r="Y3817" s="25"/>
      <c r="Z3817" s="25"/>
      <c r="AA3817" s="25"/>
    </row>
    <row r="3818" spans="1:27" x14ac:dyDescent="0.35">
      <c r="A3818" s="5">
        <v>3814</v>
      </c>
      <c r="B3818" s="5">
        <v>159</v>
      </c>
      <c r="C3818" s="5">
        <v>6</v>
      </c>
      <c r="D3818" s="25">
        <v>1.1415000000000001E-4</v>
      </c>
      <c r="E3818" s="25">
        <v>1.2218999999999999E-4</v>
      </c>
      <c r="F3818" s="25">
        <v>1.2769999999999999E-4</v>
      </c>
      <c r="G3818" s="25">
        <v>6.084E-5</v>
      </c>
      <c r="H3818" s="25">
        <v>6.5820000000000003E-5</v>
      </c>
      <c r="I3818" s="9">
        <v>1.1340000000000001E-4</v>
      </c>
      <c r="J3818" s="9">
        <v>1.1343E-4</v>
      </c>
      <c r="K3818" s="9">
        <v>1.1868E-4</v>
      </c>
      <c r="L3818" s="9">
        <v>9.1710000000000001E-5</v>
      </c>
      <c r="M3818" s="9">
        <v>1.1401E-4</v>
      </c>
      <c r="N3818" s="9">
        <v>1.0601E-4</v>
      </c>
      <c r="O3818" s="9">
        <v>8.2849999999999995E-5</v>
      </c>
      <c r="P3818" s="9">
        <v>8.7940000000000002E-5</v>
      </c>
      <c r="Q3818" s="9">
        <v>8.8590000000000004E-5</v>
      </c>
      <c r="R3818" s="10">
        <v>1.8063632093712865E-4</v>
      </c>
      <c r="S3818" s="10">
        <v>1.1516394550058189E-4</v>
      </c>
      <c r="T3818" s="10">
        <v>0</v>
      </c>
      <c r="U3818" s="10">
        <v>9.9099999999999996E-5</v>
      </c>
      <c r="V3818" s="25"/>
      <c r="W3818" s="25"/>
      <c r="X3818" s="25"/>
      <c r="Y3818" s="25"/>
      <c r="Z3818" s="25"/>
      <c r="AA3818" s="25"/>
    </row>
    <row r="3819" spans="1:27" x14ac:dyDescent="0.35">
      <c r="A3819" s="5">
        <v>3815</v>
      </c>
      <c r="B3819" s="5">
        <v>159</v>
      </c>
      <c r="C3819" s="5">
        <v>6</v>
      </c>
      <c r="D3819" s="25">
        <v>1.1416E-4</v>
      </c>
      <c r="E3819" s="25">
        <v>1.2154000000000001E-4</v>
      </c>
      <c r="F3819" s="25">
        <v>1.0624E-4</v>
      </c>
      <c r="G3819" s="25">
        <v>5.2580000000000001E-5</v>
      </c>
      <c r="H3819" s="25">
        <v>7.2070000000000006E-5</v>
      </c>
      <c r="I3819" s="9">
        <v>1.0891E-4</v>
      </c>
      <c r="J3819" s="9">
        <v>1.0849E-4</v>
      </c>
      <c r="K3819" s="9">
        <v>1.2928000000000001E-4</v>
      </c>
      <c r="L3819" s="9">
        <v>8.5580000000000004E-5</v>
      </c>
      <c r="M3819" s="9">
        <v>9.9329999999999999E-5</v>
      </c>
      <c r="N3819" s="9">
        <v>1.0017E-4</v>
      </c>
      <c r="O3819" s="9">
        <v>7.4919999999999994E-5</v>
      </c>
      <c r="P3819" s="9">
        <v>7.2650000000000004E-5</v>
      </c>
      <c r="Q3819" s="9">
        <v>6.737E-5</v>
      </c>
      <c r="R3819" s="10">
        <v>1.7494725053711753E-4</v>
      </c>
      <c r="S3819" s="10">
        <v>1.1806894365875945E-4</v>
      </c>
      <c r="T3819" s="10">
        <v>0</v>
      </c>
      <c r="U3819" s="10">
        <v>9.9099999999999996E-5</v>
      </c>
      <c r="V3819" s="25"/>
      <c r="W3819" s="25"/>
      <c r="X3819" s="25"/>
      <c r="Y3819" s="25"/>
      <c r="Z3819" s="25"/>
      <c r="AA3819" s="25"/>
    </row>
    <row r="3820" spans="1:27" x14ac:dyDescent="0.35">
      <c r="A3820" s="5">
        <v>3816</v>
      </c>
      <c r="B3820" s="5">
        <v>159</v>
      </c>
      <c r="C3820" s="5">
        <v>6</v>
      </c>
      <c r="D3820" s="25">
        <v>1.1415000000000001E-4</v>
      </c>
      <c r="E3820" s="25">
        <v>1.2087999999999999E-4</v>
      </c>
      <c r="F3820" s="25">
        <v>1.1773E-4</v>
      </c>
      <c r="G3820" s="25">
        <v>5.8319999999999997E-5</v>
      </c>
      <c r="H3820" s="25">
        <v>6.9599999999999998E-5</v>
      </c>
      <c r="I3820" s="9">
        <v>1.0097E-4</v>
      </c>
      <c r="J3820" s="9">
        <v>1.0056999999999999E-4</v>
      </c>
      <c r="K3820" s="9">
        <v>1.7802000000000001E-4</v>
      </c>
      <c r="L3820" s="9">
        <v>7.7249999999999994E-5</v>
      </c>
      <c r="M3820" s="9">
        <v>8.6500000000000002E-5</v>
      </c>
      <c r="N3820" s="9">
        <v>9.09E-5</v>
      </c>
      <c r="O3820" s="9">
        <v>6.0970000000000001E-5</v>
      </c>
      <c r="P3820" s="9">
        <v>6.012E-5</v>
      </c>
      <c r="Q3820" s="9">
        <v>5.8319999999999997E-5</v>
      </c>
      <c r="R3820" s="10">
        <v>1.5693960002331587E-4</v>
      </c>
      <c r="S3820" s="10">
        <v>9.7529499155745472E-5</v>
      </c>
      <c r="T3820" s="10">
        <v>0</v>
      </c>
      <c r="U3820" s="10">
        <v>9.9099999999999996E-5</v>
      </c>
      <c r="V3820" s="25"/>
      <c r="W3820" s="25"/>
      <c r="X3820" s="25"/>
      <c r="Y3820" s="25"/>
      <c r="Z3820" s="25"/>
      <c r="AA3820" s="25"/>
    </row>
    <row r="3821" spans="1:27" x14ac:dyDescent="0.35">
      <c r="A3821" s="5">
        <v>3817</v>
      </c>
      <c r="B3821" s="5">
        <v>160</v>
      </c>
      <c r="C3821" s="5">
        <v>6</v>
      </c>
      <c r="D3821" s="25">
        <v>1.1416E-4</v>
      </c>
      <c r="E3821" s="25">
        <v>1.1836999999999999E-4</v>
      </c>
      <c r="F3821" s="25">
        <v>1.0395000000000001E-4</v>
      </c>
      <c r="G3821" s="25">
        <v>6.0659999999999999E-5</v>
      </c>
      <c r="H3821" s="25">
        <v>4.5479999999999998E-5</v>
      </c>
      <c r="I3821" s="9">
        <v>9.6260000000000003E-5</v>
      </c>
      <c r="J3821" s="9">
        <v>9.4850000000000002E-5</v>
      </c>
      <c r="K3821" s="9">
        <v>1.6742999999999999E-4</v>
      </c>
      <c r="L3821" s="9">
        <v>6.4549999999999997E-5</v>
      </c>
      <c r="M3821" s="9">
        <v>7.4060000000000006E-5</v>
      </c>
      <c r="N3821" s="9">
        <v>8.1279999999999994E-5</v>
      </c>
      <c r="O3821" s="9">
        <v>6.8230000000000002E-5</v>
      </c>
      <c r="P3821" s="9">
        <v>6.0749999999999999E-5</v>
      </c>
      <c r="Q3821" s="9">
        <v>5.3569999999999997E-5</v>
      </c>
      <c r="R3821" s="10">
        <v>1.6118953283365104E-4</v>
      </c>
      <c r="S3821" s="10">
        <v>9.4263501263434205E-5</v>
      </c>
      <c r="T3821" s="10">
        <v>0</v>
      </c>
      <c r="U3821" s="10">
        <v>1.0075E-4</v>
      </c>
      <c r="V3821" s="25"/>
      <c r="W3821" s="25"/>
      <c r="X3821" s="25"/>
      <c r="Y3821" s="25"/>
      <c r="Z3821" s="25"/>
      <c r="AA3821" s="25"/>
    </row>
    <row r="3822" spans="1:27" x14ac:dyDescent="0.35">
      <c r="A3822" s="5">
        <v>3818</v>
      </c>
      <c r="B3822" s="5">
        <v>160</v>
      </c>
      <c r="C3822" s="5">
        <v>6</v>
      </c>
      <c r="D3822" s="25">
        <v>1.1415000000000001E-4</v>
      </c>
      <c r="E3822" s="25">
        <v>1.1858000000000001E-4</v>
      </c>
      <c r="F3822" s="25">
        <v>8.9820000000000004E-5</v>
      </c>
      <c r="G3822" s="25">
        <v>6.1929999999999998E-5</v>
      </c>
      <c r="H3822" s="25">
        <v>4.3099999999999997E-5</v>
      </c>
      <c r="I3822" s="9">
        <v>9.3389999999999999E-5</v>
      </c>
      <c r="J3822" s="9">
        <v>9.2219999999999995E-5</v>
      </c>
      <c r="K3822" s="9">
        <v>1.8437999999999999E-4</v>
      </c>
      <c r="L3822" s="9">
        <v>6.7760000000000002E-5</v>
      </c>
      <c r="M3822" s="9">
        <v>6.6299999999999999E-5</v>
      </c>
      <c r="N3822" s="9">
        <v>7.2169999999999995E-5</v>
      </c>
      <c r="O3822" s="9">
        <v>4.0290000000000002E-5</v>
      </c>
      <c r="P3822" s="9">
        <v>4.6069999999999998E-5</v>
      </c>
      <c r="Q3822" s="9">
        <v>5.6459999999999998E-5</v>
      </c>
      <c r="R3822" s="10">
        <v>1.6321552542577339E-4</v>
      </c>
      <c r="S3822" s="10">
        <v>1.0259979790143171E-4</v>
      </c>
      <c r="T3822" s="10">
        <v>0</v>
      </c>
      <c r="U3822" s="10">
        <v>1.0075E-4</v>
      </c>
      <c r="V3822" s="25"/>
      <c r="W3822" s="25"/>
      <c r="X3822" s="25"/>
      <c r="Y3822" s="25"/>
      <c r="Z3822" s="25"/>
      <c r="AA3822" s="25"/>
    </row>
    <row r="3823" spans="1:27" x14ac:dyDescent="0.35">
      <c r="A3823" s="5">
        <v>3819</v>
      </c>
      <c r="B3823" s="5">
        <v>160</v>
      </c>
      <c r="C3823" s="5">
        <v>6</v>
      </c>
      <c r="D3823" s="25">
        <v>1.1416E-4</v>
      </c>
      <c r="E3823" s="25">
        <v>1.1535E-4</v>
      </c>
      <c r="F3823" s="25">
        <v>9.1990000000000005E-5</v>
      </c>
      <c r="G3823" s="25">
        <v>5.5040000000000002E-5</v>
      </c>
      <c r="H3823" s="25">
        <v>3.9310000000000001E-5</v>
      </c>
      <c r="I3823" s="9">
        <v>9.2219999999999995E-5</v>
      </c>
      <c r="J3823" s="9">
        <v>9.1459999999999995E-5</v>
      </c>
      <c r="K3823" s="9">
        <v>2.1617000000000001E-4</v>
      </c>
      <c r="L3823" s="9">
        <v>4.621E-5</v>
      </c>
      <c r="M3823" s="9">
        <v>5.7370000000000001E-5</v>
      </c>
      <c r="N3823" s="9">
        <v>6.5610000000000004E-5</v>
      </c>
      <c r="O3823" s="9">
        <v>2.8940000000000001E-5</v>
      </c>
      <c r="P3823" s="9">
        <v>4.2169999999999998E-5</v>
      </c>
      <c r="Q3823" s="9">
        <v>6.1680000000000006E-5</v>
      </c>
      <c r="R3823" s="10">
        <v>1.6485755201226754E-4</v>
      </c>
      <c r="S3823" s="10">
        <v>1.1030381809413676E-4</v>
      </c>
      <c r="T3823" s="10">
        <v>0</v>
      </c>
      <c r="U3823" s="10">
        <v>1.0075E-4</v>
      </c>
      <c r="V3823" s="25"/>
      <c r="W3823" s="25"/>
      <c r="X3823" s="25"/>
      <c r="Y3823" s="25"/>
      <c r="Z3823" s="25"/>
      <c r="AA3823" s="25"/>
    </row>
    <row r="3824" spans="1:27" x14ac:dyDescent="0.35">
      <c r="A3824" s="5">
        <v>3820</v>
      </c>
      <c r="B3824" s="5">
        <v>160</v>
      </c>
      <c r="C3824" s="5">
        <v>6</v>
      </c>
      <c r="D3824" s="25">
        <v>1.1415000000000001E-4</v>
      </c>
      <c r="E3824" s="25">
        <v>1.1679E-4</v>
      </c>
      <c r="F3824" s="25">
        <v>9.8950000000000006E-5</v>
      </c>
      <c r="G3824" s="25">
        <v>5.2280000000000001E-5</v>
      </c>
      <c r="H3824" s="25">
        <v>4.3319999999999999E-5</v>
      </c>
      <c r="I3824" s="9">
        <v>9.3090000000000005E-5</v>
      </c>
      <c r="J3824" s="9">
        <v>9.1020000000000006E-5</v>
      </c>
      <c r="K3824" s="9">
        <v>2.1829E-4</v>
      </c>
      <c r="L3824" s="9">
        <v>3.3250000000000002E-5</v>
      </c>
      <c r="M3824" s="9">
        <v>4.9790000000000003E-5</v>
      </c>
      <c r="N3824" s="9">
        <v>6.2020000000000006E-5</v>
      </c>
      <c r="O3824" s="9">
        <v>2.8350000000000001E-5</v>
      </c>
      <c r="P3824" s="9">
        <v>5.113E-5</v>
      </c>
      <c r="Q3824" s="9">
        <v>8.0099999999999995E-5</v>
      </c>
      <c r="R3824" s="10">
        <v>1.6722510258414475E-4</v>
      </c>
      <c r="S3824" s="10">
        <v>1.1407524354348872E-4</v>
      </c>
      <c r="T3824" s="10">
        <v>0</v>
      </c>
      <c r="U3824" s="10">
        <v>1.0075E-4</v>
      </c>
      <c r="V3824" s="25"/>
      <c r="W3824" s="25"/>
      <c r="X3824" s="25"/>
      <c r="Y3824" s="25"/>
      <c r="Z3824" s="25"/>
      <c r="AA3824" s="25"/>
    </row>
    <row r="3825" spans="1:27" x14ac:dyDescent="0.35">
      <c r="A3825" s="5">
        <v>3821</v>
      </c>
      <c r="B3825" s="5">
        <v>160</v>
      </c>
      <c r="C3825" s="5">
        <v>6</v>
      </c>
      <c r="D3825" s="25">
        <v>1.1416E-4</v>
      </c>
      <c r="E3825" s="25">
        <v>1.1763E-4</v>
      </c>
      <c r="F3825" s="25">
        <v>8.8460000000000003E-5</v>
      </c>
      <c r="G3825" s="25">
        <v>6.347E-5</v>
      </c>
      <c r="H3825" s="25">
        <v>4.4329999999999997E-5</v>
      </c>
      <c r="I3825" s="9">
        <v>9.5130000000000006E-5</v>
      </c>
      <c r="J3825" s="9">
        <v>9.1500000000000001E-5</v>
      </c>
      <c r="K3825" s="9">
        <v>1.4412E-4</v>
      </c>
      <c r="L3825" s="9">
        <v>2.9830000000000001E-5</v>
      </c>
      <c r="M3825" s="9">
        <v>4.846E-5</v>
      </c>
      <c r="N3825" s="9">
        <v>6.4460000000000003E-5</v>
      </c>
      <c r="O3825" s="9">
        <v>3.01E-5</v>
      </c>
      <c r="P3825" s="9">
        <v>5.9039999999999997E-5</v>
      </c>
      <c r="Q3825" s="9">
        <v>9.3830000000000001E-5</v>
      </c>
      <c r="R3825" s="10">
        <v>1.6446162533390621E-4</v>
      </c>
      <c r="S3825" s="10">
        <v>1.1178558093490512E-4</v>
      </c>
      <c r="T3825" s="10">
        <v>1.2616153133661922E-5</v>
      </c>
      <c r="U3825" s="10">
        <v>1.0075E-4</v>
      </c>
      <c r="V3825" s="25"/>
      <c r="W3825" s="25"/>
      <c r="X3825" s="25"/>
      <c r="Y3825" s="25"/>
      <c r="Z3825" s="25"/>
      <c r="AA3825" s="25"/>
    </row>
    <row r="3826" spans="1:27" x14ac:dyDescent="0.35">
      <c r="A3826" s="5">
        <v>3822</v>
      </c>
      <c r="B3826" s="5">
        <v>160</v>
      </c>
      <c r="C3826" s="5">
        <v>6</v>
      </c>
      <c r="D3826" s="25">
        <v>1.1415000000000001E-4</v>
      </c>
      <c r="E3826" s="25">
        <v>1.2205999999999999E-4</v>
      </c>
      <c r="F3826" s="25">
        <v>8.755E-5</v>
      </c>
      <c r="G3826" s="25">
        <v>1.0853000000000001E-4</v>
      </c>
      <c r="H3826" s="25">
        <v>8.2769999999999995E-5</v>
      </c>
      <c r="I3826" s="9">
        <v>1.0376E-4</v>
      </c>
      <c r="J3826" s="9">
        <v>9.9190000000000004E-5</v>
      </c>
      <c r="K3826" s="9">
        <v>8.0539999999999998E-5</v>
      </c>
      <c r="L3826" s="9">
        <v>2.9980000000000001E-5</v>
      </c>
      <c r="M3826" s="9">
        <v>5.2250000000000003E-5</v>
      </c>
      <c r="N3826" s="9">
        <v>7.1050000000000006E-5</v>
      </c>
      <c r="O3826" s="9">
        <v>3.5439999999999999E-5</v>
      </c>
      <c r="P3826" s="9">
        <v>6.8800000000000005E-5</v>
      </c>
      <c r="Q3826" s="9">
        <v>1.0708E-4</v>
      </c>
      <c r="R3826" s="10">
        <v>1.5692194628126325E-4</v>
      </c>
      <c r="S3826" s="10">
        <v>1.094989921960178E-4</v>
      </c>
      <c r="T3826" s="10">
        <v>4.9387106517179591E-5</v>
      </c>
      <c r="U3826" s="10">
        <v>1.0075E-4</v>
      </c>
      <c r="V3826" s="25"/>
      <c r="W3826" s="25"/>
      <c r="X3826" s="25"/>
      <c r="Y3826" s="25"/>
      <c r="Z3826" s="25"/>
      <c r="AA3826" s="25"/>
    </row>
    <row r="3827" spans="1:27" x14ac:dyDescent="0.35">
      <c r="A3827" s="5">
        <v>3823</v>
      </c>
      <c r="B3827" s="5">
        <v>160</v>
      </c>
      <c r="C3827" s="5">
        <v>6</v>
      </c>
      <c r="D3827" s="25">
        <v>1.1416E-4</v>
      </c>
      <c r="E3827" s="25">
        <v>1.2061E-4</v>
      </c>
      <c r="F3827" s="25">
        <v>9.9279999999999998E-5</v>
      </c>
      <c r="G3827" s="25">
        <v>1.1075E-4</v>
      </c>
      <c r="H3827" s="25">
        <v>7.7540000000000006E-5</v>
      </c>
      <c r="I3827" s="9">
        <v>1.1346E-4</v>
      </c>
      <c r="J3827" s="9">
        <v>1.1289E-4</v>
      </c>
      <c r="K3827" s="9">
        <v>4.6629999999999999E-5</v>
      </c>
      <c r="L3827" s="9">
        <v>3.4150000000000003E-5</v>
      </c>
      <c r="M3827" s="9">
        <v>5.9330000000000003E-5</v>
      </c>
      <c r="N3827" s="9">
        <v>8.0760000000000006E-5</v>
      </c>
      <c r="O3827" s="9">
        <v>4.914E-5</v>
      </c>
      <c r="P3827" s="9">
        <v>7.9060000000000005E-5</v>
      </c>
      <c r="Q3827" s="9">
        <v>1.1168E-4</v>
      </c>
      <c r="R3827" s="10">
        <v>1.4560933478543854E-4</v>
      </c>
      <c r="S3827" s="10">
        <v>1.0937940680642856E-4</v>
      </c>
      <c r="T3827" s="10">
        <v>1.0832753410261967E-4</v>
      </c>
      <c r="U3827" s="10">
        <v>1.0075E-4</v>
      </c>
      <c r="V3827" s="25"/>
      <c r="W3827" s="25"/>
      <c r="X3827" s="25"/>
      <c r="Y3827" s="25"/>
      <c r="Z3827" s="25"/>
      <c r="AA3827" s="25"/>
    </row>
    <row r="3828" spans="1:27" x14ac:dyDescent="0.35">
      <c r="A3828" s="5">
        <v>3824</v>
      </c>
      <c r="B3828" s="5">
        <v>160</v>
      </c>
      <c r="C3828" s="5">
        <v>6</v>
      </c>
      <c r="D3828" s="25">
        <v>1.1415000000000001E-4</v>
      </c>
      <c r="E3828" s="25">
        <v>1.1798000000000001E-4</v>
      </c>
      <c r="F3828" s="25">
        <v>1.0280000000000001E-4</v>
      </c>
      <c r="G3828" s="25">
        <v>1.6756E-4</v>
      </c>
      <c r="H3828" s="25">
        <v>1.2142999999999999E-4</v>
      </c>
      <c r="I3828" s="9">
        <v>1.1768E-4</v>
      </c>
      <c r="J3828" s="9">
        <v>1.2284000000000001E-4</v>
      </c>
      <c r="K3828" s="9">
        <v>1.272E-5</v>
      </c>
      <c r="L3828" s="9">
        <v>4.5720000000000003E-5</v>
      </c>
      <c r="M3828" s="9">
        <v>6.8200000000000004E-5</v>
      </c>
      <c r="N3828" s="9">
        <v>9.0680000000000006E-5</v>
      </c>
      <c r="O3828" s="9">
        <v>6.8100000000000002E-5</v>
      </c>
      <c r="P3828" s="9">
        <v>1.024E-4</v>
      </c>
      <c r="Q3828" s="9">
        <v>1.3635000000000001E-4</v>
      </c>
      <c r="R3828" s="10">
        <v>9.2506091405119732E-5</v>
      </c>
      <c r="S3828" s="10">
        <v>1.1431829854541685E-4</v>
      </c>
      <c r="T3828" s="10">
        <v>1.6647892184849648E-4</v>
      </c>
      <c r="U3828" s="10">
        <v>1.0075E-4</v>
      </c>
      <c r="V3828" s="25"/>
      <c r="W3828" s="25"/>
      <c r="X3828" s="25"/>
      <c r="Y3828" s="25"/>
      <c r="Z3828" s="25"/>
      <c r="AA3828" s="25"/>
    </row>
    <row r="3829" spans="1:27" x14ac:dyDescent="0.35">
      <c r="A3829" s="5">
        <v>3825</v>
      </c>
      <c r="B3829" s="5">
        <v>160</v>
      </c>
      <c r="C3829" s="5">
        <v>6</v>
      </c>
      <c r="D3829" s="25">
        <v>1.1416E-4</v>
      </c>
      <c r="E3829" s="25">
        <v>1.1904E-4</v>
      </c>
      <c r="F3829" s="25">
        <v>1.0560000000000001E-4</v>
      </c>
      <c r="G3829" s="25">
        <v>1.5705999999999999E-4</v>
      </c>
      <c r="H3829" s="25">
        <v>1.1498E-4</v>
      </c>
      <c r="I3829" s="9">
        <v>1.1827E-4</v>
      </c>
      <c r="J3829" s="9">
        <v>1.2786000000000001E-4</v>
      </c>
      <c r="K3829" s="9">
        <v>0</v>
      </c>
      <c r="L3829" s="9">
        <v>6.2860000000000005E-5</v>
      </c>
      <c r="M3829" s="9">
        <v>8.2709999999999999E-5</v>
      </c>
      <c r="N3829" s="9">
        <v>1.0435E-4</v>
      </c>
      <c r="O3829" s="9">
        <v>9.4610000000000004E-5</v>
      </c>
      <c r="P3829" s="9">
        <v>1.3758999999999999E-4</v>
      </c>
      <c r="Q3829" s="9">
        <v>1.7579999999999999E-4</v>
      </c>
      <c r="R3829" s="10">
        <v>1.3338100834344889E-4</v>
      </c>
      <c r="S3829" s="10">
        <v>1.1592269894621883E-4</v>
      </c>
      <c r="T3829" s="10">
        <v>1.7598982142000622E-4</v>
      </c>
      <c r="U3829" s="10">
        <v>1.0075E-4</v>
      </c>
      <c r="V3829" s="25"/>
      <c r="W3829" s="25"/>
      <c r="X3829" s="25"/>
      <c r="Y3829" s="25"/>
      <c r="Z3829" s="25"/>
      <c r="AA3829" s="25"/>
    </row>
    <row r="3830" spans="1:27" x14ac:dyDescent="0.35">
      <c r="A3830" s="5">
        <v>3826</v>
      </c>
      <c r="B3830" s="5">
        <v>160</v>
      </c>
      <c r="C3830" s="5">
        <v>6</v>
      </c>
      <c r="D3830" s="25">
        <v>1.1415000000000001E-4</v>
      </c>
      <c r="E3830" s="25">
        <v>1.2085E-4</v>
      </c>
      <c r="F3830" s="25">
        <v>8.7449999999999998E-5</v>
      </c>
      <c r="G3830" s="25">
        <v>1.6516E-4</v>
      </c>
      <c r="H3830" s="25">
        <v>1.1891E-4</v>
      </c>
      <c r="I3830" s="9">
        <v>1.1707E-4</v>
      </c>
      <c r="J3830" s="9">
        <v>1.2837999999999999E-4</v>
      </c>
      <c r="K3830" s="9">
        <v>0</v>
      </c>
      <c r="L3830" s="9">
        <v>8.7169999999999994E-5</v>
      </c>
      <c r="M3830" s="9">
        <v>1.0613E-4</v>
      </c>
      <c r="N3830" s="9">
        <v>1.2413999999999999E-4</v>
      </c>
      <c r="O3830" s="9">
        <v>1.1862E-4</v>
      </c>
      <c r="P3830" s="9">
        <v>1.5381999999999999E-4</v>
      </c>
      <c r="Q3830" s="9">
        <v>1.8048000000000001E-4</v>
      </c>
      <c r="R3830" s="10">
        <v>1.2679796322257906E-4</v>
      </c>
      <c r="S3830" s="10">
        <v>1.130571999930636E-4</v>
      </c>
      <c r="T3830" s="10">
        <v>1.7519229728109285E-4</v>
      </c>
      <c r="U3830" s="10">
        <v>1.0075E-4</v>
      </c>
      <c r="V3830" s="25"/>
      <c r="W3830" s="25"/>
      <c r="X3830" s="25"/>
      <c r="Y3830" s="25"/>
      <c r="Z3830" s="25"/>
      <c r="AA3830" s="25"/>
    </row>
    <row r="3831" spans="1:27" x14ac:dyDescent="0.35">
      <c r="A3831" s="5">
        <v>3827</v>
      </c>
      <c r="B3831" s="5">
        <v>160</v>
      </c>
      <c r="C3831" s="5">
        <v>6</v>
      </c>
      <c r="D3831" s="25">
        <v>1.1416E-4</v>
      </c>
      <c r="E3831" s="25">
        <v>1.1887000000000001E-4</v>
      </c>
      <c r="F3831" s="25">
        <v>8.6959999999999994E-5</v>
      </c>
      <c r="G3831" s="25">
        <v>1.6437999999999999E-4</v>
      </c>
      <c r="H3831" s="25">
        <v>1.171E-4</v>
      </c>
      <c r="I3831" s="9">
        <v>1.1468000000000001E-4</v>
      </c>
      <c r="J3831" s="9">
        <v>1.282E-4</v>
      </c>
      <c r="K3831" s="9">
        <v>0</v>
      </c>
      <c r="L3831" s="9">
        <v>1.111E-4</v>
      </c>
      <c r="M3831" s="9">
        <v>1.2922000000000001E-4</v>
      </c>
      <c r="N3831" s="9">
        <v>1.4190000000000001E-4</v>
      </c>
      <c r="O3831" s="9">
        <v>1.2553E-4</v>
      </c>
      <c r="P3831" s="9">
        <v>1.5642999999999999E-4</v>
      </c>
      <c r="Q3831" s="9">
        <v>1.7775000000000001E-4</v>
      </c>
      <c r="R3831" s="10">
        <v>1.1339822312447284E-4</v>
      </c>
      <c r="S3831" s="10">
        <v>1.0424300635788264E-4</v>
      </c>
      <c r="T3831" s="10">
        <v>1.7058532273396543E-4</v>
      </c>
      <c r="U3831" s="10">
        <v>1.0075E-4</v>
      </c>
      <c r="V3831" s="25"/>
      <c r="W3831" s="25"/>
      <c r="X3831" s="25"/>
      <c r="Y3831" s="25"/>
      <c r="Z3831" s="25"/>
      <c r="AA3831" s="25"/>
    </row>
    <row r="3832" spans="1:27" x14ac:dyDescent="0.35">
      <c r="A3832" s="5">
        <v>3828</v>
      </c>
      <c r="B3832" s="5">
        <v>160</v>
      </c>
      <c r="C3832" s="5">
        <v>6</v>
      </c>
      <c r="D3832" s="25">
        <v>1.1415000000000001E-4</v>
      </c>
      <c r="E3832" s="25">
        <v>1.2124E-4</v>
      </c>
      <c r="F3832" s="25">
        <v>8.9560000000000003E-5</v>
      </c>
      <c r="G3832" s="25">
        <v>1.6157000000000001E-4</v>
      </c>
      <c r="H3832" s="25">
        <v>1.2327E-4</v>
      </c>
      <c r="I3832" s="9">
        <v>1.0847E-4</v>
      </c>
      <c r="J3832" s="9">
        <v>1.2684999999999999E-4</v>
      </c>
      <c r="K3832" s="9">
        <v>0</v>
      </c>
      <c r="L3832" s="9">
        <v>1.2180000000000001E-4</v>
      </c>
      <c r="M3832" s="9">
        <v>1.4447E-4</v>
      </c>
      <c r="N3832" s="9">
        <v>1.5567000000000001E-4</v>
      </c>
      <c r="O3832" s="9">
        <v>1.2898E-4</v>
      </c>
      <c r="P3832" s="9">
        <v>1.5721999999999999E-4</v>
      </c>
      <c r="Q3832" s="9">
        <v>1.7557E-4</v>
      </c>
      <c r="R3832" s="10">
        <v>7.6006829803424938E-5</v>
      </c>
      <c r="S3832" s="10">
        <v>9.3418934590327633E-5</v>
      </c>
      <c r="T3832" s="10">
        <v>3.8070748043959499E-4</v>
      </c>
      <c r="U3832" s="10">
        <v>1.0075E-4</v>
      </c>
      <c r="V3832" s="25"/>
      <c r="W3832" s="25"/>
      <c r="X3832" s="25"/>
      <c r="Y3832" s="25"/>
      <c r="Z3832" s="25"/>
      <c r="AA3832" s="25"/>
    </row>
    <row r="3833" spans="1:27" x14ac:dyDescent="0.35">
      <c r="A3833" s="5">
        <v>3829</v>
      </c>
      <c r="B3833" s="5">
        <v>160</v>
      </c>
      <c r="C3833" s="5">
        <v>6</v>
      </c>
      <c r="D3833" s="25">
        <v>1.1416E-4</v>
      </c>
      <c r="E3833" s="25">
        <v>1.1675000000000001E-4</v>
      </c>
      <c r="F3833" s="25">
        <v>8.6340000000000003E-5</v>
      </c>
      <c r="G3833" s="25">
        <v>1.6474E-4</v>
      </c>
      <c r="H3833" s="25">
        <v>1.2040999999999999E-4</v>
      </c>
      <c r="I3833" s="9">
        <v>1.0656E-4</v>
      </c>
      <c r="J3833" s="9">
        <v>1.2763999999999999E-4</v>
      </c>
      <c r="K3833" s="9">
        <v>0</v>
      </c>
      <c r="L3833" s="9">
        <v>1.2725E-4</v>
      </c>
      <c r="M3833" s="9">
        <v>1.5232000000000001E-4</v>
      </c>
      <c r="N3833" s="9">
        <v>1.6558999999999999E-4</v>
      </c>
      <c r="O3833" s="9">
        <v>1.2019999999999999E-4</v>
      </c>
      <c r="P3833" s="9">
        <v>1.4765000000000001E-4</v>
      </c>
      <c r="Q3833" s="9">
        <v>1.6647E-4</v>
      </c>
      <c r="R3833" s="10">
        <v>6.956797576138061E-5</v>
      </c>
      <c r="S3833" s="10">
        <v>9.0272063546648662E-5</v>
      </c>
      <c r="T3833" s="10">
        <v>5.7741596087264931E-4</v>
      </c>
      <c r="U3833" s="10">
        <v>1.0075E-4</v>
      </c>
      <c r="V3833" s="25"/>
      <c r="W3833" s="25"/>
      <c r="X3833" s="25"/>
      <c r="Y3833" s="25"/>
      <c r="Z3833" s="25"/>
      <c r="AA3833" s="25"/>
    </row>
    <row r="3834" spans="1:27" x14ac:dyDescent="0.35">
      <c r="A3834" s="5">
        <v>3830</v>
      </c>
      <c r="B3834" s="5">
        <v>160</v>
      </c>
      <c r="C3834" s="5">
        <v>6</v>
      </c>
      <c r="D3834" s="25">
        <v>1.1415000000000001E-4</v>
      </c>
      <c r="E3834" s="25">
        <v>1.2103E-4</v>
      </c>
      <c r="F3834" s="25">
        <v>9.5320000000000002E-5</v>
      </c>
      <c r="G3834" s="25">
        <v>1.5892E-4</v>
      </c>
      <c r="H3834" s="25">
        <v>1.2212E-4</v>
      </c>
      <c r="I3834" s="9">
        <v>1.0563E-4</v>
      </c>
      <c r="J3834" s="9">
        <v>1.2695E-4</v>
      </c>
      <c r="K3834" s="9">
        <v>0</v>
      </c>
      <c r="L3834" s="9">
        <v>1.2175E-4</v>
      </c>
      <c r="M3834" s="9">
        <v>1.5222E-4</v>
      </c>
      <c r="N3834" s="9">
        <v>1.6983999999999999E-4</v>
      </c>
      <c r="O3834" s="9">
        <v>1.0611E-4</v>
      </c>
      <c r="P3834" s="9">
        <v>1.3674E-4</v>
      </c>
      <c r="Q3834" s="9">
        <v>1.6102999999999999E-4</v>
      </c>
      <c r="R3834" s="10">
        <v>7.3157720756685893E-5</v>
      </c>
      <c r="S3834" s="10">
        <v>9.242277810282763E-5</v>
      </c>
      <c r="T3834" s="10">
        <v>4.8893320295001301E-4</v>
      </c>
      <c r="U3834" s="10">
        <v>1.0075E-4</v>
      </c>
      <c r="V3834" s="25"/>
      <c r="W3834" s="25"/>
      <c r="X3834" s="25"/>
      <c r="Y3834" s="25"/>
      <c r="Z3834" s="25"/>
      <c r="AA3834" s="25"/>
    </row>
    <row r="3835" spans="1:27" x14ac:dyDescent="0.35">
      <c r="A3835" s="5">
        <v>3831</v>
      </c>
      <c r="B3835" s="5">
        <v>160</v>
      </c>
      <c r="C3835" s="5">
        <v>6</v>
      </c>
      <c r="D3835" s="25">
        <v>1.1416E-4</v>
      </c>
      <c r="E3835" s="25">
        <v>1.2165E-4</v>
      </c>
      <c r="F3835" s="25">
        <v>8.5829999999999996E-5</v>
      </c>
      <c r="G3835" s="25">
        <v>1.5756E-4</v>
      </c>
      <c r="H3835" s="25">
        <v>1.1687E-4</v>
      </c>
      <c r="I3835" s="9">
        <v>1.0560000000000001E-4</v>
      </c>
      <c r="J3835" s="9">
        <v>1.2641E-4</v>
      </c>
      <c r="K3835" s="9">
        <v>0</v>
      </c>
      <c r="L3835" s="9">
        <v>1.0976000000000001E-4</v>
      </c>
      <c r="M3835" s="9">
        <v>1.4632999999999999E-4</v>
      </c>
      <c r="N3835" s="9">
        <v>1.696E-4</v>
      </c>
      <c r="O3835" s="9">
        <v>1.181E-4</v>
      </c>
      <c r="P3835" s="9">
        <v>1.3919E-4</v>
      </c>
      <c r="Q3835" s="9">
        <v>1.5211000000000001E-4</v>
      </c>
      <c r="R3835" s="10">
        <v>7.8231146731510748E-5</v>
      </c>
      <c r="S3835" s="10">
        <v>9.6298305009803701E-5</v>
      </c>
      <c r="T3835" s="10">
        <v>3.6442610998667151E-4</v>
      </c>
      <c r="U3835" s="10">
        <v>1.0075E-4</v>
      </c>
      <c r="V3835" s="25"/>
      <c r="W3835" s="25"/>
      <c r="X3835" s="25"/>
      <c r="Y3835" s="25"/>
      <c r="Z3835" s="25"/>
      <c r="AA3835" s="25"/>
    </row>
    <row r="3836" spans="1:27" x14ac:dyDescent="0.35">
      <c r="A3836" s="5">
        <v>3832</v>
      </c>
      <c r="B3836" s="5">
        <v>160</v>
      </c>
      <c r="C3836" s="5">
        <v>6</v>
      </c>
      <c r="D3836" s="25">
        <v>1.1415000000000001E-4</v>
      </c>
      <c r="E3836" s="25">
        <v>1.2366999999999999E-4</v>
      </c>
      <c r="F3836" s="25">
        <v>9.5920000000000003E-5</v>
      </c>
      <c r="G3836" s="25">
        <v>1.5904999999999999E-4</v>
      </c>
      <c r="H3836" s="25">
        <v>1.1513E-4</v>
      </c>
      <c r="I3836" s="9">
        <v>1.0569E-4</v>
      </c>
      <c r="J3836" s="9">
        <v>1.2614000000000001E-4</v>
      </c>
      <c r="K3836" s="9">
        <v>0</v>
      </c>
      <c r="L3836" s="9">
        <v>1.1663E-4</v>
      </c>
      <c r="M3836" s="9">
        <v>1.4210000000000001E-4</v>
      </c>
      <c r="N3836" s="9">
        <v>1.6579999999999999E-4</v>
      </c>
      <c r="O3836" s="9">
        <v>1.2318E-4</v>
      </c>
      <c r="P3836" s="9">
        <v>1.203E-4</v>
      </c>
      <c r="Q3836" s="9">
        <v>1.0875E-4</v>
      </c>
      <c r="R3836" s="10">
        <v>8.2487603375149741E-5</v>
      </c>
      <c r="S3836" s="10">
        <v>9.684345098190916E-5</v>
      </c>
      <c r="T3836" s="10">
        <v>3.9409570481411995E-4</v>
      </c>
      <c r="U3836" s="10">
        <v>1.0075E-4</v>
      </c>
      <c r="V3836" s="25"/>
      <c r="W3836" s="25"/>
      <c r="X3836" s="25"/>
      <c r="Y3836" s="25"/>
      <c r="Z3836" s="25"/>
      <c r="AA3836" s="25"/>
    </row>
    <row r="3837" spans="1:27" x14ac:dyDescent="0.35">
      <c r="A3837" s="5">
        <v>3833</v>
      </c>
      <c r="B3837" s="5">
        <v>160</v>
      </c>
      <c r="C3837" s="5">
        <v>6</v>
      </c>
      <c r="D3837" s="25">
        <v>1.1416E-4</v>
      </c>
      <c r="E3837" s="25">
        <v>1.2120000000000001E-4</v>
      </c>
      <c r="F3837" s="25">
        <v>9.8709999999999995E-5</v>
      </c>
      <c r="G3837" s="25">
        <v>1.6211E-4</v>
      </c>
      <c r="H3837" s="25">
        <v>1.1791E-4</v>
      </c>
      <c r="I3837" s="9">
        <v>1.0847E-4</v>
      </c>
      <c r="J3837" s="9">
        <v>1.2605E-4</v>
      </c>
      <c r="K3837" s="9">
        <v>0</v>
      </c>
      <c r="L3837" s="9">
        <v>1.215E-4</v>
      </c>
      <c r="M3837" s="9">
        <v>1.3332E-4</v>
      </c>
      <c r="N3837" s="9">
        <v>1.5200000000000001E-4</v>
      </c>
      <c r="O3837" s="9">
        <v>1.284E-4</v>
      </c>
      <c r="P3837" s="9">
        <v>1.2203E-4</v>
      </c>
      <c r="Q3837" s="9">
        <v>1.0620000000000001E-4</v>
      </c>
      <c r="R3837" s="10">
        <v>8.8357391939201588E-5</v>
      </c>
      <c r="S3837" s="10">
        <v>9.4002094491433584E-5</v>
      </c>
      <c r="T3837" s="10">
        <v>2.7333018786419134E-4</v>
      </c>
      <c r="U3837" s="10">
        <v>1.0075E-4</v>
      </c>
      <c r="V3837" s="25"/>
      <c r="W3837" s="25"/>
      <c r="X3837" s="25"/>
      <c r="Y3837" s="25"/>
      <c r="Z3837" s="25"/>
      <c r="AA3837" s="25"/>
    </row>
    <row r="3838" spans="1:27" x14ac:dyDescent="0.35">
      <c r="A3838" s="5">
        <v>3834</v>
      </c>
      <c r="B3838" s="5">
        <v>160</v>
      </c>
      <c r="C3838" s="5">
        <v>6</v>
      </c>
      <c r="D3838" s="25">
        <v>1.1415000000000001E-4</v>
      </c>
      <c r="E3838" s="25">
        <v>1.1391E-4</v>
      </c>
      <c r="F3838" s="25">
        <v>1.0259000000000001E-4</v>
      </c>
      <c r="G3838" s="25">
        <v>1.6327E-4</v>
      </c>
      <c r="H3838" s="25">
        <v>1.2292E-4</v>
      </c>
      <c r="I3838" s="9">
        <v>1.1087E-4</v>
      </c>
      <c r="J3838" s="9">
        <v>1.208E-4</v>
      </c>
      <c r="K3838" s="9">
        <v>0</v>
      </c>
      <c r="L3838" s="9">
        <v>1.2666000000000001E-4</v>
      </c>
      <c r="M3838" s="9">
        <v>1.2701999999999999E-4</v>
      </c>
      <c r="N3838" s="9">
        <v>1.3851E-4</v>
      </c>
      <c r="O3838" s="9">
        <v>1.3009E-4</v>
      </c>
      <c r="P3838" s="9">
        <v>1.2876000000000001E-4</v>
      </c>
      <c r="Q3838" s="9">
        <v>1.1771E-4</v>
      </c>
      <c r="R3838" s="10">
        <v>9.4352671876007813E-5</v>
      </c>
      <c r="S3838" s="10">
        <v>8.9848779063478101E-5</v>
      </c>
      <c r="T3838" s="10">
        <v>1.6176165140981721E-4</v>
      </c>
      <c r="U3838" s="10">
        <v>1.0075E-4</v>
      </c>
      <c r="V3838" s="25"/>
      <c r="W3838" s="25"/>
      <c r="X3838" s="25"/>
      <c r="Y3838" s="25"/>
      <c r="Z3838" s="25"/>
      <c r="AA3838" s="25"/>
    </row>
    <row r="3839" spans="1:27" x14ac:dyDescent="0.35">
      <c r="A3839" s="5">
        <v>3835</v>
      </c>
      <c r="B3839" s="5">
        <v>160</v>
      </c>
      <c r="C3839" s="5">
        <v>6</v>
      </c>
      <c r="D3839" s="25">
        <v>1.1416E-4</v>
      </c>
      <c r="E3839" s="25">
        <v>1.1563E-4</v>
      </c>
      <c r="F3839" s="25">
        <v>8.6219999999999998E-5</v>
      </c>
      <c r="G3839" s="25">
        <v>1.0686E-4</v>
      </c>
      <c r="H3839" s="25">
        <v>8.4469999999999996E-5</v>
      </c>
      <c r="I3839" s="9">
        <v>1.1124999999999999E-4</v>
      </c>
      <c r="J3839" s="9">
        <v>1.1801E-4</v>
      </c>
      <c r="K3839" s="9">
        <v>0</v>
      </c>
      <c r="L3839" s="9">
        <v>1.2925E-4</v>
      </c>
      <c r="M3839" s="9">
        <v>1.2619000000000001E-4</v>
      </c>
      <c r="N3839" s="9">
        <v>1.2955E-4</v>
      </c>
      <c r="O3839" s="9">
        <v>1.2998E-4</v>
      </c>
      <c r="P3839" s="9">
        <v>1.2308999999999999E-4</v>
      </c>
      <c r="Q3839" s="9">
        <v>1.0655E-4</v>
      </c>
      <c r="R3839" s="10">
        <v>1.0475683767265663E-4</v>
      </c>
      <c r="S3839" s="10">
        <v>9.2135267121694865E-5</v>
      </c>
      <c r="T3839" s="10">
        <v>3.7865427999686057E-5</v>
      </c>
      <c r="U3839" s="10">
        <v>1.0075E-4</v>
      </c>
      <c r="V3839" s="25"/>
      <c r="W3839" s="25"/>
      <c r="X3839" s="25"/>
      <c r="Y3839" s="25"/>
      <c r="Z3839" s="25"/>
      <c r="AA3839" s="25"/>
    </row>
    <row r="3840" spans="1:27" x14ac:dyDescent="0.35">
      <c r="A3840" s="5">
        <v>3836</v>
      </c>
      <c r="B3840" s="5">
        <v>160</v>
      </c>
      <c r="C3840" s="5">
        <v>6</v>
      </c>
      <c r="D3840" s="25">
        <v>1.1415000000000001E-4</v>
      </c>
      <c r="E3840" s="25">
        <v>1.1272E-4</v>
      </c>
      <c r="F3840" s="25">
        <v>9.2460000000000006E-5</v>
      </c>
      <c r="G3840" s="25">
        <v>1.1029E-4</v>
      </c>
      <c r="H3840" s="25">
        <v>7.8269999999999994E-5</v>
      </c>
      <c r="I3840" s="9">
        <v>1.1017E-4</v>
      </c>
      <c r="J3840" s="9">
        <v>1.1566E-4</v>
      </c>
      <c r="K3840" s="9">
        <v>3.6029999999999999E-5</v>
      </c>
      <c r="L3840" s="9">
        <v>1.2977999999999999E-4</v>
      </c>
      <c r="M3840" s="9">
        <v>1.2516E-4</v>
      </c>
      <c r="N3840" s="9">
        <v>1.204E-4</v>
      </c>
      <c r="O3840" s="9">
        <v>1.3310000000000001E-4</v>
      </c>
      <c r="P3840" s="9">
        <v>1.2264E-4</v>
      </c>
      <c r="Q3840" s="9">
        <v>1.0218E-4</v>
      </c>
      <c r="R3840" s="10">
        <v>1.1119844611608608E-4</v>
      </c>
      <c r="S3840" s="10">
        <v>9.6273033616140543E-5</v>
      </c>
      <c r="T3840" s="10">
        <v>1.1072010651935985E-5</v>
      </c>
      <c r="U3840" s="10">
        <v>1.0075E-4</v>
      </c>
      <c r="V3840" s="25"/>
      <c r="W3840" s="25"/>
      <c r="X3840" s="25"/>
      <c r="Y3840" s="25"/>
      <c r="Z3840" s="25"/>
      <c r="AA3840" s="25"/>
    </row>
    <row r="3841" spans="1:27" x14ac:dyDescent="0.35">
      <c r="A3841" s="5">
        <v>3837</v>
      </c>
      <c r="B3841" s="5">
        <v>160</v>
      </c>
      <c r="C3841" s="5">
        <v>6</v>
      </c>
      <c r="D3841" s="25">
        <v>1.1416E-4</v>
      </c>
      <c r="E3841" s="25">
        <v>1.2291E-4</v>
      </c>
      <c r="F3841" s="25">
        <v>9.3800000000000003E-5</v>
      </c>
      <c r="G3841" s="25">
        <v>5.3810000000000001E-5</v>
      </c>
      <c r="H3841" s="25">
        <v>4.1159999999999999E-5</v>
      </c>
      <c r="I3841" s="9">
        <v>1.0912E-4</v>
      </c>
      <c r="J3841" s="9">
        <v>1.1265E-4</v>
      </c>
      <c r="K3841" s="9">
        <v>5.9349999999999999E-5</v>
      </c>
      <c r="L3841" s="9">
        <v>1.3238E-4</v>
      </c>
      <c r="M3841" s="9">
        <v>1.2400000000000001E-4</v>
      </c>
      <c r="N3841" s="9">
        <v>1.1288E-4</v>
      </c>
      <c r="O3841" s="9">
        <v>8.2280000000000005E-5</v>
      </c>
      <c r="P3841" s="9">
        <v>8.6409999999999994E-5</v>
      </c>
      <c r="Q3841" s="9">
        <v>8.8410000000000002E-5</v>
      </c>
      <c r="R3841" s="10">
        <v>1.2509587686158498E-4</v>
      </c>
      <c r="S3841" s="10">
        <v>9.5428679286181444E-5</v>
      </c>
      <c r="T3841" s="10">
        <v>0</v>
      </c>
      <c r="U3841" s="10">
        <v>1.0075E-4</v>
      </c>
      <c r="V3841" s="25"/>
      <c r="W3841" s="25"/>
      <c r="X3841" s="25"/>
      <c r="Y3841" s="25"/>
      <c r="Z3841" s="25"/>
      <c r="AA3841" s="25"/>
    </row>
    <row r="3842" spans="1:27" x14ac:dyDescent="0.35">
      <c r="A3842" s="5">
        <v>3838</v>
      </c>
      <c r="B3842" s="5">
        <v>160</v>
      </c>
      <c r="C3842" s="5">
        <v>6</v>
      </c>
      <c r="D3842" s="25">
        <v>1.1415000000000001E-4</v>
      </c>
      <c r="E3842" s="25">
        <v>1.2044000000000001E-4</v>
      </c>
      <c r="F3842" s="25">
        <v>8.4300000000000003E-5</v>
      </c>
      <c r="G3842" s="25">
        <v>6.232E-5</v>
      </c>
      <c r="H3842" s="25">
        <v>3.8840000000000001E-5</v>
      </c>
      <c r="I3842" s="9">
        <v>1.1197E-4</v>
      </c>
      <c r="J3842" s="9">
        <v>1.116E-4</v>
      </c>
      <c r="K3842" s="9">
        <v>8.6890000000000003E-5</v>
      </c>
      <c r="L3842" s="9">
        <v>9.3239999999999995E-5</v>
      </c>
      <c r="M3842" s="9">
        <v>1.1013E-4</v>
      </c>
      <c r="N3842" s="9">
        <v>1.0543E-4</v>
      </c>
      <c r="O3842" s="9">
        <v>8.4939999999999997E-5</v>
      </c>
      <c r="P3842" s="9">
        <v>8.8079999999999997E-5</v>
      </c>
      <c r="Q3842" s="9">
        <v>8.8739999999999994E-5</v>
      </c>
      <c r="R3842" s="10">
        <v>1.4976441946807842E-4</v>
      </c>
      <c r="S3842" s="10">
        <v>9.3236880775515062E-5</v>
      </c>
      <c r="T3842" s="10">
        <v>0</v>
      </c>
      <c r="U3842" s="10">
        <v>1.0075E-4</v>
      </c>
      <c r="V3842" s="25"/>
      <c r="W3842" s="25"/>
      <c r="X3842" s="25"/>
      <c r="Y3842" s="25"/>
      <c r="Z3842" s="25"/>
      <c r="AA3842" s="25"/>
    </row>
    <row r="3843" spans="1:27" x14ac:dyDescent="0.35">
      <c r="A3843" s="5">
        <v>3839</v>
      </c>
      <c r="B3843" s="5">
        <v>160</v>
      </c>
      <c r="C3843" s="5">
        <v>6</v>
      </c>
      <c r="D3843" s="25">
        <v>1.1416E-4</v>
      </c>
      <c r="E3843" s="25">
        <v>1.1353000000000001E-4</v>
      </c>
      <c r="F3843" s="25">
        <v>1.0268E-4</v>
      </c>
      <c r="G3843" s="25">
        <v>5.2320000000000001E-5</v>
      </c>
      <c r="H3843" s="25">
        <v>4.0269999999999999E-5</v>
      </c>
      <c r="I3843" s="9">
        <v>1.0785000000000001E-4</v>
      </c>
      <c r="J3843" s="9">
        <v>1.0686E-4</v>
      </c>
      <c r="K3843" s="9">
        <v>9.9610000000000003E-5</v>
      </c>
      <c r="L3843" s="9">
        <v>8.7849999999999994E-5</v>
      </c>
      <c r="M3843" s="9">
        <v>9.8460000000000003E-5</v>
      </c>
      <c r="N3843" s="9">
        <v>9.9829999999999998E-5</v>
      </c>
      <c r="O3843" s="9">
        <v>8.2620000000000005E-5</v>
      </c>
      <c r="P3843" s="9">
        <v>7.5920000000000005E-5</v>
      </c>
      <c r="Q3843" s="9">
        <v>6.7249999999999995E-5</v>
      </c>
      <c r="R3843" s="10">
        <v>1.6611195520635326E-4</v>
      </c>
      <c r="S3843" s="10">
        <v>8.8271499727590237E-5</v>
      </c>
      <c r="T3843" s="10">
        <v>0</v>
      </c>
      <c r="U3843" s="10">
        <v>1.0075E-4</v>
      </c>
      <c r="V3843" s="25"/>
      <c r="W3843" s="25"/>
      <c r="X3843" s="25"/>
      <c r="Y3843" s="25"/>
      <c r="Z3843" s="25"/>
      <c r="AA3843" s="25"/>
    </row>
    <row r="3844" spans="1:27" x14ac:dyDescent="0.35">
      <c r="A3844" s="5">
        <v>3840</v>
      </c>
      <c r="B3844" s="5">
        <v>160</v>
      </c>
      <c r="C3844" s="5">
        <v>6</v>
      </c>
      <c r="D3844" s="25">
        <v>1.1415000000000001E-4</v>
      </c>
      <c r="E3844" s="25">
        <v>1.181E-4</v>
      </c>
      <c r="F3844" s="25">
        <v>8.6390000000000005E-5</v>
      </c>
      <c r="G3844" s="25">
        <v>5.5040000000000002E-5</v>
      </c>
      <c r="H3844" s="25">
        <v>4.2629999999999997E-5</v>
      </c>
      <c r="I3844" s="9">
        <v>1.0007E-4</v>
      </c>
      <c r="J3844" s="9">
        <v>9.9010000000000002E-5</v>
      </c>
      <c r="K3844" s="9">
        <v>1.0809E-4</v>
      </c>
      <c r="L3844" s="9">
        <v>8.3960000000000003E-5</v>
      </c>
      <c r="M3844" s="9">
        <v>8.7609999999999996E-5</v>
      </c>
      <c r="N3844" s="9">
        <v>9.0699999999999996E-5</v>
      </c>
      <c r="O3844" s="9">
        <v>7.6940000000000005E-5</v>
      </c>
      <c r="P3844" s="9">
        <v>6.8269999999999995E-5</v>
      </c>
      <c r="Q3844" s="9">
        <v>5.8440000000000003E-5</v>
      </c>
      <c r="R3844" s="10">
        <v>1.9144158285527816E-4</v>
      </c>
      <c r="S3844" s="10">
        <v>1.0960200679476471E-4</v>
      </c>
      <c r="T3844" s="10">
        <v>0</v>
      </c>
      <c r="U3844" s="10">
        <v>1.0075E-4</v>
      </c>
      <c r="V3844" s="25"/>
      <c r="W3844" s="25"/>
      <c r="X3844" s="25"/>
      <c r="Y3844" s="25"/>
      <c r="Z3844" s="25"/>
      <c r="AA3844" s="25"/>
    </row>
    <row r="3845" spans="1:27" x14ac:dyDescent="0.35">
      <c r="A3845" s="5">
        <v>3841</v>
      </c>
      <c r="B3845" s="5">
        <v>161</v>
      </c>
      <c r="C3845" s="5">
        <v>6</v>
      </c>
      <c r="D3845" s="25">
        <v>1.1416E-4</v>
      </c>
      <c r="E3845" s="25">
        <v>1.1531000000000001E-4</v>
      </c>
      <c r="F3845" s="25">
        <v>1.2904999999999999E-4</v>
      </c>
      <c r="G3845" s="25">
        <v>5.7840000000000002E-5</v>
      </c>
      <c r="H3845" s="25">
        <v>1.5330000000000001E-5</v>
      </c>
      <c r="I3845" s="9">
        <v>9.6269999999999998E-5</v>
      </c>
      <c r="J3845" s="9">
        <v>9.3070000000000002E-5</v>
      </c>
      <c r="K3845" s="9">
        <v>1.5259E-4</v>
      </c>
      <c r="L3845" s="9">
        <v>7.8300000000000006E-5</v>
      </c>
      <c r="M3845" s="9">
        <v>7.8189999999999995E-5</v>
      </c>
      <c r="N3845" s="9">
        <v>8.1230000000000007E-5</v>
      </c>
      <c r="O3845" s="9">
        <v>6.834E-5</v>
      </c>
      <c r="P3845" s="9">
        <v>6.0850000000000002E-5</v>
      </c>
      <c r="Q3845" s="9">
        <v>5.3659999999999998E-5</v>
      </c>
      <c r="R3845" s="10">
        <v>1.8203327931088696E-4</v>
      </c>
      <c r="S3845" s="10">
        <v>9.3525821189743562E-5</v>
      </c>
      <c r="T3845" s="10">
        <v>0</v>
      </c>
      <c r="U3845" s="10">
        <v>1.0041E-4</v>
      </c>
      <c r="V3845" s="25"/>
      <c r="W3845" s="25"/>
      <c r="X3845" s="25"/>
      <c r="Y3845" s="25"/>
      <c r="Z3845" s="25"/>
      <c r="AA3845" s="25"/>
    </row>
    <row r="3846" spans="1:27" x14ac:dyDescent="0.35">
      <c r="A3846" s="5">
        <v>3842</v>
      </c>
      <c r="B3846" s="5">
        <v>161</v>
      </c>
      <c r="C3846" s="5">
        <v>6</v>
      </c>
      <c r="D3846" s="25">
        <v>1.1415000000000001E-4</v>
      </c>
      <c r="E3846" s="25">
        <v>1.1731E-4</v>
      </c>
      <c r="F3846" s="25">
        <v>1.3537999999999999E-4</v>
      </c>
      <c r="G3846" s="25">
        <v>5.5000000000000002E-5</v>
      </c>
      <c r="H3846" s="25">
        <v>1.418E-5</v>
      </c>
      <c r="I3846" s="9">
        <v>9.3490000000000001E-5</v>
      </c>
      <c r="J3846" s="9">
        <v>9.0710000000000004E-5</v>
      </c>
      <c r="K3846" s="9">
        <v>1.6107E-4</v>
      </c>
      <c r="L3846" s="9">
        <v>7.0679999999999994E-5</v>
      </c>
      <c r="M3846" s="9">
        <v>6.9729999999999998E-5</v>
      </c>
      <c r="N3846" s="9">
        <v>7.2169999999999995E-5</v>
      </c>
      <c r="O3846" s="9">
        <v>4.0040000000000003E-5</v>
      </c>
      <c r="P3846" s="9">
        <v>4.5779999999999999E-5</v>
      </c>
      <c r="Q3846" s="9">
        <v>5.6100000000000002E-5</v>
      </c>
      <c r="R3846" s="10">
        <v>1.7421705990978021E-4</v>
      </c>
      <c r="S3846" s="10">
        <v>8.2350073778498579E-5</v>
      </c>
      <c r="T3846" s="10">
        <v>0</v>
      </c>
      <c r="U3846" s="10">
        <v>1.0041E-4</v>
      </c>
      <c r="V3846" s="25"/>
      <c r="W3846" s="25"/>
      <c r="X3846" s="25"/>
      <c r="Y3846" s="25"/>
      <c r="Z3846" s="25"/>
      <c r="AA3846" s="25"/>
    </row>
    <row r="3847" spans="1:27" x14ac:dyDescent="0.35">
      <c r="A3847" s="5">
        <v>3843</v>
      </c>
      <c r="B3847" s="5">
        <v>161</v>
      </c>
      <c r="C3847" s="5">
        <v>6</v>
      </c>
      <c r="D3847" s="25">
        <v>1.1416E-4</v>
      </c>
      <c r="E3847" s="25">
        <v>1.1255E-4</v>
      </c>
      <c r="F3847" s="25">
        <v>1.2222000000000001E-4</v>
      </c>
      <c r="G3847" s="25">
        <v>5.5640000000000003E-5</v>
      </c>
      <c r="H3847" s="25">
        <v>1.4229999999999999E-5</v>
      </c>
      <c r="I3847" s="9">
        <v>9.1719999999999996E-5</v>
      </c>
      <c r="J3847" s="9">
        <v>8.9279999999999999E-5</v>
      </c>
      <c r="K3847" s="9">
        <v>1.7803E-4</v>
      </c>
      <c r="L3847" s="9">
        <v>4.6980000000000001E-5</v>
      </c>
      <c r="M3847" s="9">
        <v>5.9110000000000002E-5</v>
      </c>
      <c r="N3847" s="9">
        <v>6.5560000000000002E-5</v>
      </c>
      <c r="O3847" s="9">
        <v>2.9009999999999998E-5</v>
      </c>
      <c r="P3847" s="9">
        <v>4.227E-5</v>
      </c>
      <c r="Q3847" s="9">
        <v>6.1840000000000004E-5</v>
      </c>
      <c r="R3847" s="10">
        <v>1.6625748845898331E-4</v>
      </c>
      <c r="S3847" s="10">
        <v>7.3552293772167687E-5</v>
      </c>
      <c r="T3847" s="10">
        <v>0</v>
      </c>
      <c r="U3847" s="10">
        <v>1.0041E-4</v>
      </c>
      <c r="V3847" s="25"/>
      <c r="W3847" s="25"/>
      <c r="X3847" s="25"/>
      <c r="Y3847" s="25"/>
      <c r="Z3847" s="25"/>
      <c r="AA3847" s="25"/>
    </row>
    <row r="3848" spans="1:27" x14ac:dyDescent="0.35">
      <c r="A3848" s="5">
        <v>3844</v>
      </c>
      <c r="B3848" s="5">
        <v>161</v>
      </c>
      <c r="C3848" s="5">
        <v>6</v>
      </c>
      <c r="D3848" s="25">
        <v>1.1415000000000001E-4</v>
      </c>
      <c r="E3848" s="25">
        <v>1.1192999999999999E-4</v>
      </c>
      <c r="F3848" s="25">
        <v>1.3882E-4</v>
      </c>
      <c r="G3848" s="25">
        <v>6.355E-5</v>
      </c>
      <c r="H3848" s="25">
        <v>1.375E-5</v>
      </c>
      <c r="I3848" s="9">
        <v>9.2130000000000001E-5</v>
      </c>
      <c r="J3848" s="9">
        <v>8.9850000000000002E-5</v>
      </c>
      <c r="K3848" s="9">
        <v>1.8437999999999999E-4</v>
      </c>
      <c r="L3848" s="9">
        <v>3.3590000000000002E-5</v>
      </c>
      <c r="M3848" s="9">
        <v>5.0510000000000003E-5</v>
      </c>
      <c r="N3848" s="9">
        <v>6.2000000000000003E-5</v>
      </c>
      <c r="O3848" s="9">
        <v>2.8600000000000001E-5</v>
      </c>
      <c r="P3848" s="9">
        <v>5.1600000000000001E-5</v>
      </c>
      <c r="Q3848" s="9">
        <v>8.0829999999999997E-5</v>
      </c>
      <c r="R3848" s="10">
        <v>1.6103924557262956E-4</v>
      </c>
      <c r="S3848" s="10">
        <v>6.3062187010235125E-5</v>
      </c>
      <c r="T3848" s="10">
        <v>0</v>
      </c>
      <c r="U3848" s="10">
        <v>1.0041E-4</v>
      </c>
      <c r="V3848" s="25"/>
      <c r="W3848" s="25"/>
      <c r="X3848" s="25"/>
      <c r="Y3848" s="25"/>
      <c r="Z3848" s="25"/>
      <c r="AA3848" s="25"/>
    </row>
    <row r="3849" spans="1:27" x14ac:dyDescent="0.35">
      <c r="A3849" s="5">
        <v>3845</v>
      </c>
      <c r="B3849" s="5">
        <v>161</v>
      </c>
      <c r="C3849" s="5">
        <v>6</v>
      </c>
      <c r="D3849" s="25">
        <v>1.1416E-4</v>
      </c>
      <c r="E3849" s="25">
        <v>1.1525E-4</v>
      </c>
      <c r="F3849" s="25">
        <v>1.3061999999999999E-4</v>
      </c>
      <c r="G3849" s="25">
        <v>5.5829999999999999E-5</v>
      </c>
      <c r="H3849" s="25">
        <v>1.5449999999999999E-5</v>
      </c>
      <c r="I3849" s="9">
        <v>9.5069999999999996E-5</v>
      </c>
      <c r="J3849" s="9">
        <v>9.0799999999999998E-5</v>
      </c>
      <c r="K3849" s="9">
        <v>1.1869E-4</v>
      </c>
      <c r="L3849" s="9">
        <v>3.0029999999999999E-5</v>
      </c>
      <c r="M3849" s="9">
        <v>4.8900000000000003E-5</v>
      </c>
      <c r="N3849" s="9">
        <v>6.4610000000000007E-5</v>
      </c>
      <c r="O3849" s="9">
        <v>2.987E-5</v>
      </c>
      <c r="P3849" s="9">
        <v>5.8579999999999998E-5</v>
      </c>
      <c r="Q3849" s="9">
        <v>9.31E-5</v>
      </c>
      <c r="R3849" s="10">
        <v>1.6064571654363847E-4</v>
      </c>
      <c r="S3849" s="10">
        <v>5.8721439306185243E-5</v>
      </c>
      <c r="T3849" s="10">
        <v>1.4406340296541995E-5</v>
      </c>
      <c r="U3849" s="10">
        <v>1.0041E-4</v>
      </c>
      <c r="V3849" s="25"/>
      <c r="W3849" s="25"/>
      <c r="X3849" s="25"/>
      <c r="Y3849" s="25"/>
      <c r="Z3849" s="25"/>
      <c r="AA3849" s="25"/>
    </row>
    <row r="3850" spans="1:27" x14ac:dyDescent="0.35">
      <c r="A3850" s="5">
        <v>3846</v>
      </c>
      <c r="B3850" s="5">
        <v>161</v>
      </c>
      <c r="C3850" s="5">
        <v>6</v>
      </c>
      <c r="D3850" s="25">
        <v>1.1415000000000001E-4</v>
      </c>
      <c r="E3850" s="25">
        <v>1.1933E-4</v>
      </c>
      <c r="F3850" s="25">
        <v>1.2069E-4</v>
      </c>
      <c r="G3850" s="25">
        <v>1.1556E-4</v>
      </c>
      <c r="H3850" s="25">
        <v>2.6570000000000001E-5</v>
      </c>
      <c r="I3850" s="9">
        <v>1.0362E-4</v>
      </c>
      <c r="J3850" s="9">
        <v>9.8670000000000002E-5</v>
      </c>
      <c r="K3850" s="9">
        <v>2.968E-5</v>
      </c>
      <c r="L3850" s="9">
        <v>2.9839999999999999E-5</v>
      </c>
      <c r="M3850" s="9">
        <v>5.2320000000000001E-5</v>
      </c>
      <c r="N3850" s="9">
        <v>7.1030000000000003E-5</v>
      </c>
      <c r="O3850" s="9">
        <v>3.57E-5</v>
      </c>
      <c r="P3850" s="9">
        <v>6.9309999999999999E-5</v>
      </c>
      <c r="Q3850" s="9">
        <v>1.0787E-4</v>
      </c>
      <c r="R3850" s="10">
        <v>1.5451837369275846E-4</v>
      </c>
      <c r="S3850" s="10">
        <v>6.3036103758691971E-5</v>
      </c>
      <c r="T3850" s="10">
        <v>4.4958302256405199E-5</v>
      </c>
      <c r="U3850" s="10">
        <v>1.0041E-4</v>
      </c>
      <c r="V3850" s="25"/>
      <c r="W3850" s="25"/>
      <c r="X3850" s="25"/>
      <c r="Y3850" s="25"/>
      <c r="Z3850" s="25"/>
      <c r="AA3850" s="25"/>
    </row>
    <row r="3851" spans="1:27" x14ac:dyDescent="0.35">
      <c r="A3851" s="5">
        <v>3847</v>
      </c>
      <c r="B3851" s="5">
        <v>161</v>
      </c>
      <c r="C3851" s="5">
        <v>6</v>
      </c>
      <c r="D3851" s="25">
        <v>1.1416E-4</v>
      </c>
      <c r="E3851" s="25">
        <v>1.2134E-4</v>
      </c>
      <c r="F3851" s="25">
        <v>1.3596999999999999E-4</v>
      </c>
      <c r="G3851" s="25">
        <v>1.0942000000000001E-4</v>
      </c>
      <c r="H3851" s="25">
        <v>2.6720000000000002E-5</v>
      </c>
      <c r="I3851" s="9">
        <v>1.1223E-4</v>
      </c>
      <c r="J3851" s="9">
        <v>1.1256000000000001E-4</v>
      </c>
      <c r="K3851" s="9">
        <v>0</v>
      </c>
      <c r="L3851" s="9">
        <v>3.434E-5</v>
      </c>
      <c r="M3851" s="9">
        <v>5.9450000000000002E-5</v>
      </c>
      <c r="N3851" s="9">
        <v>8.0909999999999996E-5</v>
      </c>
      <c r="O3851" s="9">
        <v>4.8980000000000002E-5</v>
      </c>
      <c r="P3851" s="9">
        <v>7.8800000000000004E-5</v>
      </c>
      <c r="Q3851" s="9">
        <v>1.1131E-4</v>
      </c>
      <c r="R3851" s="10">
        <v>1.3592393481646765E-4</v>
      </c>
      <c r="S3851" s="10">
        <v>7.0094791806552708E-5</v>
      </c>
      <c r="T3851" s="10">
        <v>1.7981624042692049E-4</v>
      </c>
      <c r="U3851" s="10">
        <v>1.0041E-4</v>
      </c>
      <c r="V3851" s="25"/>
      <c r="W3851" s="25"/>
      <c r="X3851" s="25"/>
      <c r="Y3851" s="25"/>
      <c r="Z3851" s="25"/>
      <c r="AA3851" s="25"/>
    </row>
    <row r="3852" spans="1:27" x14ac:dyDescent="0.35">
      <c r="A3852" s="5">
        <v>3848</v>
      </c>
      <c r="B3852" s="5">
        <v>161</v>
      </c>
      <c r="C3852" s="5">
        <v>6</v>
      </c>
      <c r="D3852" s="25">
        <v>1.1415000000000001E-4</v>
      </c>
      <c r="E3852" s="25">
        <v>1.2095E-4</v>
      </c>
      <c r="F3852" s="25">
        <v>1.1652E-4</v>
      </c>
      <c r="G3852" s="25">
        <v>1.5719E-4</v>
      </c>
      <c r="H3852" s="25">
        <v>3.8810000000000003E-5</v>
      </c>
      <c r="I3852" s="9">
        <v>1.1468000000000001E-4</v>
      </c>
      <c r="J3852" s="9">
        <v>1.2186E-4</v>
      </c>
      <c r="K3852" s="9">
        <v>0</v>
      </c>
      <c r="L3852" s="9">
        <v>4.562E-5</v>
      </c>
      <c r="M3852" s="9">
        <v>6.8230000000000002E-5</v>
      </c>
      <c r="N3852" s="9">
        <v>9.0740000000000002E-5</v>
      </c>
      <c r="O3852" s="9">
        <v>6.8780000000000002E-5</v>
      </c>
      <c r="P3852" s="9">
        <v>1.0343E-4</v>
      </c>
      <c r="Q3852" s="9">
        <v>1.3772E-4</v>
      </c>
      <c r="R3852" s="10">
        <v>1.004445906825483E-4</v>
      </c>
      <c r="S3852" s="10">
        <v>7.4787020360880639E-5</v>
      </c>
      <c r="T3852" s="10">
        <v>3.6082876706221111E-4</v>
      </c>
      <c r="U3852" s="10">
        <v>1.0041E-4</v>
      </c>
      <c r="V3852" s="25"/>
      <c r="W3852" s="25"/>
      <c r="X3852" s="25"/>
      <c r="Y3852" s="25"/>
      <c r="Z3852" s="25"/>
      <c r="AA3852" s="25"/>
    </row>
    <row r="3853" spans="1:27" x14ac:dyDescent="0.35">
      <c r="A3853" s="5">
        <v>3849</v>
      </c>
      <c r="B3853" s="5">
        <v>161</v>
      </c>
      <c r="C3853" s="5">
        <v>6</v>
      </c>
      <c r="D3853" s="25">
        <v>1.1416E-4</v>
      </c>
      <c r="E3853" s="25">
        <v>1.1847E-4</v>
      </c>
      <c r="F3853" s="25">
        <v>1.3114999999999999E-4</v>
      </c>
      <c r="G3853" s="25">
        <v>1.6435000000000001E-4</v>
      </c>
      <c r="H3853" s="25">
        <v>4.1170000000000001E-5</v>
      </c>
      <c r="I3853" s="9">
        <v>1.1254E-4</v>
      </c>
      <c r="J3853" s="9">
        <v>1.2551000000000001E-4</v>
      </c>
      <c r="K3853" s="9">
        <v>0</v>
      </c>
      <c r="L3853" s="9">
        <v>6.3380000000000006E-5</v>
      </c>
      <c r="M3853" s="9">
        <v>8.3059999999999994E-5</v>
      </c>
      <c r="N3853" s="9">
        <v>1.0469E-4</v>
      </c>
      <c r="O3853" s="9">
        <v>9.5110000000000002E-5</v>
      </c>
      <c r="P3853" s="9">
        <v>1.3831E-4</v>
      </c>
      <c r="Q3853" s="9">
        <v>1.7672E-4</v>
      </c>
      <c r="R3853" s="10">
        <v>5.2076855671933137E-5</v>
      </c>
      <c r="S3853" s="10">
        <v>7.7273723126906476E-5</v>
      </c>
      <c r="T3853" s="10">
        <v>5.1815312991190386E-4</v>
      </c>
      <c r="U3853" s="10">
        <v>1.0041E-4</v>
      </c>
      <c r="V3853" s="25"/>
      <c r="W3853" s="25"/>
      <c r="X3853" s="25"/>
      <c r="Y3853" s="25"/>
      <c r="Z3853" s="25"/>
      <c r="AA3853" s="25"/>
    </row>
    <row r="3854" spans="1:27" x14ac:dyDescent="0.35">
      <c r="A3854" s="5">
        <v>3850</v>
      </c>
      <c r="B3854" s="5">
        <v>161</v>
      </c>
      <c r="C3854" s="5">
        <v>6</v>
      </c>
      <c r="D3854" s="25">
        <v>1.1415000000000001E-4</v>
      </c>
      <c r="E3854" s="25">
        <v>1.1003E-4</v>
      </c>
      <c r="F3854" s="25">
        <v>1.2956999999999999E-4</v>
      </c>
      <c r="G3854" s="25">
        <v>1.6553E-4</v>
      </c>
      <c r="H3854" s="25">
        <v>4.125E-5</v>
      </c>
      <c r="I3854" s="9">
        <v>1.088E-4</v>
      </c>
      <c r="J3854" s="9">
        <v>1.2563E-4</v>
      </c>
      <c r="K3854" s="9">
        <v>0</v>
      </c>
      <c r="L3854" s="9">
        <v>8.7659999999999998E-5</v>
      </c>
      <c r="M3854" s="9">
        <v>1.0671E-4</v>
      </c>
      <c r="N3854" s="9">
        <v>1.2464999999999999E-4</v>
      </c>
      <c r="O3854" s="9">
        <v>1.1856E-4</v>
      </c>
      <c r="P3854" s="9">
        <v>1.5375E-4</v>
      </c>
      <c r="Q3854" s="9">
        <v>1.8039E-4</v>
      </c>
      <c r="R3854" s="10">
        <v>5.550805077548125E-5</v>
      </c>
      <c r="S3854" s="10">
        <v>8.3724095261595365E-5</v>
      </c>
      <c r="T3854" s="10">
        <v>6.2698972197553198E-4</v>
      </c>
      <c r="U3854" s="10">
        <v>1.0041E-4</v>
      </c>
      <c r="V3854" s="25"/>
      <c r="W3854" s="25"/>
      <c r="X3854" s="25"/>
      <c r="Y3854" s="25"/>
      <c r="Z3854" s="25"/>
      <c r="AA3854" s="25"/>
    </row>
    <row r="3855" spans="1:27" x14ac:dyDescent="0.35">
      <c r="A3855" s="5">
        <v>3851</v>
      </c>
      <c r="B3855" s="5">
        <v>161</v>
      </c>
      <c r="C3855" s="5">
        <v>6</v>
      </c>
      <c r="D3855" s="25">
        <v>1.1416E-4</v>
      </c>
      <c r="E3855" s="25">
        <v>1.1743000000000001E-4</v>
      </c>
      <c r="F3855" s="25">
        <v>1.1955000000000001E-4</v>
      </c>
      <c r="G3855" s="25">
        <v>1.6437999999999999E-4</v>
      </c>
      <c r="H3855" s="25">
        <v>4.091E-5</v>
      </c>
      <c r="I3855" s="9">
        <v>1.0760999999999999E-4</v>
      </c>
      <c r="J3855" s="9">
        <v>1.2567000000000001E-4</v>
      </c>
      <c r="K3855" s="9">
        <v>0</v>
      </c>
      <c r="L3855" s="9">
        <v>1.1116E-4</v>
      </c>
      <c r="M3855" s="9">
        <v>1.2961E-4</v>
      </c>
      <c r="N3855" s="9">
        <v>1.4234999999999999E-4</v>
      </c>
      <c r="O3855" s="9">
        <v>1.2630000000000001E-4</v>
      </c>
      <c r="P3855" s="9">
        <v>1.5739000000000001E-4</v>
      </c>
      <c r="Q3855" s="9">
        <v>1.7885000000000001E-4</v>
      </c>
      <c r="R3855" s="10">
        <v>7.7075328257000198E-5</v>
      </c>
      <c r="S3855" s="10">
        <v>9.0863474787363546E-5</v>
      </c>
      <c r="T3855" s="10">
        <v>6.2430868338088699E-4</v>
      </c>
      <c r="U3855" s="10">
        <v>1.0041E-4</v>
      </c>
      <c r="V3855" s="25"/>
      <c r="W3855" s="25"/>
      <c r="X3855" s="25"/>
      <c r="Y3855" s="25"/>
      <c r="Z3855" s="25"/>
      <c r="AA3855" s="25"/>
    </row>
    <row r="3856" spans="1:27" x14ac:dyDescent="0.35">
      <c r="A3856" s="5">
        <v>3852</v>
      </c>
      <c r="B3856" s="5">
        <v>161</v>
      </c>
      <c r="C3856" s="5">
        <v>6</v>
      </c>
      <c r="D3856" s="25">
        <v>1.1415000000000001E-4</v>
      </c>
      <c r="E3856" s="25">
        <v>1.1425999999999999E-4</v>
      </c>
      <c r="F3856" s="25">
        <v>1.3847999999999999E-4</v>
      </c>
      <c r="G3856" s="25">
        <v>1.6684999999999999E-4</v>
      </c>
      <c r="H3856" s="25">
        <v>4.066E-5</v>
      </c>
      <c r="I3856" s="9">
        <v>1.0199E-4</v>
      </c>
      <c r="J3856" s="9">
        <v>1.2409000000000001E-4</v>
      </c>
      <c r="K3856" s="9">
        <v>0</v>
      </c>
      <c r="L3856" s="9">
        <v>1.2243000000000001E-4</v>
      </c>
      <c r="M3856" s="9">
        <v>1.4501E-4</v>
      </c>
      <c r="N3856" s="9">
        <v>1.5626999999999999E-4</v>
      </c>
      <c r="O3856" s="9">
        <v>1.2688E-4</v>
      </c>
      <c r="P3856" s="9">
        <v>1.5467000000000001E-4</v>
      </c>
      <c r="Q3856" s="9">
        <v>1.7272000000000001E-4</v>
      </c>
      <c r="R3856" s="10">
        <v>6.9917296992269267E-5</v>
      </c>
      <c r="S3856" s="10">
        <v>8.9701825585356047E-5</v>
      </c>
      <c r="T3856" s="10">
        <v>6.6129174424815816E-4</v>
      </c>
      <c r="U3856" s="10">
        <v>1.0041E-4</v>
      </c>
      <c r="V3856" s="25"/>
      <c r="W3856" s="25"/>
      <c r="X3856" s="25"/>
      <c r="Y3856" s="25"/>
      <c r="Z3856" s="25"/>
      <c r="AA3856" s="25"/>
    </row>
    <row r="3857" spans="1:27" x14ac:dyDescent="0.35">
      <c r="A3857" s="5">
        <v>3853</v>
      </c>
      <c r="B3857" s="5">
        <v>161</v>
      </c>
      <c r="C3857" s="5">
        <v>6</v>
      </c>
      <c r="D3857" s="25">
        <v>1.1416E-4</v>
      </c>
      <c r="E3857" s="25">
        <v>1.2064E-4</v>
      </c>
      <c r="F3857" s="25">
        <v>1.3747999999999999E-4</v>
      </c>
      <c r="G3857" s="25">
        <v>1.6269E-4</v>
      </c>
      <c r="H3857" s="25">
        <v>4.0410000000000001E-5</v>
      </c>
      <c r="I3857" s="9">
        <v>1.0108E-4</v>
      </c>
      <c r="J3857" s="9">
        <v>1.2413999999999999E-4</v>
      </c>
      <c r="K3857" s="9">
        <v>0</v>
      </c>
      <c r="L3857" s="9">
        <v>1.2574E-4</v>
      </c>
      <c r="M3857" s="9">
        <v>1.5179000000000001E-4</v>
      </c>
      <c r="N3857" s="9">
        <v>1.6547999999999999E-4</v>
      </c>
      <c r="O3857" s="9">
        <v>1.1998999999999999E-4</v>
      </c>
      <c r="P3857" s="9">
        <v>1.4739000000000001E-4</v>
      </c>
      <c r="Q3857" s="9">
        <v>1.6618000000000001E-4</v>
      </c>
      <c r="R3857" s="10">
        <v>7.5027342352726922E-5</v>
      </c>
      <c r="S3857" s="10">
        <v>8.7512549066232935E-5</v>
      </c>
      <c r="T3857" s="10">
        <v>6.484125778346418E-4</v>
      </c>
      <c r="U3857" s="10">
        <v>1.0041E-4</v>
      </c>
      <c r="V3857" s="25"/>
      <c r="W3857" s="25"/>
      <c r="X3857" s="25"/>
      <c r="Y3857" s="25"/>
      <c r="Z3857" s="25"/>
      <c r="AA3857" s="25"/>
    </row>
    <row r="3858" spans="1:27" x14ac:dyDescent="0.35">
      <c r="A3858" s="5">
        <v>3854</v>
      </c>
      <c r="B3858" s="5">
        <v>161</v>
      </c>
      <c r="C3858" s="5">
        <v>6</v>
      </c>
      <c r="D3858" s="25">
        <v>1.1415000000000001E-4</v>
      </c>
      <c r="E3858" s="25">
        <v>1.1291E-4</v>
      </c>
      <c r="F3858" s="25">
        <v>1.1936E-4</v>
      </c>
      <c r="G3858" s="25">
        <v>1.5808E-4</v>
      </c>
      <c r="H3858" s="25">
        <v>3.8840000000000001E-5</v>
      </c>
      <c r="I3858" s="9">
        <v>1.0003E-4</v>
      </c>
      <c r="J3858" s="9">
        <v>1.2345999999999999E-4</v>
      </c>
      <c r="K3858" s="9">
        <v>4.25E-6</v>
      </c>
      <c r="L3858" s="9">
        <v>1.2131E-4</v>
      </c>
      <c r="M3858" s="9">
        <v>1.5149E-4</v>
      </c>
      <c r="N3858" s="9">
        <v>1.6956E-4</v>
      </c>
      <c r="O3858" s="9">
        <v>1.0574E-4</v>
      </c>
      <c r="P3858" s="9">
        <v>1.3626E-4</v>
      </c>
      <c r="Q3858" s="9">
        <v>1.6045999999999999E-4</v>
      </c>
      <c r="R3858" s="10">
        <v>7.5452601337921117E-5</v>
      </c>
      <c r="S3858" s="10">
        <v>8.294580459419166E-5</v>
      </c>
      <c r="T3858" s="10">
        <v>6.5639630352312597E-4</v>
      </c>
      <c r="U3858" s="10">
        <v>1.0041E-4</v>
      </c>
      <c r="V3858" s="25"/>
      <c r="W3858" s="25"/>
      <c r="X3858" s="25"/>
      <c r="Y3858" s="25"/>
      <c r="Z3858" s="25"/>
      <c r="AA3858" s="25"/>
    </row>
    <row r="3859" spans="1:27" x14ac:dyDescent="0.35">
      <c r="A3859" s="5">
        <v>3855</v>
      </c>
      <c r="B3859" s="5">
        <v>161</v>
      </c>
      <c r="C3859" s="5">
        <v>6</v>
      </c>
      <c r="D3859" s="25">
        <v>1.1416E-4</v>
      </c>
      <c r="E3859" s="25">
        <v>1.214E-4</v>
      </c>
      <c r="F3859" s="25">
        <v>1.3627999999999999E-4</v>
      </c>
      <c r="G3859" s="25">
        <v>1.6049E-4</v>
      </c>
      <c r="H3859" s="25">
        <v>3.9169999999999999E-5</v>
      </c>
      <c r="I3859" s="9">
        <v>1.0008E-4</v>
      </c>
      <c r="J3859" s="9">
        <v>1.2296E-4</v>
      </c>
      <c r="K3859" s="9">
        <v>2.1189999999999999E-5</v>
      </c>
      <c r="L3859" s="9">
        <v>1.0933999999999999E-4</v>
      </c>
      <c r="M3859" s="9">
        <v>1.4567000000000001E-4</v>
      </c>
      <c r="N3859" s="9">
        <v>1.6913E-4</v>
      </c>
      <c r="O3859" s="9">
        <v>1.1906E-4</v>
      </c>
      <c r="P3859" s="9">
        <v>1.4032000000000001E-4</v>
      </c>
      <c r="Q3859" s="9">
        <v>1.5333999999999999E-4</v>
      </c>
      <c r="R3859" s="10">
        <v>7.6308906653301876E-5</v>
      </c>
      <c r="S3859" s="10">
        <v>7.8492411594060639E-5</v>
      </c>
      <c r="T3859" s="10">
        <v>6.1026716795640112E-4</v>
      </c>
      <c r="U3859" s="10">
        <v>1.0041E-4</v>
      </c>
      <c r="V3859" s="25"/>
      <c r="W3859" s="25"/>
      <c r="X3859" s="25"/>
      <c r="Y3859" s="25"/>
      <c r="Z3859" s="25"/>
      <c r="AA3859" s="25"/>
    </row>
    <row r="3860" spans="1:27" x14ac:dyDescent="0.35">
      <c r="A3860" s="5">
        <v>3856</v>
      </c>
      <c r="B3860" s="5">
        <v>161</v>
      </c>
      <c r="C3860" s="5">
        <v>6</v>
      </c>
      <c r="D3860" s="25">
        <v>1.1415000000000001E-4</v>
      </c>
      <c r="E3860" s="25">
        <v>1.1268999999999999E-4</v>
      </c>
      <c r="F3860" s="25">
        <v>1.2260999999999999E-4</v>
      </c>
      <c r="G3860" s="25">
        <v>1.6363E-4</v>
      </c>
      <c r="H3860" s="25">
        <v>3.9190000000000003E-5</v>
      </c>
      <c r="I3860" s="9">
        <v>1.0213999999999999E-4</v>
      </c>
      <c r="J3860" s="9">
        <v>1.2334999999999999E-4</v>
      </c>
      <c r="K3860" s="9">
        <v>1.061E-5</v>
      </c>
      <c r="L3860" s="9">
        <v>1.1726E-4</v>
      </c>
      <c r="M3860" s="9">
        <v>1.4212E-4</v>
      </c>
      <c r="N3860" s="9">
        <v>1.6559999999999999E-4</v>
      </c>
      <c r="O3860" s="9">
        <v>1.2386999999999999E-4</v>
      </c>
      <c r="P3860" s="9">
        <v>1.2098E-4</v>
      </c>
      <c r="Q3860" s="9">
        <v>1.0936E-4</v>
      </c>
      <c r="R3860" s="10">
        <v>7.8622986640186171E-5</v>
      </c>
      <c r="S3860" s="10">
        <v>7.4932122766172262E-5</v>
      </c>
      <c r="T3860" s="10">
        <v>4.9229298549266943E-4</v>
      </c>
      <c r="U3860" s="10">
        <v>1.0041E-4</v>
      </c>
      <c r="V3860" s="25"/>
      <c r="W3860" s="25"/>
      <c r="X3860" s="25"/>
      <c r="Y3860" s="25"/>
      <c r="Z3860" s="25"/>
      <c r="AA3860" s="25"/>
    </row>
    <row r="3861" spans="1:27" x14ac:dyDescent="0.35">
      <c r="A3861" s="5">
        <v>3857</v>
      </c>
      <c r="B3861" s="5">
        <v>161</v>
      </c>
      <c r="C3861" s="5">
        <v>6</v>
      </c>
      <c r="D3861" s="25">
        <v>1.1416E-4</v>
      </c>
      <c r="E3861" s="25">
        <v>1.1356E-4</v>
      </c>
      <c r="F3861" s="25">
        <v>1.3883999999999999E-4</v>
      </c>
      <c r="G3861" s="25">
        <v>1.5971E-4</v>
      </c>
      <c r="H3861" s="25">
        <v>3.9360000000000003E-5</v>
      </c>
      <c r="I3861" s="9">
        <v>1.0675000000000001E-4</v>
      </c>
      <c r="J3861" s="9">
        <v>1.2386E-4</v>
      </c>
      <c r="K3861" s="9">
        <v>4.6629999999999999E-5</v>
      </c>
      <c r="L3861" s="9">
        <v>1.2216000000000001E-4</v>
      </c>
      <c r="M3861" s="9">
        <v>1.3375E-4</v>
      </c>
      <c r="N3861" s="9">
        <v>1.5197E-4</v>
      </c>
      <c r="O3861" s="9">
        <v>1.2852999999999999E-4</v>
      </c>
      <c r="P3861" s="9">
        <v>1.2214999999999999E-4</v>
      </c>
      <c r="Q3861" s="9">
        <v>1.063E-4</v>
      </c>
      <c r="R3861" s="10">
        <v>8.7776594409724967E-5</v>
      </c>
      <c r="S3861" s="10">
        <v>7.2893070365070753E-5</v>
      </c>
      <c r="T3861" s="10">
        <v>3.353843533111337E-4</v>
      </c>
      <c r="U3861" s="10">
        <v>1.0041E-4</v>
      </c>
      <c r="V3861" s="25"/>
      <c r="W3861" s="25"/>
      <c r="X3861" s="25"/>
      <c r="Y3861" s="25"/>
      <c r="Z3861" s="25"/>
      <c r="AA3861" s="25"/>
    </row>
    <row r="3862" spans="1:27" x14ac:dyDescent="0.35">
      <c r="A3862" s="5">
        <v>3858</v>
      </c>
      <c r="B3862" s="5">
        <v>161</v>
      </c>
      <c r="C3862" s="5">
        <v>6</v>
      </c>
      <c r="D3862" s="25">
        <v>1.1415000000000001E-4</v>
      </c>
      <c r="E3862" s="25">
        <v>1.194E-4</v>
      </c>
      <c r="F3862" s="25">
        <v>1.2726E-4</v>
      </c>
      <c r="G3862" s="25">
        <v>1.6143E-4</v>
      </c>
      <c r="H3862" s="25">
        <v>4.0559999999999998E-5</v>
      </c>
      <c r="I3862" s="9">
        <v>1.099E-4</v>
      </c>
      <c r="J3862" s="9">
        <v>1.2077E-4</v>
      </c>
      <c r="K3862" s="9">
        <v>4.6629999999999999E-5</v>
      </c>
      <c r="L3862" s="9">
        <v>1.2689999999999999E-4</v>
      </c>
      <c r="M3862" s="9">
        <v>1.2742999999999999E-4</v>
      </c>
      <c r="N3862" s="9">
        <v>1.3862999999999999E-4</v>
      </c>
      <c r="O3862" s="9">
        <v>1.3029E-4</v>
      </c>
      <c r="P3862" s="9">
        <v>1.2896000000000001E-4</v>
      </c>
      <c r="Q3862" s="9">
        <v>1.1790000000000001E-4</v>
      </c>
      <c r="R3862" s="10">
        <v>1.0202957005705994E-4</v>
      </c>
      <c r="S3862" s="10">
        <v>7.2251755569971454E-5</v>
      </c>
      <c r="T3862" s="10">
        <v>1.5878366233791722E-4</v>
      </c>
      <c r="U3862" s="10">
        <v>1.0041E-4</v>
      </c>
      <c r="V3862" s="25"/>
      <c r="W3862" s="25"/>
      <c r="X3862" s="25"/>
      <c r="Y3862" s="25"/>
      <c r="Z3862" s="25"/>
      <c r="AA3862" s="25"/>
    </row>
    <row r="3863" spans="1:27" x14ac:dyDescent="0.35">
      <c r="A3863" s="5">
        <v>3859</v>
      </c>
      <c r="B3863" s="5">
        <v>161</v>
      </c>
      <c r="C3863" s="5">
        <v>6</v>
      </c>
      <c r="D3863" s="25">
        <v>1.1416E-4</v>
      </c>
      <c r="E3863" s="25">
        <v>1.1174E-4</v>
      </c>
      <c r="F3863" s="25">
        <v>1.1909E-4</v>
      </c>
      <c r="G3863" s="25">
        <v>1.0878999999999999E-4</v>
      </c>
      <c r="H3863" s="25">
        <v>2.8140000000000002E-5</v>
      </c>
      <c r="I3863" s="9">
        <v>1.1108E-4</v>
      </c>
      <c r="J3863" s="9">
        <v>1.1917999999999999E-4</v>
      </c>
      <c r="K3863" s="9">
        <v>6.7819999999999998E-5</v>
      </c>
      <c r="L3863" s="9">
        <v>1.2947999999999999E-4</v>
      </c>
      <c r="M3863" s="9">
        <v>1.2651000000000001E-4</v>
      </c>
      <c r="N3863" s="9">
        <v>1.2977E-4</v>
      </c>
      <c r="O3863" s="9">
        <v>1.3101000000000001E-4</v>
      </c>
      <c r="P3863" s="9">
        <v>1.2407E-4</v>
      </c>
      <c r="Q3863" s="9">
        <v>1.0739E-4</v>
      </c>
      <c r="R3863" s="10">
        <v>1.1597040903023518E-4</v>
      </c>
      <c r="S3863" s="10">
        <v>7.2605809365016089E-5</v>
      </c>
      <c r="T3863" s="10">
        <v>3.6949123669870658E-5</v>
      </c>
      <c r="U3863" s="10">
        <v>1.0041E-4</v>
      </c>
      <c r="V3863" s="25"/>
      <c r="W3863" s="25"/>
      <c r="X3863" s="25"/>
      <c r="Y3863" s="25"/>
      <c r="Z3863" s="25"/>
      <c r="AA3863" s="25"/>
    </row>
    <row r="3864" spans="1:27" x14ac:dyDescent="0.35">
      <c r="A3864" s="5">
        <v>3860</v>
      </c>
      <c r="B3864" s="5">
        <v>161</v>
      </c>
      <c r="C3864" s="5">
        <v>6</v>
      </c>
      <c r="D3864" s="25">
        <v>1.1415000000000001E-4</v>
      </c>
      <c r="E3864" s="25">
        <v>1.1909999999999999E-4</v>
      </c>
      <c r="F3864" s="25">
        <v>1.2253000000000001E-4</v>
      </c>
      <c r="G3864" s="25">
        <v>1.0967999999999999E-4</v>
      </c>
      <c r="H3864" s="25">
        <v>2.6959999999999999E-5</v>
      </c>
      <c r="I3864" s="9">
        <v>1.1092E-4</v>
      </c>
      <c r="J3864" s="9">
        <v>1.1728E-4</v>
      </c>
      <c r="K3864" s="9">
        <v>7.2059999999999998E-5</v>
      </c>
      <c r="L3864" s="9">
        <v>1.3064000000000001E-4</v>
      </c>
      <c r="M3864" s="9">
        <v>1.2568E-4</v>
      </c>
      <c r="N3864" s="9">
        <v>1.2082E-4</v>
      </c>
      <c r="O3864" s="9">
        <v>1.3239E-4</v>
      </c>
      <c r="P3864" s="9">
        <v>1.2197999999999999E-4</v>
      </c>
      <c r="Q3864" s="9">
        <v>1.0164E-4</v>
      </c>
      <c r="R3864" s="10">
        <v>1.4701524368186935E-4</v>
      </c>
      <c r="S3864" s="10">
        <v>7.6106830402517019E-5</v>
      </c>
      <c r="T3864" s="10">
        <v>1.0808997372081566E-5</v>
      </c>
      <c r="U3864" s="10">
        <v>1.0041E-4</v>
      </c>
      <c r="V3864" s="25"/>
      <c r="W3864" s="25"/>
      <c r="X3864" s="25"/>
      <c r="Y3864" s="25"/>
      <c r="Z3864" s="25"/>
      <c r="AA3864" s="25"/>
    </row>
    <row r="3865" spans="1:27" x14ac:dyDescent="0.35">
      <c r="A3865" s="5">
        <v>3861</v>
      </c>
      <c r="B3865" s="5">
        <v>161</v>
      </c>
      <c r="C3865" s="5">
        <v>6</v>
      </c>
      <c r="D3865" s="25">
        <v>1.1416E-4</v>
      </c>
      <c r="E3865" s="25">
        <v>1.1743000000000001E-4</v>
      </c>
      <c r="F3865" s="25">
        <v>1.3096000000000001E-4</v>
      </c>
      <c r="G3865" s="25">
        <v>5.9360000000000001E-5</v>
      </c>
      <c r="H3865" s="25">
        <v>1.4450000000000001E-5</v>
      </c>
      <c r="I3865" s="9">
        <v>1.1058E-4</v>
      </c>
      <c r="J3865" s="9">
        <v>1.1344E-4</v>
      </c>
      <c r="K3865" s="9">
        <v>7.6299999999999998E-5</v>
      </c>
      <c r="L3865" s="9">
        <v>1.3200000000000001E-4</v>
      </c>
      <c r="M3865" s="9">
        <v>1.2417E-4</v>
      </c>
      <c r="N3865" s="9">
        <v>1.1312E-4</v>
      </c>
      <c r="O3865" s="9">
        <v>8.2680000000000001E-5</v>
      </c>
      <c r="P3865" s="9">
        <v>8.6829999999999994E-5</v>
      </c>
      <c r="Q3865" s="9">
        <v>8.8839999999999996E-5</v>
      </c>
      <c r="R3865" s="10">
        <v>1.7979728149234556E-4</v>
      </c>
      <c r="S3865" s="10">
        <v>8.4187548427432711E-5</v>
      </c>
      <c r="T3865" s="10">
        <v>0</v>
      </c>
      <c r="U3865" s="10">
        <v>1.0041E-4</v>
      </c>
      <c r="V3865" s="25"/>
      <c r="W3865" s="25"/>
      <c r="X3865" s="25"/>
      <c r="Y3865" s="25"/>
      <c r="Z3865" s="25"/>
      <c r="AA3865" s="25"/>
    </row>
    <row r="3866" spans="1:27" x14ac:dyDescent="0.35">
      <c r="A3866" s="5">
        <v>3862</v>
      </c>
      <c r="B3866" s="5">
        <v>161</v>
      </c>
      <c r="C3866" s="5">
        <v>6</v>
      </c>
      <c r="D3866" s="25">
        <v>1.1415000000000001E-4</v>
      </c>
      <c r="E3866" s="25">
        <v>1.1847E-4</v>
      </c>
      <c r="F3866" s="25">
        <v>1.3123E-4</v>
      </c>
      <c r="G3866" s="25">
        <v>5.3690000000000003E-5</v>
      </c>
      <c r="H3866" s="25">
        <v>1.33E-5</v>
      </c>
      <c r="I3866" s="9">
        <v>1.1368E-4</v>
      </c>
      <c r="J3866" s="9">
        <v>1.1174E-4</v>
      </c>
      <c r="K3866" s="9">
        <v>8.2650000000000003E-5</v>
      </c>
      <c r="L3866" s="9">
        <v>9.3510000000000004E-5</v>
      </c>
      <c r="M3866" s="9">
        <v>1.1027999999999999E-4</v>
      </c>
      <c r="N3866" s="9">
        <v>1.0568E-4</v>
      </c>
      <c r="O3866" s="9">
        <v>8.4590000000000002E-5</v>
      </c>
      <c r="P3866" s="9">
        <v>8.7730000000000002E-5</v>
      </c>
      <c r="Q3866" s="9">
        <v>8.8380000000000004E-5</v>
      </c>
      <c r="R3866" s="10">
        <v>1.9707383532823933E-4</v>
      </c>
      <c r="S3866" s="10">
        <v>9.0566614070954106E-5</v>
      </c>
      <c r="T3866" s="10">
        <v>0</v>
      </c>
      <c r="U3866" s="10">
        <v>1.0041E-4</v>
      </c>
      <c r="V3866" s="25"/>
      <c r="W3866" s="25"/>
      <c r="X3866" s="25"/>
      <c r="Y3866" s="25"/>
      <c r="Z3866" s="25"/>
      <c r="AA3866" s="25"/>
    </row>
    <row r="3867" spans="1:27" x14ac:dyDescent="0.35">
      <c r="A3867" s="5">
        <v>3863</v>
      </c>
      <c r="B3867" s="5">
        <v>161</v>
      </c>
      <c r="C3867" s="5">
        <v>6</v>
      </c>
      <c r="D3867" s="25">
        <v>1.1416E-4</v>
      </c>
      <c r="E3867" s="25">
        <v>1.1019E-4</v>
      </c>
      <c r="F3867" s="25">
        <v>1.2219999999999999E-4</v>
      </c>
      <c r="G3867" s="25">
        <v>6.1260000000000006E-5</v>
      </c>
      <c r="H3867" s="25">
        <v>1.488E-5</v>
      </c>
      <c r="I3867" s="9">
        <v>1.0914E-4</v>
      </c>
      <c r="J3867" s="9">
        <v>1.0767E-4</v>
      </c>
      <c r="K3867" s="9">
        <v>9.5370000000000003E-5</v>
      </c>
      <c r="L3867" s="9">
        <v>8.7620000000000005E-5</v>
      </c>
      <c r="M3867" s="9">
        <v>9.8430000000000005E-5</v>
      </c>
      <c r="N3867" s="9">
        <v>9.993E-5</v>
      </c>
      <c r="O3867" s="9">
        <v>8.2000000000000001E-5</v>
      </c>
      <c r="P3867" s="9">
        <v>7.5350000000000002E-5</v>
      </c>
      <c r="Q3867" s="9">
        <v>6.6749999999999996E-5</v>
      </c>
      <c r="R3867" s="10">
        <v>2.0274325871859461E-4</v>
      </c>
      <c r="S3867" s="10">
        <v>8.7972795026408562E-5</v>
      </c>
      <c r="T3867" s="10">
        <v>0</v>
      </c>
      <c r="U3867" s="10">
        <v>1.0041E-4</v>
      </c>
      <c r="V3867" s="25"/>
      <c r="W3867" s="25"/>
      <c r="X3867" s="25"/>
      <c r="Y3867" s="25"/>
      <c r="Z3867" s="25"/>
      <c r="AA3867" s="25"/>
    </row>
    <row r="3868" spans="1:27" x14ac:dyDescent="0.35">
      <c r="A3868" s="5">
        <v>3864</v>
      </c>
      <c r="B3868" s="5">
        <v>161</v>
      </c>
      <c r="C3868" s="5">
        <v>6</v>
      </c>
      <c r="D3868" s="25">
        <v>1.1415000000000001E-4</v>
      </c>
      <c r="E3868" s="25">
        <v>1.1848E-4</v>
      </c>
      <c r="F3868" s="25">
        <v>1.2157E-4</v>
      </c>
      <c r="G3868" s="25">
        <v>5.6230000000000002E-5</v>
      </c>
      <c r="H3868" s="25">
        <v>1.402E-5</v>
      </c>
      <c r="I3868" s="9">
        <v>1.0174E-4</v>
      </c>
      <c r="J3868" s="9">
        <v>1.0049E-4</v>
      </c>
      <c r="K3868" s="9">
        <v>1.0597E-4</v>
      </c>
      <c r="L3868" s="9">
        <v>8.3430000000000006E-5</v>
      </c>
      <c r="M3868" s="9">
        <v>8.7340000000000001E-5</v>
      </c>
      <c r="N3868" s="9">
        <v>9.0630000000000005E-5</v>
      </c>
      <c r="O3868" s="9">
        <v>7.7169999999999995E-5</v>
      </c>
      <c r="P3868" s="9">
        <v>6.8479999999999995E-5</v>
      </c>
      <c r="Q3868" s="9">
        <v>5.8610000000000003E-5</v>
      </c>
      <c r="R3868" s="10">
        <v>2.0204092940283048E-4</v>
      </c>
      <c r="S3868" s="10">
        <v>7.3487924727826291E-5</v>
      </c>
      <c r="T3868" s="10">
        <v>0</v>
      </c>
      <c r="U3868" s="10">
        <v>1.0041E-4</v>
      </c>
      <c r="V3868" s="25"/>
      <c r="W3868" s="25"/>
      <c r="X3868" s="25"/>
      <c r="Y3868" s="25"/>
      <c r="Z3868" s="25"/>
      <c r="AA3868" s="25"/>
    </row>
    <row r="3869" spans="1:27" x14ac:dyDescent="0.35">
      <c r="A3869" s="5">
        <v>3865</v>
      </c>
      <c r="B3869" s="5">
        <v>162</v>
      </c>
      <c r="C3869" s="5">
        <v>6</v>
      </c>
      <c r="D3869" s="25">
        <v>1.1416E-4</v>
      </c>
      <c r="E3869" s="25">
        <v>1.0708E-4</v>
      </c>
      <c r="F3869" s="25">
        <v>1.1232E-4</v>
      </c>
      <c r="G3869" s="25">
        <v>6.3170000000000007E-5</v>
      </c>
      <c r="H3869" s="25">
        <v>7.3250000000000005E-5</v>
      </c>
      <c r="I3869" s="9">
        <v>9.7079999999999999E-5</v>
      </c>
      <c r="J3869" s="9">
        <v>9.4939999999999996E-5</v>
      </c>
      <c r="K3869" s="9">
        <v>1.1021E-4</v>
      </c>
      <c r="L3869" s="9">
        <v>7.8380000000000005E-5</v>
      </c>
      <c r="M3869" s="9">
        <v>7.8029999999999997E-5</v>
      </c>
      <c r="N3869" s="9">
        <v>8.1160000000000002E-5</v>
      </c>
      <c r="O3869" s="9">
        <v>5.5019999999999998E-5</v>
      </c>
      <c r="P3869" s="9">
        <v>5.4429999999999999E-5</v>
      </c>
      <c r="Q3869" s="9">
        <v>5.3999999999999998E-5</v>
      </c>
      <c r="R3869" s="10">
        <v>1.9820639482307927E-4</v>
      </c>
      <c r="S3869" s="10">
        <v>6.6192164091496405E-5</v>
      </c>
      <c r="T3869" s="10">
        <v>0</v>
      </c>
      <c r="U3869" s="10">
        <v>9.7460000000000005E-5</v>
      </c>
      <c r="V3869" s="25"/>
      <c r="W3869" s="25"/>
      <c r="X3869" s="25"/>
      <c r="Y3869" s="25"/>
      <c r="Z3869" s="25"/>
      <c r="AA3869" s="25"/>
    </row>
    <row r="3870" spans="1:27" x14ac:dyDescent="0.35">
      <c r="A3870" s="5">
        <v>3866</v>
      </c>
      <c r="B3870" s="5">
        <v>162</v>
      </c>
      <c r="C3870" s="5">
        <v>6</v>
      </c>
      <c r="D3870" s="25">
        <v>1.1415000000000001E-4</v>
      </c>
      <c r="E3870" s="25">
        <v>1.0751000000000001E-4</v>
      </c>
      <c r="F3870" s="25">
        <v>9.4779999999999997E-5</v>
      </c>
      <c r="G3870" s="25">
        <v>5.5909999999999998E-5</v>
      </c>
      <c r="H3870" s="25">
        <v>7.2119999999999994E-5</v>
      </c>
      <c r="I3870" s="9">
        <v>9.3900000000000006E-5</v>
      </c>
      <c r="J3870" s="9">
        <v>9.2470000000000001E-5</v>
      </c>
      <c r="K3870" s="9">
        <v>1.0597E-4</v>
      </c>
      <c r="L3870" s="9">
        <v>6.0279999999999999E-5</v>
      </c>
      <c r="M3870" s="9">
        <v>6.7349999999999997E-5</v>
      </c>
      <c r="N3870" s="9">
        <v>7.2169999999999995E-5</v>
      </c>
      <c r="O3870" s="9">
        <v>2.4369999999999999E-5</v>
      </c>
      <c r="P3870" s="9">
        <v>3.8139999999999997E-5</v>
      </c>
      <c r="Q3870" s="9">
        <v>5.6759999999999999E-5</v>
      </c>
      <c r="R3870" s="10">
        <v>1.9733370467784128E-4</v>
      </c>
      <c r="S3870" s="10">
        <v>6.0949559612299427E-5</v>
      </c>
      <c r="T3870" s="10">
        <v>0</v>
      </c>
      <c r="U3870" s="10">
        <v>9.7460000000000005E-5</v>
      </c>
      <c r="V3870" s="25"/>
      <c r="W3870" s="25"/>
      <c r="X3870" s="25"/>
      <c r="Y3870" s="25"/>
      <c r="Z3870" s="25"/>
      <c r="AA3870" s="25"/>
    </row>
    <row r="3871" spans="1:27" x14ac:dyDescent="0.35">
      <c r="A3871" s="5">
        <v>3867</v>
      </c>
      <c r="B3871" s="5">
        <v>162</v>
      </c>
      <c r="C3871" s="5">
        <v>6</v>
      </c>
      <c r="D3871" s="25">
        <v>1.1416E-4</v>
      </c>
      <c r="E3871" s="25">
        <v>1.1546E-4</v>
      </c>
      <c r="F3871" s="25">
        <v>9.5379999999999998E-5</v>
      </c>
      <c r="G3871" s="25">
        <v>5.4809999999999999E-5</v>
      </c>
      <c r="H3871" s="25">
        <v>6.4040000000000003E-5</v>
      </c>
      <c r="I3871" s="9">
        <v>9.2629999999999999E-5</v>
      </c>
      <c r="J3871" s="9">
        <v>9.1119999999999995E-5</v>
      </c>
      <c r="K3871" s="9">
        <v>1.2292E-4</v>
      </c>
      <c r="L3871" s="9">
        <v>3.2759999999999998E-5</v>
      </c>
      <c r="M3871" s="9">
        <v>5.4230000000000001E-5</v>
      </c>
      <c r="N3871" s="9">
        <v>6.5699999999999998E-5</v>
      </c>
      <c r="O3871" s="9">
        <v>1.9400000000000001E-5</v>
      </c>
      <c r="P3871" s="9">
        <v>3.7660000000000002E-5</v>
      </c>
      <c r="Q3871" s="9">
        <v>6.1389999999999993E-5</v>
      </c>
      <c r="R3871" s="10">
        <v>1.9320067551019098E-4</v>
      </c>
      <c r="S3871" s="10">
        <v>5.5540998798660932E-5</v>
      </c>
      <c r="T3871" s="10">
        <v>0</v>
      </c>
      <c r="U3871" s="10">
        <v>9.7460000000000005E-5</v>
      </c>
      <c r="V3871" s="25"/>
      <c r="W3871" s="25"/>
      <c r="X3871" s="25"/>
      <c r="Y3871" s="25"/>
      <c r="Z3871" s="25"/>
      <c r="AA3871" s="25"/>
    </row>
    <row r="3872" spans="1:27" x14ac:dyDescent="0.35">
      <c r="A3872" s="5">
        <v>3868</v>
      </c>
      <c r="B3872" s="5">
        <v>162</v>
      </c>
      <c r="C3872" s="5">
        <v>6</v>
      </c>
      <c r="D3872" s="25">
        <v>1.1415000000000001E-4</v>
      </c>
      <c r="E3872" s="25">
        <v>1.0703E-4</v>
      </c>
      <c r="F3872" s="25">
        <v>1.1161E-4</v>
      </c>
      <c r="G3872" s="25">
        <v>6.1929999999999998E-5</v>
      </c>
      <c r="H3872" s="25">
        <v>7.1400000000000001E-5</v>
      </c>
      <c r="I3872" s="9">
        <v>9.3189999999999994E-5</v>
      </c>
      <c r="J3872" s="9">
        <v>9.1000000000000003E-5</v>
      </c>
      <c r="K3872" s="9">
        <v>1.4411E-4</v>
      </c>
      <c r="L3872" s="9">
        <v>2.3090000000000001E-5</v>
      </c>
      <c r="M3872" s="9">
        <v>4.5099999999999998E-5</v>
      </c>
      <c r="N3872" s="9">
        <v>6.2059999999999999E-5</v>
      </c>
      <c r="O3872" s="9">
        <v>1.929E-5</v>
      </c>
      <c r="P3872" s="9">
        <v>4.6789999999999998E-5</v>
      </c>
      <c r="Q3872" s="9">
        <v>7.9590000000000002E-5</v>
      </c>
      <c r="R3872" s="10">
        <v>1.8610739363666271E-4</v>
      </c>
      <c r="S3872" s="10">
        <v>4.9500685699439365E-5</v>
      </c>
      <c r="T3872" s="10">
        <v>0</v>
      </c>
      <c r="U3872" s="10">
        <v>9.7460000000000005E-5</v>
      </c>
      <c r="V3872" s="25"/>
      <c r="W3872" s="25"/>
      <c r="X3872" s="25"/>
      <c r="Y3872" s="25"/>
      <c r="Z3872" s="25"/>
      <c r="AA3872" s="25"/>
    </row>
    <row r="3873" spans="1:27" x14ac:dyDescent="0.35">
      <c r="A3873" s="5">
        <v>3869</v>
      </c>
      <c r="B3873" s="5">
        <v>162</v>
      </c>
      <c r="C3873" s="5">
        <v>6</v>
      </c>
      <c r="D3873" s="25">
        <v>1.1416E-4</v>
      </c>
      <c r="E3873" s="25">
        <v>1.0531000000000001E-4</v>
      </c>
      <c r="F3873" s="25">
        <v>1.0517E-4</v>
      </c>
      <c r="G3873" s="25">
        <v>5.8999999999999998E-5</v>
      </c>
      <c r="H3873" s="25">
        <v>6.5569999999999997E-5</v>
      </c>
      <c r="I3873" s="9">
        <v>9.4779999999999997E-5</v>
      </c>
      <c r="J3873" s="9">
        <v>9.1100000000000005E-5</v>
      </c>
      <c r="K3873" s="9">
        <v>1.1445E-4</v>
      </c>
      <c r="L3873" s="9">
        <v>2.0270000000000001E-5</v>
      </c>
      <c r="M3873" s="9">
        <v>4.3680000000000002E-5</v>
      </c>
      <c r="N3873" s="9">
        <v>6.4399999999999993E-5</v>
      </c>
      <c r="O3873" s="9">
        <v>2.3940000000000001E-5</v>
      </c>
      <c r="P3873" s="9">
        <v>5.6199999999999997E-5</v>
      </c>
      <c r="Q3873" s="9">
        <v>9.2930000000000006E-5</v>
      </c>
      <c r="R3873" s="10">
        <v>1.8162456966138896E-4</v>
      </c>
      <c r="S3873" s="10">
        <v>4.5122203771765377E-5</v>
      </c>
      <c r="T3873" s="10">
        <v>1.5000241251051971E-5</v>
      </c>
      <c r="U3873" s="10">
        <v>9.7460000000000005E-5</v>
      </c>
      <c r="V3873" s="25"/>
      <c r="W3873" s="25"/>
      <c r="X3873" s="25"/>
      <c r="Y3873" s="25"/>
      <c r="Z3873" s="25"/>
      <c r="AA3873" s="25"/>
    </row>
    <row r="3874" spans="1:27" x14ac:dyDescent="0.35">
      <c r="A3874" s="5">
        <v>3870</v>
      </c>
      <c r="B3874" s="5">
        <v>162</v>
      </c>
      <c r="C3874" s="5">
        <v>6</v>
      </c>
      <c r="D3874" s="25">
        <v>1.1415000000000001E-4</v>
      </c>
      <c r="E3874" s="25">
        <v>1.0675000000000001E-4</v>
      </c>
      <c r="F3874" s="25">
        <v>1.0543999999999999E-4</v>
      </c>
      <c r="G3874" s="25">
        <v>1.0883999999999999E-4</v>
      </c>
      <c r="H3874" s="25">
        <v>1.3428999999999999E-4</v>
      </c>
      <c r="I3874" s="9">
        <v>1.0326E-4</v>
      </c>
      <c r="J3874" s="9">
        <v>9.8939999999999998E-5</v>
      </c>
      <c r="K3874" s="9">
        <v>1.0173E-4</v>
      </c>
      <c r="L3874" s="9">
        <v>2.3030000000000001E-5</v>
      </c>
      <c r="M3874" s="9">
        <v>4.8199999999999999E-5</v>
      </c>
      <c r="N3874" s="9">
        <v>7.0779999999999997E-5</v>
      </c>
      <c r="O3874" s="9">
        <v>4.7370000000000002E-5</v>
      </c>
      <c r="P3874" s="9">
        <v>7.6650000000000006E-5</v>
      </c>
      <c r="Q3874" s="9">
        <v>1.0673E-4</v>
      </c>
      <c r="R3874" s="10">
        <v>1.8299150522284972E-4</v>
      </c>
      <c r="S3874" s="10">
        <v>4.6161173918014817E-5</v>
      </c>
      <c r="T3874" s="10">
        <v>4.2328169457861018E-5</v>
      </c>
      <c r="U3874" s="10">
        <v>9.7460000000000005E-5</v>
      </c>
      <c r="V3874" s="25"/>
      <c r="W3874" s="25"/>
      <c r="X3874" s="25"/>
      <c r="Y3874" s="25"/>
      <c r="Z3874" s="25"/>
      <c r="AA3874" s="25"/>
    </row>
    <row r="3875" spans="1:27" x14ac:dyDescent="0.35">
      <c r="A3875" s="5">
        <v>3871</v>
      </c>
      <c r="B3875" s="5">
        <v>162</v>
      </c>
      <c r="C3875" s="5">
        <v>6</v>
      </c>
      <c r="D3875" s="25">
        <v>1.1416E-4</v>
      </c>
      <c r="E3875" s="25">
        <v>1.0548E-4</v>
      </c>
      <c r="F3875" s="25">
        <v>1.1098E-4</v>
      </c>
      <c r="G3875" s="25">
        <v>1.0937E-4</v>
      </c>
      <c r="H3875" s="25">
        <v>1.2881000000000001E-4</v>
      </c>
      <c r="I3875" s="9">
        <v>1.1026E-4</v>
      </c>
      <c r="J3875" s="9">
        <v>1.1246E-4</v>
      </c>
      <c r="K3875" s="9">
        <v>7.6299999999999998E-5</v>
      </c>
      <c r="L3875" s="9">
        <v>4.1900000000000002E-5</v>
      </c>
      <c r="M3875" s="9">
        <v>5.9729999999999999E-5</v>
      </c>
      <c r="N3875" s="9">
        <v>8.0409999999999998E-5</v>
      </c>
      <c r="O3875" s="9">
        <v>1.1281E-4</v>
      </c>
      <c r="P3875" s="9">
        <v>1.1716E-4</v>
      </c>
      <c r="Q3875" s="9">
        <v>1.1223E-4</v>
      </c>
      <c r="R3875" s="10">
        <v>1.7596509444546063E-4</v>
      </c>
      <c r="S3875" s="10">
        <v>4.6230201314567429E-5</v>
      </c>
      <c r="T3875" s="10">
        <v>1.7992653631847234E-4</v>
      </c>
      <c r="U3875" s="10">
        <v>9.7460000000000005E-5</v>
      </c>
      <c r="V3875" s="25"/>
      <c r="W3875" s="25"/>
      <c r="X3875" s="25"/>
      <c r="Y3875" s="25"/>
      <c r="Z3875" s="25"/>
      <c r="AA3875" s="25"/>
    </row>
    <row r="3876" spans="1:27" x14ac:dyDescent="0.35">
      <c r="A3876" s="5">
        <v>3872</v>
      </c>
      <c r="B3876" s="5">
        <v>162</v>
      </c>
      <c r="C3876" s="5">
        <v>6</v>
      </c>
      <c r="D3876" s="25">
        <v>1.1415000000000001E-4</v>
      </c>
      <c r="E3876" s="25">
        <v>1.0616E-4</v>
      </c>
      <c r="F3876" s="25">
        <v>9.6290000000000001E-5</v>
      </c>
      <c r="G3876" s="25">
        <v>1.5783999999999999E-4</v>
      </c>
      <c r="H3876" s="25">
        <v>1.9714E-4</v>
      </c>
      <c r="I3876" s="9">
        <v>1.1234E-4</v>
      </c>
      <c r="J3876" s="9">
        <v>1.2245999999999999E-4</v>
      </c>
      <c r="K3876" s="9">
        <v>5.5099999999999998E-5</v>
      </c>
      <c r="L3876" s="9">
        <v>9.6680000000000003E-5</v>
      </c>
      <c r="M3876" s="9">
        <v>8.3399999999999994E-5</v>
      </c>
      <c r="N3876" s="9">
        <v>9.0470000000000006E-5</v>
      </c>
      <c r="O3876" s="9">
        <v>1.9618000000000001E-4</v>
      </c>
      <c r="P3876" s="9">
        <v>1.7789999999999999E-4</v>
      </c>
      <c r="Q3876" s="9">
        <v>1.3742999999999999E-4</v>
      </c>
      <c r="R3876" s="10">
        <v>1.4109331497745784E-4</v>
      </c>
      <c r="S3876" s="10">
        <v>4.5913445256567408E-5</v>
      </c>
      <c r="T3876" s="10">
        <v>3.6126146632906839E-4</v>
      </c>
      <c r="U3876" s="10">
        <v>9.7460000000000005E-5</v>
      </c>
      <c r="V3876" s="25"/>
      <c r="W3876" s="25"/>
      <c r="X3876" s="25"/>
      <c r="Y3876" s="25"/>
      <c r="Z3876" s="25"/>
      <c r="AA3876" s="25"/>
    </row>
    <row r="3877" spans="1:27" x14ac:dyDescent="0.35">
      <c r="A3877" s="5">
        <v>3873</v>
      </c>
      <c r="B3877" s="5">
        <v>162</v>
      </c>
      <c r="C3877" s="5">
        <v>6</v>
      </c>
      <c r="D3877" s="25">
        <v>1.1416E-4</v>
      </c>
      <c r="E3877" s="25">
        <v>1.1276E-4</v>
      </c>
      <c r="F3877" s="25">
        <v>1.0223E-4</v>
      </c>
      <c r="G3877" s="25">
        <v>1.5969000000000001E-4</v>
      </c>
      <c r="H3877" s="25">
        <v>1.8834E-4</v>
      </c>
      <c r="I3877" s="9">
        <v>1.1131E-4</v>
      </c>
      <c r="J3877" s="9">
        <v>1.2585999999999999E-4</v>
      </c>
      <c r="K3877" s="9">
        <v>2.9669999999999999E-5</v>
      </c>
      <c r="L3877" s="9">
        <v>1.7279E-4</v>
      </c>
      <c r="M3877" s="9">
        <v>1.2354E-4</v>
      </c>
      <c r="N3877" s="9">
        <v>1.0443E-4</v>
      </c>
      <c r="O3877" s="9">
        <v>1.8761E-4</v>
      </c>
      <c r="P3877" s="9">
        <v>1.9264999999999999E-4</v>
      </c>
      <c r="Q3877" s="9">
        <v>1.7642999999999999E-4</v>
      </c>
      <c r="R3877" s="10">
        <v>7.4613123065724575E-5</v>
      </c>
      <c r="S3877" s="10">
        <v>4.9434294122783252E-5</v>
      </c>
      <c r="T3877" s="10">
        <v>5.1480183166859755E-4</v>
      </c>
      <c r="U3877" s="10">
        <v>9.7460000000000005E-5</v>
      </c>
      <c r="V3877" s="25"/>
      <c r="W3877" s="25"/>
      <c r="X3877" s="25"/>
      <c r="Y3877" s="25"/>
      <c r="Z3877" s="25"/>
      <c r="AA3877" s="25"/>
    </row>
    <row r="3878" spans="1:27" x14ac:dyDescent="0.35">
      <c r="A3878" s="5">
        <v>3874</v>
      </c>
      <c r="B3878" s="5">
        <v>162</v>
      </c>
      <c r="C3878" s="5">
        <v>6</v>
      </c>
      <c r="D3878" s="25">
        <v>1.1415000000000001E-4</v>
      </c>
      <c r="E3878" s="25">
        <v>1.0861000000000001E-4</v>
      </c>
      <c r="F3878" s="25">
        <v>9.6799999999999995E-5</v>
      </c>
      <c r="G3878" s="25">
        <v>1.5988999999999999E-4</v>
      </c>
      <c r="H3878" s="25">
        <v>1.8971999999999999E-4</v>
      </c>
      <c r="I3878" s="9">
        <v>1.0991E-4</v>
      </c>
      <c r="J3878" s="9">
        <v>1.2567000000000001E-4</v>
      </c>
      <c r="K3878" s="9">
        <v>2.5429999999999999E-5</v>
      </c>
      <c r="L3878" s="9">
        <v>1.8234999999999999E-4</v>
      </c>
      <c r="M3878" s="9">
        <v>1.5861E-4</v>
      </c>
      <c r="N3878" s="9">
        <v>1.2441000000000001E-4</v>
      </c>
      <c r="O3878" s="9">
        <v>1.4944000000000001E-4</v>
      </c>
      <c r="P3878" s="9">
        <v>1.7286999999999999E-4</v>
      </c>
      <c r="Q3878" s="9">
        <v>1.8081E-4</v>
      </c>
      <c r="R3878" s="10">
        <v>5.8251218762641481E-5</v>
      </c>
      <c r="S3878" s="10">
        <v>5.3829697220797565E-5</v>
      </c>
      <c r="T3878" s="10">
        <v>6.3347172667904087E-4</v>
      </c>
      <c r="U3878" s="10">
        <v>9.7460000000000005E-5</v>
      </c>
      <c r="V3878" s="25"/>
      <c r="W3878" s="25"/>
      <c r="X3878" s="25"/>
      <c r="Y3878" s="25"/>
      <c r="Z3878" s="25"/>
      <c r="AA3878" s="25"/>
    </row>
    <row r="3879" spans="1:27" x14ac:dyDescent="0.35">
      <c r="A3879" s="5">
        <v>3875</v>
      </c>
      <c r="B3879" s="5">
        <v>162</v>
      </c>
      <c r="C3879" s="5">
        <v>6</v>
      </c>
      <c r="D3879" s="25">
        <v>1.1416E-4</v>
      </c>
      <c r="E3879" s="25">
        <v>1.0732E-4</v>
      </c>
      <c r="F3879" s="25">
        <v>9.8200000000000002E-5</v>
      </c>
      <c r="G3879" s="25">
        <v>1.5977E-4</v>
      </c>
      <c r="H3879" s="25">
        <v>1.9001000000000001E-4</v>
      </c>
      <c r="I3879" s="9">
        <v>1.0822E-4</v>
      </c>
      <c r="J3879" s="9">
        <v>1.2608000000000001E-4</v>
      </c>
      <c r="K3879" s="9">
        <v>1.696E-5</v>
      </c>
      <c r="L3879" s="9">
        <v>1.5677000000000001E-4</v>
      </c>
      <c r="M3879" s="9">
        <v>1.7184000000000001E-4</v>
      </c>
      <c r="N3879" s="9">
        <v>1.4228E-4</v>
      </c>
      <c r="O3879" s="9">
        <v>1.4966E-4</v>
      </c>
      <c r="P3879" s="9">
        <v>1.7178000000000001E-4</v>
      </c>
      <c r="Q3879" s="9">
        <v>1.7841999999999999E-4</v>
      </c>
      <c r="R3879" s="10">
        <v>5.8422892745554515E-5</v>
      </c>
      <c r="S3879" s="10">
        <v>5.7409878916652842E-5</v>
      </c>
      <c r="T3879" s="10">
        <v>7.1315626617557935E-4</v>
      </c>
      <c r="U3879" s="10">
        <v>9.7460000000000005E-5</v>
      </c>
      <c r="V3879" s="25"/>
      <c r="W3879" s="25"/>
      <c r="X3879" s="25"/>
      <c r="Y3879" s="25"/>
      <c r="Z3879" s="25"/>
      <c r="AA3879" s="25"/>
    </row>
    <row r="3880" spans="1:27" x14ac:dyDescent="0.35">
      <c r="A3880" s="5">
        <v>3876</v>
      </c>
      <c r="B3880" s="5">
        <v>162</v>
      </c>
      <c r="C3880" s="5">
        <v>6</v>
      </c>
      <c r="D3880" s="25">
        <v>1.1415000000000001E-4</v>
      </c>
      <c r="E3880" s="25">
        <v>1.1391E-4</v>
      </c>
      <c r="F3880" s="25">
        <v>1.0815E-4</v>
      </c>
      <c r="G3880" s="25">
        <v>1.6029E-4</v>
      </c>
      <c r="H3880" s="25">
        <v>1.9498000000000001E-4</v>
      </c>
      <c r="I3880" s="9">
        <v>1.0293000000000001E-4</v>
      </c>
      <c r="J3880" s="9">
        <v>1.2434999999999999E-4</v>
      </c>
      <c r="K3880" s="9">
        <v>2.5429999999999999E-5</v>
      </c>
      <c r="L3880" s="9">
        <v>1.5244999999999999E-4</v>
      </c>
      <c r="M3880" s="9">
        <v>1.74E-4</v>
      </c>
      <c r="N3880" s="9">
        <v>1.5619000000000001E-4</v>
      </c>
      <c r="O3880" s="9">
        <v>1.5316E-4</v>
      </c>
      <c r="P3880" s="9">
        <v>1.7176E-4</v>
      </c>
      <c r="Q3880" s="9">
        <v>1.7443999999999999E-4</v>
      </c>
      <c r="R3880" s="10">
        <v>4.8094608991796327E-5</v>
      </c>
      <c r="S3880" s="10">
        <v>5.4358152607205874E-5</v>
      </c>
      <c r="T3880" s="10">
        <v>7.4208772695956535E-4</v>
      </c>
      <c r="U3880" s="10">
        <v>9.7460000000000005E-5</v>
      </c>
      <c r="V3880" s="25"/>
      <c r="W3880" s="25"/>
      <c r="X3880" s="25"/>
      <c r="Y3880" s="25"/>
      <c r="Z3880" s="25"/>
      <c r="AA3880" s="25"/>
    </row>
    <row r="3881" spans="1:27" x14ac:dyDescent="0.35">
      <c r="A3881" s="5">
        <v>3877</v>
      </c>
      <c r="B3881" s="5">
        <v>162</v>
      </c>
      <c r="C3881" s="5">
        <v>6</v>
      </c>
      <c r="D3881" s="25">
        <v>1.1416E-4</v>
      </c>
      <c r="E3881" s="25">
        <v>1.049E-4</v>
      </c>
      <c r="F3881" s="25">
        <v>1.0551E-4</v>
      </c>
      <c r="G3881" s="25">
        <v>1.6158000000000001E-4</v>
      </c>
      <c r="H3881" s="25">
        <v>1.9237E-4</v>
      </c>
      <c r="I3881" s="9">
        <v>1.0083E-4</v>
      </c>
      <c r="J3881" s="9">
        <v>1.2417E-4</v>
      </c>
      <c r="K3881" s="9">
        <v>2.544E-5</v>
      </c>
      <c r="L3881" s="9">
        <v>1.5313999999999999E-4</v>
      </c>
      <c r="M3881" s="9">
        <v>1.7328999999999999E-4</v>
      </c>
      <c r="N3881" s="9">
        <v>1.6578E-4</v>
      </c>
      <c r="O3881" s="9">
        <v>1.4546000000000001E-4</v>
      </c>
      <c r="P3881" s="9">
        <v>1.6356000000000001E-4</v>
      </c>
      <c r="Q3881" s="9">
        <v>1.6694999999999999E-4</v>
      </c>
      <c r="R3881" s="10">
        <v>4.6256322242020027E-5</v>
      </c>
      <c r="S3881" s="10">
        <v>5.4822421656023009E-5</v>
      </c>
      <c r="T3881" s="10">
        <v>7.4191804097256252E-4</v>
      </c>
      <c r="U3881" s="10">
        <v>9.7460000000000005E-5</v>
      </c>
      <c r="V3881" s="25"/>
      <c r="W3881" s="25"/>
      <c r="X3881" s="25"/>
      <c r="Y3881" s="25"/>
      <c r="Z3881" s="25"/>
      <c r="AA3881" s="25"/>
    </row>
    <row r="3882" spans="1:27" x14ac:dyDescent="0.35">
      <c r="A3882" s="5">
        <v>3878</v>
      </c>
      <c r="B3882" s="5">
        <v>162</v>
      </c>
      <c r="C3882" s="5">
        <v>6</v>
      </c>
      <c r="D3882" s="25">
        <v>1.1415000000000001E-4</v>
      </c>
      <c r="E3882" s="25">
        <v>1.1202E-4</v>
      </c>
      <c r="F3882" s="25">
        <v>1.0329E-4</v>
      </c>
      <c r="G3882" s="25">
        <v>1.5946999999999999E-4</v>
      </c>
      <c r="H3882" s="25">
        <v>1.9055999999999999E-4</v>
      </c>
      <c r="I3882" s="9">
        <v>9.9630000000000007E-5</v>
      </c>
      <c r="J3882" s="9">
        <v>1.2354999999999999E-4</v>
      </c>
      <c r="K3882" s="9">
        <v>3.6040000000000001E-5</v>
      </c>
      <c r="L3882" s="9">
        <v>1.4689999999999999E-4</v>
      </c>
      <c r="M3882" s="9">
        <v>1.6959000000000001E-4</v>
      </c>
      <c r="N3882" s="9">
        <v>1.7003999999999999E-4</v>
      </c>
      <c r="O3882" s="9">
        <v>1.6013999999999999E-4</v>
      </c>
      <c r="P3882" s="9">
        <v>1.6898999999999999E-4</v>
      </c>
      <c r="Q3882" s="9">
        <v>1.6096E-4</v>
      </c>
      <c r="R3882" s="10">
        <v>4.172153672422541E-5</v>
      </c>
      <c r="S3882" s="10">
        <v>5.8497677445914618E-5</v>
      </c>
      <c r="T3882" s="10">
        <v>6.9049470261134881E-4</v>
      </c>
      <c r="U3882" s="10">
        <v>9.7460000000000005E-5</v>
      </c>
      <c r="V3882" s="25"/>
      <c r="W3882" s="25"/>
      <c r="X3882" s="25"/>
      <c r="Y3882" s="25"/>
      <c r="Z3882" s="25"/>
      <c r="AA3882" s="25"/>
    </row>
    <row r="3883" spans="1:27" x14ac:dyDescent="0.35">
      <c r="A3883" s="5">
        <v>3879</v>
      </c>
      <c r="B3883" s="5">
        <v>162</v>
      </c>
      <c r="C3883" s="5">
        <v>6</v>
      </c>
      <c r="D3883" s="25">
        <v>1.1416E-4</v>
      </c>
      <c r="E3883" s="25">
        <v>1.1437E-4</v>
      </c>
      <c r="F3883" s="25">
        <v>1.0793000000000001E-4</v>
      </c>
      <c r="G3883" s="25">
        <v>1.5695999999999999E-4</v>
      </c>
      <c r="H3883" s="25">
        <v>1.9696000000000001E-4</v>
      </c>
      <c r="I3883" s="9">
        <v>1.0166999999999999E-4</v>
      </c>
      <c r="J3883" s="9">
        <v>1.2308999999999999E-4</v>
      </c>
      <c r="K3883" s="9">
        <v>5.9339999999999998E-5</v>
      </c>
      <c r="L3883" s="9">
        <v>1.5737999999999999E-4</v>
      </c>
      <c r="M3883" s="9">
        <v>1.683E-4</v>
      </c>
      <c r="N3883" s="9">
        <v>1.6969000000000001E-4</v>
      </c>
      <c r="O3883" s="9">
        <v>1.6448E-4</v>
      </c>
      <c r="P3883" s="9">
        <v>1.6728000000000001E-4</v>
      </c>
      <c r="Q3883" s="9">
        <v>1.5258000000000001E-4</v>
      </c>
      <c r="R3883" s="10">
        <v>4.6197575698192905E-5</v>
      </c>
      <c r="S3883" s="10">
        <v>6.11631804647348E-5</v>
      </c>
      <c r="T3883" s="10">
        <v>6.1148890706282165E-4</v>
      </c>
      <c r="U3883" s="10">
        <v>9.7460000000000005E-5</v>
      </c>
      <c r="V3883" s="25"/>
      <c r="W3883" s="25"/>
      <c r="X3883" s="25"/>
      <c r="Y3883" s="25"/>
      <c r="Z3883" s="25"/>
      <c r="AA3883" s="25"/>
    </row>
    <row r="3884" spans="1:27" x14ac:dyDescent="0.35">
      <c r="A3884" s="5">
        <v>3880</v>
      </c>
      <c r="B3884" s="5">
        <v>162</v>
      </c>
      <c r="C3884" s="5">
        <v>6</v>
      </c>
      <c r="D3884" s="25">
        <v>1.1415000000000001E-4</v>
      </c>
      <c r="E3884" s="25">
        <v>1.1514E-4</v>
      </c>
      <c r="F3884" s="25">
        <v>1.0012E-4</v>
      </c>
      <c r="G3884" s="25">
        <v>1.5729000000000001E-4</v>
      </c>
      <c r="H3884" s="25">
        <v>1.9400999999999999E-4</v>
      </c>
      <c r="I3884" s="9">
        <v>1.0474E-4</v>
      </c>
      <c r="J3884" s="9">
        <v>1.2286999999999999E-4</v>
      </c>
      <c r="K3884" s="9">
        <v>2.3309999999999999E-5</v>
      </c>
      <c r="L3884" s="9">
        <v>1.6265E-4</v>
      </c>
      <c r="M3884" s="9">
        <v>1.6768999999999999E-4</v>
      </c>
      <c r="N3884" s="9">
        <v>1.6593000000000001E-4</v>
      </c>
      <c r="O3884" s="9">
        <v>1.762E-4</v>
      </c>
      <c r="P3884" s="9">
        <v>1.5247000000000001E-4</v>
      </c>
      <c r="Q3884" s="9">
        <v>1.0977E-4</v>
      </c>
      <c r="R3884" s="10">
        <v>5.363297752046883E-5</v>
      </c>
      <c r="S3884" s="10">
        <v>6.4215725413055316E-5</v>
      </c>
      <c r="T3884" s="10">
        <v>4.9029917514538596E-4</v>
      </c>
      <c r="U3884" s="10">
        <v>9.7460000000000005E-5</v>
      </c>
      <c r="V3884" s="25"/>
      <c r="W3884" s="25"/>
      <c r="X3884" s="25"/>
      <c r="Y3884" s="25"/>
      <c r="Z3884" s="25"/>
      <c r="AA3884" s="25"/>
    </row>
    <row r="3885" spans="1:27" x14ac:dyDescent="0.35">
      <c r="A3885" s="5">
        <v>3881</v>
      </c>
      <c r="B3885" s="5">
        <v>162</v>
      </c>
      <c r="C3885" s="5">
        <v>6</v>
      </c>
      <c r="D3885" s="25">
        <v>1.1416E-4</v>
      </c>
      <c r="E3885" s="25">
        <v>1.0653E-4</v>
      </c>
      <c r="F3885" s="25">
        <v>1.0463000000000001E-4</v>
      </c>
      <c r="G3885" s="25">
        <v>1.6488000000000001E-4</v>
      </c>
      <c r="H3885" s="25">
        <v>1.9081999999999999E-4</v>
      </c>
      <c r="I3885" s="9">
        <v>1.0873E-4</v>
      </c>
      <c r="J3885" s="9">
        <v>1.2315000000000001E-4</v>
      </c>
      <c r="K3885" s="9">
        <v>5.7229999999999999E-5</v>
      </c>
      <c r="L3885" s="9">
        <v>1.7302999999999999E-4</v>
      </c>
      <c r="M3885" s="9">
        <v>1.6216000000000001E-4</v>
      </c>
      <c r="N3885" s="9">
        <v>1.5231000000000001E-4</v>
      </c>
      <c r="O3885" s="9">
        <v>1.9132E-4</v>
      </c>
      <c r="P3885" s="9">
        <v>1.6013E-4</v>
      </c>
      <c r="Q3885" s="9">
        <v>1.0771E-4</v>
      </c>
      <c r="R3885" s="10">
        <v>5.6392102902339656E-5</v>
      </c>
      <c r="S3885" s="10">
        <v>6.8243256491787137E-5</v>
      </c>
      <c r="T3885" s="10">
        <v>3.323978799398835E-4</v>
      </c>
      <c r="U3885" s="10">
        <v>9.7460000000000005E-5</v>
      </c>
      <c r="V3885" s="25"/>
      <c r="W3885" s="25"/>
      <c r="X3885" s="25"/>
      <c r="Y3885" s="25"/>
      <c r="Z3885" s="25"/>
      <c r="AA3885" s="25"/>
    </row>
    <row r="3886" spans="1:27" x14ac:dyDescent="0.35">
      <c r="A3886" s="5">
        <v>3882</v>
      </c>
      <c r="B3886" s="5">
        <v>162</v>
      </c>
      <c r="C3886" s="5">
        <v>6</v>
      </c>
      <c r="D3886" s="25">
        <v>1.1415000000000001E-4</v>
      </c>
      <c r="E3886" s="25">
        <v>1.0577E-4</v>
      </c>
      <c r="F3886" s="25">
        <v>1.0931E-4</v>
      </c>
      <c r="G3886" s="25">
        <v>1.5739000000000001E-4</v>
      </c>
      <c r="H3886" s="25">
        <v>1.9124999999999999E-4</v>
      </c>
      <c r="I3886" s="9">
        <v>1.0987E-4</v>
      </c>
      <c r="J3886" s="9">
        <v>1.1993E-4</v>
      </c>
      <c r="K3886" s="9">
        <v>6.3579999999999998E-5</v>
      </c>
      <c r="L3886" s="9">
        <v>1.8709E-4</v>
      </c>
      <c r="M3886" s="9">
        <v>1.5988999999999999E-4</v>
      </c>
      <c r="N3886" s="9">
        <v>1.3914999999999999E-4</v>
      </c>
      <c r="O3886" s="9">
        <v>1.8328999999999999E-4</v>
      </c>
      <c r="P3886" s="9">
        <v>1.6063000000000001E-4</v>
      </c>
      <c r="Q3886" s="9">
        <v>1.1785E-4</v>
      </c>
      <c r="R3886" s="10">
        <v>6.0045828607068239E-5</v>
      </c>
      <c r="S3886" s="10">
        <v>7.6072716700922147E-5</v>
      </c>
      <c r="T3886" s="10">
        <v>1.5713770826398957E-4</v>
      </c>
      <c r="U3886" s="10">
        <v>9.7460000000000005E-5</v>
      </c>
      <c r="V3886" s="25"/>
      <c r="W3886" s="25"/>
      <c r="X3886" s="25"/>
      <c r="Y3886" s="25"/>
      <c r="Z3886" s="25"/>
      <c r="AA3886" s="25"/>
    </row>
    <row r="3887" spans="1:27" x14ac:dyDescent="0.35">
      <c r="A3887" s="5">
        <v>3883</v>
      </c>
      <c r="B3887" s="5">
        <v>162</v>
      </c>
      <c r="C3887" s="5">
        <v>6</v>
      </c>
      <c r="D3887" s="25">
        <v>1.1416E-4</v>
      </c>
      <c r="E3887" s="25">
        <v>1.1247999999999999E-4</v>
      </c>
      <c r="F3887" s="25">
        <v>1.0087E-4</v>
      </c>
      <c r="G3887" s="25">
        <v>1.1297E-4</v>
      </c>
      <c r="H3887" s="25">
        <v>1.2684999999999999E-4</v>
      </c>
      <c r="I3887" s="9">
        <v>1.1045E-4</v>
      </c>
      <c r="J3887" s="9">
        <v>1.1731E-4</v>
      </c>
      <c r="K3887" s="9">
        <v>9.3250000000000003E-5</v>
      </c>
      <c r="L3887" s="9">
        <v>1.8375999999999999E-4</v>
      </c>
      <c r="M3887" s="9">
        <v>1.5972999999999999E-4</v>
      </c>
      <c r="N3887" s="9">
        <v>1.3017000000000001E-4</v>
      </c>
      <c r="O3887" s="9">
        <v>1.4897000000000001E-4</v>
      </c>
      <c r="P3887" s="9">
        <v>1.3569999999999999E-4</v>
      </c>
      <c r="Q3887" s="9">
        <v>1.0771E-4</v>
      </c>
      <c r="R3887" s="10">
        <v>7.6267724645942922E-5</v>
      </c>
      <c r="S3887" s="10">
        <v>8.4303497717815715E-5</v>
      </c>
      <c r="T3887" s="10">
        <v>3.7373338637377786E-5</v>
      </c>
      <c r="U3887" s="10">
        <v>9.7460000000000005E-5</v>
      </c>
      <c r="V3887" s="25"/>
      <c r="W3887" s="25"/>
      <c r="X3887" s="25"/>
      <c r="Y3887" s="25"/>
      <c r="Z3887" s="25"/>
      <c r="AA3887" s="25"/>
    </row>
    <row r="3888" spans="1:27" x14ac:dyDescent="0.35">
      <c r="A3888" s="5">
        <v>3884</v>
      </c>
      <c r="B3888" s="5">
        <v>162</v>
      </c>
      <c r="C3888" s="5">
        <v>6</v>
      </c>
      <c r="D3888" s="25">
        <v>1.1415000000000001E-4</v>
      </c>
      <c r="E3888" s="25">
        <v>1.1145999999999999E-4</v>
      </c>
      <c r="F3888" s="25">
        <v>1.0009999999999999E-4</v>
      </c>
      <c r="G3888" s="25">
        <v>1.1018000000000001E-4</v>
      </c>
      <c r="H3888" s="25">
        <v>1.2543E-4</v>
      </c>
      <c r="I3888" s="9">
        <v>1.0983E-4</v>
      </c>
      <c r="J3888" s="9">
        <v>1.1457E-4</v>
      </c>
      <c r="K3888" s="9">
        <v>9.9610000000000003E-5</v>
      </c>
      <c r="L3888" s="9">
        <v>1.5678E-4</v>
      </c>
      <c r="M3888" s="9">
        <v>1.5118999999999999E-4</v>
      </c>
      <c r="N3888" s="9">
        <v>1.2119E-4</v>
      </c>
      <c r="O3888" s="9">
        <v>1.184E-4</v>
      </c>
      <c r="P3888" s="9">
        <v>1.1535E-4</v>
      </c>
      <c r="Q3888" s="9">
        <v>1.0233E-4</v>
      </c>
      <c r="R3888" s="10">
        <v>1.1112444503673566E-4</v>
      </c>
      <c r="S3888" s="10">
        <v>9.1506557466996191E-5</v>
      </c>
      <c r="T3888" s="10">
        <v>1.0613858487028288E-5</v>
      </c>
      <c r="U3888" s="10">
        <v>9.7460000000000005E-5</v>
      </c>
      <c r="V3888" s="25"/>
      <c r="W3888" s="25"/>
      <c r="X3888" s="25"/>
      <c r="Y3888" s="25"/>
      <c r="Z3888" s="25"/>
      <c r="AA3888" s="25"/>
    </row>
    <row r="3889" spans="1:27" x14ac:dyDescent="0.35">
      <c r="A3889" s="5">
        <v>3885</v>
      </c>
      <c r="B3889" s="5">
        <v>162</v>
      </c>
      <c r="C3889" s="5">
        <v>6</v>
      </c>
      <c r="D3889" s="25">
        <v>1.1416E-4</v>
      </c>
      <c r="E3889" s="25">
        <v>1.1325E-4</v>
      </c>
      <c r="F3889" s="25">
        <v>1.0181E-4</v>
      </c>
      <c r="G3889" s="25">
        <v>5.2469999999999997E-5</v>
      </c>
      <c r="H3889" s="25">
        <v>6.7840000000000001E-5</v>
      </c>
      <c r="I3889" s="9">
        <v>1.0977E-4</v>
      </c>
      <c r="J3889" s="9">
        <v>1.1129999999999999E-4</v>
      </c>
      <c r="K3889" s="9">
        <v>1.0809E-4</v>
      </c>
      <c r="L3889" s="9">
        <v>1.2768999999999999E-4</v>
      </c>
      <c r="M3889" s="9">
        <v>1.3588000000000001E-4</v>
      </c>
      <c r="N3889" s="9">
        <v>1.1357999999999999E-4</v>
      </c>
      <c r="O3889" s="9">
        <v>7.9820000000000005E-5</v>
      </c>
      <c r="P3889" s="9">
        <v>8.585E-5</v>
      </c>
      <c r="Q3889" s="9">
        <v>8.7839999999999999E-5</v>
      </c>
      <c r="R3889" s="10">
        <v>1.4792293486621532E-4</v>
      </c>
      <c r="S3889" s="10">
        <v>9.5409590660432844E-5</v>
      </c>
      <c r="T3889" s="10">
        <v>0</v>
      </c>
      <c r="U3889" s="10">
        <v>9.7460000000000005E-5</v>
      </c>
      <c r="V3889" s="25"/>
      <c r="W3889" s="25"/>
      <c r="X3889" s="25"/>
      <c r="Y3889" s="25"/>
      <c r="Z3889" s="25"/>
      <c r="AA3889" s="25"/>
    </row>
    <row r="3890" spans="1:27" x14ac:dyDescent="0.35">
      <c r="A3890" s="5">
        <v>3886</v>
      </c>
      <c r="B3890" s="5">
        <v>162</v>
      </c>
      <c r="C3890" s="5">
        <v>6</v>
      </c>
      <c r="D3890" s="25">
        <v>1.1415000000000001E-4</v>
      </c>
      <c r="E3890" s="25">
        <v>1.1523000000000001E-4</v>
      </c>
      <c r="F3890" s="25">
        <v>1.0095E-4</v>
      </c>
      <c r="G3890" s="25">
        <v>5.3730000000000002E-5</v>
      </c>
      <c r="H3890" s="25">
        <v>7.3079999999999998E-5</v>
      </c>
      <c r="I3890" s="9">
        <v>1.1228E-4</v>
      </c>
      <c r="J3890" s="9">
        <v>1.0978E-4</v>
      </c>
      <c r="K3890" s="9">
        <v>1.1869E-4</v>
      </c>
      <c r="L3890" s="9">
        <v>9.1130000000000003E-5</v>
      </c>
      <c r="M3890" s="9">
        <v>1.1393E-4</v>
      </c>
      <c r="N3890" s="9">
        <v>1.0582999999999999E-4</v>
      </c>
      <c r="O3890" s="9">
        <v>8.2849999999999995E-5</v>
      </c>
      <c r="P3890" s="9">
        <v>8.7940000000000002E-5</v>
      </c>
      <c r="Q3890" s="9">
        <v>8.8599999999999999E-5</v>
      </c>
      <c r="R3890" s="10">
        <v>1.7354663274491382E-4</v>
      </c>
      <c r="S3890" s="10">
        <v>9.8955854135204476E-5</v>
      </c>
      <c r="T3890" s="10">
        <v>0</v>
      </c>
      <c r="U3890" s="10">
        <v>9.7460000000000005E-5</v>
      </c>
      <c r="V3890" s="25"/>
      <c r="W3890" s="25"/>
      <c r="X3890" s="25"/>
      <c r="Y3890" s="25"/>
      <c r="Z3890" s="25"/>
      <c r="AA3890" s="25"/>
    </row>
    <row r="3891" spans="1:27" x14ac:dyDescent="0.35">
      <c r="A3891" s="5">
        <v>3887</v>
      </c>
      <c r="B3891" s="5">
        <v>162</v>
      </c>
      <c r="C3891" s="5">
        <v>6</v>
      </c>
      <c r="D3891" s="25">
        <v>1.1416E-4</v>
      </c>
      <c r="E3891" s="25">
        <v>1.122E-4</v>
      </c>
      <c r="F3891" s="25">
        <v>9.6169999999999996E-5</v>
      </c>
      <c r="G3891" s="25">
        <v>5.626E-5</v>
      </c>
      <c r="H3891" s="25">
        <v>7.2139999999999997E-5</v>
      </c>
      <c r="I3891" s="9">
        <v>1.0685E-4</v>
      </c>
      <c r="J3891" s="9">
        <v>1.0582999999999999E-4</v>
      </c>
      <c r="K3891" s="9">
        <v>1.2292E-4</v>
      </c>
      <c r="L3891" s="9">
        <v>8.5500000000000005E-5</v>
      </c>
      <c r="M3891" s="9">
        <v>9.9179999999999996E-5</v>
      </c>
      <c r="N3891" s="9">
        <v>1.0004E-4</v>
      </c>
      <c r="O3891" s="9">
        <v>7.4170000000000003E-5</v>
      </c>
      <c r="P3891" s="9">
        <v>7.1929999999999997E-5</v>
      </c>
      <c r="Q3891" s="9">
        <v>6.669E-5</v>
      </c>
      <c r="R3891" s="10">
        <v>1.764399074029828E-4</v>
      </c>
      <c r="S3891" s="10">
        <v>1.04217300437684E-4</v>
      </c>
      <c r="T3891" s="10">
        <v>0</v>
      </c>
      <c r="U3891" s="10">
        <v>9.7460000000000005E-5</v>
      </c>
      <c r="V3891" s="25"/>
      <c r="W3891" s="25"/>
      <c r="X3891" s="25"/>
      <c r="Y3891" s="25"/>
      <c r="Z3891" s="25"/>
      <c r="AA3891" s="25"/>
    </row>
    <row r="3892" spans="1:27" x14ac:dyDescent="0.35">
      <c r="A3892" s="5">
        <v>3888</v>
      </c>
      <c r="B3892" s="5">
        <v>162</v>
      </c>
      <c r="C3892" s="5">
        <v>6</v>
      </c>
      <c r="D3892" s="25">
        <v>1.1415000000000001E-4</v>
      </c>
      <c r="E3892" s="25">
        <v>1.1215E-4</v>
      </c>
      <c r="F3892" s="25">
        <v>9.5060000000000001E-5</v>
      </c>
      <c r="G3892" s="25">
        <v>5.2129999999999997E-5</v>
      </c>
      <c r="H3892" s="25">
        <v>6.5270000000000004E-5</v>
      </c>
      <c r="I3892" s="9">
        <v>1.0029E-4</v>
      </c>
      <c r="J3892" s="9">
        <v>9.8939999999999998E-5</v>
      </c>
      <c r="K3892" s="9">
        <v>1.5259E-4</v>
      </c>
      <c r="L3892" s="9">
        <v>7.6639999999999998E-5</v>
      </c>
      <c r="M3892" s="9">
        <v>8.6130000000000004E-5</v>
      </c>
      <c r="N3892" s="9">
        <v>9.0660000000000003E-5</v>
      </c>
      <c r="O3892" s="9">
        <v>6.1909999999999995E-5</v>
      </c>
      <c r="P3892" s="9">
        <v>6.1050000000000007E-5</v>
      </c>
      <c r="Q3892" s="9">
        <v>5.9219999999999999E-5</v>
      </c>
      <c r="R3892" s="10">
        <v>1.8027637568493899E-4</v>
      </c>
      <c r="S3892" s="10">
        <v>1.0109763335561733E-4</v>
      </c>
      <c r="T3892" s="10">
        <v>0</v>
      </c>
      <c r="U3892" s="10">
        <v>9.7460000000000005E-5</v>
      </c>
      <c r="V3892" s="25"/>
      <c r="W3892" s="25"/>
      <c r="X3892" s="25"/>
      <c r="Y3892" s="25"/>
      <c r="Z3892" s="25"/>
      <c r="AA3892" s="25"/>
    </row>
    <row r="3893" spans="1:27" x14ac:dyDescent="0.35">
      <c r="A3893" s="5">
        <v>3889</v>
      </c>
      <c r="B3893" s="5">
        <v>163</v>
      </c>
      <c r="C3893" s="5">
        <v>6</v>
      </c>
      <c r="D3893" s="25">
        <v>1.1416E-4</v>
      </c>
      <c r="E3893" s="25">
        <v>1.0705E-4</v>
      </c>
      <c r="F3893" s="25">
        <v>9.9179999999999996E-5</v>
      </c>
      <c r="G3893" s="25">
        <v>5.3510000000000001E-5</v>
      </c>
      <c r="H3893" s="25">
        <v>6.6370000000000003E-5</v>
      </c>
      <c r="I3893" s="9">
        <v>9.577E-5</v>
      </c>
      <c r="J3893" s="9">
        <v>9.3770000000000005E-5</v>
      </c>
      <c r="K3893" s="9">
        <v>1.7166999999999999E-4</v>
      </c>
      <c r="L3893" s="9">
        <v>6.5149999999999998E-5</v>
      </c>
      <c r="M3893" s="9">
        <v>7.4109999999999993E-5</v>
      </c>
      <c r="N3893" s="9">
        <v>8.1279999999999994E-5</v>
      </c>
      <c r="O3893" s="9">
        <v>5.4119999999999997E-5</v>
      </c>
      <c r="P3893" s="9">
        <v>5.3539999999999999E-5</v>
      </c>
      <c r="Q3893" s="9">
        <v>5.312E-5</v>
      </c>
      <c r="R3893" s="10">
        <v>1.7519672585441026E-4</v>
      </c>
      <c r="S3893" s="10">
        <v>9.3457464562631131E-5</v>
      </c>
      <c r="T3893" s="10">
        <v>0</v>
      </c>
      <c r="U3893" s="10">
        <v>9.4590000000000001E-5</v>
      </c>
      <c r="V3893" s="25"/>
      <c r="W3893" s="25"/>
      <c r="X3893" s="25"/>
      <c r="Y3893" s="25"/>
      <c r="Z3893" s="25"/>
      <c r="AA3893" s="25"/>
    </row>
    <row r="3894" spans="1:27" x14ac:dyDescent="0.35">
      <c r="A3894" s="5">
        <v>3890</v>
      </c>
      <c r="B3894" s="5">
        <v>163</v>
      </c>
      <c r="C3894" s="5">
        <v>6</v>
      </c>
      <c r="D3894" s="25">
        <v>1.1415000000000001E-4</v>
      </c>
      <c r="E3894" s="25">
        <v>1.1526E-4</v>
      </c>
      <c r="F3894" s="25">
        <v>9.5279999999999996E-5</v>
      </c>
      <c r="G3894" s="25">
        <v>5.9630000000000003E-5</v>
      </c>
      <c r="H3894" s="25">
        <v>6.6950000000000001E-5</v>
      </c>
      <c r="I3894" s="9">
        <v>9.1409999999999994E-5</v>
      </c>
      <c r="J3894" s="9">
        <v>9.0690000000000001E-5</v>
      </c>
      <c r="K3894" s="9">
        <v>1.6107E-4</v>
      </c>
      <c r="L3894" s="9">
        <v>5.6870000000000003E-5</v>
      </c>
      <c r="M3894" s="9">
        <v>6.3849999999999993E-5</v>
      </c>
      <c r="N3894" s="9">
        <v>7.2059999999999998E-5</v>
      </c>
      <c r="O3894" s="9">
        <v>2.4170000000000001E-5</v>
      </c>
      <c r="P3894" s="9">
        <v>3.7830000000000002E-5</v>
      </c>
      <c r="Q3894" s="9">
        <v>5.63E-5</v>
      </c>
      <c r="R3894" s="10">
        <v>1.7049091794902157E-4</v>
      </c>
      <c r="S3894" s="10">
        <v>8.2006513114907918E-5</v>
      </c>
      <c r="T3894" s="10">
        <v>0</v>
      </c>
      <c r="U3894" s="10">
        <v>9.4590000000000001E-5</v>
      </c>
      <c r="V3894" s="25"/>
      <c r="W3894" s="25"/>
      <c r="X3894" s="25"/>
      <c r="Y3894" s="25"/>
      <c r="Z3894" s="25"/>
      <c r="AA3894" s="25"/>
    </row>
    <row r="3895" spans="1:27" x14ac:dyDescent="0.35">
      <c r="A3895" s="5">
        <v>3891</v>
      </c>
      <c r="B3895" s="5">
        <v>163</v>
      </c>
      <c r="C3895" s="5">
        <v>6</v>
      </c>
      <c r="D3895" s="25">
        <v>1.1416E-4</v>
      </c>
      <c r="E3895" s="25">
        <v>1.1430999999999999E-4</v>
      </c>
      <c r="F3895" s="25">
        <v>9.993E-5</v>
      </c>
      <c r="G3895" s="25">
        <v>5.5800000000000001E-5</v>
      </c>
      <c r="H3895" s="25">
        <v>6.7710000000000001E-5</v>
      </c>
      <c r="I3895" s="9">
        <v>9.0439999999999995E-5</v>
      </c>
      <c r="J3895" s="9">
        <v>8.8759999999999997E-5</v>
      </c>
      <c r="K3895" s="9">
        <v>1.4200000000000001E-4</v>
      </c>
      <c r="L3895" s="9">
        <v>3.1550000000000001E-5</v>
      </c>
      <c r="M3895" s="9">
        <v>5.2139999999999999E-5</v>
      </c>
      <c r="N3895" s="9">
        <v>6.5510000000000001E-5</v>
      </c>
      <c r="O3895" s="9">
        <v>1.9279999999999998E-5</v>
      </c>
      <c r="P3895" s="9">
        <v>3.7410000000000003E-5</v>
      </c>
      <c r="Q3895" s="9">
        <v>6.0980000000000002E-5</v>
      </c>
      <c r="R3895" s="10">
        <v>1.6097368198037852E-4</v>
      </c>
      <c r="S3895" s="10">
        <v>7.485385073017959E-5</v>
      </c>
      <c r="T3895" s="10">
        <v>0</v>
      </c>
      <c r="U3895" s="10">
        <v>9.4590000000000001E-5</v>
      </c>
      <c r="V3895" s="25"/>
      <c r="W3895" s="25"/>
      <c r="X3895" s="25"/>
      <c r="Y3895" s="25"/>
      <c r="Z3895" s="25"/>
      <c r="AA3895" s="25"/>
    </row>
    <row r="3896" spans="1:27" x14ac:dyDescent="0.35">
      <c r="A3896" s="5">
        <v>3892</v>
      </c>
      <c r="B3896" s="5">
        <v>163</v>
      </c>
      <c r="C3896" s="5">
        <v>6</v>
      </c>
      <c r="D3896" s="25">
        <v>1.1415000000000001E-4</v>
      </c>
      <c r="E3896" s="25">
        <v>1.0836E-4</v>
      </c>
      <c r="F3896" s="25">
        <v>9.8750000000000002E-5</v>
      </c>
      <c r="G3896" s="25">
        <v>6.2769999999999997E-5</v>
      </c>
      <c r="H3896" s="25">
        <v>6.6110000000000002E-5</v>
      </c>
      <c r="I3896" s="9">
        <v>8.9149999999999999E-5</v>
      </c>
      <c r="J3896" s="9">
        <v>8.8150000000000001E-5</v>
      </c>
      <c r="K3896" s="9">
        <v>1.314E-4</v>
      </c>
      <c r="L3896" s="9">
        <v>2.2609999999999999E-5</v>
      </c>
      <c r="M3896" s="9">
        <v>4.405E-5</v>
      </c>
      <c r="N3896" s="9">
        <v>6.1779999999999995E-5</v>
      </c>
      <c r="O3896" s="9">
        <v>1.9360000000000001E-5</v>
      </c>
      <c r="P3896" s="9">
        <v>4.6969999999999999E-5</v>
      </c>
      <c r="Q3896" s="9">
        <v>7.9889999999999996E-5</v>
      </c>
      <c r="R3896" s="10">
        <v>1.3988612882304968E-4</v>
      </c>
      <c r="S3896" s="10">
        <v>7.3338343737857346E-5</v>
      </c>
      <c r="T3896" s="10">
        <v>0</v>
      </c>
      <c r="U3896" s="10">
        <v>9.4590000000000001E-5</v>
      </c>
      <c r="V3896" s="25"/>
      <c r="W3896" s="25"/>
      <c r="X3896" s="25"/>
      <c r="Y3896" s="25"/>
      <c r="Z3896" s="25"/>
      <c r="AA3896" s="25"/>
    </row>
    <row r="3897" spans="1:27" x14ac:dyDescent="0.35">
      <c r="A3897" s="5">
        <v>3893</v>
      </c>
      <c r="B3897" s="5">
        <v>163</v>
      </c>
      <c r="C3897" s="5">
        <v>6</v>
      </c>
      <c r="D3897" s="25">
        <v>1.1416E-4</v>
      </c>
      <c r="E3897" s="25">
        <v>1.106E-4</v>
      </c>
      <c r="F3897" s="25">
        <v>1.0087E-4</v>
      </c>
      <c r="G3897" s="25">
        <v>6.1779999999999995E-5</v>
      </c>
      <c r="H3897" s="25">
        <v>7.1060000000000001E-5</v>
      </c>
      <c r="I3897" s="9">
        <v>8.6349999999999998E-5</v>
      </c>
      <c r="J3897" s="9">
        <v>8.6440000000000006E-5</v>
      </c>
      <c r="K3897" s="9">
        <v>1.3776000000000001E-4</v>
      </c>
      <c r="L3897" s="9">
        <v>2.0279999999999999E-5</v>
      </c>
      <c r="M3897" s="9">
        <v>4.3279999999999999E-5</v>
      </c>
      <c r="N3897" s="9">
        <v>6.4220000000000005E-5</v>
      </c>
      <c r="O3897" s="9">
        <v>2.425E-5</v>
      </c>
      <c r="P3897" s="9">
        <v>5.6919999999999997E-5</v>
      </c>
      <c r="Q3897" s="9">
        <v>9.4110000000000005E-5</v>
      </c>
      <c r="R3897" s="10">
        <v>1.153086218266074E-4</v>
      </c>
      <c r="S3897" s="10">
        <v>7.656509151746793E-5</v>
      </c>
      <c r="T3897" s="10">
        <v>1.4788133767298407E-5</v>
      </c>
      <c r="U3897" s="10">
        <v>9.4590000000000001E-5</v>
      </c>
      <c r="V3897" s="25"/>
      <c r="W3897" s="25"/>
      <c r="X3897" s="25"/>
      <c r="Y3897" s="25"/>
      <c r="Z3897" s="25"/>
      <c r="AA3897" s="25"/>
    </row>
    <row r="3898" spans="1:27" x14ac:dyDescent="0.35">
      <c r="A3898" s="5">
        <v>3894</v>
      </c>
      <c r="B3898" s="5">
        <v>163</v>
      </c>
      <c r="C3898" s="5">
        <v>6</v>
      </c>
      <c r="D3898" s="25">
        <v>1.1415000000000001E-4</v>
      </c>
      <c r="E3898" s="25">
        <v>1.1042E-4</v>
      </c>
      <c r="F3898" s="25">
        <v>9.8649999999999999E-5</v>
      </c>
      <c r="G3898" s="25">
        <v>1.1540999999999999E-4</v>
      </c>
      <c r="H3898" s="25">
        <v>1.3043000000000001E-4</v>
      </c>
      <c r="I3898" s="9">
        <v>8.8759999999999997E-5</v>
      </c>
      <c r="J3898" s="9">
        <v>8.8010000000000006E-5</v>
      </c>
      <c r="K3898" s="9">
        <v>9.1130000000000003E-5</v>
      </c>
      <c r="L3898" s="9">
        <v>2.3269999999999999E-5</v>
      </c>
      <c r="M3898" s="9">
        <v>4.8340000000000001E-5</v>
      </c>
      <c r="N3898" s="9">
        <v>7.0889999999999994E-5</v>
      </c>
      <c r="O3898" s="9">
        <v>4.71E-5</v>
      </c>
      <c r="P3898" s="9">
        <v>7.6199999999999995E-5</v>
      </c>
      <c r="Q3898" s="9">
        <v>1.061E-4</v>
      </c>
      <c r="R3898" s="10">
        <v>9.9472883666331541E-5</v>
      </c>
      <c r="S3898" s="10">
        <v>7.3091031447161615E-5</v>
      </c>
      <c r="T3898" s="10">
        <v>3.7933302394487195E-5</v>
      </c>
      <c r="U3898" s="10">
        <v>9.4590000000000001E-5</v>
      </c>
      <c r="V3898" s="25"/>
      <c r="W3898" s="25"/>
      <c r="X3898" s="25"/>
      <c r="Y3898" s="25"/>
      <c r="Z3898" s="25"/>
      <c r="AA3898" s="25"/>
    </row>
    <row r="3899" spans="1:27" x14ac:dyDescent="0.35">
      <c r="A3899" s="5">
        <v>3895</v>
      </c>
      <c r="B3899" s="5">
        <v>163</v>
      </c>
      <c r="C3899" s="5">
        <v>6</v>
      </c>
      <c r="D3899" s="25">
        <v>1.1416E-4</v>
      </c>
      <c r="E3899" s="25">
        <v>1.1455000000000001E-4</v>
      </c>
      <c r="F3899" s="25">
        <v>8.9209999999999995E-5</v>
      </c>
      <c r="G3899" s="25">
        <v>1.1121E-4</v>
      </c>
      <c r="H3899" s="25">
        <v>1.3187E-4</v>
      </c>
      <c r="I3899" s="9">
        <v>9.1780000000000006E-5</v>
      </c>
      <c r="J3899" s="9">
        <v>9.3209999999999997E-5</v>
      </c>
      <c r="K3899" s="9">
        <v>7.4179999999999998E-5</v>
      </c>
      <c r="L3899" s="9">
        <v>4.1730000000000002E-5</v>
      </c>
      <c r="M3899" s="9">
        <v>5.9799999999999997E-5</v>
      </c>
      <c r="N3899" s="9">
        <v>8.0430000000000001E-5</v>
      </c>
      <c r="O3899" s="9">
        <v>1.1225E-4</v>
      </c>
      <c r="P3899" s="9">
        <v>1.1657E-4</v>
      </c>
      <c r="Q3899" s="9">
        <v>1.1167000000000001E-4</v>
      </c>
      <c r="R3899" s="10">
        <v>9.098665937953082E-5</v>
      </c>
      <c r="S3899" s="10">
        <v>6.4946016750132082E-5</v>
      </c>
      <c r="T3899" s="10">
        <v>1.7666856536801762E-4</v>
      </c>
      <c r="U3899" s="10">
        <v>9.4590000000000001E-5</v>
      </c>
      <c r="V3899" s="25"/>
      <c r="W3899" s="25"/>
      <c r="X3899" s="25"/>
      <c r="Y3899" s="25"/>
      <c r="Z3899" s="25"/>
      <c r="AA3899" s="25"/>
    </row>
    <row r="3900" spans="1:27" x14ac:dyDescent="0.35">
      <c r="A3900" s="5">
        <v>3896</v>
      </c>
      <c r="B3900" s="5">
        <v>163</v>
      </c>
      <c r="C3900" s="5">
        <v>6</v>
      </c>
      <c r="D3900" s="25">
        <v>1.1415000000000001E-4</v>
      </c>
      <c r="E3900" s="25">
        <v>1.0897E-4</v>
      </c>
      <c r="F3900" s="25">
        <v>1.0268999999999999E-4</v>
      </c>
      <c r="G3900" s="25">
        <v>1.6254E-4</v>
      </c>
      <c r="H3900" s="25">
        <v>1.8966E-4</v>
      </c>
      <c r="I3900" s="9">
        <v>9.7449999999999997E-5</v>
      </c>
      <c r="J3900" s="9">
        <v>1.0128000000000001E-4</v>
      </c>
      <c r="K3900" s="9">
        <v>6.1459999999999998E-5</v>
      </c>
      <c r="L3900" s="9">
        <v>9.6219999999999997E-5</v>
      </c>
      <c r="M3900" s="9">
        <v>8.318E-5</v>
      </c>
      <c r="N3900" s="9">
        <v>9.0389999999999993E-5</v>
      </c>
      <c r="O3900" s="9">
        <v>1.9662999999999999E-4</v>
      </c>
      <c r="P3900" s="9">
        <v>1.7830999999999999E-4</v>
      </c>
      <c r="Q3900" s="9">
        <v>1.3773999999999999E-4</v>
      </c>
      <c r="R3900" s="10">
        <v>7.4012944275858957E-5</v>
      </c>
      <c r="S3900" s="10">
        <v>5.4732421650514611E-5</v>
      </c>
      <c r="T3900" s="10">
        <v>3.5228507761661759E-4</v>
      </c>
      <c r="U3900" s="10">
        <v>9.4590000000000001E-5</v>
      </c>
      <c r="V3900" s="25"/>
      <c r="W3900" s="25"/>
      <c r="X3900" s="25"/>
      <c r="Y3900" s="25"/>
      <c r="Z3900" s="25"/>
      <c r="AA3900" s="25"/>
    </row>
    <row r="3901" spans="1:27" x14ac:dyDescent="0.35">
      <c r="A3901" s="5">
        <v>3897</v>
      </c>
      <c r="B3901" s="5">
        <v>163</v>
      </c>
      <c r="C3901" s="5">
        <v>6</v>
      </c>
      <c r="D3901" s="25">
        <v>1.1416E-4</v>
      </c>
      <c r="E3901" s="25">
        <v>1.153E-4</v>
      </c>
      <c r="F3901" s="25">
        <v>8.454E-5</v>
      </c>
      <c r="G3901" s="25">
        <v>1.6648999999999999E-4</v>
      </c>
      <c r="H3901" s="25">
        <v>1.9812000000000001E-4</v>
      </c>
      <c r="I3901" s="9">
        <v>1.0135E-4</v>
      </c>
      <c r="J3901" s="9">
        <v>1.0831E-4</v>
      </c>
      <c r="K3901" s="9">
        <v>6.3579999999999998E-5</v>
      </c>
      <c r="L3901" s="9">
        <v>1.7305000000000001E-4</v>
      </c>
      <c r="M3901" s="9">
        <v>1.2347000000000001E-4</v>
      </c>
      <c r="N3901" s="9">
        <v>1.0444E-4</v>
      </c>
      <c r="O3901" s="9">
        <v>1.8791000000000001E-4</v>
      </c>
      <c r="P3901" s="9">
        <v>1.9296999999999999E-4</v>
      </c>
      <c r="Q3901" s="9">
        <v>1.7672E-4</v>
      </c>
      <c r="R3901" s="10">
        <v>5.8703531579519637E-5</v>
      </c>
      <c r="S3901" s="10">
        <v>4.8089952251206801E-5</v>
      </c>
      <c r="T3901" s="10">
        <v>5.0641085961130651E-4</v>
      </c>
      <c r="U3901" s="10">
        <v>9.4590000000000001E-5</v>
      </c>
      <c r="V3901" s="25"/>
      <c r="W3901" s="25"/>
      <c r="X3901" s="25"/>
      <c r="Y3901" s="25"/>
      <c r="Z3901" s="25"/>
      <c r="AA3901" s="25"/>
    </row>
    <row r="3902" spans="1:27" x14ac:dyDescent="0.35">
      <c r="A3902" s="5">
        <v>3898</v>
      </c>
      <c r="B3902" s="5">
        <v>163</v>
      </c>
      <c r="C3902" s="5">
        <v>6</v>
      </c>
      <c r="D3902" s="25">
        <v>1.1415000000000001E-4</v>
      </c>
      <c r="E3902" s="25">
        <v>1.0698E-4</v>
      </c>
      <c r="F3902" s="25">
        <v>9.9270000000000003E-5</v>
      </c>
      <c r="G3902" s="25">
        <v>1.6024999999999999E-4</v>
      </c>
      <c r="H3902" s="25">
        <v>1.8982999999999999E-4</v>
      </c>
      <c r="I3902" s="9">
        <v>1.0118E-4</v>
      </c>
      <c r="J3902" s="9">
        <v>1.1090999999999999E-4</v>
      </c>
      <c r="K3902" s="9">
        <v>2.5429999999999999E-5</v>
      </c>
      <c r="L3902" s="9">
        <v>1.8262000000000001E-4</v>
      </c>
      <c r="M3902" s="9">
        <v>1.5872999999999999E-4</v>
      </c>
      <c r="N3902" s="9">
        <v>1.2448E-4</v>
      </c>
      <c r="O3902" s="9">
        <v>1.5008999999999999E-4</v>
      </c>
      <c r="P3902" s="9">
        <v>1.7363E-4</v>
      </c>
      <c r="Q3902" s="9">
        <v>1.8160999999999999E-4</v>
      </c>
      <c r="R3902" s="10">
        <v>5.0289685496922558E-5</v>
      </c>
      <c r="S3902" s="10">
        <v>4.1955219233511893E-5</v>
      </c>
      <c r="T3902" s="10">
        <v>6.2389295271273002E-4</v>
      </c>
      <c r="U3902" s="10">
        <v>9.4590000000000001E-5</v>
      </c>
      <c r="V3902" s="25"/>
      <c r="W3902" s="25"/>
      <c r="X3902" s="25"/>
      <c r="Y3902" s="25"/>
      <c r="Z3902" s="25"/>
      <c r="AA3902" s="25"/>
    </row>
    <row r="3903" spans="1:27" x14ac:dyDescent="0.35">
      <c r="A3903" s="5">
        <v>3899</v>
      </c>
      <c r="B3903" s="5">
        <v>163</v>
      </c>
      <c r="C3903" s="5">
        <v>6</v>
      </c>
      <c r="D3903" s="25">
        <v>1.1416E-4</v>
      </c>
      <c r="E3903" s="25">
        <v>1.0854E-4</v>
      </c>
      <c r="F3903" s="25">
        <v>9.6479999999999998E-5</v>
      </c>
      <c r="G3903" s="25">
        <v>1.6338E-4</v>
      </c>
      <c r="H3903" s="25">
        <v>1.8801000000000001E-4</v>
      </c>
      <c r="I3903" s="9">
        <v>1.005E-4</v>
      </c>
      <c r="J3903" s="9">
        <v>1.1101E-4</v>
      </c>
      <c r="K3903" s="9">
        <v>0</v>
      </c>
      <c r="L3903" s="9">
        <v>1.5734000000000001E-4</v>
      </c>
      <c r="M3903" s="9">
        <v>1.7223999999999999E-4</v>
      </c>
      <c r="N3903" s="9">
        <v>1.4249E-4</v>
      </c>
      <c r="O3903" s="9">
        <v>1.5116000000000001E-4</v>
      </c>
      <c r="P3903" s="9">
        <v>1.7351000000000001E-4</v>
      </c>
      <c r="Q3903" s="9">
        <v>1.8021000000000001E-4</v>
      </c>
      <c r="R3903" s="10">
        <v>4.8020561869011805E-5</v>
      </c>
      <c r="S3903" s="10">
        <v>3.9307135896774812E-5</v>
      </c>
      <c r="T3903" s="10">
        <v>6.9733304788756356E-4</v>
      </c>
      <c r="U3903" s="10">
        <v>9.4590000000000001E-5</v>
      </c>
      <c r="V3903" s="25"/>
      <c r="W3903" s="25"/>
      <c r="X3903" s="25"/>
      <c r="Y3903" s="25"/>
      <c r="Z3903" s="25"/>
      <c r="AA3903" s="25"/>
    </row>
    <row r="3904" spans="1:27" x14ac:dyDescent="0.35">
      <c r="A3904" s="5">
        <v>3900</v>
      </c>
      <c r="B3904" s="5">
        <v>163</v>
      </c>
      <c r="C3904" s="5">
        <v>6</v>
      </c>
      <c r="D3904" s="25">
        <v>1.1415000000000001E-4</v>
      </c>
      <c r="E3904" s="25">
        <v>1.1272E-4</v>
      </c>
      <c r="F3904" s="25">
        <v>8.1940000000000005E-5</v>
      </c>
      <c r="G3904" s="25">
        <v>1.6663999999999999E-4</v>
      </c>
      <c r="H3904" s="25">
        <v>1.9385999999999999E-4</v>
      </c>
      <c r="I3904" s="9">
        <v>9.8859999999999999E-5</v>
      </c>
      <c r="J3904" s="9">
        <v>1.0925999999999999E-4</v>
      </c>
      <c r="K3904" s="9">
        <v>0</v>
      </c>
      <c r="L3904" s="9">
        <v>1.5375E-4</v>
      </c>
      <c r="M3904" s="9">
        <v>1.7495E-4</v>
      </c>
      <c r="N3904" s="9">
        <v>1.5678999999999999E-4</v>
      </c>
      <c r="O3904" s="9">
        <v>1.5276999999999999E-4</v>
      </c>
      <c r="P3904" s="9">
        <v>1.7132000000000001E-4</v>
      </c>
      <c r="Q3904" s="9">
        <v>1.7399000000000001E-4</v>
      </c>
      <c r="R3904" s="10">
        <v>2.5245972528434923E-5</v>
      </c>
      <c r="S3904" s="10">
        <v>4.2190793618817094E-5</v>
      </c>
      <c r="T3904" s="10">
        <v>7.1907830712197884E-4</v>
      </c>
      <c r="U3904" s="10">
        <v>9.4590000000000001E-5</v>
      </c>
      <c r="V3904" s="25"/>
      <c r="W3904" s="25"/>
      <c r="X3904" s="25"/>
      <c r="Y3904" s="25"/>
      <c r="Z3904" s="25"/>
      <c r="AA3904" s="25"/>
    </row>
    <row r="3905" spans="1:27" x14ac:dyDescent="0.35">
      <c r="A3905" s="5">
        <v>3901</v>
      </c>
      <c r="B3905" s="5">
        <v>163</v>
      </c>
      <c r="C3905" s="5">
        <v>6</v>
      </c>
      <c r="D3905" s="25">
        <v>1.1416E-4</v>
      </c>
      <c r="E3905" s="25">
        <v>1.0786E-4</v>
      </c>
      <c r="F3905" s="25">
        <v>8.7750000000000005E-5</v>
      </c>
      <c r="G3905" s="25">
        <v>1.5705999999999999E-4</v>
      </c>
      <c r="H3905" s="25">
        <v>1.9796000000000001E-4</v>
      </c>
      <c r="I3905" s="9">
        <v>9.6630000000000001E-5</v>
      </c>
      <c r="J3905" s="9">
        <v>1.0774E-4</v>
      </c>
      <c r="K3905" s="9">
        <v>0</v>
      </c>
      <c r="L3905" s="9">
        <v>1.5310000000000001E-4</v>
      </c>
      <c r="M3905" s="9">
        <v>1.7386999999999999E-4</v>
      </c>
      <c r="N3905" s="9">
        <v>1.6626E-4</v>
      </c>
      <c r="O3905" s="9">
        <v>1.4709E-4</v>
      </c>
      <c r="P3905" s="9">
        <v>1.6540000000000001E-4</v>
      </c>
      <c r="Q3905" s="9">
        <v>1.6882999999999999E-4</v>
      </c>
      <c r="R3905" s="10">
        <v>2.0345249542700339E-5</v>
      </c>
      <c r="S3905" s="10">
        <v>4.0023089248043085E-5</v>
      </c>
      <c r="T3905" s="10">
        <v>7.172117612649475E-4</v>
      </c>
      <c r="U3905" s="10">
        <v>9.4590000000000001E-5</v>
      </c>
      <c r="V3905" s="25"/>
      <c r="W3905" s="25"/>
      <c r="X3905" s="25"/>
      <c r="Y3905" s="25"/>
      <c r="Z3905" s="25"/>
      <c r="AA3905" s="25"/>
    </row>
    <row r="3906" spans="1:27" x14ac:dyDescent="0.35">
      <c r="A3906" s="5">
        <v>3902</v>
      </c>
      <c r="B3906" s="5">
        <v>163</v>
      </c>
      <c r="C3906" s="5">
        <v>6</v>
      </c>
      <c r="D3906" s="25">
        <v>1.1415000000000001E-4</v>
      </c>
      <c r="E3906" s="25">
        <v>1.1368E-4</v>
      </c>
      <c r="F3906" s="25">
        <v>9.5719999999999998E-5</v>
      </c>
      <c r="G3906" s="25">
        <v>1.6724E-4</v>
      </c>
      <c r="H3906" s="25">
        <v>1.8963000000000001E-4</v>
      </c>
      <c r="I3906" s="9">
        <v>9.4489999999999998E-5</v>
      </c>
      <c r="J3906" s="9">
        <v>1.0662000000000001E-4</v>
      </c>
      <c r="K3906" s="9">
        <v>0</v>
      </c>
      <c r="L3906" s="9">
        <v>1.4820999999999999E-4</v>
      </c>
      <c r="M3906" s="9">
        <v>1.7050999999999999E-4</v>
      </c>
      <c r="N3906" s="9">
        <v>1.7086E-4</v>
      </c>
      <c r="O3906" s="9">
        <v>1.6097999999999999E-4</v>
      </c>
      <c r="P3906" s="9">
        <v>1.6987999999999999E-4</v>
      </c>
      <c r="Q3906" s="9">
        <v>1.618E-4</v>
      </c>
      <c r="R3906" s="10">
        <v>1.8671319864402571E-5</v>
      </c>
      <c r="S3906" s="10">
        <v>4.5825814965770896E-5</v>
      </c>
      <c r="T3906" s="10">
        <v>5.9404518759892855E-4</v>
      </c>
      <c r="U3906" s="10">
        <v>9.4590000000000001E-5</v>
      </c>
      <c r="V3906" s="25"/>
      <c r="W3906" s="25"/>
      <c r="X3906" s="25"/>
      <c r="Y3906" s="25"/>
      <c r="Z3906" s="25"/>
      <c r="AA3906" s="25"/>
    </row>
    <row r="3907" spans="1:27" x14ac:dyDescent="0.35">
      <c r="A3907" s="5">
        <v>3903</v>
      </c>
      <c r="B3907" s="5">
        <v>163</v>
      </c>
      <c r="C3907" s="5">
        <v>6</v>
      </c>
      <c r="D3907" s="25">
        <v>1.1416E-4</v>
      </c>
      <c r="E3907" s="25">
        <v>1.1361E-4</v>
      </c>
      <c r="F3907" s="25">
        <v>1.0163E-4</v>
      </c>
      <c r="G3907" s="25">
        <v>1.6468E-4</v>
      </c>
      <c r="H3907" s="25">
        <v>2.0064E-4</v>
      </c>
      <c r="I3907" s="9">
        <v>9.2949999999999996E-5</v>
      </c>
      <c r="J3907" s="9">
        <v>1.0543999999999999E-4</v>
      </c>
      <c r="K3907" s="9">
        <v>0</v>
      </c>
      <c r="L3907" s="9">
        <v>1.5829E-4</v>
      </c>
      <c r="M3907" s="9">
        <v>1.6930999999999999E-4</v>
      </c>
      <c r="N3907" s="9">
        <v>1.7059E-4</v>
      </c>
      <c r="O3907" s="9">
        <v>1.6442E-4</v>
      </c>
      <c r="P3907" s="9">
        <v>1.6721999999999999E-4</v>
      </c>
      <c r="Q3907" s="9">
        <v>1.5253E-4</v>
      </c>
      <c r="R3907" s="10">
        <v>1.6362570402963503E-5</v>
      </c>
      <c r="S3907" s="10">
        <v>4.7475850672058804E-5</v>
      </c>
      <c r="T3907" s="10">
        <v>4.2592031167650447E-4</v>
      </c>
      <c r="U3907" s="10">
        <v>9.4590000000000001E-5</v>
      </c>
      <c r="V3907" s="25"/>
      <c r="W3907" s="25"/>
      <c r="X3907" s="25"/>
      <c r="Y3907" s="25"/>
      <c r="Z3907" s="25"/>
      <c r="AA3907" s="25"/>
    </row>
    <row r="3908" spans="1:27" x14ac:dyDescent="0.35">
      <c r="A3908" s="5">
        <v>3904</v>
      </c>
      <c r="B3908" s="5">
        <v>163</v>
      </c>
      <c r="C3908" s="5">
        <v>6</v>
      </c>
      <c r="D3908" s="25">
        <v>1.1415000000000001E-4</v>
      </c>
      <c r="E3908" s="25">
        <v>1.0853000000000001E-4</v>
      </c>
      <c r="F3908" s="25">
        <v>8.5379999999999999E-5</v>
      </c>
      <c r="G3908" s="25">
        <v>1.5815999999999999E-4</v>
      </c>
      <c r="H3908" s="25">
        <v>1.9236000000000001E-4</v>
      </c>
      <c r="I3908" s="9">
        <v>9.4889999999999994E-5</v>
      </c>
      <c r="J3908" s="9">
        <v>1.0584E-4</v>
      </c>
      <c r="K3908" s="9">
        <v>5.2989999999999999E-5</v>
      </c>
      <c r="L3908" s="9">
        <v>1.628E-4</v>
      </c>
      <c r="M3908" s="9">
        <v>1.6833000000000001E-4</v>
      </c>
      <c r="N3908" s="9">
        <v>1.6665000000000001E-4</v>
      </c>
      <c r="O3908" s="9">
        <v>1.7689999999999999E-4</v>
      </c>
      <c r="P3908" s="9">
        <v>1.5307E-4</v>
      </c>
      <c r="Q3908" s="9">
        <v>1.1021E-4</v>
      </c>
      <c r="R3908" s="10">
        <v>1.1927979486454993E-5</v>
      </c>
      <c r="S3908" s="10">
        <v>4.630501301815029E-5</v>
      </c>
      <c r="T3908" s="10">
        <v>4.0856143520611295E-4</v>
      </c>
      <c r="U3908" s="10">
        <v>9.4590000000000001E-5</v>
      </c>
      <c r="V3908" s="25"/>
      <c r="W3908" s="25"/>
      <c r="X3908" s="25"/>
      <c r="Y3908" s="25"/>
      <c r="Z3908" s="25"/>
      <c r="AA3908" s="25"/>
    </row>
    <row r="3909" spans="1:27" x14ac:dyDescent="0.35">
      <c r="A3909" s="5">
        <v>3905</v>
      </c>
      <c r="B3909" s="5">
        <v>163</v>
      </c>
      <c r="C3909" s="5">
        <v>6</v>
      </c>
      <c r="D3909" s="25">
        <v>1.1416E-4</v>
      </c>
      <c r="E3909" s="25">
        <v>1.1079E-4</v>
      </c>
      <c r="F3909" s="25">
        <v>8.1240000000000001E-5</v>
      </c>
      <c r="G3909" s="25">
        <v>1.6275999999999999E-4</v>
      </c>
      <c r="H3909" s="25">
        <v>1.9440000000000001E-4</v>
      </c>
      <c r="I3909" s="9">
        <v>9.8950000000000006E-5</v>
      </c>
      <c r="J3909" s="9">
        <v>1.0796E-4</v>
      </c>
      <c r="K3909" s="9">
        <v>5.7219999999999998E-5</v>
      </c>
      <c r="L3909" s="9">
        <v>1.7363E-4</v>
      </c>
      <c r="M3909" s="9">
        <v>1.6267000000000001E-4</v>
      </c>
      <c r="N3909" s="9">
        <v>1.5294000000000001E-4</v>
      </c>
      <c r="O3909" s="9">
        <v>1.8866E-4</v>
      </c>
      <c r="P3909" s="9">
        <v>1.5789999999999999E-4</v>
      </c>
      <c r="Q3909" s="9">
        <v>1.0621E-4</v>
      </c>
      <c r="R3909" s="10">
        <v>1.1224122425336658E-5</v>
      </c>
      <c r="S3909" s="10">
        <v>4.6857411011156338E-5</v>
      </c>
      <c r="T3909" s="10">
        <v>3.0478148555516965E-4</v>
      </c>
      <c r="U3909" s="10">
        <v>9.4590000000000001E-5</v>
      </c>
      <c r="V3909" s="25"/>
      <c r="W3909" s="25"/>
      <c r="X3909" s="25"/>
      <c r="Y3909" s="25"/>
      <c r="Z3909" s="25"/>
      <c r="AA3909" s="25"/>
    </row>
    <row r="3910" spans="1:27" x14ac:dyDescent="0.35">
      <c r="A3910" s="5">
        <v>3906</v>
      </c>
      <c r="B3910" s="5">
        <v>163</v>
      </c>
      <c r="C3910" s="5">
        <v>6</v>
      </c>
      <c r="D3910" s="25">
        <v>1.1415000000000001E-4</v>
      </c>
      <c r="E3910" s="25">
        <v>1.0584E-4</v>
      </c>
      <c r="F3910" s="25">
        <v>9.9840000000000006E-5</v>
      </c>
      <c r="G3910" s="25">
        <v>1.6326000000000001E-4</v>
      </c>
      <c r="H3910" s="25">
        <v>1.8851999999999999E-4</v>
      </c>
      <c r="I3910" s="9">
        <v>1.0310999999999999E-4</v>
      </c>
      <c r="J3910" s="9">
        <v>1.0833E-4</v>
      </c>
      <c r="K3910" s="9">
        <v>2.544E-5</v>
      </c>
      <c r="L3910" s="9">
        <v>1.8513000000000001E-4</v>
      </c>
      <c r="M3910" s="9">
        <v>1.594E-4</v>
      </c>
      <c r="N3910" s="9">
        <v>1.393E-4</v>
      </c>
      <c r="O3910" s="9">
        <v>1.8341000000000001E-4</v>
      </c>
      <c r="P3910" s="9">
        <v>1.6072999999999999E-4</v>
      </c>
      <c r="Q3910" s="9">
        <v>1.1793E-4</v>
      </c>
      <c r="R3910" s="10">
        <v>1.4758468777488261E-5</v>
      </c>
      <c r="S3910" s="10">
        <v>4.8223231288892053E-5</v>
      </c>
      <c r="T3910" s="10">
        <v>2.4451750727110736E-5</v>
      </c>
      <c r="U3910" s="10">
        <v>9.4590000000000001E-5</v>
      </c>
      <c r="V3910" s="25"/>
      <c r="W3910" s="25"/>
      <c r="X3910" s="25"/>
      <c r="Y3910" s="25"/>
      <c r="Z3910" s="25"/>
      <c r="AA3910" s="25"/>
    </row>
    <row r="3911" spans="1:27" x14ac:dyDescent="0.35">
      <c r="A3911" s="5">
        <v>3907</v>
      </c>
      <c r="B3911" s="5">
        <v>163</v>
      </c>
      <c r="C3911" s="5">
        <v>6</v>
      </c>
      <c r="D3911" s="25">
        <v>1.1416E-4</v>
      </c>
      <c r="E3911" s="25">
        <v>1.1493E-4</v>
      </c>
      <c r="F3911" s="25">
        <v>8.5959999999999997E-5</v>
      </c>
      <c r="G3911" s="25">
        <v>1.1236E-4</v>
      </c>
      <c r="H3911" s="25">
        <v>1.3833000000000001E-4</v>
      </c>
      <c r="I3911" s="9">
        <v>1.0370999999999999E-4</v>
      </c>
      <c r="J3911" s="9">
        <v>1.0709000000000001E-4</v>
      </c>
      <c r="K3911" s="9">
        <v>3.8149999999999999E-5</v>
      </c>
      <c r="L3911" s="9">
        <v>1.8348999999999999E-4</v>
      </c>
      <c r="M3911" s="9">
        <v>1.5918E-4</v>
      </c>
      <c r="N3911" s="9">
        <v>1.3015999999999999E-4</v>
      </c>
      <c r="O3911" s="9">
        <v>1.4689E-4</v>
      </c>
      <c r="P3911" s="9">
        <v>1.338E-4</v>
      </c>
      <c r="Q3911" s="9">
        <v>1.0620000000000001E-4</v>
      </c>
      <c r="R3911" s="10">
        <v>1.0114292433974224E-5</v>
      </c>
      <c r="S3911" s="10">
        <v>4.7469457167079789E-5</v>
      </c>
      <c r="T3911" s="10">
        <v>5.285718495138788E-6</v>
      </c>
      <c r="U3911" s="10">
        <v>9.4590000000000001E-5</v>
      </c>
      <c r="V3911" s="25"/>
      <c r="W3911" s="25"/>
      <c r="X3911" s="25"/>
      <c r="Y3911" s="25"/>
      <c r="Z3911" s="25"/>
      <c r="AA3911" s="25"/>
    </row>
    <row r="3912" spans="1:27" x14ac:dyDescent="0.35">
      <c r="A3912" s="5">
        <v>3908</v>
      </c>
      <c r="B3912" s="5">
        <v>163</v>
      </c>
      <c r="C3912" s="5">
        <v>6</v>
      </c>
      <c r="D3912" s="25">
        <v>1.1415000000000001E-4</v>
      </c>
      <c r="E3912" s="25">
        <v>1.0587E-4</v>
      </c>
      <c r="F3912" s="25">
        <v>8.4179999999999997E-5</v>
      </c>
      <c r="G3912" s="25">
        <v>1.0718E-4</v>
      </c>
      <c r="H3912" s="25">
        <v>1.2873999999999999E-4</v>
      </c>
      <c r="I3912" s="9">
        <v>1.0265E-4</v>
      </c>
      <c r="J3912" s="9">
        <v>1.0546E-4</v>
      </c>
      <c r="K3912" s="9">
        <v>6.5710000000000006E-5</v>
      </c>
      <c r="L3912" s="9">
        <v>1.5506E-4</v>
      </c>
      <c r="M3912" s="9">
        <v>1.5017000000000001E-4</v>
      </c>
      <c r="N3912" s="9">
        <v>1.2076E-4</v>
      </c>
      <c r="O3912" s="9">
        <v>1.1859E-4</v>
      </c>
      <c r="P3912" s="9">
        <v>1.1553999999999999E-4</v>
      </c>
      <c r="Q3912" s="9">
        <v>1.0249E-4</v>
      </c>
      <c r="R3912" s="10">
        <v>1.1348765523676778E-5</v>
      </c>
      <c r="S3912" s="10">
        <v>4.3792873573114091E-5</v>
      </c>
      <c r="T3912" s="10">
        <v>3.9282305991159847E-6</v>
      </c>
      <c r="U3912" s="10">
        <v>9.4590000000000001E-5</v>
      </c>
      <c r="V3912" s="25"/>
      <c r="W3912" s="25"/>
      <c r="X3912" s="25"/>
      <c r="Y3912" s="25"/>
      <c r="Z3912" s="25"/>
      <c r="AA3912" s="25"/>
    </row>
    <row r="3913" spans="1:27" x14ac:dyDescent="0.35">
      <c r="A3913" s="5">
        <v>3909</v>
      </c>
      <c r="B3913" s="5">
        <v>163</v>
      </c>
      <c r="C3913" s="5">
        <v>6</v>
      </c>
      <c r="D3913" s="25">
        <v>1.1416E-4</v>
      </c>
      <c r="E3913" s="25">
        <v>1.0700999999999999E-4</v>
      </c>
      <c r="F3913" s="25">
        <v>8.6600000000000004E-5</v>
      </c>
      <c r="G3913" s="25">
        <v>5.8879999999999999E-5</v>
      </c>
      <c r="H3913" s="25">
        <v>6.7509999999999996E-5</v>
      </c>
      <c r="I3913" s="9">
        <v>1.02E-4</v>
      </c>
      <c r="J3913" s="9">
        <v>1.0381E-4</v>
      </c>
      <c r="K3913" s="9">
        <v>7.4179999999999998E-5</v>
      </c>
      <c r="L3913" s="9">
        <v>1.2747999999999999E-4</v>
      </c>
      <c r="M3913" s="9">
        <v>1.3517999999999999E-4</v>
      </c>
      <c r="N3913" s="9">
        <v>1.1317E-4</v>
      </c>
      <c r="O3913" s="9">
        <v>8.0469999999999994E-5</v>
      </c>
      <c r="P3913" s="9">
        <v>8.6550000000000003E-5</v>
      </c>
      <c r="Q3913" s="9">
        <v>8.8560000000000006E-5</v>
      </c>
      <c r="R3913" s="10">
        <v>2.3472166966887017E-5</v>
      </c>
      <c r="S3913" s="10">
        <v>4.6555435406148423E-5</v>
      </c>
      <c r="T3913" s="10">
        <v>0</v>
      </c>
      <c r="U3913" s="10">
        <v>9.4590000000000001E-5</v>
      </c>
      <c r="V3913" s="25"/>
      <c r="W3913" s="25"/>
      <c r="X3913" s="25"/>
      <c r="Y3913" s="25"/>
      <c r="Z3913" s="25"/>
      <c r="AA3913" s="25"/>
    </row>
    <row r="3914" spans="1:27" x14ac:dyDescent="0.35">
      <c r="A3914" s="5">
        <v>3910</v>
      </c>
      <c r="B3914" s="5">
        <v>163</v>
      </c>
      <c r="C3914" s="5">
        <v>6</v>
      </c>
      <c r="D3914" s="25">
        <v>1.1415000000000001E-4</v>
      </c>
      <c r="E3914" s="25">
        <v>1.0840000000000001E-4</v>
      </c>
      <c r="F3914" s="25">
        <v>8.318E-5</v>
      </c>
      <c r="G3914" s="25">
        <v>5.8539999999999999E-5</v>
      </c>
      <c r="H3914" s="25">
        <v>7.4649999999999998E-5</v>
      </c>
      <c r="I3914" s="9">
        <v>1.0327000000000001E-4</v>
      </c>
      <c r="J3914" s="9">
        <v>1.0437000000000001E-4</v>
      </c>
      <c r="K3914" s="9">
        <v>8.2659999999999998E-5</v>
      </c>
      <c r="L3914" s="9">
        <v>9.1570000000000006E-5</v>
      </c>
      <c r="M3914" s="9">
        <v>1.1383999999999999E-4</v>
      </c>
      <c r="N3914" s="9">
        <v>1.0560000000000001E-4</v>
      </c>
      <c r="O3914" s="9">
        <v>8.2609999999999997E-5</v>
      </c>
      <c r="P3914" s="9">
        <v>8.7689999999999996E-5</v>
      </c>
      <c r="Q3914" s="9">
        <v>8.8339999999999998E-5</v>
      </c>
      <c r="R3914" s="10">
        <v>4.5818599729568091E-5</v>
      </c>
      <c r="S3914" s="10">
        <v>5.1544349948145081E-5</v>
      </c>
      <c r="T3914" s="10">
        <v>0</v>
      </c>
      <c r="U3914" s="10">
        <v>9.4590000000000001E-5</v>
      </c>
      <c r="V3914" s="25"/>
      <c r="W3914" s="25"/>
      <c r="X3914" s="25"/>
      <c r="Y3914" s="25"/>
      <c r="Z3914" s="25"/>
      <c r="AA3914" s="25"/>
    </row>
    <row r="3915" spans="1:27" x14ac:dyDescent="0.35">
      <c r="A3915" s="5">
        <v>3911</v>
      </c>
      <c r="B3915" s="5">
        <v>163</v>
      </c>
      <c r="C3915" s="5">
        <v>6</v>
      </c>
      <c r="D3915" s="25">
        <v>1.1416E-4</v>
      </c>
      <c r="E3915" s="25">
        <v>1.0797E-4</v>
      </c>
      <c r="F3915" s="25">
        <v>9.802E-5</v>
      </c>
      <c r="G3915" s="25">
        <v>5.8919999999999998E-5</v>
      </c>
      <c r="H3915" s="25">
        <v>6.6400000000000001E-5</v>
      </c>
      <c r="I3915" s="9">
        <v>9.959E-5</v>
      </c>
      <c r="J3915" s="9">
        <v>1.0035E-4</v>
      </c>
      <c r="K3915" s="9">
        <v>8.9010000000000003E-5</v>
      </c>
      <c r="L3915" s="9">
        <v>8.5379999999999999E-5</v>
      </c>
      <c r="M3915" s="9">
        <v>9.9190000000000004E-5</v>
      </c>
      <c r="N3915" s="9">
        <v>9.9850000000000001E-5</v>
      </c>
      <c r="O3915" s="9">
        <v>7.4870000000000007E-5</v>
      </c>
      <c r="P3915" s="9">
        <v>7.2609999999999998E-5</v>
      </c>
      <c r="Q3915" s="9">
        <v>6.7319999999999999E-5</v>
      </c>
      <c r="R3915" s="10">
        <v>5.969713413490906E-5</v>
      </c>
      <c r="S3915" s="10">
        <v>5.5041291279869518E-5</v>
      </c>
      <c r="T3915" s="10">
        <v>0</v>
      </c>
      <c r="U3915" s="10">
        <v>9.4590000000000001E-5</v>
      </c>
      <c r="V3915" s="25"/>
      <c r="W3915" s="25"/>
      <c r="X3915" s="25"/>
      <c r="Y3915" s="25"/>
      <c r="Z3915" s="25"/>
      <c r="AA3915" s="25"/>
    </row>
    <row r="3916" spans="1:27" x14ac:dyDescent="0.35">
      <c r="A3916" s="5">
        <v>3912</v>
      </c>
      <c r="B3916" s="5">
        <v>163</v>
      </c>
      <c r="C3916" s="5">
        <v>6</v>
      </c>
      <c r="D3916" s="25">
        <v>1.1415000000000001E-4</v>
      </c>
      <c r="E3916" s="25">
        <v>1.0572E-4</v>
      </c>
      <c r="F3916" s="25">
        <v>9.6370000000000001E-5</v>
      </c>
      <c r="G3916" s="25">
        <v>5.6450000000000003E-5</v>
      </c>
      <c r="H3916" s="25">
        <v>7.2960000000000006E-5</v>
      </c>
      <c r="I3916" s="9">
        <v>9.3739999999999994E-5</v>
      </c>
      <c r="J3916" s="9">
        <v>9.4980000000000002E-5</v>
      </c>
      <c r="K3916" s="9">
        <v>9.9610000000000003E-5</v>
      </c>
      <c r="L3916" s="9">
        <v>7.7189999999999998E-5</v>
      </c>
      <c r="M3916" s="9">
        <v>8.6390000000000005E-5</v>
      </c>
      <c r="N3916" s="9">
        <v>9.0699999999999996E-5</v>
      </c>
      <c r="O3916" s="9">
        <v>6.1649999999999994E-5</v>
      </c>
      <c r="P3916" s="9">
        <v>6.0789999999999999E-5</v>
      </c>
      <c r="Q3916" s="9">
        <v>5.897E-5</v>
      </c>
      <c r="R3916" s="10">
        <v>8.0965288301754115E-5</v>
      </c>
      <c r="S3916" s="10">
        <v>7.0143287250962799E-5</v>
      </c>
      <c r="T3916" s="10">
        <v>0</v>
      </c>
      <c r="U3916" s="10">
        <v>9.4590000000000001E-5</v>
      </c>
      <c r="V3916" s="25"/>
      <c r="W3916" s="25"/>
      <c r="X3916" s="25"/>
      <c r="Y3916" s="25"/>
      <c r="Z3916" s="25"/>
      <c r="AA3916" s="25"/>
    </row>
    <row r="3917" spans="1:27" x14ac:dyDescent="0.35">
      <c r="A3917" s="5">
        <v>3913</v>
      </c>
      <c r="B3917" s="5">
        <v>164</v>
      </c>
      <c r="C3917" s="5">
        <v>6</v>
      </c>
      <c r="D3917" s="25">
        <v>1.1416E-4</v>
      </c>
      <c r="E3917" s="25">
        <v>1.1103E-4</v>
      </c>
      <c r="F3917" s="25">
        <v>1.2299000000000001E-4</v>
      </c>
      <c r="G3917" s="25">
        <v>5.7510000000000003E-5</v>
      </c>
      <c r="H3917" s="25">
        <v>6.4540000000000002E-5</v>
      </c>
      <c r="I3917" s="9">
        <v>8.9370000000000007E-5</v>
      </c>
      <c r="J3917" s="9">
        <v>9.0619999999999996E-5</v>
      </c>
      <c r="K3917" s="9">
        <v>1.0809E-4</v>
      </c>
      <c r="L3917" s="9">
        <v>6.5060000000000004E-5</v>
      </c>
      <c r="M3917" s="9">
        <v>7.4239999999999994E-5</v>
      </c>
      <c r="N3917" s="9">
        <v>8.1340000000000004E-5</v>
      </c>
      <c r="O3917" s="9">
        <v>5.4700000000000001E-5</v>
      </c>
      <c r="P3917" s="9">
        <v>5.4110000000000002E-5</v>
      </c>
      <c r="Q3917" s="9">
        <v>5.3680000000000001E-5</v>
      </c>
      <c r="R3917" s="10">
        <v>7.2006286394169706E-5</v>
      </c>
      <c r="S3917" s="10">
        <v>6.5175239596780633E-5</v>
      </c>
      <c r="T3917" s="10">
        <v>0</v>
      </c>
      <c r="U3917" s="10">
        <v>9.2509999999999993E-5</v>
      </c>
      <c r="V3917" s="25"/>
      <c r="W3917" s="25"/>
      <c r="X3917" s="25"/>
      <c r="Y3917" s="25"/>
      <c r="Z3917" s="25"/>
      <c r="AA3917" s="25"/>
    </row>
    <row r="3918" spans="1:27" x14ac:dyDescent="0.35">
      <c r="A3918" s="5">
        <v>3914</v>
      </c>
      <c r="B3918" s="5">
        <v>164</v>
      </c>
      <c r="C3918" s="5">
        <v>6</v>
      </c>
      <c r="D3918" s="25">
        <v>1.1415000000000001E-4</v>
      </c>
      <c r="E3918" s="25">
        <v>1.1566E-4</v>
      </c>
      <c r="F3918" s="25">
        <v>1.1522E-4</v>
      </c>
      <c r="G3918" s="25">
        <v>6.0749999999999999E-5</v>
      </c>
      <c r="H3918" s="25">
        <v>6.9549999999999996E-5</v>
      </c>
      <c r="I3918" s="9">
        <v>8.6719999999999996E-5</v>
      </c>
      <c r="J3918" s="9">
        <v>8.7739999999999997E-5</v>
      </c>
      <c r="K3918" s="9">
        <v>1.1021E-4</v>
      </c>
      <c r="L3918" s="9">
        <v>5.7309999999999998E-5</v>
      </c>
      <c r="M3918" s="9">
        <v>6.41E-5</v>
      </c>
      <c r="N3918" s="9">
        <v>7.2260000000000003E-5</v>
      </c>
      <c r="O3918" s="9">
        <v>2.3980000000000001E-5</v>
      </c>
      <c r="P3918" s="9">
        <v>3.7530000000000002E-5</v>
      </c>
      <c r="Q3918" s="9">
        <v>5.5850000000000002E-5</v>
      </c>
      <c r="R3918" s="10">
        <v>7.4999110655991455E-5</v>
      </c>
      <c r="S3918" s="10">
        <v>6.289299292072804E-5</v>
      </c>
      <c r="T3918" s="10">
        <v>0</v>
      </c>
      <c r="U3918" s="10">
        <v>9.2509999999999993E-5</v>
      </c>
      <c r="V3918" s="25"/>
      <c r="W3918" s="25"/>
      <c r="X3918" s="25"/>
      <c r="Y3918" s="25"/>
      <c r="Z3918" s="25"/>
      <c r="AA3918" s="25"/>
    </row>
    <row r="3919" spans="1:27" x14ac:dyDescent="0.35">
      <c r="A3919" s="5">
        <v>3915</v>
      </c>
      <c r="B3919" s="5">
        <v>164</v>
      </c>
      <c r="C3919" s="5">
        <v>6</v>
      </c>
      <c r="D3919" s="25">
        <v>1.1416E-4</v>
      </c>
      <c r="E3919" s="25">
        <v>1.0498E-4</v>
      </c>
      <c r="F3919" s="25">
        <v>1.3103E-4</v>
      </c>
      <c r="G3919" s="25">
        <v>5.4530000000000001E-5</v>
      </c>
      <c r="H3919" s="25">
        <v>7.1310000000000007E-5</v>
      </c>
      <c r="I3919" s="9">
        <v>8.5359999999999996E-5</v>
      </c>
      <c r="J3919" s="9">
        <v>8.5939999999999994E-5</v>
      </c>
      <c r="K3919" s="9">
        <v>1.0597E-4</v>
      </c>
      <c r="L3919" s="9">
        <v>3.1489999999999998E-5</v>
      </c>
      <c r="M3919" s="9">
        <v>5.2219999999999998E-5</v>
      </c>
      <c r="N3919" s="9">
        <v>6.5590000000000001E-5</v>
      </c>
      <c r="O3919" s="9">
        <v>1.9579999999999999E-5</v>
      </c>
      <c r="P3919" s="9">
        <v>3.8000000000000002E-5</v>
      </c>
      <c r="Q3919" s="9">
        <v>6.1929999999999998E-5</v>
      </c>
      <c r="R3919" s="10">
        <v>7.5786562192069816E-5</v>
      </c>
      <c r="S3919" s="10">
        <v>5.7608618155861366E-5</v>
      </c>
      <c r="T3919" s="10">
        <v>0</v>
      </c>
      <c r="U3919" s="10">
        <v>9.2509999999999993E-5</v>
      </c>
      <c r="V3919" s="25"/>
      <c r="W3919" s="25"/>
      <c r="X3919" s="25"/>
      <c r="Y3919" s="25"/>
      <c r="Z3919" s="25"/>
      <c r="AA3919" s="25"/>
    </row>
    <row r="3920" spans="1:27" x14ac:dyDescent="0.35">
      <c r="A3920" s="5">
        <v>3916</v>
      </c>
      <c r="B3920" s="5">
        <v>164</v>
      </c>
      <c r="C3920" s="5">
        <v>6</v>
      </c>
      <c r="D3920" s="25">
        <v>1.1415000000000001E-4</v>
      </c>
      <c r="E3920" s="25">
        <v>1.1302E-4</v>
      </c>
      <c r="F3920" s="25">
        <v>1.2328E-4</v>
      </c>
      <c r="G3920" s="25">
        <v>6.029E-5</v>
      </c>
      <c r="H3920" s="25">
        <v>7.4220000000000004E-5</v>
      </c>
      <c r="I3920" s="9">
        <v>8.4099999999999998E-5</v>
      </c>
      <c r="J3920" s="9">
        <v>8.4950000000000005E-5</v>
      </c>
      <c r="K3920" s="9">
        <v>1.0385E-4</v>
      </c>
      <c r="L3920" s="9">
        <v>2.2840000000000002E-5</v>
      </c>
      <c r="M3920" s="9">
        <v>4.426E-5</v>
      </c>
      <c r="N3920" s="9">
        <v>6.2050000000000004E-5</v>
      </c>
      <c r="O3920" s="9">
        <v>1.9429999999999999E-5</v>
      </c>
      <c r="P3920" s="9">
        <v>4.7129999999999998E-5</v>
      </c>
      <c r="Q3920" s="9">
        <v>8.0160000000000005E-5</v>
      </c>
      <c r="R3920" s="10">
        <v>7.9305060630182556E-5</v>
      </c>
      <c r="S3920" s="10">
        <v>5.7257097581898153E-5</v>
      </c>
      <c r="T3920" s="10">
        <v>0</v>
      </c>
      <c r="U3920" s="10">
        <v>9.2509999999999993E-5</v>
      </c>
      <c r="V3920" s="25"/>
      <c r="W3920" s="25"/>
      <c r="X3920" s="25"/>
      <c r="Y3920" s="25"/>
      <c r="Z3920" s="25"/>
      <c r="AA3920" s="25"/>
    </row>
    <row r="3921" spans="1:27" x14ac:dyDescent="0.35">
      <c r="A3921" s="5">
        <v>3917</v>
      </c>
      <c r="B3921" s="5">
        <v>164</v>
      </c>
      <c r="C3921" s="5">
        <v>6</v>
      </c>
      <c r="D3921" s="25">
        <v>1.1416E-4</v>
      </c>
      <c r="E3921" s="25">
        <v>1.0903E-4</v>
      </c>
      <c r="F3921" s="25">
        <v>1.2295000000000001E-4</v>
      </c>
      <c r="G3921" s="25">
        <v>6.2589999999999995E-5</v>
      </c>
      <c r="H3921" s="25">
        <v>7.2169999999999995E-5</v>
      </c>
      <c r="I3921" s="9">
        <v>8.2349999999999996E-5</v>
      </c>
      <c r="J3921" s="9">
        <v>8.3010000000000007E-5</v>
      </c>
      <c r="K3921" s="9">
        <v>8.6890000000000003E-5</v>
      </c>
      <c r="L3921" s="9">
        <v>2.0380000000000001E-5</v>
      </c>
      <c r="M3921" s="9">
        <v>4.3510000000000002E-5</v>
      </c>
      <c r="N3921" s="9">
        <v>6.4490000000000001E-5</v>
      </c>
      <c r="O3921" s="9">
        <v>2.3960000000000001E-5</v>
      </c>
      <c r="P3921" s="9">
        <v>5.6249999999999998E-5</v>
      </c>
      <c r="Q3921" s="9">
        <v>9.3010000000000006E-5</v>
      </c>
      <c r="R3921" s="10">
        <v>8.7820515094614107E-5</v>
      </c>
      <c r="S3921" s="10">
        <v>5.3305861356342059E-5</v>
      </c>
      <c r="T3921" s="10">
        <v>1.3320349979723751E-6</v>
      </c>
      <c r="U3921" s="10">
        <v>9.2509999999999993E-5</v>
      </c>
      <c r="V3921" s="25"/>
      <c r="W3921" s="25"/>
      <c r="X3921" s="25"/>
      <c r="Y3921" s="25"/>
      <c r="Z3921" s="25"/>
      <c r="AA3921" s="25"/>
    </row>
    <row r="3922" spans="1:27" x14ac:dyDescent="0.35">
      <c r="A3922" s="5">
        <v>3918</v>
      </c>
      <c r="B3922" s="5">
        <v>164</v>
      </c>
      <c r="C3922" s="5">
        <v>6</v>
      </c>
      <c r="D3922" s="25">
        <v>1.1415000000000001E-4</v>
      </c>
      <c r="E3922" s="25">
        <v>1.055E-4</v>
      </c>
      <c r="F3922" s="25">
        <v>1.209E-4</v>
      </c>
      <c r="G3922" s="25">
        <v>1.1529E-4</v>
      </c>
      <c r="H3922" s="25">
        <v>1.3181E-4</v>
      </c>
      <c r="I3922" s="9">
        <v>8.2869999999999998E-5</v>
      </c>
      <c r="J3922" s="9">
        <v>8.2299999999999995E-5</v>
      </c>
      <c r="K3922" s="9">
        <v>1.2292999999999999E-4</v>
      </c>
      <c r="L3922" s="9">
        <v>2.3059999999999999E-5</v>
      </c>
      <c r="M3922" s="9">
        <v>4.8260000000000002E-5</v>
      </c>
      <c r="N3922" s="9">
        <v>7.0879999999999999E-5</v>
      </c>
      <c r="O3922" s="9">
        <v>4.7700000000000001E-5</v>
      </c>
      <c r="P3922" s="9">
        <v>7.7169999999999995E-5</v>
      </c>
      <c r="Q3922" s="9">
        <v>1.0745E-4</v>
      </c>
      <c r="R3922" s="10">
        <v>9.2586100115204075E-5</v>
      </c>
      <c r="S3922" s="10">
        <v>5.1267757355119471E-5</v>
      </c>
      <c r="T3922" s="10">
        <v>3.1341001799426456E-5</v>
      </c>
      <c r="U3922" s="10">
        <v>9.2509999999999993E-5</v>
      </c>
      <c r="V3922" s="25"/>
      <c r="W3922" s="25"/>
      <c r="X3922" s="25"/>
      <c r="Y3922" s="25"/>
      <c r="Z3922" s="25"/>
      <c r="AA3922" s="25"/>
    </row>
    <row r="3923" spans="1:27" x14ac:dyDescent="0.35">
      <c r="A3923" s="5">
        <v>3919</v>
      </c>
      <c r="B3923" s="5">
        <v>164</v>
      </c>
      <c r="C3923" s="5">
        <v>6</v>
      </c>
      <c r="D3923" s="25">
        <v>1.1416E-4</v>
      </c>
      <c r="E3923" s="25">
        <v>1.1519E-4</v>
      </c>
      <c r="F3923" s="25">
        <v>1.2898E-4</v>
      </c>
      <c r="G3923" s="25">
        <v>1.1353000000000001E-4</v>
      </c>
      <c r="H3923" s="25">
        <v>1.3793E-4</v>
      </c>
      <c r="I3923" s="9">
        <v>8.4870000000000006E-5</v>
      </c>
      <c r="J3923" s="9">
        <v>8.4460000000000001E-5</v>
      </c>
      <c r="K3923" s="9">
        <v>1.1021E-4</v>
      </c>
      <c r="L3923" s="9">
        <v>4.2160000000000003E-5</v>
      </c>
      <c r="M3923" s="9">
        <v>6.0000000000000002E-5</v>
      </c>
      <c r="N3923" s="9">
        <v>8.0679999999999993E-5</v>
      </c>
      <c r="O3923" s="9">
        <v>1.1341E-4</v>
      </c>
      <c r="P3923" s="9">
        <v>1.1777000000000001E-4</v>
      </c>
      <c r="Q3923" s="9">
        <v>1.1281999999999999E-4</v>
      </c>
      <c r="R3923" s="10">
        <v>1.0320267612576524E-4</v>
      </c>
      <c r="S3923" s="10">
        <v>6.3991059760976012E-5</v>
      </c>
      <c r="T3923" s="10">
        <v>1.1816932134878498E-4</v>
      </c>
      <c r="U3923" s="10">
        <v>9.2509999999999993E-5</v>
      </c>
      <c r="V3923" s="25"/>
      <c r="W3923" s="25"/>
      <c r="X3923" s="25"/>
      <c r="Y3923" s="25"/>
      <c r="Z3923" s="25"/>
      <c r="AA3923" s="25"/>
    </row>
    <row r="3924" spans="1:27" x14ac:dyDescent="0.35">
      <c r="A3924" s="5">
        <v>3920</v>
      </c>
      <c r="B3924" s="5">
        <v>164</v>
      </c>
      <c r="C3924" s="5">
        <v>6</v>
      </c>
      <c r="D3924" s="25">
        <v>1.1415000000000001E-4</v>
      </c>
      <c r="E3924" s="25">
        <v>1.1163999999999999E-4</v>
      </c>
      <c r="F3924" s="25">
        <v>1.2374E-4</v>
      </c>
      <c r="G3924" s="25">
        <v>1.6370999999999999E-4</v>
      </c>
      <c r="H3924" s="25">
        <v>1.9922000000000001E-4</v>
      </c>
      <c r="I3924" s="9">
        <v>8.9179999999999997E-5</v>
      </c>
      <c r="J3924" s="9">
        <v>8.9480000000000004E-5</v>
      </c>
      <c r="K3924" s="9">
        <v>8.9010000000000003E-5</v>
      </c>
      <c r="L3924" s="9">
        <v>9.7200000000000004E-5</v>
      </c>
      <c r="M3924" s="9">
        <v>8.3839999999999997E-5</v>
      </c>
      <c r="N3924" s="9">
        <v>9.0870000000000002E-5</v>
      </c>
      <c r="O3924" s="9">
        <v>1.9573E-4</v>
      </c>
      <c r="P3924" s="9">
        <v>1.775E-4</v>
      </c>
      <c r="Q3924" s="9">
        <v>1.3711999999999999E-4</v>
      </c>
      <c r="R3924" s="10">
        <v>1.2188852562410745E-4</v>
      </c>
      <c r="S3924" s="10">
        <v>7.9660417069428018E-5</v>
      </c>
      <c r="T3924" s="10">
        <v>5.9712498826303031E-5</v>
      </c>
      <c r="U3924" s="10">
        <v>9.2509999999999993E-5</v>
      </c>
      <c r="V3924" s="25"/>
      <c r="W3924" s="25"/>
      <c r="X3924" s="25"/>
      <c r="Y3924" s="25"/>
      <c r="Z3924" s="25"/>
      <c r="AA3924" s="25"/>
    </row>
    <row r="3925" spans="1:27" x14ac:dyDescent="0.35">
      <c r="A3925" s="5">
        <v>3921</v>
      </c>
      <c r="B3925" s="5">
        <v>164</v>
      </c>
      <c r="C3925" s="5">
        <v>6</v>
      </c>
      <c r="D3925" s="25">
        <v>1.1416E-4</v>
      </c>
      <c r="E3925" s="25">
        <v>1.0641000000000001E-4</v>
      </c>
      <c r="F3925" s="25">
        <v>1.3035E-4</v>
      </c>
      <c r="G3925" s="25">
        <v>1.5783999999999999E-4</v>
      </c>
      <c r="H3925" s="25">
        <v>1.8913999999999999E-4</v>
      </c>
      <c r="I3925" s="9">
        <v>9.2780000000000003E-5</v>
      </c>
      <c r="J3925" s="9">
        <v>9.4679999999999995E-5</v>
      </c>
      <c r="K3925" s="9">
        <v>7.6299999999999998E-5</v>
      </c>
      <c r="L3925" s="9">
        <v>1.7254999999999999E-4</v>
      </c>
      <c r="M3925" s="9">
        <v>1.2371999999999999E-4</v>
      </c>
      <c r="N3925" s="9">
        <v>1.047E-4</v>
      </c>
      <c r="O3925" s="9">
        <v>1.8906000000000001E-4</v>
      </c>
      <c r="P3925" s="9">
        <v>1.9414000000000001E-4</v>
      </c>
      <c r="Q3925" s="9">
        <v>1.7780000000000001E-4</v>
      </c>
      <c r="R3925" s="10">
        <v>1.3309107575102915E-4</v>
      </c>
      <c r="S3925" s="10">
        <v>9.3648514050079123E-5</v>
      </c>
      <c r="T3925" s="10">
        <v>9.0569895562771368E-5</v>
      </c>
      <c r="U3925" s="10">
        <v>9.2509999999999993E-5</v>
      </c>
      <c r="V3925" s="25"/>
      <c r="W3925" s="25"/>
      <c r="X3925" s="25"/>
      <c r="Y3925" s="25"/>
      <c r="Z3925" s="25"/>
      <c r="AA3925" s="25"/>
    </row>
    <row r="3926" spans="1:27" x14ac:dyDescent="0.35">
      <c r="A3926" s="5">
        <v>3922</v>
      </c>
      <c r="B3926" s="5">
        <v>164</v>
      </c>
      <c r="C3926" s="5">
        <v>6</v>
      </c>
      <c r="D3926" s="25">
        <v>1.1415000000000001E-4</v>
      </c>
      <c r="E3926" s="25">
        <v>1.1381E-4</v>
      </c>
      <c r="F3926" s="25">
        <v>1.3472000000000001E-4</v>
      </c>
      <c r="G3926" s="25">
        <v>1.6068000000000001E-4</v>
      </c>
      <c r="H3926" s="25">
        <v>1.9217999999999999E-4</v>
      </c>
      <c r="I3926" s="9">
        <v>9.4419999999999994E-5</v>
      </c>
      <c r="J3926" s="9">
        <v>9.8220000000000005E-5</v>
      </c>
      <c r="K3926" s="9">
        <v>2.12E-5</v>
      </c>
      <c r="L3926" s="9">
        <v>1.8344999999999999E-4</v>
      </c>
      <c r="M3926" s="9">
        <v>1.5917000000000001E-4</v>
      </c>
      <c r="N3926" s="9">
        <v>1.2493000000000001E-4</v>
      </c>
      <c r="O3926" s="9">
        <v>1.5018E-4</v>
      </c>
      <c r="P3926" s="9">
        <v>1.7372000000000001E-4</v>
      </c>
      <c r="Q3926" s="9">
        <v>1.8170999999999999E-4</v>
      </c>
      <c r="R3926" s="10">
        <v>1.4157965793863299E-4</v>
      </c>
      <c r="S3926" s="10">
        <v>1.0418984930267094E-4</v>
      </c>
      <c r="T3926" s="10">
        <v>1.5147868059744451E-4</v>
      </c>
      <c r="U3926" s="10">
        <v>9.2509999999999993E-5</v>
      </c>
      <c r="V3926" s="25"/>
      <c r="W3926" s="25"/>
      <c r="X3926" s="25"/>
      <c r="Y3926" s="25"/>
      <c r="Z3926" s="25"/>
      <c r="AA3926" s="25"/>
    </row>
    <row r="3927" spans="1:27" x14ac:dyDescent="0.35">
      <c r="A3927" s="5">
        <v>3923</v>
      </c>
      <c r="B3927" s="5">
        <v>164</v>
      </c>
      <c r="C3927" s="5">
        <v>6</v>
      </c>
      <c r="D3927" s="25">
        <v>1.1416E-4</v>
      </c>
      <c r="E3927" s="25">
        <v>1.0519E-4</v>
      </c>
      <c r="F3927" s="25">
        <v>1.3599E-4</v>
      </c>
      <c r="G3927" s="25">
        <v>1.6234999999999999E-4</v>
      </c>
      <c r="H3927" s="25">
        <v>1.9924E-4</v>
      </c>
      <c r="I3927" s="9">
        <v>9.467E-5</v>
      </c>
      <c r="J3927" s="9">
        <v>1.0083E-4</v>
      </c>
      <c r="K3927" s="9">
        <v>1.272E-5</v>
      </c>
      <c r="L3927" s="9">
        <v>1.5755000000000001E-4</v>
      </c>
      <c r="M3927" s="9">
        <v>1.7263000000000001E-4</v>
      </c>
      <c r="N3927" s="9">
        <v>1.4291999999999999E-4</v>
      </c>
      <c r="O3927" s="9">
        <v>1.5024E-4</v>
      </c>
      <c r="P3927" s="9">
        <v>1.7244E-4</v>
      </c>
      <c r="Q3927" s="9">
        <v>1.7911000000000001E-4</v>
      </c>
      <c r="R3927" s="10">
        <v>1.4702048989300991E-4</v>
      </c>
      <c r="S3927" s="10">
        <v>1.1904604028090053E-4</v>
      </c>
      <c r="T3927" s="10">
        <v>6.5632842912832486E-4</v>
      </c>
      <c r="U3927" s="10">
        <v>9.2509999999999993E-5</v>
      </c>
      <c r="V3927" s="25"/>
      <c r="W3927" s="25"/>
      <c r="X3927" s="25"/>
      <c r="Y3927" s="25"/>
      <c r="Z3927" s="25"/>
      <c r="AA3927" s="25"/>
    </row>
    <row r="3928" spans="1:27" x14ac:dyDescent="0.35">
      <c r="A3928" s="5">
        <v>3924</v>
      </c>
      <c r="B3928" s="5">
        <v>164</v>
      </c>
      <c r="C3928" s="5">
        <v>6</v>
      </c>
      <c r="D3928" s="25">
        <v>1.1415000000000001E-4</v>
      </c>
      <c r="E3928" s="25">
        <v>1.0724E-4</v>
      </c>
      <c r="F3928" s="25">
        <v>1.1357999999999999E-4</v>
      </c>
      <c r="G3928" s="25">
        <v>1.6034E-4</v>
      </c>
      <c r="H3928" s="25">
        <v>1.9904999999999999E-4</v>
      </c>
      <c r="I3928" s="9">
        <v>9.1959999999999994E-5</v>
      </c>
      <c r="J3928" s="9">
        <v>1.0268E-4</v>
      </c>
      <c r="K3928" s="9">
        <v>4.2400000000000001E-6</v>
      </c>
      <c r="L3928" s="9">
        <v>1.5307999999999999E-4</v>
      </c>
      <c r="M3928" s="9">
        <v>1.7479999999999999E-4</v>
      </c>
      <c r="N3928" s="9">
        <v>1.5686000000000001E-4</v>
      </c>
      <c r="O3928" s="9">
        <v>1.5421E-4</v>
      </c>
      <c r="P3928" s="9">
        <v>1.7293000000000001E-4</v>
      </c>
      <c r="Q3928" s="9">
        <v>1.7562E-4</v>
      </c>
      <c r="R3928" s="10">
        <v>1.1715873976945295E-4</v>
      </c>
      <c r="S3928" s="10">
        <v>1.2346748742687722E-4</v>
      </c>
      <c r="T3928" s="10">
        <v>7.182807829830655E-4</v>
      </c>
      <c r="U3928" s="10">
        <v>9.2509999999999993E-5</v>
      </c>
      <c r="V3928" s="25"/>
      <c r="W3928" s="25"/>
      <c r="X3928" s="25"/>
      <c r="Y3928" s="25"/>
      <c r="Z3928" s="25"/>
      <c r="AA3928" s="25"/>
    </row>
    <row r="3929" spans="1:27" x14ac:dyDescent="0.35">
      <c r="A3929" s="5">
        <v>3925</v>
      </c>
      <c r="B3929" s="5">
        <v>164</v>
      </c>
      <c r="C3929" s="5">
        <v>6</v>
      </c>
      <c r="D3929" s="25">
        <v>1.1416E-4</v>
      </c>
      <c r="E3929" s="25">
        <v>1.0912E-4</v>
      </c>
      <c r="F3929" s="25">
        <v>1.2993E-4</v>
      </c>
      <c r="G3929" s="25">
        <v>1.574E-4</v>
      </c>
      <c r="H3929" s="25">
        <v>1.8853000000000001E-4</v>
      </c>
      <c r="I3929" s="9">
        <v>8.9079999999999994E-5</v>
      </c>
      <c r="J3929" s="9">
        <v>1.0202E-4</v>
      </c>
      <c r="K3929" s="9">
        <v>1.484E-5</v>
      </c>
      <c r="L3929" s="9">
        <v>1.5411E-4</v>
      </c>
      <c r="M3929" s="9">
        <v>1.7420000000000001E-4</v>
      </c>
      <c r="N3929" s="9">
        <v>1.6660000000000001E-4</v>
      </c>
      <c r="O3929" s="9">
        <v>1.4527999999999999E-4</v>
      </c>
      <c r="P3929" s="9">
        <v>1.6337E-4</v>
      </c>
      <c r="Q3929" s="9">
        <v>1.6674999999999999E-4</v>
      </c>
      <c r="R3929" s="10">
        <v>1.4868760350553292E-4</v>
      </c>
      <c r="S3929" s="10">
        <v>1.4162155879606704E-4</v>
      </c>
      <c r="T3929" s="10">
        <v>6.2225548293815241E-4</v>
      </c>
      <c r="U3929" s="10">
        <v>9.2509999999999993E-5</v>
      </c>
      <c r="V3929" s="25"/>
      <c r="W3929" s="25"/>
      <c r="X3929" s="25"/>
      <c r="Y3929" s="25"/>
      <c r="Z3929" s="25"/>
      <c r="AA3929" s="25"/>
    </row>
    <row r="3930" spans="1:27" x14ac:dyDescent="0.35">
      <c r="A3930" s="5">
        <v>3926</v>
      </c>
      <c r="B3930" s="5">
        <v>164</v>
      </c>
      <c r="C3930" s="5">
        <v>6</v>
      </c>
      <c r="D3930" s="25">
        <v>1.1415000000000001E-4</v>
      </c>
      <c r="E3930" s="25">
        <v>1.1288E-4</v>
      </c>
      <c r="F3930" s="25">
        <v>1.1819000000000001E-4</v>
      </c>
      <c r="G3930" s="25">
        <v>1.5914E-4</v>
      </c>
      <c r="H3930" s="25">
        <v>1.931E-4</v>
      </c>
      <c r="I3930" s="9">
        <v>8.6790000000000001E-5</v>
      </c>
      <c r="J3930" s="9">
        <v>1.0108E-4</v>
      </c>
      <c r="K3930" s="9">
        <v>1.484E-5</v>
      </c>
      <c r="L3930" s="9">
        <v>1.4695999999999999E-4</v>
      </c>
      <c r="M3930" s="9">
        <v>1.7013999999999999E-4</v>
      </c>
      <c r="N3930" s="9">
        <v>1.7069000000000001E-4</v>
      </c>
      <c r="O3930" s="9">
        <v>1.5980000000000001E-4</v>
      </c>
      <c r="P3930" s="9">
        <v>1.6864000000000001E-4</v>
      </c>
      <c r="Q3930" s="9">
        <v>1.6061999999999999E-4</v>
      </c>
      <c r="R3930" s="10">
        <v>1.7322693135539034E-4</v>
      </c>
      <c r="S3930" s="10">
        <v>1.5025167090677242E-4</v>
      </c>
      <c r="T3930" s="10">
        <v>5.2338794261094172E-4</v>
      </c>
      <c r="U3930" s="10">
        <v>9.2509999999999993E-5</v>
      </c>
      <c r="V3930" s="25"/>
      <c r="W3930" s="25"/>
      <c r="X3930" s="25"/>
      <c r="Y3930" s="25"/>
      <c r="Z3930" s="25"/>
      <c r="AA3930" s="25"/>
    </row>
    <row r="3931" spans="1:27" x14ac:dyDescent="0.35">
      <c r="A3931" s="5">
        <v>3927</v>
      </c>
      <c r="B3931" s="5">
        <v>164</v>
      </c>
      <c r="C3931" s="5">
        <v>6</v>
      </c>
      <c r="D3931" s="25">
        <v>1.1416E-4</v>
      </c>
      <c r="E3931" s="25">
        <v>1.1289E-4</v>
      </c>
      <c r="F3931" s="25">
        <v>1.2530000000000001E-4</v>
      </c>
      <c r="G3931" s="25">
        <v>1.6583E-4</v>
      </c>
      <c r="H3931" s="25">
        <v>1.9877999999999999E-4</v>
      </c>
      <c r="I3931" s="9">
        <v>8.8109999999999995E-5</v>
      </c>
      <c r="J3931" s="9">
        <v>1.0053E-4</v>
      </c>
      <c r="K3931" s="9">
        <v>0</v>
      </c>
      <c r="L3931" s="9">
        <v>1.5715E-4</v>
      </c>
      <c r="M3931" s="9">
        <v>1.6841999999999999E-4</v>
      </c>
      <c r="N3931" s="9">
        <v>1.7008999999999999E-4</v>
      </c>
      <c r="O3931" s="9">
        <v>1.6289000000000001E-4</v>
      </c>
      <c r="P3931" s="9">
        <v>1.6567E-4</v>
      </c>
      <c r="Q3931" s="9">
        <v>1.5111000000000001E-4</v>
      </c>
      <c r="R3931" s="10">
        <v>1.9295348384736568E-4</v>
      </c>
      <c r="S3931" s="10">
        <v>1.4677685671972933E-4</v>
      </c>
      <c r="T3931" s="10">
        <v>6.2064346606162531E-4</v>
      </c>
      <c r="U3931" s="10">
        <v>9.2509999999999993E-5</v>
      </c>
      <c r="V3931" s="25"/>
      <c r="W3931" s="25"/>
      <c r="X3931" s="25"/>
      <c r="Y3931" s="25"/>
      <c r="Z3931" s="25"/>
      <c r="AA3931" s="25"/>
    </row>
    <row r="3932" spans="1:27" x14ac:dyDescent="0.35">
      <c r="A3932" s="5">
        <v>3928</v>
      </c>
      <c r="B3932" s="5">
        <v>164</v>
      </c>
      <c r="C3932" s="5">
        <v>6</v>
      </c>
      <c r="D3932" s="25">
        <v>1.1415000000000001E-4</v>
      </c>
      <c r="E3932" s="25">
        <v>1.0691E-4</v>
      </c>
      <c r="F3932" s="25">
        <v>1.3009E-4</v>
      </c>
      <c r="G3932" s="25">
        <v>1.6048000000000001E-4</v>
      </c>
      <c r="H3932" s="25">
        <v>1.9142000000000001E-4</v>
      </c>
      <c r="I3932" s="9">
        <v>9.0820000000000001E-5</v>
      </c>
      <c r="J3932" s="9">
        <v>1.0197E-4</v>
      </c>
      <c r="K3932" s="9">
        <v>0</v>
      </c>
      <c r="L3932" s="9">
        <v>1.6137000000000001E-4</v>
      </c>
      <c r="M3932" s="9">
        <v>1.6707000000000001E-4</v>
      </c>
      <c r="N3932" s="9">
        <v>1.6585999999999999E-4</v>
      </c>
      <c r="O3932" s="9">
        <v>1.7619000000000001E-4</v>
      </c>
      <c r="P3932" s="9">
        <v>1.5245999999999999E-4</v>
      </c>
      <c r="Q3932" s="9">
        <v>1.0977E-4</v>
      </c>
      <c r="R3932" s="10">
        <v>1.9828925939638107E-4</v>
      </c>
      <c r="S3932" s="10">
        <v>1.405445104588914E-4</v>
      </c>
      <c r="T3932" s="10">
        <v>4.752395437988829E-4</v>
      </c>
      <c r="U3932" s="10">
        <v>9.2509999999999993E-5</v>
      </c>
      <c r="V3932" s="25"/>
      <c r="W3932" s="25"/>
      <c r="X3932" s="25"/>
      <c r="Y3932" s="25"/>
      <c r="Z3932" s="25"/>
      <c r="AA3932" s="25"/>
    </row>
    <row r="3933" spans="1:27" x14ac:dyDescent="0.35">
      <c r="A3933" s="5">
        <v>3929</v>
      </c>
      <c r="B3933" s="5">
        <v>164</v>
      </c>
      <c r="C3933" s="5">
        <v>6</v>
      </c>
      <c r="D3933" s="25">
        <v>1.1416E-4</v>
      </c>
      <c r="E3933" s="25">
        <v>1.0657E-4</v>
      </c>
      <c r="F3933" s="25">
        <v>1.1896E-4</v>
      </c>
      <c r="G3933" s="25">
        <v>1.6369999999999999E-4</v>
      </c>
      <c r="H3933" s="25">
        <v>1.9725999999999999E-4</v>
      </c>
      <c r="I3933" s="9">
        <v>9.6039999999999995E-5</v>
      </c>
      <c r="J3933" s="9">
        <v>1.0717000000000001E-4</v>
      </c>
      <c r="K3933" s="9">
        <v>0</v>
      </c>
      <c r="L3933" s="9">
        <v>1.7275999999999999E-4</v>
      </c>
      <c r="M3933" s="9">
        <v>1.6158000000000001E-4</v>
      </c>
      <c r="N3933" s="9">
        <v>1.5213E-4</v>
      </c>
      <c r="O3933" s="9">
        <v>1.8832000000000001E-4</v>
      </c>
      <c r="P3933" s="9">
        <v>1.5761E-4</v>
      </c>
      <c r="Q3933" s="9">
        <v>1.0601E-4</v>
      </c>
      <c r="R3933" s="10">
        <v>2.0241477990120575E-4</v>
      </c>
      <c r="S3933" s="10">
        <v>1.3491770075539956E-4</v>
      </c>
      <c r="T3933" s="10">
        <v>3.394822698972525E-4</v>
      </c>
      <c r="U3933" s="10">
        <v>9.2509999999999993E-5</v>
      </c>
      <c r="V3933" s="25"/>
      <c r="W3933" s="25"/>
      <c r="X3933" s="25"/>
      <c r="Y3933" s="25"/>
      <c r="Z3933" s="25"/>
      <c r="AA3933" s="25"/>
    </row>
    <row r="3934" spans="1:27" x14ac:dyDescent="0.35">
      <c r="A3934" s="5">
        <v>3930</v>
      </c>
      <c r="B3934" s="5">
        <v>164</v>
      </c>
      <c r="C3934" s="5">
        <v>6</v>
      </c>
      <c r="D3934" s="25">
        <v>1.1415000000000001E-4</v>
      </c>
      <c r="E3934" s="25">
        <v>1.0734E-4</v>
      </c>
      <c r="F3934" s="25">
        <v>1.2747999999999999E-4</v>
      </c>
      <c r="G3934" s="25">
        <v>1.6369999999999999E-4</v>
      </c>
      <c r="H3934" s="25">
        <v>1.9903999999999999E-4</v>
      </c>
      <c r="I3934" s="9">
        <v>9.9679999999999994E-5</v>
      </c>
      <c r="J3934" s="9">
        <v>1.0927E-4</v>
      </c>
      <c r="K3934" s="9">
        <v>0</v>
      </c>
      <c r="L3934" s="9">
        <v>1.8466000000000001E-4</v>
      </c>
      <c r="M3934" s="9">
        <v>1.5865000000000001E-4</v>
      </c>
      <c r="N3934" s="9">
        <v>1.3852E-4</v>
      </c>
      <c r="O3934" s="9">
        <v>1.8332E-4</v>
      </c>
      <c r="P3934" s="9">
        <v>1.6065E-4</v>
      </c>
      <c r="Q3934" s="9">
        <v>1.1786999999999999E-4</v>
      </c>
      <c r="R3934" s="10">
        <v>2.0571350938462175E-4</v>
      </c>
      <c r="S3934" s="10">
        <v>1.2121877733330007E-4</v>
      </c>
      <c r="T3934" s="10">
        <v>1.0831056550391937E-4</v>
      </c>
      <c r="U3934" s="10">
        <v>9.2509999999999993E-5</v>
      </c>
      <c r="V3934" s="25"/>
      <c r="W3934" s="25"/>
      <c r="X3934" s="25"/>
      <c r="Y3934" s="25"/>
      <c r="Z3934" s="25"/>
      <c r="AA3934" s="25"/>
    </row>
    <row r="3935" spans="1:27" x14ac:dyDescent="0.35">
      <c r="A3935" s="5">
        <v>3931</v>
      </c>
      <c r="B3935" s="5">
        <v>164</v>
      </c>
      <c r="C3935" s="5">
        <v>6</v>
      </c>
      <c r="D3935" s="25">
        <v>1.1416E-4</v>
      </c>
      <c r="E3935" s="25">
        <v>1.1008E-4</v>
      </c>
      <c r="F3935" s="25">
        <v>1.1683E-4</v>
      </c>
      <c r="G3935" s="25">
        <v>1.061E-4</v>
      </c>
      <c r="H3935" s="25">
        <v>1.3556000000000001E-4</v>
      </c>
      <c r="I3935" s="9">
        <v>1.0230000000000001E-4</v>
      </c>
      <c r="J3935" s="9">
        <v>1.0838E-4</v>
      </c>
      <c r="K3935" s="9">
        <v>2.332E-5</v>
      </c>
      <c r="L3935" s="9">
        <v>1.8330000000000001E-4</v>
      </c>
      <c r="M3935" s="9">
        <v>1.5876E-4</v>
      </c>
      <c r="N3935" s="9">
        <v>1.2956999999999999E-4</v>
      </c>
      <c r="O3935" s="9">
        <v>1.4847999999999999E-4</v>
      </c>
      <c r="P3935" s="9">
        <v>1.3525000000000001E-4</v>
      </c>
      <c r="Q3935" s="9">
        <v>1.0734999999999999E-4</v>
      </c>
      <c r="R3935" s="10">
        <v>2.0477366527128869E-4</v>
      </c>
      <c r="S3935" s="10">
        <v>1.0300697154835081E-4</v>
      </c>
      <c r="T3935" s="10">
        <v>2.7039462028904203E-5</v>
      </c>
      <c r="U3935" s="10">
        <v>9.2509999999999993E-5</v>
      </c>
      <c r="V3935" s="25"/>
      <c r="W3935" s="25"/>
      <c r="X3935" s="25"/>
      <c r="Y3935" s="25"/>
      <c r="Z3935" s="25"/>
      <c r="AA3935" s="25"/>
    </row>
    <row r="3936" spans="1:27" x14ac:dyDescent="0.35">
      <c r="A3936" s="5">
        <v>3932</v>
      </c>
      <c r="B3936" s="5">
        <v>164</v>
      </c>
      <c r="C3936" s="5">
        <v>6</v>
      </c>
      <c r="D3936" s="25">
        <v>1.1415000000000001E-4</v>
      </c>
      <c r="E3936" s="25">
        <v>1.1534E-4</v>
      </c>
      <c r="F3936" s="25">
        <v>1.3103E-4</v>
      </c>
      <c r="G3936" s="25">
        <v>1.0755E-4</v>
      </c>
      <c r="H3936" s="25">
        <v>1.2583000000000001E-4</v>
      </c>
      <c r="I3936" s="9">
        <v>1.0336E-4</v>
      </c>
      <c r="J3936" s="9">
        <v>1.0734E-4</v>
      </c>
      <c r="K3936" s="9">
        <v>8.4779999999999998E-5</v>
      </c>
      <c r="L3936" s="9">
        <v>1.5625E-4</v>
      </c>
      <c r="M3936" s="9">
        <v>1.505E-4</v>
      </c>
      <c r="N3936" s="9">
        <v>1.206E-4</v>
      </c>
      <c r="O3936" s="9">
        <v>1.1745E-4</v>
      </c>
      <c r="P3936" s="9">
        <v>1.1443E-4</v>
      </c>
      <c r="Q3936" s="9">
        <v>1.0151E-4</v>
      </c>
      <c r="R3936" s="10">
        <v>1.9591018719652319E-4</v>
      </c>
      <c r="S3936" s="10">
        <v>9.5066205698206638E-5</v>
      </c>
      <c r="T3936" s="10">
        <v>1.3320349979723751E-6</v>
      </c>
      <c r="U3936" s="10">
        <v>9.2509999999999993E-5</v>
      </c>
      <c r="V3936" s="25"/>
      <c r="W3936" s="25"/>
      <c r="X3936" s="25"/>
      <c r="Y3936" s="25"/>
      <c r="Z3936" s="25"/>
      <c r="AA3936" s="25"/>
    </row>
    <row r="3937" spans="1:27" x14ac:dyDescent="0.35">
      <c r="A3937" s="5">
        <v>3933</v>
      </c>
      <c r="B3937" s="5">
        <v>164</v>
      </c>
      <c r="C3937" s="5">
        <v>6</v>
      </c>
      <c r="D3937" s="25">
        <v>1.1416E-4</v>
      </c>
      <c r="E3937" s="25">
        <v>1.0891999999999999E-4</v>
      </c>
      <c r="F3937" s="25">
        <v>1.1513E-4</v>
      </c>
      <c r="G3937" s="25">
        <v>6.0630000000000001E-5</v>
      </c>
      <c r="H3937" s="25">
        <v>7.2739999999999998E-5</v>
      </c>
      <c r="I3937" s="9">
        <v>1.0251000000000001E-4</v>
      </c>
      <c r="J3937" s="9">
        <v>1.0635E-4</v>
      </c>
      <c r="K3937" s="9">
        <v>1.2292E-4</v>
      </c>
      <c r="L3937" s="9">
        <v>1.2680999999999999E-4</v>
      </c>
      <c r="M3937" s="9">
        <v>1.3519000000000001E-4</v>
      </c>
      <c r="N3937" s="9">
        <v>1.1296E-4</v>
      </c>
      <c r="O3937" s="9">
        <v>8.0500000000000005E-5</v>
      </c>
      <c r="P3937" s="9">
        <v>8.6580000000000001E-5</v>
      </c>
      <c r="Q3937" s="9">
        <v>8.8590000000000004E-5</v>
      </c>
      <c r="R3937" s="10">
        <v>1.8218598781573594E-4</v>
      </c>
      <c r="S3937" s="10">
        <v>9.854380460839446E-5</v>
      </c>
      <c r="T3937" s="10">
        <v>0</v>
      </c>
      <c r="U3937" s="10">
        <v>9.2509999999999993E-5</v>
      </c>
      <c r="V3937" s="25"/>
      <c r="W3937" s="25"/>
      <c r="X3937" s="25"/>
      <c r="Y3937" s="25"/>
      <c r="Z3937" s="25"/>
      <c r="AA3937" s="25"/>
    </row>
    <row r="3938" spans="1:27" x14ac:dyDescent="0.35">
      <c r="A3938" s="5">
        <v>3934</v>
      </c>
      <c r="B3938" s="5">
        <v>164</v>
      </c>
      <c r="C3938" s="5">
        <v>6</v>
      </c>
      <c r="D3938" s="25">
        <v>1.1415000000000001E-4</v>
      </c>
      <c r="E3938" s="25">
        <v>1.0705E-4</v>
      </c>
      <c r="F3938" s="25">
        <v>1.3378000000000001E-4</v>
      </c>
      <c r="G3938" s="25">
        <v>5.4070000000000002E-5</v>
      </c>
      <c r="H3938" s="25">
        <v>7.0160000000000006E-5</v>
      </c>
      <c r="I3938" s="9">
        <v>1.0479E-4</v>
      </c>
      <c r="J3938" s="9">
        <v>1.0619E-4</v>
      </c>
      <c r="K3938" s="9">
        <v>1.3564E-4</v>
      </c>
      <c r="L3938" s="9">
        <v>9.1500000000000001E-5</v>
      </c>
      <c r="M3938" s="9">
        <v>1.1373E-4</v>
      </c>
      <c r="N3938" s="9">
        <v>1.0551E-4</v>
      </c>
      <c r="O3938" s="9">
        <v>8.3250000000000004E-5</v>
      </c>
      <c r="P3938" s="9">
        <v>8.8360000000000001E-5</v>
      </c>
      <c r="Q3938" s="9">
        <v>8.9010000000000003E-5</v>
      </c>
      <c r="R3938" s="10">
        <v>1.6661373973986376E-4</v>
      </c>
      <c r="S3938" s="10">
        <v>9.617720764894567E-5</v>
      </c>
      <c r="T3938" s="10">
        <v>0</v>
      </c>
      <c r="U3938" s="10">
        <v>9.2509999999999993E-5</v>
      </c>
      <c r="V3938" s="25"/>
      <c r="W3938" s="25"/>
      <c r="X3938" s="25"/>
      <c r="Y3938" s="25"/>
      <c r="Z3938" s="25"/>
      <c r="AA3938" s="25"/>
    </row>
    <row r="3939" spans="1:27" x14ac:dyDescent="0.35">
      <c r="A3939" s="5">
        <v>3935</v>
      </c>
      <c r="B3939" s="5">
        <v>164</v>
      </c>
      <c r="C3939" s="5">
        <v>6</v>
      </c>
      <c r="D3939" s="25">
        <v>1.1416E-4</v>
      </c>
      <c r="E3939" s="25">
        <v>1.0844E-4</v>
      </c>
      <c r="F3939" s="25">
        <v>1.2402E-4</v>
      </c>
      <c r="G3939" s="25">
        <v>6.0940000000000003E-5</v>
      </c>
      <c r="H3939" s="25">
        <v>6.7249999999999995E-5</v>
      </c>
      <c r="I3939" s="9">
        <v>9.9599999999999995E-5</v>
      </c>
      <c r="J3939" s="9">
        <v>1.0051E-4</v>
      </c>
      <c r="K3939" s="9">
        <v>1.5683E-4</v>
      </c>
      <c r="L3939" s="9">
        <v>8.585E-5</v>
      </c>
      <c r="M3939" s="9">
        <v>9.9339999999999994E-5</v>
      </c>
      <c r="N3939" s="9">
        <v>9.9959999999999998E-5</v>
      </c>
      <c r="O3939" s="9">
        <v>7.4400000000000006E-5</v>
      </c>
      <c r="P3939" s="9">
        <v>7.2150000000000005E-5</v>
      </c>
      <c r="Q3939" s="9">
        <v>6.69E-5</v>
      </c>
      <c r="R3939" s="10">
        <v>1.355305312363833E-4</v>
      </c>
      <c r="S3939" s="10">
        <v>7.4797503598314047E-5</v>
      </c>
      <c r="T3939" s="10">
        <v>0</v>
      </c>
      <c r="U3939" s="10">
        <v>9.2509999999999993E-5</v>
      </c>
      <c r="V3939" s="25"/>
      <c r="W3939" s="25"/>
      <c r="X3939" s="25"/>
      <c r="Y3939" s="25"/>
      <c r="Z3939" s="25"/>
      <c r="AA3939" s="25"/>
    </row>
    <row r="3940" spans="1:27" x14ac:dyDescent="0.35">
      <c r="A3940" s="5">
        <v>3936</v>
      </c>
      <c r="B3940" s="5">
        <v>164</v>
      </c>
      <c r="C3940" s="5">
        <v>6</v>
      </c>
      <c r="D3940" s="25">
        <v>1.1415000000000001E-4</v>
      </c>
      <c r="E3940" s="25">
        <v>1.1184999999999999E-4</v>
      </c>
      <c r="F3940" s="25">
        <v>1.1909999999999999E-4</v>
      </c>
      <c r="G3940" s="25">
        <v>6.0279999999999999E-5</v>
      </c>
      <c r="H3940" s="25">
        <v>6.2260000000000004E-5</v>
      </c>
      <c r="I3940" s="9">
        <v>9.3070000000000002E-5</v>
      </c>
      <c r="J3940" s="9">
        <v>9.4939999999999996E-5</v>
      </c>
      <c r="K3940" s="9">
        <v>1.5894999999999999E-4</v>
      </c>
      <c r="L3940" s="9">
        <v>7.6890000000000004E-5</v>
      </c>
      <c r="M3940" s="9">
        <v>8.6399999999999999E-5</v>
      </c>
      <c r="N3940" s="9">
        <v>9.0719999999999999E-5</v>
      </c>
      <c r="O3940" s="9">
        <v>6.1329999999999997E-5</v>
      </c>
      <c r="P3940" s="9">
        <v>6.0479999999999997E-5</v>
      </c>
      <c r="Q3940" s="9">
        <v>5.8669999999999999E-5</v>
      </c>
      <c r="R3940" s="10">
        <v>1.1028343127764331E-4</v>
      </c>
      <c r="S3940" s="10">
        <v>4.3802694677720843E-5</v>
      </c>
      <c r="T3940" s="10">
        <v>0</v>
      </c>
      <c r="U3940" s="10">
        <v>9.2509999999999993E-5</v>
      </c>
      <c r="V3940" s="25"/>
      <c r="W3940" s="25"/>
      <c r="X3940" s="25"/>
      <c r="Y3940" s="25"/>
      <c r="Z3940" s="25"/>
      <c r="AA3940" s="25"/>
    </row>
    <row r="3941" spans="1:27" x14ac:dyDescent="0.35">
      <c r="A3941" s="5">
        <v>3937</v>
      </c>
      <c r="B3941" s="5">
        <v>165</v>
      </c>
      <c r="C3941" s="5">
        <v>6</v>
      </c>
      <c r="D3941" s="25">
        <v>1.1416E-4</v>
      </c>
      <c r="E3941" s="25">
        <v>1.0888E-4</v>
      </c>
      <c r="F3941" s="25">
        <v>1.027E-4</v>
      </c>
      <c r="G3941" s="25">
        <v>6.224E-5</v>
      </c>
      <c r="H3941" s="25">
        <v>6.347E-5</v>
      </c>
      <c r="I3941" s="9">
        <v>8.9740000000000005E-5</v>
      </c>
      <c r="J3941" s="9">
        <v>9.0840000000000004E-5</v>
      </c>
      <c r="K3941" s="9">
        <v>1.8014999999999999E-4</v>
      </c>
      <c r="L3941" s="9">
        <v>6.4770000000000005E-5</v>
      </c>
      <c r="M3941" s="9">
        <v>7.4079999999999995E-5</v>
      </c>
      <c r="N3941" s="9">
        <v>8.1260000000000005E-5</v>
      </c>
      <c r="O3941" s="9">
        <v>5.4639999999999999E-5</v>
      </c>
      <c r="P3941" s="9">
        <v>5.4049999999999999E-5</v>
      </c>
      <c r="Q3941" s="9">
        <v>5.363E-5</v>
      </c>
      <c r="R3941" s="10">
        <v>9.5947227086759412E-5</v>
      </c>
      <c r="S3941" s="10">
        <v>2.5343626964733495E-5</v>
      </c>
      <c r="T3941" s="10">
        <v>0</v>
      </c>
      <c r="U3941" s="10">
        <v>9.1290000000000002E-5</v>
      </c>
      <c r="V3941" s="25"/>
      <c r="W3941" s="25"/>
      <c r="X3941" s="25"/>
      <c r="Y3941" s="25"/>
      <c r="Z3941" s="25"/>
      <c r="AA3941" s="25"/>
    </row>
    <row r="3942" spans="1:27" x14ac:dyDescent="0.35">
      <c r="A3942" s="5">
        <v>3938</v>
      </c>
      <c r="B3942" s="5">
        <v>165</v>
      </c>
      <c r="C3942" s="5">
        <v>6</v>
      </c>
      <c r="D3942" s="25">
        <v>1.1415000000000001E-4</v>
      </c>
      <c r="E3942" s="25">
        <v>1.1367E-4</v>
      </c>
      <c r="F3942" s="25">
        <v>8.4510000000000002E-5</v>
      </c>
      <c r="G3942" s="25">
        <v>5.558E-5</v>
      </c>
      <c r="H3942" s="25">
        <v>7.3059999999999995E-5</v>
      </c>
      <c r="I3942" s="9">
        <v>8.6349999999999998E-5</v>
      </c>
      <c r="J3942" s="9">
        <v>8.9259999999999996E-5</v>
      </c>
      <c r="K3942" s="9">
        <v>1.9709999999999999E-4</v>
      </c>
      <c r="L3942" s="9">
        <v>5.7200000000000001E-5</v>
      </c>
      <c r="M3942" s="9">
        <v>6.3940000000000001E-5</v>
      </c>
      <c r="N3942" s="9">
        <v>7.2189999999999998E-5</v>
      </c>
      <c r="O3942" s="9">
        <v>2.4179999999999999E-5</v>
      </c>
      <c r="P3942" s="9">
        <v>3.7839999999999997E-5</v>
      </c>
      <c r="Q3942" s="9">
        <v>5.6310000000000001E-5</v>
      </c>
      <c r="R3942" s="10">
        <v>8.0672124694464352E-5</v>
      </c>
      <c r="S3942" s="10">
        <v>1.8181723691618152E-5</v>
      </c>
      <c r="T3942" s="10">
        <v>0</v>
      </c>
      <c r="U3942" s="10">
        <v>9.1290000000000002E-5</v>
      </c>
      <c r="V3942" s="25"/>
      <c r="W3942" s="25"/>
      <c r="X3942" s="25"/>
      <c r="Y3942" s="25"/>
      <c r="Z3942" s="25"/>
      <c r="AA3942" s="25"/>
    </row>
    <row r="3943" spans="1:27" x14ac:dyDescent="0.35">
      <c r="A3943" s="5">
        <v>3939</v>
      </c>
      <c r="B3943" s="5">
        <v>165</v>
      </c>
      <c r="C3943" s="5">
        <v>6</v>
      </c>
      <c r="D3943" s="25">
        <v>1.1416E-4</v>
      </c>
      <c r="E3943" s="25">
        <v>1.1081E-4</v>
      </c>
      <c r="F3943" s="25">
        <v>1.0069999999999999E-4</v>
      </c>
      <c r="G3943" s="25">
        <v>5.91E-5</v>
      </c>
      <c r="H3943" s="25">
        <v>6.3180000000000002E-5</v>
      </c>
      <c r="I3943" s="9">
        <v>8.6959999999999994E-5</v>
      </c>
      <c r="J3943" s="9">
        <v>8.8690000000000006E-5</v>
      </c>
      <c r="K3943" s="9">
        <v>2.0557999999999999E-4</v>
      </c>
      <c r="L3943" s="9">
        <v>3.1609999999999997E-5</v>
      </c>
      <c r="M3943" s="9">
        <v>5.2240000000000001E-5</v>
      </c>
      <c r="N3943" s="9">
        <v>6.5619999999999999E-5</v>
      </c>
      <c r="O3943" s="9">
        <v>1.9619999999999998E-5</v>
      </c>
      <c r="P3943" s="9">
        <v>3.8080000000000001E-5</v>
      </c>
      <c r="Q3943" s="9">
        <v>6.2080000000000002E-5</v>
      </c>
      <c r="R3943" s="10">
        <v>6.3682167702899532E-5</v>
      </c>
      <c r="S3943" s="10">
        <v>1.5924075566503259E-5</v>
      </c>
      <c r="T3943" s="10">
        <v>0</v>
      </c>
      <c r="U3943" s="10">
        <v>9.1290000000000002E-5</v>
      </c>
      <c r="V3943" s="25"/>
      <c r="W3943" s="25"/>
      <c r="X3943" s="25"/>
      <c r="Y3943" s="25"/>
      <c r="Z3943" s="25"/>
      <c r="AA3943" s="25"/>
    </row>
    <row r="3944" spans="1:27" x14ac:dyDescent="0.35">
      <c r="A3944" s="5">
        <v>3940</v>
      </c>
      <c r="B3944" s="5">
        <v>165</v>
      </c>
      <c r="C3944" s="5">
        <v>6</v>
      </c>
      <c r="D3944" s="25">
        <v>1.1415000000000001E-4</v>
      </c>
      <c r="E3944" s="25">
        <v>1.08E-4</v>
      </c>
      <c r="F3944" s="25">
        <v>9.2100000000000003E-5</v>
      </c>
      <c r="G3944" s="25">
        <v>5.6860000000000001E-5</v>
      </c>
      <c r="H3944" s="25">
        <v>6.5480000000000003E-5</v>
      </c>
      <c r="I3944" s="9">
        <v>8.7470000000000001E-5</v>
      </c>
      <c r="J3944" s="9">
        <v>8.8889999999999998E-5</v>
      </c>
      <c r="K3944" s="9">
        <v>1.8227E-4</v>
      </c>
      <c r="L3944" s="9">
        <v>2.2889999999999999E-5</v>
      </c>
      <c r="M3944" s="9">
        <v>4.4350000000000001E-5</v>
      </c>
      <c r="N3944" s="9">
        <v>6.2100000000000005E-5</v>
      </c>
      <c r="O3944" s="9">
        <v>1.931E-5</v>
      </c>
      <c r="P3944" s="9">
        <v>4.685E-5</v>
      </c>
      <c r="Q3944" s="9">
        <v>7.9690000000000004E-5</v>
      </c>
      <c r="R3944" s="10">
        <v>4.2397397937879033E-5</v>
      </c>
      <c r="S3944" s="10">
        <v>1.6823688361503664E-5</v>
      </c>
      <c r="T3944" s="10">
        <v>0</v>
      </c>
      <c r="U3944" s="10">
        <v>9.1290000000000002E-5</v>
      </c>
      <c r="V3944" s="25"/>
      <c r="W3944" s="25"/>
      <c r="X3944" s="25"/>
      <c r="Y3944" s="25"/>
      <c r="Z3944" s="25"/>
      <c r="AA3944" s="25"/>
    </row>
    <row r="3945" spans="1:27" x14ac:dyDescent="0.35">
      <c r="A3945" s="5">
        <v>3941</v>
      </c>
      <c r="B3945" s="5">
        <v>165</v>
      </c>
      <c r="C3945" s="5">
        <v>6</v>
      </c>
      <c r="D3945" s="25">
        <v>1.1416E-4</v>
      </c>
      <c r="E3945" s="25">
        <v>1.0582E-4</v>
      </c>
      <c r="F3945" s="25">
        <v>9.5979999999999999E-5</v>
      </c>
      <c r="G3945" s="25">
        <v>6.0699999999999998E-5</v>
      </c>
      <c r="H3945" s="25">
        <v>6.669E-5</v>
      </c>
      <c r="I3945" s="9">
        <v>9.1500000000000001E-5</v>
      </c>
      <c r="J3945" s="9">
        <v>9.0270000000000001E-5</v>
      </c>
      <c r="K3945" s="9">
        <v>1.1444E-4</v>
      </c>
      <c r="L3945" s="9">
        <v>2.031E-5</v>
      </c>
      <c r="M3945" s="9">
        <v>4.3479999999999997E-5</v>
      </c>
      <c r="N3945" s="9">
        <v>6.4460000000000003E-5</v>
      </c>
      <c r="O3945" s="9">
        <v>2.4340000000000001E-5</v>
      </c>
      <c r="P3945" s="9">
        <v>5.7129999999999997E-5</v>
      </c>
      <c r="Q3945" s="9">
        <v>9.4469999999999995E-5</v>
      </c>
      <c r="R3945" s="10">
        <v>2.9559529742324205E-5</v>
      </c>
      <c r="S3945" s="10">
        <v>1.5922204105313865E-5</v>
      </c>
      <c r="T3945" s="10">
        <v>0</v>
      </c>
      <c r="U3945" s="10">
        <v>9.1290000000000002E-5</v>
      </c>
      <c r="V3945" s="25"/>
      <c r="W3945" s="25"/>
      <c r="X3945" s="25"/>
      <c r="Y3945" s="25"/>
      <c r="Z3945" s="25"/>
      <c r="AA3945" s="25"/>
    </row>
    <row r="3946" spans="1:27" x14ac:dyDescent="0.35">
      <c r="A3946" s="5">
        <v>3942</v>
      </c>
      <c r="B3946" s="5">
        <v>165</v>
      </c>
      <c r="C3946" s="5">
        <v>6</v>
      </c>
      <c r="D3946" s="25">
        <v>1.1415000000000001E-4</v>
      </c>
      <c r="E3946" s="25">
        <v>1.0456E-4</v>
      </c>
      <c r="F3946" s="25">
        <v>9.1760000000000002E-5</v>
      </c>
      <c r="G3946" s="25">
        <v>1.0431E-4</v>
      </c>
      <c r="H3946" s="25">
        <v>1.3041999999999999E-4</v>
      </c>
      <c r="I3946" s="9">
        <v>1.0122E-4</v>
      </c>
      <c r="J3946" s="9">
        <v>9.9229999999999997E-5</v>
      </c>
      <c r="K3946" s="9">
        <v>4.8749999999999999E-5</v>
      </c>
      <c r="L3946" s="9">
        <v>2.3349999999999998E-5</v>
      </c>
      <c r="M3946" s="9">
        <v>4.8520000000000003E-5</v>
      </c>
      <c r="N3946" s="9">
        <v>7.1169999999999998E-5</v>
      </c>
      <c r="O3946" s="9">
        <v>4.7509999999999997E-5</v>
      </c>
      <c r="P3946" s="9">
        <v>7.6860000000000006E-5</v>
      </c>
      <c r="Q3946" s="9">
        <v>1.0703E-4</v>
      </c>
      <c r="R3946" s="10">
        <v>2.2510942373259966E-5</v>
      </c>
      <c r="S3946" s="10">
        <v>1.249630361126183E-5</v>
      </c>
      <c r="T3946" s="10">
        <v>1.1122916448036839E-5</v>
      </c>
      <c r="U3946" s="10">
        <v>9.1290000000000002E-5</v>
      </c>
      <c r="V3946" s="25"/>
      <c r="W3946" s="25"/>
      <c r="X3946" s="25"/>
      <c r="Y3946" s="25"/>
      <c r="Z3946" s="25"/>
      <c r="AA3946" s="25"/>
    </row>
    <row r="3947" spans="1:27" x14ac:dyDescent="0.35">
      <c r="A3947" s="5">
        <v>3943</v>
      </c>
      <c r="B3947" s="5">
        <v>165</v>
      </c>
      <c r="C3947" s="5">
        <v>6</v>
      </c>
      <c r="D3947" s="25">
        <v>1.1416E-4</v>
      </c>
      <c r="E3947" s="25">
        <v>1.0398E-4</v>
      </c>
      <c r="F3947" s="25">
        <v>8.2210000000000001E-5</v>
      </c>
      <c r="G3947" s="25">
        <v>1.054E-4</v>
      </c>
      <c r="H3947" s="25">
        <v>1.3773999999999999E-4</v>
      </c>
      <c r="I3947" s="9">
        <v>1.1287E-4</v>
      </c>
      <c r="J3947" s="9">
        <v>1.1391E-4</v>
      </c>
      <c r="K3947" s="9">
        <v>6.37E-6</v>
      </c>
      <c r="L3947" s="9">
        <v>4.206E-5</v>
      </c>
      <c r="M3947" s="9">
        <v>6.0149999999999998E-5</v>
      </c>
      <c r="N3947" s="9">
        <v>8.0859999999999995E-5</v>
      </c>
      <c r="O3947" s="9">
        <v>1.1309E-4</v>
      </c>
      <c r="P3947" s="9">
        <v>1.1744E-4</v>
      </c>
      <c r="Q3947" s="9">
        <v>1.125E-4</v>
      </c>
      <c r="R3947" s="10">
        <v>1.5383763000266475E-5</v>
      </c>
      <c r="S3947" s="10">
        <v>1.0799743553654629E-5</v>
      </c>
      <c r="T3947" s="10">
        <v>4.8903501454221472E-5</v>
      </c>
      <c r="U3947" s="10">
        <v>9.1290000000000002E-5</v>
      </c>
      <c r="V3947" s="25"/>
      <c r="W3947" s="25"/>
      <c r="X3947" s="25"/>
      <c r="Y3947" s="25"/>
      <c r="Z3947" s="25"/>
      <c r="AA3947" s="25"/>
    </row>
    <row r="3948" spans="1:27" x14ac:dyDescent="0.35">
      <c r="A3948" s="5">
        <v>3944</v>
      </c>
      <c r="B3948" s="5">
        <v>165</v>
      </c>
      <c r="C3948" s="5">
        <v>6</v>
      </c>
      <c r="D3948" s="25">
        <v>1.1415000000000001E-4</v>
      </c>
      <c r="E3948" s="25">
        <v>1.1132E-4</v>
      </c>
      <c r="F3948" s="25">
        <v>9.6390000000000004E-5</v>
      </c>
      <c r="G3948" s="25">
        <v>1.6427E-4</v>
      </c>
      <c r="H3948" s="25">
        <v>1.9961999999999999E-4</v>
      </c>
      <c r="I3948" s="9">
        <v>1.1878E-4</v>
      </c>
      <c r="J3948" s="9">
        <v>1.2535000000000001E-4</v>
      </c>
      <c r="K3948" s="9">
        <v>0</v>
      </c>
      <c r="L3948" s="9">
        <v>9.6940000000000004E-5</v>
      </c>
      <c r="M3948" s="9">
        <v>8.3770000000000006E-5</v>
      </c>
      <c r="N3948" s="9">
        <v>9.0950000000000002E-5</v>
      </c>
      <c r="O3948" s="9">
        <v>1.9293000000000001E-4</v>
      </c>
      <c r="P3948" s="9">
        <v>1.7495999999999999E-4</v>
      </c>
      <c r="Q3948" s="9">
        <v>1.3516E-4</v>
      </c>
      <c r="R3948" s="10">
        <v>8.2187663679880585E-6</v>
      </c>
      <c r="S3948" s="10">
        <v>1.1185388842407453E-5</v>
      </c>
      <c r="T3948" s="10">
        <v>6.9367631486765211E-5</v>
      </c>
      <c r="U3948" s="10">
        <v>9.1290000000000002E-5</v>
      </c>
      <c r="V3948" s="25"/>
      <c r="W3948" s="25"/>
      <c r="X3948" s="25"/>
      <c r="Y3948" s="25"/>
      <c r="Z3948" s="25"/>
      <c r="AA3948" s="25"/>
    </row>
    <row r="3949" spans="1:27" x14ac:dyDescent="0.35">
      <c r="A3949" s="5">
        <v>3945</v>
      </c>
      <c r="B3949" s="5">
        <v>165</v>
      </c>
      <c r="C3949" s="5">
        <v>6</v>
      </c>
      <c r="D3949" s="25">
        <v>1.1416E-4</v>
      </c>
      <c r="E3949" s="25">
        <v>1.0695E-4</v>
      </c>
      <c r="F3949" s="25">
        <v>1.0111E-4</v>
      </c>
      <c r="G3949" s="25">
        <v>1.674E-4</v>
      </c>
      <c r="H3949" s="25">
        <v>1.9195E-4</v>
      </c>
      <c r="I3949" s="9">
        <v>1.2188000000000001E-4</v>
      </c>
      <c r="J3949" s="9">
        <v>1.3046999999999999E-4</v>
      </c>
      <c r="K3949" s="9">
        <v>0</v>
      </c>
      <c r="L3949" s="9">
        <v>1.7030999999999999E-4</v>
      </c>
      <c r="M3949" s="9">
        <v>1.227E-4</v>
      </c>
      <c r="N3949" s="9">
        <v>1.0432E-4</v>
      </c>
      <c r="O3949" s="9">
        <v>1.8898999999999999E-4</v>
      </c>
      <c r="P3949" s="9">
        <v>1.9408000000000001E-4</v>
      </c>
      <c r="Q3949" s="9">
        <v>1.7773999999999999E-4</v>
      </c>
      <c r="R3949" s="10">
        <v>3.4191867709223353E-6</v>
      </c>
      <c r="S3949" s="10">
        <v>1.2610710134404698E-5</v>
      </c>
      <c r="T3949" s="10">
        <v>1.2748508203524146E-4</v>
      </c>
      <c r="U3949" s="10">
        <v>9.1290000000000002E-5</v>
      </c>
      <c r="V3949" s="25"/>
      <c r="W3949" s="25"/>
      <c r="X3949" s="25"/>
      <c r="Y3949" s="25"/>
      <c r="Z3949" s="25"/>
      <c r="AA3949" s="25"/>
    </row>
    <row r="3950" spans="1:27" x14ac:dyDescent="0.35">
      <c r="A3950" s="5">
        <v>3946</v>
      </c>
      <c r="B3950" s="5">
        <v>165</v>
      </c>
      <c r="C3950" s="5">
        <v>6</v>
      </c>
      <c r="D3950" s="25">
        <v>1.1415000000000001E-4</v>
      </c>
      <c r="E3950" s="25">
        <v>1.0818E-4</v>
      </c>
      <c r="F3950" s="25">
        <v>8.5879999999999998E-5</v>
      </c>
      <c r="G3950" s="25">
        <v>1.5876E-4</v>
      </c>
      <c r="H3950" s="25">
        <v>1.9803999999999999E-4</v>
      </c>
      <c r="I3950" s="9">
        <v>1.1964999999999999E-4</v>
      </c>
      <c r="J3950" s="9">
        <v>1.3161999999999999E-4</v>
      </c>
      <c r="K3950" s="9">
        <v>0</v>
      </c>
      <c r="L3950" s="9">
        <v>1.8296E-4</v>
      </c>
      <c r="M3950" s="9">
        <v>1.5825E-4</v>
      </c>
      <c r="N3950" s="9">
        <v>1.2453E-4</v>
      </c>
      <c r="O3950" s="9">
        <v>1.4945E-4</v>
      </c>
      <c r="P3950" s="9">
        <v>1.7288000000000001E-4</v>
      </c>
      <c r="Q3950" s="9">
        <v>1.8082999999999999E-4</v>
      </c>
      <c r="R3950" s="10">
        <v>1.5378740674749625E-6</v>
      </c>
      <c r="S3950" s="10">
        <v>1.4292175888168638E-5</v>
      </c>
      <c r="T3950" s="10">
        <v>1.2493130793084854E-4</v>
      </c>
      <c r="U3950" s="10">
        <v>9.1290000000000002E-5</v>
      </c>
      <c r="V3950" s="25"/>
      <c r="W3950" s="25"/>
      <c r="X3950" s="25"/>
      <c r="Y3950" s="25"/>
      <c r="Z3950" s="25"/>
      <c r="AA3950" s="25"/>
    </row>
    <row r="3951" spans="1:27" x14ac:dyDescent="0.35">
      <c r="A3951" s="5">
        <v>3947</v>
      </c>
      <c r="B3951" s="5">
        <v>165</v>
      </c>
      <c r="C3951" s="5">
        <v>6</v>
      </c>
      <c r="D3951" s="25">
        <v>1.1416E-4</v>
      </c>
      <c r="E3951" s="25">
        <v>1.1144E-4</v>
      </c>
      <c r="F3951" s="25">
        <v>9.0359999999999995E-5</v>
      </c>
      <c r="G3951" s="25">
        <v>1.5939E-4</v>
      </c>
      <c r="H3951" s="25">
        <v>1.8934E-4</v>
      </c>
      <c r="I3951" s="9">
        <v>1.1820999999999999E-4</v>
      </c>
      <c r="J3951" s="9">
        <v>1.3214999999999999E-4</v>
      </c>
      <c r="K3951" s="9">
        <v>0</v>
      </c>
      <c r="L3951" s="9">
        <v>1.5683E-4</v>
      </c>
      <c r="M3951" s="9">
        <v>1.718E-4</v>
      </c>
      <c r="N3951" s="9">
        <v>1.4231000000000001E-4</v>
      </c>
      <c r="O3951" s="9">
        <v>1.4992E-4</v>
      </c>
      <c r="P3951" s="9">
        <v>1.7207999999999999E-4</v>
      </c>
      <c r="Q3951" s="9">
        <v>1.7874000000000001E-4</v>
      </c>
      <c r="R3951" s="10">
        <v>7.3980147545032745E-7</v>
      </c>
      <c r="S3951" s="10">
        <v>1.3382760089863296E-5</v>
      </c>
      <c r="T3951" s="10">
        <v>2.3924875737466885E-4</v>
      </c>
      <c r="U3951" s="10">
        <v>9.1290000000000002E-5</v>
      </c>
      <c r="V3951" s="25"/>
      <c r="W3951" s="25"/>
      <c r="X3951" s="25"/>
      <c r="Y3951" s="25"/>
      <c r="Z3951" s="25"/>
      <c r="AA3951" s="25"/>
    </row>
    <row r="3952" spans="1:27" x14ac:dyDescent="0.35">
      <c r="A3952" s="5">
        <v>3948</v>
      </c>
      <c r="B3952" s="5">
        <v>165</v>
      </c>
      <c r="C3952" s="5">
        <v>6</v>
      </c>
      <c r="D3952" s="25">
        <v>1.1415000000000001E-4</v>
      </c>
      <c r="E3952" s="25">
        <v>1.0956E-4</v>
      </c>
      <c r="F3952" s="25">
        <v>9.9679999999999994E-5</v>
      </c>
      <c r="G3952" s="25">
        <v>1.6536E-4</v>
      </c>
      <c r="H3952" s="25">
        <v>1.9961999999999999E-4</v>
      </c>
      <c r="I3952" s="9">
        <v>1.1379000000000001E-4</v>
      </c>
      <c r="J3952" s="9">
        <v>1.3092999999999999E-4</v>
      </c>
      <c r="K3952" s="9">
        <v>0</v>
      </c>
      <c r="L3952" s="9">
        <v>1.5266999999999999E-4</v>
      </c>
      <c r="M3952" s="9">
        <v>1.7416E-4</v>
      </c>
      <c r="N3952" s="9">
        <v>1.5624000000000001E-4</v>
      </c>
      <c r="O3952" s="9">
        <v>1.5127000000000001E-4</v>
      </c>
      <c r="P3952" s="9">
        <v>1.6964000000000001E-4</v>
      </c>
      <c r="Q3952" s="9">
        <v>1.7228E-4</v>
      </c>
      <c r="R3952" s="10">
        <v>4.9365681422615946E-7</v>
      </c>
      <c r="S3952" s="10">
        <v>1.3809871317723213E-5</v>
      </c>
      <c r="T3952" s="10">
        <v>4.0780633256395026E-4</v>
      </c>
      <c r="U3952" s="10">
        <v>9.1290000000000002E-5</v>
      </c>
      <c r="V3952" s="25"/>
      <c r="W3952" s="25"/>
      <c r="X3952" s="25"/>
      <c r="Y3952" s="25"/>
      <c r="Z3952" s="25"/>
      <c r="AA3952" s="25"/>
    </row>
    <row r="3953" spans="1:27" x14ac:dyDescent="0.35">
      <c r="A3953" s="5">
        <v>3949</v>
      </c>
      <c r="B3953" s="5">
        <v>165</v>
      </c>
      <c r="C3953" s="5">
        <v>6</v>
      </c>
      <c r="D3953" s="25">
        <v>1.1416E-4</v>
      </c>
      <c r="E3953" s="25">
        <v>1.0996E-4</v>
      </c>
      <c r="F3953" s="25">
        <v>9.3670000000000003E-5</v>
      </c>
      <c r="G3953" s="25">
        <v>1.6616999999999999E-4</v>
      </c>
      <c r="H3953" s="25">
        <v>1.8950999999999999E-4</v>
      </c>
      <c r="I3953" s="9">
        <v>1.1425E-4</v>
      </c>
      <c r="J3953" s="9">
        <v>1.3064000000000001E-4</v>
      </c>
      <c r="K3953" s="9">
        <v>0</v>
      </c>
      <c r="L3953" s="9">
        <v>1.5173000000000001E-4</v>
      </c>
      <c r="M3953" s="9">
        <v>1.7265E-4</v>
      </c>
      <c r="N3953" s="9">
        <v>1.6536E-4</v>
      </c>
      <c r="O3953" s="9">
        <v>1.4630000000000001E-4</v>
      </c>
      <c r="P3953" s="9">
        <v>1.6451000000000001E-4</v>
      </c>
      <c r="Q3953" s="9">
        <v>1.6792000000000001E-4</v>
      </c>
      <c r="R3953" s="10">
        <v>9.0944569492699157E-7</v>
      </c>
      <c r="S3953" s="10">
        <v>1.3128439066892953E-5</v>
      </c>
      <c r="T3953" s="10">
        <v>2.2528360064433424E-4</v>
      </c>
      <c r="U3953" s="10">
        <v>9.1290000000000002E-5</v>
      </c>
      <c r="V3953" s="25"/>
      <c r="W3953" s="25"/>
      <c r="X3953" s="25"/>
      <c r="Y3953" s="25"/>
      <c r="Z3953" s="25"/>
      <c r="AA3953" s="25"/>
    </row>
    <row r="3954" spans="1:27" x14ac:dyDescent="0.35">
      <c r="A3954" s="5">
        <v>3950</v>
      </c>
      <c r="B3954" s="5">
        <v>165</v>
      </c>
      <c r="C3954" s="5">
        <v>6</v>
      </c>
      <c r="D3954" s="25">
        <v>1.1415000000000001E-4</v>
      </c>
      <c r="E3954" s="25">
        <v>1.0437000000000001E-4</v>
      </c>
      <c r="F3954" s="25">
        <v>9.6059999999999998E-5</v>
      </c>
      <c r="G3954" s="25">
        <v>1.6483000000000001E-4</v>
      </c>
      <c r="H3954" s="25">
        <v>1.894E-4</v>
      </c>
      <c r="I3954" s="9">
        <v>1.1527999999999999E-4</v>
      </c>
      <c r="J3954" s="9">
        <v>1.3035E-4</v>
      </c>
      <c r="K3954" s="9">
        <v>0</v>
      </c>
      <c r="L3954" s="9">
        <v>1.4729000000000001E-4</v>
      </c>
      <c r="M3954" s="9">
        <v>1.693E-4</v>
      </c>
      <c r="N3954" s="9">
        <v>1.6990000000000001E-4</v>
      </c>
      <c r="O3954" s="9">
        <v>1.6106000000000001E-4</v>
      </c>
      <c r="P3954" s="9">
        <v>1.6997E-4</v>
      </c>
      <c r="Q3954" s="9">
        <v>1.6187999999999999E-4</v>
      </c>
      <c r="R3954" s="10">
        <v>2.7312939615062818E-6</v>
      </c>
      <c r="S3954" s="10">
        <v>1.7598827480012262E-5</v>
      </c>
      <c r="T3954" s="10">
        <v>3.649012307502795E-4</v>
      </c>
      <c r="U3954" s="10">
        <v>9.1290000000000002E-5</v>
      </c>
      <c r="V3954" s="25"/>
      <c r="W3954" s="25"/>
      <c r="X3954" s="25"/>
      <c r="Y3954" s="25"/>
      <c r="Z3954" s="25"/>
      <c r="AA3954" s="25"/>
    </row>
    <row r="3955" spans="1:27" x14ac:dyDescent="0.35">
      <c r="A3955" s="5">
        <v>3951</v>
      </c>
      <c r="B3955" s="5">
        <v>165</v>
      </c>
      <c r="C3955" s="5">
        <v>6</v>
      </c>
      <c r="D3955" s="25">
        <v>1.1416E-4</v>
      </c>
      <c r="E3955" s="25">
        <v>1.0891E-4</v>
      </c>
      <c r="F3955" s="25">
        <v>9.0459999999999998E-5</v>
      </c>
      <c r="G3955" s="25">
        <v>1.6297999999999999E-4</v>
      </c>
      <c r="H3955" s="25">
        <v>2.0053000000000001E-4</v>
      </c>
      <c r="I3955" s="9">
        <v>1.1499E-4</v>
      </c>
      <c r="J3955" s="9">
        <v>1.304E-4</v>
      </c>
      <c r="K3955" s="9">
        <v>0</v>
      </c>
      <c r="L3955" s="9">
        <v>1.5813000000000001E-4</v>
      </c>
      <c r="M3955" s="9">
        <v>1.6860000000000001E-4</v>
      </c>
      <c r="N3955" s="9">
        <v>1.6975000000000001E-4</v>
      </c>
      <c r="O3955" s="9">
        <v>1.6479999999999999E-4</v>
      </c>
      <c r="P3955" s="9">
        <v>1.6761E-4</v>
      </c>
      <c r="Q3955" s="9">
        <v>1.5289000000000001E-4</v>
      </c>
      <c r="R3955" s="10">
        <v>7.8088879973907044E-6</v>
      </c>
      <c r="S3955" s="10">
        <v>2.0154330369420657E-5</v>
      </c>
      <c r="T3955" s="10">
        <v>3.4310506571976336E-4</v>
      </c>
      <c r="U3955" s="10">
        <v>9.1290000000000002E-5</v>
      </c>
      <c r="V3955" s="25"/>
      <c r="W3955" s="25"/>
      <c r="X3955" s="25"/>
      <c r="Y3955" s="25"/>
      <c r="Z3955" s="25"/>
      <c r="AA3955" s="25"/>
    </row>
    <row r="3956" spans="1:27" x14ac:dyDescent="0.35">
      <c r="A3956" s="5">
        <v>3952</v>
      </c>
      <c r="B3956" s="5">
        <v>165</v>
      </c>
      <c r="C3956" s="5">
        <v>6</v>
      </c>
      <c r="D3956" s="25">
        <v>1.1415000000000001E-4</v>
      </c>
      <c r="E3956" s="25">
        <v>1.1184999999999999E-4</v>
      </c>
      <c r="F3956" s="25">
        <v>1.0221E-4</v>
      </c>
      <c r="G3956" s="25">
        <v>1.6343E-4</v>
      </c>
      <c r="H3956" s="25">
        <v>2.028E-4</v>
      </c>
      <c r="I3956" s="9">
        <v>1.1506999999999999E-4</v>
      </c>
      <c r="J3956" s="9">
        <v>1.3027000000000001E-4</v>
      </c>
      <c r="K3956" s="9">
        <v>0</v>
      </c>
      <c r="L3956" s="9">
        <v>1.6304000000000001E-4</v>
      </c>
      <c r="M3956" s="9">
        <v>1.6814999999999999E-4</v>
      </c>
      <c r="N3956" s="9">
        <v>1.6608000000000001E-4</v>
      </c>
      <c r="O3956" s="9">
        <v>1.7503000000000001E-4</v>
      </c>
      <c r="P3956" s="9">
        <v>1.5145999999999999E-4</v>
      </c>
      <c r="Q3956" s="9">
        <v>1.0904E-4</v>
      </c>
      <c r="R3956" s="10">
        <v>1.7402790441145714E-5</v>
      </c>
      <c r="S3956" s="10">
        <v>2.5056387590029592E-5</v>
      </c>
      <c r="T3956" s="10">
        <v>6.4718235442887123E-5</v>
      </c>
      <c r="U3956" s="10">
        <v>9.1290000000000002E-5</v>
      </c>
      <c r="V3956" s="25"/>
      <c r="W3956" s="25"/>
      <c r="X3956" s="25"/>
      <c r="Y3956" s="25"/>
      <c r="Z3956" s="25"/>
      <c r="AA3956" s="25"/>
    </row>
    <row r="3957" spans="1:27" x14ac:dyDescent="0.35">
      <c r="A3957" s="5">
        <v>3953</v>
      </c>
      <c r="B3957" s="5">
        <v>165</v>
      </c>
      <c r="C3957" s="5">
        <v>6</v>
      </c>
      <c r="D3957" s="25">
        <v>1.1416E-4</v>
      </c>
      <c r="E3957" s="25">
        <v>1.0678E-4</v>
      </c>
      <c r="F3957" s="25">
        <v>9.5790000000000003E-5</v>
      </c>
      <c r="G3957" s="25">
        <v>1.5834000000000001E-4</v>
      </c>
      <c r="H3957" s="25">
        <v>1.9206E-4</v>
      </c>
      <c r="I3957" s="9">
        <v>1.1755E-4</v>
      </c>
      <c r="J3957" s="9">
        <v>1.3075000000000001E-4</v>
      </c>
      <c r="K3957" s="9">
        <v>0</v>
      </c>
      <c r="L3957" s="9">
        <v>1.7222E-4</v>
      </c>
      <c r="M3957" s="9">
        <v>1.6210000000000001E-4</v>
      </c>
      <c r="N3957" s="9">
        <v>1.5232000000000001E-4</v>
      </c>
      <c r="O3957" s="9">
        <v>1.9063000000000001E-4</v>
      </c>
      <c r="P3957" s="9">
        <v>1.5955E-4</v>
      </c>
      <c r="Q3957" s="9">
        <v>1.0732E-4</v>
      </c>
      <c r="R3957" s="10">
        <v>2.6336746757420826E-5</v>
      </c>
      <c r="S3957" s="10">
        <v>4.2980016272694724E-5</v>
      </c>
      <c r="T3957" s="10">
        <v>1.5079993664943311E-4</v>
      </c>
      <c r="U3957" s="10">
        <v>9.1290000000000002E-5</v>
      </c>
      <c r="V3957" s="25"/>
      <c r="W3957" s="25"/>
      <c r="X3957" s="25"/>
      <c r="Y3957" s="25"/>
      <c r="Z3957" s="25"/>
      <c r="AA3957" s="25"/>
    </row>
    <row r="3958" spans="1:27" x14ac:dyDescent="0.35">
      <c r="A3958" s="5">
        <v>3954</v>
      </c>
      <c r="B3958" s="5">
        <v>165</v>
      </c>
      <c r="C3958" s="5">
        <v>6</v>
      </c>
      <c r="D3958" s="25">
        <v>1.1415000000000001E-4</v>
      </c>
      <c r="E3958" s="25">
        <v>1.1077E-4</v>
      </c>
      <c r="F3958" s="25">
        <v>9.7490000000000003E-5</v>
      </c>
      <c r="G3958" s="25">
        <v>1.6246000000000001E-4</v>
      </c>
      <c r="H3958" s="25">
        <v>1.9788999999999999E-4</v>
      </c>
      <c r="I3958" s="9">
        <v>1.1857E-4</v>
      </c>
      <c r="J3958" s="9">
        <v>1.2572000000000001E-4</v>
      </c>
      <c r="K3958" s="9">
        <v>0</v>
      </c>
      <c r="L3958" s="9">
        <v>1.8641E-4</v>
      </c>
      <c r="M3958" s="9">
        <v>1.5949000000000001E-4</v>
      </c>
      <c r="N3958" s="9">
        <v>1.3912000000000001E-4</v>
      </c>
      <c r="O3958" s="9">
        <v>1.8150999999999999E-4</v>
      </c>
      <c r="P3958" s="9">
        <v>1.5907000000000001E-4</v>
      </c>
      <c r="Q3958" s="9">
        <v>1.1671E-4</v>
      </c>
      <c r="R3958" s="10">
        <v>4.205956816131596E-5</v>
      </c>
      <c r="S3958" s="10">
        <v>6.757079409184937E-5</v>
      </c>
      <c r="T3958" s="10">
        <v>1.0171826490885863E-4</v>
      </c>
      <c r="U3958" s="10">
        <v>9.1290000000000002E-5</v>
      </c>
      <c r="V3958" s="25"/>
      <c r="W3958" s="25"/>
      <c r="X3958" s="25"/>
      <c r="Y3958" s="25"/>
      <c r="Z3958" s="25"/>
      <c r="AA3958" s="25"/>
    </row>
    <row r="3959" spans="1:27" x14ac:dyDescent="0.35">
      <c r="A3959" s="5">
        <v>3955</v>
      </c>
      <c r="B3959" s="5">
        <v>165</v>
      </c>
      <c r="C3959" s="5">
        <v>6</v>
      </c>
      <c r="D3959" s="25">
        <v>1.1416E-4</v>
      </c>
      <c r="E3959" s="25">
        <v>1.0364E-4</v>
      </c>
      <c r="F3959" s="25">
        <v>8.4800000000000001E-5</v>
      </c>
      <c r="G3959" s="25">
        <v>1.1436E-4</v>
      </c>
      <c r="H3959" s="25">
        <v>1.2836E-4</v>
      </c>
      <c r="I3959" s="9">
        <v>1.1577E-4</v>
      </c>
      <c r="J3959" s="9">
        <v>1.2202E-4</v>
      </c>
      <c r="K3959" s="9">
        <v>0</v>
      </c>
      <c r="L3959" s="9">
        <v>1.8222E-4</v>
      </c>
      <c r="M3959" s="9">
        <v>1.5885000000000001E-4</v>
      </c>
      <c r="N3959" s="9">
        <v>1.2985000000000001E-4</v>
      </c>
      <c r="O3959" s="9">
        <v>1.4809E-4</v>
      </c>
      <c r="P3959" s="9">
        <v>1.3489E-4</v>
      </c>
      <c r="Q3959" s="9">
        <v>1.0705999999999999E-4</v>
      </c>
      <c r="R3959" s="10">
        <v>5.8277941741593946E-5</v>
      </c>
      <c r="S3959" s="10">
        <v>8.3571932295247326E-5</v>
      </c>
      <c r="T3959" s="10">
        <v>1.0308423710423159E-5</v>
      </c>
      <c r="U3959" s="10">
        <v>9.1290000000000002E-5</v>
      </c>
      <c r="V3959" s="25"/>
      <c r="W3959" s="25"/>
      <c r="X3959" s="25"/>
      <c r="Y3959" s="25"/>
      <c r="Z3959" s="25"/>
      <c r="AA3959" s="25"/>
    </row>
    <row r="3960" spans="1:27" x14ac:dyDescent="0.35">
      <c r="A3960" s="5">
        <v>3956</v>
      </c>
      <c r="B3960" s="5">
        <v>165</v>
      </c>
      <c r="C3960" s="5">
        <v>6</v>
      </c>
      <c r="D3960" s="25">
        <v>1.1415000000000001E-4</v>
      </c>
      <c r="E3960" s="25">
        <v>1.0401E-4</v>
      </c>
      <c r="F3960" s="25">
        <v>9.1769999999999997E-5</v>
      </c>
      <c r="G3960" s="25">
        <v>1.0847E-4</v>
      </c>
      <c r="H3960" s="25">
        <v>1.2739000000000001E-4</v>
      </c>
      <c r="I3960" s="9">
        <v>1.1288E-4</v>
      </c>
      <c r="J3960" s="9">
        <v>1.1841E-4</v>
      </c>
      <c r="K3960" s="9">
        <v>1.484E-5</v>
      </c>
      <c r="L3960" s="9">
        <v>1.5577000000000001E-4</v>
      </c>
      <c r="M3960" s="9">
        <v>1.5020999999999999E-4</v>
      </c>
      <c r="N3960" s="9">
        <v>1.2072E-4</v>
      </c>
      <c r="O3960" s="9">
        <v>1.1713E-4</v>
      </c>
      <c r="P3960" s="9">
        <v>1.1411E-4</v>
      </c>
      <c r="Q3960" s="9">
        <v>1.0123E-4</v>
      </c>
      <c r="R3960" s="10">
        <v>6.849322402586475E-5</v>
      </c>
      <c r="S3960" s="10">
        <v>8.6431716111592564E-5</v>
      </c>
      <c r="T3960" s="10">
        <v>4.6663646425783839E-6</v>
      </c>
      <c r="U3960" s="10">
        <v>9.1290000000000002E-5</v>
      </c>
      <c r="V3960" s="25"/>
      <c r="W3960" s="25"/>
      <c r="X3960" s="25"/>
      <c r="Y3960" s="25"/>
      <c r="Z3960" s="25"/>
      <c r="AA3960" s="25"/>
    </row>
    <row r="3961" spans="1:27" x14ac:dyDescent="0.35">
      <c r="A3961" s="5">
        <v>3957</v>
      </c>
      <c r="B3961" s="5">
        <v>165</v>
      </c>
      <c r="C3961" s="5">
        <v>6</v>
      </c>
      <c r="D3961" s="25">
        <v>1.1416E-4</v>
      </c>
      <c r="E3961" s="25">
        <v>1.0904999999999999E-4</v>
      </c>
      <c r="F3961" s="25">
        <v>1.0313E-4</v>
      </c>
      <c r="G3961" s="25">
        <v>6.156E-5</v>
      </c>
      <c r="H3961" s="25">
        <v>7.2200000000000007E-5</v>
      </c>
      <c r="I3961" s="9">
        <v>1.0945E-4</v>
      </c>
      <c r="J3961" s="9">
        <v>1.1534E-4</v>
      </c>
      <c r="K3961" s="9">
        <v>8.0539999999999998E-5</v>
      </c>
      <c r="L3961" s="9">
        <v>1.2646000000000001E-4</v>
      </c>
      <c r="M3961" s="9">
        <v>1.348E-4</v>
      </c>
      <c r="N3961" s="9">
        <v>1.1289E-4</v>
      </c>
      <c r="O3961" s="9">
        <v>8.0939999999999994E-5</v>
      </c>
      <c r="P3961" s="9">
        <v>8.7059999999999997E-5</v>
      </c>
      <c r="Q3961" s="9">
        <v>8.9069999999999999E-5</v>
      </c>
      <c r="R3961" s="10">
        <v>7.9556182244324919E-5</v>
      </c>
      <c r="S3961" s="10">
        <v>8.4985685711992179E-5</v>
      </c>
      <c r="T3961" s="10">
        <v>0</v>
      </c>
      <c r="U3961" s="10">
        <v>9.1290000000000002E-5</v>
      </c>
      <c r="V3961" s="25"/>
      <c r="W3961" s="25"/>
      <c r="X3961" s="25"/>
      <c r="Y3961" s="25"/>
      <c r="Z3961" s="25"/>
      <c r="AA3961" s="25"/>
    </row>
    <row r="3962" spans="1:27" x14ac:dyDescent="0.35">
      <c r="A3962" s="5">
        <v>3958</v>
      </c>
      <c r="B3962" s="5">
        <v>165</v>
      </c>
      <c r="C3962" s="5">
        <v>6</v>
      </c>
      <c r="D3962" s="25">
        <v>1.1415000000000001E-4</v>
      </c>
      <c r="E3962" s="25">
        <v>1.131E-4</v>
      </c>
      <c r="F3962" s="25">
        <v>8.8949999999999994E-5</v>
      </c>
      <c r="G3962" s="25">
        <v>5.3109999999999998E-5</v>
      </c>
      <c r="H3962" s="25">
        <v>6.3720000000000007E-5</v>
      </c>
      <c r="I3962" s="9">
        <v>1.1149E-4</v>
      </c>
      <c r="J3962" s="9">
        <v>1.1288E-4</v>
      </c>
      <c r="K3962" s="9">
        <v>1.1232E-4</v>
      </c>
      <c r="L3962" s="9">
        <v>9.1739999999999999E-5</v>
      </c>
      <c r="M3962" s="9">
        <v>1.1365E-4</v>
      </c>
      <c r="N3962" s="9">
        <v>1.055E-4</v>
      </c>
      <c r="O3962" s="9">
        <v>8.2440000000000004E-5</v>
      </c>
      <c r="P3962" s="9">
        <v>8.7509999999999994E-5</v>
      </c>
      <c r="Q3962" s="9">
        <v>8.8159999999999996E-5</v>
      </c>
      <c r="R3962" s="10">
        <v>8.7904757215434293E-5</v>
      </c>
      <c r="S3962" s="10">
        <v>8.0532644433407686E-5</v>
      </c>
      <c r="T3962" s="10">
        <v>0</v>
      </c>
      <c r="U3962" s="10">
        <v>9.1290000000000002E-5</v>
      </c>
      <c r="V3962" s="25"/>
      <c r="W3962" s="25"/>
      <c r="X3962" s="25"/>
      <c r="Y3962" s="25"/>
      <c r="Z3962" s="25"/>
      <c r="AA3962" s="25"/>
    </row>
    <row r="3963" spans="1:27" x14ac:dyDescent="0.35">
      <c r="A3963" s="5">
        <v>3959</v>
      </c>
      <c r="B3963" s="5">
        <v>165</v>
      </c>
      <c r="C3963" s="5">
        <v>6</v>
      </c>
      <c r="D3963" s="25">
        <v>1.1416E-4</v>
      </c>
      <c r="E3963" s="25">
        <v>1.0855E-4</v>
      </c>
      <c r="F3963" s="25">
        <v>8.7739999999999997E-5</v>
      </c>
      <c r="G3963" s="25">
        <v>6.2130000000000003E-5</v>
      </c>
      <c r="H3963" s="25">
        <v>7.0170000000000001E-5</v>
      </c>
      <c r="I3963" s="9">
        <v>1.0927E-4</v>
      </c>
      <c r="J3963" s="9">
        <v>1.0757E-4</v>
      </c>
      <c r="K3963" s="9">
        <v>1.1868E-4</v>
      </c>
      <c r="L3963" s="9">
        <v>8.5259999999999993E-5</v>
      </c>
      <c r="M3963" s="9">
        <v>9.9069999999999998E-5</v>
      </c>
      <c r="N3963" s="9">
        <v>9.9710000000000006E-5</v>
      </c>
      <c r="O3963" s="9">
        <v>7.4590000000000002E-5</v>
      </c>
      <c r="P3963" s="9">
        <v>7.2340000000000002E-5</v>
      </c>
      <c r="Q3963" s="9">
        <v>6.7070000000000007E-5</v>
      </c>
      <c r="R3963" s="10">
        <v>9.2170268136055927E-5</v>
      </c>
      <c r="S3963" s="10">
        <v>7.7658054605812989E-5</v>
      </c>
      <c r="T3963" s="10">
        <v>0</v>
      </c>
      <c r="U3963" s="10">
        <v>9.1290000000000002E-5</v>
      </c>
      <c r="V3963" s="25"/>
      <c r="W3963" s="25"/>
      <c r="X3963" s="25"/>
      <c r="Y3963" s="25"/>
      <c r="Z3963" s="25"/>
      <c r="AA3963" s="25"/>
    </row>
    <row r="3964" spans="1:27" x14ac:dyDescent="0.35">
      <c r="A3964" s="5">
        <v>3960</v>
      </c>
      <c r="B3964" s="5">
        <v>165</v>
      </c>
      <c r="C3964" s="5">
        <v>6</v>
      </c>
      <c r="D3964" s="25">
        <v>1.1415000000000001E-4</v>
      </c>
      <c r="E3964" s="25">
        <v>1.125E-4</v>
      </c>
      <c r="F3964" s="25">
        <v>1.005E-4</v>
      </c>
      <c r="G3964" s="25">
        <v>6.0760000000000001E-5</v>
      </c>
      <c r="H3964" s="25">
        <v>7.1290000000000004E-5</v>
      </c>
      <c r="I3964" s="9">
        <v>1.0158E-4</v>
      </c>
      <c r="J3964" s="9">
        <v>9.9679999999999994E-5</v>
      </c>
      <c r="K3964" s="9">
        <v>1.4198999999999999E-4</v>
      </c>
      <c r="L3964" s="9">
        <v>7.6940000000000005E-5</v>
      </c>
      <c r="M3964" s="9">
        <v>8.6230000000000006E-5</v>
      </c>
      <c r="N3964" s="9">
        <v>9.0550000000000005E-5</v>
      </c>
      <c r="O3964" s="9">
        <v>6.1470000000000006E-5</v>
      </c>
      <c r="P3964" s="9">
        <v>6.0619999999999999E-5</v>
      </c>
      <c r="Q3964" s="9">
        <v>5.8810000000000001E-5</v>
      </c>
      <c r="R3964" s="10">
        <v>7.5089531009671468E-5</v>
      </c>
      <c r="S3964" s="10">
        <v>6.3847429875664064E-5</v>
      </c>
      <c r="T3964" s="10">
        <v>0</v>
      </c>
      <c r="U3964" s="10">
        <v>9.1290000000000002E-5</v>
      </c>
      <c r="V3964" s="25"/>
      <c r="W3964" s="25"/>
      <c r="X3964" s="25"/>
      <c r="Y3964" s="25"/>
      <c r="Z3964" s="25"/>
      <c r="AA3964" s="25"/>
    </row>
    <row r="3965" spans="1:27" x14ac:dyDescent="0.35">
      <c r="A3965" s="5">
        <v>3961</v>
      </c>
      <c r="B3965" s="5">
        <v>166</v>
      </c>
      <c r="C3965" s="5">
        <v>6</v>
      </c>
      <c r="D3965" s="25">
        <v>1.1416E-4</v>
      </c>
      <c r="E3965" s="25">
        <v>1.1019E-4</v>
      </c>
      <c r="F3965" s="25">
        <v>1.3175E-4</v>
      </c>
      <c r="G3965" s="25">
        <v>6.0720000000000001E-5</v>
      </c>
      <c r="H3965" s="25">
        <v>7.0309999999999996E-5</v>
      </c>
      <c r="I3965" s="9">
        <v>9.5920000000000003E-5</v>
      </c>
      <c r="J3965" s="9">
        <v>9.4140000000000003E-5</v>
      </c>
      <c r="K3965" s="9">
        <v>1.5896000000000001E-4</v>
      </c>
      <c r="L3965" s="9">
        <v>6.4880000000000002E-5</v>
      </c>
      <c r="M3965" s="9">
        <v>7.4060000000000006E-5</v>
      </c>
      <c r="N3965" s="9">
        <v>8.1169999999999997E-5</v>
      </c>
      <c r="O3965" s="9">
        <v>5.4039999999999998E-5</v>
      </c>
      <c r="P3965" s="9">
        <v>5.346E-5</v>
      </c>
      <c r="Q3965" s="9">
        <v>5.304E-5</v>
      </c>
      <c r="R3965" s="10">
        <v>8.0734328147620882E-5</v>
      </c>
      <c r="S3965" s="10">
        <v>6.3868092728434393E-5</v>
      </c>
      <c r="T3965" s="10">
        <v>0</v>
      </c>
      <c r="U3965" s="10">
        <v>9.1210000000000003E-5</v>
      </c>
      <c r="V3965" s="25"/>
      <c r="W3965" s="25"/>
      <c r="X3965" s="25"/>
      <c r="Y3965" s="25"/>
      <c r="Z3965" s="25"/>
      <c r="AA3965" s="25"/>
    </row>
    <row r="3966" spans="1:27" x14ac:dyDescent="0.35">
      <c r="A3966" s="5">
        <v>3962</v>
      </c>
      <c r="B3966" s="5">
        <v>166</v>
      </c>
      <c r="C3966" s="5">
        <v>6</v>
      </c>
      <c r="D3966" s="25">
        <v>1.1415000000000001E-4</v>
      </c>
      <c r="E3966" s="25">
        <v>1.0758E-4</v>
      </c>
      <c r="F3966" s="25">
        <v>1.2967E-4</v>
      </c>
      <c r="G3966" s="25">
        <v>6.0430000000000002E-5</v>
      </c>
      <c r="H3966" s="25">
        <v>7.381E-5</v>
      </c>
      <c r="I3966" s="9">
        <v>9.2609999999999996E-5</v>
      </c>
      <c r="J3966" s="9">
        <v>9.1920000000000001E-5</v>
      </c>
      <c r="K3966" s="9">
        <v>1.6955E-4</v>
      </c>
      <c r="L3966" s="9">
        <v>5.6749999999999997E-5</v>
      </c>
      <c r="M3966" s="9">
        <v>6.3750000000000005E-5</v>
      </c>
      <c r="N3966" s="9">
        <v>7.2009999999999997E-5</v>
      </c>
      <c r="O3966" s="9">
        <v>2.3980000000000001E-5</v>
      </c>
      <c r="P3966" s="9">
        <v>3.7530000000000002E-5</v>
      </c>
      <c r="Q3966" s="9">
        <v>5.5850000000000002E-5</v>
      </c>
      <c r="R3966" s="10">
        <v>9.0545828250154843E-5</v>
      </c>
      <c r="S3966" s="10">
        <v>6.6346313633296896E-5</v>
      </c>
      <c r="T3966" s="10">
        <v>0</v>
      </c>
      <c r="U3966" s="10">
        <v>9.1210000000000003E-5</v>
      </c>
      <c r="V3966" s="25"/>
      <c r="W3966" s="25"/>
      <c r="X3966" s="25"/>
      <c r="Y3966" s="25"/>
      <c r="Z3966" s="25"/>
      <c r="AA3966" s="25"/>
    </row>
    <row r="3967" spans="1:27" x14ac:dyDescent="0.35">
      <c r="A3967" s="5">
        <v>3963</v>
      </c>
      <c r="B3967" s="5">
        <v>166</v>
      </c>
      <c r="C3967" s="5">
        <v>6</v>
      </c>
      <c r="D3967" s="25">
        <v>1.1416E-4</v>
      </c>
      <c r="E3967" s="25">
        <v>1.0620000000000001E-4</v>
      </c>
      <c r="F3967" s="25">
        <v>1.2114E-4</v>
      </c>
      <c r="G3967" s="25">
        <v>5.3369999999999999E-5</v>
      </c>
      <c r="H3967" s="25">
        <v>7.2189999999999998E-5</v>
      </c>
      <c r="I3967" s="9">
        <v>9.1760000000000002E-5</v>
      </c>
      <c r="J3967" s="9">
        <v>9.1000000000000003E-5</v>
      </c>
      <c r="K3967" s="9">
        <v>1.5894999999999999E-4</v>
      </c>
      <c r="L3967" s="9">
        <v>3.1380000000000001E-5</v>
      </c>
      <c r="M3967" s="9">
        <v>5.1950000000000002E-5</v>
      </c>
      <c r="N3967" s="9">
        <v>6.5359999999999998E-5</v>
      </c>
      <c r="O3967" s="9">
        <v>1.9300000000000002E-5</v>
      </c>
      <c r="P3967" s="9">
        <v>3.7469999999999999E-5</v>
      </c>
      <c r="Q3967" s="9">
        <v>6.1069999999999996E-5</v>
      </c>
      <c r="R3967" s="10">
        <v>9.9647924328563359E-5</v>
      </c>
      <c r="S3967" s="10">
        <v>6.976190324039628E-5</v>
      </c>
      <c r="T3967" s="10">
        <v>0</v>
      </c>
      <c r="U3967" s="10">
        <v>9.1210000000000003E-5</v>
      </c>
      <c r="V3967" s="25"/>
      <c r="W3967" s="25"/>
      <c r="X3967" s="25"/>
      <c r="Y3967" s="25"/>
      <c r="Z3967" s="25"/>
      <c r="AA3967" s="25"/>
    </row>
    <row r="3968" spans="1:27" x14ac:dyDescent="0.35">
      <c r="A3968" s="5">
        <v>3964</v>
      </c>
      <c r="B3968" s="5">
        <v>166</v>
      </c>
      <c r="C3968" s="5">
        <v>6</v>
      </c>
      <c r="D3968" s="25">
        <v>1.1415000000000001E-4</v>
      </c>
      <c r="E3968" s="25">
        <v>1.1095999999999999E-4</v>
      </c>
      <c r="F3968" s="25">
        <v>1.1521E-4</v>
      </c>
      <c r="G3968" s="25">
        <v>5.4389999999999999E-5</v>
      </c>
      <c r="H3968" s="25">
        <v>7.3819999999999995E-5</v>
      </c>
      <c r="I3968" s="9">
        <v>9.3820000000000006E-5</v>
      </c>
      <c r="J3968" s="9">
        <v>9.0699999999999996E-5</v>
      </c>
      <c r="K3968" s="9">
        <v>1.5472000000000001E-4</v>
      </c>
      <c r="L3968" s="9">
        <v>2.2589999999999999E-5</v>
      </c>
      <c r="M3968" s="9">
        <v>4.392E-5</v>
      </c>
      <c r="N3968" s="9">
        <v>6.1669999999999997E-5</v>
      </c>
      <c r="O3968" s="9">
        <v>1.9389999999999999E-5</v>
      </c>
      <c r="P3968" s="9">
        <v>4.7030000000000002E-5</v>
      </c>
      <c r="Q3968" s="9">
        <v>7.9989999999999998E-5</v>
      </c>
      <c r="R3968" s="10">
        <v>1.0860881072173038E-4</v>
      </c>
      <c r="S3968" s="10">
        <v>7.2973978542769906E-5</v>
      </c>
      <c r="T3968" s="10">
        <v>0</v>
      </c>
      <c r="U3968" s="10">
        <v>9.1210000000000003E-5</v>
      </c>
      <c r="V3968" s="25"/>
      <c r="W3968" s="25"/>
      <c r="X3968" s="25"/>
      <c r="Y3968" s="25"/>
      <c r="Z3968" s="25"/>
      <c r="AA3968" s="25"/>
    </row>
    <row r="3969" spans="1:27" x14ac:dyDescent="0.35">
      <c r="A3969" s="5">
        <v>3965</v>
      </c>
      <c r="B3969" s="5">
        <v>166</v>
      </c>
      <c r="C3969" s="5">
        <v>6</v>
      </c>
      <c r="D3969" s="25">
        <v>1.1416E-4</v>
      </c>
      <c r="E3969" s="25">
        <v>1.1304E-4</v>
      </c>
      <c r="F3969" s="25">
        <v>1.305E-4</v>
      </c>
      <c r="G3969" s="25">
        <v>5.5859999999999997E-5</v>
      </c>
      <c r="H3969" s="25">
        <v>7.6450000000000002E-5</v>
      </c>
      <c r="I3969" s="9">
        <v>9.6669999999999994E-5</v>
      </c>
      <c r="J3969" s="9">
        <v>9.1470000000000003E-5</v>
      </c>
      <c r="K3969" s="9">
        <v>7.4179999999999998E-5</v>
      </c>
      <c r="L3969" s="9">
        <v>2.0299999999999999E-5</v>
      </c>
      <c r="M3969" s="9">
        <v>4.3250000000000001E-5</v>
      </c>
      <c r="N3969" s="9">
        <v>6.4140000000000006E-5</v>
      </c>
      <c r="O3969" s="9">
        <v>2.3900000000000002E-5</v>
      </c>
      <c r="P3969" s="9">
        <v>5.6100000000000002E-5</v>
      </c>
      <c r="Q3969" s="9">
        <v>9.276E-5</v>
      </c>
      <c r="R3969" s="10">
        <v>1.1542891545925542E-4</v>
      </c>
      <c r="S3969" s="10">
        <v>7.7981318164007548E-5</v>
      </c>
      <c r="T3969" s="10">
        <v>4.2760868724718289E-6</v>
      </c>
      <c r="U3969" s="10">
        <v>9.1210000000000003E-5</v>
      </c>
      <c r="V3969" s="25"/>
      <c r="W3969" s="25"/>
      <c r="X3969" s="25"/>
      <c r="Y3969" s="25"/>
      <c r="Z3969" s="25"/>
      <c r="AA3969" s="25"/>
    </row>
    <row r="3970" spans="1:27" x14ac:dyDescent="0.35">
      <c r="A3970" s="5">
        <v>3966</v>
      </c>
      <c r="B3970" s="5">
        <v>166</v>
      </c>
      <c r="C3970" s="5">
        <v>6</v>
      </c>
      <c r="D3970" s="25">
        <v>1.1415000000000001E-4</v>
      </c>
      <c r="E3970" s="25">
        <v>1.1044000000000001E-4</v>
      </c>
      <c r="F3970" s="25">
        <v>1.1543E-4</v>
      </c>
      <c r="G3970" s="25">
        <v>1.0872E-4</v>
      </c>
      <c r="H3970" s="25">
        <v>1.3825999999999999E-4</v>
      </c>
      <c r="I3970" s="9">
        <v>1.0616999999999999E-4</v>
      </c>
      <c r="J3970" s="9">
        <v>9.9980000000000002E-5</v>
      </c>
      <c r="K3970" s="9">
        <v>1.273E-5</v>
      </c>
      <c r="L3970" s="9">
        <v>2.3E-5</v>
      </c>
      <c r="M3970" s="9">
        <v>4.8050000000000002E-5</v>
      </c>
      <c r="N3970" s="9">
        <v>7.0530000000000004E-5</v>
      </c>
      <c r="O3970" s="9">
        <v>4.774E-5</v>
      </c>
      <c r="P3970" s="9">
        <v>7.7239999999999999E-5</v>
      </c>
      <c r="Q3970" s="9">
        <v>1.0755E-4</v>
      </c>
      <c r="R3970" s="10">
        <v>1.093784387037366E-4</v>
      </c>
      <c r="S3970" s="10">
        <v>7.9729366489191258E-5</v>
      </c>
      <c r="T3970" s="10">
        <v>4.8105977315308069E-5</v>
      </c>
      <c r="U3970" s="10">
        <v>9.1210000000000003E-5</v>
      </c>
      <c r="V3970" s="25"/>
      <c r="W3970" s="25"/>
      <c r="X3970" s="25"/>
      <c r="Y3970" s="25"/>
      <c r="Z3970" s="25"/>
      <c r="AA3970" s="25"/>
    </row>
    <row r="3971" spans="1:27" x14ac:dyDescent="0.35">
      <c r="A3971" s="5">
        <v>3967</v>
      </c>
      <c r="B3971" s="5">
        <v>166</v>
      </c>
      <c r="C3971" s="5">
        <v>6</v>
      </c>
      <c r="D3971" s="25">
        <v>1.1416E-4</v>
      </c>
      <c r="E3971" s="25">
        <v>1.0781E-4</v>
      </c>
      <c r="F3971" s="25">
        <v>1.21E-4</v>
      </c>
      <c r="G3971" s="25">
        <v>1.0582E-4</v>
      </c>
      <c r="H3971" s="25">
        <v>1.3397999999999999E-4</v>
      </c>
      <c r="I3971" s="9">
        <v>1.1503E-4</v>
      </c>
      <c r="J3971" s="9">
        <v>1.1468000000000001E-4</v>
      </c>
      <c r="K3971" s="9">
        <v>0</v>
      </c>
      <c r="L3971" s="9">
        <v>4.2179999999999999E-5</v>
      </c>
      <c r="M3971" s="9">
        <v>5.9910000000000001E-5</v>
      </c>
      <c r="N3971" s="9">
        <v>8.0430000000000001E-5</v>
      </c>
      <c r="O3971" s="9">
        <v>1.1212E-4</v>
      </c>
      <c r="P3971" s="9">
        <v>1.1644E-4</v>
      </c>
      <c r="Q3971" s="9">
        <v>1.1154000000000001E-4</v>
      </c>
      <c r="R3971" s="10">
        <v>1.027286231397936E-4</v>
      </c>
      <c r="S3971" s="10">
        <v>7.609051914547605E-5</v>
      </c>
      <c r="T3971" s="10">
        <v>1.2339564974847276E-4</v>
      </c>
      <c r="U3971" s="10">
        <v>9.1210000000000003E-5</v>
      </c>
      <c r="V3971" s="25"/>
      <c r="W3971" s="25"/>
      <c r="X3971" s="25"/>
      <c r="Y3971" s="25"/>
      <c r="Z3971" s="25"/>
      <c r="AA3971" s="25"/>
    </row>
    <row r="3972" spans="1:27" x14ac:dyDescent="0.35">
      <c r="A3972" s="5">
        <v>3968</v>
      </c>
      <c r="B3972" s="5">
        <v>166</v>
      </c>
      <c r="C3972" s="5">
        <v>6</v>
      </c>
      <c r="D3972" s="25">
        <v>1.1415000000000001E-4</v>
      </c>
      <c r="E3972" s="25">
        <v>1.0603E-4</v>
      </c>
      <c r="F3972" s="25">
        <v>1.2227000000000001E-4</v>
      </c>
      <c r="G3972" s="25">
        <v>1.6239E-4</v>
      </c>
      <c r="H3972" s="25">
        <v>1.9853000000000001E-4</v>
      </c>
      <c r="I3972" s="9">
        <v>1.1853000000000001E-4</v>
      </c>
      <c r="J3972" s="9">
        <v>1.2553999999999999E-4</v>
      </c>
      <c r="K3972" s="9">
        <v>0</v>
      </c>
      <c r="L3972" s="9">
        <v>9.6199999999999994E-5</v>
      </c>
      <c r="M3972" s="9">
        <v>8.3330000000000003E-5</v>
      </c>
      <c r="N3972" s="9">
        <v>9.0409999999999997E-5</v>
      </c>
      <c r="O3972" s="9">
        <v>1.9546E-4</v>
      </c>
      <c r="P3972" s="9">
        <v>1.7725E-4</v>
      </c>
      <c r="Q3972" s="9">
        <v>1.3693000000000001E-4</v>
      </c>
      <c r="R3972" s="10">
        <v>9.1952950244100315E-5</v>
      </c>
      <c r="S3972" s="10">
        <v>7.1598243751899471E-5</v>
      </c>
      <c r="T3972" s="10">
        <v>2.3034024305701919E-4</v>
      </c>
      <c r="U3972" s="10">
        <v>9.1210000000000003E-5</v>
      </c>
      <c r="V3972" s="25"/>
      <c r="W3972" s="25"/>
      <c r="X3972" s="25"/>
      <c r="Y3972" s="25"/>
      <c r="Z3972" s="25"/>
      <c r="AA3972" s="25"/>
    </row>
    <row r="3973" spans="1:27" x14ac:dyDescent="0.35">
      <c r="A3973" s="5">
        <v>3969</v>
      </c>
      <c r="B3973" s="5">
        <v>166</v>
      </c>
      <c r="C3973" s="5">
        <v>6</v>
      </c>
      <c r="D3973" s="25">
        <v>1.1416E-4</v>
      </c>
      <c r="E3973" s="25">
        <v>1.0847E-4</v>
      </c>
      <c r="F3973" s="25">
        <v>1.1576E-4</v>
      </c>
      <c r="G3973" s="25">
        <v>1.6448E-4</v>
      </c>
      <c r="H3973" s="25">
        <v>1.9128E-4</v>
      </c>
      <c r="I3973" s="9">
        <v>1.2061E-4</v>
      </c>
      <c r="J3973" s="9">
        <v>1.3080000000000001E-4</v>
      </c>
      <c r="K3973" s="9">
        <v>0</v>
      </c>
      <c r="L3973" s="9">
        <v>1.7213999999999999E-4</v>
      </c>
      <c r="M3973" s="9">
        <v>1.2318E-4</v>
      </c>
      <c r="N3973" s="9">
        <v>1.0429000000000001E-4</v>
      </c>
      <c r="O3973" s="9">
        <v>1.8835E-4</v>
      </c>
      <c r="P3973" s="9">
        <v>1.9341000000000001E-4</v>
      </c>
      <c r="Q3973" s="9">
        <v>1.7713000000000001E-4</v>
      </c>
      <c r="R3973" s="10">
        <v>7.4381331673933657E-5</v>
      </c>
      <c r="S3973" s="10">
        <v>6.5713791486962368E-5</v>
      </c>
      <c r="T3973" s="10">
        <v>4.7792906669287809E-4</v>
      </c>
      <c r="U3973" s="10">
        <v>9.1210000000000003E-5</v>
      </c>
      <c r="V3973" s="25"/>
      <c r="W3973" s="25"/>
      <c r="X3973" s="25"/>
      <c r="Y3973" s="25"/>
      <c r="Z3973" s="25"/>
      <c r="AA3973" s="25"/>
    </row>
    <row r="3974" spans="1:27" x14ac:dyDescent="0.35">
      <c r="A3974" s="5">
        <v>3970</v>
      </c>
      <c r="B3974" s="5">
        <v>166</v>
      </c>
      <c r="C3974" s="5">
        <v>6</v>
      </c>
      <c r="D3974" s="25">
        <v>1.1415000000000001E-4</v>
      </c>
      <c r="E3974" s="25">
        <v>1.1118E-4</v>
      </c>
      <c r="F3974" s="25">
        <v>1.3520000000000001E-4</v>
      </c>
      <c r="G3974" s="25">
        <v>1.6631E-4</v>
      </c>
      <c r="H3974" s="25">
        <v>1.9095000000000001E-4</v>
      </c>
      <c r="I3974" s="9">
        <v>1.2029E-4</v>
      </c>
      <c r="J3974" s="9">
        <v>1.3134999999999999E-4</v>
      </c>
      <c r="K3974" s="9">
        <v>0</v>
      </c>
      <c r="L3974" s="9">
        <v>1.8279E-4</v>
      </c>
      <c r="M3974" s="9">
        <v>1.5857999999999999E-4</v>
      </c>
      <c r="N3974" s="9">
        <v>1.2444999999999999E-4</v>
      </c>
      <c r="O3974" s="9">
        <v>1.4998999999999999E-4</v>
      </c>
      <c r="P3974" s="9">
        <v>1.7351000000000001E-4</v>
      </c>
      <c r="Q3974" s="9">
        <v>1.8148E-4</v>
      </c>
      <c r="R3974" s="10">
        <v>5.9868492707334713E-5</v>
      </c>
      <c r="S3974" s="10">
        <v>5.7618811718359428E-5</v>
      </c>
      <c r="T3974" s="10">
        <v>6.3874047657547944E-4</v>
      </c>
      <c r="U3974" s="10">
        <v>9.1210000000000003E-5</v>
      </c>
      <c r="V3974" s="25"/>
      <c r="W3974" s="25"/>
      <c r="X3974" s="25"/>
      <c r="Y3974" s="25"/>
      <c r="Z3974" s="25"/>
      <c r="AA3974" s="25"/>
    </row>
    <row r="3975" spans="1:27" x14ac:dyDescent="0.35">
      <c r="A3975" s="5">
        <v>3971</v>
      </c>
      <c r="B3975" s="5">
        <v>166</v>
      </c>
      <c r="C3975" s="5">
        <v>6</v>
      </c>
      <c r="D3975" s="25">
        <v>1.1416E-4</v>
      </c>
      <c r="E3975" s="25">
        <v>1.1255E-4</v>
      </c>
      <c r="F3975" s="25">
        <v>1.2106E-4</v>
      </c>
      <c r="G3975" s="25">
        <v>1.6378000000000001E-4</v>
      </c>
      <c r="H3975" s="25">
        <v>1.9757999999999999E-4</v>
      </c>
      <c r="I3975" s="9">
        <v>1.2107E-4</v>
      </c>
      <c r="J3975" s="9">
        <v>1.3205000000000001E-4</v>
      </c>
      <c r="K3975" s="9">
        <v>0</v>
      </c>
      <c r="L3975" s="9">
        <v>1.5726E-4</v>
      </c>
      <c r="M3975" s="9">
        <v>1.7216000000000001E-4</v>
      </c>
      <c r="N3975" s="9">
        <v>1.4247000000000001E-4</v>
      </c>
      <c r="O3975" s="9">
        <v>1.4933000000000001E-4</v>
      </c>
      <c r="P3975" s="9">
        <v>1.7139999999999999E-4</v>
      </c>
      <c r="Q3975" s="9">
        <v>1.7802000000000001E-4</v>
      </c>
      <c r="R3975" s="10">
        <v>5.2429136530229636E-5</v>
      </c>
      <c r="S3975" s="10">
        <v>4.8584808948014797E-5</v>
      </c>
      <c r="T3975" s="10">
        <v>6.9819844642127812E-4</v>
      </c>
      <c r="U3975" s="10">
        <v>9.1210000000000003E-5</v>
      </c>
      <c r="V3975" s="25"/>
      <c r="W3975" s="25"/>
      <c r="X3975" s="25"/>
      <c r="Y3975" s="25"/>
      <c r="Z3975" s="25"/>
      <c r="AA3975" s="25"/>
    </row>
    <row r="3976" spans="1:27" x14ac:dyDescent="0.35">
      <c r="A3976" s="5">
        <v>3972</v>
      </c>
      <c r="B3976" s="5">
        <v>166</v>
      </c>
      <c r="C3976" s="5">
        <v>6</v>
      </c>
      <c r="D3976" s="25">
        <v>1.1415000000000001E-4</v>
      </c>
      <c r="E3976" s="25">
        <v>1.0877E-4</v>
      </c>
      <c r="F3976" s="25">
        <v>1.1754E-4</v>
      </c>
      <c r="G3976" s="25">
        <v>1.5898999999999999E-4</v>
      </c>
      <c r="H3976" s="25">
        <v>1.8778999999999999E-4</v>
      </c>
      <c r="I3976" s="9">
        <v>1.171E-4</v>
      </c>
      <c r="J3976" s="9">
        <v>1.3103999999999999E-4</v>
      </c>
      <c r="K3976" s="9">
        <v>0</v>
      </c>
      <c r="L3976" s="9">
        <v>1.5229999999999999E-4</v>
      </c>
      <c r="M3976" s="9">
        <v>1.7415E-4</v>
      </c>
      <c r="N3976" s="9">
        <v>1.5626E-4</v>
      </c>
      <c r="O3976" s="9">
        <v>1.516E-4</v>
      </c>
      <c r="P3976" s="9">
        <v>1.7001000000000001E-4</v>
      </c>
      <c r="Q3976" s="9">
        <v>1.7265E-4</v>
      </c>
      <c r="R3976" s="10">
        <v>2.9983642704221803E-5</v>
      </c>
      <c r="S3976" s="10">
        <v>2.7338769136674894E-5</v>
      </c>
      <c r="T3976" s="10">
        <v>7.4798431500791443E-4</v>
      </c>
      <c r="U3976" s="10">
        <v>9.1210000000000003E-5</v>
      </c>
      <c r="V3976" s="25"/>
      <c r="W3976" s="25"/>
      <c r="X3976" s="25"/>
      <c r="Y3976" s="25"/>
      <c r="Z3976" s="25"/>
      <c r="AA3976" s="25"/>
    </row>
    <row r="3977" spans="1:27" x14ac:dyDescent="0.35">
      <c r="A3977" s="5">
        <v>3973</v>
      </c>
      <c r="B3977" s="5">
        <v>166</v>
      </c>
      <c r="C3977" s="5">
        <v>6</v>
      </c>
      <c r="D3977" s="25">
        <v>1.1416E-4</v>
      </c>
      <c r="E3977" s="25">
        <v>1.0778E-4</v>
      </c>
      <c r="F3977" s="25">
        <v>1.1381E-4</v>
      </c>
      <c r="G3977" s="25">
        <v>1.6657999999999999E-4</v>
      </c>
      <c r="H3977" s="25">
        <v>1.8840999999999999E-4</v>
      </c>
      <c r="I3977" s="9">
        <v>1.1429000000000001E-4</v>
      </c>
      <c r="J3977" s="9">
        <v>1.3070000000000001E-4</v>
      </c>
      <c r="K3977" s="9">
        <v>0</v>
      </c>
      <c r="L3977" s="9">
        <v>1.5191E-4</v>
      </c>
      <c r="M3977" s="9">
        <v>1.7269E-4</v>
      </c>
      <c r="N3977" s="9">
        <v>1.6547E-4</v>
      </c>
      <c r="O3977" s="9">
        <v>1.4625E-4</v>
      </c>
      <c r="P3977" s="9">
        <v>1.6446000000000001E-4</v>
      </c>
      <c r="Q3977" s="9">
        <v>1.6786000000000001E-4</v>
      </c>
      <c r="R3977" s="10">
        <v>2.4911706532307353E-5</v>
      </c>
      <c r="S3977" s="10">
        <v>2.5894001161659696E-5</v>
      </c>
      <c r="T3977" s="10">
        <v>7.4133262431740261E-4</v>
      </c>
      <c r="U3977" s="10">
        <v>9.1210000000000003E-5</v>
      </c>
      <c r="V3977" s="25"/>
      <c r="W3977" s="25"/>
      <c r="X3977" s="25"/>
      <c r="Y3977" s="25"/>
      <c r="Z3977" s="25"/>
      <c r="AA3977" s="25"/>
    </row>
    <row r="3978" spans="1:27" x14ac:dyDescent="0.35">
      <c r="A3978" s="5">
        <v>3974</v>
      </c>
      <c r="B3978" s="5">
        <v>166</v>
      </c>
      <c r="C3978" s="5">
        <v>6</v>
      </c>
      <c r="D3978" s="25">
        <v>1.1415000000000001E-4</v>
      </c>
      <c r="E3978" s="25">
        <v>1.0504E-4</v>
      </c>
      <c r="F3978" s="25">
        <v>1.2307E-4</v>
      </c>
      <c r="G3978" s="25">
        <v>1.6647E-4</v>
      </c>
      <c r="H3978" s="25">
        <v>1.9331E-4</v>
      </c>
      <c r="I3978" s="9">
        <v>1.1204E-4</v>
      </c>
      <c r="J3978" s="9">
        <v>1.2993999999999999E-4</v>
      </c>
      <c r="K3978" s="9">
        <v>0</v>
      </c>
      <c r="L3978" s="9">
        <v>1.4728000000000001E-4</v>
      </c>
      <c r="M3978" s="9">
        <v>1.6933000000000001E-4</v>
      </c>
      <c r="N3978" s="9">
        <v>1.6993999999999999E-4</v>
      </c>
      <c r="O3978" s="9">
        <v>1.6091E-4</v>
      </c>
      <c r="P3978" s="9">
        <v>1.6980000000000001E-4</v>
      </c>
      <c r="Q3978" s="9">
        <v>1.6173000000000001E-4</v>
      </c>
      <c r="R3978" s="10">
        <v>2.3914322452762254E-5</v>
      </c>
      <c r="S3978" s="10">
        <v>2.8405175475590333E-5</v>
      </c>
      <c r="T3978" s="10">
        <v>7.0462954532868609E-4</v>
      </c>
      <c r="U3978" s="10">
        <v>9.1210000000000003E-5</v>
      </c>
      <c r="V3978" s="25"/>
      <c r="W3978" s="25"/>
      <c r="X3978" s="25"/>
      <c r="Y3978" s="25"/>
      <c r="Z3978" s="25"/>
      <c r="AA3978" s="25"/>
    </row>
    <row r="3979" spans="1:27" x14ac:dyDescent="0.35">
      <c r="A3979" s="5">
        <v>3975</v>
      </c>
      <c r="B3979" s="5">
        <v>166</v>
      </c>
      <c r="C3979" s="5">
        <v>6</v>
      </c>
      <c r="D3979" s="25">
        <v>1.1416E-4</v>
      </c>
      <c r="E3979" s="25">
        <v>1.0942000000000001E-4</v>
      </c>
      <c r="F3979" s="25">
        <v>1.2689999999999999E-4</v>
      </c>
      <c r="G3979" s="25">
        <v>1.6735E-4</v>
      </c>
      <c r="H3979" s="25">
        <v>1.8928E-4</v>
      </c>
      <c r="I3979" s="9">
        <v>1.1203E-4</v>
      </c>
      <c r="J3979" s="9">
        <v>1.2841E-4</v>
      </c>
      <c r="K3979" s="9">
        <v>0</v>
      </c>
      <c r="L3979" s="9">
        <v>1.5801000000000001E-4</v>
      </c>
      <c r="M3979" s="9">
        <v>1.6855E-4</v>
      </c>
      <c r="N3979" s="9">
        <v>1.6975000000000001E-4</v>
      </c>
      <c r="O3979" s="9">
        <v>1.6547E-4</v>
      </c>
      <c r="P3979" s="9">
        <v>1.683E-4</v>
      </c>
      <c r="Q3979" s="9">
        <v>1.5351000000000001E-4</v>
      </c>
      <c r="R3979" s="10">
        <v>2.8656496874997138E-5</v>
      </c>
      <c r="S3979" s="10">
        <v>3.4166000264806011E-5</v>
      </c>
      <c r="T3979" s="10">
        <v>6.1500989129313068E-4</v>
      </c>
      <c r="U3979" s="10">
        <v>9.1210000000000003E-5</v>
      </c>
      <c r="V3979" s="25"/>
      <c r="W3979" s="25"/>
      <c r="X3979" s="25"/>
      <c r="Y3979" s="25"/>
      <c r="Z3979" s="25"/>
      <c r="AA3979" s="25"/>
    </row>
    <row r="3980" spans="1:27" x14ac:dyDescent="0.35">
      <c r="A3980" s="5">
        <v>3976</v>
      </c>
      <c r="B3980" s="5">
        <v>166</v>
      </c>
      <c r="C3980" s="5">
        <v>6</v>
      </c>
      <c r="D3980" s="25">
        <v>1.1415000000000001E-4</v>
      </c>
      <c r="E3980" s="25">
        <v>1.1198E-4</v>
      </c>
      <c r="F3980" s="25">
        <v>1.2778E-4</v>
      </c>
      <c r="G3980" s="25">
        <v>1.5750000000000001E-4</v>
      </c>
      <c r="H3980" s="25">
        <v>1.9771E-4</v>
      </c>
      <c r="I3980" s="9">
        <v>1.1177E-4</v>
      </c>
      <c r="J3980" s="9">
        <v>1.2844000000000001E-4</v>
      </c>
      <c r="K3980" s="9">
        <v>0</v>
      </c>
      <c r="L3980" s="9">
        <v>1.6354999999999999E-4</v>
      </c>
      <c r="M3980" s="9">
        <v>1.6835E-4</v>
      </c>
      <c r="N3980" s="9">
        <v>1.6619000000000001E-4</v>
      </c>
      <c r="O3980" s="9">
        <v>1.7593E-4</v>
      </c>
      <c r="P3980" s="9">
        <v>1.5223E-4</v>
      </c>
      <c r="Q3980" s="9">
        <v>1.0959999999999999E-4</v>
      </c>
      <c r="R3980" s="10">
        <v>3.4891367697260764E-5</v>
      </c>
      <c r="S3980" s="10">
        <v>4.3918490567663649E-5</v>
      </c>
      <c r="T3980" s="10">
        <v>5.0082819063891268E-4</v>
      </c>
      <c r="U3980" s="10">
        <v>9.1210000000000003E-5</v>
      </c>
      <c r="V3980" s="25"/>
      <c r="W3980" s="25"/>
      <c r="X3980" s="25"/>
      <c r="Y3980" s="25"/>
      <c r="Z3980" s="25"/>
      <c r="AA3980" s="25"/>
    </row>
    <row r="3981" spans="1:27" x14ac:dyDescent="0.35">
      <c r="A3981" s="5">
        <v>3977</v>
      </c>
      <c r="B3981" s="5">
        <v>166</v>
      </c>
      <c r="C3981" s="5">
        <v>6</v>
      </c>
      <c r="D3981" s="25">
        <v>1.1416E-4</v>
      </c>
      <c r="E3981" s="25">
        <v>1.0794E-4</v>
      </c>
      <c r="F3981" s="25">
        <v>1.2917000000000001E-4</v>
      </c>
      <c r="G3981" s="25">
        <v>1.6629000000000001E-4</v>
      </c>
      <c r="H3981" s="25">
        <v>1.9307999999999999E-4</v>
      </c>
      <c r="I3981" s="9">
        <v>1.1474E-4</v>
      </c>
      <c r="J3981" s="9">
        <v>1.2858999999999999E-4</v>
      </c>
      <c r="K3981" s="9">
        <v>0</v>
      </c>
      <c r="L3981" s="9">
        <v>1.7301E-4</v>
      </c>
      <c r="M3981" s="9">
        <v>1.6258000000000001E-4</v>
      </c>
      <c r="N3981" s="9">
        <v>1.5254999999999999E-4</v>
      </c>
      <c r="O3981" s="9">
        <v>1.9127E-4</v>
      </c>
      <c r="P3981" s="9">
        <v>1.6008E-4</v>
      </c>
      <c r="Q3981" s="9">
        <v>1.0767E-4</v>
      </c>
      <c r="R3981" s="10">
        <v>4.668042352931275E-5</v>
      </c>
      <c r="S3981" s="10">
        <v>4.8344551487312167E-5</v>
      </c>
      <c r="T3981" s="10">
        <v>3.4535340504755118E-4</v>
      </c>
      <c r="U3981" s="10">
        <v>9.1210000000000003E-5</v>
      </c>
      <c r="V3981" s="25"/>
      <c r="W3981" s="25"/>
      <c r="X3981" s="25"/>
      <c r="Y3981" s="25"/>
      <c r="Z3981" s="25"/>
      <c r="AA3981" s="25"/>
    </row>
    <row r="3982" spans="1:27" x14ac:dyDescent="0.35">
      <c r="A3982" s="5">
        <v>3978</v>
      </c>
      <c r="B3982" s="5">
        <v>166</v>
      </c>
      <c r="C3982" s="5">
        <v>6</v>
      </c>
      <c r="D3982" s="25">
        <v>1.1415000000000001E-4</v>
      </c>
      <c r="E3982" s="25">
        <v>1.1174E-4</v>
      </c>
      <c r="F3982" s="25">
        <v>1.2002000000000001E-4</v>
      </c>
      <c r="G3982" s="25">
        <v>1.6421E-4</v>
      </c>
      <c r="H3982" s="25">
        <v>1.9338999999999999E-4</v>
      </c>
      <c r="I3982" s="9">
        <v>1.1642999999999999E-4</v>
      </c>
      <c r="J3982" s="9">
        <v>1.2365E-4</v>
      </c>
      <c r="K3982" s="9">
        <v>0</v>
      </c>
      <c r="L3982" s="9">
        <v>1.8707000000000001E-4</v>
      </c>
      <c r="M3982" s="9">
        <v>1.6006000000000001E-4</v>
      </c>
      <c r="N3982" s="9">
        <v>1.3941E-4</v>
      </c>
      <c r="O3982" s="9">
        <v>1.8365999999999999E-4</v>
      </c>
      <c r="P3982" s="9">
        <v>1.6095000000000001E-4</v>
      </c>
      <c r="Q3982" s="9">
        <v>1.1809E-4</v>
      </c>
      <c r="R3982" s="10">
        <v>5.9488663355581244E-5</v>
      </c>
      <c r="S3982" s="10">
        <v>4.7910390247312262E-5</v>
      </c>
      <c r="T3982" s="10">
        <v>1.6762430226076571E-4</v>
      </c>
      <c r="U3982" s="10">
        <v>9.1210000000000003E-5</v>
      </c>
      <c r="V3982" s="25"/>
      <c r="W3982" s="25"/>
      <c r="X3982" s="25"/>
      <c r="Y3982" s="25"/>
      <c r="Z3982" s="25"/>
      <c r="AA3982" s="25"/>
    </row>
    <row r="3983" spans="1:27" x14ac:dyDescent="0.35">
      <c r="A3983" s="5">
        <v>3979</v>
      </c>
      <c r="B3983" s="5">
        <v>166</v>
      </c>
      <c r="C3983" s="5">
        <v>6</v>
      </c>
      <c r="D3983" s="25">
        <v>1.1416E-4</v>
      </c>
      <c r="E3983" s="25">
        <v>1.1278E-4</v>
      </c>
      <c r="F3983" s="25">
        <v>1.2621999999999999E-4</v>
      </c>
      <c r="G3983" s="25">
        <v>1.1433E-4</v>
      </c>
      <c r="H3983" s="25">
        <v>1.3622999999999999E-4</v>
      </c>
      <c r="I3983" s="9">
        <v>1.1573E-4</v>
      </c>
      <c r="J3983" s="9">
        <v>1.2123E-4</v>
      </c>
      <c r="K3983" s="9">
        <v>0</v>
      </c>
      <c r="L3983" s="9">
        <v>1.8405E-4</v>
      </c>
      <c r="M3983" s="9">
        <v>1.5988999999999999E-4</v>
      </c>
      <c r="N3983" s="9">
        <v>1.3041999999999999E-4</v>
      </c>
      <c r="O3983" s="9">
        <v>1.4929E-4</v>
      </c>
      <c r="P3983" s="9">
        <v>1.3599E-4</v>
      </c>
      <c r="Q3983" s="9">
        <v>1.0793000000000001E-4</v>
      </c>
      <c r="R3983" s="10">
        <v>7.3452253762734866E-5</v>
      </c>
      <c r="S3983" s="10">
        <v>5.1732793628111266E-5</v>
      </c>
      <c r="T3983" s="10">
        <v>3.6355222715360687E-5</v>
      </c>
      <c r="U3983" s="10">
        <v>9.1210000000000003E-5</v>
      </c>
      <c r="V3983" s="25"/>
      <c r="W3983" s="25"/>
      <c r="X3983" s="25"/>
      <c r="Y3983" s="25"/>
      <c r="Z3983" s="25"/>
      <c r="AA3983" s="25"/>
    </row>
    <row r="3984" spans="1:27" x14ac:dyDescent="0.35">
      <c r="A3984" s="5">
        <v>3980</v>
      </c>
      <c r="B3984" s="5">
        <v>166</v>
      </c>
      <c r="C3984" s="5">
        <v>6</v>
      </c>
      <c r="D3984" s="25">
        <v>1.1415000000000001E-4</v>
      </c>
      <c r="E3984" s="25">
        <v>1.0322E-4</v>
      </c>
      <c r="F3984" s="25">
        <v>1.2799999999999999E-4</v>
      </c>
      <c r="G3984" s="25">
        <v>1.0888E-4</v>
      </c>
      <c r="H3984" s="25">
        <v>1.2543999999999999E-4</v>
      </c>
      <c r="I3984" s="9">
        <v>1.1414E-4</v>
      </c>
      <c r="J3984" s="9">
        <v>1.1792E-4</v>
      </c>
      <c r="K3984" s="9">
        <v>0</v>
      </c>
      <c r="L3984" s="9">
        <v>1.5708000000000001E-4</v>
      </c>
      <c r="M3984" s="9">
        <v>1.5140999999999999E-4</v>
      </c>
      <c r="N3984" s="9">
        <v>1.2142999999999999E-4</v>
      </c>
      <c r="O3984" s="9">
        <v>1.1824000000000001E-4</v>
      </c>
      <c r="P3984" s="9">
        <v>1.1519999999999999E-4</v>
      </c>
      <c r="Q3984" s="9">
        <v>1.0219E-4</v>
      </c>
      <c r="R3984" s="10">
        <v>8.9200327994846655E-5</v>
      </c>
      <c r="S3984" s="10">
        <v>5.3383104475168182E-5</v>
      </c>
      <c r="T3984" s="10">
        <v>1.2251328261605794E-5</v>
      </c>
      <c r="U3984" s="10">
        <v>9.1210000000000003E-5</v>
      </c>
      <c r="V3984" s="25"/>
      <c r="W3984" s="25"/>
      <c r="X3984" s="25"/>
      <c r="Y3984" s="25"/>
      <c r="Z3984" s="25"/>
      <c r="AA3984" s="25"/>
    </row>
    <row r="3985" spans="1:27" x14ac:dyDescent="0.35">
      <c r="A3985" s="5">
        <v>3981</v>
      </c>
      <c r="B3985" s="5">
        <v>166</v>
      </c>
      <c r="C3985" s="5">
        <v>6</v>
      </c>
      <c r="D3985" s="25">
        <v>1.1416E-4</v>
      </c>
      <c r="E3985" s="25">
        <v>1.0427E-4</v>
      </c>
      <c r="F3985" s="25">
        <v>1.2501E-4</v>
      </c>
      <c r="G3985" s="25">
        <v>5.9339999999999998E-5</v>
      </c>
      <c r="H3985" s="25">
        <v>6.8819999999999995E-5</v>
      </c>
      <c r="I3985" s="9">
        <v>1.1232E-4</v>
      </c>
      <c r="J3985" s="9">
        <v>1.1508E-4</v>
      </c>
      <c r="K3985" s="9">
        <v>0</v>
      </c>
      <c r="L3985" s="9">
        <v>1.2763E-4</v>
      </c>
      <c r="M3985" s="9">
        <v>1.3598000000000001E-4</v>
      </c>
      <c r="N3985" s="9">
        <v>1.1370999999999999E-4</v>
      </c>
      <c r="O3985" s="9">
        <v>7.9770000000000004E-5</v>
      </c>
      <c r="P3985" s="9">
        <v>8.5799999999999998E-5</v>
      </c>
      <c r="Q3985" s="9">
        <v>8.7789999999999998E-5</v>
      </c>
      <c r="R3985" s="10">
        <v>1.1265114010294014E-4</v>
      </c>
      <c r="S3985" s="10">
        <v>4.80493599577627E-5</v>
      </c>
      <c r="T3985" s="10">
        <v>0</v>
      </c>
      <c r="U3985" s="10">
        <v>9.1210000000000003E-5</v>
      </c>
      <c r="V3985" s="25"/>
      <c r="W3985" s="25"/>
      <c r="X3985" s="25"/>
      <c r="Y3985" s="25"/>
      <c r="Z3985" s="25"/>
      <c r="AA3985" s="25"/>
    </row>
    <row r="3986" spans="1:27" x14ac:dyDescent="0.35">
      <c r="A3986" s="5">
        <v>3982</v>
      </c>
      <c r="B3986" s="5">
        <v>166</v>
      </c>
      <c r="C3986" s="5">
        <v>6</v>
      </c>
      <c r="D3986" s="25">
        <v>1.1415000000000001E-4</v>
      </c>
      <c r="E3986" s="25">
        <v>1.1039000000000001E-4</v>
      </c>
      <c r="F3986" s="25">
        <v>1.1615E-4</v>
      </c>
      <c r="G3986" s="25">
        <v>5.4759999999999997E-5</v>
      </c>
      <c r="H3986" s="25">
        <v>6.5729999999999996E-5</v>
      </c>
      <c r="I3986" s="9">
        <v>1.147E-4</v>
      </c>
      <c r="J3986" s="9">
        <v>1.1293E-4</v>
      </c>
      <c r="K3986" s="9">
        <v>0</v>
      </c>
      <c r="L3986" s="9">
        <v>9.1100000000000005E-5</v>
      </c>
      <c r="M3986" s="9">
        <v>1.1394E-4</v>
      </c>
      <c r="N3986" s="9">
        <v>1.0589E-4</v>
      </c>
      <c r="O3986" s="9">
        <v>8.3289999999999997E-5</v>
      </c>
      <c r="P3986" s="9">
        <v>8.8410000000000002E-5</v>
      </c>
      <c r="Q3986" s="9">
        <v>8.9060000000000005E-5</v>
      </c>
      <c r="R3986" s="10">
        <v>1.2576705923547524E-4</v>
      </c>
      <c r="S3986" s="10">
        <v>3.7299821781710067E-5</v>
      </c>
      <c r="T3986" s="10">
        <v>0</v>
      </c>
      <c r="U3986" s="10">
        <v>9.1210000000000003E-5</v>
      </c>
      <c r="V3986" s="25"/>
      <c r="W3986" s="25"/>
      <c r="X3986" s="25"/>
      <c r="Y3986" s="25"/>
      <c r="Z3986" s="25"/>
      <c r="AA3986" s="25"/>
    </row>
    <row r="3987" spans="1:27" x14ac:dyDescent="0.35">
      <c r="A3987" s="5">
        <v>3983</v>
      </c>
      <c r="B3987" s="5">
        <v>166</v>
      </c>
      <c r="C3987" s="5">
        <v>6</v>
      </c>
      <c r="D3987" s="25">
        <v>1.1416E-4</v>
      </c>
      <c r="E3987" s="25">
        <v>1.0485E-4</v>
      </c>
      <c r="F3987" s="25">
        <v>1.2756000000000001E-4</v>
      </c>
      <c r="G3987" s="25">
        <v>6.0000000000000002E-5</v>
      </c>
      <c r="H3987" s="25">
        <v>6.7509999999999996E-5</v>
      </c>
      <c r="I3987" s="9">
        <v>1.1E-4</v>
      </c>
      <c r="J3987" s="9">
        <v>1.0804E-4</v>
      </c>
      <c r="K3987" s="9">
        <v>0</v>
      </c>
      <c r="L3987" s="9">
        <v>8.5829999999999996E-5</v>
      </c>
      <c r="M3987" s="9">
        <v>9.9339999999999994E-5</v>
      </c>
      <c r="N3987" s="9">
        <v>1.0017E-4</v>
      </c>
      <c r="O3987" s="9">
        <v>7.4330000000000002E-5</v>
      </c>
      <c r="P3987" s="9">
        <v>7.2080000000000001E-5</v>
      </c>
      <c r="Q3987" s="9">
        <v>6.6840000000000004E-5</v>
      </c>
      <c r="R3987" s="10">
        <v>1.2191523757597342E-4</v>
      </c>
      <c r="S3987" s="10">
        <v>3.3647277589682657E-5</v>
      </c>
      <c r="T3987" s="10">
        <v>0</v>
      </c>
      <c r="U3987" s="10">
        <v>9.1210000000000003E-5</v>
      </c>
      <c r="V3987" s="25"/>
      <c r="W3987" s="25"/>
      <c r="X3987" s="25"/>
      <c r="Y3987" s="25"/>
      <c r="Z3987" s="25"/>
      <c r="AA3987" s="25"/>
    </row>
    <row r="3988" spans="1:27" x14ac:dyDescent="0.35">
      <c r="A3988" s="5">
        <v>3984</v>
      </c>
      <c r="B3988" s="5">
        <v>166</v>
      </c>
      <c r="C3988" s="5">
        <v>6</v>
      </c>
      <c r="D3988" s="25">
        <v>1.1415000000000001E-4</v>
      </c>
      <c r="E3988" s="25">
        <v>1.0666E-4</v>
      </c>
      <c r="F3988" s="25">
        <v>1.1658E-4</v>
      </c>
      <c r="G3988" s="25">
        <v>5.9740000000000001E-5</v>
      </c>
      <c r="H3988" s="25">
        <v>6.4709999999999995E-5</v>
      </c>
      <c r="I3988" s="9">
        <v>1.0181E-4</v>
      </c>
      <c r="J3988" s="9">
        <v>9.9870000000000004E-5</v>
      </c>
      <c r="K3988" s="9">
        <v>0</v>
      </c>
      <c r="L3988" s="9">
        <v>7.6829999999999995E-5</v>
      </c>
      <c r="M3988" s="9">
        <v>8.6329999999999995E-5</v>
      </c>
      <c r="N3988" s="9">
        <v>9.0799999999999998E-5</v>
      </c>
      <c r="O3988" s="9">
        <v>6.1470000000000006E-5</v>
      </c>
      <c r="P3988" s="9">
        <v>6.0609999999999997E-5</v>
      </c>
      <c r="Q3988" s="9">
        <v>5.8799999999999999E-5</v>
      </c>
      <c r="R3988" s="10">
        <v>1.1249974975174736E-4</v>
      </c>
      <c r="S3988" s="10">
        <v>2.4402820233863819E-5</v>
      </c>
      <c r="T3988" s="10">
        <v>0</v>
      </c>
      <c r="U3988" s="10">
        <v>9.1210000000000003E-5</v>
      </c>
      <c r="V3988" s="25"/>
      <c r="W3988" s="25"/>
      <c r="X3988" s="25"/>
      <c r="Y3988" s="25"/>
      <c r="Z3988" s="25"/>
      <c r="AA3988" s="25"/>
    </row>
    <row r="3989" spans="1:27" x14ac:dyDescent="0.35">
      <c r="A3989" s="5">
        <v>3985</v>
      </c>
      <c r="B3989" s="5">
        <v>167</v>
      </c>
      <c r="C3989" s="5">
        <v>6</v>
      </c>
      <c r="D3989" s="25">
        <v>1.1416E-4</v>
      </c>
      <c r="E3989" s="25">
        <v>1.2235999999999999E-4</v>
      </c>
      <c r="F3989" s="25">
        <v>1.009E-4</v>
      </c>
      <c r="G3989" s="25">
        <v>5.6490000000000003E-5</v>
      </c>
      <c r="H3989" s="25">
        <v>3.8670000000000001E-5</v>
      </c>
      <c r="I3989" s="9">
        <v>9.7769999999999994E-5</v>
      </c>
      <c r="J3989" s="9">
        <v>9.4259999999999995E-5</v>
      </c>
      <c r="K3989" s="9">
        <v>6.3600000000000001E-6</v>
      </c>
      <c r="L3989" s="9">
        <v>6.4850000000000004E-5</v>
      </c>
      <c r="M3989" s="9">
        <v>7.4090000000000004E-5</v>
      </c>
      <c r="N3989" s="9">
        <v>8.1299999999999997E-5</v>
      </c>
      <c r="O3989" s="9">
        <v>6.758E-5</v>
      </c>
      <c r="P3989" s="9">
        <v>6.0170000000000002E-5</v>
      </c>
      <c r="Q3989" s="9">
        <v>5.3059999999999997E-5</v>
      </c>
      <c r="R3989" s="10">
        <v>9.5324559527688949E-5</v>
      </c>
      <c r="S3989" s="10">
        <v>2.0143602765918098E-5</v>
      </c>
      <c r="T3989" s="10">
        <v>0</v>
      </c>
      <c r="U3989" s="10">
        <v>9.1119999999999995E-5</v>
      </c>
      <c r="V3989" s="25"/>
      <c r="W3989" s="25"/>
      <c r="X3989" s="25"/>
      <c r="Y3989" s="25"/>
      <c r="Z3989" s="25"/>
      <c r="AA3989" s="25"/>
    </row>
    <row r="3990" spans="1:27" x14ac:dyDescent="0.35">
      <c r="A3990" s="5">
        <v>3986</v>
      </c>
      <c r="B3990" s="5">
        <v>167</v>
      </c>
      <c r="C3990" s="5">
        <v>6</v>
      </c>
      <c r="D3990" s="25">
        <v>1.1415000000000001E-4</v>
      </c>
      <c r="E3990" s="25">
        <v>1.1514E-4</v>
      </c>
      <c r="F3990" s="25">
        <v>1.1131E-4</v>
      </c>
      <c r="G3990" s="25">
        <v>5.9710000000000003E-5</v>
      </c>
      <c r="H3990" s="25">
        <v>4.0450000000000001E-5</v>
      </c>
      <c r="I3990" s="9">
        <v>9.4660000000000005E-5</v>
      </c>
      <c r="J3990" s="9">
        <v>9.1550000000000003E-5</v>
      </c>
      <c r="K3990" s="9">
        <v>1.06E-5</v>
      </c>
      <c r="L3990" s="9">
        <v>6.7310000000000004E-5</v>
      </c>
      <c r="M3990" s="9">
        <v>6.6160000000000004E-5</v>
      </c>
      <c r="N3990" s="9">
        <v>7.2059999999999998E-5</v>
      </c>
      <c r="O3990" s="9">
        <v>3.981E-5</v>
      </c>
      <c r="P3990" s="9">
        <v>4.5519999999999998E-5</v>
      </c>
      <c r="Q3990" s="9">
        <v>5.5789999999999999E-5</v>
      </c>
      <c r="R3990" s="10">
        <v>8.6257260856274879E-5</v>
      </c>
      <c r="S3990" s="10">
        <v>1.5831401455149541E-5</v>
      </c>
      <c r="T3990" s="10">
        <v>0</v>
      </c>
      <c r="U3990" s="10">
        <v>9.1119999999999995E-5</v>
      </c>
      <c r="V3990" s="25"/>
      <c r="W3990" s="25"/>
      <c r="X3990" s="25"/>
      <c r="Y3990" s="25"/>
      <c r="Z3990" s="25"/>
      <c r="AA3990" s="25"/>
    </row>
    <row r="3991" spans="1:27" x14ac:dyDescent="0.35">
      <c r="A3991" s="5">
        <v>3987</v>
      </c>
      <c r="B3991" s="5">
        <v>167</v>
      </c>
      <c r="C3991" s="5">
        <v>6</v>
      </c>
      <c r="D3991" s="25">
        <v>1.1416E-4</v>
      </c>
      <c r="E3991" s="25">
        <v>1.2131E-4</v>
      </c>
      <c r="F3991" s="25">
        <v>9.4370000000000006E-5</v>
      </c>
      <c r="G3991" s="25">
        <v>5.9830000000000001E-5</v>
      </c>
      <c r="H3991" s="25">
        <v>4.261E-5</v>
      </c>
      <c r="I3991" s="9">
        <v>9.3220000000000005E-5</v>
      </c>
      <c r="J3991" s="9">
        <v>9.0179999999999994E-5</v>
      </c>
      <c r="K3991" s="9">
        <v>1.908E-5</v>
      </c>
      <c r="L3991" s="9">
        <v>4.5750000000000001E-5</v>
      </c>
      <c r="M3991" s="9">
        <v>5.7040000000000003E-5</v>
      </c>
      <c r="N3991" s="9">
        <v>6.5380000000000001E-5</v>
      </c>
      <c r="O3991" s="9">
        <v>2.8940000000000001E-5</v>
      </c>
      <c r="P3991" s="9">
        <v>4.2160000000000003E-5</v>
      </c>
      <c r="Q3991" s="9">
        <v>6.1669999999999997E-5</v>
      </c>
      <c r="R3991" s="10">
        <v>7.0927493748537384E-5</v>
      </c>
      <c r="S3991" s="10">
        <v>1.4032402655515054E-5</v>
      </c>
      <c r="T3991" s="10">
        <v>0</v>
      </c>
      <c r="U3991" s="10">
        <v>9.1119999999999995E-5</v>
      </c>
      <c r="V3991" s="25"/>
      <c r="W3991" s="25"/>
      <c r="X3991" s="25"/>
      <c r="Y3991" s="25"/>
      <c r="Z3991" s="25"/>
      <c r="AA3991" s="25"/>
    </row>
    <row r="3992" spans="1:27" x14ac:dyDescent="0.35">
      <c r="A3992" s="5">
        <v>3988</v>
      </c>
      <c r="B3992" s="5">
        <v>167</v>
      </c>
      <c r="C3992" s="5">
        <v>6</v>
      </c>
      <c r="D3992" s="25">
        <v>1.1415000000000001E-4</v>
      </c>
      <c r="E3992" s="25">
        <v>1.1629999999999999E-4</v>
      </c>
      <c r="F3992" s="25">
        <v>1.0234E-4</v>
      </c>
      <c r="G3992" s="25">
        <v>5.8069999999999998E-5</v>
      </c>
      <c r="H3992" s="25">
        <v>3.8779999999999998E-5</v>
      </c>
      <c r="I3992" s="9">
        <v>9.4069999999999999E-5</v>
      </c>
      <c r="J3992" s="9">
        <v>9.0140000000000001E-5</v>
      </c>
      <c r="K3992" s="9">
        <v>4.2389999999999999E-5</v>
      </c>
      <c r="L3992" s="9">
        <v>3.3149999999999999E-5</v>
      </c>
      <c r="M3992" s="9">
        <v>4.9530000000000002E-5</v>
      </c>
      <c r="N3992" s="9">
        <v>6.1790000000000003E-5</v>
      </c>
      <c r="O3992" s="9">
        <v>2.8160000000000001E-5</v>
      </c>
      <c r="P3992" s="9">
        <v>5.079E-5</v>
      </c>
      <c r="Q3992" s="9">
        <v>7.9560000000000004E-5</v>
      </c>
      <c r="R3992" s="10">
        <v>5.5497940659200144E-5</v>
      </c>
      <c r="S3992" s="10">
        <v>1.6425723127904113E-5</v>
      </c>
      <c r="T3992" s="10">
        <v>0</v>
      </c>
      <c r="U3992" s="10">
        <v>9.1119999999999995E-5</v>
      </c>
      <c r="V3992" s="25"/>
      <c r="W3992" s="25"/>
      <c r="X3992" s="25"/>
      <c r="Y3992" s="25"/>
      <c r="Z3992" s="25"/>
      <c r="AA3992" s="25"/>
    </row>
    <row r="3993" spans="1:27" x14ac:dyDescent="0.35">
      <c r="A3993" s="5">
        <v>3989</v>
      </c>
      <c r="B3993" s="5">
        <v>167</v>
      </c>
      <c r="C3993" s="5">
        <v>6</v>
      </c>
      <c r="D3993" s="25">
        <v>1.1416E-4</v>
      </c>
      <c r="E3993" s="25">
        <v>1.1511E-4</v>
      </c>
      <c r="F3993" s="25">
        <v>9.7120000000000005E-5</v>
      </c>
      <c r="G3993" s="25">
        <v>6.1039999999999998E-5</v>
      </c>
      <c r="H3993" s="25">
        <v>4.0089999999999997E-5</v>
      </c>
      <c r="I3993" s="9">
        <v>9.6819999999999998E-5</v>
      </c>
      <c r="J3993" s="9">
        <v>9.0690000000000001E-5</v>
      </c>
      <c r="K3993" s="9">
        <v>6.37E-6</v>
      </c>
      <c r="L3993" s="9">
        <v>2.9640000000000001E-5</v>
      </c>
      <c r="M3993" s="9">
        <v>4.8199999999999999E-5</v>
      </c>
      <c r="N3993" s="9">
        <v>6.4159999999999996E-5</v>
      </c>
      <c r="O3993" s="9">
        <v>2.9770000000000001E-5</v>
      </c>
      <c r="P3993" s="9">
        <v>5.8400000000000003E-5</v>
      </c>
      <c r="Q3993" s="9">
        <v>9.2800000000000006E-5</v>
      </c>
      <c r="R3993" s="10">
        <v>4.4869636340555207E-5</v>
      </c>
      <c r="S3993" s="10">
        <v>2.0129247149615091E-5</v>
      </c>
      <c r="T3993" s="10">
        <v>1.5220833034155676E-5</v>
      </c>
      <c r="U3993" s="10">
        <v>9.1119999999999995E-5</v>
      </c>
      <c r="V3993" s="25"/>
      <c r="W3993" s="25"/>
      <c r="X3993" s="25"/>
      <c r="Y3993" s="25"/>
      <c r="Z3993" s="25"/>
      <c r="AA3993" s="25"/>
    </row>
    <row r="3994" spans="1:27" x14ac:dyDescent="0.35">
      <c r="A3994" s="5">
        <v>3990</v>
      </c>
      <c r="B3994" s="5">
        <v>167</v>
      </c>
      <c r="C3994" s="5">
        <v>6</v>
      </c>
      <c r="D3994" s="25">
        <v>1.1415000000000001E-4</v>
      </c>
      <c r="E3994" s="25">
        <v>1.2328999999999999E-4</v>
      </c>
      <c r="F3994" s="25">
        <v>9.9220000000000002E-5</v>
      </c>
      <c r="G3994" s="25">
        <v>1.0766E-4</v>
      </c>
      <c r="H3994" s="25">
        <v>7.9579999999999994E-5</v>
      </c>
      <c r="I3994" s="9">
        <v>1.0543E-4</v>
      </c>
      <c r="J3994" s="9">
        <v>9.8839999999999996E-5</v>
      </c>
      <c r="K3994" s="9">
        <v>0</v>
      </c>
      <c r="L3994" s="9">
        <v>2.9689999999999999E-5</v>
      </c>
      <c r="M3994" s="9">
        <v>5.185E-5</v>
      </c>
      <c r="N3994" s="9">
        <v>7.0560000000000002E-5</v>
      </c>
      <c r="O3994" s="9">
        <v>3.5089999999999998E-5</v>
      </c>
      <c r="P3994" s="9">
        <v>6.813E-5</v>
      </c>
      <c r="Q3994" s="9">
        <v>1.0603999999999999E-4</v>
      </c>
      <c r="R3994" s="10">
        <v>3.4984642008299309E-5</v>
      </c>
      <c r="S3994" s="10">
        <v>2.4864883994287792E-5</v>
      </c>
      <c r="T3994" s="10">
        <v>5.2509328678032038E-5</v>
      </c>
      <c r="U3994" s="10">
        <v>9.1119999999999995E-5</v>
      </c>
      <c r="V3994" s="25"/>
      <c r="W3994" s="25"/>
      <c r="X3994" s="25"/>
      <c r="Y3994" s="25"/>
      <c r="Z3994" s="25"/>
      <c r="AA3994" s="25"/>
    </row>
    <row r="3995" spans="1:27" x14ac:dyDescent="0.35">
      <c r="A3995" s="5">
        <v>3991</v>
      </c>
      <c r="B3995" s="5">
        <v>167</v>
      </c>
      <c r="C3995" s="5">
        <v>6</v>
      </c>
      <c r="D3995" s="25">
        <v>1.1416E-4</v>
      </c>
      <c r="E3995" s="25">
        <v>1.1444E-4</v>
      </c>
      <c r="F3995" s="25">
        <v>1.0558E-4</v>
      </c>
      <c r="G3995" s="25">
        <v>1.1463000000000001E-4</v>
      </c>
      <c r="H3995" s="25">
        <v>7.6680000000000004E-5</v>
      </c>
      <c r="I3995" s="9">
        <v>1.1404E-4</v>
      </c>
      <c r="J3995" s="9">
        <v>1.1317E-4</v>
      </c>
      <c r="K3995" s="9">
        <v>0</v>
      </c>
      <c r="L3995" s="9">
        <v>3.383E-5</v>
      </c>
      <c r="M3995" s="9">
        <v>5.8789999999999998E-5</v>
      </c>
      <c r="N3995" s="9">
        <v>8.0110000000000004E-5</v>
      </c>
      <c r="O3995" s="9">
        <v>4.9100000000000001E-5</v>
      </c>
      <c r="P3995" s="9">
        <v>7.8999999999999996E-5</v>
      </c>
      <c r="Q3995" s="9">
        <v>1.116E-4</v>
      </c>
      <c r="R3995" s="10">
        <v>2.7136787967598606E-5</v>
      </c>
      <c r="S3995" s="10">
        <v>3.3077858492210841E-5</v>
      </c>
      <c r="T3995" s="10">
        <v>1.1105947849336556E-4</v>
      </c>
      <c r="U3995" s="10">
        <v>9.1119999999999995E-5</v>
      </c>
      <c r="V3995" s="25"/>
      <c r="W3995" s="25"/>
      <c r="X3995" s="25"/>
      <c r="Y3995" s="25"/>
      <c r="Z3995" s="25"/>
      <c r="AA3995" s="25"/>
    </row>
    <row r="3996" spans="1:27" x14ac:dyDescent="0.35">
      <c r="A3996" s="5">
        <v>3992</v>
      </c>
      <c r="B3996" s="5">
        <v>167</v>
      </c>
      <c r="C3996" s="5">
        <v>6</v>
      </c>
      <c r="D3996" s="25">
        <v>1.1415000000000001E-4</v>
      </c>
      <c r="E3996" s="25">
        <v>1.2123E-4</v>
      </c>
      <c r="F3996" s="25">
        <v>9.6669999999999994E-5</v>
      </c>
      <c r="G3996" s="25">
        <v>1.6085000000000001E-4</v>
      </c>
      <c r="H3996" s="25">
        <v>1.2065000000000001E-4</v>
      </c>
      <c r="I3996" s="9">
        <v>1.1886E-4</v>
      </c>
      <c r="J3996" s="9">
        <v>1.2418999999999999E-4</v>
      </c>
      <c r="K3996" s="9">
        <v>0</v>
      </c>
      <c r="L3996" s="9">
        <v>4.562E-5</v>
      </c>
      <c r="M3996" s="9">
        <v>6.7799999999999995E-5</v>
      </c>
      <c r="N3996" s="9">
        <v>9.0110000000000003E-5</v>
      </c>
      <c r="O3996" s="9">
        <v>6.8310000000000002E-5</v>
      </c>
      <c r="P3996" s="9">
        <v>1.0272000000000001E-4</v>
      </c>
      <c r="Q3996" s="9">
        <v>1.3677000000000001E-4</v>
      </c>
      <c r="R3996" s="10">
        <v>1.5538579540986282E-5</v>
      </c>
      <c r="S3996" s="10">
        <v>3.8890857109585118E-5</v>
      </c>
      <c r="T3996" s="10">
        <v>1.8503408452725815E-4</v>
      </c>
      <c r="U3996" s="10">
        <v>9.1119999999999995E-5</v>
      </c>
      <c r="V3996" s="25"/>
      <c r="W3996" s="25"/>
      <c r="X3996" s="25"/>
      <c r="Y3996" s="25"/>
      <c r="Z3996" s="25"/>
      <c r="AA3996" s="25"/>
    </row>
    <row r="3997" spans="1:27" x14ac:dyDescent="0.35">
      <c r="A3997" s="5">
        <v>3993</v>
      </c>
      <c r="B3997" s="5">
        <v>167</v>
      </c>
      <c r="C3997" s="5">
        <v>6</v>
      </c>
      <c r="D3997" s="25">
        <v>1.1416E-4</v>
      </c>
      <c r="E3997" s="25">
        <v>1.1526E-4</v>
      </c>
      <c r="F3997" s="25">
        <v>9.9290000000000007E-5</v>
      </c>
      <c r="G3997" s="25">
        <v>1.6061E-4</v>
      </c>
      <c r="H3997" s="25">
        <v>1.2136E-4</v>
      </c>
      <c r="I3997" s="9">
        <v>1.1938999999999999E-4</v>
      </c>
      <c r="J3997" s="9">
        <v>1.2926999999999999E-4</v>
      </c>
      <c r="K3997" s="9">
        <v>0</v>
      </c>
      <c r="L3997" s="9">
        <v>6.3E-5</v>
      </c>
      <c r="M3997" s="9">
        <v>8.2609999999999997E-5</v>
      </c>
      <c r="N3997" s="9">
        <v>1.0397E-4</v>
      </c>
      <c r="O3997" s="9">
        <v>9.5210000000000005E-5</v>
      </c>
      <c r="P3997" s="9">
        <v>1.3846999999999999E-4</v>
      </c>
      <c r="Q3997" s="9">
        <v>1.7692000000000001E-4</v>
      </c>
      <c r="R3997" s="10">
        <v>1.7210270753938075E-5</v>
      </c>
      <c r="S3997" s="10">
        <v>3.5425636570697332E-5</v>
      </c>
      <c r="T3997" s="10">
        <v>1.0820026961236752E-4</v>
      </c>
      <c r="U3997" s="10">
        <v>9.1119999999999995E-5</v>
      </c>
      <c r="V3997" s="25"/>
      <c r="W3997" s="25"/>
      <c r="X3997" s="25"/>
      <c r="Y3997" s="25"/>
      <c r="Z3997" s="25"/>
      <c r="AA3997" s="25"/>
    </row>
    <row r="3998" spans="1:27" x14ac:dyDescent="0.35">
      <c r="A3998" s="5">
        <v>3994</v>
      </c>
      <c r="B3998" s="5">
        <v>167</v>
      </c>
      <c r="C3998" s="5">
        <v>6</v>
      </c>
      <c r="D3998" s="25">
        <v>1.1415000000000001E-4</v>
      </c>
      <c r="E3998" s="25">
        <v>1.144E-4</v>
      </c>
      <c r="F3998" s="25">
        <v>9.467E-5</v>
      </c>
      <c r="G3998" s="25">
        <v>1.6384E-4</v>
      </c>
      <c r="H3998" s="25">
        <v>1.187E-4</v>
      </c>
      <c r="I3998" s="9">
        <v>1.1792E-4</v>
      </c>
      <c r="J3998" s="9">
        <v>1.2998999999999999E-4</v>
      </c>
      <c r="K3998" s="9">
        <v>0</v>
      </c>
      <c r="L3998" s="9">
        <v>8.7670000000000006E-5</v>
      </c>
      <c r="M3998" s="9">
        <v>1.0647E-4</v>
      </c>
      <c r="N3998" s="9">
        <v>1.2412999999999999E-4</v>
      </c>
      <c r="O3998" s="9">
        <v>1.2056E-4</v>
      </c>
      <c r="P3998" s="9">
        <v>1.5634000000000001E-4</v>
      </c>
      <c r="Q3998" s="9">
        <v>1.8343E-4</v>
      </c>
      <c r="R3998" s="10">
        <v>3.1042482347956361E-5</v>
      </c>
      <c r="S3998" s="10">
        <v>2.8687516292070679E-5</v>
      </c>
      <c r="T3998" s="10">
        <v>2.6882502490926567E-4</v>
      </c>
      <c r="U3998" s="10">
        <v>9.1119999999999995E-5</v>
      </c>
      <c r="V3998" s="25"/>
      <c r="W3998" s="25"/>
      <c r="X3998" s="25"/>
      <c r="Y3998" s="25"/>
      <c r="Z3998" s="25"/>
      <c r="AA3998" s="25"/>
    </row>
    <row r="3999" spans="1:27" x14ac:dyDescent="0.35">
      <c r="A3999" s="5">
        <v>3995</v>
      </c>
      <c r="B3999" s="5">
        <v>167</v>
      </c>
      <c r="C3999" s="5">
        <v>6</v>
      </c>
      <c r="D3999" s="25">
        <v>1.1416E-4</v>
      </c>
      <c r="E3999" s="25">
        <v>1.1894E-4</v>
      </c>
      <c r="F3999" s="25">
        <v>9.433E-5</v>
      </c>
      <c r="G3999" s="25">
        <v>1.5629000000000001E-4</v>
      </c>
      <c r="H3999" s="25">
        <v>1.1789E-4</v>
      </c>
      <c r="I3999" s="9">
        <v>1.181E-4</v>
      </c>
      <c r="J3999" s="9">
        <v>1.3082999999999999E-4</v>
      </c>
      <c r="K3999" s="9">
        <v>0</v>
      </c>
      <c r="L3999" s="9">
        <v>1.1272E-4</v>
      </c>
      <c r="M3999" s="9">
        <v>1.3044E-4</v>
      </c>
      <c r="N3999" s="9">
        <v>1.4265E-4</v>
      </c>
      <c r="O3999" s="9">
        <v>1.2651000000000001E-4</v>
      </c>
      <c r="P3999" s="9">
        <v>1.5766E-4</v>
      </c>
      <c r="Q3999" s="9">
        <v>1.7914999999999999E-4</v>
      </c>
      <c r="R3999" s="10">
        <v>3.7650338024357244E-5</v>
      </c>
      <c r="S3999" s="10">
        <v>2.32690482248879E-5</v>
      </c>
      <c r="T3999" s="10">
        <v>3.9276366981614755E-4</v>
      </c>
      <c r="U3999" s="10">
        <v>9.1119999999999995E-5</v>
      </c>
      <c r="V3999" s="25"/>
      <c r="W3999" s="25"/>
      <c r="X3999" s="25"/>
      <c r="Y3999" s="25"/>
      <c r="Z3999" s="25"/>
      <c r="AA3999" s="25"/>
    </row>
    <row r="4000" spans="1:27" x14ac:dyDescent="0.35">
      <c r="A4000" s="5">
        <v>3996</v>
      </c>
      <c r="B4000" s="5">
        <v>167</v>
      </c>
      <c r="C4000" s="5">
        <v>6</v>
      </c>
      <c r="D4000" s="25">
        <v>1.1415000000000001E-4</v>
      </c>
      <c r="E4000" s="25">
        <v>1.2163E-4</v>
      </c>
      <c r="F4000" s="25">
        <v>9.8070000000000001E-5</v>
      </c>
      <c r="G4000" s="25">
        <v>1.6582000000000001E-4</v>
      </c>
      <c r="H4000" s="25">
        <v>1.2056E-4</v>
      </c>
      <c r="I4000" s="9">
        <v>1.1662E-4</v>
      </c>
      <c r="J4000" s="9">
        <v>1.2980000000000001E-4</v>
      </c>
      <c r="K4000" s="9">
        <v>0</v>
      </c>
      <c r="L4000" s="9">
        <v>1.2289000000000001E-4</v>
      </c>
      <c r="M4000" s="9">
        <v>1.4593000000000001E-4</v>
      </c>
      <c r="N4000" s="9">
        <v>1.5677000000000001E-4</v>
      </c>
      <c r="O4000" s="9">
        <v>1.2828000000000001E-4</v>
      </c>
      <c r="P4000" s="9">
        <v>1.5637E-4</v>
      </c>
      <c r="Q4000" s="9">
        <v>1.7462000000000001E-4</v>
      </c>
      <c r="R4000" s="10">
        <v>3.0742968654900856E-5</v>
      </c>
      <c r="S4000" s="10">
        <v>1.8814698211891779E-5</v>
      </c>
      <c r="T4000" s="10">
        <v>4.039459763596354E-4</v>
      </c>
      <c r="U4000" s="10">
        <v>9.1119999999999995E-5</v>
      </c>
      <c r="V4000" s="25"/>
      <c r="W4000" s="25"/>
      <c r="X4000" s="25"/>
      <c r="Y4000" s="25"/>
      <c r="Z4000" s="25"/>
      <c r="AA4000" s="25"/>
    </row>
    <row r="4001" spans="1:27" x14ac:dyDescent="0.35">
      <c r="A4001" s="5">
        <v>3997</v>
      </c>
      <c r="B4001" s="5">
        <v>167</v>
      </c>
      <c r="C4001" s="5">
        <v>6</v>
      </c>
      <c r="D4001" s="25">
        <v>1.1416E-4</v>
      </c>
      <c r="E4001" s="25">
        <v>1.2087999999999999E-4</v>
      </c>
      <c r="F4001" s="25">
        <v>1.0993999999999999E-4</v>
      </c>
      <c r="G4001" s="25">
        <v>1.5697000000000001E-4</v>
      </c>
      <c r="H4001" s="25">
        <v>1.1344E-4</v>
      </c>
      <c r="I4001" s="9">
        <v>1.1686E-4</v>
      </c>
      <c r="J4001" s="9">
        <v>1.2955E-4</v>
      </c>
      <c r="K4001" s="9">
        <v>0</v>
      </c>
      <c r="L4001" s="9">
        <v>1.2697000000000001E-4</v>
      </c>
      <c r="M4001" s="9">
        <v>1.5296999999999999E-4</v>
      </c>
      <c r="N4001" s="9">
        <v>1.6641E-4</v>
      </c>
      <c r="O4001" s="9">
        <v>1.2179E-4</v>
      </c>
      <c r="P4001" s="9">
        <v>1.496E-4</v>
      </c>
      <c r="Q4001" s="9">
        <v>1.6866E-4</v>
      </c>
      <c r="R4001" s="10">
        <v>2.9825103766627994E-5</v>
      </c>
      <c r="S4001" s="10">
        <v>1.4073721650976E-5</v>
      </c>
      <c r="T4001" s="10">
        <v>4.0717001011268954E-4</v>
      </c>
      <c r="U4001" s="10">
        <v>9.1119999999999995E-5</v>
      </c>
      <c r="V4001" s="25"/>
      <c r="W4001" s="25"/>
      <c r="X4001" s="25"/>
      <c r="Y4001" s="25"/>
      <c r="Z4001" s="25"/>
      <c r="AA4001" s="25"/>
    </row>
    <row r="4002" spans="1:27" x14ac:dyDescent="0.35">
      <c r="A4002" s="5">
        <v>3998</v>
      </c>
      <c r="B4002" s="5">
        <v>167</v>
      </c>
      <c r="C4002" s="5">
        <v>6</v>
      </c>
      <c r="D4002" s="25">
        <v>1.1415000000000001E-4</v>
      </c>
      <c r="E4002" s="25">
        <v>1.2137E-4</v>
      </c>
      <c r="F4002" s="25">
        <v>1.0349E-4</v>
      </c>
      <c r="G4002" s="25">
        <v>1.6605E-4</v>
      </c>
      <c r="H4002" s="25">
        <v>1.1833E-4</v>
      </c>
      <c r="I4002" s="9">
        <v>1.1752999999999999E-4</v>
      </c>
      <c r="J4002" s="9">
        <v>1.2938000000000001E-4</v>
      </c>
      <c r="K4002" s="9">
        <v>0</v>
      </c>
      <c r="L4002" s="9">
        <v>1.2297E-4</v>
      </c>
      <c r="M4002" s="9">
        <v>1.5310000000000001E-4</v>
      </c>
      <c r="N4002" s="9">
        <v>1.7101E-4</v>
      </c>
      <c r="O4002" s="9">
        <v>1.0526000000000001E-4</v>
      </c>
      <c r="P4002" s="9">
        <v>1.3564E-4</v>
      </c>
      <c r="Q4002" s="9">
        <v>1.5972999999999999E-4</v>
      </c>
      <c r="R4002" s="10">
        <v>2.9136290011059144E-5</v>
      </c>
      <c r="S4002" s="10">
        <v>9.0616059479149373E-6</v>
      </c>
      <c r="T4002" s="10">
        <v>4.1691847006600327E-4</v>
      </c>
      <c r="U4002" s="10">
        <v>9.1119999999999995E-5</v>
      </c>
      <c r="V4002" s="25"/>
      <c r="W4002" s="25"/>
      <c r="X4002" s="25"/>
      <c r="Y4002" s="25"/>
      <c r="Z4002" s="25"/>
      <c r="AA4002" s="25"/>
    </row>
    <row r="4003" spans="1:27" x14ac:dyDescent="0.35">
      <c r="A4003" s="5">
        <v>3999</v>
      </c>
      <c r="B4003" s="5">
        <v>167</v>
      </c>
      <c r="C4003" s="5">
        <v>6</v>
      </c>
      <c r="D4003" s="25">
        <v>1.1416E-4</v>
      </c>
      <c r="E4003" s="25">
        <v>1.2133000000000001E-4</v>
      </c>
      <c r="F4003" s="25">
        <v>1.0168E-4</v>
      </c>
      <c r="G4003" s="25">
        <v>1.6615E-4</v>
      </c>
      <c r="H4003" s="25">
        <v>1.1956E-4</v>
      </c>
      <c r="I4003" s="9">
        <v>1.1525E-4</v>
      </c>
      <c r="J4003" s="9">
        <v>1.292E-4</v>
      </c>
      <c r="K4003" s="9">
        <v>0</v>
      </c>
      <c r="L4003" s="9">
        <v>1.0931E-4</v>
      </c>
      <c r="M4003" s="9">
        <v>1.4660000000000001E-4</v>
      </c>
      <c r="N4003" s="9">
        <v>1.7024999999999999E-4</v>
      </c>
      <c r="O4003" s="9">
        <v>1.177E-4</v>
      </c>
      <c r="P4003" s="9">
        <v>1.3872E-4</v>
      </c>
      <c r="Q4003" s="9">
        <v>1.5159E-4</v>
      </c>
      <c r="R4003" s="10">
        <v>2.7393002725639213E-5</v>
      </c>
      <c r="S4003" s="10">
        <v>6.9778956836949239E-6</v>
      </c>
      <c r="T4003" s="10">
        <v>1.5141929050199349E-4</v>
      </c>
      <c r="U4003" s="10">
        <v>9.1119999999999995E-5</v>
      </c>
      <c r="V4003" s="25"/>
      <c r="W4003" s="25"/>
      <c r="X4003" s="25"/>
      <c r="Y4003" s="25"/>
      <c r="Z4003" s="25"/>
      <c r="AA4003" s="25"/>
    </row>
    <row r="4004" spans="1:27" x14ac:dyDescent="0.35">
      <c r="A4004" s="5">
        <v>4000</v>
      </c>
      <c r="B4004" s="5">
        <v>167</v>
      </c>
      <c r="C4004" s="5">
        <v>6</v>
      </c>
      <c r="D4004" s="25">
        <v>1.1415000000000001E-4</v>
      </c>
      <c r="E4004" s="25">
        <v>1.1682E-4</v>
      </c>
      <c r="F4004" s="25">
        <v>9.4320000000000005E-5</v>
      </c>
      <c r="G4004" s="25">
        <v>1.6075E-4</v>
      </c>
      <c r="H4004" s="25">
        <v>1.1603E-4</v>
      </c>
      <c r="I4004" s="9">
        <v>1.1351E-4</v>
      </c>
      <c r="J4004" s="9">
        <v>1.2897000000000001E-4</v>
      </c>
      <c r="K4004" s="9">
        <v>0</v>
      </c>
      <c r="L4004" s="9">
        <v>1.1625000000000001E-4</v>
      </c>
      <c r="M4004" s="9">
        <v>1.4192999999999999E-4</v>
      </c>
      <c r="N4004" s="9">
        <v>1.6605999999999999E-4</v>
      </c>
      <c r="O4004" s="9">
        <v>1.2421000000000001E-4</v>
      </c>
      <c r="P4004" s="9">
        <v>1.2131E-4</v>
      </c>
      <c r="Q4004" s="9">
        <v>1.0966E-4</v>
      </c>
      <c r="R4004" s="10">
        <v>2.9535200550395719E-5</v>
      </c>
      <c r="S4004" s="10">
        <v>5.3742158214900728E-6</v>
      </c>
      <c r="T4004" s="10">
        <v>1.4931518426315816E-4</v>
      </c>
      <c r="U4004" s="10">
        <v>9.1119999999999995E-5</v>
      </c>
      <c r="V4004" s="25"/>
      <c r="W4004" s="25"/>
      <c r="X4004" s="25"/>
      <c r="Y4004" s="25"/>
      <c r="Z4004" s="25"/>
      <c r="AA4004" s="25"/>
    </row>
    <row r="4005" spans="1:27" x14ac:dyDescent="0.35">
      <c r="A4005" s="5">
        <v>4001</v>
      </c>
      <c r="B4005" s="5">
        <v>167</v>
      </c>
      <c r="C4005" s="5">
        <v>6</v>
      </c>
      <c r="D4005" s="25">
        <v>1.1416E-4</v>
      </c>
      <c r="E4005" s="25">
        <v>1.1345000000000001E-4</v>
      </c>
      <c r="F4005" s="25">
        <v>1.0386E-4</v>
      </c>
      <c r="G4005" s="25">
        <v>1.6496999999999999E-4</v>
      </c>
      <c r="H4005" s="25">
        <v>1.1695E-4</v>
      </c>
      <c r="I4005" s="9">
        <v>1.1607000000000001E-4</v>
      </c>
      <c r="J4005" s="9">
        <v>1.2897000000000001E-4</v>
      </c>
      <c r="K4005" s="9">
        <v>0</v>
      </c>
      <c r="L4005" s="9">
        <v>1.2224E-4</v>
      </c>
      <c r="M4005" s="9">
        <v>1.3346000000000001E-4</v>
      </c>
      <c r="N4005" s="9">
        <v>1.5227E-4</v>
      </c>
      <c r="O4005" s="9">
        <v>1.2977E-4</v>
      </c>
      <c r="P4005" s="9">
        <v>1.2333E-4</v>
      </c>
      <c r="Q4005" s="9">
        <v>1.0734E-4</v>
      </c>
      <c r="R4005" s="10">
        <v>3.1338289670975497E-5</v>
      </c>
      <c r="S4005" s="10">
        <v>4.8871086547299226E-6</v>
      </c>
      <c r="T4005" s="10">
        <v>2.9591539273427067E-4</v>
      </c>
      <c r="U4005" s="10">
        <v>9.1119999999999995E-5</v>
      </c>
      <c r="V4005" s="25"/>
      <c r="W4005" s="25"/>
      <c r="X4005" s="25"/>
      <c r="Y4005" s="25"/>
      <c r="Z4005" s="25"/>
      <c r="AA4005" s="25"/>
    </row>
    <row r="4006" spans="1:27" x14ac:dyDescent="0.35">
      <c r="A4006" s="5">
        <v>4002</v>
      </c>
      <c r="B4006" s="5">
        <v>167</v>
      </c>
      <c r="C4006" s="5">
        <v>6</v>
      </c>
      <c r="D4006" s="25">
        <v>1.1415000000000001E-4</v>
      </c>
      <c r="E4006" s="25">
        <v>1.1313E-4</v>
      </c>
      <c r="F4006" s="25">
        <v>1.1260999999999999E-4</v>
      </c>
      <c r="G4006" s="25">
        <v>1.5897E-4</v>
      </c>
      <c r="H4006" s="25">
        <v>1.1523000000000001E-4</v>
      </c>
      <c r="I4006" s="9">
        <v>1.1809E-4</v>
      </c>
      <c r="J4006" s="9">
        <v>1.2410000000000001E-4</v>
      </c>
      <c r="K4006" s="9">
        <v>0</v>
      </c>
      <c r="L4006" s="9">
        <v>1.2784999999999999E-4</v>
      </c>
      <c r="M4006" s="9">
        <v>1.2768999999999999E-4</v>
      </c>
      <c r="N4006" s="9">
        <v>1.3893E-4</v>
      </c>
      <c r="O4006" s="9">
        <v>1.3054000000000001E-4</v>
      </c>
      <c r="P4006" s="9">
        <v>1.2920999999999999E-4</v>
      </c>
      <c r="Q4006" s="9">
        <v>1.1812E-4</v>
      </c>
      <c r="R4006" s="10">
        <v>3.4913172303404152E-5</v>
      </c>
      <c r="S4006" s="10">
        <v>5.8625911625892253E-6</v>
      </c>
      <c r="T4006" s="10">
        <v>1.4432641624527437E-4</v>
      </c>
      <c r="U4006" s="10">
        <v>9.1119999999999995E-5</v>
      </c>
      <c r="V4006" s="25"/>
      <c r="W4006" s="25"/>
      <c r="X4006" s="25"/>
      <c r="Y4006" s="25"/>
      <c r="Z4006" s="25"/>
      <c r="AA4006" s="25"/>
    </row>
    <row r="4007" spans="1:27" x14ac:dyDescent="0.35">
      <c r="A4007" s="5">
        <v>4003</v>
      </c>
      <c r="B4007" s="5">
        <v>167</v>
      </c>
      <c r="C4007" s="5">
        <v>6</v>
      </c>
      <c r="D4007" s="25">
        <v>1.1416E-4</v>
      </c>
      <c r="E4007" s="25">
        <v>1.1472999999999999E-4</v>
      </c>
      <c r="F4007" s="25">
        <v>1.0584E-4</v>
      </c>
      <c r="G4007" s="25">
        <v>1.0834E-4</v>
      </c>
      <c r="H4007" s="25">
        <v>8.0000000000000007E-5</v>
      </c>
      <c r="I4007" s="9">
        <v>1.1587E-4</v>
      </c>
      <c r="J4007" s="9">
        <v>1.2061999999999999E-4</v>
      </c>
      <c r="K4007" s="9">
        <v>0</v>
      </c>
      <c r="L4007" s="9">
        <v>1.2985000000000001E-4</v>
      </c>
      <c r="M4007" s="9">
        <v>1.2693000000000001E-4</v>
      </c>
      <c r="N4007" s="9">
        <v>1.2993999999999999E-4</v>
      </c>
      <c r="O4007" s="9">
        <v>1.3128E-4</v>
      </c>
      <c r="P4007" s="9">
        <v>1.2432E-4</v>
      </c>
      <c r="Q4007" s="9">
        <v>1.0760999999999999E-4</v>
      </c>
      <c r="R4007" s="10">
        <v>3.5007051351748827E-5</v>
      </c>
      <c r="S4007" s="10">
        <v>6.6179604147372293E-6</v>
      </c>
      <c r="T4007" s="10">
        <v>2.5724395629632109E-5</v>
      </c>
      <c r="U4007" s="10">
        <v>9.1119999999999995E-5</v>
      </c>
      <c r="V4007" s="25"/>
      <c r="W4007" s="25"/>
      <c r="X4007" s="25"/>
      <c r="Y4007" s="25"/>
      <c r="Z4007" s="25"/>
      <c r="AA4007" s="25"/>
    </row>
    <row r="4008" spans="1:27" x14ac:dyDescent="0.35">
      <c r="A4008" s="5">
        <v>4004</v>
      </c>
      <c r="B4008" s="5">
        <v>167</v>
      </c>
      <c r="C4008" s="5">
        <v>6</v>
      </c>
      <c r="D4008" s="25">
        <v>1.1415000000000001E-4</v>
      </c>
      <c r="E4008" s="25">
        <v>1.2252000000000001E-4</v>
      </c>
      <c r="F4008" s="25">
        <v>1.1010000000000001E-4</v>
      </c>
      <c r="G4008" s="25">
        <v>1.1226E-4</v>
      </c>
      <c r="H4008" s="25">
        <v>7.6470000000000005E-5</v>
      </c>
      <c r="I4008" s="9">
        <v>1.1504E-4</v>
      </c>
      <c r="J4008" s="9">
        <v>1.172E-4</v>
      </c>
      <c r="K4008" s="9">
        <v>0</v>
      </c>
      <c r="L4008" s="9">
        <v>1.3095000000000001E-4</v>
      </c>
      <c r="M4008" s="9">
        <v>1.2605E-4</v>
      </c>
      <c r="N4008" s="9">
        <v>1.21E-4</v>
      </c>
      <c r="O4008" s="9">
        <v>1.3229E-4</v>
      </c>
      <c r="P4008" s="9">
        <v>1.219E-4</v>
      </c>
      <c r="Q4008" s="9">
        <v>1.0156E-4</v>
      </c>
      <c r="R4008" s="10">
        <v>2.5046458360682909E-5</v>
      </c>
      <c r="S4008" s="10">
        <v>7.8654215720584156E-6</v>
      </c>
      <c r="T4008" s="10">
        <v>1.3439130170625746E-5</v>
      </c>
      <c r="U4008" s="10">
        <v>9.1119999999999995E-5</v>
      </c>
      <c r="V4008" s="25"/>
      <c r="W4008" s="25"/>
      <c r="X4008" s="25"/>
      <c r="Y4008" s="25"/>
      <c r="Z4008" s="25"/>
      <c r="AA4008" s="25"/>
    </row>
    <row r="4009" spans="1:27" x14ac:dyDescent="0.35">
      <c r="A4009" s="5">
        <v>4005</v>
      </c>
      <c r="B4009" s="5">
        <v>167</v>
      </c>
      <c r="C4009" s="5">
        <v>6</v>
      </c>
      <c r="D4009" s="25">
        <v>1.1416E-4</v>
      </c>
      <c r="E4009" s="25">
        <v>1.2333999999999999E-4</v>
      </c>
      <c r="F4009" s="25">
        <v>9.5749999999999996E-5</v>
      </c>
      <c r="G4009" s="25">
        <v>5.9729999999999999E-5</v>
      </c>
      <c r="H4009" s="25">
        <v>3.8699999999999999E-5</v>
      </c>
      <c r="I4009" s="9">
        <v>1.1372E-4</v>
      </c>
      <c r="J4009" s="9">
        <v>1.1372E-4</v>
      </c>
      <c r="K4009" s="9">
        <v>0</v>
      </c>
      <c r="L4009" s="9">
        <v>1.3200000000000001E-4</v>
      </c>
      <c r="M4009" s="9">
        <v>1.2434999999999999E-4</v>
      </c>
      <c r="N4009" s="9">
        <v>1.1328999999999999E-4</v>
      </c>
      <c r="O4009" s="9">
        <v>8.2440000000000004E-5</v>
      </c>
      <c r="P4009" s="9">
        <v>8.6570000000000006E-5</v>
      </c>
      <c r="Q4009" s="9">
        <v>8.8579999999999996E-5</v>
      </c>
      <c r="R4009" s="10">
        <v>1.7745190081288698E-5</v>
      </c>
      <c r="S4009" s="10">
        <v>1.1651905395497704E-5</v>
      </c>
      <c r="T4009" s="10">
        <v>0</v>
      </c>
      <c r="U4009" s="10">
        <v>9.1119999999999995E-5</v>
      </c>
      <c r="V4009" s="25"/>
      <c r="W4009" s="25"/>
      <c r="X4009" s="25"/>
      <c r="Y4009" s="25"/>
      <c r="Z4009" s="25"/>
      <c r="AA4009" s="25"/>
    </row>
    <row r="4010" spans="1:27" x14ac:dyDescent="0.35">
      <c r="A4010" s="5">
        <v>4006</v>
      </c>
      <c r="B4010" s="5">
        <v>167</v>
      </c>
      <c r="C4010" s="5">
        <v>6</v>
      </c>
      <c r="D4010" s="25">
        <v>1.1415000000000001E-4</v>
      </c>
      <c r="E4010" s="25">
        <v>1.2035E-4</v>
      </c>
      <c r="F4010" s="25">
        <v>1.0356E-4</v>
      </c>
      <c r="G4010" s="25">
        <v>5.4169999999999998E-5</v>
      </c>
      <c r="H4010" s="25">
        <v>3.7939999999999999E-5</v>
      </c>
      <c r="I4010" s="9">
        <v>1.1463000000000001E-4</v>
      </c>
      <c r="J4010" s="9">
        <v>1.1226999999999999E-4</v>
      </c>
      <c r="K4010" s="9">
        <v>0</v>
      </c>
      <c r="L4010" s="9">
        <v>9.3319999999999994E-5</v>
      </c>
      <c r="M4010" s="9">
        <v>1.1026E-4</v>
      </c>
      <c r="N4010" s="9">
        <v>1.0577E-4</v>
      </c>
      <c r="O4010" s="9">
        <v>8.4549999999999995E-5</v>
      </c>
      <c r="P4010" s="9">
        <v>8.7680000000000001E-5</v>
      </c>
      <c r="Q4010" s="9">
        <v>8.8330000000000003E-5</v>
      </c>
      <c r="R4010" s="10">
        <v>1.4385800602243973E-5</v>
      </c>
      <c r="S4010" s="10">
        <v>1.854811228780236E-5</v>
      </c>
      <c r="T4010" s="10">
        <v>0</v>
      </c>
      <c r="U4010" s="10">
        <v>9.1119999999999995E-5</v>
      </c>
      <c r="V4010" s="25"/>
      <c r="W4010" s="25"/>
      <c r="X4010" s="25"/>
      <c r="Y4010" s="25"/>
      <c r="Z4010" s="25"/>
      <c r="AA4010" s="25"/>
    </row>
    <row r="4011" spans="1:27" x14ac:dyDescent="0.35">
      <c r="A4011" s="5">
        <v>4007</v>
      </c>
      <c r="B4011" s="5">
        <v>167</v>
      </c>
      <c r="C4011" s="5">
        <v>6</v>
      </c>
      <c r="D4011" s="25">
        <v>1.1416E-4</v>
      </c>
      <c r="E4011" s="25">
        <v>1.2383000000000001E-4</v>
      </c>
      <c r="F4011" s="25">
        <v>1.0061E-4</v>
      </c>
      <c r="G4011" s="25">
        <v>5.4419999999999997E-5</v>
      </c>
      <c r="H4011" s="25">
        <v>4.3269999999999997E-5</v>
      </c>
      <c r="I4011" s="9">
        <v>1.1111E-4</v>
      </c>
      <c r="J4011" s="9">
        <v>1.0818E-4</v>
      </c>
      <c r="K4011" s="9">
        <v>0</v>
      </c>
      <c r="L4011" s="9">
        <v>8.755E-5</v>
      </c>
      <c r="M4011" s="9">
        <v>9.8350000000000005E-5</v>
      </c>
      <c r="N4011" s="9">
        <v>9.9970000000000007E-5</v>
      </c>
      <c r="O4011" s="9">
        <v>8.2059999999999997E-5</v>
      </c>
      <c r="P4011" s="9">
        <v>7.5400000000000003E-5</v>
      </c>
      <c r="Q4011" s="9">
        <v>6.6790000000000003E-5</v>
      </c>
      <c r="R4011" s="10">
        <v>1.0205925351220153E-5</v>
      </c>
      <c r="S4011" s="10">
        <v>3.2024189854611081E-5</v>
      </c>
      <c r="T4011" s="10">
        <v>0</v>
      </c>
      <c r="U4011" s="10">
        <v>9.1119999999999995E-5</v>
      </c>
      <c r="V4011" s="25"/>
      <c r="W4011" s="25"/>
      <c r="X4011" s="25"/>
      <c r="Y4011" s="25"/>
      <c r="Z4011" s="25"/>
      <c r="AA4011" s="25"/>
    </row>
    <row r="4012" spans="1:27" x14ac:dyDescent="0.35">
      <c r="A4012" s="5">
        <v>4008</v>
      </c>
      <c r="B4012" s="5">
        <v>167</v>
      </c>
      <c r="C4012" s="5">
        <v>6</v>
      </c>
      <c r="D4012" s="25">
        <v>1.1415000000000001E-4</v>
      </c>
      <c r="E4012" s="25">
        <v>1.1718E-4</v>
      </c>
      <c r="F4012" s="25">
        <v>1.1153E-4</v>
      </c>
      <c r="G4012" s="25">
        <v>6.3369999999999998E-5</v>
      </c>
      <c r="H4012" s="25">
        <v>4.3449999999999999E-5</v>
      </c>
      <c r="I4012" s="9">
        <v>1.0323999999999999E-4</v>
      </c>
      <c r="J4012" s="9">
        <v>1.0022E-4</v>
      </c>
      <c r="K4012" s="9">
        <v>0</v>
      </c>
      <c r="L4012" s="9">
        <v>8.3449999999999996E-5</v>
      </c>
      <c r="M4012" s="9">
        <v>8.7299999999999994E-5</v>
      </c>
      <c r="N4012" s="9">
        <v>9.064E-5</v>
      </c>
      <c r="O4012" s="9">
        <v>7.7130000000000002E-5</v>
      </c>
      <c r="P4012" s="9">
        <v>6.8440000000000002E-5</v>
      </c>
      <c r="Q4012" s="9">
        <v>5.8579999999999998E-5</v>
      </c>
      <c r="R4012" s="10">
        <v>8.5493067590038905E-6</v>
      </c>
      <c r="S4012" s="10">
        <v>5.3226336221952177E-5</v>
      </c>
      <c r="T4012" s="10">
        <v>0</v>
      </c>
      <c r="U4012" s="10">
        <v>9.1119999999999995E-5</v>
      </c>
      <c r="V4012" s="25"/>
      <c r="W4012" s="25"/>
      <c r="X4012" s="25"/>
      <c r="Y4012" s="25"/>
      <c r="Z4012" s="25"/>
      <c r="AA4012" s="25"/>
    </row>
    <row r="4013" spans="1:27" x14ac:dyDescent="0.35">
      <c r="A4013" s="5">
        <v>4009</v>
      </c>
      <c r="B4013" s="5">
        <v>168</v>
      </c>
      <c r="C4013" s="5">
        <v>6</v>
      </c>
      <c r="D4013" s="25">
        <v>1.1416E-4</v>
      </c>
      <c r="E4013" s="25">
        <v>1.1902E-4</v>
      </c>
      <c r="F4013" s="25">
        <v>1.3147000000000001E-4</v>
      </c>
      <c r="G4013" s="25">
        <v>5.9589999999999997E-5</v>
      </c>
      <c r="H4013" s="25">
        <v>1.5999999999999999E-5</v>
      </c>
      <c r="I4013" s="9">
        <v>9.7700000000000003E-5</v>
      </c>
      <c r="J4013" s="9">
        <v>9.4409999999999999E-5</v>
      </c>
      <c r="K4013" s="9">
        <v>0</v>
      </c>
      <c r="L4013" s="9">
        <v>7.8339999999999999E-5</v>
      </c>
      <c r="M4013" s="9">
        <v>7.8009999999999993E-5</v>
      </c>
      <c r="N4013" s="9">
        <v>8.1130000000000004E-5</v>
      </c>
      <c r="O4013" s="9">
        <v>6.8559999999999994E-5</v>
      </c>
      <c r="P4013" s="9">
        <v>6.1050000000000007E-5</v>
      </c>
      <c r="Q4013" s="9">
        <v>5.384E-5</v>
      </c>
      <c r="R4013" s="10">
        <v>7.0887458296262603E-6</v>
      </c>
      <c r="S4013" s="10">
        <v>7.5471007842166677E-5</v>
      </c>
      <c r="T4013" s="10">
        <v>0</v>
      </c>
      <c r="U4013" s="10">
        <v>9.268E-5</v>
      </c>
      <c r="V4013" s="25"/>
      <c r="W4013" s="25"/>
      <c r="X4013" s="25"/>
      <c r="Y4013" s="25"/>
      <c r="Z4013" s="25"/>
      <c r="AA4013" s="25"/>
    </row>
    <row r="4014" spans="1:27" x14ac:dyDescent="0.35">
      <c r="A4014" s="5">
        <v>4010</v>
      </c>
      <c r="B4014" s="5">
        <v>168</v>
      </c>
      <c r="C4014" s="5">
        <v>6</v>
      </c>
      <c r="D4014" s="25">
        <v>1.1415000000000001E-4</v>
      </c>
      <c r="E4014" s="25">
        <v>1.2431000000000001E-4</v>
      </c>
      <c r="F4014" s="25">
        <v>1.3043000000000001E-4</v>
      </c>
      <c r="G4014" s="25">
        <v>5.4450000000000002E-5</v>
      </c>
      <c r="H4014" s="25">
        <v>1.56E-5</v>
      </c>
      <c r="I4014" s="9">
        <v>9.4339999999999995E-5</v>
      </c>
      <c r="J4014" s="9">
        <v>9.1700000000000006E-5</v>
      </c>
      <c r="K4014" s="9">
        <v>0</v>
      </c>
      <c r="L4014" s="9">
        <v>7.0840000000000006E-5</v>
      </c>
      <c r="M4014" s="9">
        <v>6.9720000000000003E-5</v>
      </c>
      <c r="N4014" s="9">
        <v>7.2100000000000004E-5</v>
      </c>
      <c r="O4014" s="9">
        <v>3.9820000000000002E-5</v>
      </c>
      <c r="P4014" s="9">
        <v>4.5540000000000001E-5</v>
      </c>
      <c r="Q4014" s="9">
        <v>5.5810000000000003E-5</v>
      </c>
      <c r="R4014" s="10">
        <v>8.1840106298245961E-6</v>
      </c>
      <c r="S4014" s="10">
        <v>1.1001971613674446E-4</v>
      </c>
      <c r="T4014" s="10">
        <v>0</v>
      </c>
      <c r="U4014" s="10">
        <v>9.268E-5</v>
      </c>
      <c r="V4014" s="25"/>
      <c r="W4014" s="25"/>
      <c r="X4014" s="25"/>
      <c r="Y4014" s="25"/>
      <c r="Z4014" s="25"/>
      <c r="AA4014" s="25"/>
    </row>
    <row r="4015" spans="1:27" x14ac:dyDescent="0.35">
      <c r="A4015" s="5">
        <v>4011</v>
      </c>
      <c r="B4015" s="5">
        <v>168</v>
      </c>
      <c r="C4015" s="5">
        <v>6</v>
      </c>
      <c r="D4015" s="25">
        <v>1.1416E-4</v>
      </c>
      <c r="E4015" s="25">
        <v>1.1364E-4</v>
      </c>
      <c r="F4015" s="25">
        <v>1.1881E-4</v>
      </c>
      <c r="G4015" s="25">
        <v>5.7840000000000002E-5</v>
      </c>
      <c r="H4015" s="25">
        <v>1.394E-5</v>
      </c>
      <c r="I4015" s="9">
        <v>9.3339999999999997E-5</v>
      </c>
      <c r="J4015" s="9">
        <v>9.0619999999999996E-5</v>
      </c>
      <c r="K4015" s="9">
        <v>0</v>
      </c>
      <c r="L4015" s="9">
        <v>4.685E-5</v>
      </c>
      <c r="M4015" s="9">
        <v>5.9070000000000002E-5</v>
      </c>
      <c r="N4015" s="9">
        <v>6.5439999999999997E-5</v>
      </c>
      <c r="O4015" s="9">
        <v>2.9050000000000001E-5</v>
      </c>
      <c r="P4015" s="9">
        <v>4.2330000000000003E-5</v>
      </c>
      <c r="Q4015" s="9">
        <v>6.1920000000000003E-5</v>
      </c>
      <c r="R4015" s="10">
        <v>1.438458301128259E-5</v>
      </c>
      <c r="S4015" s="10">
        <v>1.3791811118498402E-4</v>
      </c>
      <c r="T4015" s="10">
        <v>0</v>
      </c>
      <c r="U4015" s="10">
        <v>9.268E-5</v>
      </c>
      <c r="V4015" s="25"/>
      <c r="W4015" s="25"/>
      <c r="X4015" s="25"/>
      <c r="Y4015" s="25"/>
      <c r="Z4015" s="25"/>
      <c r="AA4015" s="25"/>
    </row>
    <row r="4016" spans="1:27" x14ac:dyDescent="0.35">
      <c r="A4016" s="5">
        <v>4012</v>
      </c>
      <c r="B4016" s="5">
        <v>168</v>
      </c>
      <c r="C4016" s="5">
        <v>6</v>
      </c>
      <c r="D4016" s="25">
        <v>1.1415000000000001E-4</v>
      </c>
      <c r="E4016" s="25">
        <v>1.2152E-4</v>
      </c>
      <c r="F4016" s="25">
        <v>1.1577E-4</v>
      </c>
      <c r="G4016" s="25">
        <v>5.2719999999999997E-5</v>
      </c>
      <c r="H4016" s="25">
        <v>1.325E-5</v>
      </c>
      <c r="I4016" s="9">
        <v>9.5080000000000004E-5</v>
      </c>
      <c r="J4016" s="9">
        <v>9.0580000000000004E-5</v>
      </c>
      <c r="K4016" s="9">
        <v>0</v>
      </c>
      <c r="L4016" s="9">
        <v>3.3599999999999997E-5</v>
      </c>
      <c r="M4016" s="9">
        <v>5.0479999999999998E-5</v>
      </c>
      <c r="N4016" s="9">
        <v>6.1929999999999998E-5</v>
      </c>
      <c r="O4016" s="9">
        <v>2.8189999999999999E-5</v>
      </c>
      <c r="P4016" s="9">
        <v>5.0850000000000003E-5</v>
      </c>
      <c r="Q4016" s="9">
        <v>7.9660000000000006E-5</v>
      </c>
      <c r="R4016" s="10">
        <v>2.8497314397854225E-5</v>
      </c>
      <c r="S4016" s="10">
        <v>1.5949837940299055E-4</v>
      </c>
      <c r="T4016" s="10">
        <v>0</v>
      </c>
      <c r="U4016" s="10">
        <v>9.268E-5</v>
      </c>
      <c r="V4016" s="25"/>
      <c r="W4016" s="25"/>
      <c r="X4016" s="25"/>
      <c r="Y4016" s="25"/>
      <c r="Z4016" s="25"/>
      <c r="AA4016" s="25"/>
    </row>
    <row r="4017" spans="1:27" x14ac:dyDescent="0.35">
      <c r="A4017" s="5">
        <v>4013</v>
      </c>
      <c r="B4017" s="5">
        <v>168</v>
      </c>
      <c r="C4017" s="5">
        <v>6</v>
      </c>
      <c r="D4017" s="25">
        <v>1.1416E-4</v>
      </c>
      <c r="E4017" s="25">
        <v>1.2495E-4</v>
      </c>
      <c r="F4017" s="25">
        <v>1.169E-4</v>
      </c>
      <c r="G4017" s="25">
        <v>5.3940000000000002E-5</v>
      </c>
      <c r="H4017" s="25">
        <v>1.508E-5</v>
      </c>
      <c r="I4017" s="9">
        <v>9.6860000000000004E-5</v>
      </c>
      <c r="J4017" s="9">
        <v>9.0890000000000006E-5</v>
      </c>
      <c r="K4017" s="9">
        <v>0</v>
      </c>
      <c r="L4017" s="9">
        <v>2.9709999999999998E-5</v>
      </c>
      <c r="M4017" s="9">
        <v>4.8619999999999999E-5</v>
      </c>
      <c r="N4017" s="9">
        <v>6.4319999999999994E-5</v>
      </c>
      <c r="O4017" s="9">
        <v>3.029E-5</v>
      </c>
      <c r="P4017" s="9">
        <v>5.9410000000000002E-5</v>
      </c>
      <c r="Q4017" s="9">
        <v>9.4419999999999994E-5</v>
      </c>
      <c r="R4017" s="10">
        <v>5.6036915314166593E-5</v>
      </c>
      <c r="S4017" s="10">
        <v>1.738874896425441E-4</v>
      </c>
      <c r="T4017" s="10">
        <v>1.4576026283544845E-5</v>
      </c>
      <c r="U4017" s="10">
        <v>9.268E-5</v>
      </c>
      <c r="V4017" s="25"/>
      <c r="W4017" s="25"/>
      <c r="X4017" s="25"/>
      <c r="Y4017" s="25"/>
      <c r="Z4017" s="25"/>
      <c r="AA4017" s="25"/>
    </row>
    <row r="4018" spans="1:27" x14ac:dyDescent="0.35">
      <c r="A4018" s="5">
        <v>4014</v>
      </c>
      <c r="B4018" s="5">
        <v>168</v>
      </c>
      <c r="C4018" s="5">
        <v>6</v>
      </c>
      <c r="D4018" s="25">
        <v>1.1415000000000001E-4</v>
      </c>
      <c r="E4018" s="25">
        <v>1.2187E-4</v>
      </c>
      <c r="F4018" s="25">
        <v>1.2307999999999999E-4</v>
      </c>
      <c r="G4018" s="25">
        <v>1.0912E-4</v>
      </c>
      <c r="H4018" s="25">
        <v>2.883E-5</v>
      </c>
      <c r="I4018" s="9">
        <v>1.0469E-4</v>
      </c>
      <c r="J4018" s="9">
        <v>9.904E-5</v>
      </c>
      <c r="K4018" s="9">
        <v>0</v>
      </c>
      <c r="L4018" s="9">
        <v>3.0110000000000001E-5</v>
      </c>
      <c r="M4018" s="9">
        <v>5.2370000000000002E-5</v>
      </c>
      <c r="N4018" s="9">
        <v>7.1060000000000001E-5</v>
      </c>
      <c r="O4018" s="9">
        <v>3.536E-5</v>
      </c>
      <c r="P4018" s="9">
        <v>6.8650000000000002E-5</v>
      </c>
      <c r="Q4018" s="9">
        <v>1.0684E-4</v>
      </c>
      <c r="R4018" s="10">
        <v>8.2263024168999343E-5</v>
      </c>
      <c r="S4018" s="10">
        <v>1.8069957705662854E-4</v>
      </c>
      <c r="T4018" s="10">
        <v>4.1080977453390071E-5</v>
      </c>
      <c r="U4018" s="10">
        <v>9.268E-5</v>
      </c>
      <c r="V4018" s="25"/>
      <c r="W4018" s="25"/>
      <c r="X4018" s="25"/>
      <c r="Y4018" s="25"/>
      <c r="Z4018" s="25"/>
      <c r="AA4018" s="25"/>
    </row>
    <row r="4019" spans="1:27" x14ac:dyDescent="0.35">
      <c r="A4019" s="5">
        <v>4015</v>
      </c>
      <c r="B4019" s="5">
        <v>168</v>
      </c>
      <c r="C4019" s="5">
        <v>6</v>
      </c>
      <c r="D4019" s="25">
        <v>1.1416E-4</v>
      </c>
      <c r="E4019" s="25">
        <v>1.1833E-4</v>
      </c>
      <c r="F4019" s="25">
        <v>1.2875000000000001E-4</v>
      </c>
      <c r="G4019" s="25">
        <v>1.117E-4</v>
      </c>
      <c r="H4019" s="25">
        <v>2.8240000000000001E-5</v>
      </c>
      <c r="I4019" s="9">
        <v>1.1427E-4</v>
      </c>
      <c r="J4019" s="9">
        <v>1.1259E-4</v>
      </c>
      <c r="K4019" s="9">
        <v>0</v>
      </c>
      <c r="L4019" s="9">
        <v>3.4109999999999997E-5</v>
      </c>
      <c r="M4019" s="9">
        <v>5.9339999999999998E-5</v>
      </c>
      <c r="N4019" s="9">
        <v>8.0729999999999994E-5</v>
      </c>
      <c r="O4019" s="9">
        <v>4.9110000000000002E-5</v>
      </c>
      <c r="P4019" s="9">
        <v>7.9010000000000004E-5</v>
      </c>
      <c r="Q4019" s="9">
        <v>1.116E-4</v>
      </c>
      <c r="R4019" s="10">
        <v>1.0638232091618277E-4</v>
      </c>
      <c r="S4019" s="10">
        <v>1.8360865624899352E-4</v>
      </c>
      <c r="T4019" s="10">
        <v>1.7658372237451617E-4</v>
      </c>
      <c r="U4019" s="10">
        <v>9.268E-5</v>
      </c>
      <c r="V4019" s="25"/>
      <c r="W4019" s="25"/>
      <c r="X4019" s="25"/>
      <c r="Y4019" s="25"/>
      <c r="Z4019" s="25"/>
      <c r="AA4019" s="25"/>
    </row>
    <row r="4020" spans="1:27" x14ac:dyDescent="0.35">
      <c r="A4020" s="5">
        <v>4016</v>
      </c>
      <c r="B4020" s="5">
        <v>168</v>
      </c>
      <c r="C4020" s="5">
        <v>6</v>
      </c>
      <c r="D4020" s="25">
        <v>1.1415000000000001E-4</v>
      </c>
      <c r="E4020" s="25">
        <v>1.1941E-4</v>
      </c>
      <c r="F4020" s="25">
        <v>1.2731E-4</v>
      </c>
      <c r="G4020" s="25">
        <v>1.6328E-4</v>
      </c>
      <c r="H4020" s="25">
        <v>4.0500000000000002E-5</v>
      </c>
      <c r="I4020" s="9">
        <v>1.1472999999999999E-4</v>
      </c>
      <c r="J4020" s="9">
        <v>1.2229E-4</v>
      </c>
      <c r="K4020" s="9">
        <v>0</v>
      </c>
      <c r="L4020" s="9">
        <v>4.5680000000000003E-5</v>
      </c>
      <c r="M4020" s="9">
        <v>6.8180000000000001E-5</v>
      </c>
      <c r="N4020" s="9">
        <v>9.0649999999999994E-5</v>
      </c>
      <c r="O4020" s="9">
        <v>6.7689999999999997E-5</v>
      </c>
      <c r="P4020" s="9">
        <v>1.0178E-4</v>
      </c>
      <c r="Q4020" s="9">
        <v>1.3553E-4</v>
      </c>
      <c r="R4020" s="10">
        <v>1.1781349265511445E-4</v>
      </c>
      <c r="S4020" s="10">
        <v>1.8451169603992133E-4</v>
      </c>
      <c r="T4020" s="10">
        <v>3.484671429090535E-4</v>
      </c>
      <c r="U4020" s="10">
        <v>9.268E-5</v>
      </c>
      <c r="V4020" s="25"/>
      <c r="W4020" s="25"/>
      <c r="X4020" s="25"/>
      <c r="Y4020" s="25"/>
      <c r="Z4020" s="25"/>
      <c r="AA4020" s="25"/>
    </row>
    <row r="4021" spans="1:27" x14ac:dyDescent="0.35">
      <c r="A4021" s="5">
        <v>4017</v>
      </c>
      <c r="B4021" s="5">
        <v>168</v>
      </c>
      <c r="C4021" s="5">
        <v>6</v>
      </c>
      <c r="D4021" s="25">
        <v>1.1416E-4</v>
      </c>
      <c r="E4021" s="25">
        <v>1.2009E-4</v>
      </c>
      <c r="F4021" s="25">
        <v>1.2857E-4</v>
      </c>
      <c r="G4021" s="25">
        <v>1.5866E-4</v>
      </c>
      <c r="H4021" s="25">
        <v>4.0899999999999998E-5</v>
      </c>
      <c r="I4021" s="9">
        <v>1.1516E-4</v>
      </c>
      <c r="J4021" s="9">
        <v>1.2566000000000001E-4</v>
      </c>
      <c r="K4021" s="9">
        <v>0</v>
      </c>
      <c r="L4021" s="9">
        <v>6.2539999999999994E-5</v>
      </c>
      <c r="M4021" s="9">
        <v>8.2460000000000007E-5</v>
      </c>
      <c r="N4021" s="9">
        <v>1.0415E-4</v>
      </c>
      <c r="O4021" s="9">
        <v>9.5370000000000003E-5</v>
      </c>
      <c r="P4021" s="9">
        <v>1.3870000000000001E-4</v>
      </c>
      <c r="Q4021" s="9">
        <v>1.7721999999999999E-4</v>
      </c>
      <c r="R4021" s="10">
        <v>6.9551748425341272E-5</v>
      </c>
      <c r="S4021" s="10">
        <v>1.8500173275749635E-4</v>
      </c>
      <c r="T4021" s="10">
        <v>4.8184881299264391E-4</v>
      </c>
      <c r="U4021" s="10">
        <v>9.268E-5</v>
      </c>
      <c r="V4021" s="25"/>
      <c r="W4021" s="25"/>
      <c r="X4021" s="25"/>
      <c r="Y4021" s="25"/>
      <c r="Z4021" s="25"/>
      <c r="AA4021" s="25"/>
    </row>
    <row r="4022" spans="1:27" x14ac:dyDescent="0.35">
      <c r="A4022" s="5">
        <v>4018</v>
      </c>
      <c r="B4022" s="5">
        <v>168</v>
      </c>
      <c r="C4022" s="5">
        <v>6</v>
      </c>
      <c r="D4022" s="25">
        <v>1.1415000000000001E-4</v>
      </c>
      <c r="E4022" s="25">
        <v>1.1967E-4</v>
      </c>
      <c r="F4022" s="25">
        <v>1.2860000000000001E-4</v>
      </c>
      <c r="G4022" s="25">
        <v>1.6469999999999999E-4</v>
      </c>
      <c r="H4022" s="25">
        <v>4.0219999999999998E-5</v>
      </c>
      <c r="I4022" s="9">
        <v>1.1501E-4</v>
      </c>
      <c r="J4022" s="9">
        <v>1.2652E-4</v>
      </c>
      <c r="K4022" s="9">
        <v>0</v>
      </c>
      <c r="L4022" s="9">
        <v>8.7709999999999999E-5</v>
      </c>
      <c r="M4022" s="9">
        <v>1.0632E-4</v>
      </c>
      <c r="N4022" s="9">
        <v>1.2427E-4</v>
      </c>
      <c r="O4022" s="9">
        <v>1.2048E-4</v>
      </c>
      <c r="P4022" s="9">
        <v>1.5622999999999999E-4</v>
      </c>
      <c r="Q4022" s="9">
        <v>1.8331000000000001E-4</v>
      </c>
      <c r="R4022" s="10">
        <v>7.559509597150838E-5</v>
      </c>
      <c r="S4022" s="10">
        <v>1.851874747306675E-4</v>
      </c>
      <c r="T4022" s="10">
        <v>3.8676527017559675E-4</v>
      </c>
      <c r="U4022" s="10">
        <v>9.268E-5</v>
      </c>
      <c r="V4022" s="25"/>
      <c r="W4022" s="25"/>
      <c r="X4022" s="25"/>
      <c r="Y4022" s="25"/>
      <c r="Z4022" s="25"/>
      <c r="AA4022" s="25"/>
    </row>
    <row r="4023" spans="1:27" x14ac:dyDescent="0.35">
      <c r="A4023" s="5">
        <v>4019</v>
      </c>
      <c r="B4023" s="5">
        <v>168</v>
      </c>
      <c r="C4023" s="5">
        <v>6</v>
      </c>
      <c r="D4023" s="25">
        <v>1.1416E-4</v>
      </c>
      <c r="E4023" s="25">
        <v>1.2318E-4</v>
      </c>
      <c r="F4023" s="25">
        <v>1.3130999999999999E-4</v>
      </c>
      <c r="G4023" s="25">
        <v>1.6374E-4</v>
      </c>
      <c r="H4023" s="25">
        <v>4.1260000000000001E-5</v>
      </c>
      <c r="I4023" s="9">
        <v>1.1891E-4</v>
      </c>
      <c r="J4023" s="9">
        <v>1.2725E-4</v>
      </c>
      <c r="K4023" s="9">
        <v>0</v>
      </c>
      <c r="L4023" s="9">
        <v>1.1265E-4</v>
      </c>
      <c r="M4023" s="9">
        <v>1.3033000000000001E-4</v>
      </c>
      <c r="N4023" s="9">
        <v>1.4265E-4</v>
      </c>
      <c r="O4023" s="9">
        <v>1.2582000000000001E-4</v>
      </c>
      <c r="P4023" s="9">
        <v>1.5679999999999999E-4</v>
      </c>
      <c r="Q4023" s="9">
        <v>1.7817000000000001E-4</v>
      </c>
      <c r="R4023" s="10">
        <v>8.6911978412590254E-5</v>
      </c>
      <c r="S4023" s="10">
        <v>1.8625570953704741E-4</v>
      </c>
      <c r="T4023" s="10">
        <v>5.7030611801722991E-4</v>
      </c>
      <c r="U4023" s="10">
        <v>9.268E-5</v>
      </c>
      <c r="V4023" s="25"/>
      <c r="W4023" s="25"/>
      <c r="X4023" s="25"/>
      <c r="Y4023" s="25"/>
      <c r="Z4023" s="25"/>
      <c r="AA4023" s="25"/>
    </row>
    <row r="4024" spans="1:27" x14ac:dyDescent="0.35">
      <c r="A4024" s="5">
        <v>4020</v>
      </c>
      <c r="B4024" s="5">
        <v>168</v>
      </c>
      <c r="C4024" s="5">
        <v>6</v>
      </c>
      <c r="D4024" s="25">
        <v>1.1415000000000001E-4</v>
      </c>
      <c r="E4024" s="25">
        <v>1.1445E-4</v>
      </c>
      <c r="F4024" s="25">
        <v>1.2218E-4</v>
      </c>
      <c r="G4024" s="25">
        <v>1.6668999999999999E-4</v>
      </c>
      <c r="H4024" s="25">
        <v>4.0479999999999999E-5</v>
      </c>
      <c r="I4024" s="9">
        <v>1.1726999999999999E-4</v>
      </c>
      <c r="J4024" s="9">
        <v>1.2653E-4</v>
      </c>
      <c r="K4024" s="9">
        <v>0</v>
      </c>
      <c r="L4024" s="9">
        <v>1.2233E-4</v>
      </c>
      <c r="M4024" s="9">
        <v>1.4556000000000001E-4</v>
      </c>
      <c r="N4024" s="9">
        <v>1.5647999999999999E-4</v>
      </c>
      <c r="O4024" s="9">
        <v>1.2668E-4</v>
      </c>
      <c r="P4024" s="9">
        <v>1.5442E-4</v>
      </c>
      <c r="Q4024" s="9">
        <v>1.7244E-4</v>
      </c>
      <c r="R4024" s="10">
        <v>8.8578217668082009E-5</v>
      </c>
      <c r="S4024" s="10">
        <v>1.8625405000449521E-4</v>
      </c>
      <c r="T4024" s="10">
        <v>6.2340934764977182E-4</v>
      </c>
      <c r="U4024" s="10">
        <v>9.268E-5</v>
      </c>
      <c r="V4024" s="25"/>
      <c r="W4024" s="25"/>
      <c r="X4024" s="25"/>
      <c r="Y4024" s="25"/>
      <c r="Z4024" s="25"/>
      <c r="AA4024" s="25"/>
    </row>
    <row r="4025" spans="1:27" x14ac:dyDescent="0.35">
      <c r="A4025" s="5">
        <v>4021</v>
      </c>
      <c r="B4025" s="5">
        <v>168</v>
      </c>
      <c r="C4025" s="5">
        <v>6</v>
      </c>
      <c r="D4025" s="25">
        <v>1.1416E-4</v>
      </c>
      <c r="E4025" s="25">
        <v>1.1620000000000001E-4</v>
      </c>
      <c r="F4025" s="25">
        <v>1.1657E-4</v>
      </c>
      <c r="G4025" s="25">
        <v>1.6579999999999999E-4</v>
      </c>
      <c r="H4025" s="25">
        <v>4.206E-5</v>
      </c>
      <c r="I4025" s="9">
        <v>1.1930999999999999E-4</v>
      </c>
      <c r="J4025" s="9">
        <v>1.2768999999999999E-4</v>
      </c>
      <c r="K4025" s="9">
        <v>0</v>
      </c>
      <c r="L4025" s="9">
        <v>1.2561000000000001E-4</v>
      </c>
      <c r="M4025" s="9">
        <v>1.5196E-4</v>
      </c>
      <c r="N4025" s="9">
        <v>1.6563999999999999E-4</v>
      </c>
      <c r="O4025" s="9">
        <v>1.2097E-4</v>
      </c>
      <c r="P4025" s="9">
        <v>1.4860000000000001E-4</v>
      </c>
      <c r="Q4025" s="9">
        <v>1.6752999999999999E-4</v>
      </c>
      <c r="R4025" s="10">
        <v>1.0906562089226783E-4</v>
      </c>
      <c r="S4025" s="10">
        <v>1.8820669743945567E-4</v>
      </c>
      <c r="T4025" s="10">
        <v>6.6145294593581089E-4</v>
      </c>
      <c r="U4025" s="10">
        <v>9.268E-5</v>
      </c>
      <c r="V4025" s="25"/>
      <c r="W4025" s="25"/>
      <c r="X4025" s="25"/>
      <c r="Y4025" s="25"/>
      <c r="Z4025" s="25"/>
      <c r="AA4025" s="25"/>
    </row>
    <row r="4026" spans="1:27" x14ac:dyDescent="0.35">
      <c r="A4026" s="5">
        <v>4022</v>
      </c>
      <c r="B4026" s="5">
        <v>168</v>
      </c>
      <c r="C4026" s="5">
        <v>6</v>
      </c>
      <c r="D4026" s="25">
        <v>1.1415000000000001E-4</v>
      </c>
      <c r="E4026" s="25">
        <v>1.2439999999999999E-4</v>
      </c>
      <c r="F4026" s="25">
        <v>1.1281E-4</v>
      </c>
      <c r="G4026" s="25">
        <v>1.6678E-4</v>
      </c>
      <c r="H4026" s="25">
        <v>4.0930000000000003E-5</v>
      </c>
      <c r="I4026" s="9">
        <v>1.1836999999999999E-4</v>
      </c>
      <c r="J4026" s="9">
        <v>1.2826E-4</v>
      </c>
      <c r="K4026" s="9">
        <v>0</v>
      </c>
      <c r="L4026" s="9">
        <v>1.2205999999999999E-4</v>
      </c>
      <c r="M4026" s="9">
        <v>1.5192E-4</v>
      </c>
      <c r="N4026" s="9">
        <v>1.7007E-4</v>
      </c>
      <c r="O4026" s="9">
        <v>1.0569999999999999E-4</v>
      </c>
      <c r="P4026" s="9">
        <v>1.3621E-4</v>
      </c>
      <c r="Q4026" s="9">
        <v>1.604E-4</v>
      </c>
      <c r="R4026" s="10">
        <v>1.2791110324665306E-4</v>
      </c>
      <c r="S4026" s="10">
        <v>1.8770520883125522E-4</v>
      </c>
      <c r="T4026" s="10">
        <v>4.2371439384546747E-4</v>
      </c>
      <c r="U4026" s="10">
        <v>9.268E-5</v>
      </c>
      <c r="V4026" s="25"/>
      <c r="W4026" s="25"/>
      <c r="X4026" s="25"/>
      <c r="Y4026" s="25"/>
      <c r="Z4026" s="25"/>
      <c r="AA4026" s="25"/>
    </row>
    <row r="4027" spans="1:27" x14ac:dyDescent="0.35">
      <c r="A4027" s="5">
        <v>4023</v>
      </c>
      <c r="B4027" s="5">
        <v>168</v>
      </c>
      <c r="C4027" s="5">
        <v>6</v>
      </c>
      <c r="D4027" s="25">
        <v>1.1416E-4</v>
      </c>
      <c r="E4027" s="25">
        <v>1.1457E-4</v>
      </c>
      <c r="F4027" s="25">
        <v>1.2421000000000001E-4</v>
      </c>
      <c r="G4027" s="25">
        <v>1.605E-4</v>
      </c>
      <c r="H4027" s="25">
        <v>4.1140000000000003E-5</v>
      </c>
      <c r="I4027" s="9">
        <v>1.1789E-4</v>
      </c>
      <c r="J4027" s="9">
        <v>1.2844000000000001E-4</v>
      </c>
      <c r="K4027" s="9">
        <v>0</v>
      </c>
      <c r="L4027" s="9">
        <v>1.0944E-4</v>
      </c>
      <c r="M4027" s="9">
        <v>1.4603000000000001E-4</v>
      </c>
      <c r="N4027" s="9">
        <v>1.6955E-4</v>
      </c>
      <c r="O4027" s="9">
        <v>1.1906E-4</v>
      </c>
      <c r="P4027" s="9">
        <v>1.4033000000000001E-4</v>
      </c>
      <c r="Q4027" s="9">
        <v>1.5334999999999999E-4</v>
      </c>
      <c r="R4027" s="10">
        <v>1.4757910007065099E-4</v>
      </c>
      <c r="S4027" s="10">
        <v>1.8257826405333719E-4</v>
      </c>
      <c r="T4027" s="10">
        <v>4.5068598147957051E-4</v>
      </c>
      <c r="U4027" s="10">
        <v>9.268E-5</v>
      </c>
      <c r="V4027" s="25"/>
      <c r="W4027" s="25"/>
      <c r="X4027" s="25"/>
      <c r="Y4027" s="25"/>
      <c r="Z4027" s="25"/>
      <c r="AA4027" s="25"/>
    </row>
    <row r="4028" spans="1:27" x14ac:dyDescent="0.35">
      <c r="A4028" s="5">
        <v>4024</v>
      </c>
      <c r="B4028" s="5">
        <v>168</v>
      </c>
      <c r="C4028" s="5">
        <v>6</v>
      </c>
      <c r="D4028" s="25">
        <v>1.1415000000000001E-4</v>
      </c>
      <c r="E4028" s="25">
        <v>1.2009E-4</v>
      </c>
      <c r="F4028" s="25">
        <v>1.1103E-4</v>
      </c>
      <c r="G4028" s="25">
        <v>1.6605E-4</v>
      </c>
      <c r="H4028" s="25">
        <v>4.2469999999999998E-5</v>
      </c>
      <c r="I4028" s="9">
        <v>1.1836E-4</v>
      </c>
      <c r="J4028" s="9">
        <v>1.2878999999999999E-4</v>
      </c>
      <c r="K4028" s="9">
        <v>0</v>
      </c>
      <c r="L4028" s="9">
        <v>1.1731E-4</v>
      </c>
      <c r="M4028" s="9">
        <v>1.4232000000000001E-4</v>
      </c>
      <c r="N4028" s="9">
        <v>1.6589E-4</v>
      </c>
      <c r="O4028" s="9">
        <v>1.2517999999999999E-4</v>
      </c>
      <c r="P4028" s="9">
        <v>1.2226000000000001E-4</v>
      </c>
      <c r="Q4028" s="9">
        <v>1.1052000000000001E-4</v>
      </c>
      <c r="R4028" s="10">
        <v>1.7015996634817378E-4</v>
      </c>
      <c r="S4028" s="10">
        <v>1.7500363649942355E-4</v>
      </c>
      <c r="T4028" s="10">
        <v>3.6984757727141261E-4</v>
      </c>
      <c r="U4028" s="10">
        <v>9.268E-5</v>
      </c>
      <c r="V4028" s="25"/>
      <c r="W4028" s="25"/>
      <c r="X4028" s="25"/>
      <c r="Y4028" s="25"/>
      <c r="Z4028" s="25"/>
      <c r="AA4028" s="25"/>
    </row>
    <row r="4029" spans="1:27" x14ac:dyDescent="0.35">
      <c r="A4029" s="5">
        <v>4025</v>
      </c>
      <c r="B4029" s="5">
        <v>168</v>
      </c>
      <c r="C4029" s="5">
        <v>6</v>
      </c>
      <c r="D4029" s="25">
        <v>1.1416E-4</v>
      </c>
      <c r="E4029" s="25">
        <v>1.1629E-4</v>
      </c>
      <c r="F4029" s="25">
        <v>1.1467E-4</v>
      </c>
      <c r="G4029" s="25">
        <v>1.6681000000000001E-4</v>
      </c>
      <c r="H4029" s="25">
        <v>3.9830000000000003E-5</v>
      </c>
      <c r="I4029" s="9">
        <v>1.2094E-4</v>
      </c>
      <c r="J4029" s="9">
        <v>1.2860000000000001E-4</v>
      </c>
      <c r="K4029" s="9">
        <v>0</v>
      </c>
      <c r="L4029" s="9">
        <v>1.2320000000000001E-4</v>
      </c>
      <c r="M4029" s="9">
        <v>1.3428999999999999E-4</v>
      </c>
      <c r="N4029" s="9">
        <v>1.5244999999999999E-4</v>
      </c>
      <c r="O4029" s="9">
        <v>1.2946999999999999E-4</v>
      </c>
      <c r="P4029" s="9">
        <v>1.2303999999999999E-4</v>
      </c>
      <c r="Q4029" s="9">
        <v>1.0709000000000001E-4</v>
      </c>
      <c r="R4029" s="10">
        <v>1.7607750664181727E-4</v>
      </c>
      <c r="S4029" s="10">
        <v>1.6856606602292583E-4</v>
      </c>
      <c r="T4029" s="10">
        <v>2.164768979188863E-4</v>
      </c>
      <c r="U4029" s="10">
        <v>9.268E-5</v>
      </c>
      <c r="V4029" s="25"/>
      <c r="W4029" s="25"/>
      <c r="X4029" s="25"/>
      <c r="Y4029" s="25"/>
      <c r="Z4029" s="25"/>
      <c r="AA4029" s="25"/>
    </row>
    <row r="4030" spans="1:27" x14ac:dyDescent="0.35">
      <c r="A4030" s="5">
        <v>4026</v>
      </c>
      <c r="B4030" s="5">
        <v>168</v>
      </c>
      <c r="C4030" s="5">
        <v>6</v>
      </c>
      <c r="D4030" s="25">
        <v>1.1415000000000001E-4</v>
      </c>
      <c r="E4030" s="25">
        <v>1.2006999999999999E-4</v>
      </c>
      <c r="F4030" s="25">
        <v>1.3300000000000001E-4</v>
      </c>
      <c r="G4030" s="25">
        <v>1.6168000000000001E-4</v>
      </c>
      <c r="H4030" s="25">
        <v>4.0299999999999997E-5</v>
      </c>
      <c r="I4030" s="9">
        <v>1.2232000000000001E-4</v>
      </c>
      <c r="J4030" s="9">
        <v>1.249E-4</v>
      </c>
      <c r="K4030" s="9">
        <v>0</v>
      </c>
      <c r="L4030" s="9">
        <v>1.2783E-4</v>
      </c>
      <c r="M4030" s="9">
        <v>1.282E-4</v>
      </c>
      <c r="N4030" s="9">
        <v>1.392E-4</v>
      </c>
      <c r="O4030" s="9">
        <v>1.3082999999999999E-4</v>
      </c>
      <c r="P4030" s="9">
        <v>1.2949000000000001E-4</v>
      </c>
      <c r="Q4030" s="9">
        <v>1.1838E-4</v>
      </c>
      <c r="R4030" s="10">
        <v>1.6729617611798792E-4</v>
      </c>
      <c r="S4030" s="10">
        <v>1.5483380882402636E-4</v>
      </c>
      <c r="T4030" s="10">
        <v>1.3856557698652757E-4</v>
      </c>
      <c r="U4030" s="10">
        <v>9.268E-5</v>
      </c>
      <c r="V4030" s="25"/>
      <c r="W4030" s="25"/>
      <c r="X4030" s="25"/>
      <c r="Y4030" s="25"/>
      <c r="Z4030" s="25"/>
      <c r="AA4030" s="25"/>
    </row>
    <row r="4031" spans="1:27" x14ac:dyDescent="0.35">
      <c r="A4031" s="5">
        <v>4027</v>
      </c>
      <c r="B4031" s="5">
        <v>168</v>
      </c>
      <c r="C4031" s="5">
        <v>6</v>
      </c>
      <c r="D4031" s="25">
        <v>1.1416E-4</v>
      </c>
      <c r="E4031" s="25">
        <v>1.1404E-4</v>
      </c>
      <c r="F4031" s="25">
        <v>1.1115E-4</v>
      </c>
      <c r="G4031" s="25">
        <v>1.1323999999999999E-4</v>
      </c>
      <c r="H4031" s="25">
        <v>2.7489999999999999E-5</v>
      </c>
      <c r="I4031" s="9">
        <v>1.1771E-4</v>
      </c>
      <c r="J4031" s="9">
        <v>1.2218E-4</v>
      </c>
      <c r="K4031" s="9">
        <v>0</v>
      </c>
      <c r="L4031" s="9">
        <v>1.3009999999999999E-4</v>
      </c>
      <c r="M4031" s="9">
        <v>1.2725E-4</v>
      </c>
      <c r="N4031" s="9">
        <v>1.3032000000000001E-4</v>
      </c>
      <c r="O4031" s="9">
        <v>1.3117000000000001E-4</v>
      </c>
      <c r="P4031" s="9">
        <v>1.2422E-4</v>
      </c>
      <c r="Q4031" s="9">
        <v>1.0752E-4</v>
      </c>
      <c r="R4031" s="10">
        <v>1.5264385657754281E-4</v>
      </c>
      <c r="S4031" s="10">
        <v>1.4514864987957943E-4</v>
      </c>
      <c r="T4031" s="10">
        <v>2.0599878822146031E-5</v>
      </c>
      <c r="U4031" s="10">
        <v>9.268E-5</v>
      </c>
      <c r="V4031" s="25"/>
      <c r="W4031" s="25"/>
      <c r="X4031" s="25"/>
      <c r="Y4031" s="25"/>
      <c r="Z4031" s="25"/>
      <c r="AA4031" s="25"/>
    </row>
    <row r="4032" spans="1:27" x14ac:dyDescent="0.35">
      <c r="A4032" s="5">
        <v>4028</v>
      </c>
      <c r="B4032" s="5">
        <v>168</v>
      </c>
      <c r="C4032" s="5">
        <v>6</v>
      </c>
      <c r="D4032" s="25">
        <v>1.1415000000000001E-4</v>
      </c>
      <c r="E4032" s="25">
        <v>1.2221000000000001E-4</v>
      </c>
      <c r="F4032" s="25">
        <v>1.249E-4</v>
      </c>
      <c r="G4032" s="25">
        <v>1.0789999999999999E-4</v>
      </c>
      <c r="H4032" s="25">
        <v>2.6869999999999999E-5</v>
      </c>
      <c r="I4032" s="9">
        <v>1.1489000000000001E-4</v>
      </c>
      <c r="J4032" s="9">
        <v>1.1909999999999999E-4</v>
      </c>
      <c r="K4032" s="9">
        <v>0</v>
      </c>
      <c r="L4032" s="9">
        <v>1.3091000000000001E-4</v>
      </c>
      <c r="M4032" s="9">
        <v>1.2617999999999999E-4</v>
      </c>
      <c r="N4032" s="9">
        <v>1.2132E-4</v>
      </c>
      <c r="O4032" s="9">
        <v>1.3174000000000001E-4</v>
      </c>
      <c r="P4032" s="9">
        <v>1.2139E-4</v>
      </c>
      <c r="Q4032" s="9">
        <v>1.0114E-4</v>
      </c>
      <c r="R4032" s="10">
        <v>1.3917443365663655E-4</v>
      </c>
      <c r="S4032" s="10">
        <v>1.3446905148385894E-4</v>
      </c>
      <c r="T4032" s="10">
        <v>7.8564611982319694E-6</v>
      </c>
      <c r="U4032" s="10">
        <v>9.268E-5</v>
      </c>
      <c r="V4032" s="25"/>
      <c r="W4032" s="25"/>
      <c r="X4032" s="25"/>
      <c r="Y4032" s="25"/>
      <c r="Z4032" s="25"/>
      <c r="AA4032" s="25"/>
    </row>
    <row r="4033" spans="1:27" x14ac:dyDescent="0.35">
      <c r="A4033" s="5">
        <v>4029</v>
      </c>
      <c r="B4033" s="5">
        <v>168</v>
      </c>
      <c r="C4033" s="5">
        <v>6</v>
      </c>
      <c r="D4033" s="25">
        <v>1.1416E-4</v>
      </c>
      <c r="E4033" s="25">
        <v>1.2229999999999999E-4</v>
      </c>
      <c r="F4033" s="25">
        <v>1.2171999999999999E-4</v>
      </c>
      <c r="G4033" s="25">
        <v>5.3699999999999997E-5</v>
      </c>
      <c r="H4033" s="25">
        <v>1.5509999999999999E-5</v>
      </c>
      <c r="I4033" s="9">
        <v>1.1268999999999999E-4</v>
      </c>
      <c r="J4033" s="9">
        <v>1.1622E-4</v>
      </c>
      <c r="K4033" s="9">
        <v>0</v>
      </c>
      <c r="L4033" s="9">
        <v>1.3155999999999999E-4</v>
      </c>
      <c r="M4033" s="9">
        <v>1.2421000000000001E-4</v>
      </c>
      <c r="N4033" s="9">
        <v>1.1340000000000001E-4</v>
      </c>
      <c r="O4033" s="9">
        <v>8.2940000000000002E-5</v>
      </c>
      <c r="P4033" s="9">
        <v>8.7100000000000003E-5</v>
      </c>
      <c r="Q4033" s="9">
        <v>8.9110000000000006E-5</v>
      </c>
      <c r="R4033" s="10">
        <v>1.4091280443527231E-4</v>
      </c>
      <c r="S4033" s="10">
        <v>1.1941202772857127E-4</v>
      </c>
      <c r="T4033" s="10">
        <v>0</v>
      </c>
      <c r="U4033" s="10">
        <v>9.268E-5</v>
      </c>
      <c r="V4033" s="25"/>
      <c r="W4033" s="25"/>
      <c r="X4033" s="25"/>
      <c r="Y4033" s="25"/>
      <c r="Z4033" s="25"/>
      <c r="AA4033" s="25"/>
    </row>
    <row r="4034" spans="1:27" x14ac:dyDescent="0.35">
      <c r="A4034" s="5">
        <v>4030</v>
      </c>
      <c r="B4034" s="5">
        <v>168</v>
      </c>
      <c r="C4034" s="5">
        <v>6</v>
      </c>
      <c r="D4034" s="25">
        <v>1.1415000000000001E-4</v>
      </c>
      <c r="E4034" s="25">
        <v>1.2438E-4</v>
      </c>
      <c r="F4034" s="25">
        <v>1.1369E-4</v>
      </c>
      <c r="G4034" s="25">
        <v>5.2719999999999997E-5</v>
      </c>
      <c r="H4034" s="25">
        <v>1.341E-5</v>
      </c>
      <c r="I4034" s="9">
        <v>1.1401E-4</v>
      </c>
      <c r="J4034" s="9">
        <v>1.1338E-4</v>
      </c>
      <c r="K4034" s="9">
        <v>0</v>
      </c>
      <c r="L4034" s="9">
        <v>9.3629999999999996E-5</v>
      </c>
      <c r="M4034" s="9">
        <v>1.1029E-4</v>
      </c>
      <c r="N4034" s="9">
        <v>1.059E-4</v>
      </c>
      <c r="O4034" s="9">
        <v>8.4159999999999994E-5</v>
      </c>
      <c r="P4034" s="9">
        <v>8.7280000000000005E-5</v>
      </c>
      <c r="Q4034" s="9">
        <v>8.7919999999999998E-5</v>
      </c>
      <c r="R4034" s="10">
        <v>1.54884648519886E-4</v>
      </c>
      <c r="S4034" s="10">
        <v>1.0404729112875571E-4</v>
      </c>
      <c r="T4034" s="10">
        <v>0</v>
      </c>
      <c r="U4034" s="10">
        <v>9.268E-5</v>
      </c>
      <c r="V4034" s="25"/>
      <c r="W4034" s="25"/>
      <c r="X4034" s="25"/>
      <c r="Y4034" s="25"/>
      <c r="Z4034" s="25"/>
      <c r="AA4034" s="25"/>
    </row>
    <row r="4035" spans="1:27" x14ac:dyDescent="0.35">
      <c r="A4035" s="5">
        <v>4031</v>
      </c>
      <c r="B4035" s="5">
        <v>168</v>
      </c>
      <c r="C4035" s="5">
        <v>6</v>
      </c>
      <c r="D4035" s="25">
        <v>1.1416E-4</v>
      </c>
      <c r="E4035" s="25">
        <v>1.1765E-4</v>
      </c>
      <c r="F4035" s="25">
        <v>1.2826E-4</v>
      </c>
      <c r="G4035" s="25">
        <v>5.4039999999999998E-5</v>
      </c>
      <c r="H4035" s="25">
        <v>1.4100000000000001E-5</v>
      </c>
      <c r="I4035" s="9">
        <v>1.1071E-4</v>
      </c>
      <c r="J4035" s="9">
        <v>1.0821E-4</v>
      </c>
      <c r="K4035" s="9">
        <v>0</v>
      </c>
      <c r="L4035" s="9">
        <v>8.7289999999999999E-5</v>
      </c>
      <c r="M4035" s="9">
        <v>9.8280000000000001E-5</v>
      </c>
      <c r="N4035" s="9">
        <v>9.9950000000000004E-5</v>
      </c>
      <c r="O4035" s="9">
        <v>8.2520000000000003E-5</v>
      </c>
      <c r="P4035" s="9">
        <v>7.5829999999999997E-5</v>
      </c>
      <c r="Q4035" s="9">
        <v>6.7169999999999996E-5</v>
      </c>
      <c r="R4035" s="10">
        <v>1.5813642572119291E-4</v>
      </c>
      <c r="S4035" s="10">
        <v>9.624445532502723E-5</v>
      </c>
      <c r="T4035" s="10">
        <v>0</v>
      </c>
      <c r="U4035" s="10">
        <v>9.268E-5</v>
      </c>
      <c r="V4035" s="25"/>
      <c r="W4035" s="25"/>
      <c r="X4035" s="25"/>
      <c r="Y4035" s="25"/>
      <c r="Z4035" s="25"/>
      <c r="AA4035" s="25"/>
    </row>
    <row r="4036" spans="1:27" x14ac:dyDescent="0.35">
      <c r="A4036" s="5">
        <v>4032</v>
      </c>
      <c r="B4036" s="5">
        <v>168</v>
      </c>
      <c r="C4036" s="5">
        <v>6</v>
      </c>
      <c r="D4036" s="25">
        <v>1.1415000000000001E-4</v>
      </c>
      <c r="E4036" s="25">
        <v>1.1728E-4</v>
      </c>
      <c r="F4036" s="25">
        <v>1.1919E-4</v>
      </c>
      <c r="G4036" s="25">
        <v>6.3540000000000005E-5</v>
      </c>
      <c r="H4036" s="25">
        <v>1.471E-5</v>
      </c>
      <c r="I4036" s="9">
        <v>1.0229E-4</v>
      </c>
      <c r="J4036" s="9">
        <v>1.0064999999999999E-4</v>
      </c>
      <c r="K4036" s="9">
        <v>0</v>
      </c>
      <c r="L4036" s="9">
        <v>8.3770000000000006E-5</v>
      </c>
      <c r="M4036" s="9">
        <v>8.7379999999999993E-5</v>
      </c>
      <c r="N4036" s="9">
        <v>9.0680000000000006E-5</v>
      </c>
      <c r="O4036" s="9">
        <v>7.7750000000000006E-5</v>
      </c>
      <c r="P4036" s="9">
        <v>6.8990000000000002E-5</v>
      </c>
      <c r="Q4036" s="9">
        <v>5.9049999999999999E-5</v>
      </c>
      <c r="R4036" s="10">
        <v>1.2866065327484468E-4</v>
      </c>
      <c r="S4036" s="10">
        <v>1.2410816512601304E-4</v>
      </c>
      <c r="T4036" s="10">
        <v>0</v>
      </c>
      <c r="U4036" s="10">
        <v>9.268E-5</v>
      </c>
      <c r="V4036" s="25"/>
      <c r="W4036" s="25"/>
      <c r="X4036" s="25"/>
      <c r="Y4036" s="25"/>
      <c r="Z4036" s="25"/>
      <c r="AA4036" s="25"/>
    </row>
    <row r="4037" spans="1:27" x14ac:dyDescent="0.35">
      <c r="A4037" s="5">
        <v>4033</v>
      </c>
      <c r="B4037" s="5">
        <v>169</v>
      </c>
      <c r="C4037" s="5">
        <v>6</v>
      </c>
      <c r="D4037" s="25">
        <v>1.1416E-4</v>
      </c>
      <c r="E4037" s="25">
        <v>1.1906E-4</v>
      </c>
      <c r="F4037" s="25">
        <v>1.4098E-4</v>
      </c>
      <c r="G4037" s="25">
        <v>5.9679999999999998E-5</v>
      </c>
      <c r="H4037" s="25">
        <v>6.7440000000000005E-5</v>
      </c>
      <c r="I4037" s="9">
        <v>9.8270000000000006E-5</v>
      </c>
      <c r="J4037" s="9">
        <v>9.5610000000000001E-5</v>
      </c>
      <c r="K4037" s="9">
        <v>0</v>
      </c>
      <c r="L4037" s="9">
        <v>7.8889999999999999E-5</v>
      </c>
      <c r="M4037" s="9">
        <v>7.8300000000000006E-5</v>
      </c>
      <c r="N4037" s="9">
        <v>8.1269999999999999E-5</v>
      </c>
      <c r="O4037" s="9">
        <v>5.4700000000000001E-5</v>
      </c>
      <c r="P4037" s="9">
        <v>5.4110000000000002E-5</v>
      </c>
      <c r="Q4037" s="9">
        <v>5.3690000000000003E-5</v>
      </c>
      <c r="R4037" s="10">
        <v>1.2722366758114999E-4</v>
      </c>
      <c r="S4037" s="10">
        <v>1.4493502508523652E-4</v>
      </c>
      <c r="T4037" s="10">
        <v>0</v>
      </c>
      <c r="U4037" s="10">
        <v>9.3720000000000004E-5</v>
      </c>
      <c r="V4037" s="25"/>
      <c r="W4037" s="25"/>
      <c r="X4037" s="25"/>
      <c r="Y4037" s="25"/>
      <c r="Z4037" s="25"/>
      <c r="AA4037" s="25"/>
    </row>
    <row r="4038" spans="1:27" x14ac:dyDescent="0.35">
      <c r="A4038" s="5">
        <v>4034</v>
      </c>
      <c r="B4038" s="5">
        <v>169</v>
      </c>
      <c r="C4038" s="5">
        <v>6</v>
      </c>
      <c r="D4038" s="25">
        <v>1.1415000000000001E-4</v>
      </c>
      <c r="E4038" s="25">
        <v>1.1233E-4</v>
      </c>
      <c r="F4038" s="25">
        <v>1.3688E-4</v>
      </c>
      <c r="G4038" s="25">
        <v>6.0909999999999998E-5</v>
      </c>
      <c r="H4038" s="25">
        <v>7.0759999999999993E-5</v>
      </c>
      <c r="I4038" s="9">
        <v>9.5470000000000006E-5</v>
      </c>
      <c r="J4038" s="9">
        <v>9.3239999999999995E-5</v>
      </c>
      <c r="K4038" s="9">
        <v>0</v>
      </c>
      <c r="L4038" s="9">
        <v>6.0139999999999997E-5</v>
      </c>
      <c r="M4038" s="9">
        <v>6.7459999999999994E-5</v>
      </c>
      <c r="N4038" s="9">
        <v>7.2210000000000002E-5</v>
      </c>
      <c r="O4038" s="9">
        <v>2.4110000000000001E-5</v>
      </c>
      <c r="P4038" s="9">
        <v>3.773E-5</v>
      </c>
      <c r="Q4038" s="9">
        <v>5.6150000000000003E-5</v>
      </c>
      <c r="R4038" s="10">
        <v>1.1011294268416233E-4</v>
      </c>
      <c r="S4038" s="10">
        <v>1.5119025784678995E-4</v>
      </c>
      <c r="T4038" s="10">
        <v>0</v>
      </c>
      <c r="U4038" s="10">
        <v>9.3720000000000004E-5</v>
      </c>
      <c r="V4038" s="25"/>
      <c r="W4038" s="25"/>
      <c r="X4038" s="25"/>
      <c r="Y4038" s="25"/>
      <c r="Z4038" s="25"/>
      <c r="AA4038" s="25"/>
    </row>
    <row r="4039" spans="1:27" x14ac:dyDescent="0.35">
      <c r="A4039" s="5">
        <v>4035</v>
      </c>
      <c r="B4039" s="5">
        <v>169</v>
      </c>
      <c r="C4039" s="5">
        <v>6</v>
      </c>
      <c r="D4039" s="25">
        <v>1.1416E-4</v>
      </c>
      <c r="E4039" s="25">
        <v>1.1366000000000001E-4</v>
      </c>
      <c r="F4039" s="25">
        <v>1.3291999999999999E-4</v>
      </c>
      <c r="G4039" s="25">
        <v>5.6669999999999998E-5</v>
      </c>
      <c r="H4039" s="25">
        <v>7.292E-5</v>
      </c>
      <c r="I4039" s="9">
        <v>9.3980000000000005E-5</v>
      </c>
      <c r="J4039" s="9">
        <v>9.2070000000000004E-5</v>
      </c>
      <c r="K4039" s="9">
        <v>4.2400000000000001E-6</v>
      </c>
      <c r="L4039" s="9">
        <v>3.2549999999999998E-5</v>
      </c>
      <c r="M4039" s="9">
        <v>5.4110000000000002E-5</v>
      </c>
      <c r="N4039" s="9">
        <v>6.5599999999999995E-5</v>
      </c>
      <c r="O4039" s="9">
        <v>1.9530000000000001E-5</v>
      </c>
      <c r="P4039" s="9">
        <v>3.79E-5</v>
      </c>
      <c r="Q4039" s="9">
        <v>6.1779999999999995E-5</v>
      </c>
      <c r="R4039" s="10">
        <v>1.0733640595911767E-4</v>
      </c>
      <c r="S4039" s="10">
        <v>1.4785378167442013E-4</v>
      </c>
      <c r="T4039" s="10">
        <v>0</v>
      </c>
      <c r="U4039" s="10">
        <v>9.3720000000000004E-5</v>
      </c>
      <c r="V4039" s="25"/>
      <c r="W4039" s="25"/>
      <c r="X4039" s="25"/>
      <c r="Y4039" s="25"/>
      <c r="Z4039" s="25"/>
      <c r="AA4039" s="25"/>
    </row>
    <row r="4040" spans="1:27" x14ac:dyDescent="0.35">
      <c r="A4040" s="5">
        <v>4036</v>
      </c>
      <c r="B4040" s="5">
        <v>169</v>
      </c>
      <c r="C4040" s="5">
        <v>6</v>
      </c>
      <c r="D4040" s="25">
        <v>1.1415000000000001E-4</v>
      </c>
      <c r="E4040" s="25">
        <v>1.1039000000000001E-4</v>
      </c>
      <c r="F4040" s="25">
        <v>1.2917000000000001E-4</v>
      </c>
      <c r="G4040" s="25">
        <v>5.2299999999999997E-5</v>
      </c>
      <c r="H4040" s="25">
        <v>7.2700000000000005E-5</v>
      </c>
      <c r="I4040" s="9">
        <v>9.4909999999999998E-5</v>
      </c>
      <c r="J4040" s="9">
        <v>9.2079999999999999E-5</v>
      </c>
      <c r="K4040" s="9">
        <v>8.49E-6</v>
      </c>
      <c r="L4040" s="9">
        <v>2.3139999999999999E-5</v>
      </c>
      <c r="M4040" s="9">
        <v>4.5049999999999997E-5</v>
      </c>
      <c r="N4040" s="9">
        <v>6.2050000000000004E-5</v>
      </c>
      <c r="O4040" s="9">
        <v>1.9640000000000002E-5</v>
      </c>
      <c r="P4040" s="9">
        <v>4.7649999999999999E-5</v>
      </c>
      <c r="Q4040" s="9">
        <v>8.1039999999999997E-5</v>
      </c>
      <c r="R4040" s="10">
        <v>1.2402956250680137E-4</v>
      </c>
      <c r="S4040" s="10">
        <v>1.293073911360888E-4</v>
      </c>
      <c r="T4040" s="10">
        <v>0</v>
      </c>
      <c r="U4040" s="10">
        <v>9.3720000000000004E-5</v>
      </c>
      <c r="V4040" s="25"/>
      <c r="W4040" s="25"/>
      <c r="X4040" s="25"/>
      <c r="Y4040" s="25"/>
      <c r="Z4040" s="25"/>
      <c r="AA4040" s="25"/>
    </row>
    <row r="4041" spans="1:27" x14ac:dyDescent="0.35">
      <c r="A4041" s="5">
        <v>4037</v>
      </c>
      <c r="B4041" s="5">
        <v>169</v>
      </c>
      <c r="C4041" s="5">
        <v>6</v>
      </c>
      <c r="D4041" s="25">
        <v>1.1416E-4</v>
      </c>
      <c r="E4041" s="25">
        <v>1.1548999999999999E-4</v>
      </c>
      <c r="F4041" s="25">
        <v>1.3824E-4</v>
      </c>
      <c r="G4041" s="25">
        <v>5.8010000000000002E-5</v>
      </c>
      <c r="H4041" s="25">
        <v>6.3449999999999997E-5</v>
      </c>
      <c r="I4041" s="9">
        <v>9.7380000000000006E-5</v>
      </c>
      <c r="J4041" s="9">
        <v>9.2919999999999998E-5</v>
      </c>
      <c r="K4041" s="9">
        <v>1.06E-5</v>
      </c>
      <c r="L4041" s="9">
        <v>2.0550000000000001E-5</v>
      </c>
      <c r="M4041" s="9">
        <v>4.3989999999999997E-5</v>
      </c>
      <c r="N4041" s="9">
        <v>6.4709999999999995E-5</v>
      </c>
      <c r="O4041" s="9">
        <v>2.4199999999999999E-5</v>
      </c>
      <c r="P4041" s="9">
        <v>5.6799999999999998E-5</v>
      </c>
      <c r="Q4041" s="9">
        <v>9.3919999999999995E-5</v>
      </c>
      <c r="R4041" s="10">
        <v>1.2861777290388448E-4</v>
      </c>
      <c r="S4041" s="10">
        <v>1.1092478812565187E-4</v>
      </c>
      <c r="T4041" s="10">
        <v>1.4041515424485868E-5</v>
      </c>
      <c r="U4041" s="10">
        <v>9.3720000000000004E-5</v>
      </c>
      <c r="V4041" s="25"/>
      <c r="W4041" s="25"/>
      <c r="X4041" s="25"/>
      <c r="Y4041" s="25"/>
      <c r="Z4041" s="25"/>
      <c r="AA4041" s="25"/>
    </row>
    <row r="4042" spans="1:27" x14ac:dyDescent="0.35">
      <c r="A4042" s="5">
        <v>4038</v>
      </c>
      <c r="B4042" s="5">
        <v>169</v>
      </c>
      <c r="C4042" s="5">
        <v>6</v>
      </c>
      <c r="D4042" s="25">
        <v>1.1415000000000001E-4</v>
      </c>
      <c r="E4042" s="25">
        <v>1.0817E-4</v>
      </c>
      <c r="F4042" s="25">
        <v>1.2003E-4</v>
      </c>
      <c r="G4042" s="25">
        <v>1.0992E-4</v>
      </c>
      <c r="H4042" s="25">
        <v>1.3245999999999999E-4</v>
      </c>
      <c r="I4042" s="9">
        <v>1.0611E-4</v>
      </c>
      <c r="J4042" s="9">
        <v>1.0066E-4</v>
      </c>
      <c r="K4042" s="9">
        <v>0</v>
      </c>
      <c r="L4042" s="9">
        <v>2.3280000000000001E-5</v>
      </c>
      <c r="M4042" s="9">
        <v>4.871E-5</v>
      </c>
      <c r="N4042" s="9">
        <v>7.1279999999999995E-5</v>
      </c>
      <c r="O4042" s="9">
        <v>4.7769999999999998E-5</v>
      </c>
      <c r="P4042" s="9">
        <v>7.729E-5</v>
      </c>
      <c r="Q4042" s="9">
        <v>1.0763E-4</v>
      </c>
      <c r="R4042" s="10">
        <v>1.091912217450336E-4</v>
      </c>
      <c r="S4042" s="10">
        <v>1.1329944150343045E-4</v>
      </c>
      <c r="T4042" s="10">
        <v>5.9203440865294475E-5</v>
      </c>
      <c r="U4042" s="10">
        <v>9.3720000000000004E-5</v>
      </c>
      <c r="V4042" s="25"/>
      <c r="W4042" s="25"/>
      <c r="X4042" s="25"/>
      <c r="Y4042" s="25"/>
      <c r="Z4042" s="25"/>
      <c r="AA4042" s="25"/>
    </row>
    <row r="4043" spans="1:27" x14ac:dyDescent="0.35">
      <c r="A4043" s="5">
        <v>4039</v>
      </c>
      <c r="B4043" s="5">
        <v>169</v>
      </c>
      <c r="C4043" s="5">
        <v>6</v>
      </c>
      <c r="D4043" s="25">
        <v>1.1416E-4</v>
      </c>
      <c r="E4043" s="25">
        <v>1.1053E-4</v>
      </c>
      <c r="F4043" s="25">
        <v>1.2606E-4</v>
      </c>
      <c r="G4043" s="25">
        <v>1.0864E-4</v>
      </c>
      <c r="H4043" s="25">
        <v>1.3725E-4</v>
      </c>
      <c r="I4043" s="9">
        <v>1.1467E-4</v>
      </c>
      <c r="J4043" s="9">
        <v>1.1488E-4</v>
      </c>
      <c r="K4043" s="9">
        <v>0</v>
      </c>
      <c r="L4043" s="9">
        <v>4.227E-5</v>
      </c>
      <c r="M4043" s="9">
        <v>6.033E-5</v>
      </c>
      <c r="N4043" s="9">
        <v>8.1089999999999998E-5</v>
      </c>
      <c r="O4043" s="9">
        <v>1.1313E-4</v>
      </c>
      <c r="P4043" s="9">
        <v>1.1749E-4</v>
      </c>
      <c r="Q4043" s="9">
        <v>1.1255E-4</v>
      </c>
      <c r="R4043" s="10">
        <v>7.9192865286906671E-5</v>
      </c>
      <c r="S4043" s="10">
        <v>1.204405884465371E-4</v>
      </c>
      <c r="T4043" s="10">
        <v>1.615834811234642E-4</v>
      </c>
      <c r="U4043" s="10">
        <v>9.3720000000000004E-5</v>
      </c>
      <c r="V4043" s="25"/>
      <c r="W4043" s="25"/>
      <c r="X4043" s="25"/>
      <c r="Y4043" s="25"/>
      <c r="Z4043" s="25"/>
      <c r="AA4043" s="25"/>
    </row>
    <row r="4044" spans="1:27" x14ac:dyDescent="0.35">
      <c r="A4044" s="5">
        <v>4040</v>
      </c>
      <c r="B4044" s="5">
        <v>169</v>
      </c>
      <c r="C4044" s="5">
        <v>6</v>
      </c>
      <c r="D4044" s="25">
        <v>1.1415000000000001E-4</v>
      </c>
      <c r="E4044" s="25">
        <v>1.0797E-4</v>
      </c>
      <c r="F4044" s="25">
        <v>1.3090000000000001E-4</v>
      </c>
      <c r="G4044" s="25">
        <v>1.5833000000000001E-4</v>
      </c>
      <c r="H4044" s="25">
        <v>2.0212E-4</v>
      </c>
      <c r="I4044" s="9">
        <v>1.1743000000000001E-4</v>
      </c>
      <c r="J4044" s="9">
        <v>1.2570999999999999E-4</v>
      </c>
      <c r="K4044" s="9">
        <v>0</v>
      </c>
      <c r="L4044" s="9">
        <v>9.7009999999999994E-5</v>
      </c>
      <c r="M4044" s="9">
        <v>8.3919999999999996E-5</v>
      </c>
      <c r="N4044" s="9">
        <v>9.1160000000000001E-5</v>
      </c>
      <c r="O4044" s="9">
        <v>1.9665000000000001E-4</v>
      </c>
      <c r="P4044" s="9">
        <v>1.7833000000000001E-4</v>
      </c>
      <c r="Q4044" s="9">
        <v>1.3776000000000001E-4</v>
      </c>
      <c r="R4044" s="10">
        <v>7.3319106399871383E-5</v>
      </c>
      <c r="S4044" s="10">
        <v>1.1937285818919168E-4</v>
      </c>
      <c r="T4044" s="10">
        <v>2.8141572514487712E-4</v>
      </c>
      <c r="U4044" s="10">
        <v>9.3720000000000004E-5</v>
      </c>
      <c r="V4044" s="25"/>
      <c r="W4044" s="25"/>
      <c r="X4044" s="25"/>
      <c r="Y4044" s="25"/>
      <c r="Z4044" s="25"/>
      <c r="AA4044" s="25"/>
    </row>
    <row r="4045" spans="1:27" x14ac:dyDescent="0.35">
      <c r="A4045" s="5">
        <v>4041</v>
      </c>
      <c r="B4045" s="5">
        <v>169</v>
      </c>
      <c r="C4045" s="5">
        <v>6</v>
      </c>
      <c r="D4045" s="25">
        <v>1.1416E-4</v>
      </c>
      <c r="E4045" s="25">
        <v>1.1141000000000001E-4</v>
      </c>
      <c r="F4045" s="25">
        <v>1.3051999999999999E-4</v>
      </c>
      <c r="G4045" s="25">
        <v>1.6338E-4</v>
      </c>
      <c r="H4045" s="25">
        <v>2.0132E-4</v>
      </c>
      <c r="I4045" s="9">
        <v>1.2008E-4</v>
      </c>
      <c r="J4045" s="9">
        <v>1.3038000000000001E-4</v>
      </c>
      <c r="K4045" s="9">
        <v>0</v>
      </c>
      <c r="L4045" s="9">
        <v>1.7322999999999999E-4</v>
      </c>
      <c r="M4045" s="9">
        <v>1.2401E-4</v>
      </c>
      <c r="N4045" s="9">
        <v>1.0507E-4</v>
      </c>
      <c r="O4045" s="9">
        <v>1.8749000000000001E-4</v>
      </c>
      <c r="P4045" s="9">
        <v>1.9253E-4</v>
      </c>
      <c r="Q4045" s="9">
        <v>1.7632999999999999E-4</v>
      </c>
      <c r="R4045" s="10">
        <v>9.3517190330376059E-5</v>
      </c>
      <c r="S4045" s="10">
        <v>1.1717527926548388E-4</v>
      </c>
      <c r="T4045" s="10">
        <v>4.711246586140638E-4</v>
      </c>
      <c r="U4045" s="10">
        <v>9.3720000000000004E-5</v>
      </c>
      <c r="V4045" s="25"/>
      <c r="W4045" s="25"/>
      <c r="X4045" s="25"/>
      <c r="Y4045" s="25"/>
      <c r="Z4045" s="25"/>
      <c r="AA4045" s="25"/>
    </row>
    <row r="4046" spans="1:27" x14ac:dyDescent="0.35">
      <c r="A4046" s="5">
        <v>4042</v>
      </c>
      <c r="B4046" s="5">
        <v>169</v>
      </c>
      <c r="C4046" s="5">
        <v>6</v>
      </c>
      <c r="D4046" s="25">
        <v>1.1415000000000001E-4</v>
      </c>
      <c r="E4046" s="25">
        <v>1.0873E-4</v>
      </c>
      <c r="F4046" s="25">
        <v>1.338E-4</v>
      </c>
      <c r="G4046" s="25">
        <v>1.6165E-4</v>
      </c>
      <c r="H4046" s="25">
        <v>2.0138E-4</v>
      </c>
      <c r="I4046" s="9">
        <v>1.199E-4</v>
      </c>
      <c r="J4046" s="9">
        <v>1.3097E-4</v>
      </c>
      <c r="K4046" s="9">
        <v>0</v>
      </c>
      <c r="L4046" s="9">
        <v>1.8234999999999999E-4</v>
      </c>
      <c r="M4046" s="9">
        <v>1.5885000000000001E-4</v>
      </c>
      <c r="N4046" s="9">
        <v>1.2486999999999999E-4</v>
      </c>
      <c r="O4046" s="9">
        <v>1.5171E-4</v>
      </c>
      <c r="P4046" s="9">
        <v>1.7548999999999999E-4</v>
      </c>
      <c r="Q4046" s="9">
        <v>1.8356000000000001E-4</v>
      </c>
      <c r="R4046" s="10">
        <v>1.0787666050293478E-4</v>
      </c>
      <c r="S4046" s="10">
        <v>1.2793352740698191E-4</v>
      </c>
      <c r="T4046" s="10">
        <v>5.5693486224140515E-4</v>
      </c>
      <c r="U4046" s="10">
        <v>9.3720000000000004E-5</v>
      </c>
      <c r="V4046" s="25"/>
      <c r="W4046" s="25"/>
      <c r="X4046" s="25"/>
      <c r="Y4046" s="25"/>
      <c r="Z4046" s="25"/>
      <c r="AA4046" s="25"/>
    </row>
    <row r="4047" spans="1:27" x14ac:dyDescent="0.35">
      <c r="A4047" s="5">
        <v>4043</v>
      </c>
      <c r="B4047" s="5">
        <v>169</v>
      </c>
      <c r="C4047" s="5">
        <v>6</v>
      </c>
      <c r="D4047" s="25">
        <v>1.1416E-4</v>
      </c>
      <c r="E4047" s="25">
        <v>1.1187E-4</v>
      </c>
      <c r="F4047" s="25">
        <v>1.3197E-4</v>
      </c>
      <c r="G4047" s="25">
        <v>1.6221000000000001E-4</v>
      </c>
      <c r="H4047" s="25">
        <v>1.9391999999999999E-4</v>
      </c>
      <c r="I4047" s="9">
        <v>1.2038E-4</v>
      </c>
      <c r="J4047" s="9">
        <v>1.3056999999999999E-4</v>
      </c>
      <c r="K4047" s="9">
        <v>0</v>
      </c>
      <c r="L4047" s="9">
        <v>1.5855E-4</v>
      </c>
      <c r="M4047" s="9">
        <v>1.7288000000000001E-4</v>
      </c>
      <c r="N4047" s="9">
        <v>1.4318999999999999E-4</v>
      </c>
      <c r="O4047" s="9">
        <v>1.5174000000000001E-4</v>
      </c>
      <c r="P4047" s="9">
        <v>1.7416999999999999E-4</v>
      </c>
      <c r="Q4047" s="9">
        <v>1.8090000000000001E-4</v>
      </c>
      <c r="R4047" s="10">
        <v>1.2857661611140659E-4</v>
      </c>
      <c r="S4047" s="10">
        <v>1.3735144174654339E-4</v>
      </c>
      <c r="T4047" s="10">
        <v>4.806864639816744E-4</v>
      </c>
      <c r="U4047" s="10">
        <v>9.3720000000000004E-5</v>
      </c>
      <c r="V4047" s="25"/>
      <c r="W4047" s="25"/>
      <c r="X4047" s="25"/>
      <c r="Y4047" s="25"/>
      <c r="Z4047" s="25"/>
      <c r="AA4047" s="25"/>
    </row>
    <row r="4048" spans="1:27" x14ac:dyDescent="0.35">
      <c r="A4048" s="5">
        <v>4044</v>
      </c>
      <c r="B4048" s="5">
        <v>169</v>
      </c>
      <c r="C4048" s="5">
        <v>6</v>
      </c>
      <c r="D4048" s="25">
        <v>1.1415000000000001E-4</v>
      </c>
      <c r="E4048" s="25">
        <v>1.0887000000000001E-4</v>
      </c>
      <c r="F4048" s="25">
        <v>1.2162E-4</v>
      </c>
      <c r="G4048" s="25">
        <v>1.6241000000000001E-4</v>
      </c>
      <c r="H4048" s="25">
        <v>1.9132E-4</v>
      </c>
      <c r="I4048" s="9">
        <v>1.1642E-4</v>
      </c>
      <c r="J4048" s="9">
        <v>1.2846E-4</v>
      </c>
      <c r="K4048" s="9">
        <v>0</v>
      </c>
      <c r="L4048" s="9">
        <v>1.5442E-4</v>
      </c>
      <c r="M4048" s="9">
        <v>1.7576000000000001E-4</v>
      </c>
      <c r="N4048" s="9">
        <v>1.5747999999999999E-4</v>
      </c>
      <c r="O4048" s="9">
        <v>1.5348E-4</v>
      </c>
      <c r="P4048" s="9">
        <v>1.7211E-4</v>
      </c>
      <c r="Q4048" s="9">
        <v>1.7479E-4</v>
      </c>
      <c r="R4048" s="10">
        <v>1.1644409140970203E-4</v>
      </c>
      <c r="S4048" s="10">
        <v>1.2250252941869587E-4</v>
      </c>
      <c r="T4048" s="10">
        <v>5.9825340007659932E-4</v>
      </c>
      <c r="U4048" s="10">
        <v>9.3720000000000004E-5</v>
      </c>
      <c r="V4048" s="25"/>
      <c r="W4048" s="25"/>
      <c r="X4048" s="25"/>
      <c r="Y4048" s="25"/>
      <c r="Z4048" s="25"/>
      <c r="AA4048" s="25"/>
    </row>
    <row r="4049" spans="1:27" x14ac:dyDescent="0.35">
      <c r="A4049" s="5">
        <v>4045</v>
      </c>
      <c r="B4049" s="5">
        <v>169</v>
      </c>
      <c r="C4049" s="5">
        <v>6</v>
      </c>
      <c r="D4049" s="25">
        <v>1.1416E-4</v>
      </c>
      <c r="E4049" s="25">
        <v>1.1896999999999999E-4</v>
      </c>
      <c r="F4049" s="25">
        <v>1.3548999999999999E-4</v>
      </c>
      <c r="G4049" s="25">
        <v>1.6525000000000001E-4</v>
      </c>
      <c r="H4049" s="25">
        <v>1.9174E-4</v>
      </c>
      <c r="I4049" s="9">
        <v>1.1487E-4</v>
      </c>
      <c r="J4049" s="9">
        <v>1.2839000000000001E-4</v>
      </c>
      <c r="K4049" s="9">
        <v>0</v>
      </c>
      <c r="L4049" s="9">
        <v>1.5380999999999999E-4</v>
      </c>
      <c r="M4049" s="9">
        <v>1.7471000000000001E-4</v>
      </c>
      <c r="N4049" s="9">
        <v>1.6698E-4</v>
      </c>
      <c r="O4049" s="9">
        <v>1.4689E-4</v>
      </c>
      <c r="P4049" s="9">
        <v>1.6516999999999999E-4</v>
      </c>
      <c r="Q4049" s="9">
        <v>1.6860000000000001E-4</v>
      </c>
      <c r="R4049" s="10">
        <v>1.2965876886547272E-4</v>
      </c>
      <c r="S4049" s="10">
        <v>1.3223999312809396E-4</v>
      </c>
      <c r="T4049" s="10">
        <v>4.093759279437266E-4</v>
      </c>
      <c r="U4049" s="10">
        <v>9.3720000000000004E-5</v>
      </c>
      <c r="V4049" s="25"/>
      <c r="W4049" s="25"/>
      <c r="X4049" s="25"/>
      <c r="Y4049" s="25"/>
      <c r="Z4049" s="25"/>
      <c r="AA4049" s="25"/>
    </row>
    <row r="4050" spans="1:27" x14ac:dyDescent="0.35">
      <c r="A4050" s="5">
        <v>4046</v>
      </c>
      <c r="B4050" s="5">
        <v>169</v>
      </c>
      <c r="C4050" s="5">
        <v>6</v>
      </c>
      <c r="D4050" s="25">
        <v>1.1415000000000001E-4</v>
      </c>
      <c r="E4050" s="25">
        <v>1.127E-4</v>
      </c>
      <c r="F4050" s="25">
        <v>1.2573E-4</v>
      </c>
      <c r="G4050" s="25">
        <v>1.5846E-4</v>
      </c>
      <c r="H4050" s="25">
        <v>1.9222E-4</v>
      </c>
      <c r="I4050" s="9">
        <v>1.1218E-4</v>
      </c>
      <c r="J4050" s="9">
        <v>1.2752E-4</v>
      </c>
      <c r="K4050" s="9">
        <v>0</v>
      </c>
      <c r="L4050" s="9">
        <v>1.4821999999999999E-4</v>
      </c>
      <c r="M4050" s="9">
        <v>1.7095000000000001E-4</v>
      </c>
      <c r="N4050" s="9">
        <v>1.7142000000000001E-4</v>
      </c>
      <c r="O4050" s="9">
        <v>1.5929E-4</v>
      </c>
      <c r="P4050" s="9">
        <v>1.6809E-4</v>
      </c>
      <c r="Q4050" s="9">
        <v>1.6009999999999999E-4</v>
      </c>
      <c r="R4050" s="10">
        <v>1.4650261304469109E-4</v>
      </c>
      <c r="S4050" s="10">
        <v>1.3894875823230028E-4</v>
      </c>
      <c r="T4050" s="10">
        <v>4.1592580704203659E-4</v>
      </c>
      <c r="U4050" s="10">
        <v>9.3720000000000004E-5</v>
      </c>
      <c r="V4050" s="25"/>
      <c r="W4050" s="25"/>
      <c r="X4050" s="25"/>
      <c r="Y4050" s="25"/>
      <c r="Z4050" s="25"/>
      <c r="AA4050" s="25"/>
    </row>
    <row r="4051" spans="1:27" x14ac:dyDescent="0.35">
      <c r="A4051" s="5">
        <v>4047</v>
      </c>
      <c r="B4051" s="5">
        <v>169</v>
      </c>
      <c r="C4051" s="5">
        <v>6</v>
      </c>
      <c r="D4051" s="25">
        <v>1.1416E-4</v>
      </c>
      <c r="E4051" s="25">
        <v>1.0778E-4</v>
      </c>
      <c r="F4051" s="25">
        <v>1.4169000000000001E-4</v>
      </c>
      <c r="G4051" s="25">
        <v>1.6323999999999999E-4</v>
      </c>
      <c r="H4051" s="25">
        <v>1.9975E-4</v>
      </c>
      <c r="I4051" s="9">
        <v>1.1124E-4</v>
      </c>
      <c r="J4051" s="9">
        <v>1.2640000000000001E-4</v>
      </c>
      <c r="K4051" s="9">
        <v>0</v>
      </c>
      <c r="L4051" s="9">
        <v>1.5699E-4</v>
      </c>
      <c r="M4051" s="9">
        <v>1.6885000000000001E-4</v>
      </c>
      <c r="N4051" s="9">
        <v>1.7065E-4</v>
      </c>
      <c r="O4051" s="9">
        <v>1.6538999999999999E-4</v>
      </c>
      <c r="P4051" s="9">
        <v>1.6820999999999999E-4</v>
      </c>
      <c r="Q4051" s="9">
        <v>1.5343E-4</v>
      </c>
      <c r="R4051" s="10">
        <v>1.5777333508644565E-4</v>
      </c>
      <c r="S4051" s="10">
        <v>1.552734200656149E-4</v>
      </c>
      <c r="T4051" s="10">
        <v>3.6939790940585502E-4</v>
      </c>
      <c r="U4051" s="10">
        <v>9.3720000000000004E-5</v>
      </c>
      <c r="V4051" s="25"/>
      <c r="W4051" s="25"/>
      <c r="X4051" s="25"/>
      <c r="Y4051" s="25"/>
      <c r="Z4051" s="25"/>
      <c r="AA4051" s="25"/>
    </row>
    <row r="4052" spans="1:27" x14ac:dyDescent="0.35">
      <c r="A4052" s="5">
        <v>4048</v>
      </c>
      <c r="B4052" s="5">
        <v>169</v>
      </c>
      <c r="C4052" s="5">
        <v>6</v>
      </c>
      <c r="D4052" s="25">
        <v>1.1415000000000001E-4</v>
      </c>
      <c r="E4052" s="25">
        <v>1.1629E-4</v>
      </c>
      <c r="F4052" s="25">
        <v>1.1955000000000001E-4</v>
      </c>
      <c r="G4052" s="25">
        <v>1.5870000000000001E-4</v>
      </c>
      <c r="H4052" s="25">
        <v>1.9126000000000001E-4</v>
      </c>
      <c r="I4052" s="9">
        <v>1.133E-4</v>
      </c>
      <c r="J4052" s="9">
        <v>1.2616999999999999E-4</v>
      </c>
      <c r="K4052" s="9">
        <v>0</v>
      </c>
      <c r="L4052" s="9">
        <v>1.6331000000000001E-4</v>
      </c>
      <c r="M4052" s="9">
        <v>1.6815999999999999E-4</v>
      </c>
      <c r="N4052" s="9">
        <v>1.6677E-4</v>
      </c>
      <c r="O4052" s="9">
        <v>1.7471000000000001E-4</v>
      </c>
      <c r="P4052" s="9">
        <v>1.5118E-4</v>
      </c>
      <c r="Q4052" s="9">
        <v>1.0885E-4</v>
      </c>
      <c r="R4052" s="10">
        <v>1.6762104815782648E-4</v>
      </c>
      <c r="S4052" s="10">
        <v>1.6910801778739716E-4</v>
      </c>
      <c r="T4052" s="10">
        <v>2.3281765846726085E-4</v>
      </c>
      <c r="U4052" s="10">
        <v>9.3720000000000004E-5</v>
      </c>
      <c r="V4052" s="25"/>
      <c r="W4052" s="25"/>
      <c r="X4052" s="25"/>
      <c r="Y4052" s="25"/>
      <c r="Z4052" s="25"/>
      <c r="AA4052" s="25"/>
    </row>
    <row r="4053" spans="1:27" x14ac:dyDescent="0.35">
      <c r="A4053" s="5">
        <v>4049</v>
      </c>
      <c r="B4053" s="5">
        <v>169</v>
      </c>
      <c r="C4053" s="5">
        <v>6</v>
      </c>
      <c r="D4053" s="25">
        <v>1.1416E-4</v>
      </c>
      <c r="E4053" s="25">
        <v>1.0846E-4</v>
      </c>
      <c r="F4053" s="25">
        <v>1.2642999999999999E-4</v>
      </c>
      <c r="G4053" s="25">
        <v>1.6100000000000001E-4</v>
      </c>
      <c r="H4053" s="25">
        <v>1.9069000000000001E-4</v>
      </c>
      <c r="I4053" s="9">
        <v>1.1383E-4</v>
      </c>
      <c r="J4053" s="9">
        <v>1.2587000000000001E-4</v>
      </c>
      <c r="K4053" s="9">
        <v>0</v>
      </c>
      <c r="L4053" s="9">
        <v>1.7199000000000001E-4</v>
      </c>
      <c r="M4053" s="9">
        <v>1.6199000000000001E-4</v>
      </c>
      <c r="N4053" s="9">
        <v>1.5265999999999999E-4</v>
      </c>
      <c r="O4053" s="9">
        <v>1.9082999999999999E-4</v>
      </c>
      <c r="P4053" s="9">
        <v>1.5972E-4</v>
      </c>
      <c r="Q4053" s="9">
        <v>1.0743000000000001E-4</v>
      </c>
      <c r="R4053" s="10">
        <v>1.7726749509902536E-4</v>
      </c>
      <c r="S4053" s="10">
        <v>1.6971637634201697E-4</v>
      </c>
      <c r="T4053" s="10">
        <v>1.5833399447235966E-4</v>
      </c>
      <c r="U4053" s="10">
        <v>9.3720000000000004E-5</v>
      </c>
      <c r="V4053" s="25"/>
      <c r="W4053" s="25"/>
      <c r="X4053" s="25"/>
      <c r="Y4053" s="25"/>
      <c r="Z4053" s="25"/>
      <c r="AA4053" s="25"/>
    </row>
    <row r="4054" spans="1:27" x14ac:dyDescent="0.35">
      <c r="A4054" s="5">
        <v>4050</v>
      </c>
      <c r="B4054" s="5">
        <v>169</v>
      </c>
      <c r="C4054" s="5">
        <v>6</v>
      </c>
      <c r="D4054" s="25">
        <v>1.1415000000000001E-4</v>
      </c>
      <c r="E4054" s="25">
        <v>1.0948E-4</v>
      </c>
      <c r="F4054" s="25">
        <v>1.1899E-4</v>
      </c>
      <c r="G4054" s="25">
        <v>1.6181999999999999E-4</v>
      </c>
      <c r="H4054" s="25">
        <v>1.9205000000000001E-4</v>
      </c>
      <c r="I4054" s="9">
        <v>1.1398E-4</v>
      </c>
      <c r="J4054" s="9">
        <v>1.2244E-4</v>
      </c>
      <c r="K4054" s="9">
        <v>0</v>
      </c>
      <c r="L4054" s="9">
        <v>1.8651E-4</v>
      </c>
      <c r="M4054" s="9">
        <v>1.5946999999999999E-4</v>
      </c>
      <c r="N4054" s="9">
        <v>1.3924E-4</v>
      </c>
      <c r="O4054" s="9">
        <v>1.8384E-4</v>
      </c>
      <c r="P4054" s="9">
        <v>1.6111000000000001E-4</v>
      </c>
      <c r="Q4054" s="9">
        <v>1.1820999999999999E-4</v>
      </c>
      <c r="R4054" s="10">
        <v>1.7449054216723314E-4</v>
      </c>
      <c r="S4054" s="10">
        <v>1.5952696881362324E-4</v>
      </c>
      <c r="T4054" s="10">
        <v>1.3215144667781982E-4</v>
      </c>
      <c r="U4054" s="10">
        <v>9.3720000000000004E-5</v>
      </c>
      <c r="V4054" s="25"/>
      <c r="W4054" s="25"/>
      <c r="X4054" s="25"/>
      <c r="Y4054" s="25"/>
      <c r="Z4054" s="25"/>
      <c r="AA4054" s="25"/>
    </row>
    <row r="4055" spans="1:27" x14ac:dyDescent="0.35">
      <c r="A4055" s="5">
        <v>4051</v>
      </c>
      <c r="B4055" s="5">
        <v>169</v>
      </c>
      <c r="C4055" s="5">
        <v>6</v>
      </c>
      <c r="D4055" s="25">
        <v>1.1416E-4</v>
      </c>
      <c r="E4055" s="25">
        <v>1.1107000000000001E-4</v>
      </c>
      <c r="F4055" s="25">
        <v>1.2981000000000001E-4</v>
      </c>
      <c r="G4055" s="25">
        <v>1.1296E-4</v>
      </c>
      <c r="H4055" s="25">
        <v>1.3113E-4</v>
      </c>
      <c r="I4055" s="9">
        <v>1.1168E-4</v>
      </c>
      <c r="J4055" s="9">
        <v>1.1862E-4</v>
      </c>
      <c r="K4055" s="9">
        <v>0</v>
      </c>
      <c r="L4055" s="9">
        <v>1.8406999999999999E-4</v>
      </c>
      <c r="M4055" s="9">
        <v>1.5957999999999999E-4</v>
      </c>
      <c r="N4055" s="9">
        <v>1.3018E-4</v>
      </c>
      <c r="O4055" s="9">
        <v>1.4919E-4</v>
      </c>
      <c r="P4055" s="9">
        <v>1.3589E-4</v>
      </c>
      <c r="Q4055" s="9">
        <v>1.0786E-4</v>
      </c>
      <c r="R4055" s="10">
        <v>1.7100522270901847E-4</v>
      </c>
      <c r="S4055" s="10">
        <v>1.5073663130371658E-4</v>
      </c>
      <c r="T4055" s="10">
        <v>5.314565112929273E-5</v>
      </c>
      <c r="U4055" s="10">
        <v>9.3720000000000004E-5</v>
      </c>
      <c r="V4055" s="25"/>
      <c r="W4055" s="25"/>
      <c r="X4055" s="25"/>
      <c r="Y4055" s="25"/>
      <c r="Z4055" s="25"/>
      <c r="AA4055" s="25"/>
    </row>
    <row r="4056" spans="1:27" x14ac:dyDescent="0.35">
      <c r="A4056" s="5">
        <v>4052</v>
      </c>
      <c r="B4056" s="5">
        <v>169</v>
      </c>
      <c r="C4056" s="5">
        <v>6</v>
      </c>
      <c r="D4056" s="25">
        <v>1.1415000000000001E-4</v>
      </c>
      <c r="E4056" s="25">
        <v>1.1778E-4</v>
      </c>
      <c r="F4056" s="25">
        <v>1.2245999999999999E-4</v>
      </c>
      <c r="G4056" s="25">
        <v>1.126E-4</v>
      </c>
      <c r="H4056" s="25">
        <v>1.3153000000000001E-4</v>
      </c>
      <c r="I4056" s="9">
        <v>1.102E-4</v>
      </c>
      <c r="J4056" s="9">
        <v>1.1534E-4</v>
      </c>
      <c r="K4056" s="9">
        <v>0</v>
      </c>
      <c r="L4056" s="9">
        <v>1.5698E-4</v>
      </c>
      <c r="M4056" s="9">
        <v>1.5126000000000001E-4</v>
      </c>
      <c r="N4056" s="9">
        <v>1.2120000000000001E-4</v>
      </c>
      <c r="O4056" s="9">
        <v>1.1688000000000001E-4</v>
      </c>
      <c r="P4056" s="9">
        <v>1.1387000000000001E-4</v>
      </c>
      <c r="Q4056" s="9">
        <v>1.0102000000000001E-4</v>
      </c>
      <c r="R4056" s="10">
        <v>1.5250885157840711E-4</v>
      </c>
      <c r="S4056" s="10">
        <v>1.5087359101756187E-4</v>
      </c>
      <c r="T4056" s="10">
        <v>8.6624696364955092E-6</v>
      </c>
      <c r="U4056" s="10">
        <v>9.3720000000000004E-5</v>
      </c>
      <c r="V4056" s="25"/>
      <c r="W4056" s="25"/>
      <c r="X4056" s="25"/>
      <c r="Y4056" s="25"/>
      <c r="Z4056" s="25"/>
      <c r="AA4056" s="25"/>
    </row>
    <row r="4057" spans="1:27" x14ac:dyDescent="0.35">
      <c r="A4057" s="5">
        <v>4053</v>
      </c>
      <c r="B4057" s="5">
        <v>169</v>
      </c>
      <c r="C4057" s="5">
        <v>6</v>
      </c>
      <c r="D4057" s="25">
        <v>1.1416E-4</v>
      </c>
      <c r="E4057" s="25">
        <v>1.137E-4</v>
      </c>
      <c r="F4057" s="25">
        <v>1.3893E-4</v>
      </c>
      <c r="G4057" s="25">
        <v>6.0619999999999999E-5</v>
      </c>
      <c r="H4057" s="25">
        <v>6.6760000000000005E-5</v>
      </c>
      <c r="I4057" s="9">
        <v>1.0885E-4</v>
      </c>
      <c r="J4057" s="9">
        <v>1.1157E-4</v>
      </c>
      <c r="K4057" s="9">
        <v>0</v>
      </c>
      <c r="L4057" s="9">
        <v>1.2655000000000001E-4</v>
      </c>
      <c r="M4057" s="9">
        <v>1.3545000000000001E-4</v>
      </c>
      <c r="N4057" s="9">
        <v>1.1328E-4</v>
      </c>
      <c r="O4057" s="9">
        <v>7.996E-5</v>
      </c>
      <c r="P4057" s="9">
        <v>8.6009999999999998E-5</v>
      </c>
      <c r="Q4057" s="9">
        <v>8.7999999999999998E-5</v>
      </c>
      <c r="R4057" s="10">
        <v>1.1615941755330379E-4</v>
      </c>
      <c r="S4057" s="10">
        <v>1.5426066051392397E-4</v>
      </c>
      <c r="T4057" s="10">
        <v>0</v>
      </c>
      <c r="U4057" s="10">
        <v>9.3720000000000004E-5</v>
      </c>
      <c r="V4057" s="25"/>
      <c r="W4057" s="25"/>
      <c r="X4057" s="25"/>
      <c r="Y4057" s="25"/>
      <c r="Z4057" s="25"/>
      <c r="AA4057" s="25"/>
    </row>
    <row r="4058" spans="1:27" x14ac:dyDescent="0.35">
      <c r="A4058" s="5">
        <v>4054</v>
      </c>
      <c r="B4058" s="5">
        <v>169</v>
      </c>
      <c r="C4058" s="5">
        <v>6</v>
      </c>
      <c r="D4058" s="25">
        <v>1.1415000000000001E-4</v>
      </c>
      <c r="E4058" s="25">
        <v>1.1501E-4</v>
      </c>
      <c r="F4058" s="25">
        <v>1.3684999999999999E-4</v>
      </c>
      <c r="G4058" s="25">
        <v>6.0390000000000003E-5</v>
      </c>
      <c r="H4058" s="25">
        <v>6.8009999999999994E-5</v>
      </c>
      <c r="I4058" s="9">
        <v>1.1087E-4</v>
      </c>
      <c r="J4058" s="9">
        <v>1.0983E-4</v>
      </c>
      <c r="K4058" s="9">
        <v>0</v>
      </c>
      <c r="L4058" s="9">
        <v>9.1039999999999996E-5</v>
      </c>
      <c r="M4058" s="9">
        <v>1.1355E-4</v>
      </c>
      <c r="N4058" s="9">
        <v>1.0561E-4</v>
      </c>
      <c r="O4058" s="9">
        <v>8.2130000000000001E-5</v>
      </c>
      <c r="P4058" s="9">
        <v>8.7169999999999994E-5</v>
      </c>
      <c r="Q4058" s="9">
        <v>8.7819999999999996E-5</v>
      </c>
      <c r="R4058" s="10">
        <v>9.3436711486849299E-5</v>
      </c>
      <c r="S4058" s="10">
        <v>1.53280686318116E-4</v>
      </c>
      <c r="T4058" s="10">
        <v>0</v>
      </c>
      <c r="U4058" s="10">
        <v>9.3720000000000004E-5</v>
      </c>
      <c r="V4058" s="25"/>
      <c r="W4058" s="25"/>
      <c r="X4058" s="25"/>
      <c r="Y4058" s="25"/>
      <c r="Z4058" s="25"/>
      <c r="AA4058" s="25"/>
    </row>
    <row r="4059" spans="1:27" x14ac:dyDescent="0.35">
      <c r="A4059" s="5">
        <v>4055</v>
      </c>
      <c r="B4059" s="5">
        <v>169</v>
      </c>
      <c r="C4059" s="5">
        <v>6</v>
      </c>
      <c r="D4059" s="25">
        <v>1.1416E-4</v>
      </c>
      <c r="E4059" s="25">
        <v>1.1714000000000001E-4</v>
      </c>
      <c r="F4059" s="25">
        <v>1.3046999999999999E-4</v>
      </c>
      <c r="G4059" s="25">
        <v>6.2139999999999998E-5</v>
      </c>
      <c r="H4059" s="25">
        <v>6.4729999999999999E-5</v>
      </c>
      <c r="I4059" s="9">
        <v>1.0689E-4</v>
      </c>
      <c r="J4059" s="9">
        <v>1.0653E-4</v>
      </c>
      <c r="K4059" s="9">
        <v>0</v>
      </c>
      <c r="L4059" s="9">
        <v>8.488E-5</v>
      </c>
      <c r="M4059" s="9">
        <v>9.87E-5</v>
      </c>
      <c r="N4059" s="9">
        <v>9.9679999999999994E-5</v>
      </c>
      <c r="O4059" s="9">
        <v>7.4140000000000005E-5</v>
      </c>
      <c r="P4059" s="9">
        <v>7.1899999999999999E-5</v>
      </c>
      <c r="Q4059" s="9">
        <v>6.6669999999999997E-5</v>
      </c>
      <c r="R4059" s="10">
        <v>8.2542019805833186E-5</v>
      </c>
      <c r="S4059" s="10">
        <v>1.4714661759767164E-4</v>
      </c>
      <c r="T4059" s="10">
        <v>0</v>
      </c>
      <c r="U4059" s="10">
        <v>9.3720000000000004E-5</v>
      </c>
      <c r="V4059" s="25"/>
      <c r="W4059" s="25"/>
      <c r="X4059" s="25"/>
      <c r="Y4059" s="25"/>
      <c r="Z4059" s="25"/>
      <c r="AA4059" s="25"/>
    </row>
    <row r="4060" spans="1:27" x14ac:dyDescent="0.35">
      <c r="A4060" s="5">
        <v>4056</v>
      </c>
      <c r="B4060" s="5">
        <v>169</v>
      </c>
      <c r="C4060" s="5">
        <v>6</v>
      </c>
      <c r="D4060" s="25">
        <v>1.1415000000000001E-4</v>
      </c>
      <c r="E4060" s="25">
        <v>1.1307E-4</v>
      </c>
      <c r="F4060" s="25">
        <v>1.2232000000000001E-4</v>
      </c>
      <c r="G4060" s="25">
        <v>6.0810000000000002E-5</v>
      </c>
      <c r="H4060" s="25">
        <v>7.0080000000000007E-5</v>
      </c>
      <c r="I4060" s="9">
        <v>9.9199999999999999E-5</v>
      </c>
      <c r="J4060" s="9">
        <v>9.9160000000000006E-5</v>
      </c>
      <c r="K4060" s="9">
        <v>0</v>
      </c>
      <c r="L4060" s="9">
        <v>7.6489999999999994E-5</v>
      </c>
      <c r="M4060" s="9">
        <v>8.5790000000000004E-5</v>
      </c>
      <c r="N4060" s="9">
        <v>9.0340000000000006E-5</v>
      </c>
      <c r="O4060" s="9">
        <v>6.1699999999999995E-5</v>
      </c>
      <c r="P4060" s="9">
        <v>6.084E-5</v>
      </c>
      <c r="Q4060" s="9">
        <v>5.9020000000000001E-5</v>
      </c>
      <c r="R4060" s="10">
        <v>8.9775383442401488E-5</v>
      </c>
      <c r="S4060" s="10">
        <v>1.535699513204628E-4</v>
      </c>
      <c r="T4060" s="10">
        <v>0</v>
      </c>
      <c r="U4060" s="10">
        <v>9.3720000000000004E-5</v>
      </c>
      <c r="V4060" s="25"/>
      <c r="W4060" s="25"/>
      <c r="X4060" s="25"/>
      <c r="Y4060" s="25"/>
      <c r="Z4060" s="25"/>
      <c r="AA4060" s="25"/>
    </row>
    <row r="4061" spans="1:27" x14ac:dyDescent="0.35">
      <c r="A4061" s="5">
        <v>4057</v>
      </c>
      <c r="B4061" s="5">
        <v>170</v>
      </c>
      <c r="C4061" s="5">
        <v>6</v>
      </c>
      <c r="D4061" s="25">
        <v>1.1416E-4</v>
      </c>
      <c r="E4061" s="25">
        <v>1.2095E-4</v>
      </c>
      <c r="F4061" s="25">
        <v>1.0958E-4</v>
      </c>
      <c r="G4061" s="25">
        <v>5.6669999999999998E-5</v>
      </c>
      <c r="H4061" s="25">
        <v>6.5879999999999999E-5</v>
      </c>
      <c r="I4061" s="9">
        <v>9.4359999999999998E-5</v>
      </c>
      <c r="J4061" s="9">
        <v>9.3739999999999994E-5</v>
      </c>
      <c r="K4061" s="9">
        <v>0</v>
      </c>
      <c r="L4061" s="9">
        <v>6.4950000000000007E-5</v>
      </c>
      <c r="M4061" s="9">
        <v>7.3850000000000006E-5</v>
      </c>
      <c r="N4061" s="9">
        <v>8.0959999999999997E-5</v>
      </c>
      <c r="O4061" s="9">
        <v>5.4509999999999998E-5</v>
      </c>
      <c r="P4061" s="9">
        <v>5.3919999999999999E-5</v>
      </c>
      <c r="Q4061" s="9">
        <v>5.3499999999999999E-5</v>
      </c>
      <c r="R4061" s="10">
        <v>1.0134666910199255E-4</v>
      </c>
      <c r="S4061" s="10">
        <v>1.4630996027055116E-4</v>
      </c>
      <c r="T4061" s="10">
        <v>0</v>
      </c>
      <c r="U4061" s="10">
        <v>9.5370000000000003E-5</v>
      </c>
      <c r="V4061" s="25"/>
      <c r="W4061" s="25"/>
      <c r="X4061" s="25"/>
      <c r="Y4061" s="25"/>
      <c r="Z4061" s="25"/>
      <c r="AA4061" s="25"/>
    </row>
    <row r="4062" spans="1:27" x14ac:dyDescent="0.35">
      <c r="A4062" s="5">
        <v>4058</v>
      </c>
      <c r="B4062" s="5">
        <v>170</v>
      </c>
      <c r="C4062" s="5">
        <v>6</v>
      </c>
      <c r="D4062" s="25">
        <v>1.1415000000000001E-4</v>
      </c>
      <c r="E4062" s="25">
        <v>1.147E-4</v>
      </c>
      <c r="F4062" s="25">
        <v>1.1623E-4</v>
      </c>
      <c r="G4062" s="25">
        <v>6.2749999999999994E-5</v>
      </c>
      <c r="H4062" s="25">
        <v>6.7769999999999997E-5</v>
      </c>
      <c r="I4062" s="9">
        <v>9.1249999999999995E-5</v>
      </c>
      <c r="J4062" s="9">
        <v>9.0420000000000005E-5</v>
      </c>
      <c r="K4062" s="9">
        <v>2.9669999999999999E-5</v>
      </c>
      <c r="L4062" s="9">
        <v>5.7120000000000002E-5</v>
      </c>
      <c r="M4062" s="9">
        <v>6.3839999999999999E-5</v>
      </c>
      <c r="N4062" s="9">
        <v>7.1920000000000003E-5</v>
      </c>
      <c r="O4062" s="9">
        <v>2.406E-5</v>
      </c>
      <c r="P4062" s="9">
        <v>3.7660000000000002E-5</v>
      </c>
      <c r="Q4062" s="9">
        <v>5.6039999999999999E-5</v>
      </c>
      <c r="R4062" s="10">
        <v>1.0706556058201708E-4</v>
      </c>
      <c r="S4062" s="10">
        <v>1.4221042736647048E-4</v>
      </c>
      <c r="T4062" s="10">
        <v>0</v>
      </c>
      <c r="U4062" s="10">
        <v>9.5370000000000003E-5</v>
      </c>
      <c r="V4062" s="25"/>
      <c r="W4062" s="25"/>
      <c r="X4062" s="25"/>
      <c r="Y4062" s="25"/>
      <c r="Z4062" s="25"/>
      <c r="AA4062" s="25"/>
    </row>
    <row r="4063" spans="1:27" x14ac:dyDescent="0.35">
      <c r="A4063" s="5">
        <v>4059</v>
      </c>
      <c r="B4063" s="5">
        <v>170</v>
      </c>
      <c r="C4063" s="5">
        <v>6</v>
      </c>
      <c r="D4063" s="25">
        <v>1.1416E-4</v>
      </c>
      <c r="E4063" s="25">
        <v>1.1627E-4</v>
      </c>
      <c r="F4063" s="25">
        <v>1.0997000000000001E-4</v>
      </c>
      <c r="G4063" s="25">
        <v>5.8489999999999997E-5</v>
      </c>
      <c r="H4063" s="25">
        <v>6.8689999999999995E-5</v>
      </c>
      <c r="I4063" s="9">
        <v>8.9909999999999998E-5</v>
      </c>
      <c r="J4063" s="9">
        <v>8.8670000000000003E-5</v>
      </c>
      <c r="K4063" s="9">
        <v>3.18E-5</v>
      </c>
      <c r="L4063" s="9">
        <v>3.1510000000000002E-5</v>
      </c>
      <c r="M4063" s="9">
        <v>5.2139999999999999E-5</v>
      </c>
      <c r="N4063" s="9">
        <v>6.5370000000000006E-5</v>
      </c>
      <c r="O4063" s="9">
        <v>1.965E-5</v>
      </c>
      <c r="P4063" s="9">
        <v>3.8139999999999997E-5</v>
      </c>
      <c r="Q4063" s="9">
        <v>6.2169999999999996E-5</v>
      </c>
      <c r="R4063" s="10">
        <v>1.0505513734759687E-4</v>
      </c>
      <c r="S4063" s="10">
        <v>1.4428746144492117E-4</v>
      </c>
      <c r="T4063" s="10">
        <v>0</v>
      </c>
      <c r="U4063" s="10">
        <v>9.5370000000000003E-5</v>
      </c>
      <c r="V4063" s="25"/>
      <c r="W4063" s="25"/>
      <c r="X4063" s="25"/>
      <c r="Y4063" s="25"/>
      <c r="Z4063" s="25"/>
      <c r="AA4063" s="25"/>
    </row>
    <row r="4064" spans="1:27" x14ac:dyDescent="0.35">
      <c r="A4064" s="5">
        <v>4060</v>
      </c>
      <c r="B4064" s="5">
        <v>170</v>
      </c>
      <c r="C4064" s="5">
        <v>6</v>
      </c>
      <c r="D4064" s="25">
        <v>1.1415000000000001E-4</v>
      </c>
      <c r="E4064" s="25">
        <v>1.1029E-4</v>
      </c>
      <c r="F4064" s="25">
        <v>1.178E-4</v>
      </c>
      <c r="G4064" s="25">
        <v>5.6509999999999999E-5</v>
      </c>
      <c r="H4064" s="25">
        <v>7.4320000000000007E-5</v>
      </c>
      <c r="I4064" s="9">
        <v>8.878E-5</v>
      </c>
      <c r="J4064" s="9">
        <v>8.7600000000000002E-5</v>
      </c>
      <c r="K4064" s="9">
        <v>3.18E-5</v>
      </c>
      <c r="L4064" s="9">
        <v>2.2900000000000001E-5</v>
      </c>
      <c r="M4064" s="9">
        <v>4.4299999999999999E-5</v>
      </c>
      <c r="N4064" s="9">
        <v>6.1970000000000005E-5</v>
      </c>
      <c r="O4064" s="9">
        <v>1.946E-5</v>
      </c>
      <c r="P4064" s="9">
        <v>4.7209999999999997E-5</v>
      </c>
      <c r="Q4064" s="9">
        <v>8.03E-5</v>
      </c>
      <c r="R4064" s="10">
        <v>1.0394707940153062E-4</v>
      </c>
      <c r="S4064" s="10">
        <v>1.44122898721153E-4</v>
      </c>
      <c r="T4064" s="10">
        <v>0</v>
      </c>
      <c r="U4064" s="10">
        <v>9.5370000000000003E-5</v>
      </c>
      <c r="V4064" s="25"/>
      <c r="W4064" s="25"/>
      <c r="X4064" s="25"/>
      <c r="Y4064" s="25"/>
      <c r="Z4064" s="25"/>
      <c r="AA4064" s="25"/>
    </row>
    <row r="4065" spans="1:27" x14ac:dyDescent="0.35">
      <c r="A4065" s="5">
        <v>4061</v>
      </c>
      <c r="B4065" s="5">
        <v>170</v>
      </c>
      <c r="C4065" s="5">
        <v>6</v>
      </c>
      <c r="D4065" s="25">
        <v>1.1416E-4</v>
      </c>
      <c r="E4065" s="25">
        <v>1.1726999999999999E-4</v>
      </c>
      <c r="F4065" s="25">
        <v>1.0575E-4</v>
      </c>
      <c r="G4065" s="25">
        <v>5.7089999999999997E-5</v>
      </c>
      <c r="H4065" s="25">
        <v>7.3899999999999994E-5</v>
      </c>
      <c r="I4065" s="9">
        <v>8.6180000000000005E-5</v>
      </c>
      <c r="J4065" s="9">
        <v>8.5890000000000006E-5</v>
      </c>
      <c r="K4065" s="9">
        <v>0</v>
      </c>
      <c r="L4065" s="9">
        <v>2.0420000000000001E-5</v>
      </c>
      <c r="M4065" s="9">
        <v>4.3600000000000003E-5</v>
      </c>
      <c r="N4065" s="9">
        <v>6.4529999999999994E-5</v>
      </c>
      <c r="O4065" s="9">
        <v>2.4300000000000001E-5</v>
      </c>
      <c r="P4065" s="9">
        <v>5.7049999999999998E-5</v>
      </c>
      <c r="Q4065" s="9">
        <v>9.433E-5</v>
      </c>
      <c r="R4065" s="10">
        <v>9.5053426118863176E-5</v>
      </c>
      <c r="S4065" s="10">
        <v>1.3890271580807971E-4</v>
      </c>
      <c r="T4065" s="10">
        <v>7.5595107209769823E-6</v>
      </c>
      <c r="U4065" s="10">
        <v>9.5370000000000003E-5</v>
      </c>
      <c r="V4065" s="25"/>
      <c r="W4065" s="25"/>
      <c r="X4065" s="25"/>
      <c r="Y4065" s="25"/>
      <c r="Z4065" s="25"/>
      <c r="AA4065" s="25"/>
    </row>
    <row r="4066" spans="1:27" x14ac:dyDescent="0.35">
      <c r="A4066" s="5">
        <v>4062</v>
      </c>
      <c r="B4066" s="5">
        <v>170</v>
      </c>
      <c r="C4066" s="5">
        <v>6</v>
      </c>
      <c r="D4066" s="25">
        <v>1.1415000000000001E-4</v>
      </c>
      <c r="E4066" s="25">
        <v>1.2058E-4</v>
      </c>
      <c r="F4066" s="25">
        <v>1.0103E-4</v>
      </c>
      <c r="G4066" s="25">
        <v>1.0788E-4</v>
      </c>
      <c r="H4066" s="25">
        <v>1.2967999999999999E-4</v>
      </c>
      <c r="I4066" s="9">
        <v>8.8410000000000002E-5</v>
      </c>
      <c r="J4066" s="9">
        <v>8.7839999999999999E-5</v>
      </c>
      <c r="K4066" s="9">
        <v>0</v>
      </c>
      <c r="L4066" s="9">
        <v>2.334E-5</v>
      </c>
      <c r="M4066" s="9">
        <v>4.8600000000000002E-5</v>
      </c>
      <c r="N4066" s="9">
        <v>7.1229999999999994E-5</v>
      </c>
      <c r="O4066" s="9">
        <v>4.7080000000000003E-5</v>
      </c>
      <c r="P4066" s="9">
        <v>7.6160000000000003E-5</v>
      </c>
      <c r="Q4066" s="9">
        <v>1.0605E-4</v>
      </c>
      <c r="R4066" s="10">
        <v>8.8242472007735482E-5</v>
      </c>
      <c r="S4066" s="10">
        <v>1.3095654076878129E-4</v>
      </c>
      <c r="T4066" s="10">
        <v>5.789685876537253E-5</v>
      </c>
      <c r="U4066" s="10">
        <v>9.5370000000000003E-5</v>
      </c>
      <c r="V4066" s="25"/>
      <c r="W4066" s="25"/>
      <c r="X4066" s="25"/>
      <c r="Y4066" s="25"/>
      <c r="Z4066" s="25"/>
      <c r="AA4066" s="25"/>
    </row>
    <row r="4067" spans="1:27" x14ac:dyDescent="0.35">
      <c r="A4067" s="5">
        <v>4063</v>
      </c>
      <c r="B4067" s="5">
        <v>170</v>
      </c>
      <c r="C4067" s="5">
        <v>6</v>
      </c>
      <c r="D4067" s="25">
        <v>1.1416E-4</v>
      </c>
      <c r="E4067" s="25">
        <v>1.1924E-4</v>
      </c>
      <c r="F4067" s="25">
        <v>1.1035999999999999E-4</v>
      </c>
      <c r="G4067" s="25">
        <v>1.0921000000000001E-4</v>
      </c>
      <c r="H4067" s="25">
        <v>1.2630000000000001E-4</v>
      </c>
      <c r="I4067" s="9">
        <v>9.2969999999999999E-5</v>
      </c>
      <c r="J4067" s="9">
        <v>9.3059999999999993E-5</v>
      </c>
      <c r="K4067" s="9">
        <v>0</v>
      </c>
      <c r="L4067" s="9">
        <v>4.1730000000000002E-5</v>
      </c>
      <c r="M4067" s="9">
        <v>5.9929999999999997E-5</v>
      </c>
      <c r="N4067" s="9">
        <v>8.072E-5</v>
      </c>
      <c r="O4067" s="9">
        <v>1.1359E-4</v>
      </c>
      <c r="P4067" s="9">
        <v>1.1796E-4</v>
      </c>
      <c r="Q4067" s="9">
        <v>1.1299E-4</v>
      </c>
      <c r="R4067" s="10">
        <v>8.6354788591434727E-5</v>
      </c>
      <c r="S4067" s="10">
        <v>1.181902114099496E-4</v>
      </c>
      <c r="T4067" s="10">
        <v>1.2838441776635655E-4</v>
      </c>
      <c r="U4067" s="10">
        <v>9.5370000000000003E-5</v>
      </c>
      <c r="V4067" s="25"/>
      <c r="W4067" s="25"/>
      <c r="X4067" s="25"/>
      <c r="Y4067" s="25"/>
      <c r="Z4067" s="25"/>
      <c r="AA4067" s="25"/>
    </row>
    <row r="4068" spans="1:27" x14ac:dyDescent="0.35">
      <c r="A4068" s="5">
        <v>4064</v>
      </c>
      <c r="B4068" s="5">
        <v>170</v>
      </c>
      <c r="C4068" s="5">
        <v>6</v>
      </c>
      <c r="D4068" s="25">
        <v>1.1415000000000001E-4</v>
      </c>
      <c r="E4068" s="25">
        <v>1.109E-4</v>
      </c>
      <c r="F4068" s="25">
        <v>1.1376E-4</v>
      </c>
      <c r="G4068" s="25">
        <v>1.6676000000000001E-4</v>
      </c>
      <c r="H4068" s="25">
        <v>2.0225000000000001E-4</v>
      </c>
      <c r="I4068" s="9">
        <v>9.7029999999999998E-5</v>
      </c>
      <c r="J4068" s="9">
        <v>1.0051E-4</v>
      </c>
      <c r="K4068" s="9">
        <v>0</v>
      </c>
      <c r="L4068" s="9">
        <v>9.7260000000000001E-5</v>
      </c>
      <c r="M4068" s="9">
        <v>8.373E-5</v>
      </c>
      <c r="N4068" s="9">
        <v>9.0920000000000004E-5</v>
      </c>
      <c r="O4068" s="9">
        <v>1.9349999999999999E-4</v>
      </c>
      <c r="P4068" s="9">
        <v>1.7547E-4</v>
      </c>
      <c r="Q4068" s="9">
        <v>1.3554999999999999E-4</v>
      </c>
      <c r="R4068" s="10">
        <v>6.7368254879077719E-5</v>
      </c>
      <c r="S4068" s="10">
        <v>1.0989618526715061E-4</v>
      </c>
      <c r="T4068" s="10">
        <v>1.3335621718554009E-4</v>
      </c>
      <c r="U4068" s="10">
        <v>9.5370000000000003E-5</v>
      </c>
      <c r="V4068" s="25"/>
      <c r="W4068" s="25"/>
      <c r="X4068" s="25"/>
      <c r="Y4068" s="25"/>
      <c r="Z4068" s="25"/>
      <c r="AA4068" s="25"/>
    </row>
    <row r="4069" spans="1:27" x14ac:dyDescent="0.35">
      <c r="A4069" s="5">
        <v>4065</v>
      </c>
      <c r="B4069" s="5">
        <v>170</v>
      </c>
      <c r="C4069" s="5">
        <v>6</v>
      </c>
      <c r="D4069" s="25">
        <v>1.1416E-4</v>
      </c>
      <c r="E4069" s="25">
        <v>1.2059E-4</v>
      </c>
      <c r="F4069" s="25">
        <v>1.2037E-4</v>
      </c>
      <c r="G4069" s="25">
        <v>1.5777E-4</v>
      </c>
      <c r="H4069" s="25">
        <v>1.9223999999999999E-4</v>
      </c>
      <c r="I4069" s="9">
        <v>1.0247999999999999E-4</v>
      </c>
      <c r="J4069" s="9">
        <v>1.0793000000000001E-4</v>
      </c>
      <c r="K4069" s="9">
        <v>0</v>
      </c>
      <c r="L4069" s="9">
        <v>1.7081E-4</v>
      </c>
      <c r="M4069" s="9">
        <v>1.2292999999999999E-4</v>
      </c>
      <c r="N4069" s="9">
        <v>1.0438E-4</v>
      </c>
      <c r="O4069" s="9">
        <v>1.8913999999999999E-4</v>
      </c>
      <c r="P4069" s="9">
        <v>1.9422999999999999E-4</v>
      </c>
      <c r="Q4069" s="9">
        <v>1.7788E-4</v>
      </c>
      <c r="R4069" s="10">
        <v>5.2585622736701038E-5</v>
      </c>
      <c r="S4069" s="10">
        <v>1.0185746696008018E-4</v>
      </c>
      <c r="T4069" s="10">
        <v>3.4228208868279956E-4</v>
      </c>
      <c r="U4069" s="10">
        <v>9.5370000000000003E-5</v>
      </c>
      <c r="V4069" s="25"/>
      <c r="W4069" s="25"/>
      <c r="X4069" s="25"/>
      <c r="Y4069" s="25"/>
      <c r="Z4069" s="25"/>
      <c r="AA4069" s="25"/>
    </row>
    <row r="4070" spans="1:27" x14ac:dyDescent="0.35">
      <c r="A4070" s="5">
        <v>4066</v>
      </c>
      <c r="B4070" s="5">
        <v>170</v>
      </c>
      <c r="C4070" s="5">
        <v>6</v>
      </c>
      <c r="D4070" s="25">
        <v>1.1415000000000001E-4</v>
      </c>
      <c r="E4070" s="25">
        <v>1.1587E-4</v>
      </c>
      <c r="F4070" s="25">
        <v>1.0060000000000001E-4</v>
      </c>
      <c r="G4070" s="25">
        <v>1.6254999999999999E-4</v>
      </c>
      <c r="H4070" s="25">
        <v>1.8940999999999999E-4</v>
      </c>
      <c r="I4070" s="9">
        <v>1.0393E-4</v>
      </c>
      <c r="J4070" s="9">
        <v>1.1075E-4</v>
      </c>
      <c r="K4070" s="9">
        <v>0</v>
      </c>
      <c r="L4070" s="9">
        <v>1.8317999999999999E-4</v>
      </c>
      <c r="M4070" s="9">
        <v>1.5851999999999999E-4</v>
      </c>
      <c r="N4070" s="9">
        <v>1.2459999999999999E-4</v>
      </c>
      <c r="O4070" s="9">
        <v>1.5043000000000001E-4</v>
      </c>
      <c r="P4070" s="9">
        <v>1.7401E-4</v>
      </c>
      <c r="Q4070" s="9">
        <v>1.8201E-4</v>
      </c>
      <c r="R4070" s="10">
        <v>4.3699497940189694E-5</v>
      </c>
      <c r="S4070" s="10">
        <v>9.4323964766651155E-5</v>
      </c>
      <c r="T4070" s="10">
        <v>3.7644836216582347E-4</v>
      </c>
      <c r="U4070" s="10">
        <v>9.5370000000000003E-5</v>
      </c>
      <c r="V4070" s="25"/>
      <c r="W4070" s="25"/>
      <c r="X4070" s="25"/>
      <c r="Y4070" s="25"/>
      <c r="Z4070" s="25"/>
      <c r="AA4070" s="25"/>
    </row>
    <row r="4071" spans="1:27" x14ac:dyDescent="0.35">
      <c r="A4071" s="5">
        <v>4067</v>
      </c>
      <c r="B4071" s="5">
        <v>170</v>
      </c>
      <c r="C4071" s="5">
        <v>6</v>
      </c>
      <c r="D4071" s="25">
        <v>1.1416E-4</v>
      </c>
      <c r="E4071" s="25">
        <v>1.1885E-4</v>
      </c>
      <c r="F4071" s="25">
        <v>1.1559E-4</v>
      </c>
      <c r="G4071" s="25">
        <v>1.6605999999999999E-4</v>
      </c>
      <c r="H4071" s="25">
        <v>1.9096E-4</v>
      </c>
      <c r="I4071" s="9">
        <v>1.058E-4</v>
      </c>
      <c r="J4071" s="9">
        <v>1.1131E-4</v>
      </c>
      <c r="K4071" s="9">
        <v>0</v>
      </c>
      <c r="L4071" s="9">
        <v>1.5765000000000001E-4</v>
      </c>
      <c r="M4071" s="9">
        <v>1.7237E-4</v>
      </c>
      <c r="N4071" s="9">
        <v>1.4265E-4</v>
      </c>
      <c r="O4071" s="9">
        <v>1.4909E-4</v>
      </c>
      <c r="P4071" s="9">
        <v>1.7113E-4</v>
      </c>
      <c r="Q4071" s="9">
        <v>1.7773999999999999E-4</v>
      </c>
      <c r="R4071" s="10">
        <v>5.8131527078959345E-5</v>
      </c>
      <c r="S4071" s="10">
        <v>9.7667579586288019E-5</v>
      </c>
      <c r="T4071" s="10">
        <v>2.2071904759395756E-4</v>
      </c>
      <c r="U4071" s="10">
        <v>9.5370000000000003E-5</v>
      </c>
      <c r="V4071" s="25"/>
      <c r="W4071" s="25"/>
      <c r="X4071" s="25"/>
      <c r="Y4071" s="25"/>
      <c r="Z4071" s="25"/>
      <c r="AA4071" s="25"/>
    </row>
    <row r="4072" spans="1:27" x14ac:dyDescent="0.35">
      <c r="A4072" s="5">
        <v>4068</v>
      </c>
      <c r="B4072" s="5">
        <v>170</v>
      </c>
      <c r="C4072" s="5">
        <v>6</v>
      </c>
      <c r="D4072" s="25">
        <v>1.1415000000000001E-4</v>
      </c>
      <c r="E4072" s="25">
        <v>1.2053999999999999E-4</v>
      </c>
      <c r="F4072" s="25">
        <v>1.059E-4</v>
      </c>
      <c r="G4072" s="25">
        <v>1.6239999999999999E-4</v>
      </c>
      <c r="H4072" s="25">
        <v>1.9935999999999999E-4</v>
      </c>
      <c r="I4072" s="9">
        <v>1.0524E-4</v>
      </c>
      <c r="J4072" s="9">
        <v>1.1038E-4</v>
      </c>
      <c r="K4072" s="9">
        <v>0</v>
      </c>
      <c r="L4072" s="9">
        <v>1.5218E-4</v>
      </c>
      <c r="M4072" s="9">
        <v>1.7427E-4</v>
      </c>
      <c r="N4072" s="9">
        <v>1.5637E-4</v>
      </c>
      <c r="O4072" s="9">
        <v>1.5134E-4</v>
      </c>
      <c r="P4072" s="9">
        <v>1.6971999999999999E-4</v>
      </c>
      <c r="Q4072" s="9">
        <v>1.7236000000000001E-4</v>
      </c>
      <c r="R4072" s="10">
        <v>8.3405810247229423E-5</v>
      </c>
      <c r="S4072" s="10">
        <v>9.8805400536758288E-5</v>
      </c>
      <c r="T4072" s="10">
        <v>2.2440123351191943E-4</v>
      </c>
      <c r="U4072" s="10">
        <v>9.5370000000000003E-5</v>
      </c>
      <c r="V4072" s="25"/>
      <c r="W4072" s="25"/>
      <c r="X4072" s="25"/>
      <c r="Y4072" s="25"/>
      <c r="Z4072" s="25"/>
      <c r="AA4072" s="25"/>
    </row>
    <row r="4073" spans="1:27" x14ac:dyDescent="0.35">
      <c r="A4073" s="5">
        <v>4069</v>
      </c>
      <c r="B4073" s="5">
        <v>170</v>
      </c>
      <c r="C4073" s="5">
        <v>6</v>
      </c>
      <c r="D4073" s="25">
        <v>1.1416E-4</v>
      </c>
      <c r="E4073" s="25">
        <v>1.1915E-4</v>
      </c>
      <c r="F4073" s="25">
        <v>1.2022E-4</v>
      </c>
      <c r="G4073" s="25">
        <v>1.6168000000000001E-4</v>
      </c>
      <c r="H4073" s="25">
        <v>1.9014999999999999E-4</v>
      </c>
      <c r="I4073" s="9">
        <v>1.0198E-4</v>
      </c>
      <c r="J4073" s="9">
        <v>1.0957E-4</v>
      </c>
      <c r="K4073" s="9">
        <v>0</v>
      </c>
      <c r="L4073" s="9">
        <v>1.5171E-4</v>
      </c>
      <c r="M4073" s="9">
        <v>1.7260999999999999E-4</v>
      </c>
      <c r="N4073" s="9">
        <v>1.6546E-4</v>
      </c>
      <c r="O4073" s="9">
        <v>1.4698000000000001E-4</v>
      </c>
      <c r="P4073" s="9">
        <v>1.6527999999999999E-4</v>
      </c>
      <c r="Q4073" s="9">
        <v>1.6871E-4</v>
      </c>
      <c r="R4073" s="10">
        <v>1.1207014573979755E-4</v>
      </c>
      <c r="S4073" s="10">
        <v>1.1773261044893197E-4</v>
      </c>
      <c r="T4073" s="10">
        <v>1.7750002670433159E-4</v>
      </c>
      <c r="U4073" s="10">
        <v>9.5370000000000003E-5</v>
      </c>
      <c r="V4073" s="25"/>
      <c r="W4073" s="25"/>
      <c r="X4073" s="25"/>
      <c r="Y4073" s="25"/>
      <c r="Z4073" s="25"/>
      <c r="AA4073" s="25"/>
    </row>
    <row r="4074" spans="1:27" x14ac:dyDescent="0.35">
      <c r="A4074" s="5">
        <v>4070</v>
      </c>
      <c r="B4074" s="5">
        <v>170</v>
      </c>
      <c r="C4074" s="5">
        <v>6</v>
      </c>
      <c r="D4074" s="25">
        <v>1.1415000000000001E-4</v>
      </c>
      <c r="E4074" s="25">
        <v>1.2026E-4</v>
      </c>
      <c r="F4074" s="25">
        <v>1.0313E-4</v>
      </c>
      <c r="G4074" s="25">
        <v>1.6470999999999999E-4</v>
      </c>
      <c r="H4074" s="25">
        <v>1.9832000000000001E-4</v>
      </c>
      <c r="I4074" s="9">
        <v>9.7979999999999994E-5</v>
      </c>
      <c r="J4074" s="9">
        <v>1.0788E-4</v>
      </c>
      <c r="K4074" s="9">
        <v>0</v>
      </c>
      <c r="L4074" s="9">
        <v>1.4781000000000001E-4</v>
      </c>
      <c r="M4074" s="9">
        <v>1.6951999999999999E-4</v>
      </c>
      <c r="N4074" s="9">
        <v>1.7013E-4</v>
      </c>
      <c r="O4074" s="9">
        <v>1.5965E-4</v>
      </c>
      <c r="P4074" s="9">
        <v>1.6848000000000001E-4</v>
      </c>
      <c r="Q4074" s="9">
        <v>1.6046999999999999E-4</v>
      </c>
      <c r="R4074" s="10">
        <v>1.2588498852543378E-4</v>
      </c>
      <c r="S4074" s="10">
        <v>1.2523703540491169E-4</v>
      </c>
      <c r="T4074" s="10">
        <v>1.7135739397482842E-4</v>
      </c>
      <c r="U4074" s="10">
        <v>9.5370000000000003E-5</v>
      </c>
      <c r="V4074" s="25"/>
      <c r="W4074" s="25"/>
      <c r="X4074" s="25"/>
      <c r="Y4074" s="25"/>
      <c r="Z4074" s="25"/>
      <c r="AA4074" s="25"/>
    </row>
    <row r="4075" spans="1:27" x14ac:dyDescent="0.35">
      <c r="A4075" s="5">
        <v>4071</v>
      </c>
      <c r="B4075" s="5">
        <v>170</v>
      </c>
      <c r="C4075" s="5">
        <v>6</v>
      </c>
      <c r="D4075" s="25">
        <v>1.1416E-4</v>
      </c>
      <c r="E4075" s="25">
        <v>1.1001999999999999E-4</v>
      </c>
      <c r="F4075" s="25">
        <v>1.0797E-4</v>
      </c>
      <c r="G4075" s="25">
        <v>1.5948000000000001E-4</v>
      </c>
      <c r="H4075" s="25">
        <v>1.9206E-4</v>
      </c>
      <c r="I4075" s="9">
        <v>9.5260000000000006E-5</v>
      </c>
      <c r="J4075" s="9">
        <v>1.0684E-4</v>
      </c>
      <c r="K4075" s="9">
        <v>0</v>
      </c>
      <c r="L4075" s="9">
        <v>1.5712000000000001E-4</v>
      </c>
      <c r="M4075" s="9">
        <v>1.6829E-4</v>
      </c>
      <c r="N4075" s="9">
        <v>1.6962999999999999E-4</v>
      </c>
      <c r="O4075" s="9">
        <v>1.6391999999999999E-4</v>
      </c>
      <c r="P4075" s="9">
        <v>1.6672E-4</v>
      </c>
      <c r="Q4075" s="9">
        <v>1.5207E-4</v>
      </c>
      <c r="R4075" s="10">
        <v>1.2242559765941434E-4</v>
      </c>
      <c r="S4075" s="10">
        <v>1.296231583397292E-4</v>
      </c>
      <c r="T4075" s="10">
        <v>9.9334176791468585E-5</v>
      </c>
      <c r="U4075" s="10">
        <v>9.5370000000000003E-5</v>
      </c>
      <c r="V4075" s="25"/>
      <c r="W4075" s="25"/>
      <c r="X4075" s="25"/>
      <c r="Y4075" s="25"/>
      <c r="Z4075" s="25"/>
      <c r="AA4075" s="25"/>
    </row>
    <row r="4076" spans="1:27" x14ac:dyDescent="0.35">
      <c r="A4076" s="5">
        <v>4072</v>
      </c>
      <c r="B4076" s="5">
        <v>170</v>
      </c>
      <c r="C4076" s="5">
        <v>6</v>
      </c>
      <c r="D4076" s="25">
        <v>1.1415000000000001E-4</v>
      </c>
      <c r="E4076" s="25">
        <v>1.1997000000000001E-4</v>
      </c>
      <c r="F4076" s="25">
        <v>1.1909999999999999E-4</v>
      </c>
      <c r="G4076" s="25">
        <v>1.6033E-4</v>
      </c>
      <c r="H4076" s="25">
        <v>1.8896000000000001E-4</v>
      </c>
      <c r="I4076" s="9">
        <v>9.4770000000000002E-5</v>
      </c>
      <c r="J4076" s="9">
        <v>1.0697E-4</v>
      </c>
      <c r="K4076" s="9">
        <v>0</v>
      </c>
      <c r="L4076" s="9">
        <v>1.6218E-4</v>
      </c>
      <c r="M4076" s="9">
        <v>1.6746999999999999E-4</v>
      </c>
      <c r="N4076" s="9">
        <v>1.6573E-4</v>
      </c>
      <c r="O4076" s="9">
        <v>1.7696000000000001E-4</v>
      </c>
      <c r="P4076" s="9">
        <v>1.5312E-4</v>
      </c>
      <c r="Q4076" s="9">
        <v>1.1024E-4</v>
      </c>
      <c r="R4076" s="10">
        <v>1.2955858515303092E-4</v>
      </c>
      <c r="S4076" s="10">
        <v>1.2663850251021726E-4</v>
      </c>
      <c r="T4076" s="10">
        <v>1.7599830571935637E-4</v>
      </c>
      <c r="U4076" s="10">
        <v>9.5370000000000003E-5</v>
      </c>
      <c r="V4076" s="25"/>
      <c r="W4076" s="25"/>
      <c r="X4076" s="25"/>
      <c r="Y4076" s="25"/>
      <c r="Z4076" s="25"/>
      <c r="AA4076" s="25"/>
    </row>
    <row r="4077" spans="1:27" x14ac:dyDescent="0.35">
      <c r="A4077" s="5">
        <v>4073</v>
      </c>
      <c r="B4077" s="5">
        <v>170</v>
      </c>
      <c r="C4077" s="5">
        <v>6</v>
      </c>
      <c r="D4077" s="25">
        <v>1.1416E-4</v>
      </c>
      <c r="E4077" s="25">
        <v>1.105E-4</v>
      </c>
      <c r="F4077" s="25">
        <v>1.1341E-4</v>
      </c>
      <c r="G4077" s="25">
        <v>1.5861E-4</v>
      </c>
      <c r="H4077" s="25">
        <v>2.0196E-4</v>
      </c>
      <c r="I4077" s="9">
        <v>9.9959999999999998E-5</v>
      </c>
      <c r="J4077" s="9">
        <v>1.0921000000000001E-4</v>
      </c>
      <c r="K4077" s="9">
        <v>0</v>
      </c>
      <c r="L4077" s="9">
        <v>1.7354E-4</v>
      </c>
      <c r="M4077" s="9">
        <v>1.6218E-4</v>
      </c>
      <c r="N4077" s="9">
        <v>1.5226000000000001E-4</v>
      </c>
      <c r="O4077" s="9">
        <v>1.8949E-4</v>
      </c>
      <c r="P4077" s="9">
        <v>1.5859000000000001E-4</v>
      </c>
      <c r="Q4077" s="9">
        <v>1.0666999999999999E-4</v>
      </c>
      <c r="R4077" s="10">
        <v>1.3155050972894297E-4</v>
      </c>
      <c r="S4077" s="10">
        <v>1.2208433087366829E-4</v>
      </c>
      <c r="T4077" s="10">
        <v>1.503417844845254E-4</v>
      </c>
      <c r="U4077" s="10">
        <v>9.5370000000000003E-5</v>
      </c>
      <c r="V4077" s="25"/>
      <c r="W4077" s="25"/>
      <c r="X4077" s="25"/>
      <c r="Y4077" s="25"/>
      <c r="Z4077" s="25"/>
      <c r="AA4077" s="25"/>
    </row>
    <row r="4078" spans="1:27" x14ac:dyDescent="0.35">
      <c r="A4078" s="5">
        <v>4074</v>
      </c>
      <c r="B4078" s="5">
        <v>170</v>
      </c>
      <c r="C4078" s="5">
        <v>6</v>
      </c>
      <c r="D4078" s="25">
        <v>1.1415000000000001E-4</v>
      </c>
      <c r="E4078" s="25">
        <v>1.1088E-4</v>
      </c>
      <c r="F4078" s="25">
        <v>1.1903E-4</v>
      </c>
      <c r="G4078" s="25">
        <v>1.6637999999999999E-4</v>
      </c>
      <c r="H4078" s="25">
        <v>1.9757999999999999E-4</v>
      </c>
      <c r="I4078" s="9">
        <v>1.0203E-4</v>
      </c>
      <c r="J4078" s="9">
        <v>1.0908000000000001E-4</v>
      </c>
      <c r="K4078" s="9">
        <v>0</v>
      </c>
      <c r="L4078" s="9">
        <v>1.8573E-4</v>
      </c>
      <c r="M4078" s="9">
        <v>1.5943000000000001E-4</v>
      </c>
      <c r="N4078" s="9">
        <v>1.3893E-4</v>
      </c>
      <c r="O4078" s="9">
        <v>1.8417999999999999E-4</v>
      </c>
      <c r="P4078" s="9">
        <v>1.6140999999999999E-4</v>
      </c>
      <c r="Q4078" s="9">
        <v>1.1843E-4</v>
      </c>
      <c r="R4078" s="10">
        <v>1.4562466129307961E-4</v>
      </c>
      <c r="S4078" s="10">
        <v>1.1641143272616204E-4</v>
      </c>
      <c r="T4078" s="10">
        <v>7.0860868172390297E-5</v>
      </c>
      <c r="U4078" s="10">
        <v>9.5370000000000003E-5</v>
      </c>
      <c r="V4078" s="25"/>
      <c r="W4078" s="25"/>
      <c r="X4078" s="25"/>
      <c r="Y4078" s="25"/>
      <c r="Z4078" s="25"/>
      <c r="AA4078" s="25"/>
    </row>
    <row r="4079" spans="1:27" x14ac:dyDescent="0.35">
      <c r="A4079" s="5">
        <v>4075</v>
      </c>
      <c r="B4079" s="5">
        <v>170</v>
      </c>
      <c r="C4079" s="5">
        <v>6</v>
      </c>
      <c r="D4079" s="25">
        <v>1.1416E-4</v>
      </c>
      <c r="E4079" s="25">
        <v>1.1045E-4</v>
      </c>
      <c r="F4079" s="25">
        <v>1.2178E-4</v>
      </c>
      <c r="G4079" s="25">
        <v>1.13E-4</v>
      </c>
      <c r="H4079" s="25">
        <v>1.2962999999999999E-4</v>
      </c>
      <c r="I4079" s="9">
        <v>1.024E-4</v>
      </c>
      <c r="J4079" s="9">
        <v>1.0751000000000001E-4</v>
      </c>
      <c r="K4079" s="9">
        <v>0</v>
      </c>
      <c r="L4079" s="9">
        <v>1.8421E-4</v>
      </c>
      <c r="M4079" s="9">
        <v>1.5957999999999999E-4</v>
      </c>
      <c r="N4079" s="9">
        <v>1.3006000000000001E-4</v>
      </c>
      <c r="O4079" s="9">
        <v>1.4868999999999999E-4</v>
      </c>
      <c r="P4079" s="9">
        <v>1.3543999999999999E-4</v>
      </c>
      <c r="Q4079" s="9">
        <v>1.075E-4</v>
      </c>
      <c r="R4079" s="10">
        <v>1.3655494340102288E-4</v>
      </c>
      <c r="S4079" s="10">
        <v>1.0716894071414634E-4</v>
      </c>
      <c r="T4079" s="10">
        <v>3.5744353162150425E-5</v>
      </c>
      <c r="U4079" s="10">
        <v>9.5370000000000003E-5</v>
      </c>
      <c r="V4079" s="25"/>
      <c r="W4079" s="25"/>
      <c r="X4079" s="25"/>
      <c r="Y4079" s="25"/>
      <c r="Z4079" s="25"/>
      <c r="AA4079" s="25"/>
    </row>
    <row r="4080" spans="1:27" x14ac:dyDescent="0.35">
      <c r="A4080" s="5">
        <v>4076</v>
      </c>
      <c r="B4080" s="5">
        <v>170</v>
      </c>
      <c r="C4080" s="5">
        <v>6</v>
      </c>
      <c r="D4080" s="25">
        <v>1.1415000000000001E-4</v>
      </c>
      <c r="E4080" s="25">
        <v>1.1612000000000001E-4</v>
      </c>
      <c r="F4080" s="25">
        <v>1.2244999999999999E-4</v>
      </c>
      <c r="G4080" s="25">
        <v>1.1224E-4</v>
      </c>
      <c r="H4080" s="25">
        <v>1.3185000000000001E-4</v>
      </c>
      <c r="I4080" s="9">
        <v>1.0107000000000001E-4</v>
      </c>
      <c r="J4080" s="9">
        <v>1.0573000000000001E-4</v>
      </c>
      <c r="K4080" s="9">
        <v>0</v>
      </c>
      <c r="L4080" s="9">
        <v>1.5662E-4</v>
      </c>
      <c r="M4080" s="9">
        <v>1.5108999999999999E-4</v>
      </c>
      <c r="N4080" s="9">
        <v>1.2108999999999999E-4</v>
      </c>
      <c r="O4080" s="9">
        <v>1.1875E-4</v>
      </c>
      <c r="P4080" s="9">
        <v>1.1569999999999999E-4</v>
      </c>
      <c r="Q4080" s="9">
        <v>1.0264000000000001E-4</v>
      </c>
      <c r="R4080" s="10">
        <v>1.1854280722607046E-4</v>
      </c>
      <c r="S4080" s="10">
        <v>9.9106164408335629E-5</v>
      </c>
      <c r="T4080" s="10">
        <v>3.7161231153624225E-6</v>
      </c>
      <c r="U4080" s="10">
        <v>9.5370000000000003E-5</v>
      </c>
      <c r="V4080" s="25"/>
      <c r="W4080" s="25"/>
      <c r="X4080" s="25"/>
      <c r="Y4080" s="25"/>
      <c r="Z4080" s="25"/>
      <c r="AA4080" s="25"/>
    </row>
    <row r="4081" spans="1:27" x14ac:dyDescent="0.35">
      <c r="A4081" s="5">
        <v>4077</v>
      </c>
      <c r="B4081" s="5">
        <v>170</v>
      </c>
      <c r="C4081" s="5">
        <v>6</v>
      </c>
      <c r="D4081" s="25">
        <v>1.1416E-4</v>
      </c>
      <c r="E4081" s="25">
        <v>1.1552000000000001E-4</v>
      </c>
      <c r="F4081" s="25">
        <v>1.2150999999999999E-4</v>
      </c>
      <c r="G4081" s="25">
        <v>5.9079999999999997E-5</v>
      </c>
      <c r="H4081" s="25">
        <v>6.6240000000000003E-5</v>
      </c>
      <c r="I4081" s="9">
        <v>1.0103E-4</v>
      </c>
      <c r="J4081" s="9">
        <v>1.042E-4</v>
      </c>
      <c r="K4081" s="9">
        <v>0</v>
      </c>
      <c r="L4081" s="9">
        <v>1.2793E-4</v>
      </c>
      <c r="M4081" s="9">
        <v>1.3595999999999999E-4</v>
      </c>
      <c r="N4081" s="9">
        <v>1.1357999999999999E-4</v>
      </c>
      <c r="O4081" s="9">
        <v>7.9629999999999995E-5</v>
      </c>
      <c r="P4081" s="9">
        <v>8.5649999999999995E-5</v>
      </c>
      <c r="Q4081" s="9">
        <v>8.763E-5</v>
      </c>
      <c r="R4081" s="10">
        <v>9.1116377132573854E-5</v>
      </c>
      <c r="S4081" s="10">
        <v>9.1745693408209618E-5</v>
      </c>
      <c r="T4081" s="10">
        <v>0</v>
      </c>
      <c r="U4081" s="10">
        <v>9.5370000000000003E-5</v>
      </c>
      <c r="V4081" s="25"/>
      <c r="W4081" s="25"/>
      <c r="X4081" s="25"/>
      <c r="Y4081" s="25"/>
      <c r="Z4081" s="25"/>
      <c r="AA4081" s="25"/>
    </row>
    <row r="4082" spans="1:27" x14ac:dyDescent="0.35">
      <c r="A4082" s="5">
        <v>4078</v>
      </c>
      <c r="B4082" s="5">
        <v>170</v>
      </c>
      <c r="C4082" s="5">
        <v>6</v>
      </c>
      <c r="D4082" s="25">
        <v>1.1415000000000001E-4</v>
      </c>
      <c r="E4082" s="25">
        <v>1.2032999999999999E-4</v>
      </c>
      <c r="F4082" s="25">
        <v>1.1591000000000001E-4</v>
      </c>
      <c r="G4082" s="25">
        <v>5.3829999999999998E-5</v>
      </c>
      <c r="H4082" s="25">
        <v>6.9120000000000002E-5</v>
      </c>
      <c r="I4082" s="9">
        <v>1.0168E-4</v>
      </c>
      <c r="J4082" s="9">
        <v>1.0329E-4</v>
      </c>
      <c r="K4082" s="9">
        <v>0</v>
      </c>
      <c r="L4082" s="9">
        <v>9.1039999999999996E-5</v>
      </c>
      <c r="M4082" s="9">
        <v>1.1395000000000001E-4</v>
      </c>
      <c r="N4082" s="9">
        <v>1.0579E-4</v>
      </c>
      <c r="O4082" s="9">
        <v>8.2700000000000004E-5</v>
      </c>
      <c r="P4082" s="9">
        <v>8.7780000000000003E-5</v>
      </c>
      <c r="Q4082" s="9">
        <v>8.8430000000000005E-5</v>
      </c>
      <c r="R4082" s="10">
        <v>7.8273596039641797E-5</v>
      </c>
      <c r="S4082" s="10">
        <v>8.8230338056628047E-5</v>
      </c>
      <c r="T4082" s="10">
        <v>0</v>
      </c>
      <c r="U4082" s="10">
        <v>9.5370000000000003E-5</v>
      </c>
      <c r="V4082" s="25"/>
      <c r="W4082" s="25"/>
      <c r="X4082" s="25"/>
      <c r="Y4082" s="25"/>
      <c r="Z4082" s="25"/>
      <c r="AA4082" s="25"/>
    </row>
    <row r="4083" spans="1:27" x14ac:dyDescent="0.35">
      <c r="A4083" s="5">
        <v>4079</v>
      </c>
      <c r="B4083" s="5">
        <v>170</v>
      </c>
      <c r="C4083" s="5">
        <v>6</v>
      </c>
      <c r="D4083" s="25">
        <v>1.1416E-4</v>
      </c>
      <c r="E4083" s="25">
        <v>1.1166E-4</v>
      </c>
      <c r="F4083" s="25">
        <v>1.1417E-4</v>
      </c>
      <c r="G4083" s="25">
        <v>5.9469999999999998E-5</v>
      </c>
      <c r="H4083" s="25">
        <v>6.7929999999999995E-5</v>
      </c>
      <c r="I4083" s="9">
        <v>9.8820000000000006E-5</v>
      </c>
      <c r="J4083" s="9">
        <v>9.9380000000000001E-5</v>
      </c>
      <c r="K4083" s="9">
        <v>0</v>
      </c>
      <c r="L4083" s="9">
        <v>8.5359999999999996E-5</v>
      </c>
      <c r="M4083" s="9">
        <v>9.9110000000000005E-5</v>
      </c>
      <c r="N4083" s="9">
        <v>1E-4</v>
      </c>
      <c r="O4083" s="9">
        <v>7.4060000000000006E-5</v>
      </c>
      <c r="P4083" s="9">
        <v>7.182E-5</v>
      </c>
      <c r="Q4083" s="9">
        <v>6.6589999999999998E-5</v>
      </c>
      <c r="R4083" s="10">
        <v>6.9507449051662469E-5</v>
      </c>
      <c r="S4083" s="10">
        <v>8.5579272868576016E-5</v>
      </c>
      <c r="T4083" s="10">
        <v>0</v>
      </c>
      <c r="U4083" s="10">
        <v>9.5370000000000003E-5</v>
      </c>
      <c r="V4083" s="25"/>
      <c r="W4083" s="25"/>
      <c r="X4083" s="25"/>
      <c r="Y4083" s="25"/>
      <c r="Z4083" s="25"/>
      <c r="AA4083" s="25"/>
    </row>
    <row r="4084" spans="1:27" x14ac:dyDescent="0.35">
      <c r="A4084" s="5">
        <v>4080</v>
      </c>
      <c r="B4084" s="5">
        <v>170</v>
      </c>
      <c r="C4084" s="5">
        <v>6</v>
      </c>
      <c r="D4084" s="25">
        <v>1.1415000000000001E-4</v>
      </c>
      <c r="E4084" s="25">
        <v>1.1963E-4</v>
      </c>
      <c r="F4084" s="25">
        <v>1.0194E-4</v>
      </c>
      <c r="G4084" s="25">
        <v>5.3609999999999997E-5</v>
      </c>
      <c r="H4084" s="25">
        <v>7.2139999999999997E-5</v>
      </c>
      <c r="I4084" s="9">
        <v>9.3529999999999994E-5</v>
      </c>
      <c r="J4084" s="9">
        <v>9.3350000000000006E-5</v>
      </c>
      <c r="K4084" s="9">
        <v>0</v>
      </c>
      <c r="L4084" s="9">
        <v>7.6530000000000001E-5</v>
      </c>
      <c r="M4084" s="9">
        <v>8.6030000000000001E-5</v>
      </c>
      <c r="N4084" s="9">
        <v>9.0600000000000007E-5</v>
      </c>
      <c r="O4084" s="9">
        <v>6.1149999999999996E-5</v>
      </c>
      <c r="P4084" s="9">
        <v>6.0300000000000002E-5</v>
      </c>
      <c r="Q4084" s="9">
        <v>5.8499999999999999E-5</v>
      </c>
      <c r="R4084" s="10">
        <v>7.5342486320611844E-5</v>
      </c>
      <c r="S4084" s="10">
        <v>9.2859234157587878E-5</v>
      </c>
      <c r="T4084" s="10">
        <v>0</v>
      </c>
      <c r="U4084" s="10">
        <v>9.5370000000000003E-5</v>
      </c>
      <c r="V4084" s="25"/>
      <c r="W4084" s="25"/>
      <c r="X4084" s="25"/>
      <c r="Y4084" s="25"/>
      <c r="Z4084" s="25"/>
      <c r="AA4084" s="25"/>
    </row>
    <row r="4085" spans="1:27" x14ac:dyDescent="0.35">
      <c r="A4085" s="5">
        <v>4081</v>
      </c>
      <c r="B4085" s="5">
        <v>171</v>
      </c>
      <c r="C4085" s="5">
        <v>6</v>
      </c>
      <c r="D4085" s="25">
        <v>1.1416E-4</v>
      </c>
      <c r="E4085" s="25">
        <v>1.1792E-4</v>
      </c>
      <c r="F4085" s="25">
        <v>1.2006999999999999E-4</v>
      </c>
      <c r="G4085" s="25">
        <v>5.7859999999999998E-5</v>
      </c>
      <c r="H4085" s="25">
        <v>7.5160000000000005E-5</v>
      </c>
      <c r="I4085" s="9">
        <v>8.8670000000000003E-5</v>
      </c>
      <c r="J4085" s="9">
        <v>8.8189999999999994E-5</v>
      </c>
      <c r="K4085" s="9">
        <v>0</v>
      </c>
      <c r="L4085" s="9">
        <v>6.4540000000000002E-5</v>
      </c>
      <c r="M4085" s="9">
        <v>7.3759999999999999E-5</v>
      </c>
      <c r="N4085" s="9">
        <v>8.106E-5</v>
      </c>
      <c r="O4085" s="9">
        <v>5.4979999999999999E-5</v>
      </c>
      <c r="P4085" s="9">
        <v>5.4389999999999999E-5</v>
      </c>
      <c r="Q4085" s="9">
        <v>5.397E-5</v>
      </c>
      <c r="R4085" s="10">
        <v>7.4662164836493533E-5</v>
      </c>
      <c r="S4085" s="10">
        <v>9.2601816189259858E-5</v>
      </c>
      <c r="T4085" s="10">
        <v>0</v>
      </c>
      <c r="U4085" s="10">
        <v>9.7629999999999999E-5</v>
      </c>
      <c r="V4085" s="25"/>
      <c r="W4085" s="25"/>
      <c r="X4085" s="25"/>
      <c r="Y4085" s="25"/>
      <c r="Z4085" s="25"/>
      <c r="AA4085" s="25"/>
    </row>
    <row r="4086" spans="1:27" x14ac:dyDescent="0.35">
      <c r="A4086" s="5">
        <v>4082</v>
      </c>
      <c r="B4086" s="5">
        <v>171</v>
      </c>
      <c r="C4086" s="5">
        <v>6</v>
      </c>
      <c r="D4086" s="25">
        <v>1.1415000000000001E-4</v>
      </c>
      <c r="E4086" s="25">
        <v>1.0870999999999999E-4</v>
      </c>
      <c r="F4086" s="25">
        <v>1.082E-4</v>
      </c>
      <c r="G4086" s="25">
        <v>5.889E-5</v>
      </c>
      <c r="H4086" s="25">
        <v>7.0419999999999993E-5</v>
      </c>
      <c r="I4086" s="9">
        <v>8.5859999999999994E-5</v>
      </c>
      <c r="J4086" s="9">
        <v>8.5799999999999998E-5</v>
      </c>
      <c r="K4086" s="9">
        <v>0</v>
      </c>
      <c r="L4086" s="9">
        <v>5.7410000000000001E-5</v>
      </c>
      <c r="M4086" s="9">
        <v>6.3880000000000005E-5</v>
      </c>
      <c r="N4086" s="9">
        <v>7.2039999999999995E-5</v>
      </c>
      <c r="O4086" s="9">
        <v>2.4170000000000001E-5</v>
      </c>
      <c r="P4086" s="9">
        <v>3.782E-5</v>
      </c>
      <c r="Q4086" s="9">
        <v>5.6289999999999998E-5</v>
      </c>
      <c r="R4086" s="10">
        <v>7.6368181714593755E-5</v>
      </c>
      <c r="S4086" s="10">
        <v>8.8259847494226107E-5</v>
      </c>
      <c r="T4086" s="10">
        <v>0</v>
      </c>
      <c r="U4086" s="10">
        <v>9.7629999999999999E-5</v>
      </c>
      <c r="V4086" s="25"/>
      <c r="W4086" s="25"/>
      <c r="X4086" s="25"/>
      <c r="Y4086" s="25"/>
      <c r="Z4086" s="25"/>
      <c r="AA4086" s="25"/>
    </row>
    <row r="4087" spans="1:27" x14ac:dyDescent="0.35">
      <c r="A4087" s="5">
        <v>4083</v>
      </c>
      <c r="B4087" s="5">
        <v>171</v>
      </c>
      <c r="C4087" s="5">
        <v>6</v>
      </c>
      <c r="D4087" s="25">
        <v>1.1416E-4</v>
      </c>
      <c r="E4087" s="25">
        <v>1.1353000000000001E-4</v>
      </c>
      <c r="F4087" s="25">
        <v>1.1809E-4</v>
      </c>
      <c r="G4087" s="25">
        <v>5.2129999999999997E-5</v>
      </c>
      <c r="H4087" s="25">
        <v>6.9439999999999999E-5</v>
      </c>
      <c r="I4087" s="9">
        <v>8.3900000000000006E-5</v>
      </c>
      <c r="J4087" s="9">
        <v>8.4289999999999994E-5</v>
      </c>
      <c r="K4087" s="9">
        <v>0</v>
      </c>
      <c r="L4087" s="9">
        <v>3.1640000000000002E-5</v>
      </c>
      <c r="M4087" s="9">
        <v>5.2259999999999998E-5</v>
      </c>
      <c r="N4087" s="9">
        <v>6.5510000000000001E-5</v>
      </c>
      <c r="O4087" s="9">
        <v>1.9510000000000001E-5</v>
      </c>
      <c r="P4087" s="9">
        <v>3.7870000000000002E-5</v>
      </c>
      <c r="Q4087" s="9">
        <v>6.1719999999999999E-5</v>
      </c>
      <c r="R4087" s="10">
        <v>7.7388145802599972E-5</v>
      </c>
      <c r="S4087" s="10">
        <v>7.6031115736409E-5</v>
      </c>
      <c r="T4087" s="10">
        <v>0</v>
      </c>
      <c r="U4087" s="10">
        <v>9.7629999999999999E-5</v>
      </c>
      <c r="V4087" s="25"/>
      <c r="W4087" s="25"/>
      <c r="X4087" s="25"/>
      <c r="Y4087" s="25"/>
      <c r="Z4087" s="25"/>
      <c r="AA4087" s="25"/>
    </row>
    <row r="4088" spans="1:27" x14ac:dyDescent="0.35">
      <c r="A4088" s="5">
        <v>4084</v>
      </c>
      <c r="B4088" s="5">
        <v>171</v>
      </c>
      <c r="C4088" s="5">
        <v>6</v>
      </c>
      <c r="D4088" s="25">
        <v>1.1415000000000001E-4</v>
      </c>
      <c r="E4088" s="25">
        <v>1.0882000000000001E-4</v>
      </c>
      <c r="F4088" s="25">
        <v>1.0134E-4</v>
      </c>
      <c r="G4088" s="25">
        <v>6.1329999999999997E-5</v>
      </c>
      <c r="H4088" s="25">
        <v>6.2470000000000003E-5</v>
      </c>
      <c r="I4088" s="9">
        <v>8.318E-5</v>
      </c>
      <c r="J4088" s="9">
        <v>8.3599999999999999E-5</v>
      </c>
      <c r="K4088" s="9">
        <v>0</v>
      </c>
      <c r="L4088" s="9">
        <v>2.2819999999999998E-5</v>
      </c>
      <c r="M4088" s="9">
        <v>4.4299999999999999E-5</v>
      </c>
      <c r="N4088" s="9">
        <v>6.1959999999999996E-5</v>
      </c>
      <c r="O4088" s="9">
        <v>1.9400000000000001E-5</v>
      </c>
      <c r="P4088" s="9">
        <v>4.7070000000000002E-5</v>
      </c>
      <c r="Q4088" s="9">
        <v>8.0060000000000003E-5</v>
      </c>
      <c r="R4088" s="10">
        <v>8.1546296338696429E-5</v>
      </c>
      <c r="S4088" s="10">
        <v>6.1472902587460227E-5</v>
      </c>
      <c r="T4088" s="10">
        <v>0</v>
      </c>
      <c r="U4088" s="10">
        <v>9.7629999999999999E-5</v>
      </c>
      <c r="V4088" s="25"/>
      <c r="W4088" s="25"/>
      <c r="X4088" s="25"/>
      <c r="Y4088" s="25"/>
      <c r="Z4088" s="25"/>
      <c r="AA4088" s="25"/>
    </row>
    <row r="4089" spans="1:27" x14ac:dyDescent="0.35">
      <c r="A4089" s="5">
        <v>4085</v>
      </c>
      <c r="B4089" s="5">
        <v>171</v>
      </c>
      <c r="C4089" s="5">
        <v>6</v>
      </c>
      <c r="D4089" s="25">
        <v>1.1416E-4</v>
      </c>
      <c r="E4089" s="25">
        <v>1.0823E-4</v>
      </c>
      <c r="F4089" s="25">
        <v>1.1284E-4</v>
      </c>
      <c r="G4089" s="25">
        <v>5.2889999999999997E-5</v>
      </c>
      <c r="H4089" s="25">
        <v>6.5740000000000004E-5</v>
      </c>
      <c r="I4089" s="9">
        <v>8.1799999999999996E-5</v>
      </c>
      <c r="J4089" s="9">
        <v>8.1219999999999998E-5</v>
      </c>
      <c r="K4089" s="9">
        <v>0</v>
      </c>
      <c r="L4089" s="9">
        <v>2.037E-5</v>
      </c>
      <c r="M4089" s="9">
        <v>4.3510000000000002E-5</v>
      </c>
      <c r="N4089" s="9">
        <v>6.4449999999999994E-5</v>
      </c>
      <c r="O4089" s="9">
        <v>2.4369999999999999E-5</v>
      </c>
      <c r="P4089" s="9">
        <v>5.719E-5</v>
      </c>
      <c r="Q4089" s="9">
        <v>9.4569999999999997E-5</v>
      </c>
      <c r="R4089" s="10">
        <v>7.1906207944799562E-5</v>
      </c>
      <c r="S4089" s="10">
        <v>5.1550967874763029E-5</v>
      </c>
      <c r="T4089" s="10">
        <v>1.439785599719185E-5</v>
      </c>
      <c r="U4089" s="10">
        <v>9.7629999999999999E-5</v>
      </c>
      <c r="V4089" s="25"/>
      <c r="W4089" s="25"/>
      <c r="X4089" s="25"/>
      <c r="Y4089" s="25"/>
      <c r="Z4089" s="25"/>
      <c r="AA4089" s="25"/>
    </row>
    <row r="4090" spans="1:27" x14ac:dyDescent="0.35">
      <c r="A4090" s="5">
        <v>4086</v>
      </c>
      <c r="B4090" s="5">
        <v>171</v>
      </c>
      <c r="C4090" s="5">
        <v>6</v>
      </c>
      <c r="D4090" s="25">
        <v>1.1415000000000001E-4</v>
      </c>
      <c r="E4090" s="25">
        <v>1.1087E-4</v>
      </c>
      <c r="F4090" s="25">
        <v>1.1845000000000001E-4</v>
      </c>
      <c r="G4090" s="25">
        <v>1.1396E-4</v>
      </c>
      <c r="H4090" s="25">
        <v>1.3757E-4</v>
      </c>
      <c r="I4090" s="9">
        <v>8.2399999999999997E-5</v>
      </c>
      <c r="J4090" s="9">
        <v>8.1429999999999998E-5</v>
      </c>
      <c r="K4090" s="9">
        <v>0</v>
      </c>
      <c r="L4090" s="9">
        <v>2.3370000000000002E-5</v>
      </c>
      <c r="M4090" s="9">
        <v>4.8579999999999999E-5</v>
      </c>
      <c r="N4090" s="9">
        <v>7.1219999999999999E-5</v>
      </c>
      <c r="O4090" s="9">
        <v>4.7460000000000003E-5</v>
      </c>
      <c r="P4090" s="9">
        <v>7.6790000000000002E-5</v>
      </c>
      <c r="Q4090" s="9">
        <v>1.0692E-4</v>
      </c>
      <c r="R4090" s="10">
        <v>5.6172202482694921E-5</v>
      </c>
      <c r="S4090" s="10">
        <v>4.5242976065702084E-5</v>
      </c>
      <c r="T4090" s="10">
        <v>3.8382970260044745E-5</v>
      </c>
      <c r="U4090" s="10">
        <v>9.7629999999999999E-5</v>
      </c>
      <c r="V4090" s="25"/>
      <c r="W4090" s="25"/>
      <c r="X4090" s="25"/>
      <c r="Y4090" s="25"/>
      <c r="Z4090" s="25"/>
      <c r="AA4090" s="25"/>
    </row>
    <row r="4091" spans="1:27" x14ac:dyDescent="0.35">
      <c r="A4091" s="5">
        <v>4087</v>
      </c>
      <c r="B4091" s="5">
        <v>171</v>
      </c>
      <c r="C4091" s="5">
        <v>6</v>
      </c>
      <c r="D4091" s="25">
        <v>1.1416E-4</v>
      </c>
      <c r="E4091" s="25">
        <v>1.1065000000000001E-4</v>
      </c>
      <c r="F4091" s="25">
        <v>1.0477E-4</v>
      </c>
      <c r="G4091" s="25">
        <v>1.1355E-4</v>
      </c>
      <c r="H4091" s="25">
        <v>1.2907000000000001E-4</v>
      </c>
      <c r="I4091" s="9">
        <v>8.3659999999999995E-5</v>
      </c>
      <c r="J4091" s="9">
        <v>8.4359999999999999E-5</v>
      </c>
      <c r="K4091" s="9">
        <v>0</v>
      </c>
      <c r="L4091" s="9">
        <v>4.2039999999999997E-5</v>
      </c>
      <c r="M4091" s="9">
        <v>6.0170000000000002E-5</v>
      </c>
      <c r="N4091" s="9">
        <v>8.0879999999999998E-5</v>
      </c>
      <c r="O4091" s="9">
        <v>1.1298000000000001E-4</v>
      </c>
      <c r="P4091" s="9">
        <v>1.1733E-4</v>
      </c>
      <c r="Q4091" s="9">
        <v>1.1239E-4</v>
      </c>
      <c r="R4091" s="10">
        <v>4.4888086524198818E-5</v>
      </c>
      <c r="S4091" s="10">
        <v>3.8472036006175201E-5</v>
      </c>
      <c r="T4091" s="10">
        <v>1.17634810489726E-4</v>
      </c>
      <c r="U4091" s="10">
        <v>9.7629999999999999E-5</v>
      </c>
      <c r="V4091" s="25"/>
      <c r="W4091" s="25"/>
      <c r="X4091" s="25"/>
      <c r="Y4091" s="25"/>
      <c r="Z4091" s="25"/>
      <c r="AA4091" s="25"/>
    </row>
    <row r="4092" spans="1:27" x14ac:dyDescent="0.35">
      <c r="A4092" s="5">
        <v>4088</v>
      </c>
      <c r="B4092" s="5">
        <v>171</v>
      </c>
      <c r="C4092" s="5">
        <v>6</v>
      </c>
      <c r="D4092" s="25">
        <v>1.1415000000000001E-4</v>
      </c>
      <c r="E4092" s="25">
        <v>1.1272E-4</v>
      </c>
      <c r="F4092" s="25">
        <v>9.9380000000000001E-5</v>
      </c>
      <c r="G4092" s="25">
        <v>1.6695999999999999E-4</v>
      </c>
      <c r="H4092" s="25">
        <v>1.8845999999999999E-4</v>
      </c>
      <c r="I4092" s="9">
        <v>8.7319999999999997E-5</v>
      </c>
      <c r="J4092" s="9">
        <v>8.9190000000000005E-5</v>
      </c>
      <c r="K4092" s="9">
        <v>0</v>
      </c>
      <c r="L4092" s="9">
        <v>9.6849999999999996E-5</v>
      </c>
      <c r="M4092" s="9">
        <v>8.3720000000000005E-5</v>
      </c>
      <c r="N4092" s="9">
        <v>9.0939999999999993E-5</v>
      </c>
      <c r="O4092" s="9">
        <v>1.9427999999999999E-4</v>
      </c>
      <c r="P4092" s="9">
        <v>1.7618000000000001E-4</v>
      </c>
      <c r="Q4092" s="9">
        <v>1.361E-4</v>
      </c>
      <c r="R4092" s="10">
        <v>3.3183105849361235E-5</v>
      </c>
      <c r="S4092" s="10">
        <v>3.2405086946779175E-5</v>
      </c>
      <c r="T4092" s="10">
        <v>2.5670096113791199E-4</v>
      </c>
      <c r="U4092" s="10">
        <v>9.7629999999999999E-5</v>
      </c>
      <c r="V4092" s="25"/>
      <c r="W4092" s="25"/>
      <c r="X4092" s="25"/>
      <c r="Y4092" s="25"/>
      <c r="Z4092" s="25"/>
      <c r="AA4092" s="25"/>
    </row>
    <row r="4093" spans="1:27" x14ac:dyDescent="0.35">
      <c r="A4093" s="5">
        <v>4089</v>
      </c>
      <c r="B4093" s="5">
        <v>171</v>
      </c>
      <c r="C4093" s="5">
        <v>6</v>
      </c>
      <c r="D4093" s="25">
        <v>1.1416E-4</v>
      </c>
      <c r="E4093" s="25">
        <v>1.1144E-4</v>
      </c>
      <c r="F4093" s="25">
        <v>1.1349E-4</v>
      </c>
      <c r="G4093" s="25">
        <v>1.6359999999999999E-4</v>
      </c>
      <c r="H4093" s="25">
        <v>1.9023E-4</v>
      </c>
      <c r="I4093" s="9">
        <v>9.1169999999999996E-5</v>
      </c>
      <c r="J4093" s="9">
        <v>9.3939999999999998E-5</v>
      </c>
      <c r="K4093" s="9">
        <v>0</v>
      </c>
      <c r="L4093" s="9">
        <v>1.7134999999999999E-4</v>
      </c>
      <c r="M4093" s="9">
        <v>1.2310000000000001E-4</v>
      </c>
      <c r="N4093" s="9">
        <v>1.0453E-4</v>
      </c>
      <c r="O4093" s="9">
        <v>1.8675000000000001E-4</v>
      </c>
      <c r="P4093" s="9">
        <v>1.9176999999999999E-4</v>
      </c>
      <c r="Q4093" s="9">
        <v>1.7563E-4</v>
      </c>
      <c r="R4093" s="10">
        <v>2.8398185448936814E-5</v>
      </c>
      <c r="S4093" s="10">
        <v>2.6538251334777893E-5</v>
      </c>
      <c r="T4093" s="10">
        <v>3.0771705313031893E-4</v>
      </c>
      <c r="U4093" s="10">
        <v>9.7629999999999999E-5</v>
      </c>
      <c r="V4093" s="25"/>
      <c r="W4093" s="25"/>
      <c r="X4093" s="25"/>
      <c r="Y4093" s="25"/>
      <c r="Z4093" s="25"/>
      <c r="AA4093" s="25"/>
    </row>
    <row r="4094" spans="1:27" x14ac:dyDescent="0.35">
      <c r="A4094" s="5">
        <v>4090</v>
      </c>
      <c r="B4094" s="5">
        <v>171</v>
      </c>
      <c r="C4094" s="5">
        <v>6</v>
      </c>
      <c r="D4094" s="25">
        <v>1.1415000000000001E-4</v>
      </c>
      <c r="E4094" s="25">
        <v>1.1051E-4</v>
      </c>
      <c r="F4094" s="25">
        <v>1.1325E-4</v>
      </c>
      <c r="G4094" s="25">
        <v>1.5742999999999999E-4</v>
      </c>
      <c r="H4094" s="25">
        <v>1.8718000000000001E-4</v>
      </c>
      <c r="I4094" s="9">
        <v>9.1089999999999997E-5</v>
      </c>
      <c r="J4094" s="9">
        <v>9.6860000000000004E-5</v>
      </c>
      <c r="K4094" s="9">
        <v>0</v>
      </c>
      <c r="L4094" s="9">
        <v>1.8141000000000001E-4</v>
      </c>
      <c r="M4094" s="9">
        <v>1.5779999999999999E-4</v>
      </c>
      <c r="N4094" s="9">
        <v>1.2425000000000001E-4</v>
      </c>
      <c r="O4094" s="9">
        <v>1.5007E-4</v>
      </c>
      <c r="P4094" s="9">
        <v>1.7359E-4</v>
      </c>
      <c r="Q4094" s="9">
        <v>1.8157000000000001E-4</v>
      </c>
      <c r="R4094" s="10">
        <v>2.6665590527619259E-5</v>
      </c>
      <c r="S4094" s="10">
        <v>1.957757736081094E-5</v>
      </c>
      <c r="T4094" s="10">
        <v>2.1218384244771419E-4</v>
      </c>
      <c r="U4094" s="10">
        <v>9.7629999999999999E-5</v>
      </c>
      <c r="V4094" s="25"/>
      <c r="W4094" s="25"/>
      <c r="X4094" s="25"/>
      <c r="Y4094" s="25"/>
      <c r="Z4094" s="25"/>
      <c r="AA4094" s="25"/>
    </row>
    <row r="4095" spans="1:27" x14ac:dyDescent="0.35">
      <c r="A4095" s="5">
        <v>4091</v>
      </c>
      <c r="B4095" s="5">
        <v>171</v>
      </c>
      <c r="C4095" s="5">
        <v>6</v>
      </c>
      <c r="D4095" s="25">
        <v>1.1416E-4</v>
      </c>
      <c r="E4095" s="25">
        <v>1.1593E-4</v>
      </c>
      <c r="F4095" s="25">
        <v>1.0307E-4</v>
      </c>
      <c r="G4095" s="25">
        <v>1.6018E-4</v>
      </c>
      <c r="H4095" s="25">
        <v>1.8730999999999999E-4</v>
      </c>
      <c r="I4095" s="9">
        <v>9.1089999999999997E-5</v>
      </c>
      <c r="J4095" s="9">
        <v>9.7120000000000005E-5</v>
      </c>
      <c r="K4095" s="9">
        <v>0</v>
      </c>
      <c r="L4095" s="9">
        <v>1.5704E-4</v>
      </c>
      <c r="M4095" s="9">
        <v>1.7152000000000001E-4</v>
      </c>
      <c r="N4095" s="9">
        <v>1.4219999999999999E-4</v>
      </c>
      <c r="O4095" s="9">
        <v>1.5093999999999999E-4</v>
      </c>
      <c r="P4095" s="9">
        <v>1.7325000000000001E-4</v>
      </c>
      <c r="Q4095" s="9">
        <v>1.7993999999999999E-4</v>
      </c>
      <c r="R4095" s="10">
        <v>2.5079085457452822E-5</v>
      </c>
      <c r="S4095" s="10">
        <v>1.191474688845801E-5</v>
      </c>
      <c r="T4095" s="10">
        <v>1.0238004025816976E-4</v>
      </c>
      <c r="U4095" s="10">
        <v>9.7629999999999999E-5</v>
      </c>
      <c r="V4095" s="25"/>
      <c r="W4095" s="25"/>
      <c r="X4095" s="25"/>
      <c r="Y4095" s="25"/>
      <c r="Z4095" s="25"/>
      <c r="AA4095" s="25"/>
    </row>
    <row r="4096" spans="1:27" x14ac:dyDescent="0.35">
      <c r="A4096" s="5">
        <v>4092</v>
      </c>
      <c r="B4096" s="5">
        <v>171</v>
      </c>
      <c r="C4096" s="5">
        <v>6</v>
      </c>
      <c r="D4096" s="25">
        <v>1.1415000000000001E-4</v>
      </c>
      <c r="E4096" s="25">
        <v>1.1427E-4</v>
      </c>
      <c r="F4096" s="25">
        <v>1.0287E-4</v>
      </c>
      <c r="G4096" s="25">
        <v>1.5919999999999999E-4</v>
      </c>
      <c r="H4096" s="25">
        <v>1.9979000000000001E-4</v>
      </c>
      <c r="I4096" s="9">
        <v>8.9710000000000007E-5</v>
      </c>
      <c r="J4096" s="9">
        <v>9.7529999999999996E-5</v>
      </c>
      <c r="K4096" s="9">
        <v>0</v>
      </c>
      <c r="L4096" s="9">
        <v>1.5346000000000001E-4</v>
      </c>
      <c r="M4096" s="9">
        <v>1.7447E-4</v>
      </c>
      <c r="N4096" s="9">
        <v>1.5640000000000001E-4</v>
      </c>
      <c r="O4096" s="9">
        <v>1.5278000000000001E-4</v>
      </c>
      <c r="P4096" s="9">
        <v>1.7133E-4</v>
      </c>
      <c r="Q4096" s="9">
        <v>1.7399000000000001E-4</v>
      </c>
      <c r="R4096" s="10">
        <v>2.3651211472307853E-5</v>
      </c>
      <c r="S4096" s="10">
        <v>6.9944819784073519E-6</v>
      </c>
      <c r="T4096" s="10">
        <v>1.584273217652112E-4</v>
      </c>
      <c r="U4096" s="10">
        <v>9.7629999999999999E-5</v>
      </c>
      <c r="V4096" s="25"/>
      <c r="W4096" s="25"/>
      <c r="X4096" s="25"/>
      <c r="Y4096" s="25"/>
      <c r="Z4096" s="25"/>
      <c r="AA4096" s="25"/>
    </row>
    <row r="4097" spans="1:27" x14ac:dyDescent="0.35">
      <c r="A4097" s="5">
        <v>4093</v>
      </c>
      <c r="B4097" s="5">
        <v>171</v>
      </c>
      <c r="C4097" s="5">
        <v>6</v>
      </c>
      <c r="D4097" s="25">
        <v>1.1416E-4</v>
      </c>
      <c r="E4097" s="25">
        <v>1.1896999999999999E-4</v>
      </c>
      <c r="F4097" s="25">
        <v>1.0207E-4</v>
      </c>
      <c r="G4097" s="25">
        <v>1.5676000000000001E-4</v>
      </c>
      <c r="H4097" s="25">
        <v>1.8751E-4</v>
      </c>
      <c r="I4097" s="9">
        <v>8.5169999999999999E-5</v>
      </c>
      <c r="J4097" s="9">
        <v>9.6349999999999997E-5</v>
      </c>
      <c r="K4097" s="9">
        <v>0</v>
      </c>
      <c r="L4097" s="9">
        <v>1.5304000000000001E-4</v>
      </c>
      <c r="M4097" s="9">
        <v>1.7363E-4</v>
      </c>
      <c r="N4097" s="9">
        <v>1.6589999999999999E-4</v>
      </c>
      <c r="O4097" s="9">
        <v>1.4447E-4</v>
      </c>
      <c r="P4097" s="9">
        <v>1.6244999999999999E-4</v>
      </c>
      <c r="Q4097" s="9">
        <v>1.6582000000000001E-4</v>
      </c>
      <c r="R4097" s="10">
        <v>2.3197393058991488E-5</v>
      </c>
      <c r="S4097" s="10">
        <v>8.1685058164904098E-6</v>
      </c>
      <c r="T4097" s="10">
        <v>2.5246729576219087E-4</v>
      </c>
      <c r="U4097" s="10">
        <v>9.7629999999999999E-5</v>
      </c>
      <c r="V4097" s="25"/>
      <c r="W4097" s="25"/>
      <c r="X4097" s="25"/>
      <c r="Y4097" s="25"/>
      <c r="Z4097" s="25"/>
      <c r="AA4097" s="25"/>
    </row>
    <row r="4098" spans="1:27" x14ac:dyDescent="0.35">
      <c r="A4098" s="5">
        <v>4094</v>
      </c>
      <c r="B4098" s="5">
        <v>171</v>
      </c>
      <c r="C4098" s="5">
        <v>6</v>
      </c>
      <c r="D4098" s="25">
        <v>1.1415000000000001E-4</v>
      </c>
      <c r="E4098" s="25">
        <v>1.1336999999999999E-4</v>
      </c>
      <c r="F4098" s="25">
        <v>1.089E-4</v>
      </c>
      <c r="G4098" s="25">
        <v>1.6339999999999999E-4</v>
      </c>
      <c r="H4098" s="25">
        <v>1.9222E-4</v>
      </c>
      <c r="I4098" s="9">
        <v>8.2979999999999995E-5</v>
      </c>
      <c r="J4098" s="9">
        <v>9.5110000000000002E-5</v>
      </c>
      <c r="K4098" s="9">
        <v>0</v>
      </c>
      <c r="L4098" s="9">
        <v>1.4615E-4</v>
      </c>
      <c r="M4098" s="9">
        <v>1.6934E-4</v>
      </c>
      <c r="N4098" s="9">
        <v>1.6993999999999999E-4</v>
      </c>
      <c r="O4098" s="9">
        <v>1.6102999999999999E-4</v>
      </c>
      <c r="P4098" s="9">
        <v>1.6993999999999999E-4</v>
      </c>
      <c r="Q4098" s="9">
        <v>1.6186E-4</v>
      </c>
      <c r="R4098" s="10">
        <v>2.1446473210775528E-5</v>
      </c>
      <c r="S4098" s="10">
        <v>8.7082143993027026E-6</v>
      </c>
      <c r="T4098" s="10">
        <v>3.3496862264297672E-4</v>
      </c>
      <c r="U4098" s="10">
        <v>9.7629999999999999E-5</v>
      </c>
      <c r="V4098" s="25"/>
      <c r="W4098" s="25"/>
      <c r="X4098" s="25"/>
      <c r="Y4098" s="25"/>
      <c r="Z4098" s="25"/>
      <c r="AA4098" s="25"/>
    </row>
    <row r="4099" spans="1:27" x14ac:dyDescent="0.35">
      <c r="A4099" s="5">
        <v>4095</v>
      </c>
      <c r="B4099" s="5">
        <v>171</v>
      </c>
      <c r="C4099" s="5">
        <v>6</v>
      </c>
      <c r="D4099" s="25">
        <v>1.1416E-4</v>
      </c>
      <c r="E4099" s="25">
        <v>1.1455000000000001E-4</v>
      </c>
      <c r="F4099" s="25">
        <v>1.1932E-4</v>
      </c>
      <c r="G4099" s="25">
        <v>1.6666000000000001E-4</v>
      </c>
      <c r="H4099" s="25">
        <v>1.9858000000000001E-4</v>
      </c>
      <c r="I4099" s="9">
        <v>8.2440000000000004E-5</v>
      </c>
      <c r="J4099" s="9">
        <v>9.4519999999999996E-5</v>
      </c>
      <c r="K4099" s="9">
        <v>0</v>
      </c>
      <c r="L4099" s="9">
        <v>1.5793E-4</v>
      </c>
      <c r="M4099" s="9">
        <v>1.6831999999999999E-4</v>
      </c>
      <c r="N4099" s="9">
        <v>1.6981E-4</v>
      </c>
      <c r="O4099" s="9">
        <v>1.6297999999999999E-4</v>
      </c>
      <c r="P4099" s="9">
        <v>1.6577000000000001E-4</v>
      </c>
      <c r="Q4099" s="9">
        <v>1.5119999999999999E-4</v>
      </c>
      <c r="R4099" s="10">
        <v>2.646926646266053E-5</v>
      </c>
      <c r="S4099" s="10">
        <v>7.1483913597409985E-6</v>
      </c>
      <c r="T4099" s="10">
        <v>3.0546871380253117E-4</v>
      </c>
      <c r="U4099" s="10">
        <v>9.7629999999999999E-5</v>
      </c>
      <c r="V4099" s="25"/>
      <c r="W4099" s="25"/>
      <c r="X4099" s="25"/>
      <c r="Y4099" s="25"/>
      <c r="Z4099" s="25"/>
      <c r="AA4099" s="25"/>
    </row>
    <row r="4100" spans="1:27" x14ac:dyDescent="0.35">
      <c r="A4100" s="5">
        <v>4096</v>
      </c>
      <c r="B4100" s="5">
        <v>171</v>
      </c>
      <c r="C4100" s="5">
        <v>6</v>
      </c>
      <c r="D4100" s="25">
        <v>1.1415000000000001E-4</v>
      </c>
      <c r="E4100" s="25">
        <v>1.1636E-4</v>
      </c>
      <c r="F4100" s="25">
        <v>1.1149E-4</v>
      </c>
      <c r="G4100" s="25">
        <v>1.5970000000000001E-4</v>
      </c>
      <c r="H4100" s="25">
        <v>1.9636999999999999E-4</v>
      </c>
      <c r="I4100" s="9">
        <v>8.4320000000000006E-5</v>
      </c>
      <c r="J4100" s="9">
        <v>9.5229999999999995E-5</v>
      </c>
      <c r="K4100" s="9">
        <v>0</v>
      </c>
      <c r="L4100" s="9">
        <v>1.6155999999999999E-4</v>
      </c>
      <c r="M4100" s="9">
        <v>1.6725999999999999E-4</v>
      </c>
      <c r="N4100" s="9">
        <v>1.6572000000000001E-4</v>
      </c>
      <c r="O4100" s="9">
        <v>1.7501999999999999E-4</v>
      </c>
      <c r="P4100" s="9">
        <v>1.5144999999999999E-4</v>
      </c>
      <c r="Q4100" s="9">
        <v>1.0904E-4</v>
      </c>
      <c r="R4100" s="10">
        <v>2.3022332511705247E-5</v>
      </c>
      <c r="S4100" s="10">
        <v>5.560352197611315E-6</v>
      </c>
      <c r="T4100" s="10">
        <v>2.197433531686912E-4</v>
      </c>
      <c r="U4100" s="10">
        <v>9.7629999999999999E-5</v>
      </c>
      <c r="V4100" s="25"/>
      <c r="W4100" s="25"/>
      <c r="X4100" s="25"/>
      <c r="Y4100" s="25"/>
      <c r="Z4100" s="25"/>
      <c r="AA4100" s="25"/>
    </row>
    <row r="4101" spans="1:27" x14ac:dyDescent="0.35">
      <c r="A4101" s="5">
        <v>4097</v>
      </c>
      <c r="B4101" s="5">
        <v>171</v>
      </c>
      <c r="C4101" s="5">
        <v>6</v>
      </c>
      <c r="D4101" s="25">
        <v>1.1416E-4</v>
      </c>
      <c r="E4101" s="25">
        <v>1.1022E-4</v>
      </c>
      <c r="F4101" s="25">
        <v>1.081E-4</v>
      </c>
      <c r="G4101" s="25">
        <v>1.6321E-4</v>
      </c>
      <c r="H4101" s="25">
        <v>1.8974000000000001E-4</v>
      </c>
      <c r="I4101" s="9">
        <v>8.8150000000000001E-5</v>
      </c>
      <c r="J4101" s="9">
        <v>9.9859999999999996E-5</v>
      </c>
      <c r="K4101" s="9">
        <v>0</v>
      </c>
      <c r="L4101" s="9">
        <v>1.7191E-4</v>
      </c>
      <c r="M4101" s="9">
        <v>1.6138E-4</v>
      </c>
      <c r="N4101" s="9">
        <v>1.5190000000000001E-4</v>
      </c>
      <c r="O4101" s="9">
        <v>1.9112999999999999E-4</v>
      </c>
      <c r="P4101" s="9">
        <v>1.5996000000000001E-4</v>
      </c>
      <c r="Q4101" s="9">
        <v>1.076E-4</v>
      </c>
      <c r="R4101" s="10">
        <v>1.8401830611706123E-5</v>
      </c>
      <c r="S4101" s="10">
        <v>6.219661304012255E-6</v>
      </c>
      <c r="T4101" s="10">
        <v>6.6279346523313347E-5</v>
      </c>
      <c r="U4101" s="10">
        <v>9.7629999999999999E-5</v>
      </c>
      <c r="V4101" s="25"/>
      <c r="W4101" s="25"/>
      <c r="X4101" s="25"/>
      <c r="Y4101" s="25"/>
      <c r="Z4101" s="25"/>
      <c r="AA4101" s="25"/>
    </row>
    <row r="4102" spans="1:27" x14ac:dyDescent="0.35">
      <c r="A4102" s="5">
        <v>4098</v>
      </c>
      <c r="B4102" s="5">
        <v>171</v>
      </c>
      <c r="C4102" s="5">
        <v>6</v>
      </c>
      <c r="D4102" s="25">
        <v>1.1415000000000001E-4</v>
      </c>
      <c r="E4102" s="25">
        <v>1.1741E-4</v>
      </c>
      <c r="F4102" s="25">
        <v>1.12E-4</v>
      </c>
      <c r="G4102" s="25">
        <v>1.6137000000000001E-4</v>
      </c>
      <c r="H4102" s="25">
        <v>1.8904999999999999E-4</v>
      </c>
      <c r="I4102" s="9">
        <v>9.399E-5</v>
      </c>
      <c r="J4102" s="9">
        <v>1.0246E-4</v>
      </c>
      <c r="K4102" s="9">
        <v>0</v>
      </c>
      <c r="L4102" s="9">
        <v>1.8670000000000001E-4</v>
      </c>
      <c r="M4102" s="9">
        <v>1.5924E-4</v>
      </c>
      <c r="N4102" s="9">
        <v>1.3875000000000001E-4</v>
      </c>
      <c r="O4102" s="9">
        <v>1.8163000000000001E-4</v>
      </c>
      <c r="P4102" s="9">
        <v>1.5917000000000001E-4</v>
      </c>
      <c r="Q4102" s="9">
        <v>1.1678E-4</v>
      </c>
      <c r="R4102" s="10">
        <v>1.9827072221817619E-5</v>
      </c>
      <c r="S4102" s="10">
        <v>7.8996568010926767E-6</v>
      </c>
      <c r="T4102" s="10">
        <v>8.0745076915306332E-5</v>
      </c>
      <c r="U4102" s="10">
        <v>9.7629999999999999E-5</v>
      </c>
      <c r="V4102" s="25"/>
      <c r="W4102" s="25"/>
      <c r="X4102" s="25"/>
      <c r="Y4102" s="25"/>
      <c r="Z4102" s="25"/>
      <c r="AA4102" s="25"/>
    </row>
    <row r="4103" spans="1:27" x14ac:dyDescent="0.35">
      <c r="A4103" s="5">
        <v>4099</v>
      </c>
      <c r="B4103" s="5">
        <v>171</v>
      </c>
      <c r="C4103" s="5">
        <v>6</v>
      </c>
      <c r="D4103" s="25">
        <v>1.1416E-4</v>
      </c>
      <c r="E4103" s="25">
        <v>1.1779E-4</v>
      </c>
      <c r="F4103" s="25">
        <v>1.0781999999999999E-4</v>
      </c>
      <c r="G4103" s="25">
        <v>1.0567E-4</v>
      </c>
      <c r="H4103" s="25">
        <v>1.3255999999999999E-4</v>
      </c>
      <c r="I4103" s="9">
        <v>9.7979999999999994E-5</v>
      </c>
      <c r="J4103" s="9">
        <v>1.0306000000000001E-4</v>
      </c>
      <c r="K4103" s="9">
        <v>0</v>
      </c>
      <c r="L4103" s="9">
        <v>1.8234999999999999E-4</v>
      </c>
      <c r="M4103" s="9">
        <v>1.5885000000000001E-4</v>
      </c>
      <c r="N4103" s="9">
        <v>1.2959000000000001E-4</v>
      </c>
      <c r="O4103" s="9">
        <v>1.4924E-4</v>
      </c>
      <c r="P4103" s="9">
        <v>1.3594E-4</v>
      </c>
      <c r="Q4103" s="9">
        <v>1.0789999999999999E-4</v>
      </c>
      <c r="R4103" s="10">
        <v>1.8812283014439245E-5</v>
      </c>
      <c r="S4103" s="10">
        <v>7.8270499257364726E-6</v>
      </c>
      <c r="T4103" s="10">
        <v>2.4595983816063156E-5</v>
      </c>
      <c r="U4103" s="10">
        <v>9.7629999999999999E-5</v>
      </c>
      <c r="V4103" s="25"/>
      <c r="W4103" s="25"/>
      <c r="X4103" s="25"/>
      <c r="Y4103" s="25"/>
      <c r="Z4103" s="25"/>
      <c r="AA4103" s="25"/>
    </row>
    <row r="4104" spans="1:27" x14ac:dyDescent="0.35">
      <c r="A4104" s="5">
        <v>4100</v>
      </c>
      <c r="B4104" s="5">
        <v>171</v>
      </c>
      <c r="C4104" s="5">
        <v>6</v>
      </c>
      <c r="D4104" s="25">
        <v>1.1415000000000001E-4</v>
      </c>
      <c r="E4104" s="25">
        <v>1.1464999999999999E-4</v>
      </c>
      <c r="F4104" s="25">
        <v>1.0336E-4</v>
      </c>
      <c r="G4104" s="25">
        <v>1.1491E-4</v>
      </c>
      <c r="H4104" s="25">
        <v>1.2753999999999999E-4</v>
      </c>
      <c r="I4104" s="9">
        <v>1.0109E-4</v>
      </c>
      <c r="J4104" s="9">
        <v>1.037E-4</v>
      </c>
      <c r="K4104" s="9">
        <v>0</v>
      </c>
      <c r="L4104" s="9">
        <v>1.5671000000000001E-4</v>
      </c>
      <c r="M4104" s="9">
        <v>1.5065E-4</v>
      </c>
      <c r="N4104" s="9">
        <v>1.2072E-4</v>
      </c>
      <c r="O4104" s="9">
        <v>1.1883E-4</v>
      </c>
      <c r="P4104" s="9">
        <v>1.1578000000000001E-4</v>
      </c>
      <c r="Q4104" s="9">
        <v>1.027E-4</v>
      </c>
      <c r="R4104" s="10">
        <v>1.2503383609498857E-5</v>
      </c>
      <c r="S4104" s="10">
        <v>6.5329040812987278E-6</v>
      </c>
      <c r="T4104" s="10">
        <v>1.7986714622302135E-6</v>
      </c>
      <c r="U4104" s="10">
        <v>9.7629999999999999E-5</v>
      </c>
      <c r="V4104" s="25"/>
      <c r="W4104" s="25"/>
      <c r="X4104" s="25"/>
      <c r="Y4104" s="25"/>
      <c r="Z4104" s="25"/>
      <c r="AA4104" s="25"/>
    </row>
    <row r="4105" spans="1:27" x14ac:dyDescent="0.35">
      <c r="A4105" s="5">
        <v>4101</v>
      </c>
      <c r="B4105" s="5">
        <v>171</v>
      </c>
      <c r="C4105" s="5">
        <v>6</v>
      </c>
      <c r="D4105" s="25">
        <v>1.1416E-4</v>
      </c>
      <c r="E4105" s="25">
        <v>1.1326E-4</v>
      </c>
      <c r="F4105" s="25">
        <v>1.1281999999999999E-4</v>
      </c>
      <c r="G4105" s="25">
        <v>6.2379999999999996E-5</v>
      </c>
      <c r="H4105" s="25">
        <v>7.4040000000000003E-5</v>
      </c>
      <c r="I4105" s="9">
        <v>1.0088E-4</v>
      </c>
      <c r="J4105" s="9">
        <v>1.0306000000000001E-4</v>
      </c>
      <c r="K4105" s="9">
        <v>0</v>
      </c>
      <c r="L4105" s="9">
        <v>1.2798E-4</v>
      </c>
      <c r="M4105" s="9">
        <v>1.3578E-4</v>
      </c>
      <c r="N4105" s="9">
        <v>1.1333E-4</v>
      </c>
      <c r="O4105" s="9">
        <v>8.0320000000000003E-5</v>
      </c>
      <c r="P4105" s="9">
        <v>8.6390000000000005E-5</v>
      </c>
      <c r="Q4105" s="9">
        <v>8.8389999999999999E-5</v>
      </c>
      <c r="R4105" s="10">
        <v>5.9474650969872277E-6</v>
      </c>
      <c r="S4105" s="10">
        <v>6.3457552240131888E-6</v>
      </c>
      <c r="T4105" s="10">
        <v>0</v>
      </c>
      <c r="U4105" s="10">
        <v>9.7629999999999999E-5</v>
      </c>
      <c r="V4105" s="25"/>
      <c r="W4105" s="25"/>
      <c r="X4105" s="25"/>
      <c r="Y4105" s="25"/>
      <c r="Z4105" s="25"/>
      <c r="AA4105" s="25"/>
    </row>
    <row r="4106" spans="1:27" x14ac:dyDescent="0.35">
      <c r="A4106" s="5">
        <v>4102</v>
      </c>
      <c r="B4106" s="5">
        <v>171</v>
      </c>
      <c r="C4106" s="5">
        <v>6</v>
      </c>
      <c r="D4106" s="25">
        <v>1.1415000000000001E-4</v>
      </c>
      <c r="E4106" s="25">
        <v>1.0965E-4</v>
      </c>
      <c r="F4106" s="25">
        <v>1.0868E-4</v>
      </c>
      <c r="G4106" s="25">
        <v>6.2959999999999994E-5</v>
      </c>
      <c r="H4106" s="25">
        <v>6.3280000000000004E-5</v>
      </c>
      <c r="I4106" s="9">
        <v>1.027E-4</v>
      </c>
      <c r="J4106" s="9">
        <v>1.0382000000000001E-4</v>
      </c>
      <c r="K4106" s="9">
        <v>0</v>
      </c>
      <c r="L4106" s="9">
        <v>9.1570000000000006E-5</v>
      </c>
      <c r="M4106" s="9">
        <v>1.1417999999999999E-4</v>
      </c>
      <c r="N4106" s="9">
        <v>1.0581000000000001E-4</v>
      </c>
      <c r="O4106" s="9">
        <v>8.2070000000000005E-5</v>
      </c>
      <c r="P4106" s="9">
        <v>8.7109999999999998E-5</v>
      </c>
      <c r="Q4106" s="9">
        <v>8.7750000000000005E-5</v>
      </c>
      <c r="R4106" s="10">
        <v>2.1363389038286303E-6</v>
      </c>
      <c r="S4106" s="10">
        <v>7.0851869968596268E-6</v>
      </c>
      <c r="T4106" s="10">
        <v>0</v>
      </c>
      <c r="U4106" s="10">
        <v>9.7629999999999999E-5</v>
      </c>
      <c r="V4106" s="25"/>
      <c r="W4106" s="25"/>
      <c r="X4106" s="25"/>
      <c r="Y4106" s="25"/>
      <c r="Z4106" s="25"/>
      <c r="AA4106" s="25"/>
    </row>
    <row r="4107" spans="1:27" x14ac:dyDescent="0.35">
      <c r="A4107" s="5">
        <v>4103</v>
      </c>
      <c r="B4107" s="5">
        <v>171</v>
      </c>
      <c r="C4107" s="5">
        <v>6</v>
      </c>
      <c r="D4107" s="25">
        <v>1.1416E-4</v>
      </c>
      <c r="E4107" s="25">
        <v>1.1891E-4</v>
      </c>
      <c r="F4107" s="25">
        <v>1.0288E-4</v>
      </c>
      <c r="G4107" s="25">
        <v>5.3900000000000002E-5</v>
      </c>
      <c r="H4107" s="25">
        <v>6.8300000000000007E-5</v>
      </c>
      <c r="I4107" s="9">
        <v>9.9160000000000006E-5</v>
      </c>
      <c r="J4107" s="9">
        <v>9.9530000000000004E-5</v>
      </c>
      <c r="K4107" s="9">
        <v>0</v>
      </c>
      <c r="L4107" s="9">
        <v>8.4989999999999998E-5</v>
      </c>
      <c r="M4107" s="9">
        <v>9.912E-5</v>
      </c>
      <c r="N4107" s="9">
        <v>9.9900000000000002E-5</v>
      </c>
      <c r="O4107" s="9">
        <v>7.4389999999999998E-5</v>
      </c>
      <c r="P4107" s="9">
        <v>7.2139999999999997E-5</v>
      </c>
      <c r="Q4107" s="9">
        <v>6.6890000000000005E-5</v>
      </c>
      <c r="R4107" s="10">
        <v>1.2228937704577947E-6</v>
      </c>
      <c r="S4107" s="10">
        <v>9.2718687063412076E-6</v>
      </c>
      <c r="T4107" s="10">
        <v>0</v>
      </c>
      <c r="U4107" s="10">
        <v>9.7629999999999999E-5</v>
      </c>
      <c r="V4107" s="25"/>
      <c r="W4107" s="25"/>
      <c r="X4107" s="25"/>
      <c r="Y4107" s="25"/>
      <c r="Z4107" s="25"/>
      <c r="AA4107" s="25"/>
    </row>
    <row r="4108" spans="1:27" x14ac:dyDescent="0.35">
      <c r="A4108" s="5">
        <v>4104</v>
      </c>
      <c r="B4108" s="5">
        <v>171</v>
      </c>
      <c r="C4108" s="5">
        <v>6</v>
      </c>
      <c r="D4108" s="25">
        <v>1.1415000000000001E-4</v>
      </c>
      <c r="E4108" s="25">
        <v>1.1565000000000001E-4</v>
      </c>
      <c r="F4108" s="25">
        <v>1.0917999999999999E-4</v>
      </c>
      <c r="G4108" s="25">
        <v>6.3020000000000003E-5</v>
      </c>
      <c r="H4108" s="25">
        <v>6.8419999999999999E-5</v>
      </c>
      <c r="I4108" s="9">
        <v>9.2250000000000006E-5</v>
      </c>
      <c r="J4108" s="9">
        <v>9.3519999999999999E-5</v>
      </c>
      <c r="K4108" s="9">
        <v>0</v>
      </c>
      <c r="L4108" s="9">
        <v>7.6730000000000006E-5</v>
      </c>
      <c r="M4108" s="9">
        <v>8.6059999999999999E-5</v>
      </c>
      <c r="N4108" s="9">
        <v>9.064E-5</v>
      </c>
      <c r="O4108" s="9">
        <v>6.1210000000000005E-5</v>
      </c>
      <c r="P4108" s="9">
        <v>6.0359999999999998E-5</v>
      </c>
      <c r="Q4108" s="9">
        <v>5.855E-5</v>
      </c>
      <c r="R4108" s="10">
        <v>3.7445769200650778E-6</v>
      </c>
      <c r="S4108" s="10">
        <v>2.1349953179405815E-5</v>
      </c>
      <c r="T4108" s="10">
        <v>0</v>
      </c>
      <c r="U4108" s="10">
        <v>9.7629999999999999E-5</v>
      </c>
      <c r="V4108" s="25"/>
      <c r="W4108" s="25"/>
      <c r="X4108" s="25"/>
      <c r="Y4108" s="25"/>
      <c r="Z4108" s="25"/>
      <c r="AA4108" s="25"/>
    </row>
    <row r="4109" spans="1:27" x14ac:dyDescent="0.35">
      <c r="A4109" s="5">
        <v>4105</v>
      </c>
      <c r="B4109" s="5">
        <v>172</v>
      </c>
      <c r="C4109" s="5">
        <v>6</v>
      </c>
      <c r="D4109" s="25">
        <v>1.1416E-4</v>
      </c>
      <c r="E4109" s="25">
        <v>1.1121E-4</v>
      </c>
      <c r="F4109" s="25">
        <v>1.2005E-4</v>
      </c>
      <c r="G4109" s="25">
        <v>6.0359999999999998E-5</v>
      </c>
      <c r="H4109" s="25">
        <v>6.232E-5</v>
      </c>
      <c r="I4109" s="9">
        <v>8.8830000000000002E-5</v>
      </c>
      <c r="J4109" s="9">
        <v>8.9320000000000005E-5</v>
      </c>
      <c r="K4109" s="9">
        <v>0</v>
      </c>
      <c r="L4109" s="9">
        <v>6.4610000000000007E-5</v>
      </c>
      <c r="M4109" s="9">
        <v>7.3830000000000003E-5</v>
      </c>
      <c r="N4109" s="9">
        <v>8.1119999999999996E-5</v>
      </c>
      <c r="O4109" s="9">
        <v>5.4370000000000003E-5</v>
      </c>
      <c r="P4109" s="9">
        <v>5.3789999999999998E-5</v>
      </c>
      <c r="Q4109" s="9">
        <v>5.3369999999999999E-5</v>
      </c>
      <c r="R4109" s="10">
        <v>8.3078479039152421E-6</v>
      </c>
      <c r="S4109" s="10">
        <v>2.7509187901842286E-5</v>
      </c>
      <c r="T4109" s="10">
        <v>0</v>
      </c>
      <c r="U4109" s="10">
        <v>9.5290000000000004E-5</v>
      </c>
      <c r="V4109" s="25"/>
      <c r="W4109" s="25"/>
      <c r="X4109" s="25"/>
      <c r="Y4109" s="25"/>
      <c r="Z4109" s="25"/>
      <c r="AA4109" s="25"/>
    </row>
    <row r="4110" spans="1:27" x14ac:dyDescent="0.35">
      <c r="A4110" s="5">
        <v>4106</v>
      </c>
      <c r="B4110" s="5">
        <v>172</v>
      </c>
      <c r="C4110" s="5">
        <v>6</v>
      </c>
      <c r="D4110" s="25">
        <v>1.1415000000000001E-4</v>
      </c>
      <c r="E4110" s="25">
        <v>1.133E-4</v>
      </c>
      <c r="F4110" s="25">
        <v>1.0389E-4</v>
      </c>
      <c r="G4110" s="25">
        <v>5.2939999999999998E-5</v>
      </c>
      <c r="H4110" s="25">
        <v>7.538E-5</v>
      </c>
      <c r="I4110" s="9">
        <v>8.6069999999999994E-5</v>
      </c>
      <c r="J4110" s="9">
        <v>8.7650000000000003E-5</v>
      </c>
      <c r="K4110" s="9">
        <v>0</v>
      </c>
      <c r="L4110" s="9">
        <v>5.6950000000000002E-5</v>
      </c>
      <c r="M4110" s="9">
        <v>6.3709999999999998E-5</v>
      </c>
      <c r="N4110" s="9">
        <v>7.1959999999999995E-5</v>
      </c>
      <c r="O4110" s="9">
        <v>2.4320000000000001E-5</v>
      </c>
      <c r="P4110" s="9">
        <v>3.8050000000000003E-5</v>
      </c>
      <c r="Q4110" s="9">
        <v>5.6629999999999998E-5</v>
      </c>
      <c r="R4110" s="10">
        <v>1.7367756823551869E-5</v>
      </c>
      <c r="S4110" s="10">
        <v>3.325603779292624E-5</v>
      </c>
      <c r="T4110" s="10">
        <v>0</v>
      </c>
      <c r="U4110" s="10">
        <v>9.5290000000000004E-5</v>
      </c>
      <c r="V4110" s="25"/>
      <c r="W4110" s="25"/>
      <c r="X4110" s="25"/>
      <c r="Y4110" s="25"/>
      <c r="Z4110" s="25"/>
      <c r="AA4110" s="25"/>
    </row>
    <row r="4111" spans="1:27" x14ac:dyDescent="0.35">
      <c r="A4111" s="5">
        <v>4107</v>
      </c>
      <c r="B4111" s="5">
        <v>172</v>
      </c>
      <c r="C4111" s="5">
        <v>6</v>
      </c>
      <c r="D4111" s="25">
        <v>1.1416E-4</v>
      </c>
      <c r="E4111" s="25">
        <v>1.1067E-4</v>
      </c>
      <c r="F4111" s="25">
        <v>1.1553E-4</v>
      </c>
      <c r="G4111" s="25">
        <v>5.4580000000000003E-5</v>
      </c>
      <c r="H4111" s="25">
        <v>7.2819999999999997E-5</v>
      </c>
      <c r="I4111" s="9">
        <v>8.6020000000000007E-5</v>
      </c>
      <c r="J4111" s="9">
        <v>8.6879999999999995E-5</v>
      </c>
      <c r="K4111" s="9">
        <v>0</v>
      </c>
      <c r="L4111" s="9">
        <v>3.167E-5</v>
      </c>
      <c r="M4111" s="9">
        <v>5.2169999999999997E-5</v>
      </c>
      <c r="N4111" s="9">
        <v>6.5489999999999998E-5</v>
      </c>
      <c r="O4111" s="9">
        <v>1.931E-5</v>
      </c>
      <c r="P4111" s="9">
        <v>3.748E-5</v>
      </c>
      <c r="Q4111" s="9">
        <v>6.109E-5</v>
      </c>
      <c r="R4111" s="10">
        <v>2.7294818822974058E-5</v>
      </c>
      <c r="S4111" s="10">
        <v>3.7015590158159013E-5</v>
      </c>
      <c r="T4111" s="10">
        <v>0</v>
      </c>
      <c r="U4111" s="10">
        <v>9.5290000000000004E-5</v>
      </c>
      <c r="V4111" s="25"/>
      <c r="W4111" s="25"/>
      <c r="X4111" s="25"/>
      <c r="Y4111" s="25"/>
      <c r="Z4111" s="25"/>
      <c r="AA4111" s="25"/>
    </row>
    <row r="4112" spans="1:27" x14ac:dyDescent="0.35">
      <c r="A4112" s="5">
        <v>4108</v>
      </c>
      <c r="B4112" s="5">
        <v>172</v>
      </c>
      <c r="C4112" s="5">
        <v>6</v>
      </c>
      <c r="D4112" s="25">
        <v>1.1415000000000001E-4</v>
      </c>
      <c r="E4112" s="25">
        <v>1.18E-4</v>
      </c>
      <c r="F4112" s="25">
        <v>1.0599000000000001E-4</v>
      </c>
      <c r="G4112" s="25">
        <v>5.9389999999999999E-5</v>
      </c>
      <c r="H4112" s="25">
        <v>6.745E-5</v>
      </c>
      <c r="I4112" s="9">
        <v>8.7260000000000001E-5</v>
      </c>
      <c r="J4112" s="9">
        <v>8.7429999999999995E-5</v>
      </c>
      <c r="K4112" s="9">
        <v>0</v>
      </c>
      <c r="L4112" s="9">
        <v>2.2650000000000002E-5</v>
      </c>
      <c r="M4112" s="9">
        <v>4.4129999999999999E-5</v>
      </c>
      <c r="N4112" s="9">
        <v>6.1810000000000006E-5</v>
      </c>
      <c r="O4112" s="9">
        <v>1.9570000000000001E-5</v>
      </c>
      <c r="P4112" s="9">
        <v>4.7490000000000001E-5</v>
      </c>
      <c r="Q4112" s="9">
        <v>8.0770000000000001E-5</v>
      </c>
      <c r="R4112" s="10">
        <v>3.5121186826410243E-5</v>
      </c>
      <c r="S4112" s="10">
        <v>4.1271518825361469E-5</v>
      </c>
      <c r="T4112" s="10">
        <v>0</v>
      </c>
      <c r="U4112" s="10">
        <v>9.5290000000000004E-5</v>
      </c>
      <c r="V4112" s="25"/>
      <c r="W4112" s="25"/>
      <c r="X4112" s="25"/>
      <c r="Y4112" s="25"/>
      <c r="Z4112" s="25"/>
      <c r="AA4112" s="25"/>
    </row>
    <row r="4113" spans="1:27" x14ac:dyDescent="0.35">
      <c r="A4113" s="5">
        <v>4109</v>
      </c>
      <c r="B4113" s="5">
        <v>172</v>
      </c>
      <c r="C4113" s="5">
        <v>6</v>
      </c>
      <c r="D4113" s="25">
        <v>1.1416E-4</v>
      </c>
      <c r="E4113" s="25">
        <v>1.1396999999999999E-4</v>
      </c>
      <c r="F4113" s="25">
        <v>1.1976000000000001E-4</v>
      </c>
      <c r="G4113" s="25">
        <v>5.2599999999999998E-5</v>
      </c>
      <c r="H4113" s="25">
        <v>6.4989999999999999E-5</v>
      </c>
      <c r="I4113" s="9">
        <v>9.0749999999999997E-5</v>
      </c>
      <c r="J4113" s="9">
        <v>8.8770000000000006E-5</v>
      </c>
      <c r="K4113" s="9">
        <v>0</v>
      </c>
      <c r="L4113" s="9">
        <v>2.0469999999999999E-5</v>
      </c>
      <c r="M4113" s="9">
        <v>4.3529999999999998E-5</v>
      </c>
      <c r="N4113" s="9">
        <v>6.4449999999999994E-5</v>
      </c>
      <c r="O4113" s="9">
        <v>2.4219999999999999E-5</v>
      </c>
      <c r="P4113" s="9">
        <v>5.6839999999999998E-5</v>
      </c>
      <c r="Q4113" s="9">
        <v>9.399E-5</v>
      </c>
      <c r="R4113" s="10">
        <v>3.9104509980873947E-5</v>
      </c>
      <c r="S4113" s="10">
        <v>4.6176013015968118E-5</v>
      </c>
      <c r="T4113" s="10">
        <v>0</v>
      </c>
      <c r="U4113" s="10">
        <v>9.5290000000000004E-5</v>
      </c>
      <c r="V4113" s="25"/>
      <c r="W4113" s="25"/>
      <c r="X4113" s="25"/>
      <c r="Y4113" s="25"/>
      <c r="Z4113" s="25"/>
      <c r="AA4113" s="25"/>
    </row>
    <row r="4114" spans="1:27" x14ac:dyDescent="0.35">
      <c r="A4114" s="5">
        <v>4110</v>
      </c>
      <c r="B4114" s="5">
        <v>172</v>
      </c>
      <c r="C4114" s="5">
        <v>6</v>
      </c>
      <c r="D4114" s="25">
        <v>1.1415000000000001E-4</v>
      </c>
      <c r="E4114" s="25">
        <v>1.1055E-4</v>
      </c>
      <c r="F4114" s="25">
        <v>1.1416E-4</v>
      </c>
      <c r="G4114" s="25">
        <v>1.0552000000000001E-4</v>
      </c>
      <c r="H4114" s="25">
        <v>1.3472000000000001E-4</v>
      </c>
      <c r="I4114" s="9">
        <v>1.0103999999999999E-4</v>
      </c>
      <c r="J4114" s="9">
        <v>9.7529999999999996E-5</v>
      </c>
      <c r="K4114" s="9">
        <v>0</v>
      </c>
      <c r="L4114" s="9">
        <v>2.3280000000000001E-5</v>
      </c>
      <c r="M4114" s="9">
        <v>4.8520000000000003E-5</v>
      </c>
      <c r="N4114" s="9">
        <v>7.1110000000000002E-5</v>
      </c>
      <c r="O4114" s="9">
        <v>4.7500000000000003E-5</v>
      </c>
      <c r="P4114" s="9">
        <v>7.6840000000000003E-5</v>
      </c>
      <c r="Q4114" s="9">
        <v>1.07E-4</v>
      </c>
      <c r="R4114" s="10">
        <v>4.4231083491220133E-5</v>
      </c>
      <c r="S4114" s="10">
        <v>5.2971334524910097E-5</v>
      </c>
      <c r="T4114" s="10">
        <v>5.1499697055365076E-6</v>
      </c>
      <c r="U4114" s="10">
        <v>9.5290000000000004E-5</v>
      </c>
      <c r="V4114" s="25"/>
      <c r="W4114" s="25"/>
      <c r="X4114" s="25"/>
      <c r="Y4114" s="25"/>
      <c r="Z4114" s="25"/>
      <c r="AA4114" s="25"/>
    </row>
    <row r="4115" spans="1:27" x14ac:dyDescent="0.35">
      <c r="A4115" s="5">
        <v>4111</v>
      </c>
      <c r="B4115" s="5">
        <v>172</v>
      </c>
      <c r="C4115" s="5">
        <v>6</v>
      </c>
      <c r="D4115" s="25">
        <v>1.1416E-4</v>
      </c>
      <c r="E4115" s="25">
        <v>1.098E-4</v>
      </c>
      <c r="F4115" s="25">
        <v>1.1717E-4</v>
      </c>
      <c r="G4115" s="25">
        <v>1.0986E-4</v>
      </c>
      <c r="H4115" s="25">
        <v>1.3399000000000001E-4</v>
      </c>
      <c r="I4115" s="9">
        <v>1.1179999999999999E-4</v>
      </c>
      <c r="J4115" s="9">
        <v>1.1281999999999999E-4</v>
      </c>
      <c r="K4115" s="9">
        <v>0</v>
      </c>
      <c r="L4115" s="9">
        <v>4.2039999999999997E-5</v>
      </c>
      <c r="M4115" s="9">
        <v>6.012E-5</v>
      </c>
      <c r="N4115" s="9">
        <v>8.0820000000000002E-5</v>
      </c>
      <c r="O4115" s="9">
        <v>1.1331E-4</v>
      </c>
      <c r="P4115" s="9">
        <v>1.1767E-4</v>
      </c>
      <c r="Q4115" s="9">
        <v>1.1272E-4</v>
      </c>
      <c r="R4115" s="10">
        <v>4.7780013195234009E-5</v>
      </c>
      <c r="S4115" s="10">
        <v>6.3572157255600869E-5</v>
      </c>
      <c r="T4115" s="10">
        <v>5.4503139025315521E-5</v>
      </c>
      <c r="U4115" s="10">
        <v>9.5290000000000004E-5</v>
      </c>
      <c r="V4115" s="25"/>
      <c r="W4115" s="25"/>
      <c r="X4115" s="25"/>
      <c r="Y4115" s="25"/>
      <c r="Z4115" s="25"/>
      <c r="AA4115" s="25"/>
    </row>
    <row r="4116" spans="1:27" x14ac:dyDescent="0.35">
      <c r="A4116" s="5">
        <v>4112</v>
      </c>
      <c r="B4116" s="5">
        <v>172</v>
      </c>
      <c r="C4116" s="5">
        <v>6</v>
      </c>
      <c r="D4116" s="25">
        <v>1.1415000000000001E-4</v>
      </c>
      <c r="E4116" s="25">
        <v>1.0987E-4</v>
      </c>
      <c r="F4116" s="25">
        <v>1.1082E-4</v>
      </c>
      <c r="G4116" s="25">
        <v>1.6384E-4</v>
      </c>
      <c r="H4116" s="25">
        <v>1.9162000000000001E-4</v>
      </c>
      <c r="I4116" s="9">
        <v>1.1846E-4</v>
      </c>
      <c r="J4116" s="9">
        <v>1.2448E-4</v>
      </c>
      <c r="K4116" s="9">
        <v>0</v>
      </c>
      <c r="L4116" s="9">
        <v>9.7109999999999997E-5</v>
      </c>
      <c r="M4116" s="9">
        <v>8.3819999999999994E-5</v>
      </c>
      <c r="N4116" s="9">
        <v>9.0959999999999996E-5</v>
      </c>
      <c r="O4116" s="9">
        <v>1.9539000000000001E-4</v>
      </c>
      <c r="P4116" s="9">
        <v>1.7719E-4</v>
      </c>
      <c r="Q4116" s="9">
        <v>1.3688E-4</v>
      </c>
      <c r="R4116" s="10">
        <v>4.5938401446659795E-5</v>
      </c>
      <c r="S4116" s="10">
        <v>7.5246847031383609E-5</v>
      </c>
      <c r="T4116" s="10">
        <v>3.4853501730385455E-5</v>
      </c>
      <c r="U4116" s="10">
        <v>9.5290000000000004E-5</v>
      </c>
      <c r="V4116" s="25"/>
      <c r="W4116" s="25"/>
      <c r="X4116" s="25"/>
      <c r="Y4116" s="25"/>
      <c r="Z4116" s="25"/>
      <c r="AA4116" s="25"/>
    </row>
    <row r="4117" spans="1:27" x14ac:dyDescent="0.35">
      <c r="A4117" s="5">
        <v>4113</v>
      </c>
      <c r="B4117" s="5">
        <v>172</v>
      </c>
      <c r="C4117" s="5">
        <v>6</v>
      </c>
      <c r="D4117" s="25">
        <v>1.1416E-4</v>
      </c>
      <c r="E4117" s="25">
        <v>1.1082E-4</v>
      </c>
      <c r="F4117" s="25">
        <v>1.1972999999999999E-4</v>
      </c>
      <c r="G4117" s="25">
        <v>1.6757E-4</v>
      </c>
      <c r="H4117" s="25">
        <v>1.9662E-4</v>
      </c>
      <c r="I4117" s="9">
        <v>1.2111E-4</v>
      </c>
      <c r="J4117" s="9">
        <v>1.3025999999999999E-4</v>
      </c>
      <c r="K4117" s="9">
        <v>0</v>
      </c>
      <c r="L4117" s="9">
        <v>1.7226000000000001E-4</v>
      </c>
      <c r="M4117" s="9">
        <v>1.2357000000000001E-4</v>
      </c>
      <c r="N4117" s="9">
        <v>1.0474E-4</v>
      </c>
      <c r="O4117" s="9">
        <v>1.8773999999999999E-4</v>
      </c>
      <c r="P4117" s="9">
        <v>1.9279E-4</v>
      </c>
      <c r="Q4117" s="9">
        <v>1.7656E-4</v>
      </c>
      <c r="R4117" s="10">
        <v>4.7186172351602389E-5</v>
      </c>
      <c r="S4117" s="10">
        <v>8.9036476887598712E-5</v>
      </c>
      <c r="T4117" s="10">
        <v>1.2366714732767731E-4</v>
      </c>
      <c r="U4117" s="10">
        <v>9.5290000000000004E-5</v>
      </c>
      <c r="V4117" s="25"/>
      <c r="W4117" s="25"/>
      <c r="X4117" s="25"/>
      <c r="Y4117" s="25"/>
      <c r="Z4117" s="25"/>
      <c r="AA4117" s="25"/>
    </row>
    <row r="4118" spans="1:27" x14ac:dyDescent="0.35">
      <c r="A4118" s="5">
        <v>4114</v>
      </c>
      <c r="B4118" s="5">
        <v>172</v>
      </c>
      <c r="C4118" s="5">
        <v>6</v>
      </c>
      <c r="D4118" s="25">
        <v>1.1415000000000001E-4</v>
      </c>
      <c r="E4118" s="25">
        <v>1.1964999999999999E-4</v>
      </c>
      <c r="F4118" s="25">
        <v>1.2051E-4</v>
      </c>
      <c r="G4118" s="25">
        <v>1.5756E-4</v>
      </c>
      <c r="H4118" s="25">
        <v>1.8609E-4</v>
      </c>
      <c r="I4118" s="9">
        <v>1.2121999999999999E-4</v>
      </c>
      <c r="J4118" s="9">
        <v>1.3258000000000001E-4</v>
      </c>
      <c r="K4118" s="9">
        <v>0</v>
      </c>
      <c r="L4118" s="9">
        <v>1.8236000000000001E-4</v>
      </c>
      <c r="M4118" s="9">
        <v>1.5856E-4</v>
      </c>
      <c r="N4118" s="9">
        <v>1.2464999999999999E-4</v>
      </c>
      <c r="O4118" s="9">
        <v>1.4964000000000001E-4</v>
      </c>
      <c r="P4118" s="9">
        <v>1.7310000000000001E-4</v>
      </c>
      <c r="Q4118" s="9">
        <v>1.8106E-4</v>
      </c>
      <c r="R4118" s="10">
        <v>5.4341778722355046E-5</v>
      </c>
      <c r="S4118" s="10">
        <v>9.2122834575668919E-5</v>
      </c>
      <c r="T4118" s="10">
        <v>3.9816816850218833E-5</v>
      </c>
      <c r="U4118" s="10">
        <v>9.5290000000000004E-5</v>
      </c>
      <c r="V4118" s="25"/>
      <c r="W4118" s="25"/>
      <c r="X4118" s="25"/>
      <c r="Y4118" s="25"/>
      <c r="Z4118" s="25"/>
      <c r="AA4118" s="25"/>
    </row>
    <row r="4119" spans="1:27" x14ac:dyDescent="0.35">
      <c r="A4119" s="5">
        <v>4115</v>
      </c>
      <c r="B4119" s="5">
        <v>172</v>
      </c>
      <c r="C4119" s="5">
        <v>6</v>
      </c>
      <c r="D4119" s="25">
        <v>1.1416E-4</v>
      </c>
      <c r="E4119" s="25">
        <v>1.1695E-4</v>
      </c>
      <c r="F4119" s="25">
        <v>1.0081000000000001E-4</v>
      </c>
      <c r="G4119" s="25">
        <v>1.6323999999999999E-4</v>
      </c>
      <c r="H4119" s="25">
        <v>1.8689999999999999E-4</v>
      </c>
      <c r="I4119" s="9">
        <v>1.2208999999999999E-4</v>
      </c>
      <c r="J4119" s="9">
        <v>1.3375E-4</v>
      </c>
      <c r="K4119" s="9">
        <v>0</v>
      </c>
      <c r="L4119" s="9">
        <v>1.5690999999999999E-4</v>
      </c>
      <c r="M4119" s="9">
        <v>1.7189000000000001E-4</v>
      </c>
      <c r="N4119" s="9">
        <v>1.4245999999999999E-4</v>
      </c>
      <c r="O4119" s="9">
        <v>1.5122000000000001E-4</v>
      </c>
      <c r="P4119" s="9">
        <v>1.7358E-4</v>
      </c>
      <c r="Q4119" s="9">
        <v>1.8028E-4</v>
      </c>
      <c r="R4119" s="10">
        <v>6.3786898728405961E-5</v>
      </c>
      <c r="S4119" s="10">
        <v>8.5671089087217882E-5</v>
      </c>
      <c r="T4119" s="10">
        <v>6.0187619589911019E-5</v>
      </c>
      <c r="U4119" s="10">
        <v>9.5290000000000004E-5</v>
      </c>
      <c r="V4119" s="25"/>
      <c r="W4119" s="25"/>
      <c r="X4119" s="25"/>
      <c r="Y4119" s="25"/>
      <c r="Z4119" s="25"/>
      <c r="AA4119" s="25"/>
    </row>
    <row r="4120" spans="1:27" x14ac:dyDescent="0.35">
      <c r="A4120" s="5">
        <v>4116</v>
      </c>
      <c r="B4120" s="5">
        <v>172</v>
      </c>
      <c r="C4120" s="5">
        <v>6</v>
      </c>
      <c r="D4120" s="25">
        <v>1.1415000000000001E-4</v>
      </c>
      <c r="E4120" s="25">
        <v>1.1423E-4</v>
      </c>
      <c r="F4120" s="25">
        <v>1.1058E-4</v>
      </c>
      <c r="G4120" s="25">
        <v>1.6391999999999999E-4</v>
      </c>
      <c r="H4120" s="25">
        <v>1.917E-4</v>
      </c>
      <c r="I4120" s="9">
        <v>1.2115E-4</v>
      </c>
      <c r="J4120" s="9">
        <v>1.3352000000000001E-4</v>
      </c>
      <c r="K4120" s="9">
        <v>0</v>
      </c>
      <c r="L4120" s="9">
        <v>1.5369E-4</v>
      </c>
      <c r="M4120" s="9">
        <v>1.7471000000000001E-4</v>
      </c>
      <c r="N4120" s="9">
        <v>1.5669999999999999E-4</v>
      </c>
      <c r="O4120" s="9">
        <v>1.5384E-4</v>
      </c>
      <c r="P4120" s="9">
        <v>1.7252000000000001E-4</v>
      </c>
      <c r="Q4120" s="9">
        <v>1.7521E-4</v>
      </c>
      <c r="R4120" s="10">
        <v>6.7061831682007009E-5</v>
      </c>
      <c r="S4120" s="10">
        <v>8.1902648792193638E-5</v>
      </c>
      <c r="T4120" s="10">
        <v>2.0721204302853068E-4</v>
      </c>
      <c r="U4120" s="10">
        <v>9.5290000000000004E-5</v>
      </c>
      <c r="V4120" s="25"/>
      <c r="W4120" s="25"/>
      <c r="X4120" s="25"/>
      <c r="Y4120" s="25"/>
      <c r="Z4120" s="25"/>
      <c r="AA4120" s="25"/>
    </row>
    <row r="4121" spans="1:27" x14ac:dyDescent="0.35">
      <c r="A4121" s="5">
        <v>4117</v>
      </c>
      <c r="B4121" s="5">
        <v>172</v>
      </c>
      <c r="C4121" s="5">
        <v>6</v>
      </c>
      <c r="D4121" s="25">
        <v>1.1416E-4</v>
      </c>
      <c r="E4121" s="25">
        <v>1.1496E-4</v>
      </c>
      <c r="F4121" s="25">
        <v>1.0145999999999999E-4</v>
      </c>
      <c r="G4121" s="25">
        <v>1.6521999999999999E-4</v>
      </c>
      <c r="H4121" s="25">
        <v>1.8782E-4</v>
      </c>
      <c r="I4121" s="9">
        <v>1.2222000000000001E-4</v>
      </c>
      <c r="J4121" s="9">
        <v>1.3446000000000001E-4</v>
      </c>
      <c r="K4121" s="9">
        <v>0</v>
      </c>
      <c r="L4121" s="9">
        <v>1.5391999999999999E-4</v>
      </c>
      <c r="M4121" s="9">
        <v>1.7419000000000001E-4</v>
      </c>
      <c r="N4121" s="9">
        <v>1.6639000000000001E-4</v>
      </c>
      <c r="O4121" s="9">
        <v>1.4574999999999999E-4</v>
      </c>
      <c r="P4121" s="9">
        <v>1.6389E-4</v>
      </c>
      <c r="Q4121" s="9">
        <v>1.6729000000000001E-4</v>
      </c>
      <c r="R4121" s="10">
        <v>7.5569092063155121E-5</v>
      </c>
      <c r="S4121" s="10">
        <v>8.4321323422917985E-5</v>
      </c>
      <c r="T4121" s="10">
        <v>4.1321931554934115E-4</v>
      </c>
      <c r="U4121" s="10">
        <v>9.5290000000000004E-5</v>
      </c>
      <c r="V4121" s="25"/>
      <c r="W4121" s="25"/>
      <c r="X4121" s="25"/>
      <c r="Y4121" s="25"/>
      <c r="Z4121" s="25"/>
      <c r="AA4121" s="25"/>
    </row>
    <row r="4122" spans="1:27" x14ac:dyDescent="0.35">
      <c r="A4122" s="5">
        <v>4118</v>
      </c>
      <c r="B4122" s="5">
        <v>172</v>
      </c>
      <c r="C4122" s="5">
        <v>6</v>
      </c>
      <c r="D4122" s="25">
        <v>1.1415000000000001E-4</v>
      </c>
      <c r="E4122" s="25">
        <v>1.1620000000000001E-4</v>
      </c>
      <c r="F4122" s="25">
        <v>1.1477E-4</v>
      </c>
      <c r="G4122" s="25">
        <v>1.5669999999999999E-4</v>
      </c>
      <c r="H4122" s="25">
        <v>1.9705999999999999E-4</v>
      </c>
      <c r="I4122" s="9">
        <v>1.2112000000000001E-4</v>
      </c>
      <c r="J4122" s="9">
        <v>1.34E-4</v>
      </c>
      <c r="K4122" s="9">
        <v>0</v>
      </c>
      <c r="L4122" s="9">
        <v>1.4731E-4</v>
      </c>
      <c r="M4122" s="9">
        <v>1.7032000000000001E-4</v>
      </c>
      <c r="N4122" s="9">
        <v>1.7066999999999999E-4</v>
      </c>
      <c r="O4122" s="9">
        <v>1.6139E-4</v>
      </c>
      <c r="P4122" s="9">
        <v>1.7030999999999999E-4</v>
      </c>
      <c r="Q4122" s="9">
        <v>1.6221000000000001E-4</v>
      </c>
      <c r="R4122" s="10">
        <v>8.1177579402255882E-5</v>
      </c>
      <c r="S4122" s="10">
        <v>8.540563034349596E-5</v>
      </c>
      <c r="T4122" s="10">
        <v>1.9180455540867186E-4</v>
      </c>
      <c r="U4122" s="10">
        <v>9.5290000000000004E-5</v>
      </c>
      <c r="V4122" s="25"/>
      <c r="W4122" s="25"/>
      <c r="X4122" s="25"/>
      <c r="Y4122" s="25"/>
      <c r="Z4122" s="25"/>
      <c r="AA4122" s="25"/>
    </row>
    <row r="4123" spans="1:27" x14ac:dyDescent="0.35">
      <c r="A4123" s="5">
        <v>4119</v>
      </c>
      <c r="B4123" s="5">
        <v>172</v>
      </c>
      <c r="C4123" s="5">
        <v>6</v>
      </c>
      <c r="D4123" s="25">
        <v>1.1416E-4</v>
      </c>
      <c r="E4123" s="25">
        <v>1.1975E-4</v>
      </c>
      <c r="F4123" s="25">
        <v>1.1373E-4</v>
      </c>
      <c r="G4123" s="25">
        <v>1.6072999999999999E-4</v>
      </c>
      <c r="H4123" s="25">
        <v>1.9180999999999999E-4</v>
      </c>
      <c r="I4123" s="9">
        <v>1.2131E-4</v>
      </c>
      <c r="J4123" s="9">
        <v>1.3384000000000001E-4</v>
      </c>
      <c r="K4123" s="9">
        <v>0</v>
      </c>
      <c r="L4123" s="9">
        <v>1.5846E-4</v>
      </c>
      <c r="M4123" s="9">
        <v>1.6918E-4</v>
      </c>
      <c r="N4123" s="9">
        <v>1.7050999999999999E-4</v>
      </c>
      <c r="O4123" s="9">
        <v>1.6294000000000001E-4</v>
      </c>
      <c r="P4123" s="9">
        <v>1.6572000000000001E-4</v>
      </c>
      <c r="Q4123" s="9">
        <v>1.5116000000000001E-4</v>
      </c>
      <c r="R4123" s="10">
        <v>8.2974163811590888E-5</v>
      </c>
      <c r="S4123" s="10">
        <v>8.7329613948552686E-5</v>
      </c>
      <c r="T4123" s="10">
        <v>3.1116167866647681E-4</v>
      </c>
      <c r="U4123" s="10">
        <v>9.5290000000000004E-5</v>
      </c>
      <c r="V4123" s="25"/>
      <c r="W4123" s="25"/>
      <c r="X4123" s="25"/>
      <c r="Y4123" s="25"/>
      <c r="Z4123" s="25"/>
      <c r="AA4123" s="25"/>
    </row>
    <row r="4124" spans="1:27" x14ac:dyDescent="0.35">
      <c r="A4124" s="5">
        <v>4120</v>
      </c>
      <c r="B4124" s="5">
        <v>172</v>
      </c>
      <c r="C4124" s="5">
        <v>6</v>
      </c>
      <c r="D4124" s="25">
        <v>1.1415000000000001E-4</v>
      </c>
      <c r="E4124" s="25">
        <v>1.092E-4</v>
      </c>
      <c r="F4124" s="25">
        <v>1.1150999999999999E-4</v>
      </c>
      <c r="G4124" s="25">
        <v>1.5616999999999999E-4</v>
      </c>
      <c r="H4124" s="25">
        <v>1.9163000000000001E-4</v>
      </c>
      <c r="I4124" s="9">
        <v>1.2261999999999999E-4</v>
      </c>
      <c r="J4124" s="9">
        <v>1.3493000000000001E-4</v>
      </c>
      <c r="K4124" s="9">
        <v>0</v>
      </c>
      <c r="L4124" s="9">
        <v>1.6165999999999999E-4</v>
      </c>
      <c r="M4124" s="9">
        <v>1.6773999999999999E-4</v>
      </c>
      <c r="N4124" s="9">
        <v>1.663E-4</v>
      </c>
      <c r="O4124" s="9">
        <v>1.7453999999999999E-4</v>
      </c>
      <c r="P4124" s="9">
        <v>1.5103E-4</v>
      </c>
      <c r="Q4124" s="9">
        <v>1.0874000000000001E-4</v>
      </c>
      <c r="R4124" s="10">
        <v>9.9504291963490671E-5</v>
      </c>
      <c r="S4124" s="10">
        <v>8.8462180631231402E-5</v>
      </c>
      <c r="T4124" s="10">
        <v>1.7757638539848288E-4</v>
      </c>
      <c r="U4124" s="10">
        <v>9.5290000000000004E-5</v>
      </c>
      <c r="V4124" s="25"/>
      <c r="W4124" s="25"/>
      <c r="X4124" s="25"/>
      <c r="Y4124" s="25"/>
      <c r="Z4124" s="25"/>
      <c r="AA4124" s="25"/>
    </row>
    <row r="4125" spans="1:27" x14ac:dyDescent="0.35">
      <c r="A4125" s="5">
        <v>4121</v>
      </c>
      <c r="B4125" s="5">
        <v>172</v>
      </c>
      <c r="C4125" s="5">
        <v>6</v>
      </c>
      <c r="D4125" s="25">
        <v>1.1416E-4</v>
      </c>
      <c r="E4125" s="25">
        <v>1.0996E-4</v>
      </c>
      <c r="F4125" s="25">
        <v>1.1667000000000001E-4</v>
      </c>
      <c r="G4125" s="25">
        <v>1.6508000000000001E-4</v>
      </c>
      <c r="H4125" s="25">
        <v>1.9603000000000001E-4</v>
      </c>
      <c r="I4125" s="9">
        <v>1.2463E-4</v>
      </c>
      <c r="J4125" s="9">
        <v>1.3443E-4</v>
      </c>
      <c r="K4125" s="9">
        <v>0</v>
      </c>
      <c r="L4125" s="9">
        <v>1.7157000000000001E-4</v>
      </c>
      <c r="M4125" s="9">
        <v>1.6144E-4</v>
      </c>
      <c r="N4125" s="9">
        <v>1.5228999999999999E-4</v>
      </c>
      <c r="O4125" s="9">
        <v>1.8927000000000001E-4</v>
      </c>
      <c r="P4125" s="9">
        <v>1.5841E-4</v>
      </c>
      <c r="Q4125" s="9">
        <v>1.0655E-4</v>
      </c>
      <c r="R4125" s="10">
        <v>1.2024324666232188E-4</v>
      </c>
      <c r="S4125" s="10">
        <v>9.0432513688404074E-5</v>
      </c>
      <c r="T4125" s="10">
        <v>1.1007529976874903E-4</v>
      </c>
      <c r="U4125" s="10">
        <v>9.5290000000000004E-5</v>
      </c>
      <c r="V4125" s="25"/>
      <c r="W4125" s="25"/>
      <c r="X4125" s="25"/>
      <c r="Y4125" s="25"/>
      <c r="Z4125" s="25"/>
      <c r="AA4125" s="25"/>
    </row>
    <row r="4126" spans="1:27" x14ac:dyDescent="0.35">
      <c r="A4126" s="5">
        <v>4122</v>
      </c>
      <c r="B4126" s="5">
        <v>172</v>
      </c>
      <c r="C4126" s="5">
        <v>6</v>
      </c>
      <c r="D4126" s="25">
        <v>1.1415000000000001E-4</v>
      </c>
      <c r="E4126" s="25">
        <v>1.1992E-4</v>
      </c>
      <c r="F4126" s="25">
        <v>1.0797E-4</v>
      </c>
      <c r="G4126" s="25">
        <v>1.6058000000000001E-4</v>
      </c>
      <c r="H4126" s="25">
        <v>1.9891E-4</v>
      </c>
      <c r="I4126" s="9">
        <v>1.2297999999999999E-4</v>
      </c>
      <c r="J4126" s="9">
        <v>1.2929E-4</v>
      </c>
      <c r="K4126" s="9">
        <v>0</v>
      </c>
      <c r="L4126" s="9">
        <v>1.8519000000000001E-4</v>
      </c>
      <c r="M4126" s="9">
        <v>1.5862E-4</v>
      </c>
      <c r="N4126" s="9">
        <v>1.3876000000000001E-4</v>
      </c>
      <c r="O4126" s="9">
        <v>1.8187999999999999E-4</v>
      </c>
      <c r="P4126" s="9">
        <v>1.5939E-4</v>
      </c>
      <c r="Q4126" s="9">
        <v>1.1694E-4</v>
      </c>
      <c r="R4126" s="10">
        <v>1.3752860066438462E-4</v>
      </c>
      <c r="S4126" s="10">
        <v>8.9083603803912753E-5</v>
      </c>
      <c r="T4126" s="10">
        <v>1.5262406100971374E-4</v>
      </c>
      <c r="U4126" s="10">
        <v>9.5290000000000004E-5</v>
      </c>
      <c r="V4126" s="25"/>
      <c r="W4126" s="25"/>
      <c r="X4126" s="25"/>
      <c r="Y4126" s="25"/>
      <c r="Z4126" s="25"/>
      <c r="AA4126" s="25"/>
    </row>
    <row r="4127" spans="1:27" x14ac:dyDescent="0.35">
      <c r="A4127" s="5">
        <v>4123</v>
      </c>
      <c r="B4127" s="5">
        <v>172</v>
      </c>
      <c r="C4127" s="5">
        <v>6</v>
      </c>
      <c r="D4127" s="25">
        <v>1.1416E-4</v>
      </c>
      <c r="E4127" s="25">
        <v>1.1762E-4</v>
      </c>
      <c r="F4127" s="25">
        <v>1.2066999999999999E-4</v>
      </c>
      <c r="G4127" s="25">
        <v>1.0726999999999999E-4</v>
      </c>
      <c r="H4127" s="25">
        <v>1.2545000000000001E-4</v>
      </c>
      <c r="I4127" s="9">
        <v>1.1906E-4</v>
      </c>
      <c r="J4127" s="9">
        <v>1.2572000000000001E-4</v>
      </c>
      <c r="K4127" s="9">
        <v>0</v>
      </c>
      <c r="L4127" s="9">
        <v>1.8223999999999999E-4</v>
      </c>
      <c r="M4127" s="9">
        <v>1.5835999999999999E-4</v>
      </c>
      <c r="N4127" s="9">
        <v>1.2951E-4</v>
      </c>
      <c r="O4127" s="9">
        <v>1.4803E-4</v>
      </c>
      <c r="P4127" s="9">
        <v>1.3484E-4</v>
      </c>
      <c r="Q4127" s="9">
        <v>1.0702E-4</v>
      </c>
      <c r="R4127" s="10">
        <v>1.1995910735856508E-4</v>
      </c>
      <c r="S4127" s="10">
        <v>8.6510885368317896E-5</v>
      </c>
      <c r="T4127" s="10">
        <v>5.6361200582996743E-5</v>
      </c>
      <c r="U4127" s="10">
        <v>9.5290000000000004E-5</v>
      </c>
      <c r="V4127" s="25"/>
      <c r="W4127" s="25"/>
      <c r="X4127" s="25"/>
      <c r="Y4127" s="25"/>
      <c r="Z4127" s="25"/>
      <c r="AA4127" s="25"/>
    </row>
    <row r="4128" spans="1:27" x14ac:dyDescent="0.35">
      <c r="A4128" s="5">
        <v>4124</v>
      </c>
      <c r="B4128" s="5">
        <v>172</v>
      </c>
      <c r="C4128" s="5">
        <v>6</v>
      </c>
      <c r="D4128" s="25">
        <v>1.1415000000000001E-4</v>
      </c>
      <c r="E4128" s="25">
        <v>1.1742E-4</v>
      </c>
      <c r="F4128" s="25">
        <v>1.0297E-4</v>
      </c>
      <c r="G4128" s="25">
        <v>1.1177E-4</v>
      </c>
      <c r="H4128" s="25">
        <v>1.3562000000000001E-4</v>
      </c>
      <c r="I4128" s="9">
        <v>1.1542E-4</v>
      </c>
      <c r="J4128" s="9">
        <v>1.2132E-4</v>
      </c>
      <c r="K4128" s="9">
        <v>0</v>
      </c>
      <c r="L4128" s="9">
        <v>1.5569999999999999E-4</v>
      </c>
      <c r="M4128" s="9">
        <v>1.4998999999999999E-4</v>
      </c>
      <c r="N4128" s="9">
        <v>1.2039E-4</v>
      </c>
      <c r="O4128" s="9">
        <v>1.1806E-4</v>
      </c>
      <c r="P4128" s="9">
        <v>1.1503E-4</v>
      </c>
      <c r="Q4128" s="9">
        <v>1.0204000000000001E-4</v>
      </c>
      <c r="R4128" s="10">
        <v>9.8512119821041552E-5</v>
      </c>
      <c r="S4128" s="10">
        <v>8.2318721059257448E-5</v>
      </c>
      <c r="T4128" s="10">
        <v>1.2158000968754227E-5</v>
      </c>
      <c r="U4128" s="10">
        <v>9.5290000000000004E-5</v>
      </c>
      <c r="V4128" s="25"/>
      <c r="W4128" s="25"/>
      <c r="X4128" s="25"/>
      <c r="Y4128" s="25"/>
      <c r="Z4128" s="25"/>
      <c r="AA4128" s="25"/>
    </row>
    <row r="4129" spans="1:27" x14ac:dyDescent="0.35">
      <c r="A4129" s="5">
        <v>4125</v>
      </c>
      <c r="B4129" s="5">
        <v>172</v>
      </c>
      <c r="C4129" s="5">
        <v>6</v>
      </c>
      <c r="D4129" s="25">
        <v>1.1416E-4</v>
      </c>
      <c r="E4129" s="25">
        <v>1.1574E-4</v>
      </c>
      <c r="F4129" s="25">
        <v>1.0776E-4</v>
      </c>
      <c r="G4129" s="25">
        <v>5.6889999999999999E-5</v>
      </c>
      <c r="H4129" s="25">
        <v>6.9779999999999999E-5</v>
      </c>
      <c r="I4129" s="9">
        <v>1.1238E-4</v>
      </c>
      <c r="J4129" s="9">
        <v>1.1744E-4</v>
      </c>
      <c r="K4129" s="9">
        <v>0</v>
      </c>
      <c r="L4129" s="9">
        <v>1.2716999999999999E-4</v>
      </c>
      <c r="M4129" s="9">
        <v>1.3505E-4</v>
      </c>
      <c r="N4129" s="9">
        <v>1.1285000000000001E-4</v>
      </c>
      <c r="O4129" s="9">
        <v>7.9649999999999998E-5</v>
      </c>
      <c r="P4129" s="9">
        <v>8.5669999999999998E-5</v>
      </c>
      <c r="Q4129" s="9">
        <v>8.7650000000000003E-5</v>
      </c>
      <c r="R4129" s="10">
        <v>8.354466798115605E-5</v>
      </c>
      <c r="S4129" s="10">
        <v>7.7303904805244958E-5</v>
      </c>
      <c r="T4129" s="10">
        <v>0</v>
      </c>
      <c r="U4129" s="10">
        <v>9.5290000000000004E-5</v>
      </c>
      <c r="V4129" s="25"/>
      <c r="W4129" s="25"/>
      <c r="X4129" s="25"/>
      <c r="Y4129" s="25"/>
      <c r="Z4129" s="25"/>
      <c r="AA4129" s="25"/>
    </row>
    <row r="4130" spans="1:27" x14ac:dyDescent="0.35">
      <c r="A4130" s="5">
        <v>4126</v>
      </c>
      <c r="B4130" s="5">
        <v>172</v>
      </c>
      <c r="C4130" s="5">
        <v>6</v>
      </c>
      <c r="D4130" s="25">
        <v>1.1415000000000001E-4</v>
      </c>
      <c r="E4130" s="25">
        <v>1.1739E-4</v>
      </c>
      <c r="F4130" s="25">
        <v>1.2290000000000001E-4</v>
      </c>
      <c r="G4130" s="25">
        <v>6.3440000000000002E-5</v>
      </c>
      <c r="H4130" s="25">
        <v>7.2000000000000002E-5</v>
      </c>
      <c r="I4130" s="9">
        <v>1.1399E-4</v>
      </c>
      <c r="J4130" s="9">
        <v>1.1413000000000001E-4</v>
      </c>
      <c r="K4130" s="9">
        <v>0</v>
      </c>
      <c r="L4130" s="9">
        <v>9.0879999999999997E-5</v>
      </c>
      <c r="M4130" s="9">
        <v>1.1343E-4</v>
      </c>
      <c r="N4130" s="9">
        <v>1.0522E-4</v>
      </c>
      <c r="O4130" s="9">
        <v>8.2890000000000001E-5</v>
      </c>
      <c r="P4130" s="9">
        <v>8.7979999999999995E-5</v>
      </c>
      <c r="Q4130" s="9">
        <v>8.8629999999999997E-5</v>
      </c>
      <c r="R4130" s="10">
        <v>5.8151734725182169E-5</v>
      </c>
      <c r="S4130" s="10">
        <v>7.1030085555198508E-5</v>
      </c>
      <c r="T4130" s="10">
        <v>0</v>
      </c>
      <c r="U4130" s="10">
        <v>9.5290000000000004E-5</v>
      </c>
      <c r="V4130" s="25"/>
      <c r="W4130" s="25"/>
      <c r="X4130" s="25"/>
      <c r="Y4130" s="25"/>
      <c r="Z4130" s="25"/>
      <c r="AA4130" s="25"/>
    </row>
    <row r="4131" spans="1:27" x14ac:dyDescent="0.35">
      <c r="A4131" s="5">
        <v>4127</v>
      </c>
      <c r="B4131" s="5">
        <v>172</v>
      </c>
      <c r="C4131" s="5">
        <v>6</v>
      </c>
      <c r="D4131" s="25">
        <v>1.1416E-4</v>
      </c>
      <c r="E4131" s="25">
        <v>1.1268999999999999E-4</v>
      </c>
      <c r="F4131" s="25">
        <v>1.1673E-4</v>
      </c>
      <c r="G4131" s="25">
        <v>5.6789999999999997E-5</v>
      </c>
      <c r="H4131" s="25">
        <v>6.6769999999999999E-5</v>
      </c>
      <c r="I4131" s="9">
        <v>1.0988E-4</v>
      </c>
      <c r="J4131" s="9">
        <v>1.0877E-4</v>
      </c>
      <c r="K4131" s="9">
        <v>6.3600000000000001E-6</v>
      </c>
      <c r="L4131" s="9">
        <v>8.5459999999999998E-5</v>
      </c>
      <c r="M4131" s="9">
        <v>9.8950000000000006E-5</v>
      </c>
      <c r="N4131" s="9">
        <v>9.9619999999999998E-5</v>
      </c>
      <c r="O4131" s="9">
        <v>7.4610000000000006E-5</v>
      </c>
      <c r="P4131" s="9">
        <v>7.2349999999999997E-5</v>
      </c>
      <c r="Q4131" s="9">
        <v>6.7080000000000001E-5</v>
      </c>
      <c r="R4131" s="10">
        <v>4.8306256669333155E-5</v>
      </c>
      <c r="S4131" s="10">
        <v>7.0461446708106352E-5</v>
      </c>
      <c r="T4131" s="10">
        <v>0</v>
      </c>
      <c r="U4131" s="10">
        <v>9.5290000000000004E-5</v>
      </c>
      <c r="V4131" s="25"/>
      <c r="W4131" s="25"/>
      <c r="X4131" s="25"/>
      <c r="Y4131" s="25"/>
      <c r="Z4131" s="25"/>
      <c r="AA4131" s="25"/>
    </row>
    <row r="4132" spans="1:27" x14ac:dyDescent="0.35">
      <c r="A4132" s="5">
        <v>4128</v>
      </c>
      <c r="B4132" s="5">
        <v>172</v>
      </c>
      <c r="C4132" s="5">
        <v>6</v>
      </c>
      <c r="D4132" s="25">
        <v>1.1415000000000001E-4</v>
      </c>
      <c r="E4132" s="25">
        <v>1.2004E-4</v>
      </c>
      <c r="F4132" s="25">
        <v>1.1699E-4</v>
      </c>
      <c r="G4132" s="25">
        <v>6.1820000000000001E-5</v>
      </c>
      <c r="H4132" s="25">
        <v>6.8330000000000005E-5</v>
      </c>
      <c r="I4132" s="9">
        <v>1.0221999999999999E-4</v>
      </c>
      <c r="J4132" s="9">
        <v>1.0060000000000001E-4</v>
      </c>
      <c r="K4132" s="9">
        <v>2.12E-5</v>
      </c>
      <c r="L4132" s="9">
        <v>7.6970000000000003E-5</v>
      </c>
      <c r="M4132" s="9">
        <v>8.6199999999999995E-5</v>
      </c>
      <c r="N4132" s="9">
        <v>9.0489999999999996E-5</v>
      </c>
      <c r="O4132" s="9">
        <v>6.1680000000000006E-5</v>
      </c>
      <c r="P4132" s="9">
        <v>6.0819999999999997E-5</v>
      </c>
      <c r="Q4132" s="9">
        <v>5.8999999999999998E-5</v>
      </c>
      <c r="R4132" s="10">
        <v>6.8821397418854848E-5</v>
      </c>
      <c r="S4132" s="10">
        <v>6.6989231931810934E-5</v>
      </c>
      <c r="T4132" s="10">
        <v>0</v>
      </c>
      <c r="U4132" s="10">
        <v>9.5290000000000004E-5</v>
      </c>
      <c r="V4132" s="25"/>
      <c r="W4132" s="25"/>
      <c r="X4132" s="25"/>
      <c r="Y4132" s="25"/>
      <c r="Z4132" s="25"/>
      <c r="AA4132" s="25"/>
    </row>
    <row r="4133" spans="1:27" x14ac:dyDescent="0.35">
      <c r="A4133" s="5">
        <v>4129</v>
      </c>
      <c r="B4133" s="5">
        <v>173</v>
      </c>
      <c r="C4133" s="5">
        <v>6</v>
      </c>
      <c r="D4133" s="25">
        <v>1.1416E-4</v>
      </c>
      <c r="E4133" s="25">
        <v>1.1382E-4</v>
      </c>
      <c r="F4133" s="25">
        <v>9.8070000000000001E-5</v>
      </c>
      <c r="G4133" s="25">
        <v>6.2869999999999999E-5</v>
      </c>
      <c r="H4133" s="25">
        <v>7.326E-5</v>
      </c>
      <c r="I4133" s="9">
        <v>9.8200000000000002E-5</v>
      </c>
      <c r="J4133" s="9">
        <v>9.5409999999999996E-5</v>
      </c>
      <c r="K4133" s="9">
        <v>3.6029999999999999E-5</v>
      </c>
      <c r="L4133" s="9">
        <v>6.5040000000000001E-5</v>
      </c>
      <c r="M4133" s="9">
        <v>7.4140000000000005E-5</v>
      </c>
      <c r="N4133" s="9">
        <v>8.1169999999999997E-5</v>
      </c>
      <c r="O4133" s="9">
        <v>5.4200000000000003E-5</v>
      </c>
      <c r="P4133" s="9">
        <v>5.363E-5</v>
      </c>
      <c r="Q4133" s="9">
        <v>5.3199999999999999E-5</v>
      </c>
      <c r="R4133" s="10">
        <v>8.0656195187854359E-5</v>
      </c>
      <c r="S4133" s="10">
        <v>7.1781711153751524E-5</v>
      </c>
      <c r="T4133" s="10">
        <v>0</v>
      </c>
      <c r="U4133" s="10">
        <v>9.5630000000000004E-5</v>
      </c>
      <c r="V4133" s="25"/>
      <c r="W4133" s="25"/>
      <c r="X4133" s="25"/>
      <c r="Y4133" s="25"/>
      <c r="Z4133" s="25"/>
      <c r="AA4133" s="25"/>
    </row>
    <row r="4134" spans="1:27" x14ac:dyDescent="0.35">
      <c r="A4134" s="5">
        <v>4130</v>
      </c>
      <c r="B4134" s="5">
        <v>173</v>
      </c>
      <c r="C4134" s="5">
        <v>6</v>
      </c>
      <c r="D4134" s="25">
        <v>1.1415000000000001E-4</v>
      </c>
      <c r="E4134" s="25">
        <v>1.1428E-4</v>
      </c>
      <c r="F4134" s="25">
        <v>1.1232E-4</v>
      </c>
      <c r="G4134" s="25">
        <v>5.312E-5</v>
      </c>
      <c r="H4134" s="25">
        <v>6.7100000000000005E-5</v>
      </c>
      <c r="I4134" s="9">
        <v>9.6310000000000005E-5</v>
      </c>
      <c r="J4134" s="9">
        <v>9.2930000000000006E-5</v>
      </c>
      <c r="K4134" s="9">
        <v>4.8749999999999999E-5</v>
      </c>
      <c r="L4134" s="9">
        <v>5.6919999999999997E-5</v>
      </c>
      <c r="M4134" s="9">
        <v>6.3880000000000005E-5</v>
      </c>
      <c r="N4134" s="9">
        <v>7.2039999999999995E-5</v>
      </c>
      <c r="O4134" s="9">
        <v>2.4000000000000001E-5</v>
      </c>
      <c r="P4134" s="9">
        <v>3.756E-5</v>
      </c>
      <c r="Q4134" s="9">
        <v>5.5899999999999997E-5</v>
      </c>
      <c r="R4134" s="10">
        <v>8.3958453122614013E-5</v>
      </c>
      <c r="S4134" s="10">
        <v>6.633855415662395E-5</v>
      </c>
      <c r="T4134" s="10">
        <v>0</v>
      </c>
      <c r="U4134" s="10">
        <v>9.5630000000000004E-5</v>
      </c>
      <c r="V4134" s="25"/>
      <c r="W4134" s="25"/>
      <c r="X4134" s="25"/>
      <c r="Y4134" s="25"/>
      <c r="Z4134" s="25"/>
      <c r="AA4134" s="25"/>
    </row>
    <row r="4135" spans="1:27" x14ac:dyDescent="0.35">
      <c r="A4135" s="5">
        <v>4131</v>
      </c>
      <c r="B4135" s="5">
        <v>173</v>
      </c>
      <c r="C4135" s="5">
        <v>6</v>
      </c>
      <c r="D4135" s="25">
        <v>1.1416E-4</v>
      </c>
      <c r="E4135" s="25">
        <v>1.1769000000000001E-4</v>
      </c>
      <c r="F4135" s="25">
        <v>9.8499999999999995E-5</v>
      </c>
      <c r="G4135" s="25">
        <v>6.2089999999999997E-5</v>
      </c>
      <c r="H4135" s="25">
        <v>7.0669999999999999E-5</v>
      </c>
      <c r="I4135" s="9">
        <v>9.4840000000000007E-5</v>
      </c>
      <c r="J4135" s="9">
        <v>9.1669999999999995E-5</v>
      </c>
      <c r="K4135" s="9">
        <v>6.5699999999999998E-5</v>
      </c>
      <c r="L4135" s="9">
        <v>3.1430000000000002E-5</v>
      </c>
      <c r="M4135" s="9">
        <v>5.206E-5</v>
      </c>
      <c r="N4135" s="9">
        <v>6.5439999999999997E-5</v>
      </c>
      <c r="O4135" s="9">
        <v>1.946E-5</v>
      </c>
      <c r="P4135" s="9">
        <v>3.7759999999999998E-5</v>
      </c>
      <c r="Q4135" s="9">
        <v>6.1550000000000005E-5</v>
      </c>
      <c r="R4135" s="10">
        <v>8.3154013820625156E-5</v>
      </c>
      <c r="S4135" s="10">
        <v>6.9334779243979399E-5</v>
      </c>
      <c r="T4135" s="10">
        <v>0</v>
      </c>
      <c r="U4135" s="10">
        <v>9.5630000000000004E-5</v>
      </c>
      <c r="V4135" s="25"/>
      <c r="W4135" s="25"/>
      <c r="X4135" s="25"/>
      <c r="Y4135" s="25"/>
      <c r="Z4135" s="25"/>
      <c r="AA4135" s="25"/>
    </row>
    <row r="4136" spans="1:27" x14ac:dyDescent="0.35">
      <c r="A4136" s="5">
        <v>4132</v>
      </c>
      <c r="B4136" s="5">
        <v>173</v>
      </c>
      <c r="C4136" s="5">
        <v>6</v>
      </c>
      <c r="D4136" s="25">
        <v>1.1415000000000001E-4</v>
      </c>
      <c r="E4136" s="25">
        <v>1.0914E-4</v>
      </c>
      <c r="F4136" s="25">
        <v>1.1425999999999999E-4</v>
      </c>
      <c r="G4136" s="25">
        <v>6.3200000000000005E-5</v>
      </c>
      <c r="H4136" s="25">
        <v>6.3349999999999995E-5</v>
      </c>
      <c r="I4136" s="9">
        <v>9.5260000000000006E-5</v>
      </c>
      <c r="J4136" s="9">
        <v>9.1929999999999996E-5</v>
      </c>
      <c r="K4136" s="9">
        <v>6.1459999999999998E-5</v>
      </c>
      <c r="L4136" s="9">
        <v>2.2719999999999999E-5</v>
      </c>
      <c r="M4136" s="9">
        <v>4.4100000000000001E-5</v>
      </c>
      <c r="N4136" s="9">
        <v>6.1849999999999999E-5</v>
      </c>
      <c r="O4136" s="9">
        <v>1.9300000000000002E-5</v>
      </c>
      <c r="P4136" s="9">
        <v>4.6829999999999997E-5</v>
      </c>
      <c r="Q4136" s="9">
        <v>7.9649999999999998E-5</v>
      </c>
      <c r="R4136" s="10">
        <v>7.32033503247854E-5</v>
      </c>
      <c r="S4136" s="10">
        <v>7.1600635810373743E-5</v>
      </c>
      <c r="T4136" s="10">
        <v>0</v>
      </c>
      <c r="U4136" s="10">
        <v>9.5630000000000004E-5</v>
      </c>
      <c r="V4136" s="25"/>
      <c r="W4136" s="25"/>
      <c r="X4136" s="25"/>
      <c r="Y4136" s="25"/>
      <c r="Z4136" s="25"/>
      <c r="AA4136" s="25"/>
    </row>
    <row r="4137" spans="1:27" x14ac:dyDescent="0.35">
      <c r="A4137" s="5">
        <v>4133</v>
      </c>
      <c r="B4137" s="5">
        <v>173</v>
      </c>
      <c r="C4137" s="5">
        <v>6</v>
      </c>
      <c r="D4137" s="25">
        <v>1.1416E-4</v>
      </c>
      <c r="E4137" s="25">
        <v>1.1141000000000001E-4</v>
      </c>
      <c r="F4137" s="25">
        <v>1.0772000000000001E-4</v>
      </c>
      <c r="G4137" s="25">
        <v>5.6789999999999997E-5</v>
      </c>
      <c r="H4137" s="25">
        <v>7.1190000000000001E-5</v>
      </c>
      <c r="I4137" s="9">
        <v>9.7990000000000002E-5</v>
      </c>
      <c r="J4137" s="9">
        <v>9.3179999999999999E-5</v>
      </c>
      <c r="K4137" s="9">
        <v>3.6029999999999999E-5</v>
      </c>
      <c r="L4137" s="9">
        <v>2.0259999999999999E-5</v>
      </c>
      <c r="M4137" s="9">
        <v>4.3300000000000002E-5</v>
      </c>
      <c r="N4137" s="9">
        <v>6.4220000000000005E-5</v>
      </c>
      <c r="O4137" s="9">
        <v>2.408E-5</v>
      </c>
      <c r="P4137" s="9">
        <v>5.6530000000000003E-5</v>
      </c>
      <c r="Q4137" s="9">
        <v>9.3469999999999998E-5</v>
      </c>
      <c r="R4137" s="10">
        <v>6.6427134591349546E-5</v>
      </c>
      <c r="S4137" s="10">
        <v>7.0407342024831802E-5</v>
      </c>
      <c r="T4137" s="10">
        <v>0</v>
      </c>
      <c r="U4137" s="10">
        <v>9.5630000000000004E-5</v>
      </c>
      <c r="V4137" s="25"/>
      <c r="W4137" s="25"/>
      <c r="X4137" s="25"/>
      <c r="Y4137" s="25"/>
      <c r="Z4137" s="25"/>
      <c r="AA4137" s="25"/>
    </row>
    <row r="4138" spans="1:27" x14ac:dyDescent="0.35">
      <c r="A4138" s="5">
        <v>4134</v>
      </c>
      <c r="B4138" s="5">
        <v>173</v>
      </c>
      <c r="C4138" s="5">
        <v>6</v>
      </c>
      <c r="D4138" s="25">
        <v>1.1415000000000001E-4</v>
      </c>
      <c r="E4138" s="25">
        <v>1.1357E-4</v>
      </c>
      <c r="F4138" s="25">
        <v>9.4489999999999998E-5</v>
      </c>
      <c r="G4138" s="25">
        <v>1.0443E-4</v>
      </c>
      <c r="H4138" s="25">
        <v>1.3223999999999999E-4</v>
      </c>
      <c r="I4138" s="9">
        <v>1.0752E-4</v>
      </c>
      <c r="J4138" s="9">
        <v>1.0082E-4</v>
      </c>
      <c r="K4138" s="9">
        <v>0</v>
      </c>
      <c r="L4138" s="9">
        <v>2.313E-5</v>
      </c>
      <c r="M4138" s="9">
        <v>4.8199999999999999E-5</v>
      </c>
      <c r="N4138" s="9">
        <v>7.0749999999999999E-5</v>
      </c>
      <c r="O4138" s="9">
        <v>4.778E-5</v>
      </c>
      <c r="P4138" s="9">
        <v>7.7299999999999995E-5</v>
      </c>
      <c r="Q4138" s="9">
        <v>1.0764000000000001E-4</v>
      </c>
      <c r="R4138" s="10">
        <v>6.6463831610849604E-5</v>
      </c>
      <c r="S4138" s="10">
        <v>6.4944347983570704E-5</v>
      </c>
      <c r="T4138" s="10">
        <v>9.9775360357676E-6</v>
      </c>
      <c r="U4138" s="10">
        <v>9.5630000000000004E-5</v>
      </c>
      <c r="V4138" s="25"/>
      <c r="W4138" s="25"/>
      <c r="X4138" s="25"/>
      <c r="Y4138" s="25"/>
      <c r="Z4138" s="25"/>
      <c r="AA4138" s="25"/>
    </row>
    <row r="4139" spans="1:27" x14ac:dyDescent="0.35">
      <c r="A4139" s="5">
        <v>4135</v>
      </c>
      <c r="B4139" s="5">
        <v>173</v>
      </c>
      <c r="C4139" s="5">
        <v>6</v>
      </c>
      <c r="D4139" s="25">
        <v>1.1416E-4</v>
      </c>
      <c r="E4139" s="25">
        <v>1.0743000000000001E-4</v>
      </c>
      <c r="F4139" s="25">
        <v>1.1302999999999999E-4</v>
      </c>
      <c r="G4139" s="25">
        <v>1.0513E-4</v>
      </c>
      <c r="H4139" s="25">
        <v>1.2928000000000001E-4</v>
      </c>
      <c r="I4139" s="9">
        <v>1.1785E-4</v>
      </c>
      <c r="J4139" s="9">
        <v>1.1501E-4</v>
      </c>
      <c r="K4139" s="9">
        <v>0</v>
      </c>
      <c r="L4139" s="9">
        <v>4.2240000000000002E-5</v>
      </c>
      <c r="M4139" s="9">
        <v>6.0069999999999999E-5</v>
      </c>
      <c r="N4139" s="9">
        <v>8.0630000000000006E-5</v>
      </c>
      <c r="O4139" s="9">
        <v>1.1362999999999999E-4</v>
      </c>
      <c r="P4139" s="9">
        <v>1.1801E-4</v>
      </c>
      <c r="Q4139" s="9">
        <v>1.1304E-4</v>
      </c>
      <c r="R4139" s="10">
        <v>6.6280423092184709E-5</v>
      </c>
      <c r="S4139" s="10">
        <v>6.128770583205422E-5</v>
      </c>
      <c r="T4139" s="10">
        <v>5.2585687372183314E-5</v>
      </c>
      <c r="U4139" s="10">
        <v>9.5630000000000004E-5</v>
      </c>
      <c r="V4139" s="25"/>
      <c r="W4139" s="25"/>
      <c r="X4139" s="25"/>
      <c r="Y4139" s="25"/>
      <c r="Z4139" s="25"/>
      <c r="AA4139" s="25"/>
    </row>
    <row r="4140" spans="1:27" x14ac:dyDescent="0.35">
      <c r="A4140" s="5">
        <v>4136</v>
      </c>
      <c r="B4140" s="5">
        <v>173</v>
      </c>
      <c r="C4140" s="5">
        <v>6</v>
      </c>
      <c r="D4140" s="25">
        <v>1.1415000000000001E-4</v>
      </c>
      <c r="E4140" s="25">
        <v>1.1781E-4</v>
      </c>
      <c r="F4140" s="25">
        <v>1.1381E-4</v>
      </c>
      <c r="G4140" s="25">
        <v>1.6032000000000001E-4</v>
      </c>
      <c r="H4140" s="25">
        <v>1.8626999999999999E-4</v>
      </c>
      <c r="I4140" s="9">
        <v>1.2311000000000001E-4</v>
      </c>
      <c r="J4140" s="9">
        <v>1.2548E-4</v>
      </c>
      <c r="K4140" s="9">
        <v>0</v>
      </c>
      <c r="L4140" s="9">
        <v>9.7390000000000001E-5</v>
      </c>
      <c r="M4140" s="9">
        <v>8.3990000000000001E-5</v>
      </c>
      <c r="N4140" s="9">
        <v>9.09E-5</v>
      </c>
      <c r="O4140" s="9">
        <v>1.9608000000000001E-4</v>
      </c>
      <c r="P4140" s="9">
        <v>1.7782E-4</v>
      </c>
      <c r="Q4140" s="9">
        <v>1.3736E-4</v>
      </c>
      <c r="R4140" s="10">
        <v>5.9220702326272191E-5</v>
      </c>
      <c r="S4140" s="10">
        <v>5.6415869209892404E-5</v>
      </c>
      <c r="T4140" s="10">
        <v>9.9317208192768294E-5</v>
      </c>
      <c r="U4140" s="10">
        <v>9.5630000000000004E-5</v>
      </c>
      <c r="V4140" s="25"/>
      <c r="W4140" s="25"/>
      <c r="X4140" s="25"/>
      <c r="Y4140" s="25"/>
      <c r="Z4140" s="25"/>
      <c r="AA4140" s="25"/>
    </row>
    <row r="4141" spans="1:27" x14ac:dyDescent="0.35">
      <c r="A4141" s="5">
        <v>4137</v>
      </c>
      <c r="B4141" s="5">
        <v>173</v>
      </c>
      <c r="C4141" s="5">
        <v>6</v>
      </c>
      <c r="D4141" s="25">
        <v>1.1416E-4</v>
      </c>
      <c r="E4141" s="25">
        <v>1.1684E-4</v>
      </c>
      <c r="F4141" s="25">
        <v>1.0935E-4</v>
      </c>
      <c r="G4141" s="25">
        <v>1.5661000000000001E-4</v>
      </c>
      <c r="H4141" s="25">
        <v>1.8672E-4</v>
      </c>
      <c r="I4141" s="9">
        <v>1.2746E-4</v>
      </c>
      <c r="J4141" s="9">
        <v>1.2999999999999999E-4</v>
      </c>
      <c r="K4141" s="9">
        <v>0</v>
      </c>
      <c r="L4141" s="9">
        <v>1.7285999999999999E-4</v>
      </c>
      <c r="M4141" s="9">
        <v>1.2395E-4</v>
      </c>
      <c r="N4141" s="9">
        <v>1.0483E-4</v>
      </c>
      <c r="O4141" s="9">
        <v>1.895E-4</v>
      </c>
      <c r="P4141" s="9">
        <v>1.9458999999999999E-4</v>
      </c>
      <c r="Q4141" s="9">
        <v>1.7820999999999999E-4</v>
      </c>
      <c r="R4141" s="10">
        <v>5.9485131743455043E-5</v>
      </c>
      <c r="S4141" s="10">
        <v>4.7951430834659759E-5</v>
      </c>
      <c r="T4141" s="10">
        <v>9.9970499242729277E-5</v>
      </c>
      <c r="U4141" s="10">
        <v>9.5630000000000004E-5</v>
      </c>
      <c r="V4141" s="25"/>
      <c r="W4141" s="25"/>
      <c r="X4141" s="25"/>
      <c r="Y4141" s="25"/>
      <c r="Z4141" s="25"/>
      <c r="AA4141" s="25"/>
    </row>
    <row r="4142" spans="1:27" x14ac:dyDescent="0.35">
      <c r="A4142" s="5">
        <v>4138</v>
      </c>
      <c r="B4142" s="5">
        <v>173</v>
      </c>
      <c r="C4142" s="5">
        <v>6</v>
      </c>
      <c r="D4142" s="25">
        <v>1.1415000000000001E-4</v>
      </c>
      <c r="E4142" s="25">
        <v>1.1188000000000001E-4</v>
      </c>
      <c r="F4142" s="25">
        <v>1.0514999999999999E-4</v>
      </c>
      <c r="G4142" s="25">
        <v>1.6055E-4</v>
      </c>
      <c r="H4142" s="25">
        <v>1.9886E-4</v>
      </c>
      <c r="I4142" s="9">
        <v>1.2684999999999999E-4</v>
      </c>
      <c r="J4142" s="9">
        <v>1.3103999999999999E-4</v>
      </c>
      <c r="K4142" s="9">
        <v>0</v>
      </c>
      <c r="L4142" s="9">
        <v>1.8385999999999999E-4</v>
      </c>
      <c r="M4142" s="9">
        <v>1.595E-4</v>
      </c>
      <c r="N4142" s="9">
        <v>1.2516E-4</v>
      </c>
      <c r="O4142" s="9">
        <v>1.5080000000000001E-4</v>
      </c>
      <c r="P4142" s="9">
        <v>1.7445000000000001E-4</v>
      </c>
      <c r="Q4142" s="9">
        <v>1.8247000000000001E-4</v>
      </c>
      <c r="R4142" s="10">
        <v>6.9011136798743307E-5</v>
      </c>
      <c r="S4142" s="10">
        <v>4.0575803395176554E-5</v>
      </c>
      <c r="T4142" s="10">
        <v>1.7737276221407945E-4</v>
      </c>
      <c r="U4142" s="10">
        <v>9.5630000000000004E-5</v>
      </c>
      <c r="V4142" s="25"/>
      <c r="W4142" s="25"/>
      <c r="X4142" s="25"/>
      <c r="Y4142" s="25"/>
      <c r="Z4142" s="25"/>
      <c r="AA4142" s="25"/>
    </row>
    <row r="4143" spans="1:27" x14ac:dyDescent="0.35">
      <c r="A4143" s="5">
        <v>4139</v>
      </c>
      <c r="B4143" s="5">
        <v>173</v>
      </c>
      <c r="C4143" s="5">
        <v>6</v>
      </c>
      <c r="D4143" s="25">
        <v>1.1416E-4</v>
      </c>
      <c r="E4143" s="25">
        <v>1.0815E-4</v>
      </c>
      <c r="F4143" s="25">
        <v>1.1011E-4</v>
      </c>
      <c r="G4143" s="25">
        <v>1.5611999999999999E-4</v>
      </c>
      <c r="H4143" s="25">
        <v>1.8949E-4</v>
      </c>
      <c r="I4143" s="9">
        <v>1.2719000000000001E-4</v>
      </c>
      <c r="J4143" s="9">
        <v>1.3148000000000001E-4</v>
      </c>
      <c r="K4143" s="9">
        <v>0</v>
      </c>
      <c r="L4143" s="9">
        <v>1.5813000000000001E-4</v>
      </c>
      <c r="M4143" s="9">
        <v>1.7312999999999999E-4</v>
      </c>
      <c r="N4143" s="9">
        <v>1.4328E-4</v>
      </c>
      <c r="O4143" s="9">
        <v>1.5066E-4</v>
      </c>
      <c r="P4143" s="9">
        <v>1.7293000000000001E-4</v>
      </c>
      <c r="Q4143" s="9">
        <v>1.7961E-4</v>
      </c>
      <c r="R4143" s="10">
        <v>8.189782068887987E-5</v>
      </c>
      <c r="S4143" s="10">
        <v>3.8192887541529525E-5</v>
      </c>
      <c r="T4143" s="10">
        <v>1.0504411025411451E-4</v>
      </c>
      <c r="U4143" s="10">
        <v>9.5630000000000004E-5</v>
      </c>
      <c r="V4143" s="25"/>
      <c r="W4143" s="25"/>
      <c r="X4143" s="25"/>
      <c r="Y4143" s="25"/>
      <c r="Z4143" s="25"/>
      <c r="AA4143" s="25"/>
    </row>
    <row r="4144" spans="1:27" x14ac:dyDescent="0.35">
      <c r="A4144" s="5">
        <v>4140</v>
      </c>
      <c r="B4144" s="5">
        <v>173</v>
      </c>
      <c r="C4144" s="5">
        <v>6</v>
      </c>
      <c r="D4144" s="25">
        <v>1.1415000000000001E-4</v>
      </c>
      <c r="E4144" s="25">
        <v>1.087E-4</v>
      </c>
      <c r="F4144" s="25">
        <v>1.0857999999999999E-4</v>
      </c>
      <c r="G4144" s="25">
        <v>1.6229999999999999E-4</v>
      </c>
      <c r="H4144" s="25">
        <v>1.9837000000000001E-4</v>
      </c>
      <c r="I4144" s="9">
        <v>1.2333E-4</v>
      </c>
      <c r="J4144" s="9">
        <v>1.3043000000000001E-4</v>
      </c>
      <c r="K4144" s="9">
        <v>0</v>
      </c>
      <c r="L4144" s="9">
        <v>1.5353E-4</v>
      </c>
      <c r="M4144" s="9">
        <v>1.7532999999999999E-4</v>
      </c>
      <c r="N4144" s="9">
        <v>1.573E-4</v>
      </c>
      <c r="O4144" s="9">
        <v>1.5291E-4</v>
      </c>
      <c r="P4144" s="9">
        <v>1.7148E-4</v>
      </c>
      <c r="Q4144" s="9">
        <v>1.7415E-4</v>
      </c>
      <c r="R4144" s="10">
        <v>7.0725336296566601E-5</v>
      </c>
      <c r="S4144" s="10">
        <v>3.7858531283537328E-5</v>
      </c>
      <c r="T4144" s="10">
        <v>1.9110035856261003E-4</v>
      </c>
      <c r="U4144" s="10">
        <v>9.5630000000000004E-5</v>
      </c>
      <c r="V4144" s="25"/>
      <c r="W4144" s="25"/>
      <c r="X4144" s="25"/>
      <c r="Y4144" s="25"/>
      <c r="Z4144" s="25"/>
      <c r="AA4144" s="25"/>
    </row>
    <row r="4145" spans="1:27" x14ac:dyDescent="0.35">
      <c r="A4145" s="5">
        <v>4141</v>
      </c>
      <c r="B4145" s="5">
        <v>173</v>
      </c>
      <c r="C4145" s="5">
        <v>6</v>
      </c>
      <c r="D4145" s="25">
        <v>1.1416E-4</v>
      </c>
      <c r="E4145" s="25">
        <v>1.1107000000000001E-4</v>
      </c>
      <c r="F4145" s="25">
        <v>1.1297E-4</v>
      </c>
      <c r="G4145" s="25">
        <v>1.6249E-4</v>
      </c>
      <c r="H4145" s="25">
        <v>1.8809E-4</v>
      </c>
      <c r="I4145" s="9">
        <v>1.2180000000000001E-4</v>
      </c>
      <c r="J4145" s="9">
        <v>1.3176E-4</v>
      </c>
      <c r="K4145" s="9">
        <v>0</v>
      </c>
      <c r="L4145" s="9">
        <v>1.5320000000000001E-4</v>
      </c>
      <c r="M4145" s="9">
        <v>1.7403000000000001E-4</v>
      </c>
      <c r="N4145" s="9">
        <v>1.6663999999999999E-4</v>
      </c>
      <c r="O4145" s="9">
        <v>1.4681000000000001E-4</v>
      </c>
      <c r="P4145" s="9">
        <v>1.6509000000000001E-4</v>
      </c>
      <c r="Q4145" s="9">
        <v>1.6851E-4</v>
      </c>
      <c r="R4145" s="10">
        <v>7.0857564456121169E-5</v>
      </c>
      <c r="S4145" s="10">
        <v>3.3243161555997814E-5</v>
      </c>
      <c r="T4145" s="10">
        <v>9.2410988521752293E-5</v>
      </c>
      <c r="U4145" s="10">
        <v>9.5630000000000004E-5</v>
      </c>
      <c r="V4145" s="25"/>
      <c r="W4145" s="25"/>
      <c r="X4145" s="25"/>
      <c r="Y4145" s="25"/>
      <c r="Z4145" s="25"/>
      <c r="AA4145" s="25"/>
    </row>
    <row r="4146" spans="1:27" x14ac:dyDescent="0.35">
      <c r="A4146" s="5">
        <v>4142</v>
      </c>
      <c r="B4146" s="5">
        <v>173</v>
      </c>
      <c r="C4146" s="5">
        <v>6</v>
      </c>
      <c r="D4146" s="25">
        <v>1.1415000000000001E-4</v>
      </c>
      <c r="E4146" s="25">
        <v>1.1757E-4</v>
      </c>
      <c r="F4146" s="25">
        <v>9.3319999999999994E-5</v>
      </c>
      <c r="G4146" s="25">
        <v>1.5799999999999999E-4</v>
      </c>
      <c r="H4146" s="25">
        <v>1.9162000000000001E-4</v>
      </c>
      <c r="I4146" s="9">
        <v>1.2097E-4</v>
      </c>
      <c r="J4146" s="9">
        <v>1.3186E-4</v>
      </c>
      <c r="K4146" s="9">
        <v>0</v>
      </c>
      <c r="L4146" s="9">
        <v>1.4799999999999999E-4</v>
      </c>
      <c r="M4146" s="9">
        <v>1.7045E-4</v>
      </c>
      <c r="N4146" s="9">
        <v>1.7106000000000001E-4</v>
      </c>
      <c r="O4146" s="9">
        <v>1.6014999999999999E-4</v>
      </c>
      <c r="P4146" s="9">
        <v>1.6901000000000001E-4</v>
      </c>
      <c r="Q4146" s="9">
        <v>1.6097E-4</v>
      </c>
      <c r="R4146" s="10">
        <v>6.4973538603331737E-5</v>
      </c>
      <c r="S4146" s="10">
        <v>2.8830437007042651E-5</v>
      </c>
      <c r="T4146" s="10">
        <v>4.2239932744619538E-4</v>
      </c>
      <c r="U4146" s="10">
        <v>9.5630000000000004E-5</v>
      </c>
      <c r="V4146" s="25"/>
      <c r="W4146" s="25"/>
      <c r="X4146" s="25"/>
      <c r="Y4146" s="25"/>
      <c r="Z4146" s="25"/>
      <c r="AA4146" s="25"/>
    </row>
    <row r="4147" spans="1:27" x14ac:dyDescent="0.35">
      <c r="A4147" s="5">
        <v>4143</v>
      </c>
      <c r="B4147" s="5">
        <v>173</v>
      </c>
      <c r="C4147" s="5">
        <v>6</v>
      </c>
      <c r="D4147" s="25">
        <v>1.1416E-4</v>
      </c>
      <c r="E4147" s="25">
        <v>1.1607000000000001E-4</v>
      </c>
      <c r="F4147" s="25">
        <v>9.9489999999999998E-5</v>
      </c>
      <c r="G4147" s="25">
        <v>1.6462000000000001E-4</v>
      </c>
      <c r="H4147" s="25">
        <v>1.9239999999999999E-4</v>
      </c>
      <c r="I4147" s="9">
        <v>1.2134E-4</v>
      </c>
      <c r="J4147" s="9">
        <v>1.3143000000000001E-4</v>
      </c>
      <c r="K4147" s="9">
        <v>0</v>
      </c>
      <c r="L4147" s="9">
        <v>1.5760000000000001E-4</v>
      </c>
      <c r="M4147" s="9">
        <v>1.6892E-4</v>
      </c>
      <c r="N4147" s="9">
        <v>1.7047000000000001E-4</v>
      </c>
      <c r="O4147" s="9">
        <v>1.6359999999999999E-4</v>
      </c>
      <c r="P4147" s="9">
        <v>1.6639000000000001E-4</v>
      </c>
      <c r="Q4147" s="9">
        <v>1.5176999999999999E-4</v>
      </c>
      <c r="R4147" s="10">
        <v>5.3123103629471953E-5</v>
      </c>
      <c r="S4147" s="10">
        <v>2.7922817922828535E-5</v>
      </c>
      <c r="T4147" s="10">
        <v>1.5289555858891829E-4</v>
      </c>
      <c r="U4147" s="10">
        <v>9.5630000000000004E-5</v>
      </c>
      <c r="V4147" s="25"/>
      <c r="W4147" s="25"/>
      <c r="X4147" s="25"/>
      <c r="Y4147" s="25"/>
      <c r="Z4147" s="25"/>
      <c r="AA4147" s="25"/>
    </row>
    <row r="4148" spans="1:27" x14ac:dyDescent="0.35">
      <c r="A4148" s="5">
        <v>4144</v>
      </c>
      <c r="B4148" s="5">
        <v>173</v>
      </c>
      <c r="C4148" s="5">
        <v>6</v>
      </c>
      <c r="D4148" s="25">
        <v>1.1415000000000001E-4</v>
      </c>
      <c r="E4148" s="25">
        <v>1.1540999999999999E-4</v>
      </c>
      <c r="F4148" s="25">
        <v>1.0194E-4</v>
      </c>
      <c r="G4148" s="25">
        <v>1.661E-4</v>
      </c>
      <c r="H4148" s="25">
        <v>1.9129999999999999E-4</v>
      </c>
      <c r="I4148" s="9">
        <v>1.2104000000000001E-4</v>
      </c>
      <c r="J4148" s="9">
        <v>1.3201E-4</v>
      </c>
      <c r="K4148" s="9">
        <v>0</v>
      </c>
      <c r="L4148" s="9">
        <v>1.6202999999999999E-4</v>
      </c>
      <c r="M4148" s="9">
        <v>1.6768999999999999E-4</v>
      </c>
      <c r="N4148" s="9">
        <v>1.663E-4</v>
      </c>
      <c r="O4148" s="9">
        <v>1.7631999999999999E-4</v>
      </c>
      <c r="P4148" s="9">
        <v>1.5257000000000001E-4</v>
      </c>
      <c r="Q4148" s="9">
        <v>1.0984000000000001E-4</v>
      </c>
      <c r="R4148" s="10">
        <v>4.9576277049390097E-5</v>
      </c>
      <c r="S4148" s="10">
        <v>2.6767512739284407E-5</v>
      </c>
      <c r="T4148" s="10">
        <v>9.4031489697629514E-5</v>
      </c>
      <c r="U4148" s="10">
        <v>9.5630000000000004E-5</v>
      </c>
      <c r="V4148" s="25"/>
      <c r="W4148" s="25"/>
      <c r="X4148" s="25"/>
      <c r="Y4148" s="25"/>
      <c r="Z4148" s="25"/>
      <c r="AA4148" s="25"/>
    </row>
    <row r="4149" spans="1:27" x14ac:dyDescent="0.35">
      <c r="A4149" s="5">
        <v>4145</v>
      </c>
      <c r="B4149" s="5">
        <v>173</v>
      </c>
      <c r="C4149" s="5">
        <v>6</v>
      </c>
      <c r="D4149" s="25">
        <v>1.1416E-4</v>
      </c>
      <c r="E4149" s="25">
        <v>1.1328999999999999E-4</v>
      </c>
      <c r="F4149" s="25">
        <v>1.0526000000000001E-4</v>
      </c>
      <c r="G4149" s="25">
        <v>1.6704E-4</v>
      </c>
      <c r="H4149" s="25">
        <v>1.8793E-4</v>
      </c>
      <c r="I4149" s="9">
        <v>1.2124E-4</v>
      </c>
      <c r="J4149" s="9">
        <v>1.3258000000000001E-4</v>
      </c>
      <c r="K4149" s="9">
        <v>0</v>
      </c>
      <c r="L4149" s="9">
        <v>1.7301E-4</v>
      </c>
      <c r="M4149" s="9">
        <v>1.6202999999999999E-4</v>
      </c>
      <c r="N4149" s="9">
        <v>1.5250999999999999E-4</v>
      </c>
      <c r="O4149" s="9">
        <v>1.8924E-4</v>
      </c>
      <c r="P4149" s="9">
        <v>1.5838000000000001E-4</v>
      </c>
      <c r="Q4149" s="9">
        <v>1.0653E-4</v>
      </c>
      <c r="R4149" s="10">
        <v>4.3204963359129626E-5</v>
      </c>
      <c r="S4149" s="10">
        <v>2.0263370340027121E-5</v>
      </c>
      <c r="T4149" s="10">
        <v>8.5759297831240563E-5</v>
      </c>
      <c r="U4149" s="10">
        <v>9.5630000000000004E-5</v>
      </c>
      <c r="V4149" s="25"/>
      <c r="W4149" s="25"/>
      <c r="X4149" s="25"/>
      <c r="Y4149" s="25"/>
      <c r="Z4149" s="25"/>
      <c r="AA4149" s="25"/>
    </row>
    <row r="4150" spans="1:27" x14ac:dyDescent="0.35">
      <c r="A4150" s="5">
        <v>4146</v>
      </c>
      <c r="B4150" s="5">
        <v>173</v>
      </c>
      <c r="C4150" s="5">
        <v>6</v>
      </c>
      <c r="D4150" s="25">
        <v>1.1415000000000001E-4</v>
      </c>
      <c r="E4150" s="25">
        <v>1.1364E-4</v>
      </c>
      <c r="F4150" s="25">
        <v>1.043E-4</v>
      </c>
      <c r="G4150" s="25">
        <v>1.5658999999999999E-4</v>
      </c>
      <c r="H4150" s="25">
        <v>1.8734000000000001E-4</v>
      </c>
      <c r="I4150" s="9">
        <v>1.208E-4</v>
      </c>
      <c r="J4150" s="9">
        <v>1.2805999999999999E-4</v>
      </c>
      <c r="K4150" s="9">
        <v>0</v>
      </c>
      <c r="L4150" s="9">
        <v>1.8542999999999999E-4</v>
      </c>
      <c r="M4150" s="9">
        <v>1.5917000000000001E-4</v>
      </c>
      <c r="N4150" s="9">
        <v>1.3898E-4</v>
      </c>
      <c r="O4150" s="9">
        <v>1.8493000000000001E-4</v>
      </c>
      <c r="P4150" s="9">
        <v>1.6207E-4</v>
      </c>
      <c r="Q4150" s="9">
        <v>1.1891E-4</v>
      </c>
      <c r="R4150" s="10">
        <v>4.8442258735359121E-5</v>
      </c>
      <c r="S4150" s="10">
        <v>1.4277492266573098E-5</v>
      </c>
      <c r="T4150" s="10">
        <v>1.7373299779286833E-4</v>
      </c>
      <c r="U4150" s="10">
        <v>9.5630000000000004E-5</v>
      </c>
      <c r="V4150" s="25"/>
      <c r="W4150" s="25"/>
      <c r="X4150" s="25"/>
      <c r="Y4150" s="25"/>
      <c r="Z4150" s="25"/>
      <c r="AA4150" s="25"/>
    </row>
    <row r="4151" spans="1:27" x14ac:dyDescent="0.35">
      <c r="A4151" s="5">
        <v>4147</v>
      </c>
      <c r="B4151" s="5">
        <v>173</v>
      </c>
      <c r="C4151" s="5">
        <v>6</v>
      </c>
      <c r="D4151" s="25">
        <v>1.1416E-4</v>
      </c>
      <c r="E4151" s="25">
        <v>1.1425999999999999E-4</v>
      </c>
      <c r="F4151" s="25">
        <v>9.6180000000000004E-5</v>
      </c>
      <c r="G4151" s="25">
        <v>1.1205999999999999E-4</v>
      </c>
      <c r="H4151" s="25">
        <v>1.294E-4</v>
      </c>
      <c r="I4151" s="9">
        <v>1.1833E-4</v>
      </c>
      <c r="J4151" s="9">
        <v>1.2418999999999999E-4</v>
      </c>
      <c r="K4151" s="9">
        <v>0</v>
      </c>
      <c r="L4151" s="9">
        <v>1.8472000000000001E-4</v>
      </c>
      <c r="M4151" s="9">
        <v>1.5962999999999999E-4</v>
      </c>
      <c r="N4151" s="9">
        <v>1.3013E-4</v>
      </c>
      <c r="O4151" s="9">
        <v>1.4699E-4</v>
      </c>
      <c r="P4151" s="9">
        <v>1.3389000000000001E-4</v>
      </c>
      <c r="Q4151" s="9">
        <v>1.0627E-4</v>
      </c>
      <c r="R4151" s="10">
        <v>4.8119095485771353E-5</v>
      </c>
      <c r="S4151" s="10">
        <v>1.3558983194621866E-5</v>
      </c>
      <c r="T4151" s="10">
        <v>1.8521225481361112E-5</v>
      </c>
      <c r="U4151" s="10">
        <v>9.5630000000000004E-5</v>
      </c>
      <c r="V4151" s="25"/>
      <c r="W4151" s="25"/>
      <c r="X4151" s="25"/>
      <c r="Y4151" s="25"/>
      <c r="Z4151" s="25"/>
      <c r="AA4151" s="25"/>
    </row>
    <row r="4152" spans="1:27" x14ac:dyDescent="0.35">
      <c r="A4152" s="5">
        <v>4148</v>
      </c>
      <c r="B4152" s="5">
        <v>173</v>
      </c>
      <c r="C4152" s="5">
        <v>6</v>
      </c>
      <c r="D4152" s="25">
        <v>1.1415000000000001E-4</v>
      </c>
      <c r="E4152" s="25">
        <v>1.1613E-4</v>
      </c>
      <c r="F4152" s="25">
        <v>1.1061E-4</v>
      </c>
      <c r="G4152" s="25">
        <v>1.1144E-4</v>
      </c>
      <c r="H4152" s="25">
        <v>1.3150999999999999E-4</v>
      </c>
      <c r="I4152" s="9">
        <v>1.1538E-4</v>
      </c>
      <c r="J4152" s="9">
        <v>1.2001E-4</v>
      </c>
      <c r="K4152" s="9">
        <v>0</v>
      </c>
      <c r="L4152" s="9">
        <v>1.5537999999999999E-4</v>
      </c>
      <c r="M4152" s="9">
        <v>1.5066E-4</v>
      </c>
      <c r="N4152" s="9">
        <v>1.2082999999999999E-4</v>
      </c>
      <c r="O4152" s="9">
        <v>1.1658E-4</v>
      </c>
      <c r="P4152" s="9">
        <v>1.1357999999999999E-4</v>
      </c>
      <c r="Q4152" s="9">
        <v>1.0076E-4</v>
      </c>
      <c r="R4152" s="10">
        <v>3.1961544727952674E-5</v>
      </c>
      <c r="S4152" s="10">
        <v>1.5635666484386213E-5</v>
      </c>
      <c r="T4152" s="10">
        <v>1.2327686955757077E-5</v>
      </c>
      <c r="U4152" s="10">
        <v>9.5630000000000004E-5</v>
      </c>
      <c r="V4152" s="25"/>
      <c r="W4152" s="25"/>
      <c r="X4152" s="25"/>
      <c r="Y4152" s="25"/>
      <c r="Z4152" s="25"/>
      <c r="AA4152" s="25"/>
    </row>
    <row r="4153" spans="1:27" x14ac:dyDescent="0.35">
      <c r="A4153" s="5">
        <v>4149</v>
      </c>
      <c r="B4153" s="5">
        <v>173</v>
      </c>
      <c r="C4153" s="5">
        <v>6</v>
      </c>
      <c r="D4153" s="25">
        <v>1.1416E-4</v>
      </c>
      <c r="E4153" s="25">
        <v>1.1608999999999999E-4</v>
      </c>
      <c r="F4153" s="25">
        <v>1.0521E-4</v>
      </c>
      <c r="G4153" s="25">
        <v>5.2309999999999999E-5</v>
      </c>
      <c r="H4153" s="25">
        <v>6.4629999999999996E-5</v>
      </c>
      <c r="I4153" s="9">
        <v>1.1325E-4</v>
      </c>
      <c r="J4153" s="9">
        <v>1.1608999999999999E-4</v>
      </c>
      <c r="K4153" s="9">
        <v>0</v>
      </c>
      <c r="L4153" s="9">
        <v>1.2600999999999999E-4</v>
      </c>
      <c r="M4153" s="9">
        <v>1.3478000000000001E-4</v>
      </c>
      <c r="N4153" s="9">
        <v>1.1292E-4</v>
      </c>
      <c r="O4153" s="9">
        <v>8.0809999999999994E-5</v>
      </c>
      <c r="P4153" s="9">
        <v>8.6920000000000001E-5</v>
      </c>
      <c r="Q4153" s="9">
        <v>8.8930000000000004E-5</v>
      </c>
      <c r="R4153" s="10">
        <v>3.3096892714760651E-5</v>
      </c>
      <c r="S4153" s="10">
        <v>1.9391925227285359E-5</v>
      </c>
      <c r="T4153" s="10">
        <v>0</v>
      </c>
      <c r="U4153" s="10">
        <v>9.5630000000000004E-5</v>
      </c>
      <c r="V4153" s="25"/>
      <c r="W4153" s="25"/>
      <c r="X4153" s="25"/>
      <c r="Y4153" s="25"/>
      <c r="Z4153" s="25"/>
      <c r="AA4153" s="25"/>
    </row>
    <row r="4154" spans="1:27" x14ac:dyDescent="0.35">
      <c r="A4154" s="5">
        <v>4150</v>
      </c>
      <c r="B4154" s="5">
        <v>173</v>
      </c>
      <c r="C4154" s="5">
        <v>6</v>
      </c>
      <c r="D4154" s="25">
        <v>1.1415000000000001E-4</v>
      </c>
      <c r="E4154" s="25">
        <v>1.1349E-4</v>
      </c>
      <c r="F4154" s="25">
        <v>1.0340000000000001E-4</v>
      </c>
      <c r="G4154" s="25">
        <v>5.3709999999999999E-5</v>
      </c>
      <c r="H4154" s="25">
        <v>6.7249999999999995E-5</v>
      </c>
      <c r="I4154" s="9">
        <v>1.1548999999999999E-4</v>
      </c>
      <c r="J4154" s="9">
        <v>1.1357999999999999E-4</v>
      </c>
      <c r="K4154" s="9">
        <v>0</v>
      </c>
      <c r="L4154" s="9">
        <v>9.1570000000000006E-5</v>
      </c>
      <c r="M4154" s="9">
        <v>1.1345000000000001E-4</v>
      </c>
      <c r="N4154" s="9">
        <v>1.0548E-4</v>
      </c>
      <c r="O4154" s="9">
        <v>8.2739999999999997E-5</v>
      </c>
      <c r="P4154" s="9">
        <v>8.7819999999999996E-5</v>
      </c>
      <c r="Q4154" s="9">
        <v>8.8469999999999998E-5</v>
      </c>
      <c r="R4154" s="10">
        <v>4.1941116773684977E-5</v>
      </c>
      <c r="S4154" s="10">
        <v>3.0464731060873362E-5</v>
      </c>
      <c r="T4154" s="10">
        <v>0</v>
      </c>
      <c r="U4154" s="10">
        <v>9.5630000000000004E-5</v>
      </c>
      <c r="V4154" s="25"/>
      <c r="W4154" s="25"/>
      <c r="X4154" s="25"/>
      <c r="Y4154" s="25"/>
      <c r="Z4154" s="25"/>
      <c r="AA4154" s="25"/>
    </row>
    <row r="4155" spans="1:27" x14ac:dyDescent="0.35">
      <c r="A4155" s="5">
        <v>4151</v>
      </c>
      <c r="B4155" s="5">
        <v>173</v>
      </c>
      <c r="C4155" s="5">
        <v>6</v>
      </c>
      <c r="D4155" s="25">
        <v>1.1416E-4</v>
      </c>
      <c r="E4155" s="25">
        <v>1.0878E-4</v>
      </c>
      <c r="F4155" s="25">
        <v>1.1201000000000001E-4</v>
      </c>
      <c r="G4155" s="25">
        <v>6.3579999999999998E-5</v>
      </c>
      <c r="H4155" s="25">
        <v>6.9830000000000001E-5</v>
      </c>
      <c r="I4155" s="9">
        <v>1.1106E-4</v>
      </c>
      <c r="J4155" s="9">
        <v>1.0900000000000001E-4</v>
      </c>
      <c r="K4155" s="9">
        <v>0</v>
      </c>
      <c r="L4155" s="9">
        <v>8.543E-5</v>
      </c>
      <c r="M4155" s="9">
        <v>9.904E-5</v>
      </c>
      <c r="N4155" s="9">
        <v>9.9759999999999994E-5</v>
      </c>
      <c r="O4155" s="9">
        <v>7.4779999999999999E-5</v>
      </c>
      <c r="P4155" s="9">
        <v>7.2520000000000004E-5</v>
      </c>
      <c r="Q4155" s="9">
        <v>6.724E-5</v>
      </c>
      <c r="R4155" s="10">
        <v>5.1211711794546693E-5</v>
      </c>
      <c r="S4155" s="10">
        <v>4.3607475615736592E-5</v>
      </c>
      <c r="T4155" s="10">
        <v>0</v>
      </c>
      <c r="U4155" s="10">
        <v>9.5630000000000004E-5</v>
      </c>
      <c r="V4155" s="25"/>
      <c r="W4155" s="25"/>
      <c r="X4155" s="25"/>
      <c r="Y4155" s="25"/>
      <c r="Z4155" s="25"/>
      <c r="AA4155" s="25"/>
    </row>
    <row r="4156" spans="1:27" x14ac:dyDescent="0.35">
      <c r="A4156" s="5">
        <v>4152</v>
      </c>
      <c r="B4156" s="5">
        <v>173</v>
      </c>
      <c r="C4156" s="5">
        <v>6</v>
      </c>
      <c r="D4156" s="25">
        <v>1.1415000000000001E-4</v>
      </c>
      <c r="E4156" s="25">
        <v>1.1618E-4</v>
      </c>
      <c r="F4156" s="25">
        <v>9.8740000000000007E-5</v>
      </c>
      <c r="G4156" s="25">
        <v>5.7469999999999997E-5</v>
      </c>
      <c r="H4156" s="25">
        <v>7.4989999999999999E-5</v>
      </c>
      <c r="I4156" s="9">
        <v>1.0351E-4</v>
      </c>
      <c r="J4156" s="9">
        <v>1.0124E-4</v>
      </c>
      <c r="K4156" s="9">
        <v>0</v>
      </c>
      <c r="L4156" s="9">
        <v>7.7109999999999999E-5</v>
      </c>
      <c r="M4156" s="9">
        <v>8.6329999999999995E-5</v>
      </c>
      <c r="N4156" s="9">
        <v>9.0569999999999995E-5</v>
      </c>
      <c r="O4156" s="9">
        <v>6.1489999999999996E-5</v>
      </c>
      <c r="P4156" s="9">
        <v>6.0630000000000001E-5</v>
      </c>
      <c r="Q4156" s="9">
        <v>5.8820000000000003E-5</v>
      </c>
      <c r="R4156" s="10">
        <v>6.8750089367453884E-5</v>
      </c>
      <c r="S4156" s="10">
        <v>5.519605952512824E-5</v>
      </c>
      <c r="T4156" s="10">
        <v>0</v>
      </c>
      <c r="U4156" s="10">
        <v>9.5630000000000004E-5</v>
      </c>
      <c r="V4156" s="25"/>
      <c r="W4156" s="25"/>
      <c r="X4156" s="25"/>
      <c r="Y4156" s="25"/>
      <c r="Z4156" s="25"/>
      <c r="AA4156" s="25"/>
    </row>
    <row r="4157" spans="1:27" x14ac:dyDescent="0.35">
      <c r="A4157" s="5">
        <v>4153</v>
      </c>
      <c r="B4157" s="5">
        <v>174</v>
      </c>
      <c r="C4157" s="5">
        <v>6</v>
      </c>
      <c r="D4157" s="25">
        <v>1.1416E-4</v>
      </c>
      <c r="E4157" s="25">
        <v>1.1624E-4</v>
      </c>
      <c r="F4157" s="25">
        <v>8.844E-5</v>
      </c>
      <c r="G4157" s="25">
        <v>6.0980000000000002E-5</v>
      </c>
      <c r="H4157" s="25">
        <v>3.8970000000000001E-5</v>
      </c>
      <c r="I4157" s="9">
        <v>9.8289999999999996E-5</v>
      </c>
      <c r="J4157" s="9">
        <v>9.6080000000000002E-5</v>
      </c>
      <c r="K4157" s="9">
        <v>0</v>
      </c>
      <c r="L4157" s="9">
        <v>6.4930000000000003E-5</v>
      </c>
      <c r="M4157" s="9">
        <v>7.415E-5</v>
      </c>
      <c r="N4157" s="9">
        <v>8.1199999999999995E-5</v>
      </c>
      <c r="O4157" s="9">
        <v>6.7539999999999994E-5</v>
      </c>
      <c r="P4157" s="9">
        <v>6.0130000000000002E-5</v>
      </c>
      <c r="Q4157" s="9">
        <v>5.3029999999999999E-5</v>
      </c>
      <c r="R4157" s="10">
        <v>5.3519996993444007E-5</v>
      </c>
      <c r="S4157" s="10">
        <v>7.271576754419694E-5</v>
      </c>
      <c r="T4157" s="10">
        <v>0</v>
      </c>
      <c r="U4157" s="10">
        <v>9.3029999999999995E-5</v>
      </c>
      <c r="V4157" s="25"/>
      <c r="W4157" s="25"/>
      <c r="X4157" s="25"/>
      <c r="Y4157" s="25"/>
      <c r="Z4157" s="25"/>
      <c r="AA4157" s="25"/>
    </row>
    <row r="4158" spans="1:27" x14ac:dyDescent="0.35">
      <c r="A4158" s="5">
        <v>4154</v>
      </c>
      <c r="B4158" s="5">
        <v>174</v>
      </c>
      <c r="C4158" s="5">
        <v>6</v>
      </c>
      <c r="D4158" s="25">
        <v>1.1415000000000001E-4</v>
      </c>
      <c r="E4158" s="25">
        <v>1.1955000000000001E-4</v>
      </c>
      <c r="F4158" s="25">
        <v>9.8209999999999997E-5</v>
      </c>
      <c r="G4158" s="25">
        <v>5.427E-5</v>
      </c>
      <c r="H4158" s="25">
        <v>4.4169999999999999E-5</v>
      </c>
      <c r="I4158" s="9">
        <v>9.4539999999999999E-5</v>
      </c>
      <c r="J4158" s="9">
        <v>9.3250000000000003E-5</v>
      </c>
      <c r="K4158" s="9">
        <v>0</v>
      </c>
      <c r="L4158" s="9">
        <v>6.7299999999999996E-5</v>
      </c>
      <c r="M4158" s="9">
        <v>6.6199999999999996E-5</v>
      </c>
      <c r="N4158" s="9">
        <v>7.2050000000000003E-5</v>
      </c>
      <c r="O4158" s="9">
        <v>3.9799999999999998E-5</v>
      </c>
      <c r="P4158" s="9">
        <v>4.5500000000000001E-5</v>
      </c>
      <c r="Q4158" s="9">
        <v>5.5770000000000003E-5</v>
      </c>
      <c r="R4158" s="10">
        <v>4.4473087320722585E-5</v>
      </c>
      <c r="S4158" s="10">
        <v>9.5026777264162451E-5</v>
      </c>
      <c r="T4158" s="10">
        <v>0</v>
      </c>
      <c r="U4158" s="10">
        <v>9.3029999999999995E-5</v>
      </c>
      <c r="V4158" s="25"/>
      <c r="W4158" s="25"/>
      <c r="X4158" s="25"/>
      <c r="Y4158" s="25"/>
      <c r="Z4158" s="25"/>
      <c r="AA4158" s="25"/>
    </row>
    <row r="4159" spans="1:27" x14ac:dyDescent="0.35">
      <c r="A4159" s="5">
        <v>4155</v>
      </c>
      <c r="B4159" s="5">
        <v>174</v>
      </c>
      <c r="C4159" s="5">
        <v>6</v>
      </c>
      <c r="D4159" s="25">
        <v>1.1416E-4</v>
      </c>
      <c r="E4159" s="25">
        <v>1.1265E-4</v>
      </c>
      <c r="F4159" s="25">
        <v>9.2919999999999998E-5</v>
      </c>
      <c r="G4159" s="25">
        <v>5.5170000000000002E-5</v>
      </c>
      <c r="H4159" s="25">
        <v>4.0210000000000003E-5</v>
      </c>
      <c r="I4159" s="9">
        <v>9.4560000000000003E-5</v>
      </c>
      <c r="J4159" s="9">
        <v>9.187E-5</v>
      </c>
      <c r="K4159" s="9">
        <v>0</v>
      </c>
      <c r="L4159" s="9">
        <v>4.5739999999999999E-5</v>
      </c>
      <c r="M4159" s="9">
        <v>5.7049999999999998E-5</v>
      </c>
      <c r="N4159" s="9">
        <v>6.5380000000000001E-5</v>
      </c>
      <c r="O4159" s="9">
        <v>2.915E-5</v>
      </c>
      <c r="P4159" s="9">
        <v>4.248E-5</v>
      </c>
      <c r="Q4159" s="9">
        <v>6.2130000000000003E-5</v>
      </c>
      <c r="R4159" s="10">
        <v>4.1526628693136412E-5</v>
      </c>
      <c r="S4159" s="10">
        <v>1.0706722295849816E-4</v>
      </c>
      <c r="T4159" s="10">
        <v>0</v>
      </c>
      <c r="U4159" s="10">
        <v>9.3029999999999995E-5</v>
      </c>
      <c r="V4159" s="25"/>
      <c r="W4159" s="25"/>
      <c r="X4159" s="25"/>
      <c r="Y4159" s="25"/>
      <c r="Z4159" s="25"/>
      <c r="AA4159" s="25"/>
    </row>
    <row r="4160" spans="1:27" x14ac:dyDescent="0.35">
      <c r="A4160" s="5">
        <v>4156</v>
      </c>
      <c r="B4160" s="5">
        <v>174</v>
      </c>
      <c r="C4160" s="5">
        <v>6</v>
      </c>
      <c r="D4160" s="25">
        <v>1.1415000000000001E-4</v>
      </c>
      <c r="E4160" s="25">
        <v>1.1162000000000001E-4</v>
      </c>
      <c r="F4160" s="25">
        <v>1.0155E-4</v>
      </c>
      <c r="G4160" s="25">
        <v>6.1950000000000001E-5</v>
      </c>
      <c r="H4160" s="25">
        <v>4.1999999999999998E-5</v>
      </c>
      <c r="I4160" s="9">
        <v>9.4599999999999996E-5</v>
      </c>
      <c r="J4160" s="9">
        <v>9.1600000000000004E-5</v>
      </c>
      <c r="K4160" s="9">
        <v>2.12E-6</v>
      </c>
      <c r="L4160" s="9">
        <v>3.3319999999999999E-5</v>
      </c>
      <c r="M4160" s="9">
        <v>4.9639999999999999E-5</v>
      </c>
      <c r="N4160" s="9">
        <v>6.1920000000000003E-5</v>
      </c>
      <c r="O4160" s="9">
        <v>2.8560000000000001E-5</v>
      </c>
      <c r="P4160" s="9">
        <v>5.151E-5</v>
      </c>
      <c r="Q4160" s="9">
        <v>8.0690000000000002E-5</v>
      </c>
      <c r="R4160" s="10">
        <v>4.8163494972955119E-5</v>
      </c>
      <c r="S4160" s="10">
        <v>1.1726074366376886E-4</v>
      </c>
      <c r="T4160" s="10">
        <v>0</v>
      </c>
      <c r="U4160" s="10">
        <v>9.3029999999999995E-5</v>
      </c>
      <c r="V4160" s="25"/>
      <c r="W4160" s="25"/>
      <c r="X4160" s="25"/>
      <c r="Y4160" s="25"/>
      <c r="Z4160" s="25"/>
      <c r="AA4160" s="25"/>
    </row>
    <row r="4161" spans="1:27" x14ac:dyDescent="0.35">
      <c r="A4161" s="5">
        <v>4157</v>
      </c>
      <c r="B4161" s="5">
        <v>174</v>
      </c>
      <c r="C4161" s="5">
        <v>6</v>
      </c>
      <c r="D4161" s="25">
        <v>1.1416E-4</v>
      </c>
      <c r="E4161" s="25">
        <v>1.159E-4</v>
      </c>
      <c r="F4161" s="25">
        <v>9.077E-5</v>
      </c>
      <c r="G4161" s="25">
        <v>5.9020000000000001E-5</v>
      </c>
      <c r="H4161" s="25">
        <v>4.532E-5</v>
      </c>
      <c r="I4161" s="9">
        <v>9.5519999999999993E-5</v>
      </c>
      <c r="J4161" s="9">
        <v>9.2130000000000001E-5</v>
      </c>
      <c r="K4161" s="9">
        <v>0</v>
      </c>
      <c r="L4161" s="9">
        <v>2.9989999999999999E-5</v>
      </c>
      <c r="M4161" s="9">
        <v>4.8560000000000003E-5</v>
      </c>
      <c r="N4161" s="9">
        <v>6.4519999999999999E-5</v>
      </c>
      <c r="O4161" s="9">
        <v>3.0069999999999998E-5</v>
      </c>
      <c r="P4161" s="9">
        <v>5.897E-5</v>
      </c>
      <c r="Q4161" s="9">
        <v>9.3709999999999996E-5</v>
      </c>
      <c r="R4161" s="10">
        <v>5.315634481655874E-5</v>
      </c>
      <c r="S4161" s="10">
        <v>1.2584902785058255E-4</v>
      </c>
      <c r="T4161" s="10">
        <v>1.8750301563814964E-6</v>
      </c>
      <c r="U4161" s="10">
        <v>9.3029999999999995E-5</v>
      </c>
      <c r="V4161" s="25"/>
      <c r="W4161" s="25"/>
      <c r="X4161" s="25"/>
      <c r="Y4161" s="25"/>
      <c r="Z4161" s="25"/>
      <c r="AA4161" s="25"/>
    </row>
    <row r="4162" spans="1:27" x14ac:dyDescent="0.35">
      <c r="A4162" s="5">
        <v>4158</v>
      </c>
      <c r="B4162" s="5">
        <v>174</v>
      </c>
      <c r="C4162" s="5">
        <v>6</v>
      </c>
      <c r="D4162" s="25">
        <v>1.1415000000000001E-4</v>
      </c>
      <c r="E4162" s="25">
        <v>1.1134E-4</v>
      </c>
      <c r="F4162" s="25">
        <v>8.9090000000000003E-5</v>
      </c>
      <c r="G4162" s="25">
        <v>1.1128000000000001E-4</v>
      </c>
      <c r="H4162" s="25">
        <v>8.4939999999999997E-5</v>
      </c>
      <c r="I4162" s="9">
        <v>1.0454E-4</v>
      </c>
      <c r="J4162" s="9">
        <v>9.993E-5</v>
      </c>
      <c r="K4162" s="9">
        <v>0</v>
      </c>
      <c r="L4162" s="9">
        <v>2.9989999999999999E-5</v>
      </c>
      <c r="M4162" s="9">
        <v>5.2349999999999999E-5</v>
      </c>
      <c r="N4162" s="9">
        <v>7.1089999999999999E-5</v>
      </c>
      <c r="O4162" s="9">
        <v>3.5219999999999998E-5</v>
      </c>
      <c r="P4162" s="9">
        <v>6.8369999999999998E-5</v>
      </c>
      <c r="Q4162" s="9">
        <v>1.0641000000000001E-4</v>
      </c>
      <c r="R4162" s="10">
        <v>5.1005551422486106E-5</v>
      </c>
      <c r="S4162" s="10">
        <v>1.361119689399968E-4</v>
      </c>
      <c r="T4162" s="10">
        <v>5.043067533724712E-5</v>
      </c>
      <c r="U4162" s="10">
        <v>9.3029999999999995E-5</v>
      </c>
      <c r="V4162" s="25"/>
      <c r="W4162" s="25"/>
      <c r="X4162" s="25"/>
      <c r="Y4162" s="25"/>
      <c r="Z4162" s="25"/>
      <c r="AA4162" s="25"/>
    </row>
    <row r="4163" spans="1:27" x14ac:dyDescent="0.35">
      <c r="A4163" s="5">
        <v>4159</v>
      </c>
      <c r="B4163" s="5">
        <v>174</v>
      </c>
      <c r="C4163" s="5">
        <v>6</v>
      </c>
      <c r="D4163" s="25">
        <v>1.1416E-4</v>
      </c>
      <c r="E4163" s="25">
        <v>1.164E-4</v>
      </c>
      <c r="F4163" s="25">
        <v>1.0699E-4</v>
      </c>
      <c r="G4163" s="25">
        <v>1.0577E-4</v>
      </c>
      <c r="H4163" s="25">
        <v>7.9980000000000003E-5</v>
      </c>
      <c r="I4163" s="9">
        <v>1.1435E-4</v>
      </c>
      <c r="J4163" s="9">
        <v>1.142E-4</v>
      </c>
      <c r="K4163" s="9">
        <v>0</v>
      </c>
      <c r="L4163" s="9">
        <v>3.3989999999999998E-5</v>
      </c>
      <c r="M4163" s="9">
        <v>5.923E-5</v>
      </c>
      <c r="N4163" s="9">
        <v>8.0669999999999998E-5</v>
      </c>
      <c r="O4163" s="9">
        <v>4.9599999999999999E-5</v>
      </c>
      <c r="P4163" s="9">
        <v>7.9800000000000002E-5</v>
      </c>
      <c r="Q4163" s="9">
        <v>1.1271E-4</v>
      </c>
      <c r="R4163" s="10">
        <v>5.4401457620750785E-5</v>
      </c>
      <c r="S4163" s="10">
        <v>1.454805606920613E-4</v>
      </c>
      <c r="T4163" s="10">
        <v>1.7489534680383784E-4</v>
      </c>
      <c r="U4163" s="10">
        <v>9.3029999999999995E-5</v>
      </c>
      <c r="V4163" s="25"/>
      <c r="W4163" s="25"/>
      <c r="X4163" s="25"/>
      <c r="Y4163" s="25"/>
      <c r="Z4163" s="25"/>
      <c r="AA4163" s="25"/>
    </row>
    <row r="4164" spans="1:27" x14ac:dyDescent="0.35">
      <c r="A4164" s="5">
        <v>4160</v>
      </c>
      <c r="B4164" s="5">
        <v>174</v>
      </c>
      <c r="C4164" s="5">
        <v>6</v>
      </c>
      <c r="D4164" s="25">
        <v>1.1415000000000001E-4</v>
      </c>
      <c r="E4164" s="25">
        <v>1.2070000000000001E-4</v>
      </c>
      <c r="F4164" s="25">
        <v>8.8189999999999994E-5</v>
      </c>
      <c r="G4164" s="25">
        <v>1.6551000000000001E-4</v>
      </c>
      <c r="H4164" s="25">
        <v>1.1987E-4</v>
      </c>
      <c r="I4164" s="9">
        <v>1.1874E-4</v>
      </c>
      <c r="J4164" s="9">
        <v>1.2441000000000001E-4</v>
      </c>
      <c r="K4164" s="9">
        <v>0</v>
      </c>
      <c r="L4164" s="9">
        <v>4.604E-5</v>
      </c>
      <c r="M4164" s="9">
        <v>6.834E-5</v>
      </c>
      <c r="N4164" s="9">
        <v>9.0840000000000004E-5</v>
      </c>
      <c r="O4164" s="9">
        <v>6.8020000000000003E-5</v>
      </c>
      <c r="P4164" s="9">
        <v>1.0228E-4</v>
      </c>
      <c r="Q4164" s="9">
        <v>1.3619000000000001E-4</v>
      </c>
      <c r="R4164" s="10">
        <v>6.2486206444368014E-5</v>
      </c>
      <c r="S4164" s="10">
        <v>1.6192251123537082E-4</v>
      </c>
      <c r="T4164" s="10">
        <v>2.9449003044344676E-4</v>
      </c>
      <c r="U4164" s="10">
        <v>9.3029999999999995E-5</v>
      </c>
      <c r="V4164" s="25"/>
      <c r="W4164" s="25"/>
      <c r="X4164" s="25"/>
      <c r="Y4164" s="25"/>
      <c r="Z4164" s="25"/>
      <c r="AA4164" s="25"/>
    </row>
    <row r="4165" spans="1:27" x14ac:dyDescent="0.35">
      <c r="A4165" s="5">
        <v>4161</v>
      </c>
      <c r="B4165" s="5">
        <v>174</v>
      </c>
      <c r="C4165" s="5">
        <v>6</v>
      </c>
      <c r="D4165" s="25">
        <v>1.1416E-4</v>
      </c>
      <c r="E4165" s="25">
        <v>1.1042E-4</v>
      </c>
      <c r="F4165" s="25">
        <v>9.7050000000000001E-5</v>
      </c>
      <c r="G4165" s="25">
        <v>1.6725E-4</v>
      </c>
      <c r="H4165" s="25">
        <v>1.2034E-4</v>
      </c>
      <c r="I4165" s="9">
        <v>1.1856E-4</v>
      </c>
      <c r="J4165" s="9">
        <v>1.2836999999999999E-4</v>
      </c>
      <c r="K4165" s="9">
        <v>0</v>
      </c>
      <c r="L4165" s="9">
        <v>6.2849999999999996E-5</v>
      </c>
      <c r="M4165" s="9">
        <v>8.2830000000000005E-5</v>
      </c>
      <c r="N4165" s="9">
        <v>1.0446E-4</v>
      </c>
      <c r="O4165" s="9">
        <v>9.5019999999999995E-5</v>
      </c>
      <c r="P4165" s="9">
        <v>1.3819E-4</v>
      </c>
      <c r="Q4165" s="9">
        <v>1.7657E-4</v>
      </c>
      <c r="R4165" s="10">
        <v>7.1768773679822012E-5</v>
      </c>
      <c r="S4165" s="10">
        <v>1.7512977531034606E-4</v>
      </c>
      <c r="T4165" s="10">
        <v>2.2807493513053113E-4</v>
      </c>
      <c r="U4165" s="10">
        <v>9.3029999999999995E-5</v>
      </c>
      <c r="V4165" s="25"/>
      <c r="W4165" s="25"/>
      <c r="X4165" s="25"/>
      <c r="Y4165" s="25"/>
      <c r="Z4165" s="25"/>
      <c r="AA4165" s="25"/>
    </row>
    <row r="4166" spans="1:27" x14ac:dyDescent="0.35">
      <c r="A4166" s="5">
        <v>4162</v>
      </c>
      <c r="B4166" s="5">
        <v>174</v>
      </c>
      <c r="C4166" s="5">
        <v>6</v>
      </c>
      <c r="D4166" s="25">
        <v>1.1415000000000001E-4</v>
      </c>
      <c r="E4166" s="25">
        <v>1.2076E-4</v>
      </c>
      <c r="F4166" s="25">
        <v>1.0364E-4</v>
      </c>
      <c r="G4166" s="25">
        <v>1.6200000000000001E-4</v>
      </c>
      <c r="H4166" s="25">
        <v>1.1793E-4</v>
      </c>
      <c r="I4166" s="9">
        <v>1.1692E-4</v>
      </c>
      <c r="J4166" s="9">
        <v>1.2918000000000001E-4</v>
      </c>
      <c r="K4166" s="9">
        <v>0</v>
      </c>
      <c r="L4166" s="9">
        <v>8.7499999999999999E-5</v>
      </c>
      <c r="M4166" s="9">
        <v>1.0642E-4</v>
      </c>
      <c r="N4166" s="9">
        <v>1.2439999999999999E-4</v>
      </c>
      <c r="O4166" s="9">
        <v>1.1943E-4</v>
      </c>
      <c r="P4166" s="9">
        <v>1.5487000000000001E-4</v>
      </c>
      <c r="Q4166" s="9">
        <v>1.8171999999999999E-4</v>
      </c>
      <c r="R4166" s="10">
        <v>8.4384493628543596E-5</v>
      </c>
      <c r="S4166" s="10">
        <v>1.7929566706579279E-4</v>
      </c>
      <c r="T4166" s="10">
        <v>8.5564158946187276E-5</v>
      </c>
      <c r="U4166" s="10">
        <v>9.3029999999999995E-5</v>
      </c>
      <c r="V4166" s="25"/>
      <c r="W4166" s="25"/>
      <c r="X4166" s="25"/>
      <c r="Y4166" s="25"/>
      <c r="Z4166" s="25"/>
      <c r="AA4166" s="25"/>
    </row>
    <row r="4167" spans="1:27" x14ac:dyDescent="0.35">
      <c r="A4167" s="5">
        <v>4163</v>
      </c>
      <c r="B4167" s="5">
        <v>174</v>
      </c>
      <c r="C4167" s="5">
        <v>6</v>
      </c>
      <c r="D4167" s="25">
        <v>1.1416E-4</v>
      </c>
      <c r="E4167" s="25">
        <v>1.1989000000000001E-4</v>
      </c>
      <c r="F4167" s="25">
        <v>9.5730000000000007E-5</v>
      </c>
      <c r="G4167" s="25">
        <v>1.5979000000000001E-4</v>
      </c>
      <c r="H4167" s="25">
        <v>1.1591000000000001E-4</v>
      </c>
      <c r="I4167" s="9">
        <v>1.1742E-4</v>
      </c>
      <c r="J4167" s="9">
        <v>1.3048000000000001E-4</v>
      </c>
      <c r="K4167" s="9">
        <v>0</v>
      </c>
      <c r="L4167" s="9">
        <v>1.1179999999999999E-4</v>
      </c>
      <c r="M4167" s="9">
        <v>1.2982E-4</v>
      </c>
      <c r="N4167" s="9">
        <v>1.4239999999999999E-4</v>
      </c>
      <c r="O4167" s="9">
        <v>1.2666000000000001E-4</v>
      </c>
      <c r="P4167" s="9">
        <v>1.5784999999999999E-4</v>
      </c>
      <c r="Q4167" s="9">
        <v>1.7935999999999999E-4</v>
      </c>
      <c r="R4167" s="10">
        <v>1.0157200746709679E-4</v>
      </c>
      <c r="S4167" s="10">
        <v>1.8278713702506993E-4</v>
      </c>
      <c r="T4167" s="10">
        <v>1.3000491894223377E-4</v>
      </c>
      <c r="U4167" s="10">
        <v>9.3029999999999995E-5</v>
      </c>
      <c r="V4167" s="25"/>
      <c r="W4167" s="25"/>
      <c r="X4167" s="25"/>
      <c r="Y4167" s="25"/>
      <c r="Z4167" s="25"/>
      <c r="AA4167" s="25"/>
    </row>
    <row r="4168" spans="1:27" x14ac:dyDescent="0.35">
      <c r="A4168" s="5">
        <v>4164</v>
      </c>
      <c r="B4168" s="5">
        <v>174</v>
      </c>
      <c r="C4168" s="5">
        <v>6</v>
      </c>
      <c r="D4168" s="25">
        <v>1.1415000000000001E-4</v>
      </c>
      <c r="E4168" s="25">
        <v>1.2018E-4</v>
      </c>
      <c r="F4168" s="25">
        <v>1.0512E-4</v>
      </c>
      <c r="G4168" s="25">
        <v>1.6159E-4</v>
      </c>
      <c r="H4168" s="25">
        <v>1.2039E-4</v>
      </c>
      <c r="I4168" s="9">
        <v>1.1548999999999999E-4</v>
      </c>
      <c r="J4168" s="9">
        <v>1.2983E-4</v>
      </c>
      <c r="K4168" s="9">
        <v>0</v>
      </c>
      <c r="L4168" s="9">
        <v>1.2281999999999999E-4</v>
      </c>
      <c r="M4168" s="9">
        <v>1.4545000000000001E-4</v>
      </c>
      <c r="N4168" s="9">
        <v>1.5648999999999999E-4</v>
      </c>
      <c r="O4168" s="9">
        <v>1.2857999999999999E-4</v>
      </c>
      <c r="P4168" s="9">
        <v>1.5673999999999999E-4</v>
      </c>
      <c r="Q4168" s="9">
        <v>1.7503000000000001E-4</v>
      </c>
      <c r="R4168" s="10">
        <v>1.0216112289258347E-4</v>
      </c>
      <c r="S4168" s="10">
        <v>1.7681802330440647E-4</v>
      </c>
      <c r="T4168" s="10">
        <v>2.0613453701106259E-4</v>
      </c>
      <c r="U4168" s="10">
        <v>9.3029999999999995E-5</v>
      </c>
      <c r="V4168" s="25"/>
      <c r="W4168" s="25"/>
      <c r="X4168" s="25"/>
      <c r="Y4168" s="25"/>
      <c r="Z4168" s="25"/>
      <c r="AA4168" s="25"/>
    </row>
    <row r="4169" spans="1:27" x14ac:dyDescent="0.35">
      <c r="A4169" s="5">
        <v>4165</v>
      </c>
      <c r="B4169" s="5">
        <v>174</v>
      </c>
      <c r="C4169" s="5">
        <v>6</v>
      </c>
      <c r="D4169" s="25">
        <v>1.1416E-4</v>
      </c>
      <c r="E4169" s="25">
        <v>1.1836999999999999E-4</v>
      </c>
      <c r="F4169" s="25">
        <v>1.065E-4</v>
      </c>
      <c r="G4169" s="25">
        <v>1.6117E-4</v>
      </c>
      <c r="H4169" s="25">
        <v>1.1644E-4</v>
      </c>
      <c r="I4169" s="9">
        <v>1.1634E-4</v>
      </c>
      <c r="J4169" s="9">
        <v>1.3082999999999999E-4</v>
      </c>
      <c r="K4169" s="9">
        <v>0</v>
      </c>
      <c r="L4169" s="9">
        <v>1.2716999999999999E-4</v>
      </c>
      <c r="M4169" s="9">
        <v>1.5286999999999999E-4</v>
      </c>
      <c r="N4169" s="9">
        <v>1.6619000000000001E-4</v>
      </c>
      <c r="O4169" s="9">
        <v>1.2081E-4</v>
      </c>
      <c r="P4169" s="9">
        <v>1.484E-4</v>
      </c>
      <c r="Q4169" s="9">
        <v>1.6731E-4</v>
      </c>
      <c r="R4169" s="10">
        <v>1.4279529857189066E-4</v>
      </c>
      <c r="S4169" s="10">
        <v>1.7307138918438747E-4</v>
      </c>
      <c r="T4169" s="10">
        <v>1.7528562457394439E-4</v>
      </c>
      <c r="U4169" s="10">
        <v>9.3029999999999995E-5</v>
      </c>
      <c r="V4169" s="25"/>
      <c r="W4169" s="25"/>
      <c r="X4169" s="25"/>
      <c r="Y4169" s="25"/>
      <c r="Z4169" s="25"/>
      <c r="AA4169" s="25"/>
    </row>
    <row r="4170" spans="1:27" x14ac:dyDescent="0.35">
      <c r="A4170" s="5">
        <v>4166</v>
      </c>
      <c r="B4170" s="5">
        <v>174</v>
      </c>
      <c r="C4170" s="5">
        <v>6</v>
      </c>
      <c r="D4170" s="25">
        <v>1.1415000000000001E-4</v>
      </c>
      <c r="E4170" s="25">
        <v>1.1924E-4</v>
      </c>
      <c r="F4170" s="25">
        <v>1.0137999999999999E-4</v>
      </c>
      <c r="G4170" s="25">
        <v>1.6636999999999999E-4</v>
      </c>
      <c r="H4170" s="25">
        <v>1.2142E-4</v>
      </c>
      <c r="I4170" s="9">
        <v>1.1412E-4</v>
      </c>
      <c r="J4170" s="9">
        <v>1.316E-4</v>
      </c>
      <c r="K4170" s="9">
        <v>0</v>
      </c>
      <c r="L4170" s="9">
        <v>1.2224E-4</v>
      </c>
      <c r="M4170" s="9">
        <v>1.527E-4</v>
      </c>
      <c r="N4170" s="9">
        <v>1.7053000000000001E-4</v>
      </c>
      <c r="O4170" s="9">
        <v>1.0666999999999999E-4</v>
      </c>
      <c r="P4170" s="9">
        <v>1.3747E-4</v>
      </c>
      <c r="Q4170" s="9">
        <v>1.6187999999999999E-4</v>
      </c>
      <c r="R4170" s="10">
        <v>1.6622239161155416E-4</v>
      </c>
      <c r="S4170" s="10">
        <v>1.7615574761856799E-4</v>
      </c>
      <c r="T4170" s="10">
        <v>2.1774954282140769E-4</v>
      </c>
      <c r="U4170" s="10">
        <v>9.3029999999999995E-5</v>
      </c>
      <c r="V4170" s="25"/>
      <c r="W4170" s="25"/>
      <c r="X4170" s="25"/>
      <c r="Y4170" s="25"/>
      <c r="Z4170" s="25"/>
      <c r="AA4170" s="25"/>
    </row>
    <row r="4171" spans="1:27" x14ac:dyDescent="0.35">
      <c r="A4171" s="5">
        <v>4167</v>
      </c>
      <c r="B4171" s="5">
        <v>174</v>
      </c>
      <c r="C4171" s="5">
        <v>6</v>
      </c>
      <c r="D4171" s="25">
        <v>1.1416E-4</v>
      </c>
      <c r="E4171" s="25">
        <v>1.1369E-4</v>
      </c>
      <c r="F4171" s="25">
        <v>1.0315E-4</v>
      </c>
      <c r="G4171" s="25">
        <v>1.6166999999999999E-4</v>
      </c>
      <c r="H4171" s="25">
        <v>1.2072E-4</v>
      </c>
      <c r="I4171" s="9">
        <v>1.1313E-4</v>
      </c>
      <c r="J4171" s="9">
        <v>1.3223999999999999E-4</v>
      </c>
      <c r="K4171" s="9">
        <v>0</v>
      </c>
      <c r="L4171" s="9">
        <v>1.1029E-4</v>
      </c>
      <c r="M4171" s="9">
        <v>1.4689999999999999E-4</v>
      </c>
      <c r="N4171" s="9">
        <v>1.7032000000000001E-4</v>
      </c>
      <c r="O4171" s="9">
        <v>1.1903E-4</v>
      </c>
      <c r="P4171" s="9">
        <v>1.4029E-4</v>
      </c>
      <c r="Q4171" s="9">
        <v>1.5331000000000001E-4</v>
      </c>
      <c r="R4171" s="10">
        <v>1.8486292494606312E-4</v>
      </c>
      <c r="S4171" s="10">
        <v>1.7910632836989522E-4</v>
      </c>
      <c r="T4171" s="10">
        <v>2.1764773122920597E-4</v>
      </c>
      <c r="U4171" s="10">
        <v>9.3029999999999995E-5</v>
      </c>
      <c r="V4171" s="25"/>
      <c r="W4171" s="25"/>
      <c r="X4171" s="25"/>
      <c r="Y4171" s="25"/>
      <c r="Z4171" s="25"/>
      <c r="AA4171" s="25"/>
    </row>
    <row r="4172" spans="1:27" x14ac:dyDescent="0.35">
      <c r="A4172" s="5">
        <v>4168</v>
      </c>
      <c r="B4172" s="5">
        <v>174</v>
      </c>
      <c r="C4172" s="5">
        <v>6</v>
      </c>
      <c r="D4172" s="25">
        <v>1.1415000000000001E-4</v>
      </c>
      <c r="E4172" s="25">
        <v>1.1059E-4</v>
      </c>
      <c r="F4172" s="25">
        <v>1.0559E-4</v>
      </c>
      <c r="G4172" s="25">
        <v>1.6058000000000001E-4</v>
      </c>
      <c r="H4172" s="25">
        <v>1.1887000000000001E-4</v>
      </c>
      <c r="I4172" s="9">
        <v>1.12E-4</v>
      </c>
      <c r="J4172" s="9">
        <v>1.3234999999999999E-4</v>
      </c>
      <c r="K4172" s="9">
        <v>0</v>
      </c>
      <c r="L4172" s="9">
        <v>1.1746E-4</v>
      </c>
      <c r="M4172" s="9">
        <v>1.4289000000000001E-4</v>
      </c>
      <c r="N4172" s="9">
        <v>1.6660000000000001E-4</v>
      </c>
      <c r="O4172" s="9">
        <v>1.2444999999999999E-4</v>
      </c>
      <c r="P4172" s="9">
        <v>1.2155E-4</v>
      </c>
      <c r="Q4172" s="9">
        <v>1.0987E-4</v>
      </c>
      <c r="R4172" s="10">
        <v>1.9347925579058769E-4</v>
      </c>
      <c r="S4172" s="10">
        <v>1.8261827798686053E-4</v>
      </c>
      <c r="T4172" s="10">
        <v>1.3801409752876832E-4</v>
      </c>
      <c r="U4172" s="10">
        <v>9.3029999999999995E-5</v>
      </c>
      <c r="V4172" s="25"/>
      <c r="W4172" s="25"/>
      <c r="X4172" s="25"/>
      <c r="Y4172" s="25"/>
      <c r="Z4172" s="25"/>
      <c r="AA4172" s="25"/>
    </row>
    <row r="4173" spans="1:27" x14ac:dyDescent="0.35">
      <c r="A4173" s="5">
        <v>4169</v>
      </c>
      <c r="B4173" s="5">
        <v>174</v>
      </c>
      <c r="C4173" s="5">
        <v>6</v>
      </c>
      <c r="D4173" s="25">
        <v>1.1416E-4</v>
      </c>
      <c r="E4173" s="25">
        <v>1.148E-4</v>
      </c>
      <c r="F4173" s="25">
        <v>1.0835E-4</v>
      </c>
      <c r="G4173" s="25">
        <v>1.6066999999999999E-4</v>
      </c>
      <c r="H4173" s="25">
        <v>1.2256999999999999E-4</v>
      </c>
      <c r="I4173" s="9">
        <v>1.1395000000000001E-4</v>
      </c>
      <c r="J4173" s="9">
        <v>1.3276E-4</v>
      </c>
      <c r="K4173" s="9">
        <v>0</v>
      </c>
      <c r="L4173" s="9">
        <v>1.2268000000000001E-4</v>
      </c>
      <c r="M4173" s="9">
        <v>1.3433E-4</v>
      </c>
      <c r="N4173" s="9">
        <v>1.5288000000000001E-4</v>
      </c>
      <c r="O4173" s="9">
        <v>1.3028000000000001E-4</v>
      </c>
      <c r="P4173" s="9">
        <v>1.2381E-4</v>
      </c>
      <c r="Q4173" s="9">
        <v>1.0775E-4</v>
      </c>
      <c r="R4173" s="10">
        <v>1.9970764144556502E-4</v>
      </c>
      <c r="S4173" s="10">
        <v>1.7833937065475216E-4</v>
      </c>
      <c r="T4173" s="10">
        <v>6.2953501178057475E-5</v>
      </c>
      <c r="U4173" s="10">
        <v>9.3029999999999995E-5</v>
      </c>
      <c r="V4173" s="25"/>
      <c r="W4173" s="25"/>
      <c r="X4173" s="25"/>
      <c r="Y4173" s="25"/>
      <c r="Z4173" s="25"/>
      <c r="AA4173" s="25"/>
    </row>
    <row r="4174" spans="1:27" x14ac:dyDescent="0.35">
      <c r="A4174" s="5">
        <v>4170</v>
      </c>
      <c r="B4174" s="5">
        <v>174</v>
      </c>
      <c r="C4174" s="5">
        <v>6</v>
      </c>
      <c r="D4174" s="25">
        <v>1.1415000000000001E-4</v>
      </c>
      <c r="E4174" s="25">
        <v>1.0961E-4</v>
      </c>
      <c r="F4174" s="25">
        <v>1.0793000000000001E-4</v>
      </c>
      <c r="G4174" s="25">
        <v>1.5823000000000001E-4</v>
      </c>
      <c r="H4174" s="25">
        <v>1.2087999999999999E-4</v>
      </c>
      <c r="I4174" s="9">
        <v>1.1495E-4</v>
      </c>
      <c r="J4174" s="9">
        <v>1.272E-4</v>
      </c>
      <c r="K4174" s="9">
        <v>0</v>
      </c>
      <c r="L4174" s="9">
        <v>1.2836999999999999E-4</v>
      </c>
      <c r="M4174" s="9">
        <v>1.2836E-4</v>
      </c>
      <c r="N4174" s="9">
        <v>1.3959000000000001E-4</v>
      </c>
      <c r="O4174" s="9">
        <v>1.2944000000000001E-4</v>
      </c>
      <c r="P4174" s="9">
        <v>1.2812000000000001E-4</v>
      </c>
      <c r="Q4174" s="9">
        <v>1.1713E-4</v>
      </c>
      <c r="R4174" s="10">
        <v>2.0034884712108832E-4</v>
      </c>
      <c r="S4174" s="10">
        <v>1.6997520530859377E-4</v>
      </c>
      <c r="T4174" s="10">
        <v>6.6126629135010768E-5</v>
      </c>
      <c r="U4174" s="10">
        <v>9.3029999999999995E-5</v>
      </c>
      <c r="V4174" s="25"/>
      <c r="W4174" s="25"/>
      <c r="X4174" s="25"/>
      <c r="Y4174" s="25"/>
      <c r="Z4174" s="25"/>
      <c r="AA4174" s="25"/>
    </row>
    <row r="4175" spans="1:27" x14ac:dyDescent="0.35">
      <c r="A4175" s="5">
        <v>4171</v>
      </c>
      <c r="B4175" s="5">
        <v>174</v>
      </c>
      <c r="C4175" s="5">
        <v>6</v>
      </c>
      <c r="D4175" s="25">
        <v>1.1416E-4</v>
      </c>
      <c r="E4175" s="25">
        <v>1.1383999999999999E-4</v>
      </c>
      <c r="F4175" s="25">
        <v>1.0327000000000001E-4</v>
      </c>
      <c r="G4175" s="25">
        <v>1.0793000000000001E-4</v>
      </c>
      <c r="H4175" s="25">
        <v>8.4129999999999996E-5</v>
      </c>
      <c r="I4175" s="9">
        <v>1.1433E-4</v>
      </c>
      <c r="J4175" s="9">
        <v>1.2396999999999999E-4</v>
      </c>
      <c r="K4175" s="9">
        <v>0</v>
      </c>
      <c r="L4175" s="9">
        <v>1.2910999999999999E-4</v>
      </c>
      <c r="M4175" s="9">
        <v>1.2690999999999999E-4</v>
      </c>
      <c r="N4175" s="9">
        <v>1.3030999999999999E-4</v>
      </c>
      <c r="O4175" s="9">
        <v>1.3085000000000001E-4</v>
      </c>
      <c r="P4175" s="9">
        <v>1.2391E-4</v>
      </c>
      <c r="Q4175" s="9">
        <v>1.0725E-4</v>
      </c>
      <c r="R4175" s="10">
        <v>1.8760011718192818E-4</v>
      </c>
      <c r="S4175" s="10">
        <v>1.5934485529387412E-4</v>
      </c>
      <c r="T4175" s="10">
        <v>2.5461382349777696E-5</v>
      </c>
      <c r="U4175" s="10">
        <v>9.3029999999999995E-5</v>
      </c>
      <c r="V4175" s="25"/>
      <c r="W4175" s="25"/>
      <c r="X4175" s="25"/>
      <c r="Y4175" s="25"/>
      <c r="Z4175" s="25"/>
      <c r="AA4175" s="25"/>
    </row>
    <row r="4176" spans="1:27" x14ac:dyDescent="0.35">
      <c r="A4176" s="5">
        <v>4172</v>
      </c>
      <c r="B4176" s="5">
        <v>174</v>
      </c>
      <c r="C4176" s="5">
        <v>6</v>
      </c>
      <c r="D4176" s="25">
        <v>1.1415000000000001E-4</v>
      </c>
      <c r="E4176" s="25">
        <v>1.1266E-4</v>
      </c>
      <c r="F4176" s="25">
        <v>9.48E-5</v>
      </c>
      <c r="G4176" s="25">
        <v>1.0886E-4</v>
      </c>
      <c r="H4176" s="25">
        <v>8.488E-5</v>
      </c>
      <c r="I4176" s="9">
        <v>1.1208E-4</v>
      </c>
      <c r="J4176" s="9">
        <v>1.2106E-4</v>
      </c>
      <c r="K4176" s="9">
        <v>0</v>
      </c>
      <c r="L4176" s="9">
        <v>1.3048000000000001E-4</v>
      </c>
      <c r="M4176" s="9">
        <v>1.2572000000000001E-4</v>
      </c>
      <c r="N4176" s="9">
        <v>1.2113E-4</v>
      </c>
      <c r="O4176" s="9">
        <v>1.3161999999999999E-4</v>
      </c>
      <c r="P4176" s="9">
        <v>1.2127E-4</v>
      </c>
      <c r="Q4176" s="9">
        <v>1.0103999999999999E-4</v>
      </c>
      <c r="R4176" s="10">
        <v>1.5979790468534719E-4</v>
      </c>
      <c r="S4176" s="10">
        <v>1.4720909994677723E-4</v>
      </c>
      <c r="T4176" s="10">
        <v>4.2251810763709735E-6</v>
      </c>
      <c r="U4176" s="10">
        <v>9.3029999999999995E-5</v>
      </c>
      <c r="V4176" s="25"/>
      <c r="W4176" s="25"/>
      <c r="X4176" s="25"/>
      <c r="Y4176" s="25"/>
      <c r="Z4176" s="25"/>
      <c r="AA4176" s="25"/>
    </row>
    <row r="4177" spans="1:27" x14ac:dyDescent="0.35">
      <c r="A4177" s="5">
        <v>4173</v>
      </c>
      <c r="B4177" s="5">
        <v>174</v>
      </c>
      <c r="C4177" s="5">
        <v>6</v>
      </c>
      <c r="D4177" s="25">
        <v>1.1416E-4</v>
      </c>
      <c r="E4177" s="25">
        <v>1.1637999999999999E-4</v>
      </c>
      <c r="F4177" s="25">
        <v>9.2520000000000002E-5</v>
      </c>
      <c r="G4177" s="25">
        <v>5.9710000000000003E-5</v>
      </c>
      <c r="H4177" s="25">
        <v>4.5000000000000003E-5</v>
      </c>
      <c r="I4177" s="9">
        <v>1.0857E-4</v>
      </c>
      <c r="J4177" s="9">
        <v>1.1728E-4</v>
      </c>
      <c r="K4177" s="9">
        <v>0</v>
      </c>
      <c r="L4177" s="9">
        <v>1.3137000000000001E-4</v>
      </c>
      <c r="M4177" s="9">
        <v>1.2385E-4</v>
      </c>
      <c r="N4177" s="9">
        <v>1.1315999999999999E-4</v>
      </c>
      <c r="O4177" s="9">
        <v>8.1429999999999998E-5</v>
      </c>
      <c r="P4177" s="9">
        <v>8.5519999999999994E-5</v>
      </c>
      <c r="Q4177" s="9">
        <v>8.7490000000000004E-5</v>
      </c>
      <c r="R4177" s="10">
        <v>1.3804696160437592E-4</v>
      </c>
      <c r="S4177" s="10">
        <v>1.38453872419838E-4</v>
      </c>
      <c r="T4177" s="10">
        <v>0</v>
      </c>
      <c r="U4177" s="10">
        <v>9.3029999999999995E-5</v>
      </c>
      <c r="V4177" s="25"/>
      <c r="W4177" s="25"/>
      <c r="X4177" s="25"/>
      <c r="Y4177" s="25"/>
      <c r="Z4177" s="25"/>
      <c r="AA4177" s="25"/>
    </row>
    <row r="4178" spans="1:27" x14ac:dyDescent="0.35">
      <c r="A4178" s="5">
        <v>4174</v>
      </c>
      <c r="B4178" s="5">
        <v>174</v>
      </c>
      <c r="C4178" s="5">
        <v>6</v>
      </c>
      <c r="D4178" s="25">
        <v>1.1415000000000001E-4</v>
      </c>
      <c r="E4178" s="25">
        <v>1.1728E-4</v>
      </c>
      <c r="F4178" s="25">
        <v>1.037E-4</v>
      </c>
      <c r="G4178" s="25">
        <v>5.6879999999999998E-5</v>
      </c>
      <c r="H4178" s="25">
        <v>3.9839999999999998E-5</v>
      </c>
      <c r="I4178" s="9">
        <v>1.1084E-4</v>
      </c>
      <c r="J4178" s="9">
        <v>1.1594E-4</v>
      </c>
      <c r="K4178" s="9">
        <v>0</v>
      </c>
      <c r="L4178" s="9">
        <v>9.2390000000000001E-5</v>
      </c>
      <c r="M4178" s="9">
        <v>1.0953E-4</v>
      </c>
      <c r="N4178" s="9">
        <v>1.0533E-4</v>
      </c>
      <c r="O4178" s="9">
        <v>8.3990000000000001E-5</v>
      </c>
      <c r="P4178" s="9">
        <v>8.7100000000000003E-5</v>
      </c>
      <c r="Q4178" s="9">
        <v>8.7750000000000005E-5</v>
      </c>
      <c r="R4178" s="10">
        <v>1.171252658302069E-4</v>
      </c>
      <c r="S4178" s="10">
        <v>1.3075502056650163E-4</v>
      </c>
      <c r="T4178" s="10">
        <v>0</v>
      </c>
      <c r="U4178" s="10">
        <v>9.3029999999999995E-5</v>
      </c>
      <c r="V4178" s="25"/>
      <c r="W4178" s="25"/>
      <c r="X4178" s="25"/>
      <c r="Y4178" s="25"/>
      <c r="Z4178" s="25"/>
      <c r="AA4178" s="25"/>
    </row>
    <row r="4179" spans="1:27" x14ac:dyDescent="0.35">
      <c r="A4179" s="5">
        <v>4175</v>
      </c>
      <c r="B4179" s="5">
        <v>174</v>
      </c>
      <c r="C4179" s="5">
        <v>6</v>
      </c>
      <c r="D4179" s="25">
        <v>1.1416E-4</v>
      </c>
      <c r="E4179" s="25">
        <v>1.1145999999999999E-4</v>
      </c>
      <c r="F4179" s="25">
        <v>9.7419999999999999E-5</v>
      </c>
      <c r="G4179" s="25">
        <v>5.6959999999999997E-5</v>
      </c>
      <c r="H4179" s="25">
        <v>4.3689999999999997E-5</v>
      </c>
      <c r="I4179" s="9">
        <v>1.0818E-4</v>
      </c>
      <c r="J4179" s="9">
        <v>1.1196000000000001E-4</v>
      </c>
      <c r="K4179" s="9">
        <v>0</v>
      </c>
      <c r="L4179" s="9">
        <v>8.6929999999999996E-5</v>
      </c>
      <c r="M4179" s="9">
        <v>9.7609999999999995E-5</v>
      </c>
      <c r="N4179" s="9">
        <v>9.9389999999999995E-5</v>
      </c>
      <c r="O4179" s="9">
        <v>8.1699999999999994E-5</v>
      </c>
      <c r="P4179" s="9">
        <v>7.5080000000000006E-5</v>
      </c>
      <c r="Q4179" s="9">
        <v>6.6509999999999998E-5</v>
      </c>
      <c r="R4179" s="10">
        <v>9.9688679822924488E-5</v>
      </c>
      <c r="S4179" s="10">
        <v>1.2264568463860259E-4</v>
      </c>
      <c r="T4179" s="10">
        <v>0</v>
      </c>
      <c r="U4179" s="10">
        <v>9.3029999999999995E-5</v>
      </c>
      <c r="V4179" s="25"/>
      <c r="W4179" s="25"/>
      <c r="X4179" s="25"/>
      <c r="Y4179" s="25"/>
      <c r="Z4179" s="25"/>
      <c r="AA4179" s="25"/>
    </row>
    <row r="4180" spans="1:27" x14ac:dyDescent="0.35">
      <c r="A4180" s="5">
        <v>4176</v>
      </c>
      <c r="B4180" s="5">
        <v>174</v>
      </c>
      <c r="C4180" s="5">
        <v>6</v>
      </c>
      <c r="D4180" s="25">
        <v>1.1415000000000001E-4</v>
      </c>
      <c r="E4180" s="25">
        <v>1.1218999999999999E-4</v>
      </c>
      <c r="F4180" s="25">
        <v>1.0678E-4</v>
      </c>
      <c r="G4180" s="25">
        <v>5.6369999999999997E-5</v>
      </c>
      <c r="H4180" s="25">
        <v>4.2200000000000003E-5</v>
      </c>
      <c r="I4180" s="9">
        <v>1.0098E-4</v>
      </c>
      <c r="J4180" s="9">
        <v>1.0387000000000001E-4</v>
      </c>
      <c r="K4180" s="9">
        <v>0</v>
      </c>
      <c r="L4180" s="9">
        <v>8.3029999999999996E-5</v>
      </c>
      <c r="M4180" s="9">
        <v>8.6719999999999996E-5</v>
      </c>
      <c r="N4180" s="9">
        <v>9.0080000000000005E-5</v>
      </c>
      <c r="O4180" s="9">
        <v>7.7470000000000002E-5</v>
      </c>
      <c r="P4180" s="9">
        <v>6.8739999999999996E-5</v>
      </c>
      <c r="Q4180" s="9">
        <v>5.8839999999999999E-5</v>
      </c>
      <c r="R4180" s="10">
        <v>6.9151104579339928E-5</v>
      </c>
      <c r="S4180" s="10">
        <v>1.0311519366107442E-4</v>
      </c>
      <c r="T4180" s="10">
        <v>0</v>
      </c>
      <c r="U4180" s="10">
        <v>9.3029999999999995E-5</v>
      </c>
      <c r="V4180" s="25"/>
      <c r="W4180" s="25"/>
      <c r="X4180" s="25"/>
      <c r="Y4180" s="25"/>
      <c r="Z4180" s="25"/>
      <c r="AA4180" s="25"/>
    </row>
    <row r="4181" spans="1:27" x14ac:dyDescent="0.35">
      <c r="A4181" s="5">
        <v>4177</v>
      </c>
      <c r="B4181" s="5">
        <v>175</v>
      </c>
      <c r="C4181" s="5">
        <v>6</v>
      </c>
      <c r="D4181" s="25">
        <v>1.1416E-4</v>
      </c>
      <c r="E4181" s="25">
        <v>1.1942000000000001E-4</v>
      </c>
      <c r="F4181" s="25">
        <v>1.206E-4</v>
      </c>
      <c r="G4181" s="25">
        <v>5.5949999999999998E-5</v>
      </c>
      <c r="H4181" s="25">
        <v>1.395E-5</v>
      </c>
      <c r="I4181" s="9">
        <v>9.5539999999999997E-5</v>
      </c>
      <c r="J4181" s="9">
        <v>9.8140000000000006E-5</v>
      </c>
      <c r="K4181" s="9">
        <v>0</v>
      </c>
      <c r="L4181" s="9">
        <v>7.8510000000000006E-5</v>
      </c>
      <c r="M4181" s="9">
        <v>7.7789999999999999E-5</v>
      </c>
      <c r="N4181" s="9">
        <v>8.0729999999999994E-5</v>
      </c>
      <c r="O4181" s="9">
        <v>6.8559999999999994E-5</v>
      </c>
      <c r="P4181" s="9">
        <v>6.1050000000000007E-5</v>
      </c>
      <c r="Q4181" s="9">
        <v>5.384E-5</v>
      </c>
      <c r="R4181" s="10">
        <v>7.1811171207773077E-5</v>
      </c>
      <c r="S4181" s="10">
        <v>1.0721233908463773E-4</v>
      </c>
      <c r="T4181" s="10">
        <v>0</v>
      </c>
      <c r="U4181" s="10">
        <v>9.0080000000000005E-5</v>
      </c>
      <c r="V4181" s="25"/>
      <c r="W4181" s="25"/>
      <c r="X4181" s="25"/>
      <c r="Y4181" s="25"/>
      <c r="Z4181" s="25"/>
      <c r="AA4181" s="25"/>
    </row>
    <row r="4182" spans="1:27" x14ac:dyDescent="0.35">
      <c r="A4182" s="5">
        <v>4178</v>
      </c>
      <c r="B4182" s="5">
        <v>175</v>
      </c>
      <c r="C4182" s="5">
        <v>6</v>
      </c>
      <c r="D4182" s="25">
        <v>1.1415000000000001E-4</v>
      </c>
      <c r="E4182" s="25">
        <v>1.1718999999999999E-4</v>
      </c>
      <c r="F4182" s="25">
        <v>1.0547E-4</v>
      </c>
      <c r="G4182" s="25">
        <v>6.0109999999999999E-5</v>
      </c>
      <c r="H4182" s="25">
        <v>1.4209999999999999E-5</v>
      </c>
      <c r="I4182" s="9">
        <v>9.221E-5</v>
      </c>
      <c r="J4182" s="9">
        <v>9.611E-5</v>
      </c>
      <c r="K4182" s="9">
        <v>0</v>
      </c>
      <c r="L4182" s="9">
        <v>7.0859999999999996E-5</v>
      </c>
      <c r="M4182" s="9">
        <v>6.9670000000000002E-5</v>
      </c>
      <c r="N4182" s="9">
        <v>7.1829999999999995E-5</v>
      </c>
      <c r="O4182" s="9">
        <v>4.0040000000000003E-5</v>
      </c>
      <c r="P4182" s="9">
        <v>4.5779999999999999E-5</v>
      </c>
      <c r="Q4182" s="9">
        <v>5.6110000000000003E-5</v>
      </c>
      <c r="R4182" s="10">
        <v>6.5692795429454014E-5</v>
      </c>
      <c r="S4182" s="10">
        <v>9.8372168501818075E-5</v>
      </c>
      <c r="T4182" s="10">
        <v>0</v>
      </c>
      <c r="U4182" s="10">
        <v>9.0080000000000005E-5</v>
      </c>
      <c r="V4182" s="25"/>
      <c r="W4182" s="25"/>
      <c r="X4182" s="25"/>
      <c r="Y4182" s="25"/>
      <c r="Z4182" s="25"/>
      <c r="AA4182" s="25"/>
    </row>
    <row r="4183" spans="1:27" x14ac:dyDescent="0.35">
      <c r="A4183" s="5">
        <v>4179</v>
      </c>
      <c r="B4183" s="5">
        <v>175</v>
      </c>
      <c r="C4183" s="5">
        <v>6</v>
      </c>
      <c r="D4183" s="25">
        <v>1.1416E-4</v>
      </c>
      <c r="E4183" s="25">
        <v>1.1751E-4</v>
      </c>
      <c r="F4183" s="25">
        <v>1.0656E-4</v>
      </c>
      <c r="G4183" s="25">
        <v>5.7920000000000001E-5</v>
      </c>
      <c r="H4183" s="25">
        <v>1.6030000000000001E-5</v>
      </c>
      <c r="I4183" s="9">
        <v>9.0989999999999994E-5</v>
      </c>
      <c r="J4183" s="9">
        <v>9.5489999999999995E-5</v>
      </c>
      <c r="K4183" s="9">
        <v>0</v>
      </c>
      <c r="L4183" s="9">
        <v>4.702E-5</v>
      </c>
      <c r="M4183" s="9">
        <v>5.9160000000000003E-5</v>
      </c>
      <c r="N4183" s="9">
        <v>6.5350000000000003E-5</v>
      </c>
      <c r="O4183" s="9">
        <v>2.9050000000000001E-5</v>
      </c>
      <c r="P4183" s="9">
        <v>4.2330000000000003E-5</v>
      </c>
      <c r="Q4183" s="9">
        <v>6.1920000000000003E-5</v>
      </c>
      <c r="R4183" s="10">
        <v>5.8937676708623065E-5</v>
      </c>
      <c r="S4183" s="10">
        <v>8.796553906517084E-5</v>
      </c>
      <c r="T4183" s="10">
        <v>0</v>
      </c>
      <c r="U4183" s="10">
        <v>9.0080000000000005E-5</v>
      </c>
      <c r="V4183" s="25"/>
      <c r="W4183" s="25"/>
      <c r="X4183" s="25"/>
      <c r="Y4183" s="25"/>
      <c r="Z4183" s="25"/>
      <c r="AA4183" s="25"/>
    </row>
    <row r="4184" spans="1:27" x14ac:dyDescent="0.35">
      <c r="A4184" s="5">
        <v>4180</v>
      </c>
      <c r="B4184" s="5">
        <v>175</v>
      </c>
      <c r="C4184" s="5">
        <v>6</v>
      </c>
      <c r="D4184" s="25">
        <v>1.1415000000000001E-4</v>
      </c>
      <c r="E4184" s="25">
        <v>1.2211000000000001E-4</v>
      </c>
      <c r="F4184" s="25">
        <v>1.1676E-4</v>
      </c>
      <c r="G4184" s="25">
        <v>5.4950000000000001E-5</v>
      </c>
      <c r="H4184" s="25">
        <v>1.5809999999999999E-5</v>
      </c>
      <c r="I4184" s="9">
        <v>9.1169999999999996E-5</v>
      </c>
      <c r="J4184" s="9">
        <v>9.5340000000000005E-5</v>
      </c>
      <c r="K4184" s="9">
        <v>0</v>
      </c>
      <c r="L4184" s="9">
        <v>3.3640000000000003E-5</v>
      </c>
      <c r="M4184" s="9">
        <v>5.0569999999999999E-5</v>
      </c>
      <c r="N4184" s="9">
        <v>6.1929999999999998E-5</v>
      </c>
      <c r="O4184" s="9">
        <v>2.8459999999999999E-5</v>
      </c>
      <c r="P4184" s="9">
        <v>5.134E-5</v>
      </c>
      <c r="Q4184" s="9">
        <v>8.0430000000000001E-5</v>
      </c>
      <c r="R4184" s="10">
        <v>4.539971456611774E-5</v>
      </c>
      <c r="S4184" s="10">
        <v>9.0024064081380045E-5</v>
      </c>
      <c r="T4184" s="10">
        <v>0</v>
      </c>
      <c r="U4184" s="10">
        <v>9.0080000000000005E-5</v>
      </c>
      <c r="V4184" s="25"/>
      <c r="W4184" s="25"/>
      <c r="X4184" s="25"/>
      <c r="Y4184" s="25"/>
      <c r="Z4184" s="25"/>
      <c r="AA4184" s="25"/>
    </row>
    <row r="4185" spans="1:27" x14ac:dyDescent="0.35">
      <c r="A4185" s="5">
        <v>4181</v>
      </c>
      <c r="B4185" s="5">
        <v>175</v>
      </c>
      <c r="C4185" s="5">
        <v>6</v>
      </c>
      <c r="D4185" s="25">
        <v>1.1416E-4</v>
      </c>
      <c r="E4185" s="25">
        <v>1.1620000000000001E-4</v>
      </c>
      <c r="F4185" s="25">
        <v>1.1820999999999999E-4</v>
      </c>
      <c r="G4185" s="25">
        <v>6.1940000000000007E-5</v>
      </c>
      <c r="H4185" s="25">
        <v>1.465E-5</v>
      </c>
      <c r="I4185" s="9">
        <v>9.3280000000000001E-5</v>
      </c>
      <c r="J4185" s="9">
        <v>9.6210000000000002E-5</v>
      </c>
      <c r="K4185" s="9">
        <v>0</v>
      </c>
      <c r="L4185" s="9">
        <v>2.993E-5</v>
      </c>
      <c r="M4185" s="9">
        <v>4.8850000000000002E-5</v>
      </c>
      <c r="N4185" s="9">
        <v>6.4529999999999994E-5</v>
      </c>
      <c r="O4185" s="9">
        <v>2.989E-5</v>
      </c>
      <c r="P4185" s="9">
        <v>5.8629999999999999E-5</v>
      </c>
      <c r="Q4185" s="9">
        <v>9.3170000000000004E-5</v>
      </c>
      <c r="R4185" s="10">
        <v>4.2874747768122606E-5</v>
      </c>
      <c r="S4185" s="10">
        <v>9.8100405008875476E-5</v>
      </c>
      <c r="T4185" s="10">
        <v>2.545289805042755E-7</v>
      </c>
      <c r="U4185" s="10">
        <v>9.0080000000000005E-5</v>
      </c>
      <c r="V4185" s="25"/>
      <c r="W4185" s="25"/>
      <c r="X4185" s="25"/>
      <c r="Y4185" s="25"/>
      <c r="Z4185" s="25"/>
      <c r="AA4185" s="25"/>
    </row>
    <row r="4186" spans="1:27" x14ac:dyDescent="0.35">
      <c r="A4186" s="5">
        <v>4182</v>
      </c>
      <c r="B4186" s="5">
        <v>175</v>
      </c>
      <c r="C4186" s="5">
        <v>6</v>
      </c>
      <c r="D4186" s="25">
        <v>1.1415000000000001E-4</v>
      </c>
      <c r="E4186" s="25">
        <v>1.1355E-4</v>
      </c>
      <c r="F4186" s="25">
        <v>1.1603E-4</v>
      </c>
      <c r="G4186" s="25">
        <v>1.1416E-4</v>
      </c>
      <c r="H4186" s="25">
        <v>2.6469999999999999E-5</v>
      </c>
      <c r="I4186" s="9">
        <v>1.0144E-4</v>
      </c>
      <c r="J4186" s="9">
        <v>1.0485E-4</v>
      </c>
      <c r="K4186" s="9">
        <v>0</v>
      </c>
      <c r="L4186" s="9">
        <v>2.9839999999999999E-5</v>
      </c>
      <c r="M4186" s="9">
        <v>5.2269999999999999E-5</v>
      </c>
      <c r="N4186" s="9">
        <v>7.0989999999999996E-5</v>
      </c>
      <c r="O4186" s="9">
        <v>3.5450000000000001E-5</v>
      </c>
      <c r="P4186" s="9">
        <v>6.8830000000000003E-5</v>
      </c>
      <c r="Q4186" s="9">
        <v>1.0712E-4</v>
      </c>
      <c r="R4186" s="10">
        <v>5.0819242507548489E-5</v>
      </c>
      <c r="S4186" s="10">
        <v>9.1030057574660752E-5</v>
      </c>
      <c r="T4186" s="10">
        <v>1.5967451376968217E-5</v>
      </c>
      <c r="U4186" s="10">
        <v>9.0080000000000005E-5</v>
      </c>
      <c r="V4186" s="25"/>
      <c r="W4186" s="25"/>
      <c r="X4186" s="25"/>
      <c r="Y4186" s="25"/>
      <c r="Z4186" s="25"/>
      <c r="AA4186" s="25"/>
    </row>
    <row r="4187" spans="1:27" x14ac:dyDescent="0.35">
      <c r="A4187" s="5">
        <v>4183</v>
      </c>
      <c r="B4187" s="5">
        <v>175</v>
      </c>
      <c r="C4187" s="5">
        <v>6</v>
      </c>
      <c r="D4187" s="25">
        <v>1.1416E-4</v>
      </c>
      <c r="E4187" s="25">
        <v>1.1487E-4</v>
      </c>
      <c r="F4187" s="25">
        <v>1.2023000000000001E-4</v>
      </c>
      <c r="G4187" s="25">
        <v>1.1211E-4</v>
      </c>
      <c r="H4187" s="25">
        <v>2.7650000000000001E-5</v>
      </c>
      <c r="I4187" s="9">
        <v>1.1179E-4</v>
      </c>
      <c r="J4187" s="9">
        <v>1.1930999999999999E-4</v>
      </c>
      <c r="K4187" s="9">
        <v>0</v>
      </c>
      <c r="L4187" s="9">
        <v>3.4140000000000002E-5</v>
      </c>
      <c r="M4187" s="9">
        <v>5.9249999999999997E-5</v>
      </c>
      <c r="N4187" s="9">
        <v>8.0710000000000005E-5</v>
      </c>
      <c r="O4187" s="9">
        <v>4.9820000000000001E-5</v>
      </c>
      <c r="P4187" s="9">
        <v>8.0149999999999997E-5</v>
      </c>
      <c r="Q4187" s="9">
        <v>1.1322E-4</v>
      </c>
      <c r="R4187" s="10">
        <v>5.6470717224824921E-5</v>
      </c>
      <c r="S4187" s="10">
        <v>7.6867912693371449E-5</v>
      </c>
      <c r="T4187" s="10">
        <v>7.3652202658587183E-5</v>
      </c>
      <c r="U4187" s="10">
        <v>9.0080000000000005E-5</v>
      </c>
      <c r="V4187" s="25"/>
      <c r="W4187" s="25"/>
      <c r="X4187" s="25"/>
      <c r="Y4187" s="25"/>
      <c r="Z4187" s="25"/>
      <c r="AA4187" s="25"/>
    </row>
    <row r="4188" spans="1:27" x14ac:dyDescent="0.35">
      <c r="A4188" s="5">
        <v>4184</v>
      </c>
      <c r="B4188" s="5">
        <v>175</v>
      </c>
      <c r="C4188" s="5">
        <v>6</v>
      </c>
      <c r="D4188" s="25">
        <v>1.1415000000000001E-4</v>
      </c>
      <c r="E4188" s="25">
        <v>1.2468000000000001E-4</v>
      </c>
      <c r="F4188" s="25">
        <v>1.0753E-4</v>
      </c>
      <c r="G4188" s="25">
        <v>1.6210000000000001E-4</v>
      </c>
      <c r="H4188" s="25">
        <v>4.2429999999999999E-5</v>
      </c>
      <c r="I4188" s="9">
        <v>1.1738E-4</v>
      </c>
      <c r="J4188" s="9">
        <v>1.3027000000000001E-4</v>
      </c>
      <c r="K4188" s="9">
        <v>0</v>
      </c>
      <c r="L4188" s="9">
        <v>4.6239999999999998E-5</v>
      </c>
      <c r="M4188" s="9">
        <v>6.8540000000000004E-5</v>
      </c>
      <c r="N4188" s="9">
        <v>9.0970000000000005E-5</v>
      </c>
      <c r="O4188" s="9">
        <v>6.8189999999999996E-5</v>
      </c>
      <c r="P4188" s="9">
        <v>1.0255E-4</v>
      </c>
      <c r="Q4188" s="9">
        <v>1.3655000000000001E-4</v>
      </c>
      <c r="R4188" s="10">
        <v>4.6717670451250914E-5</v>
      </c>
      <c r="S4188" s="10">
        <v>6.647662277819729E-5</v>
      </c>
      <c r="T4188" s="10">
        <v>1.8264151211051796E-4</v>
      </c>
      <c r="U4188" s="10">
        <v>9.0080000000000005E-5</v>
      </c>
      <c r="V4188" s="25"/>
      <c r="W4188" s="25"/>
      <c r="X4188" s="25"/>
      <c r="Y4188" s="25"/>
      <c r="Z4188" s="25"/>
      <c r="AA4188" s="25"/>
    </row>
    <row r="4189" spans="1:27" x14ac:dyDescent="0.35">
      <c r="A4189" s="5">
        <v>4185</v>
      </c>
      <c r="B4189" s="5">
        <v>175</v>
      </c>
      <c r="C4189" s="5">
        <v>6</v>
      </c>
      <c r="D4189" s="25">
        <v>1.1416E-4</v>
      </c>
      <c r="E4189" s="25">
        <v>1.1694E-4</v>
      </c>
      <c r="F4189" s="25">
        <v>1.1112000000000001E-4</v>
      </c>
      <c r="G4189" s="25">
        <v>1.6327E-4</v>
      </c>
      <c r="H4189" s="25">
        <v>4.1940000000000002E-5</v>
      </c>
      <c r="I4189" s="9">
        <v>1.1899E-4</v>
      </c>
      <c r="J4189" s="9">
        <v>1.3617999999999999E-4</v>
      </c>
      <c r="K4189" s="9">
        <v>0</v>
      </c>
      <c r="L4189" s="9">
        <v>6.3029999999999998E-5</v>
      </c>
      <c r="M4189" s="9">
        <v>8.3100000000000001E-5</v>
      </c>
      <c r="N4189" s="9">
        <v>1.0466E-4</v>
      </c>
      <c r="O4189" s="9">
        <v>9.5890000000000005E-5</v>
      </c>
      <c r="P4189" s="9">
        <v>1.3945E-4</v>
      </c>
      <c r="Q4189" s="9">
        <v>1.7817000000000001E-4</v>
      </c>
      <c r="R4189" s="10">
        <v>5.0353333417002168E-5</v>
      </c>
      <c r="S4189" s="10">
        <v>6.2290338282372371E-5</v>
      </c>
      <c r="T4189" s="10">
        <v>2.6470165542509636E-4</v>
      </c>
      <c r="U4189" s="10">
        <v>9.0080000000000005E-5</v>
      </c>
      <c r="V4189" s="25"/>
      <c r="W4189" s="25"/>
      <c r="X4189" s="25"/>
      <c r="Y4189" s="25"/>
      <c r="Z4189" s="25"/>
      <c r="AA4189" s="25"/>
    </row>
    <row r="4190" spans="1:27" x14ac:dyDescent="0.35">
      <c r="A4190" s="5">
        <v>4186</v>
      </c>
      <c r="B4190" s="5">
        <v>175</v>
      </c>
      <c r="C4190" s="5">
        <v>6</v>
      </c>
      <c r="D4190" s="25">
        <v>1.1415000000000001E-4</v>
      </c>
      <c r="E4190" s="25">
        <v>1.1731E-4</v>
      </c>
      <c r="F4190" s="25">
        <v>1.0704000000000001E-4</v>
      </c>
      <c r="G4190" s="25">
        <v>1.6611999999999999E-4</v>
      </c>
      <c r="H4190" s="25">
        <v>4.1850000000000001E-5</v>
      </c>
      <c r="I4190" s="9">
        <v>1.208E-4</v>
      </c>
      <c r="J4190" s="9">
        <v>1.381E-4</v>
      </c>
      <c r="K4190" s="9">
        <v>0</v>
      </c>
      <c r="L4190" s="9">
        <v>8.8220000000000006E-5</v>
      </c>
      <c r="M4190" s="9">
        <v>1.0705E-4</v>
      </c>
      <c r="N4190" s="9">
        <v>1.2495E-4</v>
      </c>
      <c r="O4190" s="9">
        <v>1.1966E-4</v>
      </c>
      <c r="P4190" s="9">
        <v>1.5516999999999999E-4</v>
      </c>
      <c r="Q4190" s="9">
        <v>1.8207E-4</v>
      </c>
      <c r="R4190" s="10">
        <v>3.8981511456386125E-5</v>
      </c>
      <c r="S4190" s="10">
        <v>6.5384877962879219E-5</v>
      </c>
      <c r="T4190" s="10">
        <v>5.3944023698141135E-4</v>
      </c>
      <c r="U4190" s="10">
        <v>9.0080000000000005E-5</v>
      </c>
      <c r="V4190" s="25"/>
      <c r="W4190" s="25"/>
      <c r="X4190" s="25"/>
      <c r="Y4190" s="25"/>
      <c r="Z4190" s="25"/>
      <c r="AA4190" s="25"/>
    </row>
    <row r="4191" spans="1:27" x14ac:dyDescent="0.35">
      <c r="A4191" s="5">
        <v>4187</v>
      </c>
      <c r="B4191" s="5">
        <v>175</v>
      </c>
      <c r="C4191" s="5">
        <v>6</v>
      </c>
      <c r="D4191" s="25">
        <v>1.1416E-4</v>
      </c>
      <c r="E4191" s="25">
        <v>1.1838E-4</v>
      </c>
      <c r="F4191" s="25">
        <v>1.0865E-4</v>
      </c>
      <c r="G4191" s="25">
        <v>1.5917000000000001E-4</v>
      </c>
      <c r="H4191" s="25">
        <v>4.1459999999999999E-5</v>
      </c>
      <c r="I4191" s="9">
        <v>1.2044000000000001E-4</v>
      </c>
      <c r="J4191" s="9">
        <v>1.3996000000000001E-4</v>
      </c>
      <c r="K4191" s="9">
        <v>0</v>
      </c>
      <c r="L4191" s="9">
        <v>1.1213E-4</v>
      </c>
      <c r="M4191" s="9">
        <v>1.3043000000000001E-4</v>
      </c>
      <c r="N4191" s="9">
        <v>1.4301E-4</v>
      </c>
      <c r="O4191" s="9">
        <v>1.2622999999999999E-4</v>
      </c>
      <c r="P4191" s="9">
        <v>1.5731E-4</v>
      </c>
      <c r="Q4191" s="9">
        <v>1.7875000000000001E-4</v>
      </c>
      <c r="R4191" s="10">
        <v>3.0857514630474221E-5</v>
      </c>
      <c r="S4191" s="10">
        <v>7.76722710144421E-5</v>
      </c>
      <c r="T4191" s="10">
        <v>5.5196306282222175E-4</v>
      </c>
      <c r="U4191" s="10">
        <v>9.0080000000000005E-5</v>
      </c>
      <c r="V4191" s="25"/>
      <c r="W4191" s="25"/>
      <c r="X4191" s="25"/>
      <c r="Y4191" s="25"/>
      <c r="Z4191" s="25"/>
      <c r="AA4191" s="25"/>
    </row>
    <row r="4192" spans="1:27" x14ac:dyDescent="0.35">
      <c r="A4192" s="5">
        <v>4188</v>
      </c>
      <c r="B4192" s="5">
        <v>175</v>
      </c>
      <c r="C4192" s="5">
        <v>6</v>
      </c>
      <c r="D4192" s="25">
        <v>1.1415000000000001E-4</v>
      </c>
      <c r="E4192" s="25">
        <v>1.1849999999999999E-4</v>
      </c>
      <c r="F4192" s="25">
        <v>1.0679E-4</v>
      </c>
      <c r="G4192" s="25">
        <v>1.5991000000000001E-4</v>
      </c>
      <c r="H4192" s="25">
        <v>4.121E-5</v>
      </c>
      <c r="I4192" s="9">
        <v>1.1283E-4</v>
      </c>
      <c r="J4192" s="9">
        <v>1.3875000000000001E-4</v>
      </c>
      <c r="K4192" s="9">
        <v>0</v>
      </c>
      <c r="L4192" s="9">
        <v>1.2256999999999999E-4</v>
      </c>
      <c r="M4192" s="9">
        <v>1.4563E-4</v>
      </c>
      <c r="N4192" s="9">
        <v>1.5687000000000001E-4</v>
      </c>
      <c r="O4192" s="9">
        <v>1.2877E-4</v>
      </c>
      <c r="P4192" s="9">
        <v>1.5697000000000001E-4</v>
      </c>
      <c r="Q4192" s="9">
        <v>1.7527999999999999E-4</v>
      </c>
      <c r="R4192" s="10">
        <v>3.1693294968000501E-5</v>
      </c>
      <c r="S4192" s="10">
        <v>8.7527639392526898E-5</v>
      </c>
      <c r="T4192" s="10">
        <v>6.0101928166474573E-4</v>
      </c>
      <c r="U4192" s="10">
        <v>9.0080000000000005E-5</v>
      </c>
      <c r="V4192" s="25"/>
      <c r="W4192" s="25"/>
      <c r="X4192" s="25"/>
      <c r="Y4192" s="25"/>
      <c r="Z4192" s="25"/>
      <c r="AA4192" s="25"/>
    </row>
    <row r="4193" spans="1:27" x14ac:dyDescent="0.35">
      <c r="A4193" s="5">
        <v>4189</v>
      </c>
      <c r="B4193" s="5">
        <v>175</v>
      </c>
      <c r="C4193" s="5">
        <v>6</v>
      </c>
      <c r="D4193" s="25">
        <v>1.1416E-4</v>
      </c>
      <c r="E4193" s="25">
        <v>1.1731999999999999E-4</v>
      </c>
      <c r="F4193" s="25">
        <v>1.1836999999999999E-4</v>
      </c>
      <c r="G4193" s="25">
        <v>1.6179000000000001E-4</v>
      </c>
      <c r="H4193" s="25">
        <v>4.159E-5</v>
      </c>
      <c r="I4193" s="9">
        <v>1.0819000000000001E-4</v>
      </c>
      <c r="J4193" s="9">
        <v>1.3798E-4</v>
      </c>
      <c r="K4193" s="9">
        <v>0</v>
      </c>
      <c r="L4193" s="9">
        <v>1.2726999999999999E-4</v>
      </c>
      <c r="M4193" s="9">
        <v>1.5294000000000001E-4</v>
      </c>
      <c r="N4193" s="9">
        <v>1.6652E-4</v>
      </c>
      <c r="O4193" s="9">
        <v>1.1963E-4</v>
      </c>
      <c r="P4193" s="9">
        <v>1.4694999999999999E-4</v>
      </c>
      <c r="Q4193" s="9">
        <v>1.6567E-4</v>
      </c>
      <c r="R4193" s="10">
        <v>4.3580430894486934E-5</v>
      </c>
      <c r="S4193" s="10">
        <v>1.1782502774497273E-4</v>
      </c>
      <c r="T4193" s="10">
        <v>6.6589023449593551E-4</v>
      </c>
      <c r="U4193" s="10">
        <v>9.0080000000000005E-5</v>
      </c>
      <c r="V4193" s="25"/>
      <c r="W4193" s="25"/>
      <c r="X4193" s="25"/>
      <c r="Y4193" s="25"/>
      <c r="Z4193" s="25"/>
      <c r="AA4193" s="25"/>
    </row>
    <row r="4194" spans="1:27" x14ac:dyDescent="0.35">
      <c r="A4194" s="5">
        <v>4190</v>
      </c>
      <c r="B4194" s="5">
        <v>175</v>
      </c>
      <c r="C4194" s="5">
        <v>6</v>
      </c>
      <c r="D4194" s="25">
        <v>1.1415000000000001E-4</v>
      </c>
      <c r="E4194" s="25">
        <v>1.1375E-4</v>
      </c>
      <c r="F4194" s="25">
        <v>1.0839E-4</v>
      </c>
      <c r="G4194" s="25">
        <v>1.6171999999999999E-4</v>
      </c>
      <c r="H4194" s="25">
        <v>4.2360000000000001E-5</v>
      </c>
      <c r="I4194" s="9">
        <v>1.0788E-4</v>
      </c>
      <c r="J4194" s="9">
        <v>1.3582000000000001E-4</v>
      </c>
      <c r="K4194" s="9">
        <v>0</v>
      </c>
      <c r="L4194" s="9">
        <v>1.2133000000000001E-4</v>
      </c>
      <c r="M4194" s="9">
        <v>1.5221000000000001E-4</v>
      </c>
      <c r="N4194" s="9">
        <v>1.7039E-4</v>
      </c>
      <c r="O4194" s="9">
        <v>1.0613E-4</v>
      </c>
      <c r="P4194" s="9">
        <v>1.3677000000000001E-4</v>
      </c>
      <c r="Q4194" s="9">
        <v>1.6106000000000001E-4</v>
      </c>
      <c r="R4194" s="10">
        <v>6.0051819033625953E-5</v>
      </c>
      <c r="S4194" s="10">
        <v>1.140777829873702E-4</v>
      </c>
      <c r="T4194" s="10">
        <v>4.5894120474725906E-4</v>
      </c>
      <c r="U4194" s="10">
        <v>9.0080000000000005E-5</v>
      </c>
      <c r="V4194" s="25"/>
      <c r="W4194" s="25"/>
      <c r="X4194" s="25"/>
      <c r="Y4194" s="25"/>
      <c r="Z4194" s="25"/>
      <c r="AA4194" s="25"/>
    </row>
    <row r="4195" spans="1:27" x14ac:dyDescent="0.35">
      <c r="A4195" s="5">
        <v>4191</v>
      </c>
      <c r="B4195" s="5">
        <v>175</v>
      </c>
      <c r="C4195" s="5">
        <v>6</v>
      </c>
      <c r="D4195" s="25">
        <v>1.1416E-4</v>
      </c>
      <c r="E4195" s="25">
        <v>1.1989000000000001E-4</v>
      </c>
      <c r="F4195" s="25">
        <v>1.1854E-4</v>
      </c>
      <c r="G4195" s="25">
        <v>1.6059000000000001E-4</v>
      </c>
      <c r="H4195" s="25">
        <v>4.1730000000000002E-5</v>
      </c>
      <c r="I4195" s="9">
        <v>1.1018000000000001E-4</v>
      </c>
      <c r="J4195" s="9">
        <v>1.3522E-4</v>
      </c>
      <c r="K4195" s="9">
        <v>0</v>
      </c>
      <c r="L4195" s="9">
        <v>1.0969E-4</v>
      </c>
      <c r="M4195" s="9">
        <v>1.4619000000000001E-4</v>
      </c>
      <c r="N4195" s="9">
        <v>1.6990000000000001E-4</v>
      </c>
      <c r="O4195" s="9">
        <v>1.1811000000000001E-4</v>
      </c>
      <c r="P4195" s="9">
        <v>1.392E-4</v>
      </c>
      <c r="Q4195" s="9">
        <v>1.5212E-4</v>
      </c>
      <c r="R4195" s="10">
        <v>7.987292344541162E-5</v>
      </c>
      <c r="S4195" s="10">
        <v>1.0238212782914868E-4</v>
      </c>
      <c r="T4195" s="10">
        <v>3.8976022784619705E-4</v>
      </c>
      <c r="U4195" s="10">
        <v>9.0080000000000005E-5</v>
      </c>
      <c r="V4195" s="25"/>
      <c r="W4195" s="25"/>
      <c r="X4195" s="25"/>
      <c r="Y4195" s="25"/>
      <c r="Z4195" s="25"/>
      <c r="AA4195" s="25"/>
    </row>
    <row r="4196" spans="1:27" x14ac:dyDescent="0.35">
      <c r="A4196" s="5">
        <v>4192</v>
      </c>
      <c r="B4196" s="5">
        <v>175</v>
      </c>
      <c r="C4196" s="5">
        <v>6</v>
      </c>
      <c r="D4196" s="25">
        <v>1.1415000000000001E-4</v>
      </c>
      <c r="E4196" s="25">
        <v>1.2197E-4</v>
      </c>
      <c r="F4196" s="25">
        <v>1.1626E-4</v>
      </c>
      <c r="G4196" s="25">
        <v>1.6323999999999999E-4</v>
      </c>
      <c r="H4196" s="25">
        <v>4.1520000000000002E-5</v>
      </c>
      <c r="I4196" s="9">
        <v>1.1263E-4</v>
      </c>
      <c r="J4196" s="9">
        <v>1.3553999999999999E-4</v>
      </c>
      <c r="K4196" s="9">
        <v>0</v>
      </c>
      <c r="L4196" s="9">
        <v>1.166E-4</v>
      </c>
      <c r="M4196" s="9">
        <v>1.4198999999999999E-4</v>
      </c>
      <c r="N4196" s="9">
        <v>1.6589999999999999E-4</v>
      </c>
      <c r="O4196" s="9">
        <v>1.2533999999999999E-4</v>
      </c>
      <c r="P4196" s="9">
        <v>1.2240999999999999E-4</v>
      </c>
      <c r="Q4196" s="9">
        <v>1.1066E-4</v>
      </c>
      <c r="R4196" s="10">
        <v>1.015405535546228E-4</v>
      </c>
      <c r="S4196" s="10">
        <v>9.057281066092058E-5</v>
      </c>
      <c r="T4196" s="10">
        <v>3.9999229286246892E-4</v>
      </c>
      <c r="U4196" s="10">
        <v>9.0080000000000005E-5</v>
      </c>
      <c r="V4196" s="25"/>
      <c r="W4196" s="25"/>
      <c r="X4196" s="25"/>
      <c r="Y4196" s="25"/>
      <c r="Z4196" s="25"/>
      <c r="AA4196" s="25"/>
    </row>
    <row r="4197" spans="1:27" x14ac:dyDescent="0.35">
      <c r="A4197" s="5">
        <v>4193</v>
      </c>
      <c r="B4197" s="5">
        <v>175</v>
      </c>
      <c r="C4197" s="5">
        <v>6</v>
      </c>
      <c r="D4197" s="25">
        <v>1.1416E-4</v>
      </c>
      <c r="E4197" s="25">
        <v>1.1372E-4</v>
      </c>
      <c r="F4197" s="25">
        <v>1.2247000000000001E-4</v>
      </c>
      <c r="G4197" s="25">
        <v>1.6058000000000001E-4</v>
      </c>
      <c r="H4197" s="25">
        <v>4.1329999999999999E-5</v>
      </c>
      <c r="I4197" s="9">
        <v>1.1707E-4</v>
      </c>
      <c r="J4197" s="9">
        <v>1.3694999999999999E-4</v>
      </c>
      <c r="K4197" s="9">
        <v>0</v>
      </c>
      <c r="L4197" s="9">
        <v>1.2318E-4</v>
      </c>
      <c r="M4197" s="9">
        <v>1.3402999999999999E-4</v>
      </c>
      <c r="N4197" s="9">
        <v>1.5239999999999999E-4</v>
      </c>
      <c r="O4197" s="9">
        <v>1.2992E-4</v>
      </c>
      <c r="P4197" s="9">
        <v>1.2347000000000001E-4</v>
      </c>
      <c r="Q4197" s="9">
        <v>1.0745E-4</v>
      </c>
      <c r="R4197" s="10">
        <v>1.1396044593031114E-4</v>
      </c>
      <c r="S4197" s="10">
        <v>7.5615223707088011E-5</v>
      </c>
      <c r="T4197" s="10">
        <v>3.2946231236473421E-4</v>
      </c>
      <c r="U4197" s="10">
        <v>9.0080000000000005E-5</v>
      </c>
      <c r="V4197" s="25"/>
      <c r="W4197" s="25"/>
      <c r="X4197" s="25"/>
      <c r="Y4197" s="25"/>
      <c r="Z4197" s="25"/>
      <c r="AA4197" s="25"/>
    </row>
    <row r="4198" spans="1:27" x14ac:dyDescent="0.35">
      <c r="A4198" s="5">
        <v>4194</v>
      </c>
      <c r="B4198" s="5">
        <v>175</v>
      </c>
      <c r="C4198" s="5">
        <v>6</v>
      </c>
      <c r="D4198" s="25">
        <v>1.1415000000000001E-4</v>
      </c>
      <c r="E4198" s="25">
        <v>1.2069E-4</v>
      </c>
      <c r="F4198" s="25">
        <v>1.0613E-4</v>
      </c>
      <c r="G4198" s="25">
        <v>1.6688E-4</v>
      </c>
      <c r="H4198" s="25">
        <v>4.053E-5</v>
      </c>
      <c r="I4198" s="9">
        <v>1.1984E-4</v>
      </c>
      <c r="J4198" s="9">
        <v>1.3301E-4</v>
      </c>
      <c r="K4198" s="9">
        <v>0</v>
      </c>
      <c r="L4198" s="9">
        <v>1.2815999999999999E-4</v>
      </c>
      <c r="M4198" s="9">
        <v>1.2820999999999999E-4</v>
      </c>
      <c r="N4198" s="9">
        <v>1.3913E-4</v>
      </c>
      <c r="O4198" s="9">
        <v>1.3045E-4</v>
      </c>
      <c r="P4198" s="9">
        <v>1.2912000000000001E-4</v>
      </c>
      <c r="Q4198" s="9">
        <v>1.1804E-4</v>
      </c>
      <c r="R4198" s="10">
        <v>1.0951746899435506E-4</v>
      </c>
      <c r="S4198" s="10">
        <v>5.4916973145509529E-5</v>
      </c>
      <c r="T4198" s="10">
        <v>1.67700660954917E-4</v>
      </c>
      <c r="U4198" s="10">
        <v>9.0080000000000005E-5</v>
      </c>
      <c r="V4198" s="25"/>
      <c r="W4198" s="25"/>
      <c r="X4198" s="25"/>
      <c r="Y4198" s="25"/>
      <c r="Z4198" s="25"/>
      <c r="AA4198" s="25"/>
    </row>
    <row r="4199" spans="1:27" x14ac:dyDescent="0.35">
      <c r="A4199" s="5">
        <v>4195</v>
      </c>
      <c r="B4199" s="5">
        <v>175</v>
      </c>
      <c r="C4199" s="5">
        <v>6</v>
      </c>
      <c r="D4199" s="25">
        <v>1.1416E-4</v>
      </c>
      <c r="E4199" s="25">
        <v>1.1632E-4</v>
      </c>
      <c r="F4199" s="25">
        <v>1.1189E-4</v>
      </c>
      <c r="G4199" s="25">
        <v>1.063E-4</v>
      </c>
      <c r="H4199" s="25">
        <v>2.7359999999999999E-5</v>
      </c>
      <c r="I4199" s="9">
        <v>1.1943999999999999E-4</v>
      </c>
      <c r="J4199" s="9">
        <v>1.2986000000000001E-4</v>
      </c>
      <c r="K4199" s="9">
        <v>0</v>
      </c>
      <c r="L4199" s="9">
        <v>1.2987E-4</v>
      </c>
      <c r="M4199" s="9">
        <v>1.2719000000000001E-4</v>
      </c>
      <c r="N4199" s="9">
        <v>1.3020999999999999E-4</v>
      </c>
      <c r="O4199" s="9">
        <v>1.2972E-4</v>
      </c>
      <c r="P4199" s="9">
        <v>1.2285E-4</v>
      </c>
      <c r="Q4199" s="9">
        <v>1.0632999999999999E-4</v>
      </c>
      <c r="R4199" s="10">
        <v>8.5673560448791344E-5</v>
      </c>
      <c r="S4199" s="10">
        <v>4.0159137093784688E-5</v>
      </c>
      <c r="T4199" s="10">
        <v>5.4011049663007256E-5</v>
      </c>
      <c r="U4199" s="10">
        <v>9.0080000000000005E-5</v>
      </c>
      <c r="V4199" s="25"/>
      <c r="W4199" s="25"/>
      <c r="X4199" s="25"/>
      <c r="Y4199" s="25"/>
      <c r="Z4199" s="25"/>
      <c r="AA4199" s="25"/>
    </row>
    <row r="4200" spans="1:27" x14ac:dyDescent="0.35">
      <c r="A4200" s="5">
        <v>4196</v>
      </c>
      <c r="B4200" s="5">
        <v>175</v>
      </c>
      <c r="C4200" s="5">
        <v>6</v>
      </c>
      <c r="D4200" s="25">
        <v>1.1415000000000001E-4</v>
      </c>
      <c r="E4200" s="25">
        <v>1.2193000000000001E-4</v>
      </c>
      <c r="F4200" s="25">
        <v>1.12E-4</v>
      </c>
      <c r="G4200" s="25">
        <v>1.1243000000000001E-4</v>
      </c>
      <c r="H4200" s="25">
        <v>2.7800000000000001E-5</v>
      </c>
      <c r="I4200" s="9">
        <v>1.1634E-4</v>
      </c>
      <c r="J4200" s="9">
        <v>1.2695E-4</v>
      </c>
      <c r="K4200" s="9">
        <v>0</v>
      </c>
      <c r="L4200" s="9">
        <v>1.2975000000000001E-4</v>
      </c>
      <c r="M4200" s="9">
        <v>1.2563E-4</v>
      </c>
      <c r="N4200" s="9">
        <v>1.2094E-4</v>
      </c>
      <c r="O4200" s="9">
        <v>1.3234999999999999E-4</v>
      </c>
      <c r="P4200" s="9">
        <v>1.2195E-4</v>
      </c>
      <c r="Q4200" s="9">
        <v>1.016E-4</v>
      </c>
      <c r="R4200" s="10">
        <v>5.9570978739466386E-5</v>
      </c>
      <c r="S4200" s="10">
        <v>2.9101416185608083E-5</v>
      </c>
      <c r="T4200" s="10">
        <v>1.257373163691121E-5</v>
      </c>
      <c r="U4200" s="10">
        <v>9.0080000000000005E-5</v>
      </c>
      <c r="V4200" s="25"/>
      <c r="W4200" s="25"/>
      <c r="X4200" s="25"/>
      <c r="Y4200" s="25"/>
      <c r="Z4200" s="25"/>
      <c r="AA4200" s="25"/>
    </row>
    <row r="4201" spans="1:27" x14ac:dyDescent="0.35">
      <c r="A4201" s="5">
        <v>4197</v>
      </c>
      <c r="B4201" s="5">
        <v>175</v>
      </c>
      <c r="C4201" s="5">
        <v>6</v>
      </c>
      <c r="D4201" s="25">
        <v>1.1416E-4</v>
      </c>
      <c r="E4201" s="25">
        <v>1.1546E-4</v>
      </c>
      <c r="F4201" s="25">
        <v>1.2118E-4</v>
      </c>
      <c r="G4201" s="25">
        <v>6.1749999999999997E-5</v>
      </c>
      <c r="H4201" s="25">
        <v>1.521E-5</v>
      </c>
      <c r="I4201" s="9">
        <v>1.093E-4</v>
      </c>
      <c r="J4201" s="9">
        <v>1.2282999999999999E-4</v>
      </c>
      <c r="K4201" s="9">
        <v>0</v>
      </c>
      <c r="L4201" s="9">
        <v>1.3181E-4</v>
      </c>
      <c r="M4201" s="9">
        <v>1.2391E-4</v>
      </c>
      <c r="N4201" s="9">
        <v>1.132E-4</v>
      </c>
      <c r="O4201" s="9">
        <v>8.2189999999999997E-5</v>
      </c>
      <c r="P4201" s="9">
        <v>8.6310000000000005E-5</v>
      </c>
      <c r="Q4201" s="9">
        <v>8.831E-5</v>
      </c>
      <c r="R4201" s="10">
        <v>4.4294234760702339E-5</v>
      </c>
      <c r="S4201" s="10">
        <v>2.2648990964227849E-5</v>
      </c>
      <c r="T4201" s="10">
        <v>0</v>
      </c>
      <c r="U4201" s="10">
        <v>9.0080000000000005E-5</v>
      </c>
      <c r="V4201" s="25"/>
      <c r="W4201" s="25"/>
      <c r="X4201" s="25"/>
      <c r="Y4201" s="25"/>
      <c r="Z4201" s="25"/>
      <c r="AA4201" s="25"/>
    </row>
    <row r="4202" spans="1:27" x14ac:dyDescent="0.35">
      <c r="A4202" s="5">
        <v>4198</v>
      </c>
      <c r="B4202" s="5">
        <v>175</v>
      </c>
      <c r="C4202" s="5">
        <v>6</v>
      </c>
      <c r="D4202" s="25">
        <v>1.1415000000000001E-4</v>
      </c>
      <c r="E4202" s="25">
        <v>1.2142999999999999E-4</v>
      </c>
      <c r="F4202" s="25">
        <v>1.2451000000000001E-4</v>
      </c>
      <c r="G4202" s="25">
        <v>6.2920000000000001E-5</v>
      </c>
      <c r="H4202" s="25">
        <v>1.365E-5</v>
      </c>
      <c r="I4202" s="9">
        <v>1.0984000000000001E-4</v>
      </c>
      <c r="J4202" s="9">
        <v>1.1971E-4</v>
      </c>
      <c r="K4202" s="9">
        <v>0</v>
      </c>
      <c r="L4202" s="9">
        <v>9.3049999999999998E-5</v>
      </c>
      <c r="M4202" s="9">
        <v>1.0991E-4</v>
      </c>
      <c r="N4202" s="9">
        <v>1.0556E-4</v>
      </c>
      <c r="O4202" s="9">
        <v>8.4400000000000005E-5</v>
      </c>
      <c r="P4202" s="9">
        <v>8.7529999999999997E-5</v>
      </c>
      <c r="Q4202" s="9">
        <v>8.8170000000000005E-5</v>
      </c>
      <c r="R4202" s="10">
        <v>3.3519956441052967E-5</v>
      </c>
      <c r="S4202" s="10">
        <v>2.0168425916167448E-5</v>
      </c>
      <c r="T4202" s="10">
        <v>0</v>
      </c>
      <c r="U4202" s="10">
        <v>9.0080000000000005E-5</v>
      </c>
      <c r="V4202" s="25"/>
      <c r="W4202" s="25"/>
      <c r="X4202" s="25"/>
      <c r="Y4202" s="25"/>
      <c r="Z4202" s="25"/>
      <c r="AA4202" s="25"/>
    </row>
    <row r="4203" spans="1:27" x14ac:dyDescent="0.35">
      <c r="A4203" s="5">
        <v>4199</v>
      </c>
      <c r="B4203" s="5">
        <v>175</v>
      </c>
      <c r="C4203" s="5">
        <v>6</v>
      </c>
      <c r="D4203" s="25">
        <v>1.1416E-4</v>
      </c>
      <c r="E4203" s="25">
        <v>1.1434000000000001E-4</v>
      </c>
      <c r="F4203" s="25">
        <v>1.1764000000000001E-4</v>
      </c>
      <c r="G4203" s="25">
        <v>5.5090000000000003E-5</v>
      </c>
      <c r="H4203" s="25">
        <v>1.4800000000000001E-5</v>
      </c>
      <c r="I4203" s="9">
        <v>1.0597E-4</v>
      </c>
      <c r="J4203" s="9">
        <v>1.1408000000000001E-4</v>
      </c>
      <c r="K4203" s="9">
        <v>0</v>
      </c>
      <c r="L4203" s="9">
        <v>8.7369999999999999E-5</v>
      </c>
      <c r="M4203" s="9">
        <v>9.8099999999999999E-5</v>
      </c>
      <c r="N4203" s="9">
        <v>9.9710000000000006E-5</v>
      </c>
      <c r="O4203" s="9">
        <v>8.2890000000000001E-5</v>
      </c>
      <c r="P4203" s="9">
        <v>7.6169999999999997E-5</v>
      </c>
      <c r="Q4203" s="9">
        <v>6.7470000000000003E-5</v>
      </c>
      <c r="R4203" s="10">
        <v>2.5215236538758163E-5</v>
      </c>
      <c r="S4203" s="10">
        <v>2.0739837724186823E-5</v>
      </c>
      <c r="T4203" s="10">
        <v>0</v>
      </c>
      <c r="U4203" s="10">
        <v>9.0080000000000005E-5</v>
      </c>
      <c r="V4203" s="25"/>
      <c r="W4203" s="25"/>
      <c r="X4203" s="25"/>
      <c r="Y4203" s="25"/>
      <c r="Z4203" s="25"/>
      <c r="AA4203" s="25"/>
    </row>
    <row r="4204" spans="1:27" x14ac:dyDescent="0.35">
      <c r="A4204" s="5">
        <v>4200</v>
      </c>
      <c r="B4204" s="5">
        <v>175</v>
      </c>
      <c r="C4204" s="5">
        <v>6</v>
      </c>
      <c r="D4204" s="25">
        <v>1.1415000000000001E-4</v>
      </c>
      <c r="E4204" s="25">
        <v>1.2248000000000001E-4</v>
      </c>
      <c r="F4204" s="25">
        <v>1.0407E-4</v>
      </c>
      <c r="G4204" s="25">
        <v>5.6190000000000002E-5</v>
      </c>
      <c r="H4204" s="25">
        <v>1.6079999999999999E-5</v>
      </c>
      <c r="I4204" s="9">
        <v>9.9380000000000001E-5</v>
      </c>
      <c r="J4204" s="9">
        <v>1.0637E-4</v>
      </c>
      <c r="K4204" s="9">
        <v>0</v>
      </c>
      <c r="L4204" s="9">
        <v>8.407E-5</v>
      </c>
      <c r="M4204" s="9">
        <v>8.7440000000000003E-5</v>
      </c>
      <c r="N4204" s="9">
        <v>9.0569999999999995E-5</v>
      </c>
      <c r="O4204" s="9">
        <v>7.7119999999999993E-5</v>
      </c>
      <c r="P4204" s="9">
        <v>6.8429999999999994E-5</v>
      </c>
      <c r="Q4204" s="9">
        <v>5.8579999999999998E-5</v>
      </c>
      <c r="R4204" s="10">
        <v>1.7572781718885848E-5</v>
      </c>
      <c r="S4204" s="10">
        <v>2.5607902641579798E-5</v>
      </c>
      <c r="T4204" s="10">
        <v>0</v>
      </c>
      <c r="U4204" s="10">
        <v>9.0080000000000005E-5</v>
      </c>
      <c r="V4204" s="25"/>
      <c r="W4204" s="25"/>
      <c r="X4204" s="25"/>
      <c r="Y4204" s="25"/>
      <c r="Z4204" s="25"/>
      <c r="AA4204" s="25"/>
    </row>
    <row r="4205" spans="1:27" x14ac:dyDescent="0.35">
      <c r="A4205" s="5">
        <v>4201</v>
      </c>
      <c r="B4205" s="5">
        <v>176</v>
      </c>
      <c r="C4205" s="5">
        <v>6</v>
      </c>
      <c r="D4205" s="25">
        <v>1.1416E-4</v>
      </c>
      <c r="E4205" s="25">
        <v>1.1744E-4</v>
      </c>
      <c r="F4205" s="25">
        <v>1.2632E-4</v>
      </c>
      <c r="G4205" s="25">
        <v>5.5470000000000003E-5</v>
      </c>
      <c r="H4205" s="25">
        <v>7.5519999999999995E-5</v>
      </c>
      <c r="I4205" s="9">
        <v>9.4729999999999996E-5</v>
      </c>
      <c r="J4205" s="9">
        <v>1.0004E-4</v>
      </c>
      <c r="K4205" s="9">
        <v>0</v>
      </c>
      <c r="L4205" s="9">
        <v>7.8449999999999996E-5</v>
      </c>
      <c r="M4205" s="9">
        <v>7.8189999999999995E-5</v>
      </c>
      <c r="N4205" s="9">
        <v>8.1130000000000004E-5</v>
      </c>
      <c r="O4205" s="9">
        <v>5.4799999999999997E-5</v>
      </c>
      <c r="P4205" s="9">
        <v>5.4219999999999999E-5</v>
      </c>
      <c r="Q4205" s="9">
        <v>5.3789999999999998E-5</v>
      </c>
      <c r="R4205" s="10">
        <v>2.4846670740116893E-5</v>
      </c>
      <c r="S4205" s="10">
        <v>3.0004253351746476E-5</v>
      </c>
      <c r="T4205" s="10">
        <v>0</v>
      </c>
      <c r="U4205" s="10">
        <v>8.7479999999999996E-5</v>
      </c>
      <c r="V4205" s="25"/>
      <c r="W4205" s="25"/>
      <c r="X4205" s="25"/>
      <c r="Y4205" s="25"/>
      <c r="Z4205" s="25"/>
      <c r="AA4205" s="25"/>
    </row>
    <row r="4206" spans="1:27" x14ac:dyDescent="0.35">
      <c r="A4206" s="5">
        <v>4202</v>
      </c>
      <c r="B4206" s="5">
        <v>176</v>
      </c>
      <c r="C4206" s="5">
        <v>6</v>
      </c>
      <c r="D4206" s="25">
        <v>1.1415000000000001E-4</v>
      </c>
      <c r="E4206" s="25">
        <v>1.2266999999999999E-4</v>
      </c>
      <c r="F4206" s="25">
        <v>1.2376999999999999E-4</v>
      </c>
      <c r="G4206" s="25">
        <v>6.2059999999999999E-5</v>
      </c>
      <c r="H4206" s="25">
        <v>6.4519999999999999E-5</v>
      </c>
      <c r="I4206" s="9">
        <v>9.2020000000000003E-5</v>
      </c>
      <c r="J4206" s="9">
        <v>9.7650000000000002E-5</v>
      </c>
      <c r="K4206" s="9">
        <v>0</v>
      </c>
      <c r="L4206" s="9">
        <v>6.0149999999999998E-5</v>
      </c>
      <c r="M4206" s="9">
        <v>6.7379999999999995E-5</v>
      </c>
      <c r="N4206" s="9">
        <v>7.2130000000000002E-5</v>
      </c>
      <c r="O4206" s="9">
        <v>2.4119999999999999E-5</v>
      </c>
      <c r="P4206" s="9">
        <v>3.7740000000000001E-5</v>
      </c>
      <c r="Q4206" s="9">
        <v>5.6159999999999998E-5</v>
      </c>
      <c r="R4206" s="10">
        <v>3.7416307685527036E-5</v>
      </c>
      <c r="S4206" s="10">
        <v>3.4089522100553822E-5</v>
      </c>
      <c r="T4206" s="10">
        <v>0</v>
      </c>
      <c r="U4206" s="10">
        <v>8.7479999999999996E-5</v>
      </c>
      <c r="V4206" s="25"/>
      <c r="W4206" s="25"/>
      <c r="X4206" s="25"/>
      <c r="Y4206" s="25"/>
      <c r="Z4206" s="25"/>
      <c r="AA4206" s="25"/>
    </row>
    <row r="4207" spans="1:27" x14ac:dyDescent="0.35">
      <c r="A4207" s="5">
        <v>4203</v>
      </c>
      <c r="B4207" s="5">
        <v>176</v>
      </c>
      <c r="C4207" s="5">
        <v>6</v>
      </c>
      <c r="D4207" s="25">
        <v>1.1416E-4</v>
      </c>
      <c r="E4207" s="25">
        <v>1.2001E-4</v>
      </c>
      <c r="F4207" s="25">
        <v>1.1109E-4</v>
      </c>
      <c r="G4207" s="25">
        <v>6.3180000000000002E-5</v>
      </c>
      <c r="H4207" s="25">
        <v>7.4530000000000006E-5</v>
      </c>
      <c r="I4207" s="9">
        <v>9.0179999999999994E-5</v>
      </c>
      <c r="J4207" s="9">
        <v>9.6299999999999996E-5</v>
      </c>
      <c r="K4207" s="9">
        <v>0</v>
      </c>
      <c r="L4207" s="9">
        <v>3.2549999999999998E-5</v>
      </c>
      <c r="M4207" s="9">
        <v>5.4060000000000001E-5</v>
      </c>
      <c r="N4207" s="9">
        <v>6.5569999999999997E-5</v>
      </c>
      <c r="O4207" s="9">
        <v>1.944E-5</v>
      </c>
      <c r="P4207" s="9">
        <v>3.7719999999999998E-5</v>
      </c>
      <c r="Q4207" s="9">
        <v>6.1480000000000001E-5</v>
      </c>
      <c r="R4207" s="10">
        <v>5.2341131584507077E-5</v>
      </c>
      <c r="S4207" s="10">
        <v>3.4281580166791927E-5</v>
      </c>
      <c r="T4207" s="10">
        <v>0</v>
      </c>
      <c r="U4207" s="10">
        <v>8.7479999999999996E-5</v>
      </c>
      <c r="V4207" s="25"/>
      <c r="W4207" s="25"/>
      <c r="X4207" s="25"/>
      <c r="Y4207" s="25"/>
      <c r="Z4207" s="25"/>
      <c r="AA4207" s="25"/>
    </row>
    <row r="4208" spans="1:27" x14ac:dyDescent="0.35">
      <c r="A4208" s="5">
        <v>4204</v>
      </c>
      <c r="B4208" s="5">
        <v>176</v>
      </c>
      <c r="C4208" s="5">
        <v>6</v>
      </c>
      <c r="D4208" s="25">
        <v>1.1415000000000001E-4</v>
      </c>
      <c r="E4208" s="25">
        <v>1.2161E-4</v>
      </c>
      <c r="F4208" s="25">
        <v>1.3166E-4</v>
      </c>
      <c r="G4208" s="25">
        <v>5.2649999999999999E-5</v>
      </c>
      <c r="H4208" s="25">
        <v>6.9590000000000003E-5</v>
      </c>
      <c r="I4208" s="9">
        <v>9.0370000000000004E-5</v>
      </c>
      <c r="J4208" s="9">
        <v>9.6420000000000002E-5</v>
      </c>
      <c r="K4208" s="9">
        <v>0</v>
      </c>
      <c r="L4208" s="9">
        <v>2.3059999999999999E-5</v>
      </c>
      <c r="M4208" s="9">
        <v>4.4969999999999998E-5</v>
      </c>
      <c r="N4208" s="9">
        <v>6.1970000000000005E-5</v>
      </c>
      <c r="O4208" s="9">
        <v>1.9349999999999999E-5</v>
      </c>
      <c r="P4208" s="9">
        <v>4.6940000000000001E-5</v>
      </c>
      <c r="Q4208" s="9">
        <v>7.983E-5</v>
      </c>
      <c r="R4208" s="10">
        <v>6.5744115926394853E-5</v>
      </c>
      <c r="S4208" s="10">
        <v>3.1562190440335465E-5</v>
      </c>
      <c r="T4208" s="10">
        <v>0</v>
      </c>
      <c r="U4208" s="10">
        <v>8.7479999999999996E-5</v>
      </c>
      <c r="V4208" s="25"/>
      <c r="W4208" s="25"/>
      <c r="X4208" s="25"/>
      <c r="Y4208" s="25"/>
      <c r="Z4208" s="25"/>
      <c r="AA4208" s="25"/>
    </row>
    <row r="4209" spans="1:27" x14ac:dyDescent="0.35">
      <c r="A4209" s="5">
        <v>4205</v>
      </c>
      <c r="B4209" s="5">
        <v>176</v>
      </c>
      <c r="C4209" s="5">
        <v>6</v>
      </c>
      <c r="D4209" s="25">
        <v>1.1416E-4</v>
      </c>
      <c r="E4209" s="25">
        <v>1.1642E-4</v>
      </c>
      <c r="F4209" s="25">
        <v>1.1790000000000001E-4</v>
      </c>
      <c r="G4209" s="25">
        <v>5.533E-5</v>
      </c>
      <c r="H4209" s="25">
        <v>6.7929999999999995E-5</v>
      </c>
      <c r="I4209" s="9">
        <v>9.0400000000000002E-5</v>
      </c>
      <c r="J4209" s="9">
        <v>9.6910000000000006E-5</v>
      </c>
      <c r="K4209" s="9">
        <v>0</v>
      </c>
      <c r="L4209" s="9">
        <v>2.031E-5</v>
      </c>
      <c r="M4209" s="9">
        <v>4.367E-5</v>
      </c>
      <c r="N4209" s="9">
        <v>6.436E-5</v>
      </c>
      <c r="O4209" s="9">
        <v>2.427E-5</v>
      </c>
      <c r="P4209" s="9">
        <v>5.6969999999999998E-5</v>
      </c>
      <c r="Q4209" s="9">
        <v>9.4199999999999999E-5</v>
      </c>
      <c r="R4209" s="10">
        <v>7.9369393816991609E-5</v>
      </c>
      <c r="S4209" s="10">
        <v>2.2764520342806577E-5</v>
      </c>
      <c r="T4209" s="10">
        <v>1.4134842717337435E-5</v>
      </c>
      <c r="U4209" s="10">
        <v>8.7479999999999996E-5</v>
      </c>
      <c r="V4209" s="25"/>
      <c r="W4209" s="25"/>
      <c r="X4209" s="25"/>
      <c r="Y4209" s="25"/>
      <c r="Z4209" s="25"/>
      <c r="AA4209" s="25"/>
    </row>
    <row r="4210" spans="1:27" x14ac:dyDescent="0.35">
      <c r="A4210" s="5">
        <v>4206</v>
      </c>
      <c r="B4210" s="5">
        <v>176</v>
      </c>
      <c r="C4210" s="5">
        <v>6</v>
      </c>
      <c r="D4210" s="25">
        <v>1.1415000000000001E-4</v>
      </c>
      <c r="E4210" s="25">
        <v>1.1537E-4</v>
      </c>
      <c r="F4210" s="25">
        <v>1.2087999999999999E-4</v>
      </c>
      <c r="G4210" s="25">
        <v>1.1195E-4</v>
      </c>
      <c r="H4210" s="25">
        <v>1.3128E-4</v>
      </c>
      <c r="I4210" s="9">
        <v>9.7529999999999996E-5</v>
      </c>
      <c r="J4210" s="9">
        <v>1.0507E-4</v>
      </c>
      <c r="K4210" s="9">
        <v>0</v>
      </c>
      <c r="L4210" s="9">
        <v>2.3289999999999999E-5</v>
      </c>
      <c r="M4210" s="9">
        <v>4.8489999999999998E-5</v>
      </c>
      <c r="N4210" s="9">
        <v>7.1030000000000003E-5</v>
      </c>
      <c r="O4210" s="9">
        <v>4.7169999999999997E-5</v>
      </c>
      <c r="P4210" s="9">
        <v>7.6310000000000006E-5</v>
      </c>
      <c r="Q4210" s="9">
        <v>1.0626E-4</v>
      </c>
      <c r="R4210" s="10">
        <v>8.8480988415075827E-5</v>
      </c>
      <c r="S4210" s="10">
        <v>1.5961401505609713E-5</v>
      </c>
      <c r="T4210" s="10">
        <v>3.8552656247047588E-5</v>
      </c>
      <c r="U4210" s="10">
        <v>8.7479999999999996E-5</v>
      </c>
      <c r="V4210" s="25"/>
      <c r="W4210" s="25"/>
      <c r="X4210" s="25"/>
      <c r="Y4210" s="25"/>
      <c r="Z4210" s="25"/>
      <c r="AA4210" s="25"/>
    </row>
    <row r="4211" spans="1:27" x14ac:dyDescent="0.35">
      <c r="A4211" s="5">
        <v>4207</v>
      </c>
      <c r="B4211" s="5">
        <v>176</v>
      </c>
      <c r="C4211" s="5">
        <v>6</v>
      </c>
      <c r="D4211" s="25">
        <v>1.1416E-4</v>
      </c>
      <c r="E4211" s="25">
        <v>1.1602E-4</v>
      </c>
      <c r="F4211" s="25">
        <v>1.2505E-4</v>
      </c>
      <c r="G4211" s="25">
        <v>1.1158E-4</v>
      </c>
      <c r="H4211" s="25">
        <v>1.3711999999999999E-4</v>
      </c>
      <c r="I4211" s="9">
        <v>1.0579E-4</v>
      </c>
      <c r="J4211" s="9">
        <v>1.1959999999999999E-4</v>
      </c>
      <c r="K4211" s="9">
        <v>0</v>
      </c>
      <c r="L4211" s="9">
        <v>4.1789999999999998E-5</v>
      </c>
      <c r="M4211" s="9">
        <v>5.9880000000000003E-5</v>
      </c>
      <c r="N4211" s="9">
        <v>8.0560000000000001E-5</v>
      </c>
      <c r="O4211" s="9">
        <v>1.1226E-4</v>
      </c>
      <c r="P4211" s="9">
        <v>1.1658E-4</v>
      </c>
      <c r="Q4211" s="9">
        <v>1.1167000000000001E-4</v>
      </c>
      <c r="R4211" s="10">
        <v>8.7265267942000793E-5</v>
      </c>
      <c r="S4211" s="10">
        <v>1.4324579159915835E-5</v>
      </c>
      <c r="T4211" s="10">
        <v>1.6959265970999875E-4</v>
      </c>
      <c r="U4211" s="10">
        <v>8.7479999999999996E-5</v>
      </c>
      <c r="V4211" s="25"/>
      <c r="W4211" s="25"/>
      <c r="X4211" s="25"/>
      <c r="Y4211" s="25"/>
      <c r="Z4211" s="25"/>
      <c r="AA4211" s="25"/>
    </row>
    <row r="4212" spans="1:27" x14ac:dyDescent="0.35">
      <c r="A4212" s="5">
        <v>4208</v>
      </c>
      <c r="B4212" s="5">
        <v>176</v>
      </c>
      <c r="C4212" s="5">
        <v>6</v>
      </c>
      <c r="D4212" s="25">
        <v>1.1415000000000001E-4</v>
      </c>
      <c r="E4212" s="25">
        <v>1.1904E-4</v>
      </c>
      <c r="F4212" s="25">
        <v>1.237E-4</v>
      </c>
      <c r="G4212" s="25">
        <v>1.6458E-4</v>
      </c>
      <c r="H4212" s="25">
        <v>1.9665000000000001E-4</v>
      </c>
      <c r="I4212" s="9">
        <v>1.1168E-4</v>
      </c>
      <c r="J4212" s="9">
        <v>1.3085000000000001E-4</v>
      </c>
      <c r="K4212" s="9">
        <v>0</v>
      </c>
      <c r="L4212" s="9">
        <v>9.6230000000000005E-5</v>
      </c>
      <c r="M4212" s="9">
        <v>8.3239999999999996E-5</v>
      </c>
      <c r="N4212" s="9">
        <v>9.0500000000000004E-5</v>
      </c>
      <c r="O4212" s="9">
        <v>1.9464999999999999E-4</v>
      </c>
      <c r="P4212" s="9">
        <v>1.7652E-4</v>
      </c>
      <c r="Q4212" s="9">
        <v>1.3636E-4</v>
      </c>
      <c r="R4212" s="10">
        <v>7.5252126354040204E-5</v>
      </c>
      <c r="S4212" s="10">
        <v>1.4438822743724952E-5</v>
      </c>
      <c r="T4212" s="10">
        <v>3.4463223960278904E-4</v>
      </c>
      <c r="U4212" s="10">
        <v>8.7479999999999996E-5</v>
      </c>
      <c r="V4212" s="25"/>
      <c r="W4212" s="25"/>
      <c r="X4212" s="25"/>
      <c r="Y4212" s="25"/>
      <c r="Z4212" s="25"/>
      <c r="AA4212" s="25"/>
    </row>
    <row r="4213" spans="1:27" x14ac:dyDescent="0.35">
      <c r="A4213" s="5">
        <v>4209</v>
      </c>
      <c r="B4213" s="5">
        <v>176</v>
      </c>
      <c r="C4213" s="5">
        <v>6</v>
      </c>
      <c r="D4213" s="25">
        <v>1.1416E-4</v>
      </c>
      <c r="E4213" s="25">
        <v>1.1304E-4</v>
      </c>
      <c r="F4213" s="25">
        <v>1.2009E-4</v>
      </c>
      <c r="G4213" s="25">
        <v>1.594E-4</v>
      </c>
      <c r="H4213" s="25">
        <v>1.8825999999999999E-4</v>
      </c>
      <c r="I4213" s="9">
        <v>1.1569E-4</v>
      </c>
      <c r="J4213" s="9">
        <v>1.3582000000000001E-4</v>
      </c>
      <c r="K4213" s="9">
        <v>0</v>
      </c>
      <c r="L4213" s="9">
        <v>1.7150999999999999E-4</v>
      </c>
      <c r="M4213" s="9">
        <v>1.2286E-4</v>
      </c>
      <c r="N4213" s="9">
        <v>1.042E-4</v>
      </c>
      <c r="O4213" s="9">
        <v>1.8667999999999999E-4</v>
      </c>
      <c r="P4213" s="9">
        <v>1.917E-4</v>
      </c>
      <c r="Q4213" s="9">
        <v>1.7557E-4</v>
      </c>
      <c r="R4213" s="10">
        <v>3.7280464049419837E-5</v>
      </c>
      <c r="S4213" s="10">
        <v>1.4249954147070778E-5</v>
      </c>
      <c r="T4213" s="10">
        <v>4.4149748528336612E-4</v>
      </c>
      <c r="U4213" s="10">
        <v>8.7479999999999996E-5</v>
      </c>
      <c r="V4213" s="25"/>
      <c r="W4213" s="25"/>
      <c r="X4213" s="25"/>
      <c r="Y4213" s="25"/>
      <c r="Z4213" s="25"/>
      <c r="AA4213" s="25"/>
    </row>
    <row r="4214" spans="1:27" x14ac:dyDescent="0.35">
      <c r="A4214" s="5">
        <v>4210</v>
      </c>
      <c r="B4214" s="5">
        <v>176</v>
      </c>
      <c r="C4214" s="5">
        <v>6</v>
      </c>
      <c r="D4214" s="25">
        <v>1.1415000000000001E-4</v>
      </c>
      <c r="E4214" s="25">
        <v>1.2024E-4</v>
      </c>
      <c r="F4214" s="25">
        <v>1.1216E-4</v>
      </c>
      <c r="G4214" s="25">
        <v>1.5826999999999999E-4</v>
      </c>
      <c r="H4214" s="25">
        <v>1.8864000000000001E-4</v>
      </c>
      <c r="I4214" s="9">
        <v>1.144E-4</v>
      </c>
      <c r="J4214" s="9">
        <v>1.371E-4</v>
      </c>
      <c r="K4214" s="9">
        <v>0</v>
      </c>
      <c r="L4214" s="9">
        <v>1.8137000000000001E-4</v>
      </c>
      <c r="M4214" s="9">
        <v>1.5770000000000001E-4</v>
      </c>
      <c r="N4214" s="9">
        <v>1.2397999999999999E-4</v>
      </c>
      <c r="O4214" s="9">
        <v>1.4998999999999999E-4</v>
      </c>
      <c r="P4214" s="9">
        <v>1.7351000000000001E-4</v>
      </c>
      <c r="Q4214" s="9">
        <v>1.8149E-4</v>
      </c>
      <c r="R4214" s="10">
        <v>2.6332687970768388E-5</v>
      </c>
      <c r="S4214" s="10">
        <v>1.0864799910948863E-5</v>
      </c>
      <c r="T4214" s="10">
        <v>6.1077622591740972E-4</v>
      </c>
      <c r="U4214" s="10">
        <v>8.7479999999999996E-5</v>
      </c>
      <c r="V4214" s="25"/>
      <c r="W4214" s="25"/>
      <c r="X4214" s="25"/>
      <c r="Y4214" s="25"/>
      <c r="Z4214" s="25"/>
      <c r="AA4214" s="25"/>
    </row>
    <row r="4215" spans="1:27" x14ac:dyDescent="0.35">
      <c r="A4215" s="5">
        <v>4211</v>
      </c>
      <c r="B4215" s="5">
        <v>176</v>
      </c>
      <c r="C4215" s="5">
        <v>6</v>
      </c>
      <c r="D4215" s="25">
        <v>1.1416E-4</v>
      </c>
      <c r="E4215" s="25">
        <v>1.2053E-4</v>
      </c>
      <c r="F4215" s="25">
        <v>1.2809E-4</v>
      </c>
      <c r="G4215" s="25">
        <v>1.6537999999999999E-4</v>
      </c>
      <c r="H4215" s="25">
        <v>1.9105000000000001E-4</v>
      </c>
      <c r="I4215" s="9">
        <v>1.1291E-4</v>
      </c>
      <c r="J4215" s="9">
        <v>1.3773E-4</v>
      </c>
      <c r="K4215" s="9">
        <v>0</v>
      </c>
      <c r="L4215" s="9">
        <v>1.5698E-4</v>
      </c>
      <c r="M4215" s="9">
        <v>1.7144999999999999E-4</v>
      </c>
      <c r="N4215" s="9">
        <v>1.4197999999999999E-4</v>
      </c>
      <c r="O4215" s="9">
        <v>1.5118999999999999E-4</v>
      </c>
      <c r="P4215" s="9">
        <v>1.7353E-4</v>
      </c>
      <c r="Q4215" s="9">
        <v>1.8024E-4</v>
      </c>
      <c r="R4215" s="10">
        <v>2.4783078356691771E-5</v>
      </c>
      <c r="S4215" s="10">
        <v>6.1313708624187212E-6</v>
      </c>
      <c r="T4215" s="10">
        <v>6.7362791550326542E-4</v>
      </c>
      <c r="U4215" s="10">
        <v>8.7479999999999996E-5</v>
      </c>
      <c r="V4215" s="25"/>
      <c r="W4215" s="25"/>
      <c r="X4215" s="25"/>
      <c r="Y4215" s="25"/>
      <c r="Z4215" s="25"/>
      <c r="AA4215" s="25"/>
    </row>
    <row r="4216" spans="1:27" x14ac:dyDescent="0.35">
      <c r="A4216" s="5">
        <v>4212</v>
      </c>
      <c r="B4216" s="5">
        <v>176</v>
      </c>
      <c r="C4216" s="5">
        <v>6</v>
      </c>
      <c r="D4216" s="25">
        <v>1.1415000000000001E-4</v>
      </c>
      <c r="E4216" s="25">
        <v>1.1713E-4</v>
      </c>
      <c r="F4216" s="25">
        <v>1.2027999999999999E-4</v>
      </c>
      <c r="G4216" s="25">
        <v>1.6686000000000001E-4</v>
      </c>
      <c r="H4216" s="25">
        <v>1.9856E-4</v>
      </c>
      <c r="I4216" s="9">
        <v>1.0774E-4</v>
      </c>
      <c r="J4216" s="9">
        <v>1.3578E-4</v>
      </c>
      <c r="K4216" s="9">
        <v>0</v>
      </c>
      <c r="L4216" s="9">
        <v>1.5364999999999999E-4</v>
      </c>
      <c r="M4216" s="9">
        <v>1.7453999999999999E-4</v>
      </c>
      <c r="N4216" s="9">
        <v>1.5634000000000001E-4</v>
      </c>
      <c r="O4216" s="9">
        <v>1.5341000000000001E-4</v>
      </c>
      <c r="P4216" s="9">
        <v>1.7202999999999999E-4</v>
      </c>
      <c r="Q4216" s="9">
        <v>1.7471000000000001E-4</v>
      </c>
      <c r="R4216" s="10">
        <v>1.3164031853174603E-5</v>
      </c>
      <c r="S4216" s="10">
        <v>2.2547720198184924E-6</v>
      </c>
      <c r="T4216" s="10">
        <v>7.2399071644571144E-4</v>
      </c>
      <c r="U4216" s="10">
        <v>8.7479999999999996E-5</v>
      </c>
      <c r="V4216" s="25"/>
      <c r="W4216" s="25"/>
      <c r="X4216" s="25"/>
      <c r="Y4216" s="25"/>
      <c r="Z4216" s="25"/>
      <c r="AA4216" s="25"/>
    </row>
    <row r="4217" spans="1:27" x14ac:dyDescent="0.35">
      <c r="A4217" s="5">
        <v>4213</v>
      </c>
      <c r="B4217" s="5">
        <v>176</v>
      </c>
      <c r="C4217" s="5">
        <v>6</v>
      </c>
      <c r="D4217" s="25">
        <v>1.1416E-4</v>
      </c>
      <c r="E4217" s="25">
        <v>1.1375E-4</v>
      </c>
      <c r="F4217" s="25">
        <v>1.1387000000000001E-4</v>
      </c>
      <c r="G4217" s="25">
        <v>1.5962999999999999E-4</v>
      </c>
      <c r="H4217" s="25">
        <v>1.9527999999999999E-4</v>
      </c>
      <c r="I4217" s="9">
        <v>1.0354E-4</v>
      </c>
      <c r="J4217" s="9">
        <v>1.3407999999999999E-4</v>
      </c>
      <c r="K4217" s="9">
        <v>0</v>
      </c>
      <c r="L4217" s="9">
        <v>1.5357000000000001E-4</v>
      </c>
      <c r="M4217" s="9">
        <v>1.7395999999999999E-4</v>
      </c>
      <c r="N4217" s="9">
        <v>1.6605E-4</v>
      </c>
      <c r="O4217" s="9">
        <v>1.4589E-4</v>
      </c>
      <c r="P4217" s="9">
        <v>1.6405E-4</v>
      </c>
      <c r="Q4217" s="9">
        <v>1.6745E-4</v>
      </c>
      <c r="R4217" s="10">
        <v>1.261945535811188E-5</v>
      </c>
      <c r="S4217" s="10">
        <v>2.2532193905007232E-6</v>
      </c>
      <c r="T4217" s="10">
        <v>7.1724569846234811E-4</v>
      </c>
      <c r="U4217" s="10">
        <v>8.7479999999999996E-5</v>
      </c>
      <c r="V4217" s="25"/>
      <c r="W4217" s="25"/>
      <c r="X4217" s="25"/>
      <c r="Y4217" s="25"/>
      <c r="Z4217" s="25"/>
      <c r="AA4217" s="25"/>
    </row>
    <row r="4218" spans="1:27" x14ac:dyDescent="0.35">
      <c r="A4218" s="5">
        <v>4214</v>
      </c>
      <c r="B4218" s="5">
        <v>176</v>
      </c>
      <c r="C4218" s="5">
        <v>6</v>
      </c>
      <c r="D4218" s="25">
        <v>1.1415000000000001E-4</v>
      </c>
      <c r="E4218" s="25">
        <v>1.1606E-4</v>
      </c>
      <c r="F4218" s="25">
        <v>1.2856E-4</v>
      </c>
      <c r="G4218" s="25">
        <v>1.5662E-4</v>
      </c>
      <c r="H4218" s="25">
        <v>1.9421E-4</v>
      </c>
      <c r="I4218" s="9">
        <v>1.0046E-4</v>
      </c>
      <c r="J4218" s="9">
        <v>1.3132000000000001E-4</v>
      </c>
      <c r="K4218" s="9">
        <v>0</v>
      </c>
      <c r="L4218" s="9">
        <v>1.4736E-4</v>
      </c>
      <c r="M4218" s="9">
        <v>1.7019999999999999E-4</v>
      </c>
      <c r="N4218" s="9">
        <v>1.7047000000000001E-4</v>
      </c>
      <c r="O4218" s="9">
        <v>1.5893E-4</v>
      </c>
      <c r="P4218" s="9">
        <v>1.6772E-4</v>
      </c>
      <c r="Q4218" s="9">
        <v>1.5974000000000001E-4</v>
      </c>
      <c r="R4218" s="10">
        <v>1.434947970503201E-5</v>
      </c>
      <c r="S4218" s="10">
        <v>3.5991573584983682E-6</v>
      </c>
      <c r="T4218" s="10">
        <v>5.9577598466635767E-4</v>
      </c>
      <c r="U4218" s="10">
        <v>8.7479999999999996E-5</v>
      </c>
      <c r="V4218" s="25"/>
      <c r="W4218" s="25"/>
      <c r="X4218" s="25"/>
      <c r="Y4218" s="25"/>
      <c r="Z4218" s="25"/>
      <c r="AA4218" s="25"/>
    </row>
    <row r="4219" spans="1:27" x14ac:dyDescent="0.35">
      <c r="A4219" s="5">
        <v>4215</v>
      </c>
      <c r="B4219" s="5">
        <v>176</v>
      </c>
      <c r="C4219" s="5">
        <v>6</v>
      </c>
      <c r="D4219" s="25">
        <v>1.1416E-4</v>
      </c>
      <c r="E4219" s="25">
        <v>1.1957E-4</v>
      </c>
      <c r="F4219" s="25">
        <v>1.114E-4</v>
      </c>
      <c r="G4219" s="25">
        <v>1.5626999999999999E-4</v>
      </c>
      <c r="H4219" s="25">
        <v>1.9546E-4</v>
      </c>
      <c r="I4219" s="9">
        <v>9.8250000000000003E-5</v>
      </c>
      <c r="J4219" s="9">
        <v>1.2897000000000001E-4</v>
      </c>
      <c r="K4219" s="9">
        <v>0</v>
      </c>
      <c r="L4219" s="9">
        <v>1.5653999999999999E-4</v>
      </c>
      <c r="M4219" s="9">
        <v>1.6820999999999999E-4</v>
      </c>
      <c r="N4219" s="9">
        <v>1.6986E-4</v>
      </c>
      <c r="O4219" s="9">
        <v>1.6383000000000001E-4</v>
      </c>
      <c r="P4219" s="9">
        <v>1.6663E-4</v>
      </c>
      <c r="Q4219" s="9">
        <v>1.5197999999999999E-4</v>
      </c>
      <c r="R4219" s="10">
        <v>2.1296428565582684E-5</v>
      </c>
      <c r="S4219" s="10">
        <v>4.7002714443528315E-6</v>
      </c>
      <c r="T4219" s="10">
        <v>5.1783921083594861E-4</v>
      </c>
      <c r="U4219" s="10">
        <v>8.7479999999999996E-5</v>
      </c>
      <c r="V4219" s="25"/>
      <c r="W4219" s="25"/>
      <c r="X4219" s="25"/>
      <c r="Y4219" s="25"/>
      <c r="Z4219" s="25"/>
      <c r="AA4219" s="25"/>
    </row>
    <row r="4220" spans="1:27" x14ac:dyDescent="0.35">
      <c r="A4220" s="5">
        <v>4216</v>
      </c>
      <c r="B4220" s="5">
        <v>176</v>
      </c>
      <c r="C4220" s="5">
        <v>6</v>
      </c>
      <c r="D4220" s="25">
        <v>1.1415000000000001E-4</v>
      </c>
      <c r="E4220" s="25">
        <v>1.1934000000000001E-4</v>
      </c>
      <c r="F4220" s="25">
        <v>1.2941999999999999E-4</v>
      </c>
      <c r="G4220" s="25">
        <v>1.6155E-4</v>
      </c>
      <c r="H4220" s="25">
        <v>1.9216E-4</v>
      </c>
      <c r="I4220" s="9">
        <v>9.9170000000000001E-5</v>
      </c>
      <c r="J4220" s="9">
        <v>1.2758999999999999E-4</v>
      </c>
      <c r="K4220" s="9">
        <v>0</v>
      </c>
      <c r="L4220" s="9">
        <v>1.6199000000000001E-4</v>
      </c>
      <c r="M4220" s="9">
        <v>1.6720999999999999E-4</v>
      </c>
      <c r="N4220" s="9">
        <v>1.6589999999999999E-4</v>
      </c>
      <c r="O4220" s="9">
        <v>1.7626999999999999E-4</v>
      </c>
      <c r="P4220" s="9">
        <v>1.5253E-4</v>
      </c>
      <c r="Q4220" s="9">
        <v>1.0980999999999999E-4</v>
      </c>
      <c r="R4220" s="10">
        <v>2.4409984045758249E-5</v>
      </c>
      <c r="S4220" s="10">
        <v>4.5935677966381106E-6</v>
      </c>
      <c r="T4220" s="10">
        <v>3.9335757077065751E-4</v>
      </c>
      <c r="U4220" s="10">
        <v>8.7479999999999996E-5</v>
      </c>
      <c r="V4220" s="25"/>
      <c r="W4220" s="25"/>
      <c r="X4220" s="25"/>
      <c r="Y4220" s="25"/>
      <c r="Z4220" s="25"/>
      <c r="AA4220" s="25"/>
    </row>
    <row r="4221" spans="1:27" x14ac:dyDescent="0.35">
      <c r="A4221" s="5">
        <v>4217</v>
      </c>
      <c r="B4221" s="5">
        <v>176</v>
      </c>
      <c r="C4221" s="5">
        <v>6</v>
      </c>
      <c r="D4221" s="25">
        <v>1.1416E-4</v>
      </c>
      <c r="E4221" s="25">
        <v>1.1338E-4</v>
      </c>
      <c r="F4221" s="25">
        <v>1.2632999999999999E-4</v>
      </c>
      <c r="G4221" s="25">
        <v>1.6085000000000001E-4</v>
      </c>
      <c r="H4221" s="25">
        <v>2.0108999999999999E-4</v>
      </c>
      <c r="I4221" s="9">
        <v>1.0182E-4</v>
      </c>
      <c r="J4221" s="9">
        <v>1.2731999999999999E-4</v>
      </c>
      <c r="K4221" s="9">
        <v>0</v>
      </c>
      <c r="L4221" s="9">
        <v>1.7293000000000001E-4</v>
      </c>
      <c r="M4221" s="9">
        <v>1.6178000000000001E-4</v>
      </c>
      <c r="N4221" s="9">
        <v>1.5220000000000001E-4</v>
      </c>
      <c r="O4221" s="9">
        <v>1.8840999999999999E-4</v>
      </c>
      <c r="P4221" s="9">
        <v>1.5768999999999999E-4</v>
      </c>
      <c r="Q4221" s="9">
        <v>1.0607000000000001E-4</v>
      </c>
      <c r="R4221" s="10">
        <v>2.1741989946137299E-5</v>
      </c>
      <c r="S4221" s="10">
        <v>4.4843674018647237E-6</v>
      </c>
      <c r="T4221" s="10">
        <v>1.9170274381647014E-4</v>
      </c>
      <c r="U4221" s="10">
        <v>8.7479999999999996E-5</v>
      </c>
      <c r="V4221" s="25"/>
      <c r="W4221" s="25"/>
      <c r="X4221" s="25"/>
      <c r="Y4221" s="25"/>
      <c r="Z4221" s="25"/>
      <c r="AA4221" s="25"/>
    </row>
    <row r="4222" spans="1:27" x14ac:dyDescent="0.35">
      <c r="A4222" s="5">
        <v>4218</v>
      </c>
      <c r="B4222" s="5">
        <v>176</v>
      </c>
      <c r="C4222" s="5">
        <v>6</v>
      </c>
      <c r="D4222" s="25">
        <v>1.1415000000000001E-4</v>
      </c>
      <c r="E4222" s="25">
        <v>1.2165E-4</v>
      </c>
      <c r="F4222" s="25">
        <v>1.1051E-4</v>
      </c>
      <c r="G4222" s="25">
        <v>1.6469E-4</v>
      </c>
      <c r="H4222" s="25">
        <v>1.8788999999999999E-4</v>
      </c>
      <c r="I4222" s="9">
        <v>1.0143E-4</v>
      </c>
      <c r="J4222" s="9">
        <v>1.2350999999999999E-4</v>
      </c>
      <c r="K4222" s="9">
        <v>0</v>
      </c>
      <c r="L4222" s="9">
        <v>1.8477000000000001E-4</v>
      </c>
      <c r="M4222" s="9">
        <v>1.5882E-4</v>
      </c>
      <c r="N4222" s="9">
        <v>1.3862999999999999E-4</v>
      </c>
      <c r="O4222" s="9">
        <v>1.8349999999999999E-4</v>
      </c>
      <c r="P4222" s="9">
        <v>1.6081E-4</v>
      </c>
      <c r="Q4222" s="9">
        <v>1.1798000000000001E-4</v>
      </c>
      <c r="R4222" s="10">
        <v>1.7626618828118357E-5</v>
      </c>
      <c r="S4222" s="10">
        <v>4.6309642104296445E-6</v>
      </c>
      <c r="T4222" s="10">
        <v>1.6317004510194087E-4</v>
      </c>
      <c r="U4222" s="10">
        <v>8.7479999999999996E-5</v>
      </c>
      <c r="V4222" s="25"/>
      <c r="W4222" s="25"/>
      <c r="X4222" s="25"/>
      <c r="Y4222" s="25"/>
      <c r="Z4222" s="25"/>
      <c r="AA4222" s="25"/>
    </row>
    <row r="4223" spans="1:27" x14ac:dyDescent="0.35">
      <c r="A4223" s="5">
        <v>4219</v>
      </c>
      <c r="B4223" s="5">
        <v>176</v>
      </c>
      <c r="C4223" s="5">
        <v>6</v>
      </c>
      <c r="D4223" s="25">
        <v>1.1416E-4</v>
      </c>
      <c r="E4223" s="25">
        <v>1.2128E-4</v>
      </c>
      <c r="F4223" s="25">
        <v>1.2763E-4</v>
      </c>
      <c r="G4223" s="25">
        <v>1.0476000000000001E-4</v>
      </c>
      <c r="H4223" s="25">
        <v>1.3558E-4</v>
      </c>
      <c r="I4223" s="9">
        <v>1.0062E-4</v>
      </c>
      <c r="J4223" s="9">
        <v>1.1957E-4</v>
      </c>
      <c r="K4223" s="9">
        <v>0</v>
      </c>
      <c r="L4223" s="9">
        <v>1.8348E-4</v>
      </c>
      <c r="M4223" s="9">
        <v>1.5891000000000001E-4</v>
      </c>
      <c r="N4223" s="9">
        <v>1.2967E-4</v>
      </c>
      <c r="O4223" s="9">
        <v>1.4894999999999999E-4</v>
      </c>
      <c r="P4223" s="9">
        <v>1.3568E-4</v>
      </c>
      <c r="Q4223" s="9">
        <v>1.0768999999999999E-4</v>
      </c>
      <c r="R4223" s="10">
        <v>1.9446403680655465E-5</v>
      </c>
      <c r="S4223" s="10">
        <v>4.0206454260569337E-6</v>
      </c>
      <c r="T4223" s="10">
        <v>5.9271315260095626E-5</v>
      </c>
      <c r="U4223" s="10">
        <v>8.7479999999999996E-5</v>
      </c>
      <c r="V4223" s="25"/>
      <c r="W4223" s="25"/>
      <c r="X4223" s="25"/>
      <c r="Y4223" s="25"/>
      <c r="Z4223" s="25"/>
      <c r="AA4223" s="25"/>
    </row>
    <row r="4224" spans="1:27" x14ac:dyDescent="0.35">
      <c r="A4224" s="5">
        <v>4220</v>
      </c>
      <c r="B4224" s="5">
        <v>176</v>
      </c>
      <c r="C4224" s="5">
        <v>6</v>
      </c>
      <c r="D4224" s="25">
        <v>1.1415000000000001E-4</v>
      </c>
      <c r="E4224" s="25">
        <v>1.1988E-4</v>
      </c>
      <c r="F4224" s="25">
        <v>1.3038000000000001E-4</v>
      </c>
      <c r="G4224" s="25">
        <v>1.1181E-4</v>
      </c>
      <c r="H4224" s="25">
        <v>1.3002000000000001E-4</v>
      </c>
      <c r="I4224" s="9">
        <v>9.9439999999999997E-5</v>
      </c>
      <c r="J4224" s="9">
        <v>1.1628E-4</v>
      </c>
      <c r="K4224" s="9">
        <v>0</v>
      </c>
      <c r="L4224" s="9">
        <v>1.5665000000000001E-4</v>
      </c>
      <c r="M4224" s="9">
        <v>1.5075000000000001E-4</v>
      </c>
      <c r="N4224" s="9">
        <v>1.2078000000000001E-4</v>
      </c>
      <c r="O4224" s="9">
        <v>1.1723E-4</v>
      </c>
      <c r="P4224" s="9">
        <v>1.1421000000000001E-4</v>
      </c>
      <c r="Q4224" s="9">
        <v>1.0132E-4</v>
      </c>
      <c r="R4224" s="10">
        <v>2.2033509618570397E-5</v>
      </c>
      <c r="S4224" s="10">
        <v>3.9090407807196192E-6</v>
      </c>
      <c r="T4224" s="10">
        <v>5.6081218704442041E-6</v>
      </c>
      <c r="U4224" s="10">
        <v>8.7479999999999996E-5</v>
      </c>
      <c r="V4224" s="25"/>
      <c r="W4224" s="25"/>
      <c r="X4224" s="25"/>
      <c r="Y4224" s="25"/>
      <c r="Z4224" s="25"/>
      <c r="AA4224" s="25"/>
    </row>
    <row r="4225" spans="1:27" x14ac:dyDescent="0.35">
      <c r="A4225" s="5">
        <v>4221</v>
      </c>
      <c r="B4225" s="5">
        <v>176</v>
      </c>
      <c r="C4225" s="5">
        <v>6</v>
      </c>
      <c r="D4225" s="25">
        <v>1.1416E-4</v>
      </c>
      <c r="E4225" s="25">
        <v>1.1322E-4</v>
      </c>
      <c r="F4225" s="25">
        <v>1.1915E-4</v>
      </c>
      <c r="G4225" s="25">
        <v>5.7139999999999998E-5</v>
      </c>
      <c r="H4225" s="25">
        <v>6.279E-5</v>
      </c>
      <c r="I4225" s="9">
        <v>9.836E-5</v>
      </c>
      <c r="J4225" s="9">
        <v>1.119E-4</v>
      </c>
      <c r="K4225" s="9">
        <v>0</v>
      </c>
      <c r="L4225" s="9">
        <v>1.2672000000000001E-4</v>
      </c>
      <c r="M4225" s="9">
        <v>1.3530000000000001E-4</v>
      </c>
      <c r="N4225" s="9">
        <v>1.1306000000000001E-4</v>
      </c>
      <c r="O4225" s="9">
        <v>7.9850000000000003E-5</v>
      </c>
      <c r="P4225" s="9">
        <v>8.5879999999999998E-5</v>
      </c>
      <c r="Q4225" s="9">
        <v>8.7869999999999997E-5</v>
      </c>
      <c r="R4225" s="10">
        <v>2.2592939171272076E-5</v>
      </c>
      <c r="S4225" s="10">
        <v>4.7071005965314397E-6</v>
      </c>
      <c r="T4225" s="10">
        <v>0</v>
      </c>
      <c r="U4225" s="10">
        <v>8.7479999999999996E-5</v>
      </c>
      <c r="V4225" s="25"/>
      <c r="W4225" s="25"/>
      <c r="X4225" s="25"/>
      <c r="Y4225" s="25"/>
      <c r="Z4225" s="25"/>
      <c r="AA4225" s="25"/>
    </row>
    <row r="4226" spans="1:27" x14ac:dyDescent="0.35">
      <c r="A4226" s="5">
        <v>4222</v>
      </c>
      <c r="B4226" s="5">
        <v>176</v>
      </c>
      <c r="C4226" s="5">
        <v>6</v>
      </c>
      <c r="D4226" s="25">
        <v>1.1415000000000001E-4</v>
      </c>
      <c r="E4226" s="25">
        <v>1.192E-4</v>
      </c>
      <c r="F4226" s="25">
        <v>1.1354E-4</v>
      </c>
      <c r="G4226" s="25">
        <v>5.8999999999999998E-5</v>
      </c>
      <c r="H4226" s="25">
        <v>6.5740000000000004E-5</v>
      </c>
      <c r="I4226" s="9">
        <v>1.0169E-4</v>
      </c>
      <c r="J4226" s="9">
        <v>1.1059E-4</v>
      </c>
      <c r="K4226" s="9">
        <v>1.484E-5</v>
      </c>
      <c r="L4226" s="9">
        <v>9.098E-5</v>
      </c>
      <c r="M4226" s="9">
        <v>1.1351E-4</v>
      </c>
      <c r="N4226" s="9">
        <v>1.0542E-4</v>
      </c>
      <c r="O4226" s="9">
        <v>8.2960000000000005E-5</v>
      </c>
      <c r="P4226" s="9">
        <v>8.8049999999999999E-5</v>
      </c>
      <c r="Q4226" s="9">
        <v>8.8709999999999996E-5</v>
      </c>
      <c r="R4226" s="10">
        <v>1.5658305667672409E-5</v>
      </c>
      <c r="S4226" s="10">
        <v>4.2641601817955597E-6</v>
      </c>
      <c r="T4226" s="10">
        <v>0</v>
      </c>
      <c r="U4226" s="10">
        <v>8.7479999999999996E-5</v>
      </c>
      <c r="V4226" s="25"/>
      <c r="W4226" s="25"/>
      <c r="X4226" s="25"/>
      <c r="Y4226" s="25"/>
      <c r="Z4226" s="25"/>
      <c r="AA4226" s="25"/>
    </row>
    <row r="4227" spans="1:27" x14ac:dyDescent="0.35">
      <c r="A4227" s="5">
        <v>4223</v>
      </c>
      <c r="B4227" s="5">
        <v>176</v>
      </c>
      <c r="C4227" s="5">
        <v>6</v>
      </c>
      <c r="D4227" s="25">
        <v>1.1416E-4</v>
      </c>
      <c r="E4227" s="25">
        <v>1.2155999999999999E-4</v>
      </c>
      <c r="F4227" s="25">
        <v>1.1129999999999999E-4</v>
      </c>
      <c r="G4227" s="25">
        <v>5.5569999999999998E-5</v>
      </c>
      <c r="H4227" s="25">
        <v>6.9629999999999996E-5</v>
      </c>
      <c r="I4227" s="9">
        <v>9.9690000000000003E-5</v>
      </c>
      <c r="J4227" s="9">
        <v>1.0823999999999999E-4</v>
      </c>
      <c r="K4227" s="9">
        <v>3.6040000000000001E-5</v>
      </c>
      <c r="L4227" s="9">
        <v>8.5519999999999994E-5</v>
      </c>
      <c r="M4227" s="9">
        <v>9.8999999999999994E-5</v>
      </c>
      <c r="N4227" s="9">
        <v>9.9779999999999997E-5</v>
      </c>
      <c r="O4227" s="9">
        <v>7.3880000000000004E-5</v>
      </c>
      <c r="P4227" s="9">
        <v>7.1639999999999998E-5</v>
      </c>
      <c r="Q4227" s="9">
        <v>6.6429999999999999E-5</v>
      </c>
      <c r="R4227" s="10">
        <v>7.9688034338385769E-6</v>
      </c>
      <c r="S4227" s="10">
        <v>4.0540741957662747E-6</v>
      </c>
      <c r="T4227" s="10">
        <v>0</v>
      </c>
      <c r="U4227" s="10">
        <v>8.7479999999999996E-5</v>
      </c>
      <c r="V4227" s="25"/>
      <c r="W4227" s="25"/>
      <c r="X4227" s="25"/>
      <c r="Y4227" s="25"/>
      <c r="Z4227" s="25"/>
      <c r="AA4227" s="25"/>
    </row>
    <row r="4228" spans="1:27" x14ac:dyDescent="0.35">
      <c r="A4228" s="5">
        <v>4224</v>
      </c>
      <c r="B4228" s="5">
        <v>176</v>
      </c>
      <c r="C4228" s="5">
        <v>6</v>
      </c>
      <c r="D4228" s="25">
        <v>1.1415000000000001E-4</v>
      </c>
      <c r="E4228" s="25">
        <v>1.209E-4</v>
      </c>
      <c r="F4228" s="25">
        <v>1.3061999999999999E-4</v>
      </c>
      <c r="G4228" s="25">
        <v>5.9870000000000001E-5</v>
      </c>
      <c r="H4228" s="25">
        <v>6.9549999999999996E-5</v>
      </c>
      <c r="I4228" s="9">
        <v>9.289E-5</v>
      </c>
      <c r="J4228" s="9">
        <v>1.0118E-4</v>
      </c>
      <c r="K4228" s="9">
        <v>5.0869999999999999E-5</v>
      </c>
      <c r="L4228" s="9">
        <v>7.6409999999999995E-5</v>
      </c>
      <c r="M4228" s="9">
        <v>8.598E-5</v>
      </c>
      <c r="N4228" s="9">
        <v>9.043E-5</v>
      </c>
      <c r="O4228" s="9">
        <v>6.1829999999999996E-5</v>
      </c>
      <c r="P4228" s="9">
        <v>6.0970000000000001E-5</v>
      </c>
      <c r="Q4228" s="9">
        <v>5.9150000000000001E-5</v>
      </c>
      <c r="R4228" s="10">
        <v>3.3603501001970795E-6</v>
      </c>
      <c r="S4228" s="10">
        <v>4.0820625401845468E-6</v>
      </c>
      <c r="T4228" s="10">
        <v>0</v>
      </c>
      <c r="U4228" s="10">
        <v>8.7479999999999996E-5</v>
      </c>
      <c r="V4228" s="25"/>
      <c r="W4228" s="25"/>
      <c r="X4228" s="25"/>
      <c r="Y4228" s="25"/>
      <c r="Z4228" s="25"/>
      <c r="AA4228" s="25"/>
    </row>
    <row r="4229" spans="1:27" x14ac:dyDescent="0.35">
      <c r="A4229" s="5">
        <v>4225</v>
      </c>
      <c r="B4229" s="5">
        <v>177</v>
      </c>
      <c r="C4229" s="5">
        <v>6</v>
      </c>
      <c r="D4229" s="25">
        <v>1.1416E-4</v>
      </c>
      <c r="E4229" s="25">
        <v>1.1764000000000001E-4</v>
      </c>
      <c r="F4229" s="25">
        <v>1.4148000000000001E-4</v>
      </c>
      <c r="G4229" s="25">
        <v>5.533E-5</v>
      </c>
      <c r="H4229" s="25">
        <v>6.9339999999999997E-5</v>
      </c>
      <c r="I4229" s="9">
        <v>8.8289999999999997E-5</v>
      </c>
      <c r="J4229" s="9">
        <v>9.5589999999999998E-5</v>
      </c>
      <c r="K4229" s="9">
        <v>6.1459999999999998E-5</v>
      </c>
      <c r="L4229" s="9">
        <v>6.5049999999999996E-5</v>
      </c>
      <c r="M4229" s="9">
        <v>7.3980000000000007E-5</v>
      </c>
      <c r="N4229" s="9">
        <v>8.1100000000000006E-5</v>
      </c>
      <c r="O4229" s="9">
        <v>5.4580000000000003E-5</v>
      </c>
      <c r="P4229" s="9">
        <v>5.3990000000000003E-5</v>
      </c>
      <c r="Q4229" s="9">
        <v>5.3569999999999997E-5</v>
      </c>
      <c r="R4229" s="10">
        <v>3.390217953535246E-6</v>
      </c>
      <c r="S4229" s="10">
        <v>5.6992947443698809E-6</v>
      </c>
      <c r="T4229" s="10">
        <v>0</v>
      </c>
      <c r="U4229" s="10">
        <v>8.5480000000000002E-5</v>
      </c>
      <c r="V4229" s="25"/>
      <c r="W4229" s="25"/>
      <c r="X4229" s="25"/>
      <c r="Y4229" s="25"/>
      <c r="Z4229" s="25"/>
      <c r="AA4229" s="25"/>
    </row>
    <row r="4230" spans="1:27" x14ac:dyDescent="0.35">
      <c r="A4230" s="5">
        <v>4226</v>
      </c>
      <c r="B4230" s="5">
        <v>177</v>
      </c>
      <c r="C4230" s="5">
        <v>6</v>
      </c>
      <c r="D4230" s="25">
        <v>1.1415000000000001E-4</v>
      </c>
      <c r="E4230" s="25">
        <v>1.183E-4</v>
      </c>
      <c r="F4230" s="25">
        <v>1.3176999999999999E-4</v>
      </c>
      <c r="G4230" s="25">
        <v>5.3560000000000002E-5</v>
      </c>
      <c r="H4230" s="25">
        <v>6.9239999999999994E-5</v>
      </c>
      <c r="I4230" s="9">
        <v>8.4649999999999998E-5</v>
      </c>
      <c r="J4230" s="9">
        <v>9.2570000000000003E-5</v>
      </c>
      <c r="K4230" s="9">
        <v>5.7219999999999998E-5</v>
      </c>
      <c r="L4230" s="9">
        <v>5.7200000000000001E-5</v>
      </c>
      <c r="M4230" s="9">
        <v>6.3930000000000006E-5</v>
      </c>
      <c r="N4230" s="9">
        <v>7.2050000000000003E-5</v>
      </c>
      <c r="O4230" s="9">
        <v>2.4000000000000001E-5</v>
      </c>
      <c r="P4230" s="9">
        <v>3.756E-5</v>
      </c>
      <c r="Q4230" s="9">
        <v>5.5890000000000002E-5</v>
      </c>
      <c r="R4230" s="10">
        <v>3.1232821899658982E-6</v>
      </c>
      <c r="S4230" s="10">
        <v>9.8202401745437772E-6</v>
      </c>
      <c r="T4230" s="10">
        <v>0</v>
      </c>
      <c r="U4230" s="10">
        <v>8.5480000000000002E-5</v>
      </c>
      <c r="V4230" s="25"/>
      <c r="W4230" s="25"/>
      <c r="X4230" s="25"/>
      <c r="Y4230" s="25"/>
      <c r="Z4230" s="25"/>
      <c r="AA4230" s="25"/>
    </row>
    <row r="4231" spans="1:27" x14ac:dyDescent="0.35">
      <c r="A4231" s="5">
        <v>4227</v>
      </c>
      <c r="B4231" s="5">
        <v>177</v>
      </c>
      <c r="C4231" s="5">
        <v>6</v>
      </c>
      <c r="D4231" s="25">
        <v>1.1416E-4</v>
      </c>
      <c r="E4231" s="25">
        <v>1.1858000000000001E-4</v>
      </c>
      <c r="F4231" s="25">
        <v>1.3690999999999999E-4</v>
      </c>
      <c r="G4231" s="25">
        <v>5.855E-5</v>
      </c>
      <c r="H4231" s="25">
        <v>6.6649999999999994E-5</v>
      </c>
      <c r="I4231" s="9">
        <v>8.2440000000000004E-5</v>
      </c>
      <c r="J4231" s="9">
        <v>9.0799999999999998E-5</v>
      </c>
      <c r="K4231" s="9">
        <v>6.1459999999999998E-5</v>
      </c>
      <c r="L4231" s="9">
        <v>3.1479999999999997E-5</v>
      </c>
      <c r="M4231" s="9">
        <v>5.215E-5</v>
      </c>
      <c r="N4231" s="9">
        <v>6.5439999999999997E-5</v>
      </c>
      <c r="O4231" s="9">
        <v>1.9449999999999998E-5</v>
      </c>
      <c r="P4231" s="9">
        <v>3.7750000000000003E-5</v>
      </c>
      <c r="Q4231" s="9">
        <v>6.1530000000000002E-5</v>
      </c>
      <c r="R4231" s="10">
        <v>5.190363176668241E-6</v>
      </c>
      <c r="S4231" s="10">
        <v>1.5380244484680658E-5</v>
      </c>
      <c r="T4231" s="10">
        <v>0</v>
      </c>
      <c r="U4231" s="10">
        <v>8.5480000000000002E-5</v>
      </c>
      <c r="V4231" s="25"/>
      <c r="W4231" s="25"/>
      <c r="X4231" s="25"/>
      <c r="Y4231" s="25"/>
      <c r="Z4231" s="25"/>
      <c r="AA4231" s="25"/>
    </row>
    <row r="4232" spans="1:27" x14ac:dyDescent="0.35">
      <c r="A4232" s="5">
        <v>4228</v>
      </c>
      <c r="B4232" s="5">
        <v>177</v>
      </c>
      <c r="C4232" s="5">
        <v>6</v>
      </c>
      <c r="D4232" s="25">
        <v>1.1415000000000001E-4</v>
      </c>
      <c r="E4232" s="25">
        <v>1.1692999999999999E-4</v>
      </c>
      <c r="F4232" s="25">
        <v>1.2255999999999999E-4</v>
      </c>
      <c r="G4232" s="25">
        <v>5.4219999999999999E-5</v>
      </c>
      <c r="H4232" s="25">
        <v>7.038E-5</v>
      </c>
      <c r="I4232" s="9">
        <v>8.1929999999999997E-5</v>
      </c>
      <c r="J4232" s="9">
        <v>8.9989999999999997E-5</v>
      </c>
      <c r="K4232" s="9">
        <v>5.0859999999999998E-5</v>
      </c>
      <c r="L4232" s="9">
        <v>2.2739999999999999E-5</v>
      </c>
      <c r="M4232" s="9">
        <v>4.4150000000000003E-5</v>
      </c>
      <c r="N4232" s="9">
        <v>6.1859999999999994E-5</v>
      </c>
      <c r="O4232" s="9">
        <v>1.9409999999999999E-5</v>
      </c>
      <c r="P4232" s="9">
        <v>4.7080000000000003E-5</v>
      </c>
      <c r="Q4232" s="9">
        <v>8.0080000000000006E-5</v>
      </c>
      <c r="R4232" s="10">
        <v>1.087653390159532E-5</v>
      </c>
      <c r="S4232" s="10">
        <v>1.7155497990309892E-5</v>
      </c>
      <c r="T4232" s="10">
        <v>0</v>
      </c>
      <c r="U4232" s="10">
        <v>8.5480000000000002E-5</v>
      </c>
      <c r="V4232" s="25"/>
      <c r="W4232" s="25"/>
      <c r="X4232" s="25"/>
      <c r="Y4232" s="25"/>
      <c r="Z4232" s="25"/>
      <c r="AA4232" s="25"/>
    </row>
    <row r="4233" spans="1:27" x14ac:dyDescent="0.35">
      <c r="A4233" s="5">
        <v>4229</v>
      </c>
      <c r="B4233" s="5">
        <v>177</v>
      </c>
      <c r="C4233" s="5">
        <v>6</v>
      </c>
      <c r="D4233" s="25">
        <v>1.1416E-4</v>
      </c>
      <c r="E4233" s="25">
        <v>1.2026E-4</v>
      </c>
      <c r="F4233" s="25">
        <v>1.3972E-4</v>
      </c>
      <c r="G4233" s="25">
        <v>5.8780000000000003E-5</v>
      </c>
      <c r="H4233" s="25">
        <v>6.8390000000000001E-5</v>
      </c>
      <c r="I4233" s="9">
        <v>8.0459999999999999E-5</v>
      </c>
      <c r="J4233" s="9">
        <v>8.8070000000000002E-5</v>
      </c>
      <c r="K4233" s="9">
        <v>4.6619999999999997E-5</v>
      </c>
      <c r="L4233" s="9">
        <v>2.035E-5</v>
      </c>
      <c r="M4233" s="9">
        <v>4.3409999999999999E-5</v>
      </c>
      <c r="N4233" s="9">
        <v>6.4350000000000006E-5</v>
      </c>
      <c r="O4233" s="9">
        <v>2.4260000000000002E-5</v>
      </c>
      <c r="P4233" s="9">
        <v>5.694E-5</v>
      </c>
      <c r="Q4233" s="9">
        <v>9.4160000000000006E-5</v>
      </c>
      <c r="R4233" s="10">
        <v>1.6980901462741405E-5</v>
      </c>
      <c r="S4233" s="10">
        <v>1.7481962995736231E-5</v>
      </c>
      <c r="T4233" s="10">
        <v>0</v>
      </c>
      <c r="U4233" s="10">
        <v>8.5480000000000002E-5</v>
      </c>
      <c r="V4233" s="25"/>
      <c r="W4233" s="25"/>
      <c r="X4233" s="25"/>
      <c r="Y4233" s="25"/>
      <c r="Z4233" s="25"/>
      <c r="AA4233" s="25"/>
    </row>
    <row r="4234" spans="1:27" x14ac:dyDescent="0.35">
      <c r="A4234" s="5">
        <v>4230</v>
      </c>
      <c r="B4234" s="5">
        <v>177</v>
      </c>
      <c r="C4234" s="5">
        <v>6</v>
      </c>
      <c r="D4234" s="25">
        <v>1.1415000000000001E-4</v>
      </c>
      <c r="E4234" s="25">
        <v>1.1404999999999999E-4</v>
      </c>
      <c r="F4234" s="25">
        <v>1.2606999999999999E-4</v>
      </c>
      <c r="G4234" s="25">
        <v>1.1135E-4</v>
      </c>
      <c r="H4234" s="25">
        <v>1.2658E-4</v>
      </c>
      <c r="I4234" s="9">
        <v>8.2890000000000001E-5</v>
      </c>
      <c r="J4234" s="9">
        <v>8.9549999999999995E-5</v>
      </c>
      <c r="K4234" s="9">
        <v>2.12E-5</v>
      </c>
      <c r="L4234" s="9">
        <v>2.3289999999999999E-5</v>
      </c>
      <c r="M4234" s="9">
        <v>4.8439999999999997E-5</v>
      </c>
      <c r="N4234" s="9">
        <v>7.1019999999999994E-5</v>
      </c>
      <c r="O4234" s="9">
        <v>4.7670000000000003E-5</v>
      </c>
      <c r="P4234" s="9">
        <v>7.7130000000000002E-5</v>
      </c>
      <c r="Q4234" s="9">
        <v>1.0739999999999999E-4</v>
      </c>
      <c r="R4234" s="10">
        <v>2.0104000411077797E-5</v>
      </c>
      <c r="S4234" s="10">
        <v>1.957689073376749E-5</v>
      </c>
      <c r="T4234" s="10">
        <v>5.5241273068777925E-5</v>
      </c>
      <c r="U4234" s="10">
        <v>8.5480000000000002E-5</v>
      </c>
      <c r="V4234" s="25"/>
      <c r="W4234" s="25"/>
      <c r="X4234" s="25"/>
      <c r="Y4234" s="25"/>
      <c r="Z4234" s="25"/>
      <c r="AA4234" s="25"/>
    </row>
    <row r="4235" spans="1:27" x14ac:dyDescent="0.35">
      <c r="A4235" s="5">
        <v>4231</v>
      </c>
      <c r="B4235" s="5">
        <v>177</v>
      </c>
      <c r="C4235" s="5">
        <v>6</v>
      </c>
      <c r="D4235" s="25">
        <v>1.1416E-4</v>
      </c>
      <c r="E4235" s="25">
        <v>1.1525E-4</v>
      </c>
      <c r="F4235" s="25">
        <v>1.3287999999999999E-4</v>
      </c>
      <c r="G4235" s="25">
        <v>1.1391999999999999E-4</v>
      </c>
      <c r="H4235" s="25">
        <v>1.3339E-4</v>
      </c>
      <c r="I4235" s="9">
        <v>8.7050000000000002E-5</v>
      </c>
      <c r="J4235" s="9">
        <v>9.48E-5</v>
      </c>
      <c r="K4235" s="9">
        <v>8.4800000000000001E-6</v>
      </c>
      <c r="L4235" s="9">
        <v>4.2179999999999999E-5</v>
      </c>
      <c r="M4235" s="9">
        <v>6.0189999999999998E-5</v>
      </c>
      <c r="N4235" s="9">
        <v>8.0820000000000002E-5</v>
      </c>
      <c r="O4235" s="9">
        <v>1.1272E-4</v>
      </c>
      <c r="P4235" s="9">
        <v>1.1705E-4</v>
      </c>
      <c r="Q4235" s="9">
        <v>1.1213E-4</v>
      </c>
      <c r="R4235" s="10">
        <v>1.836246285302647E-5</v>
      </c>
      <c r="S4235" s="10">
        <v>2.1829917643943275E-5</v>
      </c>
      <c r="T4235" s="10">
        <v>1.3088728607464861E-4</v>
      </c>
      <c r="U4235" s="10">
        <v>8.5480000000000002E-5</v>
      </c>
      <c r="V4235" s="25"/>
      <c r="W4235" s="25"/>
      <c r="X4235" s="25"/>
      <c r="Y4235" s="25"/>
      <c r="Z4235" s="25"/>
      <c r="AA4235" s="25"/>
    </row>
    <row r="4236" spans="1:27" x14ac:dyDescent="0.35">
      <c r="A4236" s="5">
        <v>4232</v>
      </c>
      <c r="B4236" s="5">
        <v>177</v>
      </c>
      <c r="C4236" s="5">
        <v>6</v>
      </c>
      <c r="D4236" s="25">
        <v>1.1415000000000001E-4</v>
      </c>
      <c r="E4236" s="25">
        <v>1.1639E-4</v>
      </c>
      <c r="F4236" s="25">
        <v>1.1988E-4</v>
      </c>
      <c r="G4236" s="25">
        <v>1.6089000000000001E-4</v>
      </c>
      <c r="H4236" s="25">
        <v>1.9213999999999999E-4</v>
      </c>
      <c r="I4236" s="9">
        <v>9.1089999999999997E-5</v>
      </c>
      <c r="J4236" s="9">
        <v>1.0221E-4</v>
      </c>
      <c r="K4236" s="9">
        <v>0</v>
      </c>
      <c r="L4236" s="9">
        <v>9.6669999999999994E-5</v>
      </c>
      <c r="M4236" s="9">
        <v>8.3679999999999998E-5</v>
      </c>
      <c r="N4236" s="9">
        <v>9.0859999999999994E-5</v>
      </c>
      <c r="O4236" s="9">
        <v>1.9398000000000001E-4</v>
      </c>
      <c r="P4236" s="9">
        <v>1.7590999999999999E-4</v>
      </c>
      <c r="Q4236" s="9">
        <v>1.3589E-4</v>
      </c>
      <c r="R4236" s="10">
        <v>1.4128568056784443E-5</v>
      </c>
      <c r="S4236" s="10">
        <v>2.2010076095393242E-5</v>
      </c>
      <c r="T4236" s="10">
        <v>1.8818175958616105E-4</v>
      </c>
      <c r="U4236" s="10">
        <v>8.5480000000000002E-5</v>
      </c>
      <c r="V4236" s="25"/>
      <c r="W4236" s="25"/>
      <c r="X4236" s="25"/>
      <c r="Y4236" s="25"/>
      <c r="Z4236" s="25"/>
      <c r="AA4236" s="25"/>
    </row>
    <row r="4237" spans="1:27" x14ac:dyDescent="0.35">
      <c r="A4237" s="5">
        <v>4233</v>
      </c>
      <c r="B4237" s="5">
        <v>177</v>
      </c>
      <c r="C4237" s="5">
        <v>6</v>
      </c>
      <c r="D4237" s="25">
        <v>1.1416E-4</v>
      </c>
      <c r="E4237" s="25">
        <v>1.2045E-4</v>
      </c>
      <c r="F4237" s="25">
        <v>1.3531E-4</v>
      </c>
      <c r="G4237" s="25">
        <v>1.6025999999999999E-4</v>
      </c>
      <c r="H4237" s="25">
        <v>1.9704E-4</v>
      </c>
      <c r="I4237" s="9">
        <v>9.5039999999999998E-5</v>
      </c>
      <c r="J4237" s="9">
        <v>1.0946999999999999E-4</v>
      </c>
      <c r="K4237" s="9">
        <v>0</v>
      </c>
      <c r="L4237" s="9">
        <v>1.7108E-4</v>
      </c>
      <c r="M4237" s="9">
        <v>1.2296E-4</v>
      </c>
      <c r="N4237" s="9">
        <v>1.0443E-4</v>
      </c>
      <c r="O4237" s="9">
        <v>1.8654000000000001E-4</v>
      </c>
      <c r="P4237" s="9">
        <v>1.9155999999999999E-4</v>
      </c>
      <c r="Q4237" s="9">
        <v>1.7542999999999999E-4</v>
      </c>
      <c r="R4237" s="10">
        <v>6.9719344918887205E-6</v>
      </c>
      <c r="S4237" s="10">
        <v>2.654274460398429E-5</v>
      </c>
      <c r="T4237" s="10">
        <v>4.2764262444458344E-4</v>
      </c>
      <c r="U4237" s="10">
        <v>8.5480000000000002E-5</v>
      </c>
      <c r="V4237" s="25"/>
      <c r="W4237" s="25"/>
      <c r="X4237" s="25"/>
      <c r="Y4237" s="25"/>
      <c r="Z4237" s="25"/>
      <c r="AA4237" s="25"/>
    </row>
    <row r="4238" spans="1:27" x14ac:dyDescent="0.35">
      <c r="A4238" s="5">
        <v>4234</v>
      </c>
      <c r="B4238" s="5">
        <v>177</v>
      </c>
      <c r="C4238" s="5">
        <v>6</v>
      </c>
      <c r="D4238" s="25">
        <v>1.1415000000000001E-4</v>
      </c>
      <c r="E4238" s="25">
        <v>1.2128E-4</v>
      </c>
      <c r="F4238" s="25">
        <v>1.2799E-4</v>
      </c>
      <c r="G4238" s="25">
        <v>1.5713000000000001E-4</v>
      </c>
      <c r="H4238" s="25">
        <v>1.9432999999999999E-4</v>
      </c>
      <c r="I4238" s="9">
        <v>9.6150000000000006E-5</v>
      </c>
      <c r="J4238" s="9">
        <v>1.126E-4</v>
      </c>
      <c r="K4238" s="9">
        <v>0</v>
      </c>
      <c r="L4238" s="9">
        <v>1.8118999999999999E-4</v>
      </c>
      <c r="M4238" s="9">
        <v>1.5760000000000001E-4</v>
      </c>
      <c r="N4238" s="9">
        <v>1.2412999999999999E-4</v>
      </c>
      <c r="O4238" s="9">
        <v>1.5161999999999999E-4</v>
      </c>
      <c r="P4238" s="9">
        <v>1.7540000000000001E-4</v>
      </c>
      <c r="Q4238" s="9">
        <v>1.8346000000000001E-4</v>
      </c>
      <c r="R4238" s="10">
        <v>4.5171839230946686E-6</v>
      </c>
      <c r="S4238" s="10">
        <v>3.6436822846846813E-5</v>
      </c>
      <c r="T4238" s="10">
        <v>4.4173504566517012E-4</v>
      </c>
      <c r="U4238" s="10">
        <v>8.5480000000000002E-5</v>
      </c>
      <c r="V4238" s="25"/>
      <c r="W4238" s="25"/>
      <c r="X4238" s="25"/>
      <c r="Y4238" s="25"/>
      <c r="Z4238" s="25"/>
      <c r="AA4238" s="25"/>
    </row>
    <row r="4239" spans="1:27" x14ac:dyDescent="0.35">
      <c r="A4239" s="5">
        <v>4235</v>
      </c>
      <c r="B4239" s="5">
        <v>177</v>
      </c>
      <c r="C4239" s="5">
        <v>6</v>
      </c>
      <c r="D4239" s="25">
        <v>1.1416E-4</v>
      </c>
      <c r="E4239" s="25">
        <v>1.1506999999999999E-4</v>
      </c>
      <c r="F4239" s="25">
        <v>1.3852999999999999E-4</v>
      </c>
      <c r="G4239" s="25">
        <v>1.5636E-4</v>
      </c>
      <c r="H4239" s="25">
        <v>1.93E-4</v>
      </c>
      <c r="I4239" s="9">
        <v>9.8659999999999994E-5</v>
      </c>
      <c r="J4239" s="9">
        <v>1.1362999999999999E-4</v>
      </c>
      <c r="K4239" s="9">
        <v>0</v>
      </c>
      <c r="L4239" s="9">
        <v>1.582E-4</v>
      </c>
      <c r="M4239" s="9">
        <v>1.7202999999999999E-4</v>
      </c>
      <c r="N4239" s="9">
        <v>1.4252000000000001E-4</v>
      </c>
      <c r="O4239" s="9">
        <v>1.5128E-4</v>
      </c>
      <c r="P4239" s="9">
        <v>1.7364E-4</v>
      </c>
      <c r="Q4239" s="9">
        <v>1.8034999999999999E-4</v>
      </c>
      <c r="R4239" s="10">
        <v>6.5691890515169348E-6</v>
      </c>
      <c r="S4239" s="10">
        <v>4.6490505731185849E-5</v>
      </c>
      <c r="T4239" s="10">
        <v>5.8271864796648838E-4</v>
      </c>
      <c r="U4239" s="10">
        <v>8.5480000000000002E-5</v>
      </c>
      <c r="V4239" s="25"/>
      <c r="W4239" s="25"/>
      <c r="X4239" s="25"/>
      <c r="Y4239" s="25"/>
      <c r="Z4239" s="25"/>
      <c r="AA4239" s="25"/>
    </row>
    <row r="4240" spans="1:27" x14ac:dyDescent="0.35">
      <c r="A4240" s="5">
        <v>4236</v>
      </c>
      <c r="B4240" s="5">
        <v>177</v>
      </c>
      <c r="C4240" s="5">
        <v>6</v>
      </c>
      <c r="D4240" s="25">
        <v>1.1415000000000001E-4</v>
      </c>
      <c r="E4240" s="25">
        <v>1.1548E-4</v>
      </c>
      <c r="F4240" s="25">
        <v>1.2778E-4</v>
      </c>
      <c r="G4240" s="25">
        <v>1.6113999999999999E-4</v>
      </c>
      <c r="H4240" s="25">
        <v>2.0270999999999999E-4</v>
      </c>
      <c r="I4240" s="9">
        <v>9.9099999999999996E-5</v>
      </c>
      <c r="J4240" s="9">
        <v>1.1319000000000001E-4</v>
      </c>
      <c r="K4240" s="9">
        <v>0</v>
      </c>
      <c r="L4240" s="9">
        <v>1.5395E-4</v>
      </c>
      <c r="M4240" s="9">
        <v>1.7514000000000001E-4</v>
      </c>
      <c r="N4240" s="9">
        <v>1.5679999999999999E-4</v>
      </c>
      <c r="O4240" s="9">
        <v>1.5300000000000001E-4</v>
      </c>
      <c r="P4240" s="9">
        <v>1.7158000000000001E-4</v>
      </c>
      <c r="Q4240" s="9">
        <v>1.7425000000000001E-4</v>
      </c>
      <c r="R4240" s="10">
        <v>7.7458204130515113E-6</v>
      </c>
      <c r="S4240" s="10">
        <v>5.364334993976611E-5</v>
      </c>
      <c r="T4240" s="10">
        <v>4.7895566691424538E-4</v>
      </c>
      <c r="U4240" s="10">
        <v>8.5480000000000002E-5</v>
      </c>
      <c r="V4240" s="25"/>
      <c r="W4240" s="25"/>
      <c r="X4240" s="25"/>
      <c r="Y4240" s="25"/>
      <c r="Z4240" s="25"/>
      <c r="AA4240" s="25"/>
    </row>
    <row r="4241" spans="1:27" x14ac:dyDescent="0.35">
      <c r="A4241" s="5">
        <v>4237</v>
      </c>
      <c r="B4241" s="5">
        <v>177</v>
      </c>
      <c r="C4241" s="5">
        <v>6</v>
      </c>
      <c r="D4241" s="25">
        <v>1.1416E-4</v>
      </c>
      <c r="E4241" s="25">
        <v>1.1982E-4</v>
      </c>
      <c r="F4241" s="25">
        <v>1.2635000000000001E-4</v>
      </c>
      <c r="G4241" s="25">
        <v>1.5783E-4</v>
      </c>
      <c r="H4241" s="25">
        <v>1.9220000000000001E-4</v>
      </c>
      <c r="I4241" s="9">
        <v>9.6719999999999996E-5</v>
      </c>
      <c r="J4241" s="9">
        <v>1.1226E-4</v>
      </c>
      <c r="K4241" s="9">
        <v>0</v>
      </c>
      <c r="L4241" s="9">
        <v>1.5333999999999999E-4</v>
      </c>
      <c r="M4241" s="9">
        <v>1.7416999999999999E-4</v>
      </c>
      <c r="N4241" s="9">
        <v>1.6632999999999999E-4</v>
      </c>
      <c r="O4241" s="9">
        <v>1.4631E-4</v>
      </c>
      <c r="P4241" s="9">
        <v>1.6452E-4</v>
      </c>
      <c r="Q4241" s="9">
        <v>1.6793E-4</v>
      </c>
      <c r="R4241" s="10">
        <v>1.2647056257531702E-5</v>
      </c>
      <c r="S4241" s="10">
        <v>7.0007162578558264E-5</v>
      </c>
      <c r="T4241" s="10">
        <v>6.5324862846422309E-4</v>
      </c>
      <c r="U4241" s="10">
        <v>8.5480000000000002E-5</v>
      </c>
      <c r="V4241" s="25"/>
      <c r="W4241" s="25"/>
      <c r="X4241" s="25"/>
      <c r="Y4241" s="25"/>
      <c r="Z4241" s="25"/>
      <c r="AA4241" s="25"/>
    </row>
    <row r="4242" spans="1:27" x14ac:dyDescent="0.35">
      <c r="A4242" s="5">
        <v>4238</v>
      </c>
      <c r="B4242" s="5">
        <v>177</v>
      </c>
      <c r="C4242" s="5">
        <v>6</v>
      </c>
      <c r="D4242" s="25">
        <v>1.1415000000000001E-4</v>
      </c>
      <c r="E4242" s="25">
        <v>1.1773999999999999E-4</v>
      </c>
      <c r="F4242" s="25">
        <v>1.3166999999999999E-4</v>
      </c>
      <c r="G4242" s="25">
        <v>1.6731E-4</v>
      </c>
      <c r="H4242" s="25">
        <v>1.95E-4</v>
      </c>
      <c r="I4242" s="9">
        <v>9.5140000000000001E-5</v>
      </c>
      <c r="J4242" s="9">
        <v>1.1191E-4</v>
      </c>
      <c r="K4242" s="9">
        <v>0</v>
      </c>
      <c r="L4242" s="9">
        <v>1.4767E-4</v>
      </c>
      <c r="M4242" s="9">
        <v>1.7038000000000001E-4</v>
      </c>
      <c r="N4242" s="9">
        <v>1.708E-4</v>
      </c>
      <c r="O4242" s="9">
        <v>1.6066E-4</v>
      </c>
      <c r="P4242" s="9">
        <v>1.6954000000000001E-4</v>
      </c>
      <c r="Q4242" s="9">
        <v>1.6148000000000001E-4</v>
      </c>
      <c r="R4242" s="10">
        <v>1.5222295609411067E-5</v>
      </c>
      <c r="S4242" s="10">
        <v>8.9294007020194894E-5</v>
      </c>
      <c r="T4242" s="10">
        <v>4.2279808951565205E-4</v>
      </c>
      <c r="U4242" s="10">
        <v>8.5480000000000002E-5</v>
      </c>
      <c r="V4242" s="25"/>
      <c r="W4242" s="25"/>
      <c r="X4242" s="25"/>
      <c r="Y4242" s="25"/>
      <c r="Z4242" s="25"/>
      <c r="AA4242" s="25"/>
    </row>
    <row r="4243" spans="1:27" x14ac:dyDescent="0.35">
      <c r="A4243" s="5">
        <v>4239</v>
      </c>
      <c r="B4243" s="5">
        <v>177</v>
      </c>
      <c r="C4243" s="5">
        <v>6</v>
      </c>
      <c r="D4243" s="25">
        <v>1.1416E-4</v>
      </c>
      <c r="E4243" s="25">
        <v>1.1744E-4</v>
      </c>
      <c r="F4243" s="25">
        <v>1.4035E-4</v>
      </c>
      <c r="G4243" s="25">
        <v>1.6105000000000001E-4</v>
      </c>
      <c r="H4243" s="25">
        <v>1.896E-4</v>
      </c>
      <c r="I4243" s="9">
        <v>9.3919999999999995E-5</v>
      </c>
      <c r="J4243" s="9">
        <v>1.108E-4</v>
      </c>
      <c r="K4243" s="9">
        <v>0</v>
      </c>
      <c r="L4243" s="9">
        <v>1.5794E-4</v>
      </c>
      <c r="M4243" s="9">
        <v>1.6899999999999999E-4</v>
      </c>
      <c r="N4243" s="9">
        <v>1.7049E-4</v>
      </c>
      <c r="O4243" s="9">
        <v>1.6294000000000001E-4</v>
      </c>
      <c r="P4243" s="9">
        <v>1.6572000000000001E-4</v>
      </c>
      <c r="Q4243" s="9">
        <v>1.5116000000000001E-4</v>
      </c>
      <c r="R4243" s="10">
        <v>1.4965628439216246E-5</v>
      </c>
      <c r="S4243" s="10">
        <v>9.9607955138022978E-5</v>
      </c>
      <c r="T4243" s="10">
        <v>1.9251723655408384E-4</v>
      </c>
      <c r="U4243" s="10">
        <v>8.5480000000000002E-5</v>
      </c>
      <c r="V4243" s="25"/>
      <c r="W4243" s="25"/>
      <c r="X4243" s="25"/>
      <c r="Y4243" s="25"/>
      <c r="Z4243" s="25"/>
      <c r="AA4243" s="25"/>
    </row>
    <row r="4244" spans="1:27" x14ac:dyDescent="0.35">
      <c r="A4244" s="5">
        <v>4240</v>
      </c>
      <c r="B4244" s="5">
        <v>177</v>
      </c>
      <c r="C4244" s="5">
        <v>6</v>
      </c>
      <c r="D4244" s="25">
        <v>1.1415000000000001E-4</v>
      </c>
      <c r="E4244" s="25">
        <v>1.1677E-4</v>
      </c>
      <c r="F4244" s="25">
        <v>1.2784999999999999E-4</v>
      </c>
      <c r="G4244" s="25">
        <v>1.6321E-4</v>
      </c>
      <c r="H4244" s="25">
        <v>1.9413000000000001E-4</v>
      </c>
      <c r="I4244" s="9">
        <v>9.2009999999999995E-5</v>
      </c>
      <c r="J4244" s="9">
        <v>1.0999E-4</v>
      </c>
      <c r="K4244" s="9">
        <v>0</v>
      </c>
      <c r="L4244" s="9">
        <v>1.6157000000000001E-4</v>
      </c>
      <c r="M4244" s="9">
        <v>1.6756E-4</v>
      </c>
      <c r="N4244" s="9">
        <v>1.6623000000000001E-4</v>
      </c>
      <c r="O4244" s="9">
        <v>1.7518000000000001E-4</v>
      </c>
      <c r="P4244" s="9">
        <v>1.5159E-4</v>
      </c>
      <c r="Q4244" s="9">
        <v>1.0914E-4</v>
      </c>
      <c r="R4244" s="10">
        <v>7.4555833041050802E-6</v>
      </c>
      <c r="S4244" s="10">
        <v>8.8154411748199565E-5</v>
      </c>
      <c r="T4244" s="10">
        <v>2.083913606382005E-4</v>
      </c>
      <c r="U4244" s="10">
        <v>8.5480000000000002E-5</v>
      </c>
      <c r="V4244" s="25"/>
      <c r="W4244" s="25"/>
      <c r="X4244" s="25"/>
      <c r="Y4244" s="25"/>
      <c r="Z4244" s="25"/>
      <c r="AA4244" s="25"/>
    </row>
    <row r="4245" spans="1:27" x14ac:dyDescent="0.35">
      <c r="A4245" s="5">
        <v>4241</v>
      </c>
      <c r="B4245" s="5">
        <v>177</v>
      </c>
      <c r="C4245" s="5">
        <v>6</v>
      </c>
      <c r="D4245" s="25">
        <v>1.1416E-4</v>
      </c>
      <c r="E4245" s="25">
        <v>1.1613E-4</v>
      </c>
      <c r="F4245" s="25">
        <v>1.3770000000000001E-4</v>
      </c>
      <c r="G4245" s="25">
        <v>1.5663999999999999E-4</v>
      </c>
      <c r="H4245" s="25">
        <v>1.9519000000000001E-4</v>
      </c>
      <c r="I4245" s="9">
        <v>9.2169999999999993E-5</v>
      </c>
      <c r="J4245" s="9">
        <v>1.1106E-4</v>
      </c>
      <c r="K4245" s="9">
        <v>0</v>
      </c>
      <c r="L4245" s="9">
        <v>1.7204000000000001E-4</v>
      </c>
      <c r="M4245" s="9">
        <v>1.6152000000000001E-4</v>
      </c>
      <c r="N4245" s="9">
        <v>1.5228999999999999E-4</v>
      </c>
      <c r="O4245" s="9">
        <v>1.9209000000000001E-4</v>
      </c>
      <c r="P4245" s="9">
        <v>1.6076999999999999E-4</v>
      </c>
      <c r="Q4245" s="9">
        <v>1.0814E-4</v>
      </c>
      <c r="R4245" s="10">
        <v>6.158655181017642E-6</v>
      </c>
      <c r="S4245" s="10">
        <v>8.7467339452292617E-5</v>
      </c>
      <c r="T4245" s="10">
        <v>2.0748354060773526E-4</v>
      </c>
      <c r="U4245" s="10">
        <v>8.5480000000000002E-5</v>
      </c>
      <c r="V4245" s="25"/>
      <c r="W4245" s="25"/>
      <c r="X4245" s="25"/>
      <c r="Y4245" s="25"/>
      <c r="Z4245" s="25"/>
      <c r="AA4245" s="25"/>
    </row>
    <row r="4246" spans="1:27" x14ac:dyDescent="0.35">
      <c r="A4246" s="5">
        <v>4242</v>
      </c>
      <c r="B4246" s="5">
        <v>177</v>
      </c>
      <c r="C4246" s="5">
        <v>6</v>
      </c>
      <c r="D4246" s="25">
        <v>1.1415000000000001E-4</v>
      </c>
      <c r="E4246" s="25">
        <v>1.1552000000000001E-4</v>
      </c>
      <c r="F4246" s="25">
        <v>1.3180000000000001E-4</v>
      </c>
      <c r="G4246" s="25">
        <v>1.5941999999999999E-4</v>
      </c>
      <c r="H4246" s="25">
        <v>1.9168000000000001E-4</v>
      </c>
      <c r="I4246" s="9">
        <v>9.3700000000000001E-5</v>
      </c>
      <c r="J4246" s="9">
        <v>1.0876E-4</v>
      </c>
      <c r="K4246" s="9">
        <v>0</v>
      </c>
      <c r="L4246" s="9">
        <v>1.8746999999999999E-4</v>
      </c>
      <c r="M4246" s="9">
        <v>1.596E-4</v>
      </c>
      <c r="N4246" s="9">
        <v>1.3912000000000001E-4</v>
      </c>
      <c r="O4246" s="9">
        <v>1.8331000000000001E-4</v>
      </c>
      <c r="P4246" s="9">
        <v>1.6064000000000001E-4</v>
      </c>
      <c r="Q4246" s="9">
        <v>1.1786E-4</v>
      </c>
      <c r="R4246" s="10">
        <v>1.2379086979750847E-5</v>
      </c>
      <c r="S4246" s="10">
        <v>1.0260447144144854E-4</v>
      </c>
      <c r="T4246" s="10">
        <v>1.5663713460233115E-4</v>
      </c>
      <c r="U4246" s="10">
        <v>8.5480000000000002E-5</v>
      </c>
      <c r="V4246" s="25"/>
      <c r="W4246" s="25"/>
      <c r="X4246" s="25"/>
      <c r="Y4246" s="25"/>
      <c r="Z4246" s="25"/>
      <c r="AA4246" s="25"/>
    </row>
    <row r="4247" spans="1:27" x14ac:dyDescent="0.35">
      <c r="A4247" s="5">
        <v>4243</v>
      </c>
      <c r="B4247" s="5">
        <v>177</v>
      </c>
      <c r="C4247" s="5">
        <v>6</v>
      </c>
      <c r="D4247" s="25">
        <v>1.1416E-4</v>
      </c>
      <c r="E4247" s="25">
        <v>1.1158E-4</v>
      </c>
      <c r="F4247" s="25">
        <v>1.2794999999999999E-4</v>
      </c>
      <c r="G4247" s="25">
        <v>1.1011E-4</v>
      </c>
      <c r="H4247" s="25">
        <v>1.2683E-4</v>
      </c>
      <c r="I4247" s="9">
        <v>9.5420000000000005E-5</v>
      </c>
      <c r="J4247" s="9">
        <v>1.0632999999999999E-4</v>
      </c>
      <c r="K4247" s="9">
        <v>0</v>
      </c>
      <c r="L4247" s="9">
        <v>1.8380999999999999E-4</v>
      </c>
      <c r="M4247" s="9">
        <v>1.5966999999999999E-4</v>
      </c>
      <c r="N4247" s="9">
        <v>1.3004E-4</v>
      </c>
      <c r="O4247" s="9">
        <v>1.4948000000000001E-4</v>
      </c>
      <c r="P4247" s="9">
        <v>1.3616E-4</v>
      </c>
      <c r="Q4247" s="9">
        <v>1.0808E-4</v>
      </c>
      <c r="R4247" s="10">
        <v>2.4375361059446141E-5</v>
      </c>
      <c r="S4247" s="10">
        <v>1.1026355211452743E-4</v>
      </c>
      <c r="T4247" s="10">
        <v>4.4678320377850492E-5</v>
      </c>
      <c r="U4247" s="10">
        <v>8.5480000000000002E-5</v>
      </c>
      <c r="V4247" s="25"/>
      <c r="W4247" s="25"/>
      <c r="X4247" s="25"/>
      <c r="Y4247" s="25"/>
      <c r="Z4247" s="25"/>
      <c r="AA4247" s="25"/>
    </row>
    <row r="4248" spans="1:27" x14ac:dyDescent="0.35">
      <c r="A4248" s="5">
        <v>4244</v>
      </c>
      <c r="B4248" s="5">
        <v>177</v>
      </c>
      <c r="C4248" s="5">
        <v>6</v>
      </c>
      <c r="D4248" s="25">
        <v>1.1415000000000001E-4</v>
      </c>
      <c r="E4248" s="25">
        <v>1.1812E-4</v>
      </c>
      <c r="F4248" s="25">
        <v>1.2228E-4</v>
      </c>
      <c r="G4248" s="25">
        <v>1.1079E-4</v>
      </c>
      <c r="H4248" s="25">
        <v>1.3428999999999999E-4</v>
      </c>
      <c r="I4248" s="9">
        <v>9.535E-5</v>
      </c>
      <c r="J4248" s="9">
        <v>1.0493999999999999E-4</v>
      </c>
      <c r="K4248" s="9">
        <v>0</v>
      </c>
      <c r="L4248" s="9">
        <v>1.572E-4</v>
      </c>
      <c r="M4248" s="9">
        <v>1.5137000000000001E-4</v>
      </c>
      <c r="N4248" s="9">
        <v>1.2114E-4</v>
      </c>
      <c r="O4248" s="9">
        <v>1.1692E-4</v>
      </c>
      <c r="P4248" s="9">
        <v>1.1391E-4</v>
      </c>
      <c r="Q4248" s="9">
        <v>1.0105E-4</v>
      </c>
      <c r="R4248" s="10">
        <v>4.182669665452289E-5</v>
      </c>
      <c r="S4248" s="10">
        <v>1.0267284901649002E-4</v>
      </c>
      <c r="T4248" s="10">
        <v>1.2811292018715201E-6</v>
      </c>
      <c r="U4248" s="10">
        <v>8.5480000000000002E-5</v>
      </c>
      <c r="V4248" s="25"/>
      <c r="W4248" s="25"/>
      <c r="X4248" s="25"/>
      <c r="Y4248" s="25"/>
      <c r="Z4248" s="25"/>
      <c r="AA4248" s="25"/>
    </row>
    <row r="4249" spans="1:27" x14ac:dyDescent="0.35">
      <c r="A4249" s="5">
        <v>4245</v>
      </c>
      <c r="B4249" s="5">
        <v>177</v>
      </c>
      <c r="C4249" s="5">
        <v>6</v>
      </c>
      <c r="D4249" s="25">
        <v>1.1416E-4</v>
      </c>
      <c r="E4249" s="25">
        <v>1.1094000000000001E-4</v>
      </c>
      <c r="F4249" s="25">
        <v>1.4058000000000001E-4</v>
      </c>
      <c r="G4249" s="25">
        <v>5.3470000000000001E-5</v>
      </c>
      <c r="H4249" s="25">
        <v>6.6379999999999998E-5</v>
      </c>
      <c r="I4249" s="9">
        <v>9.4699999999999998E-5</v>
      </c>
      <c r="J4249" s="9">
        <v>1.0326E-4</v>
      </c>
      <c r="K4249" s="9">
        <v>0</v>
      </c>
      <c r="L4249" s="9">
        <v>1.2663E-4</v>
      </c>
      <c r="M4249" s="9">
        <v>1.3553E-4</v>
      </c>
      <c r="N4249" s="9">
        <v>1.1331E-4</v>
      </c>
      <c r="O4249" s="9">
        <v>8.0989999999999995E-5</v>
      </c>
      <c r="P4249" s="9">
        <v>8.7100000000000003E-5</v>
      </c>
      <c r="Q4249" s="9">
        <v>8.9120000000000001E-5</v>
      </c>
      <c r="R4249" s="10">
        <v>6.1031562064641011E-5</v>
      </c>
      <c r="S4249" s="10">
        <v>8.3291729449886181E-5</v>
      </c>
      <c r="T4249" s="10">
        <v>0</v>
      </c>
      <c r="U4249" s="10">
        <v>8.5480000000000002E-5</v>
      </c>
      <c r="V4249" s="25"/>
      <c r="W4249" s="25"/>
      <c r="X4249" s="25"/>
      <c r="Y4249" s="25"/>
      <c r="Z4249" s="25"/>
      <c r="AA4249" s="25"/>
    </row>
    <row r="4250" spans="1:27" x14ac:dyDescent="0.35">
      <c r="A4250" s="5">
        <v>4246</v>
      </c>
      <c r="B4250" s="5">
        <v>177</v>
      </c>
      <c r="C4250" s="5">
        <v>6</v>
      </c>
      <c r="D4250" s="25">
        <v>1.1415000000000001E-4</v>
      </c>
      <c r="E4250" s="25">
        <v>1.1429000000000001E-4</v>
      </c>
      <c r="F4250" s="25">
        <v>1.2837999999999999E-4</v>
      </c>
      <c r="G4250" s="25">
        <v>5.605E-5</v>
      </c>
      <c r="H4250" s="25">
        <v>7.2730000000000003E-5</v>
      </c>
      <c r="I4250" s="9">
        <v>9.6089999999999996E-5</v>
      </c>
      <c r="J4250" s="9">
        <v>1.0318E-4</v>
      </c>
      <c r="K4250" s="9">
        <v>0</v>
      </c>
      <c r="L4250" s="9">
        <v>9.1849999999999996E-5</v>
      </c>
      <c r="M4250" s="9">
        <v>1.1401E-4</v>
      </c>
      <c r="N4250" s="9">
        <v>1.0589E-4</v>
      </c>
      <c r="O4250" s="9">
        <v>8.2849999999999995E-5</v>
      </c>
      <c r="P4250" s="9">
        <v>8.7940000000000002E-5</v>
      </c>
      <c r="Q4250" s="9">
        <v>8.8599999999999999E-5</v>
      </c>
      <c r="R4250" s="10">
        <v>8.0819224926634501E-5</v>
      </c>
      <c r="S4250" s="10">
        <v>6.1716163229384195E-5</v>
      </c>
      <c r="T4250" s="10">
        <v>0</v>
      </c>
      <c r="U4250" s="10">
        <v>8.5480000000000002E-5</v>
      </c>
      <c r="V4250" s="25"/>
      <c r="W4250" s="25"/>
      <c r="X4250" s="25"/>
      <c r="Y4250" s="25"/>
      <c r="Z4250" s="25"/>
      <c r="AA4250" s="25"/>
    </row>
    <row r="4251" spans="1:27" x14ac:dyDescent="0.35">
      <c r="A4251" s="5">
        <v>4247</v>
      </c>
      <c r="B4251" s="5">
        <v>177</v>
      </c>
      <c r="C4251" s="5">
        <v>6</v>
      </c>
      <c r="D4251" s="25">
        <v>1.1416E-4</v>
      </c>
      <c r="E4251" s="25">
        <v>1.1975E-4</v>
      </c>
      <c r="F4251" s="25">
        <v>1.3081E-4</v>
      </c>
      <c r="G4251" s="25">
        <v>5.6159999999999998E-5</v>
      </c>
      <c r="H4251" s="25">
        <v>6.6630000000000004E-5</v>
      </c>
      <c r="I4251" s="9">
        <v>9.4950000000000004E-5</v>
      </c>
      <c r="J4251" s="9">
        <v>1.0086000000000001E-4</v>
      </c>
      <c r="K4251" s="9">
        <v>1.908E-5</v>
      </c>
      <c r="L4251" s="9">
        <v>8.5610000000000002E-5</v>
      </c>
      <c r="M4251" s="9">
        <v>9.9370000000000006E-5</v>
      </c>
      <c r="N4251" s="9">
        <v>1.0012E-4</v>
      </c>
      <c r="O4251" s="9">
        <v>7.483E-5</v>
      </c>
      <c r="P4251" s="9">
        <v>7.2570000000000005E-5</v>
      </c>
      <c r="Q4251" s="9">
        <v>6.7290000000000001E-5</v>
      </c>
      <c r="R4251" s="10">
        <v>1.0028309491334165E-4</v>
      </c>
      <c r="S4251" s="10">
        <v>4.2074954770725118E-5</v>
      </c>
      <c r="T4251" s="10">
        <v>0</v>
      </c>
      <c r="U4251" s="10">
        <v>8.5480000000000002E-5</v>
      </c>
      <c r="V4251" s="25"/>
      <c r="W4251" s="25"/>
      <c r="X4251" s="25"/>
      <c r="Y4251" s="25"/>
      <c r="Z4251" s="25"/>
      <c r="AA4251" s="25"/>
    </row>
    <row r="4252" spans="1:27" x14ac:dyDescent="0.35">
      <c r="A4252" s="5">
        <v>4248</v>
      </c>
      <c r="B4252" s="5">
        <v>177</v>
      </c>
      <c r="C4252" s="5">
        <v>6</v>
      </c>
      <c r="D4252" s="25">
        <v>1.1415000000000001E-4</v>
      </c>
      <c r="E4252" s="25">
        <v>1.165E-4</v>
      </c>
      <c r="F4252" s="25">
        <v>1.2967999999999999E-4</v>
      </c>
      <c r="G4252" s="25">
        <v>5.5090000000000003E-5</v>
      </c>
      <c r="H4252" s="25">
        <v>7.0370000000000006E-5</v>
      </c>
      <c r="I4252" s="9">
        <v>8.9259999999999996E-5</v>
      </c>
      <c r="J4252" s="9">
        <v>9.501E-5</v>
      </c>
      <c r="K4252" s="9">
        <v>3.6029999999999999E-5</v>
      </c>
      <c r="L4252" s="9">
        <v>7.7180000000000003E-5</v>
      </c>
      <c r="M4252" s="9">
        <v>8.6500000000000002E-5</v>
      </c>
      <c r="N4252" s="9">
        <v>9.0890000000000006E-5</v>
      </c>
      <c r="O4252" s="9">
        <v>6.1519999999999994E-5</v>
      </c>
      <c r="P4252" s="9">
        <v>6.0659999999999999E-5</v>
      </c>
      <c r="Q4252" s="9">
        <v>5.8850000000000001E-5</v>
      </c>
      <c r="R4252" s="10">
        <v>1.0760183508970747E-4</v>
      </c>
      <c r="S4252" s="10">
        <v>5.2384899873631711E-5</v>
      </c>
      <c r="T4252" s="10">
        <v>0</v>
      </c>
      <c r="U4252" s="10">
        <v>8.5480000000000002E-5</v>
      </c>
      <c r="V4252" s="25"/>
      <c r="W4252" s="25"/>
      <c r="X4252" s="25"/>
      <c r="Y4252" s="25"/>
      <c r="Z4252" s="25"/>
      <c r="AA4252" s="25"/>
    </row>
    <row r="4253" spans="1:27" x14ac:dyDescent="0.35">
      <c r="A4253" s="5">
        <v>4249</v>
      </c>
      <c r="B4253" s="5">
        <v>178</v>
      </c>
      <c r="C4253" s="5">
        <v>6</v>
      </c>
      <c r="D4253" s="25">
        <v>1.1416E-4</v>
      </c>
      <c r="E4253" s="25">
        <v>1.1903E-4</v>
      </c>
      <c r="F4253" s="25">
        <v>1.3813000000000001E-4</v>
      </c>
      <c r="G4253" s="25">
        <v>5.5250000000000001E-5</v>
      </c>
      <c r="H4253" s="25">
        <v>7.381E-5</v>
      </c>
      <c r="I4253" s="9">
        <v>8.4250000000000001E-5</v>
      </c>
      <c r="J4253" s="9">
        <v>8.9779999999999998E-5</v>
      </c>
      <c r="K4253" s="9">
        <v>5.0869999999999999E-5</v>
      </c>
      <c r="L4253" s="9">
        <v>6.4969999999999996E-5</v>
      </c>
      <c r="M4253" s="9">
        <v>7.4239999999999994E-5</v>
      </c>
      <c r="N4253" s="9">
        <v>8.14E-5</v>
      </c>
      <c r="O4253" s="9">
        <v>5.4400000000000001E-5</v>
      </c>
      <c r="P4253" s="9">
        <v>5.3820000000000003E-5</v>
      </c>
      <c r="Q4253" s="9">
        <v>5.3399999999999997E-5</v>
      </c>
      <c r="R4253" s="10">
        <v>1.0492715869812346E-4</v>
      </c>
      <c r="S4253" s="10">
        <v>6.1631708793113862E-5</v>
      </c>
      <c r="T4253" s="10">
        <v>0</v>
      </c>
      <c r="U4253" s="10">
        <v>8.4090000000000003E-5</v>
      </c>
      <c r="V4253" s="25"/>
      <c r="W4253" s="25"/>
      <c r="X4253" s="25"/>
      <c r="Y4253" s="25"/>
      <c r="Z4253" s="25"/>
      <c r="AA4253" s="25"/>
    </row>
    <row r="4254" spans="1:27" x14ac:dyDescent="0.35">
      <c r="A4254" s="5">
        <v>4250</v>
      </c>
      <c r="B4254" s="5">
        <v>178</v>
      </c>
      <c r="C4254" s="5">
        <v>6</v>
      </c>
      <c r="D4254" s="25">
        <v>1.1415000000000001E-4</v>
      </c>
      <c r="E4254" s="25">
        <v>1.1336E-4</v>
      </c>
      <c r="F4254" s="25">
        <v>1.2276E-4</v>
      </c>
      <c r="G4254" s="25">
        <v>5.2139999999999999E-5</v>
      </c>
      <c r="H4254" s="25">
        <v>7.4540000000000001E-5</v>
      </c>
      <c r="I4254" s="9">
        <v>8.1230000000000007E-5</v>
      </c>
      <c r="J4254" s="9">
        <v>8.6860000000000005E-5</v>
      </c>
      <c r="K4254" s="9">
        <v>6.1470000000000006E-5</v>
      </c>
      <c r="L4254" s="9">
        <v>5.7059999999999999E-5</v>
      </c>
      <c r="M4254" s="9">
        <v>6.3969999999999999E-5</v>
      </c>
      <c r="N4254" s="9">
        <v>7.224E-5</v>
      </c>
      <c r="O4254" s="9">
        <v>2.4119999999999999E-5</v>
      </c>
      <c r="P4254" s="9">
        <v>3.7740000000000001E-5</v>
      </c>
      <c r="Q4254" s="9">
        <v>5.6159999999999998E-5</v>
      </c>
      <c r="R4254" s="10">
        <v>1.0024182935254388E-4</v>
      </c>
      <c r="S4254" s="10">
        <v>6.8011465853577078E-5</v>
      </c>
      <c r="T4254" s="10">
        <v>0</v>
      </c>
      <c r="U4254" s="10">
        <v>8.4090000000000003E-5</v>
      </c>
      <c r="V4254" s="25"/>
      <c r="W4254" s="25"/>
      <c r="X4254" s="25"/>
      <c r="Y4254" s="25"/>
      <c r="Z4254" s="25"/>
      <c r="AA4254" s="25"/>
    </row>
    <row r="4255" spans="1:27" x14ac:dyDescent="0.35">
      <c r="A4255" s="5">
        <v>4251</v>
      </c>
      <c r="B4255" s="5">
        <v>178</v>
      </c>
      <c r="C4255" s="5">
        <v>6</v>
      </c>
      <c r="D4255" s="25">
        <v>1.1416E-4</v>
      </c>
      <c r="E4255" s="25">
        <v>1.1636E-4</v>
      </c>
      <c r="F4255" s="25">
        <v>1.2501999999999999E-4</v>
      </c>
      <c r="G4255" s="25">
        <v>6.2059999999999999E-5</v>
      </c>
      <c r="H4255" s="25">
        <v>7.1500000000000003E-5</v>
      </c>
      <c r="I4255" s="9">
        <v>7.9560000000000004E-5</v>
      </c>
      <c r="J4255" s="9">
        <v>8.5560000000000001E-5</v>
      </c>
      <c r="K4255" s="9">
        <v>7.2059999999999998E-5</v>
      </c>
      <c r="L4255" s="9">
        <v>3.154E-5</v>
      </c>
      <c r="M4255" s="9">
        <v>5.219E-5</v>
      </c>
      <c r="N4255" s="9">
        <v>6.5610000000000004E-5</v>
      </c>
      <c r="O4255" s="9">
        <v>1.961E-5</v>
      </c>
      <c r="P4255" s="9">
        <v>3.807E-5</v>
      </c>
      <c r="Q4255" s="9">
        <v>6.2050000000000004E-5</v>
      </c>
      <c r="R4255" s="10">
        <v>8.8587549827588417E-5</v>
      </c>
      <c r="S4255" s="10">
        <v>7.4744927308771262E-5</v>
      </c>
      <c r="T4255" s="10">
        <v>0</v>
      </c>
      <c r="U4255" s="10">
        <v>8.4090000000000003E-5</v>
      </c>
      <c r="V4255" s="25"/>
      <c r="W4255" s="25"/>
      <c r="X4255" s="25"/>
      <c r="Y4255" s="25"/>
      <c r="Z4255" s="25"/>
      <c r="AA4255" s="25"/>
    </row>
    <row r="4256" spans="1:27" x14ac:dyDescent="0.35">
      <c r="A4256" s="5">
        <v>4252</v>
      </c>
      <c r="B4256" s="5">
        <v>178</v>
      </c>
      <c r="C4256" s="5">
        <v>6</v>
      </c>
      <c r="D4256" s="25">
        <v>1.1415000000000001E-4</v>
      </c>
      <c r="E4256" s="25">
        <v>1.1054E-4</v>
      </c>
      <c r="F4256" s="25">
        <v>1.3007000000000001E-4</v>
      </c>
      <c r="G4256" s="25">
        <v>6.2429999999999997E-5</v>
      </c>
      <c r="H4256" s="25">
        <v>6.3330000000000005E-5</v>
      </c>
      <c r="I4256" s="9">
        <v>7.8490000000000002E-5</v>
      </c>
      <c r="J4256" s="9">
        <v>8.4820000000000004E-5</v>
      </c>
      <c r="K4256" s="9">
        <v>7.8419999999999998E-5</v>
      </c>
      <c r="L4256" s="9">
        <v>2.287E-5</v>
      </c>
      <c r="M4256" s="9">
        <v>4.4289999999999998E-5</v>
      </c>
      <c r="N4256" s="9">
        <v>6.2080000000000002E-5</v>
      </c>
      <c r="O4256" s="9">
        <v>1.9349999999999999E-5</v>
      </c>
      <c r="P4256" s="9">
        <v>4.6940000000000001E-5</v>
      </c>
      <c r="Q4256" s="9">
        <v>7.9839999999999995E-5</v>
      </c>
      <c r="R4256" s="10">
        <v>8.5558889786717962E-5</v>
      </c>
      <c r="S4256" s="10">
        <v>8.4952782702880748E-5</v>
      </c>
      <c r="T4256" s="10">
        <v>0</v>
      </c>
      <c r="U4256" s="10">
        <v>8.4090000000000003E-5</v>
      </c>
      <c r="V4256" s="25"/>
      <c r="W4256" s="25"/>
      <c r="X4256" s="25"/>
      <c r="Y4256" s="25"/>
      <c r="Z4256" s="25"/>
      <c r="AA4256" s="25"/>
    </row>
    <row r="4257" spans="1:27" x14ac:dyDescent="0.35">
      <c r="A4257" s="5">
        <v>4253</v>
      </c>
      <c r="B4257" s="5">
        <v>178</v>
      </c>
      <c r="C4257" s="5">
        <v>6</v>
      </c>
      <c r="D4257" s="25">
        <v>1.1416E-4</v>
      </c>
      <c r="E4257" s="25">
        <v>1.1218999999999999E-4</v>
      </c>
      <c r="F4257" s="25">
        <v>1.3559999999999999E-4</v>
      </c>
      <c r="G4257" s="25">
        <v>5.8109999999999998E-5</v>
      </c>
      <c r="H4257" s="25">
        <v>6.7650000000000005E-5</v>
      </c>
      <c r="I4257" s="9">
        <v>7.6359999999999994E-5</v>
      </c>
      <c r="J4257" s="9">
        <v>8.2509999999999994E-5</v>
      </c>
      <c r="K4257" s="9">
        <v>5.2989999999999999E-5</v>
      </c>
      <c r="L4257" s="9">
        <v>2.033E-5</v>
      </c>
      <c r="M4257" s="9">
        <v>4.3479999999999997E-5</v>
      </c>
      <c r="N4257" s="9">
        <v>6.4460000000000003E-5</v>
      </c>
      <c r="O4257" s="9">
        <v>2.4280000000000001E-5</v>
      </c>
      <c r="P4257" s="9">
        <v>5.6990000000000002E-5</v>
      </c>
      <c r="Q4257" s="9">
        <v>9.4240000000000006E-5</v>
      </c>
      <c r="R4257" s="10">
        <v>8.942228190442435E-5</v>
      </c>
      <c r="S4257" s="10">
        <v>8.3504903308043795E-5</v>
      </c>
      <c r="T4257" s="10">
        <v>7.3983090333242747E-6</v>
      </c>
      <c r="U4257" s="10">
        <v>8.4090000000000003E-5</v>
      </c>
      <c r="V4257" s="25"/>
      <c r="W4257" s="25"/>
      <c r="X4257" s="25"/>
      <c r="Y4257" s="25"/>
      <c r="Z4257" s="25"/>
      <c r="AA4257" s="25"/>
    </row>
    <row r="4258" spans="1:27" x14ac:dyDescent="0.35">
      <c r="A4258" s="5">
        <v>4254</v>
      </c>
      <c r="B4258" s="5">
        <v>178</v>
      </c>
      <c r="C4258" s="5">
        <v>6</v>
      </c>
      <c r="D4258" s="25">
        <v>1.1415000000000001E-4</v>
      </c>
      <c r="E4258" s="25">
        <v>1.1943999999999999E-4</v>
      </c>
      <c r="F4258" s="25">
        <v>1.2778E-4</v>
      </c>
      <c r="G4258" s="25">
        <v>1.0457E-4</v>
      </c>
      <c r="H4258" s="25">
        <v>1.2553999999999999E-4</v>
      </c>
      <c r="I4258" s="9">
        <v>7.6069999999999995E-5</v>
      </c>
      <c r="J4258" s="9">
        <v>8.1799999999999996E-5</v>
      </c>
      <c r="K4258" s="9">
        <v>1.272E-5</v>
      </c>
      <c r="L4258" s="9">
        <v>2.3300000000000001E-5</v>
      </c>
      <c r="M4258" s="9">
        <v>4.8479999999999997E-5</v>
      </c>
      <c r="N4258" s="9">
        <v>7.1119999999999997E-5</v>
      </c>
      <c r="O4258" s="9">
        <v>4.7320000000000001E-5</v>
      </c>
      <c r="P4258" s="9">
        <v>7.6559999999999999E-5</v>
      </c>
      <c r="Q4258" s="9">
        <v>1.0661E-4</v>
      </c>
      <c r="R4258" s="10">
        <v>8.9853940554387326E-5</v>
      </c>
      <c r="S4258" s="10">
        <v>7.8984922156028324E-5</v>
      </c>
      <c r="T4258" s="10">
        <v>4.5136472542758193E-6</v>
      </c>
      <c r="U4258" s="10">
        <v>8.4090000000000003E-5</v>
      </c>
      <c r="V4258" s="25"/>
      <c r="W4258" s="25"/>
      <c r="X4258" s="25"/>
      <c r="Y4258" s="25"/>
      <c r="Z4258" s="25"/>
      <c r="AA4258" s="25"/>
    </row>
    <row r="4259" spans="1:27" x14ac:dyDescent="0.35">
      <c r="A4259" s="5">
        <v>4255</v>
      </c>
      <c r="B4259" s="5">
        <v>178</v>
      </c>
      <c r="C4259" s="5">
        <v>6</v>
      </c>
      <c r="D4259" s="25">
        <v>1.1416E-4</v>
      </c>
      <c r="E4259" s="25">
        <v>1.1998999999999999E-4</v>
      </c>
      <c r="F4259" s="25">
        <v>1.3788E-4</v>
      </c>
      <c r="G4259" s="25">
        <v>1.0501999999999999E-4</v>
      </c>
      <c r="H4259" s="25">
        <v>1.2931999999999999E-4</v>
      </c>
      <c r="I4259" s="9">
        <v>7.8640000000000006E-5</v>
      </c>
      <c r="J4259" s="9">
        <v>8.4019999999999999E-5</v>
      </c>
      <c r="K4259" s="9">
        <v>0</v>
      </c>
      <c r="L4259" s="9">
        <v>4.1909999999999997E-5</v>
      </c>
      <c r="M4259" s="9">
        <v>6.0000000000000002E-5</v>
      </c>
      <c r="N4259" s="9">
        <v>8.072E-5</v>
      </c>
      <c r="O4259" s="9">
        <v>1.1260999999999999E-4</v>
      </c>
      <c r="P4259" s="9">
        <v>1.1694E-4</v>
      </c>
      <c r="Q4259" s="9">
        <v>1.1202E-4</v>
      </c>
      <c r="R4259" s="10">
        <v>9.2112345607156542E-5</v>
      </c>
      <c r="S4259" s="10">
        <v>8.3533858875106751E-5</v>
      </c>
      <c r="T4259" s="10">
        <v>4.6171557063475578E-5</v>
      </c>
      <c r="U4259" s="10">
        <v>8.4090000000000003E-5</v>
      </c>
      <c r="V4259" s="25"/>
      <c r="W4259" s="25"/>
      <c r="X4259" s="25"/>
      <c r="Y4259" s="25"/>
      <c r="Z4259" s="25"/>
      <c r="AA4259" s="25"/>
    </row>
    <row r="4260" spans="1:27" x14ac:dyDescent="0.35">
      <c r="A4260" s="5">
        <v>4256</v>
      </c>
      <c r="B4260" s="5">
        <v>178</v>
      </c>
      <c r="C4260" s="5">
        <v>6</v>
      </c>
      <c r="D4260" s="25">
        <v>1.1415000000000001E-4</v>
      </c>
      <c r="E4260" s="25">
        <v>1.1971E-4</v>
      </c>
      <c r="F4260" s="25">
        <v>1.3684E-4</v>
      </c>
      <c r="G4260" s="25">
        <v>1.5865000000000001E-4</v>
      </c>
      <c r="H4260" s="25">
        <v>2.0127E-4</v>
      </c>
      <c r="I4260" s="9">
        <v>8.2150000000000005E-5</v>
      </c>
      <c r="J4260" s="9">
        <v>8.8759999999999997E-5</v>
      </c>
      <c r="K4260" s="9">
        <v>0</v>
      </c>
      <c r="L4260" s="9">
        <v>9.6539999999999994E-5</v>
      </c>
      <c r="M4260" s="9">
        <v>8.3469999999999999E-5</v>
      </c>
      <c r="N4260" s="9">
        <v>9.0719999999999999E-5</v>
      </c>
      <c r="O4260" s="9">
        <v>1.9442999999999999E-4</v>
      </c>
      <c r="P4260" s="9">
        <v>1.7631999999999999E-4</v>
      </c>
      <c r="Q4260" s="9">
        <v>1.3621E-4</v>
      </c>
      <c r="R4260" s="10">
        <v>7.491215826541388E-5</v>
      </c>
      <c r="S4260" s="10">
        <v>9.4470830005977883E-5</v>
      </c>
      <c r="T4260" s="10">
        <v>3.8654467839249308E-5</v>
      </c>
      <c r="U4260" s="10">
        <v>8.4090000000000003E-5</v>
      </c>
      <c r="V4260" s="25"/>
      <c r="W4260" s="25"/>
      <c r="X4260" s="25"/>
      <c r="Y4260" s="25"/>
      <c r="Z4260" s="25"/>
      <c r="AA4260" s="25"/>
    </row>
    <row r="4261" spans="1:27" x14ac:dyDescent="0.35">
      <c r="A4261" s="5">
        <v>4257</v>
      </c>
      <c r="B4261" s="5">
        <v>178</v>
      </c>
      <c r="C4261" s="5">
        <v>6</v>
      </c>
      <c r="D4261" s="25">
        <v>1.1416E-4</v>
      </c>
      <c r="E4261" s="25">
        <v>1.1618E-4</v>
      </c>
      <c r="F4261" s="25">
        <v>1.2939000000000001E-4</v>
      </c>
      <c r="G4261" s="25">
        <v>1.6314000000000001E-4</v>
      </c>
      <c r="H4261" s="25">
        <v>1.9078000000000001E-4</v>
      </c>
      <c r="I4261" s="9">
        <v>8.475E-5</v>
      </c>
      <c r="J4261" s="9">
        <v>9.3469999999999998E-5</v>
      </c>
      <c r="K4261" s="9">
        <v>0</v>
      </c>
      <c r="L4261" s="9">
        <v>1.7139999999999999E-4</v>
      </c>
      <c r="M4261" s="9">
        <v>1.2296E-4</v>
      </c>
      <c r="N4261" s="9">
        <v>1.0435E-4</v>
      </c>
      <c r="O4261" s="9">
        <v>1.8875000000000001E-4</v>
      </c>
      <c r="P4261" s="9">
        <v>1.9382000000000001E-4</v>
      </c>
      <c r="Q4261" s="9">
        <v>1.775E-4</v>
      </c>
      <c r="R4261" s="10">
        <v>6.9925361269151942E-5</v>
      </c>
      <c r="S4261" s="10">
        <v>1.0819862228342131E-4</v>
      </c>
      <c r="T4261" s="10">
        <v>2.1932762250053423E-4</v>
      </c>
      <c r="U4261" s="10">
        <v>8.4090000000000003E-5</v>
      </c>
      <c r="V4261" s="25"/>
      <c r="W4261" s="25"/>
      <c r="X4261" s="25"/>
      <c r="Y4261" s="25"/>
      <c r="Z4261" s="25"/>
      <c r="AA4261" s="25"/>
    </row>
    <row r="4262" spans="1:27" x14ac:dyDescent="0.35">
      <c r="A4262" s="5">
        <v>4258</v>
      </c>
      <c r="B4262" s="5">
        <v>178</v>
      </c>
      <c r="C4262" s="5">
        <v>6</v>
      </c>
      <c r="D4262" s="25">
        <v>1.1415000000000001E-4</v>
      </c>
      <c r="E4262" s="25">
        <v>1.1077E-4</v>
      </c>
      <c r="F4262" s="25">
        <v>1.1971E-4</v>
      </c>
      <c r="G4262" s="25">
        <v>1.6071E-4</v>
      </c>
      <c r="H4262" s="25">
        <v>1.9984000000000001E-4</v>
      </c>
      <c r="I4262" s="9">
        <v>8.6199999999999995E-5</v>
      </c>
      <c r="J4262" s="9">
        <v>9.7020000000000003E-5</v>
      </c>
      <c r="K4262" s="9">
        <v>0</v>
      </c>
      <c r="L4262" s="9">
        <v>1.8296E-4</v>
      </c>
      <c r="M4262" s="9">
        <v>1.5847999999999999E-4</v>
      </c>
      <c r="N4262" s="9">
        <v>1.2452000000000001E-4</v>
      </c>
      <c r="O4262" s="9">
        <v>1.5076E-4</v>
      </c>
      <c r="P4262" s="9">
        <v>1.7440000000000001E-4</v>
      </c>
      <c r="Q4262" s="9">
        <v>1.8241000000000001E-4</v>
      </c>
      <c r="R4262" s="10">
        <v>7.3505992305610912E-5</v>
      </c>
      <c r="S4262" s="10">
        <v>1.124494331794998E-4</v>
      </c>
      <c r="T4262" s="10">
        <v>3.5016400277908195E-4</v>
      </c>
      <c r="U4262" s="10">
        <v>8.4090000000000003E-5</v>
      </c>
      <c r="V4262" s="25"/>
      <c r="W4262" s="25"/>
      <c r="X4262" s="25"/>
      <c r="Y4262" s="25"/>
      <c r="Z4262" s="25"/>
      <c r="AA4262" s="25"/>
    </row>
    <row r="4263" spans="1:27" x14ac:dyDescent="0.35">
      <c r="A4263" s="5">
        <v>4259</v>
      </c>
      <c r="B4263" s="5">
        <v>178</v>
      </c>
      <c r="C4263" s="5">
        <v>6</v>
      </c>
      <c r="D4263" s="25">
        <v>1.1416E-4</v>
      </c>
      <c r="E4263" s="25">
        <v>1.1870999999999999E-4</v>
      </c>
      <c r="F4263" s="25">
        <v>1.3332E-4</v>
      </c>
      <c r="G4263" s="25">
        <v>1.6571000000000001E-4</v>
      </c>
      <c r="H4263" s="25">
        <v>1.9773999999999999E-4</v>
      </c>
      <c r="I4263" s="9">
        <v>8.6479999999999999E-5</v>
      </c>
      <c r="J4263" s="9">
        <v>9.9779999999999997E-5</v>
      </c>
      <c r="K4263" s="9">
        <v>0</v>
      </c>
      <c r="L4263" s="9">
        <v>1.5788E-4</v>
      </c>
      <c r="M4263" s="9">
        <v>1.7247000000000001E-4</v>
      </c>
      <c r="N4263" s="9">
        <v>1.4266999999999999E-4</v>
      </c>
      <c r="O4263" s="9">
        <v>1.5064000000000001E-4</v>
      </c>
      <c r="P4263" s="9">
        <v>1.729E-4</v>
      </c>
      <c r="Q4263" s="9">
        <v>1.7959000000000001E-4</v>
      </c>
      <c r="R4263" s="10">
        <v>9.382776013372572E-5</v>
      </c>
      <c r="S4263" s="10">
        <v>1.1668183282914448E-4</v>
      </c>
      <c r="T4263" s="10">
        <v>5.0685204317751388E-4</v>
      </c>
      <c r="U4263" s="10">
        <v>8.4090000000000003E-5</v>
      </c>
      <c r="V4263" s="25"/>
      <c r="W4263" s="25"/>
      <c r="X4263" s="25"/>
      <c r="Y4263" s="25"/>
      <c r="Z4263" s="25"/>
      <c r="AA4263" s="25"/>
    </row>
    <row r="4264" spans="1:27" x14ac:dyDescent="0.35">
      <c r="A4264" s="5">
        <v>4260</v>
      </c>
      <c r="B4264" s="5">
        <v>178</v>
      </c>
      <c r="C4264" s="5">
        <v>6</v>
      </c>
      <c r="D4264" s="25">
        <v>1.1415000000000001E-4</v>
      </c>
      <c r="E4264" s="25">
        <v>1.1616999999999999E-4</v>
      </c>
      <c r="F4264" s="25">
        <v>1.3540000000000001E-4</v>
      </c>
      <c r="G4264" s="25">
        <v>1.6046999999999999E-4</v>
      </c>
      <c r="H4264" s="25">
        <v>1.9671000000000001E-4</v>
      </c>
      <c r="I4264" s="9">
        <v>8.9229999999999998E-5</v>
      </c>
      <c r="J4264" s="9">
        <v>1.0213999999999999E-4</v>
      </c>
      <c r="K4264" s="9">
        <v>0</v>
      </c>
      <c r="L4264" s="9">
        <v>1.5343999999999999E-4</v>
      </c>
      <c r="M4264" s="9">
        <v>1.75E-4</v>
      </c>
      <c r="N4264" s="9">
        <v>1.5679999999999999E-4</v>
      </c>
      <c r="O4264" s="9">
        <v>1.5197999999999999E-4</v>
      </c>
      <c r="P4264" s="9">
        <v>1.7043000000000001E-4</v>
      </c>
      <c r="Q4264" s="9">
        <v>1.7307999999999999E-4</v>
      </c>
      <c r="R4264" s="10">
        <v>7.1106488752891667E-5</v>
      </c>
      <c r="S4264" s="10">
        <v>9.2130079097668303E-5</v>
      </c>
      <c r="T4264" s="10">
        <v>7.0312782434371092E-4</v>
      </c>
      <c r="U4264" s="10">
        <v>8.4090000000000003E-5</v>
      </c>
      <c r="V4264" s="25"/>
      <c r="W4264" s="25"/>
      <c r="X4264" s="25"/>
      <c r="Y4264" s="25"/>
      <c r="Z4264" s="25"/>
      <c r="AA4264" s="25"/>
    </row>
    <row r="4265" spans="1:27" x14ac:dyDescent="0.35">
      <c r="A4265" s="5">
        <v>4261</v>
      </c>
      <c r="B4265" s="5">
        <v>178</v>
      </c>
      <c r="C4265" s="5">
        <v>6</v>
      </c>
      <c r="D4265" s="25">
        <v>1.1416E-4</v>
      </c>
      <c r="E4265" s="25">
        <v>1.1254E-4</v>
      </c>
      <c r="F4265" s="25">
        <v>1.2124E-4</v>
      </c>
      <c r="G4265" s="25">
        <v>1.6381999999999999E-4</v>
      </c>
      <c r="H4265" s="25">
        <v>1.9985000000000001E-4</v>
      </c>
      <c r="I4265" s="9">
        <v>8.9499999999999994E-5</v>
      </c>
      <c r="J4265" s="9">
        <v>1.0252E-4</v>
      </c>
      <c r="K4265" s="9">
        <v>0</v>
      </c>
      <c r="L4265" s="9">
        <v>1.5244999999999999E-4</v>
      </c>
      <c r="M4265" s="9">
        <v>1.7351000000000001E-4</v>
      </c>
      <c r="N4265" s="9">
        <v>1.6605999999999999E-4</v>
      </c>
      <c r="O4265" s="9">
        <v>1.4563999999999999E-4</v>
      </c>
      <c r="P4265" s="9">
        <v>1.6377000000000001E-4</v>
      </c>
      <c r="Q4265" s="9">
        <v>1.6715999999999999E-4</v>
      </c>
      <c r="R4265" s="10">
        <v>8.8740989614920806E-5</v>
      </c>
      <c r="S4265" s="10">
        <v>9.2135156984089923E-5</v>
      </c>
      <c r="T4265" s="10">
        <v>6.4189663593373241E-4</v>
      </c>
      <c r="U4265" s="10">
        <v>8.4090000000000003E-5</v>
      </c>
      <c r="V4265" s="25"/>
      <c r="W4265" s="25"/>
      <c r="X4265" s="25"/>
      <c r="Y4265" s="25"/>
      <c r="Z4265" s="25"/>
      <c r="AA4265" s="25"/>
    </row>
    <row r="4266" spans="1:27" x14ac:dyDescent="0.35">
      <c r="A4266" s="5">
        <v>4262</v>
      </c>
      <c r="B4266" s="5">
        <v>178</v>
      </c>
      <c r="C4266" s="5">
        <v>6</v>
      </c>
      <c r="D4266" s="25">
        <v>1.1415000000000001E-4</v>
      </c>
      <c r="E4266" s="25">
        <v>1.0942000000000001E-4</v>
      </c>
      <c r="F4266" s="25">
        <v>1.3202999999999999E-4</v>
      </c>
      <c r="G4266" s="25">
        <v>1.5871E-4</v>
      </c>
      <c r="H4266" s="25">
        <v>1.9589999999999999E-4</v>
      </c>
      <c r="I4266" s="9">
        <v>8.6990000000000006E-5</v>
      </c>
      <c r="J4266" s="9">
        <v>1.01E-4</v>
      </c>
      <c r="K4266" s="9">
        <v>0</v>
      </c>
      <c r="L4266" s="9">
        <v>1.4694E-4</v>
      </c>
      <c r="M4266" s="9">
        <v>1.6958000000000001E-4</v>
      </c>
      <c r="N4266" s="9">
        <v>1.7033E-4</v>
      </c>
      <c r="O4266" s="9">
        <v>1.5914999999999999E-4</v>
      </c>
      <c r="P4266" s="9">
        <v>1.6794999999999999E-4</v>
      </c>
      <c r="Q4266" s="9">
        <v>1.5996000000000001E-4</v>
      </c>
      <c r="R4266" s="10">
        <v>1.1688113494336138E-4</v>
      </c>
      <c r="S4266" s="10">
        <v>8.8222121193025325E-5</v>
      </c>
      <c r="T4266" s="10">
        <v>5.9854186625450418E-4</v>
      </c>
      <c r="U4266" s="10">
        <v>8.4090000000000003E-5</v>
      </c>
      <c r="V4266" s="25"/>
      <c r="W4266" s="25"/>
      <c r="X4266" s="25"/>
      <c r="Y4266" s="25"/>
      <c r="Z4266" s="25"/>
      <c r="AA4266" s="25"/>
    </row>
    <row r="4267" spans="1:27" x14ac:dyDescent="0.35">
      <c r="A4267" s="5">
        <v>4263</v>
      </c>
      <c r="B4267" s="5">
        <v>178</v>
      </c>
      <c r="C4267" s="5">
        <v>6</v>
      </c>
      <c r="D4267" s="25">
        <v>1.1416E-4</v>
      </c>
      <c r="E4267" s="25">
        <v>1.1173E-4</v>
      </c>
      <c r="F4267" s="25">
        <v>1.2951E-4</v>
      </c>
      <c r="G4267" s="25">
        <v>1.5913E-4</v>
      </c>
      <c r="H4267" s="25">
        <v>1.9986E-4</v>
      </c>
      <c r="I4267" s="9">
        <v>8.3780000000000001E-5</v>
      </c>
      <c r="J4267" s="9">
        <v>9.8750000000000002E-5</v>
      </c>
      <c r="K4267" s="9">
        <v>0</v>
      </c>
      <c r="L4267" s="9">
        <v>1.5658999999999999E-4</v>
      </c>
      <c r="M4267" s="9">
        <v>1.6788999999999999E-4</v>
      </c>
      <c r="N4267" s="9">
        <v>1.6966E-4</v>
      </c>
      <c r="O4267" s="9">
        <v>1.6403000000000001E-4</v>
      </c>
      <c r="P4267" s="9">
        <v>1.6683E-4</v>
      </c>
      <c r="Q4267" s="9">
        <v>1.5217E-4</v>
      </c>
      <c r="R4267" s="10">
        <v>1.3042236980094989E-4</v>
      </c>
      <c r="S4267" s="10">
        <v>7.9082961620004395E-5</v>
      </c>
      <c r="T4267" s="10">
        <v>6.3716239689635295E-4</v>
      </c>
      <c r="U4267" s="10">
        <v>8.4090000000000003E-5</v>
      </c>
      <c r="V4267" s="25"/>
      <c r="W4267" s="25"/>
      <c r="X4267" s="25"/>
      <c r="Y4267" s="25"/>
      <c r="Z4267" s="25"/>
      <c r="AA4267" s="25"/>
    </row>
    <row r="4268" spans="1:27" x14ac:dyDescent="0.35">
      <c r="A4268" s="5">
        <v>4264</v>
      </c>
      <c r="B4268" s="5">
        <v>178</v>
      </c>
      <c r="C4268" s="5">
        <v>6</v>
      </c>
      <c r="D4268" s="25">
        <v>1.1415000000000001E-4</v>
      </c>
      <c r="E4268" s="25">
        <v>1.1747E-4</v>
      </c>
      <c r="F4268" s="25">
        <v>1.2638999999999999E-4</v>
      </c>
      <c r="G4268" s="25">
        <v>1.5875000000000001E-4</v>
      </c>
      <c r="H4268" s="25">
        <v>1.9034E-4</v>
      </c>
      <c r="I4268" s="9">
        <v>8.2659999999999998E-5</v>
      </c>
      <c r="J4268" s="9">
        <v>9.9630000000000007E-5</v>
      </c>
      <c r="K4268" s="9">
        <v>0</v>
      </c>
      <c r="L4268" s="9">
        <v>1.6213999999999999E-4</v>
      </c>
      <c r="M4268" s="9">
        <v>1.6715999999999999E-4</v>
      </c>
      <c r="N4268" s="9">
        <v>1.6571000000000001E-4</v>
      </c>
      <c r="O4268" s="9">
        <v>1.7692000000000001E-4</v>
      </c>
      <c r="P4268" s="9">
        <v>1.5309000000000001E-4</v>
      </c>
      <c r="Q4268" s="9">
        <v>1.1022E-4</v>
      </c>
      <c r="R4268" s="10">
        <v>1.3570593341648675E-4</v>
      </c>
      <c r="S4268" s="10">
        <v>7.1853369962076509E-5</v>
      </c>
      <c r="T4268" s="10">
        <v>5.1190020129084882E-4</v>
      </c>
      <c r="U4268" s="10">
        <v>8.4090000000000003E-5</v>
      </c>
      <c r="V4268" s="25"/>
      <c r="W4268" s="25"/>
      <c r="X4268" s="25"/>
      <c r="Y4268" s="25"/>
      <c r="Z4268" s="25"/>
      <c r="AA4268" s="25"/>
    </row>
    <row r="4269" spans="1:27" x14ac:dyDescent="0.35">
      <c r="A4269" s="5">
        <v>4265</v>
      </c>
      <c r="B4269" s="5">
        <v>178</v>
      </c>
      <c r="C4269" s="5">
        <v>6</v>
      </c>
      <c r="D4269" s="25">
        <v>1.1416E-4</v>
      </c>
      <c r="E4269" s="25">
        <v>1.1730000000000001E-4</v>
      </c>
      <c r="F4269" s="25">
        <v>1.2704E-4</v>
      </c>
      <c r="G4269" s="25">
        <v>1.5906000000000001E-4</v>
      </c>
      <c r="H4269" s="25">
        <v>1.9769000000000001E-4</v>
      </c>
      <c r="I4269" s="9">
        <v>8.8170000000000005E-5</v>
      </c>
      <c r="J4269" s="9">
        <v>1.0367E-4</v>
      </c>
      <c r="K4269" s="9">
        <v>0</v>
      </c>
      <c r="L4269" s="9">
        <v>1.7347E-4</v>
      </c>
      <c r="M4269" s="9">
        <v>1.6202E-4</v>
      </c>
      <c r="N4269" s="9">
        <v>1.5213999999999999E-4</v>
      </c>
      <c r="O4269" s="9">
        <v>1.9191E-4</v>
      </c>
      <c r="P4269" s="9">
        <v>1.6061E-4</v>
      </c>
      <c r="Q4269" s="9">
        <v>1.0804E-4</v>
      </c>
      <c r="R4269" s="10">
        <v>1.3743818286408703E-4</v>
      </c>
      <c r="S4269" s="10">
        <v>7.4894852533549674E-5</v>
      </c>
      <c r="T4269" s="10">
        <v>3.5620482391638341E-4</v>
      </c>
      <c r="U4269" s="10">
        <v>8.4090000000000003E-5</v>
      </c>
      <c r="V4269" s="25"/>
      <c r="W4269" s="25"/>
      <c r="X4269" s="25"/>
      <c r="Y4269" s="25"/>
      <c r="Z4269" s="25"/>
      <c r="AA4269" s="25"/>
    </row>
    <row r="4270" spans="1:27" x14ac:dyDescent="0.35">
      <c r="A4270" s="5">
        <v>4266</v>
      </c>
      <c r="B4270" s="5">
        <v>178</v>
      </c>
      <c r="C4270" s="5">
        <v>6</v>
      </c>
      <c r="D4270" s="25">
        <v>1.1415000000000001E-4</v>
      </c>
      <c r="E4270" s="25">
        <v>1.1936E-4</v>
      </c>
      <c r="F4270" s="25">
        <v>1.209E-4</v>
      </c>
      <c r="G4270" s="25">
        <v>1.6336000000000001E-4</v>
      </c>
      <c r="H4270" s="25">
        <v>1.9228999999999999E-4</v>
      </c>
      <c r="I4270" s="9">
        <v>9.221E-5</v>
      </c>
      <c r="J4270" s="9">
        <v>1.0524E-4</v>
      </c>
      <c r="K4270" s="9">
        <v>0</v>
      </c>
      <c r="L4270" s="9">
        <v>1.8761E-4</v>
      </c>
      <c r="M4270" s="9">
        <v>1.6008999999999999E-4</v>
      </c>
      <c r="N4270" s="9">
        <v>1.3908E-4</v>
      </c>
      <c r="O4270" s="9">
        <v>1.8478E-4</v>
      </c>
      <c r="P4270" s="9">
        <v>1.6192999999999999E-4</v>
      </c>
      <c r="Q4270" s="9">
        <v>1.1881E-4</v>
      </c>
      <c r="R4270" s="10">
        <v>1.2073542629567807E-4</v>
      </c>
      <c r="S4270" s="10">
        <v>6.7772144738838198E-5</v>
      </c>
      <c r="T4270" s="10">
        <v>1.7223127680789311E-4</v>
      </c>
      <c r="U4270" s="10">
        <v>8.4090000000000003E-5</v>
      </c>
      <c r="V4270" s="25"/>
      <c r="W4270" s="25"/>
      <c r="X4270" s="25"/>
      <c r="Y4270" s="25"/>
      <c r="Z4270" s="25"/>
      <c r="AA4270" s="25"/>
    </row>
    <row r="4271" spans="1:27" x14ac:dyDescent="0.35">
      <c r="A4271" s="5">
        <v>4267</v>
      </c>
      <c r="B4271" s="5">
        <v>178</v>
      </c>
      <c r="C4271" s="5">
        <v>6</v>
      </c>
      <c r="D4271" s="25">
        <v>1.1416E-4</v>
      </c>
      <c r="E4271" s="25">
        <v>1.1056999999999999E-4</v>
      </c>
      <c r="F4271" s="25">
        <v>1.2401E-4</v>
      </c>
      <c r="G4271" s="25">
        <v>1.1045E-4</v>
      </c>
      <c r="H4271" s="25">
        <v>1.2687000000000001E-4</v>
      </c>
      <c r="I4271" s="9">
        <v>9.5249999999999998E-5</v>
      </c>
      <c r="J4271" s="9">
        <v>1.0504E-4</v>
      </c>
      <c r="K4271" s="9">
        <v>0</v>
      </c>
      <c r="L4271" s="9">
        <v>1.8504E-4</v>
      </c>
      <c r="M4271" s="9">
        <v>1.6040999999999999E-4</v>
      </c>
      <c r="N4271" s="9">
        <v>1.3033000000000001E-4</v>
      </c>
      <c r="O4271" s="9">
        <v>1.4904999999999999E-4</v>
      </c>
      <c r="P4271" s="9">
        <v>1.3577000000000001E-4</v>
      </c>
      <c r="Q4271" s="9">
        <v>1.0776E-4</v>
      </c>
      <c r="R4271" s="10">
        <v>9.4074975443500733E-5</v>
      </c>
      <c r="S4271" s="10">
        <v>6.0883585551755161E-5</v>
      </c>
      <c r="T4271" s="10">
        <v>4.3940186334388094E-5</v>
      </c>
      <c r="U4271" s="10">
        <v>8.4090000000000003E-5</v>
      </c>
      <c r="V4271" s="25"/>
      <c r="W4271" s="25"/>
      <c r="X4271" s="25"/>
      <c r="Y4271" s="25"/>
      <c r="Z4271" s="25"/>
      <c r="AA4271" s="25"/>
    </row>
    <row r="4272" spans="1:27" x14ac:dyDescent="0.35">
      <c r="A4272" s="5">
        <v>4268</v>
      </c>
      <c r="B4272" s="5">
        <v>178</v>
      </c>
      <c r="C4272" s="5">
        <v>6</v>
      </c>
      <c r="D4272" s="25">
        <v>1.1415000000000001E-4</v>
      </c>
      <c r="E4272" s="25">
        <v>1.1492E-4</v>
      </c>
      <c r="F4272" s="25">
        <v>1.2019999999999999E-4</v>
      </c>
      <c r="G4272" s="25">
        <v>1.1202E-4</v>
      </c>
      <c r="H4272" s="25">
        <v>1.3725E-4</v>
      </c>
      <c r="I4272" s="9">
        <v>9.7040000000000006E-5</v>
      </c>
      <c r="J4272" s="9">
        <v>1.0454999999999999E-4</v>
      </c>
      <c r="K4272" s="9">
        <v>0</v>
      </c>
      <c r="L4272" s="9">
        <v>1.5710999999999999E-4</v>
      </c>
      <c r="M4272" s="9">
        <v>1.5176E-4</v>
      </c>
      <c r="N4272" s="9">
        <v>1.2142E-4</v>
      </c>
      <c r="O4272" s="9">
        <v>1.1832000000000001E-4</v>
      </c>
      <c r="P4272" s="9">
        <v>1.1527999999999999E-4</v>
      </c>
      <c r="Q4272" s="9">
        <v>1.0226E-4</v>
      </c>
      <c r="R4272" s="10">
        <v>6.5133106968318238E-5</v>
      </c>
      <c r="S4272" s="10">
        <v>4.9936103982681085E-5</v>
      </c>
      <c r="T4272" s="10">
        <v>1.4457246092642848E-5</v>
      </c>
      <c r="U4272" s="10">
        <v>8.4090000000000003E-5</v>
      </c>
      <c r="V4272" s="25"/>
      <c r="W4272" s="25"/>
      <c r="X4272" s="25"/>
      <c r="Y4272" s="25"/>
      <c r="Z4272" s="25"/>
      <c r="AA4272" s="25"/>
    </row>
    <row r="4273" spans="1:27" x14ac:dyDescent="0.35">
      <c r="A4273" s="5">
        <v>4269</v>
      </c>
      <c r="B4273" s="5">
        <v>178</v>
      </c>
      <c r="C4273" s="5">
        <v>6</v>
      </c>
      <c r="D4273" s="25">
        <v>1.1416E-4</v>
      </c>
      <c r="E4273" s="25">
        <v>1.0917E-4</v>
      </c>
      <c r="F4273" s="25">
        <v>1.2202E-4</v>
      </c>
      <c r="G4273" s="25">
        <v>5.9509999999999998E-5</v>
      </c>
      <c r="H4273" s="25">
        <v>7.3369999999999997E-5</v>
      </c>
      <c r="I4273" s="9">
        <v>9.6360000000000006E-5</v>
      </c>
      <c r="J4273" s="9">
        <v>1.0312E-4</v>
      </c>
      <c r="K4273" s="9">
        <v>0</v>
      </c>
      <c r="L4273" s="9">
        <v>1.2773E-4</v>
      </c>
      <c r="M4273" s="9">
        <v>1.3617999999999999E-4</v>
      </c>
      <c r="N4273" s="9">
        <v>1.1381E-4</v>
      </c>
      <c r="O4273" s="9">
        <v>8.0619999999999997E-5</v>
      </c>
      <c r="P4273" s="9">
        <v>8.6710000000000002E-5</v>
      </c>
      <c r="Q4273" s="9">
        <v>8.8720000000000004E-5</v>
      </c>
      <c r="R4273" s="10">
        <v>5.1670794700025057E-5</v>
      </c>
      <c r="S4273" s="10">
        <v>4.1834643035395798E-5</v>
      </c>
      <c r="T4273" s="10">
        <v>0</v>
      </c>
      <c r="U4273" s="10">
        <v>8.4090000000000003E-5</v>
      </c>
      <c r="V4273" s="25"/>
      <c r="W4273" s="25"/>
      <c r="X4273" s="25"/>
      <c r="Y4273" s="25"/>
      <c r="Z4273" s="25"/>
      <c r="AA4273" s="25"/>
    </row>
    <row r="4274" spans="1:27" x14ac:dyDescent="0.35">
      <c r="A4274" s="5">
        <v>4270</v>
      </c>
      <c r="B4274" s="5">
        <v>178</v>
      </c>
      <c r="C4274" s="5">
        <v>6</v>
      </c>
      <c r="D4274" s="25">
        <v>1.1415000000000001E-4</v>
      </c>
      <c r="E4274" s="25">
        <v>1.1767E-4</v>
      </c>
      <c r="F4274" s="25">
        <v>1.2460999999999999E-4</v>
      </c>
      <c r="G4274" s="25">
        <v>6.19E-5</v>
      </c>
      <c r="H4274" s="25">
        <v>6.3410000000000004E-5</v>
      </c>
      <c r="I4274" s="9">
        <v>9.8610000000000006E-5</v>
      </c>
      <c r="J4274" s="9">
        <v>1.0395000000000001E-4</v>
      </c>
      <c r="K4274" s="9">
        <v>0</v>
      </c>
      <c r="L4274" s="9">
        <v>9.1780000000000006E-5</v>
      </c>
      <c r="M4274" s="9">
        <v>1.1436E-4</v>
      </c>
      <c r="N4274" s="9">
        <v>1.0622E-4</v>
      </c>
      <c r="O4274" s="9">
        <v>8.1940000000000005E-5</v>
      </c>
      <c r="P4274" s="9">
        <v>8.6979999999999997E-5</v>
      </c>
      <c r="Q4274" s="9">
        <v>8.7620000000000005E-5</v>
      </c>
      <c r="R4274" s="10">
        <v>3.9030643548219716E-5</v>
      </c>
      <c r="S4274" s="10">
        <v>3.7221113249032292E-5</v>
      </c>
      <c r="T4274" s="10">
        <v>0</v>
      </c>
      <c r="U4274" s="10">
        <v>8.4090000000000003E-5</v>
      </c>
      <c r="V4274" s="25"/>
      <c r="W4274" s="25"/>
      <c r="X4274" s="25"/>
      <c r="Y4274" s="25"/>
      <c r="Z4274" s="25"/>
      <c r="AA4274" s="25"/>
    </row>
    <row r="4275" spans="1:27" x14ac:dyDescent="0.35">
      <c r="A4275" s="5">
        <v>4271</v>
      </c>
      <c r="B4275" s="5">
        <v>178</v>
      </c>
      <c r="C4275" s="5">
        <v>6</v>
      </c>
      <c r="D4275" s="25">
        <v>1.1416E-4</v>
      </c>
      <c r="E4275" s="25">
        <v>1.1752E-4</v>
      </c>
      <c r="F4275" s="25">
        <v>1.208E-4</v>
      </c>
      <c r="G4275" s="25">
        <v>6.0380000000000001E-5</v>
      </c>
      <c r="H4275" s="25">
        <v>7.3889999999999999E-5</v>
      </c>
      <c r="I4275" s="9">
        <v>9.6769999999999997E-5</v>
      </c>
      <c r="J4275" s="9">
        <v>1.0033E-4</v>
      </c>
      <c r="K4275" s="9">
        <v>1.484E-5</v>
      </c>
      <c r="L4275" s="9">
        <v>8.4909999999999998E-5</v>
      </c>
      <c r="M4275" s="9">
        <v>9.9149999999999998E-5</v>
      </c>
      <c r="N4275" s="9">
        <v>1.0014999999999999E-4</v>
      </c>
      <c r="O4275" s="9">
        <v>7.5010000000000002E-5</v>
      </c>
      <c r="P4275" s="9">
        <v>7.2739999999999998E-5</v>
      </c>
      <c r="Q4275" s="9">
        <v>6.745E-5</v>
      </c>
      <c r="R4275" s="10">
        <v>2.836221379856397E-5</v>
      </c>
      <c r="S4275" s="10">
        <v>3.6904900090257459E-5</v>
      </c>
      <c r="T4275" s="10">
        <v>0</v>
      </c>
      <c r="U4275" s="10">
        <v>8.4090000000000003E-5</v>
      </c>
      <c r="V4275" s="25"/>
      <c r="W4275" s="25"/>
      <c r="X4275" s="25"/>
      <c r="Y4275" s="25"/>
      <c r="Z4275" s="25"/>
      <c r="AA4275" s="25"/>
    </row>
    <row r="4276" spans="1:27" x14ac:dyDescent="0.35">
      <c r="A4276" s="5">
        <v>4272</v>
      </c>
      <c r="B4276" s="5">
        <v>178</v>
      </c>
      <c r="C4276" s="5">
        <v>6</v>
      </c>
      <c r="D4276" s="25">
        <v>1.1415000000000001E-4</v>
      </c>
      <c r="E4276" s="25">
        <v>1.0948E-4</v>
      </c>
      <c r="F4276" s="25">
        <v>1.4194000000000001E-4</v>
      </c>
      <c r="G4276" s="25">
        <v>5.2960000000000001E-5</v>
      </c>
      <c r="H4276" s="25">
        <v>7.127E-5</v>
      </c>
      <c r="I4276" s="9">
        <v>9.0019999999999995E-5</v>
      </c>
      <c r="J4276" s="9">
        <v>9.4590000000000001E-5</v>
      </c>
      <c r="K4276" s="9">
        <v>3.6040000000000001E-5</v>
      </c>
      <c r="L4276" s="9">
        <v>7.7200000000000006E-5</v>
      </c>
      <c r="M4276" s="9">
        <v>8.6279999999999994E-5</v>
      </c>
      <c r="N4276" s="9">
        <v>9.0859999999999994E-5</v>
      </c>
      <c r="O4276" s="9">
        <v>6.2139999999999998E-5</v>
      </c>
      <c r="P4276" s="9">
        <v>6.1279999999999996E-5</v>
      </c>
      <c r="Q4276" s="9">
        <v>5.9450000000000002E-5</v>
      </c>
      <c r="R4276" s="10">
        <v>1.597322116537482E-5</v>
      </c>
      <c r="S4276" s="10">
        <v>4.6888132291122917E-5</v>
      </c>
      <c r="T4276" s="10">
        <v>0</v>
      </c>
      <c r="U4276" s="10">
        <v>8.4090000000000003E-5</v>
      </c>
      <c r="V4276" s="25"/>
      <c r="W4276" s="25"/>
      <c r="X4276" s="25"/>
      <c r="Y4276" s="25"/>
      <c r="Z4276" s="25"/>
      <c r="AA4276" s="25"/>
    </row>
    <row r="4277" spans="1:27" x14ac:dyDescent="0.35">
      <c r="A4277" s="5">
        <v>4273</v>
      </c>
      <c r="B4277" s="5">
        <v>179</v>
      </c>
      <c r="C4277" s="5">
        <v>6</v>
      </c>
      <c r="D4277" s="25">
        <v>1.1416E-4</v>
      </c>
      <c r="E4277" s="25">
        <v>1.2081E-4</v>
      </c>
      <c r="F4277" s="25">
        <v>1.3893E-4</v>
      </c>
      <c r="G4277" s="25">
        <v>5.7370000000000001E-5</v>
      </c>
      <c r="H4277" s="25">
        <v>6.6089999999999999E-5</v>
      </c>
      <c r="I4277" s="9">
        <v>8.5409999999999997E-5</v>
      </c>
      <c r="J4277" s="9">
        <v>8.9969999999999994E-5</v>
      </c>
      <c r="K4277" s="9">
        <v>5.5109999999999999E-5</v>
      </c>
      <c r="L4277" s="9">
        <v>6.5430000000000002E-5</v>
      </c>
      <c r="M4277" s="9">
        <v>7.4339999999999996E-5</v>
      </c>
      <c r="N4277" s="9">
        <v>8.1470000000000004E-5</v>
      </c>
      <c r="O4277" s="9">
        <v>5.4339999999999998E-5</v>
      </c>
      <c r="P4277" s="9">
        <v>5.376E-5</v>
      </c>
      <c r="Q4277" s="9">
        <v>5.3329999999999999E-5</v>
      </c>
      <c r="R4277" s="10">
        <v>1.5311860104598664E-5</v>
      </c>
      <c r="S4277" s="10">
        <v>5.3362270005501323E-5</v>
      </c>
      <c r="T4277" s="10">
        <v>0</v>
      </c>
      <c r="U4277" s="10">
        <v>8.3399999999999994E-5</v>
      </c>
      <c r="V4277" s="25"/>
      <c r="W4277" s="25"/>
      <c r="X4277" s="25"/>
      <c r="Y4277" s="25"/>
      <c r="Z4277" s="25"/>
      <c r="AA4277" s="25"/>
    </row>
    <row r="4278" spans="1:27" x14ac:dyDescent="0.35">
      <c r="A4278" s="5">
        <v>4274</v>
      </c>
      <c r="B4278" s="5">
        <v>179</v>
      </c>
      <c r="C4278" s="5">
        <v>6</v>
      </c>
      <c r="D4278" s="25">
        <v>1.1415000000000001E-4</v>
      </c>
      <c r="E4278" s="25">
        <v>1.2201000000000001E-4</v>
      </c>
      <c r="F4278" s="25">
        <v>1.2459999999999999E-4</v>
      </c>
      <c r="G4278" s="25">
        <v>5.5930000000000002E-5</v>
      </c>
      <c r="H4278" s="25">
        <v>6.9529999999999993E-5</v>
      </c>
      <c r="I4278" s="9">
        <v>8.2139999999999996E-5</v>
      </c>
      <c r="J4278" s="9">
        <v>8.8250000000000004E-5</v>
      </c>
      <c r="K4278" s="9">
        <v>6.9939999999999998E-5</v>
      </c>
      <c r="L4278" s="9">
        <v>5.7089999999999997E-5</v>
      </c>
      <c r="M4278" s="9">
        <v>6.4109999999999994E-5</v>
      </c>
      <c r="N4278" s="9">
        <v>7.2249999999999994E-5</v>
      </c>
      <c r="O4278" s="9">
        <v>2.4179999999999999E-5</v>
      </c>
      <c r="P4278" s="9">
        <v>3.7830000000000002E-5</v>
      </c>
      <c r="Q4278" s="9">
        <v>5.63E-5</v>
      </c>
      <c r="R4278" s="10">
        <v>1.0072212257360139E-5</v>
      </c>
      <c r="S4278" s="10">
        <v>5.7342835737815142E-5</v>
      </c>
      <c r="T4278" s="10">
        <v>0</v>
      </c>
      <c r="U4278" s="10">
        <v>8.3399999999999994E-5</v>
      </c>
      <c r="V4278" s="25"/>
      <c r="W4278" s="25"/>
      <c r="X4278" s="25"/>
      <c r="Y4278" s="25"/>
      <c r="Z4278" s="25"/>
      <c r="AA4278" s="25"/>
    </row>
    <row r="4279" spans="1:27" x14ac:dyDescent="0.35">
      <c r="A4279" s="5">
        <v>4275</v>
      </c>
      <c r="B4279" s="5">
        <v>179</v>
      </c>
      <c r="C4279" s="5">
        <v>6</v>
      </c>
      <c r="D4279" s="25">
        <v>1.1416E-4</v>
      </c>
      <c r="E4279" s="25">
        <v>1.1557000000000001E-4</v>
      </c>
      <c r="F4279" s="25">
        <v>1.4406999999999999E-4</v>
      </c>
      <c r="G4279" s="25">
        <v>6.0430000000000002E-5</v>
      </c>
      <c r="H4279" s="25">
        <v>7.004E-5</v>
      </c>
      <c r="I4279" s="9">
        <v>8.1669999999999996E-5</v>
      </c>
      <c r="J4279" s="9">
        <v>8.7620000000000005E-5</v>
      </c>
      <c r="K4279" s="9">
        <v>1.0809E-4</v>
      </c>
      <c r="L4279" s="9">
        <v>3.1619999999999999E-5</v>
      </c>
      <c r="M4279" s="9">
        <v>5.2299999999999997E-5</v>
      </c>
      <c r="N4279" s="9">
        <v>6.5660000000000005E-5</v>
      </c>
      <c r="O4279" s="9">
        <v>1.9519999999999999E-5</v>
      </c>
      <c r="P4279" s="9">
        <v>3.7880000000000003E-5</v>
      </c>
      <c r="Q4279" s="9">
        <v>6.1740000000000002E-5</v>
      </c>
      <c r="R4279" s="10">
        <v>9.0732158816604546E-6</v>
      </c>
      <c r="S4279" s="10">
        <v>6.5016713392515636E-5</v>
      </c>
      <c r="T4279" s="10">
        <v>0</v>
      </c>
      <c r="U4279" s="10">
        <v>8.3399999999999994E-5</v>
      </c>
      <c r="V4279" s="25"/>
      <c r="W4279" s="25"/>
      <c r="X4279" s="25"/>
      <c r="Y4279" s="25"/>
      <c r="Z4279" s="25"/>
      <c r="AA4279" s="25"/>
    </row>
    <row r="4280" spans="1:27" x14ac:dyDescent="0.35">
      <c r="A4280" s="5">
        <v>4276</v>
      </c>
      <c r="B4280" s="5">
        <v>179</v>
      </c>
      <c r="C4280" s="5">
        <v>6</v>
      </c>
      <c r="D4280" s="25">
        <v>1.1415000000000001E-4</v>
      </c>
      <c r="E4280" s="25">
        <v>1.1964999999999999E-4</v>
      </c>
      <c r="F4280" s="25">
        <v>1.2459999999999999E-4</v>
      </c>
      <c r="G4280" s="25">
        <v>5.3560000000000002E-5</v>
      </c>
      <c r="H4280" s="25">
        <v>6.5320000000000005E-5</v>
      </c>
      <c r="I4280" s="9">
        <v>8.2899999999999996E-5</v>
      </c>
      <c r="J4280" s="9">
        <v>8.8079999999999997E-5</v>
      </c>
      <c r="K4280" s="9">
        <v>1.1232E-4</v>
      </c>
      <c r="L4280" s="9">
        <v>2.281E-5</v>
      </c>
      <c r="M4280" s="9">
        <v>4.4289999999999998E-5</v>
      </c>
      <c r="N4280" s="9">
        <v>6.2089999999999997E-5</v>
      </c>
      <c r="O4280" s="9">
        <v>1.9570000000000001E-5</v>
      </c>
      <c r="P4280" s="9">
        <v>4.7490000000000001E-5</v>
      </c>
      <c r="Q4280" s="9">
        <v>8.0770000000000001E-5</v>
      </c>
      <c r="R4280" s="10">
        <v>1.1400213220495683E-5</v>
      </c>
      <c r="S4280" s="10">
        <v>7.7095175268794141E-5</v>
      </c>
      <c r="T4280" s="10">
        <v>0</v>
      </c>
      <c r="U4280" s="10">
        <v>8.3399999999999994E-5</v>
      </c>
      <c r="V4280" s="25"/>
      <c r="W4280" s="25"/>
      <c r="X4280" s="25"/>
      <c r="Y4280" s="25"/>
      <c r="Z4280" s="25"/>
      <c r="AA4280" s="25"/>
    </row>
    <row r="4281" spans="1:27" x14ac:dyDescent="0.35">
      <c r="A4281" s="5">
        <v>4277</v>
      </c>
      <c r="B4281" s="5">
        <v>179</v>
      </c>
      <c r="C4281" s="5">
        <v>6</v>
      </c>
      <c r="D4281" s="25">
        <v>1.1416E-4</v>
      </c>
      <c r="E4281" s="25">
        <v>1.1947000000000001E-4</v>
      </c>
      <c r="F4281" s="25">
        <v>1.4019999999999999E-4</v>
      </c>
      <c r="G4281" s="25">
        <v>5.325E-5</v>
      </c>
      <c r="H4281" s="25">
        <v>7.3250000000000005E-5</v>
      </c>
      <c r="I4281" s="9">
        <v>8.6539999999999995E-5</v>
      </c>
      <c r="J4281" s="9">
        <v>8.9409999999999999E-5</v>
      </c>
      <c r="K4281" s="9">
        <v>5.0869999999999999E-5</v>
      </c>
      <c r="L4281" s="9">
        <v>2.0489999999999999E-5</v>
      </c>
      <c r="M4281" s="9">
        <v>4.3649999999999997E-5</v>
      </c>
      <c r="N4281" s="9">
        <v>6.4659999999999994E-5</v>
      </c>
      <c r="O4281" s="9">
        <v>2.419E-5</v>
      </c>
      <c r="P4281" s="9">
        <v>5.677E-5</v>
      </c>
      <c r="Q4281" s="9">
        <v>9.3880000000000002E-5</v>
      </c>
      <c r="R4281" s="10">
        <v>1.7050089835205136E-5</v>
      </c>
      <c r="S4281" s="10">
        <v>7.3521630160135258E-5</v>
      </c>
      <c r="T4281" s="10">
        <v>1.367669055242974E-5</v>
      </c>
      <c r="U4281" s="10">
        <v>8.3399999999999994E-5</v>
      </c>
      <c r="V4281" s="25"/>
      <c r="W4281" s="25"/>
      <c r="X4281" s="25"/>
      <c r="Y4281" s="25"/>
      <c r="Z4281" s="25"/>
      <c r="AA4281" s="25"/>
    </row>
    <row r="4282" spans="1:27" x14ac:dyDescent="0.35">
      <c r="A4282" s="5">
        <v>4278</v>
      </c>
      <c r="B4282" s="5">
        <v>179</v>
      </c>
      <c r="C4282" s="5">
        <v>6</v>
      </c>
      <c r="D4282" s="25">
        <v>1.1415000000000001E-4</v>
      </c>
      <c r="E4282" s="25">
        <v>1.1579E-4</v>
      </c>
      <c r="F4282" s="25">
        <v>1.4438999999999999E-4</v>
      </c>
      <c r="G4282" s="25">
        <v>1.0987E-4</v>
      </c>
      <c r="H4282" s="25">
        <v>1.3217E-4</v>
      </c>
      <c r="I4282" s="9">
        <v>9.5940000000000006E-5</v>
      </c>
      <c r="J4282" s="9">
        <v>9.7730000000000001E-5</v>
      </c>
      <c r="K4282" s="9">
        <v>0</v>
      </c>
      <c r="L4282" s="9">
        <v>2.3260000000000001E-5</v>
      </c>
      <c r="M4282" s="9">
        <v>4.8560000000000003E-5</v>
      </c>
      <c r="N4282" s="9">
        <v>7.1219999999999999E-5</v>
      </c>
      <c r="O4282" s="9">
        <v>4.7970000000000003E-5</v>
      </c>
      <c r="P4282" s="9">
        <v>7.7609999999999997E-5</v>
      </c>
      <c r="Q4282" s="9">
        <v>1.0807E-4</v>
      </c>
      <c r="R4282" s="10">
        <v>1.8190417378178663E-5</v>
      </c>
      <c r="S4282" s="10">
        <v>7.1496010950521463E-5</v>
      </c>
      <c r="T4282" s="10">
        <v>2.6004377508186814E-5</v>
      </c>
      <c r="U4282" s="10">
        <v>8.3399999999999994E-5</v>
      </c>
      <c r="V4282" s="25"/>
      <c r="W4282" s="25"/>
      <c r="X4282" s="25"/>
      <c r="Y4282" s="25"/>
      <c r="Z4282" s="25"/>
      <c r="AA4282" s="25"/>
    </row>
    <row r="4283" spans="1:27" x14ac:dyDescent="0.35">
      <c r="A4283" s="5">
        <v>4279</v>
      </c>
      <c r="B4283" s="5">
        <v>179</v>
      </c>
      <c r="C4283" s="5">
        <v>6</v>
      </c>
      <c r="D4283" s="25">
        <v>1.1416E-4</v>
      </c>
      <c r="E4283" s="25">
        <v>1.1819000000000001E-4</v>
      </c>
      <c r="F4283" s="25">
        <v>1.4273000000000001E-4</v>
      </c>
      <c r="G4283" s="25">
        <v>1.0764000000000001E-4</v>
      </c>
      <c r="H4283" s="25">
        <v>1.2914E-4</v>
      </c>
      <c r="I4283" s="9">
        <v>1.0648E-4</v>
      </c>
      <c r="J4283" s="9">
        <v>1.1256000000000001E-4</v>
      </c>
      <c r="K4283" s="9">
        <v>0</v>
      </c>
      <c r="L4283" s="9">
        <v>4.2419999999999997E-5</v>
      </c>
      <c r="M4283" s="9">
        <v>6.0399999999999998E-5</v>
      </c>
      <c r="N4283" s="9">
        <v>8.1130000000000004E-5</v>
      </c>
      <c r="O4283" s="9">
        <v>1.1195E-4</v>
      </c>
      <c r="P4283" s="9">
        <v>1.1626E-4</v>
      </c>
      <c r="Q4283" s="9">
        <v>1.1137E-4</v>
      </c>
      <c r="R4283" s="10">
        <v>2.3442742141892781E-5</v>
      </c>
      <c r="S4283" s="10">
        <v>7.9787962457621373E-5</v>
      </c>
      <c r="T4283" s="10">
        <v>1.5551720708811235E-4</v>
      </c>
      <c r="U4283" s="10">
        <v>8.3399999999999994E-5</v>
      </c>
      <c r="V4283" s="25"/>
      <c r="W4283" s="25"/>
      <c r="X4283" s="25"/>
      <c r="Y4283" s="25"/>
      <c r="Z4283" s="25"/>
      <c r="AA4283" s="25"/>
    </row>
    <row r="4284" spans="1:27" x14ac:dyDescent="0.35">
      <c r="A4284" s="5">
        <v>4280</v>
      </c>
      <c r="B4284" s="5">
        <v>179</v>
      </c>
      <c r="C4284" s="5">
        <v>6</v>
      </c>
      <c r="D4284" s="25">
        <v>1.1415000000000001E-4</v>
      </c>
      <c r="E4284" s="25">
        <v>1.1266E-4</v>
      </c>
      <c r="F4284" s="25">
        <v>1.4091E-4</v>
      </c>
      <c r="G4284" s="25">
        <v>1.5956999999999999E-4</v>
      </c>
      <c r="H4284" s="25">
        <v>2.0221E-4</v>
      </c>
      <c r="I4284" s="9">
        <v>1.1387000000000001E-4</v>
      </c>
      <c r="J4284" s="9">
        <v>1.2375E-4</v>
      </c>
      <c r="K4284" s="9">
        <v>0</v>
      </c>
      <c r="L4284" s="9">
        <v>9.6119999999999995E-5</v>
      </c>
      <c r="M4284" s="9">
        <v>8.3570000000000001E-5</v>
      </c>
      <c r="N4284" s="9">
        <v>9.0939999999999993E-5</v>
      </c>
      <c r="O4284" s="9">
        <v>1.9391999999999999E-4</v>
      </c>
      <c r="P4284" s="9">
        <v>1.7585999999999999E-4</v>
      </c>
      <c r="Q4284" s="9">
        <v>1.3585E-4</v>
      </c>
      <c r="R4284" s="10">
        <v>3.4580828973058469E-5</v>
      </c>
      <c r="S4284" s="10">
        <v>9.6579805486803787E-5</v>
      </c>
      <c r="T4284" s="10">
        <v>3.4447952221448646E-4</v>
      </c>
      <c r="U4284" s="10">
        <v>8.3399999999999994E-5</v>
      </c>
      <c r="V4284" s="25"/>
      <c r="W4284" s="25"/>
      <c r="X4284" s="25"/>
      <c r="Y4284" s="25"/>
      <c r="Z4284" s="25"/>
      <c r="AA4284" s="25"/>
    </row>
    <row r="4285" spans="1:27" x14ac:dyDescent="0.35">
      <c r="A4285" s="5">
        <v>4281</v>
      </c>
      <c r="B4285" s="5">
        <v>179</v>
      </c>
      <c r="C4285" s="5">
        <v>6</v>
      </c>
      <c r="D4285" s="25">
        <v>1.1416E-4</v>
      </c>
      <c r="E4285" s="25">
        <v>1.1161E-4</v>
      </c>
      <c r="F4285" s="25">
        <v>1.2321000000000001E-4</v>
      </c>
      <c r="G4285" s="25">
        <v>1.6742999999999999E-4</v>
      </c>
      <c r="H4285" s="25">
        <v>1.9645E-4</v>
      </c>
      <c r="I4285" s="9">
        <v>1.1820999999999999E-4</v>
      </c>
      <c r="J4285" s="9">
        <v>1.2951E-4</v>
      </c>
      <c r="K4285" s="9">
        <v>0</v>
      </c>
      <c r="L4285" s="9">
        <v>1.7092999999999999E-4</v>
      </c>
      <c r="M4285" s="9">
        <v>1.2276E-4</v>
      </c>
      <c r="N4285" s="9">
        <v>1.0445E-4</v>
      </c>
      <c r="O4285" s="9">
        <v>1.8804999999999999E-4</v>
      </c>
      <c r="P4285" s="9">
        <v>1.9311E-4</v>
      </c>
      <c r="Q4285" s="9">
        <v>1.7684999999999999E-4</v>
      </c>
      <c r="R4285" s="10">
        <v>2.1882658862214066E-5</v>
      </c>
      <c r="S4285" s="10">
        <v>1.0678559739351983E-4</v>
      </c>
      <c r="T4285" s="10">
        <v>4.462826301168465E-4</v>
      </c>
      <c r="U4285" s="10">
        <v>8.3399999999999994E-5</v>
      </c>
      <c r="V4285" s="25"/>
      <c r="W4285" s="25"/>
      <c r="X4285" s="25"/>
      <c r="Y4285" s="25"/>
      <c r="Z4285" s="25"/>
      <c r="AA4285" s="25"/>
    </row>
    <row r="4286" spans="1:27" x14ac:dyDescent="0.35">
      <c r="A4286" s="5">
        <v>4282</v>
      </c>
      <c r="B4286" s="5">
        <v>179</v>
      </c>
      <c r="C4286" s="5">
        <v>6</v>
      </c>
      <c r="D4286" s="25">
        <v>1.1415000000000001E-4</v>
      </c>
      <c r="E4286" s="25">
        <v>1.2228E-4</v>
      </c>
      <c r="F4286" s="25">
        <v>1.3124E-4</v>
      </c>
      <c r="G4286" s="25">
        <v>1.6119999999999999E-4</v>
      </c>
      <c r="H4286" s="25">
        <v>1.9018999999999999E-4</v>
      </c>
      <c r="I4286" s="9">
        <v>1.1981000000000001E-4</v>
      </c>
      <c r="J4286" s="9">
        <v>1.3134999999999999E-4</v>
      </c>
      <c r="K4286" s="9">
        <v>0</v>
      </c>
      <c r="L4286" s="9">
        <v>1.8232E-4</v>
      </c>
      <c r="M4286" s="9">
        <v>1.5803E-4</v>
      </c>
      <c r="N4286" s="9">
        <v>1.2441000000000001E-4</v>
      </c>
      <c r="O4286" s="9">
        <v>1.4988999999999999E-4</v>
      </c>
      <c r="P4286" s="9">
        <v>1.7338999999999999E-4</v>
      </c>
      <c r="Q4286" s="9">
        <v>1.8136000000000001E-4</v>
      </c>
      <c r="R4286" s="10">
        <v>2.3614818509007128E-5</v>
      </c>
      <c r="S4286" s="10">
        <v>1.3347363454148124E-4</v>
      </c>
      <c r="T4286" s="10">
        <v>3.4503948597159587E-4</v>
      </c>
      <c r="U4286" s="10">
        <v>8.3399999999999994E-5</v>
      </c>
      <c r="V4286" s="25"/>
      <c r="W4286" s="25"/>
      <c r="X4286" s="25"/>
      <c r="Y4286" s="25"/>
      <c r="Z4286" s="25"/>
      <c r="AA4286" s="25"/>
    </row>
    <row r="4287" spans="1:27" x14ac:dyDescent="0.35">
      <c r="A4287" s="5">
        <v>4283</v>
      </c>
      <c r="B4287" s="5">
        <v>179</v>
      </c>
      <c r="C4287" s="5">
        <v>6</v>
      </c>
      <c r="D4287" s="25">
        <v>1.1416E-4</v>
      </c>
      <c r="E4287" s="25">
        <v>1.1502000000000001E-4</v>
      </c>
      <c r="F4287" s="25">
        <v>1.2473000000000001E-4</v>
      </c>
      <c r="G4287" s="25">
        <v>1.5881000000000001E-4</v>
      </c>
      <c r="H4287" s="25">
        <v>1.9869000000000001E-4</v>
      </c>
      <c r="I4287" s="9">
        <v>1.2311000000000001E-4</v>
      </c>
      <c r="J4287" s="9">
        <v>1.3328E-4</v>
      </c>
      <c r="K4287" s="9">
        <v>0</v>
      </c>
      <c r="L4287" s="9">
        <v>1.5705999999999999E-4</v>
      </c>
      <c r="M4287" s="9">
        <v>1.7175E-4</v>
      </c>
      <c r="N4287" s="9">
        <v>1.4231000000000001E-4</v>
      </c>
      <c r="O4287" s="9">
        <v>1.5003999999999999E-4</v>
      </c>
      <c r="P4287" s="9">
        <v>1.7222E-4</v>
      </c>
      <c r="Q4287" s="9">
        <v>1.7887E-4</v>
      </c>
      <c r="R4287" s="10">
        <v>3.0041533196994531E-5</v>
      </c>
      <c r="S4287" s="10">
        <v>1.5128439379040459E-4</v>
      </c>
      <c r="T4287" s="10">
        <v>3.0744555555111438E-4</v>
      </c>
      <c r="U4287" s="10">
        <v>8.3399999999999994E-5</v>
      </c>
      <c r="V4287" s="25"/>
      <c r="W4287" s="25"/>
      <c r="X4287" s="25"/>
      <c r="Y4287" s="25"/>
      <c r="Z4287" s="25"/>
      <c r="AA4287" s="25"/>
    </row>
    <row r="4288" spans="1:27" x14ac:dyDescent="0.35">
      <c r="A4288" s="5">
        <v>4284</v>
      </c>
      <c r="B4288" s="5">
        <v>179</v>
      </c>
      <c r="C4288" s="5">
        <v>6</v>
      </c>
      <c r="D4288" s="25">
        <v>1.1415000000000001E-4</v>
      </c>
      <c r="E4288" s="25">
        <v>1.1785E-4</v>
      </c>
      <c r="F4288" s="25">
        <v>1.3098999999999999E-4</v>
      </c>
      <c r="G4288" s="25">
        <v>1.6080000000000001E-4</v>
      </c>
      <c r="H4288" s="25">
        <v>1.9984000000000001E-4</v>
      </c>
      <c r="I4288" s="9">
        <v>1.2066E-4</v>
      </c>
      <c r="J4288" s="9">
        <v>1.3325000000000001E-4</v>
      </c>
      <c r="K4288" s="9">
        <v>0</v>
      </c>
      <c r="L4288" s="9">
        <v>1.5279000000000001E-4</v>
      </c>
      <c r="M4288" s="9">
        <v>1.7424000000000001E-4</v>
      </c>
      <c r="N4288" s="9">
        <v>1.5625E-4</v>
      </c>
      <c r="O4288" s="9">
        <v>1.5328999999999999E-4</v>
      </c>
      <c r="P4288" s="9">
        <v>1.719E-4</v>
      </c>
      <c r="Q4288" s="9">
        <v>1.7458E-4</v>
      </c>
      <c r="R4288" s="10">
        <v>1.8328680734914094E-5</v>
      </c>
      <c r="S4288" s="10">
        <v>1.5192028536983149E-4</v>
      </c>
      <c r="T4288" s="10">
        <v>3.5641693140013695E-4</v>
      </c>
      <c r="U4288" s="10">
        <v>8.3399999999999994E-5</v>
      </c>
      <c r="V4288" s="25"/>
      <c r="W4288" s="25"/>
      <c r="X4288" s="25"/>
      <c r="Y4288" s="25"/>
      <c r="Z4288" s="25"/>
      <c r="AA4288" s="25"/>
    </row>
    <row r="4289" spans="1:27" x14ac:dyDescent="0.35">
      <c r="A4289" s="5">
        <v>4285</v>
      </c>
      <c r="B4289" s="5">
        <v>179</v>
      </c>
      <c r="C4289" s="5">
        <v>6</v>
      </c>
      <c r="D4289" s="25">
        <v>1.1416E-4</v>
      </c>
      <c r="E4289" s="25">
        <v>1.2146000000000001E-4</v>
      </c>
      <c r="F4289" s="25">
        <v>1.2917000000000001E-4</v>
      </c>
      <c r="G4289" s="25">
        <v>1.6349999999999999E-4</v>
      </c>
      <c r="H4289" s="25">
        <v>1.8963000000000001E-4</v>
      </c>
      <c r="I4289" s="9">
        <v>1.1963E-4</v>
      </c>
      <c r="J4289" s="9">
        <v>1.3365999999999999E-4</v>
      </c>
      <c r="K4289" s="9">
        <v>0</v>
      </c>
      <c r="L4289" s="9">
        <v>1.5333E-4</v>
      </c>
      <c r="M4289" s="9">
        <v>1.7354999999999999E-4</v>
      </c>
      <c r="N4289" s="9">
        <v>1.6589E-4</v>
      </c>
      <c r="O4289" s="9">
        <v>1.4548E-4</v>
      </c>
      <c r="P4289" s="9">
        <v>1.6359E-4</v>
      </c>
      <c r="Q4289" s="9">
        <v>1.6698E-4</v>
      </c>
      <c r="R4289" s="10">
        <v>2.4126645203499215E-5</v>
      </c>
      <c r="S4289" s="10">
        <v>1.5306718722178509E-4</v>
      </c>
      <c r="T4289" s="10">
        <v>2.0594788242535945E-4</v>
      </c>
      <c r="U4289" s="10">
        <v>8.3399999999999994E-5</v>
      </c>
      <c r="V4289" s="25"/>
      <c r="W4289" s="25"/>
      <c r="X4289" s="25"/>
      <c r="Y4289" s="25"/>
      <c r="Z4289" s="25"/>
      <c r="AA4289" s="25"/>
    </row>
    <row r="4290" spans="1:27" x14ac:dyDescent="0.35">
      <c r="A4290" s="5">
        <v>4286</v>
      </c>
      <c r="B4290" s="5">
        <v>179</v>
      </c>
      <c r="C4290" s="5">
        <v>6</v>
      </c>
      <c r="D4290" s="25">
        <v>1.1415000000000001E-4</v>
      </c>
      <c r="E4290" s="25">
        <v>1.2029E-4</v>
      </c>
      <c r="F4290" s="25">
        <v>1.4485999999999999E-4</v>
      </c>
      <c r="G4290" s="25">
        <v>1.6651E-4</v>
      </c>
      <c r="H4290" s="25">
        <v>2.0280999999999999E-4</v>
      </c>
      <c r="I4290" s="9">
        <v>1.1694E-4</v>
      </c>
      <c r="J4290" s="9">
        <v>1.3229E-4</v>
      </c>
      <c r="K4290" s="9">
        <v>0</v>
      </c>
      <c r="L4290" s="9">
        <v>1.4697000000000001E-4</v>
      </c>
      <c r="M4290" s="9">
        <v>1.6976E-4</v>
      </c>
      <c r="N4290" s="9">
        <v>1.7019999999999999E-4</v>
      </c>
      <c r="O4290" s="9">
        <v>1.5972E-4</v>
      </c>
      <c r="P4290" s="9">
        <v>1.6855E-4</v>
      </c>
      <c r="Q4290" s="9">
        <v>1.6053000000000001E-4</v>
      </c>
      <c r="R4290" s="10">
        <v>2.3366026815268535E-5</v>
      </c>
      <c r="S4290" s="10">
        <v>1.5496694061058121E-4</v>
      </c>
      <c r="T4290" s="10">
        <v>3.8473752263091274E-4</v>
      </c>
      <c r="U4290" s="10">
        <v>8.3399999999999994E-5</v>
      </c>
      <c r="V4290" s="25"/>
      <c r="W4290" s="25"/>
      <c r="X4290" s="25"/>
      <c r="Y4290" s="25"/>
      <c r="Z4290" s="25"/>
      <c r="AA4290" s="25"/>
    </row>
    <row r="4291" spans="1:27" x14ac:dyDescent="0.35">
      <c r="A4291" s="5">
        <v>4287</v>
      </c>
      <c r="B4291" s="5">
        <v>179</v>
      </c>
      <c r="C4291" s="5">
        <v>6</v>
      </c>
      <c r="D4291" s="25">
        <v>1.1416E-4</v>
      </c>
      <c r="E4291" s="25">
        <v>1.156E-4</v>
      </c>
      <c r="F4291" s="25">
        <v>1.3495E-4</v>
      </c>
      <c r="G4291" s="25">
        <v>1.6227E-4</v>
      </c>
      <c r="H4291" s="25">
        <v>1.9568999999999999E-4</v>
      </c>
      <c r="I4291" s="9">
        <v>1.1501E-4</v>
      </c>
      <c r="J4291" s="9">
        <v>1.3070000000000001E-4</v>
      </c>
      <c r="K4291" s="9">
        <v>0</v>
      </c>
      <c r="L4291" s="9">
        <v>1.5707000000000001E-4</v>
      </c>
      <c r="M4291" s="9">
        <v>1.6823000000000001E-4</v>
      </c>
      <c r="N4291" s="9">
        <v>1.6974000000000001E-4</v>
      </c>
      <c r="O4291" s="9">
        <v>1.6457E-4</v>
      </c>
      <c r="P4291" s="9">
        <v>1.6737999999999999E-4</v>
      </c>
      <c r="Q4291" s="9">
        <v>1.5266999999999999E-4</v>
      </c>
      <c r="R4291" s="10">
        <v>1.7289138156049304E-5</v>
      </c>
      <c r="S4291" s="10">
        <v>1.5762955265286084E-4</v>
      </c>
      <c r="T4291" s="10">
        <v>3.695506267941576E-4</v>
      </c>
      <c r="U4291" s="10">
        <v>8.3399999999999994E-5</v>
      </c>
      <c r="V4291" s="25"/>
      <c r="W4291" s="25"/>
      <c r="X4291" s="25"/>
      <c r="Y4291" s="25"/>
      <c r="Z4291" s="25"/>
      <c r="AA4291" s="25"/>
    </row>
    <row r="4292" spans="1:27" x14ac:dyDescent="0.35">
      <c r="A4292" s="5">
        <v>4288</v>
      </c>
      <c r="B4292" s="5">
        <v>179</v>
      </c>
      <c r="C4292" s="5">
        <v>6</v>
      </c>
      <c r="D4292" s="25">
        <v>1.1415000000000001E-4</v>
      </c>
      <c r="E4292" s="25">
        <v>1.1132E-4</v>
      </c>
      <c r="F4292" s="25">
        <v>1.3145E-4</v>
      </c>
      <c r="G4292" s="25">
        <v>1.6615999999999999E-4</v>
      </c>
      <c r="H4292" s="25">
        <v>1.917E-4</v>
      </c>
      <c r="I4292" s="9">
        <v>1.1247E-4</v>
      </c>
      <c r="J4292" s="9">
        <v>1.2983999999999999E-4</v>
      </c>
      <c r="K4292" s="9">
        <v>0</v>
      </c>
      <c r="L4292" s="9">
        <v>1.6265999999999999E-4</v>
      </c>
      <c r="M4292" s="9">
        <v>1.6761E-4</v>
      </c>
      <c r="N4292" s="9">
        <v>1.6597000000000001E-4</v>
      </c>
      <c r="O4292" s="9">
        <v>1.7755000000000001E-4</v>
      </c>
      <c r="P4292" s="9">
        <v>1.5363E-4</v>
      </c>
      <c r="Q4292" s="9">
        <v>1.1061E-4</v>
      </c>
      <c r="R4292" s="10">
        <v>1.2630891836685727E-5</v>
      </c>
      <c r="S4292" s="10">
        <v>1.6081070138682701E-4</v>
      </c>
      <c r="T4292" s="10">
        <v>1.9753994176936824E-4</v>
      </c>
      <c r="U4292" s="10">
        <v>8.3399999999999994E-5</v>
      </c>
      <c r="V4292" s="25"/>
      <c r="W4292" s="25"/>
      <c r="X4292" s="25"/>
      <c r="Y4292" s="25"/>
      <c r="Z4292" s="25"/>
      <c r="AA4292" s="25"/>
    </row>
    <row r="4293" spans="1:27" x14ac:dyDescent="0.35">
      <c r="A4293" s="5">
        <v>4289</v>
      </c>
      <c r="B4293" s="5">
        <v>179</v>
      </c>
      <c r="C4293" s="5">
        <v>6</v>
      </c>
      <c r="D4293" s="25">
        <v>1.1416E-4</v>
      </c>
      <c r="E4293" s="25">
        <v>1.1731E-4</v>
      </c>
      <c r="F4293" s="25">
        <v>1.3660000000000001E-4</v>
      </c>
      <c r="G4293" s="25">
        <v>1.6019E-4</v>
      </c>
      <c r="H4293" s="25">
        <v>1.9612000000000001E-4</v>
      </c>
      <c r="I4293" s="9">
        <v>1.1400000000000001E-4</v>
      </c>
      <c r="J4293" s="9">
        <v>1.2917000000000001E-4</v>
      </c>
      <c r="K4293" s="9">
        <v>0</v>
      </c>
      <c r="L4293" s="9">
        <v>1.7406999999999999E-4</v>
      </c>
      <c r="M4293" s="9">
        <v>1.6253E-4</v>
      </c>
      <c r="N4293" s="9">
        <v>1.5249999999999999E-4</v>
      </c>
      <c r="O4293" s="9">
        <v>1.9133E-4</v>
      </c>
      <c r="P4293" s="9">
        <v>1.6013E-4</v>
      </c>
      <c r="Q4293" s="9">
        <v>1.0771E-4</v>
      </c>
      <c r="R4293" s="10">
        <v>1.0246256039435686E-5</v>
      </c>
      <c r="S4293" s="10">
        <v>1.4858746530307148E-4</v>
      </c>
      <c r="T4293" s="10">
        <v>3.9256853093109431E-5</v>
      </c>
      <c r="U4293" s="10">
        <v>8.3399999999999994E-5</v>
      </c>
      <c r="V4293" s="25"/>
      <c r="W4293" s="25"/>
      <c r="X4293" s="25"/>
      <c r="Y4293" s="25"/>
      <c r="Z4293" s="25"/>
      <c r="AA4293" s="25"/>
    </row>
    <row r="4294" spans="1:27" x14ac:dyDescent="0.35">
      <c r="A4294" s="5">
        <v>4290</v>
      </c>
      <c r="B4294" s="5">
        <v>179</v>
      </c>
      <c r="C4294" s="5">
        <v>6</v>
      </c>
      <c r="D4294" s="25">
        <v>1.1415000000000001E-4</v>
      </c>
      <c r="E4294" s="25">
        <v>1.1756000000000001E-4</v>
      </c>
      <c r="F4294" s="25">
        <v>1.4132000000000001E-4</v>
      </c>
      <c r="G4294" s="25">
        <v>1.6757E-4</v>
      </c>
      <c r="H4294" s="25">
        <v>1.9775000000000001E-4</v>
      </c>
      <c r="I4294" s="9">
        <v>1.1485999999999999E-4</v>
      </c>
      <c r="J4294" s="9">
        <v>1.2446000000000001E-4</v>
      </c>
      <c r="K4294" s="9">
        <v>0</v>
      </c>
      <c r="L4294" s="9">
        <v>1.8729E-4</v>
      </c>
      <c r="M4294" s="9">
        <v>1.6025999999999999E-4</v>
      </c>
      <c r="N4294" s="9">
        <v>1.3930999999999999E-4</v>
      </c>
      <c r="O4294" s="9">
        <v>1.8492000000000001E-4</v>
      </c>
      <c r="P4294" s="9">
        <v>1.6206E-4</v>
      </c>
      <c r="Q4294" s="9">
        <v>1.189E-4</v>
      </c>
      <c r="R4294" s="10">
        <v>1.2459986445837192E-5</v>
      </c>
      <c r="S4294" s="10">
        <v>1.5129064131426406E-4</v>
      </c>
      <c r="T4294" s="10">
        <v>8.2594654173637395E-5</v>
      </c>
      <c r="U4294" s="10">
        <v>8.3399999999999994E-5</v>
      </c>
      <c r="V4294" s="25"/>
      <c r="W4294" s="25"/>
      <c r="X4294" s="25"/>
      <c r="Y4294" s="25"/>
      <c r="Z4294" s="25"/>
      <c r="AA4294" s="25"/>
    </row>
    <row r="4295" spans="1:27" x14ac:dyDescent="0.35">
      <c r="A4295" s="5">
        <v>4291</v>
      </c>
      <c r="B4295" s="5">
        <v>179</v>
      </c>
      <c r="C4295" s="5">
        <v>6</v>
      </c>
      <c r="D4295" s="25">
        <v>1.1416E-4</v>
      </c>
      <c r="E4295" s="25">
        <v>1.1179999999999999E-4</v>
      </c>
      <c r="F4295" s="25">
        <v>1.2813000000000001E-4</v>
      </c>
      <c r="G4295" s="25">
        <v>1.0723E-4</v>
      </c>
      <c r="H4295" s="25">
        <v>1.2781000000000001E-4</v>
      </c>
      <c r="I4295" s="9">
        <v>1.1334E-4</v>
      </c>
      <c r="J4295" s="9">
        <v>1.2063E-4</v>
      </c>
      <c r="K4295" s="9">
        <v>0</v>
      </c>
      <c r="L4295" s="9">
        <v>1.8510999999999999E-4</v>
      </c>
      <c r="M4295" s="9">
        <v>1.6045999999999999E-4</v>
      </c>
      <c r="N4295" s="9">
        <v>1.3053000000000001E-4</v>
      </c>
      <c r="O4295" s="9">
        <v>1.4868999999999999E-4</v>
      </c>
      <c r="P4295" s="9">
        <v>1.3543999999999999E-4</v>
      </c>
      <c r="Q4295" s="9">
        <v>1.075E-4</v>
      </c>
      <c r="R4295" s="10">
        <v>1.8649684102683194E-5</v>
      </c>
      <c r="S4295" s="10">
        <v>1.5489032475309535E-4</v>
      </c>
      <c r="T4295" s="10">
        <v>5.1380916864463081E-5</v>
      </c>
      <c r="U4295" s="10">
        <v>8.3399999999999994E-5</v>
      </c>
      <c r="V4295" s="25"/>
      <c r="W4295" s="25"/>
      <c r="X4295" s="25"/>
      <c r="Y4295" s="25"/>
      <c r="Z4295" s="25"/>
      <c r="AA4295" s="25"/>
    </row>
    <row r="4296" spans="1:27" x14ac:dyDescent="0.35">
      <c r="A4296" s="5">
        <v>4292</v>
      </c>
      <c r="B4296" s="5">
        <v>179</v>
      </c>
      <c r="C4296" s="5">
        <v>6</v>
      </c>
      <c r="D4296" s="25">
        <v>1.1415000000000001E-4</v>
      </c>
      <c r="E4296" s="25">
        <v>1.145E-4</v>
      </c>
      <c r="F4296" s="25">
        <v>1.3744000000000001E-4</v>
      </c>
      <c r="G4296" s="25">
        <v>1.1496E-4</v>
      </c>
      <c r="H4296" s="25">
        <v>1.2855000000000001E-4</v>
      </c>
      <c r="I4296" s="9">
        <v>1.1186E-4</v>
      </c>
      <c r="J4296" s="9">
        <v>1.1703E-4</v>
      </c>
      <c r="K4296" s="9">
        <v>0</v>
      </c>
      <c r="L4296" s="9">
        <v>1.5684E-4</v>
      </c>
      <c r="M4296" s="9">
        <v>1.5165999999999999E-4</v>
      </c>
      <c r="N4296" s="9">
        <v>1.2149E-4</v>
      </c>
      <c r="O4296" s="9">
        <v>1.1757E-4</v>
      </c>
      <c r="P4296" s="9">
        <v>1.1454E-4</v>
      </c>
      <c r="Q4296" s="9">
        <v>1.0161E-4</v>
      </c>
      <c r="R4296" s="10">
        <v>2.9983483630499161E-5</v>
      </c>
      <c r="S4296" s="10">
        <v>1.5747968836246799E-4</v>
      </c>
      <c r="T4296" s="10">
        <v>4.5475844516763888E-6</v>
      </c>
      <c r="U4296" s="10">
        <v>8.3399999999999994E-5</v>
      </c>
      <c r="V4296" s="25"/>
      <c r="W4296" s="25"/>
      <c r="X4296" s="25"/>
      <c r="Y4296" s="25"/>
      <c r="Z4296" s="25"/>
      <c r="AA4296" s="25"/>
    </row>
    <row r="4297" spans="1:27" x14ac:dyDescent="0.35">
      <c r="A4297" s="5">
        <v>4293</v>
      </c>
      <c r="B4297" s="5">
        <v>179</v>
      </c>
      <c r="C4297" s="5">
        <v>6</v>
      </c>
      <c r="D4297" s="25">
        <v>1.1416E-4</v>
      </c>
      <c r="E4297" s="25">
        <v>1.1306000000000001E-4</v>
      </c>
      <c r="F4297" s="25">
        <v>1.4127000000000001E-4</v>
      </c>
      <c r="G4297" s="25">
        <v>5.6959999999999997E-5</v>
      </c>
      <c r="H4297" s="25">
        <v>6.9070000000000001E-5</v>
      </c>
      <c r="I4297" s="9">
        <v>1.0964E-4</v>
      </c>
      <c r="J4297" s="9">
        <v>1.1385E-4</v>
      </c>
      <c r="K4297" s="9">
        <v>0</v>
      </c>
      <c r="L4297" s="9">
        <v>1.2708000000000001E-4</v>
      </c>
      <c r="M4297" s="9">
        <v>1.3582000000000001E-4</v>
      </c>
      <c r="N4297" s="9">
        <v>1.1367E-4</v>
      </c>
      <c r="O4297" s="9">
        <v>7.9510000000000003E-5</v>
      </c>
      <c r="P4297" s="9">
        <v>8.551E-5</v>
      </c>
      <c r="Q4297" s="9">
        <v>8.7490000000000004E-5</v>
      </c>
      <c r="R4297" s="10">
        <v>2.8174023156135231E-5</v>
      </c>
      <c r="S4297" s="10">
        <v>1.564637703123547E-4</v>
      </c>
      <c r="T4297" s="10">
        <v>0</v>
      </c>
      <c r="U4297" s="10">
        <v>8.3399999999999994E-5</v>
      </c>
      <c r="V4297" s="25"/>
      <c r="W4297" s="25"/>
      <c r="X4297" s="25"/>
      <c r="Y4297" s="25"/>
      <c r="Z4297" s="25"/>
      <c r="AA4297" s="25"/>
    </row>
    <row r="4298" spans="1:27" x14ac:dyDescent="0.35">
      <c r="A4298" s="5">
        <v>4294</v>
      </c>
      <c r="B4298" s="5">
        <v>179</v>
      </c>
      <c r="C4298" s="5">
        <v>6</v>
      </c>
      <c r="D4298" s="25">
        <v>1.1415000000000001E-4</v>
      </c>
      <c r="E4298" s="25">
        <v>1.2174E-4</v>
      </c>
      <c r="F4298" s="25">
        <v>1.3161999999999999E-4</v>
      </c>
      <c r="G4298" s="25">
        <v>5.2160000000000002E-5</v>
      </c>
      <c r="H4298" s="25">
        <v>7.504E-5</v>
      </c>
      <c r="I4298" s="9">
        <v>1.1198E-4</v>
      </c>
      <c r="J4298" s="9">
        <v>1.1239E-4</v>
      </c>
      <c r="K4298" s="9">
        <v>0</v>
      </c>
      <c r="L4298" s="9">
        <v>9.0779999999999995E-5</v>
      </c>
      <c r="M4298" s="9">
        <v>1.1362E-4</v>
      </c>
      <c r="N4298" s="9">
        <v>1.0577999999999999E-4</v>
      </c>
      <c r="O4298" s="9">
        <v>8.2460000000000007E-5</v>
      </c>
      <c r="P4298" s="9">
        <v>8.7529999999999997E-5</v>
      </c>
      <c r="Q4298" s="9">
        <v>8.8179999999999999E-5</v>
      </c>
      <c r="R4298" s="10">
        <v>3.2163024298391367E-5</v>
      </c>
      <c r="S4298" s="10">
        <v>1.5326247902665096E-4</v>
      </c>
      <c r="T4298" s="10">
        <v>0</v>
      </c>
      <c r="U4298" s="10">
        <v>8.3399999999999994E-5</v>
      </c>
      <c r="V4298" s="25"/>
      <c r="W4298" s="25"/>
      <c r="X4298" s="25"/>
      <c r="Y4298" s="25"/>
      <c r="Z4298" s="25"/>
      <c r="AA4298" s="25"/>
    </row>
    <row r="4299" spans="1:27" x14ac:dyDescent="0.35">
      <c r="A4299" s="5">
        <v>4295</v>
      </c>
      <c r="B4299" s="5">
        <v>179</v>
      </c>
      <c r="C4299" s="5">
        <v>6</v>
      </c>
      <c r="D4299" s="25">
        <v>1.1416E-4</v>
      </c>
      <c r="E4299" s="25">
        <v>1.1423E-4</v>
      </c>
      <c r="F4299" s="25">
        <v>1.2342000000000001E-4</v>
      </c>
      <c r="G4299" s="25">
        <v>6.1389999999999993E-5</v>
      </c>
      <c r="H4299" s="25">
        <v>7.0179999999999996E-5</v>
      </c>
      <c r="I4299" s="9">
        <v>1.0732E-4</v>
      </c>
      <c r="J4299" s="9">
        <v>1.087E-4</v>
      </c>
      <c r="K4299" s="9">
        <v>0</v>
      </c>
      <c r="L4299" s="9">
        <v>8.5099999999999995E-5</v>
      </c>
      <c r="M4299" s="9">
        <v>9.8789999999999994E-5</v>
      </c>
      <c r="N4299" s="9">
        <v>9.9850000000000001E-5</v>
      </c>
      <c r="O4299" s="9">
        <v>7.4870000000000007E-5</v>
      </c>
      <c r="P4299" s="9">
        <v>7.2609999999999998E-5</v>
      </c>
      <c r="Q4299" s="9">
        <v>6.7329999999999994E-5</v>
      </c>
      <c r="R4299" s="10">
        <v>3.5612269081719692E-5</v>
      </c>
      <c r="S4299" s="10">
        <v>1.4605354971068739E-4</v>
      </c>
      <c r="T4299" s="10">
        <v>0</v>
      </c>
      <c r="U4299" s="10">
        <v>8.3399999999999994E-5</v>
      </c>
      <c r="V4299" s="25"/>
      <c r="W4299" s="25"/>
      <c r="X4299" s="25"/>
      <c r="Y4299" s="25"/>
      <c r="Z4299" s="25"/>
      <c r="AA4299" s="25"/>
    </row>
    <row r="4300" spans="1:27" x14ac:dyDescent="0.35">
      <c r="A4300" s="5">
        <v>4296</v>
      </c>
      <c r="B4300" s="5">
        <v>179</v>
      </c>
      <c r="C4300" s="5">
        <v>6</v>
      </c>
      <c r="D4300" s="25">
        <v>1.1415000000000001E-4</v>
      </c>
      <c r="E4300" s="25">
        <v>1.1747E-4</v>
      </c>
      <c r="F4300" s="25">
        <v>1.4279000000000001E-4</v>
      </c>
      <c r="G4300" s="25">
        <v>5.5609999999999998E-5</v>
      </c>
      <c r="H4300" s="25">
        <v>7.4880000000000001E-5</v>
      </c>
      <c r="I4300" s="9">
        <v>1.003E-4</v>
      </c>
      <c r="J4300" s="9">
        <v>1.0093E-4</v>
      </c>
      <c r="K4300" s="9">
        <v>0</v>
      </c>
      <c r="L4300" s="9">
        <v>7.7100000000000004E-5</v>
      </c>
      <c r="M4300" s="9">
        <v>8.6119999999999995E-5</v>
      </c>
      <c r="N4300" s="9">
        <v>9.0580000000000004E-5</v>
      </c>
      <c r="O4300" s="9">
        <v>6.211E-5</v>
      </c>
      <c r="P4300" s="9">
        <v>6.1249999999999998E-5</v>
      </c>
      <c r="Q4300" s="9">
        <v>5.9419999999999997E-5</v>
      </c>
      <c r="R4300" s="10">
        <v>4.4352134077587057E-5</v>
      </c>
      <c r="S4300" s="10">
        <v>1.2815575979053333E-4</v>
      </c>
      <c r="T4300" s="10">
        <v>0</v>
      </c>
      <c r="U4300" s="10">
        <v>8.3399999999999994E-5</v>
      </c>
      <c r="V4300" s="25"/>
      <c r="W4300" s="25"/>
      <c r="X4300" s="25"/>
      <c r="Y4300" s="25"/>
      <c r="Z4300" s="25"/>
      <c r="AA4300" s="25"/>
    </row>
    <row r="4301" spans="1:27" x14ac:dyDescent="0.35">
      <c r="A4301" s="5">
        <v>4297</v>
      </c>
      <c r="B4301" s="5">
        <v>180</v>
      </c>
      <c r="C4301" s="5">
        <v>6</v>
      </c>
      <c r="D4301" s="25">
        <v>1.1416E-4</v>
      </c>
      <c r="E4301" s="25">
        <v>1.1126E-4</v>
      </c>
      <c r="F4301" s="25">
        <v>1.2941E-4</v>
      </c>
      <c r="G4301" s="25">
        <v>5.9580000000000002E-5</v>
      </c>
      <c r="H4301" s="25">
        <v>7.449E-5</v>
      </c>
      <c r="I4301" s="9">
        <v>9.5649999999999994E-5</v>
      </c>
      <c r="J4301" s="9">
        <v>9.5489999999999995E-5</v>
      </c>
      <c r="K4301" s="9">
        <v>0</v>
      </c>
      <c r="L4301" s="9">
        <v>6.5389999999999996E-5</v>
      </c>
      <c r="M4301" s="9">
        <v>7.4270000000000006E-5</v>
      </c>
      <c r="N4301" s="9">
        <v>8.1249999999999996E-5</v>
      </c>
      <c r="O4301" s="9">
        <v>5.4249999999999997E-5</v>
      </c>
      <c r="P4301" s="9">
        <v>5.3669999999999999E-5</v>
      </c>
      <c r="Q4301" s="9">
        <v>5.325E-5</v>
      </c>
      <c r="R4301" s="10">
        <v>5.2099199066694007E-5</v>
      </c>
      <c r="S4301" s="10">
        <v>1.2308143551679969E-4</v>
      </c>
      <c r="T4301" s="10">
        <v>0</v>
      </c>
      <c r="U4301" s="10">
        <v>8.2789999999999998E-5</v>
      </c>
      <c r="V4301" s="25"/>
      <c r="W4301" s="25"/>
      <c r="X4301" s="25"/>
      <c r="Y4301" s="25"/>
      <c r="Z4301" s="25"/>
      <c r="AA4301" s="25"/>
    </row>
    <row r="4302" spans="1:27" x14ac:dyDescent="0.35">
      <c r="A4302" s="5">
        <v>4298</v>
      </c>
      <c r="B4302" s="5">
        <v>180</v>
      </c>
      <c r="C4302" s="5">
        <v>6</v>
      </c>
      <c r="D4302" s="25">
        <v>1.1415000000000001E-4</v>
      </c>
      <c r="E4302" s="25">
        <v>1.059E-4</v>
      </c>
      <c r="F4302" s="25">
        <v>1.3339999999999999E-4</v>
      </c>
      <c r="G4302" s="25">
        <v>5.7639999999999997E-5</v>
      </c>
      <c r="H4302" s="25">
        <v>7.3499999999999998E-5</v>
      </c>
      <c r="I4302" s="9">
        <v>9.3519999999999999E-5</v>
      </c>
      <c r="J4302" s="9">
        <v>9.302E-5</v>
      </c>
      <c r="K4302" s="9">
        <v>0</v>
      </c>
      <c r="L4302" s="9">
        <v>5.7030000000000001E-5</v>
      </c>
      <c r="M4302" s="9">
        <v>6.4040000000000003E-5</v>
      </c>
      <c r="N4302" s="9">
        <v>7.2100000000000004E-5</v>
      </c>
      <c r="O4302" s="9">
        <v>2.419E-5</v>
      </c>
      <c r="P4302" s="9">
        <v>3.7849999999999998E-5</v>
      </c>
      <c r="Q4302" s="9">
        <v>5.6329999999999998E-5</v>
      </c>
      <c r="R4302" s="10">
        <v>6.0760697777891119E-5</v>
      </c>
      <c r="S4302" s="10">
        <v>1.1068197826696493E-4</v>
      </c>
      <c r="T4302" s="10">
        <v>0</v>
      </c>
      <c r="U4302" s="10">
        <v>8.2789999999999998E-5</v>
      </c>
      <c r="V4302" s="25"/>
      <c r="W4302" s="25"/>
      <c r="X4302" s="25"/>
      <c r="Y4302" s="25"/>
      <c r="Z4302" s="25"/>
      <c r="AA4302" s="25"/>
    </row>
    <row r="4303" spans="1:27" x14ac:dyDescent="0.35">
      <c r="A4303" s="5">
        <v>4299</v>
      </c>
      <c r="B4303" s="5">
        <v>180</v>
      </c>
      <c r="C4303" s="5">
        <v>6</v>
      </c>
      <c r="D4303" s="25">
        <v>1.1416E-4</v>
      </c>
      <c r="E4303" s="25">
        <v>1.063E-4</v>
      </c>
      <c r="F4303" s="25">
        <v>1.3035E-4</v>
      </c>
      <c r="G4303" s="25">
        <v>6.054E-5</v>
      </c>
      <c r="H4303" s="25">
        <v>7.5610000000000003E-5</v>
      </c>
      <c r="I4303" s="9">
        <v>9.2E-5</v>
      </c>
      <c r="J4303" s="9">
        <v>9.1470000000000003E-5</v>
      </c>
      <c r="K4303" s="9">
        <v>0</v>
      </c>
      <c r="L4303" s="9">
        <v>3.1609999999999997E-5</v>
      </c>
      <c r="M4303" s="9">
        <v>5.2259999999999998E-5</v>
      </c>
      <c r="N4303" s="9">
        <v>6.5590000000000001E-5</v>
      </c>
      <c r="O4303" s="9">
        <v>1.9380000000000001E-5</v>
      </c>
      <c r="P4303" s="9">
        <v>3.7610000000000001E-5</v>
      </c>
      <c r="Q4303" s="9">
        <v>6.1299999999999999E-5</v>
      </c>
      <c r="R4303" s="10">
        <v>6.4631134411425077E-5</v>
      </c>
      <c r="S4303" s="10">
        <v>8.7925232355994087E-5</v>
      </c>
      <c r="T4303" s="10">
        <v>0</v>
      </c>
      <c r="U4303" s="10">
        <v>8.2789999999999998E-5</v>
      </c>
      <c r="V4303" s="25"/>
      <c r="W4303" s="25"/>
      <c r="X4303" s="25"/>
      <c r="Y4303" s="25"/>
      <c r="Z4303" s="25"/>
      <c r="AA4303" s="25"/>
    </row>
    <row r="4304" spans="1:27" x14ac:dyDescent="0.35">
      <c r="A4304" s="5">
        <v>4300</v>
      </c>
      <c r="B4304" s="5">
        <v>180</v>
      </c>
      <c r="C4304" s="5">
        <v>6</v>
      </c>
      <c r="D4304" s="25">
        <v>1.1415000000000001E-4</v>
      </c>
      <c r="E4304" s="25">
        <v>1.0768E-4</v>
      </c>
      <c r="F4304" s="25">
        <v>1.2845000000000001E-4</v>
      </c>
      <c r="G4304" s="25">
        <v>5.3529999999999997E-5</v>
      </c>
      <c r="H4304" s="25">
        <v>6.4070000000000002E-5</v>
      </c>
      <c r="I4304" s="9">
        <v>9.1539999999999994E-5</v>
      </c>
      <c r="J4304" s="9">
        <v>9.098E-5</v>
      </c>
      <c r="K4304" s="9">
        <v>1.484E-5</v>
      </c>
      <c r="L4304" s="9">
        <v>2.27E-5</v>
      </c>
      <c r="M4304" s="9">
        <v>4.4180000000000001E-5</v>
      </c>
      <c r="N4304" s="9">
        <v>6.1950000000000001E-5</v>
      </c>
      <c r="O4304" s="9">
        <v>1.933E-5</v>
      </c>
      <c r="P4304" s="9">
        <v>4.6900000000000002E-5</v>
      </c>
      <c r="Q4304" s="9">
        <v>7.9770000000000004E-5</v>
      </c>
      <c r="R4304" s="10">
        <v>7.0368395052060998E-5</v>
      </c>
      <c r="S4304" s="10">
        <v>7.6937679711991727E-5</v>
      </c>
      <c r="T4304" s="10">
        <v>0</v>
      </c>
      <c r="U4304" s="10">
        <v>8.2789999999999998E-5</v>
      </c>
      <c r="V4304" s="25"/>
      <c r="W4304" s="25"/>
      <c r="X4304" s="25"/>
      <c r="Y4304" s="25"/>
      <c r="Z4304" s="25"/>
      <c r="AA4304" s="25"/>
    </row>
    <row r="4305" spans="1:27" x14ac:dyDescent="0.35">
      <c r="A4305" s="5">
        <v>4301</v>
      </c>
      <c r="B4305" s="5">
        <v>180</v>
      </c>
      <c r="C4305" s="5">
        <v>6</v>
      </c>
      <c r="D4305" s="25">
        <v>1.1416E-4</v>
      </c>
      <c r="E4305" s="25">
        <v>1.1297E-4</v>
      </c>
      <c r="F4305" s="25">
        <v>1.4245999999999999E-4</v>
      </c>
      <c r="G4305" s="25">
        <v>5.7420000000000003E-5</v>
      </c>
      <c r="H4305" s="25">
        <v>7.5069999999999998E-5</v>
      </c>
      <c r="I4305" s="9">
        <v>9.3620000000000002E-5</v>
      </c>
      <c r="J4305" s="9">
        <v>9.1260000000000004E-5</v>
      </c>
      <c r="K4305" s="9">
        <v>1.696E-5</v>
      </c>
      <c r="L4305" s="9">
        <v>2.0279999999999999E-5</v>
      </c>
      <c r="M4305" s="9">
        <v>4.3340000000000002E-5</v>
      </c>
      <c r="N4305" s="9">
        <v>6.4330000000000002E-5</v>
      </c>
      <c r="O4305" s="9">
        <v>2.4000000000000001E-5</v>
      </c>
      <c r="P4305" s="9">
        <v>5.6339999999999999E-5</v>
      </c>
      <c r="Q4305" s="9">
        <v>9.3170000000000004E-5</v>
      </c>
      <c r="R4305" s="10">
        <v>6.7948854331247084E-5</v>
      </c>
      <c r="S4305" s="10">
        <v>6.2578129346310134E-5</v>
      </c>
      <c r="T4305" s="10">
        <v>1.0410235302624868E-5</v>
      </c>
      <c r="U4305" s="10">
        <v>8.2789999999999998E-5</v>
      </c>
      <c r="V4305" s="25"/>
      <c r="W4305" s="25"/>
      <c r="X4305" s="25"/>
      <c r="Y4305" s="25"/>
      <c r="Z4305" s="25"/>
      <c r="AA4305" s="25"/>
    </row>
    <row r="4306" spans="1:27" x14ac:dyDescent="0.35">
      <c r="A4306" s="5">
        <v>4302</v>
      </c>
      <c r="B4306" s="5">
        <v>180</v>
      </c>
      <c r="C4306" s="5">
        <v>6</v>
      </c>
      <c r="D4306" s="25">
        <v>1.1415000000000001E-4</v>
      </c>
      <c r="E4306" s="25">
        <v>1.0909E-4</v>
      </c>
      <c r="F4306" s="25">
        <v>1.2366999999999999E-4</v>
      </c>
      <c r="G4306" s="25">
        <v>1.1158E-4</v>
      </c>
      <c r="H4306" s="25">
        <v>1.3511E-4</v>
      </c>
      <c r="I4306" s="9">
        <v>1.0192E-4</v>
      </c>
      <c r="J4306" s="9">
        <v>9.8319999999999994E-5</v>
      </c>
      <c r="K4306" s="9">
        <v>1.06E-5</v>
      </c>
      <c r="L4306" s="9">
        <v>2.3079999999999999E-5</v>
      </c>
      <c r="M4306" s="9">
        <v>4.816E-5</v>
      </c>
      <c r="N4306" s="9">
        <v>7.0759999999999993E-5</v>
      </c>
      <c r="O4306" s="9">
        <v>4.74E-5</v>
      </c>
      <c r="P4306" s="9">
        <v>7.6689999999999999E-5</v>
      </c>
      <c r="Q4306" s="9">
        <v>1.0679E-4</v>
      </c>
      <c r="R4306" s="10">
        <v>4.9128612895577526E-5</v>
      </c>
      <c r="S4306" s="10">
        <v>4.3137234359943158E-5</v>
      </c>
      <c r="T4306" s="10">
        <v>3.0280464380658643E-5</v>
      </c>
      <c r="U4306" s="10">
        <v>8.2789999999999998E-5</v>
      </c>
      <c r="V4306" s="25"/>
      <c r="W4306" s="25"/>
      <c r="X4306" s="25"/>
      <c r="Y4306" s="25"/>
      <c r="Z4306" s="25"/>
      <c r="AA4306" s="25"/>
    </row>
    <row r="4307" spans="1:27" x14ac:dyDescent="0.35">
      <c r="A4307" s="5">
        <v>4303</v>
      </c>
      <c r="B4307" s="5">
        <v>180</v>
      </c>
      <c r="C4307" s="5">
        <v>6</v>
      </c>
      <c r="D4307" s="25">
        <v>1.1416E-4</v>
      </c>
      <c r="E4307" s="25">
        <v>1.077E-4</v>
      </c>
      <c r="F4307" s="25">
        <v>1.2758999999999999E-4</v>
      </c>
      <c r="G4307" s="25">
        <v>1.1383E-4</v>
      </c>
      <c r="H4307" s="25">
        <v>1.3679999999999999E-4</v>
      </c>
      <c r="I4307" s="9">
        <v>1.0988E-4</v>
      </c>
      <c r="J4307" s="9">
        <v>1.1238E-4</v>
      </c>
      <c r="K4307" s="9">
        <v>0</v>
      </c>
      <c r="L4307" s="9">
        <v>4.193E-5</v>
      </c>
      <c r="M4307" s="9">
        <v>5.9790000000000002E-5</v>
      </c>
      <c r="N4307" s="9">
        <v>8.0430000000000001E-5</v>
      </c>
      <c r="O4307" s="9">
        <v>1.1317E-4</v>
      </c>
      <c r="P4307" s="9">
        <v>1.1752E-4</v>
      </c>
      <c r="Q4307" s="9">
        <v>1.1258E-4</v>
      </c>
      <c r="R4307" s="10">
        <v>2.6724096876609921E-5</v>
      </c>
      <c r="S4307" s="10">
        <v>3.9366325588676302E-5</v>
      </c>
      <c r="T4307" s="10">
        <v>1.6285612602598559E-4</v>
      </c>
      <c r="U4307" s="10">
        <v>8.2789999999999998E-5</v>
      </c>
      <c r="V4307" s="25"/>
      <c r="W4307" s="25"/>
      <c r="X4307" s="25"/>
      <c r="Y4307" s="25"/>
      <c r="Z4307" s="25"/>
      <c r="AA4307" s="25"/>
    </row>
    <row r="4308" spans="1:27" x14ac:dyDescent="0.35">
      <c r="A4308" s="5">
        <v>4304</v>
      </c>
      <c r="B4308" s="5">
        <v>180</v>
      </c>
      <c r="C4308" s="5">
        <v>6</v>
      </c>
      <c r="D4308" s="25">
        <v>1.1415000000000001E-4</v>
      </c>
      <c r="E4308" s="25">
        <v>1.0521E-4</v>
      </c>
      <c r="F4308" s="25">
        <v>1.3746E-4</v>
      </c>
      <c r="G4308" s="25">
        <v>1.5741E-4</v>
      </c>
      <c r="H4308" s="25">
        <v>1.8925999999999999E-4</v>
      </c>
      <c r="I4308" s="9">
        <v>1.1372E-4</v>
      </c>
      <c r="J4308" s="9">
        <v>1.227E-4</v>
      </c>
      <c r="K4308" s="9">
        <v>0</v>
      </c>
      <c r="L4308" s="9">
        <v>9.6970000000000002E-5</v>
      </c>
      <c r="M4308" s="9">
        <v>8.3579999999999996E-5</v>
      </c>
      <c r="N4308" s="9">
        <v>9.0580000000000004E-5</v>
      </c>
      <c r="O4308" s="9">
        <v>1.9673999999999999E-4</v>
      </c>
      <c r="P4308" s="9">
        <v>1.7840999999999999E-4</v>
      </c>
      <c r="Q4308" s="9">
        <v>1.3782000000000001E-4</v>
      </c>
      <c r="R4308" s="10">
        <v>1.5742195389025271E-5</v>
      </c>
      <c r="S4308" s="10">
        <v>4.0274343127473328E-5</v>
      </c>
      <c r="T4308" s="10">
        <v>3.4080582059587474E-4</v>
      </c>
      <c r="U4308" s="10">
        <v>8.2789999999999998E-5</v>
      </c>
      <c r="V4308" s="25"/>
      <c r="W4308" s="25"/>
      <c r="X4308" s="25"/>
      <c r="Y4308" s="25"/>
      <c r="Z4308" s="25"/>
      <c r="AA4308" s="25"/>
    </row>
    <row r="4309" spans="1:27" x14ac:dyDescent="0.35">
      <c r="A4309" s="5">
        <v>4305</v>
      </c>
      <c r="B4309" s="5">
        <v>180</v>
      </c>
      <c r="C4309" s="5">
        <v>6</v>
      </c>
      <c r="D4309" s="25">
        <v>1.1416E-4</v>
      </c>
      <c r="E4309" s="25">
        <v>1.1112000000000001E-4</v>
      </c>
      <c r="F4309" s="25">
        <v>1.3902000000000001E-4</v>
      </c>
      <c r="G4309" s="25">
        <v>1.6292999999999999E-4</v>
      </c>
      <c r="H4309" s="25">
        <v>1.8770000000000001E-4</v>
      </c>
      <c r="I4309" s="9">
        <v>1.1505E-4</v>
      </c>
      <c r="J4309" s="9">
        <v>1.2684E-4</v>
      </c>
      <c r="K4309" s="9">
        <v>0</v>
      </c>
      <c r="L4309" s="9">
        <v>1.7327999999999999E-4</v>
      </c>
      <c r="M4309" s="9">
        <v>1.2386999999999999E-4</v>
      </c>
      <c r="N4309" s="9">
        <v>1.0463000000000001E-4</v>
      </c>
      <c r="O4309" s="9">
        <v>1.8908E-4</v>
      </c>
      <c r="P4309" s="9">
        <v>1.9416999999999999E-4</v>
      </c>
      <c r="Q4309" s="9">
        <v>1.7782E-4</v>
      </c>
      <c r="R4309" s="10">
        <v>5.1133108212143798E-6</v>
      </c>
      <c r="S4309" s="10">
        <v>3.2516783255605013E-5</v>
      </c>
      <c r="T4309" s="10">
        <v>4.7882840242399326E-4</v>
      </c>
      <c r="U4309" s="10">
        <v>8.2789999999999998E-5</v>
      </c>
      <c r="V4309" s="25"/>
      <c r="W4309" s="25"/>
      <c r="X4309" s="25"/>
      <c r="Y4309" s="25"/>
      <c r="Z4309" s="25"/>
      <c r="AA4309" s="25"/>
    </row>
    <row r="4310" spans="1:27" x14ac:dyDescent="0.35">
      <c r="A4310" s="5">
        <v>4306</v>
      </c>
      <c r="B4310" s="5">
        <v>180</v>
      </c>
      <c r="C4310" s="5">
        <v>6</v>
      </c>
      <c r="D4310" s="25">
        <v>1.1415000000000001E-4</v>
      </c>
      <c r="E4310" s="25">
        <v>1.0437000000000001E-4</v>
      </c>
      <c r="F4310" s="25">
        <v>1.2528999999999999E-4</v>
      </c>
      <c r="G4310" s="25">
        <v>1.5887E-4</v>
      </c>
      <c r="H4310" s="25">
        <v>1.9755E-4</v>
      </c>
      <c r="I4310" s="9">
        <v>1.1305E-4</v>
      </c>
      <c r="J4310" s="9">
        <v>1.2711999999999999E-4</v>
      </c>
      <c r="K4310" s="9">
        <v>0</v>
      </c>
      <c r="L4310" s="9">
        <v>1.8359999999999999E-4</v>
      </c>
      <c r="M4310" s="9">
        <v>1.594E-4</v>
      </c>
      <c r="N4310" s="9">
        <v>1.2490999999999999E-4</v>
      </c>
      <c r="O4310" s="9">
        <v>1.4977E-4</v>
      </c>
      <c r="P4310" s="9">
        <v>1.7325000000000001E-4</v>
      </c>
      <c r="Q4310" s="9">
        <v>1.8122E-4</v>
      </c>
      <c r="R4310" s="10">
        <v>4.3940510929532484E-6</v>
      </c>
      <c r="S4310" s="10">
        <v>2.1421339688607131E-5</v>
      </c>
      <c r="T4310" s="10">
        <v>5.2805430725352007E-4</v>
      </c>
      <c r="U4310" s="10">
        <v>8.2789999999999998E-5</v>
      </c>
      <c r="V4310" s="25"/>
      <c r="W4310" s="25"/>
      <c r="X4310" s="25"/>
      <c r="Y4310" s="25"/>
      <c r="Z4310" s="25"/>
      <c r="AA4310" s="25"/>
    </row>
    <row r="4311" spans="1:27" x14ac:dyDescent="0.35">
      <c r="A4311" s="5">
        <v>4307</v>
      </c>
      <c r="B4311" s="5">
        <v>180</v>
      </c>
      <c r="C4311" s="5">
        <v>6</v>
      </c>
      <c r="D4311" s="25">
        <v>1.1416E-4</v>
      </c>
      <c r="E4311" s="25">
        <v>1.1012E-4</v>
      </c>
      <c r="F4311" s="25">
        <v>1.2212E-4</v>
      </c>
      <c r="G4311" s="25">
        <v>1.5783E-4</v>
      </c>
      <c r="H4311" s="25">
        <v>1.973E-4</v>
      </c>
      <c r="I4311" s="9">
        <v>1.1207E-4</v>
      </c>
      <c r="J4311" s="9">
        <v>1.272E-4</v>
      </c>
      <c r="K4311" s="9">
        <v>0</v>
      </c>
      <c r="L4311" s="9">
        <v>1.5729000000000001E-4</v>
      </c>
      <c r="M4311" s="9">
        <v>1.7260999999999999E-4</v>
      </c>
      <c r="N4311" s="9">
        <v>1.4281999999999999E-4</v>
      </c>
      <c r="O4311" s="9">
        <v>1.5165999999999999E-4</v>
      </c>
      <c r="P4311" s="9">
        <v>1.7406999999999999E-4</v>
      </c>
      <c r="Q4311" s="9">
        <v>1.808E-4</v>
      </c>
      <c r="R4311" s="10">
        <v>7.965915518211671E-6</v>
      </c>
      <c r="S4311" s="10">
        <v>1.3980406491930746E-5</v>
      </c>
      <c r="T4311" s="10">
        <v>5.4610041197127328E-4</v>
      </c>
      <c r="U4311" s="10">
        <v>8.2789999999999998E-5</v>
      </c>
      <c r="V4311" s="25"/>
      <c r="W4311" s="25"/>
      <c r="X4311" s="25"/>
      <c r="Y4311" s="25"/>
      <c r="Z4311" s="25"/>
      <c r="AA4311" s="25"/>
    </row>
    <row r="4312" spans="1:27" x14ac:dyDescent="0.35">
      <c r="A4312" s="5">
        <v>4308</v>
      </c>
      <c r="B4312" s="5">
        <v>180</v>
      </c>
      <c r="C4312" s="5">
        <v>6</v>
      </c>
      <c r="D4312" s="25">
        <v>1.1415000000000001E-4</v>
      </c>
      <c r="E4312" s="25">
        <v>1.1027999999999999E-4</v>
      </c>
      <c r="F4312" s="25">
        <v>1.2777E-4</v>
      </c>
      <c r="G4312" s="25">
        <v>1.6216000000000001E-4</v>
      </c>
      <c r="H4312" s="25">
        <v>1.9927000000000001E-4</v>
      </c>
      <c r="I4312" s="9">
        <v>1.0721999999999999E-4</v>
      </c>
      <c r="J4312" s="9">
        <v>1.2658E-4</v>
      </c>
      <c r="K4312" s="9">
        <v>0</v>
      </c>
      <c r="L4312" s="9">
        <v>1.5415000000000001E-4</v>
      </c>
      <c r="M4312" s="9">
        <v>1.7530000000000001E-4</v>
      </c>
      <c r="N4312" s="9">
        <v>1.5718000000000001E-4</v>
      </c>
      <c r="O4312" s="9">
        <v>1.5247000000000001E-4</v>
      </c>
      <c r="P4312" s="9">
        <v>1.7097999999999999E-4</v>
      </c>
      <c r="Q4312" s="9">
        <v>1.7364999999999999E-4</v>
      </c>
      <c r="R4312" s="10">
        <v>8.3514243918144546E-6</v>
      </c>
      <c r="S4312" s="10">
        <v>1.1079464689987898E-5</v>
      </c>
      <c r="T4312" s="10">
        <v>5.6165213268008442E-4</v>
      </c>
      <c r="U4312" s="10">
        <v>8.2789999999999998E-5</v>
      </c>
      <c r="V4312" s="25"/>
      <c r="W4312" s="25"/>
      <c r="X4312" s="25"/>
      <c r="Y4312" s="25"/>
      <c r="Z4312" s="25"/>
      <c r="AA4312" s="25"/>
    </row>
    <row r="4313" spans="1:27" x14ac:dyDescent="0.35">
      <c r="A4313" s="5">
        <v>4309</v>
      </c>
      <c r="B4313" s="5">
        <v>180</v>
      </c>
      <c r="C4313" s="5">
        <v>6</v>
      </c>
      <c r="D4313" s="25">
        <v>1.1416E-4</v>
      </c>
      <c r="E4313" s="25">
        <v>1.0958E-4</v>
      </c>
      <c r="F4313" s="25">
        <v>1.2883E-4</v>
      </c>
      <c r="G4313" s="25">
        <v>1.6595E-4</v>
      </c>
      <c r="H4313" s="25">
        <v>1.9859000000000001E-4</v>
      </c>
      <c r="I4313" s="9">
        <v>1.0738000000000001E-4</v>
      </c>
      <c r="J4313" s="9">
        <v>1.2787000000000001E-4</v>
      </c>
      <c r="K4313" s="9">
        <v>0</v>
      </c>
      <c r="L4313" s="9">
        <v>1.5295E-4</v>
      </c>
      <c r="M4313" s="9">
        <v>1.7398000000000001E-4</v>
      </c>
      <c r="N4313" s="9">
        <v>1.6647999999999999E-4</v>
      </c>
      <c r="O4313" s="9">
        <v>1.4533999999999999E-4</v>
      </c>
      <c r="P4313" s="9">
        <v>1.6343999999999999E-4</v>
      </c>
      <c r="Q4313" s="9">
        <v>1.6683E-4</v>
      </c>
      <c r="R4313" s="10">
        <v>1.5913329850280148E-5</v>
      </c>
      <c r="S4313" s="10">
        <v>6.36815631040217E-6</v>
      </c>
      <c r="T4313" s="10">
        <v>6.101144505680986E-4</v>
      </c>
      <c r="U4313" s="10">
        <v>8.2789999999999998E-5</v>
      </c>
      <c r="V4313" s="25"/>
      <c r="W4313" s="25"/>
      <c r="X4313" s="25"/>
      <c r="Y4313" s="25"/>
      <c r="Z4313" s="25"/>
      <c r="AA4313" s="25"/>
    </row>
    <row r="4314" spans="1:27" x14ac:dyDescent="0.35">
      <c r="A4314" s="5">
        <v>4310</v>
      </c>
      <c r="B4314" s="5">
        <v>180</v>
      </c>
      <c r="C4314" s="5">
        <v>6</v>
      </c>
      <c r="D4314" s="25">
        <v>1.1415000000000001E-4</v>
      </c>
      <c r="E4314" s="25">
        <v>1.0575E-4</v>
      </c>
      <c r="F4314" s="25">
        <v>1.2465999999999999E-4</v>
      </c>
      <c r="G4314" s="25">
        <v>1.5844000000000001E-4</v>
      </c>
      <c r="H4314" s="25">
        <v>1.8772999999999999E-4</v>
      </c>
      <c r="I4314" s="9">
        <v>1.0695E-4</v>
      </c>
      <c r="J4314" s="9">
        <v>1.2813000000000001E-4</v>
      </c>
      <c r="K4314" s="9">
        <v>0</v>
      </c>
      <c r="L4314" s="9">
        <v>1.4682000000000001E-4</v>
      </c>
      <c r="M4314" s="9">
        <v>1.6981E-4</v>
      </c>
      <c r="N4314" s="9">
        <v>1.7056999999999999E-4</v>
      </c>
      <c r="O4314" s="9">
        <v>1.6117E-4</v>
      </c>
      <c r="P4314" s="9">
        <v>1.7008999999999999E-4</v>
      </c>
      <c r="Q4314" s="9">
        <v>1.6200000000000001E-4</v>
      </c>
      <c r="R4314" s="10">
        <v>1.6640584874752128E-5</v>
      </c>
      <c r="S4314" s="10">
        <v>5.0441183369853231E-6</v>
      </c>
      <c r="T4314" s="10">
        <v>5.3574956676409938E-4</v>
      </c>
      <c r="U4314" s="10">
        <v>8.2789999999999998E-5</v>
      </c>
      <c r="V4314" s="25"/>
      <c r="W4314" s="25"/>
      <c r="X4314" s="25"/>
      <c r="Y4314" s="25"/>
      <c r="Z4314" s="25"/>
      <c r="AA4314" s="25"/>
    </row>
    <row r="4315" spans="1:27" x14ac:dyDescent="0.35">
      <c r="A4315" s="5">
        <v>4311</v>
      </c>
      <c r="B4315" s="5">
        <v>180</v>
      </c>
      <c r="C4315" s="5">
        <v>6</v>
      </c>
      <c r="D4315" s="25">
        <v>1.1416E-4</v>
      </c>
      <c r="E4315" s="25">
        <v>1.1004E-4</v>
      </c>
      <c r="F4315" s="25">
        <v>1.3872E-4</v>
      </c>
      <c r="G4315" s="25">
        <v>1.6619000000000001E-4</v>
      </c>
      <c r="H4315" s="25">
        <v>1.8757999999999999E-4</v>
      </c>
      <c r="I4315" s="9">
        <v>1.0734999999999999E-4</v>
      </c>
      <c r="J4315" s="9">
        <v>1.2794999999999999E-4</v>
      </c>
      <c r="K4315" s="9">
        <v>0</v>
      </c>
      <c r="L4315" s="9">
        <v>1.5817000000000001E-4</v>
      </c>
      <c r="M4315" s="9">
        <v>1.6872E-4</v>
      </c>
      <c r="N4315" s="9">
        <v>1.7027000000000001E-4</v>
      </c>
      <c r="O4315" s="9">
        <v>1.6447E-4</v>
      </c>
      <c r="P4315" s="9">
        <v>1.6726999999999999E-4</v>
      </c>
      <c r="Q4315" s="9">
        <v>1.5258000000000001E-4</v>
      </c>
      <c r="R4315" s="10">
        <v>1.7705906024152046E-5</v>
      </c>
      <c r="S4315" s="10">
        <v>1.2570342565935112E-5</v>
      </c>
      <c r="T4315" s="10">
        <v>4.7927807028955074E-4</v>
      </c>
      <c r="U4315" s="10">
        <v>8.2789999999999998E-5</v>
      </c>
      <c r="V4315" s="25"/>
      <c r="W4315" s="25"/>
      <c r="X4315" s="25"/>
      <c r="Y4315" s="25"/>
      <c r="Z4315" s="25"/>
      <c r="AA4315" s="25"/>
    </row>
    <row r="4316" spans="1:27" x14ac:dyDescent="0.35">
      <c r="A4316" s="5">
        <v>4312</v>
      </c>
      <c r="B4316" s="5">
        <v>180</v>
      </c>
      <c r="C4316" s="5">
        <v>6</v>
      </c>
      <c r="D4316" s="25">
        <v>1.1415000000000001E-4</v>
      </c>
      <c r="E4316" s="25">
        <v>1.0979E-4</v>
      </c>
      <c r="F4316" s="25">
        <v>1.2326000000000001E-4</v>
      </c>
      <c r="G4316" s="25">
        <v>1.6473E-4</v>
      </c>
      <c r="H4316" s="25">
        <v>2.0019999999999999E-4</v>
      </c>
      <c r="I4316" s="9">
        <v>1.0789E-4</v>
      </c>
      <c r="J4316" s="9">
        <v>1.2813000000000001E-4</v>
      </c>
      <c r="K4316" s="9">
        <v>0</v>
      </c>
      <c r="L4316" s="9">
        <v>1.6278000000000001E-4</v>
      </c>
      <c r="M4316" s="9">
        <v>1.6803E-4</v>
      </c>
      <c r="N4316" s="9">
        <v>1.6635E-4</v>
      </c>
      <c r="O4316" s="9">
        <v>1.7492000000000001E-4</v>
      </c>
      <c r="P4316" s="9">
        <v>1.5137000000000001E-4</v>
      </c>
      <c r="Q4316" s="9">
        <v>1.0898E-4</v>
      </c>
      <c r="R4316" s="10">
        <v>2.2444430127513319E-5</v>
      </c>
      <c r="S4316" s="10">
        <v>1.4391336680258188E-5</v>
      </c>
      <c r="T4316" s="10">
        <v>4.5328217708071408E-4</v>
      </c>
      <c r="U4316" s="10">
        <v>8.2789999999999998E-5</v>
      </c>
      <c r="V4316" s="25"/>
      <c r="W4316" s="25"/>
      <c r="X4316" s="25"/>
      <c r="Y4316" s="25"/>
      <c r="Z4316" s="25"/>
      <c r="AA4316" s="25"/>
    </row>
    <row r="4317" spans="1:27" x14ac:dyDescent="0.35">
      <c r="A4317" s="5">
        <v>4313</v>
      </c>
      <c r="B4317" s="5">
        <v>180</v>
      </c>
      <c r="C4317" s="5">
        <v>6</v>
      </c>
      <c r="D4317" s="25">
        <v>1.1416E-4</v>
      </c>
      <c r="E4317" s="25">
        <v>1.0688000000000001E-4</v>
      </c>
      <c r="F4317" s="25">
        <v>1.3894999999999999E-4</v>
      </c>
      <c r="G4317" s="25">
        <v>1.6131000000000001E-4</v>
      </c>
      <c r="H4317" s="25">
        <v>1.9735E-4</v>
      </c>
      <c r="I4317" s="9">
        <v>1.1052000000000001E-4</v>
      </c>
      <c r="J4317" s="9">
        <v>1.2857E-4</v>
      </c>
      <c r="K4317" s="9">
        <v>0</v>
      </c>
      <c r="L4317" s="9">
        <v>1.7207999999999999E-4</v>
      </c>
      <c r="M4317" s="9">
        <v>1.6195000000000001E-4</v>
      </c>
      <c r="N4317" s="9">
        <v>1.5239E-4</v>
      </c>
      <c r="O4317" s="9">
        <v>1.9019999999999999E-4</v>
      </c>
      <c r="P4317" s="9">
        <v>1.5918E-4</v>
      </c>
      <c r="Q4317" s="9">
        <v>1.0707E-4</v>
      </c>
      <c r="R4317" s="10">
        <v>2.6291157007559782E-5</v>
      </c>
      <c r="S4317" s="10">
        <v>1.8719233130647198E-5</v>
      </c>
      <c r="T4317" s="10">
        <v>3.3305117098984452E-4</v>
      </c>
      <c r="U4317" s="10">
        <v>8.2789999999999998E-5</v>
      </c>
      <c r="V4317" s="25"/>
      <c r="W4317" s="25"/>
      <c r="X4317" s="25"/>
      <c r="Y4317" s="25"/>
      <c r="Z4317" s="25"/>
      <c r="AA4317" s="25"/>
    </row>
    <row r="4318" spans="1:27" x14ac:dyDescent="0.35">
      <c r="A4318" s="5">
        <v>4314</v>
      </c>
      <c r="B4318" s="5">
        <v>180</v>
      </c>
      <c r="C4318" s="5">
        <v>6</v>
      </c>
      <c r="D4318" s="25">
        <v>1.1415000000000001E-4</v>
      </c>
      <c r="E4318" s="25">
        <v>1.1301E-4</v>
      </c>
      <c r="F4318" s="25">
        <v>1.3582000000000001E-4</v>
      </c>
      <c r="G4318" s="25">
        <v>1.5914999999999999E-4</v>
      </c>
      <c r="H4318" s="25">
        <v>1.9882999999999999E-4</v>
      </c>
      <c r="I4318" s="9">
        <v>1.1135E-4</v>
      </c>
      <c r="J4318" s="9">
        <v>1.2467000000000001E-4</v>
      </c>
      <c r="K4318" s="9">
        <v>0</v>
      </c>
      <c r="L4318" s="9">
        <v>1.8604E-4</v>
      </c>
      <c r="M4318" s="9">
        <v>1.5925999999999999E-4</v>
      </c>
      <c r="N4318" s="9">
        <v>1.3902000000000001E-4</v>
      </c>
      <c r="O4318" s="9">
        <v>1.8317E-4</v>
      </c>
      <c r="P4318" s="9">
        <v>1.6053000000000001E-4</v>
      </c>
      <c r="Q4318" s="9">
        <v>1.1778E-4</v>
      </c>
      <c r="R4318" s="10">
        <v>2.74384563612575E-5</v>
      </c>
      <c r="S4318" s="10">
        <v>2.2231997967332949E-5</v>
      </c>
      <c r="T4318" s="10">
        <v>1.0789483483576239E-4</v>
      </c>
      <c r="U4318" s="10">
        <v>8.2789999999999998E-5</v>
      </c>
      <c r="V4318" s="25"/>
      <c r="W4318" s="25"/>
      <c r="X4318" s="25"/>
      <c r="Y4318" s="25"/>
      <c r="Z4318" s="25"/>
      <c r="AA4318" s="25"/>
    </row>
    <row r="4319" spans="1:27" x14ac:dyDescent="0.35">
      <c r="A4319" s="5">
        <v>4315</v>
      </c>
      <c r="B4319" s="5">
        <v>180</v>
      </c>
      <c r="C4319" s="5">
        <v>6</v>
      </c>
      <c r="D4319" s="25">
        <v>1.1416E-4</v>
      </c>
      <c r="E4319" s="25">
        <v>1.1197E-4</v>
      </c>
      <c r="F4319" s="25">
        <v>1.3328E-4</v>
      </c>
      <c r="G4319" s="25">
        <v>1.088E-4</v>
      </c>
      <c r="H4319" s="25">
        <v>1.3250999999999999E-4</v>
      </c>
      <c r="I4319" s="9">
        <v>1.1139E-4</v>
      </c>
      <c r="J4319" s="9">
        <v>1.2166E-4</v>
      </c>
      <c r="K4319" s="9">
        <v>0</v>
      </c>
      <c r="L4319" s="9">
        <v>1.8343999999999999E-4</v>
      </c>
      <c r="M4319" s="9">
        <v>1.5919999999999999E-4</v>
      </c>
      <c r="N4319" s="9">
        <v>1.2998E-4</v>
      </c>
      <c r="O4319" s="9">
        <v>1.4902000000000001E-4</v>
      </c>
      <c r="P4319" s="9">
        <v>1.3574E-4</v>
      </c>
      <c r="Q4319" s="9">
        <v>1.0774E-4</v>
      </c>
      <c r="R4319" s="10">
        <v>2.7281017867448503E-5</v>
      </c>
      <c r="S4319" s="10">
        <v>2.2352812651984041E-5</v>
      </c>
      <c r="T4319" s="10">
        <v>5.9271315260095626E-5</v>
      </c>
      <c r="U4319" s="10">
        <v>8.2789999999999998E-5</v>
      </c>
      <c r="V4319" s="25"/>
      <c r="W4319" s="25"/>
      <c r="X4319" s="25"/>
      <c r="Y4319" s="25"/>
      <c r="Z4319" s="25"/>
      <c r="AA4319" s="25"/>
    </row>
    <row r="4320" spans="1:27" x14ac:dyDescent="0.35">
      <c r="A4320" s="5">
        <v>4316</v>
      </c>
      <c r="B4320" s="5">
        <v>180</v>
      </c>
      <c r="C4320" s="5">
        <v>6</v>
      </c>
      <c r="D4320" s="25">
        <v>1.1415000000000001E-4</v>
      </c>
      <c r="E4320" s="25">
        <v>1.0641000000000001E-4</v>
      </c>
      <c r="F4320" s="25">
        <v>1.4302999999999999E-4</v>
      </c>
      <c r="G4320" s="25">
        <v>1.0595E-4</v>
      </c>
      <c r="H4320" s="25">
        <v>1.3446000000000001E-4</v>
      </c>
      <c r="I4320" s="9">
        <v>1.1196000000000001E-4</v>
      </c>
      <c r="J4320" s="9">
        <v>1.1914E-4</v>
      </c>
      <c r="K4320" s="9">
        <v>0</v>
      </c>
      <c r="L4320" s="9">
        <v>1.5672E-4</v>
      </c>
      <c r="M4320" s="9">
        <v>1.5091E-4</v>
      </c>
      <c r="N4320" s="9">
        <v>1.2099000000000001E-4</v>
      </c>
      <c r="O4320" s="9">
        <v>1.1786999999999999E-4</v>
      </c>
      <c r="P4320" s="9">
        <v>1.1483E-4</v>
      </c>
      <c r="Q4320" s="9">
        <v>1.0187E-4</v>
      </c>
      <c r="R4320" s="10">
        <v>2.8056652809337044E-5</v>
      </c>
      <c r="S4320" s="10">
        <v>1.6383779473062897E-5</v>
      </c>
      <c r="T4320" s="10">
        <v>1.4296044404990141E-5</v>
      </c>
      <c r="U4320" s="10">
        <v>8.2789999999999998E-5</v>
      </c>
      <c r="V4320" s="25"/>
      <c r="W4320" s="25"/>
      <c r="X4320" s="25"/>
      <c r="Y4320" s="25"/>
      <c r="Z4320" s="25"/>
      <c r="AA4320" s="25"/>
    </row>
    <row r="4321" spans="1:27" x14ac:dyDescent="0.35">
      <c r="A4321" s="5">
        <v>4317</v>
      </c>
      <c r="B4321" s="5">
        <v>180</v>
      </c>
      <c r="C4321" s="5">
        <v>6</v>
      </c>
      <c r="D4321" s="25">
        <v>1.1416E-4</v>
      </c>
      <c r="E4321" s="25">
        <v>1.1277000000000001E-4</v>
      </c>
      <c r="F4321" s="25">
        <v>1.2310000000000001E-4</v>
      </c>
      <c r="G4321" s="25">
        <v>5.7309999999999998E-5</v>
      </c>
      <c r="H4321" s="25">
        <v>7.0759999999999993E-5</v>
      </c>
      <c r="I4321" s="9">
        <v>1.1098E-4</v>
      </c>
      <c r="J4321" s="9">
        <v>1.1669E-4</v>
      </c>
      <c r="K4321" s="9">
        <v>0</v>
      </c>
      <c r="L4321" s="9">
        <v>1.2725E-4</v>
      </c>
      <c r="M4321" s="9">
        <v>1.3558E-4</v>
      </c>
      <c r="N4321" s="9">
        <v>1.1331E-4</v>
      </c>
      <c r="O4321" s="9">
        <v>7.9759999999999995E-5</v>
      </c>
      <c r="P4321" s="9">
        <v>8.5779999999999995E-5</v>
      </c>
      <c r="Q4321" s="9">
        <v>8.7769999999999995E-5</v>
      </c>
      <c r="R4321" s="10">
        <v>3.1619413154778866E-5</v>
      </c>
      <c r="S4321" s="10">
        <v>9.8288900097707243E-6</v>
      </c>
      <c r="T4321" s="10">
        <v>0</v>
      </c>
      <c r="U4321" s="10">
        <v>8.2789999999999998E-5</v>
      </c>
      <c r="V4321" s="25"/>
      <c r="W4321" s="25"/>
      <c r="X4321" s="25"/>
      <c r="Y4321" s="25"/>
      <c r="Z4321" s="25"/>
      <c r="AA4321" s="25"/>
    </row>
    <row r="4322" spans="1:27" x14ac:dyDescent="0.35">
      <c r="A4322" s="5">
        <v>4318</v>
      </c>
      <c r="B4322" s="5">
        <v>180</v>
      </c>
      <c r="C4322" s="5">
        <v>6</v>
      </c>
      <c r="D4322" s="25">
        <v>1.1415000000000001E-4</v>
      </c>
      <c r="E4322" s="25">
        <v>1.0737E-4</v>
      </c>
      <c r="F4322" s="25">
        <v>1.2668E-4</v>
      </c>
      <c r="G4322" s="25">
        <v>5.7389999999999998E-5</v>
      </c>
      <c r="H4322" s="25">
        <v>6.6929999999999998E-5</v>
      </c>
      <c r="I4322" s="9">
        <v>1.13E-4</v>
      </c>
      <c r="J4322" s="9">
        <v>1.1422E-4</v>
      </c>
      <c r="K4322" s="9">
        <v>0</v>
      </c>
      <c r="L4322" s="9">
        <v>9.1000000000000003E-5</v>
      </c>
      <c r="M4322" s="9">
        <v>1.137E-4</v>
      </c>
      <c r="N4322" s="9">
        <v>1.0560000000000001E-4</v>
      </c>
      <c r="O4322" s="9">
        <v>8.1819999999999999E-5</v>
      </c>
      <c r="P4322" s="9">
        <v>8.6849999999999997E-5</v>
      </c>
      <c r="Q4322" s="9">
        <v>8.7490000000000004E-5</v>
      </c>
      <c r="R4322" s="10">
        <v>3.3255511304824583E-5</v>
      </c>
      <c r="S4322" s="10">
        <v>5.2359313056751434E-6</v>
      </c>
      <c r="T4322" s="10">
        <v>0</v>
      </c>
      <c r="U4322" s="10">
        <v>8.2789999999999998E-5</v>
      </c>
      <c r="V4322" s="25"/>
      <c r="W4322" s="25"/>
      <c r="X4322" s="25"/>
      <c r="Y4322" s="25"/>
      <c r="Z4322" s="25"/>
      <c r="AA4322" s="25"/>
    </row>
    <row r="4323" spans="1:27" x14ac:dyDescent="0.35">
      <c r="A4323" s="5">
        <v>4319</v>
      </c>
      <c r="B4323" s="5">
        <v>180</v>
      </c>
      <c r="C4323" s="5">
        <v>6</v>
      </c>
      <c r="D4323" s="25">
        <v>1.1416E-4</v>
      </c>
      <c r="E4323" s="25">
        <v>1.075E-4</v>
      </c>
      <c r="F4323" s="25">
        <v>1.2146000000000001E-4</v>
      </c>
      <c r="G4323" s="25">
        <v>5.3010000000000002E-5</v>
      </c>
      <c r="H4323" s="25">
        <v>6.3609999999999996E-5</v>
      </c>
      <c r="I4323" s="9">
        <v>1.0789E-4</v>
      </c>
      <c r="J4323" s="9">
        <v>1.0898E-4</v>
      </c>
      <c r="K4323" s="9">
        <v>0</v>
      </c>
      <c r="L4323" s="9">
        <v>8.4660000000000006E-5</v>
      </c>
      <c r="M4323" s="9">
        <v>9.8659999999999994E-5</v>
      </c>
      <c r="N4323" s="9">
        <v>9.9630000000000007E-5</v>
      </c>
      <c r="O4323" s="9">
        <v>7.3839999999999998E-5</v>
      </c>
      <c r="P4323" s="9">
        <v>7.1600000000000006E-5</v>
      </c>
      <c r="Q4323" s="9">
        <v>6.6390000000000006E-5</v>
      </c>
      <c r="R4323" s="10">
        <v>2.9576429162595848E-5</v>
      </c>
      <c r="S4323" s="10">
        <v>4.947043646016692E-6</v>
      </c>
      <c r="T4323" s="10">
        <v>0</v>
      </c>
      <c r="U4323" s="10">
        <v>8.2789999999999998E-5</v>
      </c>
      <c r="V4323" s="25"/>
      <c r="W4323" s="25"/>
      <c r="X4323" s="25"/>
      <c r="Y4323" s="25"/>
      <c r="Z4323" s="25"/>
      <c r="AA4323" s="25"/>
    </row>
    <row r="4324" spans="1:27" x14ac:dyDescent="0.35">
      <c r="A4324" s="5">
        <v>4320</v>
      </c>
      <c r="B4324" s="5">
        <v>180</v>
      </c>
      <c r="C4324" s="5">
        <v>6</v>
      </c>
      <c r="D4324" s="25">
        <v>1.1415000000000001E-4</v>
      </c>
      <c r="E4324" s="25">
        <v>1.0641000000000001E-4</v>
      </c>
      <c r="F4324" s="25">
        <v>1.4086E-4</v>
      </c>
      <c r="G4324" s="25">
        <v>5.8459999999999999E-5</v>
      </c>
      <c r="H4324" s="25">
        <v>7.2059999999999998E-5</v>
      </c>
      <c r="I4324" s="9">
        <v>1.0025E-4</v>
      </c>
      <c r="J4324" s="9">
        <v>1.0213E-4</v>
      </c>
      <c r="K4324" s="9">
        <v>0</v>
      </c>
      <c r="L4324" s="9">
        <v>7.6210000000000004E-5</v>
      </c>
      <c r="M4324" s="9">
        <v>8.5599999999999994E-5</v>
      </c>
      <c r="N4324" s="9">
        <v>9.0249999999999998E-5</v>
      </c>
      <c r="O4324" s="9">
        <v>6.1069999999999996E-5</v>
      </c>
      <c r="P4324" s="9">
        <v>6.0220000000000003E-5</v>
      </c>
      <c r="Q4324" s="9">
        <v>5.842E-5</v>
      </c>
      <c r="R4324" s="10">
        <v>2.6228742160222411E-5</v>
      </c>
      <c r="S4324" s="10">
        <v>7.730169441949411E-6</v>
      </c>
      <c r="T4324" s="10">
        <v>0</v>
      </c>
      <c r="U4324" s="10">
        <v>8.2789999999999998E-5</v>
      </c>
      <c r="V4324" s="25"/>
      <c r="W4324" s="25"/>
      <c r="X4324" s="25"/>
      <c r="Y4324" s="25"/>
      <c r="Z4324" s="25"/>
      <c r="AA4324" s="25"/>
    </row>
    <row r="4325" spans="1:27" x14ac:dyDescent="0.35">
      <c r="A4325" s="5">
        <v>4321</v>
      </c>
      <c r="B4325" s="5">
        <v>181</v>
      </c>
      <c r="C4325" s="5">
        <v>6</v>
      </c>
      <c r="D4325" s="25">
        <v>1.1416E-4</v>
      </c>
      <c r="E4325" s="25">
        <v>1.0961E-4</v>
      </c>
      <c r="F4325" s="25">
        <v>1.3501E-4</v>
      </c>
      <c r="G4325" s="25">
        <v>5.8659999999999997E-5</v>
      </c>
      <c r="H4325" s="25">
        <v>4.0219999999999998E-5</v>
      </c>
      <c r="I4325" s="9">
        <v>9.5580000000000003E-5</v>
      </c>
      <c r="J4325" s="9">
        <v>9.7289999999999999E-5</v>
      </c>
      <c r="K4325" s="9">
        <v>0</v>
      </c>
      <c r="L4325" s="9">
        <v>6.4399999999999993E-5</v>
      </c>
      <c r="M4325" s="9">
        <v>7.3479999999999994E-5</v>
      </c>
      <c r="N4325" s="9">
        <v>8.0749999999999998E-5</v>
      </c>
      <c r="O4325" s="9">
        <v>6.7970000000000001E-5</v>
      </c>
      <c r="P4325" s="9">
        <v>6.0520000000000003E-5</v>
      </c>
      <c r="Q4325" s="9">
        <v>5.3369999999999999E-5</v>
      </c>
      <c r="R4325" s="10">
        <v>1.9993695218526461E-5</v>
      </c>
      <c r="S4325" s="10">
        <v>9.2001167110997538E-6</v>
      </c>
      <c r="T4325" s="10">
        <v>0</v>
      </c>
      <c r="U4325" s="10">
        <v>8.2529999999999998E-5</v>
      </c>
      <c r="V4325" s="25"/>
      <c r="W4325" s="25"/>
      <c r="X4325" s="25"/>
      <c r="Y4325" s="25"/>
      <c r="Z4325" s="25"/>
      <c r="AA4325" s="25"/>
    </row>
    <row r="4326" spans="1:27" x14ac:dyDescent="0.35">
      <c r="A4326" s="5">
        <v>4322</v>
      </c>
      <c r="B4326" s="5">
        <v>181</v>
      </c>
      <c r="C4326" s="5">
        <v>6</v>
      </c>
      <c r="D4326" s="25">
        <v>1.1415000000000001E-4</v>
      </c>
      <c r="E4326" s="25">
        <v>1.1524E-4</v>
      </c>
      <c r="F4326" s="25">
        <v>1.3598000000000001E-4</v>
      </c>
      <c r="G4326" s="25">
        <v>5.2280000000000001E-5</v>
      </c>
      <c r="H4326" s="25">
        <v>4.532E-5</v>
      </c>
      <c r="I4326" s="9">
        <v>9.2429999999999994E-5</v>
      </c>
      <c r="J4326" s="9">
        <v>9.4359999999999998E-5</v>
      </c>
      <c r="K4326" s="9">
        <v>0</v>
      </c>
      <c r="L4326" s="9">
        <v>6.7509999999999996E-5</v>
      </c>
      <c r="M4326" s="9">
        <v>6.5939999999999995E-5</v>
      </c>
      <c r="N4326" s="9">
        <v>7.1680000000000005E-5</v>
      </c>
      <c r="O4326" s="9">
        <v>4.0450000000000001E-5</v>
      </c>
      <c r="P4326" s="9">
        <v>4.6249999999999999E-5</v>
      </c>
      <c r="Q4326" s="9">
        <v>5.6679999999999999E-5</v>
      </c>
      <c r="R4326" s="10">
        <v>1.5073254959221486E-5</v>
      </c>
      <c r="S4326" s="10">
        <v>9.3148536627075658E-6</v>
      </c>
      <c r="T4326" s="10">
        <v>0</v>
      </c>
      <c r="U4326" s="10">
        <v>8.2529999999999998E-5</v>
      </c>
      <c r="V4326" s="25"/>
      <c r="W4326" s="25"/>
      <c r="X4326" s="25"/>
      <c r="Y4326" s="25"/>
      <c r="Z4326" s="25"/>
      <c r="AA4326" s="25"/>
    </row>
    <row r="4327" spans="1:27" x14ac:dyDescent="0.35">
      <c r="A4327" s="5">
        <v>4323</v>
      </c>
      <c r="B4327" s="5">
        <v>181</v>
      </c>
      <c r="C4327" s="5">
        <v>6</v>
      </c>
      <c r="D4327" s="25">
        <v>1.1416E-4</v>
      </c>
      <c r="E4327" s="25">
        <v>1.0979E-4</v>
      </c>
      <c r="F4327" s="25">
        <v>1.3507999999999999E-4</v>
      </c>
      <c r="G4327" s="25">
        <v>5.2649999999999999E-5</v>
      </c>
      <c r="H4327" s="25">
        <v>4.3220000000000003E-5</v>
      </c>
      <c r="I4327" s="9">
        <v>9.1500000000000001E-5</v>
      </c>
      <c r="J4327" s="9">
        <v>9.3309999999999999E-5</v>
      </c>
      <c r="K4327" s="9">
        <v>0</v>
      </c>
      <c r="L4327" s="9">
        <v>4.6279999999999997E-5</v>
      </c>
      <c r="M4327" s="9">
        <v>5.7250000000000002E-5</v>
      </c>
      <c r="N4327" s="9">
        <v>6.5300000000000002E-5</v>
      </c>
      <c r="O4327" s="9">
        <v>2.866E-5</v>
      </c>
      <c r="P4327" s="9">
        <v>4.176E-5</v>
      </c>
      <c r="Q4327" s="9">
        <v>6.1080000000000005E-5</v>
      </c>
      <c r="R4327" s="10">
        <v>1.3746728294919994E-5</v>
      </c>
      <c r="S4327" s="10">
        <v>9.6831456860881545E-6</v>
      </c>
      <c r="T4327" s="10">
        <v>0</v>
      </c>
      <c r="U4327" s="10">
        <v>8.2529999999999998E-5</v>
      </c>
      <c r="V4327" s="25"/>
      <c r="W4327" s="25"/>
      <c r="X4327" s="25"/>
      <c r="Y4327" s="25"/>
      <c r="Z4327" s="25"/>
      <c r="AA4327" s="25"/>
    </row>
    <row r="4328" spans="1:27" x14ac:dyDescent="0.35">
      <c r="A4328" s="5">
        <v>4324</v>
      </c>
      <c r="B4328" s="5">
        <v>181</v>
      </c>
      <c r="C4328" s="5">
        <v>6</v>
      </c>
      <c r="D4328" s="25">
        <v>1.1415000000000001E-4</v>
      </c>
      <c r="E4328" s="25">
        <v>1.1236E-4</v>
      </c>
      <c r="F4328" s="25">
        <v>1.3595999999999999E-4</v>
      </c>
      <c r="G4328" s="25">
        <v>6.0690000000000003E-5</v>
      </c>
      <c r="H4328" s="25">
        <v>4.5630000000000002E-5</v>
      </c>
      <c r="I4328" s="9">
        <v>9.1390000000000004E-5</v>
      </c>
      <c r="J4328" s="9">
        <v>9.289E-5</v>
      </c>
      <c r="K4328" s="9">
        <v>0</v>
      </c>
      <c r="L4328" s="9">
        <v>3.3040000000000002E-5</v>
      </c>
      <c r="M4328" s="9">
        <v>4.9629999999999997E-5</v>
      </c>
      <c r="N4328" s="9">
        <v>6.1699999999999995E-5</v>
      </c>
      <c r="O4328" s="9">
        <v>2.8180000000000001E-5</v>
      </c>
      <c r="P4328" s="9">
        <v>5.083E-5</v>
      </c>
      <c r="Q4328" s="9">
        <v>7.962E-5</v>
      </c>
      <c r="R4328" s="10">
        <v>1.2229053364235571E-5</v>
      </c>
      <c r="S4328" s="10">
        <v>7.5406736631240763E-6</v>
      </c>
      <c r="T4328" s="10">
        <v>0</v>
      </c>
      <c r="U4328" s="10">
        <v>8.2529999999999998E-5</v>
      </c>
      <c r="V4328" s="25"/>
      <c r="W4328" s="25"/>
      <c r="X4328" s="25"/>
      <c r="Y4328" s="25"/>
      <c r="Z4328" s="25"/>
      <c r="AA4328" s="25"/>
    </row>
    <row r="4329" spans="1:27" x14ac:dyDescent="0.35">
      <c r="A4329" s="5">
        <v>4325</v>
      </c>
      <c r="B4329" s="5">
        <v>181</v>
      </c>
      <c r="C4329" s="5">
        <v>6</v>
      </c>
      <c r="D4329" s="25">
        <v>1.1416E-4</v>
      </c>
      <c r="E4329" s="25">
        <v>1.1268999999999999E-4</v>
      </c>
      <c r="F4329" s="25">
        <v>1.2703000000000001E-4</v>
      </c>
      <c r="G4329" s="25">
        <v>6.109E-5</v>
      </c>
      <c r="H4329" s="25">
        <v>4.5080000000000002E-5</v>
      </c>
      <c r="I4329" s="9">
        <v>9.3919999999999995E-5</v>
      </c>
      <c r="J4329" s="9">
        <v>9.3430000000000005E-5</v>
      </c>
      <c r="K4329" s="9">
        <v>0</v>
      </c>
      <c r="L4329" s="9">
        <v>2.9660000000000001E-5</v>
      </c>
      <c r="M4329" s="9">
        <v>4.8229999999999997E-5</v>
      </c>
      <c r="N4329" s="9">
        <v>6.4150000000000001E-5</v>
      </c>
      <c r="O4329" s="9">
        <v>2.993E-5</v>
      </c>
      <c r="P4329" s="9">
        <v>5.8699999999999997E-5</v>
      </c>
      <c r="Q4329" s="9">
        <v>9.3289999999999996E-5</v>
      </c>
      <c r="R4329" s="10">
        <v>8.9792820511740169E-6</v>
      </c>
      <c r="S4329" s="10">
        <v>5.3196902060062311E-6</v>
      </c>
      <c r="T4329" s="10">
        <v>1.1725301701896959E-5</v>
      </c>
      <c r="U4329" s="10">
        <v>8.2529999999999998E-5</v>
      </c>
      <c r="V4329" s="25"/>
      <c r="W4329" s="25"/>
      <c r="X4329" s="25"/>
      <c r="Y4329" s="25"/>
      <c r="Z4329" s="25"/>
      <c r="AA4329" s="25"/>
    </row>
    <row r="4330" spans="1:27" x14ac:dyDescent="0.35">
      <c r="A4330" s="5">
        <v>4326</v>
      </c>
      <c r="B4330" s="5">
        <v>181</v>
      </c>
      <c r="C4330" s="5">
        <v>6</v>
      </c>
      <c r="D4330" s="25">
        <v>1.1415000000000001E-4</v>
      </c>
      <c r="E4330" s="25">
        <v>1.1351E-4</v>
      </c>
      <c r="F4330" s="25">
        <v>1.2700999999999999E-4</v>
      </c>
      <c r="G4330" s="25">
        <v>1.0527999999999999E-4</v>
      </c>
      <c r="H4330" s="25">
        <v>7.8469999999999999E-5</v>
      </c>
      <c r="I4330" s="9">
        <v>1.0179999999999999E-4</v>
      </c>
      <c r="J4330" s="9">
        <v>1.0111E-4</v>
      </c>
      <c r="K4330" s="9">
        <v>0</v>
      </c>
      <c r="L4330" s="9">
        <v>2.9810000000000001E-5</v>
      </c>
      <c r="M4330" s="9">
        <v>5.1959999999999997E-5</v>
      </c>
      <c r="N4330" s="9">
        <v>7.0699999999999997E-5</v>
      </c>
      <c r="O4330" s="9">
        <v>3.5330000000000002E-5</v>
      </c>
      <c r="P4330" s="9">
        <v>6.8590000000000006E-5</v>
      </c>
      <c r="Q4330" s="9">
        <v>1.0674E-4</v>
      </c>
      <c r="R4330" s="10">
        <v>5.2389341770082727E-6</v>
      </c>
      <c r="S4330" s="10">
        <v>4.8637461285647534E-6</v>
      </c>
      <c r="T4330" s="10">
        <v>2.6140126297789091E-5</v>
      </c>
      <c r="U4330" s="10">
        <v>8.2529999999999998E-5</v>
      </c>
      <c r="V4330" s="25"/>
      <c r="W4330" s="25"/>
      <c r="X4330" s="25"/>
      <c r="Y4330" s="25"/>
      <c r="Z4330" s="25"/>
      <c r="AA4330" s="25"/>
    </row>
    <row r="4331" spans="1:27" x14ac:dyDescent="0.35">
      <c r="A4331" s="5">
        <v>4327</v>
      </c>
      <c r="B4331" s="5">
        <v>181</v>
      </c>
      <c r="C4331" s="5">
        <v>6</v>
      </c>
      <c r="D4331" s="25">
        <v>1.1416E-4</v>
      </c>
      <c r="E4331" s="25">
        <v>1.0893E-4</v>
      </c>
      <c r="F4331" s="25">
        <v>1.3595999999999999E-4</v>
      </c>
      <c r="G4331" s="25">
        <v>1.1055E-4</v>
      </c>
      <c r="H4331" s="25">
        <v>8.2700000000000004E-5</v>
      </c>
      <c r="I4331" s="9">
        <v>1.1090999999999999E-4</v>
      </c>
      <c r="J4331" s="9">
        <v>1.1532E-4</v>
      </c>
      <c r="K4331" s="9">
        <v>0</v>
      </c>
      <c r="L4331" s="9">
        <v>3.4029999999999998E-5</v>
      </c>
      <c r="M4331" s="9">
        <v>5.9049999999999999E-5</v>
      </c>
      <c r="N4331" s="9">
        <v>8.0400000000000003E-5</v>
      </c>
      <c r="O4331" s="9">
        <v>4.9020000000000002E-5</v>
      </c>
      <c r="P4331" s="9">
        <v>7.8869999999999995E-5</v>
      </c>
      <c r="Q4331" s="9">
        <v>1.114E-4</v>
      </c>
      <c r="R4331" s="10">
        <v>3.4410100349512738E-6</v>
      </c>
      <c r="S4331" s="10">
        <v>4.8960521290165255E-6</v>
      </c>
      <c r="T4331" s="10">
        <v>1.6426451971810927E-4</v>
      </c>
      <c r="U4331" s="10">
        <v>8.2529999999999998E-5</v>
      </c>
      <c r="V4331" s="25"/>
      <c r="W4331" s="25"/>
      <c r="X4331" s="25"/>
      <c r="Y4331" s="25"/>
      <c r="Z4331" s="25"/>
      <c r="AA4331" s="25"/>
    </row>
    <row r="4332" spans="1:27" x14ac:dyDescent="0.35">
      <c r="A4332" s="5">
        <v>4328</v>
      </c>
      <c r="B4332" s="5">
        <v>181</v>
      </c>
      <c r="C4332" s="5">
        <v>6</v>
      </c>
      <c r="D4332" s="25">
        <v>1.1415000000000001E-4</v>
      </c>
      <c r="E4332" s="25">
        <v>1.0953E-4</v>
      </c>
      <c r="F4332" s="25">
        <v>1.3763E-4</v>
      </c>
      <c r="G4332" s="25">
        <v>1.6116000000000001E-4</v>
      </c>
      <c r="H4332" s="25">
        <v>1.2207E-4</v>
      </c>
      <c r="I4332" s="9">
        <v>1.1611E-4</v>
      </c>
      <c r="J4332" s="9">
        <v>1.2580999999999999E-4</v>
      </c>
      <c r="K4332" s="9">
        <v>0</v>
      </c>
      <c r="L4332" s="9">
        <v>4.5590000000000002E-5</v>
      </c>
      <c r="M4332" s="9">
        <v>6.7960000000000007E-5</v>
      </c>
      <c r="N4332" s="9">
        <v>9.0299999999999999E-5</v>
      </c>
      <c r="O4332" s="9">
        <v>6.8800000000000005E-5</v>
      </c>
      <c r="P4332" s="9">
        <v>1.0346E-4</v>
      </c>
      <c r="Q4332" s="9">
        <v>1.3777E-4</v>
      </c>
      <c r="R4332" s="10">
        <v>4.4462281294305288E-6</v>
      </c>
      <c r="S4332" s="10">
        <v>5.9626810980894979E-6</v>
      </c>
      <c r="T4332" s="10">
        <v>3.4195968530749415E-4</v>
      </c>
      <c r="U4332" s="10">
        <v>8.2529999999999998E-5</v>
      </c>
      <c r="V4332" s="25"/>
      <c r="W4332" s="25"/>
      <c r="X4332" s="25"/>
      <c r="Y4332" s="25"/>
      <c r="Z4332" s="25"/>
      <c r="AA4332" s="25"/>
    </row>
    <row r="4333" spans="1:27" x14ac:dyDescent="0.35">
      <c r="A4333" s="5">
        <v>4329</v>
      </c>
      <c r="B4333" s="5">
        <v>181</v>
      </c>
      <c r="C4333" s="5">
        <v>6</v>
      </c>
      <c r="D4333" s="25">
        <v>1.1416E-4</v>
      </c>
      <c r="E4333" s="25">
        <v>1.1828999999999999E-4</v>
      </c>
      <c r="F4333" s="25">
        <v>1.3697000000000001E-4</v>
      </c>
      <c r="G4333" s="25">
        <v>1.6113999999999999E-4</v>
      </c>
      <c r="H4333" s="25">
        <v>1.1623E-4</v>
      </c>
      <c r="I4333" s="9">
        <v>1.1725E-4</v>
      </c>
      <c r="J4333" s="9">
        <v>1.3045999999999999E-4</v>
      </c>
      <c r="K4333" s="9">
        <v>0</v>
      </c>
      <c r="L4333" s="9">
        <v>6.3380000000000006E-5</v>
      </c>
      <c r="M4333" s="9">
        <v>8.2940000000000002E-5</v>
      </c>
      <c r="N4333" s="9">
        <v>1.0436E-4</v>
      </c>
      <c r="O4333" s="9">
        <v>9.535E-5</v>
      </c>
      <c r="P4333" s="9">
        <v>1.3867E-4</v>
      </c>
      <c r="Q4333" s="9">
        <v>1.7718000000000001E-4</v>
      </c>
      <c r="R4333" s="10">
        <v>3.1262455946107894E-6</v>
      </c>
      <c r="S4333" s="10">
        <v>7.0260382445254734E-6</v>
      </c>
      <c r="T4333" s="10">
        <v>4.9031614374408616E-4</v>
      </c>
      <c r="U4333" s="10">
        <v>8.2529999999999998E-5</v>
      </c>
      <c r="V4333" s="25"/>
      <c r="W4333" s="25"/>
      <c r="X4333" s="25"/>
      <c r="Y4333" s="25"/>
      <c r="Z4333" s="25"/>
      <c r="AA4333" s="25"/>
    </row>
    <row r="4334" spans="1:27" x14ac:dyDescent="0.35">
      <c r="A4334" s="5">
        <v>4330</v>
      </c>
      <c r="B4334" s="5">
        <v>181</v>
      </c>
      <c r="C4334" s="5">
        <v>6</v>
      </c>
      <c r="D4334" s="25">
        <v>1.1415000000000001E-4</v>
      </c>
      <c r="E4334" s="25">
        <v>1.1456E-4</v>
      </c>
      <c r="F4334" s="25">
        <v>1.2833000000000001E-4</v>
      </c>
      <c r="G4334" s="25">
        <v>1.5778999999999999E-4</v>
      </c>
      <c r="H4334" s="25">
        <v>1.1673E-4</v>
      </c>
      <c r="I4334" s="9">
        <v>1.1451999999999999E-4</v>
      </c>
      <c r="J4334" s="9">
        <v>1.3088999999999999E-4</v>
      </c>
      <c r="K4334" s="9">
        <v>0</v>
      </c>
      <c r="L4334" s="9">
        <v>8.7849999999999994E-5</v>
      </c>
      <c r="M4334" s="9">
        <v>1.0679999999999999E-4</v>
      </c>
      <c r="N4334" s="9">
        <v>1.2453E-4</v>
      </c>
      <c r="O4334" s="9">
        <v>1.1996E-4</v>
      </c>
      <c r="P4334" s="9">
        <v>1.5556000000000001E-4</v>
      </c>
      <c r="Q4334" s="9">
        <v>1.8253E-4</v>
      </c>
      <c r="R4334" s="10">
        <v>1.1749188203481327E-6</v>
      </c>
      <c r="S4334" s="10">
        <v>8.6889612343034512E-6</v>
      </c>
      <c r="T4334" s="10">
        <v>6.0735705327930229E-4</v>
      </c>
      <c r="U4334" s="10">
        <v>8.2529999999999998E-5</v>
      </c>
      <c r="V4334" s="25"/>
      <c r="W4334" s="25"/>
      <c r="X4334" s="25"/>
      <c r="Y4334" s="25"/>
      <c r="Z4334" s="25"/>
      <c r="AA4334" s="25"/>
    </row>
    <row r="4335" spans="1:27" x14ac:dyDescent="0.35">
      <c r="A4335" s="5">
        <v>4331</v>
      </c>
      <c r="B4335" s="5">
        <v>181</v>
      </c>
      <c r="C4335" s="5">
        <v>6</v>
      </c>
      <c r="D4335" s="25">
        <v>1.1416E-4</v>
      </c>
      <c r="E4335" s="25">
        <v>1.1241E-4</v>
      </c>
      <c r="F4335" s="25">
        <v>1.226E-4</v>
      </c>
      <c r="G4335" s="25">
        <v>1.5908E-4</v>
      </c>
      <c r="H4335" s="25">
        <v>1.2227000000000001E-4</v>
      </c>
      <c r="I4335" s="9">
        <v>1.122E-4</v>
      </c>
      <c r="J4335" s="9">
        <v>1.3029E-4</v>
      </c>
      <c r="K4335" s="9">
        <v>0</v>
      </c>
      <c r="L4335" s="9">
        <v>1.1230000000000001E-4</v>
      </c>
      <c r="M4335" s="9">
        <v>1.3038000000000001E-4</v>
      </c>
      <c r="N4335" s="9">
        <v>1.4276999999999999E-4</v>
      </c>
      <c r="O4335" s="9">
        <v>1.2640000000000001E-4</v>
      </c>
      <c r="P4335" s="9">
        <v>1.5752E-4</v>
      </c>
      <c r="Q4335" s="9">
        <v>1.7898999999999999E-4</v>
      </c>
      <c r="R4335" s="10">
        <v>2.3394689686298646E-6</v>
      </c>
      <c r="S4335" s="10">
        <v>1.1892449938289952E-5</v>
      </c>
      <c r="T4335" s="10">
        <v>6.8296912908777233E-4</v>
      </c>
      <c r="U4335" s="10">
        <v>8.2529999999999998E-5</v>
      </c>
      <c r="V4335" s="25"/>
      <c r="W4335" s="25"/>
      <c r="X4335" s="25"/>
      <c r="Y4335" s="25"/>
      <c r="Z4335" s="25"/>
      <c r="AA4335" s="25"/>
    </row>
    <row r="4336" spans="1:27" x14ac:dyDescent="0.35">
      <c r="A4336" s="5">
        <v>4332</v>
      </c>
      <c r="B4336" s="5">
        <v>181</v>
      </c>
      <c r="C4336" s="5">
        <v>6</v>
      </c>
      <c r="D4336" s="25">
        <v>1.1415000000000001E-4</v>
      </c>
      <c r="E4336" s="25">
        <v>1.1745E-4</v>
      </c>
      <c r="F4336" s="25">
        <v>1.361E-4</v>
      </c>
      <c r="G4336" s="25">
        <v>1.5908E-4</v>
      </c>
      <c r="H4336" s="25">
        <v>1.1758E-4</v>
      </c>
      <c r="I4336" s="9">
        <v>1.0836999999999999E-4</v>
      </c>
      <c r="J4336" s="9">
        <v>1.2813000000000001E-4</v>
      </c>
      <c r="K4336" s="9">
        <v>0</v>
      </c>
      <c r="L4336" s="9">
        <v>1.2273000000000001E-4</v>
      </c>
      <c r="M4336" s="9">
        <v>1.4572000000000001E-4</v>
      </c>
      <c r="N4336" s="9">
        <v>1.5678E-4</v>
      </c>
      <c r="O4336" s="9">
        <v>1.2871000000000001E-4</v>
      </c>
      <c r="P4336" s="9">
        <v>1.5689E-4</v>
      </c>
      <c r="Q4336" s="9">
        <v>1.752E-4</v>
      </c>
      <c r="R4336" s="10">
        <v>2.8969509714468125E-6</v>
      </c>
      <c r="S4336" s="10">
        <v>2.0024859526502981E-5</v>
      </c>
      <c r="T4336" s="10">
        <v>7.1569307168127191E-4</v>
      </c>
      <c r="U4336" s="10">
        <v>8.2529999999999998E-5</v>
      </c>
      <c r="V4336" s="25"/>
      <c r="W4336" s="25"/>
      <c r="X4336" s="25"/>
      <c r="Y4336" s="25"/>
      <c r="Z4336" s="25"/>
      <c r="AA4336" s="25"/>
    </row>
    <row r="4337" spans="1:27" x14ac:dyDescent="0.35">
      <c r="A4337" s="5">
        <v>4333</v>
      </c>
      <c r="B4337" s="5">
        <v>181</v>
      </c>
      <c r="C4337" s="5">
        <v>6</v>
      </c>
      <c r="D4337" s="25">
        <v>1.1416E-4</v>
      </c>
      <c r="E4337" s="25">
        <v>1.0852E-4</v>
      </c>
      <c r="F4337" s="25">
        <v>1.3467000000000001E-4</v>
      </c>
      <c r="G4337" s="25">
        <v>1.5672E-4</v>
      </c>
      <c r="H4337" s="25">
        <v>1.2064E-4</v>
      </c>
      <c r="I4337" s="9">
        <v>1.0742E-4</v>
      </c>
      <c r="J4337" s="9">
        <v>1.2734000000000001E-4</v>
      </c>
      <c r="K4337" s="9">
        <v>0</v>
      </c>
      <c r="L4337" s="9">
        <v>1.2726E-4</v>
      </c>
      <c r="M4337" s="9">
        <v>1.5301E-4</v>
      </c>
      <c r="N4337" s="9">
        <v>1.6651E-4</v>
      </c>
      <c r="O4337" s="9">
        <v>1.1998E-4</v>
      </c>
      <c r="P4337" s="9">
        <v>1.4737999999999999E-4</v>
      </c>
      <c r="Q4337" s="9">
        <v>1.6615999999999999E-4</v>
      </c>
      <c r="R4337" s="10">
        <v>2.2616651743082242E-6</v>
      </c>
      <c r="S4337" s="10">
        <v>2.0782897065129792E-5</v>
      </c>
      <c r="T4337" s="10">
        <v>7.2139452084456776E-4</v>
      </c>
      <c r="U4337" s="10">
        <v>8.2529999999999998E-5</v>
      </c>
      <c r="V4337" s="25"/>
      <c r="W4337" s="25"/>
      <c r="X4337" s="25"/>
      <c r="Y4337" s="25"/>
      <c r="Z4337" s="25"/>
      <c r="AA4337" s="25"/>
    </row>
    <row r="4338" spans="1:27" x14ac:dyDescent="0.35">
      <c r="A4338" s="5">
        <v>4334</v>
      </c>
      <c r="B4338" s="5">
        <v>181</v>
      </c>
      <c r="C4338" s="5">
        <v>6</v>
      </c>
      <c r="D4338" s="25">
        <v>1.1415000000000001E-4</v>
      </c>
      <c r="E4338" s="25">
        <v>1.1844E-4</v>
      </c>
      <c r="F4338" s="25">
        <v>1.3161E-4</v>
      </c>
      <c r="G4338" s="25">
        <v>1.6464999999999999E-4</v>
      </c>
      <c r="H4338" s="25">
        <v>1.1788E-4</v>
      </c>
      <c r="I4338" s="9">
        <v>1.0836E-4</v>
      </c>
      <c r="J4338" s="9">
        <v>1.2612999999999999E-4</v>
      </c>
      <c r="K4338" s="9">
        <v>0</v>
      </c>
      <c r="L4338" s="9">
        <v>1.2161E-4</v>
      </c>
      <c r="M4338" s="9">
        <v>1.5239999999999999E-4</v>
      </c>
      <c r="N4338" s="9">
        <v>1.705E-4</v>
      </c>
      <c r="O4338" s="9">
        <v>1.063E-4</v>
      </c>
      <c r="P4338" s="9">
        <v>1.3698000000000001E-4</v>
      </c>
      <c r="Q4338" s="9">
        <v>1.6131000000000001E-4</v>
      </c>
      <c r="R4338" s="10">
        <v>2.5007602902701887E-6</v>
      </c>
      <c r="S4338" s="10">
        <v>1.8015389544022482E-5</v>
      </c>
      <c r="T4338" s="10">
        <v>6.778870337770369E-4</v>
      </c>
      <c r="U4338" s="10">
        <v>8.2529999999999998E-5</v>
      </c>
      <c r="V4338" s="25"/>
      <c r="W4338" s="25"/>
      <c r="X4338" s="25"/>
      <c r="Y4338" s="25"/>
      <c r="Z4338" s="25"/>
      <c r="AA4338" s="25"/>
    </row>
    <row r="4339" spans="1:27" x14ac:dyDescent="0.35">
      <c r="A4339" s="5">
        <v>4335</v>
      </c>
      <c r="B4339" s="5">
        <v>181</v>
      </c>
      <c r="C4339" s="5">
        <v>6</v>
      </c>
      <c r="D4339" s="25">
        <v>1.1416E-4</v>
      </c>
      <c r="E4339" s="25">
        <v>1.1907E-4</v>
      </c>
      <c r="F4339" s="25">
        <v>1.2040999999999999E-4</v>
      </c>
      <c r="G4339" s="25">
        <v>1.6134999999999999E-4</v>
      </c>
      <c r="H4339" s="25">
        <v>1.1475E-4</v>
      </c>
      <c r="I4339" s="9">
        <v>1.0760999999999999E-4</v>
      </c>
      <c r="J4339" s="9">
        <v>1.2572000000000001E-4</v>
      </c>
      <c r="K4339" s="9">
        <v>0</v>
      </c>
      <c r="L4339" s="9">
        <v>1.0987E-4</v>
      </c>
      <c r="M4339" s="9">
        <v>1.4641E-4</v>
      </c>
      <c r="N4339" s="9">
        <v>1.7008999999999999E-4</v>
      </c>
      <c r="O4339" s="9">
        <v>1.1853000000000001E-4</v>
      </c>
      <c r="P4339" s="9">
        <v>1.3969000000000001E-4</v>
      </c>
      <c r="Q4339" s="9">
        <v>1.5265999999999999E-4</v>
      </c>
      <c r="R4339" s="10">
        <v>3.8349585107416063E-6</v>
      </c>
      <c r="S4339" s="10">
        <v>1.7203271229999531E-5</v>
      </c>
      <c r="T4339" s="10">
        <v>6.0269068863672383E-4</v>
      </c>
      <c r="U4339" s="10">
        <v>8.2529999999999998E-5</v>
      </c>
      <c r="V4339" s="25"/>
      <c r="W4339" s="25"/>
      <c r="X4339" s="25"/>
      <c r="Y4339" s="25"/>
      <c r="Z4339" s="25"/>
      <c r="AA4339" s="25"/>
    </row>
    <row r="4340" spans="1:27" x14ac:dyDescent="0.35">
      <c r="A4340" s="5">
        <v>4336</v>
      </c>
      <c r="B4340" s="5">
        <v>181</v>
      </c>
      <c r="C4340" s="5">
        <v>6</v>
      </c>
      <c r="D4340" s="25">
        <v>1.1415000000000001E-4</v>
      </c>
      <c r="E4340" s="25">
        <v>1.1323999999999999E-4</v>
      </c>
      <c r="F4340" s="25">
        <v>1.3354999999999999E-4</v>
      </c>
      <c r="G4340" s="25">
        <v>1.6720999999999999E-4</v>
      </c>
      <c r="H4340" s="25">
        <v>1.1417E-4</v>
      </c>
      <c r="I4340" s="9">
        <v>1.099E-4</v>
      </c>
      <c r="J4340" s="9">
        <v>1.2653999999999999E-4</v>
      </c>
      <c r="K4340" s="9">
        <v>0</v>
      </c>
      <c r="L4340" s="9">
        <v>1.1697E-4</v>
      </c>
      <c r="M4340" s="9">
        <v>1.4233E-4</v>
      </c>
      <c r="N4340" s="9">
        <v>1.6619000000000001E-4</v>
      </c>
      <c r="O4340" s="9">
        <v>1.2459999999999999E-4</v>
      </c>
      <c r="P4340" s="9">
        <v>1.2169E-4</v>
      </c>
      <c r="Q4340" s="9">
        <v>1.1001E-4</v>
      </c>
      <c r="R4340" s="10">
        <v>6.9657640974390654E-6</v>
      </c>
      <c r="S4340" s="10">
        <v>2.1785824849059629E-5</v>
      </c>
      <c r="T4340" s="10">
        <v>4.9115608937975032E-4</v>
      </c>
      <c r="U4340" s="10">
        <v>8.2529999999999998E-5</v>
      </c>
      <c r="V4340" s="25"/>
      <c r="W4340" s="25"/>
      <c r="X4340" s="25"/>
      <c r="Y4340" s="25"/>
      <c r="Z4340" s="25"/>
      <c r="AA4340" s="25"/>
    </row>
    <row r="4341" spans="1:27" x14ac:dyDescent="0.35">
      <c r="A4341" s="5">
        <v>4337</v>
      </c>
      <c r="B4341" s="5">
        <v>181</v>
      </c>
      <c r="C4341" s="5">
        <v>6</v>
      </c>
      <c r="D4341" s="25">
        <v>1.1416E-4</v>
      </c>
      <c r="E4341" s="25">
        <v>1.1073000000000001E-4</v>
      </c>
      <c r="F4341" s="25">
        <v>1.2883999999999999E-4</v>
      </c>
      <c r="G4341" s="25">
        <v>1.6541E-4</v>
      </c>
      <c r="H4341" s="25">
        <v>1.1907E-4</v>
      </c>
      <c r="I4341" s="9">
        <v>1.1466E-4</v>
      </c>
      <c r="J4341" s="9">
        <v>1.2858999999999999E-4</v>
      </c>
      <c r="K4341" s="9">
        <v>0</v>
      </c>
      <c r="L4341" s="9">
        <v>1.2268000000000001E-4</v>
      </c>
      <c r="M4341" s="9">
        <v>1.3401E-4</v>
      </c>
      <c r="N4341" s="9">
        <v>1.5249999999999999E-4</v>
      </c>
      <c r="O4341" s="9">
        <v>1.2862E-4</v>
      </c>
      <c r="P4341" s="9">
        <v>1.2223E-4</v>
      </c>
      <c r="Q4341" s="9">
        <v>1.0637999999999999E-4</v>
      </c>
      <c r="R4341" s="10">
        <v>1.322875914328157E-5</v>
      </c>
      <c r="S4341" s="10">
        <v>3.3433463687663613E-5</v>
      </c>
      <c r="T4341" s="10">
        <v>3.4203604400164542E-4</v>
      </c>
      <c r="U4341" s="10">
        <v>8.2529999999999998E-5</v>
      </c>
      <c r="V4341" s="25"/>
      <c r="W4341" s="25"/>
      <c r="X4341" s="25"/>
      <c r="Y4341" s="25"/>
      <c r="Z4341" s="25"/>
      <c r="AA4341" s="25"/>
    </row>
    <row r="4342" spans="1:27" x14ac:dyDescent="0.35">
      <c r="A4342" s="5">
        <v>4338</v>
      </c>
      <c r="B4342" s="5">
        <v>181</v>
      </c>
      <c r="C4342" s="5">
        <v>6</v>
      </c>
      <c r="D4342" s="25">
        <v>1.1415000000000001E-4</v>
      </c>
      <c r="E4342" s="25">
        <v>1.1807E-4</v>
      </c>
      <c r="F4342" s="25">
        <v>1.3803E-4</v>
      </c>
      <c r="G4342" s="25">
        <v>1.6653999999999999E-4</v>
      </c>
      <c r="H4342" s="25">
        <v>1.1537E-4</v>
      </c>
      <c r="I4342" s="9">
        <v>1.1779E-4</v>
      </c>
      <c r="J4342" s="9">
        <v>1.2532999999999999E-4</v>
      </c>
      <c r="K4342" s="9">
        <v>0</v>
      </c>
      <c r="L4342" s="9">
        <v>1.2705999999999999E-4</v>
      </c>
      <c r="M4342" s="9">
        <v>1.2765000000000001E-4</v>
      </c>
      <c r="N4342" s="9">
        <v>1.3896000000000001E-4</v>
      </c>
      <c r="O4342" s="9">
        <v>1.2970000000000001E-4</v>
      </c>
      <c r="P4342" s="9">
        <v>1.2836999999999999E-4</v>
      </c>
      <c r="Q4342" s="9">
        <v>1.1736E-4</v>
      </c>
      <c r="R4342" s="10">
        <v>2.2474308176634712E-5</v>
      </c>
      <c r="S4342" s="10">
        <v>4.9838843085969574E-5</v>
      </c>
      <c r="T4342" s="10">
        <v>1.6717463439520815E-4</v>
      </c>
      <c r="U4342" s="10">
        <v>8.2529999999999998E-5</v>
      </c>
      <c r="V4342" s="25"/>
      <c r="W4342" s="25"/>
      <c r="X4342" s="25"/>
      <c r="Y4342" s="25"/>
      <c r="Z4342" s="25"/>
      <c r="AA4342" s="25"/>
    </row>
    <row r="4343" spans="1:27" x14ac:dyDescent="0.35">
      <c r="A4343" s="5">
        <v>4339</v>
      </c>
      <c r="B4343" s="5">
        <v>181</v>
      </c>
      <c r="C4343" s="5">
        <v>6</v>
      </c>
      <c r="D4343" s="25">
        <v>1.1416E-4</v>
      </c>
      <c r="E4343" s="25">
        <v>1.1972999999999999E-4</v>
      </c>
      <c r="F4343" s="25">
        <v>1.3928000000000001E-4</v>
      </c>
      <c r="G4343" s="25">
        <v>1.0587E-4</v>
      </c>
      <c r="H4343" s="25">
        <v>8.4259999999999996E-5</v>
      </c>
      <c r="I4343" s="9">
        <v>1.1503E-4</v>
      </c>
      <c r="J4343" s="9">
        <v>1.2240999999999999E-4</v>
      </c>
      <c r="K4343" s="9">
        <v>0</v>
      </c>
      <c r="L4343" s="9">
        <v>1.2905999999999999E-4</v>
      </c>
      <c r="M4343" s="9">
        <v>1.2642999999999999E-4</v>
      </c>
      <c r="N4343" s="9">
        <v>1.2986000000000001E-4</v>
      </c>
      <c r="O4343" s="9">
        <v>1.3127000000000001E-4</v>
      </c>
      <c r="P4343" s="9">
        <v>1.2431000000000001E-4</v>
      </c>
      <c r="Q4343" s="9">
        <v>1.076E-4</v>
      </c>
      <c r="R4343" s="10">
        <v>3.8385554382782085E-5</v>
      </c>
      <c r="S4343" s="10">
        <v>7.0288549737017412E-5</v>
      </c>
      <c r="T4343" s="10">
        <v>3.475169013818375E-5</v>
      </c>
      <c r="U4343" s="10">
        <v>8.2529999999999998E-5</v>
      </c>
      <c r="V4343" s="25"/>
      <c r="W4343" s="25"/>
      <c r="X4343" s="25"/>
      <c r="Y4343" s="25"/>
      <c r="Z4343" s="25"/>
      <c r="AA4343" s="25"/>
    </row>
    <row r="4344" spans="1:27" x14ac:dyDescent="0.35">
      <c r="A4344" s="5">
        <v>4340</v>
      </c>
      <c r="B4344" s="5">
        <v>181</v>
      </c>
      <c r="C4344" s="5">
        <v>6</v>
      </c>
      <c r="D4344" s="25">
        <v>1.1415000000000001E-4</v>
      </c>
      <c r="E4344" s="25">
        <v>1.1373E-4</v>
      </c>
      <c r="F4344" s="25">
        <v>1.2747E-4</v>
      </c>
      <c r="G4344" s="25">
        <v>1.0901E-4</v>
      </c>
      <c r="H4344" s="25">
        <v>8.1440000000000006E-5</v>
      </c>
      <c r="I4344" s="9">
        <v>1.1285000000000001E-4</v>
      </c>
      <c r="J4344" s="9">
        <v>1.1914E-4</v>
      </c>
      <c r="K4344" s="9">
        <v>8.4800000000000001E-6</v>
      </c>
      <c r="L4344" s="9">
        <v>1.3077E-4</v>
      </c>
      <c r="M4344" s="9">
        <v>1.2564E-4</v>
      </c>
      <c r="N4344" s="9">
        <v>1.2086E-4</v>
      </c>
      <c r="O4344" s="9">
        <v>1.3148000000000001E-4</v>
      </c>
      <c r="P4344" s="9">
        <v>1.2115E-4</v>
      </c>
      <c r="Q4344" s="9">
        <v>1.0094000000000001E-4</v>
      </c>
      <c r="R4344" s="10">
        <v>6.9590118993419166E-5</v>
      </c>
      <c r="S4344" s="10">
        <v>9.7358437485372472E-5</v>
      </c>
      <c r="T4344" s="10">
        <v>1.3973641029684724E-5</v>
      </c>
      <c r="U4344" s="10">
        <v>8.2529999999999998E-5</v>
      </c>
      <c r="V4344" s="25"/>
      <c r="W4344" s="25"/>
      <c r="X4344" s="25"/>
      <c r="Y4344" s="25"/>
      <c r="Z4344" s="25"/>
      <c r="AA4344" s="25"/>
    </row>
    <row r="4345" spans="1:27" x14ac:dyDescent="0.35">
      <c r="A4345" s="5">
        <v>4341</v>
      </c>
      <c r="B4345" s="5">
        <v>181</v>
      </c>
      <c r="C4345" s="5">
        <v>6</v>
      </c>
      <c r="D4345" s="25">
        <v>1.1416E-4</v>
      </c>
      <c r="E4345" s="25">
        <v>1.197E-4</v>
      </c>
      <c r="F4345" s="25">
        <v>1.2591999999999999E-4</v>
      </c>
      <c r="G4345" s="25">
        <v>5.7630000000000002E-5</v>
      </c>
      <c r="H4345" s="25">
        <v>4.2960000000000002E-5</v>
      </c>
      <c r="I4345" s="9">
        <v>1.1122E-4</v>
      </c>
      <c r="J4345" s="9">
        <v>1.1626E-4</v>
      </c>
      <c r="K4345" s="9">
        <v>1.484E-5</v>
      </c>
      <c r="L4345" s="9">
        <v>1.3129999999999999E-4</v>
      </c>
      <c r="M4345" s="9">
        <v>1.2385E-4</v>
      </c>
      <c r="N4345" s="9">
        <v>1.1298000000000001E-4</v>
      </c>
      <c r="O4345" s="9">
        <v>8.1970000000000003E-5</v>
      </c>
      <c r="P4345" s="9">
        <v>8.6089999999999997E-5</v>
      </c>
      <c r="Q4345" s="9">
        <v>8.8079999999999997E-5</v>
      </c>
      <c r="R4345" s="10">
        <v>1.2047388625167034E-4</v>
      </c>
      <c r="S4345" s="10">
        <v>1.1841101529119118E-4</v>
      </c>
      <c r="T4345" s="10">
        <v>0</v>
      </c>
      <c r="U4345" s="10">
        <v>8.2529999999999998E-5</v>
      </c>
      <c r="V4345" s="25"/>
      <c r="W4345" s="25"/>
      <c r="X4345" s="25"/>
      <c r="Y4345" s="25"/>
      <c r="Z4345" s="25"/>
      <c r="AA4345" s="25"/>
    </row>
    <row r="4346" spans="1:27" x14ac:dyDescent="0.35">
      <c r="A4346" s="5">
        <v>4342</v>
      </c>
      <c r="B4346" s="5">
        <v>181</v>
      </c>
      <c r="C4346" s="5">
        <v>6</v>
      </c>
      <c r="D4346" s="25">
        <v>1.1415000000000001E-4</v>
      </c>
      <c r="E4346" s="25">
        <v>1.094E-4</v>
      </c>
      <c r="F4346" s="25">
        <v>1.3216000000000001E-4</v>
      </c>
      <c r="G4346" s="25">
        <v>5.2970000000000003E-5</v>
      </c>
      <c r="H4346" s="25">
        <v>4.4820000000000001E-5</v>
      </c>
      <c r="I4346" s="9">
        <v>1.1323999999999999E-4</v>
      </c>
      <c r="J4346" s="9">
        <v>1.1368E-4</v>
      </c>
      <c r="K4346" s="9">
        <v>2.12E-5</v>
      </c>
      <c r="L4346" s="9">
        <v>9.2819999999999996E-5</v>
      </c>
      <c r="M4346" s="9">
        <v>1.0974E-4</v>
      </c>
      <c r="N4346" s="9">
        <v>1.0535E-4</v>
      </c>
      <c r="O4346" s="9">
        <v>8.4590000000000002E-5</v>
      </c>
      <c r="P4346" s="9">
        <v>8.7730000000000002E-5</v>
      </c>
      <c r="Q4346" s="9">
        <v>8.8380000000000004E-5</v>
      </c>
      <c r="R4346" s="10">
        <v>1.6993130962787218E-4</v>
      </c>
      <c r="S4346" s="10">
        <v>1.3501781748943611E-4</v>
      </c>
      <c r="T4346" s="10">
        <v>0</v>
      </c>
      <c r="U4346" s="10">
        <v>8.2529999999999998E-5</v>
      </c>
      <c r="V4346" s="25"/>
      <c r="W4346" s="25"/>
      <c r="X4346" s="25"/>
      <c r="Y4346" s="25"/>
      <c r="Z4346" s="25"/>
      <c r="AA4346" s="25"/>
    </row>
    <row r="4347" spans="1:27" x14ac:dyDescent="0.35">
      <c r="A4347" s="5">
        <v>4343</v>
      </c>
      <c r="B4347" s="5">
        <v>181</v>
      </c>
      <c r="C4347" s="5">
        <v>6</v>
      </c>
      <c r="D4347" s="25">
        <v>1.1416E-4</v>
      </c>
      <c r="E4347" s="25">
        <v>1.1139E-4</v>
      </c>
      <c r="F4347" s="25">
        <v>1.3933000000000001E-4</v>
      </c>
      <c r="G4347" s="25">
        <v>5.978E-5</v>
      </c>
      <c r="H4347" s="25">
        <v>4.2639999999999998E-5</v>
      </c>
      <c r="I4347" s="9">
        <v>1.0786E-4</v>
      </c>
      <c r="J4347" s="9">
        <v>1.0791E-4</v>
      </c>
      <c r="K4347" s="9">
        <v>2.968E-5</v>
      </c>
      <c r="L4347" s="9">
        <v>8.7479999999999996E-5</v>
      </c>
      <c r="M4347" s="9">
        <v>9.8029999999999995E-5</v>
      </c>
      <c r="N4347" s="9">
        <v>9.9630000000000007E-5</v>
      </c>
      <c r="O4347" s="9">
        <v>8.1680000000000004E-5</v>
      </c>
      <c r="P4347" s="9">
        <v>7.5049999999999995E-5</v>
      </c>
      <c r="Q4347" s="9">
        <v>6.648E-5</v>
      </c>
      <c r="R4347" s="10">
        <v>1.9085370050431473E-4</v>
      </c>
      <c r="S4347" s="10">
        <v>1.4928378914265958E-4</v>
      </c>
      <c r="T4347" s="10">
        <v>0</v>
      </c>
      <c r="U4347" s="10">
        <v>8.2529999999999998E-5</v>
      </c>
      <c r="V4347" s="25"/>
      <c r="W4347" s="25"/>
      <c r="X4347" s="25"/>
      <c r="Y4347" s="25"/>
      <c r="Z4347" s="25"/>
      <c r="AA4347" s="25"/>
    </row>
    <row r="4348" spans="1:27" x14ac:dyDescent="0.35">
      <c r="A4348" s="5">
        <v>4344</v>
      </c>
      <c r="B4348" s="5">
        <v>181</v>
      </c>
      <c r="C4348" s="5">
        <v>6</v>
      </c>
      <c r="D4348" s="25">
        <v>1.1415000000000001E-4</v>
      </c>
      <c r="E4348" s="25">
        <v>1.1677E-4</v>
      </c>
      <c r="F4348" s="25">
        <v>1.2574999999999999E-4</v>
      </c>
      <c r="G4348" s="25">
        <v>5.9960000000000002E-5</v>
      </c>
      <c r="H4348" s="25">
        <v>4.5729999999999998E-5</v>
      </c>
      <c r="I4348" s="9">
        <v>1.0046E-4</v>
      </c>
      <c r="J4348" s="9">
        <v>9.9519999999999996E-5</v>
      </c>
      <c r="K4348" s="9">
        <v>5.2979999999999998E-5</v>
      </c>
      <c r="L4348" s="9">
        <v>8.3120000000000004E-5</v>
      </c>
      <c r="M4348" s="9">
        <v>8.7029999999999999E-5</v>
      </c>
      <c r="N4348" s="9">
        <v>9.0320000000000003E-5</v>
      </c>
      <c r="O4348" s="9">
        <v>7.737E-5</v>
      </c>
      <c r="P4348" s="9">
        <v>6.8650000000000002E-5</v>
      </c>
      <c r="Q4348" s="9">
        <v>5.876E-5</v>
      </c>
      <c r="R4348" s="10">
        <v>1.9609323369296054E-4</v>
      </c>
      <c r="S4348" s="10">
        <v>1.6435934403008729E-4</v>
      </c>
      <c r="T4348" s="10">
        <v>0</v>
      </c>
      <c r="U4348" s="10">
        <v>8.2529999999999998E-5</v>
      </c>
      <c r="V4348" s="25"/>
      <c r="W4348" s="25"/>
      <c r="X4348" s="25"/>
      <c r="Y4348" s="25"/>
      <c r="Z4348" s="25"/>
      <c r="AA4348" s="25"/>
    </row>
    <row r="4349" spans="1:27" x14ac:dyDescent="0.35">
      <c r="A4349" s="5">
        <v>4345</v>
      </c>
      <c r="B4349" s="5">
        <v>182</v>
      </c>
      <c r="C4349" s="5">
        <v>7</v>
      </c>
      <c r="D4349" s="25">
        <v>1.1416E-4</v>
      </c>
      <c r="E4349" s="25">
        <v>1.0508E-4</v>
      </c>
      <c r="F4349" s="25">
        <v>1.209E-4</v>
      </c>
      <c r="G4349" s="25">
        <v>5.7179999999999998E-5</v>
      </c>
      <c r="H4349" s="25">
        <v>1.521E-5</v>
      </c>
      <c r="I4349" s="9">
        <v>9.5989999999999994E-5</v>
      </c>
      <c r="J4349" s="9">
        <v>9.4619999999999999E-5</v>
      </c>
      <c r="K4349" s="9">
        <v>2.9669999999999999E-5</v>
      </c>
      <c r="L4349" s="9">
        <v>7.8469999999999999E-5</v>
      </c>
      <c r="M4349" s="9">
        <v>7.7910000000000005E-5</v>
      </c>
      <c r="N4349" s="9">
        <v>8.0929999999999999E-5</v>
      </c>
      <c r="O4349" s="9">
        <v>6.8410000000000004E-5</v>
      </c>
      <c r="P4349" s="9">
        <v>6.0909999999999998E-5</v>
      </c>
      <c r="Q4349" s="9">
        <v>5.3720000000000001E-5</v>
      </c>
      <c r="R4349" s="10">
        <v>1.9458834659593982E-4</v>
      </c>
      <c r="S4349" s="10">
        <v>1.7481972771670438E-4</v>
      </c>
      <c r="T4349" s="10">
        <v>0</v>
      </c>
      <c r="U4349" s="10">
        <v>8.1660000000000001E-5</v>
      </c>
      <c r="V4349" s="25"/>
      <c r="W4349" s="25"/>
      <c r="X4349" s="25"/>
      <c r="Y4349" s="25"/>
      <c r="Z4349" s="25"/>
      <c r="AA4349" s="25"/>
    </row>
    <row r="4350" spans="1:27" x14ac:dyDescent="0.35">
      <c r="A4350" s="5">
        <v>4346</v>
      </c>
      <c r="B4350" s="5">
        <v>182</v>
      </c>
      <c r="C4350" s="5">
        <v>7</v>
      </c>
      <c r="D4350" s="25">
        <v>1.1415000000000001E-4</v>
      </c>
      <c r="E4350" s="25">
        <v>1.1177E-4</v>
      </c>
      <c r="F4350" s="25">
        <v>1.0738000000000001E-4</v>
      </c>
      <c r="G4350" s="25">
        <v>6.3520000000000002E-5</v>
      </c>
      <c r="H4350" s="25">
        <v>1.5820000000000001E-5</v>
      </c>
      <c r="I4350" s="9">
        <v>9.3309999999999999E-5</v>
      </c>
      <c r="J4350" s="9">
        <v>9.2390000000000001E-5</v>
      </c>
      <c r="K4350" s="9">
        <v>1.484E-5</v>
      </c>
      <c r="L4350" s="9">
        <v>7.0740000000000004E-5</v>
      </c>
      <c r="M4350" s="9">
        <v>6.9649999999999999E-5</v>
      </c>
      <c r="N4350" s="9">
        <v>7.1959999999999995E-5</v>
      </c>
      <c r="O4350" s="9">
        <v>3.5660000000000001E-5</v>
      </c>
      <c r="P4350" s="9">
        <v>4.587E-5</v>
      </c>
      <c r="Q4350" s="9">
        <v>5.622E-5</v>
      </c>
      <c r="R4350" s="10">
        <v>1.9527344441933606E-4</v>
      </c>
      <c r="S4350" s="10">
        <v>1.8048857474914362E-4</v>
      </c>
      <c r="T4350" s="10">
        <v>0</v>
      </c>
      <c r="U4350" s="10">
        <v>8.1660000000000001E-5</v>
      </c>
      <c r="V4350" s="25"/>
      <c r="W4350" s="25"/>
      <c r="X4350" s="25"/>
      <c r="Y4350" s="25"/>
      <c r="Z4350" s="25"/>
      <c r="AA4350" s="25"/>
    </row>
    <row r="4351" spans="1:27" x14ac:dyDescent="0.35">
      <c r="A4351" s="5">
        <v>4347</v>
      </c>
      <c r="B4351" s="5">
        <v>182</v>
      </c>
      <c r="C4351" s="5">
        <v>7</v>
      </c>
      <c r="D4351" s="25">
        <v>1.1416E-4</v>
      </c>
      <c r="E4351" s="25">
        <v>1.089E-4</v>
      </c>
      <c r="F4351" s="25">
        <v>1.2051E-4</v>
      </c>
      <c r="G4351" s="25">
        <v>6.347E-5</v>
      </c>
      <c r="H4351" s="25">
        <v>1.5699999999999999E-5</v>
      </c>
      <c r="I4351" s="9">
        <v>9.2079999999999999E-5</v>
      </c>
      <c r="J4351" s="9">
        <v>9.1710000000000001E-5</v>
      </c>
      <c r="K4351" s="9">
        <v>1.272E-5</v>
      </c>
      <c r="L4351" s="9">
        <v>4.3579999999999999E-5</v>
      </c>
      <c r="M4351" s="9">
        <v>5.9160000000000003E-5</v>
      </c>
      <c r="N4351" s="9">
        <v>6.5450000000000005E-5</v>
      </c>
      <c r="O4351" s="9">
        <v>2.2480000000000002E-5</v>
      </c>
      <c r="P4351" s="9">
        <v>4.18E-5</v>
      </c>
      <c r="Q4351" s="9">
        <v>6.1140000000000001E-5</v>
      </c>
      <c r="R4351" s="10">
        <v>1.9231236893363566E-4</v>
      </c>
      <c r="S4351" s="10">
        <v>1.792674335813759E-4</v>
      </c>
      <c r="T4351" s="10">
        <v>0</v>
      </c>
      <c r="U4351" s="10">
        <v>8.1660000000000001E-5</v>
      </c>
      <c r="V4351" s="25"/>
      <c r="W4351" s="25"/>
      <c r="X4351" s="25"/>
      <c r="Y4351" s="25"/>
      <c r="Z4351" s="25"/>
      <c r="AA4351" s="25"/>
    </row>
    <row r="4352" spans="1:27" x14ac:dyDescent="0.35">
      <c r="A4352" s="5">
        <v>4348</v>
      </c>
      <c r="B4352" s="5">
        <v>182</v>
      </c>
      <c r="C4352" s="5">
        <v>7</v>
      </c>
      <c r="D4352" s="25">
        <v>1.1415000000000001E-4</v>
      </c>
      <c r="E4352" s="25">
        <v>1.0698E-4</v>
      </c>
      <c r="F4352" s="25">
        <v>1.1631E-4</v>
      </c>
      <c r="G4352" s="25">
        <v>5.6450000000000003E-5</v>
      </c>
      <c r="H4352" s="25">
        <v>1.5270000000000001E-5</v>
      </c>
      <c r="I4352" s="9">
        <v>9.2769999999999994E-5</v>
      </c>
      <c r="J4352" s="9">
        <v>9.1970000000000002E-5</v>
      </c>
      <c r="K4352" s="9">
        <v>1.6949999999999999E-5</v>
      </c>
      <c r="L4352" s="9">
        <v>2.7849999999999999E-5</v>
      </c>
      <c r="M4352" s="9">
        <v>5.0380000000000002E-5</v>
      </c>
      <c r="N4352" s="9">
        <v>6.1799999999999998E-5</v>
      </c>
      <c r="O4352" s="9">
        <v>2.211E-5</v>
      </c>
      <c r="P4352" s="9">
        <v>5.13E-5</v>
      </c>
      <c r="Q4352" s="9">
        <v>8.0359999999999996E-5</v>
      </c>
      <c r="R4352" s="10">
        <v>1.7749118221187276E-4</v>
      </c>
      <c r="S4352" s="10">
        <v>1.7491535756776369E-4</v>
      </c>
      <c r="T4352" s="10">
        <v>0</v>
      </c>
      <c r="U4352" s="10">
        <v>8.1660000000000001E-5</v>
      </c>
      <c r="V4352" s="25"/>
      <c r="W4352" s="25"/>
      <c r="X4352" s="25"/>
      <c r="Y4352" s="25"/>
      <c r="Z4352" s="25"/>
      <c r="AA4352" s="25"/>
    </row>
    <row r="4353" spans="1:27" x14ac:dyDescent="0.35">
      <c r="A4353" s="5">
        <v>4349</v>
      </c>
      <c r="B4353" s="5">
        <v>182</v>
      </c>
      <c r="C4353" s="5">
        <v>7</v>
      </c>
      <c r="D4353" s="25">
        <v>1.1416E-4</v>
      </c>
      <c r="E4353" s="25">
        <v>1.0703E-4</v>
      </c>
      <c r="F4353" s="25">
        <v>1.1213E-4</v>
      </c>
      <c r="G4353" s="25">
        <v>5.8560000000000002E-5</v>
      </c>
      <c r="H4353" s="25">
        <v>1.448E-5</v>
      </c>
      <c r="I4353" s="9">
        <v>9.535E-5</v>
      </c>
      <c r="J4353" s="9">
        <v>9.3350000000000006E-5</v>
      </c>
      <c r="K4353" s="9">
        <v>1.484E-5</v>
      </c>
      <c r="L4353" s="9">
        <v>2.3770000000000001E-5</v>
      </c>
      <c r="M4353" s="9">
        <v>4.8659999999999998E-5</v>
      </c>
      <c r="N4353" s="9">
        <v>6.4369999999999995E-5</v>
      </c>
      <c r="O4353" s="9">
        <v>2.4139999999999999E-5</v>
      </c>
      <c r="P4353" s="9">
        <v>5.9320000000000001E-5</v>
      </c>
      <c r="Q4353" s="9">
        <v>9.4270000000000004E-5</v>
      </c>
      <c r="R4353" s="10">
        <v>1.6453785865691971E-4</v>
      </c>
      <c r="S4353" s="10">
        <v>1.7532423853844836E-4</v>
      </c>
      <c r="T4353" s="10">
        <v>1.2022252179151946E-5</v>
      </c>
      <c r="U4353" s="10">
        <v>8.1660000000000001E-5</v>
      </c>
      <c r="V4353" s="25"/>
      <c r="W4353" s="25"/>
      <c r="X4353" s="25"/>
      <c r="Y4353" s="25"/>
      <c r="Z4353" s="25"/>
      <c r="AA4353" s="25"/>
    </row>
    <row r="4354" spans="1:27" x14ac:dyDescent="0.35">
      <c r="A4354" s="5">
        <v>4350</v>
      </c>
      <c r="B4354" s="5">
        <v>182</v>
      </c>
      <c r="C4354" s="5">
        <v>7</v>
      </c>
      <c r="D4354" s="25">
        <v>1.1415000000000001E-4</v>
      </c>
      <c r="E4354" s="25">
        <v>1.1053E-4</v>
      </c>
      <c r="F4354" s="25">
        <v>1.0663E-4</v>
      </c>
      <c r="G4354" s="25">
        <v>1.0797E-4</v>
      </c>
      <c r="H4354" s="25">
        <v>2.9410000000000001E-5</v>
      </c>
      <c r="I4354" s="9">
        <v>1.0361000000000001E-4</v>
      </c>
      <c r="J4354" s="9">
        <v>1.0121E-4</v>
      </c>
      <c r="K4354" s="9">
        <v>0</v>
      </c>
      <c r="L4354" s="9">
        <v>2.3980000000000001E-5</v>
      </c>
      <c r="M4354" s="9">
        <v>5.2410000000000001E-5</v>
      </c>
      <c r="N4354" s="9">
        <v>7.1080000000000004E-5</v>
      </c>
      <c r="O4354" s="9">
        <v>3.0450000000000002E-5</v>
      </c>
      <c r="P4354" s="9">
        <v>6.9300000000000004E-5</v>
      </c>
      <c r="Q4354" s="9">
        <v>1.0785000000000001E-4</v>
      </c>
      <c r="R4354" s="10">
        <v>1.6540703307163255E-4</v>
      </c>
      <c r="S4354" s="10">
        <v>1.8063151520628974E-4</v>
      </c>
      <c r="T4354" s="10">
        <v>2.6946134736052636E-5</v>
      </c>
      <c r="U4354" s="10">
        <v>8.1660000000000001E-5</v>
      </c>
      <c r="V4354" s="25"/>
      <c r="W4354" s="25"/>
      <c r="X4354" s="25"/>
      <c r="Y4354" s="25"/>
      <c r="Z4354" s="25"/>
      <c r="AA4354" s="25"/>
    </row>
    <row r="4355" spans="1:27" x14ac:dyDescent="0.35">
      <c r="A4355" s="5">
        <v>4351</v>
      </c>
      <c r="B4355" s="5">
        <v>182</v>
      </c>
      <c r="C4355" s="5">
        <v>7</v>
      </c>
      <c r="D4355" s="25">
        <v>1.1416E-4</v>
      </c>
      <c r="E4355" s="25">
        <v>1.1145E-4</v>
      </c>
      <c r="F4355" s="25">
        <v>1.1341999999999999E-4</v>
      </c>
      <c r="G4355" s="25">
        <v>1.1411E-4</v>
      </c>
      <c r="H4355" s="25">
        <v>2.8269999999999999E-5</v>
      </c>
      <c r="I4355" s="9">
        <v>1.1424E-4</v>
      </c>
      <c r="J4355" s="9">
        <v>1.1621E-4</v>
      </c>
      <c r="K4355" s="9">
        <v>0</v>
      </c>
      <c r="L4355" s="9">
        <v>2.8929999999999999E-5</v>
      </c>
      <c r="M4355" s="9">
        <v>5.9599999999999999E-5</v>
      </c>
      <c r="N4355" s="9">
        <v>8.0970000000000006E-5</v>
      </c>
      <c r="O4355" s="9">
        <v>4.6329999999999999E-5</v>
      </c>
      <c r="P4355" s="9">
        <v>7.9320000000000006E-5</v>
      </c>
      <c r="Q4355" s="9">
        <v>1.1204E-4</v>
      </c>
      <c r="R4355" s="10">
        <v>1.6193364631851787E-4</v>
      </c>
      <c r="S4355" s="10">
        <v>1.8285330117270303E-4</v>
      </c>
      <c r="T4355" s="10">
        <v>1.6009872873718928E-4</v>
      </c>
      <c r="U4355" s="10">
        <v>8.1660000000000001E-5</v>
      </c>
      <c r="V4355" s="25"/>
      <c r="W4355" s="25"/>
      <c r="X4355" s="25"/>
      <c r="Y4355" s="25"/>
      <c r="Z4355" s="25"/>
      <c r="AA4355" s="25"/>
    </row>
    <row r="4356" spans="1:27" x14ac:dyDescent="0.35">
      <c r="A4356" s="5">
        <v>4352</v>
      </c>
      <c r="B4356" s="5">
        <v>182</v>
      </c>
      <c r="C4356" s="5">
        <v>7</v>
      </c>
      <c r="D4356" s="25">
        <v>1.1415000000000001E-4</v>
      </c>
      <c r="E4356" s="25">
        <v>1.0516E-4</v>
      </c>
      <c r="F4356" s="25">
        <v>1.2656000000000001E-4</v>
      </c>
      <c r="G4356" s="25">
        <v>1.5729000000000001E-4</v>
      </c>
      <c r="H4356" s="25">
        <v>4.1510000000000001E-5</v>
      </c>
      <c r="I4356" s="9">
        <v>1.2019999999999999E-4</v>
      </c>
      <c r="J4356" s="9">
        <v>1.2710999999999999E-4</v>
      </c>
      <c r="K4356" s="9">
        <v>0</v>
      </c>
      <c r="L4356" s="9">
        <v>4.2360000000000001E-5</v>
      </c>
      <c r="M4356" s="9">
        <v>6.8510000000000006E-5</v>
      </c>
      <c r="N4356" s="9">
        <v>9.098E-5</v>
      </c>
      <c r="O4356" s="9">
        <v>6.7509999999999996E-5</v>
      </c>
      <c r="P4356" s="9">
        <v>1.0151E-4</v>
      </c>
      <c r="Q4356" s="9">
        <v>1.3517E-4</v>
      </c>
      <c r="R4356" s="10">
        <v>1.5476970946952186E-4</v>
      </c>
      <c r="S4356" s="10">
        <v>1.8449360183986504E-4</v>
      </c>
      <c r="T4356" s="10">
        <v>3.3865080856093855E-4</v>
      </c>
      <c r="U4356" s="10">
        <v>8.1660000000000001E-5</v>
      </c>
      <c r="V4356" s="25"/>
      <c r="W4356" s="25"/>
      <c r="X4356" s="25"/>
      <c r="Y4356" s="25"/>
      <c r="Z4356" s="25"/>
      <c r="AA4356" s="25"/>
    </row>
    <row r="4357" spans="1:27" x14ac:dyDescent="0.35">
      <c r="A4357" s="5">
        <v>4353</v>
      </c>
      <c r="B4357" s="5">
        <v>182</v>
      </c>
      <c r="C4357" s="5">
        <v>7</v>
      </c>
      <c r="D4357" s="25">
        <v>1.1416E-4</v>
      </c>
      <c r="E4357" s="25">
        <v>1.1336E-4</v>
      </c>
      <c r="F4357" s="25">
        <v>1.1037E-4</v>
      </c>
      <c r="G4357" s="25">
        <v>1.615E-4</v>
      </c>
      <c r="H4357" s="25">
        <v>4.2249999999999997E-5</v>
      </c>
      <c r="I4357" s="9">
        <v>1.2348E-4</v>
      </c>
      <c r="J4357" s="9">
        <v>1.3107E-4</v>
      </c>
      <c r="K4357" s="9">
        <v>0</v>
      </c>
      <c r="L4357" s="9">
        <v>6.1610000000000001E-5</v>
      </c>
      <c r="M4357" s="9">
        <v>8.2589999999999994E-5</v>
      </c>
      <c r="N4357" s="9">
        <v>1.0438E-4</v>
      </c>
      <c r="O4357" s="9">
        <v>9.9350000000000003E-5</v>
      </c>
      <c r="P4357" s="9">
        <v>1.3826999999999999E-4</v>
      </c>
      <c r="Q4357" s="9">
        <v>1.7666000000000001E-4</v>
      </c>
      <c r="R4357" s="10">
        <v>1.0335082204418196E-4</v>
      </c>
      <c r="S4357" s="10">
        <v>1.831377569725801E-4</v>
      </c>
      <c r="T4357" s="10">
        <v>4.9171605313685972E-4</v>
      </c>
      <c r="U4357" s="10">
        <v>8.1660000000000001E-5</v>
      </c>
      <c r="V4357" s="25"/>
      <c r="W4357" s="25"/>
      <c r="X4357" s="25"/>
      <c r="Y4357" s="25"/>
      <c r="Z4357" s="25"/>
      <c r="AA4357" s="25"/>
    </row>
    <row r="4358" spans="1:27" x14ac:dyDescent="0.35">
      <c r="A4358" s="5">
        <v>4354</v>
      </c>
      <c r="B4358" s="5">
        <v>182</v>
      </c>
      <c r="C4358" s="5">
        <v>7</v>
      </c>
      <c r="D4358" s="25">
        <v>1.1415000000000001E-4</v>
      </c>
      <c r="E4358" s="25">
        <v>1.1367E-4</v>
      </c>
      <c r="F4358" s="25">
        <v>1.0569999999999999E-4</v>
      </c>
      <c r="G4358" s="25">
        <v>1.6295E-4</v>
      </c>
      <c r="H4358" s="25">
        <v>4.1430000000000001E-5</v>
      </c>
      <c r="I4358" s="9">
        <v>1.2339E-4</v>
      </c>
      <c r="J4358" s="9">
        <v>1.3264E-4</v>
      </c>
      <c r="K4358" s="9">
        <v>0</v>
      </c>
      <c r="L4358" s="9">
        <v>9.0539999999999997E-5</v>
      </c>
      <c r="M4358" s="9">
        <v>1.0618E-4</v>
      </c>
      <c r="N4358" s="9">
        <v>1.2433E-4</v>
      </c>
      <c r="O4358" s="9">
        <v>1.2756000000000001E-4</v>
      </c>
      <c r="P4358" s="9">
        <v>1.5482000000000001E-4</v>
      </c>
      <c r="Q4358" s="9">
        <v>1.8165999999999999E-4</v>
      </c>
      <c r="R4358" s="10">
        <v>7.2751308778616454E-5</v>
      </c>
      <c r="S4358" s="10">
        <v>1.7964638905077914E-4</v>
      </c>
      <c r="T4358" s="10">
        <v>5.8414401025731223E-4</v>
      </c>
      <c r="U4358" s="10">
        <v>8.1660000000000001E-5</v>
      </c>
      <c r="V4358" s="25"/>
      <c r="W4358" s="25"/>
      <c r="X4358" s="25"/>
      <c r="Y4358" s="25"/>
      <c r="Z4358" s="25"/>
      <c r="AA4358" s="25"/>
    </row>
    <row r="4359" spans="1:27" x14ac:dyDescent="0.35">
      <c r="A4359" s="5">
        <v>4355</v>
      </c>
      <c r="B4359" s="5">
        <v>182</v>
      </c>
      <c r="C4359" s="5">
        <v>7</v>
      </c>
      <c r="D4359" s="25">
        <v>1.1416E-4</v>
      </c>
      <c r="E4359" s="25">
        <v>1.0696000000000001E-4</v>
      </c>
      <c r="F4359" s="25">
        <v>1.0834E-4</v>
      </c>
      <c r="G4359" s="25">
        <v>1.5741E-4</v>
      </c>
      <c r="H4359" s="25">
        <v>4.2330000000000003E-5</v>
      </c>
      <c r="I4359" s="9">
        <v>1.2452000000000001E-4</v>
      </c>
      <c r="J4359" s="9">
        <v>1.3307E-4</v>
      </c>
      <c r="K4359" s="9">
        <v>0</v>
      </c>
      <c r="L4359" s="9">
        <v>1.187E-4</v>
      </c>
      <c r="M4359" s="9">
        <v>1.2967E-4</v>
      </c>
      <c r="N4359" s="9">
        <v>1.4228999999999999E-4</v>
      </c>
      <c r="O4359" s="9">
        <v>1.3480999999999999E-4</v>
      </c>
      <c r="P4359" s="9">
        <v>1.5651E-4</v>
      </c>
      <c r="Q4359" s="9">
        <v>1.7783999999999999E-4</v>
      </c>
      <c r="R4359" s="10">
        <v>6.6766228065697056E-5</v>
      </c>
      <c r="S4359" s="10">
        <v>1.7596090267795258E-4</v>
      </c>
      <c r="T4359" s="10">
        <v>6.5191659346625064E-4</v>
      </c>
      <c r="U4359" s="10">
        <v>8.1660000000000001E-5</v>
      </c>
      <c r="V4359" s="25"/>
      <c r="W4359" s="25"/>
      <c r="X4359" s="25"/>
      <c r="Y4359" s="25"/>
      <c r="Z4359" s="25"/>
      <c r="AA4359" s="25"/>
    </row>
    <row r="4360" spans="1:27" x14ac:dyDescent="0.35">
      <c r="A4360" s="5">
        <v>4356</v>
      </c>
      <c r="B4360" s="5">
        <v>182</v>
      </c>
      <c r="C4360" s="5">
        <v>7</v>
      </c>
      <c r="D4360" s="25">
        <v>1.1415000000000001E-4</v>
      </c>
      <c r="E4360" s="25">
        <v>1.0875E-4</v>
      </c>
      <c r="F4360" s="25">
        <v>1.2478000000000001E-4</v>
      </c>
      <c r="G4360" s="25">
        <v>1.6339999999999999E-4</v>
      </c>
      <c r="H4360" s="25">
        <v>4.1569999999999997E-5</v>
      </c>
      <c r="I4360" s="9">
        <v>1.2217E-4</v>
      </c>
      <c r="J4360" s="9">
        <v>1.3155999999999999E-4</v>
      </c>
      <c r="K4360" s="9">
        <v>0</v>
      </c>
      <c r="L4360" s="9">
        <v>1.306E-4</v>
      </c>
      <c r="M4360" s="9">
        <v>1.449E-4</v>
      </c>
      <c r="N4360" s="9">
        <v>1.5600999999999999E-4</v>
      </c>
      <c r="O4360" s="9">
        <v>1.3736999999999999E-4</v>
      </c>
      <c r="P4360" s="9">
        <v>1.5588000000000001E-4</v>
      </c>
      <c r="Q4360" s="9">
        <v>1.7407999999999999E-4</v>
      </c>
      <c r="R4360" s="10">
        <v>6.2799157928158093E-5</v>
      </c>
      <c r="S4360" s="10">
        <v>1.7197610349373689E-4</v>
      </c>
      <c r="T4360" s="10">
        <v>7.0658941847856905E-4</v>
      </c>
      <c r="U4360" s="10">
        <v>8.1660000000000001E-5</v>
      </c>
      <c r="V4360" s="25"/>
      <c r="W4360" s="25"/>
      <c r="X4360" s="25"/>
      <c r="Y4360" s="25"/>
      <c r="Z4360" s="25"/>
      <c r="AA4360" s="25"/>
    </row>
    <row r="4361" spans="1:27" x14ac:dyDescent="0.35">
      <c r="A4361" s="5">
        <v>4357</v>
      </c>
      <c r="B4361" s="5">
        <v>182</v>
      </c>
      <c r="C4361" s="5">
        <v>7</v>
      </c>
      <c r="D4361" s="25">
        <v>1.1416E-4</v>
      </c>
      <c r="E4361" s="25">
        <v>1.1155E-4</v>
      </c>
      <c r="F4361" s="25">
        <v>1.219E-4</v>
      </c>
      <c r="G4361" s="25">
        <v>1.5885000000000001E-4</v>
      </c>
      <c r="H4361" s="25">
        <v>4.2540000000000003E-5</v>
      </c>
      <c r="I4361" s="9">
        <v>1.2120000000000001E-4</v>
      </c>
      <c r="J4361" s="9">
        <v>1.3315000000000001E-4</v>
      </c>
      <c r="K4361" s="9">
        <v>0</v>
      </c>
      <c r="L4361" s="9">
        <v>1.3574E-4</v>
      </c>
      <c r="M4361" s="9">
        <v>1.5207999999999999E-4</v>
      </c>
      <c r="N4361" s="9">
        <v>1.6553999999999999E-4</v>
      </c>
      <c r="O4361" s="9">
        <v>1.2799999999999999E-4</v>
      </c>
      <c r="P4361" s="9">
        <v>1.4704E-4</v>
      </c>
      <c r="Q4361" s="9">
        <v>1.6577000000000001E-4</v>
      </c>
      <c r="R4361" s="10">
        <v>7.680446934674805E-5</v>
      </c>
      <c r="S4361" s="10">
        <v>1.7623272192519149E-4</v>
      </c>
      <c r="T4361" s="10">
        <v>7.10093434110178E-4</v>
      </c>
      <c r="U4361" s="10">
        <v>8.1660000000000001E-5</v>
      </c>
      <c r="V4361" s="25"/>
      <c r="W4361" s="25"/>
      <c r="X4361" s="25"/>
      <c r="Y4361" s="25"/>
      <c r="Z4361" s="25"/>
      <c r="AA4361" s="25"/>
    </row>
    <row r="4362" spans="1:27" x14ac:dyDescent="0.35">
      <c r="A4362" s="5">
        <v>4358</v>
      </c>
      <c r="B4362" s="5">
        <v>182</v>
      </c>
      <c r="C4362" s="5">
        <v>7</v>
      </c>
      <c r="D4362" s="25">
        <v>1.1415000000000001E-4</v>
      </c>
      <c r="E4362" s="25">
        <v>1.0834E-4</v>
      </c>
      <c r="F4362" s="25">
        <v>1.2432E-4</v>
      </c>
      <c r="G4362" s="25">
        <v>1.6426E-4</v>
      </c>
      <c r="H4362" s="25">
        <v>4.3250000000000001E-5</v>
      </c>
      <c r="I4362" s="9">
        <v>1.1976000000000001E-4</v>
      </c>
      <c r="J4362" s="9">
        <v>1.3350999999999999E-4</v>
      </c>
      <c r="K4362" s="9">
        <v>0</v>
      </c>
      <c r="L4362" s="9">
        <v>1.2972999999999999E-4</v>
      </c>
      <c r="M4362" s="9">
        <v>1.5165999999999999E-4</v>
      </c>
      <c r="N4362" s="9">
        <v>1.6962999999999999E-4</v>
      </c>
      <c r="O4362" s="9">
        <v>1.1288E-4</v>
      </c>
      <c r="P4362" s="9">
        <v>1.3768E-4</v>
      </c>
      <c r="Q4362" s="9">
        <v>1.6212999999999999E-4</v>
      </c>
      <c r="R4362" s="10">
        <v>8.4948598057799437E-5</v>
      </c>
      <c r="S4362" s="10">
        <v>1.8087005509914396E-4</v>
      </c>
      <c r="T4362" s="10">
        <v>6.7344974521691239E-4</v>
      </c>
      <c r="U4362" s="10">
        <v>8.1660000000000001E-5</v>
      </c>
      <c r="V4362" s="25"/>
      <c r="W4362" s="25"/>
      <c r="X4362" s="25"/>
      <c r="Y4362" s="25"/>
      <c r="Z4362" s="25"/>
      <c r="AA4362" s="25"/>
    </row>
    <row r="4363" spans="1:27" x14ac:dyDescent="0.35">
      <c r="A4363" s="5">
        <v>4359</v>
      </c>
      <c r="B4363" s="5">
        <v>182</v>
      </c>
      <c r="C4363" s="5">
        <v>7</v>
      </c>
      <c r="D4363" s="25">
        <v>1.1416E-4</v>
      </c>
      <c r="E4363" s="25">
        <v>1.1067E-4</v>
      </c>
      <c r="F4363" s="25">
        <v>1.2141E-4</v>
      </c>
      <c r="G4363" s="25">
        <v>1.6526E-4</v>
      </c>
      <c r="H4363" s="25">
        <v>4.1119999999999999E-5</v>
      </c>
      <c r="I4363" s="9">
        <v>1.1742E-4</v>
      </c>
      <c r="J4363" s="9">
        <v>1.3312999999999999E-4</v>
      </c>
      <c r="K4363" s="9">
        <v>0</v>
      </c>
      <c r="L4363" s="9">
        <v>1.1681E-4</v>
      </c>
      <c r="M4363" s="9">
        <v>1.4625E-4</v>
      </c>
      <c r="N4363" s="9">
        <v>1.6958000000000001E-4</v>
      </c>
      <c r="O4363" s="9">
        <v>1.2678E-4</v>
      </c>
      <c r="P4363" s="9">
        <v>1.3997E-4</v>
      </c>
      <c r="Q4363" s="9">
        <v>1.5296E-4</v>
      </c>
      <c r="R4363" s="10">
        <v>8.5764209402894521E-5</v>
      </c>
      <c r="S4363" s="10">
        <v>1.8169965539114439E-4</v>
      </c>
      <c r="T4363" s="10">
        <v>5.9450333976383634E-4</v>
      </c>
      <c r="U4363" s="10">
        <v>8.1660000000000001E-5</v>
      </c>
      <c r="V4363" s="25"/>
      <c r="W4363" s="25"/>
      <c r="X4363" s="25"/>
      <c r="Y4363" s="25"/>
      <c r="Z4363" s="25"/>
      <c r="AA4363" s="25"/>
    </row>
    <row r="4364" spans="1:27" x14ac:dyDescent="0.35">
      <c r="A4364" s="5">
        <v>4360</v>
      </c>
      <c r="B4364" s="5">
        <v>182</v>
      </c>
      <c r="C4364" s="5">
        <v>7</v>
      </c>
      <c r="D4364" s="25">
        <v>1.1415000000000001E-4</v>
      </c>
      <c r="E4364" s="25">
        <v>1.0891999999999999E-4</v>
      </c>
      <c r="F4364" s="25">
        <v>1.2213999999999999E-4</v>
      </c>
      <c r="G4364" s="25">
        <v>1.6061E-4</v>
      </c>
      <c r="H4364" s="25">
        <v>4.1980000000000001E-5</v>
      </c>
      <c r="I4364" s="9">
        <v>1.1585E-4</v>
      </c>
      <c r="J4364" s="9">
        <v>1.3239999999999999E-4</v>
      </c>
      <c r="K4364" s="9">
        <v>0</v>
      </c>
      <c r="L4364" s="9">
        <v>1.2496999999999999E-4</v>
      </c>
      <c r="M4364" s="9">
        <v>1.4248E-4</v>
      </c>
      <c r="N4364" s="9">
        <v>1.6594E-4</v>
      </c>
      <c r="O4364" s="9">
        <v>1.3292999999999999E-4</v>
      </c>
      <c r="P4364" s="9">
        <v>1.2113E-4</v>
      </c>
      <c r="Q4364" s="9">
        <v>1.0949E-4</v>
      </c>
      <c r="R4364" s="10">
        <v>8.0340759881165037E-5</v>
      </c>
      <c r="S4364" s="10">
        <v>1.8108075503516272E-4</v>
      </c>
      <c r="T4364" s="10">
        <v>4.8187426589069442E-4</v>
      </c>
      <c r="U4364" s="10">
        <v>8.1660000000000001E-5</v>
      </c>
      <c r="V4364" s="25"/>
      <c r="W4364" s="25"/>
      <c r="X4364" s="25"/>
      <c r="Y4364" s="25"/>
      <c r="Z4364" s="25"/>
      <c r="AA4364" s="25"/>
    </row>
    <row r="4365" spans="1:27" x14ac:dyDescent="0.35">
      <c r="A4365" s="5">
        <v>4361</v>
      </c>
      <c r="B4365" s="5">
        <v>182</v>
      </c>
      <c r="C4365" s="5">
        <v>7</v>
      </c>
      <c r="D4365" s="25">
        <v>1.1416E-4</v>
      </c>
      <c r="E4365" s="25">
        <v>1.1196000000000001E-4</v>
      </c>
      <c r="F4365" s="25">
        <v>1.2787000000000001E-4</v>
      </c>
      <c r="G4365" s="25">
        <v>1.6474999999999999E-4</v>
      </c>
      <c r="H4365" s="25">
        <v>4.2889999999999998E-5</v>
      </c>
      <c r="I4365" s="9">
        <v>1.1751E-4</v>
      </c>
      <c r="J4365" s="9">
        <v>1.3176E-4</v>
      </c>
      <c r="K4365" s="9">
        <v>0</v>
      </c>
      <c r="L4365" s="9">
        <v>1.3090000000000001E-4</v>
      </c>
      <c r="M4365" s="9">
        <v>1.3396E-4</v>
      </c>
      <c r="N4365" s="9">
        <v>1.5231000000000001E-4</v>
      </c>
      <c r="O4365" s="9">
        <v>1.3956999999999999E-4</v>
      </c>
      <c r="P4365" s="9">
        <v>1.2334999999999999E-4</v>
      </c>
      <c r="Q4365" s="9">
        <v>1.0734999999999999E-4</v>
      </c>
      <c r="R4365" s="10">
        <v>7.7880645243906597E-5</v>
      </c>
      <c r="S4365" s="10">
        <v>1.8034638472413152E-4</v>
      </c>
      <c r="T4365" s="10">
        <v>3.3567281948903855E-4</v>
      </c>
      <c r="U4365" s="10">
        <v>8.1660000000000001E-5</v>
      </c>
      <c r="V4365" s="25"/>
      <c r="W4365" s="25"/>
      <c r="X4365" s="25"/>
      <c r="Y4365" s="25"/>
      <c r="Z4365" s="25"/>
      <c r="AA4365" s="25"/>
    </row>
    <row r="4366" spans="1:27" x14ac:dyDescent="0.35">
      <c r="A4366" s="5">
        <v>4362</v>
      </c>
      <c r="B4366" s="5">
        <v>182</v>
      </c>
      <c r="C4366" s="5">
        <v>7</v>
      </c>
      <c r="D4366" s="25">
        <v>1.1415000000000001E-4</v>
      </c>
      <c r="E4366" s="25">
        <v>1.1012E-4</v>
      </c>
      <c r="F4366" s="25">
        <v>1.109E-4</v>
      </c>
      <c r="G4366" s="25">
        <v>1.6729000000000001E-4</v>
      </c>
      <c r="H4366" s="25">
        <v>4.2209999999999997E-5</v>
      </c>
      <c r="I4366" s="9">
        <v>1.1631E-4</v>
      </c>
      <c r="J4366" s="9">
        <v>1.2721E-4</v>
      </c>
      <c r="K4366" s="9">
        <v>0</v>
      </c>
      <c r="L4366" s="9">
        <v>1.3740000000000001E-4</v>
      </c>
      <c r="M4366" s="9">
        <v>1.2795999999999999E-4</v>
      </c>
      <c r="N4366" s="9">
        <v>1.3909999999999999E-4</v>
      </c>
      <c r="O4366" s="9">
        <v>1.4097E-4</v>
      </c>
      <c r="P4366" s="9">
        <v>1.2970000000000001E-4</v>
      </c>
      <c r="Q4366" s="9">
        <v>1.1858000000000001E-4</v>
      </c>
      <c r="R4366" s="10">
        <v>8.6143696361164538E-5</v>
      </c>
      <c r="S4366" s="10">
        <v>1.7867432806494674E-4</v>
      </c>
      <c r="T4366" s="10">
        <v>1.6105745456375538E-4</v>
      </c>
      <c r="U4366" s="10">
        <v>8.1660000000000001E-5</v>
      </c>
      <c r="V4366" s="25"/>
      <c r="W4366" s="25"/>
      <c r="X4366" s="25"/>
      <c r="Y4366" s="25"/>
      <c r="Z4366" s="25"/>
      <c r="AA4366" s="25"/>
    </row>
    <row r="4367" spans="1:27" x14ac:dyDescent="0.35">
      <c r="A4367" s="5">
        <v>4363</v>
      </c>
      <c r="B4367" s="5">
        <v>182</v>
      </c>
      <c r="C4367" s="5">
        <v>7</v>
      </c>
      <c r="D4367" s="25">
        <v>1.1416E-4</v>
      </c>
      <c r="E4367" s="25">
        <v>1.0839E-4</v>
      </c>
      <c r="F4367" s="25">
        <v>1.0959999999999999E-4</v>
      </c>
      <c r="G4367" s="25">
        <v>1.1157E-4</v>
      </c>
      <c r="H4367" s="25">
        <v>2.8860000000000002E-5</v>
      </c>
      <c r="I4367" s="9">
        <v>1.1348E-4</v>
      </c>
      <c r="J4367" s="9">
        <v>1.2389000000000001E-4</v>
      </c>
      <c r="K4367" s="9">
        <v>0</v>
      </c>
      <c r="L4367" s="9">
        <v>1.4007000000000001E-4</v>
      </c>
      <c r="M4367" s="9">
        <v>1.2721E-4</v>
      </c>
      <c r="N4367" s="9">
        <v>1.3030999999999999E-4</v>
      </c>
      <c r="O4367" s="9">
        <v>1.4164000000000001E-4</v>
      </c>
      <c r="P4367" s="9">
        <v>1.2464999999999999E-4</v>
      </c>
      <c r="Q4367" s="9">
        <v>1.0789E-4</v>
      </c>
      <c r="R4367" s="10">
        <v>1.023197348175266E-4</v>
      </c>
      <c r="S4367" s="10">
        <v>1.7920481361798088E-4</v>
      </c>
      <c r="T4367" s="10">
        <v>3.7610899019181779E-5</v>
      </c>
      <c r="U4367" s="10">
        <v>8.1660000000000001E-5</v>
      </c>
      <c r="V4367" s="25"/>
      <c r="W4367" s="25"/>
      <c r="X4367" s="25"/>
      <c r="Y4367" s="25"/>
      <c r="Z4367" s="25"/>
      <c r="AA4367" s="25"/>
    </row>
    <row r="4368" spans="1:27" x14ac:dyDescent="0.35">
      <c r="A4368" s="5">
        <v>4364</v>
      </c>
      <c r="B4368" s="5">
        <v>182</v>
      </c>
      <c r="C4368" s="5">
        <v>7</v>
      </c>
      <c r="D4368" s="25">
        <v>1.1415000000000001E-4</v>
      </c>
      <c r="E4368" s="25">
        <v>1.0609E-4</v>
      </c>
      <c r="F4368" s="25">
        <v>1.2415000000000001E-4</v>
      </c>
      <c r="G4368" s="25">
        <v>1.1259E-4</v>
      </c>
      <c r="H4368" s="25">
        <v>2.9159999999999999E-5</v>
      </c>
      <c r="I4368" s="9">
        <v>1.1213999999999999E-4</v>
      </c>
      <c r="J4368" s="9">
        <v>1.2068E-4</v>
      </c>
      <c r="K4368" s="9">
        <v>0</v>
      </c>
      <c r="L4368" s="9">
        <v>1.4126000000000001E-4</v>
      </c>
      <c r="M4368" s="9">
        <v>1.2637999999999999E-4</v>
      </c>
      <c r="N4368" s="9">
        <v>1.2135E-4</v>
      </c>
      <c r="O4368" s="9">
        <v>1.4348E-4</v>
      </c>
      <c r="P4368" s="9">
        <v>1.2273000000000001E-4</v>
      </c>
      <c r="Q4368" s="9">
        <v>1.0226E-4</v>
      </c>
      <c r="R4368" s="10">
        <v>1.3228219051108754E-4</v>
      </c>
      <c r="S4368" s="10">
        <v>1.829862691573899E-4</v>
      </c>
      <c r="T4368" s="10">
        <v>1.358336325957817E-5</v>
      </c>
      <c r="U4368" s="10">
        <v>8.1660000000000001E-5</v>
      </c>
      <c r="V4368" s="25"/>
      <c r="W4368" s="25"/>
      <c r="X4368" s="25"/>
      <c r="Y4368" s="25"/>
      <c r="Z4368" s="25"/>
      <c r="AA4368" s="25"/>
    </row>
    <row r="4369" spans="1:27" x14ac:dyDescent="0.35">
      <c r="A4369" s="5">
        <v>4365</v>
      </c>
      <c r="B4369" s="5">
        <v>182</v>
      </c>
      <c r="C4369" s="5">
        <v>7</v>
      </c>
      <c r="D4369" s="25">
        <v>1.1416E-4</v>
      </c>
      <c r="E4369" s="25">
        <v>1.0323999999999999E-4</v>
      </c>
      <c r="F4369" s="25">
        <v>1.0545E-4</v>
      </c>
      <c r="G4369" s="25">
        <v>5.9049999999999999E-5</v>
      </c>
      <c r="H4369" s="25">
        <v>1.438E-5</v>
      </c>
      <c r="I4369" s="9">
        <v>1.1078000000000001E-4</v>
      </c>
      <c r="J4369" s="9">
        <v>1.1650999999999999E-4</v>
      </c>
      <c r="K4369" s="9">
        <v>1.061E-5</v>
      </c>
      <c r="L4369" s="9">
        <v>1.4300000000000001E-4</v>
      </c>
      <c r="M4369" s="9">
        <v>1.2485999999999999E-4</v>
      </c>
      <c r="N4369" s="9">
        <v>1.137E-4</v>
      </c>
      <c r="O4369" s="9">
        <v>8.3670000000000004E-5</v>
      </c>
      <c r="P4369" s="9">
        <v>8.5539999999999998E-5</v>
      </c>
      <c r="Q4369" s="9">
        <v>8.7520000000000002E-5</v>
      </c>
      <c r="R4369" s="10">
        <v>1.6814072903824497E-4</v>
      </c>
      <c r="S4369" s="10">
        <v>1.8444218652146352E-4</v>
      </c>
      <c r="T4369" s="10">
        <v>0</v>
      </c>
      <c r="U4369" s="10">
        <v>8.1660000000000001E-5</v>
      </c>
      <c r="V4369" s="25"/>
      <c r="W4369" s="25"/>
      <c r="X4369" s="25"/>
      <c r="Y4369" s="25"/>
      <c r="Z4369" s="25"/>
      <c r="AA4369" s="25"/>
    </row>
    <row r="4370" spans="1:27" x14ac:dyDescent="0.35">
      <c r="A4370" s="5">
        <v>4366</v>
      </c>
      <c r="B4370" s="5">
        <v>182</v>
      </c>
      <c r="C4370" s="5">
        <v>7</v>
      </c>
      <c r="D4370" s="25">
        <v>1.1415000000000001E-4</v>
      </c>
      <c r="E4370" s="25">
        <v>1.043E-4</v>
      </c>
      <c r="F4370" s="25">
        <v>1.2381E-4</v>
      </c>
      <c r="G4370" s="25">
        <v>5.6180000000000001E-5</v>
      </c>
      <c r="H4370" s="25">
        <v>1.522E-5</v>
      </c>
      <c r="I4370" s="9">
        <v>1.1362999999999999E-4</v>
      </c>
      <c r="J4370" s="9">
        <v>1.1419E-4</v>
      </c>
      <c r="K4370" s="9">
        <v>3.18E-5</v>
      </c>
      <c r="L4370" s="9">
        <v>9.6689999999999998E-5</v>
      </c>
      <c r="M4370" s="9">
        <v>1.1027E-4</v>
      </c>
      <c r="N4370" s="9">
        <v>1.0586000000000001E-4</v>
      </c>
      <c r="O4370" s="9">
        <v>8.7039999999999993E-5</v>
      </c>
      <c r="P4370" s="9">
        <v>8.7570000000000004E-5</v>
      </c>
      <c r="Q4370" s="9">
        <v>8.8220000000000006E-5</v>
      </c>
      <c r="R4370" s="10">
        <v>1.890814911244679E-4</v>
      </c>
      <c r="S4370" s="10">
        <v>1.8598624205857662E-4</v>
      </c>
      <c r="T4370" s="10">
        <v>0</v>
      </c>
      <c r="U4370" s="10">
        <v>8.1660000000000001E-5</v>
      </c>
      <c r="V4370" s="25"/>
      <c r="W4370" s="25"/>
      <c r="X4370" s="25"/>
      <c r="Y4370" s="25"/>
      <c r="Z4370" s="25"/>
      <c r="AA4370" s="25"/>
    </row>
    <row r="4371" spans="1:27" x14ac:dyDescent="0.35">
      <c r="A4371" s="5">
        <v>4367</v>
      </c>
      <c r="B4371" s="5">
        <v>182</v>
      </c>
      <c r="C4371" s="5">
        <v>7</v>
      </c>
      <c r="D4371" s="25">
        <v>1.1416E-4</v>
      </c>
      <c r="E4371" s="25">
        <v>1.0573000000000001E-4</v>
      </c>
      <c r="F4371" s="25">
        <v>1.2642E-4</v>
      </c>
      <c r="G4371" s="25">
        <v>5.4429999999999999E-5</v>
      </c>
      <c r="H4371" s="25">
        <v>1.431E-5</v>
      </c>
      <c r="I4371" s="9">
        <v>1.1021E-4</v>
      </c>
      <c r="J4371" s="9">
        <v>1.0985E-4</v>
      </c>
      <c r="K4371" s="9">
        <v>4.8749999999999999E-5</v>
      </c>
      <c r="L4371" s="9">
        <v>9.0450000000000003E-5</v>
      </c>
      <c r="M4371" s="9">
        <v>9.8170000000000004E-5</v>
      </c>
      <c r="N4371" s="9">
        <v>9.9970000000000007E-5</v>
      </c>
      <c r="O4371" s="9">
        <v>8.4690000000000004E-5</v>
      </c>
      <c r="P4371" s="9">
        <v>7.5760000000000006E-5</v>
      </c>
      <c r="Q4371" s="9">
        <v>6.711E-5</v>
      </c>
      <c r="R4371" s="10">
        <v>2.0085537566617628E-4</v>
      </c>
      <c r="S4371" s="10">
        <v>1.881963917225503E-4</v>
      </c>
      <c r="T4371" s="10">
        <v>0</v>
      </c>
      <c r="U4371" s="10">
        <v>8.1660000000000001E-5</v>
      </c>
      <c r="V4371" s="25"/>
      <c r="W4371" s="25"/>
      <c r="X4371" s="25"/>
      <c r="Y4371" s="25"/>
      <c r="Z4371" s="25"/>
      <c r="AA4371" s="25"/>
    </row>
    <row r="4372" spans="1:27" x14ac:dyDescent="0.35">
      <c r="A4372" s="5">
        <v>4368</v>
      </c>
      <c r="B4372" s="5">
        <v>182</v>
      </c>
      <c r="C4372" s="5">
        <v>7</v>
      </c>
      <c r="D4372" s="25">
        <v>1.1415000000000001E-4</v>
      </c>
      <c r="E4372" s="25">
        <v>1.0475E-4</v>
      </c>
      <c r="F4372" s="25">
        <v>1.1539E-4</v>
      </c>
      <c r="G4372" s="25">
        <v>5.7609999999999999E-5</v>
      </c>
      <c r="H4372" s="25">
        <v>1.6310000000000001E-5</v>
      </c>
      <c r="I4372" s="9">
        <v>1.0355E-4</v>
      </c>
      <c r="J4372" s="9">
        <v>1.0175000000000001E-4</v>
      </c>
      <c r="K4372" s="9">
        <v>4.2389999999999999E-5</v>
      </c>
      <c r="L4372" s="9">
        <v>8.6169999999999997E-5</v>
      </c>
      <c r="M4372" s="9">
        <v>8.7280000000000005E-5</v>
      </c>
      <c r="N4372" s="9">
        <v>9.0660000000000003E-5</v>
      </c>
      <c r="O4372" s="9">
        <v>7.8990000000000001E-5</v>
      </c>
      <c r="P4372" s="9">
        <v>6.8769999999999994E-5</v>
      </c>
      <c r="Q4372" s="9">
        <v>5.8869999999999997E-5</v>
      </c>
      <c r="R4372" s="10">
        <v>2.0488056043510452E-4</v>
      </c>
      <c r="S4372" s="10">
        <v>1.8737947626029604E-4</v>
      </c>
      <c r="T4372" s="10">
        <v>0</v>
      </c>
      <c r="U4372" s="10">
        <v>8.1660000000000001E-5</v>
      </c>
      <c r="V4372" s="25"/>
      <c r="W4372" s="25"/>
      <c r="X4372" s="25"/>
      <c r="Y4372" s="25"/>
      <c r="Z4372" s="25"/>
      <c r="AA4372" s="25"/>
    </row>
    <row r="4373" spans="1:27" x14ac:dyDescent="0.35">
      <c r="A4373" s="5">
        <v>4369</v>
      </c>
      <c r="B4373" s="5">
        <v>183</v>
      </c>
      <c r="C4373" s="5">
        <v>7</v>
      </c>
      <c r="D4373" s="25">
        <v>1.1416E-4</v>
      </c>
      <c r="E4373" s="25">
        <v>1.1841999999999999E-4</v>
      </c>
      <c r="F4373" s="25">
        <v>1.2470999999999999E-4</v>
      </c>
      <c r="G4373" s="25">
        <v>5.6140000000000001E-5</v>
      </c>
      <c r="H4373" s="25">
        <v>6.6920000000000003E-5</v>
      </c>
      <c r="I4373" s="9">
        <v>9.8900000000000005E-5</v>
      </c>
      <c r="J4373" s="9">
        <v>9.5840000000000004E-5</v>
      </c>
      <c r="K4373" s="9">
        <v>4.4509999999999999E-5</v>
      </c>
      <c r="L4373" s="9">
        <v>8.0340000000000007E-5</v>
      </c>
      <c r="M4373" s="9">
        <v>7.8170000000000005E-5</v>
      </c>
      <c r="N4373" s="9">
        <v>8.119E-5</v>
      </c>
      <c r="O4373" s="9">
        <v>5.4429999999999999E-5</v>
      </c>
      <c r="P4373" s="9">
        <v>5.384E-5</v>
      </c>
      <c r="Q4373" s="9">
        <v>5.342E-5</v>
      </c>
      <c r="R4373" s="10">
        <v>2.0314611095803976E-4</v>
      </c>
      <c r="S4373" s="10">
        <v>1.8911670315119585E-4</v>
      </c>
      <c r="T4373" s="10">
        <v>0</v>
      </c>
      <c r="U4373" s="10">
        <v>8.0619999999999997E-5</v>
      </c>
      <c r="V4373" s="25"/>
      <c r="W4373" s="25"/>
      <c r="X4373" s="25"/>
      <c r="Y4373" s="25"/>
      <c r="Z4373" s="25"/>
      <c r="AA4373" s="25"/>
    </row>
    <row r="4374" spans="1:27" x14ac:dyDescent="0.35">
      <c r="A4374" s="5">
        <v>4370</v>
      </c>
      <c r="B4374" s="5">
        <v>183</v>
      </c>
      <c r="C4374" s="5">
        <v>7</v>
      </c>
      <c r="D4374" s="25">
        <v>1.1415000000000001E-4</v>
      </c>
      <c r="E4374" s="25">
        <v>1.1298000000000001E-4</v>
      </c>
      <c r="F4374" s="25">
        <v>1.2208999999999999E-4</v>
      </c>
      <c r="G4374" s="25">
        <v>5.6480000000000001E-5</v>
      </c>
      <c r="H4374" s="25">
        <v>7.0099999999999996E-5</v>
      </c>
      <c r="I4374" s="9">
        <v>9.5879999999999997E-5</v>
      </c>
      <c r="J4374" s="9">
        <v>9.3259999999999998E-5</v>
      </c>
      <c r="K4374" s="9">
        <v>3.18E-5</v>
      </c>
      <c r="L4374" s="9">
        <v>6.0279999999999999E-5</v>
      </c>
      <c r="M4374" s="9">
        <v>6.7269999999999998E-5</v>
      </c>
      <c r="N4374" s="9">
        <v>7.2039999999999995E-5</v>
      </c>
      <c r="O4374" s="9">
        <v>1.9340000000000001E-5</v>
      </c>
      <c r="P4374" s="9">
        <v>3.7849999999999998E-5</v>
      </c>
      <c r="Q4374" s="9">
        <v>5.6329999999999998E-5</v>
      </c>
      <c r="R4374" s="10">
        <v>1.9836785387437766E-4</v>
      </c>
      <c r="S4374" s="10">
        <v>1.8915874827032727E-4</v>
      </c>
      <c r="T4374" s="10">
        <v>0</v>
      </c>
      <c r="U4374" s="10">
        <v>8.0619999999999997E-5</v>
      </c>
      <c r="V4374" s="25"/>
      <c r="W4374" s="25"/>
      <c r="X4374" s="25"/>
      <c r="Y4374" s="25"/>
      <c r="Z4374" s="25"/>
      <c r="AA4374" s="25"/>
    </row>
    <row r="4375" spans="1:27" x14ac:dyDescent="0.35">
      <c r="A4375" s="5">
        <v>4371</v>
      </c>
      <c r="B4375" s="5">
        <v>183</v>
      </c>
      <c r="C4375" s="5">
        <v>7</v>
      </c>
      <c r="D4375" s="25">
        <v>1.1416E-4</v>
      </c>
      <c r="E4375" s="25">
        <v>1.1124E-4</v>
      </c>
      <c r="F4375" s="25">
        <v>1.2233E-4</v>
      </c>
      <c r="G4375" s="25">
        <v>6.3219999999999994E-5</v>
      </c>
      <c r="H4375" s="25">
        <v>6.6400000000000001E-5</v>
      </c>
      <c r="I4375" s="9">
        <v>9.4030000000000006E-5</v>
      </c>
      <c r="J4375" s="9">
        <v>9.2089999999999994E-5</v>
      </c>
      <c r="K4375" s="9">
        <v>2.12E-5</v>
      </c>
      <c r="L4375" s="9">
        <v>2.8900000000000001E-5</v>
      </c>
      <c r="M4375" s="9">
        <v>5.401E-5</v>
      </c>
      <c r="N4375" s="9">
        <v>6.5519999999999996E-5</v>
      </c>
      <c r="O4375" s="9">
        <v>1.3879999999999999E-5</v>
      </c>
      <c r="P4375" s="9">
        <v>3.7769999999999999E-5</v>
      </c>
      <c r="Q4375" s="9">
        <v>6.156E-5</v>
      </c>
      <c r="R4375" s="10">
        <v>1.9486382521788028E-4</v>
      </c>
      <c r="S4375" s="10">
        <v>1.8663555406392651E-4</v>
      </c>
      <c r="T4375" s="10">
        <v>0</v>
      </c>
      <c r="U4375" s="10">
        <v>8.0619999999999997E-5</v>
      </c>
      <c r="V4375" s="25"/>
      <c r="W4375" s="25"/>
      <c r="X4375" s="25"/>
      <c r="Y4375" s="25"/>
      <c r="Z4375" s="25"/>
      <c r="AA4375" s="25"/>
    </row>
    <row r="4376" spans="1:27" x14ac:dyDescent="0.35">
      <c r="A4376" s="5">
        <v>4372</v>
      </c>
      <c r="B4376" s="5">
        <v>183</v>
      </c>
      <c r="C4376" s="5">
        <v>7</v>
      </c>
      <c r="D4376" s="25">
        <v>1.1415000000000001E-4</v>
      </c>
      <c r="E4376" s="25">
        <v>1.2051E-4</v>
      </c>
      <c r="F4376" s="25">
        <v>1.2781000000000001E-4</v>
      </c>
      <c r="G4376" s="25">
        <v>5.8770000000000001E-5</v>
      </c>
      <c r="H4376" s="25">
        <v>7.6279999999999995E-5</v>
      </c>
      <c r="I4376" s="9">
        <v>9.4980000000000002E-5</v>
      </c>
      <c r="J4376" s="9">
        <v>9.221E-5</v>
      </c>
      <c r="K4376" s="9">
        <v>2.12E-6</v>
      </c>
      <c r="L4376" s="9">
        <v>1.8029999999999998E-5</v>
      </c>
      <c r="M4376" s="9">
        <v>4.4969999999999998E-5</v>
      </c>
      <c r="N4376" s="9">
        <v>6.1940000000000007E-5</v>
      </c>
      <c r="O4376" s="9">
        <v>1.382E-5</v>
      </c>
      <c r="P4376" s="9">
        <v>4.6999999999999997E-5</v>
      </c>
      <c r="Q4376" s="9">
        <v>7.9939999999999997E-5</v>
      </c>
      <c r="R4376" s="10">
        <v>1.8379719281709617E-4</v>
      </c>
      <c r="S4376" s="10">
        <v>1.8625977415220575E-4</v>
      </c>
      <c r="T4376" s="10">
        <v>0</v>
      </c>
      <c r="U4376" s="10">
        <v>8.0619999999999997E-5</v>
      </c>
      <c r="V4376" s="25"/>
      <c r="W4376" s="25"/>
      <c r="X4376" s="25"/>
      <c r="Y4376" s="25"/>
      <c r="Z4376" s="25"/>
      <c r="AA4376" s="25"/>
    </row>
    <row r="4377" spans="1:27" x14ac:dyDescent="0.35">
      <c r="A4377" s="5">
        <v>4373</v>
      </c>
      <c r="B4377" s="5">
        <v>183</v>
      </c>
      <c r="C4377" s="5">
        <v>7</v>
      </c>
      <c r="D4377" s="25">
        <v>1.1416E-4</v>
      </c>
      <c r="E4377" s="25">
        <v>1.204E-4</v>
      </c>
      <c r="F4377" s="25">
        <v>1.139E-4</v>
      </c>
      <c r="G4377" s="25">
        <v>5.6709999999999997E-5</v>
      </c>
      <c r="H4377" s="25">
        <v>7.0580000000000005E-5</v>
      </c>
      <c r="I4377" s="9">
        <v>9.7860000000000002E-5</v>
      </c>
      <c r="J4377" s="9">
        <v>9.3579999999999995E-5</v>
      </c>
      <c r="K4377" s="9">
        <v>0</v>
      </c>
      <c r="L4377" s="9">
        <v>1.4919999999999999E-5</v>
      </c>
      <c r="M4377" s="9">
        <v>4.3699999999999998E-5</v>
      </c>
      <c r="N4377" s="9">
        <v>6.4380000000000004E-5</v>
      </c>
      <c r="O4377" s="9">
        <v>1.948E-5</v>
      </c>
      <c r="P4377" s="9">
        <v>5.719E-5</v>
      </c>
      <c r="Q4377" s="9">
        <v>9.4569999999999997E-5</v>
      </c>
      <c r="R4377" s="10">
        <v>1.6689556446812515E-4</v>
      </c>
      <c r="S4377" s="10">
        <v>1.8382310599085615E-4</v>
      </c>
      <c r="T4377" s="10">
        <v>7.1013585560692859E-6</v>
      </c>
      <c r="U4377" s="10">
        <v>8.0619999999999997E-5</v>
      </c>
      <c r="V4377" s="25"/>
      <c r="W4377" s="25"/>
      <c r="X4377" s="25"/>
      <c r="Y4377" s="25"/>
      <c r="Z4377" s="25"/>
      <c r="AA4377" s="25"/>
    </row>
    <row r="4378" spans="1:27" x14ac:dyDescent="0.35">
      <c r="A4378" s="5">
        <v>4374</v>
      </c>
      <c r="B4378" s="5">
        <v>183</v>
      </c>
      <c r="C4378" s="5">
        <v>7</v>
      </c>
      <c r="D4378" s="25">
        <v>1.1415000000000001E-4</v>
      </c>
      <c r="E4378" s="25">
        <v>1.1724E-4</v>
      </c>
      <c r="F4378" s="25">
        <v>1.3221000000000001E-4</v>
      </c>
      <c r="G4378" s="25">
        <v>1.0543999999999999E-4</v>
      </c>
      <c r="H4378" s="25">
        <v>1.2920999999999999E-4</v>
      </c>
      <c r="I4378" s="9">
        <v>1.0596E-4</v>
      </c>
      <c r="J4378" s="9">
        <v>1.0123E-4</v>
      </c>
      <c r="K4378" s="9">
        <v>0</v>
      </c>
      <c r="L4378" s="9">
        <v>1.8349999999999999E-5</v>
      </c>
      <c r="M4378" s="9">
        <v>4.8609999999999997E-5</v>
      </c>
      <c r="N4378" s="9">
        <v>7.114E-5</v>
      </c>
      <c r="O4378" s="9">
        <v>4.6780000000000003E-5</v>
      </c>
      <c r="P4378" s="9">
        <v>7.7509999999999995E-5</v>
      </c>
      <c r="Q4378" s="9">
        <v>1.0793000000000001E-4</v>
      </c>
      <c r="R4378" s="10">
        <v>1.5042739778700585E-4</v>
      </c>
      <c r="S4378" s="10">
        <v>1.7458655604909464E-4</v>
      </c>
      <c r="T4378" s="10">
        <v>4.175972140140147E-5</v>
      </c>
      <c r="U4378" s="10">
        <v>8.0619999999999997E-5</v>
      </c>
      <c r="V4378" s="25"/>
      <c r="W4378" s="25"/>
      <c r="X4378" s="25"/>
      <c r="Y4378" s="25"/>
      <c r="Z4378" s="25"/>
      <c r="AA4378" s="25"/>
    </row>
    <row r="4379" spans="1:27" x14ac:dyDescent="0.35">
      <c r="A4379" s="5">
        <v>4375</v>
      </c>
      <c r="B4379" s="5">
        <v>183</v>
      </c>
      <c r="C4379" s="5">
        <v>7</v>
      </c>
      <c r="D4379" s="25">
        <v>1.1416E-4</v>
      </c>
      <c r="E4379" s="25">
        <v>1.1548E-4</v>
      </c>
      <c r="F4379" s="25">
        <v>1.2441000000000001E-4</v>
      </c>
      <c r="G4379" s="25">
        <v>1.0412999999999999E-4</v>
      </c>
      <c r="H4379" s="25">
        <v>1.3270999999999999E-4</v>
      </c>
      <c r="I4379" s="9">
        <v>1.16E-4</v>
      </c>
      <c r="J4379" s="9">
        <v>1.1607000000000001E-4</v>
      </c>
      <c r="K4379" s="9">
        <v>0</v>
      </c>
      <c r="L4379" s="9">
        <v>4.0380000000000003E-5</v>
      </c>
      <c r="M4379" s="9">
        <v>6.0399999999999998E-5</v>
      </c>
      <c r="N4379" s="9">
        <v>8.1039999999999997E-5</v>
      </c>
      <c r="O4379" s="9">
        <v>1.2229999999999999E-4</v>
      </c>
      <c r="P4379" s="9">
        <v>1.1735000000000001E-4</v>
      </c>
      <c r="Q4379" s="9">
        <v>1.1242E-4</v>
      </c>
      <c r="R4379" s="10">
        <v>1.2943491359721819E-4</v>
      </c>
      <c r="S4379" s="10">
        <v>1.4596613288740071E-4</v>
      </c>
      <c r="T4379" s="10">
        <v>1.5399851750443682E-4</v>
      </c>
      <c r="U4379" s="10">
        <v>8.0619999999999997E-5</v>
      </c>
      <c r="V4379" s="25"/>
      <c r="W4379" s="25"/>
      <c r="X4379" s="25"/>
      <c r="Y4379" s="25"/>
      <c r="Z4379" s="25"/>
      <c r="AA4379" s="25"/>
    </row>
    <row r="4380" spans="1:27" x14ac:dyDescent="0.35">
      <c r="A4380" s="5">
        <v>4376</v>
      </c>
      <c r="B4380" s="5">
        <v>183</v>
      </c>
      <c r="C4380" s="5">
        <v>7</v>
      </c>
      <c r="D4380" s="25">
        <v>1.1415000000000001E-4</v>
      </c>
      <c r="E4380" s="25">
        <v>1.1744E-4</v>
      </c>
      <c r="F4380" s="25">
        <v>1.2650000000000001E-4</v>
      </c>
      <c r="G4380" s="25">
        <v>1.6661000000000001E-4</v>
      </c>
      <c r="H4380" s="25">
        <v>1.9251000000000001E-4</v>
      </c>
      <c r="I4380" s="9">
        <v>1.2354999999999999E-4</v>
      </c>
      <c r="J4380" s="9">
        <v>1.2837999999999999E-4</v>
      </c>
      <c r="K4380" s="9">
        <v>0</v>
      </c>
      <c r="L4380" s="9">
        <v>1.0367E-4</v>
      </c>
      <c r="M4380" s="9">
        <v>8.3960000000000003E-5</v>
      </c>
      <c r="N4380" s="9">
        <v>9.111E-5</v>
      </c>
      <c r="O4380" s="9">
        <v>2.1562999999999999E-4</v>
      </c>
      <c r="P4380" s="9">
        <v>1.7545000000000001E-4</v>
      </c>
      <c r="Q4380" s="9">
        <v>1.3553999999999999E-4</v>
      </c>
      <c r="R4380" s="10">
        <v>1.1102312568681047E-4</v>
      </c>
      <c r="S4380" s="10">
        <v>1.2905739854928322E-4</v>
      </c>
      <c r="T4380" s="10">
        <v>3.1292641293130644E-4</v>
      </c>
      <c r="U4380" s="10">
        <v>8.0619999999999997E-5</v>
      </c>
      <c r="V4380" s="25"/>
      <c r="W4380" s="25"/>
      <c r="X4380" s="25"/>
      <c r="Y4380" s="25"/>
      <c r="Z4380" s="25"/>
      <c r="AA4380" s="25"/>
    </row>
    <row r="4381" spans="1:27" x14ac:dyDescent="0.35">
      <c r="A4381" s="5">
        <v>4377</v>
      </c>
      <c r="B4381" s="5">
        <v>183</v>
      </c>
      <c r="C4381" s="5">
        <v>7</v>
      </c>
      <c r="D4381" s="25">
        <v>1.1416E-4</v>
      </c>
      <c r="E4381" s="25">
        <v>1.1433E-4</v>
      </c>
      <c r="F4381" s="25">
        <v>1.3478000000000001E-4</v>
      </c>
      <c r="G4381" s="25">
        <v>1.604E-4</v>
      </c>
      <c r="H4381" s="25">
        <v>1.9472000000000001E-4</v>
      </c>
      <c r="I4381" s="9">
        <v>1.2825E-4</v>
      </c>
      <c r="J4381" s="9">
        <v>1.3391999999999999E-4</v>
      </c>
      <c r="K4381" s="9">
        <v>0</v>
      </c>
      <c r="L4381" s="9">
        <v>1.8927000000000001E-4</v>
      </c>
      <c r="M4381" s="9">
        <v>1.2297999999999999E-4</v>
      </c>
      <c r="N4381" s="9">
        <v>1.0457E-4</v>
      </c>
      <c r="O4381" s="9">
        <v>2.0746999999999999E-4</v>
      </c>
      <c r="P4381" s="9">
        <v>1.9144E-4</v>
      </c>
      <c r="Q4381" s="9">
        <v>1.7532999999999999E-4</v>
      </c>
      <c r="R4381" s="10">
        <v>7.6858760552430484E-5</v>
      </c>
      <c r="S4381" s="10">
        <v>1.2050231428695233E-4</v>
      </c>
      <c r="T4381" s="10">
        <v>4.5224709255999669E-4</v>
      </c>
      <c r="U4381" s="10">
        <v>8.0619999999999997E-5</v>
      </c>
      <c r="V4381" s="25"/>
      <c r="W4381" s="25"/>
      <c r="X4381" s="25"/>
      <c r="Y4381" s="25"/>
      <c r="Z4381" s="25"/>
      <c r="AA4381" s="25"/>
    </row>
    <row r="4382" spans="1:27" x14ac:dyDescent="0.35">
      <c r="A4382" s="5">
        <v>4378</v>
      </c>
      <c r="B4382" s="5">
        <v>183</v>
      </c>
      <c r="C4382" s="5">
        <v>7</v>
      </c>
      <c r="D4382" s="25">
        <v>1.1415000000000001E-4</v>
      </c>
      <c r="E4382" s="25">
        <v>1.1858000000000001E-4</v>
      </c>
      <c r="F4382" s="25">
        <v>1.3197E-4</v>
      </c>
      <c r="G4382" s="25">
        <v>1.5809999999999999E-4</v>
      </c>
      <c r="H4382" s="25">
        <v>1.9385999999999999E-4</v>
      </c>
      <c r="I4382" s="9">
        <v>1.2951E-4</v>
      </c>
      <c r="J4382" s="9">
        <v>1.3542E-4</v>
      </c>
      <c r="K4382" s="9">
        <v>0</v>
      </c>
      <c r="L4382" s="9">
        <v>2.0122E-4</v>
      </c>
      <c r="M4382" s="9">
        <v>1.5750000000000001E-4</v>
      </c>
      <c r="N4382" s="9">
        <v>1.2422E-4</v>
      </c>
      <c r="O4382" s="9">
        <v>1.6495999999999999E-4</v>
      </c>
      <c r="P4382" s="9">
        <v>1.7326E-4</v>
      </c>
      <c r="Q4382" s="9">
        <v>1.8122E-4</v>
      </c>
      <c r="R4382" s="10">
        <v>4.8640713478439763E-5</v>
      </c>
      <c r="S4382" s="10">
        <v>1.1599732907262135E-4</v>
      </c>
      <c r="T4382" s="10">
        <v>5.7202843078530882E-4</v>
      </c>
      <c r="U4382" s="10">
        <v>8.0619999999999997E-5</v>
      </c>
      <c r="V4382" s="25"/>
      <c r="W4382" s="25"/>
      <c r="X4382" s="25"/>
      <c r="Y4382" s="25"/>
      <c r="Z4382" s="25"/>
      <c r="AA4382" s="25"/>
    </row>
    <row r="4383" spans="1:27" x14ac:dyDescent="0.35">
      <c r="A4383" s="5">
        <v>4379</v>
      </c>
      <c r="B4383" s="5">
        <v>183</v>
      </c>
      <c r="C4383" s="5">
        <v>7</v>
      </c>
      <c r="D4383" s="25">
        <v>1.1416E-4</v>
      </c>
      <c r="E4383" s="25">
        <v>1.1089E-4</v>
      </c>
      <c r="F4383" s="25">
        <v>1.2181E-4</v>
      </c>
      <c r="G4383" s="25">
        <v>1.6025999999999999E-4</v>
      </c>
      <c r="H4383" s="25">
        <v>1.9127E-4</v>
      </c>
      <c r="I4383" s="9">
        <v>1.3108999999999999E-4</v>
      </c>
      <c r="J4383" s="9">
        <v>1.3626E-4</v>
      </c>
      <c r="K4383" s="9">
        <v>0</v>
      </c>
      <c r="L4383" s="9">
        <v>1.7301999999999999E-4</v>
      </c>
      <c r="M4383" s="9">
        <v>1.7117E-4</v>
      </c>
      <c r="N4383" s="9">
        <v>1.4207E-4</v>
      </c>
      <c r="O4383" s="9">
        <v>1.6707000000000001E-4</v>
      </c>
      <c r="P4383" s="9">
        <v>1.7411E-4</v>
      </c>
      <c r="Q4383" s="9">
        <v>1.8084000000000001E-4</v>
      </c>
      <c r="R4383" s="10">
        <v>3.9164766006160852E-5</v>
      </c>
      <c r="S4383" s="10">
        <v>1.1122768855304617E-4</v>
      </c>
      <c r="T4383" s="10">
        <v>6.4319473373430414E-4</v>
      </c>
      <c r="U4383" s="10">
        <v>8.0619999999999997E-5</v>
      </c>
      <c r="V4383" s="25"/>
      <c r="W4383" s="25"/>
      <c r="X4383" s="25"/>
      <c r="Y4383" s="25"/>
      <c r="Z4383" s="25"/>
      <c r="AA4383" s="25"/>
    </row>
    <row r="4384" spans="1:27" x14ac:dyDescent="0.35">
      <c r="A4384" s="5">
        <v>4380</v>
      </c>
      <c r="B4384" s="5">
        <v>183</v>
      </c>
      <c r="C4384" s="5">
        <v>7</v>
      </c>
      <c r="D4384" s="25">
        <v>1.1415000000000001E-4</v>
      </c>
      <c r="E4384" s="25">
        <v>1.1701000000000001E-4</v>
      </c>
      <c r="F4384" s="25">
        <v>1.1936E-4</v>
      </c>
      <c r="G4384" s="25">
        <v>1.5671000000000001E-4</v>
      </c>
      <c r="H4384" s="25">
        <v>1.9982999999999999E-4</v>
      </c>
      <c r="I4384" s="9">
        <v>1.2961E-4</v>
      </c>
      <c r="J4384" s="9">
        <v>1.3456000000000001E-4</v>
      </c>
      <c r="K4384" s="9">
        <v>0</v>
      </c>
      <c r="L4384" s="9">
        <v>1.6974000000000001E-4</v>
      </c>
      <c r="M4384" s="9">
        <v>1.7456000000000001E-4</v>
      </c>
      <c r="N4384" s="9">
        <v>1.5644000000000001E-4</v>
      </c>
      <c r="O4384" s="9">
        <v>1.6805999999999999E-4</v>
      </c>
      <c r="P4384" s="9">
        <v>1.7097999999999999E-4</v>
      </c>
      <c r="Q4384" s="9">
        <v>1.7364999999999999E-4</v>
      </c>
      <c r="R4384" s="10">
        <v>2.5367860406883883E-5</v>
      </c>
      <c r="S4384" s="10">
        <v>9.4257494820001422E-5</v>
      </c>
      <c r="T4384" s="10">
        <v>6.581949749853562E-4</v>
      </c>
      <c r="U4384" s="10">
        <v>8.0619999999999997E-5</v>
      </c>
      <c r="V4384" s="25"/>
      <c r="W4384" s="25"/>
      <c r="X4384" s="25"/>
      <c r="Y4384" s="25"/>
      <c r="Z4384" s="25"/>
      <c r="AA4384" s="25"/>
    </row>
    <row r="4385" spans="1:27" x14ac:dyDescent="0.35">
      <c r="A4385" s="5">
        <v>4381</v>
      </c>
      <c r="B4385" s="5">
        <v>183</v>
      </c>
      <c r="C4385" s="5">
        <v>7</v>
      </c>
      <c r="D4385" s="25">
        <v>1.1416E-4</v>
      </c>
      <c r="E4385" s="25">
        <v>1.1349999999999999E-4</v>
      </c>
      <c r="F4385" s="25">
        <v>1.316E-4</v>
      </c>
      <c r="G4385" s="25">
        <v>1.5909999999999999E-4</v>
      </c>
      <c r="H4385" s="25">
        <v>1.8929999999999999E-4</v>
      </c>
      <c r="I4385" s="9">
        <v>1.2726999999999999E-4</v>
      </c>
      <c r="J4385" s="9">
        <v>1.3357000000000001E-4</v>
      </c>
      <c r="K4385" s="9">
        <v>0</v>
      </c>
      <c r="L4385" s="9">
        <v>1.6855E-4</v>
      </c>
      <c r="M4385" s="9">
        <v>1.7368E-4</v>
      </c>
      <c r="N4385" s="9">
        <v>1.6585999999999999E-4</v>
      </c>
      <c r="O4385" s="9">
        <v>1.6050999999999999E-4</v>
      </c>
      <c r="P4385" s="9">
        <v>1.6416E-4</v>
      </c>
      <c r="Q4385" s="9">
        <v>1.6756E-4</v>
      </c>
      <c r="R4385" s="10">
        <v>4.4890852674363827E-5</v>
      </c>
      <c r="S4385" s="10">
        <v>7.8423559767047836E-5</v>
      </c>
      <c r="T4385" s="10">
        <v>6.4804775296258574E-4</v>
      </c>
      <c r="U4385" s="10">
        <v>8.0619999999999997E-5</v>
      </c>
      <c r="V4385" s="25"/>
      <c r="W4385" s="25"/>
      <c r="X4385" s="25"/>
      <c r="Y4385" s="25"/>
      <c r="Z4385" s="25"/>
      <c r="AA4385" s="25"/>
    </row>
    <row r="4386" spans="1:27" x14ac:dyDescent="0.35">
      <c r="A4386" s="5">
        <v>4382</v>
      </c>
      <c r="B4386" s="5">
        <v>183</v>
      </c>
      <c r="C4386" s="5">
        <v>7</v>
      </c>
      <c r="D4386" s="25">
        <v>1.1415000000000001E-4</v>
      </c>
      <c r="E4386" s="25">
        <v>1.1484000000000001E-4</v>
      </c>
      <c r="F4386" s="25">
        <v>1.2005E-4</v>
      </c>
      <c r="G4386" s="25">
        <v>1.6339999999999999E-4</v>
      </c>
      <c r="H4386" s="25">
        <v>1.9621999999999999E-4</v>
      </c>
      <c r="I4386" s="9">
        <v>1.2451000000000001E-4</v>
      </c>
      <c r="J4386" s="9">
        <v>1.3239E-4</v>
      </c>
      <c r="K4386" s="9">
        <v>0</v>
      </c>
      <c r="L4386" s="9">
        <v>1.6206E-4</v>
      </c>
      <c r="M4386" s="9">
        <v>1.6996000000000001E-4</v>
      </c>
      <c r="N4386" s="9">
        <v>1.7030999999999999E-4</v>
      </c>
      <c r="O4386" s="9">
        <v>1.7642999999999999E-4</v>
      </c>
      <c r="P4386" s="9">
        <v>1.6852999999999999E-4</v>
      </c>
      <c r="Q4386" s="9">
        <v>1.6051999999999999E-4</v>
      </c>
      <c r="R4386" s="10">
        <v>6.4494872954003405E-5</v>
      </c>
      <c r="S4386" s="10">
        <v>6.6065623510482352E-5</v>
      </c>
      <c r="T4386" s="10">
        <v>4.8850898798250583E-4</v>
      </c>
      <c r="U4386" s="10">
        <v>8.0619999999999997E-5</v>
      </c>
      <c r="V4386" s="25"/>
      <c r="W4386" s="25"/>
      <c r="X4386" s="25"/>
      <c r="Y4386" s="25"/>
      <c r="Z4386" s="25"/>
      <c r="AA4386" s="25"/>
    </row>
    <row r="4387" spans="1:27" x14ac:dyDescent="0.35">
      <c r="A4387" s="5">
        <v>4383</v>
      </c>
      <c r="B4387" s="5">
        <v>183</v>
      </c>
      <c r="C4387" s="5">
        <v>7</v>
      </c>
      <c r="D4387" s="25">
        <v>1.1416E-4</v>
      </c>
      <c r="E4387" s="25">
        <v>1.1615E-4</v>
      </c>
      <c r="F4387" s="25">
        <v>1.1839E-4</v>
      </c>
      <c r="G4387" s="25">
        <v>1.6614000000000001E-4</v>
      </c>
      <c r="H4387" s="25">
        <v>1.8998999999999999E-4</v>
      </c>
      <c r="I4387" s="9">
        <v>1.2179E-4</v>
      </c>
      <c r="J4387" s="9">
        <v>1.3077E-4</v>
      </c>
      <c r="K4387" s="9">
        <v>0</v>
      </c>
      <c r="L4387" s="9">
        <v>1.7343999999999999E-4</v>
      </c>
      <c r="M4387" s="9">
        <v>1.6836999999999999E-4</v>
      </c>
      <c r="N4387" s="9">
        <v>1.6988999999999999E-4</v>
      </c>
      <c r="O4387" s="9">
        <v>1.8225000000000001E-4</v>
      </c>
      <c r="P4387" s="9">
        <v>1.6755000000000001E-4</v>
      </c>
      <c r="Q4387" s="9">
        <v>1.5283000000000001E-4</v>
      </c>
      <c r="R4387" s="10">
        <v>5.9520719756250693E-5</v>
      </c>
      <c r="S4387" s="10">
        <v>7.2329543024848047E-5</v>
      </c>
      <c r="T4387" s="10">
        <v>2.818653930104347E-4</v>
      </c>
      <c r="U4387" s="10">
        <v>8.0619999999999997E-5</v>
      </c>
      <c r="V4387" s="25"/>
      <c r="W4387" s="25"/>
      <c r="X4387" s="25"/>
      <c r="Y4387" s="25"/>
      <c r="Z4387" s="25"/>
      <c r="AA4387" s="25"/>
    </row>
    <row r="4388" spans="1:27" x14ac:dyDescent="0.35">
      <c r="A4388" s="5">
        <v>4384</v>
      </c>
      <c r="B4388" s="5">
        <v>183</v>
      </c>
      <c r="C4388" s="5">
        <v>7</v>
      </c>
      <c r="D4388" s="25">
        <v>1.1415000000000001E-4</v>
      </c>
      <c r="E4388" s="25">
        <v>1.1838E-4</v>
      </c>
      <c r="F4388" s="25">
        <v>1.143E-4</v>
      </c>
      <c r="G4388" s="25">
        <v>1.5955E-4</v>
      </c>
      <c r="H4388" s="25">
        <v>2.0092999999999999E-4</v>
      </c>
      <c r="I4388" s="9">
        <v>1.2042E-4</v>
      </c>
      <c r="J4388" s="9">
        <v>1.2951E-4</v>
      </c>
      <c r="K4388" s="9">
        <v>0</v>
      </c>
      <c r="L4388" s="9">
        <v>1.8001000000000001E-4</v>
      </c>
      <c r="M4388" s="9">
        <v>1.6776000000000001E-4</v>
      </c>
      <c r="N4388" s="9">
        <v>1.6614000000000001E-4</v>
      </c>
      <c r="O4388" s="9">
        <v>1.9474999999999999E-4</v>
      </c>
      <c r="P4388" s="9">
        <v>1.5185E-4</v>
      </c>
      <c r="Q4388" s="9">
        <v>1.0932E-4</v>
      </c>
      <c r="R4388" s="10">
        <v>6.223546601600766E-5</v>
      </c>
      <c r="S4388" s="10">
        <v>6.9139817208324804E-5</v>
      </c>
      <c r="T4388" s="10">
        <v>3.804614357584409E-4</v>
      </c>
      <c r="U4388" s="10">
        <v>8.0619999999999997E-5</v>
      </c>
      <c r="V4388" s="25"/>
      <c r="W4388" s="25"/>
      <c r="X4388" s="25"/>
      <c r="Y4388" s="25"/>
      <c r="Z4388" s="25"/>
      <c r="AA4388" s="25"/>
    </row>
    <row r="4389" spans="1:27" x14ac:dyDescent="0.35">
      <c r="A4389" s="5">
        <v>4385</v>
      </c>
      <c r="B4389" s="5">
        <v>183</v>
      </c>
      <c r="C4389" s="5">
        <v>7</v>
      </c>
      <c r="D4389" s="25">
        <v>1.1416E-4</v>
      </c>
      <c r="E4389" s="25">
        <v>1.1332000000000001E-4</v>
      </c>
      <c r="F4389" s="25">
        <v>1.2511E-4</v>
      </c>
      <c r="G4389" s="25">
        <v>1.5885000000000001E-4</v>
      </c>
      <c r="H4389" s="25">
        <v>2.0199000000000001E-4</v>
      </c>
      <c r="I4389" s="9">
        <v>1.2078000000000001E-4</v>
      </c>
      <c r="J4389" s="9">
        <v>1.2988E-4</v>
      </c>
      <c r="K4389" s="9">
        <v>0</v>
      </c>
      <c r="L4389" s="9">
        <v>1.9127E-4</v>
      </c>
      <c r="M4389" s="9">
        <v>1.6197999999999999E-4</v>
      </c>
      <c r="N4389" s="9">
        <v>1.5233E-4</v>
      </c>
      <c r="O4389" s="9">
        <v>2.1236000000000001E-4</v>
      </c>
      <c r="P4389" s="9">
        <v>1.5962999999999999E-4</v>
      </c>
      <c r="Q4389" s="9">
        <v>1.0737E-4</v>
      </c>
      <c r="R4389" s="10">
        <v>6.7794209301363603E-5</v>
      </c>
      <c r="S4389" s="10">
        <v>3.1179449549744755E-5</v>
      </c>
      <c r="T4389" s="10">
        <v>1.1179761253682794E-4</v>
      </c>
      <c r="U4389" s="10">
        <v>8.0619999999999997E-5</v>
      </c>
      <c r="V4389" s="25"/>
      <c r="W4389" s="25"/>
      <c r="X4389" s="25"/>
      <c r="Y4389" s="25"/>
      <c r="Z4389" s="25"/>
      <c r="AA4389" s="25"/>
    </row>
    <row r="4390" spans="1:27" x14ac:dyDescent="0.35">
      <c r="A4390" s="5">
        <v>4386</v>
      </c>
      <c r="B4390" s="5">
        <v>183</v>
      </c>
      <c r="C4390" s="5">
        <v>7</v>
      </c>
      <c r="D4390" s="25">
        <v>1.1415000000000001E-4</v>
      </c>
      <c r="E4390" s="25">
        <v>1.1629999999999999E-4</v>
      </c>
      <c r="F4390" s="25">
        <v>1.2883E-4</v>
      </c>
      <c r="G4390" s="25">
        <v>1.6454999999999999E-4</v>
      </c>
      <c r="H4390" s="25">
        <v>2.0217E-4</v>
      </c>
      <c r="I4390" s="9">
        <v>1.1718E-4</v>
      </c>
      <c r="J4390" s="9">
        <v>1.2603000000000001E-4</v>
      </c>
      <c r="K4390" s="9">
        <v>0</v>
      </c>
      <c r="L4390" s="9">
        <v>2.075E-4</v>
      </c>
      <c r="M4390" s="9">
        <v>1.5953000000000001E-4</v>
      </c>
      <c r="N4390" s="9">
        <v>1.3905999999999999E-4</v>
      </c>
      <c r="O4390" s="9">
        <v>2.0437999999999999E-4</v>
      </c>
      <c r="P4390" s="9">
        <v>1.6112E-4</v>
      </c>
      <c r="Q4390" s="9">
        <v>1.1820999999999999E-4</v>
      </c>
      <c r="R4390" s="10">
        <v>8.3039192811840145E-5</v>
      </c>
      <c r="S4390" s="10">
        <v>9.5276352326953115E-6</v>
      </c>
      <c r="T4390" s="10">
        <v>1.6028538332289242E-4</v>
      </c>
      <c r="U4390" s="10">
        <v>8.0619999999999997E-5</v>
      </c>
      <c r="V4390" s="25"/>
      <c r="W4390" s="25"/>
      <c r="X4390" s="25"/>
      <c r="Y4390" s="25"/>
      <c r="Z4390" s="25"/>
      <c r="AA4390" s="25"/>
    </row>
    <row r="4391" spans="1:27" x14ac:dyDescent="0.35">
      <c r="A4391" s="5">
        <v>4387</v>
      </c>
      <c r="B4391" s="5">
        <v>183</v>
      </c>
      <c r="C4391" s="5">
        <v>7</v>
      </c>
      <c r="D4391" s="25">
        <v>1.1416E-4</v>
      </c>
      <c r="E4391" s="25">
        <v>1.1388E-4</v>
      </c>
      <c r="F4391" s="25">
        <v>1.3019E-4</v>
      </c>
      <c r="G4391" s="25">
        <v>1.0776E-4</v>
      </c>
      <c r="H4391" s="25">
        <v>1.3668E-4</v>
      </c>
      <c r="I4391" s="9">
        <v>1.1377E-4</v>
      </c>
      <c r="J4391" s="9">
        <v>1.2240999999999999E-4</v>
      </c>
      <c r="K4391" s="9">
        <v>0</v>
      </c>
      <c r="L4391" s="9">
        <v>2.0464999999999999E-4</v>
      </c>
      <c r="M4391" s="9">
        <v>1.5962999999999999E-4</v>
      </c>
      <c r="N4391" s="9">
        <v>1.3011000000000001E-4</v>
      </c>
      <c r="O4391" s="9">
        <v>1.6285E-4</v>
      </c>
      <c r="P4391" s="9">
        <v>1.348E-4</v>
      </c>
      <c r="Q4391" s="9">
        <v>1.0699E-4</v>
      </c>
      <c r="R4391" s="10">
        <v>1.0372748328746589E-4</v>
      </c>
      <c r="S4391" s="10">
        <v>1.9056353271586831E-5</v>
      </c>
      <c r="T4391" s="10">
        <v>5.6030312908341183E-5</v>
      </c>
      <c r="U4391" s="10">
        <v>8.0619999999999997E-5</v>
      </c>
      <c r="V4391" s="25"/>
      <c r="W4391" s="25"/>
      <c r="X4391" s="25"/>
      <c r="Y4391" s="25"/>
      <c r="Z4391" s="25"/>
      <c r="AA4391" s="25"/>
    </row>
    <row r="4392" spans="1:27" x14ac:dyDescent="0.35">
      <c r="A4392" s="5">
        <v>4388</v>
      </c>
      <c r="B4392" s="5">
        <v>183</v>
      </c>
      <c r="C4392" s="5">
        <v>7</v>
      </c>
      <c r="D4392" s="25">
        <v>1.1415000000000001E-4</v>
      </c>
      <c r="E4392" s="25">
        <v>1.1103999999999999E-4</v>
      </c>
      <c r="F4392" s="25">
        <v>1.3422E-4</v>
      </c>
      <c r="G4392" s="25">
        <v>1.1341999999999999E-4</v>
      </c>
      <c r="H4392" s="25">
        <v>1.3923000000000001E-4</v>
      </c>
      <c r="I4392" s="9">
        <v>1.1029E-4</v>
      </c>
      <c r="J4392" s="9">
        <v>1.1923E-4</v>
      </c>
      <c r="K4392" s="9">
        <v>0</v>
      </c>
      <c r="L4392" s="9">
        <v>1.7218999999999999E-4</v>
      </c>
      <c r="M4392" s="9">
        <v>1.5087999999999999E-4</v>
      </c>
      <c r="N4392" s="9">
        <v>1.2099000000000001E-4</v>
      </c>
      <c r="O4392" s="9">
        <v>1.2818000000000001E-4</v>
      </c>
      <c r="P4392" s="9">
        <v>1.1506E-4</v>
      </c>
      <c r="Q4392" s="9">
        <v>1.0207E-4</v>
      </c>
      <c r="R4392" s="10">
        <v>9.5179020212424146E-5</v>
      </c>
      <c r="S4392" s="10">
        <v>3.1278779666221627E-5</v>
      </c>
      <c r="T4392" s="10">
        <v>1.1623490109695247E-5</v>
      </c>
      <c r="U4392" s="10">
        <v>8.0619999999999997E-5</v>
      </c>
      <c r="V4392" s="25"/>
      <c r="W4392" s="25"/>
      <c r="X4392" s="25"/>
      <c r="Y4392" s="25"/>
      <c r="Z4392" s="25"/>
      <c r="AA4392" s="25"/>
    </row>
    <row r="4393" spans="1:27" x14ac:dyDescent="0.35">
      <c r="A4393" s="5">
        <v>4389</v>
      </c>
      <c r="B4393" s="5">
        <v>183</v>
      </c>
      <c r="C4393" s="5">
        <v>7</v>
      </c>
      <c r="D4393" s="25">
        <v>1.1416E-4</v>
      </c>
      <c r="E4393" s="25">
        <v>1.1154000000000001E-4</v>
      </c>
      <c r="F4393" s="25">
        <v>1.2516E-4</v>
      </c>
      <c r="G4393" s="25">
        <v>6.037E-5</v>
      </c>
      <c r="H4393" s="25">
        <v>6.3860000000000002E-5</v>
      </c>
      <c r="I4393" s="9">
        <v>1.0613E-4</v>
      </c>
      <c r="J4393" s="9">
        <v>1.1446999999999999E-4</v>
      </c>
      <c r="K4393" s="9">
        <v>0</v>
      </c>
      <c r="L4393" s="9">
        <v>1.3887E-4</v>
      </c>
      <c r="M4393" s="9">
        <v>1.3552E-4</v>
      </c>
      <c r="N4393" s="9">
        <v>1.1334E-4</v>
      </c>
      <c r="O4393" s="9">
        <v>8.3640000000000006E-5</v>
      </c>
      <c r="P4393" s="9">
        <v>8.5599999999999994E-5</v>
      </c>
      <c r="Q4393" s="9">
        <v>8.7579999999999998E-5</v>
      </c>
      <c r="R4393" s="10">
        <v>9.0976947561294475E-5</v>
      </c>
      <c r="S4393" s="10">
        <v>1.3740813592944398E-5</v>
      </c>
      <c r="T4393" s="10">
        <v>0</v>
      </c>
      <c r="U4393" s="10">
        <v>8.0619999999999997E-5</v>
      </c>
      <c r="V4393" s="25"/>
      <c r="W4393" s="25"/>
      <c r="X4393" s="25"/>
      <c r="Y4393" s="25"/>
      <c r="Z4393" s="25"/>
      <c r="AA4393" s="25"/>
    </row>
    <row r="4394" spans="1:27" x14ac:dyDescent="0.35">
      <c r="A4394" s="5">
        <v>4390</v>
      </c>
      <c r="B4394" s="5">
        <v>183</v>
      </c>
      <c r="C4394" s="5">
        <v>7</v>
      </c>
      <c r="D4394" s="25">
        <v>1.1415000000000001E-4</v>
      </c>
      <c r="E4394" s="25">
        <v>1.189E-4</v>
      </c>
      <c r="F4394" s="25">
        <v>1.2E-4</v>
      </c>
      <c r="G4394" s="25">
        <v>5.2899999999999998E-5</v>
      </c>
      <c r="H4394" s="25">
        <v>7.4179999999999998E-5</v>
      </c>
      <c r="I4394" s="9">
        <v>1.0904E-4</v>
      </c>
      <c r="J4394" s="9">
        <v>1.1178E-4</v>
      </c>
      <c r="K4394" s="9">
        <v>0</v>
      </c>
      <c r="L4394" s="9">
        <v>9.6700000000000006E-5</v>
      </c>
      <c r="M4394" s="9">
        <v>1.1359E-4</v>
      </c>
      <c r="N4394" s="9">
        <v>1.0558E-4</v>
      </c>
      <c r="O4394" s="9">
        <v>8.7750000000000005E-5</v>
      </c>
      <c r="P4394" s="9">
        <v>8.8369999999999996E-5</v>
      </c>
      <c r="Q4394" s="9">
        <v>8.9019999999999998E-5</v>
      </c>
      <c r="R4394" s="10">
        <v>8.2371578228075584E-5</v>
      </c>
      <c r="S4394" s="10">
        <v>1.4286463081861967E-5</v>
      </c>
      <c r="T4394" s="10">
        <v>0</v>
      </c>
      <c r="U4394" s="10">
        <v>8.0619999999999997E-5</v>
      </c>
      <c r="V4394" s="25"/>
      <c r="W4394" s="25"/>
      <c r="X4394" s="25"/>
      <c r="Y4394" s="25"/>
      <c r="Z4394" s="25"/>
      <c r="AA4394" s="25"/>
    </row>
    <row r="4395" spans="1:27" x14ac:dyDescent="0.35">
      <c r="A4395" s="5">
        <v>4391</v>
      </c>
      <c r="B4395" s="5">
        <v>183</v>
      </c>
      <c r="C4395" s="5">
        <v>7</v>
      </c>
      <c r="D4395" s="25">
        <v>1.1416E-4</v>
      </c>
      <c r="E4395" s="25">
        <v>1.1218E-4</v>
      </c>
      <c r="F4395" s="25">
        <v>1.1519999999999999E-4</v>
      </c>
      <c r="G4395" s="25">
        <v>5.5890000000000002E-5</v>
      </c>
      <c r="H4395" s="25">
        <v>7.3289999999999998E-5</v>
      </c>
      <c r="I4395" s="9">
        <v>1.0768E-4</v>
      </c>
      <c r="J4395" s="9">
        <v>1.0811000000000001E-4</v>
      </c>
      <c r="K4395" s="9">
        <v>0</v>
      </c>
      <c r="L4395" s="9">
        <v>9.0660000000000003E-5</v>
      </c>
      <c r="M4395" s="9">
        <v>9.9140000000000003E-5</v>
      </c>
      <c r="N4395" s="9">
        <v>9.9920000000000006E-5</v>
      </c>
      <c r="O4395" s="9">
        <v>7.7540000000000006E-5</v>
      </c>
      <c r="P4395" s="9">
        <v>7.2130000000000002E-5</v>
      </c>
      <c r="Q4395" s="9">
        <v>6.6879999999999997E-5</v>
      </c>
      <c r="R4395" s="10">
        <v>8.1903379912736244E-5</v>
      </c>
      <c r="S4395" s="10">
        <v>2.2458316742076073E-5</v>
      </c>
      <c r="T4395" s="10">
        <v>0</v>
      </c>
      <c r="U4395" s="10">
        <v>8.0619999999999997E-5</v>
      </c>
      <c r="V4395" s="25"/>
      <c r="W4395" s="25"/>
      <c r="X4395" s="25"/>
      <c r="Y4395" s="25"/>
      <c r="Z4395" s="25"/>
      <c r="AA4395" s="25"/>
    </row>
    <row r="4396" spans="1:27" x14ac:dyDescent="0.35">
      <c r="A4396" s="5">
        <v>4392</v>
      </c>
      <c r="B4396" s="5">
        <v>183</v>
      </c>
      <c r="C4396" s="5">
        <v>7</v>
      </c>
      <c r="D4396" s="25">
        <v>1.1415000000000001E-4</v>
      </c>
      <c r="E4396" s="25">
        <v>1.2169E-4</v>
      </c>
      <c r="F4396" s="25">
        <v>1.2006999999999999E-4</v>
      </c>
      <c r="G4396" s="25">
        <v>5.3980000000000002E-5</v>
      </c>
      <c r="H4396" s="25">
        <v>7.0350000000000002E-5</v>
      </c>
      <c r="I4396" s="9">
        <v>1.0092E-4</v>
      </c>
      <c r="J4396" s="9">
        <v>1.0049E-4</v>
      </c>
      <c r="K4396" s="9">
        <v>0</v>
      </c>
      <c r="L4396" s="9">
        <v>8.0389999999999994E-5</v>
      </c>
      <c r="M4396" s="9">
        <v>8.6249999999999996E-5</v>
      </c>
      <c r="N4396" s="9">
        <v>9.0630000000000005E-5</v>
      </c>
      <c r="O4396" s="9">
        <v>6.3079999999999999E-5</v>
      </c>
      <c r="P4396" s="9">
        <v>6.109E-5</v>
      </c>
      <c r="Q4396" s="9">
        <v>5.927E-5</v>
      </c>
      <c r="R4396" s="10">
        <v>7.4970395238434871E-5</v>
      </c>
      <c r="S4396" s="10">
        <v>3.7294533474536782E-5</v>
      </c>
      <c r="T4396" s="10">
        <v>0</v>
      </c>
      <c r="U4396" s="10">
        <v>8.0619999999999997E-5</v>
      </c>
      <c r="V4396" s="25"/>
      <c r="W4396" s="25"/>
      <c r="X4396" s="25"/>
      <c r="Y4396" s="25"/>
      <c r="Z4396" s="25"/>
      <c r="AA4396" s="25"/>
    </row>
    <row r="4397" spans="1:27" x14ac:dyDescent="0.35">
      <c r="A4397" s="5">
        <v>4393</v>
      </c>
      <c r="B4397" s="5">
        <v>184</v>
      </c>
      <c r="C4397" s="5">
        <v>7</v>
      </c>
      <c r="D4397" s="25">
        <v>1.1416E-4</v>
      </c>
      <c r="E4397" s="25">
        <v>1.1616999999999999E-4</v>
      </c>
      <c r="F4397" s="25">
        <v>1.0361000000000001E-4</v>
      </c>
      <c r="G4397" s="25">
        <v>6.2959999999999994E-5</v>
      </c>
      <c r="H4397" s="25">
        <v>6.368E-5</v>
      </c>
      <c r="I4397" s="9">
        <v>9.603E-5</v>
      </c>
      <c r="J4397" s="9">
        <v>9.5149999999999995E-5</v>
      </c>
      <c r="K4397" s="9">
        <v>0</v>
      </c>
      <c r="L4397" s="9">
        <v>6.6890000000000005E-5</v>
      </c>
      <c r="M4397" s="9">
        <v>7.4239999999999994E-5</v>
      </c>
      <c r="N4397" s="9">
        <v>8.1299999999999997E-5</v>
      </c>
      <c r="O4397" s="9">
        <v>5.4710000000000003E-5</v>
      </c>
      <c r="P4397" s="9">
        <v>5.4129999999999998E-5</v>
      </c>
      <c r="Q4397" s="9">
        <v>5.3699999999999997E-5</v>
      </c>
      <c r="R4397" s="10">
        <v>7.1137936651263732E-5</v>
      </c>
      <c r="S4397" s="10">
        <v>5.7906387594612165E-5</v>
      </c>
      <c r="T4397" s="10">
        <v>0</v>
      </c>
      <c r="U4397" s="10">
        <v>7.975E-5</v>
      </c>
      <c r="V4397" s="25"/>
      <c r="W4397" s="25"/>
      <c r="X4397" s="25"/>
      <c r="Y4397" s="25"/>
      <c r="Z4397" s="25"/>
      <c r="AA4397" s="25"/>
    </row>
    <row r="4398" spans="1:27" x14ac:dyDescent="0.35">
      <c r="A4398" s="5">
        <v>4394</v>
      </c>
      <c r="B4398" s="5">
        <v>184</v>
      </c>
      <c r="C4398" s="5">
        <v>7</v>
      </c>
      <c r="D4398" s="25">
        <v>1.1415000000000001E-4</v>
      </c>
      <c r="E4398" s="25">
        <v>1.1935E-4</v>
      </c>
      <c r="F4398" s="25">
        <v>1.1068E-4</v>
      </c>
      <c r="G4398" s="25">
        <v>6.1950000000000001E-5</v>
      </c>
      <c r="H4398" s="25">
        <v>7.1550000000000004E-5</v>
      </c>
      <c r="I4398" s="9">
        <v>9.2629999999999999E-5</v>
      </c>
      <c r="J4398" s="9">
        <v>9.1379999999999996E-5</v>
      </c>
      <c r="K4398" s="9">
        <v>0</v>
      </c>
      <c r="L4398" s="9">
        <v>5.7769999999999997E-5</v>
      </c>
      <c r="M4398" s="9">
        <v>6.4140000000000006E-5</v>
      </c>
      <c r="N4398" s="9">
        <v>7.224E-5</v>
      </c>
      <c r="O4398" s="9">
        <v>1.9230000000000001E-5</v>
      </c>
      <c r="P4398" s="9">
        <v>3.7620000000000002E-5</v>
      </c>
      <c r="Q4398" s="9">
        <v>5.5989999999999998E-5</v>
      </c>
      <c r="R4398" s="10">
        <v>6.598787441278227E-5</v>
      </c>
      <c r="S4398" s="10">
        <v>6.8063619915694301E-5</v>
      </c>
      <c r="T4398" s="10">
        <v>0</v>
      </c>
      <c r="U4398" s="10">
        <v>7.975E-5</v>
      </c>
      <c r="V4398" s="25"/>
      <c r="W4398" s="25"/>
      <c r="X4398" s="25"/>
      <c r="Y4398" s="25"/>
      <c r="Z4398" s="25"/>
      <c r="AA4398" s="25"/>
    </row>
    <row r="4399" spans="1:27" x14ac:dyDescent="0.35">
      <c r="A4399" s="5">
        <v>4395</v>
      </c>
      <c r="B4399" s="5">
        <v>184</v>
      </c>
      <c r="C4399" s="5">
        <v>7</v>
      </c>
      <c r="D4399" s="25">
        <v>1.1416E-4</v>
      </c>
      <c r="E4399" s="25">
        <v>1.1997000000000001E-4</v>
      </c>
      <c r="F4399" s="25">
        <v>1.0647E-4</v>
      </c>
      <c r="G4399" s="25">
        <v>5.4660000000000002E-5</v>
      </c>
      <c r="H4399" s="25">
        <v>6.5409999999999999E-5</v>
      </c>
      <c r="I4399" s="9">
        <v>9.0519999999999994E-5</v>
      </c>
      <c r="J4399" s="9">
        <v>8.9250000000000001E-5</v>
      </c>
      <c r="K4399" s="9">
        <v>0</v>
      </c>
      <c r="L4399" s="9">
        <v>2.7909999999999999E-5</v>
      </c>
      <c r="M4399" s="9">
        <v>5.2290000000000002E-5</v>
      </c>
      <c r="N4399" s="9">
        <v>6.5629999999999993E-5</v>
      </c>
      <c r="O4399" s="9">
        <v>1.3869999999999999E-5</v>
      </c>
      <c r="P4399" s="9">
        <v>3.7740000000000001E-5</v>
      </c>
      <c r="Q4399" s="9">
        <v>6.1509999999999999E-5</v>
      </c>
      <c r="R4399" s="10">
        <v>5.3074281074523526E-5</v>
      </c>
      <c r="S4399" s="10">
        <v>5.3229197052725436E-5</v>
      </c>
      <c r="T4399" s="10">
        <v>0</v>
      </c>
      <c r="U4399" s="10">
        <v>7.975E-5</v>
      </c>
      <c r="V4399" s="25"/>
      <c r="W4399" s="25"/>
      <c r="X4399" s="25"/>
      <c r="Y4399" s="25"/>
      <c r="Z4399" s="25"/>
      <c r="AA4399" s="25"/>
    </row>
    <row r="4400" spans="1:27" x14ac:dyDescent="0.35">
      <c r="A4400" s="5">
        <v>4396</v>
      </c>
      <c r="B4400" s="5">
        <v>184</v>
      </c>
      <c r="C4400" s="5">
        <v>7</v>
      </c>
      <c r="D4400" s="25">
        <v>1.1415000000000001E-4</v>
      </c>
      <c r="E4400" s="25">
        <v>1.1137E-4</v>
      </c>
      <c r="F4400" s="25">
        <v>1.008E-4</v>
      </c>
      <c r="G4400" s="25">
        <v>5.6879999999999998E-5</v>
      </c>
      <c r="H4400" s="25">
        <v>6.7319999999999999E-5</v>
      </c>
      <c r="I4400" s="9">
        <v>8.9179999999999997E-5</v>
      </c>
      <c r="J4400" s="9">
        <v>8.8449999999999995E-5</v>
      </c>
      <c r="K4400" s="9">
        <v>0</v>
      </c>
      <c r="L4400" s="9">
        <v>1.77E-5</v>
      </c>
      <c r="M4400" s="9">
        <v>4.422E-5</v>
      </c>
      <c r="N4400" s="9">
        <v>6.1989999999999994E-5</v>
      </c>
      <c r="O4400" s="9">
        <v>1.398E-5</v>
      </c>
      <c r="P4400" s="9">
        <v>4.7549999999999997E-5</v>
      </c>
      <c r="Q4400" s="9">
        <v>8.0870000000000003E-5</v>
      </c>
      <c r="R4400" s="10">
        <v>3.4573724204459201E-5</v>
      </c>
      <c r="S4400" s="10">
        <v>2.9742860338740195E-5</v>
      </c>
      <c r="T4400" s="10">
        <v>0</v>
      </c>
      <c r="U4400" s="10">
        <v>7.975E-5</v>
      </c>
      <c r="V4400" s="25"/>
      <c r="W4400" s="25"/>
      <c r="X4400" s="25"/>
      <c r="Y4400" s="25"/>
      <c r="Z4400" s="25"/>
      <c r="AA4400" s="25"/>
    </row>
    <row r="4401" spans="1:27" x14ac:dyDescent="0.35">
      <c r="A4401" s="5">
        <v>4397</v>
      </c>
      <c r="B4401" s="5">
        <v>184</v>
      </c>
      <c r="C4401" s="5">
        <v>7</v>
      </c>
      <c r="D4401" s="25">
        <v>1.1416E-4</v>
      </c>
      <c r="E4401" s="25">
        <v>1.0916000000000001E-4</v>
      </c>
      <c r="F4401" s="25">
        <v>9.8859999999999999E-5</v>
      </c>
      <c r="G4401" s="25">
        <v>6.2970000000000002E-5</v>
      </c>
      <c r="H4401" s="25">
        <v>7.1909999999999994E-5</v>
      </c>
      <c r="I4401" s="9">
        <v>8.7800000000000006E-5</v>
      </c>
      <c r="J4401" s="9">
        <v>8.7020000000000004E-5</v>
      </c>
      <c r="K4401" s="9">
        <v>0</v>
      </c>
      <c r="L4401" s="9">
        <v>1.504E-5</v>
      </c>
      <c r="M4401" s="9">
        <v>4.3600000000000003E-5</v>
      </c>
      <c r="N4401" s="9">
        <v>6.4610000000000007E-5</v>
      </c>
      <c r="O4401" s="9">
        <v>1.929E-5</v>
      </c>
      <c r="P4401" s="9">
        <v>5.6610000000000002E-5</v>
      </c>
      <c r="Q4401" s="9">
        <v>9.3610000000000007E-5</v>
      </c>
      <c r="R4401" s="10">
        <v>2.5144992739698716E-5</v>
      </c>
      <c r="S4401" s="10">
        <v>2.9096788538818257E-5</v>
      </c>
      <c r="T4401" s="10">
        <v>3.1137378615023036E-6</v>
      </c>
      <c r="U4401" s="10">
        <v>7.975E-5</v>
      </c>
      <c r="V4401" s="25"/>
      <c r="W4401" s="25"/>
      <c r="X4401" s="25"/>
      <c r="Y4401" s="25"/>
      <c r="Z4401" s="25"/>
      <c r="AA4401" s="25"/>
    </row>
    <row r="4402" spans="1:27" x14ac:dyDescent="0.35">
      <c r="A4402" s="5">
        <v>4398</v>
      </c>
      <c r="B4402" s="5">
        <v>184</v>
      </c>
      <c r="C4402" s="5">
        <v>7</v>
      </c>
      <c r="D4402" s="25">
        <v>1.1415000000000001E-4</v>
      </c>
      <c r="E4402" s="25">
        <v>1.1678E-4</v>
      </c>
      <c r="F4402" s="25">
        <v>9.4339999999999995E-5</v>
      </c>
      <c r="G4402" s="25">
        <v>1.0461E-4</v>
      </c>
      <c r="H4402" s="25">
        <v>1.3732999999999999E-4</v>
      </c>
      <c r="I4402" s="9">
        <v>8.8969999999999997E-5</v>
      </c>
      <c r="J4402" s="9">
        <v>8.8759999999999997E-5</v>
      </c>
      <c r="K4402" s="9">
        <v>0</v>
      </c>
      <c r="L4402" s="9">
        <v>1.8219999999999998E-5</v>
      </c>
      <c r="M4402" s="9">
        <v>4.8479999999999997E-5</v>
      </c>
      <c r="N4402" s="9">
        <v>7.1119999999999997E-5</v>
      </c>
      <c r="O4402" s="9">
        <v>4.6310000000000002E-5</v>
      </c>
      <c r="P4402" s="9">
        <v>7.6719999999999997E-5</v>
      </c>
      <c r="Q4402" s="9">
        <v>1.0683000000000001E-4</v>
      </c>
      <c r="R4402" s="10">
        <v>2.0231169706554507E-5</v>
      </c>
      <c r="S4402" s="10">
        <v>4.5259188810995465E-5</v>
      </c>
      <c r="T4402" s="10">
        <v>3.2520319409096266E-5</v>
      </c>
      <c r="U4402" s="10">
        <v>7.975E-5</v>
      </c>
      <c r="V4402" s="25"/>
      <c r="W4402" s="25"/>
      <c r="X4402" s="25"/>
      <c r="Y4402" s="25"/>
      <c r="Z4402" s="25"/>
      <c r="AA4402" s="25"/>
    </row>
    <row r="4403" spans="1:27" x14ac:dyDescent="0.35">
      <c r="A4403" s="5">
        <v>4399</v>
      </c>
      <c r="B4403" s="5">
        <v>184</v>
      </c>
      <c r="C4403" s="5">
        <v>7</v>
      </c>
      <c r="D4403" s="25">
        <v>1.1416E-4</v>
      </c>
      <c r="E4403" s="25">
        <v>1.148E-4</v>
      </c>
      <c r="F4403" s="25">
        <v>9.2390000000000001E-5</v>
      </c>
      <c r="G4403" s="25">
        <v>1.1150999999999999E-4</v>
      </c>
      <c r="H4403" s="25">
        <v>1.3116000000000001E-4</v>
      </c>
      <c r="I4403" s="9">
        <v>9.3739999999999994E-5</v>
      </c>
      <c r="J4403" s="9">
        <v>9.3289999999999996E-5</v>
      </c>
      <c r="K4403" s="9">
        <v>0</v>
      </c>
      <c r="L4403" s="9">
        <v>3.9990000000000002E-5</v>
      </c>
      <c r="M4403" s="9">
        <v>6.0019999999999998E-5</v>
      </c>
      <c r="N4403" s="9">
        <v>8.0749999999999998E-5</v>
      </c>
      <c r="O4403" s="9">
        <v>1.2134E-4</v>
      </c>
      <c r="P4403" s="9">
        <v>1.1642999999999999E-4</v>
      </c>
      <c r="Q4403" s="9">
        <v>1.1153E-4</v>
      </c>
      <c r="R4403" s="10">
        <v>9.3296441563593055E-6</v>
      </c>
      <c r="S4403" s="10">
        <v>4.8292576649925413E-5</v>
      </c>
      <c r="T4403" s="10">
        <v>1.5439727957389351E-4</v>
      </c>
      <c r="U4403" s="10">
        <v>7.975E-5</v>
      </c>
      <c r="V4403" s="25"/>
      <c r="W4403" s="25"/>
      <c r="X4403" s="25"/>
      <c r="Y4403" s="25"/>
      <c r="Z4403" s="25"/>
      <c r="AA4403" s="25"/>
    </row>
    <row r="4404" spans="1:27" x14ac:dyDescent="0.35">
      <c r="A4404" s="5">
        <v>4400</v>
      </c>
      <c r="B4404" s="5">
        <v>184</v>
      </c>
      <c r="C4404" s="5">
        <v>7</v>
      </c>
      <c r="D4404" s="25">
        <v>1.1415000000000001E-4</v>
      </c>
      <c r="E4404" s="25">
        <v>1.1297E-4</v>
      </c>
      <c r="F4404" s="25">
        <v>1.1004E-4</v>
      </c>
      <c r="G4404" s="25">
        <v>1.649E-4</v>
      </c>
      <c r="H4404" s="25">
        <v>1.9202999999999999E-4</v>
      </c>
      <c r="I4404" s="9">
        <v>9.9220000000000002E-5</v>
      </c>
      <c r="J4404" s="9">
        <v>1.0021E-4</v>
      </c>
      <c r="K4404" s="9">
        <v>0</v>
      </c>
      <c r="L4404" s="9">
        <v>1.0283E-4</v>
      </c>
      <c r="M4404" s="9">
        <v>8.3300000000000005E-5</v>
      </c>
      <c r="N4404" s="9">
        <v>9.064E-5</v>
      </c>
      <c r="O4404" s="9">
        <v>2.1725E-4</v>
      </c>
      <c r="P4404" s="9">
        <v>1.7677E-4</v>
      </c>
      <c r="Q4404" s="9">
        <v>1.3655000000000001E-4</v>
      </c>
      <c r="R4404" s="10">
        <v>7.1614149387066986E-6</v>
      </c>
      <c r="S4404" s="10">
        <v>4.2589262779955539E-5</v>
      </c>
      <c r="T4404" s="10">
        <v>3.2160585116650222E-4</v>
      </c>
      <c r="U4404" s="10">
        <v>7.975E-5</v>
      </c>
      <c r="V4404" s="25"/>
      <c r="W4404" s="25"/>
      <c r="X4404" s="25"/>
      <c r="Y4404" s="25"/>
      <c r="Z4404" s="25"/>
      <c r="AA4404" s="25"/>
    </row>
    <row r="4405" spans="1:27" x14ac:dyDescent="0.35">
      <c r="A4405" s="5">
        <v>4401</v>
      </c>
      <c r="B4405" s="5">
        <v>184</v>
      </c>
      <c r="C4405" s="5">
        <v>7</v>
      </c>
      <c r="D4405" s="25">
        <v>1.1416E-4</v>
      </c>
      <c r="E4405" s="25">
        <v>1.1538E-4</v>
      </c>
      <c r="F4405" s="25">
        <v>1.0514E-4</v>
      </c>
      <c r="G4405" s="25">
        <v>1.6636999999999999E-4</v>
      </c>
      <c r="H4405" s="25">
        <v>2.0079000000000001E-4</v>
      </c>
      <c r="I4405" s="9">
        <v>1.0501999999999999E-4</v>
      </c>
      <c r="J4405" s="9">
        <v>1.0698E-4</v>
      </c>
      <c r="K4405" s="9">
        <v>0</v>
      </c>
      <c r="L4405" s="9">
        <v>1.9035999999999999E-4</v>
      </c>
      <c r="M4405" s="9">
        <v>1.2297E-4</v>
      </c>
      <c r="N4405" s="9">
        <v>1.0435E-4</v>
      </c>
      <c r="O4405" s="9">
        <v>2.0885000000000001E-4</v>
      </c>
      <c r="P4405" s="9">
        <v>1.9270999999999999E-4</v>
      </c>
      <c r="Q4405" s="9">
        <v>1.7649000000000001E-4</v>
      </c>
      <c r="R4405" s="10">
        <v>6.310930911222092E-6</v>
      </c>
      <c r="S4405" s="10">
        <v>3.9464660182478279E-5</v>
      </c>
      <c r="T4405" s="10">
        <v>4.6726430240974899E-4</v>
      </c>
      <c r="U4405" s="10">
        <v>7.975E-5</v>
      </c>
      <c r="V4405" s="25"/>
      <c r="W4405" s="25"/>
      <c r="X4405" s="25"/>
      <c r="Y4405" s="25"/>
      <c r="Z4405" s="25"/>
      <c r="AA4405" s="25"/>
    </row>
    <row r="4406" spans="1:27" x14ac:dyDescent="0.35">
      <c r="A4406" s="5">
        <v>4402</v>
      </c>
      <c r="B4406" s="5">
        <v>184</v>
      </c>
      <c r="C4406" s="5">
        <v>7</v>
      </c>
      <c r="D4406" s="25">
        <v>1.1415000000000001E-4</v>
      </c>
      <c r="E4406" s="25">
        <v>1.1327E-4</v>
      </c>
      <c r="F4406" s="25">
        <v>9.7659999999999997E-5</v>
      </c>
      <c r="G4406" s="25">
        <v>1.5734000000000001E-4</v>
      </c>
      <c r="H4406" s="25">
        <v>1.9562E-4</v>
      </c>
      <c r="I4406" s="9">
        <v>1.0958E-4</v>
      </c>
      <c r="J4406" s="9">
        <v>1.0944E-4</v>
      </c>
      <c r="K4406" s="9">
        <v>0</v>
      </c>
      <c r="L4406" s="9">
        <v>2.0248E-4</v>
      </c>
      <c r="M4406" s="9">
        <v>1.5814E-4</v>
      </c>
      <c r="N4406" s="9">
        <v>1.2428E-4</v>
      </c>
      <c r="O4406" s="9">
        <v>1.6452E-4</v>
      </c>
      <c r="P4406" s="9">
        <v>1.7279E-4</v>
      </c>
      <c r="Q4406" s="9">
        <v>1.8074000000000001E-4</v>
      </c>
      <c r="R4406" s="10">
        <v>2.6121942064693915E-6</v>
      </c>
      <c r="S4406" s="10">
        <v>3.7944338423083199E-5</v>
      </c>
      <c r="T4406" s="10">
        <v>5.8169204774512109E-4</v>
      </c>
      <c r="U4406" s="10">
        <v>7.975E-5</v>
      </c>
      <c r="V4406" s="25"/>
      <c r="W4406" s="25"/>
      <c r="X4406" s="25"/>
      <c r="Y4406" s="25"/>
      <c r="Z4406" s="25"/>
      <c r="AA4406" s="25"/>
    </row>
    <row r="4407" spans="1:27" x14ac:dyDescent="0.35">
      <c r="A4407" s="5">
        <v>4403</v>
      </c>
      <c r="B4407" s="5">
        <v>184</v>
      </c>
      <c r="C4407" s="5">
        <v>7</v>
      </c>
      <c r="D4407" s="25">
        <v>1.1416E-4</v>
      </c>
      <c r="E4407" s="25">
        <v>1.1540999999999999E-4</v>
      </c>
      <c r="F4407" s="25">
        <v>9.5829999999999996E-5</v>
      </c>
      <c r="G4407" s="25">
        <v>1.6737999999999999E-4</v>
      </c>
      <c r="H4407" s="25">
        <v>1.9526999999999999E-4</v>
      </c>
      <c r="I4407" s="9">
        <v>1.1115E-4</v>
      </c>
      <c r="J4407" s="9">
        <v>1.0967E-4</v>
      </c>
      <c r="K4407" s="9">
        <v>0</v>
      </c>
      <c r="L4407" s="9">
        <v>1.7294000000000001E-4</v>
      </c>
      <c r="M4407" s="9">
        <v>1.7157000000000001E-4</v>
      </c>
      <c r="N4407" s="9">
        <v>1.4208999999999999E-4</v>
      </c>
      <c r="O4407" s="9">
        <v>1.6503000000000001E-4</v>
      </c>
      <c r="P4407" s="9">
        <v>1.7199000000000001E-4</v>
      </c>
      <c r="Q4407" s="9">
        <v>1.7864000000000001E-4</v>
      </c>
      <c r="R4407" s="10">
        <v>1.0078852575059301E-6</v>
      </c>
      <c r="S4407" s="10">
        <v>3.070491380859359E-5</v>
      </c>
      <c r="T4407" s="10">
        <v>6.6298860411818667E-4</v>
      </c>
      <c r="U4407" s="10">
        <v>7.975E-5</v>
      </c>
      <c r="V4407" s="25"/>
      <c r="W4407" s="25"/>
      <c r="X4407" s="25"/>
      <c r="Y4407" s="25"/>
      <c r="Z4407" s="25"/>
      <c r="AA4407" s="25"/>
    </row>
    <row r="4408" spans="1:27" x14ac:dyDescent="0.35">
      <c r="A4408" s="5">
        <v>4404</v>
      </c>
      <c r="B4408" s="5">
        <v>184</v>
      </c>
      <c r="C4408" s="5">
        <v>7</v>
      </c>
      <c r="D4408" s="25">
        <v>1.1415000000000001E-4</v>
      </c>
      <c r="E4408" s="25">
        <v>1.1768E-4</v>
      </c>
      <c r="F4408" s="25">
        <v>1.0985E-4</v>
      </c>
      <c r="G4408" s="25">
        <v>1.5799999999999999E-4</v>
      </c>
      <c r="H4408" s="25">
        <v>1.9127E-4</v>
      </c>
      <c r="I4408" s="9">
        <v>1.0902E-4</v>
      </c>
      <c r="J4408" s="9">
        <v>1.0857999999999999E-4</v>
      </c>
      <c r="K4408" s="9">
        <v>0</v>
      </c>
      <c r="L4408" s="9">
        <v>1.6819E-4</v>
      </c>
      <c r="M4408" s="9">
        <v>1.7395E-4</v>
      </c>
      <c r="N4408" s="9">
        <v>1.5605E-4</v>
      </c>
      <c r="O4408" s="9">
        <v>1.6969000000000001E-4</v>
      </c>
      <c r="P4408" s="9">
        <v>1.7264E-4</v>
      </c>
      <c r="Q4408" s="9">
        <v>1.7532999999999999E-4</v>
      </c>
      <c r="R4408" s="10">
        <v>1.4518956011516481E-7</v>
      </c>
      <c r="S4408" s="10">
        <v>2.0130554569760667E-5</v>
      </c>
      <c r="T4408" s="10">
        <v>6.8834817487576272E-4</v>
      </c>
      <c r="U4408" s="10">
        <v>7.975E-5</v>
      </c>
      <c r="V4408" s="25"/>
      <c r="W4408" s="25"/>
      <c r="X4408" s="25"/>
      <c r="Y4408" s="25"/>
      <c r="Z4408" s="25"/>
      <c r="AA4408" s="25"/>
    </row>
    <row r="4409" spans="1:27" x14ac:dyDescent="0.35">
      <c r="A4409" s="5">
        <v>4405</v>
      </c>
      <c r="B4409" s="5">
        <v>184</v>
      </c>
      <c r="C4409" s="5">
        <v>7</v>
      </c>
      <c r="D4409" s="25">
        <v>1.1416E-4</v>
      </c>
      <c r="E4409" s="25">
        <v>1.1777000000000001E-4</v>
      </c>
      <c r="F4409" s="25">
        <v>1.104E-4</v>
      </c>
      <c r="G4409" s="25">
        <v>1.618E-4</v>
      </c>
      <c r="H4409" s="25">
        <v>1.8890000000000001E-4</v>
      </c>
      <c r="I4409" s="9">
        <v>1.0645E-4</v>
      </c>
      <c r="J4409" s="9">
        <v>1.0689E-4</v>
      </c>
      <c r="K4409" s="9">
        <v>0</v>
      </c>
      <c r="L4409" s="9">
        <v>1.6951999999999999E-4</v>
      </c>
      <c r="M4409" s="9">
        <v>1.7362000000000001E-4</v>
      </c>
      <c r="N4409" s="9">
        <v>1.6588E-4</v>
      </c>
      <c r="O4409" s="9">
        <v>1.5894999999999999E-4</v>
      </c>
      <c r="P4409" s="9">
        <v>1.6254999999999999E-4</v>
      </c>
      <c r="Q4409" s="9">
        <v>1.6592000000000001E-4</v>
      </c>
      <c r="R4409" s="10">
        <v>1.1848306446965735E-6</v>
      </c>
      <c r="S4409" s="10">
        <v>1.4481435140722649E-5</v>
      </c>
      <c r="T4409" s="10">
        <v>6.9002806614709082E-4</v>
      </c>
      <c r="U4409" s="10">
        <v>7.975E-5</v>
      </c>
      <c r="V4409" s="25"/>
      <c r="W4409" s="25"/>
      <c r="X4409" s="25"/>
      <c r="Y4409" s="25"/>
      <c r="Z4409" s="25"/>
      <c r="AA4409" s="25"/>
    </row>
    <row r="4410" spans="1:27" x14ac:dyDescent="0.35">
      <c r="A4410" s="5">
        <v>4406</v>
      </c>
      <c r="B4410" s="5">
        <v>184</v>
      </c>
      <c r="C4410" s="5">
        <v>7</v>
      </c>
      <c r="D4410" s="25">
        <v>1.1415000000000001E-4</v>
      </c>
      <c r="E4410" s="25">
        <v>1.1017E-4</v>
      </c>
      <c r="F4410" s="25">
        <v>9.6420000000000002E-5</v>
      </c>
      <c r="G4410" s="25">
        <v>1.5737999999999999E-4</v>
      </c>
      <c r="H4410" s="25">
        <v>1.9503000000000001E-4</v>
      </c>
      <c r="I4410" s="9">
        <v>1.0414E-4</v>
      </c>
      <c r="J4410" s="9">
        <v>1.0495E-4</v>
      </c>
      <c r="K4410" s="9">
        <v>0</v>
      </c>
      <c r="L4410" s="9">
        <v>1.6097E-4</v>
      </c>
      <c r="M4410" s="9">
        <v>1.6954000000000001E-4</v>
      </c>
      <c r="N4410" s="9">
        <v>1.6997E-4</v>
      </c>
      <c r="O4410" s="9">
        <v>1.7801000000000001E-4</v>
      </c>
      <c r="P4410" s="9">
        <v>1.7003999999999999E-4</v>
      </c>
      <c r="Q4410" s="9">
        <v>1.6196E-4</v>
      </c>
      <c r="R4410" s="10">
        <v>3.7035295069362745E-6</v>
      </c>
      <c r="S4410" s="10">
        <v>1.197382690500476E-5</v>
      </c>
      <c r="T4410" s="10">
        <v>6.1614678740604979E-4</v>
      </c>
      <c r="U4410" s="10">
        <v>7.975E-5</v>
      </c>
      <c r="V4410" s="25"/>
      <c r="W4410" s="25"/>
      <c r="X4410" s="25"/>
      <c r="Y4410" s="25"/>
      <c r="Z4410" s="25"/>
      <c r="AA4410" s="25"/>
    </row>
    <row r="4411" spans="1:27" x14ac:dyDescent="0.35">
      <c r="A4411" s="5">
        <v>4407</v>
      </c>
      <c r="B4411" s="5">
        <v>184</v>
      </c>
      <c r="C4411" s="5">
        <v>7</v>
      </c>
      <c r="D4411" s="25">
        <v>1.1416E-4</v>
      </c>
      <c r="E4411" s="25">
        <v>1.194E-4</v>
      </c>
      <c r="F4411" s="25">
        <v>9.8490000000000001E-5</v>
      </c>
      <c r="G4411" s="25">
        <v>1.6368E-4</v>
      </c>
      <c r="H4411" s="25">
        <v>1.9552E-4</v>
      </c>
      <c r="I4411" s="9">
        <v>1.0344E-4</v>
      </c>
      <c r="J4411" s="9">
        <v>1.0373E-4</v>
      </c>
      <c r="K4411" s="9">
        <v>0</v>
      </c>
      <c r="L4411" s="9">
        <v>1.7448E-4</v>
      </c>
      <c r="M4411" s="9">
        <v>1.6852999999999999E-4</v>
      </c>
      <c r="N4411" s="9">
        <v>1.6986E-4</v>
      </c>
      <c r="O4411" s="9">
        <v>1.8232E-4</v>
      </c>
      <c r="P4411" s="9">
        <v>1.6761E-4</v>
      </c>
      <c r="Q4411" s="9">
        <v>1.5288000000000001E-4</v>
      </c>
      <c r="R4411" s="10">
        <v>6.9446437447854391E-6</v>
      </c>
      <c r="S4411" s="10">
        <v>1.2897629064645286E-5</v>
      </c>
      <c r="T4411" s="10">
        <v>4.9057067272459051E-4</v>
      </c>
      <c r="U4411" s="10">
        <v>7.975E-5</v>
      </c>
      <c r="V4411" s="25"/>
      <c r="W4411" s="25"/>
      <c r="X4411" s="25"/>
      <c r="Y4411" s="25"/>
      <c r="Z4411" s="25"/>
      <c r="AA4411" s="25"/>
    </row>
    <row r="4412" spans="1:27" x14ac:dyDescent="0.35">
      <c r="A4412" s="5">
        <v>4408</v>
      </c>
      <c r="B4412" s="5">
        <v>184</v>
      </c>
      <c r="C4412" s="5">
        <v>7</v>
      </c>
      <c r="D4412" s="25">
        <v>1.1415000000000001E-4</v>
      </c>
      <c r="E4412" s="25">
        <v>1.1103999999999999E-4</v>
      </c>
      <c r="F4412" s="25">
        <v>1.1161E-4</v>
      </c>
      <c r="G4412" s="25">
        <v>1.5751E-4</v>
      </c>
      <c r="H4412" s="25">
        <v>1.9484999999999999E-4</v>
      </c>
      <c r="I4412" s="9">
        <v>1.0351E-4</v>
      </c>
      <c r="J4412" s="9">
        <v>1.0368E-4</v>
      </c>
      <c r="K4412" s="9">
        <v>0</v>
      </c>
      <c r="L4412" s="9">
        <v>1.8024999999999999E-4</v>
      </c>
      <c r="M4412" s="9">
        <v>1.6804E-4</v>
      </c>
      <c r="N4412" s="9">
        <v>1.6615999999999999E-4</v>
      </c>
      <c r="O4412" s="9">
        <v>1.9468999999999999E-4</v>
      </c>
      <c r="P4412" s="9">
        <v>1.518E-4</v>
      </c>
      <c r="Q4412" s="9">
        <v>1.0929000000000001E-4</v>
      </c>
      <c r="R4412" s="10">
        <v>1.4803506294804101E-5</v>
      </c>
      <c r="S4412" s="10">
        <v>1.8944625998876668E-5</v>
      </c>
      <c r="T4412" s="10">
        <v>3.392192566173981E-4</v>
      </c>
      <c r="U4412" s="10">
        <v>7.975E-5</v>
      </c>
      <c r="V4412" s="25"/>
      <c r="W4412" s="25"/>
      <c r="X4412" s="25"/>
      <c r="Y4412" s="25"/>
      <c r="Z4412" s="25"/>
      <c r="AA4412" s="25"/>
    </row>
    <row r="4413" spans="1:27" x14ac:dyDescent="0.35">
      <c r="A4413" s="5">
        <v>4409</v>
      </c>
      <c r="B4413" s="5">
        <v>184</v>
      </c>
      <c r="C4413" s="5">
        <v>7</v>
      </c>
      <c r="D4413" s="25">
        <v>1.1416E-4</v>
      </c>
      <c r="E4413" s="25">
        <v>1.1087E-4</v>
      </c>
      <c r="F4413" s="25">
        <v>1.0199E-4</v>
      </c>
      <c r="G4413" s="25">
        <v>1.5846999999999999E-4</v>
      </c>
      <c r="H4413" s="25">
        <v>1.9290999999999999E-4</v>
      </c>
      <c r="I4413" s="9">
        <v>1.05E-4</v>
      </c>
      <c r="J4413" s="9">
        <v>1.0586000000000001E-4</v>
      </c>
      <c r="K4413" s="9">
        <v>0</v>
      </c>
      <c r="L4413" s="9">
        <v>1.9128999999999999E-4</v>
      </c>
      <c r="M4413" s="9">
        <v>1.6217E-4</v>
      </c>
      <c r="N4413" s="9">
        <v>1.5241000000000001E-4</v>
      </c>
      <c r="O4413" s="9">
        <v>2.1026000000000001E-4</v>
      </c>
      <c r="P4413" s="9">
        <v>1.5804999999999999E-4</v>
      </c>
      <c r="Q4413" s="9">
        <v>1.0631E-4</v>
      </c>
      <c r="R4413" s="10">
        <v>2.7750877070180145E-5</v>
      </c>
      <c r="S4413" s="10">
        <v>2.9413433220771615E-5</v>
      </c>
      <c r="T4413" s="10">
        <v>3.2946231236473421E-4</v>
      </c>
      <c r="U4413" s="10">
        <v>7.975E-5</v>
      </c>
      <c r="V4413" s="25"/>
      <c r="W4413" s="25"/>
      <c r="X4413" s="25"/>
      <c r="Y4413" s="25"/>
      <c r="Z4413" s="25"/>
      <c r="AA4413" s="25"/>
    </row>
    <row r="4414" spans="1:27" x14ac:dyDescent="0.35">
      <c r="A4414" s="5">
        <v>4410</v>
      </c>
      <c r="B4414" s="5">
        <v>184</v>
      </c>
      <c r="C4414" s="5">
        <v>7</v>
      </c>
      <c r="D4414" s="25">
        <v>1.1415000000000001E-4</v>
      </c>
      <c r="E4414" s="25">
        <v>1.0998E-4</v>
      </c>
      <c r="F4414" s="25">
        <v>1.0258E-4</v>
      </c>
      <c r="G4414" s="25">
        <v>1.6154E-4</v>
      </c>
      <c r="H4414" s="25">
        <v>2.0085E-4</v>
      </c>
      <c r="I4414" s="9">
        <v>1.0475E-4</v>
      </c>
      <c r="J4414" s="9">
        <v>1.0624E-4</v>
      </c>
      <c r="K4414" s="9">
        <v>0</v>
      </c>
      <c r="L4414" s="9">
        <v>2.0588E-4</v>
      </c>
      <c r="M4414" s="9">
        <v>1.5904E-4</v>
      </c>
      <c r="N4414" s="9">
        <v>1.3889999999999999E-4</v>
      </c>
      <c r="O4414" s="9">
        <v>2.042E-4</v>
      </c>
      <c r="P4414" s="9">
        <v>1.6097999999999999E-4</v>
      </c>
      <c r="Q4414" s="9">
        <v>1.1811000000000001E-4</v>
      </c>
      <c r="R4414" s="10">
        <v>3.9733325876172429E-5</v>
      </c>
      <c r="S4414" s="10">
        <v>4.2584889217101981E-5</v>
      </c>
      <c r="T4414" s="10">
        <v>1.561111080426223E-4</v>
      </c>
      <c r="U4414" s="10">
        <v>7.975E-5</v>
      </c>
      <c r="V4414" s="25"/>
      <c r="W4414" s="25"/>
      <c r="X4414" s="25"/>
      <c r="Y4414" s="25"/>
      <c r="Z4414" s="25"/>
      <c r="AA4414" s="25"/>
    </row>
    <row r="4415" spans="1:27" x14ac:dyDescent="0.35">
      <c r="A4415" s="5">
        <v>4411</v>
      </c>
      <c r="B4415" s="5">
        <v>184</v>
      </c>
      <c r="C4415" s="5">
        <v>7</v>
      </c>
      <c r="D4415" s="25">
        <v>1.1416E-4</v>
      </c>
      <c r="E4415" s="25">
        <v>1.1671E-4</v>
      </c>
      <c r="F4415" s="25">
        <v>9.7050000000000001E-5</v>
      </c>
      <c r="G4415" s="25">
        <v>1.1474E-4</v>
      </c>
      <c r="H4415" s="25">
        <v>1.3221000000000001E-4</v>
      </c>
      <c r="I4415" s="9">
        <v>1.0343E-4</v>
      </c>
      <c r="J4415" s="9">
        <v>1.0532E-4</v>
      </c>
      <c r="K4415" s="9">
        <v>0</v>
      </c>
      <c r="L4415" s="9">
        <v>2.042E-4</v>
      </c>
      <c r="M4415" s="9">
        <v>1.5909E-4</v>
      </c>
      <c r="N4415" s="9">
        <v>1.2997E-4</v>
      </c>
      <c r="O4415" s="9">
        <v>1.6335000000000001E-4</v>
      </c>
      <c r="P4415" s="9">
        <v>1.3521E-4</v>
      </c>
      <c r="Q4415" s="9">
        <v>1.0732E-4</v>
      </c>
      <c r="R4415" s="10">
        <v>5.8532231897389415E-5</v>
      </c>
      <c r="S4415" s="10">
        <v>5.3469473988844416E-5</v>
      </c>
      <c r="T4415" s="10">
        <v>5.679389984985401E-5</v>
      </c>
      <c r="U4415" s="10">
        <v>7.975E-5</v>
      </c>
      <c r="V4415" s="25"/>
      <c r="W4415" s="25"/>
      <c r="X4415" s="25"/>
      <c r="Y4415" s="25"/>
      <c r="Z4415" s="25"/>
      <c r="AA4415" s="25"/>
    </row>
    <row r="4416" spans="1:27" x14ac:dyDescent="0.35">
      <c r="A4416" s="5">
        <v>4412</v>
      </c>
      <c r="B4416" s="5">
        <v>184</v>
      </c>
      <c r="C4416" s="5">
        <v>7</v>
      </c>
      <c r="D4416" s="25">
        <v>1.1415000000000001E-4</v>
      </c>
      <c r="E4416" s="25">
        <v>1.1264000000000001E-4</v>
      </c>
      <c r="F4416" s="25">
        <v>1.0427E-4</v>
      </c>
      <c r="G4416" s="25">
        <v>1.0449E-4</v>
      </c>
      <c r="H4416" s="25">
        <v>1.2841E-4</v>
      </c>
      <c r="I4416" s="9">
        <v>1.0068000000000001E-4</v>
      </c>
      <c r="J4416" s="9">
        <v>1.0420999999999999E-4</v>
      </c>
      <c r="K4416" s="9">
        <v>0</v>
      </c>
      <c r="L4416" s="9">
        <v>1.7244999999999999E-4</v>
      </c>
      <c r="M4416" s="9">
        <v>1.507E-4</v>
      </c>
      <c r="N4416" s="9">
        <v>1.2089E-4</v>
      </c>
      <c r="O4416" s="9">
        <v>1.2695999999999999E-4</v>
      </c>
      <c r="P4416" s="9">
        <v>1.1396999999999999E-4</v>
      </c>
      <c r="Q4416" s="9">
        <v>1.011E-4</v>
      </c>
      <c r="R4416" s="10">
        <v>8.4810077581321897E-5</v>
      </c>
      <c r="S4416" s="10">
        <v>6.2159119334500993E-5</v>
      </c>
      <c r="T4416" s="10">
        <v>1.2667058929762778E-5</v>
      </c>
      <c r="U4416" s="10">
        <v>7.975E-5</v>
      </c>
      <c r="V4416" s="25"/>
      <c r="W4416" s="25"/>
      <c r="X4416" s="25"/>
      <c r="Y4416" s="25"/>
      <c r="Z4416" s="25"/>
      <c r="AA4416" s="25"/>
    </row>
    <row r="4417" spans="1:27" x14ac:dyDescent="0.35">
      <c r="A4417" s="5">
        <v>4413</v>
      </c>
      <c r="B4417" s="5">
        <v>184</v>
      </c>
      <c r="C4417" s="5">
        <v>7</v>
      </c>
      <c r="D4417" s="25">
        <v>1.1416E-4</v>
      </c>
      <c r="E4417" s="25">
        <v>1.1376E-4</v>
      </c>
      <c r="F4417" s="25">
        <v>1.0595E-4</v>
      </c>
      <c r="G4417" s="25">
        <v>5.897E-5</v>
      </c>
      <c r="H4417" s="25">
        <v>7.5549999999999993E-5</v>
      </c>
      <c r="I4417" s="9">
        <v>9.9290000000000007E-5</v>
      </c>
      <c r="J4417" s="9">
        <v>1.0221999999999999E-4</v>
      </c>
      <c r="K4417" s="9">
        <v>0</v>
      </c>
      <c r="L4417" s="9">
        <v>1.3794E-4</v>
      </c>
      <c r="M4417" s="9">
        <v>1.3511E-4</v>
      </c>
      <c r="N4417" s="9">
        <v>1.1302999999999999E-4</v>
      </c>
      <c r="O4417" s="9">
        <v>8.3599999999999999E-5</v>
      </c>
      <c r="P4417" s="9">
        <v>8.5560000000000001E-5</v>
      </c>
      <c r="Q4417" s="9">
        <v>8.7540000000000006E-5</v>
      </c>
      <c r="R4417" s="10">
        <v>1.1713242779506122E-4</v>
      </c>
      <c r="S4417" s="10">
        <v>7.5112895081204273E-5</v>
      </c>
      <c r="T4417" s="10">
        <v>0</v>
      </c>
      <c r="U4417" s="10">
        <v>7.975E-5</v>
      </c>
      <c r="V4417" s="25"/>
      <c r="W4417" s="25"/>
      <c r="X4417" s="25"/>
      <c r="Y4417" s="25"/>
      <c r="Z4417" s="25"/>
      <c r="AA4417" s="25"/>
    </row>
    <row r="4418" spans="1:27" x14ac:dyDescent="0.35">
      <c r="A4418" s="5">
        <v>4414</v>
      </c>
      <c r="B4418" s="5">
        <v>184</v>
      </c>
      <c r="C4418" s="5">
        <v>7</v>
      </c>
      <c r="D4418" s="25">
        <v>1.1415000000000001E-4</v>
      </c>
      <c r="E4418" s="25">
        <v>1.1595E-4</v>
      </c>
      <c r="F4418" s="25">
        <v>9.2349999999999995E-5</v>
      </c>
      <c r="G4418" s="25">
        <v>5.592E-5</v>
      </c>
      <c r="H4418" s="25">
        <v>7.1370000000000003E-5</v>
      </c>
      <c r="I4418" s="9">
        <v>1.0117E-4</v>
      </c>
      <c r="J4418" s="9">
        <v>1.0276E-4</v>
      </c>
      <c r="K4418" s="9">
        <v>0</v>
      </c>
      <c r="L4418" s="9">
        <v>9.6500000000000001E-5</v>
      </c>
      <c r="M4418" s="9">
        <v>1.1323999999999999E-4</v>
      </c>
      <c r="N4418" s="9">
        <v>1.053E-4</v>
      </c>
      <c r="O4418" s="9">
        <v>8.6860000000000005E-5</v>
      </c>
      <c r="P4418" s="9">
        <v>8.7470000000000001E-5</v>
      </c>
      <c r="Q4418" s="9">
        <v>8.8109999999999995E-5</v>
      </c>
      <c r="R4418" s="10">
        <v>1.5439954466341484E-4</v>
      </c>
      <c r="S4418" s="10">
        <v>9.0598849618450046E-5</v>
      </c>
      <c r="T4418" s="10">
        <v>0</v>
      </c>
      <c r="U4418" s="10">
        <v>7.975E-5</v>
      </c>
      <c r="V4418" s="25"/>
      <c r="W4418" s="25"/>
      <c r="X4418" s="25"/>
      <c r="Y4418" s="25"/>
      <c r="Z4418" s="25"/>
      <c r="AA4418" s="25"/>
    </row>
    <row r="4419" spans="1:27" x14ac:dyDescent="0.35">
      <c r="A4419" s="5">
        <v>4415</v>
      </c>
      <c r="B4419" s="5">
        <v>184</v>
      </c>
      <c r="C4419" s="5">
        <v>7</v>
      </c>
      <c r="D4419" s="25">
        <v>1.1416E-4</v>
      </c>
      <c r="E4419" s="25">
        <v>1.1183000000000001E-4</v>
      </c>
      <c r="F4419" s="25">
        <v>9.2159999999999999E-5</v>
      </c>
      <c r="G4419" s="25">
        <v>6.2429999999999997E-5</v>
      </c>
      <c r="H4419" s="25">
        <v>7.2509999999999995E-5</v>
      </c>
      <c r="I4419" s="9">
        <v>9.9220000000000002E-5</v>
      </c>
      <c r="J4419" s="9">
        <v>1.0054E-4</v>
      </c>
      <c r="K4419" s="9">
        <v>0</v>
      </c>
      <c r="L4419" s="9">
        <v>8.9900000000000003E-5</v>
      </c>
      <c r="M4419" s="9">
        <v>9.8599999999999998E-5</v>
      </c>
      <c r="N4419" s="9">
        <v>9.9510000000000001E-5</v>
      </c>
      <c r="O4419" s="9">
        <v>7.7429999999999996E-5</v>
      </c>
      <c r="P4419" s="9">
        <v>7.203E-5</v>
      </c>
      <c r="Q4419" s="9">
        <v>6.6790000000000003E-5</v>
      </c>
      <c r="R4419" s="10">
        <v>1.7440404247215393E-4</v>
      </c>
      <c r="S4419" s="10">
        <v>9.9492380552660539E-5</v>
      </c>
      <c r="T4419" s="10">
        <v>0</v>
      </c>
      <c r="U4419" s="10">
        <v>7.975E-5</v>
      </c>
      <c r="V4419" s="25"/>
      <c r="W4419" s="25"/>
      <c r="X4419" s="25"/>
      <c r="Y4419" s="25"/>
      <c r="Z4419" s="25"/>
      <c r="AA4419" s="25"/>
    </row>
    <row r="4420" spans="1:27" x14ac:dyDescent="0.35">
      <c r="A4420" s="5">
        <v>4416</v>
      </c>
      <c r="B4420" s="5">
        <v>184</v>
      </c>
      <c r="C4420" s="5">
        <v>7</v>
      </c>
      <c r="D4420" s="25">
        <v>1.1415000000000001E-4</v>
      </c>
      <c r="E4420" s="25">
        <v>1.1983E-4</v>
      </c>
      <c r="F4420" s="25">
        <v>9.2769999999999994E-5</v>
      </c>
      <c r="G4420" s="25">
        <v>5.7580000000000001E-5</v>
      </c>
      <c r="H4420" s="25">
        <v>7.339E-5</v>
      </c>
      <c r="I4420" s="9">
        <v>9.3659999999999994E-5</v>
      </c>
      <c r="J4420" s="9">
        <v>9.5019999999999995E-5</v>
      </c>
      <c r="K4420" s="9">
        <v>0</v>
      </c>
      <c r="L4420" s="9">
        <v>8.0140000000000002E-5</v>
      </c>
      <c r="M4420" s="9">
        <v>8.5829999999999996E-5</v>
      </c>
      <c r="N4420" s="9">
        <v>9.0249999999999998E-5</v>
      </c>
      <c r="O4420" s="9">
        <v>6.313E-5</v>
      </c>
      <c r="P4420" s="9">
        <v>6.1149999999999996E-5</v>
      </c>
      <c r="Q4420" s="9">
        <v>5.9320000000000001E-5</v>
      </c>
      <c r="R4420" s="10">
        <v>1.7380414923284326E-4</v>
      </c>
      <c r="S4420" s="10">
        <v>7.3180816708758592E-5</v>
      </c>
      <c r="T4420" s="10">
        <v>0</v>
      </c>
      <c r="U4420" s="10">
        <v>7.975E-5</v>
      </c>
      <c r="V4420" s="25"/>
      <c r="W4420" s="25"/>
      <c r="X4420" s="25"/>
      <c r="Y4420" s="25"/>
      <c r="Z4420" s="25"/>
      <c r="AA4420" s="25"/>
    </row>
    <row r="4421" spans="1:27" x14ac:dyDescent="0.35">
      <c r="A4421" s="5">
        <v>4417</v>
      </c>
      <c r="B4421" s="5">
        <v>185</v>
      </c>
      <c r="C4421" s="5">
        <v>7</v>
      </c>
      <c r="D4421" s="25">
        <v>1.1416E-4</v>
      </c>
      <c r="E4421" s="25">
        <v>1.1949E-4</v>
      </c>
      <c r="F4421" s="25">
        <v>1.1817E-4</v>
      </c>
      <c r="G4421" s="25">
        <v>5.8180000000000002E-5</v>
      </c>
      <c r="H4421" s="25">
        <v>6.7150000000000006E-5</v>
      </c>
      <c r="I4421" s="9">
        <v>8.9759999999999994E-5</v>
      </c>
      <c r="J4421" s="9">
        <v>8.9599999999999996E-5</v>
      </c>
      <c r="K4421" s="9">
        <v>0</v>
      </c>
      <c r="L4421" s="9">
        <v>6.6870000000000002E-5</v>
      </c>
      <c r="M4421" s="9">
        <v>7.4019999999999999E-5</v>
      </c>
      <c r="N4421" s="9">
        <v>8.1000000000000004E-5</v>
      </c>
      <c r="O4421" s="9">
        <v>5.4929999999999998E-5</v>
      </c>
      <c r="P4421" s="9">
        <v>5.4339999999999998E-5</v>
      </c>
      <c r="Q4421" s="9">
        <v>5.3909999999999997E-5</v>
      </c>
      <c r="R4421" s="10">
        <v>1.7336312814080499E-4</v>
      </c>
      <c r="S4421" s="10">
        <v>7.8954184510991111E-5</v>
      </c>
      <c r="T4421" s="10">
        <v>0</v>
      </c>
      <c r="U4421" s="10">
        <v>7.9060000000000005E-5</v>
      </c>
      <c r="V4421" s="25"/>
      <c r="W4421" s="25"/>
      <c r="X4421" s="25"/>
      <c r="Y4421" s="25"/>
      <c r="Z4421" s="25"/>
      <c r="AA4421" s="25"/>
    </row>
    <row r="4422" spans="1:27" x14ac:dyDescent="0.35">
      <c r="A4422" s="5">
        <v>4418</v>
      </c>
      <c r="B4422" s="5">
        <v>185</v>
      </c>
      <c r="C4422" s="5">
        <v>7</v>
      </c>
      <c r="D4422" s="25">
        <v>1.1415000000000001E-4</v>
      </c>
      <c r="E4422" s="25">
        <v>1.2453E-4</v>
      </c>
      <c r="F4422" s="25">
        <v>9.9309999999999996E-5</v>
      </c>
      <c r="G4422" s="25">
        <v>6.1589999999999998E-5</v>
      </c>
      <c r="H4422" s="25">
        <v>7.1379999999999998E-5</v>
      </c>
      <c r="I4422" s="9">
        <v>8.674E-5</v>
      </c>
      <c r="J4422" s="9">
        <v>8.6680000000000004E-5</v>
      </c>
      <c r="K4422" s="9">
        <v>0</v>
      </c>
      <c r="L4422" s="9">
        <v>5.7920000000000001E-5</v>
      </c>
      <c r="M4422" s="9">
        <v>6.4129999999999998E-5</v>
      </c>
      <c r="N4422" s="9">
        <v>7.2080000000000001E-5</v>
      </c>
      <c r="O4422" s="9">
        <v>1.944E-5</v>
      </c>
      <c r="P4422" s="9">
        <v>3.8040000000000002E-5</v>
      </c>
      <c r="Q4422" s="9">
        <v>5.6610000000000002E-5</v>
      </c>
      <c r="R4422" s="10">
        <v>1.8383566171173833E-4</v>
      </c>
      <c r="S4422" s="10">
        <v>9.6082212770678849E-5</v>
      </c>
      <c r="T4422" s="10">
        <v>0</v>
      </c>
      <c r="U4422" s="10">
        <v>7.9060000000000005E-5</v>
      </c>
      <c r="V4422" s="25"/>
      <c r="W4422" s="25"/>
      <c r="X4422" s="25"/>
      <c r="Y4422" s="25"/>
      <c r="Z4422" s="25"/>
      <c r="AA4422" s="25"/>
    </row>
    <row r="4423" spans="1:27" x14ac:dyDescent="0.35">
      <c r="A4423" s="5">
        <v>4419</v>
      </c>
      <c r="B4423" s="5">
        <v>185</v>
      </c>
      <c r="C4423" s="5">
        <v>7</v>
      </c>
      <c r="D4423" s="25">
        <v>1.1416E-4</v>
      </c>
      <c r="E4423" s="25">
        <v>1.1677E-4</v>
      </c>
      <c r="F4423" s="25">
        <v>1.1559E-4</v>
      </c>
      <c r="G4423" s="25">
        <v>6.3089999999999994E-5</v>
      </c>
      <c r="H4423" s="25">
        <v>7.2180000000000003E-5</v>
      </c>
      <c r="I4423" s="9">
        <v>8.496E-5</v>
      </c>
      <c r="J4423" s="9">
        <v>8.5599999999999994E-5</v>
      </c>
      <c r="K4423" s="9">
        <v>0</v>
      </c>
      <c r="L4423" s="9">
        <v>2.811E-5</v>
      </c>
      <c r="M4423" s="9">
        <v>5.2490000000000001E-5</v>
      </c>
      <c r="N4423" s="9">
        <v>6.567E-5</v>
      </c>
      <c r="O4423" s="9">
        <v>1.401E-5</v>
      </c>
      <c r="P4423" s="9">
        <v>3.8130000000000003E-5</v>
      </c>
      <c r="Q4423" s="9">
        <v>6.2150000000000006E-5</v>
      </c>
      <c r="R4423" s="10">
        <v>1.7852087422875779E-4</v>
      </c>
      <c r="S4423" s="10">
        <v>1.0912210764748182E-4</v>
      </c>
      <c r="T4423" s="10">
        <v>0</v>
      </c>
      <c r="U4423" s="10">
        <v>7.9060000000000005E-5</v>
      </c>
      <c r="V4423" s="25"/>
      <c r="W4423" s="25"/>
      <c r="X4423" s="25"/>
      <c r="Y4423" s="25"/>
      <c r="Z4423" s="25"/>
      <c r="AA4423" s="25"/>
    </row>
    <row r="4424" spans="1:27" x14ac:dyDescent="0.35">
      <c r="A4424" s="5">
        <v>4420</v>
      </c>
      <c r="B4424" s="5">
        <v>185</v>
      </c>
      <c r="C4424" s="5">
        <v>7</v>
      </c>
      <c r="D4424" s="25">
        <v>1.1415000000000001E-4</v>
      </c>
      <c r="E4424" s="25">
        <v>1.1784E-4</v>
      </c>
      <c r="F4424" s="25">
        <v>1.0558E-4</v>
      </c>
      <c r="G4424" s="25">
        <v>5.3529999999999997E-5</v>
      </c>
      <c r="H4424" s="25">
        <v>7.3419999999999998E-5</v>
      </c>
      <c r="I4424" s="9">
        <v>8.4489999999999999E-5</v>
      </c>
      <c r="J4424" s="9">
        <v>8.4439999999999998E-5</v>
      </c>
      <c r="K4424" s="9">
        <v>0</v>
      </c>
      <c r="L4424" s="9">
        <v>1.785E-5</v>
      </c>
      <c r="M4424" s="9">
        <v>4.4530000000000002E-5</v>
      </c>
      <c r="N4424" s="9">
        <v>6.2230000000000006E-5</v>
      </c>
      <c r="O4424" s="9">
        <v>1.3859999999999999E-5</v>
      </c>
      <c r="P4424" s="9">
        <v>4.7129999999999998E-5</v>
      </c>
      <c r="Q4424" s="9">
        <v>8.017E-5</v>
      </c>
      <c r="R4424" s="10">
        <v>1.8628143774906643E-4</v>
      </c>
      <c r="S4424" s="10">
        <v>1.3423459163652436E-4</v>
      </c>
      <c r="T4424" s="10">
        <v>0</v>
      </c>
      <c r="U4424" s="10">
        <v>7.9060000000000005E-5</v>
      </c>
      <c r="V4424" s="25"/>
      <c r="W4424" s="25"/>
      <c r="X4424" s="25"/>
      <c r="Y4424" s="25"/>
      <c r="Z4424" s="25"/>
      <c r="AA4424" s="25"/>
    </row>
    <row r="4425" spans="1:27" x14ac:dyDescent="0.35">
      <c r="A4425" s="5">
        <v>4421</v>
      </c>
      <c r="B4425" s="5">
        <v>185</v>
      </c>
      <c r="C4425" s="5">
        <v>7</v>
      </c>
      <c r="D4425" s="25">
        <v>1.1416E-4</v>
      </c>
      <c r="E4425" s="25">
        <v>1.2128E-4</v>
      </c>
      <c r="F4425" s="25">
        <v>1.1372E-4</v>
      </c>
      <c r="G4425" s="25">
        <v>6.1790000000000003E-5</v>
      </c>
      <c r="H4425" s="25">
        <v>6.7860000000000004E-5</v>
      </c>
      <c r="I4425" s="9">
        <v>8.2929999999999994E-5</v>
      </c>
      <c r="J4425" s="9">
        <v>8.2349999999999996E-5</v>
      </c>
      <c r="K4425" s="9">
        <v>0</v>
      </c>
      <c r="L4425" s="9">
        <v>1.4980000000000001E-5</v>
      </c>
      <c r="M4425" s="9">
        <v>4.3680000000000002E-5</v>
      </c>
      <c r="N4425" s="9">
        <v>6.4709999999999995E-5</v>
      </c>
      <c r="O4425" s="9">
        <v>1.9429999999999999E-5</v>
      </c>
      <c r="P4425" s="9">
        <v>5.7030000000000001E-5</v>
      </c>
      <c r="Q4425" s="9">
        <v>9.4309999999999997E-5</v>
      </c>
      <c r="R4425" s="10">
        <v>1.8238452728666901E-4</v>
      </c>
      <c r="S4425" s="10">
        <v>1.4807743644153988E-4</v>
      </c>
      <c r="T4425" s="10">
        <v>1.0503562595476435E-5</v>
      </c>
      <c r="U4425" s="10">
        <v>7.9060000000000005E-5</v>
      </c>
      <c r="V4425" s="25"/>
      <c r="W4425" s="25"/>
      <c r="X4425" s="25"/>
      <c r="Y4425" s="25"/>
      <c r="Z4425" s="25"/>
      <c r="AA4425" s="25"/>
    </row>
    <row r="4426" spans="1:27" x14ac:dyDescent="0.35">
      <c r="A4426" s="5">
        <v>4422</v>
      </c>
      <c r="B4426" s="5">
        <v>185</v>
      </c>
      <c r="C4426" s="5">
        <v>7</v>
      </c>
      <c r="D4426" s="25">
        <v>1.1415000000000001E-4</v>
      </c>
      <c r="E4426" s="25">
        <v>1.1668E-4</v>
      </c>
      <c r="F4426" s="25">
        <v>1.0035E-4</v>
      </c>
      <c r="G4426" s="25">
        <v>1.1491E-4</v>
      </c>
      <c r="H4426" s="25">
        <v>1.2699E-4</v>
      </c>
      <c r="I4426" s="9">
        <v>8.3949999999999994E-5</v>
      </c>
      <c r="J4426" s="9">
        <v>8.2089999999999995E-5</v>
      </c>
      <c r="K4426" s="9">
        <v>0</v>
      </c>
      <c r="L4426" s="9">
        <v>1.8320000000000001E-5</v>
      </c>
      <c r="M4426" s="9">
        <v>4.8619999999999999E-5</v>
      </c>
      <c r="N4426" s="9">
        <v>7.1359999999999994E-5</v>
      </c>
      <c r="O4426" s="9">
        <v>4.676E-5</v>
      </c>
      <c r="P4426" s="9">
        <v>7.7470000000000002E-5</v>
      </c>
      <c r="Q4426" s="9">
        <v>1.0787E-4</v>
      </c>
      <c r="R4426" s="10">
        <v>1.810991866168586E-4</v>
      </c>
      <c r="S4426" s="10">
        <v>1.5754962989681393E-4</v>
      </c>
      <c r="T4426" s="10">
        <v>4.1004618759238781E-5</v>
      </c>
      <c r="U4426" s="10">
        <v>7.9060000000000005E-5</v>
      </c>
      <c r="V4426" s="25"/>
      <c r="W4426" s="25"/>
      <c r="X4426" s="25"/>
      <c r="Y4426" s="25"/>
      <c r="Z4426" s="25"/>
      <c r="AA4426" s="25"/>
    </row>
    <row r="4427" spans="1:27" x14ac:dyDescent="0.35">
      <c r="A4427" s="5">
        <v>4423</v>
      </c>
      <c r="B4427" s="5">
        <v>185</v>
      </c>
      <c r="C4427" s="5">
        <v>7</v>
      </c>
      <c r="D4427" s="25">
        <v>1.1416E-4</v>
      </c>
      <c r="E4427" s="25">
        <v>1.2213E-4</v>
      </c>
      <c r="F4427" s="25">
        <v>1.1432E-4</v>
      </c>
      <c r="G4427" s="25">
        <v>1.1259E-4</v>
      </c>
      <c r="H4427" s="25">
        <v>1.2983E-4</v>
      </c>
      <c r="I4427" s="9">
        <v>8.7280000000000005E-5</v>
      </c>
      <c r="J4427" s="9">
        <v>8.3750000000000003E-5</v>
      </c>
      <c r="K4427" s="9">
        <v>0</v>
      </c>
      <c r="L4427" s="9">
        <v>4.036E-5</v>
      </c>
      <c r="M4427" s="9">
        <v>6.0399999999999998E-5</v>
      </c>
      <c r="N4427" s="9">
        <v>8.119E-5</v>
      </c>
      <c r="O4427" s="9">
        <v>1.2134E-4</v>
      </c>
      <c r="P4427" s="9">
        <v>1.1642999999999999E-4</v>
      </c>
      <c r="Q4427" s="9">
        <v>1.1153E-4</v>
      </c>
      <c r="R4427" s="10">
        <v>1.7185553385152438E-4</v>
      </c>
      <c r="S4427" s="10">
        <v>1.6310672907380723E-4</v>
      </c>
      <c r="T4427" s="10">
        <v>1.3318653119853721E-4</v>
      </c>
      <c r="U4427" s="10">
        <v>7.9060000000000005E-5</v>
      </c>
      <c r="V4427" s="25"/>
      <c r="W4427" s="25"/>
      <c r="X4427" s="25"/>
      <c r="Y4427" s="25"/>
      <c r="Z4427" s="25"/>
      <c r="AA4427" s="25"/>
    </row>
    <row r="4428" spans="1:27" x14ac:dyDescent="0.35">
      <c r="A4428" s="5">
        <v>4424</v>
      </c>
      <c r="B4428" s="5">
        <v>185</v>
      </c>
      <c r="C4428" s="5">
        <v>7</v>
      </c>
      <c r="D4428" s="25">
        <v>1.1415000000000001E-4</v>
      </c>
      <c r="E4428" s="25">
        <v>1.2073E-4</v>
      </c>
      <c r="F4428" s="25">
        <v>1.0273E-4</v>
      </c>
      <c r="G4428" s="25">
        <v>1.6338E-4</v>
      </c>
      <c r="H4428" s="25">
        <v>1.9888999999999999E-4</v>
      </c>
      <c r="I4428" s="9">
        <v>9.1459999999999995E-5</v>
      </c>
      <c r="J4428" s="9">
        <v>8.797E-5</v>
      </c>
      <c r="K4428" s="9">
        <v>0</v>
      </c>
      <c r="L4428" s="9">
        <v>1.0291E-4</v>
      </c>
      <c r="M4428" s="9">
        <v>8.3609999999999994E-5</v>
      </c>
      <c r="N4428" s="9">
        <v>9.1000000000000003E-5</v>
      </c>
      <c r="O4428" s="9">
        <v>2.1594E-4</v>
      </c>
      <c r="P4428" s="9">
        <v>1.7569999999999999E-4</v>
      </c>
      <c r="Q4428" s="9">
        <v>1.3573E-4</v>
      </c>
      <c r="R4428" s="10">
        <v>1.5515700058053945E-4</v>
      </c>
      <c r="S4428" s="10">
        <v>1.6383808534969002E-4</v>
      </c>
      <c r="T4428" s="10">
        <v>3.1701584521807514E-4</v>
      </c>
      <c r="U4428" s="10">
        <v>7.9060000000000005E-5</v>
      </c>
      <c r="V4428" s="25"/>
      <c r="W4428" s="25"/>
      <c r="X4428" s="25"/>
      <c r="Y4428" s="25"/>
      <c r="Z4428" s="25"/>
      <c r="AA4428" s="25"/>
    </row>
    <row r="4429" spans="1:27" x14ac:dyDescent="0.35">
      <c r="A4429" s="5">
        <v>4425</v>
      </c>
      <c r="B4429" s="5">
        <v>185</v>
      </c>
      <c r="C4429" s="5">
        <v>7</v>
      </c>
      <c r="D4429" s="25">
        <v>1.1416E-4</v>
      </c>
      <c r="E4429" s="25">
        <v>1.1877E-4</v>
      </c>
      <c r="F4429" s="25">
        <v>1.1812E-4</v>
      </c>
      <c r="G4429" s="25">
        <v>1.6314000000000001E-4</v>
      </c>
      <c r="H4429" s="25">
        <v>1.9096E-4</v>
      </c>
      <c r="I4429" s="9">
        <v>9.7009999999999994E-5</v>
      </c>
      <c r="J4429" s="9">
        <v>9.3070000000000002E-5</v>
      </c>
      <c r="K4429" s="9">
        <v>0</v>
      </c>
      <c r="L4429" s="9">
        <v>1.8935999999999999E-4</v>
      </c>
      <c r="M4429" s="9">
        <v>1.2275E-4</v>
      </c>
      <c r="N4429" s="9">
        <v>1.0445E-4</v>
      </c>
      <c r="O4429" s="9">
        <v>2.0823E-4</v>
      </c>
      <c r="P4429" s="9">
        <v>1.9213999999999999E-4</v>
      </c>
      <c r="Q4429" s="9">
        <v>1.7597000000000001E-4</v>
      </c>
      <c r="R4429" s="10">
        <v>1.0582589430155596E-4</v>
      </c>
      <c r="S4429" s="10">
        <v>1.5744551781991616E-4</v>
      </c>
      <c r="T4429" s="10">
        <v>4.579994475193934E-4</v>
      </c>
      <c r="U4429" s="10">
        <v>7.9060000000000005E-5</v>
      </c>
      <c r="V4429" s="25"/>
      <c r="W4429" s="25"/>
      <c r="X4429" s="25"/>
      <c r="Y4429" s="25"/>
      <c r="Z4429" s="25"/>
      <c r="AA4429" s="25"/>
    </row>
    <row r="4430" spans="1:27" x14ac:dyDescent="0.35">
      <c r="A4430" s="5">
        <v>4426</v>
      </c>
      <c r="B4430" s="5">
        <v>185</v>
      </c>
      <c r="C4430" s="5">
        <v>7</v>
      </c>
      <c r="D4430" s="25">
        <v>1.1415000000000001E-4</v>
      </c>
      <c r="E4430" s="25">
        <v>1.2276E-4</v>
      </c>
      <c r="F4430" s="25">
        <v>1.0781999999999999E-4</v>
      </c>
      <c r="G4430" s="25">
        <v>1.6647E-4</v>
      </c>
      <c r="H4430" s="25">
        <v>1.8942000000000001E-4</v>
      </c>
      <c r="I4430" s="9">
        <v>1.0060000000000001E-4</v>
      </c>
      <c r="J4430" s="9">
        <v>9.6879999999999994E-5</v>
      </c>
      <c r="K4430" s="9">
        <v>0</v>
      </c>
      <c r="L4430" s="9">
        <v>2.0180999999999999E-4</v>
      </c>
      <c r="M4430" s="9">
        <v>1.5765000000000001E-4</v>
      </c>
      <c r="N4430" s="9">
        <v>1.2422E-4</v>
      </c>
      <c r="O4430" s="9">
        <v>1.6550000000000001E-4</v>
      </c>
      <c r="P4430" s="9">
        <v>1.7383000000000001E-4</v>
      </c>
      <c r="Q4430" s="9">
        <v>1.8181999999999999E-4</v>
      </c>
      <c r="R4430" s="10">
        <v>6.7532369152577718E-5</v>
      </c>
      <c r="S4430" s="10">
        <v>1.5831975663330343E-4</v>
      </c>
      <c r="T4430" s="10">
        <v>5.7377619645143814E-4</v>
      </c>
      <c r="U4430" s="10">
        <v>7.9060000000000005E-5</v>
      </c>
      <c r="V4430" s="25"/>
      <c r="W4430" s="25"/>
      <c r="X4430" s="25"/>
      <c r="Y4430" s="25"/>
      <c r="Z4430" s="25"/>
      <c r="AA4430" s="25"/>
    </row>
    <row r="4431" spans="1:27" x14ac:dyDescent="0.35">
      <c r="A4431" s="5">
        <v>4427</v>
      </c>
      <c r="B4431" s="5">
        <v>185</v>
      </c>
      <c r="C4431" s="5">
        <v>7</v>
      </c>
      <c r="D4431" s="25">
        <v>1.1416E-4</v>
      </c>
      <c r="E4431" s="25">
        <v>1.2197E-4</v>
      </c>
      <c r="F4431" s="25">
        <v>1.1103999999999999E-4</v>
      </c>
      <c r="G4431" s="25">
        <v>1.6504000000000001E-4</v>
      </c>
      <c r="H4431" s="25">
        <v>1.8845999999999999E-4</v>
      </c>
      <c r="I4431" s="9">
        <v>1.0348000000000001E-4</v>
      </c>
      <c r="J4431" s="9">
        <v>9.9240000000000005E-5</v>
      </c>
      <c r="K4431" s="9">
        <v>0</v>
      </c>
      <c r="L4431" s="9">
        <v>1.7354999999999999E-4</v>
      </c>
      <c r="M4431" s="9">
        <v>1.7158000000000001E-4</v>
      </c>
      <c r="N4431" s="9">
        <v>1.4222E-4</v>
      </c>
      <c r="O4431" s="9">
        <v>1.6496999999999999E-4</v>
      </c>
      <c r="P4431" s="9">
        <v>1.7192999999999999E-4</v>
      </c>
      <c r="Q4431" s="9">
        <v>1.7856999999999999E-4</v>
      </c>
      <c r="R4431" s="10">
        <v>5.6120737553072217E-5</v>
      </c>
      <c r="S4431" s="10">
        <v>1.6652219824592017E-4</v>
      </c>
      <c r="T4431" s="10">
        <v>6.6309890000973849E-4</v>
      </c>
      <c r="U4431" s="10">
        <v>7.9060000000000005E-5</v>
      </c>
      <c r="V4431" s="25"/>
      <c r="W4431" s="25"/>
      <c r="X4431" s="25"/>
      <c r="Y4431" s="25"/>
      <c r="Z4431" s="25"/>
      <c r="AA4431" s="25"/>
    </row>
    <row r="4432" spans="1:27" x14ac:dyDescent="0.35">
      <c r="A4432" s="5">
        <v>4428</v>
      </c>
      <c r="B4432" s="5">
        <v>185</v>
      </c>
      <c r="C4432" s="5">
        <v>7</v>
      </c>
      <c r="D4432" s="25">
        <v>1.1415000000000001E-4</v>
      </c>
      <c r="E4432" s="25">
        <v>1.1534E-4</v>
      </c>
      <c r="F4432" s="25">
        <v>1.0821E-4</v>
      </c>
      <c r="G4432" s="25">
        <v>1.6584E-4</v>
      </c>
      <c r="H4432" s="25">
        <v>1.8987E-4</v>
      </c>
      <c r="I4432" s="9">
        <v>1.0397E-4</v>
      </c>
      <c r="J4432" s="9">
        <v>9.9959999999999998E-5</v>
      </c>
      <c r="K4432" s="9">
        <v>0</v>
      </c>
      <c r="L4432" s="9">
        <v>1.6823000000000001E-4</v>
      </c>
      <c r="M4432" s="9">
        <v>1.7409000000000001E-4</v>
      </c>
      <c r="N4432" s="9">
        <v>1.5610999999999999E-4</v>
      </c>
      <c r="O4432" s="9">
        <v>1.6746999999999999E-4</v>
      </c>
      <c r="P4432" s="9">
        <v>1.7038000000000001E-4</v>
      </c>
      <c r="Q4432" s="9">
        <v>1.7302999999999999E-4</v>
      </c>
      <c r="R4432" s="10">
        <v>3.6478066610555029E-5</v>
      </c>
      <c r="S4432" s="10">
        <v>1.5081333439468056E-4</v>
      </c>
      <c r="T4432" s="10">
        <v>7.0972860923812172E-4</v>
      </c>
      <c r="U4432" s="10">
        <v>7.9060000000000005E-5</v>
      </c>
      <c r="V4432" s="25"/>
      <c r="W4432" s="25"/>
      <c r="X4432" s="25"/>
      <c r="Y4432" s="25"/>
      <c r="Z4432" s="25"/>
      <c r="AA4432" s="25"/>
    </row>
    <row r="4433" spans="1:27" x14ac:dyDescent="0.35">
      <c r="A4433" s="5">
        <v>4429</v>
      </c>
      <c r="B4433" s="5">
        <v>185</v>
      </c>
      <c r="C4433" s="5">
        <v>7</v>
      </c>
      <c r="D4433" s="25">
        <v>1.1416E-4</v>
      </c>
      <c r="E4433" s="25">
        <v>1.1427E-4</v>
      </c>
      <c r="F4433" s="25">
        <v>1.0938E-4</v>
      </c>
      <c r="G4433" s="25">
        <v>1.5841E-4</v>
      </c>
      <c r="H4433" s="25">
        <v>1.8937000000000001E-4</v>
      </c>
      <c r="I4433" s="9">
        <v>1.0307E-4</v>
      </c>
      <c r="J4433" s="9">
        <v>9.8989999999999999E-5</v>
      </c>
      <c r="K4433" s="9">
        <v>0</v>
      </c>
      <c r="L4433" s="9">
        <v>1.6781000000000001E-4</v>
      </c>
      <c r="M4433" s="9">
        <v>1.7291E-4</v>
      </c>
      <c r="N4433" s="9">
        <v>1.6542999999999999E-4</v>
      </c>
      <c r="O4433" s="9">
        <v>1.6003999999999999E-4</v>
      </c>
      <c r="P4433" s="9">
        <v>1.6368E-4</v>
      </c>
      <c r="Q4433" s="9">
        <v>1.6707000000000001E-4</v>
      </c>
      <c r="R4433" s="10">
        <v>4.3964812098814622E-5</v>
      </c>
      <c r="S4433" s="10">
        <v>1.3829515880090204E-4</v>
      </c>
      <c r="T4433" s="10">
        <v>7.0809113946354433E-4</v>
      </c>
      <c r="U4433" s="10">
        <v>7.9060000000000005E-5</v>
      </c>
      <c r="V4433" s="25"/>
      <c r="W4433" s="25"/>
      <c r="X4433" s="25"/>
      <c r="Y4433" s="25"/>
      <c r="Z4433" s="25"/>
      <c r="AA4433" s="25"/>
    </row>
    <row r="4434" spans="1:27" x14ac:dyDescent="0.35">
      <c r="A4434" s="5">
        <v>4430</v>
      </c>
      <c r="B4434" s="5">
        <v>185</v>
      </c>
      <c r="C4434" s="5">
        <v>7</v>
      </c>
      <c r="D4434" s="25">
        <v>1.1415000000000001E-4</v>
      </c>
      <c r="E4434" s="25">
        <v>1.1722000000000001E-4</v>
      </c>
      <c r="F4434" s="25">
        <v>1.1726999999999999E-4</v>
      </c>
      <c r="G4434" s="25">
        <v>1.5825999999999999E-4</v>
      </c>
      <c r="H4434" s="25">
        <v>1.9583E-4</v>
      </c>
      <c r="I4434" s="9">
        <v>1.0030999999999999E-4</v>
      </c>
      <c r="J4434" s="9">
        <v>9.7670000000000005E-5</v>
      </c>
      <c r="K4434" s="9">
        <v>0</v>
      </c>
      <c r="L4434" s="9">
        <v>1.6150999999999999E-4</v>
      </c>
      <c r="M4434" s="9">
        <v>1.6924E-4</v>
      </c>
      <c r="N4434" s="9">
        <v>1.6980000000000001E-4</v>
      </c>
      <c r="O4434" s="9">
        <v>1.772E-4</v>
      </c>
      <c r="P4434" s="9">
        <v>1.6925999999999999E-4</v>
      </c>
      <c r="Q4434" s="9">
        <v>1.6122E-4</v>
      </c>
      <c r="R4434" s="10">
        <v>4.4891273465480059E-5</v>
      </c>
      <c r="S4434" s="10">
        <v>1.3226001519871391E-4</v>
      </c>
      <c r="T4434" s="10">
        <v>2.9772254849585105E-4</v>
      </c>
      <c r="U4434" s="10">
        <v>7.9060000000000005E-5</v>
      </c>
      <c r="V4434" s="25"/>
      <c r="W4434" s="25"/>
      <c r="X4434" s="25"/>
      <c r="Y4434" s="25"/>
      <c r="Z4434" s="25"/>
      <c r="AA4434" s="25"/>
    </row>
    <row r="4435" spans="1:27" x14ac:dyDescent="0.35">
      <c r="A4435" s="5">
        <v>4431</v>
      </c>
      <c r="B4435" s="5">
        <v>185</v>
      </c>
      <c r="C4435" s="5">
        <v>7</v>
      </c>
      <c r="D4435" s="25">
        <v>1.1416E-4</v>
      </c>
      <c r="E4435" s="25">
        <v>1.1633000000000001E-4</v>
      </c>
      <c r="F4435" s="25">
        <v>1.0642E-4</v>
      </c>
      <c r="G4435" s="25">
        <v>1.6228E-4</v>
      </c>
      <c r="H4435" s="25">
        <v>1.9429000000000001E-4</v>
      </c>
      <c r="I4435" s="9">
        <v>9.8170000000000004E-5</v>
      </c>
      <c r="J4435" s="9">
        <v>9.6280000000000007E-5</v>
      </c>
      <c r="K4435" s="9">
        <v>0</v>
      </c>
      <c r="L4435" s="9">
        <v>1.7389E-4</v>
      </c>
      <c r="M4435" s="9">
        <v>1.6820999999999999E-4</v>
      </c>
      <c r="N4435" s="9">
        <v>1.6956E-4</v>
      </c>
      <c r="O4435" s="9">
        <v>1.8265999999999999E-4</v>
      </c>
      <c r="P4435" s="9">
        <v>1.6792000000000001E-4</v>
      </c>
      <c r="Q4435" s="9">
        <v>1.5317E-4</v>
      </c>
      <c r="R4435" s="10">
        <v>4.2671324952627251E-5</v>
      </c>
      <c r="S4435" s="10">
        <v>1.2647563319801667E-4</v>
      </c>
      <c r="T4435" s="10">
        <v>5.938245958158248E-4</v>
      </c>
      <c r="U4435" s="10">
        <v>7.9060000000000005E-5</v>
      </c>
      <c r="V4435" s="25"/>
      <c r="W4435" s="25"/>
      <c r="X4435" s="25"/>
      <c r="Y4435" s="25"/>
      <c r="Z4435" s="25"/>
      <c r="AA4435" s="25"/>
    </row>
    <row r="4436" spans="1:27" x14ac:dyDescent="0.35">
      <c r="A4436" s="5">
        <v>4432</v>
      </c>
      <c r="B4436" s="5">
        <v>185</v>
      </c>
      <c r="C4436" s="5">
        <v>7</v>
      </c>
      <c r="D4436" s="25">
        <v>1.1415000000000001E-4</v>
      </c>
      <c r="E4436" s="25">
        <v>1.2016E-4</v>
      </c>
      <c r="F4436" s="25">
        <v>1.0226999999999999E-4</v>
      </c>
      <c r="G4436" s="25">
        <v>1.5913E-4</v>
      </c>
      <c r="H4436" s="25">
        <v>1.9090000000000001E-4</v>
      </c>
      <c r="I4436" s="9">
        <v>9.7150000000000003E-5</v>
      </c>
      <c r="J4436" s="9">
        <v>9.7170000000000006E-5</v>
      </c>
      <c r="K4436" s="9">
        <v>0</v>
      </c>
      <c r="L4436" s="9">
        <v>1.8039999999999999E-4</v>
      </c>
      <c r="M4436" s="9">
        <v>1.6793E-4</v>
      </c>
      <c r="N4436" s="9">
        <v>1.6595E-4</v>
      </c>
      <c r="O4436" s="9">
        <v>1.9582000000000001E-4</v>
      </c>
      <c r="P4436" s="9">
        <v>1.5268000000000001E-4</v>
      </c>
      <c r="Q4436" s="9">
        <v>1.0993E-4</v>
      </c>
      <c r="R4436" s="10">
        <v>4.5346281787765636E-5</v>
      </c>
      <c r="S4436" s="10">
        <v>1.1447627320377839E-4</v>
      </c>
      <c r="T4436" s="10">
        <v>3.2437173275464868E-4</v>
      </c>
      <c r="U4436" s="10">
        <v>7.9060000000000005E-5</v>
      </c>
      <c r="V4436" s="25"/>
      <c r="W4436" s="25"/>
      <c r="X4436" s="25"/>
      <c r="Y4436" s="25"/>
      <c r="Z4436" s="25"/>
      <c r="AA4436" s="25"/>
    </row>
    <row r="4437" spans="1:27" x14ac:dyDescent="0.35">
      <c r="A4437" s="5">
        <v>4433</v>
      </c>
      <c r="B4437" s="5">
        <v>185</v>
      </c>
      <c r="C4437" s="5">
        <v>7</v>
      </c>
      <c r="D4437" s="25">
        <v>1.1416E-4</v>
      </c>
      <c r="E4437" s="25">
        <v>1.1743000000000001E-4</v>
      </c>
      <c r="F4437" s="25">
        <v>1.1406E-4</v>
      </c>
      <c r="G4437" s="25">
        <v>1.6457E-4</v>
      </c>
      <c r="H4437" s="25">
        <v>2.0172000000000001E-4</v>
      </c>
      <c r="I4437" s="9">
        <v>9.8460000000000003E-5</v>
      </c>
      <c r="J4437" s="9">
        <v>1.0196000000000001E-4</v>
      </c>
      <c r="K4437" s="9">
        <v>0</v>
      </c>
      <c r="L4437" s="9">
        <v>1.9220000000000001E-4</v>
      </c>
      <c r="M4437" s="9">
        <v>1.6247000000000001E-4</v>
      </c>
      <c r="N4437" s="9">
        <v>1.5239999999999999E-4</v>
      </c>
      <c r="O4437" s="9">
        <v>2.1270999999999999E-4</v>
      </c>
      <c r="P4437" s="9">
        <v>1.5988999999999999E-4</v>
      </c>
      <c r="Q4437" s="9">
        <v>1.0755E-4</v>
      </c>
      <c r="R4437" s="10">
        <v>6.2688195198120166E-5</v>
      </c>
      <c r="S4437" s="10">
        <v>9.8732036496522156E-5</v>
      </c>
      <c r="T4437" s="10">
        <v>1.5048601757347782E-4</v>
      </c>
      <c r="U4437" s="10">
        <v>7.9060000000000005E-5</v>
      </c>
      <c r="V4437" s="25"/>
      <c r="W4437" s="25"/>
      <c r="X4437" s="25"/>
      <c r="Y4437" s="25"/>
      <c r="Z4437" s="25"/>
      <c r="AA4437" s="25"/>
    </row>
    <row r="4438" spans="1:27" x14ac:dyDescent="0.35">
      <c r="A4438" s="5">
        <v>4434</v>
      </c>
      <c r="B4438" s="5">
        <v>185</v>
      </c>
      <c r="C4438" s="5">
        <v>7</v>
      </c>
      <c r="D4438" s="25">
        <v>1.1415000000000001E-4</v>
      </c>
      <c r="E4438" s="25">
        <v>1.1801E-4</v>
      </c>
      <c r="F4438" s="25">
        <v>1.0768999999999999E-4</v>
      </c>
      <c r="G4438" s="25">
        <v>1.6050999999999999E-4</v>
      </c>
      <c r="H4438" s="25">
        <v>1.9482000000000001E-4</v>
      </c>
      <c r="I4438" s="9">
        <v>9.9749999999999999E-5</v>
      </c>
      <c r="J4438" s="9">
        <v>1.039E-4</v>
      </c>
      <c r="K4438" s="9">
        <v>0</v>
      </c>
      <c r="L4438" s="9">
        <v>2.0796000000000001E-4</v>
      </c>
      <c r="M4438" s="9">
        <v>1.6001000000000001E-4</v>
      </c>
      <c r="N4438" s="9">
        <v>1.3925E-4</v>
      </c>
      <c r="O4438" s="9">
        <v>2.0242E-4</v>
      </c>
      <c r="P4438" s="9">
        <v>1.5956999999999999E-4</v>
      </c>
      <c r="Q4438" s="9">
        <v>1.1707E-4</v>
      </c>
      <c r="R4438" s="10">
        <v>9.4209498252825221E-5</v>
      </c>
      <c r="S4438" s="10">
        <v>8.6922812508127069E-5</v>
      </c>
      <c r="T4438" s="10">
        <v>9.6602232400722697E-5</v>
      </c>
      <c r="U4438" s="10">
        <v>7.9060000000000005E-5</v>
      </c>
      <c r="V4438" s="25"/>
      <c r="W4438" s="25"/>
      <c r="X4438" s="25"/>
      <c r="Y4438" s="25"/>
      <c r="Z4438" s="25"/>
      <c r="AA4438" s="25"/>
    </row>
    <row r="4439" spans="1:27" x14ac:dyDescent="0.35">
      <c r="A4439" s="5">
        <v>4435</v>
      </c>
      <c r="B4439" s="5">
        <v>185</v>
      </c>
      <c r="C4439" s="5">
        <v>7</v>
      </c>
      <c r="D4439" s="25">
        <v>1.1416E-4</v>
      </c>
      <c r="E4439" s="25">
        <v>1.1775E-4</v>
      </c>
      <c r="F4439" s="25">
        <v>1.1014999999999999E-4</v>
      </c>
      <c r="G4439" s="25">
        <v>1.0566E-4</v>
      </c>
      <c r="H4439" s="25">
        <v>1.2794999999999999E-4</v>
      </c>
      <c r="I4439" s="9">
        <v>1.0177E-4</v>
      </c>
      <c r="J4439" s="9">
        <v>1.0418E-4</v>
      </c>
      <c r="K4439" s="9">
        <v>0</v>
      </c>
      <c r="L4439" s="9">
        <v>2.0322999999999999E-4</v>
      </c>
      <c r="M4439" s="9">
        <v>1.5936999999999999E-4</v>
      </c>
      <c r="N4439" s="9">
        <v>1.3008E-4</v>
      </c>
      <c r="O4439" s="9">
        <v>1.6249999999999999E-4</v>
      </c>
      <c r="P4439" s="9">
        <v>1.3449999999999999E-4</v>
      </c>
      <c r="Q4439" s="9">
        <v>1.0676E-4</v>
      </c>
      <c r="R4439" s="10">
        <v>1.0903602064257118E-4</v>
      </c>
      <c r="S4439" s="10">
        <v>8.0553338753103367E-5</v>
      </c>
      <c r="T4439" s="10">
        <v>3.006835689690508E-5</v>
      </c>
      <c r="U4439" s="10">
        <v>7.9060000000000005E-5</v>
      </c>
      <c r="V4439" s="25"/>
      <c r="W4439" s="25"/>
      <c r="X4439" s="25"/>
      <c r="Y4439" s="25"/>
      <c r="Z4439" s="25"/>
      <c r="AA4439" s="25"/>
    </row>
    <row r="4440" spans="1:27" x14ac:dyDescent="0.35">
      <c r="A4440" s="5">
        <v>4436</v>
      </c>
      <c r="B4440" s="5">
        <v>185</v>
      </c>
      <c r="C4440" s="5">
        <v>7</v>
      </c>
      <c r="D4440" s="25">
        <v>1.1415000000000001E-4</v>
      </c>
      <c r="E4440" s="25">
        <v>1.1927E-4</v>
      </c>
      <c r="F4440" s="25">
        <v>9.8319999999999994E-5</v>
      </c>
      <c r="G4440" s="25">
        <v>1.0797E-4</v>
      </c>
      <c r="H4440" s="25">
        <v>1.3737999999999999E-4</v>
      </c>
      <c r="I4440" s="9">
        <v>1.0208999999999999E-4</v>
      </c>
      <c r="J4440" s="9">
        <v>1.0404E-4</v>
      </c>
      <c r="K4440" s="9">
        <v>8.4800000000000001E-6</v>
      </c>
      <c r="L4440" s="9">
        <v>1.7165999999999999E-4</v>
      </c>
      <c r="M4440" s="9">
        <v>1.504E-4</v>
      </c>
      <c r="N4440" s="9">
        <v>1.2089E-4</v>
      </c>
      <c r="O4440" s="9">
        <v>1.2735000000000001E-4</v>
      </c>
      <c r="P4440" s="9">
        <v>1.1432E-4</v>
      </c>
      <c r="Q4440" s="9">
        <v>1.0141000000000001E-4</v>
      </c>
      <c r="R4440" s="10">
        <v>1.0679649523006E-4</v>
      </c>
      <c r="S4440" s="10">
        <v>7.6627691120177306E-5</v>
      </c>
      <c r="T4440" s="10">
        <v>1.2777354821314631E-5</v>
      </c>
      <c r="U4440" s="10">
        <v>7.9060000000000005E-5</v>
      </c>
      <c r="V4440" s="25"/>
      <c r="W4440" s="25"/>
      <c r="X4440" s="25"/>
      <c r="Y4440" s="25"/>
      <c r="Z4440" s="25"/>
      <c r="AA4440" s="25"/>
    </row>
    <row r="4441" spans="1:27" x14ac:dyDescent="0.35">
      <c r="A4441" s="5">
        <v>4437</v>
      </c>
      <c r="B4441" s="5">
        <v>185</v>
      </c>
      <c r="C4441" s="5">
        <v>7</v>
      </c>
      <c r="D4441" s="25">
        <v>1.1416E-4</v>
      </c>
      <c r="E4441" s="25">
        <v>1.1589E-4</v>
      </c>
      <c r="F4441" s="25">
        <v>1.0359E-4</v>
      </c>
      <c r="G4441" s="25">
        <v>5.7410000000000001E-5</v>
      </c>
      <c r="H4441" s="25">
        <v>7.4060000000000006E-5</v>
      </c>
      <c r="I4441" s="9">
        <v>1.0148E-4</v>
      </c>
      <c r="J4441" s="9">
        <v>1.0288E-4</v>
      </c>
      <c r="K4441" s="9">
        <v>2.332E-5</v>
      </c>
      <c r="L4441" s="9">
        <v>1.3809E-4</v>
      </c>
      <c r="M4441" s="9">
        <v>1.3490999999999999E-4</v>
      </c>
      <c r="N4441" s="9">
        <v>1.1307E-4</v>
      </c>
      <c r="O4441" s="9">
        <v>8.4279999999999999E-5</v>
      </c>
      <c r="P4441" s="9">
        <v>8.6249999999999996E-5</v>
      </c>
      <c r="Q4441" s="9">
        <v>8.8250000000000004E-5</v>
      </c>
      <c r="R4441" s="10">
        <v>9.9839519767774533E-5</v>
      </c>
      <c r="S4441" s="10">
        <v>7.0153381825825085E-5</v>
      </c>
      <c r="T4441" s="10">
        <v>0</v>
      </c>
      <c r="U4441" s="10">
        <v>7.9060000000000005E-5</v>
      </c>
      <c r="V4441" s="25"/>
      <c r="W4441" s="25"/>
      <c r="X4441" s="25"/>
      <c r="Y4441" s="25"/>
      <c r="Z4441" s="25"/>
      <c r="AA4441" s="25"/>
    </row>
    <row r="4442" spans="1:27" x14ac:dyDescent="0.35">
      <c r="A4442" s="5">
        <v>4438</v>
      </c>
      <c r="B4442" s="5">
        <v>185</v>
      </c>
      <c r="C4442" s="5">
        <v>7</v>
      </c>
      <c r="D4442" s="25">
        <v>1.1415000000000001E-4</v>
      </c>
      <c r="E4442" s="25">
        <v>1.1451E-4</v>
      </c>
      <c r="F4442" s="25">
        <v>1.195E-4</v>
      </c>
      <c r="G4442" s="25">
        <v>5.3609999999999997E-5</v>
      </c>
      <c r="H4442" s="25">
        <v>7.1630000000000004E-5</v>
      </c>
      <c r="I4442" s="9">
        <v>1.0452E-4</v>
      </c>
      <c r="J4442" s="9">
        <v>1.0404E-4</v>
      </c>
      <c r="K4442" s="9">
        <v>2.756E-5</v>
      </c>
      <c r="L4442" s="9">
        <v>9.7020000000000003E-5</v>
      </c>
      <c r="M4442" s="9">
        <v>1.1341999999999999E-4</v>
      </c>
      <c r="N4442" s="9">
        <v>1.0543999999999999E-4</v>
      </c>
      <c r="O4442" s="9">
        <v>8.7449999999999998E-5</v>
      </c>
      <c r="P4442" s="9">
        <v>8.8059999999999994E-5</v>
      </c>
      <c r="Q4442" s="9">
        <v>8.8720000000000004E-5</v>
      </c>
      <c r="R4442" s="10">
        <v>9.3731049566484625E-5</v>
      </c>
      <c r="S4442" s="10">
        <v>5.8069685217923623E-5</v>
      </c>
      <c r="T4442" s="10">
        <v>0</v>
      </c>
      <c r="U4442" s="10">
        <v>7.9060000000000005E-5</v>
      </c>
      <c r="V4442" s="25"/>
      <c r="W4442" s="25"/>
      <c r="X4442" s="25"/>
      <c r="Y4442" s="25"/>
      <c r="Z4442" s="25"/>
      <c r="AA4442" s="25"/>
    </row>
    <row r="4443" spans="1:27" x14ac:dyDescent="0.35">
      <c r="A4443" s="5">
        <v>4439</v>
      </c>
      <c r="B4443" s="5">
        <v>185</v>
      </c>
      <c r="C4443" s="5">
        <v>7</v>
      </c>
      <c r="D4443" s="25">
        <v>1.1416E-4</v>
      </c>
      <c r="E4443" s="25">
        <v>1.2044000000000001E-4</v>
      </c>
      <c r="F4443" s="25">
        <v>1.1915E-4</v>
      </c>
      <c r="G4443" s="25">
        <v>5.5760000000000001E-5</v>
      </c>
      <c r="H4443" s="25">
        <v>6.7970000000000001E-5</v>
      </c>
      <c r="I4443" s="9">
        <v>1.0093E-4</v>
      </c>
      <c r="J4443" s="9">
        <v>1.0037E-4</v>
      </c>
      <c r="K4443" s="9">
        <v>2.544E-5</v>
      </c>
      <c r="L4443" s="9">
        <v>9.0470000000000006E-5</v>
      </c>
      <c r="M4443" s="9">
        <v>9.9030000000000006E-5</v>
      </c>
      <c r="N4443" s="9">
        <v>9.9729999999999996E-5</v>
      </c>
      <c r="O4443" s="9">
        <v>7.8129999999999999E-5</v>
      </c>
      <c r="P4443" s="9">
        <v>7.2680000000000002E-5</v>
      </c>
      <c r="Q4443" s="9">
        <v>6.7390000000000004E-5</v>
      </c>
      <c r="R4443" s="10">
        <v>8.52341760591399E-5</v>
      </c>
      <c r="S4443" s="10">
        <v>4.4791406273336769E-5</v>
      </c>
      <c r="T4443" s="10">
        <v>0</v>
      </c>
      <c r="U4443" s="10">
        <v>7.9060000000000005E-5</v>
      </c>
      <c r="V4443" s="25"/>
      <c r="W4443" s="25"/>
      <c r="X4443" s="25"/>
      <c r="Y4443" s="25"/>
      <c r="Z4443" s="25"/>
      <c r="AA4443" s="25"/>
    </row>
    <row r="4444" spans="1:27" x14ac:dyDescent="0.35">
      <c r="A4444" s="5">
        <v>4440</v>
      </c>
      <c r="B4444" s="5">
        <v>185</v>
      </c>
      <c r="C4444" s="5">
        <v>7</v>
      </c>
      <c r="D4444" s="25">
        <v>1.1415000000000001E-4</v>
      </c>
      <c r="E4444" s="25">
        <v>1.1506999999999999E-4</v>
      </c>
      <c r="F4444" s="25">
        <v>1.0752E-4</v>
      </c>
      <c r="G4444" s="25">
        <v>5.5800000000000001E-5</v>
      </c>
      <c r="H4444" s="25">
        <v>7.6329999999999996E-5</v>
      </c>
      <c r="I4444" s="9">
        <v>9.3820000000000006E-5</v>
      </c>
      <c r="J4444" s="9">
        <v>9.4409999999999999E-5</v>
      </c>
      <c r="K4444" s="9">
        <v>4.6629999999999999E-5</v>
      </c>
      <c r="L4444" s="9">
        <v>8.0820000000000002E-5</v>
      </c>
      <c r="M4444" s="9">
        <v>8.6390000000000005E-5</v>
      </c>
      <c r="N4444" s="9">
        <v>9.0610000000000002E-5</v>
      </c>
      <c r="O4444" s="9">
        <v>6.2739999999999999E-5</v>
      </c>
      <c r="P4444" s="9">
        <v>6.0770000000000003E-5</v>
      </c>
      <c r="Q4444" s="9">
        <v>5.8950000000000003E-5</v>
      </c>
      <c r="R4444" s="10">
        <v>4.0143817962984649E-5</v>
      </c>
      <c r="S4444" s="10">
        <v>2.6757138005107235E-5</v>
      </c>
      <c r="T4444" s="10">
        <v>0</v>
      </c>
      <c r="U4444" s="10">
        <v>7.9060000000000005E-5</v>
      </c>
      <c r="V4444" s="25"/>
      <c r="W4444" s="25"/>
      <c r="X4444" s="25"/>
      <c r="Y4444" s="25"/>
      <c r="Z4444" s="25"/>
      <c r="AA4444" s="25"/>
    </row>
    <row r="4445" spans="1:27" x14ac:dyDescent="0.35">
      <c r="A4445" s="5">
        <v>4441</v>
      </c>
      <c r="B4445" s="5">
        <v>186</v>
      </c>
      <c r="C4445" s="5">
        <v>7</v>
      </c>
      <c r="D4445" s="25">
        <v>1.1416E-4</v>
      </c>
      <c r="E4445" s="25">
        <v>1.0388E-4</v>
      </c>
      <c r="F4445" s="25">
        <v>1.2318E-4</v>
      </c>
      <c r="G4445" s="25">
        <v>5.4330000000000003E-5</v>
      </c>
      <c r="H4445" s="25">
        <v>7.1520000000000006E-5</v>
      </c>
      <c r="I4445" s="9">
        <v>9.0820000000000001E-5</v>
      </c>
      <c r="J4445" s="9">
        <v>8.9599999999999996E-5</v>
      </c>
      <c r="K4445" s="9">
        <v>6.3579999999999998E-5</v>
      </c>
      <c r="L4445" s="9">
        <v>6.6719999999999998E-5</v>
      </c>
      <c r="M4445" s="9">
        <v>7.4270000000000006E-5</v>
      </c>
      <c r="N4445" s="9">
        <v>8.1260000000000005E-5</v>
      </c>
      <c r="O4445" s="9">
        <v>5.486E-5</v>
      </c>
      <c r="P4445" s="9">
        <v>5.427E-5</v>
      </c>
      <c r="Q4445" s="9">
        <v>5.3850000000000001E-5</v>
      </c>
      <c r="R4445" s="10">
        <v>3.3453158303181307E-5</v>
      </c>
      <c r="S4445" s="10">
        <v>1.948205144766396E-5</v>
      </c>
      <c r="T4445" s="10">
        <v>0</v>
      </c>
      <c r="U4445" s="10">
        <v>7.8360000000000002E-5</v>
      </c>
      <c r="V4445" s="25"/>
      <c r="W4445" s="25"/>
      <c r="X4445" s="25"/>
      <c r="Y4445" s="25"/>
      <c r="Z4445" s="25"/>
      <c r="AA4445" s="25"/>
    </row>
    <row r="4446" spans="1:27" x14ac:dyDescent="0.35">
      <c r="A4446" s="5">
        <v>4442</v>
      </c>
      <c r="B4446" s="5">
        <v>186</v>
      </c>
      <c r="C4446" s="5">
        <v>7</v>
      </c>
      <c r="D4446" s="25">
        <v>1.1415000000000001E-4</v>
      </c>
      <c r="E4446" s="25">
        <v>1.0331999999999999E-4</v>
      </c>
      <c r="F4446" s="25">
        <v>1.2622999999999999E-4</v>
      </c>
      <c r="G4446" s="25">
        <v>6.3059999999999996E-5</v>
      </c>
      <c r="H4446" s="25">
        <v>6.9289999999999996E-5</v>
      </c>
      <c r="I4446" s="9">
        <v>8.8090000000000005E-5</v>
      </c>
      <c r="J4446" s="9">
        <v>8.8230000000000001E-5</v>
      </c>
      <c r="K4446" s="9">
        <v>7.2059999999999998E-5</v>
      </c>
      <c r="L4446" s="9">
        <v>5.7859999999999998E-5</v>
      </c>
      <c r="M4446" s="9">
        <v>6.4179999999999999E-5</v>
      </c>
      <c r="N4446" s="9">
        <v>7.2269999999999998E-5</v>
      </c>
      <c r="O4446" s="9">
        <v>1.929E-5</v>
      </c>
      <c r="P4446" s="9">
        <v>3.7750000000000003E-5</v>
      </c>
      <c r="Q4446" s="9">
        <v>5.6180000000000001E-5</v>
      </c>
      <c r="R4446" s="10">
        <v>1.6344545602103418E-5</v>
      </c>
      <c r="S4446" s="10">
        <v>1.2852529712790624E-5</v>
      </c>
      <c r="T4446" s="10">
        <v>0</v>
      </c>
      <c r="U4446" s="10">
        <v>7.8360000000000002E-5</v>
      </c>
      <c r="V4446" s="25"/>
      <c r="W4446" s="25"/>
      <c r="X4446" s="25"/>
      <c r="Y4446" s="25"/>
      <c r="Z4446" s="25"/>
      <c r="AA4446" s="25"/>
    </row>
    <row r="4447" spans="1:27" x14ac:dyDescent="0.35">
      <c r="A4447" s="5">
        <v>4443</v>
      </c>
      <c r="B4447" s="5">
        <v>186</v>
      </c>
      <c r="C4447" s="5">
        <v>7</v>
      </c>
      <c r="D4447" s="25">
        <v>1.1416E-4</v>
      </c>
      <c r="E4447" s="25">
        <v>1.0466E-4</v>
      </c>
      <c r="F4447" s="25">
        <v>1.1192999999999999E-4</v>
      </c>
      <c r="G4447" s="25">
        <v>5.2710000000000002E-5</v>
      </c>
      <c r="H4447" s="25">
        <v>7.5389999999999995E-5</v>
      </c>
      <c r="I4447" s="9">
        <v>8.7659999999999998E-5</v>
      </c>
      <c r="J4447" s="9">
        <v>8.7490000000000004E-5</v>
      </c>
      <c r="K4447" s="9">
        <v>7.4179999999999998E-5</v>
      </c>
      <c r="L4447" s="9">
        <v>2.798E-5</v>
      </c>
      <c r="M4447" s="9">
        <v>5.236E-5</v>
      </c>
      <c r="N4447" s="9">
        <v>6.5699999999999998E-5</v>
      </c>
      <c r="O4447" s="9">
        <v>1.384E-5</v>
      </c>
      <c r="P4447" s="9">
        <v>3.765E-5</v>
      </c>
      <c r="Q4447" s="9">
        <v>6.1370000000000004E-5</v>
      </c>
      <c r="R4447" s="10">
        <v>1.5455249442052812E-5</v>
      </c>
      <c r="S4447" s="10">
        <v>7.2189205103388357E-6</v>
      </c>
      <c r="T4447" s="10">
        <v>0</v>
      </c>
      <c r="U4447" s="10">
        <v>7.8360000000000002E-5</v>
      </c>
      <c r="V4447" s="25"/>
      <c r="W4447" s="25"/>
      <c r="X4447" s="25"/>
      <c r="Y4447" s="25"/>
      <c r="Z4447" s="25"/>
      <c r="AA4447" s="25"/>
    </row>
    <row r="4448" spans="1:27" x14ac:dyDescent="0.35">
      <c r="A4448" s="5">
        <v>4444</v>
      </c>
      <c r="B4448" s="5">
        <v>186</v>
      </c>
      <c r="C4448" s="5">
        <v>7</v>
      </c>
      <c r="D4448" s="25">
        <v>1.1415000000000001E-4</v>
      </c>
      <c r="E4448" s="25">
        <v>1.1108E-4</v>
      </c>
      <c r="F4448" s="25">
        <v>1.1728E-4</v>
      </c>
      <c r="G4448" s="25">
        <v>5.6660000000000003E-5</v>
      </c>
      <c r="H4448" s="25">
        <v>7.1740000000000001E-5</v>
      </c>
      <c r="I4448" s="9">
        <v>8.9170000000000002E-5</v>
      </c>
      <c r="J4448" s="9">
        <v>8.7739999999999997E-5</v>
      </c>
      <c r="K4448" s="9">
        <v>6.3579999999999998E-5</v>
      </c>
      <c r="L4448" s="9">
        <v>1.768E-5</v>
      </c>
      <c r="M4448" s="9">
        <v>4.4249999999999998E-5</v>
      </c>
      <c r="N4448" s="9">
        <v>6.2030000000000001E-5</v>
      </c>
      <c r="O4448" s="9">
        <v>1.397E-5</v>
      </c>
      <c r="P4448" s="9">
        <v>4.7519999999999999E-5</v>
      </c>
      <c r="Q4448" s="9">
        <v>8.0820000000000002E-5</v>
      </c>
      <c r="R4448" s="10">
        <v>1.5984404686667269E-5</v>
      </c>
      <c r="S4448" s="10">
        <v>2.5529076029816083E-6</v>
      </c>
      <c r="T4448" s="10">
        <v>0</v>
      </c>
      <c r="U4448" s="10">
        <v>7.8360000000000002E-5</v>
      </c>
      <c r="V4448" s="25"/>
      <c r="W4448" s="25"/>
      <c r="X4448" s="25"/>
      <c r="Y4448" s="25"/>
      <c r="Z4448" s="25"/>
      <c r="AA4448" s="25"/>
    </row>
    <row r="4449" spans="1:27" x14ac:dyDescent="0.35">
      <c r="A4449" s="5">
        <v>4445</v>
      </c>
      <c r="B4449" s="5">
        <v>186</v>
      </c>
      <c r="C4449" s="5">
        <v>7</v>
      </c>
      <c r="D4449" s="25">
        <v>1.1416E-4</v>
      </c>
      <c r="E4449" s="25">
        <v>1.0760999999999999E-4</v>
      </c>
      <c r="F4449" s="25">
        <v>1.0942000000000001E-4</v>
      </c>
      <c r="G4449" s="25">
        <v>5.8730000000000002E-5</v>
      </c>
      <c r="H4449" s="25">
        <v>7.2529999999999998E-5</v>
      </c>
      <c r="I4449" s="9">
        <v>9.2390000000000001E-5</v>
      </c>
      <c r="J4449" s="9">
        <v>8.8939999999999999E-5</v>
      </c>
      <c r="K4449" s="9">
        <v>5.9339999999999998E-5</v>
      </c>
      <c r="L4449" s="9">
        <v>1.503E-5</v>
      </c>
      <c r="M4449" s="9">
        <v>4.3600000000000003E-5</v>
      </c>
      <c r="N4449" s="9">
        <v>6.4620000000000001E-5</v>
      </c>
      <c r="O4449" s="9">
        <v>1.9259999999999999E-5</v>
      </c>
      <c r="P4449" s="9">
        <v>5.6530000000000003E-5</v>
      </c>
      <c r="Q4449" s="9">
        <v>9.3480000000000006E-5</v>
      </c>
      <c r="R4449" s="10">
        <v>9.162469930390848E-6</v>
      </c>
      <c r="S4449" s="10">
        <v>6.7164904754515802E-7</v>
      </c>
      <c r="T4449" s="10">
        <v>1.0775060174680996E-5</v>
      </c>
      <c r="U4449" s="10">
        <v>7.8360000000000002E-5</v>
      </c>
      <c r="V4449" s="25"/>
      <c r="W4449" s="25"/>
      <c r="X4449" s="25"/>
      <c r="Y4449" s="25"/>
      <c r="Z4449" s="25"/>
      <c r="AA4449" s="25"/>
    </row>
    <row r="4450" spans="1:27" x14ac:dyDescent="0.35">
      <c r="A4450" s="5">
        <v>4446</v>
      </c>
      <c r="B4450" s="5">
        <v>186</v>
      </c>
      <c r="C4450" s="5">
        <v>7</v>
      </c>
      <c r="D4450" s="25">
        <v>1.1415000000000001E-4</v>
      </c>
      <c r="E4450" s="25">
        <v>1.1247999999999999E-4</v>
      </c>
      <c r="F4450" s="25">
        <v>1.1099000000000001E-4</v>
      </c>
      <c r="G4450" s="25">
        <v>1.1019E-4</v>
      </c>
      <c r="H4450" s="25">
        <v>1.2928000000000001E-4</v>
      </c>
      <c r="I4450" s="9">
        <v>1.0083E-4</v>
      </c>
      <c r="J4450" s="9">
        <v>9.7440000000000002E-5</v>
      </c>
      <c r="K4450" s="9">
        <v>3.8149999999999999E-5</v>
      </c>
      <c r="L4450" s="9">
        <v>1.8199999999999999E-5</v>
      </c>
      <c r="M4450" s="9">
        <v>4.8439999999999997E-5</v>
      </c>
      <c r="N4450" s="9">
        <v>7.1089999999999999E-5</v>
      </c>
      <c r="O4450" s="9">
        <v>4.6579999999999998E-5</v>
      </c>
      <c r="P4450" s="9">
        <v>7.7180000000000003E-5</v>
      </c>
      <c r="Q4450" s="9">
        <v>1.0746E-4</v>
      </c>
      <c r="R4450" s="10">
        <v>1.0714106263931436E-5</v>
      </c>
      <c r="S4450" s="10">
        <v>1.8228355782269407E-6</v>
      </c>
      <c r="T4450" s="10">
        <v>4.6069745471273858E-5</v>
      </c>
      <c r="U4450" s="10">
        <v>7.8360000000000002E-5</v>
      </c>
      <c r="V4450" s="25"/>
      <c r="W4450" s="25"/>
      <c r="X4450" s="25"/>
      <c r="Y4450" s="25"/>
      <c r="Z4450" s="25"/>
      <c r="AA4450" s="25"/>
    </row>
    <row r="4451" spans="1:27" x14ac:dyDescent="0.35">
      <c r="A4451" s="5">
        <v>4447</v>
      </c>
      <c r="B4451" s="5">
        <v>186</v>
      </c>
      <c r="C4451" s="5">
        <v>7</v>
      </c>
      <c r="D4451" s="25">
        <v>1.1416E-4</v>
      </c>
      <c r="E4451" s="25">
        <v>1.0349999999999999E-4</v>
      </c>
      <c r="F4451" s="25">
        <v>1.2433999999999999E-4</v>
      </c>
      <c r="G4451" s="25">
        <v>1.1454E-4</v>
      </c>
      <c r="H4451" s="25">
        <v>1.3236000000000001E-4</v>
      </c>
      <c r="I4451" s="9">
        <v>1.1061999999999999E-4</v>
      </c>
      <c r="J4451" s="9">
        <v>1.1176E-4</v>
      </c>
      <c r="K4451" s="9">
        <v>1.696E-5</v>
      </c>
      <c r="L4451" s="9">
        <v>4.0200000000000001E-5</v>
      </c>
      <c r="M4451" s="9">
        <v>6.0149999999999998E-5</v>
      </c>
      <c r="N4451" s="9">
        <v>8.0859999999999995E-5</v>
      </c>
      <c r="O4451" s="9">
        <v>1.2179E-4</v>
      </c>
      <c r="P4451" s="9">
        <v>1.1686E-4</v>
      </c>
      <c r="Q4451" s="9">
        <v>1.1195E-4</v>
      </c>
      <c r="R4451" s="10">
        <v>3.1556645574889508E-6</v>
      </c>
      <c r="S4451" s="10">
        <v>2.1975660420803099E-6</v>
      </c>
      <c r="T4451" s="10">
        <v>1.1213698451083363E-4</v>
      </c>
      <c r="U4451" s="10">
        <v>7.8360000000000002E-5</v>
      </c>
      <c r="V4451" s="25"/>
      <c r="W4451" s="25"/>
      <c r="X4451" s="25"/>
      <c r="Y4451" s="25"/>
      <c r="Z4451" s="25"/>
      <c r="AA4451" s="25"/>
    </row>
    <row r="4452" spans="1:27" x14ac:dyDescent="0.35">
      <c r="A4452" s="5">
        <v>4448</v>
      </c>
      <c r="B4452" s="5">
        <v>186</v>
      </c>
      <c r="C4452" s="5">
        <v>7</v>
      </c>
      <c r="D4452" s="25">
        <v>1.1415000000000001E-4</v>
      </c>
      <c r="E4452" s="25">
        <v>1.0950000000000001E-4</v>
      </c>
      <c r="F4452" s="25">
        <v>1.1809E-4</v>
      </c>
      <c r="G4452" s="25">
        <v>1.6331000000000001E-4</v>
      </c>
      <c r="H4452" s="25">
        <v>2.0018999999999999E-4</v>
      </c>
      <c r="I4452" s="9">
        <v>1.1937E-4</v>
      </c>
      <c r="J4452" s="9">
        <v>1.2154000000000001E-4</v>
      </c>
      <c r="K4452" s="9">
        <v>6.3600000000000001E-6</v>
      </c>
      <c r="L4452" s="9">
        <v>1.0323E-4</v>
      </c>
      <c r="M4452" s="9">
        <v>8.3590000000000004E-5</v>
      </c>
      <c r="N4452" s="9">
        <v>9.0829999999999996E-5</v>
      </c>
      <c r="O4452" s="9">
        <v>2.1715999999999999E-4</v>
      </c>
      <c r="P4452" s="9">
        <v>1.7668999999999999E-4</v>
      </c>
      <c r="Q4452" s="9">
        <v>1.3650000000000001E-4</v>
      </c>
      <c r="R4452" s="10">
        <v>2.3615227330836893E-6</v>
      </c>
      <c r="S4452" s="10">
        <v>2.2201283971122472E-6</v>
      </c>
      <c r="T4452" s="10">
        <v>2.1845373966746957E-4</v>
      </c>
      <c r="U4452" s="10">
        <v>7.8360000000000002E-5</v>
      </c>
      <c r="V4452" s="25"/>
      <c r="W4452" s="25"/>
      <c r="X4452" s="25"/>
      <c r="Y4452" s="25"/>
      <c r="Z4452" s="25"/>
      <c r="AA4452" s="25"/>
    </row>
    <row r="4453" spans="1:27" x14ac:dyDescent="0.35">
      <c r="A4453" s="5">
        <v>4449</v>
      </c>
      <c r="B4453" s="5">
        <v>186</v>
      </c>
      <c r="C4453" s="5">
        <v>7</v>
      </c>
      <c r="D4453" s="25">
        <v>1.1416E-4</v>
      </c>
      <c r="E4453" s="25">
        <v>1.0794E-4</v>
      </c>
      <c r="F4453" s="25">
        <v>1.2653E-4</v>
      </c>
      <c r="G4453" s="25">
        <v>1.6606999999999999E-4</v>
      </c>
      <c r="H4453" s="25">
        <v>1.9641E-4</v>
      </c>
      <c r="I4453" s="9">
        <v>1.2481999999999999E-4</v>
      </c>
      <c r="J4453" s="9">
        <v>1.2569E-4</v>
      </c>
      <c r="K4453" s="9">
        <v>2.12E-6</v>
      </c>
      <c r="L4453" s="9">
        <v>1.9037000000000001E-4</v>
      </c>
      <c r="M4453" s="9">
        <v>1.2316000000000001E-4</v>
      </c>
      <c r="N4453" s="9">
        <v>1.0452E-4</v>
      </c>
      <c r="O4453" s="9">
        <v>2.1001E-4</v>
      </c>
      <c r="P4453" s="9">
        <v>1.9378E-4</v>
      </c>
      <c r="Q4453" s="9">
        <v>1.7746999999999999E-4</v>
      </c>
      <c r="R4453" s="10">
        <v>1.7015946077288771E-6</v>
      </c>
      <c r="S4453" s="10">
        <v>4.0582667841863476E-6</v>
      </c>
      <c r="T4453" s="10">
        <v>1.4324042592845612E-4</v>
      </c>
      <c r="U4453" s="10">
        <v>7.8360000000000002E-5</v>
      </c>
      <c r="V4453" s="25"/>
      <c r="W4453" s="25"/>
      <c r="X4453" s="25"/>
      <c r="Y4453" s="25"/>
      <c r="Z4453" s="25"/>
      <c r="AA4453" s="25"/>
    </row>
    <row r="4454" spans="1:27" x14ac:dyDescent="0.35">
      <c r="A4454" s="5">
        <v>4450</v>
      </c>
      <c r="B4454" s="5">
        <v>186</v>
      </c>
      <c r="C4454" s="5">
        <v>7</v>
      </c>
      <c r="D4454" s="25">
        <v>1.1415000000000001E-4</v>
      </c>
      <c r="E4454" s="25">
        <v>1.0677E-4</v>
      </c>
      <c r="F4454" s="25">
        <v>1.2378000000000001E-4</v>
      </c>
      <c r="G4454" s="25">
        <v>1.5844000000000001E-4</v>
      </c>
      <c r="H4454" s="25">
        <v>1.9019999999999999E-4</v>
      </c>
      <c r="I4454" s="9">
        <v>1.2739000000000001E-4</v>
      </c>
      <c r="J4454" s="9">
        <v>1.2647E-4</v>
      </c>
      <c r="K4454" s="9">
        <v>0</v>
      </c>
      <c r="L4454" s="9">
        <v>2.0340000000000001E-4</v>
      </c>
      <c r="M4454" s="9">
        <v>1.5862E-4</v>
      </c>
      <c r="N4454" s="9">
        <v>1.2464E-4</v>
      </c>
      <c r="O4454" s="9">
        <v>1.6632999999999999E-4</v>
      </c>
      <c r="P4454" s="9">
        <v>1.7469999999999999E-4</v>
      </c>
      <c r="Q4454" s="9">
        <v>1.8273000000000001E-4</v>
      </c>
      <c r="R4454" s="10">
        <v>1.4944912985244369E-6</v>
      </c>
      <c r="S4454" s="10">
        <v>8.3022810238499997E-6</v>
      </c>
      <c r="T4454" s="10">
        <v>5.8670626866105531E-4</v>
      </c>
      <c r="U4454" s="10">
        <v>7.8360000000000002E-5</v>
      </c>
      <c r="V4454" s="25"/>
      <c r="W4454" s="25"/>
      <c r="X4454" s="25"/>
      <c r="Y4454" s="25"/>
      <c r="Z4454" s="25"/>
      <c r="AA4454" s="25"/>
    </row>
    <row r="4455" spans="1:27" x14ac:dyDescent="0.35">
      <c r="A4455" s="5">
        <v>4451</v>
      </c>
      <c r="B4455" s="5">
        <v>186</v>
      </c>
      <c r="C4455" s="5">
        <v>7</v>
      </c>
      <c r="D4455" s="25">
        <v>1.1416E-4</v>
      </c>
      <c r="E4455" s="25">
        <v>1.0616E-4</v>
      </c>
      <c r="F4455" s="25">
        <v>1.3008E-4</v>
      </c>
      <c r="G4455" s="25">
        <v>1.5935999999999999E-4</v>
      </c>
      <c r="H4455" s="25">
        <v>1.8813E-4</v>
      </c>
      <c r="I4455" s="9">
        <v>1.2878999999999999E-4</v>
      </c>
      <c r="J4455" s="9">
        <v>1.2737E-4</v>
      </c>
      <c r="K4455" s="9">
        <v>8.49E-6</v>
      </c>
      <c r="L4455" s="9">
        <v>1.7453E-4</v>
      </c>
      <c r="M4455" s="9">
        <v>1.7264E-4</v>
      </c>
      <c r="N4455" s="9">
        <v>1.4286E-4</v>
      </c>
      <c r="O4455" s="9">
        <v>1.6526E-4</v>
      </c>
      <c r="P4455" s="9">
        <v>1.7223E-4</v>
      </c>
      <c r="Q4455" s="9">
        <v>1.7888999999999999E-4</v>
      </c>
      <c r="R4455" s="10">
        <v>4.2475187833571477E-6</v>
      </c>
      <c r="S4455" s="10">
        <v>1.7000349180422674E-5</v>
      </c>
      <c r="T4455" s="10">
        <v>6.5970518026968147E-4</v>
      </c>
      <c r="U4455" s="10">
        <v>7.8360000000000002E-5</v>
      </c>
      <c r="V4455" s="25"/>
      <c r="W4455" s="25"/>
      <c r="X4455" s="25"/>
      <c r="Y4455" s="25"/>
      <c r="Z4455" s="25"/>
      <c r="AA4455" s="25"/>
    </row>
    <row r="4456" spans="1:27" x14ac:dyDescent="0.35">
      <c r="A4456" s="5">
        <v>4452</v>
      </c>
      <c r="B4456" s="5">
        <v>186</v>
      </c>
      <c r="C4456" s="5">
        <v>7</v>
      </c>
      <c r="D4456" s="25">
        <v>1.1415000000000001E-4</v>
      </c>
      <c r="E4456" s="25">
        <v>1.0692999999999999E-4</v>
      </c>
      <c r="F4456" s="25">
        <v>1.1092E-4</v>
      </c>
      <c r="G4456" s="25">
        <v>1.6283000000000001E-4</v>
      </c>
      <c r="H4456" s="25">
        <v>1.8907E-4</v>
      </c>
      <c r="I4456" s="9">
        <v>1.2606E-4</v>
      </c>
      <c r="J4456" s="9">
        <v>1.2600999999999999E-4</v>
      </c>
      <c r="K4456" s="9">
        <v>0</v>
      </c>
      <c r="L4456" s="9">
        <v>1.6870000000000001E-4</v>
      </c>
      <c r="M4456" s="9">
        <v>1.7489E-4</v>
      </c>
      <c r="N4456" s="9">
        <v>1.5678E-4</v>
      </c>
      <c r="O4456" s="9">
        <v>1.6786000000000001E-4</v>
      </c>
      <c r="P4456" s="9">
        <v>1.7076999999999999E-4</v>
      </c>
      <c r="Q4456" s="9">
        <v>1.7343E-4</v>
      </c>
      <c r="R4456" s="10">
        <v>2.2691864512112268E-5</v>
      </c>
      <c r="S4456" s="10">
        <v>6.2104476491180077E-5</v>
      </c>
      <c r="T4456" s="10">
        <v>5.8640083388445015E-4</v>
      </c>
      <c r="U4456" s="10">
        <v>7.8360000000000002E-5</v>
      </c>
      <c r="V4456" s="25"/>
      <c r="W4456" s="25"/>
      <c r="X4456" s="25"/>
      <c r="Y4456" s="25"/>
      <c r="Z4456" s="25"/>
      <c r="AA4456" s="25"/>
    </row>
    <row r="4457" spans="1:27" x14ac:dyDescent="0.35">
      <c r="A4457" s="5">
        <v>4453</v>
      </c>
      <c r="B4457" s="5">
        <v>186</v>
      </c>
      <c r="C4457" s="5">
        <v>7</v>
      </c>
      <c r="D4457" s="25">
        <v>1.1416E-4</v>
      </c>
      <c r="E4457" s="25">
        <v>1.1076E-4</v>
      </c>
      <c r="F4457" s="25">
        <v>1.1650999999999999E-4</v>
      </c>
      <c r="G4457" s="25">
        <v>1.5966E-4</v>
      </c>
      <c r="H4457" s="25">
        <v>1.9385999999999999E-4</v>
      </c>
      <c r="I4457" s="9">
        <v>1.2511999999999999E-4</v>
      </c>
      <c r="J4457" s="9">
        <v>1.2701999999999999E-4</v>
      </c>
      <c r="K4457" s="9">
        <v>0</v>
      </c>
      <c r="L4457" s="9">
        <v>1.6823000000000001E-4</v>
      </c>
      <c r="M4457" s="9">
        <v>1.7348E-4</v>
      </c>
      <c r="N4457" s="9">
        <v>1.6609E-4</v>
      </c>
      <c r="O4457" s="9">
        <v>1.5975000000000001E-4</v>
      </c>
      <c r="P4457" s="9">
        <v>1.6338E-4</v>
      </c>
      <c r="Q4457" s="9">
        <v>1.6676000000000001E-4</v>
      </c>
      <c r="R4457" s="10">
        <v>2.9142903959678886E-5</v>
      </c>
      <c r="S4457" s="10">
        <v>6.8975693283691763E-5</v>
      </c>
      <c r="T4457" s="10">
        <v>3.1562442012465178E-4</v>
      </c>
      <c r="U4457" s="10">
        <v>7.8360000000000002E-5</v>
      </c>
      <c r="V4457" s="25"/>
      <c r="W4457" s="25"/>
      <c r="X4457" s="25"/>
      <c r="Y4457" s="25"/>
      <c r="Z4457" s="25"/>
      <c r="AA4457" s="25"/>
    </row>
    <row r="4458" spans="1:27" x14ac:dyDescent="0.35">
      <c r="A4458" s="5">
        <v>4454</v>
      </c>
      <c r="B4458" s="5">
        <v>186</v>
      </c>
      <c r="C4458" s="5">
        <v>7</v>
      </c>
      <c r="D4458" s="25">
        <v>1.1415000000000001E-4</v>
      </c>
      <c r="E4458" s="25">
        <v>1.1356E-4</v>
      </c>
      <c r="F4458" s="25">
        <v>1.1152E-4</v>
      </c>
      <c r="G4458" s="25">
        <v>1.6562E-4</v>
      </c>
      <c r="H4458" s="25">
        <v>1.9667E-4</v>
      </c>
      <c r="I4458" s="9">
        <v>1.2292999999999999E-4</v>
      </c>
      <c r="J4458" s="9">
        <v>1.2697000000000001E-4</v>
      </c>
      <c r="K4458" s="9">
        <v>0</v>
      </c>
      <c r="L4458" s="9">
        <v>1.6137000000000001E-4</v>
      </c>
      <c r="M4458" s="9">
        <v>1.6945E-4</v>
      </c>
      <c r="N4458" s="9">
        <v>1.7024999999999999E-4</v>
      </c>
      <c r="O4458" s="9">
        <v>1.7605E-4</v>
      </c>
      <c r="P4458" s="9">
        <v>1.6817000000000001E-4</v>
      </c>
      <c r="Q4458" s="9">
        <v>1.6017000000000001E-4</v>
      </c>
      <c r="R4458" s="10">
        <v>3.4923044011070759E-5</v>
      </c>
      <c r="S4458" s="10">
        <v>6.6626478592518476E-5</v>
      </c>
      <c r="T4458" s="10">
        <v>1.9083734528275564E-4</v>
      </c>
      <c r="U4458" s="10">
        <v>7.8360000000000002E-5</v>
      </c>
      <c r="V4458" s="25"/>
      <c r="W4458" s="25"/>
      <c r="X4458" s="25"/>
      <c r="Y4458" s="25"/>
      <c r="Z4458" s="25"/>
      <c r="AA4458" s="25"/>
    </row>
    <row r="4459" spans="1:27" x14ac:dyDescent="0.35">
      <c r="A4459" s="5">
        <v>4455</v>
      </c>
      <c r="B4459" s="5">
        <v>186</v>
      </c>
      <c r="C4459" s="5">
        <v>7</v>
      </c>
      <c r="D4459" s="25">
        <v>1.1416E-4</v>
      </c>
      <c r="E4459" s="25">
        <v>1.0749E-4</v>
      </c>
      <c r="F4459" s="25">
        <v>1.1413000000000001E-4</v>
      </c>
      <c r="G4459" s="25">
        <v>1.5713000000000001E-4</v>
      </c>
      <c r="H4459" s="25">
        <v>2.0055E-4</v>
      </c>
      <c r="I4459" s="9">
        <v>1.2211000000000001E-4</v>
      </c>
      <c r="J4459" s="9">
        <v>1.2666000000000001E-4</v>
      </c>
      <c r="K4459" s="9">
        <v>0</v>
      </c>
      <c r="L4459" s="9">
        <v>1.7297999999999999E-4</v>
      </c>
      <c r="M4459" s="9">
        <v>1.6786000000000001E-4</v>
      </c>
      <c r="N4459" s="9">
        <v>1.6961999999999999E-4</v>
      </c>
      <c r="O4459" s="9">
        <v>1.8249999999999999E-4</v>
      </c>
      <c r="P4459" s="9">
        <v>1.6778E-4</v>
      </c>
      <c r="Q4459" s="9">
        <v>1.5304000000000001E-4</v>
      </c>
      <c r="R4459" s="10">
        <v>5.0290125696319707E-5</v>
      </c>
      <c r="S4459" s="10">
        <v>9.0386987659659784E-5</v>
      </c>
      <c r="T4459" s="10">
        <v>6.4361894870181133E-5</v>
      </c>
      <c r="U4459" s="10">
        <v>7.8360000000000002E-5</v>
      </c>
      <c r="V4459" s="25"/>
      <c r="W4459" s="25"/>
      <c r="X4459" s="25"/>
      <c r="Y4459" s="25"/>
      <c r="Z4459" s="25"/>
      <c r="AA4459" s="25"/>
    </row>
    <row r="4460" spans="1:27" x14ac:dyDescent="0.35">
      <c r="A4460" s="5">
        <v>4456</v>
      </c>
      <c r="B4460" s="5">
        <v>186</v>
      </c>
      <c r="C4460" s="5">
        <v>7</v>
      </c>
      <c r="D4460" s="25">
        <v>1.1415000000000001E-4</v>
      </c>
      <c r="E4460" s="25">
        <v>1.0661E-4</v>
      </c>
      <c r="F4460" s="25">
        <v>1.1608E-4</v>
      </c>
      <c r="G4460" s="25">
        <v>1.5956E-4</v>
      </c>
      <c r="H4460" s="25">
        <v>1.9616999999999999E-4</v>
      </c>
      <c r="I4460" s="9">
        <v>1.2048999999999999E-4</v>
      </c>
      <c r="J4460" s="9">
        <v>1.2678E-4</v>
      </c>
      <c r="K4460" s="9">
        <v>0</v>
      </c>
      <c r="L4460" s="9">
        <v>1.8009999999999999E-4</v>
      </c>
      <c r="M4460" s="9">
        <v>1.6751E-4</v>
      </c>
      <c r="N4460" s="9">
        <v>1.6585999999999999E-4</v>
      </c>
      <c r="O4460" s="9">
        <v>1.9519000000000001E-4</v>
      </c>
      <c r="P4460" s="9">
        <v>1.5218999999999999E-4</v>
      </c>
      <c r="Q4460" s="9">
        <v>1.0957E-4</v>
      </c>
      <c r="R4460" s="10">
        <v>8.7630294769275571E-5</v>
      </c>
      <c r="S4460" s="10">
        <v>1.3371442636233511E-4</v>
      </c>
      <c r="T4460" s="10">
        <v>3.0721647946866054E-4</v>
      </c>
      <c r="U4460" s="10">
        <v>7.8360000000000002E-5</v>
      </c>
      <c r="V4460" s="25"/>
      <c r="W4460" s="25"/>
      <c r="X4460" s="25"/>
      <c r="Y4460" s="25"/>
      <c r="Z4460" s="25"/>
      <c r="AA4460" s="25"/>
    </row>
    <row r="4461" spans="1:27" x14ac:dyDescent="0.35">
      <c r="A4461" s="5">
        <v>4457</v>
      </c>
      <c r="B4461" s="5">
        <v>186</v>
      </c>
      <c r="C4461" s="5">
        <v>7</v>
      </c>
      <c r="D4461" s="25">
        <v>1.1416E-4</v>
      </c>
      <c r="E4461" s="25">
        <v>1.1092E-4</v>
      </c>
      <c r="F4461" s="25">
        <v>1.1516E-4</v>
      </c>
      <c r="G4461" s="25">
        <v>1.6416E-4</v>
      </c>
      <c r="H4461" s="25">
        <v>1.9631E-4</v>
      </c>
      <c r="I4461" s="9">
        <v>1.2232000000000001E-4</v>
      </c>
      <c r="J4461" s="9">
        <v>1.2652E-4</v>
      </c>
      <c r="K4461" s="9">
        <v>0</v>
      </c>
      <c r="L4461" s="9">
        <v>1.9162000000000001E-4</v>
      </c>
      <c r="M4461" s="9">
        <v>1.6202999999999999E-4</v>
      </c>
      <c r="N4461" s="9">
        <v>1.5216000000000001E-4</v>
      </c>
      <c r="O4461" s="9">
        <v>2.1331E-4</v>
      </c>
      <c r="P4461" s="9">
        <v>1.6034E-4</v>
      </c>
      <c r="Q4461" s="9">
        <v>1.0785000000000001E-4</v>
      </c>
      <c r="R4461" s="10">
        <v>1.2256262918378084E-4</v>
      </c>
      <c r="S4461" s="10">
        <v>1.1007983328464298E-4</v>
      </c>
      <c r="T4461" s="10">
        <v>2.1089422894649253E-4</v>
      </c>
      <c r="U4461" s="10">
        <v>7.8360000000000002E-5</v>
      </c>
      <c r="V4461" s="25"/>
      <c r="W4461" s="25"/>
      <c r="X4461" s="25"/>
      <c r="Y4461" s="25"/>
      <c r="Z4461" s="25"/>
      <c r="AA4461" s="25"/>
    </row>
    <row r="4462" spans="1:27" x14ac:dyDescent="0.35">
      <c r="A4462" s="5">
        <v>4458</v>
      </c>
      <c r="B4462" s="5">
        <v>186</v>
      </c>
      <c r="C4462" s="5">
        <v>7</v>
      </c>
      <c r="D4462" s="25">
        <v>1.1415000000000001E-4</v>
      </c>
      <c r="E4462" s="25">
        <v>1.0833E-4</v>
      </c>
      <c r="F4462" s="25">
        <v>1.156E-4</v>
      </c>
      <c r="G4462" s="25">
        <v>1.6135999999999999E-4</v>
      </c>
      <c r="H4462" s="25">
        <v>1.9531999999999999E-4</v>
      </c>
      <c r="I4462" s="9">
        <v>1.2256999999999999E-4</v>
      </c>
      <c r="J4462" s="9">
        <v>1.2244999999999999E-4</v>
      </c>
      <c r="K4462" s="9">
        <v>0</v>
      </c>
      <c r="L4462" s="9">
        <v>2.0829999999999999E-4</v>
      </c>
      <c r="M4462" s="9">
        <v>1.5988999999999999E-4</v>
      </c>
      <c r="N4462" s="9">
        <v>1.3904999999999999E-4</v>
      </c>
      <c r="O4462" s="9">
        <v>2.0388000000000001E-4</v>
      </c>
      <c r="P4462" s="9">
        <v>1.6071999999999999E-4</v>
      </c>
      <c r="Q4462" s="9">
        <v>1.1792E-4</v>
      </c>
      <c r="R4462" s="10">
        <v>9.9713626674700982E-5</v>
      </c>
      <c r="S4462" s="10">
        <v>5.7792027255002784E-5</v>
      </c>
      <c r="T4462" s="10">
        <v>1.720955280182908E-4</v>
      </c>
      <c r="U4462" s="10">
        <v>7.8360000000000002E-5</v>
      </c>
      <c r="V4462" s="25"/>
      <c r="W4462" s="25"/>
      <c r="X4462" s="25"/>
      <c r="Y4462" s="25"/>
      <c r="Z4462" s="25"/>
      <c r="AA4462" s="25"/>
    </row>
    <row r="4463" spans="1:27" x14ac:dyDescent="0.35">
      <c r="A4463" s="5">
        <v>4459</v>
      </c>
      <c r="B4463" s="5">
        <v>186</v>
      </c>
      <c r="C4463" s="5">
        <v>7</v>
      </c>
      <c r="D4463" s="25">
        <v>1.1416E-4</v>
      </c>
      <c r="E4463" s="25">
        <v>1.0382000000000001E-4</v>
      </c>
      <c r="F4463" s="25">
        <v>1.2368000000000001E-4</v>
      </c>
      <c r="G4463" s="25">
        <v>1.0832000000000001E-4</v>
      </c>
      <c r="H4463" s="25">
        <v>1.3598000000000001E-4</v>
      </c>
      <c r="I4463" s="9">
        <v>1.1875999999999999E-4</v>
      </c>
      <c r="J4463" s="9">
        <v>1.1985E-4</v>
      </c>
      <c r="K4463" s="9">
        <v>0</v>
      </c>
      <c r="L4463" s="9">
        <v>2.0442999999999999E-4</v>
      </c>
      <c r="M4463" s="9">
        <v>1.5979000000000001E-4</v>
      </c>
      <c r="N4463" s="9">
        <v>1.3011000000000001E-4</v>
      </c>
      <c r="O4463" s="9">
        <v>1.6458E-4</v>
      </c>
      <c r="P4463" s="9">
        <v>1.3622999999999999E-4</v>
      </c>
      <c r="Q4463" s="9">
        <v>1.0813E-4</v>
      </c>
      <c r="R4463" s="10">
        <v>7.156789603735651E-5</v>
      </c>
      <c r="S4463" s="10">
        <v>7.5016954467183527E-5</v>
      </c>
      <c r="T4463" s="10">
        <v>5.1822100430670487E-5</v>
      </c>
      <c r="U4463" s="10">
        <v>7.8360000000000002E-5</v>
      </c>
      <c r="V4463" s="25"/>
      <c r="W4463" s="25"/>
      <c r="X4463" s="25"/>
      <c r="Y4463" s="25"/>
      <c r="Z4463" s="25"/>
      <c r="AA4463" s="25"/>
    </row>
    <row r="4464" spans="1:27" x14ac:dyDescent="0.35">
      <c r="A4464" s="5">
        <v>4460</v>
      </c>
      <c r="B4464" s="5">
        <v>186</v>
      </c>
      <c r="C4464" s="5">
        <v>7</v>
      </c>
      <c r="D4464" s="25">
        <v>1.1415000000000001E-4</v>
      </c>
      <c r="E4464" s="25">
        <v>1.0534E-4</v>
      </c>
      <c r="F4464" s="25">
        <v>1.1658E-4</v>
      </c>
      <c r="G4464" s="25">
        <v>1.0702E-4</v>
      </c>
      <c r="H4464" s="25">
        <v>1.3427E-4</v>
      </c>
      <c r="I4464" s="9">
        <v>1.1393E-4</v>
      </c>
      <c r="J4464" s="9">
        <v>1.1692999999999999E-4</v>
      </c>
      <c r="K4464" s="9">
        <v>8.4800000000000001E-6</v>
      </c>
      <c r="L4464" s="9">
        <v>1.7352000000000001E-4</v>
      </c>
      <c r="M4464" s="9">
        <v>1.5143000000000001E-4</v>
      </c>
      <c r="N4464" s="9">
        <v>1.2129E-4</v>
      </c>
      <c r="O4464" s="9">
        <v>1.2883E-4</v>
      </c>
      <c r="P4464" s="9">
        <v>1.1565000000000001E-4</v>
      </c>
      <c r="Q4464" s="9">
        <v>1.0259000000000001E-4</v>
      </c>
      <c r="R4464" s="10">
        <v>8.8797623381588724E-5</v>
      </c>
      <c r="S4464" s="10">
        <v>1.1068021305729158E-4</v>
      </c>
      <c r="T4464" s="10">
        <v>1.3099758196620045E-5</v>
      </c>
      <c r="U4464" s="10">
        <v>7.8360000000000002E-5</v>
      </c>
      <c r="V4464" s="25"/>
      <c r="W4464" s="25"/>
      <c r="X4464" s="25"/>
      <c r="Y4464" s="25"/>
      <c r="Z4464" s="25"/>
      <c r="AA4464" s="25"/>
    </row>
    <row r="4465" spans="1:27" x14ac:dyDescent="0.35">
      <c r="A4465" s="5">
        <v>4461</v>
      </c>
      <c r="B4465" s="5">
        <v>186</v>
      </c>
      <c r="C4465" s="5">
        <v>7</v>
      </c>
      <c r="D4465" s="25">
        <v>1.1416E-4</v>
      </c>
      <c r="E4465" s="25">
        <v>1.0825E-4</v>
      </c>
      <c r="F4465" s="25">
        <v>1.0927E-4</v>
      </c>
      <c r="G4465" s="25">
        <v>6.0590000000000001E-5</v>
      </c>
      <c r="H4465" s="25">
        <v>6.7440000000000005E-5</v>
      </c>
      <c r="I4465" s="9">
        <v>1.1071E-4</v>
      </c>
      <c r="J4465" s="9">
        <v>1.1331E-4</v>
      </c>
      <c r="K4465" s="9">
        <v>2.756E-5</v>
      </c>
      <c r="L4465" s="9">
        <v>1.3962999999999999E-4</v>
      </c>
      <c r="M4465" s="9">
        <v>1.362E-4</v>
      </c>
      <c r="N4465" s="9">
        <v>1.1374000000000001E-4</v>
      </c>
      <c r="O4465" s="9">
        <v>8.3839999999999997E-5</v>
      </c>
      <c r="P4465" s="9">
        <v>8.5809999999999993E-5</v>
      </c>
      <c r="Q4465" s="9">
        <v>8.7789999999999998E-5</v>
      </c>
      <c r="R4465" s="10">
        <v>1.3539227639670595E-4</v>
      </c>
      <c r="S4465" s="10">
        <v>1.3039898808843135E-4</v>
      </c>
      <c r="T4465" s="10">
        <v>0</v>
      </c>
      <c r="U4465" s="10">
        <v>7.8360000000000002E-5</v>
      </c>
      <c r="V4465" s="25"/>
      <c r="W4465" s="25"/>
      <c r="X4465" s="25"/>
      <c r="Y4465" s="25"/>
      <c r="Z4465" s="25"/>
      <c r="AA4465" s="25"/>
    </row>
    <row r="4466" spans="1:27" x14ac:dyDescent="0.35">
      <c r="A4466" s="5">
        <v>4462</v>
      </c>
      <c r="B4466" s="5">
        <v>186</v>
      </c>
      <c r="C4466" s="5">
        <v>7</v>
      </c>
      <c r="D4466" s="25">
        <v>1.1415000000000001E-4</v>
      </c>
      <c r="E4466" s="25">
        <v>1.1094000000000001E-4</v>
      </c>
      <c r="F4466" s="25">
        <v>1.2983999999999999E-4</v>
      </c>
      <c r="G4466" s="25">
        <v>5.533E-5</v>
      </c>
      <c r="H4466" s="25">
        <v>6.8009999999999994E-5</v>
      </c>
      <c r="I4466" s="9">
        <v>1.1236E-4</v>
      </c>
      <c r="J4466" s="9">
        <v>1.1265E-4</v>
      </c>
      <c r="K4466" s="9">
        <v>2.9669999999999999E-5</v>
      </c>
      <c r="L4466" s="9">
        <v>9.7029999999999998E-5</v>
      </c>
      <c r="M4466" s="9">
        <v>1.1413000000000001E-4</v>
      </c>
      <c r="N4466" s="9">
        <v>1.0598E-4</v>
      </c>
      <c r="O4466" s="9">
        <v>8.7269999999999996E-5</v>
      </c>
      <c r="P4466" s="9">
        <v>8.7880000000000006E-5</v>
      </c>
      <c r="Q4466" s="9">
        <v>8.8529999999999994E-5</v>
      </c>
      <c r="R4466" s="10">
        <v>1.6968177257911454E-4</v>
      </c>
      <c r="S4466" s="10">
        <v>1.4715792297442906E-4</v>
      </c>
      <c r="T4466" s="10">
        <v>0</v>
      </c>
      <c r="U4466" s="10">
        <v>7.8360000000000002E-5</v>
      </c>
      <c r="V4466" s="25"/>
      <c r="W4466" s="25"/>
      <c r="X4466" s="25"/>
      <c r="Y4466" s="25"/>
      <c r="Z4466" s="25"/>
      <c r="AA4466" s="25"/>
    </row>
    <row r="4467" spans="1:27" x14ac:dyDescent="0.35">
      <c r="A4467" s="5">
        <v>4463</v>
      </c>
      <c r="B4467" s="5">
        <v>186</v>
      </c>
      <c r="C4467" s="5">
        <v>7</v>
      </c>
      <c r="D4467" s="25">
        <v>1.1416E-4</v>
      </c>
      <c r="E4467" s="25">
        <v>1.1267E-4</v>
      </c>
      <c r="F4467" s="25">
        <v>1.1225E-4</v>
      </c>
      <c r="G4467" s="25">
        <v>6.1760000000000005E-5</v>
      </c>
      <c r="H4467" s="25">
        <v>7.4019999999999999E-5</v>
      </c>
      <c r="I4467" s="9">
        <v>1.0709000000000001E-4</v>
      </c>
      <c r="J4467" s="9">
        <v>1.0781E-4</v>
      </c>
      <c r="K4467" s="9">
        <v>2.3309999999999999E-5</v>
      </c>
      <c r="L4467" s="9">
        <v>9.0379999999999999E-5</v>
      </c>
      <c r="M4467" s="9">
        <v>9.925E-5</v>
      </c>
      <c r="N4467" s="9">
        <v>1.0014E-4</v>
      </c>
      <c r="O4467" s="9">
        <v>7.7420000000000001E-5</v>
      </c>
      <c r="P4467" s="9">
        <v>7.2020000000000005E-5</v>
      </c>
      <c r="Q4467" s="9">
        <v>6.6779999999999994E-5</v>
      </c>
      <c r="R4467" s="10">
        <v>1.8130748420334535E-4</v>
      </c>
      <c r="S4467" s="10">
        <v>1.7068655789772202E-4</v>
      </c>
      <c r="T4467" s="10">
        <v>0</v>
      </c>
      <c r="U4467" s="10">
        <v>7.8360000000000002E-5</v>
      </c>
      <c r="V4467" s="25"/>
      <c r="W4467" s="25"/>
      <c r="X4467" s="25"/>
      <c r="Y4467" s="25"/>
      <c r="Z4467" s="25"/>
      <c r="AA4467" s="25"/>
    </row>
    <row r="4468" spans="1:27" x14ac:dyDescent="0.35">
      <c r="A4468" s="5">
        <v>4464</v>
      </c>
      <c r="B4468" s="5">
        <v>186</v>
      </c>
      <c r="C4468" s="5">
        <v>7</v>
      </c>
      <c r="D4468" s="25">
        <v>1.1415000000000001E-4</v>
      </c>
      <c r="E4468" s="25">
        <v>1.0815999999999999E-4</v>
      </c>
      <c r="F4468" s="25">
        <v>1.3025999999999999E-4</v>
      </c>
      <c r="G4468" s="25">
        <v>6.2470000000000003E-5</v>
      </c>
      <c r="H4468" s="25">
        <v>7.5010000000000002E-5</v>
      </c>
      <c r="I4468" s="9">
        <v>1.0056999999999999E-4</v>
      </c>
      <c r="J4468" s="9">
        <v>1.0043E-4</v>
      </c>
      <c r="K4468" s="9">
        <v>1.908E-5</v>
      </c>
      <c r="L4468" s="9">
        <v>8.0249999999999999E-5</v>
      </c>
      <c r="M4468" s="9">
        <v>8.6180000000000005E-5</v>
      </c>
      <c r="N4468" s="9">
        <v>9.0760000000000005E-5</v>
      </c>
      <c r="O4468" s="9">
        <v>6.3159999999999998E-5</v>
      </c>
      <c r="P4468" s="9">
        <v>6.1169999999999999E-5</v>
      </c>
      <c r="Q4468" s="9">
        <v>5.9339999999999998E-5</v>
      </c>
      <c r="R4468" s="10">
        <v>1.4612842238423881E-4</v>
      </c>
      <c r="S4468" s="10">
        <v>1.8163322419947564E-4</v>
      </c>
      <c r="T4468" s="10">
        <v>0</v>
      </c>
      <c r="U4468" s="10">
        <v>7.8360000000000002E-5</v>
      </c>
      <c r="V4468" s="25"/>
      <c r="W4468" s="25"/>
      <c r="X4468" s="25"/>
      <c r="Y4468" s="25"/>
      <c r="Z4468" s="25"/>
      <c r="AA4468" s="25"/>
    </row>
    <row r="4469" spans="1:27" x14ac:dyDescent="0.35">
      <c r="A4469" s="5">
        <v>4465</v>
      </c>
      <c r="B4469" s="5">
        <v>187</v>
      </c>
      <c r="C4469" s="5">
        <v>7</v>
      </c>
      <c r="D4469" s="25">
        <v>1.1416E-4</v>
      </c>
      <c r="E4469" s="25">
        <v>1.1059E-4</v>
      </c>
      <c r="F4469" s="25">
        <v>9.8410000000000001E-5</v>
      </c>
      <c r="G4469" s="25">
        <v>5.7059999999999999E-5</v>
      </c>
      <c r="H4469" s="25">
        <v>7.5480000000000002E-5</v>
      </c>
      <c r="I4469" s="9">
        <v>9.5920000000000003E-5</v>
      </c>
      <c r="J4469" s="9">
        <v>9.5050000000000006E-5</v>
      </c>
      <c r="K4469" s="9">
        <v>1.908E-5</v>
      </c>
      <c r="L4469" s="9">
        <v>6.6909999999999995E-5</v>
      </c>
      <c r="M4469" s="9">
        <v>7.4179999999999998E-5</v>
      </c>
      <c r="N4469" s="9">
        <v>8.1359999999999994E-5</v>
      </c>
      <c r="O4469" s="9">
        <v>5.5080000000000001E-5</v>
      </c>
      <c r="P4469" s="9">
        <v>5.4490000000000002E-5</v>
      </c>
      <c r="Q4469" s="9">
        <v>5.4070000000000002E-5</v>
      </c>
      <c r="R4469" s="10">
        <v>1.7257861766074728E-4</v>
      </c>
      <c r="S4469" s="10">
        <v>1.863331038503737E-4</v>
      </c>
      <c r="T4469" s="10">
        <v>0</v>
      </c>
      <c r="U4469" s="10">
        <v>7.8189999999999995E-5</v>
      </c>
      <c r="V4469" s="25"/>
      <c r="W4469" s="25"/>
      <c r="X4469" s="25"/>
      <c r="Y4469" s="25"/>
      <c r="Z4469" s="25"/>
      <c r="AA4469" s="25"/>
    </row>
    <row r="4470" spans="1:27" x14ac:dyDescent="0.35">
      <c r="A4470" s="5">
        <v>4466</v>
      </c>
      <c r="B4470" s="5">
        <v>187</v>
      </c>
      <c r="C4470" s="5">
        <v>7</v>
      </c>
      <c r="D4470" s="25">
        <v>1.1415000000000001E-4</v>
      </c>
      <c r="E4470" s="25">
        <v>1.0982E-4</v>
      </c>
      <c r="F4470" s="25">
        <v>1.0453E-4</v>
      </c>
      <c r="G4470" s="25">
        <v>5.5059999999999998E-5</v>
      </c>
      <c r="H4470" s="25">
        <v>6.9410000000000001E-5</v>
      </c>
      <c r="I4470" s="9">
        <v>9.2269999999999996E-5</v>
      </c>
      <c r="J4470" s="9">
        <v>9.2390000000000001E-5</v>
      </c>
      <c r="K4470" s="9">
        <v>2.968E-5</v>
      </c>
      <c r="L4470" s="9">
        <v>5.8050000000000002E-5</v>
      </c>
      <c r="M4470" s="9">
        <v>6.4250000000000003E-5</v>
      </c>
      <c r="N4470" s="9">
        <v>7.2319999999999999E-5</v>
      </c>
      <c r="O4470" s="9">
        <v>1.9179999999999999E-5</v>
      </c>
      <c r="P4470" s="9">
        <v>3.7530000000000002E-5</v>
      </c>
      <c r="Q4470" s="9">
        <v>5.5859999999999997E-5</v>
      </c>
      <c r="R4470" s="10">
        <v>1.8754908141152099E-4</v>
      </c>
      <c r="S4470" s="10">
        <v>1.8497798583260767E-4</v>
      </c>
      <c r="T4470" s="10">
        <v>0</v>
      </c>
      <c r="U4470" s="10">
        <v>7.8189999999999995E-5</v>
      </c>
      <c r="V4470" s="25"/>
      <c r="W4470" s="25"/>
      <c r="X4470" s="25"/>
      <c r="Y4470" s="25"/>
      <c r="Z4470" s="25"/>
      <c r="AA4470" s="25"/>
    </row>
    <row r="4471" spans="1:27" x14ac:dyDescent="0.35">
      <c r="A4471" s="5">
        <v>4467</v>
      </c>
      <c r="B4471" s="5">
        <v>187</v>
      </c>
      <c r="C4471" s="5">
        <v>7</v>
      </c>
      <c r="D4471" s="25">
        <v>1.1416E-4</v>
      </c>
      <c r="E4471" s="25">
        <v>1.1958E-4</v>
      </c>
      <c r="F4471" s="25">
        <v>9.1039999999999996E-5</v>
      </c>
      <c r="G4471" s="25">
        <v>5.9859999999999999E-5</v>
      </c>
      <c r="H4471" s="25">
        <v>7.5420000000000006E-5</v>
      </c>
      <c r="I4471" s="9">
        <v>9.1240000000000001E-5</v>
      </c>
      <c r="J4471" s="9">
        <v>9.1180000000000005E-5</v>
      </c>
      <c r="K4471" s="9">
        <v>4.2389999999999999E-5</v>
      </c>
      <c r="L4471" s="9">
        <v>2.7929999999999999E-5</v>
      </c>
      <c r="M4471" s="9">
        <v>5.2370000000000002E-5</v>
      </c>
      <c r="N4471" s="9">
        <v>6.5649999999999997E-5</v>
      </c>
      <c r="O4471" s="9">
        <v>1.38E-5</v>
      </c>
      <c r="P4471" s="9">
        <v>3.756E-5</v>
      </c>
      <c r="Q4471" s="9">
        <v>6.122E-5</v>
      </c>
      <c r="R4471" s="10">
        <v>1.7504945790896515E-4</v>
      </c>
      <c r="S4471" s="10">
        <v>1.788439068722881E-4</v>
      </c>
      <c r="T4471" s="10">
        <v>0</v>
      </c>
      <c r="U4471" s="10">
        <v>7.8189999999999995E-5</v>
      </c>
      <c r="V4471" s="25"/>
      <c r="W4471" s="25"/>
      <c r="X4471" s="25"/>
      <c r="Y4471" s="25"/>
      <c r="Z4471" s="25"/>
      <c r="AA4471" s="25"/>
    </row>
    <row r="4472" spans="1:27" x14ac:dyDescent="0.35">
      <c r="A4472" s="5">
        <v>4468</v>
      </c>
      <c r="B4472" s="5">
        <v>187</v>
      </c>
      <c r="C4472" s="5">
        <v>7</v>
      </c>
      <c r="D4472" s="25">
        <v>1.1415000000000001E-4</v>
      </c>
      <c r="E4472" s="25">
        <v>1.1673E-4</v>
      </c>
      <c r="F4472" s="25">
        <v>8.4029999999999993E-5</v>
      </c>
      <c r="G4472" s="25">
        <v>6.0359999999999998E-5</v>
      </c>
      <c r="H4472" s="25">
        <v>7.0630000000000006E-5</v>
      </c>
      <c r="I4472" s="9">
        <v>9.187E-5</v>
      </c>
      <c r="J4472" s="9">
        <v>9.1199999999999994E-5</v>
      </c>
      <c r="K4472" s="9">
        <v>4.6629999999999999E-5</v>
      </c>
      <c r="L4472" s="9">
        <v>1.766E-5</v>
      </c>
      <c r="M4472" s="9">
        <v>4.4190000000000002E-5</v>
      </c>
      <c r="N4472" s="9">
        <v>6.1950000000000001E-5</v>
      </c>
      <c r="O4472" s="9">
        <v>1.384E-5</v>
      </c>
      <c r="P4472" s="9">
        <v>4.7089999999999998E-5</v>
      </c>
      <c r="Q4472" s="9">
        <v>8.0090000000000001E-5</v>
      </c>
      <c r="R4472" s="10">
        <v>1.5772934191480298E-4</v>
      </c>
      <c r="S4472" s="10">
        <v>1.6543953445666943E-4</v>
      </c>
      <c r="T4472" s="10">
        <v>0</v>
      </c>
      <c r="U4472" s="10">
        <v>7.8189999999999995E-5</v>
      </c>
      <c r="V4472" s="25"/>
      <c r="W4472" s="25"/>
      <c r="X4472" s="25"/>
      <c r="Y4472" s="25"/>
      <c r="Z4472" s="25"/>
      <c r="AA4472" s="25"/>
    </row>
    <row r="4473" spans="1:27" x14ac:dyDescent="0.35">
      <c r="A4473" s="5">
        <v>4469</v>
      </c>
      <c r="B4473" s="5">
        <v>187</v>
      </c>
      <c r="C4473" s="5">
        <v>7</v>
      </c>
      <c r="D4473" s="25">
        <v>1.1416E-4</v>
      </c>
      <c r="E4473" s="25">
        <v>1.0945E-4</v>
      </c>
      <c r="F4473" s="25">
        <v>8.4049999999999997E-5</v>
      </c>
      <c r="G4473" s="25">
        <v>5.8180000000000002E-5</v>
      </c>
      <c r="H4473" s="25">
        <v>6.2819999999999998E-5</v>
      </c>
      <c r="I4473" s="9">
        <v>9.4649999999999997E-5</v>
      </c>
      <c r="J4473" s="9">
        <v>9.2139999999999995E-5</v>
      </c>
      <c r="K4473" s="9">
        <v>3.6040000000000001E-5</v>
      </c>
      <c r="L4473" s="9">
        <v>1.4929999999999999E-5</v>
      </c>
      <c r="M4473" s="9">
        <v>4.3390000000000003E-5</v>
      </c>
      <c r="N4473" s="9">
        <v>6.4399999999999993E-5</v>
      </c>
      <c r="O4473" s="9">
        <v>1.931E-5</v>
      </c>
      <c r="P4473" s="9">
        <v>5.6669999999999998E-5</v>
      </c>
      <c r="Q4473" s="9">
        <v>9.3720000000000004E-5</v>
      </c>
      <c r="R4473" s="10">
        <v>1.3959540422434462E-4</v>
      </c>
      <c r="S4473" s="10">
        <v>1.4658882233524329E-4</v>
      </c>
      <c r="T4473" s="10">
        <v>8.5691423436439422E-6</v>
      </c>
      <c r="U4473" s="10">
        <v>7.8189999999999995E-5</v>
      </c>
      <c r="V4473" s="25"/>
      <c r="W4473" s="25"/>
      <c r="X4473" s="25"/>
      <c r="Y4473" s="25"/>
      <c r="Z4473" s="25"/>
      <c r="AA4473" s="25"/>
    </row>
    <row r="4474" spans="1:27" x14ac:dyDescent="0.35">
      <c r="A4474" s="5">
        <v>4470</v>
      </c>
      <c r="B4474" s="5">
        <v>187</v>
      </c>
      <c r="C4474" s="5">
        <v>7</v>
      </c>
      <c r="D4474" s="25">
        <v>1.1415000000000001E-4</v>
      </c>
      <c r="E4474" s="25">
        <v>1.1396E-4</v>
      </c>
      <c r="F4474" s="25">
        <v>8.4790000000000006E-5</v>
      </c>
      <c r="G4474" s="25">
        <v>1.1493E-4</v>
      </c>
      <c r="H4474" s="25">
        <v>1.3253000000000001E-4</v>
      </c>
      <c r="I4474" s="9">
        <v>1.024E-4</v>
      </c>
      <c r="J4474" s="9">
        <v>9.9729999999999996E-5</v>
      </c>
      <c r="K4474" s="9">
        <v>2.968E-5</v>
      </c>
      <c r="L4474" s="9">
        <v>1.821E-5</v>
      </c>
      <c r="M4474" s="9">
        <v>4.833E-5</v>
      </c>
      <c r="N4474" s="9">
        <v>7.0939999999999995E-5</v>
      </c>
      <c r="O4474" s="9">
        <v>4.6589999999999999E-5</v>
      </c>
      <c r="P4474" s="9">
        <v>7.7189999999999998E-5</v>
      </c>
      <c r="Q4474" s="9">
        <v>1.0749E-4</v>
      </c>
      <c r="R4474" s="10">
        <v>1.2162623278668577E-4</v>
      </c>
      <c r="S4474" s="10">
        <v>1.4097473749399153E-4</v>
      </c>
      <c r="T4474" s="10">
        <v>3.5065609214139019E-5</v>
      </c>
      <c r="U4474" s="10">
        <v>7.8189999999999995E-5</v>
      </c>
      <c r="V4474" s="25"/>
      <c r="W4474" s="25"/>
      <c r="X4474" s="25"/>
      <c r="Y4474" s="25"/>
      <c r="Z4474" s="25"/>
      <c r="AA4474" s="25"/>
    </row>
    <row r="4475" spans="1:27" x14ac:dyDescent="0.35">
      <c r="A4475" s="5">
        <v>4471</v>
      </c>
      <c r="B4475" s="5">
        <v>187</v>
      </c>
      <c r="C4475" s="5">
        <v>7</v>
      </c>
      <c r="D4475" s="25">
        <v>1.1416E-4</v>
      </c>
      <c r="E4475" s="25">
        <v>1.2017E-4</v>
      </c>
      <c r="F4475" s="25">
        <v>8.6450000000000001E-5</v>
      </c>
      <c r="G4475" s="25">
        <v>1.1116999999999999E-4</v>
      </c>
      <c r="H4475" s="25">
        <v>1.3789E-4</v>
      </c>
      <c r="I4475" s="9">
        <v>1.1259E-4</v>
      </c>
      <c r="J4475" s="9">
        <v>1.1467E-4</v>
      </c>
      <c r="K4475" s="9">
        <v>1.908E-5</v>
      </c>
      <c r="L4475" s="9">
        <v>4.0210000000000003E-5</v>
      </c>
      <c r="M4475" s="9">
        <v>6.012E-5</v>
      </c>
      <c r="N4475" s="9">
        <v>8.0740000000000003E-5</v>
      </c>
      <c r="O4475" s="9">
        <v>1.2271E-4</v>
      </c>
      <c r="P4475" s="9">
        <v>1.1773999999999999E-4</v>
      </c>
      <c r="Q4475" s="9">
        <v>1.1279E-4</v>
      </c>
      <c r="R4475" s="10">
        <v>1.2306032177864543E-4</v>
      </c>
      <c r="S4475" s="10">
        <v>1.4867795178301422E-4</v>
      </c>
      <c r="T4475" s="10">
        <v>1.5736678434644338E-4</v>
      </c>
      <c r="U4475" s="10">
        <v>7.8189999999999995E-5</v>
      </c>
      <c r="V4475" s="25"/>
      <c r="W4475" s="25"/>
      <c r="X4475" s="25"/>
      <c r="Y4475" s="25"/>
      <c r="Z4475" s="25"/>
      <c r="AA4475" s="25"/>
    </row>
    <row r="4476" spans="1:27" x14ac:dyDescent="0.35">
      <c r="A4476" s="5">
        <v>4472</v>
      </c>
      <c r="B4476" s="5">
        <v>187</v>
      </c>
      <c r="C4476" s="5">
        <v>7</v>
      </c>
      <c r="D4476" s="25">
        <v>1.1415000000000001E-4</v>
      </c>
      <c r="E4476" s="25">
        <v>1.1913000000000001E-4</v>
      </c>
      <c r="F4476" s="25">
        <v>9.4320000000000005E-5</v>
      </c>
      <c r="G4476" s="25">
        <v>1.5673999999999999E-4</v>
      </c>
      <c r="H4476" s="25">
        <v>1.8802000000000001E-4</v>
      </c>
      <c r="I4476" s="9">
        <v>1.1998999999999999E-4</v>
      </c>
      <c r="J4476" s="9">
        <v>1.2606999999999999E-4</v>
      </c>
      <c r="K4476" s="9">
        <v>0</v>
      </c>
      <c r="L4476" s="9">
        <v>1.0394E-4</v>
      </c>
      <c r="M4476" s="9">
        <v>8.3900000000000006E-5</v>
      </c>
      <c r="N4476" s="9">
        <v>9.0920000000000004E-5</v>
      </c>
      <c r="O4476" s="9">
        <v>2.1505E-4</v>
      </c>
      <c r="P4476" s="9">
        <v>1.7496999999999999E-4</v>
      </c>
      <c r="Q4476" s="9">
        <v>1.3517E-4</v>
      </c>
      <c r="R4476" s="10">
        <v>1.1764793098125154E-4</v>
      </c>
      <c r="S4476" s="10">
        <v>1.5706563347499039E-4</v>
      </c>
      <c r="T4476" s="10">
        <v>2.9330222853442679E-4</v>
      </c>
      <c r="U4476" s="10">
        <v>7.8189999999999995E-5</v>
      </c>
      <c r="V4476" s="25"/>
      <c r="W4476" s="25"/>
      <c r="X4476" s="25"/>
      <c r="Y4476" s="25"/>
      <c r="Z4476" s="25"/>
      <c r="AA4476" s="25"/>
    </row>
    <row r="4477" spans="1:27" x14ac:dyDescent="0.35">
      <c r="A4477" s="5">
        <v>4473</v>
      </c>
      <c r="B4477" s="5">
        <v>187</v>
      </c>
      <c r="C4477" s="5">
        <v>7</v>
      </c>
      <c r="D4477" s="25">
        <v>1.1416E-4</v>
      </c>
      <c r="E4477" s="25">
        <v>1.1216E-4</v>
      </c>
      <c r="F4477" s="25">
        <v>1.0341E-4</v>
      </c>
      <c r="G4477" s="25">
        <v>1.6013999999999999E-4</v>
      </c>
      <c r="H4477" s="25">
        <v>1.8896000000000001E-4</v>
      </c>
      <c r="I4477" s="9">
        <v>1.2421000000000001E-4</v>
      </c>
      <c r="J4477" s="9">
        <v>1.3210000000000001E-4</v>
      </c>
      <c r="K4477" s="9">
        <v>0</v>
      </c>
      <c r="L4477" s="9">
        <v>1.8886E-4</v>
      </c>
      <c r="M4477" s="9">
        <v>1.2282999999999999E-4</v>
      </c>
      <c r="N4477" s="9">
        <v>1.0433999999999999E-4</v>
      </c>
      <c r="O4477" s="9">
        <v>2.0782E-4</v>
      </c>
      <c r="P4477" s="9">
        <v>1.9176999999999999E-4</v>
      </c>
      <c r="Q4477" s="9">
        <v>1.7562E-4</v>
      </c>
      <c r="R4477" s="10">
        <v>1.0216033292644472E-4</v>
      </c>
      <c r="S4477" s="10">
        <v>1.5797309003010338E-4</v>
      </c>
      <c r="T4477" s="10">
        <v>4.5361306475536964E-4</v>
      </c>
      <c r="U4477" s="10">
        <v>7.8189999999999995E-5</v>
      </c>
      <c r="V4477" s="25"/>
      <c r="W4477" s="25"/>
      <c r="X4477" s="25"/>
      <c r="Y4477" s="25"/>
      <c r="Z4477" s="25"/>
      <c r="AA4477" s="25"/>
    </row>
    <row r="4478" spans="1:27" x14ac:dyDescent="0.35">
      <c r="A4478" s="5">
        <v>4474</v>
      </c>
      <c r="B4478" s="5">
        <v>187</v>
      </c>
      <c r="C4478" s="5">
        <v>7</v>
      </c>
      <c r="D4478" s="25">
        <v>1.1415000000000001E-4</v>
      </c>
      <c r="E4478" s="25">
        <v>1.0980999999999999E-4</v>
      </c>
      <c r="F4478" s="25">
        <v>1.0049E-4</v>
      </c>
      <c r="G4478" s="25">
        <v>1.6691000000000001E-4</v>
      </c>
      <c r="H4478" s="25">
        <v>1.9144E-4</v>
      </c>
      <c r="I4478" s="9">
        <v>1.2674999999999999E-4</v>
      </c>
      <c r="J4478" s="9">
        <v>1.3311E-4</v>
      </c>
      <c r="K4478" s="9">
        <v>0</v>
      </c>
      <c r="L4478" s="9">
        <v>2.0143E-4</v>
      </c>
      <c r="M4478" s="9">
        <v>1.5749000000000001E-4</v>
      </c>
      <c r="N4478" s="9">
        <v>1.2410000000000001E-4</v>
      </c>
      <c r="O4478" s="9">
        <v>1.6464E-4</v>
      </c>
      <c r="P4478" s="9">
        <v>1.7291999999999999E-4</v>
      </c>
      <c r="Q4478" s="9">
        <v>1.8087999999999999E-4</v>
      </c>
      <c r="R4478" s="10">
        <v>1.0132827529063767E-4</v>
      </c>
      <c r="S4478" s="10">
        <v>1.557732728349104E-4</v>
      </c>
      <c r="T4478" s="10">
        <v>6.025379712484212E-4</v>
      </c>
      <c r="U4478" s="10">
        <v>7.8189999999999995E-5</v>
      </c>
      <c r="V4478" s="25"/>
      <c r="W4478" s="25"/>
      <c r="X4478" s="25"/>
      <c r="Y4478" s="25"/>
      <c r="Z4478" s="25"/>
      <c r="AA4478" s="25"/>
    </row>
    <row r="4479" spans="1:27" x14ac:dyDescent="0.35">
      <c r="A4479" s="5">
        <v>4475</v>
      </c>
      <c r="B4479" s="5">
        <v>187</v>
      </c>
      <c r="C4479" s="5">
        <v>7</v>
      </c>
      <c r="D4479" s="25">
        <v>1.1416E-4</v>
      </c>
      <c r="E4479" s="25">
        <v>1.1654000000000001E-4</v>
      </c>
      <c r="F4479" s="25">
        <v>1.0294E-4</v>
      </c>
      <c r="G4479" s="25">
        <v>1.6584E-4</v>
      </c>
      <c r="H4479" s="25">
        <v>1.9007E-4</v>
      </c>
      <c r="I4479" s="9">
        <v>1.3001000000000001E-4</v>
      </c>
      <c r="J4479" s="9">
        <v>1.3329999999999999E-4</v>
      </c>
      <c r="K4479" s="9">
        <v>0</v>
      </c>
      <c r="L4479" s="9">
        <v>1.728E-4</v>
      </c>
      <c r="M4479" s="9">
        <v>1.7108E-4</v>
      </c>
      <c r="N4479" s="9">
        <v>1.4194000000000001E-4</v>
      </c>
      <c r="O4479" s="9">
        <v>1.6668999999999999E-4</v>
      </c>
      <c r="P4479" s="9">
        <v>1.7372000000000001E-4</v>
      </c>
      <c r="Q4479" s="9">
        <v>1.8043000000000001E-4</v>
      </c>
      <c r="R4479" s="10">
        <v>1.1291226526934705E-4</v>
      </c>
      <c r="S4479" s="10">
        <v>1.5041710413748663E-4</v>
      </c>
      <c r="T4479" s="10">
        <v>6.5284986639476642E-4</v>
      </c>
      <c r="U4479" s="10">
        <v>7.8189999999999995E-5</v>
      </c>
      <c r="V4479" s="25"/>
      <c r="W4479" s="25"/>
      <c r="X4479" s="25"/>
      <c r="Y4479" s="25"/>
      <c r="Z4479" s="25"/>
      <c r="AA4479" s="25"/>
    </row>
    <row r="4480" spans="1:27" x14ac:dyDescent="0.35">
      <c r="A4480" s="5">
        <v>4476</v>
      </c>
      <c r="B4480" s="5">
        <v>187</v>
      </c>
      <c r="C4480" s="5">
        <v>7</v>
      </c>
      <c r="D4480" s="25">
        <v>1.1415000000000001E-4</v>
      </c>
      <c r="E4480" s="25">
        <v>1.1635E-4</v>
      </c>
      <c r="F4480" s="25">
        <v>9.7490000000000003E-5</v>
      </c>
      <c r="G4480" s="25">
        <v>1.5969000000000001E-4</v>
      </c>
      <c r="H4480" s="25">
        <v>1.8801000000000001E-4</v>
      </c>
      <c r="I4480" s="9">
        <v>1.2781000000000001E-4</v>
      </c>
      <c r="J4480" s="9">
        <v>1.3134999999999999E-4</v>
      </c>
      <c r="K4480" s="9">
        <v>0</v>
      </c>
      <c r="L4480" s="9">
        <v>1.6940999999999999E-4</v>
      </c>
      <c r="M4480" s="9">
        <v>1.7433999999999999E-4</v>
      </c>
      <c r="N4480" s="9">
        <v>1.5626999999999999E-4</v>
      </c>
      <c r="O4480" s="9">
        <v>1.6982E-4</v>
      </c>
      <c r="P4480" s="9">
        <v>1.7276999999999999E-4</v>
      </c>
      <c r="Q4480" s="9">
        <v>1.7546E-4</v>
      </c>
      <c r="R4480" s="10">
        <v>9.8478810893538814E-5</v>
      </c>
      <c r="S4480" s="10">
        <v>1.2326630461251297E-4</v>
      </c>
      <c r="T4480" s="10">
        <v>5.7658449953633536E-4</v>
      </c>
      <c r="U4480" s="10">
        <v>7.8189999999999995E-5</v>
      </c>
      <c r="V4480" s="25"/>
      <c r="W4480" s="25"/>
      <c r="X4480" s="25"/>
      <c r="Y4480" s="25"/>
      <c r="Z4480" s="25"/>
      <c r="AA4480" s="25"/>
    </row>
    <row r="4481" spans="1:27" x14ac:dyDescent="0.35">
      <c r="A4481" s="5">
        <v>4477</v>
      </c>
      <c r="B4481" s="5">
        <v>187</v>
      </c>
      <c r="C4481" s="5">
        <v>7</v>
      </c>
      <c r="D4481" s="25">
        <v>1.1416E-4</v>
      </c>
      <c r="E4481" s="25">
        <v>1.1941E-4</v>
      </c>
      <c r="F4481" s="25">
        <v>8.7600000000000002E-5</v>
      </c>
      <c r="G4481" s="25">
        <v>1.6707000000000001E-4</v>
      </c>
      <c r="H4481" s="25">
        <v>1.9358E-4</v>
      </c>
      <c r="I4481" s="9">
        <v>1.2510000000000001E-4</v>
      </c>
      <c r="J4481" s="9">
        <v>1.3104999999999999E-4</v>
      </c>
      <c r="K4481" s="9">
        <v>0</v>
      </c>
      <c r="L4481" s="9">
        <v>1.6985000000000001E-4</v>
      </c>
      <c r="M4481" s="9">
        <v>1.7415E-4</v>
      </c>
      <c r="N4481" s="9">
        <v>1.6610999999999999E-4</v>
      </c>
      <c r="O4481" s="9">
        <v>1.5961E-4</v>
      </c>
      <c r="P4481" s="9">
        <v>1.6322999999999999E-4</v>
      </c>
      <c r="Q4481" s="9">
        <v>1.6661000000000001E-4</v>
      </c>
      <c r="R4481" s="10">
        <v>9.7306934575026871E-5</v>
      </c>
      <c r="S4481" s="10">
        <v>1.1357327848062069E-4</v>
      </c>
      <c r="T4481" s="10">
        <v>7.3121933949203287E-4</v>
      </c>
      <c r="U4481" s="10">
        <v>7.8189999999999995E-5</v>
      </c>
      <c r="V4481" s="25"/>
      <c r="W4481" s="25"/>
      <c r="X4481" s="25"/>
      <c r="Y4481" s="25"/>
      <c r="Z4481" s="25"/>
      <c r="AA4481" s="25"/>
    </row>
    <row r="4482" spans="1:27" x14ac:dyDescent="0.35">
      <c r="A4482" s="5">
        <v>4478</v>
      </c>
      <c r="B4482" s="5">
        <v>187</v>
      </c>
      <c r="C4482" s="5">
        <v>7</v>
      </c>
      <c r="D4482" s="25">
        <v>1.1415000000000001E-4</v>
      </c>
      <c r="E4482" s="25">
        <v>1.0925999999999999E-4</v>
      </c>
      <c r="F4482" s="25">
        <v>1.0349999999999999E-4</v>
      </c>
      <c r="G4482" s="25">
        <v>1.6513000000000001E-4</v>
      </c>
      <c r="H4482" s="25">
        <v>1.9824E-4</v>
      </c>
      <c r="I4482" s="9">
        <v>1.2163999999999999E-4</v>
      </c>
      <c r="J4482" s="9">
        <v>1.3019E-4</v>
      </c>
      <c r="K4482" s="9">
        <v>0</v>
      </c>
      <c r="L4482" s="9">
        <v>1.6159E-4</v>
      </c>
      <c r="M4482" s="9">
        <v>1.7012E-4</v>
      </c>
      <c r="N4482" s="9">
        <v>1.7037000000000001E-4</v>
      </c>
      <c r="O4482" s="9">
        <v>1.7668999999999999E-4</v>
      </c>
      <c r="P4482" s="9">
        <v>1.6877999999999999E-4</v>
      </c>
      <c r="Q4482" s="9">
        <v>1.6075E-4</v>
      </c>
      <c r="R4482" s="10">
        <v>9.2473139044888336E-5</v>
      </c>
      <c r="S4482" s="10">
        <v>1.2635802359583226E-4</v>
      </c>
      <c r="T4482" s="10">
        <v>6.631413215064893E-4</v>
      </c>
      <c r="U4482" s="10">
        <v>7.8189999999999995E-5</v>
      </c>
      <c r="V4482" s="25"/>
      <c r="W4482" s="25"/>
      <c r="X4482" s="25"/>
      <c r="Y4482" s="25"/>
      <c r="Z4482" s="25"/>
      <c r="AA4482" s="25"/>
    </row>
    <row r="4483" spans="1:27" x14ac:dyDescent="0.35">
      <c r="A4483" s="5">
        <v>4479</v>
      </c>
      <c r="B4483" s="5">
        <v>187</v>
      </c>
      <c r="C4483" s="5">
        <v>7</v>
      </c>
      <c r="D4483" s="25">
        <v>1.1416E-4</v>
      </c>
      <c r="E4483" s="25">
        <v>1.1061999999999999E-4</v>
      </c>
      <c r="F4483" s="25">
        <v>8.7089999999999995E-5</v>
      </c>
      <c r="G4483" s="25">
        <v>1.6407999999999999E-4</v>
      </c>
      <c r="H4483" s="25">
        <v>1.9862999999999999E-4</v>
      </c>
      <c r="I4483" s="9">
        <v>1.2231000000000001E-4</v>
      </c>
      <c r="J4483" s="9">
        <v>1.2839000000000001E-4</v>
      </c>
      <c r="K4483" s="9">
        <v>0</v>
      </c>
      <c r="L4483" s="9">
        <v>1.7358E-4</v>
      </c>
      <c r="M4483" s="9">
        <v>1.6846E-4</v>
      </c>
      <c r="N4483" s="9">
        <v>1.6998999999999999E-4</v>
      </c>
      <c r="O4483" s="9">
        <v>1.8154E-4</v>
      </c>
      <c r="P4483" s="9">
        <v>1.6689999999999999E-4</v>
      </c>
      <c r="Q4483" s="9">
        <v>1.5223E-4</v>
      </c>
      <c r="R4483" s="10">
        <v>8.7687094293822847E-5</v>
      </c>
      <c r="S4483" s="10">
        <v>1.2874311036342371E-4</v>
      </c>
      <c r="T4483" s="10">
        <v>6.0569413060667428E-4</v>
      </c>
      <c r="U4483" s="10">
        <v>7.8189999999999995E-5</v>
      </c>
      <c r="V4483" s="25"/>
      <c r="W4483" s="25"/>
      <c r="X4483" s="25"/>
      <c r="Y4483" s="25"/>
      <c r="Z4483" s="25"/>
      <c r="AA4483" s="25"/>
    </row>
    <row r="4484" spans="1:27" x14ac:dyDescent="0.35">
      <c r="A4484" s="5">
        <v>4480</v>
      </c>
      <c r="B4484" s="5">
        <v>187</v>
      </c>
      <c r="C4484" s="5">
        <v>7</v>
      </c>
      <c r="D4484" s="25">
        <v>1.1415000000000001E-4</v>
      </c>
      <c r="E4484" s="25">
        <v>1.1718999999999999E-4</v>
      </c>
      <c r="F4484" s="25">
        <v>8.4300000000000003E-5</v>
      </c>
      <c r="G4484" s="25">
        <v>1.5610999999999999E-4</v>
      </c>
      <c r="H4484" s="25">
        <v>1.9843000000000001E-4</v>
      </c>
      <c r="I4484" s="9">
        <v>1.2111E-4</v>
      </c>
      <c r="J4484" s="9">
        <v>1.2725E-4</v>
      </c>
      <c r="K4484" s="9">
        <v>0</v>
      </c>
      <c r="L4484" s="9">
        <v>1.7948000000000001E-4</v>
      </c>
      <c r="M4484" s="9">
        <v>1.6756E-4</v>
      </c>
      <c r="N4484" s="9">
        <v>1.661E-4</v>
      </c>
      <c r="O4484" s="9">
        <v>1.9519000000000001E-4</v>
      </c>
      <c r="P4484" s="9">
        <v>1.5218999999999999E-4</v>
      </c>
      <c r="Q4484" s="9">
        <v>1.0957E-4</v>
      </c>
      <c r="R4484" s="10">
        <v>7.9586788234406626E-5</v>
      </c>
      <c r="S4484" s="10">
        <v>1.2598082091802484E-4</v>
      </c>
      <c r="T4484" s="10">
        <v>4.8680364381312717E-4</v>
      </c>
      <c r="U4484" s="10">
        <v>7.8189999999999995E-5</v>
      </c>
      <c r="V4484" s="25"/>
      <c r="W4484" s="25"/>
      <c r="X4484" s="25"/>
      <c r="Y4484" s="25"/>
      <c r="Z4484" s="25"/>
      <c r="AA4484" s="25"/>
    </row>
    <row r="4485" spans="1:27" x14ac:dyDescent="0.35">
      <c r="A4485" s="5">
        <v>4481</v>
      </c>
      <c r="B4485" s="5">
        <v>187</v>
      </c>
      <c r="C4485" s="5">
        <v>7</v>
      </c>
      <c r="D4485" s="25">
        <v>1.1416E-4</v>
      </c>
      <c r="E4485" s="25">
        <v>1.1784E-4</v>
      </c>
      <c r="F4485" s="25">
        <v>1.0142E-4</v>
      </c>
      <c r="G4485" s="25">
        <v>1.5642999999999999E-4</v>
      </c>
      <c r="H4485" s="25">
        <v>1.9311999999999999E-4</v>
      </c>
      <c r="I4485" s="9">
        <v>1.2171E-4</v>
      </c>
      <c r="J4485" s="9">
        <v>1.2768E-4</v>
      </c>
      <c r="K4485" s="9">
        <v>0</v>
      </c>
      <c r="L4485" s="9">
        <v>1.9150999999999999E-4</v>
      </c>
      <c r="M4485" s="9">
        <v>1.6191E-4</v>
      </c>
      <c r="N4485" s="9">
        <v>1.5233999999999999E-4</v>
      </c>
      <c r="O4485" s="9">
        <v>2.1097999999999999E-4</v>
      </c>
      <c r="P4485" s="9">
        <v>1.5859000000000001E-4</v>
      </c>
      <c r="Q4485" s="9">
        <v>1.0666999999999999E-4</v>
      </c>
      <c r="R4485" s="10">
        <v>6.0533939909742191E-5</v>
      </c>
      <c r="S4485" s="10">
        <v>1.1291685631383266E-4</v>
      </c>
      <c r="T4485" s="10">
        <v>3.4885742067916002E-4</v>
      </c>
      <c r="U4485" s="10">
        <v>7.8189999999999995E-5</v>
      </c>
      <c r="V4485" s="25"/>
      <c r="W4485" s="25"/>
      <c r="X4485" s="25"/>
      <c r="Y4485" s="25"/>
      <c r="Z4485" s="25"/>
      <c r="AA4485" s="25"/>
    </row>
    <row r="4486" spans="1:27" x14ac:dyDescent="0.35">
      <c r="A4486" s="5">
        <v>4482</v>
      </c>
      <c r="B4486" s="5">
        <v>187</v>
      </c>
      <c r="C4486" s="5">
        <v>7</v>
      </c>
      <c r="D4486" s="25">
        <v>1.1415000000000001E-4</v>
      </c>
      <c r="E4486" s="25">
        <v>1.147E-4</v>
      </c>
      <c r="F4486" s="25">
        <v>9.8800000000000003E-5</v>
      </c>
      <c r="G4486" s="25">
        <v>1.5861E-4</v>
      </c>
      <c r="H4486" s="25">
        <v>1.8885000000000001E-4</v>
      </c>
      <c r="I4486" s="9">
        <v>1.2134E-4</v>
      </c>
      <c r="J4486" s="9">
        <v>1.2250999999999999E-4</v>
      </c>
      <c r="K4486" s="9">
        <v>0</v>
      </c>
      <c r="L4486" s="9">
        <v>2.0645E-4</v>
      </c>
      <c r="M4486" s="9">
        <v>1.5914999999999999E-4</v>
      </c>
      <c r="N4486" s="9">
        <v>1.3887E-4</v>
      </c>
      <c r="O4486" s="9">
        <v>2.0232E-4</v>
      </c>
      <c r="P4486" s="9">
        <v>1.5949000000000001E-4</v>
      </c>
      <c r="Q4486" s="9">
        <v>1.1702E-4</v>
      </c>
      <c r="R4486" s="10">
        <v>3.7021700179490454E-5</v>
      </c>
      <c r="S4486" s="10">
        <v>1.1553441021972983E-4</v>
      </c>
      <c r="T4486" s="10">
        <v>1.6876968267303492E-4</v>
      </c>
      <c r="U4486" s="10">
        <v>7.8189999999999995E-5</v>
      </c>
      <c r="V4486" s="25"/>
      <c r="W4486" s="25"/>
      <c r="X4486" s="25"/>
      <c r="Y4486" s="25"/>
      <c r="Z4486" s="25"/>
      <c r="AA4486" s="25"/>
    </row>
    <row r="4487" spans="1:27" x14ac:dyDescent="0.35">
      <c r="A4487" s="5">
        <v>4483</v>
      </c>
      <c r="B4487" s="5">
        <v>187</v>
      </c>
      <c r="C4487" s="5">
        <v>7</v>
      </c>
      <c r="D4487" s="25">
        <v>1.1416E-4</v>
      </c>
      <c r="E4487" s="25">
        <v>1.1126E-4</v>
      </c>
      <c r="F4487" s="25">
        <v>1.0399999999999999E-4</v>
      </c>
      <c r="G4487" s="25">
        <v>1.1551E-4</v>
      </c>
      <c r="H4487" s="25">
        <v>1.3650000000000001E-4</v>
      </c>
      <c r="I4487" s="9">
        <v>1.1656E-4</v>
      </c>
      <c r="J4487" s="9">
        <v>1.187E-4</v>
      </c>
      <c r="K4487" s="9">
        <v>1.696E-5</v>
      </c>
      <c r="L4487" s="9">
        <v>2.0285E-4</v>
      </c>
      <c r="M4487" s="9">
        <v>1.5872E-4</v>
      </c>
      <c r="N4487" s="9">
        <v>1.2967999999999999E-4</v>
      </c>
      <c r="O4487" s="9">
        <v>1.6424000000000001E-4</v>
      </c>
      <c r="P4487" s="9">
        <v>1.3594E-4</v>
      </c>
      <c r="Q4487" s="9">
        <v>1.0789999999999999E-4</v>
      </c>
      <c r="R4487" s="10">
        <v>3.2469896632798021E-5</v>
      </c>
      <c r="S4487" s="10">
        <v>1.1432362993063155E-4</v>
      </c>
      <c r="T4487" s="10">
        <v>3.7500603127629928E-5</v>
      </c>
      <c r="U4487" s="10">
        <v>7.8189999999999995E-5</v>
      </c>
      <c r="V4487" s="25"/>
      <c r="W4487" s="25"/>
      <c r="X4487" s="25"/>
      <c r="Y4487" s="25"/>
      <c r="Z4487" s="25"/>
      <c r="AA4487" s="25"/>
    </row>
    <row r="4488" spans="1:27" x14ac:dyDescent="0.35">
      <c r="A4488" s="5">
        <v>4484</v>
      </c>
      <c r="B4488" s="5">
        <v>187</v>
      </c>
      <c r="C4488" s="5">
        <v>7</v>
      </c>
      <c r="D4488" s="25">
        <v>1.1415000000000001E-4</v>
      </c>
      <c r="E4488" s="25">
        <v>1.1079E-4</v>
      </c>
      <c r="F4488" s="25">
        <v>9.0740000000000002E-5</v>
      </c>
      <c r="G4488" s="25">
        <v>1.0985E-4</v>
      </c>
      <c r="H4488" s="25">
        <v>1.2564E-4</v>
      </c>
      <c r="I4488" s="9">
        <v>1.1150999999999999E-4</v>
      </c>
      <c r="J4488" s="9">
        <v>1.1476000000000001E-4</v>
      </c>
      <c r="K4488" s="9">
        <v>3.8149999999999999E-5</v>
      </c>
      <c r="L4488" s="9">
        <v>1.7291E-4</v>
      </c>
      <c r="M4488" s="9">
        <v>1.5056999999999999E-4</v>
      </c>
      <c r="N4488" s="9">
        <v>1.2078000000000001E-4</v>
      </c>
      <c r="O4488" s="9">
        <v>1.2799E-4</v>
      </c>
      <c r="P4488" s="9">
        <v>1.1489000000000001E-4</v>
      </c>
      <c r="Q4488" s="9">
        <v>1.0192E-4</v>
      </c>
      <c r="R4488" s="10">
        <v>1.5304136490057366E-5</v>
      </c>
      <c r="S4488" s="10">
        <v>1.0119311942291441E-4</v>
      </c>
      <c r="T4488" s="10">
        <v>1.358336325957817E-5</v>
      </c>
      <c r="U4488" s="10">
        <v>7.8189999999999995E-5</v>
      </c>
      <c r="V4488" s="25"/>
      <c r="W4488" s="25"/>
      <c r="X4488" s="25"/>
      <c r="Y4488" s="25"/>
      <c r="Z4488" s="25"/>
      <c r="AA4488" s="25"/>
    </row>
    <row r="4489" spans="1:27" x14ac:dyDescent="0.35">
      <c r="A4489" s="5">
        <v>4485</v>
      </c>
      <c r="B4489" s="5">
        <v>187</v>
      </c>
      <c r="C4489" s="5">
        <v>7</v>
      </c>
      <c r="D4489" s="25">
        <v>1.1416E-4</v>
      </c>
      <c r="E4489" s="25">
        <v>1.1156E-4</v>
      </c>
      <c r="F4489" s="25">
        <v>8.7059999999999997E-5</v>
      </c>
      <c r="G4489" s="25">
        <v>5.5019999999999998E-5</v>
      </c>
      <c r="H4489" s="25">
        <v>7.4439999999999999E-5</v>
      </c>
      <c r="I4489" s="9">
        <v>1.0839E-4</v>
      </c>
      <c r="J4489" s="9">
        <v>1.1211E-4</v>
      </c>
      <c r="K4489" s="9">
        <v>3.8149999999999999E-5</v>
      </c>
      <c r="L4489" s="9">
        <v>1.3880000000000001E-4</v>
      </c>
      <c r="M4489" s="9">
        <v>1.3545000000000001E-4</v>
      </c>
      <c r="N4489" s="9">
        <v>1.1315E-4</v>
      </c>
      <c r="O4489" s="9">
        <v>8.4870000000000006E-5</v>
      </c>
      <c r="P4489" s="9">
        <v>8.6860000000000005E-5</v>
      </c>
      <c r="Q4489" s="9">
        <v>8.8869999999999994E-5</v>
      </c>
      <c r="R4489" s="10">
        <v>5.261043148031067E-6</v>
      </c>
      <c r="S4489" s="10">
        <v>8.8555739843712724E-5</v>
      </c>
      <c r="T4489" s="10">
        <v>0</v>
      </c>
      <c r="U4489" s="10">
        <v>7.8189999999999995E-5</v>
      </c>
      <c r="V4489" s="25"/>
      <c r="W4489" s="25"/>
      <c r="X4489" s="25"/>
      <c r="Y4489" s="25"/>
      <c r="Z4489" s="25"/>
      <c r="AA4489" s="25"/>
    </row>
    <row r="4490" spans="1:27" x14ac:dyDescent="0.35">
      <c r="A4490" s="5">
        <v>4486</v>
      </c>
      <c r="B4490" s="5">
        <v>187</v>
      </c>
      <c r="C4490" s="5">
        <v>7</v>
      </c>
      <c r="D4490" s="25">
        <v>1.1415000000000001E-4</v>
      </c>
      <c r="E4490" s="25">
        <v>1.1254E-4</v>
      </c>
      <c r="F4490" s="25">
        <v>9.7620000000000004E-5</v>
      </c>
      <c r="G4490" s="25">
        <v>6.101E-5</v>
      </c>
      <c r="H4490" s="25">
        <v>6.3299999999999994E-5</v>
      </c>
      <c r="I4490" s="9">
        <v>1.1118E-4</v>
      </c>
      <c r="J4490" s="9">
        <v>1.1056E-4</v>
      </c>
      <c r="K4490" s="9">
        <v>5.5109999999999999E-5</v>
      </c>
      <c r="L4490" s="9">
        <v>9.7659999999999997E-5</v>
      </c>
      <c r="M4490" s="9">
        <v>1.1404999999999999E-4</v>
      </c>
      <c r="N4490" s="9">
        <v>1.0573000000000001E-4</v>
      </c>
      <c r="O4490" s="9">
        <v>8.6600000000000004E-5</v>
      </c>
      <c r="P4490" s="9">
        <v>8.721E-5</v>
      </c>
      <c r="Q4490" s="9">
        <v>8.7849999999999994E-5</v>
      </c>
      <c r="R4490" s="10">
        <v>2.1884111934768456E-6</v>
      </c>
      <c r="S4490" s="10">
        <v>7.2853941607037135E-5</v>
      </c>
      <c r="T4490" s="10">
        <v>0</v>
      </c>
      <c r="U4490" s="10">
        <v>7.8189999999999995E-5</v>
      </c>
      <c r="V4490" s="25"/>
      <c r="W4490" s="25"/>
      <c r="X4490" s="25"/>
      <c r="Y4490" s="25"/>
      <c r="Z4490" s="25"/>
      <c r="AA4490" s="25"/>
    </row>
    <row r="4491" spans="1:27" x14ac:dyDescent="0.35">
      <c r="A4491" s="5">
        <v>4487</v>
      </c>
      <c r="B4491" s="5">
        <v>187</v>
      </c>
      <c r="C4491" s="5">
        <v>7</v>
      </c>
      <c r="D4491" s="25">
        <v>1.1416E-4</v>
      </c>
      <c r="E4491" s="25">
        <v>1.1841999999999999E-4</v>
      </c>
      <c r="F4491" s="25">
        <v>9.0389999999999993E-5</v>
      </c>
      <c r="G4491" s="25">
        <v>6.2580000000000001E-5</v>
      </c>
      <c r="H4491" s="25">
        <v>7.3910000000000002E-5</v>
      </c>
      <c r="I4491" s="9">
        <v>1.0746E-4</v>
      </c>
      <c r="J4491" s="9">
        <v>1.0653E-4</v>
      </c>
      <c r="K4491" s="9">
        <v>5.9349999999999999E-5</v>
      </c>
      <c r="L4491" s="9">
        <v>8.9959999999999999E-5</v>
      </c>
      <c r="M4491" s="9">
        <v>9.9129999999999994E-5</v>
      </c>
      <c r="N4491" s="9">
        <v>9.9870000000000004E-5</v>
      </c>
      <c r="O4491" s="9">
        <v>7.7139999999999997E-5</v>
      </c>
      <c r="P4491" s="9">
        <v>7.1749999999999996E-5</v>
      </c>
      <c r="Q4491" s="9">
        <v>6.6530000000000002E-5</v>
      </c>
      <c r="R4491" s="10">
        <v>2.5347822908184009E-6</v>
      </c>
      <c r="S4491" s="10">
        <v>7.666419631251103E-5</v>
      </c>
      <c r="T4491" s="10">
        <v>0</v>
      </c>
      <c r="U4491" s="10">
        <v>7.8189999999999995E-5</v>
      </c>
      <c r="V4491" s="25"/>
      <c r="W4491" s="25"/>
      <c r="X4491" s="25"/>
      <c r="Y4491" s="25"/>
      <c r="Z4491" s="25"/>
      <c r="AA4491" s="25"/>
    </row>
    <row r="4492" spans="1:27" x14ac:dyDescent="0.35">
      <c r="A4492" s="5">
        <v>4488</v>
      </c>
      <c r="B4492" s="5">
        <v>187</v>
      </c>
      <c r="C4492" s="5">
        <v>7</v>
      </c>
      <c r="D4492" s="25">
        <v>1.1415000000000001E-4</v>
      </c>
      <c r="E4492" s="25">
        <v>1.1120000000000001E-4</v>
      </c>
      <c r="F4492" s="25">
        <v>1.0275E-4</v>
      </c>
      <c r="G4492" s="25">
        <v>5.6060000000000002E-5</v>
      </c>
      <c r="H4492" s="25">
        <v>6.3830000000000004E-5</v>
      </c>
      <c r="I4492" s="9">
        <v>1.0054E-4</v>
      </c>
      <c r="J4492" s="9">
        <v>9.8950000000000006E-5</v>
      </c>
      <c r="K4492" s="9">
        <v>6.9939999999999998E-5</v>
      </c>
      <c r="L4492" s="9">
        <v>7.996E-5</v>
      </c>
      <c r="M4492" s="9">
        <v>8.598E-5</v>
      </c>
      <c r="N4492" s="9">
        <v>9.0539999999999997E-5</v>
      </c>
      <c r="O4492" s="9">
        <v>6.2600000000000004E-5</v>
      </c>
      <c r="P4492" s="9">
        <v>6.0630000000000001E-5</v>
      </c>
      <c r="Q4492" s="9">
        <v>5.8820000000000003E-5</v>
      </c>
      <c r="R4492" s="10">
        <v>8.6202437918625203E-6</v>
      </c>
      <c r="S4492" s="10">
        <v>6.3846021818486659E-5</v>
      </c>
      <c r="T4492" s="10">
        <v>0</v>
      </c>
      <c r="U4492" s="10">
        <v>7.8189999999999995E-5</v>
      </c>
      <c r="V4492" s="25"/>
      <c r="W4492" s="25"/>
      <c r="X4492" s="25"/>
      <c r="Y4492" s="25"/>
      <c r="Z4492" s="25"/>
      <c r="AA4492" s="25"/>
    </row>
    <row r="4493" spans="1:27" x14ac:dyDescent="0.35">
      <c r="A4493" s="5">
        <v>4489</v>
      </c>
      <c r="B4493" s="5">
        <v>188</v>
      </c>
      <c r="C4493" s="5">
        <v>7</v>
      </c>
      <c r="D4493" s="25">
        <v>1.1416E-4</v>
      </c>
      <c r="E4493" s="25">
        <v>1.1139E-4</v>
      </c>
      <c r="F4493" s="25">
        <v>1.2410000000000001E-4</v>
      </c>
      <c r="G4493" s="25">
        <v>6.2299999999999996E-5</v>
      </c>
      <c r="H4493" s="25">
        <v>4.3139999999999997E-5</v>
      </c>
      <c r="I4493" s="9">
        <v>9.624E-5</v>
      </c>
      <c r="J4493" s="9">
        <v>9.3350000000000006E-5</v>
      </c>
      <c r="K4493" s="9">
        <v>9.3250000000000003E-5</v>
      </c>
      <c r="L4493" s="9">
        <v>6.6420000000000004E-5</v>
      </c>
      <c r="M4493" s="9">
        <v>7.3830000000000003E-5</v>
      </c>
      <c r="N4493" s="9">
        <v>8.1100000000000006E-5</v>
      </c>
      <c r="O4493" s="9">
        <v>6.7929999999999995E-5</v>
      </c>
      <c r="P4493" s="9">
        <v>6.0479999999999997E-5</v>
      </c>
      <c r="Q4493" s="9">
        <v>5.3340000000000001E-5</v>
      </c>
      <c r="R4493" s="10">
        <v>2.3179011896612564E-5</v>
      </c>
      <c r="S4493" s="10">
        <v>5.8381383296124002E-5</v>
      </c>
      <c r="T4493" s="10">
        <v>0</v>
      </c>
      <c r="U4493" s="10">
        <v>7.7410000000000006E-5</v>
      </c>
      <c r="V4493" s="25"/>
      <c r="W4493" s="25"/>
      <c r="X4493" s="25"/>
      <c r="Y4493" s="25"/>
      <c r="Z4493" s="25"/>
      <c r="AA4493" s="25"/>
    </row>
    <row r="4494" spans="1:27" x14ac:dyDescent="0.35">
      <c r="A4494" s="5">
        <v>4490</v>
      </c>
      <c r="B4494" s="5">
        <v>188</v>
      </c>
      <c r="C4494" s="5">
        <v>7</v>
      </c>
      <c r="D4494" s="25">
        <v>1.1415000000000001E-4</v>
      </c>
      <c r="E4494" s="25">
        <v>1.0613E-4</v>
      </c>
      <c r="F4494" s="25">
        <v>1.1703E-4</v>
      </c>
      <c r="G4494" s="25">
        <v>6.1140000000000001E-5</v>
      </c>
      <c r="H4494" s="25">
        <v>4.6589999999999999E-5</v>
      </c>
      <c r="I4494" s="9">
        <v>9.4190000000000005E-5</v>
      </c>
      <c r="J4494" s="9">
        <v>9.0859999999999994E-5</v>
      </c>
      <c r="K4494" s="9">
        <v>7.6299999999999998E-5</v>
      </c>
      <c r="L4494" s="9">
        <v>6.7960000000000007E-5</v>
      </c>
      <c r="M4494" s="9">
        <v>6.6149999999999995E-5</v>
      </c>
      <c r="N4494" s="9">
        <v>7.1970000000000004E-5</v>
      </c>
      <c r="O4494" s="9">
        <v>3.5970000000000003E-5</v>
      </c>
      <c r="P4494" s="9">
        <v>4.6279999999999997E-5</v>
      </c>
      <c r="Q4494" s="9">
        <v>5.6719999999999999E-5</v>
      </c>
      <c r="R4494" s="10">
        <v>4.039149921402392E-5</v>
      </c>
      <c r="S4494" s="10">
        <v>6.7791131194378348E-5</v>
      </c>
      <c r="T4494" s="10">
        <v>0</v>
      </c>
      <c r="U4494" s="10">
        <v>7.7410000000000006E-5</v>
      </c>
      <c r="V4494" s="25"/>
      <c r="W4494" s="25"/>
      <c r="X4494" s="25"/>
      <c r="Y4494" s="25"/>
      <c r="Z4494" s="25"/>
      <c r="AA4494" s="25"/>
    </row>
    <row r="4495" spans="1:27" x14ac:dyDescent="0.35">
      <c r="A4495" s="5">
        <v>4491</v>
      </c>
      <c r="B4495" s="5">
        <v>188</v>
      </c>
      <c r="C4495" s="5">
        <v>7</v>
      </c>
      <c r="D4495" s="25">
        <v>1.1416E-4</v>
      </c>
      <c r="E4495" s="25">
        <v>1.0919E-4</v>
      </c>
      <c r="F4495" s="25">
        <v>1.2240999999999999E-4</v>
      </c>
      <c r="G4495" s="25">
        <v>5.5909999999999998E-5</v>
      </c>
      <c r="H4495" s="25">
        <v>4.1159999999999999E-5</v>
      </c>
      <c r="I4495" s="9">
        <v>9.2330000000000005E-5</v>
      </c>
      <c r="J4495" s="9">
        <v>8.9679999999999995E-5</v>
      </c>
      <c r="K4495" s="9">
        <v>8.6890000000000003E-5</v>
      </c>
      <c r="L4495" s="9">
        <v>4.2920000000000002E-5</v>
      </c>
      <c r="M4495" s="9">
        <v>5.736E-5</v>
      </c>
      <c r="N4495" s="9">
        <v>6.5510000000000001E-5</v>
      </c>
      <c r="O4495" s="9">
        <v>2.247E-5</v>
      </c>
      <c r="P4495" s="9">
        <v>4.1780000000000003E-5</v>
      </c>
      <c r="Q4495" s="9">
        <v>6.1110000000000003E-5</v>
      </c>
      <c r="R4495" s="10">
        <v>5.1211138534615313E-5</v>
      </c>
      <c r="S4495" s="10">
        <v>8.0626685499948509E-5</v>
      </c>
      <c r="T4495" s="10">
        <v>0</v>
      </c>
      <c r="U4495" s="10">
        <v>7.7410000000000006E-5</v>
      </c>
      <c r="V4495" s="25"/>
      <c r="W4495" s="25"/>
      <c r="X4495" s="25"/>
      <c r="Y4495" s="25"/>
      <c r="Z4495" s="25"/>
      <c r="AA4495" s="25"/>
    </row>
    <row r="4496" spans="1:27" x14ac:dyDescent="0.35">
      <c r="A4496" s="5">
        <v>4492</v>
      </c>
      <c r="B4496" s="5">
        <v>188</v>
      </c>
      <c r="C4496" s="5">
        <v>7</v>
      </c>
      <c r="D4496" s="25">
        <v>1.1415000000000001E-4</v>
      </c>
      <c r="E4496" s="25">
        <v>1.0614E-4</v>
      </c>
      <c r="F4496" s="25">
        <v>1.1438999999999999E-4</v>
      </c>
      <c r="G4496" s="25">
        <v>5.7620000000000001E-5</v>
      </c>
      <c r="H4496" s="25">
        <v>4.5389999999999997E-5</v>
      </c>
      <c r="I4496" s="9">
        <v>9.2940000000000001E-5</v>
      </c>
      <c r="J4496" s="9">
        <v>9.0179999999999994E-5</v>
      </c>
      <c r="K4496" s="9">
        <v>7.4179999999999998E-5</v>
      </c>
      <c r="L4496" s="9">
        <v>2.7569999999999999E-5</v>
      </c>
      <c r="M4496" s="9">
        <v>4.9679999999999999E-5</v>
      </c>
      <c r="N4496" s="9">
        <v>6.1840000000000004E-5</v>
      </c>
      <c r="O4496" s="9">
        <v>2.198E-5</v>
      </c>
      <c r="P4496" s="9">
        <v>5.1E-5</v>
      </c>
      <c r="Q4496" s="9">
        <v>7.9900000000000004E-5</v>
      </c>
      <c r="R4496" s="10">
        <v>6.1223194568933115E-5</v>
      </c>
      <c r="S4496" s="10">
        <v>8.514608750957851E-5</v>
      </c>
      <c r="T4496" s="10">
        <v>0</v>
      </c>
      <c r="U4496" s="10">
        <v>7.7410000000000006E-5</v>
      </c>
      <c r="V4496" s="25"/>
      <c r="W4496" s="25"/>
      <c r="X4496" s="25"/>
      <c r="Y4496" s="25"/>
      <c r="Z4496" s="25"/>
      <c r="AA4496" s="25"/>
    </row>
    <row r="4497" spans="1:27" x14ac:dyDescent="0.35">
      <c r="A4497" s="5">
        <v>4493</v>
      </c>
      <c r="B4497" s="5">
        <v>188</v>
      </c>
      <c r="C4497" s="5">
        <v>7</v>
      </c>
      <c r="D4497" s="25">
        <v>1.1416E-4</v>
      </c>
      <c r="E4497" s="25">
        <v>1.0412E-4</v>
      </c>
      <c r="F4497" s="25">
        <v>1.1451E-4</v>
      </c>
      <c r="G4497" s="25">
        <v>5.8659999999999997E-5</v>
      </c>
      <c r="H4497" s="25">
        <v>4.1879999999999999E-5</v>
      </c>
      <c r="I4497" s="9">
        <v>9.5089999999999999E-5</v>
      </c>
      <c r="J4497" s="9">
        <v>9.1059999999999999E-5</v>
      </c>
      <c r="K4497" s="9">
        <v>5.7229999999999999E-5</v>
      </c>
      <c r="L4497" s="9">
        <v>2.368E-5</v>
      </c>
      <c r="M4497" s="9">
        <v>4.8319999999999998E-5</v>
      </c>
      <c r="N4497" s="9">
        <v>6.4300000000000004E-5</v>
      </c>
      <c r="O4497" s="9">
        <v>2.3949999999999999E-5</v>
      </c>
      <c r="P4497" s="9">
        <v>5.8839999999999999E-5</v>
      </c>
      <c r="Q4497" s="9">
        <v>9.3519999999999999E-5</v>
      </c>
      <c r="R4497" s="10">
        <v>6.6573802993067805E-5</v>
      </c>
      <c r="S4497" s="10">
        <v>1.039660856809826E-4</v>
      </c>
      <c r="T4497" s="10">
        <v>9.6890698578627534E-6</v>
      </c>
      <c r="U4497" s="10">
        <v>7.7410000000000006E-5</v>
      </c>
      <c r="V4497" s="25"/>
      <c r="W4497" s="25"/>
      <c r="X4497" s="25"/>
      <c r="Y4497" s="25"/>
      <c r="Z4497" s="25"/>
      <c r="AA4497" s="25"/>
    </row>
    <row r="4498" spans="1:27" x14ac:dyDescent="0.35">
      <c r="A4498" s="5">
        <v>4494</v>
      </c>
      <c r="B4498" s="5">
        <v>188</v>
      </c>
      <c r="C4498" s="5">
        <v>7</v>
      </c>
      <c r="D4498" s="25">
        <v>1.1415000000000001E-4</v>
      </c>
      <c r="E4498" s="25">
        <v>1.0477E-4</v>
      </c>
      <c r="F4498" s="25">
        <v>1.1097E-4</v>
      </c>
      <c r="G4498" s="25">
        <v>1.0765E-4</v>
      </c>
      <c r="H4498" s="25">
        <v>8.2670000000000006E-5</v>
      </c>
      <c r="I4498" s="9">
        <v>1.0301E-4</v>
      </c>
      <c r="J4498" s="9">
        <v>9.8380000000000003E-5</v>
      </c>
      <c r="K4498" s="9">
        <v>2.544E-5</v>
      </c>
      <c r="L4498" s="9">
        <v>2.3819999999999999E-5</v>
      </c>
      <c r="M4498" s="9">
        <v>5.2080000000000003E-5</v>
      </c>
      <c r="N4498" s="9">
        <v>7.0840000000000006E-5</v>
      </c>
      <c r="O4498" s="9">
        <v>3.01E-5</v>
      </c>
      <c r="P4498" s="9">
        <v>6.8510000000000006E-5</v>
      </c>
      <c r="Q4498" s="9">
        <v>1.0662000000000001E-4</v>
      </c>
      <c r="R4498" s="10">
        <v>7.148513567723137E-5</v>
      </c>
      <c r="S4498" s="10">
        <v>1.2275019051545579E-4</v>
      </c>
      <c r="T4498" s="10">
        <v>2.7811533269767173E-5</v>
      </c>
      <c r="U4498" s="10">
        <v>7.7410000000000006E-5</v>
      </c>
      <c r="V4498" s="25"/>
      <c r="W4498" s="25"/>
      <c r="X4498" s="25"/>
      <c r="Y4498" s="25"/>
      <c r="Z4498" s="25"/>
      <c r="AA4498" s="25"/>
    </row>
    <row r="4499" spans="1:27" x14ac:dyDescent="0.35">
      <c r="A4499" s="5">
        <v>4495</v>
      </c>
      <c r="B4499" s="5">
        <v>188</v>
      </c>
      <c r="C4499" s="5">
        <v>7</v>
      </c>
      <c r="D4499" s="25">
        <v>1.1416E-4</v>
      </c>
      <c r="E4499" s="25">
        <v>1.0713E-4</v>
      </c>
      <c r="F4499" s="25">
        <v>1.2987E-4</v>
      </c>
      <c r="G4499" s="25">
        <v>1.1391E-4</v>
      </c>
      <c r="H4499" s="25">
        <v>7.8410000000000003E-5</v>
      </c>
      <c r="I4499" s="9">
        <v>1.1145E-4</v>
      </c>
      <c r="J4499" s="9">
        <v>1.1173E-4</v>
      </c>
      <c r="K4499" s="9">
        <v>3.1789999999999999E-5</v>
      </c>
      <c r="L4499" s="9">
        <v>2.862E-5</v>
      </c>
      <c r="M4499" s="9">
        <v>5.9110000000000002E-5</v>
      </c>
      <c r="N4499" s="9">
        <v>8.0489999999999997E-5</v>
      </c>
      <c r="O4499" s="9">
        <v>4.6140000000000002E-5</v>
      </c>
      <c r="P4499" s="9">
        <v>7.8980000000000006E-5</v>
      </c>
      <c r="Q4499" s="9">
        <v>1.1156E-4</v>
      </c>
      <c r="R4499" s="10">
        <v>7.5654026555371892E-5</v>
      </c>
      <c r="S4499" s="10">
        <v>1.2770406423010279E-4</v>
      </c>
      <c r="T4499" s="10">
        <v>1.5480452594270037E-4</v>
      </c>
      <c r="U4499" s="10">
        <v>7.7410000000000006E-5</v>
      </c>
      <c r="V4499" s="25"/>
      <c r="W4499" s="25"/>
      <c r="X4499" s="25"/>
      <c r="Y4499" s="25"/>
      <c r="Z4499" s="25"/>
      <c r="AA4499" s="25"/>
    </row>
    <row r="4500" spans="1:27" x14ac:dyDescent="0.35">
      <c r="A4500" s="5">
        <v>4496</v>
      </c>
      <c r="B4500" s="5">
        <v>188</v>
      </c>
      <c r="C4500" s="5">
        <v>7</v>
      </c>
      <c r="D4500" s="25">
        <v>1.1415000000000001E-4</v>
      </c>
      <c r="E4500" s="25">
        <v>1.0620000000000001E-4</v>
      </c>
      <c r="F4500" s="25">
        <v>1.2105E-4</v>
      </c>
      <c r="G4500" s="25">
        <v>1.6028E-4</v>
      </c>
      <c r="H4500" s="25">
        <v>1.1696000000000001E-4</v>
      </c>
      <c r="I4500" s="9">
        <v>1.1982E-4</v>
      </c>
      <c r="J4500" s="9">
        <v>1.2181E-4</v>
      </c>
      <c r="K4500" s="9">
        <v>0</v>
      </c>
      <c r="L4500" s="9">
        <v>4.214E-5</v>
      </c>
      <c r="M4500" s="9">
        <v>6.8020000000000003E-5</v>
      </c>
      <c r="N4500" s="9">
        <v>9.0409999999999997E-5</v>
      </c>
      <c r="O4500" s="9">
        <v>6.8319999999999996E-5</v>
      </c>
      <c r="P4500" s="9">
        <v>1.0273E-4</v>
      </c>
      <c r="Q4500" s="9">
        <v>1.3679999999999999E-4</v>
      </c>
      <c r="R4500" s="10">
        <v>6.9938696736671308E-5</v>
      </c>
      <c r="S4500" s="10">
        <v>1.2695440392064783E-4</v>
      </c>
      <c r="T4500" s="10">
        <v>3.3250817583143543E-4</v>
      </c>
      <c r="U4500" s="10">
        <v>7.7410000000000006E-5</v>
      </c>
      <c r="V4500" s="25"/>
      <c r="W4500" s="25"/>
      <c r="X4500" s="25"/>
      <c r="Y4500" s="25"/>
      <c r="Z4500" s="25"/>
      <c r="AA4500" s="25"/>
    </row>
    <row r="4501" spans="1:27" x14ac:dyDescent="0.35">
      <c r="A4501" s="5">
        <v>4497</v>
      </c>
      <c r="B4501" s="5">
        <v>188</v>
      </c>
      <c r="C4501" s="5">
        <v>7</v>
      </c>
      <c r="D4501" s="25">
        <v>1.1416E-4</v>
      </c>
      <c r="E4501" s="25">
        <v>1.0917999999999999E-4</v>
      </c>
      <c r="F4501" s="25">
        <v>1.2302E-4</v>
      </c>
      <c r="G4501" s="25">
        <v>1.5644000000000001E-4</v>
      </c>
      <c r="H4501" s="25">
        <v>1.1985E-4</v>
      </c>
      <c r="I4501" s="9">
        <v>1.2401E-4</v>
      </c>
      <c r="J4501" s="9">
        <v>1.2606999999999999E-4</v>
      </c>
      <c r="K4501" s="9">
        <v>0</v>
      </c>
      <c r="L4501" s="9">
        <v>6.2189999999999999E-5</v>
      </c>
      <c r="M4501" s="9">
        <v>8.2719999999999994E-5</v>
      </c>
      <c r="N4501" s="9">
        <v>1.0423E-4</v>
      </c>
      <c r="O4501" s="9">
        <v>9.9679999999999994E-5</v>
      </c>
      <c r="P4501" s="9">
        <v>1.3872999999999999E-4</v>
      </c>
      <c r="Q4501" s="9">
        <v>1.7725E-4</v>
      </c>
      <c r="R4501" s="10">
        <v>4.9305497511618372E-5</v>
      </c>
      <c r="S4501" s="10">
        <v>1.2040073650603429E-4</v>
      </c>
      <c r="T4501" s="10">
        <v>4.3557544433696669E-4</v>
      </c>
      <c r="U4501" s="10">
        <v>7.7410000000000006E-5</v>
      </c>
      <c r="V4501" s="25"/>
      <c r="W4501" s="25"/>
      <c r="X4501" s="25"/>
      <c r="Y4501" s="25"/>
      <c r="Z4501" s="25"/>
      <c r="AA4501" s="25"/>
    </row>
    <row r="4502" spans="1:27" x14ac:dyDescent="0.35">
      <c r="A4502" s="5">
        <v>4498</v>
      </c>
      <c r="B4502" s="5">
        <v>188</v>
      </c>
      <c r="C4502" s="5">
        <v>7</v>
      </c>
      <c r="D4502" s="25">
        <v>1.1415000000000001E-4</v>
      </c>
      <c r="E4502" s="25">
        <v>1.0907E-4</v>
      </c>
      <c r="F4502" s="25">
        <v>1.0933E-4</v>
      </c>
      <c r="G4502" s="25">
        <v>1.5667E-4</v>
      </c>
      <c r="H4502" s="25">
        <v>1.189E-4</v>
      </c>
      <c r="I4502" s="9">
        <v>1.2447000000000001E-4</v>
      </c>
      <c r="J4502" s="9">
        <v>1.2653E-4</v>
      </c>
      <c r="K4502" s="9">
        <v>0</v>
      </c>
      <c r="L4502" s="9">
        <v>9.0909999999999995E-5</v>
      </c>
      <c r="M4502" s="9">
        <v>1.0661E-4</v>
      </c>
      <c r="N4502" s="9">
        <v>1.2439999999999999E-4</v>
      </c>
      <c r="O4502" s="9">
        <v>1.2855000000000001E-4</v>
      </c>
      <c r="P4502" s="9">
        <v>1.5603000000000001E-4</v>
      </c>
      <c r="Q4502" s="9">
        <v>1.8306999999999999E-4</v>
      </c>
      <c r="R4502" s="10">
        <v>4.7405531535843116E-5</v>
      </c>
      <c r="S4502" s="10">
        <v>1.1583672031174565E-4</v>
      </c>
      <c r="T4502" s="10">
        <v>3.0116717403200894E-4</v>
      </c>
      <c r="U4502" s="10">
        <v>7.7410000000000006E-5</v>
      </c>
      <c r="V4502" s="25"/>
      <c r="W4502" s="25"/>
      <c r="X4502" s="25"/>
      <c r="Y4502" s="25"/>
      <c r="Z4502" s="25"/>
      <c r="AA4502" s="25"/>
    </row>
    <row r="4503" spans="1:27" x14ac:dyDescent="0.35">
      <c r="A4503" s="5">
        <v>4499</v>
      </c>
      <c r="B4503" s="5">
        <v>188</v>
      </c>
      <c r="C4503" s="5">
        <v>7</v>
      </c>
      <c r="D4503" s="25">
        <v>1.1416E-4</v>
      </c>
      <c r="E4503" s="25">
        <v>1.093E-4</v>
      </c>
      <c r="F4503" s="25">
        <v>1.2731999999999999E-4</v>
      </c>
      <c r="G4503" s="25">
        <v>1.6097E-4</v>
      </c>
      <c r="H4503" s="25">
        <v>1.1779E-4</v>
      </c>
      <c r="I4503" s="9">
        <v>1.2661000000000001E-4</v>
      </c>
      <c r="J4503" s="9">
        <v>1.2650000000000001E-4</v>
      </c>
      <c r="K4503" s="9">
        <v>0</v>
      </c>
      <c r="L4503" s="9">
        <v>1.1956E-4</v>
      </c>
      <c r="M4503" s="9">
        <v>1.3043000000000001E-4</v>
      </c>
      <c r="N4503" s="9">
        <v>1.4275E-4</v>
      </c>
      <c r="O4503" s="9">
        <v>1.362E-4</v>
      </c>
      <c r="P4503" s="9">
        <v>1.5813000000000001E-4</v>
      </c>
      <c r="Q4503" s="9">
        <v>1.7967999999999999E-4</v>
      </c>
      <c r="R4503" s="10">
        <v>4.2401203271808527E-5</v>
      </c>
      <c r="S4503" s="10">
        <v>1.1143808722147005E-4</v>
      </c>
      <c r="T4503" s="10">
        <v>8.8338524833683884E-5</v>
      </c>
      <c r="U4503" s="10">
        <v>7.7410000000000006E-5</v>
      </c>
      <c r="V4503" s="25"/>
      <c r="W4503" s="25"/>
      <c r="X4503" s="25"/>
      <c r="Y4503" s="25"/>
      <c r="Z4503" s="25"/>
      <c r="AA4503" s="25"/>
    </row>
    <row r="4504" spans="1:27" x14ac:dyDescent="0.35">
      <c r="A4504" s="5">
        <v>4500</v>
      </c>
      <c r="B4504" s="5">
        <v>188</v>
      </c>
      <c r="C4504" s="5">
        <v>7</v>
      </c>
      <c r="D4504" s="25">
        <v>1.1415000000000001E-4</v>
      </c>
      <c r="E4504" s="25">
        <v>1.1299E-4</v>
      </c>
      <c r="F4504" s="25">
        <v>1.1506E-4</v>
      </c>
      <c r="G4504" s="25">
        <v>1.6200000000000001E-4</v>
      </c>
      <c r="H4504" s="25">
        <v>1.1607000000000001E-4</v>
      </c>
      <c r="I4504" s="9">
        <v>1.2528999999999999E-4</v>
      </c>
      <c r="J4504" s="9">
        <v>1.2465999999999999E-4</v>
      </c>
      <c r="K4504" s="9">
        <v>0</v>
      </c>
      <c r="L4504" s="9">
        <v>1.3187E-4</v>
      </c>
      <c r="M4504" s="9">
        <v>1.4605E-4</v>
      </c>
      <c r="N4504" s="9">
        <v>1.5693E-4</v>
      </c>
      <c r="O4504" s="9">
        <v>1.3621999999999999E-4</v>
      </c>
      <c r="P4504" s="9">
        <v>1.5458E-4</v>
      </c>
      <c r="Q4504" s="9">
        <v>1.7262000000000001E-4</v>
      </c>
      <c r="R4504" s="10">
        <v>2.5654717030423692E-5</v>
      </c>
      <c r="S4504" s="10">
        <v>1.1055036685977309E-4</v>
      </c>
      <c r="T4504" s="10">
        <v>1.5292949578631887E-4</v>
      </c>
      <c r="U4504" s="10">
        <v>7.7410000000000006E-5</v>
      </c>
      <c r="V4504" s="25"/>
      <c r="W4504" s="25"/>
      <c r="X4504" s="25"/>
      <c r="Y4504" s="25"/>
      <c r="Z4504" s="25"/>
      <c r="AA4504" s="25"/>
    </row>
    <row r="4505" spans="1:27" x14ac:dyDescent="0.35">
      <c r="A4505" s="5">
        <v>4501</v>
      </c>
      <c r="B4505" s="5">
        <v>188</v>
      </c>
      <c r="C4505" s="5">
        <v>7</v>
      </c>
      <c r="D4505" s="25">
        <v>1.1416E-4</v>
      </c>
      <c r="E4505" s="25">
        <v>1.0395000000000001E-4</v>
      </c>
      <c r="F4505" s="25">
        <v>1.1017E-4</v>
      </c>
      <c r="G4505" s="25">
        <v>1.6283000000000001E-4</v>
      </c>
      <c r="H4505" s="25">
        <v>1.2318E-4</v>
      </c>
      <c r="I4505" s="9">
        <v>1.2360999999999999E-4</v>
      </c>
      <c r="J4505" s="9">
        <v>1.2532E-4</v>
      </c>
      <c r="K4505" s="9">
        <v>0</v>
      </c>
      <c r="L4505" s="9">
        <v>1.351E-4</v>
      </c>
      <c r="M4505" s="9">
        <v>1.5244999999999999E-4</v>
      </c>
      <c r="N4505" s="9">
        <v>1.6609E-4</v>
      </c>
      <c r="O4505" s="9">
        <v>1.3004E-4</v>
      </c>
      <c r="P4505" s="9">
        <v>1.4939E-4</v>
      </c>
      <c r="Q4505" s="9">
        <v>1.6841999999999999E-4</v>
      </c>
      <c r="R4505" s="10">
        <v>2.5379082815433536E-5</v>
      </c>
      <c r="S4505" s="10">
        <v>9.7594730222466479E-5</v>
      </c>
      <c r="T4505" s="10">
        <v>2.4184495297581245E-4</v>
      </c>
      <c r="U4505" s="10">
        <v>7.7410000000000006E-5</v>
      </c>
      <c r="V4505" s="25"/>
      <c r="W4505" s="25"/>
      <c r="X4505" s="25"/>
      <c r="Y4505" s="25"/>
      <c r="Z4505" s="25"/>
      <c r="AA4505" s="25"/>
    </row>
    <row r="4506" spans="1:27" x14ac:dyDescent="0.35">
      <c r="A4506" s="5">
        <v>4502</v>
      </c>
      <c r="B4506" s="5">
        <v>188</v>
      </c>
      <c r="C4506" s="5">
        <v>7</v>
      </c>
      <c r="D4506" s="25">
        <v>1.1415000000000001E-4</v>
      </c>
      <c r="E4506" s="25">
        <v>1.0637E-4</v>
      </c>
      <c r="F4506" s="25">
        <v>1.1163999999999999E-4</v>
      </c>
      <c r="G4506" s="25">
        <v>1.5977999999999999E-4</v>
      </c>
      <c r="H4506" s="25">
        <v>1.2203E-4</v>
      </c>
      <c r="I4506" s="9">
        <v>1.2188000000000001E-4</v>
      </c>
      <c r="J4506" s="9">
        <v>1.2460999999999999E-4</v>
      </c>
      <c r="K4506" s="9">
        <v>0</v>
      </c>
      <c r="L4506" s="9">
        <v>1.3124999999999999E-4</v>
      </c>
      <c r="M4506" s="9">
        <v>1.5250999999999999E-4</v>
      </c>
      <c r="N4506" s="9">
        <v>1.7061999999999999E-4</v>
      </c>
      <c r="O4506" s="9">
        <v>1.1145E-4</v>
      </c>
      <c r="P4506" s="9">
        <v>1.3593000000000001E-4</v>
      </c>
      <c r="Q4506" s="9">
        <v>1.6008E-4</v>
      </c>
      <c r="R4506" s="10">
        <v>3.595867423016675E-5</v>
      </c>
      <c r="S4506" s="10">
        <v>8.4821049657206617E-5</v>
      </c>
      <c r="T4506" s="10">
        <v>5.6096490443272289E-4</v>
      </c>
      <c r="U4506" s="10">
        <v>7.7410000000000006E-5</v>
      </c>
      <c r="V4506" s="25"/>
      <c r="W4506" s="25"/>
      <c r="X4506" s="25"/>
      <c r="Y4506" s="25"/>
      <c r="Z4506" s="25"/>
      <c r="AA4506" s="25"/>
    </row>
    <row r="4507" spans="1:27" x14ac:dyDescent="0.35">
      <c r="A4507" s="5">
        <v>4503</v>
      </c>
      <c r="B4507" s="5">
        <v>188</v>
      </c>
      <c r="C4507" s="5">
        <v>7</v>
      </c>
      <c r="D4507" s="25">
        <v>1.1416E-4</v>
      </c>
      <c r="E4507" s="25">
        <v>1.1335E-4</v>
      </c>
      <c r="F4507" s="25">
        <v>1.2619000000000001E-4</v>
      </c>
      <c r="G4507" s="25">
        <v>1.6181999999999999E-4</v>
      </c>
      <c r="H4507" s="25">
        <v>1.1900000000000001E-4</v>
      </c>
      <c r="I4507" s="9">
        <v>1.2079E-4</v>
      </c>
      <c r="J4507" s="9">
        <v>1.2371999999999999E-4</v>
      </c>
      <c r="K4507" s="9">
        <v>0</v>
      </c>
      <c r="L4507" s="9">
        <v>1.1598E-4</v>
      </c>
      <c r="M4507" s="9">
        <v>1.4631999999999999E-4</v>
      </c>
      <c r="N4507" s="9">
        <v>1.6995000000000001E-4</v>
      </c>
      <c r="O4507" s="9">
        <v>1.2612999999999999E-4</v>
      </c>
      <c r="P4507" s="9">
        <v>1.3925999999999999E-4</v>
      </c>
      <c r="Q4507" s="9">
        <v>1.5218E-4</v>
      </c>
      <c r="R4507" s="10">
        <v>5.4322076805308566E-5</v>
      </c>
      <c r="S4507" s="10">
        <v>8.9300543954626963E-5</v>
      </c>
      <c r="T4507" s="10">
        <v>1.7711823323357517E-4</v>
      </c>
      <c r="U4507" s="10">
        <v>7.7410000000000006E-5</v>
      </c>
      <c r="V4507" s="25"/>
      <c r="W4507" s="25"/>
      <c r="X4507" s="25"/>
      <c r="Y4507" s="25"/>
      <c r="Z4507" s="25"/>
      <c r="AA4507" s="25"/>
    </row>
    <row r="4508" spans="1:27" x14ac:dyDescent="0.35">
      <c r="A4508" s="5">
        <v>4504</v>
      </c>
      <c r="B4508" s="5">
        <v>188</v>
      </c>
      <c r="C4508" s="5">
        <v>7</v>
      </c>
      <c r="D4508" s="25">
        <v>1.1415000000000001E-4</v>
      </c>
      <c r="E4508" s="25">
        <v>1.0857999999999999E-4</v>
      </c>
      <c r="F4508" s="25">
        <v>1.2682000000000001E-4</v>
      </c>
      <c r="G4508" s="25">
        <v>1.6734000000000001E-4</v>
      </c>
      <c r="H4508" s="25">
        <v>1.22E-4</v>
      </c>
      <c r="I4508" s="9">
        <v>1.2045E-4</v>
      </c>
      <c r="J4508" s="9">
        <v>1.2355999999999999E-4</v>
      </c>
      <c r="K4508" s="9">
        <v>0</v>
      </c>
      <c r="L4508" s="9">
        <v>1.2433E-4</v>
      </c>
      <c r="M4508" s="9">
        <v>1.4203999999999999E-4</v>
      </c>
      <c r="N4508" s="9">
        <v>1.6595E-4</v>
      </c>
      <c r="O4508" s="9">
        <v>1.3255E-4</v>
      </c>
      <c r="P4508" s="9">
        <v>1.2078000000000001E-4</v>
      </c>
      <c r="Q4508" s="9">
        <v>1.0917999999999999E-4</v>
      </c>
      <c r="R4508" s="10">
        <v>7.9756125736920645E-5</v>
      </c>
      <c r="S4508" s="10">
        <v>1.0832641382216689E-4</v>
      </c>
      <c r="T4508" s="10">
        <v>3.1403785614617509E-4</v>
      </c>
      <c r="U4508" s="10">
        <v>7.7410000000000006E-5</v>
      </c>
      <c r="V4508" s="25"/>
      <c r="W4508" s="25"/>
      <c r="X4508" s="25"/>
      <c r="Y4508" s="25"/>
      <c r="Z4508" s="25"/>
      <c r="AA4508" s="25"/>
    </row>
    <row r="4509" spans="1:27" x14ac:dyDescent="0.35">
      <c r="A4509" s="5">
        <v>4505</v>
      </c>
      <c r="B4509" s="5">
        <v>188</v>
      </c>
      <c r="C4509" s="5">
        <v>7</v>
      </c>
      <c r="D4509" s="25">
        <v>1.1416E-4</v>
      </c>
      <c r="E4509" s="25">
        <v>1.1315999999999999E-4</v>
      </c>
      <c r="F4509" s="25">
        <v>1.2888999999999999E-4</v>
      </c>
      <c r="G4509" s="25">
        <v>1.5773E-4</v>
      </c>
      <c r="H4509" s="25">
        <v>1.1644E-4</v>
      </c>
      <c r="I4509" s="9">
        <v>1.2013E-4</v>
      </c>
      <c r="J4509" s="9">
        <v>1.2469E-4</v>
      </c>
      <c r="K4509" s="9">
        <v>0</v>
      </c>
      <c r="L4509" s="9">
        <v>1.3048000000000001E-4</v>
      </c>
      <c r="M4509" s="9">
        <v>1.3343E-4</v>
      </c>
      <c r="N4509" s="9">
        <v>1.5210000000000001E-4</v>
      </c>
      <c r="O4509" s="9">
        <v>1.3872999999999999E-4</v>
      </c>
      <c r="P4509" s="9">
        <v>1.2260999999999999E-4</v>
      </c>
      <c r="Q4509" s="9">
        <v>1.0671E-4</v>
      </c>
      <c r="R4509" s="10">
        <v>1.225045695590372E-4</v>
      </c>
      <c r="S4509" s="10">
        <v>1.3322603983965343E-4</v>
      </c>
      <c r="T4509" s="10">
        <v>1.214272922992397E-4</v>
      </c>
      <c r="U4509" s="10">
        <v>7.7410000000000006E-5</v>
      </c>
      <c r="V4509" s="25"/>
      <c r="W4509" s="25"/>
      <c r="X4509" s="25"/>
      <c r="Y4509" s="25"/>
      <c r="Z4509" s="25"/>
      <c r="AA4509" s="25"/>
    </row>
    <row r="4510" spans="1:27" x14ac:dyDescent="0.35">
      <c r="A4510" s="5">
        <v>4506</v>
      </c>
      <c r="B4510" s="5">
        <v>188</v>
      </c>
      <c r="C4510" s="5">
        <v>7</v>
      </c>
      <c r="D4510" s="25">
        <v>1.1415000000000001E-4</v>
      </c>
      <c r="E4510" s="25">
        <v>1.0538E-4</v>
      </c>
      <c r="F4510" s="25">
        <v>1.2010000000000001E-4</v>
      </c>
      <c r="G4510" s="25">
        <v>1.5911000000000001E-4</v>
      </c>
      <c r="H4510" s="25">
        <v>1.2342000000000001E-4</v>
      </c>
      <c r="I4510" s="9">
        <v>1.1870999999999999E-4</v>
      </c>
      <c r="J4510" s="9">
        <v>1.2037E-4</v>
      </c>
      <c r="K4510" s="9">
        <v>0</v>
      </c>
      <c r="L4510" s="9">
        <v>1.3663E-4</v>
      </c>
      <c r="M4510" s="9">
        <v>1.2736E-4</v>
      </c>
      <c r="N4510" s="9">
        <v>1.3872E-4</v>
      </c>
      <c r="O4510" s="9">
        <v>1.3880000000000001E-4</v>
      </c>
      <c r="P4510" s="9">
        <v>1.2771000000000001E-4</v>
      </c>
      <c r="Q4510" s="9">
        <v>1.1675000000000001E-4</v>
      </c>
      <c r="R4510" s="10">
        <v>1.7607026155143319E-4</v>
      </c>
      <c r="S4510" s="10">
        <v>1.5745361750982837E-4</v>
      </c>
      <c r="T4510" s="10">
        <v>1.4261258777654558E-4</v>
      </c>
      <c r="U4510" s="10">
        <v>7.7410000000000006E-5</v>
      </c>
      <c r="V4510" s="25"/>
      <c r="W4510" s="25"/>
      <c r="X4510" s="25"/>
      <c r="Y4510" s="25"/>
      <c r="Z4510" s="25"/>
      <c r="AA4510" s="25"/>
    </row>
    <row r="4511" spans="1:27" x14ac:dyDescent="0.35">
      <c r="A4511" s="5">
        <v>4507</v>
      </c>
      <c r="B4511" s="5">
        <v>188</v>
      </c>
      <c r="C4511" s="5">
        <v>7</v>
      </c>
      <c r="D4511" s="25">
        <v>1.1416E-4</v>
      </c>
      <c r="E4511" s="25">
        <v>1.032E-4</v>
      </c>
      <c r="F4511" s="25">
        <v>1.1616999999999999E-4</v>
      </c>
      <c r="G4511" s="25">
        <v>1.1333E-4</v>
      </c>
      <c r="H4511" s="25">
        <v>8.0179999999999995E-5</v>
      </c>
      <c r="I4511" s="9">
        <v>1.1407E-4</v>
      </c>
      <c r="J4511" s="9">
        <v>1.1731E-4</v>
      </c>
      <c r="K4511" s="9">
        <v>0</v>
      </c>
      <c r="L4511" s="9">
        <v>1.3821999999999999E-4</v>
      </c>
      <c r="M4511" s="9">
        <v>1.261E-4</v>
      </c>
      <c r="N4511" s="9">
        <v>1.2947999999999999E-4</v>
      </c>
      <c r="O4511" s="9">
        <v>1.3922000000000001E-4</v>
      </c>
      <c r="P4511" s="9">
        <v>1.2252000000000001E-4</v>
      </c>
      <c r="Q4511" s="9">
        <v>1.0605E-4</v>
      </c>
      <c r="R4511" s="10">
        <v>1.9389685722284513E-4</v>
      </c>
      <c r="S4511" s="10">
        <v>1.8030940127411747E-4</v>
      </c>
      <c r="T4511" s="10">
        <v>4.8063555818557355E-5</v>
      </c>
      <c r="U4511" s="10">
        <v>7.7410000000000006E-5</v>
      </c>
      <c r="V4511" s="25"/>
      <c r="W4511" s="25"/>
      <c r="X4511" s="25"/>
      <c r="Y4511" s="25"/>
      <c r="Z4511" s="25"/>
      <c r="AA4511" s="25"/>
    </row>
    <row r="4512" spans="1:27" x14ac:dyDescent="0.35">
      <c r="A4512" s="5">
        <v>4508</v>
      </c>
      <c r="B4512" s="5">
        <v>188</v>
      </c>
      <c r="C4512" s="5">
        <v>7</v>
      </c>
      <c r="D4512" s="25">
        <v>1.1415000000000001E-4</v>
      </c>
      <c r="E4512" s="25">
        <v>1.127E-4</v>
      </c>
      <c r="F4512" s="25">
        <v>1.1565000000000001E-4</v>
      </c>
      <c r="G4512" s="25">
        <v>1.1428E-4</v>
      </c>
      <c r="H4512" s="25">
        <v>8.0290000000000005E-5</v>
      </c>
      <c r="I4512" s="9">
        <v>1.0986E-4</v>
      </c>
      <c r="J4512" s="9">
        <v>1.1458E-4</v>
      </c>
      <c r="K4512" s="9">
        <v>0</v>
      </c>
      <c r="L4512" s="9">
        <v>1.3899999999999999E-4</v>
      </c>
      <c r="M4512" s="9">
        <v>1.2475E-4</v>
      </c>
      <c r="N4512" s="9">
        <v>1.2024E-4</v>
      </c>
      <c r="O4512" s="9">
        <v>1.4186E-4</v>
      </c>
      <c r="P4512" s="9">
        <v>1.2134E-4</v>
      </c>
      <c r="Q4512" s="9">
        <v>1.011E-4</v>
      </c>
      <c r="R4512" s="10">
        <v>1.9219195446277759E-4</v>
      </c>
      <c r="S4512" s="10">
        <v>1.8408489617530865E-4</v>
      </c>
      <c r="T4512" s="10">
        <v>0</v>
      </c>
      <c r="U4512" s="10">
        <v>7.7410000000000006E-5</v>
      </c>
      <c r="V4512" s="25"/>
      <c r="W4512" s="25"/>
      <c r="X4512" s="25"/>
      <c r="Y4512" s="25"/>
      <c r="Z4512" s="25"/>
      <c r="AA4512" s="25"/>
    </row>
    <row r="4513" spans="1:27" x14ac:dyDescent="0.35">
      <c r="A4513" s="5">
        <v>4509</v>
      </c>
      <c r="B4513" s="5">
        <v>188</v>
      </c>
      <c r="C4513" s="5">
        <v>7</v>
      </c>
      <c r="D4513" s="25">
        <v>1.1416E-4</v>
      </c>
      <c r="E4513" s="25">
        <v>1.0984000000000001E-4</v>
      </c>
      <c r="F4513" s="25">
        <v>1.1075E-4</v>
      </c>
      <c r="G4513" s="25">
        <v>6.1539999999999997E-5</v>
      </c>
      <c r="H4513" s="25">
        <v>4.1239999999999998E-5</v>
      </c>
      <c r="I4513" s="9">
        <v>1.0717000000000001E-4</v>
      </c>
      <c r="J4513" s="9">
        <v>1.1141000000000001E-4</v>
      </c>
      <c r="K4513" s="9">
        <v>1.696E-5</v>
      </c>
      <c r="L4513" s="9">
        <v>1.4124999999999999E-4</v>
      </c>
      <c r="M4513" s="9">
        <v>1.2321000000000001E-4</v>
      </c>
      <c r="N4513" s="9">
        <v>1.1249E-4</v>
      </c>
      <c r="O4513" s="9">
        <v>8.4220000000000003E-5</v>
      </c>
      <c r="P4513" s="9">
        <v>8.6100000000000006E-5</v>
      </c>
      <c r="Q4513" s="9">
        <v>8.81E-5</v>
      </c>
      <c r="R4513" s="10">
        <v>1.9802869913623829E-4</v>
      </c>
      <c r="S4513" s="10">
        <v>1.7663597955712326E-4</v>
      </c>
      <c r="T4513" s="10">
        <v>0</v>
      </c>
      <c r="U4513" s="10">
        <v>7.7410000000000006E-5</v>
      </c>
      <c r="V4513" s="25"/>
      <c r="W4513" s="25"/>
      <c r="X4513" s="25"/>
      <c r="Y4513" s="25"/>
      <c r="Z4513" s="25"/>
      <c r="AA4513" s="25"/>
    </row>
    <row r="4514" spans="1:27" x14ac:dyDescent="0.35">
      <c r="A4514" s="5">
        <v>4510</v>
      </c>
      <c r="B4514" s="5">
        <v>188</v>
      </c>
      <c r="C4514" s="5">
        <v>7</v>
      </c>
      <c r="D4514" s="25">
        <v>1.1415000000000001E-4</v>
      </c>
      <c r="E4514" s="25">
        <v>1.0757E-4</v>
      </c>
      <c r="F4514" s="25">
        <v>1.1373E-4</v>
      </c>
      <c r="G4514" s="25">
        <v>5.5179999999999997E-5</v>
      </c>
      <c r="H4514" s="25">
        <v>3.9919999999999997E-5</v>
      </c>
      <c r="I4514" s="9">
        <v>1.1106E-4</v>
      </c>
      <c r="J4514" s="9">
        <v>1.1051E-4</v>
      </c>
      <c r="K4514" s="9">
        <v>3.6040000000000001E-5</v>
      </c>
      <c r="L4514" s="9">
        <v>9.6710000000000001E-5</v>
      </c>
      <c r="M4514" s="9">
        <v>1.0942000000000001E-4</v>
      </c>
      <c r="N4514" s="9">
        <v>1.0496E-4</v>
      </c>
      <c r="O4514" s="9">
        <v>8.7250000000000007E-5</v>
      </c>
      <c r="P4514" s="9">
        <v>8.7780000000000003E-5</v>
      </c>
      <c r="Q4514" s="9">
        <v>8.8430000000000005E-5</v>
      </c>
      <c r="R4514" s="10">
        <v>2.032145907888847E-4</v>
      </c>
      <c r="S4514" s="10">
        <v>1.6683529962871306E-4</v>
      </c>
      <c r="T4514" s="10">
        <v>0</v>
      </c>
      <c r="U4514" s="10">
        <v>7.7410000000000006E-5</v>
      </c>
      <c r="V4514" s="25"/>
      <c r="W4514" s="25"/>
      <c r="X4514" s="25"/>
      <c r="Y4514" s="25"/>
      <c r="Z4514" s="25"/>
      <c r="AA4514" s="25"/>
    </row>
    <row r="4515" spans="1:27" x14ac:dyDescent="0.35">
      <c r="A4515" s="5">
        <v>4511</v>
      </c>
      <c r="B4515" s="5">
        <v>188</v>
      </c>
      <c r="C4515" s="5">
        <v>7</v>
      </c>
      <c r="D4515" s="25">
        <v>1.1416E-4</v>
      </c>
      <c r="E4515" s="25">
        <v>1.0364E-4</v>
      </c>
      <c r="F4515" s="25">
        <v>1.1188000000000001E-4</v>
      </c>
      <c r="G4515" s="25">
        <v>5.312E-5</v>
      </c>
      <c r="H4515" s="25">
        <v>4.5139999999999998E-5</v>
      </c>
      <c r="I4515" s="9">
        <v>1.0805E-4</v>
      </c>
      <c r="J4515" s="9">
        <v>1.0588E-4</v>
      </c>
      <c r="K4515" s="9">
        <v>5.9349999999999999E-5</v>
      </c>
      <c r="L4515" s="9">
        <v>9.0569999999999995E-5</v>
      </c>
      <c r="M4515" s="9">
        <v>9.7930000000000006E-5</v>
      </c>
      <c r="N4515" s="9">
        <v>9.9339999999999994E-5</v>
      </c>
      <c r="O4515" s="9">
        <v>8.5010000000000001E-5</v>
      </c>
      <c r="P4515" s="9">
        <v>7.6050000000000005E-5</v>
      </c>
      <c r="Q4515" s="9">
        <v>6.737E-5</v>
      </c>
      <c r="R4515" s="10">
        <v>2.02574359776432E-4</v>
      </c>
      <c r="S4515" s="10">
        <v>1.6377097575136695E-4</v>
      </c>
      <c r="T4515" s="10">
        <v>0</v>
      </c>
      <c r="U4515" s="10">
        <v>7.7410000000000006E-5</v>
      </c>
      <c r="V4515" s="25"/>
      <c r="W4515" s="25"/>
      <c r="X4515" s="25"/>
      <c r="Y4515" s="25"/>
      <c r="Z4515" s="25"/>
      <c r="AA4515" s="25"/>
    </row>
    <row r="4516" spans="1:27" x14ac:dyDescent="0.35">
      <c r="A4516" s="5">
        <v>4512</v>
      </c>
      <c r="B4516" s="5">
        <v>188</v>
      </c>
      <c r="C4516" s="5">
        <v>7</v>
      </c>
      <c r="D4516" s="25">
        <v>1.1415000000000001E-4</v>
      </c>
      <c r="E4516" s="25">
        <v>1.0593E-4</v>
      </c>
      <c r="F4516" s="25">
        <v>1.159E-4</v>
      </c>
      <c r="G4516" s="25">
        <v>6.1820000000000001E-5</v>
      </c>
      <c r="H4516" s="25">
        <v>4.6149999999999997E-5</v>
      </c>
      <c r="I4516" s="9">
        <v>1.0097E-4</v>
      </c>
      <c r="J4516" s="9">
        <v>9.8270000000000006E-5</v>
      </c>
      <c r="K4516" s="9">
        <v>6.3590000000000006E-5</v>
      </c>
      <c r="L4516" s="9">
        <v>8.6440000000000006E-5</v>
      </c>
      <c r="M4516" s="9">
        <v>8.7369999999999999E-5</v>
      </c>
      <c r="N4516" s="9">
        <v>9.0329999999999997E-5</v>
      </c>
      <c r="O4516" s="9">
        <v>7.8990000000000001E-5</v>
      </c>
      <c r="P4516" s="9">
        <v>6.8769999999999994E-5</v>
      </c>
      <c r="Q4516" s="9">
        <v>5.8869999999999997E-5</v>
      </c>
      <c r="R4516" s="10">
        <v>2.0232435137906358E-4</v>
      </c>
      <c r="S4516" s="10">
        <v>1.7503007520447593E-4</v>
      </c>
      <c r="T4516" s="10">
        <v>0</v>
      </c>
      <c r="U4516" s="10">
        <v>7.7410000000000006E-5</v>
      </c>
      <c r="V4516" s="25"/>
      <c r="W4516" s="25"/>
      <c r="X4516" s="25"/>
      <c r="Y4516" s="25"/>
      <c r="Z4516" s="25"/>
      <c r="AA4516" s="25"/>
    </row>
    <row r="4517" spans="1:27" x14ac:dyDescent="0.35">
      <c r="A4517" s="5">
        <v>4513</v>
      </c>
      <c r="B4517" s="5">
        <v>189</v>
      </c>
      <c r="C4517" s="5">
        <v>7</v>
      </c>
      <c r="D4517" s="25">
        <v>1.1416E-4</v>
      </c>
      <c r="E4517" s="25">
        <v>1.1680000000000001E-4</v>
      </c>
      <c r="F4517" s="25">
        <v>1.033E-4</v>
      </c>
      <c r="G4517" s="25">
        <v>6.2539999999999994E-5</v>
      </c>
      <c r="H4517" s="25">
        <v>1.4600000000000001E-5</v>
      </c>
      <c r="I4517" s="9">
        <v>9.5859999999999994E-5</v>
      </c>
      <c r="J4517" s="9">
        <v>9.2830000000000004E-5</v>
      </c>
      <c r="K4517" s="9">
        <v>9.5370000000000003E-5</v>
      </c>
      <c r="L4517" s="9">
        <v>8.0409999999999998E-5</v>
      </c>
      <c r="M4517" s="9">
        <v>7.8289999999999998E-5</v>
      </c>
      <c r="N4517" s="9">
        <v>8.106E-5</v>
      </c>
      <c r="O4517" s="9">
        <v>6.7910000000000005E-5</v>
      </c>
      <c r="P4517" s="9">
        <v>6.0470000000000002E-5</v>
      </c>
      <c r="Q4517" s="9">
        <v>5.3329999999999999E-5</v>
      </c>
      <c r="R4517" s="10">
        <v>1.9494332396887174E-4</v>
      </c>
      <c r="S4517" s="10">
        <v>1.6792894954319881E-4</v>
      </c>
      <c r="T4517" s="10">
        <v>0</v>
      </c>
      <c r="U4517" s="10">
        <v>8.7299999999999994E-5</v>
      </c>
      <c r="V4517" s="25"/>
      <c r="W4517" s="25"/>
      <c r="X4517" s="25"/>
      <c r="Y4517" s="25"/>
      <c r="Z4517" s="25"/>
      <c r="AA4517" s="25"/>
    </row>
    <row r="4518" spans="1:27" x14ac:dyDescent="0.35">
      <c r="A4518" s="5">
        <v>4514</v>
      </c>
      <c r="B4518" s="5">
        <v>189</v>
      </c>
      <c r="C4518" s="5">
        <v>7</v>
      </c>
      <c r="D4518" s="25">
        <v>1.1415000000000001E-4</v>
      </c>
      <c r="E4518" s="25">
        <v>1.1242E-4</v>
      </c>
      <c r="F4518" s="25">
        <v>1.2197999999999999E-4</v>
      </c>
      <c r="G4518" s="25">
        <v>5.3879999999999999E-5</v>
      </c>
      <c r="H4518" s="25">
        <v>1.5109999999999999E-5</v>
      </c>
      <c r="I4518" s="9">
        <v>9.2449999999999997E-5</v>
      </c>
      <c r="J4518" s="9">
        <v>8.9930000000000001E-5</v>
      </c>
      <c r="K4518" s="9">
        <v>9.5370000000000003E-5</v>
      </c>
      <c r="L4518" s="9">
        <v>7.0820000000000003E-5</v>
      </c>
      <c r="M4518" s="9">
        <v>6.9729999999999998E-5</v>
      </c>
      <c r="N4518" s="9">
        <v>7.203E-5</v>
      </c>
      <c r="O4518" s="9">
        <v>3.5970000000000003E-5</v>
      </c>
      <c r="P4518" s="9">
        <v>4.6279999999999997E-5</v>
      </c>
      <c r="Q4518" s="9">
        <v>5.6719999999999999E-5</v>
      </c>
      <c r="R4518" s="10">
        <v>1.9763553903773444E-4</v>
      </c>
      <c r="S4518" s="10">
        <v>1.6327881694625545E-4</v>
      </c>
      <c r="T4518" s="10">
        <v>0</v>
      </c>
      <c r="U4518" s="10">
        <v>8.7299999999999994E-5</v>
      </c>
      <c r="V4518" s="25"/>
      <c r="W4518" s="25"/>
      <c r="X4518" s="25"/>
      <c r="Y4518" s="25"/>
      <c r="Z4518" s="25"/>
      <c r="AA4518" s="25"/>
    </row>
    <row r="4519" spans="1:27" x14ac:dyDescent="0.35">
      <c r="A4519" s="5">
        <v>4515</v>
      </c>
      <c r="B4519" s="5">
        <v>189</v>
      </c>
      <c r="C4519" s="5">
        <v>7</v>
      </c>
      <c r="D4519" s="25">
        <v>1.1416E-4</v>
      </c>
      <c r="E4519" s="25">
        <v>1.2064E-4</v>
      </c>
      <c r="F4519" s="25">
        <v>1.0529E-4</v>
      </c>
      <c r="G4519" s="25">
        <v>5.2250000000000003E-5</v>
      </c>
      <c r="H4519" s="25">
        <v>1.3519999999999999E-5</v>
      </c>
      <c r="I4519" s="9">
        <v>9.111E-5</v>
      </c>
      <c r="J4519" s="9">
        <v>8.8969999999999997E-5</v>
      </c>
      <c r="K4519" s="9">
        <v>1.1445E-4</v>
      </c>
      <c r="L4519" s="9">
        <v>4.3890000000000002E-5</v>
      </c>
      <c r="M4519" s="9">
        <v>5.9259999999999998E-5</v>
      </c>
      <c r="N4519" s="9">
        <v>6.5629999999999993E-5</v>
      </c>
      <c r="O4519" s="9">
        <v>2.2529999999999999E-5</v>
      </c>
      <c r="P4519" s="9">
        <v>4.189E-5</v>
      </c>
      <c r="Q4519" s="9">
        <v>6.1279999999999996E-5</v>
      </c>
      <c r="R4519" s="10">
        <v>1.9084822581485035E-4</v>
      </c>
      <c r="S4519" s="10">
        <v>1.7905698400878271E-4</v>
      </c>
      <c r="T4519" s="10">
        <v>0</v>
      </c>
      <c r="U4519" s="10">
        <v>8.7299999999999994E-5</v>
      </c>
      <c r="V4519" s="25"/>
      <c r="W4519" s="25"/>
      <c r="X4519" s="25"/>
      <c r="Y4519" s="25"/>
      <c r="Z4519" s="25"/>
      <c r="AA4519" s="25"/>
    </row>
    <row r="4520" spans="1:27" x14ac:dyDescent="0.35">
      <c r="A4520" s="5">
        <v>4516</v>
      </c>
      <c r="B4520" s="5">
        <v>189</v>
      </c>
      <c r="C4520" s="5">
        <v>7</v>
      </c>
      <c r="D4520" s="25">
        <v>1.1415000000000001E-4</v>
      </c>
      <c r="E4520" s="25">
        <v>1.1671999999999999E-4</v>
      </c>
      <c r="F4520" s="25">
        <v>1.1492E-4</v>
      </c>
      <c r="G4520" s="25">
        <v>5.8019999999999997E-5</v>
      </c>
      <c r="H4520" s="25">
        <v>1.4229999999999999E-5</v>
      </c>
      <c r="I4520" s="9">
        <v>9.2319999999999997E-5</v>
      </c>
      <c r="J4520" s="9">
        <v>8.8850000000000005E-5</v>
      </c>
      <c r="K4520" s="9">
        <v>1.1232E-4</v>
      </c>
      <c r="L4520" s="9">
        <v>2.7949999999999998E-5</v>
      </c>
      <c r="M4520" s="9">
        <v>5.0500000000000001E-5</v>
      </c>
      <c r="N4520" s="9">
        <v>6.1989999999999994E-5</v>
      </c>
      <c r="O4520" s="9">
        <v>2.194E-5</v>
      </c>
      <c r="P4520" s="9">
        <v>5.0899999999999997E-5</v>
      </c>
      <c r="Q4520" s="9">
        <v>7.9740000000000006E-5</v>
      </c>
      <c r="R4520" s="10">
        <v>1.9252185041220257E-4</v>
      </c>
      <c r="S4520" s="10">
        <v>1.8894145898379176E-4</v>
      </c>
      <c r="T4520" s="10">
        <v>0</v>
      </c>
      <c r="U4520" s="10">
        <v>8.7299999999999994E-5</v>
      </c>
      <c r="V4520" s="25"/>
      <c r="W4520" s="25"/>
      <c r="X4520" s="25"/>
      <c r="Y4520" s="25"/>
      <c r="Z4520" s="25"/>
      <c r="AA4520" s="25"/>
    </row>
    <row r="4521" spans="1:27" x14ac:dyDescent="0.35">
      <c r="A4521" s="5">
        <v>4517</v>
      </c>
      <c r="B4521" s="5">
        <v>189</v>
      </c>
      <c r="C4521" s="5">
        <v>7</v>
      </c>
      <c r="D4521" s="25">
        <v>1.1416E-4</v>
      </c>
      <c r="E4521" s="25">
        <v>1.1707E-4</v>
      </c>
      <c r="F4521" s="25">
        <v>1.0737E-4</v>
      </c>
      <c r="G4521" s="25">
        <v>5.9939999999999999E-5</v>
      </c>
      <c r="H4521" s="25">
        <v>1.3910000000000001E-5</v>
      </c>
      <c r="I4521" s="9">
        <v>9.467E-5</v>
      </c>
      <c r="J4521" s="9">
        <v>8.967E-5</v>
      </c>
      <c r="K4521" s="9">
        <v>8.0539999999999998E-5</v>
      </c>
      <c r="L4521" s="9">
        <v>2.3649999999999999E-5</v>
      </c>
      <c r="M4521" s="9">
        <v>4.8600000000000002E-5</v>
      </c>
      <c r="N4521" s="9">
        <v>6.436E-5</v>
      </c>
      <c r="O4521" s="9">
        <v>2.4139999999999999E-5</v>
      </c>
      <c r="P4521" s="9">
        <v>5.9320000000000001E-5</v>
      </c>
      <c r="Q4521" s="9">
        <v>9.4279999999999999E-5</v>
      </c>
      <c r="R4521" s="10">
        <v>1.9767384467330682E-4</v>
      </c>
      <c r="S4521" s="10">
        <v>1.8996146887852164E-4</v>
      </c>
      <c r="T4521" s="10">
        <v>0</v>
      </c>
      <c r="U4521" s="10">
        <v>8.7299999999999994E-5</v>
      </c>
      <c r="V4521" s="25"/>
      <c r="W4521" s="25"/>
      <c r="X4521" s="25"/>
      <c r="Y4521" s="25"/>
      <c r="Z4521" s="25"/>
      <c r="AA4521" s="25"/>
    </row>
    <row r="4522" spans="1:27" x14ac:dyDescent="0.35">
      <c r="A4522" s="5">
        <v>4518</v>
      </c>
      <c r="B4522" s="5">
        <v>189</v>
      </c>
      <c r="C4522" s="5">
        <v>7</v>
      </c>
      <c r="D4522" s="25">
        <v>1.1415000000000001E-4</v>
      </c>
      <c r="E4522" s="25">
        <v>1.1673E-4</v>
      </c>
      <c r="F4522" s="25">
        <v>1.2459999999999999E-4</v>
      </c>
      <c r="G4522" s="25">
        <v>1.1018000000000001E-4</v>
      </c>
      <c r="H4522" s="25">
        <v>2.7509999999999999E-5</v>
      </c>
      <c r="I4522" s="9">
        <v>1.0249E-4</v>
      </c>
      <c r="J4522" s="9">
        <v>9.7159999999999998E-5</v>
      </c>
      <c r="K4522" s="9">
        <v>2.332E-5</v>
      </c>
      <c r="L4522" s="9">
        <v>2.3969999999999999E-5</v>
      </c>
      <c r="M4522" s="9">
        <v>5.2320000000000001E-5</v>
      </c>
      <c r="N4522" s="9">
        <v>7.1039999999999997E-5</v>
      </c>
      <c r="O4522" s="9">
        <v>3.0429999999999998E-5</v>
      </c>
      <c r="P4522" s="9">
        <v>6.9270000000000006E-5</v>
      </c>
      <c r="Q4522" s="9">
        <v>1.078E-4</v>
      </c>
      <c r="R4522" s="10">
        <v>1.9280052559350028E-4</v>
      </c>
      <c r="S4522" s="10">
        <v>1.902104620958917E-4</v>
      </c>
      <c r="T4522" s="10">
        <v>4.0130735926174113E-6</v>
      </c>
      <c r="U4522" s="10">
        <v>8.7299999999999994E-5</v>
      </c>
      <c r="V4522" s="25"/>
      <c r="W4522" s="25"/>
      <c r="X4522" s="25"/>
      <c r="Y4522" s="25"/>
      <c r="Z4522" s="25"/>
      <c r="AA4522" s="25"/>
    </row>
    <row r="4523" spans="1:27" x14ac:dyDescent="0.35">
      <c r="A4523" s="5">
        <v>4519</v>
      </c>
      <c r="B4523" s="5">
        <v>189</v>
      </c>
      <c r="C4523" s="5">
        <v>7</v>
      </c>
      <c r="D4523" s="25">
        <v>1.1416E-4</v>
      </c>
      <c r="E4523" s="25">
        <v>1.1107000000000001E-4</v>
      </c>
      <c r="F4523" s="25">
        <v>1.22E-4</v>
      </c>
      <c r="G4523" s="25">
        <v>1.148E-4</v>
      </c>
      <c r="H4523" s="25">
        <v>2.6910000000000002E-5</v>
      </c>
      <c r="I4523" s="9">
        <v>1.1239E-4</v>
      </c>
      <c r="J4523" s="9">
        <v>1.1072E-4</v>
      </c>
      <c r="K4523" s="9">
        <v>6.3600000000000001E-6</v>
      </c>
      <c r="L4523" s="9">
        <v>2.8909999999999999E-5</v>
      </c>
      <c r="M4523" s="9">
        <v>5.9530000000000001E-5</v>
      </c>
      <c r="N4523" s="9">
        <v>8.0909999999999996E-5</v>
      </c>
      <c r="O4523" s="9">
        <v>4.6470000000000001E-5</v>
      </c>
      <c r="P4523" s="9">
        <v>7.9549999999999996E-5</v>
      </c>
      <c r="Q4523" s="9">
        <v>1.1237E-4</v>
      </c>
      <c r="R4523" s="10">
        <v>1.9719329711017261E-4</v>
      </c>
      <c r="S4523" s="10">
        <v>1.9012043676167281E-4</v>
      </c>
      <c r="T4523" s="10">
        <v>5.5300663164228924E-5</v>
      </c>
      <c r="U4523" s="10">
        <v>8.7299999999999994E-5</v>
      </c>
      <c r="V4523" s="25"/>
      <c r="W4523" s="25"/>
      <c r="X4523" s="25"/>
      <c r="Y4523" s="25"/>
      <c r="Z4523" s="25"/>
      <c r="AA4523" s="25"/>
    </row>
    <row r="4524" spans="1:27" x14ac:dyDescent="0.35">
      <c r="A4524" s="5">
        <v>4520</v>
      </c>
      <c r="B4524" s="5">
        <v>189</v>
      </c>
      <c r="C4524" s="5">
        <v>7</v>
      </c>
      <c r="D4524" s="25">
        <v>1.1415000000000001E-4</v>
      </c>
      <c r="E4524" s="25">
        <v>1.1246E-4</v>
      </c>
      <c r="F4524" s="25">
        <v>1.0601E-4</v>
      </c>
      <c r="G4524" s="25">
        <v>1.6448E-4</v>
      </c>
      <c r="H4524" s="25">
        <v>4.0890000000000003E-5</v>
      </c>
      <c r="I4524" s="9">
        <v>1.2014E-4</v>
      </c>
      <c r="J4524" s="9">
        <v>1.2066E-4</v>
      </c>
      <c r="K4524" s="9">
        <v>0</v>
      </c>
      <c r="L4524" s="9">
        <v>4.2459999999999997E-5</v>
      </c>
      <c r="M4524" s="9">
        <v>6.8559999999999994E-5</v>
      </c>
      <c r="N4524" s="9">
        <v>9.098E-5</v>
      </c>
      <c r="O4524" s="9">
        <v>6.8819999999999995E-5</v>
      </c>
      <c r="P4524" s="9">
        <v>1.0349E-4</v>
      </c>
      <c r="Q4524" s="9">
        <v>1.3779999999999999E-4</v>
      </c>
      <c r="R4524" s="10">
        <v>2.0812924552516092E-4</v>
      </c>
      <c r="S4524" s="10">
        <v>1.8962485907213895E-4</v>
      </c>
      <c r="T4524" s="10">
        <v>6.3581339329968014E-5</v>
      </c>
      <c r="U4524" s="10">
        <v>8.7299999999999994E-5</v>
      </c>
      <c r="V4524" s="25"/>
      <c r="W4524" s="25"/>
      <c r="X4524" s="25"/>
      <c r="Y4524" s="25"/>
      <c r="Z4524" s="25"/>
      <c r="AA4524" s="25"/>
    </row>
    <row r="4525" spans="1:27" x14ac:dyDescent="0.35">
      <c r="A4525" s="5">
        <v>4521</v>
      </c>
      <c r="B4525" s="5">
        <v>189</v>
      </c>
      <c r="C4525" s="5">
        <v>7</v>
      </c>
      <c r="D4525" s="25">
        <v>1.1416E-4</v>
      </c>
      <c r="E4525" s="25">
        <v>1.1914E-4</v>
      </c>
      <c r="F4525" s="25">
        <v>1.2548E-4</v>
      </c>
      <c r="G4525" s="25">
        <v>1.6112E-4</v>
      </c>
      <c r="H4525" s="25">
        <v>4.1789999999999998E-5</v>
      </c>
      <c r="I4525" s="9">
        <v>1.2434999999999999E-4</v>
      </c>
      <c r="J4525" s="9">
        <v>1.2481999999999999E-4</v>
      </c>
      <c r="K4525" s="9">
        <v>0</v>
      </c>
      <c r="L4525" s="9">
        <v>6.2650000000000005E-5</v>
      </c>
      <c r="M4525" s="9">
        <v>8.3360000000000001E-5</v>
      </c>
      <c r="N4525" s="9">
        <v>1.0496E-4</v>
      </c>
      <c r="O4525" s="9">
        <v>9.9900000000000002E-5</v>
      </c>
      <c r="P4525" s="9">
        <v>1.3904E-4</v>
      </c>
      <c r="Q4525" s="9">
        <v>1.7765000000000001E-4</v>
      </c>
      <c r="R4525" s="10">
        <v>2.072272777712072E-4</v>
      </c>
      <c r="S4525" s="10">
        <v>1.8892049509032337E-4</v>
      </c>
      <c r="T4525" s="10">
        <v>1.0482351847101079E-4</v>
      </c>
      <c r="U4525" s="10">
        <v>8.7299999999999994E-5</v>
      </c>
      <c r="V4525" s="25"/>
      <c r="W4525" s="25"/>
      <c r="X4525" s="25"/>
      <c r="Y4525" s="25"/>
      <c r="Z4525" s="25"/>
      <c r="AA4525" s="25"/>
    </row>
    <row r="4526" spans="1:27" x14ac:dyDescent="0.35">
      <c r="A4526" s="5">
        <v>4522</v>
      </c>
      <c r="B4526" s="5">
        <v>189</v>
      </c>
      <c r="C4526" s="5">
        <v>7</v>
      </c>
      <c r="D4526" s="25">
        <v>1.1415000000000001E-4</v>
      </c>
      <c r="E4526" s="25">
        <v>1.1956E-4</v>
      </c>
      <c r="F4526" s="25">
        <v>1.0313E-4</v>
      </c>
      <c r="G4526" s="25">
        <v>1.6051999999999999E-4</v>
      </c>
      <c r="H4526" s="25">
        <v>4.2230000000000001E-5</v>
      </c>
      <c r="I4526" s="9">
        <v>1.2469E-4</v>
      </c>
      <c r="J4526" s="9">
        <v>1.2495E-4</v>
      </c>
      <c r="K4526" s="9">
        <v>0</v>
      </c>
      <c r="L4526" s="9">
        <v>9.1180000000000005E-5</v>
      </c>
      <c r="M4526" s="9">
        <v>1.0715E-4</v>
      </c>
      <c r="N4526" s="9">
        <v>1.2511999999999999E-4</v>
      </c>
      <c r="O4526" s="9">
        <v>1.2737999999999999E-4</v>
      </c>
      <c r="P4526" s="9">
        <v>1.5459999999999999E-4</v>
      </c>
      <c r="Q4526" s="9">
        <v>1.8139999999999999E-4</v>
      </c>
      <c r="R4526" s="10">
        <v>2.0347391744016615E-4</v>
      </c>
      <c r="S4526" s="10">
        <v>1.8957683486974859E-4</v>
      </c>
      <c r="T4526" s="10">
        <v>6.8273156870596836E-5</v>
      </c>
      <c r="U4526" s="10">
        <v>8.7299999999999994E-5</v>
      </c>
      <c r="V4526" s="25"/>
      <c r="W4526" s="25"/>
      <c r="X4526" s="25"/>
      <c r="Y4526" s="25"/>
      <c r="Z4526" s="25"/>
      <c r="AA4526" s="25"/>
    </row>
    <row r="4527" spans="1:27" x14ac:dyDescent="0.35">
      <c r="A4527" s="5">
        <v>4523</v>
      </c>
      <c r="B4527" s="5">
        <v>189</v>
      </c>
      <c r="C4527" s="5">
        <v>7</v>
      </c>
      <c r="D4527" s="25">
        <v>1.1416E-4</v>
      </c>
      <c r="E4527" s="25">
        <v>1.1196000000000001E-4</v>
      </c>
      <c r="F4527" s="25">
        <v>1.1543E-4</v>
      </c>
      <c r="G4527" s="25">
        <v>1.5720999999999999E-4</v>
      </c>
      <c r="H4527" s="25">
        <v>4.0960000000000001E-5</v>
      </c>
      <c r="I4527" s="9">
        <v>1.2682000000000001E-4</v>
      </c>
      <c r="J4527" s="9">
        <v>1.2506E-4</v>
      </c>
      <c r="K4527" s="9">
        <v>0</v>
      </c>
      <c r="L4527" s="9">
        <v>1.1870999999999999E-4</v>
      </c>
      <c r="M4527" s="9">
        <v>1.3024E-4</v>
      </c>
      <c r="N4527" s="9">
        <v>1.4296999999999999E-4</v>
      </c>
      <c r="O4527" s="9">
        <v>1.3637E-4</v>
      </c>
      <c r="P4527" s="9">
        <v>1.5831999999999999E-4</v>
      </c>
      <c r="Q4527" s="9">
        <v>1.7990000000000001E-4</v>
      </c>
      <c r="R4527" s="10">
        <v>2.0006569745846449E-4</v>
      </c>
      <c r="S4527" s="10">
        <v>1.8972442601248072E-4</v>
      </c>
      <c r="T4527" s="10">
        <v>7.6664128927887785E-5</v>
      </c>
      <c r="U4527" s="10">
        <v>8.7299999999999994E-5</v>
      </c>
      <c r="V4527" s="25"/>
      <c r="W4527" s="25"/>
      <c r="X4527" s="25"/>
      <c r="Y4527" s="25"/>
      <c r="Z4527" s="25"/>
      <c r="AA4527" s="25"/>
    </row>
    <row r="4528" spans="1:27" x14ac:dyDescent="0.35">
      <c r="A4528" s="5">
        <v>4524</v>
      </c>
      <c r="B4528" s="5">
        <v>189</v>
      </c>
      <c r="C4528" s="5">
        <v>7</v>
      </c>
      <c r="D4528" s="25">
        <v>1.1415000000000001E-4</v>
      </c>
      <c r="E4528" s="25">
        <v>1.1769000000000001E-4</v>
      </c>
      <c r="F4528" s="25">
        <v>1.2019E-4</v>
      </c>
      <c r="G4528" s="25">
        <v>1.5651E-4</v>
      </c>
      <c r="H4528" s="25">
        <v>3.9959999999999997E-5</v>
      </c>
      <c r="I4528" s="9">
        <v>1.2579E-4</v>
      </c>
      <c r="J4528" s="9">
        <v>1.2417E-4</v>
      </c>
      <c r="K4528" s="9">
        <v>0</v>
      </c>
      <c r="L4528" s="9">
        <v>1.3185000000000001E-4</v>
      </c>
      <c r="M4528" s="9">
        <v>1.4579E-4</v>
      </c>
      <c r="N4528" s="9">
        <v>1.5705E-4</v>
      </c>
      <c r="O4528" s="9">
        <v>1.3709E-4</v>
      </c>
      <c r="P4528" s="9">
        <v>1.5556000000000001E-4</v>
      </c>
      <c r="Q4528" s="9">
        <v>1.7372000000000001E-4</v>
      </c>
      <c r="R4528" s="10">
        <v>1.9660841270460199E-4</v>
      </c>
      <c r="S4528" s="10">
        <v>1.8951049916490561E-4</v>
      </c>
      <c r="T4528" s="10">
        <v>1.5554265998616278E-4</v>
      </c>
      <c r="U4528" s="10">
        <v>8.7299999999999994E-5</v>
      </c>
      <c r="V4528" s="25"/>
      <c r="W4528" s="25"/>
      <c r="X4528" s="25"/>
      <c r="Y4528" s="25"/>
      <c r="Z4528" s="25"/>
      <c r="AA4528" s="25"/>
    </row>
    <row r="4529" spans="1:27" x14ac:dyDescent="0.35">
      <c r="A4529" s="5">
        <v>4525</v>
      </c>
      <c r="B4529" s="5">
        <v>189</v>
      </c>
      <c r="C4529" s="5">
        <v>7</v>
      </c>
      <c r="D4529" s="25">
        <v>1.1416E-4</v>
      </c>
      <c r="E4529" s="25">
        <v>1.0966E-4</v>
      </c>
      <c r="F4529" s="25">
        <v>1.2186E-4</v>
      </c>
      <c r="G4529" s="25">
        <v>1.6182999999999999E-4</v>
      </c>
      <c r="H4529" s="25">
        <v>4.227E-5</v>
      </c>
      <c r="I4529" s="9">
        <v>1.2469E-4</v>
      </c>
      <c r="J4529" s="9">
        <v>1.2575999999999999E-4</v>
      </c>
      <c r="K4529" s="9">
        <v>0</v>
      </c>
      <c r="L4529" s="9">
        <v>1.3574999999999999E-4</v>
      </c>
      <c r="M4529" s="9">
        <v>1.5264E-4</v>
      </c>
      <c r="N4529" s="9">
        <v>1.6634000000000001E-4</v>
      </c>
      <c r="O4529" s="9">
        <v>1.2973999999999999E-4</v>
      </c>
      <c r="P4529" s="9">
        <v>1.4904E-4</v>
      </c>
      <c r="Q4529" s="9">
        <v>1.6803E-4</v>
      </c>
      <c r="R4529" s="10">
        <v>1.9371322809131971E-4</v>
      </c>
      <c r="S4529" s="10">
        <v>1.8707099693708422E-4</v>
      </c>
      <c r="T4529" s="10">
        <v>1.8481349274415446E-4</v>
      </c>
      <c r="U4529" s="10">
        <v>8.7299999999999994E-5</v>
      </c>
      <c r="V4529" s="25"/>
      <c r="W4529" s="25"/>
      <c r="X4529" s="25"/>
      <c r="Y4529" s="25"/>
      <c r="Z4529" s="25"/>
      <c r="AA4529" s="25"/>
    </row>
    <row r="4530" spans="1:27" x14ac:dyDescent="0.35">
      <c r="A4530" s="5">
        <v>4526</v>
      </c>
      <c r="B4530" s="5">
        <v>189</v>
      </c>
      <c r="C4530" s="5">
        <v>7</v>
      </c>
      <c r="D4530" s="25">
        <v>1.1415000000000001E-4</v>
      </c>
      <c r="E4530" s="25">
        <v>1.1393E-4</v>
      </c>
      <c r="F4530" s="25">
        <v>1.2032E-4</v>
      </c>
      <c r="G4530" s="25">
        <v>1.6059000000000001E-4</v>
      </c>
      <c r="H4530" s="25">
        <v>4.2379999999999997E-5</v>
      </c>
      <c r="I4530" s="9">
        <v>1.2399000000000001E-4</v>
      </c>
      <c r="J4530" s="9">
        <v>1.2646000000000001E-4</v>
      </c>
      <c r="K4530" s="9">
        <v>0</v>
      </c>
      <c r="L4530" s="9">
        <v>1.3113E-4</v>
      </c>
      <c r="M4530" s="9">
        <v>1.5264E-4</v>
      </c>
      <c r="N4530" s="9">
        <v>1.7069000000000001E-4</v>
      </c>
      <c r="O4530" s="9">
        <v>1.1103E-4</v>
      </c>
      <c r="P4530" s="9">
        <v>1.3541000000000001E-4</v>
      </c>
      <c r="Q4530" s="9">
        <v>1.5945999999999999E-4</v>
      </c>
      <c r="R4530" s="10">
        <v>2.0062506309408498E-4</v>
      </c>
      <c r="S4530" s="10">
        <v>1.8374663226218476E-4</v>
      </c>
      <c r="T4530" s="10">
        <v>1.1049103043690599E-4</v>
      </c>
      <c r="U4530" s="10">
        <v>8.7299999999999994E-5</v>
      </c>
      <c r="V4530" s="25"/>
      <c r="W4530" s="25"/>
      <c r="X4530" s="25"/>
      <c r="Y4530" s="25"/>
      <c r="Z4530" s="25"/>
      <c r="AA4530" s="25"/>
    </row>
    <row r="4531" spans="1:27" x14ac:dyDescent="0.35">
      <c r="A4531" s="5">
        <v>4527</v>
      </c>
      <c r="B4531" s="5">
        <v>189</v>
      </c>
      <c r="C4531" s="5">
        <v>7</v>
      </c>
      <c r="D4531" s="25">
        <v>1.1416E-4</v>
      </c>
      <c r="E4531" s="25">
        <v>1.1153E-4</v>
      </c>
      <c r="F4531" s="25">
        <v>1.138E-4</v>
      </c>
      <c r="G4531" s="25">
        <v>1.6304000000000001E-4</v>
      </c>
      <c r="H4531" s="25">
        <v>4.1640000000000001E-5</v>
      </c>
      <c r="I4531" s="9">
        <v>1.2127E-4</v>
      </c>
      <c r="J4531" s="9">
        <v>1.2594E-4</v>
      </c>
      <c r="K4531" s="9">
        <v>0</v>
      </c>
      <c r="L4531" s="9">
        <v>1.1564E-4</v>
      </c>
      <c r="M4531" s="9">
        <v>1.4618000000000001E-4</v>
      </c>
      <c r="N4531" s="9">
        <v>1.6983999999999999E-4</v>
      </c>
      <c r="O4531" s="9">
        <v>1.2763999999999999E-4</v>
      </c>
      <c r="P4531" s="9">
        <v>1.4092E-4</v>
      </c>
      <c r="Q4531" s="9">
        <v>1.54E-4</v>
      </c>
      <c r="R4531" s="10">
        <v>1.9777288292196631E-4</v>
      </c>
      <c r="S4531" s="10">
        <v>1.8088429286342454E-4</v>
      </c>
      <c r="T4531" s="10">
        <v>1.6468025038626625E-4</v>
      </c>
      <c r="U4531" s="10">
        <v>8.7299999999999994E-5</v>
      </c>
      <c r="V4531" s="25"/>
      <c r="W4531" s="25"/>
      <c r="X4531" s="25"/>
      <c r="Y4531" s="25"/>
      <c r="Z4531" s="25"/>
      <c r="AA4531" s="25"/>
    </row>
    <row r="4532" spans="1:27" x14ac:dyDescent="0.35">
      <c r="A4532" s="5">
        <v>4528</v>
      </c>
      <c r="B4532" s="5">
        <v>189</v>
      </c>
      <c r="C4532" s="5">
        <v>7</v>
      </c>
      <c r="D4532" s="25">
        <v>1.1415000000000001E-4</v>
      </c>
      <c r="E4532" s="25">
        <v>1.1943E-4</v>
      </c>
      <c r="F4532" s="25">
        <v>1.0763E-4</v>
      </c>
      <c r="G4532" s="25">
        <v>1.6674999999999999E-4</v>
      </c>
      <c r="H4532" s="25">
        <v>4.0590000000000003E-5</v>
      </c>
      <c r="I4532" s="9">
        <v>1.1987E-4</v>
      </c>
      <c r="J4532" s="9">
        <v>1.2595E-4</v>
      </c>
      <c r="K4532" s="9">
        <v>0</v>
      </c>
      <c r="L4532" s="9">
        <v>1.2543999999999999E-4</v>
      </c>
      <c r="M4532" s="9">
        <v>1.4248E-4</v>
      </c>
      <c r="N4532" s="9">
        <v>1.6626999999999999E-4</v>
      </c>
      <c r="O4532" s="9">
        <v>1.337E-4</v>
      </c>
      <c r="P4532" s="9">
        <v>1.2183E-4</v>
      </c>
      <c r="Q4532" s="9">
        <v>1.1013E-4</v>
      </c>
      <c r="R4532" s="10">
        <v>1.9563726086175141E-4</v>
      </c>
      <c r="S4532" s="10">
        <v>1.7468577589165328E-4</v>
      </c>
      <c r="T4532" s="10">
        <v>7.8657939275171261E-5</v>
      </c>
      <c r="U4532" s="10">
        <v>8.7299999999999994E-5</v>
      </c>
      <c r="V4532" s="25"/>
      <c r="W4532" s="25"/>
      <c r="X4532" s="25"/>
      <c r="Y4532" s="25"/>
      <c r="Z4532" s="25"/>
      <c r="AA4532" s="25"/>
    </row>
    <row r="4533" spans="1:27" x14ac:dyDescent="0.35">
      <c r="A4533" s="5">
        <v>4529</v>
      </c>
      <c r="B4533" s="5">
        <v>189</v>
      </c>
      <c r="C4533" s="5">
        <v>7</v>
      </c>
      <c r="D4533" s="25">
        <v>1.1416E-4</v>
      </c>
      <c r="E4533" s="25">
        <v>1.1101E-4</v>
      </c>
      <c r="F4533" s="25">
        <v>1.031E-4</v>
      </c>
      <c r="G4533" s="25">
        <v>1.6401E-4</v>
      </c>
      <c r="H4533" s="25">
        <v>3.9919999999999997E-5</v>
      </c>
      <c r="I4533" s="9">
        <v>1.2155E-4</v>
      </c>
      <c r="J4533" s="9">
        <v>1.2680999999999999E-4</v>
      </c>
      <c r="K4533" s="9">
        <v>0</v>
      </c>
      <c r="L4533" s="9">
        <v>1.3158000000000001E-4</v>
      </c>
      <c r="M4533" s="9">
        <v>1.3427E-4</v>
      </c>
      <c r="N4533" s="9">
        <v>1.5260999999999999E-4</v>
      </c>
      <c r="O4533" s="9">
        <v>1.3859000000000001E-4</v>
      </c>
      <c r="P4533" s="9">
        <v>1.2248000000000001E-4</v>
      </c>
      <c r="Q4533" s="9">
        <v>1.066E-4</v>
      </c>
      <c r="R4533" s="10">
        <v>1.8662626790559982E-4</v>
      </c>
      <c r="S4533" s="10">
        <v>1.6557074952995376E-4</v>
      </c>
      <c r="T4533" s="10">
        <v>2.6040859995392427E-4</v>
      </c>
      <c r="U4533" s="10">
        <v>8.7299999999999994E-5</v>
      </c>
      <c r="V4533" s="25"/>
      <c r="W4533" s="25"/>
      <c r="X4533" s="25"/>
      <c r="Y4533" s="25"/>
      <c r="Z4533" s="25"/>
      <c r="AA4533" s="25"/>
    </row>
    <row r="4534" spans="1:27" x14ac:dyDescent="0.35">
      <c r="A4534" s="5">
        <v>4530</v>
      </c>
      <c r="B4534" s="5">
        <v>189</v>
      </c>
      <c r="C4534" s="5">
        <v>7</v>
      </c>
      <c r="D4534" s="25">
        <v>1.1415000000000001E-4</v>
      </c>
      <c r="E4534" s="25">
        <v>1.1552000000000001E-4</v>
      </c>
      <c r="F4534" s="25">
        <v>1.1561999999999999E-4</v>
      </c>
      <c r="G4534" s="25">
        <v>1.6095000000000001E-4</v>
      </c>
      <c r="H4534" s="25">
        <v>4.0890000000000003E-5</v>
      </c>
      <c r="I4534" s="9">
        <v>1.2064E-4</v>
      </c>
      <c r="J4534" s="9">
        <v>1.2328999999999999E-4</v>
      </c>
      <c r="K4534" s="9">
        <v>0</v>
      </c>
      <c r="L4534" s="9">
        <v>1.3674999999999999E-4</v>
      </c>
      <c r="M4534" s="9">
        <v>1.2793E-4</v>
      </c>
      <c r="N4534" s="9">
        <v>1.3914999999999999E-4</v>
      </c>
      <c r="O4534" s="9">
        <v>1.4138000000000001E-4</v>
      </c>
      <c r="P4534" s="9">
        <v>1.3009E-4</v>
      </c>
      <c r="Q4534" s="9">
        <v>1.1893E-4</v>
      </c>
      <c r="R4534" s="10">
        <v>1.8256448685421606E-4</v>
      </c>
      <c r="S4534" s="10">
        <v>1.650248750653425E-4</v>
      </c>
      <c r="T4534" s="10">
        <v>1.342216157192546E-4</v>
      </c>
      <c r="U4534" s="10">
        <v>8.7299999999999994E-5</v>
      </c>
      <c r="V4534" s="25"/>
      <c r="W4534" s="25"/>
      <c r="X4534" s="25"/>
      <c r="Y4534" s="25"/>
      <c r="Z4534" s="25"/>
      <c r="AA4534" s="25"/>
    </row>
    <row r="4535" spans="1:27" x14ac:dyDescent="0.35">
      <c r="A4535" s="5">
        <v>4531</v>
      </c>
      <c r="B4535" s="5">
        <v>189</v>
      </c>
      <c r="C4535" s="5">
        <v>7</v>
      </c>
      <c r="D4535" s="25">
        <v>1.1416E-4</v>
      </c>
      <c r="E4535" s="25">
        <v>1.131E-4</v>
      </c>
      <c r="F4535" s="25">
        <v>1.0870999999999999E-4</v>
      </c>
      <c r="G4535" s="25">
        <v>1.0507E-4</v>
      </c>
      <c r="H4535" s="25">
        <v>2.8379999999999999E-5</v>
      </c>
      <c r="I4535" s="9">
        <v>1.1637999999999999E-4</v>
      </c>
      <c r="J4535" s="9">
        <v>1.2019E-4</v>
      </c>
      <c r="K4535" s="9">
        <v>0</v>
      </c>
      <c r="L4535" s="9">
        <v>1.403E-4</v>
      </c>
      <c r="M4535" s="9">
        <v>1.2723000000000001E-4</v>
      </c>
      <c r="N4535" s="9">
        <v>1.3034E-4</v>
      </c>
      <c r="O4535" s="9">
        <v>1.4035999999999999E-4</v>
      </c>
      <c r="P4535" s="9">
        <v>1.2353E-4</v>
      </c>
      <c r="Q4535" s="9">
        <v>1.0692E-4</v>
      </c>
      <c r="R4535" s="10">
        <v>1.7822474639553123E-4</v>
      </c>
      <c r="S4535" s="10">
        <v>1.6842692623795071E-4</v>
      </c>
      <c r="T4535" s="10">
        <v>5.1287589571611514E-5</v>
      </c>
      <c r="U4535" s="10">
        <v>8.7299999999999994E-5</v>
      </c>
      <c r="V4535" s="25"/>
      <c r="W4535" s="25"/>
      <c r="X4535" s="25"/>
      <c r="Y4535" s="25"/>
      <c r="Z4535" s="25"/>
      <c r="AA4535" s="25"/>
    </row>
    <row r="4536" spans="1:27" x14ac:dyDescent="0.35">
      <c r="A4536" s="5">
        <v>4532</v>
      </c>
      <c r="B4536" s="5">
        <v>189</v>
      </c>
      <c r="C4536" s="5">
        <v>7</v>
      </c>
      <c r="D4536" s="25">
        <v>1.1415000000000001E-4</v>
      </c>
      <c r="E4536" s="25">
        <v>1.1112000000000001E-4</v>
      </c>
      <c r="F4536" s="25">
        <v>1.2261999999999999E-4</v>
      </c>
      <c r="G4536" s="25">
        <v>1.0452E-4</v>
      </c>
      <c r="H4536" s="25">
        <v>2.906E-5</v>
      </c>
      <c r="I4536" s="9">
        <v>1.1252E-4</v>
      </c>
      <c r="J4536" s="9">
        <v>1.1739E-4</v>
      </c>
      <c r="K4536" s="9">
        <v>0</v>
      </c>
      <c r="L4536" s="9">
        <v>1.4029E-4</v>
      </c>
      <c r="M4536" s="9">
        <v>1.26E-4</v>
      </c>
      <c r="N4536" s="9">
        <v>1.2120000000000001E-4</v>
      </c>
      <c r="O4536" s="9">
        <v>1.4240999999999999E-4</v>
      </c>
      <c r="P4536" s="9">
        <v>1.2181E-4</v>
      </c>
      <c r="Q4536" s="9">
        <v>1.0149000000000001E-4</v>
      </c>
      <c r="R4536" s="10">
        <v>1.6420135368736682E-4</v>
      </c>
      <c r="S4536" s="10">
        <v>1.7188015569887018E-4</v>
      </c>
      <c r="T4536" s="10">
        <v>1.2700996127163349E-5</v>
      </c>
      <c r="U4536" s="10">
        <v>8.7299999999999994E-5</v>
      </c>
      <c r="V4536" s="25"/>
      <c r="W4536" s="25"/>
      <c r="X4536" s="25"/>
      <c r="Y4536" s="25"/>
      <c r="Z4536" s="25"/>
      <c r="AA4536" s="25"/>
    </row>
    <row r="4537" spans="1:27" x14ac:dyDescent="0.35">
      <c r="A4537" s="5">
        <v>4533</v>
      </c>
      <c r="B4537" s="5">
        <v>189</v>
      </c>
      <c r="C4537" s="5">
        <v>7</v>
      </c>
      <c r="D4537" s="25">
        <v>1.1416E-4</v>
      </c>
      <c r="E4537" s="25">
        <v>1.1586000000000001E-4</v>
      </c>
      <c r="F4537" s="25">
        <v>1.2136E-4</v>
      </c>
      <c r="G4537" s="25">
        <v>6.2509999999999996E-5</v>
      </c>
      <c r="H4537" s="25">
        <v>1.573E-5</v>
      </c>
      <c r="I4537" s="9">
        <v>1.0929000000000001E-4</v>
      </c>
      <c r="J4537" s="9">
        <v>1.1376E-4</v>
      </c>
      <c r="K4537" s="9">
        <v>0</v>
      </c>
      <c r="L4537" s="9">
        <v>1.4197E-4</v>
      </c>
      <c r="M4537" s="9">
        <v>1.2420000000000001E-4</v>
      </c>
      <c r="N4537" s="9">
        <v>1.1335E-4</v>
      </c>
      <c r="O4537" s="9">
        <v>8.4259999999999996E-5</v>
      </c>
      <c r="P4537" s="9">
        <v>8.6149999999999993E-5</v>
      </c>
      <c r="Q4537" s="9">
        <v>8.8140000000000007E-5</v>
      </c>
      <c r="R4537" s="10">
        <v>1.5928581943013532E-4</v>
      </c>
      <c r="S4537" s="10">
        <v>1.7693905641230428E-4</v>
      </c>
      <c r="T4537" s="10">
        <v>0</v>
      </c>
      <c r="U4537" s="10">
        <v>8.7299999999999994E-5</v>
      </c>
      <c r="V4537" s="25"/>
      <c r="W4537" s="25"/>
      <c r="X4537" s="25"/>
      <c r="Y4537" s="25"/>
      <c r="Z4537" s="25"/>
      <c r="AA4537" s="25"/>
    </row>
    <row r="4538" spans="1:27" x14ac:dyDescent="0.35">
      <c r="A4538" s="5">
        <v>4534</v>
      </c>
      <c r="B4538" s="5">
        <v>189</v>
      </c>
      <c r="C4538" s="5">
        <v>7</v>
      </c>
      <c r="D4538" s="25">
        <v>1.1415000000000001E-4</v>
      </c>
      <c r="E4538" s="25">
        <v>1.21E-4</v>
      </c>
      <c r="F4538" s="25">
        <v>1.0437000000000001E-4</v>
      </c>
      <c r="G4538" s="25">
        <v>5.5009999999999997E-5</v>
      </c>
      <c r="H4538" s="25">
        <v>1.455E-5</v>
      </c>
      <c r="I4538" s="9">
        <v>1.1226E-4</v>
      </c>
      <c r="J4538" s="9">
        <v>1.1249E-4</v>
      </c>
      <c r="K4538" s="9">
        <v>6.37E-6</v>
      </c>
      <c r="L4538" s="9">
        <v>9.6929999999999995E-5</v>
      </c>
      <c r="M4538" s="9">
        <v>1.0998E-4</v>
      </c>
      <c r="N4538" s="9">
        <v>1.0566E-4</v>
      </c>
      <c r="O4538" s="9">
        <v>8.6840000000000002E-5</v>
      </c>
      <c r="P4538" s="9">
        <v>8.7369999999999999E-5</v>
      </c>
      <c r="Q4538" s="9">
        <v>8.8020000000000001E-5</v>
      </c>
      <c r="R4538" s="10">
        <v>1.6021165855296588E-4</v>
      </c>
      <c r="S4538" s="10">
        <v>1.8186282098988995E-4</v>
      </c>
      <c r="T4538" s="10">
        <v>0</v>
      </c>
      <c r="U4538" s="10">
        <v>8.7299999999999994E-5</v>
      </c>
      <c r="V4538" s="25"/>
      <c r="W4538" s="25"/>
      <c r="X4538" s="25"/>
      <c r="Y4538" s="25"/>
      <c r="Z4538" s="25"/>
      <c r="AA4538" s="25"/>
    </row>
    <row r="4539" spans="1:27" x14ac:dyDescent="0.35">
      <c r="A4539" s="5">
        <v>4535</v>
      </c>
      <c r="B4539" s="5">
        <v>189</v>
      </c>
      <c r="C4539" s="5">
        <v>7</v>
      </c>
      <c r="D4539" s="25">
        <v>1.1416E-4</v>
      </c>
      <c r="E4539" s="25">
        <v>1.169E-4</v>
      </c>
      <c r="F4539" s="25">
        <v>1.1347E-4</v>
      </c>
      <c r="G4539" s="25">
        <v>5.9729999999999999E-5</v>
      </c>
      <c r="H4539" s="25">
        <v>1.379E-5</v>
      </c>
      <c r="I4539" s="9">
        <v>1.0976000000000001E-4</v>
      </c>
      <c r="J4539" s="9">
        <v>1.0768E-4</v>
      </c>
      <c r="K4539" s="9">
        <v>3.18E-5</v>
      </c>
      <c r="L4539" s="9">
        <v>9.0299999999999999E-5</v>
      </c>
      <c r="M4539" s="9">
        <v>9.8040000000000003E-5</v>
      </c>
      <c r="N4539" s="9">
        <v>9.9779999999999997E-5</v>
      </c>
      <c r="O4539" s="9">
        <v>8.4040000000000002E-5</v>
      </c>
      <c r="P4539" s="9">
        <v>7.5179999999999995E-5</v>
      </c>
      <c r="Q4539" s="9">
        <v>6.6600000000000006E-5</v>
      </c>
      <c r="R4539" s="10">
        <v>1.6386290260449518E-4</v>
      </c>
      <c r="S4539" s="10">
        <v>1.8116897648318269E-4</v>
      </c>
      <c r="T4539" s="10">
        <v>0</v>
      </c>
      <c r="U4539" s="10">
        <v>8.7299999999999994E-5</v>
      </c>
      <c r="V4539" s="25"/>
      <c r="W4539" s="25"/>
      <c r="X4539" s="25"/>
      <c r="Y4539" s="25"/>
      <c r="Z4539" s="25"/>
      <c r="AA4539" s="25"/>
    </row>
    <row r="4540" spans="1:27" x14ac:dyDescent="0.35">
      <c r="A4540" s="5">
        <v>4536</v>
      </c>
      <c r="B4540" s="5">
        <v>189</v>
      </c>
      <c r="C4540" s="5">
        <v>7</v>
      </c>
      <c r="D4540" s="25">
        <v>1.1415000000000001E-4</v>
      </c>
      <c r="E4540" s="25">
        <v>1.171E-4</v>
      </c>
      <c r="F4540" s="25">
        <v>1.0571E-4</v>
      </c>
      <c r="G4540" s="25">
        <v>6.3189999999999996E-5</v>
      </c>
      <c r="H4540" s="25">
        <v>1.577E-5</v>
      </c>
      <c r="I4540" s="9">
        <v>1.0304E-4</v>
      </c>
      <c r="J4540" s="9">
        <v>9.9959999999999998E-5</v>
      </c>
      <c r="K4540" s="9">
        <v>4.6629999999999999E-5</v>
      </c>
      <c r="L4540" s="9">
        <v>8.564E-5</v>
      </c>
      <c r="M4540" s="9">
        <v>8.7020000000000004E-5</v>
      </c>
      <c r="N4540" s="9">
        <v>9.0389999999999993E-5</v>
      </c>
      <c r="O4540" s="9">
        <v>7.9729999999999997E-5</v>
      </c>
      <c r="P4540" s="9">
        <v>6.9410000000000001E-5</v>
      </c>
      <c r="Q4540" s="9">
        <v>5.9410000000000002E-5</v>
      </c>
      <c r="R4540" s="10">
        <v>1.7812423311230378E-4</v>
      </c>
      <c r="S4540" s="10">
        <v>1.812812828099821E-4</v>
      </c>
      <c r="T4540" s="10">
        <v>0</v>
      </c>
      <c r="U4540" s="10">
        <v>8.7299999999999994E-5</v>
      </c>
      <c r="V4540" s="25"/>
      <c r="W4540" s="25"/>
      <c r="X4540" s="25"/>
      <c r="Y4540" s="25"/>
      <c r="Z4540" s="25"/>
      <c r="AA4540" s="25"/>
    </row>
    <row r="4541" spans="1:27" x14ac:dyDescent="0.35">
      <c r="A4541" s="5">
        <v>4537</v>
      </c>
      <c r="B4541" s="5">
        <v>190</v>
      </c>
      <c r="C4541" s="5">
        <v>7</v>
      </c>
      <c r="D4541" s="25">
        <v>1.1416E-4</v>
      </c>
      <c r="E4541" s="25">
        <v>1.1599000000000001E-4</v>
      </c>
      <c r="F4541" s="25">
        <v>1.3637999999999999E-4</v>
      </c>
      <c r="G4541" s="25">
        <v>6.224E-5</v>
      </c>
      <c r="H4541" s="25">
        <v>6.7869999999999999E-5</v>
      </c>
      <c r="I4541" s="9">
        <v>9.8560000000000005E-5</v>
      </c>
      <c r="J4541" s="9">
        <v>9.4840000000000007E-5</v>
      </c>
      <c r="K4541" s="9">
        <v>5.7229999999999999E-5</v>
      </c>
      <c r="L4541" s="9">
        <v>8.0820000000000002E-5</v>
      </c>
      <c r="M4541" s="9">
        <v>7.818E-5</v>
      </c>
      <c r="N4541" s="9">
        <v>8.1110000000000001E-5</v>
      </c>
      <c r="O4541" s="9">
        <v>5.4129999999999998E-5</v>
      </c>
      <c r="P4541" s="9">
        <v>5.3550000000000001E-5</v>
      </c>
      <c r="Q4541" s="9">
        <v>5.3130000000000001E-5</v>
      </c>
      <c r="R4541" s="10">
        <v>1.9512313238894723E-4</v>
      </c>
      <c r="S4541" s="10">
        <v>1.8338450051242703E-4</v>
      </c>
      <c r="T4541" s="10">
        <v>0</v>
      </c>
      <c r="U4541" s="10">
        <v>1.0153E-4</v>
      </c>
      <c r="V4541" s="25"/>
      <c r="W4541" s="25"/>
      <c r="X4541" s="25"/>
      <c r="Y4541" s="25"/>
      <c r="Z4541" s="25"/>
      <c r="AA4541" s="25"/>
    </row>
    <row r="4542" spans="1:27" x14ac:dyDescent="0.35">
      <c r="A4542" s="5">
        <v>4538</v>
      </c>
      <c r="B4542" s="5">
        <v>190</v>
      </c>
      <c r="C4542" s="5">
        <v>7</v>
      </c>
      <c r="D4542" s="25">
        <v>1.1415000000000001E-4</v>
      </c>
      <c r="E4542" s="25">
        <v>1.2252000000000001E-4</v>
      </c>
      <c r="F4542" s="25">
        <v>1.2389000000000001E-4</v>
      </c>
      <c r="G4542" s="25">
        <v>5.8959999999999998E-5</v>
      </c>
      <c r="H4542" s="25">
        <v>7.0209999999999994E-5</v>
      </c>
      <c r="I4542" s="9">
        <v>9.501E-5</v>
      </c>
      <c r="J4542" s="9">
        <v>9.2399999999999996E-5</v>
      </c>
      <c r="K4542" s="9">
        <v>7.6299999999999998E-5</v>
      </c>
      <c r="L4542" s="9">
        <v>6.012E-5</v>
      </c>
      <c r="M4542" s="9">
        <v>6.7260000000000003E-5</v>
      </c>
      <c r="N4542" s="9">
        <v>7.1970000000000004E-5</v>
      </c>
      <c r="O4542" s="9">
        <v>1.9259999999999999E-5</v>
      </c>
      <c r="P4542" s="9">
        <v>3.7700000000000002E-5</v>
      </c>
      <c r="Q4542" s="9">
        <v>5.6100000000000002E-5</v>
      </c>
      <c r="R4542" s="10">
        <v>1.8553937565404929E-4</v>
      </c>
      <c r="S4542" s="10">
        <v>1.818887452511752E-4</v>
      </c>
      <c r="T4542" s="10">
        <v>0</v>
      </c>
      <c r="U4542" s="10">
        <v>1.0153E-4</v>
      </c>
      <c r="V4542" s="25"/>
      <c r="W4542" s="25"/>
      <c r="X4542" s="25"/>
      <c r="Y4542" s="25"/>
      <c r="Z4542" s="25"/>
      <c r="AA4542" s="25"/>
    </row>
    <row r="4543" spans="1:27" x14ac:dyDescent="0.35">
      <c r="A4543" s="5">
        <v>4539</v>
      </c>
      <c r="B4543" s="5">
        <v>190</v>
      </c>
      <c r="C4543" s="5">
        <v>7</v>
      </c>
      <c r="D4543" s="25">
        <v>1.1416E-4</v>
      </c>
      <c r="E4543" s="25">
        <v>1.2010000000000001E-4</v>
      </c>
      <c r="F4543" s="25">
        <v>1.236E-4</v>
      </c>
      <c r="G4543" s="25">
        <v>5.7809999999999997E-5</v>
      </c>
      <c r="H4543" s="25">
        <v>7.2979999999999996E-5</v>
      </c>
      <c r="I4543" s="9">
        <v>9.3820000000000006E-5</v>
      </c>
      <c r="J4543" s="9">
        <v>9.1420000000000002E-5</v>
      </c>
      <c r="K4543" s="9">
        <v>8.9010000000000003E-5</v>
      </c>
      <c r="L4543" s="9">
        <v>2.881E-5</v>
      </c>
      <c r="M4543" s="9">
        <v>5.393E-5</v>
      </c>
      <c r="N4543" s="9">
        <v>6.5409999999999999E-5</v>
      </c>
      <c r="O4543" s="9">
        <v>1.4E-5</v>
      </c>
      <c r="P4543" s="9">
        <v>3.8099999999999998E-5</v>
      </c>
      <c r="Q4543" s="9">
        <v>6.211E-5</v>
      </c>
      <c r="R4543" s="10">
        <v>1.7855723953204961E-4</v>
      </c>
      <c r="S4543" s="10">
        <v>1.8006492492434039E-4</v>
      </c>
      <c r="T4543" s="10">
        <v>0</v>
      </c>
      <c r="U4543" s="10">
        <v>1.0153E-4</v>
      </c>
      <c r="V4543" s="25"/>
      <c r="W4543" s="25"/>
      <c r="X4543" s="25"/>
      <c r="Y4543" s="25"/>
      <c r="Z4543" s="25"/>
      <c r="AA4543" s="25"/>
    </row>
    <row r="4544" spans="1:27" x14ac:dyDescent="0.35">
      <c r="A4544" s="5">
        <v>4540</v>
      </c>
      <c r="B4544" s="5">
        <v>190</v>
      </c>
      <c r="C4544" s="5">
        <v>7</v>
      </c>
      <c r="D4544" s="25">
        <v>1.1415000000000001E-4</v>
      </c>
      <c r="E4544" s="25">
        <v>1.1760999999999999E-4</v>
      </c>
      <c r="F4544" s="25">
        <v>1.3660000000000001E-4</v>
      </c>
      <c r="G4544" s="25">
        <v>5.5449999999999999E-5</v>
      </c>
      <c r="H4544" s="25">
        <v>6.567E-5</v>
      </c>
      <c r="I4544" s="9">
        <v>9.4339999999999995E-5</v>
      </c>
      <c r="J4544" s="9">
        <v>9.1570000000000006E-5</v>
      </c>
      <c r="K4544" s="9">
        <v>8.4779999999999998E-5</v>
      </c>
      <c r="L4544" s="9">
        <v>1.8110000000000001E-5</v>
      </c>
      <c r="M4544" s="9">
        <v>4.5009999999999998E-5</v>
      </c>
      <c r="N4544" s="9">
        <v>6.198E-5</v>
      </c>
      <c r="O4544" s="9">
        <v>1.3910000000000001E-5</v>
      </c>
      <c r="P4544" s="9">
        <v>4.7320000000000001E-5</v>
      </c>
      <c r="Q4544" s="9">
        <v>8.0489999999999997E-5</v>
      </c>
      <c r="R4544" s="10">
        <v>1.6552147188887611E-4</v>
      </c>
      <c r="S4544" s="10">
        <v>1.7928418921419142E-4</v>
      </c>
      <c r="T4544" s="10">
        <v>0</v>
      </c>
      <c r="U4544" s="10">
        <v>1.0153E-4</v>
      </c>
      <c r="V4544" s="25"/>
      <c r="W4544" s="25"/>
      <c r="X4544" s="25"/>
      <c r="Y4544" s="25"/>
      <c r="Z4544" s="25"/>
      <c r="AA4544" s="25"/>
    </row>
    <row r="4545" spans="1:27" x14ac:dyDescent="0.35">
      <c r="A4545" s="5">
        <v>4541</v>
      </c>
      <c r="B4545" s="5">
        <v>190</v>
      </c>
      <c r="C4545" s="5">
        <v>7</v>
      </c>
      <c r="D4545" s="25">
        <v>1.1416E-4</v>
      </c>
      <c r="E4545" s="25">
        <v>1.226E-4</v>
      </c>
      <c r="F4545" s="25">
        <v>1.2564E-4</v>
      </c>
      <c r="G4545" s="25">
        <v>5.287E-5</v>
      </c>
      <c r="H4545" s="25">
        <v>7.1240000000000002E-5</v>
      </c>
      <c r="I4545" s="9">
        <v>9.6399999999999999E-5</v>
      </c>
      <c r="J4545" s="9">
        <v>9.3010000000000006E-5</v>
      </c>
      <c r="K4545" s="9">
        <v>6.5710000000000006E-5</v>
      </c>
      <c r="L4545" s="9">
        <v>1.5E-5</v>
      </c>
      <c r="M4545" s="9">
        <v>4.3890000000000002E-5</v>
      </c>
      <c r="N4545" s="9">
        <v>6.4560000000000005E-5</v>
      </c>
      <c r="O4545" s="9">
        <v>1.942E-5</v>
      </c>
      <c r="P4545" s="9">
        <v>5.7009999999999998E-5</v>
      </c>
      <c r="Q4545" s="9">
        <v>9.4270000000000004E-5</v>
      </c>
      <c r="R4545" s="10">
        <v>1.5297177835891742E-4</v>
      </c>
      <c r="S4545" s="10">
        <v>1.7831108131247301E-4</v>
      </c>
      <c r="T4545" s="10">
        <v>0</v>
      </c>
      <c r="U4545" s="10">
        <v>1.0153E-4</v>
      </c>
      <c r="V4545" s="25"/>
      <c r="W4545" s="25"/>
      <c r="X4545" s="25"/>
      <c r="Y4545" s="25"/>
      <c r="Z4545" s="25"/>
      <c r="AA4545" s="25"/>
    </row>
    <row r="4546" spans="1:27" x14ac:dyDescent="0.35">
      <c r="A4546" s="5">
        <v>4542</v>
      </c>
      <c r="B4546" s="5">
        <v>190</v>
      </c>
      <c r="C4546" s="5">
        <v>7</v>
      </c>
      <c r="D4546" s="25">
        <v>1.1415000000000001E-4</v>
      </c>
      <c r="E4546" s="25">
        <v>1.1895E-4</v>
      </c>
      <c r="F4546" s="25">
        <v>1.2701999999999999E-4</v>
      </c>
      <c r="G4546" s="25">
        <v>1.0835E-4</v>
      </c>
      <c r="H4546" s="25">
        <v>1.3247000000000001E-4</v>
      </c>
      <c r="I4546" s="9">
        <v>1.0333E-4</v>
      </c>
      <c r="J4546" s="9">
        <v>1.0001E-4</v>
      </c>
      <c r="K4546" s="9">
        <v>1.272E-5</v>
      </c>
      <c r="L4546" s="9">
        <v>1.8320000000000001E-5</v>
      </c>
      <c r="M4546" s="9">
        <v>4.8699999999999998E-5</v>
      </c>
      <c r="N4546" s="9">
        <v>7.1240000000000002E-5</v>
      </c>
      <c r="O4546" s="9">
        <v>4.6419999999999999E-5</v>
      </c>
      <c r="P4546" s="9">
        <v>7.6909999999999994E-5</v>
      </c>
      <c r="Q4546" s="9">
        <v>1.071E-4</v>
      </c>
      <c r="R4546" s="10">
        <v>1.4476093441866209E-4</v>
      </c>
      <c r="S4546" s="10">
        <v>1.7778639649255036E-4</v>
      </c>
      <c r="T4546" s="10">
        <v>1.6484993637326908E-5</v>
      </c>
      <c r="U4546" s="10">
        <v>1.0153E-4</v>
      </c>
      <c r="V4546" s="25"/>
      <c r="W4546" s="25"/>
      <c r="X4546" s="25"/>
      <c r="Y4546" s="25"/>
      <c r="Z4546" s="25"/>
      <c r="AA4546" s="25"/>
    </row>
    <row r="4547" spans="1:27" x14ac:dyDescent="0.35">
      <c r="A4547" s="5">
        <v>4543</v>
      </c>
      <c r="B4547" s="5">
        <v>190</v>
      </c>
      <c r="C4547" s="5">
        <v>7</v>
      </c>
      <c r="D4547" s="25">
        <v>1.1416E-4</v>
      </c>
      <c r="E4547" s="25">
        <v>1.1283E-4</v>
      </c>
      <c r="F4547" s="25">
        <v>1.3076E-4</v>
      </c>
      <c r="G4547" s="25">
        <v>1.1056E-4</v>
      </c>
      <c r="H4547" s="25">
        <v>1.2863999999999999E-4</v>
      </c>
      <c r="I4547" s="9">
        <v>1.1268E-4</v>
      </c>
      <c r="J4547" s="9">
        <v>1.1317E-4</v>
      </c>
      <c r="K4547" s="9">
        <v>0</v>
      </c>
      <c r="L4547" s="9">
        <v>4.0099999999999999E-5</v>
      </c>
      <c r="M4547" s="9">
        <v>6.0210000000000001E-5</v>
      </c>
      <c r="N4547" s="9">
        <v>8.0959999999999997E-5</v>
      </c>
      <c r="O4547" s="9">
        <v>1.2111E-4</v>
      </c>
      <c r="P4547" s="9">
        <v>1.1621E-4</v>
      </c>
      <c r="Q4547" s="9">
        <v>1.1132E-4</v>
      </c>
      <c r="R4547" s="10">
        <v>1.3639504201923793E-4</v>
      </c>
      <c r="S4547" s="10">
        <v>1.7794855671577888E-4</v>
      </c>
      <c r="T4547" s="10">
        <v>7.4576991287752728E-5</v>
      </c>
      <c r="U4547" s="10">
        <v>1.0153E-4</v>
      </c>
      <c r="V4547" s="25"/>
      <c r="W4547" s="25"/>
      <c r="X4547" s="25"/>
      <c r="Y4547" s="25"/>
      <c r="Z4547" s="25"/>
      <c r="AA4547" s="25"/>
    </row>
    <row r="4548" spans="1:27" x14ac:dyDescent="0.35">
      <c r="A4548" s="5">
        <v>4544</v>
      </c>
      <c r="B4548" s="5">
        <v>190</v>
      </c>
      <c r="C4548" s="5">
        <v>7</v>
      </c>
      <c r="D4548" s="25">
        <v>1.1415000000000001E-4</v>
      </c>
      <c r="E4548" s="25">
        <v>1.2344E-4</v>
      </c>
      <c r="F4548" s="25">
        <v>1.2909999999999999E-4</v>
      </c>
      <c r="G4548" s="25">
        <v>1.5977999999999999E-4</v>
      </c>
      <c r="H4548" s="25">
        <v>1.9374E-4</v>
      </c>
      <c r="I4548" s="9">
        <v>1.1949E-4</v>
      </c>
      <c r="J4548" s="9">
        <v>1.2448E-4</v>
      </c>
      <c r="K4548" s="9">
        <v>0</v>
      </c>
      <c r="L4548" s="9">
        <v>1.0268E-4</v>
      </c>
      <c r="M4548" s="9">
        <v>8.3360000000000001E-5</v>
      </c>
      <c r="N4548" s="9">
        <v>9.0779999999999995E-5</v>
      </c>
      <c r="O4548" s="9">
        <v>2.1643000000000001E-4</v>
      </c>
      <c r="P4548" s="9">
        <v>1.761E-4</v>
      </c>
      <c r="Q4548" s="9">
        <v>1.3604000000000001E-4</v>
      </c>
      <c r="R4548" s="10">
        <v>1.3083113431942945E-4</v>
      </c>
      <c r="S4548" s="10">
        <v>1.7825826413402662E-4</v>
      </c>
      <c r="T4548" s="10">
        <v>1.6162590262021494E-4</v>
      </c>
      <c r="U4548" s="10">
        <v>1.0153E-4</v>
      </c>
      <c r="V4548" s="25"/>
      <c r="W4548" s="25"/>
      <c r="X4548" s="25"/>
      <c r="Y4548" s="25"/>
      <c r="Z4548" s="25"/>
      <c r="AA4548" s="25"/>
    </row>
    <row r="4549" spans="1:27" x14ac:dyDescent="0.35">
      <c r="A4549" s="5">
        <v>4545</v>
      </c>
      <c r="B4549" s="5">
        <v>190</v>
      </c>
      <c r="C4549" s="5">
        <v>7</v>
      </c>
      <c r="D4549" s="25">
        <v>1.1416E-4</v>
      </c>
      <c r="E4549" s="25">
        <v>1.1668E-4</v>
      </c>
      <c r="F4549" s="25">
        <v>1.3972E-4</v>
      </c>
      <c r="G4549" s="25">
        <v>1.5972999999999999E-4</v>
      </c>
      <c r="H4549" s="25">
        <v>1.9605999999999999E-4</v>
      </c>
      <c r="I4549" s="9">
        <v>1.2244999999999999E-4</v>
      </c>
      <c r="J4549" s="9">
        <v>1.3009E-4</v>
      </c>
      <c r="K4549" s="9">
        <v>0</v>
      </c>
      <c r="L4549" s="9">
        <v>1.8969000000000001E-4</v>
      </c>
      <c r="M4549" s="9">
        <v>1.2271999999999999E-4</v>
      </c>
      <c r="N4549" s="9">
        <v>1.0433999999999999E-4</v>
      </c>
      <c r="O4549" s="9">
        <v>2.0796000000000001E-4</v>
      </c>
      <c r="P4549" s="9">
        <v>1.9189000000000001E-4</v>
      </c>
      <c r="Q4549" s="9">
        <v>1.7573999999999999E-4</v>
      </c>
      <c r="R4549" s="10">
        <v>1.3588489181644471E-4</v>
      </c>
      <c r="S4549" s="10">
        <v>1.7831327710858628E-4</v>
      </c>
      <c r="T4549" s="10">
        <v>4.9367592628674257E-4</v>
      </c>
      <c r="U4549" s="10">
        <v>1.0153E-4</v>
      </c>
      <c r="V4549" s="25"/>
      <c r="W4549" s="25"/>
      <c r="X4549" s="25"/>
      <c r="Y4549" s="25"/>
      <c r="Z4549" s="25"/>
      <c r="AA4549" s="25"/>
    </row>
    <row r="4550" spans="1:27" x14ac:dyDescent="0.35">
      <c r="A4550" s="5">
        <v>4546</v>
      </c>
      <c r="B4550" s="5">
        <v>190</v>
      </c>
      <c r="C4550" s="5">
        <v>7</v>
      </c>
      <c r="D4550" s="25">
        <v>1.1415000000000001E-4</v>
      </c>
      <c r="E4550" s="25">
        <v>1.1991E-4</v>
      </c>
      <c r="F4550" s="25">
        <v>1.3181E-4</v>
      </c>
      <c r="G4550" s="25">
        <v>1.6715E-4</v>
      </c>
      <c r="H4550" s="25">
        <v>1.9764000000000001E-4</v>
      </c>
      <c r="I4550" s="9">
        <v>1.2504000000000001E-4</v>
      </c>
      <c r="J4550" s="9">
        <v>1.3184000000000001E-4</v>
      </c>
      <c r="K4550" s="9">
        <v>0</v>
      </c>
      <c r="L4550" s="9">
        <v>2.0165999999999999E-4</v>
      </c>
      <c r="M4550" s="9">
        <v>1.5761E-4</v>
      </c>
      <c r="N4550" s="9">
        <v>1.2407999999999999E-4</v>
      </c>
      <c r="O4550" s="9">
        <v>1.6574999999999999E-4</v>
      </c>
      <c r="P4550" s="9">
        <v>1.7409000000000001E-4</v>
      </c>
      <c r="Q4550" s="9">
        <v>1.8209000000000001E-4</v>
      </c>
      <c r="R4550" s="10">
        <v>1.3961755111858583E-4</v>
      </c>
      <c r="S4550" s="10">
        <v>1.7749647995808681E-4</v>
      </c>
      <c r="T4550" s="10">
        <v>3.8485630282181471E-4</v>
      </c>
      <c r="U4550" s="10">
        <v>1.0153E-4</v>
      </c>
      <c r="V4550" s="25"/>
      <c r="W4550" s="25"/>
      <c r="X4550" s="25"/>
      <c r="Y4550" s="25"/>
      <c r="Z4550" s="25"/>
      <c r="AA4550" s="25"/>
    </row>
    <row r="4551" spans="1:27" x14ac:dyDescent="0.35">
      <c r="A4551" s="5">
        <v>4547</v>
      </c>
      <c r="B4551" s="5">
        <v>190</v>
      </c>
      <c r="C4551" s="5">
        <v>7</v>
      </c>
      <c r="D4551" s="25">
        <v>1.1416E-4</v>
      </c>
      <c r="E4551" s="25">
        <v>1.1595E-4</v>
      </c>
      <c r="F4551" s="25">
        <v>1.4029E-4</v>
      </c>
      <c r="G4551" s="25">
        <v>1.5930999999999999E-4</v>
      </c>
      <c r="H4551" s="25">
        <v>1.9762E-4</v>
      </c>
      <c r="I4551" s="9">
        <v>1.2705999999999999E-4</v>
      </c>
      <c r="J4551" s="9">
        <v>1.3233E-4</v>
      </c>
      <c r="K4551" s="9">
        <v>0</v>
      </c>
      <c r="L4551" s="9">
        <v>1.7372000000000001E-4</v>
      </c>
      <c r="M4551" s="9">
        <v>1.7163000000000001E-4</v>
      </c>
      <c r="N4551" s="9">
        <v>1.4217E-4</v>
      </c>
      <c r="O4551" s="9">
        <v>1.6521999999999999E-4</v>
      </c>
      <c r="P4551" s="9">
        <v>1.7218999999999999E-4</v>
      </c>
      <c r="Q4551" s="9">
        <v>1.7883999999999999E-4</v>
      </c>
      <c r="R4551" s="10">
        <v>1.531536878964209E-4</v>
      </c>
      <c r="S4551" s="10">
        <v>1.7790874888148913E-4</v>
      </c>
      <c r="T4551" s="10">
        <v>6.8542109159996348E-4</v>
      </c>
      <c r="U4551" s="10">
        <v>1.0153E-4</v>
      </c>
      <c r="V4551" s="25"/>
      <c r="W4551" s="25"/>
      <c r="X4551" s="25"/>
      <c r="Y4551" s="25"/>
      <c r="Z4551" s="25"/>
      <c r="AA4551" s="25"/>
    </row>
    <row r="4552" spans="1:27" x14ac:dyDescent="0.35">
      <c r="A4552" s="5">
        <v>4548</v>
      </c>
      <c r="B4552" s="5">
        <v>190</v>
      </c>
      <c r="C4552" s="5">
        <v>7</v>
      </c>
      <c r="D4552" s="25">
        <v>1.1415000000000001E-4</v>
      </c>
      <c r="E4552" s="25">
        <v>1.2012E-4</v>
      </c>
      <c r="F4552" s="25">
        <v>1.2409000000000001E-4</v>
      </c>
      <c r="G4552" s="25">
        <v>1.5959000000000001E-4</v>
      </c>
      <c r="H4552" s="25">
        <v>1.9814999999999999E-4</v>
      </c>
      <c r="I4552" s="9">
        <v>1.2333999999999999E-4</v>
      </c>
      <c r="J4552" s="9">
        <v>1.3214999999999999E-4</v>
      </c>
      <c r="K4552" s="9">
        <v>0</v>
      </c>
      <c r="L4552" s="9">
        <v>1.6846E-4</v>
      </c>
      <c r="M4552" s="9">
        <v>1.7424000000000001E-4</v>
      </c>
      <c r="N4552" s="9">
        <v>1.5616E-4</v>
      </c>
      <c r="O4552" s="9">
        <v>1.6912000000000001E-4</v>
      </c>
      <c r="P4552" s="9">
        <v>1.7206E-4</v>
      </c>
      <c r="Q4552" s="9">
        <v>1.7474E-4</v>
      </c>
      <c r="R4552" s="10">
        <v>1.4201980261292654E-4</v>
      </c>
      <c r="S4552" s="10">
        <v>1.7188503125156409E-4</v>
      </c>
      <c r="T4552" s="10">
        <v>7.3613174881576526E-4</v>
      </c>
      <c r="U4552" s="10">
        <v>1.0153E-4</v>
      </c>
      <c r="V4552" s="25"/>
      <c r="W4552" s="25"/>
      <c r="X4552" s="25"/>
      <c r="Y4552" s="25"/>
      <c r="Z4552" s="25"/>
      <c r="AA4552" s="25"/>
    </row>
    <row r="4553" spans="1:27" x14ac:dyDescent="0.35">
      <c r="A4553" s="5">
        <v>4549</v>
      </c>
      <c r="B4553" s="5">
        <v>190</v>
      </c>
      <c r="C4553" s="5">
        <v>7</v>
      </c>
      <c r="D4553" s="25">
        <v>1.1416E-4</v>
      </c>
      <c r="E4553" s="25">
        <v>1.1731999999999999E-4</v>
      </c>
      <c r="F4553" s="25">
        <v>1.3296E-4</v>
      </c>
      <c r="G4553" s="25">
        <v>1.6602000000000001E-4</v>
      </c>
      <c r="H4553" s="25">
        <v>1.9563999999999999E-4</v>
      </c>
      <c r="I4553" s="9">
        <v>1.2323E-4</v>
      </c>
      <c r="J4553" s="9">
        <v>1.3221000000000001E-4</v>
      </c>
      <c r="K4553" s="9">
        <v>0</v>
      </c>
      <c r="L4553" s="9">
        <v>1.6914999999999999E-4</v>
      </c>
      <c r="M4553" s="9">
        <v>1.7364E-4</v>
      </c>
      <c r="N4553" s="9">
        <v>1.6587000000000001E-4</v>
      </c>
      <c r="O4553" s="9">
        <v>1.6024999999999999E-4</v>
      </c>
      <c r="P4553" s="9">
        <v>1.6388000000000001E-4</v>
      </c>
      <c r="Q4553" s="9">
        <v>1.6728000000000001E-4</v>
      </c>
      <c r="R4553" s="10">
        <v>1.5637510622947942E-4</v>
      </c>
      <c r="S4553" s="10">
        <v>1.7053751006306403E-4</v>
      </c>
      <c r="T4553" s="10">
        <v>7.1061946066988679E-4</v>
      </c>
      <c r="U4553" s="10">
        <v>1.0153E-4</v>
      </c>
      <c r="V4553" s="25"/>
      <c r="W4553" s="25"/>
      <c r="X4553" s="25"/>
      <c r="Y4553" s="25"/>
      <c r="Z4553" s="25"/>
      <c r="AA4553" s="25"/>
    </row>
    <row r="4554" spans="1:27" x14ac:dyDescent="0.35">
      <c r="A4554" s="5">
        <v>4550</v>
      </c>
      <c r="B4554" s="5">
        <v>190</v>
      </c>
      <c r="C4554" s="5">
        <v>7</v>
      </c>
      <c r="D4554" s="25">
        <v>1.1415000000000001E-4</v>
      </c>
      <c r="E4554" s="25">
        <v>1.1474E-4</v>
      </c>
      <c r="F4554" s="25">
        <v>1.2268000000000001E-4</v>
      </c>
      <c r="G4554" s="25">
        <v>1.5855E-4</v>
      </c>
      <c r="H4554" s="25">
        <v>1.9065E-4</v>
      </c>
      <c r="I4554" s="9">
        <v>1.2275E-4</v>
      </c>
      <c r="J4554" s="9">
        <v>1.3046999999999999E-4</v>
      </c>
      <c r="K4554" s="9">
        <v>0</v>
      </c>
      <c r="L4554" s="9">
        <v>1.6194000000000001E-4</v>
      </c>
      <c r="M4554" s="9">
        <v>1.6993999999999999E-4</v>
      </c>
      <c r="N4554" s="9">
        <v>1.7027000000000001E-4</v>
      </c>
      <c r="O4554" s="9">
        <v>1.7615999999999999E-4</v>
      </c>
      <c r="P4554" s="9">
        <v>1.6827000000000001E-4</v>
      </c>
      <c r="Q4554" s="9">
        <v>1.6027000000000001E-4</v>
      </c>
      <c r="R4554" s="10">
        <v>1.6693449243129497E-4</v>
      </c>
      <c r="S4554" s="10">
        <v>1.6799860215135852E-4</v>
      </c>
      <c r="T4554" s="10">
        <v>5.7201146218660852E-4</v>
      </c>
      <c r="U4554" s="10">
        <v>1.0153E-4</v>
      </c>
      <c r="V4554" s="25"/>
      <c r="W4554" s="25"/>
      <c r="X4554" s="25"/>
      <c r="Y4554" s="25"/>
      <c r="Z4554" s="25"/>
      <c r="AA4554" s="25"/>
    </row>
    <row r="4555" spans="1:27" x14ac:dyDescent="0.35">
      <c r="A4555" s="5">
        <v>4551</v>
      </c>
      <c r="B4555" s="5">
        <v>190</v>
      </c>
      <c r="C4555" s="5">
        <v>7</v>
      </c>
      <c r="D4555" s="25">
        <v>1.1416E-4</v>
      </c>
      <c r="E4555" s="25">
        <v>1.1803000000000001E-4</v>
      </c>
      <c r="F4555" s="25">
        <v>1.2684E-4</v>
      </c>
      <c r="G4555" s="25">
        <v>1.5766E-4</v>
      </c>
      <c r="H4555" s="25">
        <v>1.9241000000000001E-4</v>
      </c>
      <c r="I4555" s="9">
        <v>1.2123E-4</v>
      </c>
      <c r="J4555" s="9">
        <v>1.2879999999999999E-4</v>
      </c>
      <c r="K4555" s="9">
        <v>0</v>
      </c>
      <c r="L4555" s="9">
        <v>1.7320000000000001E-4</v>
      </c>
      <c r="M4555" s="9">
        <v>1.6827000000000001E-4</v>
      </c>
      <c r="N4555" s="9">
        <v>1.6979000000000001E-4</v>
      </c>
      <c r="O4555" s="9">
        <v>1.8254999999999999E-4</v>
      </c>
      <c r="P4555" s="9">
        <v>1.6783E-4</v>
      </c>
      <c r="Q4555" s="9">
        <v>1.5307999999999999E-4</v>
      </c>
      <c r="R4555" s="10">
        <v>1.744897289068104E-4</v>
      </c>
      <c r="S4555" s="10">
        <v>1.6598255421694551E-4</v>
      </c>
      <c r="T4555" s="10">
        <v>4.8329962818151838E-4</v>
      </c>
      <c r="U4555" s="10">
        <v>1.0153E-4</v>
      </c>
      <c r="V4555" s="25"/>
      <c r="W4555" s="25"/>
      <c r="X4555" s="25"/>
      <c r="Y4555" s="25"/>
      <c r="Z4555" s="25"/>
      <c r="AA4555" s="25"/>
    </row>
    <row r="4556" spans="1:27" x14ac:dyDescent="0.35">
      <c r="A4556" s="5">
        <v>4552</v>
      </c>
      <c r="B4556" s="5">
        <v>190</v>
      </c>
      <c r="C4556" s="5">
        <v>7</v>
      </c>
      <c r="D4556" s="25">
        <v>1.1415000000000001E-4</v>
      </c>
      <c r="E4556" s="25">
        <v>1.1421000000000001E-4</v>
      </c>
      <c r="F4556" s="25">
        <v>1.3666000000000001E-4</v>
      </c>
      <c r="G4556" s="25">
        <v>1.6076E-4</v>
      </c>
      <c r="H4556" s="25">
        <v>2.0076E-4</v>
      </c>
      <c r="I4556" s="9">
        <v>1.1941E-4</v>
      </c>
      <c r="J4556" s="9">
        <v>1.2674999999999999E-4</v>
      </c>
      <c r="K4556" s="9">
        <v>0</v>
      </c>
      <c r="L4556" s="9">
        <v>1.8021000000000001E-4</v>
      </c>
      <c r="M4556" s="9">
        <v>1.6776000000000001E-4</v>
      </c>
      <c r="N4556" s="9">
        <v>1.661E-4</v>
      </c>
      <c r="O4556" s="9">
        <v>1.9625E-4</v>
      </c>
      <c r="P4556" s="9">
        <v>1.5301E-4</v>
      </c>
      <c r="Q4556" s="9">
        <v>1.1016E-4</v>
      </c>
      <c r="R4556" s="10">
        <v>1.7344180889987919E-4</v>
      </c>
      <c r="S4556" s="10">
        <v>1.6177066071519346E-4</v>
      </c>
      <c r="T4556" s="10">
        <v>4.5575959249095574E-4</v>
      </c>
      <c r="U4556" s="10">
        <v>1.0153E-4</v>
      </c>
      <c r="V4556" s="25"/>
      <c r="W4556" s="25"/>
      <c r="X4556" s="25"/>
      <c r="Y4556" s="25"/>
      <c r="Z4556" s="25"/>
      <c r="AA4556" s="25"/>
    </row>
    <row r="4557" spans="1:27" x14ac:dyDescent="0.35">
      <c r="A4557" s="5">
        <v>4553</v>
      </c>
      <c r="B4557" s="5">
        <v>190</v>
      </c>
      <c r="C4557" s="5">
        <v>7</v>
      </c>
      <c r="D4557" s="25">
        <v>1.1416E-4</v>
      </c>
      <c r="E4557" s="25">
        <v>1.1559E-4</v>
      </c>
      <c r="F4557" s="25">
        <v>1.2235999999999999E-4</v>
      </c>
      <c r="G4557" s="25">
        <v>1.6158000000000001E-4</v>
      </c>
      <c r="H4557" s="25">
        <v>1.9662999999999999E-4</v>
      </c>
      <c r="I4557" s="9">
        <v>1.1776E-4</v>
      </c>
      <c r="J4557" s="9">
        <v>1.2582000000000001E-4</v>
      </c>
      <c r="K4557" s="9">
        <v>0</v>
      </c>
      <c r="L4557" s="9">
        <v>1.9247000000000001E-4</v>
      </c>
      <c r="M4557" s="9">
        <v>1.6243E-4</v>
      </c>
      <c r="N4557" s="9">
        <v>1.5252000000000001E-4</v>
      </c>
      <c r="O4557" s="9">
        <v>2.1198000000000001E-4</v>
      </c>
      <c r="P4557" s="9">
        <v>1.5934E-4</v>
      </c>
      <c r="Q4557" s="9">
        <v>1.0718E-4</v>
      </c>
      <c r="R4557" s="10">
        <v>1.6053251966594945E-4</v>
      </c>
      <c r="S4557" s="10">
        <v>1.543395405449587E-4</v>
      </c>
      <c r="T4557" s="10">
        <v>2.8438522991742701E-4</v>
      </c>
      <c r="U4557" s="10">
        <v>1.0153E-4</v>
      </c>
      <c r="V4557" s="25"/>
      <c r="W4557" s="25"/>
      <c r="X4557" s="25"/>
      <c r="Y4557" s="25"/>
      <c r="Z4557" s="25"/>
      <c r="AA4557" s="25"/>
    </row>
    <row r="4558" spans="1:27" x14ac:dyDescent="0.35">
      <c r="A4558" s="5">
        <v>4554</v>
      </c>
      <c r="B4558" s="5">
        <v>190</v>
      </c>
      <c r="C4558" s="5">
        <v>7</v>
      </c>
      <c r="D4558" s="25">
        <v>1.1415000000000001E-4</v>
      </c>
      <c r="E4558" s="25">
        <v>1.1895E-4</v>
      </c>
      <c r="F4558" s="25">
        <v>1.2521E-4</v>
      </c>
      <c r="G4558" s="25">
        <v>1.5672E-4</v>
      </c>
      <c r="H4558" s="25">
        <v>1.9424000000000001E-4</v>
      </c>
      <c r="I4558" s="9">
        <v>1.1611E-4</v>
      </c>
      <c r="J4558" s="9">
        <v>1.2157E-4</v>
      </c>
      <c r="K4558" s="9">
        <v>0</v>
      </c>
      <c r="L4558" s="9">
        <v>2.0743000000000001E-4</v>
      </c>
      <c r="M4558" s="9">
        <v>1.5983999999999999E-4</v>
      </c>
      <c r="N4558" s="9">
        <v>1.3919E-4</v>
      </c>
      <c r="O4558" s="9">
        <v>2.0326E-4</v>
      </c>
      <c r="P4558" s="9">
        <v>1.6024E-4</v>
      </c>
      <c r="Q4558" s="9">
        <v>1.1756000000000001E-4</v>
      </c>
      <c r="R4558" s="10">
        <v>1.4862104116530279E-4</v>
      </c>
      <c r="S4558" s="10">
        <v>1.4735273263007009E-4</v>
      </c>
      <c r="T4558" s="10">
        <v>1.6397605354020442E-4</v>
      </c>
      <c r="U4558" s="10">
        <v>1.0153E-4</v>
      </c>
      <c r="V4558" s="25"/>
      <c r="W4558" s="25"/>
      <c r="X4558" s="25"/>
      <c r="Y4558" s="25"/>
      <c r="Z4558" s="25"/>
      <c r="AA4558" s="25"/>
    </row>
    <row r="4559" spans="1:27" x14ac:dyDescent="0.35">
      <c r="A4559" s="5">
        <v>4555</v>
      </c>
      <c r="B4559" s="5">
        <v>190</v>
      </c>
      <c r="C4559" s="5">
        <v>7</v>
      </c>
      <c r="D4559" s="25">
        <v>1.1416E-4</v>
      </c>
      <c r="E4559" s="25">
        <v>1.2302E-4</v>
      </c>
      <c r="F4559" s="25">
        <v>1.3182999999999999E-4</v>
      </c>
      <c r="G4559" s="25">
        <v>1.1508E-4</v>
      </c>
      <c r="H4559" s="25">
        <v>1.2557000000000001E-4</v>
      </c>
      <c r="I4559" s="9">
        <v>1.1262E-4</v>
      </c>
      <c r="J4559" s="9">
        <v>1.1892000000000001E-4</v>
      </c>
      <c r="K4559" s="9">
        <v>0</v>
      </c>
      <c r="L4559" s="9">
        <v>2.0380999999999999E-4</v>
      </c>
      <c r="M4559" s="9">
        <v>1.5945E-4</v>
      </c>
      <c r="N4559" s="9">
        <v>1.3009999999999999E-4</v>
      </c>
      <c r="O4559" s="9">
        <v>1.6354E-4</v>
      </c>
      <c r="P4559" s="9">
        <v>1.3536000000000001E-4</v>
      </c>
      <c r="Q4559" s="9">
        <v>1.0744E-4</v>
      </c>
      <c r="R4559" s="10">
        <v>1.3940570162646062E-4</v>
      </c>
      <c r="S4559" s="10">
        <v>1.3497980024180487E-4</v>
      </c>
      <c r="T4559" s="10">
        <v>3.722062124907522E-5</v>
      </c>
      <c r="U4559" s="10">
        <v>1.0153E-4</v>
      </c>
      <c r="V4559" s="25"/>
      <c r="W4559" s="25"/>
      <c r="X4559" s="25"/>
      <c r="Y4559" s="25"/>
      <c r="Z4559" s="25"/>
      <c r="AA4559" s="25"/>
    </row>
    <row r="4560" spans="1:27" x14ac:dyDescent="0.35">
      <c r="A4560" s="5">
        <v>4556</v>
      </c>
      <c r="B4560" s="5">
        <v>190</v>
      </c>
      <c r="C4560" s="5">
        <v>7</v>
      </c>
      <c r="D4560" s="25">
        <v>1.1415000000000001E-4</v>
      </c>
      <c r="E4560" s="25">
        <v>1.2275E-4</v>
      </c>
      <c r="F4560" s="25">
        <v>1.4438E-4</v>
      </c>
      <c r="G4560" s="25">
        <v>1.141E-4</v>
      </c>
      <c r="H4560" s="25">
        <v>1.3690999999999999E-4</v>
      </c>
      <c r="I4560" s="9">
        <v>1.0814E-4</v>
      </c>
      <c r="J4560" s="9">
        <v>1.1587E-4</v>
      </c>
      <c r="K4560" s="9">
        <v>0</v>
      </c>
      <c r="L4560" s="9">
        <v>1.7257000000000001E-4</v>
      </c>
      <c r="M4560" s="9">
        <v>1.5084000000000001E-4</v>
      </c>
      <c r="N4560" s="9">
        <v>1.2107E-4</v>
      </c>
      <c r="O4560" s="9">
        <v>1.2726999999999999E-4</v>
      </c>
      <c r="P4560" s="9">
        <v>1.1425E-4</v>
      </c>
      <c r="Q4560" s="9">
        <v>1.0135E-4</v>
      </c>
      <c r="R4560" s="10">
        <v>1.1830323679186114E-4</v>
      </c>
      <c r="S4560" s="10">
        <v>1.2110386333257415E-4</v>
      </c>
      <c r="T4560" s="10">
        <v>1.2836744916765628E-5</v>
      </c>
      <c r="U4560" s="10">
        <v>1.0153E-4</v>
      </c>
      <c r="V4560" s="25"/>
      <c r="W4560" s="25"/>
      <c r="X4560" s="25"/>
      <c r="Y4560" s="25"/>
      <c r="Z4560" s="25"/>
      <c r="AA4560" s="25"/>
    </row>
    <row r="4561" spans="1:27" x14ac:dyDescent="0.35">
      <c r="A4561" s="5">
        <v>4557</v>
      </c>
      <c r="B4561" s="5">
        <v>190</v>
      </c>
      <c r="C4561" s="5">
        <v>7</v>
      </c>
      <c r="D4561" s="25">
        <v>1.1416E-4</v>
      </c>
      <c r="E4561" s="25">
        <v>1.1694E-4</v>
      </c>
      <c r="F4561" s="25">
        <v>1.2416E-4</v>
      </c>
      <c r="G4561" s="25">
        <v>5.4209999999999998E-5</v>
      </c>
      <c r="H4561" s="25">
        <v>7.5459999999999999E-5</v>
      </c>
      <c r="I4561" s="9">
        <v>1.0501E-4</v>
      </c>
      <c r="J4561" s="9">
        <v>1.1226E-4</v>
      </c>
      <c r="K4561" s="9">
        <v>0</v>
      </c>
      <c r="L4561" s="9">
        <v>1.3820999999999999E-4</v>
      </c>
      <c r="M4561" s="9">
        <v>1.3526E-4</v>
      </c>
      <c r="N4561" s="9">
        <v>1.1323E-4</v>
      </c>
      <c r="O4561" s="9">
        <v>8.3720000000000005E-5</v>
      </c>
      <c r="P4561" s="9">
        <v>8.5680000000000006E-5</v>
      </c>
      <c r="Q4561" s="9">
        <v>8.7659999999999998E-5</v>
      </c>
      <c r="R4561" s="10">
        <v>9.4581682213669855E-5</v>
      </c>
      <c r="S4561" s="10">
        <v>1.0599366468390559E-4</v>
      </c>
      <c r="T4561" s="10">
        <v>0</v>
      </c>
      <c r="U4561" s="10">
        <v>1.0153E-4</v>
      </c>
      <c r="V4561" s="25"/>
      <c r="W4561" s="25"/>
      <c r="X4561" s="25"/>
      <c r="Y4561" s="25"/>
      <c r="Z4561" s="25"/>
      <c r="AA4561" s="25"/>
    </row>
    <row r="4562" spans="1:27" x14ac:dyDescent="0.35">
      <c r="A4562" s="5">
        <v>4558</v>
      </c>
      <c r="B4562" s="5">
        <v>190</v>
      </c>
      <c r="C4562" s="5">
        <v>7</v>
      </c>
      <c r="D4562" s="25">
        <v>1.1415000000000001E-4</v>
      </c>
      <c r="E4562" s="25">
        <v>1.1577E-4</v>
      </c>
      <c r="F4562" s="25">
        <v>1.3222E-4</v>
      </c>
      <c r="G4562" s="25">
        <v>5.7809999999999997E-5</v>
      </c>
      <c r="H4562" s="25">
        <v>7.6320000000000001E-5</v>
      </c>
      <c r="I4562" s="9">
        <v>1.0942000000000001E-4</v>
      </c>
      <c r="J4562" s="9">
        <v>1.1042E-4</v>
      </c>
      <c r="K4562" s="9">
        <v>0</v>
      </c>
      <c r="L4562" s="9">
        <v>9.6630000000000001E-5</v>
      </c>
      <c r="M4562" s="9">
        <v>1.1339E-4</v>
      </c>
      <c r="N4562" s="9">
        <v>1.0546E-4</v>
      </c>
      <c r="O4562" s="9">
        <v>8.6210000000000003E-5</v>
      </c>
      <c r="P4562" s="9">
        <v>8.6819999999999999E-5</v>
      </c>
      <c r="Q4562" s="9">
        <v>8.7460000000000006E-5</v>
      </c>
      <c r="R4562" s="10">
        <v>7.087722480038388E-5</v>
      </c>
      <c r="S4562" s="10">
        <v>9.2236502767520286E-5</v>
      </c>
      <c r="T4562" s="10">
        <v>0</v>
      </c>
      <c r="U4562" s="10">
        <v>1.0153E-4</v>
      </c>
      <c r="V4562" s="25"/>
      <c r="W4562" s="25"/>
      <c r="X4562" s="25"/>
      <c r="Y4562" s="25"/>
      <c r="Z4562" s="25"/>
      <c r="AA4562" s="25"/>
    </row>
    <row r="4563" spans="1:27" x14ac:dyDescent="0.35">
      <c r="A4563" s="5">
        <v>4559</v>
      </c>
      <c r="B4563" s="5">
        <v>190</v>
      </c>
      <c r="C4563" s="5">
        <v>7</v>
      </c>
      <c r="D4563" s="25">
        <v>1.1416E-4</v>
      </c>
      <c r="E4563" s="25">
        <v>1.1737E-4</v>
      </c>
      <c r="F4563" s="25">
        <v>1.2653999999999999E-4</v>
      </c>
      <c r="G4563" s="25">
        <v>6.3E-5</v>
      </c>
      <c r="H4563" s="25">
        <v>6.2840000000000001E-5</v>
      </c>
      <c r="I4563" s="9">
        <v>1.0619E-4</v>
      </c>
      <c r="J4563" s="9">
        <v>1.0641000000000001E-4</v>
      </c>
      <c r="K4563" s="9">
        <v>0</v>
      </c>
      <c r="L4563" s="9">
        <v>8.9439999999999997E-5</v>
      </c>
      <c r="M4563" s="9">
        <v>9.8469999999999997E-5</v>
      </c>
      <c r="N4563" s="9">
        <v>9.9469999999999995E-5</v>
      </c>
      <c r="O4563" s="9">
        <v>7.716E-5</v>
      </c>
      <c r="P4563" s="9">
        <v>7.1779999999999994E-5</v>
      </c>
      <c r="Q4563" s="9">
        <v>6.656E-5</v>
      </c>
      <c r="R4563" s="10">
        <v>5.3319774953331604E-5</v>
      </c>
      <c r="S4563" s="10">
        <v>8.5304756665415527E-5</v>
      </c>
      <c r="T4563" s="10">
        <v>0</v>
      </c>
      <c r="U4563" s="10">
        <v>1.0153E-4</v>
      </c>
      <c r="V4563" s="25"/>
      <c r="W4563" s="25"/>
      <c r="X4563" s="25"/>
      <c r="Y4563" s="25"/>
      <c r="Z4563" s="25"/>
      <c r="AA4563" s="25"/>
    </row>
    <row r="4564" spans="1:27" x14ac:dyDescent="0.35">
      <c r="A4564" s="5">
        <v>4560</v>
      </c>
      <c r="B4564" s="5">
        <v>190</v>
      </c>
      <c r="C4564" s="5">
        <v>7</v>
      </c>
      <c r="D4564" s="25">
        <v>1.1415000000000001E-4</v>
      </c>
      <c r="E4564" s="25">
        <v>1.1894E-4</v>
      </c>
      <c r="F4564" s="25">
        <v>1.3739000000000001E-4</v>
      </c>
      <c r="G4564" s="25">
        <v>5.4580000000000003E-5</v>
      </c>
      <c r="H4564" s="25">
        <v>7.3180000000000001E-5</v>
      </c>
      <c r="I4564" s="9">
        <v>1.0029E-4</v>
      </c>
      <c r="J4564" s="9">
        <v>9.98E-5</v>
      </c>
      <c r="K4564" s="9">
        <v>0</v>
      </c>
      <c r="L4564" s="9">
        <v>7.9850000000000003E-5</v>
      </c>
      <c r="M4564" s="9">
        <v>8.5569999999999996E-5</v>
      </c>
      <c r="N4564" s="9">
        <v>9.0140000000000001E-5</v>
      </c>
      <c r="O4564" s="9">
        <v>6.2890000000000003E-5</v>
      </c>
      <c r="P4564" s="9">
        <v>6.0909999999999998E-5</v>
      </c>
      <c r="Q4564" s="9">
        <v>5.9089999999999998E-5</v>
      </c>
      <c r="R4564" s="10">
        <v>4.1321176687401329E-5</v>
      </c>
      <c r="S4564" s="10">
        <v>8.6540234816934338E-5</v>
      </c>
      <c r="T4564" s="10">
        <v>0</v>
      </c>
      <c r="U4564" s="10">
        <v>1.0153E-4</v>
      </c>
      <c r="V4564" s="25"/>
      <c r="W4564" s="25"/>
      <c r="X4564" s="25"/>
      <c r="Y4564" s="25"/>
      <c r="Z4564" s="25"/>
      <c r="AA4564" s="25"/>
    </row>
    <row r="4565" spans="1:27" x14ac:dyDescent="0.35">
      <c r="A4565" s="5">
        <v>4561</v>
      </c>
      <c r="B4565" s="5">
        <v>191</v>
      </c>
      <c r="C4565" s="5">
        <v>7</v>
      </c>
      <c r="D4565" s="25">
        <v>1.1416E-4</v>
      </c>
      <c r="E4565" s="25">
        <v>1.1912E-4</v>
      </c>
      <c r="F4565" s="25">
        <v>1.3734000000000001E-4</v>
      </c>
      <c r="G4565" s="25">
        <v>5.7930000000000003E-5</v>
      </c>
      <c r="H4565" s="25">
        <v>6.7280000000000006E-5</v>
      </c>
      <c r="I4565" s="9">
        <v>9.5909999999999995E-5</v>
      </c>
      <c r="J4565" s="9">
        <v>9.3949999999999993E-5</v>
      </c>
      <c r="K4565" s="9">
        <v>0</v>
      </c>
      <c r="L4565" s="9">
        <v>6.6610000000000001E-5</v>
      </c>
      <c r="M4565" s="9">
        <v>7.3750000000000004E-5</v>
      </c>
      <c r="N4565" s="9">
        <v>8.0829999999999997E-5</v>
      </c>
      <c r="O4565" s="9">
        <v>5.4950000000000001E-5</v>
      </c>
      <c r="P4565" s="9">
        <v>5.4360000000000001E-5</v>
      </c>
      <c r="Q4565" s="9">
        <v>5.393E-5</v>
      </c>
      <c r="R4565" s="10">
        <v>4.8707665093851148E-5</v>
      </c>
      <c r="S4565" s="10">
        <v>9.488407044113938E-5</v>
      </c>
      <c r="T4565" s="10">
        <v>0</v>
      </c>
      <c r="U4565" s="10">
        <v>1.0431E-4</v>
      </c>
      <c r="V4565" s="25"/>
      <c r="W4565" s="25"/>
      <c r="X4565" s="25"/>
      <c r="Y4565" s="25"/>
      <c r="Z4565" s="25"/>
      <c r="AA4565" s="25"/>
    </row>
    <row r="4566" spans="1:27" x14ac:dyDescent="0.35">
      <c r="A4566" s="5">
        <v>4562</v>
      </c>
      <c r="B4566" s="5">
        <v>191</v>
      </c>
      <c r="C4566" s="5">
        <v>7</v>
      </c>
      <c r="D4566" s="25">
        <v>1.1415000000000001E-4</v>
      </c>
      <c r="E4566" s="25">
        <v>1.21E-4</v>
      </c>
      <c r="F4566" s="25">
        <v>1.4755000000000001E-4</v>
      </c>
      <c r="G4566" s="25">
        <v>5.8520000000000002E-5</v>
      </c>
      <c r="H4566" s="25">
        <v>6.8440000000000002E-5</v>
      </c>
      <c r="I4566" s="9">
        <v>9.1810000000000004E-5</v>
      </c>
      <c r="J4566" s="9">
        <v>9.1199999999999994E-5</v>
      </c>
      <c r="K4566" s="9">
        <v>0</v>
      </c>
      <c r="L4566" s="9">
        <v>5.787E-5</v>
      </c>
      <c r="M4566" s="9">
        <v>6.3969999999999999E-5</v>
      </c>
      <c r="N4566" s="9">
        <v>7.1909999999999994E-5</v>
      </c>
      <c r="O4566" s="9">
        <v>1.9300000000000002E-5</v>
      </c>
      <c r="P4566" s="9">
        <v>3.7769999999999999E-5</v>
      </c>
      <c r="Q4566" s="9">
        <v>5.6209999999999999E-5</v>
      </c>
      <c r="R4566" s="10">
        <v>5.2848649639697749E-5</v>
      </c>
      <c r="S4566" s="10">
        <v>9.2863464280251419E-5</v>
      </c>
      <c r="T4566" s="10">
        <v>0</v>
      </c>
      <c r="U4566" s="10">
        <v>1.0431E-4</v>
      </c>
      <c r="V4566" s="25"/>
      <c r="W4566" s="25"/>
      <c r="X4566" s="25"/>
      <c r="Y4566" s="25"/>
      <c r="Z4566" s="25"/>
      <c r="AA4566" s="25"/>
    </row>
    <row r="4567" spans="1:27" x14ac:dyDescent="0.35">
      <c r="A4567" s="5">
        <v>4563</v>
      </c>
      <c r="B4567" s="5">
        <v>191</v>
      </c>
      <c r="C4567" s="5">
        <v>7</v>
      </c>
      <c r="D4567" s="25">
        <v>1.1416E-4</v>
      </c>
      <c r="E4567" s="25">
        <v>1.1983E-4</v>
      </c>
      <c r="F4567" s="25">
        <v>1.2677000000000001E-4</v>
      </c>
      <c r="G4567" s="25">
        <v>5.8879999999999999E-5</v>
      </c>
      <c r="H4567" s="25">
        <v>6.9029999999999995E-5</v>
      </c>
      <c r="I4567" s="9">
        <v>8.9679999999999995E-5</v>
      </c>
      <c r="J4567" s="9">
        <v>8.9259999999999996E-5</v>
      </c>
      <c r="K4567" s="9">
        <v>0</v>
      </c>
      <c r="L4567" s="9">
        <v>2.798E-5</v>
      </c>
      <c r="M4567" s="9">
        <v>5.2309999999999999E-5</v>
      </c>
      <c r="N4567" s="9">
        <v>6.5439999999999997E-5</v>
      </c>
      <c r="O4567" s="9">
        <v>1.3879999999999999E-5</v>
      </c>
      <c r="P4567" s="9">
        <v>3.7780000000000001E-5</v>
      </c>
      <c r="Q4567" s="9">
        <v>6.1580000000000003E-5</v>
      </c>
      <c r="R4567" s="10">
        <v>5.4317255545918595E-5</v>
      </c>
      <c r="S4567" s="10">
        <v>7.4612807414245458E-5</v>
      </c>
      <c r="T4567" s="10">
        <v>0</v>
      </c>
      <c r="U4567" s="10">
        <v>1.0431E-4</v>
      </c>
      <c r="V4567" s="25"/>
      <c r="W4567" s="25"/>
      <c r="X4567" s="25"/>
      <c r="Y4567" s="25"/>
      <c r="Z4567" s="25"/>
      <c r="AA4567" s="25"/>
    </row>
    <row r="4568" spans="1:27" x14ac:dyDescent="0.35">
      <c r="A4568" s="5">
        <v>4564</v>
      </c>
      <c r="B4568" s="5">
        <v>191</v>
      </c>
      <c r="C4568" s="5">
        <v>7</v>
      </c>
      <c r="D4568" s="25">
        <v>1.1415000000000001E-4</v>
      </c>
      <c r="E4568" s="25">
        <v>1.1381E-4</v>
      </c>
      <c r="F4568" s="25">
        <v>1.3286E-4</v>
      </c>
      <c r="G4568" s="25">
        <v>5.9580000000000002E-5</v>
      </c>
      <c r="H4568" s="25">
        <v>6.9460000000000002E-5</v>
      </c>
      <c r="I4568" s="9">
        <v>8.6970000000000002E-5</v>
      </c>
      <c r="J4568" s="9">
        <v>8.831E-5</v>
      </c>
      <c r="K4568" s="9">
        <v>0</v>
      </c>
      <c r="L4568" s="9">
        <v>1.7730000000000001E-5</v>
      </c>
      <c r="M4568" s="9">
        <v>4.4289999999999998E-5</v>
      </c>
      <c r="N4568" s="9">
        <v>6.1929999999999998E-5</v>
      </c>
      <c r="O4568" s="9">
        <v>1.3900000000000001E-5</v>
      </c>
      <c r="P4568" s="9">
        <v>4.7290000000000003E-5</v>
      </c>
      <c r="Q4568" s="9">
        <v>8.0430000000000001E-5</v>
      </c>
      <c r="R4568" s="10">
        <v>5.0112433976400196E-5</v>
      </c>
      <c r="S4568" s="10">
        <v>6.7967031892771852E-5</v>
      </c>
      <c r="T4568" s="10">
        <v>0</v>
      </c>
      <c r="U4568" s="10">
        <v>1.0431E-4</v>
      </c>
      <c r="V4568" s="25"/>
      <c r="W4568" s="25"/>
      <c r="X4568" s="25"/>
      <c r="Y4568" s="25"/>
      <c r="Z4568" s="25"/>
      <c r="AA4568" s="25"/>
    </row>
    <row r="4569" spans="1:27" x14ac:dyDescent="0.35">
      <c r="A4569" s="5">
        <v>4565</v>
      </c>
      <c r="B4569" s="5">
        <v>191</v>
      </c>
      <c r="C4569" s="5">
        <v>7</v>
      </c>
      <c r="D4569" s="25">
        <v>1.1416E-4</v>
      </c>
      <c r="E4569" s="25">
        <v>1.2165E-4</v>
      </c>
      <c r="F4569" s="25">
        <v>1.3855000000000001E-4</v>
      </c>
      <c r="G4569" s="25">
        <v>5.6860000000000001E-5</v>
      </c>
      <c r="H4569" s="25">
        <v>7.504E-5</v>
      </c>
      <c r="I4569" s="9">
        <v>8.6219999999999998E-5</v>
      </c>
      <c r="J4569" s="9">
        <v>8.6860000000000005E-5</v>
      </c>
      <c r="K4569" s="9">
        <v>0</v>
      </c>
      <c r="L4569" s="9">
        <v>1.499E-5</v>
      </c>
      <c r="M4569" s="9">
        <v>4.3560000000000003E-5</v>
      </c>
      <c r="N4569" s="9">
        <v>6.4519999999999999E-5</v>
      </c>
      <c r="O4569" s="9">
        <v>1.9239999999999999E-5</v>
      </c>
      <c r="P4569" s="9">
        <v>5.647E-5</v>
      </c>
      <c r="Q4569" s="9">
        <v>9.3380000000000004E-5</v>
      </c>
      <c r="R4569" s="10">
        <v>4.5333685287393869E-5</v>
      </c>
      <c r="S4569" s="10">
        <v>5.5535380617933827E-5</v>
      </c>
      <c r="T4569" s="10">
        <v>7.1098428554194289E-6</v>
      </c>
      <c r="U4569" s="10">
        <v>1.0431E-4</v>
      </c>
      <c r="V4569" s="25"/>
      <c r="W4569" s="25"/>
      <c r="X4569" s="25"/>
      <c r="Y4569" s="25"/>
      <c r="Z4569" s="25"/>
      <c r="AA4569" s="25"/>
    </row>
    <row r="4570" spans="1:27" x14ac:dyDescent="0.35">
      <c r="A4570" s="5">
        <v>4566</v>
      </c>
      <c r="B4570" s="5">
        <v>191</v>
      </c>
      <c r="C4570" s="5">
        <v>7</v>
      </c>
      <c r="D4570" s="25">
        <v>1.1415000000000001E-4</v>
      </c>
      <c r="E4570" s="25">
        <v>1.2297E-4</v>
      </c>
      <c r="F4570" s="25">
        <v>1.4306E-4</v>
      </c>
      <c r="G4570" s="25">
        <v>1.0631E-4</v>
      </c>
      <c r="H4570" s="25">
        <v>1.2634000000000001E-4</v>
      </c>
      <c r="I4570" s="9">
        <v>8.789E-5</v>
      </c>
      <c r="J4570" s="9">
        <v>8.8399999999999994E-5</v>
      </c>
      <c r="K4570" s="9">
        <v>0</v>
      </c>
      <c r="L4570" s="9">
        <v>1.8170000000000001E-5</v>
      </c>
      <c r="M4570" s="9">
        <v>4.8369999999999999E-5</v>
      </c>
      <c r="N4570" s="9">
        <v>7.1019999999999994E-5</v>
      </c>
      <c r="O4570" s="9">
        <v>4.5989999999999998E-5</v>
      </c>
      <c r="P4570" s="9">
        <v>7.6190000000000001E-5</v>
      </c>
      <c r="Q4570" s="9">
        <v>1.0609E-4</v>
      </c>
      <c r="R4570" s="10">
        <v>4.0029439106494891E-5</v>
      </c>
      <c r="S4570" s="10">
        <v>4.6689526687537265E-5</v>
      </c>
      <c r="T4570" s="10">
        <v>3.3648731222665216E-5</v>
      </c>
      <c r="U4570" s="10">
        <v>1.0431E-4</v>
      </c>
      <c r="V4570" s="25"/>
      <c r="W4570" s="25"/>
      <c r="X4570" s="25"/>
      <c r="Y4570" s="25"/>
      <c r="Z4570" s="25"/>
      <c r="AA4570" s="25"/>
    </row>
    <row r="4571" spans="1:27" x14ac:dyDescent="0.35">
      <c r="A4571" s="5">
        <v>4567</v>
      </c>
      <c r="B4571" s="5">
        <v>191</v>
      </c>
      <c r="C4571" s="5">
        <v>7</v>
      </c>
      <c r="D4571" s="25">
        <v>1.1416E-4</v>
      </c>
      <c r="E4571" s="25">
        <v>1.2048E-4</v>
      </c>
      <c r="F4571" s="25">
        <v>1.4538999999999999E-4</v>
      </c>
      <c r="G4571" s="25">
        <v>1.1423E-4</v>
      </c>
      <c r="H4571" s="25">
        <v>1.2588000000000001E-4</v>
      </c>
      <c r="I4571" s="9">
        <v>9.2470000000000001E-5</v>
      </c>
      <c r="J4571" s="9">
        <v>9.3960000000000002E-5</v>
      </c>
      <c r="K4571" s="9">
        <v>0</v>
      </c>
      <c r="L4571" s="9">
        <v>3.9730000000000001E-5</v>
      </c>
      <c r="M4571" s="9">
        <v>5.9750000000000002E-5</v>
      </c>
      <c r="N4571" s="9">
        <v>8.0500000000000005E-5</v>
      </c>
      <c r="O4571" s="9">
        <v>1.2234999999999999E-4</v>
      </c>
      <c r="P4571" s="9">
        <v>1.1739E-4</v>
      </c>
      <c r="Q4571" s="9">
        <v>1.1246E-4</v>
      </c>
      <c r="R4571" s="10">
        <v>4.0406809996434928E-5</v>
      </c>
      <c r="S4571" s="10">
        <v>3.669922936722789E-5</v>
      </c>
      <c r="T4571" s="10">
        <v>1.5542387979526075E-4</v>
      </c>
      <c r="U4571" s="10">
        <v>1.0431E-4</v>
      </c>
      <c r="V4571" s="25"/>
      <c r="W4571" s="25"/>
      <c r="X4571" s="25"/>
      <c r="Y4571" s="25"/>
      <c r="Z4571" s="25"/>
      <c r="AA4571" s="25"/>
    </row>
    <row r="4572" spans="1:27" x14ac:dyDescent="0.35">
      <c r="A4572" s="5">
        <v>4568</v>
      </c>
      <c r="B4572" s="5">
        <v>191</v>
      </c>
      <c r="C4572" s="5">
        <v>7</v>
      </c>
      <c r="D4572" s="25">
        <v>1.1415000000000001E-4</v>
      </c>
      <c r="E4572" s="25">
        <v>1.1376E-4</v>
      </c>
      <c r="F4572" s="25">
        <v>1.4151999999999999E-4</v>
      </c>
      <c r="G4572" s="25">
        <v>1.5987E-4</v>
      </c>
      <c r="H4572" s="25">
        <v>1.9066999999999999E-4</v>
      </c>
      <c r="I4572" s="9">
        <v>9.9569999999999997E-5</v>
      </c>
      <c r="J4572" s="9">
        <v>1.0106E-4</v>
      </c>
      <c r="K4572" s="9">
        <v>0</v>
      </c>
      <c r="L4572" s="9">
        <v>1.0357E-4</v>
      </c>
      <c r="M4572" s="9">
        <v>8.3430000000000006E-5</v>
      </c>
      <c r="N4572" s="9">
        <v>9.0600000000000007E-5</v>
      </c>
      <c r="O4572" s="9">
        <v>2.1864000000000001E-4</v>
      </c>
      <c r="P4572" s="9">
        <v>1.7788999999999999E-4</v>
      </c>
      <c r="Q4572" s="9">
        <v>1.3742999999999999E-4</v>
      </c>
      <c r="R4572" s="10">
        <v>2.9108145035220399E-5</v>
      </c>
      <c r="S4572" s="10">
        <v>2.585358284654549E-5</v>
      </c>
      <c r="T4572" s="10">
        <v>3.3600370716369411E-4</v>
      </c>
      <c r="U4572" s="10">
        <v>1.0431E-4</v>
      </c>
      <c r="V4572" s="25"/>
      <c r="W4572" s="25"/>
      <c r="X4572" s="25"/>
      <c r="Y4572" s="25"/>
      <c r="Z4572" s="25"/>
      <c r="AA4572" s="25"/>
    </row>
    <row r="4573" spans="1:27" x14ac:dyDescent="0.35">
      <c r="A4573" s="5">
        <v>4569</v>
      </c>
      <c r="B4573" s="5">
        <v>191</v>
      </c>
      <c r="C4573" s="5">
        <v>7</v>
      </c>
      <c r="D4573" s="25">
        <v>1.1416E-4</v>
      </c>
      <c r="E4573" s="25">
        <v>1.1924E-4</v>
      </c>
      <c r="F4573" s="25">
        <v>1.3401999999999999E-4</v>
      </c>
      <c r="G4573" s="25">
        <v>1.5938000000000001E-4</v>
      </c>
      <c r="H4573" s="25">
        <v>1.9855E-4</v>
      </c>
      <c r="I4573" s="9">
        <v>1.0531000000000001E-4</v>
      </c>
      <c r="J4573" s="9">
        <v>1.0715E-4</v>
      </c>
      <c r="K4573" s="9">
        <v>0</v>
      </c>
      <c r="L4573" s="9">
        <v>1.9157000000000001E-4</v>
      </c>
      <c r="M4573" s="9">
        <v>1.2357000000000001E-4</v>
      </c>
      <c r="N4573" s="9">
        <v>1.0452E-4</v>
      </c>
      <c r="O4573" s="9">
        <v>2.0707000000000001E-4</v>
      </c>
      <c r="P4573" s="9">
        <v>1.9107E-4</v>
      </c>
      <c r="Q4573" s="9">
        <v>1.7499E-4</v>
      </c>
      <c r="R4573" s="10">
        <v>1.4889161117017667E-5</v>
      </c>
      <c r="S4573" s="10">
        <v>2.263595073540724E-5</v>
      </c>
      <c r="T4573" s="10">
        <v>4.9698480303329818E-4</v>
      </c>
      <c r="U4573" s="10">
        <v>1.0431E-4</v>
      </c>
      <c r="V4573" s="25"/>
      <c r="W4573" s="25"/>
      <c r="X4573" s="25"/>
      <c r="Y4573" s="25"/>
      <c r="Z4573" s="25"/>
      <c r="AA4573" s="25"/>
    </row>
    <row r="4574" spans="1:27" x14ac:dyDescent="0.35">
      <c r="A4574" s="5">
        <v>4570</v>
      </c>
      <c r="B4574" s="5">
        <v>191</v>
      </c>
      <c r="C4574" s="5">
        <v>7</v>
      </c>
      <c r="D4574" s="25">
        <v>1.1415000000000001E-4</v>
      </c>
      <c r="E4574" s="25">
        <v>1.1369E-4</v>
      </c>
      <c r="F4574" s="25">
        <v>1.3299000000000001E-4</v>
      </c>
      <c r="G4574" s="25">
        <v>1.6676000000000001E-4</v>
      </c>
      <c r="H4574" s="25">
        <v>1.8934999999999999E-4</v>
      </c>
      <c r="I4574" s="9">
        <v>1.0663E-4</v>
      </c>
      <c r="J4574" s="9">
        <v>1.0941E-4</v>
      </c>
      <c r="K4574" s="9">
        <v>0</v>
      </c>
      <c r="L4574" s="9">
        <v>2.0134999999999999E-4</v>
      </c>
      <c r="M4574" s="9">
        <v>1.5805999999999999E-4</v>
      </c>
      <c r="N4574" s="9">
        <v>1.2413999999999999E-4</v>
      </c>
      <c r="O4574" s="9">
        <v>1.6564999999999999E-4</v>
      </c>
      <c r="P4574" s="9">
        <v>1.7398000000000001E-4</v>
      </c>
      <c r="Q4574" s="9">
        <v>1.8197999999999999E-4</v>
      </c>
      <c r="R4574" s="10">
        <v>1.6255603449719792E-5</v>
      </c>
      <c r="S4574" s="10">
        <v>2.3464217935242018E-5</v>
      </c>
      <c r="T4574" s="10">
        <v>6.2117797692068431E-4</v>
      </c>
      <c r="U4574" s="10">
        <v>1.0431E-4</v>
      </c>
      <c r="V4574" s="25"/>
      <c r="W4574" s="25"/>
      <c r="X4574" s="25"/>
      <c r="Y4574" s="25"/>
      <c r="Z4574" s="25"/>
      <c r="AA4574" s="25"/>
    </row>
    <row r="4575" spans="1:27" x14ac:dyDescent="0.35">
      <c r="A4575" s="5">
        <v>4571</v>
      </c>
      <c r="B4575" s="5">
        <v>191</v>
      </c>
      <c r="C4575" s="5">
        <v>7</v>
      </c>
      <c r="D4575" s="25">
        <v>1.1416E-4</v>
      </c>
      <c r="E4575" s="25">
        <v>1.1947000000000001E-4</v>
      </c>
      <c r="F4575" s="25">
        <v>1.4129999999999999E-4</v>
      </c>
      <c r="G4575" s="25">
        <v>1.5932000000000001E-4</v>
      </c>
      <c r="H4575" s="25">
        <v>1.9851E-4</v>
      </c>
      <c r="I4575" s="9">
        <v>1.0775E-4</v>
      </c>
      <c r="J4575" s="9">
        <v>1.0927E-4</v>
      </c>
      <c r="K4575" s="9">
        <v>0</v>
      </c>
      <c r="L4575" s="9">
        <v>1.7364999999999999E-4</v>
      </c>
      <c r="M4575" s="9">
        <v>1.7173000000000001E-4</v>
      </c>
      <c r="N4575" s="9">
        <v>1.4224999999999999E-4</v>
      </c>
      <c r="O4575" s="9">
        <v>1.6537E-4</v>
      </c>
      <c r="P4575" s="9">
        <v>1.7233999999999999E-4</v>
      </c>
      <c r="Q4575" s="9">
        <v>1.7899999999999999E-4</v>
      </c>
      <c r="R4575" s="10">
        <v>2.3367310094794557E-5</v>
      </c>
      <c r="S4575" s="10">
        <v>2.4991436813911094E-5</v>
      </c>
      <c r="T4575" s="10">
        <v>6.9722275199601174E-4</v>
      </c>
      <c r="U4575" s="10">
        <v>1.0431E-4</v>
      </c>
      <c r="V4575" s="25"/>
      <c r="W4575" s="25"/>
      <c r="X4575" s="25"/>
      <c r="Y4575" s="25"/>
      <c r="Z4575" s="25"/>
      <c r="AA4575" s="25"/>
    </row>
    <row r="4576" spans="1:27" x14ac:dyDescent="0.35">
      <c r="A4576" s="5">
        <v>4572</v>
      </c>
      <c r="B4576" s="5">
        <v>191</v>
      </c>
      <c r="C4576" s="5">
        <v>7</v>
      </c>
      <c r="D4576" s="25">
        <v>1.1415000000000001E-4</v>
      </c>
      <c r="E4576" s="25">
        <v>1.1254E-4</v>
      </c>
      <c r="F4576" s="25">
        <v>1.4713000000000001E-4</v>
      </c>
      <c r="G4576" s="25">
        <v>1.6124999999999999E-4</v>
      </c>
      <c r="H4576" s="25">
        <v>1.9302999999999999E-4</v>
      </c>
      <c r="I4576" s="9">
        <v>1.059E-4</v>
      </c>
      <c r="J4576" s="9">
        <v>1.0842E-4</v>
      </c>
      <c r="K4576" s="9">
        <v>0</v>
      </c>
      <c r="L4576" s="9">
        <v>1.6856E-4</v>
      </c>
      <c r="M4576" s="9">
        <v>1.7427999999999999E-4</v>
      </c>
      <c r="N4576" s="9">
        <v>1.563E-4</v>
      </c>
      <c r="O4576" s="9">
        <v>1.6856E-4</v>
      </c>
      <c r="P4576" s="9">
        <v>1.7148E-4</v>
      </c>
      <c r="Q4576" s="9">
        <v>1.7416E-4</v>
      </c>
      <c r="R4576" s="10">
        <v>2.5118155503721606E-5</v>
      </c>
      <c r="S4576" s="10">
        <v>2.8969562110959596E-5</v>
      </c>
      <c r="T4576" s="10">
        <v>7.2472036618982368E-4</v>
      </c>
      <c r="U4576" s="10">
        <v>1.0431E-4</v>
      </c>
      <c r="V4576" s="25"/>
      <c r="W4576" s="25"/>
      <c r="X4576" s="25"/>
      <c r="Y4576" s="25"/>
      <c r="Z4576" s="25"/>
      <c r="AA4576" s="25"/>
    </row>
    <row r="4577" spans="1:27" x14ac:dyDescent="0.35">
      <c r="A4577" s="5">
        <v>4573</v>
      </c>
      <c r="B4577" s="5">
        <v>191</v>
      </c>
      <c r="C4577" s="5">
        <v>7</v>
      </c>
      <c r="D4577" s="25">
        <v>1.1416E-4</v>
      </c>
      <c r="E4577" s="25">
        <v>1.197E-4</v>
      </c>
      <c r="F4577" s="25">
        <v>1.2923000000000001E-4</v>
      </c>
      <c r="G4577" s="25">
        <v>1.6165999999999999E-4</v>
      </c>
      <c r="H4577" s="25">
        <v>2.0023E-4</v>
      </c>
      <c r="I4577" s="9">
        <v>1.0331E-4</v>
      </c>
      <c r="J4577" s="9">
        <v>1.07E-4</v>
      </c>
      <c r="K4577" s="9">
        <v>0</v>
      </c>
      <c r="L4577" s="9">
        <v>1.6870000000000001E-4</v>
      </c>
      <c r="M4577" s="9">
        <v>1.7346000000000001E-4</v>
      </c>
      <c r="N4577" s="9">
        <v>1.6583E-4</v>
      </c>
      <c r="O4577" s="9">
        <v>1.5998E-4</v>
      </c>
      <c r="P4577" s="9">
        <v>1.6360999999999999E-4</v>
      </c>
      <c r="Q4577" s="9">
        <v>1.6699999999999999E-4</v>
      </c>
      <c r="R4577" s="10">
        <v>2.6544341625241908E-5</v>
      </c>
      <c r="S4577" s="10">
        <v>2.7545479121212344E-5</v>
      </c>
      <c r="T4577" s="10">
        <v>7.1606638085267829E-4</v>
      </c>
      <c r="U4577" s="10">
        <v>1.0431E-4</v>
      </c>
      <c r="V4577" s="25"/>
      <c r="W4577" s="25"/>
      <c r="X4577" s="25"/>
      <c r="Y4577" s="25"/>
      <c r="Z4577" s="25"/>
      <c r="AA4577" s="25"/>
    </row>
    <row r="4578" spans="1:27" x14ac:dyDescent="0.35">
      <c r="A4578" s="5">
        <v>4574</v>
      </c>
      <c r="B4578" s="5">
        <v>191</v>
      </c>
      <c r="C4578" s="5">
        <v>7</v>
      </c>
      <c r="D4578" s="25">
        <v>1.1415000000000001E-4</v>
      </c>
      <c r="E4578" s="25">
        <v>1.1789E-4</v>
      </c>
      <c r="F4578" s="25">
        <v>1.3307999999999999E-4</v>
      </c>
      <c r="G4578" s="25">
        <v>1.6106000000000001E-4</v>
      </c>
      <c r="H4578" s="25">
        <v>1.9709999999999999E-4</v>
      </c>
      <c r="I4578" s="9">
        <v>1.0166E-4</v>
      </c>
      <c r="J4578" s="9">
        <v>1.0635E-4</v>
      </c>
      <c r="K4578" s="9">
        <v>0</v>
      </c>
      <c r="L4578" s="9">
        <v>1.6165E-4</v>
      </c>
      <c r="M4578" s="9">
        <v>1.6966E-4</v>
      </c>
      <c r="N4578" s="9">
        <v>1.7012E-4</v>
      </c>
      <c r="O4578" s="9">
        <v>1.7519000000000001E-4</v>
      </c>
      <c r="P4578" s="9">
        <v>1.6734000000000001E-4</v>
      </c>
      <c r="Q4578" s="9">
        <v>1.5939E-4</v>
      </c>
      <c r="R4578" s="10">
        <v>2.4883353510462299E-5</v>
      </c>
      <c r="S4578" s="10">
        <v>2.7558878783886768E-5</v>
      </c>
      <c r="T4578" s="10">
        <v>6.7890514969905409E-4</v>
      </c>
      <c r="U4578" s="10">
        <v>1.0431E-4</v>
      </c>
      <c r="V4578" s="25"/>
      <c r="W4578" s="25"/>
      <c r="X4578" s="25"/>
      <c r="Y4578" s="25"/>
      <c r="Z4578" s="25"/>
      <c r="AA4578" s="25"/>
    </row>
    <row r="4579" spans="1:27" x14ac:dyDescent="0.35">
      <c r="A4579" s="5">
        <v>4575</v>
      </c>
      <c r="B4579" s="5">
        <v>191</v>
      </c>
      <c r="C4579" s="5">
        <v>7</v>
      </c>
      <c r="D4579" s="25">
        <v>1.1416E-4</v>
      </c>
      <c r="E4579" s="25">
        <v>1.1234E-4</v>
      </c>
      <c r="F4579" s="25">
        <v>1.2553999999999999E-4</v>
      </c>
      <c r="G4579" s="25">
        <v>1.6745E-4</v>
      </c>
      <c r="H4579" s="25">
        <v>1.8933000000000001E-4</v>
      </c>
      <c r="I4579" s="9">
        <v>1.0003E-4</v>
      </c>
      <c r="J4579" s="9">
        <v>1.0692E-4</v>
      </c>
      <c r="K4579" s="9">
        <v>0</v>
      </c>
      <c r="L4579" s="9">
        <v>1.7238E-4</v>
      </c>
      <c r="M4579" s="9">
        <v>1.6772999999999999E-4</v>
      </c>
      <c r="N4579" s="9">
        <v>1.6945E-4</v>
      </c>
      <c r="O4579" s="9">
        <v>1.8275E-4</v>
      </c>
      <c r="P4579" s="9">
        <v>1.6801000000000001E-4</v>
      </c>
      <c r="Q4579" s="9">
        <v>1.5325000000000001E-4</v>
      </c>
      <c r="R4579" s="10">
        <v>1.8623479034928821E-5</v>
      </c>
      <c r="S4579" s="10">
        <v>2.7066159035188005E-5</v>
      </c>
      <c r="T4579" s="10">
        <v>6.0170650991210736E-4</v>
      </c>
      <c r="U4579" s="10">
        <v>1.0431E-4</v>
      </c>
      <c r="V4579" s="25"/>
      <c r="W4579" s="25"/>
      <c r="X4579" s="25"/>
      <c r="Y4579" s="25"/>
      <c r="Z4579" s="25"/>
      <c r="AA4579" s="25"/>
    </row>
    <row r="4580" spans="1:27" x14ac:dyDescent="0.35">
      <c r="A4580" s="5">
        <v>4576</v>
      </c>
      <c r="B4580" s="5">
        <v>191</v>
      </c>
      <c r="C4580" s="5">
        <v>7</v>
      </c>
      <c r="D4580" s="25">
        <v>1.1415000000000001E-4</v>
      </c>
      <c r="E4580" s="25">
        <v>1.2019999999999999E-4</v>
      </c>
      <c r="F4580" s="25">
        <v>1.3454E-4</v>
      </c>
      <c r="G4580" s="25">
        <v>1.561E-4</v>
      </c>
      <c r="H4580" s="25">
        <v>1.9251000000000001E-4</v>
      </c>
      <c r="I4580" s="9">
        <v>1.0043999999999999E-4</v>
      </c>
      <c r="J4580" s="9">
        <v>1.0808E-4</v>
      </c>
      <c r="K4580" s="9">
        <v>0</v>
      </c>
      <c r="L4580" s="9">
        <v>1.8018999999999999E-4</v>
      </c>
      <c r="M4580" s="9">
        <v>1.6741999999999999E-4</v>
      </c>
      <c r="N4580" s="9">
        <v>1.6579999999999999E-4</v>
      </c>
      <c r="O4580" s="9">
        <v>1.9723000000000001E-4</v>
      </c>
      <c r="P4580" s="9">
        <v>1.5378000000000001E-4</v>
      </c>
      <c r="Q4580" s="9">
        <v>1.1072E-4</v>
      </c>
      <c r="R4580" s="10">
        <v>1.2161810670869771E-5</v>
      </c>
      <c r="S4580" s="10">
        <v>2.8933281809557707E-5</v>
      </c>
      <c r="T4580" s="10">
        <v>4.9299718233873125E-4</v>
      </c>
      <c r="U4580" s="10">
        <v>1.0431E-4</v>
      </c>
      <c r="V4580" s="25"/>
      <c r="W4580" s="25"/>
      <c r="X4580" s="25"/>
      <c r="Y4580" s="25"/>
      <c r="Z4580" s="25"/>
      <c r="AA4580" s="25"/>
    </row>
    <row r="4581" spans="1:27" x14ac:dyDescent="0.35">
      <c r="A4581" s="5">
        <v>4577</v>
      </c>
      <c r="B4581" s="5">
        <v>191</v>
      </c>
      <c r="C4581" s="5">
        <v>7</v>
      </c>
      <c r="D4581" s="25">
        <v>1.1416E-4</v>
      </c>
      <c r="E4581" s="25">
        <v>1.1457E-4</v>
      </c>
      <c r="F4581" s="25">
        <v>1.2988E-4</v>
      </c>
      <c r="G4581" s="25">
        <v>1.6364999999999999E-4</v>
      </c>
      <c r="H4581" s="25">
        <v>1.9646E-4</v>
      </c>
      <c r="I4581" s="9">
        <v>1.0092E-4</v>
      </c>
      <c r="J4581" s="9">
        <v>1.0899E-4</v>
      </c>
      <c r="K4581" s="9">
        <v>0</v>
      </c>
      <c r="L4581" s="9">
        <v>1.9321E-4</v>
      </c>
      <c r="M4581" s="9">
        <v>1.6255999999999999E-4</v>
      </c>
      <c r="N4581" s="9">
        <v>1.5239E-4</v>
      </c>
      <c r="O4581" s="9">
        <v>2.1081E-4</v>
      </c>
      <c r="P4581" s="9">
        <v>1.5846E-4</v>
      </c>
      <c r="Q4581" s="9">
        <v>1.0658999999999999E-4</v>
      </c>
      <c r="R4581" s="10">
        <v>1.0349854277188549E-5</v>
      </c>
      <c r="S4581" s="10">
        <v>3.0638246662756918E-5</v>
      </c>
      <c r="T4581" s="10">
        <v>3.4477647269174147E-4</v>
      </c>
      <c r="U4581" s="10">
        <v>1.0431E-4</v>
      </c>
      <c r="V4581" s="25"/>
      <c r="W4581" s="25"/>
      <c r="X4581" s="25"/>
      <c r="Y4581" s="25"/>
      <c r="Z4581" s="25"/>
      <c r="AA4581" s="25"/>
    </row>
    <row r="4582" spans="1:27" x14ac:dyDescent="0.35">
      <c r="A4582" s="5">
        <v>4578</v>
      </c>
      <c r="B4582" s="5">
        <v>191</v>
      </c>
      <c r="C4582" s="5">
        <v>7</v>
      </c>
      <c r="D4582" s="25">
        <v>1.1415000000000001E-4</v>
      </c>
      <c r="E4582" s="25">
        <v>1.2350999999999999E-4</v>
      </c>
      <c r="F4582" s="25">
        <v>1.4375E-4</v>
      </c>
      <c r="G4582" s="25">
        <v>1.6710999999999999E-4</v>
      </c>
      <c r="H4582" s="25">
        <v>1.9990000000000001E-4</v>
      </c>
      <c r="I4582" s="9">
        <v>1.0281E-4</v>
      </c>
      <c r="J4582" s="9">
        <v>1.087E-4</v>
      </c>
      <c r="K4582" s="9">
        <v>0</v>
      </c>
      <c r="L4582" s="9">
        <v>2.0666E-4</v>
      </c>
      <c r="M4582" s="9">
        <v>1.5972999999999999E-4</v>
      </c>
      <c r="N4582" s="9">
        <v>1.3899999999999999E-4</v>
      </c>
      <c r="O4582" s="9">
        <v>2.0387000000000001E-4</v>
      </c>
      <c r="P4582" s="9">
        <v>1.6071E-4</v>
      </c>
      <c r="Q4582" s="9">
        <v>1.1791E-4</v>
      </c>
      <c r="R4582" s="10">
        <v>8.7754147253778189E-6</v>
      </c>
      <c r="S4582" s="10">
        <v>2.9111945160210679E-5</v>
      </c>
      <c r="T4582" s="10">
        <v>1.6772611385296743E-4</v>
      </c>
      <c r="U4582" s="10">
        <v>1.0431E-4</v>
      </c>
      <c r="V4582" s="25"/>
      <c r="W4582" s="25"/>
      <c r="X4582" s="25"/>
      <c r="Y4582" s="25"/>
      <c r="Z4582" s="25"/>
      <c r="AA4582" s="25"/>
    </row>
    <row r="4583" spans="1:27" x14ac:dyDescent="0.35">
      <c r="A4583" s="5">
        <v>4579</v>
      </c>
      <c r="B4583" s="5">
        <v>191</v>
      </c>
      <c r="C4583" s="5">
        <v>7</v>
      </c>
      <c r="D4583" s="25">
        <v>1.1416E-4</v>
      </c>
      <c r="E4583" s="25">
        <v>1.2290000000000001E-4</v>
      </c>
      <c r="F4583" s="25">
        <v>1.3168000000000001E-4</v>
      </c>
      <c r="G4583" s="25">
        <v>1.0745E-4</v>
      </c>
      <c r="H4583" s="25">
        <v>1.2990000000000001E-4</v>
      </c>
      <c r="I4583" s="9">
        <v>1.011E-4</v>
      </c>
      <c r="J4583" s="9">
        <v>1.0611999999999999E-4</v>
      </c>
      <c r="K4583" s="9">
        <v>0</v>
      </c>
      <c r="L4583" s="9">
        <v>2.0415E-4</v>
      </c>
      <c r="M4583" s="9">
        <v>1.5945999999999999E-4</v>
      </c>
      <c r="N4583" s="9">
        <v>1.3004E-4</v>
      </c>
      <c r="O4583" s="9">
        <v>1.6318999999999999E-4</v>
      </c>
      <c r="P4583" s="9">
        <v>1.3507999999999999E-4</v>
      </c>
      <c r="Q4583" s="9">
        <v>1.0721E-4</v>
      </c>
      <c r="R4583" s="10">
        <v>7.6827005040242331E-6</v>
      </c>
      <c r="S4583" s="10">
        <v>2.5071024595869467E-5</v>
      </c>
      <c r="T4583" s="10">
        <v>3.4709268641433035E-5</v>
      </c>
      <c r="U4583" s="10">
        <v>1.0431E-4</v>
      </c>
      <c r="V4583" s="25"/>
      <c r="W4583" s="25"/>
      <c r="X4583" s="25"/>
      <c r="Y4583" s="25"/>
      <c r="Z4583" s="25"/>
      <c r="AA4583" s="25"/>
    </row>
    <row r="4584" spans="1:27" x14ac:dyDescent="0.35">
      <c r="A4584" s="5">
        <v>4580</v>
      </c>
      <c r="B4584" s="5">
        <v>191</v>
      </c>
      <c r="C4584" s="5">
        <v>7</v>
      </c>
      <c r="D4584" s="25">
        <v>1.1415000000000001E-4</v>
      </c>
      <c r="E4584" s="25">
        <v>1.1888E-4</v>
      </c>
      <c r="F4584" s="25">
        <v>1.3046999999999999E-4</v>
      </c>
      <c r="G4584" s="25">
        <v>1.1108E-4</v>
      </c>
      <c r="H4584" s="25">
        <v>1.3425000000000001E-4</v>
      </c>
      <c r="I4584" s="9">
        <v>9.8350000000000005E-5</v>
      </c>
      <c r="J4584" s="9">
        <v>1.0451E-4</v>
      </c>
      <c r="K4584" s="9">
        <v>0</v>
      </c>
      <c r="L4584" s="9">
        <v>1.7234999999999999E-4</v>
      </c>
      <c r="M4584" s="9">
        <v>1.5079000000000001E-4</v>
      </c>
      <c r="N4584" s="9">
        <v>1.2102E-4</v>
      </c>
      <c r="O4584" s="9">
        <v>1.2878999999999999E-4</v>
      </c>
      <c r="P4584" s="9">
        <v>1.1561E-4</v>
      </c>
      <c r="Q4584" s="9">
        <v>1.0255999999999999E-4</v>
      </c>
      <c r="R4584" s="10">
        <v>1.0470923662495666E-5</v>
      </c>
      <c r="S4584" s="10">
        <v>2.2046651372607347E-5</v>
      </c>
      <c r="T4584" s="10">
        <v>1.2404045649908358E-5</v>
      </c>
      <c r="U4584" s="10">
        <v>1.0431E-4</v>
      </c>
      <c r="V4584" s="25"/>
      <c r="W4584" s="25"/>
      <c r="X4584" s="25"/>
      <c r="Y4584" s="25"/>
      <c r="Z4584" s="25"/>
      <c r="AA4584" s="25"/>
    </row>
    <row r="4585" spans="1:27" x14ac:dyDescent="0.35">
      <c r="A4585" s="5">
        <v>4581</v>
      </c>
      <c r="B4585" s="5">
        <v>191</v>
      </c>
      <c r="C4585" s="5">
        <v>7</v>
      </c>
      <c r="D4585" s="25">
        <v>1.1416E-4</v>
      </c>
      <c r="E4585" s="25">
        <v>1.1362E-4</v>
      </c>
      <c r="F4585" s="25">
        <v>1.2697000000000001E-4</v>
      </c>
      <c r="G4585" s="25">
        <v>5.4939999999999999E-5</v>
      </c>
      <c r="H4585" s="25">
        <v>6.3200000000000005E-5</v>
      </c>
      <c r="I4585" s="9">
        <v>9.6319999999999999E-5</v>
      </c>
      <c r="J4585" s="9">
        <v>1.0228E-4</v>
      </c>
      <c r="K4585" s="9">
        <v>0</v>
      </c>
      <c r="L4585" s="9">
        <v>1.3934E-4</v>
      </c>
      <c r="M4585" s="9">
        <v>1.3569999999999999E-4</v>
      </c>
      <c r="N4585" s="9">
        <v>1.1347E-4</v>
      </c>
      <c r="O4585" s="9">
        <v>8.4460000000000001E-5</v>
      </c>
      <c r="P4585" s="9">
        <v>8.6440000000000006E-5</v>
      </c>
      <c r="Q4585" s="9">
        <v>8.844E-5</v>
      </c>
      <c r="R4585" s="10">
        <v>2.3480060581844885E-5</v>
      </c>
      <c r="S4585" s="10">
        <v>2.0494601674589339E-5</v>
      </c>
      <c r="T4585" s="10">
        <v>0</v>
      </c>
      <c r="U4585" s="10">
        <v>1.0431E-4</v>
      </c>
      <c r="V4585" s="25"/>
      <c r="W4585" s="25"/>
      <c r="X4585" s="25"/>
      <c r="Y4585" s="25"/>
      <c r="Z4585" s="25"/>
      <c r="AA4585" s="25"/>
    </row>
    <row r="4586" spans="1:27" x14ac:dyDescent="0.35">
      <c r="A4586" s="5">
        <v>4582</v>
      </c>
      <c r="B4586" s="5">
        <v>191</v>
      </c>
      <c r="C4586" s="5">
        <v>7</v>
      </c>
      <c r="D4586" s="25">
        <v>1.1415000000000001E-4</v>
      </c>
      <c r="E4586" s="25">
        <v>1.154E-4</v>
      </c>
      <c r="F4586" s="25">
        <v>1.4414000000000001E-4</v>
      </c>
      <c r="G4586" s="25">
        <v>5.736E-5</v>
      </c>
      <c r="H4586" s="25">
        <v>6.9200000000000002E-5</v>
      </c>
      <c r="I4586" s="9">
        <v>1.0083E-4</v>
      </c>
      <c r="J4586" s="9">
        <v>1.0362E-4</v>
      </c>
      <c r="K4586" s="9">
        <v>0</v>
      </c>
      <c r="L4586" s="9">
        <v>9.7440000000000002E-5</v>
      </c>
      <c r="M4586" s="9">
        <v>1.1408000000000001E-4</v>
      </c>
      <c r="N4586" s="9">
        <v>1.0585E-4</v>
      </c>
      <c r="O4586" s="9">
        <v>8.7369999999999999E-5</v>
      </c>
      <c r="P4586" s="9">
        <v>8.7979999999999995E-5</v>
      </c>
      <c r="Q4586" s="9">
        <v>8.8640000000000005E-5</v>
      </c>
      <c r="R4586" s="10">
        <v>4.8362941527526444E-5</v>
      </c>
      <c r="S4586" s="10">
        <v>2.0862952456050564E-5</v>
      </c>
      <c r="T4586" s="10">
        <v>0</v>
      </c>
      <c r="U4586" s="10">
        <v>1.0431E-4</v>
      </c>
      <c r="V4586" s="25"/>
      <c r="W4586" s="25"/>
      <c r="X4586" s="25"/>
      <c r="Y4586" s="25"/>
      <c r="Z4586" s="25"/>
      <c r="AA4586" s="25"/>
    </row>
    <row r="4587" spans="1:27" x14ac:dyDescent="0.35">
      <c r="A4587" s="5">
        <v>4583</v>
      </c>
      <c r="B4587" s="5">
        <v>191</v>
      </c>
      <c r="C4587" s="5">
        <v>7</v>
      </c>
      <c r="D4587" s="25">
        <v>1.1416E-4</v>
      </c>
      <c r="E4587" s="25">
        <v>1.1317E-4</v>
      </c>
      <c r="F4587" s="25">
        <v>1.4457000000000001E-4</v>
      </c>
      <c r="G4587" s="25">
        <v>5.3999999999999998E-5</v>
      </c>
      <c r="H4587" s="25">
        <v>6.7000000000000002E-5</v>
      </c>
      <c r="I4587" s="9">
        <v>9.9149999999999998E-5</v>
      </c>
      <c r="J4587" s="9">
        <v>9.9199999999999999E-5</v>
      </c>
      <c r="K4587" s="9">
        <v>0</v>
      </c>
      <c r="L4587" s="9">
        <v>9.0519999999999994E-5</v>
      </c>
      <c r="M4587" s="9">
        <v>9.9380000000000001E-5</v>
      </c>
      <c r="N4587" s="9">
        <v>1.0011E-4</v>
      </c>
      <c r="O4587" s="9">
        <v>7.737E-5</v>
      </c>
      <c r="P4587" s="9">
        <v>7.1970000000000004E-5</v>
      </c>
      <c r="Q4587" s="9">
        <v>6.6740000000000001E-5</v>
      </c>
      <c r="R4587" s="10">
        <v>7.7438237248426403E-5</v>
      </c>
      <c r="S4587" s="10">
        <v>2.3586304941615024E-5</v>
      </c>
      <c r="T4587" s="10">
        <v>0</v>
      </c>
      <c r="U4587" s="10">
        <v>1.0431E-4</v>
      </c>
      <c r="V4587" s="25"/>
      <c r="W4587" s="25"/>
      <c r="X4587" s="25"/>
      <c r="Y4587" s="25"/>
      <c r="Z4587" s="25"/>
      <c r="AA4587" s="25"/>
    </row>
    <row r="4588" spans="1:27" x14ac:dyDescent="0.35">
      <c r="A4588" s="5">
        <v>4584</v>
      </c>
      <c r="B4588" s="5">
        <v>191</v>
      </c>
      <c r="C4588" s="5">
        <v>7</v>
      </c>
      <c r="D4588" s="25">
        <v>1.1415000000000001E-4</v>
      </c>
      <c r="E4588" s="25">
        <v>1.1283E-4</v>
      </c>
      <c r="F4588" s="25">
        <v>1.2737E-4</v>
      </c>
      <c r="G4588" s="25">
        <v>5.7580000000000001E-5</v>
      </c>
      <c r="H4588" s="25">
        <v>7.4779999999999999E-5</v>
      </c>
      <c r="I4588" s="9">
        <v>9.3789999999999995E-5</v>
      </c>
      <c r="J4588" s="9">
        <v>9.3480000000000006E-5</v>
      </c>
      <c r="K4588" s="9">
        <v>0</v>
      </c>
      <c r="L4588" s="9">
        <v>8.0249999999999999E-5</v>
      </c>
      <c r="M4588" s="9">
        <v>8.6279999999999994E-5</v>
      </c>
      <c r="N4588" s="9">
        <v>9.0749999999999997E-5</v>
      </c>
      <c r="O4588" s="9">
        <v>6.3109999999999997E-5</v>
      </c>
      <c r="P4588" s="9">
        <v>6.1130000000000006E-5</v>
      </c>
      <c r="Q4588" s="9">
        <v>5.9299999999999998E-5</v>
      </c>
      <c r="R4588" s="10">
        <v>1.0529955953534091E-4</v>
      </c>
      <c r="S4588" s="10">
        <v>2.6285000792368527E-5</v>
      </c>
      <c r="T4588" s="10">
        <v>0</v>
      </c>
      <c r="U4588" s="10">
        <v>1.0431E-4</v>
      </c>
      <c r="V4588" s="25"/>
      <c r="W4588" s="25"/>
      <c r="X4588" s="25"/>
      <c r="Y4588" s="25"/>
      <c r="Z4588" s="25"/>
      <c r="AA4588" s="25"/>
    </row>
    <row r="4589" spans="1:27" x14ac:dyDescent="0.35">
      <c r="A4589" s="5">
        <v>4585</v>
      </c>
      <c r="B4589" s="5">
        <v>192</v>
      </c>
      <c r="C4589" s="5">
        <v>7</v>
      </c>
      <c r="D4589" s="25">
        <v>1.1416E-4</v>
      </c>
      <c r="E4589" s="25">
        <v>1.0938999999999999E-4</v>
      </c>
      <c r="F4589" s="25">
        <v>1.0168E-4</v>
      </c>
      <c r="G4589" s="25">
        <v>5.3520000000000003E-5</v>
      </c>
      <c r="H4589" s="25">
        <v>6.5740000000000004E-5</v>
      </c>
      <c r="I4589" s="9">
        <v>9.0480000000000001E-5</v>
      </c>
      <c r="J4589" s="9">
        <v>8.9120000000000001E-5</v>
      </c>
      <c r="K4589" s="9">
        <v>0</v>
      </c>
      <c r="L4589" s="9">
        <v>6.6890000000000005E-5</v>
      </c>
      <c r="M4589" s="9">
        <v>7.4209999999999996E-5</v>
      </c>
      <c r="N4589" s="9">
        <v>8.1390000000000005E-5</v>
      </c>
      <c r="O4589" s="9">
        <v>5.4070000000000002E-5</v>
      </c>
      <c r="P4589" s="9">
        <v>5.3499999999999999E-5</v>
      </c>
      <c r="Q4589" s="9">
        <v>5.308E-5</v>
      </c>
      <c r="R4589" s="10">
        <v>1.0126953773863768E-4</v>
      </c>
      <c r="S4589" s="10">
        <v>4.3482843996559498E-5</v>
      </c>
      <c r="T4589" s="10">
        <v>0</v>
      </c>
      <c r="U4589" s="10">
        <v>9.1730000000000004E-5</v>
      </c>
      <c r="V4589" s="25"/>
      <c r="W4589" s="25"/>
      <c r="X4589" s="25"/>
      <c r="Y4589" s="25"/>
      <c r="Z4589" s="25"/>
      <c r="AA4589" s="25"/>
    </row>
    <row r="4590" spans="1:27" x14ac:dyDescent="0.35">
      <c r="A4590" s="5">
        <v>4586</v>
      </c>
      <c r="B4590" s="5">
        <v>192</v>
      </c>
      <c r="C4590" s="5">
        <v>7</v>
      </c>
      <c r="D4590" s="25">
        <v>1.1415000000000001E-4</v>
      </c>
      <c r="E4590" s="25">
        <v>1.1113E-4</v>
      </c>
      <c r="F4590" s="25">
        <v>1.2006999999999999E-4</v>
      </c>
      <c r="G4590" s="25">
        <v>5.2160000000000002E-5</v>
      </c>
      <c r="H4590" s="25">
        <v>6.4540000000000002E-5</v>
      </c>
      <c r="I4590" s="9">
        <v>8.7130000000000001E-5</v>
      </c>
      <c r="J4590" s="9">
        <v>8.6409999999999994E-5</v>
      </c>
      <c r="K4590" s="9">
        <v>0</v>
      </c>
      <c r="L4590" s="9">
        <v>5.7259999999999997E-5</v>
      </c>
      <c r="M4590" s="9">
        <v>6.389E-5</v>
      </c>
      <c r="N4590" s="9">
        <v>7.2150000000000005E-5</v>
      </c>
      <c r="O4590" s="9">
        <v>1.9199999999999999E-5</v>
      </c>
      <c r="P4590" s="9">
        <v>3.7570000000000001E-5</v>
      </c>
      <c r="Q4590" s="9">
        <v>5.5909999999999998E-5</v>
      </c>
      <c r="R4590" s="10">
        <v>1.0080940648874851E-4</v>
      </c>
      <c r="S4590" s="10">
        <v>6.3327132180720293E-5</v>
      </c>
      <c r="T4590" s="10">
        <v>0</v>
      </c>
      <c r="U4590" s="10">
        <v>9.1730000000000004E-5</v>
      </c>
      <c r="V4590" s="25"/>
      <c r="W4590" s="25"/>
      <c r="X4590" s="25"/>
      <c r="Y4590" s="25"/>
      <c r="Z4590" s="25"/>
      <c r="AA4590" s="25"/>
    </row>
    <row r="4591" spans="1:27" x14ac:dyDescent="0.35">
      <c r="A4591" s="5">
        <v>4587</v>
      </c>
      <c r="B4591" s="5">
        <v>192</v>
      </c>
      <c r="C4591" s="5">
        <v>7</v>
      </c>
      <c r="D4591" s="25">
        <v>1.1416E-4</v>
      </c>
      <c r="E4591" s="25">
        <v>1.1461E-4</v>
      </c>
      <c r="F4591" s="25">
        <v>1.0444E-4</v>
      </c>
      <c r="G4591" s="25">
        <v>5.6010000000000001E-5</v>
      </c>
      <c r="H4591" s="25">
        <v>7.2990000000000004E-5</v>
      </c>
      <c r="I4591" s="9">
        <v>8.4049999999999997E-5</v>
      </c>
      <c r="J4591" s="9">
        <v>8.488E-5</v>
      </c>
      <c r="K4591" s="9">
        <v>0</v>
      </c>
      <c r="L4591" s="9">
        <v>2.779E-5</v>
      </c>
      <c r="M4591" s="9">
        <v>5.2049999999999998E-5</v>
      </c>
      <c r="N4591" s="9">
        <v>6.5480000000000003E-5</v>
      </c>
      <c r="O4591" s="9">
        <v>1.398E-5</v>
      </c>
      <c r="P4591" s="9">
        <v>3.8050000000000003E-5</v>
      </c>
      <c r="Q4591" s="9">
        <v>6.2020000000000006E-5</v>
      </c>
      <c r="R4591" s="10">
        <v>1.0551861465312323E-4</v>
      </c>
      <c r="S4591" s="10">
        <v>7.6591251860774111E-5</v>
      </c>
      <c r="T4591" s="10">
        <v>0</v>
      </c>
      <c r="U4591" s="10">
        <v>9.1730000000000004E-5</v>
      </c>
      <c r="V4591" s="25"/>
      <c r="W4591" s="25"/>
      <c r="X4591" s="25"/>
      <c r="Y4591" s="25"/>
      <c r="Z4591" s="25"/>
      <c r="AA4591" s="25"/>
    </row>
    <row r="4592" spans="1:27" x14ac:dyDescent="0.35">
      <c r="A4592" s="5">
        <v>4588</v>
      </c>
      <c r="B4592" s="5">
        <v>192</v>
      </c>
      <c r="C4592" s="5">
        <v>7</v>
      </c>
      <c r="D4592" s="25">
        <v>1.1415000000000001E-4</v>
      </c>
      <c r="E4592" s="25">
        <v>1.0568E-4</v>
      </c>
      <c r="F4592" s="25">
        <v>1.0124999999999999E-4</v>
      </c>
      <c r="G4592" s="25">
        <v>5.397E-5</v>
      </c>
      <c r="H4592" s="25">
        <v>6.5229999999999997E-5</v>
      </c>
      <c r="I4592" s="9">
        <v>8.4640000000000003E-5</v>
      </c>
      <c r="J4592" s="9">
        <v>8.4099999999999998E-5</v>
      </c>
      <c r="K4592" s="9">
        <v>0</v>
      </c>
      <c r="L4592" s="9">
        <v>1.7750000000000001E-5</v>
      </c>
      <c r="M4592" s="9">
        <v>4.4190000000000002E-5</v>
      </c>
      <c r="N4592" s="9">
        <v>6.1959999999999996E-5</v>
      </c>
      <c r="O4592" s="9">
        <v>1.396E-5</v>
      </c>
      <c r="P4592" s="9">
        <v>4.7479999999999999E-5</v>
      </c>
      <c r="Q4592" s="9">
        <v>8.0760000000000006E-5</v>
      </c>
      <c r="R4592" s="10">
        <v>1.0622157339556853E-4</v>
      </c>
      <c r="S4592" s="10">
        <v>8.3205873189785384E-5</v>
      </c>
      <c r="T4592" s="10">
        <v>0</v>
      </c>
      <c r="U4592" s="10">
        <v>9.1730000000000004E-5</v>
      </c>
      <c r="V4592" s="25"/>
      <c r="W4592" s="25"/>
      <c r="X4592" s="25"/>
      <c r="Y4592" s="25"/>
      <c r="Z4592" s="25"/>
      <c r="AA4592" s="25"/>
    </row>
    <row r="4593" spans="1:27" x14ac:dyDescent="0.35">
      <c r="A4593" s="5">
        <v>4589</v>
      </c>
      <c r="B4593" s="5">
        <v>192</v>
      </c>
      <c r="C4593" s="5">
        <v>7</v>
      </c>
      <c r="D4593" s="25">
        <v>1.1416E-4</v>
      </c>
      <c r="E4593" s="25">
        <v>1.1456E-4</v>
      </c>
      <c r="F4593" s="25">
        <v>1.0499E-4</v>
      </c>
      <c r="G4593" s="25">
        <v>6.2949999999999999E-5</v>
      </c>
      <c r="H4593" s="25">
        <v>7.3980000000000007E-5</v>
      </c>
      <c r="I4593" s="9">
        <v>8.3759999999999998E-5</v>
      </c>
      <c r="J4593" s="9">
        <v>8.2180000000000003E-5</v>
      </c>
      <c r="K4593" s="9">
        <v>0</v>
      </c>
      <c r="L4593" s="9">
        <v>1.503E-5</v>
      </c>
      <c r="M4593" s="9">
        <v>4.3619999999999999E-5</v>
      </c>
      <c r="N4593" s="9">
        <v>6.457E-5</v>
      </c>
      <c r="O4593" s="9">
        <v>1.9199999999999999E-5</v>
      </c>
      <c r="P4593" s="9">
        <v>5.6369999999999997E-5</v>
      </c>
      <c r="Q4593" s="9">
        <v>9.3200000000000002E-5</v>
      </c>
      <c r="R4593" s="10">
        <v>1.0350349288896765E-4</v>
      </c>
      <c r="S4593" s="10">
        <v>8.4676819116647978E-5</v>
      </c>
      <c r="T4593" s="10">
        <v>3.6567330199114245E-6</v>
      </c>
      <c r="U4593" s="10">
        <v>9.1730000000000004E-5</v>
      </c>
      <c r="V4593" s="25"/>
      <c r="W4593" s="25"/>
      <c r="X4593" s="25"/>
      <c r="Y4593" s="25"/>
      <c r="Z4593" s="25"/>
      <c r="AA4593" s="25"/>
    </row>
    <row r="4594" spans="1:27" x14ac:dyDescent="0.35">
      <c r="A4594" s="5">
        <v>4590</v>
      </c>
      <c r="B4594" s="5">
        <v>192</v>
      </c>
      <c r="C4594" s="5">
        <v>7</v>
      </c>
      <c r="D4594" s="25">
        <v>1.1415000000000001E-4</v>
      </c>
      <c r="E4594" s="25">
        <v>1.066E-4</v>
      </c>
      <c r="F4594" s="25">
        <v>1.1196000000000001E-4</v>
      </c>
      <c r="G4594" s="25">
        <v>1.0717000000000001E-4</v>
      </c>
      <c r="H4594" s="25">
        <v>1.2577000000000001E-4</v>
      </c>
      <c r="I4594" s="9">
        <v>8.3499999999999997E-5</v>
      </c>
      <c r="J4594" s="9">
        <v>8.1940000000000005E-5</v>
      </c>
      <c r="K4594" s="9">
        <v>0</v>
      </c>
      <c r="L4594" s="9">
        <v>1.8159999999999999E-5</v>
      </c>
      <c r="M4594" s="9">
        <v>4.8409999999999999E-5</v>
      </c>
      <c r="N4594" s="9">
        <v>7.1009999999999999E-5</v>
      </c>
      <c r="O4594" s="9">
        <v>4.5989999999999998E-5</v>
      </c>
      <c r="P4594" s="9">
        <v>7.6190000000000001E-5</v>
      </c>
      <c r="Q4594" s="9">
        <v>1.0609E-4</v>
      </c>
      <c r="R4594" s="10">
        <v>9.5486060501039007E-5</v>
      </c>
      <c r="S4594" s="10">
        <v>8.1733963570497357E-5</v>
      </c>
      <c r="T4594" s="10">
        <v>2.4884449993967999E-5</v>
      </c>
      <c r="U4594" s="10">
        <v>9.1730000000000004E-5</v>
      </c>
      <c r="V4594" s="25"/>
      <c r="W4594" s="25"/>
      <c r="X4594" s="25"/>
      <c r="Y4594" s="25"/>
      <c r="Z4594" s="25"/>
      <c r="AA4594" s="25"/>
    </row>
    <row r="4595" spans="1:27" x14ac:dyDescent="0.35">
      <c r="A4595" s="5">
        <v>4591</v>
      </c>
      <c r="B4595" s="5">
        <v>192</v>
      </c>
      <c r="C4595" s="5">
        <v>7</v>
      </c>
      <c r="D4595" s="25">
        <v>1.1416E-4</v>
      </c>
      <c r="E4595" s="25">
        <v>1.1128000000000001E-4</v>
      </c>
      <c r="F4595" s="25">
        <v>1.1493999999999999E-4</v>
      </c>
      <c r="G4595" s="25">
        <v>1.1285000000000001E-4</v>
      </c>
      <c r="H4595" s="25">
        <v>1.3658999999999999E-4</v>
      </c>
      <c r="I4595" s="9">
        <v>8.674E-5</v>
      </c>
      <c r="J4595" s="9">
        <v>8.4560000000000004E-5</v>
      </c>
      <c r="K4595" s="9">
        <v>0</v>
      </c>
      <c r="L4595" s="9">
        <v>3.9730000000000001E-5</v>
      </c>
      <c r="M4595" s="9">
        <v>5.9759999999999997E-5</v>
      </c>
      <c r="N4595" s="9">
        <v>8.0519999999999995E-5</v>
      </c>
      <c r="O4595" s="9">
        <v>1.2218999999999999E-4</v>
      </c>
      <c r="P4595" s="9">
        <v>1.1724E-4</v>
      </c>
      <c r="Q4595" s="9">
        <v>1.1231E-4</v>
      </c>
      <c r="R4595" s="10">
        <v>8.3922289009319732E-5</v>
      </c>
      <c r="S4595" s="10">
        <v>6.5889057163331935E-5</v>
      </c>
      <c r="T4595" s="10">
        <v>1.0189643519521163E-4</v>
      </c>
      <c r="U4595" s="10">
        <v>9.1730000000000004E-5</v>
      </c>
      <c r="V4595" s="25"/>
      <c r="W4595" s="25"/>
      <c r="X4595" s="25"/>
      <c r="Y4595" s="25"/>
      <c r="Z4595" s="25"/>
      <c r="AA4595" s="25"/>
    </row>
    <row r="4596" spans="1:27" x14ac:dyDescent="0.35">
      <c r="A4596" s="5">
        <v>4592</v>
      </c>
      <c r="B4596" s="5">
        <v>192</v>
      </c>
      <c r="C4596" s="5">
        <v>7</v>
      </c>
      <c r="D4596" s="25">
        <v>1.1415000000000001E-4</v>
      </c>
      <c r="E4596" s="25">
        <v>1.0967999999999999E-4</v>
      </c>
      <c r="F4596" s="25">
        <v>1.1765999999999999E-4</v>
      </c>
      <c r="G4596" s="25">
        <v>1.6360999999999999E-4</v>
      </c>
      <c r="H4596" s="25">
        <v>1.8828000000000001E-4</v>
      </c>
      <c r="I4596" s="9">
        <v>9.0849999999999999E-5</v>
      </c>
      <c r="J4596" s="9">
        <v>8.988E-5</v>
      </c>
      <c r="K4596" s="9">
        <v>0</v>
      </c>
      <c r="L4596" s="9">
        <v>1.0344E-4</v>
      </c>
      <c r="M4596" s="9">
        <v>8.3380000000000005E-5</v>
      </c>
      <c r="N4596" s="9">
        <v>9.0600000000000007E-5</v>
      </c>
      <c r="O4596" s="9">
        <v>2.1736999999999999E-4</v>
      </c>
      <c r="P4596" s="9">
        <v>1.7687000000000001E-4</v>
      </c>
      <c r="Q4596" s="9">
        <v>1.3663E-4</v>
      </c>
      <c r="R4596" s="10">
        <v>7.4530903329836246E-5</v>
      </c>
      <c r="S4596" s="10">
        <v>5.2403280556509129E-5</v>
      </c>
      <c r="T4596" s="10">
        <v>2.2805796653183088E-4</v>
      </c>
      <c r="U4596" s="10">
        <v>9.1730000000000004E-5</v>
      </c>
      <c r="V4596" s="25"/>
      <c r="W4596" s="25"/>
      <c r="X4596" s="25"/>
      <c r="Y4596" s="25"/>
      <c r="Z4596" s="25"/>
      <c r="AA4596" s="25"/>
    </row>
    <row r="4597" spans="1:27" x14ac:dyDescent="0.35">
      <c r="A4597" s="5">
        <v>4593</v>
      </c>
      <c r="B4597" s="5">
        <v>192</v>
      </c>
      <c r="C4597" s="5">
        <v>7</v>
      </c>
      <c r="D4597" s="25">
        <v>1.1416E-4</v>
      </c>
      <c r="E4597" s="25">
        <v>1.1087E-4</v>
      </c>
      <c r="F4597" s="25">
        <v>1.1178E-4</v>
      </c>
      <c r="G4597" s="25">
        <v>1.6150999999999999E-4</v>
      </c>
      <c r="H4597" s="25">
        <v>1.8966E-4</v>
      </c>
      <c r="I4597" s="9">
        <v>9.5870000000000002E-5</v>
      </c>
      <c r="J4597" s="9">
        <v>9.4640000000000002E-5</v>
      </c>
      <c r="K4597" s="9">
        <v>0</v>
      </c>
      <c r="L4597" s="9">
        <v>1.9055999999999999E-4</v>
      </c>
      <c r="M4597" s="9">
        <v>1.2315000000000001E-4</v>
      </c>
      <c r="N4597" s="9">
        <v>1.0433E-4</v>
      </c>
      <c r="O4597" s="9">
        <v>2.0725999999999999E-4</v>
      </c>
      <c r="P4597" s="9">
        <v>1.9124999999999999E-4</v>
      </c>
      <c r="Q4597" s="9">
        <v>1.7515E-4</v>
      </c>
      <c r="R4597" s="10">
        <v>4.2724310623695961E-5</v>
      </c>
      <c r="S4597" s="10">
        <v>5.7789644528110501E-5</v>
      </c>
      <c r="T4597" s="10">
        <v>4.4675775088045459E-4</v>
      </c>
      <c r="U4597" s="10">
        <v>9.1730000000000004E-5</v>
      </c>
      <c r="V4597" s="25"/>
      <c r="W4597" s="25"/>
      <c r="X4597" s="25"/>
      <c r="Y4597" s="25"/>
      <c r="Z4597" s="25"/>
      <c r="AA4597" s="25"/>
    </row>
    <row r="4598" spans="1:27" x14ac:dyDescent="0.35">
      <c r="A4598" s="5">
        <v>4594</v>
      </c>
      <c r="B4598" s="5">
        <v>192</v>
      </c>
      <c r="C4598" s="5">
        <v>7</v>
      </c>
      <c r="D4598" s="25">
        <v>1.1415000000000001E-4</v>
      </c>
      <c r="E4598" s="25">
        <v>1.1054E-4</v>
      </c>
      <c r="F4598" s="25">
        <v>1.1033E-4</v>
      </c>
      <c r="G4598" s="25">
        <v>1.6473E-4</v>
      </c>
      <c r="H4598" s="25">
        <v>1.9741999999999999E-4</v>
      </c>
      <c r="I4598" s="9">
        <v>9.8239999999999995E-5</v>
      </c>
      <c r="J4598" s="9">
        <v>9.8170000000000004E-5</v>
      </c>
      <c r="K4598" s="9">
        <v>0</v>
      </c>
      <c r="L4598" s="9">
        <v>2.0129999999999999E-4</v>
      </c>
      <c r="M4598" s="9">
        <v>1.5775000000000001E-4</v>
      </c>
      <c r="N4598" s="9">
        <v>1.2399000000000001E-4</v>
      </c>
      <c r="O4598" s="9">
        <v>1.6519000000000001E-4</v>
      </c>
      <c r="P4598" s="9">
        <v>1.7349999999999999E-4</v>
      </c>
      <c r="Q4598" s="9">
        <v>1.8148E-4</v>
      </c>
      <c r="R4598" s="10">
        <v>2.1450834024292957E-5</v>
      </c>
      <c r="S4598" s="10">
        <v>6.0750608089151725E-5</v>
      </c>
      <c r="T4598" s="10">
        <v>4.4773344530572097E-4</v>
      </c>
      <c r="U4598" s="10">
        <v>9.1730000000000004E-5</v>
      </c>
      <c r="V4598" s="25"/>
      <c r="W4598" s="25"/>
      <c r="X4598" s="25"/>
      <c r="Y4598" s="25"/>
      <c r="Z4598" s="25"/>
      <c r="AA4598" s="25"/>
    </row>
    <row r="4599" spans="1:27" x14ac:dyDescent="0.35">
      <c r="A4599" s="5">
        <v>4595</v>
      </c>
      <c r="B4599" s="5">
        <v>192</v>
      </c>
      <c r="C4599" s="5">
        <v>7</v>
      </c>
      <c r="D4599" s="25">
        <v>1.1416E-4</v>
      </c>
      <c r="E4599" s="25">
        <v>1.1216E-4</v>
      </c>
      <c r="F4599" s="25">
        <v>1.071E-4</v>
      </c>
      <c r="G4599" s="25">
        <v>1.64E-4</v>
      </c>
      <c r="H4599" s="25">
        <v>1.9992E-4</v>
      </c>
      <c r="I4599" s="9">
        <v>1.0008E-4</v>
      </c>
      <c r="J4599" s="9">
        <v>9.9770000000000002E-5</v>
      </c>
      <c r="K4599" s="9">
        <v>0</v>
      </c>
      <c r="L4599" s="9">
        <v>1.7325000000000001E-4</v>
      </c>
      <c r="M4599" s="9">
        <v>1.7139999999999999E-4</v>
      </c>
      <c r="N4599" s="9">
        <v>1.4200000000000001E-4</v>
      </c>
      <c r="O4599" s="9">
        <v>1.6553999999999999E-4</v>
      </c>
      <c r="P4599" s="9">
        <v>1.7252000000000001E-4</v>
      </c>
      <c r="Q4599" s="9">
        <v>1.7919E-4</v>
      </c>
      <c r="R4599" s="10">
        <v>1.4563891964797068E-5</v>
      </c>
      <c r="S4599" s="10">
        <v>6.6843662412304259E-5</v>
      </c>
      <c r="T4599" s="10">
        <v>6.669762248127537E-4</v>
      </c>
      <c r="U4599" s="10">
        <v>9.1730000000000004E-5</v>
      </c>
      <c r="V4599" s="25"/>
      <c r="W4599" s="25"/>
      <c r="X4599" s="25"/>
      <c r="Y4599" s="25"/>
      <c r="Z4599" s="25"/>
      <c r="AA4599" s="25"/>
    </row>
    <row r="4600" spans="1:27" x14ac:dyDescent="0.35">
      <c r="A4600" s="5">
        <v>4596</v>
      </c>
      <c r="B4600" s="5">
        <v>192</v>
      </c>
      <c r="C4600" s="5">
        <v>7</v>
      </c>
      <c r="D4600" s="25">
        <v>1.1415000000000001E-4</v>
      </c>
      <c r="E4600" s="25">
        <v>1.1211E-4</v>
      </c>
      <c r="F4600" s="25">
        <v>1.1629999999999999E-4</v>
      </c>
      <c r="G4600" s="25">
        <v>1.63E-4</v>
      </c>
      <c r="H4600" s="25">
        <v>1.8869000000000001E-4</v>
      </c>
      <c r="I4600" s="9">
        <v>1.0007E-4</v>
      </c>
      <c r="J4600" s="9">
        <v>1.0063E-4</v>
      </c>
      <c r="K4600" s="9">
        <v>0</v>
      </c>
      <c r="L4600" s="9">
        <v>1.6861E-4</v>
      </c>
      <c r="M4600" s="9">
        <v>1.7412999999999999E-4</v>
      </c>
      <c r="N4600" s="9">
        <v>1.5611999999999999E-4</v>
      </c>
      <c r="O4600" s="9">
        <v>1.6875000000000001E-4</v>
      </c>
      <c r="P4600" s="9">
        <v>1.7168000000000001E-4</v>
      </c>
      <c r="Q4600" s="9">
        <v>1.7435000000000001E-4</v>
      </c>
      <c r="R4600" s="10">
        <v>9.407852053661901E-6</v>
      </c>
      <c r="S4600" s="10">
        <v>4.7770541324260358E-5</v>
      </c>
      <c r="T4600" s="10">
        <v>6.9141949124051439E-4</v>
      </c>
      <c r="U4600" s="10">
        <v>9.1730000000000004E-5</v>
      </c>
      <c r="V4600" s="25"/>
      <c r="W4600" s="25"/>
      <c r="X4600" s="25"/>
      <c r="Y4600" s="25"/>
      <c r="Z4600" s="25"/>
      <c r="AA4600" s="25"/>
    </row>
    <row r="4601" spans="1:27" x14ac:dyDescent="0.35">
      <c r="A4601" s="5">
        <v>4597</v>
      </c>
      <c r="B4601" s="5">
        <v>192</v>
      </c>
      <c r="C4601" s="5">
        <v>7</v>
      </c>
      <c r="D4601" s="25">
        <v>1.1416E-4</v>
      </c>
      <c r="E4601" s="25">
        <v>1.1065000000000001E-4</v>
      </c>
      <c r="F4601" s="25">
        <v>1.0895000000000001E-4</v>
      </c>
      <c r="G4601" s="25">
        <v>1.6589E-4</v>
      </c>
      <c r="H4601" s="25">
        <v>1.8877E-4</v>
      </c>
      <c r="I4601" s="9">
        <v>9.7180000000000001E-5</v>
      </c>
      <c r="J4601" s="9">
        <v>9.9679999999999994E-5</v>
      </c>
      <c r="K4601" s="9">
        <v>0</v>
      </c>
      <c r="L4601" s="9">
        <v>1.6886000000000001E-4</v>
      </c>
      <c r="M4601" s="9">
        <v>1.7348E-4</v>
      </c>
      <c r="N4601" s="9">
        <v>1.6574E-4</v>
      </c>
      <c r="O4601" s="9">
        <v>1.5979000000000001E-4</v>
      </c>
      <c r="P4601" s="9">
        <v>1.6342E-4</v>
      </c>
      <c r="Q4601" s="9">
        <v>1.6679999999999999E-4</v>
      </c>
      <c r="R4601" s="10">
        <v>1.0382296665419654E-5</v>
      </c>
      <c r="S4601" s="10">
        <v>4.5121291097509857E-5</v>
      </c>
      <c r="T4601" s="10">
        <v>6.8872148404716899E-4</v>
      </c>
      <c r="U4601" s="10">
        <v>9.1730000000000004E-5</v>
      </c>
      <c r="V4601" s="25"/>
      <c r="W4601" s="25"/>
      <c r="X4601" s="25"/>
      <c r="Y4601" s="25"/>
      <c r="Z4601" s="25"/>
      <c r="AA4601" s="25"/>
    </row>
    <row r="4602" spans="1:27" x14ac:dyDescent="0.35">
      <c r="A4602" s="5">
        <v>4598</v>
      </c>
      <c r="B4602" s="5">
        <v>192</v>
      </c>
      <c r="C4602" s="5">
        <v>7</v>
      </c>
      <c r="D4602" s="25">
        <v>1.1415000000000001E-4</v>
      </c>
      <c r="E4602" s="25">
        <v>1.0881E-4</v>
      </c>
      <c r="F4602" s="25">
        <v>1.106E-4</v>
      </c>
      <c r="G4602" s="25">
        <v>1.6296999999999999E-4</v>
      </c>
      <c r="H4602" s="25">
        <v>1.9792E-4</v>
      </c>
      <c r="I4602" s="9">
        <v>9.4519999999999996E-5</v>
      </c>
      <c r="J4602" s="9">
        <v>9.8649999999999999E-5</v>
      </c>
      <c r="K4602" s="9">
        <v>0</v>
      </c>
      <c r="L4602" s="9">
        <v>1.6153000000000001E-4</v>
      </c>
      <c r="M4602" s="9">
        <v>1.6965E-4</v>
      </c>
      <c r="N4602" s="9">
        <v>1.7003999999999999E-4</v>
      </c>
      <c r="O4602" s="9">
        <v>1.7819999999999999E-4</v>
      </c>
      <c r="P4602" s="9">
        <v>1.7022000000000001E-4</v>
      </c>
      <c r="Q4602" s="9">
        <v>1.6212999999999999E-4</v>
      </c>
      <c r="R4602" s="10">
        <v>1.2055334703027178E-5</v>
      </c>
      <c r="S4602" s="10">
        <v>4.1653045176575713E-5</v>
      </c>
      <c r="T4602" s="10">
        <v>6.555393892887615E-4</v>
      </c>
      <c r="U4602" s="10">
        <v>9.1730000000000004E-5</v>
      </c>
      <c r="V4602" s="25"/>
      <c r="W4602" s="25"/>
      <c r="X4602" s="25"/>
      <c r="Y4602" s="25"/>
      <c r="Z4602" s="25"/>
      <c r="AA4602" s="25"/>
    </row>
    <row r="4603" spans="1:27" x14ac:dyDescent="0.35">
      <c r="A4603" s="5">
        <v>4599</v>
      </c>
      <c r="B4603" s="5">
        <v>192</v>
      </c>
      <c r="C4603" s="5">
        <v>7</v>
      </c>
      <c r="D4603" s="25">
        <v>1.1416E-4</v>
      </c>
      <c r="E4603" s="25">
        <v>1.1341E-4</v>
      </c>
      <c r="F4603" s="25">
        <v>1.1327E-4</v>
      </c>
      <c r="G4603" s="25">
        <v>1.5652999999999999E-4</v>
      </c>
      <c r="H4603" s="25">
        <v>1.9087999999999999E-4</v>
      </c>
      <c r="I4603" s="9">
        <v>9.4069999999999999E-5</v>
      </c>
      <c r="J4603" s="9">
        <v>9.8670000000000002E-5</v>
      </c>
      <c r="K4603" s="9">
        <v>0</v>
      </c>
      <c r="L4603" s="9">
        <v>1.7471000000000001E-4</v>
      </c>
      <c r="M4603" s="9">
        <v>1.6875000000000001E-4</v>
      </c>
      <c r="N4603" s="9">
        <v>1.7000000000000001E-4</v>
      </c>
      <c r="O4603" s="9">
        <v>1.8123999999999999E-4</v>
      </c>
      <c r="P4603" s="9">
        <v>1.6662E-4</v>
      </c>
      <c r="Q4603" s="9">
        <v>1.5197999999999999E-4</v>
      </c>
      <c r="R4603" s="10">
        <v>1.7073665342978111E-5</v>
      </c>
      <c r="S4603" s="10">
        <v>4.0418664047811657E-5</v>
      </c>
      <c r="T4603" s="10">
        <v>5.877074159843722E-4</v>
      </c>
      <c r="U4603" s="10">
        <v>9.1730000000000004E-5</v>
      </c>
      <c r="V4603" s="25"/>
      <c r="W4603" s="25"/>
      <c r="X4603" s="25"/>
      <c r="Y4603" s="25"/>
      <c r="Z4603" s="25"/>
      <c r="AA4603" s="25"/>
    </row>
    <row r="4604" spans="1:27" x14ac:dyDescent="0.35">
      <c r="A4604" s="5">
        <v>4600</v>
      </c>
      <c r="B4604" s="5">
        <v>192</v>
      </c>
      <c r="C4604" s="5">
        <v>7</v>
      </c>
      <c r="D4604" s="25">
        <v>1.1415000000000001E-4</v>
      </c>
      <c r="E4604" s="25">
        <v>1.0539000000000001E-4</v>
      </c>
      <c r="F4604" s="25">
        <v>1.0218E-4</v>
      </c>
      <c r="G4604" s="25">
        <v>1.6532E-4</v>
      </c>
      <c r="H4604" s="25">
        <v>1.9436E-4</v>
      </c>
      <c r="I4604" s="9">
        <v>9.3759999999999997E-5</v>
      </c>
      <c r="J4604" s="9">
        <v>1.0083E-4</v>
      </c>
      <c r="K4604" s="9">
        <v>0</v>
      </c>
      <c r="L4604" s="9">
        <v>1.7945999999999999E-4</v>
      </c>
      <c r="M4604" s="9">
        <v>1.6784999999999999E-4</v>
      </c>
      <c r="N4604" s="9">
        <v>1.6608000000000001E-4</v>
      </c>
      <c r="O4604" s="9">
        <v>1.9663999999999999E-4</v>
      </c>
      <c r="P4604" s="9">
        <v>1.5332E-4</v>
      </c>
      <c r="Q4604" s="9">
        <v>1.1038E-4</v>
      </c>
      <c r="R4604" s="10">
        <v>2.9500060349753554E-5</v>
      </c>
      <c r="S4604" s="10">
        <v>4.0344858931571192E-5</v>
      </c>
      <c r="T4604" s="10">
        <v>4.7588435054949372E-4</v>
      </c>
      <c r="U4604" s="10">
        <v>9.1730000000000004E-5</v>
      </c>
      <c r="V4604" s="25"/>
      <c r="W4604" s="25"/>
      <c r="X4604" s="25"/>
      <c r="Y4604" s="25"/>
      <c r="Z4604" s="25"/>
      <c r="AA4604" s="25"/>
    </row>
    <row r="4605" spans="1:27" x14ac:dyDescent="0.35">
      <c r="A4605" s="5">
        <v>4601</v>
      </c>
      <c r="B4605" s="5">
        <v>192</v>
      </c>
      <c r="C4605" s="5">
        <v>7</v>
      </c>
      <c r="D4605" s="25">
        <v>1.1416E-4</v>
      </c>
      <c r="E4605" s="25">
        <v>1.0635E-4</v>
      </c>
      <c r="F4605" s="25">
        <v>1.1959E-4</v>
      </c>
      <c r="G4605" s="25">
        <v>1.604E-4</v>
      </c>
      <c r="H4605" s="25">
        <v>1.9387000000000001E-4</v>
      </c>
      <c r="I4605" s="9">
        <v>9.5379999999999998E-5</v>
      </c>
      <c r="J4605" s="9">
        <v>1.0507E-4</v>
      </c>
      <c r="K4605" s="9">
        <v>0</v>
      </c>
      <c r="L4605" s="9">
        <v>1.9267000000000001E-4</v>
      </c>
      <c r="M4605" s="9">
        <v>1.6247000000000001E-4</v>
      </c>
      <c r="N4605" s="9">
        <v>1.5255999999999999E-4</v>
      </c>
      <c r="O4605" s="9">
        <v>2.1107999999999999E-4</v>
      </c>
      <c r="P4605" s="9">
        <v>1.5867E-4</v>
      </c>
      <c r="Q4605" s="9">
        <v>1.0671999999999999E-4</v>
      </c>
      <c r="R4605" s="10">
        <v>5.7211993901382648E-5</v>
      </c>
      <c r="S4605" s="10">
        <v>4.0725493345795288E-5</v>
      </c>
      <c r="T4605" s="10">
        <v>3.3560494509423739E-4</v>
      </c>
      <c r="U4605" s="10">
        <v>9.1730000000000004E-5</v>
      </c>
      <c r="V4605" s="25"/>
      <c r="W4605" s="25"/>
      <c r="X4605" s="25"/>
      <c r="Y4605" s="25"/>
      <c r="Z4605" s="25"/>
      <c r="AA4605" s="25"/>
    </row>
    <row r="4606" spans="1:27" x14ac:dyDescent="0.35">
      <c r="A4606" s="5">
        <v>4602</v>
      </c>
      <c r="B4606" s="5">
        <v>192</v>
      </c>
      <c r="C4606" s="5">
        <v>7</v>
      </c>
      <c r="D4606" s="25">
        <v>1.1415000000000001E-4</v>
      </c>
      <c r="E4606" s="25">
        <v>1.0689E-4</v>
      </c>
      <c r="F4606" s="25">
        <v>1.0774E-4</v>
      </c>
      <c r="G4606" s="25">
        <v>1.5979000000000001E-4</v>
      </c>
      <c r="H4606" s="25">
        <v>1.8760000000000001E-4</v>
      </c>
      <c r="I4606" s="9">
        <v>9.747E-5</v>
      </c>
      <c r="J4606" s="9">
        <v>1.0712E-4</v>
      </c>
      <c r="K4606" s="9">
        <v>0</v>
      </c>
      <c r="L4606" s="9">
        <v>2.0677E-4</v>
      </c>
      <c r="M4606" s="9">
        <v>1.5961E-4</v>
      </c>
      <c r="N4606" s="9">
        <v>1.3914E-4</v>
      </c>
      <c r="O4606" s="9">
        <v>2.0252000000000001E-4</v>
      </c>
      <c r="P4606" s="9">
        <v>1.5965E-4</v>
      </c>
      <c r="Q4606" s="9">
        <v>1.1713E-4</v>
      </c>
      <c r="R4606" s="10">
        <v>9.1732885322341854E-5</v>
      </c>
      <c r="S4606" s="10">
        <v>3.5702888642828253E-5</v>
      </c>
      <c r="T4606" s="10">
        <v>1.6535899433427767E-4</v>
      </c>
      <c r="U4606" s="10">
        <v>9.1730000000000004E-5</v>
      </c>
      <c r="V4606" s="25"/>
      <c r="W4606" s="25"/>
      <c r="X4606" s="25"/>
      <c r="Y4606" s="25"/>
      <c r="Z4606" s="25"/>
      <c r="AA4606" s="25"/>
    </row>
    <row r="4607" spans="1:27" x14ac:dyDescent="0.35">
      <c r="A4607" s="5">
        <v>4603</v>
      </c>
      <c r="B4607" s="5">
        <v>192</v>
      </c>
      <c r="C4607" s="5">
        <v>7</v>
      </c>
      <c r="D4607" s="25">
        <v>1.1416E-4</v>
      </c>
      <c r="E4607" s="25">
        <v>1.0912999999999999E-4</v>
      </c>
      <c r="F4607" s="25">
        <v>1.1551E-4</v>
      </c>
      <c r="G4607" s="25">
        <v>1.1527999999999999E-4</v>
      </c>
      <c r="H4607" s="25">
        <v>1.2872E-4</v>
      </c>
      <c r="I4607" s="9">
        <v>9.8579999999999995E-5</v>
      </c>
      <c r="J4607" s="9">
        <v>1.0698E-4</v>
      </c>
      <c r="K4607" s="9">
        <v>0</v>
      </c>
      <c r="L4607" s="9">
        <v>2.0309000000000001E-4</v>
      </c>
      <c r="M4607" s="9">
        <v>1.5903E-4</v>
      </c>
      <c r="N4607" s="9">
        <v>1.2996000000000001E-4</v>
      </c>
      <c r="O4607" s="9">
        <v>1.6317999999999999E-4</v>
      </c>
      <c r="P4607" s="9">
        <v>1.3506999999999999E-4</v>
      </c>
      <c r="Q4607" s="9">
        <v>1.072E-4</v>
      </c>
      <c r="R4607" s="10">
        <v>1.049715704114311E-4</v>
      </c>
      <c r="S4607" s="10">
        <v>3.1878908902213233E-5</v>
      </c>
      <c r="T4607" s="10">
        <v>5.5521254947332626E-5</v>
      </c>
      <c r="U4607" s="10">
        <v>9.1730000000000004E-5</v>
      </c>
      <c r="V4607" s="25"/>
      <c r="W4607" s="25"/>
      <c r="X4607" s="25"/>
      <c r="Y4607" s="25"/>
      <c r="Z4607" s="25"/>
      <c r="AA4607" s="25"/>
    </row>
    <row r="4608" spans="1:27" x14ac:dyDescent="0.35">
      <c r="A4608" s="5">
        <v>4604</v>
      </c>
      <c r="B4608" s="5">
        <v>192</v>
      </c>
      <c r="C4608" s="5">
        <v>7</v>
      </c>
      <c r="D4608" s="25">
        <v>1.1415000000000001E-4</v>
      </c>
      <c r="E4608" s="25">
        <v>1.098E-4</v>
      </c>
      <c r="F4608" s="25">
        <v>1.1946E-4</v>
      </c>
      <c r="G4608" s="25">
        <v>1.1194E-4</v>
      </c>
      <c r="H4608" s="25">
        <v>1.2526E-4</v>
      </c>
      <c r="I4608" s="9">
        <v>9.8490000000000001E-5</v>
      </c>
      <c r="J4608" s="9">
        <v>1.0641000000000001E-4</v>
      </c>
      <c r="K4608" s="9">
        <v>0</v>
      </c>
      <c r="L4608" s="9">
        <v>1.7213999999999999E-4</v>
      </c>
      <c r="M4608" s="9">
        <v>1.5042000000000001E-4</v>
      </c>
      <c r="N4608" s="9">
        <v>1.2082999999999999E-4</v>
      </c>
      <c r="O4608" s="9">
        <v>1.2894999999999999E-4</v>
      </c>
      <c r="P4608" s="9">
        <v>1.1576E-4</v>
      </c>
      <c r="Q4608" s="9">
        <v>1.0268999999999999E-4</v>
      </c>
      <c r="R4608" s="10">
        <v>1.0062149264814154E-4</v>
      </c>
      <c r="S4608" s="10">
        <v>3.6653518668313217E-5</v>
      </c>
      <c r="T4608" s="10">
        <v>8.3230976624898097E-6</v>
      </c>
      <c r="U4608" s="10">
        <v>9.1730000000000004E-5</v>
      </c>
      <c r="V4608" s="25"/>
      <c r="W4608" s="25"/>
      <c r="X4608" s="25"/>
      <c r="Y4608" s="25"/>
      <c r="Z4608" s="25"/>
      <c r="AA4608" s="25"/>
    </row>
    <row r="4609" spans="1:27" x14ac:dyDescent="0.35">
      <c r="A4609" s="5">
        <v>4605</v>
      </c>
      <c r="B4609" s="5">
        <v>192</v>
      </c>
      <c r="C4609" s="5">
        <v>7</v>
      </c>
      <c r="D4609" s="25">
        <v>1.1416E-4</v>
      </c>
      <c r="E4609" s="25">
        <v>1.0703E-4</v>
      </c>
      <c r="F4609" s="25">
        <v>1.0889E-4</v>
      </c>
      <c r="G4609" s="25">
        <v>6.0059999999999998E-5</v>
      </c>
      <c r="H4609" s="25">
        <v>6.7349999999999997E-5</v>
      </c>
      <c r="I4609" s="9">
        <v>9.8300000000000004E-5</v>
      </c>
      <c r="J4609" s="9">
        <v>1.0499E-4</v>
      </c>
      <c r="K4609" s="9">
        <v>0</v>
      </c>
      <c r="L4609" s="9">
        <v>1.3941E-4</v>
      </c>
      <c r="M4609" s="9">
        <v>1.3553999999999999E-4</v>
      </c>
      <c r="N4609" s="9">
        <v>1.1333E-4</v>
      </c>
      <c r="O4609" s="9">
        <v>8.407E-5</v>
      </c>
      <c r="P4609" s="9">
        <v>8.6030000000000001E-5</v>
      </c>
      <c r="Q4609" s="9">
        <v>8.8020000000000001E-5</v>
      </c>
      <c r="R4609" s="10">
        <v>1.0081039163385912E-4</v>
      </c>
      <c r="S4609" s="10">
        <v>4.8978398024109146E-5</v>
      </c>
      <c r="T4609" s="10">
        <v>0</v>
      </c>
      <c r="U4609" s="10">
        <v>9.1730000000000004E-5</v>
      </c>
      <c r="V4609" s="25"/>
      <c r="W4609" s="25"/>
      <c r="X4609" s="25"/>
      <c r="Y4609" s="25"/>
      <c r="Z4609" s="25"/>
      <c r="AA4609" s="25"/>
    </row>
    <row r="4610" spans="1:27" x14ac:dyDescent="0.35">
      <c r="A4610" s="5">
        <v>4606</v>
      </c>
      <c r="B4610" s="5">
        <v>192</v>
      </c>
      <c r="C4610" s="5">
        <v>7</v>
      </c>
      <c r="D4610" s="25">
        <v>1.1415000000000001E-4</v>
      </c>
      <c r="E4610" s="25">
        <v>1.0901E-4</v>
      </c>
      <c r="F4610" s="25">
        <v>1.063E-4</v>
      </c>
      <c r="G4610" s="25">
        <v>5.2410000000000001E-5</v>
      </c>
      <c r="H4610" s="25">
        <v>6.2379999999999996E-5</v>
      </c>
      <c r="I4610" s="9">
        <v>1.0283E-4</v>
      </c>
      <c r="J4610" s="9">
        <v>1.0669E-4</v>
      </c>
      <c r="K4610" s="9">
        <v>0</v>
      </c>
      <c r="L4610" s="9">
        <v>9.7120000000000005E-5</v>
      </c>
      <c r="M4610" s="9">
        <v>1.139E-4</v>
      </c>
      <c r="N4610" s="9">
        <v>1.0565000000000001E-4</v>
      </c>
      <c r="O4610" s="9">
        <v>8.7260000000000001E-5</v>
      </c>
      <c r="P4610" s="9">
        <v>8.7880000000000006E-5</v>
      </c>
      <c r="Q4610" s="9">
        <v>8.8529999999999994E-5</v>
      </c>
      <c r="R4610" s="10">
        <v>8.9876779504082489E-5</v>
      </c>
      <c r="S4610" s="10">
        <v>4.9504024380328193E-5</v>
      </c>
      <c r="T4610" s="10">
        <v>0</v>
      </c>
      <c r="U4610" s="10">
        <v>9.1730000000000004E-5</v>
      </c>
      <c r="V4610" s="25"/>
      <c r="W4610" s="25"/>
      <c r="X4610" s="25"/>
      <c r="Y4610" s="25"/>
      <c r="Z4610" s="25"/>
      <c r="AA4610" s="25"/>
    </row>
    <row r="4611" spans="1:27" x14ac:dyDescent="0.35">
      <c r="A4611" s="5">
        <v>4607</v>
      </c>
      <c r="B4611" s="5">
        <v>192</v>
      </c>
      <c r="C4611" s="5">
        <v>7</v>
      </c>
      <c r="D4611" s="25">
        <v>1.1416E-4</v>
      </c>
      <c r="E4611" s="25">
        <v>1.1341999999999999E-4</v>
      </c>
      <c r="F4611" s="25">
        <v>1.0919E-4</v>
      </c>
      <c r="G4611" s="25">
        <v>5.5210000000000002E-5</v>
      </c>
      <c r="H4611" s="25">
        <v>7.4339999999999996E-5</v>
      </c>
      <c r="I4611" s="9">
        <v>9.9209999999999994E-5</v>
      </c>
      <c r="J4611" s="9">
        <v>1.0298000000000001E-4</v>
      </c>
      <c r="K4611" s="9">
        <v>0</v>
      </c>
      <c r="L4611" s="9">
        <v>9.0389999999999993E-5</v>
      </c>
      <c r="M4611" s="9">
        <v>9.9199999999999999E-5</v>
      </c>
      <c r="N4611" s="9">
        <v>9.9920000000000006E-5</v>
      </c>
      <c r="O4611" s="9">
        <v>7.8150000000000002E-5</v>
      </c>
      <c r="P4611" s="9">
        <v>7.2700000000000005E-5</v>
      </c>
      <c r="Q4611" s="9">
        <v>6.7409999999999993E-5</v>
      </c>
      <c r="R4611" s="10">
        <v>8.2368665222879665E-5</v>
      </c>
      <c r="S4611" s="10">
        <v>5.1661273597797506E-5</v>
      </c>
      <c r="T4611" s="10">
        <v>0</v>
      </c>
      <c r="U4611" s="10">
        <v>9.1730000000000004E-5</v>
      </c>
      <c r="V4611" s="25"/>
      <c r="W4611" s="25"/>
      <c r="X4611" s="25"/>
      <c r="Y4611" s="25"/>
      <c r="Z4611" s="25"/>
      <c r="AA4611" s="25"/>
    </row>
    <row r="4612" spans="1:27" x14ac:dyDescent="0.35">
      <c r="A4612" s="5">
        <v>4608</v>
      </c>
      <c r="B4612" s="5">
        <v>192</v>
      </c>
      <c r="C4612" s="5">
        <v>7</v>
      </c>
      <c r="D4612" s="25">
        <v>1.1415000000000001E-4</v>
      </c>
      <c r="E4612" s="25">
        <v>1.1294E-4</v>
      </c>
      <c r="F4612" s="25">
        <v>1.1566E-4</v>
      </c>
      <c r="G4612" s="25">
        <v>5.9790000000000002E-5</v>
      </c>
      <c r="H4612" s="25">
        <v>6.9579999999999995E-5</v>
      </c>
      <c r="I4612" s="9">
        <v>9.323E-5</v>
      </c>
      <c r="J4612" s="9">
        <v>9.6860000000000004E-5</v>
      </c>
      <c r="K4612" s="9">
        <v>0</v>
      </c>
      <c r="L4612" s="9">
        <v>8.0829999999999997E-5</v>
      </c>
      <c r="M4612" s="9">
        <v>8.6429999999999997E-5</v>
      </c>
      <c r="N4612" s="9">
        <v>9.077E-5</v>
      </c>
      <c r="O4612" s="9">
        <v>6.2869999999999999E-5</v>
      </c>
      <c r="P4612" s="9">
        <v>6.0890000000000001E-5</v>
      </c>
      <c r="Q4612" s="9">
        <v>5.9070000000000002E-5</v>
      </c>
      <c r="R4612" s="10">
        <v>6.7175482002413656E-5</v>
      </c>
      <c r="S4612" s="10">
        <v>4.6420898047628523E-5</v>
      </c>
      <c r="T4612" s="10">
        <v>0</v>
      </c>
      <c r="U4612" s="10">
        <v>9.1730000000000004E-5</v>
      </c>
      <c r="V4612" s="25"/>
      <c r="W4612" s="25"/>
      <c r="X4612" s="25"/>
      <c r="Y4612" s="25"/>
      <c r="Z4612" s="25"/>
      <c r="AA4612" s="25"/>
    </row>
    <row r="4613" spans="1:27" x14ac:dyDescent="0.35">
      <c r="A4613" s="5">
        <v>4609</v>
      </c>
      <c r="B4613" s="5">
        <v>193</v>
      </c>
      <c r="C4613" s="5">
        <v>7</v>
      </c>
      <c r="D4613" s="25">
        <v>1.1416E-4</v>
      </c>
      <c r="E4613" s="25">
        <v>1.175E-4</v>
      </c>
      <c r="F4613" s="25">
        <v>1.2095E-4</v>
      </c>
      <c r="G4613" s="25">
        <v>5.9460000000000003E-5</v>
      </c>
      <c r="H4613" s="25">
        <v>6.5820000000000003E-5</v>
      </c>
      <c r="I4613" s="9">
        <v>8.9599999999999996E-5</v>
      </c>
      <c r="J4613" s="9">
        <v>9.1979999999999997E-5</v>
      </c>
      <c r="K4613" s="9">
        <v>0</v>
      </c>
      <c r="L4613" s="9">
        <v>6.6799999999999997E-5</v>
      </c>
      <c r="M4613" s="9">
        <v>7.4309999999999998E-5</v>
      </c>
      <c r="N4613" s="9">
        <v>8.1390000000000005E-5</v>
      </c>
      <c r="O4613" s="9">
        <v>5.4589999999999997E-5</v>
      </c>
      <c r="P4613" s="9">
        <v>5.401E-5</v>
      </c>
      <c r="Q4613" s="9">
        <v>5.3579999999999999E-5</v>
      </c>
      <c r="R4613" s="10">
        <v>7.3917686206564489E-5</v>
      </c>
      <c r="S4613" s="10">
        <v>3.9683254524881842E-5</v>
      </c>
      <c r="T4613" s="10">
        <v>0</v>
      </c>
      <c r="U4613" s="10">
        <v>9.0080000000000005E-5</v>
      </c>
      <c r="V4613" s="25"/>
      <c r="W4613" s="25"/>
      <c r="X4613" s="25"/>
      <c r="Y4613" s="25"/>
      <c r="Z4613" s="25"/>
      <c r="AA4613" s="25"/>
    </row>
    <row r="4614" spans="1:27" x14ac:dyDescent="0.35">
      <c r="A4614" s="5">
        <v>4610</v>
      </c>
      <c r="B4614" s="5">
        <v>193</v>
      </c>
      <c r="C4614" s="5">
        <v>7</v>
      </c>
      <c r="D4614" s="25">
        <v>1.1415000000000001E-4</v>
      </c>
      <c r="E4614" s="25">
        <v>1.0945E-4</v>
      </c>
      <c r="F4614" s="25">
        <v>1.3091000000000001E-4</v>
      </c>
      <c r="G4614" s="25">
        <v>6.2409999999999994E-5</v>
      </c>
      <c r="H4614" s="25">
        <v>6.6210000000000005E-5</v>
      </c>
      <c r="I4614" s="9">
        <v>8.6769999999999998E-5</v>
      </c>
      <c r="J4614" s="9">
        <v>8.9690000000000004E-5</v>
      </c>
      <c r="K4614" s="9">
        <v>0</v>
      </c>
      <c r="L4614" s="9">
        <v>5.766E-5</v>
      </c>
      <c r="M4614" s="9">
        <v>6.4120000000000003E-5</v>
      </c>
      <c r="N4614" s="9">
        <v>7.2280000000000006E-5</v>
      </c>
      <c r="O4614" s="9">
        <v>1.9170000000000001E-5</v>
      </c>
      <c r="P4614" s="9">
        <v>3.752E-5</v>
      </c>
      <c r="Q4614" s="9">
        <v>5.5840000000000001E-5</v>
      </c>
      <c r="R4614" s="10">
        <v>6.7708143277394001E-5</v>
      </c>
      <c r="S4614" s="10">
        <v>4.3914821508555342E-5</v>
      </c>
      <c r="T4614" s="10">
        <v>0</v>
      </c>
      <c r="U4614" s="10">
        <v>9.0080000000000005E-5</v>
      </c>
      <c r="V4614" s="25"/>
      <c r="W4614" s="25"/>
      <c r="X4614" s="25"/>
      <c r="Y4614" s="25"/>
      <c r="Z4614" s="25"/>
      <c r="AA4614" s="25"/>
    </row>
    <row r="4615" spans="1:27" x14ac:dyDescent="0.35">
      <c r="A4615" s="5">
        <v>4611</v>
      </c>
      <c r="B4615" s="5">
        <v>193</v>
      </c>
      <c r="C4615" s="5">
        <v>7</v>
      </c>
      <c r="D4615" s="25">
        <v>1.1416E-4</v>
      </c>
      <c r="E4615" s="25">
        <v>1.0949E-4</v>
      </c>
      <c r="F4615" s="25">
        <v>1.3626E-4</v>
      </c>
      <c r="G4615" s="25">
        <v>5.9880000000000003E-5</v>
      </c>
      <c r="H4615" s="25">
        <v>7.5669999999999999E-5</v>
      </c>
      <c r="I4615" s="9">
        <v>8.6039999999999996E-5</v>
      </c>
      <c r="J4615" s="9">
        <v>8.9069999999999999E-5</v>
      </c>
      <c r="K4615" s="9">
        <v>0</v>
      </c>
      <c r="L4615" s="9">
        <v>2.7849999999999999E-5</v>
      </c>
      <c r="M4615" s="9">
        <v>5.2210000000000003E-5</v>
      </c>
      <c r="N4615" s="9">
        <v>6.5599999999999995E-5</v>
      </c>
      <c r="O4615" s="9">
        <v>1.3890000000000001E-5</v>
      </c>
      <c r="P4615" s="9">
        <v>3.7780000000000001E-5</v>
      </c>
      <c r="Q4615" s="9">
        <v>6.1589999999999998E-5</v>
      </c>
      <c r="R4615" s="10">
        <v>7.9947345777218339E-5</v>
      </c>
      <c r="S4615" s="10">
        <v>5.0387981135973292E-5</v>
      </c>
      <c r="T4615" s="10">
        <v>0</v>
      </c>
      <c r="U4615" s="10">
        <v>9.0080000000000005E-5</v>
      </c>
      <c r="V4615" s="25"/>
      <c r="W4615" s="25"/>
      <c r="X4615" s="25"/>
      <c r="Y4615" s="25"/>
      <c r="Z4615" s="25"/>
      <c r="AA4615" s="25"/>
    </row>
    <row r="4616" spans="1:27" x14ac:dyDescent="0.35">
      <c r="A4616" s="5">
        <v>4612</v>
      </c>
      <c r="B4616" s="5">
        <v>193</v>
      </c>
      <c r="C4616" s="5">
        <v>7</v>
      </c>
      <c r="D4616" s="25">
        <v>1.1415000000000001E-4</v>
      </c>
      <c r="E4616" s="25">
        <v>1.133E-4</v>
      </c>
      <c r="F4616" s="25">
        <v>1.2659999999999999E-4</v>
      </c>
      <c r="G4616" s="25">
        <v>5.3890000000000001E-5</v>
      </c>
      <c r="H4616" s="25">
        <v>6.7000000000000002E-5</v>
      </c>
      <c r="I4616" s="9">
        <v>8.6929999999999996E-5</v>
      </c>
      <c r="J4616" s="9">
        <v>8.9359999999999998E-5</v>
      </c>
      <c r="K4616" s="9">
        <v>0</v>
      </c>
      <c r="L4616" s="9">
        <v>1.7689999999999998E-5</v>
      </c>
      <c r="M4616" s="9">
        <v>4.4180000000000001E-5</v>
      </c>
      <c r="N4616" s="9">
        <v>6.1970000000000005E-5</v>
      </c>
      <c r="O4616" s="9">
        <v>1.382E-5</v>
      </c>
      <c r="P4616" s="9">
        <v>4.7009999999999999E-5</v>
      </c>
      <c r="Q4616" s="9">
        <v>7.996E-5</v>
      </c>
      <c r="R4616" s="10">
        <v>8.2656731795286033E-5</v>
      </c>
      <c r="S4616" s="10">
        <v>5.6618363484915106E-5</v>
      </c>
      <c r="T4616" s="10">
        <v>0</v>
      </c>
      <c r="U4616" s="10">
        <v>9.0080000000000005E-5</v>
      </c>
      <c r="V4616" s="25"/>
      <c r="W4616" s="25"/>
      <c r="X4616" s="25"/>
      <c r="Y4616" s="25"/>
      <c r="Z4616" s="25"/>
      <c r="AA4616" s="25"/>
    </row>
    <row r="4617" spans="1:27" x14ac:dyDescent="0.35">
      <c r="A4617" s="5">
        <v>4613</v>
      </c>
      <c r="B4617" s="5">
        <v>193</v>
      </c>
      <c r="C4617" s="5">
        <v>7</v>
      </c>
      <c r="D4617" s="25">
        <v>1.1416E-4</v>
      </c>
      <c r="E4617" s="25">
        <v>1.1812E-4</v>
      </c>
      <c r="F4617" s="25">
        <v>1.2457000000000001E-4</v>
      </c>
      <c r="G4617" s="25">
        <v>5.825E-5</v>
      </c>
      <c r="H4617" s="25">
        <v>7.4789999999999994E-5</v>
      </c>
      <c r="I4617" s="9">
        <v>8.9660000000000006E-5</v>
      </c>
      <c r="J4617" s="9">
        <v>9.0820000000000001E-5</v>
      </c>
      <c r="K4617" s="9">
        <v>0</v>
      </c>
      <c r="L4617" s="9">
        <v>1.491E-5</v>
      </c>
      <c r="M4617" s="9">
        <v>4.3399999999999998E-5</v>
      </c>
      <c r="N4617" s="9">
        <v>6.4369999999999995E-5</v>
      </c>
      <c r="O4617" s="9">
        <v>1.9380000000000001E-5</v>
      </c>
      <c r="P4617" s="9">
        <v>5.6879999999999998E-5</v>
      </c>
      <c r="Q4617" s="9">
        <v>9.4060000000000004E-5</v>
      </c>
      <c r="R4617" s="10">
        <v>9.3612381533224323E-5</v>
      </c>
      <c r="S4617" s="10">
        <v>5.4866771612023062E-5</v>
      </c>
      <c r="T4617" s="10">
        <v>0</v>
      </c>
      <c r="U4617" s="10">
        <v>9.0080000000000005E-5</v>
      </c>
      <c r="V4617" s="25"/>
      <c r="W4617" s="25"/>
      <c r="X4617" s="25"/>
      <c r="Y4617" s="25"/>
      <c r="Z4617" s="25"/>
      <c r="AA4617" s="25"/>
    </row>
    <row r="4618" spans="1:27" x14ac:dyDescent="0.35">
      <c r="A4618" s="5">
        <v>4614</v>
      </c>
      <c r="B4618" s="5">
        <v>193</v>
      </c>
      <c r="C4618" s="5">
        <v>7</v>
      </c>
      <c r="D4618" s="25">
        <v>1.1415000000000001E-4</v>
      </c>
      <c r="E4618" s="25">
        <v>1.2089E-4</v>
      </c>
      <c r="F4618" s="25">
        <v>1.2082E-4</v>
      </c>
      <c r="G4618" s="25">
        <v>1.1061999999999999E-4</v>
      </c>
      <c r="H4618" s="25">
        <v>1.3664999999999999E-4</v>
      </c>
      <c r="I4618" s="9">
        <v>9.6680000000000003E-5</v>
      </c>
      <c r="J4618" s="9">
        <v>9.8460000000000003E-5</v>
      </c>
      <c r="K4618" s="9">
        <v>0</v>
      </c>
      <c r="L4618" s="9">
        <v>1.827E-5</v>
      </c>
      <c r="M4618" s="9">
        <v>4.8399999999999997E-5</v>
      </c>
      <c r="N4618" s="9">
        <v>7.1000000000000005E-5</v>
      </c>
      <c r="O4618" s="9">
        <v>4.6709999999999998E-5</v>
      </c>
      <c r="P4618" s="9">
        <v>7.7390000000000003E-5</v>
      </c>
      <c r="Q4618" s="9">
        <v>1.0776E-4</v>
      </c>
      <c r="R4618" s="10">
        <v>1.0528610813500187E-4</v>
      </c>
      <c r="S4618" s="10">
        <v>4.9118680471467042E-5</v>
      </c>
      <c r="T4618" s="10">
        <v>9.1206218014032056E-6</v>
      </c>
      <c r="U4618" s="10">
        <v>9.0080000000000005E-5</v>
      </c>
      <c r="V4618" s="25"/>
      <c r="W4618" s="25"/>
      <c r="X4618" s="25"/>
      <c r="Y4618" s="25"/>
      <c r="Z4618" s="25"/>
      <c r="AA4618" s="25"/>
    </row>
    <row r="4619" spans="1:27" x14ac:dyDescent="0.35">
      <c r="A4619" s="5">
        <v>4615</v>
      </c>
      <c r="B4619" s="5">
        <v>193</v>
      </c>
      <c r="C4619" s="5">
        <v>7</v>
      </c>
      <c r="D4619" s="25">
        <v>1.1416E-4</v>
      </c>
      <c r="E4619" s="25">
        <v>1.1499E-4</v>
      </c>
      <c r="F4619" s="25">
        <v>1.2668999999999999E-4</v>
      </c>
      <c r="G4619" s="25">
        <v>1.1114E-4</v>
      </c>
      <c r="H4619" s="25">
        <v>1.2496E-4</v>
      </c>
      <c r="I4619" s="9">
        <v>1.0627E-4</v>
      </c>
      <c r="J4619" s="9">
        <v>1.1205999999999999E-4</v>
      </c>
      <c r="K4619" s="9">
        <v>0</v>
      </c>
      <c r="L4619" s="9">
        <v>4.0309999999999999E-5</v>
      </c>
      <c r="M4619" s="9">
        <v>6.0250000000000001E-5</v>
      </c>
      <c r="N4619" s="9">
        <v>8.0870000000000003E-5</v>
      </c>
      <c r="O4619" s="9">
        <v>1.225E-4</v>
      </c>
      <c r="P4619" s="9">
        <v>1.1754E-4</v>
      </c>
      <c r="Q4619" s="9">
        <v>1.1259E-4</v>
      </c>
      <c r="R4619" s="10">
        <v>9.8435659165873037E-5</v>
      </c>
      <c r="S4619" s="10">
        <v>4.9988247478143931E-5</v>
      </c>
      <c r="T4619" s="10">
        <v>2.2966998340835792E-5</v>
      </c>
      <c r="U4619" s="10">
        <v>9.0080000000000005E-5</v>
      </c>
      <c r="V4619" s="25"/>
      <c r="W4619" s="25"/>
      <c r="X4619" s="25"/>
      <c r="Y4619" s="25"/>
      <c r="Z4619" s="25"/>
      <c r="AA4619" s="25"/>
    </row>
    <row r="4620" spans="1:27" x14ac:dyDescent="0.35">
      <c r="A4620" s="5">
        <v>4616</v>
      </c>
      <c r="B4620" s="5">
        <v>193</v>
      </c>
      <c r="C4620" s="5">
        <v>7</v>
      </c>
      <c r="D4620" s="25">
        <v>1.1415000000000001E-4</v>
      </c>
      <c r="E4620" s="25">
        <v>1.2035E-4</v>
      </c>
      <c r="F4620" s="25">
        <v>1.3546000000000001E-4</v>
      </c>
      <c r="G4620" s="25">
        <v>1.5700999999999999E-4</v>
      </c>
      <c r="H4620" s="25">
        <v>1.9510999999999999E-4</v>
      </c>
      <c r="I4620" s="9">
        <v>1.142E-4</v>
      </c>
      <c r="J4620" s="9">
        <v>1.2355999999999999E-4</v>
      </c>
      <c r="K4620" s="9">
        <v>0</v>
      </c>
      <c r="L4620" s="9">
        <v>1.038E-4</v>
      </c>
      <c r="M4620" s="9">
        <v>8.3930000000000004E-5</v>
      </c>
      <c r="N4620" s="9">
        <v>9.1000000000000003E-5</v>
      </c>
      <c r="O4620" s="9">
        <v>2.1582E-4</v>
      </c>
      <c r="P4620" s="9">
        <v>1.7560000000000001E-4</v>
      </c>
      <c r="Q4620" s="9">
        <v>1.3564999999999999E-4</v>
      </c>
      <c r="R4620" s="10">
        <v>7.9089219262434856E-5</v>
      </c>
      <c r="S4620" s="10">
        <v>6.1565256169326051E-5</v>
      </c>
      <c r="T4620" s="10">
        <v>1.1354537820295731E-4</v>
      </c>
      <c r="U4620" s="10">
        <v>9.0080000000000005E-5</v>
      </c>
      <c r="V4620" s="25"/>
      <c r="W4620" s="25"/>
      <c r="X4620" s="25"/>
      <c r="Y4620" s="25"/>
      <c r="Z4620" s="25"/>
      <c r="AA4620" s="25"/>
    </row>
    <row r="4621" spans="1:27" x14ac:dyDescent="0.35">
      <c r="A4621" s="5">
        <v>4617</v>
      </c>
      <c r="B4621" s="5">
        <v>193</v>
      </c>
      <c r="C4621" s="5">
        <v>7</v>
      </c>
      <c r="D4621" s="25">
        <v>1.1416E-4</v>
      </c>
      <c r="E4621" s="25">
        <v>1.1506999999999999E-4</v>
      </c>
      <c r="F4621" s="25">
        <v>1.1578000000000001E-4</v>
      </c>
      <c r="G4621" s="25">
        <v>1.674E-4</v>
      </c>
      <c r="H4621" s="25">
        <v>1.9434000000000001E-4</v>
      </c>
      <c r="I4621" s="9">
        <v>1.1809E-4</v>
      </c>
      <c r="J4621" s="9">
        <v>1.2861E-4</v>
      </c>
      <c r="K4621" s="9">
        <v>0</v>
      </c>
      <c r="L4621" s="9">
        <v>1.8944E-4</v>
      </c>
      <c r="M4621" s="9">
        <v>1.2305000000000001E-4</v>
      </c>
      <c r="N4621" s="9">
        <v>1.0451E-4</v>
      </c>
      <c r="O4621" s="9">
        <v>2.0867999999999999E-4</v>
      </c>
      <c r="P4621" s="9">
        <v>1.9254999999999999E-4</v>
      </c>
      <c r="Q4621" s="9">
        <v>1.7635E-4</v>
      </c>
      <c r="R4621" s="10">
        <v>6.75004875526339E-5</v>
      </c>
      <c r="S4621" s="10">
        <v>8.6303154775189955E-5</v>
      </c>
      <c r="T4621" s="10">
        <v>2.5492774257373222E-4</v>
      </c>
      <c r="U4621" s="10">
        <v>9.0080000000000005E-5</v>
      </c>
      <c r="V4621" s="25"/>
      <c r="W4621" s="25"/>
      <c r="X4621" s="25"/>
      <c r="Y4621" s="25"/>
      <c r="Z4621" s="25"/>
      <c r="AA4621" s="25"/>
    </row>
    <row r="4622" spans="1:27" x14ac:dyDescent="0.35">
      <c r="A4622" s="5">
        <v>4618</v>
      </c>
      <c r="B4622" s="5">
        <v>193</v>
      </c>
      <c r="C4622" s="5">
        <v>7</v>
      </c>
      <c r="D4622" s="25">
        <v>1.1415000000000001E-4</v>
      </c>
      <c r="E4622" s="25">
        <v>1.1869E-4</v>
      </c>
      <c r="F4622" s="25">
        <v>1.2611999999999999E-4</v>
      </c>
      <c r="G4622" s="25">
        <v>1.6217E-4</v>
      </c>
      <c r="H4622" s="25">
        <v>1.8804E-4</v>
      </c>
      <c r="I4622" s="9">
        <v>1.2091000000000001E-4</v>
      </c>
      <c r="J4622" s="9">
        <v>1.2998E-4</v>
      </c>
      <c r="K4622" s="9">
        <v>0</v>
      </c>
      <c r="L4622" s="9">
        <v>2.0220000000000001E-4</v>
      </c>
      <c r="M4622" s="9">
        <v>1.5797000000000001E-4</v>
      </c>
      <c r="N4622" s="9">
        <v>1.2441000000000001E-4</v>
      </c>
      <c r="O4622" s="9">
        <v>1.6425000000000001E-4</v>
      </c>
      <c r="P4622" s="9">
        <v>1.7250999999999999E-4</v>
      </c>
      <c r="Q4622" s="9">
        <v>1.8045E-4</v>
      </c>
      <c r="R4622" s="10">
        <v>7.0100011605514492E-5</v>
      </c>
      <c r="S4622" s="10">
        <v>1.0788420224423365E-4</v>
      </c>
      <c r="T4622" s="10">
        <v>2.3771309919229302E-4</v>
      </c>
      <c r="U4622" s="10">
        <v>9.0080000000000005E-5</v>
      </c>
      <c r="V4622" s="25"/>
      <c r="W4622" s="25"/>
      <c r="X4622" s="25"/>
      <c r="Y4622" s="25"/>
      <c r="Z4622" s="25"/>
      <c r="AA4622" s="25"/>
    </row>
    <row r="4623" spans="1:27" x14ac:dyDescent="0.35">
      <c r="A4623" s="5">
        <v>4619</v>
      </c>
      <c r="B4623" s="5">
        <v>193</v>
      </c>
      <c r="C4623" s="5">
        <v>7</v>
      </c>
      <c r="D4623" s="25">
        <v>1.1416E-4</v>
      </c>
      <c r="E4623" s="25">
        <v>1.2094E-4</v>
      </c>
      <c r="F4623" s="25">
        <v>1.2339E-4</v>
      </c>
      <c r="G4623" s="25">
        <v>1.6058000000000001E-4</v>
      </c>
      <c r="H4623" s="25">
        <v>1.9972999999999999E-4</v>
      </c>
      <c r="I4623" s="9">
        <v>1.2326000000000001E-4</v>
      </c>
      <c r="J4623" s="9">
        <v>1.3121000000000001E-4</v>
      </c>
      <c r="K4623" s="9">
        <v>0</v>
      </c>
      <c r="L4623" s="9">
        <v>1.7265999999999999E-4</v>
      </c>
      <c r="M4623" s="9">
        <v>1.7131000000000001E-4</v>
      </c>
      <c r="N4623" s="9">
        <v>1.4211000000000001E-4</v>
      </c>
      <c r="O4623" s="9">
        <v>1.6515E-4</v>
      </c>
      <c r="P4623" s="9">
        <v>1.7211E-4</v>
      </c>
      <c r="Q4623" s="9">
        <v>1.7876E-4</v>
      </c>
      <c r="R4623" s="10">
        <v>7.6949702926168699E-5</v>
      </c>
      <c r="S4623" s="10">
        <v>1.2948376141663415E-4</v>
      </c>
      <c r="T4623" s="10">
        <v>1.9495223046757477E-4</v>
      </c>
      <c r="U4623" s="10">
        <v>9.0080000000000005E-5</v>
      </c>
      <c r="V4623" s="25"/>
      <c r="W4623" s="25"/>
      <c r="X4623" s="25"/>
      <c r="Y4623" s="25"/>
      <c r="Z4623" s="25"/>
      <c r="AA4623" s="25"/>
    </row>
    <row r="4624" spans="1:27" x14ac:dyDescent="0.35">
      <c r="A4624" s="5">
        <v>4620</v>
      </c>
      <c r="B4624" s="5">
        <v>193</v>
      </c>
      <c r="C4624" s="5">
        <v>7</v>
      </c>
      <c r="D4624" s="25">
        <v>1.1415000000000001E-4</v>
      </c>
      <c r="E4624" s="25">
        <v>1.1022999999999999E-4</v>
      </c>
      <c r="F4624" s="25">
        <v>1.237E-4</v>
      </c>
      <c r="G4624" s="25">
        <v>1.5966999999999999E-4</v>
      </c>
      <c r="H4624" s="25">
        <v>1.9211E-4</v>
      </c>
      <c r="I4624" s="9">
        <v>1.2196E-4</v>
      </c>
      <c r="J4624" s="9">
        <v>1.2992E-4</v>
      </c>
      <c r="K4624" s="9">
        <v>0</v>
      </c>
      <c r="L4624" s="9">
        <v>1.682E-4</v>
      </c>
      <c r="M4624" s="9">
        <v>1.7382000000000001E-4</v>
      </c>
      <c r="N4624" s="9">
        <v>1.5603000000000001E-4</v>
      </c>
      <c r="O4624" s="9">
        <v>1.6982E-4</v>
      </c>
      <c r="P4624" s="9">
        <v>1.7276999999999999E-4</v>
      </c>
      <c r="Q4624" s="9">
        <v>1.7546E-4</v>
      </c>
      <c r="R4624" s="10">
        <v>6.7267966005979111E-5</v>
      </c>
      <c r="S4624" s="10">
        <v>1.3530841190861201E-4</v>
      </c>
      <c r="T4624" s="10">
        <v>1.7751699530303187E-4</v>
      </c>
      <c r="U4624" s="10">
        <v>9.0080000000000005E-5</v>
      </c>
      <c r="V4624" s="25"/>
      <c r="W4624" s="25"/>
      <c r="X4624" s="25"/>
      <c r="Y4624" s="25"/>
      <c r="Z4624" s="25"/>
      <c r="AA4624" s="25"/>
    </row>
    <row r="4625" spans="1:27" x14ac:dyDescent="0.35">
      <c r="A4625" s="5">
        <v>4621</v>
      </c>
      <c r="B4625" s="5">
        <v>193</v>
      </c>
      <c r="C4625" s="5">
        <v>7</v>
      </c>
      <c r="D4625" s="25">
        <v>1.1416E-4</v>
      </c>
      <c r="E4625" s="25">
        <v>1.1620000000000001E-4</v>
      </c>
      <c r="F4625" s="25">
        <v>1.2818000000000001E-4</v>
      </c>
      <c r="G4625" s="25">
        <v>1.5700999999999999E-4</v>
      </c>
      <c r="H4625" s="25">
        <v>1.9510999999999999E-4</v>
      </c>
      <c r="I4625" s="9">
        <v>1.2061E-4</v>
      </c>
      <c r="J4625" s="9">
        <v>1.2982E-4</v>
      </c>
      <c r="K4625" s="9">
        <v>0</v>
      </c>
      <c r="L4625" s="9">
        <v>1.6961999999999999E-4</v>
      </c>
      <c r="M4625" s="9">
        <v>1.7362000000000001E-4</v>
      </c>
      <c r="N4625" s="9">
        <v>1.6584999999999999E-4</v>
      </c>
      <c r="O4625" s="9">
        <v>1.5901000000000001E-4</v>
      </c>
      <c r="P4625" s="9">
        <v>1.6262000000000001E-4</v>
      </c>
      <c r="Q4625" s="9">
        <v>1.6599E-4</v>
      </c>
      <c r="R4625" s="10">
        <v>9.2537736366652521E-5</v>
      </c>
      <c r="S4625" s="10">
        <v>1.4755625974046351E-4</v>
      </c>
      <c r="T4625" s="10">
        <v>2.1136934971010052E-4</v>
      </c>
      <c r="U4625" s="10">
        <v>9.0080000000000005E-5</v>
      </c>
      <c r="V4625" s="25"/>
      <c r="W4625" s="25"/>
      <c r="X4625" s="25"/>
      <c r="Y4625" s="25"/>
      <c r="Z4625" s="25"/>
      <c r="AA4625" s="25"/>
    </row>
    <row r="4626" spans="1:27" x14ac:dyDescent="0.35">
      <c r="A4626" s="5">
        <v>4622</v>
      </c>
      <c r="B4626" s="5">
        <v>193</v>
      </c>
      <c r="C4626" s="5">
        <v>7</v>
      </c>
      <c r="D4626" s="25">
        <v>1.1415000000000001E-4</v>
      </c>
      <c r="E4626" s="25">
        <v>1.1157E-4</v>
      </c>
      <c r="F4626" s="25">
        <v>1.2229E-4</v>
      </c>
      <c r="G4626" s="25">
        <v>1.5726999999999999E-4</v>
      </c>
      <c r="H4626" s="25">
        <v>1.9228999999999999E-4</v>
      </c>
      <c r="I4626" s="9">
        <v>1.1964999999999999E-4</v>
      </c>
      <c r="J4626" s="9">
        <v>1.2899E-4</v>
      </c>
      <c r="K4626" s="9">
        <v>0</v>
      </c>
      <c r="L4626" s="9">
        <v>1.6103999999999999E-4</v>
      </c>
      <c r="M4626" s="9">
        <v>1.6959000000000001E-4</v>
      </c>
      <c r="N4626" s="9">
        <v>1.6996000000000001E-4</v>
      </c>
      <c r="O4626" s="9">
        <v>1.7615E-4</v>
      </c>
      <c r="P4626" s="9">
        <v>1.6827000000000001E-4</v>
      </c>
      <c r="Q4626" s="9">
        <v>1.6027000000000001E-4</v>
      </c>
      <c r="R4626" s="10">
        <v>1.25654124016328E-4</v>
      </c>
      <c r="S4626" s="10">
        <v>1.4791875366940889E-4</v>
      </c>
      <c r="T4626" s="10">
        <v>1.338398222484982E-4</v>
      </c>
      <c r="U4626" s="10">
        <v>9.0080000000000005E-5</v>
      </c>
      <c r="V4626" s="25"/>
      <c r="W4626" s="25"/>
      <c r="X4626" s="25"/>
      <c r="Y4626" s="25"/>
      <c r="Z4626" s="25"/>
      <c r="AA4626" s="25"/>
    </row>
    <row r="4627" spans="1:27" x14ac:dyDescent="0.35">
      <c r="A4627" s="5">
        <v>4623</v>
      </c>
      <c r="B4627" s="5">
        <v>193</v>
      </c>
      <c r="C4627" s="5">
        <v>7</v>
      </c>
      <c r="D4627" s="25">
        <v>1.1416E-4</v>
      </c>
      <c r="E4627" s="25">
        <v>1.1742E-4</v>
      </c>
      <c r="F4627" s="25">
        <v>1.2149E-4</v>
      </c>
      <c r="G4627" s="25">
        <v>1.6613000000000001E-4</v>
      </c>
      <c r="H4627" s="25">
        <v>1.8882999999999999E-4</v>
      </c>
      <c r="I4627" s="9">
        <v>1.1979E-4</v>
      </c>
      <c r="J4627" s="9">
        <v>1.2803000000000001E-4</v>
      </c>
      <c r="K4627" s="9">
        <v>0</v>
      </c>
      <c r="L4627" s="9">
        <v>1.7305000000000001E-4</v>
      </c>
      <c r="M4627" s="9">
        <v>1.6793E-4</v>
      </c>
      <c r="N4627" s="9">
        <v>1.6948000000000001E-4</v>
      </c>
      <c r="O4627" s="9">
        <v>1.8347E-4</v>
      </c>
      <c r="P4627" s="9">
        <v>1.6867E-4</v>
      </c>
      <c r="Q4627" s="9">
        <v>1.5385E-4</v>
      </c>
      <c r="R4627" s="10">
        <v>1.626603170298293E-4</v>
      </c>
      <c r="S4627" s="10">
        <v>1.4835242913715518E-4</v>
      </c>
      <c r="T4627" s="10">
        <v>1.3753897676516036E-4</v>
      </c>
      <c r="U4627" s="10">
        <v>9.0080000000000005E-5</v>
      </c>
      <c r="V4627" s="25"/>
      <c r="W4627" s="25"/>
      <c r="X4627" s="25"/>
      <c r="Y4627" s="25"/>
      <c r="Z4627" s="25"/>
      <c r="AA4627" s="25"/>
    </row>
    <row r="4628" spans="1:27" x14ac:dyDescent="0.35">
      <c r="A4628" s="5">
        <v>4624</v>
      </c>
      <c r="B4628" s="5">
        <v>193</v>
      </c>
      <c r="C4628" s="5">
        <v>7</v>
      </c>
      <c r="D4628" s="25">
        <v>1.1415000000000001E-4</v>
      </c>
      <c r="E4628" s="25">
        <v>1.1801E-4</v>
      </c>
      <c r="F4628" s="25">
        <v>1.3714E-4</v>
      </c>
      <c r="G4628" s="25">
        <v>1.6377000000000001E-4</v>
      </c>
      <c r="H4628" s="25">
        <v>1.8722000000000001E-4</v>
      </c>
      <c r="I4628" s="9">
        <v>1.1908000000000001E-4</v>
      </c>
      <c r="J4628" s="9">
        <v>1.2729000000000001E-4</v>
      </c>
      <c r="K4628" s="9">
        <v>0</v>
      </c>
      <c r="L4628" s="9">
        <v>1.8086999999999999E-4</v>
      </c>
      <c r="M4628" s="9">
        <v>1.6786000000000001E-4</v>
      </c>
      <c r="N4628" s="9">
        <v>1.6604E-4</v>
      </c>
      <c r="O4628" s="9">
        <v>1.9594999999999999E-4</v>
      </c>
      <c r="P4628" s="9">
        <v>1.5278000000000001E-4</v>
      </c>
      <c r="Q4628" s="9">
        <v>1.1E-4</v>
      </c>
      <c r="R4628" s="10">
        <v>1.717584629061853E-4</v>
      </c>
      <c r="S4628" s="10">
        <v>1.4309628471728775E-4</v>
      </c>
      <c r="T4628" s="10">
        <v>9.4812045237842633E-5</v>
      </c>
      <c r="U4628" s="10">
        <v>9.0080000000000005E-5</v>
      </c>
      <c r="V4628" s="25"/>
      <c r="W4628" s="25"/>
      <c r="X4628" s="25"/>
      <c r="Y4628" s="25"/>
      <c r="Z4628" s="25"/>
      <c r="AA4628" s="25"/>
    </row>
    <row r="4629" spans="1:27" x14ac:dyDescent="0.35">
      <c r="A4629" s="5">
        <v>4625</v>
      </c>
      <c r="B4629" s="5">
        <v>193</v>
      </c>
      <c r="C4629" s="5">
        <v>7</v>
      </c>
      <c r="D4629" s="25">
        <v>1.1416E-4</v>
      </c>
      <c r="E4629" s="25">
        <v>1.1084E-4</v>
      </c>
      <c r="F4629" s="25">
        <v>1.1924E-4</v>
      </c>
      <c r="G4629" s="25">
        <v>1.6347000000000001E-4</v>
      </c>
      <c r="H4629" s="25">
        <v>1.9869000000000001E-4</v>
      </c>
      <c r="I4629" s="9">
        <v>1.1904999999999999E-4</v>
      </c>
      <c r="J4629" s="9">
        <v>1.2757E-4</v>
      </c>
      <c r="K4629" s="9">
        <v>0</v>
      </c>
      <c r="L4629" s="9">
        <v>1.9235000000000001E-4</v>
      </c>
      <c r="M4629" s="9">
        <v>1.6254999999999999E-4</v>
      </c>
      <c r="N4629" s="9">
        <v>1.5247000000000001E-4</v>
      </c>
      <c r="O4629" s="9">
        <v>2.1019999999999999E-4</v>
      </c>
      <c r="P4629" s="9">
        <v>1.5799999999999999E-4</v>
      </c>
      <c r="Q4629" s="9">
        <v>1.0628000000000001E-4</v>
      </c>
      <c r="R4629" s="10">
        <v>1.8042116933319612E-4</v>
      </c>
      <c r="S4629" s="10">
        <v>1.3243665170236294E-4</v>
      </c>
      <c r="T4629" s="10">
        <v>1.2977584285977996E-4</v>
      </c>
      <c r="U4629" s="10">
        <v>9.0080000000000005E-5</v>
      </c>
      <c r="V4629" s="25"/>
      <c r="W4629" s="25"/>
      <c r="X4629" s="25"/>
      <c r="Y4629" s="25"/>
      <c r="Z4629" s="25"/>
      <c r="AA4629" s="25"/>
    </row>
    <row r="4630" spans="1:27" x14ac:dyDescent="0.35">
      <c r="A4630" s="5">
        <v>4626</v>
      </c>
      <c r="B4630" s="5">
        <v>193</v>
      </c>
      <c r="C4630" s="5">
        <v>7</v>
      </c>
      <c r="D4630" s="25">
        <v>1.1415000000000001E-4</v>
      </c>
      <c r="E4630" s="25">
        <v>1.182E-4</v>
      </c>
      <c r="F4630" s="25">
        <v>1.3554999999999999E-4</v>
      </c>
      <c r="G4630" s="25">
        <v>1.6474E-4</v>
      </c>
      <c r="H4630" s="25">
        <v>1.9578E-4</v>
      </c>
      <c r="I4630" s="9">
        <v>1.1923E-4</v>
      </c>
      <c r="J4630" s="9">
        <v>1.2311000000000001E-4</v>
      </c>
      <c r="K4630" s="9">
        <v>0</v>
      </c>
      <c r="L4630" s="9">
        <v>2.0604999999999999E-4</v>
      </c>
      <c r="M4630" s="9">
        <v>1.5940999999999999E-4</v>
      </c>
      <c r="N4630" s="9">
        <v>1.3897000000000001E-4</v>
      </c>
      <c r="O4630" s="9">
        <v>2.0567E-4</v>
      </c>
      <c r="P4630" s="9">
        <v>1.6212999999999999E-4</v>
      </c>
      <c r="Q4630" s="9">
        <v>1.1895E-4</v>
      </c>
      <c r="R4630" s="10">
        <v>1.6745668797603548E-4</v>
      </c>
      <c r="S4630" s="10">
        <v>1.2322828427713167E-4</v>
      </c>
      <c r="T4630" s="10">
        <v>1.1040618744340456E-4</v>
      </c>
      <c r="U4630" s="10">
        <v>9.0080000000000005E-5</v>
      </c>
      <c r="V4630" s="25"/>
      <c r="W4630" s="25"/>
      <c r="X4630" s="25"/>
      <c r="Y4630" s="25"/>
      <c r="Z4630" s="25"/>
      <c r="AA4630" s="25"/>
    </row>
    <row r="4631" spans="1:27" x14ac:dyDescent="0.35">
      <c r="A4631" s="5">
        <v>4627</v>
      </c>
      <c r="B4631" s="5">
        <v>193</v>
      </c>
      <c r="C4631" s="5">
        <v>7</v>
      </c>
      <c r="D4631" s="25">
        <v>1.1416E-4</v>
      </c>
      <c r="E4631" s="25">
        <v>1.1019E-4</v>
      </c>
      <c r="F4631" s="25">
        <v>1.3744000000000001E-4</v>
      </c>
      <c r="G4631" s="25">
        <v>1.1089E-4</v>
      </c>
      <c r="H4631" s="25">
        <v>1.3112E-4</v>
      </c>
      <c r="I4631" s="9">
        <v>1.1543E-4</v>
      </c>
      <c r="J4631" s="9">
        <v>1.1967E-4</v>
      </c>
      <c r="K4631" s="9">
        <v>0</v>
      </c>
      <c r="L4631" s="9">
        <v>2.0541999999999999E-4</v>
      </c>
      <c r="M4631" s="9">
        <v>1.5971E-4</v>
      </c>
      <c r="N4631" s="9">
        <v>1.3024999999999999E-4</v>
      </c>
      <c r="O4631" s="9">
        <v>1.6144E-4</v>
      </c>
      <c r="P4631" s="9">
        <v>1.3363000000000001E-4</v>
      </c>
      <c r="Q4631" s="9">
        <v>1.0606E-4</v>
      </c>
      <c r="R4631" s="10">
        <v>1.6012966646469727E-4</v>
      </c>
      <c r="S4631" s="10">
        <v>1.138703801578344E-4</v>
      </c>
      <c r="T4631" s="10">
        <v>3.6304316919259834E-5</v>
      </c>
      <c r="U4631" s="10">
        <v>9.0080000000000005E-5</v>
      </c>
      <c r="V4631" s="25"/>
      <c r="W4631" s="25"/>
      <c r="X4631" s="25"/>
      <c r="Y4631" s="25"/>
      <c r="Z4631" s="25"/>
      <c r="AA4631" s="25"/>
    </row>
    <row r="4632" spans="1:27" x14ac:dyDescent="0.35">
      <c r="A4632" s="5">
        <v>4628</v>
      </c>
      <c r="B4632" s="5">
        <v>193</v>
      </c>
      <c r="C4632" s="5">
        <v>7</v>
      </c>
      <c r="D4632" s="25">
        <v>1.1415000000000001E-4</v>
      </c>
      <c r="E4632" s="25">
        <v>1.166E-4</v>
      </c>
      <c r="F4632" s="25">
        <v>1.2019999999999999E-4</v>
      </c>
      <c r="G4632" s="25">
        <v>1.1234E-4</v>
      </c>
      <c r="H4632" s="25">
        <v>1.3375E-4</v>
      </c>
      <c r="I4632" s="9">
        <v>1.0989000000000001E-4</v>
      </c>
      <c r="J4632" s="9">
        <v>1.1696000000000001E-4</v>
      </c>
      <c r="K4632" s="9">
        <v>0</v>
      </c>
      <c r="L4632" s="9">
        <v>1.7121000000000001E-4</v>
      </c>
      <c r="M4632" s="9">
        <v>1.506E-4</v>
      </c>
      <c r="N4632" s="9">
        <v>1.2092E-4</v>
      </c>
      <c r="O4632" s="9">
        <v>1.2678E-4</v>
      </c>
      <c r="P4632" s="9">
        <v>1.1381E-4</v>
      </c>
      <c r="Q4632" s="9">
        <v>1.0096E-4</v>
      </c>
      <c r="R4632" s="10">
        <v>1.6057901317919745E-4</v>
      </c>
      <c r="S4632" s="10">
        <v>1.0005320275900464E-4</v>
      </c>
      <c r="T4632" s="10">
        <v>8.433393554041661E-6</v>
      </c>
      <c r="U4632" s="10">
        <v>9.0080000000000005E-5</v>
      </c>
      <c r="V4632" s="25"/>
      <c r="W4632" s="25"/>
      <c r="X4632" s="25"/>
      <c r="Y4632" s="25"/>
      <c r="Z4632" s="25"/>
      <c r="AA4632" s="25"/>
    </row>
    <row r="4633" spans="1:27" x14ac:dyDescent="0.35">
      <c r="A4633" s="5">
        <v>4629</v>
      </c>
      <c r="B4633" s="5">
        <v>193</v>
      </c>
      <c r="C4633" s="5">
        <v>7</v>
      </c>
      <c r="D4633" s="25">
        <v>1.1416E-4</v>
      </c>
      <c r="E4633" s="25">
        <v>1.1671999999999999E-4</v>
      </c>
      <c r="F4633" s="25">
        <v>1.2747E-4</v>
      </c>
      <c r="G4633" s="25">
        <v>5.2599999999999998E-5</v>
      </c>
      <c r="H4633" s="25">
        <v>7.5430000000000001E-5</v>
      </c>
      <c r="I4633" s="9">
        <v>1.0637999999999999E-4</v>
      </c>
      <c r="J4633" s="9">
        <v>1.1318E-4</v>
      </c>
      <c r="K4633" s="9">
        <v>0</v>
      </c>
      <c r="L4633" s="9">
        <v>1.3758999999999999E-4</v>
      </c>
      <c r="M4633" s="9">
        <v>1.3478000000000001E-4</v>
      </c>
      <c r="N4633" s="9">
        <v>1.1299E-4</v>
      </c>
      <c r="O4633" s="9">
        <v>8.4709999999999994E-5</v>
      </c>
      <c r="P4633" s="9">
        <v>8.6700000000000007E-5</v>
      </c>
      <c r="Q4633" s="9">
        <v>8.8700000000000001E-5</v>
      </c>
      <c r="R4633" s="10">
        <v>1.6547623857919629E-4</v>
      </c>
      <c r="S4633" s="10">
        <v>8.368610350318596E-5</v>
      </c>
      <c r="T4633" s="10">
        <v>0</v>
      </c>
      <c r="U4633" s="10">
        <v>9.0080000000000005E-5</v>
      </c>
      <c r="V4633" s="25"/>
      <c r="W4633" s="25"/>
      <c r="X4633" s="25"/>
      <c r="Y4633" s="25"/>
      <c r="Z4633" s="25"/>
      <c r="AA4633" s="25"/>
    </row>
    <row r="4634" spans="1:27" x14ac:dyDescent="0.35">
      <c r="A4634" s="5">
        <v>4630</v>
      </c>
      <c r="B4634" s="5">
        <v>193</v>
      </c>
      <c r="C4634" s="5">
        <v>7</v>
      </c>
      <c r="D4634" s="25">
        <v>1.1415000000000001E-4</v>
      </c>
      <c r="E4634" s="25">
        <v>1.1102E-4</v>
      </c>
      <c r="F4634" s="25">
        <v>1.3182999999999999E-4</v>
      </c>
      <c r="G4634" s="25">
        <v>5.4249999999999997E-5</v>
      </c>
      <c r="H4634" s="25">
        <v>6.4960000000000001E-5</v>
      </c>
      <c r="I4634" s="9">
        <v>1.1026E-4</v>
      </c>
      <c r="J4634" s="9">
        <v>1.1252999999999999E-4</v>
      </c>
      <c r="K4634" s="9">
        <v>0</v>
      </c>
      <c r="L4634" s="9">
        <v>9.7280000000000004E-5</v>
      </c>
      <c r="M4634" s="9">
        <v>1.1340000000000001E-4</v>
      </c>
      <c r="N4634" s="9">
        <v>1.0547E-4</v>
      </c>
      <c r="O4634" s="9">
        <v>8.7590000000000007E-5</v>
      </c>
      <c r="P4634" s="9">
        <v>8.8200000000000003E-5</v>
      </c>
      <c r="Q4634" s="9">
        <v>8.886E-5</v>
      </c>
      <c r="R4634" s="10">
        <v>1.6182508827447721E-4</v>
      </c>
      <c r="S4634" s="10">
        <v>6.2226442014309537E-5</v>
      </c>
      <c r="T4634" s="10">
        <v>0</v>
      </c>
      <c r="U4634" s="10">
        <v>9.0080000000000005E-5</v>
      </c>
      <c r="V4634" s="25"/>
      <c r="W4634" s="25"/>
      <c r="X4634" s="25"/>
      <c r="Y4634" s="25"/>
      <c r="Z4634" s="25"/>
      <c r="AA4634" s="25"/>
    </row>
    <row r="4635" spans="1:27" x14ac:dyDescent="0.35">
      <c r="A4635" s="5">
        <v>4631</v>
      </c>
      <c r="B4635" s="5">
        <v>193</v>
      </c>
      <c r="C4635" s="5">
        <v>7</v>
      </c>
      <c r="D4635" s="25">
        <v>1.1416E-4</v>
      </c>
      <c r="E4635" s="25">
        <v>1.1993E-4</v>
      </c>
      <c r="F4635" s="25">
        <v>1.2502999999999999E-4</v>
      </c>
      <c r="G4635" s="25">
        <v>5.2750000000000001E-5</v>
      </c>
      <c r="H4635" s="25">
        <v>6.2290000000000002E-5</v>
      </c>
      <c r="I4635" s="9">
        <v>1.0746E-4</v>
      </c>
      <c r="J4635" s="9">
        <v>1.0789E-4</v>
      </c>
      <c r="K4635" s="9">
        <v>0</v>
      </c>
      <c r="L4635" s="9">
        <v>9.0589999999999998E-5</v>
      </c>
      <c r="M4635" s="9">
        <v>9.912E-5</v>
      </c>
      <c r="N4635" s="9">
        <v>9.9820000000000003E-5</v>
      </c>
      <c r="O4635" s="9">
        <v>7.7360000000000005E-5</v>
      </c>
      <c r="P4635" s="9">
        <v>7.1959999999999995E-5</v>
      </c>
      <c r="Q4635" s="9">
        <v>6.6719999999999998E-5</v>
      </c>
      <c r="R4635" s="10">
        <v>1.546226218211084E-4</v>
      </c>
      <c r="S4635" s="10">
        <v>4.9121622598454054E-5</v>
      </c>
      <c r="T4635" s="10">
        <v>0</v>
      </c>
      <c r="U4635" s="10">
        <v>9.0080000000000005E-5</v>
      </c>
      <c r="V4635" s="25"/>
      <c r="W4635" s="25"/>
      <c r="X4635" s="25"/>
      <c r="Y4635" s="25"/>
      <c r="Z4635" s="25"/>
      <c r="AA4635" s="25"/>
    </row>
    <row r="4636" spans="1:27" x14ac:dyDescent="0.35">
      <c r="A4636" s="5">
        <v>4632</v>
      </c>
      <c r="B4636" s="5">
        <v>193</v>
      </c>
      <c r="C4636" s="5">
        <v>7</v>
      </c>
      <c r="D4636" s="25">
        <v>1.1415000000000001E-4</v>
      </c>
      <c r="E4636" s="25">
        <v>1.2064E-4</v>
      </c>
      <c r="F4636" s="25">
        <v>1.1673E-4</v>
      </c>
      <c r="G4636" s="25">
        <v>5.6799999999999998E-5</v>
      </c>
      <c r="H4636" s="25">
        <v>6.9200000000000002E-5</v>
      </c>
      <c r="I4636" s="9">
        <v>1.0038E-4</v>
      </c>
      <c r="J4636" s="9">
        <v>1.0030999999999999E-4</v>
      </c>
      <c r="K4636" s="9">
        <v>0</v>
      </c>
      <c r="L4636" s="9">
        <v>8.0249999999999999E-5</v>
      </c>
      <c r="M4636" s="9">
        <v>8.6219999999999998E-5</v>
      </c>
      <c r="N4636" s="9">
        <v>9.0500000000000004E-5</v>
      </c>
      <c r="O4636" s="9">
        <v>6.2160000000000001E-5</v>
      </c>
      <c r="P4636" s="9">
        <v>6.0210000000000001E-5</v>
      </c>
      <c r="Q4636" s="9">
        <v>5.8409999999999998E-5</v>
      </c>
      <c r="R4636" s="10">
        <v>1.7193581488547262E-4</v>
      </c>
      <c r="S4636" s="10">
        <v>5.3598772290330588E-5</v>
      </c>
      <c r="T4636" s="10">
        <v>0</v>
      </c>
      <c r="U4636" s="10">
        <v>9.0080000000000005E-5</v>
      </c>
      <c r="V4636" s="25"/>
      <c r="W4636" s="25"/>
      <c r="X4636" s="25"/>
      <c r="Y4636" s="25"/>
      <c r="Z4636" s="25"/>
      <c r="AA4636" s="25"/>
    </row>
    <row r="4637" spans="1:27" x14ac:dyDescent="0.35">
      <c r="A4637" s="5">
        <v>4633</v>
      </c>
      <c r="B4637" s="5">
        <v>194</v>
      </c>
      <c r="C4637" s="5">
        <v>7</v>
      </c>
      <c r="D4637" s="25">
        <v>1.1416E-4</v>
      </c>
      <c r="E4637" s="25">
        <v>1.1134E-4</v>
      </c>
      <c r="F4637" s="25">
        <v>1.2381E-4</v>
      </c>
      <c r="G4637" s="25">
        <v>5.4939999999999999E-5</v>
      </c>
      <c r="H4637" s="25">
        <v>6.5339999999999994E-5</v>
      </c>
      <c r="I4637" s="9">
        <v>9.5329999999999997E-5</v>
      </c>
      <c r="J4637" s="9">
        <v>9.5390000000000007E-5</v>
      </c>
      <c r="K4637" s="9">
        <v>0</v>
      </c>
      <c r="L4637" s="9">
        <v>6.6169999999999998E-5</v>
      </c>
      <c r="M4637" s="9">
        <v>7.3869999999999996E-5</v>
      </c>
      <c r="N4637" s="9">
        <v>8.1050000000000005E-5</v>
      </c>
      <c r="O4637" s="9">
        <v>5.4780000000000001E-5</v>
      </c>
      <c r="P4637" s="9">
        <v>5.4200000000000003E-5</v>
      </c>
      <c r="Q4637" s="9">
        <v>5.3770000000000002E-5</v>
      </c>
      <c r="R4637" s="10">
        <v>1.717022853295625E-4</v>
      </c>
      <c r="S4637" s="10">
        <v>4.6923500788798923E-5</v>
      </c>
      <c r="T4637" s="10">
        <v>0</v>
      </c>
      <c r="U4637" s="10">
        <v>8.8690000000000006E-5</v>
      </c>
      <c r="V4637" s="25"/>
      <c r="W4637" s="25"/>
      <c r="X4637" s="25"/>
      <c r="Y4637" s="25"/>
      <c r="Z4637" s="25"/>
      <c r="AA4637" s="25"/>
    </row>
    <row r="4638" spans="1:27" x14ac:dyDescent="0.35">
      <c r="A4638" s="5">
        <v>4634</v>
      </c>
      <c r="B4638" s="5">
        <v>194</v>
      </c>
      <c r="C4638" s="5">
        <v>7</v>
      </c>
      <c r="D4638" s="25">
        <v>1.1415000000000001E-4</v>
      </c>
      <c r="E4638" s="25">
        <v>1.1406E-4</v>
      </c>
      <c r="F4638" s="25">
        <v>1.3122000000000001E-4</v>
      </c>
      <c r="G4638" s="25">
        <v>5.3990000000000003E-5</v>
      </c>
      <c r="H4638" s="25">
        <v>6.2609999999999999E-5</v>
      </c>
      <c r="I4638" s="9">
        <v>9.2040000000000006E-5</v>
      </c>
      <c r="J4638" s="9">
        <v>9.2860000000000002E-5</v>
      </c>
      <c r="K4638" s="9">
        <v>0</v>
      </c>
      <c r="L4638" s="9">
        <v>5.7679999999999997E-5</v>
      </c>
      <c r="M4638" s="9">
        <v>6.3849999999999993E-5</v>
      </c>
      <c r="N4638" s="9">
        <v>7.2059999999999998E-5</v>
      </c>
      <c r="O4638" s="9">
        <v>1.9300000000000002E-5</v>
      </c>
      <c r="P4638" s="9">
        <v>3.7759999999999998E-5</v>
      </c>
      <c r="Q4638" s="9">
        <v>5.6199999999999997E-5</v>
      </c>
      <c r="R4638" s="10">
        <v>1.5935759033731004E-4</v>
      </c>
      <c r="S4638" s="10">
        <v>3.9221037131719814E-5</v>
      </c>
      <c r="T4638" s="10">
        <v>0</v>
      </c>
      <c r="U4638" s="10">
        <v>8.8690000000000006E-5</v>
      </c>
      <c r="V4638" s="25"/>
      <c r="W4638" s="25"/>
      <c r="X4638" s="25"/>
      <c r="Y4638" s="25"/>
      <c r="Z4638" s="25"/>
      <c r="AA4638" s="25"/>
    </row>
    <row r="4639" spans="1:27" x14ac:dyDescent="0.35">
      <c r="A4639" s="5">
        <v>4635</v>
      </c>
      <c r="B4639" s="5">
        <v>194</v>
      </c>
      <c r="C4639" s="5">
        <v>7</v>
      </c>
      <c r="D4639" s="25">
        <v>1.1416E-4</v>
      </c>
      <c r="E4639" s="25">
        <v>1.1059E-4</v>
      </c>
      <c r="F4639" s="25">
        <v>1.1479E-4</v>
      </c>
      <c r="G4639" s="25">
        <v>6.3079999999999999E-5</v>
      </c>
      <c r="H4639" s="25">
        <v>6.3250000000000006E-5</v>
      </c>
      <c r="I4639" s="9">
        <v>9.1639999999999997E-5</v>
      </c>
      <c r="J4639" s="9">
        <v>9.1910000000000006E-5</v>
      </c>
      <c r="K4639" s="9">
        <v>0</v>
      </c>
      <c r="L4639" s="9">
        <v>2.7929999999999999E-5</v>
      </c>
      <c r="M4639" s="9">
        <v>5.219E-5</v>
      </c>
      <c r="N4639" s="9">
        <v>6.5500000000000006E-5</v>
      </c>
      <c r="O4639" s="9">
        <v>1.3879999999999999E-5</v>
      </c>
      <c r="P4639" s="9">
        <v>3.7759999999999998E-5</v>
      </c>
      <c r="Q4639" s="9">
        <v>6.1539999999999997E-5</v>
      </c>
      <c r="R4639" s="10">
        <v>1.4432498658386377E-4</v>
      </c>
      <c r="S4639" s="10">
        <v>3.1874539010915688E-5</v>
      </c>
      <c r="T4639" s="10">
        <v>0</v>
      </c>
      <c r="U4639" s="10">
        <v>8.8690000000000006E-5</v>
      </c>
      <c r="V4639" s="25"/>
      <c r="W4639" s="25"/>
      <c r="X4639" s="25"/>
      <c r="Y4639" s="25"/>
      <c r="Z4639" s="25"/>
      <c r="AA4639" s="25"/>
    </row>
    <row r="4640" spans="1:27" x14ac:dyDescent="0.35">
      <c r="A4640" s="5">
        <v>4636</v>
      </c>
      <c r="B4640" s="5">
        <v>194</v>
      </c>
      <c r="C4640" s="5">
        <v>7</v>
      </c>
      <c r="D4640" s="25">
        <v>1.1415000000000001E-4</v>
      </c>
      <c r="E4640" s="25">
        <v>1.1074E-4</v>
      </c>
      <c r="F4640" s="25">
        <v>1.1454E-4</v>
      </c>
      <c r="G4640" s="25">
        <v>5.9740000000000001E-5</v>
      </c>
      <c r="H4640" s="25">
        <v>7.5010000000000002E-5</v>
      </c>
      <c r="I4640" s="9">
        <v>9.3330000000000003E-5</v>
      </c>
      <c r="J4640" s="9">
        <v>9.2139999999999995E-5</v>
      </c>
      <c r="K4640" s="9">
        <v>0</v>
      </c>
      <c r="L4640" s="9">
        <v>1.77E-5</v>
      </c>
      <c r="M4640" s="9">
        <v>4.4209999999999999E-5</v>
      </c>
      <c r="N4640" s="9">
        <v>6.1909999999999995E-5</v>
      </c>
      <c r="O4640" s="9">
        <v>1.399E-5</v>
      </c>
      <c r="P4640" s="9">
        <v>4.7599999999999998E-5</v>
      </c>
      <c r="Q4640" s="9">
        <v>8.0959999999999997E-5</v>
      </c>
      <c r="R4640" s="10">
        <v>1.2345445246074384E-4</v>
      </c>
      <c r="S4640" s="10">
        <v>2.2840093769522368E-5</v>
      </c>
      <c r="T4640" s="10">
        <v>0</v>
      </c>
      <c r="U4640" s="10">
        <v>8.8690000000000006E-5</v>
      </c>
      <c r="V4640" s="25"/>
      <c r="W4640" s="25"/>
      <c r="X4640" s="25"/>
      <c r="Y4640" s="25"/>
      <c r="Z4640" s="25"/>
      <c r="AA4640" s="25"/>
    </row>
    <row r="4641" spans="1:27" x14ac:dyDescent="0.35">
      <c r="A4641" s="5">
        <v>4637</v>
      </c>
      <c r="B4641" s="5">
        <v>194</v>
      </c>
      <c r="C4641" s="5">
        <v>7</v>
      </c>
      <c r="D4641" s="25">
        <v>1.1416E-4</v>
      </c>
      <c r="E4641" s="25">
        <v>1.1215E-4</v>
      </c>
      <c r="F4641" s="25">
        <v>1.2354999999999999E-4</v>
      </c>
      <c r="G4641" s="25">
        <v>5.9580000000000002E-5</v>
      </c>
      <c r="H4641" s="25">
        <v>6.745E-5</v>
      </c>
      <c r="I4641" s="9">
        <v>9.5089999999999999E-5</v>
      </c>
      <c r="J4641" s="9">
        <v>9.3460000000000003E-5</v>
      </c>
      <c r="K4641" s="9">
        <v>0</v>
      </c>
      <c r="L4641" s="9">
        <v>1.506E-5</v>
      </c>
      <c r="M4641" s="9">
        <v>4.3630000000000001E-5</v>
      </c>
      <c r="N4641" s="9">
        <v>6.4579999999999995E-5</v>
      </c>
      <c r="O4641" s="9">
        <v>1.9400000000000001E-5</v>
      </c>
      <c r="P4641" s="9">
        <v>5.6959999999999997E-5</v>
      </c>
      <c r="Q4641" s="9">
        <v>9.4179999999999996E-5</v>
      </c>
      <c r="R4641" s="10">
        <v>9.8381489884191147E-5</v>
      </c>
      <c r="S4641" s="10">
        <v>1.6826938781570308E-5</v>
      </c>
      <c r="T4641" s="10">
        <v>0</v>
      </c>
      <c r="U4641" s="10">
        <v>8.8690000000000006E-5</v>
      </c>
      <c r="V4641" s="25"/>
      <c r="W4641" s="25"/>
      <c r="X4641" s="25"/>
      <c r="Y4641" s="25"/>
      <c r="Z4641" s="25"/>
      <c r="AA4641" s="25"/>
    </row>
    <row r="4642" spans="1:27" x14ac:dyDescent="0.35">
      <c r="A4642" s="5">
        <v>4638</v>
      </c>
      <c r="B4642" s="5">
        <v>194</v>
      </c>
      <c r="C4642" s="5">
        <v>7</v>
      </c>
      <c r="D4642" s="25">
        <v>1.1415000000000001E-4</v>
      </c>
      <c r="E4642" s="25">
        <v>1.111E-4</v>
      </c>
      <c r="F4642" s="25">
        <v>1.2886000000000001E-4</v>
      </c>
      <c r="G4642" s="25">
        <v>1.094E-4</v>
      </c>
      <c r="H4642" s="25">
        <v>1.2645000000000001E-4</v>
      </c>
      <c r="I4642" s="9">
        <v>1.0208E-4</v>
      </c>
      <c r="J4642" s="9">
        <v>1.0066E-4</v>
      </c>
      <c r="K4642" s="9">
        <v>0</v>
      </c>
      <c r="L4642" s="9">
        <v>1.8309999999999999E-5</v>
      </c>
      <c r="M4642" s="9">
        <v>4.8640000000000002E-5</v>
      </c>
      <c r="N4642" s="9">
        <v>7.1249999999999997E-5</v>
      </c>
      <c r="O4642" s="9">
        <v>4.655E-5</v>
      </c>
      <c r="P4642" s="9">
        <v>7.7119999999999993E-5</v>
      </c>
      <c r="Q4642" s="9">
        <v>1.0739E-4</v>
      </c>
      <c r="R4642" s="10">
        <v>7.232901736060955E-5</v>
      </c>
      <c r="S4642" s="10">
        <v>9.9941151456445734E-6</v>
      </c>
      <c r="T4642" s="10">
        <v>9.1121375020530635E-6</v>
      </c>
      <c r="U4642" s="10">
        <v>8.8690000000000006E-5</v>
      </c>
      <c r="V4642" s="25"/>
      <c r="W4642" s="25"/>
      <c r="X4642" s="25"/>
      <c r="Y4642" s="25"/>
      <c r="Z4642" s="25"/>
      <c r="AA4642" s="25"/>
    </row>
    <row r="4643" spans="1:27" x14ac:dyDescent="0.35">
      <c r="A4643" s="5">
        <v>4639</v>
      </c>
      <c r="B4643" s="5">
        <v>194</v>
      </c>
      <c r="C4643" s="5">
        <v>7</v>
      </c>
      <c r="D4643" s="25">
        <v>1.1416E-4</v>
      </c>
      <c r="E4643" s="25">
        <v>1.193E-4</v>
      </c>
      <c r="F4643" s="25">
        <v>1.2867999999999999E-4</v>
      </c>
      <c r="G4643" s="25">
        <v>1.0925E-4</v>
      </c>
      <c r="H4643" s="25">
        <v>1.2595E-4</v>
      </c>
      <c r="I4643" s="9">
        <v>1.0919E-4</v>
      </c>
      <c r="J4643" s="9">
        <v>1.1336E-4</v>
      </c>
      <c r="K4643" s="9">
        <v>0</v>
      </c>
      <c r="L4643" s="9">
        <v>4.0200000000000001E-5</v>
      </c>
      <c r="M4643" s="9">
        <v>6.0300000000000002E-5</v>
      </c>
      <c r="N4643" s="9">
        <v>8.1019999999999993E-5</v>
      </c>
      <c r="O4643" s="9">
        <v>1.2111E-4</v>
      </c>
      <c r="P4643" s="9">
        <v>1.1621E-4</v>
      </c>
      <c r="Q4643" s="9">
        <v>1.1132E-4</v>
      </c>
      <c r="R4643" s="10">
        <v>6.1593724532997554E-5</v>
      </c>
      <c r="S4643" s="10">
        <v>7.5044480756113245E-6</v>
      </c>
      <c r="T4643" s="10">
        <v>2.7913344861968879E-5</v>
      </c>
      <c r="U4643" s="10">
        <v>8.8690000000000006E-5</v>
      </c>
      <c r="V4643" s="25"/>
      <c r="W4643" s="25"/>
      <c r="X4643" s="25"/>
      <c r="Y4643" s="25"/>
      <c r="Z4643" s="25"/>
      <c r="AA4643" s="25"/>
    </row>
    <row r="4644" spans="1:27" x14ac:dyDescent="0.35">
      <c r="A4644" s="5">
        <v>4640</v>
      </c>
      <c r="B4644" s="5">
        <v>194</v>
      </c>
      <c r="C4644" s="5">
        <v>7</v>
      </c>
      <c r="D4644" s="25">
        <v>1.1415000000000001E-4</v>
      </c>
      <c r="E4644" s="25">
        <v>1.1459E-4</v>
      </c>
      <c r="F4644" s="25">
        <v>1.3357000000000001E-4</v>
      </c>
      <c r="G4644" s="25">
        <v>1.6342E-4</v>
      </c>
      <c r="H4644" s="25">
        <v>1.8846999999999999E-4</v>
      </c>
      <c r="I4644" s="9">
        <v>1.1555E-4</v>
      </c>
      <c r="J4644" s="9">
        <v>1.2348E-4</v>
      </c>
      <c r="K4644" s="9">
        <v>0</v>
      </c>
      <c r="L4644" s="9">
        <v>1.027E-4</v>
      </c>
      <c r="M4644" s="9">
        <v>8.3430000000000006E-5</v>
      </c>
      <c r="N4644" s="9">
        <v>9.0840000000000004E-5</v>
      </c>
      <c r="O4644" s="9">
        <v>2.1677E-4</v>
      </c>
      <c r="P4644" s="9">
        <v>1.7637999999999999E-4</v>
      </c>
      <c r="Q4644" s="9">
        <v>1.3625000000000001E-4</v>
      </c>
      <c r="R4644" s="10">
        <v>7.3874939982160676E-5</v>
      </c>
      <c r="S4644" s="10">
        <v>6.6407468354970978E-6</v>
      </c>
      <c r="T4644" s="10">
        <v>4.3974123531788663E-5</v>
      </c>
      <c r="U4644" s="10">
        <v>8.8690000000000006E-5</v>
      </c>
      <c r="V4644" s="25"/>
      <c r="W4644" s="25"/>
      <c r="X4644" s="25"/>
      <c r="Y4644" s="25"/>
      <c r="Z4644" s="25"/>
      <c r="AA4644" s="25"/>
    </row>
    <row r="4645" spans="1:27" x14ac:dyDescent="0.35">
      <c r="A4645" s="5">
        <v>4641</v>
      </c>
      <c r="B4645" s="5">
        <v>194</v>
      </c>
      <c r="C4645" s="5">
        <v>7</v>
      </c>
      <c r="D4645" s="25">
        <v>1.1416E-4</v>
      </c>
      <c r="E4645" s="25">
        <v>1.141E-4</v>
      </c>
      <c r="F4645" s="25">
        <v>1.1504E-4</v>
      </c>
      <c r="G4645" s="25">
        <v>1.6207999999999999E-4</v>
      </c>
      <c r="H4645" s="25">
        <v>2.0018E-4</v>
      </c>
      <c r="I4645" s="9">
        <v>1.2147E-4</v>
      </c>
      <c r="J4645" s="9">
        <v>1.2731E-4</v>
      </c>
      <c r="K4645" s="9">
        <v>0</v>
      </c>
      <c r="L4645" s="9">
        <v>1.8996E-4</v>
      </c>
      <c r="M4645" s="9">
        <v>1.2286E-4</v>
      </c>
      <c r="N4645" s="9">
        <v>1.0446E-4</v>
      </c>
      <c r="O4645" s="9">
        <v>2.0913E-4</v>
      </c>
      <c r="P4645" s="9">
        <v>1.9296999999999999E-4</v>
      </c>
      <c r="Q4645" s="9">
        <v>1.7673E-4</v>
      </c>
      <c r="R4645" s="10">
        <v>9.0429918508511136E-5</v>
      </c>
      <c r="S4645" s="10">
        <v>9.6304246648030455E-6</v>
      </c>
      <c r="T4645" s="10">
        <v>6.7450179833633011E-5</v>
      </c>
      <c r="U4645" s="10">
        <v>8.8690000000000006E-5</v>
      </c>
      <c r="V4645" s="25"/>
      <c r="W4645" s="25"/>
      <c r="X4645" s="25"/>
      <c r="Y4645" s="25"/>
      <c r="Z4645" s="25"/>
      <c r="AA4645" s="25"/>
    </row>
    <row r="4646" spans="1:27" x14ac:dyDescent="0.35">
      <c r="A4646" s="5">
        <v>4642</v>
      </c>
      <c r="B4646" s="5">
        <v>194</v>
      </c>
      <c r="C4646" s="5">
        <v>7</v>
      </c>
      <c r="D4646" s="25">
        <v>1.1415000000000001E-4</v>
      </c>
      <c r="E4646" s="25">
        <v>1.2103E-4</v>
      </c>
      <c r="F4646" s="25">
        <v>1.1682E-4</v>
      </c>
      <c r="G4646" s="25">
        <v>1.5758999999999999E-4</v>
      </c>
      <c r="H4646" s="25">
        <v>1.9937000000000001E-4</v>
      </c>
      <c r="I4646" s="9">
        <v>1.2401E-4</v>
      </c>
      <c r="J4646" s="9">
        <v>1.2914E-4</v>
      </c>
      <c r="K4646" s="9">
        <v>0</v>
      </c>
      <c r="L4646" s="9">
        <v>2.0262000000000001E-4</v>
      </c>
      <c r="M4646" s="9">
        <v>1.5810999999999999E-4</v>
      </c>
      <c r="N4646" s="9">
        <v>1.2438999999999999E-4</v>
      </c>
      <c r="O4646" s="9">
        <v>1.6492000000000001E-4</v>
      </c>
      <c r="P4646" s="9">
        <v>1.7321E-4</v>
      </c>
      <c r="Q4646" s="9">
        <v>1.8118E-4</v>
      </c>
      <c r="R4646" s="10">
        <v>9.3356760443463846E-5</v>
      </c>
      <c r="S4646" s="10">
        <v>1.0400065901195559E-5</v>
      </c>
      <c r="T4646" s="10">
        <v>7.7478621665501459E-5</v>
      </c>
      <c r="U4646" s="10">
        <v>8.8690000000000006E-5</v>
      </c>
      <c r="V4646" s="25"/>
      <c r="W4646" s="25"/>
      <c r="X4646" s="25"/>
      <c r="Y4646" s="25"/>
      <c r="Z4646" s="25"/>
      <c r="AA4646" s="25"/>
    </row>
    <row r="4647" spans="1:27" x14ac:dyDescent="0.35">
      <c r="A4647" s="5">
        <v>4643</v>
      </c>
      <c r="B4647" s="5">
        <v>194</v>
      </c>
      <c r="C4647" s="5">
        <v>7</v>
      </c>
      <c r="D4647" s="25">
        <v>1.1416E-4</v>
      </c>
      <c r="E4647" s="25">
        <v>1.1370999999999999E-4</v>
      </c>
      <c r="F4647" s="25">
        <v>1.2454E-4</v>
      </c>
      <c r="G4647" s="25">
        <v>1.6710999999999999E-4</v>
      </c>
      <c r="H4647" s="25">
        <v>1.8825999999999999E-4</v>
      </c>
      <c r="I4647" s="9">
        <v>1.2509000000000001E-4</v>
      </c>
      <c r="J4647" s="9">
        <v>1.2944000000000001E-4</v>
      </c>
      <c r="K4647" s="9">
        <v>0</v>
      </c>
      <c r="L4647" s="9">
        <v>1.7327E-4</v>
      </c>
      <c r="M4647" s="9">
        <v>1.7173000000000001E-4</v>
      </c>
      <c r="N4647" s="9">
        <v>1.4224999999999999E-4</v>
      </c>
      <c r="O4647" s="9">
        <v>1.6480999999999999E-4</v>
      </c>
      <c r="P4647" s="9">
        <v>1.7176E-4</v>
      </c>
      <c r="Q4647" s="9">
        <v>1.784E-4</v>
      </c>
      <c r="R4647" s="10">
        <v>9.4419060928704402E-5</v>
      </c>
      <c r="S4647" s="10">
        <v>1.5698587509864229E-5</v>
      </c>
      <c r="T4647" s="10">
        <v>1.0552771531707262E-4</v>
      </c>
      <c r="U4647" s="10">
        <v>8.8690000000000006E-5</v>
      </c>
      <c r="V4647" s="25"/>
      <c r="W4647" s="25"/>
      <c r="X4647" s="25"/>
      <c r="Y4647" s="25"/>
      <c r="Z4647" s="25"/>
      <c r="AA4647" s="25"/>
    </row>
    <row r="4648" spans="1:27" x14ac:dyDescent="0.35">
      <c r="A4648" s="5">
        <v>4644</v>
      </c>
      <c r="B4648" s="5">
        <v>194</v>
      </c>
      <c r="C4648" s="5">
        <v>7</v>
      </c>
      <c r="D4648" s="25">
        <v>1.1415000000000001E-4</v>
      </c>
      <c r="E4648" s="25">
        <v>1.1247999999999999E-4</v>
      </c>
      <c r="F4648" s="25">
        <v>1.3155999999999999E-4</v>
      </c>
      <c r="G4648" s="25">
        <v>1.6259999999999999E-4</v>
      </c>
      <c r="H4648" s="25">
        <v>1.9438999999999999E-4</v>
      </c>
      <c r="I4648" s="9">
        <v>1.2183E-4</v>
      </c>
      <c r="J4648" s="9">
        <v>1.2865000000000001E-4</v>
      </c>
      <c r="K4648" s="9">
        <v>0</v>
      </c>
      <c r="L4648" s="9">
        <v>1.6808E-4</v>
      </c>
      <c r="M4648" s="9">
        <v>1.7403000000000001E-4</v>
      </c>
      <c r="N4648" s="9">
        <v>1.5610999999999999E-4</v>
      </c>
      <c r="O4648" s="9">
        <v>1.6950999999999999E-4</v>
      </c>
      <c r="P4648" s="9">
        <v>1.7244999999999999E-4</v>
      </c>
      <c r="Q4648" s="9">
        <v>1.7514000000000001E-4</v>
      </c>
      <c r="R4648" s="10">
        <v>1.1067494433247987E-4</v>
      </c>
      <c r="S4648" s="10">
        <v>1.9814998023936484E-5</v>
      </c>
      <c r="T4648" s="10">
        <v>1.1967104233376021E-4</v>
      </c>
      <c r="U4648" s="10">
        <v>8.8690000000000006E-5</v>
      </c>
      <c r="V4648" s="25"/>
      <c r="W4648" s="25"/>
      <c r="X4648" s="25"/>
      <c r="Y4648" s="25"/>
      <c r="Z4648" s="25"/>
      <c r="AA4648" s="25"/>
    </row>
    <row r="4649" spans="1:27" x14ac:dyDescent="0.35">
      <c r="A4649" s="5">
        <v>4645</v>
      </c>
      <c r="B4649" s="5">
        <v>194</v>
      </c>
      <c r="C4649" s="5">
        <v>7</v>
      </c>
      <c r="D4649" s="25">
        <v>1.1416E-4</v>
      </c>
      <c r="E4649" s="25">
        <v>1.1906E-4</v>
      </c>
      <c r="F4649" s="25">
        <v>1.3553E-4</v>
      </c>
      <c r="G4649" s="25">
        <v>1.6092999999999999E-4</v>
      </c>
      <c r="H4649" s="25">
        <v>1.9874000000000001E-4</v>
      </c>
      <c r="I4649" s="9">
        <v>1.2168E-4</v>
      </c>
      <c r="J4649" s="9">
        <v>1.2991000000000001E-4</v>
      </c>
      <c r="K4649" s="9">
        <v>0</v>
      </c>
      <c r="L4649" s="9">
        <v>1.6937000000000001E-4</v>
      </c>
      <c r="M4649" s="9">
        <v>1.7357000000000001E-4</v>
      </c>
      <c r="N4649" s="9">
        <v>1.6589E-4</v>
      </c>
      <c r="O4649" s="9">
        <v>1.5969000000000001E-4</v>
      </c>
      <c r="P4649" s="9">
        <v>1.6331000000000001E-4</v>
      </c>
      <c r="Q4649" s="9">
        <v>1.6668999999999999E-4</v>
      </c>
      <c r="R4649" s="10">
        <v>1.0318281567317821E-4</v>
      </c>
      <c r="S4649" s="10">
        <v>2.0568185854611625E-5</v>
      </c>
      <c r="T4649" s="10">
        <v>1.7925627666981109E-4</v>
      </c>
      <c r="U4649" s="10">
        <v>8.8690000000000006E-5</v>
      </c>
      <c r="V4649" s="25"/>
      <c r="W4649" s="25"/>
      <c r="X4649" s="25"/>
      <c r="Y4649" s="25"/>
      <c r="Z4649" s="25"/>
      <c r="AA4649" s="25"/>
    </row>
    <row r="4650" spans="1:27" x14ac:dyDescent="0.35">
      <c r="A4650" s="5">
        <v>4646</v>
      </c>
      <c r="B4650" s="5">
        <v>194</v>
      </c>
      <c r="C4650" s="5">
        <v>7</v>
      </c>
      <c r="D4650" s="25">
        <v>1.1415000000000001E-4</v>
      </c>
      <c r="E4650" s="25">
        <v>1.1266E-4</v>
      </c>
      <c r="F4650" s="25">
        <v>1.2935E-4</v>
      </c>
      <c r="G4650" s="25">
        <v>1.5725E-4</v>
      </c>
      <c r="H4650" s="25">
        <v>1.9589E-4</v>
      </c>
      <c r="I4650" s="9">
        <v>1.2032E-4</v>
      </c>
      <c r="J4650" s="9">
        <v>1.2912000000000001E-4</v>
      </c>
      <c r="K4650" s="9">
        <v>0</v>
      </c>
      <c r="L4650" s="9">
        <v>1.6152000000000001E-4</v>
      </c>
      <c r="M4650" s="9">
        <v>1.6975000000000001E-4</v>
      </c>
      <c r="N4650" s="9">
        <v>1.7013E-4</v>
      </c>
      <c r="O4650" s="9">
        <v>1.7646E-4</v>
      </c>
      <c r="P4650" s="9">
        <v>1.6856E-4</v>
      </c>
      <c r="Q4650" s="9">
        <v>1.6054E-4</v>
      </c>
      <c r="R4650" s="10">
        <v>9.8975211601497968E-5</v>
      </c>
      <c r="S4650" s="10">
        <v>2.0212772546888798E-5</v>
      </c>
      <c r="T4650" s="10">
        <v>1.1299389874519806E-4</v>
      </c>
      <c r="U4650" s="10">
        <v>8.8690000000000006E-5</v>
      </c>
      <c r="V4650" s="25"/>
      <c r="W4650" s="25"/>
      <c r="X4650" s="25"/>
      <c r="Y4650" s="25"/>
      <c r="Z4650" s="25"/>
      <c r="AA4650" s="25"/>
    </row>
    <row r="4651" spans="1:27" x14ac:dyDescent="0.35">
      <c r="A4651" s="5">
        <v>4647</v>
      </c>
      <c r="B4651" s="5">
        <v>194</v>
      </c>
      <c r="C4651" s="5">
        <v>7</v>
      </c>
      <c r="D4651" s="25">
        <v>1.1416E-4</v>
      </c>
      <c r="E4651" s="25">
        <v>1.1466E-4</v>
      </c>
      <c r="F4651" s="25">
        <v>1.2182E-4</v>
      </c>
      <c r="G4651" s="25">
        <v>1.6131000000000001E-4</v>
      </c>
      <c r="H4651" s="25">
        <v>1.8827000000000001E-4</v>
      </c>
      <c r="I4651" s="9">
        <v>1.2243000000000001E-4</v>
      </c>
      <c r="J4651" s="9">
        <v>1.2829000000000001E-4</v>
      </c>
      <c r="K4651" s="9">
        <v>0</v>
      </c>
      <c r="L4651" s="9">
        <v>1.7336000000000001E-4</v>
      </c>
      <c r="M4651" s="9">
        <v>1.6820999999999999E-4</v>
      </c>
      <c r="N4651" s="9">
        <v>1.6969000000000001E-4</v>
      </c>
      <c r="O4651" s="9">
        <v>1.8101E-4</v>
      </c>
      <c r="P4651" s="9">
        <v>1.6641E-4</v>
      </c>
      <c r="Q4651" s="9">
        <v>1.5179000000000001E-4</v>
      </c>
      <c r="R4651" s="10">
        <v>8.3945403162958906E-5</v>
      </c>
      <c r="S4651" s="10">
        <v>1.8822304037330167E-5</v>
      </c>
      <c r="T4651" s="10">
        <v>1.2528764850355454E-4</v>
      </c>
      <c r="U4651" s="10">
        <v>8.8690000000000006E-5</v>
      </c>
      <c r="V4651" s="25"/>
      <c r="W4651" s="25"/>
      <c r="X4651" s="25"/>
      <c r="Y4651" s="25"/>
      <c r="Z4651" s="25"/>
      <c r="AA4651" s="25"/>
    </row>
    <row r="4652" spans="1:27" x14ac:dyDescent="0.35">
      <c r="A4652" s="5">
        <v>4648</v>
      </c>
      <c r="B4652" s="5">
        <v>194</v>
      </c>
      <c r="C4652" s="5">
        <v>7</v>
      </c>
      <c r="D4652" s="25">
        <v>1.1415000000000001E-4</v>
      </c>
      <c r="E4652" s="25">
        <v>1.1376E-4</v>
      </c>
      <c r="F4652" s="25">
        <v>1.3317E-4</v>
      </c>
      <c r="G4652" s="25">
        <v>1.6208999999999999E-4</v>
      </c>
      <c r="H4652" s="25">
        <v>2.0136000000000001E-4</v>
      </c>
      <c r="I4652" s="9">
        <v>1.1908000000000001E-4</v>
      </c>
      <c r="J4652" s="9">
        <v>1.2777E-4</v>
      </c>
      <c r="K4652" s="9">
        <v>0</v>
      </c>
      <c r="L4652" s="9">
        <v>1.7903E-4</v>
      </c>
      <c r="M4652" s="9">
        <v>1.6724E-4</v>
      </c>
      <c r="N4652" s="9">
        <v>1.6574E-4</v>
      </c>
      <c r="O4652" s="9">
        <v>1.9414000000000001E-4</v>
      </c>
      <c r="P4652" s="9">
        <v>1.5137000000000001E-4</v>
      </c>
      <c r="Q4652" s="9">
        <v>1.0898E-4</v>
      </c>
      <c r="R4652" s="10">
        <v>8.7695300929791685E-5</v>
      </c>
      <c r="S4652" s="10">
        <v>1.9415495877771997E-5</v>
      </c>
      <c r="T4652" s="10">
        <v>6.9469443078966917E-5</v>
      </c>
      <c r="U4652" s="10">
        <v>8.8690000000000006E-5</v>
      </c>
      <c r="V4652" s="25"/>
      <c r="W4652" s="25"/>
      <c r="X4652" s="25"/>
      <c r="Y4652" s="25"/>
      <c r="Z4652" s="25"/>
      <c r="AA4652" s="25"/>
    </row>
    <row r="4653" spans="1:27" x14ac:dyDescent="0.35">
      <c r="A4653" s="5">
        <v>4649</v>
      </c>
      <c r="B4653" s="5">
        <v>194</v>
      </c>
      <c r="C4653" s="5">
        <v>7</v>
      </c>
      <c r="D4653" s="25">
        <v>1.1416E-4</v>
      </c>
      <c r="E4653" s="25">
        <v>1.1156E-4</v>
      </c>
      <c r="F4653" s="25">
        <v>1.2344999999999999E-4</v>
      </c>
      <c r="G4653" s="25">
        <v>1.6336000000000001E-4</v>
      </c>
      <c r="H4653" s="25">
        <v>1.9163000000000001E-4</v>
      </c>
      <c r="I4653" s="9">
        <v>1.2087E-4</v>
      </c>
      <c r="J4653" s="9">
        <v>1.284E-4</v>
      </c>
      <c r="K4653" s="9">
        <v>0</v>
      </c>
      <c r="L4653" s="9">
        <v>1.906E-4</v>
      </c>
      <c r="M4653" s="9">
        <v>1.6139E-4</v>
      </c>
      <c r="N4653" s="9">
        <v>1.5195000000000001E-4</v>
      </c>
      <c r="O4653" s="9">
        <v>2.1032000000000001E-4</v>
      </c>
      <c r="P4653" s="9">
        <v>1.5809E-4</v>
      </c>
      <c r="Q4653" s="9">
        <v>1.0634E-4</v>
      </c>
      <c r="R4653" s="10">
        <v>9.4517750849165507E-5</v>
      </c>
      <c r="S4653" s="10">
        <v>1.7830142242069862E-5</v>
      </c>
      <c r="T4653" s="10">
        <v>1.0163342191535722E-4</v>
      </c>
      <c r="U4653" s="10">
        <v>8.8690000000000006E-5</v>
      </c>
      <c r="V4653" s="25"/>
      <c r="W4653" s="25"/>
      <c r="X4653" s="25"/>
      <c r="Y4653" s="25"/>
      <c r="Z4653" s="25"/>
      <c r="AA4653" s="25"/>
    </row>
    <row r="4654" spans="1:27" x14ac:dyDescent="0.35">
      <c r="A4654" s="5">
        <v>4650</v>
      </c>
      <c r="B4654" s="5">
        <v>194</v>
      </c>
      <c r="C4654" s="5">
        <v>7</v>
      </c>
      <c r="D4654" s="25">
        <v>1.1415000000000001E-4</v>
      </c>
      <c r="E4654" s="25">
        <v>1.1111E-4</v>
      </c>
      <c r="F4654" s="25">
        <v>1.3285E-4</v>
      </c>
      <c r="G4654" s="25">
        <v>1.5831999999999999E-4</v>
      </c>
      <c r="H4654" s="25">
        <v>1.9866E-4</v>
      </c>
      <c r="I4654" s="9">
        <v>1.2024E-4</v>
      </c>
      <c r="J4654" s="9">
        <v>1.227E-4</v>
      </c>
      <c r="K4654" s="9">
        <v>0</v>
      </c>
      <c r="L4654" s="9">
        <v>2.0574999999999999E-4</v>
      </c>
      <c r="M4654" s="9">
        <v>1.5859000000000001E-4</v>
      </c>
      <c r="N4654" s="9">
        <v>1.3847999999999999E-4</v>
      </c>
      <c r="O4654" s="9">
        <v>2.0417999999999999E-4</v>
      </c>
      <c r="P4654" s="9">
        <v>1.6096E-4</v>
      </c>
      <c r="Q4654" s="9">
        <v>1.1809E-4</v>
      </c>
      <c r="R4654" s="10">
        <v>9.6397112166895989E-5</v>
      </c>
      <c r="S4654" s="10">
        <v>1.9842808582092386E-5</v>
      </c>
      <c r="T4654" s="10">
        <v>5.2662046066334603E-5</v>
      </c>
      <c r="U4654" s="10">
        <v>8.8690000000000006E-5</v>
      </c>
      <c r="V4654" s="25"/>
      <c r="W4654" s="25"/>
      <c r="X4654" s="25"/>
      <c r="Y4654" s="25"/>
      <c r="Z4654" s="25"/>
      <c r="AA4654" s="25"/>
    </row>
    <row r="4655" spans="1:27" x14ac:dyDescent="0.35">
      <c r="A4655" s="5">
        <v>4651</v>
      </c>
      <c r="B4655" s="5">
        <v>194</v>
      </c>
      <c r="C4655" s="5">
        <v>7</v>
      </c>
      <c r="D4655" s="25">
        <v>1.1416E-4</v>
      </c>
      <c r="E4655" s="25">
        <v>1.1599000000000001E-4</v>
      </c>
      <c r="F4655" s="25">
        <v>1.2847999999999999E-4</v>
      </c>
      <c r="G4655" s="25">
        <v>1.0838E-4</v>
      </c>
      <c r="H4655" s="25">
        <v>1.3904E-4</v>
      </c>
      <c r="I4655" s="9">
        <v>1.1613E-4</v>
      </c>
      <c r="J4655" s="9">
        <v>1.1988E-4</v>
      </c>
      <c r="K4655" s="9">
        <v>0</v>
      </c>
      <c r="L4655" s="9">
        <v>2.0413000000000001E-4</v>
      </c>
      <c r="M4655" s="9">
        <v>1.5888E-4</v>
      </c>
      <c r="N4655" s="9">
        <v>1.2961E-4</v>
      </c>
      <c r="O4655" s="9">
        <v>1.6354999999999999E-4</v>
      </c>
      <c r="P4655" s="9">
        <v>1.3537E-4</v>
      </c>
      <c r="Q4655" s="9">
        <v>1.0745E-4</v>
      </c>
      <c r="R4655" s="10">
        <v>8.6157583306611409E-5</v>
      </c>
      <c r="S4655" s="10">
        <v>2.1514925600901779E-5</v>
      </c>
      <c r="T4655" s="10">
        <v>2.989867090990223E-5</v>
      </c>
      <c r="U4655" s="10">
        <v>8.8690000000000006E-5</v>
      </c>
      <c r="V4655" s="25"/>
      <c r="W4655" s="25"/>
      <c r="X4655" s="25"/>
      <c r="Y4655" s="25"/>
      <c r="Z4655" s="25"/>
      <c r="AA4655" s="25"/>
    </row>
    <row r="4656" spans="1:27" x14ac:dyDescent="0.35">
      <c r="A4656" s="5">
        <v>4652</v>
      </c>
      <c r="B4656" s="5">
        <v>194</v>
      </c>
      <c r="C4656" s="5">
        <v>7</v>
      </c>
      <c r="D4656" s="25">
        <v>1.1415000000000001E-4</v>
      </c>
      <c r="E4656" s="25">
        <v>1.1814E-4</v>
      </c>
      <c r="F4656" s="25">
        <v>1.2003E-4</v>
      </c>
      <c r="G4656" s="25">
        <v>1.1175000000000001E-4</v>
      </c>
      <c r="H4656" s="25">
        <v>1.2600999999999999E-4</v>
      </c>
      <c r="I4656" s="9">
        <v>1.1014E-4</v>
      </c>
      <c r="J4656" s="9">
        <v>1.1595E-4</v>
      </c>
      <c r="K4656" s="9">
        <v>0</v>
      </c>
      <c r="L4656" s="9">
        <v>1.7259E-4</v>
      </c>
      <c r="M4656" s="9">
        <v>1.5066999999999999E-4</v>
      </c>
      <c r="N4656" s="9">
        <v>1.2068E-4</v>
      </c>
      <c r="O4656" s="9">
        <v>1.2746E-4</v>
      </c>
      <c r="P4656" s="9">
        <v>1.1442000000000001E-4</v>
      </c>
      <c r="Q4656" s="9">
        <v>1.015E-4</v>
      </c>
      <c r="R4656" s="10">
        <v>8.7810277935741087E-5</v>
      </c>
      <c r="S4656" s="10">
        <v>2.2625454732402331E-5</v>
      </c>
      <c r="T4656" s="10">
        <v>3.614311523160712E-6</v>
      </c>
      <c r="U4656" s="10">
        <v>8.8690000000000006E-5</v>
      </c>
      <c r="V4656" s="25"/>
      <c r="W4656" s="25"/>
      <c r="X4656" s="25"/>
      <c r="Y4656" s="25"/>
      <c r="Z4656" s="25"/>
      <c r="AA4656" s="25"/>
    </row>
    <row r="4657" spans="1:27" x14ac:dyDescent="0.35">
      <c r="A4657" s="5">
        <v>4653</v>
      </c>
      <c r="B4657" s="5">
        <v>194</v>
      </c>
      <c r="C4657" s="5">
        <v>7</v>
      </c>
      <c r="D4657" s="25">
        <v>1.1416E-4</v>
      </c>
      <c r="E4657" s="25">
        <v>1.153E-4</v>
      </c>
      <c r="F4657" s="25">
        <v>1.3474E-4</v>
      </c>
      <c r="G4657" s="25">
        <v>5.257E-5</v>
      </c>
      <c r="H4657" s="25">
        <v>6.6409999999999996E-5</v>
      </c>
      <c r="I4657" s="9">
        <v>1.0621E-4</v>
      </c>
      <c r="J4657" s="9">
        <v>1.1263E-4</v>
      </c>
      <c r="K4657" s="9">
        <v>0</v>
      </c>
      <c r="L4657" s="9">
        <v>1.3836999999999999E-4</v>
      </c>
      <c r="M4657" s="9">
        <v>1.3530000000000001E-4</v>
      </c>
      <c r="N4657" s="9">
        <v>1.1301E-4</v>
      </c>
      <c r="O4657" s="9">
        <v>8.4709999999999994E-5</v>
      </c>
      <c r="P4657" s="9">
        <v>8.6689999999999998E-5</v>
      </c>
      <c r="Q4657" s="9">
        <v>8.8690000000000006E-5</v>
      </c>
      <c r="R4657" s="10">
        <v>9.8714016708528242E-5</v>
      </c>
      <c r="S4657" s="10">
        <v>2.3934060975463853E-5</v>
      </c>
      <c r="T4657" s="10">
        <v>0</v>
      </c>
      <c r="U4657" s="10">
        <v>8.8690000000000006E-5</v>
      </c>
      <c r="V4657" s="25"/>
      <c r="W4657" s="25"/>
      <c r="X4657" s="25"/>
      <c r="Y4657" s="25"/>
      <c r="Z4657" s="25"/>
      <c r="AA4657" s="25"/>
    </row>
    <row r="4658" spans="1:27" x14ac:dyDescent="0.35">
      <c r="A4658" s="5">
        <v>4654</v>
      </c>
      <c r="B4658" s="5">
        <v>194</v>
      </c>
      <c r="C4658" s="5">
        <v>7</v>
      </c>
      <c r="D4658" s="25">
        <v>1.1415000000000001E-4</v>
      </c>
      <c r="E4658" s="25">
        <v>1.1498E-4</v>
      </c>
      <c r="F4658" s="25">
        <v>1.1682E-4</v>
      </c>
      <c r="G4658" s="25">
        <v>6.0449999999999999E-5</v>
      </c>
      <c r="H4658" s="25">
        <v>7.3889999999999999E-5</v>
      </c>
      <c r="I4658" s="9">
        <v>1.0925999999999999E-4</v>
      </c>
      <c r="J4658" s="9">
        <v>1.1171999999999999E-4</v>
      </c>
      <c r="K4658" s="9">
        <v>0</v>
      </c>
      <c r="L4658" s="9">
        <v>9.7449999999999997E-5</v>
      </c>
      <c r="M4658" s="9">
        <v>1.1382E-4</v>
      </c>
      <c r="N4658" s="9">
        <v>1.0560000000000001E-4</v>
      </c>
      <c r="O4658" s="9">
        <v>8.6799999999999996E-5</v>
      </c>
      <c r="P4658" s="9">
        <v>8.7410000000000005E-5</v>
      </c>
      <c r="Q4658" s="9">
        <v>8.8059999999999994E-5</v>
      </c>
      <c r="R4658" s="10">
        <v>1.0924929830704501E-4</v>
      </c>
      <c r="S4658" s="10">
        <v>2.9724425859428771E-5</v>
      </c>
      <c r="T4658" s="10">
        <v>0</v>
      </c>
      <c r="U4658" s="10">
        <v>8.8690000000000006E-5</v>
      </c>
      <c r="V4658" s="25"/>
      <c r="W4658" s="25"/>
      <c r="X4658" s="25"/>
      <c r="Y4658" s="25"/>
      <c r="Z4658" s="25"/>
      <c r="AA4658" s="25"/>
    </row>
    <row r="4659" spans="1:27" x14ac:dyDescent="0.35">
      <c r="A4659" s="5">
        <v>4655</v>
      </c>
      <c r="B4659" s="5">
        <v>194</v>
      </c>
      <c r="C4659" s="5">
        <v>7</v>
      </c>
      <c r="D4659" s="25">
        <v>1.1416E-4</v>
      </c>
      <c r="E4659" s="25">
        <v>1.1680000000000001E-4</v>
      </c>
      <c r="F4659" s="25">
        <v>1.2725E-4</v>
      </c>
      <c r="G4659" s="25">
        <v>5.3090000000000002E-5</v>
      </c>
      <c r="H4659" s="25">
        <v>7.2620000000000006E-5</v>
      </c>
      <c r="I4659" s="9">
        <v>1.0548E-4</v>
      </c>
      <c r="J4659" s="9">
        <v>1.07E-4</v>
      </c>
      <c r="K4659" s="9">
        <v>0</v>
      </c>
      <c r="L4659" s="9">
        <v>9.0049999999999993E-5</v>
      </c>
      <c r="M4659" s="9">
        <v>9.9049999999999995E-5</v>
      </c>
      <c r="N4659" s="9">
        <v>9.9809999999999995E-5</v>
      </c>
      <c r="O4659" s="9">
        <v>7.8059999999999995E-5</v>
      </c>
      <c r="P4659" s="9">
        <v>7.2620000000000006E-5</v>
      </c>
      <c r="Q4659" s="9">
        <v>6.7329999999999994E-5</v>
      </c>
      <c r="R4659" s="10">
        <v>1.2506747228829544E-4</v>
      </c>
      <c r="S4659" s="10">
        <v>3.828099467043401E-5</v>
      </c>
      <c r="T4659" s="10">
        <v>0</v>
      </c>
      <c r="U4659" s="10">
        <v>8.8690000000000006E-5</v>
      </c>
      <c r="V4659" s="25"/>
      <c r="W4659" s="25"/>
      <c r="X4659" s="25"/>
      <c r="Y4659" s="25"/>
      <c r="Z4659" s="25"/>
      <c r="AA4659" s="25"/>
    </row>
    <row r="4660" spans="1:27" x14ac:dyDescent="0.35">
      <c r="A4660" s="5">
        <v>4656</v>
      </c>
      <c r="B4660" s="5">
        <v>194</v>
      </c>
      <c r="C4660" s="5">
        <v>7</v>
      </c>
      <c r="D4660" s="25">
        <v>1.1415000000000001E-4</v>
      </c>
      <c r="E4660" s="25">
        <v>1.1471E-4</v>
      </c>
      <c r="F4660" s="25">
        <v>1.2852999999999999E-4</v>
      </c>
      <c r="G4660" s="25">
        <v>5.906E-5</v>
      </c>
      <c r="H4660" s="25">
        <v>7.627E-5</v>
      </c>
      <c r="I4660" s="9">
        <v>1E-4</v>
      </c>
      <c r="J4660" s="9">
        <v>1.0043999999999999E-4</v>
      </c>
      <c r="K4660" s="9">
        <v>0</v>
      </c>
      <c r="L4660" s="9">
        <v>8.0690000000000002E-5</v>
      </c>
      <c r="M4660" s="9">
        <v>8.6279999999999994E-5</v>
      </c>
      <c r="N4660" s="9">
        <v>9.0660000000000003E-5</v>
      </c>
      <c r="O4660" s="9">
        <v>6.2130000000000003E-5</v>
      </c>
      <c r="P4660" s="9">
        <v>6.0180000000000003E-5</v>
      </c>
      <c r="Q4660" s="9">
        <v>5.838E-5</v>
      </c>
      <c r="R4660" s="10">
        <v>1.2933830857411372E-4</v>
      </c>
      <c r="S4660" s="10">
        <v>5.1473082095956078E-5</v>
      </c>
      <c r="T4660" s="10">
        <v>0</v>
      </c>
      <c r="U4660" s="10">
        <v>8.8690000000000006E-5</v>
      </c>
      <c r="V4660" s="25"/>
      <c r="W4660" s="25"/>
      <c r="X4660" s="25"/>
      <c r="Y4660" s="25"/>
      <c r="Z4660" s="25"/>
      <c r="AA4660" s="25"/>
    </row>
    <row r="4661" spans="1:27" x14ac:dyDescent="0.35">
      <c r="A4661" s="5">
        <v>4657</v>
      </c>
      <c r="B4661" s="5">
        <v>195</v>
      </c>
      <c r="C4661" s="5">
        <v>7</v>
      </c>
      <c r="D4661" s="25">
        <v>1.1416E-4</v>
      </c>
      <c r="E4661" s="25">
        <v>1.2147E-4</v>
      </c>
      <c r="F4661" s="25">
        <v>9.9939999999999995E-5</v>
      </c>
      <c r="G4661" s="25">
        <v>5.4209999999999998E-5</v>
      </c>
      <c r="H4661" s="25">
        <v>4.4960000000000003E-5</v>
      </c>
      <c r="I4661" s="9">
        <v>9.5660000000000002E-5</v>
      </c>
      <c r="J4661" s="9">
        <v>9.5270000000000001E-5</v>
      </c>
      <c r="K4661" s="9">
        <v>0</v>
      </c>
      <c r="L4661" s="9">
        <v>6.6210000000000005E-5</v>
      </c>
      <c r="M4661" s="9">
        <v>7.3960000000000003E-5</v>
      </c>
      <c r="N4661" s="9">
        <v>8.1139999999999999E-5</v>
      </c>
      <c r="O4661" s="9">
        <v>6.7680000000000003E-5</v>
      </c>
      <c r="P4661" s="9">
        <v>6.0260000000000002E-5</v>
      </c>
      <c r="Q4661" s="9">
        <v>5.3140000000000003E-5</v>
      </c>
      <c r="R4661" s="10">
        <v>1.5097097906620707E-4</v>
      </c>
      <c r="S4661" s="10">
        <v>6.1379640512662938E-5</v>
      </c>
      <c r="T4661" s="10">
        <v>0</v>
      </c>
      <c r="U4661" s="10">
        <v>8.7479999999999996E-5</v>
      </c>
      <c r="V4661" s="25"/>
      <c r="W4661" s="25"/>
      <c r="X4661" s="25"/>
      <c r="Y4661" s="25"/>
      <c r="Z4661" s="25"/>
      <c r="AA4661" s="25"/>
    </row>
    <row r="4662" spans="1:27" x14ac:dyDescent="0.35">
      <c r="A4662" s="5">
        <v>4658</v>
      </c>
      <c r="B4662" s="5">
        <v>195</v>
      </c>
      <c r="C4662" s="5">
        <v>7</v>
      </c>
      <c r="D4662" s="25">
        <v>1.1415000000000001E-4</v>
      </c>
      <c r="E4662" s="25">
        <v>1.1674E-4</v>
      </c>
      <c r="F4662" s="25">
        <v>1.0066E-4</v>
      </c>
      <c r="G4662" s="25">
        <v>5.6889999999999999E-5</v>
      </c>
      <c r="H4662" s="25">
        <v>3.909E-5</v>
      </c>
      <c r="I4662" s="9">
        <v>9.2860000000000002E-5</v>
      </c>
      <c r="J4662" s="9">
        <v>9.2559999999999995E-5</v>
      </c>
      <c r="K4662" s="9">
        <v>2.332E-5</v>
      </c>
      <c r="L4662" s="9">
        <v>6.7749999999999993E-5</v>
      </c>
      <c r="M4662" s="9">
        <v>6.6089999999999999E-5</v>
      </c>
      <c r="N4662" s="9">
        <v>7.1970000000000004E-5</v>
      </c>
      <c r="O4662" s="9">
        <v>3.5379999999999997E-5</v>
      </c>
      <c r="P4662" s="9">
        <v>4.5529999999999999E-5</v>
      </c>
      <c r="Q4662" s="9">
        <v>5.5789999999999999E-5</v>
      </c>
      <c r="R4662" s="10">
        <v>1.5954138151336752E-4</v>
      </c>
      <c r="S4662" s="10">
        <v>6.2264769430450085E-5</v>
      </c>
      <c r="T4662" s="10">
        <v>0</v>
      </c>
      <c r="U4662" s="10">
        <v>8.7479999999999996E-5</v>
      </c>
      <c r="V4662" s="25"/>
      <c r="W4662" s="25"/>
      <c r="X4662" s="25"/>
      <c r="Y4662" s="25"/>
      <c r="Z4662" s="25"/>
      <c r="AA4662" s="25"/>
    </row>
    <row r="4663" spans="1:27" x14ac:dyDescent="0.35">
      <c r="A4663" s="5">
        <v>4659</v>
      </c>
      <c r="B4663" s="5">
        <v>195</v>
      </c>
      <c r="C4663" s="5">
        <v>7</v>
      </c>
      <c r="D4663" s="25">
        <v>1.1416E-4</v>
      </c>
      <c r="E4663" s="25">
        <v>1.1309E-4</v>
      </c>
      <c r="F4663" s="25">
        <v>1.0237E-4</v>
      </c>
      <c r="G4663" s="25">
        <v>5.2439999999999999E-5</v>
      </c>
      <c r="H4663" s="25">
        <v>3.9010000000000001E-5</v>
      </c>
      <c r="I4663" s="9">
        <v>9.1780000000000006E-5</v>
      </c>
      <c r="J4663" s="9">
        <v>9.1180000000000005E-5</v>
      </c>
      <c r="K4663" s="9">
        <v>1.908E-5</v>
      </c>
      <c r="L4663" s="9">
        <v>4.2419999999999997E-5</v>
      </c>
      <c r="M4663" s="9">
        <v>5.7009999999999998E-5</v>
      </c>
      <c r="N4663" s="9">
        <v>6.5309999999999996E-5</v>
      </c>
      <c r="O4663" s="9">
        <v>2.2419999999999999E-5</v>
      </c>
      <c r="P4663" s="9">
        <v>4.1690000000000002E-5</v>
      </c>
      <c r="Q4663" s="9">
        <v>6.0980000000000002E-5</v>
      </c>
      <c r="R4663" s="10">
        <v>1.6587373854697008E-4</v>
      </c>
      <c r="S4663" s="10">
        <v>5.7364255301330933E-5</v>
      </c>
      <c r="T4663" s="10">
        <v>0</v>
      </c>
      <c r="U4663" s="10">
        <v>8.7479999999999996E-5</v>
      </c>
      <c r="V4663" s="25"/>
      <c r="W4663" s="25"/>
      <c r="X4663" s="25"/>
      <c r="Y4663" s="25"/>
      <c r="Z4663" s="25"/>
      <c r="AA4663" s="25"/>
    </row>
    <row r="4664" spans="1:27" x14ac:dyDescent="0.35">
      <c r="A4664" s="5">
        <v>4660</v>
      </c>
      <c r="B4664" s="5">
        <v>195</v>
      </c>
      <c r="C4664" s="5">
        <v>7</v>
      </c>
      <c r="D4664" s="25">
        <v>1.1415000000000001E-4</v>
      </c>
      <c r="E4664" s="25">
        <v>1.1823E-4</v>
      </c>
      <c r="F4664" s="25">
        <v>9.8510000000000004E-5</v>
      </c>
      <c r="G4664" s="25">
        <v>6.2219999999999997E-5</v>
      </c>
      <c r="H4664" s="25">
        <v>4.3250000000000001E-5</v>
      </c>
      <c r="I4664" s="9">
        <v>9.1829999999999993E-5</v>
      </c>
      <c r="J4664" s="9">
        <v>9.1459999999999995E-5</v>
      </c>
      <c r="K4664" s="9">
        <v>1.061E-5</v>
      </c>
      <c r="L4664" s="9">
        <v>2.7419999999999998E-5</v>
      </c>
      <c r="M4664" s="9">
        <v>4.935E-5</v>
      </c>
      <c r="N4664" s="9">
        <v>6.1610000000000001E-5</v>
      </c>
      <c r="O4664" s="9">
        <v>2.2220000000000001E-5</v>
      </c>
      <c r="P4664" s="9">
        <v>5.1549999999999999E-5</v>
      </c>
      <c r="Q4664" s="9">
        <v>8.0760000000000006E-5</v>
      </c>
      <c r="R4664" s="10">
        <v>1.6336987532726137E-4</v>
      </c>
      <c r="S4664" s="10">
        <v>4.7709734600192518E-5</v>
      </c>
      <c r="T4664" s="10">
        <v>0</v>
      </c>
      <c r="U4664" s="10">
        <v>8.7479999999999996E-5</v>
      </c>
      <c r="V4664" s="25"/>
      <c r="W4664" s="25"/>
      <c r="X4664" s="25"/>
      <c r="Y4664" s="25"/>
      <c r="Z4664" s="25"/>
      <c r="AA4664" s="25"/>
    </row>
    <row r="4665" spans="1:27" x14ac:dyDescent="0.35">
      <c r="A4665" s="5">
        <v>4661</v>
      </c>
      <c r="B4665" s="5">
        <v>195</v>
      </c>
      <c r="C4665" s="5">
        <v>7</v>
      </c>
      <c r="D4665" s="25">
        <v>1.1416E-4</v>
      </c>
      <c r="E4665" s="25">
        <v>1.2015000000000001E-4</v>
      </c>
      <c r="F4665" s="25">
        <v>9.8350000000000005E-5</v>
      </c>
      <c r="G4665" s="25">
        <v>5.2790000000000001E-5</v>
      </c>
      <c r="H4665" s="25">
        <v>3.9150000000000003E-5</v>
      </c>
      <c r="I4665" s="9">
        <v>9.4220000000000003E-5</v>
      </c>
      <c r="J4665" s="9">
        <v>9.2520000000000002E-5</v>
      </c>
      <c r="K4665" s="9">
        <v>0</v>
      </c>
      <c r="L4665" s="9">
        <v>2.3819999999999999E-5</v>
      </c>
      <c r="M4665" s="9">
        <v>4.8319999999999998E-5</v>
      </c>
      <c r="N4665" s="9">
        <v>6.4250000000000003E-5</v>
      </c>
      <c r="O4665" s="9">
        <v>2.3779999999999999E-5</v>
      </c>
      <c r="P4665" s="9">
        <v>5.8430000000000001E-5</v>
      </c>
      <c r="Q4665" s="9">
        <v>9.2849999999999994E-5</v>
      </c>
      <c r="R4665" s="10">
        <v>1.5664054866305891E-4</v>
      </c>
      <c r="S4665" s="10">
        <v>3.5886571355826612E-5</v>
      </c>
      <c r="T4665" s="10">
        <v>3.1307064602025888E-6</v>
      </c>
      <c r="U4665" s="10">
        <v>8.7479999999999996E-5</v>
      </c>
      <c r="V4665" s="25"/>
      <c r="W4665" s="25"/>
      <c r="X4665" s="25"/>
      <c r="Y4665" s="25"/>
      <c r="Z4665" s="25"/>
      <c r="AA4665" s="25"/>
    </row>
    <row r="4666" spans="1:27" x14ac:dyDescent="0.35">
      <c r="A4666" s="5">
        <v>4662</v>
      </c>
      <c r="B4666" s="5">
        <v>195</v>
      </c>
      <c r="C4666" s="5">
        <v>7</v>
      </c>
      <c r="D4666" s="25">
        <v>1.1415000000000001E-4</v>
      </c>
      <c r="E4666" s="25">
        <v>1.1359E-4</v>
      </c>
      <c r="F4666" s="25">
        <v>9.7390000000000001E-5</v>
      </c>
      <c r="G4666" s="25">
        <v>1.0953E-4</v>
      </c>
      <c r="H4666" s="25">
        <v>8.1050000000000005E-5</v>
      </c>
      <c r="I4666" s="9">
        <v>1.008E-4</v>
      </c>
      <c r="J4666" s="9">
        <v>9.912E-5</v>
      </c>
      <c r="K4666" s="9">
        <v>0</v>
      </c>
      <c r="L4666" s="9">
        <v>2.3710000000000002E-5</v>
      </c>
      <c r="M4666" s="9">
        <v>5.202E-5</v>
      </c>
      <c r="N4666" s="9">
        <v>7.0679999999999994E-5</v>
      </c>
      <c r="O4666" s="9">
        <v>3.048E-5</v>
      </c>
      <c r="P4666" s="9">
        <v>6.9380000000000003E-5</v>
      </c>
      <c r="Q4666" s="9">
        <v>1.0798000000000001E-4</v>
      </c>
      <c r="R4666" s="10">
        <v>1.4309636371401588E-4</v>
      </c>
      <c r="S4666" s="10">
        <v>2.6321924445519044E-5</v>
      </c>
      <c r="T4666" s="10">
        <v>1.813094771125456E-5</v>
      </c>
      <c r="U4666" s="10">
        <v>8.7479999999999996E-5</v>
      </c>
      <c r="V4666" s="25"/>
      <c r="W4666" s="25"/>
      <c r="X4666" s="25"/>
      <c r="Y4666" s="25"/>
      <c r="Z4666" s="25"/>
      <c r="AA4666" s="25"/>
    </row>
    <row r="4667" spans="1:27" x14ac:dyDescent="0.35">
      <c r="A4667" s="5">
        <v>4663</v>
      </c>
      <c r="B4667" s="5">
        <v>195</v>
      </c>
      <c r="C4667" s="5">
        <v>7</v>
      </c>
      <c r="D4667" s="25">
        <v>1.1416E-4</v>
      </c>
      <c r="E4667" s="25">
        <v>1.1459999999999999E-4</v>
      </c>
      <c r="F4667" s="25">
        <v>9.8830000000000001E-5</v>
      </c>
      <c r="G4667" s="25">
        <v>1.0732E-4</v>
      </c>
      <c r="H4667" s="25">
        <v>7.7669999999999993E-5</v>
      </c>
      <c r="I4667" s="9">
        <v>1.0982E-4</v>
      </c>
      <c r="J4667" s="9">
        <v>1.1213999999999999E-4</v>
      </c>
      <c r="K4667" s="9">
        <v>0</v>
      </c>
      <c r="L4667" s="9">
        <v>2.8900000000000001E-5</v>
      </c>
      <c r="M4667" s="9">
        <v>5.9360000000000001E-5</v>
      </c>
      <c r="N4667" s="9">
        <v>8.0669999999999998E-5</v>
      </c>
      <c r="O4667" s="9">
        <v>4.6879999999999998E-5</v>
      </c>
      <c r="P4667" s="9">
        <v>8.0249999999999999E-5</v>
      </c>
      <c r="Q4667" s="9">
        <v>1.1335E-4</v>
      </c>
      <c r="R4667" s="10">
        <v>1.381582040393066E-4</v>
      </c>
      <c r="S4667" s="10">
        <v>1.8708686213968374E-5</v>
      </c>
      <c r="T4667" s="10">
        <v>1.0457747378985667E-4</v>
      </c>
      <c r="U4667" s="10">
        <v>8.7479999999999996E-5</v>
      </c>
      <c r="V4667" s="25"/>
      <c r="W4667" s="25"/>
      <c r="X4667" s="25"/>
      <c r="Y4667" s="25"/>
      <c r="Z4667" s="25"/>
      <c r="AA4667" s="25"/>
    </row>
    <row r="4668" spans="1:27" x14ac:dyDescent="0.35">
      <c r="A4668" s="5">
        <v>4664</v>
      </c>
      <c r="B4668" s="5">
        <v>195</v>
      </c>
      <c r="C4668" s="5">
        <v>7</v>
      </c>
      <c r="D4668" s="25">
        <v>1.1415000000000001E-4</v>
      </c>
      <c r="E4668" s="25">
        <v>1.1591000000000001E-4</v>
      </c>
      <c r="F4668" s="25">
        <v>9.1080000000000002E-5</v>
      </c>
      <c r="G4668" s="25">
        <v>1.5705999999999999E-4</v>
      </c>
      <c r="H4668" s="25">
        <v>1.2064E-4</v>
      </c>
      <c r="I4668" s="9">
        <v>1.1736E-4</v>
      </c>
      <c r="J4668" s="9">
        <v>1.2248000000000001E-4</v>
      </c>
      <c r="K4668" s="9">
        <v>0</v>
      </c>
      <c r="L4668" s="9">
        <v>4.2769999999999999E-5</v>
      </c>
      <c r="M4668" s="9">
        <v>6.8720000000000006E-5</v>
      </c>
      <c r="N4668" s="9">
        <v>9.1020000000000006E-5</v>
      </c>
      <c r="O4668" s="9">
        <v>6.8800000000000005E-5</v>
      </c>
      <c r="P4668" s="9">
        <v>1.0344999999999999E-4</v>
      </c>
      <c r="Q4668" s="9">
        <v>1.3774999999999999E-4</v>
      </c>
      <c r="R4668" s="10">
        <v>1.2567648391484276E-4</v>
      </c>
      <c r="S4668" s="10">
        <v>1.1878134089289523E-5</v>
      </c>
      <c r="T4668" s="10">
        <v>3.8001176789288332E-5</v>
      </c>
      <c r="U4668" s="10">
        <v>8.7479999999999996E-5</v>
      </c>
      <c r="V4668" s="25"/>
      <c r="W4668" s="25"/>
      <c r="X4668" s="25"/>
      <c r="Y4668" s="25"/>
      <c r="Z4668" s="25"/>
      <c r="AA4668" s="25"/>
    </row>
    <row r="4669" spans="1:27" x14ac:dyDescent="0.35">
      <c r="A4669" s="5">
        <v>4665</v>
      </c>
      <c r="B4669" s="5">
        <v>195</v>
      </c>
      <c r="C4669" s="5">
        <v>7</v>
      </c>
      <c r="D4669" s="25">
        <v>1.1416E-4</v>
      </c>
      <c r="E4669" s="25">
        <v>1.1892000000000001E-4</v>
      </c>
      <c r="F4669" s="25">
        <v>9.0740000000000002E-5</v>
      </c>
      <c r="G4669" s="25">
        <v>1.6492000000000001E-4</v>
      </c>
      <c r="H4669" s="25">
        <v>1.1449E-4</v>
      </c>
      <c r="I4669" s="9">
        <v>1.2142E-4</v>
      </c>
      <c r="J4669" s="9">
        <v>1.2757E-4</v>
      </c>
      <c r="K4669" s="9">
        <v>0</v>
      </c>
      <c r="L4669" s="9">
        <v>6.2689999999999998E-5</v>
      </c>
      <c r="M4669" s="9">
        <v>8.3540000000000003E-5</v>
      </c>
      <c r="N4669" s="9">
        <v>1.0504E-4</v>
      </c>
      <c r="O4669" s="9">
        <v>1E-4</v>
      </c>
      <c r="P4669" s="9">
        <v>1.3917000000000001E-4</v>
      </c>
      <c r="Q4669" s="9">
        <v>1.7781000000000001E-4</v>
      </c>
      <c r="R4669" s="10">
        <v>1.1015617646430899E-4</v>
      </c>
      <c r="S4669" s="10">
        <v>8.7386225302968671E-6</v>
      </c>
      <c r="T4669" s="10">
        <v>1.2444770286789043E-4</v>
      </c>
      <c r="U4669" s="10">
        <v>8.7479999999999996E-5</v>
      </c>
      <c r="V4669" s="25"/>
      <c r="W4669" s="25"/>
      <c r="X4669" s="25"/>
      <c r="Y4669" s="25"/>
      <c r="Z4669" s="25"/>
      <c r="AA4669" s="25"/>
    </row>
    <row r="4670" spans="1:27" x14ac:dyDescent="0.35">
      <c r="A4670" s="5">
        <v>4666</v>
      </c>
      <c r="B4670" s="5">
        <v>195</v>
      </c>
      <c r="C4670" s="5">
        <v>7</v>
      </c>
      <c r="D4670" s="25">
        <v>1.1415000000000001E-4</v>
      </c>
      <c r="E4670" s="25">
        <v>1.2019E-4</v>
      </c>
      <c r="F4670" s="25">
        <v>8.9829999999999999E-5</v>
      </c>
      <c r="G4670" s="25">
        <v>1.6547999999999999E-4</v>
      </c>
      <c r="H4670" s="25">
        <v>1.2237000000000001E-4</v>
      </c>
      <c r="I4670" s="9">
        <v>1.2344999999999999E-4</v>
      </c>
      <c r="J4670" s="9">
        <v>1.2907000000000001E-4</v>
      </c>
      <c r="K4670" s="9">
        <v>0</v>
      </c>
      <c r="L4670" s="9">
        <v>9.1269999999999999E-5</v>
      </c>
      <c r="M4670" s="9">
        <v>1.0730000000000001E-4</v>
      </c>
      <c r="N4670" s="9">
        <v>1.2523999999999999E-4</v>
      </c>
      <c r="O4670" s="9">
        <v>1.2657E-4</v>
      </c>
      <c r="P4670" s="9">
        <v>1.5362000000000001E-4</v>
      </c>
      <c r="Q4670" s="9">
        <v>1.8024999999999999E-4</v>
      </c>
      <c r="R4670" s="10">
        <v>9.8190444887693586E-5</v>
      </c>
      <c r="S4670" s="10">
        <v>7.1237320748200136E-6</v>
      </c>
      <c r="T4670" s="10">
        <v>2.3920633587791814E-4</v>
      </c>
      <c r="U4670" s="10">
        <v>8.7479999999999996E-5</v>
      </c>
      <c r="V4670" s="25"/>
      <c r="W4670" s="25"/>
      <c r="X4670" s="25"/>
      <c r="Y4670" s="25"/>
      <c r="Z4670" s="25"/>
      <c r="AA4670" s="25"/>
    </row>
    <row r="4671" spans="1:27" x14ac:dyDescent="0.35">
      <c r="A4671" s="5">
        <v>4667</v>
      </c>
      <c r="B4671" s="5">
        <v>195</v>
      </c>
      <c r="C4671" s="5">
        <v>7</v>
      </c>
      <c r="D4671" s="25">
        <v>1.1416E-4</v>
      </c>
      <c r="E4671" s="25">
        <v>1.2265999999999999E-4</v>
      </c>
      <c r="F4671" s="25">
        <v>9.5459999999999997E-5</v>
      </c>
      <c r="G4671" s="25">
        <v>1.6689E-4</v>
      </c>
      <c r="H4671" s="25">
        <v>1.2004E-4</v>
      </c>
      <c r="I4671" s="9">
        <v>1.2467000000000001E-4</v>
      </c>
      <c r="J4671" s="9">
        <v>1.2990000000000001E-4</v>
      </c>
      <c r="K4671" s="9">
        <v>0</v>
      </c>
      <c r="L4671" s="9">
        <v>1.181E-4</v>
      </c>
      <c r="M4671" s="9">
        <v>1.2997E-4</v>
      </c>
      <c r="N4671" s="9">
        <v>1.4286E-4</v>
      </c>
      <c r="O4671" s="9">
        <v>1.3549999999999999E-4</v>
      </c>
      <c r="P4671" s="9">
        <v>1.5731999999999999E-4</v>
      </c>
      <c r="Q4671" s="9">
        <v>1.7876E-4</v>
      </c>
      <c r="R4671" s="10">
        <v>8.1324376811868962E-5</v>
      </c>
      <c r="S4671" s="10">
        <v>6.9101157768756717E-6</v>
      </c>
      <c r="T4671" s="10">
        <v>1.008528663751441E-4</v>
      </c>
      <c r="U4671" s="10">
        <v>8.7479999999999996E-5</v>
      </c>
      <c r="V4671" s="25"/>
      <c r="W4671" s="25"/>
      <c r="X4671" s="25"/>
      <c r="Y4671" s="25"/>
      <c r="Z4671" s="25"/>
      <c r="AA4671" s="25"/>
    </row>
    <row r="4672" spans="1:27" x14ac:dyDescent="0.35">
      <c r="A4672" s="5">
        <v>4668</v>
      </c>
      <c r="B4672" s="5">
        <v>195</v>
      </c>
      <c r="C4672" s="5">
        <v>7</v>
      </c>
      <c r="D4672" s="25">
        <v>1.1415000000000001E-4</v>
      </c>
      <c r="E4672" s="25">
        <v>1.1438999999999999E-4</v>
      </c>
      <c r="F4672" s="25">
        <v>8.9430000000000003E-5</v>
      </c>
      <c r="G4672" s="25">
        <v>1.5948000000000001E-4</v>
      </c>
      <c r="H4672" s="25">
        <v>1.2233E-4</v>
      </c>
      <c r="I4672" s="9">
        <v>1.227E-4</v>
      </c>
      <c r="J4672" s="9">
        <v>1.2901000000000001E-4</v>
      </c>
      <c r="K4672" s="9">
        <v>0</v>
      </c>
      <c r="L4672" s="9">
        <v>1.3104999999999999E-4</v>
      </c>
      <c r="M4672" s="9">
        <v>1.4515E-4</v>
      </c>
      <c r="N4672" s="9">
        <v>1.5668E-4</v>
      </c>
      <c r="O4672" s="9">
        <v>1.3594E-4</v>
      </c>
      <c r="P4672" s="9">
        <v>1.5426E-4</v>
      </c>
      <c r="Q4672" s="9">
        <v>1.7226000000000001E-4</v>
      </c>
      <c r="R4672" s="10">
        <v>5.7182786149836184E-5</v>
      </c>
      <c r="S4672" s="10">
        <v>6.7033550477668835E-6</v>
      </c>
      <c r="T4672" s="10">
        <v>1.2275932729721207E-4</v>
      </c>
      <c r="U4672" s="10">
        <v>8.7479999999999996E-5</v>
      </c>
      <c r="V4672" s="25"/>
      <c r="W4672" s="25"/>
      <c r="X4672" s="25"/>
      <c r="Y4672" s="25"/>
      <c r="Z4672" s="25"/>
      <c r="AA4672" s="25"/>
    </row>
    <row r="4673" spans="1:27" x14ac:dyDescent="0.35">
      <c r="A4673" s="5">
        <v>4669</v>
      </c>
      <c r="B4673" s="5">
        <v>195</v>
      </c>
      <c r="C4673" s="5">
        <v>7</v>
      </c>
      <c r="D4673" s="25">
        <v>1.1416E-4</v>
      </c>
      <c r="E4673" s="25">
        <v>1.2237000000000001E-4</v>
      </c>
      <c r="F4673" s="25">
        <v>8.8430000000000005E-5</v>
      </c>
      <c r="G4673" s="25">
        <v>1.5688E-4</v>
      </c>
      <c r="H4673" s="25">
        <v>1.1796E-4</v>
      </c>
      <c r="I4673" s="9">
        <v>1.2286999999999999E-4</v>
      </c>
      <c r="J4673" s="9">
        <v>1.2914E-4</v>
      </c>
      <c r="K4673" s="9">
        <v>0</v>
      </c>
      <c r="L4673" s="9">
        <v>1.3469E-4</v>
      </c>
      <c r="M4673" s="9">
        <v>1.5168000000000001E-4</v>
      </c>
      <c r="N4673" s="9">
        <v>1.6563E-4</v>
      </c>
      <c r="O4673" s="9">
        <v>1.3014E-4</v>
      </c>
      <c r="P4673" s="9">
        <v>1.495E-4</v>
      </c>
      <c r="Q4673" s="9">
        <v>1.6855E-4</v>
      </c>
      <c r="R4673" s="10">
        <v>5.7162797857146039E-5</v>
      </c>
      <c r="S4673" s="10">
        <v>4.8476468887734662E-6</v>
      </c>
      <c r="T4673" s="10">
        <v>2.9074845443003393E-4</v>
      </c>
      <c r="U4673" s="10">
        <v>8.7479999999999996E-5</v>
      </c>
      <c r="V4673" s="25"/>
      <c r="W4673" s="25"/>
      <c r="X4673" s="25"/>
      <c r="Y4673" s="25"/>
      <c r="Z4673" s="25"/>
      <c r="AA4673" s="25"/>
    </row>
    <row r="4674" spans="1:27" x14ac:dyDescent="0.35">
      <c r="A4674" s="5">
        <v>4670</v>
      </c>
      <c r="B4674" s="5">
        <v>195</v>
      </c>
      <c r="C4674" s="5">
        <v>7</v>
      </c>
      <c r="D4674" s="25">
        <v>1.1415000000000001E-4</v>
      </c>
      <c r="E4674" s="25">
        <v>1.17E-4</v>
      </c>
      <c r="F4674" s="25">
        <v>9.0359999999999995E-5</v>
      </c>
      <c r="G4674" s="25">
        <v>1.671E-4</v>
      </c>
      <c r="H4674" s="25">
        <v>1.2058E-4</v>
      </c>
      <c r="I4674" s="9">
        <v>1.2203E-4</v>
      </c>
      <c r="J4674" s="9">
        <v>1.2819E-4</v>
      </c>
      <c r="K4674" s="9">
        <v>0</v>
      </c>
      <c r="L4674" s="9">
        <v>1.3119999999999999E-4</v>
      </c>
      <c r="M4674" s="9">
        <v>1.5211000000000001E-4</v>
      </c>
      <c r="N4674" s="9">
        <v>1.7013999999999999E-4</v>
      </c>
      <c r="O4674" s="9">
        <v>1.1154000000000001E-4</v>
      </c>
      <c r="P4674" s="9">
        <v>1.3604000000000001E-4</v>
      </c>
      <c r="Q4674" s="9">
        <v>1.6019999999999999E-4</v>
      </c>
      <c r="R4674" s="10">
        <v>5.2607142903275327E-5</v>
      </c>
      <c r="S4674" s="10">
        <v>2.9046573124804698E-6</v>
      </c>
      <c r="T4674" s="10">
        <v>4.2045642289501272E-4</v>
      </c>
      <c r="U4674" s="10">
        <v>8.7479999999999996E-5</v>
      </c>
      <c r="V4674" s="25"/>
      <c r="W4674" s="25"/>
      <c r="X4674" s="25"/>
      <c r="Y4674" s="25"/>
      <c r="Z4674" s="25"/>
      <c r="AA4674" s="25"/>
    </row>
    <row r="4675" spans="1:27" x14ac:dyDescent="0.35">
      <c r="A4675" s="5">
        <v>4671</v>
      </c>
      <c r="B4675" s="5">
        <v>195</v>
      </c>
      <c r="C4675" s="5">
        <v>7</v>
      </c>
      <c r="D4675" s="25">
        <v>1.1416E-4</v>
      </c>
      <c r="E4675" s="25">
        <v>1.2454E-4</v>
      </c>
      <c r="F4675" s="25">
        <v>9.5160000000000004E-5</v>
      </c>
      <c r="G4675" s="25">
        <v>1.6666000000000001E-4</v>
      </c>
      <c r="H4675" s="25">
        <v>1.2166E-4</v>
      </c>
      <c r="I4675" s="9">
        <v>1.2210000000000001E-4</v>
      </c>
      <c r="J4675" s="9">
        <v>1.2758999999999999E-4</v>
      </c>
      <c r="K4675" s="9">
        <v>0</v>
      </c>
      <c r="L4675" s="9">
        <v>1.1603E-4</v>
      </c>
      <c r="M4675" s="9">
        <v>1.462E-4</v>
      </c>
      <c r="N4675" s="9">
        <v>1.6953000000000001E-4</v>
      </c>
      <c r="O4675" s="9">
        <v>1.2604000000000001E-4</v>
      </c>
      <c r="P4675" s="9">
        <v>1.3914999999999999E-4</v>
      </c>
      <c r="Q4675" s="9">
        <v>1.5207E-4</v>
      </c>
      <c r="R4675" s="10">
        <v>5.5845121444076527E-5</v>
      </c>
      <c r="S4675" s="10">
        <v>3.3528822152706987E-6</v>
      </c>
      <c r="T4675" s="10">
        <v>3.050954046311249E-4</v>
      </c>
      <c r="U4675" s="10">
        <v>8.7479999999999996E-5</v>
      </c>
      <c r="V4675" s="25"/>
      <c r="W4675" s="25"/>
      <c r="X4675" s="25"/>
      <c r="Y4675" s="25"/>
      <c r="Z4675" s="25"/>
      <c r="AA4675" s="25"/>
    </row>
    <row r="4676" spans="1:27" x14ac:dyDescent="0.35">
      <c r="A4676" s="5">
        <v>4672</v>
      </c>
      <c r="B4676" s="5">
        <v>195</v>
      </c>
      <c r="C4676" s="5">
        <v>7</v>
      </c>
      <c r="D4676" s="25">
        <v>1.1415000000000001E-4</v>
      </c>
      <c r="E4676" s="25">
        <v>1.2184999999999999E-4</v>
      </c>
      <c r="F4676" s="25">
        <v>8.9480000000000004E-5</v>
      </c>
      <c r="G4676" s="25">
        <v>1.6280999999999999E-4</v>
      </c>
      <c r="H4676" s="25">
        <v>1.219E-4</v>
      </c>
      <c r="I4676" s="9">
        <v>1.2108999999999999E-4</v>
      </c>
      <c r="J4676" s="9">
        <v>1.2647E-4</v>
      </c>
      <c r="K4676" s="9">
        <v>0</v>
      </c>
      <c r="L4676" s="9">
        <v>1.2427E-4</v>
      </c>
      <c r="M4676" s="9">
        <v>1.4198999999999999E-4</v>
      </c>
      <c r="N4676" s="9">
        <v>1.6566000000000001E-4</v>
      </c>
      <c r="O4676" s="9">
        <v>1.3247000000000001E-4</v>
      </c>
      <c r="P4676" s="9">
        <v>1.2071E-4</v>
      </c>
      <c r="Q4676" s="9">
        <v>1.0911E-4</v>
      </c>
      <c r="R4676" s="10">
        <v>6.7681911093113204E-5</v>
      </c>
      <c r="S4676" s="10">
        <v>3.0827505879691988E-6</v>
      </c>
      <c r="T4676" s="10">
        <v>1.7290153645655435E-4</v>
      </c>
      <c r="U4676" s="10">
        <v>8.7479999999999996E-5</v>
      </c>
      <c r="V4676" s="25"/>
      <c r="W4676" s="25"/>
      <c r="X4676" s="25"/>
      <c r="Y4676" s="25"/>
      <c r="Z4676" s="25"/>
      <c r="AA4676" s="25"/>
    </row>
    <row r="4677" spans="1:27" x14ac:dyDescent="0.35">
      <c r="A4677" s="5">
        <v>4673</v>
      </c>
      <c r="B4677" s="5">
        <v>195</v>
      </c>
      <c r="C4677" s="5">
        <v>7</v>
      </c>
      <c r="D4677" s="25">
        <v>1.1416E-4</v>
      </c>
      <c r="E4677" s="25">
        <v>1.1927E-4</v>
      </c>
      <c r="F4677" s="25">
        <v>9.7120000000000005E-5</v>
      </c>
      <c r="G4677" s="25">
        <v>1.6583E-4</v>
      </c>
      <c r="H4677" s="25">
        <v>1.2011E-4</v>
      </c>
      <c r="I4677" s="9">
        <v>1.2113E-4</v>
      </c>
      <c r="J4677" s="9">
        <v>1.2684E-4</v>
      </c>
      <c r="K4677" s="9">
        <v>0</v>
      </c>
      <c r="L4677" s="9">
        <v>1.3040999999999999E-4</v>
      </c>
      <c r="M4677" s="9">
        <v>1.3338E-4</v>
      </c>
      <c r="N4677" s="9">
        <v>1.5192999999999999E-4</v>
      </c>
      <c r="O4677" s="9">
        <v>1.3909999999999999E-4</v>
      </c>
      <c r="P4677" s="9">
        <v>1.2292999999999999E-4</v>
      </c>
      <c r="Q4677" s="9">
        <v>1.0699E-4</v>
      </c>
      <c r="R4677" s="10">
        <v>7.0724821466930377E-5</v>
      </c>
      <c r="S4677" s="10">
        <v>6.4947648764246906E-6</v>
      </c>
      <c r="T4677" s="10">
        <v>1.194928720474072E-4</v>
      </c>
      <c r="U4677" s="10">
        <v>8.7479999999999996E-5</v>
      </c>
      <c r="V4677" s="25"/>
      <c r="W4677" s="25"/>
      <c r="X4677" s="25"/>
      <c r="Y4677" s="25"/>
      <c r="Z4677" s="25"/>
      <c r="AA4677" s="25"/>
    </row>
    <row r="4678" spans="1:27" x14ac:dyDescent="0.35">
      <c r="A4678" s="5">
        <v>4674</v>
      </c>
      <c r="B4678" s="5">
        <v>195</v>
      </c>
      <c r="C4678" s="5">
        <v>7</v>
      </c>
      <c r="D4678" s="25">
        <v>1.1415000000000001E-4</v>
      </c>
      <c r="E4678" s="25">
        <v>1.1759E-4</v>
      </c>
      <c r="F4678" s="25">
        <v>9.7949999999999996E-5</v>
      </c>
      <c r="G4678" s="25">
        <v>1.5715E-4</v>
      </c>
      <c r="H4678" s="25">
        <v>1.2142E-4</v>
      </c>
      <c r="I4678" s="9">
        <v>1.1891E-4</v>
      </c>
      <c r="J4678" s="9">
        <v>1.2124E-4</v>
      </c>
      <c r="K4678" s="9">
        <v>0</v>
      </c>
      <c r="L4678" s="9">
        <v>1.3689999999999999E-4</v>
      </c>
      <c r="M4678" s="9">
        <v>1.2744000000000001E-4</v>
      </c>
      <c r="N4678" s="9">
        <v>1.3870000000000001E-4</v>
      </c>
      <c r="O4678" s="9">
        <v>1.3901000000000001E-4</v>
      </c>
      <c r="P4678" s="9">
        <v>1.2789999999999999E-4</v>
      </c>
      <c r="Q4678" s="9">
        <v>1.1692999999999999E-4</v>
      </c>
      <c r="R4678" s="10">
        <v>6.267938090798247E-5</v>
      </c>
      <c r="S4678" s="10">
        <v>1.3695389387987859E-5</v>
      </c>
      <c r="T4678" s="10">
        <v>1.1368112699255959E-4</v>
      </c>
      <c r="U4678" s="10">
        <v>8.7479999999999996E-5</v>
      </c>
      <c r="V4678" s="25"/>
      <c r="W4678" s="25"/>
      <c r="X4678" s="25"/>
      <c r="Y4678" s="25"/>
      <c r="Z4678" s="25"/>
      <c r="AA4678" s="25"/>
    </row>
    <row r="4679" spans="1:27" x14ac:dyDescent="0.35">
      <c r="A4679" s="5">
        <v>4675</v>
      </c>
      <c r="B4679" s="5">
        <v>195</v>
      </c>
      <c r="C4679" s="5">
        <v>7</v>
      </c>
      <c r="D4679" s="25">
        <v>1.1416E-4</v>
      </c>
      <c r="E4679" s="25">
        <v>1.2395E-4</v>
      </c>
      <c r="F4679" s="25">
        <v>9.3010000000000006E-5</v>
      </c>
      <c r="G4679" s="25">
        <v>1.1335E-4</v>
      </c>
      <c r="H4679" s="25">
        <v>7.9099999999999998E-5</v>
      </c>
      <c r="I4679" s="9">
        <v>1.1483E-4</v>
      </c>
      <c r="J4679" s="9">
        <v>1.1809E-4</v>
      </c>
      <c r="K4679" s="9">
        <v>0</v>
      </c>
      <c r="L4679" s="9">
        <v>1.3844000000000001E-4</v>
      </c>
      <c r="M4679" s="9">
        <v>1.2626E-4</v>
      </c>
      <c r="N4679" s="9">
        <v>1.2955E-4</v>
      </c>
      <c r="O4679" s="9">
        <v>1.4176E-4</v>
      </c>
      <c r="P4679" s="9">
        <v>1.2475999999999999E-4</v>
      </c>
      <c r="Q4679" s="9">
        <v>1.0799E-4</v>
      </c>
      <c r="R4679" s="10">
        <v>5.8095341497132024E-5</v>
      </c>
      <c r="S4679" s="10">
        <v>1.5014721013257935E-5</v>
      </c>
      <c r="T4679" s="10">
        <v>5.2925059346189027E-5</v>
      </c>
      <c r="U4679" s="10">
        <v>8.7479999999999996E-5</v>
      </c>
      <c r="V4679" s="25"/>
      <c r="W4679" s="25"/>
      <c r="X4679" s="25"/>
      <c r="Y4679" s="25"/>
      <c r="Z4679" s="25"/>
      <c r="AA4679" s="25"/>
    </row>
    <row r="4680" spans="1:27" x14ac:dyDescent="0.35">
      <c r="A4680" s="5">
        <v>4676</v>
      </c>
      <c r="B4680" s="5">
        <v>195</v>
      </c>
      <c r="C4680" s="5">
        <v>7</v>
      </c>
      <c r="D4680" s="25">
        <v>1.1415000000000001E-4</v>
      </c>
      <c r="E4680" s="25">
        <v>1.1582999999999999E-4</v>
      </c>
      <c r="F4680" s="25">
        <v>8.8830000000000002E-5</v>
      </c>
      <c r="G4680" s="25">
        <v>1.0856E-4</v>
      </c>
      <c r="H4680" s="25">
        <v>7.941E-5</v>
      </c>
      <c r="I4680" s="9">
        <v>1.1E-4</v>
      </c>
      <c r="J4680" s="9">
        <v>1.1509E-4</v>
      </c>
      <c r="K4680" s="9">
        <v>0</v>
      </c>
      <c r="L4680" s="9">
        <v>1.4103E-4</v>
      </c>
      <c r="M4680" s="9">
        <v>1.2567000000000001E-4</v>
      </c>
      <c r="N4680" s="9">
        <v>1.2074E-4</v>
      </c>
      <c r="O4680" s="9">
        <v>1.4206000000000001E-4</v>
      </c>
      <c r="P4680" s="9">
        <v>1.2152E-4</v>
      </c>
      <c r="Q4680" s="9">
        <v>1.0124999999999999E-4</v>
      </c>
      <c r="R4680" s="10">
        <v>5.1622121047335846E-5</v>
      </c>
      <c r="S4680" s="10">
        <v>1.0530317617469214E-5</v>
      </c>
      <c r="T4680" s="10">
        <v>9.5957425650111864E-6</v>
      </c>
      <c r="U4680" s="10">
        <v>8.7479999999999996E-5</v>
      </c>
      <c r="V4680" s="25"/>
      <c r="W4680" s="25"/>
      <c r="X4680" s="25"/>
      <c r="Y4680" s="25"/>
      <c r="Z4680" s="25"/>
      <c r="AA4680" s="25"/>
    </row>
    <row r="4681" spans="1:27" x14ac:dyDescent="0.35">
      <c r="A4681" s="5">
        <v>4677</v>
      </c>
      <c r="B4681" s="5">
        <v>195</v>
      </c>
      <c r="C4681" s="5">
        <v>7</v>
      </c>
      <c r="D4681" s="25">
        <v>1.1416E-4</v>
      </c>
      <c r="E4681" s="25">
        <v>1.2458E-4</v>
      </c>
      <c r="F4681" s="25">
        <v>1.0285000000000001E-4</v>
      </c>
      <c r="G4681" s="25">
        <v>5.5869999999999999E-5</v>
      </c>
      <c r="H4681" s="25">
        <v>4.1749999999999998E-5</v>
      </c>
      <c r="I4681" s="9">
        <v>1.0691E-4</v>
      </c>
      <c r="J4681" s="9">
        <v>1.1211E-4</v>
      </c>
      <c r="K4681" s="9">
        <v>0</v>
      </c>
      <c r="L4681" s="9">
        <v>1.4181E-4</v>
      </c>
      <c r="M4681" s="9">
        <v>1.2407E-4</v>
      </c>
      <c r="N4681" s="9">
        <v>1.13E-4</v>
      </c>
      <c r="O4681" s="9">
        <v>8.4229999999999998E-5</v>
      </c>
      <c r="P4681" s="9">
        <v>8.6119999999999995E-5</v>
      </c>
      <c r="Q4681" s="9">
        <v>8.8109999999999995E-5</v>
      </c>
      <c r="R4681" s="10">
        <v>4.1740239340555015E-5</v>
      </c>
      <c r="S4681" s="10">
        <v>8.4207555515957591E-6</v>
      </c>
      <c r="T4681" s="10">
        <v>0</v>
      </c>
      <c r="U4681" s="10">
        <v>8.7479999999999996E-5</v>
      </c>
      <c r="V4681" s="25"/>
      <c r="W4681" s="25"/>
      <c r="X4681" s="25"/>
      <c r="Y4681" s="25"/>
      <c r="Z4681" s="25"/>
      <c r="AA4681" s="25"/>
    </row>
    <row r="4682" spans="1:27" x14ac:dyDescent="0.35">
      <c r="A4682" s="5">
        <v>4678</v>
      </c>
      <c r="B4682" s="5">
        <v>195</v>
      </c>
      <c r="C4682" s="5">
        <v>7</v>
      </c>
      <c r="D4682" s="25">
        <v>1.1415000000000001E-4</v>
      </c>
      <c r="E4682" s="25">
        <v>1.2023000000000001E-4</v>
      </c>
      <c r="F4682" s="25">
        <v>9.7979999999999994E-5</v>
      </c>
      <c r="G4682" s="25">
        <v>6.109E-5</v>
      </c>
      <c r="H4682" s="25">
        <v>4.3510000000000002E-5</v>
      </c>
      <c r="I4682" s="9">
        <v>1.1109E-4</v>
      </c>
      <c r="J4682" s="9">
        <v>1.1161E-4</v>
      </c>
      <c r="K4682" s="9">
        <v>0</v>
      </c>
      <c r="L4682" s="9">
        <v>9.6879999999999994E-5</v>
      </c>
      <c r="M4682" s="9">
        <v>1.0993E-4</v>
      </c>
      <c r="N4682" s="9">
        <v>1.0542E-4</v>
      </c>
      <c r="O4682" s="9">
        <v>8.7150000000000004E-5</v>
      </c>
      <c r="P4682" s="9">
        <v>8.7680000000000001E-5</v>
      </c>
      <c r="Q4682" s="9">
        <v>8.8330000000000003E-5</v>
      </c>
      <c r="R4682" s="10">
        <v>2.8667170480679749E-5</v>
      </c>
      <c r="S4682" s="10">
        <v>7.1930344863747684E-6</v>
      </c>
      <c r="T4682" s="10">
        <v>0</v>
      </c>
      <c r="U4682" s="10">
        <v>8.7479999999999996E-5</v>
      </c>
      <c r="V4682" s="25"/>
      <c r="W4682" s="25"/>
      <c r="X4682" s="25"/>
      <c r="Y4682" s="25"/>
      <c r="Z4682" s="25"/>
      <c r="AA4682" s="25"/>
    </row>
    <row r="4683" spans="1:27" x14ac:dyDescent="0.35">
      <c r="A4683" s="5">
        <v>4679</v>
      </c>
      <c r="B4683" s="5">
        <v>195</v>
      </c>
      <c r="C4683" s="5">
        <v>7</v>
      </c>
      <c r="D4683" s="25">
        <v>1.1416E-4</v>
      </c>
      <c r="E4683" s="25">
        <v>1.1323999999999999E-4</v>
      </c>
      <c r="F4683" s="25">
        <v>9.8179999999999999E-5</v>
      </c>
      <c r="G4683" s="25">
        <v>5.596E-5</v>
      </c>
      <c r="H4683" s="25">
        <v>4.2530000000000001E-5</v>
      </c>
      <c r="I4683" s="9">
        <v>1.0616999999999999E-4</v>
      </c>
      <c r="J4683" s="9">
        <v>1.0715E-4</v>
      </c>
      <c r="K4683" s="9">
        <v>0</v>
      </c>
      <c r="L4683" s="9">
        <v>9.0550000000000005E-5</v>
      </c>
      <c r="M4683" s="9">
        <v>9.8120000000000002E-5</v>
      </c>
      <c r="N4683" s="9">
        <v>9.9699999999999998E-5</v>
      </c>
      <c r="O4683" s="9">
        <v>8.4740000000000005E-5</v>
      </c>
      <c r="P4683" s="9">
        <v>7.5799999999999999E-5</v>
      </c>
      <c r="Q4683" s="9">
        <v>6.7150000000000006E-5</v>
      </c>
      <c r="R4683" s="10">
        <v>2.1097867152363775E-5</v>
      </c>
      <c r="S4683" s="10">
        <v>5.3900733914079175E-6</v>
      </c>
      <c r="T4683" s="10">
        <v>0</v>
      </c>
      <c r="U4683" s="10">
        <v>8.7479999999999996E-5</v>
      </c>
      <c r="V4683" s="25"/>
      <c r="W4683" s="25"/>
      <c r="X4683" s="25"/>
      <c r="Y4683" s="25"/>
      <c r="Z4683" s="25"/>
      <c r="AA4683" s="25"/>
    </row>
    <row r="4684" spans="1:27" x14ac:dyDescent="0.35">
      <c r="A4684" s="5">
        <v>4680</v>
      </c>
      <c r="B4684" s="5">
        <v>195</v>
      </c>
      <c r="C4684" s="5">
        <v>7</v>
      </c>
      <c r="D4684" s="25">
        <v>1.1415000000000001E-4</v>
      </c>
      <c r="E4684" s="25">
        <v>1.1794E-4</v>
      </c>
      <c r="F4684" s="25">
        <v>1.0721999999999999E-4</v>
      </c>
      <c r="G4684" s="25">
        <v>5.2200000000000002E-5</v>
      </c>
      <c r="H4684" s="25">
        <v>4.0620000000000001E-5</v>
      </c>
      <c r="I4684" s="9">
        <v>9.9170000000000001E-5</v>
      </c>
      <c r="J4684" s="9">
        <v>9.9240000000000005E-5</v>
      </c>
      <c r="K4684" s="9">
        <v>0</v>
      </c>
      <c r="L4684" s="9">
        <v>8.6219999999999998E-5</v>
      </c>
      <c r="M4684" s="9">
        <v>8.7330000000000006E-5</v>
      </c>
      <c r="N4684" s="9">
        <v>9.0539999999999997E-5</v>
      </c>
      <c r="O4684" s="9">
        <v>7.8770000000000006E-5</v>
      </c>
      <c r="P4684" s="9">
        <v>6.8570000000000002E-5</v>
      </c>
      <c r="Q4684" s="9">
        <v>5.8699999999999997E-5</v>
      </c>
      <c r="R4684" s="10">
        <v>1.5181191507347892E-5</v>
      </c>
      <c r="S4684" s="10">
        <v>3.265795292075892E-6</v>
      </c>
      <c r="T4684" s="10">
        <v>0</v>
      </c>
      <c r="U4684" s="10">
        <v>8.7479999999999996E-5</v>
      </c>
      <c r="V4684" s="25"/>
      <c r="W4684" s="25"/>
      <c r="X4684" s="25"/>
      <c r="Y4684" s="25"/>
      <c r="Z4684" s="25"/>
      <c r="AA4684" s="25"/>
    </row>
    <row r="4685" spans="1:27" x14ac:dyDescent="0.35">
      <c r="A4685" s="5">
        <v>4681</v>
      </c>
      <c r="B4685" s="5">
        <v>196</v>
      </c>
      <c r="C4685" s="5">
        <v>7</v>
      </c>
      <c r="D4685" s="25">
        <v>1.1416E-4</v>
      </c>
      <c r="E4685" s="25">
        <v>1.2147E-4</v>
      </c>
      <c r="F4685" s="25">
        <v>9.3519999999999999E-5</v>
      </c>
      <c r="G4685" s="25">
        <v>5.52E-5</v>
      </c>
      <c r="H4685" s="25">
        <v>1.347E-5</v>
      </c>
      <c r="I4685" s="9">
        <v>9.5480000000000001E-5</v>
      </c>
      <c r="J4685" s="9">
        <v>9.433E-5</v>
      </c>
      <c r="K4685" s="9">
        <v>0</v>
      </c>
      <c r="L4685" s="9">
        <v>8.0190000000000003E-5</v>
      </c>
      <c r="M4685" s="9">
        <v>7.8139999999999994E-5</v>
      </c>
      <c r="N4685" s="9">
        <v>8.1100000000000006E-5</v>
      </c>
      <c r="O4685" s="9">
        <v>6.8739999999999996E-5</v>
      </c>
      <c r="P4685" s="9">
        <v>6.1199999999999997E-5</v>
      </c>
      <c r="Q4685" s="9">
        <v>5.397E-5</v>
      </c>
      <c r="R4685" s="10">
        <v>1.4262131437141673E-5</v>
      </c>
      <c r="S4685" s="10">
        <v>3.8111517496468564E-6</v>
      </c>
      <c r="T4685" s="10">
        <v>0</v>
      </c>
      <c r="U4685" s="10">
        <v>8.5829999999999996E-5</v>
      </c>
      <c r="V4685" s="25"/>
      <c r="W4685" s="25"/>
      <c r="X4685" s="25"/>
      <c r="Y4685" s="25"/>
      <c r="Z4685" s="25"/>
      <c r="AA4685" s="25"/>
    </row>
    <row r="4686" spans="1:27" x14ac:dyDescent="0.35">
      <c r="A4686" s="5">
        <v>4682</v>
      </c>
      <c r="B4686" s="5">
        <v>196</v>
      </c>
      <c r="C4686" s="5">
        <v>7</v>
      </c>
      <c r="D4686" s="25">
        <v>1.1415000000000001E-4</v>
      </c>
      <c r="E4686" s="25">
        <v>1.2167000000000001E-4</v>
      </c>
      <c r="F4686" s="25">
        <v>8.6180000000000005E-5</v>
      </c>
      <c r="G4686" s="25">
        <v>5.9280000000000002E-5</v>
      </c>
      <c r="H4686" s="25">
        <v>1.275E-5</v>
      </c>
      <c r="I4686" s="9">
        <v>9.1119999999999995E-5</v>
      </c>
      <c r="J4686" s="9">
        <v>9.1479999999999998E-5</v>
      </c>
      <c r="K4686" s="9">
        <v>0</v>
      </c>
      <c r="L4686" s="9">
        <v>7.1409999999999996E-5</v>
      </c>
      <c r="M4686" s="9">
        <v>6.9880000000000002E-5</v>
      </c>
      <c r="N4686" s="9">
        <v>7.2150000000000005E-5</v>
      </c>
      <c r="O4686" s="9">
        <v>3.5639999999999998E-5</v>
      </c>
      <c r="P4686" s="9">
        <v>4.5859999999999998E-5</v>
      </c>
      <c r="Q4686" s="9">
        <v>5.6199999999999997E-5</v>
      </c>
      <c r="R4686" s="10">
        <v>1.496618483121696E-5</v>
      </c>
      <c r="S4686" s="10">
        <v>3.3779311535423159E-6</v>
      </c>
      <c r="T4686" s="10">
        <v>0</v>
      </c>
      <c r="U4686" s="10">
        <v>8.5829999999999996E-5</v>
      </c>
      <c r="V4686" s="25"/>
      <c r="W4686" s="25"/>
      <c r="X4686" s="25"/>
      <c r="Y4686" s="25"/>
      <c r="Z4686" s="25"/>
      <c r="AA4686" s="25"/>
    </row>
    <row r="4687" spans="1:27" x14ac:dyDescent="0.35">
      <c r="A4687" s="5">
        <v>4683</v>
      </c>
      <c r="B4687" s="5">
        <v>196</v>
      </c>
      <c r="C4687" s="5">
        <v>7</v>
      </c>
      <c r="D4687" s="25">
        <v>1.1416E-4</v>
      </c>
      <c r="E4687" s="25">
        <v>1.145E-4</v>
      </c>
      <c r="F4687" s="25">
        <v>1.0691E-4</v>
      </c>
      <c r="G4687" s="25">
        <v>5.2590000000000003E-5</v>
      </c>
      <c r="H4687" s="25">
        <v>1.385E-5</v>
      </c>
      <c r="I4687" s="9">
        <v>9.022E-5</v>
      </c>
      <c r="J4687" s="9">
        <v>9.0580000000000004E-5</v>
      </c>
      <c r="K4687" s="9">
        <v>0</v>
      </c>
      <c r="L4687" s="9">
        <v>4.3739999999999998E-5</v>
      </c>
      <c r="M4687" s="9">
        <v>5.9290000000000003E-5</v>
      </c>
      <c r="N4687" s="9">
        <v>6.5599999999999995E-5</v>
      </c>
      <c r="O4687" s="9">
        <v>2.2770000000000001E-5</v>
      </c>
      <c r="P4687" s="9">
        <v>4.2330000000000003E-5</v>
      </c>
      <c r="Q4687" s="9">
        <v>6.1929999999999998E-5</v>
      </c>
      <c r="R4687" s="10">
        <v>1.3045215772900379E-5</v>
      </c>
      <c r="S4687" s="10">
        <v>3.6562828477699023E-6</v>
      </c>
      <c r="T4687" s="10">
        <v>0</v>
      </c>
      <c r="U4687" s="10">
        <v>8.5829999999999996E-5</v>
      </c>
      <c r="V4687" s="25"/>
      <c r="W4687" s="25"/>
      <c r="X4687" s="25"/>
      <c r="Y4687" s="25"/>
      <c r="Z4687" s="25"/>
      <c r="AA4687" s="25"/>
    </row>
    <row r="4688" spans="1:27" x14ac:dyDescent="0.35">
      <c r="A4688" s="5">
        <v>4684</v>
      </c>
      <c r="B4688" s="5">
        <v>196</v>
      </c>
      <c r="C4688" s="5">
        <v>7</v>
      </c>
      <c r="D4688" s="25">
        <v>1.1415000000000001E-4</v>
      </c>
      <c r="E4688" s="25">
        <v>1.1613E-4</v>
      </c>
      <c r="F4688" s="25">
        <v>1.0543999999999999E-4</v>
      </c>
      <c r="G4688" s="25">
        <v>5.5399999999999998E-5</v>
      </c>
      <c r="H4688" s="25">
        <v>1.413E-5</v>
      </c>
      <c r="I4688" s="9">
        <v>9.098E-5</v>
      </c>
      <c r="J4688" s="9">
        <v>9.1119999999999995E-5</v>
      </c>
      <c r="K4688" s="9">
        <v>0</v>
      </c>
      <c r="L4688" s="9">
        <v>2.8119999999999998E-5</v>
      </c>
      <c r="M4688" s="9">
        <v>5.0640000000000003E-5</v>
      </c>
      <c r="N4688" s="9">
        <v>6.2089999999999997E-5</v>
      </c>
      <c r="O4688" s="9">
        <v>2.228E-5</v>
      </c>
      <c r="P4688" s="9">
        <v>5.168E-5</v>
      </c>
      <c r="Q4688" s="9">
        <v>8.0959999999999997E-5</v>
      </c>
      <c r="R4688" s="10">
        <v>1.0361055763170965E-5</v>
      </c>
      <c r="S4688" s="10">
        <v>4.3259292818168991E-6</v>
      </c>
      <c r="T4688" s="10">
        <v>0</v>
      </c>
      <c r="U4688" s="10">
        <v>8.5829999999999996E-5</v>
      </c>
      <c r="V4688" s="25"/>
      <c r="W4688" s="25"/>
      <c r="X4688" s="25"/>
      <c r="Y4688" s="25"/>
      <c r="Z4688" s="25"/>
      <c r="AA4688" s="25"/>
    </row>
    <row r="4689" spans="1:27" x14ac:dyDescent="0.35">
      <c r="A4689" s="5">
        <v>4685</v>
      </c>
      <c r="B4689" s="5">
        <v>196</v>
      </c>
      <c r="C4689" s="5">
        <v>7</v>
      </c>
      <c r="D4689" s="25">
        <v>1.1416E-4</v>
      </c>
      <c r="E4689" s="25">
        <v>1.1718E-4</v>
      </c>
      <c r="F4689" s="25">
        <v>1.0361000000000001E-4</v>
      </c>
      <c r="G4689" s="25">
        <v>5.2380000000000003E-5</v>
      </c>
      <c r="H4689" s="25">
        <v>1.486E-5</v>
      </c>
      <c r="I4689" s="9">
        <v>9.3750000000000002E-5</v>
      </c>
      <c r="J4689" s="9">
        <v>9.2070000000000004E-5</v>
      </c>
      <c r="K4689" s="9">
        <v>0</v>
      </c>
      <c r="L4689" s="9">
        <v>2.3949999999999999E-5</v>
      </c>
      <c r="M4689" s="9">
        <v>4.8999999999999998E-5</v>
      </c>
      <c r="N4689" s="9">
        <v>6.4729999999999999E-5</v>
      </c>
      <c r="O4689" s="9">
        <v>2.4170000000000001E-5</v>
      </c>
      <c r="P4689" s="9">
        <v>5.9379999999999997E-5</v>
      </c>
      <c r="Q4689" s="9">
        <v>9.4370000000000006E-5</v>
      </c>
      <c r="R4689" s="10">
        <v>9.504737260887759E-6</v>
      </c>
      <c r="S4689" s="10">
        <v>5.4063876255569198E-6</v>
      </c>
      <c r="T4689" s="10">
        <v>0</v>
      </c>
      <c r="U4689" s="10">
        <v>8.5829999999999996E-5</v>
      </c>
      <c r="V4689" s="25"/>
      <c r="W4689" s="25"/>
      <c r="X4689" s="25"/>
      <c r="Y4689" s="25"/>
      <c r="Z4689" s="25"/>
      <c r="AA4689" s="25"/>
    </row>
    <row r="4690" spans="1:27" x14ac:dyDescent="0.35">
      <c r="A4690" s="5">
        <v>4686</v>
      </c>
      <c r="B4690" s="5">
        <v>196</v>
      </c>
      <c r="C4690" s="5">
        <v>7</v>
      </c>
      <c r="D4690" s="25">
        <v>1.1415000000000001E-4</v>
      </c>
      <c r="E4690" s="25">
        <v>1.137E-4</v>
      </c>
      <c r="F4690" s="25">
        <v>9.789E-5</v>
      </c>
      <c r="G4690" s="25">
        <v>1.1527E-4</v>
      </c>
      <c r="H4690" s="25">
        <v>2.599E-5</v>
      </c>
      <c r="I4690" s="9">
        <v>9.9840000000000006E-5</v>
      </c>
      <c r="J4690" s="9">
        <v>9.8759999999999996E-5</v>
      </c>
      <c r="K4690" s="9">
        <v>0</v>
      </c>
      <c r="L4690" s="9">
        <v>2.404E-5</v>
      </c>
      <c r="M4690" s="9">
        <v>5.2670000000000002E-5</v>
      </c>
      <c r="N4690" s="9">
        <v>7.1420000000000004E-5</v>
      </c>
      <c r="O4690" s="9">
        <v>3.0130000000000001E-5</v>
      </c>
      <c r="P4690" s="9">
        <v>6.8590000000000006E-5</v>
      </c>
      <c r="Q4690" s="9">
        <v>1.0674E-4</v>
      </c>
      <c r="R4690" s="10">
        <v>1.0585214894559525E-5</v>
      </c>
      <c r="S4690" s="10">
        <v>7.320186798560793E-6</v>
      </c>
      <c r="T4690" s="10">
        <v>1.9692058791680783E-5</v>
      </c>
      <c r="U4690" s="10">
        <v>8.5829999999999996E-5</v>
      </c>
      <c r="V4690" s="25"/>
      <c r="W4690" s="25"/>
      <c r="X4690" s="25"/>
      <c r="Y4690" s="25"/>
      <c r="Z4690" s="25"/>
      <c r="AA4690" s="25"/>
    </row>
    <row r="4691" spans="1:27" x14ac:dyDescent="0.35">
      <c r="A4691" s="5">
        <v>4687</v>
      </c>
      <c r="B4691" s="5">
        <v>196</v>
      </c>
      <c r="C4691" s="5">
        <v>7</v>
      </c>
      <c r="D4691" s="25">
        <v>1.1416E-4</v>
      </c>
      <c r="E4691" s="25">
        <v>1.2120000000000001E-4</v>
      </c>
      <c r="F4691" s="25">
        <v>9.6089999999999996E-5</v>
      </c>
      <c r="G4691" s="25">
        <v>1.0764000000000001E-4</v>
      </c>
      <c r="H4691" s="25">
        <v>2.6380000000000002E-5</v>
      </c>
      <c r="I4691" s="9">
        <v>1.0889E-4</v>
      </c>
      <c r="J4691" s="9">
        <v>1.121E-4</v>
      </c>
      <c r="K4691" s="9">
        <v>0</v>
      </c>
      <c r="L4691" s="9">
        <v>2.87E-5</v>
      </c>
      <c r="M4691" s="9">
        <v>5.948E-5</v>
      </c>
      <c r="N4691" s="9">
        <v>8.1009999999999999E-5</v>
      </c>
      <c r="O4691" s="9">
        <v>4.6419999999999999E-5</v>
      </c>
      <c r="P4691" s="9">
        <v>7.9469999999999996E-5</v>
      </c>
      <c r="Q4691" s="9">
        <v>1.1226E-4</v>
      </c>
      <c r="R4691" s="10">
        <v>1.2533210022942141E-5</v>
      </c>
      <c r="S4691" s="10">
        <v>1.1531391194096195E-5</v>
      </c>
      <c r="T4691" s="10">
        <v>1.0092074076994524E-4</v>
      </c>
      <c r="U4691" s="10">
        <v>8.5829999999999996E-5</v>
      </c>
      <c r="V4691" s="25"/>
      <c r="W4691" s="25"/>
      <c r="X4691" s="25"/>
      <c r="Y4691" s="25"/>
      <c r="Z4691" s="25"/>
      <c r="AA4691" s="25"/>
    </row>
    <row r="4692" spans="1:27" x14ac:dyDescent="0.35">
      <c r="A4692" s="5">
        <v>4688</v>
      </c>
      <c r="B4692" s="5">
        <v>196</v>
      </c>
      <c r="C4692" s="5">
        <v>7</v>
      </c>
      <c r="D4692" s="25">
        <v>1.1415000000000001E-4</v>
      </c>
      <c r="E4692" s="25">
        <v>1.1974E-4</v>
      </c>
      <c r="F4692" s="25">
        <v>1.0606E-4</v>
      </c>
      <c r="G4692" s="25">
        <v>1.6401E-4</v>
      </c>
      <c r="H4692" s="25">
        <v>3.8330000000000001E-5</v>
      </c>
      <c r="I4692" s="9">
        <v>1.1680000000000001E-4</v>
      </c>
      <c r="J4692" s="9">
        <v>1.211E-4</v>
      </c>
      <c r="K4692" s="9">
        <v>0</v>
      </c>
      <c r="L4692" s="9">
        <v>4.2379999999999997E-5</v>
      </c>
      <c r="M4692" s="9">
        <v>6.8390000000000001E-5</v>
      </c>
      <c r="N4692" s="9">
        <v>9.1009999999999998E-5</v>
      </c>
      <c r="O4692" s="9">
        <v>6.8059999999999996E-5</v>
      </c>
      <c r="P4692" s="9">
        <v>1.0234999999999999E-4</v>
      </c>
      <c r="Q4692" s="9">
        <v>1.3627999999999999E-4</v>
      </c>
      <c r="R4692" s="10">
        <v>1.4904391314669082E-5</v>
      </c>
      <c r="S4692" s="10">
        <v>2.0023467591966924E-5</v>
      </c>
      <c r="T4692" s="10">
        <v>1.0761485295720769E-4</v>
      </c>
      <c r="U4692" s="10">
        <v>8.5829999999999996E-5</v>
      </c>
      <c r="V4692" s="25"/>
      <c r="W4692" s="25"/>
      <c r="X4692" s="25"/>
      <c r="Y4692" s="25"/>
      <c r="Z4692" s="25"/>
      <c r="AA4692" s="25"/>
    </row>
    <row r="4693" spans="1:27" x14ac:dyDescent="0.35">
      <c r="A4693" s="5">
        <v>4689</v>
      </c>
      <c r="B4693" s="5">
        <v>196</v>
      </c>
      <c r="C4693" s="5">
        <v>7</v>
      </c>
      <c r="D4693" s="25">
        <v>1.1416E-4</v>
      </c>
      <c r="E4693" s="25">
        <v>1.2203E-4</v>
      </c>
      <c r="F4693" s="25">
        <v>1.0679999999999999E-4</v>
      </c>
      <c r="G4693" s="25">
        <v>1.5688E-4</v>
      </c>
      <c r="H4693" s="25">
        <v>3.8850000000000002E-5</v>
      </c>
      <c r="I4693" s="9">
        <v>1.1985999999999999E-4</v>
      </c>
      <c r="J4693" s="9">
        <v>1.2526E-4</v>
      </c>
      <c r="K4693" s="9">
        <v>0</v>
      </c>
      <c r="L4693" s="9">
        <v>6.2039999999999996E-5</v>
      </c>
      <c r="M4693" s="9">
        <v>8.2830000000000005E-5</v>
      </c>
      <c r="N4693" s="9">
        <v>1.0459E-4</v>
      </c>
      <c r="O4693" s="9">
        <v>1.0026000000000001E-4</v>
      </c>
      <c r="P4693" s="9">
        <v>1.3954000000000001E-4</v>
      </c>
      <c r="Q4693" s="9">
        <v>1.7829E-4</v>
      </c>
      <c r="R4693" s="10">
        <v>2.3814222488484056E-5</v>
      </c>
      <c r="S4693" s="10">
        <v>3.1379255235327223E-5</v>
      </c>
      <c r="T4693" s="10">
        <v>2.3906210278896566E-4</v>
      </c>
      <c r="U4693" s="10">
        <v>8.5829999999999996E-5</v>
      </c>
      <c r="V4693" s="25"/>
      <c r="W4693" s="25"/>
      <c r="X4693" s="25"/>
      <c r="Y4693" s="25"/>
      <c r="Z4693" s="25"/>
      <c r="AA4693" s="25"/>
    </row>
    <row r="4694" spans="1:27" x14ac:dyDescent="0.35">
      <c r="A4694" s="5">
        <v>4690</v>
      </c>
      <c r="B4694" s="5">
        <v>196</v>
      </c>
      <c r="C4694" s="5">
        <v>7</v>
      </c>
      <c r="D4694" s="25">
        <v>1.1415000000000001E-4</v>
      </c>
      <c r="E4694" s="25">
        <v>1.1368E-4</v>
      </c>
      <c r="F4694" s="25">
        <v>9.8099999999999999E-5</v>
      </c>
      <c r="G4694" s="25">
        <v>1.6337E-4</v>
      </c>
      <c r="H4694" s="25">
        <v>3.9830000000000003E-5</v>
      </c>
      <c r="I4694" s="9">
        <v>1.2123E-4</v>
      </c>
      <c r="J4694" s="9">
        <v>1.2671000000000001E-4</v>
      </c>
      <c r="K4694" s="9">
        <v>0</v>
      </c>
      <c r="L4694" s="9">
        <v>9.1340000000000003E-5</v>
      </c>
      <c r="M4694" s="9">
        <v>1.0689E-4</v>
      </c>
      <c r="N4694" s="9">
        <v>1.2485E-4</v>
      </c>
      <c r="O4694" s="9">
        <v>1.2757999999999999E-4</v>
      </c>
      <c r="P4694" s="9">
        <v>1.5485E-4</v>
      </c>
      <c r="Q4694" s="9">
        <v>1.8169E-4</v>
      </c>
      <c r="R4694" s="10">
        <v>4.5518199880650599E-5</v>
      </c>
      <c r="S4694" s="10">
        <v>4.49226768538392E-5</v>
      </c>
      <c r="T4694" s="10">
        <v>2.2895730226294594E-4</v>
      </c>
      <c r="U4694" s="10">
        <v>8.5829999999999996E-5</v>
      </c>
      <c r="V4694" s="25"/>
      <c r="W4694" s="25"/>
      <c r="X4694" s="25"/>
      <c r="Y4694" s="25"/>
      <c r="Z4694" s="25"/>
      <c r="AA4694" s="25"/>
    </row>
    <row r="4695" spans="1:27" x14ac:dyDescent="0.35">
      <c r="A4695" s="5">
        <v>4691</v>
      </c>
      <c r="B4695" s="5">
        <v>196</v>
      </c>
      <c r="C4695" s="5">
        <v>7</v>
      </c>
      <c r="D4695" s="25">
        <v>1.1416E-4</v>
      </c>
      <c r="E4695" s="25">
        <v>1.1092E-4</v>
      </c>
      <c r="F4695" s="25">
        <v>9.7880000000000005E-5</v>
      </c>
      <c r="G4695" s="25">
        <v>1.5684999999999999E-4</v>
      </c>
      <c r="H4695" s="25">
        <v>4.0170000000000003E-5</v>
      </c>
      <c r="I4695" s="9">
        <v>1.2526E-4</v>
      </c>
      <c r="J4695" s="9">
        <v>1.2727999999999999E-4</v>
      </c>
      <c r="K4695" s="9">
        <v>0</v>
      </c>
      <c r="L4695" s="9">
        <v>1.1888E-4</v>
      </c>
      <c r="M4695" s="9">
        <v>1.3024999999999999E-4</v>
      </c>
      <c r="N4695" s="9">
        <v>1.4279000000000001E-4</v>
      </c>
      <c r="O4695" s="9">
        <v>1.3472000000000001E-4</v>
      </c>
      <c r="P4695" s="9">
        <v>1.5640000000000001E-4</v>
      </c>
      <c r="Q4695" s="9">
        <v>1.7772E-4</v>
      </c>
      <c r="R4695" s="10">
        <v>6.3884728998283926E-5</v>
      </c>
      <c r="S4695" s="10">
        <v>5.3438806959943202E-5</v>
      </c>
      <c r="T4695" s="10">
        <v>1.622537407721255E-4</v>
      </c>
      <c r="U4695" s="10">
        <v>8.5829999999999996E-5</v>
      </c>
      <c r="V4695" s="25"/>
      <c r="W4695" s="25"/>
      <c r="X4695" s="25"/>
      <c r="Y4695" s="25"/>
      <c r="Z4695" s="25"/>
      <c r="AA4695" s="25"/>
    </row>
    <row r="4696" spans="1:27" x14ac:dyDescent="0.35">
      <c r="A4696" s="5">
        <v>4692</v>
      </c>
      <c r="B4696" s="5">
        <v>196</v>
      </c>
      <c r="C4696" s="5">
        <v>7</v>
      </c>
      <c r="D4696" s="25">
        <v>1.1415000000000001E-4</v>
      </c>
      <c r="E4696" s="25">
        <v>1.1678E-4</v>
      </c>
      <c r="F4696" s="25">
        <v>9.6020000000000006E-5</v>
      </c>
      <c r="G4696" s="25">
        <v>1.6273000000000001E-4</v>
      </c>
      <c r="H4696" s="25">
        <v>3.977E-5</v>
      </c>
      <c r="I4696" s="9">
        <v>1.2233E-4</v>
      </c>
      <c r="J4696" s="9">
        <v>1.2559999999999999E-4</v>
      </c>
      <c r="K4696" s="9">
        <v>0</v>
      </c>
      <c r="L4696" s="9">
        <v>1.3059000000000001E-4</v>
      </c>
      <c r="M4696" s="9">
        <v>1.4517999999999999E-4</v>
      </c>
      <c r="N4696" s="9">
        <v>1.5645000000000001E-4</v>
      </c>
      <c r="O4696" s="9">
        <v>1.3655000000000001E-4</v>
      </c>
      <c r="P4696" s="9">
        <v>1.5495E-4</v>
      </c>
      <c r="Q4696" s="9">
        <v>1.7304000000000001E-4</v>
      </c>
      <c r="R4696" s="10">
        <v>6.4119897366305057E-5</v>
      </c>
      <c r="S4696" s="10">
        <v>4.50944816312353E-5</v>
      </c>
      <c r="T4696" s="10">
        <v>3.4696542192407822E-4</v>
      </c>
      <c r="U4696" s="10">
        <v>8.5829999999999996E-5</v>
      </c>
      <c r="V4696" s="25"/>
      <c r="W4696" s="25"/>
      <c r="X4696" s="25"/>
      <c r="Y4696" s="25"/>
      <c r="Z4696" s="25"/>
      <c r="AA4696" s="25"/>
    </row>
    <row r="4697" spans="1:27" x14ac:dyDescent="0.35">
      <c r="A4697" s="5">
        <v>4693</v>
      </c>
      <c r="B4697" s="5">
        <v>196</v>
      </c>
      <c r="C4697" s="5">
        <v>7</v>
      </c>
      <c r="D4697" s="25">
        <v>1.1416E-4</v>
      </c>
      <c r="E4697" s="25">
        <v>1.1977999999999999E-4</v>
      </c>
      <c r="F4697" s="25">
        <v>8.8590000000000004E-5</v>
      </c>
      <c r="G4697" s="25">
        <v>1.6255999999999999E-4</v>
      </c>
      <c r="H4697" s="25">
        <v>3.8139999999999997E-5</v>
      </c>
      <c r="I4697" s="9">
        <v>1.2186E-4</v>
      </c>
      <c r="J4697" s="9">
        <v>1.2572000000000001E-4</v>
      </c>
      <c r="K4697" s="9">
        <v>0</v>
      </c>
      <c r="L4697" s="9">
        <v>1.351E-4</v>
      </c>
      <c r="M4697" s="9">
        <v>1.5185E-4</v>
      </c>
      <c r="N4697" s="9">
        <v>1.6567E-4</v>
      </c>
      <c r="O4697" s="9">
        <v>1.2993E-4</v>
      </c>
      <c r="P4697" s="9">
        <v>1.4925999999999999E-4</v>
      </c>
      <c r="Q4697" s="9">
        <v>1.6828000000000001E-4</v>
      </c>
      <c r="R4697" s="10">
        <v>7.1517352966429481E-5</v>
      </c>
      <c r="S4697" s="10">
        <v>3.7341920524601545E-5</v>
      </c>
      <c r="T4697" s="10">
        <v>2.1263351031327175E-4</v>
      </c>
      <c r="U4697" s="10">
        <v>8.5829999999999996E-5</v>
      </c>
      <c r="V4697" s="25"/>
      <c r="W4697" s="25"/>
      <c r="X4697" s="25"/>
      <c r="Y4697" s="25"/>
      <c r="Z4697" s="25"/>
      <c r="AA4697" s="25"/>
    </row>
    <row r="4698" spans="1:27" x14ac:dyDescent="0.35">
      <c r="A4698" s="5">
        <v>4694</v>
      </c>
      <c r="B4698" s="5">
        <v>196</v>
      </c>
      <c r="C4698" s="5">
        <v>7</v>
      </c>
      <c r="D4698" s="25">
        <v>1.1415000000000001E-4</v>
      </c>
      <c r="E4698" s="25">
        <v>1.1634E-4</v>
      </c>
      <c r="F4698" s="25">
        <v>1.0683000000000001E-4</v>
      </c>
      <c r="G4698" s="25">
        <v>1.5631999999999999E-4</v>
      </c>
      <c r="H4698" s="25">
        <v>4.0939999999999998E-5</v>
      </c>
      <c r="I4698" s="9">
        <v>1.2121E-4</v>
      </c>
      <c r="J4698" s="9">
        <v>1.2595E-4</v>
      </c>
      <c r="K4698" s="9">
        <v>0</v>
      </c>
      <c r="L4698" s="9">
        <v>1.3112E-4</v>
      </c>
      <c r="M4698" s="9">
        <v>1.5218E-4</v>
      </c>
      <c r="N4698" s="9">
        <v>1.7019999999999999E-4</v>
      </c>
      <c r="O4698" s="9">
        <v>1.1112000000000001E-4</v>
      </c>
      <c r="P4698" s="9">
        <v>1.3552E-4</v>
      </c>
      <c r="Q4698" s="9">
        <v>1.5959000000000001E-4</v>
      </c>
      <c r="R4698" s="10">
        <v>8.1950938437775676E-5</v>
      </c>
      <c r="S4698" s="10">
        <v>3.000610951187446E-5</v>
      </c>
      <c r="T4698" s="10">
        <v>2.8648085185691225E-4</v>
      </c>
      <c r="U4698" s="10">
        <v>8.5829999999999996E-5</v>
      </c>
      <c r="V4698" s="25"/>
      <c r="W4698" s="25"/>
      <c r="X4698" s="25"/>
      <c r="Y4698" s="25"/>
      <c r="Z4698" s="25"/>
      <c r="AA4698" s="25"/>
    </row>
    <row r="4699" spans="1:27" x14ac:dyDescent="0.35">
      <c r="A4699" s="5">
        <v>4695</v>
      </c>
      <c r="B4699" s="5">
        <v>196</v>
      </c>
      <c r="C4699" s="5">
        <v>7</v>
      </c>
      <c r="D4699" s="25">
        <v>1.1416E-4</v>
      </c>
      <c r="E4699" s="25">
        <v>1.1959999999999999E-4</v>
      </c>
      <c r="F4699" s="25">
        <v>9.1210000000000003E-5</v>
      </c>
      <c r="G4699" s="25">
        <v>1.6403000000000001E-4</v>
      </c>
      <c r="H4699" s="25">
        <v>4.0460000000000002E-5</v>
      </c>
      <c r="I4699" s="9">
        <v>1.2009E-4</v>
      </c>
      <c r="J4699" s="9">
        <v>1.2578000000000001E-4</v>
      </c>
      <c r="K4699" s="9">
        <v>0</v>
      </c>
      <c r="L4699" s="9">
        <v>1.1568E-4</v>
      </c>
      <c r="M4699" s="9">
        <v>1.4604E-4</v>
      </c>
      <c r="N4699" s="9">
        <v>1.6946999999999999E-4</v>
      </c>
      <c r="O4699" s="9">
        <v>1.2532E-4</v>
      </c>
      <c r="P4699" s="9">
        <v>1.3836E-4</v>
      </c>
      <c r="Q4699" s="9">
        <v>1.5118999999999999E-4</v>
      </c>
      <c r="R4699" s="10">
        <v>8.8624483900426738E-5</v>
      </c>
      <c r="S4699" s="10">
        <v>2.637142453789702E-5</v>
      </c>
      <c r="T4699" s="10">
        <v>1.360118028821347E-4</v>
      </c>
      <c r="U4699" s="10">
        <v>8.5829999999999996E-5</v>
      </c>
      <c r="V4699" s="25"/>
      <c r="W4699" s="25"/>
      <c r="X4699" s="25"/>
      <c r="Y4699" s="25"/>
      <c r="Z4699" s="25"/>
      <c r="AA4699" s="25"/>
    </row>
    <row r="4700" spans="1:27" x14ac:dyDescent="0.35">
      <c r="A4700" s="5">
        <v>4696</v>
      </c>
      <c r="B4700" s="5">
        <v>196</v>
      </c>
      <c r="C4700" s="5">
        <v>7</v>
      </c>
      <c r="D4700" s="25">
        <v>1.1415000000000001E-4</v>
      </c>
      <c r="E4700" s="25">
        <v>1.1417E-4</v>
      </c>
      <c r="F4700" s="25">
        <v>9.3720000000000004E-5</v>
      </c>
      <c r="G4700" s="25">
        <v>1.6213999999999999E-4</v>
      </c>
      <c r="H4700" s="25">
        <v>3.9650000000000002E-5</v>
      </c>
      <c r="I4700" s="9">
        <v>1.1981000000000001E-4</v>
      </c>
      <c r="J4700" s="9">
        <v>1.2580999999999999E-4</v>
      </c>
      <c r="K4700" s="9">
        <v>0</v>
      </c>
      <c r="L4700" s="9">
        <v>1.2364E-4</v>
      </c>
      <c r="M4700" s="9">
        <v>1.4153000000000001E-4</v>
      </c>
      <c r="N4700" s="9">
        <v>1.6537E-4</v>
      </c>
      <c r="O4700" s="9">
        <v>1.3417E-4</v>
      </c>
      <c r="P4700" s="9">
        <v>1.2226000000000001E-4</v>
      </c>
      <c r="Q4700" s="9">
        <v>1.1051E-4</v>
      </c>
      <c r="R4700" s="10">
        <v>1.0036523672784985E-4</v>
      </c>
      <c r="S4700" s="10">
        <v>2.2518039947633817E-5</v>
      </c>
      <c r="T4700" s="10">
        <v>1.1393565597306386E-4</v>
      </c>
      <c r="U4700" s="10">
        <v>8.5829999999999996E-5</v>
      </c>
      <c r="V4700" s="25"/>
      <c r="W4700" s="25"/>
      <c r="X4700" s="25"/>
      <c r="Y4700" s="25"/>
      <c r="Z4700" s="25"/>
      <c r="AA4700" s="25"/>
    </row>
    <row r="4701" spans="1:27" x14ac:dyDescent="0.35">
      <c r="A4701" s="5">
        <v>4697</v>
      </c>
      <c r="B4701" s="5">
        <v>196</v>
      </c>
      <c r="C4701" s="5">
        <v>7</v>
      </c>
      <c r="D4701" s="25">
        <v>1.1416E-4</v>
      </c>
      <c r="E4701" s="25">
        <v>1.1909E-4</v>
      </c>
      <c r="F4701" s="25">
        <v>1.0083E-4</v>
      </c>
      <c r="G4701" s="25">
        <v>1.6735E-4</v>
      </c>
      <c r="H4701" s="25">
        <v>3.8529999999999999E-5</v>
      </c>
      <c r="I4701" s="9">
        <v>1.1895E-4</v>
      </c>
      <c r="J4701" s="9">
        <v>1.2679999999999999E-4</v>
      </c>
      <c r="K4701" s="9">
        <v>0</v>
      </c>
      <c r="L4701" s="9">
        <v>1.316E-4</v>
      </c>
      <c r="M4701" s="9">
        <v>1.3357000000000001E-4</v>
      </c>
      <c r="N4701" s="9">
        <v>1.5197E-4</v>
      </c>
      <c r="O4701" s="9">
        <v>1.4011000000000001E-4</v>
      </c>
      <c r="P4701" s="9">
        <v>1.2383000000000001E-4</v>
      </c>
      <c r="Q4701" s="9">
        <v>1.0777000000000001E-4</v>
      </c>
      <c r="R4701" s="10">
        <v>9.7092404028135639E-5</v>
      </c>
      <c r="S4701" s="10">
        <v>2.7548206083213358E-5</v>
      </c>
      <c r="T4701" s="10">
        <v>9.0179617792664822E-5</v>
      </c>
      <c r="U4701" s="10">
        <v>8.5829999999999996E-5</v>
      </c>
      <c r="V4701" s="25"/>
      <c r="W4701" s="25"/>
      <c r="X4701" s="25"/>
      <c r="Y4701" s="25"/>
      <c r="Z4701" s="25"/>
      <c r="AA4701" s="25"/>
    </row>
    <row r="4702" spans="1:27" x14ac:dyDescent="0.35">
      <c r="A4702" s="5">
        <v>4698</v>
      </c>
      <c r="B4702" s="5">
        <v>196</v>
      </c>
      <c r="C4702" s="5">
        <v>7</v>
      </c>
      <c r="D4702" s="25">
        <v>1.1415000000000001E-4</v>
      </c>
      <c r="E4702" s="25">
        <v>1.1767E-4</v>
      </c>
      <c r="F4702" s="25">
        <v>9.3739999999999994E-5</v>
      </c>
      <c r="G4702" s="25">
        <v>1.616E-4</v>
      </c>
      <c r="H4702" s="25">
        <v>3.8319999999999999E-5</v>
      </c>
      <c r="I4702" s="9">
        <v>1.1814E-4</v>
      </c>
      <c r="J4702" s="9">
        <v>1.2284000000000001E-4</v>
      </c>
      <c r="K4702" s="9">
        <v>0</v>
      </c>
      <c r="L4702" s="9">
        <v>1.3789999999999999E-4</v>
      </c>
      <c r="M4702" s="9">
        <v>1.2808000000000001E-4</v>
      </c>
      <c r="N4702" s="9">
        <v>1.3889999999999999E-4</v>
      </c>
      <c r="O4702" s="9">
        <v>1.3884999999999999E-4</v>
      </c>
      <c r="P4702" s="9">
        <v>1.2774999999999999E-4</v>
      </c>
      <c r="Q4702" s="9">
        <v>1.1680000000000001E-4</v>
      </c>
      <c r="R4702" s="10">
        <v>9.4647222322312324E-5</v>
      </c>
      <c r="S4702" s="10">
        <v>3.519303262853571E-5</v>
      </c>
      <c r="T4702" s="10">
        <v>6.887554212445696E-5</v>
      </c>
      <c r="U4702" s="10">
        <v>8.5829999999999996E-5</v>
      </c>
      <c r="V4702" s="25"/>
      <c r="W4702" s="25"/>
      <c r="X4702" s="25"/>
      <c r="Y4702" s="25"/>
      <c r="Z4702" s="25"/>
      <c r="AA4702" s="25"/>
    </row>
    <row r="4703" spans="1:27" x14ac:dyDescent="0.35">
      <c r="A4703" s="5">
        <v>4699</v>
      </c>
      <c r="B4703" s="5">
        <v>196</v>
      </c>
      <c r="C4703" s="5">
        <v>7</v>
      </c>
      <c r="D4703" s="25">
        <v>1.1416E-4</v>
      </c>
      <c r="E4703" s="25">
        <v>1.2184999999999999E-4</v>
      </c>
      <c r="F4703" s="25">
        <v>1.0418E-4</v>
      </c>
      <c r="G4703" s="25">
        <v>1.13E-4</v>
      </c>
      <c r="H4703" s="25">
        <v>2.73E-5</v>
      </c>
      <c r="I4703" s="9">
        <v>1.1343E-4</v>
      </c>
      <c r="J4703" s="9">
        <v>1.1993999999999999E-4</v>
      </c>
      <c r="K4703" s="9">
        <v>0</v>
      </c>
      <c r="L4703" s="9">
        <v>1.3852999999999999E-4</v>
      </c>
      <c r="M4703" s="9">
        <v>1.2671000000000001E-4</v>
      </c>
      <c r="N4703" s="9">
        <v>1.2972999999999999E-4</v>
      </c>
      <c r="O4703" s="9">
        <v>1.4050999999999999E-4</v>
      </c>
      <c r="P4703" s="9">
        <v>1.2365999999999999E-4</v>
      </c>
      <c r="Q4703" s="9">
        <v>1.0704000000000001E-4</v>
      </c>
      <c r="R4703" s="10">
        <v>7.5404138258132223E-5</v>
      </c>
      <c r="S4703" s="10">
        <v>3.6243811359597379E-5</v>
      </c>
      <c r="T4703" s="10">
        <v>4.9310747823028309E-5</v>
      </c>
      <c r="U4703" s="10">
        <v>8.5829999999999996E-5</v>
      </c>
      <c r="V4703" s="25"/>
      <c r="W4703" s="25"/>
      <c r="X4703" s="25"/>
      <c r="Y4703" s="25"/>
      <c r="Z4703" s="25"/>
      <c r="AA4703" s="25"/>
    </row>
    <row r="4704" spans="1:27" x14ac:dyDescent="0.35">
      <c r="A4704" s="5">
        <v>4700</v>
      </c>
      <c r="B4704" s="5">
        <v>196</v>
      </c>
      <c r="C4704" s="5">
        <v>7</v>
      </c>
      <c r="D4704" s="25">
        <v>1.1415000000000001E-4</v>
      </c>
      <c r="E4704" s="25">
        <v>1.1667000000000001E-4</v>
      </c>
      <c r="F4704" s="25">
        <v>8.7020000000000004E-5</v>
      </c>
      <c r="G4704" s="25">
        <v>1.0554E-4</v>
      </c>
      <c r="H4704" s="25">
        <v>2.6840000000000001E-5</v>
      </c>
      <c r="I4704" s="9">
        <v>1.0877E-4</v>
      </c>
      <c r="J4704" s="9">
        <v>1.1662E-4</v>
      </c>
      <c r="K4704" s="9">
        <v>0</v>
      </c>
      <c r="L4704" s="9">
        <v>1.4012000000000001E-4</v>
      </c>
      <c r="M4704" s="9">
        <v>1.2548999999999999E-4</v>
      </c>
      <c r="N4704" s="9">
        <v>1.2073E-4</v>
      </c>
      <c r="O4704" s="9">
        <v>1.4228999999999999E-4</v>
      </c>
      <c r="P4704" s="9">
        <v>1.2171E-4</v>
      </c>
      <c r="Q4704" s="9">
        <v>1.0141000000000001E-4</v>
      </c>
      <c r="R4704" s="10">
        <v>5.6787617645526613E-5</v>
      </c>
      <c r="S4704" s="10">
        <v>3.5804552550379229E-5</v>
      </c>
      <c r="T4704" s="10">
        <v>3.0967692628020185E-6</v>
      </c>
      <c r="U4704" s="10">
        <v>8.5829999999999996E-5</v>
      </c>
      <c r="V4704" s="25"/>
      <c r="W4704" s="25"/>
      <c r="X4704" s="25"/>
      <c r="Y4704" s="25"/>
      <c r="Z4704" s="25"/>
      <c r="AA4704" s="25"/>
    </row>
    <row r="4705" spans="1:27" x14ac:dyDescent="0.35">
      <c r="A4705" s="5">
        <v>4701</v>
      </c>
      <c r="B4705" s="5">
        <v>196</v>
      </c>
      <c r="C4705" s="5">
        <v>7</v>
      </c>
      <c r="D4705" s="25">
        <v>1.1416E-4</v>
      </c>
      <c r="E4705" s="25">
        <v>1.1976000000000001E-4</v>
      </c>
      <c r="F4705" s="25">
        <v>1.0503E-4</v>
      </c>
      <c r="G4705" s="25">
        <v>6.2329999999999994E-5</v>
      </c>
      <c r="H4705" s="25">
        <v>1.506E-5</v>
      </c>
      <c r="I4705" s="9">
        <v>1.0553E-4</v>
      </c>
      <c r="J4705" s="9">
        <v>1.1201000000000001E-4</v>
      </c>
      <c r="K4705" s="9">
        <v>0</v>
      </c>
      <c r="L4705" s="9">
        <v>1.4181E-4</v>
      </c>
      <c r="M4705" s="9">
        <v>1.2386E-4</v>
      </c>
      <c r="N4705" s="9">
        <v>1.1302999999999999E-4</v>
      </c>
      <c r="O4705" s="9">
        <v>8.4770000000000003E-5</v>
      </c>
      <c r="P4705" s="9">
        <v>8.6669999999999995E-5</v>
      </c>
      <c r="Q4705" s="9">
        <v>8.8679999999999998E-5</v>
      </c>
      <c r="R4705" s="10">
        <v>5.0782285223643704E-5</v>
      </c>
      <c r="S4705" s="10">
        <v>3.8547472134826808E-5</v>
      </c>
      <c r="T4705" s="10">
        <v>0</v>
      </c>
      <c r="U4705" s="10">
        <v>8.5829999999999996E-5</v>
      </c>
      <c r="V4705" s="25"/>
      <c r="W4705" s="25"/>
      <c r="X4705" s="25"/>
      <c r="Y4705" s="25"/>
      <c r="Z4705" s="25"/>
      <c r="AA4705" s="25"/>
    </row>
    <row r="4706" spans="1:27" x14ac:dyDescent="0.35">
      <c r="A4706" s="5">
        <v>4702</v>
      </c>
      <c r="B4706" s="5">
        <v>196</v>
      </c>
      <c r="C4706" s="5">
        <v>7</v>
      </c>
      <c r="D4706" s="25">
        <v>1.1415000000000001E-4</v>
      </c>
      <c r="E4706" s="25">
        <v>1.2212E-4</v>
      </c>
      <c r="F4706" s="25">
        <v>1.0136000000000001E-4</v>
      </c>
      <c r="G4706" s="25">
        <v>5.6339999999999999E-5</v>
      </c>
      <c r="H4706" s="25">
        <v>1.523E-5</v>
      </c>
      <c r="I4706" s="9">
        <v>1.1035999999999999E-4</v>
      </c>
      <c r="J4706" s="9">
        <v>1.1165E-4</v>
      </c>
      <c r="K4706" s="9">
        <v>0</v>
      </c>
      <c r="L4706" s="9">
        <v>9.7269999999999995E-5</v>
      </c>
      <c r="M4706" s="9">
        <v>1.1001999999999999E-4</v>
      </c>
      <c r="N4706" s="9">
        <v>1.0553E-4</v>
      </c>
      <c r="O4706" s="9">
        <v>8.742E-5</v>
      </c>
      <c r="P4706" s="9">
        <v>8.7949999999999996E-5</v>
      </c>
      <c r="Q4706" s="9">
        <v>8.8599999999999999E-5</v>
      </c>
      <c r="R4706" s="10">
        <v>5.0752693739306301E-5</v>
      </c>
      <c r="S4706" s="10">
        <v>4.0390688095675637E-5</v>
      </c>
      <c r="T4706" s="10">
        <v>0</v>
      </c>
      <c r="U4706" s="10">
        <v>8.5829999999999996E-5</v>
      </c>
      <c r="V4706" s="25"/>
      <c r="W4706" s="25"/>
      <c r="X4706" s="25"/>
      <c r="Y4706" s="25"/>
      <c r="Z4706" s="25"/>
      <c r="AA4706" s="25"/>
    </row>
    <row r="4707" spans="1:27" x14ac:dyDescent="0.35">
      <c r="A4707" s="5">
        <v>4703</v>
      </c>
      <c r="B4707" s="5">
        <v>196</v>
      </c>
      <c r="C4707" s="5">
        <v>7</v>
      </c>
      <c r="D4707" s="25">
        <v>1.1416E-4</v>
      </c>
      <c r="E4707" s="25">
        <v>1.2059E-4</v>
      </c>
      <c r="F4707" s="25">
        <v>1.0229E-4</v>
      </c>
      <c r="G4707" s="25">
        <v>5.2729999999999998E-5</v>
      </c>
      <c r="H4707" s="25">
        <v>1.509E-5</v>
      </c>
      <c r="I4707" s="9">
        <v>1.0655E-4</v>
      </c>
      <c r="J4707" s="9">
        <v>1.0729E-4</v>
      </c>
      <c r="K4707" s="9">
        <v>0</v>
      </c>
      <c r="L4707" s="9">
        <v>9.0829999999999996E-5</v>
      </c>
      <c r="M4707" s="9">
        <v>9.8350000000000005E-5</v>
      </c>
      <c r="N4707" s="9">
        <v>9.9820000000000003E-5</v>
      </c>
      <c r="O4707" s="9">
        <v>8.4060000000000005E-5</v>
      </c>
      <c r="P4707" s="9">
        <v>7.5199999999999998E-5</v>
      </c>
      <c r="Q4707" s="9">
        <v>6.6619999999999996E-5</v>
      </c>
      <c r="R4707" s="10">
        <v>5.2117103841627425E-5</v>
      </c>
      <c r="S4707" s="10">
        <v>3.9764966886517812E-5</v>
      </c>
      <c r="T4707" s="10">
        <v>0</v>
      </c>
      <c r="U4707" s="10">
        <v>8.5829999999999996E-5</v>
      </c>
      <c r="V4707" s="25"/>
      <c r="W4707" s="25"/>
      <c r="X4707" s="25"/>
      <c r="Y4707" s="25"/>
      <c r="Z4707" s="25"/>
      <c r="AA4707" s="25"/>
    </row>
    <row r="4708" spans="1:27" x14ac:dyDescent="0.35">
      <c r="A4708" s="5">
        <v>4704</v>
      </c>
      <c r="B4708" s="5">
        <v>196</v>
      </c>
      <c r="C4708" s="5">
        <v>7</v>
      </c>
      <c r="D4708" s="25">
        <v>1.1415000000000001E-4</v>
      </c>
      <c r="E4708" s="25">
        <v>1.1968000000000001E-4</v>
      </c>
      <c r="F4708" s="25">
        <v>1.0664E-4</v>
      </c>
      <c r="G4708" s="25">
        <v>5.5980000000000003E-5</v>
      </c>
      <c r="H4708" s="25">
        <v>1.3190000000000001E-5</v>
      </c>
      <c r="I4708" s="9">
        <v>9.9909999999999997E-5</v>
      </c>
      <c r="J4708" s="9">
        <v>1.0026000000000001E-4</v>
      </c>
      <c r="K4708" s="9">
        <v>0</v>
      </c>
      <c r="L4708" s="9">
        <v>8.577E-5</v>
      </c>
      <c r="M4708" s="9">
        <v>8.7289999999999999E-5</v>
      </c>
      <c r="N4708" s="9">
        <v>9.0530000000000002E-5</v>
      </c>
      <c r="O4708" s="9">
        <v>7.8239999999999996E-5</v>
      </c>
      <c r="P4708" s="9">
        <v>6.8120000000000005E-5</v>
      </c>
      <c r="Q4708" s="9">
        <v>5.8310000000000002E-5</v>
      </c>
      <c r="R4708" s="10">
        <v>3.3954265689438414E-5</v>
      </c>
      <c r="S4708" s="10">
        <v>2.4989977796993266E-5</v>
      </c>
      <c r="T4708" s="10">
        <v>0</v>
      </c>
      <c r="U4708" s="10">
        <v>8.5829999999999996E-5</v>
      </c>
      <c r="V4708" s="25"/>
      <c r="W4708" s="25"/>
      <c r="X4708" s="25"/>
      <c r="Y4708" s="25"/>
      <c r="Z4708" s="25"/>
      <c r="AA4708" s="25"/>
    </row>
    <row r="4709" spans="1:27" x14ac:dyDescent="0.35">
      <c r="A4709" s="5">
        <v>4705</v>
      </c>
      <c r="B4709" s="5">
        <v>197</v>
      </c>
      <c r="C4709" s="5">
        <v>7</v>
      </c>
      <c r="D4709" s="25">
        <v>1.1416E-4</v>
      </c>
      <c r="E4709" s="25">
        <v>1.0719E-4</v>
      </c>
      <c r="F4709" s="25">
        <v>1.0760999999999999E-4</v>
      </c>
      <c r="G4709" s="25">
        <v>5.7800000000000002E-5</v>
      </c>
      <c r="H4709" s="25">
        <v>7.2269999999999998E-5</v>
      </c>
      <c r="I4709" s="9">
        <v>9.5790000000000003E-5</v>
      </c>
      <c r="J4709" s="9">
        <v>9.4629999999999994E-5</v>
      </c>
      <c r="K4709" s="9">
        <v>2.332E-5</v>
      </c>
      <c r="L4709" s="9">
        <v>7.9699999999999999E-5</v>
      </c>
      <c r="M4709" s="9">
        <v>7.7869999999999998E-5</v>
      </c>
      <c r="N4709" s="9">
        <v>8.1009999999999999E-5</v>
      </c>
      <c r="O4709" s="9">
        <v>5.4490000000000002E-5</v>
      </c>
      <c r="P4709" s="9">
        <v>5.3909999999999997E-5</v>
      </c>
      <c r="Q4709" s="9">
        <v>5.3480000000000003E-5</v>
      </c>
      <c r="R4709" s="10">
        <v>3.8111999798399921E-5</v>
      </c>
      <c r="S4709" s="10">
        <v>1.9689872080827115E-5</v>
      </c>
      <c r="T4709" s="10">
        <v>0</v>
      </c>
      <c r="U4709" s="10">
        <v>8.3830000000000002E-5</v>
      </c>
      <c r="V4709" s="25"/>
      <c r="W4709" s="25"/>
      <c r="X4709" s="25"/>
      <c r="Y4709" s="25"/>
      <c r="Z4709" s="25"/>
      <c r="AA4709" s="25"/>
    </row>
    <row r="4710" spans="1:27" x14ac:dyDescent="0.35">
      <c r="A4710" s="5">
        <v>4706</v>
      </c>
      <c r="B4710" s="5">
        <v>197</v>
      </c>
      <c r="C4710" s="5">
        <v>7</v>
      </c>
      <c r="D4710" s="25">
        <v>1.1415000000000001E-4</v>
      </c>
      <c r="E4710" s="25">
        <v>1.0791E-4</v>
      </c>
      <c r="F4710" s="25">
        <v>1.1702E-4</v>
      </c>
      <c r="G4710" s="25">
        <v>5.6610000000000002E-5</v>
      </c>
      <c r="H4710" s="25">
        <v>6.4300000000000004E-5</v>
      </c>
      <c r="I4710" s="9">
        <v>9.3090000000000005E-5</v>
      </c>
      <c r="J4710" s="9">
        <v>9.187E-5</v>
      </c>
      <c r="K4710" s="9">
        <v>3.8149999999999999E-5</v>
      </c>
      <c r="L4710" s="9">
        <v>6.0189999999999998E-5</v>
      </c>
      <c r="M4710" s="9">
        <v>6.703E-5</v>
      </c>
      <c r="N4710" s="9">
        <v>7.1950000000000001E-5</v>
      </c>
      <c r="O4710" s="9">
        <v>1.9470000000000002E-5</v>
      </c>
      <c r="P4710" s="9">
        <v>3.8099999999999998E-5</v>
      </c>
      <c r="Q4710" s="9">
        <v>5.6709999999999997E-5</v>
      </c>
      <c r="R4710" s="10">
        <v>3.2987497605934147E-5</v>
      </c>
      <c r="S4710" s="10">
        <v>1.8696164668640172E-5</v>
      </c>
      <c r="T4710" s="10">
        <v>0</v>
      </c>
      <c r="U4710" s="10">
        <v>8.3830000000000002E-5</v>
      </c>
      <c r="V4710" s="25"/>
      <c r="W4710" s="25"/>
      <c r="X4710" s="25"/>
      <c r="Y4710" s="25"/>
      <c r="Z4710" s="25"/>
      <c r="AA4710" s="25"/>
    </row>
    <row r="4711" spans="1:27" x14ac:dyDescent="0.35">
      <c r="A4711" s="5">
        <v>4707</v>
      </c>
      <c r="B4711" s="5">
        <v>197</v>
      </c>
      <c r="C4711" s="5">
        <v>7</v>
      </c>
      <c r="D4711" s="25">
        <v>1.1416E-4</v>
      </c>
      <c r="E4711" s="25">
        <v>1.1404999999999999E-4</v>
      </c>
      <c r="F4711" s="25">
        <v>1.2289000000000001E-4</v>
      </c>
      <c r="G4711" s="25">
        <v>5.3149999999999998E-5</v>
      </c>
      <c r="H4711" s="25">
        <v>7.1699999999999995E-5</v>
      </c>
      <c r="I4711" s="9">
        <v>9.2009999999999995E-5</v>
      </c>
      <c r="J4711" s="9">
        <v>9.0970000000000005E-5</v>
      </c>
      <c r="K4711" s="9">
        <v>4.8739999999999998E-5</v>
      </c>
      <c r="L4711" s="9">
        <v>2.8960000000000001E-5</v>
      </c>
      <c r="M4711" s="9">
        <v>5.397E-5</v>
      </c>
      <c r="N4711" s="9">
        <v>6.5510000000000001E-5</v>
      </c>
      <c r="O4711" s="9">
        <v>1.383E-5</v>
      </c>
      <c r="P4711" s="9">
        <v>3.7620000000000002E-5</v>
      </c>
      <c r="Q4711" s="9">
        <v>6.1320000000000002E-5</v>
      </c>
      <c r="R4711" s="10">
        <v>2.5684958951902488E-5</v>
      </c>
      <c r="S4711" s="10">
        <v>1.7737779018313981E-5</v>
      </c>
      <c r="T4711" s="10">
        <v>0</v>
      </c>
      <c r="U4711" s="10">
        <v>8.3830000000000002E-5</v>
      </c>
      <c r="V4711" s="25"/>
      <c r="W4711" s="25"/>
      <c r="X4711" s="25"/>
      <c r="Y4711" s="25"/>
      <c r="Z4711" s="25"/>
      <c r="AA4711" s="25"/>
    </row>
    <row r="4712" spans="1:27" x14ac:dyDescent="0.35">
      <c r="A4712" s="5">
        <v>4708</v>
      </c>
      <c r="B4712" s="5">
        <v>197</v>
      </c>
      <c r="C4712" s="5">
        <v>7</v>
      </c>
      <c r="D4712" s="25">
        <v>1.1415000000000001E-4</v>
      </c>
      <c r="E4712" s="25">
        <v>1.0567E-4</v>
      </c>
      <c r="F4712" s="25">
        <v>1.1828999999999999E-4</v>
      </c>
      <c r="G4712" s="25">
        <v>5.4070000000000002E-5</v>
      </c>
      <c r="H4712" s="25">
        <v>7.6450000000000002E-5</v>
      </c>
      <c r="I4712" s="9">
        <v>9.2659999999999997E-5</v>
      </c>
      <c r="J4712" s="9">
        <v>9.0779999999999995E-5</v>
      </c>
      <c r="K4712" s="9">
        <v>6.5699999999999998E-5</v>
      </c>
      <c r="L4712" s="9">
        <v>1.7989999999999999E-5</v>
      </c>
      <c r="M4712" s="9">
        <v>4.4950000000000002E-5</v>
      </c>
      <c r="N4712" s="9">
        <v>6.1870000000000002E-5</v>
      </c>
      <c r="O4712" s="9">
        <v>1.3859999999999999E-5</v>
      </c>
      <c r="P4712" s="9">
        <v>4.7129999999999998E-5</v>
      </c>
      <c r="Q4712" s="9">
        <v>8.017E-5</v>
      </c>
      <c r="R4712" s="10">
        <v>2.1757919497849079E-5</v>
      </c>
      <c r="S4712" s="10">
        <v>1.9000223198787067E-5</v>
      </c>
      <c r="T4712" s="10">
        <v>0</v>
      </c>
      <c r="U4712" s="10">
        <v>8.3830000000000002E-5</v>
      </c>
      <c r="V4712" s="25"/>
      <c r="W4712" s="25"/>
      <c r="X4712" s="25"/>
      <c r="Y4712" s="25"/>
      <c r="Z4712" s="25"/>
      <c r="AA4712" s="25"/>
    </row>
    <row r="4713" spans="1:27" x14ac:dyDescent="0.35">
      <c r="A4713" s="5">
        <v>4709</v>
      </c>
      <c r="B4713" s="5">
        <v>197</v>
      </c>
      <c r="C4713" s="5">
        <v>7</v>
      </c>
      <c r="D4713" s="25">
        <v>1.1416E-4</v>
      </c>
      <c r="E4713" s="25">
        <v>1.0517E-4</v>
      </c>
      <c r="F4713" s="25">
        <v>1.1052000000000001E-4</v>
      </c>
      <c r="G4713" s="25">
        <v>5.7040000000000003E-5</v>
      </c>
      <c r="H4713" s="25">
        <v>7.0770000000000002E-5</v>
      </c>
      <c r="I4713" s="9">
        <v>9.4790000000000006E-5</v>
      </c>
      <c r="J4713" s="9">
        <v>9.1719999999999996E-5</v>
      </c>
      <c r="K4713" s="9">
        <v>1.06E-5</v>
      </c>
      <c r="L4713" s="9">
        <v>1.4949999999999999E-5</v>
      </c>
      <c r="M4713" s="9">
        <v>4.3730000000000003E-5</v>
      </c>
      <c r="N4713" s="9">
        <v>6.4380000000000004E-5</v>
      </c>
      <c r="O4713" s="9">
        <v>1.916E-5</v>
      </c>
      <c r="P4713" s="9">
        <v>5.6249999999999998E-5</v>
      </c>
      <c r="Q4713" s="9">
        <v>9.302E-5</v>
      </c>
      <c r="R4713" s="10">
        <v>1.820885142668803E-5</v>
      </c>
      <c r="S4713" s="10">
        <v>1.9868570785908667E-5</v>
      </c>
      <c r="T4713" s="10">
        <v>3.2240337530541562E-6</v>
      </c>
      <c r="U4713" s="10">
        <v>8.3830000000000002E-5</v>
      </c>
      <c r="V4713" s="25"/>
      <c r="W4713" s="25"/>
      <c r="X4713" s="25"/>
      <c r="Y4713" s="25"/>
      <c r="Z4713" s="25"/>
      <c r="AA4713" s="25"/>
    </row>
    <row r="4714" spans="1:27" x14ac:dyDescent="0.35">
      <c r="A4714" s="5">
        <v>4710</v>
      </c>
      <c r="B4714" s="5">
        <v>197</v>
      </c>
      <c r="C4714" s="5">
        <v>7</v>
      </c>
      <c r="D4714" s="25">
        <v>1.1415000000000001E-4</v>
      </c>
      <c r="E4714" s="25">
        <v>1.053E-4</v>
      </c>
      <c r="F4714" s="25">
        <v>1.0825E-4</v>
      </c>
      <c r="G4714" s="25">
        <v>1.1516E-4</v>
      </c>
      <c r="H4714" s="25">
        <v>1.3006000000000001E-4</v>
      </c>
      <c r="I4714" s="9">
        <v>1.0077E-4</v>
      </c>
      <c r="J4714" s="9">
        <v>9.891E-5</v>
      </c>
      <c r="K4714" s="9">
        <v>0</v>
      </c>
      <c r="L4714" s="9">
        <v>1.8110000000000001E-5</v>
      </c>
      <c r="M4714" s="9">
        <v>4.8300000000000002E-5</v>
      </c>
      <c r="N4714" s="9">
        <v>7.0820000000000003E-5</v>
      </c>
      <c r="O4714" s="9">
        <v>4.6470000000000001E-5</v>
      </c>
      <c r="P4714" s="9">
        <v>7.6990000000000007E-5</v>
      </c>
      <c r="Q4714" s="9">
        <v>1.0721E-4</v>
      </c>
      <c r="R4714" s="10">
        <v>1.5180465726792704E-5</v>
      </c>
      <c r="S4714" s="10">
        <v>2.0969556763998514E-5</v>
      </c>
      <c r="T4714" s="10">
        <v>3.5854649053702276E-5</v>
      </c>
      <c r="U4714" s="10">
        <v>8.3830000000000002E-5</v>
      </c>
      <c r="V4714" s="25"/>
      <c r="W4714" s="25"/>
      <c r="X4714" s="25"/>
      <c r="Y4714" s="25"/>
      <c r="Z4714" s="25"/>
      <c r="AA4714" s="25"/>
    </row>
    <row r="4715" spans="1:27" x14ac:dyDescent="0.35">
      <c r="A4715" s="5">
        <v>4711</v>
      </c>
      <c r="B4715" s="5">
        <v>197</v>
      </c>
      <c r="C4715" s="5">
        <v>7</v>
      </c>
      <c r="D4715" s="25">
        <v>1.1416E-4</v>
      </c>
      <c r="E4715" s="25">
        <v>1.1417E-4</v>
      </c>
      <c r="F4715" s="25">
        <v>1.1982E-4</v>
      </c>
      <c r="G4715" s="25">
        <v>1.1424E-4</v>
      </c>
      <c r="H4715" s="25">
        <v>1.3668E-4</v>
      </c>
      <c r="I4715" s="9">
        <v>1.0741E-4</v>
      </c>
      <c r="J4715" s="9">
        <v>1.1136E-4</v>
      </c>
      <c r="K4715" s="9">
        <v>0</v>
      </c>
      <c r="L4715" s="9">
        <v>4.0089999999999997E-5</v>
      </c>
      <c r="M4715" s="9">
        <v>5.9929999999999997E-5</v>
      </c>
      <c r="N4715" s="9">
        <v>8.0589999999999999E-5</v>
      </c>
      <c r="O4715" s="9">
        <v>1.2286999999999999E-4</v>
      </c>
      <c r="P4715" s="9">
        <v>1.1790000000000001E-4</v>
      </c>
      <c r="Q4715" s="9">
        <v>1.1294E-4</v>
      </c>
      <c r="R4715" s="10">
        <v>1.2188880205513664E-5</v>
      </c>
      <c r="S4715" s="10">
        <v>1.9964257763395386E-5</v>
      </c>
      <c r="T4715" s="10">
        <v>1.4488638000238378E-4</v>
      </c>
      <c r="U4715" s="10">
        <v>8.3830000000000002E-5</v>
      </c>
      <c r="V4715" s="25"/>
      <c r="W4715" s="25"/>
      <c r="X4715" s="25"/>
      <c r="Y4715" s="25"/>
      <c r="Z4715" s="25"/>
      <c r="AA4715" s="25"/>
    </row>
    <row r="4716" spans="1:27" x14ac:dyDescent="0.35">
      <c r="A4716" s="5">
        <v>4712</v>
      </c>
      <c r="B4716" s="5">
        <v>197</v>
      </c>
      <c r="C4716" s="5">
        <v>7</v>
      </c>
      <c r="D4716" s="25">
        <v>1.1415000000000001E-4</v>
      </c>
      <c r="E4716" s="25">
        <v>1.1290000000000001E-4</v>
      </c>
      <c r="F4716" s="25">
        <v>1.1158E-4</v>
      </c>
      <c r="G4716" s="25">
        <v>1.5625E-4</v>
      </c>
      <c r="H4716" s="25">
        <v>2.0071999999999999E-4</v>
      </c>
      <c r="I4716" s="9">
        <v>1.1327E-4</v>
      </c>
      <c r="J4716" s="9">
        <v>1.2184999999999999E-4</v>
      </c>
      <c r="K4716" s="9">
        <v>0</v>
      </c>
      <c r="L4716" s="9">
        <v>1.0404999999999999E-4</v>
      </c>
      <c r="M4716" s="9">
        <v>8.3819999999999994E-5</v>
      </c>
      <c r="N4716" s="9">
        <v>9.0810000000000006E-5</v>
      </c>
      <c r="O4716" s="9">
        <v>2.1668999999999999E-4</v>
      </c>
      <c r="P4716" s="9">
        <v>1.7631E-4</v>
      </c>
      <c r="Q4716" s="9">
        <v>1.362E-4</v>
      </c>
      <c r="R4716" s="10">
        <v>8.0374029429551196E-6</v>
      </c>
      <c r="S4716" s="10">
        <v>1.7966429303886176E-5</v>
      </c>
      <c r="T4716" s="10">
        <v>3.061474577505426E-4</v>
      </c>
      <c r="U4716" s="10">
        <v>8.3830000000000002E-5</v>
      </c>
      <c r="V4716" s="25"/>
      <c r="W4716" s="25"/>
      <c r="X4716" s="25"/>
      <c r="Y4716" s="25"/>
      <c r="Z4716" s="25"/>
      <c r="AA4716" s="25"/>
    </row>
    <row r="4717" spans="1:27" x14ac:dyDescent="0.35">
      <c r="A4717" s="5">
        <v>4713</v>
      </c>
      <c r="B4717" s="5">
        <v>197</v>
      </c>
      <c r="C4717" s="5">
        <v>7</v>
      </c>
      <c r="D4717" s="25">
        <v>1.1416E-4</v>
      </c>
      <c r="E4717" s="25">
        <v>1.0955000000000001E-4</v>
      </c>
      <c r="F4717" s="25">
        <v>1.2266999999999999E-4</v>
      </c>
      <c r="G4717" s="25">
        <v>1.6348999999999999E-4</v>
      </c>
      <c r="H4717" s="25">
        <v>1.9144999999999999E-4</v>
      </c>
      <c r="I4717" s="9">
        <v>1.1705999999999999E-4</v>
      </c>
      <c r="J4717" s="9">
        <v>1.2621E-4</v>
      </c>
      <c r="K4717" s="9">
        <v>0</v>
      </c>
      <c r="L4717" s="9">
        <v>1.9014999999999999E-4</v>
      </c>
      <c r="M4717" s="9">
        <v>1.2329999999999999E-4</v>
      </c>
      <c r="N4717" s="9">
        <v>1.0446999999999999E-4</v>
      </c>
      <c r="O4717" s="9">
        <v>2.0927000000000001E-4</v>
      </c>
      <c r="P4717" s="9">
        <v>1.931E-4</v>
      </c>
      <c r="Q4717" s="9">
        <v>1.7683999999999999E-4</v>
      </c>
      <c r="R4717" s="10">
        <v>5.6272378234059598E-6</v>
      </c>
      <c r="S4717" s="10">
        <v>1.691690986892065E-5</v>
      </c>
      <c r="T4717" s="10">
        <v>4.7111617431471364E-4</v>
      </c>
      <c r="U4717" s="10">
        <v>8.3830000000000002E-5</v>
      </c>
      <c r="V4717" s="25"/>
      <c r="W4717" s="25"/>
      <c r="X4717" s="25"/>
      <c r="Y4717" s="25"/>
      <c r="Z4717" s="25"/>
      <c r="AA4717" s="25"/>
    </row>
    <row r="4718" spans="1:27" x14ac:dyDescent="0.35">
      <c r="A4718" s="5">
        <v>4714</v>
      </c>
      <c r="B4718" s="5">
        <v>197</v>
      </c>
      <c r="C4718" s="5">
        <v>7</v>
      </c>
      <c r="D4718" s="25">
        <v>1.1415000000000001E-4</v>
      </c>
      <c r="E4718" s="25">
        <v>1.0609E-4</v>
      </c>
      <c r="F4718" s="25">
        <v>1.1856E-4</v>
      </c>
      <c r="G4718" s="25">
        <v>1.6679999999999999E-4</v>
      </c>
      <c r="H4718" s="25">
        <v>1.9362000000000001E-4</v>
      </c>
      <c r="I4718" s="9">
        <v>1.2009E-4</v>
      </c>
      <c r="J4718" s="9">
        <v>1.2731999999999999E-4</v>
      </c>
      <c r="K4718" s="9">
        <v>0</v>
      </c>
      <c r="L4718" s="9">
        <v>2.028E-4</v>
      </c>
      <c r="M4718" s="9">
        <v>1.5841999999999999E-4</v>
      </c>
      <c r="N4718" s="9">
        <v>1.2449999999999999E-4</v>
      </c>
      <c r="O4718" s="9">
        <v>1.6406999999999999E-4</v>
      </c>
      <c r="P4718" s="9">
        <v>1.7232E-4</v>
      </c>
      <c r="Q4718" s="9">
        <v>1.8024999999999999E-4</v>
      </c>
      <c r="R4718" s="10">
        <v>5.5832101814027292E-6</v>
      </c>
      <c r="S4718" s="10">
        <v>1.9584054800881783E-5</v>
      </c>
      <c r="T4718" s="10">
        <v>5.8660445706885359E-4</v>
      </c>
      <c r="U4718" s="10">
        <v>8.3830000000000002E-5</v>
      </c>
      <c r="V4718" s="25"/>
      <c r="W4718" s="25"/>
      <c r="X4718" s="25"/>
      <c r="Y4718" s="25"/>
      <c r="Z4718" s="25"/>
      <c r="AA4718" s="25"/>
    </row>
    <row r="4719" spans="1:27" x14ac:dyDescent="0.35">
      <c r="A4719" s="5">
        <v>4715</v>
      </c>
      <c r="B4719" s="5">
        <v>197</v>
      </c>
      <c r="C4719" s="5">
        <v>7</v>
      </c>
      <c r="D4719" s="25">
        <v>1.1416E-4</v>
      </c>
      <c r="E4719" s="25">
        <v>1.0867E-4</v>
      </c>
      <c r="F4719" s="25">
        <v>1.2655000000000001E-4</v>
      </c>
      <c r="G4719" s="25">
        <v>1.6555000000000001E-4</v>
      </c>
      <c r="H4719" s="25">
        <v>1.9866E-4</v>
      </c>
      <c r="I4719" s="9">
        <v>1.2132E-4</v>
      </c>
      <c r="J4719" s="9">
        <v>1.272E-4</v>
      </c>
      <c r="K4719" s="9">
        <v>0</v>
      </c>
      <c r="L4719" s="9">
        <v>1.7265999999999999E-4</v>
      </c>
      <c r="M4719" s="9">
        <v>1.7155999999999999E-4</v>
      </c>
      <c r="N4719" s="9">
        <v>1.4219999999999999E-4</v>
      </c>
      <c r="O4719" s="9">
        <v>1.6415000000000001E-4</v>
      </c>
      <c r="P4719" s="9">
        <v>1.7107E-4</v>
      </c>
      <c r="Q4719" s="9">
        <v>1.7767999999999999E-4</v>
      </c>
      <c r="R4719" s="10">
        <v>4.8742838050972263E-6</v>
      </c>
      <c r="S4719" s="10">
        <v>2.5118202200006049E-5</v>
      </c>
      <c r="T4719" s="10">
        <v>6.5633691342767495E-4</v>
      </c>
      <c r="U4719" s="10">
        <v>8.3830000000000002E-5</v>
      </c>
      <c r="V4719" s="25"/>
      <c r="W4719" s="25"/>
      <c r="X4719" s="25"/>
      <c r="Y4719" s="25"/>
      <c r="Z4719" s="25"/>
      <c r="AA4719" s="25"/>
    </row>
    <row r="4720" spans="1:27" x14ac:dyDescent="0.35">
      <c r="A4720" s="5">
        <v>4716</v>
      </c>
      <c r="B4720" s="5">
        <v>197</v>
      </c>
      <c r="C4720" s="5">
        <v>7</v>
      </c>
      <c r="D4720" s="25">
        <v>1.1415000000000001E-4</v>
      </c>
      <c r="E4720" s="25">
        <v>1.1505E-4</v>
      </c>
      <c r="F4720" s="25">
        <v>1.1951E-4</v>
      </c>
      <c r="G4720" s="25">
        <v>1.606E-4</v>
      </c>
      <c r="H4720" s="25">
        <v>1.9587000000000001E-4</v>
      </c>
      <c r="I4720" s="9">
        <v>1.2027999999999999E-4</v>
      </c>
      <c r="J4720" s="9">
        <v>1.2563E-4</v>
      </c>
      <c r="K4720" s="9">
        <v>0</v>
      </c>
      <c r="L4720" s="9">
        <v>1.6744000000000001E-4</v>
      </c>
      <c r="M4720" s="9">
        <v>1.7354999999999999E-4</v>
      </c>
      <c r="N4720" s="9">
        <v>1.5590999999999999E-4</v>
      </c>
      <c r="O4720" s="9">
        <v>1.6744000000000001E-4</v>
      </c>
      <c r="P4720" s="9">
        <v>1.7034999999999999E-4</v>
      </c>
      <c r="Q4720" s="9">
        <v>1.7301E-4</v>
      </c>
      <c r="R4720" s="10">
        <v>8.9309551175582085E-6</v>
      </c>
      <c r="S4720" s="10">
        <v>2.8706122265604734E-5</v>
      </c>
      <c r="T4720" s="10">
        <v>6.8234129093586171E-4</v>
      </c>
      <c r="U4720" s="10">
        <v>8.3830000000000002E-5</v>
      </c>
      <c r="V4720" s="25"/>
      <c r="W4720" s="25"/>
      <c r="X4720" s="25"/>
      <c r="Y4720" s="25"/>
      <c r="Z4720" s="25"/>
      <c r="AA4720" s="25"/>
    </row>
    <row r="4721" spans="1:27" x14ac:dyDescent="0.35">
      <c r="A4721" s="5">
        <v>4717</v>
      </c>
      <c r="B4721" s="5">
        <v>197</v>
      </c>
      <c r="C4721" s="5">
        <v>7</v>
      </c>
      <c r="D4721" s="25">
        <v>1.1416E-4</v>
      </c>
      <c r="E4721" s="25">
        <v>1.0808E-4</v>
      </c>
      <c r="F4721" s="25">
        <v>1.0875E-4</v>
      </c>
      <c r="G4721" s="25">
        <v>1.6143E-4</v>
      </c>
      <c r="H4721" s="25">
        <v>2.0142000000000001E-4</v>
      </c>
      <c r="I4721" s="9">
        <v>1.1879000000000001E-4</v>
      </c>
      <c r="J4721" s="9">
        <v>1.2509000000000001E-4</v>
      </c>
      <c r="K4721" s="9">
        <v>0</v>
      </c>
      <c r="L4721" s="9">
        <v>1.6762E-4</v>
      </c>
      <c r="M4721" s="9">
        <v>1.7244E-4</v>
      </c>
      <c r="N4721" s="9">
        <v>1.6517999999999999E-4</v>
      </c>
      <c r="O4721" s="9">
        <v>1.5919999999999999E-4</v>
      </c>
      <c r="P4721" s="9">
        <v>1.6280999999999999E-4</v>
      </c>
      <c r="Q4721" s="9">
        <v>1.6619000000000001E-4</v>
      </c>
      <c r="R4721" s="10">
        <v>8.9167216864577144E-6</v>
      </c>
      <c r="S4721" s="10">
        <v>2.4401092869523783E-5</v>
      </c>
      <c r="T4721" s="10">
        <v>6.8700765557844017E-4</v>
      </c>
      <c r="U4721" s="10">
        <v>8.3830000000000002E-5</v>
      </c>
      <c r="V4721" s="25"/>
      <c r="W4721" s="25"/>
      <c r="X4721" s="25"/>
      <c r="Y4721" s="25"/>
      <c r="Z4721" s="25"/>
      <c r="AA4721" s="25"/>
    </row>
    <row r="4722" spans="1:27" x14ac:dyDescent="0.35">
      <c r="A4722" s="5">
        <v>4718</v>
      </c>
      <c r="B4722" s="5">
        <v>197</v>
      </c>
      <c r="C4722" s="5">
        <v>7</v>
      </c>
      <c r="D4722" s="25">
        <v>1.1415000000000001E-4</v>
      </c>
      <c r="E4722" s="25">
        <v>1.0870999999999999E-4</v>
      </c>
      <c r="F4722" s="25">
        <v>1.2324999999999999E-4</v>
      </c>
      <c r="G4722" s="25">
        <v>1.5859000000000001E-4</v>
      </c>
      <c r="H4722" s="25">
        <v>1.9306999999999999E-4</v>
      </c>
      <c r="I4722" s="9">
        <v>1.1546E-4</v>
      </c>
      <c r="J4722" s="9">
        <v>1.2369E-4</v>
      </c>
      <c r="K4722" s="9">
        <v>0</v>
      </c>
      <c r="L4722" s="9">
        <v>1.6077999999999999E-4</v>
      </c>
      <c r="M4722" s="9">
        <v>1.6867E-4</v>
      </c>
      <c r="N4722" s="9">
        <v>1.6934E-4</v>
      </c>
      <c r="O4722" s="9">
        <v>1.7782E-4</v>
      </c>
      <c r="P4722" s="9">
        <v>1.6985000000000001E-4</v>
      </c>
      <c r="Q4722" s="9">
        <v>1.6178000000000001E-4</v>
      </c>
      <c r="R4722" s="10">
        <v>7.9190380311647838E-6</v>
      </c>
      <c r="S4722" s="10">
        <v>2.402996730880405E-5</v>
      </c>
      <c r="T4722" s="10">
        <v>6.5094089904098426E-4</v>
      </c>
      <c r="U4722" s="10">
        <v>8.3830000000000002E-5</v>
      </c>
      <c r="V4722" s="25"/>
      <c r="W4722" s="25"/>
      <c r="X4722" s="25"/>
      <c r="Y4722" s="25"/>
      <c r="Z4722" s="25"/>
      <c r="AA4722" s="25"/>
    </row>
    <row r="4723" spans="1:27" x14ac:dyDescent="0.35">
      <c r="A4723" s="5">
        <v>4719</v>
      </c>
      <c r="B4723" s="5">
        <v>197</v>
      </c>
      <c r="C4723" s="5">
        <v>7</v>
      </c>
      <c r="D4723" s="25">
        <v>1.1416E-4</v>
      </c>
      <c r="E4723" s="25">
        <v>1.0789E-4</v>
      </c>
      <c r="F4723" s="25">
        <v>1.1188000000000001E-4</v>
      </c>
      <c r="G4723" s="25">
        <v>1.6395E-4</v>
      </c>
      <c r="H4723" s="25">
        <v>1.9516999999999999E-4</v>
      </c>
      <c r="I4723" s="9">
        <v>1.1388E-4</v>
      </c>
      <c r="J4723" s="9">
        <v>1.2111E-4</v>
      </c>
      <c r="K4723" s="9">
        <v>0</v>
      </c>
      <c r="L4723" s="9">
        <v>1.7422999999999999E-4</v>
      </c>
      <c r="M4723" s="9">
        <v>1.6803E-4</v>
      </c>
      <c r="N4723" s="9">
        <v>1.6924999999999999E-4</v>
      </c>
      <c r="O4723" s="9">
        <v>1.8183000000000001E-4</v>
      </c>
      <c r="P4723" s="9">
        <v>1.6715999999999999E-4</v>
      </c>
      <c r="Q4723" s="9">
        <v>1.5248E-4</v>
      </c>
      <c r="R4723" s="10">
        <v>7.7140454427590894E-6</v>
      </c>
      <c r="S4723" s="10">
        <v>2.7057574098550029E-5</v>
      </c>
      <c r="T4723" s="10">
        <v>5.6575853356555347E-4</v>
      </c>
      <c r="U4723" s="10">
        <v>8.3830000000000002E-5</v>
      </c>
      <c r="V4723" s="25"/>
      <c r="W4723" s="25"/>
      <c r="X4723" s="25"/>
      <c r="Y4723" s="25"/>
      <c r="Z4723" s="25"/>
      <c r="AA4723" s="25"/>
    </row>
    <row r="4724" spans="1:27" x14ac:dyDescent="0.35">
      <c r="A4724" s="5">
        <v>4720</v>
      </c>
      <c r="B4724" s="5">
        <v>197</v>
      </c>
      <c r="C4724" s="5">
        <v>7</v>
      </c>
      <c r="D4724" s="25">
        <v>1.1415000000000001E-4</v>
      </c>
      <c r="E4724" s="25">
        <v>1.1357E-4</v>
      </c>
      <c r="F4724" s="25">
        <v>1.2705E-4</v>
      </c>
      <c r="G4724" s="25">
        <v>1.6166999999999999E-4</v>
      </c>
      <c r="H4724" s="25">
        <v>1.9921000000000001E-4</v>
      </c>
      <c r="I4724" s="9">
        <v>1.1318E-4</v>
      </c>
      <c r="J4724" s="9">
        <v>1.2047E-4</v>
      </c>
      <c r="K4724" s="9">
        <v>0</v>
      </c>
      <c r="L4724" s="9">
        <v>1.7981E-4</v>
      </c>
      <c r="M4724" s="9">
        <v>1.6765000000000001E-4</v>
      </c>
      <c r="N4724" s="9">
        <v>1.6558E-4</v>
      </c>
      <c r="O4724" s="9">
        <v>1.9731999999999999E-4</v>
      </c>
      <c r="P4724" s="9">
        <v>1.5385E-4</v>
      </c>
      <c r="Q4724" s="9">
        <v>1.1077E-4</v>
      </c>
      <c r="R4724" s="10">
        <v>9.2027212237223078E-6</v>
      </c>
      <c r="S4724" s="10">
        <v>3.5717569552331076E-5</v>
      </c>
      <c r="T4724" s="10">
        <v>4.7210883733868033E-4</v>
      </c>
      <c r="U4724" s="10">
        <v>8.3830000000000002E-5</v>
      </c>
      <c r="V4724" s="25"/>
      <c r="W4724" s="25"/>
      <c r="X4724" s="25"/>
      <c r="Y4724" s="25"/>
      <c r="Z4724" s="25"/>
      <c r="AA4724" s="25"/>
    </row>
    <row r="4725" spans="1:27" x14ac:dyDescent="0.35">
      <c r="A4725" s="5">
        <v>4721</v>
      </c>
      <c r="B4725" s="5">
        <v>197</v>
      </c>
      <c r="C4725" s="5">
        <v>7</v>
      </c>
      <c r="D4725" s="25">
        <v>1.1416E-4</v>
      </c>
      <c r="E4725" s="25">
        <v>1.1027999999999999E-4</v>
      </c>
      <c r="F4725" s="25">
        <v>1.1815E-4</v>
      </c>
      <c r="G4725" s="25">
        <v>1.6515E-4</v>
      </c>
      <c r="H4725" s="25">
        <v>2.0128E-4</v>
      </c>
      <c r="I4725" s="9">
        <v>1.1318E-4</v>
      </c>
      <c r="J4725" s="9">
        <v>1.2121999999999999E-4</v>
      </c>
      <c r="K4725" s="9">
        <v>0</v>
      </c>
      <c r="L4725" s="9">
        <v>1.9326E-4</v>
      </c>
      <c r="M4725" s="9">
        <v>1.6267000000000001E-4</v>
      </c>
      <c r="N4725" s="9">
        <v>1.5231000000000001E-4</v>
      </c>
      <c r="O4725" s="9">
        <v>2.1153E-4</v>
      </c>
      <c r="P4725" s="9">
        <v>1.5899999999999999E-4</v>
      </c>
      <c r="Q4725" s="9">
        <v>1.0695E-4</v>
      </c>
      <c r="R4725" s="10">
        <v>1.1090641737492477E-5</v>
      </c>
      <c r="S4725" s="10">
        <v>5.0350846275325259E-5</v>
      </c>
      <c r="T4725" s="10">
        <v>3.3823507789278157E-4</v>
      </c>
      <c r="U4725" s="10">
        <v>8.3830000000000002E-5</v>
      </c>
      <c r="V4725" s="25"/>
      <c r="W4725" s="25"/>
      <c r="X4725" s="25"/>
      <c r="Y4725" s="25"/>
      <c r="Z4725" s="25"/>
      <c r="AA4725" s="25"/>
    </row>
    <row r="4726" spans="1:27" x14ac:dyDescent="0.35">
      <c r="A4726" s="5">
        <v>4722</v>
      </c>
      <c r="B4726" s="5">
        <v>197</v>
      </c>
      <c r="C4726" s="5">
        <v>7</v>
      </c>
      <c r="D4726" s="25">
        <v>1.1415000000000001E-4</v>
      </c>
      <c r="E4726" s="25">
        <v>1.0777000000000001E-4</v>
      </c>
      <c r="F4726" s="25">
        <v>1.0826E-4</v>
      </c>
      <c r="G4726" s="25">
        <v>1.6616999999999999E-4</v>
      </c>
      <c r="H4726" s="25">
        <v>1.9160999999999999E-4</v>
      </c>
      <c r="I4726" s="9">
        <v>1.1254E-4</v>
      </c>
      <c r="J4726" s="9">
        <v>1.1832000000000001E-4</v>
      </c>
      <c r="K4726" s="9">
        <v>0</v>
      </c>
      <c r="L4726" s="9">
        <v>2.0724E-4</v>
      </c>
      <c r="M4726" s="9">
        <v>1.5995000000000001E-4</v>
      </c>
      <c r="N4726" s="9">
        <v>1.3909999999999999E-4</v>
      </c>
      <c r="O4726" s="9">
        <v>2.0537999999999999E-4</v>
      </c>
      <c r="P4726" s="9">
        <v>1.6190000000000001E-4</v>
      </c>
      <c r="Q4726" s="9">
        <v>1.1878E-4</v>
      </c>
      <c r="R4726" s="10">
        <v>1.5887811449185974E-5</v>
      </c>
      <c r="S4726" s="10">
        <v>6.4263477852747122E-5</v>
      </c>
      <c r="T4726" s="10">
        <v>1.6218586637732434E-4</v>
      </c>
      <c r="U4726" s="10">
        <v>8.3830000000000002E-5</v>
      </c>
      <c r="V4726" s="25"/>
      <c r="W4726" s="25"/>
      <c r="X4726" s="25"/>
      <c r="Y4726" s="25"/>
      <c r="Z4726" s="25"/>
      <c r="AA4726" s="25"/>
    </row>
    <row r="4727" spans="1:27" x14ac:dyDescent="0.35">
      <c r="A4727" s="5">
        <v>4723</v>
      </c>
      <c r="B4727" s="5">
        <v>197</v>
      </c>
      <c r="C4727" s="5">
        <v>7</v>
      </c>
      <c r="D4727" s="25">
        <v>1.1416E-4</v>
      </c>
      <c r="E4727" s="25">
        <v>1.1166E-4</v>
      </c>
      <c r="F4727" s="25">
        <v>1.2506E-4</v>
      </c>
      <c r="G4727" s="25">
        <v>1.0626E-4</v>
      </c>
      <c r="H4727" s="25">
        <v>1.2884999999999999E-4</v>
      </c>
      <c r="I4727" s="9">
        <v>1.0857E-4</v>
      </c>
      <c r="J4727" s="9">
        <v>1.1622E-4</v>
      </c>
      <c r="K4727" s="9">
        <v>0</v>
      </c>
      <c r="L4727" s="9">
        <v>2.0541999999999999E-4</v>
      </c>
      <c r="M4727" s="9">
        <v>1.6008E-4</v>
      </c>
      <c r="N4727" s="9">
        <v>1.3038000000000001E-4</v>
      </c>
      <c r="O4727" s="9">
        <v>1.6442E-4</v>
      </c>
      <c r="P4727" s="9">
        <v>1.361E-4</v>
      </c>
      <c r="Q4727" s="9">
        <v>1.0802E-4</v>
      </c>
      <c r="R4727" s="10">
        <v>2.3689792522649374E-5</v>
      </c>
      <c r="S4727" s="10">
        <v>8.076187109090646E-5</v>
      </c>
      <c r="T4727" s="10">
        <v>5.1906943424171915E-5</v>
      </c>
      <c r="U4727" s="10">
        <v>8.3830000000000002E-5</v>
      </c>
      <c r="V4727" s="25"/>
      <c r="W4727" s="25"/>
      <c r="X4727" s="25"/>
      <c r="Y4727" s="25"/>
      <c r="Z4727" s="25"/>
      <c r="AA4727" s="25"/>
    </row>
    <row r="4728" spans="1:27" x14ac:dyDescent="0.35">
      <c r="A4728" s="5">
        <v>4724</v>
      </c>
      <c r="B4728" s="5">
        <v>197</v>
      </c>
      <c r="C4728" s="5">
        <v>7</v>
      </c>
      <c r="D4728" s="25">
        <v>1.1415000000000001E-4</v>
      </c>
      <c r="E4728" s="25">
        <v>1.0590999999999999E-4</v>
      </c>
      <c r="F4728" s="25">
        <v>1.1874E-4</v>
      </c>
      <c r="G4728" s="25">
        <v>1.1496E-4</v>
      </c>
      <c r="H4728" s="25">
        <v>1.2538E-4</v>
      </c>
      <c r="I4728" s="9">
        <v>1.0433999999999999E-4</v>
      </c>
      <c r="J4728" s="9">
        <v>1.1334E-4</v>
      </c>
      <c r="K4728" s="9">
        <v>0</v>
      </c>
      <c r="L4728" s="9">
        <v>1.7358E-4</v>
      </c>
      <c r="M4728" s="9">
        <v>1.5165E-4</v>
      </c>
      <c r="N4728" s="9">
        <v>1.2147E-4</v>
      </c>
      <c r="O4728" s="9">
        <v>1.2824000000000001E-4</v>
      </c>
      <c r="P4728" s="9">
        <v>1.1512E-4</v>
      </c>
      <c r="Q4728" s="9">
        <v>1.0212E-4</v>
      </c>
      <c r="R4728" s="10">
        <v>4.3392129330570695E-5</v>
      </c>
      <c r="S4728" s="10">
        <v>9.8098589664031628E-5</v>
      </c>
      <c r="T4728" s="10">
        <v>1.8665458570313537E-7</v>
      </c>
      <c r="U4728" s="10">
        <v>8.3830000000000002E-5</v>
      </c>
      <c r="V4728" s="25"/>
      <c r="W4728" s="25"/>
      <c r="X4728" s="25"/>
      <c r="Y4728" s="25"/>
      <c r="Z4728" s="25"/>
      <c r="AA4728" s="25"/>
    </row>
    <row r="4729" spans="1:27" x14ac:dyDescent="0.35">
      <c r="A4729" s="5">
        <v>4725</v>
      </c>
      <c r="B4729" s="5">
        <v>197</v>
      </c>
      <c r="C4729" s="5">
        <v>7</v>
      </c>
      <c r="D4729" s="25">
        <v>1.1416E-4</v>
      </c>
      <c r="E4729" s="25">
        <v>1.1021E-4</v>
      </c>
      <c r="F4729" s="25">
        <v>1.1367E-4</v>
      </c>
      <c r="G4729" s="25">
        <v>5.923E-5</v>
      </c>
      <c r="H4729" s="25">
        <v>6.7329999999999994E-5</v>
      </c>
      <c r="I4729" s="9">
        <v>1.0264000000000001E-4</v>
      </c>
      <c r="J4729" s="9">
        <v>1.0923E-4</v>
      </c>
      <c r="K4729" s="9">
        <v>4.2389999999999999E-5</v>
      </c>
      <c r="L4729" s="9">
        <v>1.3919E-4</v>
      </c>
      <c r="M4729" s="9">
        <v>1.3611999999999999E-4</v>
      </c>
      <c r="N4729" s="9">
        <v>1.1379000000000001E-4</v>
      </c>
      <c r="O4729" s="9">
        <v>8.4859999999999997E-5</v>
      </c>
      <c r="P4729" s="9">
        <v>8.6849999999999997E-5</v>
      </c>
      <c r="Q4729" s="9">
        <v>8.886E-5</v>
      </c>
      <c r="R4729" s="10">
        <v>8.1363528514109173E-5</v>
      </c>
      <c r="S4729" s="10">
        <v>1.0936829223321363E-4</v>
      </c>
      <c r="T4729" s="10">
        <v>0</v>
      </c>
      <c r="U4729" s="10">
        <v>8.3830000000000002E-5</v>
      </c>
      <c r="V4729" s="25"/>
      <c r="W4729" s="25"/>
      <c r="X4729" s="25"/>
      <c r="Y4729" s="25"/>
      <c r="Z4729" s="25"/>
      <c r="AA4729" s="25"/>
    </row>
    <row r="4730" spans="1:27" x14ac:dyDescent="0.35">
      <c r="A4730" s="5">
        <v>4726</v>
      </c>
      <c r="B4730" s="5">
        <v>197</v>
      </c>
      <c r="C4730" s="5">
        <v>7</v>
      </c>
      <c r="D4730" s="25">
        <v>1.1415000000000001E-4</v>
      </c>
      <c r="E4730" s="25">
        <v>1.0962E-4</v>
      </c>
      <c r="F4730" s="25">
        <v>1.1788E-4</v>
      </c>
      <c r="G4730" s="25">
        <v>5.2840000000000002E-5</v>
      </c>
      <c r="H4730" s="25">
        <v>7.504E-5</v>
      </c>
      <c r="I4730" s="9">
        <v>1.0636E-4</v>
      </c>
      <c r="J4730" s="9">
        <v>1.0888E-4</v>
      </c>
      <c r="K4730" s="9">
        <v>5.0869999999999999E-5</v>
      </c>
      <c r="L4730" s="9">
        <v>9.7759999999999999E-5</v>
      </c>
      <c r="M4730" s="9">
        <v>1.1437E-4</v>
      </c>
      <c r="N4730" s="9">
        <v>1.0620000000000001E-4</v>
      </c>
      <c r="O4730" s="9">
        <v>8.6479999999999999E-5</v>
      </c>
      <c r="P4730" s="9">
        <v>8.7089999999999995E-5</v>
      </c>
      <c r="Q4730" s="9">
        <v>8.7730000000000002E-5</v>
      </c>
      <c r="R4730" s="10">
        <v>1.2593865866658173E-4</v>
      </c>
      <c r="S4730" s="10">
        <v>1.1851477917922705E-4</v>
      </c>
      <c r="T4730" s="10">
        <v>0</v>
      </c>
      <c r="U4730" s="10">
        <v>8.3830000000000002E-5</v>
      </c>
      <c r="V4730" s="25"/>
      <c r="W4730" s="25"/>
      <c r="X4730" s="25"/>
      <c r="Y4730" s="25"/>
      <c r="Z4730" s="25"/>
      <c r="AA4730" s="25"/>
    </row>
    <row r="4731" spans="1:27" x14ac:dyDescent="0.35">
      <c r="A4731" s="5">
        <v>4727</v>
      </c>
      <c r="B4731" s="5">
        <v>197</v>
      </c>
      <c r="C4731" s="5">
        <v>7</v>
      </c>
      <c r="D4731" s="25">
        <v>1.1416E-4</v>
      </c>
      <c r="E4731" s="25">
        <v>1.0675000000000001E-4</v>
      </c>
      <c r="F4731" s="25">
        <v>1.0821E-4</v>
      </c>
      <c r="G4731" s="25">
        <v>5.2939999999999998E-5</v>
      </c>
      <c r="H4731" s="25">
        <v>7.4499999999999995E-5</v>
      </c>
      <c r="I4731" s="9">
        <v>1.0258E-4</v>
      </c>
      <c r="J4731" s="9">
        <v>1.0585E-4</v>
      </c>
      <c r="K4731" s="9">
        <v>5.7229999999999999E-5</v>
      </c>
      <c r="L4731" s="9">
        <v>8.988E-5</v>
      </c>
      <c r="M4731" s="9">
        <v>9.9220000000000002E-5</v>
      </c>
      <c r="N4731" s="9">
        <v>1.0017E-4</v>
      </c>
      <c r="O4731" s="9">
        <v>7.7029999999999999E-5</v>
      </c>
      <c r="P4731" s="9">
        <v>7.1660000000000002E-5</v>
      </c>
      <c r="Q4731" s="9">
        <v>6.6439999999999994E-5</v>
      </c>
      <c r="R4731" s="10">
        <v>1.5440061412844359E-4</v>
      </c>
      <c r="S4731" s="10">
        <v>1.2648904536093677E-4</v>
      </c>
      <c r="T4731" s="10">
        <v>0</v>
      </c>
      <c r="U4731" s="10">
        <v>8.3830000000000002E-5</v>
      </c>
      <c r="V4731" s="25"/>
      <c r="W4731" s="25"/>
      <c r="X4731" s="25"/>
      <c r="Y4731" s="25"/>
      <c r="Z4731" s="25"/>
      <c r="AA4731" s="25"/>
    </row>
    <row r="4732" spans="1:27" x14ac:dyDescent="0.35">
      <c r="A4732" s="5">
        <v>4728</v>
      </c>
      <c r="B4732" s="5">
        <v>197</v>
      </c>
      <c r="C4732" s="5">
        <v>7</v>
      </c>
      <c r="D4732" s="25">
        <v>1.1415000000000001E-4</v>
      </c>
      <c r="E4732" s="25">
        <v>1.1178E-4</v>
      </c>
      <c r="F4732" s="25">
        <v>1.2449999999999999E-4</v>
      </c>
      <c r="G4732" s="25">
        <v>5.3149999999999998E-5</v>
      </c>
      <c r="H4732" s="25">
        <v>6.4670000000000003E-5</v>
      </c>
      <c r="I4732" s="9">
        <v>9.6979999999999996E-5</v>
      </c>
      <c r="J4732" s="9">
        <v>9.9309999999999996E-5</v>
      </c>
      <c r="K4732" s="9">
        <v>8.9010000000000003E-5</v>
      </c>
      <c r="L4732" s="9">
        <v>7.9859999999999998E-5</v>
      </c>
      <c r="M4732" s="9">
        <v>8.5950000000000002E-5</v>
      </c>
      <c r="N4732" s="9">
        <v>9.0669999999999998E-5</v>
      </c>
      <c r="O4732" s="9">
        <v>6.3029999999999998E-5</v>
      </c>
      <c r="P4732" s="9">
        <v>6.1039999999999998E-5</v>
      </c>
      <c r="Q4732" s="9">
        <v>5.9219999999999999E-5</v>
      </c>
      <c r="R4732" s="10">
        <v>1.599681383125909E-4</v>
      </c>
      <c r="S4732" s="10">
        <v>1.430913519905463E-4</v>
      </c>
      <c r="T4732" s="10">
        <v>0</v>
      </c>
      <c r="U4732" s="10">
        <v>8.3830000000000002E-5</v>
      </c>
      <c r="V4732" s="25"/>
      <c r="W4732" s="25"/>
      <c r="X4732" s="25"/>
      <c r="Y4732" s="25"/>
      <c r="Z4732" s="25"/>
      <c r="AA4732" s="25"/>
    </row>
    <row r="4733" spans="1:27" x14ac:dyDescent="0.35">
      <c r="A4733" s="5">
        <v>4729</v>
      </c>
      <c r="B4733" s="5">
        <v>198</v>
      </c>
      <c r="C4733" s="5">
        <v>7</v>
      </c>
      <c r="D4733" s="25">
        <v>1.1416E-4</v>
      </c>
      <c r="E4733" s="25">
        <v>1.1836E-4</v>
      </c>
      <c r="F4733" s="25">
        <v>1.3077999999999999E-4</v>
      </c>
      <c r="G4733" s="25">
        <v>5.469E-5</v>
      </c>
      <c r="H4733" s="25">
        <v>6.7860000000000004E-5</v>
      </c>
      <c r="I4733" s="9">
        <v>9.2600000000000001E-5</v>
      </c>
      <c r="J4733" s="9">
        <v>9.365E-5</v>
      </c>
      <c r="K4733" s="9">
        <v>9.9610000000000003E-5</v>
      </c>
      <c r="L4733" s="9">
        <v>6.6740000000000001E-5</v>
      </c>
      <c r="M4733" s="9">
        <v>7.3930000000000005E-5</v>
      </c>
      <c r="N4733" s="9">
        <v>8.1240000000000001E-5</v>
      </c>
      <c r="O4733" s="9">
        <v>5.414E-5</v>
      </c>
      <c r="P4733" s="9">
        <v>5.3569999999999997E-5</v>
      </c>
      <c r="Q4733" s="9">
        <v>5.3140000000000003E-5</v>
      </c>
      <c r="R4733" s="10">
        <v>1.7114163064056948E-4</v>
      </c>
      <c r="S4733" s="10">
        <v>1.466287486106024E-4</v>
      </c>
      <c r="T4733" s="10">
        <v>0</v>
      </c>
      <c r="U4733" s="10">
        <v>8.2269999999999997E-5</v>
      </c>
      <c r="V4733" s="25"/>
      <c r="W4733" s="25"/>
      <c r="X4733" s="25"/>
      <c r="Y4733" s="25"/>
      <c r="Z4733" s="25"/>
      <c r="AA4733" s="25"/>
    </row>
    <row r="4734" spans="1:27" x14ac:dyDescent="0.35">
      <c r="A4734" s="5">
        <v>4730</v>
      </c>
      <c r="B4734" s="5">
        <v>198</v>
      </c>
      <c r="C4734" s="5">
        <v>7</v>
      </c>
      <c r="D4734" s="25">
        <v>1.1415000000000001E-4</v>
      </c>
      <c r="E4734" s="25">
        <v>1.2176E-4</v>
      </c>
      <c r="F4734" s="25">
        <v>1.2965000000000001E-4</v>
      </c>
      <c r="G4734" s="25">
        <v>5.6860000000000001E-5</v>
      </c>
      <c r="H4734" s="25">
        <v>7.4400000000000006E-5</v>
      </c>
      <c r="I4734" s="9">
        <v>8.8759999999999997E-5</v>
      </c>
      <c r="J4734" s="9">
        <v>9.0849999999999999E-5</v>
      </c>
      <c r="K4734" s="9">
        <v>1.0596E-4</v>
      </c>
      <c r="L4734" s="9">
        <v>5.7269999999999999E-5</v>
      </c>
      <c r="M4734" s="9">
        <v>6.3769999999999994E-5</v>
      </c>
      <c r="N4734" s="9">
        <v>7.2009999999999997E-5</v>
      </c>
      <c r="O4734" s="9">
        <v>1.931E-5</v>
      </c>
      <c r="P4734" s="9">
        <v>3.7780000000000001E-5</v>
      </c>
      <c r="Q4734" s="9">
        <v>5.6230000000000002E-5</v>
      </c>
      <c r="R4734" s="10">
        <v>1.8436414691087164E-4</v>
      </c>
      <c r="S4734" s="10">
        <v>1.5330683519945235E-4</v>
      </c>
      <c r="T4734" s="10">
        <v>0</v>
      </c>
      <c r="U4734" s="10">
        <v>8.2269999999999997E-5</v>
      </c>
      <c r="V4734" s="25"/>
      <c r="W4734" s="25"/>
      <c r="X4734" s="25"/>
      <c r="Y4734" s="25"/>
      <c r="Z4734" s="25"/>
      <c r="AA4734" s="25"/>
    </row>
    <row r="4735" spans="1:27" x14ac:dyDescent="0.35">
      <c r="A4735" s="5">
        <v>4731</v>
      </c>
      <c r="B4735" s="5">
        <v>198</v>
      </c>
      <c r="C4735" s="5">
        <v>7</v>
      </c>
      <c r="D4735" s="25">
        <v>1.1416E-4</v>
      </c>
      <c r="E4735" s="25">
        <v>1.2495E-4</v>
      </c>
      <c r="F4735" s="25">
        <v>1.3983999999999999E-4</v>
      </c>
      <c r="G4735" s="25">
        <v>5.817E-5</v>
      </c>
      <c r="H4735" s="25">
        <v>6.5409999999999999E-5</v>
      </c>
      <c r="I4735" s="9">
        <v>8.6609999999999999E-5</v>
      </c>
      <c r="J4735" s="9">
        <v>8.9079999999999994E-5</v>
      </c>
      <c r="K4735" s="9">
        <v>1.1656E-4</v>
      </c>
      <c r="L4735" s="9">
        <v>2.7869999999999999E-5</v>
      </c>
      <c r="M4735" s="9">
        <v>5.2089999999999998E-5</v>
      </c>
      <c r="N4735" s="9">
        <v>6.5419999999999994E-5</v>
      </c>
      <c r="O4735" s="9">
        <v>1.3910000000000001E-5</v>
      </c>
      <c r="P4735" s="9">
        <v>3.7839999999999997E-5</v>
      </c>
      <c r="Q4735" s="9">
        <v>6.1680000000000006E-5</v>
      </c>
      <c r="R4735" s="10">
        <v>1.806373142179972E-4</v>
      </c>
      <c r="S4735" s="10">
        <v>1.6952314578487284E-4</v>
      </c>
      <c r="T4735" s="10">
        <v>0</v>
      </c>
      <c r="U4735" s="10">
        <v>8.2269999999999997E-5</v>
      </c>
      <c r="V4735" s="25"/>
      <c r="W4735" s="25"/>
      <c r="X4735" s="25"/>
      <c r="Y4735" s="25"/>
      <c r="Z4735" s="25"/>
      <c r="AA4735" s="25"/>
    </row>
    <row r="4736" spans="1:27" x14ac:dyDescent="0.35">
      <c r="A4736" s="5">
        <v>4732</v>
      </c>
      <c r="B4736" s="5">
        <v>198</v>
      </c>
      <c r="C4736" s="5">
        <v>7</v>
      </c>
      <c r="D4736" s="25">
        <v>1.1415000000000001E-4</v>
      </c>
      <c r="E4736" s="25">
        <v>1.1645E-4</v>
      </c>
      <c r="F4736" s="25">
        <v>1.3896000000000001E-4</v>
      </c>
      <c r="G4736" s="25">
        <v>5.325E-5</v>
      </c>
      <c r="H4736" s="25">
        <v>6.5500000000000006E-5</v>
      </c>
      <c r="I4736" s="9">
        <v>8.619E-5</v>
      </c>
      <c r="J4736" s="9">
        <v>8.8300000000000005E-5</v>
      </c>
      <c r="K4736" s="9">
        <v>1.2292E-4</v>
      </c>
      <c r="L4736" s="9">
        <v>1.7710000000000002E-5</v>
      </c>
      <c r="M4736" s="9">
        <v>4.4169999999999999E-5</v>
      </c>
      <c r="N4736" s="9">
        <v>6.1870000000000002E-5</v>
      </c>
      <c r="O4736" s="9">
        <v>1.4E-5</v>
      </c>
      <c r="P4736" s="9">
        <v>4.7630000000000003E-5</v>
      </c>
      <c r="Q4736" s="9">
        <v>8.1009999999999999E-5</v>
      </c>
      <c r="R4736" s="10">
        <v>1.8989323479544053E-4</v>
      </c>
      <c r="S4736" s="10">
        <v>1.7628792777460436E-4</v>
      </c>
      <c r="T4736" s="10">
        <v>0</v>
      </c>
      <c r="U4736" s="10">
        <v>8.2269999999999997E-5</v>
      </c>
      <c r="V4736" s="25"/>
      <c r="W4736" s="25"/>
      <c r="X4736" s="25"/>
      <c r="Y4736" s="25"/>
      <c r="Z4736" s="25"/>
      <c r="AA4736" s="25"/>
    </row>
    <row r="4737" spans="1:27" x14ac:dyDescent="0.35">
      <c r="A4737" s="5">
        <v>4733</v>
      </c>
      <c r="B4737" s="5">
        <v>198</v>
      </c>
      <c r="C4737" s="5">
        <v>7</v>
      </c>
      <c r="D4737" s="25">
        <v>1.1416E-4</v>
      </c>
      <c r="E4737" s="25">
        <v>1.1671999999999999E-4</v>
      </c>
      <c r="F4737" s="25">
        <v>1.2551000000000001E-4</v>
      </c>
      <c r="G4737" s="25">
        <v>5.817E-5</v>
      </c>
      <c r="H4737" s="25">
        <v>6.7760000000000002E-5</v>
      </c>
      <c r="I4737" s="9">
        <v>8.5890000000000006E-5</v>
      </c>
      <c r="J4737" s="9">
        <v>8.797E-5</v>
      </c>
      <c r="K4737" s="9">
        <v>6.9939999999999998E-5</v>
      </c>
      <c r="L4737" s="9">
        <v>1.506E-5</v>
      </c>
      <c r="M4737" s="9">
        <v>4.3649999999999997E-5</v>
      </c>
      <c r="N4737" s="9">
        <v>6.457E-5</v>
      </c>
      <c r="O4737" s="9">
        <v>1.912E-5</v>
      </c>
      <c r="P4737" s="9">
        <v>5.613E-5</v>
      </c>
      <c r="Q4737" s="9">
        <v>9.2819999999999996E-5</v>
      </c>
      <c r="R4737" s="10">
        <v>2.0188736376711719E-4</v>
      </c>
      <c r="S4737" s="10">
        <v>1.7689914651083382E-4</v>
      </c>
      <c r="T4737" s="10">
        <v>4.5900059484271012E-6</v>
      </c>
      <c r="U4737" s="10">
        <v>8.2269999999999997E-5</v>
      </c>
      <c r="V4737" s="25"/>
      <c r="W4737" s="25"/>
      <c r="X4737" s="25"/>
      <c r="Y4737" s="25"/>
      <c r="Z4737" s="25"/>
      <c r="AA4737" s="25"/>
    </row>
    <row r="4738" spans="1:27" x14ac:dyDescent="0.35">
      <c r="A4738" s="5">
        <v>4734</v>
      </c>
      <c r="B4738" s="5">
        <v>198</v>
      </c>
      <c r="C4738" s="5">
        <v>7</v>
      </c>
      <c r="D4738" s="25">
        <v>1.1415000000000001E-4</v>
      </c>
      <c r="E4738" s="25">
        <v>1.1542E-4</v>
      </c>
      <c r="F4738" s="25">
        <v>1.3271999999999999E-4</v>
      </c>
      <c r="G4738" s="25">
        <v>1.1156E-4</v>
      </c>
      <c r="H4738" s="25">
        <v>1.4017000000000001E-4</v>
      </c>
      <c r="I4738" s="9">
        <v>8.5439999999999995E-5</v>
      </c>
      <c r="J4738" s="9">
        <v>8.9489999999999999E-5</v>
      </c>
      <c r="K4738" s="9">
        <v>0</v>
      </c>
      <c r="L4738" s="9">
        <v>1.8099999999999999E-5</v>
      </c>
      <c r="M4738" s="9">
        <v>4.8350000000000003E-5</v>
      </c>
      <c r="N4738" s="9">
        <v>7.0950000000000003E-5</v>
      </c>
      <c r="O4738" s="9">
        <v>4.6069999999999998E-5</v>
      </c>
      <c r="P4738" s="9">
        <v>7.6329999999999996E-5</v>
      </c>
      <c r="Q4738" s="9">
        <v>1.0628000000000001E-4</v>
      </c>
      <c r="R4738" s="10">
        <v>2.044507673004423E-4</v>
      </c>
      <c r="S4738" s="10">
        <v>1.7576873365905875E-4</v>
      </c>
      <c r="T4738" s="10">
        <v>3.1519172085779445E-5</v>
      </c>
      <c r="U4738" s="10">
        <v>8.2269999999999997E-5</v>
      </c>
      <c r="V4738" s="25"/>
      <c r="W4738" s="25"/>
      <c r="X4738" s="25"/>
      <c r="Y4738" s="25"/>
      <c r="Z4738" s="25"/>
      <c r="AA4738" s="25"/>
    </row>
    <row r="4739" spans="1:27" x14ac:dyDescent="0.35">
      <c r="A4739" s="5">
        <v>4735</v>
      </c>
      <c r="B4739" s="5">
        <v>198</v>
      </c>
      <c r="C4739" s="5">
        <v>7</v>
      </c>
      <c r="D4739" s="25">
        <v>1.1416E-4</v>
      </c>
      <c r="E4739" s="25">
        <v>1.2045E-4</v>
      </c>
      <c r="F4739" s="25">
        <v>1.3464E-4</v>
      </c>
      <c r="G4739" s="25">
        <v>1.1425999999999999E-4</v>
      </c>
      <c r="H4739" s="25">
        <v>1.3799999999999999E-4</v>
      </c>
      <c r="I4739" s="9">
        <v>9.0409999999999997E-5</v>
      </c>
      <c r="J4739" s="9">
        <v>9.4370000000000006E-5</v>
      </c>
      <c r="K4739" s="9">
        <v>0</v>
      </c>
      <c r="L4739" s="9">
        <v>3.9780000000000002E-5</v>
      </c>
      <c r="M4739" s="9">
        <v>5.9750000000000002E-5</v>
      </c>
      <c r="N4739" s="9">
        <v>8.051E-5</v>
      </c>
      <c r="O4739" s="9">
        <v>1.2173E-4</v>
      </c>
      <c r="P4739" s="9">
        <v>1.1680000000000001E-4</v>
      </c>
      <c r="Q4739" s="9">
        <v>1.1189E-4</v>
      </c>
      <c r="R4739" s="10">
        <v>2.0563321203693883E-4</v>
      </c>
      <c r="S4739" s="10">
        <v>1.7841078403083079E-4</v>
      </c>
      <c r="T4739" s="10">
        <v>1.4139933296947519E-4</v>
      </c>
      <c r="U4739" s="10">
        <v>8.2269999999999997E-5</v>
      </c>
      <c r="V4739" s="25"/>
      <c r="W4739" s="25"/>
      <c r="X4739" s="25"/>
      <c r="Y4739" s="25"/>
      <c r="Z4739" s="25"/>
      <c r="AA4739" s="25"/>
    </row>
    <row r="4740" spans="1:27" x14ac:dyDescent="0.35">
      <c r="A4740" s="5">
        <v>4736</v>
      </c>
      <c r="B4740" s="5">
        <v>198</v>
      </c>
      <c r="C4740" s="5">
        <v>7</v>
      </c>
      <c r="D4740" s="25">
        <v>1.1415000000000001E-4</v>
      </c>
      <c r="E4740" s="25">
        <v>1.2282999999999999E-4</v>
      </c>
      <c r="F4740" s="25">
        <v>1.2928000000000001E-4</v>
      </c>
      <c r="G4740" s="25">
        <v>1.5875000000000001E-4</v>
      </c>
      <c r="H4740" s="25">
        <v>2.0322E-4</v>
      </c>
      <c r="I4740" s="9">
        <v>9.6710000000000001E-5</v>
      </c>
      <c r="J4740" s="9">
        <v>1.01E-4</v>
      </c>
      <c r="K4740" s="9">
        <v>0</v>
      </c>
      <c r="L4740" s="9">
        <v>1.0309E-4</v>
      </c>
      <c r="M4740" s="9">
        <v>8.3220000000000006E-5</v>
      </c>
      <c r="N4740" s="9">
        <v>9.0489999999999996E-5</v>
      </c>
      <c r="O4740" s="9">
        <v>2.1563999999999999E-4</v>
      </c>
      <c r="P4740" s="9">
        <v>1.7546E-4</v>
      </c>
      <c r="Q4740" s="9">
        <v>1.3553999999999999E-4</v>
      </c>
      <c r="R4740" s="10">
        <v>2.0753221029016646E-4</v>
      </c>
      <c r="S4740" s="10">
        <v>1.8760541415399108E-4</v>
      </c>
      <c r="T4740" s="10">
        <v>3.0372943243575201E-4</v>
      </c>
      <c r="U4740" s="10">
        <v>8.2269999999999997E-5</v>
      </c>
      <c r="V4740" s="25"/>
      <c r="W4740" s="25"/>
      <c r="X4740" s="25"/>
      <c r="Y4740" s="25"/>
      <c r="Z4740" s="25"/>
      <c r="AA4740" s="25"/>
    </row>
    <row r="4741" spans="1:27" x14ac:dyDescent="0.35">
      <c r="A4741" s="5">
        <v>4737</v>
      </c>
      <c r="B4741" s="5">
        <v>198</v>
      </c>
      <c r="C4741" s="5">
        <v>7</v>
      </c>
      <c r="D4741" s="25">
        <v>1.1416E-4</v>
      </c>
      <c r="E4741" s="25">
        <v>1.1553E-4</v>
      </c>
      <c r="F4741" s="25">
        <v>1.4232000000000001E-4</v>
      </c>
      <c r="G4741" s="25">
        <v>1.6365999999999999E-4</v>
      </c>
      <c r="H4741" s="25">
        <v>2.0207999999999999E-4</v>
      </c>
      <c r="I4741" s="9">
        <v>1.0285000000000001E-4</v>
      </c>
      <c r="J4741" s="9">
        <v>1.0798000000000001E-4</v>
      </c>
      <c r="K4741" s="9">
        <v>0</v>
      </c>
      <c r="L4741" s="9">
        <v>1.8913999999999999E-4</v>
      </c>
      <c r="M4741" s="9">
        <v>1.2250999999999999E-4</v>
      </c>
      <c r="N4741" s="9">
        <v>1.0399999999999999E-4</v>
      </c>
      <c r="O4741" s="9">
        <v>2.0770000000000001E-4</v>
      </c>
      <c r="P4741" s="9">
        <v>1.9165999999999999E-4</v>
      </c>
      <c r="Q4741" s="9">
        <v>1.7552E-4</v>
      </c>
      <c r="R4741" s="10">
        <v>1.9843952878123531E-4</v>
      </c>
      <c r="S4741" s="10">
        <v>1.7923632096800517E-4</v>
      </c>
      <c r="T4741" s="10">
        <v>4.2317139868705832E-4</v>
      </c>
      <c r="U4741" s="10">
        <v>8.2269999999999997E-5</v>
      </c>
      <c r="V4741" s="25"/>
      <c r="W4741" s="25"/>
      <c r="X4741" s="25"/>
      <c r="Y4741" s="25"/>
      <c r="Z4741" s="25"/>
      <c r="AA4741" s="25"/>
    </row>
    <row r="4742" spans="1:27" x14ac:dyDescent="0.35">
      <c r="A4742" s="5">
        <v>4738</v>
      </c>
      <c r="B4742" s="5">
        <v>198</v>
      </c>
      <c r="C4742" s="5">
        <v>7</v>
      </c>
      <c r="D4742" s="25">
        <v>1.1415000000000001E-4</v>
      </c>
      <c r="E4742" s="25">
        <v>1.1653E-4</v>
      </c>
      <c r="F4742" s="25">
        <v>1.3368000000000001E-4</v>
      </c>
      <c r="G4742" s="25">
        <v>1.6403000000000001E-4</v>
      </c>
      <c r="H4742" s="25">
        <v>1.9044999999999999E-4</v>
      </c>
      <c r="I4742" s="9">
        <v>1.0592E-4</v>
      </c>
      <c r="J4742" s="9">
        <v>1.1136E-4</v>
      </c>
      <c r="K4742" s="9">
        <v>0</v>
      </c>
      <c r="L4742" s="9">
        <v>2.0136000000000001E-4</v>
      </c>
      <c r="M4742" s="9">
        <v>1.5735E-4</v>
      </c>
      <c r="N4742" s="9">
        <v>1.2375E-4</v>
      </c>
      <c r="O4742" s="9">
        <v>1.652E-4</v>
      </c>
      <c r="P4742" s="9">
        <v>1.7351000000000001E-4</v>
      </c>
      <c r="Q4742" s="9">
        <v>1.8149E-4</v>
      </c>
      <c r="R4742" s="10">
        <v>1.9120430839947186E-4</v>
      </c>
      <c r="S4742" s="10">
        <v>1.5513163068820528E-4</v>
      </c>
      <c r="T4742" s="10">
        <v>5.8758863579347006E-4</v>
      </c>
      <c r="U4742" s="10">
        <v>8.2269999999999997E-5</v>
      </c>
      <c r="V4742" s="25"/>
      <c r="W4742" s="25"/>
      <c r="X4742" s="25"/>
      <c r="Y4742" s="25"/>
      <c r="Z4742" s="25"/>
      <c r="AA4742" s="25"/>
    </row>
    <row r="4743" spans="1:27" x14ac:dyDescent="0.35">
      <c r="A4743" s="5">
        <v>4739</v>
      </c>
      <c r="B4743" s="5">
        <v>198</v>
      </c>
      <c r="C4743" s="5">
        <v>7</v>
      </c>
      <c r="D4743" s="25">
        <v>1.1416E-4</v>
      </c>
      <c r="E4743" s="25">
        <v>1.2034E-4</v>
      </c>
      <c r="F4743" s="25">
        <v>1.3802000000000001E-4</v>
      </c>
      <c r="G4743" s="25">
        <v>1.5941999999999999E-4</v>
      </c>
      <c r="H4743" s="25">
        <v>1.9353E-4</v>
      </c>
      <c r="I4743" s="9">
        <v>1.0697E-4</v>
      </c>
      <c r="J4743" s="9">
        <v>1.1197E-4</v>
      </c>
      <c r="K4743" s="9">
        <v>0</v>
      </c>
      <c r="L4743" s="9">
        <v>1.7322999999999999E-4</v>
      </c>
      <c r="M4743" s="9">
        <v>1.7123999999999999E-4</v>
      </c>
      <c r="N4743" s="9">
        <v>1.4181E-4</v>
      </c>
      <c r="O4743" s="9">
        <v>1.6686000000000001E-4</v>
      </c>
      <c r="P4743" s="9">
        <v>1.7389E-4</v>
      </c>
      <c r="Q4743" s="9">
        <v>1.8060999999999999E-4</v>
      </c>
      <c r="R4743" s="10">
        <v>1.9227139348121269E-4</v>
      </c>
      <c r="S4743" s="10">
        <v>1.4181765605593221E-4</v>
      </c>
      <c r="T4743" s="10">
        <v>6.7551991425834716E-4</v>
      </c>
      <c r="U4743" s="10">
        <v>8.2269999999999997E-5</v>
      </c>
      <c r="V4743" s="25"/>
      <c r="W4743" s="25"/>
      <c r="X4743" s="25"/>
      <c r="Y4743" s="25"/>
      <c r="Z4743" s="25"/>
      <c r="AA4743" s="25"/>
    </row>
    <row r="4744" spans="1:27" x14ac:dyDescent="0.35">
      <c r="A4744" s="5">
        <v>4740</v>
      </c>
      <c r="B4744" s="5">
        <v>198</v>
      </c>
      <c r="C4744" s="5">
        <v>7</v>
      </c>
      <c r="D4744" s="25">
        <v>1.1415000000000001E-4</v>
      </c>
      <c r="E4744" s="25">
        <v>1.1935E-4</v>
      </c>
      <c r="F4744" s="25">
        <v>1.3655000000000001E-4</v>
      </c>
      <c r="G4744" s="25">
        <v>1.5731E-4</v>
      </c>
      <c r="H4744" s="25">
        <v>1.9289E-4</v>
      </c>
      <c r="I4744" s="9">
        <v>1.0538E-4</v>
      </c>
      <c r="J4744" s="9">
        <v>1.1136E-4</v>
      </c>
      <c r="K4744" s="9">
        <v>0</v>
      </c>
      <c r="L4744" s="9">
        <v>1.6962999999999999E-4</v>
      </c>
      <c r="M4744" s="9">
        <v>1.7458E-4</v>
      </c>
      <c r="N4744" s="9">
        <v>1.5627999999999999E-4</v>
      </c>
      <c r="O4744" s="9">
        <v>1.6872E-4</v>
      </c>
      <c r="P4744" s="9">
        <v>1.7165E-4</v>
      </c>
      <c r="Q4744" s="9">
        <v>1.7432E-4</v>
      </c>
      <c r="R4744" s="10">
        <v>1.7897810573785035E-4</v>
      </c>
      <c r="S4744" s="10">
        <v>1.5324379947201174E-4</v>
      </c>
      <c r="T4744" s="10">
        <v>6.6144446163646079E-4</v>
      </c>
      <c r="U4744" s="10">
        <v>8.2269999999999997E-5</v>
      </c>
      <c r="V4744" s="25"/>
      <c r="W4744" s="25"/>
      <c r="X4744" s="25"/>
      <c r="Y4744" s="25"/>
      <c r="Z4744" s="25"/>
      <c r="AA4744" s="25"/>
    </row>
    <row r="4745" spans="1:27" x14ac:dyDescent="0.35">
      <c r="A4745" s="5">
        <v>4741</v>
      </c>
      <c r="B4745" s="5">
        <v>198</v>
      </c>
      <c r="C4745" s="5">
        <v>7</v>
      </c>
      <c r="D4745" s="25">
        <v>1.1416E-4</v>
      </c>
      <c r="E4745" s="25">
        <v>1.1845000000000001E-4</v>
      </c>
      <c r="F4745" s="25">
        <v>1.2808000000000001E-4</v>
      </c>
      <c r="G4745" s="25">
        <v>1.6258000000000001E-4</v>
      </c>
      <c r="H4745" s="25">
        <v>2.0153E-4</v>
      </c>
      <c r="I4745" s="9">
        <v>1.0438999999999999E-4</v>
      </c>
      <c r="J4745" s="9">
        <v>1.0993E-4</v>
      </c>
      <c r="K4745" s="9">
        <v>0</v>
      </c>
      <c r="L4745" s="9">
        <v>1.6903999999999999E-4</v>
      </c>
      <c r="M4745" s="9">
        <v>1.7390999999999999E-4</v>
      </c>
      <c r="N4745" s="9">
        <v>1.6594E-4</v>
      </c>
      <c r="O4745" s="9">
        <v>1.6163000000000001E-4</v>
      </c>
      <c r="P4745" s="9">
        <v>1.6530000000000001E-4</v>
      </c>
      <c r="Q4745" s="9">
        <v>1.6872E-4</v>
      </c>
      <c r="R4745" s="10">
        <v>1.8910864499599531E-4</v>
      </c>
      <c r="S4745" s="10">
        <v>1.617871967142079E-4</v>
      </c>
      <c r="T4745" s="10">
        <v>6.1923507236950177E-4</v>
      </c>
      <c r="U4745" s="10">
        <v>8.2269999999999997E-5</v>
      </c>
      <c r="V4745" s="25"/>
      <c r="W4745" s="25"/>
      <c r="X4745" s="25"/>
      <c r="Y4745" s="25"/>
      <c r="Z4745" s="25"/>
      <c r="AA4745" s="25"/>
    </row>
    <row r="4746" spans="1:27" x14ac:dyDescent="0.35">
      <c r="A4746" s="5">
        <v>4742</v>
      </c>
      <c r="B4746" s="5">
        <v>198</v>
      </c>
      <c r="C4746" s="5">
        <v>7</v>
      </c>
      <c r="D4746" s="25">
        <v>1.1415000000000001E-4</v>
      </c>
      <c r="E4746" s="25">
        <v>1.2014E-4</v>
      </c>
      <c r="F4746" s="25">
        <v>1.2577000000000001E-4</v>
      </c>
      <c r="G4746" s="25">
        <v>1.6506999999999999E-4</v>
      </c>
      <c r="H4746" s="25">
        <v>1.9186E-4</v>
      </c>
      <c r="I4746" s="9">
        <v>1.0296E-4</v>
      </c>
      <c r="J4746" s="9">
        <v>1.0853000000000001E-4</v>
      </c>
      <c r="K4746" s="9">
        <v>0</v>
      </c>
      <c r="L4746" s="9">
        <v>1.6301999999999999E-4</v>
      </c>
      <c r="M4746" s="9">
        <v>1.7058000000000001E-4</v>
      </c>
      <c r="N4746" s="9">
        <v>1.707E-4</v>
      </c>
      <c r="O4746" s="9">
        <v>1.7823000000000001E-4</v>
      </c>
      <c r="P4746" s="9">
        <v>1.7024999999999999E-4</v>
      </c>
      <c r="Q4746" s="9">
        <v>1.6215000000000001E-4</v>
      </c>
      <c r="R4746" s="10">
        <v>1.9900096596530082E-4</v>
      </c>
      <c r="S4746" s="10">
        <v>1.8545766662958648E-4</v>
      </c>
      <c r="T4746" s="10">
        <v>4.9964887302924286E-4</v>
      </c>
      <c r="U4746" s="10">
        <v>8.2269999999999997E-5</v>
      </c>
      <c r="V4746" s="25"/>
      <c r="W4746" s="25"/>
      <c r="X4746" s="25"/>
      <c r="Y4746" s="25"/>
      <c r="Z4746" s="25"/>
      <c r="AA4746" s="25"/>
    </row>
    <row r="4747" spans="1:27" x14ac:dyDescent="0.35">
      <c r="A4747" s="5">
        <v>4743</v>
      </c>
      <c r="B4747" s="5">
        <v>198</v>
      </c>
      <c r="C4747" s="5">
        <v>7</v>
      </c>
      <c r="D4747" s="25">
        <v>1.1416E-4</v>
      </c>
      <c r="E4747" s="25">
        <v>1.2115E-4</v>
      </c>
      <c r="F4747" s="25">
        <v>1.3391E-4</v>
      </c>
      <c r="G4747" s="25">
        <v>1.6657999999999999E-4</v>
      </c>
      <c r="H4747" s="25">
        <v>2.0316999999999999E-4</v>
      </c>
      <c r="I4747" s="9">
        <v>1.0289E-4</v>
      </c>
      <c r="J4747" s="9">
        <v>1.0741E-4</v>
      </c>
      <c r="K4747" s="9">
        <v>0</v>
      </c>
      <c r="L4747" s="9">
        <v>1.7504E-4</v>
      </c>
      <c r="M4747" s="9">
        <v>1.6948000000000001E-4</v>
      </c>
      <c r="N4747" s="9">
        <v>1.7061999999999999E-4</v>
      </c>
      <c r="O4747" s="9">
        <v>1.806E-4</v>
      </c>
      <c r="P4747" s="9">
        <v>1.6604E-4</v>
      </c>
      <c r="Q4747" s="9">
        <v>1.5144999999999999E-4</v>
      </c>
      <c r="R4747" s="10">
        <v>1.9594623495165561E-4</v>
      </c>
      <c r="S4747" s="10">
        <v>1.709158369479813E-4</v>
      </c>
      <c r="T4747" s="10">
        <v>5.35308383197892E-4</v>
      </c>
      <c r="U4747" s="10">
        <v>8.2269999999999997E-5</v>
      </c>
      <c r="V4747" s="25"/>
      <c r="W4747" s="25"/>
      <c r="X4747" s="25"/>
      <c r="Y4747" s="25"/>
      <c r="Z4747" s="25"/>
      <c r="AA4747" s="25"/>
    </row>
    <row r="4748" spans="1:27" x14ac:dyDescent="0.35">
      <c r="A4748" s="5">
        <v>4744</v>
      </c>
      <c r="B4748" s="5">
        <v>198</v>
      </c>
      <c r="C4748" s="5">
        <v>7</v>
      </c>
      <c r="D4748" s="25">
        <v>1.1415000000000001E-4</v>
      </c>
      <c r="E4748" s="25">
        <v>1.1747999999999999E-4</v>
      </c>
      <c r="F4748" s="25">
        <v>1.4205000000000001E-4</v>
      </c>
      <c r="G4748" s="25">
        <v>1.5920999999999999E-4</v>
      </c>
      <c r="H4748" s="25">
        <v>1.9238999999999999E-4</v>
      </c>
      <c r="I4748" s="9">
        <v>1.0206E-4</v>
      </c>
      <c r="J4748" s="9">
        <v>1.0751000000000001E-4</v>
      </c>
      <c r="K4748" s="9">
        <v>0</v>
      </c>
      <c r="L4748" s="9">
        <v>1.7906000000000001E-4</v>
      </c>
      <c r="M4748" s="9">
        <v>1.6804999999999999E-4</v>
      </c>
      <c r="N4748" s="9">
        <v>1.6650000000000001E-4</v>
      </c>
      <c r="O4748" s="9">
        <v>1.9406E-4</v>
      </c>
      <c r="P4748" s="9">
        <v>1.5131000000000001E-4</v>
      </c>
      <c r="Q4748" s="9">
        <v>1.0894E-4</v>
      </c>
      <c r="R4748" s="10">
        <v>1.8517334512984377E-4</v>
      </c>
      <c r="S4748" s="10">
        <v>1.4958113153995924E-4</v>
      </c>
      <c r="T4748" s="10">
        <v>3.5872466082337577E-4</v>
      </c>
      <c r="U4748" s="10">
        <v>8.2269999999999997E-5</v>
      </c>
      <c r="V4748" s="25"/>
      <c r="W4748" s="25"/>
      <c r="X4748" s="25"/>
      <c r="Y4748" s="25"/>
      <c r="Z4748" s="25"/>
      <c r="AA4748" s="25"/>
    </row>
    <row r="4749" spans="1:27" x14ac:dyDescent="0.35">
      <c r="A4749" s="5">
        <v>4745</v>
      </c>
      <c r="B4749" s="5">
        <v>198</v>
      </c>
      <c r="C4749" s="5">
        <v>7</v>
      </c>
      <c r="D4749" s="25">
        <v>1.1416E-4</v>
      </c>
      <c r="E4749" s="25">
        <v>1.2191E-4</v>
      </c>
      <c r="F4749" s="25">
        <v>1.3804999999999999E-4</v>
      </c>
      <c r="G4749" s="25">
        <v>1.6316E-4</v>
      </c>
      <c r="H4749" s="25">
        <v>1.9958000000000001E-4</v>
      </c>
      <c r="I4749" s="9">
        <v>1.0202E-4</v>
      </c>
      <c r="J4749" s="9">
        <v>1.0887000000000001E-4</v>
      </c>
      <c r="K4749" s="9">
        <v>0</v>
      </c>
      <c r="L4749" s="9">
        <v>1.906E-4</v>
      </c>
      <c r="M4749" s="9">
        <v>1.6171999999999999E-4</v>
      </c>
      <c r="N4749" s="9">
        <v>1.5253E-4</v>
      </c>
      <c r="O4749" s="9">
        <v>2.1117E-4</v>
      </c>
      <c r="P4749" s="9">
        <v>1.5872999999999999E-4</v>
      </c>
      <c r="Q4749" s="9">
        <v>1.0677E-4</v>
      </c>
      <c r="R4749" s="10">
        <v>1.7409568268428712E-4</v>
      </c>
      <c r="S4749" s="10">
        <v>1.7210901527237027E-4</v>
      </c>
      <c r="T4749" s="10">
        <v>2.6966497054492971E-4</v>
      </c>
      <c r="U4749" s="10">
        <v>8.2269999999999997E-5</v>
      </c>
      <c r="V4749" s="25"/>
      <c r="W4749" s="25"/>
      <c r="X4749" s="25"/>
      <c r="Y4749" s="25"/>
      <c r="Z4749" s="25"/>
      <c r="AA4749" s="25"/>
    </row>
    <row r="4750" spans="1:27" x14ac:dyDescent="0.35">
      <c r="A4750" s="5">
        <v>4746</v>
      </c>
      <c r="B4750" s="5">
        <v>198</v>
      </c>
      <c r="C4750" s="5">
        <v>7</v>
      </c>
      <c r="D4750" s="25">
        <v>1.1415000000000001E-4</v>
      </c>
      <c r="E4750" s="25">
        <v>1.1451999999999999E-4</v>
      </c>
      <c r="F4750" s="25">
        <v>1.3849000000000001E-4</v>
      </c>
      <c r="G4750" s="25">
        <v>1.5838000000000001E-4</v>
      </c>
      <c r="H4750" s="25">
        <v>1.9317E-4</v>
      </c>
      <c r="I4750" s="9">
        <v>1.0301E-4</v>
      </c>
      <c r="J4750" s="9">
        <v>1.0812E-4</v>
      </c>
      <c r="K4750" s="9">
        <v>0</v>
      </c>
      <c r="L4750" s="9">
        <v>2.0641999999999999E-4</v>
      </c>
      <c r="M4750" s="9">
        <v>1.5892E-4</v>
      </c>
      <c r="N4750" s="9">
        <v>1.3902000000000001E-4</v>
      </c>
      <c r="O4750" s="9">
        <v>2.0239999999999999E-4</v>
      </c>
      <c r="P4750" s="9">
        <v>1.5955E-4</v>
      </c>
      <c r="Q4750" s="9">
        <v>1.1705999999999999E-4</v>
      </c>
      <c r="R4750" s="10">
        <v>1.6072974627987912E-4</v>
      </c>
      <c r="S4750" s="10">
        <v>1.8755201108697957E-4</v>
      </c>
      <c r="T4750" s="10">
        <v>1.6433239411291041E-4</v>
      </c>
      <c r="U4750" s="10">
        <v>8.2269999999999997E-5</v>
      </c>
      <c r="V4750" s="25"/>
      <c r="W4750" s="25"/>
      <c r="X4750" s="25"/>
      <c r="Y4750" s="25"/>
      <c r="Z4750" s="25"/>
      <c r="AA4750" s="25"/>
    </row>
    <row r="4751" spans="1:27" x14ac:dyDescent="0.35">
      <c r="A4751" s="5">
        <v>4747</v>
      </c>
      <c r="B4751" s="5">
        <v>198</v>
      </c>
      <c r="C4751" s="5">
        <v>7</v>
      </c>
      <c r="D4751" s="25">
        <v>1.1416E-4</v>
      </c>
      <c r="E4751" s="25">
        <v>1.1958E-4</v>
      </c>
      <c r="F4751" s="25">
        <v>1.3287999999999999E-4</v>
      </c>
      <c r="G4751" s="25">
        <v>1.1553999999999999E-4</v>
      </c>
      <c r="H4751" s="25">
        <v>1.2919E-4</v>
      </c>
      <c r="I4751" s="9">
        <v>1.0230000000000001E-4</v>
      </c>
      <c r="J4751" s="9">
        <v>1.0643E-4</v>
      </c>
      <c r="K4751" s="9">
        <v>0</v>
      </c>
      <c r="L4751" s="9">
        <v>2.0285999999999999E-4</v>
      </c>
      <c r="M4751" s="9">
        <v>1.5861E-4</v>
      </c>
      <c r="N4751" s="9">
        <v>1.2972E-4</v>
      </c>
      <c r="O4751" s="9">
        <v>1.6191999999999999E-4</v>
      </c>
      <c r="P4751" s="9">
        <v>1.3401999999999999E-4</v>
      </c>
      <c r="Q4751" s="9">
        <v>1.0637999999999999E-4</v>
      </c>
      <c r="R4751" s="10">
        <v>1.3824824959166816E-4</v>
      </c>
      <c r="S4751" s="10">
        <v>1.8893678176895394E-4</v>
      </c>
      <c r="T4751" s="10">
        <v>4.0266484715776384E-5</v>
      </c>
      <c r="U4751" s="10">
        <v>8.2269999999999997E-5</v>
      </c>
      <c r="V4751" s="25"/>
      <c r="W4751" s="25"/>
      <c r="X4751" s="25"/>
      <c r="Y4751" s="25"/>
      <c r="Z4751" s="25"/>
      <c r="AA4751" s="25"/>
    </row>
    <row r="4752" spans="1:27" x14ac:dyDescent="0.35">
      <c r="A4752" s="5">
        <v>4748</v>
      </c>
      <c r="B4752" s="5">
        <v>198</v>
      </c>
      <c r="C4752" s="5">
        <v>7</v>
      </c>
      <c r="D4752" s="25">
        <v>1.1415000000000001E-4</v>
      </c>
      <c r="E4752" s="25">
        <v>1.1407E-4</v>
      </c>
      <c r="F4752" s="25">
        <v>1.2460999999999999E-4</v>
      </c>
      <c r="G4752" s="25">
        <v>1.143E-4</v>
      </c>
      <c r="H4752" s="25">
        <v>1.2768999999999999E-4</v>
      </c>
      <c r="I4752" s="9">
        <v>9.8670000000000002E-5</v>
      </c>
      <c r="J4752" s="9">
        <v>1.0422E-4</v>
      </c>
      <c r="K4752" s="9">
        <v>0</v>
      </c>
      <c r="L4752" s="9">
        <v>1.7108999999999999E-4</v>
      </c>
      <c r="M4752" s="9">
        <v>1.4985000000000001E-4</v>
      </c>
      <c r="N4752" s="9">
        <v>1.2040999999999999E-4</v>
      </c>
      <c r="O4752" s="9">
        <v>1.2789E-4</v>
      </c>
      <c r="P4752" s="9">
        <v>1.148E-4</v>
      </c>
      <c r="Q4752" s="9">
        <v>1.0184E-4</v>
      </c>
      <c r="R4752" s="10">
        <v>1.1486691366859191E-4</v>
      </c>
      <c r="S4752" s="10">
        <v>1.87549116558094E-4</v>
      </c>
      <c r="T4752" s="10">
        <v>7.1183271547695719E-6</v>
      </c>
      <c r="U4752" s="10">
        <v>8.2269999999999997E-5</v>
      </c>
      <c r="V4752" s="25"/>
      <c r="W4752" s="25"/>
      <c r="X4752" s="25"/>
      <c r="Y4752" s="25"/>
      <c r="Z4752" s="25"/>
      <c r="AA4752" s="25"/>
    </row>
    <row r="4753" spans="1:27" x14ac:dyDescent="0.35">
      <c r="A4753" s="5">
        <v>4749</v>
      </c>
      <c r="B4753" s="5">
        <v>198</v>
      </c>
      <c r="C4753" s="5">
        <v>7</v>
      </c>
      <c r="D4753" s="25">
        <v>1.1416E-4</v>
      </c>
      <c r="E4753" s="25">
        <v>1.1495E-4</v>
      </c>
      <c r="F4753" s="25">
        <v>1.2520000000000001E-4</v>
      </c>
      <c r="G4753" s="25">
        <v>5.3149999999999998E-5</v>
      </c>
      <c r="H4753" s="25">
        <v>7.2490000000000006E-5</v>
      </c>
      <c r="I4753" s="9">
        <v>9.6340000000000003E-5</v>
      </c>
      <c r="J4753" s="9">
        <v>1.0211E-4</v>
      </c>
      <c r="K4753" s="9">
        <v>0</v>
      </c>
      <c r="L4753" s="9">
        <v>1.3838000000000001E-4</v>
      </c>
      <c r="M4753" s="9">
        <v>1.3477000000000001E-4</v>
      </c>
      <c r="N4753" s="9">
        <v>1.1278E-4</v>
      </c>
      <c r="O4753" s="9">
        <v>8.4419999999999995E-5</v>
      </c>
      <c r="P4753" s="9">
        <v>8.6399999999999999E-5</v>
      </c>
      <c r="Q4753" s="9">
        <v>8.8399999999999994E-5</v>
      </c>
      <c r="R4753" s="10">
        <v>1.1060942843654403E-4</v>
      </c>
      <c r="S4753" s="10">
        <v>1.8519386088449943E-4</v>
      </c>
      <c r="T4753" s="10">
        <v>0</v>
      </c>
      <c r="U4753" s="10">
        <v>8.2269999999999997E-5</v>
      </c>
      <c r="V4753" s="25"/>
      <c r="W4753" s="25"/>
      <c r="X4753" s="25"/>
      <c r="Y4753" s="25"/>
      <c r="Z4753" s="25"/>
      <c r="AA4753" s="25"/>
    </row>
    <row r="4754" spans="1:27" x14ac:dyDescent="0.35">
      <c r="A4754" s="5">
        <v>4750</v>
      </c>
      <c r="B4754" s="5">
        <v>198</v>
      </c>
      <c r="C4754" s="5">
        <v>7</v>
      </c>
      <c r="D4754" s="25">
        <v>1.1415000000000001E-4</v>
      </c>
      <c r="E4754" s="25">
        <v>1.1391E-4</v>
      </c>
      <c r="F4754" s="25">
        <v>1.3258000000000001E-4</v>
      </c>
      <c r="G4754" s="25">
        <v>5.2080000000000003E-5</v>
      </c>
      <c r="H4754" s="25">
        <v>7.4289999999999995E-5</v>
      </c>
      <c r="I4754" s="9">
        <v>9.9469999999999995E-5</v>
      </c>
      <c r="J4754" s="9">
        <v>1.037E-4</v>
      </c>
      <c r="K4754" s="9">
        <v>0</v>
      </c>
      <c r="L4754" s="9">
        <v>9.7180000000000001E-5</v>
      </c>
      <c r="M4754" s="9">
        <v>1.1349E-4</v>
      </c>
      <c r="N4754" s="9">
        <v>1.0529E-4</v>
      </c>
      <c r="O4754" s="9">
        <v>8.7089999999999995E-5</v>
      </c>
      <c r="P4754" s="9">
        <v>8.7700000000000004E-5</v>
      </c>
      <c r="Q4754" s="9">
        <v>8.8350000000000006E-5</v>
      </c>
      <c r="R4754" s="10">
        <v>1.1384957271573676E-4</v>
      </c>
      <c r="S4754" s="10">
        <v>1.8039011972688151E-4</v>
      </c>
      <c r="T4754" s="10">
        <v>0</v>
      </c>
      <c r="U4754" s="10">
        <v>8.2269999999999997E-5</v>
      </c>
      <c r="V4754" s="25"/>
      <c r="W4754" s="25"/>
      <c r="X4754" s="25"/>
      <c r="Y4754" s="25"/>
      <c r="Z4754" s="25"/>
      <c r="AA4754" s="25"/>
    </row>
    <row r="4755" spans="1:27" x14ac:dyDescent="0.35">
      <c r="A4755" s="5">
        <v>4751</v>
      </c>
      <c r="B4755" s="5">
        <v>198</v>
      </c>
      <c r="C4755" s="5">
        <v>7</v>
      </c>
      <c r="D4755" s="25">
        <v>1.1416E-4</v>
      </c>
      <c r="E4755" s="25">
        <v>1.2355999999999999E-4</v>
      </c>
      <c r="F4755" s="25">
        <v>1.3234E-4</v>
      </c>
      <c r="G4755" s="25">
        <v>6.1760000000000005E-5</v>
      </c>
      <c r="H4755" s="25">
        <v>6.6409999999999996E-5</v>
      </c>
      <c r="I4755" s="9">
        <v>9.6210000000000002E-5</v>
      </c>
      <c r="J4755" s="9">
        <v>9.9610000000000003E-5</v>
      </c>
      <c r="K4755" s="9">
        <v>0</v>
      </c>
      <c r="L4755" s="9">
        <v>9.022E-5</v>
      </c>
      <c r="M4755" s="9">
        <v>9.8989999999999999E-5</v>
      </c>
      <c r="N4755" s="9">
        <v>9.9610000000000003E-5</v>
      </c>
      <c r="O4755" s="9">
        <v>7.7070000000000006E-5</v>
      </c>
      <c r="P4755" s="9">
        <v>7.169E-5</v>
      </c>
      <c r="Q4755" s="9">
        <v>6.6470000000000006E-5</v>
      </c>
      <c r="R4755" s="10">
        <v>1.2272314038161696E-4</v>
      </c>
      <c r="S4755" s="10">
        <v>1.6656257639254945E-4</v>
      </c>
      <c r="T4755" s="10">
        <v>0</v>
      </c>
      <c r="U4755" s="10">
        <v>8.2269999999999997E-5</v>
      </c>
      <c r="V4755" s="25"/>
      <c r="W4755" s="25"/>
      <c r="X4755" s="25"/>
      <c r="Y4755" s="25"/>
      <c r="Z4755" s="25"/>
      <c r="AA4755" s="25"/>
    </row>
    <row r="4756" spans="1:27" x14ac:dyDescent="0.35">
      <c r="A4756" s="5">
        <v>4752</v>
      </c>
      <c r="B4756" s="5">
        <v>198</v>
      </c>
      <c r="C4756" s="5">
        <v>7</v>
      </c>
      <c r="D4756" s="25">
        <v>1.1415000000000001E-4</v>
      </c>
      <c r="E4756" s="25">
        <v>1.197E-4</v>
      </c>
      <c r="F4756" s="25">
        <v>1.4370999999999999E-4</v>
      </c>
      <c r="G4756" s="25">
        <v>5.5479999999999997E-5</v>
      </c>
      <c r="H4756" s="25">
        <v>6.923E-5</v>
      </c>
      <c r="I4756" s="9">
        <v>9.1199999999999994E-5</v>
      </c>
      <c r="J4756" s="9">
        <v>9.4640000000000002E-5</v>
      </c>
      <c r="K4756" s="9">
        <v>0</v>
      </c>
      <c r="L4756" s="9">
        <v>7.9950000000000005E-5</v>
      </c>
      <c r="M4756" s="9">
        <v>8.5959999999999997E-5</v>
      </c>
      <c r="N4756" s="9">
        <v>9.0350000000000001E-5</v>
      </c>
      <c r="O4756" s="9">
        <v>6.2600000000000004E-5</v>
      </c>
      <c r="P4756" s="9">
        <v>6.0630000000000001E-5</v>
      </c>
      <c r="Q4756" s="9">
        <v>5.8820000000000003E-5</v>
      </c>
      <c r="R4756" s="10">
        <v>1.4802272375143011E-4</v>
      </c>
      <c r="S4756" s="10">
        <v>1.4815664823690177E-4</v>
      </c>
      <c r="T4756" s="10">
        <v>0</v>
      </c>
      <c r="U4756" s="10">
        <v>8.2269999999999997E-5</v>
      </c>
      <c r="V4756" s="25"/>
      <c r="W4756" s="25"/>
      <c r="X4756" s="25"/>
      <c r="Y4756" s="25"/>
      <c r="Z4756" s="25"/>
      <c r="AA4756" s="25"/>
    </row>
    <row r="4757" spans="1:27" x14ac:dyDescent="0.35">
      <c r="A4757" s="5">
        <v>4753</v>
      </c>
      <c r="B4757" s="5">
        <v>199</v>
      </c>
      <c r="C4757" s="5">
        <v>7</v>
      </c>
      <c r="D4757" s="25">
        <v>1.1416E-4</v>
      </c>
      <c r="E4757" s="25">
        <v>1.1343E-4</v>
      </c>
      <c r="F4757" s="25">
        <v>9.7479999999999995E-5</v>
      </c>
      <c r="G4757" s="25">
        <v>5.3919999999999999E-5</v>
      </c>
      <c r="H4757" s="25">
        <v>7.1920000000000003E-5</v>
      </c>
      <c r="I4757" s="9">
        <v>8.5710000000000004E-5</v>
      </c>
      <c r="J4757" s="9">
        <v>8.9920000000000006E-5</v>
      </c>
      <c r="K4757" s="9">
        <v>0</v>
      </c>
      <c r="L4757" s="9">
        <v>6.6429999999999999E-5</v>
      </c>
      <c r="M4757" s="9">
        <v>7.3839999999999998E-5</v>
      </c>
      <c r="N4757" s="9">
        <v>8.1009999999999999E-5</v>
      </c>
      <c r="O4757" s="9">
        <v>5.4809999999999999E-5</v>
      </c>
      <c r="P4757" s="9">
        <v>5.4219999999999999E-5</v>
      </c>
      <c r="Q4757" s="9">
        <v>5.3789999999999998E-5</v>
      </c>
      <c r="R4757" s="10">
        <v>1.4868591431194591E-4</v>
      </c>
      <c r="S4757" s="10">
        <v>1.2726074908199627E-4</v>
      </c>
      <c r="T4757" s="10">
        <v>0</v>
      </c>
      <c r="U4757" s="10">
        <v>8.0879999999999998E-5</v>
      </c>
      <c r="V4757" s="25"/>
      <c r="W4757" s="25"/>
      <c r="X4757" s="25"/>
      <c r="Y4757" s="25"/>
      <c r="Z4757" s="25"/>
      <c r="AA4757" s="25"/>
    </row>
    <row r="4758" spans="1:27" x14ac:dyDescent="0.35">
      <c r="A4758" s="5">
        <v>4754</v>
      </c>
      <c r="B4758" s="5">
        <v>199</v>
      </c>
      <c r="C4758" s="5">
        <v>7</v>
      </c>
      <c r="D4758" s="25">
        <v>1.1415000000000001E-4</v>
      </c>
      <c r="E4758" s="25">
        <v>1.0614E-4</v>
      </c>
      <c r="F4758" s="25">
        <v>1.1393E-4</v>
      </c>
      <c r="G4758" s="25">
        <v>5.7429999999999997E-5</v>
      </c>
      <c r="H4758" s="25">
        <v>7.1979999999999999E-5</v>
      </c>
      <c r="I4758" s="9">
        <v>8.3529999999999995E-5</v>
      </c>
      <c r="J4758" s="9">
        <v>8.7319999999999997E-5</v>
      </c>
      <c r="K4758" s="9">
        <v>8.4800000000000001E-6</v>
      </c>
      <c r="L4758" s="9">
        <v>5.7729999999999998E-5</v>
      </c>
      <c r="M4758" s="9">
        <v>6.3899999999999995E-5</v>
      </c>
      <c r="N4758" s="9">
        <v>7.203E-5</v>
      </c>
      <c r="O4758" s="9">
        <v>1.9210000000000001E-5</v>
      </c>
      <c r="P4758" s="9">
        <v>3.7580000000000003E-5</v>
      </c>
      <c r="Q4758" s="9">
        <v>5.5930000000000002E-5</v>
      </c>
      <c r="R4758" s="10">
        <v>1.5462568600285682E-4</v>
      </c>
      <c r="S4758" s="10">
        <v>1.1935345383876282E-4</v>
      </c>
      <c r="T4758" s="10">
        <v>0</v>
      </c>
      <c r="U4758" s="10">
        <v>8.0879999999999998E-5</v>
      </c>
      <c r="V4758" s="25"/>
      <c r="W4758" s="25"/>
      <c r="X4758" s="25"/>
      <c r="Y4758" s="25"/>
      <c r="Z4758" s="25"/>
      <c r="AA4758" s="25"/>
    </row>
    <row r="4759" spans="1:27" x14ac:dyDescent="0.35">
      <c r="A4759" s="5">
        <v>4755</v>
      </c>
      <c r="B4759" s="5">
        <v>199</v>
      </c>
      <c r="C4759" s="5">
        <v>7</v>
      </c>
      <c r="D4759" s="25">
        <v>1.1416E-4</v>
      </c>
      <c r="E4759" s="25">
        <v>1.1317E-4</v>
      </c>
      <c r="F4759" s="25">
        <v>1.0365E-4</v>
      </c>
      <c r="G4759" s="25">
        <v>5.7340000000000003E-5</v>
      </c>
      <c r="H4759" s="25">
        <v>7.5599999999999994E-5</v>
      </c>
      <c r="I4759" s="9">
        <v>8.2769999999999995E-5</v>
      </c>
      <c r="J4759" s="9">
        <v>8.6249999999999996E-5</v>
      </c>
      <c r="K4759" s="9">
        <v>2.544E-5</v>
      </c>
      <c r="L4759" s="9">
        <v>2.7869999999999999E-5</v>
      </c>
      <c r="M4759" s="9">
        <v>5.2169999999999997E-5</v>
      </c>
      <c r="N4759" s="9">
        <v>6.5439999999999997E-5</v>
      </c>
      <c r="O4759" s="9">
        <v>1.396E-5</v>
      </c>
      <c r="P4759" s="9">
        <v>3.799E-5</v>
      </c>
      <c r="Q4759" s="9">
        <v>6.1920000000000003E-5</v>
      </c>
      <c r="R4759" s="10">
        <v>1.2932458346048768E-4</v>
      </c>
      <c r="S4759" s="10">
        <v>1.2702203115523089E-4</v>
      </c>
      <c r="T4759" s="10">
        <v>0</v>
      </c>
      <c r="U4759" s="10">
        <v>8.0879999999999998E-5</v>
      </c>
      <c r="V4759" s="25"/>
      <c r="W4759" s="25"/>
      <c r="X4759" s="25"/>
      <c r="Y4759" s="25"/>
      <c r="Z4759" s="25"/>
      <c r="AA4759" s="25"/>
    </row>
    <row r="4760" spans="1:27" x14ac:dyDescent="0.35">
      <c r="A4760" s="5">
        <v>4756</v>
      </c>
      <c r="B4760" s="5">
        <v>199</v>
      </c>
      <c r="C4760" s="5">
        <v>7</v>
      </c>
      <c r="D4760" s="25">
        <v>1.1415000000000001E-4</v>
      </c>
      <c r="E4760" s="25">
        <v>1.0843E-4</v>
      </c>
      <c r="F4760" s="25">
        <v>9.3599999999999998E-5</v>
      </c>
      <c r="G4760" s="25">
        <v>5.6339999999999999E-5</v>
      </c>
      <c r="H4760" s="25">
        <v>6.5049999999999996E-5</v>
      </c>
      <c r="I4760" s="9">
        <v>8.1760000000000003E-5</v>
      </c>
      <c r="J4760" s="9">
        <v>8.5610000000000002E-5</v>
      </c>
      <c r="K4760" s="9">
        <v>2.12E-5</v>
      </c>
      <c r="L4760" s="9">
        <v>1.7759999999999999E-5</v>
      </c>
      <c r="M4760" s="9">
        <v>4.426E-5</v>
      </c>
      <c r="N4760" s="9">
        <v>6.1950000000000001E-5</v>
      </c>
      <c r="O4760" s="9">
        <v>1.375E-5</v>
      </c>
      <c r="P4760" s="9">
        <v>4.6749999999999998E-5</v>
      </c>
      <c r="Q4760" s="9">
        <v>7.9519999999999998E-5</v>
      </c>
      <c r="R4760" s="10">
        <v>1.1539669202031366E-4</v>
      </c>
      <c r="S4760" s="10">
        <v>1.5372229636965616E-4</v>
      </c>
      <c r="T4760" s="10">
        <v>0</v>
      </c>
      <c r="U4760" s="10">
        <v>8.0879999999999998E-5</v>
      </c>
      <c r="V4760" s="25"/>
      <c r="W4760" s="25"/>
      <c r="X4760" s="25"/>
      <c r="Y4760" s="25"/>
      <c r="Z4760" s="25"/>
      <c r="AA4760" s="25"/>
    </row>
    <row r="4761" spans="1:27" x14ac:dyDescent="0.35">
      <c r="A4761" s="5">
        <v>4757</v>
      </c>
      <c r="B4761" s="5">
        <v>199</v>
      </c>
      <c r="C4761" s="5">
        <v>7</v>
      </c>
      <c r="D4761" s="25">
        <v>1.1416E-4</v>
      </c>
      <c r="E4761" s="25">
        <v>1.1045E-4</v>
      </c>
      <c r="F4761" s="25">
        <v>1.022E-4</v>
      </c>
      <c r="G4761" s="25">
        <v>5.2389999999999998E-5</v>
      </c>
      <c r="H4761" s="25">
        <v>7.483E-5</v>
      </c>
      <c r="I4761" s="9">
        <v>8.1539999999999995E-5</v>
      </c>
      <c r="J4761" s="9">
        <v>8.4330000000000001E-5</v>
      </c>
      <c r="K4761" s="9">
        <v>0</v>
      </c>
      <c r="L4761" s="9">
        <v>1.487E-5</v>
      </c>
      <c r="M4761" s="9">
        <v>4.3380000000000001E-5</v>
      </c>
      <c r="N4761" s="9">
        <v>6.4309999999999999E-5</v>
      </c>
      <c r="O4761" s="9">
        <v>1.948E-5</v>
      </c>
      <c r="P4761" s="9">
        <v>5.7179999999999998E-5</v>
      </c>
      <c r="Q4761" s="9">
        <v>9.4549999999999994E-5</v>
      </c>
      <c r="R4761" s="10">
        <v>1.0818272932692598E-4</v>
      </c>
      <c r="S4761" s="10">
        <v>1.6065269007947667E-4</v>
      </c>
      <c r="T4761" s="10">
        <v>0</v>
      </c>
      <c r="U4761" s="10">
        <v>8.0879999999999998E-5</v>
      </c>
      <c r="V4761" s="25"/>
      <c r="W4761" s="25"/>
      <c r="X4761" s="25"/>
      <c r="Y4761" s="25"/>
      <c r="Z4761" s="25"/>
      <c r="AA4761" s="25"/>
    </row>
    <row r="4762" spans="1:27" x14ac:dyDescent="0.35">
      <c r="A4762" s="5">
        <v>4758</v>
      </c>
      <c r="B4762" s="5">
        <v>199</v>
      </c>
      <c r="C4762" s="5">
        <v>7</v>
      </c>
      <c r="D4762" s="25">
        <v>1.1415000000000001E-4</v>
      </c>
      <c r="E4762" s="25">
        <v>1.1168E-4</v>
      </c>
      <c r="F4762" s="25">
        <v>1.0129E-4</v>
      </c>
      <c r="G4762" s="25">
        <v>1.0988E-4</v>
      </c>
      <c r="H4762" s="25">
        <v>1.3554999999999999E-4</v>
      </c>
      <c r="I4762" s="9">
        <v>8.1920000000000002E-5</v>
      </c>
      <c r="J4762" s="9">
        <v>8.3640000000000006E-5</v>
      </c>
      <c r="K4762" s="9">
        <v>0</v>
      </c>
      <c r="L4762" s="9">
        <v>1.8340000000000001E-5</v>
      </c>
      <c r="M4762" s="9">
        <v>4.8470000000000002E-5</v>
      </c>
      <c r="N4762" s="9">
        <v>7.1080000000000004E-5</v>
      </c>
      <c r="O4762" s="9">
        <v>4.6109999999999997E-5</v>
      </c>
      <c r="P4762" s="9">
        <v>7.6390000000000006E-5</v>
      </c>
      <c r="Q4762" s="9">
        <v>1.0637999999999999E-4</v>
      </c>
      <c r="R4762" s="10">
        <v>1.0902746047086227E-4</v>
      </c>
      <c r="S4762" s="10">
        <v>1.5548234508623671E-4</v>
      </c>
      <c r="T4762" s="10">
        <v>1.2293749758356507E-5</v>
      </c>
      <c r="U4762" s="10">
        <v>8.0879999999999998E-5</v>
      </c>
      <c r="V4762" s="25"/>
      <c r="W4762" s="25"/>
      <c r="X4762" s="25"/>
      <c r="Y4762" s="25"/>
      <c r="Z4762" s="25"/>
      <c r="AA4762" s="25"/>
    </row>
    <row r="4763" spans="1:27" x14ac:dyDescent="0.35">
      <c r="A4763" s="5">
        <v>4759</v>
      </c>
      <c r="B4763" s="5">
        <v>199</v>
      </c>
      <c r="C4763" s="5">
        <v>7</v>
      </c>
      <c r="D4763" s="25">
        <v>1.1416E-4</v>
      </c>
      <c r="E4763" s="25">
        <v>1.1260999999999999E-4</v>
      </c>
      <c r="F4763" s="25">
        <v>1.0815E-4</v>
      </c>
      <c r="G4763" s="25">
        <v>1.0794E-4</v>
      </c>
      <c r="H4763" s="25">
        <v>1.3085000000000001E-4</v>
      </c>
      <c r="I4763" s="9">
        <v>8.488E-5</v>
      </c>
      <c r="J4763" s="9">
        <v>8.5619999999999997E-5</v>
      </c>
      <c r="K4763" s="9">
        <v>0</v>
      </c>
      <c r="L4763" s="9">
        <v>3.985E-5</v>
      </c>
      <c r="M4763" s="9">
        <v>5.9960000000000002E-5</v>
      </c>
      <c r="N4763" s="9">
        <v>8.064E-5</v>
      </c>
      <c r="O4763" s="9">
        <v>1.2219999999999999E-4</v>
      </c>
      <c r="P4763" s="9">
        <v>1.1725E-4</v>
      </c>
      <c r="Q4763" s="9">
        <v>1.1232E-4</v>
      </c>
      <c r="R4763" s="10">
        <v>9.4416424265256836E-5</v>
      </c>
      <c r="S4763" s="10">
        <v>1.570506011947969E-4</v>
      </c>
      <c r="T4763" s="10">
        <v>9.756944252663895E-5</v>
      </c>
      <c r="U4763" s="10">
        <v>8.0879999999999998E-5</v>
      </c>
      <c r="V4763" s="25"/>
      <c r="W4763" s="25"/>
      <c r="X4763" s="25"/>
      <c r="Y4763" s="25"/>
      <c r="Z4763" s="25"/>
      <c r="AA4763" s="25"/>
    </row>
    <row r="4764" spans="1:27" x14ac:dyDescent="0.35">
      <c r="A4764" s="5">
        <v>4760</v>
      </c>
      <c r="B4764" s="5">
        <v>199</v>
      </c>
      <c r="C4764" s="5">
        <v>7</v>
      </c>
      <c r="D4764" s="25">
        <v>1.1415000000000001E-4</v>
      </c>
      <c r="E4764" s="25">
        <v>1.1389E-4</v>
      </c>
      <c r="F4764" s="25">
        <v>9.6589999999999995E-5</v>
      </c>
      <c r="G4764" s="25">
        <v>1.6385999999999999E-4</v>
      </c>
      <c r="H4764" s="25">
        <v>1.9133999999999999E-4</v>
      </c>
      <c r="I4764" s="9">
        <v>8.9209999999999995E-5</v>
      </c>
      <c r="J4764" s="9">
        <v>8.9720000000000002E-5</v>
      </c>
      <c r="K4764" s="9">
        <v>0</v>
      </c>
      <c r="L4764" s="9">
        <v>1.0348000000000001E-4</v>
      </c>
      <c r="M4764" s="9">
        <v>8.3540000000000003E-5</v>
      </c>
      <c r="N4764" s="9">
        <v>9.0729999999999994E-5</v>
      </c>
      <c r="O4764" s="9">
        <v>2.1855999999999999E-4</v>
      </c>
      <c r="P4764" s="9">
        <v>1.7783E-4</v>
      </c>
      <c r="Q4764" s="9">
        <v>1.3736999999999999E-4</v>
      </c>
      <c r="R4764" s="10">
        <v>7.0693199958934294E-5</v>
      </c>
      <c r="S4764" s="10">
        <v>1.6242838362791697E-4</v>
      </c>
      <c r="T4764" s="10">
        <v>2.1371950063009E-4</v>
      </c>
      <c r="U4764" s="10">
        <v>8.0879999999999998E-5</v>
      </c>
      <c r="V4764" s="25"/>
      <c r="W4764" s="25"/>
      <c r="X4764" s="25"/>
      <c r="Y4764" s="25"/>
      <c r="Z4764" s="25"/>
      <c r="AA4764" s="25"/>
    </row>
    <row r="4765" spans="1:27" x14ac:dyDescent="0.35">
      <c r="A4765" s="5">
        <v>4761</v>
      </c>
      <c r="B4765" s="5">
        <v>199</v>
      </c>
      <c r="C4765" s="5">
        <v>7</v>
      </c>
      <c r="D4765" s="25">
        <v>1.1416E-4</v>
      </c>
      <c r="E4765" s="25">
        <v>1.1287E-4</v>
      </c>
      <c r="F4765" s="25">
        <v>1.1259E-4</v>
      </c>
      <c r="G4765" s="25">
        <v>1.6419000000000001E-4</v>
      </c>
      <c r="H4765" s="25">
        <v>1.9259999999999999E-4</v>
      </c>
      <c r="I4765" s="9">
        <v>9.365E-5</v>
      </c>
      <c r="J4765" s="9">
        <v>9.4389999999999996E-5</v>
      </c>
      <c r="K4765" s="9">
        <v>0</v>
      </c>
      <c r="L4765" s="9">
        <v>1.9149999999999999E-4</v>
      </c>
      <c r="M4765" s="9">
        <v>1.2358000000000001E-4</v>
      </c>
      <c r="N4765" s="9">
        <v>1.0462E-4</v>
      </c>
      <c r="O4765" s="9">
        <v>2.1083000000000001E-4</v>
      </c>
      <c r="P4765" s="9">
        <v>1.9453999999999999E-4</v>
      </c>
      <c r="Q4765" s="9">
        <v>1.7815999999999999E-4</v>
      </c>
      <c r="R4765" s="10">
        <v>6.0926871768990613E-5</v>
      </c>
      <c r="S4765" s="10">
        <v>1.6244398864852361E-4</v>
      </c>
      <c r="T4765" s="10">
        <v>2.3913846148311698E-4</v>
      </c>
      <c r="U4765" s="10">
        <v>8.0879999999999998E-5</v>
      </c>
      <c r="V4765" s="25"/>
      <c r="W4765" s="25"/>
      <c r="X4765" s="25"/>
      <c r="Y4765" s="25"/>
      <c r="Z4765" s="25"/>
      <c r="AA4765" s="25"/>
    </row>
    <row r="4766" spans="1:27" x14ac:dyDescent="0.35">
      <c r="A4766" s="5">
        <v>4762</v>
      </c>
      <c r="B4766" s="5">
        <v>199</v>
      </c>
      <c r="C4766" s="5">
        <v>7</v>
      </c>
      <c r="D4766" s="25">
        <v>1.1415000000000001E-4</v>
      </c>
      <c r="E4766" s="25">
        <v>1.1143E-4</v>
      </c>
      <c r="F4766" s="25">
        <v>9.9770000000000002E-5</v>
      </c>
      <c r="G4766" s="25">
        <v>1.5747999999999999E-4</v>
      </c>
      <c r="H4766" s="25">
        <v>2.0078000000000001E-4</v>
      </c>
      <c r="I4766" s="9">
        <v>9.6929999999999995E-5</v>
      </c>
      <c r="J4766" s="9">
        <v>9.7089999999999994E-5</v>
      </c>
      <c r="K4766" s="9">
        <v>0</v>
      </c>
      <c r="L4766" s="9">
        <v>2.0426E-4</v>
      </c>
      <c r="M4766" s="9">
        <v>1.5929E-4</v>
      </c>
      <c r="N4766" s="9">
        <v>1.2494000000000001E-4</v>
      </c>
      <c r="O4766" s="9">
        <v>1.6419000000000001E-4</v>
      </c>
      <c r="P4766" s="9">
        <v>1.7244999999999999E-4</v>
      </c>
      <c r="Q4766" s="9">
        <v>1.8038E-4</v>
      </c>
      <c r="R4766" s="10">
        <v>6.0802331691762684E-5</v>
      </c>
      <c r="S4766" s="10">
        <v>1.600638159856155E-4</v>
      </c>
      <c r="T4766" s="10">
        <v>4.6005264796212787E-4</v>
      </c>
      <c r="U4766" s="10">
        <v>8.0879999999999998E-5</v>
      </c>
      <c r="V4766" s="25"/>
      <c r="W4766" s="25"/>
      <c r="X4766" s="25"/>
      <c r="Y4766" s="25"/>
      <c r="Z4766" s="25"/>
      <c r="AA4766" s="25"/>
    </row>
    <row r="4767" spans="1:27" x14ac:dyDescent="0.35">
      <c r="A4767" s="5">
        <v>4763</v>
      </c>
      <c r="B4767" s="5">
        <v>199</v>
      </c>
      <c r="C4767" s="5">
        <v>7</v>
      </c>
      <c r="D4767" s="25">
        <v>1.1416E-4</v>
      </c>
      <c r="E4767" s="25">
        <v>1.0946999999999999E-4</v>
      </c>
      <c r="F4767" s="25">
        <v>1.0743000000000001E-4</v>
      </c>
      <c r="G4767" s="25">
        <v>1.6468E-4</v>
      </c>
      <c r="H4767" s="25">
        <v>1.9043E-4</v>
      </c>
      <c r="I4767" s="9">
        <v>9.8980000000000004E-5</v>
      </c>
      <c r="J4767" s="9">
        <v>9.8560000000000005E-5</v>
      </c>
      <c r="K4767" s="9">
        <v>0</v>
      </c>
      <c r="L4767" s="9">
        <v>1.7306999999999999E-4</v>
      </c>
      <c r="M4767" s="9">
        <v>1.7231000000000001E-4</v>
      </c>
      <c r="N4767" s="9">
        <v>1.4260999999999999E-4</v>
      </c>
      <c r="O4767" s="9">
        <v>1.6511E-4</v>
      </c>
      <c r="P4767" s="9">
        <v>1.7207E-4</v>
      </c>
      <c r="Q4767" s="9">
        <v>1.7872E-4</v>
      </c>
      <c r="R4767" s="10">
        <v>7.8710429074926465E-5</v>
      </c>
      <c r="S4767" s="10">
        <v>1.5958689906706876E-4</v>
      </c>
      <c r="T4767" s="10">
        <v>4.8108522605113107E-4</v>
      </c>
      <c r="U4767" s="10">
        <v>8.0879999999999998E-5</v>
      </c>
      <c r="V4767" s="25"/>
      <c r="W4767" s="25"/>
      <c r="X4767" s="25"/>
      <c r="Y4767" s="25"/>
      <c r="Z4767" s="25"/>
      <c r="AA4767" s="25"/>
    </row>
    <row r="4768" spans="1:27" x14ac:dyDescent="0.35">
      <c r="A4768" s="5">
        <v>4764</v>
      </c>
      <c r="B4768" s="5">
        <v>199</v>
      </c>
      <c r="C4768" s="5">
        <v>7</v>
      </c>
      <c r="D4768" s="25">
        <v>1.1415000000000001E-4</v>
      </c>
      <c r="E4768" s="25">
        <v>1.12E-4</v>
      </c>
      <c r="F4768" s="25">
        <v>1.1577E-4</v>
      </c>
      <c r="G4768" s="25">
        <v>1.6446000000000001E-4</v>
      </c>
      <c r="H4768" s="25">
        <v>1.9615999999999999E-4</v>
      </c>
      <c r="I4768" s="9">
        <v>9.9140000000000003E-5</v>
      </c>
      <c r="J4768" s="9">
        <v>9.925E-5</v>
      </c>
      <c r="K4768" s="9">
        <v>0</v>
      </c>
      <c r="L4768" s="9">
        <v>1.6833000000000001E-4</v>
      </c>
      <c r="M4768" s="9">
        <v>1.7432999999999999E-4</v>
      </c>
      <c r="N4768" s="9">
        <v>1.5652E-4</v>
      </c>
      <c r="O4768" s="9">
        <v>1.6956E-4</v>
      </c>
      <c r="P4768" s="9">
        <v>1.7250999999999999E-4</v>
      </c>
      <c r="Q4768" s="9">
        <v>1.7519000000000001E-4</v>
      </c>
      <c r="R4768" s="10">
        <v>6.4419842537778024E-5</v>
      </c>
      <c r="S4768" s="10">
        <v>1.5429971136213835E-4</v>
      </c>
      <c r="T4768" s="10">
        <v>4.9421043714580157E-4</v>
      </c>
      <c r="U4768" s="10">
        <v>8.0879999999999998E-5</v>
      </c>
      <c r="V4768" s="25"/>
      <c r="W4768" s="25"/>
      <c r="X4768" s="25"/>
      <c r="Y4768" s="25"/>
      <c r="Z4768" s="25"/>
      <c r="AA4768" s="25"/>
    </row>
    <row r="4769" spans="1:27" x14ac:dyDescent="0.35">
      <c r="A4769" s="5">
        <v>4765</v>
      </c>
      <c r="B4769" s="5">
        <v>199</v>
      </c>
      <c r="C4769" s="5">
        <v>7</v>
      </c>
      <c r="D4769" s="25">
        <v>1.1416E-4</v>
      </c>
      <c r="E4769" s="25">
        <v>1.0965E-4</v>
      </c>
      <c r="F4769" s="25">
        <v>9.6189999999999999E-5</v>
      </c>
      <c r="G4769" s="25">
        <v>1.5885000000000001E-4</v>
      </c>
      <c r="H4769" s="25">
        <v>1.9709999999999999E-4</v>
      </c>
      <c r="I4769" s="9">
        <v>9.7629999999999999E-5</v>
      </c>
      <c r="J4769" s="9">
        <v>9.8309999999999999E-5</v>
      </c>
      <c r="K4769" s="9">
        <v>0</v>
      </c>
      <c r="L4769" s="9">
        <v>1.6945E-4</v>
      </c>
      <c r="M4769" s="9">
        <v>1.7372000000000001E-4</v>
      </c>
      <c r="N4769" s="9">
        <v>1.6621E-4</v>
      </c>
      <c r="O4769" s="9">
        <v>1.6137000000000001E-4</v>
      </c>
      <c r="P4769" s="9">
        <v>1.6504000000000001E-4</v>
      </c>
      <c r="Q4769" s="9">
        <v>1.6846E-4</v>
      </c>
      <c r="R4769" s="10">
        <v>8.2746519607200403E-5</v>
      </c>
      <c r="S4769" s="10">
        <v>1.5032181200682422E-4</v>
      </c>
      <c r="T4769" s="10">
        <v>4.2590334307780422E-4</v>
      </c>
      <c r="U4769" s="10">
        <v>8.0879999999999998E-5</v>
      </c>
      <c r="V4769" s="25"/>
      <c r="W4769" s="25"/>
      <c r="X4769" s="25"/>
      <c r="Y4769" s="25"/>
      <c r="Z4769" s="25"/>
      <c r="AA4769" s="25"/>
    </row>
    <row r="4770" spans="1:27" x14ac:dyDescent="0.35">
      <c r="A4770" s="5">
        <v>4766</v>
      </c>
      <c r="B4770" s="5">
        <v>199</v>
      </c>
      <c r="C4770" s="5">
        <v>7</v>
      </c>
      <c r="D4770" s="25">
        <v>1.1415000000000001E-4</v>
      </c>
      <c r="E4770" s="25">
        <v>1.1391E-4</v>
      </c>
      <c r="F4770" s="25">
        <v>1.0747999999999999E-4</v>
      </c>
      <c r="G4770" s="25">
        <v>1.6500999999999999E-4</v>
      </c>
      <c r="H4770" s="25">
        <v>1.8997E-4</v>
      </c>
      <c r="I4770" s="9">
        <v>9.6589999999999995E-5</v>
      </c>
      <c r="J4770" s="9">
        <v>9.6899999999999997E-5</v>
      </c>
      <c r="K4770" s="9">
        <v>0</v>
      </c>
      <c r="L4770" s="9">
        <v>1.6284000000000001E-4</v>
      </c>
      <c r="M4770" s="9">
        <v>1.7044E-4</v>
      </c>
      <c r="N4770" s="9">
        <v>1.7071999999999999E-4</v>
      </c>
      <c r="O4770" s="9">
        <v>1.7478E-4</v>
      </c>
      <c r="P4770" s="9">
        <v>1.6694999999999999E-4</v>
      </c>
      <c r="Q4770" s="9">
        <v>1.5902000000000001E-4</v>
      </c>
      <c r="R4770" s="10">
        <v>9.6374618690353421E-5</v>
      </c>
      <c r="S4770" s="10">
        <v>1.5518135606694834E-4</v>
      </c>
      <c r="T4770" s="10">
        <v>5.2108869748705309E-4</v>
      </c>
      <c r="U4770" s="10">
        <v>8.0879999999999998E-5</v>
      </c>
      <c r="V4770" s="25"/>
      <c r="W4770" s="25"/>
      <c r="X4770" s="25"/>
      <c r="Y4770" s="25"/>
      <c r="Z4770" s="25"/>
      <c r="AA4770" s="25"/>
    </row>
    <row r="4771" spans="1:27" x14ac:dyDescent="0.35">
      <c r="A4771" s="5">
        <v>4767</v>
      </c>
      <c r="B4771" s="5">
        <v>199</v>
      </c>
      <c r="C4771" s="5">
        <v>7</v>
      </c>
      <c r="D4771" s="25">
        <v>1.1416E-4</v>
      </c>
      <c r="E4771" s="25">
        <v>1.0433999999999999E-4</v>
      </c>
      <c r="F4771" s="25">
        <v>9.3410000000000002E-5</v>
      </c>
      <c r="G4771" s="25">
        <v>1.5830999999999999E-4</v>
      </c>
      <c r="H4771" s="25">
        <v>1.9896000000000001E-4</v>
      </c>
      <c r="I4771" s="9">
        <v>9.5970000000000004E-5</v>
      </c>
      <c r="J4771" s="9">
        <v>9.6080000000000002E-5</v>
      </c>
      <c r="K4771" s="9">
        <v>0</v>
      </c>
      <c r="L4771" s="9">
        <v>1.7232E-4</v>
      </c>
      <c r="M4771" s="9">
        <v>1.6823000000000001E-4</v>
      </c>
      <c r="N4771" s="9">
        <v>1.6982E-4</v>
      </c>
      <c r="O4771" s="9">
        <v>1.8201E-4</v>
      </c>
      <c r="P4771" s="9">
        <v>1.6733000000000001E-4</v>
      </c>
      <c r="Q4771" s="9">
        <v>1.5262000000000001E-4</v>
      </c>
      <c r="R4771" s="10">
        <v>9.6410540951294698E-5</v>
      </c>
      <c r="S4771" s="10">
        <v>1.5999903583425445E-4</v>
      </c>
      <c r="T4771" s="10">
        <v>5.6277206019430322E-4</v>
      </c>
      <c r="U4771" s="10">
        <v>8.0879999999999998E-5</v>
      </c>
      <c r="V4771" s="25"/>
      <c r="W4771" s="25"/>
      <c r="X4771" s="25"/>
      <c r="Y4771" s="25"/>
      <c r="Z4771" s="25"/>
      <c r="AA4771" s="25"/>
    </row>
    <row r="4772" spans="1:27" x14ac:dyDescent="0.35">
      <c r="A4772" s="5">
        <v>4768</v>
      </c>
      <c r="B4772" s="5">
        <v>199</v>
      </c>
      <c r="C4772" s="5">
        <v>7</v>
      </c>
      <c r="D4772" s="25">
        <v>1.1415000000000001E-4</v>
      </c>
      <c r="E4772" s="25">
        <v>1.0828999999999999E-4</v>
      </c>
      <c r="F4772" s="25">
        <v>9.8380000000000003E-5</v>
      </c>
      <c r="G4772" s="25">
        <v>1.6325000000000001E-4</v>
      </c>
      <c r="H4772" s="25">
        <v>1.9859000000000001E-4</v>
      </c>
      <c r="I4772" s="9">
        <v>9.6490000000000006E-5</v>
      </c>
      <c r="J4772" s="9">
        <v>9.7159999999999998E-5</v>
      </c>
      <c r="K4772" s="9">
        <v>0</v>
      </c>
      <c r="L4772" s="9">
        <v>1.7964000000000001E-4</v>
      </c>
      <c r="M4772" s="9">
        <v>1.6737999999999999E-4</v>
      </c>
      <c r="N4772" s="9">
        <v>1.66E-4</v>
      </c>
      <c r="O4772" s="9">
        <v>1.9494E-4</v>
      </c>
      <c r="P4772" s="9">
        <v>1.5200000000000001E-4</v>
      </c>
      <c r="Q4772" s="9">
        <v>1.0943E-4</v>
      </c>
      <c r="R4772" s="10">
        <v>9.1010594033452132E-5</v>
      </c>
      <c r="S4772" s="10">
        <v>1.5886719129017232E-4</v>
      </c>
      <c r="T4772" s="10">
        <v>4.2861831886984982E-4</v>
      </c>
      <c r="U4772" s="10">
        <v>8.0879999999999998E-5</v>
      </c>
      <c r="V4772" s="25"/>
      <c r="W4772" s="25"/>
      <c r="X4772" s="25"/>
      <c r="Y4772" s="25"/>
      <c r="Z4772" s="25"/>
      <c r="AA4772" s="25"/>
    </row>
    <row r="4773" spans="1:27" x14ac:dyDescent="0.35">
      <c r="A4773" s="5">
        <v>4769</v>
      </c>
      <c r="B4773" s="5">
        <v>199</v>
      </c>
      <c r="C4773" s="5">
        <v>7</v>
      </c>
      <c r="D4773" s="25">
        <v>1.1416E-4</v>
      </c>
      <c r="E4773" s="25">
        <v>1.1133000000000001E-4</v>
      </c>
      <c r="F4773" s="25">
        <v>1.0946E-4</v>
      </c>
      <c r="G4773" s="25">
        <v>1.6538999999999999E-4</v>
      </c>
      <c r="H4773" s="25">
        <v>1.9600999999999999E-4</v>
      </c>
      <c r="I4773" s="9">
        <v>9.7759999999999999E-5</v>
      </c>
      <c r="J4773" s="9">
        <v>1.0164E-4</v>
      </c>
      <c r="K4773" s="9">
        <v>0</v>
      </c>
      <c r="L4773" s="9">
        <v>1.9132E-4</v>
      </c>
      <c r="M4773" s="9">
        <v>1.6176E-4</v>
      </c>
      <c r="N4773" s="9">
        <v>1.5223E-4</v>
      </c>
      <c r="O4773" s="9">
        <v>2.1366000000000001E-4</v>
      </c>
      <c r="P4773" s="9">
        <v>1.606E-4</v>
      </c>
      <c r="Q4773" s="9">
        <v>1.0802999999999999E-4</v>
      </c>
      <c r="R4773" s="10">
        <v>8.1102441915838352E-5</v>
      </c>
      <c r="S4773" s="10">
        <v>1.5088994492418138E-4</v>
      </c>
      <c r="T4773" s="10">
        <v>2.8391859345316918E-4</v>
      </c>
      <c r="U4773" s="10">
        <v>8.0879999999999998E-5</v>
      </c>
      <c r="V4773" s="25"/>
      <c r="W4773" s="25"/>
      <c r="X4773" s="25"/>
      <c r="Y4773" s="25"/>
      <c r="Z4773" s="25"/>
      <c r="AA4773" s="25"/>
    </row>
    <row r="4774" spans="1:27" x14ac:dyDescent="0.35">
      <c r="A4774" s="5">
        <v>4770</v>
      </c>
      <c r="B4774" s="5">
        <v>199</v>
      </c>
      <c r="C4774" s="5">
        <v>7</v>
      </c>
      <c r="D4774" s="25">
        <v>1.1415000000000001E-4</v>
      </c>
      <c r="E4774" s="25">
        <v>1.1222000000000001E-4</v>
      </c>
      <c r="F4774" s="25">
        <v>1.0815999999999999E-4</v>
      </c>
      <c r="G4774" s="25">
        <v>1.6252000000000001E-4</v>
      </c>
      <c r="H4774" s="25">
        <v>2.0045999999999999E-4</v>
      </c>
      <c r="I4774" s="9">
        <v>9.946E-5</v>
      </c>
      <c r="J4774" s="9">
        <v>1.0393E-4</v>
      </c>
      <c r="K4774" s="9">
        <v>0</v>
      </c>
      <c r="L4774" s="9">
        <v>2.0849E-4</v>
      </c>
      <c r="M4774" s="9">
        <v>1.5980000000000001E-4</v>
      </c>
      <c r="N4774" s="9">
        <v>1.3908E-4</v>
      </c>
      <c r="O4774" s="9">
        <v>2.0243E-4</v>
      </c>
      <c r="P4774" s="9">
        <v>1.5957999999999999E-4</v>
      </c>
      <c r="Q4774" s="9">
        <v>1.1708E-4</v>
      </c>
      <c r="R4774" s="10">
        <v>6.7004916204314914E-5</v>
      </c>
      <c r="S4774" s="10">
        <v>1.4605420772845947E-4</v>
      </c>
      <c r="T4774" s="10">
        <v>1.6662315493744888E-4</v>
      </c>
      <c r="U4774" s="10">
        <v>8.0879999999999998E-5</v>
      </c>
      <c r="V4774" s="25"/>
      <c r="W4774" s="25"/>
      <c r="X4774" s="25"/>
      <c r="Y4774" s="25"/>
      <c r="Z4774" s="25"/>
      <c r="AA4774" s="25"/>
    </row>
    <row r="4775" spans="1:27" x14ac:dyDescent="0.35">
      <c r="A4775" s="5">
        <v>4771</v>
      </c>
      <c r="B4775" s="5">
        <v>199</v>
      </c>
      <c r="C4775" s="5">
        <v>7</v>
      </c>
      <c r="D4775" s="25">
        <v>1.1416E-4</v>
      </c>
      <c r="E4775" s="25">
        <v>1.0629E-4</v>
      </c>
      <c r="F4775" s="25">
        <v>1.1212E-4</v>
      </c>
      <c r="G4775" s="25">
        <v>1.1107000000000001E-4</v>
      </c>
      <c r="H4775" s="25">
        <v>1.3491999999999999E-4</v>
      </c>
      <c r="I4775" s="9">
        <v>9.8709999999999995E-5</v>
      </c>
      <c r="J4775" s="9">
        <v>1.0378999999999999E-4</v>
      </c>
      <c r="K4775" s="9">
        <v>0</v>
      </c>
      <c r="L4775" s="9">
        <v>2.0332999999999999E-4</v>
      </c>
      <c r="M4775" s="9">
        <v>1.5936999999999999E-4</v>
      </c>
      <c r="N4775" s="9">
        <v>1.2988999999999999E-4</v>
      </c>
      <c r="O4775" s="9">
        <v>1.6453E-4</v>
      </c>
      <c r="P4775" s="9">
        <v>1.3619000000000001E-4</v>
      </c>
      <c r="Q4775" s="9">
        <v>1.0809E-4</v>
      </c>
      <c r="R4775" s="10">
        <v>5.1109059017272888E-5</v>
      </c>
      <c r="S4775" s="10">
        <v>1.4153356814850941E-4</v>
      </c>
      <c r="T4775" s="10">
        <v>2.5928018814035531E-5</v>
      </c>
      <c r="U4775" s="10">
        <v>8.0879999999999998E-5</v>
      </c>
      <c r="V4775" s="25"/>
      <c r="W4775" s="25"/>
      <c r="X4775" s="25"/>
      <c r="Y4775" s="25"/>
      <c r="Z4775" s="25"/>
      <c r="AA4775" s="25"/>
    </row>
    <row r="4776" spans="1:27" x14ac:dyDescent="0.35">
      <c r="A4776" s="5">
        <v>4772</v>
      </c>
      <c r="B4776" s="5">
        <v>199</v>
      </c>
      <c r="C4776" s="5">
        <v>7</v>
      </c>
      <c r="D4776" s="25">
        <v>1.1415000000000001E-4</v>
      </c>
      <c r="E4776" s="25">
        <v>1.0696000000000001E-4</v>
      </c>
      <c r="F4776" s="25">
        <v>9.6819999999999998E-5</v>
      </c>
      <c r="G4776" s="25">
        <v>1.1217000000000001E-4</v>
      </c>
      <c r="H4776" s="25">
        <v>1.3872E-4</v>
      </c>
      <c r="I4776" s="9">
        <v>9.7230000000000003E-5</v>
      </c>
      <c r="J4776" s="9">
        <v>1.0344E-4</v>
      </c>
      <c r="K4776" s="9">
        <v>0</v>
      </c>
      <c r="L4776" s="9">
        <v>1.7327999999999999E-4</v>
      </c>
      <c r="M4776" s="9">
        <v>1.5105000000000001E-4</v>
      </c>
      <c r="N4776" s="9">
        <v>1.2106E-4</v>
      </c>
      <c r="O4776" s="9">
        <v>1.2879999999999999E-4</v>
      </c>
      <c r="P4776" s="9">
        <v>1.1561999999999999E-4</v>
      </c>
      <c r="Q4776" s="9">
        <v>1.0255999999999999E-4</v>
      </c>
      <c r="R4776" s="10">
        <v>2.9764653098127609E-5</v>
      </c>
      <c r="S4776" s="10">
        <v>1.3887143842424021E-4</v>
      </c>
      <c r="T4776" s="10">
        <v>8.4079406559912346E-6</v>
      </c>
      <c r="U4776" s="10">
        <v>8.0879999999999998E-5</v>
      </c>
      <c r="V4776" s="25"/>
      <c r="W4776" s="25"/>
      <c r="X4776" s="25"/>
      <c r="Y4776" s="25"/>
      <c r="Z4776" s="25"/>
      <c r="AA4776" s="25"/>
    </row>
    <row r="4777" spans="1:27" x14ac:dyDescent="0.35">
      <c r="A4777" s="5">
        <v>4773</v>
      </c>
      <c r="B4777" s="5">
        <v>199</v>
      </c>
      <c r="C4777" s="5">
        <v>7</v>
      </c>
      <c r="D4777" s="25">
        <v>1.1416E-4</v>
      </c>
      <c r="E4777" s="25">
        <v>1.1340000000000001E-4</v>
      </c>
      <c r="F4777" s="25">
        <v>1.0656E-4</v>
      </c>
      <c r="G4777" s="25">
        <v>6.0239999999999999E-5</v>
      </c>
      <c r="H4777" s="25">
        <v>6.7479999999999998E-5</v>
      </c>
      <c r="I4777" s="9">
        <v>9.6979999999999996E-5</v>
      </c>
      <c r="J4777" s="9">
        <v>1.0230000000000001E-4</v>
      </c>
      <c r="K4777" s="9">
        <v>0</v>
      </c>
      <c r="L4777" s="9">
        <v>1.3952999999999999E-4</v>
      </c>
      <c r="M4777" s="9">
        <v>1.3595999999999999E-4</v>
      </c>
      <c r="N4777" s="9">
        <v>1.1354E-4</v>
      </c>
      <c r="O4777" s="9">
        <v>8.3869999999999995E-5</v>
      </c>
      <c r="P4777" s="9">
        <v>8.5829999999999996E-5</v>
      </c>
      <c r="Q4777" s="9">
        <v>8.7819999999999996E-5</v>
      </c>
      <c r="R4777" s="10">
        <v>1.7180881667631747E-5</v>
      </c>
      <c r="S4777" s="10">
        <v>1.3187858844383575E-4</v>
      </c>
      <c r="T4777" s="10">
        <v>0</v>
      </c>
      <c r="U4777" s="10">
        <v>8.0879999999999998E-5</v>
      </c>
      <c r="V4777" s="25"/>
      <c r="W4777" s="25"/>
      <c r="X4777" s="25"/>
      <c r="Y4777" s="25"/>
      <c r="Z4777" s="25"/>
      <c r="AA4777" s="25"/>
    </row>
    <row r="4778" spans="1:27" x14ac:dyDescent="0.35">
      <c r="A4778" s="5">
        <v>4774</v>
      </c>
      <c r="B4778" s="5">
        <v>199</v>
      </c>
      <c r="C4778" s="5">
        <v>7</v>
      </c>
      <c r="D4778" s="25">
        <v>1.1415000000000001E-4</v>
      </c>
      <c r="E4778" s="25">
        <v>1.0866000000000001E-4</v>
      </c>
      <c r="F4778" s="25">
        <v>9.3720000000000004E-5</v>
      </c>
      <c r="G4778" s="25">
        <v>5.7129999999999997E-5</v>
      </c>
      <c r="H4778" s="25">
        <v>7.046E-5</v>
      </c>
      <c r="I4778" s="9">
        <v>1.0163E-4</v>
      </c>
      <c r="J4778" s="9">
        <v>1.0436E-4</v>
      </c>
      <c r="K4778" s="9">
        <v>0</v>
      </c>
      <c r="L4778" s="9">
        <v>9.7009999999999994E-5</v>
      </c>
      <c r="M4778" s="9">
        <v>1.1403E-4</v>
      </c>
      <c r="N4778" s="9">
        <v>1.0582999999999999E-4</v>
      </c>
      <c r="O4778" s="9">
        <v>8.6279999999999994E-5</v>
      </c>
      <c r="P4778" s="9">
        <v>8.6890000000000003E-5</v>
      </c>
      <c r="Q4778" s="9">
        <v>8.7529999999999997E-5</v>
      </c>
      <c r="R4778" s="10">
        <v>1.2607585674156111E-5</v>
      </c>
      <c r="S4778" s="10">
        <v>1.1200021331256238E-4</v>
      </c>
      <c r="T4778" s="10">
        <v>0</v>
      </c>
      <c r="U4778" s="10">
        <v>8.0879999999999998E-5</v>
      </c>
      <c r="V4778" s="25"/>
      <c r="W4778" s="25"/>
      <c r="X4778" s="25"/>
      <c r="Y4778" s="25"/>
      <c r="Z4778" s="25"/>
      <c r="AA4778" s="25"/>
    </row>
    <row r="4779" spans="1:27" x14ac:dyDescent="0.35">
      <c r="A4779" s="5">
        <v>4775</v>
      </c>
      <c r="B4779" s="5">
        <v>199</v>
      </c>
      <c r="C4779" s="5">
        <v>7</v>
      </c>
      <c r="D4779" s="25">
        <v>1.1416E-4</v>
      </c>
      <c r="E4779" s="25">
        <v>1.13E-4</v>
      </c>
      <c r="F4779" s="25">
        <v>1.109E-4</v>
      </c>
      <c r="G4779" s="25">
        <v>5.223E-5</v>
      </c>
      <c r="H4779" s="25">
        <v>6.9610000000000006E-5</v>
      </c>
      <c r="I4779" s="9">
        <v>9.7E-5</v>
      </c>
      <c r="J4779" s="9">
        <v>1.0008E-4</v>
      </c>
      <c r="K4779" s="9">
        <v>0</v>
      </c>
      <c r="L4779" s="9">
        <v>8.9610000000000004E-5</v>
      </c>
      <c r="M4779" s="9">
        <v>9.8859999999999999E-5</v>
      </c>
      <c r="N4779" s="9">
        <v>9.9820000000000003E-5</v>
      </c>
      <c r="O4779" s="9">
        <v>7.8139999999999994E-5</v>
      </c>
      <c r="P4779" s="9">
        <v>7.2689999999999997E-5</v>
      </c>
      <c r="Q4779" s="9">
        <v>6.7399999999999998E-5</v>
      </c>
      <c r="R4779" s="10">
        <v>1.5705557203122329E-5</v>
      </c>
      <c r="S4779" s="10">
        <v>8.5697460167767379E-5</v>
      </c>
      <c r="T4779" s="10">
        <v>0</v>
      </c>
      <c r="U4779" s="10">
        <v>8.0879999999999998E-5</v>
      </c>
      <c r="V4779" s="25"/>
      <c r="W4779" s="25"/>
      <c r="X4779" s="25"/>
      <c r="Y4779" s="25"/>
      <c r="Z4779" s="25"/>
      <c r="AA4779" s="25"/>
    </row>
    <row r="4780" spans="1:27" x14ac:dyDescent="0.35">
      <c r="A4780" s="5">
        <v>4776</v>
      </c>
      <c r="B4780" s="5">
        <v>199</v>
      </c>
      <c r="C4780" s="5">
        <v>7</v>
      </c>
      <c r="D4780" s="25">
        <v>1.1415000000000001E-4</v>
      </c>
      <c r="E4780" s="25">
        <v>1.077E-4</v>
      </c>
      <c r="F4780" s="25">
        <v>1.0053E-4</v>
      </c>
      <c r="G4780" s="25">
        <v>5.7330000000000002E-5</v>
      </c>
      <c r="H4780" s="25">
        <v>7.1229999999999994E-5</v>
      </c>
      <c r="I4780" s="9">
        <v>9.132E-5</v>
      </c>
      <c r="J4780" s="9">
        <v>9.4569999999999997E-5</v>
      </c>
      <c r="K4780" s="9">
        <v>0</v>
      </c>
      <c r="L4780" s="9">
        <v>8.0660000000000004E-5</v>
      </c>
      <c r="M4780" s="9">
        <v>8.6080000000000003E-5</v>
      </c>
      <c r="N4780" s="9">
        <v>9.064E-5</v>
      </c>
      <c r="O4780" s="9">
        <v>6.2529999999999999E-5</v>
      </c>
      <c r="P4780" s="9">
        <v>6.0560000000000003E-5</v>
      </c>
      <c r="Q4780" s="9">
        <v>5.8749999999999998E-5</v>
      </c>
      <c r="R4780" s="10">
        <v>1.8549000487172495E-5</v>
      </c>
      <c r="S4780" s="10">
        <v>8.0531889976186041E-5</v>
      </c>
      <c r="T4780" s="10">
        <v>0</v>
      </c>
      <c r="U4780" s="10">
        <v>8.0879999999999998E-5</v>
      </c>
      <c r="V4780" s="25"/>
      <c r="W4780" s="25"/>
      <c r="X4780" s="25"/>
      <c r="Y4780" s="25"/>
      <c r="Z4780" s="25"/>
      <c r="AA4780" s="25"/>
    </row>
    <row r="4781" spans="1:27" x14ac:dyDescent="0.35">
      <c r="A4781" s="5">
        <v>4777</v>
      </c>
      <c r="B4781" s="5">
        <v>200</v>
      </c>
      <c r="C4781" s="5">
        <v>7</v>
      </c>
      <c r="D4781" s="25">
        <v>1.1416E-4</v>
      </c>
      <c r="E4781" s="25">
        <v>1.1386E-4</v>
      </c>
      <c r="F4781" s="25">
        <v>1.3289000000000001E-4</v>
      </c>
      <c r="G4781" s="25">
        <v>5.7370000000000001E-5</v>
      </c>
      <c r="H4781" s="25">
        <v>6.9209999999999996E-5</v>
      </c>
      <c r="I4781" s="9">
        <v>8.7899999999999995E-5</v>
      </c>
      <c r="J4781" s="9">
        <v>9.0729999999999994E-5</v>
      </c>
      <c r="K4781" s="9">
        <v>0</v>
      </c>
      <c r="L4781" s="9">
        <v>6.648E-5</v>
      </c>
      <c r="M4781" s="9">
        <v>7.3999999999999996E-5</v>
      </c>
      <c r="N4781" s="9">
        <v>8.1149999999999994E-5</v>
      </c>
      <c r="O4781" s="9">
        <v>5.431E-5</v>
      </c>
      <c r="P4781" s="9">
        <v>5.3730000000000002E-5</v>
      </c>
      <c r="Q4781" s="9">
        <v>5.3310000000000003E-5</v>
      </c>
      <c r="R4781" s="10">
        <v>3.3857005874229412E-5</v>
      </c>
      <c r="S4781" s="10">
        <v>7.4912939764708628E-5</v>
      </c>
      <c r="T4781" s="10">
        <v>0</v>
      </c>
      <c r="U4781" s="10">
        <v>7.975E-5</v>
      </c>
      <c r="V4781" s="25"/>
      <c r="W4781" s="25"/>
      <c r="X4781" s="25"/>
      <c r="Y4781" s="25"/>
      <c r="Z4781" s="25"/>
      <c r="AA4781" s="25"/>
    </row>
    <row r="4782" spans="1:27" x14ac:dyDescent="0.35">
      <c r="A4782" s="5">
        <v>4778</v>
      </c>
      <c r="B4782" s="5">
        <v>200</v>
      </c>
      <c r="C4782" s="5">
        <v>7</v>
      </c>
      <c r="D4782" s="25">
        <v>1.1415000000000001E-4</v>
      </c>
      <c r="E4782" s="25">
        <v>1.1544000000000001E-4</v>
      </c>
      <c r="F4782" s="25">
        <v>1.4692000000000001E-4</v>
      </c>
      <c r="G4782" s="25">
        <v>6.1550000000000005E-5</v>
      </c>
      <c r="H4782" s="25">
        <v>7.3759999999999999E-5</v>
      </c>
      <c r="I4782" s="9">
        <v>8.5110000000000003E-5</v>
      </c>
      <c r="J4782" s="9">
        <v>8.8869999999999994E-5</v>
      </c>
      <c r="K4782" s="9">
        <v>0</v>
      </c>
      <c r="L4782" s="9">
        <v>5.7370000000000001E-5</v>
      </c>
      <c r="M4782" s="9">
        <v>6.3819999999999995E-5</v>
      </c>
      <c r="N4782" s="9">
        <v>7.1979999999999999E-5</v>
      </c>
      <c r="O4782" s="9">
        <v>1.9400000000000001E-5</v>
      </c>
      <c r="P4782" s="9">
        <v>3.7950000000000001E-5</v>
      </c>
      <c r="Q4782" s="9">
        <v>5.6480000000000001E-5</v>
      </c>
      <c r="R4782" s="10">
        <v>4.8579211852526336E-5</v>
      </c>
      <c r="S4782" s="10">
        <v>6.6174153421431762E-5</v>
      </c>
      <c r="T4782" s="10">
        <v>0</v>
      </c>
      <c r="U4782" s="10">
        <v>7.975E-5</v>
      </c>
      <c r="V4782" s="25"/>
      <c r="W4782" s="25"/>
      <c r="X4782" s="25"/>
      <c r="Y4782" s="25"/>
      <c r="Z4782" s="25"/>
      <c r="AA4782" s="25"/>
    </row>
    <row r="4783" spans="1:27" x14ac:dyDescent="0.35">
      <c r="A4783" s="5">
        <v>4779</v>
      </c>
      <c r="B4783" s="5">
        <v>200</v>
      </c>
      <c r="C4783" s="5">
        <v>7</v>
      </c>
      <c r="D4783" s="25">
        <v>1.1416E-4</v>
      </c>
      <c r="E4783" s="25">
        <v>1.1587E-4</v>
      </c>
      <c r="F4783" s="25">
        <v>1.4626999999999999E-4</v>
      </c>
      <c r="G4783" s="25">
        <v>5.5659999999999999E-5</v>
      </c>
      <c r="H4783" s="25">
        <v>6.6769999999999999E-5</v>
      </c>
      <c r="I4783" s="9">
        <v>8.4820000000000004E-5</v>
      </c>
      <c r="J4783" s="9">
        <v>8.8049999999999999E-5</v>
      </c>
      <c r="K4783" s="9">
        <v>0</v>
      </c>
      <c r="L4783" s="9">
        <v>2.796E-5</v>
      </c>
      <c r="M4783" s="9">
        <v>5.2179999999999998E-5</v>
      </c>
      <c r="N4783" s="9">
        <v>6.5500000000000006E-5</v>
      </c>
      <c r="O4783" s="9">
        <v>1.384E-5</v>
      </c>
      <c r="P4783" s="9">
        <v>3.7669999999999997E-5</v>
      </c>
      <c r="Q4783" s="9">
        <v>6.1389999999999993E-5</v>
      </c>
      <c r="R4783" s="10">
        <v>4.5698436937688486E-5</v>
      </c>
      <c r="S4783" s="10">
        <v>6.7930537031143278E-5</v>
      </c>
      <c r="T4783" s="10">
        <v>0</v>
      </c>
      <c r="U4783" s="10">
        <v>7.975E-5</v>
      </c>
      <c r="V4783" s="25"/>
      <c r="W4783" s="25"/>
      <c r="X4783" s="25"/>
      <c r="Y4783" s="25"/>
      <c r="Z4783" s="25"/>
      <c r="AA4783" s="25"/>
    </row>
    <row r="4784" spans="1:27" x14ac:dyDescent="0.35">
      <c r="A4784" s="5">
        <v>4780</v>
      </c>
      <c r="B4784" s="5">
        <v>200</v>
      </c>
      <c r="C4784" s="5">
        <v>7</v>
      </c>
      <c r="D4784" s="25">
        <v>1.1415000000000001E-4</v>
      </c>
      <c r="E4784" s="25">
        <v>1.078E-4</v>
      </c>
      <c r="F4784" s="25">
        <v>1.3002000000000001E-4</v>
      </c>
      <c r="G4784" s="25">
        <v>5.3279999999999998E-5</v>
      </c>
      <c r="H4784" s="25">
        <v>7.0850000000000001E-5</v>
      </c>
      <c r="I4784" s="9">
        <v>8.5829999999999996E-5</v>
      </c>
      <c r="J4784" s="9">
        <v>8.8579999999999996E-5</v>
      </c>
      <c r="K4784" s="9">
        <v>0</v>
      </c>
      <c r="L4784" s="9">
        <v>1.7669999999999999E-5</v>
      </c>
      <c r="M4784" s="9">
        <v>4.4190000000000002E-5</v>
      </c>
      <c r="N4784" s="9">
        <v>6.19E-5</v>
      </c>
      <c r="O4784" s="9">
        <v>1.399E-5</v>
      </c>
      <c r="P4784" s="9">
        <v>4.7580000000000002E-5</v>
      </c>
      <c r="Q4784" s="9">
        <v>8.0929999999999999E-5</v>
      </c>
      <c r="R4784" s="10">
        <v>4.8367686680145958E-5</v>
      </c>
      <c r="S4784" s="10">
        <v>7.9598319475476041E-5</v>
      </c>
      <c r="T4784" s="10">
        <v>0</v>
      </c>
      <c r="U4784" s="10">
        <v>7.975E-5</v>
      </c>
      <c r="V4784" s="25"/>
      <c r="W4784" s="25"/>
      <c r="X4784" s="25"/>
      <c r="Y4784" s="25"/>
      <c r="Z4784" s="25"/>
      <c r="AA4784" s="25"/>
    </row>
    <row r="4785" spans="1:27" x14ac:dyDescent="0.35">
      <c r="A4785" s="5">
        <v>4781</v>
      </c>
      <c r="B4785" s="5">
        <v>200</v>
      </c>
      <c r="C4785" s="5">
        <v>7</v>
      </c>
      <c r="D4785" s="25">
        <v>1.1416E-4</v>
      </c>
      <c r="E4785" s="25">
        <v>1.0887000000000001E-4</v>
      </c>
      <c r="F4785" s="25">
        <v>1.2564E-4</v>
      </c>
      <c r="G4785" s="25">
        <v>5.9219999999999999E-5</v>
      </c>
      <c r="H4785" s="25">
        <v>7.2219999999999996E-5</v>
      </c>
      <c r="I4785" s="9">
        <v>8.7739999999999997E-5</v>
      </c>
      <c r="J4785" s="9">
        <v>9.0409999999999997E-5</v>
      </c>
      <c r="K4785" s="9">
        <v>0</v>
      </c>
      <c r="L4785" s="9">
        <v>1.504E-5</v>
      </c>
      <c r="M4785" s="9">
        <v>4.3609999999999998E-5</v>
      </c>
      <c r="N4785" s="9">
        <v>6.4560000000000005E-5</v>
      </c>
      <c r="O4785" s="9">
        <v>1.9360000000000001E-5</v>
      </c>
      <c r="P4785" s="9">
        <v>5.6830000000000003E-5</v>
      </c>
      <c r="Q4785" s="9">
        <v>9.3980000000000005E-5</v>
      </c>
      <c r="R4785" s="10">
        <v>5.3491370124182842E-5</v>
      </c>
      <c r="S4785" s="10">
        <v>8.9513048223257847E-5</v>
      </c>
      <c r="T4785" s="10">
        <v>0</v>
      </c>
      <c r="U4785" s="10">
        <v>7.975E-5</v>
      </c>
      <c r="V4785" s="25"/>
      <c r="W4785" s="25"/>
      <c r="X4785" s="25"/>
      <c r="Y4785" s="25"/>
      <c r="Z4785" s="25"/>
      <c r="AA4785" s="25"/>
    </row>
    <row r="4786" spans="1:27" x14ac:dyDescent="0.35">
      <c r="A4786" s="5">
        <v>4782</v>
      </c>
      <c r="B4786" s="5">
        <v>200</v>
      </c>
      <c r="C4786" s="5">
        <v>7</v>
      </c>
      <c r="D4786" s="25">
        <v>1.1415000000000001E-4</v>
      </c>
      <c r="E4786" s="25">
        <v>1.1366000000000001E-4</v>
      </c>
      <c r="F4786" s="25">
        <v>1.3182999999999999E-4</v>
      </c>
      <c r="G4786" s="25">
        <v>1.119E-4</v>
      </c>
      <c r="H4786" s="25">
        <v>1.3506E-4</v>
      </c>
      <c r="I4786" s="9">
        <v>9.3430000000000005E-5</v>
      </c>
      <c r="J4786" s="9">
        <v>9.768E-5</v>
      </c>
      <c r="K4786" s="9">
        <v>0</v>
      </c>
      <c r="L4786" s="9">
        <v>1.8280000000000001E-5</v>
      </c>
      <c r="M4786" s="9">
        <v>4.8569999999999997E-5</v>
      </c>
      <c r="N4786" s="9">
        <v>7.1190000000000001E-5</v>
      </c>
      <c r="O4786" s="9">
        <v>4.6699999999999997E-5</v>
      </c>
      <c r="P4786" s="9">
        <v>7.7360000000000005E-5</v>
      </c>
      <c r="Q4786" s="9">
        <v>1.0773E-4</v>
      </c>
      <c r="R4786" s="10">
        <v>4.6028720651954385E-5</v>
      </c>
      <c r="S4786" s="10">
        <v>9.7194137636965781E-5</v>
      </c>
      <c r="T4786" s="10">
        <v>1.9267843824173655E-5</v>
      </c>
      <c r="U4786" s="10">
        <v>7.975E-5</v>
      </c>
      <c r="V4786" s="25"/>
      <c r="W4786" s="25"/>
      <c r="X4786" s="25"/>
      <c r="Y4786" s="25"/>
      <c r="Z4786" s="25"/>
      <c r="AA4786" s="25"/>
    </row>
    <row r="4787" spans="1:27" x14ac:dyDescent="0.35">
      <c r="A4787" s="5">
        <v>4783</v>
      </c>
      <c r="B4787" s="5">
        <v>200</v>
      </c>
      <c r="C4787" s="5">
        <v>7</v>
      </c>
      <c r="D4787" s="25">
        <v>1.1416E-4</v>
      </c>
      <c r="E4787" s="25">
        <v>1.1546E-4</v>
      </c>
      <c r="F4787" s="25">
        <v>1.4437E-4</v>
      </c>
      <c r="G4787" s="25">
        <v>1.1197E-4</v>
      </c>
      <c r="H4787" s="25">
        <v>1.3538999999999999E-4</v>
      </c>
      <c r="I4787" s="9">
        <v>1.0107000000000001E-4</v>
      </c>
      <c r="J4787" s="9">
        <v>1.1099000000000001E-4</v>
      </c>
      <c r="K4787" s="9">
        <v>0</v>
      </c>
      <c r="L4787" s="9">
        <v>4.0299999999999997E-5</v>
      </c>
      <c r="M4787" s="9">
        <v>6.0340000000000002E-5</v>
      </c>
      <c r="N4787" s="9">
        <v>8.1050000000000005E-5</v>
      </c>
      <c r="O4787" s="9">
        <v>1.2265999999999999E-4</v>
      </c>
      <c r="P4787" s="9">
        <v>1.1769000000000001E-4</v>
      </c>
      <c r="Q4787" s="9">
        <v>1.1273999999999999E-4</v>
      </c>
      <c r="R4787" s="10">
        <v>3.7025447790816673E-5</v>
      </c>
      <c r="S4787" s="10">
        <v>1.0960743612110758E-4</v>
      </c>
      <c r="T4787" s="10">
        <v>2.2466424679177385E-5</v>
      </c>
      <c r="U4787" s="10">
        <v>7.975E-5</v>
      </c>
      <c r="V4787" s="25"/>
      <c r="W4787" s="25"/>
      <c r="X4787" s="25"/>
      <c r="Y4787" s="25"/>
      <c r="Z4787" s="25"/>
      <c r="AA4787" s="25"/>
    </row>
    <row r="4788" spans="1:27" x14ac:dyDescent="0.35">
      <c r="A4788" s="5">
        <v>4784</v>
      </c>
      <c r="B4788" s="5">
        <v>200</v>
      </c>
      <c r="C4788" s="5">
        <v>7</v>
      </c>
      <c r="D4788" s="25">
        <v>1.1415000000000001E-4</v>
      </c>
      <c r="E4788" s="25">
        <v>1.1608999999999999E-4</v>
      </c>
      <c r="F4788" s="25">
        <v>1.3962999999999999E-4</v>
      </c>
      <c r="G4788" s="25">
        <v>1.6150999999999999E-4</v>
      </c>
      <c r="H4788" s="25">
        <v>2.0070999999999999E-4</v>
      </c>
      <c r="I4788" s="9">
        <v>1.091E-4</v>
      </c>
      <c r="J4788" s="9">
        <v>1.2202E-4</v>
      </c>
      <c r="K4788" s="9">
        <v>0</v>
      </c>
      <c r="L4788" s="9">
        <v>1.0391999999999999E-4</v>
      </c>
      <c r="M4788" s="9">
        <v>8.4010000000000004E-5</v>
      </c>
      <c r="N4788" s="9">
        <v>9.1169999999999996E-5</v>
      </c>
      <c r="O4788" s="9">
        <v>2.1665000000000001E-4</v>
      </c>
      <c r="P4788" s="9">
        <v>1.7628000000000001E-4</v>
      </c>
      <c r="Q4788" s="9">
        <v>1.3617999999999999E-4</v>
      </c>
      <c r="R4788" s="10">
        <v>2.9604286345339245E-5</v>
      </c>
      <c r="S4788" s="10">
        <v>1.1279082977989278E-4</v>
      </c>
      <c r="T4788" s="10">
        <v>4.6230947158926576E-5</v>
      </c>
      <c r="U4788" s="10">
        <v>7.975E-5</v>
      </c>
      <c r="V4788" s="25"/>
      <c r="W4788" s="25"/>
      <c r="X4788" s="25"/>
      <c r="Y4788" s="25"/>
      <c r="Z4788" s="25"/>
      <c r="AA4788" s="25"/>
    </row>
    <row r="4789" spans="1:27" x14ac:dyDescent="0.35">
      <c r="A4789" s="5">
        <v>4785</v>
      </c>
      <c r="B4789" s="5">
        <v>200</v>
      </c>
      <c r="C4789" s="5">
        <v>7</v>
      </c>
      <c r="D4789" s="25">
        <v>1.1416E-4</v>
      </c>
      <c r="E4789" s="25">
        <v>1.1207E-4</v>
      </c>
      <c r="F4789" s="25">
        <v>1.3574E-4</v>
      </c>
      <c r="G4789" s="25">
        <v>1.6656E-4</v>
      </c>
      <c r="H4789" s="25">
        <v>1.9249999999999999E-4</v>
      </c>
      <c r="I4789" s="9">
        <v>1.1375E-4</v>
      </c>
      <c r="J4789" s="9">
        <v>1.2645000000000001E-4</v>
      </c>
      <c r="K4789" s="9">
        <v>0</v>
      </c>
      <c r="L4789" s="9">
        <v>1.9011000000000001E-4</v>
      </c>
      <c r="M4789" s="9">
        <v>1.2334999999999999E-4</v>
      </c>
      <c r="N4789" s="9">
        <v>1.0476000000000001E-4</v>
      </c>
      <c r="O4789" s="9">
        <v>2.097E-4</v>
      </c>
      <c r="P4789" s="9">
        <v>1.9348999999999999E-4</v>
      </c>
      <c r="Q4789" s="9">
        <v>1.7720999999999999E-4</v>
      </c>
      <c r="R4789" s="10">
        <v>2.3891092822102783E-5</v>
      </c>
      <c r="S4789" s="10">
        <v>1.1611048816123307E-4</v>
      </c>
      <c r="T4789" s="10">
        <v>9.2589158808105274E-5</v>
      </c>
      <c r="U4789" s="10">
        <v>7.975E-5</v>
      </c>
      <c r="V4789" s="25"/>
      <c r="W4789" s="25"/>
      <c r="X4789" s="25"/>
      <c r="Y4789" s="25"/>
      <c r="Z4789" s="25"/>
      <c r="AA4789" s="25"/>
    </row>
    <row r="4790" spans="1:27" x14ac:dyDescent="0.35">
      <c r="A4790" s="5">
        <v>4786</v>
      </c>
      <c r="B4790" s="5">
        <v>200</v>
      </c>
      <c r="C4790" s="5">
        <v>7</v>
      </c>
      <c r="D4790" s="25">
        <v>1.1415000000000001E-4</v>
      </c>
      <c r="E4790" s="25">
        <v>1.167E-4</v>
      </c>
      <c r="F4790" s="25">
        <v>1.4168000000000001E-4</v>
      </c>
      <c r="G4790" s="25">
        <v>1.6461000000000001E-4</v>
      </c>
      <c r="H4790" s="25">
        <v>2.0175999999999999E-4</v>
      </c>
      <c r="I4790" s="9">
        <v>1.1725E-4</v>
      </c>
      <c r="J4790" s="9">
        <v>1.2735000000000001E-4</v>
      </c>
      <c r="K4790" s="9">
        <v>0</v>
      </c>
      <c r="L4790" s="9">
        <v>2.0312999999999999E-4</v>
      </c>
      <c r="M4790" s="9">
        <v>1.5856E-4</v>
      </c>
      <c r="N4790" s="9">
        <v>1.2478000000000001E-4</v>
      </c>
      <c r="O4790" s="9">
        <v>1.6598000000000001E-4</v>
      </c>
      <c r="P4790" s="9">
        <v>1.7432E-4</v>
      </c>
      <c r="Q4790" s="9">
        <v>1.8233999999999999E-4</v>
      </c>
      <c r="R4790" s="10">
        <v>2.3324482328720647E-5</v>
      </c>
      <c r="S4790" s="10">
        <v>1.3032904735251266E-4</v>
      </c>
      <c r="T4790" s="10">
        <v>4.9624666898983578E-5</v>
      </c>
      <c r="U4790" s="10">
        <v>7.975E-5</v>
      </c>
      <c r="V4790" s="25"/>
      <c r="W4790" s="25"/>
      <c r="X4790" s="25"/>
      <c r="Y4790" s="25"/>
      <c r="Z4790" s="25"/>
      <c r="AA4790" s="25"/>
    </row>
    <row r="4791" spans="1:27" x14ac:dyDescent="0.35">
      <c r="A4791" s="5">
        <v>4787</v>
      </c>
      <c r="B4791" s="5">
        <v>200</v>
      </c>
      <c r="C4791" s="5">
        <v>7</v>
      </c>
      <c r="D4791" s="25">
        <v>1.1416E-4</v>
      </c>
      <c r="E4791" s="25">
        <v>1.1608E-4</v>
      </c>
      <c r="F4791" s="25">
        <v>1.3231000000000001E-4</v>
      </c>
      <c r="G4791" s="25">
        <v>1.6048000000000001E-4</v>
      </c>
      <c r="H4791" s="25">
        <v>1.9097999999999999E-4</v>
      </c>
      <c r="I4791" s="9">
        <v>1.1875999999999999E-4</v>
      </c>
      <c r="J4791" s="9">
        <v>1.2799999999999999E-4</v>
      </c>
      <c r="K4791" s="9">
        <v>0</v>
      </c>
      <c r="L4791" s="9">
        <v>1.7420000000000001E-4</v>
      </c>
      <c r="M4791" s="9">
        <v>1.7241000000000001E-4</v>
      </c>
      <c r="N4791" s="9">
        <v>1.4285E-4</v>
      </c>
      <c r="O4791" s="9">
        <v>1.6421E-4</v>
      </c>
      <c r="P4791" s="9">
        <v>1.7113E-4</v>
      </c>
      <c r="Q4791" s="9">
        <v>1.7775000000000001E-4</v>
      </c>
      <c r="R4791" s="10">
        <v>2.9150918570417596E-5</v>
      </c>
      <c r="S4791" s="10">
        <v>1.1381145910418426E-4</v>
      </c>
      <c r="T4791" s="10">
        <v>6.1027565225575129E-5</v>
      </c>
      <c r="U4791" s="10">
        <v>7.975E-5</v>
      </c>
      <c r="V4791" s="25"/>
      <c r="W4791" s="25"/>
      <c r="X4791" s="25"/>
      <c r="Y4791" s="25"/>
      <c r="Z4791" s="25"/>
      <c r="AA4791" s="25"/>
    </row>
    <row r="4792" spans="1:27" x14ac:dyDescent="0.35">
      <c r="A4792" s="5">
        <v>4788</v>
      </c>
      <c r="B4792" s="5">
        <v>200</v>
      </c>
      <c r="C4792" s="5">
        <v>7</v>
      </c>
      <c r="D4792" s="25">
        <v>1.1415000000000001E-4</v>
      </c>
      <c r="E4792" s="25">
        <v>1.154E-4</v>
      </c>
      <c r="F4792" s="25">
        <v>1.4061999999999999E-4</v>
      </c>
      <c r="G4792" s="25">
        <v>1.6636999999999999E-4</v>
      </c>
      <c r="H4792" s="25">
        <v>1.9488E-4</v>
      </c>
      <c r="I4792" s="9">
        <v>1.1681E-4</v>
      </c>
      <c r="J4792" s="9">
        <v>1.2731E-4</v>
      </c>
      <c r="K4792" s="9">
        <v>0</v>
      </c>
      <c r="L4792" s="9">
        <v>1.6780000000000001E-4</v>
      </c>
      <c r="M4792" s="9">
        <v>1.7431E-4</v>
      </c>
      <c r="N4792" s="9">
        <v>1.5647E-4</v>
      </c>
      <c r="O4792" s="9">
        <v>1.6993999999999999E-4</v>
      </c>
      <c r="P4792" s="9">
        <v>1.729E-4</v>
      </c>
      <c r="Q4792" s="9">
        <v>1.7558999999999999E-4</v>
      </c>
      <c r="R4792" s="10">
        <v>2.4106690365315678E-5</v>
      </c>
      <c r="S4792" s="10">
        <v>1.0078199766515708E-4</v>
      </c>
      <c r="T4792" s="10">
        <v>1.7246035289034695E-4</v>
      </c>
      <c r="U4792" s="10">
        <v>7.975E-5</v>
      </c>
      <c r="V4792" s="25"/>
      <c r="W4792" s="25"/>
      <c r="X4792" s="25"/>
      <c r="Y4792" s="25"/>
      <c r="Z4792" s="25"/>
      <c r="AA4792" s="25"/>
    </row>
    <row r="4793" spans="1:27" x14ac:dyDescent="0.35">
      <c r="A4793" s="5">
        <v>4789</v>
      </c>
      <c r="B4793" s="5">
        <v>200</v>
      </c>
      <c r="C4793" s="5">
        <v>7</v>
      </c>
      <c r="D4793" s="25">
        <v>1.1416E-4</v>
      </c>
      <c r="E4793" s="25">
        <v>1.1111E-4</v>
      </c>
      <c r="F4793" s="25">
        <v>1.3742999999999999E-4</v>
      </c>
      <c r="G4793" s="25">
        <v>1.5954000000000001E-4</v>
      </c>
      <c r="H4793" s="25">
        <v>1.9217E-4</v>
      </c>
      <c r="I4793" s="9">
        <v>1.1608E-4</v>
      </c>
      <c r="J4793" s="9">
        <v>1.2799999999999999E-4</v>
      </c>
      <c r="K4793" s="9">
        <v>0</v>
      </c>
      <c r="L4793" s="9">
        <v>1.6967999999999999E-4</v>
      </c>
      <c r="M4793" s="9">
        <v>1.7378000000000001E-4</v>
      </c>
      <c r="N4793" s="9">
        <v>1.6623000000000001E-4</v>
      </c>
      <c r="O4793" s="9">
        <v>1.5898E-4</v>
      </c>
      <c r="P4793" s="9">
        <v>1.6259E-4</v>
      </c>
      <c r="Q4793" s="9">
        <v>1.6595999999999999E-4</v>
      </c>
      <c r="R4793" s="10">
        <v>3.3788242664307142E-5</v>
      </c>
      <c r="S4793" s="10">
        <v>7.6663870306958805E-5</v>
      </c>
      <c r="T4793" s="10">
        <v>1.9158396362556817E-4</v>
      </c>
      <c r="U4793" s="10">
        <v>7.975E-5</v>
      </c>
      <c r="V4793" s="25"/>
      <c r="W4793" s="25"/>
      <c r="X4793" s="25"/>
      <c r="Y4793" s="25"/>
      <c r="Z4793" s="25"/>
      <c r="AA4793" s="25"/>
    </row>
    <row r="4794" spans="1:27" x14ac:dyDescent="0.35">
      <c r="A4794" s="5">
        <v>4790</v>
      </c>
      <c r="B4794" s="5">
        <v>200</v>
      </c>
      <c r="C4794" s="5">
        <v>7</v>
      </c>
      <c r="D4794" s="25">
        <v>1.1415000000000001E-4</v>
      </c>
      <c r="E4794" s="25">
        <v>1.0673E-4</v>
      </c>
      <c r="F4794" s="25">
        <v>1.3839000000000001E-4</v>
      </c>
      <c r="G4794" s="25">
        <v>1.6117E-4</v>
      </c>
      <c r="H4794" s="25">
        <v>1.9511999999999999E-4</v>
      </c>
      <c r="I4794" s="9">
        <v>1.1557000000000001E-4</v>
      </c>
      <c r="J4794" s="9">
        <v>1.2657E-4</v>
      </c>
      <c r="K4794" s="9">
        <v>0</v>
      </c>
      <c r="L4794" s="9">
        <v>1.6102999999999999E-4</v>
      </c>
      <c r="M4794" s="9">
        <v>1.6961999999999999E-4</v>
      </c>
      <c r="N4794" s="9">
        <v>1.7023E-4</v>
      </c>
      <c r="O4794" s="9">
        <v>1.7582000000000001E-4</v>
      </c>
      <c r="P4794" s="9">
        <v>1.6794999999999999E-4</v>
      </c>
      <c r="Q4794" s="9">
        <v>1.5996000000000001E-4</v>
      </c>
      <c r="R4794" s="10">
        <v>4.5679468427928588E-5</v>
      </c>
      <c r="S4794" s="10">
        <v>6.8658611058456349E-5</v>
      </c>
      <c r="T4794" s="10">
        <v>4.2398589142467202E-4</v>
      </c>
      <c r="U4794" s="10">
        <v>7.975E-5</v>
      </c>
      <c r="V4794" s="25"/>
      <c r="W4794" s="25"/>
      <c r="X4794" s="25"/>
      <c r="Y4794" s="25"/>
      <c r="Z4794" s="25"/>
      <c r="AA4794" s="25"/>
    </row>
    <row r="4795" spans="1:27" x14ac:dyDescent="0.35">
      <c r="A4795" s="5">
        <v>4791</v>
      </c>
      <c r="B4795" s="5">
        <v>200</v>
      </c>
      <c r="C4795" s="5">
        <v>7</v>
      </c>
      <c r="D4795" s="25">
        <v>1.1416E-4</v>
      </c>
      <c r="E4795" s="25">
        <v>1.0734999999999999E-4</v>
      </c>
      <c r="F4795" s="25">
        <v>1.3217E-4</v>
      </c>
      <c r="G4795" s="25">
        <v>1.6448E-4</v>
      </c>
      <c r="H4795" s="25">
        <v>1.9887999999999999E-4</v>
      </c>
      <c r="I4795" s="9">
        <v>1.1566E-4</v>
      </c>
      <c r="J4795" s="9">
        <v>1.2641E-4</v>
      </c>
      <c r="K4795" s="9">
        <v>0</v>
      </c>
      <c r="L4795" s="9">
        <v>1.7276999999999999E-4</v>
      </c>
      <c r="M4795" s="9">
        <v>1.6782E-4</v>
      </c>
      <c r="N4795" s="9">
        <v>1.6956999999999999E-4</v>
      </c>
      <c r="O4795" s="9">
        <v>1.816E-4</v>
      </c>
      <c r="P4795" s="9">
        <v>1.6694999999999999E-4</v>
      </c>
      <c r="Q4795" s="9">
        <v>1.5228E-4</v>
      </c>
      <c r="R4795" s="10">
        <v>6.5999876651350528E-5</v>
      </c>
      <c r="S4795" s="10">
        <v>8.8052401648037329E-5</v>
      </c>
      <c r="T4795" s="10">
        <v>3.0756433574201635E-4</v>
      </c>
      <c r="U4795" s="10">
        <v>7.975E-5</v>
      </c>
      <c r="V4795" s="25"/>
      <c r="W4795" s="25"/>
      <c r="X4795" s="25"/>
      <c r="Y4795" s="25"/>
      <c r="Z4795" s="25"/>
      <c r="AA4795" s="25"/>
    </row>
    <row r="4796" spans="1:27" x14ac:dyDescent="0.35">
      <c r="A4796" s="5">
        <v>4792</v>
      </c>
      <c r="B4796" s="5">
        <v>200</v>
      </c>
      <c r="C4796" s="5">
        <v>7</v>
      </c>
      <c r="D4796" s="25">
        <v>1.1415000000000001E-4</v>
      </c>
      <c r="E4796" s="25">
        <v>1.1705999999999999E-4</v>
      </c>
      <c r="F4796" s="25">
        <v>1.3886000000000001E-4</v>
      </c>
      <c r="G4796" s="25">
        <v>1.5797000000000001E-4</v>
      </c>
      <c r="H4796" s="25">
        <v>1.9422999999999999E-4</v>
      </c>
      <c r="I4796" s="9">
        <v>1.1649E-4</v>
      </c>
      <c r="J4796" s="9">
        <v>1.2588000000000001E-4</v>
      </c>
      <c r="K4796" s="9">
        <v>0</v>
      </c>
      <c r="L4796" s="9">
        <v>1.7937000000000001E-4</v>
      </c>
      <c r="M4796" s="9">
        <v>1.6713000000000001E-4</v>
      </c>
      <c r="N4796" s="9">
        <v>1.6567E-4</v>
      </c>
      <c r="O4796" s="9">
        <v>1.9656E-4</v>
      </c>
      <c r="P4796" s="9">
        <v>1.5326000000000001E-4</v>
      </c>
      <c r="Q4796" s="9">
        <v>1.1034E-4</v>
      </c>
      <c r="R4796" s="10">
        <v>1.046908970313603E-4</v>
      </c>
      <c r="S4796" s="10">
        <v>1.0432084568576865E-4</v>
      </c>
      <c r="T4796" s="10">
        <v>3.7211288519790062E-4</v>
      </c>
      <c r="U4796" s="10">
        <v>7.975E-5</v>
      </c>
      <c r="V4796" s="25"/>
      <c r="W4796" s="25"/>
      <c r="X4796" s="25"/>
      <c r="Y4796" s="25"/>
      <c r="Z4796" s="25"/>
      <c r="AA4796" s="25"/>
    </row>
    <row r="4797" spans="1:27" x14ac:dyDescent="0.35">
      <c r="A4797" s="5">
        <v>4793</v>
      </c>
      <c r="B4797" s="5">
        <v>200</v>
      </c>
      <c r="C4797" s="5">
        <v>7</v>
      </c>
      <c r="D4797" s="25">
        <v>1.1416E-4</v>
      </c>
      <c r="E4797" s="25">
        <v>1.1099000000000001E-4</v>
      </c>
      <c r="F4797" s="25">
        <v>1.2748999999999999E-4</v>
      </c>
      <c r="G4797" s="25">
        <v>1.6265999999999999E-4</v>
      </c>
      <c r="H4797" s="25">
        <v>2.0013999999999999E-4</v>
      </c>
      <c r="I4797" s="9">
        <v>1.1674E-4</v>
      </c>
      <c r="J4797" s="9">
        <v>1.2643999999999999E-4</v>
      </c>
      <c r="K4797" s="9">
        <v>0</v>
      </c>
      <c r="L4797" s="9">
        <v>1.9253E-4</v>
      </c>
      <c r="M4797" s="9">
        <v>1.6207999999999999E-4</v>
      </c>
      <c r="N4797" s="9">
        <v>1.5218E-4</v>
      </c>
      <c r="O4797" s="9">
        <v>2.1303000000000001E-4</v>
      </c>
      <c r="P4797" s="9">
        <v>1.6013E-4</v>
      </c>
      <c r="Q4797" s="9">
        <v>1.0771E-4</v>
      </c>
      <c r="R4797" s="10">
        <v>1.4620639457393263E-4</v>
      </c>
      <c r="S4797" s="10">
        <v>1.326088036968487E-4</v>
      </c>
      <c r="T4797" s="10">
        <v>3.3371294633915559E-4</v>
      </c>
      <c r="U4797" s="10">
        <v>7.975E-5</v>
      </c>
      <c r="V4797" s="25"/>
      <c r="W4797" s="25"/>
      <c r="X4797" s="25"/>
      <c r="Y4797" s="25"/>
      <c r="Z4797" s="25"/>
      <c r="AA4797" s="25"/>
    </row>
    <row r="4798" spans="1:27" x14ac:dyDescent="0.35">
      <c r="A4798" s="5">
        <v>4794</v>
      </c>
      <c r="B4798" s="5">
        <v>200</v>
      </c>
      <c r="C4798" s="5">
        <v>7</v>
      </c>
      <c r="D4798" s="25">
        <v>1.1415000000000001E-4</v>
      </c>
      <c r="E4798" s="25">
        <v>1.0904999999999999E-4</v>
      </c>
      <c r="F4798" s="25">
        <v>1.3457000000000001E-4</v>
      </c>
      <c r="G4798" s="25">
        <v>1.6411E-4</v>
      </c>
      <c r="H4798" s="25">
        <v>1.9902E-4</v>
      </c>
      <c r="I4798" s="9">
        <v>1.1532E-4</v>
      </c>
      <c r="J4798" s="9">
        <v>1.2274000000000001E-4</v>
      </c>
      <c r="K4798" s="9">
        <v>0</v>
      </c>
      <c r="L4798" s="9">
        <v>2.0824999999999999E-4</v>
      </c>
      <c r="M4798" s="9">
        <v>1.5998999999999999E-4</v>
      </c>
      <c r="N4798" s="9">
        <v>1.3899999999999999E-4</v>
      </c>
      <c r="O4798" s="9">
        <v>2.0379E-4</v>
      </c>
      <c r="P4798" s="9">
        <v>1.6065E-4</v>
      </c>
      <c r="Q4798" s="9">
        <v>1.1786999999999999E-4</v>
      </c>
      <c r="R4798" s="10">
        <v>1.6813936402611972E-4</v>
      </c>
      <c r="S4798" s="10">
        <v>1.6025745309449654E-4</v>
      </c>
      <c r="T4798" s="10">
        <v>1.6574078780503407E-4</v>
      </c>
      <c r="U4798" s="10">
        <v>7.975E-5</v>
      </c>
      <c r="V4798" s="25"/>
      <c r="W4798" s="25"/>
      <c r="X4798" s="25"/>
      <c r="Y4798" s="25"/>
      <c r="Z4798" s="25"/>
      <c r="AA4798" s="25"/>
    </row>
    <row r="4799" spans="1:27" x14ac:dyDescent="0.35">
      <c r="A4799" s="5">
        <v>4795</v>
      </c>
      <c r="B4799" s="5">
        <v>200</v>
      </c>
      <c r="C4799" s="5">
        <v>7</v>
      </c>
      <c r="D4799" s="25">
        <v>1.1416E-4</v>
      </c>
      <c r="E4799" s="25">
        <v>1.066E-4</v>
      </c>
      <c r="F4799" s="25">
        <v>1.3870000000000001E-4</v>
      </c>
      <c r="G4799" s="25">
        <v>1.0828E-4</v>
      </c>
      <c r="H4799" s="25">
        <v>1.3496E-4</v>
      </c>
      <c r="I4799" s="9">
        <v>1.117E-4</v>
      </c>
      <c r="J4799" s="9">
        <v>1.2044000000000001E-4</v>
      </c>
      <c r="K4799" s="9">
        <v>0</v>
      </c>
      <c r="L4799" s="9">
        <v>2.0437E-4</v>
      </c>
      <c r="M4799" s="9">
        <v>1.5982E-4</v>
      </c>
      <c r="N4799" s="9">
        <v>1.3008E-4</v>
      </c>
      <c r="O4799" s="9">
        <v>1.6139999999999999E-4</v>
      </c>
      <c r="P4799" s="9">
        <v>1.3359E-4</v>
      </c>
      <c r="Q4799" s="9">
        <v>1.0603E-4</v>
      </c>
      <c r="R4799" s="10">
        <v>1.7758244666982E-4</v>
      </c>
      <c r="S4799" s="10">
        <v>1.5521805740866375E-4</v>
      </c>
      <c r="T4799" s="10">
        <v>3.4887438927786024E-5</v>
      </c>
      <c r="U4799" s="10">
        <v>7.975E-5</v>
      </c>
      <c r="V4799" s="25"/>
      <c r="W4799" s="25"/>
      <c r="X4799" s="25"/>
      <c r="Y4799" s="25"/>
      <c r="Z4799" s="25"/>
      <c r="AA4799" s="25"/>
    </row>
    <row r="4800" spans="1:27" x14ac:dyDescent="0.35">
      <c r="A4800" s="5">
        <v>4796</v>
      </c>
      <c r="B4800" s="5">
        <v>200</v>
      </c>
      <c r="C4800" s="5">
        <v>7</v>
      </c>
      <c r="D4800" s="25">
        <v>1.1415000000000001E-4</v>
      </c>
      <c r="E4800" s="25">
        <v>1.0825E-4</v>
      </c>
      <c r="F4800" s="25">
        <v>1.3051E-4</v>
      </c>
      <c r="G4800" s="25">
        <v>1.0779E-4</v>
      </c>
      <c r="H4800" s="25">
        <v>1.3279000000000001E-4</v>
      </c>
      <c r="I4800" s="9">
        <v>1.0802999999999999E-4</v>
      </c>
      <c r="J4800" s="9">
        <v>1.1768E-4</v>
      </c>
      <c r="K4800" s="9">
        <v>0</v>
      </c>
      <c r="L4800" s="9">
        <v>1.7103999999999999E-4</v>
      </c>
      <c r="M4800" s="9">
        <v>1.5048000000000001E-4</v>
      </c>
      <c r="N4800" s="9">
        <v>1.208E-4</v>
      </c>
      <c r="O4800" s="9">
        <v>1.2815E-4</v>
      </c>
      <c r="P4800" s="9">
        <v>1.1504E-4</v>
      </c>
      <c r="Q4800" s="9">
        <v>1.0205E-4</v>
      </c>
      <c r="R4800" s="10">
        <v>1.6315241199458093E-4</v>
      </c>
      <c r="S4800" s="10">
        <v>1.4224780658387927E-4</v>
      </c>
      <c r="T4800" s="10">
        <v>8.3740034585906626E-6</v>
      </c>
      <c r="U4800" s="10">
        <v>7.975E-5</v>
      </c>
      <c r="V4800" s="25"/>
      <c r="W4800" s="25"/>
      <c r="X4800" s="25"/>
      <c r="Y4800" s="25"/>
      <c r="Z4800" s="25"/>
      <c r="AA4800" s="25"/>
    </row>
    <row r="4801" spans="1:27" x14ac:dyDescent="0.35">
      <c r="A4801" s="5">
        <v>4797</v>
      </c>
      <c r="B4801" s="5">
        <v>200</v>
      </c>
      <c r="C4801" s="5">
        <v>7</v>
      </c>
      <c r="D4801" s="25">
        <v>1.1416E-4</v>
      </c>
      <c r="E4801" s="25">
        <v>1.0774E-4</v>
      </c>
      <c r="F4801" s="25">
        <v>1.2967E-4</v>
      </c>
      <c r="G4801" s="25">
        <v>5.9929999999999997E-5</v>
      </c>
      <c r="H4801" s="25">
        <v>7.2290000000000001E-5</v>
      </c>
      <c r="I4801" s="9">
        <v>1.0506E-4</v>
      </c>
      <c r="J4801" s="9">
        <v>1.1434000000000001E-4</v>
      </c>
      <c r="K4801" s="9">
        <v>0</v>
      </c>
      <c r="L4801" s="9">
        <v>1.3861E-4</v>
      </c>
      <c r="M4801" s="9">
        <v>1.351E-4</v>
      </c>
      <c r="N4801" s="9">
        <v>1.1318E-4</v>
      </c>
      <c r="O4801" s="9">
        <v>8.4709999999999994E-5</v>
      </c>
      <c r="P4801" s="9">
        <v>8.6689999999999998E-5</v>
      </c>
      <c r="Q4801" s="9">
        <v>8.8700000000000001E-5</v>
      </c>
      <c r="R4801" s="10">
        <v>1.6239601333565003E-4</v>
      </c>
      <c r="S4801" s="10">
        <v>1.2674780222851788E-4</v>
      </c>
      <c r="T4801" s="10">
        <v>0</v>
      </c>
      <c r="U4801" s="10">
        <v>7.975E-5</v>
      </c>
      <c r="V4801" s="25"/>
      <c r="W4801" s="25"/>
      <c r="X4801" s="25"/>
      <c r="Y4801" s="25"/>
      <c r="Z4801" s="25"/>
      <c r="AA4801" s="25"/>
    </row>
    <row r="4802" spans="1:27" x14ac:dyDescent="0.35">
      <c r="A4802" s="5">
        <v>4798</v>
      </c>
      <c r="B4802" s="5">
        <v>200</v>
      </c>
      <c r="C4802" s="5">
        <v>7</v>
      </c>
      <c r="D4802" s="25">
        <v>1.1415000000000001E-4</v>
      </c>
      <c r="E4802" s="25">
        <v>1.1281E-4</v>
      </c>
      <c r="F4802" s="25">
        <v>1.3018E-4</v>
      </c>
      <c r="G4802" s="25">
        <v>6.0919999999999999E-5</v>
      </c>
      <c r="H4802" s="25">
        <v>6.8510000000000006E-5</v>
      </c>
      <c r="I4802" s="9">
        <v>1.0904999999999999E-4</v>
      </c>
      <c r="J4802" s="9">
        <v>1.1438E-4</v>
      </c>
      <c r="K4802" s="9">
        <v>0</v>
      </c>
      <c r="L4802" s="9">
        <v>9.7440000000000002E-5</v>
      </c>
      <c r="M4802" s="9">
        <v>1.1374000000000001E-4</v>
      </c>
      <c r="N4802" s="9">
        <v>1.0566E-4</v>
      </c>
      <c r="O4802" s="9">
        <v>8.7379999999999993E-5</v>
      </c>
      <c r="P4802" s="9">
        <v>8.7990000000000003E-5</v>
      </c>
      <c r="Q4802" s="9">
        <v>8.8640000000000005E-5</v>
      </c>
      <c r="R4802" s="10">
        <v>1.5533607739882547E-4</v>
      </c>
      <c r="S4802" s="10">
        <v>1.1214882372363583E-4</v>
      </c>
      <c r="T4802" s="10">
        <v>0</v>
      </c>
      <c r="U4802" s="10">
        <v>7.975E-5</v>
      </c>
      <c r="V4802" s="25"/>
      <c r="W4802" s="25"/>
      <c r="X4802" s="25"/>
      <c r="Y4802" s="25"/>
      <c r="Z4802" s="25"/>
      <c r="AA4802" s="25"/>
    </row>
    <row r="4803" spans="1:27" x14ac:dyDescent="0.35">
      <c r="A4803" s="5">
        <v>4799</v>
      </c>
      <c r="B4803" s="5">
        <v>200</v>
      </c>
      <c r="C4803" s="5">
        <v>7</v>
      </c>
      <c r="D4803" s="25">
        <v>1.1416E-4</v>
      </c>
      <c r="E4803" s="25">
        <v>1.0747E-4</v>
      </c>
      <c r="F4803" s="25">
        <v>1.4160999999999999E-4</v>
      </c>
      <c r="G4803" s="25">
        <v>6.0829999999999999E-5</v>
      </c>
      <c r="H4803" s="25">
        <v>7.2869999999999999E-5</v>
      </c>
      <c r="I4803" s="9">
        <v>1.0491E-4</v>
      </c>
      <c r="J4803" s="9">
        <v>1.0942000000000001E-4</v>
      </c>
      <c r="K4803" s="9">
        <v>0</v>
      </c>
      <c r="L4803" s="9">
        <v>9.0500000000000004E-5</v>
      </c>
      <c r="M4803" s="9">
        <v>9.925E-5</v>
      </c>
      <c r="N4803" s="9">
        <v>9.9920000000000006E-5</v>
      </c>
      <c r="O4803" s="9">
        <v>7.7739999999999998E-5</v>
      </c>
      <c r="P4803" s="9">
        <v>7.2319999999999999E-5</v>
      </c>
      <c r="Q4803" s="9">
        <v>6.7059999999999998E-5</v>
      </c>
      <c r="R4803" s="10">
        <v>1.1695095179338363E-4</v>
      </c>
      <c r="S4803" s="10">
        <v>1.1110736828197842E-4</v>
      </c>
      <c r="T4803" s="10">
        <v>0</v>
      </c>
      <c r="U4803" s="10">
        <v>7.975E-5</v>
      </c>
      <c r="V4803" s="25"/>
      <c r="W4803" s="25"/>
      <c r="X4803" s="25"/>
      <c r="Y4803" s="25"/>
      <c r="Z4803" s="25"/>
      <c r="AA4803" s="25"/>
    </row>
    <row r="4804" spans="1:27" x14ac:dyDescent="0.35">
      <c r="A4804" s="5">
        <v>4800</v>
      </c>
      <c r="B4804" s="5">
        <v>200</v>
      </c>
      <c r="C4804" s="5">
        <v>7</v>
      </c>
      <c r="D4804" s="25">
        <v>1.1415000000000001E-4</v>
      </c>
      <c r="E4804" s="25">
        <v>1.1437E-4</v>
      </c>
      <c r="F4804" s="25">
        <v>1.3229E-4</v>
      </c>
      <c r="G4804" s="25">
        <v>6.0850000000000002E-5</v>
      </c>
      <c r="H4804" s="25">
        <v>6.4999999999999994E-5</v>
      </c>
      <c r="I4804" s="9">
        <v>9.8120000000000002E-5</v>
      </c>
      <c r="J4804" s="9">
        <v>1.0121E-4</v>
      </c>
      <c r="K4804" s="9">
        <v>0</v>
      </c>
      <c r="L4804" s="9">
        <v>8.0539999999999998E-5</v>
      </c>
      <c r="M4804" s="9">
        <v>8.6360000000000007E-5</v>
      </c>
      <c r="N4804" s="9">
        <v>9.0680000000000006E-5</v>
      </c>
      <c r="O4804" s="9">
        <v>6.3079999999999999E-5</v>
      </c>
      <c r="P4804" s="9">
        <v>6.1099999999999994E-5</v>
      </c>
      <c r="Q4804" s="9">
        <v>5.927E-5</v>
      </c>
      <c r="R4804" s="10">
        <v>7.8942492517872532E-5</v>
      </c>
      <c r="S4804" s="10">
        <v>1.1277906959044292E-4</v>
      </c>
      <c r="T4804" s="10">
        <v>0</v>
      </c>
      <c r="U4804" s="10">
        <v>7.975E-5</v>
      </c>
      <c r="V4804" s="25"/>
      <c r="W4804" s="25"/>
      <c r="X4804" s="25"/>
      <c r="Y4804" s="25"/>
      <c r="Z4804" s="25"/>
      <c r="AA4804" s="25"/>
    </row>
    <row r="4805" spans="1:27" x14ac:dyDescent="0.35">
      <c r="A4805" s="5">
        <v>4801</v>
      </c>
      <c r="B4805" s="5">
        <v>201</v>
      </c>
      <c r="C4805" s="5">
        <v>7</v>
      </c>
      <c r="D4805" s="25">
        <v>1.1416E-4</v>
      </c>
      <c r="E4805" s="25">
        <v>1.1838E-4</v>
      </c>
      <c r="F4805" s="25">
        <v>1.2988999999999999E-4</v>
      </c>
      <c r="G4805" s="25">
        <v>5.3909999999999997E-5</v>
      </c>
      <c r="H4805" s="25">
        <v>7.1649999999999993E-5</v>
      </c>
      <c r="I4805" s="9">
        <v>9.3679999999999998E-5</v>
      </c>
      <c r="J4805" s="9">
        <v>9.6150000000000006E-5</v>
      </c>
      <c r="K4805" s="9">
        <v>0</v>
      </c>
      <c r="L4805" s="9">
        <v>6.6929999999999998E-5</v>
      </c>
      <c r="M4805" s="9">
        <v>7.4300000000000004E-5</v>
      </c>
      <c r="N4805" s="9">
        <v>8.1379999999999997E-5</v>
      </c>
      <c r="O4805" s="9">
        <v>5.469E-5</v>
      </c>
      <c r="P4805" s="9">
        <v>5.41E-5</v>
      </c>
      <c r="Q4805" s="9">
        <v>5.3680000000000001E-5</v>
      </c>
      <c r="R4805" s="10">
        <v>5.3640501148236639E-5</v>
      </c>
      <c r="S4805" s="10">
        <v>1.0098996383994047E-4</v>
      </c>
      <c r="T4805" s="10">
        <v>0</v>
      </c>
      <c r="U4805" s="10">
        <v>7.975E-5</v>
      </c>
      <c r="V4805" s="25"/>
      <c r="W4805" s="25"/>
      <c r="X4805" s="25"/>
      <c r="Y4805" s="25"/>
      <c r="Z4805" s="25"/>
      <c r="AA4805" s="25"/>
    </row>
    <row r="4806" spans="1:27" x14ac:dyDescent="0.35">
      <c r="A4806" s="5">
        <v>4802</v>
      </c>
      <c r="B4806" s="5">
        <v>201</v>
      </c>
      <c r="C4806" s="5">
        <v>7</v>
      </c>
      <c r="D4806" s="25">
        <v>1.1415000000000001E-4</v>
      </c>
      <c r="E4806" s="25">
        <v>1.1229E-4</v>
      </c>
      <c r="F4806" s="25">
        <v>1.3630000000000001E-4</v>
      </c>
      <c r="G4806" s="25">
        <v>5.5000000000000002E-5</v>
      </c>
      <c r="H4806" s="25">
        <v>6.3579999999999998E-5</v>
      </c>
      <c r="I4806" s="9">
        <v>8.9950000000000004E-5</v>
      </c>
      <c r="J4806" s="9">
        <v>9.3629999999999996E-5</v>
      </c>
      <c r="K4806" s="9">
        <v>0</v>
      </c>
      <c r="L4806" s="9">
        <v>5.7750000000000001E-5</v>
      </c>
      <c r="M4806" s="9">
        <v>6.4170000000000004E-5</v>
      </c>
      <c r="N4806" s="9">
        <v>7.2310000000000004E-5</v>
      </c>
      <c r="O4806" s="9">
        <v>1.9179999999999999E-5</v>
      </c>
      <c r="P4806" s="9">
        <v>3.7530000000000002E-5</v>
      </c>
      <c r="Q4806" s="9">
        <v>5.5850000000000002E-5</v>
      </c>
      <c r="R4806" s="10">
        <v>3.7997674006610475E-5</v>
      </c>
      <c r="S4806" s="10">
        <v>8.5831341460577273E-5</v>
      </c>
      <c r="T4806" s="10">
        <v>0</v>
      </c>
      <c r="U4806" s="10">
        <v>7.975E-5</v>
      </c>
      <c r="V4806" s="25"/>
      <c r="W4806" s="25"/>
      <c r="X4806" s="25"/>
      <c r="Y4806" s="25"/>
      <c r="Z4806" s="25"/>
      <c r="AA4806" s="25"/>
    </row>
    <row r="4807" spans="1:27" x14ac:dyDescent="0.35">
      <c r="A4807" s="5">
        <v>4803</v>
      </c>
      <c r="B4807" s="5">
        <v>201</v>
      </c>
      <c r="C4807" s="5">
        <v>7</v>
      </c>
      <c r="D4807" s="25">
        <v>1.1416E-4</v>
      </c>
      <c r="E4807" s="25">
        <v>1.1179999999999999E-4</v>
      </c>
      <c r="F4807" s="25">
        <v>1.3104999999999999E-4</v>
      </c>
      <c r="G4807" s="25">
        <v>5.8470000000000001E-5</v>
      </c>
      <c r="H4807" s="25">
        <v>7.4419999999999996E-5</v>
      </c>
      <c r="I4807" s="9">
        <v>8.9220000000000003E-5</v>
      </c>
      <c r="J4807" s="9">
        <v>9.2499999999999999E-5</v>
      </c>
      <c r="K4807" s="9">
        <v>0</v>
      </c>
      <c r="L4807" s="9">
        <v>2.7869999999999999E-5</v>
      </c>
      <c r="M4807" s="9">
        <v>5.2259999999999998E-5</v>
      </c>
      <c r="N4807" s="9">
        <v>6.5629999999999993E-5</v>
      </c>
      <c r="O4807" s="9">
        <v>1.382E-5</v>
      </c>
      <c r="P4807" s="9">
        <v>3.7620000000000002E-5</v>
      </c>
      <c r="Q4807" s="9">
        <v>6.1320000000000002E-5</v>
      </c>
      <c r="R4807" s="10">
        <v>2.5180794185517584E-5</v>
      </c>
      <c r="S4807" s="10">
        <v>6.953535521472278E-5</v>
      </c>
      <c r="T4807" s="10">
        <v>0</v>
      </c>
      <c r="U4807" s="10">
        <v>7.975E-5</v>
      </c>
      <c r="V4807" s="25"/>
      <c r="W4807" s="25"/>
      <c r="X4807" s="25"/>
      <c r="Y4807" s="25"/>
      <c r="Z4807" s="25"/>
      <c r="AA4807" s="25"/>
    </row>
    <row r="4808" spans="1:27" x14ac:dyDescent="0.35">
      <c r="A4808" s="5">
        <v>4804</v>
      </c>
      <c r="B4808" s="5">
        <v>201</v>
      </c>
      <c r="C4808" s="5">
        <v>7</v>
      </c>
      <c r="D4808" s="25">
        <v>1.1415000000000001E-4</v>
      </c>
      <c r="E4808" s="25">
        <v>1.1569E-4</v>
      </c>
      <c r="F4808" s="25">
        <v>1.1894E-4</v>
      </c>
      <c r="G4808" s="25">
        <v>5.7200000000000001E-5</v>
      </c>
      <c r="H4808" s="25">
        <v>6.4049999999999998E-5</v>
      </c>
      <c r="I4808" s="9">
        <v>8.9229999999999998E-5</v>
      </c>
      <c r="J4808" s="9">
        <v>9.2730000000000002E-5</v>
      </c>
      <c r="K4808" s="9">
        <v>0</v>
      </c>
      <c r="L4808" s="9">
        <v>1.766E-5</v>
      </c>
      <c r="M4808" s="9">
        <v>4.4140000000000001E-5</v>
      </c>
      <c r="N4808" s="9">
        <v>6.1950000000000001E-5</v>
      </c>
      <c r="O4808" s="9">
        <v>1.402E-5</v>
      </c>
      <c r="P4808" s="9">
        <v>4.7670000000000003E-5</v>
      </c>
      <c r="Q4808" s="9">
        <v>8.1089999999999998E-5</v>
      </c>
      <c r="R4808" s="10">
        <v>2.2263865694738358E-5</v>
      </c>
      <c r="S4808" s="10">
        <v>5.6978369973486677E-5</v>
      </c>
      <c r="T4808" s="10">
        <v>0</v>
      </c>
      <c r="U4808" s="10">
        <v>7.975E-5</v>
      </c>
      <c r="V4808" s="25"/>
      <c r="W4808" s="25"/>
      <c r="X4808" s="25"/>
      <c r="Y4808" s="25"/>
      <c r="Z4808" s="25"/>
      <c r="AA4808" s="25"/>
    </row>
    <row r="4809" spans="1:27" x14ac:dyDescent="0.35">
      <c r="A4809" s="5">
        <v>4805</v>
      </c>
      <c r="B4809" s="5">
        <v>201</v>
      </c>
      <c r="C4809" s="5">
        <v>7</v>
      </c>
      <c r="D4809" s="25">
        <v>1.1416E-4</v>
      </c>
      <c r="E4809" s="25">
        <v>1.1373E-4</v>
      </c>
      <c r="F4809" s="25">
        <v>1.2370999999999999E-4</v>
      </c>
      <c r="G4809" s="25">
        <v>5.8060000000000003E-5</v>
      </c>
      <c r="H4809" s="25">
        <v>6.9029999999999995E-5</v>
      </c>
      <c r="I4809" s="9">
        <v>9.1299999999999997E-5</v>
      </c>
      <c r="J4809" s="9">
        <v>9.412E-5</v>
      </c>
      <c r="K4809" s="9">
        <v>0</v>
      </c>
      <c r="L4809" s="9">
        <v>1.506E-5</v>
      </c>
      <c r="M4809" s="9">
        <v>4.3590000000000001E-5</v>
      </c>
      <c r="N4809" s="9">
        <v>6.4599999999999998E-5</v>
      </c>
      <c r="O4809" s="9">
        <v>1.9340000000000001E-5</v>
      </c>
      <c r="P4809" s="9">
        <v>5.6780000000000002E-5</v>
      </c>
      <c r="Q4809" s="9">
        <v>9.3889999999999997E-5</v>
      </c>
      <c r="R4809" s="10">
        <v>2.2263664500512714E-5</v>
      </c>
      <c r="S4809" s="10">
        <v>4.0561161335917418E-5</v>
      </c>
      <c r="T4809" s="10">
        <v>0</v>
      </c>
      <c r="U4809" s="10">
        <v>7.975E-5</v>
      </c>
      <c r="V4809" s="25"/>
      <c r="W4809" s="25"/>
      <c r="X4809" s="25"/>
      <c r="Y4809" s="25"/>
      <c r="Z4809" s="25"/>
      <c r="AA4809" s="25"/>
    </row>
    <row r="4810" spans="1:27" x14ac:dyDescent="0.35">
      <c r="A4810" s="5">
        <v>4806</v>
      </c>
      <c r="B4810" s="5">
        <v>201</v>
      </c>
      <c r="C4810" s="5">
        <v>7</v>
      </c>
      <c r="D4810" s="25">
        <v>1.1415000000000001E-4</v>
      </c>
      <c r="E4810" s="25">
        <v>1.1745E-4</v>
      </c>
      <c r="F4810" s="25">
        <v>1.2587000000000001E-4</v>
      </c>
      <c r="G4810" s="25">
        <v>1.1128000000000001E-4</v>
      </c>
      <c r="H4810" s="25">
        <v>1.3164000000000001E-4</v>
      </c>
      <c r="I4810" s="9">
        <v>9.645E-5</v>
      </c>
      <c r="J4810" s="9">
        <v>1.009E-4</v>
      </c>
      <c r="K4810" s="9">
        <v>0</v>
      </c>
      <c r="L4810" s="9">
        <v>1.827E-5</v>
      </c>
      <c r="M4810" s="9">
        <v>4.8560000000000003E-5</v>
      </c>
      <c r="N4810" s="9">
        <v>7.1160000000000003E-5</v>
      </c>
      <c r="O4810" s="9">
        <v>4.6749999999999998E-5</v>
      </c>
      <c r="P4810" s="9">
        <v>7.7449999999999999E-5</v>
      </c>
      <c r="Q4810" s="9">
        <v>1.0784E-4</v>
      </c>
      <c r="R4810" s="10">
        <v>2.2958559619082675E-5</v>
      </c>
      <c r="S4810" s="10">
        <v>2.554497856653549E-5</v>
      </c>
      <c r="T4810" s="10">
        <v>3.9867722646319693E-5</v>
      </c>
      <c r="U4810" s="10">
        <v>7.975E-5</v>
      </c>
      <c r="V4810" s="25"/>
      <c r="W4810" s="25"/>
      <c r="X4810" s="25"/>
      <c r="Y4810" s="25"/>
      <c r="Z4810" s="25"/>
      <c r="AA4810" s="25"/>
    </row>
    <row r="4811" spans="1:27" x14ac:dyDescent="0.35">
      <c r="A4811" s="5">
        <v>4807</v>
      </c>
      <c r="B4811" s="5">
        <v>201</v>
      </c>
      <c r="C4811" s="5">
        <v>7</v>
      </c>
      <c r="D4811" s="25">
        <v>1.1416E-4</v>
      </c>
      <c r="E4811" s="25">
        <v>1.1744E-4</v>
      </c>
      <c r="F4811" s="25">
        <v>1.1801E-4</v>
      </c>
      <c r="G4811" s="25">
        <v>1.1145999999999999E-4</v>
      </c>
      <c r="H4811" s="25">
        <v>1.3598000000000001E-4</v>
      </c>
      <c r="I4811" s="9">
        <v>1.0553E-4</v>
      </c>
      <c r="J4811" s="9">
        <v>1.136E-4</v>
      </c>
      <c r="K4811" s="9">
        <v>0</v>
      </c>
      <c r="L4811" s="9">
        <v>4.0339999999999997E-5</v>
      </c>
      <c r="M4811" s="9">
        <v>6.0350000000000003E-5</v>
      </c>
      <c r="N4811" s="9">
        <v>8.1030000000000002E-5</v>
      </c>
      <c r="O4811" s="9">
        <v>1.2112000000000001E-4</v>
      </c>
      <c r="P4811" s="9">
        <v>1.1622E-4</v>
      </c>
      <c r="Q4811" s="9">
        <v>1.1133000000000001E-4</v>
      </c>
      <c r="R4811" s="10">
        <v>2.471008741527111E-5</v>
      </c>
      <c r="S4811" s="10">
        <v>1.7586654678873173E-5</v>
      </c>
      <c r="T4811" s="10">
        <v>1.4140781726882531E-4</v>
      </c>
      <c r="U4811" s="10">
        <v>7.975E-5</v>
      </c>
      <c r="V4811" s="25"/>
      <c r="W4811" s="25"/>
      <c r="X4811" s="25"/>
      <c r="Y4811" s="25"/>
      <c r="Z4811" s="25"/>
      <c r="AA4811" s="25"/>
    </row>
    <row r="4812" spans="1:27" x14ac:dyDescent="0.35">
      <c r="A4812" s="5">
        <v>4808</v>
      </c>
      <c r="B4812" s="5">
        <v>201</v>
      </c>
      <c r="C4812" s="5">
        <v>7</v>
      </c>
      <c r="D4812" s="25">
        <v>1.1415000000000001E-4</v>
      </c>
      <c r="E4812" s="25">
        <v>1.1341999999999999E-4</v>
      </c>
      <c r="F4812" s="25">
        <v>1.3407E-4</v>
      </c>
      <c r="G4812" s="25">
        <v>1.5616999999999999E-4</v>
      </c>
      <c r="H4812" s="25">
        <v>1.9977999999999999E-4</v>
      </c>
      <c r="I4812" s="9">
        <v>1.1275E-4</v>
      </c>
      <c r="J4812" s="9">
        <v>1.2420000000000001E-4</v>
      </c>
      <c r="K4812" s="9">
        <v>0</v>
      </c>
      <c r="L4812" s="9">
        <v>1.0273E-4</v>
      </c>
      <c r="M4812" s="9">
        <v>8.3499999999999997E-5</v>
      </c>
      <c r="N4812" s="9">
        <v>9.0859999999999994E-5</v>
      </c>
      <c r="O4812" s="9">
        <v>2.1765E-4</v>
      </c>
      <c r="P4812" s="9">
        <v>1.7709E-4</v>
      </c>
      <c r="Q4812" s="9">
        <v>1.3681000000000001E-4</v>
      </c>
      <c r="R4812" s="10">
        <v>1.8949302768064805E-5</v>
      </c>
      <c r="S4812" s="10">
        <v>1.3553545150338182E-5</v>
      </c>
      <c r="T4812" s="10">
        <v>3.2021442607307887E-4</v>
      </c>
      <c r="U4812" s="10">
        <v>7.975E-5</v>
      </c>
      <c r="V4812" s="25"/>
      <c r="W4812" s="25"/>
      <c r="X4812" s="25"/>
      <c r="Y4812" s="25"/>
      <c r="Z4812" s="25"/>
      <c r="AA4812" s="25"/>
    </row>
    <row r="4813" spans="1:27" x14ac:dyDescent="0.35">
      <c r="A4813" s="5">
        <v>4809</v>
      </c>
      <c r="B4813" s="5">
        <v>201</v>
      </c>
      <c r="C4813" s="5">
        <v>7</v>
      </c>
      <c r="D4813" s="25">
        <v>1.1416E-4</v>
      </c>
      <c r="E4813" s="25">
        <v>1.1188000000000001E-4</v>
      </c>
      <c r="F4813" s="25">
        <v>1.3647999999999999E-4</v>
      </c>
      <c r="G4813" s="25">
        <v>1.6039E-4</v>
      </c>
      <c r="H4813" s="25">
        <v>1.9275999999999999E-4</v>
      </c>
      <c r="I4813" s="9">
        <v>1.1633000000000001E-4</v>
      </c>
      <c r="J4813" s="9">
        <v>1.2936999999999999E-4</v>
      </c>
      <c r="K4813" s="9">
        <v>0</v>
      </c>
      <c r="L4813" s="9">
        <v>1.9065999999999999E-4</v>
      </c>
      <c r="M4813" s="9">
        <v>1.2317E-4</v>
      </c>
      <c r="N4813" s="9">
        <v>1.0461E-4</v>
      </c>
      <c r="O4813" s="9">
        <v>2.0723000000000001E-4</v>
      </c>
      <c r="P4813" s="9">
        <v>1.9122E-4</v>
      </c>
      <c r="Q4813" s="9">
        <v>1.7511999999999999E-4</v>
      </c>
      <c r="R4813" s="10">
        <v>1.3574930986840658E-5</v>
      </c>
      <c r="S4813" s="10">
        <v>9.014970579862566E-6</v>
      </c>
      <c r="T4813" s="10">
        <v>3.7062813281162565E-4</v>
      </c>
      <c r="U4813" s="10">
        <v>7.975E-5</v>
      </c>
      <c r="V4813" s="25"/>
      <c r="W4813" s="25"/>
      <c r="X4813" s="25"/>
      <c r="Y4813" s="25"/>
      <c r="Z4813" s="25"/>
      <c r="AA4813" s="25"/>
    </row>
    <row r="4814" spans="1:27" x14ac:dyDescent="0.35">
      <c r="A4814" s="5">
        <v>4810</v>
      </c>
      <c r="B4814" s="5">
        <v>201</v>
      </c>
      <c r="C4814" s="5">
        <v>7</v>
      </c>
      <c r="D4814" s="25">
        <v>1.1415000000000001E-4</v>
      </c>
      <c r="E4814" s="25">
        <v>1.1347E-4</v>
      </c>
      <c r="F4814" s="25">
        <v>1.1848E-4</v>
      </c>
      <c r="G4814" s="25">
        <v>1.6333999999999999E-4</v>
      </c>
      <c r="H4814" s="25">
        <v>1.9476000000000001E-4</v>
      </c>
      <c r="I4814" s="9">
        <v>1.1879000000000001E-4</v>
      </c>
      <c r="J4814" s="9">
        <v>1.3071E-4</v>
      </c>
      <c r="K4814" s="9">
        <v>0</v>
      </c>
      <c r="L4814" s="9">
        <v>2.0128E-4</v>
      </c>
      <c r="M4814" s="9">
        <v>1.5773999999999999E-4</v>
      </c>
      <c r="N4814" s="9">
        <v>1.2418999999999999E-4</v>
      </c>
      <c r="O4814" s="9">
        <v>1.6456000000000001E-4</v>
      </c>
      <c r="P4814" s="9">
        <v>1.7283000000000001E-4</v>
      </c>
      <c r="Q4814" s="9">
        <v>1.8077999999999999E-4</v>
      </c>
      <c r="R4814" s="10">
        <v>1.3846172524493433E-5</v>
      </c>
      <c r="S4814" s="10">
        <v>7.4594350899409535E-6</v>
      </c>
      <c r="T4814" s="10">
        <v>3.0897272943414001E-4</v>
      </c>
      <c r="U4814" s="10">
        <v>7.975E-5</v>
      </c>
      <c r="V4814" s="25"/>
      <c r="W4814" s="25"/>
      <c r="X4814" s="25"/>
      <c r="Y4814" s="25"/>
      <c r="Z4814" s="25"/>
      <c r="AA4814" s="25"/>
    </row>
    <row r="4815" spans="1:27" x14ac:dyDescent="0.35">
      <c r="A4815" s="5">
        <v>4811</v>
      </c>
      <c r="B4815" s="5">
        <v>201</v>
      </c>
      <c r="C4815" s="5">
        <v>7</v>
      </c>
      <c r="D4815" s="25">
        <v>1.1416E-4</v>
      </c>
      <c r="E4815" s="25">
        <v>1.1799E-4</v>
      </c>
      <c r="F4815" s="25">
        <v>1.3153000000000001E-4</v>
      </c>
      <c r="G4815" s="25">
        <v>1.6158000000000001E-4</v>
      </c>
      <c r="H4815" s="25">
        <v>1.9494E-4</v>
      </c>
      <c r="I4815" s="9">
        <v>1.2051E-4</v>
      </c>
      <c r="J4815" s="9">
        <v>1.3123E-4</v>
      </c>
      <c r="K4815" s="9">
        <v>0</v>
      </c>
      <c r="L4815" s="9">
        <v>1.7274E-4</v>
      </c>
      <c r="M4815" s="9">
        <v>1.7116000000000001E-4</v>
      </c>
      <c r="N4815" s="9">
        <v>1.4197E-4</v>
      </c>
      <c r="O4815" s="9">
        <v>1.6678999999999999E-4</v>
      </c>
      <c r="P4815" s="9">
        <v>1.7382000000000001E-4</v>
      </c>
      <c r="Q4815" s="9">
        <v>1.8054E-4</v>
      </c>
      <c r="R4815" s="10">
        <v>1.1928632484414301E-5</v>
      </c>
      <c r="S4815" s="10">
        <v>5.9569201286358649E-6</v>
      </c>
      <c r="T4815" s="10">
        <v>1.6177013570916734E-4</v>
      </c>
      <c r="U4815" s="10">
        <v>7.975E-5</v>
      </c>
      <c r="V4815" s="25"/>
      <c r="W4815" s="25"/>
      <c r="X4815" s="25"/>
      <c r="Y4815" s="25"/>
      <c r="Z4815" s="25"/>
      <c r="AA4815" s="25"/>
    </row>
    <row r="4816" spans="1:27" x14ac:dyDescent="0.35">
      <c r="A4816" s="5">
        <v>4812</v>
      </c>
      <c r="B4816" s="5">
        <v>201</v>
      </c>
      <c r="C4816" s="5">
        <v>7</v>
      </c>
      <c r="D4816" s="25">
        <v>1.1415000000000001E-4</v>
      </c>
      <c r="E4816" s="25">
        <v>1.1997000000000001E-4</v>
      </c>
      <c r="F4816" s="25">
        <v>1.3784999999999999E-4</v>
      </c>
      <c r="G4816" s="25">
        <v>1.6557E-4</v>
      </c>
      <c r="H4816" s="25">
        <v>1.9531999999999999E-4</v>
      </c>
      <c r="I4816" s="9">
        <v>1.1882E-4</v>
      </c>
      <c r="J4816" s="9">
        <v>1.3019999999999999E-4</v>
      </c>
      <c r="K4816" s="9">
        <v>0</v>
      </c>
      <c r="L4816" s="9">
        <v>1.6949000000000001E-4</v>
      </c>
      <c r="M4816" s="9">
        <v>1.7437E-4</v>
      </c>
      <c r="N4816" s="9">
        <v>1.563E-4</v>
      </c>
      <c r="O4816" s="9">
        <v>1.6929E-4</v>
      </c>
      <c r="P4816" s="9">
        <v>1.7223E-4</v>
      </c>
      <c r="Q4816" s="9">
        <v>1.7492000000000001E-4</v>
      </c>
      <c r="R4816" s="10">
        <v>6.0861959021089361E-6</v>
      </c>
      <c r="S4816" s="10">
        <v>3.1141350128339187E-6</v>
      </c>
      <c r="T4816" s="10">
        <v>2.641077544705864E-4</v>
      </c>
      <c r="U4816" s="10">
        <v>7.975E-5</v>
      </c>
      <c r="V4816" s="25"/>
      <c r="W4816" s="25"/>
      <c r="X4816" s="25"/>
      <c r="Y4816" s="25"/>
      <c r="Z4816" s="25"/>
      <c r="AA4816" s="25"/>
    </row>
    <row r="4817" spans="1:27" x14ac:dyDescent="0.35">
      <c r="A4817" s="5">
        <v>4813</v>
      </c>
      <c r="B4817" s="5">
        <v>201</v>
      </c>
      <c r="C4817" s="5">
        <v>7</v>
      </c>
      <c r="D4817" s="25">
        <v>1.1416E-4</v>
      </c>
      <c r="E4817" s="25">
        <v>1.1650999999999999E-4</v>
      </c>
      <c r="F4817" s="25">
        <v>1.2506E-4</v>
      </c>
      <c r="G4817" s="25">
        <v>1.6579E-4</v>
      </c>
      <c r="H4817" s="25">
        <v>1.9116000000000001E-4</v>
      </c>
      <c r="I4817" s="9">
        <v>1.1866000000000001E-4</v>
      </c>
      <c r="J4817" s="9">
        <v>1.3083999999999999E-4</v>
      </c>
      <c r="K4817" s="9">
        <v>0</v>
      </c>
      <c r="L4817" s="9">
        <v>1.6944E-4</v>
      </c>
      <c r="M4817" s="9">
        <v>1.7396999999999999E-4</v>
      </c>
      <c r="N4817" s="9">
        <v>1.6603000000000001E-4</v>
      </c>
      <c r="O4817" s="9">
        <v>1.5904E-4</v>
      </c>
      <c r="P4817" s="9">
        <v>1.6265E-4</v>
      </c>
      <c r="Q4817" s="9">
        <v>1.6603000000000001E-4</v>
      </c>
      <c r="R4817" s="10">
        <v>7.3804331415575674E-6</v>
      </c>
      <c r="S4817" s="10">
        <v>5.9851374079548208E-6</v>
      </c>
      <c r="T4817" s="10">
        <v>9.3658180526223246E-5</v>
      </c>
      <c r="U4817" s="10">
        <v>7.975E-5</v>
      </c>
      <c r="V4817" s="25"/>
      <c r="W4817" s="25"/>
      <c r="X4817" s="25"/>
      <c r="Y4817" s="25"/>
      <c r="Z4817" s="25"/>
      <c r="AA4817" s="25"/>
    </row>
    <row r="4818" spans="1:27" x14ac:dyDescent="0.35">
      <c r="A4818" s="5">
        <v>4814</v>
      </c>
      <c r="B4818" s="5">
        <v>201</v>
      </c>
      <c r="C4818" s="5">
        <v>7</v>
      </c>
      <c r="D4818" s="25">
        <v>1.1415000000000001E-4</v>
      </c>
      <c r="E4818" s="25">
        <v>1.1852E-4</v>
      </c>
      <c r="F4818" s="25">
        <v>1.1786999999999999E-4</v>
      </c>
      <c r="G4818" s="25">
        <v>1.6122E-4</v>
      </c>
      <c r="H4818" s="25">
        <v>1.8798999999999999E-4</v>
      </c>
      <c r="I4818" s="9">
        <v>1.1731E-4</v>
      </c>
      <c r="J4818" s="9">
        <v>1.3036999999999999E-4</v>
      </c>
      <c r="K4818" s="9">
        <v>4.0269999999999999E-5</v>
      </c>
      <c r="L4818" s="9">
        <v>1.6108E-4</v>
      </c>
      <c r="M4818" s="9">
        <v>1.6975000000000001E-4</v>
      </c>
      <c r="N4818" s="9">
        <v>1.7013E-4</v>
      </c>
      <c r="O4818" s="9">
        <v>1.7728000000000001E-4</v>
      </c>
      <c r="P4818" s="9">
        <v>1.6934E-4</v>
      </c>
      <c r="Q4818" s="9">
        <v>1.6129E-4</v>
      </c>
      <c r="R4818" s="10">
        <v>1.1555837253517574E-5</v>
      </c>
      <c r="S4818" s="10">
        <v>8.2527862840646149E-6</v>
      </c>
      <c r="T4818" s="10">
        <v>1.0152312602380536E-4</v>
      </c>
      <c r="U4818" s="10">
        <v>7.975E-5</v>
      </c>
      <c r="V4818" s="25"/>
      <c r="W4818" s="25"/>
      <c r="X4818" s="25"/>
      <c r="Y4818" s="25"/>
      <c r="Z4818" s="25"/>
      <c r="AA4818" s="25"/>
    </row>
    <row r="4819" spans="1:27" x14ac:dyDescent="0.35">
      <c r="A4819" s="5">
        <v>4815</v>
      </c>
      <c r="B4819" s="5">
        <v>201</v>
      </c>
      <c r="C4819" s="5">
        <v>7</v>
      </c>
      <c r="D4819" s="25">
        <v>1.1416E-4</v>
      </c>
      <c r="E4819" s="25">
        <v>1.1901E-4</v>
      </c>
      <c r="F4819" s="25">
        <v>1.2008E-4</v>
      </c>
      <c r="G4819" s="25">
        <v>1.6241000000000001E-4</v>
      </c>
      <c r="H4819" s="25">
        <v>1.9358999999999999E-4</v>
      </c>
      <c r="I4819" s="9">
        <v>1.1702E-4</v>
      </c>
      <c r="J4819" s="9">
        <v>1.3028000000000001E-4</v>
      </c>
      <c r="K4819" s="9">
        <v>3.6029999999999999E-5</v>
      </c>
      <c r="L4819" s="9">
        <v>1.7393000000000001E-4</v>
      </c>
      <c r="M4819" s="9">
        <v>1.6835999999999999E-4</v>
      </c>
      <c r="N4819" s="9">
        <v>1.6988999999999999E-4</v>
      </c>
      <c r="O4819" s="9">
        <v>1.8218999999999999E-4</v>
      </c>
      <c r="P4819" s="9">
        <v>1.6749000000000001E-4</v>
      </c>
      <c r="Q4819" s="9">
        <v>1.5278000000000001E-4</v>
      </c>
      <c r="R4819" s="10">
        <v>1.9038285304279282E-5</v>
      </c>
      <c r="S4819" s="10">
        <v>1.4705278216415764E-5</v>
      </c>
      <c r="T4819" s="10">
        <v>1.0383933974639426E-4</v>
      </c>
      <c r="U4819" s="10">
        <v>7.975E-5</v>
      </c>
      <c r="V4819" s="25"/>
      <c r="W4819" s="25"/>
      <c r="X4819" s="25"/>
      <c r="Y4819" s="25"/>
      <c r="Z4819" s="25"/>
      <c r="AA4819" s="25"/>
    </row>
    <row r="4820" spans="1:27" x14ac:dyDescent="0.35">
      <c r="A4820" s="5">
        <v>4816</v>
      </c>
      <c r="B4820" s="5">
        <v>201</v>
      </c>
      <c r="C4820" s="5">
        <v>7</v>
      </c>
      <c r="D4820" s="25">
        <v>1.1415000000000001E-4</v>
      </c>
      <c r="E4820" s="25">
        <v>1.2024E-4</v>
      </c>
      <c r="F4820" s="25">
        <v>1.3149E-4</v>
      </c>
      <c r="G4820" s="25">
        <v>1.6726999999999999E-4</v>
      </c>
      <c r="H4820" s="25">
        <v>2.0154E-4</v>
      </c>
      <c r="I4820" s="9">
        <v>1.1679E-4</v>
      </c>
      <c r="J4820" s="9">
        <v>1.2983E-4</v>
      </c>
      <c r="K4820" s="9">
        <v>0</v>
      </c>
      <c r="L4820" s="9">
        <v>1.8003999999999999E-4</v>
      </c>
      <c r="M4820" s="9">
        <v>1.6781000000000001E-4</v>
      </c>
      <c r="N4820" s="9">
        <v>1.6615E-4</v>
      </c>
      <c r="O4820" s="9">
        <v>1.9657E-4</v>
      </c>
      <c r="P4820" s="9">
        <v>1.5327E-4</v>
      </c>
      <c r="Q4820" s="9">
        <v>1.1035E-4</v>
      </c>
      <c r="R4820" s="10">
        <v>2.6328872659035805E-5</v>
      </c>
      <c r="S4820" s="10">
        <v>2.1765571400773664E-5</v>
      </c>
      <c r="T4820" s="10">
        <v>9.6839792782526691E-5</v>
      </c>
      <c r="U4820" s="10">
        <v>7.975E-5</v>
      </c>
      <c r="V4820" s="25"/>
      <c r="W4820" s="25"/>
      <c r="X4820" s="25"/>
      <c r="Y4820" s="25"/>
      <c r="Z4820" s="25"/>
      <c r="AA4820" s="25"/>
    </row>
    <row r="4821" spans="1:27" x14ac:dyDescent="0.35">
      <c r="A4821" s="5">
        <v>4817</v>
      </c>
      <c r="B4821" s="5">
        <v>201</v>
      </c>
      <c r="C4821" s="5">
        <v>7</v>
      </c>
      <c r="D4821" s="25">
        <v>1.1416E-4</v>
      </c>
      <c r="E4821" s="25">
        <v>1.1843E-4</v>
      </c>
      <c r="F4821" s="25">
        <v>1.2716999999999999E-4</v>
      </c>
      <c r="G4821" s="25">
        <v>1.6239E-4</v>
      </c>
      <c r="H4821" s="25">
        <v>2.0063000000000001E-4</v>
      </c>
      <c r="I4821" s="9">
        <v>1.1644E-4</v>
      </c>
      <c r="J4821" s="9">
        <v>1.305E-4</v>
      </c>
      <c r="K4821" s="9">
        <v>0</v>
      </c>
      <c r="L4821" s="9">
        <v>1.9269999999999999E-4</v>
      </c>
      <c r="M4821" s="9">
        <v>1.6254E-4</v>
      </c>
      <c r="N4821" s="9">
        <v>1.5255999999999999E-4</v>
      </c>
      <c r="O4821" s="9">
        <v>2.107E-4</v>
      </c>
      <c r="P4821" s="9">
        <v>1.5838000000000001E-4</v>
      </c>
      <c r="Q4821" s="9">
        <v>1.0653E-4</v>
      </c>
      <c r="R4821" s="10">
        <v>3.9466823675314306E-5</v>
      </c>
      <c r="S4821" s="10">
        <v>3.0176692444838505E-5</v>
      </c>
      <c r="T4821" s="10">
        <v>8.9908120213460247E-5</v>
      </c>
      <c r="U4821" s="10">
        <v>7.975E-5</v>
      </c>
      <c r="V4821" s="25"/>
      <c r="W4821" s="25"/>
      <c r="X4821" s="25"/>
      <c r="Y4821" s="25"/>
      <c r="Z4821" s="25"/>
      <c r="AA4821" s="25"/>
    </row>
    <row r="4822" spans="1:27" x14ac:dyDescent="0.35">
      <c r="A4822" s="5">
        <v>4818</v>
      </c>
      <c r="B4822" s="5">
        <v>201</v>
      </c>
      <c r="C4822" s="5">
        <v>7</v>
      </c>
      <c r="D4822" s="25">
        <v>1.1415000000000001E-4</v>
      </c>
      <c r="E4822" s="25">
        <v>1.1207E-4</v>
      </c>
      <c r="F4822" s="25">
        <v>1.2269000000000001E-4</v>
      </c>
      <c r="G4822" s="25">
        <v>1.6470999999999999E-4</v>
      </c>
      <c r="H4822" s="25">
        <v>1.9122E-4</v>
      </c>
      <c r="I4822" s="9">
        <v>1.1543E-4</v>
      </c>
      <c r="J4822" s="9">
        <v>1.2632E-4</v>
      </c>
      <c r="K4822" s="9">
        <v>0</v>
      </c>
      <c r="L4822" s="9">
        <v>2.0649000000000001E-4</v>
      </c>
      <c r="M4822" s="9">
        <v>1.5956999999999999E-4</v>
      </c>
      <c r="N4822" s="9">
        <v>1.3909E-4</v>
      </c>
      <c r="O4822" s="9">
        <v>2.0235000000000001E-4</v>
      </c>
      <c r="P4822" s="9">
        <v>1.5951999999999999E-4</v>
      </c>
      <c r="Q4822" s="9">
        <v>1.1703E-4</v>
      </c>
      <c r="R4822" s="10">
        <v>5.074126751599683E-5</v>
      </c>
      <c r="S4822" s="10">
        <v>4.6278966795917974E-5</v>
      </c>
      <c r="T4822" s="10">
        <v>1.5352339674082883E-4</v>
      </c>
      <c r="U4822" s="10">
        <v>7.975E-5</v>
      </c>
      <c r="V4822" s="25"/>
      <c r="W4822" s="25"/>
      <c r="X4822" s="25"/>
      <c r="Y4822" s="25"/>
      <c r="Z4822" s="25"/>
      <c r="AA4822" s="25"/>
    </row>
    <row r="4823" spans="1:27" x14ac:dyDescent="0.35">
      <c r="A4823" s="5">
        <v>4819</v>
      </c>
      <c r="B4823" s="5">
        <v>201</v>
      </c>
      <c r="C4823" s="5">
        <v>7</v>
      </c>
      <c r="D4823" s="25">
        <v>1.1416E-4</v>
      </c>
      <c r="E4823" s="25">
        <v>1.1238E-4</v>
      </c>
      <c r="F4823" s="25">
        <v>1.3341000000000001E-4</v>
      </c>
      <c r="G4823" s="25">
        <v>1.1293E-4</v>
      </c>
      <c r="H4823" s="25">
        <v>1.2658E-4</v>
      </c>
      <c r="I4823" s="9">
        <v>1.1124E-4</v>
      </c>
      <c r="J4823" s="9">
        <v>1.2381E-4</v>
      </c>
      <c r="K4823" s="9">
        <v>0</v>
      </c>
      <c r="L4823" s="9">
        <v>2.0290999999999999E-4</v>
      </c>
      <c r="M4823" s="9">
        <v>1.5892E-4</v>
      </c>
      <c r="N4823" s="9">
        <v>1.2990000000000001E-4</v>
      </c>
      <c r="O4823" s="9">
        <v>1.6443E-4</v>
      </c>
      <c r="P4823" s="9">
        <v>1.3611E-4</v>
      </c>
      <c r="Q4823" s="9">
        <v>1.0802999999999999E-4</v>
      </c>
      <c r="R4823" s="10">
        <v>7.2962311528445913E-5</v>
      </c>
      <c r="S4823" s="10">
        <v>6.6320411204791966E-5</v>
      </c>
      <c r="T4823" s="10">
        <v>4.3643235857133109E-5</v>
      </c>
      <c r="U4823" s="10">
        <v>7.975E-5</v>
      </c>
      <c r="V4823" s="25"/>
      <c r="W4823" s="25"/>
      <c r="X4823" s="25"/>
      <c r="Y4823" s="25"/>
      <c r="Z4823" s="25"/>
      <c r="AA4823" s="25"/>
    </row>
    <row r="4824" spans="1:27" x14ac:dyDescent="0.35">
      <c r="A4824" s="5">
        <v>4820</v>
      </c>
      <c r="B4824" s="5">
        <v>201</v>
      </c>
      <c r="C4824" s="5">
        <v>7</v>
      </c>
      <c r="D4824" s="25">
        <v>1.1415000000000001E-4</v>
      </c>
      <c r="E4824" s="25">
        <v>1.1781999999999999E-4</v>
      </c>
      <c r="F4824" s="25">
        <v>1.3171999999999999E-4</v>
      </c>
      <c r="G4824" s="25">
        <v>1.1414E-4</v>
      </c>
      <c r="H4824" s="25">
        <v>1.3760000000000001E-4</v>
      </c>
      <c r="I4824" s="9">
        <v>1.075E-4</v>
      </c>
      <c r="J4824" s="9">
        <v>1.2191E-4</v>
      </c>
      <c r="K4824" s="9">
        <v>4.25E-6</v>
      </c>
      <c r="L4824" s="9">
        <v>1.7307999999999999E-4</v>
      </c>
      <c r="M4824" s="9">
        <v>1.5071E-4</v>
      </c>
      <c r="N4824" s="9">
        <v>1.2098E-4</v>
      </c>
      <c r="O4824" s="9">
        <v>1.2856E-4</v>
      </c>
      <c r="P4824" s="9">
        <v>1.1540999999999999E-4</v>
      </c>
      <c r="Q4824" s="9">
        <v>1.0238000000000001E-4</v>
      </c>
      <c r="R4824" s="10">
        <v>8.3640230349727932E-5</v>
      </c>
      <c r="S4824" s="10">
        <v>8.4839313087478949E-5</v>
      </c>
      <c r="T4824" s="10">
        <v>1.2980978005718052E-6</v>
      </c>
      <c r="U4824" s="10">
        <v>7.975E-5</v>
      </c>
      <c r="V4824" s="25"/>
      <c r="W4824" s="25"/>
      <c r="X4824" s="25"/>
      <c r="Y4824" s="25"/>
      <c r="Z4824" s="25"/>
      <c r="AA4824" s="25"/>
    </row>
    <row r="4825" spans="1:27" x14ac:dyDescent="0.35">
      <c r="A4825" s="5">
        <v>4821</v>
      </c>
      <c r="B4825" s="5">
        <v>201</v>
      </c>
      <c r="C4825" s="5">
        <v>7</v>
      </c>
      <c r="D4825" s="25">
        <v>1.1416E-4</v>
      </c>
      <c r="E4825" s="25">
        <v>1.1302E-4</v>
      </c>
      <c r="F4825" s="25">
        <v>1.204E-4</v>
      </c>
      <c r="G4825" s="25">
        <v>5.8369999999999998E-5</v>
      </c>
      <c r="H4825" s="25">
        <v>6.8310000000000002E-5</v>
      </c>
      <c r="I4825" s="9">
        <v>1.0522E-4</v>
      </c>
      <c r="J4825" s="9">
        <v>1.188E-4</v>
      </c>
      <c r="K4825" s="9">
        <v>6.3600000000000001E-6</v>
      </c>
      <c r="L4825" s="9">
        <v>1.3927000000000001E-4</v>
      </c>
      <c r="M4825" s="9">
        <v>1.3570999999999999E-4</v>
      </c>
      <c r="N4825" s="9">
        <v>1.1340000000000001E-4</v>
      </c>
      <c r="O4825" s="9">
        <v>8.3889999999999998E-5</v>
      </c>
      <c r="P4825" s="9">
        <v>8.585E-5</v>
      </c>
      <c r="Q4825" s="9">
        <v>8.7830000000000004E-5</v>
      </c>
      <c r="R4825" s="10">
        <v>9.9002066284913849E-5</v>
      </c>
      <c r="S4825" s="10">
        <v>1.0908897661963503E-4</v>
      </c>
      <c r="T4825" s="10">
        <v>0</v>
      </c>
      <c r="U4825" s="10">
        <v>7.975E-5</v>
      </c>
      <c r="V4825" s="25"/>
      <c r="W4825" s="25"/>
      <c r="X4825" s="25"/>
      <c r="Y4825" s="25"/>
      <c r="Z4825" s="25"/>
      <c r="AA4825" s="25"/>
    </row>
    <row r="4826" spans="1:27" x14ac:dyDescent="0.35">
      <c r="A4826" s="5">
        <v>4822</v>
      </c>
      <c r="B4826" s="5">
        <v>201</v>
      </c>
      <c r="C4826" s="5">
        <v>7</v>
      </c>
      <c r="D4826" s="25">
        <v>1.1415000000000001E-4</v>
      </c>
      <c r="E4826" s="25">
        <v>1.1688000000000001E-4</v>
      </c>
      <c r="F4826" s="25">
        <v>1.2211000000000001E-4</v>
      </c>
      <c r="G4826" s="25">
        <v>5.9020000000000001E-5</v>
      </c>
      <c r="H4826" s="25">
        <v>7.1740000000000001E-5</v>
      </c>
      <c r="I4826" s="9">
        <v>1.0993999999999999E-4</v>
      </c>
      <c r="J4826" s="9">
        <v>1.1862999999999999E-4</v>
      </c>
      <c r="K4826" s="9">
        <v>1.484E-5</v>
      </c>
      <c r="L4826" s="9">
        <v>9.6979999999999996E-5</v>
      </c>
      <c r="M4826" s="9">
        <v>1.139E-4</v>
      </c>
      <c r="N4826" s="9">
        <v>1.0567E-4</v>
      </c>
      <c r="O4826" s="9">
        <v>8.7709999999999999E-5</v>
      </c>
      <c r="P4826" s="9">
        <v>8.8319999999999995E-5</v>
      </c>
      <c r="Q4826" s="9">
        <v>8.8980000000000005E-5</v>
      </c>
      <c r="R4826" s="10">
        <v>1.1534968778329097E-4</v>
      </c>
      <c r="S4826" s="10">
        <v>1.4435960068411358E-4</v>
      </c>
      <c r="T4826" s="10">
        <v>0</v>
      </c>
      <c r="U4826" s="10">
        <v>7.975E-5</v>
      </c>
      <c r="V4826" s="25"/>
      <c r="W4826" s="25"/>
      <c r="X4826" s="25"/>
      <c r="Y4826" s="25"/>
      <c r="Z4826" s="25"/>
      <c r="AA4826" s="25"/>
    </row>
    <row r="4827" spans="1:27" x14ac:dyDescent="0.35">
      <c r="A4827" s="5">
        <v>4823</v>
      </c>
      <c r="B4827" s="5">
        <v>201</v>
      </c>
      <c r="C4827" s="5">
        <v>7</v>
      </c>
      <c r="D4827" s="25">
        <v>1.1416E-4</v>
      </c>
      <c r="E4827" s="25">
        <v>1.1998E-4</v>
      </c>
      <c r="F4827" s="25">
        <v>1.3082E-4</v>
      </c>
      <c r="G4827" s="25">
        <v>5.6669999999999998E-5</v>
      </c>
      <c r="H4827" s="25">
        <v>7.4099999999999999E-5</v>
      </c>
      <c r="I4827" s="9">
        <v>1.0532E-4</v>
      </c>
      <c r="J4827" s="9">
        <v>1.132E-4</v>
      </c>
      <c r="K4827" s="9">
        <v>1.908E-5</v>
      </c>
      <c r="L4827" s="9">
        <v>9.0710000000000004E-5</v>
      </c>
      <c r="M4827" s="9">
        <v>9.9309999999999996E-5</v>
      </c>
      <c r="N4827" s="9">
        <v>1.0003E-4</v>
      </c>
      <c r="O4827" s="9">
        <v>7.6970000000000003E-5</v>
      </c>
      <c r="P4827" s="9">
        <v>7.1600000000000006E-5</v>
      </c>
      <c r="Q4827" s="9">
        <v>6.6390000000000006E-5</v>
      </c>
      <c r="R4827" s="10">
        <v>1.3834476826050067E-4</v>
      </c>
      <c r="S4827" s="10">
        <v>1.7315174174381028E-4</v>
      </c>
      <c r="T4827" s="10">
        <v>0</v>
      </c>
      <c r="U4827" s="10">
        <v>7.975E-5</v>
      </c>
      <c r="V4827" s="25"/>
      <c r="W4827" s="25"/>
      <c r="X4827" s="25"/>
      <c r="Y4827" s="25"/>
      <c r="Z4827" s="25"/>
      <c r="AA4827" s="25"/>
    </row>
    <row r="4828" spans="1:27" x14ac:dyDescent="0.35">
      <c r="A4828" s="5">
        <v>4824</v>
      </c>
      <c r="B4828" s="5">
        <v>201</v>
      </c>
      <c r="C4828" s="5">
        <v>7</v>
      </c>
      <c r="D4828" s="25">
        <v>1.1415000000000001E-4</v>
      </c>
      <c r="E4828" s="25">
        <v>1.1976000000000001E-4</v>
      </c>
      <c r="F4828" s="25">
        <v>1.317E-4</v>
      </c>
      <c r="G4828" s="25">
        <v>5.8180000000000002E-5</v>
      </c>
      <c r="H4828" s="25">
        <v>6.745E-5</v>
      </c>
      <c r="I4828" s="9">
        <v>9.6559999999999997E-5</v>
      </c>
      <c r="J4828" s="9">
        <v>1.0556999999999999E-4</v>
      </c>
      <c r="K4828" s="9">
        <v>2.12E-5</v>
      </c>
      <c r="L4828" s="9">
        <v>7.996E-5</v>
      </c>
      <c r="M4828" s="9">
        <v>8.6139999999999999E-5</v>
      </c>
      <c r="N4828" s="9">
        <v>9.064E-5</v>
      </c>
      <c r="O4828" s="9">
        <v>6.2689999999999998E-5</v>
      </c>
      <c r="P4828" s="9">
        <v>6.0720000000000001E-5</v>
      </c>
      <c r="Q4828" s="9">
        <v>5.8900000000000002E-5</v>
      </c>
      <c r="R4828" s="10">
        <v>1.7286770044148508E-4</v>
      </c>
      <c r="S4828" s="10">
        <v>1.8659432311327414E-4</v>
      </c>
      <c r="T4828" s="10">
        <v>0</v>
      </c>
      <c r="U4828" s="10">
        <v>7.975E-5</v>
      </c>
      <c r="V4828" s="25"/>
      <c r="W4828" s="25"/>
      <c r="X4828" s="25"/>
      <c r="Y4828" s="25"/>
      <c r="Z4828" s="25"/>
      <c r="AA4828" s="25"/>
    </row>
    <row r="4829" spans="1:27" x14ac:dyDescent="0.35">
      <c r="A4829" s="5">
        <v>4825</v>
      </c>
      <c r="B4829" s="5">
        <v>202</v>
      </c>
      <c r="C4829" s="5">
        <v>7</v>
      </c>
      <c r="D4829" s="25">
        <v>1.1416E-4</v>
      </c>
      <c r="E4829" s="25">
        <v>1.1281999999999999E-4</v>
      </c>
      <c r="F4829" s="25">
        <v>1.3951E-4</v>
      </c>
      <c r="G4829" s="25">
        <v>6.1859999999999994E-5</v>
      </c>
      <c r="H4829" s="25">
        <v>3.7700000000000002E-5</v>
      </c>
      <c r="I4829" s="9">
        <v>9.1849999999999996E-5</v>
      </c>
      <c r="J4829" s="9">
        <v>1.0001999999999999E-4</v>
      </c>
      <c r="K4829" s="9">
        <v>2.544E-5</v>
      </c>
      <c r="L4829" s="9">
        <v>6.6509999999999998E-5</v>
      </c>
      <c r="M4829" s="9">
        <v>7.3960000000000003E-5</v>
      </c>
      <c r="N4829" s="9">
        <v>8.1199999999999995E-5</v>
      </c>
      <c r="O4829" s="9">
        <v>6.7630000000000001E-5</v>
      </c>
      <c r="P4829" s="9">
        <v>6.0220000000000003E-5</v>
      </c>
      <c r="Q4829" s="9">
        <v>5.3109999999999998E-5</v>
      </c>
      <c r="R4829" s="10">
        <v>1.8265289705002085E-4</v>
      </c>
      <c r="S4829" s="10">
        <v>1.8392465324759623E-4</v>
      </c>
      <c r="T4829" s="10">
        <v>0</v>
      </c>
      <c r="U4829" s="10">
        <v>7.9060000000000005E-5</v>
      </c>
      <c r="V4829" s="25"/>
      <c r="W4829" s="25"/>
      <c r="X4829" s="25"/>
      <c r="Y4829" s="25"/>
      <c r="Z4829" s="25"/>
      <c r="AA4829" s="25"/>
    </row>
    <row r="4830" spans="1:27" x14ac:dyDescent="0.35">
      <c r="A4830" s="5">
        <v>4826</v>
      </c>
      <c r="B4830" s="5">
        <v>202</v>
      </c>
      <c r="C4830" s="5">
        <v>7</v>
      </c>
      <c r="D4830" s="25">
        <v>1.1415000000000001E-4</v>
      </c>
      <c r="E4830" s="25">
        <v>1.1313E-4</v>
      </c>
      <c r="F4830" s="25">
        <v>1.1864E-4</v>
      </c>
      <c r="G4830" s="25">
        <v>6.088E-5</v>
      </c>
      <c r="H4830" s="25">
        <v>3.7429999999999999E-5</v>
      </c>
      <c r="I4830" s="9">
        <v>8.9069999999999999E-5</v>
      </c>
      <c r="J4830" s="9">
        <v>9.7050000000000001E-5</v>
      </c>
      <c r="K4830" s="9">
        <v>3.6029999999999999E-5</v>
      </c>
      <c r="L4830" s="9">
        <v>6.7760000000000002E-5</v>
      </c>
      <c r="M4830" s="9">
        <v>6.6119999999999997E-5</v>
      </c>
      <c r="N4830" s="9">
        <v>7.2000000000000002E-5</v>
      </c>
      <c r="O4830" s="9">
        <v>3.5509999999999997E-5</v>
      </c>
      <c r="P4830" s="9">
        <v>4.5689999999999998E-5</v>
      </c>
      <c r="Q4830" s="9">
        <v>5.5999999999999999E-5</v>
      </c>
      <c r="R4830" s="10">
        <v>1.8310451528205036E-4</v>
      </c>
      <c r="S4830" s="10">
        <v>1.8248746560444178E-4</v>
      </c>
      <c r="T4830" s="10">
        <v>0</v>
      </c>
      <c r="U4830" s="10">
        <v>7.9060000000000005E-5</v>
      </c>
      <c r="V4830" s="25"/>
      <c r="W4830" s="25"/>
      <c r="X4830" s="25"/>
      <c r="Y4830" s="25"/>
      <c r="Z4830" s="25"/>
      <c r="AA4830" s="25"/>
    </row>
    <row r="4831" spans="1:27" x14ac:dyDescent="0.35">
      <c r="A4831" s="5">
        <v>4827</v>
      </c>
      <c r="B4831" s="5">
        <v>202</v>
      </c>
      <c r="C4831" s="5">
        <v>7</v>
      </c>
      <c r="D4831" s="25">
        <v>1.1416E-4</v>
      </c>
      <c r="E4831" s="25">
        <v>1.1134E-4</v>
      </c>
      <c r="F4831" s="25">
        <v>1.1866000000000001E-4</v>
      </c>
      <c r="G4831" s="25">
        <v>6.2119999999999995E-5</v>
      </c>
      <c r="H4831" s="25">
        <v>4.108E-5</v>
      </c>
      <c r="I4831" s="9">
        <v>8.7880000000000006E-5</v>
      </c>
      <c r="J4831" s="9">
        <v>9.5190000000000002E-5</v>
      </c>
      <c r="K4831" s="9">
        <v>3.392E-5</v>
      </c>
      <c r="L4831" s="9">
        <v>4.2519999999999999E-5</v>
      </c>
      <c r="M4831" s="9">
        <v>5.7089999999999997E-5</v>
      </c>
      <c r="N4831" s="9">
        <v>6.5389999999999996E-5</v>
      </c>
      <c r="O4831" s="9">
        <v>2.2540000000000001E-5</v>
      </c>
      <c r="P4831" s="9">
        <v>4.1919999999999998E-5</v>
      </c>
      <c r="Q4831" s="9">
        <v>6.1309999999999994E-5</v>
      </c>
      <c r="R4831" s="10">
        <v>1.8826151968539181E-4</v>
      </c>
      <c r="S4831" s="10">
        <v>1.8485422575738872E-4</v>
      </c>
      <c r="T4831" s="10">
        <v>0</v>
      </c>
      <c r="U4831" s="10">
        <v>7.9060000000000005E-5</v>
      </c>
      <c r="V4831" s="25"/>
      <c r="W4831" s="25"/>
      <c r="X4831" s="25"/>
      <c r="Y4831" s="25"/>
      <c r="Z4831" s="25"/>
      <c r="AA4831" s="25"/>
    </row>
    <row r="4832" spans="1:27" x14ac:dyDescent="0.35">
      <c r="A4832" s="5">
        <v>4828</v>
      </c>
      <c r="B4832" s="5">
        <v>202</v>
      </c>
      <c r="C4832" s="5">
        <v>7</v>
      </c>
      <c r="D4832" s="25">
        <v>1.1415000000000001E-4</v>
      </c>
      <c r="E4832" s="25">
        <v>1.0675000000000001E-4</v>
      </c>
      <c r="F4832" s="25">
        <v>1.2621999999999999E-4</v>
      </c>
      <c r="G4832" s="25">
        <v>5.7750000000000001E-5</v>
      </c>
      <c r="H4832" s="25">
        <v>4.3300000000000002E-5</v>
      </c>
      <c r="I4832" s="9">
        <v>8.8620000000000002E-5</v>
      </c>
      <c r="J4832" s="9">
        <v>9.522E-5</v>
      </c>
      <c r="K4832" s="9">
        <v>3.8149999999999999E-5</v>
      </c>
      <c r="L4832" s="9">
        <v>2.7549999999999999E-5</v>
      </c>
      <c r="M4832" s="9">
        <v>4.9499999999999997E-5</v>
      </c>
      <c r="N4832" s="9">
        <v>6.1729999999999993E-5</v>
      </c>
      <c r="O4832" s="9">
        <v>2.198E-5</v>
      </c>
      <c r="P4832" s="9">
        <v>5.0980000000000003E-5</v>
      </c>
      <c r="Q4832" s="9">
        <v>7.9870000000000006E-5</v>
      </c>
      <c r="R4832" s="10">
        <v>2.0200079797171817E-4</v>
      </c>
      <c r="S4832" s="10">
        <v>1.8122183053647035E-4</v>
      </c>
      <c r="T4832" s="10">
        <v>0</v>
      </c>
      <c r="U4832" s="10">
        <v>7.9060000000000005E-5</v>
      </c>
      <c r="V4832" s="25"/>
      <c r="W4832" s="25"/>
      <c r="X4832" s="25"/>
      <c r="Y4832" s="25"/>
      <c r="Z4832" s="25"/>
      <c r="AA4832" s="25"/>
    </row>
    <row r="4833" spans="1:27" x14ac:dyDescent="0.35">
      <c r="A4833" s="5">
        <v>4829</v>
      </c>
      <c r="B4833" s="5">
        <v>202</v>
      </c>
      <c r="C4833" s="5">
        <v>7</v>
      </c>
      <c r="D4833" s="25">
        <v>1.1416E-4</v>
      </c>
      <c r="E4833" s="25">
        <v>1.0457E-4</v>
      </c>
      <c r="F4833" s="25">
        <v>1.1781999999999999E-4</v>
      </c>
      <c r="G4833" s="25">
        <v>5.452E-5</v>
      </c>
      <c r="H4833" s="25">
        <v>4.4400000000000002E-5</v>
      </c>
      <c r="I4833" s="9">
        <v>9.111E-5</v>
      </c>
      <c r="J4833" s="9">
        <v>9.666E-5</v>
      </c>
      <c r="K4833" s="9">
        <v>1.06E-5</v>
      </c>
      <c r="L4833" s="9">
        <v>2.3649999999999999E-5</v>
      </c>
      <c r="M4833" s="9">
        <v>4.8220000000000002E-5</v>
      </c>
      <c r="N4833" s="9">
        <v>6.4179999999999999E-5</v>
      </c>
      <c r="O4833" s="9">
        <v>2.3940000000000001E-5</v>
      </c>
      <c r="P4833" s="9">
        <v>5.8810000000000001E-5</v>
      </c>
      <c r="Q4833" s="9">
        <v>9.3469999999999998E-5</v>
      </c>
      <c r="R4833" s="10">
        <v>2.0728306162820596E-4</v>
      </c>
      <c r="S4833" s="10">
        <v>1.883955503953824E-4</v>
      </c>
      <c r="T4833" s="10">
        <v>1.7307970674290735E-6</v>
      </c>
      <c r="U4833" s="10">
        <v>7.9060000000000005E-5</v>
      </c>
      <c r="V4833" s="25"/>
      <c r="W4833" s="25"/>
      <c r="X4833" s="25"/>
      <c r="Y4833" s="25"/>
      <c r="Z4833" s="25"/>
      <c r="AA4833" s="25"/>
    </row>
    <row r="4834" spans="1:27" x14ac:dyDescent="0.35">
      <c r="A4834" s="5">
        <v>4830</v>
      </c>
      <c r="B4834" s="5">
        <v>202</v>
      </c>
      <c r="C4834" s="5">
        <v>7</v>
      </c>
      <c r="D4834" s="25">
        <v>1.1415000000000001E-4</v>
      </c>
      <c r="E4834" s="25">
        <v>1.0615000000000001E-4</v>
      </c>
      <c r="F4834" s="25">
        <v>1.3831E-4</v>
      </c>
      <c r="G4834" s="25">
        <v>1.1001999999999999E-4</v>
      </c>
      <c r="H4834" s="25">
        <v>8.0669999999999998E-5</v>
      </c>
      <c r="I4834" s="9">
        <v>9.5000000000000005E-5</v>
      </c>
      <c r="J4834" s="9">
        <v>1.0404E-4</v>
      </c>
      <c r="K4834" s="9">
        <v>0</v>
      </c>
      <c r="L4834" s="9">
        <v>2.3799999999999999E-5</v>
      </c>
      <c r="M4834" s="9">
        <v>5.2030000000000002E-5</v>
      </c>
      <c r="N4834" s="9">
        <v>7.0729999999999995E-5</v>
      </c>
      <c r="O4834" s="9">
        <v>3.0450000000000002E-5</v>
      </c>
      <c r="P4834" s="9">
        <v>6.9300000000000004E-5</v>
      </c>
      <c r="Q4834" s="9">
        <v>1.0785000000000001E-4</v>
      </c>
      <c r="R4834" s="10">
        <v>2.034298379317457E-4</v>
      </c>
      <c r="S4834" s="10">
        <v>1.8586292778877917E-4</v>
      </c>
      <c r="T4834" s="10">
        <v>4.0682215383933366E-5</v>
      </c>
      <c r="U4834" s="10">
        <v>7.9060000000000005E-5</v>
      </c>
      <c r="V4834" s="25"/>
      <c r="W4834" s="25"/>
      <c r="X4834" s="25"/>
      <c r="Y4834" s="25"/>
      <c r="Z4834" s="25"/>
      <c r="AA4834" s="25"/>
    </row>
    <row r="4835" spans="1:27" x14ac:dyDescent="0.35">
      <c r="A4835" s="5">
        <v>4831</v>
      </c>
      <c r="B4835" s="5">
        <v>202</v>
      </c>
      <c r="C4835" s="5">
        <v>7</v>
      </c>
      <c r="D4835" s="25">
        <v>1.1416E-4</v>
      </c>
      <c r="E4835" s="25">
        <v>1.1168E-4</v>
      </c>
      <c r="F4835" s="25">
        <v>1.4018E-4</v>
      </c>
      <c r="G4835" s="25">
        <v>1.1016E-4</v>
      </c>
      <c r="H4835" s="25">
        <v>7.7150000000000005E-5</v>
      </c>
      <c r="I4835" s="9">
        <v>1.0285000000000001E-4</v>
      </c>
      <c r="J4835" s="9">
        <v>1.1687E-4</v>
      </c>
      <c r="K4835" s="9">
        <v>0</v>
      </c>
      <c r="L4835" s="9">
        <v>2.889E-5</v>
      </c>
      <c r="M4835" s="9">
        <v>5.9370000000000002E-5</v>
      </c>
      <c r="N4835" s="9">
        <v>8.0679999999999993E-5</v>
      </c>
      <c r="O4835" s="9">
        <v>4.617E-5</v>
      </c>
      <c r="P4835" s="9">
        <v>7.9040000000000002E-5</v>
      </c>
      <c r="Q4835" s="9">
        <v>1.1165E-4</v>
      </c>
      <c r="R4835" s="10">
        <v>1.9208104195522879E-4</v>
      </c>
      <c r="S4835" s="10">
        <v>1.8332938548059276E-4</v>
      </c>
      <c r="T4835" s="10">
        <v>1.2661119920217678E-4</v>
      </c>
      <c r="U4835" s="10">
        <v>7.9060000000000005E-5</v>
      </c>
      <c r="V4835" s="25"/>
      <c r="W4835" s="25"/>
      <c r="X4835" s="25"/>
      <c r="Y4835" s="25"/>
      <c r="Z4835" s="25"/>
      <c r="AA4835" s="25"/>
    </row>
    <row r="4836" spans="1:27" x14ac:dyDescent="0.35">
      <c r="A4836" s="5">
        <v>4832</v>
      </c>
      <c r="B4836" s="5">
        <v>202</v>
      </c>
      <c r="C4836" s="5">
        <v>7</v>
      </c>
      <c r="D4836" s="25">
        <v>1.1415000000000001E-4</v>
      </c>
      <c r="E4836" s="25">
        <v>1.0887000000000001E-4</v>
      </c>
      <c r="F4836" s="25">
        <v>1.2231000000000001E-4</v>
      </c>
      <c r="G4836" s="25">
        <v>1.6004999999999999E-4</v>
      </c>
      <c r="H4836" s="25">
        <v>1.1861E-4</v>
      </c>
      <c r="I4836" s="9">
        <v>1.1120000000000001E-4</v>
      </c>
      <c r="J4836" s="9">
        <v>1.2748999999999999E-4</v>
      </c>
      <c r="K4836" s="9">
        <v>0</v>
      </c>
      <c r="L4836" s="9">
        <v>4.2219999999999999E-5</v>
      </c>
      <c r="M4836" s="9">
        <v>6.8289999999999998E-5</v>
      </c>
      <c r="N4836" s="9">
        <v>9.0649999999999994E-5</v>
      </c>
      <c r="O4836" s="9">
        <v>6.8759999999999999E-5</v>
      </c>
      <c r="P4836" s="9">
        <v>1.0340000000000001E-4</v>
      </c>
      <c r="Q4836" s="9">
        <v>1.3768E-4</v>
      </c>
      <c r="R4836" s="10">
        <v>1.6786772929021699E-4</v>
      </c>
      <c r="S4836" s="10">
        <v>1.7678556942224069E-4</v>
      </c>
      <c r="T4836" s="10">
        <v>3.2162281976520253E-4</v>
      </c>
      <c r="U4836" s="10">
        <v>7.9060000000000005E-5</v>
      </c>
      <c r="V4836" s="25"/>
      <c r="W4836" s="25"/>
      <c r="X4836" s="25"/>
      <c r="Y4836" s="25"/>
      <c r="Z4836" s="25"/>
      <c r="AA4836" s="25"/>
    </row>
    <row r="4837" spans="1:27" x14ac:dyDescent="0.35">
      <c r="A4837" s="5">
        <v>4833</v>
      </c>
      <c r="B4837" s="5">
        <v>202</v>
      </c>
      <c r="C4837" s="5">
        <v>7</v>
      </c>
      <c r="D4837" s="25">
        <v>1.1416E-4</v>
      </c>
      <c r="E4837" s="25">
        <v>1.1401E-4</v>
      </c>
      <c r="F4837" s="25">
        <v>1.395E-4</v>
      </c>
      <c r="G4837" s="25">
        <v>1.6276999999999999E-4</v>
      </c>
      <c r="H4837" s="25">
        <v>1.1228E-4</v>
      </c>
      <c r="I4837" s="9">
        <v>1.1642E-4</v>
      </c>
      <c r="J4837" s="9">
        <v>1.3273000000000001E-4</v>
      </c>
      <c r="K4837" s="9">
        <v>0</v>
      </c>
      <c r="L4837" s="9">
        <v>6.2559999999999997E-5</v>
      </c>
      <c r="M4837" s="9">
        <v>8.3129999999999999E-5</v>
      </c>
      <c r="N4837" s="9">
        <v>1.0466E-4</v>
      </c>
      <c r="O4837" s="9">
        <v>9.946E-5</v>
      </c>
      <c r="P4837" s="9">
        <v>1.3841999999999999E-4</v>
      </c>
      <c r="Q4837" s="9">
        <v>1.7686000000000001E-4</v>
      </c>
      <c r="R4837" s="10">
        <v>1.3396872878595429E-4</v>
      </c>
      <c r="S4837" s="10">
        <v>1.7122239919977578E-4</v>
      </c>
      <c r="T4837" s="10">
        <v>4.8712604718843258E-4</v>
      </c>
      <c r="U4837" s="10">
        <v>7.9060000000000005E-5</v>
      </c>
      <c r="V4837" s="25"/>
      <c r="W4837" s="25"/>
      <c r="X4837" s="25"/>
      <c r="Y4837" s="25"/>
      <c r="Z4837" s="25"/>
      <c r="AA4837" s="25"/>
    </row>
    <row r="4838" spans="1:27" x14ac:dyDescent="0.35">
      <c r="A4838" s="5">
        <v>4834</v>
      </c>
      <c r="B4838" s="5">
        <v>202</v>
      </c>
      <c r="C4838" s="5">
        <v>7</v>
      </c>
      <c r="D4838" s="25">
        <v>1.1415000000000001E-4</v>
      </c>
      <c r="E4838" s="25">
        <v>1.1161E-4</v>
      </c>
      <c r="F4838" s="25">
        <v>1.382E-4</v>
      </c>
      <c r="G4838" s="25">
        <v>1.5668999999999999E-4</v>
      </c>
      <c r="H4838" s="25">
        <v>1.1297E-4</v>
      </c>
      <c r="I4838" s="9">
        <v>1.1875999999999999E-4</v>
      </c>
      <c r="J4838" s="9">
        <v>1.3415000000000001E-4</v>
      </c>
      <c r="K4838" s="9">
        <v>0</v>
      </c>
      <c r="L4838" s="9">
        <v>9.0810000000000006E-5</v>
      </c>
      <c r="M4838" s="9">
        <v>1.0679E-4</v>
      </c>
      <c r="N4838" s="9">
        <v>1.247E-4</v>
      </c>
      <c r="O4838" s="9">
        <v>1.2802000000000001E-4</v>
      </c>
      <c r="P4838" s="9">
        <v>1.5537999999999999E-4</v>
      </c>
      <c r="Q4838" s="9">
        <v>1.8231000000000001E-4</v>
      </c>
      <c r="R4838" s="10">
        <v>1.1102312541843838E-4</v>
      </c>
      <c r="S4838" s="10">
        <v>1.6523848084317252E-4</v>
      </c>
      <c r="T4838" s="10">
        <v>6.1502685989183099E-4</v>
      </c>
      <c r="U4838" s="10">
        <v>7.9060000000000005E-5</v>
      </c>
      <c r="V4838" s="25"/>
      <c r="W4838" s="25"/>
      <c r="X4838" s="25"/>
      <c r="Y4838" s="25"/>
      <c r="Z4838" s="25"/>
      <c r="AA4838" s="25"/>
    </row>
    <row r="4839" spans="1:27" x14ac:dyDescent="0.35">
      <c r="A4839" s="5">
        <v>4835</v>
      </c>
      <c r="B4839" s="5">
        <v>202</v>
      </c>
      <c r="C4839" s="5">
        <v>7</v>
      </c>
      <c r="D4839" s="25">
        <v>1.1416E-4</v>
      </c>
      <c r="E4839" s="25">
        <v>1.1102E-4</v>
      </c>
      <c r="F4839" s="25">
        <v>1.2892000000000001E-4</v>
      </c>
      <c r="G4839" s="25">
        <v>1.6075E-4</v>
      </c>
      <c r="H4839" s="25">
        <v>1.1769000000000001E-4</v>
      </c>
      <c r="I4839" s="9">
        <v>1.2104000000000001E-4</v>
      </c>
      <c r="J4839" s="9">
        <v>1.3468E-4</v>
      </c>
      <c r="K4839" s="9">
        <v>0</v>
      </c>
      <c r="L4839" s="9">
        <v>1.1914E-4</v>
      </c>
      <c r="M4839" s="9">
        <v>1.3025999999999999E-4</v>
      </c>
      <c r="N4839" s="9">
        <v>1.4283000000000001E-4</v>
      </c>
      <c r="O4839" s="9">
        <v>1.3459999999999999E-4</v>
      </c>
      <c r="P4839" s="9">
        <v>1.5626E-4</v>
      </c>
      <c r="Q4839" s="9">
        <v>1.7756E-4</v>
      </c>
      <c r="R4839" s="10">
        <v>9.9365495793189511E-5</v>
      </c>
      <c r="S4839" s="10">
        <v>1.6195483272396353E-4</v>
      </c>
      <c r="T4839" s="10">
        <v>6.8103470883593988E-4</v>
      </c>
      <c r="U4839" s="10">
        <v>7.9060000000000005E-5</v>
      </c>
      <c r="V4839" s="25"/>
      <c r="W4839" s="25"/>
      <c r="X4839" s="25"/>
      <c r="Y4839" s="25"/>
      <c r="Z4839" s="25"/>
      <c r="AA4839" s="25"/>
    </row>
    <row r="4840" spans="1:27" x14ac:dyDescent="0.35">
      <c r="A4840" s="5">
        <v>4836</v>
      </c>
      <c r="B4840" s="5">
        <v>202</v>
      </c>
      <c r="C4840" s="5">
        <v>7</v>
      </c>
      <c r="D4840" s="25">
        <v>1.1415000000000001E-4</v>
      </c>
      <c r="E4840" s="25">
        <v>1.053E-4</v>
      </c>
      <c r="F4840" s="25">
        <v>1.3250999999999999E-4</v>
      </c>
      <c r="G4840" s="25">
        <v>1.5965E-4</v>
      </c>
      <c r="H4840" s="25">
        <v>1.1747999999999999E-4</v>
      </c>
      <c r="I4840" s="9">
        <v>1.2023000000000001E-4</v>
      </c>
      <c r="J4840" s="9">
        <v>1.3333999999999999E-4</v>
      </c>
      <c r="K4840" s="9">
        <v>0</v>
      </c>
      <c r="L4840" s="9">
        <v>1.3054000000000001E-4</v>
      </c>
      <c r="M4840" s="9">
        <v>1.4516999999999999E-4</v>
      </c>
      <c r="N4840" s="9">
        <v>1.5646E-4</v>
      </c>
      <c r="O4840" s="9">
        <v>1.3694999999999999E-4</v>
      </c>
      <c r="P4840" s="9">
        <v>1.5541E-4</v>
      </c>
      <c r="Q4840" s="9">
        <v>1.7354999999999999E-4</v>
      </c>
      <c r="R4840" s="10">
        <v>7.3495302561284309E-5</v>
      </c>
      <c r="S4840" s="10">
        <v>1.3781591650315717E-4</v>
      </c>
      <c r="T4840" s="10">
        <v>7.2711293860656381E-4</v>
      </c>
      <c r="U4840" s="10">
        <v>7.9060000000000005E-5</v>
      </c>
      <c r="V4840" s="25"/>
      <c r="W4840" s="25"/>
      <c r="X4840" s="25"/>
      <c r="Y4840" s="25"/>
      <c r="Z4840" s="25"/>
      <c r="AA4840" s="25"/>
    </row>
    <row r="4841" spans="1:27" x14ac:dyDescent="0.35">
      <c r="A4841" s="5">
        <v>4837</v>
      </c>
      <c r="B4841" s="5">
        <v>202</v>
      </c>
      <c r="C4841" s="5">
        <v>7</v>
      </c>
      <c r="D4841" s="25">
        <v>1.1416E-4</v>
      </c>
      <c r="E4841" s="25">
        <v>1.1113E-4</v>
      </c>
      <c r="F4841" s="25">
        <v>1.2941E-4</v>
      </c>
      <c r="G4841" s="25">
        <v>1.6331000000000001E-4</v>
      </c>
      <c r="H4841" s="25">
        <v>1.1222000000000001E-4</v>
      </c>
      <c r="I4841" s="9">
        <v>1.2009E-4</v>
      </c>
      <c r="J4841" s="9">
        <v>1.3339E-4</v>
      </c>
      <c r="K4841" s="9">
        <v>0</v>
      </c>
      <c r="L4841" s="9">
        <v>1.3540000000000001E-4</v>
      </c>
      <c r="M4841" s="9">
        <v>1.5200000000000001E-4</v>
      </c>
      <c r="N4841" s="9">
        <v>1.6579999999999999E-4</v>
      </c>
      <c r="O4841" s="9">
        <v>1.2794E-4</v>
      </c>
      <c r="P4841" s="9">
        <v>1.4697000000000001E-4</v>
      </c>
      <c r="Q4841" s="9">
        <v>1.6569999999999999E-4</v>
      </c>
      <c r="R4841" s="10">
        <v>8.2856135747307351E-5</v>
      </c>
      <c r="S4841" s="10">
        <v>1.4323824453254074E-4</v>
      </c>
      <c r="T4841" s="10">
        <v>7.1022918289978022E-4</v>
      </c>
      <c r="U4841" s="10">
        <v>7.9060000000000005E-5</v>
      </c>
      <c r="V4841" s="25"/>
      <c r="W4841" s="25"/>
      <c r="X4841" s="25"/>
      <c r="Y4841" s="25"/>
      <c r="Z4841" s="25"/>
      <c r="AA4841" s="25"/>
    </row>
    <row r="4842" spans="1:27" x14ac:dyDescent="0.35">
      <c r="A4842" s="5">
        <v>4838</v>
      </c>
      <c r="B4842" s="5">
        <v>202</v>
      </c>
      <c r="C4842" s="5">
        <v>7</v>
      </c>
      <c r="D4842" s="25">
        <v>1.1415000000000001E-4</v>
      </c>
      <c r="E4842" s="25">
        <v>1.1163999999999999E-4</v>
      </c>
      <c r="F4842" s="25">
        <v>1.3057999999999999E-4</v>
      </c>
      <c r="G4842" s="25">
        <v>1.6653999999999999E-4</v>
      </c>
      <c r="H4842" s="25">
        <v>1.1854999999999999E-4</v>
      </c>
      <c r="I4842" s="9">
        <v>1.1754E-4</v>
      </c>
      <c r="J4842" s="9">
        <v>1.3270999999999999E-4</v>
      </c>
      <c r="K4842" s="9">
        <v>0</v>
      </c>
      <c r="L4842" s="9">
        <v>1.2962E-4</v>
      </c>
      <c r="M4842" s="9">
        <v>1.515E-4</v>
      </c>
      <c r="N4842" s="9">
        <v>1.6971999999999999E-4</v>
      </c>
      <c r="O4842" s="9">
        <v>1.1088E-4</v>
      </c>
      <c r="P4842" s="9">
        <v>1.3524000000000001E-4</v>
      </c>
      <c r="Q4842" s="9">
        <v>1.5925999999999999E-4</v>
      </c>
      <c r="R4842" s="10">
        <v>9.7453231255605516E-5</v>
      </c>
      <c r="S4842" s="10">
        <v>1.5100941538189765E-4</v>
      </c>
      <c r="T4842" s="10">
        <v>6.9035046952239628E-4</v>
      </c>
      <c r="U4842" s="10">
        <v>7.9060000000000005E-5</v>
      </c>
      <c r="V4842" s="25"/>
      <c r="W4842" s="25"/>
      <c r="X4842" s="25"/>
      <c r="Y4842" s="25"/>
      <c r="Z4842" s="25"/>
      <c r="AA4842" s="25"/>
    </row>
    <row r="4843" spans="1:27" x14ac:dyDescent="0.35">
      <c r="A4843" s="5">
        <v>4839</v>
      </c>
      <c r="B4843" s="5">
        <v>202</v>
      </c>
      <c r="C4843" s="5">
        <v>7</v>
      </c>
      <c r="D4843" s="25">
        <v>1.1416E-4</v>
      </c>
      <c r="E4843" s="25">
        <v>1.1211E-4</v>
      </c>
      <c r="F4843" s="25">
        <v>1.3685999999999999E-4</v>
      </c>
      <c r="G4843" s="25">
        <v>1.5625E-4</v>
      </c>
      <c r="H4843" s="25">
        <v>1.1827E-4</v>
      </c>
      <c r="I4843" s="9">
        <v>1.1737E-4</v>
      </c>
      <c r="J4843" s="9">
        <v>1.3302E-4</v>
      </c>
      <c r="K4843" s="9">
        <v>0</v>
      </c>
      <c r="L4843" s="9">
        <v>1.1522E-4</v>
      </c>
      <c r="M4843" s="9">
        <v>1.4526E-4</v>
      </c>
      <c r="N4843" s="9">
        <v>1.6894999999999999E-4</v>
      </c>
      <c r="O4843" s="9">
        <v>1.2752999999999999E-4</v>
      </c>
      <c r="P4843" s="9">
        <v>1.4080000000000001E-4</v>
      </c>
      <c r="Q4843" s="9">
        <v>1.5385999999999999E-4</v>
      </c>
      <c r="R4843" s="10">
        <v>1.1179434851309866E-4</v>
      </c>
      <c r="S4843" s="10">
        <v>1.6574795214859786E-4</v>
      </c>
      <c r="T4843" s="10">
        <v>4.0789965985680177E-4</v>
      </c>
      <c r="U4843" s="10">
        <v>7.9060000000000005E-5</v>
      </c>
      <c r="V4843" s="25"/>
      <c r="W4843" s="25"/>
      <c r="X4843" s="25"/>
      <c r="Y4843" s="25"/>
      <c r="Z4843" s="25"/>
      <c r="AA4843" s="25"/>
    </row>
    <row r="4844" spans="1:27" x14ac:dyDescent="0.35">
      <c r="A4844" s="5">
        <v>4840</v>
      </c>
      <c r="B4844" s="5">
        <v>202</v>
      </c>
      <c r="C4844" s="5">
        <v>7</v>
      </c>
      <c r="D4844" s="25">
        <v>1.1415000000000001E-4</v>
      </c>
      <c r="E4844" s="25">
        <v>1.1388E-4</v>
      </c>
      <c r="F4844" s="25">
        <v>1.2747E-4</v>
      </c>
      <c r="G4844" s="25">
        <v>1.6239E-4</v>
      </c>
      <c r="H4844" s="25">
        <v>1.1314E-4</v>
      </c>
      <c r="I4844" s="9">
        <v>1.1746E-4</v>
      </c>
      <c r="J4844" s="9">
        <v>1.3334999999999999E-4</v>
      </c>
      <c r="K4844" s="9">
        <v>0</v>
      </c>
      <c r="L4844" s="9">
        <v>1.2523999999999999E-4</v>
      </c>
      <c r="M4844" s="9">
        <v>1.4191E-4</v>
      </c>
      <c r="N4844" s="9">
        <v>1.6547E-4</v>
      </c>
      <c r="O4844" s="9">
        <v>1.3365999999999999E-4</v>
      </c>
      <c r="P4844" s="9">
        <v>1.2180000000000001E-4</v>
      </c>
      <c r="Q4844" s="9">
        <v>1.1010000000000001E-4</v>
      </c>
      <c r="R4844" s="10">
        <v>1.130158079267558E-4</v>
      </c>
      <c r="S4844" s="10">
        <v>1.7303629296879357E-4</v>
      </c>
      <c r="T4844" s="10">
        <v>2.736441069401466E-4</v>
      </c>
      <c r="U4844" s="10">
        <v>7.9060000000000005E-5</v>
      </c>
      <c r="V4844" s="25"/>
      <c r="W4844" s="25"/>
      <c r="X4844" s="25"/>
      <c r="Y4844" s="25"/>
      <c r="Z4844" s="25"/>
      <c r="AA4844" s="25"/>
    </row>
    <row r="4845" spans="1:27" x14ac:dyDescent="0.35">
      <c r="A4845" s="5">
        <v>4841</v>
      </c>
      <c r="B4845" s="5">
        <v>202</v>
      </c>
      <c r="C4845" s="5">
        <v>7</v>
      </c>
      <c r="D4845" s="25">
        <v>1.1416E-4</v>
      </c>
      <c r="E4845" s="25">
        <v>1.1112000000000001E-4</v>
      </c>
      <c r="F4845" s="25">
        <v>1.2536000000000001E-4</v>
      </c>
      <c r="G4845" s="25">
        <v>1.6608000000000001E-4</v>
      </c>
      <c r="H4845" s="25">
        <v>1.1461E-4</v>
      </c>
      <c r="I4845" s="9">
        <v>1.1801E-4</v>
      </c>
      <c r="J4845" s="9">
        <v>1.3333E-4</v>
      </c>
      <c r="K4845" s="9">
        <v>0</v>
      </c>
      <c r="L4845" s="9">
        <v>1.3149E-4</v>
      </c>
      <c r="M4845" s="9">
        <v>1.3399000000000001E-4</v>
      </c>
      <c r="N4845" s="9">
        <v>1.5202E-4</v>
      </c>
      <c r="O4845" s="9">
        <v>1.4053000000000001E-4</v>
      </c>
      <c r="P4845" s="9">
        <v>1.2420000000000001E-4</v>
      </c>
      <c r="Q4845" s="9">
        <v>1.0809E-4</v>
      </c>
      <c r="R4845" s="10">
        <v>1.1156728830518117E-4</v>
      </c>
      <c r="S4845" s="10">
        <v>1.7489329321039495E-4</v>
      </c>
      <c r="T4845" s="10">
        <v>2.649307315075502E-4</v>
      </c>
      <c r="U4845" s="10">
        <v>7.9060000000000005E-5</v>
      </c>
      <c r="V4845" s="25"/>
      <c r="W4845" s="25"/>
      <c r="X4845" s="25"/>
      <c r="Y4845" s="25"/>
      <c r="Z4845" s="25"/>
      <c r="AA4845" s="25"/>
    </row>
    <row r="4846" spans="1:27" x14ac:dyDescent="0.35">
      <c r="A4846" s="5">
        <v>4842</v>
      </c>
      <c r="B4846" s="5">
        <v>202</v>
      </c>
      <c r="C4846" s="5">
        <v>7</v>
      </c>
      <c r="D4846" s="25">
        <v>1.1415000000000001E-4</v>
      </c>
      <c r="E4846" s="25">
        <v>1.0484000000000001E-4</v>
      </c>
      <c r="F4846" s="25">
        <v>1.2818000000000001E-4</v>
      </c>
      <c r="G4846" s="25">
        <v>1.5622999999999999E-4</v>
      </c>
      <c r="H4846" s="25">
        <v>1.1314E-4</v>
      </c>
      <c r="I4846" s="9">
        <v>1.1607000000000001E-4</v>
      </c>
      <c r="J4846" s="9">
        <v>1.2873E-4</v>
      </c>
      <c r="K4846" s="9">
        <v>0</v>
      </c>
      <c r="L4846" s="9">
        <v>1.3825E-4</v>
      </c>
      <c r="M4846" s="9">
        <v>1.2844000000000001E-4</v>
      </c>
      <c r="N4846" s="9">
        <v>1.3905999999999999E-4</v>
      </c>
      <c r="O4846" s="9">
        <v>1.3929E-4</v>
      </c>
      <c r="P4846" s="9">
        <v>1.2815999999999999E-4</v>
      </c>
      <c r="Q4846" s="9">
        <v>1.1717E-4</v>
      </c>
      <c r="R4846" s="10">
        <v>1.0823444442495602E-4</v>
      </c>
      <c r="S4846" s="10">
        <v>1.7453748152338486E-4</v>
      </c>
      <c r="T4846" s="10">
        <v>1.6146470093256223E-4</v>
      </c>
      <c r="U4846" s="10">
        <v>7.9060000000000005E-5</v>
      </c>
      <c r="V4846" s="25"/>
      <c r="W4846" s="25"/>
      <c r="X4846" s="25"/>
      <c r="Y4846" s="25"/>
      <c r="Z4846" s="25"/>
      <c r="AA4846" s="25"/>
    </row>
    <row r="4847" spans="1:27" x14ac:dyDescent="0.35">
      <c r="A4847" s="5">
        <v>4843</v>
      </c>
      <c r="B4847" s="5">
        <v>202</v>
      </c>
      <c r="C4847" s="5">
        <v>7</v>
      </c>
      <c r="D4847" s="25">
        <v>1.1416E-4</v>
      </c>
      <c r="E4847" s="25">
        <v>1.0998E-4</v>
      </c>
      <c r="F4847" s="25">
        <v>1.2112000000000001E-4</v>
      </c>
      <c r="G4847" s="25">
        <v>1.1207E-4</v>
      </c>
      <c r="H4847" s="25">
        <v>7.9300000000000003E-5</v>
      </c>
      <c r="I4847" s="9">
        <v>1.1154000000000001E-4</v>
      </c>
      <c r="J4847" s="9">
        <v>1.2515000000000001E-4</v>
      </c>
      <c r="K4847" s="9">
        <v>0</v>
      </c>
      <c r="L4847" s="9">
        <v>1.3896000000000001E-4</v>
      </c>
      <c r="M4847" s="9">
        <v>1.2705999999999999E-4</v>
      </c>
      <c r="N4847" s="9">
        <v>1.3004999999999999E-4</v>
      </c>
      <c r="O4847" s="9">
        <v>1.4153000000000001E-4</v>
      </c>
      <c r="P4847" s="9">
        <v>1.2455999999999999E-4</v>
      </c>
      <c r="Q4847" s="9">
        <v>1.0781E-4</v>
      </c>
      <c r="R4847" s="10">
        <v>8.46007104731388E-5</v>
      </c>
      <c r="S4847" s="10">
        <v>1.6933079580951711E-4</v>
      </c>
      <c r="T4847" s="10">
        <v>4.5467360217413756E-5</v>
      </c>
      <c r="U4847" s="10">
        <v>7.9060000000000005E-5</v>
      </c>
      <c r="V4847" s="25"/>
      <c r="W4847" s="25"/>
      <c r="X4847" s="25"/>
      <c r="Y4847" s="25"/>
      <c r="Z4847" s="25"/>
      <c r="AA4847" s="25"/>
    </row>
    <row r="4848" spans="1:27" x14ac:dyDescent="0.35">
      <c r="A4848" s="5">
        <v>4844</v>
      </c>
      <c r="B4848" s="5">
        <v>202</v>
      </c>
      <c r="C4848" s="5">
        <v>7</v>
      </c>
      <c r="D4848" s="25">
        <v>1.1415000000000001E-4</v>
      </c>
      <c r="E4848" s="25">
        <v>1.1218999999999999E-4</v>
      </c>
      <c r="F4848" s="25">
        <v>1.281E-4</v>
      </c>
      <c r="G4848" s="25">
        <v>1.0863E-4</v>
      </c>
      <c r="H4848" s="25">
        <v>7.7780000000000004E-5</v>
      </c>
      <c r="I4848" s="9">
        <v>1.0699E-4</v>
      </c>
      <c r="J4848" s="9">
        <v>1.2182E-4</v>
      </c>
      <c r="K4848" s="9">
        <v>0</v>
      </c>
      <c r="L4848" s="9">
        <v>1.4098E-4</v>
      </c>
      <c r="M4848" s="9">
        <v>1.2605E-4</v>
      </c>
      <c r="N4848" s="9">
        <v>1.2120000000000001E-4</v>
      </c>
      <c r="O4848" s="9">
        <v>1.4368000000000001E-4</v>
      </c>
      <c r="P4848" s="9">
        <v>1.2290000000000001E-4</v>
      </c>
      <c r="Q4848" s="9">
        <v>1.024E-4</v>
      </c>
      <c r="R4848" s="10">
        <v>5.4822435255842447E-5</v>
      </c>
      <c r="S4848" s="10">
        <v>1.6135047738776554E-4</v>
      </c>
      <c r="T4848" s="10">
        <v>7.1522643521701414E-6</v>
      </c>
      <c r="U4848" s="10">
        <v>7.9060000000000005E-5</v>
      </c>
      <c r="V4848" s="25"/>
      <c r="W4848" s="25"/>
      <c r="X4848" s="25"/>
      <c r="Y4848" s="25"/>
      <c r="Z4848" s="25"/>
      <c r="AA4848" s="25"/>
    </row>
    <row r="4849" spans="1:27" x14ac:dyDescent="0.35">
      <c r="A4849" s="5">
        <v>4845</v>
      </c>
      <c r="B4849" s="5">
        <v>202</v>
      </c>
      <c r="C4849" s="5">
        <v>7</v>
      </c>
      <c r="D4849" s="25">
        <v>1.1416E-4</v>
      </c>
      <c r="E4849" s="25">
        <v>1.0721999999999999E-4</v>
      </c>
      <c r="F4849" s="25">
        <v>1.3784999999999999E-4</v>
      </c>
      <c r="G4849" s="25">
        <v>5.3720000000000001E-5</v>
      </c>
      <c r="H4849" s="25">
        <v>3.9310000000000001E-5</v>
      </c>
      <c r="I4849" s="9">
        <v>1.0435E-4</v>
      </c>
      <c r="J4849" s="9">
        <v>1.1942000000000001E-4</v>
      </c>
      <c r="K4849" s="9">
        <v>0</v>
      </c>
      <c r="L4849" s="9">
        <v>1.4307E-4</v>
      </c>
      <c r="M4849" s="9">
        <v>1.247E-4</v>
      </c>
      <c r="N4849" s="9">
        <v>1.136E-4</v>
      </c>
      <c r="O4849" s="9">
        <v>8.3789999999999996E-5</v>
      </c>
      <c r="P4849" s="9">
        <v>8.5669999999999998E-5</v>
      </c>
      <c r="Q4849" s="9">
        <v>8.7650000000000003E-5</v>
      </c>
      <c r="R4849" s="10">
        <v>4.441394492632801E-5</v>
      </c>
      <c r="S4849" s="10">
        <v>1.5184575956185E-4</v>
      </c>
      <c r="T4849" s="10">
        <v>0</v>
      </c>
      <c r="U4849" s="10">
        <v>7.9060000000000005E-5</v>
      </c>
      <c r="V4849" s="25"/>
      <c r="W4849" s="25"/>
      <c r="X4849" s="25"/>
      <c r="Y4849" s="25"/>
      <c r="Z4849" s="25"/>
      <c r="AA4849" s="25"/>
    </row>
    <row r="4850" spans="1:27" x14ac:dyDescent="0.35">
      <c r="A4850" s="5">
        <v>4846</v>
      </c>
      <c r="B4850" s="5">
        <v>202</v>
      </c>
      <c r="C4850" s="5">
        <v>7</v>
      </c>
      <c r="D4850" s="25">
        <v>1.1415000000000001E-4</v>
      </c>
      <c r="E4850" s="25">
        <v>1.0778E-4</v>
      </c>
      <c r="F4850" s="25">
        <v>1.3177999999999999E-4</v>
      </c>
      <c r="G4850" s="25">
        <v>6.2970000000000002E-5</v>
      </c>
      <c r="H4850" s="25">
        <v>3.7570000000000001E-5</v>
      </c>
      <c r="I4850" s="9">
        <v>1.0778E-4</v>
      </c>
      <c r="J4850" s="9">
        <v>1.1929E-4</v>
      </c>
      <c r="K4850" s="9">
        <v>2.12E-6</v>
      </c>
      <c r="L4850" s="9">
        <v>9.6769999999999997E-5</v>
      </c>
      <c r="M4850" s="9">
        <v>1.1026E-4</v>
      </c>
      <c r="N4850" s="9">
        <v>1.058E-4</v>
      </c>
      <c r="O4850" s="9">
        <v>8.755E-5</v>
      </c>
      <c r="P4850" s="9">
        <v>8.8090000000000005E-5</v>
      </c>
      <c r="Q4850" s="9">
        <v>8.8739999999999994E-5</v>
      </c>
      <c r="R4850" s="10">
        <v>4.2744446036990142E-5</v>
      </c>
      <c r="S4850" s="10">
        <v>1.3632250658729685E-4</v>
      </c>
      <c r="T4850" s="10">
        <v>0</v>
      </c>
      <c r="U4850" s="10">
        <v>7.9060000000000005E-5</v>
      </c>
      <c r="V4850" s="25"/>
      <c r="W4850" s="25"/>
      <c r="X4850" s="25"/>
      <c r="Y4850" s="25"/>
      <c r="Z4850" s="25"/>
      <c r="AA4850" s="25"/>
    </row>
    <row r="4851" spans="1:27" x14ac:dyDescent="0.35">
      <c r="A4851" s="5">
        <v>4847</v>
      </c>
      <c r="B4851" s="5">
        <v>202</v>
      </c>
      <c r="C4851" s="5">
        <v>7</v>
      </c>
      <c r="D4851" s="25">
        <v>1.1416E-4</v>
      </c>
      <c r="E4851" s="25">
        <v>1.0985E-4</v>
      </c>
      <c r="F4851" s="25">
        <v>1.3370999999999999E-4</v>
      </c>
      <c r="G4851" s="25">
        <v>6.3059999999999996E-5</v>
      </c>
      <c r="H4851" s="25">
        <v>3.7679999999999998E-5</v>
      </c>
      <c r="I4851" s="9">
        <v>1.0349E-4</v>
      </c>
      <c r="J4851" s="9">
        <v>1.1425999999999999E-4</v>
      </c>
      <c r="K4851" s="9">
        <v>6.3600000000000001E-6</v>
      </c>
      <c r="L4851" s="9">
        <v>9.0879999999999997E-5</v>
      </c>
      <c r="M4851" s="9">
        <v>9.8380000000000003E-5</v>
      </c>
      <c r="N4851" s="9">
        <v>1.0001999999999999E-4</v>
      </c>
      <c r="O4851" s="9">
        <v>8.4829999999999999E-5</v>
      </c>
      <c r="P4851" s="9">
        <v>7.5889999999999993E-5</v>
      </c>
      <c r="Q4851" s="9">
        <v>6.7230000000000005E-5</v>
      </c>
      <c r="R4851" s="10">
        <v>4.2956488807364458E-5</v>
      </c>
      <c r="S4851" s="10">
        <v>1.2026589728533954E-4</v>
      </c>
      <c r="T4851" s="10">
        <v>0</v>
      </c>
      <c r="U4851" s="10">
        <v>7.9060000000000005E-5</v>
      </c>
      <c r="V4851" s="25"/>
      <c r="W4851" s="25"/>
      <c r="X4851" s="25"/>
      <c r="Y4851" s="25"/>
      <c r="Z4851" s="25"/>
      <c r="AA4851" s="25"/>
    </row>
    <row r="4852" spans="1:27" x14ac:dyDescent="0.35">
      <c r="A4852" s="5">
        <v>4848</v>
      </c>
      <c r="B4852" s="5">
        <v>202</v>
      </c>
      <c r="C4852" s="5">
        <v>7</v>
      </c>
      <c r="D4852" s="25">
        <v>1.1415000000000001E-4</v>
      </c>
      <c r="E4852" s="25">
        <v>1.1268999999999999E-4</v>
      </c>
      <c r="F4852" s="25">
        <v>1.2846999999999999E-4</v>
      </c>
      <c r="G4852" s="25">
        <v>5.9429999999999999E-5</v>
      </c>
      <c r="H4852" s="25">
        <v>4.0540000000000001E-5</v>
      </c>
      <c r="I4852" s="9">
        <v>9.789E-5</v>
      </c>
      <c r="J4852" s="9">
        <v>1.0594000000000001E-4</v>
      </c>
      <c r="K4852" s="9">
        <v>4.2400000000000001E-6</v>
      </c>
      <c r="L4852" s="9">
        <v>8.6370000000000001E-5</v>
      </c>
      <c r="M4852" s="9">
        <v>8.7520000000000002E-5</v>
      </c>
      <c r="N4852" s="9">
        <v>9.077E-5</v>
      </c>
      <c r="O4852" s="9">
        <v>7.8549999999999998E-5</v>
      </c>
      <c r="P4852" s="9">
        <v>6.8390000000000001E-5</v>
      </c>
      <c r="Q4852" s="9">
        <v>5.8539999999999999E-5</v>
      </c>
      <c r="R4852" s="10">
        <v>7.1735770140352956E-5</v>
      </c>
      <c r="S4852" s="10">
        <v>1.1365811814323664E-4</v>
      </c>
      <c r="T4852" s="10">
        <v>0</v>
      </c>
      <c r="U4852" s="10">
        <v>7.9060000000000005E-5</v>
      </c>
      <c r="V4852" s="25"/>
      <c r="W4852" s="25"/>
      <c r="X4852" s="25"/>
      <c r="Y4852" s="25"/>
      <c r="Z4852" s="25"/>
      <c r="AA4852" s="25"/>
    </row>
    <row r="4853" spans="1:27" x14ac:dyDescent="0.35">
      <c r="A4853" s="5">
        <v>4849</v>
      </c>
      <c r="B4853" s="5">
        <v>203</v>
      </c>
      <c r="C4853" s="5">
        <v>7</v>
      </c>
      <c r="D4853" s="25">
        <v>1.1416E-4</v>
      </c>
      <c r="E4853" s="25">
        <v>1.2113E-4</v>
      </c>
      <c r="F4853" s="25">
        <v>9.9539999999999999E-5</v>
      </c>
      <c r="G4853" s="25">
        <v>5.914E-5</v>
      </c>
      <c r="H4853" s="25">
        <v>1.411E-5</v>
      </c>
      <c r="I4853" s="9">
        <v>9.3579999999999995E-5</v>
      </c>
      <c r="J4853" s="9">
        <v>1.0064999999999999E-4</v>
      </c>
      <c r="K4853" s="9">
        <v>6.3600000000000001E-6</v>
      </c>
      <c r="L4853" s="9">
        <v>8.0049999999999994E-5</v>
      </c>
      <c r="M4853" s="9">
        <v>7.8189999999999995E-5</v>
      </c>
      <c r="N4853" s="9">
        <v>8.1230000000000007E-5</v>
      </c>
      <c r="O4853" s="9">
        <v>6.7570000000000005E-5</v>
      </c>
      <c r="P4853" s="9">
        <v>6.016E-5</v>
      </c>
      <c r="Q4853" s="9">
        <v>5.3059999999999997E-5</v>
      </c>
      <c r="R4853" s="10">
        <v>7.7986614114412557E-5</v>
      </c>
      <c r="S4853" s="10">
        <v>9.927921165674894E-5</v>
      </c>
      <c r="T4853" s="10">
        <v>0</v>
      </c>
      <c r="U4853" s="10">
        <v>7.8709999999999997E-5</v>
      </c>
      <c r="V4853" s="25"/>
      <c r="W4853" s="25"/>
      <c r="X4853" s="25"/>
      <c r="Y4853" s="25"/>
      <c r="Z4853" s="25"/>
      <c r="AA4853" s="25"/>
    </row>
    <row r="4854" spans="1:27" x14ac:dyDescent="0.35">
      <c r="A4854" s="5">
        <v>4850</v>
      </c>
      <c r="B4854" s="5">
        <v>203</v>
      </c>
      <c r="C4854" s="5">
        <v>7</v>
      </c>
      <c r="D4854" s="25">
        <v>1.1415000000000001E-4</v>
      </c>
      <c r="E4854" s="25">
        <v>1.2245999999999999E-4</v>
      </c>
      <c r="F4854" s="25">
        <v>1.0143E-4</v>
      </c>
      <c r="G4854" s="25">
        <v>5.295E-5</v>
      </c>
      <c r="H4854" s="25">
        <v>1.464E-5</v>
      </c>
      <c r="I4854" s="9">
        <v>8.9629999999999994E-5</v>
      </c>
      <c r="J4854" s="9">
        <v>9.7579999999999997E-5</v>
      </c>
      <c r="K4854" s="9">
        <v>6.37E-6</v>
      </c>
      <c r="L4854" s="9">
        <v>7.0480000000000003E-5</v>
      </c>
      <c r="M4854" s="9">
        <v>6.949E-5</v>
      </c>
      <c r="N4854" s="9">
        <v>7.2009999999999997E-5</v>
      </c>
      <c r="O4854" s="9">
        <v>3.5320000000000001E-5</v>
      </c>
      <c r="P4854" s="9">
        <v>4.545E-5</v>
      </c>
      <c r="Q4854" s="9">
        <v>5.5699999999999999E-5</v>
      </c>
      <c r="R4854" s="10">
        <v>8.1214658018467567E-5</v>
      </c>
      <c r="S4854" s="10">
        <v>8.417134913079058E-5</v>
      </c>
      <c r="T4854" s="10">
        <v>0</v>
      </c>
      <c r="U4854" s="10">
        <v>7.8709999999999997E-5</v>
      </c>
      <c r="V4854" s="25"/>
      <c r="W4854" s="25"/>
      <c r="X4854" s="25"/>
      <c r="Y4854" s="25"/>
      <c r="Z4854" s="25"/>
      <c r="AA4854" s="25"/>
    </row>
    <row r="4855" spans="1:27" x14ac:dyDescent="0.35">
      <c r="A4855" s="5">
        <v>4851</v>
      </c>
      <c r="B4855" s="5">
        <v>203</v>
      </c>
      <c r="C4855" s="5">
        <v>7</v>
      </c>
      <c r="D4855" s="25">
        <v>1.1416E-4</v>
      </c>
      <c r="E4855" s="25">
        <v>1.2328E-4</v>
      </c>
      <c r="F4855" s="25">
        <v>1.0347E-4</v>
      </c>
      <c r="G4855" s="25">
        <v>6.2210000000000002E-5</v>
      </c>
      <c r="H4855" s="25">
        <v>1.491E-5</v>
      </c>
      <c r="I4855" s="9">
        <v>8.8629999999999997E-5</v>
      </c>
      <c r="J4855" s="9">
        <v>9.6230000000000005E-5</v>
      </c>
      <c r="K4855" s="9">
        <v>6.3600000000000001E-6</v>
      </c>
      <c r="L4855" s="9">
        <v>4.3309999999999997E-5</v>
      </c>
      <c r="M4855" s="9">
        <v>5.8780000000000003E-5</v>
      </c>
      <c r="N4855" s="9">
        <v>6.533E-5</v>
      </c>
      <c r="O4855" s="9">
        <v>2.247E-5</v>
      </c>
      <c r="P4855" s="9">
        <v>4.1789999999999998E-5</v>
      </c>
      <c r="Q4855" s="9">
        <v>6.1119999999999998E-5</v>
      </c>
      <c r="R4855" s="10">
        <v>8.4690047749919352E-5</v>
      </c>
      <c r="S4855" s="10">
        <v>7.607176522731234E-5</v>
      </c>
      <c r="T4855" s="10">
        <v>0</v>
      </c>
      <c r="U4855" s="10">
        <v>7.8709999999999997E-5</v>
      </c>
      <c r="V4855" s="25"/>
      <c r="W4855" s="25"/>
      <c r="X4855" s="25"/>
      <c r="Y4855" s="25"/>
      <c r="Z4855" s="25"/>
      <c r="AA4855" s="25"/>
    </row>
    <row r="4856" spans="1:27" x14ac:dyDescent="0.35">
      <c r="A4856" s="5">
        <v>4852</v>
      </c>
      <c r="B4856" s="5">
        <v>203</v>
      </c>
      <c r="C4856" s="5">
        <v>7</v>
      </c>
      <c r="D4856" s="25">
        <v>1.1415000000000001E-4</v>
      </c>
      <c r="E4856" s="25">
        <v>1.1532E-4</v>
      </c>
      <c r="F4856" s="25">
        <v>1.042E-4</v>
      </c>
      <c r="G4856" s="25">
        <v>5.9509999999999998E-5</v>
      </c>
      <c r="H4856" s="25">
        <v>1.525E-5</v>
      </c>
      <c r="I4856" s="9">
        <v>8.7620000000000005E-5</v>
      </c>
      <c r="J4856" s="9">
        <v>9.6100000000000005E-5</v>
      </c>
      <c r="K4856" s="9">
        <v>8.49E-6</v>
      </c>
      <c r="L4856" s="9">
        <v>2.7780000000000002E-5</v>
      </c>
      <c r="M4856" s="9">
        <v>5.0099999999999998E-5</v>
      </c>
      <c r="N4856" s="9">
        <v>6.1639999999999999E-5</v>
      </c>
      <c r="O4856" s="9">
        <v>2.2220000000000001E-5</v>
      </c>
      <c r="P4856" s="9">
        <v>5.1549999999999999E-5</v>
      </c>
      <c r="Q4856" s="9">
        <v>8.0749999999999998E-5</v>
      </c>
      <c r="R4856" s="10">
        <v>9.0750071420526621E-5</v>
      </c>
      <c r="S4856" s="10">
        <v>7.2575552069835148E-5</v>
      </c>
      <c r="T4856" s="10">
        <v>0</v>
      </c>
      <c r="U4856" s="10">
        <v>7.8709999999999997E-5</v>
      </c>
      <c r="V4856" s="25"/>
      <c r="W4856" s="25"/>
      <c r="X4856" s="25"/>
      <c r="Y4856" s="25"/>
      <c r="Z4856" s="25"/>
      <c r="AA4856" s="25"/>
    </row>
    <row r="4857" spans="1:27" x14ac:dyDescent="0.35">
      <c r="A4857" s="5">
        <v>4853</v>
      </c>
      <c r="B4857" s="5">
        <v>203</v>
      </c>
      <c r="C4857" s="5">
        <v>7</v>
      </c>
      <c r="D4857" s="25">
        <v>1.1416E-4</v>
      </c>
      <c r="E4857" s="25">
        <v>1.1790000000000001E-4</v>
      </c>
      <c r="F4857" s="25">
        <v>1.1055E-4</v>
      </c>
      <c r="G4857" s="25">
        <v>6.1530000000000002E-5</v>
      </c>
      <c r="H4857" s="25">
        <v>1.4810000000000001E-5</v>
      </c>
      <c r="I4857" s="9">
        <v>8.6169999999999997E-5</v>
      </c>
      <c r="J4857" s="9">
        <v>9.7369999999999998E-5</v>
      </c>
      <c r="K4857" s="9">
        <v>1.908E-5</v>
      </c>
      <c r="L4857" s="9">
        <v>2.3819999999999999E-5</v>
      </c>
      <c r="M4857" s="9">
        <v>4.8600000000000002E-5</v>
      </c>
      <c r="N4857" s="9">
        <v>6.4270000000000006E-5</v>
      </c>
      <c r="O4857" s="9">
        <v>2.391E-5</v>
      </c>
      <c r="P4857" s="9">
        <v>5.8749999999999998E-5</v>
      </c>
      <c r="Q4857" s="9">
        <v>9.3369999999999995E-5</v>
      </c>
      <c r="R4857" s="10">
        <v>9.6937351211097785E-5</v>
      </c>
      <c r="S4857" s="10">
        <v>6.5012534243781762E-5</v>
      </c>
      <c r="T4857" s="10">
        <v>0</v>
      </c>
      <c r="U4857" s="10">
        <v>7.8709999999999997E-5</v>
      </c>
      <c r="V4857" s="25"/>
      <c r="W4857" s="25"/>
      <c r="X4857" s="25"/>
      <c r="Y4857" s="25"/>
      <c r="Z4857" s="25"/>
      <c r="AA4857" s="25"/>
    </row>
    <row r="4858" spans="1:27" x14ac:dyDescent="0.35">
      <c r="A4858" s="5">
        <v>4854</v>
      </c>
      <c r="B4858" s="5">
        <v>203</v>
      </c>
      <c r="C4858" s="5">
        <v>7</v>
      </c>
      <c r="D4858" s="25">
        <v>1.1415000000000001E-4</v>
      </c>
      <c r="E4858" s="25">
        <v>1.2125000000000001E-4</v>
      </c>
      <c r="F4858" s="25">
        <v>1.0221999999999999E-4</v>
      </c>
      <c r="G4858" s="25">
        <v>1.06E-4</v>
      </c>
      <c r="H4858" s="25">
        <v>2.5850000000000002E-5</v>
      </c>
      <c r="I4858" s="9">
        <v>8.6349999999999998E-5</v>
      </c>
      <c r="J4858" s="9">
        <v>1.031E-4</v>
      </c>
      <c r="K4858" s="9">
        <v>2.968E-5</v>
      </c>
      <c r="L4858" s="9">
        <v>2.3810000000000001E-5</v>
      </c>
      <c r="M4858" s="9">
        <v>5.2219999999999998E-5</v>
      </c>
      <c r="N4858" s="9">
        <v>7.0809999999999995E-5</v>
      </c>
      <c r="O4858" s="9">
        <v>3.01E-5</v>
      </c>
      <c r="P4858" s="9">
        <v>6.8510000000000006E-5</v>
      </c>
      <c r="Q4858" s="9">
        <v>1.0663E-4</v>
      </c>
      <c r="R4858" s="10">
        <v>9.4037709412801717E-5</v>
      </c>
      <c r="S4858" s="10">
        <v>5.7322279966626689E-5</v>
      </c>
      <c r="T4858" s="10">
        <v>3.470078434208289E-5</v>
      </c>
      <c r="U4858" s="10">
        <v>7.8709999999999997E-5</v>
      </c>
      <c r="V4858" s="25"/>
      <c r="W4858" s="25"/>
      <c r="X4858" s="25"/>
      <c r="Y4858" s="25"/>
      <c r="Z4858" s="25"/>
      <c r="AA4858" s="25"/>
    </row>
    <row r="4859" spans="1:27" x14ac:dyDescent="0.35">
      <c r="A4859" s="5">
        <v>4855</v>
      </c>
      <c r="B4859" s="5">
        <v>203</v>
      </c>
      <c r="C4859" s="5">
        <v>7</v>
      </c>
      <c r="D4859" s="25">
        <v>1.1416E-4</v>
      </c>
      <c r="E4859" s="25">
        <v>1.1650999999999999E-4</v>
      </c>
      <c r="F4859" s="25">
        <v>9.7969999999999999E-5</v>
      </c>
      <c r="G4859" s="25">
        <v>1.0437000000000001E-4</v>
      </c>
      <c r="H4859" s="25">
        <v>2.6129999999999999E-5</v>
      </c>
      <c r="I4859" s="9">
        <v>8.8549999999999998E-5</v>
      </c>
      <c r="J4859" s="9">
        <v>1.1597E-4</v>
      </c>
      <c r="K4859" s="9">
        <v>2.3309999999999999E-5</v>
      </c>
      <c r="L4859" s="9">
        <v>2.8629999999999999E-5</v>
      </c>
      <c r="M4859" s="9">
        <v>5.9150000000000001E-5</v>
      </c>
      <c r="N4859" s="9">
        <v>8.0480000000000002E-5</v>
      </c>
      <c r="O4859" s="9">
        <v>4.6780000000000003E-5</v>
      </c>
      <c r="P4859" s="9">
        <v>8.0090000000000001E-5</v>
      </c>
      <c r="Q4859" s="9">
        <v>1.1313E-4</v>
      </c>
      <c r="R4859" s="10">
        <v>7.9292996948155566E-5</v>
      </c>
      <c r="S4859" s="10">
        <v>4.8027004734920748E-5</v>
      </c>
      <c r="T4859" s="10">
        <v>1.3854012408847714E-4</v>
      </c>
      <c r="U4859" s="10">
        <v>7.8709999999999997E-5</v>
      </c>
      <c r="V4859" s="25"/>
      <c r="W4859" s="25"/>
      <c r="X4859" s="25"/>
      <c r="Y4859" s="25"/>
      <c r="Z4859" s="25"/>
      <c r="AA4859" s="25"/>
    </row>
    <row r="4860" spans="1:27" x14ac:dyDescent="0.35">
      <c r="A4860" s="5">
        <v>4856</v>
      </c>
      <c r="B4860" s="5">
        <v>203</v>
      </c>
      <c r="C4860" s="5">
        <v>7</v>
      </c>
      <c r="D4860" s="25">
        <v>1.1415000000000001E-4</v>
      </c>
      <c r="E4860" s="25">
        <v>1.1225E-4</v>
      </c>
      <c r="F4860" s="25">
        <v>1.0620000000000001E-4</v>
      </c>
      <c r="G4860" s="25">
        <v>1.6731999999999999E-4</v>
      </c>
      <c r="H4860" s="25">
        <v>3.9100000000000002E-5</v>
      </c>
      <c r="I4860" s="9">
        <v>9.2590000000000006E-5</v>
      </c>
      <c r="J4860" s="9">
        <v>1.2647E-4</v>
      </c>
      <c r="K4860" s="9">
        <v>2.9669999999999999E-5</v>
      </c>
      <c r="L4860" s="9">
        <v>4.265E-5</v>
      </c>
      <c r="M4860" s="9">
        <v>6.8440000000000002E-5</v>
      </c>
      <c r="N4860" s="9">
        <v>9.0790000000000003E-5</v>
      </c>
      <c r="O4860" s="9">
        <v>6.7529999999999999E-5</v>
      </c>
      <c r="P4860" s="9">
        <v>1.0155E-4</v>
      </c>
      <c r="Q4860" s="9">
        <v>1.3522E-4</v>
      </c>
      <c r="R4860" s="10">
        <v>6.0685948836361016E-5</v>
      </c>
      <c r="S4860" s="10">
        <v>4.1240109698271908E-5</v>
      </c>
      <c r="T4860" s="10">
        <v>3.1174709532163662E-4</v>
      </c>
      <c r="U4860" s="10">
        <v>7.8709999999999997E-5</v>
      </c>
      <c r="V4860" s="25"/>
      <c r="W4860" s="25"/>
      <c r="X4860" s="25"/>
      <c r="Y4860" s="25"/>
      <c r="Z4860" s="25"/>
      <c r="AA4860" s="25"/>
    </row>
    <row r="4861" spans="1:27" x14ac:dyDescent="0.35">
      <c r="A4861" s="5">
        <v>4857</v>
      </c>
      <c r="B4861" s="5">
        <v>203</v>
      </c>
      <c r="C4861" s="5">
        <v>7</v>
      </c>
      <c r="D4861" s="25">
        <v>1.1416E-4</v>
      </c>
      <c r="E4861" s="25">
        <v>1.1934000000000001E-4</v>
      </c>
      <c r="F4861" s="25">
        <v>1.0573000000000001E-4</v>
      </c>
      <c r="G4861" s="25">
        <v>1.661E-4</v>
      </c>
      <c r="H4861" s="25">
        <v>4.0599999999999998E-5</v>
      </c>
      <c r="I4861" s="9">
        <v>9.5190000000000002E-5</v>
      </c>
      <c r="J4861" s="9">
        <v>1.3158000000000001E-4</v>
      </c>
      <c r="K4861" s="9">
        <v>1.696E-5</v>
      </c>
      <c r="L4861" s="9">
        <v>6.1680000000000006E-5</v>
      </c>
      <c r="M4861" s="9">
        <v>8.2670000000000006E-5</v>
      </c>
      <c r="N4861" s="9">
        <v>1.0425999999999999E-4</v>
      </c>
      <c r="O4861" s="9">
        <v>1.0034E-4</v>
      </c>
      <c r="P4861" s="9">
        <v>1.3964000000000001E-4</v>
      </c>
      <c r="Q4861" s="9">
        <v>1.7841999999999999E-4</v>
      </c>
      <c r="R4861" s="10">
        <v>5.3286713762913084E-5</v>
      </c>
      <c r="S4861" s="10">
        <v>4.1567544763217707E-5</v>
      </c>
      <c r="T4861" s="10">
        <v>3.9175403819348057E-4</v>
      </c>
      <c r="U4861" s="10">
        <v>7.8709999999999997E-5</v>
      </c>
      <c r="V4861" s="25"/>
      <c r="W4861" s="25"/>
      <c r="X4861" s="25"/>
      <c r="Y4861" s="25"/>
      <c r="Z4861" s="25"/>
      <c r="AA4861" s="25"/>
    </row>
    <row r="4862" spans="1:27" x14ac:dyDescent="0.35">
      <c r="A4862" s="5">
        <v>4858</v>
      </c>
      <c r="B4862" s="5">
        <v>203</v>
      </c>
      <c r="C4862" s="5">
        <v>7</v>
      </c>
      <c r="D4862" s="25">
        <v>1.1415000000000001E-4</v>
      </c>
      <c r="E4862" s="25">
        <v>1.2329999999999999E-4</v>
      </c>
      <c r="F4862" s="25">
        <v>9.1310000000000005E-5</v>
      </c>
      <c r="G4862" s="25">
        <v>1.5951E-4</v>
      </c>
      <c r="H4862" s="25">
        <v>3.8250000000000001E-5</v>
      </c>
      <c r="I4862" s="9">
        <v>9.6979999999999996E-5</v>
      </c>
      <c r="J4862" s="9">
        <v>1.3323E-4</v>
      </c>
      <c r="K4862" s="9">
        <v>0</v>
      </c>
      <c r="L4862" s="9">
        <v>9.1340000000000003E-5</v>
      </c>
      <c r="M4862" s="9">
        <v>1.0676E-4</v>
      </c>
      <c r="N4862" s="9">
        <v>1.2464E-4</v>
      </c>
      <c r="O4862" s="9">
        <v>1.2656000000000001E-4</v>
      </c>
      <c r="P4862" s="9">
        <v>1.5360999999999999E-4</v>
      </c>
      <c r="Q4862" s="9">
        <v>1.8023E-4</v>
      </c>
      <c r="R4862" s="10">
        <v>4.7580382726410184E-5</v>
      </c>
      <c r="S4862" s="10">
        <v>4.4440382227758357E-5</v>
      </c>
      <c r="T4862" s="10">
        <v>4.6254703197106973E-4</v>
      </c>
      <c r="U4862" s="10">
        <v>7.8709999999999997E-5</v>
      </c>
      <c r="V4862" s="25"/>
      <c r="W4862" s="25"/>
      <c r="X4862" s="25"/>
      <c r="Y4862" s="25"/>
      <c r="Z4862" s="25"/>
      <c r="AA4862" s="25"/>
    </row>
    <row r="4863" spans="1:27" x14ac:dyDescent="0.35">
      <c r="A4863" s="5">
        <v>4859</v>
      </c>
      <c r="B4863" s="5">
        <v>203</v>
      </c>
      <c r="C4863" s="5">
        <v>7</v>
      </c>
      <c r="D4863" s="25">
        <v>1.1416E-4</v>
      </c>
      <c r="E4863" s="25">
        <v>1.1926000000000001E-4</v>
      </c>
      <c r="F4863" s="25">
        <v>9.7570000000000003E-5</v>
      </c>
      <c r="G4863" s="25">
        <v>1.6302999999999999E-4</v>
      </c>
      <c r="H4863" s="25">
        <v>3.9020000000000002E-5</v>
      </c>
      <c r="I4863" s="9">
        <v>9.8679999999999997E-5</v>
      </c>
      <c r="J4863" s="9">
        <v>1.3368000000000001E-4</v>
      </c>
      <c r="K4863" s="9">
        <v>0</v>
      </c>
      <c r="L4863" s="9">
        <v>1.1807999999999999E-4</v>
      </c>
      <c r="M4863" s="9">
        <v>1.2972E-4</v>
      </c>
      <c r="N4863" s="9">
        <v>1.4234E-4</v>
      </c>
      <c r="O4863" s="9">
        <v>1.3671000000000001E-4</v>
      </c>
      <c r="P4863" s="9">
        <v>1.5872E-4</v>
      </c>
      <c r="Q4863" s="9">
        <v>1.8034999999999999E-4</v>
      </c>
      <c r="R4863" s="10">
        <v>5.8725842752760234E-5</v>
      </c>
      <c r="S4863" s="10">
        <v>5.395500469003957E-5</v>
      </c>
      <c r="T4863" s="10">
        <v>1.8744362554269864E-4</v>
      </c>
      <c r="U4863" s="10">
        <v>7.8709999999999997E-5</v>
      </c>
      <c r="V4863" s="25"/>
      <c r="W4863" s="25"/>
      <c r="X4863" s="25"/>
      <c r="Y4863" s="25"/>
      <c r="Z4863" s="25"/>
      <c r="AA4863" s="25"/>
    </row>
    <row r="4864" spans="1:27" x14ac:dyDescent="0.35">
      <c r="A4864" s="5">
        <v>4860</v>
      </c>
      <c r="B4864" s="5">
        <v>203</v>
      </c>
      <c r="C4864" s="5">
        <v>7</v>
      </c>
      <c r="D4864" s="25">
        <v>1.1415000000000001E-4</v>
      </c>
      <c r="E4864" s="25">
        <v>1.2260999999999999E-4</v>
      </c>
      <c r="F4864" s="25">
        <v>9.4770000000000002E-5</v>
      </c>
      <c r="G4864" s="25">
        <v>1.6190000000000001E-4</v>
      </c>
      <c r="H4864" s="25">
        <v>3.8340000000000002E-5</v>
      </c>
      <c r="I4864" s="9">
        <v>9.9370000000000006E-5</v>
      </c>
      <c r="J4864" s="9">
        <v>1.3237000000000001E-4</v>
      </c>
      <c r="K4864" s="9">
        <v>0</v>
      </c>
      <c r="L4864" s="9">
        <v>1.3198999999999999E-4</v>
      </c>
      <c r="M4864" s="9">
        <v>1.4557E-4</v>
      </c>
      <c r="N4864" s="9">
        <v>1.5663999999999999E-4</v>
      </c>
      <c r="O4864" s="9">
        <v>1.3809E-4</v>
      </c>
      <c r="P4864" s="9">
        <v>1.5669999999999999E-4</v>
      </c>
      <c r="Q4864" s="9">
        <v>1.7499E-4</v>
      </c>
      <c r="R4864" s="10">
        <v>5.0842308230662421E-5</v>
      </c>
      <c r="S4864" s="10">
        <v>5.5030363217235544E-5</v>
      </c>
      <c r="T4864" s="10">
        <v>5.8024123255624672E-4</v>
      </c>
      <c r="U4864" s="10">
        <v>7.8709999999999997E-5</v>
      </c>
      <c r="V4864" s="25"/>
      <c r="W4864" s="25"/>
      <c r="X4864" s="25"/>
      <c r="Y4864" s="25"/>
      <c r="Z4864" s="25"/>
      <c r="AA4864" s="25"/>
    </row>
    <row r="4865" spans="1:27" x14ac:dyDescent="0.35">
      <c r="A4865" s="5">
        <v>4861</v>
      </c>
      <c r="B4865" s="5">
        <v>203</v>
      </c>
      <c r="C4865" s="5">
        <v>7</v>
      </c>
      <c r="D4865" s="25">
        <v>1.1416E-4</v>
      </c>
      <c r="E4865" s="25">
        <v>1.1773999999999999E-4</v>
      </c>
      <c r="F4865" s="25">
        <v>1.1038E-4</v>
      </c>
      <c r="G4865" s="25">
        <v>1.6443E-4</v>
      </c>
      <c r="H4865" s="25">
        <v>3.8040000000000002E-5</v>
      </c>
      <c r="I4865" s="9">
        <v>9.7260000000000001E-5</v>
      </c>
      <c r="J4865" s="9">
        <v>1.3310000000000001E-4</v>
      </c>
      <c r="K4865" s="9">
        <v>0</v>
      </c>
      <c r="L4865" s="9">
        <v>1.3655000000000001E-4</v>
      </c>
      <c r="M4865" s="9">
        <v>1.5299000000000001E-4</v>
      </c>
      <c r="N4865" s="9">
        <v>1.6631E-4</v>
      </c>
      <c r="O4865" s="9">
        <v>1.2877E-4</v>
      </c>
      <c r="P4865" s="9">
        <v>1.4792000000000001E-4</v>
      </c>
      <c r="Q4865" s="9">
        <v>1.6678E-4</v>
      </c>
      <c r="R4865" s="10">
        <v>6.4997974495518569E-5</v>
      </c>
      <c r="S4865" s="10">
        <v>5.3936967393508656E-5</v>
      </c>
      <c r="T4865" s="10">
        <v>6.1908235498119913E-4</v>
      </c>
      <c r="U4865" s="10">
        <v>7.8709999999999997E-5</v>
      </c>
      <c r="V4865" s="25"/>
      <c r="W4865" s="25"/>
      <c r="X4865" s="25"/>
      <c r="Y4865" s="25"/>
      <c r="Z4865" s="25"/>
      <c r="AA4865" s="25"/>
    </row>
    <row r="4866" spans="1:27" x14ac:dyDescent="0.35">
      <c r="A4866" s="5">
        <v>4862</v>
      </c>
      <c r="B4866" s="5">
        <v>203</v>
      </c>
      <c r="C4866" s="5">
        <v>7</v>
      </c>
      <c r="D4866" s="25">
        <v>1.1415000000000001E-4</v>
      </c>
      <c r="E4866" s="25">
        <v>1.119E-4</v>
      </c>
      <c r="F4866" s="25">
        <v>9.7510000000000007E-5</v>
      </c>
      <c r="G4866" s="25">
        <v>1.5856E-4</v>
      </c>
      <c r="H4866" s="25">
        <v>3.9929999999999999E-5</v>
      </c>
      <c r="I4866" s="9">
        <v>9.5309999999999994E-5</v>
      </c>
      <c r="J4866" s="9">
        <v>1.3276E-4</v>
      </c>
      <c r="K4866" s="9">
        <v>0</v>
      </c>
      <c r="L4866" s="9">
        <v>1.3051999999999999E-4</v>
      </c>
      <c r="M4866" s="9">
        <v>1.5260999999999999E-4</v>
      </c>
      <c r="N4866" s="9">
        <v>1.7053000000000001E-4</v>
      </c>
      <c r="O4866" s="9">
        <v>1.1103999999999999E-4</v>
      </c>
      <c r="P4866" s="9">
        <v>1.3543E-4</v>
      </c>
      <c r="Q4866" s="9">
        <v>1.5949000000000001E-4</v>
      </c>
      <c r="R4866" s="10">
        <v>7.416727892802965E-5</v>
      </c>
      <c r="S4866" s="10">
        <v>5.8627100964289839E-5</v>
      </c>
      <c r="T4866" s="10">
        <v>5.5643428857974676E-4</v>
      </c>
      <c r="U4866" s="10">
        <v>7.8709999999999997E-5</v>
      </c>
      <c r="V4866" s="25"/>
      <c r="W4866" s="25"/>
      <c r="X4866" s="25"/>
      <c r="Y4866" s="25"/>
      <c r="Z4866" s="25"/>
      <c r="AA4866" s="25"/>
    </row>
    <row r="4867" spans="1:27" x14ac:dyDescent="0.35">
      <c r="A4867" s="5">
        <v>4863</v>
      </c>
      <c r="B4867" s="5">
        <v>203</v>
      </c>
      <c r="C4867" s="5">
        <v>7</v>
      </c>
      <c r="D4867" s="25">
        <v>1.1416E-4</v>
      </c>
      <c r="E4867" s="25">
        <v>1.2182E-4</v>
      </c>
      <c r="F4867" s="25">
        <v>8.9549999999999995E-5</v>
      </c>
      <c r="G4867" s="25">
        <v>1.6181999999999999E-4</v>
      </c>
      <c r="H4867" s="25">
        <v>3.8859999999999997E-5</v>
      </c>
      <c r="I4867" s="9">
        <v>9.4300000000000002E-5</v>
      </c>
      <c r="J4867" s="9">
        <v>1.3185000000000001E-4</v>
      </c>
      <c r="K4867" s="9">
        <v>0</v>
      </c>
      <c r="L4867" s="9">
        <v>1.1557000000000001E-4</v>
      </c>
      <c r="M4867" s="9">
        <v>1.4605E-4</v>
      </c>
      <c r="N4867" s="9">
        <v>1.6972999999999999E-4</v>
      </c>
      <c r="O4867" s="9">
        <v>1.2694E-4</v>
      </c>
      <c r="P4867" s="9">
        <v>1.4014E-4</v>
      </c>
      <c r="Q4867" s="9">
        <v>1.5315000000000001E-4</v>
      </c>
      <c r="R4867" s="10">
        <v>8.4324188078850441E-5</v>
      </c>
      <c r="S4867" s="10">
        <v>6.8263025073204641E-5</v>
      </c>
      <c r="T4867" s="10">
        <v>3.722825711849035E-4</v>
      </c>
      <c r="U4867" s="10">
        <v>7.8709999999999997E-5</v>
      </c>
      <c r="V4867" s="25"/>
      <c r="W4867" s="25"/>
      <c r="X4867" s="25"/>
      <c r="Y4867" s="25"/>
      <c r="Z4867" s="25"/>
      <c r="AA4867" s="25"/>
    </row>
    <row r="4868" spans="1:27" x14ac:dyDescent="0.35">
      <c r="A4868" s="5">
        <v>4864</v>
      </c>
      <c r="B4868" s="5">
        <v>203</v>
      </c>
      <c r="C4868" s="5">
        <v>7</v>
      </c>
      <c r="D4868" s="25">
        <v>1.1415000000000001E-4</v>
      </c>
      <c r="E4868" s="25">
        <v>1.1327E-4</v>
      </c>
      <c r="F4868" s="25">
        <v>1.0698E-4</v>
      </c>
      <c r="G4868" s="25">
        <v>1.6712000000000001E-4</v>
      </c>
      <c r="H4868" s="25">
        <v>3.9449999999999997E-5</v>
      </c>
      <c r="I4868" s="9">
        <v>9.6080000000000002E-5</v>
      </c>
      <c r="J4868" s="9">
        <v>1.3138000000000001E-4</v>
      </c>
      <c r="K4868" s="9">
        <v>0</v>
      </c>
      <c r="L4868" s="9">
        <v>1.2486999999999999E-4</v>
      </c>
      <c r="M4868" s="9">
        <v>1.4207999999999999E-4</v>
      </c>
      <c r="N4868" s="9">
        <v>1.6603000000000001E-4</v>
      </c>
      <c r="O4868" s="9">
        <v>1.3359999999999999E-4</v>
      </c>
      <c r="P4868" s="9">
        <v>1.2174E-4</v>
      </c>
      <c r="Q4868" s="9">
        <v>1.1005000000000001E-4</v>
      </c>
      <c r="R4868" s="10">
        <v>8.9589449827725482E-5</v>
      </c>
      <c r="S4868" s="10">
        <v>8.1037832215342609E-5</v>
      </c>
      <c r="T4868" s="10">
        <v>3.8480539702571385E-4</v>
      </c>
      <c r="U4868" s="10">
        <v>7.8709999999999997E-5</v>
      </c>
      <c r="V4868" s="25"/>
      <c r="W4868" s="25"/>
      <c r="X4868" s="25"/>
      <c r="Y4868" s="25"/>
      <c r="Z4868" s="25"/>
      <c r="AA4868" s="25"/>
    </row>
    <row r="4869" spans="1:27" x14ac:dyDescent="0.35">
      <c r="A4869" s="5">
        <v>4865</v>
      </c>
      <c r="B4869" s="5">
        <v>203</v>
      </c>
      <c r="C4869" s="5">
        <v>7</v>
      </c>
      <c r="D4869" s="25">
        <v>1.1416E-4</v>
      </c>
      <c r="E4869" s="25">
        <v>1.2327E-4</v>
      </c>
      <c r="F4869" s="25">
        <v>9.6119999999999995E-5</v>
      </c>
      <c r="G4869" s="25">
        <v>1.6483000000000001E-4</v>
      </c>
      <c r="H4869" s="25">
        <v>4.0280000000000001E-5</v>
      </c>
      <c r="I4869" s="9">
        <v>9.7899999999999994E-5</v>
      </c>
      <c r="J4869" s="9">
        <v>1.3088999999999999E-4</v>
      </c>
      <c r="K4869" s="9">
        <v>4.2400000000000001E-6</v>
      </c>
      <c r="L4869" s="9">
        <v>1.3138000000000001E-4</v>
      </c>
      <c r="M4869" s="9">
        <v>1.3392999999999999E-4</v>
      </c>
      <c r="N4869" s="9">
        <v>1.5237000000000001E-4</v>
      </c>
      <c r="O4869" s="9">
        <v>1.3993999999999999E-4</v>
      </c>
      <c r="P4869" s="9">
        <v>1.2368000000000001E-4</v>
      </c>
      <c r="Q4869" s="9">
        <v>1.0764000000000001E-4</v>
      </c>
      <c r="R4869" s="10">
        <v>8.6512466169292243E-5</v>
      </c>
      <c r="S4869" s="10">
        <v>8.4723545165857439E-5</v>
      </c>
      <c r="T4869" s="10">
        <v>2.946766850291499E-4</v>
      </c>
      <c r="U4869" s="10">
        <v>7.8709999999999997E-5</v>
      </c>
      <c r="V4869" s="25"/>
      <c r="W4869" s="25"/>
      <c r="X4869" s="25"/>
      <c r="Y4869" s="25"/>
      <c r="Z4869" s="25"/>
      <c r="AA4869" s="25"/>
    </row>
    <row r="4870" spans="1:27" x14ac:dyDescent="0.35">
      <c r="A4870" s="5">
        <v>4866</v>
      </c>
      <c r="B4870" s="5">
        <v>203</v>
      </c>
      <c r="C4870" s="5">
        <v>7</v>
      </c>
      <c r="D4870" s="25">
        <v>1.1415000000000001E-4</v>
      </c>
      <c r="E4870" s="25">
        <v>1.1794999999999999E-4</v>
      </c>
      <c r="F4870" s="25">
        <v>9.8770000000000005E-5</v>
      </c>
      <c r="G4870" s="25">
        <v>1.6594E-4</v>
      </c>
      <c r="H4870" s="25">
        <v>3.8059999999999998E-5</v>
      </c>
      <c r="I4870" s="9">
        <v>9.9370000000000006E-5</v>
      </c>
      <c r="J4870" s="9">
        <v>1.2723000000000001E-4</v>
      </c>
      <c r="K4870" s="9">
        <v>0</v>
      </c>
      <c r="L4870" s="9">
        <v>1.3776000000000001E-4</v>
      </c>
      <c r="M4870" s="9">
        <v>1.2816999999999999E-4</v>
      </c>
      <c r="N4870" s="9">
        <v>1.3913E-4</v>
      </c>
      <c r="O4870" s="9">
        <v>1.3983999999999999E-4</v>
      </c>
      <c r="P4870" s="9">
        <v>1.2867E-4</v>
      </c>
      <c r="Q4870" s="9">
        <v>1.1763E-4</v>
      </c>
      <c r="R4870" s="10">
        <v>8.2733446358599613E-5</v>
      </c>
      <c r="S4870" s="10">
        <v>7.6711786906561238E-5</v>
      </c>
      <c r="T4870" s="10">
        <v>1.0320301729513357E-4</v>
      </c>
      <c r="U4870" s="10">
        <v>7.8709999999999997E-5</v>
      </c>
      <c r="V4870" s="25"/>
      <c r="W4870" s="25"/>
      <c r="X4870" s="25"/>
      <c r="Y4870" s="25"/>
      <c r="Z4870" s="25"/>
      <c r="AA4870" s="25"/>
    </row>
    <row r="4871" spans="1:27" x14ac:dyDescent="0.35">
      <c r="A4871" s="5">
        <v>4867</v>
      </c>
      <c r="B4871" s="5">
        <v>203</v>
      </c>
      <c r="C4871" s="5">
        <v>7</v>
      </c>
      <c r="D4871" s="25">
        <v>1.1416E-4</v>
      </c>
      <c r="E4871" s="25">
        <v>1.13E-4</v>
      </c>
      <c r="F4871" s="25">
        <v>1.0613E-4</v>
      </c>
      <c r="G4871" s="25">
        <v>1.1542E-4</v>
      </c>
      <c r="H4871" s="25">
        <v>2.635E-5</v>
      </c>
      <c r="I4871" s="9">
        <v>9.8460000000000003E-5</v>
      </c>
      <c r="J4871" s="9">
        <v>1.2462000000000001E-4</v>
      </c>
      <c r="K4871" s="9">
        <v>6.3600000000000001E-6</v>
      </c>
      <c r="L4871" s="9">
        <v>1.3929E-4</v>
      </c>
      <c r="M4871" s="9">
        <v>1.2701999999999999E-4</v>
      </c>
      <c r="N4871" s="9">
        <v>1.3009E-4</v>
      </c>
      <c r="O4871" s="9">
        <v>1.3949000000000001E-4</v>
      </c>
      <c r="P4871" s="9">
        <v>1.2276E-4</v>
      </c>
      <c r="Q4871" s="9">
        <v>1.0626E-4</v>
      </c>
      <c r="R4871" s="10">
        <v>7.0970649540707766E-5</v>
      </c>
      <c r="S4871" s="10">
        <v>6.5582317961970158E-5</v>
      </c>
      <c r="T4871" s="10">
        <v>4.5679467701167313E-5</v>
      </c>
      <c r="U4871" s="10">
        <v>7.8709999999999997E-5</v>
      </c>
      <c r="V4871" s="25"/>
      <c r="W4871" s="25"/>
      <c r="X4871" s="25"/>
      <c r="Y4871" s="25"/>
      <c r="Z4871" s="25"/>
      <c r="AA4871" s="25"/>
    </row>
    <row r="4872" spans="1:27" x14ac:dyDescent="0.35">
      <c r="A4872" s="5">
        <v>4868</v>
      </c>
      <c r="B4872" s="5">
        <v>203</v>
      </c>
      <c r="C4872" s="5">
        <v>7</v>
      </c>
      <c r="D4872" s="25">
        <v>1.1415000000000001E-4</v>
      </c>
      <c r="E4872" s="25">
        <v>1.1524E-4</v>
      </c>
      <c r="F4872" s="25">
        <v>1.0959999999999999E-4</v>
      </c>
      <c r="G4872" s="25">
        <v>1.1356E-4</v>
      </c>
      <c r="H4872" s="25">
        <v>2.7540000000000001E-5</v>
      </c>
      <c r="I4872" s="9">
        <v>9.6470000000000003E-5</v>
      </c>
      <c r="J4872" s="9">
        <v>1.2145E-4</v>
      </c>
      <c r="K4872" s="9">
        <v>1.484E-5</v>
      </c>
      <c r="L4872" s="9">
        <v>1.3945E-4</v>
      </c>
      <c r="M4872" s="9">
        <v>1.2545000000000001E-4</v>
      </c>
      <c r="N4872" s="9">
        <v>1.2084E-4</v>
      </c>
      <c r="O4872" s="9">
        <v>1.4137000000000001E-4</v>
      </c>
      <c r="P4872" s="9">
        <v>1.2093E-4</v>
      </c>
      <c r="Q4872" s="9">
        <v>1.0075E-4</v>
      </c>
      <c r="R4872" s="10">
        <v>5.2316046140899063E-5</v>
      </c>
      <c r="S4872" s="10">
        <v>5.012898482918247E-5</v>
      </c>
      <c r="T4872" s="10">
        <v>6.6601749898618755E-6</v>
      </c>
      <c r="U4872" s="10">
        <v>7.8709999999999997E-5</v>
      </c>
      <c r="V4872" s="25"/>
      <c r="W4872" s="25"/>
      <c r="X4872" s="25"/>
      <c r="Y4872" s="25"/>
      <c r="Z4872" s="25"/>
      <c r="AA4872" s="25"/>
    </row>
    <row r="4873" spans="1:27" x14ac:dyDescent="0.35">
      <c r="A4873" s="5">
        <v>4869</v>
      </c>
      <c r="B4873" s="5">
        <v>203</v>
      </c>
      <c r="C4873" s="5">
        <v>7</v>
      </c>
      <c r="D4873" s="25">
        <v>1.1416E-4</v>
      </c>
      <c r="E4873" s="25">
        <v>1.1266E-4</v>
      </c>
      <c r="F4873" s="25">
        <v>1.0877E-4</v>
      </c>
      <c r="G4873" s="25">
        <v>5.3000000000000001E-5</v>
      </c>
      <c r="H4873" s="25">
        <v>1.4389999999999999E-5</v>
      </c>
      <c r="I4873" s="9">
        <v>9.6379999999999995E-5</v>
      </c>
      <c r="J4873" s="9">
        <v>1.1844E-4</v>
      </c>
      <c r="K4873" s="9">
        <v>2.12E-5</v>
      </c>
      <c r="L4873" s="9">
        <v>1.4098999999999999E-4</v>
      </c>
      <c r="M4873" s="9">
        <v>1.2344E-4</v>
      </c>
      <c r="N4873" s="9">
        <v>1.1290000000000001E-4</v>
      </c>
      <c r="O4873" s="9">
        <v>8.5039999999999999E-5</v>
      </c>
      <c r="P4873" s="9">
        <v>8.6940000000000004E-5</v>
      </c>
      <c r="Q4873" s="9">
        <v>8.8960000000000002E-5</v>
      </c>
      <c r="R4873" s="10">
        <v>4.3462277078145453E-5</v>
      </c>
      <c r="S4873" s="10">
        <v>4.2005139876969079E-5</v>
      </c>
      <c r="T4873" s="10">
        <v>0</v>
      </c>
      <c r="U4873" s="10">
        <v>7.8709999999999997E-5</v>
      </c>
      <c r="V4873" s="25"/>
      <c r="W4873" s="25"/>
      <c r="X4873" s="25"/>
      <c r="Y4873" s="25"/>
      <c r="Z4873" s="25"/>
      <c r="AA4873" s="25"/>
    </row>
    <row r="4874" spans="1:27" x14ac:dyDescent="0.35">
      <c r="A4874" s="5">
        <v>4870</v>
      </c>
      <c r="B4874" s="5">
        <v>203</v>
      </c>
      <c r="C4874" s="5">
        <v>7</v>
      </c>
      <c r="D4874" s="25">
        <v>1.1415000000000001E-4</v>
      </c>
      <c r="E4874" s="25">
        <v>1.1667000000000001E-4</v>
      </c>
      <c r="F4874" s="25">
        <v>8.7979999999999995E-5</v>
      </c>
      <c r="G4874" s="25">
        <v>6.2650000000000005E-5</v>
      </c>
      <c r="H4874" s="25">
        <v>1.415E-5</v>
      </c>
      <c r="I4874" s="9">
        <v>1.009E-4</v>
      </c>
      <c r="J4874" s="9">
        <v>1.1744E-4</v>
      </c>
      <c r="K4874" s="9">
        <v>2.5429999999999999E-5</v>
      </c>
      <c r="L4874" s="9">
        <v>9.7310000000000002E-5</v>
      </c>
      <c r="M4874" s="9">
        <v>1.0975E-4</v>
      </c>
      <c r="N4874" s="9">
        <v>1.0545E-4</v>
      </c>
      <c r="O4874" s="9">
        <v>8.6630000000000002E-5</v>
      </c>
      <c r="P4874" s="9">
        <v>8.7159999999999999E-5</v>
      </c>
      <c r="Q4874" s="9">
        <v>8.7800000000000006E-5</v>
      </c>
      <c r="R4874" s="10">
        <v>4.1730973653251193E-5</v>
      </c>
      <c r="S4874" s="10">
        <v>3.1881004399955581E-5</v>
      </c>
      <c r="T4874" s="10">
        <v>0</v>
      </c>
      <c r="U4874" s="10">
        <v>7.8709999999999997E-5</v>
      </c>
      <c r="V4874" s="25"/>
      <c r="W4874" s="25"/>
      <c r="X4874" s="25"/>
      <c r="Y4874" s="25"/>
      <c r="Z4874" s="25"/>
      <c r="AA4874" s="25"/>
    </row>
    <row r="4875" spans="1:27" x14ac:dyDescent="0.35">
      <c r="A4875" s="5">
        <v>4871</v>
      </c>
      <c r="B4875" s="5">
        <v>203</v>
      </c>
      <c r="C4875" s="5">
        <v>7</v>
      </c>
      <c r="D4875" s="25">
        <v>1.1416E-4</v>
      </c>
      <c r="E4875" s="25">
        <v>1.1802E-4</v>
      </c>
      <c r="F4875" s="25">
        <v>9.2979999999999994E-5</v>
      </c>
      <c r="G4875" s="25">
        <v>5.8289999999999999E-5</v>
      </c>
      <c r="H4875" s="25">
        <v>1.42E-5</v>
      </c>
      <c r="I4875" s="9">
        <v>9.7930000000000006E-5</v>
      </c>
      <c r="J4875" s="9">
        <v>1.1239999999999999E-4</v>
      </c>
      <c r="K4875" s="9">
        <v>2.968E-5</v>
      </c>
      <c r="L4875" s="9">
        <v>9.0190000000000002E-5</v>
      </c>
      <c r="M4875" s="9">
        <v>9.7960000000000004E-5</v>
      </c>
      <c r="N4875" s="9">
        <v>9.9549999999999994E-5</v>
      </c>
      <c r="O4875" s="9">
        <v>8.4560000000000004E-5</v>
      </c>
      <c r="P4875" s="9">
        <v>7.5649999999999996E-5</v>
      </c>
      <c r="Q4875" s="9">
        <v>6.7009999999999997E-5</v>
      </c>
      <c r="R4875" s="10">
        <v>4.4092859616779265E-5</v>
      </c>
      <c r="S4875" s="10">
        <v>2.4760583361776217E-5</v>
      </c>
      <c r="T4875" s="10">
        <v>0</v>
      </c>
      <c r="U4875" s="10">
        <v>7.8709999999999997E-5</v>
      </c>
      <c r="V4875" s="25"/>
      <c r="W4875" s="25"/>
      <c r="X4875" s="25"/>
      <c r="Y4875" s="25"/>
      <c r="Z4875" s="25"/>
      <c r="AA4875" s="25"/>
    </row>
    <row r="4876" spans="1:27" x14ac:dyDescent="0.35">
      <c r="A4876" s="5">
        <v>4872</v>
      </c>
      <c r="B4876" s="5">
        <v>203</v>
      </c>
      <c r="C4876" s="5">
        <v>7</v>
      </c>
      <c r="D4876" s="25">
        <v>1.1415000000000001E-4</v>
      </c>
      <c r="E4876" s="25">
        <v>1.1993999999999999E-4</v>
      </c>
      <c r="F4876" s="25">
        <v>1.0609E-4</v>
      </c>
      <c r="G4876" s="25">
        <v>5.8829999999999997E-5</v>
      </c>
      <c r="H4876" s="25">
        <v>1.4630000000000001E-5</v>
      </c>
      <c r="I4876" s="9">
        <v>9.2390000000000001E-5</v>
      </c>
      <c r="J4876" s="9">
        <v>1.0472E-4</v>
      </c>
      <c r="K4876" s="9">
        <v>2.968E-5</v>
      </c>
      <c r="L4876" s="9">
        <v>8.6030000000000001E-5</v>
      </c>
      <c r="M4876" s="9">
        <v>8.7159999999999999E-5</v>
      </c>
      <c r="N4876" s="9">
        <v>9.0340000000000006E-5</v>
      </c>
      <c r="O4876" s="9">
        <v>7.9789999999999993E-5</v>
      </c>
      <c r="P4876" s="9">
        <v>6.9469999999999997E-5</v>
      </c>
      <c r="Q4876" s="9">
        <v>5.9460000000000003E-5</v>
      </c>
      <c r="R4876" s="10">
        <v>8.0620511095040514E-5</v>
      </c>
      <c r="S4876" s="10">
        <v>3.0782427737085847E-5</v>
      </c>
      <c r="T4876" s="10">
        <v>0</v>
      </c>
      <c r="U4876" s="10">
        <v>7.8709999999999997E-5</v>
      </c>
      <c r="V4876" s="25"/>
      <c r="W4876" s="25"/>
      <c r="X4876" s="25"/>
      <c r="Y4876" s="25"/>
      <c r="Z4876" s="25"/>
      <c r="AA4876" s="25"/>
    </row>
    <row r="4877" spans="1:27" x14ac:dyDescent="0.35">
      <c r="A4877" s="5">
        <v>4873</v>
      </c>
      <c r="B4877" s="5">
        <v>204</v>
      </c>
      <c r="C4877" s="5">
        <v>7</v>
      </c>
      <c r="D4877" s="25">
        <v>1.1416E-4</v>
      </c>
      <c r="E4877" s="25">
        <v>1.105E-4</v>
      </c>
      <c r="F4877" s="25">
        <v>1.1903E-4</v>
      </c>
      <c r="G4877" s="25">
        <v>5.5349999999999997E-5</v>
      </c>
      <c r="H4877" s="25">
        <v>6.5209999999999994E-5</v>
      </c>
      <c r="I4877" s="9">
        <v>8.8200000000000003E-5</v>
      </c>
      <c r="J4877" s="9">
        <v>9.9870000000000004E-5</v>
      </c>
      <c r="K4877" s="9">
        <v>3.6029999999999999E-5</v>
      </c>
      <c r="L4877" s="9">
        <v>8.0950000000000003E-5</v>
      </c>
      <c r="M4877" s="9">
        <v>7.8339999999999999E-5</v>
      </c>
      <c r="N4877" s="9">
        <v>8.1139999999999999E-5</v>
      </c>
      <c r="O4877" s="9">
        <v>5.4490000000000002E-5</v>
      </c>
      <c r="P4877" s="9">
        <v>5.3909999999999997E-5</v>
      </c>
      <c r="Q4877" s="9">
        <v>5.3480000000000003E-5</v>
      </c>
      <c r="R4877" s="10">
        <v>9.3443927077147695E-5</v>
      </c>
      <c r="S4877" s="10">
        <v>3.8371489302968886E-5</v>
      </c>
      <c r="T4877" s="10">
        <v>0</v>
      </c>
      <c r="U4877" s="10">
        <v>7.8800000000000004E-5</v>
      </c>
      <c r="V4877" s="25"/>
      <c r="W4877" s="25"/>
      <c r="X4877" s="25"/>
      <c r="Y4877" s="25"/>
      <c r="Z4877" s="25"/>
      <c r="AA4877" s="25"/>
    </row>
    <row r="4878" spans="1:27" x14ac:dyDescent="0.35">
      <c r="A4878" s="5">
        <v>4874</v>
      </c>
      <c r="B4878" s="5">
        <v>204</v>
      </c>
      <c r="C4878" s="5">
        <v>7</v>
      </c>
      <c r="D4878" s="25">
        <v>1.1415000000000001E-4</v>
      </c>
      <c r="E4878" s="25">
        <v>1.1145999999999999E-4</v>
      </c>
      <c r="F4878" s="25">
        <v>9.6890000000000002E-5</v>
      </c>
      <c r="G4878" s="25">
        <v>5.5109999999999999E-5</v>
      </c>
      <c r="H4878" s="25">
        <v>6.5370000000000006E-5</v>
      </c>
      <c r="I4878" s="9">
        <v>8.4699999999999999E-5</v>
      </c>
      <c r="J4878" s="9">
        <v>9.7260000000000001E-5</v>
      </c>
      <c r="K4878" s="9">
        <v>3.6029999999999999E-5</v>
      </c>
      <c r="L4878" s="9">
        <v>6.0430000000000002E-5</v>
      </c>
      <c r="M4878" s="9">
        <v>6.7490000000000006E-5</v>
      </c>
      <c r="N4878" s="9">
        <v>7.2119999999999994E-5</v>
      </c>
      <c r="O4878" s="9">
        <v>1.9150000000000001E-5</v>
      </c>
      <c r="P4878" s="9">
        <v>3.7469999999999999E-5</v>
      </c>
      <c r="Q4878" s="9">
        <v>5.5760000000000001E-5</v>
      </c>
      <c r="R4878" s="10">
        <v>9.9935419416851182E-5</v>
      </c>
      <c r="S4878" s="10">
        <v>4.2717530107039324E-5</v>
      </c>
      <c r="T4878" s="10">
        <v>0</v>
      </c>
      <c r="U4878" s="10">
        <v>7.8800000000000004E-5</v>
      </c>
      <c r="V4878" s="25"/>
      <c r="W4878" s="25"/>
      <c r="X4878" s="25"/>
      <c r="Y4878" s="25"/>
      <c r="Z4878" s="25"/>
      <c r="AA4878" s="25"/>
    </row>
    <row r="4879" spans="1:27" x14ac:dyDescent="0.35">
      <c r="A4879" s="5">
        <v>4875</v>
      </c>
      <c r="B4879" s="5">
        <v>204</v>
      </c>
      <c r="C4879" s="5">
        <v>7</v>
      </c>
      <c r="D4879" s="25">
        <v>1.1416E-4</v>
      </c>
      <c r="E4879" s="25">
        <v>1.0323E-4</v>
      </c>
      <c r="F4879" s="25">
        <v>1.1001E-4</v>
      </c>
      <c r="G4879" s="25">
        <v>6.1340000000000006E-5</v>
      </c>
      <c r="H4879" s="25">
        <v>6.656E-5</v>
      </c>
      <c r="I4879" s="9">
        <v>8.4110000000000006E-5</v>
      </c>
      <c r="J4879" s="9">
        <v>9.6360000000000006E-5</v>
      </c>
      <c r="K4879" s="9">
        <v>3.8149999999999999E-5</v>
      </c>
      <c r="L4879" s="9">
        <v>2.879E-5</v>
      </c>
      <c r="M4879" s="9">
        <v>5.401E-5</v>
      </c>
      <c r="N4879" s="9">
        <v>6.5480000000000003E-5</v>
      </c>
      <c r="O4879" s="9">
        <v>1.394E-5</v>
      </c>
      <c r="P4879" s="9">
        <v>3.7939999999999999E-5</v>
      </c>
      <c r="Q4879" s="9">
        <v>6.1829999999999996E-5</v>
      </c>
      <c r="R4879" s="10">
        <v>1.0871123301951712E-4</v>
      </c>
      <c r="S4879" s="10">
        <v>4.7067242767326473E-5</v>
      </c>
      <c r="T4879" s="10">
        <v>0</v>
      </c>
      <c r="U4879" s="10">
        <v>7.8800000000000004E-5</v>
      </c>
      <c r="V4879" s="25"/>
      <c r="W4879" s="25"/>
      <c r="X4879" s="25"/>
      <c r="Y4879" s="25"/>
      <c r="Z4879" s="25"/>
      <c r="AA4879" s="25"/>
    </row>
    <row r="4880" spans="1:27" x14ac:dyDescent="0.35">
      <c r="A4880" s="5">
        <v>4876</v>
      </c>
      <c r="B4880" s="5">
        <v>204</v>
      </c>
      <c r="C4880" s="5">
        <v>7</v>
      </c>
      <c r="D4880" s="25">
        <v>1.1415000000000001E-4</v>
      </c>
      <c r="E4880" s="25">
        <v>1.1012E-4</v>
      </c>
      <c r="F4880" s="25">
        <v>1.013E-4</v>
      </c>
      <c r="G4880" s="25">
        <v>5.3340000000000001E-5</v>
      </c>
      <c r="H4880" s="25">
        <v>6.4999999999999994E-5</v>
      </c>
      <c r="I4880" s="9">
        <v>8.4629999999999994E-5</v>
      </c>
      <c r="J4880" s="9">
        <v>9.6630000000000001E-5</v>
      </c>
      <c r="K4880" s="9">
        <v>4.0269999999999999E-5</v>
      </c>
      <c r="L4880" s="9">
        <v>1.8070000000000001E-5</v>
      </c>
      <c r="M4880" s="9">
        <v>4.4960000000000003E-5</v>
      </c>
      <c r="N4880" s="9">
        <v>6.1970000000000005E-5</v>
      </c>
      <c r="O4880" s="9">
        <v>1.397E-5</v>
      </c>
      <c r="P4880" s="9">
        <v>4.7509999999999997E-5</v>
      </c>
      <c r="Q4880" s="9">
        <v>8.0809999999999994E-5</v>
      </c>
      <c r="R4880" s="10">
        <v>1.0414083272541579E-4</v>
      </c>
      <c r="S4880" s="10">
        <v>4.827447514012018E-5</v>
      </c>
      <c r="T4880" s="10">
        <v>0</v>
      </c>
      <c r="U4880" s="10">
        <v>7.8800000000000004E-5</v>
      </c>
      <c r="V4880" s="25"/>
      <c r="W4880" s="25"/>
      <c r="X4880" s="25"/>
      <c r="Y4880" s="25"/>
      <c r="Z4880" s="25"/>
      <c r="AA4880" s="25"/>
    </row>
    <row r="4881" spans="1:27" x14ac:dyDescent="0.35">
      <c r="A4881" s="5">
        <v>4877</v>
      </c>
      <c r="B4881" s="5">
        <v>204</v>
      </c>
      <c r="C4881" s="5">
        <v>7</v>
      </c>
      <c r="D4881" s="25">
        <v>1.1416E-4</v>
      </c>
      <c r="E4881" s="25">
        <v>1.0391E-4</v>
      </c>
      <c r="F4881" s="25">
        <v>1.0071E-4</v>
      </c>
      <c r="G4881" s="25">
        <v>6.1779999999999995E-5</v>
      </c>
      <c r="H4881" s="25">
        <v>7.2310000000000004E-5</v>
      </c>
      <c r="I4881" s="9">
        <v>8.7810000000000001E-5</v>
      </c>
      <c r="J4881" s="9">
        <v>9.8339999999999997E-5</v>
      </c>
      <c r="K4881" s="9">
        <v>3.8149999999999999E-5</v>
      </c>
      <c r="L4881" s="9">
        <v>1.503E-5</v>
      </c>
      <c r="M4881" s="9">
        <v>4.3900000000000003E-5</v>
      </c>
      <c r="N4881" s="9">
        <v>6.4590000000000003E-5</v>
      </c>
      <c r="O4881" s="9">
        <v>1.942E-5</v>
      </c>
      <c r="P4881" s="9">
        <v>5.702E-5</v>
      </c>
      <c r="Q4881" s="9">
        <v>9.4279999999999999E-5</v>
      </c>
      <c r="R4881" s="10">
        <v>9.1102329062294255E-5</v>
      </c>
      <c r="S4881" s="10">
        <v>4.0468603818844303E-5</v>
      </c>
      <c r="T4881" s="10">
        <v>2.2907608245384797E-7</v>
      </c>
      <c r="U4881" s="10">
        <v>7.8800000000000004E-5</v>
      </c>
      <c r="V4881" s="25"/>
      <c r="W4881" s="25"/>
      <c r="X4881" s="25"/>
      <c r="Y4881" s="25"/>
      <c r="Z4881" s="25"/>
      <c r="AA4881" s="25"/>
    </row>
    <row r="4882" spans="1:27" x14ac:dyDescent="0.35">
      <c r="A4882" s="5">
        <v>4878</v>
      </c>
      <c r="B4882" s="5">
        <v>204</v>
      </c>
      <c r="C4882" s="5">
        <v>7</v>
      </c>
      <c r="D4882" s="25">
        <v>1.1415000000000001E-4</v>
      </c>
      <c r="E4882" s="25">
        <v>1.082E-4</v>
      </c>
      <c r="F4882" s="25">
        <v>1.1802E-4</v>
      </c>
      <c r="G4882" s="25">
        <v>1.0569E-4</v>
      </c>
      <c r="H4882" s="25">
        <v>1.3296E-4</v>
      </c>
      <c r="I4882" s="9">
        <v>9.1290000000000002E-5</v>
      </c>
      <c r="J4882" s="9">
        <v>1.0458E-4</v>
      </c>
      <c r="K4882" s="9">
        <v>4.0269999999999999E-5</v>
      </c>
      <c r="L4882" s="9">
        <v>1.8329999999999999E-5</v>
      </c>
      <c r="M4882" s="9">
        <v>4.8720000000000001E-5</v>
      </c>
      <c r="N4882" s="9">
        <v>7.1260000000000006E-5</v>
      </c>
      <c r="O4882" s="9">
        <v>4.6579999999999998E-5</v>
      </c>
      <c r="P4882" s="9">
        <v>7.7180000000000003E-5</v>
      </c>
      <c r="Q4882" s="9">
        <v>1.0747E-4</v>
      </c>
      <c r="R4882" s="10">
        <v>8.1011847466941486E-5</v>
      </c>
      <c r="S4882" s="10">
        <v>3.0767036221100011E-5</v>
      </c>
      <c r="T4882" s="10">
        <v>3.559163577384786E-5</v>
      </c>
      <c r="U4882" s="10">
        <v>7.8800000000000004E-5</v>
      </c>
      <c r="V4882" s="25"/>
      <c r="W4882" s="25"/>
      <c r="X4882" s="25"/>
      <c r="Y4882" s="25"/>
      <c r="Z4882" s="25"/>
      <c r="AA4882" s="25"/>
    </row>
    <row r="4883" spans="1:27" x14ac:dyDescent="0.35">
      <c r="A4883" s="5">
        <v>4879</v>
      </c>
      <c r="B4883" s="5">
        <v>204</v>
      </c>
      <c r="C4883" s="5">
        <v>7</v>
      </c>
      <c r="D4883" s="25">
        <v>1.1416E-4</v>
      </c>
      <c r="E4883" s="25">
        <v>1.0747999999999999E-4</v>
      </c>
      <c r="F4883" s="25">
        <v>1.1353000000000001E-4</v>
      </c>
      <c r="G4883" s="25">
        <v>1.0885E-4</v>
      </c>
      <c r="H4883" s="25">
        <v>1.3731999999999999E-4</v>
      </c>
      <c r="I4883" s="9">
        <v>9.5740000000000002E-5</v>
      </c>
      <c r="J4883" s="9">
        <v>1.1675000000000001E-4</v>
      </c>
      <c r="K4883" s="9">
        <v>2.7549999999999999E-5</v>
      </c>
      <c r="L4883" s="9">
        <v>4.0219999999999998E-5</v>
      </c>
      <c r="M4883" s="9">
        <v>6.0319999999999998E-5</v>
      </c>
      <c r="N4883" s="9">
        <v>8.1039999999999997E-5</v>
      </c>
      <c r="O4883" s="9">
        <v>1.2128E-4</v>
      </c>
      <c r="P4883" s="9">
        <v>1.1637E-4</v>
      </c>
      <c r="Q4883" s="9">
        <v>1.1148E-4</v>
      </c>
      <c r="R4883" s="10">
        <v>6.1802237569759426E-5</v>
      </c>
      <c r="S4883" s="10">
        <v>2.5188197862473655E-5</v>
      </c>
      <c r="T4883" s="10">
        <v>1.3794622313396718E-4</v>
      </c>
      <c r="U4883" s="10">
        <v>7.8800000000000004E-5</v>
      </c>
      <c r="V4883" s="25"/>
      <c r="W4883" s="25"/>
      <c r="X4883" s="25"/>
      <c r="Y4883" s="25"/>
      <c r="Z4883" s="25"/>
      <c r="AA4883" s="25"/>
    </row>
    <row r="4884" spans="1:27" x14ac:dyDescent="0.35">
      <c r="A4884" s="5">
        <v>4880</v>
      </c>
      <c r="B4884" s="5">
        <v>204</v>
      </c>
      <c r="C4884" s="5">
        <v>7</v>
      </c>
      <c r="D4884" s="25">
        <v>1.1415000000000001E-4</v>
      </c>
      <c r="E4884" s="25">
        <v>1.0997000000000001E-4</v>
      </c>
      <c r="F4884" s="25">
        <v>1.1813E-4</v>
      </c>
      <c r="G4884" s="25">
        <v>1.6027000000000001E-4</v>
      </c>
      <c r="H4884" s="25">
        <v>1.9607000000000001E-4</v>
      </c>
      <c r="I4884" s="9">
        <v>1.0145999999999999E-4</v>
      </c>
      <c r="J4884" s="9">
        <v>1.2767E-4</v>
      </c>
      <c r="K4884" s="9">
        <v>2.12E-6</v>
      </c>
      <c r="L4884" s="9">
        <v>1.0284E-4</v>
      </c>
      <c r="M4884" s="9">
        <v>8.3510000000000005E-5</v>
      </c>
      <c r="N4884" s="9">
        <v>9.09E-5</v>
      </c>
      <c r="O4884" s="9">
        <v>2.1504E-4</v>
      </c>
      <c r="P4884" s="9">
        <v>1.7496999999999999E-4</v>
      </c>
      <c r="Q4884" s="9">
        <v>1.3516E-4</v>
      </c>
      <c r="R4884" s="10">
        <v>3.6086334862067403E-5</v>
      </c>
      <c r="S4884" s="10">
        <v>2.6126858825974831E-5</v>
      </c>
      <c r="T4884" s="10">
        <v>2.8885645567495213E-4</v>
      </c>
      <c r="U4884" s="10">
        <v>7.8800000000000004E-5</v>
      </c>
      <c r="V4884" s="25"/>
      <c r="W4884" s="25"/>
      <c r="X4884" s="25"/>
      <c r="Y4884" s="25"/>
      <c r="Z4884" s="25"/>
      <c r="AA4884" s="25"/>
    </row>
    <row r="4885" spans="1:27" x14ac:dyDescent="0.35">
      <c r="A4885" s="5">
        <v>4881</v>
      </c>
      <c r="B4885" s="5">
        <v>204</v>
      </c>
      <c r="C4885" s="5">
        <v>7</v>
      </c>
      <c r="D4885" s="25">
        <v>1.1416E-4</v>
      </c>
      <c r="E4885" s="25">
        <v>1.0831E-4</v>
      </c>
      <c r="F4885" s="25">
        <v>1.1006E-4</v>
      </c>
      <c r="G4885" s="25">
        <v>1.6712000000000001E-4</v>
      </c>
      <c r="H4885" s="25">
        <v>2.0159999999999999E-4</v>
      </c>
      <c r="I4885" s="9">
        <v>1.053E-4</v>
      </c>
      <c r="J4885" s="9">
        <v>1.3270999999999999E-4</v>
      </c>
      <c r="K4885" s="9">
        <v>0</v>
      </c>
      <c r="L4885" s="9">
        <v>1.8864000000000001E-4</v>
      </c>
      <c r="M4885" s="9">
        <v>1.2242000000000001E-4</v>
      </c>
      <c r="N4885" s="9">
        <v>1.0425999999999999E-4</v>
      </c>
      <c r="O4885" s="9">
        <v>2.0897E-4</v>
      </c>
      <c r="P4885" s="9">
        <v>1.9283000000000001E-4</v>
      </c>
      <c r="Q4885" s="9">
        <v>1.7658999999999999E-4</v>
      </c>
      <c r="R4885" s="10">
        <v>2.2773260053408665E-5</v>
      </c>
      <c r="S4885" s="10">
        <v>3.1669688718195936E-5</v>
      </c>
      <c r="T4885" s="10">
        <v>3.8661255278729423E-4</v>
      </c>
      <c r="U4885" s="10">
        <v>7.8800000000000004E-5</v>
      </c>
      <c r="V4885" s="25"/>
      <c r="W4885" s="25"/>
      <c r="X4885" s="25"/>
      <c r="Y4885" s="25"/>
      <c r="Z4885" s="25"/>
      <c r="AA4885" s="25"/>
    </row>
    <row r="4886" spans="1:27" x14ac:dyDescent="0.35">
      <c r="A4886" s="5">
        <v>4882</v>
      </c>
      <c r="B4886" s="5">
        <v>204</v>
      </c>
      <c r="C4886" s="5">
        <v>7</v>
      </c>
      <c r="D4886" s="25">
        <v>1.1415000000000001E-4</v>
      </c>
      <c r="E4886" s="25">
        <v>1.0397E-4</v>
      </c>
      <c r="F4886" s="25">
        <v>1.1052000000000001E-4</v>
      </c>
      <c r="G4886" s="25">
        <v>1.5829E-4</v>
      </c>
      <c r="H4886" s="25">
        <v>1.9730999999999999E-4</v>
      </c>
      <c r="I4886" s="9">
        <v>1.078E-4</v>
      </c>
      <c r="J4886" s="9">
        <v>1.3470999999999999E-4</v>
      </c>
      <c r="K4886" s="9">
        <v>0</v>
      </c>
      <c r="L4886" s="9">
        <v>2.0225000000000001E-4</v>
      </c>
      <c r="M4886" s="9">
        <v>1.5762999999999999E-4</v>
      </c>
      <c r="N4886" s="9">
        <v>1.2418999999999999E-4</v>
      </c>
      <c r="O4886" s="9">
        <v>1.6407999999999999E-4</v>
      </c>
      <c r="P4886" s="9">
        <v>1.7233999999999999E-4</v>
      </c>
      <c r="Q4886" s="9">
        <v>1.8026000000000001E-4</v>
      </c>
      <c r="R4886" s="10">
        <v>2.1603451244163054E-5</v>
      </c>
      <c r="S4886" s="10">
        <v>3.806061628626586E-5</v>
      </c>
      <c r="T4886" s="10">
        <v>5.2504238098421952E-4</v>
      </c>
      <c r="U4886" s="10">
        <v>7.8800000000000004E-5</v>
      </c>
      <c r="V4886" s="25"/>
      <c r="W4886" s="25"/>
      <c r="X4886" s="25"/>
      <c r="Y4886" s="25"/>
      <c r="Z4886" s="25"/>
      <c r="AA4886" s="25"/>
    </row>
    <row r="4887" spans="1:27" x14ac:dyDescent="0.35">
      <c r="A4887" s="5">
        <v>4883</v>
      </c>
      <c r="B4887" s="5">
        <v>204</v>
      </c>
      <c r="C4887" s="5">
        <v>7</v>
      </c>
      <c r="D4887" s="25">
        <v>1.1416E-4</v>
      </c>
      <c r="E4887" s="25">
        <v>1.0775E-4</v>
      </c>
      <c r="F4887" s="25">
        <v>9.6879999999999994E-5</v>
      </c>
      <c r="G4887" s="25">
        <v>1.5703000000000001E-4</v>
      </c>
      <c r="H4887" s="25">
        <v>1.9670000000000001E-4</v>
      </c>
      <c r="I4887" s="9">
        <v>1.1029E-4</v>
      </c>
      <c r="J4887" s="9">
        <v>1.35E-4</v>
      </c>
      <c r="K4887" s="9">
        <v>0</v>
      </c>
      <c r="L4887" s="9">
        <v>1.7250999999999999E-4</v>
      </c>
      <c r="M4887" s="9">
        <v>1.7111000000000001E-4</v>
      </c>
      <c r="N4887" s="9">
        <v>1.4185000000000001E-4</v>
      </c>
      <c r="O4887" s="9">
        <v>1.6437E-4</v>
      </c>
      <c r="P4887" s="9">
        <v>1.7129999999999999E-4</v>
      </c>
      <c r="Q4887" s="9">
        <v>1.7792E-4</v>
      </c>
      <c r="R4887" s="10">
        <v>2.1556283743290513E-5</v>
      </c>
      <c r="S4887" s="10">
        <v>4.1465805546785333E-5</v>
      </c>
      <c r="T4887" s="10">
        <v>6.2178884647389463E-4</v>
      </c>
      <c r="U4887" s="10">
        <v>7.8800000000000004E-5</v>
      </c>
      <c r="V4887" s="25"/>
      <c r="W4887" s="25"/>
      <c r="X4887" s="25"/>
      <c r="Y4887" s="25"/>
      <c r="Z4887" s="25"/>
      <c r="AA4887" s="25"/>
    </row>
    <row r="4888" spans="1:27" x14ac:dyDescent="0.35">
      <c r="A4888" s="5">
        <v>4884</v>
      </c>
      <c r="B4888" s="5">
        <v>204</v>
      </c>
      <c r="C4888" s="5">
        <v>7</v>
      </c>
      <c r="D4888" s="25">
        <v>1.1415000000000001E-4</v>
      </c>
      <c r="E4888" s="25">
        <v>1.0763E-4</v>
      </c>
      <c r="F4888" s="25">
        <v>9.8880000000000002E-5</v>
      </c>
      <c r="G4888" s="25">
        <v>1.6001000000000001E-4</v>
      </c>
      <c r="H4888" s="25">
        <v>2.0222999999999999E-4</v>
      </c>
      <c r="I4888" s="9">
        <v>1.1097E-4</v>
      </c>
      <c r="J4888" s="9">
        <v>1.3257000000000001E-4</v>
      </c>
      <c r="K4888" s="9">
        <v>0</v>
      </c>
      <c r="L4888" s="9">
        <v>1.6757E-4</v>
      </c>
      <c r="M4888" s="9">
        <v>1.7343999999999999E-4</v>
      </c>
      <c r="N4888" s="9">
        <v>1.5563999999999999E-4</v>
      </c>
      <c r="O4888" s="9">
        <v>1.6867999999999999E-4</v>
      </c>
      <c r="P4888" s="9">
        <v>1.7160999999999999E-4</v>
      </c>
      <c r="Q4888" s="9">
        <v>1.7427999999999999E-4</v>
      </c>
      <c r="R4888" s="10">
        <v>1.6941708350800382E-5</v>
      </c>
      <c r="S4888" s="10">
        <v>4.5279615095131348E-5</v>
      </c>
      <c r="T4888" s="10">
        <v>6.14551739128223E-4</v>
      </c>
      <c r="U4888" s="10">
        <v>7.8800000000000004E-5</v>
      </c>
      <c r="V4888" s="25"/>
      <c r="W4888" s="25"/>
      <c r="X4888" s="25"/>
      <c r="Y4888" s="25"/>
      <c r="Z4888" s="25"/>
      <c r="AA4888" s="25"/>
    </row>
    <row r="4889" spans="1:27" x14ac:dyDescent="0.35">
      <c r="A4889" s="5">
        <v>4885</v>
      </c>
      <c r="B4889" s="5">
        <v>204</v>
      </c>
      <c r="C4889" s="5">
        <v>7</v>
      </c>
      <c r="D4889" s="25">
        <v>1.1416E-4</v>
      </c>
      <c r="E4889" s="25">
        <v>1.1174E-4</v>
      </c>
      <c r="F4889" s="25">
        <v>1.1828999999999999E-4</v>
      </c>
      <c r="G4889" s="25">
        <v>1.5733000000000001E-4</v>
      </c>
      <c r="H4889" s="25">
        <v>1.9305E-4</v>
      </c>
      <c r="I4889" s="9">
        <v>1.0925E-4</v>
      </c>
      <c r="J4889" s="9">
        <v>1.3124E-4</v>
      </c>
      <c r="K4889" s="9">
        <v>0</v>
      </c>
      <c r="L4889" s="9">
        <v>1.6861E-4</v>
      </c>
      <c r="M4889" s="9">
        <v>1.7289000000000001E-4</v>
      </c>
      <c r="N4889" s="9">
        <v>1.6527999999999999E-4</v>
      </c>
      <c r="O4889" s="9">
        <v>1.6002E-4</v>
      </c>
      <c r="P4889" s="9">
        <v>1.6365999999999999E-4</v>
      </c>
      <c r="Q4889" s="9">
        <v>1.6704999999999999E-4</v>
      </c>
      <c r="R4889" s="10">
        <v>2.3241716456932101E-5</v>
      </c>
      <c r="S4889" s="10">
        <v>6.0704930813716903E-5</v>
      </c>
      <c r="T4889" s="10">
        <v>5.3191466345783498E-4</v>
      </c>
      <c r="U4889" s="10">
        <v>7.8800000000000004E-5</v>
      </c>
      <c r="V4889" s="25"/>
      <c r="W4889" s="25"/>
      <c r="X4889" s="25"/>
      <c r="Y4889" s="25"/>
      <c r="Z4889" s="25"/>
      <c r="AA4889" s="25"/>
    </row>
    <row r="4890" spans="1:27" x14ac:dyDescent="0.35">
      <c r="A4890" s="5">
        <v>4886</v>
      </c>
      <c r="B4890" s="5">
        <v>204</v>
      </c>
      <c r="C4890" s="5">
        <v>7</v>
      </c>
      <c r="D4890" s="25">
        <v>1.1415000000000001E-4</v>
      </c>
      <c r="E4890" s="25">
        <v>1.0393E-4</v>
      </c>
      <c r="F4890" s="25">
        <v>1.1872E-4</v>
      </c>
      <c r="G4890" s="25">
        <v>1.5737999999999999E-4</v>
      </c>
      <c r="H4890" s="25">
        <v>2.0143E-4</v>
      </c>
      <c r="I4890" s="9">
        <v>1.0791E-4</v>
      </c>
      <c r="J4890" s="9">
        <v>1.2915E-4</v>
      </c>
      <c r="K4890" s="9">
        <v>0</v>
      </c>
      <c r="L4890" s="9">
        <v>1.6161999999999999E-4</v>
      </c>
      <c r="M4890" s="9">
        <v>1.6940999999999999E-4</v>
      </c>
      <c r="N4890" s="9">
        <v>1.6971999999999999E-4</v>
      </c>
      <c r="O4890" s="9">
        <v>1.7637999999999999E-4</v>
      </c>
      <c r="P4890" s="9">
        <v>1.6848000000000001E-4</v>
      </c>
      <c r="Q4890" s="9">
        <v>1.6046999999999999E-4</v>
      </c>
      <c r="R4890" s="10">
        <v>2.8034708005895671E-5</v>
      </c>
      <c r="S4890" s="10">
        <v>7.7531484401051971E-5</v>
      </c>
      <c r="T4890" s="10">
        <v>6.271000178670838E-4</v>
      </c>
      <c r="U4890" s="10">
        <v>7.8800000000000004E-5</v>
      </c>
      <c r="V4890" s="25"/>
      <c r="W4890" s="25"/>
      <c r="X4890" s="25"/>
      <c r="Y4890" s="25"/>
      <c r="Z4890" s="25"/>
      <c r="AA4890" s="25"/>
    </row>
    <row r="4891" spans="1:27" x14ac:dyDescent="0.35">
      <c r="A4891" s="5">
        <v>4887</v>
      </c>
      <c r="B4891" s="5">
        <v>204</v>
      </c>
      <c r="C4891" s="5">
        <v>7</v>
      </c>
      <c r="D4891" s="25">
        <v>1.1416E-4</v>
      </c>
      <c r="E4891" s="25">
        <v>1.0373E-4</v>
      </c>
      <c r="F4891" s="25">
        <v>1.1378E-4</v>
      </c>
      <c r="G4891" s="25">
        <v>1.6635E-4</v>
      </c>
      <c r="H4891" s="25">
        <v>1.9152000000000001E-4</v>
      </c>
      <c r="I4891" s="9">
        <v>1.0684E-4</v>
      </c>
      <c r="J4891" s="9">
        <v>1.2752999999999999E-4</v>
      </c>
      <c r="K4891" s="9">
        <v>0</v>
      </c>
      <c r="L4891" s="9">
        <v>1.7330000000000001E-4</v>
      </c>
      <c r="M4891" s="9">
        <v>1.6807000000000001E-4</v>
      </c>
      <c r="N4891" s="9">
        <v>1.6935999999999999E-4</v>
      </c>
      <c r="O4891" s="9">
        <v>1.8273000000000001E-4</v>
      </c>
      <c r="P4891" s="9">
        <v>1.6799E-4</v>
      </c>
      <c r="Q4891" s="9">
        <v>1.5322999999999999E-4</v>
      </c>
      <c r="R4891" s="10">
        <v>2.842999792518873E-5</v>
      </c>
      <c r="S4891" s="10">
        <v>8.0591057413677993E-5</v>
      </c>
      <c r="T4891" s="10">
        <v>5.6870258544005291E-4</v>
      </c>
      <c r="U4891" s="10">
        <v>7.8800000000000004E-5</v>
      </c>
      <c r="V4891" s="25"/>
      <c r="W4891" s="25"/>
      <c r="X4891" s="25"/>
      <c r="Y4891" s="25"/>
      <c r="Z4891" s="25"/>
      <c r="AA4891" s="25"/>
    </row>
    <row r="4892" spans="1:27" x14ac:dyDescent="0.35">
      <c r="A4892" s="5">
        <v>4888</v>
      </c>
      <c r="B4892" s="5">
        <v>204</v>
      </c>
      <c r="C4892" s="5">
        <v>7</v>
      </c>
      <c r="D4892" s="25">
        <v>1.1415000000000001E-4</v>
      </c>
      <c r="E4892" s="25">
        <v>1.1046E-4</v>
      </c>
      <c r="F4892" s="25">
        <v>1.0223E-4</v>
      </c>
      <c r="G4892" s="25">
        <v>1.5868999999999999E-4</v>
      </c>
      <c r="H4892" s="25">
        <v>2.0206999999999999E-4</v>
      </c>
      <c r="I4892" s="9">
        <v>1.0808E-4</v>
      </c>
      <c r="J4892" s="9">
        <v>1.2671000000000001E-4</v>
      </c>
      <c r="K4892" s="9">
        <v>0</v>
      </c>
      <c r="L4892" s="9">
        <v>1.8035999999999999E-4</v>
      </c>
      <c r="M4892" s="9">
        <v>1.6776000000000001E-4</v>
      </c>
      <c r="N4892" s="9">
        <v>1.6584999999999999E-4</v>
      </c>
      <c r="O4892" s="9">
        <v>1.9650000000000001E-4</v>
      </c>
      <c r="P4892" s="9">
        <v>1.5322E-4</v>
      </c>
      <c r="Q4892" s="9">
        <v>1.1031000000000001E-4</v>
      </c>
      <c r="R4892" s="10">
        <v>2.3587577087002218E-5</v>
      </c>
      <c r="S4892" s="10">
        <v>8.288536927999721E-5</v>
      </c>
      <c r="T4892" s="10">
        <v>4.3377677287473646E-4</v>
      </c>
      <c r="U4892" s="10">
        <v>7.8800000000000004E-5</v>
      </c>
      <c r="V4892" s="25"/>
      <c r="W4892" s="25"/>
      <c r="X4892" s="25"/>
      <c r="Y4892" s="25"/>
      <c r="Z4892" s="25"/>
      <c r="AA4892" s="25"/>
    </row>
    <row r="4893" spans="1:27" x14ac:dyDescent="0.35">
      <c r="A4893" s="5">
        <v>4889</v>
      </c>
      <c r="B4893" s="5">
        <v>204</v>
      </c>
      <c r="C4893" s="5">
        <v>7</v>
      </c>
      <c r="D4893" s="25">
        <v>1.1416E-4</v>
      </c>
      <c r="E4893" s="25">
        <v>1.0835E-4</v>
      </c>
      <c r="F4893" s="25">
        <v>1.164E-4</v>
      </c>
      <c r="G4893" s="25">
        <v>1.6328999999999999E-4</v>
      </c>
      <c r="H4893" s="25">
        <v>1.9340000000000001E-4</v>
      </c>
      <c r="I4893" s="9">
        <v>1.0887000000000001E-4</v>
      </c>
      <c r="J4893" s="9">
        <v>1.2699E-4</v>
      </c>
      <c r="K4893" s="9">
        <v>0</v>
      </c>
      <c r="L4893" s="9">
        <v>1.9269999999999999E-4</v>
      </c>
      <c r="M4893" s="9">
        <v>1.6255999999999999E-4</v>
      </c>
      <c r="N4893" s="9">
        <v>1.5243E-4</v>
      </c>
      <c r="O4893" s="9">
        <v>2.1330000000000001E-4</v>
      </c>
      <c r="P4893" s="9">
        <v>1.6033E-4</v>
      </c>
      <c r="Q4893" s="9">
        <v>1.0784E-4</v>
      </c>
      <c r="R4893" s="10">
        <v>2.2956544054989392E-5</v>
      </c>
      <c r="S4893" s="10">
        <v>8.1981197091584806E-5</v>
      </c>
      <c r="T4893" s="10">
        <v>3.2506744530136036E-4</v>
      </c>
      <c r="U4893" s="10">
        <v>7.8800000000000004E-5</v>
      </c>
      <c r="V4893" s="25"/>
      <c r="W4893" s="25"/>
      <c r="X4893" s="25"/>
      <c r="Y4893" s="25"/>
      <c r="Z4893" s="25"/>
      <c r="AA4893" s="25"/>
    </row>
    <row r="4894" spans="1:27" x14ac:dyDescent="0.35">
      <c r="A4894" s="5">
        <v>4890</v>
      </c>
      <c r="B4894" s="5">
        <v>204</v>
      </c>
      <c r="C4894" s="5">
        <v>7</v>
      </c>
      <c r="D4894" s="25">
        <v>1.1415000000000001E-4</v>
      </c>
      <c r="E4894" s="25">
        <v>1.0983E-4</v>
      </c>
      <c r="F4894" s="25">
        <v>1.1058E-4</v>
      </c>
      <c r="G4894" s="25">
        <v>1.6131000000000001E-4</v>
      </c>
      <c r="H4894" s="25">
        <v>1.9907E-4</v>
      </c>
      <c r="I4894" s="9">
        <v>1.0785000000000001E-4</v>
      </c>
      <c r="J4894" s="9">
        <v>1.2373000000000001E-4</v>
      </c>
      <c r="K4894" s="9">
        <v>0</v>
      </c>
      <c r="L4894" s="9">
        <v>2.0850999999999999E-4</v>
      </c>
      <c r="M4894" s="9">
        <v>1.6029999999999999E-4</v>
      </c>
      <c r="N4894" s="9">
        <v>1.3931999999999999E-4</v>
      </c>
      <c r="O4894" s="9">
        <v>2.0502000000000001E-4</v>
      </c>
      <c r="P4894" s="9">
        <v>1.6161999999999999E-4</v>
      </c>
      <c r="Q4894" s="9">
        <v>1.1858000000000001E-4</v>
      </c>
      <c r="R4894" s="10">
        <v>2.0090902202276723E-5</v>
      </c>
      <c r="S4894" s="10">
        <v>6.9377741134188305E-5</v>
      </c>
      <c r="T4894" s="10">
        <v>1.5145322769939408E-4</v>
      </c>
      <c r="U4894" s="10">
        <v>7.8800000000000004E-5</v>
      </c>
      <c r="V4894" s="25"/>
      <c r="W4894" s="25"/>
      <c r="X4894" s="25"/>
      <c r="Y4894" s="25"/>
      <c r="Z4894" s="25"/>
      <c r="AA4894" s="25"/>
    </row>
    <row r="4895" spans="1:27" x14ac:dyDescent="0.35">
      <c r="A4895" s="5">
        <v>4891</v>
      </c>
      <c r="B4895" s="5">
        <v>204</v>
      </c>
      <c r="C4895" s="5">
        <v>7</v>
      </c>
      <c r="D4895" s="25">
        <v>1.1416E-4</v>
      </c>
      <c r="E4895" s="25">
        <v>1.0921000000000001E-4</v>
      </c>
      <c r="F4895" s="25">
        <v>1.1448E-4</v>
      </c>
      <c r="G4895" s="25">
        <v>1.1374000000000001E-4</v>
      </c>
      <c r="H4895" s="25">
        <v>1.3805999999999999E-4</v>
      </c>
      <c r="I4895" s="9">
        <v>1.0387000000000001E-4</v>
      </c>
      <c r="J4895" s="9">
        <v>1.1997000000000001E-4</v>
      </c>
      <c r="K4895" s="9">
        <v>0</v>
      </c>
      <c r="L4895" s="9">
        <v>2.0539000000000001E-4</v>
      </c>
      <c r="M4895" s="9">
        <v>1.6033E-4</v>
      </c>
      <c r="N4895" s="9">
        <v>1.305E-4</v>
      </c>
      <c r="O4895" s="9">
        <v>1.6144E-4</v>
      </c>
      <c r="P4895" s="9">
        <v>1.3363000000000001E-4</v>
      </c>
      <c r="Q4895" s="9">
        <v>1.0606E-4</v>
      </c>
      <c r="R4895" s="10">
        <v>1.2756144013676175E-5</v>
      </c>
      <c r="S4895" s="10">
        <v>5.1535523377488748E-5</v>
      </c>
      <c r="T4895" s="10">
        <v>4.5806732191419448E-5</v>
      </c>
      <c r="U4895" s="10">
        <v>7.8800000000000004E-5</v>
      </c>
      <c r="V4895" s="25"/>
      <c r="W4895" s="25"/>
      <c r="X4895" s="25"/>
      <c r="Y4895" s="25"/>
      <c r="Z4895" s="25"/>
      <c r="AA4895" s="25"/>
    </row>
    <row r="4896" spans="1:27" x14ac:dyDescent="0.35">
      <c r="A4896" s="5">
        <v>4892</v>
      </c>
      <c r="B4896" s="5">
        <v>204</v>
      </c>
      <c r="C4896" s="5">
        <v>7</v>
      </c>
      <c r="D4896" s="25">
        <v>1.1415000000000001E-4</v>
      </c>
      <c r="E4896" s="25">
        <v>1.1042E-4</v>
      </c>
      <c r="F4896" s="25">
        <v>1.0109E-4</v>
      </c>
      <c r="G4896" s="25">
        <v>1.1139E-4</v>
      </c>
      <c r="H4896" s="25">
        <v>1.3458E-4</v>
      </c>
      <c r="I4896" s="9">
        <v>1.0051E-4</v>
      </c>
      <c r="J4896" s="9">
        <v>1.1702E-4</v>
      </c>
      <c r="K4896" s="9">
        <v>2.544E-5</v>
      </c>
      <c r="L4896" s="9">
        <v>1.7127000000000001E-4</v>
      </c>
      <c r="M4896" s="9">
        <v>1.5087999999999999E-4</v>
      </c>
      <c r="N4896" s="9">
        <v>1.2114E-4</v>
      </c>
      <c r="O4896" s="9">
        <v>1.2757999999999999E-4</v>
      </c>
      <c r="P4896" s="9">
        <v>1.1453E-4</v>
      </c>
      <c r="Q4896" s="9">
        <v>1.016E-4</v>
      </c>
      <c r="R4896" s="10">
        <v>8.2963775808822402E-6</v>
      </c>
      <c r="S4896" s="10">
        <v>3.8411721767892878E-5</v>
      </c>
      <c r="T4896" s="10">
        <v>4.573037349726816E-6</v>
      </c>
      <c r="U4896" s="10">
        <v>7.8800000000000004E-5</v>
      </c>
      <c r="V4896" s="25"/>
      <c r="W4896" s="25"/>
      <c r="X4896" s="25"/>
      <c r="Y4896" s="25"/>
      <c r="Z4896" s="25"/>
      <c r="AA4896" s="25"/>
    </row>
    <row r="4897" spans="1:27" x14ac:dyDescent="0.35">
      <c r="A4897" s="5">
        <v>4893</v>
      </c>
      <c r="B4897" s="5">
        <v>204</v>
      </c>
      <c r="C4897" s="5">
        <v>7</v>
      </c>
      <c r="D4897" s="25">
        <v>1.1416E-4</v>
      </c>
      <c r="E4897" s="25">
        <v>1.0471000000000001E-4</v>
      </c>
      <c r="F4897" s="25">
        <v>1.0022999999999999E-4</v>
      </c>
      <c r="G4897" s="25">
        <v>6.2630000000000002E-5</v>
      </c>
      <c r="H4897" s="25">
        <v>6.6849999999999999E-5</v>
      </c>
      <c r="I4897" s="9">
        <v>9.8620000000000001E-5</v>
      </c>
      <c r="J4897" s="9">
        <v>1.1298000000000001E-4</v>
      </c>
      <c r="K4897" s="9">
        <v>5.7229999999999999E-5</v>
      </c>
      <c r="L4897" s="9">
        <v>1.3825E-4</v>
      </c>
      <c r="M4897" s="9">
        <v>1.3514000000000001E-4</v>
      </c>
      <c r="N4897" s="9">
        <v>1.1332000000000001E-4</v>
      </c>
      <c r="O4897" s="9">
        <v>8.509E-5</v>
      </c>
      <c r="P4897" s="9">
        <v>8.708E-5</v>
      </c>
      <c r="Q4897" s="9">
        <v>8.9090000000000003E-5</v>
      </c>
      <c r="R4897" s="10">
        <v>7.064513375281468E-6</v>
      </c>
      <c r="S4897" s="10">
        <v>3.3368508177064254E-5</v>
      </c>
      <c r="T4897" s="10">
        <v>0</v>
      </c>
      <c r="U4897" s="10">
        <v>7.8800000000000004E-5</v>
      </c>
      <c r="V4897" s="25"/>
      <c r="W4897" s="25"/>
      <c r="X4897" s="25"/>
      <c r="Y4897" s="25"/>
      <c r="Z4897" s="25"/>
      <c r="AA4897" s="25"/>
    </row>
    <row r="4898" spans="1:27" x14ac:dyDescent="0.35">
      <c r="A4898" s="5">
        <v>4894</v>
      </c>
      <c r="B4898" s="5">
        <v>204</v>
      </c>
      <c r="C4898" s="5">
        <v>7</v>
      </c>
      <c r="D4898" s="25">
        <v>1.1415000000000001E-4</v>
      </c>
      <c r="E4898" s="25">
        <v>1.0522E-4</v>
      </c>
      <c r="F4898" s="25">
        <v>1.1684999999999999E-4</v>
      </c>
      <c r="G4898" s="25">
        <v>6.0130000000000002E-5</v>
      </c>
      <c r="H4898" s="25">
        <v>7.3759999999999999E-5</v>
      </c>
      <c r="I4898" s="9">
        <v>1.0276999999999999E-4</v>
      </c>
      <c r="J4898" s="9">
        <v>1.1266E-4</v>
      </c>
      <c r="K4898" s="9">
        <v>9.3250000000000003E-5</v>
      </c>
      <c r="L4898" s="9">
        <v>9.768E-5</v>
      </c>
      <c r="M4898" s="9">
        <v>1.138E-4</v>
      </c>
      <c r="N4898" s="9">
        <v>1.0582E-4</v>
      </c>
      <c r="O4898" s="9">
        <v>8.7100000000000003E-5</v>
      </c>
      <c r="P4898" s="9">
        <v>8.7709999999999999E-5</v>
      </c>
      <c r="Q4898" s="9">
        <v>8.8360000000000001E-5</v>
      </c>
      <c r="R4898" s="10">
        <v>7.6426426477066352E-6</v>
      </c>
      <c r="S4898" s="10">
        <v>2.9504331562439197E-5</v>
      </c>
      <c r="T4898" s="10">
        <v>0</v>
      </c>
      <c r="U4898" s="10">
        <v>7.8800000000000004E-5</v>
      </c>
      <c r="V4898" s="25"/>
      <c r="W4898" s="25"/>
      <c r="X4898" s="25"/>
      <c r="Y4898" s="25"/>
      <c r="Z4898" s="25"/>
      <c r="AA4898" s="25"/>
    </row>
    <row r="4899" spans="1:27" x14ac:dyDescent="0.35">
      <c r="A4899" s="5">
        <v>4895</v>
      </c>
      <c r="B4899" s="5">
        <v>204</v>
      </c>
      <c r="C4899" s="5">
        <v>7</v>
      </c>
      <c r="D4899" s="25">
        <v>1.1416E-4</v>
      </c>
      <c r="E4899" s="25">
        <v>1.0452E-4</v>
      </c>
      <c r="F4899" s="25">
        <v>1.092E-4</v>
      </c>
      <c r="G4899" s="25">
        <v>5.9379999999999997E-5</v>
      </c>
      <c r="H4899" s="25">
        <v>7.5270000000000003E-5</v>
      </c>
      <c r="I4899" s="9">
        <v>9.8270000000000006E-5</v>
      </c>
      <c r="J4899" s="9">
        <v>1.0902E-4</v>
      </c>
      <c r="K4899" s="9">
        <v>8.2659999999999998E-5</v>
      </c>
      <c r="L4899" s="9">
        <v>9.0309999999999994E-5</v>
      </c>
      <c r="M4899" s="9">
        <v>9.9209999999999994E-5</v>
      </c>
      <c r="N4899" s="9">
        <v>9.9959999999999998E-5</v>
      </c>
      <c r="O4899" s="9">
        <v>7.7039999999999994E-5</v>
      </c>
      <c r="P4899" s="9">
        <v>7.1660000000000002E-5</v>
      </c>
      <c r="Q4899" s="9">
        <v>6.6450000000000002E-5</v>
      </c>
      <c r="R4899" s="10">
        <v>9.0507395226466042E-6</v>
      </c>
      <c r="S4899" s="10">
        <v>2.9284040174091345E-5</v>
      </c>
      <c r="T4899" s="10">
        <v>0</v>
      </c>
      <c r="U4899" s="10">
        <v>7.8800000000000004E-5</v>
      </c>
      <c r="V4899" s="25"/>
      <c r="W4899" s="25"/>
      <c r="X4899" s="25"/>
      <c r="Y4899" s="25"/>
      <c r="Z4899" s="25"/>
      <c r="AA4899" s="25"/>
    </row>
    <row r="4900" spans="1:27" x14ac:dyDescent="0.35">
      <c r="A4900" s="5">
        <v>4896</v>
      </c>
      <c r="B4900" s="5">
        <v>204</v>
      </c>
      <c r="C4900" s="5">
        <v>7</v>
      </c>
      <c r="D4900" s="25">
        <v>1.1415000000000001E-4</v>
      </c>
      <c r="E4900" s="25">
        <v>1.0488999999999999E-4</v>
      </c>
      <c r="F4900" s="25">
        <v>1.1116999999999999E-4</v>
      </c>
      <c r="G4900" s="25">
        <v>5.2250000000000003E-5</v>
      </c>
      <c r="H4900" s="25">
        <v>6.7189999999999999E-5</v>
      </c>
      <c r="I4900" s="9">
        <v>9.2349999999999995E-5</v>
      </c>
      <c r="J4900" s="9">
        <v>1.0213E-4</v>
      </c>
      <c r="K4900" s="9">
        <v>8.6899999999999998E-5</v>
      </c>
      <c r="L4900" s="9">
        <v>7.996E-5</v>
      </c>
      <c r="M4900" s="9">
        <v>8.6080000000000003E-5</v>
      </c>
      <c r="N4900" s="9">
        <v>9.0539999999999997E-5</v>
      </c>
      <c r="O4900" s="9">
        <v>6.2420000000000002E-5</v>
      </c>
      <c r="P4900" s="9">
        <v>6.0460000000000001E-5</v>
      </c>
      <c r="Q4900" s="9">
        <v>5.8650000000000003E-5</v>
      </c>
      <c r="R4900" s="10">
        <v>3.3637532236360702E-6</v>
      </c>
      <c r="S4900" s="10">
        <v>2.8005711528401198E-5</v>
      </c>
      <c r="T4900" s="10">
        <v>0</v>
      </c>
      <c r="U4900" s="10">
        <v>7.8800000000000004E-5</v>
      </c>
      <c r="V4900" s="25"/>
      <c r="W4900" s="25"/>
      <c r="X4900" s="25"/>
      <c r="Y4900" s="25"/>
      <c r="Z4900" s="25"/>
      <c r="AA4900" s="25"/>
    </row>
    <row r="4901" spans="1:27" x14ac:dyDescent="0.35">
      <c r="A4901" s="5">
        <v>4897</v>
      </c>
      <c r="B4901" s="5">
        <v>205</v>
      </c>
      <c r="C4901" s="5">
        <v>7</v>
      </c>
      <c r="D4901" s="25">
        <v>1.1416E-4</v>
      </c>
      <c r="E4901" s="25">
        <v>1.0900000000000001E-4</v>
      </c>
      <c r="F4901" s="25">
        <v>1.3172999999999999E-4</v>
      </c>
      <c r="G4901" s="25">
        <v>6.0730000000000003E-5</v>
      </c>
      <c r="H4901" s="25">
        <v>7.203E-5</v>
      </c>
      <c r="I4901" s="9">
        <v>8.8750000000000002E-5</v>
      </c>
      <c r="J4901" s="9">
        <v>9.6879999999999994E-5</v>
      </c>
      <c r="K4901" s="9">
        <v>7.4179999999999998E-5</v>
      </c>
      <c r="L4901" s="9">
        <v>6.6299999999999999E-5</v>
      </c>
      <c r="M4901" s="9">
        <v>7.3819999999999995E-5</v>
      </c>
      <c r="N4901" s="9">
        <v>8.1089999999999998E-5</v>
      </c>
      <c r="O4901" s="9">
        <v>5.4030000000000003E-5</v>
      </c>
      <c r="P4901" s="9">
        <v>5.346E-5</v>
      </c>
      <c r="Q4901" s="9">
        <v>5.304E-5</v>
      </c>
      <c r="R4901" s="10">
        <v>5.1788889382503482E-6</v>
      </c>
      <c r="S4901" s="10">
        <v>2.7291316879146996E-5</v>
      </c>
      <c r="T4901" s="10">
        <v>0</v>
      </c>
      <c r="U4901" s="10">
        <v>7.9229999999999999E-5</v>
      </c>
      <c r="V4901" s="25"/>
      <c r="W4901" s="25"/>
      <c r="X4901" s="25"/>
      <c r="Y4901" s="25"/>
      <c r="Z4901" s="25"/>
      <c r="AA4901" s="25"/>
    </row>
    <row r="4902" spans="1:27" x14ac:dyDescent="0.35">
      <c r="A4902" s="5">
        <v>4898</v>
      </c>
      <c r="B4902" s="5">
        <v>205</v>
      </c>
      <c r="C4902" s="5">
        <v>7</v>
      </c>
      <c r="D4902" s="25">
        <v>1.1415000000000001E-4</v>
      </c>
      <c r="E4902" s="25">
        <v>1.0752E-4</v>
      </c>
      <c r="F4902" s="25">
        <v>1.2753999999999999E-4</v>
      </c>
      <c r="G4902" s="25">
        <v>5.6589999999999999E-5</v>
      </c>
      <c r="H4902" s="25">
        <v>6.3930000000000006E-5</v>
      </c>
      <c r="I4902" s="9">
        <v>8.5970000000000005E-5</v>
      </c>
      <c r="J4902" s="9">
        <v>9.3820000000000006E-5</v>
      </c>
      <c r="K4902" s="9">
        <v>7.2059999999999998E-5</v>
      </c>
      <c r="L4902" s="9">
        <v>5.7099999999999999E-5</v>
      </c>
      <c r="M4902" s="9">
        <v>6.3590000000000006E-5</v>
      </c>
      <c r="N4902" s="9">
        <v>7.1899999999999999E-5</v>
      </c>
      <c r="O4902" s="9">
        <v>1.9409999999999999E-5</v>
      </c>
      <c r="P4902" s="9">
        <v>3.7979999999999999E-5</v>
      </c>
      <c r="Q4902" s="9">
        <v>5.6530000000000003E-5</v>
      </c>
      <c r="R4902" s="10">
        <v>9.1742382290291623E-6</v>
      </c>
      <c r="S4902" s="10">
        <v>2.5790535929478803E-5</v>
      </c>
      <c r="T4902" s="10">
        <v>0</v>
      </c>
      <c r="U4902" s="10">
        <v>7.9229999999999999E-5</v>
      </c>
      <c r="V4902" s="25"/>
      <c r="W4902" s="25"/>
      <c r="X4902" s="25"/>
      <c r="Y4902" s="25"/>
      <c r="Z4902" s="25"/>
      <c r="AA4902" s="25"/>
    </row>
    <row r="4903" spans="1:27" x14ac:dyDescent="0.35">
      <c r="A4903" s="5">
        <v>4899</v>
      </c>
      <c r="B4903" s="5">
        <v>205</v>
      </c>
      <c r="C4903" s="5">
        <v>7</v>
      </c>
      <c r="D4903" s="25">
        <v>1.1416E-4</v>
      </c>
      <c r="E4903" s="25">
        <v>1.1157E-4</v>
      </c>
      <c r="F4903" s="25">
        <v>1.3690999999999999E-4</v>
      </c>
      <c r="G4903" s="25">
        <v>5.897E-5</v>
      </c>
      <c r="H4903" s="25">
        <v>6.5209999999999994E-5</v>
      </c>
      <c r="I4903" s="9">
        <v>8.4320000000000006E-5</v>
      </c>
      <c r="J4903" s="9">
        <v>9.1920000000000001E-5</v>
      </c>
      <c r="K4903" s="9">
        <v>7.2059999999999998E-5</v>
      </c>
      <c r="L4903" s="9">
        <v>2.7909999999999999E-5</v>
      </c>
      <c r="M4903" s="9">
        <v>5.2040000000000003E-5</v>
      </c>
      <c r="N4903" s="9">
        <v>6.5409999999999999E-5</v>
      </c>
      <c r="O4903" s="9">
        <v>1.394E-5</v>
      </c>
      <c r="P4903" s="9">
        <v>3.7939999999999999E-5</v>
      </c>
      <c r="Q4903" s="9">
        <v>6.1829999999999996E-5</v>
      </c>
      <c r="R4903" s="10">
        <v>1.2151428134626002E-5</v>
      </c>
      <c r="S4903" s="10">
        <v>2.5167272207365001E-5</v>
      </c>
      <c r="T4903" s="10">
        <v>0</v>
      </c>
      <c r="U4903" s="10">
        <v>7.9229999999999999E-5</v>
      </c>
      <c r="V4903" s="25"/>
      <c r="W4903" s="25"/>
      <c r="X4903" s="25"/>
      <c r="Y4903" s="25"/>
      <c r="Z4903" s="25"/>
      <c r="AA4903" s="25"/>
    </row>
    <row r="4904" spans="1:27" x14ac:dyDescent="0.35">
      <c r="A4904" s="5">
        <v>4900</v>
      </c>
      <c r="B4904" s="5">
        <v>205</v>
      </c>
      <c r="C4904" s="5">
        <v>7</v>
      </c>
      <c r="D4904" s="25">
        <v>1.1415000000000001E-4</v>
      </c>
      <c r="E4904" s="25">
        <v>1.0461E-4</v>
      </c>
      <c r="F4904" s="25">
        <v>1.325E-4</v>
      </c>
      <c r="G4904" s="25">
        <v>5.236E-5</v>
      </c>
      <c r="H4904" s="25">
        <v>6.6459999999999997E-5</v>
      </c>
      <c r="I4904" s="9">
        <v>8.3689999999999993E-5</v>
      </c>
      <c r="J4904" s="9">
        <v>9.1030000000000001E-5</v>
      </c>
      <c r="K4904" s="9">
        <v>5.9349999999999999E-5</v>
      </c>
      <c r="L4904" s="9">
        <v>1.774E-5</v>
      </c>
      <c r="M4904" s="9">
        <v>4.4209999999999999E-5</v>
      </c>
      <c r="N4904" s="9">
        <v>6.19E-5</v>
      </c>
      <c r="O4904" s="9">
        <v>1.385E-5</v>
      </c>
      <c r="P4904" s="9">
        <v>4.7110000000000001E-5</v>
      </c>
      <c r="Q4904" s="9">
        <v>8.0119999999999999E-5</v>
      </c>
      <c r="R4904" s="10">
        <v>1.353672879201305E-5</v>
      </c>
      <c r="S4904" s="10">
        <v>2.396340697427726E-5</v>
      </c>
      <c r="T4904" s="10">
        <v>0</v>
      </c>
      <c r="U4904" s="10">
        <v>7.9229999999999999E-5</v>
      </c>
      <c r="V4904" s="25"/>
      <c r="W4904" s="25"/>
      <c r="X4904" s="25"/>
      <c r="Y4904" s="25"/>
      <c r="Z4904" s="25"/>
      <c r="AA4904" s="25"/>
    </row>
    <row r="4905" spans="1:27" x14ac:dyDescent="0.35">
      <c r="A4905" s="5">
        <v>4901</v>
      </c>
      <c r="B4905" s="5">
        <v>205</v>
      </c>
      <c r="C4905" s="5">
        <v>7</v>
      </c>
      <c r="D4905" s="25">
        <v>1.1416E-4</v>
      </c>
      <c r="E4905" s="25">
        <v>1.1189E-4</v>
      </c>
      <c r="F4905" s="25">
        <v>1.2035E-4</v>
      </c>
      <c r="G4905" s="25">
        <v>5.2479999999999999E-5</v>
      </c>
      <c r="H4905" s="25">
        <v>6.4469999999999998E-5</v>
      </c>
      <c r="I4905" s="9">
        <v>8.3800000000000004E-5</v>
      </c>
      <c r="J4905" s="9">
        <v>9.0519999999999994E-5</v>
      </c>
      <c r="K4905" s="9">
        <v>5.2989999999999999E-5</v>
      </c>
      <c r="L4905" s="9">
        <v>1.4949999999999999E-5</v>
      </c>
      <c r="M4905" s="9">
        <v>4.35E-5</v>
      </c>
      <c r="N4905" s="9">
        <v>6.4399999999999993E-5</v>
      </c>
      <c r="O4905" s="9">
        <v>1.9400000000000001E-5</v>
      </c>
      <c r="P4905" s="9">
        <v>5.6929999999999999E-5</v>
      </c>
      <c r="Q4905" s="9">
        <v>9.4140000000000003E-5</v>
      </c>
      <c r="R4905" s="10">
        <v>1.1820013716200502E-5</v>
      </c>
      <c r="S4905" s="10">
        <v>2.4292867321148943E-5</v>
      </c>
      <c r="T4905" s="10">
        <v>0</v>
      </c>
      <c r="U4905" s="10">
        <v>7.9229999999999999E-5</v>
      </c>
      <c r="V4905" s="25"/>
      <c r="W4905" s="25"/>
      <c r="X4905" s="25"/>
      <c r="Y4905" s="25"/>
      <c r="Z4905" s="25"/>
      <c r="AA4905" s="25"/>
    </row>
    <row r="4906" spans="1:27" x14ac:dyDescent="0.35">
      <c r="A4906" s="5">
        <v>4902</v>
      </c>
      <c r="B4906" s="5">
        <v>205</v>
      </c>
      <c r="C4906" s="5">
        <v>7</v>
      </c>
      <c r="D4906" s="25">
        <v>1.1415000000000001E-4</v>
      </c>
      <c r="E4906" s="25">
        <v>1.1221E-4</v>
      </c>
      <c r="F4906" s="25">
        <v>1.3077E-4</v>
      </c>
      <c r="G4906" s="25">
        <v>1.0951999999999999E-4</v>
      </c>
      <c r="H4906" s="25">
        <v>1.2606999999999999E-4</v>
      </c>
      <c r="I4906" s="9">
        <v>8.4430000000000003E-5</v>
      </c>
      <c r="J4906" s="9">
        <v>9.0489999999999996E-5</v>
      </c>
      <c r="K4906" s="9">
        <v>2.5429999999999999E-5</v>
      </c>
      <c r="L4906" s="9">
        <v>1.8289999999999999E-5</v>
      </c>
      <c r="M4906" s="9">
        <v>4.85E-5</v>
      </c>
      <c r="N4906" s="9">
        <v>7.1089999999999999E-5</v>
      </c>
      <c r="O4906" s="9">
        <v>4.6740000000000003E-5</v>
      </c>
      <c r="P4906" s="9">
        <v>7.7440000000000004E-5</v>
      </c>
      <c r="Q4906" s="9">
        <v>1.0783E-4</v>
      </c>
      <c r="R4906" s="10">
        <v>1.218933708622803E-5</v>
      </c>
      <c r="S4906" s="10">
        <v>2.0940114645164086E-5</v>
      </c>
      <c r="T4906" s="10">
        <v>2.9236895560591112E-5</v>
      </c>
      <c r="U4906" s="10">
        <v>7.9229999999999999E-5</v>
      </c>
      <c r="V4906" s="25"/>
      <c r="W4906" s="25"/>
      <c r="X4906" s="25"/>
      <c r="Y4906" s="25"/>
      <c r="Z4906" s="25"/>
      <c r="AA4906" s="25"/>
    </row>
    <row r="4907" spans="1:27" x14ac:dyDescent="0.35">
      <c r="A4907" s="5">
        <v>4903</v>
      </c>
      <c r="B4907" s="5">
        <v>205</v>
      </c>
      <c r="C4907" s="5">
        <v>7</v>
      </c>
      <c r="D4907" s="25">
        <v>1.1416E-4</v>
      </c>
      <c r="E4907" s="25">
        <v>1.0834E-4</v>
      </c>
      <c r="F4907" s="25">
        <v>1.2512999999999999E-4</v>
      </c>
      <c r="G4907" s="25">
        <v>1.0886E-4</v>
      </c>
      <c r="H4907" s="25">
        <v>1.3845E-4</v>
      </c>
      <c r="I4907" s="9">
        <v>8.9120000000000001E-5</v>
      </c>
      <c r="J4907" s="9">
        <v>9.4660000000000005E-5</v>
      </c>
      <c r="K4907" s="9">
        <v>2.12E-6</v>
      </c>
      <c r="L4907" s="9">
        <v>4.0339999999999997E-5</v>
      </c>
      <c r="M4907" s="9">
        <v>6.033E-5</v>
      </c>
      <c r="N4907" s="9">
        <v>8.1000000000000004E-5</v>
      </c>
      <c r="O4907" s="9">
        <v>1.2334999999999999E-4</v>
      </c>
      <c r="P4907" s="9">
        <v>1.1836E-4</v>
      </c>
      <c r="Q4907" s="9">
        <v>1.1338E-4</v>
      </c>
      <c r="R4907" s="10">
        <v>1.3099236242054669E-5</v>
      </c>
      <c r="S4907" s="10">
        <v>1.538601946724996E-5</v>
      </c>
      <c r="T4907" s="10">
        <v>4.930226352367817E-5</v>
      </c>
      <c r="U4907" s="10">
        <v>7.9229999999999999E-5</v>
      </c>
      <c r="V4907" s="25"/>
      <c r="W4907" s="25"/>
      <c r="X4907" s="25"/>
      <c r="Y4907" s="25"/>
      <c r="Z4907" s="25"/>
      <c r="AA4907" s="25"/>
    </row>
    <row r="4908" spans="1:27" x14ac:dyDescent="0.35">
      <c r="A4908" s="5">
        <v>4904</v>
      </c>
      <c r="B4908" s="5">
        <v>205</v>
      </c>
      <c r="C4908" s="5">
        <v>7</v>
      </c>
      <c r="D4908" s="25">
        <v>1.1415000000000001E-4</v>
      </c>
      <c r="E4908" s="25">
        <v>1.0642E-4</v>
      </c>
      <c r="F4908" s="25">
        <v>1.4124E-4</v>
      </c>
      <c r="G4908" s="25">
        <v>1.5859000000000001E-4</v>
      </c>
      <c r="H4908" s="25">
        <v>2.0029999999999999E-4</v>
      </c>
      <c r="I4908" s="9">
        <v>9.412E-5</v>
      </c>
      <c r="J4908" s="9">
        <v>1.0142E-4</v>
      </c>
      <c r="K4908" s="9">
        <v>0</v>
      </c>
      <c r="L4908" s="9">
        <v>1.0446999999999999E-4</v>
      </c>
      <c r="M4908" s="9">
        <v>8.4270000000000005E-5</v>
      </c>
      <c r="N4908" s="9">
        <v>9.1279999999999993E-5</v>
      </c>
      <c r="O4908" s="9">
        <v>2.1536E-4</v>
      </c>
      <c r="P4908" s="9">
        <v>1.7522999999999999E-4</v>
      </c>
      <c r="Q4908" s="9">
        <v>1.3537E-4</v>
      </c>
      <c r="R4908" s="10">
        <v>9.4669800856477022E-6</v>
      </c>
      <c r="S4908" s="10">
        <v>1.1210575812628274E-5</v>
      </c>
      <c r="T4908" s="10">
        <v>1.6871877687693409E-4</v>
      </c>
      <c r="U4908" s="10">
        <v>7.9229999999999999E-5</v>
      </c>
      <c r="V4908" s="25"/>
      <c r="W4908" s="25"/>
      <c r="X4908" s="25"/>
      <c r="Y4908" s="25"/>
      <c r="Z4908" s="25"/>
      <c r="AA4908" s="25"/>
    </row>
    <row r="4909" spans="1:27" x14ac:dyDescent="0.35">
      <c r="A4909" s="5">
        <v>4905</v>
      </c>
      <c r="B4909" s="5">
        <v>205</v>
      </c>
      <c r="C4909" s="5">
        <v>7</v>
      </c>
      <c r="D4909" s="25">
        <v>1.1416E-4</v>
      </c>
      <c r="E4909" s="25">
        <v>1.0459999999999999E-4</v>
      </c>
      <c r="F4909" s="25">
        <v>1.2687000000000001E-4</v>
      </c>
      <c r="G4909" s="25">
        <v>1.6053000000000001E-4</v>
      </c>
      <c r="H4909" s="25">
        <v>1.8945E-4</v>
      </c>
      <c r="I4909" s="9">
        <v>9.8850000000000004E-5</v>
      </c>
      <c r="J4909" s="9">
        <v>1.0827000000000001E-4</v>
      </c>
      <c r="K4909" s="9">
        <v>0</v>
      </c>
      <c r="L4909" s="9">
        <v>1.8921000000000001E-4</v>
      </c>
      <c r="M4909" s="9">
        <v>1.2320000000000001E-4</v>
      </c>
      <c r="N4909" s="9">
        <v>1.0469E-4</v>
      </c>
      <c r="O4909" s="9">
        <v>2.0744000000000001E-4</v>
      </c>
      <c r="P4909" s="9">
        <v>1.9141000000000001E-4</v>
      </c>
      <c r="Q4909" s="9">
        <v>1.7530000000000001E-4</v>
      </c>
      <c r="R4909" s="10">
        <v>4.5649200700333988E-6</v>
      </c>
      <c r="S4909" s="10">
        <v>7.4512551781511005E-6</v>
      </c>
      <c r="T4909" s="10">
        <v>3.2384570619493983E-4</v>
      </c>
      <c r="U4909" s="10">
        <v>7.9229999999999999E-5</v>
      </c>
      <c r="V4909" s="25"/>
      <c r="W4909" s="25"/>
      <c r="X4909" s="25"/>
      <c r="Y4909" s="25"/>
      <c r="Z4909" s="25"/>
      <c r="AA4909" s="25"/>
    </row>
    <row r="4910" spans="1:27" x14ac:dyDescent="0.35">
      <c r="A4910" s="5">
        <v>4906</v>
      </c>
      <c r="B4910" s="5">
        <v>205</v>
      </c>
      <c r="C4910" s="5">
        <v>7</v>
      </c>
      <c r="D4910" s="25">
        <v>1.1415000000000001E-4</v>
      </c>
      <c r="E4910" s="25">
        <v>1.1094000000000001E-4</v>
      </c>
      <c r="F4910" s="25">
        <v>1.3002000000000001E-4</v>
      </c>
      <c r="G4910" s="25">
        <v>1.6330000000000001E-4</v>
      </c>
      <c r="H4910" s="25">
        <v>1.9275999999999999E-4</v>
      </c>
      <c r="I4910" s="9">
        <v>1.0315999999999999E-4</v>
      </c>
      <c r="J4910" s="9">
        <v>1.1031000000000001E-4</v>
      </c>
      <c r="K4910" s="9">
        <v>0</v>
      </c>
      <c r="L4910" s="9">
        <v>2.0121000000000001E-4</v>
      </c>
      <c r="M4910" s="9">
        <v>1.5758999999999999E-4</v>
      </c>
      <c r="N4910" s="9">
        <v>1.2431000000000001E-4</v>
      </c>
      <c r="O4910" s="9">
        <v>1.6417E-4</v>
      </c>
      <c r="P4910" s="9">
        <v>1.7242000000000001E-4</v>
      </c>
      <c r="Q4910" s="9">
        <v>1.8034999999999999E-4</v>
      </c>
      <c r="R4910" s="10">
        <v>3.3452564423202769E-6</v>
      </c>
      <c r="S4910" s="10">
        <v>4.6790583353216226E-6</v>
      </c>
      <c r="T4910" s="10">
        <v>4.9757870398780819E-4</v>
      </c>
      <c r="U4910" s="10">
        <v>7.9229999999999999E-5</v>
      </c>
      <c r="V4910" s="25"/>
      <c r="W4910" s="25"/>
      <c r="X4910" s="25"/>
      <c r="Y4910" s="25"/>
      <c r="Z4910" s="25"/>
      <c r="AA4910" s="25"/>
    </row>
    <row r="4911" spans="1:27" x14ac:dyDescent="0.35">
      <c r="A4911" s="5">
        <v>4907</v>
      </c>
      <c r="B4911" s="5">
        <v>205</v>
      </c>
      <c r="C4911" s="5">
        <v>7</v>
      </c>
      <c r="D4911" s="25">
        <v>1.1416E-4</v>
      </c>
      <c r="E4911" s="25">
        <v>1.0736E-4</v>
      </c>
      <c r="F4911" s="25">
        <v>1.2053E-4</v>
      </c>
      <c r="G4911" s="25">
        <v>1.6145999999999999E-4</v>
      </c>
      <c r="H4911" s="25">
        <v>1.8887999999999999E-4</v>
      </c>
      <c r="I4911" s="9">
        <v>1.0555E-4</v>
      </c>
      <c r="J4911" s="9">
        <v>1.1044000000000001E-4</v>
      </c>
      <c r="K4911" s="9">
        <v>0</v>
      </c>
      <c r="L4911" s="9">
        <v>1.7239999999999999E-4</v>
      </c>
      <c r="M4911" s="9">
        <v>1.7089000000000001E-4</v>
      </c>
      <c r="N4911" s="9">
        <v>1.4196E-4</v>
      </c>
      <c r="O4911" s="9">
        <v>1.6409000000000001E-4</v>
      </c>
      <c r="P4911" s="9">
        <v>1.7101E-4</v>
      </c>
      <c r="Q4911" s="9">
        <v>1.7762E-4</v>
      </c>
      <c r="R4911" s="10">
        <v>4.1490522821235357E-6</v>
      </c>
      <c r="S4911" s="10">
        <v>3.8357392093188035E-6</v>
      </c>
      <c r="T4911" s="10">
        <v>1.1010923696614958E-4</v>
      </c>
      <c r="U4911" s="10">
        <v>7.9229999999999999E-5</v>
      </c>
      <c r="V4911" s="25"/>
      <c r="W4911" s="25"/>
      <c r="X4911" s="25"/>
      <c r="Y4911" s="25"/>
      <c r="Z4911" s="25"/>
      <c r="AA4911" s="25"/>
    </row>
    <row r="4912" spans="1:27" x14ac:dyDescent="0.35">
      <c r="A4912" s="5">
        <v>4908</v>
      </c>
      <c r="B4912" s="5">
        <v>205</v>
      </c>
      <c r="C4912" s="5">
        <v>7</v>
      </c>
      <c r="D4912" s="25">
        <v>1.1415000000000001E-4</v>
      </c>
      <c r="E4912" s="25">
        <v>1.122E-4</v>
      </c>
      <c r="F4912" s="25">
        <v>1.4128E-4</v>
      </c>
      <c r="G4912" s="25">
        <v>1.6703000000000001E-4</v>
      </c>
      <c r="H4912" s="25">
        <v>1.9854000000000001E-4</v>
      </c>
      <c r="I4912" s="9">
        <v>1.063E-4</v>
      </c>
      <c r="J4912" s="9">
        <v>1.0937E-4</v>
      </c>
      <c r="K4912" s="9">
        <v>0</v>
      </c>
      <c r="L4912" s="9">
        <v>1.673E-4</v>
      </c>
      <c r="M4912" s="9">
        <v>1.7317E-4</v>
      </c>
      <c r="N4912" s="9">
        <v>1.5562E-4</v>
      </c>
      <c r="O4912" s="9">
        <v>1.6757E-4</v>
      </c>
      <c r="P4912" s="9">
        <v>1.7048000000000001E-4</v>
      </c>
      <c r="Q4912" s="9">
        <v>1.7312999999999999E-4</v>
      </c>
      <c r="R4912" s="10">
        <v>2.8662434775148696E-6</v>
      </c>
      <c r="S4912" s="10">
        <v>4.426093046997224E-6</v>
      </c>
      <c r="T4912" s="10">
        <v>3.1285005423715517E-4</v>
      </c>
      <c r="U4912" s="10">
        <v>7.9229999999999999E-5</v>
      </c>
      <c r="V4912" s="25"/>
      <c r="W4912" s="25"/>
      <c r="X4912" s="25"/>
      <c r="Y4912" s="25"/>
      <c r="Z4912" s="25"/>
      <c r="AA4912" s="25"/>
    </row>
    <row r="4913" spans="1:27" x14ac:dyDescent="0.35">
      <c r="A4913" s="5">
        <v>4909</v>
      </c>
      <c r="B4913" s="5">
        <v>205</v>
      </c>
      <c r="C4913" s="5">
        <v>7</v>
      </c>
      <c r="D4913" s="25">
        <v>1.1416E-4</v>
      </c>
      <c r="E4913" s="25">
        <v>1.1512E-4</v>
      </c>
      <c r="F4913" s="25">
        <v>1.4247000000000001E-4</v>
      </c>
      <c r="G4913" s="25">
        <v>1.5683E-4</v>
      </c>
      <c r="H4913" s="25">
        <v>1.9602000000000001E-4</v>
      </c>
      <c r="I4913" s="9">
        <v>1.033E-4</v>
      </c>
      <c r="J4913" s="9">
        <v>1.0758E-4</v>
      </c>
      <c r="K4913" s="9">
        <v>0</v>
      </c>
      <c r="L4913" s="9">
        <v>1.6767E-4</v>
      </c>
      <c r="M4913" s="9">
        <v>1.7232E-4</v>
      </c>
      <c r="N4913" s="9">
        <v>1.6493000000000001E-4</v>
      </c>
      <c r="O4913" s="9">
        <v>1.6108E-4</v>
      </c>
      <c r="P4913" s="9">
        <v>1.6474E-4</v>
      </c>
      <c r="Q4913" s="9">
        <v>1.6814999999999999E-4</v>
      </c>
      <c r="R4913" s="10">
        <v>6.2009204807781556E-6</v>
      </c>
      <c r="S4913" s="10">
        <v>6.7600671072845337E-6</v>
      </c>
      <c r="T4913" s="10">
        <v>4.2583546868300311E-4</v>
      </c>
      <c r="U4913" s="10">
        <v>7.9229999999999999E-5</v>
      </c>
      <c r="V4913" s="25"/>
      <c r="W4913" s="25"/>
      <c r="X4913" s="25"/>
      <c r="Y4913" s="25"/>
      <c r="Z4913" s="25"/>
      <c r="AA4913" s="25"/>
    </row>
    <row r="4914" spans="1:27" x14ac:dyDescent="0.35">
      <c r="A4914" s="5">
        <v>4910</v>
      </c>
      <c r="B4914" s="5">
        <v>205</v>
      </c>
      <c r="C4914" s="5">
        <v>7</v>
      </c>
      <c r="D4914" s="25">
        <v>1.1415000000000001E-4</v>
      </c>
      <c r="E4914" s="25">
        <v>1.1305E-4</v>
      </c>
      <c r="F4914" s="25">
        <v>1.2582000000000001E-4</v>
      </c>
      <c r="G4914" s="25">
        <v>1.5890000000000001E-4</v>
      </c>
      <c r="H4914" s="25">
        <v>1.9142000000000001E-4</v>
      </c>
      <c r="I4914" s="9">
        <v>9.9950000000000004E-5</v>
      </c>
      <c r="J4914" s="9">
        <v>1.0562E-4</v>
      </c>
      <c r="K4914" s="9">
        <v>0</v>
      </c>
      <c r="L4914" s="9">
        <v>1.6226000000000001E-4</v>
      </c>
      <c r="M4914" s="9">
        <v>1.6934E-4</v>
      </c>
      <c r="N4914" s="9">
        <v>1.6959000000000001E-4</v>
      </c>
      <c r="O4914" s="9">
        <v>1.7754000000000001E-4</v>
      </c>
      <c r="P4914" s="9">
        <v>1.6959000000000001E-4</v>
      </c>
      <c r="Q4914" s="9">
        <v>1.6152000000000001E-4</v>
      </c>
      <c r="R4914" s="10">
        <v>7.9860429186425383E-6</v>
      </c>
      <c r="S4914" s="10">
        <v>1.0292589222120384E-5</v>
      </c>
      <c r="T4914" s="10">
        <v>3.2271729438137088E-4</v>
      </c>
      <c r="U4914" s="10">
        <v>7.9229999999999999E-5</v>
      </c>
      <c r="V4914" s="25"/>
      <c r="W4914" s="25"/>
      <c r="X4914" s="25"/>
      <c r="Y4914" s="25"/>
      <c r="Z4914" s="25"/>
      <c r="AA4914" s="25"/>
    </row>
    <row r="4915" spans="1:27" x14ac:dyDescent="0.35">
      <c r="A4915" s="5">
        <v>4911</v>
      </c>
      <c r="B4915" s="5">
        <v>205</v>
      </c>
      <c r="C4915" s="5">
        <v>7</v>
      </c>
      <c r="D4915" s="25">
        <v>1.1416E-4</v>
      </c>
      <c r="E4915" s="25">
        <v>1.1198E-4</v>
      </c>
      <c r="F4915" s="25">
        <v>1.4223E-4</v>
      </c>
      <c r="G4915" s="25">
        <v>1.6008999999999999E-4</v>
      </c>
      <c r="H4915" s="25">
        <v>2.0097E-4</v>
      </c>
      <c r="I4915" s="9">
        <v>9.9309999999999996E-5</v>
      </c>
      <c r="J4915" s="9">
        <v>1.0503E-4</v>
      </c>
      <c r="K4915" s="9">
        <v>0</v>
      </c>
      <c r="L4915" s="9">
        <v>1.7430000000000001E-4</v>
      </c>
      <c r="M4915" s="9">
        <v>1.6856999999999999E-4</v>
      </c>
      <c r="N4915" s="9">
        <v>1.6951999999999999E-4</v>
      </c>
      <c r="O4915" s="9">
        <v>1.8264E-4</v>
      </c>
      <c r="P4915" s="9">
        <v>1.6791000000000001E-4</v>
      </c>
      <c r="Q4915" s="9">
        <v>1.5315000000000001E-4</v>
      </c>
      <c r="R4915" s="10">
        <v>7.516922432677673E-6</v>
      </c>
      <c r="S4915" s="10">
        <v>1.4854213857641343E-5</v>
      </c>
      <c r="T4915" s="10">
        <v>8.8397914929134869E-5</v>
      </c>
      <c r="U4915" s="10">
        <v>7.9229999999999999E-5</v>
      </c>
      <c r="V4915" s="25"/>
      <c r="W4915" s="25"/>
      <c r="X4915" s="25"/>
      <c r="Y4915" s="25"/>
      <c r="Z4915" s="25"/>
      <c r="AA4915" s="25"/>
    </row>
    <row r="4916" spans="1:27" x14ac:dyDescent="0.35">
      <c r="A4916" s="5">
        <v>4912</v>
      </c>
      <c r="B4916" s="5">
        <v>205</v>
      </c>
      <c r="C4916" s="5">
        <v>7</v>
      </c>
      <c r="D4916" s="25">
        <v>1.1415000000000001E-4</v>
      </c>
      <c r="E4916" s="25">
        <v>1.0797E-4</v>
      </c>
      <c r="F4916" s="25">
        <v>1.2464E-4</v>
      </c>
      <c r="G4916" s="25">
        <v>1.6629000000000001E-4</v>
      </c>
      <c r="H4916" s="25">
        <v>2.0120000000000001E-4</v>
      </c>
      <c r="I4916" s="9">
        <v>9.9599999999999995E-5</v>
      </c>
      <c r="J4916" s="9">
        <v>1.059E-4</v>
      </c>
      <c r="K4916" s="9">
        <v>0</v>
      </c>
      <c r="L4916" s="9">
        <v>1.8049E-4</v>
      </c>
      <c r="M4916" s="9">
        <v>1.682E-4</v>
      </c>
      <c r="N4916" s="9">
        <v>1.6600999999999999E-4</v>
      </c>
      <c r="O4916" s="9">
        <v>1.9438999999999999E-4</v>
      </c>
      <c r="P4916" s="9">
        <v>1.5156999999999999E-4</v>
      </c>
      <c r="Q4916" s="9">
        <v>1.0912E-4</v>
      </c>
      <c r="R4916" s="10">
        <v>8.0790431326824538E-6</v>
      </c>
      <c r="S4916" s="10">
        <v>2.4274677944683517E-5</v>
      </c>
      <c r="T4916" s="10">
        <v>1.5779948361330069E-4</v>
      </c>
      <c r="U4916" s="10">
        <v>7.9229999999999999E-5</v>
      </c>
      <c r="V4916" s="25"/>
      <c r="W4916" s="25"/>
      <c r="X4916" s="25"/>
      <c r="Y4916" s="25"/>
      <c r="Z4916" s="25"/>
      <c r="AA4916" s="25"/>
    </row>
    <row r="4917" spans="1:27" x14ac:dyDescent="0.35">
      <c r="A4917" s="5">
        <v>4913</v>
      </c>
      <c r="B4917" s="5">
        <v>205</v>
      </c>
      <c r="C4917" s="5">
        <v>7</v>
      </c>
      <c r="D4917" s="25">
        <v>1.1416E-4</v>
      </c>
      <c r="E4917" s="25">
        <v>1.0909E-4</v>
      </c>
      <c r="F4917" s="25">
        <v>1.4218E-4</v>
      </c>
      <c r="G4917" s="25">
        <v>1.6140999999999999E-4</v>
      </c>
      <c r="H4917" s="25">
        <v>1.9306999999999999E-4</v>
      </c>
      <c r="I4917" s="9">
        <v>1.0096E-4</v>
      </c>
      <c r="J4917" s="9">
        <v>1.0758E-4</v>
      </c>
      <c r="K4917" s="9">
        <v>0</v>
      </c>
      <c r="L4917" s="9">
        <v>1.9112E-4</v>
      </c>
      <c r="M4917" s="9">
        <v>1.6220000000000001E-4</v>
      </c>
      <c r="N4917" s="9">
        <v>1.5236000000000001E-4</v>
      </c>
      <c r="O4917" s="9">
        <v>2.1361000000000001E-4</v>
      </c>
      <c r="P4917" s="9">
        <v>1.6055999999999999E-4</v>
      </c>
      <c r="Q4917" s="9">
        <v>1.08E-4</v>
      </c>
      <c r="R4917" s="10">
        <v>1.5655466036099778E-5</v>
      </c>
      <c r="S4917" s="10">
        <v>3.5519529320382627E-5</v>
      </c>
      <c r="T4917" s="10">
        <v>5.2729920461135741E-5</v>
      </c>
      <c r="U4917" s="10">
        <v>7.9229999999999999E-5</v>
      </c>
      <c r="V4917" s="25"/>
      <c r="W4917" s="25"/>
      <c r="X4917" s="25"/>
      <c r="Y4917" s="25"/>
      <c r="Z4917" s="25"/>
      <c r="AA4917" s="25"/>
    </row>
    <row r="4918" spans="1:27" x14ac:dyDescent="0.35">
      <c r="A4918" s="5">
        <v>4914</v>
      </c>
      <c r="B4918" s="5">
        <v>205</v>
      </c>
      <c r="C4918" s="5">
        <v>7</v>
      </c>
      <c r="D4918" s="25">
        <v>1.1415000000000001E-4</v>
      </c>
      <c r="E4918" s="25">
        <v>1.0849999999999999E-4</v>
      </c>
      <c r="F4918" s="25">
        <v>1.362E-4</v>
      </c>
      <c r="G4918" s="25">
        <v>1.5805999999999999E-4</v>
      </c>
      <c r="H4918" s="25">
        <v>2.0179E-4</v>
      </c>
      <c r="I4918" s="9">
        <v>1.0121E-4</v>
      </c>
      <c r="J4918" s="9">
        <v>1.0808E-4</v>
      </c>
      <c r="K4918" s="9">
        <v>0</v>
      </c>
      <c r="L4918" s="9">
        <v>2.0845E-4</v>
      </c>
      <c r="M4918" s="9">
        <v>1.5993999999999999E-4</v>
      </c>
      <c r="N4918" s="9">
        <v>1.3931999999999999E-4</v>
      </c>
      <c r="O4918" s="9">
        <v>2.0328999999999999E-4</v>
      </c>
      <c r="P4918" s="9">
        <v>1.6025999999999999E-4</v>
      </c>
      <c r="Q4918" s="9">
        <v>1.1758E-4</v>
      </c>
      <c r="R4918" s="10">
        <v>2.3527585218802079E-5</v>
      </c>
      <c r="S4918" s="10">
        <v>3.718483120350687E-5</v>
      </c>
      <c r="T4918" s="10">
        <v>1.0622342786378431E-5</v>
      </c>
      <c r="U4918" s="10">
        <v>7.9229999999999999E-5</v>
      </c>
      <c r="V4918" s="25"/>
      <c r="W4918" s="25"/>
      <c r="X4918" s="25"/>
      <c r="Y4918" s="25"/>
      <c r="Z4918" s="25"/>
      <c r="AA4918" s="25"/>
    </row>
    <row r="4919" spans="1:27" x14ac:dyDescent="0.35">
      <c r="A4919" s="5">
        <v>4915</v>
      </c>
      <c r="B4919" s="5">
        <v>205</v>
      </c>
      <c r="C4919" s="5">
        <v>7</v>
      </c>
      <c r="D4919" s="25">
        <v>1.1416E-4</v>
      </c>
      <c r="E4919" s="25">
        <v>1.0586000000000001E-4</v>
      </c>
      <c r="F4919" s="25">
        <v>1.2442E-4</v>
      </c>
      <c r="G4919" s="25">
        <v>1.1367E-4</v>
      </c>
      <c r="H4919" s="25">
        <v>1.2725E-4</v>
      </c>
      <c r="I4919" s="9">
        <v>9.9090000000000002E-5</v>
      </c>
      <c r="J4919" s="9">
        <v>1.0729E-4</v>
      </c>
      <c r="K4919" s="9">
        <v>0</v>
      </c>
      <c r="L4919" s="9">
        <v>2.0398000000000001E-4</v>
      </c>
      <c r="M4919" s="9">
        <v>1.5964000000000001E-4</v>
      </c>
      <c r="N4919" s="9">
        <v>1.3023000000000001E-4</v>
      </c>
      <c r="O4919" s="9">
        <v>1.639E-4</v>
      </c>
      <c r="P4919" s="9">
        <v>1.3566000000000001E-4</v>
      </c>
      <c r="Q4919" s="9">
        <v>1.0768E-4</v>
      </c>
      <c r="R4919" s="10">
        <v>3.6337290418817041E-5</v>
      </c>
      <c r="S4919" s="10">
        <v>4.3263263624670293E-5</v>
      </c>
      <c r="T4919" s="10">
        <v>2.2432487481776816E-5</v>
      </c>
      <c r="U4919" s="10">
        <v>7.9229999999999999E-5</v>
      </c>
      <c r="V4919" s="25"/>
      <c r="W4919" s="25"/>
      <c r="X4919" s="25"/>
      <c r="Y4919" s="25"/>
      <c r="Z4919" s="25"/>
      <c r="AA4919" s="25"/>
    </row>
    <row r="4920" spans="1:27" x14ac:dyDescent="0.35">
      <c r="A4920" s="5">
        <v>4916</v>
      </c>
      <c r="B4920" s="5">
        <v>205</v>
      </c>
      <c r="C4920" s="5">
        <v>7</v>
      </c>
      <c r="D4920" s="25">
        <v>1.1415000000000001E-4</v>
      </c>
      <c r="E4920" s="25">
        <v>1.1477E-4</v>
      </c>
      <c r="F4920" s="25">
        <v>1.3421E-4</v>
      </c>
      <c r="G4920" s="25">
        <v>1.1539E-4</v>
      </c>
      <c r="H4920" s="25">
        <v>1.328E-4</v>
      </c>
      <c r="I4920" s="9">
        <v>9.6830000000000006E-5</v>
      </c>
      <c r="J4920" s="9">
        <v>1.0574E-4</v>
      </c>
      <c r="K4920" s="9">
        <v>0</v>
      </c>
      <c r="L4920" s="9">
        <v>1.729E-4</v>
      </c>
      <c r="M4920" s="9">
        <v>1.5108999999999999E-4</v>
      </c>
      <c r="N4920" s="9">
        <v>1.2121E-4</v>
      </c>
      <c r="O4920" s="9">
        <v>1.2816999999999999E-4</v>
      </c>
      <c r="P4920" s="9">
        <v>1.1505E-4</v>
      </c>
      <c r="Q4920" s="9">
        <v>1.0206E-4</v>
      </c>
      <c r="R4920" s="10">
        <v>6.5428080758707241E-5</v>
      </c>
      <c r="S4920" s="10">
        <v>6.4949390690354788E-5</v>
      </c>
      <c r="T4920" s="10">
        <v>2.6046799004937526E-6</v>
      </c>
      <c r="U4920" s="10">
        <v>7.9229999999999999E-5</v>
      </c>
      <c r="V4920" s="25"/>
      <c r="W4920" s="25"/>
      <c r="X4920" s="25"/>
      <c r="Y4920" s="25"/>
      <c r="Z4920" s="25"/>
      <c r="AA4920" s="25"/>
    </row>
    <row r="4921" spans="1:27" x14ac:dyDescent="0.35">
      <c r="A4921" s="5">
        <v>4917</v>
      </c>
      <c r="B4921" s="5">
        <v>205</v>
      </c>
      <c r="C4921" s="5">
        <v>7</v>
      </c>
      <c r="D4921" s="25">
        <v>1.1416E-4</v>
      </c>
      <c r="E4921" s="25">
        <v>1.0883999999999999E-4</v>
      </c>
      <c r="F4921" s="25">
        <v>1.2952999999999999E-4</v>
      </c>
      <c r="G4921" s="25">
        <v>5.4849999999999998E-5</v>
      </c>
      <c r="H4921" s="25">
        <v>7.2050000000000003E-5</v>
      </c>
      <c r="I4921" s="9">
        <v>9.5480000000000001E-5</v>
      </c>
      <c r="J4921" s="9">
        <v>1.0452E-4</v>
      </c>
      <c r="K4921" s="9">
        <v>0</v>
      </c>
      <c r="L4921" s="9">
        <v>1.3899E-4</v>
      </c>
      <c r="M4921" s="9">
        <v>1.3570999999999999E-4</v>
      </c>
      <c r="N4921" s="9">
        <v>1.1349999999999999E-4</v>
      </c>
      <c r="O4921" s="9">
        <v>8.4729999999999997E-5</v>
      </c>
      <c r="P4921" s="9">
        <v>8.6710000000000002E-5</v>
      </c>
      <c r="Q4921" s="9">
        <v>8.8720000000000004E-5</v>
      </c>
      <c r="R4921" s="10">
        <v>9.612150261019192E-5</v>
      </c>
      <c r="S4921" s="10">
        <v>9.4950115390424989E-5</v>
      </c>
      <c r="T4921" s="10">
        <v>0</v>
      </c>
      <c r="U4921" s="10">
        <v>7.9229999999999999E-5</v>
      </c>
      <c r="V4921" s="25"/>
      <c r="W4921" s="25"/>
      <c r="X4921" s="25"/>
      <c r="Y4921" s="25"/>
      <c r="Z4921" s="25"/>
      <c r="AA4921" s="25"/>
    </row>
    <row r="4922" spans="1:27" x14ac:dyDescent="0.35">
      <c r="A4922" s="5">
        <v>4918</v>
      </c>
      <c r="B4922" s="5">
        <v>205</v>
      </c>
      <c r="C4922" s="5">
        <v>7</v>
      </c>
      <c r="D4922" s="25">
        <v>1.1415000000000001E-4</v>
      </c>
      <c r="E4922" s="25">
        <v>1.1197E-4</v>
      </c>
      <c r="F4922" s="25">
        <v>1.247E-4</v>
      </c>
      <c r="G4922" s="25">
        <v>5.2979999999999998E-5</v>
      </c>
      <c r="H4922" s="25">
        <v>7.6650000000000006E-5</v>
      </c>
      <c r="I4922" s="9">
        <v>9.8350000000000005E-5</v>
      </c>
      <c r="J4922" s="9">
        <v>1.0556999999999999E-4</v>
      </c>
      <c r="K4922" s="9">
        <v>0</v>
      </c>
      <c r="L4922" s="9">
        <v>9.7570000000000003E-5</v>
      </c>
      <c r="M4922" s="9">
        <v>1.1411E-4</v>
      </c>
      <c r="N4922" s="9">
        <v>1.0594000000000001E-4</v>
      </c>
      <c r="O4922" s="9">
        <v>8.7310000000000003E-5</v>
      </c>
      <c r="P4922" s="9">
        <v>8.7919999999999998E-5</v>
      </c>
      <c r="Q4922" s="9">
        <v>8.8570000000000001E-5</v>
      </c>
      <c r="R4922" s="10">
        <v>1.2422139847092668E-4</v>
      </c>
      <c r="S4922" s="10">
        <v>1.3380780464619359E-4</v>
      </c>
      <c r="T4922" s="10">
        <v>0</v>
      </c>
      <c r="U4922" s="10">
        <v>7.9229999999999999E-5</v>
      </c>
      <c r="V4922" s="25"/>
      <c r="W4922" s="25"/>
      <c r="X4922" s="25"/>
      <c r="Y4922" s="25"/>
      <c r="Z4922" s="25"/>
      <c r="AA4922" s="25"/>
    </row>
    <row r="4923" spans="1:27" x14ac:dyDescent="0.35">
      <c r="A4923" s="5">
        <v>4919</v>
      </c>
      <c r="B4923" s="5">
        <v>205</v>
      </c>
      <c r="C4923" s="5">
        <v>7</v>
      </c>
      <c r="D4923" s="25">
        <v>1.1416E-4</v>
      </c>
      <c r="E4923" s="25">
        <v>1.0718E-4</v>
      </c>
      <c r="F4923" s="25">
        <v>1.3511999999999999E-4</v>
      </c>
      <c r="G4923" s="25">
        <v>6.2979999999999997E-5</v>
      </c>
      <c r="H4923" s="25">
        <v>7.3070000000000003E-5</v>
      </c>
      <c r="I4923" s="9">
        <v>9.4850000000000002E-5</v>
      </c>
      <c r="J4923" s="9">
        <v>1.0148E-4</v>
      </c>
      <c r="K4923" s="9">
        <v>0</v>
      </c>
      <c r="L4923" s="9">
        <v>9.0500000000000004E-5</v>
      </c>
      <c r="M4923" s="9">
        <v>9.9389999999999995E-5</v>
      </c>
      <c r="N4923" s="9">
        <v>1.0013000000000001E-4</v>
      </c>
      <c r="O4923" s="9">
        <v>7.7089999999999995E-5</v>
      </c>
      <c r="P4923" s="9">
        <v>7.1710000000000003E-5</v>
      </c>
      <c r="Q4923" s="9">
        <v>6.6489999999999995E-5</v>
      </c>
      <c r="R4923" s="10">
        <v>1.3746699584387209E-4</v>
      </c>
      <c r="S4923" s="10">
        <v>1.6489807916463776E-4</v>
      </c>
      <c r="T4923" s="10">
        <v>0</v>
      </c>
      <c r="U4923" s="10">
        <v>7.9229999999999999E-5</v>
      </c>
      <c r="V4923" s="25"/>
      <c r="W4923" s="25"/>
      <c r="X4923" s="25"/>
      <c r="Y4923" s="25"/>
      <c r="Z4923" s="25"/>
      <c r="AA4923" s="25"/>
    </row>
    <row r="4924" spans="1:27" x14ac:dyDescent="0.35">
      <c r="A4924" s="5">
        <v>4920</v>
      </c>
      <c r="B4924" s="5">
        <v>205</v>
      </c>
      <c r="C4924" s="5">
        <v>7</v>
      </c>
      <c r="D4924" s="25">
        <v>1.1415000000000001E-4</v>
      </c>
      <c r="E4924" s="25">
        <v>1.1249E-4</v>
      </c>
      <c r="F4924" s="25">
        <v>1.2604000000000001E-4</v>
      </c>
      <c r="G4924" s="25">
        <v>5.448E-5</v>
      </c>
      <c r="H4924" s="25">
        <v>6.7710000000000001E-5</v>
      </c>
      <c r="I4924" s="9">
        <v>8.9930000000000001E-5</v>
      </c>
      <c r="J4924" s="9">
        <v>9.6869999999999999E-5</v>
      </c>
      <c r="K4924" s="9">
        <v>0</v>
      </c>
      <c r="L4924" s="9">
        <v>8.0030000000000005E-5</v>
      </c>
      <c r="M4924" s="9">
        <v>8.6180000000000005E-5</v>
      </c>
      <c r="N4924" s="9">
        <v>9.0719999999999999E-5</v>
      </c>
      <c r="O4924" s="9">
        <v>6.2150000000000006E-5</v>
      </c>
      <c r="P4924" s="9">
        <v>6.02E-5</v>
      </c>
      <c r="Q4924" s="9">
        <v>5.8400000000000003E-5</v>
      </c>
      <c r="R4924" s="10">
        <v>1.1970503186841689E-4</v>
      </c>
      <c r="S4924" s="10">
        <v>1.7604573345588229E-4</v>
      </c>
      <c r="T4924" s="10">
        <v>0</v>
      </c>
      <c r="U4924" s="10">
        <v>7.9229999999999999E-5</v>
      </c>
      <c r="V4924" s="25"/>
      <c r="W4924" s="25"/>
      <c r="X4924" s="25"/>
      <c r="Y4924" s="25"/>
      <c r="Z4924" s="25"/>
      <c r="AA4924" s="25"/>
    </row>
    <row r="4925" spans="1:27" x14ac:dyDescent="0.35">
      <c r="A4925" s="5">
        <v>4921</v>
      </c>
      <c r="B4925" s="5">
        <v>206</v>
      </c>
      <c r="C4925" s="5">
        <v>7</v>
      </c>
      <c r="D4925" s="25">
        <v>1.1416E-4</v>
      </c>
      <c r="E4925" s="25">
        <v>1.126E-4</v>
      </c>
      <c r="F4925" s="25">
        <v>1.0696000000000001E-4</v>
      </c>
      <c r="G4925" s="25">
        <v>5.5569999999999998E-5</v>
      </c>
      <c r="H4925" s="25">
        <v>6.8449999999999997E-5</v>
      </c>
      <c r="I4925" s="9">
        <v>8.5710000000000004E-5</v>
      </c>
      <c r="J4925" s="9">
        <v>9.2529999999999997E-5</v>
      </c>
      <c r="K4925" s="9">
        <v>0</v>
      </c>
      <c r="L4925" s="9">
        <v>6.6099999999999994E-5</v>
      </c>
      <c r="M4925" s="9">
        <v>7.3789999999999997E-5</v>
      </c>
      <c r="N4925" s="9">
        <v>8.1149999999999994E-5</v>
      </c>
      <c r="O4925" s="9">
        <v>5.4379999999999998E-5</v>
      </c>
      <c r="P4925" s="9">
        <v>5.3789999999999998E-5</v>
      </c>
      <c r="Q4925" s="9">
        <v>5.3369999999999999E-5</v>
      </c>
      <c r="R4925" s="10">
        <v>1.0913754008254266E-4</v>
      </c>
      <c r="S4925" s="10">
        <v>1.7569724779993592E-4</v>
      </c>
      <c r="T4925" s="10">
        <v>0</v>
      </c>
      <c r="U4925" s="10">
        <v>7.8540000000000004E-5</v>
      </c>
      <c r="V4925" s="25"/>
      <c r="W4925" s="25"/>
      <c r="X4925" s="25"/>
      <c r="Y4925" s="25"/>
      <c r="Z4925" s="25"/>
      <c r="AA4925" s="25"/>
    </row>
    <row r="4926" spans="1:27" x14ac:dyDescent="0.35">
      <c r="A4926" s="5">
        <v>4922</v>
      </c>
      <c r="B4926" s="5">
        <v>206</v>
      </c>
      <c r="C4926" s="5">
        <v>7</v>
      </c>
      <c r="D4926" s="25">
        <v>1.1415000000000001E-4</v>
      </c>
      <c r="E4926" s="25">
        <v>1.1646000000000001E-4</v>
      </c>
      <c r="F4926" s="25">
        <v>1.1477E-4</v>
      </c>
      <c r="G4926" s="25">
        <v>5.8270000000000003E-5</v>
      </c>
      <c r="H4926" s="25">
        <v>7.4850000000000003E-5</v>
      </c>
      <c r="I4926" s="9">
        <v>8.3490000000000002E-5</v>
      </c>
      <c r="J4926" s="9">
        <v>8.9660000000000006E-5</v>
      </c>
      <c r="K4926" s="9">
        <v>0</v>
      </c>
      <c r="L4926" s="9">
        <v>5.7340000000000003E-5</v>
      </c>
      <c r="M4926" s="9">
        <v>6.3639999999999994E-5</v>
      </c>
      <c r="N4926" s="9">
        <v>7.1989999999999993E-5</v>
      </c>
      <c r="O4926" s="9">
        <v>1.912E-5</v>
      </c>
      <c r="P4926" s="9">
        <v>3.7419999999999997E-5</v>
      </c>
      <c r="Q4926" s="9">
        <v>5.5689999999999997E-5</v>
      </c>
      <c r="R4926" s="10">
        <v>1.280948889427218E-4</v>
      </c>
      <c r="S4926" s="10">
        <v>1.7405354811913008E-4</v>
      </c>
      <c r="T4926" s="10">
        <v>0</v>
      </c>
      <c r="U4926" s="10">
        <v>7.8540000000000004E-5</v>
      </c>
      <c r="V4926" s="25"/>
      <c r="W4926" s="25"/>
      <c r="X4926" s="25"/>
      <c r="Y4926" s="25"/>
      <c r="Z4926" s="25"/>
      <c r="AA4926" s="25"/>
    </row>
    <row r="4927" spans="1:27" x14ac:dyDescent="0.35">
      <c r="A4927" s="5">
        <v>4923</v>
      </c>
      <c r="B4927" s="5">
        <v>206</v>
      </c>
      <c r="C4927" s="5">
        <v>7</v>
      </c>
      <c r="D4927" s="25">
        <v>1.1416E-4</v>
      </c>
      <c r="E4927" s="25">
        <v>1.1145E-4</v>
      </c>
      <c r="F4927" s="25">
        <v>1.1998999999999999E-4</v>
      </c>
      <c r="G4927" s="25">
        <v>5.571E-5</v>
      </c>
      <c r="H4927" s="25">
        <v>6.6989999999999994E-5</v>
      </c>
      <c r="I4927" s="9">
        <v>8.1459999999999996E-5</v>
      </c>
      <c r="J4927" s="9">
        <v>8.8410000000000002E-5</v>
      </c>
      <c r="K4927" s="9">
        <v>0</v>
      </c>
      <c r="L4927" s="9">
        <v>2.7719999999999999E-5</v>
      </c>
      <c r="M4927" s="9">
        <v>5.1900000000000001E-5</v>
      </c>
      <c r="N4927" s="9">
        <v>6.5279999999999998E-5</v>
      </c>
      <c r="O4927" s="9">
        <v>1.383E-5</v>
      </c>
      <c r="P4927" s="9">
        <v>3.7620000000000002E-5</v>
      </c>
      <c r="Q4927" s="9">
        <v>6.1320000000000002E-5</v>
      </c>
      <c r="R4927" s="10">
        <v>1.4191089128453644E-4</v>
      </c>
      <c r="S4927" s="10">
        <v>1.7064808227107135E-4</v>
      </c>
      <c r="T4927" s="10">
        <v>0</v>
      </c>
      <c r="U4927" s="10">
        <v>7.8540000000000004E-5</v>
      </c>
      <c r="V4927" s="25"/>
      <c r="W4927" s="25"/>
      <c r="X4927" s="25"/>
      <c r="Y4927" s="25"/>
      <c r="Z4927" s="25"/>
      <c r="AA4927" s="25"/>
    </row>
    <row r="4928" spans="1:27" x14ac:dyDescent="0.35">
      <c r="A4928" s="5">
        <v>4924</v>
      </c>
      <c r="B4928" s="5">
        <v>206</v>
      </c>
      <c r="C4928" s="5">
        <v>7</v>
      </c>
      <c r="D4928" s="25">
        <v>1.1415000000000001E-4</v>
      </c>
      <c r="E4928" s="25">
        <v>1.1357E-4</v>
      </c>
      <c r="F4928" s="25">
        <v>1.0142E-4</v>
      </c>
      <c r="G4928" s="25">
        <v>5.2290000000000002E-5</v>
      </c>
      <c r="H4928" s="25">
        <v>7.0790000000000005E-5</v>
      </c>
      <c r="I4928" s="9">
        <v>8.0729999999999994E-5</v>
      </c>
      <c r="J4928" s="9">
        <v>8.7940000000000002E-5</v>
      </c>
      <c r="K4928" s="9">
        <v>0</v>
      </c>
      <c r="L4928" s="9">
        <v>1.7609999999999999E-5</v>
      </c>
      <c r="M4928" s="9">
        <v>4.3959999999999999E-5</v>
      </c>
      <c r="N4928" s="9">
        <v>6.1649999999999994E-5</v>
      </c>
      <c r="O4928" s="9">
        <v>1.393E-5</v>
      </c>
      <c r="P4928" s="9">
        <v>4.7360000000000001E-5</v>
      </c>
      <c r="Q4928" s="9">
        <v>8.0560000000000001E-5</v>
      </c>
      <c r="R4928" s="10">
        <v>1.3705475962783514E-4</v>
      </c>
      <c r="S4928" s="10">
        <v>1.6836745750765741E-4</v>
      </c>
      <c r="T4928" s="10">
        <v>0</v>
      </c>
      <c r="U4928" s="10">
        <v>7.8540000000000004E-5</v>
      </c>
      <c r="V4928" s="25"/>
      <c r="W4928" s="25"/>
      <c r="X4928" s="25"/>
      <c r="Y4928" s="25"/>
      <c r="Z4928" s="25"/>
      <c r="AA4928" s="25"/>
    </row>
    <row r="4929" spans="1:27" x14ac:dyDescent="0.35">
      <c r="A4929" s="5">
        <v>4925</v>
      </c>
      <c r="B4929" s="5">
        <v>206</v>
      </c>
      <c r="C4929" s="5">
        <v>7</v>
      </c>
      <c r="D4929" s="25">
        <v>1.1416E-4</v>
      </c>
      <c r="E4929" s="25">
        <v>1.0895000000000001E-4</v>
      </c>
      <c r="F4929" s="25">
        <v>1.0547E-4</v>
      </c>
      <c r="G4929" s="25">
        <v>5.3399999999999997E-5</v>
      </c>
      <c r="H4929" s="25">
        <v>6.4820000000000006E-5</v>
      </c>
      <c r="I4929" s="9">
        <v>8.0420000000000006E-5</v>
      </c>
      <c r="J4929" s="9">
        <v>8.7230000000000003E-5</v>
      </c>
      <c r="K4929" s="9">
        <v>0</v>
      </c>
      <c r="L4929" s="9">
        <v>1.4980000000000001E-5</v>
      </c>
      <c r="M4929" s="9">
        <v>4.3399999999999998E-5</v>
      </c>
      <c r="N4929" s="9">
        <v>6.4259999999999998E-5</v>
      </c>
      <c r="O4929" s="9">
        <v>1.9380000000000001E-5</v>
      </c>
      <c r="P4929" s="9">
        <v>5.6870000000000003E-5</v>
      </c>
      <c r="Q4929" s="9">
        <v>9.4049999999999996E-5</v>
      </c>
      <c r="R4929" s="10">
        <v>1.4762401769166468E-4</v>
      </c>
      <c r="S4929" s="10">
        <v>1.6309232715782458E-4</v>
      </c>
      <c r="T4929" s="10">
        <v>0</v>
      </c>
      <c r="U4929" s="10">
        <v>7.8540000000000004E-5</v>
      </c>
      <c r="V4929" s="25"/>
      <c r="W4929" s="25"/>
      <c r="X4929" s="25"/>
      <c r="Y4929" s="25"/>
      <c r="Z4929" s="25"/>
      <c r="AA4929" s="25"/>
    </row>
    <row r="4930" spans="1:27" x14ac:dyDescent="0.35">
      <c r="A4930" s="5">
        <v>4926</v>
      </c>
      <c r="B4930" s="5">
        <v>206</v>
      </c>
      <c r="C4930" s="5">
        <v>7</v>
      </c>
      <c r="D4930" s="25">
        <v>1.1415000000000001E-4</v>
      </c>
      <c r="E4930" s="25">
        <v>1.1713E-4</v>
      </c>
      <c r="F4930" s="25">
        <v>1.094E-4</v>
      </c>
      <c r="G4930" s="25">
        <v>1.0802E-4</v>
      </c>
      <c r="H4930" s="25">
        <v>1.3928000000000001E-4</v>
      </c>
      <c r="I4930" s="9">
        <v>7.9380000000000002E-5</v>
      </c>
      <c r="J4930" s="9">
        <v>8.619E-5</v>
      </c>
      <c r="K4930" s="9">
        <v>0</v>
      </c>
      <c r="L4930" s="9">
        <v>1.8280000000000001E-5</v>
      </c>
      <c r="M4930" s="9">
        <v>4.846E-5</v>
      </c>
      <c r="N4930" s="9">
        <v>7.0959999999999998E-5</v>
      </c>
      <c r="O4930" s="9">
        <v>4.6140000000000002E-5</v>
      </c>
      <c r="P4930" s="9">
        <v>7.6440000000000007E-5</v>
      </c>
      <c r="Q4930" s="9">
        <v>1.0645E-4</v>
      </c>
      <c r="R4930" s="10">
        <v>1.6066435583024253E-4</v>
      </c>
      <c r="S4930" s="10">
        <v>1.5376827906647193E-4</v>
      </c>
      <c r="T4930" s="10">
        <v>1.8309117997607548E-5</v>
      </c>
      <c r="U4930" s="10">
        <v>7.8540000000000004E-5</v>
      </c>
      <c r="V4930" s="25"/>
      <c r="W4930" s="25"/>
      <c r="X4930" s="25"/>
      <c r="Y4930" s="25"/>
      <c r="Z4930" s="25"/>
      <c r="AA4930" s="25"/>
    </row>
    <row r="4931" spans="1:27" x14ac:dyDescent="0.35">
      <c r="A4931" s="5">
        <v>4927</v>
      </c>
      <c r="B4931" s="5">
        <v>206</v>
      </c>
      <c r="C4931" s="5">
        <v>7</v>
      </c>
      <c r="D4931" s="25">
        <v>1.1416E-4</v>
      </c>
      <c r="E4931" s="25">
        <v>1.1136E-4</v>
      </c>
      <c r="F4931" s="25">
        <v>1.0808E-4</v>
      </c>
      <c r="G4931" s="25">
        <v>1.1188000000000001E-4</v>
      </c>
      <c r="H4931" s="25">
        <v>1.2871000000000001E-4</v>
      </c>
      <c r="I4931" s="9">
        <v>8.2310000000000003E-5</v>
      </c>
      <c r="J4931" s="9">
        <v>8.7869999999999997E-5</v>
      </c>
      <c r="K4931" s="9">
        <v>0</v>
      </c>
      <c r="L4931" s="9">
        <v>3.9870000000000003E-5</v>
      </c>
      <c r="M4931" s="9">
        <v>5.9960000000000002E-5</v>
      </c>
      <c r="N4931" s="9">
        <v>8.0589999999999999E-5</v>
      </c>
      <c r="O4931" s="9">
        <v>1.2290000000000001E-4</v>
      </c>
      <c r="P4931" s="9">
        <v>1.1793E-4</v>
      </c>
      <c r="Q4931" s="9">
        <v>1.1296E-4</v>
      </c>
      <c r="R4931" s="10">
        <v>1.6161577425916407E-4</v>
      </c>
      <c r="S4931" s="10">
        <v>1.4925622385920513E-4</v>
      </c>
      <c r="T4931" s="10">
        <v>2.2941545442785362E-5</v>
      </c>
      <c r="U4931" s="10">
        <v>7.8540000000000004E-5</v>
      </c>
      <c r="V4931" s="25"/>
      <c r="W4931" s="25"/>
      <c r="X4931" s="25"/>
      <c r="Y4931" s="25"/>
      <c r="Z4931" s="25"/>
      <c r="AA4931" s="25"/>
    </row>
    <row r="4932" spans="1:27" x14ac:dyDescent="0.35">
      <c r="A4932" s="5">
        <v>4928</v>
      </c>
      <c r="B4932" s="5">
        <v>206</v>
      </c>
      <c r="C4932" s="5">
        <v>7</v>
      </c>
      <c r="D4932" s="25">
        <v>1.1415000000000001E-4</v>
      </c>
      <c r="E4932" s="25">
        <v>1.075E-4</v>
      </c>
      <c r="F4932" s="25">
        <v>1.0839E-4</v>
      </c>
      <c r="G4932" s="25">
        <v>1.5773999999999999E-4</v>
      </c>
      <c r="H4932" s="25">
        <v>1.9667999999999999E-4</v>
      </c>
      <c r="I4932" s="9">
        <v>8.6799999999999996E-5</v>
      </c>
      <c r="J4932" s="9">
        <v>9.2120000000000006E-5</v>
      </c>
      <c r="K4932" s="9">
        <v>0</v>
      </c>
      <c r="L4932" s="9">
        <v>1.0403000000000001E-4</v>
      </c>
      <c r="M4932" s="9">
        <v>8.3780000000000001E-5</v>
      </c>
      <c r="N4932" s="9">
        <v>9.0849999999999999E-5</v>
      </c>
      <c r="O4932" s="9">
        <v>2.1617000000000001E-4</v>
      </c>
      <c r="P4932" s="9">
        <v>1.7589E-4</v>
      </c>
      <c r="Q4932" s="9">
        <v>1.3588000000000001E-4</v>
      </c>
      <c r="R4932" s="10">
        <v>1.7136856915266825E-4</v>
      </c>
      <c r="S4932" s="10">
        <v>1.4076431704368474E-4</v>
      </c>
      <c r="T4932" s="10">
        <v>5.4537076222716103E-5</v>
      </c>
      <c r="U4932" s="10">
        <v>7.8540000000000004E-5</v>
      </c>
      <c r="V4932" s="25"/>
      <c r="W4932" s="25"/>
      <c r="X4932" s="25"/>
      <c r="Y4932" s="25"/>
      <c r="Z4932" s="25"/>
      <c r="AA4932" s="25"/>
    </row>
    <row r="4933" spans="1:27" x14ac:dyDescent="0.35">
      <c r="A4933" s="5">
        <v>4929</v>
      </c>
      <c r="B4933" s="5">
        <v>206</v>
      </c>
      <c r="C4933" s="5">
        <v>7</v>
      </c>
      <c r="D4933" s="25">
        <v>1.1416E-4</v>
      </c>
      <c r="E4933" s="25">
        <v>1.0752E-4</v>
      </c>
      <c r="F4933" s="25">
        <v>1.0997000000000001E-4</v>
      </c>
      <c r="G4933" s="25">
        <v>1.6393000000000001E-4</v>
      </c>
      <c r="H4933" s="25">
        <v>2.0159999999999999E-4</v>
      </c>
      <c r="I4933" s="9">
        <v>9.1669999999999995E-5</v>
      </c>
      <c r="J4933" s="9">
        <v>9.692E-5</v>
      </c>
      <c r="K4933" s="9">
        <v>0</v>
      </c>
      <c r="L4933" s="9">
        <v>1.8974000000000001E-4</v>
      </c>
      <c r="M4933" s="9">
        <v>1.2311000000000001E-4</v>
      </c>
      <c r="N4933" s="9">
        <v>1.0444E-4</v>
      </c>
      <c r="O4933" s="9">
        <v>2.0790000000000001E-4</v>
      </c>
      <c r="P4933" s="9">
        <v>1.9183000000000001E-4</v>
      </c>
      <c r="Q4933" s="9">
        <v>1.7568E-4</v>
      </c>
      <c r="R4933" s="10">
        <v>1.8176770090260995E-4</v>
      </c>
      <c r="S4933" s="10">
        <v>1.2908467660825406E-4</v>
      </c>
      <c r="T4933" s="10">
        <v>9.9928077745978556E-5</v>
      </c>
      <c r="U4933" s="10">
        <v>7.8540000000000004E-5</v>
      </c>
      <c r="V4933" s="25"/>
      <c r="W4933" s="25"/>
      <c r="X4933" s="25"/>
      <c r="Y4933" s="25"/>
      <c r="Z4933" s="25"/>
      <c r="AA4933" s="25"/>
    </row>
    <row r="4934" spans="1:27" x14ac:dyDescent="0.35">
      <c r="A4934" s="5">
        <v>4930</v>
      </c>
      <c r="B4934" s="5">
        <v>206</v>
      </c>
      <c r="C4934" s="5">
        <v>7</v>
      </c>
      <c r="D4934" s="25">
        <v>1.1415000000000001E-4</v>
      </c>
      <c r="E4934" s="25">
        <v>1.1207E-4</v>
      </c>
      <c r="F4934" s="25">
        <v>1.1691E-4</v>
      </c>
      <c r="G4934" s="25">
        <v>1.6548999999999999E-4</v>
      </c>
      <c r="H4934" s="25">
        <v>1.9144999999999999E-4</v>
      </c>
      <c r="I4934" s="9">
        <v>9.4820000000000004E-5</v>
      </c>
      <c r="J4934" s="9">
        <v>9.9610000000000003E-5</v>
      </c>
      <c r="K4934" s="9">
        <v>0</v>
      </c>
      <c r="L4934" s="9">
        <v>2.0165E-4</v>
      </c>
      <c r="M4934" s="9">
        <v>1.5779999999999999E-4</v>
      </c>
      <c r="N4934" s="9">
        <v>1.2418999999999999E-4</v>
      </c>
      <c r="O4934" s="9">
        <v>1.6735E-4</v>
      </c>
      <c r="P4934" s="9">
        <v>1.7576000000000001E-4</v>
      </c>
      <c r="Q4934" s="9">
        <v>1.8384E-4</v>
      </c>
      <c r="R4934" s="10">
        <v>1.7943784176537549E-4</v>
      </c>
      <c r="S4934" s="10">
        <v>1.2242775032052266E-4</v>
      </c>
      <c r="T4934" s="10">
        <v>1.3043761820909105E-4</v>
      </c>
      <c r="U4934" s="10">
        <v>7.8540000000000004E-5</v>
      </c>
      <c r="V4934" s="25"/>
      <c r="W4934" s="25"/>
      <c r="X4934" s="25"/>
      <c r="Y4934" s="25"/>
      <c r="Z4934" s="25"/>
      <c r="AA4934" s="25"/>
    </row>
    <row r="4935" spans="1:27" x14ac:dyDescent="0.35">
      <c r="A4935" s="5">
        <v>4931</v>
      </c>
      <c r="B4935" s="5">
        <v>206</v>
      </c>
      <c r="C4935" s="5">
        <v>7</v>
      </c>
      <c r="D4935" s="25">
        <v>1.1416E-4</v>
      </c>
      <c r="E4935" s="25">
        <v>1.154E-4</v>
      </c>
      <c r="F4935" s="25">
        <v>1.227E-4</v>
      </c>
      <c r="G4935" s="25">
        <v>1.6632999999999999E-4</v>
      </c>
      <c r="H4935" s="25">
        <v>1.9319000000000001E-4</v>
      </c>
      <c r="I4935" s="9">
        <v>9.692E-5</v>
      </c>
      <c r="J4935" s="9">
        <v>1.0019E-4</v>
      </c>
      <c r="K4935" s="9">
        <v>0</v>
      </c>
      <c r="L4935" s="9">
        <v>1.7498000000000001E-4</v>
      </c>
      <c r="M4935" s="9">
        <v>1.7228999999999999E-4</v>
      </c>
      <c r="N4935" s="9">
        <v>1.4268000000000001E-4</v>
      </c>
      <c r="O4935" s="9">
        <v>1.6712000000000001E-4</v>
      </c>
      <c r="P4935" s="9">
        <v>1.7416999999999999E-4</v>
      </c>
      <c r="Q4935" s="9">
        <v>1.8090000000000001E-4</v>
      </c>
      <c r="R4935" s="10">
        <v>1.72893987367692E-4</v>
      </c>
      <c r="S4935" s="10">
        <v>1.4216734171254095E-4</v>
      </c>
      <c r="T4935" s="10">
        <v>6.4370379169531285E-5</v>
      </c>
      <c r="U4935" s="10">
        <v>7.8540000000000004E-5</v>
      </c>
      <c r="V4935" s="25"/>
      <c r="W4935" s="25"/>
      <c r="X4935" s="25"/>
      <c r="Y4935" s="25"/>
      <c r="Z4935" s="25"/>
      <c r="AA4935" s="25"/>
    </row>
    <row r="4936" spans="1:27" x14ac:dyDescent="0.35">
      <c r="A4936" s="5">
        <v>4932</v>
      </c>
      <c r="B4936" s="5">
        <v>206</v>
      </c>
      <c r="C4936" s="5">
        <v>7</v>
      </c>
      <c r="D4936" s="25">
        <v>1.1415000000000001E-4</v>
      </c>
      <c r="E4936" s="25">
        <v>1.1526E-4</v>
      </c>
      <c r="F4936" s="25">
        <v>1.1724E-4</v>
      </c>
      <c r="G4936" s="25">
        <v>1.6546E-4</v>
      </c>
      <c r="H4936" s="25">
        <v>1.9600999999999999E-4</v>
      </c>
      <c r="I4936" s="9">
        <v>9.6940000000000004E-5</v>
      </c>
      <c r="J4936" s="9">
        <v>1.0021E-4</v>
      </c>
      <c r="K4936" s="9">
        <v>0</v>
      </c>
      <c r="L4936" s="9">
        <v>1.7017000000000001E-4</v>
      </c>
      <c r="M4936" s="9">
        <v>1.7552E-4</v>
      </c>
      <c r="N4936" s="9">
        <v>1.5709E-4</v>
      </c>
      <c r="O4936" s="9">
        <v>1.6673E-4</v>
      </c>
      <c r="P4936" s="9">
        <v>1.6962999999999999E-4</v>
      </c>
      <c r="Q4936" s="9">
        <v>1.7227E-4</v>
      </c>
      <c r="R4936" s="10">
        <v>1.8991246157769686E-4</v>
      </c>
      <c r="S4936" s="10">
        <v>1.6115735783559177E-4</v>
      </c>
      <c r="T4936" s="10">
        <v>6.5320620696747233E-5</v>
      </c>
      <c r="U4936" s="10">
        <v>7.8540000000000004E-5</v>
      </c>
      <c r="V4936" s="25"/>
      <c r="W4936" s="25"/>
      <c r="X4936" s="25"/>
      <c r="Y4936" s="25"/>
      <c r="Z4936" s="25"/>
      <c r="AA4936" s="25"/>
    </row>
    <row r="4937" spans="1:27" x14ac:dyDescent="0.35">
      <c r="A4937" s="5">
        <v>4933</v>
      </c>
      <c r="B4937" s="5">
        <v>206</v>
      </c>
      <c r="C4937" s="5">
        <v>7</v>
      </c>
      <c r="D4937" s="25">
        <v>1.1416E-4</v>
      </c>
      <c r="E4937" s="25">
        <v>1.0765E-4</v>
      </c>
      <c r="F4937" s="25">
        <v>1.1826E-4</v>
      </c>
      <c r="G4937" s="25">
        <v>1.6671000000000001E-4</v>
      </c>
      <c r="H4937" s="25">
        <v>1.9164E-4</v>
      </c>
      <c r="I4937" s="9">
        <v>9.4900000000000003E-5</v>
      </c>
      <c r="J4937" s="9">
        <v>9.9060000000000004E-5</v>
      </c>
      <c r="K4937" s="9">
        <v>0</v>
      </c>
      <c r="L4937" s="9">
        <v>1.6763999999999999E-4</v>
      </c>
      <c r="M4937" s="9">
        <v>1.7374E-4</v>
      </c>
      <c r="N4937" s="9">
        <v>1.6614000000000001E-4</v>
      </c>
      <c r="O4937" s="9">
        <v>1.6140999999999999E-4</v>
      </c>
      <c r="P4937" s="9">
        <v>1.6506999999999999E-4</v>
      </c>
      <c r="Q4937" s="9">
        <v>1.6849000000000001E-4</v>
      </c>
      <c r="R4937" s="10">
        <v>1.8587409672291119E-4</v>
      </c>
      <c r="S4937" s="10">
        <v>1.7226898815344045E-4</v>
      </c>
      <c r="T4937" s="10">
        <v>7.4373368103349303E-5</v>
      </c>
      <c r="U4937" s="10">
        <v>7.8540000000000004E-5</v>
      </c>
      <c r="V4937" s="25"/>
      <c r="W4937" s="25"/>
      <c r="X4937" s="25"/>
      <c r="Y4937" s="25"/>
      <c r="Z4937" s="25"/>
      <c r="AA4937" s="25"/>
    </row>
    <row r="4938" spans="1:27" x14ac:dyDescent="0.35">
      <c r="A4938" s="5">
        <v>4934</v>
      </c>
      <c r="B4938" s="5">
        <v>206</v>
      </c>
      <c r="C4938" s="5">
        <v>7</v>
      </c>
      <c r="D4938" s="25">
        <v>1.1415000000000001E-4</v>
      </c>
      <c r="E4938" s="25">
        <v>1.1304E-4</v>
      </c>
      <c r="F4938" s="25">
        <v>1.082E-4</v>
      </c>
      <c r="G4938" s="25">
        <v>1.5805999999999999E-4</v>
      </c>
      <c r="H4938" s="25">
        <v>1.9484999999999999E-4</v>
      </c>
      <c r="I4938" s="9">
        <v>9.2979999999999994E-5</v>
      </c>
      <c r="J4938" s="9">
        <v>9.7800000000000006E-5</v>
      </c>
      <c r="K4938" s="9">
        <v>0</v>
      </c>
      <c r="L4938" s="9">
        <v>1.6260999999999999E-4</v>
      </c>
      <c r="M4938" s="9">
        <v>1.7007E-4</v>
      </c>
      <c r="N4938" s="9">
        <v>1.7071999999999999E-4</v>
      </c>
      <c r="O4938" s="9">
        <v>1.7532E-4</v>
      </c>
      <c r="P4938" s="9">
        <v>1.6746999999999999E-4</v>
      </c>
      <c r="Q4938" s="9">
        <v>1.5951E-4</v>
      </c>
      <c r="R4938" s="10">
        <v>1.8317851768359398E-4</v>
      </c>
      <c r="S4938" s="10">
        <v>1.8125710997577509E-4</v>
      </c>
      <c r="T4938" s="10">
        <v>6.2317178726796783E-5</v>
      </c>
      <c r="U4938" s="10">
        <v>7.8540000000000004E-5</v>
      </c>
      <c r="V4938" s="25"/>
      <c r="W4938" s="25"/>
      <c r="X4938" s="25"/>
      <c r="Y4938" s="25"/>
      <c r="Z4938" s="25"/>
      <c r="AA4938" s="25"/>
    </row>
    <row r="4939" spans="1:27" x14ac:dyDescent="0.35">
      <c r="A4939" s="5">
        <v>4935</v>
      </c>
      <c r="B4939" s="5">
        <v>206</v>
      </c>
      <c r="C4939" s="5">
        <v>7</v>
      </c>
      <c r="D4939" s="25">
        <v>1.1416E-4</v>
      </c>
      <c r="E4939" s="25">
        <v>1.1012E-4</v>
      </c>
      <c r="F4939" s="25">
        <v>1.1996E-4</v>
      </c>
      <c r="G4939" s="25">
        <v>1.6168000000000001E-4</v>
      </c>
      <c r="H4939" s="25">
        <v>1.9054E-4</v>
      </c>
      <c r="I4939" s="9">
        <v>9.1399999999999999E-5</v>
      </c>
      <c r="J4939" s="9">
        <v>9.7269999999999995E-5</v>
      </c>
      <c r="K4939" s="9">
        <v>0</v>
      </c>
      <c r="L4939" s="9">
        <v>1.7264E-4</v>
      </c>
      <c r="M4939" s="9">
        <v>1.6812000000000001E-4</v>
      </c>
      <c r="N4939" s="9">
        <v>1.6996000000000001E-4</v>
      </c>
      <c r="O4939" s="9">
        <v>1.8043000000000001E-4</v>
      </c>
      <c r="P4939" s="9">
        <v>1.6587000000000001E-4</v>
      </c>
      <c r="Q4939" s="9">
        <v>1.5129999999999999E-4</v>
      </c>
      <c r="R4939" s="10">
        <v>1.7968054663765174E-4</v>
      </c>
      <c r="S4939" s="10">
        <v>1.8946501946432202E-4</v>
      </c>
      <c r="T4939" s="10">
        <v>6.1909932357989933E-5</v>
      </c>
      <c r="U4939" s="10">
        <v>7.8540000000000004E-5</v>
      </c>
      <c r="V4939" s="25"/>
      <c r="W4939" s="25"/>
      <c r="X4939" s="25"/>
      <c r="Y4939" s="25"/>
      <c r="Z4939" s="25"/>
      <c r="AA4939" s="25"/>
    </row>
    <row r="4940" spans="1:27" x14ac:dyDescent="0.35">
      <c r="A4940" s="5">
        <v>4936</v>
      </c>
      <c r="B4940" s="5">
        <v>206</v>
      </c>
      <c r="C4940" s="5">
        <v>7</v>
      </c>
      <c r="D4940" s="25">
        <v>1.1415000000000001E-4</v>
      </c>
      <c r="E4940" s="25">
        <v>1.1480999999999999E-4</v>
      </c>
      <c r="F4940" s="25">
        <v>1.0215E-4</v>
      </c>
      <c r="G4940" s="25">
        <v>1.6506999999999999E-4</v>
      </c>
      <c r="H4940" s="25">
        <v>1.9945999999999999E-4</v>
      </c>
      <c r="I4940" s="9">
        <v>9.1860000000000005E-5</v>
      </c>
      <c r="J4940" s="9">
        <v>9.8939999999999998E-5</v>
      </c>
      <c r="K4940" s="9">
        <v>0</v>
      </c>
      <c r="L4940" s="9">
        <v>1.7844000000000001E-4</v>
      </c>
      <c r="M4940" s="9">
        <v>1.6689999999999999E-4</v>
      </c>
      <c r="N4940" s="9">
        <v>1.6573E-4</v>
      </c>
      <c r="O4940" s="9">
        <v>1.9359999999999999E-4</v>
      </c>
      <c r="P4940" s="9">
        <v>1.5095000000000001E-4</v>
      </c>
      <c r="Q4940" s="9">
        <v>1.0868E-4</v>
      </c>
      <c r="R4940" s="10">
        <v>1.9481387038666832E-4</v>
      </c>
      <c r="S4940" s="10">
        <v>1.9001585122277727E-4</v>
      </c>
      <c r="T4940" s="10">
        <v>2.2746406557732089E-4</v>
      </c>
      <c r="U4940" s="10">
        <v>7.8540000000000004E-5</v>
      </c>
      <c r="V4940" s="25"/>
      <c r="W4940" s="25"/>
      <c r="X4940" s="25"/>
      <c r="Y4940" s="25"/>
      <c r="Z4940" s="25"/>
      <c r="AA4940" s="25"/>
    </row>
    <row r="4941" spans="1:27" x14ac:dyDescent="0.35">
      <c r="A4941" s="5">
        <v>4937</v>
      </c>
      <c r="B4941" s="5">
        <v>206</v>
      </c>
      <c r="C4941" s="5">
        <v>7</v>
      </c>
      <c r="D4941" s="25">
        <v>1.1416E-4</v>
      </c>
      <c r="E4941" s="25">
        <v>1.1581E-4</v>
      </c>
      <c r="F4941" s="25">
        <v>1.1642E-4</v>
      </c>
      <c r="G4941" s="25">
        <v>1.6487000000000001E-4</v>
      </c>
      <c r="H4941" s="25">
        <v>1.9748000000000001E-4</v>
      </c>
      <c r="I4941" s="9">
        <v>9.2979999999999994E-5</v>
      </c>
      <c r="J4941" s="9">
        <v>1.0263E-4</v>
      </c>
      <c r="K4941" s="9">
        <v>0</v>
      </c>
      <c r="L4941" s="9">
        <v>1.9007E-4</v>
      </c>
      <c r="M4941" s="9">
        <v>1.6093999999999999E-4</v>
      </c>
      <c r="N4941" s="9">
        <v>1.5175E-4</v>
      </c>
      <c r="O4941" s="9">
        <v>2.1195E-4</v>
      </c>
      <c r="P4941" s="9">
        <v>1.5932000000000001E-4</v>
      </c>
      <c r="Q4941" s="9">
        <v>1.0716E-4</v>
      </c>
      <c r="R4941" s="10">
        <v>2.0555779351310945E-4</v>
      </c>
      <c r="S4941" s="10">
        <v>1.9028806568313861E-4</v>
      </c>
      <c r="T4941" s="10">
        <v>1.4877218910474904E-4</v>
      </c>
      <c r="U4941" s="10">
        <v>7.8540000000000004E-5</v>
      </c>
      <c r="V4941" s="25"/>
      <c r="W4941" s="25"/>
      <c r="X4941" s="25"/>
      <c r="Y4941" s="25"/>
      <c r="Z4941" s="25"/>
      <c r="AA4941" s="25"/>
    </row>
    <row r="4942" spans="1:27" x14ac:dyDescent="0.35">
      <c r="A4942" s="5">
        <v>4938</v>
      </c>
      <c r="B4942" s="5">
        <v>206</v>
      </c>
      <c r="C4942" s="5">
        <v>7</v>
      </c>
      <c r="D4942" s="25">
        <v>1.1415000000000001E-4</v>
      </c>
      <c r="E4942" s="25">
        <v>1.1537E-4</v>
      </c>
      <c r="F4942" s="25">
        <v>1.1739999999999999E-4</v>
      </c>
      <c r="G4942" s="25">
        <v>1.6652999999999999E-4</v>
      </c>
      <c r="H4942" s="25">
        <v>1.9361000000000001E-4</v>
      </c>
      <c r="I4942" s="9">
        <v>9.5069999999999996E-5</v>
      </c>
      <c r="J4942" s="9">
        <v>1.0482E-4</v>
      </c>
      <c r="K4942" s="9">
        <v>0</v>
      </c>
      <c r="L4942" s="9">
        <v>2.0688999999999999E-4</v>
      </c>
      <c r="M4942" s="9">
        <v>1.5872999999999999E-4</v>
      </c>
      <c r="N4942" s="9">
        <v>1.3849000000000001E-4</v>
      </c>
      <c r="O4942" s="9">
        <v>2.0458999999999999E-4</v>
      </c>
      <c r="P4942" s="9">
        <v>1.6128E-4</v>
      </c>
      <c r="Q4942" s="9">
        <v>1.1833E-4</v>
      </c>
      <c r="R4942" s="10">
        <v>2.124488513031803E-4</v>
      </c>
      <c r="S4942" s="10">
        <v>1.902869323932919E-4</v>
      </c>
      <c r="T4942" s="10">
        <v>9.3106701068463969E-5</v>
      </c>
      <c r="U4942" s="10">
        <v>7.8540000000000004E-5</v>
      </c>
      <c r="V4942" s="25"/>
      <c r="W4942" s="25"/>
      <c r="X4942" s="25"/>
      <c r="Y4942" s="25"/>
      <c r="Z4942" s="25"/>
      <c r="AA4942" s="25"/>
    </row>
    <row r="4943" spans="1:27" x14ac:dyDescent="0.35">
      <c r="A4943" s="5">
        <v>4939</v>
      </c>
      <c r="B4943" s="5">
        <v>206</v>
      </c>
      <c r="C4943" s="5">
        <v>7</v>
      </c>
      <c r="D4943" s="25">
        <v>1.1416E-4</v>
      </c>
      <c r="E4943" s="25">
        <v>1.1081E-4</v>
      </c>
      <c r="F4943" s="25">
        <v>1.1192999999999999E-4</v>
      </c>
      <c r="G4943" s="25">
        <v>1.0821E-4</v>
      </c>
      <c r="H4943" s="25">
        <v>1.2677000000000001E-4</v>
      </c>
      <c r="I4943" s="9">
        <v>9.6119999999999995E-5</v>
      </c>
      <c r="J4943" s="9">
        <v>1.048E-4</v>
      </c>
      <c r="K4943" s="9">
        <v>0</v>
      </c>
      <c r="L4943" s="9">
        <v>2.0466000000000001E-4</v>
      </c>
      <c r="M4943" s="9">
        <v>1.5925999999999999E-4</v>
      </c>
      <c r="N4943" s="9">
        <v>1.2962E-4</v>
      </c>
      <c r="O4943" s="9">
        <v>1.6354E-4</v>
      </c>
      <c r="P4943" s="9">
        <v>1.3537E-4</v>
      </c>
      <c r="Q4943" s="9">
        <v>1.0744E-4</v>
      </c>
      <c r="R4943" s="10">
        <v>2.1244362330645182E-4</v>
      </c>
      <c r="S4943" s="10">
        <v>1.9011661125898407E-4</v>
      </c>
      <c r="T4943" s="10">
        <v>4.125914773974306E-5</v>
      </c>
      <c r="U4943" s="10">
        <v>7.8540000000000004E-5</v>
      </c>
      <c r="V4943" s="25"/>
      <c r="W4943" s="25"/>
      <c r="X4943" s="25"/>
      <c r="Y4943" s="25"/>
      <c r="Z4943" s="25"/>
      <c r="AA4943" s="25"/>
    </row>
    <row r="4944" spans="1:27" x14ac:dyDescent="0.35">
      <c r="A4944" s="5">
        <v>4940</v>
      </c>
      <c r="B4944" s="5">
        <v>206</v>
      </c>
      <c r="C4944" s="5">
        <v>7</v>
      </c>
      <c r="D4944" s="25">
        <v>1.1415000000000001E-4</v>
      </c>
      <c r="E4944" s="25">
        <v>1.1614E-4</v>
      </c>
      <c r="F4944" s="25">
        <v>1.153E-4</v>
      </c>
      <c r="G4944" s="25">
        <v>1.0796E-4</v>
      </c>
      <c r="H4944" s="25">
        <v>1.3024E-4</v>
      </c>
      <c r="I4944" s="9">
        <v>9.535E-5</v>
      </c>
      <c r="J4944" s="9">
        <v>1.0461E-4</v>
      </c>
      <c r="K4944" s="9">
        <v>0</v>
      </c>
      <c r="L4944" s="9">
        <v>1.7272000000000001E-4</v>
      </c>
      <c r="M4944" s="9">
        <v>1.5095000000000001E-4</v>
      </c>
      <c r="N4944" s="9">
        <v>1.2074E-4</v>
      </c>
      <c r="O4944" s="9">
        <v>1.2674E-4</v>
      </c>
      <c r="P4944" s="9">
        <v>1.1377E-4</v>
      </c>
      <c r="Q4944" s="9">
        <v>1.0093E-4</v>
      </c>
      <c r="R4944" s="10">
        <v>2.1237183088976551E-4</v>
      </c>
      <c r="S4944" s="10">
        <v>1.8807893174103502E-4</v>
      </c>
      <c r="T4944" s="10">
        <v>2.7234600913957482E-6</v>
      </c>
      <c r="U4944" s="10">
        <v>7.8540000000000004E-5</v>
      </c>
      <c r="V4944" s="25"/>
      <c r="W4944" s="25"/>
      <c r="X4944" s="25"/>
      <c r="Y4944" s="25"/>
      <c r="Z4944" s="25"/>
      <c r="AA4944" s="25"/>
    </row>
    <row r="4945" spans="1:27" x14ac:dyDescent="0.35">
      <c r="A4945" s="5">
        <v>4941</v>
      </c>
      <c r="B4945" s="5">
        <v>206</v>
      </c>
      <c r="C4945" s="5">
        <v>7</v>
      </c>
      <c r="D4945" s="25">
        <v>1.1416E-4</v>
      </c>
      <c r="E4945" s="25">
        <v>1.1538E-4</v>
      </c>
      <c r="F4945" s="25">
        <v>1.2081E-4</v>
      </c>
      <c r="G4945" s="25">
        <v>5.8739999999999997E-5</v>
      </c>
      <c r="H4945" s="25">
        <v>7.0989999999999996E-5</v>
      </c>
      <c r="I4945" s="9">
        <v>9.5169999999999999E-5</v>
      </c>
      <c r="J4945" s="9">
        <v>1.0465E-4</v>
      </c>
      <c r="K4945" s="9">
        <v>0</v>
      </c>
      <c r="L4945" s="9">
        <v>1.3786000000000001E-4</v>
      </c>
      <c r="M4945" s="9">
        <v>1.3520000000000001E-4</v>
      </c>
      <c r="N4945" s="9">
        <v>1.1298000000000001E-4</v>
      </c>
      <c r="O4945" s="9">
        <v>8.4919999999999993E-5</v>
      </c>
      <c r="P4945" s="9">
        <v>8.6910000000000006E-5</v>
      </c>
      <c r="Q4945" s="9">
        <v>8.8919999999999996E-5</v>
      </c>
      <c r="R4945" s="10">
        <v>2.1060221711549957E-4</v>
      </c>
      <c r="S4945" s="10">
        <v>1.8408004047522773E-4</v>
      </c>
      <c r="T4945" s="10">
        <v>0</v>
      </c>
      <c r="U4945" s="10">
        <v>7.8540000000000004E-5</v>
      </c>
      <c r="V4945" s="25"/>
      <c r="W4945" s="25"/>
      <c r="X4945" s="25"/>
      <c r="Y4945" s="25"/>
      <c r="Z4945" s="25"/>
      <c r="AA4945" s="25"/>
    </row>
    <row r="4946" spans="1:27" x14ac:dyDescent="0.35">
      <c r="A4946" s="5">
        <v>4942</v>
      </c>
      <c r="B4946" s="5">
        <v>206</v>
      </c>
      <c r="C4946" s="5">
        <v>7</v>
      </c>
      <c r="D4946" s="25">
        <v>1.1415000000000001E-4</v>
      </c>
      <c r="E4946" s="25">
        <v>1.1040999999999999E-4</v>
      </c>
      <c r="F4946" s="25">
        <v>1.2099000000000001E-4</v>
      </c>
      <c r="G4946" s="25">
        <v>5.3820000000000003E-5</v>
      </c>
      <c r="H4946" s="25">
        <v>6.4789999999999995E-5</v>
      </c>
      <c r="I4946" s="9">
        <v>9.9149999999999998E-5</v>
      </c>
      <c r="J4946" s="9">
        <v>1.0678E-4</v>
      </c>
      <c r="K4946" s="9">
        <v>0</v>
      </c>
      <c r="L4946" s="9">
        <v>9.7520000000000001E-5</v>
      </c>
      <c r="M4946" s="9">
        <v>1.1374000000000001E-4</v>
      </c>
      <c r="N4946" s="9">
        <v>1.0562E-4</v>
      </c>
      <c r="O4946" s="9">
        <v>8.6669999999999995E-5</v>
      </c>
      <c r="P4946" s="9">
        <v>8.7280000000000005E-5</v>
      </c>
      <c r="Q4946" s="9">
        <v>8.7929999999999993E-5</v>
      </c>
      <c r="R4946" s="10">
        <v>2.039263529043316E-4</v>
      </c>
      <c r="S4946" s="10">
        <v>1.7992614697622707E-4</v>
      </c>
      <c r="T4946" s="10">
        <v>0</v>
      </c>
      <c r="U4946" s="10">
        <v>7.8540000000000004E-5</v>
      </c>
      <c r="V4946" s="25"/>
      <c r="W4946" s="25"/>
      <c r="X4946" s="25"/>
      <c r="Y4946" s="25"/>
      <c r="Z4946" s="25"/>
      <c r="AA4946" s="25"/>
    </row>
    <row r="4947" spans="1:27" x14ac:dyDescent="0.35">
      <c r="A4947" s="5">
        <v>4943</v>
      </c>
      <c r="B4947" s="5">
        <v>206</v>
      </c>
      <c r="C4947" s="5">
        <v>7</v>
      </c>
      <c r="D4947" s="25">
        <v>1.1416E-4</v>
      </c>
      <c r="E4947" s="25">
        <v>1.1484000000000001E-4</v>
      </c>
      <c r="F4947" s="25">
        <v>1.1161E-4</v>
      </c>
      <c r="G4947" s="25">
        <v>5.2349999999999999E-5</v>
      </c>
      <c r="H4947" s="25">
        <v>6.834E-5</v>
      </c>
      <c r="I4947" s="9">
        <v>9.4720000000000001E-5</v>
      </c>
      <c r="J4947" s="9">
        <v>1.0200999999999999E-4</v>
      </c>
      <c r="K4947" s="9">
        <v>0</v>
      </c>
      <c r="L4947" s="9">
        <v>8.9950000000000004E-5</v>
      </c>
      <c r="M4947" s="9">
        <v>9.8980000000000004E-5</v>
      </c>
      <c r="N4947" s="9">
        <v>9.9790000000000005E-5</v>
      </c>
      <c r="O4947" s="9">
        <v>7.682E-5</v>
      </c>
      <c r="P4947" s="9">
        <v>7.1459999999999997E-5</v>
      </c>
      <c r="Q4947" s="9">
        <v>6.6260000000000006E-5</v>
      </c>
      <c r="R4947" s="10">
        <v>1.9495337060220814E-4</v>
      </c>
      <c r="S4947" s="10">
        <v>1.7324530332684046E-4</v>
      </c>
      <c r="T4947" s="10">
        <v>0</v>
      </c>
      <c r="U4947" s="10">
        <v>7.8540000000000004E-5</v>
      </c>
      <c r="V4947" s="25"/>
      <c r="W4947" s="25"/>
      <c r="X4947" s="25"/>
      <c r="Y4947" s="25"/>
      <c r="Z4947" s="25"/>
      <c r="AA4947" s="25"/>
    </row>
    <row r="4948" spans="1:27" x14ac:dyDescent="0.35">
      <c r="A4948" s="5">
        <v>4944</v>
      </c>
      <c r="B4948" s="5">
        <v>206</v>
      </c>
      <c r="C4948" s="5">
        <v>7</v>
      </c>
      <c r="D4948" s="25">
        <v>1.1415000000000001E-4</v>
      </c>
      <c r="E4948" s="25">
        <v>1.1258E-4</v>
      </c>
      <c r="F4948" s="25">
        <v>1.1353000000000001E-4</v>
      </c>
      <c r="G4948" s="25">
        <v>5.6409999999999997E-5</v>
      </c>
      <c r="H4948" s="25">
        <v>6.4750000000000002E-5</v>
      </c>
      <c r="I4948" s="9">
        <v>8.9069999999999999E-5</v>
      </c>
      <c r="J4948" s="9">
        <v>9.6280000000000007E-5</v>
      </c>
      <c r="K4948" s="9">
        <v>0</v>
      </c>
      <c r="L4948" s="9">
        <v>7.9699999999999999E-5</v>
      </c>
      <c r="M4948" s="9">
        <v>8.5809999999999993E-5</v>
      </c>
      <c r="N4948" s="9">
        <v>9.0379999999999999E-5</v>
      </c>
      <c r="O4948" s="9">
        <v>6.2219999999999997E-5</v>
      </c>
      <c r="P4948" s="9">
        <v>6.0260000000000002E-5</v>
      </c>
      <c r="Q4948" s="9">
        <v>5.8459999999999999E-5</v>
      </c>
      <c r="R4948" s="10">
        <v>1.7982911260825849E-4</v>
      </c>
      <c r="S4948" s="10">
        <v>1.7001531428827922E-4</v>
      </c>
      <c r="T4948" s="10">
        <v>0</v>
      </c>
      <c r="U4948" s="10">
        <v>7.8540000000000004E-5</v>
      </c>
      <c r="V4948" s="25"/>
      <c r="W4948" s="25"/>
      <c r="X4948" s="25"/>
      <c r="Y4948" s="25"/>
      <c r="Z4948" s="25"/>
      <c r="AA4948" s="25"/>
    </row>
    <row r="4949" spans="1:27" x14ac:dyDescent="0.35">
      <c r="A4949" s="5">
        <v>4945</v>
      </c>
      <c r="B4949" s="5">
        <v>207</v>
      </c>
      <c r="C4949" s="5">
        <v>7</v>
      </c>
      <c r="D4949" s="25">
        <v>1.1416E-4</v>
      </c>
      <c r="E4949" s="25">
        <v>1.1925E-4</v>
      </c>
      <c r="F4949" s="25">
        <v>1.0877E-4</v>
      </c>
      <c r="G4949" s="25">
        <v>5.4119999999999997E-5</v>
      </c>
      <c r="H4949" s="25">
        <v>7.5010000000000002E-5</v>
      </c>
      <c r="I4949" s="9">
        <v>8.5760000000000006E-5</v>
      </c>
      <c r="J4949" s="9">
        <v>9.2490000000000004E-5</v>
      </c>
      <c r="K4949" s="9">
        <v>1.696E-5</v>
      </c>
      <c r="L4949" s="9">
        <v>6.6080000000000004E-5</v>
      </c>
      <c r="M4949" s="9">
        <v>7.3579999999999997E-5</v>
      </c>
      <c r="N4949" s="9">
        <v>8.0890000000000006E-5</v>
      </c>
      <c r="O4949" s="9">
        <v>5.4830000000000002E-5</v>
      </c>
      <c r="P4949" s="9">
        <v>5.4240000000000002E-5</v>
      </c>
      <c r="Q4949" s="9">
        <v>5.3820000000000003E-5</v>
      </c>
      <c r="R4949" s="10">
        <v>1.7221657235352112E-4</v>
      </c>
      <c r="S4949" s="10">
        <v>1.6404230617959748E-4</v>
      </c>
      <c r="T4949" s="10">
        <v>0</v>
      </c>
      <c r="U4949" s="10">
        <v>7.7760000000000001E-5</v>
      </c>
      <c r="V4949" s="25"/>
      <c r="W4949" s="25"/>
      <c r="X4949" s="25"/>
      <c r="Y4949" s="25"/>
      <c r="Z4949" s="25"/>
      <c r="AA4949" s="25"/>
    </row>
    <row r="4950" spans="1:27" x14ac:dyDescent="0.35">
      <c r="A4950" s="5">
        <v>4946</v>
      </c>
      <c r="B4950" s="5">
        <v>207</v>
      </c>
      <c r="C4950" s="5">
        <v>7</v>
      </c>
      <c r="D4950" s="25">
        <v>1.1415000000000001E-4</v>
      </c>
      <c r="E4950" s="25">
        <v>1.1555E-4</v>
      </c>
      <c r="F4950" s="25">
        <v>9.0939999999999993E-5</v>
      </c>
      <c r="G4950" s="25">
        <v>6.2500000000000001E-5</v>
      </c>
      <c r="H4950" s="25">
        <v>6.8250000000000006E-5</v>
      </c>
      <c r="I4950" s="9">
        <v>8.3029999999999996E-5</v>
      </c>
      <c r="J4950" s="9">
        <v>9.056E-5</v>
      </c>
      <c r="K4950" s="9">
        <v>2.7549999999999999E-5</v>
      </c>
      <c r="L4950" s="9">
        <v>5.7670000000000002E-5</v>
      </c>
      <c r="M4950" s="9">
        <v>6.3720000000000007E-5</v>
      </c>
      <c r="N4950" s="9">
        <v>7.1909999999999994E-5</v>
      </c>
      <c r="O4950" s="9">
        <v>1.9279999999999998E-5</v>
      </c>
      <c r="P4950" s="9">
        <v>3.773E-5</v>
      </c>
      <c r="Q4950" s="9">
        <v>5.6140000000000001E-5</v>
      </c>
      <c r="R4950" s="10">
        <v>1.5903284067317265E-4</v>
      </c>
      <c r="S4950" s="10">
        <v>1.5315216785475894E-4</v>
      </c>
      <c r="T4950" s="10">
        <v>0</v>
      </c>
      <c r="U4950" s="10">
        <v>7.7760000000000001E-5</v>
      </c>
      <c r="V4950" s="25"/>
      <c r="W4950" s="25"/>
      <c r="X4950" s="25"/>
      <c r="Y4950" s="25"/>
      <c r="Z4950" s="25"/>
      <c r="AA4950" s="25"/>
    </row>
    <row r="4951" spans="1:27" x14ac:dyDescent="0.35">
      <c r="A4951" s="5">
        <v>4947</v>
      </c>
      <c r="B4951" s="5">
        <v>207</v>
      </c>
      <c r="C4951" s="5">
        <v>7</v>
      </c>
      <c r="D4951" s="25">
        <v>1.1416E-4</v>
      </c>
      <c r="E4951" s="25">
        <v>1.1506E-4</v>
      </c>
      <c r="F4951" s="25">
        <v>1.0369000000000001E-4</v>
      </c>
      <c r="G4951" s="25">
        <v>5.4530000000000001E-5</v>
      </c>
      <c r="H4951" s="25">
        <v>7.2960000000000006E-5</v>
      </c>
      <c r="I4951" s="9">
        <v>8.2070000000000005E-5</v>
      </c>
      <c r="J4951" s="9">
        <v>9.0060000000000002E-5</v>
      </c>
      <c r="K4951" s="9">
        <v>3.3909999999999999E-5</v>
      </c>
      <c r="L4951" s="9">
        <v>2.7909999999999999E-5</v>
      </c>
      <c r="M4951" s="9">
        <v>5.2129999999999997E-5</v>
      </c>
      <c r="N4951" s="9">
        <v>6.5350000000000003E-5</v>
      </c>
      <c r="O4951" s="9">
        <v>1.3879999999999999E-5</v>
      </c>
      <c r="P4951" s="9">
        <v>3.7780000000000001E-5</v>
      </c>
      <c r="Q4951" s="9">
        <v>6.1580000000000003E-5</v>
      </c>
      <c r="R4951" s="10">
        <v>1.4734275884265621E-4</v>
      </c>
      <c r="S4951" s="10">
        <v>1.4102961152526872E-4</v>
      </c>
      <c r="T4951" s="10">
        <v>0</v>
      </c>
      <c r="U4951" s="10">
        <v>7.7760000000000001E-5</v>
      </c>
      <c r="V4951" s="25"/>
      <c r="W4951" s="25"/>
      <c r="X4951" s="25"/>
      <c r="Y4951" s="25"/>
      <c r="Z4951" s="25"/>
      <c r="AA4951" s="25"/>
    </row>
    <row r="4952" spans="1:27" x14ac:dyDescent="0.35">
      <c r="A4952" s="5">
        <v>4948</v>
      </c>
      <c r="B4952" s="5">
        <v>207</v>
      </c>
      <c r="C4952" s="5">
        <v>7</v>
      </c>
      <c r="D4952" s="25">
        <v>1.1415000000000001E-4</v>
      </c>
      <c r="E4952" s="25">
        <v>1.1715E-4</v>
      </c>
      <c r="F4952" s="25">
        <v>9.2559999999999995E-5</v>
      </c>
      <c r="G4952" s="25">
        <v>5.3520000000000003E-5</v>
      </c>
      <c r="H4952" s="25">
        <v>7.3720000000000006E-5</v>
      </c>
      <c r="I4952" s="9">
        <v>8.2890000000000001E-5</v>
      </c>
      <c r="J4952" s="9">
        <v>9.0519999999999994E-5</v>
      </c>
      <c r="K4952" s="9">
        <v>3.6040000000000001E-5</v>
      </c>
      <c r="L4952" s="9">
        <v>1.7710000000000002E-5</v>
      </c>
      <c r="M4952" s="9">
        <v>4.4190000000000002E-5</v>
      </c>
      <c r="N4952" s="9">
        <v>6.1820000000000001E-5</v>
      </c>
      <c r="O4952" s="9">
        <v>1.399E-5</v>
      </c>
      <c r="P4952" s="9">
        <v>4.757E-5</v>
      </c>
      <c r="Q4952" s="9">
        <v>8.0909999999999996E-5</v>
      </c>
      <c r="R4952" s="10">
        <v>1.2408544037931165E-4</v>
      </c>
      <c r="S4952" s="10">
        <v>1.2687796158827571E-4</v>
      </c>
      <c r="T4952" s="10">
        <v>0</v>
      </c>
      <c r="U4952" s="10">
        <v>7.7760000000000001E-5</v>
      </c>
      <c r="V4952" s="25"/>
      <c r="W4952" s="25"/>
      <c r="X4952" s="25"/>
      <c r="Y4952" s="25"/>
      <c r="Z4952" s="25"/>
      <c r="AA4952" s="25"/>
    </row>
    <row r="4953" spans="1:27" x14ac:dyDescent="0.35">
      <c r="A4953" s="5">
        <v>4949</v>
      </c>
      <c r="B4953" s="5">
        <v>207</v>
      </c>
      <c r="C4953" s="5">
        <v>7</v>
      </c>
      <c r="D4953" s="25">
        <v>1.1416E-4</v>
      </c>
      <c r="E4953" s="25">
        <v>1.1438999999999999E-4</v>
      </c>
      <c r="F4953" s="25">
        <v>9.6000000000000002E-5</v>
      </c>
      <c r="G4953" s="25">
        <v>6.3280000000000004E-5</v>
      </c>
      <c r="H4953" s="25">
        <v>7.4770000000000004E-5</v>
      </c>
      <c r="I4953" s="9">
        <v>8.6180000000000005E-5</v>
      </c>
      <c r="J4953" s="9">
        <v>9.2470000000000001E-5</v>
      </c>
      <c r="K4953" s="9">
        <v>2.9669999999999999E-5</v>
      </c>
      <c r="L4953" s="9">
        <v>1.505E-5</v>
      </c>
      <c r="M4953" s="9">
        <v>4.3619999999999999E-5</v>
      </c>
      <c r="N4953" s="9">
        <v>6.4529999999999994E-5</v>
      </c>
      <c r="O4953" s="9">
        <v>1.9409999999999999E-5</v>
      </c>
      <c r="P4953" s="9">
        <v>5.6969999999999998E-5</v>
      </c>
      <c r="Q4953" s="9">
        <v>9.4209999999999994E-5</v>
      </c>
      <c r="R4953" s="10">
        <v>1.0789284167900864E-4</v>
      </c>
      <c r="S4953" s="10">
        <v>1.1821980906619146E-4</v>
      </c>
      <c r="T4953" s="10">
        <v>0</v>
      </c>
      <c r="U4953" s="10">
        <v>7.7760000000000001E-5</v>
      </c>
      <c r="V4953" s="25"/>
      <c r="W4953" s="25"/>
      <c r="X4953" s="25"/>
      <c r="Y4953" s="25"/>
      <c r="Z4953" s="25"/>
      <c r="AA4953" s="25"/>
    </row>
    <row r="4954" spans="1:27" x14ac:dyDescent="0.35">
      <c r="A4954" s="5">
        <v>4950</v>
      </c>
      <c r="B4954" s="5">
        <v>207</v>
      </c>
      <c r="C4954" s="5">
        <v>7</v>
      </c>
      <c r="D4954" s="25">
        <v>1.1415000000000001E-4</v>
      </c>
      <c r="E4954" s="25">
        <v>1.1572E-4</v>
      </c>
      <c r="F4954" s="25">
        <v>9.5989999999999994E-5</v>
      </c>
      <c r="G4954" s="25">
        <v>1.1135E-4</v>
      </c>
      <c r="H4954" s="25">
        <v>1.2977E-4</v>
      </c>
      <c r="I4954" s="9">
        <v>9.0959999999999996E-5</v>
      </c>
      <c r="J4954" s="9">
        <v>9.904E-5</v>
      </c>
      <c r="K4954" s="9">
        <v>1.908E-5</v>
      </c>
      <c r="L4954" s="9">
        <v>1.8320000000000001E-5</v>
      </c>
      <c r="M4954" s="9">
        <v>4.863E-5</v>
      </c>
      <c r="N4954" s="9">
        <v>7.1229999999999994E-5</v>
      </c>
      <c r="O4954" s="9">
        <v>4.6050000000000001E-5</v>
      </c>
      <c r="P4954" s="9">
        <v>7.6290000000000003E-5</v>
      </c>
      <c r="Q4954" s="9">
        <v>1.0624E-4</v>
      </c>
      <c r="R4954" s="10">
        <v>8.7611140668901696E-5</v>
      </c>
      <c r="S4954" s="10">
        <v>9.9311305723457318E-5</v>
      </c>
      <c r="T4954" s="10">
        <v>3.7016998064671802E-5</v>
      </c>
      <c r="U4954" s="10">
        <v>7.7760000000000001E-5</v>
      </c>
      <c r="V4954" s="25"/>
      <c r="W4954" s="25"/>
      <c r="X4954" s="25"/>
      <c r="Y4954" s="25"/>
      <c r="Z4954" s="25"/>
      <c r="AA4954" s="25"/>
    </row>
    <row r="4955" spans="1:27" x14ac:dyDescent="0.35">
      <c r="A4955" s="5">
        <v>4951</v>
      </c>
      <c r="B4955" s="5">
        <v>207</v>
      </c>
      <c r="C4955" s="5">
        <v>7</v>
      </c>
      <c r="D4955" s="25">
        <v>1.1416E-4</v>
      </c>
      <c r="E4955" s="25">
        <v>1.1222000000000001E-4</v>
      </c>
      <c r="F4955" s="25">
        <v>1.0423E-4</v>
      </c>
      <c r="G4955" s="25">
        <v>1.0448E-4</v>
      </c>
      <c r="H4955" s="25">
        <v>1.3083999999999999E-4</v>
      </c>
      <c r="I4955" s="9">
        <v>9.9599999999999995E-5</v>
      </c>
      <c r="J4955" s="9">
        <v>1.1113E-4</v>
      </c>
      <c r="K4955" s="9">
        <v>1.484E-5</v>
      </c>
      <c r="L4955" s="9">
        <v>3.981E-5</v>
      </c>
      <c r="M4955" s="9">
        <v>6.0000000000000002E-5</v>
      </c>
      <c r="N4955" s="9">
        <v>8.0760000000000006E-5</v>
      </c>
      <c r="O4955" s="9">
        <v>1.2243000000000001E-4</v>
      </c>
      <c r="P4955" s="9">
        <v>1.1747E-4</v>
      </c>
      <c r="Q4955" s="9">
        <v>1.1252999999999999E-4</v>
      </c>
      <c r="R4955" s="10">
        <v>6.3240679989563813E-5</v>
      </c>
      <c r="S4955" s="10">
        <v>7.5265672852064326E-5</v>
      </c>
      <c r="T4955" s="10">
        <v>1.3524821594062186E-4</v>
      </c>
      <c r="U4955" s="10">
        <v>7.7760000000000001E-5</v>
      </c>
      <c r="V4955" s="25"/>
      <c r="W4955" s="25"/>
      <c r="X4955" s="25"/>
      <c r="Y4955" s="25"/>
      <c r="Z4955" s="25"/>
      <c r="AA4955" s="25"/>
    </row>
    <row r="4956" spans="1:27" x14ac:dyDescent="0.35">
      <c r="A4956" s="5">
        <v>4952</v>
      </c>
      <c r="B4956" s="5">
        <v>207</v>
      </c>
      <c r="C4956" s="5">
        <v>7</v>
      </c>
      <c r="D4956" s="25">
        <v>1.1415000000000001E-4</v>
      </c>
      <c r="E4956" s="25">
        <v>1.1512E-4</v>
      </c>
      <c r="F4956" s="25">
        <v>8.8540000000000003E-5</v>
      </c>
      <c r="G4956" s="25">
        <v>1.6584E-4</v>
      </c>
      <c r="H4956" s="25">
        <v>1.9846999999999999E-4</v>
      </c>
      <c r="I4956" s="9">
        <v>1.0671999999999999E-4</v>
      </c>
      <c r="J4956" s="9">
        <v>1.2232000000000001E-4</v>
      </c>
      <c r="K4956" s="9">
        <v>0</v>
      </c>
      <c r="L4956" s="9">
        <v>1.0365E-4</v>
      </c>
      <c r="M4956" s="9">
        <v>8.3609999999999994E-5</v>
      </c>
      <c r="N4956" s="9">
        <v>9.0870000000000002E-5</v>
      </c>
      <c r="O4956" s="9">
        <v>2.1817000000000001E-4</v>
      </c>
      <c r="P4956" s="9">
        <v>1.7751E-4</v>
      </c>
      <c r="Q4956" s="9">
        <v>1.3713000000000001E-4</v>
      </c>
      <c r="R4956" s="10">
        <v>4.4194319365741451E-5</v>
      </c>
      <c r="S4956" s="10">
        <v>5.3130559803501637E-5</v>
      </c>
      <c r="T4956" s="10">
        <v>3.1794911814659086E-4</v>
      </c>
      <c r="U4956" s="10">
        <v>7.7760000000000001E-5</v>
      </c>
      <c r="V4956" s="25"/>
      <c r="W4956" s="25"/>
      <c r="X4956" s="25"/>
      <c r="Y4956" s="25"/>
      <c r="Z4956" s="25"/>
      <c r="AA4956" s="25"/>
    </row>
    <row r="4957" spans="1:27" x14ac:dyDescent="0.35">
      <c r="A4957" s="5">
        <v>4953</v>
      </c>
      <c r="B4957" s="5">
        <v>207</v>
      </c>
      <c r="C4957" s="5">
        <v>7</v>
      </c>
      <c r="D4957" s="25">
        <v>1.1416E-4</v>
      </c>
      <c r="E4957" s="25">
        <v>1.2216000000000001E-4</v>
      </c>
      <c r="F4957" s="25">
        <v>1.0364E-4</v>
      </c>
      <c r="G4957" s="25">
        <v>1.6547E-4</v>
      </c>
      <c r="H4957" s="25">
        <v>1.9123E-4</v>
      </c>
      <c r="I4957" s="9">
        <v>1.109E-4</v>
      </c>
      <c r="J4957" s="9">
        <v>1.2752999999999999E-4</v>
      </c>
      <c r="K4957" s="9">
        <v>0</v>
      </c>
      <c r="L4957" s="9">
        <v>1.9122E-4</v>
      </c>
      <c r="M4957" s="9">
        <v>1.2353E-4</v>
      </c>
      <c r="N4957" s="9">
        <v>1.0467999999999999E-4</v>
      </c>
      <c r="O4957" s="9">
        <v>2.0981E-4</v>
      </c>
      <c r="P4957" s="9">
        <v>1.9359999999999999E-4</v>
      </c>
      <c r="Q4957" s="9">
        <v>1.7730999999999999E-4</v>
      </c>
      <c r="R4957" s="10">
        <v>4.3502841417672812E-5</v>
      </c>
      <c r="S4957" s="10">
        <v>3.7757562774183725E-5</v>
      </c>
      <c r="T4957" s="10">
        <v>4.8433471270223572E-4</v>
      </c>
      <c r="U4957" s="10">
        <v>7.7760000000000001E-5</v>
      </c>
      <c r="V4957" s="25"/>
      <c r="W4957" s="25"/>
      <c r="X4957" s="25"/>
      <c r="Y4957" s="25"/>
      <c r="Z4957" s="25"/>
      <c r="AA4957" s="25"/>
    </row>
    <row r="4958" spans="1:27" x14ac:dyDescent="0.35">
      <c r="A4958" s="5">
        <v>4954</v>
      </c>
      <c r="B4958" s="5">
        <v>207</v>
      </c>
      <c r="C4958" s="5">
        <v>7</v>
      </c>
      <c r="D4958" s="25">
        <v>1.1415000000000001E-4</v>
      </c>
      <c r="E4958" s="25">
        <v>1.1279E-4</v>
      </c>
      <c r="F4958" s="25">
        <v>1.0861000000000001E-4</v>
      </c>
      <c r="G4958" s="25">
        <v>1.6407999999999999E-4</v>
      </c>
      <c r="H4958" s="25">
        <v>1.9870000000000001E-4</v>
      </c>
      <c r="I4958" s="9">
        <v>1.1292E-4</v>
      </c>
      <c r="J4958" s="9">
        <v>1.2938000000000001E-4</v>
      </c>
      <c r="K4958" s="9">
        <v>0</v>
      </c>
      <c r="L4958" s="9">
        <v>2.0342E-4</v>
      </c>
      <c r="M4958" s="9">
        <v>1.5888E-4</v>
      </c>
      <c r="N4958" s="9">
        <v>1.2475E-4</v>
      </c>
      <c r="O4958" s="9">
        <v>1.6411E-4</v>
      </c>
      <c r="P4958" s="9">
        <v>1.7236000000000001E-4</v>
      </c>
      <c r="Q4958" s="9">
        <v>1.8029E-4</v>
      </c>
      <c r="R4958" s="10">
        <v>4.6634735891768482E-5</v>
      </c>
      <c r="S4958" s="10">
        <v>2.9674472239025141E-5</v>
      </c>
      <c r="T4958" s="10">
        <v>6.1176888894137629E-4</v>
      </c>
      <c r="U4958" s="10">
        <v>7.7760000000000001E-5</v>
      </c>
      <c r="V4958" s="25"/>
      <c r="W4958" s="25"/>
      <c r="X4958" s="25"/>
      <c r="Y4958" s="25"/>
      <c r="Z4958" s="25"/>
      <c r="AA4958" s="25"/>
    </row>
    <row r="4959" spans="1:27" x14ac:dyDescent="0.35">
      <c r="A4959" s="5">
        <v>4955</v>
      </c>
      <c r="B4959" s="5">
        <v>207</v>
      </c>
      <c r="C4959" s="5">
        <v>7</v>
      </c>
      <c r="D4959" s="25">
        <v>1.1416E-4</v>
      </c>
      <c r="E4959" s="25">
        <v>1.1658999999999999E-4</v>
      </c>
      <c r="F4959" s="25">
        <v>9.8300000000000004E-5</v>
      </c>
      <c r="G4959" s="25">
        <v>1.6173000000000001E-4</v>
      </c>
      <c r="H4959" s="25">
        <v>1.9032000000000001E-4</v>
      </c>
      <c r="I4959" s="9">
        <v>1.1416E-4</v>
      </c>
      <c r="J4959" s="9">
        <v>1.3127000000000001E-4</v>
      </c>
      <c r="K4959" s="9">
        <v>0</v>
      </c>
      <c r="L4959" s="9">
        <v>1.7283000000000001E-4</v>
      </c>
      <c r="M4959" s="9">
        <v>1.7191999999999999E-4</v>
      </c>
      <c r="N4959" s="9">
        <v>1.4239999999999999E-4</v>
      </c>
      <c r="O4959" s="9">
        <v>1.6417E-4</v>
      </c>
      <c r="P4959" s="9">
        <v>1.7108999999999999E-4</v>
      </c>
      <c r="Q4959" s="9">
        <v>1.7770000000000001E-4</v>
      </c>
      <c r="R4959" s="10">
        <v>5.1868818470007337E-5</v>
      </c>
      <c r="S4959" s="10">
        <v>3.1418829633379265E-5</v>
      </c>
      <c r="T4959" s="10">
        <v>6.5973063316773198E-4</v>
      </c>
      <c r="U4959" s="10">
        <v>7.7760000000000001E-5</v>
      </c>
      <c r="V4959" s="25"/>
      <c r="W4959" s="25"/>
      <c r="X4959" s="25"/>
      <c r="Y4959" s="25"/>
      <c r="Z4959" s="25"/>
      <c r="AA4959" s="25"/>
    </row>
    <row r="4960" spans="1:27" x14ac:dyDescent="0.35">
      <c r="A4960" s="5">
        <v>4956</v>
      </c>
      <c r="B4960" s="5">
        <v>207</v>
      </c>
      <c r="C4960" s="5">
        <v>7</v>
      </c>
      <c r="D4960" s="25">
        <v>1.1415000000000001E-4</v>
      </c>
      <c r="E4960" s="25">
        <v>1.1281999999999999E-4</v>
      </c>
      <c r="F4960" s="25">
        <v>9.8560000000000005E-5</v>
      </c>
      <c r="G4960" s="25">
        <v>1.6735E-4</v>
      </c>
      <c r="H4960" s="25">
        <v>1.8914999999999999E-4</v>
      </c>
      <c r="I4960" s="9">
        <v>1.1469E-4</v>
      </c>
      <c r="J4960" s="9">
        <v>1.3087999999999999E-4</v>
      </c>
      <c r="K4960" s="9">
        <v>0</v>
      </c>
      <c r="L4960" s="9">
        <v>1.6752E-4</v>
      </c>
      <c r="M4960" s="9">
        <v>1.7374E-4</v>
      </c>
      <c r="N4960" s="9">
        <v>1.561E-4</v>
      </c>
      <c r="O4960" s="9">
        <v>1.6977999999999999E-4</v>
      </c>
      <c r="P4960" s="9">
        <v>1.7273000000000001E-4</v>
      </c>
      <c r="Q4960" s="9">
        <v>1.7542E-4</v>
      </c>
      <c r="R4960" s="10">
        <v>3.90000782360251E-5</v>
      </c>
      <c r="S4960" s="10">
        <v>2.9254318064929749E-5</v>
      </c>
      <c r="T4960" s="10">
        <v>5.3553745928034584E-4</v>
      </c>
      <c r="U4960" s="10">
        <v>7.7760000000000001E-5</v>
      </c>
      <c r="V4960" s="25"/>
      <c r="W4960" s="25"/>
      <c r="X4960" s="25"/>
      <c r="Y4960" s="25"/>
      <c r="Z4960" s="25"/>
      <c r="AA4960" s="25"/>
    </row>
    <row r="4961" spans="1:27" x14ac:dyDescent="0.35">
      <c r="A4961" s="5">
        <v>4957</v>
      </c>
      <c r="B4961" s="5">
        <v>207</v>
      </c>
      <c r="C4961" s="5">
        <v>7</v>
      </c>
      <c r="D4961" s="25">
        <v>1.1416E-4</v>
      </c>
      <c r="E4961" s="25">
        <v>1.1386E-4</v>
      </c>
      <c r="F4961" s="25">
        <v>1.0128000000000001E-4</v>
      </c>
      <c r="G4961" s="25">
        <v>1.6076E-4</v>
      </c>
      <c r="H4961" s="25">
        <v>1.8976E-4</v>
      </c>
      <c r="I4961" s="9">
        <v>1.1411E-4</v>
      </c>
      <c r="J4961" s="9">
        <v>1.3067999999999999E-4</v>
      </c>
      <c r="K4961" s="9">
        <v>0</v>
      </c>
      <c r="L4961" s="9">
        <v>1.6945999999999999E-4</v>
      </c>
      <c r="M4961" s="9">
        <v>1.7338E-4</v>
      </c>
      <c r="N4961" s="9">
        <v>1.6587000000000001E-4</v>
      </c>
      <c r="O4961" s="9">
        <v>1.6027000000000001E-4</v>
      </c>
      <c r="P4961" s="9">
        <v>1.6390999999999999E-4</v>
      </c>
      <c r="Q4961" s="9">
        <v>1.6731E-4</v>
      </c>
      <c r="R4961" s="10">
        <v>5.6744202942284177E-5</v>
      </c>
      <c r="S4961" s="10">
        <v>3.5514361067455142E-5</v>
      </c>
      <c r="T4961" s="10">
        <v>5.5605249510899039E-4</v>
      </c>
      <c r="U4961" s="10">
        <v>7.7760000000000001E-5</v>
      </c>
      <c r="V4961" s="25"/>
      <c r="W4961" s="25"/>
      <c r="X4961" s="25"/>
      <c r="Y4961" s="25"/>
      <c r="Z4961" s="25"/>
      <c r="AA4961" s="25"/>
    </row>
    <row r="4962" spans="1:27" x14ac:dyDescent="0.35">
      <c r="A4962" s="5">
        <v>4958</v>
      </c>
      <c r="B4962" s="5">
        <v>207</v>
      </c>
      <c r="C4962" s="5">
        <v>7</v>
      </c>
      <c r="D4962" s="25">
        <v>1.1415000000000001E-4</v>
      </c>
      <c r="E4962" s="25">
        <v>1.1168E-4</v>
      </c>
      <c r="F4962" s="25">
        <v>1.0855E-4</v>
      </c>
      <c r="G4962" s="25">
        <v>1.5946999999999999E-4</v>
      </c>
      <c r="H4962" s="25">
        <v>2.0086999999999999E-4</v>
      </c>
      <c r="I4962" s="9">
        <v>1.1252999999999999E-4</v>
      </c>
      <c r="J4962" s="9">
        <v>1.281E-4</v>
      </c>
      <c r="K4962" s="9">
        <v>0</v>
      </c>
      <c r="L4962" s="9">
        <v>1.6197E-4</v>
      </c>
      <c r="M4962" s="9">
        <v>1.6988999999999999E-4</v>
      </c>
      <c r="N4962" s="9">
        <v>1.7019999999999999E-4</v>
      </c>
      <c r="O4962" s="9">
        <v>1.7813E-4</v>
      </c>
      <c r="P4962" s="9">
        <v>1.7014999999999999E-4</v>
      </c>
      <c r="Q4962" s="9">
        <v>1.6206E-4</v>
      </c>
      <c r="R4962" s="10">
        <v>7.6363618698562042E-5</v>
      </c>
      <c r="S4962" s="10">
        <v>4.3437253252156534E-5</v>
      </c>
      <c r="T4962" s="10">
        <v>2.2131294854846757E-4</v>
      </c>
      <c r="U4962" s="10">
        <v>7.7760000000000001E-5</v>
      </c>
      <c r="V4962" s="25"/>
      <c r="W4962" s="25"/>
      <c r="X4962" s="25"/>
      <c r="Y4962" s="25"/>
      <c r="Z4962" s="25"/>
      <c r="AA4962" s="25"/>
    </row>
    <row r="4963" spans="1:27" x14ac:dyDescent="0.35">
      <c r="A4963" s="5">
        <v>4959</v>
      </c>
      <c r="B4963" s="5">
        <v>207</v>
      </c>
      <c r="C4963" s="5">
        <v>7</v>
      </c>
      <c r="D4963" s="25">
        <v>1.1416E-4</v>
      </c>
      <c r="E4963" s="25">
        <v>1.1824000000000001E-4</v>
      </c>
      <c r="F4963" s="25">
        <v>9.0160000000000004E-5</v>
      </c>
      <c r="G4963" s="25">
        <v>1.66E-4</v>
      </c>
      <c r="H4963" s="25">
        <v>1.9689999999999999E-4</v>
      </c>
      <c r="I4963" s="9">
        <v>1.1283E-4</v>
      </c>
      <c r="J4963" s="9">
        <v>1.2595999999999999E-4</v>
      </c>
      <c r="K4963" s="9">
        <v>0</v>
      </c>
      <c r="L4963" s="9">
        <v>1.7474999999999999E-4</v>
      </c>
      <c r="M4963" s="9">
        <v>1.6896000000000001E-4</v>
      </c>
      <c r="N4963" s="9">
        <v>1.7006000000000001E-4</v>
      </c>
      <c r="O4963" s="9">
        <v>1.8128E-4</v>
      </c>
      <c r="P4963" s="9">
        <v>1.6666000000000001E-4</v>
      </c>
      <c r="Q4963" s="9">
        <v>1.5202E-4</v>
      </c>
      <c r="R4963" s="10">
        <v>9.578974708035556E-5</v>
      </c>
      <c r="S4963" s="10">
        <v>5.2905578104841541E-5</v>
      </c>
      <c r="T4963" s="10">
        <v>9.3692117723623815E-5</v>
      </c>
      <c r="U4963" s="10">
        <v>7.7760000000000001E-5</v>
      </c>
      <c r="V4963" s="25"/>
      <c r="W4963" s="25"/>
      <c r="X4963" s="25"/>
      <c r="Y4963" s="25"/>
      <c r="Z4963" s="25"/>
      <c r="AA4963" s="25"/>
    </row>
    <row r="4964" spans="1:27" x14ac:dyDescent="0.35">
      <c r="A4964" s="5">
        <v>4960</v>
      </c>
      <c r="B4964" s="5">
        <v>207</v>
      </c>
      <c r="C4964" s="5">
        <v>7</v>
      </c>
      <c r="D4964" s="25">
        <v>1.1415000000000001E-4</v>
      </c>
      <c r="E4964" s="25">
        <v>1.1216E-4</v>
      </c>
      <c r="F4964" s="25">
        <v>1.0422E-4</v>
      </c>
      <c r="G4964" s="25">
        <v>1.5679999999999999E-4</v>
      </c>
      <c r="H4964" s="25">
        <v>2.017E-4</v>
      </c>
      <c r="I4964" s="9">
        <v>1.1290000000000001E-4</v>
      </c>
      <c r="J4964" s="9">
        <v>1.2517999999999999E-4</v>
      </c>
      <c r="K4964" s="9">
        <v>0</v>
      </c>
      <c r="L4964" s="9">
        <v>1.7953000000000001E-4</v>
      </c>
      <c r="M4964" s="9">
        <v>1.6796000000000001E-4</v>
      </c>
      <c r="N4964" s="9">
        <v>1.6615999999999999E-4</v>
      </c>
      <c r="O4964" s="9">
        <v>1.9636999999999999E-4</v>
      </c>
      <c r="P4964" s="9">
        <v>1.5311E-4</v>
      </c>
      <c r="Q4964" s="9">
        <v>1.1022999999999999E-4</v>
      </c>
      <c r="R4964" s="10">
        <v>8.7224998378745497E-5</v>
      </c>
      <c r="S4964" s="10">
        <v>5.8852508653231153E-5</v>
      </c>
      <c r="T4964" s="10">
        <v>9.5388977593652312E-5</v>
      </c>
      <c r="U4964" s="10">
        <v>7.7760000000000001E-5</v>
      </c>
      <c r="V4964" s="25"/>
      <c r="W4964" s="25"/>
      <c r="X4964" s="25"/>
      <c r="Y4964" s="25"/>
      <c r="Z4964" s="25"/>
      <c r="AA4964" s="25"/>
    </row>
    <row r="4965" spans="1:27" x14ac:dyDescent="0.35">
      <c r="A4965" s="5">
        <v>4961</v>
      </c>
      <c r="B4965" s="5">
        <v>207</v>
      </c>
      <c r="C4965" s="5">
        <v>7</v>
      </c>
      <c r="D4965" s="25">
        <v>1.1416E-4</v>
      </c>
      <c r="E4965" s="25">
        <v>1.1673E-4</v>
      </c>
      <c r="F4965" s="25">
        <v>1.0463000000000001E-4</v>
      </c>
      <c r="G4965" s="25">
        <v>1.6380999999999999E-4</v>
      </c>
      <c r="H4965" s="25">
        <v>2.0238999999999999E-4</v>
      </c>
      <c r="I4965" s="9">
        <v>1.1398E-4</v>
      </c>
      <c r="J4965" s="9">
        <v>1.2496999999999999E-4</v>
      </c>
      <c r="K4965" s="9">
        <v>0</v>
      </c>
      <c r="L4965" s="9">
        <v>1.9247000000000001E-4</v>
      </c>
      <c r="M4965" s="9">
        <v>1.6244999999999999E-4</v>
      </c>
      <c r="N4965" s="9">
        <v>1.5263000000000001E-4</v>
      </c>
      <c r="O4965" s="9">
        <v>2.1041000000000001E-4</v>
      </c>
      <c r="P4965" s="9">
        <v>1.5815999999999999E-4</v>
      </c>
      <c r="Q4965" s="9">
        <v>1.0639E-4</v>
      </c>
      <c r="R4965" s="10">
        <v>7.7011491981358144E-5</v>
      </c>
      <c r="S4965" s="10">
        <v>7.5396556238185755E-5</v>
      </c>
      <c r="T4965" s="10">
        <v>4.039374920602852E-5</v>
      </c>
      <c r="U4965" s="10">
        <v>7.7760000000000001E-5</v>
      </c>
      <c r="V4965" s="25"/>
      <c r="W4965" s="25"/>
      <c r="X4965" s="25"/>
      <c r="Y4965" s="25"/>
      <c r="Z4965" s="25"/>
      <c r="AA4965" s="25"/>
    </row>
    <row r="4966" spans="1:27" x14ac:dyDescent="0.35">
      <c r="A4966" s="5">
        <v>4962</v>
      </c>
      <c r="B4966" s="5">
        <v>207</v>
      </c>
      <c r="C4966" s="5">
        <v>7</v>
      </c>
      <c r="D4966" s="25">
        <v>1.1415000000000001E-4</v>
      </c>
      <c r="E4966" s="25">
        <v>1.1273E-4</v>
      </c>
      <c r="F4966" s="25">
        <v>1.0263E-4</v>
      </c>
      <c r="G4966" s="25">
        <v>1.6606999999999999E-4</v>
      </c>
      <c r="H4966" s="25">
        <v>1.9259E-4</v>
      </c>
      <c r="I4966" s="9">
        <v>1.1281999999999999E-4</v>
      </c>
      <c r="J4966" s="9">
        <v>1.206E-4</v>
      </c>
      <c r="K4966" s="9">
        <v>0</v>
      </c>
      <c r="L4966" s="9">
        <v>2.062E-4</v>
      </c>
      <c r="M4966" s="9">
        <v>1.5939E-4</v>
      </c>
      <c r="N4966" s="9">
        <v>1.3909999999999999E-4</v>
      </c>
      <c r="O4966" s="9">
        <v>2.0285999999999999E-4</v>
      </c>
      <c r="P4966" s="9">
        <v>1.5992E-4</v>
      </c>
      <c r="Q4966" s="9">
        <v>1.1733E-4</v>
      </c>
      <c r="R4966" s="10">
        <v>6.1209025098313621E-5</v>
      </c>
      <c r="S4966" s="10">
        <v>7.3315194000715745E-5</v>
      </c>
      <c r="T4966" s="10">
        <v>8.9967510308911259E-5</v>
      </c>
      <c r="U4966" s="10">
        <v>7.7760000000000001E-5</v>
      </c>
      <c r="V4966" s="25"/>
      <c r="W4966" s="25"/>
      <c r="X4966" s="25"/>
      <c r="Y4966" s="25"/>
      <c r="Z4966" s="25"/>
      <c r="AA4966" s="25"/>
    </row>
    <row r="4967" spans="1:27" x14ac:dyDescent="0.35">
      <c r="A4967" s="5">
        <v>4963</v>
      </c>
      <c r="B4967" s="5">
        <v>207</v>
      </c>
      <c r="C4967" s="5">
        <v>7</v>
      </c>
      <c r="D4967" s="25">
        <v>1.1416E-4</v>
      </c>
      <c r="E4967" s="25">
        <v>1.1544000000000001E-4</v>
      </c>
      <c r="F4967" s="25">
        <v>9.1119999999999995E-5</v>
      </c>
      <c r="G4967" s="25">
        <v>1.1281999999999999E-4</v>
      </c>
      <c r="H4967" s="25">
        <v>1.3051999999999999E-4</v>
      </c>
      <c r="I4967" s="9">
        <v>1.0805E-4</v>
      </c>
      <c r="J4967" s="9">
        <v>1.1775E-4</v>
      </c>
      <c r="K4967" s="9">
        <v>0</v>
      </c>
      <c r="L4967" s="9">
        <v>2.0324000000000001E-4</v>
      </c>
      <c r="M4967" s="9">
        <v>1.5893E-4</v>
      </c>
      <c r="N4967" s="9">
        <v>1.2994999999999999E-4</v>
      </c>
      <c r="O4967" s="9">
        <v>1.6189000000000001E-4</v>
      </c>
      <c r="P4967" s="9">
        <v>1.34E-4</v>
      </c>
      <c r="Q4967" s="9">
        <v>1.0636E-4</v>
      </c>
      <c r="R4967" s="10">
        <v>4.5673924780794336E-5</v>
      </c>
      <c r="S4967" s="10">
        <v>7.1495977119259127E-5</v>
      </c>
      <c r="T4967" s="10">
        <v>4.0232547518375815E-5</v>
      </c>
      <c r="U4967" s="10">
        <v>7.7760000000000001E-5</v>
      </c>
      <c r="V4967" s="25"/>
      <c r="W4967" s="25"/>
      <c r="X4967" s="25"/>
      <c r="Y4967" s="25"/>
      <c r="Z4967" s="25"/>
      <c r="AA4967" s="25"/>
    </row>
    <row r="4968" spans="1:27" x14ac:dyDescent="0.35">
      <c r="A4968" s="5">
        <v>4964</v>
      </c>
      <c r="B4968" s="5">
        <v>207</v>
      </c>
      <c r="C4968" s="5">
        <v>7</v>
      </c>
      <c r="D4968" s="25">
        <v>1.1415000000000001E-4</v>
      </c>
      <c r="E4968" s="25">
        <v>1.1862999999999999E-4</v>
      </c>
      <c r="F4968" s="25">
        <v>1.0512E-4</v>
      </c>
      <c r="G4968" s="25">
        <v>1.0581000000000001E-4</v>
      </c>
      <c r="H4968" s="25">
        <v>1.3904999999999999E-4</v>
      </c>
      <c r="I4968" s="9">
        <v>1.0408000000000001E-4</v>
      </c>
      <c r="J4968" s="9">
        <v>1.1464999999999999E-4</v>
      </c>
      <c r="K4968" s="9">
        <v>0</v>
      </c>
      <c r="L4968" s="9">
        <v>1.7115000000000001E-4</v>
      </c>
      <c r="M4968" s="9">
        <v>1.5001000000000001E-4</v>
      </c>
      <c r="N4968" s="9">
        <v>1.2063E-4</v>
      </c>
      <c r="O4968" s="9">
        <v>1.2727999999999999E-4</v>
      </c>
      <c r="P4968" s="9">
        <v>1.1425E-4</v>
      </c>
      <c r="Q4968" s="9">
        <v>1.0135E-4</v>
      </c>
      <c r="R4968" s="10">
        <v>5.7087004186978642E-5</v>
      </c>
      <c r="S4968" s="10">
        <v>6.8773338262970681E-5</v>
      </c>
      <c r="T4968" s="10">
        <v>0</v>
      </c>
      <c r="U4968" s="10">
        <v>7.7760000000000001E-5</v>
      </c>
      <c r="V4968" s="25"/>
      <c r="W4968" s="25"/>
      <c r="X4968" s="25"/>
      <c r="Y4968" s="25"/>
      <c r="Z4968" s="25"/>
      <c r="AA4968" s="25"/>
    </row>
    <row r="4969" spans="1:27" x14ac:dyDescent="0.35">
      <c r="A4969" s="5">
        <v>4965</v>
      </c>
      <c r="B4969" s="5">
        <v>207</v>
      </c>
      <c r="C4969" s="5">
        <v>7</v>
      </c>
      <c r="D4969" s="25">
        <v>1.1416E-4</v>
      </c>
      <c r="E4969" s="25">
        <v>1.1621E-4</v>
      </c>
      <c r="F4969" s="25">
        <v>9.0049999999999993E-5</v>
      </c>
      <c r="G4969" s="25">
        <v>5.346E-5</v>
      </c>
      <c r="H4969" s="25">
        <v>7.4850000000000003E-5</v>
      </c>
      <c r="I4969" s="9">
        <v>1.0198E-4</v>
      </c>
      <c r="J4969" s="9">
        <v>1.1224E-4</v>
      </c>
      <c r="K4969" s="9">
        <v>0</v>
      </c>
      <c r="L4969" s="9">
        <v>1.3791000000000001E-4</v>
      </c>
      <c r="M4969" s="9">
        <v>1.3464999999999999E-4</v>
      </c>
      <c r="N4969" s="9">
        <v>1.1283E-4</v>
      </c>
      <c r="O4969" s="9">
        <v>8.3889999999999998E-5</v>
      </c>
      <c r="P4969" s="9">
        <v>8.585E-5</v>
      </c>
      <c r="Q4969" s="9">
        <v>8.7839999999999999E-5</v>
      </c>
      <c r="R4969" s="10">
        <v>9.9715241927200674E-5</v>
      </c>
      <c r="S4969" s="10">
        <v>7.3675413404448954E-5</v>
      </c>
      <c r="T4969" s="10">
        <v>0</v>
      </c>
      <c r="U4969" s="10">
        <v>7.7760000000000001E-5</v>
      </c>
      <c r="V4969" s="25"/>
      <c r="W4969" s="25"/>
      <c r="X4969" s="25"/>
      <c r="Y4969" s="25"/>
      <c r="Z4969" s="25"/>
      <c r="AA4969" s="25"/>
    </row>
    <row r="4970" spans="1:27" x14ac:dyDescent="0.35">
      <c r="A4970" s="5">
        <v>4966</v>
      </c>
      <c r="B4970" s="5">
        <v>207</v>
      </c>
      <c r="C4970" s="5">
        <v>7</v>
      </c>
      <c r="D4970" s="25">
        <v>1.1415000000000001E-4</v>
      </c>
      <c r="E4970" s="25">
        <v>1.1539E-4</v>
      </c>
      <c r="F4970" s="25">
        <v>9.6509999999999996E-5</v>
      </c>
      <c r="G4970" s="25">
        <v>6.1810000000000006E-5</v>
      </c>
      <c r="H4970" s="25">
        <v>7.3579999999999997E-5</v>
      </c>
      <c r="I4970" s="9">
        <v>1.0631E-4</v>
      </c>
      <c r="J4970" s="9">
        <v>1.1224E-4</v>
      </c>
      <c r="K4970" s="9">
        <v>6.3600000000000001E-6</v>
      </c>
      <c r="L4970" s="9">
        <v>9.6680000000000003E-5</v>
      </c>
      <c r="M4970" s="9">
        <v>1.1314E-4</v>
      </c>
      <c r="N4970" s="9">
        <v>1.0514999999999999E-4</v>
      </c>
      <c r="O4970" s="9">
        <v>8.7200000000000005E-5</v>
      </c>
      <c r="P4970" s="9">
        <v>8.7810000000000001E-5</v>
      </c>
      <c r="Q4970" s="9">
        <v>8.8460000000000003E-5</v>
      </c>
      <c r="R4970" s="10">
        <v>1.4785559711675658E-4</v>
      </c>
      <c r="S4970" s="10">
        <v>9.1549211229469964E-5</v>
      </c>
      <c r="T4970" s="10">
        <v>0</v>
      </c>
      <c r="U4970" s="10">
        <v>7.7760000000000001E-5</v>
      </c>
      <c r="V4970" s="25"/>
      <c r="W4970" s="25"/>
      <c r="X4970" s="25"/>
      <c r="Y4970" s="25"/>
      <c r="Z4970" s="25"/>
      <c r="AA4970" s="25"/>
    </row>
    <row r="4971" spans="1:27" x14ac:dyDescent="0.35">
      <c r="A4971" s="5">
        <v>4967</v>
      </c>
      <c r="B4971" s="5">
        <v>207</v>
      </c>
      <c r="C4971" s="5">
        <v>7</v>
      </c>
      <c r="D4971" s="25">
        <v>1.1416E-4</v>
      </c>
      <c r="E4971" s="25">
        <v>1.2261999999999999E-4</v>
      </c>
      <c r="F4971" s="25">
        <v>1.1075E-4</v>
      </c>
      <c r="G4971" s="25">
        <v>5.274E-5</v>
      </c>
      <c r="H4971" s="25">
        <v>7.525E-5</v>
      </c>
      <c r="I4971" s="9">
        <v>1.0173E-4</v>
      </c>
      <c r="J4971" s="9">
        <v>1.0747999999999999E-4</v>
      </c>
      <c r="K4971" s="9">
        <v>1.06E-5</v>
      </c>
      <c r="L4971" s="9">
        <v>9.0199999999999997E-5</v>
      </c>
      <c r="M4971" s="9">
        <v>9.8750000000000002E-5</v>
      </c>
      <c r="N4971" s="9">
        <v>9.9469999999999995E-5</v>
      </c>
      <c r="O4971" s="9">
        <v>7.6899999999999999E-5</v>
      </c>
      <c r="P4971" s="9">
        <v>7.1539999999999996E-5</v>
      </c>
      <c r="Q4971" s="9">
        <v>6.6329999999999997E-5</v>
      </c>
      <c r="R4971" s="10">
        <v>1.7619374656945505E-4</v>
      </c>
      <c r="S4971" s="10">
        <v>1.0332158264158717E-4</v>
      </c>
      <c r="T4971" s="10">
        <v>0</v>
      </c>
      <c r="U4971" s="10">
        <v>7.7760000000000001E-5</v>
      </c>
      <c r="V4971" s="25"/>
      <c r="W4971" s="25"/>
      <c r="X4971" s="25"/>
      <c r="Y4971" s="25"/>
      <c r="Z4971" s="25"/>
      <c r="AA4971" s="25"/>
    </row>
    <row r="4972" spans="1:27" x14ac:dyDescent="0.35">
      <c r="A4972" s="5">
        <v>4968</v>
      </c>
      <c r="B4972" s="5">
        <v>207</v>
      </c>
      <c r="C4972" s="5">
        <v>7</v>
      </c>
      <c r="D4972" s="25">
        <v>1.1415000000000001E-4</v>
      </c>
      <c r="E4972" s="25">
        <v>1.1658999999999999E-4</v>
      </c>
      <c r="F4972" s="25">
        <v>9.7109999999999997E-5</v>
      </c>
      <c r="G4972" s="25">
        <v>5.274E-5</v>
      </c>
      <c r="H4972" s="25">
        <v>6.8330000000000005E-5</v>
      </c>
      <c r="I4972" s="9">
        <v>9.4560000000000003E-5</v>
      </c>
      <c r="J4972" s="9">
        <v>1.0043999999999999E-4</v>
      </c>
      <c r="K4972" s="9">
        <v>1.272E-5</v>
      </c>
      <c r="L4972" s="9">
        <v>7.9800000000000002E-5</v>
      </c>
      <c r="M4972" s="9">
        <v>8.5799999999999998E-5</v>
      </c>
      <c r="N4972" s="9">
        <v>9.0169999999999999E-5</v>
      </c>
      <c r="O4972" s="9">
        <v>6.2760000000000002E-5</v>
      </c>
      <c r="P4972" s="9">
        <v>6.0789999999999999E-5</v>
      </c>
      <c r="Q4972" s="9">
        <v>5.897E-5</v>
      </c>
      <c r="R4972" s="10">
        <v>1.9654771143888736E-4</v>
      </c>
      <c r="S4972" s="10">
        <v>1.2214425646409692E-4</v>
      </c>
      <c r="T4972" s="10">
        <v>0</v>
      </c>
      <c r="U4972" s="10">
        <v>7.7760000000000001E-5</v>
      </c>
      <c r="V4972" s="25"/>
      <c r="W4972" s="25"/>
      <c r="X4972" s="25"/>
      <c r="Y4972" s="25"/>
      <c r="Z4972" s="25"/>
      <c r="AA4972" s="25"/>
    </row>
    <row r="4973" spans="1:27" x14ac:dyDescent="0.35">
      <c r="A4973" s="5">
        <v>4969</v>
      </c>
      <c r="B4973" s="5">
        <v>208</v>
      </c>
      <c r="C4973" s="5">
        <v>7</v>
      </c>
      <c r="D4973" s="25">
        <v>1.1416E-4</v>
      </c>
      <c r="E4973" s="25">
        <v>1.1181E-4</v>
      </c>
      <c r="F4973" s="25">
        <v>1.1478E-4</v>
      </c>
      <c r="G4973" s="25">
        <v>5.5869999999999999E-5</v>
      </c>
      <c r="H4973" s="25">
        <v>7.0980000000000001E-5</v>
      </c>
      <c r="I4973" s="9">
        <v>9.0959999999999996E-5</v>
      </c>
      <c r="J4973" s="9">
        <v>9.5610000000000001E-5</v>
      </c>
      <c r="K4973" s="9">
        <v>1.484E-5</v>
      </c>
      <c r="L4973" s="9">
        <v>6.6530000000000002E-5</v>
      </c>
      <c r="M4973" s="9">
        <v>7.381E-5</v>
      </c>
      <c r="N4973" s="9">
        <v>8.0890000000000006E-5</v>
      </c>
      <c r="O4973" s="9">
        <v>5.4299999999999998E-5</v>
      </c>
      <c r="P4973" s="9">
        <v>5.3720000000000001E-5</v>
      </c>
      <c r="Q4973" s="9">
        <v>5.3300000000000001E-5</v>
      </c>
      <c r="R4973" s="10">
        <v>1.9798624467067609E-4</v>
      </c>
      <c r="S4973" s="10">
        <v>1.3399870672610063E-4</v>
      </c>
      <c r="T4973" s="10">
        <v>0</v>
      </c>
      <c r="U4973" s="10">
        <v>7.7150000000000005E-5</v>
      </c>
      <c r="V4973" s="25"/>
      <c r="W4973" s="25"/>
      <c r="X4973" s="25"/>
      <c r="Y4973" s="25"/>
      <c r="Z4973" s="25"/>
      <c r="AA4973" s="25"/>
    </row>
    <row r="4974" spans="1:27" x14ac:dyDescent="0.35">
      <c r="A4974" s="5">
        <v>4970</v>
      </c>
      <c r="B4974" s="5">
        <v>208</v>
      </c>
      <c r="C4974" s="5">
        <v>7</v>
      </c>
      <c r="D4974" s="25">
        <v>1.1415000000000001E-4</v>
      </c>
      <c r="E4974" s="25">
        <v>1.1675000000000001E-4</v>
      </c>
      <c r="F4974" s="25">
        <v>1.1199E-4</v>
      </c>
      <c r="G4974" s="25">
        <v>6.0409999999999999E-5</v>
      </c>
      <c r="H4974" s="25">
        <v>6.3800000000000006E-5</v>
      </c>
      <c r="I4974" s="9">
        <v>8.8380000000000004E-5</v>
      </c>
      <c r="J4974" s="9">
        <v>9.3309999999999999E-5</v>
      </c>
      <c r="K4974" s="9">
        <v>1.484E-5</v>
      </c>
      <c r="L4974" s="9">
        <v>5.736E-5</v>
      </c>
      <c r="M4974" s="9">
        <v>6.3730000000000001E-5</v>
      </c>
      <c r="N4974" s="9">
        <v>7.1849999999999998E-5</v>
      </c>
      <c r="O4974" s="9">
        <v>1.9320000000000001E-5</v>
      </c>
      <c r="P4974" s="9">
        <v>3.7799999999999997E-5</v>
      </c>
      <c r="Q4974" s="9">
        <v>5.6249999999999998E-5</v>
      </c>
      <c r="R4974" s="10">
        <v>1.969646952120332E-4</v>
      </c>
      <c r="S4974" s="10">
        <v>1.4251994767904811E-4</v>
      </c>
      <c r="T4974" s="10">
        <v>0</v>
      </c>
      <c r="U4974" s="10">
        <v>7.7150000000000005E-5</v>
      </c>
      <c r="V4974" s="25"/>
      <c r="W4974" s="25"/>
      <c r="X4974" s="25"/>
      <c r="Y4974" s="25"/>
      <c r="Z4974" s="25"/>
      <c r="AA4974" s="25"/>
    </row>
    <row r="4975" spans="1:27" x14ac:dyDescent="0.35">
      <c r="A4975" s="5">
        <v>4971</v>
      </c>
      <c r="B4975" s="5">
        <v>208</v>
      </c>
      <c r="C4975" s="5">
        <v>7</v>
      </c>
      <c r="D4975" s="25">
        <v>1.1416E-4</v>
      </c>
      <c r="E4975" s="25">
        <v>1.1434000000000001E-4</v>
      </c>
      <c r="F4975" s="25">
        <v>1.0268E-4</v>
      </c>
      <c r="G4975" s="25">
        <v>5.4570000000000001E-5</v>
      </c>
      <c r="H4975" s="25">
        <v>6.6099999999999994E-5</v>
      </c>
      <c r="I4975" s="9">
        <v>8.6910000000000006E-5</v>
      </c>
      <c r="J4975" s="9">
        <v>9.1719999999999996E-5</v>
      </c>
      <c r="K4975" s="9">
        <v>1.484E-5</v>
      </c>
      <c r="L4975" s="9">
        <v>2.7889999999999999E-5</v>
      </c>
      <c r="M4975" s="9">
        <v>5.2099999999999999E-5</v>
      </c>
      <c r="N4975" s="9">
        <v>6.5380000000000001E-5</v>
      </c>
      <c r="O4975" s="9">
        <v>1.399E-5</v>
      </c>
      <c r="P4975" s="9">
        <v>3.807E-5</v>
      </c>
      <c r="Q4975" s="9">
        <v>6.2059999999999999E-5</v>
      </c>
      <c r="R4975" s="10">
        <v>1.9616641918881054E-4</v>
      </c>
      <c r="S4975" s="10">
        <v>1.5275013844252242E-4</v>
      </c>
      <c r="T4975" s="10">
        <v>0</v>
      </c>
      <c r="U4975" s="10">
        <v>7.7150000000000005E-5</v>
      </c>
      <c r="V4975" s="25"/>
      <c r="W4975" s="25"/>
      <c r="X4975" s="25"/>
      <c r="Y4975" s="25"/>
      <c r="Z4975" s="25"/>
      <c r="AA4975" s="25"/>
    </row>
    <row r="4976" spans="1:27" x14ac:dyDescent="0.35">
      <c r="A4976" s="5">
        <v>4972</v>
      </c>
      <c r="B4976" s="5">
        <v>208</v>
      </c>
      <c r="C4976" s="5">
        <v>7</v>
      </c>
      <c r="D4976" s="25">
        <v>1.1415000000000001E-4</v>
      </c>
      <c r="E4976" s="25">
        <v>1.1663E-4</v>
      </c>
      <c r="F4976" s="25">
        <v>1.0488E-4</v>
      </c>
      <c r="G4976" s="25">
        <v>5.9370000000000002E-5</v>
      </c>
      <c r="H4976" s="25">
        <v>7.4950000000000006E-5</v>
      </c>
      <c r="I4976" s="9">
        <v>8.7299999999999994E-5</v>
      </c>
      <c r="J4976" s="9">
        <v>9.1619999999999994E-5</v>
      </c>
      <c r="K4976" s="9">
        <v>2.9669999999999999E-5</v>
      </c>
      <c r="L4976" s="9">
        <v>1.7779999999999999E-5</v>
      </c>
      <c r="M4976" s="9">
        <v>4.4270000000000001E-5</v>
      </c>
      <c r="N4976" s="9">
        <v>6.1940000000000007E-5</v>
      </c>
      <c r="O4976" s="9">
        <v>1.377E-5</v>
      </c>
      <c r="P4976" s="9">
        <v>4.685E-5</v>
      </c>
      <c r="Q4976" s="9">
        <v>7.9690000000000004E-5</v>
      </c>
      <c r="R4976" s="10">
        <v>1.9459817222065116E-4</v>
      </c>
      <c r="S4976" s="10">
        <v>1.5192086217147174E-4</v>
      </c>
      <c r="T4976" s="10">
        <v>0</v>
      </c>
      <c r="U4976" s="10">
        <v>7.7150000000000005E-5</v>
      </c>
      <c r="V4976" s="25"/>
      <c r="W4976" s="25"/>
      <c r="X4976" s="25"/>
      <c r="Y4976" s="25"/>
      <c r="Z4976" s="25"/>
      <c r="AA4976" s="25"/>
    </row>
    <row r="4977" spans="1:27" x14ac:dyDescent="0.35">
      <c r="A4977" s="5">
        <v>4973</v>
      </c>
      <c r="B4977" s="5">
        <v>208</v>
      </c>
      <c r="C4977" s="5">
        <v>7</v>
      </c>
      <c r="D4977" s="25">
        <v>1.1416E-4</v>
      </c>
      <c r="E4977" s="25">
        <v>1.1149E-4</v>
      </c>
      <c r="F4977" s="25">
        <v>1.1757E-4</v>
      </c>
      <c r="G4977" s="25">
        <v>5.8739999999999997E-5</v>
      </c>
      <c r="H4977" s="25">
        <v>6.9339999999999997E-5</v>
      </c>
      <c r="I4977" s="9">
        <v>8.9320000000000005E-5</v>
      </c>
      <c r="J4977" s="9">
        <v>9.3090000000000005E-5</v>
      </c>
      <c r="K4977" s="9">
        <v>3.18E-5</v>
      </c>
      <c r="L4977" s="9">
        <v>1.489E-5</v>
      </c>
      <c r="M4977" s="9">
        <v>4.3449999999999999E-5</v>
      </c>
      <c r="N4977" s="9">
        <v>6.4369999999999995E-5</v>
      </c>
      <c r="O4977" s="9">
        <v>1.9320000000000001E-5</v>
      </c>
      <c r="P4977" s="9">
        <v>5.6690000000000001E-5</v>
      </c>
      <c r="Q4977" s="9">
        <v>9.3750000000000002E-5</v>
      </c>
      <c r="R4977" s="10">
        <v>1.9856676467373122E-4</v>
      </c>
      <c r="S4977" s="10">
        <v>1.3522446372899485E-4</v>
      </c>
      <c r="T4977" s="10">
        <v>0</v>
      </c>
      <c r="U4977" s="10">
        <v>7.7150000000000005E-5</v>
      </c>
      <c r="V4977" s="25"/>
      <c r="W4977" s="25"/>
      <c r="X4977" s="25"/>
      <c r="Y4977" s="25"/>
      <c r="Z4977" s="25"/>
      <c r="AA4977" s="25"/>
    </row>
    <row r="4978" spans="1:27" x14ac:dyDescent="0.35">
      <c r="A4978" s="5">
        <v>4974</v>
      </c>
      <c r="B4978" s="5">
        <v>208</v>
      </c>
      <c r="C4978" s="5">
        <v>7</v>
      </c>
      <c r="D4978" s="25">
        <v>1.1415000000000001E-4</v>
      </c>
      <c r="E4978" s="25">
        <v>1.1487E-4</v>
      </c>
      <c r="F4978" s="25">
        <v>1.1862E-4</v>
      </c>
      <c r="G4978" s="25">
        <v>1.1357E-4</v>
      </c>
      <c r="H4978" s="25">
        <v>1.3485E-4</v>
      </c>
      <c r="I4978" s="9">
        <v>9.3549999999999997E-5</v>
      </c>
      <c r="J4978" s="9">
        <v>9.8969999999999996E-5</v>
      </c>
      <c r="K4978" s="9">
        <v>2.7549999999999999E-5</v>
      </c>
      <c r="L4978" s="9">
        <v>1.8219999999999998E-5</v>
      </c>
      <c r="M4978" s="9">
        <v>4.8350000000000003E-5</v>
      </c>
      <c r="N4978" s="9">
        <v>7.0959999999999998E-5</v>
      </c>
      <c r="O4978" s="9">
        <v>4.6260000000000001E-5</v>
      </c>
      <c r="P4978" s="9">
        <v>7.6650000000000006E-5</v>
      </c>
      <c r="Q4978" s="9">
        <v>1.0673E-4</v>
      </c>
      <c r="R4978" s="10">
        <v>2.0427104186025738E-4</v>
      </c>
      <c r="S4978" s="10">
        <v>1.2053561461038088E-4</v>
      </c>
      <c r="T4978" s="10">
        <v>3.4302022272626199E-5</v>
      </c>
      <c r="U4978" s="10">
        <v>7.7150000000000005E-5</v>
      </c>
      <c r="V4978" s="25"/>
      <c r="W4978" s="25"/>
      <c r="X4978" s="25"/>
      <c r="Y4978" s="25"/>
      <c r="Z4978" s="25"/>
      <c r="AA4978" s="25"/>
    </row>
    <row r="4979" spans="1:27" x14ac:dyDescent="0.35">
      <c r="A4979" s="5">
        <v>4975</v>
      </c>
      <c r="B4979" s="5">
        <v>208</v>
      </c>
      <c r="C4979" s="5">
        <v>7</v>
      </c>
      <c r="D4979" s="25">
        <v>1.1416E-4</v>
      </c>
      <c r="E4979" s="25">
        <v>1.1955000000000001E-4</v>
      </c>
      <c r="F4979" s="25">
        <v>1.1322E-4</v>
      </c>
      <c r="G4979" s="25">
        <v>1.0443E-4</v>
      </c>
      <c r="H4979" s="25">
        <v>1.3815999999999999E-4</v>
      </c>
      <c r="I4979" s="9">
        <v>1.0063E-4</v>
      </c>
      <c r="J4979" s="9">
        <v>1.0956E-4</v>
      </c>
      <c r="K4979" s="9">
        <v>1.908E-5</v>
      </c>
      <c r="L4979" s="9">
        <v>3.9950000000000002E-5</v>
      </c>
      <c r="M4979" s="9">
        <v>5.9920000000000002E-5</v>
      </c>
      <c r="N4979" s="9">
        <v>8.0619999999999997E-5</v>
      </c>
      <c r="O4979" s="9">
        <v>1.2240999999999999E-4</v>
      </c>
      <c r="P4979" s="9">
        <v>1.1746E-4</v>
      </c>
      <c r="Q4979" s="9">
        <v>1.1252E-4</v>
      </c>
      <c r="R4979" s="10">
        <v>2.0678930590341469E-4</v>
      </c>
      <c r="S4979" s="10">
        <v>1.1238111890021334E-4</v>
      </c>
      <c r="T4979" s="10">
        <v>6.4098881590326709E-5</v>
      </c>
      <c r="U4979" s="10">
        <v>7.7150000000000005E-5</v>
      </c>
      <c r="V4979" s="25"/>
      <c r="W4979" s="25"/>
      <c r="X4979" s="25"/>
      <c r="Y4979" s="25"/>
      <c r="Z4979" s="25"/>
      <c r="AA4979" s="25"/>
    </row>
    <row r="4980" spans="1:27" x14ac:dyDescent="0.35">
      <c r="A4980" s="5">
        <v>4976</v>
      </c>
      <c r="B4980" s="5">
        <v>208</v>
      </c>
      <c r="C4980" s="5">
        <v>7</v>
      </c>
      <c r="D4980" s="25">
        <v>1.1415000000000001E-4</v>
      </c>
      <c r="E4980" s="25">
        <v>1.189E-4</v>
      </c>
      <c r="F4980" s="25">
        <v>1.1407E-4</v>
      </c>
      <c r="G4980" s="25">
        <v>1.6003E-4</v>
      </c>
      <c r="H4980" s="25">
        <v>1.9043E-4</v>
      </c>
      <c r="I4980" s="9">
        <v>1.0674E-4</v>
      </c>
      <c r="J4980" s="9">
        <v>1.1930999999999999E-4</v>
      </c>
      <c r="K4980" s="9">
        <v>6.3600000000000001E-6</v>
      </c>
      <c r="L4980" s="9">
        <v>1.0365999999999999E-4</v>
      </c>
      <c r="M4980" s="9">
        <v>8.3620000000000002E-5</v>
      </c>
      <c r="N4980" s="9">
        <v>9.0740000000000002E-5</v>
      </c>
      <c r="O4980" s="9">
        <v>2.1829999999999999E-4</v>
      </c>
      <c r="P4980" s="9">
        <v>1.7762E-4</v>
      </c>
      <c r="Q4980" s="9">
        <v>1.3721999999999999E-4</v>
      </c>
      <c r="R4980" s="10">
        <v>2.0790884536210102E-4</v>
      </c>
      <c r="S4980" s="10">
        <v>9.8916868638140949E-5</v>
      </c>
      <c r="T4980" s="10">
        <v>4.0622825288482375E-5</v>
      </c>
      <c r="U4980" s="10">
        <v>7.7150000000000005E-5</v>
      </c>
      <c r="V4980" s="25"/>
      <c r="W4980" s="25"/>
      <c r="X4980" s="25"/>
      <c r="Y4980" s="25"/>
      <c r="Z4980" s="25"/>
      <c r="AA4980" s="25"/>
    </row>
    <row r="4981" spans="1:27" x14ac:dyDescent="0.35">
      <c r="A4981" s="5">
        <v>4977</v>
      </c>
      <c r="B4981" s="5">
        <v>208</v>
      </c>
      <c r="C4981" s="5">
        <v>7</v>
      </c>
      <c r="D4981" s="25">
        <v>1.1416E-4</v>
      </c>
      <c r="E4981" s="25">
        <v>1.1703E-4</v>
      </c>
      <c r="F4981" s="25">
        <v>1.1493E-4</v>
      </c>
      <c r="G4981" s="25">
        <v>1.6221000000000001E-4</v>
      </c>
      <c r="H4981" s="25">
        <v>1.9605999999999999E-4</v>
      </c>
      <c r="I4981" s="9">
        <v>1.1066E-4</v>
      </c>
      <c r="J4981" s="9">
        <v>1.2437E-4</v>
      </c>
      <c r="K4981" s="9">
        <v>0</v>
      </c>
      <c r="L4981" s="9">
        <v>1.9133999999999999E-4</v>
      </c>
      <c r="M4981" s="9">
        <v>1.2359E-4</v>
      </c>
      <c r="N4981" s="9">
        <v>1.0459999999999999E-4</v>
      </c>
      <c r="O4981" s="9">
        <v>2.0712000000000001E-4</v>
      </c>
      <c r="P4981" s="9">
        <v>1.9112E-4</v>
      </c>
      <c r="Q4981" s="9">
        <v>1.7503000000000001E-4</v>
      </c>
      <c r="R4981" s="10">
        <v>2.0965556143011388E-4</v>
      </c>
      <c r="S4981" s="10">
        <v>9.1645476491498148E-5</v>
      </c>
      <c r="T4981" s="10">
        <v>1.8936107719583084E-4</v>
      </c>
      <c r="U4981" s="10">
        <v>7.7150000000000005E-5</v>
      </c>
      <c r="V4981" s="25"/>
      <c r="W4981" s="25"/>
      <c r="X4981" s="25"/>
      <c r="Y4981" s="25"/>
      <c r="Z4981" s="25"/>
      <c r="AA4981" s="25"/>
    </row>
    <row r="4982" spans="1:27" x14ac:dyDescent="0.35">
      <c r="A4982" s="5">
        <v>4978</v>
      </c>
      <c r="B4982" s="5">
        <v>208</v>
      </c>
      <c r="C4982" s="5">
        <v>7</v>
      </c>
      <c r="D4982" s="25">
        <v>1.1415000000000001E-4</v>
      </c>
      <c r="E4982" s="25">
        <v>1.1301E-4</v>
      </c>
      <c r="F4982" s="25">
        <v>1.1409E-4</v>
      </c>
      <c r="G4982" s="25">
        <v>1.5799E-4</v>
      </c>
      <c r="H4982" s="25">
        <v>1.9348999999999999E-4</v>
      </c>
      <c r="I4982" s="9">
        <v>1.1331E-4</v>
      </c>
      <c r="J4982" s="9">
        <v>1.2572000000000001E-4</v>
      </c>
      <c r="K4982" s="9">
        <v>0</v>
      </c>
      <c r="L4982" s="9">
        <v>2.0133999999999999E-4</v>
      </c>
      <c r="M4982" s="9">
        <v>1.5804E-4</v>
      </c>
      <c r="N4982" s="9">
        <v>1.2422999999999999E-4</v>
      </c>
      <c r="O4982" s="9">
        <v>1.6584E-4</v>
      </c>
      <c r="P4982" s="9">
        <v>1.7417999999999999E-4</v>
      </c>
      <c r="Q4982" s="9">
        <v>1.8218999999999999E-4</v>
      </c>
      <c r="R4982" s="10">
        <v>2.1006357969168522E-4</v>
      </c>
      <c r="S4982" s="10">
        <v>8.3656628818482012E-5</v>
      </c>
      <c r="T4982" s="10">
        <v>2.2519875765083283E-4</v>
      </c>
      <c r="U4982" s="10">
        <v>7.7150000000000005E-5</v>
      </c>
      <c r="V4982" s="25"/>
      <c r="W4982" s="25"/>
      <c r="X4982" s="25"/>
      <c r="Y4982" s="25"/>
      <c r="Z4982" s="25"/>
      <c r="AA4982" s="25"/>
    </row>
    <row r="4983" spans="1:27" x14ac:dyDescent="0.35">
      <c r="A4983" s="5">
        <v>4979</v>
      </c>
      <c r="B4983" s="5">
        <v>208</v>
      </c>
      <c r="C4983" s="5">
        <v>7</v>
      </c>
      <c r="D4983" s="25">
        <v>1.1416E-4</v>
      </c>
      <c r="E4983" s="25">
        <v>1.1408000000000001E-4</v>
      </c>
      <c r="F4983" s="25">
        <v>1.2175E-4</v>
      </c>
      <c r="G4983" s="25">
        <v>1.5924999999999999E-4</v>
      </c>
      <c r="H4983" s="25">
        <v>1.9353E-4</v>
      </c>
      <c r="I4983" s="9">
        <v>1.1451999999999999E-4</v>
      </c>
      <c r="J4983" s="9">
        <v>1.2604000000000001E-4</v>
      </c>
      <c r="K4983" s="9">
        <v>0</v>
      </c>
      <c r="L4983" s="9">
        <v>1.7378000000000001E-4</v>
      </c>
      <c r="M4983" s="9">
        <v>1.7178000000000001E-4</v>
      </c>
      <c r="N4983" s="9">
        <v>1.4234999999999999E-4</v>
      </c>
      <c r="O4983" s="9">
        <v>1.6673999999999999E-4</v>
      </c>
      <c r="P4983" s="9">
        <v>1.7377000000000001E-4</v>
      </c>
      <c r="Q4983" s="9">
        <v>1.8049E-4</v>
      </c>
      <c r="R4983" s="10">
        <v>2.0746063628051845E-4</v>
      </c>
      <c r="S4983" s="10">
        <v>7.3901978425480118E-5</v>
      </c>
      <c r="T4983" s="10">
        <v>4.181062719750233E-5</v>
      </c>
      <c r="U4983" s="10">
        <v>7.7150000000000005E-5</v>
      </c>
      <c r="V4983" s="25"/>
      <c r="W4983" s="25"/>
      <c r="X4983" s="25"/>
      <c r="Y4983" s="25"/>
      <c r="Z4983" s="25"/>
      <c r="AA4983" s="25"/>
    </row>
    <row r="4984" spans="1:27" x14ac:dyDescent="0.35">
      <c r="A4984" s="5">
        <v>4980</v>
      </c>
      <c r="B4984" s="5">
        <v>208</v>
      </c>
      <c r="C4984" s="5">
        <v>7</v>
      </c>
      <c r="D4984" s="25">
        <v>1.1415000000000001E-4</v>
      </c>
      <c r="E4984" s="25">
        <v>1.149E-4</v>
      </c>
      <c r="F4984" s="25">
        <v>1.1484000000000001E-4</v>
      </c>
      <c r="G4984" s="25">
        <v>1.595E-4</v>
      </c>
      <c r="H4984" s="25">
        <v>1.9488E-4</v>
      </c>
      <c r="I4984" s="9">
        <v>1.136E-4</v>
      </c>
      <c r="J4984" s="9">
        <v>1.2559999999999999E-4</v>
      </c>
      <c r="K4984" s="9">
        <v>0</v>
      </c>
      <c r="L4984" s="9">
        <v>1.6965E-4</v>
      </c>
      <c r="M4984" s="9">
        <v>1.7484999999999999E-4</v>
      </c>
      <c r="N4984" s="9">
        <v>1.5668999999999999E-4</v>
      </c>
      <c r="O4984" s="9">
        <v>1.6822000000000001E-4</v>
      </c>
      <c r="P4984" s="9">
        <v>1.7115000000000001E-4</v>
      </c>
      <c r="Q4984" s="9">
        <v>1.7380999999999999E-4</v>
      </c>
      <c r="R4984" s="10">
        <v>1.9685684102799345E-4</v>
      </c>
      <c r="S4984" s="10">
        <v>8.4622728249454857E-5</v>
      </c>
      <c r="T4984" s="10">
        <v>1.1684577065016275E-4</v>
      </c>
      <c r="U4984" s="10">
        <v>7.7150000000000005E-5</v>
      </c>
      <c r="V4984" s="25"/>
      <c r="W4984" s="25"/>
      <c r="X4984" s="25"/>
      <c r="Y4984" s="25"/>
      <c r="Z4984" s="25"/>
      <c r="AA4984" s="25"/>
    </row>
    <row r="4985" spans="1:27" x14ac:dyDescent="0.35">
      <c r="A4985" s="5">
        <v>4981</v>
      </c>
      <c r="B4985" s="5">
        <v>208</v>
      </c>
      <c r="C4985" s="5">
        <v>7</v>
      </c>
      <c r="D4985" s="25">
        <v>1.1416E-4</v>
      </c>
      <c r="E4985" s="25">
        <v>1.1711E-4</v>
      </c>
      <c r="F4985" s="25">
        <v>1.1514E-4</v>
      </c>
      <c r="G4985" s="25">
        <v>1.6258000000000001E-4</v>
      </c>
      <c r="H4985" s="25">
        <v>1.9477000000000001E-4</v>
      </c>
      <c r="I4985" s="9">
        <v>1.1134E-4</v>
      </c>
      <c r="J4985" s="9">
        <v>1.2680999999999999E-4</v>
      </c>
      <c r="K4985" s="9">
        <v>0</v>
      </c>
      <c r="L4985" s="9">
        <v>1.6866E-4</v>
      </c>
      <c r="M4985" s="9">
        <v>1.7384E-4</v>
      </c>
      <c r="N4985" s="9">
        <v>1.6611999999999999E-4</v>
      </c>
      <c r="O4985" s="9">
        <v>1.6016000000000001E-4</v>
      </c>
      <c r="P4985" s="9">
        <v>1.638E-4</v>
      </c>
      <c r="Q4985" s="9">
        <v>1.6719E-4</v>
      </c>
      <c r="R4985" s="10">
        <v>2.0217529714312282E-4</v>
      </c>
      <c r="S4985" s="10">
        <v>8.1919785751904608E-5</v>
      </c>
      <c r="T4985" s="10">
        <v>2.7058127487474519E-4</v>
      </c>
      <c r="U4985" s="10">
        <v>7.7150000000000005E-5</v>
      </c>
      <c r="V4985" s="25"/>
      <c r="W4985" s="25"/>
      <c r="X4985" s="25"/>
      <c r="Y4985" s="25"/>
      <c r="Z4985" s="25"/>
      <c r="AA4985" s="25"/>
    </row>
    <row r="4986" spans="1:27" x14ac:dyDescent="0.35">
      <c r="A4986" s="5">
        <v>4982</v>
      </c>
      <c r="B4986" s="5">
        <v>208</v>
      </c>
      <c r="C4986" s="5">
        <v>7</v>
      </c>
      <c r="D4986" s="25">
        <v>1.1415000000000001E-4</v>
      </c>
      <c r="E4986" s="25">
        <v>1.1866000000000001E-4</v>
      </c>
      <c r="F4986" s="25">
        <v>1.0885E-4</v>
      </c>
      <c r="G4986" s="25">
        <v>1.6737999999999999E-4</v>
      </c>
      <c r="H4986" s="25">
        <v>1.9655000000000001E-4</v>
      </c>
      <c r="I4986" s="9">
        <v>1.1055E-4</v>
      </c>
      <c r="J4986" s="9">
        <v>1.2627999999999999E-4</v>
      </c>
      <c r="K4986" s="9">
        <v>0</v>
      </c>
      <c r="L4986" s="9">
        <v>1.6181E-4</v>
      </c>
      <c r="M4986" s="9">
        <v>1.6990000000000001E-4</v>
      </c>
      <c r="N4986" s="9">
        <v>1.7039999999999999E-4</v>
      </c>
      <c r="O4986" s="9">
        <v>1.7485999999999999E-4</v>
      </c>
      <c r="P4986" s="9">
        <v>1.6703000000000001E-4</v>
      </c>
      <c r="Q4986" s="9">
        <v>1.5909E-4</v>
      </c>
      <c r="R4986" s="10">
        <v>2.0712318237485732E-4</v>
      </c>
      <c r="S4986" s="10">
        <v>8.6071217734011603E-5</v>
      </c>
      <c r="T4986" s="10">
        <v>3.2164827266325293E-4</v>
      </c>
      <c r="U4986" s="10">
        <v>7.7150000000000005E-5</v>
      </c>
      <c r="V4986" s="25"/>
      <c r="W4986" s="25"/>
      <c r="X4986" s="25"/>
      <c r="Y4986" s="25"/>
      <c r="Z4986" s="25"/>
      <c r="AA4986" s="25"/>
    </row>
    <row r="4987" spans="1:27" x14ac:dyDescent="0.35">
      <c r="A4987" s="5">
        <v>4983</v>
      </c>
      <c r="B4987" s="5">
        <v>208</v>
      </c>
      <c r="C4987" s="5">
        <v>7</v>
      </c>
      <c r="D4987" s="25">
        <v>1.1416E-4</v>
      </c>
      <c r="E4987" s="25">
        <v>1.1602E-4</v>
      </c>
      <c r="F4987" s="25">
        <v>1.1010000000000001E-4</v>
      </c>
      <c r="G4987" s="25">
        <v>1.6642E-4</v>
      </c>
      <c r="H4987" s="25">
        <v>1.8854000000000001E-4</v>
      </c>
      <c r="I4987" s="9">
        <v>1.0998E-4</v>
      </c>
      <c r="J4987" s="9">
        <v>1.2554999999999999E-4</v>
      </c>
      <c r="K4987" s="9">
        <v>0</v>
      </c>
      <c r="L4987" s="9">
        <v>1.7216000000000001E-4</v>
      </c>
      <c r="M4987" s="9">
        <v>1.6773999999999999E-4</v>
      </c>
      <c r="N4987" s="9">
        <v>1.6961999999999999E-4</v>
      </c>
      <c r="O4987" s="9">
        <v>1.8079000000000001E-4</v>
      </c>
      <c r="P4987" s="9">
        <v>1.6621E-4</v>
      </c>
      <c r="Q4987" s="9">
        <v>1.516E-4</v>
      </c>
      <c r="R4987" s="10">
        <v>2.0848074900501934E-4</v>
      </c>
      <c r="S4987" s="10">
        <v>9.1788813407493944E-5</v>
      </c>
      <c r="T4987" s="10">
        <v>1.7591346272585493E-4</v>
      </c>
      <c r="U4987" s="10">
        <v>7.7150000000000005E-5</v>
      </c>
      <c r="V4987" s="25"/>
      <c r="W4987" s="25"/>
      <c r="X4987" s="25"/>
      <c r="Y4987" s="25"/>
      <c r="Z4987" s="25"/>
      <c r="AA4987" s="25"/>
    </row>
    <row r="4988" spans="1:27" x14ac:dyDescent="0.35">
      <c r="A4988" s="5">
        <v>4984</v>
      </c>
      <c r="B4988" s="5">
        <v>208</v>
      </c>
      <c r="C4988" s="5">
        <v>7</v>
      </c>
      <c r="D4988" s="25">
        <v>1.1415000000000001E-4</v>
      </c>
      <c r="E4988" s="25">
        <v>1.1218E-4</v>
      </c>
      <c r="F4988" s="25">
        <v>1.1912E-4</v>
      </c>
      <c r="G4988" s="25">
        <v>1.5645000000000001E-4</v>
      </c>
      <c r="H4988" s="25">
        <v>1.9938000000000001E-4</v>
      </c>
      <c r="I4988" s="9">
        <v>1.0955000000000001E-4</v>
      </c>
      <c r="J4988" s="9">
        <v>1.2519000000000001E-4</v>
      </c>
      <c r="K4988" s="9">
        <v>0</v>
      </c>
      <c r="L4988" s="9">
        <v>1.7861999999999999E-4</v>
      </c>
      <c r="M4988" s="9">
        <v>1.6672E-4</v>
      </c>
      <c r="N4988" s="9">
        <v>1.6555000000000001E-4</v>
      </c>
      <c r="O4988" s="9">
        <v>1.9425000000000001E-4</v>
      </c>
      <c r="P4988" s="9">
        <v>1.5145999999999999E-4</v>
      </c>
      <c r="Q4988" s="9">
        <v>1.0904999999999999E-4</v>
      </c>
      <c r="R4988" s="10">
        <v>2.0729069735023366E-4</v>
      </c>
      <c r="S4988" s="10">
        <v>9.77557027207809E-5</v>
      </c>
      <c r="T4988" s="10">
        <v>1.5726497275424172E-4</v>
      </c>
      <c r="U4988" s="10">
        <v>7.7150000000000005E-5</v>
      </c>
      <c r="V4988" s="25"/>
      <c r="W4988" s="25"/>
      <c r="X4988" s="25"/>
      <c r="Y4988" s="25"/>
      <c r="Z4988" s="25"/>
      <c r="AA4988" s="25"/>
    </row>
    <row r="4989" spans="1:27" x14ac:dyDescent="0.35">
      <c r="A4989" s="5">
        <v>4985</v>
      </c>
      <c r="B4989" s="5">
        <v>208</v>
      </c>
      <c r="C4989" s="5">
        <v>7</v>
      </c>
      <c r="D4989" s="25">
        <v>1.1416E-4</v>
      </c>
      <c r="E4989" s="25">
        <v>1.1462E-4</v>
      </c>
      <c r="F4989" s="25">
        <v>1.2394000000000001E-4</v>
      </c>
      <c r="G4989" s="25">
        <v>1.6448E-4</v>
      </c>
      <c r="H4989" s="25">
        <v>2.0227999999999999E-4</v>
      </c>
      <c r="I4989" s="9">
        <v>1.1072E-4</v>
      </c>
      <c r="J4989" s="9">
        <v>1.2498000000000001E-4</v>
      </c>
      <c r="K4989" s="9">
        <v>0</v>
      </c>
      <c r="L4989" s="9">
        <v>1.9058000000000001E-4</v>
      </c>
      <c r="M4989" s="9">
        <v>1.6108999999999999E-4</v>
      </c>
      <c r="N4989" s="9">
        <v>1.5171E-4</v>
      </c>
      <c r="O4989" s="9">
        <v>2.1122E-4</v>
      </c>
      <c r="P4989" s="9">
        <v>1.5877E-4</v>
      </c>
      <c r="Q4989" s="9">
        <v>1.0679E-4</v>
      </c>
      <c r="R4989" s="10">
        <v>2.0824079514277568E-4</v>
      </c>
      <c r="S4989" s="10">
        <v>9.9746733404500843E-5</v>
      </c>
      <c r="T4989" s="10">
        <v>1.014128301322535E-4</v>
      </c>
      <c r="U4989" s="10">
        <v>7.7150000000000005E-5</v>
      </c>
      <c r="V4989" s="25"/>
      <c r="W4989" s="25"/>
      <c r="X4989" s="25"/>
      <c r="Y4989" s="25"/>
      <c r="Z4989" s="25"/>
      <c r="AA4989" s="25"/>
    </row>
    <row r="4990" spans="1:27" x14ac:dyDescent="0.35">
      <c r="A4990" s="5">
        <v>4986</v>
      </c>
      <c r="B4990" s="5">
        <v>208</v>
      </c>
      <c r="C4990" s="5">
        <v>7</v>
      </c>
      <c r="D4990" s="25">
        <v>1.1415000000000001E-4</v>
      </c>
      <c r="E4990" s="25">
        <v>1.1304E-4</v>
      </c>
      <c r="F4990" s="25">
        <v>1.1476000000000001E-4</v>
      </c>
      <c r="G4990" s="25">
        <v>1.5779999999999999E-4</v>
      </c>
      <c r="H4990" s="25">
        <v>1.9976999999999999E-4</v>
      </c>
      <c r="I4990" s="9">
        <v>1.0927E-4</v>
      </c>
      <c r="J4990" s="9">
        <v>1.2057000000000001E-4</v>
      </c>
      <c r="K4990" s="9">
        <v>0</v>
      </c>
      <c r="L4990" s="9">
        <v>2.0642999999999999E-4</v>
      </c>
      <c r="M4990" s="9">
        <v>1.5871E-4</v>
      </c>
      <c r="N4990" s="9">
        <v>1.3838000000000001E-4</v>
      </c>
      <c r="O4990" s="9">
        <v>2.0283000000000001E-4</v>
      </c>
      <c r="P4990" s="9">
        <v>1.5990000000000001E-4</v>
      </c>
      <c r="Q4990" s="9">
        <v>1.1731E-4</v>
      </c>
      <c r="R4990" s="10">
        <v>2.0794432313192256E-4</v>
      </c>
      <c r="S4990" s="10">
        <v>1.0167128756011362E-4</v>
      </c>
      <c r="T4990" s="10">
        <v>6.5032154518842393E-5</v>
      </c>
      <c r="U4990" s="10">
        <v>7.7150000000000005E-5</v>
      </c>
      <c r="V4990" s="25"/>
      <c r="W4990" s="25"/>
      <c r="X4990" s="25"/>
      <c r="Y4990" s="25"/>
      <c r="Z4990" s="25"/>
      <c r="AA4990" s="25"/>
    </row>
    <row r="4991" spans="1:27" x14ac:dyDescent="0.35">
      <c r="A4991" s="5">
        <v>4987</v>
      </c>
      <c r="B4991" s="5">
        <v>208</v>
      </c>
      <c r="C4991" s="5">
        <v>7</v>
      </c>
      <c r="D4991" s="25">
        <v>1.1416E-4</v>
      </c>
      <c r="E4991" s="25">
        <v>1.1331E-4</v>
      </c>
      <c r="F4991" s="25">
        <v>1.1224E-4</v>
      </c>
      <c r="G4991" s="25">
        <v>1.1545E-4</v>
      </c>
      <c r="H4991" s="25">
        <v>1.2799E-4</v>
      </c>
      <c r="I4991" s="9">
        <v>1.0553E-4</v>
      </c>
      <c r="J4991" s="9">
        <v>1.1734E-4</v>
      </c>
      <c r="K4991" s="9">
        <v>0</v>
      </c>
      <c r="L4991" s="9">
        <v>2.0322E-4</v>
      </c>
      <c r="M4991" s="9">
        <v>1.5867999999999999E-4</v>
      </c>
      <c r="N4991" s="9">
        <v>1.2935E-4</v>
      </c>
      <c r="O4991" s="9">
        <v>1.6351000000000001E-4</v>
      </c>
      <c r="P4991" s="9">
        <v>1.3533999999999999E-4</v>
      </c>
      <c r="Q4991" s="9">
        <v>1.0742E-4</v>
      </c>
      <c r="R4991" s="10">
        <v>2.1159619278604268E-4</v>
      </c>
      <c r="S4991" s="10">
        <v>1.0360630973236287E-4</v>
      </c>
      <c r="T4991" s="10">
        <v>4.108946175274021E-5</v>
      </c>
      <c r="U4991" s="10">
        <v>7.7150000000000005E-5</v>
      </c>
      <c r="V4991" s="25"/>
      <c r="W4991" s="25"/>
      <c r="X4991" s="25"/>
      <c r="Y4991" s="25"/>
      <c r="Z4991" s="25"/>
      <c r="AA4991" s="25"/>
    </row>
    <row r="4992" spans="1:27" x14ac:dyDescent="0.35">
      <c r="A4992" s="5">
        <v>4988</v>
      </c>
      <c r="B4992" s="5">
        <v>208</v>
      </c>
      <c r="C4992" s="5">
        <v>7</v>
      </c>
      <c r="D4992" s="25">
        <v>1.1415000000000001E-4</v>
      </c>
      <c r="E4992" s="25">
        <v>1.1875E-4</v>
      </c>
      <c r="F4992" s="25">
        <v>1.0428E-4</v>
      </c>
      <c r="G4992" s="25">
        <v>1.0503E-4</v>
      </c>
      <c r="H4992" s="25">
        <v>1.3070000000000001E-4</v>
      </c>
      <c r="I4992" s="9">
        <v>1.0267E-4</v>
      </c>
      <c r="J4992" s="9">
        <v>1.1477E-4</v>
      </c>
      <c r="K4992" s="9">
        <v>0</v>
      </c>
      <c r="L4992" s="9">
        <v>1.7241000000000001E-4</v>
      </c>
      <c r="M4992" s="9">
        <v>1.5043000000000001E-4</v>
      </c>
      <c r="N4992" s="9">
        <v>1.205E-4</v>
      </c>
      <c r="O4992" s="9">
        <v>1.2877E-4</v>
      </c>
      <c r="P4992" s="9">
        <v>1.156E-4</v>
      </c>
      <c r="Q4992" s="9">
        <v>1.0254E-4</v>
      </c>
      <c r="R4992" s="10">
        <v>2.1220578100380504E-4</v>
      </c>
      <c r="S4992" s="10">
        <v>1.0176724555265116E-4</v>
      </c>
      <c r="T4992" s="10">
        <v>0</v>
      </c>
      <c r="U4992" s="10">
        <v>7.7150000000000005E-5</v>
      </c>
      <c r="V4992" s="25"/>
      <c r="W4992" s="25"/>
      <c r="X4992" s="25"/>
      <c r="Y4992" s="25"/>
      <c r="Z4992" s="25"/>
      <c r="AA4992" s="25"/>
    </row>
    <row r="4993" spans="1:27" x14ac:dyDescent="0.35">
      <c r="A4993" s="5">
        <v>4989</v>
      </c>
      <c r="B4993" s="5">
        <v>208</v>
      </c>
      <c r="C4993" s="5">
        <v>7</v>
      </c>
      <c r="D4993" s="25">
        <v>1.1416E-4</v>
      </c>
      <c r="E4993" s="25">
        <v>1.1471E-4</v>
      </c>
      <c r="F4993" s="25">
        <v>1.0629E-4</v>
      </c>
      <c r="G4993" s="25">
        <v>6.1870000000000002E-5</v>
      </c>
      <c r="H4993" s="25">
        <v>7.4270000000000006E-5</v>
      </c>
      <c r="I4993" s="9">
        <v>1.0225000000000001E-4</v>
      </c>
      <c r="J4993" s="9">
        <v>1.1306000000000001E-4</v>
      </c>
      <c r="K4993" s="9">
        <v>0</v>
      </c>
      <c r="L4993" s="9">
        <v>1.3934E-4</v>
      </c>
      <c r="M4993" s="9">
        <v>1.3557E-4</v>
      </c>
      <c r="N4993" s="9">
        <v>1.1312E-4</v>
      </c>
      <c r="O4993" s="9">
        <v>8.4980000000000003E-5</v>
      </c>
      <c r="P4993" s="9">
        <v>8.6970000000000002E-5</v>
      </c>
      <c r="Q4993" s="9">
        <v>8.8980000000000005E-5</v>
      </c>
      <c r="R4993" s="10">
        <v>2.1219333229326265E-4</v>
      </c>
      <c r="S4993" s="10">
        <v>1.0048367021810296E-4</v>
      </c>
      <c r="T4993" s="10">
        <v>0</v>
      </c>
      <c r="U4993" s="10">
        <v>7.7150000000000005E-5</v>
      </c>
      <c r="V4993" s="25"/>
      <c r="W4993" s="25"/>
      <c r="X4993" s="25"/>
      <c r="Y4993" s="25"/>
      <c r="Z4993" s="25"/>
      <c r="AA4993" s="25"/>
    </row>
    <row r="4994" spans="1:27" x14ac:dyDescent="0.35">
      <c r="A4994" s="5">
        <v>4990</v>
      </c>
      <c r="B4994" s="5">
        <v>208</v>
      </c>
      <c r="C4994" s="5">
        <v>7</v>
      </c>
      <c r="D4994" s="25">
        <v>1.1415000000000001E-4</v>
      </c>
      <c r="E4994" s="25">
        <v>1.2031000000000001E-4</v>
      </c>
      <c r="F4994" s="25">
        <v>1.2299000000000001E-4</v>
      </c>
      <c r="G4994" s="25">
        <v>5.9150000000000001E-5</v>
      </c>
      <c r="H4994" s="25">
        <v>7.6249999999999997E-5</v>
      </c>
      <c r="I4994" s="9">
        <v>1.0454999999999999E-4</v>
      </c>
      <c r="J4994" s="9">
        <v>1.1272E-4</v>
      </c>
      <c r="K4994" s="9">
        <v>0</v>
      </c>
      <c r="L4994" s="9">
        <v>9.7830000000000004E-5</v>
      </c>
      <c r="M4994" s="9">
        <v>1.1424E-4</v>
      </c>
      <c r="N4994" s="9">
        <v>1.0579E-4</v>
      </c>
      <c r="O4994" s="9">
        <v>8.6479999999999999E-5</v>
      </c>
      <c r="P4994" s="9">
        <v>8.7089999999999995E-5</v>
      </c>
      <c r="Q4994" s="9">
        <v>8.7739999999999997E-5</v>
      </c>
      <c r="R4994" s="10">
        <v>2.1182062317904563E-4</v>
      </c>
      <c r="S4994" s="10">
        <v>1.025281731747343E-4</v>
      </c>
      <c r="T4994" s="10">
        <v>0</v>
      </c>
      <c r="U4994" s="10">
        <v>7.7150000000000005E-5</v>
      </c>
      <c r="V4994" s="25"/>
      <c r="W4994" s="25"/>
      <c r="X4994" s="25"/>
      <c r="Y4994" s="25"/>
      <c r="Z4994" s="25"/>
      <c r="AA4994" s="25"/>
    </row>
    <row r="4995" spans="1:27" x14ac:dyDescent="0.35">
      <c r="A4995" s="5">
        <v>4991</v>
      </c>
      <c r="B4995" s="5">
        <v>208</v>
      </c>
      <c r="C4995" s="5">
        <v>7</v>
      </c>
      <c r="D4995" s="25">
        <v>1.1416E-4</v>
      </c>
      <c r="E4995" s="25">
        <v>1.2034E-4</v>
      </c>
      <c r="F4995" s="25">
        <v>1.2203E-4</v>
      </c>
      <c r="G4995" s="25">
        <v>5.9530000000000001E-5</v>
      </c>
      <c r="H4995" s="25">
        <v>7.4270000000000006E-5</v>
      </c>
      <c r="I4995" s="9">
        <v>9.9090000000000002E-5</v>
      </c>
      <c r="J4995" s="9">
        <v>1.0793000000000001E-4</v>
      </c>
      <c r="K4995" s="9">
        <v>0</v>
      </c>
      <c r="L4995" s="9">
        <v>8.9909999999999998E-5</v>
      </c>
      <c r="M4995" s="9">
        <v>9.9229999999999997E-5</v>
      </c>
      <c r="N4995" s="9">
        <v>9.993E-5</v>
      </c>
      <c r="O4995" s="9">
        <v>7.8139999999999994E-5</v>
      </c>
      <c r="P4995" s="9">
        <v>7.2689999999999997E-5</v>
      </c>
      <c r="Q4995" s="9">
        <v>6.7399999999999998E-5</v>
      </c>
      <c r="R4995" s="10">
        <v>2.1172054087144357E-4</v>
      </c>
      <c r="S4995" s="10">
        <v>1.0917136227673456E-4</v>
      </c>
      <c r="T4995" s="10">
        <v>0</v>
      </c>
      <c r="U4995" s="10">
        <v>7.7150000000000005E-5</v>
      </c>
      <c r="V4995" s="25"/>
      <c r="W4995" s="25"/>
      <c r="X4995" s="25"/>
      <c r="Y4995" s="25"/>
      <c r="Z4995" s="25"/>
      <c r="AA4995" s="25"/>
    </row>
    <row r="4996" spans="1:27" x14ac:dyDescent="0.35">
      <c r="A4996" s="5">
        <v>4992</v>
      </c>
      <c r="B4996" s="5">
        <v>208</v>
      </c>
      <c r="C4996" s="5">
        <v>7</v>
      </c>
      <c r="D4996" s="25">
        <v>1.1415000000000001E-4</v>
      </c>
      <c r="E4996" s="25">
        <v>1.1296E-4</v>
      </c>
      <c r="F4996" s="25">
        <v>1.0351E-4</v>
      </c>
      <c r="G4996" s="25">
        <v>5.7460000000000002E-5</v>
      </c>
      <c r="H4996" s="25">
        <v>6.4109999999999994E-5</v>
      </c>
      <c r="I4996" s="9">
        <v>9.3490000000000001E-5</v>
      </c>
      <c r="J4996" s="9">
        <v>1.0055E-4</v>
      </c>
      <c r="K4996" s="9">
        <v>0</v>
      </c>
      <c r="L4996" s="9">
        <v>8.0749999999999998E-5</v>
      </c>
      <c r="M4996" s="9">
        <v>8.6340000000000003E-5</v>
      </c>
      <c r="N4996" s="9">
        <v>9.0790000000000003E-5</v>
      </c>
      <c r="O4996" s="9">
        <v>6.2890000000000003E-5</v>
      </c>
      <c r="P4996" s="9">
        <v>6.0919999999999999E-5</v>
      </c>
      <c r="Q4996" s="9">
        <v>5.9089999999999998E-5</v>
      </c>
      <c r="R4996" s="10">
        <v>2.1213043083746956E-4</v>
      </c>
      <c r="S4996" s="10">
        <v>1.2401684073465785E-4</v>
      </c>
      <c r="T4996" s="10">
        <v>0</v>
      </c>
      <c r="U4996" s="10">
        <v>7.7150000000000005E-5</v>
      </c>
      <c r="V4996" s="25"/>
      <c r="W4996" s="25"/>
      <c r="X4996" s="25"/>
      <c r="Y4996" s="25"/>
      <c r="Z4996" s="25"/>
      <c r="AA4996" s="25"/>
    </row>
    <row r="4997" spans="1:27" x14ac:dyDescent="0.35">
      <c r="A4997" s="5">
        <v>4993</v>
      </c>
      <c r="B4997" s="5">
        <v>209</v>
      </c>
      <c r="C4997" s="5">
        <v>7</v>
      </c>
      <c r="D4997" s="25">
        <v>1.1416E-4</v>
      </c>
      <c r="E4997" s="25">
        <v>1.1422E-4</v>
      </c>
      <c r="F4997" s="25">
        <v>1.0298000000000001E-4</v>
      </c>
      <c r="G4997" s="25">
        <v>5.7939999999999998E-5</v>
      </c>
      <c r="H4997" s="25">
        <v>4.5580000000000001E-5</v>
      </c>
      <c r="I4997" s="9">
        <v>8.9800000000000001E-5</v>
      </c>
      <c r="J4997" s="9">
        <v>9.5390000000000007E-5</v>
      </c>
      <c r="K4997" s="9">
        <v>0</v>
      </c>
      <c r="L4997" s="9">
        <v>6.6799999999999997E-5</v>
      </c>
      <c r="M4997" s="9">
        <v>7.4239999999999994E-5</v>
      </c>
      <c r="N4997" s="9">
        <v>8.14E-5</v>
      </c>
      <c r="O4997" s="9">
        <v>6.8139999999999995E-5</v>
      </c>
      <c r="P4997" s="9">
        <v>6.067E-5</v>
      </c>
      <c r="Q4997" s="9">
        <v>5.3499999999999999E-5</v>
      </c>
      <c r="R4997" s="10">
        <v>2.1234708766019011E-4</v>
      </c>
      <c r="S4997" s="10">
        <v>1.2496273966893187E-4</v>
      </c>
      <c r="T4997" s="10">
        <v>0</v>
      </c>
      <c r="U4997" s="10">
        <v>7.7239999999999999E-5</v>
      </c>
      <c r="V4997" s="25"/>
      <c r="W4997" s="25"/>
      <c r="X4997" s="25"/>
      <c r="Y4997" s="25"/>
      <c r="Z4997" s="25"/>
      <c r="AA4997" s="25"/>
    </row>
    <row r="4998" spans="1:27" x14ac:dyDescent="0.35">
      <c r="A4998" s="5">
        <v>4994</v>
      </c>
      <c r="B4998" s="5">
        <v>209</v>
      </c>
      <c r="C4998" s="5">
        <v>7</v>
      </c>
      <c r="D4998" s="25">
        <v>1.1415000000000001E-4</v>
      </c>
      <c r="E4998" s="25">
        <v>1.1953E-4</v>
      </c>
      <c r="F4998" s="25">
        <v>1.0700999999999999E-4</v>
      </c>
      <c r="G4998" s="25">
        <v>5.6199999999999997E-5</v>
      </c>
      <c r="H4998" s="25">
        <v>4.4669999999999998E-5</v>
      </c>
      <c r="I4998" s="9">
        <v>8.7100000000000003E-5</v>
      </c>
      <c r="J4998" s="9">
        <v>9.323E-5</v>
      </c>
      <c r="K4998" s="9">
        <v>0</v>
      </c>
      <c r="L4998" s="9">
        <v>6.8219999999999994E-5</v>
      </c>
      <c r="M4998" s="9">
        <v>6.6489999999999995E-5</v>
      </c>
      <c r="N4998" s="9">
        <v>7.2249999999999994E-5</v>
      </c>
      <c r="O4998" s="9">
        <v>3.5420000000000003E-5</v>
      </c>
      <c r="P4998" s="9">
        <v>4.5569999999999999E-5</v>
      </c>
      <c r="Q4998" s="9">
        <v>5.5850000000000002E-5</v>
      </c>
      <c r="R4998" s="10">
        <v>2.121655247730536E-4</v>
      </c>
      <c r="S4998" s="10">
        <v>1.2242412342480043E-4</v>
      </c>
      <c r="T4998" s="10">
        <v>0</v>
      </c>
      <c r="U4998" s="10">
        <v>7.7239999999999999E-5</v>
      </c>
      <c r="V4998" s="25"/>
      <c r="W4998" s="25"/>
      <c r="X4998" s="25"/>
      <c r="Y4998" s="25"/>
      <c r="Z4998" s="25"/>
      <c r="AA4998" s="25"/>
    </row>
    <row r="4999" spans="1:27" x14ac:dyDescent="0.35">
      <c r="A4999" s="5">
        <v>4995</v>
      </c>
      <c r="B4999" s="5">
        <v>209</v>
      </c>
      <c r="C4999" s="5">
        <v>7</v>
      </c>
      <c r="D4999" s="25">
        <v>1.1416E-4</v>
      </c>
      <c r="E4999" s="25">
        <v>1.1378E-4</v>
      </c>
      <c r="F4999" s="25">
        <v>1.1852E-4</v>
      </c>
      <c r="G4999" s="25">
        <v>6.0130000000000002E-5</v>
      </c>
      <c r="H4999" s="25">
        <v>4.6499999999999999E-5</v>
      </c>
      <c r="I4999" s="9">
        <v>8.5909999999999996E-5</v>
      </c>
      <c r="J4999" s="9">
        <v>9.1979999999999997E-5</v>
      </c>
      <c r="K4999" s="9">
        <v>0</v>
      </c>
      <c r="L4999" s="9">
        <v>4.2549999999999997E-5</v>
      </c>
      <c r="M4999" s="9">
        <v>5.7299999999999997E-5</v>
      </c>
      <c r="N4999" s="9">
        <v>6.5549999999999994E-5</v>
      </c>
      <c r="O4999" s="9">
        <v>2.2819999999999998E-5</v>
      </c>
      <c r="P4999" s="9">
        <v>4.2419999999999997E-5</v>
      </c>
      <c r="Q4999" s="9">
        <v>6.2050000000000004E-5</v>
      </c>
      <c r="R4999" s="10">
        <v>2.1097811763112902E-4</v>
      </c>
      <c r="S4999" s="10">
        <v>1.1669778221478399E-4</v>
      </c>
      <c r="T4999" s="10">
        <v>0</v>
      </c>
      <c r="U4999" s="10">
        <v>7.7239999999999999E-5</v>
      </c>
      <c r="V4999" s="25"/>
      <c r="W4999" s="25"/>
      <c r="X4999" s="25"/>
      <c r="Y4999" s="25"/>
      <c r="Z4999" s="25"/>
      <c r="AA4999" s="25"/>
    </row>
    <row r="5000" spans="1:27" x14ac:dyDescent="0.35">
      <c r="A5000" s="5">
        <v>4996</v>
      </c>
      <c r="B5000" s="5">
        <v>209</v>
      </c>
      <c r="C5000" s="5">
        <v>7</v>
      </c>
      <c r="D5000" s="25">
        <v>1.1415000000000001E-4</v>
      </c>
      <c r="E5000" s="25">
        <v>1.2286999999999999E-4</v>
      </c>
      <c r="F5000" s="25">
        <v>1.2224999999999999E-4</v>
      </c>
      <c r="G5000" s="25">
        <v>5.38E-5</v>
      </c>
      <c r="H5000" s="25">
        <v>4.5399999999999999E-5</v>
      </c>
      <c r="I5000" s="9">
        <v>8.6910000000000006E-5</v>
      </c>
      <c r="J5000" s="9">
        <v>9.2E-5</v>
      </c>
      <c r="K5000" s="9">
        <v>0</v>
      </c>
      <c r="L5000" s="9">
        <v>2.777E-5</v>
      </c>
      <c r="M5000" s="9">
        <v>4.9759999999999998E-5</v>
      </c>
      <c r="N5000" s="9">
        <v>6.2050000000000004E-5</v>
      </c>
      <c r="O5000" s="9">
        <v>2.192E-5</v>
      </c>
      <c r="P5000" s="9">
        <v>5.0850000000000003E-5</v>
      </c>
      <c r="Q5000" s="9">
        <v>7.9660000000000006E-5</v>
      </c>
      <c r="R5000" s="10">
        <v>2.0827955962230351E-4</v>
      </c>
      <c r="S5000" s="10">
        <v>1.0809181267577069E-4</v>
      </c>
      <c r="T5000" s="10">
        <v>0</v>
      </c>
      <c r="U5000" s="10">
        <v>7.7239999999999999E-5</v>
      </c>
      <c r="V5000" s="25"/>
      <c r="W5000" s="25"/>
      <c r="X5000" s="25"/>
      <c r="Y5000" s="25"/>
      <c r="Z5000" s="25"/>
      <c r="AA5000" s="25"/>
    </row>
    <row r="5001" spans="1:27" x14ac:dyDescent="0.35">
      <c r="A5001" s="5">
        <v>4997</v>
      </c>
      <c r="B5001" s="5">
        <v>209</v>
      </c>
      <c r="C5001" s="5">
        <v>7</v>
      </c>
      <c r="D5001" s="25">
        <v>1.1416E-4</v>
      </c>
      <c r="E5001" s="25">
        <v>1.1982E-4</v>
      </c>
      <c r="F5001" s="25">
        <v>1.1958E-4</v>
      </c>
      <c r="G5001" s="25">
        <v>5.8749999999999998E-5</v>
      </c>
      <c r="H5001" s="25">
        <v>4.5189999999999999E-5</v>
      </c>
      <c r="I5001" s="9">
        <v>8.8729999999999999E-5</v>
      </c>
      <c r="J5001" s="9">
        <v>9.3579999999999995E-5</v>
      </c>
      <c r="K5001" s="9">
        <v>0</v>
      </c>
      <c r="L5001" s="9">
        <v>2.3649999999999999E-5</v>
      </c>
      <c r="M5001" s="9">
        <v>4.8369999999999999E-5</v>
      </c>
      <c r="N5001" s="9">
        <v>6.4380000000000004E-5</v>
      </c>
      <c r="O5001" s="9">
        <v>2.4150000000000001E-5</v>
      </c>
      <c r="P5001" s="9">
        <v>5.9330000000000003E-5</v>
      </c>
      <c r="Q5001" s="9">
        <v>9.4279999999999999E-5</v>
      </c>
      <c r="R5001" s="10">
        <v>2.046418136100082E-4</v>
      </c>
      <c r="S5001" s="10">
        <v>1.0171552970866259E-4</v>
      </c>
      <c r="T5001" s="10">
        <v>0</v>
      </c>
      <c r="U5001" s="10">
        <v>7.7239999999999999E-5</v>
      </c>
      <c r="V5001" s="25"/>
      <c r="W5001" s="25"/>
      <c r="X5001" s="25"/>
      <c r="Y5001" s="25"/>
      <c r="Z5001" s="25"/>
      <c r="AA5001" s="25"/>
    </row>
    <row r="5002" spans="1:27" x14ac:dyDescent="0.35">
      <c r="A5002" s="5">
        <v>4998</v>
      </c>
      <c r="B5002" s="5">
        <v>209</v>
      </c>
      <c r="C5002" s="5">
        <v>7</v>
      </c>
      <c r="D5002" s="25">
        <v>1.1415000000000001E-4</v>
      </c>
      <c r="E5002" s="25">
        <v>1.2004E-4</v>
      </c>
      <c r="F5002" s="25">
        <v>1.2238E-4</v>
      </c>
      <c r="G5002" s="25">
        <v>1.0631E-4</v>
      </c>
      <c r="H5002" s="25">
        <v>8.3189999999999995E-5</v>
      </c>
      <c r="I5002" s="9">
        <v>9.2369999999999998E-5</v>
      </c>
      <c r="J5002" s="9">
        <v>9.8499999999999995E-5</v>
      </c>
      <c r="K5002" s="9">
        <v>0</v>
      </c>
      <c r="L5002" s="9">
        <v>2.3969999999999999E-5</v>
      </c>
      <c r="M5002" s="9">
        <v>5.2269999999999999E-5</v>
      </c>
      <c r="N5002" s="9">
        <v>7.1060000000000001E-5</v>
      </c>
      <c r="O5002" s="9">
        <v>3.0090000000000002E-5</v>
      </c>
      <c r="P5002" s="9">
        <v>6.8490000000000003E-5</v>
      </c>
      <c r="Q5002" s="9">
        <v>1.0658999999999999E-4</v>
      </c>
      <c r="R5002" s="10">
        <v>1.9976944520633087E-4</v>
      </c>
      <c r="S5002" s="10">
        <v>9.6639719742531722E-5</v>
      </c>
      <c r="T5002" s="10">
        <v>4.7172704386792394E-6</v>
      </c>
      <c r="U5002" s="10">
        <v>7.7239999999999999E-5</v>
      </c>
      <c r="V5002" s="25"/>
      <c r="W5002" s="25"/>
      <c r="X5002" s="25"/>
      <c r="Y5002" s="25"/>
      <c r="Z5002" s="25"/>
      <c r="AA5002" s="25"/>
    </row>
    <row r="5003" spans="1:27" x14ac:dyDescent="0.35">
      <c r="A5003" s="5">
        <v>4999</v>
      </c>
      <c r="B5003" s="5">
        <v>209</v>
      </c>
      <c r="C5003" s="5">
        <v>7</v>
      </c>
      <c r="D5003" s="25">
        <v>1.1416E-4</v>
      </c>
      <c r="E5003" s="25">
        <v>1.1985999999999999E-4</v>
      </c>
      <c r="F5003" s="25">
        <v>1.2496E-4</v>
      </c>
      <c r="G5003" s="25">
        <v>1.0946E-4</v>
      </c>
      <c r="H5003" s="25">
        <v>8.3339999999999998E-5</v>
      </c>
      <c r="I5003" s="9">
        <v>9.9170000000000001E-5</v>
      </c>
      <c r="J5003" s="9">
        <v>1.0912E-4</v>
      </c>
      <c r="K5003" s="9">
        <v>0</v>
      </c>
      <c r="L5003" s="9">
        <v>2.8649999999999998E-5</v>
      </c>
      <c r="M5003" s="9">
        <v>5.9259999999999998E-5</v>
      </c>
      <c r="N5003" s="9">
        <v>8.0669999999999998E-5</v>
      </c>
      <c r="O5003" s="9">
        <v>4.6480000000000002E-5</v>
      </c>
      <c r="P5003" s="9">
        <v>7.9560000000000004E-5</v>
      </c>
      <c r="Q5003" s="9">
        <v>1.1238E-4</v>
      </c>
      <c r="R5003" s="10">
        <v>1.9860321460067349E-4</v>
      </c>
      <c r="S5003" s="10">
        <v>9.1368488756567929E-5</v>
      </c>
      <c r="T5003" s="10">
        <v>7.8522190485568987E-5</v>
      </c>
      <c r="U5003" s="10">
        <v>7.7239999999999999E-5</v>
      </c>
      <c r="V5003" s="25"/>
      <c r="W5003" s="25"/>
      <c r="X5003" s="25"/>
      <c r="Y5003" s="25"/>
      <c r="Z5003" s="25"/>
      <c r="AA5003" s="25"/>
    </row>
    <row r="5004" spans="1:27" x14ac:dyDescent="0.35">
      <c r="A5004" s="5">
        <v>5000</v>
      </c>
      <c r="B5004" s="5">
        <v>209</v>
      </c>
      <c r="C5004" s="5">
        <v>7</v>
      </c>
      <c r="D5004" s="25">
        <v>1.1415000000000001E-4</v>
      </c>
      <c r="E5004" s="25">
        <v>1.1153E-4</v>
      </c>
      <c r="F5004" s="25">
        <v>1.0409E-4</v>
      </c>
      <c r="G5004" s="25">
        <v>1.6548999999999999E-4</v>
      </c>
      <c r="H5004" s="25">
        <v>1.1676E-4</v>
      </c>
      <c r="I5004" s="9">
        <v>1.054E-4</v>
      </c>
      <c r="J5004" s="9">
        <v>1.1878E-4</v>
      </c>
      <c r="K5004" s="9">
        <v>0</v>
      </c>
      <c r="L5004" s="9">
        <v>4.2410000000000002E-5</v>
      </c>
      <c r="M5004" s="9">
        <v>6.8310000000000002E-5</v>
      </c>
      <c r="N5004" s="9">
        <v>9.0760000000000005E-5</v>
      </c>
      <c r="O5004" s="9">
        <v>6.7760000000000002E-5</v>
      </c>
      <c r="P5004" s="9">
        <v>1.0189E-4</v>
      </c>
      <c r="Q5004" s="9">
        <v>1.3567000000000001E-4</v>
      </c>
      <c r="R5004" s="10">
        <v>1.9427638131395535E-4</v>
      </c>
      <c r="S5004" s="10">
        <v>8.2818372269902478E-5</v>
      </c>
      <c r="T5004" s="10">
        <v>1.0071711758554181E-4</v>
      </c>
      <c r="U5004" s="10">
        <v>7.7239999999999999E-5</v>
      </c>
      <c r="V5004" s="25"/>
      <c r="W5004" s="25"/>
      <c r="X5004" s="25"/>
      <c r="Y5004" s="25"/>
      <c r="Z5004" s="25"/>
      <c r="AA5004" s="25"/>
    </row>
    <row r="5005" spans="1:27" x14ac:dyDescent="0.35">
      <c r="A5005" s="5">
        <v>5001</v>
      </c>
      <c r="B5005" s="5">
        <v>209</v>
      </c>
      <c r="C5005" s="5">
        <v>7</v>
      </c>
      <c r="D5005" s="25">
        <v>1.1416E-4</v>
      </c>
      <c r="E5005" s="25">
        <v>1.1399E-4</v>
      </c>
      <c r="F5005" s="25">
        <v>1.091E-4</v>
      </c>
      <c r="G5005" s="25">
        <v>1.5986E-4</v>
      </c>
      <c r="H5005" s="25">
        <v>1.1917E-4</v>
      </c>
      <c r="I5005" s="9">
        <v>1.0919E-4</v>
      </c>
      <c r="J5005" s="9">
        <v>1.2301E-4</v>
      </c>
      <c r="K5005" s="9">
        <v>0</v>
      </c>
      <c r="L5005" s="9">
        <v>6.1810000000000006E-5</v>
      </c>
      <c r="M5005" s="9">
        <v>8.2639999999999995E-5</v>
      </c>
      <c r="N5005" s="9">
        <v>1.0428E-4</v>
      </c>
      <c r="O5005" s="9">
        <v>9.9179999999999996E-5</v>
      </c>
      <c r="P5005" s="9">
        <v>1.3802000000000001E-4</v>
      </c>
      <c r="Q5005" s="9">
        <v>1.7635E-4</v>
      </c>
      <c r="R5005" s="10">
        <v>1.9257639895245841E-4</v>
      </c>
      <c r="S5005" s="10">
        <v>7.6614820506982719E-5</v>
      </c>
      <c r="T5005" s="10">
        <v>2.4371149883284379E-4</v>
      </c>
      <c r="U5005" s="10">
        <v>7.7239999999999999E-5</v>
      </c>
      <c r="V5005" s="25"/>
      <c r="W5005" s="25"/>
      <c r="X5005" s="25"/>
      <c r="Y5005" s="25"/>
      <c r="Z5005" s="25"/>
      <c r="AA5005" s="25"/>
    </row>
    <row r="5006" spans="1:27" x14ac:dyDescent="0.35">
      <c r="A5006" s="5">
        <v>5002</v>
      </c>
      <c r="B5006" s="5">
        <v>209</v>
      </c>
      <c r="C5006" s="5">
        <v>7</v>
      </c>
      <c r="D5006" s="25">
        <v>1.1415000000000001E-4</v>
      </c>
      <c r="E5006" s="25">
        <v>1.1912E-4</v>
      </c>
      <c r="F5006" s="25">
        <v>1.0462E-4</v>
      </c>
      <c r="G5006" s="25">
        <v>1.5915999999999999E-4</v>
      </c>
      <c r="H5006" s="25">
        <v>1.2077E-4</v>
      </c>
      <c r="I5006" s="9">
        <v>1.1032E-4</v>
      </c>
      <c r="J5006" s="9">
        <v>1.2438E-4</v>
      </c>
      <c r="K5006" s="9">
        <v>0</v>
      </c>
      <c r="L5006" s="9">
        <v>9.0450000000000003E-5</v>
      </c>
      <c r="M5006" s="9">
        <v>1.0620000000000001E-4</v>
      </c>
      <c r="N5006" s="9">
        <v>1.2421000000000001E-4</v>
      </c>
      <c r="O5006" s="9">
        <v>1.2899999999999999E-4</v>
      </c>
      <c r="P5006" s="9">
        <v>1.5657E-4</v>
      </c>
      <c r="Q5006" s="9">
        <v>1.8370999999999999E-4</v>
      </c>
      <c r="R5006" s="10">
        <v>1.8912385496323988E-4</v>
      </c>
      <c r="S5006" s="10">
        <v>7.3608616456869374E-5</v>
      </c>
      <c r="T5006" s="10">
        <v>2.2129597994976726E-4</v>
      </c>
      <c r="U5006" s="10">
        <v>7.7239999999999999E-5</v>
      </c>
      <c r="V5006" s="25"/>
      <c r="W5006" s="25"/>
      <c r="X5006" s="25"/>
      <c r="Y5006" s="25"/>
      <c r="Z5006" s="25"/>
      <c r="AA5006" s="25"/>
    </row>
    <row r="5007" spans="1:27" x14ac:dyDescent="0.35">
      <c r="A5007" s="5">
        <v>5003</v>
      </c>
      <c r="B5007" s="5">
        <v>209</v>
      </c>
      <c r="C5007" s="5">
        <v>7</v>
      </c>
      <c r="D5007" s="25">
        <v>1.1416E-4</v>
      </c>
      <c r="E5007" s="25">
        <v>1.1263E-4</v>
      </c>
      <c r="F5007" s="25">
        <v>1.0949E-4</v>
      </c>
      <c r="G5007" s="25">
        <v>1.5971E-4</v>
      </c>
      <c r="H5007" s="25">
        <v>1.2066E-4</v>
      </c>
      <c r="I5007" s="9">
        <v>1.1119E-4</v>
      </c>
      <c r="J5007" s="9">
        <v>1.2551000000000001E-4</v>
      </c>
      <c r="K5007" s="9">
        <v>0</v>
      </c>
      <c r="L5007" s="9">
        <v>1.1982E-4</v>
      </c>
      <c r="M5007" s="9">
        <v>1.3029E-4</v>
      </c>
      <c r="N5007" s="9">
        <v>1.4266999999999999E-4</v>
      </c>
      <c r="O5007" s="9">
        <v>1.3463E-4</v>
      </c>
      <c r="P5007" s="9">
        <v>1.563E-4</v>
      </c>
      <c r="Q5007" s="9">
        <v>1.7761E-4</v>
      </c>
      <c r="R5007" s="10">
        <v>1.8629791361859761E-4</v>
      </c>
      <c r="S5007" s="10">
        <v>7.3319604844610643E-5</v>
      </c>
      <c r="T5007" s="10">
        <v>8.3290366720349099E-5</v>
      </c>
      <c r="U5007" s="10">
        <v>7.7239999999999999E-5</v>
      </c>
      <c r="V5007" s="25"/>
      <c r="W5007" s="25"/>
      <c r="X5007" s="25"/>
      <c r="Y5007" s="25"/>
      <c r="Z5007" s="25"/>
      <c r="AA5007" s="25"/>
    </row>
    <row r="5008" spans="1:27" x14ac:dyDescent="0.35">
      <c r="A5008" s="5">
        <v>5004</v>
      </c>
      <c r="B5008" s="5">
        <v>209</v>
      </c>
      <c r="C5008" s="5">
        <v>7</v>
      </c>
      <c r="D5008" s="25">
        <v>1.1415000000000001E-4</v>
      </c>
      <c r="E5008" s="25">
        <v>1.1903E-4</v>
      </c>
      <c r="F5008" s="25">
        <v>1.1152E-4</v>
      </c>
      <c r="G5008" s="25">
        <v>1.6140999999999999E-4</v>
      </c>
      <c r="H5008" s="25">
        <v>1.1627E-4</v>
      </c>
      <c r="I5008" s="9">
        <v>1.1156E-4</v>
      </c>
      <c r="J5008" s="9">
        <v>1.2549999999999999E-4</v>
      </c>
      <c r="K5008" s="9">
        <v>0</v>
      </c>
      <c r="L5008" s="9">
        <v>1.3067999999999999E-4</v>
      </c>
      <c r="M5008" s="9">
        <v>1.4538999999999999E-4</v>
      </c>
      <c r="N5008" s="9">
        <v>1.5637E-4</v>
      </c>
      <c r="O5008" s="9">
        <v>1.3596999999999999E-4</v>
      </c>
      <c r="P5008" s="9">
        <v>1.5430000000000001E-4</v>
      </c>
      <c r="Q5008" s="9">
        <v>1.7229999999999999E-4</v>
      </c>
      <c r="R5008" s="10">
        <v>1.9446612003756113E-4</v>
      </c>
      <c r="S5008" s="10">
        <v>9.5029472167222639E-5</v>
      </c>
      <c r="T5008" s="10">
        <v>4.5771946564083864E-4</v>
      </c>
      <c r="U5008" s="10">
        <v>7.7239999999999999E-5</v>
      </c>
      <c r="V5008" s="25"/>
      <c r="W5008" s="25"/>
      <c r="X5008" s="25"/>
      <c r="Y5008" s="25"/>
      <c r="Z5008" s="25"/>
      <c r="AA5008" s="25"/>
    </row>
    <row r="5009" spans="1:27" x14ac:dyDescent="0.35">
      <c r="A5009" s="5">
        <v>5005</v>
      </c>
      <c r="B5009" s="5">
        <v>209</v>
      </c>
      <c r="C5009" s="5">
        <v>7</v>
      </c>
      <c r="D5009" s="25">
        <v>1.1416E-4</v>
      </c>
      <c r="E5009" s="25">
        <v>1.1971E-4</v>
      </c>
      <c r="F5009" s="25">
        <v>1.1109E-4</v>
      </c>
      <c r="G5009" s="25">
        <v>1.6467000000000001E-4</v>
      </c>
      <c r="H5009" s="25">
        <v>1.1979E-4</v>
      </c>
      <c r="I5009" s="9">
        <v>1.1162000000000001E-4</v>
      </c>
      <c r="J5009" s="9">
        <v>1.2619000000000001E-4</v>
      </c>
      <c r="K5009" s="9">
        <v>0</v>
      </c>
      <c r="L5009" s="9">
        <v>1.3469E-4</v>
      </c>
      <c r="M5009" s="9">
        <v>1.5176999999999999E-4</v>
      </c>
      <c r="N5009" s="9">
        <v>1.6548999999999999E-4</v>
      </c>
      <c r="O5009" s="9">
        <v>1.281E-4</v>
      </c>
      <c r="P5009" s="9">
        <v>1.4715999999999999E-4</v>
      </c>
      <c r="Q5009" s="9">
        <v>1.6590999999999999E-4</v>
      </c>
      <c r="R5009" s="10">
        <v>2.0367765284569722E-4</v>
      </c>
      <c r="S5009" s="10">
        <v>9.6958514986109003E-5</v>
      </c>
      <c r="T5009" s="10">
        <v>6.3101127986749952E-4</v>
      </c>
      <c r="U5009" s="10">
        <v>7.7239999999999999E-5</v>
      </c>
      <c r="V5009" s="25"/>
      <c r="W5009" s="25"/>
      <c r="X5009" s="25"/>
      <c r="Y5009" s="25"/>
      <c r="Z5009" s="25"/>
      <c r="AA5009" s="25"/>
    </row>
    <row r="5010" spans="1:27" x14ac:dyDescent="0.35">
      <c r="A5010" s="5">
        <v>5006</v>
      </c>
      <c r="B5010" s="5">
        <v>209</v>
      </c>
      <c r="C5010" s="5">
        <v>7</v>
      </c>
      <c r="D5010" s="25">
        <v>1.1415000000000001E-4</v>
      </c>
      <c r="E5010" s="25">
        <v>1.1811000000000001E-4</v>
      </c>
      <c r="F5010" s="25">
        <v>1.1923E-4</v>
      </c>
      <c r="G5010" s="25">
        <v>1.6148000000000001E-4</v>
      </c>
      <c r="H5010" s="25">
        <v>1.1917E-4</v>
      </c>
      <c r="I5010" s="9">
        <v>1.1029E-4</v>
      </c>
      <c r="J5010" s="9">
        <v>1.2659999999999999E-4</v>
      </c>
      <c r="K5010" s="9">
        <v>0</v>
      </c>
      <c r="L5010" s="9">
        <v>1.2962999999999999E-4</v>
      </c>
      <c r="M5010" s="9">
        <v>1.5128E-4</v>
      </c>
      <c r="N5010" s="9">
        <v>1.6956E-4</v>
      </c>
      <c r="O5010" s="9">
        <v>1.1115E-4</v>
      </c>
      <c r="P5010" s="9">
        <v>1.3556000000000001E-4</v>
      </c>
      <c r="Q5010" s="9">
        <v>1.5964000000000001E-4</v>
      </c>
      <c r="R5010" s="10">
        <v>2.0301216391914497E-4</v>
      </c>
      <c r="S5010" s="10">
        <v>9.7823885697434666E-5</v>
      </c>
      <c r="T5010" s="10">
        <v>4.8205243617704735E-4</v>
      </c>
      <c r="U5010" s="10">
        <v>7.7239999999999999E-5</v>
      </c>
      <c r="V5010" s="25"/>
      <c r="W5010" s="25"/>
      <c r="X5010" s="25"/>
      <c r="Y5010" s="25"/>
      <c r="Z5010" s="25"/>
      <c r="AA5010" s="25"/>
    </row>
    <row r="5011" spans="1:27" x14ac:dyDescent="0.35">
      <c r="A5011" s="5">
        <v>5007</v>
      </c>
      <c r="B5011" s="5">
        <v>209</v>
      </c>
      <c r="C5011" s="5">
        <v>7</v>
      </c>
      <c r="D5011" s="25">
        <v>1.1416E-4</v>
      </c>
      <c r="E5011" s="25">
        <v>1.1414E-4</v>
      </c>
      <c r="F5011" s="25">
        <v>1.0514999999999999E-4</v>
      </c>
      <c r="G5011" s="25">
        <v>1.6294000000000001E-4</v>
      </c>
      <c r="H5011" s="25">
        <v>1.2034E-4</v>
      </c>
      <c r="I5011" s="9">
        <v>1.0948E-4</v>
      </c>
      <c r="J5011" s="9">
        <v>1.2727999999999999E-4</v>
      </c>
      <c r="K5011" s="9">
        <v>0</v>
      </c>
      <c r="L5011" s="9">
        <v>1.154E-4</v>
      </c>
      <c r="M5011" s="9">
        <v>1.4526E-4</v>
      </c>
      <c r="N5011" s="9">
        <v>1.6893999999999999E-4</v>
      </c>
      <c r="O5011" s="9">
        <v>1.2584E-4</v>
      </c>
      <c r="P5011" s="9">
        <v>1.3893E-4</v>
      </c>
      <c r="Q5011" s="9">
        <v>1.5181999999999999E-4</v>
      </c>
      <c r="R5011" s="10">
        <v>2.0539857712061432E-4</v>
      </c>
      <c r="S5011" s="10">
        <v>9.6767175604366514E-5</v>
      </c>
      <c r="T5011" s="10">
        <v>3.9854996197294471E-4</v>
      </c>
      <c r="U5011" s="10">
        <v>7.7239999999999999E-5</v>
      </c>
      <c r="V5011" s="25"/>
      <c r="W5011" s="25"/>
      <c r="X5011" s="25"/>
      <c r="Y5011" s="25"/>
      <c r="Z5011" s="25"/>
      <c r="AA5011" s="25"/>
    </row>
    <row r="5012" spans="1:27" x14ac:dyDescent="0.35">
      <c r="A5012" s="5">
        <v>5008</v>
      </c>
      <c r="B5012" s="5">
        <v>209</v>
      </c>
      <c r="C5012" s="5">
        <v>7</v>
      </c>
      <c r="D5012" s="25">
        <v>1.1415000000000001E-4</v>
      </c>
      <c r="E5012" s="25">
        <v>1.1469E-4</v>
      </c>
      <c r="F5012" s="25">
        <v>1.0726999999999999E-4</v>
      </c>
      <c r="G5012" s="25">
        <v>1.5714E-4</v>
      </c>
      <c r="H5012" s="25">
        <v>1.1919E-4</v>
      </c>
      <c r="I5012" s="9">
        <v>1.0919E-4</v>
      </c>
      <c r="J5012" s="9">
        <v>1.2721999999999999E-4</v>
      </c>
      <c r="K5012" s="9">
        <v>0</v>
      </c>
      <c r="L5012" s="9">
        <v>1.2395E-4</v>
      </c>
      <c r="M5012" s="9">
        <v>1.4130999999999999E-4</v>
      </c>
      <c r="N5012" s="9">
        <v>1.65E-4</v>
      </c>
      <c r="O5012" s="9">
        <v>1.3261999999999999E-4</v>
      </c>
      <c r="P5012" s="9">
        <v>1.2084E-4</v>
      </c>
      <c r="Q5012" s="9">
        <v>1.0924E-4</v>
      </c>
      <c r="R5012" s="10">
        <v>2.0955650110174296E-4</v>
      </c>
      <c r="S5012" s="10">
        <v>9.8118328073899317E-5</v>
      </c>
      <c r="T5012" s="10">
        <v>2.0608363121496173E-4</v>
      </c>
      <c r="U5012" s="10">
        <v>7.7239999999999999E-5</v>
      </c>
      <c r="V5012" s="25"/>
      <c r="W5012" s="25"/>
      <c r="X5012" s="25"/>
      <c r="Y5012" s="25"/>
      <c r="Z5012" s="25"/>
      <c r="AA5012" s="25"/>
    </row>
    <row r="5013" spans="1:27" x14ac:dyDescent="0.35">
      <c r="A5013" s="5">
        <v>5009</v>
      </c>
      <c r="B5013" s="5">
        <v>209</v>
      </c>
      <c r="C5013" s="5">
        <v>7</v>
      </c>
      <c r="D5013" s="25">
        <v>1.1416E-4</v>
      </c>
      <c r="E5013" s="25">
        <v>1.12E-4</v>
      </c>
      <c r="F5013" s="25">
        <v>1.1333E-4</v>
      </c>
      <c r="G5013" s="25">
        <v>1.6584E-4</v>
      </c>
      <c r="H5013" s="25">
        <v>1.1492E-4</v>
      </c>
      <c r="I5013" s="9">
        <v>1.0946999999999999E-4</v>
      </c>
      <c r="J5013" s="9">
        <v>1.2721999999999999E-4</v>
      </c>
      <c r="K5013" s="9">
        <v>0</v>
      </c>
      <c r="L5013" s="9">
        <v>1.3044E-4</v>
      </c>
      <c r="M5013" s="9">
        <v>1.3307E-4</v>
      </c>
      <c r="N5013" s="9">
        <v>1.5139999999999999E-4</v>
      </c>
      <c r="O5013" s="9">
        <v>1.4032000000000001E-4</v>
      </c>
      <c r="P5013" s="9">
        <v>1.2401E-4</v>
      </c>
      <c r="Q5013" s="9">
        <v>1.0793000000000001E-4</v>
      </c>
      <c r="R5013" s="10">
        <v>2.107559732846687E-4</v>
      </c>
      <c r="S5013" s="10">
        <v>1.0052256314196742E-4</v>
      </c>
      <c r="T5013" s="10">
        <v>1.1217940600758436E-4</v>
      </c>
      <c r="U5013" s="10">
        <v>7.7239999999999999E-5</v>
      </c>
      <c r="V5013" s="25"/>
      <c r="W5013" s="25"/>
      <c r="X5013" s="25"/>
      <c r="Y5013" s="25"/>
      <c r="Z5013" s="25"/>
      <c r="AA5013" s="25"/>
    </row>
    <row r="5014" spans="1:27" x14ac:dyDescent="0.35">
      <c r="A5014" s="5">
        <v>5010</v>
      </c>
      <c r="B5014" s="5">
        <v>209</v>
      </c>
      <c r="C5014" s="5">
        <v>7</v>
      </c>
      <c r="D5014" s="25">
        <v>1.1415000000000001E-4</v>
      </c>
      <c r="E5014" s="25">
        <v>1.1639E-4</v>
      </c>
      <c r="F5014" s="25">
        <v>1.1008E-4</v>
      </c>
      <c r="G5014" s="25">
        <v>1.5622999999999999E-4</v>
      </c>
      <c r="H5014" s="25">
        <v>1.2111E-4</v>
      </c>
      <c r="I5014" s="9">
        <v>1.0808E-4</v>
      </c>
      <c r="J5014" s="9">
        <v>1.2228E-4</v>
      </c>
      <c r="K5014" s="9">
        <v>0</v>
      </c>
      <c r="L5014" s="9">
        <v>1.3784999999999999E-4</v>
      </c>
      <c r="M5014" s="9">
        <v>1.2772E-4</v>
      </c>
      <c r="N5014" s="9">
        <v>1.3849000000000001E-4</v>
      </c>
      <c r="O5014" s="9">
        <v>1.4090000000000001E-4</v>
      </c>
      <c r="P5014" s="9">
        <v>1.2964000000000001E-4</v>
      </c>
      <c r="Q5014" s="9">
        <v>1.1852E-4</v>
      </c>
      <c r="R5014" s="10">
        <v>2.1005275705215094E-4</v>
      </c>
      <c r="S5014" s="10">
        <v>1.0003355326873075E-4</v>
      </c>
      <c r="T5014" s="10">
        <v>1.1085585530896212E-4</v>
      </c>
      <c r="U5014" s="10">
        <v>7.7239999999999999E-5</v>
      </c>
      <c r="V5014" s="25"/>
      <c r="W5014" s="25"/>
      <c r="X5014" s="25"/>
      <c r="Y5014" s="25"/>
      <c r="Z5014" s="25"/>
      <c r="AA5014" s="25"/>
    </row>
    <row r="5015" spans="1:27" x14ac:dyDescent="0.35">
      <c r="A5015" s="5">
        <v>5011</v>
      </c>
      <c r="B5015" s="5">
        <v>209</v>
      </c>
      <c r="C5015" s="5">
        <v>7</v>
      </c>
      <c r="D5015" s="25">
        <v>1.1416E-4</v>
      </c>
      <c r="E5015" s="25">
        <v>1.2263000000000001E-4</v>
      </c>
      <c r="F5015" s="25">
        <v>1.0458E-4</v>
      </c>
      <c r="G5015" s="25">
        <v>1.0545E-4</v>
      </c>
      <c r="H5015" s="25">
        <v>7.64E-5</v>
      </c>
      <c r="I5015" s="9">
        <v>1.0637999999999999E-4</v>
      </c>
      <c r="J5015" s="9">
        <v>1.1947000000000001E-4</v>
      </c>
      <c r="K5015" s="9">
        <v>0</v>
      </c>
      <c r="L5015" s="9">
        <v>1.4009999999999999E-4</v>
      </c>
      <c r="M5015" s="9">
        <v>1.2721E-4</v>
      </c>
      <c r="N5015" s="9">
        <v>1.2983999999999999E-4</v>
      </c>
      <c r="O5015" s="9">
        <v>1.4029E-4</v>
      </c>
      <c r="P5015" s="9">
        <v>1.2345999999999999E-4</v>
      </c>
      <c r="Q5015" s="9">
        <v>1.0686E-4</v>
      </c>
      <c r="R5015" s="10">
        <v>2.0681434979517881E-4</v>
      </c>
      <c r="S5015" s="10">
        <v>1.0837809093679372E-4</v>
      </c>
      <c r="T5015" s="10">
        <v>3.7687257713333062E-5</v>
      </c>
      <c r="U5015" s="10">
        <v>7.7239999999999999E-5</v>
      </c>
      <c r="V5015" s="25"/>
      <c r="W5015" s="25"/>
      <c r="X5015" s="25"/>
      <c r="Y5015" s="25"/>
      <c r="Z5015" s="25"/>
      <c r="AA5015" s="25"/>
    </row>
    <row r="5016" spans="1:27" x14ac:dyDescent="0.35">
      <c r="A5016" s="5">
        <v>5012</v>
      </c>
      <c r="B5016" s="5">
        <v>209</v>
      </c>
      <c r="C5016" s="5">
        <v>7</v>
      </c>
      <c r="D5016" s="25">
        <v>1.1415000000000001E-4</v>
      </c>
      <c r="E5016" s="25">
        <v>1.2284000000000001E-4</v>
      </c>
      <c r="F5016" s="25">
        <v>1.0508E-4</v>
      </c>
      <c r="G5016" s="25">
        <v>1.1273E-4</v>
      </c>
      <c r="H5016" s="25">
        <v>7.7659999999999998E-5</v>
      </c>
      <c r="I5016" s="9">
        <v>1.0375E-4</v>
      </c>
      <c r="J5016" s="9">
        <v>1.1628E-4</v>
      </c>
      <c r="K5016" s="9">
        <v>0</v>
      </c>
      <c r="L5016" s="9">
        <v>1.4023E-4</v>
      </c>
      <c r="M5016" s="9">
        <v>1.2598000000000001E-4</v>
      </c>
      <c r="N5016" s="9">
        <v>1.2087999999999999E-4</v>
      </c>
      <c r="O5016" s="9">
        <v>1.4207E-4</v>
      </c>
      <c r="P5016" s="9">
        <v>1.2152E-4</v>
      </c>
      <c r="Q5016" s="9">
        <v>1.0124999999999999E-4</v>
      </c>
      <c r="R5016" s="10">
        <v>2.0662290518870841E-4</v>
      </c>
      <c r="S5016" s="10">
        <v>1.0374942067825441E-4</v>
      </c>
      <c r="T5016" s="10">
        <v>9.5024152721596195E-7</v>
      </c>
      <c r="U5016" s="10">
        <v>7.7239999999999999E-5</v>
      </c>
      <c r="V5016" s="25"/>
      <c r="W5016" s="25"/>
      <c r="X5016" s="25"/>
      <c r="Y5016" s="25"/>
      <c r="Z5016" s="25"/>
      <c r="AA5016" s="25"/>
    </row>
    <row r="5017" spans="1:27" x14ac:dyDescent="0.35">
      <c r="A5017" s="5">
        <v>5013</v>
      </c>
      <c r="B5017" s="5">
        <v>209</v>
      </c>
      <c r="C5017" s="5">
        <v>7</v>
      </c>
      <c r="D5017" s="25">
        <v>1.1416E-4</v>
      </c>
      <c r="E5017" s="25">
        <v>1.1506999999999999E-4</v>
      </c>
      <c r="F5017" s="25">
        <v>1.1903E-4</v>
      </c>
      <c r="G5017" s="25">
        <v>6.0460000000000001E-5</v>
      </c>
      <c r="H5017" s="25">
        <v>4.5370000000000001E-5</v>
      </c>
      <c r="I5017" s="9">
        <v>1.0221E-4</v>
      </c>
      <c r="J5017" s="9">
        <v>1.1430999999999999E-4</v>
      </c>
      <c r="K5017" s="9">
        <v>0</v>
      </c>
      <c r="L5017" s="9">
        <v>1.4171E-4</v>
      </c>
      <c r="M5017" s="9">
        <v>1.2406E-4</v>
      </c>
      <c r="N5017" s="9">
        <v>1.1317E-4</v>
      </c>
      <c r="O5017" s="9">
        <v>8.3739999999999994E-5</v>
      </c>
      <c r="P5017" s="9">
        <v>8.5619999999999997E-5</v>
      </c>
      <c r="Q5017" s="9">
        <v>8.7600000000000002E-5</v>
      </c>
      <c r="R5017" s="10">
        <v>2.0723495180719563E-4</v>
      </c>
      <c r="S5017" s="10">
        <v>1.0816117161921271E-4</v>
      </c>
      <c r="T5017" s="10">
        <v>0</v>
      </c>
      <c r="U5017" s="10">
        <v>7.7239999999999999E-5</v>
      </c>
      <c r="V5017" s="25"/>
      <c r="W5017" s="25"/>
      <c r="X5017" s="25"/>
      <c r="Y5017" s="25"/>
      <c r="Z5017" s="25"/>
      <c r="AA5017" s="25"/>
    </row>
    <row r="5018" spans="1:27" x14ac:dyDescent="0.35">
      <c r="A5018" s="5">
        <v>5014</v>
      </c>
      <c r="B5018" s="5">
        <v>209</v>
      </c>
      <c r="C5018" s="5">
        <v>7</v>
      </c>
      <c r="D5018" s="25">
        <v>1.1415000000000001E-4</v>
      </c>
      <c r="E5018" s="25">
        <v>1.2079E-4</v>
      </c>
      <c r="F5018" s="25">
        <v>1.1417E-4</v>
      </c>
      <c r="G5018" s="25">
        <v>5.2880000000000002E-5</v>
      </c>
      <c r="H5018" s="25">
        <v>4.375E-5</v>
      </c>
      <c r="I5018" s="9">
        <v>1.0516E-4</v>
      </c>
      <c r="J5018" s="9">
        <v>1.1229E-4</v>
      </c>
      <c r="K5018" s="9">
        <v>0</v>
      </c>
      <c r="L5018" s="9">
        <v>9.6459999999999995E-5</v>
      </c>
      <c r="M5018" s="9">
        <v>1.0967999999999999E-4</v>
      </c>
      <c r="N5018" s="9">
        <v>1.0546E-4</v>
      </c>
      <c r="O5018" s="9">
        <v>8.7280000000000005E-5</v>
      </c>
      <c r="P5018" s="9">
        <v>8.7810000000000001E-5</v>
      </c>
      <c r="Q5018" s="9">
        <v>8.8460000000000003E-5</v>
      </c>
      <c r="R5018" s="10">
        <v>2.0256529921550007E-4</v>
      </c>
      <c r="S5018" s="10">
        <v>1.1561731378929457E-4</v>
      </c>
      <c r="T5018" s="10">
        <v>0</v>
      </c>
      <c r="U5018" s="10">
        <v>7.7239999999999999E-5</v>
      </c>
      <c r="V5018" s="25"/>
      <c r="W5018" s="25"/>
      <c r="X5018" s="25"/>
      <c r="Y5018" s="25"/>
      <c r="Z5018" s="25"/>
      <c r="AA5018" s="25"/>
    </row>
    <row r="5019" spans="1:27" x14ac:dyDescent="0.35">
      <c r="A5019" s="5">
        <v>5015</v>
      </c>
      <c r="B5019" s="5">
        <v>209</v>
      </c>
      <c r="C5019" s="5">
        <v>7</v>
      </c>
      <c r="D5019" s="25">
        <v>1.1416E-4</v>
      </c>
      <c r="E5019" s="25">
        <v>1.1194E-4</v>
      </c>
      <c r="F5019" s="25">
        <v>1.2006E-4</v>
      </c>
      <c r="G5019" s="25">
        <v>6.1989999999999994E-5</v>
      </c>
      <c r="H5019" s="25">
        <v>4.295E-5</v>
      </c>
      <c r="I5019" s="9">
        <v>1.0027E-4</v>
      </c>
      <c r="J5019" s="9">
        <v>1.0725E-4</v>
      </c>
      <c r="K5019" s="9">
        <v>0</v>
      </c>
      <c r="L5019" s="9">
        <v>9.0550000000000005E-5</v>
      </c>
      <c r="M5019" s="9">
        <v>9.7960000000000004E-5</v>
      </c>
      <c r="N5019" s="9">
        <v>9.9690000000000003E-5</v>
      </c>
      <c r="O5019" s="9">
        <v>8.5030000000000004E-5</v>
      </c>
      <c r="P5019" s="9">
        <v>7.6069999999999995E-5</v>
      </c>
      <c r="Q5019" s="9">
        <v>6.7379999999999995E-5</v>
      </c>
      <c r="R5019" s="10">
        <v>1.9541346977914247E-4</v>
      </c>
      <c r="S5019" s="10">
        <v>1.2675451847551775E-4</v>
      </c>
      <c r="T5019" s="10">
        <v>0</v>
      </c>
      <c r="U5019" s="10">
        <v>7.7239999999999999E-5</v>
      </c>
      <c r="V5019" s="25"/>
      <c r="W5019" s="25"/>
      <c r="X5019" s="25"/>
      <c r="Y5019" s="25"/>
      <c r="Z5019" s="25"/>
      <c r="AA5019" s="25"/>
    </row>
    <row r="5020" spans="1:27" x14ac:dyDescent="0.35">
      <c r="A5020" s="5">
        <v>5016</v>
      </c>
      <c r="B5020" s="5">
        <v>209</v>
      </c>
      <c r="C5020" s="5">
        <v>7</v>
      </c>
      <c r="D5020" s="25">
        <v>1.1415000000000001E-4</v>
      </c>
      <c r="E5020" s="25">
        <v>1.2006E-4</v>
      </c>
      <c r="F5020" s="25">
        <v>1.0778E-4</v>
      </c>
      <c r="G5020" s="25">
        <v>5.4929999999999998E-5</v>
      </c>
      <c r="H5020" s="25">
        <v>4.2870000000000001E-5</v>
      </c>
      <c r="I5020" s="9">
        <v>9.4289999999999993E-5</v>
      </c>
      <c r="J5020" s="9">
        <v>1.0066E-4</v>
      </c>
      <c r="K5020" s="9">
        <v>0</v>
      </c>
      <c r="L5020" s="9">
        <v>8.6440000000000006E-5</v>
      </c>
      <c r="M5020" s="9">
        <v>8.7349999999999995E-5</v>
      </c>
      <c r="N5020" s="9">
        <v>9.0509999999999999E-5</v>
      </c>
      <c r="O5020" s="9">
        <v>7.9239999999999993E-5</v>
      </c>
      <c r="P5020" s="9">
        <v>6.8990000000000002E-5</v>
      </c>
      <c r="Q5020" s="9">
        <v>5.9049999999999999E-5</v>
      </c>
      <c r="R5020" s="10">
        <v>1.8416878831980051E-4</v>
      </c>
      <c r="S5020" s="10">
        <v>1.3152449092570053E-4</v>
      </c>
      <c r="T5020" s="10">
        <v>0</v>
      </c>
      <c r="U5020" s="10">
        <v>7.7239999999999999E-5</v>
      </c>
      <c r="V5020" s="25"/>
      <c r="W5020" s="25"/>
      <c r="X5020" s="25"/>
      <c r="Y5020" s="25"/>
      <c r="Z5020" s="25"/>
      <c r="AA5020" s="25"/>
    </row>
    <row r="5021" spans="1:27" x14ac:dyDescent="0.35">
      <c r="A5021" s="5">
        <v>5017</v>
      </c>
      <c r="B5021" s="5">
        <v>210</v>
      </c>
      <c r="C5021" s="5">
        <v>7</v>
      </c>
      <c r="D5021" s="25">
        <v>1.1416E-4</v>
      </c>
      <c r="E5021" s="25">
        <v>1.1368E-4</v>
      </c>
      <c r="F5021" s="25">
        <v>1.0232E-4</v>
      </c>
      <c r="G5021" s="25">
        <v>5.8839999999999999E-5</v>
      </c>
      <c r="H5021" s="25">
        <v>1.3890000000000001E-5</v>
      </c>
      <c r="I5021" s="9">
        <v>8.9690000000000004E-5</v>
      </c>
      <c r="J5021" s="9">
        <v>9.5820000000000001E-5</v>
      </c>
      <c r="K5021" s="9">
        <v>0</v>
      </c>
      <c r="L5021" s="9">
        <v>8.0599999999999994E-5</v>
      </c>
      <c r="M5021" s="9">
        <v>7.8349999999999994E-5</v>
      </c>
      <c r="N5021" s="9">
        <v>8.1160000000000002E-5</v>
      </c>
      <c r="O5021" s="9">
        <v>6.8789999999999997E-5</v>
      </c>
      <c r="P5021" s="9">
        <v>6.1249999999999998E-5</v>
      </c>
      <c r="Q5021" s="9">
        <v>5.4020000000000001E-5</v>
      </c>
      <c r="R5021" s="10">
        <v>1.7952854942391647E-4</v>
      </c>
      <c r="S5021" s="10">
        <v>1.378499062959169E-4</v>
      </c>
      <c r="T5021" s="10">
        <v>0</v>
      </c>
      <c r="U5021" s="10">
        <v>7.7059999999999997E-5</v>
      </c>
      <c r="V5021" s="25"/>
      <c r="W5021" s="25"/>
      <c r="X5021" s="25"/>
      <c r="Y5021" s="25"/>
      <c r="Z5021" s="25"/>
      <c r="AA5021" s="25"/>
    </row>
    <row r="5022" spans="1:27" x14ac:dyDescent="0.35">
      <c r="A5022" s="5">
        <v>5018</v>
      </c>
      <c r="B5022" s="5">
        <v>210</v>
      </c>
      <c r="C5022" s="5">
        <v>7</v>
      </c>
      <c r="D5022" s="25">
        <v>1.1415000000000001E-4</v>
      </c>
      <c r="E5022" s="25">
        <v>1.1625000000000001E-4</v>
      </c>
      <c r="F5022" s="25">
        <v>1.0582E-4</v>
      </c>
      <c r="G5022" s="25">
        <v>5.2200000000000002E-5</v>
      </c>
      <c r="H5022" s="25">
        <v>1.314E-5</v>
      </c>
      <c r="I5022" s="9">
        <v>8.7310000000000003E-5</v>
      </c>
      <c r="J5022" s="9">
        <v>9.3519999999999999E-5</v>
      </c>
      <c r="K5022" s="9">
        <v>0</v>
      </c>
      <c r="L5022" s="9">
        <v>7.1539999999999996E-5</v>
      </c>
      <c r="M5022" s="9">
        <v>7.0080000000000007E-5</v>
      </c>
      <c r="N5022" s="9">
        <v>7.2219999999999996E-5</v>
      </c>
      <c r="O5022" s="9">
        <v>3.561E-5</v>
      </c>
      <c r="P5022" s="9">
        <v>4.5819999999999998E-5</v>
      </c>
      <c r="Q5022" s="9">
        <v>5.6150000000000003E-5</v>
      </c>
      <c r="R5022" s="10">
        <v>1.7625786038219271E-4</v>
      </c>
      <c r="S5022" s="10">
        <v>1.4719422022313691E-4</v>
      </c>
      <c r="T5022" s="10">
        <v>0</v>
      </c>
      <c r="U5022" s="10">
        <v>7.7059999999999997E-5</v>
      </c>
      <c r="V5022" s="25"/>
      <c r="W5022" s="25"/>
      <c r="X5022" s="25"/>
      <c r="Y5022" s="25"/>
      <c r="Z5022" s="25"/>
      <c r="AA5022" s="25"/>
    </row>
    <row r="5023" spans="1:27" x14ac:dyDescent="0.35">
      <c r="A5023" s="5">
        <v>5019</v>
      </c>
      <c r="B5023" s="5">
        <v>210</v>
      </c>
      <c r="C5023" s="5">
        <v>7</v>
      </c>
      <c r="D5023" s="25">
        <v>1.1416E-4</v>
      </c>
      <c r="E5023" s="25">
        <v>1.1417E-4</v>
      </c>
      <c r="F5023" s="25">
        <v>1.1192E-4</v>
      </c>
      <c r="G5023" s="25">
        <v>6.1500000000000004E-5</v>
      </c>
      <c r="H5023" s="25">
        <v>1.471E-5</v>
      </c>
      <c r="I5023" s="9">
        <v>8.687E-5</v>
      </c>
      <c r="J5023" s="9">
        <v>9.2490000000000004E-5</v>
      </c>
      <c r="K5023" s="9">
        <v>0</v>
      </c>
      <c r="L5023" s="9">
        <v>4.3760000000000001E-5</v>
      </c>
      <c r="M5023" s="9">
        <v>5.9389999999999999E-5</v>
      </c>
      <c r="N5023" s="9">
        <v>6.567E-5</v>
      </c>
      <c r="O5023" s="9">
        <v>2.247E-5</v>
      </c>
      <c r="P5023" s="9">
        <v>4.1780000000000003E-5</v>
      </c>
      <c r="Q5023" s="9">
        <v>6.1110000000000003E-5</v>
      </c>
      <c r="R5023" s="10">
        <v>1.8222553646962331E-4</v>
      </c>
      <c r="S5023" s="10">
        <v>1.5009590306368868E-4</v>
      </c>
      <c r="T5023" s="10">
        <v>0</v>
      </c>
      <c r="U5023" s="10">
        <v>7.7059999999999997E-5</v>
      </c>
      <c r="V5023" s="25"/>
      <c r="W5023" s="25"/>
      <c r="X5023" s="25"/>
      <c r="Y5023" s="25"/>
      <c r="Z5023" s="25"/>
      <c r="AA5023" s="25"/>
    </row>
    <row r="5024" spans="1:27" x14ac:dyDescent="0.35">
      <c r="A5024" s="5">
        <v>5020</v>
      </c>
      <c r="B5024" s="5">
        <v>210</v>
      </c>
      <c r="C5024" s="5">
        <v>7</v>
      </c>
      <c r="D5024" s="25">
        <v>1.1415000000000001E-4</v>
      </c>
      <c r="E5024" s="25">
        <v>1.1315999999999999E-4</v>
      </c>
      <c r="F5024" s="25">
        <v>1.0935E-4</v>
      </c>
      <c r="G5024" s="25">
        <v>5.5779999999999998E-5</v>
      </c>
      <c r="H5024" s="25">
        <v>1.3390000000000001E-5</v>
      </c>
      <c r="I5024" s="9">
        <v>8.7800000000000006E-5</v>
      </c>
      <c r="J5024" s="9">
        <v>9.2440000000000003E-5</v>
      </c>
      <c r="K5024" s="9">
        <v>0</v>
      </c>
      <c r="L5024" s="9">
        <v>2.7889999999999999E-5</v>
      </c>
      <c r="M5024" s="9">
        <v>5.0479999999999998E-5</v>
      </c>
      <c r="N5024" s="9">
        <v>6.198E-5</v>
      </c>
      <c r="O5024" s="9">
        <v>2.2050000000000001E-5</v>
      </c>
      <c r="P5024" s="9">
        <v>5.1150000000000003E-5</v>
      </c>
      <c r="Q5024" s="9">
        <v>8.0129999999999993E-5</v>
      </c>
      <c r="R5024" s="10">
        <v>1.7792340619328438E-4</v>
      </c>
      <c r="S5024" s="10">
        <v>1.4788723613423364E-4</v>
      </c>
      <c r="T5024" s="10">
        <v>0</v>
      </c>
      <c r="U5024" s="10">
        <v>7.7059999999999997E-5</v>
      </c>
      <c r="V5024" s="25"/>
      <c r="W5024" s="25"/>
      <c r="X5024" s="25"/>
      <c r="Y5024" s="25"/>
      <c r="Z5024" s="25"/>
      <c r="AA5024" s="25"/>
    </row>
    <row r="5025" spans="1:27" x14ac:dyDescent="0.35">
      <c r="A5025" s="5">
        <v>5021</v>
      </c>
      <c r="B5025" s="5">
        <v>210</v>
      </c>
      <c r="C5025" s="5">
        <v>7</v>
      </c>
      <c r="D5025" s="25">
        <v>1.1416E-4</v>
      </c>
      <c r="E5025" s="25">
        <v>1.1171999999999999E-4</v>
      </c>
      <c r="F5025" s="25">
        <v>1.1788E-4</v>
      </c>
      <c r="G5025" s="25">
        <v>5.7290000000000002E-5</v>
      </c>
      <c r="H5025" s="25">
        <v>1.4E-5</v>
      </c>
      <c r="I5025" s="9">
        <v>8.9619999999999999E-5</v>
      </c>
      <c r="J5025" s="9">
        <v>9.4480000000000003E-5</v>
      </c>
      <c r="K5025" s="9">
        <v>0</v>
      </c>
      <c r="L5025" s="9">
        <v>2.372E-5</v>
      </c>
      <c r="M5025" s="9">
        <v>4.8640000000000002E-5</v>
      </c>
      <c r="N5025" s="9">
        <v>6.4430000000000005E-5</v>
      </c>
      <c r="O5025" s="9">
        <v>2.376E-5</v>
      </c>
      <c r="P5025" s="9">
        <v>5.8369999999999998E-5</v>
      </c>
      <c r="Q5025" s="9">
        <v>9.2769999999999994E-5</v>
      </c>
      <c r="R5025" s="10">
        <v>1.6835547792020338E-4</v>
      </c>
      <c r="S5025" s="10">
        <v>1.5574549006066294E-4</v>
      </c>
      <c r="T5025" s="10">
        <v>0</v>
      </c>
      <c r="U5025" s="10">
        <v>7.7059999999999997E-5</v>
      </c>
      <c r="V5025" s="25"/>
      <c r="W5025" s="25"/>
      <c r="X5025" s="25"/>
      <c r="Y5025" s="25"/>
      <c r="Z5025" s="25"/>
      <c r="AA5025" s="25"/>
    </row>
    <row r="5026" spans="1:27" x14ac:dyDescent="0.35">
      <c r="A5026" s="5">
        <v>5022</v>
      </c>
      <c r="B5026" s="5">
        <v>210</v>
      </c>
      <c r="C5026" s="5">
        <v>7</v>
      </c>
      <c r="D5026" s="25">
        <v>1.1415000000000001E-4</v>
      </c>
      <c r="E5026" s="25">
        <v>1.142E-4</v>
      </c>
      <c r="F5026" s="25">
        <v>1.1047E-4</v>
      </c>
      <c r="G5026" s="25">
        <v>1.0563E-4</v>
      </c>
      <c r="H5026" s="25">
        <v>2.7949999999999998E-5</v>
      </c>
      <c r="I5026" s="9">
        <v>9.3480000000000006E-5</v>
      </c>
      <c r="J5026" s="9">
        <v>1.0012E-4</v>
      </c>
      <c r="K5026" s="9">
        <v>0</v>
      </c>
      <c r="L5026" s="9">
        <v>2.3669999999999999E-5</v>
      </c>
      <c r="M5026" s="9">
        <v>5.2030000000000002E-5</v>
      </c>
      <c r="N5026" s="9">
        <v>7.0759999999999993E-5</v>
      </c>
      <c r="O5026" s="9">
        <v>3.0020000000000001E-5</v>
      </c>
      <c r="P5026" s="9">
        <v>6.8319999999999996E-5</v>
      </c>
      <c r="Q5026" s="9">
        <v>1.0632E-4</v>
      </c>
      <c r="R5026" s="10">
        <v>1.6364201346381844E-4</v>
      </c>
      <c r="S5026" s="10">
        <v>1.6206710304336901E-4</v>
      </c>
      <c r="T5026" s="10">
        <v>2.7489129894461755E-6</v>
      </c>
      <c r="U5026" s="10">
        <v>7.7059999999999997E-5</v>
      </c>
      <c r="V5026" s="25"/>
      <c r="W5026" s="25"/>
      <c r="X5026" s="25"/>
      <c r="Y5026" s="25"/>
      <c r="Z5026" s="25"/>
      <c r="AA5026" s="25"/>
    </row>
    <row r="5027" spans="1:27" x14ac:dyDescent="0.35">
      <c r="A5027" s="5">
        <v>5023</v>
      </c>
      <c r="B5027" s="5">
        <v>210</v>
      </c>
      <c r="C5027" s="5">
        <v>7</v>
      </c>
      <c r="D5027" s="25">
        <v>1.1416E-4</v>
      </c>
      <c r="E5027" s="25">
        <v>1.2231000000000001E-4</v>
      </c>
      <c r="F5027" s="25">
        <v>1.1535999999999999E-4</v>
      </c>
      <c r="G5027" s="25">
        <v>1.087E-4</v>
      </c>
      <c r="H5027" s="25">
        <v>2.6720000000000002E-5</v>
      </c>
      <c r="I5027" s="9">
        <v>1.0072E-4</v>
      </c>
      <c r="J5027" s="9">
        <v>1.1095999999999999E-4</v>
      </c>
      <c r="K5027" s="9">
        <v>0</v>
      </c>
      <c r="L5027" s="9">
        <v>2.853E-5</v>
      </c>
      <c r="M5027" s="9">
        <v>5.8909999999999997E-5</v>
      </c>
      <c r="N5027" s="9">
        <v>8.03E-5</v>
      </c>
      <c r="O5027" s="9">
        <v>4.617E-5</v>
      </c>
      <c r="P5027" s="9">
        <v>7.9049999999999997E-5</v>
      </c>
      <c r="Q5027" s="9">
        <v>1.1166E-4</v>
      </c>
      <c r="R5027" s="10">
        <v>1.6278053683008894E-4</v>
      </c>
      <c r="S5027" s="10">
        <v>1.7000152501084629E-4</v>
      </c>
      <c r="T5027" s="10">
        <v>1.3221083677327085E-4</v>
      </c>
      <c r="U5027" s="10">
        <v>7.7059999999999997E-5</v>
      </c>
      <c r="V5027" s="25"/>
      <c r="W5027" s="25"/>
      <c r="X5027" s="25"/>
      <c r="Y5027" s="25"/>
      <c r="Z5027" s="25"/>
      <c r="AA5027" s="25"/>
    </row>
    <row r="5028" spans="1:27" x14ac:dyDescent="0.35">
      <c r="A5028" s="5">
        <v>5024</v>
      </c>
      <c r="B5028" s="5">
        <v>210</v>
      </c>
      <c r="C5028" s="5">
        <v>7</v>
      </c>
      <c r="D5028" s="25">
        <v>1.1415000000000001E-4</v>
      </c>
      <c r="E5028" s="25">
        <v>1.1785E-4</v>
      </c>
      <c r="F5028" s="25">
        <v>1.0098E-4</v>
      </c>
      <c r="G5028" s="25">
        <v>1.6393000000000001E-4</v>
      </c>
      <c r="H5028" s="25">
        <v>4.0299999999999997E-5</v>
      </c>
      <c r="I5028" s="9">
        <v>1.0725E-4</v>
      </c>
      <c r="J5028" s="9">
        <v>1.2066E-4</v>
      </c>
      <c r="K5028" s="9">
        <v>0</v>
      </c>
      <c r="L5028" s="9">
        <v>4.2150000000000001E-5</v>
      </c>
      <c r="M5028" s="9">
        <v>6.7899999999999997E-5</v>
      </c>
      <c r="N5028" s="9">
        <v>9.0249999999999998E-5</v>
      </c>
      <c r="O5028" s="9">
        <v>6.8330000000000005E-5</v>
      </c>
      <c r="P5028" s="9">
        <v>1.0275E-4</v>
      </c>
      <c r="Q5028" s="9">
        <v>1.3682000000000001E-4</v>
      </c>
      <c r="R5028" s="10">
        <v>1.6643810252054805E-4</v>
      </c>
      <c r="S5028" s="10">
        <v>1.7488687201082528E-4</v>
      </c>
      <c r="T5028" s="10">
        <v>3.2740911192199975E-5</v>
      </c>
      <c r="U5028" s="10">
        <v>7.7059999999999997E-5</v>
      </c>
      <c r="V5028" s="25"/>
      <c r="W5028" s="25"/>
      <c r="X5028" s="25"/>
      <c r="Y5028" s="25"/>
      <c r="Z5028" s="25"/>
      <c r="AA5028" s="25"/>
    </row>
    <row r="5029" spans="1:27" x14ac:dyDescent="0.35">
      <c r="A5029" s="5">
        <v>5025</v>
      </c>
      <c r="B5029" s="5">
        <v>210</v>
      </c>
      <c r="C5029" s="5">
        <v>7</v>
      </c>
      <c r="D5029" s="25">
        <v>1.1416E-4</v>
      </c>
      <c r="E5029" s="25">
        <v>1.2159000000000001E-4</v>
      </c>
      <c r="F5029" s="25">
        <v>1.0386E-4</v>
      </c>
      <c r="G5029" s="25">
        <v>1.6477000000000001E-4</v>
      </c>
      <c r="H5029" s="25">
        <v>4.0280000000000001E-5</v>
      </c>
      <c r="I5029" s="9">
        <v>1.116E-4</v>
      </c>
      <c r="J5029" s="9">
        <v>1.2552E-4</v>
      </c>
      <c r="K5029" s="9">
        <v>0</v>
      </c>
      <c r="L5029" s="9">
        <v>6.2199999999999994E-5</v>
      </c>
      <c r="M5029" s="9">
        <v>8.2680000000000001E-5</v>
      </c>
      <c r="N5029" s="9">
        <v>1.041E-4</v>
      </c>
      <c r="O5029" s="9">
        <v>9.993E-5</v>
      </c>
      <c r="P5029" s="9">
        <v>1.3908E-4</v>
      </c>
      <c r="Q5029" s="9">
        <v>1.7770000000000001E-4</v>
      </c>
      <c r="R5029" s="10">
        <v>1.6805172559055678E-4</v>
      </c>
      <c r="S5029" s="10">
        <v>1.7723347785206678E-4</v>
      </c>
      <c r="T5029" s="10">
        <v>1.3805651902551902E-4</v>
      </c>
      <c r="U5029" s="10">
        <v>7.7059999999999997E-5</v>
      </c>
      <c r="V5029" s="25"/>
      <c r="W5029" s="25"/>
      <c r="X5029" s="25"/>
      <c r="Y5029" s="25"/>
      <c r="Z5029" s="25"/>
      <c r="AA5029" s="25"/>
    </row>
    <row r="5030" spans="1:27" x14ac:dyDescent="0.35">
      <c r="A5030" s="5">
        <v>5026</v>
      </c>
      <c r="B5030" s="5">
        <v>210</v>
      </c>
      <c r="C5030" s="5">
        <v>7</v>
      </c>
      <c r="D5030" s="25">
        <v>1.1415000000000001E-4</v>
      </c>
      <c r="E5030" s="25">
        <v>1.1284E-4</v>
      </c>
      <c r="F5030" s="25">
        <v>1.2038E-4</v>
      </c>
      <c r="G5030" s="25">
        <v>1.6056999999999999E-4</v>
      </c>
      <c r="H5030" s="25">
        <v>4.0049999999999998E-5</v>
      </c>
      <c r="I5030" s="9">
        <v>1.1335E-4</v>
      </c>
      <c r="J5030" s="9">
        <v>1.2740000000000001E-4</v>
      </c>
      <c r="K5030" s="9">
        <v>0</v>
      </c>
      <c r="L5030" s="9">
        <v>9.111E-5</v>
      </c>
      <c r="M5030" s="9">
        <v>1.0671999999999999E-4</v>
      </c>
      <c r="N5030" s="9">
        <v>1.2438999999999999E-4</v>
      </c>
      <c r="O5030" s="9">
        <v>1.2841E-4</v>
      </c>
      <c r="P5030" s="9">
        <v>1.5584999999999999E-4</v>
      </c>
      <c r="Q5030" s="9">
        <v>1.8285999999999999E-4</v>
      </c>
      <c r="R5030" s="10">
        <v>1.6018482711348592E-4</v>
      </c>
      <c r="S5030" s="10">
        <v>1.814992746000113E-4</v>
      </c>
      <c r="T5030" s="10">
        <v>2.4325334666793608E-4</v>
      </c>
      <c r="U5030" s="10">
        <v>7.7059999999999997E-5</v>
      </c>
      <c r="V5030" s="25"/>
      <c r="W5030" s="25"/>
      <c r="X5030" s="25"/>
      <c r="Y5030" s="25"/>
      <c r="Z5030" s="25"/>
      <c r="AA5030" s="25"/>
    </row>
    <row r="5031" spans="1:27" x14ac:dyDescent="0.35">
      <c r="A5031" s="5">
        <v>5027</v>
      </c>
      <c r="B5031" s="5">
        <v>210</v>
      </c>
      <c r="C5031" s="5">
        <v>7</v>
      </c>
      <c r="D5031" s="25">
        <v>1.1416E-4</v>
      </c>
      <c r="E5031" s="25">
        <v>1.1243000000000001E-4</v>
      </c>
      <c r="F5031" s="25">
        <v>1.1722000000000001E-4</v>
      </c>
      <c r="G5031" s="25">
        <v>1.6421E-4</v>
      </c>
      <c r="H5031" s="25">
        <v>3.8770000000000003E-5</v>
      </c>
      <c r="I5031" s="9">
        <v>1.1401E-4</v>
      </c>
      <c r="J5031" s="9">
        <v>1.2825E-4</v>
      </c>
      <c r="K5031" s="9">
        <v>0</v>
      </c>
      <c r="L5031" s="9">
        <v>1.1949E-4</v>
      </c>
      <c r="M5031" s="9">
        <v>1.3048000000000001E-4</v>
      </c>
      <c r="N5031" s="9">
        <v>1.4275E-4</v>
      </c>
      <c r="O5031" s="9">
        <v>1.3562000000000001E-4</v>
      </c>
      <c r="P5031" s="9">
        <v>1.5745000000000001E-4</v>
      </c>
      <c r="Q5031" s="9">
        <v>1.7891000000000001E-4</v>
      </c>
      <c r="R5031" s="10">
        <v>1.6842400067225316E-4</v>
      </c>
      <c r="S5031" s="10">
        <v>1.8539299089215911E-4</v>
      </c>
      <c r="T5031" s="10">
        <v>1.8700244197649121E-4</v>
      </c>
      <c r="U5031" s="10">
        <v>7.7059999999999997E-5</v>
      </c>
      <c r="V5031" s="25"/>
      <c r="W5031" s="25"/>
      <c r="X5031" s="25"/>
      <c r="Y5031" s="25"/>
      <c r="Z5031" s="25"/>
      <c r="AA5031" s="25"/>
    </row>
    <row r="5032" spans="1:27" x14ac:dyDescent="0.35">
      <c r="A5032" s="5">
        <v>5028</v>
      </c>
      <c r="B5032" s="5">
        <v>210</v>
      </c>
      <c r="C5032" s="5">
        <v>7</v>
      </c>
      <c r="D5032" s="25">
        <v>1.1415000000000001E-4</v>
      </c>
      <c r="E5032" s="25">
        <v>1.1346E-4</v>
      </c>
      <c r="F5032" s="25">
        <v>1.014E-4</v>
      </c>
      <c r="G5032" s="25">
        <v>1.6653999999999999E-4</v>
      </c>
      <c r="H5032" s="25">
        <v>4.0330000000000002E-5</v>
      </c>
      <c r="I5032" s="9">
        <v>1.1368E-4</v>
      </c>
      <c r="J5032" s="9">
        <v>1.2661000000000001E-4</v>
      </c>
      <c r="K5032" s="9">
        <v>0</v>
      </c>
      <c r="L5032" s="9">
        <v>1.3140999999999999E-4</v>
      </c>
      <c r="M5032" s="9">
        <v>1.4580999999999999E-4</v>
      </c>
      <c r="N5032" s="9">
        <v>1.5678E-4</v>
      </c>
      <c r="O5032" s="9">
        <v>1.3812000000000001E-4</v>
      </c>
      <c r="P5032" s="9">
        <v>1.5673E-4</v>
      </c>
      <c r="Q5032" s="9">
        <v>1.7501999999999999E-4</v>
      </c>
      <c r="R5032" s="10">
        <v>1.7867804486216442E-4</v>
      </c>
      <c r="S5032" s="10">
        <v>1.8844601735515572E-4</v>
      </c>
      <c r="T5032" s="10">
        <v>3.8550110957242552E-4</v>
      </c>
      <c r="U5032" s="10">
        <v>7.7059999999999997E-5</v>
      </c>
      <c r="V5032" s="25"/>
      <c r="W5032" s="25"/>
      <c r="X5032" s="25"/>
      <c r="Y5032" s="25"/>
      <c r="Z5032" s="25"/>
      <c r="AA5032" s="25"/>
    </row>
    <row r="5033" spans="1:27" x14ac:dyDescent="0.35">
      <c r="A5033" s="5">
        <v>5029</v>
      </c>
      <c r="B5033" s="5">
        <v>210</v>
      </c>
      <c r="C5033" s="5">
        <v>7</v>
      </c>
      <c r="D5033" s="25">
        <v>1.1416E-4</v>
      </c>
      <c r="E5033" s="25">
        <v>1.1529E-4</v>
      </c>
      <c r="F5033" s="25">
        <v>1.1231E-4</v>
      </c>
      <c r="G5033" s="25">
        <v>1.6595999999999999E-4</v>
      </c>
      <c r="H5033" s="25">
        <v>3.8659999999999999E-5</v>
      </c>
      <c r="I5033" s="9">
        <v>1.1171999999999999E-4</v>
      </c>
      <c r="J5033" s="9">
        <v>1.2661000000000001E-4</v>
      </c>
      <c r="K5033" s="9">
        <v>0</v>
      </c>
      <c r="L5033" s="9">
        <v>1.3650000000000001E-4</v>
      </c>
      <c r="M5033" s="9">
        <v>1.5299000000000001E-4</v>
      </c>
      <c r="N5033" s="9">
        <v>1.6648999999999999E-4</v>
      </c>
      <c r="O5033" s="9">
        <v>1.3034E-4</v>
      </c>
      <c r="P5033" s="9">
        <v>1.4972999999999999E-4</v>
      </c>
      <c r="Q5033" s="9">
        <v>1.6881E-4</v>
      </c>
      <c r="R5033" s="10">
        <v>1.9910259190999893E-4</v>
      </c>
      <c r="S5033" s="10">
        <v>1.8882682439408532E-4</v>
      </c>
      <c r="T5033" s="10">
        <v>5.5761360618941658E-4</v>
      </c>
      <c r="U5033" s="10">
        <v>7.7059999999999997E-5</v>
      </c>
      <c r="V5033" s="25"/>
      <c r="W5033" s="25"/>
      <c r="X5033" s="25"/>
      <c r="Y5033" s="25"/>
      <c r="Z5033" s="25"/>
      <c r="AA5033" s="25"/>
    </row>
    <row r="5034" spans="1:27" x14ac:dyDescent="0.35">
      <c r="A5034" s="5">
        <v>5030</v>
      </c>
      <c r="B5034" s="5">
        <v>210</v>
      </c>
      <c r="C5034" s="5">
        <v>7</v>
      </c>
      <c r="D5034" s="25">
        <v>1.1415000000000001E-4</v>
      </c>
      <c r="E5034" s="25">
        <v>1.1864E-4</v>
      </c>
      <c r="F5034" s="25">
        <v>1.2326000000000001E-4</v>
      </c>
      <c r="G5034" s="25">
        <v>1.6014999999999999E-4</v>
      </c>
      <c r="H5034" s="25">
        <v>3.9039999999999999E-5</v>
      </c>
      <c r="I5034" s="9">
        <v>1.1072E-4</v>
      </c>
      <c r="J5034" s="9">
        <v>1.2574999999999999E-4</v>
      </c>
      <c r="K5034" s="9">
        <v>0</v>
      </c>
      <c r="L5034" s="9">
        <v>1.3172999999999999E-4</v>
      </c>
      <c r="M5034" s="9">
        <v>1.5321000000000001E-4</v>
      </c>
      <c r="N5034" s="9">
        <v>1.7108999999999999E-4</v>
      </c>
      <c r="O5034" s="9">
        <v>1.1108E-4</v>
      </c>
      <c r="P5034" s="9">
        <v>1.3547E-4</v>
      </c>
      <c r="Q5034" s="9">
        <v>1.5953000000000001E-4</v>
      </c>
      <c r="R5034" s="10">
        <v>2.0453282636569964E-4</v>
      </c>
      <c r="S5034" s="10">
        <v>1.8912323193247249E-4</v>
      </c>
      <c r="T5034" s="10">
        <v>2.1483094384495865E-4</v>
      </c>
      <c r="U5034" s="10">
        <v>7.7059999999999997E-5</v>
      </c>
      <c r="V5034" s="25"/>
      <c r="W5034" s="25"/>
      <c r="X5034" s="25"/>
      <c r="Y5034" s="25"/>
      <c r="Z5034" s="25"/>
      <c r="AA5034" s="25"/>
    </row>
    <row r="5035" spans="1:27" x14ac:dyDescent="0.35">
      <c r="A5035" s="5">
        <v>5031</v>
      </c>
      <c r="B5035" s="5">
        <v>210</v>
      </c>
      <c r="C5035" s="5">
        <v>7</v>
      </c>
      <c r="D5035" s="25">
        <v>1.1416E-4</v>
      </c>
      <c r="E5035" s="25">
        <v>1.1313E-4</v>
      </c>
      <c r="F5035" s="25">
        <v>1.1284E-4</v>
      </c>
      <c r="G5035" s="25">
        <v>1.6150999999999999E-4</v>
      </c>
      <c r="H5035" s="25">
        <v>3.8420000000000001E-5</v>
      </c>
      <c r="I5035" s="9">
        <v>1.0917999999999999E-4</v>
      </c>
      <c r="J5035" s="9">
        <v>1.2514000000000001E-4</v>
      </c>
      <c r="K5035" s="9">
        <v>0</v>
      </c>
      <c r="L5035" s="9">
        <v>1.1581E-4</v>
      </c>
      <c r="M5035" s="9">
        <v>1.4662E-4</v>
      </c>
      <c r="N5035" s="9">
        <v>1.7024999999999999E-4</v>
      </c>
      <c r="O5035" s="9">
        <v>1.2573E-4</v>
      </c>
      <c r="P5035" s="9">
        <v>1.3881000000000001E-4</v>
      </c>
      <c r="Q5035" s="9">
        <v>1.5169000000000001E-4</v>
      </c>
      <c r="R5035" s="10">
        <v>2.102967672367645E-4</v>
      </c>
      <c r="S5035" s="10">
        <v>1.8871981039648509E-4</v>
      </c>
      <c r="T5035" s="10">
        <v>3.1798305534399141E-4</v>
      </c>
      <c r="U5035" s="10">
        <v>7.7059999999999997E-5</v>
      </c>
      <c r="V5035" s="25"/>
      <c r="W5035" s="25"/>
      <c r="X5035" s="25"/>
      <c r="Y5035" s="25"/>
      <c r="Z5035" s="25"/>
      <c r="AA5035" s="25"/>
    </row>
    <row r="5036" spans="1:27" x14ac:dyDescent="0.35">
      <c r="A5036" s="5">
        <v>5032</v>
      </c>
      <c r="B5036" s="5">
        <v>210</v>
      </c>
      <c r="C5036" s="5">
        <v>7</v>
      </c>
      <c r="D5036" s="25">
        <v>1.1415000000000001E-4</v>
      </c>
      <c r="E5036" s="25">
        <v>1.1234E-4</v>
      </c>
      <c r="F5036" s="25">
        <v>1.01E-4</v>
      </c>
      <c r="G5036" s="25">
        <v>1.6157000000000001E-4</v>
      </c>
      <c r="H5036" s="25">
        <v>3.8389999999999997E-5</v>
      </c>
      <c r="I5036" s="9">
        <v>1.0908000000000001E-4</v>
      </c>
      <c r="J5036" s="9">
        <v>1.25E-4</v>
      </c>
      <c r="K5036" s="9">
        <v>0</v>
      </c>
      <c r="L5036" s="9">
        <v>1.2401E-4</v>
      </c>
      <c r="M5036" s="9">
        <v>1.4195000000000001E-4</v>
      </c>
      <c r="N5036" s="9">
        <v>1.6609E-4</v>
      </c>
      <c r="O5036" s="9">
        <v>1.3300000000000001E-4</v>
      </c>
      <c r="P5036" s="9">
        <v>1.2119E-4</v>
      </c>
      <c r="Q5036" s="9">
        <v>1.0955000000000001E-4</v>
      </c>
      <c r="R5036" s="10">
        <v>2.1151515116914592E-4</v>
      </c>
      <c r="S5036" s="10">
        <v>1.8734467835132806E-4</v>
      </c>
      <c r="T5036" s="10">
        <v>2.0138332937498279E-4</v>
      </c>
      <c r="U5036" s="10">
        <v>7.7059999999999997E-5</v>
      </c>
      <c r="V5036" s="25"/>
      <c r="W5036" s="25"/>
      <c r="X5036" s="25"/>
      <c r="Y5036" s="25"/>
      <c r="Z5036" s="25"/>
      <c r="AA5036" s="25"/>
    </row>
    <row r="5037" spans="1:27" x14ac:dyDescent="0.35">
      <c r="A5037" s="5">
        <v>5033</v>
      </c>
      <c r="B5037" s="5">
        <v>210</v>
      </c>
      <c r="C5037" s="5">
        <v>7</v>
      </c>
      <c r="D5037" s="25">
        <v>1.1416E-4</v>
      </c>
      <c r="E5037" s="25">
        <v>1.1449E-4</v>
      </c>
      <c r="F5037" s="25">
        <v>1.1201000000000001E-4</v>
      </c>
      <c r="G5037" s="25">
        <v>1.5920999999999999E-4</v>
      </c>
      <c r="H5037" s="25">
        <v>4.0609999999999999E-5</v>
      </c>
      <c r="I5037" s="9">
        <v>1.0995E-4</v>
      </c>
      <c r="J5037" s="9">
        <v>1.2496999999999999E-4</v>
      </c>
      <c r="K5037" s="9">
        <v>0</v>
      </c>
      <c r="L5037" s="9">
        <v>1.3076E-4</v>
      </c>
      <c r="M5037" s="9">
        <v>1.3343E-4</v>
      </c>
      <c r="N5037" s="9">
        <v>1.5228E-4</v>
      </c>
      <c r="O5037" s="9">
        <v>1.3970000000000001E-4</v>
      </c>
      <c r="P5037" s="9">
        <v>1.2347000000000001E-4</v>
      </c>
      <c r="Q5037" s="9">
        <v>1.0745E-4</v>
      </c>
      <c r="R5037" s="10">
        <v>2.1201589275996222E-4</v>
      </c>
      <c r="S5037" s="10">
        <v>1.8655879454434503E-4</v>
      </c>
      <c r="T5037" s="10">
        <v>3.0582505437523719E-4</v>
      </c>
      <c r="U5037" s="10">
        <v>7.7059999999999997E-5</v>
      </c>
      <c r="V5037" s="25"/>
      <c r="W5037" s="25"/>
      <c r="X5037" s="25"/>
      <c r="Y5037" s="25"/>
      <c r="Z5037" s="25"/>
      <c r="AA5037" s="25"/>
    </row>
    <row r="5038" spans="1:27" x14ac:dyDescent="0.35">
      <c r="A5038" s="5">
        <v>5034</v>
      </c>
      <c r="B5038" s="5">
        <v>210</v>
      </c>
      <c r="C5038" s="5">
        <v>7</v>
      </c>
      <c r="D5038" s="25">
        <v>1.1415000000000001E-4</v>
      </c>
      <c r="E5038" s="25">
        <v>1.1411E-4</v>
      </c>
      <c r="F5038" s="25">
        <v>1.1909999999999999E-4</v>
      </c>
      <c r="G5038" s="25">
        <v>1.6411999999999999E-4</v>
      </c>
      <c r="H5038" s="25">
        <v>4.0059999999999999E-5</v>
      </c>
      <c r="I5038" s="9">
        <v>1.0933999999999999E-4</v>
      </c>
      <c r="J5038" s="9">
        <v>1.2124E-4</v>
      </c>
      <c r="K5038" s="9">
        <v>0</v>
      </c>
      <c r="L5038" s="9">
        <v>1.3742E-4</v>
      </c>
      <c r="M5038" s="9">
        <v>1.2771000000000001E-4</v>
      </c>
      <c r="N5038" s="9">
        <v>1.3894999999999999E-4</v>
      </c>
      <c r="O5038" s="9">
        <v>1.4128E-4</v>
      </c>
      <c r="P5038" s="9">
        <v>1.2999999999999999E-4</v>
      </c>
      <c r="Q5038" s="9">
        <v>1.1885E-4</v>
      </c>
      <c r="R5038" s="10">
        <v>2.1146239855966941E-4</v>
      </c>
      <c r="S5038" s="10">
        <v>1.8555856413252992E-4</v>
      </c>
      <c r="T5038" s="10">
        <v>1.5792674810355281E-4</v>
      </c>
      <c r="U5038" s="10">
        <v>7.7059999999999997E-5</v>
      </c>
      <c r="V5038" s="25"/>
      <c r="W5038" s="25"/>
      <c r="X5038" s="25"/>
      <c r="Y5038" s="25"/>
      <c r="Z5038" s="25"/>
      <c r="AA5038" s="25"/>
    </row>
    <row r="5039" spans="1:27" x14ac:dyDescent="0.35">
      <c r="A5039" s="5">
        <v>5035</v>
      </c>
      <c r="B5039" s="5">
        <v>210</v>
      </c>
      <c r="C5039" s="5">
        <v>7</v>
      </c>
      <c r="D5039" s="25">
        <v>1.1416E-4</v>
      </c>
      <c r="E5039" s="25">
        <v>1.1695E-4</v>
      </c>
      <c r="F5039" s="25">
        <v>1.0266E-4</v>
      </c>
      <c r="G5039" s="25">
        <v>1.1010000000000001E-4</v>
      </c>
      <c r="H5039" s="25">
        <v>2.792E-5</v>
      </c>
      <c r="I5039" s="9">
        <v>1.054E-4</v>
      </c>
      <c r="J5039" s="9">
        <v>1.1852E-4</v>
      </c>
      <c r="K5039" s="9">
        <v>0</v>
      </c>
      <c r="L5039" s="9">
        <v>1.4032000000000001E-4</v>
      </c>
      <c r="M5039" s="9">
        <v>1.2724000000000001E-4</v>
      </c>
      <c r="N5039" s="9">
        <v>1.3011000000000001E-4</v>
      </c>
      <c r="O5039" s="9">
        <v>1.3925E-4</v>
      </c>
      <c r="P5039" s="9">
        <v>1.2255E-4</v>
      </c>
      <c r="Q5039" s="9">
        <v>1.0607000000000001E-4</v>
      </c>
      <c r="R5039" s="10">
        <v>2.0759700357958098E-4</v>
      </c>
      <c r="S5039" s="10">
        <v>1.8396795535801703E-4</v>
      </c>
      <c r="T5039" s="10">
        <v>4.2370590954611725E-5</v>
      </c>
      <c r="U5039" s="10">
        <v>7.7059999999999997E-5</v>
      </c>
      <c r="V5039" s="25"/>
      <c r="W5039" s="25"/>
      <c r="X5039" s="25"/>
      <c r="Y5039" s="25"/>
      <c r="Z5039" s="25"/>
      <c r="AA5039" s="25"/>
    </row>
    <row r="5040" spans="1:27" x14ac:dyDescent="0.35">
      <c r="A5040" s="5">
        <v>5036</v>
      </c>
      <c r="B5040" s="5">
        <v>210</v>
      </c>
      <c r="C5040" s="5">
        <v>7</v>
      </c>
      <c r="D5040" s="25">
        <v>1.1415000000000001E-4</v>
      </c>
      <c r="E5040" s="25">
        <v>1.1485999999999999E-4</v>
      </c>
      <c r="F5040" s="25">
        <v>1.2104000000000001E-4</v>
      </c>
      <c r="G5040" s="25">
        <v>1.0484000000000001E-4</v>
      </c>
      <c r="H5040" s="25">
        <v>2.6060000000000001E-5</v>
      </c>
      <c r="I5040" s="9">
        <v>1.0331E-4</v>
      </c>
      <c r="J5040" s="9">
        <v>1.1603E-4</v>
      </c>
      <c r="K5040" s="9">
        <v>0</v>
      </c>
      <c r="L5040" s="9">
        <v>1.3945E-4</v>
      </c>
      <c r="M5040" s="9">
        <v>1.2569E-4</v>
      </c>
      <c r="N5040" s="9">
        <v>1.2082999999999999E-4</v>
      </c>
      <c r="O5040" s="9">
        <v>1.4165E-4</v>
      </c>
      <c r="P5040" s="9">
        <v>1.2116E-4</v>
      </c>
      <c r="Q5040" s="9">
        <v>1.0095E-4</v>
      </c>
      <c r="R5040" s="10">
        <v>1.9694029417654656E-4</v>
      </c>
      <c r="S5040" s="10">
        <v>1.8252345805358565E-4</v>
      </c>
      <c r="T5040" s="10">
        <v>2.7064914926954631E-6</v>
      </c>
      <c r="U5040" s="10">
        <v>7.7059999999999997E-5</v>
      </c>
      <c r="V5040" s="25"/>
      <c r="W5040" s="25"/>
      <c r="X5040" s="25"/>
      <c r="Y5040" s="25"/>
      <c r="Z5040" s="25"/>
      <c r="AA5040" s="25"/>
    </row>
    <row r="5041" spans="1:27" x14ac:dyDescent="0.35">
      <c r="A5041" s="5">
        <v>5037</v>
      </c>
      <c r="B5041" s="5">
        <v>210</v>
      </c>
      <c r="C5041" s="5">
        <v>7</v>
      </c>
      <c r="D5041" s="25">
        <v>1.1416E-4</v>
      </c>
      <c r="E5041" s="25">
        <v>1.1582E-4</v>
      </c>
      <c r="F5041" s="25">
        <v>1.0118E-4</v>
      </c>
      <c r="G5041" s="25">
        <v>5.5529999999999999E-5</v>
      </c>
      <c r="H5041" s="25">
        <v>1.4810000000000001E-5</v>
      </c>
      <c r="I5041" s="9">
        <v>1.0255E-4</v>
      </c>
      <c r="J5041" s="9">
        <v>1.1404E-4</v>
      </c>
      <c r="K5041" s="9">
        <v>0</v>
      </c>
      <c r="L5041" s="9">
        <v>1.4123E-4</v>
      </c>
      <c r="M5041" s="9">
        <v>1.2365999999999999E-4</v>
      </c>
      <c r="N5041" s="9">
        <v>1.1298000000000001E-4</v>
      </c>
      <c r="O5041" s="9">
        <v>8.4610000000000005E-5</v>
      </c>
      <c r="P5041" s="9">
        <v>8.6509999999999997E-5</v>
      </c>
      <c r="Q5041" s="9">
        <v>8.8510000000000005E-5</v>
      </c>
      <c r="R5041" s="10">
        <v>1.835396941650314E-4</v>
      </c>
      <c r="S5041" s="10">
        <v>1.8106302368424483E-4</v>
      </c>
      <c r="T5041" s="10">
        <v>0</v>
      </c>
      <c r="U5041" s="10">
        <v>7.7059999999999997E-5</v>
      </c>
      <c r="V5041" s="25"/>
      <c r="W5041" s="25"/>
      <c r="X5041" s="25"/>
      <c r="Y5041" s="25"/>
      <c r="Z5041" s="25"/>
      <c r="AA5041" s="25"/>
    </row>
    <row r="5042" spans="1:27" x14ac:dyDescent="0.35">
      <c r="A5042" s="5">
        <v>5038</v>
      </c>
      <c r="B5042" s="5">
        <v>210</v>
      </c>
      <c r="C5042" s="5">
        <v>7</v>
      </c>
      <c r="D5042" s="25">
        <v>1.1415000000000001E-4</v>
      </c>
      <c r="E5042" s="25">
        <v>1.2116E-4</v>
      </c>
      <c r="F5042" s="25">
        <v>1.1167000000000001E-4</v>
      </c>
      <c r="G5042" s="25">
        <v>5.9009999999999999E-5</v>
      </c>
      <c r="H5042" s="25">
        <v>1.506E-5</v>
      </c>
      <c r="I5042" s="9">
        <v>1.0582999999999999E-4</v>
      </c>
      <c r="J5042" s="9">
        <v>1.1218E-4</v>
      </c>
      <c r="K5042" s="9">
        <v>0</v>
      </c>
      <c r="L5042" s="9">
        <v>9.7029999999999998E-5</v>
      </c>
      <c r="M5042" s="9">
        <v>1.0972999999999999E-4</v>
      </c>
      <c r="N5042" s="9">
        <v>1.0545E-4</v>
      </c>
      <c r="O5042" s="9">
        <v>8.6760000000000003E-5</v>
      </c>
      <c r="P5042" s="9">
        <v>8.7289999999999999E-5</v>
      </c>
      <c r="Q5042" s="9">
        <v>8.7940000000000002E-5</v>
      </c>
      <c r="R5042" s="10">
        <v>1.7192813049698476E-4</v>
      </c>
      <c r="S5042" s="10">
        <v>1.7980934528662477E-4</v>
      </c>
      <c r="T5042" s="10">
        <v>0</v>
      </c>
      <c r="U5042" s="10">
        <v>7.7059999999999997E-5</v>
      </c>
      <c r="V5042" s="25"/>
      <c r="W5042" s="25"/>
      <c r="X5042" s="25"/>
      <c r="Y5042" s="25"/>
      <c r="Z5042" s="25"/>
      <c r="AA5042" s="25"/>
    </row>
    <row r="5043" spans="1:27" x14ac:dyDescent="0.35">
      <c r="A5043" s="5">
        <v>5039</v>
      </c>
      <c r="B5043" s="5">
        <v>210</v>
      </c>
      <c r="C5043" s="5">
        <v>7</v>
      </c>
      <c r="D5043" s="25">
        <v>1.1416E-4</v>
      </c>
      <c r="E5043" s="25">
        <v>1.1697999999999999E-4</v>
      </c>
      <c r="F5043" s="25">
        <v>1.0344E-4</v>
      </c>
      <c r="G5043" s="25">
        <v>5.2859999999999999E-5</v>
      </c>
      <c r="H5043" s="25">
        <v>1.5150000000000001E-5</v>
      </c>
      <c r="I5043" s="9">
        <v>1.009E-4</v>
      </c>
      <c r="J5043" s="9">
        <v>1.0698E-4</v>
      </c>
      <c r="K5043" s="9">
        <v>0</v>
      </c>
      <c r="L5043" s="9">
        <v>9.0229999999999995E-5</v>
      </c>
      <c r="M5043" s="9">
        <v>9.7930000000000006E-5</v>
      </c>
      <c r="N5043" s="9">
        <v>9.9599999999999995E-5</v>
      </c>
      <c r="O5043" s="9">
        <v>8.4209999999999995E-5</v>
      </c>
      <c r="P5043" s="9">
        <v>7.5339999999999994E-5</v>
      </c>
      <c r="Q5043" s="9">
        <v>6.6740000000000001E-5</v>
      </c>
      <c r="R5043" s="10">
        <v>1.6389704949346183E-4</v>
      </c>
      <c r="S5043" s="10">
        <v>1.7858011167165317E-4</v>
      </c>
      <c r="T5043" s="10">
        <v>0</v>
      </c>
      <c r="U5043" s="10">
        <v>7.7059999999999997E-5</v>
      </c>
      <c r="V5043" s="25"/>
      <c r="W5043" s="25"/>
      <c r="X5043" s="25"/>
      <c r="Y5043" s="25"/>
      <c r="Z5043" s="25"/>
      <c r="AA5043" s="25"/>
    </row>
    <row r="5044" spans="1:27" x14ac:dyDescent="0.35">
      <c r="A5044" s="5">
        <v>5040</v>
      </c>
      <c r="B5044" s="5">
        <v>210</v>
      </c>
      <c r="C5044" s="5">
        <v>7</v>
      </c>
      <c r="D5044" s="25">
        <v>1.1415000000000001E-4</v>
      </c>
      <c r="E5044" s="25">
        <v>1.1904E-4</v>
      </c>
      <c r="F5044" s="25">
        <v>1.2232000000000001E-4</v>
      </c>
      <c r="G5044" s="25">
        <v>5.8159999999999999E-5</v>
      </c>
      <c r="H5044" s="25">
        <v>1.5109999999999999E-5</v>
      </c>
      <c r="I5044" s="9">
        <v>9.5000000000000005E-5</v>
      </c>
      <c r="J5044" s="9">
        <v>9.9989999999999996E-5</v>
      </c>
      <c r="K5044" s="9">
        <v>0</v>
      </c>
      <c r="L5044" s="9">
        <v>8.5760000000000006E-5</v>
      </c>
      <c r="M5044" s="9">
        <v>8.7029999999999999E-5</v>
      </c>
      <c r="N5044" s="9">
        <v>9.0299999999999999E-5</v>
      </c>
      <c r="O5044" s="9">
        <v>7.8289999999999998E-5</v>
      </c>
      <c r="P5044" s="9">
        <v>6.8159999999999998E-5</v>
      </c>
      <c r="Q5044" s="9">
        <v>5.834E-5</v>
      </c>
      <c r="R5044" s="10">
        <v>1.5239276304302753E-4</v>
      </c>
      <c r="S5044" s="10">
        <v>1.7684576252554181E-4</v>
      </c>
      <c r="T5044" s="10">
        <v>0</v>
      </c>
      <c r="U5044" s="10">
        <v>7.7059999999999997E-5</v>
      </c>
      <c r="V5044" s="25"/>
      <c r="W5044" s="25"/>
      <c r="X5044" s="25"/>
      <c r="Y5044" s="25"/>
      <c r="Z5044" s="25"/>
      <c r="AA5044" s="25"/>
    </row>
    <row r="5045" spans="1:27" x14ac:dyDescent="0.35">
      <c r="A5045" s="5">
        <v>5041</v>
      </c>
      <c r="B5045" s="5">
        <v>211</v>
      </c>
      <c r="C5045" s="5">
        <v>7</v>
      </c>
      <c r="D5045" s="25">
        <v>1.1416E-4</v>
      </c>
      <c r="E5045" s="25">
        <v>1.1067E-4</v>
      </c>
      <c r="F5045" s="25">
        <v>1.2677000000000001E-4</v>
      </c>
      <c r="G5045" s="25">
        <v>5.7729999999999998E-5</v>
      </c>
      <c r="H5045" s="25">
        <v>6.8280000000000004E-5</v>
      </c>
      <c r="I5045" s="9">
        <v>9.1240000000000001E-5</v>
      </c>
      <c r="J5045" s="9">
        <v>9.4900000000000003E-5</v>
      </c>
      <c r="K5045" s="9">
        <v>0</v>
      </c>
      <c r="L5045" s="9">
        <v>7.9729999999999997E-5</v>
      </c>
      <c r="M5045" s="9">
        <v>7.7760000000000001E-5</v>
      </c>
      <c r="N5045" s="9">
        <v>8.0840000000000005E-5</v>
      </c>
      <c r="O5045" s="9">
        <v>5.4969999999999997E-5</v>
      </c>
      <c r="P5045" s="9">
        <v>5.4379999999999998E-5</v>
      </c>
      <c r="Q5045" s="9">
        <v>5.3949999999999997E-5</v>
      </c>
      <c r="R5045" s="10">
        <v>1.5006821382048302E-4</v>
      </c>
      <c r="S5045" s="10">
        <v>1.7693415166199588E-4</v>
      </c>
      <c r="T5045" s="10">
        <v>0</v>
      </c>
      <c r="U5045" s="10">
        <v>7.8189999999999995E-5</v>
      </c>
      <c r="V5045" s="25"/>
      <c r="W5045" s="25"/>
      <c r="X5045" s="25"/>
      <c r="Y5045" s="25"/>
      <c r="Z5045" s="25"/>
      <c r="AA5045" s="25"/>
    </row>
    <row r="5046" spans="1:27" x14ac:dyDescent="0.35">
      <c r="A5046" s="5">
        <v>5042</v>
      </c>
      <c r="B5046" s="5">
        <v>211</v>
      </c>
      <c r="C5046" s="5">
        <v>7</v>
      </c>
      <c r="D5046" s="25">
        <v>1.1415000000000001E-4</v>
      </c>
      <c r="E5046" s="25">
        <v>1.1017E-4</v>
      </c>
      <c r="F5046" s="25">
        <v>1.1464999999999999E-4</v>
      </c>
      <c r="G5046" s="25">
        <v>5.6390000000000001E-5</v>
      </c>
      <c r="H5046" s="25">
        <v>7.4140000000000005E-5</v>
      </c>
      <c r="I5046" s="9">
        <v>8.7949999999999996E-5</v>
      </c>
      <c r="J5046" s="9">
        <v>9.2509999999999993E-5</v>
      </c>
      <c r="K5046" s="9">
        <v>0</v>
      </c>
      <c r="L5046" s="9">
        <v>6.0560000000000003E-5</v>
      </c>
      <c r="M5046" s="9">
        <v>6.7169999999999996E-5</v>
      </c>
      <c r="N5046" s="9">
        <v>7.1920000000000003E-5</v>
      </c>
      <c r="O5046" s="9">
        <v>1.933E-5</v>
      </c>
      <c r="P5046" s="9">
        <v>3.782E-5</v>
      </c>
      <c r="Q5046" s="9">
        <v>5.6280000000000003E-5</v>
      </c>
      <c r="R5046" s="10">
        <v>1.4673184334548309E-4</v>
      </c>
      <c r="S5046" s="10">
        <v>1.766283547481444E-4</v>
      </c>
      <c r="T5046" s="10">
        <v>0</v>
      </c>
      <c r="U5046" s="10">
        <v>7.8189999999999995E-5</v>
      </c>
      <c r="V5046" s="25"/>
      <c r="W5046" s="25"/>
      <c r="X5046" s="25"/>
      <c r="Y5046" s="25"/>
      <c r="Z5046" s="25"/>
      <c r="AA5046" s="25"/>
    </row>
    <row r="5047" spans="1:27" x14ac:dyDescent="0.35">
      <c r="A5047" s="5">
        <v>5043</v>
      </c>
      <c r="B5047" s="5">
        <v>211</v>
      </c>
      <c r="C5047" s="5">
        <v>7</v>
      </c>
      <c r="D5047" s="25">
        <v>1.1416E-4</v>
      </c>
      <c r="E5047" s="25">
        <v>1.1202E-4</v>
      </c>
      <c r="F5047" s="25">
        <v>1.2765000000000001E-4</v>
      </c>
      <c r="G5047" s="25">
        <v>6.0890000000000001E-5</v>
      </c>
      <c r="H5047" s="25">
        <v>6.7119999999999994E-5</v>
      </c>
      <c r="I5047" s="9">
        <v>8.6769999999999998E-5</v>
      </c>
      <c r="J5047" s="9">
        <v>9.1769999999999997E-5</v>
      </c>
      <c r="K5047" s="9">
        <v>0</v>
      </c>
      <c r="L5047" s="9">
        <v>2.8920000000000001E-5</v>
      </c>
      <c r="M5047" s="9">
        <v>5.4020000000000001E-5</v>
      </c>
      <c r="N5047" s="9">
        <v>6.5430000000000002E-5</v>
      </c>
      <c r="O5047" s="9">
        <v>1.397E-5</v>
      </c>
      <c r="P5047" s="9">
        <v>3.803E-5</v>
      </c>
      <c r="Q5047" s="9">
        <v>6.198E-5</v>
      </c>
      <c r="R5047" s="10">
        <v>1.4316039572517337E-4</v>
      </c>
      <c r="S5047" s="10">
        <v>1.7604278728906121E-4</v>
      </c>
      <c r="T5047" s="10">
        <v>0</v>
      </c>
      <c r="U5047" s="10">
        <v>7.8189999999999995E-5</v>
      </c>
      <c r="V5047" s="25"/>
      <c r="W5047" s="25"/>
      <c r="X5047" s="25"/>
      <c r="Y5047" s="25"/>
      <c r="Z5047" s="25"/>
      <c r="AA5047" s="25"/>
    </row>
    <row r="5048" spans="1:27" x14ac:dyDescent="0.35">
      <c r="A5048" s="5">
        <v>5044</v>
      </c>
      <c r="B5048" s="5">
        <v>211</v>
      </c>
      <c r="C5048" s="5">
        <v>7</v>
      </c>
      <c r="D5048" s="25">
        <v>1.1415000000000001E-4</v>
      </c>
      <c r="E5048" s="25">
        <v>1.099E-4</v>
      </c>
      <c r="F5048" s="25">
        <v>1.1754E-4</v>
      </c>
      <c r="G5048" s="25">
        <v>5.3709999999999999E-5</v>
      </c>
      <c r="H5048" s="25">
        <v>6.5170000000000001E-5</v>
      </c>
      <c r="I5048" s="9">
        <v>8.7570000000000004E-5</v>
      </c>
      <c r="J5048" s="9">
        <v>9.1879999999999994E-5</v>
      </c>
      <c r="K5048" s="9">
        <v>0</v>
      </c>
      <c r="L5048" s="9">
        <v>1.8110000000000001E-5</v>
      </c>
      <c r="M5048" s="9">
        <v>4.5089999999999997E-5</v>
      </c>
      <c r="N5048" s="9">
        <v>6.1989999999999994E-5</v>
      </c>
      <c r="O5048" s="9">
        <v>1.4E-5</v>
      </c>
      <c r="P5048" s="9">
        <v>4.7599999999999998E-5</v>
      </c>
      <c r="Q5048" s="9">
        <v>8.0959999999999997E-5</v>
      </c>
      <c r="R5048" s="10">
        <v>1.3795033219286538E-4</v>
      </c>
      <c r="S5048" s="10">
        <v>1.7551117667037147E-4</v>
      </c>
      <c r="T5048" s="10">
        <v>0</v>
      </c>
      <c r="U5048" s="10">
        <v>7.8189999999999995E-5</v>
      </c>
      <c r="V5048" s="25"/>
      <c r="W5048" s="25"/>
      <c r="X5048" s="25"/>
      <c r="Y5048" s="25"/>
      <c r="Z5048" s="25"/>
      <c r="AA5048" s="25"/>
    </row>
    <row r="5049" spans="1:27" x14ac:dyDescent="0.35">
      <c r="A5049" s="5">
        <v>5045</v>
      </c>
      <c r="B5049" s="5">
        <v>211</v>
      </c>
      <c r="C5049" s="5">
        <v>7</v>
      </c>
      <c r="D5049" s="25">
        <v>1.1416E-4</v>
      </c>
      <c r="E5049" s="25">
        <v>1.1658E-4</v>
      </c>
      <c r="F5049" s="25">
        <v>1.2793E-4</v>
      </c>
      <c r="G5049" s="25">
        <v>6.1210000000000005E-5</v>
      </c>
      <c r="H5049" s="25">
        <v>6.9179999999999998E-5</v>
      </c>
      <c r="I5049" s="9">
        <v>9.0110000000000003E-5</v>
      </c>
      <c r="J5049" s="9">
        <v>9.4079999999999994E-5</v>
      </c>
      <c r="K5049" s="9">
        <v>0</v>
      </c>
      <c r="L5049" s="9">
        <v>1.508E-5</v>
      </c>
      <c r="M5049" s="9">
        <v>4.4020000000000002E-5</v>
      </c>
      <c r="N5049" s="9">
        <v>6.4679999999999997E-5</v>
      </c>
      <c r="O5049" s="9">
        <v>1.9349999999999999E-5</v>
      </c>
      <c r="P5049" s="9">
        <v>5.681E-5</v>
      </c>
      <c r="Q5049" s="9">
        <v>9.3939999999999998E-5</v>
      </c>
      <c r="R5049" s="10">
        <v>1.3113836023390856E-4</v>
      </c>
      <c r="S5049" s="10">
        <v>1.7544993682259798E-4</v>
      </c>
      <c r="T5049" s="10">
        <v>0</v>
      </c>
      <c r="U5049" s="10">
        <v>7.8189999999999995E-5</v>
      </c>
      <c r="V5049" s="25"/>
      <c r="W5049" s="25"/>
      <c r="X5049" s="25"/>
      <c r="Y5049" s="25"/>
      <c r="Z5049" s="25"/>
      <c r="AA5049" s="25"/>
    </row>
    <row r="5050" spans="1:27" x14ac:dyDescent="0.35">
      <c r="A5050" s="5">
        <v>5046</v>
      </c>
      <c r="B5050" s="5">
        <v>211</v>
      </c>
      <c r="C5050" s="5">
        <v>7</v>
      </c>
      <c r="D5050" s="25">
        <v>1.1415000000000001E-4</v>
      </c>
      <c r="E5050" s="25">
        <v>1.1307999999999999E-4</v>
      </c>
      <c r="F5050" s="25">
        <v>1.0767E-4</v>
      </c>
      <c r="G5050" s="25">
        <v>1.1118E-4</v>
      </c>
      <c r="H5050" s="25">
        <v>1.2904E-4</v>
      </c>
      <c r="I5050" s="9">
        <v>9.4569999999999997E-5</v>
      </c>
      <c r="J5050" s="9">
        <v>9.8579999999999995E-5</v>
      </c>
      <c r="K5050" s="9">
        <v>0</v>
      </c>
      <c r="L5050" s="9">
        <v>1.8280000000000001E-5</v>
      </c>
      <c r="M5050" s="9">
        <v>4.8720000000000001E-5</v>
      </c>
      <c r="N5050" s="9">
        <v>7.1310000000000007E-5</v>
      </c>
      <c r="O5050" s="9">
        <v>4.6449999999999997E-5</v>
      </c>
      <c r="P5050" s="9">
        <v>7.695E-5</v>
      </c>
      <c r="Q5050" s="9">
        <v>1.0715E-4</v>
      </c>
      <c r="R5050" s="10">
        <v>1.2072952024483591E-4</v>
      </c>
      <c r="S5050" s="10">
        <v>1.7457339858792544E-4</v>
      </c>
      <c r="T5050" s="10">
        <v>3.2511835109746127E-5</v>
      </c>
      <c r="U5050" s="10">
        <v>7.8189999999999995E-5</v>
      </c>
      <c r="V5050" s="25"/>
      <c r="W5050" s="25"/>
      <c r="X5050" s="25"/>
      <c r="Y5050" s="25"/>
      <c r="Z5050" s="25"/>
      <c r="AA5050" s="25"/>
    </row>
    <row r="5051" spans="1:27" x14ac:dyDescent="0.35">
      <c r="A5051" s="5">
        <v>5047</v>
      </c>
      <c r="B5051" s="5">
        <v>211</v>
      </c>
      <c r="C5051" s="5">
        <v>7</v>
      </c>
      <c r="D5051" s="25">
        <v>1.1416E-4</v>
      </c>
      <c r="E5051" s="25">
        <v>1.1181E-4</v>
      </c>
      <c r="F5051" s="25">
        <v>1.1186E-4</v>
      </c>
      <c r="G5051" s="25">
        <v>1.0760999999999999E-4</v>
      </c>
      <c r="H5051" s="25">
        <v>1.2698000000000001E-4</v>
      </c>
      <c r="I5051" s="9">
        <v>1.0075E-4</v>
      </c>
      <c r="J5051" s="9">
        <v>1.0852E-4</v>
      </c>
      <c r="K5051" s="9">
        <v>0</v>
      </c>
      <c r="L5051" s="9">
        <v>4.0110000000000001E-5</v>
      </c>
      <c r="M5051" s="9">
        <v>6.0210000000000001E-5</v>
      </c>
      <c r="N5051" s="9">
        <v>8.1009999999999999E-5</v>
      </c>
      <c r="O5051" s="9">
        <v>1.2234E-4</v>
      </c>
      <c r="P5051" s="9">
        <v>1.1739E-4</v>
      </c>
      <c r="Q5051" s="9">
        <v>1.1245E-4</v>
      </c>
      <c r="R5051" s="10">
        <v>1.0863448113286938E-4</v>
      </c>
      <c r="S5051" s="10">
        <v>1.7143163657670624E-4</v>
      </c>
      <c r="T5051" s="10">
        <v>1.3022551072533749E-4</v>
      </c>
      <c r="U5051" s="10">
        <v>7.8189999999999995E-5</v>
      </c>
      <c r="V5051" s="25"/>
      <c r="W5051" s="25"/>
      <c r="X5051" s="25"/>
      <c r="Y5051" s="25"/>
      <c r="Z5051" s="25"/>
      <c r="AA5051" s="25"/>
    </row>
    <row r="5052" spans="1:27" x14ac:dyDescent="0.35">
      <c r="A5052" s="5">
        <v>5048</v>
      </c>
      <c r="B5052" s="5">
        <v>211</v>
      </c>
      <c r="C5052" s="5">
        <v>7</v>
      </c>
      <c r="D5052" s="25">
        <v>1.1415000000000001E-4</v>
      </c>
      <c r="E5052" s="25">
        <v>1.1103E-4</v>
      </c>
      <c r="F5052" s="25">
        <v>1.1097E-4</v>
      </c>
      <c r="G5052" s="25">
        <v>1.6482000000000001E-4</v>
      </c>
      <c r="H5052" s="25">
        <v>1.9984000000000001E-4</v>
      </c>
      <c r="I5052" s="9">
        <v>1.0762E-4</v>
      </c>
      <c r="J5052" s="9">
        <v>1.1909999999999999E-4</v>
      </c>
      <c r="K5052" s="9">
        <v>0</v>
      </c>
      <c r="L5052" s="9">
        <v>1.0364E-4</v>
      </c>
      <c r="M5052" s="9">
        <v>8.3770000000000006E-5</v>
      </c>
      <c r="N5052" s="9">
        <v>9.1059999999999999E-5</v>
      </c>
      <c r="O5052" s="9">
        <v>2.1746999999999999E-4</v>
      </c>
      <c r="P5052" s="9">
        <v>1.7694E-4</v>
      </c>
      <c r="Q5052" s="9">
        <v>1.3668999999999999E-4</v>
      </c>
      <c r="R5052" s="10">
        <v>9.7693007859013449E-5</v>
      </c>
      <c r="S5052" s="10">
        <v>1.6720426035838688E-4</v>
      </c>
      <c r="T5052" s="10">
        <v>3.069704347875064E-4</v>
      </c>
      <c r="U5052" s="10">
        <v>7.8189999999999995E-5</v>
      </c>
      <c r="V5052" s="25"/>
      <c r="W5052" s="25"/>
      <c r="X5052" s="25"/>
      <c r="Y5052" s="25"/>
      <c r="Z5052" s="25"/>
      <c r="AA5052" s="25"/>
    </row>
    <row r="5053" spans="1:27" x14ac:dyDescent="0.35">
      <c r="A5053" s="5">
        <v>5049</v>
      </c>
      <c r="B5053" s="5">
        <v>211</v>
      </c>
      <c r="C5053" s="5">
        <v>7</v>
      </c>
      <c r="D5053" s="25">
        <v>1.1416E-4</v>
      </c>
      <c r="E5053" s="25">
        <v>1.069E-4</v>
      </c>
      <c r="F5053" s="25">
        <v>1.1709000000000001E-4</v>
      </c>
      <c r="G5053" s="25">
        <v>1.6029999999999999E-4</v>
      </c>
      <c r="H5053" s="25">
        <v>1.9343E-4</v>
      </c>
      <c r="I5053" s="9">
        <v>1.126E-4</v>
      </c>
      <c r="J5053" s="9">
        <v>1.2451000000000001E-4</v>
      </c>
      <c r="K5053" s="9">
        <v>0</v>
      </c>
      <c r="L5053" s="9">
        <v>1.9068000000000001E-4</v>
      </c>
      <c r="M5053" s="9">
        <v>1.2341000000000001E-4</v>
      </c>
      <c r="N5053" s="9">
        <v>1.0474E-4</v>
      </c>
      <c r="O5053" s="9">
        <v>2.1032000000000001E-4</v>
      </c>
      <c r="P5053" s="9">
        <v>1.9406999999999999E-4</v>
      </c>
      <c r="Q5053" s="9">
        <v>1.7773999999999999E-4</v>
      </c>
      <c r="R5053" s="10">
        <v>9.5847322537355974E-5</v>
      </c>
      <c r="S5053" s="10">
        <v>1.6523206325051788E-4</v>
      </c>
      <c r="T5053" s="10">
        <v>7.5094533548111423E-5</v>
      </c>
      <c r="U5053" s="10">
        <v>7.8189999999999995E-5</v>
      </c>
      <c r="V5053" s="25"/>
      <c r="W5053" s="25"/>
      <c r="X5053" s="25"/>
      <c r="Y5053" s="25"/>
      <c r="Z5053" s="25"/>
      <c r="AA5053" s="25"/>
    </row>
    <row r="5054" spans="1:27" x14ac:dyDescent="0.35">
      <c r="A5054" s="5">
        <v>5050</v>
      </c>
      <c r="B5054" s="5">
        <v>211</v>
      </c>
      <c r="C5054" s="5">
        <v>7</v>
      </c>
      <c r="D5054" s="25">
        <v>1.1415000000000001E-4</v>
      </c>
      <c r="E5054" s="25">
        <v>1.1527E-4</v>
      </c>
      <c r="F5054" s="25">
        <v>1.262E-4</v>
      </c>
      <c r="G5054" s="25">
        <v>1.6108E-4</v>
      </c>
      <c r="H5054" s="25">
        <v>1.9263E-4</v>
      </c>
      <c r="I5054" s="9">
        <v>1.1469E-4</v>
      </c>
      <c r="J5054" s="9">
        <v>1.2624000000000001E-4</v>
      </c>
      <c r="K5054" s="9">
        <v>0</v>
      </c>
      <c r="L5054" s="9">
        <v>2.0372000000000001E-4</v>
      </c>
      <c r="M5054" s="9">
        <v>1.5890000000000001E-4</v>
      </c>
      <c r="N5054" s="9">
        <v>1.2486999999999999E-4</v>
      </c>
      <c r="O5054" s="9">
        <v>1.6456000000000001E-4</v>
      </c>
      <c r="P5054" s="9">
        <v>1.7283000000000001E-4</v>
      </c>
      <c r="Q5054" s="9">
        <v>1.8077999999999999E-4</v>
      </c>
      <c r="R5054" s="10">
        <v>1.0296204231816531E-4</v>
      </c>
      <c r="S5054" s="10">
        <v>1.6474258535559717E-4</v>
      </c>
      <c r="T5054" s="10">
        <v>1.375304924658102E-4</v>
      </c>
      <c r="U5054" s="10">
        <v>7.8189999999999995E-5</v>
      </c>
      <c r="V5054" s="25"/>
      <c r="W5054" s="25"/>
      <c r="X5054" s="25"/>
      <c r="Y5054" s="25"/>
      <c r="Z5054" s="25"/>
      <c r="AA5054" s="25"/>
    </row>
    <row r="5055" spans="1:27" x14ac:dyDescent="0.35">
      <c r="A5055" s="5">
        <v>5051</v>
      </c>
      <c r="B5055" s="5">
        <v>211</v>
      </c>
      <c r="C5055" s="5">
        <v>7</v>
      </c>
      <c r="D5055" s="25">
        <v>1.1416E-4</v>
      </c>
      <c r="E5055" s="25">
        <v>1.1448E-4</v>
      </c>
      <c r="F5055" s="25">
        <v>1.2362000000000001E-4</v>
      </c>
      <c r="G5055" s="25">
        <v>1.6684999999999999E-4</v>
      </c>
      <c r="H5055" s="25">
        <v>1.9914999999999999E-4</v>
      </c>
      <c r="I5055" s="9">
        <v>1.1623E-4</v>
      </c>
      <c r="J5055" s="9">
        <v>1.2689999999999999E-4</v>
      </c>
      <c r="K5055" s="9">
        <v>0</v>
      </c>
      <c r="L5055" s="9">
        <v>1.7322E-4</v>
      </c>
      <c r="M5055" s="9">
        <v>1.7215000000000001E-4</v>
      </c>
      <c r="N5055" s="9">
        <v>1.426E-4</v>
      </c>
      <c r="O5055" s="9">
        <v>1.6469E-4</v>
      </c>
      <c r="P5055" s="9">
        <v>1.7163000000000001E-4</v>
      </c>
      <c r="Q5055" s="9">
        <v>1.7827000000000001E-4</v>
      </c>
      <c r="R5055" s="10">
        <v>1.0998635107262201E-4</v>
      </c>
      <c r="S5055" s="10">
        <v>1.6306718802146065E-4</v>
      </c>
      <c r="T5055" s="10">
        <v>1.2772264241704543E-4</v>
      </c>
      <c r="U5055" s="10">
        <v>7.8189999999999995E-5</v>
      </c>
      <c r="V5055" s="25"/>
      <c r="W5055" s="25"/>
      <c r="X5055" s="25"/>
      <c r="Y5055" s="25"/>
      <c r="Z5055" s="25"/>
      <c r="AA5055" s="25"/>
    </row>
    <row r="5056" spans="1:27" x14ac:dyDescent="0.35">
      <c r="A5056" s="5">
        <v>5052</v>
      </c>
      <c r="B5056" s="5">
        <v>211</v>
      </c>
      <c r="C5056" s="5">
        <v>7</v>
      </c>
      <c r="D5056" s="25">
        <v>1.1415000000000001E-4</v>
      </c>
      <c r="E5056" s="25">
        <v>1.0993E-4</v>
      </c>
      <c r="F5056" s="25">
        <v>1.139E-4</v>
      </c>
      <c r="G5056" s="25">
        <v>1.6174000000000001E-4</v>
      </c>
      <c r="H5056" s="25">
        <v>1.9180999999999999E-4</v>
      </c>
      <c r="I5056" s="9">
        <v>1.1519999999999999E-4</v>
      </c>
      <c r="J5056" s="9">
        <v>1.2605E-4</v>
      </c>
      <c r="K5056" s="9">
        <v>0</v>
      </c>
      <c r="L5056" s="9">
        <v>1.6801000000000001E-4</v>
      </c>
      <c r="M5056" s="9">
        <v>1.7414000000000001E-4</v>
      </c>
      <c r="N5056" s="9">
        <v>1.5637E-4</v>
      </c>
      <c r="O5056" s="9">
        <v>1.6888999999999999E-4</v>
      </c>
      <c r="P5056" s="9">
        <v>1.7181999999999999E-4</v>
      </c>
      <c r="Q5056" s="9">
        <v>1.7450000000000001E-4</v>
      </c>
      <c r="R5056" s="10">
        <v>1.2219271121182183E-4</v>
      </c>
      <c r="S5056" s="10">
        <v>1.6976661811890281E-4</v>
      </c>
      <c r="T5056" s="10">
        <v>2.7216783885322183E-4</v>
      </c>
      <c r="U5056" s="10">
        <v>7.8189999999999995E-5</v>
      </c>
      <c r="V5056" s="25"/>
      <c r="W5056" s="25"/>
      <c r="X5056" s="25"/>
      <c r="Y5056" s="25"/>
      <c r="Z5056" s="25"/>
      <c r="AA5056" s="25"/>
    </row>
    <row r="5057" spans="1:27" x14ac:dyDescent="0.35">
      <c r="A5057" s="5">
        <v>5053</v>
      </c>
      <c r="B5057" s="5">
        <v>211</v>
      </c>
      <c r="C5057" s="5">
        <v>7</v>
      </c>
      <c r="D5057" s="25">
        <v>1.1416E-4</v>
      </c>
      <c r="E5057" s="25">
        <v>1.069E-4</v>
      </c>
      <c r="F5057" s="25">
        <v>1.205E-4</v>
      </c>
      <c r="G5057" s="25">
        <v>1.6058000000000001E-4</v>
      </c>
      <c r="H5057" s="25">
        <v>1.8895000000000001E-4</v>
      </c>
      <c r="I5057" s="9">
        <v>1.1209000000000001E-4</v>
      </c>
      <c r="J5057" s="9">
        <v>1.2474E-4</v>
      </c>
      <c r="K5057" s="9">
        <v>0</v>
      </c>
      <c r="L5057" s="9">
        <v>1.6887E-4</v>
      </c>
      <c r="M5057" s="9">
        <v>1.7333999999999999E-4</v>
      </c>
      <c r="N5057" s="9">
        <v>1.6592000000000001E-4</v>
      </c>
      <c r="O5057" s="9">
        <v>1.5909E-4</v>
      </c>
      <c r="P5057" s="9">
        <v>1.627E-4</v>
      </c>
      <c r="Q5057" s="9">
        <v>1.6606999999999999E-4</v>
      </c>
      <c r="R5057" s="10">
        <v>1.1876616905976441E-4</v>
      </c>
      <c r="S5057" s="10">
        <v>1.6801339898596949E-4</v>
      </c>
      <c r="T5057" s="10">
        <v>9.612711163711471E-5</v>
      </c>
      <c r="U5057" s="10">
        <v>7.8189999999999995E-5</v>
      </c>
      <c r="V5057" s="25"/>
      <c r="W5057" s="25"/>
      <c r="X5057" s="25"/>
      <c r="Y5057" s="25"/>
      <c r="Z5057" s="25"/>
      <c r="AA5057" s="25"/>
    </row>
    <row r="5058" spans="1:27" x14ac:dyDescent="0.35">
      <c r="A5058" s="5">
        <v>5054</v>
      </c>
      <c r="B5058" s="5">
        <v>211</v>
      </c>
      <c r="C5058" s="5">
        <v>7</v>
      </c>
      <c r="D5058" s="25">
        <v>1.1415000000000001E-4</v>
      </c>
      <c r="E5058" s="25">
        <v>1.0946E-4</v>
      </c>
      <c r="F5058" s="25">
        <v>1.1009E-4</v>
      </c>
      <c r="G5058" s="25">
        <v>1.5699999999999999E-4</v>
      </c>
      <c r="H5058" s="25">
        <v>1.9871E-4</v>
      </c>
      <c r="I5058" s="9">
        <v>1.0854E-4</v>
      </c>
      <c r="J5058" s="9">
        <v>1.2320000000000001E-4</v>
      </c>
      <c r="K5058" s="9">
        <v>0</v>
      </c>
      <c r="L5058" s="9">
        <v>1.6095000000000001E-4</v>
      </c>
      <c r="M5058" s="9">
        <v>1.693E-4</v>
      </c>
      <c r="N5058" s="9">
        <v>1.6995000000000001E-4</v>
      </c>
      <c r="O5058" s="9">
        <v>1.7751999999999999E-4</v>
      </c>
      <c r="P5058" s="9">
        <v>1.6956999999999999E-4</v>
      </c>
      <c r="Q5058" s="9">
        <v>1.6150999999999999E-4</v>
      </c>
      <c r="R5058" s="10">
        <v>1.0860106396344173E-4</v>
      </c>
      <c r="S5058" s="10">
        <v>1.6563332928571316E-4</v>
      </c>
      <c r="T5058" s="10">
        <v>8.913604897259728E-5</v>
      </c>
      <c r="U5058" s="10">
        <v>7.8189999999999995E-5</v>
      </c>
      <c r="V5058" s="25"/>
      <c r="W5058" s="25"/>
      <c r="X5058" s="25"/>
      <c r="Y5058" s="25"/>
      <c r="Z5058" s="25"/>
      <c r="AA5058" s="25"/>
    </row>
    <row r="5059" spans="1:27" x14ac:dyDescent="0.35">
      <c r="A5059" s="5">
        <v>5055</v>
      </c>
      <c r="B5059" s="5">
        <v>211</v>
      </c>
      <c r="C5059" s="5">
        <v>7</v>
      </c>
      <c r="D5059" s="25">
        <v>1.1416E-4</v>
      </c>
      <c r="E5059" s="25">
        <v>1.0828E-4</v>
      </c>
      <c r="F5059" s="25">
        <v>1.1383999999999999E-4</v>
      </c>
      <c r="G5059" s="25">
        <v>1.5865000000000001E-4</v>
      </c>
      <c r="H5059" s="25">
        <v>1.9725E-4</v>
      </c>
      <c r="I5059" s="9">
        <v>1.078E-4</v>
      </c>
      <c r="J5059" s="9">
        <v>1.216E-4</v>
      </c>
      <c r="K5059" s="9">
        <v>0</v>
      </c>
      <c r="L5059" s="9">
        <v>1.7406999999999999E-4</v>
      </c>
      <c r="M5059" s="9">
        <v>1.6824E-4</v>
      </c>
      <c r="N5059" s="9">
        <v>1.6966999999999999E-4</v>
      </c>
      <c r="O5059" s="9">
        <v>1.8141000000000001E-4</v>
      </c>
      <c r="P5059" s="9">
        <v>1.6678E-4</v>
      </c>
      <c r="Q5059" s="9">
        <v>1.5212E-4</v>
      </c>
      <c r="R5059" s="10">
        <v>1.0483872686821286E-4</v>
      </c>
      <c r="S5059" s="10">
        <v>1.6407915954043465E-4</v>
      </c>
      <c r="T5059" s="10">
        <v>2.2961059331290691E-4</v>
      </c>
      <c r="U5059" s="10">
        <v>7.8189999999999995E-5</v>
      </c>
      <c r="V5059" s="25"/>
      <c r="W5059" s="25"/>
      <c r="X5059" s="25"/>
      <c r="Y5059" s="25"/>
      <c r="Z5059" s="25"/>
      <c r="AA5059" s="25"/>
    </row>
    <row r="5060" spans="1:27" x14ac:dyDescent="0.35">
      <c r="A5060" s="5">
        <v>5056</v>
      </c>
      <c r="B5060" s="5">
        <v>211</v>
      </c>
      <c r="C5060" s="5">
        <v>7</v>
      </c>
      <c r="D5060" s="25">
        <v>1.1415000000000001E-4</v>
      </c>
      <c r="E5060" s="25">
        <v>1.1469E-4</v>
      </c>
      <c r="F5060" s="25">
        <v>1.1168E-4</v>
      </c>
      <c r="G5060" s="25">
        <v>1.6442E-4</v>
      </c>
      <c r="H5060" s="25">
        <v>1.9342E-4</v>
      </c>
      <c r="I5060" s="9">
        <v>1.0747999999999999E-4</v>
      </c>
      <c r="J5060" s="9">
        <v>1.2032999999999999E-4</v>
      </c>
      <c r="K5060" s="9">
        <v>0</v>
      </c>
      <c r="L5060" s="9">
        <v>1.7945999999999999E-4</v>
      </c>
      <c r="M5060" s="9">
        <v>1.6752999999999999E-4</v>
      </c>
      <c r="N5060" s="9">
        <v>1.6579999999999999E-4</v>
      </c>
      <c r="O5060" s="9">
        <v>1.9725E-4</v>
      </c>
      <c r="P5060" s="9">
        <v>1.538E-4</v>
      </c>
      <c r="Q5060" s="9">
        <v>1.1073000000000001E-4</v>
      </c>
      <c r="R5060" s="10">
        <v>1.0630825442274792E-4</v>
      </c>
      <c r="S5060" s="10">
        <v>1.6050844565959019E-4</v>
      </c>
      <c r="T5060" s="10">
        <v>3.8501750450946744E-4</v>
      </c>
      <c r="U5060" s="10">
        <v>7.8189999999999995E-5</v>
      </c>
      <c r="V5060" s="25"/>
      <c r="W5060" s="25"/>
      <c r="X5060" s="25"/>
      <c r="Y5060" s="25"/>
      <c r="Z5060" s="25"/>
      <c r="AA5060" s="25"/>
    </row>
    <row r="5061" spans="1:27" x14ac:dyDescent="0.35">
      <c r="A5061" s="5">
        <v>5057</v>
      </c>
      <c r="B5061" s="5">
        <v>211</v>
      </c>
      <c r="C5061" s="5">
        <v>7</v>
      </c>
      <c r="D5061" s="25">
        <v>1.1416E-4</v>
      </c>
      <c r="E5061" s="25">
        <v>1.1715E-4</v>
      </c>
      <c r="F5061" s="25">
        <v>1.2364E-4</v>
      </c>
      <c r="G5061" s="25">
        <v>1.6674999999999999E-4</v>
      </c>
      <c r="H5061" s="25">
        <v>1.9924E-4</v>
      </c>
      <c r="I5061" s="9">
        <v>1.0943E-4</v>
      </c>
      <c r="J5061" s="9">
        <v>1.2131E-4</v>
      </c>
      <c r="K5061" s="9">
        <v>0</v>
      </c>
      <c r="L5061" s="9">
        <v>1.9311999999999999E-4</v>
      </c>
      <c r="M5061" s="9">
        <v>1.6250999999999999E-4</v>
      </c>
      <c r="N5061" s="9">
        <v>1.5239999999999999E-4</v>
      </c>
      <c r="O5061" s="9">
        <v>2.1372000000000001E-4</v>
      </c>
      <c r="P5061" s="9">
        <v>1.6065E-4</v>
      </c>
      <c r="Q5061" s="9">
        <v>1.0806000000000001E-4</v>
      </c>
      <c r="R5061" s="10">
        <v>1.117881104964113E-4</v>
      </c>
      <c r="S5061" s="10">
        <v>1.5764171442475287E-4</v>
      </c>
      <c r="T5061" s="10">
        <v>2.799733942553529E-4</v>
      </c>
      <c r="U5061" s="10">
        <v>7.8189999999999995E-5</v>
      </c>
      <c r="V5061" s="25"/>
      <c r="W5061" s="25"/>
      <c r="X5061" s="25"/>
      <c r="Y5061" s="25"/>
      <c r="Z5061" s="25"/>
      <c r="AA5061" s="25"/>
    </row>
    <row r="5062" spans="1:27" x14ac:dyDescent="0.35">
      <c r="A5062" s="5">
        <v>5058</v>
      </c>
      <c r="B5062" s="5">
        <v>211</v>
      </c>
      <c r="C5062" s="5">
        <v>7</v>
      </c>
      <c r="D5062" s="25">
        <v>1.1415000000000001E-4</v>
      </c>
      <c r="E5062" s="25">
        <v>1.1628E-4</v>
      </c>
      <c r="F5062" s="25">
        <v>1.1701000000000001E-4</v>
      </c>
      <c r="G5062" s="25">
        <v>1.617E-4</v>
      </c>
      <c r="H5062" s="25">
        <v>1.9414000000000001E-4</v>
      </c>
      <c r="I5062" s="9">
        <v>1.0866000000000001E-4</v>
      </c>
      <c r="J5062" s="9">
        <v>1.1797E-4</v>
      </c>
      <c r="K5062" s="9">
        <v>0</v>
      </c>
      <c r="L5062" s="9">
        <v>2.0891E-4</v>
      </c>
      <c r="M5062" s="9">
        <v>1.6044E-4</v>
      </c>
      <c r="N5062" s="9">
        <v>1.3931999999999999E-4</v>
      </c>
      <c r="O5062" s="9">
        <v>2.0435000000000001E-4</v>
      </c>
      <c r="P5062" s="9">
        <v>1.6108999999999999E-4</v>
      </c>
      <c r="Q5062" s="9">
        <v>1.1819000000000001E-4</v>
      </c>
      <c r="R5062" s="10">
        <v>1.2508215525777326E-4</v>
      </c>
      <c r="S5062" s="10">
        <v>1.5710683484241743E-4</v>
      </c>
      <c r="T5062" s="10">
        <v>1.49544260345612E-4</v>
      </c>
      <c r="U5062" s="10">
        <v>7.8189999999999995E-5</v>
      </c>
      <c r="V5062" s="25"/>
      <c r="W5062" s="25"/>
      <c r="X5062" s="25"/>
      <c r="Y5062" s="25"/>
      <c r="Z5062" s="25"/>
      <c r="AA5062" s="25"/>
    </row>
    <row r="5063" spans="1:27" x14ac:dyDescent="0.35">
      <c r="A5063" s="5">
        <v>5059</v>
      </c>
      <c r="B5063" s="5">
        <v>211</v>
      </c>
      <c r="C5063" s="5">
        <v>7</v>
      </c>
      <c r="D5063" s="25">
        <v>1.1416E-4</v>
      </c>
      <c r="E5063" s="25">
        <v>1.0785000000000001E-4</v>
      </c>
      <c r="F5063" s="25">
        <v>1.2401E-4</v>
      </c>
      <c r="G5063" s="25">
        <v>1.0997000000000001E-4</v>
      </c>
      <c r="H5063" s="25">
        <v>1.3352000000000001E-4</v>
      </c>
      <c r="I5063" s="9">
        <v>1.0450000000000001E-4</v>
      </c>
      <c r="J5063" s="9">
        <v>1.1459E-4</v>
      </c>
      <c r="K5063" s="9">
        <v>0</v>
      </c>
      <c r="L5063" s="9">
        <v>2.0494E-4</v>
      </c>
      <c r="M5063" s="9">
        <v>1.6028E-4</v>
      </c>
      <c r="N5063" s="9">
        <v>1.3043000000000001E-4</v>
      </c>
      <c r="O5063" s="9">
        <v>1.6426E-4</v>
      </c>
      <c r="P5063" s="9">
        <v>1.3595999999999999E-4</v>
      </c>
      <c r="Q5063" s="9">
        <v>1.0792E-4</v>
      </c>
      <c r="R5063" s="10">
        <v>1.1098505488154443E-4</v>
      </c>
      <c r="S5063" s="10">
        <v>1.5513989711062189E-4</v>
      </c>
      <c r="T5063" s="10">
        <v>3.6703078988716525E-5</v>
      </c>
      <c r="U5063" s="10">
        <v>7.8189999999999995E-5</v>
      </c>
      <c r="V5063" s="25"/>
      <c r="W5063" s="25"/>
      <c r="X5063" s="25"/>
      <c r="Y5063" s="25"/>
      <c r="Z5063" s="25"/>
      <c r="AA5063" s="25"/>
    </row>
    <row r="5064" spans="1:27" x14ac:dyDescent="0.35">
      <c r="A5064" s="5">
        <v>5060</v>
      </c>
      <c r="B5064" s="5">
        <v>211</v>
      </c>
      <c r="C5064" s="5">
        <v>7</v>
      </c>
      <c r="D5064" s="25">
        <v>1.1415000000000001E-4</v>
      </c>
      <c r="E5064" s="25">
        <v>1.1493E-4</v>
      </c>
      <c r="F5064" s="25">
        <v>1.3015999999999999E-4</v>
      </c>
      <c r="G5064" s="25">
        <v>1.0933999999999999E-4</v>
      </c>
      <c r="H5064" s="25">
        <v>1.3422999999999999E-4</v>
      </c>
      <c r="I5064" s="9">
        <v>1.0123E-4</v>
      </c>
      <c r="J5064" s="9">
        <v>1.1149E-4</v>
      </c>
      <c r="K5064" s="9">
        <v>0</v>
      </c>
      <c r="L5064" s="9">
        <v>1.7341000000000001E-4</v>
      </c>
      <c r="M5064" s="9">
        <v>1.5163000000000001E-4</v>
      </c>
      <c r="N5064" s="9">
        <v>1.2148E-4</v>
      </c>
      <c r="O5064" s="9">
        <v>1.2784999999999999E-4</v>
      </c>
      <c r="P5064" s="9">
        <v>1.1476000000000001E-4</v>
      </c>
      <c r="Q5064" s="9">
        <v>1.0181E-4</v>
      </c>
      <c r="R5064" s="10">
        <v>9.8513687138196328E-5</v>
      </c>
      <c r="S5064" s="10">
        <v>1.4681684039609112E-4</v>
      </c>
      <c r="T5064" s="10">
        <v>1.3744564947230878E-6</v>
      </c>
      <c r="U5064" s="10">
        <v>7.8189999999999995E-5</v>
      </c>
      <c r="V5064" s="25"/>
      <c r="W5064" s="25"/>
      <c r="X5064" s="25"/>
      <c r="Y5064" s="25"/>
      <c r="Z5064" s="25"/>
      <c r="AA5064" s="25"/>
    </row>
    <row r="5065" spans="1:27" x14ac:dyDescent="0.35">
      <c r="A5065" s="5">
        <v>5061</v>
      </c>
      <c r="B5065" s="5">
        <v>211</v>
      </c>
      <c r="C5065" s="5">
        <v>7</v>
      </c>
      <c r="D5065" s="25">
        <v>1.1416E-4</v>
      </c>
      <c r="E5065" s="25">
        <v>1.1637E-4</v>
      </c>
      <c r="F5065" s="25">
        <v>1.2663999999999999E-4</v>
      </c>
      <c r="G5065" s="25">
        <v>6.0529999999999998E-5</v>
      </c>
      <c r="H5065" s="25">
        <v>6.3949999999999996E-5</v>
      </c>
      <c r="I5065" s="9">
        <v>9.9380000000000001E-5</v>
      </c>
      <c r="J5065" s="9">
        <v>1.0885E-4</v>
      </c>
      <c r="K5065" s="9">
        <v>2.12E-6</v>
      </c>
      <c r="L5065" s="9">
        <v>1.3884999999999999E-4</v>
      </c>
      <c r="M5065" s="9">
        <v>1.3592000000000001E-4</v>
      </c>
      <c r="N5065" s="9">
        <v>1.1373E-4</v>
      </c>
      <c r="O5065" s="9">
        <v>8.4790000000000006E-5</v>
      </c>
      <c r="P5065" s="9">
        <v>8.6769999999999998E-5</v>
      </c>
      <c r="Q5065" s="9">
        <v>8.878E-5</v>
      </c>
      <c r="R5065" s="10">
        <v>9.0956883969464631E-5</v>
      </c>
      <c r="S5065" s="10">
        <v>1.3933157827575015E-4</v>
      </c>
      <c r="T5065" s="10">
        <v>0</v>
      </c>
      <c r="U5065" s="10">
        <v>7.8189999999999995E-5</v>
      </c>
      <c r="V5065" s="25"/>
      <c r="W5065" s="25"/>
      <c r="X5065" s="25"/>
      <c r="Y5065" s="25"/>
      <c r="Z5065" s="25"/>
      <c r="AA5065" s="25"/>
    </row>
    <row r="5066" spans="1:27" x14ac:dyDescent="0.35">
      <c r="A5066" s="5">
        <v>5062</v>
      </c>
      <c r="B5066" s="5">
        <v>211</v>
      </c>
      <c r="C5066" s="5">
        <v>7</v>
      </c>
      <c r="D5066" s="25">
        <v>1.1415000000000001E-4</v>
      </c>
      <c r="E5066" s="25">
        <v>1.1277000000000001E-4</v>
      </c>
      <c r="F5066" s="25">
        <v>1.0923E-4</v>
      </c>
      <c r="G5066" s="25">
        <v>5.9920000000000002E-5</v>
      </c>
      <c r="H5066" s="25">
        <v>7.2550000000000002E-5</v>
      </c>
      <c r="I5066" s="9">
        <v>1.0257E-4</v>
      </c>
      <c r="J5066" s="9">
        <v>1.0738000000000001E-4</v>
      </c>
      <c r="K5066" s="9">
        <v>2.1299999999999999E-6</v>
      </c>
      <c r="L5066" s="9">
        <v>9.7609999999999995E-5</v>
      </c>
      <c r="M5066" s="9">
        <v>1.1419E-4</v>
      </c>
      <c r="N5066" s="9">
        <v>1.0611E-4</v>
      </c>
      <c r="O5066" s="9">
        <v>8.6949999999999999E-5</v>
      </c>
      <c r="P5066" s="9">
        <v>8.7559999999999995E-5</v>
      </c>
      <c r="Q5066" s="9">
        <v>8.8209999999999997E-5</v>
      </c>
      <c r="R5066" s="10">
        <v>8.0209745772495724E-5</v>
      </c>
      <c r="S5066" s="10">
        <v>1.3328480770484548E-4</v>
      </c>
      <c r="T5066" s="10">
        <v>0</v>
      </c>
      <c r="U5066" s="10">
        <v>7.8189999999999995E-5</v>
      </c>
      <c r="V5066" s="25"/>
      <c r="W5066" s="25"/>
      <c r="X5066" s="25"/>
      <c r="Y5066" s="25"/>
      <c r="Z5066" s="25"/>
      <c r="AA5066" s="25"/>
    </row>
    <row r="5067" spans="1:27" x14ac:dyDescent="0.35">
      <c r="A5067" s="5">
        <v>5063</v>
      </c>
      <c r="B5067" s="5">
        <v>211</v>
      </c>
      <c r="C5067" s="5">
        <v>7</v>
      </c>
      <c r="D5067" s="25">
        <v>1.1416E-4</v>
      </c>
      <c r="E5067" s="25">
        <v>1.1191E-4</v>
      </c>
      <c r="F5067" s="25">
        <v>1.2231000000000001E-4</v>
      </c>
      <c r="G5067" s="25">
        <v>5.5619999999999999E-5</v>
      </c>
      <c r="H5067" s="25">
        <v>7.3490000000000003E-5</v>
      </c>
      <c r="I5067" s="9">
        <v>9.8380000000000003E-5</v>
      </c>
      <c r="J5067" s="9">
        <v>1.0353000000000001E-4</v>
      </c>
      <c r="K5067" s="9">
        <v>4.2400000000000001E-6</v>
      </c>
      <c r="L5067" s="9">
        <v>9.022E-5</v>
      </c>
      <c r="M5067" s="9">
        <v>9.9279999999999998E-5</v>
      </c>
      <c r="N5067" s="9">
        <v>1.0017E-4</v>
      </c>
      <c r="O5067" s="9">
        <v>7.7429999999999996E-5</v>
      </c>
      <c r="P5067" s="9">
        <v>7.2020000000000005E-5</v>
      </c>
      <c r="Q5067" s="9">
        <v>6.6779999999999994E-5</v>
      </c>
      <c r="R5067" s="10">
        <v>7.174337410152376E-5</v>
      </c>
      <c r="S5067" s="10">
        <v>1.249406811873732E-4</v>
      </c>
      <c r="T5067" s="10">
        <v>0</v>
      </c>
      <c r="U5067" s="10">
        <v>7.8189999999999995E-5</v>
      </c>
      <c r="V5067" s="25"/>
      <c r="W5067" s="25"/>
      <c r="X5067" s="25"/>
      <c r="Y5067" s="25"/>
      <c r="Z5067" s="25"/>
      <c r="AA5067" s="25"/>
    </row>
    <row r="5068" spans="1:27" x14ac:dyDescent="0.35">
      <c r="A5068" s="5">
        <v>5064</v>
      </c>
      <c r="B5068" s="5">
        <v>211</v>
      </c>
      <c r="C5068" s="5">
        <v>7</v>
      </c>
      <c r="D5068" s="25">
        <v>1.1415000000000001E-4</v>
      </c>
      <c r="E5068" s="25">
        <v>1.0728E-4</v>
      </c>
      <c r="F5068" s="25">
        <v>1.1395000000000001E-4</v>
      </c>
      <c r="G5068" s="25">
        <v>6.1379999999999998E-5</v>
      </c>
      <c r="H5068" s="25">
        <v>6.4999999999999994E-5</v>
      </c>
      <c r="I5068" s="9">
        <v>9.1749999999999994E-5</v>
      </c>
      <c r="J5068" s="9">
        <v>9.6830000000000006E-5</v>
      </c>
      <c r="K5068" s="9">
        <v>0</v>
      </c>
      <c r="L5068" s="9">
        <v>8.0229999999999996E-5</v>
      </c>
      <c r="M5068" s="9">
        <v>8.6180000000000005E-5</v>
      </c>
      <c r="N5068" s="9">
        <v>9.0760000000000005E-5</v>
      </c>
      <c r="O5068" s="9">
        <v>6.2730000000000004E-5</v>
      </c>
      <c r="P5068" s="9">
        <v>6.0749999999999999E-5</v>
      </c>
      <c r="Q5068" s="9">
        <v>5.8940000000000002E-5</v>
      </c>
      <c r="R5068" s="10">
        <v>6.7304275411152385E-5</v>
      </c>
      <c r="S5068" s="10">
        <v>1.1440007769144669E-4</v>
      </c>
      <c r="T5068" s="10">
        <v>0</v>
      </c>
      <c r="U5068" s="10">
        <v>7.8189999999999995E-5</v>
      </c>
      <c r="V5068" s="25"/>
      <c r="W5068" s="25"/>
      <c r="X5068" s="25"/>
      <c r="Y5068" s="25"/>
      <c r="Z5068" s="25"/>
      <c r="AA5068" s="25"/>
    </row>
    <row r="5069" spans="1:27" x14ac:dyDescent="0.35">
      <c r="A5069" s="5">
        <v>5065</v>
      </c>
      <c r="B5069" s="5">
        <v>212</v>
      </c>
      <c r="C5069" s="5">
        <v>7</v>
      </c>
      <c r="D5069" s="25">
        <v>1.1416E-4</v>
      </c>
      <c r="E5069" s="25">
        <v>1.1574E-4</v>
      </c>
      <c r="F5069" s="25">
        <v>9.8519999999999999E-5</v>
      </c>
      <c r="G5069" s="25">
        <v>5.2320000000000001E-5</v>
      </c>
      <c r="H5069" s="25">
        <v>6.3750000000000005E-5</v>
      </c>
      <c r="I5069" s="9">
        <v>8.8070000000000002E-5</v>
      </c>
      <c r="J5069" s="9">
        <v>9.1760000000000002E-5</v>
      </c>
      <c r="K5069" s="9">
        <v>0</v>
      </c>
      <c r="L5069" s="9">
        <v>6.6580000000000003E-5</v>
      </c>
      <c r="M5069" s="9">
        <v>7.4019999999999999E-5</v>
      </c>
      <c r="N5069" s="9">
        <v>8.1269999999999999E-5</v>
      </c>
      <c r="O5069" s="9">
        <v>5.4219999999999999E-5</v>
      </c>
      <c r="P5069" s="9">
        <v>5.3640000000000001E-5</v>
      </c>
      <c r="Q5069" s="9">
        <v>5.3220000000000002E-5</v>
      </c>
      <c r="R5069" s="10">
        <v>8.2455468578281641E-5</v>
      </c>
      <c r="S5069" s="10">
        <v>1.116346133220654E-4</v>
      </c>
      <c r="T5069" s="10">
        <v>0</v>
      </c>
      <c r="U5069" s="10">
        <v>7.7239999999999999E-5</v>
      </c>
      <c r="V5069" s="25"/>
      <c r="W5069" s="25"/>
      <c r="X5069" s="25"/>
      <c r="Y5069" s="25"/>
      <c r="Z5069" s="25"/>
      <c r="AA5069" s="25"/>
    </row>
    <row r="5070" spans="1:27" x14ac:dyDescent="0.35">
      <c r="A5070" s="5">
        <v>5066</v>
      </c>
      <c r="B5070" s="5">
        <v>212</v>
      </c>
      <c r="C5070" s="5">
        <v>7</v>
      </c>
      <c r="D5070" s="25">
        <v>1.1415000000000001E-4</v>
      </c>
      <c r="E5070" s="25">
        <v>1.2120000000000001E-4</v>
      </c>
      <c r="F5070" s="25">
        <v>9.8640000000000004E-5</v>
      </c>
      <c r="G5070" s="25">
        <v>5.8529999999999997E-5</v>
      </c>
      <c r="H5070" s="25">
        <v>6.9629999999999996E-5</v>
      </c>
      <c r="I5070" s="9">
        <v>8.4709999999999994E-5</v>
      </c>
      <c r="J5070" s="9">
        <v>8.9099999999999997E-5</v>
      </c>
      <c r="K5070" s="9">
        <v>0</v>
      </c>
      <c r="L5070" s="9">
        <v>5.7309999999999998E-5</v>
      </c>
      <c r="M5070" s="9">
        <v>6.3800000000000006E-5</v>
      </c>
      <c r="N5070" s="9">
        <v>7.2070000000000006E-5</v>
      </c>
      <c r="O5070" s="9">
        <v>1.929E-5</v>
      </c>
      <c r="P5070" s="9">
        <v>3.7750000000000003E-5</v>
      </c>
      <c r="Q5070" s="9">
        <v>5.6180000000000001E-5</v>
      </c>
      <c r="R5070" s="10">
        <v>8.1159053122544571E-5</v>
      </c>
      <c r="S5070" s="10">
        <v>1.0852917002876071E-4</v>
      </c>
      <c r="T5070" s="10">
        <v>0</v>
      </c>
      <c r="U5070" s="10">
        <v>7.7239999999999999E-5</v>
      </c>
      <c r="V5070" s="25"/>
      <c r="W5070" s="25"/>
      <c r="X5070" s="25"/>
      <c r="Y5070" s="25"/>
      <c r="Z5070" s="25"/>
      <c r="AA5070" s="25"/>
    </row>
    <row r="5071" spans="1:27" x14ac:dyDescent="0.35">
      <c r="A5071" s="5">
        <v>5067</v>
      </c>
      <c r="B5071" s="5">
        <v>212</v>
      </c>
      <c r="C5071" s="5">
        <v>7</v>
      </c>
      <c r="D5071" s="25">
        <v>1.1416E-4</v>
      </c>
      <c r="E5071" s="25">
        <v>1.2021E-4</v>
      </c>
      <c r="F5071" s="25">
        <v>1.0435E-4</v>
      </c>
      <c r="G5071" s="25">
        <v>5.9830000000000001E-5</v>
      </c>
      <c r="H5071" s="25">
        <v>6.6649999999999994E-5</v>
      </c>
      <c r="I5071" s="9">
        <v>8.352E-5</v>
      </c>
      <c r="J5071" s="9">
        <v>8.7659999999999998E-5</v>
      </c>
      <c r="K5071" s="9">
        <v>6.3600000000000001E-6</v>
      </c>
      <c r="L5071" s="9">
        <v>2.7860000000000001E-5</v>
      </c>
      <c r="M5071" s="9">
        <v>5.2089999999999998E-5</v>
      </c>
      <c r="N5071" s="9">
        <v>6.546E-5</v>
      </c>
      <c r="O5071" s="9">
        <v>1.384E-5</v>
      </c>
      <c r="P5071" s="9">
        <v>3.7660000000000002E-5</v>
      </c>
      <c r="Q5071" s="9">
        <v>6.1379999999999998E-5</v>
      </c>
      <c r="R5071" s="10">
        <v>7.2074376126696779E-5</v>
      </c>
      <c r="S5071" s="10">
        <v>1.0694367360964939E-4</v>
      </c>
      <c r="T5071" s="10">
        <v>0</v>
      </c>
      <c r="U5071" s="10">
        <v>7.7239999999999999E-5</v>
      </c>
      <c r="V5071" s="25"/>
      <c r="W5071" s="25"/>
      <c r="X5071" s="25"/>
      <c r="Y5071" s="25"/>
      <c r="Z5071" s="25"/>
      <c r="AA5071" s="25"/>
    </row>
    <row r="5072" spans="1:27" x14ac:dyDescent="0.35">
      <c r="A5072" s="5">
        <v>5068</v>
      </c>
      <c r="B5072" s="5">
        <v>212</v>
      </c>
      <c r="C5072" s="5">
        <v>7</v>
      </c>
      <c r="D5072" s="25">
        <v>1.1415000000000001E-4</v>
      </c>
      <c r="E5072" s="25">
        <v>1.182E-4</v>
      </c>
      <c r="F5072" s="25">
        <v>1.071E-4</v>
      </c>
      <c r="G5072" s="25">
        <v>6.1439999999999995E-5</v>
      </c>
      <c r="H5072" s="25">
        <v>6.7089999999999996E-5</v>
      </c>
      <c r="I5072" s="9">
        <v>8.2670000000000006E-5</v>
      </c>
      <c r="J5072" s="9">
        <v>8.7050000000000002E-5</v>
      </c>
      <c r="K5072" s="9">
        <v>6.3600000000000001E-6</v>
      </c>
      <c r="L5072" s="9">
        <v>1.7649999999999999E-5</v>
      </c>
      <c r="M5072" s="9">
        <v>4.4100000000000001E-5</v>
      </c>
      <c r="N5072" s="9">
        <v>6.1829999999999996E-5</v>
      </c>
      <c r="O5072" s="9">
        <v>1.385E-5</v>
      </c>
      <c r="P5072" s="9">
        <v>4.7120000000000003E-5</v>
      </c>
      <c r="Q5072" s="9">
        <v>8.0140000000000002E-5</v>
      </c>
      <c r="R5072" s="10">
        <v>6.7250805540149675E-5</v>
      </c>
      <c r="S5072" s="10">
        <v>1.0545302666489141E-4</v>
      </c>
      <c r="T5072" s="10">
        <v>0</v>
      </c>
      <c r="U5072" s="10">
        <v>7.7239999999999999E-5</v>
      </c>
      <c r="V5072" s="25"/>
      <c r="W5072" s="25"/>
      <c r="X5072" s="25"/>
      <c r="Y5072" s="25"/>
      <c r="Z5072" s="25"/>
      <c r="AA5072" s="25"/>
    </row>
    <row r="5073" spans="1:27" x14ac:dyDescent="0.35">
      <c r="A5073" s="5">
        <v>5069</v>
      </c>
      <c r="B5073" s="5">
        <v>212</v>
      </c>
      <c r="C5073" s="5">
        <v>7</v>
      </c>
      <c r="D5073" s="25">
        <v>1.1416E-4</v>
      </c>
      <c r="E5073" s="25">
        <v>1.1446999999999999E-4</v>
      </c>
      <c r="F5073" s="25">
        <v>1.0504E-4</v>
      </c>
      <c r="G5073" s="25">
        <v>6.2150000000000006E-5</v>
      </c>
      <c r="H5073" s="25">
        <v>6.3819999999999995E-5</v>
      </c>
      <c r="I5073" s="9">
        <v>8.2910000000000004E-5</v>
      </c>
      <c r="J5073" s="9">
        <v>8.6710000000000002E-5</v>
      </c>
      <c r="K5073" s="9">
        <v>4.2400000000000001E-6</v>
      </c>
      <c r="L5073" s="9">
        <v>1.4929999999999999E-5</v>
      </c>
      <c r="M5073" s="9">
        <v>4.3399999999999998E-5</v>
      </c>
      <c r="N5073" s="9">
        <v>6.4319999999999994E-5</v>
      </c>
      <c r="O5073" s="9">
        <v>1.9389999999999999E-5</v>
      </c>
      <c r="P5073" s="9">
        <v>5.6919999999999997E-5</v>
      </c>
      <c r="Q5073" s="9">
        <v>9.4129999999999995E-5</v>
      </c>
      <c r="R5073" s="10">
        <v>6.3468338434262341E-5</v>
      </c>
      <c r="S5073" s="10">
        <v>1.0028877568997606E-4</v>
      </c>
      <c r="T5073" s="10">
        <v>0</v>
      </c>
      <c r="U5073" s="10">
        <v>7.7239999999999999E-5</v>
      </c>
      <c r="V5073" s="25"/>
      <c r="W5073" s="25"/>
      <c r="X5073" s="25"/>
      <c r="Y5073" s="25"/>
      <c r="Z5073" s="25"/>
      <c r="AA5073" s="25"/>
    </row>
    <row r="5074" spans="1:27" x14ac:dyDescent="0.35">
      <c r="A5074" s="5">
        <v>5070</v>
      </c>
      <c r="B5074" s="5">
        <v>212</v>
      </c>
      <c r="C5074" s="5">
        <v>7</v>
      </c>
      <c r="D5074" s="25">
        <v>1.1415000000000001E-4</v>
      </c>
      <c r="E5074" s="25">
        <v>1.2161E-4</v>
      </c>
      <c r="F5074" s="25">
        <v>1.1143E-4</v>
      </c>
      <c r="G5074" s="25">
        <v>1.1514E-4</v>
      </c>
      <c r="H5074" s="25">
        <v>1.3961999999999999E-4</v>
      </c>
      <c r="I5074" s="9">
        <v>8.2550000000000001E-5</v>
      </c>
      <c r="J5074" s="9">
        <v>8.7139999999999996E-5</v>
      </c>
      <c r="K5074" s="9">
        <v>8.4800000000000001E-6</v>
      </c>
      <c r="L5074" s="9">
        <v>1.8280000000000001E-5</v>
      </c>
      <c r="M5074" s="9">
        <v>4.8430000000000002E-5</v>
      </c>
      <c r="N5074" s="9">
        <v>7.1000000000000005E-5</v>
      </c>
      <c r="O5074" s="9">
        <v>4.6789999999999998E-5</v>
      </c>
      <c r="P5074" s="9">
        <v>7.7520000000000003E-5</v>
      </c>
      <c r="Q5074" s="9">
        <v>1.0794E-4</v>
      </c>
      <c r="R5074" s="10">
        <v>5.6409176650616079E-5</v>
      </c>
      <c r="S5074" s="10">
        <v>9.0758107310995648E-5</v>
      </c>
      <c r="T5074" s="10">
        <v>2.946597164304496E-5</v>
      </c>
      <c r="U5074" s="10">
        <v>7.7239999999999999E-5</v>
      </c>
      <c r="V5074" s="25"/>
      <c r="W5074" s="25"/>
      <c r="X5074" s="25"/>
      <c r="Y5074" s="25"/>
      <c r="Z5074" s="25"/>
      <c r="AA5074" s="25"/>
    </row>
    <row r="5075" spans="1:27" x14ac:dyDescent="0.35">
      <c r="A5075" s="5">
        <v>5071</v>
      </c>
      <c r="B5075" s="5">
        <v>212</v>
      </c>
      <c r="C5075" s="5">
        <v>7</v>
      </c>
      <c r="D5075" s="25">
        <v>1.1416E-4</v>
      </c>
      <c r="E5075" s="25">
        <v>1.2046E-4</v>
      </c>
      <c r="F5075" s="25">
        <v>1.0749E-4</v>
      </c>
      <c r="G5075" s="25">
        <v>1.128E-4</v>
      </c>
      <c r="H5075" s="25">
        <v>1.393E-4</v>
      </c>
      <c r="I5075" s="9">
        <v>8.6589999999999996E-5</v>
      </c>
      <c r="J5075" s="9">
        <v>9.1459999999999995E-5</v>
      </c>
      <c r="K5075" s="9">
        <v>2.1299999999999999E-6</v>
      </c>
      <c r="L5075" s="9">
        <v>4.0370000000000001E-5</v>
      </c>
      <c r="M5075" s="9">
        <v>6.0319999999999998E-5</v>
      </c>
      <c r="N5075" s="9">
        <v>8.0929999999999999E-5</v>
      </c>
      <c r="O5075" s="9">
        <v>1.2161E-4</v>
      </c>
      <c r="P5075" s="9">
        <v>1.1668E-4</v>
      </c>
      <c r="Q5075" s="9">
        <v>1.1178E-4</v>
      </c>
      <c r="R5075" s="10">
        <v>4.4791230651910899E-5</v>
      </c>
      <c r="S5075" s="10">
        <v>8.3930907479813047E-5</v>
      </c>
      <c r="T5075" s="10">
        <v>1.2942798658642412E-4</v>
      </c>
      <c r="U5075" s="10">
        <v>7.7239999999999999E-5</v>
      </c>
      <c r="V5075" s="25"/>
      <c r="W5075" s="25"/>
      <c r="X5075" s="25"/>
      <c r="Y5075" s="25"/>
      <c r="Z5075" s="25"/>
      <c r="AA5075" s="25"/>
    </row>
    <row r="5076" spans="1:27" x14ac:dyDescent="0.35">
      <c r="A5076" s="5">
        <v>5072</v>
      </c>
      <c r="B5076" s="5">
        <v>212</v>
      </c>
      <c r="C5076" s="5">
        <v>7</v>
      </c>
      <c r="D5076" s="25">
        <v>1.1415000000000001E-4</v>
      </c>
      <c r="E5076" s="25">
        <v>1.1296E-4</v>
      </c>
      <c r="F5076" s="25">
        <v>1.0597E-4</v>
      </c>
      <c r="G5076" s="25">
        <v>1.5935999999999999E-4</v>
      </c>
      <c r="H5076" s="25">
        <v>1.9568E-4</v>
      </c>
      <c r="I5076" s="9">
        <v>9.2120000000000006E-5</v>
      </c>
      <c r="J5076" s="9">
        <v>9.781E-5</v>
      </c>
      <c r="K5076" s="9">
        <v>4.2400000000000001E-6</v>
      </c>
      <c r="L5076" s="9">
        <v>1.0312E-4</v>
      </c>
      <c r="M5076" s="9">
        <v>8.3679999999999998E-5</v>
      </c>
      <c r="N5076" s="9">
        <v>9.0890000000000006E-5</v>
      </c>
      <c r="O5076" s="9">
        <v>2.1816000000000001E-4</v>
      </c>
      <c r="P5076" s="9">
        <v>1.7751E-4</v>
      </c>
      <c r="Q5076" s="9">
        <v>1.3713000000000001E-4</v>
      </c>
      <c r="R5076" s="10">
        <v>3.0471610978063884E-5</v>
      </c>
      <c r="S5076" s="10">
        <v>7.5009759292391331E-5</v>
      </c>
      <c r="T5076" s="10">
        <v>3.105508091132665E-4</v>
      </c>
      <c r="U5076" s="10">
        <v>7.7239999999999999E-5</v>
      </c>
      <c r="V5076" s="25"/>
      <c r="W5076" s="25"/>
      <c r="X5076" s="25"/>
      <c r="Y5076" s="25"/>
      <c r="Z5076" s="25"/>
      <c r="AA5076" s="25"/>
    </row>
    <row r="5077" spans="1:27" x14ac:dyDescent="0.35">
      <c r="A5077" s="5">
        <v>5073</v>
      </c>
      <c r="B5077" s="5">
        <v>212</v>
      </c>
      <c r="C5077" s="5">
        <v>7</v>
      </c>
      <c r="D5077" s="25">
        <v>1.1416E-4</v>
      </c>
      <c r="E5077" s="25">
        <v>1.1836E-4</v>
      </c>
      <c r="F5077" s="25">
        <v>9.8430000000000005E-5</v>
      </c>
      <c r="G5077" s="25">
        <v>1.6573E-4</v>
      </c>
      <c r="H5077" s="25">
        <v>1.9171999999999999E-4</v>
      </c>
      <c r="I5077" s="9">
        <v>9.7659999999999997E-5</v>
      </c>
      <c r="J5077" s="9">
        <v>1.0441E-4</v>
      </c>
      <c r="K5077" s="9">
        <v>0</v>
      </c>
      <c r="L5077" s="9">
        <v>1.9113999999999999E-4</v>
      </c>
      <c r="M5077" s="9">
        <v>1.2348E-4</v>
      </c>
      <c r="N5077" s="9">
        <v>1.0473E-4</v>
      </c>
      <c r="O5077" s="9">
        <v>2.0994000000000001E-4</v>
      </c>
      <c r="P5077" s="9">
        <v>1.9372000000000001E-4</v>
      </c>
      <c r="Q5077" s="9">
        <v>1.7741999999999999E-4</v>
      </c>
      <c r="R5077" s="10">
        <v>1.8942395484188562E-5</v>
      </c>
      <c r="S5077" s="10">
        <v>5.4873283055761211E-5</v>
      </c>
      <c r="T5077" s="10">
        <v>4.7219368033218174E-4</v>
      </c>
      <c r="U5077" s="10">
        <v>7.7239999999999999E-5</v>
      </c>
      <c r="V5077" s="25"/>
      <c r="W5077" s="25"/>
      <c r="X5077" s="25"/>
      <c r="Y5077" s="25"/>
      <c r="Z5077" s="25"/>
      <c r="AA5077" s="25"/>
    </row>
    <row r="5078" spans="1:27" x14ac:dyDescent="0.35">
      <c r="A5078" s="5">
        <v>5074</v>
      </c>
      <c r="B5078" s="5">
        <v>212</v>
      </c>
      <c r="C5078" s="5">
        <v>7</v>
      </c>
      <c r="D5078" s="25">
        <v>1.1415000000000001E-4</v>
      </c>
      <c r="E5078" s="25">
        <v>1.1527E-4</v>
      </c>
      <c r="F5078" s="25">
        <v>1.0224E-4</v>
      </c>
      <c r="G5078" s="25">
        <v>1.6416E-4</v>
      </c>
      <c r="H5078" s="25">
        <v>1.9053000000000001E-4</v>
      </c>
      <c r="I5078" s="9">
        <v>1.0035E-4</v>
      </c>
      <c r="J5078" s="9">
        <v>1.0703E-4</v>
      </c>
      <c r="K5078" s="9">
        <v>0</v>
      </c>
      <c r="L5078" s="9">
        <v>2.0350000000000001E-4</v>
      </c>
      <c r="M5078" s="9">
        <v>1.5887E-4</v>
      </c>
      <c r="N5078" s="9">
        <v>1.2484E-4</v>
      </c>
      <c r="O5078" s="9">
        <v>1.6631999999999999E-4</v>
      </c>
      <c r="P5078" s="9">
        <v>1.7468E-4</v>
      </c>
      <c r="Q5078" s="9">
        <v>1.8272000000000001E-4</v>
      </c>
      <c r="R5078" s="10">
        <v>1.5909615816970401E-5</v>
      </c>
      <c r="S5078" s="10">
        <v>3.7991946632422524E-5</v>
      </c>
      <c r="T5078" s="10">
        <v>5.145388183887431E-4</v>
      </c>
      <c r="U5078" s="10">
        <v>7.7239999999999999E-5</v>
      </c>
      <c r="V5078" s="25"/>
      <c r="W5078" s="25"/>
      <c r="X5078" s="25"/>
      <c r="Y5078" s="25"/>
      <c r="Z5078" s="25"/>
      <c r="AA5078" s="25"/>
    </row>
    <row r="5079" spans="1:27" x14ac:dyDescent="0.35">
      <c r="A5079" s="5">
        <v>5075</v>
      </c>
      <c r="B5079" s="5">
        <v>212</v>
      </c>
      <c r="C5079" s="5">
        <v>7</v>
      </c>
      <c r="D5079" s="25">
        <v>1.1416E-4</v>
      </c>
      <c r="E5079" s="25">
        <v>1.1254E-4</v>
      </c>
      <c r="F5079" s="25">
        <v>1.0005000000000001E-4</v>
      </c>
      <c r="G5079" s="25">
        <v>1.5642E-4</v>
      </c>
      <c r="H5079" s="25">
        <v>1.9845999999999999E-4</v>
      </c>
      <c r="I5079" s="9">
        <v>1.0208999999999999E-4</v>
      </c>
      <c r="J5079" s="9">
        <v>1.0713E-4</v>
      </c>
      <c r="K5079" s="9">
        <v>0</v>
      </c>
      <c r="L5079" s="9">
        <v>1.7456000000000001E-4</v>
      </c>
      <c r="M5079" s="9">
        <v>1.7276999999999999E-4</v>
      </c>
      <c r="N5079" s="9">
        <v>1.4301E-4</v>
      </c>
      <c r="O5079" s="9">
        <v>1.6513000000000001E-4</v>
      </c>
      <c r="P5079" s="9">
        <v>1.7208999999999999E-4</v>
      </c>
      <c r="Q5079" s="9">
        <v>1.7874000000000001E-4</v>
      </c>
      <c r="R5079" s="10">
        <v>1.1224239113965198E-5</v>
      </c>
      <c r="S5079" s="10">
        <v>2.8815212170398778E-5</v>
      </c>
      <c r="T5079" s="10">
        <v>5.4733911967639411E-4</v>
      </c>
      <c r="U5079" s="10">
        <v>7.7239999999999999E-5</v>
      </c>
      <c r="V5079" s="25"/>
      <c r="W5079" s="25"/>
      <c r="X5079" s="25"/>
      <c r="Y5079" s="25"/>
      <c r="Z5079" s="25"/>
      <c r="AA5079" s="25"/>
    </row>
    <row r="5080" spans="1:27" x14ac:dyDescent="0.35">
      <c r="A5080" s="5">
        <v>5076</v>
      </c>
      <c r="B5080" s="5">
        <v>212</v>
      </c>
      <c r="C5080" s="5">
        <v>7</v>
      </c>
      <c r="D5080" s="25">
        <v>1.1415000000000001E-4</v>
      </c>
      <c r="E5080" s="25">
        <v>1.2296E-4</v>
      </c>
      <c r="F5080" s="25">
        <v>1.0096E-4</v>
      </c>
      <c r="G5080" s="25">
        <v>1.5852999999999999E-4</v>
      </c>
      <c r="H5080" s="25">
        <v>2.0296999999999999E-4</v>
      </c>
      <c r="I5080" s="9">
        <v>1.0398E-4</v>
      </c>
      <c r="J5080" s="9">
        <v>1.0623E-4</v>
      </c>
      <c r="K5080" s="9">
        <v>0</v>
      </c>
      <c r="L5080" s="9">
        <v>1.6861E-4</v>
      </c>
      <c r="M5080" s="9">
        <v>1.7488000000000001E-4</v>
      </c>
      <c r="N5080" s="9">
        <v>1.5686000000000001E-4</v>
      </c>
      <c r="O5080" s="9">
        <v>1.6815999999999999E-4</v>
      </c>
      <c r="P5080" s="9">
        <v>1.7108999999999999E-4</v>
      </c>
      <c r="Q5080" s="9">
        <v>1.7374999999999999E-4</v>
      </c>
      <c r="R5080" s="10">
        <v>7.6822700232865118E-6</v>
      </c>
      <c r="S5080" s="10">
        <v>2.8845177489734091E-5</v>
      </c>
      <c r="T5080" s="10">
        <v>5.5450835262726452E-4</v>
      </c>
      <c r="U5080" s="10">
        <v>7.7239999999999999E-5</v>
      </c>
      <c r="V5080" s="25"/>
      <c r="W5080" s="25"/>
      <c r="X5080" s="25"/>
      <c r="Y5080" s="25"/>
      <c r="Z5080" s="25"/>
      <c r="AA5080" s="25"/>
    </row>
    <row r="5081" spans="1:27" x14ac:dyDescent="0.35">
      <c r="A5081" s="5">
        <v>5077</v>
      </c>
      <c r="B5081" s="5">
        <v>212</v>
      </c>
      <c r="C5081" s="5">
        <v>7</v>
      </c>
      <c r="D5081" s="25">
        <v>1.1416E-4</v>
      </c>
      <c r="E5081" s="25">
        <v>1.1497000000000001E-4</v>
      </c>
      <c r="F5081" s="25">
        <v>1.0381E-4</v>
      </c>
      <c r="G5081" s="25">
        <v>1.6563999999999999E-4</v>
      </c>
      <c r="H5081" s="25">
        <v>1.9232E-4</v>
      </c>
      <c r="I5081" s="9">
        <v>1.0305E-4</v>
      </c>
      <c r="J5081" s="9">
        <v>1.0465E-4</v>
      </c>
      <c r="K5081" s="9">
        <v>0</v>
      </c>
      <c r="L5081" s="9">
        <v>1.6845E-4</v>
      </c>
      <c r="M5081" s="9">
        <v>1.7356000000000001E-4</v>
      </c>
      <c r="N5081" s="9">
        <v>1.662E-4</v>
      </c>
      <c r="O5081" s="9">
        <v>1.6087999999999999E-4</v>
      </c>
      <c r="P5081" s="9">
        <v>1.6453E-4</v>
      </c>
      <c r="Q5081" s="9">
        <v>1.6793999999999999E-4</v>
      </c>
      <c r="R5081" s="10">
        <v>5.7981525061812567E-6</v>
      </c>
      <c r="S5081" s="10">
        <v>3.3041350388817323E-5</v>
      </c>
      <c r="T5081" s="10">
        <v>4.8555645180865619E-4</v>
      </c>
      <c r="U5081" s="10">
        <v>7.7239999999999999E-5</v>
      </c>
      <c r="V5081" s="25"/>
      <c r="W5081" s="25"/>
      <c r="X5081" s="25"/>
      <c r="Y5081" s="25"/>
      <c r="Z5081" s="25"/>
      <c r="AA5081" s="25"/>
    </row>
    <row r="5082" spans="1:27" x14ac:dyDescent="0.35">
      <c r="A5082" s="5">
        <v>5078</v>
      </c>
      <c r="B5082" s="5">
        <v>212</v>
      </c>
      <c r="C5082" s="5">
        <v>7</v>
      </c>
      <c r="D5082" s="25">
        <v>1.1415000000000001E-4</v>
      </c>
      <c r="E5082" s="25">
        <v>1.1387000000000001E-4</v>
      </c>
      <c r="F5082" s="25">
        <v>1.0475E-4</v>
      </c>
      <c r="G5082" s="25">
        <v>1.6051999999999999E-4</v>
      </c>
      <c r="H5082" s="25">
        <v>2.0028999999999999E-4</v>
      </c>
      <c r="I5082" s="9">
        <v>1.0203E-4</v>
      </c>
      <c r="J5082" s="9">
        <v>1.0353000000000001E-4</v>
      </c>
      <c r="K5082" s="9">
        <v>2.12E-6</v>
      </c>
      <c r="L5082" s="9">
        <v>1.6228999999999999E-4</v>
      </c>
      <c r="M5082" s="9">
        <v>1.6995000000000001E-4</v>
      </c>
      <c r="N5082" s="9">
        <v>1.7058000000000001E-4</v>
      </c>
      <c r="O5082" s="9">
        <v>1.7551000000000001E-4</v>
      </c>
      <c r="P5082" s="9">
        <v>1.6765000000000001E-4</v>
      </c>
      <c r="Q5082" s="9">
        <v>1.5967999999999999E-4</v>
      </c>
      <c r="R5082" s="10">
        <v>3.7156725029795337E-6</v>
      </c>
      <c r="S5082" s="10">
        <v>3.9755405970396448E-5</v>
      </c>
      <c r="T5082" s="10">
        <v>5.009215179317643E-4</v>
      </c>
      <c r="U5082" s="10">
        <v>7.7239999999999999E-5</v>
      </c>
      <c r="V5082" s="25"/>
      <c r="W5082" s="25"/>
      <c r="X5082" s="25"/>
      <c r="Y5082" s="25"/>
      <c r="Z5082" s="25"/>
      <c r="AA5082" s="25"/>
    </row>
    <row r="5083" spans="1:27" x14ac:dyDescent="0.35">
      <c r="A5083" s="5">
        <v>5079</v>
      </c>
      <c r="B5083" s="5">
        <v>212</v>
      </c>
      <c r="C5083" s="5">
        <v>7</v>
      </c>
      <c r="D5083" s="25">
        <v>1.1416E-4</v>
      </c>
      <c r="E5083" s="25">
        <v>1.1152E-4</v>
      </c>
      <c r="F5083" s="25">
        <v>9.6119999999999995E-5</v>
      </c>
      <c r="G5083" s="25">
        <v>1.5898999999999999E-4</v>
      </c>
      <c r="H5083" s="25">
        <v>2.0008E-4</v>
      </c>
      <c r="I5083" s="9">
        <v>9.9010000000000002E-5</v>
      </c>
      <c r="J5083" s="9">
        <v>1.0304E-4</v>
      </c>
      <c r="K5083" s="9">
        <v>0</v>
      </c>
      <c r="L5083" s="9">
        <v>1.7274E-4</v>
      </c>
      <c r="M5083" s="9">
        <v>1.6809999999999999E-4</v>
      </c>
      <c r="N5083" s="9">
        <v>1.6981E-4</v>
      </c>
      <c r="O5083" s="9">
        <v>1.8257000000000001E-4</v>
      </c>
      <c r="P5083" s="9">
        <v>1.6784999999999999E-4</v>
      </c>
      <c r="Q5083" s="9">
        <v>1.5310000000000001E-4</v>
      </c>
      <c r="R5083" s="10">
        <v>2.9086724787121219E-6</v>
      </c>
      <c r="S5083" s="10">
        <v>4.6998495094187347E-5</v>
      </c>
      <c r="T5083" s="10">
        <v>4.5472450797023835E-4</v>
      </c>
      <c r="U5083" s="10">
        <v>7.7239999999999999E-5</v>
      </c>
      <c r="V5083" s="25"/>
      <c r="W5083" s="25"/>
      <c r="X5083" s="25"/>
      <c r="Y5083" s="25"/>
      <c r="Z5083" s="25"/>
      <c r="AA5083" s="25"/>
    </row>
    <row r="5084" spans="1:27" x14ac:dyDescent="0.35">
      <c r="A5084" s="5">
        <v>5080</v>
      </c>
      <c r="B5084" s="5">
        <v>212</v>
      </c>
      <c r="C5084" s="5">
        <v>7</v>
      </c>
      <c r="D5084" s="25">
        <v>1.1415000000000001E-4</v>
      </c>
      <c r="E5084" s="25">
        <v>1.2017E-4</v>
      </c>
      <c r="F5084" s="25">
        <v>9.7089999999999994E-5</v>
      </c>
      <c r="G5084" s="25">
        <v>1.6583E-4</v>
      </c>
      <c r="H5084" s="25">
        <v>2.0212999999999999E-4</v>
      </c>
      <c r="I5084" s="9">
        <v>9.8750000000000002E-5</v>
      </c>
      <c r="J5084" s="9">
        <v>1.0403000000000001E-4</v>
      </c>
      <c r="K5084" s="9">
        <v>0</v>
      </c>
      <c r="L5084" s="9">
        <v>1.8013999999999999E-4</v>
      </c>
      <c r="M5084" s="9">
        <v>1.6761E-4</v>
      </c>
      <c r="N5084" s="9">
        <v>1.6603000000000001E-4</v>
      </c>
      <c r="O5084" s="9">
        <v>1.9466000000000001E-4</v>
      </c>
      <c r="P5084" s="9">
        <v>1.5176999999999999E-4</v>
      </c>
      <c r="Q5084" s="9">
        <v>1.0927E-4</v>
      </c>
      <c r="R5084" s="10">
        <v>2.0000729093079295E-6</v>
      </c>
      <c r="S5084" s="10">
        <v>4.8064041125181066E-5</v>
      </c>
      <c r="T5084" s="10">
        <v>3.8254008909922578E-4</v>
      </c>
      <c r="U5084" s="10">
        <v>7.7239999999999999E-5</v>
      </c>
      <c r="V5084" s="25"/>
      <c r="W5084" s="25"/>
      <c r="X5084" s="25"/>
      <c r="Y5084" s="25"/>
      <c r="Z5084" s="25"/>
      <c r="AA5084" s="25"/>
    </row>
    <row r="5085" spans="1:27" x14ac:dyDescent="0.35">
      <c r="A5085" s="5">
        <v>5081</v>
      </c>
      <c r="B5085" s="5">
        <v>212</v>
      </c>
      <c r="C5085" s="5">
        <v>7</v>
      </c>
      <c r="D5085" s="25">
        <v>1.1416E-4</v>
      </c>
      <c r="E5085" s="25">
        <v>1.1251000000000001E-4</v>
      </c>
      <c r="F5085" s="25">
        <v>1.0826E-4</v>
      </c>
      <c r="G5085" s="25">
        <v>1.5964000000000001E-4</v>
      </c>
      <c r="H5085" s="25">
        <v>1.9301999999999999E-4</v>
      </c>
      <c r="I5085" s="9">
        <v>1.0046E-4</v>
      </c>
      <c r="J5085" s="9">
        <v>1.0599000000000001E-4</v>
      </c>
      <c r="K5085" s="9">
        <v>0</v>
      </c>
      <c r="L5085" s="9">
        <v>1.9121000000000001E-4</v>
      </c>
      <c r="M5085" s="9">
        <v>1.6190000000000001E-4</v>
      </c>
      <c r="N5085" s="9">
        <v>1.5223E-4</v>
      </c>
      <c r="O5085" s="9">
        <v>2.0985000000000001E-4</v>
      </c>
      <c r="P5085" s="9">
        <v>1.5773999999999999E-4</v>
      </c>
      <c r="Q5085" s="9">
        <v>1.061E-4</v>
      </c>
      <c r="R5085" s="10">
        <v>1.8005820756833769E-6</v>
      </c>
      <c r="S5085" s="10">
        <v>4.2392211086391994E-5</v>
      </c>
      <c r="T5085" s="10">
        <v>2.5950926422280921E-4</v>
      </c>
      <c r="U5085" s="10">
        <v>7.7239999999999999E-5</v>
      </c>
      <c r="V5085" s="25"/>
      <c r="W5085" s="25"/>
      <c r="X5085" s="25"/>
      <c r="Y5085" s="25"/>
      <c r="Z5085" s="25"/>
      <c r="AA5085" s="25"/>
    </row>
    <row r="5086" spans="1:27" x14ac:dyDescent="0.35">
      <c r="A5086" s="5">
        <v>5082</v>
      </c>
      <c r="B5086" s="5">
        <v>212</v>
      </c>
      <c r="C5086" s="5">
        <v>7</v>
      </c>
      <c r="D5086" s="25">
        <v>1.1415000000000001E-4</v>
      </c>
      <c r="E5086" s="25">
        <v>1.2059E-4</v>
      </c>
      <c r="F5086" s="25">
        <v>1.0914E-4</v>
      </c>
      <c r="G5086" s="25">
        <v>1.6045999999999999E-4</v>
      </c>
      <c r="H5086" s="25">
        <v>1.9483E-4</v>
      </c>
      <c r="I5086" s="9">
        <v>9.9610000000000003E-5</v>
      </c>
      <c r="J5086" s="9">
        <v>1.0553E-4</v>
      </c>
      <c r="K5086" s="9">
        <v>0</v>
      </c>
      <c r="L5086" s="9">
        <v>2.0552E-4</v>
      </c>
      <c r="M5086" s="9">
        <v>1.5882E-4</v>
      </c>
      <c r="N5086" s="9">
        <v>1.3868999999999999E-4</v>
      </c>
      <c r="O5086" s="9">
        <v>2.0455000000000001E-4</v>
      </c>
      <c r="P5086" s="9">
        <v>1.6124999999999999E-4</v>
      </c>
      <c r="Q5086" s="9">
        <v>1.1831E-4</v>
      </c>
      <c r="R5086" s="10">
        <v>2.4433458775590365E-6</v>
      </c>
      <c r="S5086" s="10">
        <v>3.7895840838154063E-5</v>
      </c>
      <c r="T5086" s="10">
        <v>1.4066119892601277E-4</v>
      </c>
      <c r="U5086" s="10">
        <v>7.7239999999999999E-5</v>
      </c>
      <c r="V5086" s="25"/>
      <c r="W5086" s="25"/>
      <c r="X5086" s="25"/>
      <c r="Y5086" s="25"/>
      <c r="Z5086" s="25"/>
      <c r="AA5086" s="25"/>
    </row>
    <row r="5087" spans="1:27" x14ac:dyDescent="0.35">
      <c r="A5087" s="5">
        <v>5083</v>
      </c>
      <c r="B5087" s="5">
        <v>212</v>
      </c>
      <c r="C5087" s="5">
        <v>7</v>
      </c>
      <c r="D5087" s="25">
        <v>1.1416E-4</v>
      </c>
      <c r="E5087" s="25">
        <v>1.1777000000000001E-4</v>
      </c>
      <c r="F5087" s="25">
        <v>1.1483E-4</v>
      </c>
      <c r="G5087" s="25">
        <v>1.1506999999999999E-4</v>
      </c>
      <c r="H5087" s="25">
        <v>1.2994999999999999E-4</v>
      </c>
      <c r="I5087" s="9">
        <v>9.7620000000000004E-5</v>
      </c>
      <c r="J5087" s="9">
        <v>1.0424E-4</v>
      </c>
      <c r="K5087" s="9">
        <v>6.3600000000000001E-6</v>
      </c>
      <c r="L5087" s="9">
        <v>2.0441E-4</v>
      </c>
      <c r="M5087" s="9">
        <v>1.5904E-4</v>
      </c>
      <c r="N5087" s="9">
        <v>1.2980000000000001E-4</v>
      </c>
      <c r="O5087" s="9">
        <v>1.6407999999999999E-4</v>
      </c>
      <c r="P5087" s="9">
        <v>1.3580999999999999E-4</v>
      </c>
      <c r="Q5087" s="9">
        <v>1.078E-4</v>
      </c>
      <c r="R5087" s="10">
        <v>5.6926520755084278E-6</v>
      </c>
      <c r="S5087" s="10">
        <v>3.4387652718243619E-5</v>
      </c>
      <c r="T5087" s="10">
        <v>3.14088761942276E-5</v>
      </c>
      <c r="U5087" s="10">
        <v>7.7239999999999999E-5</v>
      </c>
      <c r="V5087" s="25"/>
      <c r="W5087" s="25"/>
      <c r="X5087" s="25"/>
      <c r="Y5087" s="25"/>
      <c r="Z5087" s="25"/>
      <c r="AA5087" s="25"/>
    </row>
    <row r="5088" spans="1:27" x14ac:dyDescent="0.35">
      <c r="A5088" s="5">
        <v>5084</v>
      </c>
      <c r="B5088" s="5">
        <v>212</v>
      </c>
      <c r="C5088" s="5">
        <v>7</v>
      </c>
      <c r="D5088" s="25">
        <v>1.1415000000000001E-4</v>
      </c>
      <c r="E5088" s="25">
        <v>1.1925E-4</v>
      </c>
      <c r="F5088" s="25">
        <v>9.7369999999999998E-5</v>
      </c>
      <c r="G5088" s="25">
        <v>1.0620000000000001E-4</v>
      </c>
      <c r="H5088" s="25">
        <v>1.3100000000000001E-4</v>
      </c>
      <c r="I5088" s="9">
        <v>9.6150000000000006E-5</v>
      </c>
      <c r="J5088" s="9">
        <v>1.0221E-4</v>
      </c>
      <c r="K5088" s="9">
        <v>8.49E-6</v>
      </c>
      <c r="L5088" s="9">
        <v>1.7305000000000001E-4</v>
      </c>
      <c r="M5088" s="9">
        <v>1.5092999999999999E-4</v>
      </c>
      <c r="N5088" s="9">
        <v>1.2093E-4</v>
      </c>
      <c r="O5088" s="9">
        <v>1.2897000000000001E-4</v>
      </c>
      <c r="P5088" s="9">
        <v>1.1577E-4</v>
      </c>
      <c r="Q5088" s="9">
        <v>1.027E-4</v>
      </c>
      <c r="R5088" s="10">
        <v>1.4237790711040688E-5</v>
      </c>
      <c r="S5088" s="10">
        <v>3.2148435643993059E-5</v>
      </c>
      <c r="T5088" s="10">
        <v>0</v>
      </c>
      <c r="U5088" s="10">
        <v>7.7239999999999999E-5</v>
      </c>
      <c r="V5088" s="25"/>
      <c r="W5088" s="25"/>
      <c r="X5088" s="25"/>
      <c r="Y5088" s="25"/>
      <c r="Z5088" s="25"/>
      <c r="AA5088" s="25"/>
    </row>
    <row r="5089" spans="1:27" x14ac:dyDescent="0.35">
      <c r="A5089" s="5">
        <v>5085</v>
      </c>
      <c r="B5089" s="5">
        <v>212</v>
      </c>
      <c r="C5089" s="5">
        <v>7</v>
      </c>
      <c r="D5089" s="25">
        <v>1.1416E-4</v>
      </c>
      <c r="E5089" s="25">
        <v>1.2025E-4</v>
      </c>
      <c r="F5089" s="25">
        <v>1.1315999999999999E-4</v>
      </c>
      <c r="G5089" s="25">
        <v>5.8850000000000001E-5</v>
      </c>
      <c r="H5089" s="25">
        <v>7.5859999999999995E-5</v>
      </c>
      <c r="I5089" s="9">
        <v>9.5539999999999997E-5</v>
      </c>
      <c r="J5089" s="9">
        <v>1.0192999999999999E-4</v>
      </c>
      <c r="K5089" s="9">
        <v>1.484E-5</v>
      </c>
      <c r="L5089" s="9">
        <v>1.3962999999999999E-4</v>
      </c>
      <c r="M5089" s="9">
        <v>1.3598000000000001E-4</v>
      </c>
      <c r="N5089" s="9">
        <v>1.1345000000000001E-4</v>
      </c>
      <c r="O5089" s="9">
        <v>8.4989999999999998E-5</v>
      </c>
      <c r="P5089" s="9">
        <v>8.6970000000000002E-5</v>
      </c>
      <c r="Q5089" s="9">
        <v>8.899E-5</v>
      </c>
      <c r="R5089" s="10">
        <v>2.8847143509082232E-5</v>
      </c>
      <c r="S5089" s="10">
        <v>3.4093731333141345E-5</v>
      </c>
      <c r="T5089" s="10">
        <v>0</v>
      </c>
      <c r="U5089" s="10">
        <v>7.7239999999999999E-5</v>
      </c>
      <c r="V5089" s="25"/>
      <c r="W5089" s="25"/>
      <c r="X5089" s="25"/>
      <c r="Y5089" s="25"/>
      <c r="Z5089" s="25"/>
      <c r="AA5089" s="25"/>
    </row>
    <row r="5090" spans="1:27" x14ac:dyDescent="0.35">
      <c r="A5090" s="5">
        <v>5086</v>
      </c>
      <c r="B5090" s="5">
        <v>212</v>
      </c>
      <c r="C5090" s="5">
        <v>7</v>
      </c>
      <c r="D5090" s="25">
        <v>1.1415000000000001E-4</v>
      </c>
      <c r="E5090" s="25">
        <v>1.1879000000000001E-4</v>
      </c>
      <c r="F5090" s="25">
        <v>1.0766E-4</v>
      </c>
      <c r="G5090" s="25">
        <v>5.3239999999999998E-5</v>
      </c>
      <c r="H5090" s="25">
        <v>6.3650000000000002E-5</v>
      </c>
      <c r="I5090" s="9">
        <v>9.7349999999999995E-5</v>
      </c>
      <c r="J5090" s="9">
        <v>1.0143E-4</v>
      </c>
      <c r="K5090" s="9">
        <v>3.392E-5</v>
      </c>
      <c r="L5090" s="9">
        <v>9.7930000000000006E-5</v>
      </c>
      <c r="M5090" s="9">
        <v>1.1446999999999999E-4</v>
      </c>
      <c r="N5090" s="9">
        <v>1.0603E-4</v>
      </c>
      <c r="O5090" s="9">
        <v>8.6589999999999996E-5</v>
      </c>
      <c r="P5090" s="9">
        <v>8.7200000000000005E-5</v>
      </c>
      <c r="Q5090" s="9">
        <v>8.7849999999999994E-5</v>
      </c>
      <c r="R5090" s="10">
        <v>5.2897624344786149E-5</v>
      </c>
      <c r="S5090" s="10">
        <v>4.1649391446970514E-5</v>
      </c>
      <c r="T5090" s="10">
        <v>0</v>
      </c>
      <c r="U5090" s="10">
        <v>7.7239999999999999E-5</v>
      </c>
      <c r="V5090" s="25"/>
      <c r="W5090" s="25"/>
      <c r="X5090" s="25"/>
      <c r="Y5090" s="25"/>
      <c r="Z5090" s="25"/>
      <c r="AA5090" s="25"/>
    </row>
    <row r="5091" spans="1:27" x14ac:dyDescent="0.35">
      <c r="A5091" s="5">
        <v>5087</v>
      </c>
      <c r="B5091" s="5">
        <v>212</v>
      </c>
      <c r="C5091" s="5">
        <v>7</v>
      </c>
      <c r="D5091" s="25">
        <v>1.1416E-4</v>
      </c>
      <c r="E5091" s="25">
        <v>1.1230000000000001E-4</v>
      </c>
      <c r="F5091" s="25">
        <v>1.1075E-4</v>
      </c>
      <c r="G5091" s="25">
        <v>5.9419999999999997E-5</v>
      </c>
      <c r="H5091" s="25">
        <v>6.6299999999999999E-5</v>
      </c>
      <c r="I5091" s="9">
        <v>9.4010000000000003E-5</v>
      </c>
      <c r="J5091" s="9">
        <v>9.6150000000000006E-5</v>
      </c>
      <c r="K5091" s="9">
        <v>2.544E-5</v>
      </c>
      <c r="L5091" s="9">
        <v>9.0019999999999995E-5</v>
      </c>
      <c r="M5091" s="9">
        <v>9.9370000000000006E-5</v>
      </c>
      <c r="N5091" s="9">
        <v>1.0014999999999999E-4</v>
      </c>
      <c r="O5091" s="9">
        <v>7.7970000000000001E-5</v>
      </c>
      <c r="P5091" s="9">
        <v>7.2529999999999998E-5</v>
      </c>
      <c r="Q5091" s="9">
        <v>6.7249999999999995E-5</v>
      </c>
      <c r="R5091" s="10">
        <v>7.2437308354472935E-5</v>
      </c>
      <c r="S5091" s="10">
        <v>5.4122988713567284E-5</v>
      </c>
      <c r="T5091" s="10">
        <v>0</v>
      </c>
      <c r="U5091" s="10">
        <v>7.7239999999999999E-5</v>
      </c>
      <c r="V5091" s="25"/>
      <c r="W5091" s="25"/>
      <c r="X5091" s="25"/>
      <c r="Y5091" s="25"/>
      <c r="Z5091" s="25"/>
      <c r="AA5091" s="25"/>
    </row>
    <row r="5092" spans="1:27" x14ac:dyDescent="0.35">
      <c r="A5092" s="5">
        <v>5088</v>
      </c>
      <c r="B5092" s="5">
        <v>212</v>
      </c>
      <c r="C5092" s="5">
        <v>7</v>
      </c>
      <c r="D5092" s="25">
        <v>1.1415000000000001E-4</v>
      </c>
      <c r="E5092" s="25">
        <v>1.2188000000000001E-4</v>
      </c>
      <c r="F5092" s="25">
        <v>1.1495E-4</v>
      </c>
      <c r="G5092" s="25">
        <v>5.8940000000000002E-5</v>
      </c>
      <c r="H5092" s="25">
        <v>7.0939999999999995E-5</v>
      </c>
      <c r="I5092" s="9">
        <v>8.9120000000000001E-5</v>
      </c>
      <c r="J5092" s="9">
        <v>9.1260000000000004E-5</v>
      </c>
      <c r="K5092" s="9">
        <v>2.544E-5</v>
      </c>
      <c r="L5092" s="9">
        <v>8.064E-5</v>
      </c>
      <c r="M5092" s="9">
        <v>8.6360000000000007E-5</v>
      </c>
      <c r="N5092" s="9">
        <v>9.0890000000000006E-5</v>
      </c>
      <c r="O5092" s="9">
        <v>6.313E-5</v>
      </c>
      <c r="P5092" s="9">
        <v>6.1149999999999996E-5</v>
      </c>
      <c r="Q5092" s="9">
        <v>5.9320000000000001E-5</v>
      </c>
      <c r="R5092" s="10">
        <v>9.1731765100681547E-5</v>
      </c>
      <c r="S5092" s="10">
        <v>8.4303643324810276E-5</v>
      </c>
      <c r="T5092" s="10">
        <v>0</v>
      </c>
      <c r="U5092" s="10">
        <v>7.7239999999999999E-5</v>
      </c>
      <c r="V5092" s="25"/>
      <c r="W5092" s="25"/>
      <c r="X5092" s="25"/>
      <c r="Y5092" s="25"/>
      <c r="Z5092" s="25"/>
      <c r="AA5092" s="25"/>
    </row>
    <row r="5093" spans="1:27" x14ac:dyDescent="0.35">
      <c r="A5093" s="5">
        <v>5089</v>
      </c>
      <c r="B5093" s="5">
        <v>213</v>
      </c>
      <c r="C5093" s="5">
        <v>8</v>
      </c>
      <c r="D5093" s="25">
        <v>1.1416E-4</v>
      </c>
      <c r="E5093" s="25">
        <v>1.1252999999999999E-4</v>
      </c>
      <c r="F5093" s="25">
        <v>8.4019999999999999E-5</v>
      </c>
      <c r="G5093" s="25">
        <v>5.5869999999999999E-5</v>
      </c>
      <c r="H5093" s="25">
        <v>6.2879999999999994E-5</v>
      </c>
      <c r="I5093" s="9">
        <v>8.5539999999999998E-5</v>
      </c>
      <c r="J5093" s="9">
        <v>8.7730000000000002E-5</v>
      </c>
      <c r="K5093" s="9">
        <v>2.756E-5</v>
      </c>
      <c r="L5093" s="9">
        <v>6.6970000000000004E-5</v>
      </c>
      <c r="M5093" s="9">
        <v>7.4309999999999998E-5</v>
      </c>
      <c r="N5093" s="9">
        <v>8.1500000000000002E-5</v>
      </c>
      <c r="O5093" s="9">
        <v>5.4710000000000003E-5</v>
      </c>
      <c r="P5093" s="9">
        <v>5.4129999999999998E-5</v>
      </c>
      <c r="Q5093" s="9">
        <v>5.3699999999999997E-5</v>
      </c>
      <c r="R5093" s="10">
        <v>9.794647105184922E-5</v>
      </c>
      <c r="S5093" s="10">
        <v>9.5752946817306809E-5</v>
      </c>
      <c r="T5093" s="10">
        <v>0</v>
      </c>
      <c r="U5093" s="10">
        <v>7.6110000000000001E-5</v>
      </c>
      <c r="V5093" s="25"/>
      <c r="W5093" s="25"/>
      <c r="X5093" s="25"/>
      <c r="Y5093" s="25"/>
      <c r="Z5093" s="25"/>
      <c r="AA5093" s="25"/>
    </row>
    <row r="5094" spans="1:27" x14ac:dyDescent="0.35">
      <c r="A5094" s="5">
        <v>5090</v>
      </c>
      <c r="B5094" s="5">
        <v>213</v>
      </c>
      <c r="C5094" s="5">
        <v>8</v>
      </c>
      <c r="D5094" s="25">
        <v>1.1415000000000001E-4</v>
      </c>
      <c r="E5094" s="25">
        <v>1.1812E-4</v>
      </c>
      <c r="F5094" s="25">
        <v>9.6080000000000002E-5</v>
      </c>
      <c r="G5094" s="25">
        <v>5.8669999999999999E-5</v>
      </c>
      <c r="H5094" s="25">
        <v>6.7689999999999997E-5</v>
      </c>
      <c r="I5094" s="9">
        <v>8.2449999999999998E-5</v>
      </c>
      <c r="J5094" s="9">
        <v>8.5459999999999998E-5</v>
      </c>
      <c r="K5094" s="9">
        <v>2.756E-5</v>
      </c>
      <c r="L5094" s="9">
        <v>5.7779999999999999E-5</v>
      </c>
      <c r="M5094" s="9">
        <v>6.4189999999999994E-5</v>
      </c>
      <c r="N5094" s="9">
        <v>7.2360000000000005E-5</v>
      </c>
      <c r="O5094" s="9">
        <v>1.9210000000000001E-5</v>
      </c>
      <c r="P5094" s="9">
        <v>3.8090000000000003E-5</v>
      </c>
      <c r="Q5094" s="9">
        <v>5.6679999999999999E-5</v>
      </c>
      <c r="R5094" s="10">
        <v>9.843446116002793E-5</v>
      </c>
      <c r="S5094" s="10">
        <v>1.0047532479535699E-4</v>
      </c>
      <c r="T5094" s="10">
        <v>0</v>
      </c>
      <c r="U5094" s="10">
        <v>7.6110000000000001E-5</v>
      </c>
      <c r="V5094" s="25"/>
      <c r="W5094" s="25"/>
      <c r="X5094" s="25"/>
      <c r="Y5094" s="25"/>
      <c r="Z5094" s="25"/>
      <c r="AA5094" s="25"/>
    </row>
    <row r="5095" spans="1:27" x14ac:dyDescent="0.35">
      <c r="A5095" s="5">
        <v>5091</v>
      </c>
      <c r="B5095" s="5">
        <v>213</v>
      </c>
      <c r="C5095" s="5">
        <v>8</v>
      </c>
      <c r="D5095" s="25">
        <v>1.1416E-4</v>
      </c>
      <c r="E5095" s="25">
        <v>1.0948E-4</v>
      </c>
      <c r="F5095" s="25">
        <v>8.9229999999999998E-5</v>
      </c>
      <c r="G5095" s="25">
        <v>6.1710000000000004E-5</v>
      </c>
      <c r="H5095" s="25">
        <v>6.8789999999999997E-5</v>
      </c>
      <c r="I5095" s="9">
        <v>8.1470000000000004E-5</v>
      </c>
      <c r="J5095" s="9">
        <v>8.4220000000000003E-5</v>
      </c>
      <c r="K5095" s="9">
        <v>2.332E-5</v>
      </c>
      <c r="L5095" s="9">
        <v>2.7909999999999999E-5</v>
      </c>
      <c r="M5095" s="9">
        <v>5.2479999999999999E-5</v>
      </c>
      <c r="N5095" s="9">
        <v>6.5820000000000003E-5</v>
      </c>
      <c r="O5095" s="9">
        <v>1.3699999999999999E-5</v>
      </c>
      <c r="P5095" s="9">
        <v>3.8059999999999998E-5</v>
      </c>
      <c r="Q5095" s="9">
        <v>6.2030000000000001E-5</v>
      </c>
      <c r="R5095" s="10">
        <v>9.2197844462127095E-5</v>
      </c>
      <c r="S5095" s="10">
        <v>1.0546624600178618E-4</v>
      </c>
      <c r="T5095" s="10">
        <v>0</v>
      </c>
      <c r="U5095" s="10">
        <v>7.6110000000000001E-5</v>
      </c>
      <c r="V5095" s="25"/>
      <c r="W5095" s="25"/>
      <c r="X5095" s="25"/>
      <c r="Y5095" s="25"/>
      <c r="Z5095" s="25"/>
      <c r="AA5095" s="25"/>
    </row>
    <row r="5096" spans="1:27" x14ac:dyDescent="0.35">
      <c r="A5096" s="5">
        <v>5092</v>
      </c>
      <c r="B5096" s="5">
        <v>213</v>
      </c>
      <c r="C5096" s="5">
        <v>8</v>
      </c>
      <c r="D5096" s="25">
        <v>1.1415000000000001E-4</v>
      </c>
      <c r="E5096" s="25">
        <v>1.1027999999999999E-4</v>
      </c>
      <c r="F5096" s="25">
        <v>8.8170000000000005E-5</v>
      </c>
      <c r="G5096" s="25">
        <v>6.0919999999999999E-5</v>
      </c>
      <c r="H5096" s="25">
        <v>7.1069999999999995E-5</v>
      </c>
      <c r="I5096" s="9">
        <v>8.1130000000000004E-5</v>
      </c>
      <c r="J5096" s="9">
        <v>8.3839999999999997E-5</v>
      </c>
      <c r="K5096" s="9">
        <v>2.544E-5</v>
      </c>
      <c r="L5096" s="9">
        <v>1.7560000000000001E-5</v>
      </c>
      <c r="M5096" s="9">
        <v>4.4490000000000003E-5</v>
      </c>
      <c r="N5096" s="9">
        <v>6.2279999999999993E-5</v>
      </c>
      <c r="O5096" s="9">
        <v>1.3709999999999999E-5</v>
      </c>
      <c r="P5096" s="9">
        <v>4.7620000000000001E-5</v>
      </c>
      <c r="Q5096" s="9">
        <v>8.0980000000000001E-5</v>
      </c>
      <c r="R5096" s="10">
        <v>7.6437384442865129E-5</v>
      </c>
      <c r="S5096" s="10">
        <v>1.0899594114453378E-4</v>
      </c>
      <c r="T5096" s="10">
        <v>0</v>
      </c>
      <c r="U5096" s="10">
        <v>7.6110000000000001E-5</v>
      </c>
      <c r="V5096" s="25"/>
      <c r="W5096" s="25"/>
      <c r="X5096" s="25"/>
      <c r="Y5096" s="25"/>
      <c r="Z5096" s="25"/>
      <c r="AA5096" s="25"/>
    </row>
    <row r="5097" spans="1:27" x14ac:dyDescent="0.35">
      <c r="A5097" s="5">
        <v>5093</v>
      </c>
      <c r="B5097" s="5">
        <v>213</v>
      </c>
      <c r="C5097" s="5">
        <v>8</v>
      </c>
      <c r="D5097" s="25">
        <v>1.1416E-4</v>
      </c>
      <c r="E5097" s="25">
        <v>1.1475E-4</v>
      </c>
      <c r="F5097" s="25">
        <v>8.7089999999999995E-5</v>
      </c>
      <c r="G5097" s="25">
        <v>6.2399999999999999E-5</v>
      </c>
      <c r="H5097" s="25">
        <v>7.5820000000000003E-5</v>
      </c>
      <c r="I5097" s="9">
        <v>8.0450000000000004E-5</v>
      </c>
      <c r="J5097" s="9">
        <v>8.3269999999999994E-5</v>
      </c>
      <c r="K5097" s="9">
        <v>3.18E-5</v>
      </c>
      <c r="L5097" s="9">
        <v>1.4800000000000001E-5</v>
      </c>
      <c r="M5097" s="9">
        <v>4.3829999999999999E-5</v>
      </c>
      <c r="N5097" s="9">
        <v>6.4880000000000002E-5</v>
      </c>
      <c r="O5097" s="9">
        <v>1.8989999999999999E-5</v>
      </c>
      <c r="P5097" s="9">
        <v>5.6459999999999998E-5</v>
      </c>
      <c r="Q5097" s="9">
        <v>9.3360000000000001E-5</v>
      </c>
      <c r="R5097" s="10">
        <v>6.111134261788261E-5</v>
      </c>
      <c r="S5097" s="10">
        <v>1.0912789363447776E-4</v>
      </c>
      <c r="T5097" s="10">
        <v>0</v>
      </c>
      <c r="U5097" s="10">
        <v>7.6110000000000001E-5</v>
      </c>
      <c r="V5097" s="25"/>
      <c r="W5097" s="25"/>
      <c r="X5097" s="25"/>
      <c r="Y5097" s="25"/>
      <c r="Z5097" s="25"/>
      <c r="AA5097" s="25"/>
    </row>
    <row r="5098" spans="1:27" x14ac:dyDescent="0.35">
      <c r="A5098" s="5">
        <v>5094</v>
      </c>
      <c r="B5098" s="5">
        <v>213</v>
      </c>
      <c r="C5098" s="5">
        <v>8</v>
      </c>
      <c r="D5098" s="25">
        <v>1.1415000000000001E-4</v>
      </c>
      <c r="E5098" s="25">
        <v>1.1718E-4</v>
      </c>
      <c r="F5098" s="25">
        <v>8.6760000000000003E-5</v>
      </c>
      <c r="G5098" s="25">
        <v>1.1393E-4</v>
      </c>
      <c r="H5098" s="25">
        <v>1.2914E-4</v>
      </c>
      <c r="I5098" s="9">
        <v>8.0039999999999999E-5</v>
      </c>
      <c r="J5098" s="9">
        <v>8.1710000000000002E-5</v>
      </c>
      <c r="K5098" s="9">
        <v>8.4800000000000001E-6</v>
      </c>
      <c r="L5098" s="9">
        <v>1.7940000000000001E-5</v>
      </c>
      <c r="M5098" s="9">
        <v>4.8550000000000001E-5</v>
      </c>
      <c r="N5098" s="9">
        <v>7.1299999999999998E-5</v>
      </c>
      <c r="O5098" s="9">
        <v>4.6329999999999999E-5</v>
      </c>
      <c r="P5098" s="9">
        <v>7.6849999999999998E-5</v>
      </c>
      <c r="Q5098" s="9">
        <v>1.0702E-4</v>
      </c>
      <c r="R5098" s="10">
        <v>5.1291785572042151E-5</v>
      </c>
      <c r="S5098" s="10">
        <v>1.0525041384063977E-4</v>
      </c>
      <c r="T5098" s="10">
        <v>3.1273127404625312E-5</v>
      </c>
      <c r="U5098" s="10">
        <v>7.6110000000000001E-5</v>
      </c>
      <c r="V5098" s="25"/>
      <c r="W5098" s="25"/>
      <c r="X5098" s="25"/>
      <c r="Y5098" s="25"/>
      <c r="Z5098" s="25"/>
      <c r="AA5098" s="25"/>
    </row>
    <row r="5099" spans="1:27" x14ac:dyDescent="0.35">
      <c r="A5099" s="5">
        <v>5095</v>
      </c>
      <c r="B5099" s="5">
        <v>213</v>
      </c>
      <c r="C5099" s="5">
        <v>8</v>
      </c>
      <c r="D5099" s="25">
        <v>1.1416E-4</v>
      </c>
      <c r="E5099" s="25">
        <v>1.1267E-4</v>
      </c>
      <c r="F5099" s="25">
        <v>1.0385E-4</v>
      </c>
      <c r="G5099" s="25">
        <v>1.0768E-4</v>
      </c>
      <c r="H5099" s="25">
        <v>1.3605999999999999E-4</v>
      </c>
      <c r="I5099" s="9">
        <v>8.2830000000000005E-5</v>
      </c>
      <c r="J5099" s="9">
        <v>8.3599999999999999E-5</v>
      </c>
      <c r="K5099" s="9">
        <v>0</v>
      </c>
      <c r="L5099" s="9">
        <v>3.9950000000000002E-5</v>
      </c>
      <c r="M5099" s="9">
        <v>6.0069999999999999E-5</v>
      </c>
      <c r="N5099" s="9">
        <v>8.0939999999999994E-5</v>
      </c>
      <c r="O5099" s="9">
        <v>1.219E-4</v>
      </c>
      <c r="P5099" s="9">
        <v>1.1650999999999999E-4</v>
      </c>
      <c r="Q5099" s="9">
        <v>1.1161E-4</v>
      </c>
      <c r="R5099" s="10">
        <v>4.2072469183922704E-5</v>
      </c>
      <c r="S5099" s="10">
        <v>1.0412452065501909E-4</v>
      </c>
      <c r="T5099" s="10">
        <v>1.2462587315424341E-4</v>
      </c>
      <c r="U5099" s="10">
        <v>7.6110000000000001E-5</v>
      </c>
      <c r="V5099" s="25"/>
      <c r="W5099" s="25"/>
      <c r="X5099" s="25"/>
      <c r="Y5099" s="25"/>
      <c r="Z5099" s="25"/>
      <c r="AA5099" s="25"/>
    </row>
    <row r="5100" spans="1:27" x14ac:dyDescent="0.35">
      <c r="A5100" s="5">
        <v>5096</v>
      </c>
      <c r="B5100" s="5">
        <v>213</v>
      </c>
      <c r="C5100" s="5">
        <v>8</v>
      </c>
      <c r="D5100" s="25">
        <v>1.1415000000000001E-4</v>
      </c>
      <c r="E5100" s="25">
        <v>1.1022E-4</v>
      </c>
      <c r="F5100" s="25">
        <v>8.4270000000000005E-5</v>
      </c>
      <c r="G5100" s="25">
        <v>1.5762E-4</v>
      </c>
      <c r="H5100" s="25">
        <v>1.9581000000000001E-4</v>
      </c>
      <c r="I5100" s="9">
        <v>8.7750000000000005E-5</v>
      </c>
      <c r="J5100" s="9">
        <v>8.7620000000000005E-5</v>
      </c>
      <c r="K5100" s="9">
        <v>0</v>
      </c>
      <c r="L5100" s="9">
        <v>1.0325E-4</v>
      </c>
      <c r="M5100" s="9">
        <v>8.3360000000000001E-5</v>
      </c>
      <c r="N5100" s="9">
        <v>9.077E-5</v>
      </c>
      <c r="O5100" s="9">
        <v>2.1764000000000001E-4</v>
      </c>
      <c r="P5100" s="9">
        <v>1.7615999999999999E-4</v>
      </c>
      <c r="Q5100" s="9">
        <v>1.3608000000000001E-4</v>
      </c>
      <c r="R5100" s="10">
        <v>2.5438959089617742E-5</v>
      </c>
      <c r="S5100" s="10">
        <v>1.0548659329211606E-4</v>
      </c>
      <c r="T5100" s="10">
        <v>2.9688260286018695E-4</v>
      </c>
      <c r="U5100" s="10">
        <v>7.6110000000000001E-5</v>
      </c>
      <c r="V5100" s="25"/>
      <c r="W5100" s="25"/>
      <c r="X5100" s="25"/>
      <c r="Y5100" s="25"/>
      <c r="Z5100" s="25"/>
      <c r="AA5100" s="25"/>
    </row>
    <row r="5101" spans="1:27" x14ac:dyDescent="0.35">
      <c r="A5101" s="5">
        <v>5097</v>
      </c>
      <c r="B5101" s="5">
        <v>213</v>
      </c>
      <c r="C5101" s="5">
        <v>8</v>
      </c>
      <c r="D5101" s="25">
        <v>1.1416E-4</v>
      </c>
      <c r="E5101" s="25">
        <v>1.0886E-4</v>
      </c>
      <c r="F5101" s="25">
        <v>8.4930000000000002E-5</v>
      </c>
      <c r="G5101" s="25">
        <v>1.6588E-4</v>
      </c>
      <c r="H5101" s="25">
        <v>2.0087999999999999E-4</v>
      </c>
      <c r="I5101" s="9">
        <v>9.2520000000000002E-5</v>
      </c>
      <c r="J5101" s="9">
        <v>9.1990000000000005E-5</v>
      </c>
      <c r="K5101" s="9">
        <v>0</v>
      </c>
      <c r="L5101" s="9">
        <v>1.9074000000000001E-4</v>
      </c>
      <c r="M5101" s="9">
        <v>1.2279000000000001E-4</v>
      </c>
      <c r="N5101" s="9">
        <v>1.0432E-4</v>
      </c>
      <c r="O5101" s="9">
        <v>2.0975E-4</v>
      </c>
      <c r="P5101" s="9">
        <v>1.9254999999999999E-4</v>
      </c>
      <c r="Q5101" s="9">
        <v>1.7634000000000001E-4</v>
      </c>
      <c r="R5101" s="10">
        <v>5.8997403879824105E-6</v>
      </c>
      <c r="S5101" s="10">
        <v>1.0414552916611788E-4</v>
      </c>
      <c r="T5101" s="10">
        <v>4.5415605991377874E-4</v>
      </c>
      <c r="U5101" s="10">
        <v>7.6110000000000001E-5</v>
      </c>
      <c r="V5101" s="25"/>
      <c r="W5101" s="25"/>
      <c r="X5101" s="25"/>
      <c r="Y5101" s="25"/>
      <c r="Z5101" s="25"/>
      <c r="AA5101" s="25"/>
    </row>
    <row r="5102" spans="1:27" x14ac:dyDescent="0.35">
      <c r="A5102" s="5">
        <v>5098</v>
      </c>
      <c r="B5102" s="5">
        <v>213</v>
      </c>
      <c r="C5102" s="5">
        <v>8</v>
      </c>
      <c r="D5102" s="25">
        <v>1.1415000000000001E-4</v>
      </c>
      <c r="E5102" s="25">
        <v>1.1174E-4</v>
      </c>
      <c r="F5102" s="25">
        <v>8.187E-5</v>
      </c>
      <c r="G5102" s="25">
        <v>1.6668E-4</v>
      </c>
      <c r="H5102" s="25">
        <v>2.0169E-4</v>
      </c>
      <c r="I5102" s="9">
        <v>9.6739999999999999E-5</v>
      </c>
      <c r="J5102" s="9">
        <v>9.5299999999999999E-5</v>
      </c>
      <c r="K5102" s="9">
        <v>0</v>
      </c>
      <c r="L5102" s="9">
        <v>2.0327999999999999E-4</v>
      </c>
      <c r="M5102" s="9">
        <v>1.5789999999999999E-4</v>
      </c>
      <c r="N5102" s="9">
        <v>1.2418999999999999E-4</v>
      </c>
      <c r="O5102" s="9">
        <v>1.6626999999999999E-4</v>
      </c>
      <c r="P5102" s="9">
        <v>1.7382000000000001E-4</v>
      </c>
      <c r="Q5102" s="9">
        <v>1.8181E-4</v>
      </c>
      <c r="R5102" s="10">
        <v>1.88525480447575E-6</v>
      </c>
      <c r="S5102" s="10">
        <v>1.0273659943400786E-4</v>
      </c>
      <c r="T5102" s="10">
        <v>5.5614582240184191E-4</v>
      </c>
      <c r="U5102" s="10">
        <v>7.6110000000000001E-5</v>
      </c>
      <c r="V5102" s="25"/>
      <c r="W5102" s="25"/>
      <c r="X5102" s="25"/>
      <c r="Y5102" s="25"/>
      <c r="Z5102" s="25"/>
      <c r="AA5102" s="25"/>
    </row>
    <row r="5103" spans="1:27" x14ac:dyDescent="0.35">
      <c r="A5103" s="5">
        <v>5099</v>
      </c>
      <c r="B5103" s="5">
        <v>213</v>
      </c>
      <c r="C5103" s="5">
        <v>8</v>
      </c>
      <c r="D5103" s="25">
        <v>1.1416E-4</v>
      </c>
      <c r="E5103" s="25">
        <v>1.0821E-4</v>
      </c>
      <c r="F5103" s="25">
        <v>9.5649999999999994E-5</v>
      </c>
      <c r="G5103" s="25">
        <v>1.6169000000000001E-4</v>
      </c>
      <c r="H5103" s="25">
        <v>1.8909999999999999E-4</v>
      </c>
      <c r="I5103" s="9">
        <v>9.9030000000000006E-5</v>
      </c>
      <c r="J5103" s="9">
        <v>9.7369999999999998E-5</v>
      </c>
      <c r="K5103" s="9">
        <v>0</v>
      </c>
      <c r="L5103" s="9">
        <v>1.7448E-4</v>
      </c>
      <c r="M5103" s="9">
        <v>1.7176999999999999E-4</v>
      </c>
      <c r="N5103" s="9">
        <v>1.4223999999999999E-4</v>
      </c>
      <c r="O5103" s="9">
        <v>1.6745E-4</v>
      </c>
      <c r="P5103" s="9">
        <v>1.7369E-4</v>
      </c>
      <c r="Q5103" s="9">
        <v>1.8039999999999999E-4</v>
      </c>
      <c r="R5103" s="10">
        <v>7.0704912024348794E-7</v>
      </c>
      <c r="S5103" s="10">
        <v>9.8408836730151986E-5</v>
      </c>
      <c r="T5103" s="10">
        <v>6.1799636466438083E-4</v>
      </c>
      <c r="U5103" s="10">
        <v>7.6110000000000001E-5</v>
      </c>
      <c r="V5103" s="25"/>
      <c r="W5103" s="25"/>
      <c r="X5103" s="25"/>
      <c r="Y5103" s="25"/>
      <c r="Z5103" s="25"/>
      <c r="AA5103" s="25"/>
    </row>
    <row r="5104" spans="1:27" x14ac:dyDescent="0.35">
      <c r="A5104" s="5">
        <v>5100</v>
      </c>
      <c r="B5104" s="5">
        <v>213</v>
      </c>
      <c r="C5104" s="5">
        <v>8</v>
      </c>
      <c r="D5104" s="25">
        <v>1.1415000000000001E-4</v>
      </c>
      <c r="E5104" s="25">
        <v>1.1592E-4</v>
      </c>
      <c r="F5104" s="25">
        <v>9.7189999999999996E-5</v>
      </c>
      <c r="G5104" s="25">
        <v>1.5919E-4</v>
      </c>
      <c r="H5104" s="25">
        <v>1.9201E-4</v>
      </c>
      <c r="I5104" s="9">
        <v>1.0014999999999999E-4</v>
      </c>
      <c r="J5104" s="9">
        <v>9.8649999999999999E-5</v>
      </c>
      <c r="K5104" s="9">
        <v>0</v>
      </c>
      <c r="L5104" s="9">
        <v>1.7039E-4</v>
      </c>
      <c r="M5104" s="9">
        <v>1.7483E-4</v>
      </c>
      <c r="N5104" s="9">
        <v>1.5657E-4</v>
      </c>
      <c r="O5104" s="9">
        <v>1.6822000000000001E-4</v>
      </c>
      <c r="P5104" s="9">
        <v>1.7033E-4</v>
      </c>
      <c r="Q5104" s="9">
        <v>1.7297999999999999E-4</v>
      </c>
      <c r="R5104" s="10">
        <v>2.7630687145020685E-7</v>
      </c>
      <c r="S5104" s="10">
        <v>9.4389846387973712E-5</v>
      </c>
      <c r="T5104" s="10">
        <v>6.2262030781020858E-4</v>
      </c>
      <c r="U5104" s="10">
        <v>7.6110000000000001E-5</v>
      </c>
      <c r="V5104" s="25"/>
      <c r="W5104" s="25"/>
      <c r="X5104" s="25"/>
      <c r="Y5104" s="25"/>
      <c r="Z5104" s="25"/>
      <c r="AA5104" s="25"/>
    </row>
    <row r="5105" spans="1:27" x14ac:dyDescent="0.35">
      <c r="A5105" s="5">
        <v>5101</v>
      </c>
      <c r="B5105" s="5">
        <v>213</v>
      </c>
      <c r="C5105" s="5">
        <v>8</v>
      </c>
      <c r="D5105" s="25">
        <v>1.1416E-4</v>
      </c>
      <c r="E5105" s="25">
        <v>1.1044000000000001E-4</v>
      </c>
      <c r="F5105" s="25">
        <v>1.0444E-4</v>
      </c>
      <c r="G5105" s="25">
        <v>1.5913E-4</v>
      </c>
      <c r="H5105" s="25">
        <v>1.9131000000000001E-4</v>
      </c>
      <c r="I5105" s="9">
        <v>9.7349999999999995E-5</v>
      </c>
      <c r="J5105" s="9">
        <v>9.7999999999999997E-5</v>
      </c>
      <c r="K5105" s="9">
        <v>0</v>
      </c>
      <c r="L5105" s="9">
        <v>1.6883999999999999E-4</v>
      </c>
      <c r="M5105" s="9">
        <v>1.7351000000000001E-4</v>
      </c>
      <c r="N5105" s="9">
        <v>1.6587000000000001E-4</v>
      </c>
      <c r="O5105" s="9">
        <v>1.5988999999999999E-4</v>
      </c>
      <c r="P5105" s="9">
        <v>1.6276999999999999E-4</v>
      </c>
      <c r="Q5105" s="9">
        <v>1.6614000000000001E-4</v>
      </c>
      <c r="R5105" s="10">
        <v>2.1634397888263059E-7</v>
      </c>
      <c r="S5105" s="10">
        <v>8.8777975606076117E-5</v>
      </c>
      <c r="T5105" s="10">
        <v>6.5514911151865504E-4</v>
      </c>
      <c r="U5105" s="10">
        <v>7.6110000000000001E-5</v>
      </c>
      <c r="V5105" s="25"/>
      <c r="W5105" s="25"/>
      <c r="X5105" s="25"/>
      <c r="Y5105" s="25"/>
      <c r="Z5105" s="25"/>
      <c r="AA5105" s="25"/>
    </row>
    <row r="5106" spans="1:27" x14ac:dyDescent="0.35">
      <c r="A5106" s="5">
        <v>5102</v>
      </c>
      <c r="B5106" s="5">
        <v>213</v>
      </c>
      <c r="C5106" s="5">
        <v>8</v>
      </c>
      <c r="D5106" s="25">
        <v>1.1415000000000001E-4</v>
      </c>
      <c r="E5106" s="25">
        <v>1.1477E-4</v>
      </c>
      <c r="F5106" s="25">
        <v>9.4930000000000001E-5</v>
      </c>
      <c r="G5106" s="25">
        <v>1.6577000000000001E-4</v>
      </c>
      <c r="H5106" s="25">
        <v>1.8950999999999999E-4</v>
      </c>
      <c r="I5106" s="9">
        <v>9.4539999999999999E-5</v>
      </c>
      <c r="J5106" s="9">
        <v>9.6340000000000003E-5</v>
      </c>
      <c r="K5106" s="9">
        <v>0</v>
      </c>
      <c r="L5106" s="9">
        <v>1.6165E-4</v>
      </c>
      <c r="M5106" s="9">
        <v>1.6924999999999999E-4</v>
      </c>
      <c r="N5106" s="9">
        <v>1.6998999999999999E-4</v>
      </c>
      <c r="O5106" s="9">
        <v>1.7673E-4</v>
      </c>
      <c r="P5106" s="9">
        <v>1.6799999999999999E-4</v>
      </c>
      <c r="Q5106" s="9">
        <v>1.6001000000000001E-4</v>
      </c>
      <c r="R5106" s="10">
        <v>9.3727957474968226E-8</v>
      </c>
      <c r="S5106" s="10">
        <v>8.2068788314093298E-5</v>
      </c>
      <c r="T5106" s="10">
        <v>5.8580693292994025E-4</v>
      </c>
      <c r="U5106" s="10">
        <v>7.6110000000000001E-5</v>
      </c>
      <c r="V5106" s="25"/>
      <c r="W5106" s="25"/>
      <c r="X5106" s="25"/>
      <c r="Y5106" s="25"/>
      <c r="Z5106" s="25"/>
      <c r="AA5106" s="25"/>
    </row>
    <row r="5107" spans="1:27" x14ac:dyDescent="0.35">
      <c r="A5107" s="5">
        <v>5103</v>
      </c>
      <c r="B5107" s="5">
        <v>213</v>
      </c>
      <c r="C5107" s="5">
        <v>8</v>
      </c>
      <c r="D5107" s="25">
        <v>1.1416E-4</v>
      </c>
      <c r="E5107" s="25">
        <v>1.141E-4</v>
      </c>
      <c r="F5107" s="25">
        <v>8.7590000000000007E-5</v>
      </c>
      <c r="G5107" s="25">
        <v>1.5689999999999999E-4</v>
      </c>
      <c r="H5107" s="25">
        <v>1.9464999999999999E-4</v>
      </c>
      <c r="I5107" s="9">
        <v>9.2109999999999997E-5</v>
      </c>
      <c r="J5107" s="9">
        <v>9.4690000000000003E-5</v>
      </c>
      <c r="K5107" s="9">
        <v>0</v>
      </c>
      <c r="L5107" s="9">
        <v>1.7359E-4</v>
      </c>
      <c r="M5107" s="9">
        <v>1.6759000000000001E-4</v>
      </c>
      <c r="N5107" s="9">
        <v>1.6941999999999999E-4</v>
      </c>
      <c r="O5107" s="9">
        <v>1.8417999999999999E-4</v>
      </c>
      <c r="P5107" s="9">
        <v>1.6849000000000001E-4</v>
      </c>
      <c r="Q5107" s="9">
        <v>1.5369E-4</v>
      </c>
      <c r="R5107" s="10">
        <v>2.6542353295230782E-7</v>
      </c>
      <c r="S5107" s="10">
        <v>7.0345875282670444E-5</v>
      </c>
      <c r="T5107" s="10">
        <v>4.5244223144505003E-4</v>
      </c>
      <c r="U5107" s="10">
        <v>7.6110000000000001E-5</v>
      </c>
      <c r="V5107" s="25"/>
      <c r="W5107" s="25"/>
      <c r="X5107" s="25"/>
      <c r="Y5107" s="25"/>
      <c r="Z5107" s="25"/>
      <c r="AA5107" s="25"/>
    </row>
    <row r="5108" spans="1:27" x14ac:dyDescent="0.35">
      <c r="A5108" s="5">
        <v>5104</v>
      </c>
      <c r="B5108" s="5">
        <v>213</v>
      </c>
      <c r="C5108" s="5">
        <v>8</v>
      </c>
      <c r="D5108" s="25">
        <v>1.1415000000000001E-4</v>
      </c>
      <c r="E5108" s="25">
        <v>1.1789E-4</v>
      </c>
      <c r="F5108" s="25">
        <v>9.0320000000000003E-5</v>
      </c>
      <c r="G5108" s="25">
        <v>1.5996000000000001E-4</v>
      </c>
      <c r="H5108" s="25">
        <v>1.9688999999999999E-4</v>
      </c>
      <c r="I5108" s="9">
        <v>9.1059999999999999E-5</v>
      </c>
      <c r="J5108" s="9">
        <v>9.48E-5</v>
      </c>
      <c r="K5108" s="9">
        <v>0</v>
      </c>
      <c r="L5108" s="9">
        <v>1.8153000000000001E-4</v>
      </c>
      <c r="M5108" s="9">
        <v>1.6760000000000001E-4</v>
      </c>
      <c r="N5108" s="9">
        <v>1.6585999999999999E-4</v>
      </c>
      <c r="O5108" s="9">
        <v>1.9667999999999999E-4</v>
      </c>
      <c r="P5108" s="9">
        <v>1.5258000000000001E-4</v>
      </c>
      <c r="Q5108" s="9">
        <v>1.0985E-4</v>
      </c>
      <c r="R5108" s="10">
        <v>1.1829586675179274E-6</v>
      </c>
      <c r="S5108" s="10">
        <v>5.8938899986144451E-5</v>
      </c>
      <c r="T5108" s="10">
        <v>4.3215627169885927E-4</v>
      </c>
      <c r="U5108" s="10">
        <v>7.6110000000000001E-5</v>
      </c>
      <c r="V5108" s="25"/>
      <c r="W5108" s="25"/>
      <c r="X5108" s="25"/>
      <c r="Y5108" s="25"/>
      <c r="Z5108" s="25"/>
      <c r="AA5108" s="25"/>
    </row>
    <row r="5109" spans="1:27" x14ac:dyDescent="0.35">
      <c r="A5109" s="5">
        <v>5105</v>
      </c>
      <c r="B5109" s="5">
        <v>213</v>
      </c>
      <c r="C5109" s="5">
        <v>8</v>
      </c>
      <c r="D5109" s="25">
        <v>1.1416E-4</v>
      </c>
      <c r="E5109" s="25">
        <v>1.1124999999999999E-4</v>
      </c>
      <c r="F5109" s="25">
        <v>1.0021E-4</v>
      </c>
      <c r="G5109" s="25">
        <v>1.5616E-4</v>
      </c>
      <c r="H5109" s="25">
        <v>1.9421999999999999E-4</v>
      </c>
      <c r="I5109" s="9">
        <v>9.1769999999999997E-5</v>
      </c>
      <c r="J5109" s="9">
        <v>9.781E-5</v>
      </c>
      <c r="K5109" s="9">
        <v>0</v>
      </c>
      <c r="L5109" s="9">
        <v>1.9307999999999999E-4</v>
      </c>
      <c r="M5109" s="9">
        <v>1.6232E-4</v>
      </c>
      <c r="N5109" s="9">
        <v>1.5223E-4</v>
      </c>
      <c r="O5109" s="9">
        <v>2.1431999999999999E-4</v>
      </c>
      <c r="P5109" s="9">
        <v>1.6025999999999999E-4</v>
      </c>
      <c r="Q5109" s="9">
        <v>1.0779E-4</v>
      </c>
      <c r="R5109" s="10">
        <v>2.8429277767550506E-6</v>
      </c>
      <c r="S5109" s="10">
        <v>5.1800398871049307E-5</v>
      </c>
      <c r="T5109" s="10">
        <v>3.1325730060596205E-4</v>
      </c>
      <c r="U5109" s="10">
        <v>7.6110000000000001E-5</v>
      </c>
      <c r="V5109" s="25"/>
      <c r="W5109" s="25"/>
      <c r="X5109" s="25"/>
      <c r="Y5109" s="25"/>
      <c r="Z5109" s="25"/>
      <c r="AA5109" s="25"/>
    </row>
    <row r="5110" spans="1:27" x14ac:dyDescent="0.35">
      <c r="A5110" s="5">
        <v>5106</v>
      </c>
      <c r="B5110" s="5">
        <v>213</v>
      </c>
      <c r="C5110" s="5">
        <v>8</v>
      </c>
      <c r="D5110" s="25">
        <v>1.1415000000000001E-4</v>
      </c>
      <c r="E5110" s="25">
        <v>1.1224E-4</v>
      </c>
      <c r="F5110" s="25">
        <v>9.0649999999999994E-5</v>
      </c>
      <c r="G5110" s="25">
        <v>1.6082E-4</v>
      </c>
      <c r="H5110" s="25">
        <v>1.9944E-4</v>
      </c>
      <c r="I5110" s="9">
        <v>9.3510000000000004E-5</v>
      </c>
      <c r="J5110" s="9">
        <v>9.9669999999999999E-5</v>
      </c>
      <c r="K5110" s="9">
        <v>0</v>
      </c>
      <c r="L5110" s="9">
        <v>2.0940999999999999E-4</v>
      </c>
      <c r="M5110" s="9">
        <v>1.6008E-4</v>
      </c>
      <c r="N5110" s="9">
        <v>1.3913E-4</v>
      </c>
      <c r="O5110" s="9">
        <v>2.0568999999999999E-4</v>
      </c>
      <c r="P5110" s="9">
        <v>1.6131000000000001E-4</v>
      </c>
      <c r="Q5110" s="9">
        <v>1.1835E-4</v>
      </c>
      <c r="R5110" s="10">
        <v>6.0081688773556928E-6</v>
      </c>
      <c r="S5110" s="10">
        <v>4.9450605071949693E-5</v>
      </c>
      <c r="T5110" s="10">
        <v>1.4201020252268545E-4</v>
      </c>
      <c r="U5110" s="10">
        <v>7.6110000000000001E-5</v>
      </c>
      <c r="V5110" s="25"/>
      <c r="W5110" s="25"/>
      <c r="X5110" s="25"/>
      <c r="Y5110" s="25"/>
      <c r="Z5110" s="25"/>
      <c r="AA5110" s="25"/>
    </row>
    <row r="5111" spans="1:27" x14ac:dyDescent="0.35">
      <c r="A5111" s="5">
        <v>5107</v>
      </c>
      <c r="B5111" s="5">
        <v>213</v>
      </c>
      <c r="C5111" s="5">
        <v>8</v>
      </c>
      <c r="D5111" s="25">
        <v>1.1416E-4</v>
      </c>
      <c r="E5111" s="25">
        <v>1.1464999999999999E-4</v>
      </c>
      <c r="F5111" s="25">
        <v>8.5130000000000007E-5</v>
      </c>
      <c r="G5111" s="25">
        <v>1.0476000000000001E-4</v>
      </c>
      <c r="H5111" s="25">
        <v>1.2994999999999999E-4</v>
      </c>
      <c r="I5111" s="9">
        <v>9.4289999999999993E-5</v>
      </c>
      <c r="J5111" s="9">
        <v>9.9669999999999999E-5</v>
      </c>
      <c r="K5111" s="9">
        <v>0</v>
      </c>
      <c r="L5111" s="9">
        <v>2.061E-4</v>
      </c>
      <c r="M5111" s="9">
        <v>1.6009999999999999E-4</v>
      </c>
      <c r="N5111" s="9">
        <v>1.303E-4</v>
      </c>
      <c r="O5111" s="9">
        <v>1.6535000000000001E-4</v>
      </c>
      <c r="P5111" s="9">
        <v>1.3622999999999999E-4</v>
      </c>
      <c r="Q5111" s="9">
        <v>1.0813E-4</v>
      </c>
      <c r="R5111" s="10">
        <v>1.1504088210755368E-5</v>
      </c>
      <c r="S5111" s="10">
        <v>4.6849516927812802E-5</v>
      </c>
      <c r="T5111" s="10">
        <v>3.8119956980190329E-5</v>
      </c>
      <c r="U5111" s="10">
        <v>7.6110000000000001E-5</v>
      </c>
      <c r="V5111" s="25"/>
      <c r="W5111" s="25"/>
      <c r="X5111" s="25"/>
      <c r="Y5111" s="25"/>
      <c r="Z5111" s="25"/>
      <c r="AA5111" s="25"/>
    </row>
    <row r="5112" spans="1:27" x14ac:dyDescent="0.35">
      <c r="A5112" s="5">
        <v>5108</v>
      </c>
      <c r="B5112" s="5">
        <v>213</v>
      </c>
      <c r="C5112" s="5">
        <v>8</v>
      </c>
      <c r="D5112" s="25">
        <v>1.1415000000000001E-4</v>
      </c>
      <c r="E5112" s="25">
        <v>1.1521E-4</v>
      </c>
      <c r="F5112" s="25">
        <v>8.7999999999999998E-5</v>
      </c>
      <c r="G5112" s="25">
        <v>1.0700999999999999E-4</v>
      </c>
      <c r="H5112" s="25">
        <v>1.3584E-4</v>
      </c>
      <c r="I5112" s="9">
        <v>9.3330000000000003E-5</v>
      </c>
      <c r="J5112" s="9">
        <v>9.9829999999999998E-5</v>
      </c>
      <c r="K5112" s="9">
        <v>2.756E-5</v>
      </c>
      <c r="L5112" s="9">
        <v>1.7448E-4</v>
      </c>
      <c r="M5112" s="9">
        <v>1.5166999999999999E-4</v>
      </c>
      <c r="N5112" s="9">
        <v>1.2146000000000001E-4</v>
      </c>
      <c r="O5112" s="9">
        <v>1.2881000000000001E-4</v>
      </c>
      <c r="P5112" s="9">
        <v>1.1517E-4</v>
      </c>
      <c r="Q5112" s="9">
        <v>1.0216E-4</v>
      </c>
      <c r="R5112" s="10">
        <v>2.2059610641131657E-5</v>
      </c>
      <c r="S5112" s="10">
        <v>5.0392210770436885E-5</v>
      </c>
      <c r="T5112" s="10">
        <v>0</v>
      </c>
      <c r="U5112" s="10">
        <v>7.6110000000000001E-5</v>
      </c>
      <c r="V5112" s="25"/>
      <c r="W5112" s="25"/>
      <c r="X5112" s="25"/>
      <c r="Y5112" s="25"/>
      <c r="Z5112" s="25"/>
      <c r="AA5112" s="25"/>
    </row>
    <row r="5113" spans="1:27" x14ac:dyDescent="0.35">
      <c r="A5113" s="5">
        <v>5109</v>
      </c>
      <c r="B5113" s="5">
        <v>213</v>
      </c>
      <c r="C5113" s="5">
        <v>8</v>
      </c>
      <c r="D5113" s="25">
        <v>1.1416E-4</v>
      </c>
      <c r="E5113" s="25">
        <v>1.1615E-4</v>
      </c>
      <c r="F5113" s="25">
        <v>1.0151E-4</v>
      </c>
      <c r="G5113" s="25">
        <v>5.2330000000000002E-5</v>
      </c>
      <c r="H5113" s="25">
        <v>7.3529999999999996E-5</v>
      </c>
      <c r="I5113" s="9">
        <v>9.4419999999999994E-5</v>
      </c>
      <c r="J5113" s="9">
        <v>9.9920000000000006E-5</v>
      </c>
      <c r="K5113" s="9">
        <v>6.1470000000000006E-5</v>
      </c>
      <c r="L5113" s="9">
        <v>1.3985000000000001E-4</v>
      </c>
      <c r="M5113" s="9">
        <v>1.3615E-4</v>
      </c>
      <c r="N5113" s="9">
        <v>1.1378E-4</v>
      </c>
      <c r="O5113" s="9">
        <v>8.4859999999999997E-5</v>
      </c>
      <c r="P5113" s="9">
        <v>8.6630000000000002E-5</v>
      </c>
      <c r="Q5113" s="9">
        <v>8.8629999999999997E-5</v>
      </c>
      <c r="R5113" s="10">
        <v>3.0667079674368783E-5</v>
      </c>
      <c r="S5113" s="10">
        <v>5.6682801008074909E-5</v>
      </c>
      <c r="T5113" s="10">
        <v>0</v>
      </c>
      <c r="U5113" s="10">
        <v>7.6110000000000001E-5</v>
      </c>
      <c r="V5113" s="25"/>
      <c r="W5113" s="25"/>
      <c r="X5113" s="25"/>
      <c r="Y5113" s="25"/>
      <c r="Z5113" s="25"/>
      <c r="AA5113" s="25"/>
    </row>
    <row r="5114" spans="1:27" x14ac:dyDescent="0.35">
      <c r="A5114" s="5">
        <v>5110</v>
      </c>
      <c r="B5114" s="5">
        <v>213</v>
      </c>
      <c r="C5114" s="5">
        <v>8</v>
      </c>
      <c r="D5114" s="25">
        <v>1.1415000000000001E-4</v>
      </c>
      <c r="E5114" s="25">
        <v>1.1445E-4</v>
      </c>
      <c r="F5114" s="25">
        <v>8.6570000000000006E-5</v>
      </c>
      <c r="G5114" s="25">
        <v>5.3059999999999997E-5</v>
      </c>
      <c r="H5114" s="25">
        <v>7.1359999999999994E-5</v>
      </c>
      <c r="I5114" s="9">
        <v>9.7269999999999995E-5</v>
      </c>
      <c r="J5114" s="9">
        <v>1.0053E-4</v>
      </c>
      <c r="K5114" s="9">
        <v>5.2989999999999999E-5</v>
      </c>
      <c r="L5114" s="9">
        <v>9.789E-5</v>
      </c>
      <c r="M5114" s="9">
        <v>1.1430999999999999E-4</v>
      </c>
      <c r="N5114" s="9">
        <v>1.0616999999999999E-4</v>
      </c>
      <c r="O5114" s="9">
        <v>8.7700000000000004E-5</v>
      </c>
      <c r="P5114" s="9">
        <v>8.8079999999999997E-5</v>
      </c>
      <c r="Q5114" s="9">
        <v>8.8729999999999999E-5</v>
      </c>
      <c r="R5114" s="10">
        <v>2.5103699455613197E-5</v>
      </c>
      <c r="S5114" s="10">
        <v>6.6037109692923884E-5</v>
      </c>
      <c r="T5114" s="10">
        <v>0</v>
      </c>
      <c r="U5114" s="10">
        <v>7.6110000000000001E-5</v>
      </c>
      <c r="V5114" s="25"/>
      <c r="W5114" s="25"/>
      <c r="X5114" s="25"/>
      <c r="Y5114" s="25"/>
      <c r="Z5114" s="25"/>
      <c r="AA5114" s="25"/>
    </row>
    <row r="5115" spans="1:27" x14ac:dyDescent="0.35">
      <c r="A5115" s="5">
        <v>5111</v>
      </c>
      <c r="B5115" s="5">
        <v>213</v>
      </c>
      <c r="C5115" s="5">
        <v>8</v>
      </c>
      <c r="D5115" s="25">
        <v>1.1416E-4</v>
      </c>
      <c r="E5115" s="25">
        <v>1.1612000000000001E-4</v>
      </c>
      <c r="F5115" s="25">
        <v>8.9950000000000004E-5</v>
      </c>
      <c r="G5115" s="25">
        <v>6.2030000000000001E-5</v>
      </c>
      <c r="H5115" s="25">
        <v>6.4610000000000007E-5</v>
      </c>
      <c r="I5115" s="9">
        <v>9.2739999999999996E-5</v>
      </c>
      <c r="J5115" s="9">
        <v>9.5699999999999995E-5</v>
      </c>
      <c r="K5115" s="9">
        <v>7.2059999999999998E-5</v>
      </c>
      <c r="L5115" s="9">
        <v>9.0879999999999997E-5</v>
      </c>
      <c r="M5115" s="9">
        <v>9.9519999999999996E-5</v>
      </c>
      <c r="N5115" s="9">
        <v>1.0035E-4</v>
      </c>
      <c r="O5115" s="9">
        <v>7.8209999999999998E-5</v>
      </c>
      <c r="P5115" s="9">
        <v>7.2600000000000003E-5</v>
      </c>
      <c r="Q5115" s="9">
        <v>6.7319999999999999E-5</v>
      </c>
      <c r="R5115" s="10">
        <v>1.5670918584916046E-5</v>
      </c>
      <c r="S5115" s="10">
        <v>8.2502306360182493E-5</v>
      </c>
      <c r="T5115" s="10">
        <v>0</v>
      </c>
      <c r="U5115" s="10">
        <v>7.6110000000000001E-5</v>
      </c>
      <c r="V5115" s="25"/>
      <c r="W5115" s="25"/>
      <c r="X5115" s="25"/>
      <c r="Y5115" s="25"/>
      <c r="Z5115" s="25"/>
      <c r="AA5115" s="25"/>
    </row>
    <row r="5116" spans="1:27" x14ac:dyDescent="0.35">
      <c r="A5116" s="5">
        <v>5112</v>
      </c>
      <c r="B5116" s="5">
        <v>213</v>
      </c>
      <c r="C5116" s="5">
        <v>8</v>
      </c>
      <c r="D5116" s="25">
        <v>1.1415000000000001E-4</v>
      </c>
      <c r="E5116" s="25">
        <v>1.1913000000000001E-4</v>
      </c>
      <c r="F5116" s="25">
        <v>9.3090000000000005E-5</v>
      </c>
      <c r="G5116" s="25">
        <v>5.4530000000000001E-5</v>
      </c>
      <c r="H5116" s="25">
        <v>6.3620000000000004E-5</v>
      </c>
      <c r="I5116" s="9">
        <v>8.7070000000000005E-5</v>
      </c>
      <c r="J5116" s="9">
        <v>9.0420000000000005E-5</v>
      </c>
      <c r="K5116" s="9">
        <v>8.2659999999999998E-5</v>
      </c>
      <c r="L5116" s="9">
        <v>8.0980000000000001E-5</v>
      </c>
      <c r="M5116" s="9">
        <v>8.6580000000000001E-5</v>
      </c>
      <c r="N5116" s="9">
        <v>9.1039999999999996E-5</v>
      </c>
      <c r="O5116" s="9">
        <v>6.3349999999999995E-5</v>
      </c>
      <c r="P5116" s="9">
        <v>6.1299999999999999E-5</v>
      </c>
      <c r="Q5116" s="9">
        <v>5.9469999999999998E-5</v>
      </c>
      <c r="R5116" s="10">
        <v>3.1535173599686215E-6</v>
      </c>
      <c r="S5116" s="10">
        <v>8.3353673306278637E-5</v>
      </c>
      <c r="T5116" s="10">
        <v>0</v>
      </c>
      <c r="U5116" s="10">
        <v>7.6110000000000001E-5</v>
      </c>
      <c r="V5116" s="25"/>
      <c r="W5116" s="25"/>
      <c r="X5116" s="25"/>
      <c r="Y5116" s="25"/>
      <c r="Z5116" s="25"/>
      <c r="AA5116" s="25"/>
    </row>
    <row r="5117" spans="1:27" x14ac:dyDescent="0.35">
      <c r="A5117" s="5">
        <v>5113</v>
      </c>
      <c r="B5117" s="5">
        <v>214</v>
      </c>
      <c r="C5117" s="5">
        <v>8</v>
      </c>
      <c r="D5117" s="25">
        <v>1.1416E-4</v>
      </c>
      <c r="E5117" s="25">
        <v>1.1902E-4</v>
      </c>
      <c r="F5117" s="25">
        <v>1.2016E-4</v>
      </c>
      <c r="G5117" s="25">
        <v>5.2620000000000001E-5</v>
      </c>
      <c r="H5117" s="25">
        <v>6.6060000000000001E-5</v>
      </c>
      <c r="I5117" s="9">
        <v>8.3910000000000001E-5</v>
      </c>
      <c r="J5117" s="9">
        <v>8.6730000000000005E-5</v>
      </c>
      <c r="K5117" s="9">
        <v>9.3250000000000003E-5</v>
      </c>
      <c r="L5117" s="9">
        <v>6.7230000000000005E-5</v>
      </c>
      <c r="M5117" s="9">
        <v>7.4510000000000003E-5</v>
      </c>
      <c r="N5117" s="9">
        <v>8.1639999999999998E-5</v>
      </c>
      <c r="O5117" s="9">
        <v>5.5040000000000002E-5</v>
      </c>
      <c r="P5117" s="9">
        <v>5.4459999999999997E-5</v>
      </c>
      <c r="Q5117" s="9">
        <v>5.4030000000000003E-5</v>
      </c>
      <c r="R5117" s="10">
        <v>3.5757634752429785E-6</v>
      </c>
      <c r="S5117" s="10">
        <v>8.8839830374544239E-5</v>
      </c>
      <c r="T5117" s="10">
        <v>0</v>
      </c>
      <c r="U5117" s="10">
        <v>7.5069999999999998E-5</v>
      </c>
      <c r="V5117" s="25"/>
      <c r="W5117" s="25"/>
      <c r="X5117" s="25"/>
      <c r="Y5117" s="25"/>
      <c r="Z5117" s="25"/>
      <c r="AA5117" s="25"/>
    </row>
    <row r="5118" spans="1:27" x14ac:dyDescent="0.35">
      <c r="A5118" s="5">
        <v>5114</v>
      </c>
      <c r="B5118" s="5">
        <v>214</v>
      </c>
      <c r="C5118" s="5">
        <v>8</v>
      </c>
      <c r="D5118" s="25">
        <v>1.1415000000000001E-4</v>
      </c>
      <c r="E5118" s="25">
        <v>1.1997000000000001E-4</v>
      </c>
      <c r="F5118" s="25">
        <v>1.2768E-4</v>
      </c>
      <c r="G5118" s="25">
        <v>5.9200000000000002E-5</v>
      </c>
      <c r="H5118" s="25">
        <v>6.6940000000000006E-5</v>
      </c>
      <c r="I5118" s="9">
        <v>8.1320000000000001E-5</v>
      </c>
      <c r="J5118" s="9">
        <v>8.5270000000000002E-5</v>
      </c>
      <c r="K5118" s="9">
        <v>1.208E-4</v>
      </c>
      <c r="L5118" s="9">
        <v>5.8100000000000003E-5</v>
      </c>
      <c r="M5118" s="9">
        <v>6.4419999999999996E-5</v>
      </c>
      <c r="N5118" s="9">
        <v>7.2559999999999996E-5</v>
      </c>
      <c r="O5118" s="9">
        <v>1.91E-5</v>
      </c>
      <c r="P5118" s="9">
        <v>3.786E-5</v>
      </c>
      <c r="Q5118" s="9">
        <v>5.6350000000000001E-5</v>
      </c>
      <c r="R5118" s="10">
        <v>6.7044167751000338E-6</v>
      </c>
      <c r="S5118" s="10">
        <v>9.1091282058975567E-5</v>
      </c>
      <c r="T5118" s="10">
        <v>0</v>
      </c>
      <c r="U5118" s="10">
        <v>7.5069999999999998E-5</v>
      </c>
      <c r="V5118" s="25"/>
      <c r="W5118" s="25"/>
      <c r="X5118" s="25"/>
      <c r="Y5118" s="25"/>
      <c r="Z5118" s="25"/>
      <c r="AA5118" s="25"/>
    </row>
    <row r="5119" spans="1:27" x14ac:dyDescent="0.35">
      <c r="A5119" s="5">
        <v>5115</v>
      </c>
      <c r="B5119" s="5">
        <v>214</v>
      </c>
      <c r="C5119" s="5">
        <v>8</v>
      </c>
      <c r="D5119" s="25">
        <v>1.1416E-4</v>
      </c>
      <c r="E5119" s="25">
        <v>1.1828999999999999E-4</v>
      </c>
      <c r="F5119" s="25">
        <v>1.1797E-4</v>
      </c>
      <c r="G5119" s="25">
        <v>5.4950000000000001E-5</v>
      </c>
      <c r="H5119" s="25">
        <v>6.9410000000000001E-5</v>
      </c>
      <c r="I5119" s="9">
        <v>8.0539999999999998E-5</v>
      </c>
      <c r="J5119" s="9">
        <v>8.4859999999999997E-5</v>
      </c>
      <c r="K5119" s="9">
        <v>1.2928000000000001E-4</v>
      </c>
      <c r="L5119" s="9">
        <v>2.7889999999999999E-5</v>
      </c>
      <c r="M5119" s="9">
        <v>5.2559999999999998E-5</v>
      </c>
      <c r="N5119" s="9">
        <v>6.5920000000000006E-5</v>
      </c>
      <c r="O5119" s="9">
        <v>1.3730000000000001E-5</v>
      </c>
      <c r="P5119" s="9">
        <v>3.8130000000000003E-5</v>
      </c>
      <c r="Q5119" s="9">
        <v>6.2160000000000001E-5</v>
      </c>
      <c r="R5119" s="10">
        <v>1.1184491305670016E-5</v>
      </c>
      <c r="S5119" s="10">
        <v>8.195110080317912E-5</v>
      </c>
      <c r="T5119" s="10">
        <v>0</v>
      </c>
      <c r="U5119" s="10">
        <v>7.5069999999999998E-5</v>
      </c>
      <c r="V5119" s="25"/>
      <c r="W5119" s="25"/>
      <c r="X5119" s="25"/>
      <c r="Y5119" s="25"/>
      <c r="Z5119" s="25"/>
      <c r="AA5119" s="25"/>
    </row>
    <row r="5120" spans="1:27" x14ac:dyDescent="0.35">
      <c r="A5120" s="5">
        <v>5116</v>
      </c>
      <c r="B5120" s="5">
        <v>214</v>
      </c>
      <c r="C5120" s="5">
        <v>8</v>
      </c>
      <c r="D5120" s="25">
        <v>1.1415000000000001E-4</v>
      </c>
      <c r="E5120" s="25">
        <v>1.1393E-4</v>
      </c>
      <c r="F5120" s="25">
        <v>1.1218999999999999E-4</v>
      </c>
      <c r="G5120" s="25">
        <v>6.1290000000000004E-5</v>
      </c>
      <c r="H5120" s="25">
        <v>6.2370000000000001E-5</v>
      </c>
      <c r="I5120" s="9">
        <v>8.1279999999999994E-5</v>
      </c>
      <c r="J5120" s="9">
        <v>8.5340000000000006E-5</v>
      </c>
      <c r="K5120" s="9">
        <v>1.3352000000000001E-4</v>
      </c>
      <c r="L5120" s="9">
        <v>1.7589999999999999E-5</v>
      </c>
      <c r="M5120" s="9">
        <v>4.4530000000000002E-5</v>
      </c>
      <c r="N5120" s="9">
        <v>6.2370000000000001E-5</v>
      </c>
      <c r="O5120" s="9">
        <v>1.347E-5</v>
      </c>
      <c r="P5120" s="9">
        <v>4.6780000000000003E-5</v>
      </c>
      <c r="Q5120" s="9">
        <v>7.9569999999999999E-5</v>
      </c>
      <c r="R5120" s="10">
        <v>1.4011246562665018E-5</v>
      </c>
      <c r="S5120" s="10">
        <v>7.1831369552977342E-5</v>
      </c>
      <c r="T5120" s="10">
        <v>0</v>
      </c>
      <c r="U5120" s="10">
        <v>7.5069999999999998E-5</v>
      </c>
      <c r="V5120" s="25"/>
      <c r="W5120" s="25"/>
      <c r="X5120" s="25"/>
      <c r="Y5120" s="25"/>
      <c r="Z5120" s="25"/>
      <c r="AA5120" s="25"/>
    </row>
    <row r="5121" spans="1:27" x14ac:dyDescent="0.35">
      <c r="A5121" s="5">
        <v>5117</v>
      </c>
      <c r="B5121" s="5">
        <v>214</v>
      </c>
      <c r="C5121" s="5">
        <v>8</v>
      </c>
      <c r="D5121" s="25">
        <v>1.1416E-4</v>
      </c>
      <c r="E5121" s="25">
        <v>1.1601E-4</v>
      </c>
      <c r="F5121" s="25">
        <v>1.3179000000000001E-4</v>
      </c>
      <c r="G5121" s="25">
        <v>6.0810000000000002E-5</v>
      </c>
      <c r="H5121" s="25">
        <v>7.1979999999999999E-5</v>
      </c>
      <c r="I5121" s="9">
        <v>8.5049999999999994E-5</v>
      </c>
      <c r="J5121" s="9">
        <v>8.7819999999999996E-5</v>
      </c>
      <c r="K5121" s="9">
        <v>1.0597E-4</v>
      </c>
      <c r="L5121" s="9">
        <v>1.4620000000000001E-5</v>
      </c>
      <c r="M5121" s="9">
        <v>4.354E-5</v>
      </c>
      <c r="N5121" s="9">
        <v>6.4629999999999996E-5</v>
      </c>
      <c r="O5121" s="9">
        <v>1.895E-5</v>
      </c>
      <c r="P5121" s="9">
        <v>5.6339999999999999E-5</v>
      </c>
      <c r="Q5121" s="9">
        <v>9.3159999999999996E-5</v>
      </c>
      <c r="R5121" s="10">
        <v>1.88824998195385E-5</v>
      </c>
      <c r="S5121" s="10">
        <v>5.8003209557310042E-5</v>
      </c>
      <c r="T5121" s="10">
        <v>0</v>
      </c>
      <c r="U5121" s="10">
        <v>7.5069999999999998E-5</v>
      </c>
      <c r="V5121" s="25"/>
      <c r="W5121" s="25"/>
      <c r="X5121" s="25"/>
      <c r="Y5121" s="25"/>
      <c r="Z5121" s="25"/>
      <c r="AA5121" s="25"/>
    </row>
    <row r="5122" spans="1:27" x14ac:dyDescent="0.35">
      <c r="A5122" s="5">
        <v>5118</v>
      </c>
      <c r="B5122" s="5">
        <v>214</v>
      </c>
      <c r="C5122" s="5">
        <v>8</v>
      </c>
      <c r="D5122" s="25">
        <v>1.1415000000000001E-4</v>
      </c>
      <c r="E5122" s="25">
        <v>1.1564E-4</v>
      </c>
      <c r="F5122" s="25">
        <v>1.2313E-4</v>
      </c>
      <c r="G5122" s="25">
        <v>1.1305E-4</v>
      </c>
      <c r="H5122" s="25">
        <v>1.3506999999999999E-4</v>
      </c>
      <c r="I5122" s="9">
        <v>9.0379999999999999E-5</v>
      </c>
      <c r="J5122" s="9">
        <v>9.399E-5</v>
      </c>
      <c r="K5122" s="9">
        <v>8.4800000000000001E-6</v>
      </c>
      <c r="L5122" s="9">
        <v>1.787E-5</v>
      </c>
      <c r="M5122" s="9">
        <v>4.8239999999999999E-5</v>
      </c>
      <c r="N5122" s="9">
        <v>7.0989999999999996E-5</v>
      </c>
      <c r="O5122" s="9">
        <v>4.6600000000000001E-5</v>
      </c>
      <c r="P5122" s="9">
        <v>7.7310000000000004E-5</v>
      </c>
      <c r="Q5122" s="9">
        <v>1.0765E-4</v>
      </c>
      <c r="R5122" s="10">
        <v>2.0958819471504151E-5</v>
      </c>
      <c r="S5122" s="10">
        <v>4.014637278892571E-5</v>
      </c>
      <c r="T5122" s="10">
        <v>3.1324033200726172E-5</v>
      </c>
      <c r="U5122" s="10">
        <v>7.5069999999999998E-5</v>
      </c>
      <c r="V5122" s="25"/>
      <c r="W5122" s="25"/>
      <c r="X5122" s="25"/>
      <c r="Y5122" s="25"/>
      <c r="Z5122" s="25"/>
      <c r="AA5122" s="25"/>
    </row>
    <row r="5123" spans="1:27" x14ac:dyDescent="0.35">
      <c r="A5123" s="5">
        <v>5119</v>
      </c>
      <c r="B5123" s="5">
        <v>214</v>
      </c>
      <c r="C5123" s="5">
        <v>8</v>
      </c>
      <c r="D5123" s="25">
        <v>1.1416E-4</v>
      </c>
      <c r="E5123" s="25">
        <v>1.2307E-4</v>
      </c>
      <c r="F5123" s="25">
        <v>1.2474E-4</v>
      </c>
      <c r="G5123" s="25">
        <v>1.0704000000000001E-4</v>
      </c>
      <c r="H5123" s="25">
        <v>1.3310000000000001E-4</v>
      </c>
      <c r="I5123" s="9">
        <v>9.658E-5</v>
      </c>
      <c r="J5123" s="9">
        <v>1.0423E-4</v>
      </c>
      <c r="K5123" s="9">
        <v>0</v>
      </c>
      <c r="L5123" s="9">
        <v>4.0139999999999999E-5</v>
      </c>
      <c r="M5123" s="9">
        <v>6.0040000000000001E-5</v>
      </c>
      <c r="N5123" s="9">
        <v>8.0770000000000001E-5</v>
      </c>
      <c r="O5123" s="9">
        <v>1.2334999999999999E-4</v>
      </c>
      <c r="P5123" s="9">
        <v>1.1790000000000001E-4</v>
      </c>
      <c r="Q5123" s="9">
        <v>1.1294E-4</v>
      </c>
      <c r="R5123" s="10">
        <v>1.9810168085519029E-5</v>
      </c>
      <c r="S5123" s="10">
        <v>2.36481611346976E-5</v>
      </c>
      <c r="T5123" s="10">
        <v>1.2314960506731865E-4</v>
      </c>
      <c r="U5123" s="10">
        <v>7.5069999999999998E-5</v>
      </c>
      <c r="V5123" s="25"/>
      <c r="W5123" s="25"/>
      <c r="X5123" s="25"/>
      <c r="Y5123" s="25"/>
      <c r="Z5123" s="25"/>
      <c r="AA5123" s="25"/>
    </row>
    <row r="5124" spans="1:27" x14ac:dyDescent="0.35">
      <c r="A5124" s="5">
        <v>5120</v>
      </c>
      <c r="B5124" s="5">
        <v>214</v>
      </c>
      <c r="C5124" s="5">
        <v>8</v>
      </c>
      <c r="D5124" s="25">
        <v>1.1415000000000001E-4</v>
      </c>
      <c r="E5124" s="25">
        <v>1.2175E-4</v>
      </c>
      <c r="F5124" s="25">
        <v>1.1917999999999999E-4</v>
      </c>
      <c r="G5124" s="25">
        <v>1.6348999999999999E-4</v>
      </c>
      <c r="H5124" s="25">
        <v>1.9087999999999999E-4</v>
      </c>
      <c r="I5124" s="9">
        <v>9.9190000000000004E-5</v>
      </c>
      <c r="J5124" s="9">
        <v>1.1398E-4</v>
      </c>
      <c r="K5124" s="9">
        <v>0</v>
      </c>
      <c r="L5124" s="9">
        <v>1.0442000000000001E-4</v>
      </c>
      <c r="M5124" s="9">
        <v>8.3919999999999996E-5</v>
      </c>
      <c r="N5124" s="9">
        <v>9.0939999999999993E-5</v>
      </c>
      <c r="O5124" s="9">
        <v>2.1661E-4</v>
      </c>
      <c r="P5124" s="9">
        <v>1.7532E-4</v>
      </c>
      <c r="Q5124" s="9">
        <v>1.3543999999999999E-4</v>
      </c>
      <c r="R5124" s="10">
        <v>1.8128796643047949E-5</v>
      </c>
      <c r="S5124" s="10">
        <v>1.3595978277136366E-5</v>
      </c>
      <c r="T5124" s="10">
        <v>2.9756134680819838E-4</v>
      </c>
      <c r="U5124" s="10">
        <v>7.5069999999999998E-5</v>
      </c>
      <c r="V5124" s="25"/>
      <c r="W5124" s="25"/>
      <c r="X5124" s="25"/>
      <c r="Y5124" s="25"/>
      <c r="Z5124" s="25"/>
      <c r="AA5124" s="25"/>
    </row>
    <row r="5125" spans="1:27" x14ac:dyDescent="0.35">
      <c r="A5125" s="5">
        <v>5121</v>
      </c>
      <c r="B5125" s="5">
        <v>214</v>
      </c>
      <c r="C5125" s="5">
        <v>8</v>
      </c>
      <c r="D5125" s="25">
        <v>1.1416E-4</v>
      </c>
      <c r="E5125" s="25">
        <v>1.2087999999999999E-4</v>
      </c>
      <c r="F5125" s="25">
        <v>1.2669999999999999E-4</v>
      </c>
      <c r="G5125" s="25">
        <v>1.6101000000000001E-4</v>
      </c>
      <c r="H5125" s="25">
        <v>1.9594999999999999E-4</v>
      </c>
      <c r="I5125" s="9">
        <v>9.8830000000000001E-5</v>
      </c>
      <c r="J5125" s="9">
        <v>1.1813E-4</v>
      </c>
      <c r="K5125" s="9">
        <v>0</v>
      </c>
      <c r="L5125" s="9">
        <v>1.9017E-4</v>
      </c>
      <c r="M5125" s="9">
        <v>1.2300000000000001E-4</v>
      </c>
      <c r="N5125" s="9">
        <v>1.0438E-4</v>
      </c>
      <c r="O5125" s="9">
        <v>2.1130000000000001E-4</v>
      </c>
      <c r="P5125" s="9">
        <v>1.9395999999999999E-4</v>
      </c>
      <c r="Q5125" s="9">
        <v>1.7763999999999999E-4</v>
      </c>
      <c r="R5125" s="10">
        <v>1.2396234354425634E-5</v>
      </c>
      <c r="S5125" s="10">
        <v>7.0277853989355509E-6</v>
      </c>
      <c r="T5125" s="10">
        <v>4.6003567936342757E-4</v>
      </c>
      <c r="U5125" s="10">
        <v>7.5069999999999998E-5</v>
      </c>
      <c r="V5125" s="25"/>
      <c r="W5125" s="25"/>
      <c r="X5125" s="25"/>
      <c r="Y5125" s="25"/>
      <c r="Z5125" s="25"/>
      <c r="AA5125" s="25"/>
    </row>
    <row r="5126" spans="1:27" x14ac:dyDescent="0.35">
      <c r="A5126" s="5">
        <v>5122</v>
      </c>
      <c r="B5126" s="5">
        <v>214</v>
      </c>
      <c r="C5126" s="5">
        <v>8</v>
      </c>
      <c r="D5126" s="25">
        <v>1.1415000000000001E-4</v>
      </c>
      <c r="E5126" s="25">
        <v>1.2303999999999999E-4</v>
      </c>
      <c r="F5126" s="25">
        <v>1.2188000000000001E-4</v>
      </c>
      <c r="G5126" s="25">
        <v>1.6454999999999999E-4</v>
      </c>
      <c r="H5126" s="25">
        <v>2.0013999999999999E-4</v>
      </c>
      <c r="I5126" s="9">
        <v>9.747E-5</v>
      </c>
      <c r="J5126" s="9">
        <v>1.188E-4</v>
      </c>
      <c r="K5126" s="9">
        <v>0</v>
      </c>
      <c r="L5126" s="9">
        <v>2.0441E-4</v>
      </c>
      <c r="M5126" s="9">
        <v>1.5843000000000001E-4</v>
      </c>
      <c r="N5126" s="9">
        <v>1.2458E-4</v>
      </c>
      <c r="O5126" s="9">
        <v>1.6799999999999999E-4</v>
      </c>
      <c r="P5126" s="9">
        <v>1.7563E-4</v>
      </c>
      <c r="Q5126" s="9">
        <v>1.8369999999999999E-4</v>
      </c>
      <c r="R5126" s="10">
        <v>4.3133813153196094E-6</v>
      </c>
      <c r="S5126" s="10">
        <v>4.2870776370408457E-6</v>
      </c>
      <c r="T5126" s="10">
        <v>5.7977459609198894E-4</v>
      </c>
      <c r="U5126" s="10">
        <v>7.5069999999999998E-5</v>
      </c>
      <c r="V5126" s="25"/>
      <c r="W5126" s="25"/>
      <c r="X5126" s="25"/>
      <c r="Y5126" s="25"/>
      <c r="Z5126" s="25"/>
      <c r="AA5126" s="25"/>
    </row>
    <row r="5127" spans="1:27" x14ac:dyDescent="0.35">
      <c r="A5127" s="5">
        <v>5123</v>
      </c>
      <c r="B5127" s="5">
        <v>214</v>
      </c>
      <c r="C5127" s="5">
        <v>8</v>
      </c>
      <c r="D5127" s="25">
        <v>1.1416E-4</v>
      </c>
      <c r="E5127" s="25">
        <v>1.1988E-4</v>
      </c>
      <c r="F5127" s="25">
        <v>1.1283E-4</v>
      </c>
      <c r="G5127" s="25">
        <v>1.5791000000000001E-4</v>
      </c>
      <c r="H5127" s="25">
        <v>1.9463999999999999E-4</v>
      </c>
      <c r="I5127" s="9">
        <v>9.9199999999999999E-5</v>
      </c>
      <c r="J5127" s="9">
        <v>1.1925E-4</v>
      </c>
      <c r="K5127" s="9">
        <v>0</v>
      </c>
      <c r="L5127" s="9">
        <v>1.7604E-4</v>
      </c>
      <c r="M5127" s="9">
        <v>1.7285999999999999E-4</v>
      </c>
      <c r="N5127" s="9">
        <v>1.4304000000000001E-4</v>
      </c>
      <c r="O5127" s="9">
        <v>1.6631E-4</v>
      </c>
      <c r="P5127" s="9">
        <v>1.7250999999999999E-4</v>
      </c>
      <c r="Q5127" s="9">
        <v>1.7918E-4</v>
      </c>
      <c r="R5127" s="10">
        <v>3.5007399858925083E-6</v>
      </c>
      <c r="S5127" s="10">
        <v>2.7240240337164077E-6</v>
      </c>
      <c r="T5127" s="10">
        <v>6.560569315491202E-4</v>
      </c>
      <c r="U5127" s="10">
        <v>7.5069999999999998E-5</v>
      </c>
      <c r="V5127" s="25"/>
      <c r="W5127" s="25"/>
      <c r="X5127" s="25"/>
      <c r="Y5127" s="25"/>
      <c r="Z5127" s="25"/>
      <c r="AA5127" s="25"/>
    </row>
    <row r="5128" spans="1:27" x14ac:dyDescent="0.35">
      <c r="A5128" s="5">
        <v>5124</v>
      </c>
      <c r="B5128" s="5">
        <v>214</v>
      </c>
      <c r="C5128" s="5">
        <v>8</v>
      </c>
      <c r="D5128" s="25">
        <v>1.1415000000000001E-4</v>
      </c>
      <c r="E5128" s="25">
        <v>1.2313999999999999E-4</v>
      </c>
      <c r="F5128" s="25">
        <v>1.2339999999999999E-4</v>
      </c>
      <c r="G5128" s="25">
        <v>1.6309000000000001E-4</v>
      </c>
      <c r="H5128" s="25">
        <v>1.9875000000000001E-4</v>
      </c>
      <c r="I5128" s="9">
        <v>9.8339999999999997E-5</v>
      </c>
      <c r="J5128" s="9">
        <v>1.192E-4</v>
      </c>
      <c r="K5128" s="9">
        <v>0</v>
      </c>
      <c r="L5128" s="9">
        <v>1.6982E-4</v>
      </c>
      <c r="M5128" s="9">
        <v>1.7525E-4</v>
      </c>
      <c r="N5128" s="9">
        <v>1.5702000000000001E-4</v>
      </c>
      <c r="O5128" s="9">
        <v>1.7019E-4</v>
      </c>
      <c r="P5128" s="9">
        <v>1.7233E-4</v>
      </c>
      <c r="Q5128" s="9">
        <v>1.7500999999999999E-4</v>
      </c>
      <c r="R5128" s="10">
        <v>2.4337365291882073E-6</v>
      </c>
      <c r="S5128" s="10">
        <v>1.4402030737701639E-6</v>
      </c>
      <c r="T5128" s="10">
        <v>6.8928144780427828E-4</v>
      </c>
      <c r="U5128" s="10">
        <v>7.5069999999999998E-5</v>
      </c>
      <c r="V5128" s="25"/>
      <c r="W5128" s="25"/>
      <c r="X5128" s="25"/>
      <c r="Y5128" s="25"/>
      <c r="Z5128" s="25"/>
      <c r="AA5128" s="25"/>
    </row>
    <row r="5129" spans="1:27" x14ac:dyDescent="0.35">
      <c r="A5129" s="5">
        <v>5125</v>
      </c>
      <c r="B5129" s="5">
        <v>214</v>
      </c>
      <c r="C5129" s="5">
        <v>8</v>
      </c>
      <c r="D5129" s="25">
        <v>1.1416E-4</v>
      </c>
      <c r="E5129" s="25">
        <v>1.2021E-4</v>
      </c>
      <c r="F5129" s="25">
        <v>1.2404000000000001E-4</v>
      </c>
      <c r="G5129" s="25">
        <v>1.5779999999999999E-4</v>
      </c>
      <c r="H5129" s="25">
        <v>1.9199000000000001E-4</v>
      </c>
      <c r="I5129" s="9">
        <v>9.8300000000000004E-5</v>
      </c>
      <c r="J5129" s="9">
        <v>1.198E-4</v>
      </c>
      <c r="K5129" s="9">
        <v>0</v>
      </c>
      <c r="L5129" s="9">
        <v>1.7032000000000001E-4</v>
      </c>
      <c r="M5129" s="9">
        <v>1.7429000000000001E-4</v>
      </c>
      <c r="N5129" s="9">
        <v>1.6663999999999999E-4</v>
      </c>
      <c r="O5129" s="9">
        <v>1.6090000000000001E-4</v>
      </c>
      <c r="P5129" s="9">
        <v>1.6379E-4</v>
      </c>
      <c r="Q5129" s="9">
        <v>1.6718000000000001E-4</v>
      </c>
      <c r="R5129" s="10">
        <v>1.7445283406778939E-6</v>
      </c>
      <c r="S5129" s="10">
        <v>7.5580055529280228E-7</v>
      </c>
      <c r="T5129" s="10">
        <v>6.7747130310887992E-4</v>
      </c>
      <c r="U5129" s="10">
        <v>7.5069999999999998E-5</v>
      </c>
      <c r="V5129" s="25"/>
      <c r="W5129" s="25"/>
      <c r="X5129" s="25"/>
      <c r="Y5129" s="25"/>
      <c r="Z5129" s="25"/>
      <c r="AA5129" s="25"/>
    </row>
    <row r="5130" spans="1:27" x14ac:dyDescent="0.35">
      <c r="A5130" s="5">
        <v>5126</v>
      </c>
      <c r="B5130" s="5">
        <v>214</v>
      </c>
      <c r="C5130" s="5">
        <v>8</v>
      </c>
      <c r="D5130" s="25">
        <v>1.1415000000000001E-4</v>
      </c>
      <c r="E5130" s="25">
        <v>1.2139E-4</v>
      </c>
      <c r="F5130" s="25">
        <v>1.1333E-4</v>
      </c>
      <c r="G5130" s="25">
        <v>1.5966E-4</v>
      </c>
      <c r="H5130" s="25">
        <v>1.8755000000000001E-4</v>
      </c>
      <c r="I5130" s="9">
        <v>9.7830000000000004E-5</v>
      </c>
      <c r="J5130" s="9">
        <v>1.1825E-4</v>
      </c>
      <c r="K5130" s="9">
        <v>0</v>
      </c>
      <c r="L5130" s="9">
        <v>1.627E-4</v>
      </c>
      <c r="M5130" s="9">
        <v>1.7023E-4</v>
      </c>
      <c r="N5130" s="9">
        <v>1.7087999999999999E-4</v>
      </c>
      <c r="O5130" s="9">
        <v>1.7689E-4</v>
      </c>
      <c r="P5130" s="9">
        <v>1.6814999999999999E-4</v>
      </c>
      <c r="Q5130" s="9">
        <v>1.6016000000000001E-4</v>
      </c>
      <c r="R5130" s="10">
        <v>8.4551890263236013E-7</v>
      </c>
      <c r="S5130" s="10">
        <v>1.3810173949939104E-6</v>
      </c>
      <c r="T5130" s="10">
        <v>5.8959093044010373E-4</v>
      </c>
      <c r="U5130" s="10">
        <v>7.5069999999999998E-5</v>
      </c>
      <c r="V5130" s="25"/>
      <c r="W5130" s="25"/>
      <c r="X5130" s="25"/>
      <c r="Y5130" s="25"/>
      <c r="Z5130" s="25"/>
      <c r="AA5130" s="25"/>
    </row>
    <row r="5131" spans="1:27" x14ac:dyDescent="0.35">
      <c r="A5131" s="5">
        <v>5127</v>
      </c>
      <c r="B5131" s="5">
        <v>214</v>
      </c>
      <c r="C5131" s="5">
        <v>8</v>
      </c>
      <c r="D5131" s="25">
        <v>1.1416E-4</v>
      </c>
      <c r="E5131" s="25">
        <v>1.1547E-4</v>
      </c>
      <c r="F5131" s="25">
        <v>1.1898E-4</v>
      </c>
      <c r="G5131" s="25">
        <v>1.5867E-4</v>
      </c>
      <c r="H5131" s="25">
        <v>1.8836999999999999E-4</v>
      </c>
      <c r="I5131" s="9">
        <v>9.8309999999999999E-5</v>
      </c>
      <c r="J5131" s="9">
        <v>1.1692E-4</v>
      </c>
      <c r="K5131" s="9">
        <v>0</v>
      </c>
      <c r="L5131" s="9">
        <v>1.7395E-4</v>
      </c>
      <c r="M5131" s="9">
        <v>1.6834E-4</v>
      </c>
      <c r="N5131" s="9">
        <v>1.7016000000000001E-4</v>
      </c>
      <c r="O5131" s="9">
        <v>1.8336000000000001E-4</v>
      </c>
      <c r="P5131" s="9">
        <v>1.6773999999999999E-4</v>
      </c>
      <c r="Q5131" s="9">
        <v>1.5300000000000001E-4</v>
      </c>
      <c r="R5131" s="10">
        <v>5.3349418846170256E-7</v>
      </c>
      <c r="S5131" s="10">
        <v>1.8606020042073241E-6</v>
      </c>
      <c r="T5131" s="10">
        <v>5.2807976015157047E-4</v>
      </c>
      <c r="U5131" s="10">
        <v>7.5069999999999998E-5</v>
      </c>
      <c r="V5131" s="25"/>
      <c r="W5131" s="25"/>
      <c r="X5131" s="25"/>
      <c r="Y5131" s="25"/>
      <c r="Z5131" s="25"/>
      <c r="AA5131" s="25"/>
    </row>
    <row r="5132" spans="1:27" x14ac:dyDescent="0.35">
      <c r="A5132" s="5">
        <v>5128</v>
      </c>
      <c r="B5132" s="5">
        <v>214</v>
      </c>
      <c r="C5132" s="5">
        <v>8</v>
      </c>
      <c r="D5132" s="25">
        <v>1.1415000000000001E-4</v>
      </c>
      <c r="E5132" s="25">
        <v>1.1234999999999999E-4</v>
      </c>
      <c r="F5132" s="25">
        <v>1.2341000000000001E-4</v>
      </c>
      <c r="G5132" s="25">
        <v>1.5783E-4</v>
      </c>
      <c r="H5132" s="25">
        <v>1.9785000000000001E-4</v>
      </c>
      <c r="I5132" s="9">
        <v>1.0014999999999999E-4</v>
      </c>
      <c r="J5132" s="9">
        <v>1.1695E-4</v>
      </c>
      <c r="K5132" s="9">
        <v>0</v>
      </c>
      <c r="L5132" s="9">
        <v>1.8100000000000001E-4</v>
      </c>
      <c r="M5132" s="9">
        <v>1.6771000000000001E-4</v>
      </c>
      <c r="N5132" s="9">
        <v>1.6626999999999999E-4</v>
      </c>
      <c r="O5132" s="9">
        <v>1.9793E-4</v>
      </c>
      <c r="P5132" s="9">
        <v>1.5354999999999999E-4</v>
      </c>
      <c r="Q5132" s="9">
        <v>1.1055E-4</v>
      </c>
      <c r="R5132" s="10">
        <v>1.0898799916019045E-6</v>
      </c>
      <c r="S5132" s="10">
        <v>2.1861746732423529E-6</v>
      </c>
      <c r="T5132" s="10">
        <v>4.5726131347593096E-4</v>
      </c>
      <c r="U5132" s="10">
        <v>7.5069999999999998E-5</v>
      </c>
      <c r="V5132" s="25"/>
      <c r="W5132" s="25"/>
      <c r="X5132" s="25"/>
      <c r="Y5132" s="25"/>
      <c r="Z5132" s="25"/>
      <c r="AA5132" s="25"/>
    </row>
    <row r="5133" spans="1:27" x14ac:dyDescent="0.35">
      <c r="A5133" s="5">
        <v>5129</v>
      </c>
      <c r="B5133" s="5">
        <v>214</v>
      </c>
      <c r="C5133" s="5">
        <v>8</v>
      </c>
      <c r="D5133" s="25">
        <v>1.1416E-4</v>
      </c>
      <c r="E5133" s="25">
        <v>1.1205999999999999E-4</v>
      </c>
      <c r="F5133" s="25">
        <v>1.1133000000000001E-4</v>
      </c>
      <c r="G5133" s="25">
        <v>1.6212999999999999E-4</v>
      </c>
      <c r="H5133" s="25">
        <v>1.8804E-4</v>
      </c>
      <c r="I5133" s="9">
        <v>1.0388E-4</v>
      </c>
      <c r="J5133" s="9">
        <v>1.1794E-4</v>
      </c>
      <c r="K5133" s="9">
        <v>0</v>
      </c>
      <c r="L5133" s="9">
        <v>1.9395E-4</v>
      </c>
      <c r="M5133" s="9">
        <v>1.6258000000000001E-4</v>
      </c>
      <c r="N5133" s="9">
        <v>1.5266999999999999E-4</v>
      </c>
      <c r="O5133" s="9">
        <v>2.1207999999999999E-4</v>
      </c>
      <c r="P5133" s="9">
        <v>1.5857999999999999E-4</v>
      </c>
      <c r="Q5133" s="9">
        <v>1.0666999999999999E-4</v>
      </c>
      <c r="R5133" s="10">
        <v>1.9461210329304292E-6</v>
      </c>
      <c r="S5133" s="10">
        <v>2.5850330015875423E-6</v>
      </c>
      <c r="T5133" s="10">
        <v>3.0280464380658643E-4</v>
      </c>
      <c r="U5133" s="10">
        <v>7.5069999999999998E-5</v>
      </c>
      <c r="V5133" s="25"/>
      <c r="W5133" s="25"/>
      <c r="X5133" s="25"/>
      <c r="Y5133" s="25"/>
      <c r="Z5133" s="25"/>
      <c r="AA5133" s="25"/>
    </row>
    <row r="5134" spans="1:27" x14ac:dyDescent="0.35">
      <c r="A5134" s="5">
        <v>5130</v>
      </c>
      <c r="B5134" s="5">
        <v>214</v>
      </c>
      <c r="C5134" s="5">
        <v>8</v>
      </c>
      <c r="D5134" s="25">
        <v>1.1415000000000001E-4</v>
      </c>
      <c r="E5134" s="25">
        <v>1.2097E-4</v>
      </c>
      <c r="F5134" s="25">
        <v>1.1448E-4</v>
      </c>
      <c r="G5134" s="25">
        <v>1.6333E-4</v>
      </c>
      <c r="H5134" s="25">
        <v>1.9247000000000001E-4</v>
      </c>
      <c r="I5134" s="9">
        <v>1.0547E-4</v>
      </c>
      <c r="J5134" s="9">
        <v>1.1445E-4</v>
      </c>
      <c r="K5134" s="9">
        <v>0</v>
      </c>
      <c r="L5134" s="9">
        <v>2.0781E-4</v>
      </c>
      <c r="M5134" s="9">
        <v>1.5972E-4</v>
      </c>
      <c r="N5134" s="9">
        <v>1.3914999999999999E-4</v>
      </c>
      <c r="O5134" s="9">
        <v>2.0552E-4</v>
      </c>
      <c r="P5134" s="9">
        <v>1.6118E-4</v>
      </c>
      <c r="Q5134" s="9">
        <v>1.1825E-4</v>
      </c>
      <c r="R5134" s="10">
        <v>5.6058966230323034E-6</v>
      </c>
      <c r="S5134" s="10">
        <v>3.6935237539471226E-6</v>
      </c>
      <c r="T5134" s="10">
        <v>1.3318653119853721E-4</v>
      </c>
      <c r="U5134" s="10">
        <v>7.5069999999999998E-5</v>
      </c>
      <c r="V5134" s="25"/>
      <c r="W5134" s="25"/>
      <c r="X5134" s="25"/>
      <c r="Y5134" s="25"/>
      <c r="Z5134" s="25"/>
      <c r="AA5134" s="25"/>
    </row>
    <row r="5135" spans="1:27" x14ac:dyDescent="0.35">
      <c r="A5135" s="5">
        <v>5131</v>
      </c>
      <c r="B5135" s="5">
        <v>214</v>
      </c>
      <c r="C5135" s="5">
        <v>8</v>
      </c>
      <c r="D5135" s="25">
        <v>1.1416E-4</v>
      </c>
      <c r="E5135" s="25">
        <v>1.1312E-4</v>
      </c>
      <c r="F5135" s="25">
        <v>1.2339999999999999E-4</v>
      </c>
      <c r="G5135" s="25">
        <v>1.1276E-4</v>
      </c>
      <c r="H5135" s="25">
        <v>1.2862999999999999E-4</v>
      </c>
      <c r="I5135" s="9">
        <v>1.0438999999999999E-4</v>
      </c>
      <c r="J5135" s="9">
        <v>1.1194E-4</v>
      </c>
      <c r="K5135" s="9">
        <v>0</v>
      </c>
      <c r="L5135" s="9">
        <v>2.0568E-4</v>
      </c>
      <c r="M5135" s="9">
        <v>1.5962999999999999E-4</v>
      </c>
      <c r="N5135" s="9">
        <v>1.3019E-4</v>
      </c>
      <c r="O5135" s="9">
        <v>1.6262000000000001E-4</v>
      </c>
      <c r="P5135" s="9">
        <v>1.3397999999999999E-4</v>
      </c>
      <c r="Q5135" s="9">
        <v>1.0634E-4</v>
      </c>
      <c r="R5135" s="10">
        <v>1.254089192909668E-5</v>
      </c>
      <c r="S5135" s="10">
        <v>7.1484528362685186E-6</v>
      </c>
      <c r="T5135" s="10">
        <v>3.3988103196670929E-5</v>
      </c>
      <c r="U5135" s="10">
        <v>7.5069999999999998E-5</v>
      </c>
      <c r="V5135" s="25"/>
      <c r="W5135" s="25"/>
      <c r="X5135" s="25"/>
      <c r="Y5135" s="25"/>
      <c r="Z5135" s="25"/>
      <c r="AA5135" s="25"/>
    </row>
    <row r="5136" spans="1:27" x14ac:dyDescent="0.35">
      <c r="A5136" s="5">
        <v>5132</v>
      </c>
      <c r="B5136" s="5">
        <v>214</v>
      </c>
      <c r="C5136" s="5">
        <v>8</v>
      </c>
      <c r="D5136" s="25">
        <v>1.1415000000000001E-4</v>
      </c>
      <c r="E5136" s="25">
        <v>1.2081E-4</v>
      </c>
      <c r="F5136" s="25">
        <v>1.2473000000000001E-4</v>
      </c>
      <c r="G5136" s="25">
        <v>1.1021E-4</v>
      </c>
      <c r="H5136" s="25">
        <v>1.2821999999999999E-4</v>
      </c>
      <c r="I5136" s="9">
        <v>1.0301E-4</v>
      </c>
      <c r="J5136" s="9">
        <v>1.0917999999999999E-4</v>
      </c>
      <c r="K5136" s="9">
        <v>1.272E-5</v>
      </c>
      <c r="L5136" s="9">
        <v>1.7223E-4</v>
      </c>
      <c r="M5136" s="9">
        <v>1.5055E-4</v>
      </c>
      <c r="N5136" s="9">
        <v>1.2092E-4</v>
      </c>
      <c r="O5136" s="9">
        <v>1.2947999999999999E-4</v>
      </c>
      <c r="P5136" s="9">
        <v>1.1576E-4</v>
      </c>
      <c r="Q5136" s="9">
        <v>1.0268999999999999E-4</v>
      </c>
      <c r="R5136" s="10">
        <v>3.1843082669161474E-5</v>
      </c>
      <c r="S5136" s="10">
        <v>1.9343493903575489E-5</v>
      </c>
      <c r="T5136" s="10">
        <v>0</v>
      </c>
      <c r="U5136" s="10">
        <v>7.5069999999999998E-5</v>
      </c>
      <c r="V5136" s="25"/>
      <c r="W5136" s="25"/>
      <c r="X5136" s="25"/>
      <c r="Y5136" s="25"/>
      <c r="Z5136" s="25"/>
      <c r="AA5136" s="25"/>
    </row>
    <row r="5137" spans="1:27" x14ac:dyDescent="0.35">
      <c r="A5137" s="5">
        <v>5133</v>
      </c>
      <c r="B5137" s="5">
        <v>214</v>
      </c>
      <c r="C5137" s="5">
        <v>8</v>
      </c>
      <c r="D5137" s="25">
        <v>1.1416E-4</v>
      </c>
      <c r="E5137" s="25">
        <v>1.2255999999999999E-4</v>
      </c>
      <c r="F5137" s="25">
        <v>1.1867E-4</v>
      </c>
      <c r="G5137" s="25">
        <v>5.4230000000000001E-5</v>
      </c>
      <c r="H5137" s="25">
        <v>6.8180000000000001E-5</v>
      </c>
      <c r="I5137" s="9">
        <v>1.0272000000000001E-4</v>
      </c>
      <c r="J5137" s="9">
        <v>1.0839E-4</v>
      </c>
      <c r="K5137" s="9">
        <v>6.1470000000000006E-5</v>
      </c>
      <c r="L5137" s="9">
        <v>1.3990000000000001E-4</v>
      </c>
      <c r="M5137" s="9">
        <v>1.3548E-4</v>
      </c>
      <c r="N5137" s="9">
        <v>1.1338E-4</v>
      </c>
      <c r="O5137" s="9">
        <v>8.4709999999999994E-5</v>
      </c>
      <c r="P5137" s="9">
        <v>8.6470000000000004E-5</v>
      </c>
      <c r="Q5137" s="9">
        <v>8.8480000000000007E-5</v>
      </c>
      <c r="R5137" s="10">
        <v>6.5665355706424197E-5</v>
      </c>
      <c r="S5137" s="10">
        <v>4.3116865900370298E-5</v>
      </c>
      <c r="T5137" s="10">
        <v>0</v>
      </c>
      <c r="U5137" s="10">
        <v>7.5069999999999998E-5</v>
      </c>
      <c r="V5137" s="25"/>
      <c r="W5137" s="25"/>
      <c r="X5137" s="25"/>
      <c r="Y5137" s="25"/>
      <c r="Z5137" s="25"/>
      <c r="AA5137" s="25"/>
    </row>
    <row r="5138" spans="1:27" x14ac:dyDescent="0.35">
      <c r="A5138" s="5">
        <v>5134</v>
      </c>
      <c r="B5138" s="5">
        <v>214</v>
      </c>
      <c r="C5138" s="5">
        <v>8</v>
      </c>
      <c r="D5138" s="25">
        <v>1.1415000000000001E-4</v>
      </c>
      <c r="E5138" s="25">
        <v>1.2056E-4</v>
      </c>
      <c r="F5138" s="25">
        <v>1.1694E-4</v>
      </c>
      <c r="G5138" s="25">
        <v>5.5050000000000003E-5</v>
      </c>
      <c r="H5138" s="25">
        <v>6.5500000000000006E-5</v>
      </c>
      <c r="I5138" s="9">
        <v>1.0356E-4</v>
      </c>
      <c r="J5138" s="9">
        <v>1.0719E-4</v>
      </c>
      <c r="K5138" s="9">
        <v>7.2059999999999998E-5</v>
      </c>
      <c r="L5138" s="9">
        <v>9.7730000000000001E-5</v>
      </c>
      <c r="M5138" s="9">
        <v>1.1398E-4</v>
      </c>
      <c r="N5138" s="9">
        <v>1.0577999999999999E-4</v>
      </c>
      <c r="O5138" s="9">
        <v>8.7869999999999997E-5</v>
      </c>
      <c r="P5138" s="9">
        <v>8.8250000000000004E-5</v>
      </c>
      <c r="Q5138" s="9">
        <v>8.8900000000000006E-5</v>
      </c>
      <c r="R5138" s="10">
        <v>1.0793072931509107E-4</v>
      </c>
      <c r="S5138" s="10">
        <v>7.794034079786576E-5</v>
      </c>
      <c r="T5138" s="10">
        <v>0</v>
      </c>
      <c r="U5138" s="10">
        <v>7.5069999999999998E-5</v>
      </c>
      <c r="V5138" s="25"/>
      <c r="W5138" s="25"/>
      <c r="X5138" s="25"/>
      <c r="Y5138" s="25"/>
      <c r="Z5138" s="25"/>
      <c r="AA5138" s="25"/>
    </row>
    <row r="5139" spans="1:27" x14ac:dyDescent="0.35">
      <c r="A5139" s="5">
        <v>5135</v>
      </c>
      <c r="B5139" s="5">
        <v>214</v>
      </c>
      <c r="C5139" s="5">
        <v>8</v>
      </c>
      <c r="D5139" s="25">
        <v>1.1416E-4</v>
      </c>
      <c r="E5139" s="25">
        <v>1.2320000000000001E-4</v>
      </c>
      <c r="F5139" s="25">
        <v>1.3134E-4</v>
      </c>
      <c r="G5139" s="25">
        <v>6.2869999999999999E-5</v>
      </c>
      <c r="H5139" s="25">
        <v>7.1699999999999995E-5</v>
      </c>
      <c r="I5139" s="9">
        <v>9.7830000000000004E-5</v>
      </c>
      <c r="J5139" s="9">
        <v>1.0200999999999999E-4</v>
      </c>
      <c r="K5139" s="9">
        <v>9.1139999999999998E-5</v>
      </c>
      <c r="L5139" s="9">
        <v>9.0970000000000005E-5</v>
      </c>
      <c r="M5139" s="9">
        <v>9.9439999999999997E-5</v>
      </c>
      <c r="N5139" s="9">
        <v>1.0009999999999999E-4</v>
      </c>
      <c r="O5139" s="9">
        <v>7.6990000000000007E-5</v>
      </c>
      <c r="P5139" s="9">
        <v>7.1470000000000005E-5</v>
      </c>
      <c r="Q5139" s="9">
        <v>6.6270000000000001E-5</v>
      </c>
      <c r="R5139" s="10">
        <v>1.4803791081234184E-4</v>
      </c>
      <c r="S5139" s="10">
        <v>1.0923014070740238E-4</v>
      </c>
      <c r="T5139" s="10">
        <v>0</v>
      </c>
      <c r="U5139" s="10">
        <v>7.5069999999999998E-5</v>
      </c>
      <c r="V5139" s="25"/>
      <c r="W5139" s="25"/>
      <c r="X5139" s="25"/>
      <c r="Y5139" s="25"/>
      <c r="Z5139" s="25"/>
      <c r="AA5139" s="25"/>
    </row>
    <row r="5140" spans="1:27" x14ac:dyDescent="0.35">
      <c r="A5140" s="5">
        <v>5136</v>
      </c>
      <c r="B5140" s="5">
        <v>214</v>
      </c>
      <c r="C5140" s="5">
        <v>8</v>
      </c>
      <c r="D5140" s="25">
        <v>1.1415000000000001E-4</v>
      </c>
      <c r="E5140" s="25">
        <v>1.2005E-4</v>
      </c>
      <c r="F5140" s="25">
        <v>1.1784E-4</v>
      </c>
      <c r="G5140" s="25">
        <v>5.9299999999999998E-5</v>
      </c>
      <c r="H5140" s="25">
        <v>6.669E-5</v>
      </c>
      <c r="I5140" s="9">
        <v>9.2150000000000004E-5</v>
      </c>
      <c r="J5140" s="9">
        <v>9.5390000000000007E-5</v>
      </c>
      <c r="K5140" s="9">
        <v>1.0597E-4</v>
      </c>
      <c r="L5140" s="9">
        <v>8.0060000000000003E-5</v>
      </c>
      <c r="M5140" s="9">
        <v>8.6169999999999997E-5</v>
      </c>
      <c r="N5140" s="9">
        <v>9.0649999999999994E-5</v>
      </c>
      <c r="O5140" s="9">
        <v>6.2890000000000003E-5</v>
      </c>
      <c r="P5140" s="9">
        <v>6.0850000000000002E-5</v>
      </c>
      <c r="Q5140" s="9">
        <v>5.9030000000000002E-5</v>
      </c>
      <c r="R5140" s="10">
        <v>1.8895740014974809E-4</v>
      </c>
      <c r="S5140" s="10">
        <v>1.5198186049243198E-4</v>
      </c>
      <c r="T5140" s="10">
        <v>0</v>
      </c>
      <c r="U5140" s="10">
        <v>7.5069999999999998E-5</v>
      </c>
      <c r="V5140" s="25"/>
      <c r="W5140" s="25"/>
      <c r="X5140" s="25"/>
      <c r="Y5140" s="25"/>
      <c r="Z5140" s="25"/>
      <c r="AA5140" s="25"/>
    </row>
    <row r="5141" spans="1:27" x14ac:dyDescent="0.35">
      <c r="A5141" s="5">
        <v>5137</v>
      </c>
      <c r="B5141" s="5">
        <v>215</v>
      </c>
      <c r="C5141" s="5">
        <v>8</v>
      </c>
      <c r="D5141" s="25">
        <v>1.1416E-4</v>
      </c>
      <c r="E5141" s="25">
        <v>1.1233E-4</v>
      </c>
      <c r="F5141" s="25">
        <v>1.2553999999999999E-4</v>
      </c>
      <c r="G5141" s="25">
        <v>5.4209999999999998E-5</v>
      </c>
      <c r="H5141" s="25">
        <v>6.5439999999999997E-5</v>
      </c>
      <c r="I5141" s="9">
        <v>8.8499999999999996E-5</v>
      </c>
      <c r="J5141" s="9">
        <v>9.0589999999999998E-5</v>
      </c>
      <c r="K5141" s="9">
        <v>1.1445E-4</v>
      </c>
      <c r="L5141" s="9">
        <v>6.669E-5</v>
      </c>
      <c r="M5141" s="9">
        <v>7.3990000000000001E-5</v>
      </c>
      <c r="N5141" s="9">
        <v>8.1269999999999999E-5</v>
      </c>
      <c r="O5141" s="9">
        <v>5.4339999999999998E-5</v>
      </c>
      <c r="P5141" s="9">
        <v>5.3749999999999999E-5</v>
      </c>
      <c r="Q5141" s="9">
        <v>5.3329999999999999E-5</v>
      </c>
      <c r="R5141" s="10">
        <v>1.7453084185807573E-4</v>
      </c>
      <c r="S5141" s="10">
        <v>1.6759942892140492E-4</v>
      </c>
      <c r="T5141" s="10">
        <v>0</v>
      </c>
      <c r="U5141" s="10">
        <v>7.5500000000000006E-5</v>
      </c>
      <c r="V5141" s="25"/>
      <c r="W5141" s="25"/>
      <c r="X5141" s="25"/>
      <c r="Y5141" s="25"/>
      <c r="Z5141" s="25"/>
      <c r="AA5141" s="25"/>
    </row>
    <row r="5142" spans="1:27" x14ac:dyDescent="0.35">
      <c r="A5142" s="5">
        <v>5138</v>
      </c>
      <c r="B5142" s="5">
        <v>215</v>
      </c>
      <c r="C5142" s="5">
        <v>8</v>
      </c>
      <c r="D5142" s="25">
        <v>1.1415000000000001E-4</v>
      </c>
      <c r="E5142" s="25">
        <v>1.1226999999999999E-4</v>
      </c>
      <c r="F5142" s="25">
        <v>1.2923000000000001E-4</v>
      </c>
      <c r="G5142" s="25">
        <v>5.4839999999999997E-5</v>
      </c>
      <c r="H5142" s="25">
        <v>6.7890000000000002E-5</v>
      </c>
      <c r="I5142" s="9">
        <v>8.5470000000000007E-5</v>
      </c>
      <c r="J5142" s="9">
        <v>8.8690000000000006E-5</v>
      </c>
      <c r="K5142" s="9">
        <v>1.1657E-4</v>
      </c>
      <c r="L5142" s="9">
        <v>5.7420000000000003E-5</v>
      </c>
      <c r="M5142" s="9">
        <v>6.3819999999999995E-5</v>
      </c>
      <c r="N5142" s="9">
        <v>7.2100000000000004E-5</v>
      </c>
      <c r="O5142" s="9">
        <v>1.906E-5</v>
      </c>
      <c r="P5142" s="9">
        <v>3.7780000000000001E-5</v>
      </c>
      <c r="Q5142" s="9">
        <v>5.622E-5</v>
      </c>
      <c r="R5142" s="10">
        <v>1.7050462216113699E-4</v>
      </c>
      <c r="S5142" s="10">
        <v>1.7451769585114931E-4</v>
      </c>
      <c r="T5142" s="10">
        <v>0</v>
      </c>
      <c r="U5142" s="10">
        <v>7.5500000000000006E-5</v>
      </c>
      <c r="V5142" s="25"/>
      <c r="W5142" s="25"/>
      <c r="X5142" s="25"/>
      <c r="Y5142" s="25"/>
      <c r="Z5142" s="25"/>
      <c r="AA5142" s="25"/>
    </row>
    <row r="5143" spans="1:27" x14ac:dyDescent="0.35">
      <c r="A5143" s="5">
        <v>5139</v>
      </c>
      <c r="B5143" s="5">
        <v>215</v>
      </c>
      <c r="C5143" s="5">
        <v>8</v>
      </c>
      <c r="D5143" s="25">
        <v>1.1416E-4</v>
      </c>
      <c r="E5143" s="25">
        <v>1.1089E-4</v>
      </c>
      <c r="F5143" s="25">
        <v>1.2073E-4</v>
      </c>
      <c r="G5143" s="25">
        <v>5.8489999999999997E-5</v>
      </c>
      <c r="H5143" s="25">
        <v>6.8800000000000005E-5</v>
      </c>
      <c r="I5143" s="9">
        <v>8.4580000000000007E-5</v>
      </c>
      <c r="J5143" s="9">
        <v>8.755E-5</v>
      </c>
      <c r="K5143" s="9">
        <v>1.1868E-4</v>
      </c>
      <c r="L5143" s="9">
        <v>2.7699999999999999E-5</v>
      </c>
      <c r="M5143" s="9">
        <v>5.2129999999999997E-5</v>
      </c>
      <c r="N5143" s="9">
        <v>6.5510000000000001E-5</v>
      </c>
      <c r="O5143" s="9">
        <v>1.3550000000000001E-5</v>
      </c>
      <c r="P5143" s="9">
        <v>3.7639999999999999E-5</v>
      </c>
      <c r="Q5143" s="9">
        <v>6.135E-5</v>
      </c>
      <c r="R5143" s="10">
        <v>1.5683148288059921E-4</v>
      </c>
      <c r="S5143" s="10">
        <v>1.7481317155059511E-4</v>
      </c>
      <c r="T5143" s="10">
        <v>0</v>
      </c>
      <c r="U5143" s="10">
        <v>7.5500000000000006E-5</v>
      </c>
      <c r="V5143" s="25"/>
      <c r="W5143" s="25"/>
      <c r="X5143" s="25"/>
      <c r="Y5143" s="25"/>
      <c r="Z5143" s="25"/>
      <c r="AA5143" s="25"/>
    </row>
    <row r="5144" spans="1:27" x14ac:dyDescent="0.35">
      <c r="A5144" s="5">
        <v>5140</v>
      </c>
      <c r="B5144" s="5">
        <v>215</v>
      </c>
      <c r="C5144" s="5">
        <v>8</v>
      </c>
      <c r="D5144" s="25">
        <v>1.1415000000000001E-4</v>
      </c>
      <c r="E5144" s="25">
        <v>1.1068E-4</v>
      </c>
      <c r="F5144" s="25">
        <v>1.1603E-4</v>
      </c>
      <c r="G5144" s="25">
        <v>6.3E-5</v>
      </c>
      <c r="H5144" s="25">
        <v>7.0259999999999995E-5</v>
      </c>
      <c r="I5144" s="9">
        <v>8.5690000000000001E-5</v>
      </c>
      <c r="J5144" s="9">
        <v>8.742E-5</v>
      </c>
      <c r="K5144" s="9">
        <v>1.208E-4</v>
      </c>
      <c r="L5144" s="9">
        <v>1.7399999999999999E-5</v>
      </c>
      <c r="M5144" s="9">
        <v>4.4119999999999998E-5</v>
      </c>
      <c r="N5144" s="9">
        <v>6.1849999999999999E-5</v>
      </c>
      <c r="O5144" s="9">
        <v>1.362E-5</v>
      </c>
      <c r="P5144" s="9">
        <v>4.7290000000000003E-5</v>
      </c>
      <c r="Q5144" s="9">
        <v>8.0420000000000006E-5</v>
      </c>
      <c r="R5144" s="10">
        <v>1.4416971427000017E-4</v>
      </c>
      <c r="S5144" s="10">
        <v>1.7822207039590456E-4</v>
      </c>
      <c r="T5144" s="10">
        <v>0</v>
      </c>
      <c r="U5144" s="10">
        <v>7.5500000000000006E-5</v>
      </c>
      <c r="V5144" s="25"/>
      <c r="W5144" s="25"/>
      <c r="X5144" s="25"/>
      <c r="Y5144" s="25"/>
      <c r="Z5144" s="25"/>
      <c r="AA5144" s="25"/>
    </row>
    <row r="5145" spans="1:27" x14ac:dyDescent="0.35">
      <c r="A5145" s="5">
        <v>5141</v>
      </c>
      <c r="B5145" s="5">
        <v>215</v>
      </c>
      <c r="C5145" s="5">
        <v>8</v>
      </c>
      <c r="D5145" s="25">
        <v>1.1416E-4</v>
      </c>
      <c r="E5145" s="25">
        <v>1.1246E-4</v>
      </c>
      <c r="F5145" s="25">
        <v>1.1135E-4</v>
      </c>
      <c r="G5145" s="25">
        <v>5.482E-5</v>
      </c>
      <c r="H5145" s="25">
        <v>7.5740000000000003E-5</v>
      </c>
      <c r="I5145" s="9">
        <v>8.8839999999999996E-5</v>
      </c>
      <c r="J5145" s="9">
        <v>8.954E-5</v>
      </c>
      <c r="K5145" s="9">
        <v>7.4179999999999998E-5</v>
      </c>
      <c r="L5145" s="9">
        <v>1.469E-5</v>
      </c>
      <c r="M5145" s="9">
        <v>4.3460000000000001E-5</v>
      </c>
      <c r="N5145" s="9">
        <v>6.4399999999999993E-5</v>
      </c>
      <c r="O5145" s="9">
        <v>1.916E-5</v>
      </c>
      <c r="P5145" s="9">
        <v>5.6969999999999998E-5</v>
      </c>
      <c r="Q5145" s="9">
        <v>9.4199999999999999E-5</v>
      </c>
      <c r="R5145" s="10">
        <v>1.4411912736075235E-4</v>
      </c>
      <c r="S5145" s="10">
        <v>1.8130213494709443E-4</v>
      </c>
      <c r="T5145" s="10">
        <v>0</v>
      </c>
      <c r="U5145" s="10">
        <v>7.5500000000000006E-5</v>
      </c>
      <c r="V5145" s="25"/>
      <c r="W5145" s="25"/>
      <c r="X5145" s="25"/>
      <c r="Y5145" s="25"/>
      <c r="Z5145" s="25"/>
      <c r="AA5145" s="25"/>
    </row>
    <row r="5146" spans="1:27" x14ac:dyDescent="0.35">
      <c r="A5146" s="5">
        <v>5142</v>
      </c>
      <c r="B5146" s="5">
        <v>215</v>
      </c>
      <c r="C5146" s="5">
        <v>8</v>
      </c>
      <c r="D5146" s="25">
        <v>1.1415000000000001E-4</v>
      </c>
      <c r="E5146" s="25">
        <v>1.0964E-4</v>
      </c>
      <c r="F5146" s="25">
        <v>1.2178E-4</v>
      </c>
      <c r="G5146" s="25">
        <v>1.1501E-4</v>
      </c>
      <c r="H5146" s="25">
        <v>1.3168000000000001E-4</v>
      </c>
      <c r="I5146" s="9">
        <v>9.4270000000000004E-5</v>
      </c>
      <c r="J5146" s="9">
        <v>9.5169999999999999E-5</v>
      </c>
      <c r="K5146" s="9">
        <v>3.392E-5</v>
      </c>
      <c r="L5146" s="9">
        <v>1.804E-5</v>
      </c>
      <c r="M5146" s="9">
        <v>4.8510000000000001E-5</v>
      </c>
      <c r="N5146" s="9">
        <v>7.1080000000000004E-5</v>
      </c>
      <c r="O5146" s="9">
        <v>4.6060000000000003E-5</v>
      </c>
      <c r="P5146" s="9">
        <v>7.64E-5</v>
      </c>
      <c r="Q5146" s="9">
        <v>1.0637999999999999E-4</v>
      </c>
      <c r="R5146" s="10">
        <v>1.4599356910358804E-4</v>
      </c>
      <c r="S5146" s="10">
        <v>1.8445660862304164E-4</v>
      </c>
      <c r="T5146" s="10">
        <v>2.8413918523627289E-5</v>
      </c>
      <c r="U5146" s="10">
        <v>7.5500000000000006E-5</v>
      </c>
      <c r="V5146" s="25"/>
      <c r="W5146" s="25"/>
      <c r="X5146" s="25"/>
      <c r="Y5146" s="25"/>
      <c r="Z5146" s="25"/>
      <c r="AA5146" s="25"/>
    </row>
    <row r="5147" spans="1:27" x14ac:dyDescent="0.35">
      <c r="A5147" s="5">
        <v>5143</v>
      </c>
      <c r="B5147" s="5">
        <v>215</v>
      </c>
      <c r="C5147" s="5">
        <v>8</v>
      </c>
      <c r="D5147" s="25">
        <v>1.1416E-4</v>
      </c>
      <c r="E5147" s="25">
        <v>1.1326E-4</v>
      </c>
      <c r="F5147" s="25">
        <v>1.159E-4</v>
      </c>
      <c r="G5147" s="25">
        <v>1.0593E-4</v>
      </c>
      <c r="H5147" s="25">
        <v>1.3406E-4</v>
      </c>
      <c r="I5147" s="9">
        <v>1.0143E-4</v>
      </c>
      <c r="J5147" s="9">
        <v>1.0534E-4</v>
      </c>
      <c r="K5147" s="9">
        <v>0</v>
      </c>
      <c r="L5147" s="9">
        <v>3.9749999999999997E-5</v>
      </c>
      <c r="M5147" s="9">
        <v>5.9969999999999997E-5</v>
      </c>
      <c r="N5147" s="9">
        <v>8.0660000000000004E-5</v>
      </c>
      <c r="O5147" s="9">
        <v>1.2212E-4</v>
      </c>
      <c r="P5147" s="9">
        <v>1.1671999999999999E-4</v>
      </c>
      <c r="Q5147" s="9">
        <v>1.1181E-4</v>
      </c>
      <c r="R5147" s="10">
        <v>1.5198937425926927E-4</v>
      </c>
      <c r="S5147" s="10">
        <v>1.8726782991167966E-4</v>
      </c>
      <c r="T5147" s="10">
        <v>1.2099459303238244E-4</v>
      </c>
      <c r="U5147" s="10">
        <v>7.5500000000000006E-5</v>
      </c>
      <c r="V5147" s="25"/>
      <c r="W5147" s="25"/>
      <c r="X5147" s="25"/>
      <c r="Y5147" s="25"/>
      <c r="Z5147" s="25"/>
      <c r="AA5147" s="25"/>
    </row>
    <row r="5148" spans="1:27" x14ac:dyDescent="0.35">
      <c r="A5148" s="5">
        <v>5144</v>
      </c>
      <c r="B5148" s="5">
        <v>215</v>
      </c>
      <c r="C5148" s="5">
        <v>8</v>
      </c>
      <c r="D5148" s="25">
        <v>1.1415000000000001E-4</v>
      </c>
      <c r="E5148" s="25">
        <v>1.1183000000000001E-4</v>
      </c>
      <c r="F5148" s="25">
        <v>1.1034E-4</v>
      </c>
      <c r="G5148" s="25">
        <v>1.6039E-4</v>
      </c>
      <c r="H5148" s="25">
        <v>1.9167000000000001E-4</v>
      </c>
      <c r="I5148" s="9">
        <v>1.0747999999999999E-4</v>
      </c>
      <c r="J5148" s="9">
        <v>1.1479E-4</v>
      </c>
      <c r="K5148" s="9">
        <v>0</v>
      </c>
      <c r="L5148" s="9">
        <v>1.0339E-4</v>
      </c>
      <c r="M5148" s="9">
        <v>8.3339999999999998E-5</v>
      </c>
      <c r="N5148" s="9">
        <v>9.0630000000000005E-5</v>
      </c>
      <c r="O5148" s="9">
        <v>2.1662E-4</v>
      </c>
      <c r="P5148" s="9">
        <v>1.7532999999999999E-4</v>
      </c>
      <c r="Q5148" s="9">
        <v>1.3543999999999999E-4</v>
      </c>
      <c r="R5148" s="10">
        <v>1.5107181316077886E-4</v>
      </c>
      <c r="S5148" s="10">
        <v>1.8761531677764722E-4</v>
      </c>
      <c r="T5148" s="10">
        <v>3.0157442040081576E-4</v>
      </c>
      <c r="U5148" s="10">
        <v>7.5500000000000006E-5</v>
      </c>
      <c r="V5148" s="25"/>
      <c r="W5148" s="25"/>
      <c r="X5148" s="25"/>
      <c r="Y5148" s="25"/>
      <c r="Z5148" s="25"/>
      <c r="AA5148" s="25"/>
    </row>
    <row r="5149" spans="1:27" x14ac:dyDescent="0.35">
      <c r="A5149" s="5">
        <v>5145</v>
      </c>
      <c r="B5149" s="5">
        <v>215</v>
      </c>
      <c r="C5149" s="5">
        <v>8</v>
      </c>
      <c r="D5149" s="25">
        <v>1.1416E-4</v>
      </c>
      <c r="E5149" s="25">
        <v>1.1760999999999999E-4</v>
      </c>
      <c r="F5149" s="25">
        <v>1.2876000000000001E-4</v>
      </c>
      <c r="G5149" s="25">
        <v>1.5993E-4</v>
      </c>
      <c r="H5149" s="25">
        <v>2.0220000000000001E-4</v>
      </c>
      <c r="I5149" s="9">
        <v>1.1136E-4</v>
      </c>
      <c r="J5149" s="9">
        <v>1.2046E-4</v>
      </c>
      <c r="K5149" s="9">
        <v>0</v>
      </c>
      <c r="L5149" s="9">
        <v>1.8997E-4</v>
      </c>
      <c r="M5149" s="9">
        <v>1.225E-4</v>
      </c>
      <c r="N5149" s="9">
        <v>1.0411E-4</v>
      </c>
      <c r="O5149" s="9">
        <v>2.1160999999999999E-4</v>
      </c>
      <c r="P5149" s="9">
        <v>1.9425000000000001E-4</v>
      </c>
      <c r="Q5149" s="9">
        <v>1.7789999999999999E-4</v>
      </c>
      <c r="R5149" s="10">
        <v>1.4437562583371805E-4</v>
      </c>
      <c r="S5149" s="10">
        <v>1.8656539871000102E-4</v>
      </c>
      <c r="T5149" s="10">
        <v>4.624367360795178E-4</v>
      </c>
      <c r="U5149" s="10">
        <v>7.5500000000000006E-5</v>
      </c>
      <c r="V5149" s="25"/>
      <c r="W5149" s="25"/>
      <c r="X5149" s="25"/>
      <c r="Y5149" s="25"/>
      <c r="Z5149" s="25"/>
      <c r="AA5149" s="25"/>
    </row>
    <row r="5150" spans="1:27" x14ac:dyDescent="0.35">
      <c r="A5150" s="5">
        <v>5146</v>
      </c>
      <c r="B5150" s="5">
        <v>215</v>
      </c>
      <c r="C5150" s="5">
        <v>8</v>
      </c>
      <c r="D5150" s="25">
        <v>1.1415000000000001E-4</v>
      </c>
      <c r="E5150" s="25">
        <v>1.1519999999999999E-4</v>
      </c>
      <c r="F5150" s="25">
        <v>1.3205000000000001E-4</v>
      </c>
      <c r="G5150" s="25">
        <v>1.5898999999999999E-4</v>
      </c>
      <c r="H5150" s="25">
        <v>1.9469999999999999E-4</v>
      </c>
      <c r="I5150" s="9">
        <v>1.1322E-4</v>
      </c>
      <c r="J5150" s="9">
        <v>1.2208999999999999E-4</v>
      </c>
      <c r="K5150" s="9">
        <v>0</v>
      </c>
      <c r="L5150" s="9">
        <v>2.0458E-4</v>
      </c>
      <c r="M5150" s="9">
        <v>1.5825999999999999E-4</v>
      </c>
      <c r="N5150" s="9">
        <v>1.2438E-4</v>
      </c>
      <c r="O5150" s="9">
        <v>1.6799E-4</v>
      </c>
      <c r="P5150" s="9">
        <v>1.7561000000000001E-4</v>
      </c>
      <c r="Q5150" s="9">
        <v>1.8369E-4</v>
      </c>
      <c r="R5150" s="10">
        <v>1.0629862468391071E-4</v>
      </c>
      <c r="S5150" s="10">
        <v>1.8521014831646851E-4</v>
      </c>
      <c r="T5150" s="10">
        <v>5.8416946315536264E-4</v>
      </c>
      <c r="U5150" s="10">
        <v>7.5500000000000006E-5</v>
      </c>
      <c r="V5150" s="25"/>
      <c r="W5150" s="25"/>
      <c r="X5150" s="25"/>
      <c r="Y5150" s="25"/>
      <c r="Z5150" s="25"/>
      <c r="AA5150" s="25"/>
    </row>
    <row r="5151" spans="1:27" x14ac:dyDescent="0.35">
      <c r="A5151" s="5">
        <v>5147</v>
      </c>
      <c r="B5151" s="5">
        <v>215</v>
      </c>
      <c r="C5151" s="5">
        <v>8</v>
      </c>
      <c r="D5151" s="25">
        <v>1.1416E-4</v>
      </c>
      <c r="E5151" s="25">
        <v>1.1394E-4</v>
      </c>
      <c r="F5151" s="25">
        <v>1.2731999999999999E-4</v>
      </c>
      <c r="G5151" s="25">
        <v>1.6600999999999999E-4</v>
      </c>
      <c r="H5151" s="25">
        <v>1.9953000000000001E-4</v>
      </c>
      <c r="I5151" s="9">
        <v>1.1464999999999999E-4</v>
      </c>
      <c r="J5151" s="9">
        <v>1.2327E-4</v>
      </c>
      <c r="K5151" s="9">
        <v>0</v>
      </c>
      <c r="L5151" s="9">
        <v>1.7605E-4</v>
      </c>
      <c r="M5151" s="9">
        <v>1.7284000000000001E-4</v>
      </c>
      <c r="N5151" s="9">
        <v>1.4284000000000001E-4</v>
      </c>
      <c r="O5151" s="9">
        <v>1.672E-4</v>
      </c>
      <c r="P5151" s="9">
        <v>1.7343E-4</v>
      </c>
      <c r="Q5151" s="9">
        <v>1.8013E-4</v>
      </c>
      <c r="R5151" s="10">
        <v>8.896747945328437E-5</v>
      </c>
      <c r="S5151" s="10">
        <v>1.8405583881323228E-4</v>
      </c>
      <c r="T5151" s="10">
        <v>6.6813857382372322E-4</v>
      </c>
      <c r="U5151" s="10">
        <v>7.5500000000000006E-5</v>
      </c>
      <c r="V5151" s="25"/>
      <c r="W5151" s="25"/>
      <c r="X5151" s="25"/>
      <c r="Y5151" s="25"/>
      <c r="Z5151" s="25"/>
      <c r="AA5151" s="25"/>
    </row>
    <row r="5152" spans="1:27" x14ac:dyDescent="0.35">
      <c r="A5152" s="5">
        <v>5148</v>
      </c>
      <c r="B5152" s="5">
        <v>215</v>
      </c>
      <c r="C5152" s="5">
        <v>8</v>
      </c>
      <c r="D5152" s="25">
        <v>1.1415000000000001E-4</v>
      </c>
      <c r="E5152" s="25">
        <v>1.1542E-4</v>
      </c>
      <c r="F5152" s="25">
        <v>1.1268999999999999E-4</v>
      </c>
      <c r="G5152" s="25">
        <v>1.6202999999999999E-4</v>
      </c>
      <c r="H5152" s="25">
        <v>2.0296999999999999E-4</v>
      </c>
      <c r="I5152" s="9">
        <v>1.1273E-4</v>
      </c>
      <c r="J5152" s="9">
        <v>1.2266999999999999E-4</v>
      </c>
      <c r="K5152" s="9">
        <v>0</v>
      </c>
      <c r="L5152" s="9">
        <v>1.7053000000000001E-4</v>
      </c>
      <c r="M5152" s="9">
        <v>1.7558999999999999E-4</v>
      </c>
      <c r="N5152" s="9">
        <v>1.5710999999999999E-4</v>
      </c>
      <c r="O5152" s="9">
        <v>1.6827000000000001E-4</v>
      </c>
      <c r="P5152" s="9">
        <v>1.7039E-4</v>
      </c>
      <c r="Q5152" s="9">
        <v>1.7304000000000001E-4</v>
      </c>
      <c r="R5152" s="10">
        <v>4.6002186140615756E-5</v>
      </c>
      <c r="S5152" s="10">
        <v>1.7064485266675129E-4</v>
      </c>
      <c r="T5152" s="10">
        <v>7.0989829522512466E-4</v>
      </c>
      <c r="U5152" s="10">
        <v>7.5500000000000006E-5</v>
      </c>
      <c r="V5152" s="25"/>
      <c r="W5152" s="25"/>
      <c r="X5152" s="25"/>
      <c r="Y5152" s="25"/>
      <c r="Z5152" s="25"/>
      <c r="AA5152" s="25"/>
    </row>
    <row r="5153" spans="1:27" x14ac:dyDescent="0.35">
      <c r="A5153" s="5">
        <v>5149</v>
      </c>
      <c r="B5153" s="5">
        <v>215</v>
      </c>
      <c r="C5153" s="5">
        <v>8</v>
      </c>
      <c r="D5153" s="25">
        <v>1.1416E-4</v>
      </c>
      <c r="E5153" s="25">
        <v>1.0842E-4</v>
      </c>
      <c r="F5153" s="25">
        <v>1.1217000000000001E-4</v>
      </c>
      <c r="G5153" s="25">
        <v>1.5864000000000001E-4</v>
      </c>
      <c r="H5153" s="25">
        <v>1.9031000000000001E-4</v>
      </c>
      <c r="I5153" s="9">
        <v>1.1119E-4</v>
      </c>
      <c r="J5153" s="9">
        <v>1.2323E-4</v>
      </c>
      <c r="K5153" s="9">
        <v>0</v>
      </c>
      <c r="L5153" s="9">
        <v>1.6897E-4</v>
      </c>
      <c r="M5153" s="9">
        <v>1.739E-4</v>
      </c>
      <c r="N5153" s="9">
        <v>1.6636E-4</v>
      </c>
      <c r="O5153" s="9">
        <v>1.6101000000000001E-4</v>
      </c>
      <c r="P5153" s="9">
        <v>1.639E-4</v>
      </c>
      <c r="Q5153" s="9">
        <v>1.673E-4</v>
      </c>
      <c r="R5153" s="10">
        <v>4.580934682172975E-5</v>
      </c>
      <c r="S5153" s="10">
        <v>1.6165833798609383E-4</v>
      </c>
      <c r="T5153" s="10">
        <v>7.1951100638883612E-4</v>
      </c>
      <c r="U5153" s="10">
        <v>7.5500000000000006E-5</v>
      </c>
      <c r="V5153" s="25"/>
      <c r="W5153" s="25"/>
      <c r="X5153" s="25"/>
      <c r="Y5153" s="25"/>
      <c r="Z5153" s="25"/>
      <c r="AA5153" s="25"/>
    </row>
    <row r="5154" spans="1:27" x14ac:dyDescent="0.35">
      <c r="A5154" s="5">
        <v>5150</v>
      </c>
      <c r="B5154" s="5">
        <v>215</v>
      </c>
      <c r="C5154" s="5">
        <v>8</v>
      </c>
      <c r="D5154" s="25">
        <v>1.1415000000000001E-4</v>
      </c>
      <c r="E5154" s="25">
        <v>1.1035E-4</v>
      </c>
      <c r="F5154" s="25">
        <v>1.2473000000000001E-4</v>
      </c>
      <c r="G5154" s="25">
        <v>1.6446000000000001E-4</v>
      </c>
      <c r="H5154" s="25">
        <v>1.9965E-4</v>
      </c>
      <c r="I5154" s="9">
        <v>1.1005000000000001E-4</v>
      </c>
      <c r="J5154" s="9">
        <v>1.228E-4</v>
      </c>
      <c r="K5154" s="9">
        <v>0</v>
      </c>
      <c r="L5154" s="9">
        <v>1.6254999999999999E-4</v>
      </c>
      <c r="M5154" s="9">
        <v>1.6981E-4</v>
      </c>
      <c r="N5154" s="9">
        <v>1.7065E-4</v>
      </c>
      <c r="O5154" s="9">
        <v>1.7914999999999999E-4</v>
      </c>
      <c r="P5154" s="9">
        <v>1.7029999999999999E-4</v>
      </c>
      <c r="Q5154" s="9">
        <v>1.6220000000000001E-4</v>
      </c>
      <c r="R5154" s="10">
        <v>4.4770565401322786E-5</v>
      </c>
      <c r="S5154" s="10">
        <v>1.5196129555387778E-4</v>
      </c>
      <c r="T5154" s="10">
        <v>6.7343277661821208E-4</v>
      </c>
      <c r="U5154" s="10">
        <v>7.5500000000000006E-5</v>
      </c>
      <c r="V5154" s="25"/>
      <c r="W5154" s="25"/>
      <c r="X5154" s="25"/>
      <c r="Y5154" s="25"/>
      <c r="Z5154" s="25"/>
      <c r="AA5154" s="25"/>
    </row>
    <row r="5155" spans="1:27" x14ac:dyDescent="0.35">
      <c r="A5155" s="5">
        <v>5151</v>
      </c>
      <c r="B5155" s="5">
        <v>215</v>
      </c>
      <c r="C5155" s="5">
        <v>8</v>
      </c>
      <c r="D5155" s="25">
        <v>1.1416E-4</v>
      </c>
      <c r="E5155" s="25">
        <v>1.1081E-4</v>
      </c>
      <c r="F5155" s="25">
        <v>1.1985E-4</v>
      </c>
      <c r="G5155" s="25">
        <v>1.6431E-4</v>
      </c>
      <c r="H5155" s="25">
        <v>1.9081E-4</v>
      </c>
      <c r="I5155" s="9">
        <v>1.0961E-4</v>
      </c>
      <c r="J5155" s="9">
        <v>1.2231000000000001E-4</v>
      </c>
      <c r="K5155" s="9">
        <v>0</v>
      </c>
      <c r="L5155" s="9">
        <v>1.7564999999999999E-4</v>
      </c>
      <c r="M5155" s="9">
        <v>1.6885000000000001E-4</v>
      </c>
      <c r="N5155" s="9">
        <v>1.7040999999999999E-4</v>
      </c>
      <c r="O5155" s="9">
        <v>1.8217E-4</v>
      </c>
      <c r="P5155" s="9">
        <v>1.6665000000000001E-4</v>
      </c>
      <c r="Q5155" s="9">
        <v>1.5201E-4</v>
      </c>
      <c r="R5155" s="10">
        <v>4.2372279996685106E-5</v>
      </c>
      <c r="S5155" s="10">
        <v>1.5537950566890329E-4</v>
      </c>
      <c r="T5155" s="10">
        <v>5.9036300168096678E-4</v>
      </c>
      <c r="U5155" s="10">
        <v>7.5500000000000006E-5</v>
      </c>
      <c r="V5155" s="25"/>
      <c r="W5155" s="25"/>
      <c r="X5155" s="25"/>
      <c r="Y5155" s="25"/>
      <c r="Z5155" s="25"/>
      <c r="AA5155" s="25"/>
    </row>
    <row r="5156" spans="1:27" x14ac:dyDescent="0.35">
      <c r="A5156" s="5">
        <v>5152</v>
      </c>
      <c r="B5156" s="5">
        <v>215</v>
      </c>
      <c r="C5156" s="5">
        <v>8</v>
      </c>
      <c r="D5156" s="25">
        <v>1.1415000000000001E-4</v>
      </c>
      <c r="E5156" s="25">
        <v>1.0664E-4</v>
      </c>
      <c r="F5156" s="25">
        <v>1.1943E-4</v>
      </c>
      <c r="G5156" s="25">
        <v>1.5933000000000001E-4</v>
      </c>
      <c r="H5156" s="25">
        <v>1.9746999999999999E-4</v>
      </c>
      <c r="I5156" s="9">
        <v>1.0915E-4</v>
      </c>
      <c r="J5156" s="9">
        <v>1.2248000000000001E-4</v>
      </c>
      <c r="K5156" s="9">
        <v>0</v>
      </c>
      <c r="L5156" s="9">
        <v>1.8038E-4</v>
      </c>
      <c r="M5156" s="9">
        <v>1.6793E-4</v>
      </c>
      <c r="N5156" s="9">
        <v>1.6631E-4</v>
      </c>
      <c r="O5156" s="9">
        <v>1.9838000000000001E-4</v>
      </c>
      <c r="P5156" s="9">
        <v>1.539E-4</v>
      </c>
      <c r="Q5156" s="9">
        <v>1.108E-4</v>
      </c>
      <c r="R5156" s="10">
        <v>4.1102331060792238E-5</v>
      </c>
      <c r="S5156" s="10">
        <v>1.6042509388289778E-4</v>
      </c>
      <c r="T5156" s="10">
        <v>4.4409368088450969E-4</v>
      </c>
      <c r="U5156" s="10">
        <v>7.5500000000000006E-5</v>
      </c>
      <c r="V5156" s="25"/>
      <c r="W5156" s="25"/>
      <c r="X5156" s="25"/>
      <c r="Y5156" s="25"/>
      <c r="Z5156" s="25"/>
      <c r="AA5156" s="25"/>
    </row>
    <row r="5157" spans="1:27" x14ac:dyDescent="0.35">
      <c r="A5157" s="5">
        <v>5153</v>
      </c>
      <c r="B5157" s="5">
        <v>215</v>
      </c>
      <c r="C5157" s="5">
        <v>8</v>
      </c>
      <c r="D5157" s="25">
        <v>1.1416E-4</v>
      </c>
      <c r="E5157" s="25">
        <v>1.0951E-4</v>
      </c>
      <c r="F5157" s="25">
        <v>1.3086E-4</v>
      </c>
      <c r="G5157" s="25">
        <v>1.6100000000000001E-4</v>
      </c>
      <c r="H5157" s="25">
        <v>1.9886E-4</v>
      </c>
      <c r="I5157" s="9">
        <v>1.1113E-4</v>
      </c>
      <c r="J5157" s="9">
        <v>1.2328E-4</v>
      </c>
      <c r="K5157" s="9">
        <v>0</v>
      </c>
      <c r="L5157" s="9">
        <v>1.9424000000000001E-4</v>
      </c>
      <c r="M5157" s="9">
        <v>1.6270999999999999E-4</v>
      </c>
      <c r="N5157" s="9">
        <v>1.5275E-4</v>
      </c>
      <c r="O5157" s="9">
        <v>2.1165999999999999E-4</v>
      </c>
      <c r="P5157" s="9">
        <v>1.5826999999999999E-4</v>
      </c>
      <c r="Q5157" s="9">
        <v>1.0645999999999999E-4</v>
      </c>
      <c r="R5157" s="10">
        <v>3.7110905884233758E-5</v>
      </c>
      <c r="S5157" s="10">
        <v>1.558079809574532E-4</v>
      </c>
      <c r="T5157" s="10">
        <v>2.7727538706200756E-4</v>
      </c>
      <c r="U5157" s="10">
        <v>7.5500000000000006E-5</v>
      </c>
      <c r="V5157" s="25"/>
      <c r="W5157" s="25"/>
      <c r="X5157" s="25"/>
      <c r="Y5157" s="25"/>
      <c r="Z5157" s="25"/>
      <c r="AA5157" s="25"/>
    </row>
    <row r="5158" spans="1:27" x14ac:dyDescent="0.35">
      <c r="A5158" s="5">
        <v>5154</v>
      </c>
      <c r="B5158" s="5">
        <v>215</v>
      </c>
      <c r="C5158" s="5">
        <v>8</v>
      </c>
      <c r="D5158" s="25">
        <v>1.1415000000000001E-4</v>
      </c>
      <c r="E5158" s="25">
        <v>1.1004E-4</v>
      </c>
      <c r="F5158" s="25">
        <v>1.1475E-4</v>
      </c>
      <c r="G5158" s="25">
        <v>1.6176E-4</v>
      </c>
      <c r="H5158" s="25">
        <v>1.9531999999999999E-4</v>
      </c>
      <c r="I5158" s="9">
        <v>1.1122E-4</v>
      </c>
      <c r="J5158" s="9">
        <v>1.1865E-4</v>
      </c>
      <c r="K5158" s="9">
        <v>0</v>
      </c>
      <c r="L5158" s="9">
        <v>2.0755E-4</v>
      </c>
      <c r="M5158" s="9">
        <v>1.5966999999999999E-4</v>
      </c>
      <c r="N5158" s="9">
        <v>1.3922000000000001E-4</v>
      </c>
      <c r="O5158" s="9">
        <v>2.0605999999999999E-4</v>
      </c>
      <c r="P5158" s="9">
        <v>1.616E-4</v>
      </c>
      <c r="Q5158" s="9">
        <v>1.1857E-4</v>
      </c>
      <c r="R5158" s="10">
        <v>3.877104395235775E-5</v>
      </c>
      <c r="S5158" s="10">
        <v>1.3859168910083648E-4</v>
      </c>
      <c r="T5158" s="10">
        <v>1.2337019685042234E-4</v>
      </c>
      <c r="U5158" s="10">
        <v>7.5500000000000006E-5</v>
      </c>
      <c r="V5158" s="25"/>
      <c r="W5158" s="25"/>
      <c r="X5158" s="25"/>
      <c r="Y5158" s="25"/>
      <c r="Z5158" s="25"/>
      <c r="AA5158" s="25"/>
    </row>
    <row r="5159" spans="1:27" x14ac:dyDescent="0.35">
      <c r="A5159" s="5">
        <v>5155</v>
      </c>
      <c r="B5159" s="5">
        <v>215</v>
      </c>
      <c r="C5159" s="5">
        <v>8</v>
      </c>
      <c r="D5159" s="25">
        <v>1.1416E-4</v>
      </c>
      <c r="E5159" s="25">
        <v>1.0656E-4</v>
      </c>
      <c r="F5159" s="25">
        <v>1.1929E-4</v>
      </c>
      <c r="G5159" s="25">
        <v>1.0423E-4</v>
      </c>
      <c r="H5159" s="25">
        <v>1.3820999999999999E-4</v>
      </c>
      <c r="I5159" s="9">
        <v>1.0849999999999999E-4</v>
      </c>
      <c r="J5159" s="9">
        <v>1.1588E-4</v>
      </c>
      <c r="K5159" s="9">
        <v>0</v>
      </c>
      <c r="L5159" s="9">
        <v>2.0603E-4</v>
      </c>
      <c r="M5159" s="9">
        <v>1.5972999999999999E-4</v>
      </c>
      <c r="N5159" s="9">
        <v>1.3030999999999999E-4</v>
      </c>
      <c r="O5159" s="9">
        <v>1.6212999999999999E-4</v>
      </c>
      <c r="P5159" s="9">
        <v>1.3358000000000001E-4</v>
      </c>
      <c r="Q5159" s="9">
        <v>1.0602E-4</v>
      </c>
      <c r="R5159" s="10">
        <v>4.0464599792951611E-5</v>
      </c>
      <c r="S5159" s="10">
        <v>1.2860678503160512E-4</v>
      </c>
      <c r="T5159" s="10">
        <v>3.1739763868883154E-5</v>
      </c>
      <c r="U5159" s="10">
        <v>7.5500000000000006E-5</v>
      </c>
      <c r="V5159" s="25"/>
      <c r="W5159" s="25"/>
      <c r="X5159" s="25"/>
      <c r="Y5159" s="25"/>
      <c r="Z5159" s="25"/>
      <c r="AA5159" s="25"/>
    </row>
    <row r="5160" spans="1:27" x14ac:dyDescent="0.35">
      <c r="A5160" s="5">
        <v>5156</v>
      </c>
      <c r="B5160" s="5">
        <v>215</v>
      </c>
      <c r="C5160" s="5">
        <v>8</v>
      </c>
      <c r="D5160" s="25">
        <v>1.1415000000000001E-4</v>
      </c>
      <c r="E5160" s="25">
        <v>1.0655E-4</v>
      </c>
      <c r="F5160" s="25">
        <v>1.3195000000000001E-4</v>
      </c>
      <c r="G5160" s="25">
        <v>1.0532E-4</v>
      </c>
      <c r="H5160" s="25">
        <v>1.2910999999999999E-4</v>
      </c>
      <c r="I5160" s="9">
        <v>1.0603E-4</v>
      </c>
      <c r="J5160" s="9">
        <v>1.1301E-4</v>
      </c>
      <c r="K5160" s="9">
        <v>0</v>
      </c>
      <c r="L5160" s="9">
        <v>1.7191999999999999E-4</v>
      </c>
      <c r="M5160" s="9">
        <v>1.505E-4</v>
      </c>
      <c r="N5160" s="9">
        <v>1.209E-4</v>
      </c>
      <c r="O5160" s="9">
        <v>1.2828000000000001E-4</v>
      </c>
      <c r="P5160" s="9">
        <v>1.1469E-4</v>
      </c>
      <c r="Q5160" s="9">
        <v>1.0174E-4</v>
      </c>
      <c r="R5160" s="10">
        <v>4.034567236453435E-5</v>
      </c>
      <c r="S5160" s="10">
        <v>1.2465989816652786E-4</v>
      </c>
      <c r="T5160" s="10">
        <v>0</v>
      </c>
      <c r="U5160" s="10">
        <v>7.5500000000000006E-5</v>
      </c>
      <c r="V5160" s="25"/>
      <c r="W5160" s="25"/>
      <c r="X5160" s="25"/>
      <c r="Y5160" s="25"/>
      <c r="Z5160" s="25"/>
      <c r="AA5160" s="25"/>
    </row>
    <row r="5161" spans="1:27" x14ac:dyDescent="0.35">
      <c r="A5161" s="5">
        <v>5157</v>
      </c>
      <c r="B5161" s="5">
        <v>215</v>
      </c>
      <c r="C5161" s="5">
        <v>8</v>
      </c>
      <c r="D5161" s="25">
        <v>1.1416E-4</v>
      </c>
      <c r="E5161" s="25">
        <v>1.1661E-4</v>
      </c>
      <c r="F5161" s="25">
        <v>1.1332000000000001E-4</v>
      </c>
      <c r="G5161" s="25">
        <v>6.0069999999999999E-5</v>
      </c>
      <c r="H5161" s="25">
        <v>6.9720000000000003E-5</v>
      </c>
      <c r="I5161" s="9">
        <v>1.0459E-4</v>
      </c>
      <c r="J5161" s="9">
        <v>1.1237E-4</v>
      </c>
      <c r="K5161" s="9">
        <v>3.8149999999999999E-5</v>
      </c>
      <c r="L5161" s="9">
        <v>1.3891000000000001E-4</v>
      </c>
      <c r="M5161" s="9">
        <v>1.3501999999999999E-4</v>
      </c>
      <c r="N5161" s="9">
        <v>1.1315999999999999E-4</v>
      </c>
      <c r="O5161" s="9">
        <v>8.3900000000000006E-5</v>
      </c>
      <c r="P5161" s="9">
        <v>8.5649999999999995E-5</v>
      </c>
      <c r="Q5161" s="9">
        <v>8.763E-5</v>
      </c>
      <c r="R5161" s="10">
        <v>4.0019014140562769E-5</v>
      </c>
      <c r="S5161" s="10">
        <v>1.2045691319653247E-4</v>
      </c>
      <c r="T5161" s="10">
        <v>0</v>
      </c>
      <c r="U5161" s="10">
        <v>7.5500000000000006E-5</v>
      </c>
      <c r="V5161" s="25"/>
      <c r="W5161" s="25"/>
      <c r="X5161" s="25"/>
      <c r="Y5161" s="25"/>
      <c r="Z5161" s="25"/>
      <c r="AA5161" s="25"/>
    </row>
    <row r="5162" spans="1:27" x14ac:dyDescent="0.35">
      <c r="A5162" s="5">
        <v>5158</v>
      </c>
      <c r="B5162" s="5">
        <v>215</v>
      </c>
      <c r="C5162" s="5">
        <v>8</v>
      </c>
      <c r="D5162" s="25">
        <v>1.1415000000000001E-4</v>
      </c>
      <c r="E5162" s="25">
        <v>1.1598E-4</v>
      </c>
      <c r="F5162" s="25">
        <v>1.1896999999999999E-4</v>
      </c>
      <c r="G5162" s="25">
        <v>5.6199999999999997E-5</v>
      </c>
      <c r="H5162" s="25">
        <v>6.9850000000000004E-5</v>
      </c>
      <c r="I5162" s="9">
        <v>1.0486E-4</v>
      </c>
      <c r="J5162" s="9">
        <v>1.0840000000000001E-4</v>
      </c>
      <c r="K5162" s="9">
        <v>5.0869999999999999E-5</v>
      </c>
      <c r="L5162" s="9">
        <v>9.6910000000000006E-5</v>
      </c>
      <c r="M5162" s="9">
        <v>1.1328E-4</v>
      </c>
      <c r="N5162" s="9">
        <v>1.0537E-4</v>
      </c>
      <c r="O5162" s="9">
        <v>8.6929999999999996E-5</v>
      </c>
      <c r="P5162" s="9">
        <v>8.7310000000000003E-5</v>
      </c>
      <c r="Q5162" s="9">
        <v>8.7960000000000005E-5</v>
      </c>
      <c r="R5162" s="10">
        <v>3.977393830548912E-5</v>
      </c>
      <c r="S5162" s="10">
        <v>1.191032922098052E-4</v>
      </c>
      <c r="T5162" s="10">
        <v>0</v>
      </c>
      <c r="U5162" s="10">
        <v>7.5500000000000006E-5</v>
      </c>
      <c r="V5162" s="25"/>
      <c r="W5162" s="25"/>
      <c r="X5162" s="25"/>
      <c r="Y5162" s="25"/>
      <c r="Z5162" s="25"/>
      <c r="AA5162" s="25"/>
    </row>
    <row r="5163" spans="1:27" x14ac:dyDescent="0.35">
      <c r="A5163" s="5">
        <v>5159</v>
      </c>
      <c r="B5163" s="5">
        <v>215</v>
      </c>
      <c r="C5163" s="5">
        <v>8</v>
      </c>
      <c r="D5163" s="25">
        <v>1.1416E-4</v>
      </c>
      <c r="E5163" s="25">
        <v>1.1635E-4</v>
      </c>
      <c r="F5163" s="25">
        <v>1.1814E-4</v>
      </c>
      <c r="G5163" s="25">
        <v>5.5729999999999997E-5</v>
      </c>
      <c r="H5163" s="25">
        <v>6.4830000000000001E-5</v>
      </c>
      <c r="I5163" s="9">
        <v>9.9959999999999998E-5</v>
      </c>
      <c r="J5163" s="9">
        <v>1.0276999999999999E-4</v>
      </c>
      <c r="K5163" s="9">
        <v>3.6040000000000001E-5</v>
      </c>
      <c r="L5163" s="9">
        <v>9.0049999999999993E-5</v>
      </c>
      <c r="M5163" s="9">
        <v>9.8610000000000006E-5</v>
      </c>
      <c r="N5163" s="9">
        <v>9.9510000000000001E-5</v>
      </c>
      <c r="O5163" s="9">
        <v>7.7020000000000005E-5</v>
      </c>
      <c r="P5163" s="9">
        <v>7.1500000000000003E-5</v>
      </c>
      <c r="Q5163" s="9">
        <v>6.6290000000000004E-5</v>
      </c>
      <c r="R5163" s="10">
        <v>3.1957884811911496E-5</v>
      </c>
      <c r="S5163" s="10">
        <v>1.1075123835330286E-4</v>
      </c>
      <c r="T5163" s="10">
        <v>0</v>
      </c>
      <c r="U5163" s="10">
        <v>7.5500000000000006E-5</v>
      </c>
      <c r="V5163" s="25"/>
      <c r="W5163" s="25"/>
      <c r="X5163" s="25"/>
      <c r="Y5163" s="25"/>
      <c r="Z5163" s="25"/>
      <c r="AA5163" s="25"/>
    </row>
    <row r="5164" spans="1:27" x14ac:dyDescent="0.35">
      <c r="A5164" s="5">
        <v>5160</v>
      </c>
      <c r="B5164" s="5">
        <v>215</v>
      </c>
      <c r="C5164" s="5">
        <v>8</v>
      </c>
      <c r="D5164" s="25">
        <v>1.1415000000000001E-4</v>
      </c>
      <c r="E5164" s="25">
        <v>1.0979E-4</v>
      </c>
      <c r="F5164" s="25">
        <v>1.1611E-4</v>
      </c>
      <c r="G5164" s="25">
        <v>5.7349999999999998E-5</v>
      </c>
      <c r="H5164" s="25">
        <v>6.3310000000000002E-5</v>
      </c>
      <c r="I5164" s="9">
        <v>9.344E-5</v>
      </c>
      <c r="J5164" s="9">
        <v>9.6269999999999998E-5</v>
      </c>
      <c r="K5164" s="9">
        <v>4.0269999999999999E-5</v>
      </c>
      <c r="L5164" s="9">
        <v>7.9880000000000001E-5</v>
      </c>
      <c r="M5164" s="9">
        <v>8.5619999999999997E-5</v>
      </c>
      <c r="N5164" s="9">
        <v>9.0119999999999998E-5</v>
      </c>
      <c r="O5164" s="9">
        <v>6.224E-5</v>
      </c>
      <c r="P5164" s="9">
        <v>6.0229999999999998E-5</v>
      </c>
      <c r="Q5164" s="9">
        <v>5.8430000000000001E-5</v>
      </c>
      <c r="R5164" s="10">
        <v>2.7726260433474653E-5</v>
      </c>
      <c r="S5164" s="10">
        <v>1.1818366819281891E-4</v>
      </c>
      <c r="T5164" s="10">
        <v>0</v>
      </c>
      <c r="U5164" s="10">
        <v>7.5500000000000006E-5</v>
      </c>
      <c r="V5164" s="25"/>
      <c r="W5164" s="25"/>
      <c r="X5164" s="25"/>
      <c r="Y5164" s="25"/>
      <c r="Z5164" s="25"/>
      <c r="AA5164" s="25"/>
    </row>
    <row r="5165" spans="1:27" x14ac:dyDescent="0.35">
      <c r="A5165" s="5">
        <v>5161</v>
      </c>
      <c r="B5165" s="5">
        <v>216</v>
      </c>
      <c r="C5165" s="5">
        <v>8</v>
      </c>
      <c r="D5165" s="25">
        <v>1.1416E-4</v>
      </c>
      <c r="E5165" s="25">
        <v>1.1349E-4</v>
      </c>
      <c r="F5165" s="25">
        <v>1.3506999999999999E-4</v>
      </c>
      <c r="G5165" s="25">
        <v>5.537E-5</v>
      </c>
      <c r="H5165" s="25">
        <v>3.8600000000000003E-5</v>
      </c>
      <c r="I5165" s="9">
        <v>8.9649999999999997E-5</v>
      </c>
      <c r="J5165" s="9">
        <v>9.1719999999999996E-5</v>
      </c>
      <c r="K5165" s="9">
        <v>2.5429999999999999E-5</v>
      </c>
      <c r="L5165" s="9">
        <v>6.6130000000000006E-5</v>
      </c>
      <c r="M5165" s="9">
        <v>7.3499999999999998E-5</v>
      </c>
      <c r="N5165" s="9">
        <v>8.0699999999999996E-5</v>
      </c>
      <c r="O5165" s="9">
        <v>6.7780000000000005E-5</v>
      </c>
      <c r="P5165" s="9">
        <v>6.0350000000000003E-5</v>
      </c>
      <c r="Q5165" s="9">
        <v>5.3229999999999997E-5</v>
      </c>
      <c r="R5165" s="10">
        <v>2.810977692166638E-5</v>
      </c>
      <c r="S5165" s="10">
        <v>1.0548497838486738E-4</v>
      </c>
      <c r="T5165" s="10">
        <v>0</v>
      </c>
      <c r="U5165" s="10">
        <v>7.4460000000000002E-5</v>
      </c>
      <c r="V5165" s="25"/>
      <c r="W5165" s="25"/>
      <c r="X5165" s="25"/>
      <c r="Y5165" s="25"/>
      <c r="Z5165" s="25"/>
      <c r="AA5165" s="25"/>
    </row>
    <row r="5166" spans="1:27" x14ac:dyDescent="0.35">
      <c r="A5166" s="5">
        <v>5162</v>
      </c>
      <c r="B5166" s="5">
        <v>216</v>
      </c>
      <c r="C5166" s="5">
        <v>8</v>
      </c>
      <c r="D5166" s="25">
        <v>1.1415000000000001E-4</v>
      </c>
      <c r="E5166" s="25">
        <v>1.172E-4</v>
      </c>
      <c r="F5166" s="25">
        <v>1.2688E-4</v>
      </c>
      <c r="G5166" s="25">
        <v>5.9089999999999998E-5</v>
      </c>
      <c r="H5166" s="25">
        <v>4.0809999999999997E-5</v>
      </c>
      <c r="I5166" s="9">
        <v>8.6959999999999994E-5</v>
      </c>
      <c r="J5166" s="9">
        <v>8.967E-5</v>
      </c>
      <c r="K5166" s="9">
        <v>6.3600000000000001E-6</v>
      </c>
      <c r="L5166" s="9">
        <v>6.7799999999999995E-5</v>
      </c>
      <c r="M5166" s="9">
        <v>6.5889999999999994E-5</v>
      </c>
      <c r="N5166" s="9">
        <v>7.1639999999999998E-5</v>
      </c>
      <c r="O5166" s="9">
        <v>3.5660000000000001E-5</v>
      </c>
      <c r="P5166" s="9">
        <v>4.6180000000000002E-5</v>
      </c>
      <c r="Q5166" s="9">
        <v>5.66E-5</v>
      </c>
      <c r="R5166" s="10">
        <v>2.9225861087204374E-5</v>
      </c>
      <c r="S5166" s="10">
        <v>9.7482392065171438E-5</v>
      </c>
      <c r="T5166" s="10">
        <v>0</v>
      </c>
      <c r="U5166" s="10">
        <v>7.4460000000000002E-5</v>
      </c>
      <c r="V5166" s="25"/>
      <c r="W5166" s="25"/>
      <c r="X5166" s="25"/>
      <c r="Y5166" s="25"/>
      <c r="Z5166" s="25"/>
      <c r="AA5166" s="25"/>
    </row>
    <row r="5167" spans="1:27" x14ac:dyDescent="0.35">
      <c r="A5167" s="5">
        <v>5163</v>
      </c>
      <c r="B5167" s="5">
        <v>216</v>
      </c>
      <c r="C5167" s="5">
        <v>8</v>
      </c>
      <c r="D5167" s="25">
        <v>1.1416E-4</v>
      </c>
      <c r="E5167" s="25">
        <v>1.1260999999999999E-4</v>
      </c>
      <c r="F5167" s="25">
        <v>1.3626E-4</v>
      </c>
      <c r="G5167" s="25">
        <v>5.893E-5</v>
      </c>
      <c r="H5167" s="25">
        <v>4.083E-5</v>
      </c>
      <c r="I5167" s="9">
        <v>8.5519999999999994E-5</v>
      </c>
      <c r="J5167" s="9">
        <v>8.8729999999999999E-5</v>
      </c>
      <c r="K5167" s="9">
        <v>1.272E-5</v>
      </c>
      <c r="L5167" s="9">
        <v>4.2639999999999998E-5</v>
      </c>
      <c r="M5167" s="9">
        <v>5.7179999999999998E-5</v>
      </c>
      <c r="N5167" s="9">
        <v>6.5259999999999995E-5</v>
      </c>
      <c r="O5167" s="9">
        <v>2.2140000000000001E-5</v>
      </c>
      <c r="P5167" s="9">
        <v>4.176E-5</v>
      </c>
      <c r="Q5167" s="9">
        <v>6.1080000000000005E-5</v>
      </c>
      <c r="R5167" s="10">
        <v>2.8394908564444663E-5</v>
      </c>
      <c r="S5167" s="10">
        <v>8.4421216134130663E-5</v>
      </c>
      <c r="T5167" s="10">
        <v>0</v>
      </c>
      <c r="U5167" s="10">
        <v>7.4460000000000002E-5</v>
      </c>
      <c r="V5167" s="25"/>
      <c r="W5167" s="25"/>
      <c r="X5167" s="25"/>
      <c r="Y5167" s="25"/>
      <c r="Z5167" s="25"/>
      <c r="AA5167" s="25"/>
    </row>
    <row r="5168" spans="1:27" x14ac:dyDescent="0.35">
      <c r="A5168" s="5">
        <v>5164</v>
      </c>
      <c r="B5168" s="5">
        <v>216</v>
      </c>
      <c r="C5168" s="5">
        <v>8</v>
      </c>
      <c r="D5168" s="25">
        <v>1.1415000000000001E-4</v>
      </c>
      <c r="E5168" s="25">
        <v>1.1364E-4</v>
      </c>
      <c r="F5168" s="25">
        <v>1.2744000000000001E-4</v>
      </c>
      <c r="G5168" s="25">
        <v>5.7519999999999998E-5</v>
      </c>
      <c r="H5168" s="25">
        <v>3.947E-5</v>
      </c>
      <c r="I5168" s="9">
        <v>8.6050000000000005E-5</v>
      </c>
      <c r="J5168" s="9">
        <v>8.8910000000000001E-5</v>
      </c>
      <c r="K5168" s="9">
        <v>1.272E-5</v>
      </c>
      <c r="L5168" s="9">
        <v>2.7250000000000002E-5</v>
      </c>
      <c r="M5168" s="9">
        <v>4.9570000000000001E-5</v>
      </c>
      <c r="N5168" s="9">
        <v>6.1660000000000003E-5</v>
      </c>
      <c r="O5168" s="9">
        <v>2.198E-5</v>
      </c>
      <c r="P5168" s="9">
        <v>5.1759999999999999E-5</v>
      </c>
      <c r="Q5168" s="9">
        <v>8.1080000000000003E-5</v>
      </c>
      <c r="R5168" s="10">
        <v>2.2573417994049349E-5</v>
      </c>
      <c r="S5168" s="10">
        <v>7.3655198521945856E-5</v>
      </c>
      <c r="T5168" s="10">
        <v>0</v>
      </c>
      <c r="U5168" s="10">
        <v>7.4460000000000002E-5</v>
      </c>
      <c r="V5168" s="25"/>
      <c r="W5168" s="25"/>
      <c r="X5168" s="25"/>
      <c r="Y5168" s="25"/>
      <c r="Z5168" s="25"/>
      <c r="AA5168" s="25"/>
    </row>
    <row r="5169" spans="1:27" x14ac:dyDescent="0.35">
      <c r="A5169" s="5">
        <v>5165</v>
      </c>
      <c r="B5169" s="5">
        <v>216</v>
      </c>
      <c r="C5169" s="5">
        <v>8</v>
      </c>
      <c r="D5169" s="25">
        <v>1.1416E-4</v>
      </c>
      <c r="E5169" s="25">
        <v>1.1357999999999999E-4</v>
      </c>
      <c r="F5169" s="25">
        <v>1.2744000000000001E-4</v>
      </c>
      <c r="G5169" s="25">
        <v>6.0409999999999999E-5</v>
      </c>
      <c r="H5169" s="25">
        <v>3.9289999999999998E-5</v>
      </c>
      <c r="I5169" s="9">
        <v>8.9480000000000004E-5</v>
      </c>
      <c r="J5169" s="9">
        <v>9.111E-5</v>
      </c>
      <c r="K5169" s="9">
        <v>8.4800000000000001E-6</v>
      </c>
      <c r="L5169" s="9">
        <v>2.3609999999999999E-5</v>
      </c>
      <c r="M5169" s="9">
        <v>4.8539999999999999E-5</v>
      </c>
      <c r="N5169" s="9">
        <v>6.444E-5</v>
      </c>
      <c r="O5169" s="9">
        <v>2.3540000000000002E-5</v>
      </c>
      <c r="P5169" s="9">
        <v>5.8600000000000001E-5</v>
      </c>
      <c r="Q5169" s="9">
        <v>9.3129999999999998E-5</v>
      </c>
      <c r="R5169" s="10">
        <v>1.9855245664613237E-5</v>
      </c>
      <c r="S5169" s="10">
        <v>6.9874333624710204E-5</v>
      </c>
      <c r="T5169" s="10">
        <v>0</v>
      </c>
      <c r="U5169" s="10">
        <v>7.4460000000000002E-5</v>
      </c>
      <c r="V5169" s="25"/>
      <c r="W5169" s="25"/>
      <c r="X5169" s="25"/>
      <c r="Y5169" s="25"/>
      <c r="Z5169" s="25"/>
      <c r="AA5169" s="25"/>
    </row>
    <row r="5170" spans="1:27" x14ac:dyDescent="0.35">
      <c r="A5170" s="5">
        <v>5166</v>
      </c>
      <c r="B5170" s="5">
        <v>216</v>
      </c>
      <c r="C5170" s="5">
        <v>8</v>
      </c>
      <c r="D5170" s="25">
        <v>1.1415000000000001E-4</v>
      </c>
      <c r="E5170" s="25">
        <v>1.2182E-4</v>
      </c>
      <c r="F5170" s="25">
        <v>1.1865E-4</v>
      </c>
      <c r="G5170" s="25">
        <v>1.0832000000000001E-4</v>
      </c>
      <c r="H5170" s="25">
        <v>7.5400000000000003E-5</v>
      </c>
      <c r="I5170" s="9">
        <v>9.5459999999999997E-5</v>
      </c>
      <c r="J5170" s="9">
        <v>9.6949999999999998E-5</v>
      </c>
      <c r="K5170" s="9">
        <v>0</v>
      </c>
      <c r="L5170" s="9">
        <v>2.3479999999999999E-5</v>
      </c>
      <c r="M5170" s="9">
        <v>5.2219999999999998E-5</v>
      </c>
      <c r="N5170" s="9">
        <v>7.0939999999999995E-5</v>
      </c>
      <c r="O5170" s="9">
        <v>2.9969999999999999E-5</v>
      </c>
      <c r="P5170" s="9">
        <v>6.8830000000000003E-5</v>
      </c>
      <c r="Q5170" s="9">
        <v>1.0712E-4</v>
      </c>
      <c r="R5170" s="10">
        <v>2.4159128788864319E-5</v>
      </c>
      <c r="S5170" s="10">
        <v>7.0248435851394007E-5</v>
      </c>
      <c r="T5170" s="10">
        <v>3.5973429244604269E-6</v>
      </c>
      <c r="U5170" s="10">
        <v>7.4460000000000002E-5</v>
      </c>
      <c r="V5170" s="25"/>
      <c r="W5170" s="25"/>
      <c r="X5170" s="25"/>
      <c r="Y5170" s="25"/>
      <c r="Z5170" s="25"/>
      <c r="AA5170" s="25"/>
    </row>
    <row r="5171" spans="1:27" x14ac:dyDescent="0.35">
      <c r="A5171" s="5">
        <v>5167</v>
      </c>
      <c r="B5171" s="5">
        <v>216</v>
      </c>
      <c r="C5171" s="5">
        <v>8</v>
      </c>
      <c r="D5171" s="25">
        <v>1.1416E-4</v>
      </c>
      <c r="E5171" s="25">
        <v>1.1221E-4</v>
      </c>
      <c r="F5171" s="25">
        <v>1.3421E-4</v>
      </c>
      <c r="G5171" s="25">
        <v>1.0534E-4</v>
      </c>
      <c r="H5171" s="25">
        <v>7.8609999999999994E-5</v>
      </c>
      <c r="I5171" s="9">
        <v>1.027E-4</v>
      </c>
      <c r="J5171" s="9">
        <v>1.0814E-4</v>
      </c>
      <c r="K5171" s="9">
        <v>0</v>
      </c>
      <c r="L5171" s="9">
        <v>2.845E-5</v>
      </c>
      <c r="M5171" s="9">
        <v>5.9280000000000002E-5</v>
      </c>
      <c r="N5171" s="9">
        <v>8.0699999999999996E-5</v>
      </c>
      <c r="O5171" s="9">
        <v>4.6159999999999999E-5</v>
      </c>
      <c r="P5171" s="9">
        <v>7.928E-5</v>
      </c>
      <c r="Q5171" s="9">
        <v>1.1198E-4</v>
      </c>
      <c r="R5171" s="10">
        <v>2.6955312890063456E-5</v>
      </c>
      <c r="S5171" s="10">
        <v>6.8144100048838114E-5</v>
      </c>
      <c r="T5171" s="10">
        <v>7.8479768988818273E-6</v>
      </c>
      <c r="U5171" s="10">
        <v>7.4460000000000002E-5</v>
      </c>
      <c r="V5171" s="25"/>
      <c r="W5171" s="25"/>
      <c r="X5171" s="25"/>
      <c r="Y5171" s="25"/>
      <c r="Z5171" s="25"/>
      <c r="AA5171" s="25"/>
    </row>
    <row r="5172" spans="1:27" x14ac:dyDescent="0.35">
      <c r="A5172" s="5">
        <v>5168</v>
      </c>
      <c r="B5172" s="5">
        <v>216</v>
      </c>
      <c r="C5172" s="5">
        <v>8</v>
      </c>
      <c r="D5172" s="25">
        <v>1.1415000000000001E-4</v>
      </c>
      <c r="E5172" s="25">
        <v>1.1932E-4</v>
      </c>
      <c r="F5172" s="25">
        <v>1.2784999999999999E-4</v>
      </c>
      <c r="G5172" s="25">
        <v>1.6217E-4</v>
      </c>
      <c r="H5172" s="25">
        <v>1.1582999999999999E-4</v>
      </c>
      <c r="I5172" s="9">
        <v>1.0832000000000001E-4</v>
      </c>
      <c r="J5172" s="9">
        <v>1.1817E-4</v>
      </c>
      <c r="K5172" s="9">
        <v>0</v>
      </c>
      <c r="L5172" s="9">
        <v>4.2110000000000002E-5</v>
      </c>
      <c r="M5172" s="9">
        <v>6.8239999999999997E-5</v>
      </c>
      <c r="N5172" s="9">
        <v>9.0699999999999996E-5</v>
      </c>
      <c r="O5172" s="9">
        <v>6.7689999999999997E-5</v>
      </c>
      <c r="P5172" s="9">
        <v>1.0179E-4</v>
      </c>
      <c r="Q5172" s="9">
        <v>1.3553999999999999E-4</v>
      </c>
      <c r="R5172" s="10">
        <v>3.4940897176352363E-5</v>
      </c>
      <c r="S5172" s="10">
        <v>5.7851379155949075E-5</v>
      </c>
      <c r="T5172" s="10">
        <v>2.9084178172288546E-5</v>
      </c>
      <c r="U5172" s="10">
        <v>7.4460000000000002E-5</v>
      </c>
      <c r="V5172" s="25"/>
      <c r="W5172" s="25"/>
      <c r="X5172" s="25"/>
      <c r="Y5172" s="25"/>
      <c r="Z5172" s="25"/>
      <c r="AA5172" s="25"/>
    </row>
    <row r="5173" spans="1:27" x14ac:dyDescent="0.35">
      <c r="A5173" s="5">
        <v>5169</v>
      </c>
      <c r="B5173" s="5">
        <v>216</v>
      </c>
      <c r="C5173" s="5">
        <v>8</v>
      </c>
      <c r="D5173" s="25">
        <v>1.1416E-4</v>
      </c>
      <c r="E5173" s="25">
        <v>1.1709000000000001E-4</v>
      </c>
      <c r="F5173" s="25">
        <v>1.2634000000000001E-4</v>
      </c>
      <c r="G5173" s="25">
        <v>1.6144E-4</v>
      </c>
      <c r="H5173" s="25">
        <v>1.1699E-4</v>
      </c>
      <c r="I5173" s="9">
        <v>1.1268E-4</v>
      </c>
      <c r="J5173" s="9">
        <v>1.2395E-4</v>
      </c>
      <c r="K5173" s="9">
        <v>0</v>
      </c>
      <c r="L5173" s="9">
        <v>6.1690000000000001E-5</v>
      </c>
      <c r="M5173" s="9">
        <v>8.2540000000000006E-5</v>
      </c>
      <c r="N5173" s="9">
        <v>1.0420999999999999E-4</v>
      </c>
      <c r="O5173" s="9">
        <v>9.9720000000000001E-5</v>
      </c>
      <c r="P5173" s="9">
        <v>1.3847999999999999E-4</v>
      </c>
      <c r="Q5173" s="9">
        <v>1.7694E-4</v>
      </c>
      <c r="R5173" s="10">
        <v>4.5726844073621906E-5</v>
      </c>
      <c r="S5173" s="10">
        <v>5.0104649932673232E-5</v>
      </c>
      <c r="T5173" s="10">
        <v>6.0111260895759729E-5</v>
      </c>
      <c r="U5173" s="10">
        <v>7.4460000000000002E-5</v>
      </c>
      <c r="V5173" s="25"/>
      <c r="W5173" s="25"/>
      <c r="X5173" s="25"/>
      <c r="Y5173" s="25"/>
      <c r="Z5173" s="25"/>
      <c r="AA5173" s="25"/>
    </row>
    <row r="5174" spans="1:27" x14ac:dyDescent="0.35">
      <c r="A5174" s="5">
        <v>5170</v>
      </c>
      <c r="B5174" s="5">
        <v>216</v>
      </c>
      <c r="C5174" s="5">
        <v>8</v>
      </c>
      <c r="D5174" s="25">
        <v>1.1415000000000001E-4</v>
      </c>
      <c r="E5174" s="25">
        <v>1.1433E-4</v>
      </c>
      <c r="F5174" s="25">
        <v>1.1849999999999999E-4</v>
      </c>
      <c r="G5174" s="25">
        <v>1.6395E-4</v>
      </c>
      <c r="H5174" s="25">
        <v>1.1454E-4</v>
      </c>
      <c r="I5174" s="9">
        <v>1.1535E-4</v>
      </c>
      <c r="J5174" s="9">
        <v>1.27E-4</v>
      </c>
      <c r="K5174" s="9">
        <v>0</v>
      </c>
      <c r="L5174" s="9">
        <v>9.0849999999999999E-5</v>
      </c>
      <c r="M5174" s="9">
        <v>1.0629E-4</v>
      </c>
      <c r="N5174" s="9">
        <v>1.2423999999999999E-4</v>
      </c>
      <c r="O5174" s="9">
        <v>1.2812000000000001E-4</v>
      </c>
      <c r="P5174" s="9">
        <v>1.5499000000000001E-4</v>
      </c>
      <c r="Q5174" s="9">
        <v>1.8185E-4</v>
      </c>
      <c r="R5174" s="10">
        <v>5.5185767922977676E-5</v>
      </c>
      <c r="S5174" s="10">
        <v>4.3914099135939658E-5</v>
      </c>
      <c r="T5174" s="10">
        <v>5.5767299628486772E-5</v>
      </c>
      <c r="U5174" s="10">
        <v>7.4460000000000002E-5</v>
      </c>
      <c r="V5174" s="25"/>
      <c r="W5174" s="25"/>
      <c r="X5174" s="25"/>
      <c r="Y5174" s="25"/>
      <c r="Z5174" s="25"/>
      <c r="AA5174" s="25"/>
    </row>
    <row r="5175" spans="1:27" x14ac:dyDescent="0.35">
      <c r="A5175" s="5">
        <v>5171</v>
      </c>
      <c r="B5175" s="5">
        <v>216</v>
      </c>
      <c r="C5175" s="5">
        <v>8</v>
      </c>
      <c r="D5175" s="25">
        <v>1.1416E-4</v>
      </c>
      <c r="E5175" s="25">
        <v>1.1731999999999999E-4</v>
      </c>
      <c r="F5175" s="25">
        <v>1.3642999999999999E-4</v>
      </c>
      <c r="G5175" s="25">
        <v>1.6750000000000001E-4</v>
      </c>
      <c r="H5175" s="25">
        <v>1.1757E-4</v>
      </c>
      <c r="I5175" s="9">
        <v>1.1865E-4</v>
      </c>
      <c r="J5175" s="9">
        <v>1.2847999999999999E-4</v>
      </c>
      <c r="K5175" s="9">
        <v>0</v>
      </c>
      <c r="L5175" s="9">
        <v>1.192E-4</v>
      </c>
      <c r="M5175" s="9">
        <v>1.2983E-4</v>
      </c>
      <c r="N5175" s="9">
        <v>1.4232000000000001E-4</v>
      </c>
      <c r="O5175" s="9">
        <v>1.3705E-4</v>
      </c>
      <c r="P5175" s="9">
        <v>1.5856E-4</v>
      </c>
      <c r="Q5175" s="9">
        <v>1.8017E-4</v>
      </c>
      <c r="R5175" s="10">
        <v>6.2777165058845591E-5</v>
      </c>
      <c r="S5175" s="10">
        <v>3.8320207249665575E-5</v>
      </c>
      <c r="T5175" s="10">
        <v>7.8878531058274978E-5</v>
      </c>
      <c r="U5175" s="10">
        <v>7.4460000000000002E-5</v>
      </c>
      <c r="V5175" s="25"/>
      <c r="W5175" s="25"/>
      <c r="X5175" s="25"/>
      <c r="Y5175" s="25"/>
      <c r="Z5175" s="25"/>
      <c r="AA5175" s="25"/>
    </row>
    <row r="5176" spans="1:27" x14ac:dyDescent="0.35">
      <c r="A5176" s="5">
        <v>5172</v>
      </c>
      <c r="B5176" s="5">
        <v>216</v>
      </c>
      <c r="C5176" s="5">
        <v>8</v>
      </c>
      <c r="D5176" s="25">
        <v>1.1415000000000001E-4</v>
      </c>
      <c r="E5176" s="25">
        <v>1.1451999999999999E-4</v>
      </c>
      <c r="F5176" s="25">
        <v>1.3507999999999999E-4</v>
      </c>
      <c r="G5176" s="25">
        <v>1.5882E-4</v>
      </c>
      <c r="H5176" s="25">
        <v>1.1689E-4</v>
      </c>
      <c r="I5176" s="9">
        <v>1.1721E-4</v>
      </c>
      <c r="J5176" s="9">
        <v>1.2753999999999999E-4</v>
      </c>
      <c r="K5176" s="9">
        <v>0</v>
      </c>
      <c r="L5176" s="9">
        <v>1.3245999999999999E-4</v>
      </c>
      <c r="M5176" s="9">
        <v>1.4574999999999999E-4</v>
      </c>
      <c r="N5176" s="9">
        <v>1.5660000000000001E-4</v>
      </c>
      <c r="O5176" s="9">
        <v>1.3810999999999999E-4</v>
      </c>
      <c r="P5176" s="9">
        <v>1.5616999999999999E-4</v>
      </c>
      <c r="Q5176" s="9">
        <v>1.7440000000000001E-4</v>
      </c>
      <c r="R5176" s="10">
        <v>6.0516260722543145E-5</v>
      </c>
      <c r="S5176" s="10">
        <v>3.3709999931034748E-5</v>
      </c>
      <c r="T5176" s="10">
        <v>1.0498472015866349E-4</v>
      </c>
      <c r="U5176" s="10">
        <v>7.4460000000000002E-5</v>
      </c>
      <c r="V5176" s="25"/>
      <c r="W5176" s="25"/>
      <c r="X5176" s="25"/>
      <c r="Y5176" s="25"/>
      <c r="Z5176" s="25"/>
      <c r="AA5176" s="25"/>
    </row>
    <row r="5177" spans="1:27" x14ac:dyDescent="0.35">
      <c r="A5177" s="5">
        <v>5173</v>
      </c>
      <c r="B5177" s="5">
        <v>216</v>
      </c>
      <c r="C5177" s="5">
        <v>8</v>
      </c>
      <c r="D5177" s="25">
        <v>1.1416E-4</v>
      </c>
      <c r="E5177" s="25">
        <v>1.208E-4</v>
      </c>
      <c r="F5177" s="25">
        <v>1.2216000000000001E-4</v>
      </c>
      <c r="G5177" s="25">
        <v>1.6055999999999999E-4</v>
      </c>
      <c r="H5177" s="25">
        <v>1.1599000000000001E-4</v>
      </c>
      <c r="I5177" s="9">
        <v>1.1467E-4</v>
      </c>
      <c r="J5177" s="9">
        <v>1.2574E-4</v>
      </c>
      <c r="K5177" s="9">
        <v>0</v>
      </c>
      <c r="L5177" s="9">
        <v>1.3668999999999999E-4</v>
      </c>
      <c r="M5177" s="9">
        <v>1.5291999999999999E-4</v>
      </c>
      <c r="N5177" s="9">
        <v>1.6619000000000001E-4</v>
      </c>
      <c r="O5177" s="9">
        <v>1.2854000000000001E-4</v>
      </c>
      <c r="P5177" s="9">
        <v>1.4716999999999999E-4</v>
      </c>
      <c r="Q5177" s="9">
        <v>1.6592000000000001E-4</v>
      </c>
      <c r="R5177" s="10">
        <v>6.123779323941641E-5</v>
      </c>
      <c r="S5177" s="10">
        <v>3.5655825771774876E-5</v>
      </c>
      <c r="T5177" s="10">
        <v>1.1612460520540062E-4</v>
      </c>
      <c r="U5177" s="10">
        <v>7.4460000000000002E-5</v>
      </c>
      <c r="V5177" s="25"/>
      <c r="W5177" s="25"/>
      <c r="X5177" s="25"/>
      <c r="Y5177" s="25"/>
      <c r="Z5177" s="25"/>
      <c r="AA5177" s="25"/>
    </row>
    <row r="5178" spans="1:27" x14ac:dyDescent="0.35">
      <c r="A5178" s="5">
        <v>5174</v>
      </c>
      <c r="B5178" s="5">
        <v>216</v>
      </c>
      <c r="C5178" s="5">
        <v>8</v>
      </c>
      <c r="D5178" s="25">
        <v>1.1415000000000001E-4</v>
      </c>
      <c r="E5178" s="25">
        <v>1.1063E-4</v>
      </c>
      <c r="F5178" s="25">
        <v>1.1647E-4</v>
      </c>
      <c r="G5178" s="25">
        <v>1.5949000000000001E-4</v>
      </c>
      <c r="H5178" s="25">
        <v>1.1586000000000001E-4</v>
      </c>
      <c r="I5178" s="9">
        <v>1.1307999999999999E-4</v>
      </c>
      <c r="J5178" s="9">
        <v>1.2496E-4</v>
      </c>
      <c r="K5178" s="9">
        <v>0</v>
      </c>
      <c r="L5178" s="9">
        <v>1.3039E-4</v>
      </c>
      <c r="M5178" s="9">
        <v>1.5222E-4</v>
      </c>
      <c r="N5178" s="9">
        <v>1.7024999999999999E-4</v>
      </c>
      <c r="O5178" s="9">
        <v>1.1304E-4</v>
      </c>
      <c r="P5178" s="9">
        <v>1.3749000000000001E-4</v>
      </c>
      <c r="Q5178" s="9">
        <v>1.6191E-4</v>
      </c>
      <c r="R5178" s="10">
        <v>5.907725966569356E-5</v>
      </c>
      <c r="S5178" s="10">
        <v>4.191095882605223E-5</v>
      </c>
      <c r="T5178" s="10">
        <v>2.1022396929783129E-4</v>
      </c>
      <c r="U5178" s="10">
        <v>7.4460000000000002E-5</v>
      </c>
      <c r="V5178" s="25"/>
      <c r="W5178" s="25"/>
      <c r="X5178" s="25"/>
      <c r="Y5178" s="25"/>
      <c r="Z5178" s="25"/>
      <c r="AA5178" s="25"/>
    </row>
    <row r="5179" spans="1:27" x14ac:dyDescent="0.35">
      <c r="A5179" s="5">
        <v>5175</v>
      </c>
      <c r="B5179" s="5">
        <v>216</v>
      </c>
      <c r="C5179" s="5">
        <v>8</v>
      </c>
      <c r="D5179" s="25">
        <v>1.1416E-4</v>
      </c>
      <c r="E5179" s="25">
        <v>1.169E-4</v>
      </c>
      <c r="F5179" s="25">
        <v>1.2740000000000001E-4</v>
      </c>
      <c r="G5179" s="25">
        <v>1.6600999999999999E-4</v>
      </c>
      <c r="H5179" s="25">
        <v>1.1273999999999999E-4</v>
      </c>
      <c r="I5179" s="9">
        <v>1.126E-4</v>
      </c>
      <c r="J5179" s="9">
        <v>1.2374E-4</v>
      </c>
      <c r="K5179" s="9">
        <v>0</v>
      </c>
      <c r="L5179" s="9">
        <v>1.171E-4</v>
      </c>
      <c r="M5179" s="9">
        <v>1.4645000000000001E-4</v>
      </c>
      <c r="N5179" s="9">
        <v>1.7005000000000001E-4</v>
      </c>
      <c r="O5179" s="9">
        <v>1.2622999999999999E-4</v>
      </c>
      <c r="P5179" s="9">
        <v>1.3892E-4</v>
      </c>
      <c r="Q5179" s="9">
        <v>1.5181E-4</v>
      </c>
      <c r="R5179" s="10">
        <v>6.4717828090405774E-5</v>
      </c>
      <c r="S5179" s="10">
        <v>5.438542130951124E-5</v>
      </c>
      <c r="T5179" s="10">
        <v>5.8523000057413043E-4</v>
      </c>
      <c r="U5179" s="10">
        <v>7.4460000000000002E-5</v>
      </c>
      <c r="V5179" s="25"/>
      <c r="W5179" s="25"/>
      <c r="X5179" s="25"/>
      <c r="Y5179" s="25"/>
      <c r="Z5179" s="25"/>
      <c r="AA5179" s="25"/>
    </row>
    <row r="5180" spans="1:27" x14ac:dyDescent="0.35">
      <c r="A5180" s="5">
        <v>5176</v>
      </c>
      <c r="B5180" s="5">
        <v>216</v>
      </c>
      <c r="C5180" s="5">
        <v>8</v>
      </c>
      <c r="D5180" s="25">
        <v>1.1415000000000001E-4</v>
      </c>
      <c r="E5180" s="25">
        <v>1.1887000000000001E-4</v>
      </c>
      <c r="F5180" s="25">
        <v>1.2260999999999999E-4</v>
      </c>
      <c r="G5180" s="25">
        <v>1.6357000000000001E-4</v>
      </c>
      <c r="H5180" s="25">
        <v>1.18E-4</v>
      </c>
      <c r="I5180" s="9">
        <v>1.1137999999999999E-4</v>
      </c>
      <c r="J5180" s="9">
        <v>1.2338E-4</v>
      </c>
      <c r="K5180" s="9">
        <v>0</v>
      </c>
      <c r="L5180" s="9">
        <v>1.2460999999999999E-4</v>
      </c>
      <c r="M5180" s="9">
        <v>1.4213999999999999E-4</v>
      </c>
      <c r="N5180" s="9">
        <v>1.6602000000000001E-4</v>
      </c>
      <c r="O5180" s="9">
        <v>1.3354E-4</v>
      </c>
      <c r="P5180" s="9">
        <v>1.2126E-4</v>
      </c>
      <c r="Q5180" s="9">
        <v>1.0962E-4</v>
      </c>
      <c r="R5180" s="10">
        <v>7.0485889727858134E-5</v>
      </c>
      <c r="S5180" s="10">
        <v>7.151677055606863E-5</v>
      </c>
      <c r="T5180" s="10">
        <v>4.719900571477783E-4</v>
      </c>
      <c r="U5180" s="10">
        <v>7.4460000000000002E-5</v>
      </c>
      <c r="V5180" s="25"/>
      <c r="W5180" s="25"/>
      <c r="X5180" s="25"/>
      <c r="Y5180" s="25"/>
      <c r="Z5180" s="25"/>
      <c r="AA5180" s="25"/>
    </row>
    <row r="5181" spans="1:27" x14ac:dyDescent="0.35">
      <c r="A5181" s="5">
        <v>5177</v>
      </c>
      <c r="B5181" s="5">
        <v>216</v>
      </c>
      <c r="C5181" s="5">
        <v>8</v>
      </c>
      <c r="D5181" s="25">
        <v>1.1416E-4</v>
      </c>
      <c r="E5181" s="25">
        <v>1.1818E-4</v>
      </c>
      <c r="F5181" s="25">
        <v>1.3155999999999999E-4</v>
      </c>
      <c r="G5181" s="25">
        <v>1.5949000000000001E-4</v>
      </c>
      <c r="H5181" s="25">
        <v>1.1408000000000001E-4</v>
      </c>
      <c r="I5181" s="9">
        <v>1.1241E-4</v>
      </c>
      <c r="J5181" s="9">
        <v>1.2311000000000001E-4</v>
      </c>
      <c r="K5181" s="9">
        <v>0</v>
      </c>
      <c r="L5181" s="9">
        <v>1.3132000000000001E-4</v>
      </c>
      <c r="M5181" s="9">
        <v>1.3367000000000001E-4</v>
      </c>
      <c r="N5181" s="9">
        <v>1.5227E-4</v>
      </c>
      <c r="O5181" s="9">
        <v>1.4024999999999999E-4</v>
      </c>
      <c r="P5181" s="9">
        <v>1.2350999999999999E-4</v>
      </c>
      <c r="Q5181" s="9">
        <v>1.0749E-4</v>
      </c>
      <c r="R5181" s="10">
        <v>8.4373502383102363E-5</v>
      </c>
      <c r="S5181" s="10">
        <v>1.0389608019348907E-4</v>
      </c>
      <c r="T5181" s="10">
        <v>3.2135132218599798E-4</v>
      </c>
      <c r="U5181" s="10">
        <v>7.4460000000000002E-5</v>
      </c>
      <c r="V5181" s="25"/>
      <c r="W5181" s="25"/>
      <c r="X5181" s="25"/>
      <c r="Y5181" s="25"/>
      <c r="Z5181" s="25"/>
      <c r="AA5181" s="25"/>
    </row>
    <row r="5182" spans="1:27" x14ac:dyDescent="0.35">
      <c r="A5182" s="5">
        <v>5178</v>
      </c>
      <c r="B5182" s="5">
        <v>216</v>
      </c>
      <c r="C5182" s="5">
        <v>8</v>
      </c>
      <c r="D5182" s="25">
        <v>1.1415000000000001E-4</v>
      </c>
      <c r="E5182" s="25">
        <v>1.1247999999999999E-4</v>
      </c>
      <c r="F5182" s="25">
        <v>1.2716E-4</v>
      </c>
      <c r="G5182" s="25">
        <v>1.5870000000000001E-4</v>
      </c>
      <c r="H5182" s="25">
        <v>1.1478E-4</v>
      </c>
      <c r="I5182" s="9">
        <v>1.1103999999999999E-4</v>
      </c>
      <c r="J5182" s="9">
        <v>1.18E-4</v>
      </c>
      <c r="K5182" s="9">
        <v>0</v>
      </c>
      <c r="L5182" s="9">
        <v>1.3799999999999999E-4</v>
      </c>
      <c r="M5182" s="9">
        <v>1.2784999999999999E-4</v>
      </c>
      <c r="N5182" s="9">
        <v>1.3901000000000001E-4</v>
      </c>
      <c r="O5182" s="9">
        <v>1.4008E-4</v>
      </c>
      <c r="P5182" s="9">
        <v>1.2842999999999999E-4</v>
      </c>
      <c r="Q5182" s="9">
        <v>1.1741E-4</v>
      </c>
      <c r="R5182" s="10">
        <v>8.4281184684874356E-5</v>
      </c>
      <c r="S5182" s="10">
        <v>1.2353531604572155E-4</v>
      </c>
      <c r="T5182" s="10">
        <v>1.4598085461855212E-4</v>
      </c>
      <c r="U5182" s="10">
        <v>7.4460000000000002E-5</v>
      </c>
      <c r="V5182" s="25"/>
      <c r="W5182" s="25"/>
      <c r="X5182" s="25"/>
      <c r="Y5182" s="25"/>
      <c r="Z5182" s="25"/>
      <c r="AA5182" s="25"/>
    </row>
    <row r="5183" spans="1:27" x14ac:dyDescent="0.35">
      <c r="A5183" s="5">
        <v>5179</v>
      </c>
      <c r="B5183" s="5">
        <v>216</v>
      </c>
      <c r="C5183" s="5">
        <v>8</v>
      </c>
      <c r="D5183" s="25">
        <v>1.1416E-4</v>
      </c>
      <c r="E5183" s="25">
        <v>1.1201000000000001E-4</v>
      </c>
      <c r="F5183" s="25">
        <v>1.2689999999999999E-4</v>
      </c>
      <c r="G5183" s="25">
        <v>1.0972999999999999E-4</v>
      </c>
      <c r="H5183" s="25">
        <v>8.1299999999999997E-5</v>
      </c>
      <c r="I5183" s="9">
        <v>1.0797E-4</v>
      </c>
      <c r="J5183" s="9">
        <v>1.1438999999999999E-4</v>
      </c>
      <c r="K5183" s="9">
        <v>0</v>
      </c>
      <c r="L5183" s="9">
        <v>1.395E-4</v>
      </c>
      <c r="M5183" s="9">
        <v>1.2674E-4</v>
      </c>
      <c r="N5183" s="9">
        <v>1.2993999999999999E-4</v>
      </c>
      <c r="O5183" s="9">
        <v>1.3996000000000001E-4</v>
      </c>
      <c r="P5183" s="9">
        <v>1.2273000000000001E-4</v>
      </c>
      <c r="Q5183" s="9">
        <v>1.0623E-4</v>
      </c>
      <c r="R5183" s="10">
        <v>7.9600076166380803E-5</v>
      </c>
      <c r="S5183" s="10">
        <v>1.3220760538389201E-4</v>
      </c>
      <c r="T5183" s="10">
        <v>2.5062620280320994E-5</v>
      </c>
      <c r="U5183" s="10">
        <v>7.4460000000000002E-5</v>
      </c>
      <c r="V5183" s="25"/>
      <c r="W5183" s="25"/>
      <c r="X5183" s="25"/>
      <c r="Y5183" s="25"/>
      <c r="Z5183" s="25"/>
      <c r="AA5183" s="25"/>
    </row>
    <row r="5184" spans="1:27" x14ac:dyDescent="0.35">
      <c r="A5184" s="5">
        <v>5180</v>
      </c>
      <c r="B5184" s="5">
        <v>216</v>
      </c>
      <c r="C5184" s="5">
        <v>8</v>
      </c>
      <c r="D5184" s="25">
        <v>1.1415000000000001E-4</v>
      </c>
      <c r="E5184" s="25">
        <v>1.1862999999999999E-4</v>
      </c>
      <c r="F5184" s="25">
        <v>1.2638999999999999E-4</v>
      </c>
      <c r="G5184" s="25">
        <v>1.1370999999999999E-4</v>
      </c>
      <c r="H5184" s="25">
        <v>8.106E-5</v>
      </c>
      <c r="I5184" s="9">
        <v>1.0511E-4</v>
      </c>
      <c r="J5184" s="9">
        <v>1.1131E-4</v>
      </c>
      <c r="K5184" s="9">
        <v>1.696E-5</v>
      </c>
      <c r="L5184" s="9">
        <v>1.3986000000000001E-4</v>
      </c>
      <c r="M5184" s="9">
        <v>1.2527E-4</v>
      </c>
      <c r="N5184" s="9">
        <v>1.2064E-4</v>
      </c>
      <c r="O5184" s="9">
        <v>1.4431000000000001E-4</v>
      </c>
      <c r="P5184" s="9">
        <v>1.2297999999999999E-4</v>
      </c>
      <c r="Q5184" s="9">
        <v>1.0247E-4</v>
      </c>
      <c r="R5184" s="10">
        <v>7.6779065509881216E-5</v>
      </c>
      <c r="S5184" s="10">
        <v>1.5195261662090176E-4</v>
      </c>
      <c r="T5184" s="10">
        <v>0</v>
      </c>
      <c r="U5184" s="10">
        <v>7.4460000000000002E-5</v>
      </c>
      <c r="V5184" s="25"/>
      <c r="W5184" s="25"/>
      <c r="X5184" s="25"/>
      <c r="Y5184" s="25"/>
      <c r="Z5184" s="25"/>
      <c r="AA5184" s="25"/>
    </row>
    <row r="5185" spans="1:27" x14ac:dyDescent="0.35">
      <c r="A5185" s="5">
        <v>5181</v>
      </c>
      <c r="B5185" s="5">
        <v>216</v>
      </c>
      <c r="C5185" s="5">
        <v>8</v>
      </c>
      <c r="D5185" s="25">
        <v>1.1416E-4</v>
      </c>
      <c r="E5185" s="25">
        <v>1.1907E-4</v>
      </c>
      <c r="F5185" s="25">
        <v>1.3163000000000001E-4</v>
      </c>
      <c r="G5185" s="25">
        <v>5.4160000000000003E-5</v>
      </c>
      <c r="H5185" s="25">
        <v>4.3210000000000001E-5</v>
      </c>
      <c r="I5185" s="9">
        <v>1.038E-4</v>
      </c>
      <c r="J5185" s="9">
        <v>1.1001E-4</v>
      </c>
      <c r="K5185" s="9">
        <v>3.3909999999999999E-5</v>
      </c>
      <c r="L5185" s="9">
        <v>1.4336000000000001E-4</v>
      </c>
      <c r="M5185" s="9">
        <v>1.2407999999999999E-4</v>
      </c>
      <c r="N5185" s="9">
        <v>1.1314E-4</v>
      </c>
      <c r="O5185" s="9">
        <v>8.4129999999999996E-5</v>
      </c>
      <c r="P5185" s="9">
        <v>8.5900000000000001E-5</v>
      </c>
      <c r="Q5185" s="9">
        <v>8.789E-5</v>
      </c>
      <c r="R5185" s="10">
        <v>8.0287232358479339E-5</v>
      </c>
      <c r="S5185" s="10">
        <v>1.657279588158224E-4</v>
      </c>
      <c r="T5185" s="10">
        <v>0</v>
      </c>
      <c r="U5185" s="10">
        <v>7.4460000000000002E-5</v>
      </c>
      <c r="V5185" s="25"/>
      <c r="W5185" s="25"/>
      <c r="X5185" s="25"/>
      <c r="Y5185" s="25"/>
      <c r="Z5185" s="25"/>
      <c r="AA5185" s="25"/>
    </row>
    <row r="5186" spans="1:27" x14ac:dyDescent="0.35">
      <c r="A5186" s="5">
        <v>5182</v>
      </c>
      <c r="B5186" s="5">
        <v>216</v>
      </c>
      <c r="C5186" s="5">
        <v>8</v>
      </c>
      <c r="D5186" s="25">
        <v>1.1415000000000001E-4</v>
      </c>
      <c r="E5186" s="25">
        <v>1.1488E-4</v>
      </c>
      <c r="F5186" s="25">
        <v>1.2671000000000001E-4</v>
      </c>
      <c r="G5186" s="25">
        <v>5.6190000000000002E-5</v>
      </c>
      <c r="H5186" s="25">
        <v>3.8279999999999999E-5</v>
      </c>
      <c r="I5186" s="9">
        <v>1.0553E-4</v>
      </c>
      <c r="J5186" s="9">
        <v>1.0855E-4</v>
      </c>
      <c r="K5186" s="9">
        <v>5.5109999999999999E-5</v>
      </c>
      <c r="L5186" s="9">
        <v>9.7070000000000004E-5</v>
      </c>
      <c r="M5186" s="9">
        <v>1.1001999999999999E-4</v>
      </c>
      <c r="N5186" s="9">
        <v>1.0547E-4</v>
      </c>
      <c r="O5186" s="9">
        <v>8.708E-5</v>
      </c>
      <c r="P5186" s="9">
        <v>8.7470000000000001E-5</v>
      </c>
      <c r="Q5186" s="9">
        <v>8.8120000000000003E-5</v>
      </c>
      <c r="R5186" s="10">
        <v>8.4973155985337983E-5</v>
      </c>
      <c r="S5186" s="10">
        <v>1.7269009137991487E-4</v>
      </c>
      <c r="T5186" s="10">
        <v>0</v>
      </c>
      <c r="U5186" s="10">
        <v>7.4460000000000002E-5</v>
      </c>
      <c r="V5186" s="25"/>
      <c r="W5186" s="25"/>
      <c r="X5186" s="25"/>
      <c r="Y5186" s="25"/>
      <c r="Z5186" s="25"/>
      <c r="AA5186" s="25"/>
    </row>
    <row r="5187" spans="1:27" x14ac:dyDescent="0.35">
      <c r="A5187" s="5">
        <v>5183</v>
      </c>
      <c r="B5187" s="5">
        <v>216</v>
      </c>
      <c r="C5187" s="5">
        <v>8</v>
      </c>
      <c r="D5187" s="25">
        <v>1.1416E-4</v>
      </c>
      <c r="E5187" s="25">
        <v>1.1764000000000001E-4</v>
      </c>
      <c r="F5187" s="25">
        <v>1.1858000000000001E-4</v>
      </c>
      <c r="G5187" s="25">
        <v>5.5720000000000002E-5</v>
      </c>
      <c r="H5187" s="25">
        <v>3.8319999999999999E-5</v>
      </c>
      <c r="I5187" s="9">
        <v>1.0069999999999999E-4</v>
      </c>
      <c r="J5187" s="9">
        <v>1.0328E-4</v>
      </c>
      <c r="K5187" s="9">
        <v>6.1459999999999998E-5</v>
      </c>
      <c r="L5187" s="9">
        <v>9.056E-5</v>
      </c>
      <c r="M5187" s="9">
        <v>9.8109999999999994E-5</v>
      </c>
      <c r="N5187" s="9">
        <v>9.9649999999999996E-5</v>
      </c>
      <c r="O5187" s="9">
        <v>8.4699999999999999E-5</v>
      </c>
      <c r="P5187" s="9">
        <v>7.5669999999999999E-5</v>
      </c>
      <c r="Q5187" s="9">
        <v>6.703E-5</v>
      </c>
      <c r="R5187" s="10">
        <v>9.1064463939378987E-5</v>
      </c>
      <c r="S5187" s="10">
        <v>1.7192245977981359E-4</v>
      </c>
      <c r="T5187" s="10">
        <v>0</v>
      </c>
      <c r="U5187" s="10">
        <v>7.4460000000000002E-5</v>
      </c>
      <c r="V5187" s="25"/>
      <c r="W5187" s="25"/>
      <c r="X5187" s="25"/>
      <c r="Y5187" s="25"/>
      <c r="Z5187" s="25"/>
      <c r="AA5187" s="25"/>
    </row>
    <row r="5188" spans="1:27" x14ac:dyDescent="0.35">
      <c r="A5188" s="5">
        <v>5184</v>
      </c>
      <c r="B5188" s="5">
        <v>216</v>
      </c>
      <c r="C5188" s="5">
        <v>8</v>
      </c>
      <c r="D5188" s="25">
        <v>1.1415000000000001E-4</v>
      </c>
      <c r="E5188" s="25">
        <v>1.1058E-4</v>
      </c>
      <c r="F5188" s="25">
        <v>1.2064E-4</v>
      </c>
      <c r="G5188" s="25">
        <v>5.8449999999999998E-5</v>
      </c>
      <c r="H5188" s="25">
        <v>4.0819999999999999E-5</v>
      </c>
      <c r="I5188" s="9">
        <v>9.3659999999999994E-5</v>
      </c>
      <c r="J5188" s="9">
        <v>9.6329999999999994E-5</v>
      </c>
      <c r="K5188" s="9">
        <v>2.544E-5</v>
      </c>
      <c r="L5188" s="9">
        <v>8.6219999999999998E-5</v>
      </c>
      <c r="M5188" s="9">
        <v>8.7230000000000003E-5</v>
      </c>
      <c r="N5188" s="9">
        <v>9.0459999999999998E-5</v>
      </c>
      <c r="O5188" s="9">
        <v>7.852E-5</v>
      </c>
      <c r="P5188" s="9">
        <v>6.8289999999999998E-5</v>
      </c>
      <c r="Q5188" s="9">
        <v>5.8459999999999999E-5</v>
      </c>
      <c r="R5188" s="10">
        <v>1.2679121513806986E-4</v>
      </c>
      <c r="S5188" s="10">
        <v>1.7001486722949567E-4</v>
      </c>
      <c r="T5188" s="10">
        <v>0</v>
      </c>
      <c r="U5188" s="10">
        <v>7.4460000000000002E-5</v>
      </c>
      <c r="V5188" s="25"/>
      <c r="W5188" s="25"/>
      <c r="X5188" s="25"/>
      <c r="Y5188" s="25"/>
      <c r="Z5188" s="25"/>
      <c r="AA5188" s="25"/>
    </row>
    <row r="5189" spans="1:27" x14ac:dyDescent="0.35">
      <c r="A5189" s="5">
        <v>5185</v>
      </c>
      <c r="B5189" s="5">
        <v>217</v>
      </c>
      <c r="C5189" s="5">
        <v>8</v>
      </c>
      <c r="D5189" s="25">
        <v>1.1416E-4</v>
      </c>
      <c r="E5189" s="25">
        <v>1.1475E-4</v>
      </c>
      <c r="F5189" s="25">
        <v>1.0153E-4</v>
      </c>
      <c r="G5189" s="25">
        <v>5.7720000000000003E-5</v>
      </c>
      <c r="H5189" s="25">
        <v>1.509E-5</v>
      </c>
      <c r="I5189" s="9">
        <v>8.9289999999999994E-5</v>
      </c>
      <c r="J5189" s="9">
        <v>9.1139999999999998E-5</v>
      </c>
      <c r="K5189" s="9">
        <v>1.06E-5</v>
      </c>
      <c r="L5189" s="9">
        <v>7.9980000000000003E-5</v>
      </c>
      <c r="M5189" s="9">
        <v>7.7970000000000001E-5</v>
      </c>
      <c r="N5189" s="9">
        <v>8.1009999999999999E-5</v>
      </c>
      <c r="O5189" s="9">
        <v>6.7899999999999997E-5</v>
      </c>
      <c r="P5189" s="9">
        <v>6.0449999999999999E-5</v>
      </c>
      <c r="Q5189" s="9">
        <v>5.3310000000000003E-5</v>
      </c>
      <c r="R5189" s="10">
        <v>1.3168840056851933E-4</v>
      </c>
      <c r="S5189" s="10">
        <v>1.5810179151548145E-4</v>
      </c>
      <c r="T5189" s="10">
        <v>0</v>
      </c>
      <c r="U5189" s="10">
        <v>7.4019999999999999E-5</v>
      </c>
      <c r="V5189" s="25"/>
      <c r="W5189" s="25"/>
      <c r="X5189" s="25"/>
      <c r="Y5189" s="25"/>
      <c r="Z5189" s="25"/>
      <c r="AA5189" s="25"/>
    </row>
    <row r="5190" spans="1:27" x14ac:dyDescent="0.35">
      <c r="A5190" s="5">
        <v>5186</v>
      </c>
      <c r="B5190" s="5">
        <v>217</v>
      </c>
      <c r="C5190" s="5">
        <v>8</v>
      </c>
      <c r="D5190" s="25">
        <v>1.1415000000000001E-4</v>
      </c>
      <c r="E5190" s="25">
        <v>1.1399E-4</v>
      </c>
      <c r="F5190" s="25">
        <v>1.1149E-4</v>
      </c>
      <c r="G5190" s="25">
        <v>6.1940000000000007E-5</v>
      </c>
      <c r="H5190" s="25">
        <v>1.3519999999999999E-5</v>
      </c>
      <c r="I5190" s="9">
        <v>8.6329999999999995E-5</v>
      </c>
      <c r="J5190" s="9">
        <v>8.8770000000000006E-5</v>
      </c>
      <c r="K5190" s="9">
        <v>0</v>
      </c>
      <c r="L5190" s="9">
        <v>7.0710000000000006E-5</v>
      </c>
      <c r="M5190" s="9">
        <v>6.9480000000000006E-5</v>
      </c>
      <c r="N5190" s="9">
        <v>7.1899999999999999E-5</v>
      </c>
      <c r="O5190" s="9">
        <v>3.5729999999999998E-5</v>
      </c>
      <c r="P5190" s="9">
        <v>4.6270000000000003E-5</v>
      </c>
      <c r="Q5190" s="9">
        <v>5.6709999999999997E-5</v>
      </c>
      <c r="R5190" s="10">
        <v>1.1392650709534982E-4</v>
      </c>
      <c r="S5190" s="10">
        <v>1.2780581321265944E-4</v>
      </c>
      <c r="T5190" s="10">
        <v>0</v>
      </c>
      <c r="U5190" s="10">
        <v>7.4019999999999999E-5</v>
      </c>
      <c r="V5190" s="25"/>
      <c r="W5190" s="25"/>
      <c r="X5190" s="25"/>
      <c r="Y5190" s="25"/>
      <c r="Z5190" s="25"/>
      <c r="AA5190" s="25"/>
    </row>
    <row r="5191" spans="1:27" x14ac:dyDescent="0.35">
      <c r="A5191" s="5">
        <v>5187</v>
      </c>
      <c r="B5191" s="5">
        <v>217</v>
      </c>
      <c r="C5191" s="5">
        <v>8</v>
      </c>
      <c r="D5191" s="25">
        <v>1.1416E-4</v>
      </c>
      <c r="E5191" s="25">
        <v>1.1429000000000001E-4</v>
      </c>
      <c r="F5191" s="25">
        <v>1.1088E-4</v>
      </c>
      <c r="G5191" s="25">
        <v>5.49E-5</v>
      </c>
      <c r="H5191" s="25">
        <v>1.4769999999999999E-5</v>
      </c>
      <c r="I5191" s="9">
        <v>8.5370000000000004E-5</v>
      </c>
      <c r="J5191" s="9">
        <v>8.8289999999999997E-5</v>
      </c>
      <c r="K5191" s="9">
        <v>2.3309999999999999E-5</v>
      </c>
      <c r="L5191" s="9">
        <v>4.3680000000000002E-5</v>
      </c>
      <c r="M5191" s="9">
        <v>5.9120000000000003E-5</v>
      </c>
      <c r="N5191" s="9">
        <v>6.5489999999999998E-5</v>
      </c>
      <c r="O5191" s="9">
        <v>2.2359999999999999E-5</v>
      </c>
      <c r="P5191" s="9">
        <v>4.2169999999999998E-5</v>
      </c>
      <c r="Q5191" s="9">
        <v>6.1680000000000006E-5</v>
      </c>
      <c r="R5191" s="10">
        <v>1.1475889979388815E-4</v>
      </c>
      <c r="S5191" s="10">
        <v>1.0334599381624582E-4</v>
      </c>
      <c r="T5191" s="10">
        <v>0</v>
      </c>
      <c r="U5191" s="10">
        <v>7.4019999999999999E-5</v>
      </c>
      <c r="V5191" s="25"/>
      <c r="W5191" s="25"/>
      <c r="X5191" s="25"/>
      <c r="Y5191" s="25"/>
      <c r="Z5191" s="25"/>
      <c r="AA5191" s="25"/>
    </row>
    <row r="5192" spans="1:27" x14ac:dyDescent="0.35">
      <c r="A5192" s="5">
        <v>5188</v>
      </c>
      <c r="B5192" s="5">
        <v>217</v>
      </c>
      <c r="C5192" s="5">
        <v>8</v>
      </c>
      <c r="D5192" s="25">
        <v>1.1415000000000001E-4</v>
      </c>
      <c r="E5192" s="25">
        <v>1.0868E-4</v>
      </c>
      <c r="F5192" s="25">
        <v>1.0787E-4</v>
      </c>
      <c r="G5192" s="25">
        <v>5.321E-5</v>
      </c>
      <c r="H5192" s="25">
        <v>1.446E-5</v>
      </c>
      <c r="I5192" s="9">
        <v>8.5630000000000005E-5</v>
      </c>
      <c r="J5192" s="9">
        <v>8.8250000000000004E-5</v>
      </c>
      <c r="K5192" s="9">
        <v>2.756E-5</v>
      </c>
      <c r="L5192" s="9">
        <v>2.777E-5</v>
      </c>
      <c r="M5192" s="9">
        <v>5.0540000000000001E-5</v>
      </c>
      <c r="N5192" s="9">
        <v>6.1950000000000001E-5</v>
      </c>
      <c r="O5192" s="9">
        <v>2.1679999999999999E-5</v>
      </c>
      <c r="P5192" s="9">
        <v>5.1050000000000001E-5</v>
      </c>
      <c r="Q5192" s="9">
        <v>7.9969999999999995E-5</v>
      </c>
      <c r="R5192" s="10">
        <v>9.6642478806520678E-5</v>
      </c>
      <c r="S5192" s="10">
        <v>8.9381698408676395E-5</v>
      </c>
      <c r="T5192" s="10">
        <v>0</v>
      </c>
      <c r="U5192" s="10">
        <v>7.4019999999999999E-5</v>
      </c>
      <c r="V5192" s="25"/>
      <c r="W5192" s="25"/>
      <c r="X5192" s="25"/>
      <c r="Y5192" s="25"/>
      <c r="Z5192" s="25"/>
      <c r="AA5192" s="25"/>
    </row>
    <row r="5193" spans="1:27" x14ac:dyDescent="0.35">
      <c r="A5193" s="5">
        <v>5189</v>
      </c>
      <c r="B5193" s="5">
        <v>217</v>
      </c>
      <c r="C5193" s="5">
        <v>8</v>
      </c>
      <c r="D5193" s="25">
        <v>1.1416E-4</v>
      </c>
      <c r="E5193" s="25">
        <v>1.1632E-4</v>
      </c>
      <c r="F5193" s="25">
        <v>1.0936E-4</v>
      </c>
      <c r="G5193" s="25">
        <v>6.1539999999999997E-5</v>
      </c>
      <c r="H5193" s="25">
        <v>1.5670000000000001E-5</v>
      </c>
      <c r="I5193" s="9">
        <v>8.8460000000000003E-5</v>
      </c>
      <c r="J5193" s="9">
        <v>9.0489999999999996E-5</v>
      </c>
      <c r="K5193" s="9">
        <v>2.3309999999999999E-5</v>
      </c>
      <c r="L5193" s="9">
        <v>2.3410000000000001E-5</v>
      </c>
      <c r="M5193" s="9">
        <v>4.8730000000000003E-5</v>
      </c>
      <c r="N5193" s="9">
        <v>6.4410000000000002E-5</v>
      </c>
      <c r="O5193" s="9">
        <v>2.3609999999999999E-5</v>
      </c>
      <c r="P5193" s="9">
        <v>5.8770000000000001E-5</v>
      </c>
      <c r="Q5193" s="9">
        <v>9.3399999999999993E-5</v>
      </c>
      <c r="R5193" s="10">
        <v>7.8600238166640746E-5</v>
      </c>
      <c r="S5193" s="10">
        <v>7.1982799195029697E-5</v>
      </c>
      <c r="T5193" s="10">
        <v>0</v>
      </c>
      <c r="U5193" s="10">
        <v>7.4019999999999999E-5</v>
      </c>
      <c r="V5193" s="25"/>
      <c r="W5193" s="25"/>
      <c r="X5193" s="25"/>
      <c r="Y5193" s="25"/>
      <c r="Z5193" s="25"/>
      <c r="AA5193" s="25"/>
    </row>
    <row r="5194" spans="1:27" x14ac:dyDescent="0.35">
      <c r="A5194" s="5">
        <v>5190</v>
      </c>
      <c r="B5194" s="5">
        <v>217</v>
      </c>
      <c r="C5194" s="5">
        <v>8</v>
      </c>
      <c r="D5194" s="25">
        <v>1.1415000000000001E-4</v>
      </c>
      <c r="E5194" s="25">
        <v>1.1321E-4</v>
      </c>
      <c r="F5194" s="25">
        <v>9.3399999999999993E-5</v>
      </c>
      <c r="G5194" s="25">
        <v>1.1421000000000001E-4</v>
      </c>
      <c r="H5194" s="25">
        <v>2.726E-5</v>
      </c>
      <c r="I5194" s="9">
        <v>9.3280000000000001E-5</v>
      </c>
      <c r="J5194" s="9">
        <v>9.5320000000000002E-5</v>
      </c>
      <c r="K5194" s="9">
        <v>4.25E-6</v>
      </c>
      <c r="L5194" s="9">
        <v>2.3499999999999999E-5</v>
      </c>
      <c r="M5194" s="9">
        <v>5.2210000000000003E-5</v>
      </c>
      <c r="N5194" s="9">
        <v>7.093E-5</v>
      </c>
      <c r="O5194" s="9">
        <v>2.987E-5</v>
      </c>
      <c r="P5194" s="9">
        <v>6.86E-5</v>
      </c>
      <c r="Q5194" s="9">
        <v>1.0676E-4</v>
      </c>
      <c r="R5194" s="10">
        <v>8.1756294421328593E-5</v>
      </c>
      <c r="S5194" s="10">
        <v>6.919609470750019E-5</v>
      </c>
      <c r="T5194" s="10">
        <v>0</v>
      </c>
      <c r="U5194" s="10">
        <v>7.4019999999999999E-5</v>
      </c>
      <c r="V5194" s="25"/>
      <c r="W5194" s="25"/>
      <c r="X5194" s="25"/>
      <c r="Y5194" s="25"/>
      <c r="Z5194" s="25"/>
      <c r="AA5194" s="25"/>
    </row>
    <row r="5195" spans="1:27" x14ac:dyDescent="0.35">
      <c r="A5195" s="5">
        <v>5191</v>
      </c>
      <c r="B5195" s="5">
        <v>217</v>
      </c>
      <c r="C5195" s="5">
        <v>8</v>
      </c>
      <c r="D5195" s="25">
        <v>1.1416E-4</v>
      </c>
      <c r="E5195" s="25">
        <v>1.1442000000000001E-4</v>
      </c>
      <c r="F5195" s="25">
        <v>1.0236E-4</v>
      </c>
      <c r="G5195" s="25">
        <v>1.0721E-4</v>
      </c>
      <c r="H5195" s="25">
        <v>2.8379999999999999E-5</v>
      </c>
      <c r="I5195" s="9">
        <v>9.9539999999999999E-5</v>
      </c>
      <c r="J5195" s="9">
        <v>1.0529E-4</v>
      </c>
      <c r="K5195" s="9">
        <v>0</v>
      </c>
      <c r="L5195" s="9">
        <v>2.8370000000000001E-5</v>
      </c>
      <c r="M5195" s="9">
        <v>5.9160000000000003E-5</v>
      </c>
      <c r="N5195" s="9">
        <v>8.0589999999999999E-5</v>
      </c>
      <c r="O5195" s="9">
        <v>4.6190000000000003E-5</v>
      </c>
      <c r="P5195" s="9">
        <v>7.9330000000000001E-5</v>
      </c>
      <c r="Q5195" s="9">
        <v>1.1205999999999999E-4</v>
      </c>
      <c r="R5195" s="10">
        <v>8.3921565057182615E-5</v>
      </c>
      <c r="S5195" s="10">
        <v>5.3250820263109782E-5</v>
      </c>
      <c r="T5195" s="10">
        <v>1.1861050491499239E-4</v>
      </c>
      <c r="U5195" s="10">
        <v>7.4019999999999999E-5</v>
      </c>
      <c r="V5195" s="25"/>
      <c r="W5195" s="25"/>
      <c r="X5195" s="25"/>
      <c r="Y5195" s="25"/>
      <c r="Z5195" s="25"/>
      <c r="AA5195" s="25"/>
    </row>
    <row r="5196" spans="1:27" x14ac:dyDescent="0.35">
      <c r="A5196" s="5">
        <v>5192</v>
      </c>
      <c r="B5196" s="5">
        <v>217</v>
      </c>
      <c r="C5196" s="5">
        <v>8</v>
      </c>
      <c r="D5196" s="25">
        <v>1.1415000000000001E-4</v>
      </c>
      <c r="E5196" s="25">
        <v>1.1095E-4</v>
      </c>
      <c r="F5196" s="25">
        <v>1.0334E-4</v>
      </c>
      <c r="G5196" s="25">
        <v>1.5894999999999999E-4</v>
      </c>
      <c r="H5196" s="25">
        <v>4.1860000000000002E-5</v>
      </c>
      <c r="I5196" s="9">
        <v>1.0302999999999999E-4</v>
      </c>
      <c r="J5196" s="9">
        <v>1.1429000000000001E-4</v>
      </c>
      <c r="K5196" s="9">
        <v>0</v>
      </c>
      <c r="L5196" s="9">
        <v>4.2120000000000003E-5</v>
      </c>
      <c r="M5196" s="9">
        <v>6.8180000000000001E-5</v>
      </c>
      <c r="N5196" s="9">
        <v>9.0600000000000007E-5</v>
      </c>
      <c r="O5196" s="9">
        <v>6.7710000000000001E-5</v>
      </c>
      <c r="P5196" s="9">
        <v>1.0181E-4</v>
      </c>
      <c r="Q5196" s="9">
        <v>1.3557E-4</v>
      </c>
      <c r="R5196" s="10">
        <v>7.2492401828731811E-5</v>
      </c>
      <c r="S5196" s="10">
        <v>5.071544393736255E-5</v>
      </c>
      <c r="T5196" s="10">
        <v>3.0318643727734286E-4</v>
      </c>
      <c r="U5196" s="10">
        <v>7.4019999999999999E-5</v>
      </c>
      <c r="V5196" s="25"/>
      <c r="W5196" s="25"/>
      <c r="X5196" s="25"/>
      <c r="Y5196" s="25"/>
      <c r="Z5196" s="25"/>
      <c r="AA5196" s="25"/>
    </row>
    <row r="5197" spans="1:27" x14ac:dyDescent="0.35">
      <c r="A5197" s="5">
        <v>5193</v>
      </c>
      <c r="B5197" s="5">
        <v>217</v>
      </c>
      <c r="C5197" s="5">
        <v>8</v>
      </c>
      <c r="D5197" s="25">
        <v>1.1416E-4</v>
      </c>
      <c r="E5197" s="25">
        <v>1.1115E-4</v>
      </c>
      <c r="F5197" s="25">
        <v>9.4619999999999999E-5</v>
      </c>
      <c r="G5197" s="25">
        <v>1.6401E-4</v>
      </c>
      <c r="H5197" s="25">
        <v>4.303E-5</v>
      </c>
      <c r="I5197" s="9">
        <v>1.0556E-4</v>
      </c>
      <c r="J5197" s="9">
        <v>1.1941E-4</v>
      </c>
      <c r="K5197" s="9">
        <v>0</v>
      </c>
      <c r="L5197" s="9">
        <v>6.1699999999999995E-5</v>
      </c>
      <c r="M5197" s="9">
        <v>8.2520000000000003E-5</v>
      </c>
      <c r="N5197" s="9">
        <v>1.0412E-4</v>
      </c>
      <c r="O5197" s="9">
        <v>9.9220000000000002E-5</v>
      </c>
      <c r="P5197" s="9">
        <v>1.3778999999999999E-4</v>
      </c>
      <c r="Q5197" s="9">
        <v>1.7605E-4</v>
      </c>
      <c r="R5197" s="10">
        <v>3.9432851754615777E-5</v>
      </c>
      <c r="S5197" s="10">
        <v>5.4390743282552842E-5</v>
      </c>
      <c r="T5197" s="10">
        <v>4.6661949565913818E-4</v>
      </c>
      <c r="U5197" s="10">
        <v>7.4019999999999999E-5</v>
      </c>
      <c r="V5197" s="25"/>
      <c r="W5197" s="25"/>
      <c r="X5197" s="25"/>
      <c r="Y5197" s="25"/>
      <c r="Z5197" s="25"/>
      <c r="AA5197" s="25"/>
    </row>
    <row r="5198" spans="1:27" x14ac:dyDescent="0.35">
      <c r="A5198" s="5">
        <v>5194</v>
      </c>
      <c r="B5198" s="5">
        <v>217</v>
      </c>
      <c r="C5198" s="5">
        <v>8</v>
      </c>
      <c r="D5198" s="25">
        <v>1.1415000000000001E-4</v>
      </c>
      <c r="E5198" s="25">
        <v>1.0768999999999999E-4</v>
      </c>
      <c r="F5198" s="25">
        <v>9.221E-5</v>
      </c>
      <c r="G5198" s="25">
        <v>1.5843000000000001E-4</v>
      </c>
      <c r="H5198" s="25">
        <v>4.1109999999999998E-5</v>
      </c>
      <c r="I5198" s="9">
        <v>1.0686E-4</v>
      </c>
      <c r="J5198" s="9">
        <v>1.2155999999999999E-4</v>
      </c>
      <c r="K5198" s="9">
        <v>0</v>
      </c>
      <c r="L5198" s="9">
        <v>9.0459999999999998E-5</v>
      </c>
      <c r="M5198" s="9">
        <v>1.0603999999999999E-4</v>
      </c>
      <c r="N5198" s="9">
        <v>1.2400000000000001E-4</v>
      </c>
      <c r="O5198" s="9">
        <v>1.2794999999999999E-4</v>
      </c>
      <c r="P5198" s="9">
        <v>1.5478000000000001E-4</v>
      </c>
      <c r="Q5198" s="9">
        <v>1.8160999999999999E-4</v>
      </c>
      <c r="R5198" s="10">
        <v>2.8342065021834214E-5</v>
      </c>
      <c r="S5198" s="10">
        <v>6.5025464217994782E-5</v>
      </c>
      <c r="T5198" s="10">
        <v>4.500496590283099E-4</v>
      </c>
      <c r="U5198" s="10">
        <v>7.4019999999999999E-5</v>
      </c>
      <c r="V5198" s="25"/>
      <c r="W5198" s="25"/>
      <c r="X5198" s="25"/>
      <c r="Y5198" s="25"/>
      <c r="Z5198" s="25"/>
      <c r="AA5198" s="25"/>
    </row>
    <row r="5199" spans="1:27" x14ac:dyDescent="0.35">
      <c r="A5199" s="5">
        <v>5195</v>
      </c>
      <c r="B5199" s="5">
        <v>217</v>
      </c>
      <c r="C5199" s="5">
        <v>8</v>
      </c>
      <c r="D5199" s="25">
        <v>1.1416E-4</v>
      </c>
      <c r="E5199" s="25">
        <v>1.0864E-4</v>
      </c>
      <c r="F5199" s="25">
        <v>9.2059999999999996E-5</v>
      </c>
      <c r="G5199" s="25">
        <v>1.5881000000000001E-4</v>
      </c>
      <c r="H5199" s="25">
        <v>4.2939999999999999E-5</v>
      </c>
      <c r="I5199" s="9">
        <v>1.0937E-4</v>
      </c>
      <c r="J5199" s="9">
        <v>1.227E-4</v>
      </c>
      <c r="K5199" s="9">
        <v>0</v>
      </c>
      <c r="L5199" s="9">
        <v>1.1899E-4</v>
      </c>
      <c r="M5199" s="9">
        <v>1.2952999999999999E-4</v>
      </c>
      <c r="N5199" s="9">
        <v>1.4203999999999999E-4</v>
      </c>
      <c r="O5199" s="9">
        <v>1.3647E-4</v>
      </c>
      <c r="P5199" s="9">
        <v>1.5788E-4</v>
      </c>
      <c r="Q5199" s="9">
        <v>1.794E-4</v>
      </c>
      <c r="R5199" s="10">
        <v>2.5441311999429245E-5</v>
      </c>
      <c r="S5199" s="10">
        <v>7.0686440001251153E-5</v>
      </c>
      <c r="T5199" s="10">
        <v>6.4428920835047255E-4</v>
      </c>
      <c r="U5199" s="10">
        <v>7.4019999999999999E-5</v>
      </c>
      <c r="V5199" s="25"/>
      <c r="W5199" s="25"/>
      <c r="X5199" s="25"/>
      <c r="Y5199" s="25"/>
      <c r="Z5199" s="25"/>
      <c r="AA5199" s="25"/>
    </row>
    <row r="5200" spans="1:27" x14ac:dyDescent="0.35">
      <c r="A5200" s="5">
        <v>5196</v>
      </c>
      <c r="B5200" s="5">
        <v>217</v>
      </c>
      <c r="C5200" s="5">
        <v>8</v>
      </c>
      <c r="D5200" s="25">
        <v>1.1415000000000001E-4</v>
      </c>
      <c r="E5200" s="25">
        <v>1.0757E-4</v>
      </c>
      <c r="F5200" s="25">
        <v>1.1207E-4</v>
      </c>
      <c r="G5200" s="25">
        <v>1.5631E-4</v>
      </c>
      <c r="H5200" s="25">
        <v>4.2400000000000001E-5</v>
      </c>
      <c r="I5200" s="9">
        <v>1.0704000000000001E-4</v>
      </c>
      <c r="J5200" s="9">
        <v>1.215E-4</v>
      </c>
      <c r="K5200" s="9">
        <v>0</v>
      </c>
      <c r="L5200" s="9">
        <v>1.3195000000000001E-4</v>
      </c>
      <c r="M5200" s="9">
        <v>1.4531E-4</v>
      </c>
      <c r="N5200" s="9">
        <v>1.562E-4</v>
      </c>
      <c r="O5200" s="9">
        <v>1.3668E-4</v>
      </c>
      <c r="P5200" s="9">
        <v>1.5454999999999999E-4</v>
      </c>
      <c r="Q5200" s="9">
        <v>1.7259E-4</v>
      </c>
      <c r="R5200" s="10">
        <v>2.1836899873334952E-5</v>
      </c>
      <c r="S5200" s="10">
        <v>5.8200301945528149E-5</v>
      </c>
      <c r="T5200" s="10">
        <v>7.1817897139086378E-4</v>
      </c>
      <c r="U5200" s="10">
        <v>7.4019999999999999E-5</v>
      </c>
      <c r="V5200" s="25"/>
      <c r="W5200" s="25"/>
      <c r="X5200" s="25"/>
      <c r="Y5200" s="25"/>
      <c r="Z5200" s="25"/>
      <c r="AA5200" s="25"/>
    </row>
    <row r="5201" spans="1:27" x14ac:dyDescent="0.35">
      <c r="A5201" s="5">
        <v>5197</v>
      </c>
      <c r="B5201" s="5">
        <v>217</v>
      </c>
      <c r="C5201" s="5">
        <v>8</v>
      </c>
      <c r="D5201" s="25">
        <v>1.1416E-4</v>
      </c>
      <c r="E5201" s="25">
        <v>1.1086000000000001E-4</v>
      </c>
      <c r="F5201" s="25">
        <v>1.0325E-4</v>
      </c>
      <c r="G5201" s="25">
        <v>1.6470999999999999E-4</v>
      </c>
      <c r="H5201" s="25">
        <v>4.3130000000000002E-5</v>
      </c>
      <c r="I5201" s="9">
        <v>1.0467999999999999E-4</v>
      </c>
      <c r="J5201" s="9">
        <v>1.2074999999999999E-4</v>
      </c>
      <c r="K5201" s="9">
        <v>2.12E-6</v>
      </c>
      <c r="L5201" s="9">
        <v>1.3546000000000001E-4</v>
      </c>
      <c r="M5201" s="9">
        <v>1.5202E-4</v>
      </c>
      <c r="N5201" s="9">
        <v>1.6545000000000001E-4</v>
      </c>
      <c r="O5201" s="9">
        <v>1.2912000000000001E-4</v>
      </c>
      <c r="P5201" s="9">
        <v>1.4783999999999999E-4</v>
      </c>
      <c r="Q5201" s="9">
        <v>1.6668E-4</v>
      </c>
      <c r="R5201" s="10">
        <v>2.2287209302759571E-5</v>
      </c>
      <c r="S5201" s="10">
        <v>5.8191273523924978E-5</v>
      </c>
      <c r="T5201" s="10">
        <v>6.0219011497506544E-4</v>
      </c>
      <c r="U5201" s="10">
        <v>7.4019999999999999E-5</v>
      </c>
      <c r="V5201" s="25"/>
      <c r="W5201" s="25"/>
      <c r="X5201" s="25"/>
      <c r="Y5201" s="25"/>
      <c r="Z5201" s="25"/>
      <c r="AA5201" s="25"/>
    </row>
    <row r="5202" spans="1:27" x14ac:dyDescent="0.35">
      <c r="A5202" s="5">
        <v>5198</v>
      </c>
      <c r="B5202" s="5">
        <v>217</v>
      </c>
      <c r="C5202" s="5">
        <v>8</v>
      </c>
      <c r="D5202" s="25">
        <v>1.1415000000000001E-4</v>
      </c>
      <c r="E5202" s="25">
        <v>1.1245E-4</v>
      </c>
      <c r="F5202" s="25">
        <v>9.8049999999999998E-5</v>
      </c>
      <c r="G5202" s="25">
        <v>1.5906000000000001E-4</v>
      </c>
      <c r="H5202" s="25">
        <v>4.0930000000000003E-5</v>
      </c>
      <c r="I5202" s="9">
        <v>1.0088E-4</v>
      </c>
      <c r="J5202" s="9">
        <v>1.1964E-4</v>
      </c>
      <c r="K5202" s="9">
        <v>0</v>
      </c>
      <c r="L5202" s="9">
        <v>1.306E-4</v>
      </c>
      <c r="M5202" s="9">
        <v>1.5176E-4</v>
      </c>
      <c r="N5202" s="9">
        <v>1.6975000000000001E-4</v>
      </c>
      <c r="O5202" s="9">
        <v>1.1195E-4</v>
      </c>
      <c r="P5202" s="9">
        <v>1.3616E-4</v>
      </c>
      <c r="Q5202" s="9">
        <v>1.6034999999999999E-4</v>
      </c>
      <c r="R5202" s="10">
        <v>2.335822107495485E-5</v>
      </c>
      <c r="S5202" s="10">
        <v>5.1534953354096654E-5</v>
      </c>
      <c r="T5202" s="10">
        <v>5.5152187925601426E-4</v>
      </c>
      <c r="U5202" s="10">
        <v>7.4019999999999999E-5</v>
      </c>
      <c r="V5202" s="25"/>
      <c r="W5202" s="25"/>
      <c r="X5202" s="25"/>
      <c r="Y5202" s="25"/>
      <c r="Z5202" s="25"/>
      <c r="AA5202" s="25"/>
    </row>
    <row r="5203" spans="1:27" x14ac:dyDescent="0.35">
      <c r="A5203" s="5">
        <v>5199</v>
      </c>
      <c r="B5203" s="5">
        <v>217</v>
      </c>
      <c r="C5203" s="5">
        <v>8</v>
      </c>
      <c r="D5203" s="25">
        <v>1.1416E-4</v>
      </c>
      <c r="E5203" s="25">
        <v>1.1529E-4</v>
      </c>
      <c r="F5203" s="25">
        <v>1.1103999999999999E-4</v>
      </c>
      <c r="G5203" s="25">
        <v>1.6150999999999999E-4</v>
      </c>
      <c r="H5203" s="25">
        <v>4.265E-5</v>
      </c>
      <c r="I5203" s="9">
        <v>9.9439999999999997E-5</v>
      </c>
      <c r="J5203" s="9">
        <v>1.1886E-4</v>
      </c>
      <c r="K5203" s="9">
        <v>0</v>
      </c>
      <c r="L5203" s="9">
        <v>1.1625000000000001E-4</v>
      </c>
      <c r="M5203" s="9">
        <v>1.4582000000000001E-4</v>
      </c>
      <c r="N5203" s="9">
        <v>1.6932000000000001E-4</v>
      </c>
      <c r="O5203" s="9">
        <v>1.2638999999999999E-4</v>
      </c>
      <c r="P5203" s="9">
        <v>1.3909E-4</v>
      </c>
      <c r="Q5203" s="9">
        <v>1.5200000000000001E-4</v>
      </c>
      <c r="R5203" s="10">
        <v>2.2799918752096628E-5</v>
      </c>
      <c r="S5203" s="10">
        <v>4.6675596111637648E-5</v>
      </c>
      <c r="T5203" s="10">
        <v>4.7988045554341096E-4</v>
      </c>
      <c r="U5203" s="10">
        <v>7.4019999999999999E-5</v>
      </c>
      <c r="V5203" s="25"/>
      <c r="W5203" s="25"/>
      <c r="X5203" s="25"/>
      <c r="Y5203" s="25"/>
      <c r="Z5203" s="25"/>
      <c r="AA5203" s="25"/>
    </row>
    <row r="5204" spans="1:27" x14ac:dyDescent="0.35">
      <c r="A5204" s="5">
        <v>5200</v>
      </c>
      <c r="B5204" s="5">
        <v>217</v>
      </c>
      <c r="C5204" s="5">
        <v>8</v>
      </c>
      <c r="D5204" s="25">
        <v>1.1415000000000001E-4</v>
      </c>
      <c r="E5204" s="25">
        <v>1.1619E-4</v>
      </c>
      <c r="F5204" s="25">
        <v>1.1048999999999999E-4</v>
      </c>
      <c r="G5204" s="25">
        <v>1.6093999999999999E-4</v>
      </c>
      <c r="H5204" s="25">
        <v>4.1650000000000003E-5</v>
      </c>
      <c r="I5204" s="9">
        <v>9.959E-5</v>
      </c>
      <c r="J5204" s="9">
        <v>1.1872E-4</v>
      </c>
      <c r="K5204" s="9">
        <v>0</v>
      </c>
      <c r="L5204" s="9">
        <v>1.2457000000000001E-4</v>
      </c>
      <c r="M5204" s="9">
        <v>1.4174000000000001E-4</v>
      </c>
      <c r="N5204" s="9">
        <v>1.6546E-4</v>
      </c>
      <c r="O5204" s="9">
        <v>1.3266999999999999E-4</v>
      </c>
      <c r="P5204" s="9">
        <v>1.2048E-4</v>
      </c>
      <c r="Q5204" s="9">
        <v>1.0891E-4</v>
      </c>
      <c r="R5204" s="10">
        <v>2.5976015705096827E-5</v>
      </c>
      <c r="S5204" s="10">
        <v>4.1953534138999283E-5</v>
      </c>
      <c r="T5204" s="10">
        <v>4.1956557146324771E-4</v>
      </c>
      <c r="U5204" s="10">
        <v>7.4019999999999999E-5</v>
      </c>
      <c r="V5204" s="25"/>
      <c r="W5204" s="25"/>
      <c r="X5204" s="25"/>
      <c r="Y5204" s="25"/>
      <c r="Z5204" s="25"/>
      <c r="AA5204" s="25"/>
    </row>
    <row r="5205" spans="1:27" x14ac:dyDescent="0.35">
      <c r="A5205" s="5">
        <v>5201</v>
      </c>
      <c r="B5205" s="5">
        <v>217</v>
      </c>
      <c r="C5205" s="5">
        <v>8</v>
      </c>
      <c r="D5205" s="25">
        <v>1.1416E-4</v>
      </c>
      <c r="E5205" s="25">
        <v>1.1441E-4</v>
      </c>
      <c r="F5205" s="25">
        <v>9.5249999999999998E-5</v>
      </c>
      <c r="G5205" s="25">
        <v>1.6068000000000001E-4</v>
      </c>
      <c r="H5205" s="25">
        <v>4.1529999999999997E-5</v>
      </c>
      <c r="I5205" s="9">
        <v>1.0141000000000001E-4</v>
      </c>
      <c r="J5205" s="9">
        <v>1.1959E-4</v>
      </c>
      <c r="K5205" s="9">
        <v>0</v>
      </c>
      <c r="L5205" s="9">
        <v>1.3061999999999999E-4</v>
      </c>
      <c r="M5205" s="9">
        <v>1.3318999999999999E-4</v>
      </c>
      <c r="N5205" s="9">
        <v>1.517E-4</v>
      </c>
      <c r="O5205" s="9">
        <v>1.3883999999999999E-4</v>
      </c>
      <c r="P5205" s="9">
        <v>1.2227000000000001E-4</v>
      </c>
      <c r="Q5205" s="9">
        <v>1.0641000000000001E-4</v>
      </c>
      <c r="R5205" s="10">
        <v>2.8345754717102555E-5</v>
      </c>
      <c r="S5205" s="10">
        <v>3.5017645127619498E-5</v>
      </c>
      <c r="T5205" s="10">
        <v>2.3972387813827684E-4</v>
      </c>
      <c r="U5205" s="10">
        <v>7.4019999999999999E-5</v>
      </c>
      <c r="V5205" s="25"/>
      <c r="W5205" s="25"/>
      <c r="X5205" s="25"/>
      <c r="Y5205" s="25"/>
      <c r="Z5205" s="25"/>
      <c r="AA5205" s="25"/>
    </row>
    <row r="5206" spans="1:27" x14ac:dyDescent="0.35">
      <c r="A5206" s="5">
        <v>5202</v>
      </c>
      <c r="B5206" s="5">
        <v>217</v>
      </c>
      <c r="C5206" s="5">
        <v>8</v>
      </c>
      <c r="D5206" s="25">
        <v>1.1415000000000001E-4</v>
      </c>
      <c r="E5206" s="25">
        <v>1.1073000000000001E-4</v>
      </c>
      <c r="F5206" s="25">
        <v>9.5820000000000001E-5</v>
      </c>
      <c r="G5206" s="25">
        <v>1.6348999999999999E-4</v>
      </c>
      <c r="H5206" s="25">
        <v>4.2079999999999997E-5</v>
      </c>
      <c r="I5206" s="9">
        <v>1.0238000000000001E-4</v>
      </c>
      <c r="J5206" s="9">
        <v>1.1629E-4</v>
      </c>
      <c r="K5206" s="9">
        <v>0</v>
      </c>
      <c r="L5206" s="9">
        <v>1.3676000000000001E-4</v>
      </c>
      <c r="M5206" s="9">
        <v>1.2708000000000001E-4</v>
      </c>
      <c r="N5206" s="9">
        <v>1.3836999999999999E-4</v>
      </c>
      <c r="O5206" s="9">
        <v>1.4058000000000001E-4</v>
      </c>
      <c r="P5206" s="9">
        <v>1.2888E-4</v>
      </c>
      <c r="Q5206" s="9">
        <v>1.1783E-4</v>
      </c>
      <c r="R5206" s="10">
        <v>3.5286517915479635E-5</v>
      </c>
      <c r="S5206" s="10">
        <v>4.0968271107596338E-5</v>
      </c>
      <c r="T5206" s="10">
        <v>1.0589254018912876E-4</v>
      </c>
      <c r="U5206" s="10">
        <v>7.4019999999999999E-5</v>
      </c>
      <c r="V5206" s="25"/>
      <c r="W5206" s="25"/>
      <c r="X5206" s="25"/>
      <c r="Y5206" s="25"/>
      <c r="Z5206" s="25"/>
      <c r="AA5206" s="25"/>
    </row>
    <row r="5207" spans="1:27" x14ac:dyDescent="0.35">
      <c r="A5207" s="5">
        <v>5203</v>
      </c>
      <c r="B5207" s="5">
        <v>217</v>
      </c>
      <c r="C5207" s="5">
        <v>8</v>
      </c>
      <c r="D5207" s="25">
        <v>1.1416E-4</v>
      </c>
      <c r="E5207" s="25">
        <v>1.1338E-4</v>
      </c>
      <c r="F5207" s="25">
        <v>1.0467999999999999E-4</v>
      </c>
      <c r="G5207" s="25">
        <v>1.0446999999999999E-4</v>
      </c>
      <c r="H5207" s="25">
        <v>2.72E-5</v>
      </c>
      <c r="I5207" s="9">
        <v>1.0178E-4</v>
      </c>
      <c r="J5207" s="9">
        <v>1.1362999999999999E-4</v>
      </c>
      <c r="K5207" s="9">
        <v>2.12E-6</v>
      </c>
      <c r="L5207" s="9">
        <v>1.3964000000000001E-4</v>
      </c>
      <c r="M5207" s="9">
        <v>1.2632999999999999E-4</v>
      </c>
      <c r="N5207" s="9">
        <v>1.2949000000000001E-4</v>
      </c>
      <c r="O5207" s="9">
        <v>1.4087999999999999E-4</v>
      </c>
      <c r="P5207" s="9">
        <v>1.2354E-4</v>
      </c>
      <c r="Q5207" s="9">
        <v>1.0692999999999999E-4</v>
      </c>
      <c r="R5207" s="10">
        <v>3.612012819559612E-5</v>
      </c>
      <c r="S5207" s="10">
        <v>5.703753379205389E-5</v>
      </c>
      <c r="T5207" s="10">
        <v>1.7689764145047148E-5</v>
      </c>
      <c r="U5207" s="10">
        <v>7.4019999999999999E-5</v>
      </c>
      <c r="V5207" s="25"/>
      <c r="W5207" s="25"/>
      <c r="X5207" s="25"/>
      <c r="Y5207" s="25"/>
      <c r="Z5207" s="25"/>
      <c r="AA5207" s="25"/>
    </row>
    <row r="5208" spans="1:27" x14ac:dyDescent="0.35">
      <c r="A5208" s="5">
        <v>5204</v>
      </c>
      <c r="B5208" s="5">
        <v>217</v>
      </c>
      <c r="C5208" s="5">
        <v>8</v>
      </c>
      <c r="D5208" s="25">
        <v>1.1415000000000001E-4</v>
      </c>
      <c r="E5208" s="25">
        <v>1.0984000000000001E-4</v>
      </c>
      <c r="F5208" s="25">
        <v>1.0603999999999999E-4</v>
      </c>
      <c r="G5208" s="25">
        <v>1.1525E-4</v>
      </c>
      <c r="H5208" s="25">
        <v>2.743E-5</v>
      </c>
      <c r="I5208" s="9">
        <v>1.0196000000000001E-4</v>
      </c>
      <c r="J5208" s="9">
        <v>1.108E-4</v>
      </c>
      <c r="K5208" s="9">
        <v>2.332E-5</v>
      </c>
      <c r="L5208" s="9">
        <v>1.4056999999999999E-4</v>
      </c>
      <c r="M5208" s="9">
        <v>1.2541000000000001E-4</v>
      </c>
      <c r="N5208" s="9">
        <v>1.205E-4</v>
      </c>
      <c r="O5208" s="9">
        <v>1.4333E-4</v>
      </c>
      <c r="P5208" s="9">
        <v>1.2214999999999999E-4</v>
      </c>
      <c r="Q5208" s="9">
        <v>1.0177E-4</v>
      </c>
      <c r="R5208" s="10">
        <v>5.4135398449518601E-5</v>
      </c>
      <c r="S5208" s="10">
        <v>7.9270300227936457E-5</v>
      </c>
      <c r="T5208" s="10">
        <v>0</v>
      </c>
      <c r="U5208" s="10">
        <v>7.4019999999999999E-5</v>
      </c>
      <c r="V5208" s="25"/>
      <c r="W5208" s="25"/>
      <c r="X5208" s="25"/>
      <c r="Y5208" s="25"/>
      <c r="Z5208" s="25"/>
      <c r="AA5208" s="25"/>
    </row>
    <row r="5209" spans="1:27" x14ac:dyDescent="0.35">
      <c r="A5209" s="5">
        <v>5205</v>
      </c>
      <c r="B5209" s="5">
        <v>217</v>
      </c>
      <c r="C5209" s="5">
        <v>8</v>
      </c>
      <c r="D5209" s="25">
        <v>1.1416E-4</v>
      </c>
      <c r="E5209" s="25">
        <v>1.0802E-4</v>
      </c>
      <c r="F5209" s="25">
        <v>1.0669E-4</v>
      </c>
      <c r="G5209" s="25">
        <v>5.3260000000000002E-5</v>
      </c>
      <c r="H5209" s="25">
        <v>1.433E-5</v>
      </c>
      <c r="I5209" s="9">
        <v>1.0252E-4</v>
      </c>
      <c r="J5209" s="9">
        <v>1.0987E-4</v>
      </c>
      <c r="K5209" s="9">
        <v>4.8749999999999999E-5</v>
      </c>
      <c r="L5209" s="9">
        <v>1.4274000000000001E-4</v>
      </c>
      <c r="M5209" s="9">
        <v>1.2402E-4</v>
      </c>
      <c r="N5209" s="9">
        <v>1.1292E-4</v>
      </c>
      <c r="O5209" s="9">
        <v>8.4309999999999997E-5</v>
      </c>
      <c r="P5209" s="9">
        <v>8.6080000000000003E-5</v>
      </c>
      <c r="Q5209" s="9">
        <v>8.8070000000000002E-5</v>
      </c>
      <c r="R5209" s="10">
        <v>9.2762795334183892E-5</v>
      </c>
      <c r="S5209" s="10">
        <v>1.0334500817732722E-4</v>
      </c>
      <c r="T5209" s="10">
        <v>0</v>
      </c>
      <c r="U5209" s="10">
        <v>7.4019999999999999E-5</v>
      </c>
      <c r="V5209" s="25"/>
      <c r="W5209" s="25"/>
      <c r="X5209" s="25"/>
      <c r="Y5209" s="25"/>
      <c r="Z5209" s="25"/>
      <c r="AA5209" s="25"/>
    </row>
    <row r="5210" spans="1:27" x14ac:dyDescent="0.35">
      <c r="A5210" s="5">
        <v>5206</v>
      </c>
      <c r="B5210" s="5">
        <v>217</v>
      </c>
      <c r="C5210" s="5">
        <v>8</v>
      </c>
      <c r="D5210" s="25">
        <v>1.1415000000000001E-4</v>
      </c>
      <c r="E5210" s="25">
        <v>1.1734E-4</v>
      </c>
      <c r="F5210" s="25">
        <v>1.1137E-4</v>
      </c>
      <c r="G5210" s="25">
        <v>6.0059999999999998E-5</v>
      </c>
      <c r="H5210" s="25">
        <v>1.5840000000000001E-5</v>
      </c>
      <c r="I5210" s="9">
        <v>1.0479E-4</v>
      </c>
      <c r="J5210" s="9">
        <v>1.0804E-4</v>
      </c>
      <c r="K5210" s="9">
        <v>5.0869999999999999E-5</v>
      </c>
      <c r="L5210" s="9">
        <v>9.7109999999999997E-5</v>
      </c>
      <c r="M5210" s="9">
        <v>1.0995E-4</v>
      </c>
      <c r="N5210" s="9">
        <v>1.0538E-4</v>
      </c>
      <c r="O5210" s="9">
        <v>8.7659999999999998E-5</v>
      </c>
      <c r="P5210" s="9">
        <v>8.8059999999999994E-5</v>
      </c>
      <c r="Q5210" s="9">
        <v>8.8709999999999996E-5</v>
      </c>
      <c r="R5210" s="10">
        <v>1.3897532817316521E-4</v>
      </c>
      <c r="S5210" s="10">
        <v>1.195902377582796E-4</v>
      </c>
      <c r="T5210" s="10">
        <v>0</v>
      </c>
      <c r="U5210" s="10">
        <v>7.4019999999999999E-5</v>
      </c>
      <c r="V5210" s="25"/>
      <c r="W5210" s="25"/>
      <c r="X5210" s="25"/>
      <c r="Y5210" s="25"/>
      <c r="Z5210" s="25"/>
      <c r="AA5210" s="25"/>
    </row>
    <row r="5211" spans="1:27" x14ac:dyDescent="0.35">
      <c r="A5211" s="5">
        <v>5207</v>
      </c>
      <c r="B5211" s="5">
        <v>217</v>
      </c>
      <c r="C5211" s="5">
        <v>8</v>
      </c>
      <c r="D5211" s="25">
        <v>1.1416E-4</v>
      </c>
      <c r="E5211" s="25">
        <v>1.1462E-4</v>
      </c>
      <c r="F5211" s="25">
        <v>1.0527E-4</v>
      </c>
      <c r="G5211" s="25">
        <v>5.9129999999999998E-5</v>
      </c>
      <c r="H5211" s="25">
        <v>1.482E-5</v>
      </c>
      <c r="I5211" s="9">
        <v>9.9539999999999999E-5</v>
      </c>
      <c r="J5211" s="9">
        <v>1.0255E-4</v>
      </c>
      <c r="K5211" s="9">
        <v>7.2059999999999998E-5</v>
      </c>
      <c r="L5211" s="9">
        <v>9.1000000000000003E-5</v>
      </c>
      <c r="M5211" s="9">
        <v>9.8289999999999996E-5</v>
      </c>
      <c r="N5211" s="9">
        <v>9.9770000000000002E-5</v>
      </c>
      <c r="O5211" s="9">
        <v>8.4720000000000002E-5</v>
      </c>
      <c r="P5211" s="9">
        <v>7.5679999999999994E-5</v>
      </c>
      <c r="Q5211" s="9">
        <v>6.7039999999999995E-5</v>
      </c>
      <c r="R5211" s="10">
        <v>1.5576682392736359E-4</v>
      </c>
      <c r="S5211" s="10">
        <v>1.3339718383176518E-4</v>
      </c>
      <c r="T5211" s="10">
        <v>0</v>
      </c>
      <c r="U5211" s="10">
        <v>7.4019999999999999E-5</v>
      </c>
      <c r="V5211" s="25"/>
      <c r="W5211" s="25"/>
      <c r="X5211" s="25"/>
      <c r="Y5211" s="25"/>
      <c r="Z5211" s="25"/>
      <c r="AA5211" s="25"/>
    </row>
    <row r="5212" spans="1:27" x14ac:dyDescent="0.35">
      <c r="A5212" s="5">
        <v>5208</v>
      </c>
      <c r="B5212" s="5">
        <v>217</v>
      </c>
      <c r="C5212" s="5">
        <v>8</v>
      </c>
      <c r="D5212" s="25">
        <v>1.1415000000000001E-4</v>
      </c>
      <c r="E5212" s="25">
        <v>1.1213999999999999E-4</v>
      </c>
      <c r="F5212" s="25">
        <v>1.0889E-4</v>
      </c>
      <c r="G5212" s="25">
        <v>5.3170000000000001E-5</v>
      </c>
      <c r="H5212" s="25">
        <v>1.5160000000000001E-5</v>
      </c>
      <c r="I5212" s="9">
        <v>9.3010000000000006E-5</v>
      </c>
      <c r="J5212" s="9">
        <v>9.5779999999999994E-5</v>
      </c>
      <c r="K5212" s="9">
        <v>8.2650000000000003E-5</v>
      </c>
      <c r="L5212" s="9">
        <v>8.6310000000000005E-5</v>
      </c>
      <c r="M5212" s="9">
        <v>8.7429999999999995E-5</v>
      </c>
      <c r="N5212" s="9">
        <v>9.0580000000000004E-5</v>
      </c>
      <c r="O5212" s="9">
        <v>7.9060000000000005E-5</v>
      </c>
      <c r="P5212" s="9">
        <v>6.8759999999999999E-5</v>
      </c>
      <c r="Q5212" s="9">
        <v>5.8860000000000002E-5</v>
      </c>
      <c r="R5212" s="10">
        <v>1.7278374267361483E-4</v>
      </c>
      <c r="S5212" s="10">
        <v>1.5028550931255565E-4</v>
      </c>
      <c r="T5212" s="10">
        <v>0</v>
      </c>
      <c r="U5212" s="10">
        <v>7.4019999999999999E-5</v>
      </c>
      <c r="V5212" s="25"/>
      <c r="W5212" s="25"/>
      <c r="X5212" s="25"/>
      <c r="Y5212" s="25"/>
      <c r="Z5212" s="25"/>
      <c r="AA5212" s="25"/>
    </row>
    <row r="5213" spans="1:27" x14ac:dyDescent="0.35">
      <c r="A5213" s="5">
        <v>5209</v>
      </c>
      <c r="B5213" s="5">
        <v>218</v>
      </c>
      <c r="C5213" s="5">
        <v>8</v>
      </c>
      <c r="D5213" s="25">
        <v>1.1416E-4</v>
      </c>
      <c r="E5213" s="25">
        <v>1.2025E-4</v>
      </c>
      <c r="F5213" s="25">
        <v>1.091E-4</v>
      </c>
      <c r="G5213" s="25">
        <v>6.198E-5</v>
      </c>
      <c r="H5213" s="25">
        <v>6.949E-5</v>
      </c>
      <c r="I5213" s="9">
        <v>8.9060000000000005E-5</v>
      </c>
      <c r="J5213" s="9">
        <v>9.1050000000000004E-5</v>
      </c>
      <c r="K5213" s="9">
        <v>8.6890000000000003E-5</v>
      </c>
      <c r="L5213" s="9">
        <v>8.0439999999999996E-5</v>
      </c>
      <c r="M5213" s="9">
        <v>7.8250000000000005E-5</v>
      </c>
      <c r="N5213" s="9">
        <v>8.1199999999999995E-5</v>
      </c>
      <c r="O5213" s="9">
        <v>5.5009999999999997E-5</v>
      </c>
      <c r="P5213" s="9">
        <v>5.4419999999999997E-5</v>
      </c>
      <c r="Q5213" s="9">
        <v>5.3990000000000003E-5</v>
      </c>
      <c r="R5213" s="10">
        <v>1.586643211993464E-4</v>
      </c>
      <c r="S5213" s="10">
        <v>1.5674960971587382E-4</v>
      </c>
      <c r="T5213" s="10">
        <v>0</v>
      </c>
      <c r="U5213" s="10">
        <v>7.3330000000000004E-5</v>
      </c>
      <c r="V5213" s="25"/>
      <c r="W5213" s="25"/>
      <c r="X5213" s="25"/>
      <c r="Y5213" s="25"/>
      <c r="Z5213" s="25"/>
      <c r="AA5213" s="25"/>
    </row>
    <row r="5214" spans="1:27" x14ac:dyDescent="0.35">
      <c r="A5214" s="5">
        <v>5210</v>
      </c>
      <c r="B5214" s="5">
        <v>218</v>
      </c>
      <c r="C5214" s="5">
        <v>8</v>
      </c>
      <c r="D5214" s="25">
        <v>1.1415000000000001E-4</v>
      </c>
      <c r="E5214" s="25">
        <v>1.2104000000000001E-4</v>
      </c>
      <c r="F5214" s="25">
        <v>1.0409E-4</v>
      </c>
      <c r="G5214" s="25">
        <v>5.4070000000000002E-5</v>
      </c>
      <c r="H5214" s="25">
        <v>7.0790000000000005E-5</v>
      </c>
      <c r="I5214" s="9">
        <v>8.6069999999999994E-5</v>
      </c>
      <c r="J5214" s="9">
        <v>8.8529999999999994E-5</v>
      </c>
      <c r="K5214" s="9">
        <v>9.9610000000000003E-5</v>
      </c>
      <c r="L5214" s="9">
        <v>6.0749999999999999E-5</v>
      </c>
      <c r="M5214" s="9">
        <v>6.7509999999999996E-5</v>
      </c>
      <c r="N5214" s="9">
        <v>7.2230000000000005E-5</v>
      </c>
      <c r="O5214" s="9">
        <v>1.9179999999999999E-5</v>
      </c>
      <c r="P5214" s="9">
        <v>3.8019999999999999E-5</v>
      </c>
      <c r="Q5214" s="9">
        <v>5.6589999999999999E-5</v>
      </c>
      <c r="R5214" s="10">
        <v>1.4042898304615246E-4</v>
      </c>
      <c r="S5214" s="10">
        <v>1.653276560086958E-4</v>
      </c>
      <c r="T5214" s="10">
        <v>0</v>
      </c>
      <c r="U5214" s="10">
        <v>7.3330000000000004E-5</v>
      </c>
      <c r="V5214" s="25"/>
      <c r="W5214" s="25"/>
      <c r="X5214" s="25"/>
      <c r="Y5214" s="25"/>
      <c r="Z5214" s="25"/>
      <c r="AA5214" s="25"/>
    </row>
    <row r="5215" spans="1:27" x14ac:dyDescent="0.35">
      <c r="A5215" s="5">
        <v>5211</v>
      </c>
      <c r="B5215" s="5">
        <v>218</v>
      </c>
      <c r="C5215" s="5">
        <v>8</v>
      </c>
      <c r="D5215" s="25">
        <v>1.1416E-4</v>
      </c>
      <c r="E5215" s="25">
        <v>1.1569999999999999E-4</v>
      </c>
      <c r="F5215" s="25">
        <v>1.1032E-4</v>
      </c>
      <c r="G5215" s="25">
        <v>5.554E-5</v>
      </c>
      <c r="H5215" s="25">
        <v>7.674E-5</v>
      </c>
      <c r="I5215" s="9">
        <v>8.5409999999999997E-5</v>
      </c>
      <c r="J5215" s="9">
        <v>8.7579999999999998E-5</v>
      </c>
      <c r="K5215" s="9">
        <v>8.4779999999999998E-5</v>
      </c>
      <c r="L5215" s="9">
        <v>2.8860000000000002E-5</v>
      </c>
      <c r="M5215" s="9">
        <v>5.427E-5</v>
      </c>
      <c r="N5215" s="9">
        <v>6.5749999999999999E-5</v>
      </c>
      <c r="O5215" s="9">
        <v>1.3679999999999999E-5</v>
      </c>
      <c r="P5215" s="9">
        <v>3.799E-5</v>
      </c>
      <c r="Q5215" s="9">
        <v>6.1929999999999998E-5</v>
      </c>
      <c r="R5215" s="10">
        <v>1.1739749510310215E-4</v>
      </c>
      <c r="S5215" s="10">
        <v>1.6790837649510333E-4</v>
      </c>
      <c r="T5215" s="10">
        <v>0</v>
      </c>
      <c r="U5215" s="10">
        <v>7.3330000000000004E-5</v>
      </c>
      <c r="V5215" s="25"/>
      <c r="W5215" s="25"/>
      <c r="X5215" s="25"/>
      <c r="Y5215" s="25"/>
      <c r="Z5215" s="25"/>
      <c r="AA5215" s="25"/>
    </row>
    <row r="5216" spans="1:27" x14ac:dyDescent="0.35">
      <c r="A5216" s="5">
        <v>5212</v>
      </c>
      <c r="B5216" s="5">
        <v>218</v>
      </c>
      <c r="C5216" s="5">
        <v>8</v>
      </c>
      <c r="D5216" s="25">
        <v>1.1415000000000001E-4</v>
      </c>
      <c r="E5216" s="25">
        <v>1.2046E-4</v>
      </c>
      <c r="F5216" s="25">
        <v>1.009E-4</v>
      </c>
      <c r="G5216" s="25">
        <v>5.2490000000000001E-5</v>
      </c>
      <c r="H5216" s="25">
        <v>6.5060000000000004E-5</v>
      </c>
      <c r="I5216" s="9">
        <v>8.632E-5</v>
      </c>
      <c r="J5216" s="9">
        <v>8.7739999999999997E-5</v>
      </c>
      <c r="K5216" s="9">
        <v>1.0385E-4</v>
      </c>
      <c r="L5216" s="9">
        <v>1.7880000000000002E-5</v>
      </c>
      <c r="M5216" s="9">
        <v>4.5219999999999997E-5</v>
      </c>
      <c r="N5216" s="9">
        <v>6.2210000000000002E-5</v>
      </c>
      <c r="O5216" s="9">
        <v>1.3730000000000001E-5</v>
      </c>
      <c r="P5216" s="9">
        <v>4.7670000000000003E-5</v>
      </c>
      <c r="Q5216" s="9">
        <v>8.1080000000000003E-5</v>
      </c>
      <c r="R5216" s="10">
        <v>9.9480098657445579E-5</v>
      </c>
      <c r="S5216" s="10">
        <v>1.5242782658535069E-4</v>
      </c>
      <c r="T5216" s="10">
        <v>0</v>
      </c>
      <c r="U5216" s="10">
        <v>7.3330000000000004E-5</v>
      </c>
      <c r="V5216" s="25"/>
      <c r="W5216" s="25"/>
      <c r="X5216" s="25"/>
      <c r="Y5216" s="25"/>
      <c r="Z5216" s="25"/>
      <c r="AA5216" s="25"/>
    </row>
    <row r="5217" spans="1:27" x14ac:dyDescent="0.35">
      <c r="A5217" s="5">
        <v>5213</v>
      </c>
      <c r="B5217" s="5">
        <v>218</v>
      </c>
      <c r="C5217" s="5">
        <v>8</v>
      </c>
      <c r="D5217" s="25">
        <v>1.1416E-4</v>
      </c>
      <c r="E5217" s="25">
        <v>1.1849E-4</v>
      </c>
      <c r="F5217" s="25">
        <v>9.2999999999999997E-5</v>
      </c>
      <c r="G5217" s="25">
        <v>6.2370000000000001E-5</v>
      </c>
      <c r="H5217" s="25">
        <v>7.114E-5</v>
      </c>
      <c r="I5217" s="9">
        <v>8.9419999999999994E-5</v>
      </c>
      <c r="J5217" s="9">
        <v>8.967E-5</v>
      </c>
      <c r="K5217" s="9">
        <v>8.0539999999999998E-5</v>
      </c>
      <c r="L5217" s="9">
        <v>1.482E-5</v>
      </c>
      <c r="M5217" s="9">
        <v>4.4100000000000001E-5</v>
      </c>
      <c r="N5217" s="9">
        <v>6.4859999999999999E-5</v>
      </c>
      <c r="O5217" s="9">
        <v>1.8870000000000001E-5</v>
      </c>
      <c r="P5217" s="9">
        <v>5.6100000000000002E-5</v>
      </c>
      <c r="Q5217" s="9">
        <v>9.276E-5</v>
      </c>
      <c r="R5217" s="10">
        <v>8.4841466042278563E-5</v>
      </c>
      <c r="S5217" s="10">
        <v>1.3195680059571759E-4</v>
      </c>
      <c r="T5217" s="10">
        <v>0</v>
      </c>
      <c r="U5217" s="10">
        <v>7.3330000000000004E-5</v>
      </c>
      <c r="V5217" s="25"/>
      <c r="W5217" s="25"/>
      <c r="X5217" s="25"/>
      <c r="Y5217" s="25"/>
      <c r="Z5217" s="25"/>
      <c r="AA5217" s="25"/>
    </row>
    <row r="5218" spans="1:27" x14ac:dyDescent="0.35">
      <c r="A5218" s="5">
        <v>5214</v>
      </c>
      <c r="B5218" s="5">
        <v>218</v>
      </c>
      <c r="C5218" s="5">
        <v>8</v>
      </c>
      <c r="D5218" s="25">
        <v>1.1415000000000001E-4</v>
      </c>
      <c r="E5218" s="25">
        <v>1.1726E-4</v>
      </c>
      <c r="F5218" s="25">
        <v>1.0279E-4</v>
      </c>
      <c r="G5218" s="25">
        <v>1.0443E-4</v>
      </c>
      <c r="H5218" s="25">
        <v>1.359E-4</v>
      </c>
      <c r="I5218" s="9">
        <v>9.4359999999999998E-5</v>
      </c>
      <c r="J5218" s="9">
        <v>9.4160000000000006E-5</v>
      </c>
      <c r="K5218" s="9">
        <v>2.1189999999999999E-5</v>
      </c>
      <c r="L5218" s="9">
        <v>1.7839999999999999E-5</v>
      </c>
      <c r="M5218" s="9">
        <v>4.8510000000000001E-5</v>
      </c>
      <c r="N5218" s="9">
        <v>7.1160000000000003E-5</v>
      </c>
      <c r="O5218" s="9">
        <v>4.604E-5</v>
      </c>
      <c r="P5218" s="9">
        <v>7.6359999999999994E-5</v>
      </c>
      <c r="Q5218" s="9">
        <v>1.0634E-4</v>
      </c>
      <c r="R5218" s="10">
        <v>6.5576621735263313E-5</v>
      </c>
      <c r="S5218" s="10">
        <v>1.1453835176244503E-4</v>
      </c>
      <c r="T5218" s="10">
        <v>2.5673489833531256E-5</v>
      </c>
      <c r="U5218" s="10">
        <v>7.3330000000000004E-5</v>
      </c>
      <c r="V5218" s="25"/>
      <c r="W5218" s="25"/>
      <c r="X5218" s="25"/>
      <c r="Y5218" s="25"/>
      <c r="Z5218" s="25"/>
      <c r="AA5218" s="25"/>
    </row>
    <row r="5219" spans="1:27" x14ac:dyDescent="0.35">
      <c r="A5219" s="5">
        <v>5215</v>
      </c>
      <c r="B5219" s="5">
        <v>218</v>
      </c>
      <c r="C5219" s="5">
        <v>8</v>
      </c>
      <c r="D5219" s="25">
        <v>1.1416E-4</v>
      </c>
      <c r="E5219" s="25">
        <v>1.1458E-4</v>
      </c>
      <c r="F5219" s="25">
        <v>9.5890000000000005E-5</v>
      </c>
      <c r="G5219" s="25">
        <v>1.1508E-4</v>
      </c>
      <c r="H5219" s="25">
        <v>1.3536000000000001E-4</v>
      </c>
      <c r="I5219" s="9">
        <v>1.0081000000000001E-4</v>
      </c>
      <c r="J5219" s="9">
        <v>1.0372E-4</v>
      </c>
      <c r="K5219" s="9">
        <v>0</v>
      </c>
      <c r="L5219" s="9">
        <v>3.9700000000000003E-5</v>
      </c>
      <c r="M5219" s="9">
        <v>5.9790000000000002E-5</v>
      </c>
      <c r="N5219" s="9">
        <v>8.0649999999999995E-5</v>
      </c>
      <c r="O5219" s="9">
        <v>1.2307999999999999E-4</v>
      </c>
      <c r="P5219" s="9">
        <v>1.1764000000000001E-4</v>
      </c>
      <c r="Q5219" s="9">
        <v>1.1268999999999999E-4</v>
      </c>
      <c r="R5219" s="10">
        <v>4.5475309313826804E-5</v>
      </c>
      <c r="S5219" s="10">
        <v>9.5372459146437919E-5</v>
      </c>
      <c r="T5219" s="10">
        <v>9.8417872461653206E-5</v>
      </c>
      <c r="U5219" s="10">
        <v>7.3330000000000004E-5</v>
      </c>
      <c r="V5219" s="25"/>
      <c r="W5219" s="25"/>
      <c r="X5219" s="25"/>
      <c r="Y5219" s="25"/>
      <c r="Z5219" s="25"/>
      <c r="AA5219" s="25"/>
    </row>
    <row r="5220" spans="1:27" x14ac:dyDescent="0.35">
      <c r="A5220" s="5">
        <v>5216</v>
      </c>
      <c r="B5220" s="5">
        <v>218</v>
      </c>
      <c r="C5220" s="5">
        <v>8</v>
      </c>
      <c r="D5220" s="25">
        <v>1.1415000000000001E-4</v>
      </c>
      <c r="E5220" s="25">
        <v>1.1909999999999999E-4</v>
      </c>
      <c r="F5220" s="25">
        <v>1.0066E-4</v>
      </c>
      <c r="G5220" s="25">
        <v>1.5897E-4</v>
      </c>
      <c r="H5220" s="25">
        <v>1.9411E-4</v>
      </c>
      <c r="I5220" s="9">
        <v>1.047E-4</v>
      </c>
      <c r="J5220" s="9">
        <v>1.1288E-4</v>
      </c>
      <c r="K5220" s="9">
        <v>0</v>
      </c>
      <c r="L5220" s="9">
        <v>1.0412E-4</v>
      </c>
      <c r="M5220" s="9">
        <v>8.3540000000000003E-5</v>
      </c>
      <c r="N5220" s="9">
        <v>9.0749999999999997E-5</v>
      </c>
      <c r="O5220" s="9">
        <v>2.1838000000000001E-4</v>
      </c>
      <c r="P5220" s="9">
        <v>1.7674999999999999E-4</v>
      </c>
      <c r="Q5220" s="9">
        <v>1.3653999999999999E-4</v>
      </c>
      <c r="R5220" s="10">
        <v>2.9265880244296885E-5</v>
      </c>
      <c r="S5220" s="10">
        <v>7.8118520275975297E-5</v>
      </c>
      <c r="T5220" s="10">
        <v>1.9706482100576025E-4</v>
      </c>
      <c r="U5220" s="10">
        <v>7.3330000000000004E-5</v>
      </c>
      <c r="V5220" s="25"/>
      <c r="W5220" s="25"/>
      <c r="X5220" s="25"/>
      <c r="Y5220" s="25"/>
      <c r="Z5220" s="25"/>
      <c r="AA5220" s="25"/>
    </row>
    <row r="5221" spans="1:27" x14ac:dyDescent="0.35">
      <c r="A5221" s="5">
        <v>5217</v>
      </c>
      <c r="B5221" s="5">
        <v>218</v>
      </c>
      <c r="C5221" s="5">
        <v>8</v>
      </c>
      <c r="D5221" s="25">
        <v>1.1416E-4</v>
      </c>
      <c r="E5221" s="25">
        <v>1.1801E-4</v>
      </c>
      <c r="F5221" s="25">
        <v>9.6550000000000002E-5</v>
      </c>
      <c r="G5221" s="25">
        <v>1.6576000000000001E-4</v>
      </c>
      <c r="H5221" s="25">
        <v>1.9380999999999999E-4</v>
      </c>
      <c r="I5221" s="9">
        <v>1.0575E-4</v>
      </c>
      <c r="J5221" s="9">
        <v>1.1776E-4</v>
      </c>
      <c r="K5221" s="9">
        <v>0</v>
      </c>
      <c r="L5221" s="9">
        <v>1.9147000000000001E-4</v>
      </c>
      <c r="M5221" s="9">
        <v>1.2326000000000001E-4</v>
      </c>
      <c r="N5221" s="9">
        <v>1.0443E-4</v>
      </c>
      <c r="O5221" s="9">
        <v>2.0934E-4</v>
      </c>
      <c r="P5221" s="9">
        <v>1.9216E-4</v>
      </c>
      <c r="Q5221" s="9">
        <v>1.7599E-4</v>
      </c>
      <c r="R5221" s="10">
        <v>1.4873276293076129E-5</v>
      </c>
      <c r="S5221" s="10">
        <v>6.2705713148676346E-5</v>
      </c>
      <c r="T5221" s="10">
        <v>4.1569673095958275E-4</v>
      </c>
      <c r="U5221" s="10">
        <v>7.3330000000000004E-5</v>
      </c>
      <c r="V5221" s="25"/>
      <c r="W5221" s="25"/>
      <c r="X5221" s="25"/>
      <c r="Y5221" s="25"/>
      <c r="Z5221" s="25"/>
      <c r="AA5221" s="25"/>
    </row>
    <row r="5222" spans="1:27" x14ac:dyDescent="0.35">
      <c r="A5222" s="5">
        <v>5218</v>
      </c>
      <c r="B5222" s="5">
        <v>218</v>
      </c>
      <c r="C5222" s="5">
        <v>8</v>
      </c>
      <c r="D5222" s="25">
        <v>1.1415000000000001E-4</v>
      </c>
      <c r="E5222" s="25">
        <v>1.169E-4</v>
      </c>
      <c r="F5222" s="25">
        <v>1.0582E-4</v>
      </c>
      <c r="G5222" s="25">
        <v>1.5746E-4</v>
      </c>
      <c r="H5222" s="25">
        <v>2.0095000000000001E-4</v>
      </c>
      <c r="I5222" s="9">
        <v>1.0579E-4</v>
      </c>
      <c r="J5222" s="9">
        <v>1.1933E-4</v>
      </c>
      <c r="K5222" s="9">
        <v>0</v>
      </c>
      <c r="L5222" s="9">
        <v>2.0311E-4</v>
      </c>
      <c r="M5222" s="9">
        <v>1.5812000000000001E-4</v>
      </c>
      <c r="N5222" s="9">
        <v>1.2422999999999999E-4</v>
      </c>
      <c r="O5222" s="9">
        <v>1.6492000000000001E-4</v>
      </c>
      <c r="P5222" s="9">
        <v>1.7239999999999999E-4</v>
      </c>
      <c r="Q5222" s="9">
        <v>1.8032000000000001E-4</v>
      </c>
      <c r="R5222" s="10">
        <v>8.2113045423241674E-6</v>
      </c>
      <c r="S5222" s="10">
        <v>4.6124987026625167E-5</v>
      </c>
      <c r="T5222" s="10">
        <v>5.6569914347010246E-4</v>
      </c>
      <c r="U5222" s="10">
        <v>7.3330000000000004E-5</v>
      </c>
      <c r="V5222" s="25"/>
      <c r="W5222" s="25"/>
      <c r="X5222" s="25"/>
      <c r="Y5222" s="25"/>
      <c r="Z5222" s="25"/>
      <c r="AA5222" s="25"/>
    </row>
    <row r="5223" spans="1:27" x14ac:dyDescent="0.35">
      <c r="A5223" s="5">
        <v>5219</v>
      </c>
      <c r="B5223" s="5">
        <v>218</v>
      </c>
      <c r="C5223" s="5">
        <v>8</v>
      </c>
      <c r="D5223" s="25">
        <v>1.1416E-4</v>
      </c>
      <c r="E5223" s="25">
        <v>1.1241E-4</v>
      </c>
      <c r="F5223" s="25">
        <v>1.0262E-4</v>
      </c>
      <c r="G5223" s="25">
        <v>1.6081E-4</v>
      </c>
      <c r="H5223" s="25">
        <v>1.9263E-4</v>
      </c>
      <c r="I5223" s="9">
        <v>1.05E-4</v>
      </c>
      <c r="J5223" s="9">
        <v>1.2017E-4</v>
      </c>
      <c r="K5223" s="9">
        <v>0</v>
      </c>
      <c r="L5223" s="9">
        <v>1.7341000000000001E-4</v>
      </c>
      <c r="M5223" s="9">
        <v>1.7132000000000001E-4</v>
      </c>
      <c r="N5223" s="9">
        <v>1.4197999999999999E-4</v>
      </c>
      <c r="O5223" s="9">
        <v>1.6606999999999999E-4</v>
      </c>
      <c r="P5223" s="9">
        <v>1.7226000000000001E-4</v>
      </c>
      <c r="Q5223" s="9">
        <v>1.7892E-4</v>
      </c>
      <c r="R5223" s="10">
        <v>6.8203591295998503E-6</v>
      </c>
      <c r="S5223" s="10">
        <v>3.3575304476754129E-5</v>
      </c>
      <c r="T5223" s="10">
        <v>6.0153682392510442E-4</v>
      </c>
      <c r="U5223" s="10">
        <v>7.3330000000000004E-5</v>
      </c>
      <c r="V5223" s="25"/>
      <c r="W5223" s="25"/>
      <c r="X5223" s="25"/>
      <c r="Y5223" s="25"/>
      <c r="Z5223" s="25"/>
      <c r="AA5223" s="25"/>
    </row>
    <row r="5224" spans="1:27" x14ac:dyDescent="0.35">
      <c r="A5224" s="5">
        <v>5220</v>
      </c>
      <c r="B5224" s="5">
        <v>218</v>
      </c>
      <c r="C5224" s="5">
        <v>8</v>
      </c>
      <c r="D5224" s="25">
        <v>1.1415000000000001E-4</v>
      </c>
      <c r="E5224" s="25">
        <v>1.2318E-4</v>
      </c>
      <c r="F5224" s="25">
        <v>1.0206E-4</v>
      </c>
      <c r="G5224" s="25">
        <v>1.6098999999999999E-4</v>
      </c>
      <c r="H5224" s="25">
        <v>2.0102E-4</v>
      </c>
      <c r="I5224" s="9">
        <v>1.0369000000000001E-4</v>
      </c>
      <c r="J5224" s="9">
        <v>1.1906E-4</v>
      </c>
      <c r="K5224" s="9">
        <v>0</v>
      </c>
      <c r="L5224" s="9">
        <v>1.6911000000000001E-4</v>
      </c>
      <c r="M5224" s="9">
        <v>1.7385E-4</v>
      </c>
      <c r="N5224" s="9">
        <v>1.5600999999999999E-4</v>
      </c>
      <c r="O5224" s="9">
        <v>1.6925999999999999E-4</v>
      </c>
      <c r="P5224" s="9">
        <v>1.7139E-4</v>
      </c>
      <c r="Q5224" s="9">
        <v>1.7405E-4</v>
      </c>
      <c r="R5224" s="10">
        <v>8.4251783610460862E-6</v>
      </c>
      <c r="S5224" s="10">
        <v>3.385662613374977E-5</v>
      </c>
      <c r="T5224" s="10">
        <v>6.631158686084389E-4</v>
      </c>
      <c r="U5224" s="10">
        <v>7.3330000000000004E-5</v>
      </c>
      <c r="V5224" s="25"/>
      <c r="W5224" s="25"/>
      <c r="X5224" s="25"/>
      <c r="Y5224" s="25"/>
      <c r="Z5224" s="25"/>
      <c r="AA5224" s="25"/>
    </row>
    <row r="5225" spans="1:27" x14ac:dyDescent="0.35">
      <c r="A5225" s="5">
        <v>5221</v>
      </c>
      <c r="B5225" s="5">
        <v>218</v>
      </c>
      <c r="C5225" s="5">
        <v>8</v>
      </c>
      <c r="D5225" s="25">
        <v>1.1416E-4</v>
      </c>
      <c r="E5225" s="25">
        <v>1.2333E-4</v>
      </c>
      <c r="F5225" s="25">
        <v>9.3560000000000005E-5</v>
      </c>
      <c r="G5225" s="25">
        <v>1.6728000000000001E-4</v>
      </c>
      <c r="H5225" s="25">
        <v>1.9107E-4</v>
      </c>
      <c r="I5225" s="9">
        <v>1.0153999999999999E-4</v>
      </c>
      <c r="J5225" s="9">
        <v>1.181E-4</v>
      </c>
      <c r="K5225" s="9">
        <v>0</v>
      </c>
      <c r="L5225" s="9">
        <v>1.6937000000000001E-4</v>
      </c>
      <c r="M5225" s="9">
        <v>1.7315000000000001E-4</v>
      </c>
      <c r="N5225" s="9">
        <v>1.6555000000000001E-4</v>
      </c>
      <c r="O5225" s="9">
        <v>1.6013999999999999E-4</v>
      </c>
      <c r="P5225" s="9">
        <v>1.6301999999999999E-4</v>
      </c>
      <c r="Q5225" s="9">
        <v>1.6639000000000001E-4</v>
      </c>
      <c r="R5225" s="10">
        <v>1.3624611102699491E-5</v>
      </c>
      <c r="S5225" s="10">
        <v>3.3209541448681389E-5</v>
      </c>
      <c r="T5225" s="10">
        <v>6.6133416574490898E-4</v>
      </c>
      <c r="U5225" s="10">
        <v>7.3330000000000004E-5</v>
      </c>
      <c r="V5225" s="25"/>
      <c r="W5225" s="25"/>
      <c r="X5225" s="25"/>
      <c r="Y5225" s="25"/>
      <c r="Z5225" s="25"/>
      <c r="AA5225" s="25"/>
    </row>
    <row r="5226" spans="1:27" x14ac:dyDescent="0.35">
      <c r="A5226" s="5">
        <v>5222</v>
      </c>
      <c r="B5226" s="5">
        <v>218</v>
      </c>
      <c r="C5226" s="5">
        <v>8</v>
      </c>
      <c r="D5226" s="25">
        <v>1.1415000000000001E-4</v>
      </c>
      <c r="E5226" s="25">
        <v>1.1942000000000001E-4</v>
      </c>
      <c r="F5226" s="25">
        <v>8.8430000000000005E-5</v>
      </c>
      <c r="G5226" s="25">
        <v>1.5825E-4</v>
      </c>
      <c r="H5226" s="25">
        <v>1.9249999999999999E-4</v>
      </c>
      <c r="I5226" s="9">
        <v>9.9710000000000006E-5</v>
      </c>
      <c r="J5226" s="9">
        <v>1.159E-4</v>
      </c>
      <c r="K5226" s="9">
        <v>0</v>
      </c>
      <c r="L5226" s="9">
        <v>1.6190000000000001E-4</v>
      </c>
      <c r="M5226" s="9">
        <v>1.693E-4</v>
      </c>
      <c r="N5226" s="9">
        <v>1.6976E-4</v>
      </c>
      <c r="O5226" s="9">
        <v>1.7783999999999999E-4</v>
      </c>
      <c r="P5226" s="9">
        <v>1.6904999999999999E-4</v>
      </c>
      <c r="Q5226" s="9">
        <v>1.6102E-4</v>
      </c>
      <c r="R5226" s="10">
        <v>2.3474972350337775E-5</v>
      </c>
      <c r="S5226" s="10">
        <v>3.1408288681011226E-5</v>
      </c>
      <c r="T5226" s="10">
        <v>6.7019177426645769E-4</v>
      </c>
      <c r="U5226" s="10">
        <v>7.3330000000000004E-5</v>
      </c>
      <c r="V5226" s="25"/>
      <c r="W5226" s="25"/>
      <c r="X5226" s="25"/>
      <c r="Y5226" s="25"/>
      <c r="Z5226" s="25"/>
      <c r="AA5226" s="25"/>
    </row>
    <row r="5227" spans="1:27" x14ac:dyDescent="0.35">
      <c r="A5227" s="5">
        <v>5223</v>
      </c>
      <c r="B5227" s="5">
        <v>218</v>
      </c>
      <c r="C5227" s="5">
        <v>8</v>
      </c>
      <c r="D5227" s="25">
        <v>1.1416E-4</v>
      </c>
      <c r="E5227" s="25">
        <v>1.2303999999999999E-4</v>
      </c>
      <c r="F5227" s="25">
        <v>1.0064E-4</v>
      </c>
      <c r="G5227" s="25">
        <v>1.5705E-4</v>
      </c>
      <c r="H5227" s="25">
        <v>1.9121000000000001E-4</v>
      </c>
      <c r="I5227" s="9">
        <v>9.9619999999999998E-5</v>
      </c>
      <c r="J5227" s="9">
        <v>1.1476000000000001E-4</v>
      </c>
      <c r="K5227" s="9">
        <v>0</v>
      </c>
      <c r="L5227" s="9">
        <v>1.7452E-4</v>
      </c>
      <c r="M5227" s="9">
        <v>1.6809E-4</v>
      </c>
      <c r="N5227" s="9">
        <v>1.6948000000000001E-4</v>
      </c>
      <c r="O5227" s="9">
        <v>1.8363E-4</v>
      </c>
      <c r="P5227" s="9">
        <v>1.6799E-4</v>
      </c>
      <c r="Q5227" s="9">
        <v>1.5322999999999999E-4</v>
      </c>
      <c r="R5227" s="10">
        <v>3.1772875800055782E-5</v>
      </c>
      <c r="S5227" s="10">
        <v>3.4486341871676037E-5</v>
      </c>
      <c r="T5227" s="10">
        <v>5.9712498826303031E-4</v>
      </c>
      <c r="U5227" s="10">
        <v>7.3330000000000004E-5</v>
      </c>
      <c r="V5227" s="25"/>
      <c r="W5227" s="25"/>
      <c r="X5227" s="25"/>
      <c r="Y5227" s="25"/>
      <c r="Z5227" s="25"/>
      <c r="AA5227" s="25"/>
    </row>
    <row r="5228" spans="1:27" x14ac:dyDescent="0.35">
      <c r="A5228" s="5">
        <v>5224</v>
      </c>
      <c r="B5228" s="5">
        <v>218</v>
      </c>
      <c r="C5228" s="5">
        <v>8</v>
      </c>
      <c r="D5228" s="25">
        <v>1.1415000000000001E-4</v>
      </c>
      <c r="E5228" s="25">
        <v>1.2056E-4</v>
      </c>
      <c r="F5228" s="25">
        <v>1.0199E-4</v>
      </c>
      <c r="G5228" s="25">
        <v>1.6456000000000001E-4</v>
      </c>
      <c r="H5228" s="25">
        <v>2.0123999999999999E-4</v>
      </c>
      <c r="I5228" s="9">
        <v>9.993E-5</v>
      </c>
      <c r="J5228" s="9">
        <v>1.1497000000000001E-4</v>
      </c>
      <c r="K5228" s="9">
        <v>3.1789999999999999E-5</v>
      </c>
      <c r="L5228" s="9">
        <v>1.8129999999999999E-4</v>
      </c>
      <c r="M5228" s="9">
        <v>1.6783999999999999E-4</v>
      </c>
      <c r="N5228" s="9">
        <v>1.6592000000000001E-4</v>
      </c>
      <c r="O5228" s="9">
        <v>1.9722000000000001E-4</v>
      </c>
      <c r="P5228" s="9">
        <v>1.5300000000000001E-4</v>
      </c>
      <c r="Q5228" s="9">
        <v>1.1014999999999999E-4</v>
      </c>
      <c r="R5228" s="10">
        <v>3.966625846247951E-5</v>
      </c>
      <c r="S5228" s="10">
        <v>4.6244582838446932E-5</v>
      </c>
      <c r="T5228" s="10">
        <v>4.8301964630296363E-4</v>
      </c>
      <c r="U5228" s="10">
        <v>7.3330000000000004E-5</v>
      </c>
      <c r="V5228" s="25"/>
      <c r="W5228" s="25"/>
      <c r="X5228" s="25"/>
      <c r="Y5228" s="25"/>
      <c r="Z5228" s="25"/>
      <c r="AA5228" s="25"/>
    </row>
    <row r="5229" spans="1:27" x14ac:dyDescent="0.35">
      <c r="A5229" s="5">
        <v>5225</v>
      </c>
      <c r="B5229" s="5">
        <v>218</v>
      </c>
      <c r="C5229" s="5">
        <v>8</v>
      </c>
      <c r="D5229" s="25">
        <v>1.1416E-4</v>
      </c>
      <c r="E5229" s="25">
        <v>1.2003E-4</v>
      </c>
      <c r="F5229" s="25">
        <v>1.0985E-4</v>
      </c>
      <c r="G5229" s="25">
        <v>1.5801000000000001E-4</v>
      </c>
      <c r="H5229" s="25">
        <v>1.9828000000000001E-4</v>
      </c>
      <c r="I5229" s="9">
        <v>1.0082E-4</v>
      </c>
      <c r="J5229" s="9">
        <v>1.1629999999999999E-4</v>
      </c>
      <c r="K5229" s="9">
        <v>0</v>
      </c>
      <c r="L5229" s="9">
        <v>1.9347E-4</v>
      </c>
      <c r="M5229" s="9">
        <v>1.6254E-4</v>
      </c>
      <c r="N5229" s="9">
        <v>1.5242000000000001E-4</v>
      </c>
      <c r="O5229" s="9">
        <v>2.1267000000000001E-4</v>
      </c>
      <c r="P5229" s="9">
        <v>1.5902000000000001E-4</v>
      </c>
      <c r="Q5229" s="9">
        <v>1.0696000000000001E-4</v>
      </c>
      <c r="R5229" s="10">
        <v>4.9239061359543213E-5</v>
      </c>
      <c r="S5229" s="10">
        <v>6.7648089775309501E-5</v>
      </c>
      <c r="T5229" s="10">
        <v>3.1947629202961649E-4</v>
      </c>
      <c r="U5229" s="10">
        <v>7.3330000000000004E-5</v>
      </c>
      <c r="V5229" s="25"/>
      <c r="W5229" s="25"/>
      <c r="X5229" s="25"/>
      <c r="Y5229" s="25"/>
      <c r="Z5229" s="25"/>
      <c r="AA5229" s="25"/>
    </row>
    <row r="5230" spans="1:27" x14ac:dyDescent="0.35">
      <c r="A5230" s="5">
        <v>5226</v>
      </c>
      <c r="B5230" s="5">
        <v>218</v>
      </c>
      <c r="C5230" s="5">
        <v>8</v>
      </c>
      <c r="D5230" s="25">
        <v>1.1415000000000001E-4</v>
      </c>
      <c r="E5230" s="25">
        <v>1.1916E-4</v>
      </c>
      <c r="F5230" s="25">
        <v>9.611E-5</v>
      </c>
      <c r="G5230" s="25">
        <v>1.6007E-4</v>
      </c>
      <c r="H5230" s="25">
        <v>1.9327999999999999E-4</v>
      </c>
      <c r="I5230" s="9">
        <v>1.0198E-4</v>
      </c>
      <c r="J5230" s="9">
        <v>1.1399E-4</v>
      </c>
      <c r="K5230" s="9">
        <v>0</v>
      </c>
      <c r="L5230" s="9">
        <v>2.0819999999999999E-4</v>
      </c>
      <c r="M5230" s="9">
        <v>1.5977999999999999E-4</v>
      </c>
      <c r="N5230" s="9">
        <v>1.3912000000000001E-4</v>
      </c>
      <c r="O5230" s="9">
        <v>2.0398000000000001E-4</v>
      </c>
      <c r="P5230" s="9">
        <v>1.5998E-4</v>
      </c>
      <c r="Q5230" s="9">
        <v>1.1737E-4</v>
      </c>
      <c r="R5230" s="10">
        <v>6.1064010581928654E-5</v>
      </c>
      <c r="S5230" s="10">
        <v>8.941411162240077E-5</v>
      </c>
      <c r="T5230" s="10">
        <v>1.3600331858278455E-4</v>
      </c>
      <c r="U5230" s="10">
        <v>7.3330000000000004E-5</v>
      </c>
      <c r="V5230" s="25"/>
      <c r="W5230" s="25"/>
      <c r="X5230" s="25"/>
      <c r="Y5230" s="25"/>
      <c r="Z5230" s="25"/>
      <c r="AA5230" s="25"/>
    </row>
    <row r="5231" spans="1:27" x14ac:dyDescent="0.35">
      <c r="A5231" s="5">
        <v>5227</v>
      </c>
      <c r="B5231" s="5">
        <v>218</v>
      </c>
      <c r="C5231" s="5">
        <v>8</v>
      </c>
      <c r="D5231" s="25">
        <v>1.1416E-4</v>
      </c>
      <c r="E5231" s="25">
        <v>1.2313999999999999E-4</v>
      </c>
      <c r="F5231" s="25">
        <v>9.3259999999999998E-5</v>
      </c>
      <c r="G5231" s="25">
        <v>1.0676E-4</v>
      </c>
      <c r="H5231" s="25">
        <v>1.2731E-4</v>
      </c>
      <c r="I5231" s="9">
        <v>1.0179E-4</v>
      </c>
      <c r="J5231" s="9">
        <v>1.1173E-4</v>
      </c>
      <c r="K5231" s="9">
        <v>1.908E-5</v>
      </c>
      <c r="L5231" s="9">
        <v>2.0453999999999999E-4</v>
      </c>
      <c r="M5231" s="9">
        <v>1.5928000000000001E-4</v>
      </c>
      <c r="N5231" s="9">
        <v>1.3004999999999999E-4</v>
      </c>
      <c r="O5231" s="9">
        <v>1.6499E-4</v>
      </c>
      <c r="P5231" s="9">
        <v>1.3593000000000001E-4</v>
      </c>
      <c r="Q5231" s="9">
        <v>1.0789E-4</v>
      </c>
      <c r="R5231" s="10">
        <v>6.5811956274991251E-5</v>
      </c>
      <c r="S5231" s="10">
        <v>9.185704277951013E-5</v>
      </c>
      <c r="T5231" s="10">
        <v>2.3688163785597909E-5</v>
      </c>
      <c r="U5231" s="10">
        <v>7.3330000000000004E-5</v>
      </c>
      <c r="V5231" s="25"/>
      <c r="W5231" s="25"/>
      <c r="X5231" s="25"/>
      <c r="Y5231" s="25"/>
      <c r="Z5231" s="25"/>
      <c r="AA5231" s="25"/>
    </row>
    <row r="5232" spans="1:27" x14ac:dyDescent="0.35">
      <c r="A5232" s="5">
        <v>5228</v>
      </c>
      <c r="B5232" s="5">
        <v>218</v>
      </c>
      <c r="C5232" s="5">
        <v>8</v>
      </c>
      <c r="D5232" s="25">
        <v>1.1415000000000001E-4</v>
      </c>
      <c r="E5232" s="25">
        <v>1.1768E-4</v>
      </c>
      <c r="F5232" s="25">
        <v>9.399E-5</v>
      </c>
      <c r="G5232" s="25">
        <v>1.1464999999999999E-4</v>
      </c>
      <c r="H5232" s="25">
        <v>1.2998999999999999E-4</v>
      </c>
      <c r="I5232" s="9">
        <v>1.0172E-4</v>
      </c>
      <c r="J5232" s="9">
        <v>1.0902E-4</v>
      </c>
      <c r="K5232" s="9">
        <v>5.5109999999999999E-5</v>
      </c>
      <c r="L5232" s="9">
        <v>1.7386999999999999E-4</v>
      </c>
      <c r="M5232" s="9">
        <v>1.5091E-4</v>
      </c>
      <c r="N5232" s="9">
        <v>1.2111E-4</v>
      </c>
      <c r="O5232" s="9">
        <v>1.2813000000000001E-4</v>
      </c>
      <c r="P5232" s="9">
        <v>1.1456E-4</v>
      </c>
      <c r="Q5232" s="9">
        <v>1.0162000000000001E-4</v>
      </c>
      <c r="R5232" s="10">
        <v>6.2991776761509179E-5</v>
      </c>
      <c r="S5232" s="10">
        <v>8.1433261118128562E-5</v>
      </c>
      <c r="T5232" s="10">
        <v>0</v>
      </c>
      <c r="U5232" s="10">
        <v>7.3330000000000004E-5</v>
      </c>
      <c r="V5232" s="25"/>
      <c r="W5232" s="25"/>
      <c r="X5232" s="25"/>
      <c r="Y5232" s="25"/>
      <c r="Z5232" s="25"/>
      <c r="AA5232" s="25"/>
    </row>
    <row r="5233" spans="1:27" x14ac:dyDescent="0.35">
      <c r="A5233" s="5">
        <v>5229</v>
      </c>
      <c r="B5233" s="5">
        <v>218</v>
      </c>
      <c r="C5233" s="5">
        <v>8</v>
      </c>
      <c r="D5233" s="25">
        <v>1.1416E-4</v>
      </c>
      <c r="E5233" s="25">
        <v>1.2199E-4</v>
      </c>
      <c r="F5233" s="25">
        <v>1.0757E-4</v>
      </c>
      <c r="G5233" s="25">
        <v>5.5770000000000003E-5</v>
      </c>
      <c r="H5233" s="25">
        <v>7.5580000000000005E-5</v>
      </c>
      <c r="I5233" s="9">
        <v>1.0153999999999999E-4</v>
      </c>
      <c r="J5233" s="9">
        <v>1.0747999999999999E-4</v>
      </c>
      <c r="K5233" s="9">
        <v>8.9010000000000003E-5</v>
      </c>
      <c r="L5233" s="9">
        <v>1.3914E-4</v>
      </c>
      <c r="M5233" s="9">
        <v>1.3548E-4</v>
      </c>
      <c r="N5233" s="9">
        <v>1.1334E-4</v>
      </c>
      <c r="O5233" s="9">
        <v>8.4850000000000002E-5</v>
      </c>
      <c r="P5233" s="9">
        <v>8.6619999999999994E-5</v>
      </c>
      <c r="Q5233" s="9">
        <v>8.8620000000000002E-5</v>
      </c>
      <c r="R5233" s="10">
        <v>5.7046934991723411E-5</v>
      </c>
      <c r="S5233" s="10">
        <v>7.030838195857915E-5</v>
      </c>
      <c r="T5233" s="10">
        <v>0</v>
      </c>
      <c r="U5233" s="10">
        <v>7.3330000000000004E-5</v>
      </c>
      <c r="V5233" s="25"/>
      <c r="W5233" s="25"/>
      <c r="X5233" s="25"/>
      <c r="Y5233" s="25"/>
      <c r="Z5233" s="25"/>
      <c r="AA5233" s="25"/>
    </row>
    <row r="5234" spans="1:27" x14ac:dyDescent="0.35">
      <c r="A5234" s="5">
        <v>5230</v>
      </c>
      <c r="B5234" s="5">
        <v>218</v>
      </c>
      <c r="C5234" s="5">
        <v>8</v>
      </c>
      <c r="D5234" s="25">
        <v>1.1415000000000001E-4</v>
      </c>
      <c r="E5234" s="25">
        <v>1.154E-4</v>
      </c>
      <c r="F5234" s="25">
        <v>8.9129999999999995E-5</v>
      </c>
      <c r="G5234" s="25">
        <v>5.4610000000000001E-5</v>
      </c>
      <c r="H5234" s="25">
        <v>6.4560000000000005E-5</v>
      </c>
      <c r="I5234" s="9">
        <v>1.0389E-4</v>
      </c>
      <c r="J5234" s="9">
        <v>1.0527999999999999E-4</v>
      </c>
      <c r="K5234" s="9">
        <v>1.1021E-4</v>
      </c>
      <c r="L5234" s="9">
        <v>9.7730000000000001E-5</v>
      </c>
      <c r="M5234" s="9">
        <v>1.1391E-4</v>
      </c>
      <c r="N5234" s="9">
        <v>1.0577E-4</v>
      </c>
      <c r="O5234" s="9">
        <v>8.666E-5</v>
      </c>
      <c r="P5234" s="9">
        <v>8.7029999999999999E-5</v>
      </c>
      <c r="Q5234" s="9">
        <v>8.7680000000000001E-5</v>
      </c>
      <c r="R5234" s="10">
        <v>4.9388742698412091E-5</v>
      </c>
      <c r="S5234" s="10">
        <v>6.2547565763791809E-5</v>
      </c>
      <c r="T5234" s="10">
        <v>0</v>
      </c>
      <c r="U5234" s="10">
        <v>7.3330000000000004E-5</v>
      </c>
      <c r="V5234" s="25"/>
      <c r="W5234" s="25"/>
      <c r="X5234" s="25"/>
      <c r="Y5234" s="25"/>
      <c r="Z5234" s="25"/>
      <c r="AA5234" s="25"/>
    </row>
    <row r="5235" spans="1:27" x14ac:dyDescent="0.35">
      <c r="A5235" s="5">
        <v>5231</v>
      </c>
      <c r="B5235" s="5">
        <v>218</v>
      </c>
      <c r="C5235" s="5">
        <v>8</v>
      </c>
      <c r="D5235" s="25">
        <v>1.1416E-4</v>
      </c>
      <c r="E5235" s="25">
        <v>1.1675000000000001E-4</v>
      </c>
      <c r="F5235" s="25">
        <v>1.0974E-4</v>
      </c>
      <c r="G5235" s="25">
        <v>5.2160000000000002E-5</v>
      </c>
      <c r="H5235" s="25">
        <v>6.3040000000000006E-5</v>
      </c>
      <c r="I5235" s="9">
        <v>9.9279999999999998E-5</v>
      </c>
      <c r="J5235" s="9">
        <v>1.0090999999999999E-4</v>
      </c>
      <c r="K5235" s="9">
        <v>1.3774999999999999E-4</v>
      </c>
      <c r="L5235" s="9">
        <v>9.0019999999999995E-5</v>
      </c>
      <c r="M5235" s="9">
        <v>9.8950000000000006E-5</v>
      </c>
      <c r="N5235" s="9">
        <v>9.9809999999999995E-5</v>
      </c>
      <c r="O5235" s="9">
        <v>7.7230000000000004E-5</v>
      </c>
      <c r="P5235" s="9">
        <v>7.169E-5</v>
      </c>
      <c r="Q5235" s="9">
        <v>6.6470000000000006E-5</v>
      </c>
      <c r="R5235" s="10">
        <v>4.1807901382882615E-5</v>
      </c>
      <c r="S5235" s="10">
        <v>6.0304043260201686E-5</v>
      </c>
      <c r="T5235" s="10">
        <v>0</v>
      </c>
      <c r="U5235" s="10">
        <v>7.3330000000000004E-5</v>
      </c>
      <c r="V5235" s="25"/>
      <c r="W5235" s="25"/>
      <c r="X5235" s="25"/>
      <c r="Y5235" s="25"/>
      <c r="Z5235" s="25"/>
      <c r="AA5235" s="25"/>
    </row>
    <row r="5236" spans="1:27" x14ac:dyDescent="0.35">
      <c r="A5236" s="5">
        <v>5232</v>
      </c>
      <c r="B5236" s="5">
        <v>218</v>
      </c>
      <c r="C5236" s="5">
        <v>8</v>
      </c>
      <c r="D5236" s="25">
        <v>1.1415000000000001E-4</v>
      </c>
      <c r="E5236" s="25">
        <v>1.1996E-4</v>
      </c>
      <c r="F5236" s="25">
        <v>9.1970000000000002E-5</v>
      </c>
      <c r="G5236" s="25">
        <v>6.0579999999999999E-5</v>
      </c>
      <c r="H5236" s="25">
        <v>6.5400000000000004E-5</v>
      </c>
      <c r="I5236" s="9">
        <v>9.3419999999999997E-5</v>
      </c>
      <c r="J5236" s="9">
        <v>9.48E-5</v>
      </c>
      <c r="K5236" s="9">
        <v>1.3776000000000001E-4</v>
      </c>
      <c r="L5236" s="9">
        <v>8.0039999999999999E-5</v>
      </c>
      <c r="M5236" s="9">
        <v>8.5829999999999996E-5</v>
      </c>
      <c r="N5236" s="9">
        <v>9.043E-5</v>
      </c>
      <c r="O5236" s="9">
        <v>6.2970000000000002E-5</v>
      </c>
      <c r="P5236" s="9">
        <v>6.0930000000000001E-5</v>
      </c>
      <c r="Q5236" s="9">
        <v>5.9110000000000002E-5</v>
      </c>
      <c r="R5236" s="10">
        <v>3.4125811108760489E-5</v>
      </c>
      <c r="S5236" s="10">
        <v>6.1353489387949646E-5</v>
      </c>
      <c r="T5236" s="10">
        <v>0</v>
      </c>
      <c r="U5236" s="10">
        <v>7.3330000000000004E-5</v>
      </c>
      <c r="V5236" s="25"/>
      <c r="W5236" s="25"/>
      <c r="X5236" s="25"/>
      <c r="Y5236" s="25"/>
      <c r="Z5236" s="25"/>
      <c r="AA5236" s="25"/>
    </row>
    <row r="5237" spans="1:27" x14ac:dyDescent="0.35">
      <c r="A5237" s="5">
        <v>5233</v>
      </c>
      <c r="B5237" s="5">
        <v>219</v>
      </c>
      <c r="C5237" s="5">
        <v>8</v>
      </c>
      <c r="D5237" s="25">
        <v>1.1416E-4</v>
      </c>
      <c r="E5237" s="25">
        <v>1.0314000000000001E-4</v>
      </c>
      <c r="F5237" s="25">
        <v>1.4002E-4</v>
      </c>
      <c r="G5237" s="25">
        <v>5.6459999999999998E-5</v>
      </c>
      <c r="H5237" s="25">
        <v>6.5110000000000005E-5</v>
      </c>
      <c r="I5237" s="9">
        <v>8.9090000000000003E-5</v>
      </c>
      <c r="J5237" s="9">
        <v>9.0080000000000005E-5</v>
      </c>
      <c r="K5237" s="9">
        <v>9.9610000000000003E-5</v>
      </c>
      <c r="L5237" s="9">
        <v>6.6730000000000007E-5</v>
      </c>
      <c r="M5237" s="9">
        <v>7.3850000000000006E-5</v>
      </c>
      <c r="N5237" s="9">
        <v>8.106E-5</v>
      </c>
      <c r="O5237" s="9">
        <v>5.4979999999999999E-5</v>
      </c>
      <c r="P5237" s="9">
        <v>5.4400000000000001E-5</v>
      </c>
      <c r="Q5237" s="9">
        <v>5.397E-5</v>
      </c>
      <c r="R5237" s="10">
        <v>2.5109441847811898E-5</v>
      </c>
      <c r="S5237" s="10">
        <v>5.7338163004518844E-5</v>
      </c>
      <c r="T5237" s="10">
        <v>0</v>
      </c>
      <c r="U5237" s="10">
        <v>7.4019999999999999E-5</v>
      </c>
      <c r="V5237" s="25"/>
      <c r="W5237" s="25"/>
      <c r="X5237" s="25"/>
      <c r="Y5237" s="25"/>
      <c r="Z5237" s="25"/>
      <c r="AA5237" s="25"/>
    </row>
    <row r="5238" spans="1:27" x14ac:dyDescent="0.35">
      <c r="A5238" s="5">
        <v>5234</v>
      </c>
      <c r="B5238" s="5">
        <v>219</v>
      </c>
      <c r="C5238" s="5">
        <v>8</v>
      </c>
      <c r="D5238" s="25">
        <v>1.1415000000000001E-4</v>
      </c>
      <c r="E5238" s="25">
        <v>1.0416000000000001E-4</v>
      </c>
      <c r="F5238" s="25">
        <v>1.2652E-4</v>
      </c>
      <c r="G5238" s="25">
        <v>5.5019999999999998E-5</v>
      </c>
      <c r="H5238" s="25">
        <v>7.1249999999999997E-5</v>
      </c>
      <c r="I5238" s="9">
        <v>8.5400000000000002E-5</v>
      </c>
      <c r="J5238" s="9">
        <v>8.7070000000000005E-5</v>
      </c>
      <c r="K5238" s="9">
        <v>9.3250000000000003E-5</v>
      </c>
      <c r="L5238" s="9">
        <v>5.7930000000000003E-5</v>
      </c>
      <c r="M5238" s="9">
        <v>6.402E-5</v>
      </c>
      <c r="N5238" s="9">
        <v>7.2089999999999996E-5</v>
      </c>
      <c r="O5238" s="9">
        <v>1.8980000000000001E-5</v>
      </c>
      <c r="P5238" s="9">
        <v>3.7629999999999997E-5</v>
      </c>
      <c r="Q5238" s="9">
        <v>5.5999999999999999E-5</v>
      </c>
      <c r="R5238" s="10">
        <v>1.7795517880384493E-5</v>
      </c>
      <c r="S5238" s="10">
        <v>4.3638403948790282E-5</v>
      </c>
      <c r="T5238" s="10">
        <v>0</v>
      </c>
      <c r="U5238" s="10">
        <v>7.4019999999999999E-5</v>
      </c>
      <c r="V5238" s="25"/>
      <c r="W5238" s="25"/>
      <c r="X5238" s="25"/>
      <c r="Y5238" s="25"/>
      <c r="Z5238" s="25"/>
      <c r="AA5238" s="25"/>
    </row>
    <row r="5239" spans="1:27" x14ac:dyDescent="0.35">
      <c r="A5239" s="5">
        <v>5235</v>
      </c>
      <c r="B5239" s="5">
        <v>219</v>
      </c>
      <c r="C5239" s="5">
        <v>8</v>
      </c>
      <c r="D5239" s="25">
        <v>1.1416E-4</v>
      </c>
      <c r="E5239" s="25">
        <v>1.077E-4</v>
      </c>
      <c r="F5239" s="25">
        <v>1.3112E-4</v>
      </c>
      <c r="G5239" s="25">
        <v>5.8860000000000002E-5</v>
      </c>
      <c r="H5239" s="25">
        <v>6.5450000000000005E-5</v>
      </c>
      <c r="I5239" s="9">
        <v>8.3679999999999998E-5</v>
      </c>
      <c r="J5239" s="9">
        <v>8.5539999999999998E-5</v>
      </c>
      <c r="K5239" s="9">
        <v>1.0173E-4</v>
      </c>
      <c r="L5239" s="9">
        <v>2.775E-5</v>
      </c>
      <c r="M5239" s="9">
        <v>5.2290000000000002E-5</v>
      </c>
      <c r="N5239" s="9">
        <v>6.5489999999999998E-5</v>
      </c>
      <c r="O5239" s="9">
        <v>1.3529999999999999E-5</v>
      </c>
      <c r="P5239" s="9">
        <v>3.7599999999999999E-5</v>
      </c>
      <c r="Q5239" s="9">
        <v>6.1290000000000004E-5</v>
      </c>
      <c r="R5239" s="10">
        <v>1.0375147758579696E-5</v>
      </c>
      <c r="S5239" s="10">
        <v>2.5128374937684602E-5</v>
      </c>
      <c r="T5239" s="10">
        <v>0</v>
      </c>
      <c r="U5239" s="10">
        <v>7.4019999999999999E-5</v>
      </c>
      <c r="V5239" s="25"/>
      <c r="W5239" s="25"/>
      <c r="X5239" s="25"/>
      <c r="Y5239" s="25"/>
      <c r="Z5239" s="25"/>
      <c r="AA5239" s="25"/>
    </row>
    <row r="5240" spans="1:27" x14ac:dyDescent="0.35">
      <c r="A5240" s="5">
        <v>5236</v>
      </c>
      <c r="B5240" s="5">
        <v>219</v>
      </c>
      <c r="C5240" s="5">
        <v>8</v>
      </c>
      <c r="D5240" s="25">
        <v>1.1415000000000001E-4</v>
      </c>
      <c r="E5240" s="25">
        <v>1.1387000000000001E-4</v>
      </c>
      <c r="F5240" s="25">
        <v>1.2658999999999999E-4</v>
      </c>
      <c r="G5240" s="25">
        <v>5.2120000000000002E-5</v>
      </c>
      <c r="H5240" s="25">
        <v>7.2290000000000001E-5</v>
      </c>
      <c r="I5240" s="9">
        <v>8.2799999999999993E-5</v>
      </c>
      <c r="J5240" s="9">
        <v>8.488E-5</v>
      </c>
      <c r="K5240" s="9">
        <v>1.0809E-4</v>
      </c>
      <c r="L5240" s="9">
        <v>1.7410000000000001E-5</v>
      </c>
      <c r="M5240" s="9">
        <v>4.4180000000000001E-5</v>
      </c>
      <c r="N5240" s="9">
        <v>6.1870000000000002E-5</v>
      </c>
      <c r="O5240" s="9">
        <v>1.348E-5</v>
      </c>
      <c r="P5240" s="9">
        <v>4.6810000000000001E-5</v>
      </c>
      <c r="Q5240" s="9">
        <v>7.962E-5</v>
      </c>
      <c r="R5240" s="10">
        <v>5.2585378689989139E-6</v>
      </c>
      <c r="S5240" s="10">
        <v>1.0274015632029115E-5</v>
      </c>
      <c r="T5240" s="10">
        <v>0</v>
      </c>
      <c r="U5240" s="10">
        <v>7.4019999999999999E-5</v>
      </c>
      <c r="V5240" s="25"/>
      <c r="W5240" s="25"/>
      <c r="X5240" s="25"/>
      <c r="Y5240" s="25"/>
      <c r="Z5240" s="25"/>
      <c r="AA5240" s="25"/>
    </row>
    <row r="5241" spans="1:27" x14ac:dyDescent="0.35">
      <c r="A5241" s="5">
        <v>5237</v>
      </c>
      <c r="B5241" s="5">
        <v>219</v>
      </c>
      <c r="C5241" s="5">
        <v>8</v>
      </c>
      <c r="D5241" s="25">
        <v>1.1416E-4</v>
      </c>
      <c r="E5241" s="25">
        <v>1.0653E-4</v>
      </c>
      <c r="F5241" s="25">
        <v>1.4008E-4</v>
      </c>
      <c r="G5241" s="25">
        <v>5.7229999999999999E-5</v>
      </c>
      <c r="H5241" s="25">
        <v>6.2819999999999998E-5</v>
      </c>
      <c r="I5241" s="9">
        <v>8.3250000000000004E-5</v>
      </c>
      <c r="J5241" s="9">
        <v>8.509E-5</v>
      </c>
      <c r="K5241" s="9">
        <v>1.208E-4</v>
      </c>
      <c r="L5241" s="9">
        <v>1.4589999999999999E-5</v>
      </c>
      <c r="M5241" s="9">
        <v>4.3309999999999997E-5</v>
      </c>
      <c r="N5241" s="9">
        <v>6.4259999999999998E-5</v>
      </c>
      <c r="O5241" s="9">
        <v>1.9009999999999999E-5</v>
      </c>
      <c r="P5241" s="9">
        <v>5.6530000000000003E-5</v>
      </c>
      <c r="Q5241" s="9">
        <v>9.3480000000000006E-5</v>
      </c>
      <c r="R5241" s="10">
        <v>1.9377213004145111E-6</v>
      </c>
      <c r="S5241" s="10">
        <v>2.8724999903117812E-6</v>
      </c>
      <c r="T5241" s="10">
        <v>0</v>
      </c>
      <c r="U5241" s="10">
        <v>7.4019999999999999E-5</v>
      </c>
      <c r="V5241" s="25"/>
      <c r="W5241" s="25"/>
      <c r="X5241" s="25"/>
      <c r="Y5241" s="25"/>
      <c r="Z5241" s="25"/>
      <c r="AA5241" s="25"/>
    </row>
    <row r="5242" spans="1:27" x14ac:dyDescent="0.35">
      <c r="A5242" s="5">
        <v>5238</v>
      </c>
      <c r="B5242" s="5">
        <v>219</v>
      </c>
      <c r="C5242" s="5">
        <v>8</v>
      </c>
      <c r="D5242" s="25">
        <v>1.1415000000000001E-4</v>
      </c>
      <c r="E5242" s="25">
        <v>1.1325E-4</v>
      </c>
      <c r="F5242" s="25">
        <v>1.2219999999999999E-4</v>
      </c>
      <c r="G5242" s="25">
        <v>1.1555E-4</v>
      </c>
      <c r="H5242" s="25">
        <v>1.2938000000000001E-4</v>
      </c>
      <c r="I5242" s="9">
        <v>8.2999999999999998E-5</v>
      </c>
      <c r="J5242" s="9">
        <v>8.5799999999999998E-5</v>
      </c>
      <c r="K5242" s="9">
        <v>5.7229999999999999E-5</v>
      </c>
      <c r="L5242" s="9">
        <v>1.791E-5</v>
      </c>
      <c r="M5242" s="9">
        <v>4.8189999999999998E-5</v>
      </c>
      <c r="N5242" s="9">
        <v>7.0779999999999997E-5</v>
      </c>
      <c r="O5242" s="9">
        <v>4.651E-5</v>
      </c>
      <c r="P5242" s="9">
        <v>7.7150000000000005E-5</v>
      </c>
      <c r="Q5242" s="9">
        <v>1.0743000000000001E-4</v>
      </c>
      <c r="R5242" s="10">
        <v>2.8369281768700884E-6</v>
      </c>
      <c r="S5242" s="10">
        <v>2.527893286061827E-6</v>
      </c>
      <c r="T5242" s="10">
        <v>2.2983966939536076E-5</v>
      </c>
      <c r="U5242" s="10">
        <v>7.4019999999999999E-5</v>
      </c>
      <c r="V5242" s="25"/>
      <c r="W5242" s="25"/>
      <c r="X5242" s="25"/>
      <c r="Y5242" s="25"/>
      <c r="Z5242" s="25"/>
      <c r="AA5242" s="25"/>
    </row>
    <row r="5243" spans="1:27" x14ac:dyDescent="0.35">
      <c r="A5243" s="5">
        <v>5239</v>
      </c>
      <c r="B5243" s="5">
        <v>219</v>
      </c>
      <c r="C5243" s="5">
        <v>8</v>
      </c>
      <c r="D5243" s="25">
        <v>1.1416E-4</v>
      </c>
      <c r="E5243" s="25">
        <v>1.0589E-4</v>
      </c>
      <c r="F5243" s="25">
        <v>1.3090000000000001E-4</v>
      </c>
      <c r="G5243" s="25">
        <v>1.0997000000000001E-4</v>
      </c>
      <c r="H5243" s="25">
        <v>1.3321000000000001E-4</v>
      </c>
      <c r="I5243" s="9">
        <v>8.6139999999999999E-5</v>
      </c>
      <c r="J5243" s="9">
        <v>8.8700000000000001E-5</v>
      </c>
      <c r="K5243" s="9">
        <v>3.8149999999999999E-5</v>
      </c>
      <c r="L5243" s="9">
        <v>4.0070000000000001E-5</v>
      </c>
      <c r="M5243" s="9">
        <v>6.0000000000000002E-5</v>
      </c>
      <c r="N5243" s="9">
        <v>8.0589999999999999E-5</v>
      </c>
      <c r="O5243" s="9">
        <v>1.2192E-4</v>
      </c>
      <c r="P5243" s="9">
        <v>1.1654000000000001E-4</v>
      </c>
      <c r="Q5243" s="9">
        <v>1.1163E-4</v>
      </c>
      <c r="R5243" s="10">
        <v>7.2499670836076913E-6</v>
      </c>
      <c r="S5243" s="10">
        <v>2.6107281767696251E-6</v>
      </c>
      <c r="T5243" s="10">
        <v>1.1585310762619607E-4</v>
      </c>
      <c r="U5243" s="10">
        <v>7.4019999999999999E-5</v>
      </c>
      <c r="V5243" s="25"/>
      <c r="W5243" s="25"/>
      <c r="X5243" s="25"/>
      <c r="Y5243" s="25"/>
      <c r="Z5243" s="25"/>
      <c r="AA5243" s="25"/>
    </row>
    <row r="5244" spans="1:27" x14ac:dyDescent="0.35">
      <c r="A5244" s="5">
        <v>5240</v>
      </c>
      <c r="B5244" s="5">
        <v>219</v>
      </c>
      <c r="C5244" s="5">
        <v>8</v>
      </c>
      <c r="D5244" s="25">
        <v>1.1415000000000001E-4</v>
      </c>
      <c r="E5244" s="25">
        <v>1.1347E-4</v>
      </c>
      <c r="F5244" s="25">
        <v>1.4056999999999999E-4</v>
      </c>
      <c r="G5244" s="25">
        <v>1.5713000000000001E-4</v>
      </c>
      <c r="H5244" s="25">
        <v>1.9521999999999999E-4</v>
      </c>
      <c r="I5244" s="9">
        <v>8.9499999999999994E-5</v>
      </c>
      <c r="J5244" s="9">
        <v>9.4989999999999997E-5</v>
      </c>
      <c r="K5244" s="9">
        <v>2.968E-5</v>
      </c>
      <c r="L5244" s="9">
        <v>1.033E-4</v>
      </c>
      <c r="M5244" s="9">
        <v>8.3399999999999994E-5</v>
      </c>
      <c r="N5244" s="9">
        <v>9.0539999999999997E-5</v>
      </c>
      <c r="O5244" s="9">
        <v>2.1736999999999999E-4</v>
      </c>
      <c r="P5244" s="9">
        <v>1.7594E-4</v>
      </c>
      <c r="Q5244" s="9">
        <v>1.3590999999999999E-4</v>
      </c>
      <c r="R5244" s="10">
        <v>1.1604257239946159E-5</v>
      </c>
      <c r="S5244" s="10">
        <v>3.1308017293524118E-6</v>
      </c>
      <c r="T5244" s="10">
        <v>2.9189383484230314E-4</v>
      </c>
      <c r="U5244" s="10">
        <v>7.4019999999999999E-5</v>
      </c>
      <c r="V5244" s="25"/>
      <c r="W5244" s="25"/>
      <c r="X5244" s="25"/>
      <c r="Y5244" s="25"/>
      <c r="Z5244" s="25"/>
      <c r="AA5244" s="25"/>
    </row>
    <row r="5245" spans="1:27" x14ac:dyDescent="0.35">
      <c r="A5245" s="5">
        <v>5241</v>
      </c>
      <c r="B5245" s="5">
        <v>219</v>
      </c>
      <c r="C5245" s="5">
        <v>8</v>
      </c>
      <c r="D5245" s="25">
        <v>1.1416E-4</v>
      </c>
      <c r="E5245" s="25">
        <v>1.1238E-4</v>
      </c>
      <c r="F5245" s="25">
        <v>1.1959999999999999E-4</v>
      </c>
      <c r="G5245" s="25">
        <v>1.6023E-4</v>
      </c>
      <c r="H5245" s="25">
        <v>1.9561000000000001E-4</v>
      </c>
      <c r="I5245" s="9">
        <v>9.1990000000000005E-5</v>
      </c>
      <c r="J5245" s="9">
        <v>1.0114E-4</v>
      </c>
      <c r="K5245" s="9">
        <v>1.908E-5</v>
      </c>
      <c r="L5245" s="9">
        <v>1.9055E-4</v>
      </c>
      <c r="M5245" s="9">
        <v>1.2276E-4</v>
      </c>
      <c r="N5245" s="9">
        <v>1.0416000000000001E-4</v>
      </c>
      <c r="O5245" s="9">
        <v>2.1128999999999999E-4</v>
      </c>
      <c r="P5245" s="9">
        <v>1.9395E-4</v>
      </c>
      <c r="Q5245" s="9">
        <v>1.7762999999999999E-4</v>
      </c>
      <c r="R5245" s="10">
        <v>1.1220892762590291E-5</v>
      </c>
      <c r="S5245" s="10">
        <v>3.4205377223505848E-6</v>
      </c>
      <c r="T5245" s="10">
        <v>4.4943030517574948E-4</v>
      </c>
      <c r="U5245" s="10">
        <v>7.4019999999999999E-5</v>
      </c>
      <c r="V5245" s="25"/>
      <c r="W5245" s="25"/>
      <c r="X5245" s="25"/>
      <c r="Y5245" s="25"/>
      <c r="Z5245" s="25"/>
      <c r="AA5245" s="25"/>
    </row>
    <row r="5246" spans="1:27" x14ac:dyDescent="0.35">
      <c r="A5246" s="5">
        <v>5242</v>
      </c>
      <c r="B5246" s="5">
        <v>219</v>
      </c>
      <c r="C5246" s="5">
        <v>8</v>
      </c>
      <c r="D5246" s="25">
        <v>1.1415000000000001E-4</v>
      </c>
      <c r="E5246" s="25">
        <v>1.0318E-4</v>
      </c>
      <c r="F5246" s="25">
        <v>1.2641E-4</v>
      </c>
      <c r="G5246" s="25">
        <v>1.6084000000000001E-4</v>
      </c>
      <c r="H5246" s="25">
        <v>1.9399E-4</v>
      </c>
      <c r="I5246" s="9">
        <v>9.1749999999999994E-5</v>
      </c>
      <c r="J5246" s="9">
        <v>1.0435E-4</v>
      </c>
      <c r="K5246" s="9">
        <v>0</v>
      </c>
      <c r="L5246" s="9">
        <v>2.0443999999999999E-4</v>
      </c>
      <c r="M5246" s="9">
        <v>1.5835999999999999E-4</v>
      </c>
      <c r="N5246" s="9">
        <v>1.2441000000000001E-4</v>
      </c>
      <c r="O5246" s="9">
        <v>1.6605E-4</v>
      </c>
      <c r="P5246" s="9">
        <v>1.7358E-4</v>
      </c>
      <c r="Q5246" s="9">
        <v>1.8155999999999999E-4</v>
      </c>
      <c r="R5246" s="10">
        <v>5.5268682242664896E-6</v>
      </c>
      <c r="S5246" s="10">
        <v>2.7887404918257403E-6</v>
      </c>
      <c r="T5246" s="10">
        <v>5.7162966871585205E-4</v>
      </c>
      <c r="U5246" s="10">
        <v>7.4019999999999999E-5</v>
      </c>
      <c r="V5246" s="25"/>
      <c r="W5246" s="25"/>
      <c r="X5246" s="25"/>
      <c r="Y5246" s="25"/>
      <c r="Z5246" s="25"/>
      <c r="AA5246" s="25"/>
    </row>
    <row r="5247" spans="1:27" x14ac:dyDescent="0.35">
      <c r="A5247" s="5">
        <v>5243</v>
      </c>
      <c r="B5247" s="5">
        <v>219</v>
      </c>
      <c r="C5247" s="5">
        <v>8</v>
      </c>
      <c r="D5247" s="25">
        <v>1.1416E-4</v>
      </c>
      <c r="E5247" s="25">
        <v>1.0485E-4</v>
      </c>
      <c r="F5247" s="25">
        <v>1.236E-4</v>
      </c>
      <c r="G5247" s="25">
        <v>1.5770000000000001E-4</v>
      </c>
      <c r="H5247" s="25">
        <v>1.8734000000000001E-4</v>
      </c>
      <c r="I5247" s="9">
        <v>9.0619999999999996E-5</v>
      </c>
      <c r="J5247" s="9">
        <v>1.0437000000000001E-4</v>
      </c>
      <c r="K5247" s="9">
        <v>0</v>
      </c>
      <c r="L5247" s="9">
        <v>1.7452E-4</v>
      </c>
      <c r="M5247" s="9">
        <v>1.7212999999999999E-4</v>
      </c>
      <c r="N5247" s="9">
        <v>1.4243E-4</v>
      </c>
      <c r="O5247" s="9">
        <v>1.6707000000000001E-4</v>
      </c>
      <c r="P5247" s="9">
        <v>1.7330000000000001E-4</v>
      </c>
      <c r="Q5247" s="9">
        <v>1.8000000000000001E-4</v>
      </c>
      <c r="R5247" s="10">
        <v>1.8115815098779205E-6</v>
      </c>
      <c r="S5247" s="10">
        <v>1.7843754286276919E-6</v>
      </c>
      <c r="T5247" s="10">
        <v>6.4042885214615774E-4</v>
      </c>
      <c r="U5247" s="10">
        <v>7.4019999999999999E-5</v>
      </c>
      <c r="V5247" s="25"/>
      <c r="W5247" s="25"/>
      <c r="X5247" s="25"/>
      <c r="Y5247" s="25"/>
      <c r="Z5247" s="25"/>
      <c r="AA5247" s="25"/>
    </row>
    <row r="5248" spans="1:27" x14ac:dyDescent="0.35">
      <c r="A5248" s="5">
        <v>5244</v>
      </c>
      <c r="B5248" s="5">
        <v>219</v>
      </c>
      <c r="C5248" s="5">
        <v>8</v>
      </c>
      <c r="D5248" s="25">
        <v>1.1415000000000001E-4</v>
      </c>
      <c r="E5248" s="25">
        <v>1.0903E-4</v>
      </c>
      <c r="F5248" s="25">
        <v>1.3027000000000001E-4</v>
      </c>
      <c r="G5248" s="25">
        <v>1.6128E-4</v>
      </c>
      <c r="H5248" s="25">
        <v>1.9954E-4</v>
      </c>
      <c r="I5248" s="9">
        <v>8.7739999999999997E-5</v>
      </c>
      <c r="J5248" s="9">
        <v>1.0359E-4</v>
      </c>
      <c r="K5248" s="9">
        <v>0</v>
      </c>
      <c r="L5248" s="9">
        <v>1.7013999999999999E-4</v>
      </c>
      <c r="M5248" s="9">
        <v>1.7485999999999999E-4</v>
      </c>
      <c r="N5248" s="9">
        <v>1.5667E-4</v>
      </c>
      <c r="O5248" s="9">
        <v>1.6959000000000001E-4</v>
      </c>
      <c r="P5248" s="9">
        <v>1.7171999999999999E-4</v>
      </c>
      <c r="Q5248" s="9">
        <v>1.7438999999999999E-4</v>
      </c>
      <c r="R5248" s="10">
        <v>5.7053118791293617E-7</v>
      </c>
      <c r="S5248" s="10">
        <v>2.7684126294039839E-6</v>
      </c>
      <c r="T5248" s="10">
        <v>6.5974760176643228E-4</v>
      </c>
      <c r="U5248" s="10">
        <v>7.4019999999999999E-5</v>
      </c>
      <c r="V5248" s="25"/>
      <c r="W5248" s="25"/>
      <c r="X5248" s="25"/>
      <c r="Y5248" s="25"/>
      <c r="Z5248" s="25"/>
      <c r="AA5248" s="25"/>
    </row>
    <row r="5249" spans="1:27" x14ac:dyDescent="0.35">
      <c r="A5249" s="5">
        <v>5245</v>
      </c>
      <c r="B5249" s="5">
        <v>219</v>
      </c>
      <c r="C5249" s="5">
        <v>8</v>
      </c>
      <c r="D5249" s="25">
        <v>1.1416E-4</v>
      </c>
      <c r="E5249" s="25">
        <v>1.0543E-4</v>
      </c>
      <c r="F5249" s="25">
        <v>1.3046999999999999E-4</v>
      </c>
      <c r="G5249" s="25">
        <v>1.5708000000000001E-4</v>
      </c>
      <c r="H5249" s="25">
        <v>1.9798999999999999E-4</v>
      </c>
      <c r="I5249" s="9">
        <v>8.4660000000000006E-5</v>
      </c>
      <c r="J5249" s="9">
        <v>1.0164E-4</v>
      </c>
      <c r="K5249" s="9">
        <v>0</v>
      </c>
      <c r="L5249" s="9">
        <v>1.6987E-4</v>
      </c>
      <c r="M5249" s="9">
        <v>1.7395E-4</v>
      </c>
      <c r="N5249" s="9">
        <v>1.6625E-4</v>
      </c>
      <c r="O5249" s="9">
        <v>1.6096E-4</v>
      </c>
      <c r="P5249" s="9">
        <v>1.6385E-4</v>
      </c>
      <c r="Q5249" s="9">
        <v>1.6724E-4</v>
      </c>
      <c r="R5249" s="10">
        <v>1.7681928341603632E-6</v>
      </c>
      <c r="S5249" s="10">
        <v>3.6728176548781471E-6</v>
      </c>
      <c r="T5249" s="10">
        <v>6.6001909934563672E-4</v>
      </c>
      <c r="U5249" s="10">
        <v>7.4019999999999999E-5</v>
      </c>
      <c r="V5249" s="25"/>
      <c r="W5249" s="25"/>
      <c r="X5249" s="25"/>
      <c r="Y5249" s="25"/>
      <c r="Z5249" s="25"/>
      <c r="AA5249" s="25"/>
    </row>
    <row r="5250" spans="1:27" x14ac:dyDescent="0.35">
      <c r="A5250" s="5">
        <v>5246</v>
      </c>
      <c r="B5250" s="5">
        <v>219</v>
      </c>
      <c r="C5250" s="5">
        <v>8</v>
      </c>
      <c r="D5250" s="25">
        <v>1.1415000000000001E-4</v>
      </c>
      <c r="E5250" s="25">
        <v>1.0992E-4</v>
      </c>
      <c r="F5250" s="25">
        <v>1.2378000000000001E-4</v>
      </c>
      <c r="G5250" s="25">
        <v>1.5824E-4</v>
      </c>
      <c r="H5250" s="25">
        <v>1.9588E-4</v>
      </c>
      <c r="I5250" s="9">
        <v>8.2559999999999996E-5</v>
      </c>
      <c r="J5250" s="9">
        <v>9.9619999999999998E-5</v>
      </c>
      <c r="K5250" s="9">
        <v>0</v>
      </c>
      <c r="L5250" s="9">
        <v>1.6265999999999999E-4</v>
      </c>
      <c r="M5250" s="9">
        <v>1.7003999999999999E-4</v>
      </c>
      <c r="N5250" s="9">
        <v>1.7055999999999999E-4</v>
      </c>
      <c r="O5250" s="9">
        <v>1.7676000000000001E-4</v>
      </c>
      <c r="P5250" s="9">
        <v>1.6803E-4</v>
      </c>
      <c r="Q5250" s="9">
        <v>1.6003999999999999E-4</v>
      </c>
      <c r="R5250" s="10">
        <v>1.2233780741763945E-6</v>
      </c>
      <c r="S5250" s="10">
        <v>4.949759025337565E-6</v>
      </c>
      <c r="T5250" s="10">
        <v>6.3677211912624627E-4</v>
      </c>
      <c r="U5250" s="10">
        <v>7.4019999999999999E-5</v>
      </c>
      <c r="V5250" s="25"/>
      <c r="W5250" s="25"/>
      <c r="X5250" s="25"/>
      <c r="Y5250" s="25"/>
      <c r="Z5250" s="25"/>
      <c r="AA5250" s="25"/>
    </row>
    <row r="5251" spans="1:27" x14ac:dyDescent="0.35">
      <c r="A5251" s="5">
        <v>5247</v>
      </c>
      <c r="B5251" s="5">
        <v>219</v>
      </c>
      <c r="C5251" s="5">
        <v>8</v>
      </c>
      <c r="D5251" s="25">
        <v>1.1416E-4</v>
      </c>
      <c r="E5251" s="25">
        <v>1.1137E-4</v>
      </c>
      <c r="F5251" s="25">
        <v>1.2070000000000001E-4</v>
      </c>
      <c r="G5251" s="25">
        <v>1.5867E-4</v>
      </c>
      <c r="H5251" s="25">
        <v>1.9696000000000001E-4</v>
      </c>
      <c r="I5251" s="9">
        <v>8.2109999999999998E-5</v>
      </c>
      <c r="J5251" s="9">
        <v>9.8919999999999995E-5</v>
      </c>
      <c r="K5251" s="9">
        <v>0</v>
      </c>
      <c r="L5251" s="9">
        <v>1.7384E-4</v>
      </c>
      <c r="M5251" s="9">
        <v>1.682E-4</v>
      </c>
      <c r="N5251" s="9">
        <v>1.6990000000000001E-4</v>
      </c>
      <c r="O5251" s="9">
        <v>1.8427E-4</v>
      </c>
      <c r="P5251" s="9">
        <v>1.6857999999999999E-4</v>
      </c>
      <c r="Q5251" s="9">
        <v>1.5377000000000001E-4</v>
      </c>
      <c r="R5251" s="10">
        <v>2.9938448253565529E-6</v>
      </c>
      <c r="S5251" s="10">
        <v>7.3375359288339356E-6</v>
      </c>
      <c r="T5251" s="10">
        <v>5.4952806890873091E-4</v>
      </c>
      <c r="U5251" s="10">
        <v>7.4019999999999999E-5</v>
      </c>
      <c r="V5251" s="25"/>
      <c r="W5251" s="25"/>
      <c r="X5251" s="25"/>
      <c r="Y5251" s="25"/>
      <c r="Z5251" s="25"/>
      <c r="AA5251" s="25"/>
    </row>
    <row r="5252" spans="1:27" x14ac:dyDescent="0.35">
      <c r="A5252" s="5">
        <v>5248</v>
      </c>
      <c r="B5252" s="5">
        <v>219</v>
      </c>
      <c r="C5252" s="5">
        <v>8</v>
      </c>
      <c r="D5252" s="25">
        <v>1.1415000000000001E-4</v>
      </c>
      <c r="E5252" s="25">
        <v>1.0828E-4</v>
      </c>
      <c r="F5252" s="25">
        <v>1.3221000000000001E-4</v>
      </c>
      <c r="G5252" s="25">
        <v>1.5917000000000001E-4</v>
      </c>
      <c r="H5252" s="25">
        <v>1.9054E-4</v>
      </c>
      <c r="I5252" s="9">
        <v>8.3410000000000003E-5</v>
      </c>
      <c r="J5252" s="9">
        <v>9.9090000000000002E-5</v>
      </c>
      <c r="K5252" s="9">
        <v>0</v>
      </c>
      <c r="L5252" s="9">
        <v>1.8169E-4</v>
      </c>
      <c r="M5252" s="9">
        <v>1.6793999999999999E-4</v>
      </c>
      <c r="N5252" s="9">
        <v>1.663E-4</v>
      </c>
      <c r="O5252" s="9">
        <v>1.9832000000000001E-4</v>
      </c>
      <c r="P5252" s="9">
        <v>1.5385E-4</v>
      </c>
      <c r="Q5252" s="9">
        <v>1.1077E-4</v>
      </c>
      <c r="R5252" s="10">
        <v>4.6373840445211108E-6</v>
      </c>
      <c r="S5252" s="10">
        <v>1.1909378665772177E-5</v>
      </c>
      <c r="T5252" s="10">
        <v>4.5309552249501095E-4</v>
      </c>
      <c r="U5252" s="10">
        <v>7.4019999999999999E-5</v>
      </c>
      <c r="V5252" s="25"/>
      <c r="W5252" s="25"/>
      <c r="X5252" s="25"/>
      <c r="Y5252" s="25"/>
      <c r="Z5252" s="25"/>
      <c r="AA5252" s="25"/>
    </row>
    <row r="5253" spans="1:27" x14ac:dyDescent="0.35">
      <c r="A5253" s="5">
        <v>5249</v>
      </c>
      <c r="B5253" s="5">
        <v>219</v>
      </c>
      <c r="C5253" s="5">
        <v>8</v>
      </c>
      <c r="D5253" s="25">
        <v>1.1416E-4</v>
      </c>
      <c r="E5253" s="25">
        <v>1.0592E-4</v>
      </c>
      <c r="F5253" s="25">
        <v>1.3831999999999999E-4</v>
      </c>
      <c r="G5253" s="25">
        <v>1.6464999999999999E-4</v>
      </c>
      <c r="H5253" s="25">
        <v>1.9431E-4</v>
      </c>
      <c r="I5253" s="9">
        <v>8.7029999999999999E-5</v>
      </c>
      <c r="J5253" s="9">
        <v>1.0087E-4</v>
      </c>
      <c r="K5253" s="9">
        <v>0</v>
      </c>
      <c r="L5253" s="9">
        <v>1.9438999999999999E-4</v>
      </c>
      <c r="M5253" s="9">
        <v>1.6294000000000001E-4</v>
      </c>
      <c r="N5253" s="9">
        <v>1.5278000000000001E-4</v>
      </c>
      <c r="O5253" s="9">
        <v>2.1253E-4</v>
      </c>
      <c r="P5253" s="9">
        <v>1.5892E-4</v>
      </c>
      <c r="Q5253" s="9">
        <v>1.0689E-4</v>
      </c>
      <c r="R5253" s="10">
        <v>1.0905608573781733E-5</v>
      </c>
      <c r="S5253" s="10">
        <v>1.8660599785567171E-5</v>
      </c>
      <c r="T5253" s="10">
        <v>2.5178855181417944E-4</v>
      </c>
      <c r="U5253" s="10">
        <v>7.4019999999999999E-5</v>
      </c>
      <c r="V5253" s="25"/>
      <c r="W5253" s="25"/>
      <c r="X5253" s="25"/>
      <c r="Y5253" s="25"/>
      <c r="Z5253" s="25"/>
      <c r="AA5253" s="25"/>
    </row>
    <row r="5254" spans="1:27" x14ac:dyDescent="0.35">
      <c r="A5254" s="5">
        <v>5250</v>
      </c>
      <c r="B5254" s="5">
        <v>219</v>
      </c>
      <c r="C5254" s="5">
        <v>8</v>
      </c>
      <c r="D5254" s="25">
        <v>1.1415000000000001E-4</v>
      </c>
      <c r="E5254" s="25">
        <v>1.1128000000000001E-4</v>
      </c>
      <c r="F5254" s="25">
        <v>1.3469999999999999E-4</v>
      </c>
      <c r="G5254" s="25">
        <v>1.6311E-4</v>
      </c>
      <c r="H5254" s="25">
        <v>1.883E-4</v>
      </c>
      <c r="I5254" s="9">
        <v>9.064E-5</v>
      </c>
      <c r="J5254" s="9">
        <v>1.0161E-4</v>
      </c>
      <c r="K5254" s="9">
        <v>4.2389999999999999E-5</v>
      </c>
      <c r="L5254" s="9">
        <v>2.0827000000000001E-4</v>
      </c>
      <c r="M5254" s="9">
        <v>1.6008999999999999E-4</v>
      </c>
      <c r="N5254" s="9">
        <v>1.3935E-4</v>
      </c>
      <c r="O5254" s="9">
        <v>2.039E-4</v>
      </c>
      <c r="P5254" s="9">
        <v>1.5991000000000001E-4</v>
      </c>
      <c r="Q5254" s="9">
        <v>1.1731999999999999E-4</v>
      </c>
      <c r="R5254" s="10">
        <v>2.1302131480701584E-5</v>
      </c>
      <c r="S5254" s="10">
        <v>2.6269352910158754E-5</v>
      </c>
      <c r="T5254" s="10">
        <v>1.287492426384127E-4</v>
      </c>
      <c r="U5254" s="10">
        <v>7.4019999999999999E-5</v>
      </c>
      <c r="V5254" s="25"/>
      <c r="W5254" s="25"/>
      <c r="X5254" s="25"/>
      <c r="Y5254" s="25"/>
      <c r="Z5254" s="25"/>
      <c r="AA5254" s="25"/>
    </row>
    <row r="5255" spans="1:27" x14ac:dyDescent="0.35">
      <c r="A5255" s="5">
        <v>5251</v>
      </c>
      <c r="B5255" s="5">
        <v>219</v>
      </c>
      <c r="C5255" s="5">
        <v>8</v>
      </c>
      <c r="D5255" s="25">
        <v>1.1416E-4</v>
      </c>
      <c r="E5255" s="25">
        <v>1.0962E-4</v>
      </c>
      <c r="F5255" s="25">
        <v>1.2144E-4</v>
      </c>
      <c r="G5255" s="25">
        <v>1.0708E-4</v>
      </c>
      <c r="H5255" s="25">
        <v>1.3574999999999999E-4</v>
      </c>
      <c r="I5255" s="9">
        <v>9.3109999999999995E-5</v>
      </c>
      <c r="J5255" s="9">
        <v>1.0139E-4</v>
      </c>
      <c r="K5255" s="9">
        <v>3.6040000000000001E-5</v>
      </c>
      <c r="L5255" s="9">
        <v>2.0452E-4</v>
      </c>
      <c r="M5255" s="9">
        <v>1.5940999999999999E-4</v>
      </c>
      <c r="N5255" s="9">
        <v>1.3018E-4</v>
      </c>
      <c r="O5255" s="9">
        <v>1.6477000000000001E-4</v>
      </c>
      <c r="P5255" s="9">
        <v>1.3574999999999999E-4</v>
      </c>
      <c r="Q5255" s="9">
        <v>1.0775E-4</v>
      </c>
      <c r="R5255" s="10">
        <v>2.8667365471752239E-5</v>
      </c>
      <c r="S5255" s="10">
        <v>3.2961429550135944E-5</v>
      </c>
      <c r="T5255" s="10">
        <v>1.8665458570313538E-6</v>
      </c>
      <c r="U5255" s="10">
        <v>7.4019999999999999E-5</v>
      </c>
      <c r="V5255" s="25"/>
      <c r="W5255" s="25"/>
      <c r="X5255" s="25"/>
      <c r="Y5255" s="25"/>
      <c r="Z5255" s="25"/>
      <c r="AA5255" s="25"/>
    </row>
    <row r="5256" spans="1:27" x14ac:dyDescent="0.35">
      <c r="A5256" s="5">
        <v>5252</v>
      </c>
      <c r="B5256" s="5">
        <v>219</v>
      </c>
      <c r="C5256" s="5">
        <v>8</v>
      </c>
      <c r="D5256" s="25">
        <v>1.1415000000000001E-4</v>
      </c>
      <c r="E5256" s="25">
        <v>1.0988E-4</v>
      </c>
      <c r="F5256" s="25">
        <v>1.3562000000000001E-4</v>
      </c>
      <c r="G5256" s="25">
        <v>1.0980999999999999E-4</v>
      </c>
      <c r="H5256" s="25">
        <v>1.2606E-4</v>
      </c>
      <c r="I5256" s="9">
        <v>9.3939999999999998E-5</v>
      </c>
      <c r="J5256" s="9">
        <v>1.0026000000000001E-4</v>
      </c>
      <c r="K5256" s="9">
        <v>5.0869999999999999E-5</v>
      </c>
      <c r="L5256" s="9">
        <v>1.7369999999999999E-4</v>
      </c>
      <c r="M5256" s="9">
        <v>1.5087999999999999E-4</v>
      </c>
      <c r="N5256" s="9">
        <v>1.2119E-4</v>
      </c>
      <c r="O5256" s="9">
        <v>1.272E-4</v>
      </c>
      <c r="P5256" s="9">
        <v>1.1373E-4</v>
      </c>
      <c r="Q5256" s="9">
        <v>1.0089E-4</v>
      </c>
      <c r="R5256" s="10">
        <v>5.0204381714809903E-5</v>
      </c>
      <c r="S5256" s="10">
        <v>3.4533668231452116E-5</v>
      </c>
      <c r="T5256" s="10">
        <v>0</v>
      </c>
      <c r="U5256" s="10">
        <v>7.4019999999999999E-5</v>
      </c>
      <c r="V5256" s="25"/>
      <c r="W5256" s="25"/>
      <c r="X5256" s="25"/>
      <c r="Y5256" s="25"/>
      <c r="Z5256" s="25"/>
      <c r="AA5256" s="25"/>
    </row>
    <row r="5257" spans="1:27" x14ac:dyDescent="0.35">
      <c r="A5257" s="5">
        <v>5253</v>
      </c>
      <c r="B5257" s="5">
        <v>219</v>
      </c>
      <c r="C5257" s="5">
        <v>8</v>
      </c>
      <c r="D5257" s="25">
        <v>1.1416E-4</v>
      </c>
      <c r="E5257" s="25">
        <v>1.1165E-4</v>
      </c>
      <c r="F5257" s="25">
        <v>1.2658999999999999E-4</v>
      </c>
      <c r="G5257" s="25">
        <v>5.3779999999999997E-5</v>
      </c>
      <c r="H5257" s="25">
        <v>7.2449999999999999E-5</v>
      </c>
      <c r="I5257" s="9">
        <v>9.5480000000000001E-5</v>
      </c>
      <c r="J5257" s="9">
        <v>1.0049E-4</v>
      </c>
      <c r="K5257" s="9">
        <v>5.2989999999999999E-5</v>
      </c>
      <c r="L5257" s="9">
        <v>1.3838000000000001E-4</v>
      </c>
      <c r="M5257" s="9">
        <v>1.3514000000000001E-4</v>
      </c>
      <c r="N5257" s="9">
        <v>1.1321E-4</v>
      </c>
      <c r="O5257" s="9">
        <v>8.4790000000000006E-5</v>
      </c>
      <c r="P5257" s="9">
        <v>8.6559999999999998E-5</v>
      </c>
      <c r="Q5257" s="9">
        <v>8.8560000000000006E-5</v>
      </c>
      <c r="R5257" s="10">
        <v>8.1854090144289771E-5</v>
      </c>
      <c r="S5257" s="10">
        <v>3.5806853668387521E-5</v>
      </c>
      <c r="T5257" s="10">
        <v>0</v>
      </c>
      <c r="U5257" s="10">
        <v>7.4019999999999999E-5</v>
      </c>
      <c r="V5257" s="25"/>
      <c r="W5257" s="25"/>
      <c r="X5257" s="25"/>
      <c r="Y5257" s="25"/>
      <c r="Z5257" s="25"/>
      <c r="AA5257" s="25"/>
    </row>
    <row r="5258" spans="1:27" x14ac:dyDescent="0.35">
      <c r="A5258" s="5">
        <v>5254</v>
      </c>
      <c r="B5258" s="5">
        <v>219</v>
      </c>
      <c r="C5258" s="5">
        <v>8</v>
      </c>
      <c r="D5258" s="25">
        <v>1.1415000000000001E-4</v>
      </c>
      <c r="E5258" s="25">
        <v>1.1162000000000001E-4</v>
      </c>
      <c r="F5258" s="25">
        <v>1.2279000000000001E-4</v>
      </c>
      <c r="G5258" s="25">
        <v>5.4889999999999998E-5</v>
      </c>
      <c r="H5258" s="25">
        <v>7.0010000000000002E-5</v>
      </c>
      <c r="I5258" s="9">
        <v>9.7159999999999998E-5</v>
      </c>
      <c r="J5258" s="9">
        <v>1.0064E-4</v>
      </c>
      <c r="K5258" s="9">
        <v>6.1459999999999998E-5</v>
      </c>
      <c r="L5258" s="9">
        <v>9.7529999999999996E-5</v>
      </c>
      <c r="M5258" s="9">
        <v>1.1357999999999999E-4</v>
      </c>
      <c r="N5258" s="9">
        <v>1.0560000000000001E-4</v>
      </c>
      <c r="O5258" s="9">
        <v>8.6730000000000005E-5</v>
      </c>
      <c r="P5258" s="9">
        <v>8.7109999999999998E-5</v>
      </c>
      <c r="Q5258" s="9">
        <v>8.776E-5</v>
      </c>
      <c r="R5258" s="10">
        <v>9.7682461264909167E-5</v>
      </c>
      <c r="S5258" s="10">
        <v>4.1219624738190176E-5</v>
      </c>
      <c r="T5258" s="10">
        <v>0</v>
      </c>
      <c r="U5258" s="10">
        <v>7.4019999999999999E-5</v>
      </c>
      <c r="V5258" s="25"/>
      <c r="W5258" s="25"/>
      <c r="X5258" s="25"/>
      <c r="Y5258" s="25"/>
      <c r="Z5258" s="25"/>
      <c r="AA5258" s="25"/>
    </row>
    <row r="5259" spans="1:27" x14ac:dyDescent="0.35">
      <c r="A5259" s="5">
        <v>5255</v>
      </c>
      <c r="B5259" s="5">
        <v>219</v>
      </c>
      <c r="C5259" s="5">
        <v>8</v>
      </c>
      <c r="D5259" s="25">
        <v>1.1416E-4</v>
      </c>
      <c r="E5259" s="25">
        <v>1.116E-4</v>
      </c>
      <c r="F5259" s="25">
        <v>1.2426000000000001E-4</v>
      </c>
      <c r="G5259" s="25">
        <v>6.2639999999999997E-5</v>
      </c>
      <c r="H5259" s="25">
        <v>7.0119999999999999E-5</v>
      </c>
      <c r="I5259" s="9">
        <v>9.3720000000000004E-5</v>
      </c>
      <c r="J5259" s="9">
        <v>9.624E-5</v>
      </c>
      <c r="K5259" s="9">
        <v>6.1459999999999998E-5</v>
      </c>
      <c r="L5259" s="9">
        <v>9.0019999999999995E-5</v>
      </c>
      <c r="M5259" s="9">
        <v>9.878E-5</v>
      </c>
      <c r="N5259" s="9">
        <v>9.9669999999999999E-5</v>
      </c>
      <c r="O5259" s="9">
        <v>7.7520000000000003E-5</v>
      </c>
      <c r="P5259" s="9">
        <v>7.1959999999999995E-5</v>
      </c>
      <c r="Q5259" s="9">
        <v>6.6730000000000007E-5</v>
      </c>
      <c r="R5259" s="10">
        <v>9.6765425803968635E-5</v>
      </c>
      <c r="S5259" s="10">
        <v>4.3037490063916363E-5</v>
      </c>
      <c r="T5259" s="10">
        <v>0</v>
      </c>
      <c r="U5259" s="10">
        <v>7.4019999999999999E-5</v>
      </c>
      <c r="V5259" s="25"/>
      <c r="W5259" s="25"/>
      <c r="X5259" s="25"/>
      <c r="Y5259" s="25"/>
      <c r="Z5259" s="25"/>
      <c r="AA5259" s="25"/>
    </row>
    <row r="5260" spans="1:27" x14ac:dyDescent="0.35">
      <c r="A5260" s="5">
        <v>5256</v>
      </c>
      <c r="B5260" s="5">
        <v>219</v>
      </c>
      <c r="C5260" s="5">
        <v>8</v>
      </c>
      <c r="D5260" s="25">
        <v>1.1415000000000001E-4</v>
      </c>
      <c r="E5260" s="25">
        <v>1.0532E-4</v>
      </c>
      <c r="F5260" s="25">
        <v>1.2129999999999999E-4</v>
      </c>
      <c r="G5260" s="25">
        <v>6.2279999999999993E-5</v>
      </c>
      <c r="H5260" s="25">
        <v>7.1749999999999996E-5</v>
      </c>
      <c r="I5260" s="9">
        <v>8.8300000000000005E-5</v>
      </c>
      <c r="J5260" s="9">
        <v>9.111E-5</v>
      </c>
      <c r="K5260" s="9">
        <v>7.2059999999999998E-5</v>
      </c>
      <c r="L5260" s="9">
        <v>8.0259999999999994E-5</v>
      </c>
      <c r="M5260" s="9">
        <v>8.5870000000000003E-5</v>
      </c>
      <c r="N5260" s="9">
        <v>9.0359999999999995E-5</v>
      </c>
      <c r="O5260" s="9">
        <v>6.3280000000000004E-5</v>
      </c>
      <c r="P5260" s="9">
        <v>6.1229999999999995E-5</v>
      </c>
      <c r="Q5260" s="9">
        <v>5.94E-5</v>
      </c>
      <c r="R5260" s="10">
        <v>8.2243323013674868E-5</v>
      </c>
      <c r="S5260" s="10">
        <v>3.4314128853129139E-5</v>
      </c>
      <c r="T5260" s="10">
        <v>0</v>
      </c>
      <c r="U5260" s="10">
        <v>7.4019999999999999E-5</v>
      </c>
      <c r="V5260" s="25"/>
      <c r="W5260" s="25"/>
      <c r="X5260" s="25"/>
      <c r="Y5260" s="25"/>
      <c r="Z5260" s="25"/>
      <c r="AA5260" s="25"/>
    </row>
    <row r="5261" spans="1:27" x14ac:dyDescent="0.35">
      <c r="A5261" s="5">
        <v>5257</v>
      </c>
      <c r="B5261" s="5">
        <v>220</v>
      </c>
      <c r="C5261" s="5">
        <v>8</v>
      </c>
      <c r="D5261" s="25">
        <v>1.1416E-4</v>
      </c>
      <c r="E5261" s="25">
        <v>1.1116E-4</v>
      </c>
      <c r="F5261" s="25">
        <v>1.2152E-4</v>
      </c>
      <c r="G5261" s="25">
        <v>5.6579999999999997E-5</v>
      </c>
      <c r="H5261" s="25">
        <v>6.758E-5</v>
      </c>
      <c r="I5261" s="9">
        <v>8.4729999999999997E-5</v>
      </c>
      <c r="J5261" s="9">
        <v>8.674E-5</v>
      </c>
      <c r="K5261" s="9">
        <v>5.2989999999999999E-5</v>
      </c>
      <c r="L5261" s="9">
        <v>6.7020000000000005E-5</v>
      </c>
      <c r="M5261" s="9">
        <v>7.4040000000000003E-5</v>
      </c>
      <c r="N5261" s="9">
        <v>8.1080000000000003E-5</v>
      </c>
      <c r="O5261" s="9">
        <v>5.4500000000000003E-5</v>
      </c>
      <c r="P5261" s="9">
        <v>5.3919999999999999E-5</v>
      </c>
      <c r="Q5261" s="9">
        <v>5.3489999999999998E-5</v>
      </c>
      <c r="R5261" s="10">
        <v>1.0074560318596508E-4</v>
      </c>
      <c r="S5261" s="10">
        <v>3.4893381029927092E-5</v>
      </c>
      <c r="T5261" s="10">
        <v>0</v>
      </c>
      <c r="U5261" s="10">
        <v>7.3330000000000004E-5</v>
      </c>
      <c r="V5261" s="25"/>
      <c r="W5261" s="25"/>
      <c r="X5261" s="25"/>
      <c r="Y5261" s="25"/>
      <c r="Z5261" s="25"/>
      <c r="AA5261" s="25"/>
    </row>
    <row r="5262" spans="1:27" x14ac:dyDescent="0.35">
      <c r="A5262" s="5">
        <v>5258</v>
      </c>
      <c r="B5262" s="5">
        <v>220</v>
      </c>
      <c r="C5262" s="5">
        <v>8</v>
      </c>
      <c r="D5262" s="25">
        <v>1.1415000000000001E-4</v>
      </c>
      <c r="E5262" s="25">
        <v>1.0730000000000001E-4</v>
      </c>
      <c r="F5262" s="25">
        <v>1.2248000000000001E-4</v>
      </c>
      <c r="G5262" s="25">
        <v>5.7729999999999998E-5</v>
      </c>
      <c r="H5262" s="25">
        <v>7.339E-5</v>
      </c>
      <c r="I5262" s="9">
        <v>8.1819999999999999E-5</v>
      </c>
      <c r="J5262" s="9">
        <v>8.3939999999999999E-5</v>
      </c>
      <c r="K5262" s="9">
        <v>5.2979999999999998E-5</v>
      </c>
      <c r="L5262" s="9">
        <v>5.7609999999999999E-5</v>
      </c>
      <c r="M5262" s="9">
        <v>6.3990000000000002E-5</v>
      </c>
      <c r="N5262" s="9">
        <v>7.2050000000000003E-5</v>
      </c>
      <c r="O5262" s="9">
        <v>1.9130000000000001E-5</v>
      </c>
      <c r="P5262" s="9">
        <v>3.7929999999999998E-5</v>
      </c>
      <c r="Q5262" s="9">
        <v>5.6450000000000003E-5</v>
      </c>
      <c r="R5262" s="10">
        <v>9.4888572851631884E-5</v>
      </c>
      <c r="S5262" s="10">
        <v>4.4050906210012019E-5</v>
      </c>
      <c r="T5262" s="10">
        <v>0</v>
      </c>
      <c r="U5262" s="10">
        <v>7.3330000000000004E-5</v>
      </c>
      <c r="V5262" s="25"/>
      <c r="W5262" s="25"/>
      <c r="X5262" s="25"/>
      <c r="Y5262" s="25"/>
      <c r="Z5262" s="25"/>
      <c r="AA5262" s="25"/>
    </row>
    <row r="5263" spans="1:27" x14ac:dyDescent="0.35">
      <c r="A5263" s="5">
        <v>5259</v>
      </c>
      <c r="B5263" s="5">
        <v>220</v>
      </c>
      <c r="C5263" s="5">
        <v>8</v>
      </c>
      <c r="D5263" s="25">
        <v>1.1416E-4</v>
      </c>
      <c r="E5263" s="25">
        <v>1.1423E-4</v>
      </c>
      <c r="F5263" s="25">
        <v>1.2501E-4</v>
      </c>
      <c r="G5263" s="25">
        <v>5.715E-5</v>
      </c>
      <c r="H5263" s="25">
        <v>7.0339999999999994E-5</v>
      </c>
      <c r="I5263" s="9">
        <v>7.9930000000000002E-5</v>
      </c>
      <c r="J5263" s="9">
        <v>8.2579999999999999E-5</v>
      </c>
      <c r="K5263" s="9">
        <v>4.6619999999999997E-5</v>
      </c>
      <c r="L5263" s="9">
        <v>2.781E-5</v>
      </c>
      <c r="M5263" s="9">
        <v>5.2320000000000001E-5</v>
      </c>
      <c r="N5263" s="9">
        <v>6.5560000000000002E-5</v>
      </c>
      <c r="O5263" s="9">
        <v>1.3540000000000001E-5</v>
      </c>
      <c r="P5263" s="9">
        <v>3.7620000000000002E-5</v>
      </c>
      <c r="Q5263" s="9">
        <v>6.1320000000000002E-5</v>
      </c>
      <c r="R5263" s="10">
        <v>9.0578316542728389E-5</v>
      </c>
      <c r="S5263" s="10">
        <v>4.1581227944135844E-5</v>
      </c>
      <c r="T5263" s="10">
        <v>0</v>
      </c>
      <c r="U5263" s="10">
        <v>7.3330000000000004E-5</v>
      </c>
      <c r="V5263" s="25"/>
      <c r="W5263" s="25"/>
      <c r="X5263" s="25"/>
      <c r="Y5263" s="25"/>
      <c r="Z5263" s="25"/>
      <c r="AA5263" s="25"/>
    </row>
    <row r="5264" spans="1:27" x14ac:dyDescent="0.35">
      <c r="A5264" s="5">
        <v>5260</v>
      </c>
      <c r="B5264" s="5">
        <v>220</v>
      </c>
      <c r="C5264" s="5">
        <v>8</v>
      </c>
      <c r="D5264" s="25">
        <v>1.1415000000000001E-4</v>
      </c>
      <c r="E5264" s="25">
        <v>1.1629E-4</v>
      </c>
      <c r="F5264" s="25">
        <v>1.3166999999999999E-4</v>
      </c>
      <c r="G5264" s="25">
        <v>6.224E-5</v>
      </c>
      <c r="H5264" s="25">
        <v>6.9820000000000006E-5</v>
      </c>
      <c r="I5264" s="9">
        <v>7.9159999999999994E-5</v>
      </c>
      <c r="J5264" s="9">
        <v>8.2029999999999999E-5</v>
      </c>
      <c r="K5264" s="9">
        <v>4.2389999999999999E-5</v>
      </c>
      <c r="L5264" s="9">
        <v>1.7419999999999999E-5</v>
      </c>
      <c r="M5264" s="9">
        <v>4.4230000000000002E-5</v>
      </c>
      <c r="N5264" s="9">
        <v>6.1950000000000001E-5</v>
      </c>
      <c r="O5264" s="9">
        <v>1.347E-5</v>
      </c>
      <c r="P5264" s="9">
        <v>4.6780000000000003E-5</v>
      </c>
      <c r="Q5264" s="9">
        <v>7.9560000000000004E-5</v>
      </c>
      <c r="R5264" s="10">
        <v>7.0496398377308894E-5</v>
      </c>
      <c r="S5264" s="10">
        <v>3.7725424915241131E-5</v>
      </c>
      <c r="T5264" s="10">
        <v>0</v>
      </c>
      <c r="U5264" s="10">
        <v>7.3330000000000004E-5</v>
      </c>
      <c r="V5264" s="25"/>
      <c r="W5264" s="25"/>
      <c r="X5264" s="25"/>
      <c r="Y5264" s="25"/>
      <c r="Z5264" s="25"/>
      <c r="AA5264" s="25"/>
    </row>
    <row r="5265" spans="1:27" x14ac:dyDescent="0.35">
      <c r="A5265" s="5">
        <v>5261</v>
      </c>
      <c r="B5265" s="5">
        <v>220</v>
      </c>
      <c r="C5265" s="5">
        <v>8</v>
      </c>
      <c r="D5265" s="25">
        <v>1.1416E-4</v>
      </c>
      <c r="E5265" s="25">
        <v>1.1425E-4</v>
      </c>
      <c r="F5265" s="25">
        <v>1.3046999999999999E-4</v>
      </c>
      <c r="G5265" s="25">
        <v>6.3520000000000002E-5</v>
      </c>
      <c r="H5265" s="25">
        <v>6.7210000000000002E-5</v>
      </c>
      <c r="I5265" s="9">
        <v>7.9339999999999996E-5</v>
      </c>
      <c r="J5265" s="9">
        <v>8.1860000000000006E-5</v>
      </c>
      <c r="K5265" s="9">
        <v>4.2389999999999999E-5</v>
      </c>
      <c r="L5265" s="9">
        <v>1.4579999999999999E-5</v>
      </c>
      <c r="M5265" s="9">
        <v>4.333E-5</v>
      </c>
      <c r="N5265" s="9">
        <v>6.4309999999999999E-5</v>
      </c>
      <c r="O5265" s="9">
        <v>1.906E-5</v>
      </c>
      <c r="P5265" s="9">
        <v>5.6690000000000001E-5</v>
      </c>
      <c r="Q5265" s="9">
        <v>9.3739999999999994E-5</v>
      </c>
      <c r="R5265" s="10">
        <v>6.9821843720845489E-5</v>
      </c>
      <c r="S5265" s="10">
        <v>3.4819078982385553E-5</v>
      </c>
      <c r="T5265" s="10">
        <v>0</v>
      </c>
      <c r="U5265" s="10">
        <v>7.3330000000000004E-5</v>
      </c>
      <c r="V5265" s="25"/>
      <c r="W5265" s="25"/>
      <c r="X5265" s="25"/>
      <c r="Y5265" s="25"/>
      <c r="Z5265" s="25"/>
      <c r="AA5265" s="25"/>
    </row>
    <row r="5266" spans="1:27" x14ac:dyDescent="0.35">
      <c r="A5266" s="5">
        <v>5262</v>
      </c>
      <c r="B5266" s="5">
        <v>220</v>
      </c>
      <c r="C5266" s="5">
        <v>8</v>
      </c>
      <c r="D5266" s="25">
        <v>1.1415000000000001E-4</v>
      </c>
      <c r="E5266" s="25">
        <v>1.0873E-4</v>
      </c>
      <c r="F5266" s="25">
        <v>1.2337000000000001E-4</v>
      </c>
      <c r="G5266" s="25">
        <v>1.1009E-4</v>
      </c>
      <c r="H5266" s="25">
        <v>1.3579E-4</v>
      </c>
      <c r="I5266" s="9">
        <v>7.8869999999999995E-5</v>
      </c>
      <c r="J5266" s="9">
        <v>8.0580000000000004E-5</v>
      </c>
      <c r="K5266" s="9">
        <v>3.1789999999999999E-5</v>
      </c>
      <c r="L5266" s="9">
        <v>1.7949999999999999E-5</v>
      </c>
      <c r="M5266" s="9">
        <v>4.8260000000000002E-5</v>
      </c>
      <c r="N5266" s="9">
        <v>7.0879999999999999E-5</v>
      </c>
      <c r="O5266" s="9">
        <v>4.6560000000000001E-5</v>
      </c>
      <c r="P5266" s="9">
        <v>7.7239999999999999E-5</v>
      </c>
      <c r="Q5266" s="9">
        <v>1.0755E-4</v>
      </c>
      <c r="R5266" s="10">
        <v>8.4589839452931049E-5</v>
      </c>
      <c r="S5266" s="10">
        <v>3.0487371027333217E-5</v>
      </c>
      <c r="T5266" s="10">
        <v>6.2359600223547494E-6</v>
      </c>
      <c r="U5266" s="10">
        <v>7.3330000000000004E-5</v>
      </c>
      <c r="V5266" s="25"/>
      <c r="W5266" s="25"/>
      <c r="X5266" s="25"/>
      <c r="Y5266" s="25"/>
      <c r="Z5266" s="25"/>
      <c r="AA5266" s="25"/>
    </row>
    <row r="5267" spans="1:27" x14ac:dyDescent="0.35">
      <c r="A5267" s="5">
        <v>5263</v>
      </c>
      <c r="B5267" s="5">
        <v>220</v>
      </c>
      <c r="C5267" s="5">
        <v>8</v>
      </c>
      <c r="D5267" s="25">
        <v>1.1416E-4</v>
      </c>
      <c r="E5267" s="25">
        <v>1.1323E-4</v>
      </c>
      <c r="F5267" s="25">
        <v>1.2369E-4</v>
      </c>
      <c r="G5267" s="25">
        <v>1.138E-4</v>
      </c>
      <c r="H5267" s="25">
        <v>1.3155999999999999E-4</v>
      </c>
      <c r="I5267" s="9">
        <v>8.0119999999999999E-5</v>
      </c>
      <c r="J5267" s="9">
        <v>8.2299999999999995E-5</v>
      </c>
      <c r="K5267" s="9">
        <v>0</v>
      </c>
      <c r="L5267" s="9">
        <v>4.0120000000000002E-5</v>
      </c>
      <c r="M5267" s="9">
        <v>6.0090000000000002E-5</v>
      </c>
      <c r="N5267" s="9">
        <v>8.0710000000000005E-5</v>
      </c>
      <c r="O5267" s="9">
        <v>1.2252000000000001E-4</v>
      </c>
      <c r="P5267" s="9">
        <v>1.171E-4</v>
      </c>
      <c r="Q5267" s="9">
        <v>1.1218E-4</v>
      </c>
      <c r="R5267" s="10">
        <v>1.0774680346327789E-4</v>
      </c>
      <c r="S5267" s="10">
        <v>2.7865401194986055E-5</v>
      </c>
      <c r="T5267" s="10">
        <v>9.4243597181383078E-5</v>
      </c>
      <c r="U5267" s="10">
        <v>7.3330000000000004E-5</v>
      </c>
      <c r="V5267" s="25"/>
      <c r="W5267" s="25"/>
      <c r="X5267" s="25"/>
      <c r="Y5267" s="25"/>
      <c r="Z5267" s="25"/>
      <c r="AA5267" s="25"/>
    </row>
    <row r="5268" spans="1:27" x14ac:dyDescent="0.35">
      <c r="A5268" s="5">
        <v>5264</v>
      </c>
      <c r="B5268" s="5">
        <v>220</v>
      </c>
      <c r="C5268" s="5">
        <v>8</v>
      </c>
      <c r="D5268" s="25">
        <v>1.1415000000000001E-4</v>
      </c>
      <c r="E5268" s="25">
        <v>1.1344E-4</v>
      </c>
      <c r="F5268" s="25">
        <v>1.2312E-4</v>
      </c>
      <c r="G5268" s="25">
        <v>1.6107E-4</v>
      </c>
      <c r="H5268" s="25">
        <v>1.9612000000000001E-4</v>
      </c>
      <c r="I5268" s="9">
        <v>8.1039999999999997E-5</v>
      </c>
      <c r="J5268" s="9">
        <v>8.5619999999999997E-5</v>
      </c>
      <c r="K5268" s="9">
        <v>0</v>
      </c>
      <c r="L5268" s="9">
        <v>1.0377E-4</v>
      </c>
      <c r="M5268" s="9">
        <v>8.3670000000000004E-5</v>
      </c>
      <c r="N5268" s="9">
        <v>9.0749999999999997E-5</v>
      </c>
      <c r="O5268" s="9">
        <v>2.1725999999999999E-4</v>
      </c>
      <c r="P5268" s="9">
        <v>1.7584999999999999E-4</v>
      </c>
      <c r="Q5268" s="9">
        <v>1.3584E-4</v>
      </c>
      <c r="R5268" s="10">
        <v>9.7216784459330961E-5</v>
      </c>
      <c r="S5268" s="10">
        <v>2.5701872900668455E-5</v>
      </c>
      <c r="T5268" s="10">
        <v>1.9923680163939672E-4</v>
      </c>
      <c r="U5268" s="10">
        <v>7.3330000000000004E-5</v>
      </c>
      <c r="V5268" s="25"/>
      <c r="W5268" s="25"/>
      <c r="X5268" s="25"/>
      <c r="Y5268" s="25"/>
      <c r="Z5268" s="25"/>
      <c r="AA5268" s="25"/>
    </row>
    <row r="5269" spans="1:27" x14ac:dyDescent="0.35">
      <c r="A5269" s="5">
        <v>5265</v>
      </c>
      <c r="B5269" s="5">
        <v>220</v>
      </c>
      <c r="C5269" s="5">
        <v>8</v>
      </c>
      <c r="D5269" s="25">
        <v>1.1416E-4</v>
      </c>
      <c r="E5269" s="25">
        <v>1.0925999999999999E-4</v>
      </c>
      <c r="F5269" s="25">
        <v>1.1026E-4</v>
      </c>
      <c r="G5269" s="25">
        <v>1.6673999999999999E-4</v>
      </c>
      <c r="H5269" s="25">
        <v>1.9395E-4</v>
      </c>
      <c r="I5269" s="9">
        <v>8.1310000000000006E-5</v>
      </c>
      <c r="J5269" s="9">
        <v>9.0119999999999998E-5</v>
      </c>
      <c r="K5269" s="9">
        <v>0</v>
      </c>
      <c r="L5269" s="9">
        <v>1.9055E-4</v>
      </c>
      <c r="M5269" s="9">
        <v>1.2294000000000001E-4</v>
      </c>
      <c r="N5269" s="9">
        <v>1.0433E-4</v>
      </c>
      <c r="O5269" s="9">
        <v>2.1154E-4</v>
      </c>
      <c r="P5269" s="9">
        <v>1.9419000000000001E-4</v>
      </c>
      <c r="Q5269" s="9">
        <v>1.7783999999999999E-4</v>
      </c>
      <c r="R5269" s="10">
        <v>7.2568692290618021E-5</v>
      </c>
      <c r="S5269" s="10">
        <v>2.1772167985748918E-5</v>
      </c>
      <c r="T5269" s="10">
        <v>2.7058975917409529E-4</v>
      </c>
      <c r="U5269" s="10">
        <v>7.3330000000000004E-5</v>
      </c>
      <c r="V5269" s="25"/>
      <c r="W5269" s="25"/>
      <c r="X5269" s="25"/>
      <c r="Y5269" s="25"/>
      <c r="Z5269" s="25"/>
      <c r="AA5269" s="25"/>
    </row>
    <row r="5270" spans="1:27" x14ac:dyDescent="0.35">
      <c r="A5270" s="5">
        <v>5266</v>
      </c>
      <c r="B5270" s="5">
        <v>220</v>
      </c>
      <c r="C5270" s="5">
        <v>8</v>
      </c>
      <c r="D5270" s="25">
        <v>1.1415000000000001E-4</v>
      </c>
      <c r="E5270" s="25">
        <v>1.1097E-4</v>
      </c>
      <c r="F5270" s="25">
        <v>1.2370999999999999E-4</v>
      </c>
      <c r="G5270" s="25">
        <v>1.6442E-4</v>
      </c>
      <c r="H5270" s="25">
        <v>1.9782E-4</v>
      </c>
      <c r="I5270" s="9">
        <v>8.2150000000000005E-5</v>
      </c>
      <c r="J5270" s="9">
        <v>9.3150000000000001E-5</v>
      </c>
      <c r="K5270" s="9">
        <v>0</v>
      </c>
      <c r="L5270" s="9">
        <v>2.0464999999999999E-4</v>
      </c>
      <c r="M5270" s="9">
        <v>1.5852999999999999E-4</v>
      </c>
      <c r="N5270" s="9">
        <v>1.2459999999999999E-4</v>
      </c>
      <c r="O5270" s="9">
        <v>1.65E-4</v>
      </c>
      <c r="P5270" s="9">
        <v>1.7248E-4</v>
      </c>
      <c r="Q5270" s="9">
        <v>1.8040999999999999E-4</v>
      </c>
      <c r="R5270" s="10">
        <v>5.1453885307721992E-5</v>
      </c>
      <c r="S5270" s="10">
        <v>1.5178258483869292E-5</v>
      </c>
      <c r="T5270" s="10">
        <v>4.5488570965789108E-4</v>
      </c>
      <c r="U5270" s="10">
        <v>7.3330000000000004E-5</v>
      </c>
      <c r="V5270" s="25"/>
      <c r="W5270" s="25"/>
      <c r="X5270" s="25"/>
      <c r="Y5270" s="25"/>
      <c r="Z5270" s="25"/>
      <c r="AA5270" s="25"/>
    </row>
    <row r="5271" spans="1:27" x14ac:dyDescent="0.35">
      <c r="A5271" s="5">
        <v>5267</v>
      </c>
      <c r="B5271" s="5">
        <v>220</v>
      </c>
      <c r="C5271" s="5">
        <v>8</v>
      </c>
      <c r="D5271" s="25">
        <v>1.1416E-4</v>
      </c>
      <c r="E5271" s="25">
        <v>1.1245E-4</v>
      </c>
      <c r="F5271" s="25">
        <v>1.1401E-4</v>
      </c>
      <c r="G5271" s="25">
        <v>1.6129E-4</v>
      </c>
      <c r="H5271" s="25">
        <v>2.0230000000000001E-4</v>
      </c>
      <c r="I5271" s="9">
        <v>8.3300000000000005E-5</v>
      </c>
      <c r="J5271" s="9">
        <v>9.5199999999999997E-5</v>
      </c>
      <c r="K5271" s="9">
        <v>0</v>
      </c>
      <c r="L5271" s="9">
        <v>1.7374E-4</v>
      </c>
      <c r="M5271" s="9">
        <v>1.7184000000000001E-4</v>
      </c>
      <c r="N5271" s="9">
        <v>1.4233E-4</v>
      </c>
      <c r="O5271" s="9">
        <v>1.6543999999999999E-4</v>
      </c>
      <c r="P5271" s="9">
        <v>1.716E-4</v>
      </c>
      <c r="Q5271" s="9">
        <v>1.7824E-4</v>
      </c>
      <c r="R5271" s="10">
        <v>4.1498686536132192E-5</v>
      </c>
      <c r="S5271" s="10">
        <v>9.97254897040976E-6</v>
      </c>
      <c r="T5271" s="10">
        <v>6.5150086279809366E-4</v>
      </c>
      <c r="U5271" s="10">
        <v>7.3330000000000004E-5</v>
      </c>
      <c r="V5271" s="25"/>
      <c r="W5271" s="25"/>
      <c r="X5271" s="25"/>
      <c r="Y5271" s="25"/>
      <c r="Z5271" s="25"/>
      <c r="AA5271" s="25"/>
    </row>
    <row r="5272" spans="1:27" x14ac:dyDescent="0.35">
      <c r="A5272" s="5">
        <v>5268</v>
      </c>
      <c r="B5272" s="5">
        <v>220</v>
      </c>
      <c r="C5272" s="5">
        <v>8</v>
      </c>
      <c r="D5272" s="25">
        <v>1.1415000000000001E-4</v>
      </c>
      <c r="E5272" s="25">
        <v>1.0654000000000001E-4</v>
      </c>
      <c r="F5272" s="25">
        <v>1.209E-4</v>
      </c>
      <c r="G5272" s="25">
        <v>1.6406999999999999E-4</v>
      </c>
      <c r="H5272" s="25">
        <v>2.0295999999999999E-4</v>
      </c>
      <c r="I5272" s="9">
        <v>8.3250000000000004E-5</v>
      </c>
      <c r="J5272" s="9">
        <v>9.8469999999999997E-5</v>
      </c>
      <c r="K5272" s="9">
        <v>0</v>
      </c>
      <c r="L5272" s="9">
        <v>1.6871E-4</v>
      </c>
      <c r="M5272" s="9">
        <v>1.7395E-4</v>
      </c>
      <c r="N5272" s="9">
        <v>1.5614000000000001E-4</v>
      </c>
      <c r="O5272" s="9">
        <v>1.683E-4</v>
      </c>
      <c r="P5272" s="9">
        <v>1.7040999999999999E-4</v>
      </c>
      <c r="Q5272" s="9">
        <v>1.7306999999999999E-4</v>
      </c>
      <c r="R5272" s="10">
        <v>1.5909354106912876E-5</v>
      </c>
      <c r="S5272" s="10">
        <v>4.9208314327738536E-6</v>
      </c>
      <c r="T5272" s="10">
        <v>6.3607640657953465E-4</v>
      </c>
      <c r="U5272" s="10">
        <v>7.3330000000000004E-5</v>
      </c>
      <c r="V5272" s="25"/>
      <c r="W5272" s="25"/>
      <c r="X5272" s="25"/>
      <c r="Y5272" s="25"/>
      <c r="Z5272" s="25"/>
      <c r="AA5272" s="25"/>
    </row>
    <row r="5273" spans="1:27" x14ac:dyDescent="0.35">
      <c r="A5273" s="5">
        <v>5269</v>
      </c>
      <c r="B5273" s="5">
        <v>220</v>
      </c>
      <c r="C5273" s="5">
        <v>8</v>
      </c>
      <c r="D5273" s="25">
        <v>1.1416E-4</v>
      </c>
      <c r="E5273" s="25">
        <v>1.0844E-4</v>
      </c>
      <c r="F5273" s="25">
        <v>1.2224E-4</v>
      </c>
      <c r="G5273" s="25">
        <v>1.6307E-4</v>
      </c>
      <c r="H5273" s="25">
        <v>1.9170999999999999E-4</v>
      </c>
      <c r="I5273" s="9">
        <v>8.1249999999999996E-5</v>
      </c>
      <c r="J5273" s="9">
        <v>9.9350000000000003E-5</v>
      </c>
      <c r="K5273" s="9">
        <v>0</v>
      </c>
      <c r="L5273" s="9">
        <v>1.6856999999999999E-4</v>
      </c>
      <c r="M5273" s="9">
        <v>1.7273000000000001E-4</v>
      </c>
      <c r="N5273" s="9">
        <v>1.6542999999999999E-4</v>
      </c>
      <c r="O5273" s="9">
        <v>1.6059000000000001E-4</v>
      </c>
      <c r="P5273" s="9">
        <v>1.6347000000000001E-4</v>
      </c>
      <c r="Q5273" s="9">
        <v>1.6686000000000001E-4</v>
      </c>
      <c r="R5273" s="10">
        <v>1.2945123648701584E-5</v>
      </c>
      <c r="S5273" s="10">
        <v>3.11366180741933E-6</v>
      </c>
      <c r="T5273" s="10">
        <v>6.811534890268418E-4</v>
      </c>
      <c r="U5273" s="10">
        <v>7.3330000000000004E-5</v>
      </c>
      <c r="V5273" s="25"/>
      <c r="W5273" s="25"/>
      <c r="X5273" s="25"/>
      <c r="Y5273" s="25"/>
      <c r="Z5273" s="25"/>
      <c r="AA5273" s="25"/>
    </row>
    <row r="5274" spans="1:27" x14ac:dyDescent="0.35">
      <c r="A5274" s="5">
        <v>5270</v>
      </c>
      <c r="B5274" s="5">
        <v>220</v>
      </c>
      <c r="C5274" s="5">
        <v>8</v>
      </c>
      <c r="D5274" s="25">
        <v>1.1415000000000001E-4</v>
      </c>
      <c r="E5274" s="25">
        <v>1.1158E-4</v>
      </c>
      <c r="F5274" s="25">
        <v>1.1976000000000001E-4</v>
      </c>
      <c r="G5274" s="25">
        <v>1.6756E-4</v>
      </c>
      <c r="H5274" s="25">
        <v>2.0238E-4</v>
      </c>
      <c r="I5274" s="9">
        <v>7.9090000000000003E-5</v>
      </c>
      <c r="J5274" s="9">
        <v>9.8889999999999997E-5</v>
      </c>
      <c r="K5274" s="9">
        <v>0</v>
      </c>
      <c r="L5274" s="9">
        <v>1.6207E-4</v>
      </c>
      <c r="M5274" s="9">
        <v>1.6907000000000001E-4</v>
      </c>
      <c r="N5274" s="9">
        <v>1.6971999999999999E-4</v>
      </c>
      <c r="O5274" s="9">
        <v>1.7634000000000001E-4</v>
      </c>
      <c r="P5274" s="9">
        <v>1.6762999999999999E-4</v>
      </c>
      <c r="Q5274" s="9">
        <v>1.5966E-4</v>
      </c>
      <c r="R5274" s="10">
        <v>1.2562631003355945E-5</v>
      </c>
      <c r="S5274" s="10">
        <v>2.8387227347544401E-6</v>
      </c>
      <c r="T5274" s="10">
        <v>5.1285044281806479E-4</v>
      </c>
      <c r="U5274" s="10">
        <v>7.3330000000000004E-5</v>
      </c>
      <c r="V5274" s="25"/>
      <c r="W5274" s="25"/>
      <c r="X5274" s="25"/>
      <c r="Y5274" s="25"/>
      <c r="Z5274" s="25"/>
      <c r="AA5274" s="25"/>
    </row>
    <row r="5275" spans="1:27" x14ac:dyDescent="0.35">
      <c r="A5275" s="5">
        <v>5271</v>
      </c>
      <c r="B5275" s="5">
        <v>220</v>
      </c>
      <c r="C5275" s="5">
        <v>8</v>
      </c>
      <c r="D5275" s="25">
        <v>1.1416E-4</v>
      </c>
      <c r="E5275" s="25">
        <v>1.1105E-4</v>
      </c>
      <c r="F5275" s="25">
        <v>1.1192999999999999E-4</v>
      </c>
      <c r="G5275" s="25">
        <v>1.5846999999999999E-4</v>
      </c>
      <c r="H5275" s="25">
        <v>1.9233999999999999E-4</v>
      </c>
      <c r="I5275" s="9">
        <v>7.8189999999999995E-5</v>
      </c>
      <c r="J5275" s="9">
        <v>9.7819999999999995E-5</v>
      </c>
      <c r="K5275" s="9">
        <v>0</v>
      </c>
      <c r="L5275" s="9">
        <v>1.7336000000000001E-4</v>
      </c>
      <c r="M5275" s="9">
        <v>1.6752E-4</v>
      </c>
      <c r="N5275" s="9">
        <v>1.6908E-4</v>
      </c>
      <c r="O5275" s="9">
        <v>1.8202E-4</v>
      </c>
      <c r="P5275" s="9">
        <v>1.6652E-4</v>
      </c>
      <c r="Q5275" s="9">
        <v>1.5189000000000001E-4</v>
      </c>
      <c r="R5275" s="10">
        <v>1.3279081980977638E-5</v>
      </c>
      <c r="S5275" s="10">
        <v>3.4144263633615182E-6</v>
      </c>
      <c r="T5275" s="10">
        <v>5.9804129259284568E-4</v>
      </c>
      <c r="U5275" s="10">
        <v>7.3330000000000004E-5</v>
      </c>
      <c r="V5275" s="25"/>
      <c r="W5275" s="25"/>
      <c r="X5275" s="25"/>
      <c r="Y5275" s="25"/>
      <c r="Z5275" s="25"/>
      <c r="AA5275" s="25"/>
    </row>
    <row r="5276" spans="1:27" x14ac:dyDescent="0.35">
      <c r="A5276" s="5">
        <v>5272</v>
      </c>
      <c r="B5276" s="5">
        <v>220</v>
      </c>
      <c r="C5276" s="5">
        <v>8</v>
      </c>
      <c r="D5276" s="25">
        <v>1.1415000000000001E-4</v>
      </c>
      <c r="E5276" s="25">
        <v>1.1247999999999999E-4</v>
      </c>
      <c r="F5276" s="25">
        <v>1.1077E-4</v>
      </c>
      <c r="G5276" s="25">
        <v>1.6338E-4</v>
      </c>
      <c r="H5276" s="25">
        <v>1.951E-4</v>
      </c>
      <c r="I5276" s="9">
        <v>8.0619999999999997E-5</v>
      </c>
      <c r="J5276" s="9">
        <v>9.7549999999999999E-5</v>
      </c>
      <c r="K5276" s="9">
        <v>0</v>
      </c>
      <c r="L5276" s="9">
        <v>1.7982E-4</v>
      </c>
      <c r="M5276" s="9">
        <v>1.6683E-4</v>
      </c>
      <c r="N5276" s="9">
        <v>1.6524000000000001E-4</v>
      </c>
      <c r="O5276" s="9">
        <v>1.9671000000000001E-4</v>
      </c>
      <c r="P5276" s="9">
        <v>1.526E-4</v>
      </c>
      <c r="Q5276" s="9">
        <v>1.0987E-4</v>
      </c>
      <c r="R5276" s="10">
        <v>1.7431368838716991E-5</v>
      </c>
      <c r="S5276" s="10">
        <v>3.3500296638877386E-6</v>
      </c>
      <c r="T5276" s="10">
        <v>4.8335901827696939E-4</v>
      </c>
      <c r="U5276" s="10">
        <v>7.3330000000000004E-5</v>
      </c>
      <c r="V5276" s="25"/>
      <c r="W5276" s="25"/>
      <c r="X5276" s="25"/>
      <c r="Y5276" s="25"/>
      <c r="Z5276" s="25"/>
      <c r="AA5276" s="25"/>
    </row>
    <row r="5277" spans="1:27" x14ac:dyDescent="0.35">
      <c r="A5277" s="5">
        <v>5273</v>
      </c>
      <c r="B5277" s="5">
        <v>220</v>
      </c>
      <c r="C5277" s="5">
        <v>8</v>
      </c>
      <c r="D5277" s="25">
        <v>1.1416E-4</v>
      </c>
      <c r="E5277" s="25">
        <v>1.1676E-4</v>
      </c>
      <c r="F5277" s="25">
        <v>1.0959E-4</v>
      </c>
      <c r="G5277" s="25">
        <v>1.6626999999999999E-4</v>
      </c>
      <c r="H5277" s="25">
        <v>2.0286999999999999E-4</v>
      </c>
      <c r="I5277" s="9">
        <v>8.4909999999999998E-5</v>
      </c>
      <c r="J5277" s="9">
        <v>1.0117E-4</v>
      </c>
      <c r="K5277" s="9">
        <v>0</v>
      </c>
      <c r="L5277" s="9">
        <v>1.9275999999999999E-4</v>
      </c>
      <c r="M5277" s="9">
        <v>1.6164E-4</v>
      </c>
      <c r="N5277" s="9">
        <v>1.5175E-4</v>
      </c>
      <c r="O5277" s="9">
        <v>2.1397000000000001E-4</v>
      </c>
      <c r="P5277" s="9">
        <v>1.6000000000000001E-4</v>
      </c>
      <c r="Q5277" s="9">
        <v>1.0762E-4</v>
      </c>
      <c r="R5277" s="10">
        <v>2.9612129916526407E-5</v>
      </c>
      <c r="S5277" s="10">
        <v>2.6636666076994329E-6</v>
      </c>
      <c r="T5277" s="10">
        <v>3.2245428110151648E-4</v>
      </c>
      <c r="U5277" s="10">
        <v>7.3330000000000004E-5</v>
      </c>
      <c r="V5277" s="25"/>
      <c r="W5277" s="25"/>
      <c r="X5277" s="25"/>
      <c r="Y5277" s="25"/>
      <c r="Z5277" s="25"/>
      <c r="AA5277" s="25"/>
    </row>
    <row r="5278" spans="1:27" x14ac:dyDescent="0.35">
      <c r="A5278" s="5">
        <v>5274</v>
      </c>
      <c r="B5278" s="5">
        <v>220</v>
      </c>
      <c r="C5278" s="5">
        <v>8</v>
      </c>
      <c r="D5278" s="25">
        <v>1.1415000000000001E-4</v>
      </c>
      <c r="E5278" s="25">
        <v>1.166E-4</v>
      </c>
      <c r="F5278" s="25">
        <v>1.2005E-4</v>
      </c>
      <c r="G5278" s="25">
        <v>1.6428999999999999E-4</v>
      </c>
      <c r="H5278" s="25">
        <v>1.9809999999999999E-4</v>
      </c>
      <c r="I5278" s="9">
        <v>9.0270000000000001E-5</v>
      </c>
      <c r="J5278" s="9">
        <v>1.0258E-4</v>
      </c>
      <c r="K5278" s="9">
        <v>0</v>
      </c>
      <c r="L5278" s="9">
        <v>2.0903E-4</v>
      </c>
      <c r="M5278" s="9">
        <v>1.5961E-4</v>
      </c>
      <c r="N5278" s="9">
        <v>1.3871000000000001E-4</v>
      </c>
      <c r="O5278" s="9">
        <v>2.0672999999999999E-4</v>
      </c>
      <c r="P5278" s="9">
        <v>1.6212999999999999E-4</v>
      </c>
      <c r="Q5278" s="9">
        <v>1.1895E-4</v>
      </c>
      <c r="R5278" s="10">
        <v>3.4394554540956215E-5</v>
      </c>
      <c r="S5278" s="10">
        <v>2.6952123130864064E-6</v>
      </c>
      <c r="T5278" s="10">
        <v>1.1547131415543965E-4</v>
      </c>
      <c r="U5278" s="10">
        <v>7.3330000000000004E-5</v>
      </c>
      <c r="V5278" s="25"/>
      <c r="W5278" s="25"/>
      <c r="X5278" s="25"/>
      <c r="Y5278" s="25"/>
      <c r="Z5278" s="25"/>
      <c r="AA5278" s="25"/>
    </row>
    <row r="5279" spans="1:27" x14ac:dyDescent="0.35">
      <c r="A5279" s="5">
        <v>5275</v>
      </c>
      <c r="B5279" s="5">
        <v>220</v>
      </c>
      <c r="C5279" s="5">
        <v>8</v>
      </c>
      <c r="D5279" s="25">
        <v>1.1416E-4</v>
      </c>
      <c r="E5279" s="25">
        <v>1.1323E-4</v>
      </c>
      <c r="F5279" s="25">
        <v>1.0955000000000001E-4</v>
      </c>
      <c r="G5279" s="25">
        <v>1.0933E-4</v>
      </c>
      <c r="H5279" s="25">
        <v>1.3394000000000001E-4</v>
      </c>
      <c r="I5279" s="9">
        <v>9.3369999999999995E-5</v>
      </c>
      <c r="J5279" s="9">
        <v>1.0226999999999999E-4</v>
      </c>
      <c r="K5279" s="9">
        <v>0</v>
      </c>
      <c r="L5279" s="9">
        <v>2.0682E-4</v>
      </c>
      <c r="M5279" s="9">
        <v>1.6014999999999999E-4</v>
      </c>
      <c r="N5279" s="9">
        <v>1.3009E-4</v>
      </c>
      <c r="O5279" s="9">
        <v>1.6425000000000001E-4</v>
      </c>
      <c r="P5279" s="9">
        <v>1.3532E-4</v>
      </c>
      <c r="Q5279" s="9">
        <v>1.0741E-4</v>
      </c>
      <c r="R5279" s="10">
        <v>3.4784768980144878E-5</v>
      </c>
      <c r="S5279" s="10">
        <v>4.9148826341327763E-6</v>
      </c>
      <c r="T5279" s="10">
        <v>2.6343749482192517E-5</v>
      </c>
      <c r="U5279" s="10">
        <v>7.3330000000000004E-5</v>
      </c>
      <c r="V5279" s="25"/>
      <c r="W5279" s="25"/>
      <c r="X5279" s="25"/>
      <c r="Y5279" s="25"/>
      <c r="Z5279" s="25"/>
      <c r="AA5279" s="25"/>
    </row>
    <row r="5280" spans="1:27" x14ac:dyDescent="0.35">
      <c r="A5280" s="5">
        <v>5276</v>
      </c>
      <c r="B5280" s="5">
        <v>220</v>
      </c>
      <c r="C5280" s="5">
        <v>8</v>
      </c>
      <c r="D5280" s="25">
        <v>1.1415000000000001E-4</v>
      </c>
      <c r="E5280" s="25">
        <v>1.1291E-4</v>
      </c>
      <c r="F5280" s="25">
        <v>1.2763E-4</v>
      </c>
      <c r="G5280" s="25">
        <v>1.1427E-4</v>
      </c>
      <c r="H5280" s="25">
        <v>1.2915999999999999E-4</v>
      </c>
      <c r="I5280" s="9">
        <v>9.4480000000000003E-5</v>
      </c>
      <c r="J5280" s="9">
        <v>1.0192E-4</v>
      </c>
      <c r="K5280" s="9">
        <v>0</v>
      </c>
      <c r="L5280" s="9">
        <v>1.7375999999999999E-4</v>
      </c>
      <c r="M5280" s="9">
        <v>1.515E-4</v>
      </c>
      <c r="N5280" s="9">
        <v>1.2118E-4</v>
      </c>
      <c r="O5280" s="9">
        <v>1.2823000000000001E-4</v>
      </c>
      <c r="P5280" s="9">
        <v>1.1464999999999999E-4</v>
      </c>
      <c r="Q5280" s="9">
        <v>1.0170000000000001E-4</v>
      </c>
      <c r="R5280" s="10">
        <v>3.9451024879725869E-5</v>
      </c>
      <c r="S5280" s="10">
        <v>9.471822478911671E-6</v>
      </c>
      <c r="T5280" s="10">
        <v>0</v>
      </c>
      <c r="U5280" s="10">
        <v>7.3330000000000004E-5</v>
      </c>
      <c r="V5280" s="25"/>
      <c r="W5280" s="25"/>
      <c r="X5280" s="25"/>
      <c r="Y5280" s="25"/>
      <c r="Z5280" s="25"/>
      <c r="AA5280" s="25"/>
    </row>
    <row r="5281" spans="1:27" x14ac:dyDescent="0.35">
      <c r="A5281" s="5">
        <v>5277</v>
      </c>
      <c r="B5281" s="5">
        <v>220</v>
      </c>
      <c r="C5281" s="5">
        <v>8</v>
      </c>
      <c r="D5281" s="25">
        <v>1.1416E-4</v>
      </c>
      <c r="E5281" s="25">
        <v>1.1372E-4</v>
      </c>
      <c r="F5281" s="25">
        <v>1.3082999999999999E-4</v>
      </c>
      <c r="G5281" s="25">
        <v>6.3260000000000001E-5</v>
      </c>
      <c r="H5281" s="25">
        <v>6.4319999999999994E-5</v>
      </c>
      <c r="I5281" s="9">
        <v>9.7540000000000005E-5</v>
      </c>
      <c r="J5281" s="9">
        <v>1.0305E-4</v>
      </c>
      <c r="K5281" s="9">
        <v>0</v>
      </c>
      <c r="L5281" s="9">
        <v>1.3928000000000001E-4</v>
      </c>
      <c r="M5281" s="9">
        <v>1.3578E-4</v>
      </c>
      <c r="N5281" s="9">
        <v>1.1351E-4</v>
      </c>
      <c r="O5281" s="9">
        <v>8.4079999999999995E-5</v>
      </c>
      <c r="P5281" s="9">
        <v>8.5829999999999996E-5</v>
      </c>
      <c r="Q5281" s="9">
        <v>8.7819999999999996E-5</v>
      </c>
      <c r="R5281" s="10">
        <v>6.0027399415939809E-5</v>
      </c>
      <c r="S5281" s="10">
        <v>1.7081666874155244E-5</v>
      </c>
      <c r="T5281" s="10">
        <v>0</v>
      </c>
      <c r="U5281" s="10">
        <v>7.3330000000000004E-5</v>
      </c>
      <c r="V5281" s="25"/>
      <c r="W5281" s="25"/>
      <c r="X5281" s="25"/>
      <c r="Y5281" s="25"/>
      <c r="Z5281" s="25"/>
      <c r="AA5281" s="25"/>
    </row>
    <row r="5282" spans="1:27" x14ac:dyDescent="0.35">
      <c r="A5282" s="5">
        <v>5278</v>
      </c>
      <c r="B5282" s="5">
        <v>220</v>
      </c>
      <c r="C5282" s="5">
        <v>8</v>
      </c>
      <c r="D5282" s="25">
        <v>1.1415000000000001E-4</v>
      </c>
      <c r="E5282" s="25">
        <v>1.1668E-4</v>
      </c>
      <c r="F5282" s="25">
        <v>1.2352000000000001E-4</v>
      </c>
      <c r="G5282" s="25">
        <v>5.3260000000000002E-5</v>
      </c>
      <c r="H5282" s="25">
        <v>7.6749999999999995E-5</v>
      </c>
      <c r="I5282" s="9">
        <v>9.8410000000000001E-5</v>
      </c>
      <c r="J5282" s="9">
        <v>1.0262E-4</v>
      </c>
      <c r="K5282" s="9">
        <v>8.49E-6</v>
      </c>
      <c r="L5282" s="9">
        <v>9.7159999999999998E-5</v>
      </c>
      <c r="M5282" s="9">
        <v>1.1374000000000001E-4</v>
      </c>
      <c r="N5282" s="9">
        <v>1.0577999999999999E-4</v>
      </c>
      <c r="O5282" s="9">
        <v>8.7020000000000004E-5</v>
      </c>
      <c r="P5282" s="9">
        <v>8.7410000000000005E-5</v>
      </c>
      <c r="Q5282" s="9">
        <v>8.8049999999999999E-5</v>
      </c>
      <c r="R5282" s="10">
        <v>7.9740093608400117E-5</v>
      </c>
      <c r="S5282" s="10">
        <v>2.6490032666433376E-5</v>
      </c>
      <c r="T5282" s="10">
        <v>0</v>
      </c>
      <c r="U5282" s="10">
        <v>7.3330000000000004E-5</v>
      </c>
      <c r="V5282" s="25"/>
      <c r="W5282" s="25"/>
      <c r="X5282" s="25"/>
      <c r="Y5282" s="25"/>
      <c r="Z5282" s="25"/>
      <c r="AA5282" s="25"/>
    </row>
    <row r="5283" spans="1:27" x14ac:dyDescent="0.35">
      <c r="A5283" s="5">
        <v>5279</v>
      </c>
      <c r="B5283" s="5">
        <v>220</v>
      </c>
      <c r="C5283" s="5">
        <v>8</v>
      </c>
      <c r="D5283" s="25">
        <v>1.1416E-4</v>
      </c>
      <c r="E5283" s="25">
        <v>1.0747E-4</v>
      </c>
      <c r="F5283" s="25">
        <v>1.2608000000000001E-4</v>
      </c>
      <c r="G5283" s="25">
        <v>6.3219999999999994E-5</v>
      </c>
      <c r="H5283" s="25">
        <v>6.3479999999999995E-5</v>
      </c>
      <c r="I5283" s="9">
        <v>9.3690000000000006E-5</v>
      </c>
      <c r="J5283" s="9">
        <v>9.7120000000000005E-5</v>
      </c>
      <c r="K5283" s="9">
        <v>1.272E-5</v>
      </c>
      <c r="L5283" s="9">
        <v>9.0190000000000002E-5</v>
      </c>
      <c r="M5283" s="9">
        <v>9.8859999999999999E-5</v>
      </c>
      <c r="N5283" s="9">
        <v>9.9870000000000004E-5</v>
      </c>
      <c r="O5283" s="9">
        <v>7.7089999999999995E-5</v>
      </c>
      <c r="P5283" s="9">
        <v>7.1559999999999999E-5</v>
      </c>
      <c r="Q5283" s="9">
        <v>6.6359999999999995E-5</v>
      </c>
      <c r="R5283" s="10">
        <v>7.6755777841656678E-5</v>
      </c>
      <c r="S5283" s="10">
        <v>3.6118435109615298E-5</v>
      </c>
      <c r="T5283" s="10">
        <v>0</v>
      </c>
      <c r="U5283" s="10">
        <v>7.3330000000000004E-5</v>
      </c>
      <c r="V5283" s="25"/>
      <c r="W5283" s="25"/>
      <c r="X5283" s="25"/>
      <c r="Y5283" s="25"/>
      <c r="Z5283" s="25"/>
      <c r="AA5283" s="25"/>
    </row>
    <row r="5284" spans="1:27" x14ac:dyDescent="0.35">
      <c r="A5284" s="5">
        <v>5280</v>
      </c>
      <c r="B5284" s="5">
        <v>220</v>
      </c>
      <c r="C5284" s="5">
        <v>8</v>
      </c>
      <c r="D5284" s="25">
        <v>1.1415000000000001E-4</v>
      </c>
      <c r="E5284" s="25">
        <v>1.166E-4</v>
      </c>
      <c r="F5284" s="25">
        <v>1.1255E-4</v>
      </c>
      <c r="G5284" s="25">
        <v>5.8619999999999998E-5</v>
      </c>
      <c r="H5284" s="25">
        <v>6.7600000000000003E-5</v>
      </c>
      <c r="I5284" s="9">
        <v>8.8230000000000001E-5</v>
      </c>
      <c r="J5284" s="9">
        <v>9.2040000000000006E-5</v>
      </c>
      <c r="K5284" s="9">
        <v>1.484E-5</v>
      </c>
      <c r="L5284" s="9">
        <v>7.9950000000000005E-5</v>
      </c>
      <c r="M5284" s="9">
        <v>8.577E-5</v>
      </c>
      <c r="N5284" s="9">
        <v>9.0400000000000002E-5</v>
      </c>
      <c r="O5284" s="9">
        <v>6.2890000000000003E-5</v>
      </c>
      <c r="P5284" s="9">
        <v>6.0859999999999997E-5</v>
      </c>
      <c r="Q5284" s="9">
        <v>5.9039999999999997E-5</v>
      </c>
      <c r="R5284" s="10">
        <v>6.7759331795444512E-5</v>
      </c>
      <c r="S5284" s="10">
        <v>4.0367241286481289E-5</v>
      </c>
      <c r="T5284" s="10">
        <v>0</v>
      </c>
      <c r="U5284" s="10">
        <v>7.3330000000000004E-5</v>
      </c>
      <c r="V5284" s="25"/>
      <c r="W5284" s="25"/>
      <c r="X5284" s="25"/>
      <c r="Y5284" s="25"/>
      <c r="Z5284" s="25"/>
      <c r="AA5284" s="25"/>
    </row>
    <row r="5285" spans="1:27" x14ac:dyDescent="0.35">
      <c r="A5285" s="5">
        <v>5281</v>
      </c>
      <c r="B5285" s="5">
        <v>221</v>
      </c>
      <c r="C5285" s="5">
        <v>8</v>
      </c>
      <c r="D5285" s="25">
        <v>1.1416E-4</v>
      </c>
      <c r="E5285" s="25">
        <v>1.1674E-4</v>
      </c>
      <c r="F5285" s="25">
        <v>1.1451999999999999E-4</v>
      </c>
      <c r="G5285" s="25">
        <v>5.9240000000000002E-5</v>
      </c>
      <c r="H5285" s="25">
        <v>7.5669999999999999E-5</v>
      </c>
      <c r="I5285" s="9">
        <v>8.4859999999999997E-5</v>
      </c>
      <c r="J5285" s="9">
        <v>8.8200000000000003E-5</v>
      </c>
      <c r="K5285" s="9">
        <v>1.484E-5</v>
      </c>
      <c r="L5285" s="9">
        <v>6.6649999999999994E-5</v>
      </c>
      <c r="M5285" s="9">
        <v>7.3789999999999997E-5</v>
      </c>
      <c r="N5285" s="9">
        <v>8.1000000000000004E-5</v>
      </c>
      <c r="O5285" s="9">
        <v>5.452E-5</v>
      </c>
      <c r="P5285" s="9">
        <v>5.3940000000000002E-5</v>
      </c>
      <c r="Q5285" s="9">
        <v>5.3510000000000001E-5</v>
      </c>
      <c r="R5285" s="10">
        <v>5.7951767148043124E-5</v>
      </c>
      <c r="S5285" s="10">
        <v>5.0888989951984541E-5</v>
      </c>
      <c r="T5285" s="10">
        <v>0</v>
      </c>
      <c r="U5285" s="10">
        <v>7.2719999999999995E-5</v>
      </c>
      <c r="V5285" s="25"/>
      <c r="W5285" s="25"/>
      <c r="X5285" s="25"/>
      <c r="Y5285" s="25"/>
      <c r="Z5285" s="25"/>
      <c r="AA5285" s="25"/>
    </row>
    <row r="5286" spans="1:27" x14ac:dyDescent="0.35">
      <c r="A5286" s="5">
        <v>5282</v>
      </c>
      <c r="B5286" s="5">
        <v>221</v>
      </c>
      <c r="C5286" s="5">
        <v>8</v>
      </c>
      <c r="D5286" s="25">
        <v>1.1415000000000001E-4</v>
      </c>
      <c r="E5286" s="25">
        <v>1.1286E-4</v>
      </c>
      <c r="F5286" s="25">
        <v>1.0730000000000001E-4</v>
      </c>
      <c r="G5286" s="25">
        <v>6.0189999999999998E-5</v>
      </c>
      <c r="H5286" s="25">
        <v>6.334E-5</v>
      </c>
      <c r="I5286" s="9">
        <v>8.2130000000000001E-5</v>
      </c>
      <c r="J5286" s="9">
        <v>8.6199999999999995E-5</v>
      </c>
      <c r="K5286" s="9">
        <v>1.696E-5</v>
      </c>
      <c r="L5286" s="9">
        <v>5.7559999999999998E-5</v>
      </c>
      <c r="M5286" s="9">
        <v>6.3810000000000001E-5</v>
      </c>
      <c r="N5286" s="9">
        <v>7.1920000000000003E-5</v>
      </c>
      <c r="O5286" s="9">
        <v>1.9069999999999999E-5</v>
      </c>
      <c r="P5286" s="9">
        <v>3.7799999999999997E-5</v>
      </c>
      <c r="Q5286" s="9">
        <v>5.626E-5</v>
      </c>
      <c r="R5286" s="10">
        <v>5.7964843753922249E-5</v>
      </c>
      <c r="S5286" s="10">
        <v>6.7778196909444344E-5</v>
      </c>
      <c r="T5286" s="10">
        <v>0</v>
      </c>
      <c r="U5286" s="10">
        <v>7.2719999999999995E-5</v>
      </c>
      <c r="V5286" s="25"/>
      <c r="W5286" s="25"/>
      <c r="X5286" s="25"/>
      <c r="Y5286" s="25"/>
      <c r="Z5286" s="25"/>
      <c r="AA5286" s="25"/>
    </row>
    <row r="5287" spans="1:27" x14ac:dyDescent="0.35">
      <c r="A5287" s="5">
        <v>5283</v>
      </c>
      <c r="B5287" s="5">
        <v>221</v>
      </c>
      <c r="C5287" s="5">
        <v>8</v>
      </c>
      <c r="D5287" s="25">
        <v>1.1416E-4</v>
      </c>
      <c r="E5287" s="25">
        <v>1.1022999999999999E-4</v>
      </c>
      <c r="F5287" s="25">
        <v>1.1238E-4</v>
      </c>
      <c r="G5287" s="25">
        <v>6.1470000000000006E-5</v>
      </c>
      <c r="H5287" s="25">
        <v>6.6019999999999995E-5</v>
      </c>
      <c r="I5287" s="9">
        <v>8.1680000000000004E-5</v>
      </c>
      <c r="J5287" s="9">
        <v>8.5829999999999996E-5</v>
      </c>
      <c r="K5287" s="9">
        <v>2.12E-5</v>
      </c>
      <c r="L5287" s="9">
        <v>2.7739999999999999E-5</v>
      </c>
      <c r="M5287" s="9">
        <v>5.2179999999999998E-5</v>
      </c>
      <c r="N5287" s="9">
        <v>6.5409999999999999E-5</v>
      </c>
      <c r="O5287" s="9">
        <v>1.3570000000000001E-5</v>
      </c>
      <c r="P5287" s="9">
        <v>3.7710000000000003E-5</v>
      </c>
      <c r="Q5287" s="9">
        <v>6.1459999999999998E-5</v>
      </c>
      <c r="R5287" s="10">
        <v>6.3881429680846412E-5</v>
      </c>
      <c r="S5287" s="10">
        <v>8.2969847017343333E-5</v>
      </c>
      <c r="T5287" s="10">
        <v>0</v>
      </c>
      <c r="U5287" s="10">
        <v>7.2719999999999995E-5</v>
      </c>
      <c r="V5287" s="25"/>
      <c r="W5287" s="25"/>
      <c r="X5287" s="25"/>
      <c r="Y5287" s="25"/>
      <c r="Z5287" s="25"/>
      <c r="AA5287" s="25"/>
    </row>
    <row r="5288" spans="1:27" x14ac:dyDescent="0.35">
      <c r="A5288" s="5">
        <v>5284</v>
      </c>
      <c r="B5288" s="5">
        <v>221</v>
      </c>
      <c r="C5288" s="5">
        <v>8</v>
      </c>
      <c r="D5288" s="25">
        <v>1.1415000000000001E-4</v>
      </c>
      <c r="E5288" s="25">
        <v>1.1184E-4</v>
      </c>
      <c r="F5288" s="25">
        <v>1.169E-4</v>
      </c>
      <c r="G5288" s="25">
        <v>5.6650000000000001E-5</v>
      </c>
      <c r="H5288" s="25">
        <v>7.483E-5</v>
      </c>
      <c r="I5288" s="9">
        <v>8.2730000000000002E-5</v>
      </c>
      <c r="J5288" s="9">
        <v>8.6169999999999997E-5</v>
      </c>
      <c r="K5288" s="9">
        <v>4.2389999999999999E-5</v>
      </c>
      <c r="L5288" s="9">
        <v>1.7430000000000001E-5</v>
      </c>
      <c r="M5288" s="9">
        <v>4.4190000000000002E-5</v>
      </c>
      <c r="N5288" s="9">
        <v>6.1849999999999999E-5</v>
      </c>
      <c r="O5288" s="9">
        <v>1.3679999999999999E-5</v>
      </c>
      <c r="P5288" s="9">
        <v>4.7509999999999997E-5</v>
      </c>
      <c r="Q5288" s="9">
        <v>8.0809999999999994E-5</v>
      </c>
      <c r="R5288" s="10">
        <v>7.1961973158395309E-5</v>
      </c>
      <c r="S5288" s="10">
        <v>8.9772689072739386E-5</v>
      </c>
      <c r="T5288" s="10">
        <v>0</v>
      </c>
      <c r="U5288" s="10">
        <v>7.2719999999999995E-5</v>
      </c>
      <c r="V5288" s="25"/>
      <c r="W5288" s="25"/>
      <c r="X5288" s="25"/>
      <c r="Y5288" s="25"/>
      <c r="Z5288" s="25"/>
      <c r="AA5288" s="25"/>
    </row>
    <row r="5289" spans="1:27" x14ac:dyDescent="0.35">
      <c r="A5289" s="5">
        <v>5285</v>
      </c>
      <c r="B5289" s="5">
        <v>221</v>
      </c>
      <c r="C5289" s="5">
        <v>8</v>
      </c>
      <c r="D5289" s="25">
        <v>1.1416E-4</v>
      </c>
      <c r="E5289" s="25">
        <v>1.1022E-4</v>
      </c>
      <c r="F5289" s="25">
        <v>1.1496E-4</v>
      </c>
      <c r="G5289" s="25">
        <v>6.0359999999999998E-5</v>
      </c>
      <c r="H5289" s="25">
        <v>6.8209999999999999E-5</v>
      </c>
      <c r="I5289" s="9">
        <v>8.687E-5</v>
      </c>
      <c r="J5289" s="9">
        <v>8.8360000000000001E-5</v>
      </c>
      <c r="K5289" s="9">
        <v>3.6040000000000001E-5</v>
      </c>
      <c r="L5289" s="9">
        <v>1.4749999999999999E-5</v>
      </c>
      <c r="M5289" s="9">
        <v>4.3590000000000001E-5</v>
      </c>
      <c r="N5289" s="9">
        <v>6.4519999999999999E-5</v>
      </c>
      <c r="O5289" s="9">
        <v>1.9199999999999999E-5</v>
      </c>
      <c r="P5289" s="9">
        <v>5.7089999999999997E-5</v>
      </c>
      <c r="Q5289" s="9">
        <v>9.4400000000000004E-5</v>
      </c>
      <c r="R5289" s="10">
        <v>7.3941851408388726E-5</v>
      </c>
      <c r="S5289" s="10">
        <v>7.7464020189518164E-5</v>
      </c>
      <c r="T5289" s="10">
        <v>0</v>
      </c>
      <c r="U5289" s="10">
        <v>7.2719999999999995E-5</v>
      </c>
      <c r="V5289" s="25"/>
      <c r="W5289" s="25"/>
      <c r="X5289" s="25"/>
      <c r="Y5289" s="25"/>
      <c r="Z5289" s="25"/>
      <c r="AA5289" s="25"/>
    </row>
    <row r="5290" spans="1:27" x14ac:dyDescent="0.35">
      <c r="A5290" s="5">
        <v>5286</v>
      </c>
      <c r="B5290" s="5">
        <v>221</v>
      </c>
      <c r="C5290" s="5">
        <v>8</v>
      </c>
      <c r="D5290" s="25">
        <v>1.1415000000000001E-4</v>
      </c>
      <c r="E5290" s="25">
        <v>1.1499E-4</v>
      </c>
      <c r="F5290" s="25">
        <v>1.1094000000000001E-4</v>
      </c>
      <c r="G5290" s="25">
        <v>1.0713E-4</v>
      </c>
      <c r="H5290" s="25">
        <v>1.3627999999999999E-4</v>
      </c>
      <c r="I5290" s="9">
        <v>9.3430000000000005E-5</v>
      </c>
      <c r="J5290" s="9">
        <v>9.412E-5</v>
      </c>
      <c r="K5290" s="9">
        <v>2.5429999999999999E-5</v>
      </c>
      <c r="L5290" s="9">
        <v>1.8090000000000001E-5</v>
      </c>
      <c r="M5290" s="9">
        <v>4.8649999999999997E-5</v>
      </c>
      <c r="N5290" s="9">
        <v>7.1249999999999997E-5</v>
      </c>
      <c r="O5290" s="9">
        <v>4.6560000000000001E-5</v>
      </c>
      <c r="P5290" s="9">
        <v>7.7230000000000004E-5</v>
      </c>
      <c r="Q5290" s="9">
        <v>1.0755E-4</v>
      </c>
      <c r="R5290" s="10">
        <v>6.839078106599293E-5</v>
      </c>
      <c r="S5290" s="10">
        <v>6.6715041845841124E-5</v>
      </c>
      <c r="T5290" s="10">
        <v>2.4112378753105033E-5</v>
      </c>
      <c r="U5290" s="10">
        <v>7.2719999999999995E-5</v>
      </c>
      <c r="V5290" s="25"/>
      <c r="W5290" s="25"/>
      <c r="X5290" s="25"/>
      <c r="Y5290" s="25"/>
      <c r="Z5290" s="25"/>
      <c r="AA5290" s="25"/>
    </row>
    <row r="5291" spans="1:27" x14ac:dyDescent="0.35">
      <c r="A5291" s="5">
        <v>5287</v>
      </c>
      <c r="B5291" s="5">
        <v>221</v>
      </c>
      <c r="C5291" s="5">
        <v>8</v>
      </c>
      <c r="D5291" s="25">
        <v>1.1416E-4</v>
      </c>
      <c r="E5291" s="25">
        <v>1.1369E-4</v>
      </c>
      <c r="F5291" s="25">
        <v>9.7620000000000004E-5</v>
      </c>
      <c r="G5291" s="25">
        <v>1.1298000000000001E-4</v>
      </c>
      <c r="H5291" s="25">
        <v>1.3155999999999999E-4</v>
      </c>
      <c r="I5291" s="9">
        <v>1.0079E-4</v>
      </c>
      <c r="J5291" s="9">
        <v>1.0438999999999999E-4</v>
      </c>
      <c r="K5291" s="9">
        <v>1.696E-5</v>
      </c>
      <c r="L5291" s="9">
        <v>4.015E-5</v>
      </c>
      <c r="M5291" s="9">
        <v>6.0359999999999998E-5</v>
      </c>
      <c r="N5291" s="9">
        <v>8.1069999999999995E-5</v>
      </c>
      <c r="O5291" s="9">
        <v>1.2234E-4</v>
      </c>
      <c r="P5291" s="9">
        <v>1.1692999999999999E-4</v>
      </c>
      <c r="Q5291" s="9">
        <v>1.1201000000000001E-4</v>
      </c>
      <c r="R5291" s="10">
        <v>5.9844884085978713E-5</v>
      </c>
      <c r="S5291" s="10">
        <v>6.9680823065993369E-5</v>
      </c>
      <c r="T5291" s="10">
        <v>1.1505558348728268E-4</v>
      </c>
      <c r="U5291" s="10">
        <v>7.2719999999999995E-5</v>
      </c>
      <c r="V5291" s="25"/>
      <c r="W5291" s="25"/>
      <c r="X5291" s="25"/>
      <c r="Y5291" s="25"/>
      <c r="Z5291" s="25"/>
      <c r="AA5291" s="25"/>
    </row>
    <row r="5292" spans="1:27" x14ac:dyDescent="0.35">
      <c r="A5292" s="5">
        <v>5288</v>
      </c>
      <c r="B5292" s="5">
        <v>221</v>
      </c>
      <c r="C5292" s="5">
        <v>8</v>
      </c>
      <c r="D5292" s="25">
        <v>1.1415000000000001E-4</v>
      </c>
      <c r="E5292" s="25">
        <v>1.131E-4</v>
      </c>
      <c r="F5292" s="25">
        <v>1.0644E-4</v>
      </c>
      <c r="G5292" s="25">
        <v>1.5741999999999999E-4</v>
      </c>
      <c r="H5292" s="25">
        <v>1.9487000000000001E-4</v>
      </c>
      <c r="I5292" s="9">
        <v>1.0665E-4</v>
      </c>
      <c r="J5292" s="9">
        <v>1.1419E-4</v>
      </c>
      <c r="K5292" s="9">
        <v>6.3600000000000001E-6</v>
      </c>
      <c r="L5292" s="9">
        <v>1.0364E-4</v>
      </c>
      <c r="M5292" s="9">
        <v>8.3739999999999994E-5</v>
      </c>
      <c r="N5292" s="9">
        <v>9.1039999999999996E-5</v>
      </c>
      <c r="O5292" s="9">
        <v>2.1723000000000001E-4</v>
      </c>
      <c r="P5292" s="9">
        <v>1.7582000000000001E-4</v>
      </c>
      <c r="Q5292" s="9">
        <v>1.3582000000000001E-4</v>
      </c>
      <c r="R5292" s="10">
        <v>3.0722457648861781E-5</v>
      </c>
      <c r="S5292" s="10">
        <v>7.8861508861601296E-5</v>
      </c>
      <c r="T5292" s="10">
        <v>2.9294588796172078E-4</v>
      </c>
      <c r="U5292" s="10">
        <v>7.2719999999999995E-5</v>
      </c>
      <c r="V5292" s="25"/>
      <c r="W5292" s="25"/>
      <c r="X5292" s="25"/>
      <c r="Y5292" s="25"/>
      <c r="Z5292" s="25"/>
      <c r="AA5292" s="25"/>
    </row>
    <row r="5293" spans="1:27" x14ac:dyDescent="0.35">
      <c r="A5293" s="5">
        <v>5289</v>
      </c>
      <c r="B5293" s="5">
        <v>221</v>
      </c>
      <c r="C5293" s="5">
        <v>8</v>
      </c>
      <c r="D5293" s="25">
        <v>1.1416E-4</v>
      </c>
      <c r="E5293" s="25">
        <v>1.1469E-4</v>
      </c>
      <c r="F5293" s="25">
        <v>1.0597E-4</v>
      </c>
      <c r="G5293" s="25">
        <v>1.6226000000000001E-4</v>
      </c>
      <c r="H5293" s="25">
        <v>1.9103999999999999E-4</v>
      </c>
      <c r="I5293" s="9">
        <v>1.0935E-4</v>
      </c>
      <c r="J5293" s="9">
        <v>1.1799E-4</v>
      </c>
      <c r="K5293" s="9">
        <v>0</v>
      </c>
      <c r="L5293" s="9">
        <v>1.905E-4</v>
      </c>
      <c r="M5293" s="9">
        <v>1.2292999999999999E-4</v>
      </c>
      <c r="N5293" s="9">
        <v>1.0454999999999999E-4</v>
      </c>
      <c r="O5293" s="9">
        <v>2.0959E-4</v>
      </c>
      <c r="P5293" s="9">
        <v>1.9238999999999999E-4</v>
      </c>
      <c r="Q5293" s="9">
        <v>1.762E-4</v>
      </c>
      <c r="R5293" s="10">
        <v>4.0127632351998478E-6</v>
      </c>
      <c r="S5293" s="10">
        <v>9.0980613085545737E-5</v>
      </c>
      <c r="T5293" s="10">
        <v>4.5285796211320701E-4</v>
      </c>
      <c r="U5293" s="10">
        <v>7.2719999999999995E-5</v>
      </c>
      <c r="V5293" s="25"/>
      <c r="W5293" s="25"/>
      <c r="X5293" s="25"/>
      <c r="Y5293" s="25"/>
      <c r="Z5293" s="25"/>
      <c r="AA5293" s="25"/>
    </row>
    <row r="5294" spans="1:27" x14ac:dyDescent="0.35">
      <c r="A5294" s="5">
        <v>5290</v>
      </c>
      <c r="B5294" s="5">
        <v>221</v>
      </c>
      <c r="C5294" s="5">
        <v>8</v>
      </c>
      <c r="D5294" s="25">
        <v>1.1415000000000001E-4</v>
      </c>
      <c r="E5294" s="25">
        <v>1.1624E-4</v>
      </c>
      <c r="F5294" s="25">
        <v>1.0458E-4</v>
      </c>
      <c r="G5294" s="25">
        <v>1.6338999999999999E-4</v>
      </c>
      <c r="H5294" s="25">
        <v>1.9267000000000001E-4</v>
      </c>
      <c r="I5294" s="9">
        <v>1.1079E-4</v>
      </c>
      <c r="J5294" s="9">
        <v>1.1877E-4</v>
      </c>
      <c r="K5294" s="9">
        <v>0</v>
      </c>
      <c r="L5294" s="9">
        <v>2.0311E-4</v>
      </c>
      <c r="M5294" s="9">
        <v>1.5786000000000001E-4</v>
      </c>
      <c r="N5294" s="9">
        <v>1.2436000000000001E-4</v>
      </c>
      <c r="O5294" s="9">
        <v>1.6666000000000001E-4</v>
      </c>
      <c r="P5294" s="9">
        <v>1.7422E-4</v>
      </c>
      <c r="Q5294" s="9">
        <v>1.8223E-4</v>
      </c>
      <c r="R5294" s="10">
        <v>1.5495116157825014E-6</v>
      </c>
      <c r="S5294" s="10">
        <v>9.4035028880186847E-5</v>
      </c>
      <c r="T5294" s="10">
        <v>5.7564274230846948E-4</v>
      </c>
      <c r="U5294" s="10">
        <v>7.2719999999999995E-5</v>
      </c>
      <c r="V5294" s="25"/>
      <c r="W5294" s="25"/>
      <c r="X5294" s="25"/>
      <c r="Y5294" s="25"/>
      <c r="Z5294" s="25"/>
      <c r="AA5294" s="25"/>
    </row>
    <row r="5295" spans="1:27" x14ac:dyDescent="0.35">
      <c r="A5295" s="5">
        <v>5291</v>
      </c>
      <c r="B5295" s="5">
        <v>221</v>
      </c>
      <c r="C5295" s="5">
        <v>8</v>
      </c>
      <c r="D5295" s="25">
        <v>1.1416E-4</v>
      </c>
      <c r="E5295" s="25">
        <v>1.1875E-4</v>
      </c>
      <c r="F5295" s="25">
        <v>1.0437000000000001E-4</v>
      </c>
      <c r="G5295" s="25">
        <v>1.6354E-4</v>
      </c>
      <c r="H5295" s="25">
        <v>1.9608000000000001E-4</v>
      </c>
      <c r="I5295" s="9">
        <v>1.1148E-4</v>
      </c>
      <c r="J5295" s="9">
        <v>1.193E-4</v>
      </c>
      <c r="K5295" s="9">
        <v>0</v>
      </c>
      <c r="L5295" s="9">
        <v>1.7474E-4</v>
      </c>
      <c r="M5295" s="9">
        <v>1.7186E-4</v>
      </c>
      <c r="N5295" s="9">
        <v>1.4243E-4</v>
      </c>
      <c r="O5295" s="9">
        <v>1.6646E-4</v>
      </c>
      <c r="P5295" s="9">
        <v>1.7265999999999999E-4</v>
      </c>
      <c r="Q5295" s="9">
        <v>1.7934E-4</v>
      </c>
      <c r="R5295" s="10">
        <v>1.7698572025334376E-6</v>
      </c>
      <c r="S5295" s="10">
        <v>8.8026251330184556E-5</v>
      </c>
      <c r="T5295" s="10">
        <v>5.1884884245861549E-4</v>
      </c>
      <c r="U5295" s="10">
        <v>7.2719999999999995E-5</v>
      </c>
      <c r="V5295" s="25"/>
      <c r="W5295" s="25"/>
      <c r="X5295" s="25"/>
      <c r="Y5295" s="25"/>
      <c r="Z5295" s="25"/>
      <c r="AA5295" s="25"/>
    </row>
    <row r="5296" spans="1:27" x14ac:dyDescent="0.35">
      <c r="A5296" s="5">
        <v>5292</v>
      </c>
      <c r="B5296" s="5">
        <v>221</v>
      </c>
      <c r="C5296" s="5">
        <v>8</v>
      </c>
      <c r="D5296" s="25">
        <v>1.1415000000000001E-4</v>
      </c>
      <c r="E5296" s="25">
        <v>1.1618E-4</v>
      </c>
      <c r="F5296" s="25">
        <v>9.6600000000000003E-5</v>
      </c>
      <c r="G5296" s="25">
        <v>1.6735E-4</v>
      </c>
      <c r="H5296" s="25">
        <v>1.8772E-4</v>
      </c>
      <c r="I5296" s="9">
        <v>1.0676E-4</v>
      </c>
      <c r="J5296" s="9">
        <v>1.1760999999999999E-4</v>
      </c>
      <c r="K5296" s="9">
        <v>0</v>
      </c>
      <c r="L5296" s="9">
        <v>1.6966E-4</v>
      </c>
      <c r="M5296" s="9">
        <v>1.7454999999999999E-4</v>
      </c>
      <c r="N5296" s="9">
        <v>1.5647E-4</v>
      </c>
      <c r="O5296" s="9">
        <v>1.6893999999999999E-4</v>
      </c>
      <c r="P5296" s="9">
        <v>1.7106000000000001E-4</v>
      </c>
      <c r="Q5296" s="9">
        <v>1.7372000000000001E-4</v>
      </c>
      <c r="R5296" s="10">
        <v>1.1667933907323228E-6</v>
      </c>
      <c r="S5296" s="10">
        <v>7.8517863209734792E-5</v>
      </c>
      <c r="T5296" s="10">
        <v>4.3027275724312762E-4</v>
      </c>
      <c r="U5296" s="10">
        <v>7.2719999999999995E-5</v>
      </c>
      <c r="V5296" s="25"/>
      <c r="W5296" s="25"/>
      <c r="X5296" s="25"/>
      <c r="Y5296" s="25"/>
      <c r="Z5296" s="25"/>
      <c r="AA5296" s="25"/>
    </row>
    <row r="5297" spans="1:27" x14ac:dyDescent="0.35">
      <c r="A5297" s="5">
        <v>5293</v>
      </c>
      <c r="B5297" s="5">
        <v>221</v>
      </c>
      <c r="C5297" s="5">
        <v>8</v>
      </c>
      <c r="D5297" s="25">
        <v>1.1416E-4</v>
      </c>
      <c r="E5297" s="25">
        <v>1.1848E-4</v>
      </c>
      <c r="F5297" s="25">
        <v>1.0895000000000001E-4</v>
      </c>
      <c r="G5297" s="25">
        <v>1.6755000000000001E-4</v>
      </c>
      <c r="H5297" s="25">
        <v>1.9189000000000001E-4</v>
      </c>
      <c r="I5297" s="9">
        <v>1.0203E-4</v>
      </c>
      <c r="J5297" s="9">
        <v>1.1671E-4</v>
      </c>
      <c r="K5297" s="9">
        <v>0</v>
      </c>
      <c r="L5297" s="9">
        <v>1.6925999999999999E-4</v>
      </c>
      <c r="M5297" s="9">
        <v>1.7349999999999999E-4</v>
      </c>
      <c r="N5297" s="9">
        <v>1.6588E-4</v>
      </c>
      <c r="O5297" s="9">
        <v>1.6234999999999999E-4</v>
      </c>
      <c r="P5297" s="9">
        <v>1.6526999999999999E-4</v>
      </c>
      <c r="Q5297" s="9">
        <v>1.6869000000000001E-4</v>
      </c>
      <c r="R5297" s="10">
        <v>7.2123045622582207E-7</v>
      </c>
      <c r="S5297" s="10">
        <v>7.3325896558570515E-5</v>
      </c>
      <c r="T5297" s="10">
        <v>5.4768697594974986E-4</v>
      </c>
      <c r="U5297" s="10">
        <v>7.2719999999999995E-5</v>
      </c>
      <c r="V5297" s="25"/>
      <c r="W5297" s="25"/>
      <c r="X5297" s="25"/>
      <c r="Y5297" s="25"/>
      <c r="Z5297" s="25"/>
      <c r="AA5297" s="25"/>
    </row>
    <row r="5298" spans="1:27" x14ac:dyDescent="0.35">
      <c r="A5298" s="5">
        <v>5294</v>
      </c>
      <c r="B5298" s="5">
        <v>221</v>
      </c>
      <c r="C5298" s="5">
        <v>8</v>
      </c>
      <c r="D5298" s="25">
        <v>1.1415000000000001E-4</v>
      </c>
      <c r="E5298" s="25">
        <v>1.2016E-4</v>
      </c>
      <c r="F5298" s="25">
        <v>1.066E-4</v>
      </c>
      <c r="G5298" s="25">
        <v>1.6602000000000001E-4</v>
      </c>
      <c r="H5298" s="25">
        <v>1.9547999999999999E-4</v>
      </c>
      <c r="I5298" s="9">
        <v>9.8339999999999997E-5</v>
      </c>
      <c r="J5298" s="9">
        <v>1.1595E-4</v>
      </c>
      <c r="K5298" s="9">
        <v>0</v>
      </c>
      <c r="L5298" s="9">
        <v>1.6363E-4</v>
      </c>
      <c r="M5298" s="9">
        <v>1.7022000000000001E-4</v>
      </c>
      <c r="N5298" s="9">
        <v>1.7055E-4</v>
      </c>
      <c r="O5298" s="9">
        <v>1.7611999999999999E-4</v>
      </c>
      <c r="P5298" s="9">
        <v>1.6741999999999999E-4</v>
      </c>
      <c r="Q5298" s="9">
        <v>1.5945999999999999E-4</v>
      </c>
      <c r="R5298" s="10">
        <v>4.4210438556488145E-7</v>
      </c>
      <c r="S5298" s="10">
        <v>6.5657833144285642E-5</v>
      </c>
      <c r="T5298" s="10">
        <v>1.7996047351587295E-4</v>
      </c>
      <c r="U5298" s="10">
        <v>7.2719999999999995E-5</v>
      </c>
      <c r="V5298" s="25"/>
      <c r="W5298" s="25"/>
      <c r="X5298" s="25"/>
      <c r="Y5298" s="25"/>
      <c r="Z5298" s="25"/>
      <c r="AA5298" s="25"/>
    </row>
    <row r="5299" spans="1:27" x14ac:dyDescent="0.35">
      <c r="A5299" s="5">
        <v>5295</v>
      </c>
      <c r="B5299" s="5">
        <v>221</v>
      </c>
      <c r="C5299" s="5">
        <v>8</v>
      </c>
      <c r="D5299" s="25">
        <v>1.1416E-4</v>
      </c>
      <c r="E5299" s="25">
        <v>1.1265E-4</v>
      </c>
      <c r="F5299" s="25">
        <v>1.092E-4</v>
      </c>
      <c r="G5299" s="25">
        <v>1.6741E-4</v>
      </c>
      <c r="H5299" s="25">
        <v>2.0128E-4</v>
      </c>
      <c r="I5299" s="9">
        <v>9.7429999999999994E-5</v>
      </c>
      <c r="J5299" s="9">
        <v>1.1557000000000001E-4</v>
      </c>
      <c r="K5299" s="9">
        <v>0</v>
      </c>
      <c r="L5299" s="9">
        <v>1.7351000000000001E-4</v>
      </c>
      <c r="M5299" s="9">
        <v>1.6828000000000001E-4</v>
      </c>
      <c r="N5299" s="9">
        <v>1.6983999999999999E-4</v>
      </c>
      <c r="O5299" s="9">
        <v>1.8175999999999999E-4</v>
      </c>
      <c r="P5299" s="9">
        <v>1.6627999999999999E-4</v>
      </c>
      <c r="Q5299" s="9">
        <v>1.5166999999999999E-4</v>
      </c>
      <c r="R5299" s="10">
        <v>6.6515760775422393E-7</v>
      </c>
      <c r="S5299" s="10">
        <v>5.6428023306659854E-5</v>
      </c>
      <c r="T5299" s="10">
        <v>7.9913615578992367E-5</v>
      </c>
      <c r="U5299" s="10">
        <v>7.2719999999999995E-5</v>
      </c>
      <c r="V5299" s="25"/>
      <c r="W5299" s="25"/>
      <c r="X5299" s="25"/>
      <c r="Y5299" s="25"/>
      <c r="Z5299" s="25"/>
      <c r="AA5299" s="25"/>
    </row>
    <row r="5300" spans="1:27" x14ac:dyDescent="0.35">
      <c r="A5300" s="5">
        <v>5296</v>
      </c>
      <c r="B5300" s="5">
        <v>221</v>
      </c>
      <c r="C5300" s="5">
        <v>8</v>
      </c>
      <c r="D5300" s="25">
        <v>1.1415000000000001E-4</v>
      </c>
      <c r="E5300" s="25">
        <v>1.1226999999999999E-4</v>
      </c>
      <c r="F5300" s="25">
        <v>1.1441E-4</v>
      </c>
      <c r="G5300" s="25">
        <v>1.6077999999999999E-4</v>
      </c>
      <c r="H5300" s="25">
        <v>1.9885000000000001E-4</v>
      </c>
      <c r="I5300" s="9">
        <v>9.8170000000000004E-5</v>
      </c>
      <c r="J5300" s="9">
        <v>1.1618E-4</v>
      </c>
      <c r="K5300" s="9">
        <v>0</v>
      </c>
      <c r="L5300" s="9">
        <v>1.7969000000000001E-4</v>
      </c>
      <c r="M5300" s="9">
        <v>1.6712000000000001E-4</v>
      </c>
      <c r="N5300" s="9">
        <v>1.6579999999999999E-4</v>
      </c>
      <c r="O5300" s="9">
        <v>1.9614E-4</v>
      </c>
      <c r="P5300" s="9">
        <v>1.5216000000000001E-4</v>
      </c>
      <c r="Q5300" s="9">
        <v>1.0955000000000001E-4</v>
      </c>
      <c r="R5300" s="10">
        <v>1.1745149654570731E-6</v>
      </c>
      <c r="S5300" s="10">
        <v>5.0461774377009731E-5</v>
      </c>
      <c r="T5300" s="10">
        <v>9.5685928070907305E-5</v>
      </c>
      <c r="U5300" s="10">
        <v>7.2719999999999995E-5</v>
      </c>
      <c r="V5300" s="25"/>
      <c r="W5300" s="25"/>
      <c r="X5300" s="25"/>
      <c r="Y5300" s="25"/>
      <c r="Z5300" s="25"/>
      <c r="AA5300" s="25"/>
    </row>
    <row r="5301" spans="1:27" x14ac:dyDescent="0.35">
      <c r="A5301" s="5">
        <v>5297</v>
      </c>
      <c r="B5301" s="5">
        <v>221</v>
      </c>
      <c r="C5301" s="5">
        <v>8</v>
      </c>
      <c r="D5301" s="25">
        <v>1.1416E-4</v>
      </c>
      <c r="E5301" s="25">
        <v>1.1414E-4</v>
      </c>
      <c r="F5301" s="25">
        <v>9.9539999999999999E-5</v>
      </c>
      <c r="G5301" s="25">
        <v>1.6597000000000001E-4</v>
      </c>
      <c r="H5301" s="25">
        <v>1.9126000000000001E-4</v>
      </c>
      <c r="I5301" s="9">
        <v>1.0175000000000001E-4</v>
      </c>
      <c r="J5301" s="9">
        <v>1.1813E-4</v>
      </c>
      <c r="K5301" s="9">
        <v>0</v>
      </c>
      <c r="L5301" s="9">
        <v>1.9231000000000001E-4</v>
      </c>
      <c r="M5301" s="9">
        <v>1.6154E-4</v>
      </c>
      <c r="N5301" s="9">
        <v>1.5207E-4</v>
      </c>
      <c r="O5301" s="9">
        <v>2.1086999999999999E-4</v>
      </c>
      <c r="P5301" s="9">
        <v>1.5767999999999999E-4</v>
      </c>
      <c r="Q5301" s="9">
        <v>1.0606E-4</v>
      </c>
      <c r="R5301" s="10">
        <v>7.4364892224070757E-7</v>
      </c>
      <c r="S5301" s="10">
        <v>4.869767217627132E-5</v>
      </c>
      <c r="T5301" s="10">
        <v>9.847726255710419E-5</v>
      </c>
      <c r="U5301" s="10">
        <v>7.2719999999999995E-5</v>
      </c>
      <c r="V5301" s="25"/>
      <c r="W5301" s="25"/>
      <c r="X5301" s="25"/>
      <c r="Y5301" s="25"/>
      <c r="Z5301" s="25"/>
      <c r="AA5301" s="25"/>
    </row>
    <row r="5302" spans="1:27" x14ac:dyDescent="0.35">
      <c r="A5302" s="5">
        <v>5298</v>
      </c>
      <c r="B5302" s="5">
        <v>221</v>
      </c>
      <c r="C5302" s="5">
        <v>8</v>
      </c>
      <c r="D5302" s="25">
        <v>1.1415000000000001E-4</v>
      </c>
      <c r="E5302" s="25">
        <v>1.1724E-4</v>
      </c>
      <c r="F5302" s="25">
        <v>1.0924E-4</v>
      </c>
      <c r="G5302" s="25">
        <v>1.6524000000000001E-4</v>
      </c>
      <c r="H5302" s="25">
        <v>1.9133999999999999E-4</v>
      </c>
      <c r="I5302" s="9">
        <v>1.0505000000000001E-4</v>
      </c>
      <c r="J5302" s="9">
        <v>1.1456E-4</v>
      </c>
      <c r="K5302" s="9">
        <v>6.3600000000000001E-6</v>
      </c>
      <c r="L5302" s="9">
        <v>2.0651E-4</v>
      </c>
      <c r="M5302" s="9">
        <v>1.5862999999999999E-4</v>
      </c>
      <c r="N5302" s="9">
        <v>1.3854000000000001E-4</v>
      </c>
      <c r="O5302" s="9">
        <v>2.0450000000000001E-4</v>
      </c>
      <c r="P5302" s="9">
        <v>1.6038000000000001E-4</v>
      </c>
      <c r="Q5302" s="9">
        <v>1.1767E-4</v>
      </c>
      <c r="R5302" s="10">
        <v>2.7723575907138818E-7</v>
      </c>
      <c r="S5302" s="10">
        <v>4.5809681393295908E-5</v>
      </c>
      <c r="T5302" s="10">
        <v>5.7158724721910132E-5</v>
      </c>
      <c r="U5302" s="10">
        <v>7.2719999999999995E-5</v>
      </c>
      <c r="V5302" s="25"/>
      <c r="W5302" s="25"/>
      <c r="X5302" s="25"/>
      <c r="Y5302" s="25"/>
      <c r="Z5302" s="25"/>
      <c r="AA5302" s="25"/>
    </row>
    <row r="5303" spans="1:27" x14ac:dyDescent="0.35">
      <c r="A5303" s="5">
        <v>5299</v>
      </c>
      <c r="B5303" s="5">
        <v>221</v>
      </c>
      <c r="C5303" s="5">
        <v>8</v>
      </c>
      <c r="D5303" s="25">
        <v>1.1416E-4</v>
      </c>
      <c r="E5303" s="25">
        <v>1.1548E-4</v>
      </c>
      <c r="F5303" s="25">
        <v>1.159E-4</v>
      </c>
      <c r="G5303" s="25">
        <v>1.0925E-4</v>
      </c>
      <c r="H5303" s="25">
        <v>1.3655000000000001E-4</v>
      </c>
      <c r="I5303" s="9">
        <v>1.0615000000000001E-4</v>
      </c>
      <c r="J5303" s="9">
        <v>1.1207E-4</v>
      </c>
      <c r="K5303" s="9">
        <v>1.908E-5</v>
      </c>
      <c r="L5303" s="9">
        <v>2.0458E-4</v>
      </c>
      <c r="M5303" s="9">
        <v>1.5866E-4</v>
      </c>
      <c r="N5303" s="9">
        <v>1.295E-4</v>
      </c>
      <c r="O5303" s="9">
        <v>1.6440000000000001E-4</v>
      </c>
      <c r="P5303" s="9">
        <v>1.3545000000000001E-4</v>
      </c>
      <c r="Q5303" s="9">
        <v>1.075E-4</v>
      </c>
      <c r="R5303" s="10">
        <v>4.0240552552426785E-7</v>
      </c>
      <c r="S5303" s="10">
        <v>4.4658836833992433E-5</v>
      </c>
      <c r="T5303" s="10">
        <v>2.7200663716556914E-5</v>
      </c>
      <c r="U5303" s="10">
        <v>7.2719999999999995E-5</v>
      </c>
      <c r="V5303" s="25"/>
      <c r="W5303" s="25"/>
      <c r="X5303" s="25"/>
      <c r="Y5303" s="25"/>
      <c r="Z5303" s="25"/>
      <c r="AA5303" s="25"/>
    </row>
    <row r="5304" spans="1:27" x14ac:dyDescent="0.35">
      <c r="A5304" s="5">
        <v>5300</v>
      </c>
      <c r="B5304" s="5">
        <v>221</v>
      </c>
      <c r="C5304" s="5">
        <v>8</v>
      </c>
      <c r="D5304" s="25">
        <v>1.1415000000000001E-4</v>
      </c>
      <c r="E5304" s="25">
        <v>1.1882E-4</v>
      </c>
      <c r="F5304" s="25">
        <v>9.7769999999999994E-5</v>
      </c>
      <c r="G5304" s="25">
        <v>1.0507E-4</v>
      </c>
      <c r="H5304" s="25">
        <v>1.3732999999999999E-4</v>
      </c>
      <c r="I5304" s="9">
        <v>1.0624999999999999E-4</v>
      </c>
      <c r="J5304" s="9">
        <v>1.0993E-4</v>
      </c>
      <c r="K5304" s="9">
        <v>4.0269999999999999E-5</v>
      </c>
      <c r="L5304" s="9">
        <v>1.7337E-4</v>
      </c>
      <c r="M5304" s="9">
        <v>1.5048000000000001E-4</v>
      </c>
      <c r="N5304" s="9">
        <v>1.2061E-4</v>
      </c>
      <c r="O5304" s="9">
        <v>1.2894999999999999E-4</v>
      </c>
      <c r="P5304" s="9">
        <v>1.1529E-4</v>
      </c>
      <c r="Q5304" s="9">
        <v>1.0226999999999999E-4</v>
      </c>
      <c r="R5304" s="10">
        <v>2.1044069144743507E-6</v>
      </c>
      <c r="S5304" s="10">
        <v>4.656534811123374E-5</v>
      </c>
      <c r="T5304" s="10">
        <v>0</v>
      </c>
      <c r="U5304" s="10">
        <v>7.2719999999999995E-5</v>
      </c>
      <c r="V5304" s="25"/>
      <c r="W5304" s="25"/>
      <c r="X5304" s="25"/>
      <c r="Y5304" s="25"/>
      <c r="Z5304" s="25"/>
      <c r="AA5304" s="25"/>
    </row>
    <row r="5305" spans="1:27" x14ac:dyDescent="0.35">
      <c r="A5305" s="5">
        <v>5301</v>
      </c>
      <c r="B5305" s="5">
        <v>221</v>
      </c>
      <c r="C5305" s="5">
        <v>8</v>
      </c>
      <c r="D5305" s="25">
        <v>1.1416E-4</v>
      </c>
      <c r="E5305" s="25">
        <v>1.1302E-4</v>
      </c>
      <c r="F5305" s="25">
        <v>1.0908000000000001E-4</v>
      </c>
      <c r="G5305" s="25">
        <v>6.1539999999999997E-5</v>
      </c>
      <c r="H5305" s="25">
        <v>6.8479999999999995E-5</v>
      </c>
      <c r="I5305" s="9">
        <v>1.0665E-4</v>
      </c>
      <c r="J5305" s="9">
        <v>1.1014E-4</v>
      </c>
      <c r="K5305" s="9">
        <v>4.4509999999999999E-5</v>
      </c>
      <c r="L5305" s="9">
        <v>1.3967999999999999E-4</v>
      </c>
      <c r="M5305" s="9">
        <v>1.3552E-4</v>
      </c>
      <c r="N5305" s="9">
        <v>1.1312E-4</v>
      </c>
      <c r="O5305" s="9">
        <v>8.4980000000000003E-5</v>
      </c>
      <c r="P5305" s="9">
        <v>8.6749999999999994E-5</v>
      </c>
      <c r="Q5305" s="9">
        <v>8.8759999999999997E-5</v>
      </c>
      <c r="R5305" s="10">
        <v>3.6914813726803796E-6</v>
      </c>
      <c r="S5305" s="10">
        <v>4.2135859553615014E-5</v>
      </c>
      <c r="T5305" s="10">
        <v>0</v>
      </c>
      <c r="U5305" s="10">
        <v>7.2719999999999995E-5</v>
      </c>
      <c r="V5305" s="25"/>
      <c r="W5305" s="25"/>
      <c r="X5305" s="25"/>
      <c r="Y5305" s="25"/>
      <c r="Z5305" s="25"/>
      <c r="AA5305" s="25"/>
    </row>
    <row r="5306" spans="1:27" x14ac:dyDescent="0.35">
      <c r="A5306" s="5">
        <v>5302</v>
      </c>
      <c r="B5306" s="5">
        <v>221</v>
      </c>
      <c r="C5306" s="5">
        <v>8</v>
      </c>
      <c r="D5306" s="25">
        <v>1.1415000000000001E-4</v>
      </c>
      <c r="E5306" s="25">
        <v>1.1302E-4</v>
      </c>
      <c r="F5306" s="25">
        <v>1.1724E-4</v>
      </c>
      <c r="G5306" s="25">
        <v>5.3699999999999997E-5</v>
      </c>
      <c r="H5306" s="25">
        <v>7.6229999999999994E-5</v>
      </c>
      <c r="I5306" s="9">
        <v>1.0785000000000001E-4</v>
      </c>
      <c r="J5306" s="9">
        <v>1.0713999999999999E-4</v>
      </c>
      <c r="K5306" s="9">
        <v>3.8160000000000001E-5</v>
      </c>
      <c r="L5306" s="9">
        <v>9.7940000000000001E-5</v>
      </c>
      <c r="M5306" s="9">
        <v>1.1409E-4</v>
      </c>
      <c r="N5306" s="9">
        <v>1.0569999999999999E-4</v>
      </c>
      <c r="O5306" s="9">
        <v>8.7780000000000003E-5</v>
      </c>
      <c r="P5306" s="9">
        <v>8.8159999999999996E-5</v>
      </c>
      <c r="Q5306" s="9">
        <v>8.8819999999999993E-5</v>
      </c>
      <c r="R5306" s="10">
        <v>3.6718960926960097E-6</v>
      </c>
      <c r="S5306" s="10">
        <v>4.4863327750774898E-5</v>
      </c>
      <c r="T5306" s="10">
        <v>0</v>
      </c>
      <c r="U5306" s="10">
        <v>7.2719999999999995E-5</v>
      </c>
      <c r="V5306" s="25"/>
      <c r="W5306" s="25"/>
      <c r="X5306" s="25"/>
      <c r="Y5306" s="25"/>
      <c r="Z5306" s="25"/>
      <c r="AA5306" s="25"/>
    </row>
    <row r="5307" spans="1:27" x14ac:dyDescent="0.35">
      <c r="A5307" s="5">
        <v>5303</v>
      </c>
      <c r="B5307" s="5">
        <v>221</v>
      </c>
      <c r="C5307" s="5">
        <v>8</v>
      </c>
      <c r="D5307" s="25">
        <v>1.1416E-4</v>
      </c>
      <c r="E5307" s="25">
        <v>1.2021E-4</v>
      </c>
      <c r="F5307" s="25">
        <v>1.0694E-4</v>
      </c>
      <c r="G5307" s="25">
        <v>5.5739999999999998E-5</v>
      </c>
      <c r="H5307" s="25">
        <v>6.7260000000000003E-5</v>
      </c>
      <c r="I5307" s="9">
        <v>1.0259000000000001E-4</v>
      </c>
      <c r="J5307" s="9">
        <v>1.0137E-4</v>
      </c>
      <c r="K5307" s="9">
        <v>4.0280000000000001E-5</v>
      </c>
      <c r="L5307" s="9">
        <v>9.0950000000000002E-5</v>
      </c>
      <c r="M5307" s="9">
        <v>9.9500000000000006E-5</v>
      </c>
      <c r="N5307" s="9">
        <v>1.0009999999999999E-4</v>
      </c>
      <c r="O5307" s="9">
        <v>7.7029999999999999E-5</v>
      </c>
      <c r="P5307" s="9">
        <v>7.1500000000000003E-5</v>
      </c>
      <c r="Q5307" s="9">
        <v>6.6299999999999999E-5</v>
      </c>
      <c r="R5307" s="10">
        <v>4.7761371625565411E-6</v>
      </c>
      <c r="S5307" s="10">
        <v>5.5700221448545298E-5</v>
      </c>
      <c r="T5307" s="10">
        <v>0</v>
      </c>
      <c r="U5307" s="10">
        <v>7.2719999999999995E-5</v>
      </c>
      <c r="V5307" s="25"/>
      <c r="W5307" s="25"/>
      <c r="X5307" s="25"/>
      <c r="Y5307" s="25"/>
      <c r="Z5307" s="25"/>
      <c r="AA5307" s="25"/>
    </row>
    <row r="5308" spans="1:27" x14ac:dyDescent="0.35">
      <c r="A5308" s="5">
        <v>5304</v>
      </c>
      <c r="B5308" s="5">
        <v>221</v>
      </c>
      <c r="C5308" s="5">
        <v>8</v>
      </c>
      <c r="D5308" s="25">
        <v>1.1415000000000001E-4</v>
      </c>
      <c r="E5308" s="25">
        <v>1.0988E-4</v>
      </c>
      <c r="F5308" s="25">
        <v>1.0948E-4</v>
      </c>
      <c r="G5308" s="25">
        <v>5.3069999999999998E-5</v>
      </c>
      <c r="H5308" s="25">
        <v>7.5939999999999995E-5</v>
      </c>
      <c r="I5308" s="9">
        <v>9.5530000000000002E-5</v>
      </c>
      <c r="J5308" s="9">
        <v>9.4729999999999996E-5</v>
      </c>
      <c r="K5308" s="9">
        <v>3.6040000000000001E-5</v>
      </c>
      <c r="L5308" s="9">
        <v>8.0080000000000006E-5</v>
      </c>
      <c r="M5308" s="9">
        <v>8.6210000000000003E-5</v>
      </c>
      <c r="N5308" s="9">
        <v>9.0699999999999996E-5</v>
      </c>
      <c r="O5308" s="9">
        <v>6.2199999999999994E-5</v>
      </c>
      <c r="P5308" s="9">
        <v>6.0189999999999998E-5</v>
      </c>
      <c r="Q5308" s="9">
        <v>5.8390000000000002E-5</v>
      </c>
      <c r="R5308" s="10">
        <v>4.6800886497122733E-7</v>
      </c>
      <c r="S5308" s="10">
        <v>5.8433837123670372E-5</v>
      </c>
      <c r="T5308" s="10">
        <v>0</v>
      </c>
      <c r="U5308" s="10">
        <v>7.2719999999999995E-5</v>
      </c>
      <c r="V5308" s="25"/>
      <c r="W5308" s="25"/>
      <c r="X5308" s="25"/>
      <c r="Y5308" s="25"/>
      <c r="Z5308" s="25"/>
      <c r="AA5308" s="25"/>
    </row>
    <row r="5309" spans="1:27" x14ac:dyDescent="0.35">
      <c r="A5309" s="5">
        <v>5305</v>
      </c>
      <c r="B5309" s="5">
        <v>222</v>
      </c>
      <c r="C5309" s="5">
        <v>8</v>
      </c>
      <c r="D5309" s="25">
        <v>1.1416E-4</v>
      </c>
      <c r="E5309" s="25">
        <v>1.1825E-4</v>
      </c>
      <c r="F5309" s="25">
        <v>1.3093999999999999E-4</v>
      </c>
      <c r="G5309" s="25">
        <v>5.7049999999999998E-5</v>
      </c>
      <c r="H5309" s="25">
        <v>6.6309999999999994E-5</v>
      </c>
      <c r="I5309" s="9">
        <v>9.1559999999999998E-5</v>
      </c>
      <c r="J5309" s="9">
        <v>9.043E-5</v>
      </c>
      <c r="K5309" s="9">
        <v>4.0269999999999999E-5</v>
      </c>
      <c r="L5309" s="9">
        <v>6.6160000000000004E-5</v>
      </c>
      <c r="M5309" s="9">
        <v>7.3769999999999993E-5</v>
      </c>
      <c r="N5309" s="9">
        <v>8.1160000000000002E-5</v>
      </c>
      <c r="O5309" s="9">
        <v>5.4039999999999998E-5</v>
      </c>
      <c r="P5309" s="9">
        <v>5.3470000000000001E-5</v>
      </c>
      <c r="Q5309" s="9">
        <v>5.304E-5</v>
      </c>
      <c r="R5309" s="10">
        <v>2.6296797178925072E-6</v>
      </c>
      <c r="S5309" s="10">
        <v>5.9303094863586636E-5</v>
      </c>
      <c r="T5309" s="10">
        <v>0</v>
      </c>
      <c r="U5309" s="10">
        <v>7.3590000000000005E-5</v>
      </c>
      <c r="V5309" s="25"/>
      <c r="W5309" s="25"/>
      <c r="X5309" s="25"/>
      <c r="Y5309" s="25"/>
      <c r="Z5309" s="25"/>
      <c r="AA5309" s="25"/>
    </row>
    <row r="5310" spans="1:27" x14ac:dyDescent="0.35">
      <c r="A5310" s="5">
        <v>5306</v>
      </c>
      <c r="B5310" s="5">
        <v>222</v>
      </c>
      <c r="C5310" s="5">
        <v>8</v>
      </c>
      <c r="D5310" s="25">
        <v>1.1415000000000001E-4</v>
      </c>
      <c r="E5310" s="25">
        <v>1.1077E-4</v>
      </c>
      <c r="F5310" s="25">
        <v>1.2923000000000001E-4</v>
      </c>
      <c r="G5310" s="25">
        <v>5.5510000000000002E-5</v>
      </c>
      <c r="H5310" s="25">
        <v>7.5439999999999996E-5</v>
      </c>
      <c r="I5310" s="9">
        <v>8.9120000000000001E-5</v>
      </c>
      <c r="J5310" s="9">
        <v>8.8560000000000006E-5</v>
      </c>
      <c r="K5310" s="9">
        <v>3.8149999999999999E-5</v>
      </c>
      <c r="L5310" s="9">
        <v>5.7089999999999997E-5</v>
      </c>
      <c r="M5310" s="9">
        <v>6.3499999999999999E-5</v>
      </c>
      <c r="N5310" s="9">
        <v>7.1929999999999997E-5</v>
      </c>
      <c r="O5310" s="9">
        <v>1.8980000000000001E-5</v>
      </c>
      <c r="P5310" s="9">
        <v>3.7610000000000001E-5</v>
      </c>
      <c r="Q5310" s="9">
        <v>5.5980000000000003E-5</v>
      </c>
      <c r="R5310" s="10">
        <v>5.3995362017638527E-6</v>
      </c>
      <c r="S5310" s="10">
        <v>6.2770126344163508E-5</v>
      </c>
      <c r="T5310" s="10">
        <v>0</v>
      </c>
      <c r="U5310" s="10">
        <v>7.3590000000000005E-5</v>
      </c>
      <c r="V5310" s="25"/>
      <c r="W5310" s="25"/>
      <c r="X5310" s="25"/>
      <c r="Y5310" s="25"/>
      <c r="Z5310" s="25"/>
      <c r="AA5310" s="25"/>
    </row>
    <row r="5311" spans="1:27" x14ac:dyDescent="0.35">
      <c r="A5311" s="5">
        <v>5307</v>
      </c>
      <c r="B5311" s="5">
        <v>222</v>
      </c>
      <c r="C5311" s="5">
        <v>8</v>
      </c>
      <c r="D5311" s="25">
        <v>1.1416E-4</v>
      </c>
      <c r="E5311" s="25">
        <v>1.1425E-4</v>
      </c>
      <c r="F5311" s="25">
        <v>1.3149E-4</v>
      </c>
      <c r="G5311" s="25">
        <v>5.5269999999999998E-5</v>
      </c>
      <c r="H5311" s="25">
        <v>6.4620000000000001E-5</v>
      </c>
      <c r="I5311" s="9">
        <v>8.797E-5</v>
      </c>
      <c r="J5311" s="9">
        <v>8.7100000000000003E-5</v>
      </c>
      <c r="K5311" s="9">
        <v>3.8149999999999999E-5</v>
      </c>
      <c r="L5311" s="9">
        <v>2.756E-5</v>
      </c>
      <c r="M5311" s="9">
        <v>5.185E-5</v>
      </c>
      <c r="N5311" s="9">
        <v>6.5279999999999998E-5</v>
      </c>
      <c r="O5311" s="9">
        <v>1.3509999999999999E-5</v>
      </c>
      <c r="P5311" s="9">
        <v>3.7540000000000003E-5</v>
      </c>
      <c r="Q5311" s="9">
        <v>6.1179999999999994E-5</v>
      </c>
      <c r="R5311" s="10">
        <v>6.4493950623994613E-6</v>
      </c>
      <c r="S5311" s="10">
        <v>6.1542040611784932E-5</v>
      </c>
      <c r="T5311" s="10">
        <v>0</v>
      </c>
      <c r="U5311" s="10">
        <v>7.3590000000000005E-5</v>
      </c>
      <c r="V5311" s="25"/>
      <c r="W5311" s="25"/>
      <c r="X5311" s="25"/>
      <c r="Y5311" s="25"/>
      <c r="Z5311" s="25"/>
      <c r="AA5311" s="25"/>
    </row>
    <row r="5312" spans="1:27" x14ac:dyDescent="0.35">
      <c r="A5312" s="5">
        <v>5308</v>
      </c>
      <c r="B5312" s="5">
        <v>222</v>
      </c>
      <c r="C5312" s="5">
        <v>8</v>
      </c>
      <c r="D5312" s="25">
        <v>1.1415000000000001E-4</v>
      </c>
      <c r="E5312" s="25">
        <v>1.1139E-4</v>
      </c>
      <c r="F5312" s="25">
        <v>1.4006000000000001E-4</v>
      </c>
      <c r="G5312" s="25">
        <v>5.2580000000000001E-5</v>
      </c>
      <c r="H5312" s="25">
        <v>7.3650000000000001E-5</v>
      </c>
      <c r="I5312" s="9">
        <v>8.8839999999999996E-5</v>
      </c>
      <c r="J5312" s="9">
        <v>8.6819999999999999E-5</v>
      </c>
      <c r="K5312" s="9">
        <v>2.9669999999999999E-5</v>
      </c>
      <c r="L5312" s="9">
        <v>1.7329999999999998E-5</v>
      </c>
      <c r="M5312" s="9">
        <v>4.3930000000000001E-5</v>
      </c>
      <c r="N5312" s="9">
        <v>6.1610000000000001E-5</v>
      </c>
      <c r="O5312" s="9">
        <v>1.3709999999999999E-5</v>
      </c>
      <c r="P5312" s="9">
        <v>4.7620000000000001E-5</v>
      </c>
      <c r="Q5312" s="9">
        <v>8.0989999999999995E-5</v>
      </c>
      <c r="R5312" s="10">
        <v>6.6199173539039473E-6</v>
      </c>
      <c r="S5312" s="10">
        <v>5.6328909343160138E-5</v>
      </c>
      <c r="T5312" s="10">
        <v>0</v>
      </c>
      <c r="U5312" s="10">
        <v>7.3590000000000005E-5</v>
      </c>
      <c r="V5312" s="25"/>
      <c r="W5312" s="25"/>
      <c r="X5312" s="25"/>
      <c r="Y5312" s="25"/>
      <c r="Z5312" s="25"/>
      <c r="AA5312" s="25"/>
    </row>
    <row r="5313" spans="1:27" x14ac:dyDescent="0.35">
      <c r="A5313" s="5">
        <v>5309</v>
      </c>
      <c r="B5313" s="5">
        <v>222</v>
      </c>
      <c r="C5313" s="5">
        <v>8</v>
      </c>
      <c r="D5313" s="25">
        <v>1.1416E-4</v>
      </c>
      <c r="E5313" s="25">
        <v>1.1226999999999999E-4</v>
      </c>
      <c r="F5313" s="25">
        <v>1.3080000000000001E-4</v>
      </c>
      <c r="G5313" s="25">
        <v>5.3239999999999998E-5</v>
      </c>
      <c r="H5313" s="25">
        <v>7.2169999999999995E-5</v>
      </c>
      <c r="I5313" s="9">
        <v>9.2410000000000005E-5</v>
      </c>
      <c r="J5313" s="9">
        <v>8.9430000000000003E-5</v>
      </c>
      <c r="K5313" s="9">
        <v>2.3309999999999999E-5</v>
      </c>
      <c r="L5313" s="9">
        <v>1.4749999999999999E-5</v>
      </c>
      <c r="M5313" s="9">
        <v>4.3470000000000002E-5</v>
      </c>
      <c r="N5313" s="9">
        <v>6.4330000000000002E-5</v>
      </c>
      <c r="O5313" s="9">
        <v>1.897E-5</v>
      </c>
      <c r="P5313" s="9">
        <v>5.6400000000000002E-5</v>
      </c>
      <c r="Q5313" s="9">
        <v>9.3259999999999998E-5</v>
      </c>
      <c r="R5313" s="10">
        <v>1.1264077388847544E-5</v>
      </c>
      <c r="S5313" s="10">
        <v>5.251005088900362E-5</v>
      </c>
      <c r="T5313" s="10">
        <v>0</v>
      </c>
      <c r="U5313" s="10">
        <v>7.3590000000000005E-5</v>
      </c>
      <c r="V5313" s="25"/>
      <c r="W5313" s="25"/>
      <c r="X5313" s="25"/>
      <c r="Y5313" s="25"/>
      <c r="Z5313" s="25"/>
      <c r="AA5313" s="25"/>
    </row>
    <row r="5314" spans="1:27" x14ac:dyDescent="0.35">
      <c r="A5314" s="5">
        <v>5310</v>
      </c>
      <c r="B5314" s="5">
        <v>222</v>
      </c>
      <c r="C5314" s="5">
        <v>8</v>
      </c>
      <c r="D5314" s="25">
        <v>1.1415000000000001E-4</v>
      </c>
      <c r="E5314" s="25">
        <v>1.1736E-4</v>
      </c>
      <c r="F5314" s="25">
        <v>1.3337000000000001E-4</v>
      </c>
      <c r="G5314" s="25">
        <v>1.0825E-4</v>
      </c>
      <c r="H5314" s="25">
        <v>1.3443E-4</v>
      </c>
      <c r="I5314" s="9">
        <v>9.8750000000000002E-5</v>
      </c>
      <c r="J5314" s="9">
        <v>9.4980000000000002E-5</v>
      </c>
      <c r="K5314" s="9">
        <v>3.18E-5</v>
      </c>
      <c r="L5314" s="9">
        <v>1.791E-5</v>
      </c>
      <c r="M5314" s="9">
        <v>4.8359999999999998E-5</v>
      </c>
      <c r="N5314" s="9">
        <v>7.0850000000000001E-5</v>
      </c>
      <c r="O5314" s="9">
        <v>4.638E-5</v>
      </c>
      <c r="P5314" s="9">
        <v>7.6929999999999997E-5</v>
      </c>
      <c r="Q5314" s="9">
        <v>1.0713E-4</v>
      </c>
      <c r="R5314" s="10">
        <v>1.9610086409493496E-5</v>
      </c>
      <c r="S5314" s="10">
        <v>4.6314197135133207E-5</v>
      </c>
      <c r="T5314" s="10">
        <v>2.2059178310370542E-6</v>
      </c>
      <c r="U5314" s="10">
        <v>7.3590000000000005E-5</v>
      </c>
      <c r="V5314" s="25"/>
      <c r="W5314" s="25"/>
      <c r="X5314" s="25"/>
      <c r="Y5314" s="25"/>
      <c r="Z5314" s="25"/>
      <c r="AA5314" s="25"/>
    </row>
    <row r="5315" spans="1:27" x14ac:dyDescent="0.35">
      <c r="A5315" s="5">
        <v>5311</v>
      </c>
      <c r="B5315" s="5">
        <v>222</v>
      </c>
      <c r="C5315" s="5">
        <v>8</v>
      </c>
      <c r="D5315" s="25">
        <v>1.1416E-4</v>
      </c>
      <c r="E5315" s="25">
        <v>1.1414E-4</v>
      </c>
      <c r="F5315" s="25">
        <v>1.2837999999999999E-4</v>
      </c>
      <c r="G5315" s="25">
        <v>1.114E-4</v>
      </c>
      <c r="H5315" s="25">
        <v>1.3346000000000001E-4</v>
      </c>
      <c r="I5315" s="9">
        <v>1.0391E-4</v>
      </c>
      <c r="J5315" s="9">
        <v>1.0409E-4</v>
      </c>
      <c r="K5315" s="9">
        <v>2.12E-6</v>
      </c>
      <c r="L5315" s="9">
        <v>3.998E-5</v>
      </c>
      <c r="M5315" s="9">
        <v>6.0019999999999998E-5</v>
      </c>
      <c r="N5315" s="9">
        <v>8.064E-5</v>
      </c>
      <c r="O5315" s="9">
        <v>1.2286999999999999E-4</v>
      </c>
      <c r="P5315" s="9">
        <v>1.1744E-4</v>
      </c>
      <c r="Q5315" s="9">
        <v>1.125E-4</v>
      </c>
      <c r="R5315" s="10">
        <v>2.4907500066494893E-5</v>
      </c>
      <c r="S5315" s="10">
        <v>4.1372331395154926E-5</v>
      </c>
      <c r="T5315" s="10">
        <v>2.915205256708969E-5</v>
      </c>
      <c r="U5315" s="10">
        <v>7.3590000000000005E-5</v>
      </c>
      <c r="V5315" s="25"/>
      <c r="W5315" s="25"/>
      <c r="X5315" s="25"/>
      <c r="Y5315" s="25"/>
      <c r="Z5315" s="25"/>
      <c r="AA5315" s="25"/>
    </row>
    <row r="5316" spans="1:27" x14ac:dyDescent="0.35">
      <c r="A5316" s="5">
        <v>5312</v>
      </c>
      <c r="B5316" s="5">
        <v>222</v>
      </c>
      <c r="C5316" s="5">
        <v>8</v>
      </c>
      <c r="D5316" s="25">
        <v>1.1415000000000001E-4</v>
      </c>
      <c r="E5316" s="25">
        <v>1.1302E-4</v>
      </c>
      <c r="F5316" s="25">
        <v>1.3478000000000001E-4</v>
      </c>
      <c r="G5316" s="25">
        <v>1.6656E-4</v>
      </c>
      <c r="H5316" s="25">
        <v>1.9877999999999999E-4</v>
      </c>
      <c r="I5316" s="9">
        <v>1.0543999999999999E-4</v>
      </c>
      <c r="J5316" s="9">
        <v>1.1213999999999999E-4</v>
      </c>
      <c r="K5316" s="9">
        <v>0</v>
      </c>
      <c r="L5316" s="9">
        <v>1.0402E-4</v>
      </c>
      <c r="M5316" s="9">
        <v>8.3689999999999993E-5</v>
      </c>
      <c r="N5316" s="9">
        <v>9.0799999999999998E-5</v>
      </c>
      <c r="O5316" s="9">
        <v>2.2003999999999999E-4</v>
      </c>
      <c r="P5316" s="9">
        <v>1.7809E-4</v>
      </c>
      <c r="Q5316" s="9">
        <v>1.3757999999999999E-4</v>
      </c>
      <c r="R5316" s="10">
        <v>1.5344364217808217E-5</v>
      </c>
      <c r="S5316" s="10">
        <v>3.4701776567005679E-5</v>
      </c>
      <c r="T5316" s="10">
        <v>8.7057395631812362E-5</v>
      </c>
      <c r="U5316" s="10">
        <v>7.3590000000000005E-5</v>
      </c>
      <c r="V5316" s="25"/>
      <c r="W5316" s="25"/>
      <c r="X5316" s="25"/>
      <c r="Y5316" s="25"/>
      <c r="Z5316" s="25"/>
      <c r="AA5316" s="25"/>
    </row>
    <row r="5317" spans="1:27" x14ac:dyDescent="0.35">
      <c r="A5317" s="5">
        <v>5313</v>
      </c>
      <c r="B5317" s="5">
        <v>222</v>
      </c>
      <c r="C5317" s="5">
        <v>8</v>
      </c>
      <c r="D5317" s="25">
        <v>1.1416E-4</v>
      </c>
      <c r="E5317" s="25">
        <v>1.1332000000000001E-4</v>
      </c>
      <c r="F5317" s="25">
        <v>1.3401E-4</v>
      </c>
      <c r="G5317" s="25">
        <v>1.6487000000000001E-4</v>
      </c>
      <c r="H5317" s="25">
        <v>1.9212999999999999E-4</v>
      </c>
      <c r="I5317" s="9">
        <v>1.042E-4</v>
      </c>
      <c r="J5317" s="9">
        <v>1.1644E-4</v>
      </c>
      <c r="K5317" s="9">
        <v>0</v>
      </c>
      <c r="L5317" s="9">
        <v>1.9275999999999999E-4</v>
      </c>
      <c r="M5317" s="9">
        <v>1.238E-4</v>
      </c>
      <c r="N5317" s="9">
        <v>1.0477E-4</v>
      </c>
      <c r="O5317" s="9">
        <v>2.1196E-4</v>
      </c>
      <c r="P5317" s="9">
        <v>1.9457E-4</v>
      </c>
      <c r="Q5317" s="9">
        <v>1.7819E-4</v>
      </c>
      <c r="R5317" s="10">
        <v>8.5913124321820151E-6</v>
      </c>
      <c r="S5317" s="10">
        <v>2.9719617090505588E-5</v>
      </c>
      <c r="T5317" s="10">
        <v>3.0802248790692404E-4</v>
      </c>
      <c r="U5317" s="10">
        <v>7.3590000000000005E-5</v>
      </c>
      <c r="V5317" s="25"/>
      <c r="W5317" s="25"/>
      <c r="X5317" s="25"/>
      <c r="Y5317" s="25"/>
      <c r="Z5317" s="25"/>
      <c r="AA5317" s="25"/>
    </row>
    <row r="5318" spans="1:27" x14ac:dyDescent="0.35">
      <c r="A5318" s="5">
        <v>5314</v>
      </c>
      <c r="B5318" s="5">
        <v>222</v>
      </c>
      <c r="C5318" s="5">
        <v>8</v>
      </c>
      <c r="D5318" s="25">
        <v>1.1415000000000001E-4</v>
      </c>
      <c r="E5318" s="25">
        <v>1.0794E-4</v>
      </c>
      <c r="F5318" s="25">
        <v>1.2773999999999999E-4</v>
      </c>
      <c r="G5318" s="25">
        <v>1.6314000000000001E-4</v>
      </c>
      <c r="H5318" s="25">
        <v>1.9275999999999999E-4</v>
      </c>
      <c r="I5318" s="9">
        <v>1.0307E-4</v>
      </c>
      <c r="J5318" s="9">
        <v>1.1781999999999999E-4</v>
      </c>
      <c r="K5318" s="9">
        <v>0</v>
      </c>
      <c r="L5318" s="9">
        <v>2.0541E-4</v>
      </c>
      <c r="M5318" s="9">
        <v>1.5945E-4</v>
      </c>
      <c r="N5318" s="9">
        <v>1.2506E-4</v>
      </c>
      <c r="O5318" s="9">
        <v>1.6784999999999999E-4</v>
      </c>
      <c r="P5318" s="9">
        <v>1.7546E-4</v>
      </c>
      <c r="Q5318" s="9">
        <v>1.8353E-4</v>
      </c>
      <c r="R5318" s="10">
        <v>3.616635747993069E-6</v>
      </c>
      <c r="S5318" s="10">
        <v>2.5088694905047883E-5</v>
      </c>
      <c r="T5318" s="10">
        <v>3.1181496971643773E-4</v>
      </c>
      <c r="U5318" s="10">
        <v>7.3590000000000005E-5</v>
      </c>
      <c r="V5318" s="25"/>
      <c r="W5318" s="25"/>
      <c r="X5318" s="25"/>
      <c r="Y5318" s="25"/>
      <c r="Z5318" s="25"/>
      <c r="AA5318" s="25"/>
    </row>
    <row r="5319" spans="1:27" x14ac:dyDescent="0.35">
      <c r="A5319" s="5">
        <v>5315</v>
      </c>
      <c r="B5319" s="5">
        <v>222</v>
      </c>
      <c r="C5319" s="5">
        <v>8</v>
      </c>
      <c r="D5319" s="25">
        <v>1.1416E-4</v>
      </c>
      <c r="E5319" s="25">
        <v>1.1064E-4</v>
      </c>
      <c r="F5319" s="25">
        <v>1.2405000000000001E-4</v>
      </c>
      <c r="G5319" s="25">
        <v>1.6312E-4</v>
      </c>
      <c r="H5319" s="25">
        <v>1.9054E-4</v>
      </c>
      <c r="I5319" s="9">
        <v>1.044E-4</v>
      </c>
      <c r="J5319" s="9">
        <v>1.1798000000000001E-4</v>
      </c>
      <c r="K5319" s="9">
        <v>0</v>
      </c>
      <c r="L5319" s="9">
        <v>1.7616999999999999E-4</v>
      </c>
      <c r="M5319" s="9">
        <v>1.7348E-4</v>
      </c>
      <c r="N5319" s="9">
        <v>1.4343E-4</v>
      </c>
      <c r="O5319" s="9">
        <v>1.6563E-4</v>
      </c>
      <c r="P5319" s="9">
        <v>1.718E-4</v>
      </c>
      <c r="Q5319" s="9">
        <v>1.7844000000000001E-4</v>
      </c>
      <c r="R5319" s="10">
        <v>6.4658875335878817E-7</v>
      </c>
      <c r="S5319" s="10">
        <v>2.2397370753924502E-5</v>
      </c>
      <c r="T5319" s="10">
        <v>4.02851501743467E-4</v>
      </c>
      <c r="U5319" s="10">
        <v>7.3590000000000005E-5</v>
      </c>
      <c r="V5319" s="25"/>
      <c r="W5319" s="25"/>
      <c r="X5319" s="25"/>
      <c r="Y5319" s="25"/>
      <c r="Z5319" s="25"/>
      <c r="AA5319" s="25"/>
    </row>
    <row r="5320" spans="1:27" x14ac:dyDescent="0.35">
      <c r="A5320" s="5">
        <v>5316</v>
      </c>
      <c r="B5320" s="5">
        <v>222</v>
      </c>
      <c r="C5320" s="5">
        <v>8</v>
      </c>
      <c r="D5320" s="25">
        <v>1.1415000000000001E-4</v>
      </c>
      <c r="E5320" s="25">
        <v>1.0959999999999999E-4</v>
      </c>
      <c r="F5320" s="25">
        <v>1.3873999999999999E-4</v>
      </c>
      <c r="G5320" s="25">
        <v>1.5878999999999999E-4</v>
      </c>
      <c r="H5320" s="25">
        <v>1.9035999999999999E-4</v>
      </c>
      <c r="I5320" s="9">
        <v>1.0334E-4</v>
      </c>
      <c r="J5320" s="9">
        <v>1.1784E-4</v>
      </c>
      <c r="K5320" s="9">
        <v>0</v>
      </c>
      <c r="L5320" s="9">
        <v>1.6937000000000001E-4</v>
      </c>
      <c r="M5320" s="9">
        <v>1.7526E-4</v>
      </c>
      <c r="N5320" s="9">
        <v>1.572E-4</v>
      </c>
      <c r="O5320" s="9">
        <v>1.6964000000000001E-4</v>
      </c>
      <c r="P5320" s="9">
        <v>1.7176999999999999E-4</v>
      </c>
      <c r="Q5320" s="9">
        <v>1.7443999999999999E-4</v>
      </c>
      <c r="R5320" s="10">
        <v>3.4623565596123736E-7</v>
      </c>
      <c r="S5320" s="10">
        <v>1.9503782553340423E-5</v>
      </c>
      <c r="T5320" s="10">
        <v>3.851447689997195E-4</v>
      </c>
      <c r="U5320" s="10">
        <v>7.3590000000000005E-5</v>
      </c>
      <c r="V5320" s="25"/>
      <c r="W5320" s="25"/>
      <c r="X5320" s="25"/>
      <c r="Y5320" s="25"/>
      <c r="Z5320" s="25"/>
      <c r="AA5320" s="25"/>
    </row>
    <row r="5321" spans="1:27" x14ac:dyDescent="0.35">
      <c r="A5321" s="5">
        <v>5317</v>
      </c>
      <c r="B5321" s="5">
        <v>222</v>
      </c>
      <c r="C5321" s="5">
        <v>8</v>
      </c>
      <c r="D5321" s="25">
        <v>1.1416E-4</v>
      </c>
      <c r="E5321" s="25">
        <v>1.1691E-4</v>
      </c>
      <c r="F5321" s="25">
        <v>1.1836E-4</v>
      </c>
      <c r="G5321" s="25">
        <v>1.5920999999999999E-4</v>
      </c>
      <c r="H5321" s="25">
        <v>1.9534000000000001E-4</v>
      </c>
      <c r="I5321" s="9">
        <v>1.047E-4</v>
      </c>
      <c r="J5321" s="9">
        <v>1.1735000000000001E-4</v>
      </c>
      <c r="K5321" s="9">
        <v>0</v>
      </c>
      <c r="L5321" s="9">
        <v>1.6979000000000001E-4</v>
      </c>
      <c r="M5321" s="9">
        <v>1.7395E-4</v>
      </c>
      <c r="N5321" s="9">
        <v>1.6663999999999999E-4</v>
      </c>
      <c r="O5321" s="9">
        <v>1.6247000000000001E-4</v>
      </c>
      <c r="P5321" s="9">
        <v>1.6538999999999999E-4</v>
      </c>
      <c r="Q5321" s="9">
        <v>1.6882E-4</v>
      </c>
      <c r="R5321" s="10">
        <v>5.3848939362423212E-7</v>
      </c>
      <c r="S5321" s="10">
        <v>1.972173357622814E-5</v>
      </c>
      <c r="T5321" s="10">
        <v>3.706111642129254E-4</v>
      </c>
      <c r="U5321" s="10">
        <v>7.3590000000000005E-5</v>
      </c>
      <c r="V5321" s="25"/>
      <c r="W5321" s="25"/>
      <c r="X5321" s="25"/>
      <c r="Y5321" s="25"/>
      <c r="Z5321" s="25"/>
      <c r="AA5321" s="25"/>
    </row>
    <row r="5322" spans="1:27" x14ac:dyDescent="0.35">
      <c r="A5322" s="5">
        <v>5318</v>
      </c>
      <c r="B5322" s="5">
        <v>222</v>
      </c>
      <c r="C5322" s="5">
        <v>8</v>
      </c>
      <c r="D5322" s="25">
        <v>1.1415000000000001E-4</v>
      </c>
      <c r="E5322" s="25">
        <v>1.1680000000000001E-4</v>
      </c>
      <c r="F5322" s="25">
        <v>1.1865E-4</v>
      </c>
      <c r="G5322" s="25">
        <v>1.5820999999999999E-4</v>
      </c>
      <c r="H5322" s="25">
        <v>1.9103999999999999E-4</v>
      </c>
      <c r="I5322" s="9">
        <v>1.0364E-4</v>
      </c>
      <c r="J5322" s="9">
        <v>1.1579E-4</v>
      </c>
      <c r="K5322" s="9">
        <v>0</v>
      </c>
      <c r="L5322" s="9">
        <v>1.6380999999999999E-4</v>
      </c>
      <c r="M5322" s="9">
        <v>1.7051999999999999E-4</v>
      </c>
      <c r="N5322" s="9">
        <v>1.7113E-4</v>
      </c>
      <c r="O5322" s="9">
        <v>1.7642999999999999E-4</v>
      </c>
      <c r="P5322" s="9">
        <v>1.6771000000000001E-4</v>
      </c>
      <c r="Q5322" s="9">
        <v>1.5974000000000001E-4</v>
      </c>
      <c r="R5322" s="10">
        <v>8.3821357033836464E-7</v>
      </c>
      <c r="S5322" s="10">
        <v>2.3310497693865983E-5</v>
      </c>
      <c r="T5322" s="10">
        <v>5.2639986888024237E-4</v>
      </c>
      <c r="U5322" s="10">
        <v>7.3590000000000005E-5</v>
      </c>
      <c r="V5322" s="25"/>
      <c r="W5322" s="25"/>
      <c r="X5322" s="25"/>
      <c r="Y5322" s="25"/>
      <c r="Z5322" s="25"/>
      <c r="AA5322" s="25"/>
    </row>
    <row r="5323" spans="1:27" x14ac:dyDescent="0.35">
      <c r="A5323" s="5">
        <v>5319</v>
      </c>
      <c r="B5323" s="5">
        <v>222</v>
      </c>
      <c r="C5323" s="5">
        <v>8</v>
      </c>
      <c r="D5323" s="25">
        <v>1.1416E-4</v>
      </c>
      <c r="E5323" s="25">
        <v>1.1773E-4</v>
      </c>
      <c r="F5323" s="25">
        <v>1.2232000000000001E-4</v>
      </c>
      <c r="G5323" s="25">
        <v>1.6320000000000001E-4</v>
      </c>
      <c r="H5323" s="25">
        <v>1.9764000000000001E-4</v>
      </c>
      <c r="I5323" s="9">
        <v>1.0261E-4</v>
      </c>
      <c r="J5323" s="9">
        <v>1.1499E-4</v>
      </c>
      <c r="K5323" s="9">
        <v>0</v>
      </c>
      <c r="L5323" s="9">
        <v>1.7378000000000001E-4</v>
      </c>
      <c r="M5323" s="9">
        <v>1.6855E-4</v>
      </c>
      <c r="N5323" s="9">
        <v>1.7026000000000001E-4</v>
      </c>
      <c r="O5323" s="9">
        <v>1.8311E-4</v>
      </c>
      <c r="P5323" s="9">
        <v>1.6751E-4</v>
      </c>
      <c r="Q5323" s="9">
        <v>1.5279000000000001E-4</v>
      </c>
      <c r="R5323" s="10">
        <v>1.7956422190992496E-6</v>
      </c>
      <c r="S5323" s="10">
        <v>3.0937524974935246E-5</v>
      </c>
      <c r="T5323" s="10">
        <v>5.2013845595983712E-4</v>
      </c>
      <c r="U5323" s="10">
        <v>7.3590000000000005E-5</v>
      </c>
      <c r="V5323" s="25"/>
      <c r="W5323" s="25"/>
      <c r="X5323" s="25"/>
      <c r="Y5323" s="25"/>
      <c r="Z5323" s="25"/>
      <c r="AA5323" s="25"/>
    </row>
    <row r="5324" spans="1:27" x14ac:dyDescent="0.35">
      <c r="A5324" s="5">
        <v>5320</v>
      </c>
      <c r="B5324" s="5">
        <v>222</v>
      </c>
      <c r="C5324" s="5">
        <v>8</v>
      </c>
      <c r="D5324" s="25">
        <v>1.1415000000000001E-4</v>
      </c>
      <c r="E5324" s="25">
        <v>1.1402E-4</v>
      </c>
      <c r="F5324" s="25">
        <v>1.1916E-4</v>
      </c>
      <c r="G5324" s="25">
        <v>1.5966E-4</v>
      </c>
      <c r="H5324" s="25">
        <v>2.0037000000000001E-4</v>
      </c>
      <c r="I5324" s="9">
        <v>1.0186E-4</v>
      </c>
      <c r="J5324" s="9">
        <v>1.1485999999999999E-4</v>
      </c>
      <c r="K5324" s="9">
        <v>0</v>
      </c>
      <c r="L5324" s="9">
        <v>1.808E-4</v>
      </c>
      <c r="M5324" s="9">
        <v>1.6772E-4</v>
      </c>
      <c r="N5324" s="9">
        <v>1.6629000000000001E-4</v>
      </c>
      <c r="O5324" s="9">
        <v>1.9736999999999999E-4</v>
      </c>
      <c r="P5324" s="9">
        <v>1.5311E-4</v>
      </c>
      <c r="Q5324" s="9">
        <v>1.1022999999999999E-4</v>
      </c>
      <c r="R5324" s="10">
        <v>4.0682856566627983E-6</v>
      </c>
      <c r="S5324" s="10">
        <v>3.7557102748732279E-5</v>
      </c>
      <c r="T5324" s="10">
        <v>3.2594981243377522E-4</v>
      </c>
      <c r="U5324" s="10">
        <v>7.3590000000000005E-5</v>
      </c>
      <c r="V5324" s="25"/>
      <c r="W5324" s="25"/>
      <c r="X5324" s="25"/>
      <c r="Y5324" s="25"/>
      <c r="Z5324" s="25"/>
      <c r="AA5324" s="25"/>
    </row>
    <row r="5325" spans="1:27" x14ac:dyDescent="0.35">
      <c r="A5325" s="5">
        <v>5321</v>
      </c>
      <c r="B5325" s="5">
        <v>222</v>
      </c>
      <c r="C5325" s="5">
        <v>8</v>
      </c>
      <c r="D5325" s="25">
        <v>1.1416E-4</v>
      </c>
      <c r="E5325" s="25">
        <v>1.0923E-4</v>
      </c>
      <c r="F5325" s="25">
        <v>1.2854000000000001E-4</v>
      </c>
      <c r="G5325" s="25">
        <v>1.5846999999999999E-4</v>
      </c>
      <c r="H5325" s="25">
        <v>2.0146000000000001E-4</v>
      </c>
      <c r="I5325" s="9">
        <v>1.0404E-4</v>
      </c>
      <c r="J5325" s="9">
        <v>1.1551E-4</v>
      </c>
      <c r="K5325" s="9">
        <v>0</v>
      </c>
      <c r="L5325" s="9">
        <v>1.9348E-4</v>
      </c>
      <c r="M5325" s="9">
        <v>1.6237000000000001E-4</v>
      </c>
      <c r="N5325" s="9">
        <v>1.5263000000000001E-4</v>
      </c>
      <c r="O5325" s="9">
        <v>2.1373E-4</v>
      </c>
      <c r="P5325" s="9">
        <v>1.5982E-4</v>
      </c>
      <c r="Q5325" s="9">
        <v>1.075E-4</v>
      </c>
      <c r="R5325" s="10">
        <v>5.6652208534157082E-6</v>
      </c>
      <c r="S5325" s="10">
        <v>3.8366250108046861E-5</v>
      </c>
      <c r="T5325" s="10">
        <v>2.3268190967765852E-4</v>
      </c>
      <c r="U5325" s="10">
        <v>7.3590000000000005E-5</v>
      </c>
      <c r="V5325" s="25"/>
      <c r="W5325" s="25"/>
      <c r="X5325" s="25"/>
      <c r="Y5325" s="25"/>
      <c r="Z5325" s="25"/>
      <c r="AA5325" s="25"/>
    </row>
    <row r="5326" spans="1:27" x14ac:dyDescent="0.35">
      <c r="A5326" s="5">
        <v>5322</v>
      </c>
      <c r="B5326" s="5">
        <v>222</v>
      </c>
      <c r="C5326" s="5">
        <v>8</v>
      </c>
      <c r="D5326" s="25">
        <v>1.1415000000000001E-4</v>
      </c>
      <c r="E5326" s="25">
        <v>1.1183000000000001E-4</v>
      </c>
      <c r="F5326" s="25">
        <v>1.3164000000000001E-4</v>
      </c>
      <c r="G5326" s="25">
        <v>1.6291E-4</v>
      </c>
      <c r="H5326" s="25">
        <v>1.9594E-4</v>
      </c>
      <c r="I5326" s="9">
        <v>1.0560000000000001E-4</v>
      </c>
      <c r="J5326" s="9">
        <v>1.1155E-4</v>
      </c>
      <c r="K5326" s="9">
        <v>0</v>
      </c>
      <c r="L5326" s="9">
        <v>2.0898999999999999E-4</v>
      </c>
      <c r="M5326" s="9">
        <v>1.5998E-4</v>
      </c>
      <c r="N5326" s="9">
        <v>1.393E-4</v>
      </c>
      <c r="O5326" s="9">
        <v>2.0374E-4</v>
      </c>
      <c r="P5326" s="9">
        <v>1.5979000000000001E-4</v>
      </c>
      <c r="Q5326" s="9">
        <v>1.1723E-4</v>
      </c>
      <c r="R5326" s="10">
        <v>3.8291998841659334E-6</v>
      </c>
      <c r="S5326" s="10">
        <v>4.0003084076654401E-5</v>
      </c>
      <c r="T5326" s="10">
        <v>7.4033996129343603E-5</v>
      </c>
      <c r="U5326" s="10">
        <v>7.3590000000000005E-5</v>
      </c>
      <c r="V5326" s="25"/>
      <c r="W5326" s="25"/>
      <c r="X5326" s="25"/>
      <c r="Y5326" s="25"/>
      <c r="Z5326" s="25"/>
      <c r="AA5326" s="25"/>
    </row>
    <row r="5327" spans="1:27" x14ac:dyDescent="0.35">
      <c r="A5327" s="5">
        <v>5323</v>
      </c>
      <c r="B5327" s="5">
        <v>222</v>
      </c>
      <c r="C5327" s="5">
        <v>8</v>
      </c>
      <c r="D5327" s="25">
        <v>1.1416E-4</v>
      </c>
      <c r="E5327" s="25">
        <v>1.1271E-4</v>
      </c>
      <c r="F5327" s="25">
        <v>1.1807E-4</v>
      </c>
      <c r="G5327" s="25">
        <v>1.1056E-4</v>
      </c>
      <c r="H5327" s="25">
        <v>1.3238E-4</v>
      </c>
      <c r="I5327" s="9">
        <v>1.0543999999999999E-4</v>
      </c>
      <c r="J5327" s="9">
        <v>1.0901E-4</v>
      </c>
      <c r="K5327" s="9">
        <v>6.3600000000000001E-6</v>
      </c>
      <c r="L5327" s="9">
        <v>2.0451000000000001E-4</v>
      </c>
      <c r="M5327" s="9">
        <v>1.5944E-4</v>
      </c>
      <c r="N5327" s="9">
        <v>1.3007000000000001E-4</v>
      </c>
      <c r="O5327" s="9">
        <v>1.6529000000000001E-4</v>
      </c>
      <c r="P5327" s="9">
        <v>1.3617999999999999E-4</v>
      </c>
      <c r="Q5327" s="9">
        <v>1.0809E-4</v>
      </c>
      <c r="R5327" s="10">
        <v>1.2608780942609806E-6</v>
      </c>
      <c r="S5327" s="10">
        <v>4.1943637227496824E-5</v>
      </c>
      <c r="T5327" s="10">
        <v>2.6080736202338096E-5</v>
      </c>
      <c r="U5327" s="10">
        <v>7.3590000000000005E-5</v>
      </c>
      <c r="V5327" s="25"/>
      <c r="W5327" s="25"/>
      <c r="X5327" s="25"/>
      <c r="Y5327" s="25"/>
      <c r="Z5327" s="25"/>
      <c r="AA5327" s="25"/>
    </row>
    <row r="5328" spans="1:27" x14ac:dyDescent="0.35">
      <c r="A5328" s="5">
        <v>5324</v>
      </c>
      <c r="B5328" s="5">
        <v>222</v>
      </c>
      <c r="C5328" s="5">
        <v>8</v>
      </c>
      <c r="D5328" s="25">
        <v>1.1415000000000001E-4</v>
      </c>
      <c r="E5328" s="25">
        <v>1.1886E-4</v>
      </c>
      <c r="F5328" s="25">
        <v>1.3935999999999999E-4</v>
      </c>
      <c r="G5328" s="25">
        <v>1.1553999999999999E-4</v>
      </c>
      <c r="H5328" s="25">
        <v>1.3511999999999999E-4</v>
      </c>
      <c r="I5328" s="9">
        <v>1.0553E-4</v>
      </c>
      <c r="J5328" s="9">
        <v>1.0689E-4</v>
      </c>
      <c r="K5328" s="9">
        <v>6.3600000000000001E-6</v>
      </c>
      <c r="L5328" s="9">
        <v>1.7411999999999999E-4</v>
      </c>
      <c r="M5328" s="9">
        <v>1.5107E-4</v>
      </c>
      <c r="N5328" s="9">
        <v>1.2119E-4</v>
      </c>
      <c r="O5328" s="9">
        <v>1.2902000000000001E-4</v>
      </c>
      <c r="P5328" s="9">
        <v>1.1535999999999999E-4</v>
      </c>
      <c r="Q5328" s="9">
        <v>1.0233E-4</v>
      </c>
      <c r="R5328" s="10">
        <v>1.3804014029319211E-6</v>
      </c>
      <c r="S5328" s="10">
        <v>5.0107127595664367E-5</v>
      </c>
      <c r="T5328" s="10">
        <v>0</v>
      </c>
      <c r="U5328" s="10">
        <v>7.3590000000000005E-5</v>
      </c>
      <c r="V5328" s="25"/>
      <c r="W5328" s="25"/>
      <c r="X5328" s="25"/>
      <c r="Y5328" s="25"/>
      <c r="Z5328" s="25"/>
      <c r="AA5328" s="25"/>
    </row>
    <row r="5329" spans="1:27" x14ac:dyDescent="0.35">
      <c r="A5329" s="5">
        <v>5325</v>
      </c>
      <c r="B5329" s="5">
        <v>222</v>
      </c>
      <c r="C5329" s="5">
        <v>8</v>
      </c>
      <c r="D5329" s="25">
        <v>1.1416E-4</v>
      </c>
      <c r="E5329" s="25">
        <v>1.0840000000000001E-4</v>
      </c>
      <c r="F5329" s="25">
        <v>1.3967E-4</v>
      </c>
      <c r="G5329" s="25">
        <v>5.9549999999999997E-5</v>
      </c>
      <c r="H5329" s="25">
        <v>6.7050000000000003E-5</v>
      </c>
      <c r="I5329" s="9">
        <v>1.0635E-4</v>
      </c>
      <c r="J5329" s="9">
        <v>1.077E-4</v>
      </c>
      <c r="K5329" s="9">
        <v>0</v>
      </c>
      <c r="L5329" s="9">
        <v>1.3988999999999999E-4</v>
      </c>
      <c r="M5329" s="9">
        <v>1.3588000000000001E-4</v>
      </c>
      <c r="N5329" s="9">
        <v>1.1356E-4</v>
      </c>
      <c r="O5329" s="9">
        <v>8.4469999999999996E-5</v>
      </c>
      <c r="P5329" s="9">
        <v>8.6230000000000006E-5</v>
      </c>
      <c r="Q5329" s="9">
        <v>8.8220000000000006E-5</v>
      </c>
      <c r="R5329" s="10">
        <v>3.3783510028052019E-6</v>
      </c>
      <c r="S5329" s="10">
        <v>6.2141354901983439E-5</v>
      </c>
      <c r="T5329" s="10">
        <v>0</v>
      </c>
      <c r="U5329" s="10">
        <v>7.3590000000000005E-5</v>
      </c>
      <c r="V5329" s="25"/>
      <c r="W5329" s="25"/>
      <c r="X5329" s="25"/>
      <c r="Y5329" s="25"/>
      <c r="Z5329" s="25"/>
      <c r="AA5329" s="25"/>
    </row>
    <row r="5330" spans="1:27" x14ac:dyDescent="0.35">
      <c r="A5330" s="5">
        <v>5326</v>
      </c>
      <c r="B5330" s="5">
        <v>222</v>
      </c>
      <c r="C5330" s="5">
        <v>8</v>
      </c>
      <c r="D5330" s="25">
        <v>1.1415000000000001E-4</v>
      </c>
      <c r="E5330" s="25">
        <v>1.0799E-4</v>
      </c>
      <c r="F5330" s="25">
        <v>1.2411E-4</v>
      </c>
      <c r="G5330" s="25">
        <v>5.5569999999999998E-5</v>
      </c>
      <c r="H5330" s="25">
        <v>7.5179999999999995E-5</v>
      </c>
      <c r="I5330" s="9">
        <v>1.0787E-4</v>
      </c>
      <c r="J5330" s="9">
        <v>1.0538E-4</v>
      </c>
      <c r="K5330" s="9">
        <v>0</v>
      </c>
      <c r="L5330" s="9">
        <v>9.7579999999999997E-5</v>
      </c>
      <c r="M5330" s="9">
        <v>1.1409E-4</v>
      </c>
      <c r="N5330" s="9">
        <v>1.0589E-4</v>
      </c>
      <c r="O5330" s="9">
        <v>8.7410000000000005E-5</v>
      </c>
      <c r="P5330" s="9">
        <v>8.7789999999999998E-5</v>
      </c>
      <c r="Q5330" s="9">
        <v>8.844E-5</v>
      </c>
      <c r="R5330" s="10">
        <v>4.0883649676287468E-6</v>
      </c>
      <c r="S5330" s="10">
        <v>6.9378869789527632E-5</v>
      </c>
      <c r="T5330" s="10">
        <v>0</v>
      </c>
      <c r="U5330" s="10">
        <v>7.3590000000000005E-5</v>
      </c>
      <c r="V5330" s="25"/>
      <c r="W5330" s="25"/>
      <c r="X5330" s="25"/>
      <c r="Y5330" s="25"/>
      <c r="Z5330" s="25"/>
      <c r="AA5330" s="25"/>
    </row>
    <row r="5331" spans="1:27" x14ac:dyDescent="0.35">
      <c r="A5331" s="5">
        <v>5327</v>
      </c>
      <c r="B5331" s="5">
        <v>222</v>
      </c>
      <c r="C5331" s="5">
        <v>8</v>
      </c>
      <c r="D5331" s="25">
        <v>1.1416E-4</v>
      </c>
      <c r="E5331" s="25">
        <v>1.1767E-4</v>
      </c>
      <c r="F5331" s="25">
        <v>1.1875999999999999E-4</v>
      </c>
      <c r="G5331" s="25">
        <v>6.1539999999999997E-5</v>
      </c>
      <c r="H5331" s="25">
        <v>7.1550000000000004E-5</v>
      </c>
      <c r="I5331" s="9">
        <v>1.0265E-4</v>
      </c>
      <c r="J5331" s="9">
        <v>9.9829999999999998E-5</v>
      </c>
      <c r="K5331" s="9">
        <v>0</v>
      </c>
      <c r="L5331" s="9">
        <v>9.0610000000000002E-5</v>
      </c>
      <c r="M5331" s="9">
        <v>9.9259999999999995E-5</v>
      </c>
      <c r="N5331" s="9">
        <v>1.0007E-4</v>
      </c>
      <c r="O5331" s="9">
        <v>7.8209999999999998E-5</v>
      </c>
      <c r="P5331" s="9">
        <v>7.2600000000000003E-5</v>
      </c>
      <c r="Q5331" s="9">
        <v>6.7319999999999999E-5</v>
      </c>
      <c r="R5331" s="10">
        <v>1.8596844064928907E-6</v>
      </c>
      <c r="S5331" s="10">
        <v>7.6980358067743802E-5</v>
      </c>
      <c r="T5331" s="10">
        <v>0</v>
      </c>
      <c r="U5331" s="10">
        <v>7.3590000000000005E-5</v>
      </c>
      <c r="V5331" s="25"/>
      <c r="W5331" s="25"/>
      <c r="X5331" s="25"/>
      <c r="Y5331" s="25"/>
      <c r="Z5331" s="25"/>
      <c r="AA5331" s="25"/>
    </row>
    <row r="5332" spans="1:27" x14ac:dyDescent="0.35">
      <c r="A5332" s="5">
        <v>5328</v>
      </c>
      <c r="B5332" s="5">
        <v>222</v>
      </c>
      <c r="C5332" s="5">
        <v>8</v>
      </c>
      <c r="D5332" s="25">
        <v>1.1415000000000001E-4</v>
      </c>
      <c r="E5332" s="25">
        <v>1.1068E-4</v>
      </c>
      <c r="F5332" s="25">
        <v>1.3475999999999999E-4</v>
      </c>
      <c r="G5332" s="25">
        <v>6.0609999999999997E-5</v>
      </c>
      <c r="H5332" s="25">
        <v>7.1290000000000004E-5</v>
      </c>
      <c r="I5332" s="9">
        <v>9.6280000000000007E-5</v>
      </c>
      <c r="J5332" s="9">
        <v>9.3120000000000003E-5</v>
      </c>
      <c r="K5332" s="9">
        <v>0</v>
      </c>
      <c r="L5332" s="9">
        <v>8.0920000000000005E-5</v>
      </c>
      <c r="M5332" s="9">
        <v>8.6399999999999999E-5</v>
      </c>
      <c r="N5332" s="9">
        <v>9.0849999999999999E-5</v>
      </c>
      <c r="O5332" s="9">
        <v>6.2570000000000006E-5</v>
      </c>
      <c r="P5332" s="9">
        <v>6.0550000000000001E-5</v>
      </c>
      <c r="Q5332" s="9">
        <v>5.8739999999999997E-5</v>
      </c>
      <c r="R5332" s="10">
        <v>7.017922569886294E-6</v>
      </c>
      <c r="S5332" s="10">
        <v>8.4894027713529379E-5</v>
      </c>
      <c r="T5332" s="10">
        <v>0</v>
      </c>
      <c r="U5332" s="10">
        <v>7.3590000000000005E-5</v>
      </c>
      <c r="V5332" s="25"/>
      <c r="W5332" s="25"/>
      <c r="X5332" s="25"/>
      <c r="Y5332" s="25"/>
      <c r="Z5332" s="25"/>
      <c r="AA5332" s="25"/>
    </row>
    <row r="5333" spans="1:27" x14ac:dyDescent="0.35">
      <c r="A5333" s="5">
        <v>5329</v>
      </c>
      <c r="B5333" s="5">
        <v>223</v>
      </c>
      <c r="C5333" s="5">
        <v>8</v>
      </c>
      <c r="D5333" s="25">
        <v>1.1416E-4</v>
      </c>
      <c r="E5333" s="25">
        <v>1.1569E-4</v>
      </c>
      <c r="F5333" s="25">
        <v>9.5359999999999995E-5</v>
      </c>
      <c r="G5333" s="25">
        <v>6.1890000000000005E-5</v>
      </c>
      <c r="H5333" s="25">
        <v>4.1810000000000001E-5</v>
      </c>
      <c r="I5333" s="9">
        <v>9.2159999999999999E-5</v>
      </c>
      <c r="J5333" s="9">
        <v>8.8430000000000005E-5</v>
      </c>
      <c r="K5333" s="9">
        <v>0</v>
      </c>
      <c r="L5333" s="9">
        <v>6.6600000000000006E-5</v>
      </c>
      <c r="M5333" s="9">
        <v>7.4159999999999995E-5</v>
      </c>
      <c r="N5333" s="9">
        <v>8.1340000000000004E-5</v>
      </c>
      <c r="O5333" s="9">
        <v>6.8029999999999997E-5</v>
      </c>
      <c r="P5333" s="9">
        <v>6.0569999999999998E-5</v>
      </c>
      <c r="Q5333" s="9">
        <v>5.3409999999999999E-5</v>
      </c>
      <c r="R5333" s="10">
        <v>1.2506362675039255E-5</v>
      </c>
      <c r="S5333" s="10">
        <v>8.0353601155093026E-5</v>
      </c>
      <c r="T5333" s="10">
        <v>0</v>
      </c>
      <c r="U5333" s="10">
        <v>7.5069999999999998E-5</v>
      </c>
      <c r="V5333" s="25"/>
      <c r="W5333" s="25"/>
      <c r="X5333" s="25"/>
      <c r="Y5333" s="25"/>
      <c r="Z5333" s="25"/>
      <c r="AA5333" s="25"/>
    </row>
    <row r="5334" spans="1:27" x14ac:dyDescent="0.35">
      <c r="A5334" s="5">
        <v>5330</v>
      </c>
      <c r="B5334" s="5">
        <v>223</v>
      </c>
      <c r="C5334" s="5">
        <v>8</v>
      </c>
      <c r="D5334" s="25">
        <v>1.1415000000000001E-4</v>
      </c>
      <c r="E5334" s="25">
        <v>1.1522E-4</v>
      </c>
      <c r="F5334" s="25">
        <v>8.9469999999999995E-5</v>
      </c>
      <c r="G5334" s="25">
        <v>5.8950000000000003E-5</v>
      </c>
      <c r="H5334" s="25">
        <v>3.8529999999999999E-5</v>
      </c>
      <c r="I5334" s="9">
        <v>8.9229999999999998E-5</v>
      </c>
      <c r="J5334" s="9">
        <v>8.666E-5</v>
      </c>
      <c r="K5334" s="9">
        <v>0</v>
      </c>
      <c r="L5334" s="9">
        <v>6.8100000000000002E-5</v>
      </c>
      <c r="M5334" s="9">
        <v>6.6340000000000005E-5</v>
      </c>
      <c r="N5334" s="9">
        <v>7.2169999999999995E-5</v>
      </c>
      <c r="O5334" s="9">
        <v>3.5559999999999998E-5</v>
      </c>
      <c r="P5334" s="9">
        <v>4.604E-5</v>
      </c>
      <c r="Q5334" s="9">
        <v>5.643E-5</v>
      </c>
      <c r="R5334" s="10">
        <v>1.65233930839343E-5</v>
      </c>
      <c r="S5334" s="10">
        <v>6.9762091147746225E-5</v>
      </c>
      <c r="T5334" s="10">
        <v>0</v>
      </c>
      <c r="U5334" s="10">
        <v>7.5069999999999998E-5</v>
      </c>
      <c r="V5334" s="25"/>
      <c r="W5334" s="25"/>
      <c r="X5334" s="25"/>
      <c r="Y5334" s="25"/>
      <c r="Z5334" s="25"/>
      <c r="AA5334" s="25"/>
    </row>
    <row r="5335" spans="1:27" x14ac:dyDescent="0.35">
      <c r="A5335" s="5">
        <v>5331</v>
      </c>
      <c r="B5335" s="5">
        <v>223</v>
      </c>
      <c r="C5335" s="5">
        <v>8</v>
      </c>
      <c r="D5335" s="25">
        <v>1.1416E-4</v>
      </c>
      <c r="E5335" s="25">
        <v>1.1468000000000001E-4</v>
      </c>
      <c r="F5335" s="25">
        <v>8.6489999999999994E-5</v>
      </c>
      <c r="G5335" s="25">
        <v>5.9240000000000002E-5</v>
      </c>
      <c r="H5335" s="25">
        <v>3.9539999999999998E-5</v>
      </c>
      <c r="I5335" s="9">
        <v>8.7860000000000002E-5</v>
      </c>
      <c r="J5335" s="9">
        <v>8.5890000000000006E-5</v>
      </c>
      <c r="K5335" s="9">
        <v>0</v>
      </c>
      <c r="L5335" s="9">
        <v>4.2629999999999997E-5</v>
      </c>
      <c r="M5335" s="9">
        <v>5.7370000000000001E-5</v>
      </c>
      <c r="N5335" s="9">
        <v>6.5619999999999999E-5</v>
      </c>
      <c r="O5335" s="9">
        <v>2.2120000000000002E-5</v>
      </c>
      <c r="P5335" s="9">
        <v>4.172E-5</v>
      </c>
      <c r="Q5335" s="9">
        <v>6.1029999999999997E-5</v>
      </c>
      <c r="R5335" s="10">
        <v>1.6422044581527011E-5</v>
      </c>
      <c r="S5335" s="10">
        <v>5.1546639562114603E-5</v>
      </c>
      <c r="T5335" s="10">
        <v>0</v>
      </c>
      <c r="U5335" s="10">
        <v>7.5069999999999998E-5</v>
      </c>
      <c r="V5335" s="25"/>
      <c r="W5335" s="25"/>
      <c r="X5335" s="25"/>
      <c r="Y5335" s="25"/>
      <c r="Z5335" s="25"/>
      <c r="AA5335" s="25"/>
    </row>
    <row r="5336" spans="1:27" x14ac:dyDescent="0.35">
      <c r="A5336" s="5">
        <v>5332</v>
      </c>
      <c r="B5336" s="5">
        <v>223</v>
      </c>
      <c r="C5336" s="5">
        <v>8</v>
      </c>
      <c r="D5336" s="25">
        <v>1.1415000000000001E-4</v>
      </c>
      <c r="E5336" s="25">
        <v>1.1943999999999999E-4</v>
      </c>
      <c r="F5336" s="25">
        <v>1.0041E-4</v>
      </c>
      <c r="G5336" s="25">
        <v>5.2830000000000001E-5</v>
      </c>
      <c r="H5336" s="25">
        <v>4.138E-5</v>
      </c>
      <c r="I5336" s="9">
        <v>8.8809999999999998E-5</v>
      </c>
      <c r="J5336" s="9">
        <v>8.5890000000000006E-5</v>
      </c>
      <c r="K5336" s="9">
        <v>0</v>
      </c>
      <c r="L5336" s="9">
        <v>2.724E-5</v>
      </c>
      <c r="M5336" s="9">
        <v>4.9620000000000003E-5</v>
      </c>
      <c r="N5336" s="9">
        <v>6.1879999999999997E-5</v>
      </c>
      <c r="O5336" s="9">
        <v>2.158E-5</v>
      </c>
      <c r="P5336" s="9">
        <v>5.0810000000000003E-5</v>
      </c>
      <c r="Q5336" s="9">
        <v>7.9599999999999997E-5</v>
      </c>
      <c r="R5336" s="10">
        <v>1.2686987795623438E-5</v>
      </c>
      <c r="S5336" s="10">
        <v>3.9610359361027435E-5</v>
      </c>
      <c r="T5336" s="10">
        <v>0</v>
      </c>
      <c r="U5336" s="10">
        <v>7.5069999999999998E-5</v>
      </c>
      <c r="V5336" s="25"/>
      <c r="W5336" s="25"/>
      <c r="X5336" s="25"/>
      <c r="Y5336" s="25"/>
      <c r="Z5336" s="25"/>
      <c r="AA5336" s="25"/>
    </row>
    <row r="5337" spans="1:27" x14ac:dyDescent="0.35">
      <c r="A5337" s="5">
        <v>5333</v>
      </c>
      <c r="B5337" s="5">
        <v>223</v>
      </c>
      <c r="C5337" s="5">
        <v>8</v>
      </c>
      <c r="D5337" s="25">
        <v>1.1416E-4</v>
      </c>
      <c r="E5337" s="25">
        <v>1.2032999999999999E-4</v>
      </c>
      <c r="F5337" s="25">
        <v>9.6310000000000005E-5</v>
      </c>
      <c r="G5337" s="25">
        <v>5.2290000000000002E-5</v>
      </c>
      <c r="H5337" s="25">
        <v>4.32E-5</v>
      </c>
      <c r="I5337" s="9">
        <v>9.2470000000000001E-5</v>
      </c>
      <c r="J5337" s="9">
        <v>8.8140000000000007E-5</v>
      </c>
      <c r="K5337" s="9">
        <v>0</v>
      </c>
      <c r="L5337" s="9">
        <v>2.3289999999999999E-5</v>
      </c>
      <c r="M5337" s="9">
        <v>4.8199999999999999E-5</v>
      </c>
      <c r="N5337" s="9">
        <v>6.4220000000000005E-5</v>
      </c>
      <c r="O5337" s="9">
        <v>2.368E-5</v>
      </c>
      <c r="P5337" s="9">
        <v>5.8940000000000002E-5</v>
      </c>
      <c r="Q5337" s="9">
        <v>9.3670000000000003E-5</v>
      </c>
      <c r="R5337" s="10">
        <v>1.0819834254103083E-5</v>
      </c>
      <c r="S5337" s="10">
        <v>3.3434894433787647E-5</v>
      </c>
      <c r="T5337" s="10">
        <v>0</v>
      </c>
      <c r="U5337" s="10">
        <v>7.5069999999999998E-5</v>
      </c>
      <c r="V5337" s="25"/>
      <c r="W5337" s="25"/>
      <c r="X5337" s="25"/>
      <c r="Y5337" s="25"/>
      <c r="Z5337" s="25"/>
      <c r="AA5337" s="25"/>
    </row>
    <row r="5338" spans="1:27" x14ac:dyDescent="0.35">
      <c r="A5338" s="5">
        <v>5334</v>
      </c>
      <c r="B5338" s="5">
        <v>223</v>
      </c>
      <c r="C5338" s="5">
        <v>8</v>
      </c>
      <c r="D5338" s="25">
        <v>1.1415000000000001E-4</v>
      </c>
      <c r="E5338" s="25">
        <v>1.1236E-4</v>
      </c>
      <c r="F5338" s="25">
        <v>8.7440000000000003E-5</v>
      </c>
      <c r="G5338" s="25">
        <v>1.07E-4</v>
      </c>
      <c r="H5338" s="25">
        <v>7.7260000000000002E-5</v>
      </c>
      <c r="I5338" s="9">
        <v>9.8999999999999994E-5</v>
      </c>
      <c r="J5338" s="9">
        <v>9.344E-5</v>
      </c>
      <c r="K5338" s="9">
        <v>0</v>
      </c>
      <c r="L5338" s="9">
        <v>2.3519999999999998E-5</v>
      </c>
      <c r="M5338" s="9">
        <v>5.202E-5</v>
      </c>
      <c r="N5338" s="9">
        <v>7.0779999999999997E-5</v>
      </c>
      <c r="O5338" s="9">
        <v>3.0159999999999999E-5</v>
      </c>
      <c r="P5338" s="9">
        <v>6.9250000000000003E-5</v>
      </c>
      <c r="Q5338" s="9">
        <v>1.0778E-4</v>
      </c>
      <c r="R5338" s="10">
        <v>1.0892471920171491E-5</v>
      </c>
      <c r="S5338" s="10">
        <v>2.7905400634111699E-5</v>
      </c>
      <c r="T5338" s="10">
        <v>1.9149063633271659E-5</v>
      </c>
      <c r="U5338" s="10">
        <v>7.5069999999999998E-5</v>
      </c>
      <c r="V5338" s="25"/>
      <c r="W5338" s="25"/>
      <c r="X5338" s="25"/>
      <c r="Y5338" s="25"/>
      <c r="Z5338" s="25"/>
      <c r="AA5338" s="25"/>
    </row>
    <row r="5339" spans="1:27" x14ac:dyDescent="0.35">
      <c r="A5339" s="5">
        <v>5335</v>
      </c>
      <c r="B5339" s="5">
        <v>223</v>
      </c>
      <c r="C5339" s="5">
        <v>8</v>
      </c>
      <c r="D5339" s="25">
        <v>1.1416E-4</v>
      </c>
      <c r="E5339" s="25">
        <v>1.1226E-4</v>
      </c>
      <c r="F5339" s="25">
        <v>1.0276999999999999E-4</v>
      </c>
      <c r="G5339" s="25">
        <v>1.1319000000000001E-4</v>
      </c>
      <c r="H5339" s="25">
        <v>7.9419999999999995E-5</v>
      </c>
      <c r="I5339" s="9">
        <v>1.0513E-4</v>
      </c>
      <c r="J5339" s="9">
        <v>1.0223E-4</v>
      </c>
      <c r="K5339" s="9">
        <v>0</v>
      </c>
      <c r="L5339" s="9">
        <v>2.8600000000000001E-5</v>
      </c>
      <c r="M5339" s="9">
        <v>5.9360000000000001E-5</v>
      </c>
      <c r="N5339" s="9">
        <v>8.0679999999999993E-5</v>
      </c>
      <c r="O5339" s="9">
        <v>4.6520000000000002E-5</v>
      </c>
      <c r="P5339" s="9">
        <v>7.9889999999999996E-5</v>
      </c>
      <c r="Q5339" s="9">
        <v>1.1285000000000001E-4</v>
      </c>
      <c r="R5339" s="10">
        <v>1.2076477920573653E-5</v>
      </c>
      <c r="S5339" s="10">
        <v>2.3009399989024554E-5</v>
      </c>
      <c r="T5339" s="10">
        <v>9.8850571728510472E-5</v>
      </c>
      <c r="U5339" s="10">
        <v>7.5069999999999998E-5</v>
      </c>
      <c r="V5339" s="25"/>
      <c r="W5339" s="25"/>
      <c r="X5339" s="25"/>
      <c r="Y5339" s="25"/>
      <c r="Z5339" s="25"/>
      <c r="AA5339" s="25"/>
    </row>
    <row r="5340" spans="1:27" x14ac:dyDescent="0.35">
      <c r="A5340" s="5">
        <v>5336</v>
      </c>
      <c r="B5340" s="5">
        <v>223</v>
      </c>
      <c r="C5340" s="5">
        <v>8</v>
      </c>
      <c r="D5340" s="25">
        <v>1.1415000000000001E-4</v>
      </c>
      <c r="E5340" s="25">
        <v>1.1468000000000001E-4</v>
      </c>
      <c r="F5340" s="25">
        <v>1.0098E-4</v>
      </c>
      <c r="G5340" s="25">
        <v>1.6238E-4</v>
      </c>
      <c r="H5340" s="25">
        <v>1.2275E-4</v>
      </c>
      <c r="I5340" s="9">
        <v>1.0964E-4</v>
      </c>
      <c r="J5340" s="9">
        <v>1.1039000000000001E-4</v>
      </c>
      <c r="K5340" s="9">
        <v>0</v>
      </c>
      <c r="L5340" s="9">
        <v>4.2419999999999997E-5</v>
      </c>
      <c r="M5340" s="9">
        <v>6.8590000000000006E-5</v>
      </c>
      <c r="N5340" s="9">
        <v>9.0890000000000006E-5</v>
      </c>
      <c r="O5340" s="9">
        <v>6.8800000000000005E-5</v>
      </c>
      <c r="P5340" s="9">
        <v>1.0344999999999999E-4</v>
      </c>
      <c r="Q5340" s="9">
        <v>1.3774999999999999E-4</v>
      </c>
      <c r="R5340" s="10">
        <v>9.429561133440429E-6</v>
      </c>
      <c r="S5340" s="10">
        <v>1.9568679573225641E-5</v>
      </c>
      <c r="T5340" s="10">
        <v>7.4933331860458705E-5</v>
      </c>
      <c r="U5340" s="10">
        <v>7.5069999999999998E-5</v>
      </c>
      <c r="V5340" s="25"/>
      <c r="W5340" s="25"/>
      <c r="X5340" s="25"/>
      <c r="Y5340" s="25"/>
      <c r="Z5340" s="25"/>
      <c r="AA5340" s="25"/>
    </row>
    <row r="5341" spans="1:27" x14ac:dyDescent="0.35">
      <c r="A5341" s="5">
        <v>5337</v>
      </c>
      <c r="B5341" s="5">
        <v>223</v>
      </c>
      <c r="C5341" s="5">
        <v>8</v>
      </c>
      <c r="D5341" s="25">
        <v>1.1416E-4</v>
      </c>
      <c r="E5341" s="25">
        <v>1.1133000000000001E-4</v>
      </c>
      <c r="F5341" s="25">
        <v>9.7949999999999996E-5</v>
      </c>
      <c r="G5341" s="25">
        <v>1.5819E-4</v>
      </c>
      <c r="H5341" s="25">
        <v>1.1963E-4</v>
      </c>
      <c r="I5341" s="9">
        <v>1.1259E-4</v>
      </c>
      <c r="J5341" s="9">
        <v>1.143E-4</v>
      </c>
      <c r="K5341" s="9">
        <v>0</v>
      </c>
      <c r="L5341" s="9">
        <v>6.2619999999999993E-5</v>
      </c>
      <c r="M5341" s="9">
        <v>8.3419999999999998E-5</v>
      </c>
      <c r="N5341" s="9">
        <v>1.0491E-4</v>
      </c>
      <c r="O5341" s="9">
        <v>9.9450000000000005E-5</v>
      </c>
      <c r="P5341" s="9">
        <v>1.381E-4</v>
      </c>
      <c r="Q5341" s="9">
        <v>1.7645000000000001E-4</v>
      </c>
      <c r="R5341" s="10">
        <v>5.3572173449135119E-6</v>
      </c>
      <c r="S5341" s="10">
        <v>2.0348284635154336E-5</v>
      </c>
      <c r="T5341" s="10">
        <v>2.2700591341241321E-4</v>
      </c>
      <c r="U5341" s="10">
        <v>7.5069999999999998E-5</v>
      </c>
      <c r="V5341" s="25"/>
      <c r="W5341" s="25"/>
      <c r="X5341" s="25"/>
      <c r="Y5341" s="25"/>
      <c r="Z5341" s="25"/>
      <c r="AA5341" s="25"/>
    </row>
    <row r="5342" spans="1:27" x14ac:dyDescent="0.35">
      <c r="A5342" s="5">
        <v>5338</v>
      </c>
      <c r="B5342" s="5">
        <v>223</v>
      </c>
      <c r="C5342" s="5">
        <v>8</v>
      </c>
      <c r="D5342" s="25">
        <v>1.1415000000000001E-4</v>
      </c>
      <c r="E5342" s="25">
        <v>1.1467E-4</v>
      </c>
      <c r="F5342" s="25">
        <v>8.9159999999999993E-5</v>
      </c>
      <c r="G5342" s="25">
        <v>1.5747999999999999E-4</v>
      </c>
      <c r="H5342" s="25">
        <v>1.2212E-4</v>
      </c>
      <c r="I5342" s="9">
        <v>1.1241E-4</v>
      </c>
      <c r="J5342" s="9">
        <v>1.1567E-4</v>
      </c>
      <c r="K5342" s="9">
        <v>0</v>
      </c>
      <c r="L5342" s="9">
        <v>9.0820000000000001E-5</v>
      </c>
      <c r="M5342" s="9">
        <v>1.0685E-4</v>
      </c>
      <c r="N5342" s="9">
        <v>1.2485E-4</v>
      </c>
      <c r="O5342" s="9">
        <v>1.2790999999999999E-4</v>
      </c>
      <c r="P5342" s="9">
        <v>1.5473E-4</v>
      </c>
      <c r="Q5342" s="9">
        <v>1.8154999999999999E-4</v>
      </c>
      <c r="R5342" s="10">
        <v>3.9136601573076759E-6</v>
      </c>
      <c r="S5342" s="10">
        <v>2.2522621853424208E-5</v>
      </c>
      <c r="T5342" s="10">
        <v>2.8286654033375148E-4</v>
      </c>
      <c r="U5342" s="10">
        <v>7.5069999999999998E-5</v>
      </c>
      <c r="V5342" s="25"/>
      <c r="W5342" s="25"/>
      <c r="X5342" s="25"/>
      <c r="Y5342" s="25"/>
      <c r="Z5342" s="25"/>
      <c r="AA5342" s="25"/>
    </row>
    <row r="5343" spans="1:27" x14ac:dyDescent="0.35">
      <c r="A5343" s="5">
        <v>5339</v>
      </c>
      <c r="B5343" s="5">
        <v>223</v>
      </c>
      <c r="C5343" s="5">
        <v>8</v>
      </c>
      <c r="D5343" s="25">
        <v>1.1416E-4</v>
      </c>
      <c r="E5343" s="25">
        <v>1.1977E-4</v>
      </c>
      <c r="F5343" s="25">
        <v>9.1020000000000006E-5</v>
      </c>
      <c r="G5343" s="25">
        <v>1.6278000000000001E-4</v>
      </c>
      <c r="H5343" s="25">
        <v>1.1937E-4</v>
      </c>
      <c r="I5343" s="9">
        <v>1.1254E-4</v>
      </c>
      <c r="J5343" s="9">
        <v>1.1572E-4</v>
      </c>
      <c r="K5343" s="9">
        <v>0</v>
      </c>
      <c r="L5343" s="9">
        <v>1.1904999999999999E-4</v>
      </c>
      <c r="M5343" s="9">
        <v>1.2998999999999999E-4</v>
      </c>
      <c r="N5343" s="9">
        <v>1.4278000000000001E-4</v>
      </c>
      <c r="O5343" s="9">
        <v>1.3693000000000001E-4</v>
      </c>
      <c r="P5343" s="9">
        <v>1.5841999999999999E-4</v>
      </c>
      <c r="Q5343" s="9">
        <v>1.8001000000000001E-4</v>
      </c>
      <c r="R5343" s="10">
        <v>3.8947770374651066E-6</v>
      </c>
      <c r="S5343" s="10">
        <v>2.1095770731260203E-5</v>
      </c>
      <c r="T5343" s="10">
        <v>3.1321487910921129E-4</v>
      </c>
      <c r="U5343" s="10">
        <v>7.5069999999999998E-5</v>
      </c>
      <c r="V5343" s="25"/>
      <c r="W5343" s="25"/>
      <c r="X5343" s="25"/>
      <c r="Y5343" s="25"/>
      <c r="Z5343" s="25"/>
      <c r="AA5343" s="25"/>
    </row>
    <row r="5344" spans="1:27" x14ac:dyDescent="0.35">
      <c r="A5344" s="5">
        <v>5340</v>
      </c>
      <c r="B5344" s="5">
        <v>223</v>
      </c>
      <c r="C5344" s="5">
        <v>8</v>
      </c>
      <c r="D5344" s="25">
        <v>1.1415000000000001E-4</v>
      </c>
      <c r="E5344" s="25">
        <v>1.2276E-4</v>
      </c>
      <c r="F5344" s="25">
        <v>1.0304E-4</v>
      </c>
      <c r="G5344" s="25">
        <v>1.6185E-4</v>
      </c>
      <c r="H5344" s="25">
        <v>1.1801E-4</v>
      </c>
      <c r="I5344" s="9">
        <v>1.1033E-4</v>
      </c>
      <c r="J5344" s="9">
        <v>1.1468000000000001E-4</v>
      </c>
      <c r="K5344" s="9">
        <v>0</v>
      </c>
      <c r="L5344" s="9">
        <v>1.3234E-4</v>
      </c>
      <c r="M5344" s="9">
        <v>1.4569999999999999E-4</v>
      </c>
      <c r="N5344" s="9">
        <v>1.5690999999999999E-4</v>
      </c>
      <c r="O5344" s="9">
        <v>1.3889999999999999E-4</v>
      </c>
      <c r="P5344" s="9">
        <v>1.5705999999999999E-4</v>
      </c>
      <c r="Q5344" s="9">
        <v>1.7539000000000001E-4</v>
      </c>
      <c r="R5344" s="10">
        <v>2.2061781082178339E-6</v>
      </c>
      <c r="S5344" s="10">
        <v>1.409285935479844E-5</v>
      </c>
      <c r="T5344" s="10">
        <v>4.5548809491175113E-4</v>
      </c>
      <c r="U5344" s="10">
        <v>7.5069999999999998E-5</v>
      </c>
      <c r="V5344" s="25"/>
      <c r="W5344" s="25"/>
      <c r="X5344" s="25"/>
      <c r="Y5344" s="25"/>
      <c r="Z5344" s="25"/>
      <c r="AA5344" s="25"/>
    </row>
    <row r="5345" spans="1:27" x14ac:dyDescent="0.35">
      <c r="A5345" s="5">
        <v>5341</v>
      </c>
      <c r="B5345" s="5">
        <v>223</v>
      </c>
      <c r="C5345" s="5">
        <v>8</v>
      </c>
      <c r="D5345" s="25">
        <v>1.1416E-4</v>
      </c>
      <c r="E5345" s="25">
        <v>1.1119E-4</v>
      </c>
      <c r="F5345" s="25">
        <v>9.501E-5</v>
      </c>
      <c r="G5345" s="25">
        <v>1.662E-4</v>
      </c>
      <c r="H5345" s="25">
        <v>1.1902E-4</v>
      </c>
      <c r="I5345" s="9">
        <v>1.1044000000000001E-4</v>
      </c>
      <c r="J5345" s="9">
        <v>1.1425999999999999E-4</v>
      </c>
      <c r="K5345" s="9">
        <v>0</v>
      </c>
      <c r="L5345" s="9">
        <v>1.3726999999999999E-4</v>
      </c>
      <c r="M5345" s="9">
        <v>1.5317E-4</v>
      </c>
      <c r="N5345" s="9">
        <v>1.6658999999999999E-4</v>
      </c>
      <c r="O5345" s="9">
        <v>1.3069000000000001E-4</v>
      </c>
      <c r="P5345" s="9">
        <v>1.4962999999999999E-4</v>
      </c>
      <c r="Q5345" s="9">
        <v>1.6870000000000001E-4</v>
      </c>
      <c r="R5345" s="10">
        <v>1.8007981655208266E-6</v>
      </c>
      <c r="S5345" s="10">
        <v>8.653574522086716E-6</v>
      </c>
      <c r="T5345" s="10">
        <v>5.3102381202606991E-4</v>
      </c>
      <c r="U5345" s="10">
        <v>7.5069999999999998E-5</v>
      </c>
      <c r="V5345" s="25"/>
      <c r="W5345" s="25"/>
      <c r="X5345" s="25"/>
      <c r="Y5345" s="25"/>
      <c r="Z5345" s="25"/>
      <c r="AA5345" s="25"/>
    </row>
    <row r="5346" spans="1:27" x14ac:dyDescent="0.35">
      <c r="A5346" s="5">
        <v>5342</v>
      </c>
      <c r="B5346" s="5">
        <v>223</v>
      </c>
      <c r="C5346" s="5">
        <v>8</v>
      </c>
      <c r="D5346" s="25">
        <v>1.1415000000000001E-4</v>
      </c>
      <c r="E5346" s="25">
        <v>1.1744E-4</v>
      </c>
      <c r="F5346" s="25">
        <v>8.6910000000000006E-5</v>
      </c>
      <c r="G5346" s="25">
        <v>1.6625E-4</v>
      </c>
      <c r="H5346" s="25">
        <v>1.217E-4</v>
      </c>
      <c r="I5346" s="9">
        <v>1.0950000000000001E-4</v>
      </c>
      <c r="J5346" s="9">
        <v>1.1369E-4</v>
      </c>
      <c r="K5346" s="9">
        <v>0</v>
      </c>
      <c r="L5346" s="9">
        <v>1.3217E-4</v>
      </c>
      <c r="M5346" s="9">
        <v>1.5334999999999999E-4</v>
      </c>
      <c r="N5346" s="9">
        <v>1.7110000000000001E-4</v>
      </c>
      <c r="O5346" s="9">
        <v>1.1209000000000001E-4</v>
      </c>
      <c r="P5346" s="9">
        <v>1.3632999999999999E-4</v>
      </c>
      <c r="Q5346" s="9">
        <v>1.6055E-4</v>
      </c>
      <c r="R5346" s="10">
        <v>1.7905947514395201E-6</v>
      </c>
      <c r="S5346" s="10">
        <v>6.2060334386518324E-6</v>
      </c>
      <c r="T5346" s="10">
        <v>4.8683758101052772E-4</v>
      </c>
      <c r="U5346" s="10">
        <v>7.5069999999999998E-5</v>
      </c>
      <c r="V5346" s="25"/>
      <c r="W5346" s="25"/>
      <c r="X5346" s="25"/>
      <c r="Y5346" s="25"/>
      <c r="Z5346" s="25"/>
      <c r="AA5346" s="25"/>
    </row>
    <row r="5347" spans="1:27" x14ac:dyDescent="0.35">
      <c r="A5347" s="5">
        <v>5343</v>
      </c>
      <c r="B5347" s="5">
        <v>223</v>
      </c>
      <c r="C5347" s="5">
        <v>8</v>
      </c>
      <c r="D5347" s="25">
        <v>1.1416E-4</v>
      </c>
      <c r="E5347" s="25">
        <v>1.2082999999999999E-4</v>
      </c>
      <c r="F5347" s="25">
        <v>8.3540000000000003E-5</v>
      </c>
      <c r="G5347" s="25">
        <v>1.6629000000000001E-4</v>
      </c>
      <c r="H5347" s="25">
        <v>1.1988E-4</v>
      </c>
      <c r="I5347" s="9">
        <v>1.0746E-4</v>
      </c>
      <c r="J5347" s="9">
        <v>1.1328999999999999E-4</v>
      </c>
      <c r="K5347" s="9">
        <v>0</v>
      </c>
      <c r="L5347" s="9">
        <v>1.1671999999999999E-4</v>
      </c>
      <c r="M5347" s="9">
        <v>1.47E-4</v>
      </c>
      <c r="N5347" s="9">
        <v>1.7050999999999999E-4</v>
      </c>
      <c r="O5347" s="9">
        <v>1.2678E-4</v>
      </c>
      <c r="P5347" s="9">
        <v>1.3951999999999999E-4</v>
      </c>
      <c r="Q5347" s="9">
        <v>1.5247000000000001E-4</v>
      </c>
      <c r="R5347" s="10">
        <v>3.7938106154655569E-6</v>
      </c>
      <c r="S5347" s="10">
        <v>7.0460903512702455E-6</v>
      </c>
      <c r="T5347" s="10">
        <v>4.2156786610988138E-4</v>
      </c>
      <c r="U5347" s="10">
        <v>7.5069999999999998E-5</v>
      </c>
      <c r="V5347" s="25"/>
      <c r="W5347" s="25"/>
      <c r="X5347" s="25"/>
      <c r="Y5347" s="25"/>
      <c r="Z5347" s="25"/>
      <c r="AA5347" s="25"/>
    </row>
    <row r="5348" spans="1:27" x14ac:dyDescent="0.35">
      <c r="A5348" s="5">
        <v>5344</v>
      </c>
      <c r="B5348" s="5">
        <v>223</v>
      </c>
      <c r="C5348" s="5">
        <v>8</v>
      </c>
      <c r="D5348" s="25">
        <v>1.1415000000000001E-4</v>
      </c>
      <c r="E5348" s="25">
        <v>1.1364E-4</v>
      </c>
      <c r="F5348" s="25">
        <v>9.1959999999999994E-5</v>
      </c>
      <c r="G5348" s="25">
        <v>1.5945999999999999E-4</v>
      </c>
      <c r="H5348" s="25">
        <v>1.1529E-4</v>
      </c>
      <c r="I5348" s="9">
        <v>1.0459999999999999E-4</v>
      </c>
      <c r="J5348" s="9">
        <v>1.1328E-4</v>
      </c>
      <c r="K5348" s="9">
        <v>0</v>
      </c>
      <c r="L5348" s="9">
        <v>1.2501E-4</v>
      </c>
      <c r="M5348" s="9">
        <v>1.4250999999999999E-4</v>
      </c>
      <c r="N5348" s="9">
        <v>1.6653999999999999E-4</v>
      </c>
      <c r="O5348" s="9">
        <v>1.3344999999999999E-4</v>
      </c>
      <c r="P5348" s="9">
        <v>1.2118E-4</v>
      </c>
      <c r="Q5348" s="9">
        <v>1.0954E-4</v>
      </c>
      <c r="R5348" s="10">
        <v>8.9541756561604877E-6</v>
      </c>
      <c r="S5348" s="10">
        <v>7.4926474767363409E-6</v>
      </c>
      <c r="T5348" s="10">
        <v>3.0151503030536475E-4</v>
      </c>
      <c r="U5348" s="10">
        <v>7.5069999999999998E-5</v>
      </c>
      <c r="V5348" s="25"/>
      <c r="W5348" s="25"/>
      <c r="X5348" s="25"/>
      <c r="Y5348" s="25"/>
      <c r="Z5348" s="25"/>
      <c r="AA5348" s="25"/>
    </row>
    <row r="5349" spans="1:27" x14ac:dyDescent="0.35">
      <c r="A5349" s="5">
        <v>5345</v>
      </c>
      <c r="B5349" s="5">
        <v>223</v>
      </c>
      <c r="C5349" s="5">
        <v>8</v>
      </c>
      <c r="D5349" s="25">
        <v>1.1416E-4</v>
      </c>
      <c r="E5349" s="25">
        <v>1.1751E-4</v>
      </c>
      <c r="F5349" s="25">
        <v>1.0495E-4</v>
      </c>
      <c r="G5349" s="25">
        <v>1.6338999999999999E-4</v>
      </c>
      <c r="H5349" s="25">
        <v>1.1629999999999999E-4</v>
      </c>
      <c r="I5349" s="9">
        <v>1.0498E-4</v>
      </c>
      <c r="J5349" s="9">
        <v>1.1464E-4</v>
      </c>
      <c r="K5349" s="9">
        <v>0</v>
      </c>
      <c r="L5349" s="9">
        <v>1.3132000000000001E-4</v>
      </c>
      <c r="M5349" s="9">
        <v>1.3384000000000001E-4</v>
      </c>
      <c r="N5349" s="9">
        <v>1.5266999999999999E-4</v>
      </c>
      <c r="O5349" s="9">
        <v>1.3931999999999999E-4</v>
      </c>
      <c r="P5349" s="9">
        <v>1.2269000000000001E-4</v>
      </c>
      <c r="Q5349" s="9">
        <v>1.0678E-4</v>
      </c>
      <c r="R5349" s="10">
        <v>1.7338828954558634E-5</v>
      </c>
      <c r="S5349" s="10">
        <v>7.3930347852610179E-6</v>
      </c>
      <c r="T5349" s="10">
        <v>1.3962611440529539E-4</v>
      </c>
      <c r="U5349" s="10">
        <v>7.5069999999999998E-5</v>
      </c>
      <c r="V5349" s="25"/>
      <c r="W5349" s="25"/>
      <c r="X5349" s="25"/>
      <c r="Y5349" s="25"/>
      <c r="Z5349" s="25"/>
      <c r="AA5349" s="25"/>
    </row>
    <row r="5350" spans="1:27" x14ac:dyDescent="0.35">
      <c r="A5350" s="5">
        <v>5346</v>
      </c>
      <c r="B5350" s="5">
        <v>223</v>
      </c>
      <c r="C5350" s="5">
        <v>8</v>
      </c>
      <c r="D5350" s="25">
        <v>1.1415000000000001E-4</v>
      </c>
      <c r="E5350" s="25">
        <v>1.1377E-4</v>
      </c>
      <c r="F5350" s="25">
        <v>1.0211E-4</v>
      </c>
      <c r="G5350" s="25">
        <v>1.627E-4</v>
      </c>
      <c r="H5350" s="25">
        <v>1.2087E-4</v>
      </c>
      <c r="I5350" s="9">
        <v>1.0648E-4</v>
      </c>
      <c r="J5350" s="9">
        <v>1.1194E-4</v>
      </c>
      <c r="K5350" s="9">
        <v>0</v>
      </c>
      <c r="L5350" s="9">
        <v>1.3726E-4</v>
      </c>
      <c r="M5350" s="9">
        <v>1.2763E-4</v>
      </c>
      <c r="N5350" s="9">
        <v>1.3913E-4</v>
      </c>
      <c r="O5350" s="9">
        <v>1.3969000000000001E-4</v>
      </c>
      <c r="P5350" s="9">
        <v>1.2807000000000001E-4</v>
      </c>
      <c r="Q5350" s="9">
        <v>1.1708E-4</v>
      </c>
      <c r="R5350" s="10">
        <v>2.9377932106220154E-5</v>
      </c>
      <c r="S5350" s="10">
        <v>6.7365042378757556E-6</v>
      </c>
      <c r="T5350" s="10">
        <v>4.2633604234466149E-5</v>
      </c>
      <c r="U5350" s="10">
        <v>7.5069999999999998E-5</v>
      </c>
      <c r="V5350" s="25"/>
      <c r="W5350" s="25"/>
      <c r="X5350" s="25"/>
      <c r="Y5350" s="25"/>
      <c r="Z5350" s="25"/>
      <c r="AA5350" s="25"/>
    </row>
    <row r="5351" spans="1:27" x14ac:dyDescent="0.35">
      <c r="A5351" s="5">
        <v>5347</v>
      </c>
      <c r="B5351" s="5">
        <v>223</v>
      </c>
      <c r="C5351" s="5">
        <v>8</v>
      </c>
      <c r="D5351" s="25">
        <v>1.1416E-4</v>
      </c>
      <c r="E5351" s="25">
        <v>1.1895E-4</v>
      </c>
      <c r="F5351" s="25">
        <v>8.7709999999999999E-5</v>
      </c>
      <c r="G5351" s="25">
        <v>1.0429000000000001E-4</v>
      </c>
      <c r="H5351" s="25">
        <v>8.4019999999999999E-5</v>
      </c>
      <c r="I5351" s="9">
        <v>1.0676E-4</v>
      </c>
      <c r="J5351" s="9">
        <v>1.0948E-4</v>
      </c>
      <c r="K5351" s="9">
        <v>0</v>
      </c>
      <c r="L5351" s="9">
        <v>1.3905999999999999E-4</v>
      </c>
      <c r="M5351" s="9">
        <v>1.2636E-4</v>
      </c>
      <c r="N5351" s="9">
        <v>1.2983999999999999E-4</v>
      </c>
      <c r="O5351" s="9">
        <v>1.4103999999999999E-4</v>
      </c>
      <c r="P5351" s="9">
        <v>1.2368000000000001E-4</v>
      </c>
      <c r="Q5351" s="9">
        <v>1.0705E-4</v>
      </c>
      <c r="R5351" s="10">
        <v>4.7574244540067675E-5</v>
      </c>
      <c r="S5351" s="10">
        <v>7.1327036037158309E-6</v>
      </c>
      <c r="T5351" s="10">
        <v>1.7850965832699855E-5</v>
      </c>
      <c r="U5351" s="10">
        <v>7.5069999999999998E-5</v>
      </c>
      <c r="V5351" s="25"/>
      <c r="W5351" s="25"/>
      <c r="X5351" s="25"/>
      <c r="Y5351" s="25"/>
      <c r="Z5351" s="25"/>
      <c r="AA5351" s="25"/>
    </row>
    <row r="5352" spans="1:27" x14ac:dyDescent="0.35">
      <c r="A5352" s="5">
        <v>5348</v>
      </c>
      <c r="B5352" s="5">
        <v>223</v>
      </c>
      <c r="C5352" s="5">
        <v>8</v>
      </c>
      <c r="D5352" s="25">
        <v>1.1415000000000001E-4</v>
      </c>
      <c r="E5352" s="25">
        <v>1.2228E-4</v>
      </c>
      <c r="F5352" s="25">
        <v>8.4989999999999998E-5</v>
      </c>
      <c r="G5352" s="25">
        <v>1.0999E-4</v>
      </c>
      <c r="H5352" s="25">
        <v>7.8529999999999995E-5</v>
      </c>
      <c r="I5352" s="9">
        <v>1.0582999999999999E-4</v>
      </c>
      <c r="J5352" s="9">
        <v>1.0705999999999999E-4</v>
      </c>
      <c r="K5352" s="9">
        <v>1.908E-5</v>
      </c>
      <c r="L5352" s="9">
        <v>1.406E-4</v>
      </c>
      <c r="M5352" s="9">
        <v>1.2533999999999999E-4</v>
      </c>
      <c r="N5352" s="9">
        <v>1.2070000000000001E-4</v>
      </c>
      <c r="O5352" s="9">
        <v>1.4301E-4</v>
      </c>
      <c r="P5352" s="9">
        <v>1.2188000000000001E-4</v>
      </c>
      <c r="Q5352" s="9">
        <v>1.0155E-4</v>
      </c>
      <c r="R5352" s="10">
        <v>6.8191443958666377E-5</v>
      </c>
      <c r="S5352" s="10">
        <v>8.5522908871558599E-6</v>
      </c>
      <c r="T5352" s="10">
        <v>0</v>
      </c>
      <c r="U5352" s="10">
        <v>7.5069999999999998E-5</v>
      </c>
      <c r="V5352" s="25"/>
      <c r="W5352" s="25"/>
      <c r="X5352" s="25"/>
      <c r="Y5352" s="25"/>
      <c r="Z5352" s="25"/>
      <c r="AA5352" s="25"/>
    </row>
    <row r="5353" spans="1:27" x14ac:dyDescent="0.35">
      <c r="A5353" s="5">
        <v>5349</v>
      </c>
      <c r="B5353" s="5">
        <v>223</v>
      </c>
      <c r="C5353" s="5">
        <v>8</v>
      </c>
      <c r="D5353" s="25">
        <v>1.1416E-4</v>
      </c>
      <c r="E5353" s="25">
        <v>1.1833E-4</v>
      </c>
      <c r="F5353" s="25">
        <v>1.0486E-4</v>
      </c>
      <c r="G5353" s="25">
        <v>5.5590000000000001E-5</v>
      </c>
      <c r="H5353" s="25">
        <v>3.9180000000000001E-5</v>
      </c>
      <c r="I5353" s="9">
        <v>1.0723E-4</v>
      </c>
      <c r="J5353" s="9">
        <v>1.0811000000000001E-4</v>
      </c>
      <c r="K5353" s="9">
        <v>2.968E-5</v>
      </c>
      <c r="L5353" s="9">
        <v>1.4248E-4</v>
      </c>
      <c r="M5353" s="9">
        <v>1.2386999999999999E-4</v>
      </c>
      <c r="N5353" s="9">
        <v>1.1294999999999999E-4</v>
      </c>
      <c r="O5353" s="9">
        <v>8.3900000000000006E-5</v>
      </c>
      <c r="P5353" s="9">
        <v>8.5660000000000003E-5</v>
      </c>
      <c r="Q5353" s="9">
        <v>8.7639999999999994E-5</v>
      </c>
      <c r="R5353" s="10">
        <v>8.636858878273273E-5</v>
      </c>
      <c r="S5353" s="10">
        <v>1.0773032173090184E-5</v>
      </c>
      <c r="T5353" s="10">
        <v>0</v>
      </c>
      <c r="U5353" s="10">
        <v>7.5069999999999998E-5</v>
      </c>
      <c r="V5353" s="25"/>
      <c r="W5353" s="25"/>
      <c r="X5353" s="25"/>
      <c r="Y5353" s="25"/>
      <c r="Z5353" s="25"/>
      <c r="AA5353" s="25"/>
    </row>
    <row r="5354" spans="1:27" x14ac:dyDescent="0.35">
      <c r="A5354" s="5">
        <v>5350</v>
      </c>
      <c r="B5354" s="5">
        <v>223</v>
      </c>
      <c r="C5354" s="5">
        <v>8</v>
      </c>
      <c r="D5354" s="25">
        <v>1.1415000000000001E-4</v>
      </c>
      <c r="E5354" s="25">
        <v>1.1625000000000001E-4</v>
      </c>
      <c r="F5354" s="25">
        <v>1.0166E-4</v>
      </c>
      <c r="G5354" s="25">
        <v>5.359E-5</v>
      </c>
      <c r="H5354" s="25">
        <v>4.5739999999999999E-5</v>
      </c>
      <c r="I5354" s="9">
        <v>1.0836E-4</v>
      </c>
      <c r="J5354" s="9">
        <v>1.0563E-4</v>
      </c>
      <c r="K5354" s="9">
        <v>5.7219999999999998E-5</v>
      </c>
      <c r="L5354" s="9">
        <v>9.6739999999999999E-5</v>
      </c>
      <c r="M5354" s="9">
        <v>1.097E-4</v>
      </c>
      <c r="N5354" s="9">
        <v>1.0524E-4</v>
      </c>
      <c r="O5354" s="9">
        <v>8.6669999999999995E-5</v>
      </c>
      <c r="P5354" s="9">
        <v>8.7059999999999997E-5</v>
      </c>
      <c r="Q5354" s="9">
        <v>8.7709999999999999E-5</v>
      </c>
      <c r="R5354" s="10">
        <v>9.3666466365123176E-5</v>
      </c>
      <c r="S5354" s="10">
        <v>1.3607820242220303E-5</v>
      </c>
      <c r="T5354" s="10">
        <v>0</v>
      </c>
      <c r="U5354" s="10">
        <v>7.5069999999999998E-5</v>
      </c>
      <c r="V5354" s="25"/>
      <c r="W5354" s="25"/>
      <c r="X5354" s="25"/>
      <c r="Y5354" s="25"/>
      <c r="Z5354" s="25"/>
      <c r="AA5354" s="25"/>
    </row>
    <row r="5355" spans="1:27" x14ac:dyDescent="0.35">
      <c r="A5355" s="5">
        <v>5351</v>
      </c>
      <c r="B5355" s="5">
        <v>223</v>
      </c>
      <c r="C5355" s="5">
        <v>8</v>
      </c>
      <c r="D5355" s="25">
        <v>1.1416E-4</v>
      </c>
      <c r="E5355" s="25">
        <v>1.1767E-4</v>
      </c>
      <c r="F5355" s="25">
        <v>9.9129999999999994E-5</v>
      </c>
      <c r="G5355" s="25">
        <v>6.0579999999999999E-5</v>
      </c>
      <c r="H5355" s="25">
        <v>3.8189999999999999E-5</v>
      </c>
      <c r="I5355" s="9">
        <v>1.0315E-4</v>
      </c>
      <c r="J5355" s="9">
        <v>1.0027E-4</v>
      </c>
      <c r="K5355" s="9">
        <v>7.2059999999999998E-5</v>
      </c>
      <c r="L5355" s="9">
        <v>9.0160000000000004E-5</v>
      </c>
      <c r="M5355" s="9">
        <v>9.7730000000000001E-5</v>
      </c>
      <c r="N5355" s="9">
        <v>9.9389999999999995E-5</v>
      </c>
      <c r="O5355" s="9">
        <v>8.4549999999999995E-5</v>
      </c>
      <c r="P5355" s="9">
        <v>7.5539999999999998E-5</v>
      </c>
      <c r="Q5355" s="9">
        <v>6.6909999999999995E-5</v>
      </c>
      <c r="R5355" s="10">
        <v>9.0161470905072158E-5</v>
      </c>
      <c r="S5355" s="10">
        <v>1.6451354642187936E-5</v>
      </c>
      <c r="T5355" s="10">
        <v>0</v>
      </c>
      <c r="U5355" s="10">
        <v>7.5069999999999998E-5</v>
      </c>
      <c r="V5355" s="25"/>
      <c r="W5355" s="25"/>
      <c r="X5355" s="25"/>
      <c r="Y5355" s="25"/>
      <c r="Z5355" s="25"/>
      <c r="AA5355" s="25"/>
    </row>
    <row r="5356" spans="1:27" x14ac:dyDescent="0.35">
      <c r="A5356" s="5">
        <v>5352</v>
      </c>
      <c r="B5356" s="5">
        <v>223</v>
      </c>
      <c r="C5356" s="5">
        <v>8</v>
      </c>
      <c r="D5356" s="25">
        <v>1.1415000000000001E-4</v>
      </c>
      <c r="E5356" s="25">
        <v>1.1178E-4</v>
      </c>
      <c r="F5356" s="25">
        <v>8.7719999999999994E-5</v>
      </c>
      <c r="G5356" s="25">
        <v>6.3319999999999997E-5</v>
      </c>
      <c r="H5356" s="25">
        <v>4.4310000000000001E-5</v>
      </c>
      <c r="I5356" s="9">
        <v>9.6310000000000005E-5</v>
      </c>
      <c r="J5356" s="9">
        <v>9.3170000000000004E-5</v>
      </c>
      <c r="K5356" s="9">
        <v>6.5699999999999998E-5</v>
      </c>
      <c r="L5356" s="9">
        <v>8.6000000000000003E-5</v>
      </c>
      <c r="M5356" s="9">
        <v>8.6940000000000004E-5</v>
      </c>
      <c r="N5356" s="9">
        <v>9.0210000000000005E-5</v>
      </c>
      <c r="O5356" s="9">
        <v>7.894E-5</v>
      </c>
      <c r="P5356" s="9">
        <v>6.8659999999999997E-5</v>
      </c>
      <c r="Q5356" s="9">
        <v>5.8770000000000001E-5</v>
      </c>
      <c r="R5356" s="10">
        <v>9.5630517592514019E-5</v>
      </c>
      <c r="S5356" s="10">
        <v>1.9278722901417276E-5</v>
      </c>
      <c r="T5356" s="10">
        <v>0</v>
      </c>
      <c r="U5356" s="10">
        <v>7.5069999999999998E-5</v>
      </c>
      <c r="V5356" s="25"/>
      <c r="W5356" s="25"/>
      <c r="X5356" s="25"/>
      <c r="Y5356" s="25"/>
      <c r="Z5356" s="25"/>
      <c r="AA5356" s="25"/>
    </row>
    <row r="5357" spans="1:27" x14ac:dyDescent="0.35">
      <c r="A5357" s="5">
        <v>5353</v>
      </c>
      <c r="B5357" s="5">
        <v>224</v>
      </c>
      <c r="C5357" s="5">
        <v>8</v>
      </c>
      <c r="D5357" s="25">
        <v>1.1416E-4</v>
      </c>
      <c r="E5357" s="25">
        <v>1.1578000000000001E-4</v>
      </c>
      <c r="F5357" s="25">
        <v>1.2208E-4</v>
      </c>
      <c r="G5357" s="25">
        <v>5.8409999999999998E-5</v>
      </c>
      <c r="H5357" s="25">
        <v>1.507E-5</v>
      </c>
      <c r="I5357" s="9">
        <v>9.1829999999999993E-5</v>
      </c>
      <c r="J5357" s="9">
        <v>8.8070000000000002E-5</v>
      </c>
      <c r="K5357" s="9">
        <v>7.2059999999999998E-5</v>
      </c>
      <c r="L5357" s="9">
        <v>8.0270000000000002E-5</v>
      </c>
      <c r="M5357" s="9">
        <v>7.7929999999999994E-5</v>
      </c>
      <c r="N5357" s="9">
        <v>8.0859999999999995E-5</v>
      </c>
      <c r="O5357" s="9">
        <v>6.7700000000000006E-5</v>
      </c>
      <c r="P5357" s="9">
        <v>6.0279999999999999E-5</v>
      </c>
      <c r="Q5357" s="9">
        <v>5.3159999999999999E-5</v>
      </c>
      <c r="R5357" s="10">
        <v>8.2854100788391931E-5</v>
      </c>
      <c r="S5357" s="10">
        <v>2.1978343180420786E-5</v>
      </c>
      <c r="T5357" s="10">
        <v>0</v>
      </c>
      <c r="U5357" s="10">
        <v>7.4549999999999996E-5</v>
      </c>
      <c r="V5357" s="25"/>
      <c r="W5357" s="25"/>
      <c r="X5357" s="25"/>
      <c r="Y5357" s="25"/>
      <c r="Z5357" s="25"/>
      <c r="AA5357" s="25"/>
    </row>
    <row r="5358" spans="1:27" x14ac:dyDescent="0.35">
      <c r="A5358" s="5">
        <v>5354</v>
      </c>
      <c r="B5358" s="5">
        <v>224</v>
      </c>
      <c r="C5358" s="5">
        <v>8</v>
      </c>
      <c r="D5358" s="25">
        <v>1.1415000000000001E-4</v>
      </c>
      <c r="E5358" s="25">
        <v>1.116E-4</v>
      </c>
      <c r="F5358" s="25">
        <v>1.1540999999999999E-4</v>
      </c>
      <c r="G5358" s="25">
        <v>5.2330000000000002E-5</v>
      </c>
      <c r="H5358" s="25">
        <v>1.3720000000000001E-5</v>
      </c>
      <c r="I5358" s="9">
        <v>8.9179999999999997E-5</v>
      </c>
      <c r="J5358" s="9">
        <v>8.5660000000000003E-5</v>
      </c>
      <c r="K5358" s="9">
        <v>4.8749999999999999E-5</v>
      </c>
      <c r="L5358" s="9">
        <v>7.0610000000000003E-5</v>
      </c>
      <c r="M5358" s="9">
        <v>6.9460000000000002E-5</v>
      </c>
      <c r="N5358" s="9">
        <v>7.1779999999999994E-5</v>
      </c>
      <c r="O5358" s="9">
        <v>3.5460000000000003E-5</v>
      </c>
      <c r="P5358" s="9">
        <v>4.5909999999999999E-5</v>
      </c>
      <c r="Q5358" s="9">
        <v>5.6270000000000002E-5</v>
      </c>
      <c r="R5358" s="10">
        <v>7.4743023965070867E-5</v>
      </c>
      <c r="S5358" s="10">
        <v>2.1748110386933565E-5</v>
      </c>
      <c r="T5358" s="10">
        <v>0</v>
      </c>
      <c r="U5358" s="10">
        <v>7.4549999999999996E-5</v>
      </c>
      <c r="V5358" s="25"/>
      <c r="W5358" s="25"/>
      <c r="X5358" s="25"/>
      <c r="Y5358" s="25"/>
      <c r="Z5358" s="25"/>
      <c r="AA5358" s="25"/>
    </row>
    <row r="5359" spans="1:27" x14ac:dyDescent="0.35">
      <c r="A5359" s="5">
        <v>5355</v>
      </c>
      <c r="B5359" s="5">
        <v>224</v>
      </c>
      <c r="C5359" s="5">
        <v>8</v>
      </c>
      <c r="D5359" s="25">
        <v>1.1416E-4</v>
      </c>
      <c r="E5359" s="25">
        <v>1.1209000000000001E-4</v>
      </c>
      <c r="F5359" s="25">
        <v>1.1422E-4</v>
      </c>
      <c r="G5359" s="25">
        <v>6.0489999999999999E-5</v>
      </c>
      <c r="H5359" s="25">
        <v>1.4939999999999999E-5</v>
      </c>
      <c r="I5359" s="9">
        <v>8.7999999999999998E-5</v>
      </c>
      <c r="J5359" s="9">
        <v>8.4519999999999997E-5</v>
      </c>
      <c r="K5359" s="9">
        <v>3.392E-5</v>
      </c>
      <c r="L5359" s="9">
        <v>4.3449999999999999E-5</v>
      </c>
      <c r="M5359" s="9">
        <v>5.8980000000000001E-5</v>
      </c>
      <c r="N5359" s="9">
        <v>6.5320000000000005E-5</v>
      </c>
      <c r="O5359" s="9">
        <v>2.247E-5</v>
      </c>
      <c r="P5359" s="9">
        <v>4.2379999999999997E-5</v>
      </c>
      <c r="Q5359" s="9">
        <v>6.1989999999999994E-5</v>
      </c>
      <c r="R5359" s="10">
        <v>8.2858341494808789E-5</v>
      </c>
      <c r="S5359" s="10">
        <v>2.0786627716082727E-5</v>
      </c>
      <c r="T5359" s="10">
        <v>0</v>
      </c>
      <c r="U5359" s="10">
        <v>7.4549999999999996E-5</v>
      </c>
      <c r="V5359" s="25"/>
      <c r="W5359" s="25"/>
      <c r="X5359" s="25"/>
      <c r="Y5359" s="25"/>
      <c r="Z5359" s="25"/>
      <c r="AA5359" s="25"/>
    </row>
    <row r="5360" spans="1:27" x14ac:dyDescent="0.35">
      <c r="A5360" s="5">
        <v>5356</v>
      </c>
      <c r="B5360" s="5">
        <v>224</v>
      </c>
      <c r="C5360" s="5">
        <v>8</v>
      </c>
      <c r="D5360" s="25">
        <v>1.1415000000000001E-4</v>
      </c>
      <c r="E5360" s="25">
        <v>1.0876E-4</v>
      </c>
      <c r="F5360" s="25">
        <v>1.2570999999999999E-4</v>
      </c>
      <c r="G5360" s="25">
        <v>6.3540000000000005E-5</v>
      </c>
      <c r="H5360" s="25">
        <v>1.293E-5</v>
      </c>
      <c r="I5360" s="9">
        <v>8.8259999999999999E-5</v>
      </c>
      <c r="J5360" s="9">
        <v>8.4450000000000006E-5</v>
      </c>
      <c r="K5360" s="9">
        <v>3.18E-5</v>
      </c>
      <c r="L5360" s="9">
        <v>2.781E-5</v>
      </c>
      <c r="M5360" s="9">
        <v>5.0489999999999999E-5</v>
      </c>
      <c r="N5360" s="9">
        <v>6.19E-5</v>
      </c>
      <c r="O5360" s="9">
        <v>2.1719999999999999E-5</v>
      </c>
      <c r="P5360" s="9">
        <v>5.1140000000000002E-5</v>
      </c>
      <c r="Q5360" s="9">
        <v>8.0110000000000004E-5</v>
      </c>
      <c r="R5360" s="10">
        <v>9.6268136802984245E-5</v>
      </c>
      <c r="S5360" s="10">
        <v>1.9942096833075775E-5</v>
      </c>
      <c r="T5360" s="10">
        <v>0</v>
      </c>
      <c r="U5360" s="10">
        <v>7.4549999999999996E-5</v>
      </c>
      <c r="V5360" s="25"/>
      <c r="W5360" s="25"/>
      <c r="X5360" s="25"/>
      <c r="Y5360" s="25"/>
      <c r="Z5360" s="25"/>
      <c r="AA5360" s="25"/>
    </row>
    <row r="5361" spans="1:27" x14ac:dyDescent="0.35">
      <c r="A5361" s="5">
        <v>5357</v>
      </c>
      <c r="B5361" s="5">
        <v>224</v>
      </c>
      <c r="C5361" s="5">
        <v>8</v>
      </c>
      <c r="D5361" s="25">
        <v>1.1416E-4</v>
      </c>
      <c r="E5361" s="25">
        <v>1.1281E-4</v>
      </c>
      <c r="F5361" s="25">
        <v>1.0774E-4</v>
      </c>
      <c r="G5361" s="25">
        <v>6.3479999999999995E-5</v>
      </c>
      <c r="H5361" s="25">
        <v>1.4620000000000001E-5</v>
      </c>
      <c r="I5361" s="9">
        <v>9.2059999999999996E-5</v>
      </c>
      <c r="J5361" s="9">
        <v>8.6920000000000001E-5</v>
      </c>
      <c r="K5361" s="9">
        <v>2.3309999999999999E-5</v>
      </c>
      <c r="L5361" s="9">
        <v>2.3439999999999999E-5</v>
      </c>
      <c r="M5361" s="9">
        <v>4.8760000000000001E-5</v>
      </c>
      <c r="N5361" s="9">
        <v>6.4419999999999996E-5</v>
      </c>
      <c r="O5361" s="9">
        <v>2.389E-5</v>
      </c>
      <c r="P5361" s="9">
        <v>5.9469999999999998E-5</v>
      </c>
      <c r="Q5361" s="9">
        <v>9.4510000000000001E-5</v>
      </c>
      <c r="R5361" s="10">
        <v>1.1139546002848342E-4</v>
      </c>
      <c r="S5361" s="10">
        <v>2.0031060181288628E-5</v>
      </c>
      <c r="T5361" s="10">
        <v>0</v>
      </c>
      <c r="U5361" s="10">
        <v>7.4549999999999996E-5</v>
      </c>
      <c r="V5361" s="25"/>
      <c r="W5361" s="25"/>
      <c r="X5361" s="25"/>
      <c r="Y5361" s="25"/>
      <c r="Z5361" s="25"/>
      <c r="AA5361" s="25"/>
    </row>
    <row r="5362" spans="1:27" x14ac:dyDescent="0.35">
      <c r="A5362" s="5">
        <v>5358</v>
      </c>
      <c r="B5362" s="5">
        <v>224</v>
      </c>
      <c r="C5362" s="5">
        <v>8</v>
      </c>
      <c r="D5362" s="25">
        <v>1.1415000000000001E-4</v>
      </c>
      <c r="E5362" s="25">
        <v>1.0944E-4</v>
      </c>
      <c r="F5362" s="25">
        <v>1.2345999999999999E-4</v>
      </c>
      <c r="G5362" s="25">
        <v>1.083E-4</v>
      </c>
      <c r="H5362" s="25">
        <v>2.5789999999999999E-5</v>
      </c>
      <c r="I5362" s="9">
        <v>9.891E-5</v>
      </c>
      <c r="J5362" s="9">
        <v>9.2960000000000004E-5</v>
      </c>
      <c r="K5362" s="9">
        <v>1.273E-5</v>
      </c>
      <c r="L5362" s="9">
        <v>2.372E-5</v>
      </c>
      <c r="M5362" s="9">
        <v>5.2500000000000002E-5</v>
      </c>
      <c r="N5362" s="9">
        <v>7.1190000000000001E-5</v>
      </c>
      <c r="O5362" s="9">
        <v>3.0150000000000001E-5</v>
      </c>
      <c r="P5362" s="9">
        <v>6.923E-5</v>
      </c>
      <c r="Q5362" s="9">
        <v>1.0775E-4</v>
      </c>
      <c r="R5362" s="10">
        <v>1.1494038721758376E-4</v>
      </c>
      <c r="S5362" s="10">
        <v>2.0859313486116424E-5</v>
      </c>
      <c r="T5362" s="10">
        <v>9.629679762411755E-6</v>
      </c>
      <c r="U5362" s="10">
        <v>7.4549999999999996E-5</v>
      </c>
      <c r="V5362" s="25"/>
      <c r="W5362" s="25"/>
      <c r="X5362" s="25"/>
      <c r="Y5362" s="25"/>
      <c r="Z5362" s="25"/>
      <c r="AA5362" s="25"/>
    </row>
    <row r="5363" spans="1:27" x14ac:dyDescent="0.35">
      <c r="A5363" s="5">
        <v>5359</v>
      </c>
      <c r="B5363" s="5">
        <v>224</v>
      </c>
      <c r="C5363" s="5">
        <v>8</v>
      </c>
      <c r="D5363" s="25">
        <v>1.1416E-4</v>
      </c>
      <c r="E5363" s="25">
        <v>1.1340000000000001E-4</v>
      </c>
      <c r="F5363" s="25">
        <v>1.2313E-4</v>
      </c>
      <c r="G5363" s="25">
        <v>1.1309E-4</v>
      </c>
      <c r="H5363" s="25">
        <v>2.6319999999999999E-5</v>
      </c>
      <c r="I5363" s="9">
        <v>1.0443E-4</v>
      </c>
      <c r="J5363" s="9">
        <v>1.024E-4</v>
      </c>
      <c r="K5363" s="9">
        <v>0</v>
      </c>
      <c r="L5363" s="9">
        <v>2.864E-5</v>
      </c>
      <c r="M5363" s="9">
        <v>5.9639999999999998E-5</v>
      </c>
      <c r="N5363" s="9">
        <v>8.1069999999999995E-5</v>
      </c>
      <c r="O5363" s="9">
        <v>4.6350000000000002E-5</v>
      </c>
      <c r="P5363" s="9">
        <v>7.9610000000000005E-5</v>
      </c>
      <c r="Q5363" s="9">
        <v>1.1245E-4</v>
      </c>
      <c r="R5363" s="10">
        <v>1.1518141695072921E-4</v>
      </c>
      <c r="S5363" s="10">
        <v>2.6351631543704714E-5</v>
      </c>
      <c r="T5363" s="10">
        <v>2.6377686679593085E-5</v>
      </c>
      <c r="U5363" s="10">
        <v>7.4549999999999996E-5</v>
      </c>
      <c r="V5363" s="25"/>
      <c r="W5363" s="25"/>
      <c r="X5363" s="25"/>
      <c r="Y5363" s="25"/>
      <c r="Z5363" s="25"/>
      <c r="AA5363" s="25"/>
    </row>
    <row r="5364" spans="1:27" x14ac:dyDescent="0.35">
      <c r="A5364" s="5">
        <v>5360</v>
      </c>
      <c r="B5364" s="5">
        <v>224</v>
      </c>
      <c r="C5364" s="5">
        <v>8</v>
      </c>
      <c r="D5364" s="25">
        <v>1.1415000000000001E-4</v>
      </c>
      <c r="E5364" s="25">
        <v>1.1799E-4</v>
      </c>
      <c r="F5364" s="25">
        <v>1.2264E-4</v>
      </c>
      <c r="G5364" s="25">
        <v>1.5833000000000001E-4</v>
      </c>
      <c r="H5364" s="25">
        <v>3.7419999999999997E-5</v>
      </c>
      <c r="I5364" s="9">
        <v>1.0975E-4</v>
      </c>
      <c r="J5364" s="9">
        <v>1.1262E-4</v>
      </c>
      <c r="K5364" s="9">
        <v>0</v>
      </c>
      <c r="L5364" s="9">
        <v>4.2299999999999998E-5</v>
      </c>
      <c r="M5364" s="9">
        <v>6.8629999999999999E-5</v>
      </c>
      <c r="N5364" s="9">
        <v>9.1139999999999998E-5</v>
      </c>
      <c r="O5364" s="9">
        <v>6.8150000000000003E-5</v>
      </c>
      <c r="P5364" s="9">
        <v>1.0249E-4</v>
      </c>
      <c r="Q5364" s="9">
        <v>1.3647E-4</v>
      </c>
      <c r="R5364" s="10">
        <v>1.0771430758081918E-4</v>
      </c>
      <c r="S5364" s="10">
        <v>3.2709631337963287E-5</v>
      </c>
      <c r="T5364" s="10">
        <v>7.9472432012784962E-5</v>
      </c>
      <c r="U5364" s="10">
        <v>7.4549999999999996E-5</v>
      </c>
      <c r="V5364" s="25"/>
      <c r="W5364" s="25"/>
      <c r="X5364" s="25"/>
      <c r="Y5364" s="25"/>
      <c r="Z5364" s="25"/>
      <c r="AA5364" s="25"/>
    </row>
    <row r="5365" spans="1:27" x14ac:dyDescent="0.35">
      <c r="A5365" s="5">
        <v>5361</v>
      </c>
      <c r="B5365" s="5">
        <v>224</v>
      </c>
      <c r="C5365" s="5">
        <v>8</v>
      </c>
      <c r="D5365" s="25">
        <v>1.1416E-4</v>
      </c>
      <c r="E5365" s="25">
        <v>1.1285000000000001E-4</v>
      </c>
      <c r="F5365" s="25">
        <v>1.0594000000000001E-4</v>
      </c>
      <c r="G5365" s="25">
        <v>1.6086E-4</v>
      </c>
      <c r="H5365" s="25">
        <v>3.8340000000000002E-5</v>
      </c>
      <c r="I5365" s="9">
        <v>1.1148E-4</v>
      </c>
      <c r="J5365" s="9">
        <v>1.1841999999999999E-4</v>
      </c>
      <c r="K5365" s="9">
        <v>0</v>
      </c>
      <c r="L5365" s="9">
        <v>6.2100000000000005E-5</v>
      </c>
      <c r="M5365" s="9">
        <v>8.3029999999999996E-5</v>
      </c>
      <c r="N5365" s="9">
        <v>1.0478E-4</v>
      </c>
      <c r="O5365" s="9">
        <v>1.0024E-4</v>
      </c>
      <c r="P5365" s="9">
        <v>1.392E-4</v>
      </c>
      <c r="Q5365" s="9">
        <v>1.7786000000000001E-4</v>
      </c>
      <c r="R5365" s="10">
        <v>9.3413277601152387E-5</v>
      </c>
      <c r="S5365" s="10">
        <v>3.675869503720413E-5</v>
      </c>
      <c r="T5365" s="10">
        <v>2.0207055762234432E-4</v>
      </c>
      <c r="U5365" s="10">
        <v>7.4549999999999996E-5</v>
      </c>
      <c r="V5365" s="25"/>
      <c r="W5365" s="25"/>
      <c r="X5365" s="25"/>
      <c r="Y5365" s="25"/>
      <c r="Z5365" s="25"/>
      <c r="AA5365" s="25"/>
    </row>
    <row r="5366" spans="1:27" x14ac:dyDescent="0.35">
      <c r="A5366" s="5">
        <v>5362</v>
      </c>
      <c r="B5366" s="5">
        <v>224</v>
      </c>
      <c r="C5366" s="5">
        <v>8</v>
      </c>
      <c r="D5366" s="25">
        <v>1.1415000000000001E-4</v>
      </c>
      <c r="E5366" s="25">
        <v>1.1294E-4</v>
      </c>
      <c r="F5366" s="25">
        <v>1.2318E-4</v>
      </c>
      <c r="G5366" s="25">
        <v>1.5993E-4</v>
      </c>
      <c r="H5366" s="25">
        <v>3.7849999999999998E-5</v>
      </c>
      <c r="I5366" s="9">
        <v>1.142E-4</v>
      </c>
      <c r="J5366" s="9">
        <v>1.2131E-4</v>
      </c>
      <c r="K5366" s="9">
        <v>0</v>
      </c>
      <c r="L5366" s="9">
        <v>9.1329999999999995E-5</v>
      </c>
      <c r="M5366" s="9">
        <v>1.0689E-4</v>
      </c>
      <c r="N5366" s="9">
        <v>1.2496E-4</v>
      </c>
      <c r="O5366" s="9">
        <v>1.2889999999999999E-4</v>
      </c>
      <c r="P5366" s="9">
        <v>1.5594E-4</v>
      </c>
      <c r="Q5366" s="9">
        <v>1.8296E-4</v>
      </c>
      <c r="R5366" s="10">
        <v>8.1031436176850962E-5</v>
      </c>
      <c r="S5366" s="10">
        <v>3.8783548991017188E-5</v>
      </c>
      <c r="T5366" s="10">
        <v>2.5142372694212333E-4</v>
      </c>
      <c r="U5366" s="10">
        <v>7.4549999999999996E-5</v>
      </c>
      <c r="V5366" s="25"/>
      <c r="W5366" s="25"/>
      <c r="X5366" s="25"/>
      <c r="Y5366" s="25"/>
      <c r="Z5366" s="25"/>
      <c r="AA5366" s="25"/>
    </row>
    <row r="5367" spans="1:27" x14ac:dyDescent="0.35">
      <c r="A5367" s="5">
        <v>5363</v>
      </c>
      <c r="B5367" s="5">
        <v>224</v>
      </c>
      <c r="C5367" s="5">
        <v>8</v>
      </c>
      <c r="D5367" s="25">
        <v>1.1416E-4</v>
      </c>
      <c r="E5367" s="25">
        <v>1.1068E-4</v>
      </c>
      <c r="F5367" s="25">
        <v>1.2753999999999999E-4</v>
      </c>
      <c r="G5367" s="25">
        <v>1.6623000000000001E-4</v>
      </c>
      <c r="H5367" s="25">
        <v>3.909E-5</v>
      </c>
      <c r="I5367" s="9">
        <v>1.1743000000000001E-4</v>
      </c>
      <c r="J5367" s="9">
        <v>1.2271999999999999E-4</v>
      </c>
      <c r="K5367" s="9">
        <v>0</v>
      </c>
      <c r="L5367" s="9">
        <v>1.1991E-4</v>
      </c>
      <c r="M5367" s="9">
        <v>1.3059000000000001E-4</v>
      </c>
      <c r="N5367" s="9">
        <v>1.4313999999999999E-4</v>
      </c>
      <c r="O5367" s="9">
        <v>1.3772E-4</v>
      </c>
      <c r="P5367" s="9">
        <v>1.5933000000000001E-4</v>
      </c>
      <c r="Q5367" s="9">
        <v>1.8105000000000001E-4</v>
      </c>
      <c r="R5367" s="10">
        <v>8.0046217742091717E-5</v>
      </c>
      <c r="S5367" s="10">
        <v>3.5664200844343777E-5</v>
      </c>
      <c r="T5367" s="10">
        <v>4.1942133837429533E-4</v>
      </c>
      <c r="U5367" s="10">
        <v>7.4549999999999996E-5</v>
      </c>
      <c r="V5367" s="25"/>
      <c r="W5367" s="25"/>
      <c r="X5367" s="25"/>
      <c r="Y5367" s="25"/>
      <c r="Z5367" s="25"/>
      <c r="AA5367" s="25"/>
    </row>
    <row r="5368" spans="1:27" x14ac:dyDescent="0.35">
      <c r="A5368" s="5">
        <v>5364</v>
      </c>
      <c r="B5368" s="5">
        <v>224</v>
      </c>
      <c r="C5368" s="5">
        <v>8</v>
      </c>
      <c r="D5368" s="25">
        <v>1.1415000000000001E-4</v>
      </c>
      <c r="E5368" s="25">
        <v>1.1069E-4</v>
      </c>
      <c r="F5368" s="25">
        <v>1.2274000000000001E-4</v>
      </c>
      <c r="G5368" s="25">
        <v>1.5966999999999999E-4</v>
      </c>
      <c r="H5368" s="25">
        <v>3.7979999999999999E-5</v>
      </c>
      <c r="I5368" s="9">
        <v>1.1573E-4</v>
      </c>
      <c r="J5368" s="9">
        <v>1.2260999999999999E-4</v>
      </c>
      <c r="K5368" s="9">
        <v>0</v>
      </c>
      <c r="L5368" s="9">
        <v>1.3312999999999999E-4</v>
      </c>
      <c r="M5368" s="9">
        <v>1.4655000000000001E-4</v>
      </c>
      <c r="N5368" s="9">
        <v>1.5746999999999999E-4</v>
      </c>
      <c r="O5368" s="9">
        <v>1.3697000000000001E-4</v>
      </c>
      <c r="P5368" s="9">
        <v>1.5488000000000001E-4</v>
      </c>
      <c r="Q5368" s="9">
        <v>1.7295E-4</v>
      </c>
      <c r="R5368" s="10">
        <v>6.2798430980063328E-5</v>
      </c>
      <c r="S5368" s="10">
        <v>2.1150524569587464E-5</v>
      </c>
      <c r="T5368" s="10">
        <v>3.5329470923928453E-4</v>
      </c>
      <c r="U5368" s="10">
        <v>7.4549999999999996E-5</v>
      </c>
      <c r="V5368" s="25"/>
      <c r="W5368" s="25"/>
      <c r="X5368" s="25"/>
      <c r="Y5368" s="25"/>
      <c r="Z5368" s="25"/>
      <c r="AA5368" s="25"/>
    </row>
    <row r="5369" spans="1:27" x14ac:dyDescent="0.35">
      <c r="A5369" s="5">
        <v>5365</v>
      </c>
      <c r="B5369" s="5">
        <v>224</v>
      </c>
      <c r="C5369" s="5">
        <v>8</v>
      </c>
      <c r="D5369" s="25">
        <v>1.1416E-4</v>
      </c>
      <c r="E5369" s="25">
        <v>1.1388E-4</v>
      </c>
      <c r="F5369" s="25">
        <v>1.1101E-4</v>
      </c>
      <c r="G5369" s="25">
        <v>1.6485E-4</v>
      </c>
      <c r="H5369" s="25">
        <v>3.8279999999999999E-5</v>
      </c>
      <c r="I5369" s="9">
        <v>1.1448E-4</v>
      </c>
      <c r="J5369" s="9">
        <v>1.2207E-4</v>
      </c>
      <c r="K5369" s="9">
        <v>1.484E-5</v>
      </c>
      <c r="L5369" s="9">
        <v>1.3594E-4</v>
      </c>
      <c r="M5369" s="9">
        <v>1.5296999999999999E-4</v>
      </c>
      <c r="N5369" s="9">
        <v>1.6658999999999999E-4</v>
      </c>
      <c r="O5369" s="9">
        <v>1.2919E-4</v>
      </c>
      <c r="P5369" s="9">
        <v>1.4792000000000001E-4</v>
      </c>
      <c r="Q5369" s="9">
        <v>1.6677E-4</v>
      </c>
      <c r="R5369" s="10">
        <v>5.3377591778221086E-5</v>
      </c>
      <c r="S5369" s="10">
        <v>2.0236069245991795E-5</v>
      </c>
      <c r="T5369" s="10">
        <v>2.1179356467760765E-4</v>
      </c>
      <c r="U5369" s="10">
        <v>7.4549999999999996E-5</v>
      </c>
      <c r="V5369" s="25"/>
      <c r="W5369" s="25"/>
      <c r="X5369" s="25"/>
      <c r="Y5369" s="25"/>
      <c r="Z5369" s="25"/>
      <c r="AA5369" s="25"/>
    </row>
    <row r="5370" spans="1:27" x14ac:dyDescent="0.35">
      <c r="A5370" s="5">
        <v>5366</v>
      </c>
      <c r="B5370" s="5">
        <v>224</v>
      </c>
      <c r="C5370" s="5">
        <v>8</v>
      </c>
      <c r="D5370" s="25">
        <v>1.1415000000000001E-4</v>
      </c>
      <c r="E5370" s="25">
        <v>1.1156E-4</v>
      </c>
      <c r="F5370" s="25">
        <v>1.2065000000000001E-4</v>
      </c>
      <c r="G5370" s="25">
        <v>1.6108E-4</v>
      </c>
      <c r="H5370" s="25">
        <v>3.803E-5</v>
      </c>
      <c r="I5370" s="9">
        <v>1.1493E-4</v>
      </c>
      <c r="J5370" s="9">
        <v>1.2137E-4</v>
      </c>
      <c r="K5370" s="9">
        <v>2.5429999999999999E-5</v>
      </c>
      <c r="L5370" s="9">
        <v>1.3077999999999999E-4</v>
      </c>
      <c r="M5370" s="9">
        <v>1.5231000000000001E-4</v>
      </c>
      <c r="N5370" s="9">
        <v>1.7066E-4</v>
      </c>
      <c r="O5370" s="9">
        <v>1.1318E-4</v>
      </c>
      <c r="P5370" s="9">
        <v>1.3766000000000001E-4</v>
      </c>
      <c r="Q5370" s="9">
        <v>1.6212E-4</v>
      </c>
      <c r="R5370" s="10">
        <v>4.7372955782391552E-5</v>
      </c>
      <c r="S5370" s="10">
        <v>2.0247804580601682E-5</v>
      </c>
      <c r="T5370" s="10">
        <v>2.7680026629839962E-4</v>
      </c>
      <c r="U5370" s="10">
        <v>7.4549999999999996E-5</v>
      </c>
      <c r="V5370" s="25"/>
      <c r="W5370" s="25"/>
      <c r="X5370" s="25"/>
      <c r="Y5370" s="25"/>
      <c r="Z5370" s="25"/>
      <c r="AA5370" s="25"/>
    </row>
    <row r="5371" spans="1:27" x14ac:dyDescent="0.35">
      <c r="A5371" s="5">
        <v>5367</v>
      </c>
      <c r="B5371" s="5">
        <v>224</v>
      </c>
      <c r="C5371" s="5">
        <v>8</v>
      </c>
      <c r="D5371" s="25">
        <v>1.1416E-4</v>
      </c>
      <c r="E5371" s="25">
        <v>1.1561E-4</v>
      </c>
      <c r="F5371" s="25">
        <v>1.1615E-4</v>
      </c>
      <c r="G5371" s="25">
        <v>1.5906000000000001E-4</v>
      </c>
      <c r="H5371" s="25">
        <v>3.7759999999999998E-5</v>
      </c>
      <c r="I5371" s="9">
        <v>1.1511E-4</v>
      </c>
      <c r="J5371" s="9">
        <v>1.211E-4</v>
      </c>
      <c r="K5371" s="9">
        <v>0</v>
      </c>
      <c r="L5371" s="9">
        <v>1.1726E-4</v>
      </c>
      <c r="M5371" s="9">
        <v>1.4661000000000001E-4</v>
      </c>
      <c r="N5371" s="9">
        <v>1.7035999999999999E-4</v>
      </c>
      <c r="O5371" s="9">
        <v>1.26E-4</v>
      </c>
      <c r="P5371" s="9">
        <v>1.3866E-4</v>
      </c>
      <c r="Q5371" s="9">
        <v>1.5153000000000001E-4</v>
      </c>
      <c r="R5371" s="10">
        <v>4.1671405026720646E-5</v>
      </c>
      <c r="S5371" s="10">
        <v>2.0635859298921943E-5</v>
      </c>
      <c r="T5371" s="10">
        <v>2.8560696902384754E-4</v>
      </c>
      <c r="U5371" s="10">
        <v>7.4549999999999996E-5</v>
      </c>
      <c r="V5371" s="25"/>
      <c r="W5371" s="25"/>
      <c r="X5371" s="25"/>
      <c r="Y5371" s="25"/>
      <c r="Z5371" s="25"/>
      <c r="AA5371" s="25"/>
    </row>
    <row r="5372" spans="1:27" x14ac:dyDescent="0.35">
      <c r="A5372" s="5">
        <v>5368</v>
      </c>
      <c r="B5372" s="5">
        <v>224</v>
      </c>
      <c r="C5372" s="5">
        <v>8</v>
      </c>
      <c r="D5372" s="25">
        <v>1.1415000000000001E-4</v>
      </c>
      <c r="E5372" s="25">
        <v>1.1474E-4</v>
      </c>
      <c r="F5372" s="25">
        <v>1.2045E-4</v>
      </c>
      <c r="G5372" s="25">
        <v>1.6163000000000001E-4</v>
      </c>
      <c r="H5372" s="25">
        <v>3.8930000000000002E-5</v>
      </c>
      <c r="I5372" s="9">
        <v>1.1506E-4</v>
      </c>
      <c r="J5372" s="9">
        <v>1.2111E-4</v>
      </c>
      <c r="K5372" s="9">
        <v>0</v>
      </c>
      <c r="L5372" s="9">
        <v>1.2446000000000001E-4</v>
      </c>
      <c r="M5372" s="9">
        <v>1.4218E-4</v>
      </c>
      <c r="N5372" s="9">
        <v>1.6614000000000001E-4</v>
      </c>
      <c r="O5372" s="9">
        <v>1.3368000000000001E-4</v>
      </c>
      <c r="P5372" s="9">
        <v>1.214E-4</v>
      </c>
      <c r="Q5372" s="9">
        <v>1.0974E-4</v>
      </c>
      <c r="R5372" s="10">
        <v>4.6188346585022345E-5</v>
      </c>
      <c r="S5372" s="10">
        <v>2.240424310802205E-5</v>
      </c>
      <c r="T5372" s="10">
        <v>4.5484328816114032E-4</v>
      </c>
      <c r="U5372" s="10">
        <v>7.4549999999999996E-5</v>
      </c>
      <c r="V5372" s="25"/>
      <c r="W5372" s="25"/>
      <c r="X5372" s="25"/>
      <c r="Y5372" s="25"/>
      <c r="Z5372" s="25"/>
      <c r="AA5372" s="25"/>
    </row>
    <row r="5373" spans="1:27" x14ac:dyDescent="0.35">
      <c r="A5373" s="5">
        <v>5369</v>
      </c>
      <c r="B5373" s="5">
        <v>224</v>
      </c>
      <c r="C5373" s="5">
        <v>8</v>
      </c>
      <c r="D5373" s="25">
        <v>1.1416E-4</v>
      </c>
      <c r="E5373" s="25">
        <v>1.1341999999999999E-4</v>
      </c>
      <c r="F5373" s="25">
        <v>1.2355999999999999E-4</v>
      </c>
      <c r="G5373" s="25">
        <v>1.5904E-4</v>
      </c>
      <c r="H5373" s="25">
        <v>3.9730000000000001E-5</v>
      </c>
      <c r="I5373" s="9">
        <v>1.1616E-4</v>
      </c>
      <c r="J5373" s="9">
        <v>1.2191E-4</v>
      </c>
      <c r="K5373" s="9">
        <v>0</v>
      </c>
      <c r="L5373" s="9">
        <v>1.3142000000000001E-4</v>
      </c>
      <c r="M5373" s="9">
        <v>1.3369E-4</v>
      </c>
      <c r="N5373" s="9">
        <v>1.5233E-4</v>
      </c>
      <c r="O5373" s="9">
        <v>1.3854000000000001E-4</v>
      </c>
      <c r="P5373" s="9">
        <v>1.2201000000000001E-4</v>
      </c>
      <c r="Q5373" s="9">
        <v>1.0618E-4</v>
      </c>
      <c r="R5373" s="10">
        <v>6.0413755249208895E-5</v>
      </c>
      <c r="S5373" s="10">
        <v>2.4763296278755463E-5</v>
      </c>
      <c r="T5373" s="10">
        <v>2.6879108771186506E-4</v>
      </c>
      <c r="U5373" s="10">
        <v>7.4549999999999996E-5</v>
      </c>
      <c r="V5373" s="25"/>
      <c r="W5373" s="25"/>
      <c r="X5373" s="25"/>
      <c r="Y5373" s="25"/>
      <c r="Z5373" s="25"/>
      <c r="AA5373" s="25"/>
    </row>
    <row r="5374" spans="1:27" x14ac:dyDescent="0.35">
      <c r="A5374" s="5">
        <v>5370</v>
      </c>
      <c r="B5374" s="5">
        <v>224</v>
      </c>
      <c r="C5374" s="5">
        <v>8</v>
      </c>
      <c r="D5374" s="25">
        <v>1.1415000000000001E-4</v>
      </c>
      <c r="E5374" s="25">
        <v>1.1728E-4</v>
      </c>
      <c r="F5374" s="25">
        <v>1.2046E-4</v>
      </c>
      <c r="G5374" s="25">
        <v>1.6657999999999999E-4</v>
      </c>
      <c r="H5374" s="25">
        <v>3.8019999999999999E-5</v>
      </c>
      <c r="I5374" s="9">
        <v>1.1608E-4</v>
      </c>
      <c r="J5374" s="9">
        <v>1.1878E-4</v>
      </c>
      <c r="K5374" s="9">
        <v>0</v>
      </c>
      <c r="L5374" s="9">
        <v>1.3668E-4</v>
      </c>
      <c r="M5374" s="9">
        <v>1.2732999999999999E-4</v>
      </c>
      <c r="N5374" s="9">
        <v>1.3878E-4</v>
      </c>
      <c r="O5374" s="9">
        <v>1.4173000000000001E-4</v>
      </c>
      <c r="P5374" s="9">
        <v>1.2993999999999999E-4</v>
      </c>
      <c r="Q5374" s="9">
        <v>1.1879000000000001E-4</v>
      </c>
      <c r="R5374" s="10">
        <v>8.0444294766138287E-5</v>
      </c>
      <c r="S5374" s="10">
        <v>2.9122836146372501E-5</v>
      </c>
      <c r="T5374" s="10">
        <v>9.8909961823961457E-5</v>
      </c>
      <c r="U5374" s="10">
        <v>7.4549999999999996E-5</v>
      </c>
      <c r="V5374" s="25"/>
      <c r="W5374" s="25"/>
      <c r="X5374" s="25"/>
      <c r="Y5374" s="25"/>
      <c r="Z5374" s="25"/>
      <c r="AA5374" s="25"/>
    </row>
    <row r="5375" spans="1:27" x14ac:dyDescent="0.35">
      <c r="A5375" s="5">
        <v>5371</v>
      </c>
      <c r="B5375" s="5">
        <v>224</v>
      </c>
      <c r="C5375" s="5">
        <v>8</v>
      </c>
      <c r="D5375" s="25">
        <v>1.1416E-4</v>
      </c>
      <c r="E5375" s="25">
        <v>1.1599000000000001E-4</v>
      </c>
      <c r="F5375" s="25">
        <v>1.2113E-4</v>
      </c>
      <c r="G5375" s="25">
        <v>1.1540999999999999E-4</v>
      </c>
      <c r="H5375" s="25">
        <v>2.5009999999999999E-5</v>
      </c>
      <c r="I5375" s="9">
        <v>1.1399E-4</v>
      </c>
      <c r="J5375" s="9">
        <v>1.1588E-4</v>
      </c>
      <c r="K5375" s="9">
        <v>2.9669999999999999E-5</v>
      </c>
      <c r="L5375" s="9">
        <v>1.4053000000000001E-4</v>
      </c>
      <c r="M5375" s="9">
        <v>1.2680999999999999E-4</v>
      </c>
      <c r="N5375" s="9">
        <v>1.2998999999999999E-4</v>
      </c>
      <c r="O5375" s="9">
        <v>1.4071999999999999E-4</v>
      </c>
      <c r="P5375" s="9">
        <v>1.2339999999999999E-4</v>
      </c>
      <c r="Q5375" s="9">
        <v>1.0681E-4</v>
      </c>
      <c r="R5375" s="10">
        <v>9.8604164725068282E-5</v>
      </c>
      <c r="S5375" s="10">
        <v>3.3464630812201577E-5</v>
      </c>
      <c r="T5375" s="10">
        <v>1.7163737585338314E-5</v>
      </c>
      <c r="U5375" s="10">
        <v>7.4549999999999996E-5</v>
      </c>
      <c r="V5375" s="25"/>
      <c r="W5375" s="25"/>
      <c r="X5375" s="25"/>
      <c r="Y5375" s="25"/>
      <c r="Z5375" s="25"/>
      <c r="AA5375" s="25"/>
    </row>
    <row r="5376" spans="1:27" x14ac:dyDescent="0.35">
      <c r="A5376" s="5">
        <v>5372</v>
      </c>
      <c r="B5376" s="5">
        <v>224</v>
      </c>
      <c r="C5376" s="5">
        <v>8</v>
      </c>
      <c r="D5376" s="25">
        <v>1.1415000000000001E-4</v>
      </c>
      <c r="E5376" s="25">
        <v>1.1139E-4</v>
      </c>
      <c r="F5376" s="25">
        <v>1.259E-4</v>
      </c>
      <c r="G5376" s="25">
        <v>1.0747E-4</v>
      </c>
      <c r="H5376" s="25">
        <v>2.641E-5</v>
      </c>
      <c r="I5376" s="9">
        <v>1.1102E-4</v>
      </c>
      <c r="J5376" s="9">
        <v>1.1347E-4</v>
      </c>
      <c r="K5376" s="9">
        <v>6.5699999999999998E-5</v>
      </c>
      <c r="L5376" s="9">
        <v>1.4061999999999999E-4</v>
      </c>
      <c r="M5376" s="9">
        <v>1.2573E-4</v>
      </c>
      <c r="N5376" s="9">
        <v>1.2082E-4</v>
      </c>
      <c r="O5376" s="9">
        <v>1.4443E-4</v>
      </c>
      <c r="P5376" s="9">
        <v>1.2308999999999999E-4</v>
      </c>
      <c r="Q5376" s="9">
        <v>1.0255E-4</v>
      </c>
      <c r="R5376" s="10">
        <v>1.2262384915304975E-4</v>
      </c>
      <c r="S5376" s="10">
        <v>3.8721751353764075E-5</v>
      </c>
      <c r="T5376" s="10">
        <v>0</v>
      </c>
      <c r="U5376" s="10">
        <v>7.4549999999999996E-5</v>
      </c>
      <c r="V5376" s="25"/>
      <c r="W5376" s="25"/>
      <c r="X5376" s="25"/>
      <c r="Y5376" s="25"/>
      <c r="Z5376" s="25"/>
      <c r="AA5376" s="25"/>
    </row>
    <row r="5377" spans="1:27" x14ac:dyDescent="0.35">
      <c r="A5377" s="5">
        <v>5373</v>
      </c>
      <c r="B5377" s="5">
        <v>224</v>
      </c>
      <c r="C5377" s="5">
        <v>8</v>
      </c>
      <c r="D5377" s="25">
        <v>1.1416E-4</v>
      </c>
      <c r="E5377" s="25">
        <v>1.1616999999999999E-4</v>
      </c>
      <c r="F5377" s="25">
        <v>1.2605E-4</v>
      </c>
      <c r="G5377" s="25">
        <v>6.2020000000000006E-5</v>
      </c>
      <c r="H5377" s="25">
        <v>1.312E-5</v>
      </c>
      <c r="I5377" s="9">
        <v>1.102E-4</v>
      </c>
      <c r="J5377" s="9">
        <v>1.122E-4</v>
      </c>
      <c r="K5377" s="9">
        <v>8.0530000000000003E-5</v>
      </c>
      <c r="L5377" s="9">
        <v>1.4362000000000001E-4</v>
      </c>
      <c r="M5377" s="9">
        <v>1.2451000000000001E-4</v>
      </c>
      <c r="N5377" s="9">
        <v>1.1334E-4</v>
      </c>
      <c r="O5377" s="9">
        <v>8.4839999999999994E-5</v>
      </c>
      <c r="P5377" s="9">
        <v>8.6619999999999994E-5</v>
      </c>
      <c r="Q5377" s="9">
        <v>8.8629999999999997E-5</v>
      </c>
      <c r="R5377" s="10">
        <v>1.4293278556550405E-4</v>
      </c>
      <c r="S5377" s="10">
        <v>4.3212337180255016E-5</v>
      </c>
      <c r="T5377" s="10">
        <v>0</v>
      </c>
      <c r="U5377" s="10">
        <v>7.4549999999999996E-5</v>
      </c>
      <c r="V5377" s="25"/>
      <c r="W5377" s="25"/>
      <c r="X5377" s="25"/>
      <c r="Y5377" s="25"/>
      <c r="Z5377" s="25"/>
      <c r="AA5377" s="25"/>
    </row>
    <row r="5378" spans="1:27" x14ac:dyDescent="0.35">
      <c r="A5378" s="5">
        <v>5374</v>
      </c>
      <c r="B5378" s="5">
        <v>224</v>
      </c>
      <c r="C5378" s="5">
        <v>8</v>
      </c>
      <c r="D5378" s="25">
        <v>1.1415000000000001E-4</v>
      </c>
      <c r="E5378" s="25">
        <v>1.1849E-4</v>
      </c>
      <c r="F5378" s="25">
        <v>1.0851E-4</v>
      </c>
      <c r="G5378" s="25">
        <v>5.3310000000000003E-5</v>
      </c>
      <c r="H5378" s="25">
        <v>1.2680000000000001E-5</v>
      </c>
      <c r="I5378" s="9">
        <v>1.0865E-4</v>
      </c>
      <c r="J5378" s="9">
        <v>1.0697E-4</v>
      </c>
      <c r="K5378" s="9">
        <v>8.2659999999999998E-5</v>
      </c>
      <c r="L5378" s="9">
        <v>9.7709999999999998E-5</v>
      </c>
      <c r="M5378" s="9">
        <v>1.1052000000000001E-4</v>
      </c>
      <c r="N5378" s="9">
        <v>1.0582999999999999E-4</v>
      </c>
      <c r="O5378" s="9">
        <v>8.7769999999999995E-5</v>
      </c>
      <c r="P5378" s="9">
        <v>8.8170000000000005E-5</v>
      </c>
      <c r="Q5378" s="9">
        <v>8.8819999999999993E-5</v>
      </c>
      <c r="R5378" s="10">
        <v>1.619320804343466E-4</v>
      </c>
      <c r="S5378" s="10">
        <v>4.768965193337558E-5</v>
      </c>
      <c r="T5378" s="10">
        <v>0</v>
      </c>
      <c r="U5378" s="10">
        <v>7.4549999999999996E-5</v>
      </c>
      <c r="V5378" s="25"/>
      <c r="W5378" s="25"/>
      <c r="X5378" s="25"/>
      <c r="Y5378" s="25"/>
      <c r="Z5378" s="25"/>
      <c r="AA5378" s="25"/>
    </row>
    <row r="5379" spans="1:27" x14ac:dyDescent="0.35">
      <c r="A5379" s="5">
        <v>5375</v>
      </c>
      <c r="B5379" s="5">
        <v>224</v>
      </c>
      <c r="C5379" s="5">
        <v>8</v>
      </c>
      <c r="D5379" s="25">
        <v>1.1416E-4</v>
      </c>
      <c r="E5379" s="25">
        <v>1.1552000000000001E-4</v>
      </c>
      <c r="F5379" s="25">
        <v>1.0683000000000001E-4</v>
      </c>
      <c r="G5379" s="25">
        <v>5.9840000000000003E-5</v>
      </c>
      <c r="H5379" s="25">
        <v>1.311E-5</v>
      </c>
      <c r="I5379" s="9">
        <v>1.0244E-4</v>
      </c>
      <c r="J5379" s="9">
        <v>1.0127E-4</v>
      </c>
      <c r="K5379" s="9">
        <v>8.2650000000000003E-5</v>
      </c>
      <c r="L5379" s="9">
        <v>9.1219999999999997E-5</v>
      </c>
      <c r="M5379" s="9">
        <v>9.87E-5</v>
      </c>
      <c r="N5379" s="9">
        <v>1.0016E-4</v>
      </c>
      <c r="O5379" s="9">
        <v>8.5359999999999996E-5</v>
      </c>
      <c r="P5379" s="9">
        <v>7.6260000000000005E-5</v>
      </c>
      <c r="Q5379" s="9">
        <v>6.7550000000000002E-5</v>
      </c>
      <c r="R5379" s="10">
        <v>1.6714952916265091E-4</v>
      </c>
      <c r="S5379" s="10">
        <v>5.0652384073549056E-5</v>
      </c>
      <c r="T5379" s="10">
        <v>0</v>
      </c>
      <c r="U5379" s="10">
        <v>7.4549999999999996E-5</v>
      </c>
      <c r="V5379" s="25"/>
      <c r="W5379" s="25"/>
      <c r="X5379" s="25"/>
      <c r="Y5379" s="25"/>
      <c r="Z5379" s="25"/>
      <c r="AA5379" s="25"/>
    </row>
    <row r="5380" spans="1:27" x14ac:dyDescent="0.35">
      <c r="A5380" s="5">
        <v>5376</v>
      </c>
      <c r="B5380" s="5">
        <v>224</v>
      </c>
      <c r="C5380" s="5">
        <v>8</v>
      </c>
      <c r="D5380" s="25">
        <v>1.1415000000000001E-4</v>
      </c>
      <c r="E5380" s="25">
        <v>1.1224E-4</v>
      </c>
      <c r="F5380" s="25">
        <v>1.1771E-4</v>
      </c>
      <c r="G5380" s="25">
        <v>5.9700000000000001E-5</v>
      </c>
      <c r="H5380" s="25">
        <v>1.2500000000000001E-5</v>
      </c>
      <c r="I5380" s="9">
        <v>9.5600000000000006E-5</v>
      </c>
      <c r="J5380" s="9">
        <v>9.4270000000000004E-5</v>
      </c>
      <c r="K5380" s="9">
        <v>9.1130000000000003E-5</v>
      </c>
      <c r="L5380" s="9">
        <v>8.687E-5</v>
      </c>
      <c r="M5380" s="9">
        <v>8.7849999999999994E-5</v>
      </c>
      <c r="N5380" s="9">
        <v>9.0989999999999994E-5</v>
      </c>
      <c r="O5380" s="9">
        <v>7.8679999999999999E-5</v>
      </c>
      <c r="P5380" s="9">
        <v>6.8440000000000002E-5</v>
      </c>
      <c r="Q5380" s="9">
        <v>5.8579999999999998E-5</v>
      </c>
      <c r="R5380" s="10">
        <v>1.6721309213343252E-4</v>
      </c>
      <c r="S5380" s="10">
        <v>5.310270069676469E-5</v>
      </c>
      <c r="T5380" s="10">
        <v>0</v>
      </c>
      <c r="U5380" s="10">
        <v>7.4549999999999996E-5</v>
      </c>
      <c r="V5380" s="25"/>
      <c r="W5380" s="25"/>
      <c r="X5380" s="25"/>
      <c r="Y5380" s="25"/>
      <c r="Z5380" s="25"/>
      <c r="AA5380" s="25"/>
    </row>
    <row r="5381" spans="1:27" x14ac:dyDescent="0.35">
      <c r="A5381" s="5">
        <v>5377</v>
      </c>
      <c r="B5381" s="5">
        <v>225</v>
      </c>
      <c r="C5381" s="5">
        <v>8</v>
      </c>
      <c r="D5381" s="25">
        <v>1.1416E-4</v>
      </c>
      <c r="E5381" s="25">
        <v>1.1315999999999999E-4</v>
      </c>
      <c r="F5381" s="25">
        <v>1.1055E-4</v>
      </c>
      <c r="G5381" s="25">
        <v>6.0640000000000002E-5</v>
      </c>
      <c r="H5381" s="25">
        <v>7.1439999999999994E-5</v>
      </c>
      <c r="I5381" s="9">
        <v>9.1249999999999995E-5</v>
      </c>
      <c r="J5381" s="9">
        <v>8.9389999999999996E-5</v>
      </c>
      <c r="K5381" s="9">
        <v>1.1868E-4</v>
      </c>
      <c r="L5381" s="9">
        <v>8.0259999999999994E-5</v>
      </c>
      <c r="M5381" s="9">
        <v>7.8410000000000003E-5</v>
      </c>
      <c r="N5381" s="9">
        <v>8.1470000000000004E-5</v>
      </c>
      <c r="O5381" s="9">
        <v>5.4729999999999999E-5</v>
      </c>
      <c r="P5381" s="9">
        <v>5.414E-5</v>
      </c>
      <c r="Q5381" s="9">
        <v>5.3720000000000001E-5</v>
      </c>
      <c r="R5381" s="10">
        <v>1.6615565599771665E-4</v>
      </c>
      <c r="S5381" s="10">
        <v>5.6148837462199799E-5</v>
      </c>
      <c r="T5381" s="10">
        <v>0</v>
      </c>
      <c r="U5381" s="10">
        <v>7.3590000000000005E-5</v>
      </c>
      <c r="V5381" s="25"/>
      <c r="W5381" s="25"/>
      <c r="X5381" s="25"/>
      <c r="Y5381" s="25"/>
      <c r="Z5381" s="25"/>
      <c r="AA5381" s="25"/>
    </row>
    <row r="5382" spans="1:27" x14ac:dyDescent="0.35">
      <c r="A5382" s="5">
        <v>5378</v>
      </c>
      <c r="B5382" s="5">
        <v>225</v>
      </c>
      <c r="C5382" s="5">
        <v>8</v>
      </c>
      <c r="D5382" s="25">
        <v>1.1415000000000001E-4</v>
      </c>
      <c r="E5382" s="25">
        <v>1.1744E-4</v>
      </c>
      <c r="F5382" s="25">
        <v>1.1614E-4</v>
      </c>
      <c r="G5382" s="25">
        <v>5.5099999999999998E-5</v>
      </c>
      <c r="H5382" s="25">
        <v>7.203E-5</v>
      </c>
      <c r="I5382" s="9">
        <v>8.8109999999999995E-5</v>
      </c>
      <c r="J5382" s="9">
        <v>8.7239999999999998E-5</v>
      </c>
      <c r="K5382" s="9">
        <v>1.2292999999999999E-4</v>
      </c>
      <c r="L5382" s="9">
        <v>6.0510000000000002E-5</v>
      </c>
      <c r="M5382" s="9">
        <v>6.745E-5</v>
      </c>
      <c r="N5382" s="9">
        <v>7.2349999999999997E-5</v>
      </c>
      <c r="O5382" s="9">
        <v>1.916E-5</v>
      </c>
      <c r="P5382" s="9">
        <v>3.7979999999999999E-5</v>
      </c>
      <c r="Q5382" s="9">
        <v>5.6530000000000003E-5</v>
      </c>
      <c r="R5382" s="10">
        <v>1.7042857101345934E-4</v>
      </c>
      <c r="S5382" s="10">
        <v>6.2492764099227966E-5</v>
      </c>
      <c r="T5382" s="10">
        <v>0</v>
      </c>
      <c r="U5382" s="10">
        <v>7.3590000000000005E-5</v>
      </c>
      <c r="V5382" s="25"/>
      <c r="W5382" s="25"/>
      <c r="X5382" s="25"/>
      <c r="Y5382" s="25"/>
      <c r="Z5382" s="25"/>
      <c r="AA5382" s="25"/>
    </row>
    <row r="5383" spans="1:27" x14ac:dyDescent="0.35">
      <c r="A5383" s="5">
        <v>5379</v>
      </c>
      <c r="B5383" s="5">
        <v>225</v>
      </c>
      <c r="C5383" s="5">
        <v>8</v>
      </c>
      <c r="D5383" s="25">
        <v>1.1416E-4</v>
      </c>
      <c r="E5383" s="25">
        <v>1.2061999999999999E-4</v>
      </c>
      <c r="F5383" s="25">
        <v>1.2983E-4</v>
      </c>
      <c r="G5383" s="25">
        <v>6.0420000000000001E-5</v>
      </c>
      <c r="H5383" s="25">
        <v>6.6030000000000003E-5</v>
      </c>
      <c r="I5383" s="9">
        <v>8.7620000000000005E-5</v>
      </c>
      <c r="J5383" s="9">
        <v>8.6730000000000005E-5</v>
      </c>
      <c r="K5383" s="9">
        <v>1.0597E-4</v>
      </c>
      <c r="L5383" s="9">
        <v>2.8799999999999999E-5</v>
      </c>
      <c r="M5383" s="9">
        <v>5.4150000000000002E-5</v>
      </c>
      <c r="N5383" s="9">
        <v>6.5770000000000002E-5</v>
      </c>
      <c r="O5383" s="9">
        <v>1.362E-5</v>
      </c>
      <c r="P5383" s="9">
        <v>3.7839999999999997E-5</v>
      </c>
      <c r="Q5383" s="9">
        <v>6.1669999999999997E-5</v>
      </c>
      <c r="R5383" s="10">
        <v>1.7154025971331696E-4</v>
      </c>
      <c r="S5383" s="10">
        <v>7.241503913663602E-5</v>
      </c>
      <c r="T5383" s="10">
        <v>0</v>
      </c>
      <c r="U5383" s="10">
        <v>7.3590000000000005E-5</v>
      </c>
      <c r="V5383" s="25"/>
      <c r="W5383" s="25"/>
      <c r="X5383" s="25"/>
      <c r="Y5383" s="25"/>
      <c r="Z5383" s="25"/>
      <c r="AA5383" s="25"/>
    </row>
    <row r="5384" spans="1:27" x14ac:dyDescent="0.35">
      <c r="A5384" s="5">
        <v>5380</v>
      </c>
      <c r="B5384" s="5">
        <v>225</v>
      </c>
      <c r="C5384" s="5">
        <v>8</v>
      </c>
      <c r="D5384" s="25">
        <v>1.1415000000000001E-4</v>
      </c>
      <c r="E5384" s="25">
        <v>1.2239999999999999E-4</v>
      </c>
      <c r="F5384" s="25">
        <v>1.1001E-4</v>
      </c>
      <c r="G5384" s="25">
        <v>5.223E-5</v>
      </c>
      <c r="H5384" s="25">
        <v>6.6119999999999997E-5</v>
      </c>
      <c r="I5384" s="9">
        <v>8.8010000000000006E-5</v>
      </c>
      <c r="J5384" s="9">
        <v>8.7089999999999995E-5</v>
      </c>
      <c r="K5384" s="9">
        <v>1.2504000000000001E-4</v>
      </c>
      <c r="L5384" s="9">
        <v>1.7810000000000001E-5</v>
      </c>
      <c r="M5384" s="9">
        <v>4.5089999999999997E-5</v>
      </c>
      <c r="N5384" s="9">
        <v>6.2139999999999998E-5</v>
      </c>
      <c r="O5384" s="9">
        <v>1.3550000000000001E-5</v>
      </c>
      <c r="P5384" s="9">
        <v>4.7039999999999997E-5</v>
      </c>
      <c r="Q5384" s="9">
        <v>8.0010000000000001E-5</v>
      </c>
      <c r="R5384" s="10">
        <v>1.6905802673470641E-4</v>
      </c>
      <c r="S5384" s="10">
        <v>8.0291069443343133E-5</v>
      </c>
      <c r="T5384" s="10">
        <v>0</v>
      </c>
      <c r="U5384" s="10">
        <v>7.3590000000000005E-5</v>
      </c>
      <c r="V5384" s="25"/>
      <c r="W5384" s="25"/>
      <c r="X5384" s="25"/>
      <c r="Y5384" s="25"/>
      <c r="Z5384" s="25"/>
      <c r="AA5384" s="25"/>
    </row>
    <row r="5385" spans="1:27" x14ac:dyDescent="0.35">
      <c r="A5385" s="5">
        <v>5381</v>
      </c>
      <c r="B5385" s="5">
        <v>225</v>
      </c>
      <c r="C5385" s="5">
        <v>8</v>
      </c>
      <c r="D5385" s="25">
        <v>1.1416E-4</v>
      </c>
      <c r="E5385" s="25">
        <v>1.2271E-4</v>
      </c>
      <c r="F5385" s="25">
        <v>1.3133E-4</v>
      </c>
      <c r="G5385" s="25">
        <v>5.7779999999999999E-5</v>
      </c>
      <c r="H5385" s="25">
        <v>6.758E-5</v>
      </c>
      <c r="I5385" s="9">
        <v>9.0810000000000006E-5</v>
      </c>
      <c r="J5385" s="9">
        <v>8.9179999999999997E-5</v>
      </c>
      <c r="K5385" s="9">
        <v>1.0809E-4</v>
      </c>
      <c r="L5385" s="9">
        <v>1.466E-5</v>
      </c>
      <c r="M5385" s="9">
        <v>4.3789999999999999E-5</v>
      </c>
      <c r="N5385" s="9">
        <v>6.4519999999999999E-5</v>
      </c>
      <c r="O5385" s="9">
        <v>1.8899999999999999E-5</v>
      </c>
      <c r="P5385" s="9">
        <v>5.6209999999999999E-5</v>
      </c>
      <c r="Q5385" s="9">
        <v>9.2949999999999996E-5</v>
      </c>
      <c r="R5385" s="10">
        <v>1.7182704125275874E-4</v>
      </c>
      <c r="S5385" s="10">
        <v>8.995123564626382E-5</v>
      </c>
      <c r="T5385" s="10">
        <v>0</v>
      </c>
      <c r="U5385" s="10">
        <v>7.3590000000000005E-5</v>
      </c>
      <c r="V5385" s="25"/>
      <c r="W5385" s="25"/>
      <c r="X5385" s="25"/>
      <c r="Y5385" s="25"/>
      <c r="Z5385" s="25"/>
      <c r="AA5385" s="25"/>
    </row>
    <row r="5386" spans="1:27" x14ac:dyDescent="0.35">
      <c r="A5386" s="5">
        <v>5382</v>
      </c>
      <c r="B5386" s="5">
        <v>225</v>
      </c>
      <c r="C5386" s="5">
        <v>8</v>
      </c>
      <c r="D5386" s="25">
        <v>1.1415000000000001E-4</v>
      </c>
      <c r="E5386" s="25">
        <v>1.1212E-4</v>
      </c>
      <c r="F5386" s="25">
        <v>1.2234999999999999E-4</v>
      </c>
      <c r="G5386" s="25">
        <v>1.1245E-4</v>
      </c>
      <c r="H5386" s="25">
        <v>1.3590999999999999E-4</v>
      </c>
      <c r="I5386" s="9">
        <v>9.7260000000000001E-5</v>
      </c>
      <c r="J5386" s="9">
        <v>9.5199999999999997E-5</v>
      </c>
      <c r="K5386" s="9">
        <v>6.1470000000000006E-5</v>
      </c>
      <c r="L5386" s="9">
        <v>1.7839999999999999E-5</v>
      </c>
      <c r="M5386" s="9">
        <v>4.8300000000000002E-5</v>
      </c>
      <c r="N5386" s="9">
        <v>7.0889999999999994E-5</v>
      </c>
      <c r="O5386" s="9">
        <v>4.6749999999999998E-5</v>
      </c>
      <c r="P5386" s="9">
        <v>7.7559999999999996E-5</v>
      </c>
      <c r="Q5386" s="9">
        <v>1.08E-4</v>
      </c>
      <c r="R5386" s="10">
        <v>1.688529717579677E-4</v>
      </c>
      <c r="S5386" s="10">
        <v>9.317275544678741E-5</v>
      </c>
      <c r="T5386" s="10">
        <v>1.9030283442369665E-5</v>
      </c>
      <c r="U5386" s="10">
        <v>7.3590000000000005E-5</v>
      </c>
      <c r="V5386" s="25"/>
      <c r="W5386" s="25"/>
      <c r="X5386" s="25"/>
      <c r="Y5386" s="25"/>
      <c r="Z5386" s="25"/>
      <c r="AA5386" s="25"/>
    </row>
    <row r="5387" spans="1:27" x14ac:dyDescent="0.35">
      <c r="A5387" s="5">
        <v>5383</v>
      </c>
      <c r="B5387" s="5">
        <v>225</v>
      </c>
      <c r="C5387" s="5">
        <v>8</v>
      </c>
      <c r="D5387" s="25">
        <v>1.1416E-4</v>
      </c>
      <c r="E5387" s="25">
        <v>1.1479E-4</v>
      </c>
      <c r="F5387" s="25">
        <v>1.2709E-4</v>
      </c>
      <c r="G5387" s="25">
        <v>1.1031000000000001E-4</v>
      </c>
      <c r="H5387" s="25">
        <v>1.3798E-4</v>
      </c>
      <c r="I5387" s="9">
        <v>1.0443E-4</v>
      </c>
      <c r="J5387" s="9">
        <v>1.0485E-4</v>
      </c>
      <c r="K5387" s="9">
        <v>0</v>
      </c>
      <c r="L5387" s="9">
        <v>4.0250000000000003E-5</v>
      </c>
      <c r="M5387" s="9">
        <v>6.012E-5</v>
      </c>
      <c r="N5387" s="9">
        <v>8.0790000000000004E-5</v>
      </c>
      <c r="O5387" s="9">
        <v>1.2244999999999999E-4</v>
      </c>
      <c r="P5387" s="9">
        <v>1.1704E-4</v>
      </c>
      <c r="Q5387" s="9">
        <v>1.1212E-4</v>
      </c>
      <c r="R5387" s="10">
        <v>1.6776141332246238E-4</v>
      </c>
      <c r="S5387" s="10">
        <v>9.4733947968765622E-5</v>
      </c>
      <c r="T5387" s="10">
        <v>1.0462837958595752E-4</v>
      </c>
      <c r="U5387" s="10">
        <v>7.3590000000000005E-5</v>
      </c>
      <c r="V5387" s="25"/>
      <c r="W5387" s="25"/>
      <c r="X5387" s="25"/>
      <c r="Y5387" s="25"/>
      <c r="Z5387" s="25"/>
      <c r="AA5387" s="25"/>
    </row>
    <row r="5388" spans="1:27" x14ac:dyDescent="0.35">
      <c r="A5388" s="5">
        <v>5384</v>
      </c>
      <c r="B5388" s="5">
        <v>225</v>
      </c>
      <c r="C5388" s="5">
        <v>8</v>
      </c>
      <c r="D5388" s="25">
        <v>1.1415000000000001E-4</v>
      </c>
      <c r="E5388" s="25">
        <v>1.1627E-4</v>
      </c>
      <c r="F5388" s="25">
        <v>1.2977E-4</v>
      </c>
      <c r="G5388" s="25">
        <v>1.5885000000000001E-4</v>
      </c>
      <c r="H5388" s="25">
        <v>1.9584999999999999E-4</v>
      </c>
      <c r="I5388" s="9">
        <v>1.0954E-4</v>
      </c>
      <c r="J5388" s="9">
        <v>1.1478E-4</v>
      </c>
      <c r="K5388" s="9">
        <v>0</v>
      </c>
      <c r="L5388" s="9">
        <v>1.0374000000000001E-4</v>
      </c>
      <c r="M5388" s="9">
        <v>8.3689999999999993E-5</v>
      </c>
      <c r="N5388" s="9">
        <v>9.0799999999999998E-5</v>
      </c>
      <c r="O5388" s="9">
        <v>2.1924999999999999E-4</v>
      </c>
      <c r="P5388" s="9">
        <v>1.7746E-4</v>
      </c>
      <c r="Q5388" s="9">
        <v>1.3709E-4</v>
      </c>
      <c r="R5388" s="10">
        <v>1.6502917828655714E-4</v>
      </c>
      <c r="S5388" s="10">
        <v>9.5380672150664389E-5</v>
      </c>
      <c r="T5388" s="10">
        <v>2.8161934832928056E-4</v>
      </c>
      <c r="U5388" s="10">
        <v>7.3590000000000005E-5</v>
      </c>
      <c r="V5388" s="25"/>
      <c r="W5388" s="25"/>
      <c r="X5388" s="25"/>
      <c r="Y5388" s="25"/>
      <c r="Z5388" s="25"/>
      <c r="AA5388" s="25"/>
    </row>
    <row r="5389" spans="1:27" x14ac:dyDescent="0.35">
      <c r="A5389" s="5">
        <v>5385</v>
      </c>
      <c r="B5389" s="5">
        <v>225</v>
      </c>
      <c r="C5389" s="5">
        <v>8</v>
      </c>
      <c r="D5389" s="25">
        <v>1.1416E-4</v>
      </c>
      <c r="E5389" s="25">
        <v>1.2252000000000001E-4</v>
      </c>
      <c r="F5389" s="25">
        <v>1.2208999999999999E-4</v>
      </c>
      <c r="G5389" s="25">
        <v>1.6174000000000001E-4</v>
      </c>
      <c r="H5389" s="25">
        <v>1.9205000000000001E-4</v>
      </c>
      <c r="I5389" s="9">
        <v>1.1076E-4</v>
      </c>
      <c r="J5389" s="9">
        <v>1.2104000000000001E-4</v>
      </c>
      <c r="K5389" s="9">
        <v>0</v>
      </c>
      <c r="L5389" s="9">
        <v>1.9210000000000001E-4</v>
      </c>
      <c r="M5389" s="9">
        <v>1.2353E-4</v>
      </c>
      <c r="N5389" s="9">
        <v>1.0463000000000001E-4</v>
      </c>
      <c r="O5389" s="9">
        <v>2.0930999999999999E-4</v>
      </c>
      <c r="P5389" s="9">
        <v>1.9213999999999999E-4</v>
      </c>
      <c r="Q5389" s="9">
        <v>1.7595999999999999E-4</v>
      </c>
      <c r="R5389" s="10">
        <v>1.2668003240135344E-4</v>
      </c>
      <c r="S5389" s="10">
        <v>1.0766633039604923E-4</v>
      </c>
      <c r="T5389" s="10">
        <v>4.416502026716687E-4</v>
      </c>
      <c r="U5389" s="10">
        <v>7.3590000000000005E-5</v>
      </c>
      <c r="V5389" s="25"/>
      <c r="W5389" s="25"/>
      <c r="X5389" s="25"/>
      <c r="Y5389" s="25"/>
      <c r="Z5389" s="25"/>
      <c r="AA5389" s="25"/>
    </row>
    <row r="5390" spans="1:27" x14ac:dyDescent="0.35">
      <c r="A5390" s="5">
        <v>5386</v>
      </c>
      <c r="B5390" s="5">
        <v>225</v>
      </c>
      <c r="C5390" s="5">
        <v>8</v>
      </c>
      <c r="D5390" s="25">
        <v>1.1415000000000001E-4</v>
      </c>
      <c r="E5390" s="25">
        <v>1.2271999999999999E-4</v>
      </c>
      <c r="F5390" s="25">
        <v>1.2234999999999999E-4</v>
      </c>
      <c r="G5390" s="25">
        <v>1.5838000000000001E-4</v>
      </c>
      <c r="H5390" s="25">
        <v>1.908E-4</v>
      </c>
      <c r="I5390" s="9">
        <v>1.1243000000000001E-4</v>
      </c>
      <c r="J5390" s="9">
        <v>1.2322E-4</v>
      </c>
      <c r="K5390" s="9">
        <v>0</v>
      </c>
      <c r="L5390" s="9">
        <v>2.0321E-4</v>
      </c>
      <c r="M5390" s="9">
        <v>1.5833000000000001E-4</v>
      </c>
      <c r="N5390" s="9">
        <v>1.2444999999999999E-4</v>
      </c>
      <c r="O5390" s="9">
        <v>1.6775000000000001E-4</v>
      </c>
      <c r="P5390" s="9">
        <v>1.7536E-4</v>
      </c>
      <c r="Q5390" s="9">
        <v>1.8342E-4</v>
      </c>
      <c r="R5390" s="10">
        <v>1.1451531798594512E-4</v>
      </c>
      <c r="S5390" s="10">
        <v>1.2871278993444214E-4</v>
      </c>
      <c r="T5390" s="10">
        <v>5.8277803806193928E-4</v>
      </c>
      <c r="U5390" s="10">
        <v>7.3590000000000005E-5</v>
      </c>
      <c r="V5390" s="25"/>
      <c r="W5390" s="25"/>
      <c r="X5390" s="25"/>
      <c r="Y5390" s="25"/>
      <c r="Z5390" s="25"/>
      <c r="AA5390" s="25"/>
    </row>
    <row r="5391" spans="1:27" x14ac:dyDescent="0.35">
      <c r="A5391" s="5">
        <v>5387</v>
      </c>
      <c r="B5391" s="5">
        <v>225</v>
      </c>
      <c r="C5391" s="5">
        <v>8</v>
      </c>
      <c r="D5391" s="25">
        <v>1.1416E-4</v>
      </c>
      <c r="E5391" s="25">
        <v>1.2201000000000001E-4</v>
      </c>
      <c r="F5391" s="25">
        <v>1.1257E-4</v>
      </c>
      <c r="G5391" s="25">
        <v>1.6553999999999999E-4</v>
      </c>
      <c r="H5391" s="25">
        <v>1.9312999999999999E-4</v>
      </c>
      <c r="I5391" s="9">
        <v>1.1353000000000001E-4</v>
      </c>
      <c r="J5391" s="9">
        <v>1.2370999999999999E-4</v>
      </c>
      <c r="K5391" s="9">
        <v>0</v>
      </c>
      <c r="L5391" s="9">
        <v>1.7564999999999999E-4</v>
      </c>
      <c r="M5391" s="9">
        <v>1.7249999999999999E-4</v>
      </c>
      <c r="N5391" s="9">
        <v>1.4284000000000001E-4</v>
      </c>
      <c r="O5391" s="9">
        <v>1.6500999999999999E-4</v>
      </c>
      <c r="P5391" s="9">
        <v>1.7115000000000001E-4</v>
      </c>
      <c r="Q5391" s="9">
        <v>1.7777E-4</v>
      </c>
      <c r="R5391" s="10">
        <v>1.0545226715358881E-4</v>
      </c>
      <c r="S5391" s="10">
        <v>1.4343468953128638E-4</v>
      </c>
      <c r="T5391" s="10">
        <v>6.6823190111657484E-4</v>
      </c>
      <c r="U5391" s="10">
        <v>7.3590000000000005E-5</v>
      </c>
      <c r="V5391" s="25"/>
      <c r="W5391" s="25"/>
      <c r="X5391" s="25"/>
      <c r="Y5391" s="25"/>
      <c r="Z5391" s="25"/>
      <c r="AA5391" s="25"/>
    </row>
    <row r="5392" spans="1:27" x14ac:dyDescent="0.35">
      <c r="A5392" s="5">
        <v>5388</v>
      </c>
      <c r="B5392" s="5">
        <v>225</v>
      </c>
      <c r="C5392" s="5">
        <v>8</v>
      </c>
      <c r="D5392" s="25">
        <v>1.1415000000000001E-4</v>
      </c>
      <c r="E5392" s="25">
        <v>1.1467E-4</v>
      </c>
      <c r="F5392" s="25">
        <v>1.2533999999999999E-4</v>
      </c>
      <c r="G5392" s="25">
        <v>1.6013999999999999E-4</v>
      </c>
      <c r="H5392" s="25">
        <v>1.9671000000000001E-4</v>
      </c>
      <c r="I5392" s="9">
        <v>1.0941E-4</v>
      </c>
      <c r="J5392" s="9">
        <v>1.2228E-4</v>
      </c>
      <c r="K5392" s="9">
        <v>0</v>
      </c>
      <c r="L5392" s="9">
        <v>1.6872E-4</v>
      </c>
      <c r="M5392" s="9">
        <v>1.7447E-4</v>
      </c>
      <c r="N5392" s="9">
        <v>1.5652E-4</v>
      </c>
      <c r="O5392" s="9">
        <v>1.6951999999999999E-4</v>
      </c>
      <c r="P5392" s="9">
        <v>1.7165E-4</v>
      </c>
      <c r="Q5392" s="9">
        <v>1.7432E-4</v>
      </c>
      <c r="R5392" s="10">
        <v>8.6593207096254143E-5</v>
      </c>
      <c r="S5392" s="10">
        <v>1.4745031902747209E-4</v>
      </c>
      <c r="T5392" s="10">
        <v>7.1005949691277728E-4</v>
      </c>
      <c r="U5392" s="10">
        <v>7.3590000000000005E-5</v>
      </c>
      <c r="V5392" s="25"/>
      <c r="W5392" s="25"/>
      <c r="X5392" s="25"/>
      <c r="Y5392" s="25"/>
      <c r="Z5392" s="25"/>
      <c r="AA5392" s="25"/>
    </row>
    <row r="5393" spans="1:27" x14ac:dyDescent="0.35">
      <c r="A5393" s="5">
        <v>5389</v>
      </c>
      <c r="B5393" s="5">
        <v>225</v>
      </c>
      <c r="C5393" s="5">
        <v>8</v>
      </c>
      <c r="D5393" s="25">
        <v>1.1416E-4</v>
      </c>
      <c r="E5393" s="25">
        <v>1.1271E-4</v>
      </c>
      <c r="F5393" s="25">
        <v>1.3238E-4</v>
      </c>
      <c r="G5393" s="25">
        <v>1.5856E-4</v>
      </c>
      <c r="H5393" s="25">
        <v>1.9212E-4</v>
      </c>
      <c r="I5393" s="9">
        <v>1.0611999999999999E-4</v>
      </c>
      <c r="J5393" s="9">
        <v>1.2119E-4</v>
      </c>
      <c r="K5393" s="9">
        <v>0</v>
      </c>
      <c r="L5393" s="9">
        <v>1.6955E-4</v>
      </c>
      <c r="M5393" s="9">
        <v>1.7346000000000001E-4</v>
      </c>
      <c r="N5393" s="9">
        <v>1.6603000000000001E-4</v>
      </c>
      <c r="O5393" s="9">
        <v>1.5997E-4</v>
      </c>
      <c r="P5393" s="9">
        <v>1.6285E-4</v>
      </c>
      <c r="Q5393" s="9">
        <v>1.6621999999999999E-4</v>
      </c>
      <c r="R5393" s="10">
        <v>8.3283493279329081E-5</v>
      </c>
      <c r="S5393" s="10">
        <v>1.5333825472033008E-4</v>
      </c>
      <c r="T5393" s="10">
        <v>7.2142845804196826E-4</v>
      </c>
      <c r="U5393" s="10">
        <v>7.3590000000000005E-5</v>
      </c>
      <c r="V5393" s="25"/>
      <c r="W5393" s="25"/>
      <c r="X5393" s="25"/>
      <c r="Y5393" s="25"/>
      <c r="Z5393" s="25"/>
      <c r="AA5393" s="25"/>
    </row>
    <row r="5394" spans="1:27" x14ac:dyDescent="0.35">
      <c r="A5394" s="5">
        <v>5390</v>
      </c>
      <c r="B5394" s="5">
        <v>225</v>
      </c>
      <c r="C5394" s="5">
        <v>8</v>
      </c>
      <c r="D5394" s="25">
        <v>1.1415000000000001E-4</v>
      </c>
      <c r="E5394" s="25">
        <v>1.1112000000000001E-4</v>
      </c>
      <c r="F5394" s="25">
        <v>1.161E-4</v>
      </c>
      <c r="G5394" s="25">
        <v>1.6574E-4</v>
      </c>
      <c r="H5394" s="25">
        <v>1.9521E-4</v>
      </c>
      <c r="I5394" s="9">
        <v>1.0333E-4</v>
      </c>
      <c r="J5394" s="9">
        <v>1.1956E-4</v>
      </c>
      <c r="K5394" s="9">
        <v>0</v>
      </c>
      <c r="L5394" s="9">
        <v>1.6181E-4</v>
      </c>
      <c r="M5394" s="9">
        <v>1.6935999999999999E-4</v>
      </c>
      <c r="N5394" s="9">
        <v>1.7008E-4</v>
      </c>
      <c r="O5394" s="9">
        <v>1.7678E-4</v>
      </c>
      <c r="P5394" s="9">
        <v>1.6804E-4</v>
      </c>
      <c r="Q5394" s="9">
        <v>1.6004999999999999E-4</v>
      </c>
      <c r="R5394" s="10">
        <v>9.2202592993928683E-5</v>
      </c>
      <c r="S5394" s="10">
        <v>1.6393235498463608E-4</v>
      </c>
      <c r="T5394" s="10">
        <v>6.4302504774730132E-4</v>
      </c>
      <c r="U5394" s="10">
        <v>7.3590000000000005E-5</v>
      </c>
      <c r="V5394" s="25"/>
      <c r="W5394" s="25"/>
      <c r="X5394" s="25"/>
      <c r="Y5394" s="25"/>
      <c r="Z5394" s="25"/>
      <c r="AA5394" s="25"/>
    </row>
    <row r="5395" spans="1:27" x14ac:dyDescent="0.35">
      <c r="A5395" s="5">
        <v>5391</v>
      </c>
      <c r="B5395" s="5">
        <v>225</v>
      </c>
      <c r="C5395" s="5">
        <v>8</v>
      </c>
      <c r="D5395" s="25">
        <v>1.1416E-4</v>
      </c>
      <c r="E5395" s="25">
        <v>1.217E-4</v>
      </c>
      <c r="F5395" s="25">
        <v>1.2919E-4</v>
      </c>
      <c r="G5395" s="25">
        <v>1.6550000000000001E-4</v>
      </c>
      <c r="H5395" s="25">
        <v>1.8798E-4</v>
      </c>
      <c r="I5395" s="9">
        <v>1.0153999999999999E-4</v>
      </c>
      <c r="J5395" s="9">
        <v>1.1773E-4</v>
      </c>
      <c r="K5395" s="9">
        <v>0</v>
      </c>
      <c r="L5395" s="9">
        <v>1.7365999999999999E-4</v>
      </c>
      <c r="M5395" s="9">
        <v>1.6772E-4</v>
      </c>
      <c r="N5395" s="9">
        <v>1.6948000000000001E-4</v>
      </c>
      <c r="O5395" s="9">
        <v>1.8237E-4</v>
      </c>
      <c r="P5395" s="9">
        <v>1.6684E-4</v>
      </c>
      <c r="Q5395" s="9">
        <v>1.5218E-4</v>
      </c>
      <c r="R5395" s="10">
        <v>9.8861685295709015E-5</v>
      </c>
      <c r="S5395" s="10">
        <v>1.7331050865215661E-4</v>
      </c>
      <c r="T5395" s="10">
        <v>5.7185874479830589E-4</v>
      </c>
      <c r="U5395" s="10">
        <v>7.3590000000000005E-5</v>
      </c>
      <c r="V5395" s="25"/>
      <c r="W5395" s="25"/>
      <c r="X5395" s="25"/>
      <c r="Y5395" s="25"/>
      <c r="Z5395" s="25"/>
      <c r="AA5395" s="25"/>
    </row>
    <row r="5396" spans="1:27" x14ac:dyDescent="0.35">
      <c r="A5396" s="5">
        <v>5392</v>
      </c>
      <c r="B5396" s="5">
        <v>225</v>
      </c>
      <c r="C5396" s="5">
        <v>8</v>
      </c>
      <c r="D5396" s="25">
        <v>1.1415000000000001E-4</v>
      </c>
      <c r="E5396" s="25">
        <v>1.2E-4</v>
      </c>
      <c r="F5396" s="25">
        <v>1.2907000000000001E-4</v>
      </c>
      <c r="G5396" s="25">
        <v>1.629E-4</v>
      </c>
      <c r="H5396" s="25">
        <v>1.9608000000000001E-4</v>
      </c>
      <c r="I5396" s="9">
        <v>1.0049E-4</v>
      </c>
      <c r="J5396" s="9">
        <v>1.1683E-4</v>
      </c>
      <c r="K5396" s="9">
        <v>0</v>
      </c>
      <c r="L5396" s="9">
        <v>1.8014999999999999E-4</v>
      </c>
      <c r="M5396" s="9">
        <v>1.6708000000000001E-4</v>
      </c>
      <c r="N5396" s="9">
        <v>1.6555000000000001E-4</v>
      </c>
      <c r="O5396" s="9">
        <v>1.9710999999999999E-4</v>
      </c>
      <c r="P5396" s="9">
        <v>1.5291E-4</v>
      </c>
      <c r="Q5396" s="9">
        <v>1.1009E-4</v>
      </c>
      <c r="R5396" s="10">
        <v>1.0257504682555903E-4</v>
      </c>
      <c r="S5396" s="10">
        <v>1.7598583662480009E-4</v>
      </c>
      <c r="T5396" s="10">
        <v>4.5313794399176176E-4</v>
      </c>
      <c r="U5396" s="10">
        <v>7.3590000000000005E-5</v>
      </c>
      <c r="V5396" s="25"/>
      <c r="W5396" s="25"/>
      <c r="X5396" s="25"/>
      <c r="Y5396" s="25"/>
      <c r="Z5396" s="25"/>
      <c r="AA5396" s="25"/>
    </row>
    <row r="5397" spans="1:27" x14ac:dyDescent="0.35">
      <c r="A5397" s="5">
        <v>5393</v>
      </c>
      <c r="B5397" s="5">
        <v>225</v>
      </c>
      <c r="C5397" s="5">
        <v>8</v>
      </c>
      <c r="D5397" s="25">
        <v>1.1416E-4</v>
      </c>
      <c r="E5397" s="25">
        <v>1.1124E-4</v>
      </c>
      <c r="F5397" s="25">
        <v>1.1464E-4</v>
      </c>
      <c r="G5397" s="25">
        <v>1.6521E-4</v>
      </c>
      <c r="H5397" s="25">
        <v>1.9142000000000001E-4</v>
      </c>
      <c r="I5397" s="9">
        <v>1.026E-4</v>
      </c>
      <c r="J5397" s="9">
        <v>1.1746E-4</v>
      </c>
      <c r="K5397" s="9">
        <v>0</v>
      </c>
      <c r="L5397" s="9">
        <v>1.9314000000000001E-4</v>
      </c>
      <c r="M5397" s="9">
        <v>1.6191999999999999E-4</v>
      </c>
      <c r="N5397" s="9">
        <v>1.5202999999999999E-4</v>
      </c>
      <c r="O5397" s="9">
        <v>2.1149999999999999E-4</v>
      </c>
      <c r="P5397" s="9">
        <v>1.5815E-4</v>
      </c>
      <c r="Q5397" s="9">
        <v>1.0637999999999999E-4</v>
      </c>
      <c r="R5397" s="10">
        <v>1.1920779332139774E-4</v>
      </c>
      <c r="S5397" s="10">
        <v>1.7574972511955918E-4</v>
      </c>
      <c r="T5397" s="10">
        <v>2.7456041126996202E-4</v>
      </c>
      <c r="U5397" s="10">
        <v>7.3590000000000005E-5</v>
      </c>
      <c r="V5397" s="25"/>
      <c r="W5397" s="25"/>
      <c r="X5397" s="25"/>
      <c r="Y5397" s="25"/>
      <c r="Z5397" s="25"/>
      <c r="AA5397" s="25"/>
    </row>
    <row r="5398" spans="1:27" x14ac:dyDescent="0.35">
      <c r="A5398" s="5">
        <v>5394</v>
      </c>
      <c r="B5398" s="5">
        <v>225</v>
      </c>
      <c r="C5398" s="5">
        <v>8</v>
      </c>
      <c r="D5398" s="25">
        <v>1.1415000000000001E-4</v>
      </c>
      <c r="E5398" s="25">
        <v>1.1927E-4</v>
      </c>
      <c r="F5398" s="25">
        <v>1.2511999999999999E-4</v>
      </c>
      <c r="G5398" s="25">
        <v>1.6453E-4</v>
      </c>
      <c r="H5398" s="25">
        <v>1.9281999999999999E-4</v>
      </c>
      <c r="I5398" s="9">
        <v>1.0451E-4</v>
      </c>
      <c r="J5398" s="9">
        <v>1.148E-4</v>
      </c>
      <c r="K5398" s="9">
        <v>0</v>
      </c>
      <c r="L5398" s="9">
        <v>2.0719E-4</v>
      </c>
      <c r="M5398" s="9">
        <v>1.5914E-4</v>
      </c>
      <c r="N5398" s="9">
        <v>1.3862E-4</v>
      </c>
      <c r="O5398" s="9">
        <v>2.0654000000000001E-4</v>
      </c>
      <c r="P5398" s="9">
        <v>1.6197999999999999E-4</v>
      </c>
      <c r="Q5398" s="9">
        <v>1.1883999999999999E-4</v>
      </c>
      <c r="R5398" s="10">
        <v>1.3138549608118815E-4</v>
      </c>
      <c r="S5398" s="10">
        <v>1.7452031945390973E-4</v>
      </c>
      <c r="T5398" s="10">
        <v>1.0778453894421055E-4</v>
      </c>
      <c r="U5398" s="10">
        <v>7.3590000000000005E-5</v>
      </c>
      <c r="V5398" s="25"/>
      <c r="W5398" s="25"/>
      <c r="X5398" s="25"/>
      <c r="Y5398" s="25"/>
      <c r="Z5398" s="25"/>
      <c r="AA5398" s="25"/>
    </row>
    <row r="5399" spans="1:27" x14ac:dyDescent="0.35">
      <c r="A5399" s="5">
        <v>5395</v>
      </c>
      <c r="B5399" s="5">
        <v>225</v>
      </c>
      <c r="C5399" s="5">
        <v>8</v>
      </c>
      <c r="D5399" s="25">
        <v>1.1416E-4</v>
      </c>
      <c r="E5399" s="25">
        <v>1.2074999999999999E-4</v>
      </c>
      <c r="F5399" s="25">
        <v>1.3098E-4</v>
      </c>
      <c r="G5399" s="25">
        <v>1.1064E-4</v>
      </c>
      <c r="H5399" s="25">
        <v>1.2978999999999999E-4</v>
      </c>
      <c r="I5399" s="9">
        <v>1.0412E-4</v>
      </c>
      <c r="J5399" s="9">
        <v>1.1258E-4</v>
      </c>
      <c r="K5399" s="9">
        <v>0</v>
      </c>
      <c r="L5399" s="9">
        <v>2.0633000000000001E-4</v>
      </c>
      <c r="M5399" s="9">
        <v>1.5957999999999999E-4</v>
      </c>
      <c r="N5399" s="9">
        <v>1.2993999999999999E-4</v>
      </c>
      <c r="O5399" s="9">
        <v>1.6440000000000001E-4</v>
      </c>
      <c r="P5399" s="9">
        <v>1.3545000000000001E-4</v>
      </c>
      <c r="Q5399" s="9">
        <v>1.0751000000000001E-4</v>
      </c>
      <c r="R5399" s="10">
        <v>1.3087315488482628E-4</v>
      </c>
      <c r="S5399" s="10">
        <v>1.7644096907400427E-4</v>
      </c>
      <c r="T5399" s="10">
        <v>2.3620289390796768E-5</v>
      </c>
      <c r="U5399" s="10">
        <v>7.3590000000000005E-5</v>
      </c>
      <c r="V5399" s="25"/>
      <c r="W5399" s="25"/>
      <c r="X5399" s="25"/>
      <c r="Y5399" s="25"/>
      <c r="Z5399" s="25"/>
      <c r="AA5399" s="25"/>
    </row>
    <row r="5400" spans="1:27" x14ac:dyDescent="0.35">
      <c r="A5400" s="5">
        <v>5396</v>
      </c>
      <c r="B5400" s="5">
        <v>225</v>
      </c>
      <c r="C5400" s="5">
        <v>8</v>
      </c>
      <c r="D5400" s="25">
        <v>1.1415000000000001E-4</v>
      </c>
      <c r="E5400" s="25">
        <v>1.1120000000000001E-4</v>
      </c>
      <c r="F5400" s="25">
        <v>1.2097E-4</v>
      </c>
      <c r="G5400" s="25">
        <v>1.0703E-4</v>
      </c>
      <c r="H5400" s="25">
        <v>1.3254E-4</v>
      </c>
      <c r="I5400" s="9">
        <v>1.0326E-4</v>
      </c>
      <c r="J5400" s="9">
        <v>1.0938E-4</v>
      </c>
      <c r="K5400" s="9">
        <v>0</v>
      </c>
      <c r="L5400" s="9">
        <v>1.7373000000000001E-4</v>
      </c>
      <c r="M5400" s="9">
        <v>1.5118E-4</v>
      </c>
      <c r="N5400" s="9">
        <v>1.2103E-4</v>
      </c>
      <c r="O5400" s="9">
        <v>1.2917000000000001E-4</v>
      </c>
      <c r="P5400" s="9">
        <v>1.1548999999999999E-4</v>
      </c>
      <c r="Q5400" s="9">
        <v>1.0245E-4</v>
      </c>
      <c r="R5400" s="10">
        <v>1.3446837125892568E-4</v>
      </c>
      <c r="S5400" s="10">
        <v>1.7863564276846721E-4</v>
      </c>
      <c r="T5400" s="10">
        <v>0</v>
      </c>
      <c r="U5400" s="10">
        <v>7.3590000000000005E-5</v>
      </c>
      <c r="V5400" s="25"/>
      <c r="W5400" s="25"/>
      <c r="X5400" s="25"/>
      <c r="Y5400" s="25"/>
      <c r="Z5400" s="25"/>
      <c r="AA5400" s="25"/>
    </row>
    <row r="5401" spans="1:27" x14ac:dyDescent="0.35">
      <c r="A5401" s="5">
        <v>5397</v>
      </c>
      <c r="B5401" s="5">
        <v>225</v>
      </c>
      <c r="C5401" s="5">
        <v>8</v>
      </c>
      <c r="D5401" s="25">
        <v>1.1416E-4</v>
      </c>
      <c r="E5401" s="25">
        <v>1.1246E-4</v>
      </c>
      <c r="F5401" s="25">
        <v>1.1957E-4</v>
      </c>
      <c r="G5401" s="25">
        <v>5.7800000000000002E-5</v>
      </c>
      <c r="H5401" s="25">
        <v>6.7230000000000005E-5</v>
      </c>
      <c r="I5401" s="9">
        <v>1.0429000000000001E-4</v>
      </c>
      <c r="J5401" s="9">
        <v>1.0866000000000001E-4</v>
      </c>
      <c r="K5401" s="9">
        <v>0</v>
      </c>
      <c r="L5401" s="9">
        <v>1.3997E-4</v>
      </c>
      <c r="M5401" s="9">
        <v>1.3595999999999999E-4</v>
      </c>
      <c r="N5401" s="9">
        <v>1.1352E-4</v>
      </c>
      <c r="O5401" s="9">
        <v>8.4400000000000005E-5</v>
      </c>
      <c r="P5401" s="9">
        <v>8.6160000000000002E-5</v>
      </c>
      <c r="Q5401" s="9">
        <v>8.8150000000000001E-5</v>
      </c>
      <c r="R5401" s="10">
        <v>1.5898345728662428E-4</v>
      </c>
      <c r="S5401" s="10">
        <v>1.7980871367841977E-4</v>
      </c>
      <c r="T5401" s="10">
        <v>0</v>
      </c>
      <c r="U5401" s="10">
        <v>7.3590000000000005E-5</v>
      </c>
      <c r="V5401" s="25"/>
      <c r="W5401" s="25"/>
      <c r="X5401" s="25"/>
      <c r="Y5401" s="25"/>
      <c r="Z5401" s="25"/>
      <c r="AA5401" s="25"/>
    </row>
    <row r="5402" spans="1:27" x14ac:dyDescent="0.35">
      <c r="A5402" s="5">
        <v>5398</v>
      </c>
      <c r="B5402" s="5">
        <v>225</v>
      </c>
      <c r="C5402" s="5">
        <v>8</v>
      </c>
      <c r="D5402" s="25">
        <v>1.1415000000000001E-4</v>
      </c>
      <c r="E5402" s="25">
        <v>1.1247999999999999E-4</v>
      </c>
      <c r="F5402" s="25">
        <v>1.2338E-4</v>
      </c>
      <c r="G5402" s="25">
        <v>5.5139999999999997E-5</v>
      </c>
      <c r="H5402" s="25">
        <v>7.0669999999999999E-5</v>
      </c>
      <c r="I5402" s="9">
        <v>1.0563E-4</v>
      </c>
      <c r="J5402" s="9">
        <v>1.0571E-4</v>
      </c>
      <c r="K5402" s="9">
        <v>0</v>
      </c>
      <c r="L5402" s="9">
        <v>9.7559999999999994E-5</v>
      </c>
      <c r="M5402" s="9">
        <v>1.141E-4</v>
      </c>
      <c r="N5402" s="9">
        <v>1.0589E-4</v>
      </c>
      <c r="O5402" s="9">
        <v>8.6619999999999994E-5</v>
      </c>
      <c r="P5402" s="9">
        <v>8.7000000000000001E-5</v>
      </c>
      <c r="Q5402" s="9">
        <v>8.7650000000000003E-5</v>
      </c>
      <c r="R5402" s="10">
        <v>1.852515256407443E-4</v>
      </c>
      <c r="S5402" s="10">
        <v>1.8312781270129761E-4</v>
      </c>
      <c r="T5402" s="10">
        <v>0</v>
      </c>
      <c r="U5402" s="10">
        <v>7.3590000000000005E-5</v>
      </c>
      <c r="V5402" s="25"/>
      <c r="W5402" s="25"/>
      <c r="X5402" s="25"/>
      <c r="Y5402" s="25"/>
      <c r="Z5402" s="25"/>
      <c r="AA5402" s="25"/>
    </row>
    <row r="5403" spans="1:27" x14ac:dyDescent="0.35">
      <c r="A5403" s="5">
        <v>5399</v>
      </c>
      <c r="B5403" s="5">
        <v>225</v>
      </c>
      <c r="C5403" s="5">
        <v>8</v>
      </c>
      <c r="D5403" s="25">
        <v>1.1416E-4</v>
      </c>
      <c r="E5403" s="25">
        <v>1.1504E-4</v>
      </c>
      <c r="F5403" s="25">
        <v>1.1759E-4</v>
      </c>
      <c r="G5403" s="25">
        <v>5.6239999999999997E-5</v>
      </c>
      <c r="H5403" s="25">
        <v>6.9060000000000006E-5</v>
      </c>
      <c r="I5403" s="9">
        <v>1.0079E-4</v>
      </c>
      <c r="J5403" s="9">
        <v>1.0119E-4</v>
      </c>
      <c r="K5403" s="9">
        <v>0</v>
      </c>
      <c r="L5403" s="9">
        <v>8.9969999999999994E-5</v>
      </c>
      <c r="M5403" s="9">
        <v>9.8969999999999996E-5</v>
      </c>
      <c r="N5403" s="9">
        <v>9.993E-5</v>
      </c>
      <c r="O5403" s="9">
        <v>7.8259999999999999E-5</v>
      </c>
      <c r="P5403" s="9">
        <v>7.2650000000000004E-5</v>
      </c>
      <c r="Q5403" s="9">
        <v>6.7360000000000006E-5</v>
      </c>
      <c r="R5403" s="10">
        <v>1.9274943419858269E-4</v>
      </c>
      <c r="S5403" s="10">
        <v>1.8324472111440671E-4</v>
      </c>
      <c r="T5403" s="10">
        <v>0</v>
      </c>
      <c r="U5403" s="10">
        <v>7.3590000000000005E-5</v>
      </c>
      <c r="V5403" s="25"/>
      <c r="W5403" s="25"/>
      <c r="X5403" s="25"/>
      <c r="Y5403" s="25"/>
      <c r="Z5403" s="25"/>
      <c r="AA5403" s="25"/>
    </row>
    <row r="5404" spans="1:27" x14ac:dyDescent="0.35">
      <c r="A5404" s="5">
        <v>5400</v>
      </c>
      <c r="B5404" s="5">
        <v>225</v>
      </c>
      <c r="C5404" s="5">
        <v>8</v>
      </c>
      <c r="D5404" s="25">
        <v>1.1415000000000001E-4</v>
      </c>
      <c r="E5404" s="25">
        <v>1.1767E-4</v>
      </c>
      <c r="F5404" s="25">
        <v>1.3174000000000001E-4</v>
      </c>
      <c r="G5404" s="25">
        <v>5.7429999999999997E-5</v>
      </c>
      <c r="H5404" s="25">
        <v>7.5599999999999994E-5</v>
      </c>
      <c r="I5404" s="9">
        <v>9.4069999999999999E-5</v>
      </c>
      <c r="J5404" s="9">
        <v>9.4619999999999999E-5</v>
      </c>
      <c r="K5404" s="9">
        <v>2.12E-5</v>
      </c>
      <c r="L5404" s="9">
        <v>8.0840000000000005E-5</v>
      </c>
      <c r="M5404" s="9">
        <v>8.6160000000000002E-5</v>
      </c>
      <c r="N5404" s="9">
        <v>9.0690000000000001E-5</v>
      </c>
      <c r="O5404" s="9">
        <v>6.2860000000000005E-5</v>
      </c>
      <c r="P5404" s="9">
        <v>6.0829999999999999E-5</v>
      </c>
      <c r="Q5404" s="9">
        <v>5.9009999999999999E-5</v>
      </c>
      <c r="R5404" s="10">
        <v>8.8025850970143037E-5</v>
      </c>
      <c r="S5404" s="10">
        <v>1.7635723927151125E-4</v>
      </c>
      <c r="T5404" s="10">
        <v>0</v>
      </c>
      <c r="U5404" s="10">
        <v>7.3590000000000005E-5</v>
      </c>
      <c r="V5404" s="25"/>
      <c r="W5404" s="25"/>
      <c r="X5404" s="25"/>
      <c r="Y5404" s="25"/>
      <c r="Z5404" s="25"/>
      <c r="AA5404" s="25"/>
    </row>
    <row r="5405" spans="1:27" x14ac:dyDescent="0.35">
      <c r="A5405" s="5">
        <v>5401</v>
      </c>
      <c r="B5405" s="5">
        <v>226</v>
      </c>
      <c r="C5405" s="5">
        <v>8</v>
      </c>
      <c r="D5405" s="25">
        <v>1.1416E-4</v>
      </c>
      <c r="E5405" s="25">
        <v>1.0585E-4</v>
      </c>
      <c r="F5405" s="25">
        <v>9.9510000000000001E-5</v>
      </c>
      <c r="G5405" s="25">
        <v>6.1210000000000005E-5</v>
      </c>
      <c r="H5405" s="25">
        <v>7.6409999999999995E-5</v>
      </c>
      <c r="I5405" s="9">
        <v>8.9320000000000005E-5</v>
      </c>
      <c r="J5405" s="9">
        <v>8.9229999999999998E-5</v>
      </c>
      <c r="K5405" s="9">
        <v>2.756E-5</v>
      </c>
      <c r="L5405" s="9">
        <v>6.6790000000000003E-5</v>
      </c>
      <c r="M5405" s="9">
        <v>7.4120000000000002E-5</v>
      </c>
      <c r="N5405" s="9">
        <v>8.1260000000000005E-5</v>
      </c>
      <c r="O5405" s="9">
        <v>5.4889999999999998E-5</v>
      </c>
      <c r="P5405" s="9">
        <v>5.431E-5</v>
      </c>
      <c r="Q5405" s="9">
        <v>5.3879999999999999E-5</v>
      </c>
      <c r="R5405" s="10">
        <v>7.2247205559801197E-5</v>
      </c>
      <c r="S5405" s="10">
        <v>1.6913278954942823E-4</v>
      </c>
      <c r="T5405" s="10">
        <v>0</v>
      </c>
      <c r="U5405" s="10">
        <v>7.2979999999999996E-5</v>
      </c>
      <c r="V5405" s="25"/>
      <c r="W5405" s="25"/>
      <c r="X5405" s="25"/>
      <c r="Y5405" s="25"/>
      <c r="Z5405" s="25"/>
      <c r="AA5405" s="25"/>
    </row>
    <row r="5406" spans="1:27" x14ac:dyDescent="0.35">
      <c r="A5406" s="5">
        <v>5402</v>
      </c>
      <c r="B5406" s="5">
        <v>226</v>
      </c>
      <c r="C5406" s="5">
        <v>8</v>
      </c>
      <c r="D5406" s="25">
        <v>1.1415000000000001E-4</v>
      </c>
      <c r="E5406" s="25">
        <v>1.0906E-4</v>
      </c>
      <c r="F5406" s="25">
        <v>9.5820000000000001E-5</v>
      </c>
      <c r="G5406" s="25">
        <v>5.5909999999999998E-5</v>
      </c>
      <c r="H5406" s="25">
        <v>7.5799999999999999E-5</v>
      </c>
      <c r="I5406" s="9">
        <v>8.5389999999999994E-5</v>
      </c>
      <c r="J5406" s="9">
        <v>8.6299999999999997E-5</v>
      </c>
      <c r="K5406" s="9">
        <v>1.484E-5</v>
      </c>
      <c r="L5406" s="9">
        <v>5.7890000000000003E-5</v>
      </c>
      <c r="M5406" s="9">
        <v>6.4129999999999998E-5</v>
      </c>
      <c r="N5406" s="9">
        <v>7.2210000000000002E-5</v>
      </c>
      <c r="O5406" s="9">
        <v>1.914E-5</v>
      </c>
      <c r="P5406" s="9">
        <v>3.7929999999999998E-5</v>
      </c>
      <c r="Q5406" s="9">
        <v>5.6450000000000003E-5</v>
      </c>
      <c r="R5406" s="10">
        <v>6.2702178384260919E-5</v>
      </c>
      <c r="S5406" s="10">
        <v>1.6417837976713672E-4</v>
      </c>
      <c r="T5406" s="10">
        <v>0</v>
      </c>
      <c r="U5406" s="10">
        <v>7.2979999999999996E-5</v>
      </c>
      <c r="V5406" s="25"/>
      <c r="W5406" s="25"/>
      <c r="X5406" s="25"/>
      <c r="Y5406" s="25"/>
      <c r="Z5406" s="25"/>
      <c r="AA5406" s="25"/>
    </row>
    <row r="5407" spans="1:27" x14ac:dyDescent="0.35">
      <c r="A5407" s="5">
        <v>5403</v>
      </c>
      <c r="B5407" s="5">
        <v>226</v>
      </c>
      <c r="C5407" s="5">
        <v>8</v>
      </c>
      <c r="D5407" s="25">
        <v>1.1416E-4</v>
      </c>
      <c r="E5407" s="25">
        <v>1.1338E-4</v>
      </c>
      <c r="F5407" s="25">
        <v>1.1492E-4</v>
      </c>
      <c r="G5407" s="25">
        <v>5.2549999999999997E-5</v>
      </c>
      <c r="H5407" s="25">
        <v>6.8499999999999998E-5</v>
      </c>
      <c r="I5407" s="9">
        <v>8.3739999999999994E-5</v>
      </c>
      <c r="J5407" s="9">
        <v>8.5030000000000004E-5</v>
      </c>
      <c r="K5407" s="9">
        <v>6.37E-6</v>
      </c>
      <c r="L5407" s="9">
        <v>2.7869999999999999E-5</v>
      </c>
      <c r="M5407" s="9">
        <v>5.2420000000000003E-5</v>
      </c>
      <c r="N5407" s="9">
        <v>6.5679999999999995E-5</v>
      </c>
      <c r="O5407" s="9">
        <v>1.3570000000000001E-5</v>
      </c>
      <c r="P5407" s="9">
        <v>3.7700000000000002E-5</v>
      </c>
      <c r="Q5407" s="9">
        <v>6.1450000000000003E-5</v>
      </c>
      <c r="R5407" s="10">
        <v>5.4206619433891356E-5</v>
      </c>
      <c r="S5407" s="10">
        <v>1.486847098233226E-4</v>
      </c>
      <c r="T5407" s="10">
        <v>0</v>
      </c>
      <c r="U5407" s="10">
        <v>7.2979999999999996E-5</v>
      </c>
      <c r="V5407" s="25"/>
      <c r="W5407" s="25"/>
      <c r="X5407" s="25"/>
      <c r="Y5407" s="25"/>
      <c r="Z5407" s="25"/>
      <c r="AA5407" s="25"/>
    </row>
    <row r="5408" spans="1:27" x14ac:dyDescent="0.35">
      <c r="A5408" s="5">
        <v>5404</v>
      </c>
      <c r="B5408" s="5">
        <v>226</v>
      </c>
      <c r="C5408" s="5">
        <v>8</v>
      </c>
      <c r="D5408" s="25">
        <v>1.1415000000000001E-4</v>
      </c>
      <c r="E5408" s="25">
        <v>1.1001E-4</v>
      </c>
      <c r="F5408" s="25">
        <v>1.0161E-4</v>
      </c>
      <c r="G5408" s="25">
        <v>5.5149999999999999E-5</v>
      </c>
      <c r="H5408" s="25">
        <v>6.4060000000000007E-5</v>
      </c>
      <c r="I5408" s="9">
        <v>8.3129999999999999E-5</v>
      </c>
      <c r="J5408" s="9">
        <v>8.4300000000000003E-5</v>
      </c>
      <c r="K5408" s="9">
        <v>8.4800000000000001E-6</v>
      </c>
      <c r="L5408" s="9">
        <v>1.7459999999999999E-5</v>
      </c>
      <c r="M5408" s="9">
        <v>4.4320000000000003E-5</v>
      </c>
      <c r="N5408" s="9">
        <v>6.2059999999999999E-5</v>
      </c>
      <c r="O5408" s="9">
        <v>1.3499999999999999E-5</v>
      </c>
      <c r="P5408" s="9">
        <v>4.6900000000000002E-5</v>
      </c>
      <c r="Q5408" s="9">
        <v>7.9770000000000004E-5</v>
      </c>
      <c r="R5408" s="10">
        <v>6.02613709224587E-5</v>
      </c>
      <c r="S5408" s="10">
        <v>1.2791051614315083E-4</v>
      </c>
      <c r="T5408" s="10">
        <v>0</v>
      </c>
      <c r="U5408" s="10">
        <v>7.2979999999999996E-5</v>
      </c>
      <c r="V5408" s="25"/>
      <c r="W5408" s="25"/>
      <c r="X5408" s="25"/>
      <c r="Y5408" s="25"/>
      <c r="Z5408" s="25"/>
      <c r="AA5408" s="25"/>
    </row>
    <row r="5409" spans="1:27" x14ac:dyDescent="0.35">
      <c r="A5409" s="5">
        <v>5405</v>
      </c>
      <c r="B5409" s="5">
        <v>226</v>
      </c>
      <c r="C5409" s="5">
        <v>8</v>
      </c>
      <c r="D5409" s="25">
        <v>1.1416E-4</v>
      </c>
      <c r="E5409" s="25">
        <v>1.0903E-4</v>
      </c>
      <c r="F5409" s="25">
        <v>1.0817E-4</v>
      </c>
      <c r="G5409" s="25">
        <v>5.2290000000000002E-5</v>
      </c>
      <c r="H5409" s="25">
        <v>6.6929999999999998E-5</v>
      </c>
      <c r="I5409" s="9">
        <v>8.3960000000000003E-5</v>
      </c>
      <c r="J5409" s="9">
        <v>8.441E-5</v>
      </c>
      <c r="K5409" s="9">
        <v>0</v>
      </c>
      <c r="L5409" s="9">
        <v>1.4620000000000001E-5</v>
      </c>
      <c r="M5409" s="9">
        <v>4.3430000000000003E-5</v>
      </c>
      <c r="N5409" s="9">
        <v>6.4430000000000005E-5</v>
      </c>
      <c r="O5409" s="9">
        <v>1.9029999999999999E-5</v>
      </c>
      <c r="P5409" s="9">
        <v>5.6589999999999999E-5</v>
      </c>
      <c r="Q5409" s="9">
        <v>9.3579999999999995E-5</v>
      </c>
      <c r="R5409" s="10">
        <v>6.0150486826830406E-5</v>
      </c>
      <c r="S5409" s="10">
        <v>1.188218788141156E-4</v>
      </c>
      <c r="T5409" s="10">
        <v>0</v>
      </c>
      <c r="U5409" s="10">
        <v>7.2979999999999996E-5</v>
      </c>
      <c r="V5409" s="25"/>
      <c r="W5409" s="25"/>
      <c r="X5409" s="25"/>
      <c r="Y5409" s="25"/>
      <c r="Z5409" s="25"/>
      <c r="AA5409" s="25"/>
    </row>
    <row r="5410" spans="1:27" x14ac:dyDescent="0.35">
      <c r="A5410" s="5">
        <v>5406</v>
      </c>
      <c r="B5410" s="5">
        <v>226</v>
      </c>
      <c r="C5410" s="5">
        <v>8</v>
      </c>
      <c r="D5410" s="25">
        <v>1.1415000000000001E-4</v>
      </c>
      <c r="E5410" s="25">
        <v>1.0958E-4</v>
      </c>
      <c r="F5410" s="25">
        <v>1.1514E-4</v>
      </c>
      <c r="G5410" s="25">
        <v>1.1341999999999999E-4</v>
      </c>
      <c r="H5410" s="25">
        <v>1.3224999999999999E-4</v>
      </c>
      <c r="I5410" s="9">
        <v>8.4670000000000001E-5</v>
      </c>
      <c r="J5410" s="9">
        <v>8.5000000000000006E-5</v>
      </c>
      <c r="K5410" s="9">
        <v>4.25E-6</v>
      </c>
      <c r="L5410" s="9">
        <v>1.7929999999999999E-5</v>
      </c>
      <c r="M5410" s="9">
        <v>4.8279999999999999E-5</v>
      </c>
      <c r="N5410" s="9">
        <v>7.0950000000000003E-5</v>
      </c>
      <c r="O5410" s="9">
        <v>4.6640000000000001E-5</v>
      </c>
      <c r="P5410" s="9">
        <v>7.737E-5</v>
      </c>
      <c r="Q5410" s="9">
        <v>1.0774E-4</v>
      </c>
      <c r="R5410" s="10">
        <v>4.1828218244415649E-5</v>
      </c>
      <c r="S5410" s="10">
        <v>1.220788317620089E-4</v>
      </c>
      <c r="T5410" s="10">
        <v>0</v>
      </c>
      <c r="U5410" s="10">
        <v>7.2979999999999996E-5</v>
      </c>
      <c r="V5410" s="25"/>
      <c r="W5410" s="25"/>
      <c r="X5410" s="25"/>
      <c r="Y5410" s="25"/>
      <c r="Z5410" s="25"/>
      <c r="AA5410" s="25"/>
    </row>
    <row r="5411" spans="1:27" x14ac:dyDescent="0.35">
      <c r="A5411" s="5">
        <v>5407</v>
      </c>
      <c r="B5411" s="5">
        <v>226</v>
      </c>
      <c r="C5411" s="5">
        <v>8</v>
      </c>
      <c r="D5411" s="25">
        <v>1.1416E-4</v>
      </c>
      <c r="E5411" s="25">
        <v>1.1341E-4</v>
      </c>
      <c r="F5411" s="25">
        <v>1.0791E-4</v>
      </c>
      <c r="G5411" s="25">
        <v>1.1247999999999999E-4</v>
      </c>
      <c r="H5411" s="25">
        <v>1.3431000000000001E-4</v>
      </c>
      <c r="I5411" s="9">
        <v>8.7330000000000006E-5</v>
      </c>
      <c r="J5411" s="9">
        <v>8.8930000000000004E-5</v>
      </c>
      <c r="K5411" s="9">
        <v>0</v>
      </c>
      <c r="L5411" s="9">
        <v>4.0179999999999998E-5</v>
      </c>
      <c r="M5411" s="9">
        <v>6.0139999999999997E-5</v>
      </c>
      <c r="N5411" s="9">
        <v>8.0790000000000004E-5</v>
      </c>
      <c r="O5411" s="9">
        <v>1.2158E-4</v>
      </c>
      <c r="P5411" s="9">
        <v>1.1620000000000001E-4</v>
      </c>
      <c r="Q5411" s="9">
        <v>1.1131E-4</v>
      </c>
      <c r="R5411" s="10">
        <v>3.8812516121169437E-5</v>
      </c>
      <c r="S5411" s="10">
        <v>1.1709409617817706E-4</v>
      </c>
      <c r="T5411" s="10">
        <v>5.480008950257052E-5</v>
      </c>
      <c r="U5411" s="10">
        <v>7.2979999999999996E-5</v>
      </c>
      <c r="V5411" s="25"/>
      <c r="W5411" s="25"/>
      <c r="X5411" s="25"/>
      <c r="Y5411" s="25"/>
      <c r="Z5411" s="25"/>
      <c r="AA5411" s="25"/>
    </row>
    <row r="5412" spans="1:27" x14ac:dyDescent="0.35">
      <c r="A5412" s="5">
        <v>5408</v>
      </c>
      <c r="B5412" s="5">
        <v>226</v>
      </c>
      <c r="C5412" s="5">
        <v>8</v>
      </c>
      <c r="D5412" s="25">
        <v>1.1415000000000001E-4</v>
      </c>
      <c r="E5412" s="25">
        <v>1.0491E-4</v>
      </c>
      <c r="F5412" s="25">
        <v>1.0276E-4</v>
      </c>
      <c r="G5412" s="25">
        <v>1.584E-4</v>
      </c>
      <c r="H5412" s="25">
        <v>1.916E-4</v>
      </c>
      <c r="I5412" s="9">
        <v>9.1260000000000004E-5</v>
      </c>
      <c r="J5412" s="9">
        <v>9.5320000000000002E-5</v>
      </c>
      <c r="K5412" s="9">
        <v>0</v>
      </c>
      <c r="L5412" s="9">
        <v>1.0305E-4</v>
      </c>
      <c r="M5412" s="9">
        <v>8.3380000000000005E-5</v>
      </c>
      <c r="N5412" s="9">
        <v>9.0619999999999996E-5</v>
      </c>
      <c r="O5412" s="9">
        <v>2.1845999999999999E-4</v>
      </c>
      <c r="P5412" s="9">
        <v>1.7682E-4</v>
      </c>
      <c r="Q5412" s="9">
        <v>1.3658999999999999E-4</v>
      </c>
      <c r="R5412" s="10">
        <v>6.2831815183684995E-5</v>
      </c>
      <c r="S5412" s="10">
        <v>9.2808201477049328E-5</v>
      </c>
      <c r="T5412" s="10">
        <v>2.8336711399540993E-4</v>
      </c>
      <c r="U5412" s="10">
        <v>7.2979999999999996E-5</v>
      </c>
      <c r="V5412" s="25"/>
      <c r="W5412" s="25"/>
      <c r="X5412" s="25"/>
      <c r="Y5412" s="25"/>
      <c r="Z5412" s="25"/>
      <c r="AA5412" s="25"/>
    </row>
    <row r="5413" spans="1:27" x14ac:dyDescent="0.35">
      <c r="A5413" s="5">
        <v>5409</v>
      </c>
      <c r="B5413" s="5">
        <v>226</v>
      </c>
      <c r="C5413" s="5">
        <v>8</v>
      </c>
      <c r="D5413" s="25">
        <v>1.1416E-4</v>
      </c>
      <c r="E5413" s="25">
        <v>1.1315999999999999E-4</v>
      </c>
      <c r="F5413" s="25">
        <v>1.1108E-4</v>
      </c>
      <c r="G5413" s="25">
        <v>1.605E-4</v>
      </c>
      <c r="H5413" s="25">
        <v>1.9484999999999999E-4</v>
      </c>
      <c r="I5413" s="9">
        <v>9.3040000000000004E-5</v>
      </c>
      <c r="J5413" s="9">
        <v>1.0203E-4</v>
      </c>
      <c r="K5413" s="9">
        <v>0</v>
      </c>
      <c r="L5413" s="9">
        <v>1.9134999999999999E-4</v>
      </c>
      <c r="M5413" s="9">
        <v>1.2301E-4</v>
      </c>
      <c r="N5413" s="9">
        <v>1.0436E-4</v>
      </c>
      <c r="O5413" s="9">
        <v>2.1191999999999999E-4</v>
      </c>
      <c r="P5413" s="9">
        <v>1.9453E-4</v>
      </c>
      <c r="Q5413" s="9">
        <v>1.7815999999999999E-4</v>
      </c>
      <c r="R5413" s="10">
        <v>8.6028750683244458E-5</v>
      </c>
      <c r="S5413" s="10">
        <v>7.6348177315777643E-5</v>
      </c>
      <c r="T5413" s="10">
        <v>2.886613167898989E-4</v>
      </c>
      <c r="U5413" s="10">
        <v>7.2979999999999996E-5</v>
      </c>
      <c r="V5413" s="25"/>
      <c r="W5413" s="25"/>
      <c r="X5413" s="25"/>
      <c r="Y5413" s="25"/>
      <c r="Z5413" s="25"/>
      <c r="AA5413" s="25"/>
    </row>
    <row r="5414" spans="1:27" x14ac:dyDescent="0.35">
      <c r="A5414" s="5">
        <v>5410</v>
      </c>
      <c r="B5414" s="5">
        <v>226</v>
      </c>
      <c r="C5414" s="5">
        <v>8</v>
      </c>
      <c r="D5414" s="25">
        <v>1.1415000000000001E-4</v>
      </c>
      <c r="E5414" s="25">
        <v>1.1213999999999999E-4</v>
      </c>
      <c r="F5414" s="25">
        <v>1.1218999999999999E-4</v>
      </c>
      <c r="G5414" s="25">
        <v>1.6228999999999999E-4</v>
      </c>
      <c r="H5414" s="25">
        <v>1.8848000000000001E-4</v>
      </c>
      <c r="I5414" s="9">
        <v>9.1360000000000006E-5</v>
      </c>
      <c r="J5414" s="9">
        <v>1.0459E-4</v>
      </c>
      <c r="K5414" s="9">
        <v>0</v>
      </c>
      <c r="L5414" s="9">
        <v>2.0508000000000001E-4</v>
      </c>
      <c r="M5414" s="9">
        <v>1.5882E-4</v>
      </c>
      <c r="N5414" s="9">
        <v>1.2469E-4</v>
      </c>
      <c r="O5414" s="9">
        <v>1.6671000000000001E-4</v>
      </c>
      <c r="P5414" s="9">
        <v>1.7427E-4</v>
      </c>
      <c r="Q5414" s="9">
        <v>1.8228E-4</v>
      </c>
      <c r="R5414" s="10">
        <v>9.1064652308945189E-5</v>
      </c>
      <c r="S5414" s="10">
        <v>6.8886805636475206E-5</v>
      </c>
      <c r="T5414" s="10">
        <v>1.4766074588988036E-4</v>
      </c>
      <c r="U5414" s="10">
        <v>7.2979999999999996E-5</v>
      </c>
      <c r="V5414" s="25"/>
      <c r="W5414" s="25"/>
      <c r="X5414" s="25"/>
      <c r="Y5414" s="25"/>
      <c r="Z5414" s="25"/>
      <c r="AA5414" s="25"/>
    </row>
    <row r="5415" spans="1:27" x14ac:dyDescent="0.35">
      <c r="A5415" s="5">
        <v>5411</v>
      </c>
      <c r="B5415" s="5">
        <v>226</v>
      </c>
      <c r="C5415" s="5">
        <v>8</v>
      </c>
      <c r="D5415" s="25">
        <v>1.1416E-4</v>
      </c>
      <c r="E5415" s="25">
        <v>1.0841E-4</v>
      </c>
      <c r="F5415" s="25">
        <v>1.0034E-4</v>
      </c>
      <c r="G5415" s="25">
        <v>1.6343E-4</v>
      </c>
      <c r="H5415" s="25">
        <v>2.0152000000000001E-4</v>
      </c>
      <c r="I5415" s="9">
        <v>8.9079999999999994E-5</v>
      </c>
      <c r="J5415" s="9">
        <v>1.0509999999999999E-4</v>
      </c>
      <c r="K5415" s="9">
        <v>0</v>
      </c>
      <c r="L5415" s="9">
        <v>1.7516999999999999E-4</v>
      </c>
      <c r="M5415" s="9">
        <v>1.7270999999999999E-4</v>
      </c>
      <c r="N5415" s="9">
        <v>1.4283000000000001E-4</v>
      </c>
      <c r="O5415" s="9">
        <v>1.6797000000000001E-4</v>
      </c>
      <c r="P5415" s="9">
        <v>1.7422999999999999E-4</v>
      </c>
      <c r="Q5415" s="9">
        <v>1.8096E-4</v>
      </c>
      <c r="R5415" s="10">
        <v>9.8479578112093099E-5</v>
      </c>
      <c r="S5415" s="10">
        <v>6.1480720283403343E-5</v>
      </c>
      <c r="T5415" s="10">
        <v>1.8512741182010969E-4</v>
      </c>
      <c r="U5415" s="10">
        <v>7.2979999999999996E-5</v>
      </c>
      <c r="V5415" s="25"/>
      <c r="W5415" s="25"/>
      <c r="X5415" s="25"/>
      <c r="Y5415" s="25"/>
      <c r="Z5415" s="25"/>
      <c r="AA5415" s="25"/>
    </row>
    <row r="5416" spans="1:27" x14ac:dyDescent="0.35">
      <c r="A5416" s="5">
        <v>5412</v>
      </c>
      <c r="B5416" s="5">
        <v>226</v>
      </c>
      <c r="C5416" s="5">
        <v>8</v>
      </c>
      <c r="D5416" s="25">
        <v>1.1415000000000001E-4</v>
      </c>
      <c r="E5416" s="25">
        <v>1.0642E-4</v>
      </c>
      <c r="F5416" s="25">
        <v>9.3830000000000001E-5</v>
      </c>
      <c r="G5416" s="25">
        <v>1.6166999999999999E-4</v>
      </c>
      <c r="H5416" s="25">
        <v>1.8811000000000001E-4</v>
      </c>
      <c r="I5416" s="9">
        <v>8.5809999999999993E-5</v>
      </c>
      <c r="J5416" s="9">
        <v>1.0401E-4</v>
      </c>
      <c r="K5416" s="9">
        <v>0</v>
      </c>
      <c r="L5416" s="9">
        <v>1.7098999999999999E-4</v>
      </c>
      <c r="M5416" s="9">
        <v>1.7560000000000001E-4</v>
      </c>
      <c r="N5416" s="9">
        <v>1.5721999999999999E-4</v>
      </c>
      <c r="O5416" s="9">
        <v>1.705E-4</v>
      </c>
      <c r="P5416" s="9">
        <v>1.7264E-4</v>
      </c>
      <c r="Q5416" s="9">
        <v>1.7532999999999999E-4</v>
      </c>
      <c r="R5416" s="10">
        <v>4.8726007359279406E-5</v>
      </c>
      <c r="S5416" s="10">
        <v>7.1972321594652053E-5</v>
      </c>
      <c r="T5416" s="10">
        <v>2.94982119805755E-4</v>
      </c>
      <c r="U5416" s="10">
        <v>7.2979999999999996E-5</v>
      </c>
      <c r="V5416" s="25"/>
      <c r="W5416" s="25"/>
      <c r="X5416" s="25"/>
      <c r="Y5416" s="25"/>
      <c r="Z5416" s="25"/>
      <c r="AA5416" s="25"/>
    </row>
    <row r="5417" spans="1:27" x14ac:dyDescent="0.35">
      <c r="A5417" s="5">
        <v>5413</v>
      </c>
      <c r="B5417" s="5">
        <v>226</v>
      </c>
      <c r="C5417" s="5">
        <v>8</v>
      </c>
      <c r="D5417" s="25">
        <v>1.1416E-4</v>
      </c>
      <c r="E5417" s="25">
        <v>1.0465E-4</v>
      </c>
      <c r="F5417" s="25">
        <v>1.1526E-4</v>
      </c>
      <c r="G5417" s="25">
        <v>1.5715E-4</v>
      </c>
      <c r="H5417" s="25">
        <v>1.9751E-4</v>
      </c>
      <c r="I5417" s="9">
        <v>8.1470000000000004E-5</v>
      </c>
      <c r="J5417" s="9">
        <v>1.0276999999999999E-4</v>
      </c>
      <c r="K5417" s="9">
        <v>0</v>
      </c>
      <c r="L5417" s="9">
        <v>1.7076E-4</v>
      </c>
      <c r="M5417" s="9">
        <v>1.7479E-4</v>
      </c>
      <c r="N5417" s="9">
        <v>1.6694999999999999E-4</v>
      </c>
      <c r="O5417" s="9">
        <v>1.6097999999999999E-4</v>
      </c>
      <c r="P5417" s="9">
        <v>1.6388000000000001E-4</v>
      </c>
      <c r="Q5417" s="9">
        <v>1.6726999999999999E-4</v>
      </c>
      <c r="R5417" s="10">
        <v>4.3229208630562942E-5</v>
      </c>
      <c r="S5417" s="10">
        <v>6.416611585580376E-5</v>
      </c>
      <c r="T5417" s="10">
        <v>4.8258694703610635E-4</v>
      </c>
      <c r="U5417" s="10">
        <v>7.2979999999999996E-5</v>
      </c>
      <c r="V5417" s="25"/>
      <c r="W5417" s="25"/>
      <c r="X5417" s="25"/>
      <c r="Y5417" s="25"/>
      <c r="Z5417" s="25"/>
      <c r="AA5417" s="25"/>
    </row>
    <row r="5418" spans="1:27" x14ac:dyDescent="0.35">
      <c r="A5418" s="5">
        <v>5414</v>
      </c>
      <c r="B5418" s="5">
        <v>226</v>
      </c>
      <c r="C5418" s="5">
        <v>8</v>
      </c>
      <c r="D5418" s="25">
        <v>1.1415000000000001E-4</v>
      </c>
      <c r="E5418" s="25">
        <v>1.0763E-4</v>
      </c>
      <c r="F5418" s="25">
        <v>1.15E-4</v>
      </c>
      <c r="G5418" s="25">
        <v>1.5687000000000001E-4</v>
      </c>
      <c r="H5418" s="25">
        <v>2.0023E-4</v>
      </c>
      <c r="I5418" s="9">
        <v>8.0069999999999997E-5</v>
      </c>
      <c r="J5418" s="9">
        <v>1.0219E-4</v>
      </c>
      <c r="K5418" s="9">
        <v>0</v>
      </c>
      <c r="L5418" s="9">
        <v>1.6286999999999999E-4</v>
      </c>
      <c r="M5418" s="9">
        <v>1.7061999999999999E-4</v>
      </c>
      <c r="N5418" s="9">
        <v>1.7116000000000001E-4</v>
      </c>
      <c r="O5418" s="9">
        <v>1.7783999999999999E-4</v>
      </c>
      <c r="P5418" s="9">
        <v>1.6906000000000001E-4</v>
      </c>
      <c r="Q5418" s="9">
        <v>1.6102E-4</v>
      </c>
      <c r="R5418" s="10">
        <v>3.2631963592135344E-5</v>
      </c>
      <c r="S5418" s="10">
        <v>7.2527494195343955E-5</v>
      </c>
      <c r="T5418" s="10">
        <v>5.6621668573046116E-4</v>
      </c>
      <c r="U5418" s="10">
        <v>7.2979999999999996E-5</v>
      </c>
      <c r="V5418" s="25"/>
      <c r="W5418" s="25"/>
      <c r="X5418" s="25"/>
      <c r="Y5418" s="25"/>
      <c r="Z5418" s="25"/>
      <c r="AA5418" s="25"/>
    </row>
    <row r="5419" spans="1:27" x14ac:dyDescent="0.35">
      <c r="A5419" s="5">
        <v>5415</v>
      </c>
      <c r="B5419" s="5">
        <v>226</v>
      </c>
      <c r="C5419" s="5">
        <v>8</v>
      </c>
      <c r="D5419" s="25">
        <v>1.1416E-4</v>
      </c>
      <c r="E5419" s="25">
        <v>1.0573000000000001E-4</v>
      </c>
      <c r="F5419" s="25">
        <v>1.0899E-4</v>
      </c>
      <c r="G5419" s="25">
        <v>1.6676000000000001E-4</v>
      </c>
      <c r="H5419" s="25">
        <v>1.9301E-4</v>
      </c>
      <c r="I5419" s="9">
        <v>8.1000000000000004E-5</v>
      </c>
      <c r="J5419" s="9">
        <v>1.0212E-4</v>
      </c>
      <c r="K5419" s="9">
        <v>0</v>
      </c>
      <c r="L5419" s="9">
        <v>1.7474999999999999E-4</v>
      </c>
      <c r="M5419" s="9">
        <v>1.6885000000000001E-4</v>
      </c>
      <c r="N5419" s="9">
        <v>1.7059E-4</v>
      </c>
      <c r="O5419" s="9">
        <v>1.8270999999999999E-4</v>
      </c>
      <c r="P5419" s="9">
        <v>1.6715E-4</v>
      </c>
      <c r="Q5419" s="9">
        <v>1.5245999999999999E-4</v>
      </c>
      <c r="R5419" s="10">
        <v>2.0786936192317019E-5</v>
      </c>
      <c r="S5419" s="10">
        <v>7.5300495138296534E-5</v>
      </c>
      <c r="T5419" s="10">
        <v>2.1175114318085697E-4</v>
      </c>
      <c r="U5419" s="10">
        <v>7.2979999999999996E-5</v>
      </c>
      <c r="V5419" s="25"/>
      <c r="W5419" s="25"/>
      <c r="X5419" s="25"/>
      <c r="Y5419" s="25"/>
      <c r="Z5419" s="25"/>
      <c r="AA5419" s="25"/>
    </row>
    <row r="5420" spans="1:27" x14ac:dyDescent="0.35">
      <c r="A5420" s="5">
        <v>5416</v>
      </c>
      <c r="B5420" s="5">
        <v>226</v>
      </c>
      <c r="C5420" s="5">
        <v>8</v>
      </c>
      <c r="D5420" s="25">
        <v>1.1415000000000001E-4</v>
      </c>
      <c r="E5420" s="25">
        <v>1.1319000000000001E-4</v>
      </c>
      <c r="F5420" s="25">
        <v>1.0192999999999999E-4</v>
      </c>
      <c r="G5420" s="25">
        <v>1.6629000000000001E-4</v>
      </c>
      <c r="H5420" s="25">
        <v>1.9242E-4</v>
      </c>
      <c r="I5420" s="9">
        <v>8.4049999999999997E-5</v>
      </c>
      <c r="J5420" s="9">
        <v>1.0313E-4</v>
      </c>
      <c r="K5420" s="9">
        <v>0</v>
      </c>
      <c r="L5420" s="9">
        <v>1.8065E-4</v>
      </c>
      <c r="M5420" s="9">
        <v>1.6788E-4</v>
      </c>
      <c r="N5420" s="9">
        <v>1.6655000000000001E-4</v>
      </c>
      <c r="O5420" s="9">
        <v>1.9743000000000001E-4</v>
      </c>
      <c r="P5420" s="9">
        <v>1.5316E-4</v>
      </c>
      <c r="Q5420" s="9">
        <v>1.1027E-4</v>
      </c>
      <c r="R5420" s="10">
        <v>1.2016137130833286E-5</v>
      </c>
      <c r="S5420" s="10">
        <v>6.9275030473690022E-5</v>
      </c>
      <c r="T5420" s="10">
        <v>2.8126300775657454E-4</v>
      </c>
      <c r="U5420" s="10">
        <v>7.2979999999999996E-5</v>
      </c>
      <c r="V5420" s="25"/>
      <c r="W5420" s="25"/>
      <c r="X5420" s="25"/>
      <c r="Y5420" s="25"/>
      <c r="Z5420" s="25"/>
      <c r="AA5420" s="25"/>
    </row>
    <row r="5421" spans="1:27" x14ac:dyDescent="0.35">
      <c r="A5421" s="5">
        <v>5417</v>
      </c>
      <c r="B5421" s="5">
        <v>226</v>
      </c>
      <c r="C5421" s="5">
        <v>8</v>
      </c>
      <c r="D5421" s="25">
        <v>1.1416E-4</v>
      </c>
      <c r="E5421" s="25">
        <v>1.0613E-4</v>
      </c>
      <c r="F5421" s="25">
        <v>1.1409E-4</v>
      </c>
      <c r="G5421" s="25">
        <v>1.6222E-4</v>
      </c>
      <c r="H5421" s="25">
        <v>1.9468999999999999E-4</v>
      </c>
      <c r="I5421" s="9">
        <v>8.8469999999999998E-5</v>
      </c>
      <c r="J5421" s="9">
        <v>1.054E-4</v>
      </c>
      <c r="K5421" s="9">
        <v>0</v>
      </c>
      <c r="L5421" s="9">
        <v>1.9351000000000001E-4</v>
      </c>
      <c r="M5421" s="9">
        <v>1.6244999999999999E-4</v>
      </c>
      <c r="N5421" s="9">
        <v>1.5278000000000001E-4</v>
      </c>
      <c r="O5421" s="9">
        <v>2.1109000000000001E-4</v>
      </c>
      <c r="P5421" s="9">
        <v>1.5783999999999999E-4</v>
      </c>
      <c r="Q5421" s="9">
        <v>1.0616999999999999E-4</v>
      </c>
      <c r="R5421" s="10">
        <v>5.9648978461975004E-6</v>
      </c>
      <c r="S5421" s="10">
        <v>6.5638963265449567E-5</v>
      </c>
      <c r="T5421" s="10">
        <v>2.4394057491529763E-4</v>
      </c>
      <c r="U5421" s="10">
        <v>7.2979999999999996E-5</v>
      </c>
      <c r="V5421" s="25"/>
      <c r="W5421" s="25"/>
      <c r="X5421" s="25"/>
      <c r="Y5421" s="25"/>
      <c r="Z5421" s="25"/>
      <c r="AA5421" s="25"/>
    </row>
    <row r="5422" spans="1:27" x14ac:dyDescent="0.35">
      <c r="A5422" s="5">
        <v>5418</v>
      </c>
      <c r="B5422" s="5">
        <v>226</v>
      </c>
      <c r="C5422" s="5">
        <v>8</v>
      </c>
      <c r="D5422" s="25">
        <v>1.1415000000000001E-4</v>
      </c>
      <c r="E5422" s="25">
        <v>1.0547E-4</v>
      </c>
      <c r="F5422" s="25">
        <v>1.1075E-4</v>
      </c>
      <c r="G5422" s="25">
        <v>1.6503000000000001E-4</v>
      </c>
      <c r="H5422" s="25">
        <v>1.9592000000000001E-4</v>
      </c>
      <c r="I5422" s="9">
        <v>9.2629999999999999E-5</v>
      </c>
      <c r="J5422" s="9">
        <v>1.0504E-4</v>
      </c>
      <c r="K5422" s="9">
        <v>0</v>
      </c>
      <c r="L5422" s="9">
        <v>2.0696000000000001E-4</v>
      </c>
      <c r="M5422" s="9">
        <v>1.5929E-4</v>
      </c>
      <c r="N5422" s="9">
        <v>1.3909E-4</v>
      </c>
      <c r="O5422" s="9">
        <v>2.0621999999999999E-4</v>
      </c>
      <c r="P5422" s="9">
        <v>1.6173000000000001E-4</v>
      </c>
      <c r="Q5422" s="9">
        <v>1.1866000000000001E-4</v>
      </c>
      <c r="R5422" s="10">
        <v>1.8205376224898549E-6</v>
      </c>
      <c r="S5422" s="10">
        <v>6.6391151519560931E-5</v>
      </c>
      <c r="T5422" s="10">
        <v>4.6222462859576424E-5</v>
      </c>
      <c r="U5422" s="10">
        <v>7.2979999999999996E-5</v>
      </c>
      <c r="V5422" s="25"/>
      <c r="W5422" s="25"/>
      <c r="X5422" s="25"/>
      <c r="Y5422" s="25"/>
      <c r="Z5422" s="25"/>
      <c r="AA5422" s="25"/>
    </row>
    <row r="5423" spans="1:27" x14ac:dyDescent="0.35">
      <c r="A5423" s="5">
        <v>5419</v>
      </c>
      <c r="B5423" s="5">
        <v>226</v>
      </c>
      <c r="C5423" s="5">
        <v>8</v>
      </c>
      <c r="D5423" s="25">
        <v>1.1416E-4</v>
      </c>
      <c r="E5423" s="25">
        <v>1.0562E-4</v>
      </c>
      <c r="F5423" s="25">
        <v>9.6100000000000005E-5</v>
      </c>
      <c r="G5423" s="25">
        <v>1.0449E-4</v>
      </c>
      <c r="H5423" s="25">
        <v>1.3265E-4</v>
      </c>
      <c r="I5423" s="9">
        <v>9.5589999999999998E-5</v>
      </c>
      <c r="J5423" s="9">
        <v>1.0352E-4</v>
      </c>
      <c r="K5423" s="9">
        <v>0</v>
      </c>
      <c r="L5423" s="9">
        <v>2.0604E-4</v>
      </c>
      <c r="M5423" s="9">
        <v>1.595E-4</v>
      </c>
      <c r="N5423" s="9">
        <v>1.3017000000000001E-4</v>
      </c>
      <c r="O5423" s="9">
        <v>1.6401999999999999E-4</v>
      </c>
      <c r="P5423" s="9">
        <v>1.3512999999999999E-4</v>
      </c>
      <c r="Q5423" s="9">
        <v>1.0726E-4</v>
      </c>
      <c r="R5423" s="10">
        <v>1.5876108304035169E-6</v>
      </c>
      <c r="S5423" s="10">
        <v>6.4983538142161608E-5</v>
      </c>
      <c r="T5423" s="10">
        <v>1.5772312491914937E-5</v>
      </c>
      <c r="U5423" s="10">
        <v>7.2979999999999996E-5</v>
      </c>
      <c r="V5423" s="25"/>
      <c r="W5423" s="25"/>
      <c r="X5423" s="25"/>
      <c r="Y5423" s="25"/>
      <c r="Z5423" s="25"/>
      <c r="AA5423" s="25"/>
    </row>
    <row r="5424" spans="1:27" x14ac:dyDescent="0.35">
      <c r="A5424" s="5">
        <v>5420</v>
      </c>
      <c r="B5424" s="5">
        <v>226</v>
      </c>
      <c r="C5424" s="5">
        <v>8</v>
      </c>
      <c r="D5424" s="25">
        <v>1.1415000000000001E-4</v>
      </c>
      <c r="E5424" s="25">
        <v>1.0587E-4</v>
      </c>
      <c r="F5424" s="25">
        <v>1.1128000000000001E-4</v>
      </c>
      <c r="G5424" s="25">
        <v>1.0650999999999999E-4</v>
      </c>
      <c r="H5424" s="25">
        <v>1.3378000000000001E-4</v>
      </c>
      <c r="I5424" s="9">
        <v>9.6299999999999996E-5</v>
      </c>
      <c r="J5424" s="9">
        <v>1.0157000000000001E-4</v>
      </c>
      <c r="K5424" s="9">
        <v>0</v>
      </c>
      <c r="L5424" s="9">
        <v>1.7337E-4</v>
      </c>
      <c r="M5424" s="9">
        <v>1.5097E-4</v>
      </c>
      <c r="N5424" s="9">
        <v>1.2106E-4</v>
      </c>
      <c r="O5424" s="9">
        <v>1.2834000000000001E-4</v>
      </c>
      <c r="P5424" s="9">
        <v>1.1475E-4</v>
      </c>
      <c r="Q5424" s="9">
        <v>1.0179E-4</v>
      </c>
      <c r="R5424" s="10">
        <v>1.8609005086324971E-6</v>
      </c>
      <c r="S5424" s="10">
        <v>6.3008352455798803E-5</v>
      </c>
      <c r="T5424" s="10">
        <v>0</v>
      </c>
      <c r="U5424" s="10">
        <v>7.2979999999999996E-5</v>
      </c>
      <c r="V5424" s="25"/>
      <c r="W5424" s="25"/>
      <c r="X5424" s="25"/>
      <c r="Y5424" s="25"/>
      <c r="Z5424" s="25"/>
      <c r="AA5424" s="25"/>
    </row>
    <row r="5425" spans="1:27" x14ac:dyDescent="0.35">
      <c r="A5425" s="5">
        <v>5421</v>
      </c>
      <c r="B5425" s="5">
        <v>226</v>
      </c>
      <c r="C5425" s="5">
        <v>8</v>
      </c>
      <c r="D5425" s="25">
        <v>1.1416E-4</v>
      </c>
      <c r="E5425" s="25">
        <v>1.1352E-4</v>
      </c>
      <c r="F5425" s="25">
        <v>1.0650999999999999E-4</v>
      </c>
      <c r="G5425" s="25">
        <v>5.3569999999999997E-5</v>
      </c>
      <c r="H5425" s="25">
        <v>7.3499999999999998E-5</v>
      </c>
      <c r="I5425" s="9">
        <v>9.9049999999999995E-5</v>
      </c>
      <c r="J5425" s="9">
        <v>1.0307E-4</v>
      </c>
      <c r="K5425" s="9">
        <v>0</v>
      </c>
      <c r="L5425" s="9">
        <v>1.3925E-4</v>
      </c>
      <c r="M5425" s="9">
        <v>1.3553E-4</v>
      </c>
      <c r="N5425" s="9">
        <v>1.1333E-4</v>
      </c>
      <c r="O5425" s="9">
        <v>8.4140000000000004E-5</v>
      </c>
      <c r="P5425" s="9">
        <v>8.5890000000000006E-5</v>
      </c>
      <c r="Q5425" s="9">
        <v>8.7880000000000006E-5</v>
      </c>
      <c r="R5425" s="10">
        <v>3.1777684663225278E-6</v>
      </c>
      <c r="S5425" s="10">
        <v>6.121479262188356E-5</v>
      </c>
      <c r="T5425" s="10">
        <v>0</v>
      </c>
      <c r="U5425" s="10">
        <v>7.2979999999999996E-5</v>
      </c>
      <c r="V5425" s="25"/>
      <c r="W5425" s="25"/>
      <c r="X5425" s="25"/>
      <c r="Y5425" s="25"/>
      <c r="Z5425" s="25"/>
      <c r="AA5425" s="25"/>
    </row>
    <row r="5426" spans="1:27" x14ac:dyDescent="0.35">
      <c r="A5426" s="5">
        <v>5422</v>
      </c>
      <c r="B5426" s="5">
        <v>226</v>
      </c>
      <c r="C5426" s="5">
        <v>8</v>
      </c>
      <c r="D5426" s="25">
        <v>1.1415000000000001E-4</v>
      </c>
      <c r="E5426" s="25">
        <v>1.053E-4</v>
      </c>
      <c r="F5426" s="25">
        <v>9.5929999999999998E-5</v>
      </c>
      <c r="G5426" s="25">
        <v>6.3289999999999999E-5</v>
      </c>
      <c r="H5426" s="25">
        <v>6.5030000000000006E-5</v>
      </c>
      <c r="I5426" s="9">
        <v>9.904E-5</v>
      </c>
      <c r="J5426" s="9">
        <v>1.0106E-4</v>
      </c>
      <c r="K5426" s="9">
        <v>8.49E-6</v>
      </c>
      <c r="L5426" s="9">
        <v>9.7209999999999999E-5</v>
      </c>
      <c r="M5426" s="9">
        <v>1.1367E-4</v>
      </c>
      <c r="N5426" s="9">
        <v>1.0562E-4</v>
      </c>
      <c r="O5426" s="9">
        <v>8.6580000000000001E-5</v>
      </c>
      <c r="P5426" s="9">
        <v>8.6959999999999994E-5</v>
      </c>
      <c r="Q5426" s="9">
        <v>8.7600000000000002E-5</v>
      </c>
      <c r="R5426" s="10">
        <v>3.9481573987461467E-6</v>
      </c>
      <c r="S5426" s="10">
        <v>5.8686845680781656E-5</v>
      </c>
      <c r="T5426" s="10">
        <v>0</v>
      </c>
      <c r="U5426" s="10">
        <v>7.2979999999999996E-5</v>
      </c>
      <c r="V5426" s="25"/>
      <c r="W5426" s="25"/>
      <c r="X5426" s="25"/>
      <c r="Y5426" s="25"/>
      <c r="Z5426" s="25"/>
      <c r="AA5426" s="25"/>
    </row>
    <row r="5427" spans="1:27" x14ac:dyDescent="0.35">
      <c r="A5427" s="5">
        <v>5423</v>
      </c>
      <c r="B5427" s="5">
        <v>226</v>
      </c>
      <c r="C5427" s="5">
        <v>8</v>
      </c>
      <c r="D5427" s="25">
        <v>1.1416E-4</v>
      </c>
      <c r="E5427" s="25">
        <v>1.1179999999999999E-4</v>
      </c>
      <c r="F5427" s="25">
        <v>1.1595999999999999E-4</v>
      </c>
      <c r="G5427" s="25">
        <v>6.2959999999999994E-5</v>
      </c>
      <c r="H5427" s="25">
        <v>7.2059999999999998E-5</v>
      </c>
      <c r="I5427" s="9">
        <v>9.4900000000000003E-5</v>
      </c>
      <c r="J5427" s="9">
        <v>9.6749999999999994E-5</v>
      </c>
      <c r="K5427" s="9">
        <v>1.272E-5</v>
      </c>
      <c r="L5427" s="9">
        <v>8.9850000000000002E-5</v>
      </c>
      <c r="M5427" s="9">
        <v>9.8690000000000005E-5</v>
      </c>
      <c r="N5427" s="9">
        <v>9.9669999999999999E-5</v>
      </c>
      <c r="O5427" s="9">
        <v>7.8469999999999999E-5</v>
      </c>
      <c r="P5427" s="9">
        <v>7.2840000000000001E-5</v>
      </c>
      <c r="Q5427" s="9">
        <v>6.7539999999999994E-5</v>
      </c>
      <c r="R5427" s="10">
        <v>5.8740840049258911E-6</v>
      </c>
      <c r="S5427" s="10">
        <v>5.638188347598516E-5</v>
      </c>
      <c r="T5427" s="10">
        <v>0</v>
      </c>
      <c r="U5427" s="10">
        <v>7.2979999999999996E-5</v>
      </c>
      <c r="V5427" s="25"/>
      <c r="W5427" s="25"/>
      <c r="X5427" s="25"/>
      <c r="Y5427" s="25"/>
      <c r="Z5427" s="25"/>
      <c r="AA5427" s="25"/>
    </row>
    <row r="5428" spans="1:27" x14ac:dyDescent="0.35">
      <c r="A5428" s="5">
        <v>5424</v>
      </c>
      <c r="B5428" s="5">
        <v>226</v>
      </c>
      <c r="C5428" s="5">
        <v>8</v>
      </c>
      <c r="D5428" s="25">
        <v>1.1415000000000001E-4</v>
      </c>
      <c r="E5428" s="25">
        <v>1.0357999999999999E-4</v>
      </c>
      <c r="F5428" s="25">
        <v>1.1438999999999999E-4</v>
      </c>
      <c r="G5428" s="25">
        <v>6.3429999999999994E-5</v>
      </c>
      <c r="H5428" s="25">
        <v>6.9560000000000005E-5</v>
      </c>
      <c r="I5428" s="9">
        <v>8.9770000000000003E-5</v>
      </c>
      <c r="J5428" s="9">
        <v>9.1509999999999996E-5</v>
      </c>
      <c r="K5428" s="9">
        <v>1.908E-5</v>
      </c>
      <c r="L5428" s="9">
        <v>8.0970000000000006E-5</v>
      </c>
      <c r="M5428" s="9">
        <v>8.6089999999999997E-5</v>
      </c>
      <c r="N5428" s="9">
        <v>9.0519999999999994E-5</v>
      </c>
      <c r="O5428" s="9">
        <v>6.2500000000000001E-5</v>
      </c>
      <c r="P5428" s="9">
        <v>6.0479999999999997E-5</v>
      </c>
      <c r="Q5428" s="9">
        <v>5.8669999999999999E-5</v>
      </c>
      <c r="R5428" s="10">
        <v>4.3567884770634597E-6</v>
      </c>
      <c r="S5428" s="10">
        <v>5.0148681472593621E-5</v>
      </c>
      <c r="T5428" s="10">
        <v>0</v>
      </c>
      <c r="U5428" s="10">
        <v>7.2979999999999996E-5</v>
      </c>
      <c r="V5428" s="25"/>
      <c r="W5428" s="25"/>
      <c r="X5428" s="25"/>
      <c r="Y5428" s="25"/>
      <c r="Z5428" s="25"/>
      <c r="AA5428" s="25"/>
    </row>
    <row r="5429" spans="1:27" x14ac:dyDescent="0.35">
      <c r="A5429" s="5">
        <v>5425</v>
      </c>
      <c r="B5429" s="5">
        <v>227</v>
      </c>
      <c r="C5429" s="5">
        <v>8</v>
      </c>
      <c r="D5429" s="25">
        <v>1.1416E-4</v>
      </c>
      <c r="E5429" s="25">
        <v>1.1717E-4</v>
      </c>
      <c r="F5429" s="25">
        <v>1.2658E-4</v>
      </c>
      <c r="G5429" s="25">
        <v>5.9740000000000001E-5</v>
      </c>
      <c r="H5429" s="25">
        <v>7.6169999999999997E-5</v>
      </c>
      <c r="I5429" s="9">
        <v>8.6199999999999995E-5</v>
      </c>
      <c r="J5429" s="9">
        <v>8.6899999999999998E-5</v>
      </c>
      <c r="K5429" s="9">
        <v>3.8149999999999999E-5</v>
      </c>
      <c r="L5429" s="9">
        <v>6.6530000000000002E-5</v>
      </c>
      <c r="M5429" s="9">
        <v>7.3999999999999996E-5</v>
      </c>
      <c r="N5429" s="9">
        <v>8.1069999999999995E-5</v>
      </c>
      <c r="O5429" s="9">
        <v>5.4169999999999998E-5</v>
      </c>
      <c r="P5429" s="9">
        <v>5.359E-5</v>
      </c>
      <c r="Q5429" s="9">
        <v>5.3170000000000001E-5</v>
      </c>
      <c r="R5429" s="10">
        <v>8.7697973210240238E-6</v>
      </c>
      <c r="S5429" s="10">
        <v>3.5909792071848416E-5</v>
      </c>
      <c r="T5429" s="10">
        <v>0</v>
      </c>
      <c r="U5429" s="10">
        <v>7.3239999999999997E-5</v>
      </c>
      <c r="V5429" s="25"/>
      <c r="W5429" s="25"/>
      <c r="X5429" s="25"/>
      <c r="Y5429" s="25"/>
      <c r="Z5429" s="25"/>
      <c r="AA5429" s="25"/>
    </row>
    <row r="5430" spans="1:27" x14ac:dyDescent="0.35">
      <c r="A5430" s="5">
        <v>5426</v>
      </c>
      <c r="B5430" s="5">
        <v>227</v>
      </c>
      <c r="C5430" s="5">
        <v>8</v>
      </c>
      <c r="D5430" s="25">
        <v>1.1415000000000001E-4</v>
      </c>
      <c r="E5430" s="25">
        <v>1.1671999999999999E-4</v>
      </c>
      <c r="F5430" s="25">
        <v>1.1090999999999999E-4</v>
      </c>
      <c r="G5430" s="25">
        <v>5.6530000000000003E-5</v>
      </c>
      <c r="H5430" s="25">
        <v>6.9060000000000006E-5</v>
      </c>
      <c r="I5430" s="9">
        <v>8.297E-5</v>
      </c>
      <c r="J5430" s="9">
        <v>8.4770000000000003E-5</v>
      </c>
      <c r="K5430" s="9">
        <v>2.544E-5</v>
      </c>
      <c r="L5430" s="9">
        <v>5.7290000000000002E-5</v>
      </c>
      <c r="M5430" s="9">
        <v>6.3769999999999994E-5</v>
      </c>
      <c r="N5430" s="9">
        <v>7.1929999999999997E-5</v>
      </c>
      <c r="O5430" s="9">
        <v>1.897E-5</v>
      </c>
      <c r="P5430" s="9">
        <v>3.7610000000000001E-5</v>
      </c>
      <c r="Q5430" s="9">
        <v>5.5970000000000001E-5</v>
      </c>
      <c r="R5430" s="10">
        <v>1.8380239546783394E-5</v>
      </c>
      <c r="S5430" s="10">
        <v>2.6066337207927184E-5</v>
      </c>
      <c r="T5430" s="10">
        <v>0</v>
      </c>
      <c r="U5430" s="10">
        <v>7.3239999999999997E-5</v>
      </c>
      <c r="V5430" s="25"/>
      <c r="W5430" s="25"/>
      <c r="X5430" s="25"/>
      <c r="Y5430" s="25"/>
      <c r="Z5430" s="25"/>
      <c r="AA5430" s="25"/>
    </row>
    <row r="5431" spans="1:27" x14ac:dyDescent="0.35">
      <c r="A5431" s="5">
        <v>5427</v>
      </c>
      <c r="B5431" s="5">
        <v>227</v>
      </c>
      <c r="C5431" s="5">
        <v>8</v>
      </c>
      <c r="D5431" s="25">
        <v>1.1416E-4</v>
      </c>
      <c r="E5431" s="25">
        <v>1.1721E-4</v>
      </c>
      <c r="F5431" s="25">
        <v>1.0953E-4</v>
      </c>
      <c r="G5431" s="25">
        <v>5.736E-5</v>
      </c>
      <c r="H5431" s="25">
        <v>7.2669999999999994E-5</v>
      </c>
      <c r="I5431" s="9">
        <v>8.1849999999999997E-5</v>
      </c>
      <c r="J5431" s="9">
        <v>8.3499999999999997E-5</v>
      </c>
      <c r="K5431" s="9">
        <v>2.332E-5</v>
      </c>
      <c r="L5431" s="9">
        <v>2.762E-5</v>
      </c>
      <c r="M5431" s="9">
        <v>5.2009999999999998E-5</v>
      </c>
      <c r="N5431" s="9">
        <v>6.5350000000000003E-5</v>
      </c>
      <c r="O5431" s="9">
        <v>1.3720000000000001E-5</v>
      </c>
      <c r="P5431" s="9">
        <v>3.8109999999999999E-5</v>
      </c>
      <c r="Q5431" s="9">
        <v>6.211E-5</v>
      </c>
      <c r="R5431" s="10">
        <v>2.5828378746525689E-5</v>
      </c>
      <c r="S5431" s="10">
        <v>1.6103851102652275E-5</v>
      </c>
      <c r="T5431" s="10">
        <v>0</v>
      </c>
      <c r="U5431" s="10">
        <v>7.3239999999999997E-5</v>
      </c>
      <c r="V5431" s="25"/>
      <c r="W5431" s="25"/>
      <c r="X5431" s="25"/>
      <c r="Y5431" s="25"/>
      <c r="Z5431" s="25"/>
      <c r="AA5431" s="25"/>
    </row>
    <row r="5432" spans="1:27" x14ac:dyDescent="0.35">
      <c r="A5432" s="5">
        <v>5428</v>
      </c>
      <c r="B5432" s="5">
        <v>227</v>
      </c>
      <c r="C5432" s="5">
        <v>8</v>
      </c>
      <c r="D5432" s="25">
        <v>1.1415000000000001E-4</v>
      </c>
      <c r="E5432" s="25">
        <v>1.1182E-4</v>
      </c>
      <c r="F5432" s="25">
        <v>1.1584E-4</v>
      </c>
      <c r="G5432" s="25">
        <v>5.2370000000000002E-5</v>
      </c>
      <c r="H5432" s="25">
        <v>6.8979999999999993E-5</v>
      </c>
      <c r="I5432" s="9">
        <v>8.1580000000000002E-5</v>
      </c>
      <c r="J5432" s="9">
        <v>8.2700000000000004E-5</v>
      </c>
      <c r="K5432" s="9">
        <v>1.908E-5</v>
      </c>
      <c r="L5432" s="9">
        <v>1.7499999999999998E-5</v>
      </c>
      <c r="M5432" s="9">
        <v>4.4209999999999999E-5</v>
      </c>
      <c r="N5432" s="9">
        <v>6.1920000000000003E-5</v>
      </c>
      <c r="O5432" s="9">
        <v>1.3689999999999999E-5</v>
      </c>
      <c r="P5432" s="9">
        <v>4.7549999999999997E-5</v>
      </c>
      <c r="Q5432" s="9">
        <v>8.0870000000000003E-5</v>
      </c>
      <c r="R5432" s="10">
        <v>2.6350093757307528E-5</v>
      </c>
      <c r="S5432" s="10">
        <v>1.0145585989777464E-5</v>
      </c>
      <c r="T5432" s="10">
        <v>0</v>
      </c>
      <c r="U5432" s="10">
        <v>7.3239999999999997E-5</v>
      </c>
      <c r="V5432" s="25"/>
      <c r="W5432" s="25"/>
      <c r="X5432" s="25"/>
      <c r="Y5432" s="25"/>
      <c r="Z5432" s="25"/>
      <c r="AA5432" s="25"/>
    </row>
    <row r="5433" spans="1:27" x14ac:dyDescent="0.35">
      <c r="A5433" s="5">
        <v>5429</v>
      </c>
      <c r="B5433" s="5">
        <v>227</v>
      </c>
      <c r="C5433" s="5">
        <v>8</v>
      </c>
      <c r="D5433" s="25">
        <v>1.1416E-4</v>
      </c>
      <c r="E5433" s="25">
        <v>1.1914E-4</v>
      </c>
      <c r="F5433" s="25">
        <v>1.1430999999999999E-4</v>
      </c>
      <c r="G5433" s="25">
        <v>6.2929999999999995E-5</v>
      </c>
      <c r="H5433" s="25">
        <v>7.0850000000000001E-5</v>
      </c>
      <c r="I5433" s="9">
        <v>8.1210000000000003E-5</v>
      </c>
      <c r="J5433" s="9">
        <v>8.1440000000000006E-5</v>
      </c>
      <c r="K5433" s="9">
        <v>1.908E-5</v>
      </c>
      <c r="L5433" s="9">
        <v>1.4769999999999999E-5</v>
      </c>
      <c r="M5433" s="9">
        <v>4.367E-5</v>
      </c>
      <c r="N5433" s="9">
        <v>6.4579999999999995E-5</v>
      </c>
      <c r="O5433" s="9">
        <v>1.9190000000000001E-5</v>
      </c>
      <c r="P5433" s="9">
        <v>5.7049999999999998E-5</v>
      </c>
      <c r="Q5433" s="9">
        <v>9.4339999999999995E-5</v>
      </c>
      <c r="R5433" s="10">
        <v>2.2351648118636203E-5</v>
      </c>
      <c r="S5433" s="10">
        <v>8.894091507704617E-6</v>
      </c>
      <c r="T5433" s="10">
        <v>0</v>
      </c>
      <c r="U5433" s="10">
        <v>7.3239999999999997E-5</v>
      </c>
      <c r="V5433" s="25"/>
      <c r="W5433" s="25"/>
      <c r="X5433" s="25"/>
      <c r="Y5433" s="25"/>
      <c r="Z5433" s="25"/>
      <c r="AA5433" s="25"/>
    </row>
    <row r="5434" spans="1:27" x14ac:dyDescent="0.35">
      <c r="A5434" s="5">
        <v>5430</v>
      </c>
      <c r="B5434" s="5">
        <v>227</v>
      </c>
      <c r="C5434" s="5">
        <v>8</v>
      </c>
      <c r="D5434" s="25">
        <v>1.1415000000000001E-4</v>
      </c>
      <c r="E5434" s="25">
        <v>1.1388E-4</v>
      </c>
      <c r="F5434" s="25">
        <v>1.2366999999999999E-4</v>
      </c>
      <c r="G5434" s="25">
        <v>1.1455000000000001E-4</v>
      </c>
      <c r="H5434" s="25">
        <v>1.2956999999999999E-4</v>
      </c>
      <c r="I5434" s="9">
        <v>8.1450000000000001E-5</v>
      </c>
      <c r="J5434" s="9">
        <v>8.0179999999999995E-5</v>
      </c>
      <c r="K5434" s="9">
        <v>1.272E-5</v>
      </c>
      <c r="L5434" s="9">
        <v>1.808E-5</v>
      </c>
      <c r="M5434" s="9">
        <v>4.8690000000000003E-5</v>
      </c>
      <c r="N5434" s="9">
        <v>7.1299999999999998E-5</v>
      </c>
      <c r="O5434" s="9">
        <v>4.6300000000000001E-5</v>
      </c>
      <c r="P5434" s="9">
        <v>7.6799999999999997E-5</v>
      </c>
      <c r="Q5434" s="9">
        <v>1.0695E-4</v>
      </c>
      <c r="R5434" s="10">
        <v>2.0756357006406102E-5</v>
      </c>
      <c r="S5434" s="10">
        <v>8.919225503394614E-6</v>
      </c>
      <c r="T5434" s="10">
        <v>1.7655826947646576E-5</v>
      </c>
      <c r="U5434" s="10">
        <v>7.3239999999999997E-5</v>
      </c>
      <c r="V5434" s="25"/>
      <c r="W5434" s="25"/>
      <c r="X5434" s="25"/>
      <c r="Y5434" s="25"/>
      <c r="Z5434" s="25"/>
      <c r="AA5434" s="25"/>
    </row>
    <row r="5435" spans="1:27" x14ac:dyDescent="0.35">
      <c r="A5435" s="5">
        <v>5431</v>
      </c>
      <c r="B5435" s="5">
        <v>227</v>
      </c>
      <c r="C5435" s="5">
        <v>8</v>
      </c>
      <c r="D5435" s="25">
        <v>1.1416E-4</v>
      </c>
      <c r="E5435" s="25">
        <v>1.1723E-4</v>
      </c>
      <c r="F5435" s="25">
        <v>1.0987E-4</v>
      </c>
      <c r="G5435" s="25">
        <v>1.0877E-4</v>
      </c>
      <c r="H5435" s="25">
        <v>1.3467000000000001E-4</v>
      </c>
      <c r="I5435" s="9">
        <v>8.2349999999999996E-5</v>
      </c>
      <c r="J5435" s="9">
        <v>8.1379999999999997E-5</v>
      </c>
      <c r="K5435" s="9">
        <v>1.272E-5</v>
      </c>
      <c r="L5435" s="9">
        <v>3.9950000000000002E-5</v>
      </c>
      <c r="M5435" s="9">
        <v>6.0220000000000003E-5</v>
      </c>
      <c r="N5435" s="9">
        <v>8.0980000000000001E-5</v>
      </c>
      <c r="O5435" s="9">
        <v>1.2362000000000001E-4</v>
      </c>
      <c r="P5435" s="9">
        <v>1.1815E-4</v>
      </c>
      <c r="Q5435" s="9">
        <v>1.1318E-4</v>
      </c>
      <c r="R5435" s="10">
        <v>1.8288861331544647E-5</v>
      </c>
      <c r="S5435" s="10">
        <v>9.1552038729609984E-6</v>
      </c>
      <c r="T5435" s="10">
        <v>6.2868658184556047E-5</v>
      </c>
      <c r="U5435" s="10">
        <v>7.3239999999999997E-5</v>
      </c>
      <c r="V5435" s="25"/>
      <c r="W5435" s="25"/>
      <c r="X5435" s="25"/>
      <c r="Y5435" s="25"/>
      <c r="Z5435" s="25"/>
      <c r="AA5435" s="25"/>
    </row>
    <row r="5436" spans="1:27" x14ac:dyDescent="0.35">
      <c r="A5436" s="5">
        <v>5432</v>
      </c>
      <c r="B5436" s="5">
        <v>227</v>
      </c>
      <c r="C5436" s="5">
        <v>8</v>
      </c>
      <c r="D5436" s="25">
        <v>1.1415000000000001E-4</v>
      </c>
      <c r="E5436" s="25">
        <v>1.1304E-4</v>
      </c>
      <c r="F5436" s="25">
        <v>1.1021E-4</v>
      </c>
      <c r="G5436" s="25">
        <v>1.6525000000000001E-4</v>
      </c>
      <c r="H5436" s="25">
        <v>1.9005000000000001E-4</v>
      </c>
      <c r="I5436" s="9">
        <v>8.4369999999999994E-5</v>
      </c>
      <c r="J5436" s="9">
        <v>8.5599999999999994E-5</v>
      </c>
      <c r="K5436" s="9">
        <v>2.12E-6</v>
      </c>
      <c r="L5436" s="9">
        <v>1.0459999999999999E-4</v>
      </c>
      <c r="M5436" s="9">
        <v>8.4040000000000002E-5</v>
      </c>
      <c r="N5436" s="9">
        <v>9.1219999999999997E-5</v>
      </c>
      <c r="O5436" s="9">
        <v>2.164E-4</v>
      </c>
      <c r="P5436" s="9">
        <v>1.7515E-4</v>
      </c>
      <c r="Q5436" s="9">
        <v>1.3530000000000001E-4</v>
      </c>
      <c r="R5436" s="10">
        <v>1.310315742535098E-5</v>
      </c>
      <c r="S5436" s="10">
        <v>8.8714911513130052E-6</v>
      </c>
      <c r="T5436" s="10">
        <v>1.0941352441943792E-4</v>
      </c>
      <c r="U5436" s="10">
        <v>7.3239999999999997E-5</v>
      </c>
      <c r="V5436" s="25"/>
      <c r="W5436" s="25"/>
      <c r="X5436" s="25"/>
      <c r="Y5436" s="25"/>
      <c r="Z5436" s="25"/>
      <c r="AA5436" s="25"/>
    </row>
    <row r="5437" spans="1:27" x14ac:dyDescent="0.35">
      <c r="A5437" s="5">
        <v>5433</v>
      </c>
      <c r="B5437" s="5">
        <v>227</v>
      </c>
      <c r="C5437" s="5">
        <v>8</v>
      </c>
      <c r="D5437" s="25">
        <v>1.1416E-4</v>
      </c>
      <c r="E5437" s="25">
        <v>1.1674E-4</v>
      </c>
      <c r="F5437" s="25">
        <v>1.0865E-4</v>
      </c>
      <c r="G5437" s="25">
        <v>1.6744000000000001E-4</v>
      </c>
      <c r="H5437" s="25">
        <v>1.9562E-4</v>
      </c>
      <c r="I5437" s="9">
        <v>8.6600000000000004E-5</v>
      </c>
      <c r="J5437" s="9">
        <v>8.954E-5</v>
      </c>
      <c r="K5437" s="9">
        <v>0</v>
      </c>
      <c r="L5437" s="9">
        <v>1.9002999999999999E-4</v>
      </c>
      <c r="M5437" s="9">
        <v>1.2301E-4</v>
      </c>
      <c r="N5437" s="9">
        <v>1.0459E-4</v>
      </c>
      <c r="O5437" s="9">
        <v>2.1148E-4</v>
      </c>
      <c r="P5437" s="9">
        <v>1.9413000000000001E-4</v>
      </c>
      <c r="Q5437" s="9">
        <v>1.7778999999999999E-4</v>
      </c>
      <c r="R5437" s="10">
        <v>7.7584663551918643E-6</v>
      </c>
      <c r="S5437" s="10">
        <v>1.3349049008636456E-5</v>
      </c>
      <c r="T5437" s="10">
        <v>3.1016053134315998E-4</v>
      </c>
      <c r="U5437" s="10">
        <v>7.3239999999999997E-5</v>
      </c>
      <c r="V5437" s="25"/>
      <c r="W5437" s="25"/>
      <c r="X5437" s="25"/>
      <c r="Y5437" s="25"/>
      <c r="Z5437" s="25"/>
      <c r="AA5437" s="25"/>
    </row>
    <row r="5438" spans="1:27" x14ac:dyDescent="0.35">
      <c r="A5438" s="5">
        <v>5434</v>
      </c>
      <c r="B5438" s="5">
        <v>227</v>
      </c>
      <c r="C5438" s="5">
        <v>8</v>
      </c>
      <c r="D5438" s="25">
        <v>1.1415000000000001E-4</v>
      </c>
      <c r="E5438" s="25">
        <v>1.2159000000000001E-4</v>
      </c>
      <c r="F5438" s="25">
        <v>1.1181E-4</v>
      </c>
      <c r="G5438" s="25">
        <v>1.6535000000000001E-4</v>
      </c>
      <c r="H5438" s="25">
        <v>1.9417999999999999E-4</v>
      </c>
      <c r="I5438" s="9">
        <v>8.7750000000000005E-5</v>
      </c>
      <c r="J5438" s="9">
        <v>9.1500000000000001E-5</v>
      </c>
      <c r="K5438" s="9">
        <v>0</v>
      </c>
      <c r="L5438" s="9">
        <v>2.0452E-4</v>
      </c>
      <c r="M5438" s="9">
        <v>1.5846999999999999E-4</v>
      </c>
      <c r="N5438" s="9">
        <v>1.2474E-4</v>
      </c>
      <c r="O5438" s="9">
        <v>1.6566000000000001E-4</v>
      </c>
      <c r="P5438" s="9">
        <v>1.7317E-4</v>
      </c>
      <c r="Q5438" s="9">
        <v>1.8113E-4</v>
      </c>
      <c r="R5438" s="10">
        <v>7.6535468382156795E-6</v>
      </c>
      <c r="S5438" s="10">
        <v>2.0091969823629368E-5</v>
      </c>
      <c r="T5438" s="10">
        <v>3.7923969665202038E-4</v>
      </c>
      <c r="U5438" s="10">
        <v>7.3239999999999997E-5</v>
      </c>
      <c r="V5438" s="25"/>
      <c r="W5438" s="25"/>
      <c r="X5438" s="25"/>
      <c r="Y5438" s="25"/>
      <c r="Z5438" s="25"/>
      <c r="AA5438" s="25"/>
    </row>
    <row r="5439" spans="1:27" x14ac:dyDescent="0.35">
      <c r="A5439" s="5">
        <v>5435</v>
      </c>
      <c r="B5439" s="5">
        <v>227</v>
      </c>
      <c r="C5439" s="5">
        <v>8</v>
      </c>
      <c r="D5439" s="25">
        <v>1.1416E-4</v>
      </c>
      <c r="E5439" s="25">
        <v>1.1677E-4</v>
      </c>
      <c r="F5439" s="25">
        <v>1.1605E-4</v>
      </c>
      <c r="G5439" s="25">
        <v>1.6285E-4</v>
      </c>
      <c r="H5439" s="25">
        <v>1.9252000000000001E-4</v>
      </c>
      <c r="I5439" s="9">
        <v>8.7540000000000006E-5</v>
      </c>
      <c r="J5439" s="9">
        <v>9.3490000000000001E-5</v>
      </c>
      <c r="K5439" s="9">
        <v>0</v>
      </c>
      <c r="L5439" s="9">
        <v>1.7422999999999999E-4</v>
      </c>
      <c r="M5439" s="9">
        <v>1.7201E-4</v>
      </c>
      <c r="N5439" s="9">
        <v>1.4254E-4</v>
      </c>
      <c r="O5439" s="9">
        <v>1.6775000000000001E-4</v>
      </c>
      <c r="P5439" s="9">
        <v>1.74E-4</v>
      </c>
      <c r="Q5439" s="9">
        <v>1.8071999999999999E-4</v>
      </c>
      <c r="R5439" s="10">
        <v>1.0498075823944884E-5</v>
      </c>
      <c r="S5439" s="10">
        <v>2.4816954746800337E-5</v>
      </c>
      <c r="T5439" s="10">
        <v>1.6553716462063066E-4</v>
      </c>
      <c r="U5439" s="10">
        <v>7.3239999999999997E-5</v>
      </c>
      <c r="V5439" s="25"/>
      <c r="W5439" s="25"/>
      <c r="X5439" s="25"/>
      <c r="Y5439" s="25"/>
      <c r="Z5439" s="25"/>
      <c r="AA5439" s="25"/>
    </row>
    <row r="5440" spans="1:27" x14ac:dyDescent="0.35">
      <c r="A5440" s="5">
        <v>5436</v>
      </c>
      <c r="B5440" s="5">
        <v>227</v>
      </c>
      <c r="C5440" s="5">
        <v>8</v>
      </c>
      <c r="D5440" s="25">
        <v>1.1415000000000001E-4</v>
      </c>
      <c r="E5440" s="25">
        <v>1.1885E-4</v>
      </c>
      <c r="F5440" s="25">
        <v>1.1356E-4</v>
      </c>
      <c r="G5440" s="25">
        <v>1.6503000000000001E-4</v>
      </c>
      <c r="H5440" s="25">
        <v>1.9116000000000001E-4</v>
      </c>
      <c r="I5440" s="9">
        <v>8.3900000000000006E-5</v>
      </c>
      <c r="J5440" s="9">
        <v>9.569E-5</v>
      </c>
      <c r="K5440" s="9">
        <v>0</v>
      </c>
      <c r="L5440" s="9">
        <v>1.7059E-4</v>
      </c>
      <c r="M5440" s="9">
        <v>1.75E-4</v>
      </c>
      <c r="N5440" s="9">
        <v>1.5686000000000001E-4</v>
      </c>
      <c r="O5440" s="9">
        <v>1.6851999999999999E-4</v>
      </c>
      <c r="P5440" s="9">
        <v>1.7064000000000001E-4</v>
      </c>
      <c r="Q5440" s="9">
        <v>1.7330000000000001E-4</v>
      </c>
      <c r="R5440" s="10">
        <v>1.660840593115729E-5</v>
      </c>
      <c r="S5440" s="10">
        <v>2.1981648009191464E-5</v>
      </c>
      <c r="T5440" s="10">
        <v>1.9252572085343397E-4</v>
      </c>
      <c r="U5440" s="10">
        <v>7.3239999999999997E-5</v>
      </c>
      <c r="V5440" s="25"/>
      <c r="W5440" s="25"/>
      <c r="X5440" s="25"/>
      <c r="Y5440" s="25"/>
      <c r="Z5440" s="25"/>
      <c r="AA5440" s="25"/>
    </row>
    <row r="5441" spans="1:27" x14ac:dyDescent="0.35">
      <c r="A5441" s="5">
        <v>5437</v>
      </c>
      <c r="B5441" s="5">
        <v>227</v>
      </c>
      <c r="C5441" s="5">
        <v>8</v>
      </c>
      <c r="D5441" s="25">
        <v>1.1416E-4</v>
      </c>
      <c r="E5441" s="25">
        <v>1.1369E-4</v>
      </c>
      <c r="F5441" s="25">
        <v>1.1945E-4</v>
      </c>
      <c r="G5441" s="25">
        <v>1.6750000000000001E-4</v>
      </c>
      <c r="H5441" s="25">
        <v>1.9645E-4</v>
      </c>
      <c r="I5441" s="9">
        <v>8.0340000000000007E-5</v>
      </c>
      <c r="J5441" s="9">
        <v>9.5110000000000002E-5</v>
      </c>
      <c r="K5441" s="9">
        <v>0</v>
      </c>
      <c r="L5441" s="9">
        <v>1.6912000000000001E-4</v>
      </c>
      <c r="M5441" s="9">
        <v>1.7372000000000001E-4</v>
      </c>
      <c r="N5441" s="9">
        <v>1.6611999999999999E-4</v>
      </c>
      <c r="O5441" s="9">
        <v>1.6182999999999999E-4</v>
      </c>
      <c r="P5441" s="9">
        <v>1.6474E-4</v>
      </c>
      <c r="Q5441" s="9">
        <v>1.6815999999999999E-4</v>
      </c>
      <c r="R5441" s="10">
        <v>2.6460816996934289E-5</v>
      </c>
      <c r="S5441" s="10">
        <v>1.9043831815000764E-5</v>
      </c>
      <c r="T5441" s="10">
        <v>2.2002333504724591E-4</v>
      </c>
      <c r="U5441" s="10">
        <v>7.3239999999999997E-5</v>
      </c>
      <c r="V5441" s="25"/>
      <c r="W5441" s="25"/>
      <c r="X5441" s="25"/>
      <c r="Y5441" s="25"/>
      <c r="Z5441" s="25"/>
      <c r="AA5441" s="25"/>
    </row>
    <row r="5442" spans="1:27" x14ac:dyDescent="0.35">
      <c r="A5442" s="5">
        <v>5438</v>
      </c>
      <c r="B5442" s="5">
        <v>227</v>
      </c>
      <c r="C5442" s="5">
        <v>8</v>
      </c>
      <c r="D5442" s="25">
        <v>1.1415000000000001E-4</v>
      </c>
      <c r="E5442" s="25">
        <v>1.1341E-4</v>
      </c>
      <c r="F5442" s="25">
        <v>1.0873E-4</v>
      </c>
      <c r="G5442" s="25">
        <v>1.5624000000000001E-4</v>
      </c>
      <c r="H5442" s="25">
        <v>2.0178000000000001E-4</v>
      </c>
      <c r="I5442" s="9">
        <v>7.7319999999999998E-5</v>
      </c>
      <c r="J5442" s="9">
        <v>9.3800000000000003E-5</v>
      </c>
      <c r="K5442" s="9">
        <v>0</v>
      </c>
      <c r="L5442" s="9">
        <v>1.6321E-4</v>
      </c>
      <c r="M5442" s="9">
        <v>1.7011000000000001E-4</v>
      </c>
      <c r="N5442" s="9">
        <v>1.7061999999999999E-4</v>
      </c>
      <c r="O5442" s="9">
        <v>1.7888999999999999E-4</v>
      </c>
      <c r="P5442" s="9">
        <v>1.7006000000000001E-4</v>
      </c>
      <c r="Q5442" s="9">
        <v>1.6197E-4</v>
      </c>
      <c r="R5442" s="10">
        <v>3.7046221173918709E-5</v>
      </c>
      <c r="S5442" s="10">
        <v>2.251955819150683E-5</v>
      </c>
      <c r="T5442" s="10">
        <v>4.9675572695084431E-5</v>
      </c>
      <c r="U5442" s="10">
        <v>7.3239999999999997E-5</v>
      </c>
      <c r="V5442" s="25"/>
      <c r="W5442" s="25"/>
      <c r="X5442" s="25"/>
      <c r="Y5442" s="25"/>
      <c r="Z5442" s="25"/>
      <c r="AA5442" s="25"/>
    </row>
    <row r="5443" spans="1:27" x14ac:dyDescent="0.35">
      <c r="A5443" s="5">
        <v>5439</v>
      </c>
      <c r="B5443" s="5">
        <v>227</v>
      </c>
      <c r="C5443" s="5">
        <v>8</v>
      </c>
      <c r="D5443" s="25">
        <v>1.1416E-4</v>
      </c>
      <c r="E5443" s="25">
        <v>1.1446E-4</v>
      </c>
      <c r="F5443" s="25">
        <v>1.2501999999999999E-4</v>
      </c>
      <c r="G5443" s="25">
        <v>1.6196E-4</v>
      </c>
      <c r="H5443" s="25">
        <v>1.9926000000000001E-4</v>
      </c>
      <c r="I5443" s="9">
        <v>7.6990000000000007E-5</v>
      </c>
      <c r="J5443" s="9">
        <v>9.2570000000000003E-5</v>
      </c>
      <c r="K5443" s="9">
        <v>0</v>
      </c>
      <c r="L5443" s="9">
        <v>1.7558999999999999E-4</v>
      </c>
      <c r="M5443" s="9">
        <v>1.6906000000000001E-4</v>
      </c>
      <c r="N5443" s="9">
        <v>1.7038000000000001E-4</v>
      </c>
      <c r="O5443" s="9">
        <v>1.8427999999999999E-4</v>
      </c>
      <c r="P5443" s="9">
        <v>1.6859000000000001E-4</v>
      </c>
      <c r="Q5443" s="9">
        <v>1.5377000000000001E-4</v>
      </c>
      <c r="R5443" s="10">
        <v>4.3030288329631919E-5</v>
      </c>
      <c r="S5443" s="10">
        <v>3.8334435972004865E-5</v>
      </c>
      <c r="T5443" s="10">
        <v>1.0234610306076919E-4</v>
      </c>
      <c r="U5443" s="10">
        <v>7.3239999999999997E-5</v>
      </c>
      <c r="V5443" s="25"/>
      <c r="W5443" s="25"/>
      <c r="X5443" s="25"/>
      <c r="Y5443" s="25"/>
      <c r="Z5443" s="25"/>
      <c r="AA5443" s="25"/>
    </row>
    <row r="5444" spans="1:27" x14ac:dyDescent="0.35">
      <c r="A5444" s="5">
        <v>5440</v>
      </c>
      <c r="B5444" s="5">
        <v>227</v>
      </c>
      <c r="C5444" s="5">
        <v>8</v>
      </c>
      <c r="D5444" s="25">
        <v>1.1415000000000001E-4</v>
      </c>
      <c r="E5444" s="25">
        <v>1.15E-4</v>
      </c>
      <c r="F5444" s="25">
        <v>1.1803000000000001E-4</v>
      </c>
      <c r="G5444" s="25">
        <v>1.6363E-4</v>
      </c>
      <c r="H5444" s="25">
        <v>1.9959000000000001E-4</v>
      </c>
      <c r="I5444" s="9">
        <v>7.8330000000000004E-5</v>
      </c>
      <c r="J5444" s="9">
        <v>9.3549999999999997E-5</v>
      </c>
      <c r="K5444" s="9">
        <v>0</v>
      </c>
      <c r="L5444" s="9">
        <v>1.8204000000000001E-4</v>
      </c>
      <c r="M5444" s="9">
        <v>1.6871E-4</v>
      </c>
      <c r="N5444" s="9">
        <v>1.6676000000000001E-4</v>
      </c>
      <c r="O5444" s="9">
        <v>1.9798999999999999E-4</v>
      </c>
      <c r="P5444" s="9">
        <v>1.5359E-4</v>
      </c>
      <c r="Q5444" s="9">
        <v>1.1058E-4</v>
      </c>
      <c r="R5444" s="10">
        <v>5.1788018879393213E-5</v>
      </c>
      <c r="S5444" s="10">
        <v>5.6653347647148802E-5</v>
      </c>
      <c r="T5444" s="10">
        <v>7.8386441695966713E-5</v>
      </c>
      <c r="U5444" s="10">
        <v>7.3239999999999997E-5</v>
      </c>
      <c r="V5444" s="25"/>
      <c r="W5444" s="25"/>
      <c r="X5444" s="25"/>
      <c r="Y5444" s="25"/>
      <c r="Z5444" s="25"/>
      <c r="AA5444" s="25"/>
    </row>
    <row r="5445" spans="1:27" x14ac:dyDescent="0.35">
      <c r="A5445" s="5">
        <v>5441</v>
      </c>
      <c r="B5445" s="5">
        <v>227</v>
      </c>
      <c r="C5445" s="5">
        <v>8</v>
      </c>
      <c r="D5445" s="25">
        <v>1.1416E-4</v>
      </c>
      <c r="E5445" s="25">
        <v>1.2092E-4</v>
      </c>
      <c r="F5445" s="25">
        <v>1.2426000000000001E-4</v>
      </c>
      <c r="G5445" s="25">
        <v>1.6097999999999999E-4</v>
      </c>
      <c r="H5445" s="25">
        <v>1.9196E-4</v>
      </c>
      <c r="I5445" s="9">
        <v>8.2169999999999994E-5</v>
      </c>
      <c r="J5445" s="9">
        <v>9.7949999999999996E-5</v>
      </c>
      <c r="K5445" s="9">
        <v>0</v>
      </c>
      <c r="L5445" s="9">
        <v>1.9426E-4</v>
      </c>
      <c r="M5445" s="9">
        <v>1.6328E-4</v>
      </c>
      <c r="N5445" s="9">
        <v>1.5315000000000001E-4</v>
      </c>
      <c r="O5445" s="9">
        <v>2.1415E-4</v>
      </c>
      <c r="P5445" s="9">
        <v>1.6013E-4</v>
      </c>
      <c r="Q5445" s="9">
        <v>1.0771E-4</v>
      </c>
      <c r="R5445" s="10">
        <v>8.1927631441906605E-5</v>
      </c>
      <c r="S5445" s="10">
        <v>7.2615707805902968E-5</v>
      </c>
      <c r="T5445" s="10">
        <v>3.7033966663372086E-5</v>
      </c>
      <c r="U5445" s="10">
        <v>7.3239999999999997E-5</v>
      </c>
      <c r="V5445" s="25"/>
      <c r="W5445" s="25"/>
      <c r="X5445" s="25"/>
      <c r="Y5445" s="25"/>
      <c r="Z5445" s="25"/>
      <c r="AA5445" s="25"/>
    </row>
    <row r="5446" spans="1:27" x14ac:dyDescent="0.35">
      <c r="A5446" s="5">
        <v>5442</v>
      </c>
      <c r="B5446" s="5">
        <v>227</v>
      </c>
      <c r="C5446" s="5">
        <v>8</v>
      </c>
      <c r="D5446" s="25">
        <v>1.1415000000000001E-4</v>
      </c>
      <c r="E5446" s="25">
        <v>1.1765999999999999E-4</v>
      </c>
      <c r="F5446" s="25">
        <v>1.1233E-4</v>
      </c>
      <c r="G5446" s="25">
        <v>1.6610999999999999E-4</v>
      </c>
      <c r="H5446" s="25">
        <v>2.0074000000000001E-4</v>
      </c>
      <c r="I5446" s="9">
        <v>8.7689999999999996E-5</v>
      </c>
      <c r="J5446" s="9">
        <v>1.0004E-4</v>
      </c>
      <c r="K5446" s="9">
        <v>0</v>
      </c>
      <c r="L5446" s="9">
        <v>2.0953000000000001E-4</v>
      </c>
      <c r="M5446" s="9">
        <v>1.6061999999999999E-4</v>
      </c>
      <c r="N5446" s="9">
        <v>1.3986000000000001E-4</v>
      </c>
      <c r="O5446" s="9">
        <v>2.0594999999999999E-4</v>
      </c>
      <c r="P5446" s="9">
        <v>1.6152000000000001E-4</v>
      </c>
      <c r="Q5446" s="9">
        <v>1.1849999999999999E-4</v>
      </c>
      <c r="R5446" s="10">
        <v>9.9914651850515113E-5</v>
      </c>
      <c r="S5446" s="10">
        <v>8.3955228317673326E-5</v>
      </c>
      <c r="T5446" s="10">
        <v>1.6722554019130902E-5</v>
      </c>
      <c r="U5446" s="10">
        <v>7.3239999999999997E-5</v>
      </c>
      <c r="V5446" s="25"/>
      <c r="W5446" s="25"/>
      <c r="X5446" s="25"/>
      <c r="Y5446" s="25"/>
      <c r="Z5446" s="25"/>
      <c r="AA5446" s="25"/>
    </row>
    <row r="5447" spans="1:27" x14ac:dyDescent="0.35">
      <c r="A5447" s="5">
        <v>5443</v>
      </c>
      <c r="B5447" s="5">
        <v>227</v>
      </c>
      <c r="C5447" s="5">
        <v>8</v>
      </c>
      <c r="D5447" s="25">
        <v>1.1416E-4</v>
      </c>
      <c r="E5447" s="25">
        <v>1.1572E-4</v>
      </c>
      <c r="F5447" s="25">
        <v>1.0831E-4</v>
      </c>
      <c r="G5447" s="25">
        <v>1.1056999999999999E-4</v>
      </c>
      <c r="H5447" s="25">
        <v>1.3842999999999999E-4</v>
      </c>
      <c r="I5447" s="9">
        <v>9.1199999999999994E-5</v>
      </c>
      <c r="J5447" s="9">
        <v>9.9669999999999999E-5</v>
      </c>
      <c r="K5447" s="9">
        <v>0</v>
      </c>
      <c r="L5447" s="9">
        <v>2.0635E-4</v>
      </c>
      <c r="M5447" s="9">
        <v>1.6040999999999999E-4</v>
      </c>
      <c r="N5447" s="9">
        <v>1.3083999999999999E-4</v>
      </c>
      <c r="O5447" s="9">
        <v>1.6383000000000001E-4</v>
      </c>
      <c r="P5447" s="9">
        <v>1.3496999999999999E-4</v>
      </c>
      <c r="Q5447" s="9">
        <v>1.0713E-4</v>
      </c>
      <c r="R5447" s="10">
        <v>1.2910075843459301E-4</v>
      </c>
      <c r="S5447" s="10">
        <v>8.9622689225049351E-5</v>
      </c>
      <c r="T5447" s="10">
        <v>6.2105071243043221E-6</v>
      </c>
      <c r="U5447" s="10">
        <v>7.3239999999999997E-5</v>
      </c>
      <c r="V5447" s="25"/>
      <c r="W5447" s="25"/>
      <c r="X5447" s="25"/>
      <c r="Y5447" s="25"/>
      <c r="Z5447" s="25"/>
      <c r="AA5447" s="25"/>
    </row>
    <row r="5448" spans="1:27" x14ac:dyDescent="0.35">
      <c r="A5448" s="5">
        <v>5444</v>
      </c>
      <c r="B5448" s="5">
        <v>227</v>
      </c>
      <c r="C5448" s="5">
        <v>8</v>
      </c>
      <c r="D5448" s="25">
        <v>1.1415000000000001E-4</v>
      </c>
      <c r="E5448" s="25">
        <v>1.2113E-4</v>
      </c>
      <c r="F5448" s="25">
        <v>1.1472999999999999E-4</v>
      </c>
      <c r="G5448" s="25">
        <v>1.1445E-4</v>
      </c>
      <c r="H5448" s="25">
        <v>1.3027000000000001E-4</v>
      </c>
      <c r="I5448" s="9">
        <v>9.3129999999999998E-5</v>
      </c>
      <c r="J5448" s="9">
        <v>9.9469999999999995E-5</v>
      </c>
      <c r="K5448" s="9">
        <v>2.1299999999999999E-6</v>
      </c>
      <c r="L5448" s="9">
        <v>1.7333999999999999E-4</v>
      </c>
      <c r="M5448" s="9">
        <v>1.5135999999999999E-4</v>
      </c>
      <c r="N5448" s="9">
        <v>1.2155999999999999E-4</v>
      </c>
      <c r="O5448" s="9">
        <v>1.2814E-4</v>
      </c>
      <c r="P5448" s="9">
        <v>1.1457E-4</v>
      </c>
      <c r="Q5448" s="9">
        <v>1.0163E-4</v>
      </c>
      <c r="R5448" s="10">
        <v>1.4790126261017393E-4</v>
      </c>
      <c r="S5448" s="10">
        <v>9.2853191891417171E-5</v>
      </c>
      <c r="T5448" s="10">
        <v>0</v>
      </c>
      <c r="U5448" s="10">
        <v>7.3239999999999997E-5</v>
      </c>
      <c r="V5448" s="25"/>
      <c r="W5448" s="25"/>
      <c r="X5448" s="25"/>
      <c r="Y5448" s="25"/>
      <c r="Z5448" s="25"/>
      <c r="AA5448" s="25"/>
    </row>
    <row r="5449" spans="1:27" x14ac:dyDescent="0.35">
      <c r="A5449" s="5">
        <v>5445</v>
      </c>
      <c r="B5449" s="5">
        <v>227</v>
      </c>
      <c r="C5449" s="5">
        <v>8</v>
      </c>
      <c r="D5449" s="25">
        <v>1.1416E-4</v>
      </c>
      <c r="E5449" s="25">
        <v>1.1627E-4</v>
      </c>
      <c r="F5449" s="25">
        <v>1.1051E-4</v>
      </c>
      <c r="G5449" s="25">
        <v>5.787E-5</v>
      </c>
      <c r="H5449" s="25">
        <v>7.4850000000000003E-5</v>
      </c>
      <c r="I5449" s="9">
        <v>9.6150000000000006E-5</v>
      </c>
      <c r="J5449" s="9">
        <v>1.0200999999999999E-4</v>
      </c>
      <c r="K5449" s="9">
        <v>1.06E-5</v>
      </c>
      <c r="L5449" s="9">
        <v>1.3909999999999999E-4</v>
      </c>
      <c r="M5449" s="9">
        <v>1.3558E-4</v>
      </c>
      <c r="N5449" s="9">
        <v>1.1364E-4</v>
      </c>
      <c r="O5449" s="9">
        <v>8.4289999999999994E-5</v>
      </c>
      <c r="P5449" s="9">
        <v>8.6039999999999996E-5</v>
      </c>
      <c r="Q5449" s="9">
        <v>8.8029999999999996E-5</v>
      </c>
      <c r="R5449" s="10">
        <v>1.4502212533346531E-4</v>
      </c>
      <c r="S5449" s="10">
        <v>9.1421203590000291E-5</v>
      </c>
      <c r="T5449" s="10">
        <v>0</v>
      </c>
      <c r="U5449" s="10">
        <v>7.3239999999999997E-5</v>
      </c>
      <c r="V5449" s="25"/>
      <c r="W5449" s="25"/>
      <c r="X5449" s="25"/>
      <c r="Y5449" s="25"/>
      <c r="Z5449" s="25"/>
      <c r="AA5449" s="25"/>
    </row>
    <row r="5450" spans="1:27" x14ac:dyDescent="0.35">
      <c r="A5450" s="5">
        <v>5446</v>
      </c>
      <c r="B5450" s="5">
        <v>227</v>
      </c>
      <c r="C5450" s="5">
        <v>8</v>
      </c>
      <c r="D5450" s="25">
        <v>1.1415000000000001E-4</v>
      </c>
      <c r="E5450" s="25">
        <v>1.1327E-4</v>
      </c>
      <c r="F5450" s="25">
        <v>1.1477E-4</v>
      </c>
      <c r="G5450" s="25">
        <v>6.2819999999999998E-5</v>
      </c>
      <c r="H5450" s="25">
        <v>6.6279999999999996E-5</v>
      </c>
      <c r="I5450" s="9">
        <v>9.6639999999999996E-5</v>
      </c>
      <c r="J5450" s="9">
        <v>1.0073000000000001E-4</v>
      </c>
      <c r="K5450" s="9">
        <v>1.696E-5</v>
      </c>
      <c r="L5450" s="9">
        <v>9.7269999999999995E-5</v>
      </c>
      <c r="M5450" s="9">
        <v>1.1369E-4</v>
      </c>
      <c r="N5450" s="9">
        <v>1.0582E-4</v>
      </c>
      <c r="O5450" s="9">
        <v>8.7029999999999999E-5</v>
      </c>
      <c r="P5450" s="9">
        <v>8.7410000000000005E-5</v>
      </c>
      <c r="Q5450" s="9">
        <v>8.8059999999999994E-5</v>
      </c>
      <c r="R5450" s="10">
        <v>1.3597443056808585E-4</v>
      </c>
      <c r="S5450" s="10">
        <v>8.0141486271182978E-5</v>
      </c>
      <c r="T5450" s="10">
        <v>0</v>
      </c>
      <c r="U5450" s="10">
        <v>7.3239999999999997E-5</v>
      </c>
      <c r="V5450" s="25"/>
      <c r="W5450" s="25"/>
      <c r="X5450" s="25"/>
      <c r="Y5450" s="25"/>
      <c r="Z5450" s="25"/>
      <c r="AA5450" s="25"/>
    </row>
    <row r="5451" spans="1:27" x14ac:dyDescent="0.35">
      <c r="A5451" s="5">
        <v>5447</v>
      </c>
      <c r="B5451" s="5">
        <v>227</v>
      </c>
      <c r="C5451" s="5">
        <v>8</v>
      </c>
      <c r="D5451" s="25">
        <v>1.1416E-4</v>
      </c>
      <c r="E5451" s="25">
        <v>1.2223E-4</v>
      </c>
      <c r="F5451" s="25">
        <v>1.0715E-4</v>
      </c>
      <c r="G5451" s="25">
        <v>6.1779999999999995E-5</v>
      </c>
      <c r="H5451" s="25">
        <v>6.9579999999999995E-5</v>
      </c>
      <c r="I5451" s="9">
        <v>9.2529999999999997E-5</v>
      </c>
      <c r="J5451" s="9">
        <v>9.5299999999999999E-5</v>
      </c>
      <c r="K5451" s="9">
        <v>1.484E-5</v>
      </c>
      <c r="L5451" s="9">
        <v>9.0210000000000005E-5</v>
      </c>
      <c r="M5451" s="9">
        <v>9.8869999999999994E-5</v>
      </c>
      <c r="N5451" s="9">
        <v>9.9850000000000001E-5</v>
      </c>
      <c r="O5451" s="9">
        <v>7.7050000000000003E-5</v>
      </c>
      <c r="P5451" s="9">
        <v>7.1530000000000001E-5</v>
      </c>
      <c r="Q5451" s="9">
        <v>6.6320000000000002E-5</v>
      </c>
      <c r="R5451" s="10">
        <v>1.205386912418461E-4</v>
      </c>
      <c r="S5451" s="10">
        <v>6.9790027398988657E-5</v>
      </c>
      <c r="T5451" s="10">
        <v>0</v>
      </c>
      <c r="U5451" s="10">
        <v>7.3239999999999997E-5</v>
      </c>
      <c r="V5451" s="25"/>
      <c r="W5451" s="25"/>
      <c r="X5451" s="25"/>
      <c r="Y5451" s="25"/>
      <c r="Z5451" s="25"/>
      <c r="AA5451" s="25"/>
    </row>
    <row r="5452" spans="1:27" x14ac:dyDescent="0.35">
      <c r="A5452" s="5">
        <v>5448</v>
      </c>
      <c r="B5452" s="5">
        <v>227</v>
      </c>
      <c r="C5452" s="5">
        <v>8</v>
      </c>
      <c r="D5452" s="25">
        <v>1.1415000000000001E-4</v>
      </c>
      <c r="E5452" s="25">
        <v>1.1155E-4</v>
      </c>
      <c r="F5452" s="25">
        <v>1.2354999999999999E-4</v>
      </c>
      <c r="G5452" s="25">
        <v>6.334E-5</v>
      </c>
      <c r="H5452" s="25">
        <v>7.6279999999999995E-5</v>
      </c>
      <c r="I5452" s="9">
        <v>8.7390000000000002E-5</v>
      </c>
      <c r="J5452" s="9">
        <v>9.0110000000000003E-5</v>
      </c>
      <c r="K5452" s="9">
        <v>1.484E-5</v>
      </c>
      <c r="L5452" s="9">
        <v>7.9930000000000002E-5</v>
      </c>
      <c r="M5452" s="9">
        <v>8.577E-5</v>
      </c>
      <c r="N5452" s="9">
        <v>9.0370000000000004E-5</v>
      </c>
      <c r="O5452" s="9">
        <v>6.2769999999999997E-5</v>
      </c>
      <c r="P5452" s="9">
        <v>6.0739999999999998E-5</v>
      </c>
      <c r="Q5452" s="9">
        <v>5.8919999999999998E-5</v>
      </c>
      <c r="R5452" s="10">
        <v>1.0219271701328472E-4</v>
      </c>
      <c r="S5452" s="10">
        <v>5.6522679432896472E-5</v>
      </c>
      <c r="T5452" s="10">
        <v>0</v>
      </c>
      <c r="U5452" s="10">
        <v>7.3239999999999997E-5</v>
      </c>
      <c r="V5452" s="25"/>
      <c r="W5452" s="25"/>
      <c r="X5452" s="25"/>
      <c r="Y5452" s="25"/>
      <c r="Z5452" s="25"/>
      <c r="AA5452" s="25"/>
    </row>
    <row r="5453" spans="1:27" x14ac:dyDescent="0.35">
      <c r="A5453" s="5">
        <v>5449</v>
      </c>
      <c r="B5453" s="5">
        <v>228</v>
      </c>
      <c r="C5453" s="5">
        <v>8</v>
      </c>
      <c r="D5453" s="25">
        <v>1.1416E-4</v>
      </c>
      <c r="E5453" s="25">
        <v>1.1708E-4</v>
      </c>
      <c r="F5453" s="25">
        <v>9.9710000000000006E-5</v>
      </c>
      <c r="G5453" s="25">
        <v>6.1859999999999994E-5</v>
      </c>
      <c r="H5453" s="25">
        <v>7.0229999999999997E-5</v>
      </c>
      <c r="I5453" s="9">
        <v>8.4270000000000005E-5</v>
      </c>
      <c r="J5453" s="9">
        <v>8.6080000000000003E-5</v>
      </c>
      <c r="K5453" s="9">
        <v>1.6949999999999999E-5</v>
      </c>
      <c r="L5453" s="9">
        <v>6.656E-5</v>
      </c>
      <c r="M5453" s="9">
        <v>7.3750000000000004E-5</v>
      </c>
      <c r="N5453" s="9">
        <v>8.0959999999999997E-5</v>
      </c>
      <c r="O5453" s="9">
        <v>5.465E-5</v>
      </c>
      <c r="P5453" s="9">
        <v>5.4060000000000001E-5</v>
      </c>
      <c r="Q5453" s="9">
        <v>5.3640000000000001E-5</v>
      </c>
      <c r="R5453" s="10">
        <v>9.86823016790437E-5</v>
      </c>
      <c r="S5453" s="10">
        <v>5.2392705710208758E-5</v>
      </c>
      <c r="T5453" s="10">
        <v>0</v>
      </c>
      <c r="U5453" s="10">
        <v>7.3759999999999999E-5</v>
      </c>
      <c r="V5453" s="25"/>
      <c r="W5453" s="25"/>
      <c r="X5453" s="25"/>
      <c r="Y5453" s="25"/>
      <c r="Z5453" s="25"/>
      <c r="AA5453" s="25"/>
    </row>
    <row r="5454" spans="1:27" x14ac:dyDescent="0.35">
      <c r="A5454" s="5">
        <v>5450</v>
      </c>
      <c r="B5454" s="5">
        <v>228</v>
      </c>
      <c r="C5454" s="5">
        <v>8</v>
      </c>
      <c r="D5454" s="25">
        <v>1.1415000000000001E-4</v>
      </c>
      <c r="E5454" s="25">
        <v>1.2E-4</v>
      </c>
      <c r="F5454" s="25">
        <v>1.0726E-4</v>
      </c>
      <c r="G5454" s="25">
        <v>5.219E-5</v>
      </c>
      <c r="H5454" s="25">
        <v>7.1979999999999999E-5</v>
      </c>
      <c r="I5454" s="9">
        <v>8.174E-5</v>
      </c>
      <c r="J5454" s="9">
        <v>8.3700000000000002E-5</v>
      </c>
      <c r="K5454" s="9">
        <v>2.5429999999999999E-5</v>
      </c>
      <c r="L5454" s="9">
        <v>5.7630000000000002E-5</v>
      </c>
      <c r="M5454" s="9">
        <v>6.3819999999999995E-5</v>
      </c>
      <c r="N5454" s="9">
        <v>7.1920000000000003E-5</v>
      </c>
      <c r="O5454" s="9">
        <v>1.9179999999999999E-5</v>
      </c>
      <c r="P5454" s="9">
        <v>3.8019999999999999E-5</v>
      </c>
      <c r="Q5454" s="9">
        <v>5.6579999999999997E-5</v>
      </c>
      <c r="R5454" s="10">
        <v>8.9826355652039981E-5</v>
      </c>
      <c r="S5454" s="10">
        <v>4.6550821566453709E-5</v>
      </c>
      <c r="T5454" s="10">
        <v>0</v>
      </c>
      <c r="U5454" s="10">
        <v>7.3759999999999999E-5</v>
      </c>
      <c r="V5454" s="25"/>
      <c r="W5454" s="25"/>
      <c r="X5454" s="25"/>
      <c r="Y5454" s="25"/>
      <c r="Z5454" s="25"/>
      <c r="AA5454" s="25"/>
    </row>
    <row r="5455" spans="1:27" x14ac:dyDescent="0.35">
      <c r="A5455" s="5">
        <v>5451</v>
      </c>
      <c r="B5455" s="5">
        <v>228</v>
      </c>
      <c r="C5455" s="5">
        <v>8</v>
      </c>
      <c r="D5455" s="25">
        <v>1.1416E-4</v>
      </c>
      <c r="E5455" s="25">
        <v>1.1687E-4</v>
      </c>
      <c r="F5455" s="25">
        <v>1.1799E-4</v>
      </c>
      <c r="G5455" s="25">
        <v>5.7899999999999998E-5</v>
      </c>
      <c r="H5455" s="25">
        <v>6.6870000000000002E-5</v>
      </c>
      <c r="I5455" s="9">
        <v>8.0480000000000002E-5</v>
      </c>
      <c r="J5455" s="9">
        <v>8.2579999999999999E-5</v>
      </c>
      <c r="K5455" s="9">
        <v>5.5109999999999999E-5</v>
      </c>
      <c r="L5455" s="9">
        <v>2.7840000000000001E-5</v>
      </c>
      <c r="M5455" s="9">
        <v>5.2269999999999999E-5</v>
      </c>
      <c r="N5455" s="9">
        <v>6.5489999999999998E-5</v>
      </c>
      <c r="O5455" s="9">
        <v>1.3529999999999999E-5</v>
      </c>
      <c r="P5455" s="9">
        <v>3.7599999999999999E-5</v>
      </c>
      <c r="Q5455" s="9">
        <v>6.1290000000000004E-5</v>
      </c>
      <c r="R5455" s="10">
        <v>8.1020107444051764E-5</v>
      </c>
      <c r="S5455" s="10">
        <v>5.2985869502105423E-5</v>
      </c>
      <c r="T5455" s="10">
        <v>0</v>
      </c>
      <c r="U5455" s="10">
        <v>7.3759999999999999E-5</v>
      </c>
      <c r="V5455" s="25"/>
      <c r="W5455" s="25"/>
      <c r="X5455" s="25"/>
      <c r="Y5455" s="25"/>
      <c r="Z5455" s="25"/>
      <c r="AA5455" s="25"/>
    </row>
    <row r="5456" spans="1:27" x14ac:dyDescent="0.35">
      <c r="A5456" s="5">
        <v>5452</v>
      </c>
      <c r="B5456" s="5">
        <v>228</v>
      </c>
      <c r="C5456" s="5">
        <v>8</v>
      </c>
      <c r="D5456" s="25">
        <v>1.1415000000000001E-4</v>
      </c>
      <c r="E5456" s="25">
        <v>1.1616E-4</v>
      </c>
      <c r="F5456" s="25">
        <v>1.0184E-4</v>
      </c>
      <c r="G5456" s="25">
        <v>6.0829999999999999E-5</v>
      </c>
      <c r="H5456" s="25">
        <v>6.6240000000000003E-5</v>
      </c>
      <c r="I5456" s="9">
        <v>8.0359999999999996E-5</v>
      </c>
      <c r="J5456" s="9">
        <v>8.3259999999999999E-5</v>
      </c>
      <c r="K5456" s="9">
        <v>9.7490000000000003E-5</v>
      </c>
      <c r="L5456" s="9">
        <v>1.7419999999999999E-5</v>
      </c>
      <c r="M5456" s="9">
        <v>4.4230000000000002E-5</v>
      </c>
      <c r="N5456" s="9">
        <v>6.1879999999999997E-5</v>
      </c>
      <c r="O5456" s="9">
        <v>1.3570000000000001E-5</v>
      </c>
      <c r="P5456" s="9">
        <v>4.7120000000000003E-5</v>
      </c>
      <c r="Q5456" s="9">
        <v>8.0140000000000002E-5</v>
      </c>
      <c r="R5456" s="10">
        <v>6.9398445622639919E-5</v>
      </c>
      <c r="S5456" s="10">
        <v>5.8123611079831057E-5</v>
      </c>
      <c r="T5456" s="10">
        <v>0</v>
      </c>
      <c r="U5456" s="10">
        <v>7.3759999999999999E-5</v>
      </c>
      <c r="V5456" s="25"/>
      <c r="W5456" s="25"/>
      <c r="X5456" s="25"/>
      <c r="Y5456" s="25"/>
      <c r="Z5456" s="25"/>
      <c r="AA5456" s="25"/>
    </row>
    <row r="5457" spans="1:27" x14ac:dyDescent="0.35">
      <c r="A5457" s="5">
        <v>5453</v>
      </c>
      <c r="B5457" s="5">
        <v>228</v>
      </c>
      <c r="C5457" s="5">
        <v>8</v>
      </c>
      <c r="D5457" s="25">
        <v>1.1416E-4</v>
      </c>
      <c r="E5457" s="25">
        <v>1.1985999999999999E-4</v>
      </c>
      <c r="F5457" s="25">
        <v>1.0626E-4</v>
      </c>
      <c r="G5457" s="25">
        <v>5.6990000000000002E-5</v>
      </c>
      <c r="H5457" s="25">
        <v>6.2440000000000005E-5</v>
      </c>
      <c r="I5457" s="9">
        <v>8.0859999999999995E-5</v>
      </c>
      <c r="J5457" s="9">
        <v>8.6149999999999993E-5</v>
      </c>
      <c r="K5457" s="9">
        <v>1.0173E-4</v>
      </c>
      <c r="L5457" s="9">
        <v>1.466E-5</v>
      </c>
      <c r="M5457" s="9">
        <v>4.3460000000000001E-5</v>
      </c>
      <c r="N5457" s="9">
        <v>6.4399999999999993E-5</v>
      </c>
      <c r="O5457" s="9">
        <v>1.8919999999999998E-5</v>
      </c>
      <c r="P5457" s="9">
        <v>5.6270000000000002E-5</v>
      </c>
      <c r="Q5457" s="9">
        <v>9.3040000000000004E-5</v>
      </c>
      <c r="R5457" s="10">
        <v>7.5146960979836805E-5</v>
      </c>
      <c r="S5457" s="10">
        <v>5.5926135113990545E-5</v>
      </c>
      <c r="T5457" s="10">
        <v>0</v>
      </c>
      <c r="U5457" s="10">
        <v>7.3759999999999999E-5</v>
      </c>
      <c r="V5457" s="25"/>
      <c r="W5457" s="25"/>
      <c r="X5457" s="25"/>
      <c r="Y5457" s="25"/>
      <c r="Z5457" s="25"/>
      <c r="AA5457" s="25"/>
    </row>
    <row r="5458" spans="1:27" x14ac:dyDescent="0.35">
      <c r="A5458" s="5">
        <v>5454</v>
      </c>
      <c r="B5458" s="5">
        <v>228</v>
      </c>
      <c r="C5458" s="5">
        <v>8</v>
      </c>
      <c r="D5458" s="25">
        <v>1.1415000000000001E-4</v>
      </c>
      <c r="E5458" s="25">
        <v>1.1756000000000001E-4</v>
      </c>
      <c r="F5458" s="25">
        <v>1.1163E-4</v>
      </c>
      <c r="G5458" s="25">
        <v>1.0452E-4</v>
      </c>
      <c r="H5458" s="25">
        <v>1.3253000000000001E-4</v>
      </c>
      <c r="I5458" s="9">
        <v>8.1719999999999997E-5</v>
      </c>
      <c r="J5458" s="9">
        <v>9.2E-5</v>
      </c>
      <c r="K5458" s="9">
        <v>4.4509999999999999E-5</v>
      </c>
      <c r="L5458" s="9">
        <v>1.7859999999999998E-5</v>
      </c>
      <c r="M5458" s="9">
        <v>4.8220000000000002E-5</v>
      </c>
      <c r="N5458" s="9">
        <v>7.0840000000000006E-5</v>
      </c>
      <c r="O5458" s="9">
        <v>4.6440000000000003E-5</v>
      </c>
      <c r="P5458" s="9">
        <v>7.7039999999999994E-5</v>
      </c>
      <c r="Q5458" s="9">
        <v>1.0726999999999999E-4</v>
      </c>
      <c r="R5458" s="10">
        <v>8.2464888731141104E-5</v>
      </c>
      <c r="S5458" s="10">
        <v>5.7906695686509232E-5</v>
      </c>
      <c r="T5458" s="10">
        <v>5.7693235580969117E-7</v>
      </c>
      <c r="U5458" s="10">
        <v>7.3759999999999999E-5</v>
      </c>
      <c r="V5458" s="25"/>
      <c r="W5458" s="25"/>
      <c r="X5458" s="25"/>
      <c r="Y5458" s="25"/>
      <c r="Z5458" s="25"/>
      <c r="AA5458" s="25"/>
    </row>
    <row r="5459" spans="1:27" x14ac:dyDescent="0.35">
      <c r="A5459" s="5">
        <v>5455</v>
      </c>
      <c r="B5459" s="5">
        <v>228</v>
      </c>
      <c r="C5459" s="5">
        <v>8</v>
      </c>
      <c r="D5459" s="25">
        <v>1.1416E-4</v>
      </c>
      <c r="E5459" s="25">
        <v>1.1745E-4</v>
      </c>
      <c r="F5459" s="25">
        <v>9.8389999999999998E-5</v>
      </c>
      <c r="G5459" s="25">
        <v>1.1031000000000001E-4</v>
      </c>
      <c r="H5459" s="25">
        <v>1.2742E-4</v>
      </c>
      <c r="I5459" s="9">
        <v>8.2330000000000006E-5</v>
      </c>
      <c r="J5459" s="9">
        <v>1.0176E-4</v>
      </c>
      <c r="K5459" s="9">
        <v>0</v>
      </c>
      <c r="L5459" s="9">
        <v>4.0009999999999998E-5</v>
      </c>
      <c r="M5459" s="9">
        <v>5.9939999999999999E-5</v>
      </c>
      <c r="N5459" s="9">
        <v>8.0610000000000002E-5</v>
      </c>
      <c r="O5459" s="9">
        <v>1.2192E-4</v>
      </c>
      <c r="P5459" s="9">
        <v>1.1653E-4</v>
      </c>
      <c r="Q5459" s="9">
        <v>1.1163E-4</v>
      </c>
      <c r="R5459" s="10">
        <v>8.432943006759403E-5</v>
      </c>
      <c r="S5459" s="10">
        <v>6.4605310944836999E-5</v>
      </c>
      <c r="T5459" s="10">
        <v>2.5970440310786242E-5</v>
      </c>
      <c r="U5459" s="10">
        <v>7.3759999999999999E-5</v>
      </c>
      <c r="V5459" s="25"/>
      <c r="W5459" s="25"/>
      <c r="X5459" s="25"/>
      <c r="Y5459" s="25"/>
      <c r="Z5459" s="25"/>
      <c r="AA5459" s="25"/>
    </row>
    <row r="5460" spans="1:27" x14ac:dyDescent="0.35">
      <c r="A5460" s="5">
        <v>5456</v>
      </c>
      <c r="B5460" s="5">
        <v>228</v>
      </c>
      <c r="C5460" s="5">
        <v>8</v>
      </c>
      <c r="D5460" s="25">
        <v>1.1415000000000001E-4</v>
      </c>
      <c r="E5460" s="25">
        <v>1.1726E-4</v>
      </c>
      <c r="F5460" s="25">
        <v>1.1792E-4</v>
      </c>
      <c r="G5460" s="25">
        <v>1.5647999999999999E-4</v>
      </c>
      <c r="H5460" s="25">
        <v>1.9133E-4</v>
      </c>
      <c r="I5460" s="9">
        <v>8.318E-5</v>
      </c>
      <c r="J5460" s="9">
        <v>1.1106E-4</v>
      </c>
      <c r="K5460" s="9">
        <v>0</v>
      </c>
      <c r="L5460" s="9">
        <v>1.0328E-4</v>
      </c>
      <c r="M5460" s="9">
        <v>8.3339999999999998E-5</v>
      </c>
      <c r="N5460" s="9">
        <v>9.0530000000000002E-5</v>
      </c>
      <c r="O5460" s="9">
        <v>2.1846999999999999E-4</v>
      </c>
      <c r="P5460" s="9">
        <v>1.7683E-4</v>
      </c>
      <c r="Q5460" s="9">
        <v>1.3660000000000001E-4</v>
      </c>
      <c r="R5460" s="10">
        <v>9.339887776771408E-5</v>
      </c>
      <c r="S5460" s="10">
        <v>6.2689500455671298E-5</v>
      </c>
      <c r="T5460" s="10">
        <v>6.9443990180916487E-5</v>
      </c>
      <c r="U5460" s="10">
        <v>7.3759999999999999E-5</v>
      </c>
      <c r="V5460" s="25"/>
      <c r="W5460" s="25"/>
      <c r="X5460" s="25"/>
      <c r="Y5460" s="25"/>
      <c r="Z5460" s="25"/>
      <c r="AA5460" s="25"/>
    </row>
    <row r="5461" spans="1:27" x14ac:dyDescent="0.35">
      <c r="A5461" s="5">
        <v>5457</v>
      </c>
      <c r="B5461" s="5">
        <v>228</v>
      </c>
      <c r="C5461" s="5">
        <v>8</v>
      </c>
      <c r="D5461" s="25">
        <v>1.1416E-4</v>
      </c>
      <c r="E5461" s="25">
        <v>1.2260999999999999E-4</v>
      </c>
      <c r="F5461" s="25">
        <v>1.1215E-4</v>
      </c>
      <c r="G5461" s="25">
        <v>1.6045E-4</v>
      </c>
      <c r="H5461" s="25">
        <v>1.9834E-4</v>
      </c>
      <c r="I5461" s="9">
        <v>8.242E-5</v>
      </c>
      <c r="J5461" s="9">
        <v>1.1491E-4</v>
      </c>
      <c r="K5461" s="9">
        <v>0</v>
      </c>
      <c r="L5461" s="9">
        <v>1.9139E-4</v>
      </c>
      <c r="M5461" s="9">
        <v>1.2303999999999999E-4</v>
      </c>
      <c r="N5461" s="9">
        <v>1.0429000000000001E-4</v>
      </c>
      <c r="O5461" s="9">
        <v>2.1216E-4</v>
      </c>
      <c r="P5461" s="9">
        <v>1.9476000000000001E-4</v>
      </c>
      <c r="Q5461" s="9">
        <v>1.7835999999999999E-4</v>
      </c>
      <c r="R5461" s="10">
        <v>9.3636554098998722E-5</v>
      </c>
      <c r="S5461" s="10">
        <v>5.8401192084719819E-5</v>
      </c>
      <c r="T5461" s="10">
        <v>1.2353988283742519E-4</v>
      </c>
      <c r="U5461" s="10">
        <v>7.3759999999999999E-5</v>
      </c>
      <c r="V5461" s="25"/>
      <c r="W5461" s="25"/>
      <c r="X5461" s="25"/>
      <c r="Y5461" s="25"/>
      <c r="Z5461" s="25"/>
      <c r="AA5461" s="25"/>
    </row>
    <row r="5462" spans="1:27" x14ac:dyDescent="0.35">
      <c r="A5462" s="5">
        <v>5458</v>
      </c>
      <c r="B5462" s="5">
        <v>228</v>
      </c>
      <c r="C5462" s="5">
        <v>8</v>
      </c>
      <c r="D5462" s="25">
        <v>1.1415000000000001E-4</v>
      </c>
      <c r="E5462" s="25">
        <v>1.1501E-4</v>
      </c>
      <c r="F5462" s="25">
        <v>1.1894E-4</v>
      </c>
      <c r="G5462" s="25">
        <v>1.6095000000000001E-4</v>
      </c>
      <c r="H5462" s="25">
        <v>1.994E-4</v>
      </c>
      <c r="I5462" s="9">
        <v>8.0389999999999994E-5</v>
      </c>
      <c r="J5462" s="9">
        <v>1.1689E-4</v>
      </c>
      <c r="K5462" s="9">
        <v>0</v>
      </c>
      <c r="L5462" s="9">
        <v>2.0528000000000001E-4</v>
      </c>
      <c r="M5462" s="9">
        <v>1.5893E-4</v>
      </c>
      <c r="N5462" s="9">
        <v>1.2468000000000001E-4</v>
      </c>
      <c r="O5462" s="9">
        <v>1.6511999999999999E-4</v>
      </c>
      <c r="P5462" s="9">
        <v>1.7260999999999999E-4</v>
      </c>
      <c r="Q5462" s="9">
        <v>1.8055E-4</v>
      </c>
      <c r="R5462" s="10">
        <v>1.0081999721436019E-4</v>
      </c>
      <c r="S5462" s="10">
        <v>5.6153131507726559E-5</v>
      </c>
      <c r="T5462" s="10">
        <v>1.4704139203731994E-4</v>
      </c>
      <c r="U5462" s="10">
        <v>7.3759999999999999E-5</v>
      </c>
      <c r="V5462" s="25"/>
      <c r="W5462" s="25"/>
      <c r="X5462" s="25"/>
      <c r="Y5462" s="25"/>
      <c r="Z5462" s="25"/>
      <c r="AA5462" s="25"/>
    </row>
    <row r="5463" spans="1:27" x14ac:dyDescent="0.35">
      <c r="A5463" s="5">
        <v>5459</v>
      </c>
      <c r="B5463" s="5">
        <v>228</v>
      </c>
      <c r="C5463" s="5">
        <v>8</v>
      </c>
      <c r="D5463" s="25">
        <v>1.1416E-4</v>
      </c>
      <c r="E5463" s="25">
        <v>1.1445E-4</v>
      </c>
      <c r="F5463" s="25">
        <v>1.0951E-4</v>
      </c>
      <c r="G5463" s="25">
        <v>1.6056999999999999E-4</v>
      </c>
      <c r="H5463" s="25">
        <v>1.9272000000000001E-4</v>
      </c>
      <c r="I5463" s="9">
        <v>7.9540000000000001E-5</v>
      </c>
      <c r="J5463" s="9">
        <v>1.1754E-4</v>
      </c>
      <c r="K5463" s="9">
        <v>0</v>
      </c>
      <c r="L5463" s="9">
        <v>1.7398000000000001E-4</v>
      </c>
      <c r="M5463" s="9">
        <v>1.7220000000000001E-4</v>
      </c>
      <c r="N5463" s="9">
        <v>1.4245999999999999E-4</v>
      </c>
      <c r="O5463" s="9">
        <v>1.6648999999999999E-4</v>
      </c>
      <c r="P5463" s="9">
        <v>1.7269E-4</v>
      </c>
      <c r="Q5463" s="9">
        <v>1.7935999999999999E-4</v>
      </c>
      <c r="R5463" s="10">
        <v>1.0608189015771424E-4</v>
      </c>
      <c r="S5463" s="10">
        <v>4.5648509936875069E-5</v>
      </c>
      <c r="T5463" s="10">
        <v>1.4514090898288805E-4</v>
      </c>
      <c r="U5463" s="10">
        <v>7.3759999999999999E-5</v>
      </c>
      <c r="V5463" s="25"/>
      <c r="W5463" s="25"/>
      <c r="X5463" s="25"/>
      <c r="Y5463" s="25"/>
      <c r="Z5463" s="25"/>
      <c r="AA5463" s="25"/>
    </row>
    <row r="5464" spans="1:27" x14ac:dyDescent="0.35">
      <c r="A5464" s="5">
        <v>5460</v>
      </c>
      <c r="B5464" s="5">
        <v>228</v>
      </c>
      <c r="C5464" s="5">
        <v>8</v>
      </c>
      <c r="D5464" s="25">
        <v>1.1415000000000001E-4</v>
      </c>
      <c r="E5464" s="25">
        <v>1.2126E-4</v>
      </c>
      <c r="F5464" s="25">
        <v>1.0958E-4</v>
      </c>
      <c r="G5464" s="25">
        <v>1.6007E-4</v>
      </c>
      <c r="H5464" s="25">
        <v>1.9592000000000001E-4</v>
      </c>
      <c r="I5464" s="9">
        <v>7.8549999999999998E-5</v>
      </c>
      <c r="J5464" s="9">
        <v>1.1717E-4</v>
      </c>
      <c r="K5464" s="9">
        <v>0</v>
      </c>
      <c r="L5464" s="9">
        <v>1.6961E-4</v>
      </c>
      <c r="M5464" s="9">
        <v>1.7454999999999999E-4</v>
      </c>
      <c r="N5464" s="9">
        <v>1.5653999999999999E-4</v>
      </c>
      <c r="O5464" s="9">
        <v>1.7084000000000001E-4</v>
      </c>
      <c r="P5464" s="9">
        <v>1.7297999999999999E-4</v>
      </c>
      <c r="Q5464" s="9">
        <v>1.7568E-4</v>
      </c>
      <c r="R5464" s="10">
        <v>7.9221455935126316E-5</v>
      </c>
      <c r="S5464" s="10">
        <v>2.2238653606721649E-5</v>
      </c>
      <c r="T5464" s="10">
        <v>1.7615102310765892E-4</v>
      </c>
      <c r="U5464" s="10">
        <v>7.3759999999999999E-5</v>
      </c>
      <c r="V5464" s="25"/>
      <c r="W5464" s="25"/>
      <c r="X5464" s="25"/>
      <c r="Y5464" s="25"/>
      <c r="Z5464" s="25"/>
      <c r="AA5464" s="25"/>
    </row>
    <row r="5465" spans="1:27" x14ac:dyDescent="0.35">
      <c r="A5465" s="5">
        <v>5461</v>
      </c>
      <c r="B5465" s="5">
        <v>228</v>
      </c>
      <c r="C5465" s="5">
        <v>8</v>
      </c>
      <c r="D5465" s="25">
        <v>1.1416E-4</v>
      </c>
      <c r="E5465" s="25">
        <v>1.1885E-4</v>
      </c>
      <c r="F5465" s="25">
        <v>9.9409999999999999E-5</v>
      </c>
      <c r="G5465" s="25">
        <v>1.5945999999999999E-4</v>
      </c>
      <c r="H5465" s="25">
        <v>1.9447E-4</v>
      </c>
      <c r="I5465" s="9">
        <v>7.5690000000000002E-5</v>
      </c>
      <c r="J5465" s="9">
        <v>1.1757E-4</v>
      </c>
      <c r="K5465" s="9">
        <v>0</v>
      </c>
      <c r="L5465" s="9">
        <v>1.7072999999999999E-4</v>
      </c>
      <c r="M5465" s="9">
        <v>1.7411E-4</v>
      </c>
      <c r="N5465" s="9">
        <v>1.6640000000000001E-4</v>
      </c>
      <c r="O5465" s="9">
        <v>1.6095000000000001E-4</v>
      </c>
      <c r="P5465" s="9">
        <v>1.6385E-4</v>
      </c>
      <c r="Q5465" s="9">
        <v>1.6724E-4</v>
      </c>
      <c r="R5465" s="10">
        <v>8.9549181548127747E-5</v>
      </c>
      <c r="S5465" s="10">
        <v>2.4422977921752417E-5</v>
      </c>
      <c r="T5465" s="10">
        <v>1.3706385600155237E-4</v>
      </c>
      <c r="U5465" s="10">
        <v>7.3759999999999999E-5</v>
      </c>
      <c r="V5465" s="25"/>
      <c r="W5465" s="25"/>
      <c r="X5465" s="25"/>
      <c r="Y5465" s="25"/>
      <c r="Z5465" s="25"/>
      <c r="AA5465" s="25"/>
    </row>
    <row r="5466" spans="1:27" x14ac:dyDescent="0.35">
      <c r="A5466" s="5">
        <v>5462</v>
      </c>
      <c r="B5466" s="5">
        <v>228</v>
      </c>
      <c r="C5466" s="5">
        <v>8</v>
      </c>
      <c r="D5466" s="25">
        <v>1.1415000000000001E-4</v>
      </c>
      <c r="E5466" s="25">
        <v>1.1341E-4</v>
      </c>
      <c r="F5466" s="25">
        <v>1.0935E-4</v>
      </c>
      <c r="G5466" s="25">
        <v>1.6275E-4</v>
      </c>
      <c r="H5466" s="25">
        <v>1.9666E-4</v>
      </c>
      <c r="I5466" s="9">
        <v>7.3079999999999998E-5</v>
      </c>
      <c r="J5466" s="9">
        <v>1.1683E-4</v>
      </c>
      <c r="K5466" s="9">
        <v>0</v>
      </c>
      <c r="L5466" s="9">
        <v>1.628E-4</v>
      </c>
      <c r="M5466" s="9">
        <v>1.7029999999999999E-4</v>
      </c>
      <c r="N5466" s="9">
        <v>1.7066999999999999E-4</v>
      </c>
      <c r="O5466" s="9">
        <v>1.786E-4</v>
      </c>
      <c r="P5466" s="9">
        <v>1.6977999999999999E-4</v>
      </c>
      <c r="Q5466" s="9">
        <v>1.617E-4</v>
      </c>
      <c r="R5466" s="10">
        <v>1.0098710800786916E-4</v>
      </c>
      <c r="S5466" s="10">
        <v>2.4458848789973371E-5</v>
      </c>
      <c r="T5466" s="10">
        <v>1.4005032937280251E-4</v>
      </c>
      <c r="U5466" s="10">
        <v>7.3759999999999999E-5</v>
      </c>
      <c r="V5466" s="25"/>
      <c r="W5466" s="25"/>
      <c r="X5466" s="25"/>
      <c r="Y5466" s="25"/>
      <c r="Z5466" s="25"/>
      <c r="AA5466" s="25"/>
    </row>
    <row r="5467" spans="1:27" x14ac:dyDescent="0.35">
      <c r="A5467" s="5">
        <v>5463</v>
      </c>
      <c r="B5467" s="5">
        <v>228</v>
      </c>
      <c r="C5467" s="5">
        <v>8</v>
      </c>
      <c r="D5467" s="25">
        <v>1.1416E-4</v>
      </c>
      <c r="E5467" s="25">
        <v>1.1485E-4</v>
      </c>
      <c r="F5467" s="25">
        <v>9.9829999999999998E-5</v>
      </c>
      <c r="G5467" s="25">
        <v>1.6618000000000001E-4</v>
      </c>
      <c r="H5467" s="25">
        <v>1.8788999999999999E-4</v>
      </c>
      <c r="I5467" s="9">
        <v>7.2089999999999996E-5</v>
      </c>
      <c r="J5467" s="9">
        <v>1.164E-4</v>
      </c>
      <c r="K5467" s="9">
        <v>0</v>
      </c>
      <c r="L5467" s="9">
        <v>1.7532E-4</v>
      </c>
      <c r="M5467" s="9">
        <v>1.6899999999999999E-4</v>
      </c>
      <c r="N5467" s="9">
        <v>1.7034999999999999E-4</v>
      </c>
      <c r="O5467" s="9">
        <v>1.8251000000000001E-4</v>
      </c>
      <c r="P5467" s="9">
        <v>1.6695999999999999E-4</v>
      </c>
      <c r="Q5467" s="9">
        <v>1.5228999999999999E-4</v>
      </c>
      <c r="R5467" s="10">
        <v>1.0319576334631391E-4</v>
      </c>
      <c r="S5467" s="10">
        <v>3.1255246538163397E-5</v>
      </c>
      <c r="T5467" s="10">
        <v>8.2255282199631709E-5</v>
      </c>
      <c r="U5467" s="10">
        <v>7.3759999999999999E-5</v>
      </c>
      <c r="V5467" s="25"/>
      <c r="W5467" s="25"/>
      <c r="X5467" s="25"/>
      <c r="Y5467" s="25"/>
      <c r="Z5467" s="25"/>
      <c r="AA5467" s="25"/>
    </row>
    <row r="5468" spans="1:27" x14ac:dyDescent="0.35">
      <c r="A5468" s="5">
        <v>5464</v>
      </c>
      <c r="B5468" s="5">
        <v>228</v>
      </c>
      <c r="C5468" s="5">
        <v>8</v>
      </c>
      <c r="D5468" s="25">
        <v>1.1415000000000001E-4</v>
      </c>
      <c r="E5468" s="25">
        <v>1.1552000000000001E-4</v>
      </c>
      <c r="F5468" s="25">
        <v>1.1115E-4</v>
      </c>
      <c r="G5468" s="25">
        <v>1.6416E-4</v>
      </c>
      <c r="H5468" s="25">
        <v>1.9892E-4</v>
      </c>
      <c r="I5468" s="9">
        <v>7.5279999999999998E-5</v>
      </c>
      <c r="J5468" s="9">
        <v>1.1646000000000001E-4</v>
      </c>
      <c r="K5468" s="9">
        <v>0</v>
      </c>
      <c r="L5468" s="9">
        <v>1.8060999999999999E-4</v>
      </c>
      <c r="M5468" s="9">
        <v>1.6801000000000001E-4</v>
      </c>
      <c r="N5468" s="9">
        <v>1.6642E-4</v>
      </c>
      <c r="O5468" s="9">
        <v>1.9772E-4</v>
      </c>
      <c r="P5468" s="9">
        <v>1.5338E-4</v>
      </c>
      <c r="Q5468" s="9">
        <v>1.1043E-4</v>
      </c>
      <c r="R5468" s="10">
        <v>1.1521601897229015E-4</v>
      </c>
      <c r="S5468" s="10">
        <v>3.7051113976371101E-5</v>
      </c>
      <c r="T5468" s="10">
        <v>4.1853048694253037E-5</v>
      </c>
      <c r="U5468" s="10">
        <v>7.3759999999999999E-5</v>
      </c>
      <c r="V5468" s="25"/>
      <c r="W5468" s="25"/>
      <c r="X5468" s="25"/>
      <c r="Y5468" s="25"/>
      <c r="Z5468" s="25"/>
      <c r="AA5468" s="25"/>
    </row>
    <row r="5469" spans="1:27" x14ac:dyDescent="0.35">
      <c r="A5469" s="5">
        <v>5465</v>
      </c>
      <c r="B5469" s="5">
        <v>228</v>
      </c>
      <c r="C5469" s="5">
        <v>8</v>
      </c>
      <c r="D5469" s="25">
        <v>1.1416E-4</v>
      </c>
      <c r="E5469" s="25">
        <v>1.1462E-4</v>
      </c>
      <c r="F5469" s="25">
        <v>1.1022E-4</v>
      </c>
      <c r="G5469" s="25">
        <v>1.5767E-4</v>
      </c>
      <c r="H5469" s="25">
        <v>1.8838000000000001E-4</v>
      </c>
      <c r="I5469" s="9">
        <v>8.1000000000000004E-5</v>
      </c>
      <c r="J5469" s="9">
        <v>1.1790000000000001E-4</v>
      </c>
      <c r="K5469" s="9">
        <v>0</v>
      </c>
      <c r="L5469" s="9">
        <v>1.9374999999999999E-4</v>
      </c>
      <c r="M5469" s="9">
        <v>1.6259999999999999E-4</v>
      </c>
      <c r="N5469" s="9">
        <v>1.528E-4</v>
      </c>
      <c r="O5469" s="9">
        <v>2.1169E-4</v>
      </c>
      <c r="P5469" s="9">
        <v>1.583E-4</v>
      </c>
      <c r="Q5469" s="9">
        <v>1.0648E-4</v>
      </c>
      <c r="R5469" s="10">
        <v>1.2150702173254486E-4</v>
      </c>
      <c r="S5469" s="10">
        <v>4.2970276498541941E-5</v>
      </c>
      <c r="T5469" s="10">
        <v>4.6400633145929419E-5</v>
      </c>
      <c r="U5469" s="10">
        <v>7.3759999999999999E-5</v>
      </c>
      <c r="V5469" s="25"/>
      <c r="W5469" s="25"/>
      <c r="X5469" s="25"/>
      <c r="Y5469" s="25"/>
      <c r="Z5469" s="25"/>
      <c r="AA5469" s="25"/>
    </row>
    <row r="5470" spans="1:27" x14ac:dyDescent="0.35">
      <c r="A5470" s="5">
        <v>5466</v>
      </c>
      <c r="B5470" s="5">
        <v>228</v>
      </c>
      <c r="C5470" s="5">
        <v>8</v>
      </c>
      <c r="D5470" s="25">
        <v>1.1415000000000001E-4</v>
      </c>
      <c r="E5470" s="25">
        <v>1.1599000000000001E-4</v>
      </c>
      <c r="F5470" s="25">
        <v>1.0106E-4</v>
      </c>
      <c r="G5470" s="25">
        <v>1.6044E-4</v>
      </c>
      <c r="H5470" s="25">
        <v>1.8951999999999999E-4</v>
      </c>
      <c r="I5470" s="9">
        <v>8.7929999999999993E-5</v>
      </c>
      <c r="J5470" s="9">
        <v>1.1516E-4</v>
      </c>
      <c r="K5470" s="9">
        <v>0</v>
      </c>
      <c r="L5470" s="9">
        <v>2.0748000000000001E-4</v>
      </c>
      <c r="M5470" s="9">
        <v>1.5955E-4</v>
      </c>
      <c r="N5470" s="9">
        <v>1.3922000000000001E-4</v>
      </c>
      <c r="O5470" s="9">
        <v>2.0492000000000001E-4</v>
      </c>
      <c r="P5470" s="9">
        <v>1.6071E-4</v>
      </c>
      <c r="Q5470" s="9">
        <v>1.1791E-4</v>
      </c>
      <c r="R5470" s="10">
        <v>1.128635525932951E-4</v>
      </c>
      <c r="S5470" s="10">
        <v>5.030122439292629E-5</v>
      </c>
      <c r="T5470" s="10">
        <v>2.1677384839614131E-5</v>
      </c>
      <c r="U5470" s="10">
        <v>7.3759999999999999E-5</v>
      </c>
      <c r="V5470" s="25"/>
      <c r="W5470" s="25"/>
      <c r="X5470" s="25"/>
      <c r="Y5470" s="25"/>
      <c r="Z5470" s="25"/>
      <c r="AA5470" s="25"/>
    </row>
    <row r="5471" spans="1:27" x14ac:dyDescent="0.35">
      <c r="A5471" s="5">
        <v>5467</v>
      </c>
      <c r="B5471" s="5">
        <v>228</v>
      </c>
      <c r="C5471" s="5">
        <v>8</v>
      </c>
      <c r="D5471" s="25">
        <v>1.1416E-4</v>
      </c>
      <c r="E5471" s="25">
        <v>1.1708E-4</v>
      </c>
      <c r="F5471" s="25">
        <v>1.1649E-4</v>
      </c>
      <c r="G5471" s="25">
        <v>1.0963000000000001E-4</v>
      </c>
      <c r="H5471" s="25">
        <v>1.2548999999999999E-4</v>
      </c>
      <c r="I5471" s="9">
        <v>9.2700000000000004E-5</v>
      </c>
      <c r="J5471" s="9">
        <v>1.1315999999999999E-4</v>
      </c>
      <c r="K5471" s="9">
        <v>0</v>
      </c>
      <c r="L5471" s="9">
        <v>2.0511999999999999E-4</v>
      </c>
      <c r="M5471" s="9">
        <v>1.5933000000000001E-4</v>
      </c>
      <c r="N5471" s="9">
        <v>1.3014999999999999E-4</v>
      </c>
      <c r="O5471" s="9">
        <v>1.6499E-4</v>
      </c>
      <c r="P5471" s="9">
        <v>1.3593000000000001E-4</v>
      </c>
      <c r="Q5471" s="9">
        <v>1.0789E-4</v>
      </c>
      <c r="R5471" s="10">
        <v>1.0970268361415419E-4</v>
      </c>
      <c r="S5471" s="10">
        <v>6.0644572650277835E-5</v>
      </c>
      <c r="T5471" s="10">
        <v>6.83834527621487E-6</v>
      </c>
      <c r="U5471" s="10">
        <v>7.3759999999999999E-5</v>
      </c>
      <c r="V5471" s="25"/>
      <c r="W5471" s="25"/>
      <c r="X5471" s="25"/>
      <c r="Y5471" s="25"/>
      <c r="Z5471" s="25"/>
      <c r="AA5471" s="25"/>
    </row>
    <row r="5472" spans="1:27" x14ac:dyDescent="0.35">
      <c r="A5472" s="5">
        <v>5468</v>
      </c>
      <c r="B5472" s="5">
        <v>228</v>
      </c>
      <c r="C5472" s="5">
        <v>8</v>
      </c>
      <c r="D5472" s="25">
        <v>1.1415000000000001E-4</v>
      </c>
      <c r="E5472" s="25">
        <v>1.1327E-4</v>
      </c>
      <c r="F5472" s="25">
        <v>1.0357E-4</v>
      </c>
      <c r="G5472" s="25">
        <v>1.1072E-4</v>
      </c>
      <c r="H5472" s="25">
        <v>1.3514000000000001E-4</v>
      </c>
      <c r="I5472" s="9">
        <v>9.4759999999999994E-5</v>
      </c>
      <c r="J5472" s="9">
        <v>1.1076E-4</v>
      </c>
      <c r="K5472" s="9">
        <v>0</v>
      </c>
      <c r="L5472" s="9">
        <v>1.7396999999999999E-4</v>
      </c>
      <c r="M5472" s="9">
        <v>1.5102E-4</v>
      </c>
      <c r="N5472" s="9">
        <v>1.2115E-4</v>
      </c>
      <c r="O5472" s="9">
        <v>1.2914E-4</v>
      </c>
      <c r="P5472" s="9">
        <v>1.1546E-4</v>
      </c>
      <c r="Q5472" s="9">
        <v>1.0242E-4</v>
      </c>
      <c r="R5472" s="10">
        <v>1.0792215310923395E-4</v>
      </c>
      <c r="S5472" s="10">
        <v>6.6602842721886709E-5</v>
      </c>
      <c r="T5472" s="10">
        <v>0</v>
      </c>
      <c r="U5472" s="10">
        <v>7.3759999999999999E-5</v>
      </c>
      <c r="V5472" s="25"/>
      <c r="W5472" s="25"/>
      <c r="X5472" s="25"/>
      <c r="Y5472" s="25"/>
      <c r="Z5472" s="25"/>
      <c r="AA5472" s="25"/>
    </row>
    <row r="5473" spans="1:27" x14ac:dyDescent="0.35">
      <c r="A5473" s="5">
        <v>5469</v>
      </c>
      <c r="B5473" s="5">
        <v>228</v>
      </c>
      <c r="C5473" s="5">
        <v>8</v>
      </c>
      <c r="D5473" s="25">
        <v>1.1416E-4</v>
      </c>
      <c r="E5473" s="25">
        <v>1.2350999999999999E-4</v>
      </c>
      <c r="F5473" s="25">
        <v>1.1915E-4</v>
      </c>
      <c r="G5473" s="25">
        <v>5.6900000000000001E-5</v>
      </c>
      <c r="H5473" s="25">
        <v>6.8399999999999996E-5</v>
      </c>
      <c r="I5473" s="9">
        <v>9.8579999999999995E-5</v>
      </c>
      <c r="J5473" s="9">
        <v>1.1213E-4</v>
      </c>
      <c r="K5473" s="9">
        <v>1.908E-5</v>
      </c>
      <c r="L5473" s="9">
        <v>1.3996000000000001E-4</v>
      </c>
      <c r="M5473" s="9">
        <v>1.3589E-4</v>
      </c>
      <c r="N5473" s="9">
        <v>1.1354E-4</v>
      </c>
      <c r="O5473" s="9">
        <v>8.4430000000000003E-5</v>
      </c>
      <c r="P5473" s="9">
        <v>8.6199999999999995E-5</v>
      </c>
      <c r="Q5473" s="9">
        <v>8.8189999999999994E-5</v>
      </c>
      <c r="R5473" s="10">
        <v>1.1165546395500266E-4</v>
      </c>
      <c r="S5473" s="10">
        <v>6.8728542153767542E-5</v>
      </c>
      <c r="T5473" s="10">
        <v>0</v>
      </c>
      <c r="U5473" s="10">
        <v>7.3759999999999999E-5</v>
      </c>
      <c r="V5473" s="25"/>
      <c r="W5473" s="25"/>
      <c r="X5473" s="25"/>
      <c r="Y5473" s="25"/>
      <c r="Z5473" s="25"/>
      <c r="AA5473" s="25"/>
    </row>
    <row r="5474" spans="1:27" x14ac:dyDescent="0.35">
      <c r="A5474" s="5">
        <v>5470</v>
      </c>
      <c r="B5474" s="5">
        <v>228</v>
      </c>
      <c r="C5474" s="5">
        <v>8</v>
      </c>
      <c r="D5474" s="25">
        <v>1.1415000000000001E-4</v>
      </c>
      <c r="E5474" s="25">
        <v>1.1745E-4</v>
      </c>
      <c r="F5474" s="25">
        <v>1.1519999999999999E-4</v>
      </c>
      <c r="G5474" s="25">
        <v>5.8019999999999997E-5</v>
      </c>
      <c r="H5474" s="25">
        <v>7.4779999999999999E-5</v>
      </c>
      <c r="I5474" s="9">
        <v>1.0064E-4</v>
      </c>
      <c r="J5474" s="9">
        <v>1.0849E-4</v>
      </c>
      <c r="K5474" s="9">
        <v>3.1789999999999999E-5</v>
      </c>
      <c r="L5474" s="9">
        <v>9.7579999999999997E-5</v>
      </c>
      <c r="M5474" s="9">
        <v>1.141E-4</v>
      </c>
      <c r="N5474" s="9">
        <v>1.0586000000000001E-4</v>
      </c>
      <c r="O5474" s="9">
        <v>8.6730000000000005E-5</v>
      </c>
      <c r="P5474" s="9">
        <v>8.7109999999999998E-5</v>
      </c>
      <c r="Q5474" s="9">
        <v>8.776E-5</v>
      </c>
      <c r="R5474" s="10">
        <v>1.1208187590845362E-4</v>
      </c>
      <c r="S5474" s="10">
        <v>6.881190567733646E-5</v>
      </c>
      <c r="T5474" s="10">
        <v>0</v>
      </c>
      <c r="U5474" s="10">
        <v>7.3759999999999999E-5</v>
      </c>
      <c r="V5474" s="25"/>
      <c r="W5474" s="25"/>
      <c r="X5474" s="25"/>
      <c r="Y5474" s="25"/>
      <c r="Z5474" s="25"/>
      <c r="AA5474" s="25"/>
    </row>
    <row r="5475" spans="1:27" x14ac:dyDescent="0.35">
      <c r="A5475" s="5">
        <v>5471</v>
      </c>
      <c r="B5475" s="5">
        <v>228</v>
      </c>
      <c r="C5475" s="5">
        <v>8</v>
      </c>
      <c r="D5475" s="25">
        <v>1.1416E-4</v>
      </c>
      <c r="E5475" s="25">
        <v>1.2114E-4</v>
      </c>
      <c r="F5475" s="25">
        <v>1.0584E-4</v>
      </c>
      <c r="G5475" s="25">
        <v>5.4540000000000003E-5</v>
      </c>
      <c r="H5475" s="25">
        <v>6.6439999999999994E-5</v>
      </c>
      <c r="I5475" s="9">
        <v>9.5600000000000006E-5</v>
      </c>
      <c r="J5475" s="9">
        <v>1.022E-4</v>
      </c>
      <c r="K5475" s="9">
        <v>4.4509999999999999E-5</v>
      </c>
      <c r="L5475" s="9">
        <v>9.0069999999999997E-5</v>
      </c>
      <c r="M5475" s="9">
        <v>9.9019999999999997E-5</v>
      </c>
      <c r="N5475" s="9">
        <v>9.9920000000000006E-5</v>
      </c>
      <c r="O5475" s="9">
        <v>7.7420000000000001E-5</v>
      </c>
      <c r="P5475" s="9">
        <v>7.1860000000000007E-5</v>
      </c>
      <c r="Q5475" s="9">
        <v>6.6630000000000004E-5</v>
      </c>
      <c r="R5475" s="10">
        <v>1.1444680252113678E-4</v>
      </c>
      <c r="S5475" s="10">
        <v>7.3309211154535614E-5</v>
      </c>
      <c r="T5475" s="10">
        <v>0</v>
      </c>
      <c r="U5475" s="10">
        <v>7.3759999999999999E-5</v>
      </c>
      <c r="V5475" s="25"/>
      <c r="W5475" s="25"/>
      <c r="X5475" s="25"/>
      <c r="Y5475" s="25"/>
      <c r="Z5475" s="25"/>
      <c r="AA5475" s="25"/>
    </row>
    <row r="5476" spans="1:27" x14ac:dyDescent="0.35">
      <c r="A5476" s="5">
        <v>5472</v>
      </c>
      <c r="B5476" s="5">
        <v>228</v>
      </c>
      <c r="C5476" s="5">
        <v>8</v>
      </c>
      <c r="D5476" s="25">
        <v>1.1415000000000001E-4</v>
      </c>
      <c r="E5476" s="25">
        <v>1.1362999999999999E-4</v>
      </c>
      <c r="F5476" s="25">
        <v>1.1357E-4</v>
      </c>
      <c r="G5476" s="25">
        <v>6.1680000000000006E-5</v>
      </c>
      <c r="H5476" s="25">
        <v>7.5829999999999997E-5</v>
      </c>
      <c r="I5476" s="9">
        <v>8.8709999999999996E-5</v>
      </c>
      <c r="J5476" s="9">
        <v>9.5069999999999996E-5</v>
      </c>
      <c r="K5476" s="9">
        <v>7.6299999999999998E-5</v>
      </c>
      <c r="L5476" s="9">
        <v>8.0199999999999998E-5</v>
      </c>
      <c r="M5476" s="9">
        <v>8.5920000000000004E-5</v>
      </c>
      <c r="N5476" s="9">
        <v>9.0550000000000005E-5</v>
      </c>
      <c r="O5476" s="9">
        <v>6.2669999999999995E-5</v>
      </c>
      <c r="P5476" s="9">
        <v>6.0640000000000002E-5</v>
      </c>
      <c r="Q5476" s="9">
        <v>5.8829999999999997E-5</v>
      </c>
      <c r="R5476" s="10">
        <v>1.2268903401117893E-4</v>
      </c>
      <c r="S5476" s="10">
        <v>9.129730561336162E-5</v>
      </c>
      <c r="T5476" s="10">
        <v>0</v>
      </c>
      <c r="U5476" s="10">
        <v>7.3759999999999999E-5</v>
      </c>
      <c r="V5476" s="25"/>
      <c r="W5476" s="25"/>
      <c r="X5476" s="25"/>
      <c r="Y5476" s="25"/>
      <c r="Z5476" s="25"/>
      <c r="AA5476" s="25"/>
    </row>
    <row r="5477" spans="1:27" x14ac:dyDescent="0.35">
      <c r="A5477" s="5">
        <v>5473</v>
      </c>
      <c r="B5477" s="5">
        <v>229</v>
      </c>
      <c r="C5477" s="5">
        <v>8</v>
      </c>
      <c r="D5477" s="25">
        <v>1.1416E-4</v>
      </c>
      <c r="E5477" s="25">
        <v>1.1885E-4</v>
      </c>
      <c r="F5477" s="25">
        <v>1.0925E-4</v>
      </c>
      <c r="G5477" s="25">
        <v>6.2539999999999994E-5</v>
      </c>
      <c r="H5477" s="25">
        <v>7.3869999999999996E-5</v>
      </c>
      <c r="I5477" s="9">
        <v>8.5270000000000002E-5</v>
      </c>
      <c r="J5477" s="9">
        <v>9.0569999999999995E-5</v>
      </c>
      <c r="K5477" s="9">
        <v>9.1130000000000003E-5</v>
      </c>
      <c r="L5477" s="9">
        <v>6.6519999999999993E-5</v>
      </c>
      <c r="M5477" s="9">
        <v>7.3819999999999995E-5</v>
      </c>
      <c r="N5477" s="9">
        <v>8.1089999999999998E-5</v>
      </c>
      <c r="O5477" s="9">
        <v>5.4870000000000002E-5</v>
      </c>
      <c r="P5477" s="9">
        <v>5.4289999999999997E-5</v>
      </c>
      <c r="Q5477" s="9">
        <v>5.3860000000000003E-5</v>
      </c>
      <c r="R5477" s="10">
        <v>1.3285926396363156E-4</v>
      </c>
      <c r="S5477" s="10">
        <v>1.0952822715622817E-4</v>
      </c>
      <c r="T5477" s="10">
        <v>0</v>
      </c>
      <c r="U5477" s="10">
        <v>7.2899999999999997E-5</v>
      </c>
      <c r="V5477" s="25"/>
      <c r="W5477" s="25"/>
      <c r="X5477" s="25"/>
      <c r="Y5477" s="25"/>
      <c r="Z5477" s="25"/>
      <c r="AA5477" s="25"/>
    </row>
    <row r="5478" spans="1:27" x14ac:dyDescent="0.35">
      <c r="A5478" s="5">
        <v>5474</v>
      </c>
      <c r="B5478" s="5">
        <v>229</v>
      </c>
      <c r="C5478" s="5">
        <v>8</v>
      </c>
      <c r="D5478" s="25">
        <v>1.1415000000000001E-4</v>
      </c>
      <c r="E5478" s="25">
        <v>1.2072E-4</v>
      </c>
      <c r="F5478" s="25">
        <v>1.0874000000000001E-4</v>
      </c>
      <c r="G5478" s="25">
        <v>5.7229999999999999E-5</v>
      </c>
      <c r="H5478" s="25">
        <v>7.3609999999999995E-5</v>
      </c>
      <c r="I5478" s="9">
        <v>8.3090000000000006E-5</v>
      </c>
      <c r="J5478" s="9">
        <v>8.8549999999999998E-5</v>
      </c>
      <c r="K5478" s="9">
        <v>9.9610000000000003E-5</v>
      </c>
      <c r="L5478" s="9">
        <v>5.7809999999999997E-5</v>
      </c>
      <c r="M5478" s="9">
        <v>6.3919999999999998E-5</v>
      </c>
      <c r="N5478" s="9">
        <v>7.2050000000000003E-5</v>
      </c>
      <c r="O5478" s="9">
        <v>1.9089999999999998E-5</v>
      </c>
      <c r="P5478" s="9">
        <v>3.7839999999999997E-5</v>
      </c>
      <c r="Q5478" s="9">
        <v>5.6310000000000001E-5</v>
      </c>
      <c r="R5478" s="10">
        <v>1.3444751396771222E-4</v>
      </c>
      <c r="S5478" s="10">
        <v>1.1953649432472342E-4</v>
      </c>
      <c r="T5478" s="10">
        <v>0</v>
      </c>
      <c r="U5478" s="10">
        <v>7.2899999999999997E-5</v>
      </c>
      <c r="V5478" s="25"/>
      <c r="W5478" s="25"/>
      <c r="X5478" s="25"/>
      <c r="Y5478" s="25"/>
      <c r="Z5478" s="25"/>
      <c r="AA5478" s="25"/>
    </row>
    <row r="5479" spans="1:27" x14ac:dyDescent="0.35">
      <c r="A5479" s="5">
        <v>5475</v>
      </c>
      <c r="B5479" s="5">
        <v>229</v>
      </c>
      <c r="C5479" s="5">
        <v>8</v>
      </c>
      <c r="D5479" s="25">
        <v>1.1416E-4</v>
      </c>
      <c r="E5479" s="25">
        <v>1.1262E-4</v>
      </c>
      <c r="F5479" s="25">
        <v>1.0912E-4</v>
      </c>
      <c r="G5479" s="25">
        <v>5.4459999999999997E-5</v>
      </c>
      <c r="H5479" s="25">
        <v>6.4690000000000006E-5</v>
      </c>
      <c r="I5479" s="9">
        <v>8.1849999999999997E-5</v>
      </c>
      <c r="J5479" s="9">
        <v>8.7620000000000005E-5</v>
      </c>
      <c r="K5479" s="9">
        <v>1.1445E-4</v>
      </c>
      <c r="L5479" s="9">
        <v>2.7800000000000001E-5</v>
      </c>
      <c r="M5479" s="9">
        <v>5.2280000000000001E-5</v>
      </c>
      <c r="N5479" s="9">
        <v>6.5510000000000001E-5</v>
      </c>
      <c r="O5479" s="9">
        <v>1.3529999999999999E-5</v>
      </c>
      <c r="P5479" s="9">
        <v>3.7589999999999998E-5</v>
      </c>
      <c r="Q5479" s="9">
        <v>6.1270000000000001E-5</v>
      </c>
      <c r="R5479" s="10">
        <v>1.3595381820315444E-4</v>
      </c>
      <c r="S5479" s="10">
        <v>1.3541892693998223E-4</v>
      </c>
      <c r="T5479" s="10">
        <v>0</v>
      </c>
      <c r="U5479" s="10">
        <v>7.2899999999999997E-5</v>
      </c>
      <c r="V5479" s="25"/>
      <c r="W5479" s="25"/>
      <c r="X5479" s="25"/>
      <c r="Y5479" s="25"/>
      <c r="Z5479" s="25"/>
      <c r="AA5479" s="25"/>
    </row>
    <row r="5480" spans="1:27" x14ac:dyDescent="0.35">
      <c r="A5480" s="5">
        <v>5476</v>
      </c>
      <c r="B5480" s="5">
        <v>229</v>
      </c>
      <c r="C5480" s="5">
        <v>8</v>
      </c>
      <c r="D5480" s="25">
        <v>1.1415000000000001E-4</v>
      </c>
      <c r="E5480" s="25">
        <v>1.1827E-4</v>
      </c>
      <c r="F5480" s="25">
        <v>1.0205E-4</v>
      </c>
      <c r="G5480" s="25">
        <v>5.4299999999999998E-5</v>
      </c>
      <c r="H5480" s="25">
        <v>7.1559999999999999E-5</v>
      </c>
      <c r="I5480" s="9">
        <v>8.3079999999999997E-5</v>
      </c>
      <c r="J5480" s="9">
        <v>8.7689999999999996E-5</v>
      </c>
      <c r="K5480" s="9">
        <v>1.1445E-4</v>
      </c>
      <c r="L5480" s="9">
        <v>1.7410000000000001E-5</v>
      </c>
      <c r="M5480" s="9">
        <v>4.4209999999999999E-5</v>
      </c>
      <c r="N5480" s="9">
        <v>6.1879999999999997E-5</v>
      </c>
      <c r="O5480" s="9">
        <v>1.361E-5</v>
      </c>
      <c r="P5480" s="9">
        <v>4.727E-5</v>
      </c>
      <c r="Q5480" s="9">
        <v>8.0400000000000003E-5</v>
      </c>
      <c r="R5480" s="10">
        <v>1.3921543034504615E-4</v>
      </c>
      <c r="S5480" s="10">
        <v>1.4591585231155281E-4</v>
      </c>
      <c r="T5480" s="10">
        <v>0</v>
      </c>
      <c r="U5480" s="10">
        <v>7.2899999999999997E-5</v>
      </c>
      <c r="V5480" s="25"/>
      <c r="W5480" s="25"/>
      <c r="X5480" s="25"/>
      <c r="Y5480" s="25"/>
      <c r="Z5480" s="25"/>
      <c r="AA5480" s="25"/>
    </row>
    <row r="5481" spans="1:27" x14ac:dyDescent="0.35">
      <c r="A5481" s="5">
        <v>5477</v>
      </c>
      <c r="B5481" s="5">
        <v>229</v>
      </c>
      <c r="C5481" s="5">
        <v>8</v>
      </c>
      <c r="D5481" s="25">
        <v>1.1416E-4</v>
      </c>
      <c r="E5481" s="25">
        <v>1.1255E-4</v>
      </c>
      <c r="F5481" s="25">
        <v>9.9500000000000006E-5</v>
      </c>
      <c r="G5481" s="25">
        <v>5.3829999999999998E-5</v>
      </c>
      <c r="H5481" s="25">
        <v>6.6870000000000002E-5</v>
      </c>
      <c r="I5481" s="9">
        <v>8.8640000000000005E-5</v>
      </c>
      <c r="J5481" s="9">
        <v>8.9790000000000006E-5</v>
      </c>
      <c r="K5481" s="9">
        <v>1.102E-4</v>
      </c>
      <c r="L5481" s="9">
        <v>1.47E-5</v>
      </c>
      <c r="M5481" s="9">
        <v>4.3489999999999999E-5</v>
      </c>
      <c r="N5481" s="9">
        <v>6.444E-5</v>
      </c>
      <c r="O5481" s="9">
        <v>1.893E-5</v>
      </c>
      <c r="P5481" s="9">
        <v>5.6289999999999998E-5</v>
      </c>
      <c r="Q5481" s="9">
        <v>9.3079999999999997E-5</v>
      </c>
      <c r="R5481" s="10">
        <v>1.3640866596888317E-4</v>
      </c>
      <c r="S5481" s="10">
        <v>1.5576480852519444E-4</v>
      </c>
      <c r="T5481" s="10">
        <v>0</v>
      </c>
      <c r="U5481" s="10">
        <v>7.2899999999999997E-5</v>
      </c>
      <c r="V5481" s="25"/>
      <c r="W5481" s="25"/>
      <c r="X5481" s="25"/>
      <c r="Y5481" s="25"/>
      <c r="Z5481" s="25"/>
      <c r="AA5481" s="25"/>
    </row>
    <row r="5482" spans="1:27" x14ac:dyDescent="0.35">
      <c r="A5482" s="5">
        <v>5478</v>
      </c>
      <c r="B5482" s="5">
        <v>229</v>
      </c>
      <c r="C5482" s="5">
        <v>8</v>
      </c>
      <c r="D5482" s="25">
        <v>1.1415000000000001E-4</v>
      </c>
      <c r="E5482" s="25">
        <v>1.1636E-4</v>
      </c>
      <c r="F5482" s="25">
        <v>1.0533E-4</v>
      </c>
      <c r="G5482" s="25">
        <v>1.1357E-4</v>
      </c>
      <c r="H5482" s="25">
        <v>1.3219999999999999E-4</v>
      </c>
      <c r="I5482" s="9">
        <v>9.6830000000000006E-5</v>
      </c>
      <c r="J5482" s="9">
        <v>9.5130000000000006E-5</v>
      </c>
      <c r="K5482" s="9">
        <v>3.8149999999999999E-5</v>
      </c>
      <c r="L5482" s="9">
        <v>1.787E-5</v>
      </c>
      <c r="M5482" s="9">
        <v>4.8269999999999997E-5</v>
      </c>
      <c r="N5482" s="9">
        <v>7.0879999999999999E-5</v>
      </c>
      <c r="O5482" s="9">
        <v>4.6069999999999998E-5</v>
      </c>
      <c r="P5482" s="9">
        <v>7.6429999999999998E-5</v>
      </c>
      <c r="Q5482" s="9">
        <v>1.0643E-4</v>
      </c>
      <c r="R5482" s="10">
        <v>1.3495944951604915E-4</v>
      </c>
      <c r="S5482" s="10">
        <v>1.5994795332451622E-4</v>
      </c>
      <c r="T5482" s="10">
        <v>2.7234600913957482E-6</v>
      </c>
      <c r="U5482" s="10">
        <v>7.2899999999999997E-5</v>
      </c>
      <c r="V5482" s="25"/>
      <c r="W5482" s="25"/>
      <c r="X5482" s="25"/>
      <c r="Y5482" s="25"/>
      <c r="Z5482" s="25"/>
      <c r="AA5482" s="25"/>
    </row>
    <row r="5483" spans="1:27" x14ac:dyDescent="0.35">
      <c r="A5483" s="5">
        <v>5479</v>
      </c>
      <c r="B5483" s="5">
        <v>229</v>
      </c>
      <c r="C5483" s="5">
        <v>8</v>
      </c>
      <c r="D5483" s="25">
        <v>1.1416E-4</v>
      </c>
      <c r="E5483" s="25">
        <v>1.1574999999999999E-4</v>
      </c>
      <c r="F5483" s="25">
        <v>1.044E-4</v>
      </c>
      <c r="G5483" s="25">
        <v>1.0738000000000001E-4</v>
      </c>
      <c r="H5483" s="25">
        <v>1.3861E-4</v>
      </c>
      <c r="I5483" s="9">
        <v>1.0326E-4</v>
      </c>
      <c r="J5483" s="9">
        <v>1.0477E-4</v>
      </c>
      <c r="K5483" s="9">
        <v>0</v>
      </c>
      <c r="L5483" s="9">
        <v>3.9730000000000001E-5</v>
      </c>
      <c r="M5483" s="9">
        <v>5.9759999999999997E-5</v>
      </c>
      <c r="N5483" s="9">
        <v>8.0459999999999999E-5</v>
      </c>
      <c r="O5483" s="9">
        <v>1.2245999999999999E-4</v>
      </c>
      <c r="P5483" s="9">
        <v>1.1705E-4</v>
      </c>
      <c r="Q5483" s="9">
        <v>1.1212E-4</v>
      </c>
      <c r="R5483" s="10">
        <v>1.2961399402439933E-4</v>
      </c>
      <c r="S5483" s="10">
        <v>1.5429450398160899E-4</v>
      </c>
      <c r="T5483" s="10">
        <v>2.1881008024017553E-5</v>
      </c>
      <c r="U5483" s="10">
        <v>7.2899999999999997E-5</v>
      </c>
      <c r="V5483" s="25"/>
      <c r="W5483" s="25"/>
      <c r="X5483" s="25"/>
      <c r="Y5483" s="25"/>
      <c r="Z5483" s="25"/>
      <c r="AA5483" s="25"/>
    </row>
    <row r="5484" spans="1:27" x14ac:dyDescent="0.35">
      <c r="A5484" s="5">
        <v>5480</v>
      </c>
      <c r="B5484" s="5">
        <v>229</v>
      </c>
      <c r="C5484" s="5">
        <v>8</v>
      </c>
      <c r="D5484" s="25">
        <v>1.1415000000000001E-4</v>
      </c>
      <c r="E5484" s="25">
        <v>1.1567E-4</v>
      </c>
      <c r="F5484" s="25">
        <v>1.0156E-4</v>
      </c>
      <c r="G5484" s="25">
        <v>1.6750000000000001E-4</v>
      </c>
      <c r="H5484" s="25">
        <v>1.8783E-4</v>
      </c>
      <c r="I5484" s="9">
        <v>1.0787E-4</v>
      </c>
      <c r="J5484" s="9">
        <v>1.1366000000000001E-4</v>
      </c>
      <c r="K5484" s="9">
        <v>0</v>
      </c>
      <c r="L5484" s="9">
        <v>1.0365E-4</v>
      </c>
      <c r="M5484" s="9">
        <v>8.3339999999999998E-5</v>
      </c>
      <c r="N5484" s="9">
        <v>9.0500000000000004E-5</v>
      </c>
      <c r="O5484" s="9">
        <v>2.1772E-4</v>
      </c>
      <c r="P5484" s="9">
        <v>1.7621999999999999E-4</v>
      </c>
      <c r="Q5484" s="9">
        <v>1.3613000000000001E-4</v>
      </c>
      <c r="R5484" s="10">
        <v>1.1972994651478706E-4</v>
      </c>
      <c r="S5484" s="10">
        <v>1.4199070837955322E-4</v>
      </c>
      <c r="T5484" s="10">
        <v>4.6807879514736269E-5</v>
      </c>
      <c r="U5484" s="10">
        <v>7.2899999999999997E-5</v>
      </c>
      <c r="V5484" s="25"/>
      <c r="W5484" s="25"/>
      <c r="X5484" s="25"/>
      <c r="Y5484" s="25"/>
      <c r="Z5484" s="25"/>
      <c r="AA5484" s="25"/>
    </row>
    <row r="5485" spans="1:27" x14ac:dyDescent="0.35">
      <c r="A5485" s="5">
        <v>5481</v>
      </c>
      <c r="B5485" s="5">
        <v>229</v>
      </c>
      <c r="C5485" s="5">
        <v>8</v>
      </c>
      <c r="D5485" s="25">
        <v>1.1416E-4</v>
      </c>
      <c r="E5485" s="25">
        <v>1.1228E-4</v>
      </c>
      <c r="F5485" s="25">
        <v>1.077E-4</v>
      </c>
      <c r="G5485" s="25">
        <v>1.6616999999999999E-4</v>
      </c>
      <c r="H5485" s="25">
        <v>1.9691000000000001E-4</v>
      </c>
      <c r="I5485" s="9">
        <v>1.0805E-4</v>
      </c>
      <c r="J5485" s="9">
        <v>1.1723E-4</v>
      </c>
      <c r="K5485" s="9">
        <v>0</v>
      </c>
      <c r="L5485" s="9">
        <v>1.9086999999999999E-4</v>
      </c>
      <c r="M5485" s="9">
        <v>1.2287999999999999E-4</v>
      </c>
      <c r="N5485" s="9">
        <v>1.0416000000000001E-4</v>
      </c>
      <c r="O5485" s="9">
        <v>2.1053000000000001E-4</v>
      </c>
      <c r="P5485" s="9">
        <v>1.9326E-4</v>
      </c>
      <c r="Q5485" s="9">
        <v>1.7699E-4</v>
      </c>
      <c r="R5485" s="10">
        <v>1.1376926672972768E-4</v>
      </c>
      <c r="S5485" s="10">
        <v>1.2462476280974974E-4</v>
      </c>
      <c r="T5485" s="10">
        <v>6.0459117169115581E-5</v>
      </c>
      <c r="U5485" s="10">
        <v>7.2899999999999997E-5</v>
      </c>
      <c r="V5485" s="25"/>
      <c r="W5485" s="25"/>
      <c r="X5485" s="25"/>
      <c r="Y5485" s="25"/>
      <c r="Z5485" s="25"/>
      <c r="AA5485" s="25"/>
    </row>
    <row r="5486" spans="1:27" x14ac:dyDescent="0.35">
      <c r="A5486" s="5">
        <v>5482</v>
      </c>
      <c r="B5486" s="5">
        <v>229</v>
      </c>
      <c r="C5486" s="5">
        <v>8</v>
      </c>
      <c r="D5486" s="25">
        <v>1.1415000000000001E-4</v>
      </c>
      <c r="E5486" s="25">
        <v>1.1406E-4</v>
      </c>
      <c r="F5486" s="25">
        <v>1.1718999999999999E-4</v>
      </c>
      <c r="G5486" s="25">
        <v>1.5824E-4</v>
      </c>
      <c r="H5486" s="25">
        <v>1.8720999999999999E-4</v>
      </c>
      <c r="I5486" s="9">
        <v>1.0623E-4</v>
      </c>
      <c r="J5486" s="9">
        <v>1.1815999999999999E-4</v>
      </c>
      <c r="K5486" s="9">
        <v>0</v>
      </c>
      <c r="L5486" s="9">
        <v>2.0392000000000001E-4</v>
      </c>
      <c r="M5486" s="9">
        <v>1.5824E-4</v>
      </c>
      <c r="N5486" s="9">
        <v>1.2425000000000001E-4</v>
      </c>
      <c r="O5486" s="9">
        <v>1.6695999999999999E-4</v>
      </c>
      <c r="P5486" s="9">
        <v>1.7453E-4</v>
      </c>
      <c r="Q5486" s="9">
        <v>1.8255999999999999E-4</v>
      </c>
      <c r="R5486" s="10">
        <v>1.1397881838202602E-4</v>
      </c>
      <c r="S5486" s="10">
        <v>1.2050889307878225E-4</v>
      </c>
      <c r="T5486" s="10">
        <v>7.2795288424222789E-5</v>
      </c>
      <c r="U5486" s="10">
        <v>7.2899999999999997E-5</v>
      </c>
      <c r="V5486" s="25"/>
      <c r="W5486" s="25"/>
      <c r="X5486" s="25"/>
      <c r="Y5486" s="25"/>
      <c r="Z5486" s="25"/>
      <c r="AA5486" s="25"/>
    </row>
    <row r="5487" spans="1:27" x14ac:dyDescent="0.35">
      <c r="A5487" s="5">
        <v>5483</v>
      </c>
      <c r="B5487" s="5">
        <v>229</v>
      </c>
      <c r="C5487" s="5">
        <v>8</v>
      </c>
      <c r="D5487" s="25">
        <v>1.1416E-4</v>
      </c>
      <c r="E5487" s="25">
        <v>1.1508E-4</v>
      </c>
      <c r="F5487" s="25">
        <v>1.1035999999999999E-4</v>
      </c>
      <c r="G5487" s="25">
        <v>1.6452E-4</v>
      </c>
      <c r="H5487" s="25">
        <v>2.0101E-4</v>
      </c>
      <c r="I5487" s="9">
        <v>1.0438999999999999E-4</v>
      </c>
      <c r="J5487" s="9">
        <v>1.182E-4</v>
      </c>
      <c r="K5487" s="9">
        <v>0</v>
      </c>
      <c r="L5487" s="9">
        <v>1.7514000000000001E-4</v>
      </c>
      <c r="M5487" s="9">
        <v>1.7231000000000001E-4</v>
      </c>
      <c r="N5487" s="9">
        <v>1.4250999999999999E-4</v>
      </c>
      <c r="O5487" s="9">
        <v>1.6534000000000001E-4</v>
      </c>
      <c r="P5487" s="9">
        <v>1.7149999999999999E-4</v>
      </c>
      <c r="Q5487" s="9">
        <v>1.7813E-4</v>
      </c>
      <c r="R5487" s="10">
        <v>1.1374377240082545E-4</v>
      </c>
      <c r="S5487" s="10">
        <v>1.1558342899555004E-4</v>
      </c>
      <c r="T5487" s="10">
        <v>9.4633874951489637E-5</v>
      </c>
      <c r="U5487" s="10">
        <v>7.2899999999999997E-5</v>
      </c>
      <c r="V5487" s="25"/>
      <c r="W5487" s="25"/>
      <c r="X5487" s="25"/>
      <c r="Y5487" s="25"/>
      <c r="Z5487" s="25"/>
      <c r="AA5487" s="25"/>
    </row>
    <row r="5488" spans="1:27" x14ac:dyDescent="0.35">
      <c r="A5488" s="5">
        <v>5484</v>
      </c>
      <c r="B5488" s="5">
        <v>229</v>
      </c>
      <c r="C5488" s="5">
        <v>8</v>
      </c>
      <c r="D5488" s="25">
        <v>1.1415000000000001E-4</v>
      </c>
      <c r="E5488" s="25">
        <v>1.2116999999999999E-4</v>
      </c>
      <c r="F5488" s="25">
        <v>9.8280000000000001E-5</v>
      </c>
      <c r="G5488" s="25">
        <v>1.6666000000000001E-4</v>
      </c>
      <c r="H5488" s="25">
        <v>1.9139999999999999E-4</v>
      </c>
      <c r="I5488" s="9">
        <v>9.9770000000000002E-5</v>
      </c>
      <c r="J5488" s="9">
        <v>1.1746E-4</v>
      </c>
      <c r="K5488" s="9">
        <v>0</v>
      </c>
      <c r="L5488" s="9">
        <v>1.6888999999999999E-4</v>
      </c>
      <c r="M5488" s="9">
        <v>1.7443E-4</v>
      </c>
      <c r="N5488" s="9">
        <v>1.5637E-4</v>
      </c>
      <c r="O5488" s="9">
        <v>1.6841999999999999E-4</v>
      </c>
      <c r="P5488" s="9">
        <v>1.7053000000000001E-4</v>
      </c>
      <c r="Q5488" s="9">
        <v>1.7318999999999999E-4</v>
      </c>
      <c r="R5488" s="10">
        <v>1.3259350596655061E-4</v>
      </c>
      <c r="S5488" s="10">
        <v>9.9505104709606386E-5</v>
      </c>
      <c r="T5488" s="10">
        <v>1.0789483483576239E-4</v>
      </c>
      <c r="U5488" s="10">
        <v>7.2899999999999997E-5</v>
      </c>
      <c r="V5488" s="25"/>
      <c r="W5488" s="25"/>
      <c r="X5488" s="25"/>
      <c r="Y5488" s="25"/>
      <c r="Z5488" s="25"/>
      <c r="AA5488" s="25"/>
    </row>
    <row r="5489" spans="1:27" x14ac:dyDescent="0.35">
      <c r="A5489" s="5">
        <v>5485</v>
      </c>
      <c r="B5489" s="5">
        <v>229</v>
      </c>
      <c r="C5489" s="5">
        <v>8</v>
      </c>
      <c r="D5489" s="25">
        <v>1.1416E-4</v>
      </c>
      <c r="E5489" s="25">
        <v>1.1251000000000001E-4</v>
      </c>
      <c r="F5489" s="25">
        <v>1.0865E-4</v>
      </c>
      <c r="G5489" s="25">
        <v>1.5652999999999999E-4</v>
      </c>
      <c r="H5489" s="25">
        <v>1.9693E-4</v>
      </c>
      <c r="I5489" s="9">
        <v>9.8339999999999997E-5</v>
      </c>
      <c r="J5489" s="9">
        <v>1.1792E-4</v>
      </c>
      <c r="K5489" s="9">
        <v>0</v>
      </c>
      <c r="L5489" s="9">
        <v>1.6872E-4</v>
      </c>
      <c r="M5489" s="9">
        <v>1.7306E-4</v>
      </c>
      <c r="N5489" s="9">
        <v>1.6569999999999999E-4</v>
      </c>
      <c r="O5489" s="9">
        <v>1.5996000000000001E-4</v>
      </c>
      <c r="P5489" s="9">
        <v>1.6284000000000001E-4</v>
      </c>
      <c r="Q5489" s="9">
        <v>1.6621E-4</v>
      </c>
      <c r="R5489" s="10">
        <v>1.1765872602988066E-4</v>
      </c>
      <c r="S5489" s="10">
        <v>8.9763628899030754E-5</v>
      </c>
      <c r="T5489" s="10">
        <v>9.4379345970985353E-5</v>
      </c>
      <c r="U5489" s="10">
        <v>7.2899999999999997E-5</v>
      </c>
      <c r="V5489" s="25"/>
      <c r="W5489" s="25"/>
      <c r="X5489" s="25"/>
      <c r="Y5489" s="25"/>
      <c r="Z5489" s="25"/>
      <c r="AA5489" s="25"/>
    </row>
    <row r="5490" spans="1:27" x14ac:dyDescent="0.35">
      <c r="A5490" s="5">
        <v>5486</v>
      </c>
      <c r="B5490" s="5">
        <v>229</v>
      </c>
      <c r="C5490" s="5">
        <v>8</v>
      </c>
      <c r="D5490" s="25">
        <v>1.1415000000000001E-4</v>
      </c>
      <c r="E5490" s="25">
        <v>1.2303999999999999E-4</v>
      </c>
      <c r="F5490" s="25">
        <v>1.1909E-4</v>
      </c>
      <c r="G5490" s="25">
        <v>1.607E-4</v>
      </c>
      <c r="H5490" s="25">
        <v>1.8965E-4</v>
      </c>
      <c r="I5490" s="9">
        <v>9.7990000000000002E-5</v>
      </c>
      <c r="J5490" s="9">
        <v>1.1735000000000001E-4</v>
      </c>
      <c r="K5490" s="9">
        <v>0</v>
      </c>
      <c r="L5490" s="9">
        <v>1.6164E-4</v>
      </c>
      <c r="M5490" s="9">
        <v>1.6899999999999999E-4</v>
      </c>
      <c r="N5490" s="9">
        <v>1.6982E-4</v>
      </c>
      <c r="O5490" s="9">
        <v>1.7754000000000001E-4</v>
      </c>
      <c r="P5490" s="9">
        <v>1.6877E-4</v>
      </c>
      <c r="Q5490" s="9">
        <v>1.6074000000000001E-4</v>
      </c>
      <c r="R5490" s="10">
        <v>1.0913106809126731E-4</v>
      </c>
      <c r="S5490" s="10">
        <v>9.6248282918580481E-5</v>
      </c>
      <c r="T5490" s="10">
        <v>8.64465260786021E-5</v>
      </c>
      <c r="U5490" s="10">
        <v>7.2899999999999997E-5</v>
      </c>
      <c r="V5490" s="25"/>
      <c r="W5490" s="25"/>
      <c r="X5490" s="25"/>
      <c r="Y5490" s="25"/>
      <c r="Z5490" s="25"/>
      <c r="AA5490" s="25"/>
    </row>
    <row r="5491" spans="1:27" x14ac:dyDescent="0.35">
      <c r="A5491" s="5">
        <v>5487</v>
      </c>
      <c r="B5491" s="5">
        <v>229</v>
      </c>
      <c r="C5491" s="5">
        <v>8</v>
      </c>
      <c r="D5491" s="25">
        <v>1.1416E-4</v>
      </c>
      <c r="E5491" s="25">
        <v>1.1485999999999999E-4</v>
      </c>
      <c r="F5491" s="25">
        <v>9.9790000000000005E-5</v>
      </c>
      <c r="G5491" s="25">
        <v>1.5949000000000001E-4</v>
      </c>
      <c r="H5491" s="25">
        <v>1.9148E-4</v>
      </c>
      <c r="I5491" s="9">
        <v>9.9240000000000005E-5</v>
      </c>
      <c r="J5491" s="9">
        <v>1.1683E-4</v>
      </c>
      <c r="K5491" s="9">
        <v>0</v>
      </c>
      <c r="L5491" s="9">
        <v>1.7420000000000001E-4</v>
      </c>
      <c r="M5491" s="9">
        <v>1.6778E-4</v>
      </c>
      <c r="N5491" s="9">
        <v>1.694E-4</v>
      </c>
      <c r="O5491" s="9">
        <v>1.8455000000000001E-4</v>
      </c>
      <c r="P5491" s="9">
        <v>1.6882999999999999E-4</v>
      </c>
      <c r="Q5491" s="9">
        <v>1.5399000000000001E-4</v>
      </c>
      <c r="R5491" s="10">
        <v>1.1248174594762775E-4</v>
      </c>
      <c r="S5491" s="10">
        <v>9.6851806592803262E-5</v>
      </c>
      <c r="T5491" s="10">
        <v>8.6395620282501254E-5</v>
      </c>
      <c r="U5491" s="10">
        <v>7.2899999999999997E-5</v>
      </c>
      <c r="V5491" s="25"/>
      <c r="W5491" s="25"/>
      <c r="X5491" s="25"/>
      <c r="Y5491" s="25"/>
      <c r="Z5491" s="25"/>
      <c r="AA5491" s="25"/>
    </row>
    <row r="5492" spans="1:27" x14ac:dyDescent="0.35">
      <c r="A5492" s="5">
        <v>5488</v>
      </c>
      <c r="B5492" s="5">
        <v>229</v>
      </c>
      <c r="C5492" s="5">
        <v>8</v>
      </c>
      <c r="D5492" s="25">
        <v>1.1415000000000001E-4</v>
      </c>
      <c r="E5492" s="25">
        <v>1.2144E-4</v>
      </c>
      <c r="F5492" s="25">
        <v>1.1142E-4</v>
      </c>
      <c r="G5492" s="25">
        <v>1.6254E-4</v>
      </c>
      <c r="H5492" s="25">
        <v>1.9447999999999999E-4</v>
      </c>
      <c r="I5492" s="9">
        <v>1.0088E-4</v>
      </c>
      <c r="J5492" s="9">
        <v>1.17E-4</v>
      </c>
      <c r="K5492" s="9">
        <v>0</v>
      </c>
      <c r="L5492" s="9">
        <v>1.8194000000000001E-4</v>
      </c>
      <c r="M5492" s="9">
        <v>1.6793999999999999E-4</v>
      </c>
      <c r="N5492" s="9">
        <v>1.6592000000000001E-4</v>
      </c>
      <c r="O5492" s="9">
        <v>1.9755E-4</v>
      </c>
      <c r="P5492" s="9">
        <v>1.5325000000000001E-4</v>
      </c>
      <c r="Q5492" s="9">
        <v>1.1033E-4</v>
      </c>
      <c r="R5492" s="10">
        <v>1.1121527619825835E-4</v>
      </c>
      <c r="S5492" s="10">
        <v>9.0398692887427769E-5</v>
      </c>
      <c r="T5492" s="10">
        <v>4.4194715314892372E-5</v>
      </c>
      <c r="U5492" s="10">
        <v>7.2899999999999997E-5</v>
      </c>
      <c r="V5492" s="25"/>
      <c r="W5492" s="25"/>
      <c r="X5492" s="25"/>
      <c r="Y5492" s="25"/>
      <c r="Z5492" s="25"/>
      <c r="AA5492" s="25"/>
    </row>
    <row r="5493" spans="1:27" x14ac:dyDescent="0.35">
      <c r="A5493" s="5">
        <v>5489</v>
      </c>
      <c r="B5493" s="5">
        <v>229</v>
      </c>
      <c r="C5493" s="5">
        <v>8</v>
      </c>
      <c r="D5493" s="25">
        <v>1.1416E-4</v>
      </c>
      <c r="E5493" s="25">
        <v>1.1209000000000001E-4</v>
      </c>
      <c r="F5493" s="25">
        <v>1.0992E-4</v>
      </c>
      <c r="G5493" s="25">
        <v>1.6618000000000001E-4</v>
      </c>
      <c r="H5493" s="25">
        <v>1.9165999999999999E-4</v>
      </c>
      <c r="I5493" s="9">
        <v>1.0454E-4</v>
      </c>
      <c r="J5493" s="9">
        <v>1.1845000000000001E-4</v>
      </c>
      <c r="K5493" s="9">
        <v>0</v>
      </c>
      <c r="L5493" s="9">
        <v>1.9385E-4</v>
      </c>
      <c r="M5493" s="9">
        <v>1.6280999999999999E-4</v>
      </c>
      <c r="N5493" s="9">
        <v>1.5245999999999999E-4</v>
      </c>
      <c r="O5493" s="9">
        <v>2.1455000000000001E-4</v>
      </c>
      <c r="P5493" s="9">
        <v>1.6043000000000001E-4</v>
      </c>
      <c r="Q5493" s="9">
        <v>1.0791E-4</v>
      </c>
      <c r="R5493" s="10">
        <v>9.9184095574181467E-5</v>
      </c>
      <c r="S5493" s="10">
        <v>9.1011870111717798E-5</v>
      </c>
      <c r="T5493" s="10">
        <v>3.6787921982217954E-5</v>
      </c>
      <c r="U5493" s="10">
        <v>7.2899999999999997E-5</v>
      </c>
      <c r="V5493" s="25"/>
      <c r="W5493" s="25"/>
      <c r="X5493" s="25"/>
      <c r="Y5493" s="25"/>
      <c r="Z5493" s="25"/>
      <c r="AA5493" s="25"/>
    </row>
    <row r="5494" spans="1:27" x14ac:dyDescent="0.35">
      <c r="A5494" s="5">
        <v>5490</v>
      </c>
      <c r="B5494" s="5">
        <v>229</v>
      </c>
      <c r="C5494" s="5">
        <v>8</v>
      </c>
      <c r="D5494" s="25">
        <v>1.1415000000000001E-4</v>
      </c>
      <c r="E5494" s="25">
        <v>1.2167000000000001E-4</v>
      </c>
      <c r="F5494" s="25">
        <v>1.0974E-4</v>
      </c>
      <c r="G5494" s="25">
        <v>1.6445000000000001E-4</v>
      </c>
      <c r="H5494" s="25">
        <v>1.8830999999999999E-4</v>
      </c>
      <c r="I5494" s="9">
        <v>1.0904999999999999E-4</v>
      </c>
      <c r="J5494" s="9">
        <v>1.1545E-4</v>
      </c>
      <c r="K5494" s="9">
        <v>0</v>
      </c>
      <c r="L5494" s="9">
        <v>2.0976E-4</v>
      </c>
      <c r="M5494" s="9">
        <v>1.605E-4</v>
      </c>
      <c r="N5494" s="9">
        <v>1.3939000000000001E-4</v>
      </c>
      <c r="O5494" s="9">
        <v>2.0325000000000001E-4</v>
      </c>
      <c r="P5494" s="9">
        <v>1.594E-4</v>
      </c>
      <c r="Q5494" s="9">
        <v>1.1695E-4</v>
      </c>
      <c r="R5494" s="10">
        <v>9.5726062442342636E-5</v>
      </c>
      <c r="S5494" s="10">
        <v>8.7994156032357836E-5</v>
      </c>
      <c r="T5494" s="10">
        <v>2.1024093789653155E-5</v>
      </c>
      <c r="U5494" s="10">
        <v>7.2899999999999997E-5</v>
      </c>
      <c r="V5494" s="25"/>
      <c r="W5494" s="25"/>
      <c r="X5494" s="25"/>
      <c r="Y5494" s="25"/>
      <c r="Z5494" s="25"/>
      <c r="AA5494" s="25"/>
    </row>
    <row r="5495" spans="1:27" x14ac:dyDescent="0.35">
      <c r="A5495" s="5">
        <v>5491</v>
      </c>
      <c r="B5495" s="5">
        <v>229</v>
      </c>
      <c r="C5495" s="5">
        <v>8</v>
      </c>
      <c r="D5495" s="25">
        <v>1.1416E-4</v>
      </c>
      <c r="E5495" s="25">
        <v>1.1239999999999999E-4</v>
      </c>
      <c r="F5495" s="25">
        <v>9.7239999999999997E-5</v>
      </c>
      <c r="G5495" s="25">
        <v>1.0514999999999999E-4</v>
      </c>
      <c r="H5495" s="25">
        <v>1.3111000000000001E-4</v>
      </c>
      <c r="I5495" s="9">
        <v>1.1022999999999999E-4</v>
      </c>
      <c r="J5495" s="9">
        <v>1.1281999999999999E-4</v>
      </c>
      <c r="K5495" s="9">
        <v>0</v>
      </c>
      <c r="L5495" s="9">
        <v>2.0427999999999999E-4</v>
      </c>
      <c r="M5495" s="9">
        <v>1.5964000000000001E-4</v>
      </c>
      <c r="N5495" s="9">
        <v>1.3023000000000001E-4</v>
      </c>
      <c r="O5495" s="9">
        <v>1.6464999999999999E-4</v>
      </c>
      <c r="P5495" s="9">
        <v>1.3564999999999999E-4</v>
      </c>
      <c r="Q5495" s="9">
        <v>1.0767E-4</v>
      </c>
      <c r="R5495" s="10">
        <v>8.5174614524901202E-5</v>
      </c>
      <c r="S5495" s="10">
        <v>8.9930237380424075E-5</v>
      </c>
      <c r="T5495" s="10">
        <v>7.4067933326744169E-6</v>
      </c>
      <c r="U5495" s="10">
        <v>7.2899999999999997E-5</v>
      </c>
      <c r="V5495" s="25"/>
      <c r="W5495" s="25"/>
      <c r="X5495" s="25"/>
      <c r="Y5495" s="25"/>
      <c r="Z5495" s="25"/>
      <c r="AA5495" s="25"/>
    </row>
    <row r="5496" spans="1:27" x14ac:dyDescent="0.35">
      <c r="A5496" s="5">
        <v>5492</v>
      </c>
      <c r="B5496" s="5">
        <v>229</v>
      </c>
      <c r="C5496" s="5">
        <v>8</v>
      </c>
      <c r="D5496" s="25">
        <v>1.1415000000000001E-4</v>
      </c>
      <c r="E5496" s="25">
        <v>1.1518000000000001E-4</v>
      </c>
      <c r="F5496" s="25">
        <v>9.7759999999999999E-5</v>
      </c>
      <c r="G5496" s="25">
        <v>1.0726E-4</v>
      </c>
      <c r="H5496" s="25">
        <v>1.2959000000000001E-4</v>
      </c>
      <c r="I5496" s="9">
        <v>1.0959E-4</v>
      </c>
      <c r="J5496" s="9">
        <v>1.1037E-4</v>
      </c>
      <c r="K5496" s="9">
        <v>0</v>
      </c>
      <c r="L5496" s="9">
        <v>1.7359999999999999E-4</v>
      </c>
      <c r="M5496" s="9">
        <v>1.5092999999999999E-4</v>
      </c>
      <c r="N5496" s="9">
        <v>1.2125000000000001E-4</v>
      </c>
      <c r="O5496" s="9">
        <v>1.2701999999999999E-4</v>
      </c>
      <c r="P5496" s="9">
        <v>1.1356E-4</v>
      </c>
      <c r="Q5496" s="9">
        <v>1.0074E-4</v>
      </c>
      <c r="R5496" s="10">
        <v>8.0308253880368447E-5</v>
      </c>
      <c r="S5496" s="10">
        <v>9.0065319975362164E-5</v>
      </c>
      <c r="T5496" s="10">
        <v>0</v>
      </c>
      <c r="U5496" s="10">
        <v>7.2899999999999997E-5</v>
      </c>
      <c r="V5496" s="25"/>
      <c r="W5496" s="25"/>
      <c r="X5496" s="25"/>
      <c r="Y5496" s="25"/>
      <c r="Z5496" s="25"/>
      <c r="AA5496" s="25"/>
    </row>
    <row r="5497" spans="1:27" x14ac:dyDescent="0.35">
      <c r="A5497" s="5">
        <v>5493</v>
      </c>
      <c r="B5497" s="5">
        <v>229</v>
      </c>
      <c r="C5497" s="5">
        <v>8</v>
      </c>
      <c r="D5497" s="25">
        <v>1.1416E-4</v>
      </c>
      <c r="E5497" s="25">
        <v>1.203E-4</v>
      </c>
      <c r="F5497" s="25">
        <v>1.1689E-4</v>
      </c>
      <c r="G5497" s="25">
        <v>5.6919999999999997E-5</v>
      </c>
      <c r="H5497" s="25">
        <v>6.8100000000000002E-5</v>
      </c>
      <c r="I5497" s="9">
        <v>1.1102E-4</v>
      </c>
      <c r="J5497" s="9">
        <v>1.1222000000000001E-4</v>
      </c>
      <c r="K5497" s="9">
        <v>0</v>
      </c>
      <c r="L5497" s="9">
        <v>1.3821999999999999E-4</v>
      </c>
      <c r="M5497" s="9">
        <v>1.3505E-4</v>
      </c>
      <c r="N5497" s="9">
        <v>1.1322E-4</v>
      </c>
      <c r="O5497" s="9">
        <v>8.3739999999999994E-5</v>
      </c>
      <c r="P5497" s="9">
        <v>8.5480000000000002E-5</v>
      </c>
      <c r="Q5497" s="9">
        <v>8.7460000000000006E-5</v>
      </c>
      <c r="R5497" s="10">
        <v>7.885629921529072E-5</v>
      </c>
      <c r="S5497" s="10">
        <v>8.3645761569724807E-5</v>
      </c>
      <c r="T5497" s="10">
        <v>0</v>
      </c>
      <c r="U5497" s="10">
        <v>7.2899999999999997E-5</v>
      </c>
      <c r="V5497" s="25"/>
      <c r="W5497" s="25"/>
      <c r="X5497" s="25"/>
      <c r="Y5497" s="25"/>
      <c r="Z5497" s="25"/>
      <c r="AA5497" s="25"/>
    </row>
    <row r="5498" spans="1:27" x14ac:dyDescent="0.35">
      <c r="A5498" s="5">
        <v>5494</v>
      </c>
      <c r="B5498" s="5">
        <v>229</v>
      </c>
      <c r="C5498" s="5">
        <v>8</v>
      </c>
      <c r="D5498" s="25">
        <v>1.1415000000000001E-4</v>
      </c>
      <c r="E5498" s="25">
        <v>1.1162000000000001E-4</v>
      </c>
      <c r="F5498" s="25">
        <v>9.9469999999999995E-5</v>
      </c>
      <c r="G5498" s="25">
        <v>5.7049999999999998E-5</v>
      </c>
      <c r="H5498" s="25">
        <v>6.5619999999999999E-5</v>
      </c>
      <c r="I5498" s="9">
        <v>1.1147E-4</v>
      </c>
      <c r="J5498" s="9">
        <v>1.0864E-4</v>
      </c>
      <c r="K5498" s="9">
        <v>0</v>
      </c>
      <c r="L5498" s="9">
        <v>9.6669999999999994E-5</v>
      </c>
      <c r="M5498" s="9">
        <v>1.1312E-4</v>
      </c>
      <c r="N5498" s="9">
        <v>1.0535999999999999E-4</v>
      </c>
      <c r="O5498" s="9">
        <v>8.6509999999999997E-5</v>
      </c>
      <c r="P5498" s="9">
        <v>8.6890000000000003E-5</v>
      </c>
      <c r="Q5498" s="9">
        <v>8.7529999999999997E-5</v>
      </c>
      <c r="R5498" s="10">
        <v>8.2780444318860923E-5</v>
      </c>
      <c r="S5498" s="10">
        <v>7.9511937687902753E-5</v>
      </c>
      <c r="T5498" s="10">
        <v>0</v>
      </c>
      <c r="U5498" s="10">
        <v>7.2899999999999997E-5</v>
      </c>
      <c r="V5498" s="25"/>
      <c r="W5498" s="25"/>
      <c r="X5498" s="25"/>
      <c r="Y5498" s="25"/>
      <c r="Z5498" s="25"/>
      <c r="AA5498" s="25"/>
    </row>
    <row r="5499" spans="1:27" x14ac:dyDescent="0.35">
      <c r="A5499" s="5">
        <v>5495</v>
      </c>
      <c r="B5499" s="5">
        <v>229</v>
      </c>
      <c r="C5499" s="5">
        <v>8</v>
      </c>
      <c r="D5499" s="25">
        <v>1.1416E-4</v>
      </c>
      <c r="E5499" s="25">
        <v>1.1752E-4</v>
      </c>
      <c r="F5499" s="25">
        <v>1.1731E-4</v>
      </c>
      <c r="G5499" s="25">
        <v>6.0449999999999999E-5</v>
      </c>
      <c r="H5499" s="25">
        <v>6.6619999999999996E-5</v>
      </c>
      <c r="I5499" s="9">
        <v>1.0572E-4</v>
      </c>
      <c r="J5499" s="9">
        <v>1.0323999999999999E-4</v>
      </c>
      <c r="K5499" s="9">
        <v>0</v>
      </c>
      <c r="L5499" s="9">
        <v>8.9679999999999995E-5</v>
      </c>
      <c r="M5499" s="9">
        <v>9.8309999999999999E-5</v>
      </c>
      <c r="N5499" s="9">
        <v>9.9350000000000003E-5</v>
      </c>
      <c r="O5499" s="9">
        <v>7.7050000000000003E-5</v>
      </c>
      <c r="P5499" s="9">
        <v>7.1520000000000006E-5</v>
      </c>
      <c r="Q5499" s="9">
        <v>6.6320000000000002E-5</v>
      </c>
      <c r="R5499" s="10">
        <v>8.7696877184179021E-5</v>
      </c>
      <c r="S5499" s="10">
        <v>8.5672333994700917E-5</v>
      </c>
      <c r="T5499" s="10">
        <v>0</v>
      </c>
      <c r="U5499" s="10">
        <v>7.2899999999999997E-5</v>
      </c>
      <c r="V5499" s="25"/>
      <c r="W5499" s="25"/>
      <c r="X5499" s="25"/>
      <c r="Y5499" s="25"/>
      <c r="Z5499" s="25"/>
      <c r="AA5499" s="25"/>
    </row>
    <row r="5500" spans="1:27" x14ac:dyDescent="0.35">
      <c r="A5500" s="5">
        <v>5496</v>
      </c>
      <c r="B5500" s="5">
        <v>229</v>
      </c>
      <c r="C5500" s="5">
        <v>8</v>
      </c>
      <c r="D5500" s="25">
        <v>1.1415000000000001E-4</v>
      </c>
      <c r="E5500" s="25">
        <v>1.172E-4</v>
      </c>
      <c r="F5500" s="25">
        <v>1.1195E-4</v>
      </c>
      <c r="G5500" s="25">
        <v>5.8629999999999999E-5</v>
      </c>
      <c r="H5500" s="25">
        <v>7.0309999999999996E-5</v>
      </c>
      <c r="I5500" s="9">
        <v>9.7990000000000002E-5</v>
      </c>
      <c r="J5500" s="9">
        <v>9.5970000000000004E-5</v>
      </c>
      <c r="K5500" s="9">
        <v>1.061E-5</v>
      </c>
      <c r="L5500" s="9">
        <v>7.9800000000000002E-5</v>
      </c>
      <c r="M5500" s="9">
        <v>8.5409999999999997E-5</v>
      </c>
      <c r="N5500" s="9">
        <v>8.9989999999999997E-5</v>
      </c>
      <c r="O5500" s="9">
        <v>6.2739999999999999E-5</v>
      </c>
      <c r="P5500" s="9">
        <v>6.071E-5</v>
      </c>
      <c r="Q5500" s="9">
        <v>5.889E-5</v>
      </c>
      <c r="R5500" s="10">
        <v>1.255841471051267E-4</v>
      </c>
      <c r="S5500" s="10">
        <v>1.2326589167518858E-4</v>
      </c>
      <c r="T5500" s="10">
        <v>0</v>
      </c>
      <c r="U5500" s="10">
        <v>7.2899999999999997E-5</v>
      </c>
      <c r="V5500" s="25"/>
      <c r="W5500" s="25"/>
      <c r="X5500" s="25"/>
      <c r="Y5500" s="25"/>
      <c r="Z5500" s="25"/>
      <c r="AA5500" s="25"/>
    </row>
    <row r="5501" spans="1:27" x14ac:dyDescent="0.35">
      <c r="A5501" s="5">
        <v>5497</v>
      </c>
      <c r="B5501" s="5">
        <v>230</v>
      </c>
      <c r="C5501" s="5">
        <v>8</v>
      </c>
      <c r="D5501" s="25">
        <v>1.1416E-4</v>
      </c>
      <c r="E5501" s="25">
        <v>1.0849E-4</v>
      </c>
      <c r="F5501" s="25">
        <v>1.2255999999999999E-4</v>
      </c>
      <c r="G5501" s="25">
        <v>6.1639999999999999E-5</v>
      </c>
      <c r="H5501" s="25">
        <v>4.5809999999999997E-5</v>
      </c>
      <c r="I5501" s="9">
        <v>9.3800000000000003E-5</v>
      </c>
      <c r="J5501" s="9">
        <v>9.0760000000000005E-5</v>
      </c>
      <c r="K5501" s="9">
        <v>2.1189999999999999E-5</v>
      </c>
      <c r="L5501" s="9">
        <v>6.6489999999999995E-5</v>
      </c>
      <c r="M5501" s="9">
        <v>7.3570000000000002E-5</v>
      </c>
      <c r="N5501" s="9">
        <v>8.0649999999999995E-5</v>
      </c>
      <c r="O5501" s="9">
        <v>6.8490000000000003E-5</v>
      </c>
      <c r="P5501" s="9">
        <v>6.0980000000000002E-5</v>
      </c>
      <c r="Q5501" s="9">
        <v>5.3779999999999997E-5</v>
      </c>
      <c r="R5501" s="10">
        <v>1.1172587272212112E-4</v>
      </c>
      <c r="S5501" s="10">
        <v>1.3437946640094026E-4</v>
      </c>
      <c r="T5501" s="10">
        <v>0</v>
      </c>
      <c r="U5501" s="10">
        <v>7.2459999999999994E-5</v>
      </c>
      <c r="V5501" s="25"/>
      <c r="W5501" s="25"/>
      <c r="X5501" s="25"/>
      <c r="Y5501" s="25"/>
      <c r="Z5501" s="25"/>
      <c r="AA5501" s="25"/>
    </row>
    <row r="5502" spans="1:27" x14ac:dyDescent="0.35">
      <c r="A5502" s="5">
        <v>5498</v>
      </c>
      <c r="B5502" s="5">
        <v>230</v>
      </c>
      <c r="C5502" s="5">
        <v>8</v>
      </c>
      <c r="D5502" s="25">
        <v>1.1415000000000001E-4</v>
      </c>
      <c r="E5502" s="25">
        <v>1.0707E-4</v>
      </c>
      <c r="F5502" s="25">
        <v>1.2108999999999999E-4</v>
      </c>
      <c r="G5502" s="25">
        <v>5.9910000000000001E-5</v>
      </c>
      <c r="H5502" s="25">
        <v>4.5710000000000001E-5</v>
      </c>
      <c r="I5502" s="9">
        <v>9.0470000000000006E-5</v>
      </c>
      <c r="J5502" s="9">
        <v>8.8460000000000003E-5</v>
      </c>
      <c r="K5502" s="9">
        <v>2.968E-5</v>
      </c>
      <c r="L5502" s="9">
        <v>6.8410000000000004E-5</v>
      </c>
      <c r="M5502" s="9">
        <v>6.6229999999999994E-5</v>
      </c>
      <c r="N5502" s="9">
        <v>7.1740000000000001E-5</v>
      </c>
      <c r="O5502" s="9">
        <v>3.5630000000000003E-5</v>
      </c>
      <c r="P5502" s="9">
        <v>4.6140000000000002E-5</v>
      </c>
      <c r="Q5502" s="9">
        <v>5.6549999999999999E-5</v>
      </c>
      <c r="R5502" s="10">
        <v>9.8399205692422002E-5</v>
      </c>
      <c r="S5502" s="10">
        <v>1.3757570770057701E-4</v>
      </c>
      <c r="T5502" s="10">
        <v>0</v>
      </c>
      <c r="U5502" s="10">
        <v>7.2459999999999994E-5</v>
      </c>
      <c r="V5502" s="25"/>
      <c r="W5502" s="25"/>
      <c r="X5502" s="25"/>
      <c r="Y5502" s="25"/>
      <c r="Z5502" s="25"/>
      <c r="AA5502" s="25"/>
    </row>
    <row r="5503" spans="1:27" x14ac:dyDescent="0.35">
      <c r="A5503" s="5">
        <v>5499</v>
      </c>
      <c r="B5503" s="5">
        <v>230</v>
      </c>
      <c r="C5503" s="5">
        <v>8</v>
      </c>
      <c r="D5503" s="25">
        <v>1.1416E-4</v>
      </c>
      <c r="E5503" s="25">
        <v>1.0746E-4</v>
      </c>
      <c r="F5503" s="25">
        <v>1.0456E-4</v>
      </c>
      <c r="G5503" s="25">
        <v>5.2070000000000001E-5</v>
      </c>
      <c r="H5503" s="25">
        <v>3.8529999999999999E-5</v>
      </c>
      <c r="I5503" s="9">
        <v>8.9159999999999993E-5</v>
      </c>
      <c r="J5503" s="9">
        <v>8.7479999999999996E-5</v>
      </c>
      <c r="K5503" s="9">
        <v>3.8160000000000001E-5</v>
      </c>
      <c r="L5503" s="9">
        <v>4.2740000000000001E-5</v>
      </c>
      <c r="M5503" s="9">
        <v>5.7450000000000001E-5</v>
      </c>
      <c r="N5503" s="9">
        <v>6.5389999999999996E-5</v>
      </c>
      <c r="O5503" s="9">
        <v>2.2140000000000001E-5</v>
      </c>
      <c r="P5503" s="9">
        <v>4.176E-5</v>
      </c>
      <c r="Q5503" s="9">
        <v>6.109E-5</v>
      </c>
      <c r="R5503" s="10">
        <v>9.8920753015398633E-5</v>
      </c>
      <c r="S5503" s="10">
        <v>1.380668713575484E-4</v>
      </c>
      <c r="T5503" s="10">
        <v>0</v>
      </c>
      <c r="U5503" s="10">
        <v>7.2459999999999994E-5</v>
      </c>
      <c r="V5503" s="25"/>
      <c r="W5503" s="25"/>
      <c r="X5503" s="25"/>
      <c r="Y5503" s="25"/>
      <c r="Z5503" s="25"/>
      <c r="AA5503" s="25"/>
    </row>
    <row r="5504" spans="1:27" x14ac:dyDescent="0.35">
      <c r="A5504" s="5">
        <v>5500</v>
      </c>
      <c r="B5504" s="5">
        <v>230</v>
      </c>
      <c r="C5504" s="5">
        <v>8</v>
      </c>
      <c r="D5504" s="25">
        <v>1.1415000000000001E-4</v>
      </c>
      <c r="E5504" s="25">
        <v>1.1654000000000001E-4</v>
      </c>
      <c r="F5504" s="25">
        <v>1.0949E-4</v>
      </c>
      <c r="G5504" s="25">
        <v>6.084E-5</v>
      </c>
      <c r="H5504" s="25">
        <v>4.1520000000000002E-5</v>
      </c>
      <c r="I5504" s="9">
        <v>9.043E-5</v>
      </c>
      <c r="J5504" s="9">
        <v>8.7520000000000002E-5</v>
      </c>
      <c r="K5504" s="9">
        <v>4.4509999999999999E-5</v>
      </c>
      <c r="L5504" s="9">
        <v>2.73E-5</v>
      </c>
      <c r="M5504" s="9">
        <v>4.9719999999999998E-5</v>
      </c>
      <c r="N5504" s="9">
        <v>6.1799999999999998E-5</v>
      </c>
      <c r="O5504" s="9">
        <v>2.1880000000000001E-5</v>
      </c>
      <c r="P5504" s="9">
        <v>5.151E-5</v>
      </c>
      <c r="Q5504" s="9">
        <v>8.0690000000000002E-5</v>
      </c>
      <c r="R5504" s="10">
        <v>1.0795572142133312E-4</v>
      </c>
      <c r="S5504" s="10">
        <v>1.3754358373007679E-4</v>
      </c>
      <c r="T5504" s="10">
        <v>0</v>
      </c>
      <c r="U5504" s="10">
        <v>7.2459999999999994E-5</v>
      </c>
      <c r="V5504" s="25"/>
      <c r="W5504" s="25"/>
      <c r="X5504" s="25"/>
      <c r="Y5504" s="25"/>
      <c r="Z5504" s="25"/>
      <c r="AA5504" s="25"/>
    </row>
    <row r="5505" spans="1:27" x14ac:dyDescent="0.35">
      <c r="A5505" s="5">
        <v>5501</v>
      </c>
      <c r="B5505" s="5">
        <v>230</v>
      </c>
      <c r="C5505" s="5">
        <v>8</v>
      </c>
      <c r="D5505" s="25">
        <v>1.1416E-4</v>
      </c>
      <c r="E5505" s="25">
        <v>1.1271E-4</v>
      </c>
      <c r="F5505" s="25">
        <v>1.0733E-4</v>
      </c>
      <c r="G5505" s="25">
        <v>5.897E-5</v>
      </c>
      <c r="H5505" s="25">
        <v>4.6109999999999997E-5</v>
      </c>
      <c r="I5505" s="9">
        <v>9.4079999999999994E-5</v>
      </c>
      <c r="J5505" s="9">
        <v>8.9939999999999996E-5</v>
      </c>
      <c r="K5505" s="9">
        <v>4.0269999999999999E-5</v>
      </c>
      <c r="L5505" s="9">
        <v>2.3540000000000002E-5</v>
      </c>
      <c r="M5505" s="9">
        <v>4.8510000000000001E-5</v>
      </c>
      <c r="N5505" s="9">
        <v>6.4480000000000006E-5</v>
      </c>
      <c r="O5505" s="9">
        <v>2.3560000000000001E-5</v>
      </c>
      <c r="P5505" s="9">
        <v>5.8650000000000003E-5</v>
      </c>
      <c r="Q5505" s="9">
        <v>9.3209999999999997E-5</v>
      </c>
      <c r="R5505" s="10">
        <v>1.1058772590085501E-4</v>
      </c>
      <c r="S5505" s="10">
        <v>1.3863172876308797E-4</v>
      </c>
      <c r="T5505" s="10">
        <v>0</v>
      </c>
      <c r="U5505" s="10">
        <v>7.2459999999999994E-5</v>
      </c>
      <c r="V5505" s="25"/>
      <c r="W5505" s="25"/>
      <c r="X5505" s="25"/>
      <c r="Y5505" s="25"/>
      <c r="Z5505" s="25"/>
      <c r="AA5505" s="25"/>
    </row>
    <row r="5506" spans="1:27" x14ac:dyDescent="0.35">
      <c r="A5506" s="5">
        <v>5502</v>
      </c>
      <c r="B5506" s="5">
        <v>230</v>
      </c>
      <c r="C5506" s="5">
        <v>8</v>
      </c>
      <c r="D5506" s="25">
        <v>1.1415000000000001E-4</v>
      </c>
      <c r="E5506" s="25">
        <v>1.0713E-4</v>
      </c>
      <c r="F5506" s="25">
        <v>1.1711E-4</v>
      </c>
      <c r="G5506" s="25">
        <v>1.1436E-4</v>
      </c>
      <c r="H5506" s="25">
        <v>7.6130000000000005E-5</v>
      </c>
      <c r="I5506" s="9">
        <v>1.0029E-4</v>
      </c>
      <c r="J5506" s="9">
        <v>9.5859999999999994E-5</v>
      </c>
      <c r="K5506" s="9">
        <v>0</v>
      </c>
      <c r="L5506" s="9">
        <v>2.3479999999999999E-5</v>
      </c>
      <c r="M5506" s="9">
        <v>5.2179999999999998E-5</v>
      </c>
      <c r="N5506" s="9">
        <v>7.0959999999999998E-5</v>
      </c>
      <c r="O5506" s="9">
        <v>3.0199999999999999E-5</v>
      </c>
      <c r="P5506" s="9">
        <v>6.9350000000000005E-5</v>
      </c>
      <c r="Q5506" s="9">
        <v>1.0793000000000001E-4</v>
      </c>
      <c r="R5506" s="10">
        <v>1.1692945516136619E-4</v>
      </c>
      <c r="S5506" s="10">
        <v>1.3621170631733585E-4</v>
      </c>
      <c r="T5506" s="10">
        <v>1.4058484023186152E-5</v>
      </c>
      <c r="U5506" s="10">
        <v>7.2459999999999994E-5</v>
      </c>
      <c r="V5506" s="25"/>
      <c r="W5506" s="25"/>
      <c r="X5506" s="25"/>
      <c r="Y5506" s="25"/>
      <c r="Z5506" s="25"/>
      <c r="AA5506" s="25"/>
    </row>
    <row r="5507" spans="1:27" x14ac:dyDescent="0.35">
      <c r="A5507" s="5">
        <v>5503</v>
      </c>
      <c r="B5507" s="5">
        <v>230</v>
      </c>
      <c r="C5507" s="5">
        <v>8</v>
      </c>
      <c r="D5507" s="25">
        <v>1.1416E-4</v>
      </c>
      <c r="E5507" s="25">
        <v>1.1407E-4</v>
      </c>
      <c r="F5507" s="25">
        <v>1.0846E-4</v>
      </c>
      <c r="G5507" s="25">
        <v>1.1453E-4</v>
      </c>
      <c r="H5507" s="25">
        <v>8.2360000000000004E-5</v>
      </c>
      <c r="I5507" s="9">
        <v>1.0661E-4</v>
      </c>
      <c r="J5507" s="9">
        <v>1.0531000000000001E-4</v>
      </c>
      <c r="K5507" s="9">
        <v>0</v>
      </c>
      <c r="L5507" s="9">
        <v>2.8629999999999999E-5</v>
      </c>
      <c r="M5507" s="9">
        <v>5.944E-5</v>
      </c>
      <c r="N5507" s="9">
        <v>8.0870000000000003E-5</v>
      </c>
      <c r="O5507" s="9">
        <v>4.6109999999999997E-5</v>
      </c>
      <c r="P5507" s="9">
        <v>7.9200000000000001E-5</v>
      </c>
      <c r="Q5507" s="9">
        <v>1.1188000000000001E-4</v>
      </c>
      <c r="R5507" s="10">
        <v>1.2246129661458956E-4</v>
      </c>
      <c r="S5507" s="10">
        <v>1.2688228579539926E-4</v>
      </c>
      <c r="T5507" s="10">
        <v>2.6784933048399925E-5</v>
      </c>
      <c r="U5507" s="10">
        <v>7.2459999999999994E-5</v>
      </c>
      <c r="V5507" s="25"/>
      <c r="W5507" s="25"/>
      <c r="X5507" s="25"/>
      <c r="Y5507" s="25"/>
      <c r="Z5507" s="25"/>
      <c r="AA5507" s="25"/>
    </row>
    <row r="5508" spans="1:27" x14ac:dyDescent="0.35">
      <c r="A5508" s="5">
        <v>5504</v>
      </c>
      <c r="B5508" s="5">
        <v>230</v>
      </c>
      <c r="C5508" s="5">
        <v>8</v>
      </c>
      <c r="D5508" s="25">
        <v>1.1415000000000001E-4</v>
      </c>
      <c r="E5508" s="25">
        <v>1.0842E-4</v>
      </c>
      <c r="F5508" s="25">
        <v>1.0917E-4</v>
      </c>
      <c r="G5508" s="25">
        <v>1.5645000000000001E-4</v>
      </c>
      <c r="H5508" s="25">
        <v>1.1540999999999999E-4</v>
      </c>
      <c r="I5508" s="9">
        <v>1.1090999999999999E-4</v>
      </c>
      <c r="J5508" s="9">
        <v>1.1408000000000001E-4</v>
      </c>
      <c r="K5508" s="9">
        <v>0</v>
      </c>
      <c r="L5508" s="9">
        <v>4.2110000000000002E-5</v>
      </c>
      <c r="M5508" s="9">
        <v>6.8380000000000006E-5</v>
      </c>
      <c r="N5508" s="9">
        <v>9.0820000000000001E-5</v>
      </c>
      <c r="O5508" s="9">
        <v>6.8139999999999995E-5</v>
      </c>
      <c r="P5508" s="9">
        <v>1.0247E-4</v>
      </c>
      <c r="Q5508" s="9">
        <v>1.3643999999999999E-4</v>
      </c>
      <c r="R5508" s="10">
        <v>1.2329847962974866E-4</v>
      </c>
      <c r="S5508" s="10">
        <v>1.1450260751173537E-4</v>
      </c>
      <c r="T5508" s="10">
        <v>1.7285911495980365E-4</v>
      </c>
      <c r="U5508" s="10">
        <v>7.2459999999999994E-5</v>
      </c>
      <c r="V5508" s="25"/>
      <c r="W5508" s="25"/>
      <c r="X5508" s="25"/>
      <c r="Y5508" s="25"/>
      <c r="Z5508" s="25"/>
      <c r="AA5508" s="25"/>
    </row>
    <row r="5509" spans="1:27" x14ac:dyDescent="0.35">
      <c r="A5509" s="5">
        <v>5505</v>
      </c>
      <c r="B5509" s="5">
        <v>230</v>
      </c>
      <c r="C5509" s="5">
        <v>8</v>
      </c>
      <c r="D5509" s="25">
        <v>1.1416E-4</v>
      </c>
      <c r="E5509" s="25">
        <v>1.1311000000000001E-4</v>
      </c>
      <c r="F5509" s="25">
        <v>1.0972E-4</v>
      </c>
      <c r="G5509" s="25">
        <v>1.6658999999999999E-4</v>
      </c>
      <c r="H5509" s="25">
        <v>1.1387000000000001E-4</v>
      </c>
      <c r="I5509" s="9">
        <v>1.1076E-4</v>
      </c>
      <c r="J5509" s="9">
        <v>1.1786999999999999E-4</v>
      </c>
      <c r="K5509" s="9">
        <v>0</v>
      </c>
      <c r="L5509" s="9">
        <v>6.2050000000000004E-5</v>
      </c>
      <c r="M5509" s="9">
        <v>8.2860000000000003E-5</v>
      </c>
      <c r="N5509" s="9">
        <v>1.0452E-4</v>
      </c>
      <c r="O5509" s="9">
        <v>1.0030999999999999E-4</v>
      </c>
      <c r="P5509" s="9">
        <v>1.393E-4</v>
      </c>
      <c r="Q5509" s="9">
        <v>1.7798E-4</v>
      </c>
      <c r="R5509" s="10">
        <v>1.1995013461574477E-4</v>
      </c>
      <c r="S5509" s="10">
        <v>1.0415989172112877E-4</v>
      </c>
      <c r="T5509" s="10">
        <v>1.115515678556738E-4</v>
      </c>
      <c r="U5509" s="10">
        <v>7.2459999999999994E-5</v>
      </c>
      <c r="V5509" s="25"/>
      <c r="W5509" s="25"/>
      <c r="X5509" s="25"/>
      <c r="Y5509" s="25"/>
      <c r="Z5509" s="25"/>
      <c r="AA5509" s="25"/>
    </row>
    <row r="5510" spans="1:27" x14ac:dyDescent="0.35">
      <c r="A5510" s="5">
        <v>5506</v>
      </c>
      <c r="B5510" s="5">
        <v>230</v>
      </c>
      <c r="C5510" s="5">
        <v>8</v>
      </c>
      <c r="D5510" s="25">
        <v>1.1415000000000001E-4</v>
      </c>
      <c r="E5510" s="25">
        <v>1.0662000000000001E-4</v>
      </c>
      <c r="F5510" s="25">
        <v>1.0671999999999999E-4</v>
      </c>
      <c r="G5510" s="25">
        <v>1.6021000000000001E-4</v>
      </c>
      <c r="H5510" s="25">
        <v>1.2221000000000001E-4</v>
      </c>
      <c r="I5510" s="9">
        <v>1.0897E-4</v>
      </c>
      <c r="J5510" s="9">
        <v>1.1866000000000001E-4</v>
      </c>
      <c r="K5510" s="9">
        <v>0</v>
      </c>
      <c r="L5510" s="9">
        <v>9.1379999999999996E-5</v>
      </c>
      <c r="M5510" s="9">
        <v>1.0683000000000001E-4</v>
      </c>
      <c r="N5510" s="9">
        <v>1.2475999999999999E-4</v>
      </c>
      <c r="O5510" s="9">
        <v>1.2748999999999999E-4</v>
      </c>
      <c r="P5510" s="9">
        <v>1.5422999999999999E-4</v>
      </c>
      <c r="Q5510" s="9">
        <v>1.8096E-4</v>
      </c>
      <c r="R5510" s="10">
        <v>1.174870063406171E-4</v>
      </c>
      <c r="S5510" s="10">
        <v>1.0298356005546063E-4</v>
      </c>
      <c r="T5510" s="10">
        <v>9.487991963264377E-5</v>
      </c>
      <c r="U5510" s="10">
        <v>7.2459999999999994E-5</v>
      </c>
      <c r="V5510" s="25"/>
      <c r="W5510" s="25"/>
      <c r="X5510" s="25"/>
      <c r="Y5510" s="25"/>
      <c r="Z5510" s="25"/>
      <c r="AA5510" s="25"/>
    </row>
    <row r="5511" spans="1:27" x14ac:dyDescent="0.35">
      <c r="A5511" s="5">
        <v>5507</v>
      </c>
      <c r="B5511" s="5">
        <v>230</v>
      </c>
      <c r="C5511" s="5">
        <v>8</v>
      </c>
      <c r="D5511" s="25">
        <v>1.1416E-4</v>
      </c>
      <c r="E5511" s="25">
        <v>1.1054E-4</v>
      </c>
      <c r="F5511" s="25">
        <v>1.0656E-4</v>
      </c>
      <c r="G5511" s="25">
        <v>1.6056999999999999E-4</v>
      </c>
      <c r="H5511" s="25">
        <v>1.1836E-4</v>
      </c>
      <c r="I5511" s="9">
        <v>1.081E-4</v>
      </c>
      <c r="J5511" s="9">
        <v>1.1828E-4</v>
      </c>
      <c r="K5511" s="9">
        <v>0</v>
      </c>
      <c r="L5511" s="9">
        <v>1.1882E-4</v>
      </c>
      <c r="M5511" s="9">
        <v>1.2997E-4</v>
      </c>
      <c r="N5511" s="9">
        <v>1.4259E-4</v>
      </c>
      <c r="O5511" s="9">
        <v>1.3721E-4</v>
      </c>
      <c r="P5511" s="9">
        <v>1.5873999999999999E-4</v>
      </c>
      <c r="Q5511" s="9">
        <v>1.8037000000000001E-4</v>
      </c>
      <c r="R5511" s="10">
        <v>1.3012605523771408E-4</v>
      </c>
      <c r="S5511" s="10">
        <v>1.0821701331443045E-4</v>
      </c>
      <c r="T5511" s="10">
        <v>1.7619344460440963E-4</v>
      </c>
      <c r="U5511" s="10">
        <v>7.2459999999999994E-5</v>
      </c>
      <c r="V5511" s="25"/>
      <c r="W5511" s="25"/>
      <c r="X5511" s="25"/>
      <c r="Y5511" s="25"/>
      <c r="Z5511" s="25"/>
      <c r="AA5511" s="25"/>
    </row>
    <row r="5512" spans="1:27" x14ac:dyDescent="0.35">
      <c r="A5512" s="5">
        <v>5508</v>
      </c>
      <c r="B5512" s="5">
        <v>230</v>
      </c>
      <c r="C5512" s="5">
        <v>8</v>
      </c>
      <c r="D5512" s="25">
        <v>1.1415000000000001E-4</v>
      </c>
      <c r="E5512" s="25">
        <v>1.1491E-4</v>
      </c>
      <c r="F5512" s="25">
        <v>1.2229999999999999E-4</v>
      </c>
      <c r="G5512" s="25">
        <v>1.6615E-4</v>
      </c>
      <c r="H5512" s="25">
        <v>1.1803000000000001E-4</v>
      </c>
      <c r="I5512" s="9">
        <v>1.0388E-4</v>
      </c>
      <c r="J5512" s="9">
        <v>1.1686E-4</v>
      </c>
      <c r="K5512" s="9">
        <v>0</v>
      </c>
      <c r="L5512" s="9">
        <v>1.3252000000000001E-4</v>
      </c>
      <c r="M5512" s="9">
        <v>1.4578E-4</v>
      </c>
      <c r="N5512" s="9">
        <v>1.5684E-4</v>
      </c>
      <c r="O5512" s="9">
        <v>1.3815999999999999E-4</v>
      </c>
      <c r="P5512" s="9">
        <v>1.5622999999999999E-4</v>
      </c>
      <c r="Q5512" s="9">
        <v>1.7446000000000001E-4</v>
      </c>
      <c r="R5512" s="10">
        <v>1.0305148711862552E-4</v>
      </c>
      <c r="S5512" s="10">
        <v>1.403731486754104E-4</v>
      </c>
      <c r="T5512" s="10">
        <v>4.0495560798230225E-5</v>
      </c>
      <c r="U5512" s="10">
        <v>7.2459999999999994E-5</v>
      </c>
      <c r="V5512" s="25"/>
      <c r="W5512" s="25"/>
      <c r="X5512" s="25"/>
      <c r="Y5512" s="25"/>
      <c r="Z5512" s="25"/>
      <c r="AA5512" s="25"/>
    </row>
    <row r="5513" spans="1:27" x14ac:dyDescent="0.35">
      <c r="A5513" s="5">
        <v>5509</v>
      </c>
      <c r="B5513" s="5">
        <v>230</v>
      </c>
      <c r="C5513" s="5">
        <v>8</v>
      </c>
      <c r="D5513" s="25">
        <v>1.1416E-4</v>
      </c>
      <c r="E5513" s="25">
        <v>1.0831E-4</v>
      </c>
      <c r="F5513" s="25">
        <v>1.1692999999999999E-4</v>
      </c>
      <c r="G5513" s="25">
        <v>1.6485999999999999E-4</v>
      </c>
      <c r="H5513" s="25">
        <v>1.1717E-4</v>
      </c>
      <c r="I5513" s="9">
        <v>1.0267E-4</v>
      </c>
      <c r="J5513" s="9">
        <v>1.1679E-4</v>
      </c>
      <c r="K5513" s="9">
        <v>0</v>
      </c>
      <c r="L5513" s="9">
        <v>1.3673E-4</v>
      </c>
      <c r="M5513" s="9">
        <v>1.5294000000000001E-4</v>
      </c>
      <c r="N5513" s="9">
        <v>1.6637999999999999E-4</v>
      </c>
      <c r="O5513" s="9">
        <v>1.2920999999999999E-4</v>
      </c>
      <c r="P5513" s="9">
        <v>1.4794E-4</v>
      </c>
      <c r="Q5513" s="9">
        <v>1.6678999999999999E-4</v>
      </c>
      <c r="R5513" s="10">
        <v>8.9472597745103645E-5</v>
      </c>
      <c r="S5513" s="10">
        <v>1.4775924533696848E-4</v>
      </c>
      <c r="T5513" s="10">
        <v>1.0503562595476435E-4</v>
      </c>
      <c r="U5513" s="10">
        <v>7.2459999999999994E-5</v>
      </c>
      <c r="V5513" s="25"/>
      <c r="W5513" s="25"/>
      <c r="X5513" s="25"/>
      <c r="Y5513" s="25"/>
      <c r="Z5513" s="25"/>
      <c r="AA5513" s="25"/>
    </row>
    <row r="5514" spans="1:27" x14ac:dyDescent="0.35">
      <c r="A5514" s="5">
        <v>5510</v>
      </c>
      <c r="B5514" s="5">
        <v>230</v>
      </c>
      <c r="C5514" s="5">
        <v>8</v>
      </c>
      <c r="D5514" s="25">
        <v>1.1415000000000001E-4</v>
      </c>
      <c r="E5514" s="25">
        <v>1.1697E-4</v>
      </c>
      <c r="F5514" s="25">
        <v>1.2313999999999999E-4</v>
      </c>
      <c r="G5514" s="25">
        <v>1.6255999999999999E-4</v>
      </c>
      <c r="H5514" s="25">
        <v>1.1497000000000001E-4</v>
      </c>
      <c r="I5514" s="9">
        <v>1.0247999999999999E-4</v>
      </c>
      <c r="J5514" s="9">
        <v>1.1668E-4</v>
      </c>
      <c r="K5514" s="9">
        <v>0</v>
      </c>
      <c r="L5514" s="9">
        <v>1.3092E-4</v>
      </c>
      <c r="M5514" s="9">
        <v>1.5250999999999999E-4</v>
      </c>
      <c r="N5514" s="9">
        <v>1.7054E-4</v>
      </c>
      <c r="O5514" s="9">
        <v>1.1147E-4</v>
      </c>
      <c r="P5514" s="9">
        <v>1.3558E-4</v>
      </c>
      <c r="Q5514" s="9">
        <v>1.5966E-4</v>
      </c>
      <c r="R5514" s="10">
        <v>8.2763261715799321E-5</v>
      </c>
      <c r="S5514" s="10">
        <v>1.4807543894779476E-4</v>
      </c>
      <c r="T5514" s="10">
        <v>1.9826959151348047E-4</v>
      </c>
      <c r="U5514" s="10">
        <v>7.2459999999999994E-5</v>
      </c>
      <c r="V5514" s="25"/>
      <c r="W5514" s="25"/>
      <c r="X5514" s="25"/>
      <c r="Y5514" s="25"/>
      <c r="Z5514" s="25"/>
      <c r="AA5514" s="25"/>
    </row>
    <row r="5515" spans="1:27" x14ac:dyDescent="0.35">
      <c r="A5515" s="5">
        <v>5511</v>
      </c>
      <c r="B5515" s="5">
        <v>230</v>
      </c>
      <c r="C5515" s="5">
        <v>8</v>
      </c>
      <c r="D5515" s="25">
        <v>1.1416E-4</v>
      </c>
      <c r="E5515" s="25">
        <v>1.1328E-4</v>
      </c>
      <c r="F5515" s="25">
        <v>1.1378E-4</v>
      </c>
      <c r="G5515" s="25">
        <v>1.6579E-4</v>
      </c>
      <c r="H5515" s="25">
        <v>1.2015000000000001E-4</v>
      </c>
      <c r="I5515" s="9">
        <v>1.0357999999999999E-4</v>
      </c>
      <c r="J5515" s="9">
        <v>1.1669E-4</v>
      </c>
      <c r="K5515" s="9">
        <v>0</v>
      </c>
      <c r="L5515" s="9">
        <v>1.1598E-4</v>
      </c>
      <c r="M5515" s="9">
        <v>1.4603000000000001E-4</v>
      </c>
      <c r="N5515" s="9">
        <v>1.6976E-4</v>
      </c>
      <c r="O5515" s="9">
        <v>1.2742999999999999E-4</v>
      </c>
      <c r="P5515" s="9">
        <v>1.4023E-4</v>
      </c>
      <c r="Q5515" s="9">
        <v>1.5325000000000001E-4</v>
      </c>
      <c r="R5515" s="10">
        <v>7.6220201244274594E-5</v>
      </c>
      <c r="S5515" s="10">
        <v>1.4077741786981264E-4</v>
      </c>
      <c r="T5515" s="10">
        <v>3.5141967908290303E-4</v>
      </c>
      <c r="U5515" s="10">
        <v>7.2459999999999994E-5</v>
      </c>
      <c r="V5515" s="25"/>
      <c r="W5515" s="25"/>
      <c r="X5515" s="25"/>
      <c r="Y5515" s="25"/>
      <c r="Z5515" s="25"/>
      <c r="AA5515" s="25"/>
    </row>
    <row r="5516" spans="1:27" x14ac:dyDescent="0.35">
      <c r="A5516" s="5">
        <v>5512</v>
      </c>
      <c r="B5516" s="5">
        <v>230</v>
      </c>
      <c r="C5516" s="5">
        <v>8</v>
      </c>
      <c r="D5516" s="25">
        <v>1.1415000000000001E-4</v>
      </c>
      <c r="E5516" s="25">
        <v>1.0728E-4</v>
      </c>
      <c r="F5516" s="25">
        <v>1.1733E-4</v>
      </c>
      <c r="G5516" s="25">
        <v>1.6731999999999999E-4</v>
      </c>
      <c r="H5516" s="25">
        <v>1.2023000000000001E-4</v>
      </c>
      <c r="I5516" s="9">
        <v>1.0509999999999999E-4</v>
      </c>
      <c r="J5516" s="9">
        <v>1.1739999999999999E-4</v>
      </c>
      <c r="K5516" s="9">
        <v>0</v>
      </c>
      <c r="L5516" s="9">
        <v>1.2533999999999999E-4</v>
      </c>
      <c r="M5516" s="9">
        <v>1.4213999999999999E-4</v>
      </c>
      <c r="N5516" s="9">
        <v>1.6605E-4</v>
      </c>
      <c r="O5516" s="9">
        <v>1.3443E-4</v>
      </c>
      <c r="P5516" s="9">
        <v>1.2207E-4</v>
      </c>
      <c r="Q5516" s="9">
        <v>1.1035E-4</v>
      </c>
      <c r="R5516" s="10">
        <v>7.445174656979372E-5</v>
      </c>
      <c r="S5516" s="10">
        <v>1.2677901790318502E-4</v>
      </c>
      <c r="T5516" s="10">
        <v>3.4276569374575769E-5</v>
      </c>
      <c r="U5516" s="10">
        <v>7.2459999999999994E-5</v>
      </c>
      <c r="V5516" s="25"/>
      <c r="W5516" s="25"/>
      <c r="X5516" s="25"/>
      <c r="Y5516" s="25"/>
      <c r="Z5516" s="25"/>
      <c r="AA5516" s="25"/>
    </row>
    <row r="5517" spans="1:27" x14ac:dyDescent="0.35">
      <c r="A5517" s="5">
        <v>5513</v>
      </c>
      <c r="B5517" s="5">
        <v>230</v>
      </c>
      <c r="C5517" s="5">
        <v>8</v>
      </c>
      <c r="D5517" s="25">
        <v>1.1416E-4</v>
      </c>
      <c r="E5517" s="25">
        <v>1.1433E-4</v>
      </c>
      <c r="F5517" s="25">
        <v>1.2379000000000001E-4</v>
      </c>
      <c r="G5517" s="25">
        <v>1.5955E-4</v>
      </c>
      <c r="H5517" s="25">
        <v>1.1862E-4</v>
      </c>
      <c r="I5517" s="9">
        <v>1.0917E-4</v>
      </c>
      <c r="J5517" s="9">
        <v>1.1887000000000001E-4</v>
      </c>
      <c r="K5517" s="9">
        <v>0</v>
      </c>
      <c r="L5517" s="9">
        <v>1.3212E-4</v>
      </c>
      <c r="M5517" s="9">
        <v>1.3409000000000001E-4</v>
      </c>
      <c r="N5517" s="9">
        <v>1.5244999999999999E-4</v>
      </c>
      <c r="O5517" s="9">
        <v>1.4002E-4</v>
      </c>
      <c r="P5517" s="9">
        <v>1.2331000000000001E-4</v>
      </c>
      <c r="Q5517" s="9">
        <v>1.0731E-4</v>
      </c>
      <c r="R5517" s="10">
        <v>7.2103648232943056E-5</v>
      </c>
      <c r="S5517" s="10">
        <v>1.1729606589146729E-4</v>
      </c>
      <c r="T5517" s="10">
        <v>3.9375633284011421E-5</v>
      </c>
      <c r="U5517" s="10">
        <v>7.2459999999999994E-5</v>
      </c>
      <c r="V5517" s="25"/>
      <c r="W5517" s="25"/>
      <c r="X5517" s="25"/>
      <c r="Y5517" s="25"/>
      <c r="Z5517" s="25"/>
      <c r="AA5517" s="25"/>
    </row>
    <row r="5518" spans="1:27" x14ac:dyDescent="0.35">
      <c r="A5518" s="5">
        <v>5514</v>
      </c>
      <c r="B5518" s="5">
        <v>230</v>
      </c>
      <c r="C5518" s="5">
        <v>8</v>
      </c>
      <c r="D5518" s="25">
        <v>1.1415000000000001E-4</v>
      </c>
      <c r="E5518" s="25">
        <v>1.0658999999999999E-4</v>
      </c>
      <c r="F5518" s="25">
        <v>1.1001999999999999E-4</v>
      </c>
      <c r="G5518" s="25">
        <v>1.6755000000000001E-4</v>
      </c>
      <c r="H5518" s="25">
        <v>1.2129E-4</v>
      </c>
      <c r="I5518" s="9">
        <v>1.1202E-4</v>
      </c>
      <c r="J5518" s="9">
        <v>1.1552000000000001E-4</v>
      </c>
      <c r="K5518" s="9">
        <v>0</v>
      </c>
      <c r="L5518" s="9">
        <v>1.3798E-4</v>
      </c>
      <c r="M5518" s="9">
        <v>1.2816999999999999E-4</v>
      </c>
      <c r="N5518" s="9">
        <v>1.3914999999999999E-4</v>
      </c>
      <c r="O5518" s="9">
        <v>1.3939000000000001E-4</v>
      </c>
      <c r="P5518" s="9">
        <v>1.2778999999999999E-4</v>
      </c>
      <c r="Q5518" s="9">
        <v>1.1683E-4</v>
      </c>
      <c r="R5518" s="10">
        <v>6.7650904675147801E-5</v>
      </c>
      <c r="S5518" s="10">
        <v>1.2055280602600261E-4</v>
      </c>
      <c r="T5518" s="10">
        <v>8.0040880069244503E-5</v>
      </c>
      <c r="U5518" s="10">
        <v>7.2459999999999994E-5</v>
      </c>
      <c r="V5518" s="25"/>
      <c r="W5518" s="25"/>
      <c r="X5518" s="25"/>
      <c r="Y5518" s="25"/>
      <c r="Z5518" s="25"/>
      <c r="AA5518" s="25"/>
    </row>
    <row r="5519" spans="1:27" x14ac:dyDescent="0.35">
      <c r="A5519" s="5">
        <v>5515</v>
      </c>
      <c r="B5519" s="5">
        <v>230</v>
      </c>
      <c r="C5519" s="5">
        <v>8</v>
      </c>
      <c r="D5519" s="25">
        <v>1.1416E-4</v>
      </c>
      <c r="E5519" s="25">
        <v>1.1128000000000001E-4</v>
      </c>
      <c r="F5519" s="25">
        <v>1.1024E-4</v>
      </c>
      <c r="G5519" s="25">
        <v>1.0501E-4</v>
      </c>
      <c r="H5519" s="25">
        <v>7.9679999999999996E-5</v>
      </c>
      <c r="I5519" s="9">
        <v>1.1231E-4</v>
      </c>
      <c r="J5519" s="9">
        <v>1.1385E-4</v>
      </c>
      <c r="K5519" s="9">
        <v>0</v>
      </c>
      <c r="L5519" s="9">
        <v>1.3899999999999999E-4</v>
      </c>
      <c r="M5519" s="9">
        <v>1.2666000000000001E-4</v>
      </c>
      <c r="N5519" s="9">
        <v>1.2993E-4</v>
      </c>
      <c r="O5519" s="9">
        <v>1.4016000000000001E-4</v>
      </c>
      <c r="P5519" s="9">
        <v>1.2291E-4</v>
      </c>
      <c r="Q5519" s="9">
        <v>1.0637999999999999E-4</v>
      </c>
      <c r="R5519" s="10">
        <v>6.6211583861030819E-5</v>
      </c>
      <c r="S5519" s="10">
        <v>1.2290210361286076E-4</v>
      </c>
      <c r="T5519" s="10">
        <v>1.7689764145047148E-5</v>
      </c>
      <c r="U5519" s="10">
        <v>7.2459999999999994E-5</v>
      </c>
      <c r="V5519" s="25"/>
      <c r="W5519" s="25"/>
      <c r="X5519" s="25"/>
      <c r="Y5519" s="25"/>
      <c r="Z5519" s="25"/>
      <c r="AA5519" s="25"/>
    </row>
    <row r="5520" spans="1:27" x14ac:dyDescent="0.35">
      <c r="A5520" s="5">
        <v>5516</v>
      </c>
      <c r="B5520" s="5">
        <v>230</v>
      </c>
      <c r="C5520" s="5">
        <v>8</v>
      </c>
      <c r="D5520" s="25">
        <v>1.1415000000000001E-4</v>
      </c>
      <c r="E5520" s="25">
        <v>1.1173E-4</v>
      </c>
      <c r="F5520" s="25">
        <v>1.187E-4</v>
      </c>
      <c r="G5520" s="25">
        <v>1.0670000000000001E-4</v>
      </c>
      <c r="H5520" s="25">
        <v>8.1959999999999995E-5</v>
      </c>
      <c r="I5520" s="9">
        <v>1.1097E-4</v>
      </c>
      <c r="J5520" s="9">
        <v>1.1152E-4</v>
      </c>
      <c r="K5520" s="9">
        <v>0</v>
      </c>
      <c r="L5520" s="9">
        <v>1.3992E-4</v>
      </c>
      <c r="M5520" s="9">
        <v>1.2517E-4</v>
      </c>
      <c r="N5520" s="9">
        <v>1.2070000000000001E-4</v>
      </c>
      <c r="O5520" s="9">
        <v>1.4284000000000001E-4</v>
      </c>
      <c r="P5520" s="9">
        <v>1.2174E-4</v>
      </c>
      <c r="Q5520" s="9">
        <v>1.0143E-4</v>
      </c>
      <c r="R5520" s="10">
        <v>6.7069632577852287E-5</v>
      </c>
      <c r="S5520" s="10">
        <v>1.2271604788822765E-4</v>
      </c>
      <c r="T5520" s="10">
        <v>0</v>
      </c>
      <c r="U5520" s="10">
        <v>7.2459999999999994E-5</v>
      </c>
      <c r="V5520" s="25"/>
      <c r="W5520" s="25"/>
      <c r="X5520" s="25"/>
      <c r="Y5520" s="25"/>
      <c r="Z5520" s="25"/>
      <c r="AA5520" s="25"/>
    </row>
    <row r="5521" spans="1:27" x14ac:dyDescent="0.35">
      <c r="A5521" s="5">
        <v>5517</v>
      </c>
      <c r="B5521" s="5">
        <v>230</v>
      </c>
      <c r="C5521" s="5">
        <v>8</v>
      </c>
      <c r="D5521" s="25">
        <v>1.1416E-4</v>
      </c>
      <c r="E5521" s="25">
        <v>1.1E-4</v>
      </c>
      <c r="F5521" s="25">
        <v>1.1207E-4</v>
      </c>
      <c r="G5521" s="25">
        <v>5.4060000000000001E-5</v>
      </c>
      <c r="H5521" s="25">
        <v>4.3000000000000002E-5</v>
      </c>
      <c r="I5521" s="9">
        <v>1.131E-4</v>
      </c>
      <c r="J5521" s="9">
        <v>1.1304E-4</v>
      </c>
      <c r="K5521" s="9">
        <v>0</v>
      </c>
      <c r="L5521" s="9">
        <v>1.4221000000000001E-4</v>
      </c>
      <c r="M5521" s="9">
        <v>1.2359E-4</v>
      </c>
      <c r="N5521" s="9">
        <v>1.1292E-4</v>
      </c>
      <c r="O5521" s="9">
        <v>8.4380000000000002E-5</v>
      </c>
      <c r="P5521" s="9">
        <v>8.6149999999999993E-5</v>
      </c>
      <c r="Q5521" s="9">
        <v>8.8140000000000007E-5</v>
      </c>
      <c r="R5521" s="10">
        <v>6.7935694131093945E-5</v>
      </c>
      <c r="S5521" s="10">
        <v>1.1734417212068327E-4</v>
      </c>
      <c r="T5521" s="10">
        <v>0</v>
      </c>
      <c r="U5521" s="10">
        <v>7.2459999999999994E-5</v>
      </c>
      <c r="V5521" s="25"/>
      <c r="W5521" s="25"/>
      <c r="X5521" s="25"/>
      <c r="Y5521" s="25"/>
      <c r="Z5521" s="25"/>
      <c r="AA5521" s="25"/>
    </row>
    <row r="5522" spans="1:27" x14ac:dyDescent="0.35">
      <c r="A5522" s="5">
        <v>5518</v>
      </c>
      <c r="B5522" s="5">
        <v>230</v>
      </c>
      <c r="C5522" s="5">
        <v>8</v>
      </c>
      <c r="D5522" s="25">
        <v>1.1415000000000001E-4</v>
      </c>
      <c r="E5522" s="25">
        <v>1.1284E-4</v>
      </c>
      <c r="F5522" s="25">
        <v>1.1705999999999999E-4</v>
      </c>
      <c r="G5522" s="25">
        <v>5.8789999999999998E-5</v>
      </c>
      <c r="H5522" s="25">
        <v>4.5410000000000001E-5</v>
      </c>
      <c r="I5522" s="9">
        <v>1.119E-4</v>
      </c>
      <c r="J5522" s="9">
        <v>1.0906E-4</v>
      </c>
      <c r="K5522" s="9">
        <v>0</v>
      </c>
      <c r="L5522" s="9">
        <v>9.7040000000000006E-5</v>
      </c>
      <c r="M5522" s="9">
        <v>1.0967999999999999E-4</v>
      </c>
      <c r="N5522" s="9">
        <v>1.0529E-4</v>
      </c>
      <c r="O5522" s="9">
        <v>8.7050000000000002E-5</v>
      </c>
      <c r="P5522" s="9">
        <v>8.7440000000000003E-5</v>
      </c>
      <c r="Q5522" s="9">
        <v>8.8090000000000005E-5</v>
      </c>
      <c r="R5522" s="10">
        <v>6.9784938314486908E-5</v>
      </c>
      <c r="S5522" s="10">
        <v>1.0968748874660105E-4</v>
      </c>
      <c r="T5522" s="10">
        <v>0</v>
      </c>
      <c r="U5522" s="10">
        <v>7.2459999999999994E-5</v>
      </c>
      <c r="V5522" s="25"/>
      <c r="W5522" s="25"/>
      <c r="X5522" s="25"/>
      <c r="Y5522" s="25"/>
      <c r="Z5522" s="25"/>
      <c r="AA5522" s="25"/>
    </row>
    <row r="5523" spans="1:27" x14ac:dyDescent="0.35">
      <c r="A5523" s="5">
        <v>5519</v>
      </c>
      <c r="B5523" s="5">
        <v>230</v>
      </c>
      <c r="C5523" s="5">
        <v>8</v>
      </c>
      <c r="D5523" s="25">
        <v>1.1416E-4</v>
      </c>
      <c r="E5523" s="25">
        <v>1.1423E-4</v>
      </c>
      <c r="F5523" s="25">
        <v>1.2522E-4</v>
      </c>
      <c r="G5523" s="25">
        <v>5.6270000000000002E-5</v>
      </c>
      <c r="H5523" s="25">
        <v>4.5540000000000001E-5</v>
      </c>
      <c r="I5523" s="9">
        <v>1.0594000000000001E-4</v>
      </c>
      <c r="J5523" s="9">
        <v>1.0296E-4</v>
      </c>
      <c r="K5523" s="9">
        <v>0</v>
      </c>
      <c r="L5523" s="9">
        <v>9.0500000000000004E-5</v>
      </c>
      <c r="M5523" s="9">
        <v>9.7940000000000001E-5</v>
      </c>
      <c r="N5523" s="9">
        <v>9.9480000000000003E-5</v>
      </c>
      <c r="O5523" s="9">
        <v>8.4489999999999999E-5</v>
      </c>
      <c r="P5523" s="9">
        <v>7.5480000000000002E-5</v>
      </c>
      <c r="Q5523" s="9">
        <v>6.6870000000000002E-5</v>
      </c>
      <c r="R5523" s="10">
        <v>6.8616946106872081E-5</v>
      </c>
      <c r="S5523" s="10">
        <v>1.0300299183178676E-4</v>
      </c>
      <c r="T5523" s="10">
        <v>0</v>
      </c>
      <c r="U5523" s="10">
        <v>7.2459999999999994E-5</v>
      </c>
      <c r="V5523" s="25"/>
      <c r="W5523" s="25"/>
      <c r="X5523" s="25"/>
      <c r="Y5523" s="25"/>
      <c r="Z5523" s="25"/>
      <c r="AA5523" s="25"/>
    </row>
    <row r="5524" spans="1:27" x14ac:dyDescent="0.35">
      <c r="A5524" s="5">
        <v>5520</v>
      </c>
      <c r="B5524" s="5">
        <v>230</v>
      </c>
      <c r="C5524" s="5">
        <v>8</v>
      </c>
      <c r="D5524" s="25">
        <v>1.1415000000000001E-4</v>
      </c>
      <c r="E5524" s="25">
        <v>1.1547E-4</v>
      </c>
      <c r="F5524" s="25">
        <v>1.1878E-4</v>
      </c>
      <c r="G5524" s="25">
        <v>5.5000000000000002E-5</v>
      </c>
      <c r="H5524" s="25">
        <v>4.066E-5</v>
      </c>
      <c r="I5524" s="9">
        <v>9.9669999999999999E-5</v>
      </c>
      <c r="J5524" s="9">
        <v>9.6650000000000005E-5</v>
      </c>
      <c r="K5524" s="9">
        <v>0</v>
      </c>
      <c r="L5524" s="9">
        <v>8.6039999999999996E-5</v>
      </c>
      <c r="M5524" s="9">
        <v>8.7100000000000003E-5</v>
      </c>
      <c r="N5524" s="9">
        <v>9.0279999999999996E-5</v>
      </c>
      <c r="O5524" s="9">
        <v>7.9120000000000001E-5</v>
      </c>
      <c r="P5524" s="9">
        <v>6.8819999999999995E-5</v>
      </c>
      <c r="Q5524" s="9">
        <v>5.8909999999999997E-5</v>
      </c>
      <c r="R5524" s="10">
        <v>7.8018510761070995E-5</v>
      </c>
      <c r="S5524" s="10">
        <v>1.094139656966859E-4</v>
      </c>
      <c r="T5524" s="10">
        <v>0</v>
      </c>
      <c r="U5524" s="10">
        <v>7.2459999999999994E-5</v>
      </c>
      <c r="V5524" s="25"/>
      <c r="W5524" s="25"/>
      <c r="X5524" s="25"/>
      <c r="Y5524" s="25"/>
      <c r="Z5524" s="25"/>
      <c r="AA5524" s="25"/>
    </row>
    <row r="5525" spans="1:27" x14ac:dyDescent="0.35">
      <c r="A5525" s="5">
        <v>5521</v>
      </c>
      <c r="B5525" s="5">
        <v>231</v>
      </c>
      <c r="C5525" s="5">
        <v>8</v>
      </c>
      <c r="D5525" s="25">
        <v>1.1416E-4</v>
      </c>
      <c r="E5525" s="25">
        <v>1.1391E-4</v>
      </c>
      <c r="F5525" s="25">
        <v>1.1407E-4</v>
      </c>
      <c r="G5525" s="25">
        <v>5.3919999999999999E-5</v>
      </c>
      <c r="H5525" s="25">
        <v>1.401E-5</v>
      </c>
      <c r="I5525" s="9">
        <v>9.4959999999999999E-5</v>
      </c>
      <c r="J5525" s="9">
        <v>9.1689999999999998E-5</v>
      </c>
      <c r="K5525" s="9">
        <v>0</v>
      </c>
      <c r="L5525" s="9">
        <v>8.0430000000000001E-5</v>
      </c>
      <c r="M5525" s="9">
        <v>7.8070000000000003E-5</v>
      </c>
      <c r="N5525" s="9">
        <v>8.0970000000000006E-5</v>
      </c>
      <c r="O5525" s="9">
        <v>6.7529999999999999E-5</v>
      </c>
      <c r="P5525" s="9">
        <v>6.0130000000000002E-5</v>
      </c>
      <c r="Q5525" s="9">
        <v>5.3029999999999999E-5</v>
      </c>
      <c r="R5525" s="10">
        <v>7.5109929827018009E-5</v>
      </c>
      <c r="S5525" s="10">
        <v>1.1046160616402414E-4</v>
      </c>
      <c r="T5525" s="10">
        <v>0</v>
      </c>
      <c r="U5525" s="10">
        <v>7.1680000000000005E-5</v>
      </c>
      <c r="V5525" s="25"/>
      <c r="W5525" s="25"/>
      <c r="X5525" s="25"/>
      <c r="Y5525" s="25"/>
      <c r="Z5525" s="25"/>
      <c r="AA5525" s="25"/>
    </row>
    <row r="5526" spans="1:27" x14ac:dyDescent="0.35">
      <c r="A5526" s="5">
        <v>5522</v>
      </c>
      <c r="B5526" s="5">
        <v>231</v>
      </c>
      <c r="C5526" s="5">
        <v>8</v>
      </c>
      <c r="D5526" s="25">
        <v>1.1415000000000001E-4</v>
      </c>
      <c r="E5526" s="25">
        <v>1.1376E-4</v>
      </c>
      <c r="F5526" s="25">
        <v>1.281E-4</v>
      </c>
      <c r="G5526" s="25">
        <v>6.0850000000000002E-5</v>
      </c>
      <c r="H5526" s="25">
        <v>1.399E-5</v>
      </c>
      <c r="I5526" s="9">
        <v>9.1479999999999998E-5</v>
      </c>
      <c r="J5526" s="9">
        <v>8.9129999999999995E-5</v>
      </c>
      <c r="K5526" s="9">
        <v>0</v>
      </c>
      <c r="L5526" s="9">
        <v>7.0510000000000001E-5</v>
      </c>
      <c r="M5526" s="9">
        <v>6.9499999999999995E-5</v>
      </c>
      <c r="N5526" s="9">
        <v>7.1860000000000007E-5</v>
      </c>
      <c r="O5526" s="9">
        <v>3.5519999999999999E-5</v>
      </c>
      <c r="P5526" s="9">
        <v>4.6E-5</v>
      </c>
      <c r="Q5526" s="9">
        <v>5.6369999999999997E-5</v>
      </c>
      <c r="R5526" s="10">
        <v>6.6029894985968597E-5</v>
      </c>
      <c r="S5526" s="10">
        <v>1.0684287755491348E-4</v>
      </c>
      <c r="T5526" s="10">
        <v>0</v>
      </c>
      <c r="U5526" s="10">
        <v>7.1680000000000005E-5</v>
      </c>
      <c r="V5526" s="25"/>
      <c r="W5526" s="25"/>
      <c r="X5526" s="25"/>
      <c r="Y5526" s="25"/>
      <c r="Z5526" s="25"/>
      <c r="AA5526" s="25"/>
    </row>
    <row r="5527" spans="1:27" x14ac:dyDescent="0.35">
      <c r="A5527" s="5">
        <v>5523</v>
      </c>
      <c r="B5527" s="5">
        <v>231</v>
      </c>
      <c r="C5527" s="5">
        <v>8</v>
      </c>
      <c r="D5527" s="25">
        <v>1.1416E-4</v>
      </c>
      <c r="E5527" s="25">
        <v>1.1456E-4</v>
      </c>
      <c r="F5527" s="25">
        <v>1.2323999999999999E-4</v>
      </c>
      <c r="G5527" s="25">
        <v>5.257E-5</v>
      </c>
      <c r="H5527" s="25">
        <v>1.2809999999999999E-5</v>
      </c>
      <c r="I5527" s="9">
        <v>9.0409999999999997E-5</v>
      </c>
      <c r="J5527" s="9">
        <v>8.8319999999999995E-5</v>
      </c>
      <c r="K5527" s="9">
        <v>0</v>
      </c>
      <c r="L5527" s="9">
        <v>4.3479999999999997E-5</v>
      </c>
      <c r="M5527" s="9">
        <v>5.8999999999999998E-5</v>
      </c>
      <c r="N5527" s="9">
        <v>6.5389999999999996E-5</v>
      </c>
      <c r="O5527" s="9">
        <v>2.213E-5</v>
      </c>
      <c r="P5527" s="9">
        <v>4.1730000000000002E-5</v>
      </c>
      <c r="Q5527" s="9">
        <v>6.1039999999999998E-5</v>
      </c>
      <c r="R5527" s="10">
        <v>5.8669860823893379E-5</v>
      </c>
      <c r="S5527" s="10">
        <v>9.9584411958757269E-5</v>
      </c>
      <c r="T5527" s="10">
        <v>0</v>
      </c>
      <c r="U5527" s="10">
        <v>7.1680000000000005E-5</v>
      </c>
      <c r="V5527" s="25"/>
      <c r="W5527" s="25"/>
      <c r="X5527" s="25"/>
      <c r="Y5527" s="25"/>
      <c r="Z5527" s="25"/>
      <c r="AA5527" s="25"/>
    </row>
    <row r="5528" spans="1:27" x14ac:dyDescent="0.35">
      <c r="A5528" s="5">
        <v>5524</v>
      </c>
      <c r="B5528" s="5">
        <v>231</v>
      </c>
      <c r="C5528" s="5">
        <v>8</v>
      </c>
      <c r="D5528" s="25">
        <v>1.1415000000000001E-4</v>
      </c>
      <c r="E5528" s="25">
        <v>1.1870999999999999E-4</v>
      </c>
      <c r="F5528" s="25">
        <v>1.2857999999999999E-4</v>
      </c>
      <c r="G5528" s="25">
        <v>5.397E-5</v>
      </c>
      <c r="H5528" s="25">
        <v>1.539E-5</v>
      </c>
      <c r="I5528" s="9">
        <v>9.0550000000000005E-5</v>
      </c>
      <c r="J5528" s="9">
        <v>8.8029999999999996E-5</v>
      </c>
      <c r="K5528" s="9">
        <v>0</v>
      </c>
      <c r="L5528" s="9">
        <v>2.7549999999999999E-5</v>
      </c>
      <c r="M5528" s="9">
        <v>5.0269999999999998E-5</v>
      </c>
      <c r="N5528" s="9">
        <v>6.1740000000000002E-5</v>
      </c>
      <c r="O5528" s="9">
        <v>2.1950000000000002E-5</v>
      </c>
      <c r="P5528" s="9">
        <v>5.1690000000000001E-5</v>
      </c>
      <c r="Q5528" s="9">
        <v>8.0980000000000001E-5</v>
      </c>
      <c r="R5528" s="10">
        <v>5.6043334434357254E-5</v>
      </c>
      <c r="S5528" s="10">
        <v>8.6581562582444216E-5</v>
      </c>
      <c r="T5528" s="10">
        <v>0</v>
      </c>
      <c r="U5528" s="10">
        <v>7.1680000000000005E-5</v>
      </c>
      <c r="V5528" s="25"/>
      <c r="W5528" s="25"/>
      <c r="X5528" s="25"/>
      <c r="Y5528" s="25"/>
      <c r="Z5528" s="25"/>
      <c r="AA5528" s="25"/>
    </row>
    <row r="5529" spans="1:27" x14ac:dyDescent="0.35">
      <c r="A5529" s="5">
        <v>5525</v>
      </c>
      <c r="B5529" s="5">
        <v>231</v>
      </c>
      <c r="C5529" s="5">
        <v>8</v>
      </c>
      <c r="D5529" s="25">
        <v>1.1416E-4</v>
      </c>
      <c r="E5529" s="25">
        <v>1.1930999999999999E-4</v>
      </c>
      <c r="F5529" s="25">
        <v>1.1472E-4</v>
      </c>
      <c r="G5529" s="25">
        <v>6.313E-5</v>
      </c>
      <c r="H5529" s="25">
        <v>1.261E-5</v>
      </c>
      <c r="I5529" s="9">
        <v>9.4010000000000003E-5</v>
      </c>
      <c r="J5529" s="9">
        <v>9.0379999999999999E-5</v>
      </c>
      <c r="K5529" s="9">
        <v>0</v>
      </c>
      <c r="L5529" s="9">
        <v>2.357E-5</v>
      </c>
      <c r="M5529" s="9">
        <v>4.8749999999999999E-5</v>
      </c>
      <c r="N5529" s="9">
        <v>6.4430000000000005E-5</v>
      </c>
      <c r="O5529" s="9">
        <v>2.3649999999999999E-5</v>
      </c>
      <c r="P5529" s="9">
        <v>5.8869999999999997E-5</v>
      </c>
      <c r="Q5529" s="9">
        <v>9.3549999999999997E-5</v>
      </c>
      <c r="R5529" s="10">
        <v>5.6055680587540627E-5</v>
      </c>
      <c r="S5529" s="10">
        <v>7.2492290459532006E-5</v>
      </c>
      <c r="T5529" s="10">
        <v>0</v>
      </c>
      <c r="U5529" s="10">
        <v>7.1680000000000005E-5</v>
      </c>
      <c r="V5529" s="25"/>
      <c r="W5529" s="25"/>
      <c r="X5529" s="25"/>
      <c r="Y5529" s="25"/>
      <c r="Z5529" s="25"/>
      <c r="AA5529" s="25"/>
    </row>
    <row r="5530" spans="1:27" x14ac:dyDescent="0.35">
      <c r="A5530" s="5">
        <v>5526</v>
      </c>
      <c r="B5530" s="5">
        <v>231</v>
      </c>
      <c r="C5530" s="5">
        <v>8</v>
      </c>
      <c r="D5530" s="25">
        <v>1.1415000000000001E-4</v>
      </c>
      <c r="E5530" s="25">
        <v>1.195E-4</v>
      </c>
      <c r="F5530" s="25">
        <v>1.2349999999999999E-4</v>
      </c>
      <c r="G5530" s="25">
        <v>1.0471000000000001E-4</v>
      </c>
      <c r="H5530" s="25">
        <v>2.5530000000000001E-5</v>
      </c>
      <c r="I5530" s="9">
        <v>1.0053E-4</v>
      </c>
      <c r="J5530" s="9">
        <v>9.5929999999999998E-5</v>
      </c>
      <c r="K5530" s="9">
        <v>0</v>
      </c>
      <c r="L5530" s="9">
        <v>2.355E-5</v>
      </c>
      <c r="M5530" s="9">
        <v>5.2349999999999999E-5</v>
      </c>
      <c r="N5530" s="9">
        <v>7.0989999999999996E-5</v>
      </c>
      <c r="O5530" s="9">
        <v>2.9859999999999999E-5</v>
      </c>
      <c r="P5530" s="9">
        <v>6.8570000000000002E-5</v>
      </c>
      <c r="Q5530" s="9">
        <v>1.0671E-4</v>
      </c>
      <c r="R5530" s="10">
        <v>5.44620471887521E-5</v>
      </c>
      <c r="S5530" s="10">
        <v>6.5228201647323411E-5</v>
      </c>
      <c r="T5530" s="10">
        <v>9.7993657494146081E-6</v>
      </c>
      <c r="U5530" s="10">
        <v>7.1680000000000005E-5</v>
      </c>
      <c r="V5530" s="25"/>
      <c r="W5530" s="25"/>
      <c r="X5530" s="25"/>
      <c r="Y5530" s="25"/>
      <c r="Z5530" s="25"/>
      <c r="AA5530" s="25"/>
    </row>
    <row r="5531" spans="1:27" x14ac:dyDescent="0.35">
      <c r="A5531" s="5">
        <v>5527</v>
      </c>
      <c r="B5531" s="5">
        <v>231</v>
      </c>
      <c r="C5531" s="5">
        <v>8</v>
      </c>
      <c r="D5531" s="25">
        <v>1.1416E-4</v>
      </c>
      <c r="E5531" s="25">
        <v>1.1048E-4</v>
      </c>
      <c r="F5531" s="25">
        <v>1.1542E-4</v>
      </c>
      <c r="G5531" s="25">
        <v>1.0873E-4</v>
      </c>
      <c r="H5531" s="25">
        <v>2.6380000000000002E-5</v>
      </c>
      <c r="I5531" s="9">
        <v>1.0666999999999999E-4</v>
      </c>
      <c r="J5531" s="9">
        <v>1.0532E-4</v>
      </c>
      <c r="K5531" s="9">
        <v>0</v>
      </c>
      <c r="L5531" s="9">
        <v>2.8379999999999999E-5</v>
      </c>
      <c r="M5531" s="9">
        <v>5.9249999999999997E-5</v>
      </c>
      <c r="N5531" s="9">
        <v>8.0660000000000004E-5</v>
      </c>
      <c r="O5531" s="9">
        <v>4.6499999999999999E-5</v>
      </c>
      <c r="P5531" s="9">
        <v>7.9870000000000006E-5</v>
      </c>
      <c r="Q5531" s="9">
        <v>1.1281999999999999E-4</v>
      </c>
      <c r="R5531" s="10">
        <v>5.4647960037462891E-5</v>
      </c>
      <c r="S5531" s="10">
        <v>6.4811423848290842E-5</v>
      </c>
      <c r="T5531" s="10">
        <v>7.2057154380760405E-5</v>
      </c>
      <c r="U5531" s="10">
        <v>7.1680000000000005E-5</v>
      </c>
      <c r="V5531" s="25"/>
      <c r="W5531" s="25"/>
      <c r="X5531" s="25"/>
      <c r="Y5531" s="25"/>
      <c r="Z5531" s="25"/>
      <c r="AA5531" s="25"/>
    </row>
    <row r="5532" spans="1:27" x14ac:dyDescent="0.35">
      <c r="A5532" s="5">
        <v>5528</v>
      </c>
      <c r="B5532" s="5">
        <v>231</v>
      </c>
      <c r="C5532" s="5">
        <v>8</v>
      </c>
      <c r="D5532" s="25">
        <v>1.1415000000000001E-4</v>
      </c>
      <c r="E5532" s="25">
        <v>1.2105E-4</v>
      </c>
      <c r="F5532" s="25">
        <v>1.1124999999999999E-4</v>
      </c>
      <c r="G5532" s="25">
        <v>1.5646E-4</v>
      </c>
      <c r="H5532" s="25">
        <v>3.9169999999999999E-5</v>
      </c>
      <c r="I5532" s="9">
        <v>1.1149E-4</v>
      </c>
      <c r="J5532" s="9">
        <v>1.1433E-4</v>
      </c>
      <c r="K5532" s="9">
        <v>0</v>
      </c>
      <c r="L5532" s="9">
        <v>4.2370000000000003E-5</v>
      </c>
      <c r="M5532" s="9">
        <v>6.8410000000000004E-5</v>
      </c>
      <c r="N5532" s="9">
        <v>9.0849999999999999E-5</v>
      </c>
      <c r="O5532" s="9">
        <v>6.8499999999999998E-5</v>
      </c>
      <c r="P5532" s="9">
        <v>1.03E-4</v>
      </c>
      <c r="Q5532" s="9">
        <v>1.3715999999999999E-4</v>
      </c>
      <c r="R5532" s="10">
        <v>5.769716503539804E-5</v>
      </c>
      <c r="S5532" s="10">
        <v>6.4578054352484458E-5</v>
      </c>
      <c r="T5532" s="10">
        <v>1.8320996016697749E-4</v>
      </c>
      <c r="U5532" s="10">
        <v>7.1680000000000005E-5</v>
      </c>
      <c r="V5532" s="25"/>
      <c r="W5532" s="25"/>
      <c r="X5532" s="25"/>
      <c r="Y5532" s="25"/>
      <c r="Z5532" s="25"/>
      <c r="AA5532" s="25"/>
    </row>
    <row r="5533" spans="1:27" x14ac:dyDescent="0.35">
      <c r="A5533" s="5">
        <v>5529</v>
      </c>
      <c r="B5533" s="5">
        <v>231</v>
      </c>
      <c r="C5533" s="5">
        <v>8</v>
      </c>
      <c r="D5533" s="25">
        <v>1.1416E-4</v>
      </c>
      <c r="E5533" s="25">
        <v>1.203E-4</v>
      </c>
      <c r="F5533" s="25">
        <v>1.0974E-4</v>
      </c>
      <c r="G5533" s="25">
        <v>1.6593000000000001E-4</v>
      </c>
      <c r="H5533" s="25">
        <v>3.9239999999999997E-5</v>
      </c>
      <c r="I5533" s="9">
        <v>1.1315E-4</v>
      </c>
      <c r="J5533" s="9">
        <v>1.1869E-4</v>
      </c>
      <c r="K5533" s="9">
        <v>0</v>
      </c>
      <c r="L5533" s="9">
        <v>6.2370000000000001E-5</v>
      </c>
      <c r="M5533" s="9">
        <v>8.3139999999999993E-5</v>
      </c>
      <c r="N5533" s="9">
        <v>1.0471000000000001E-4</v>
      </c>
      <c r="O5533" s="9">
        <v>9.925E-5</v>
      </c>
      <c r="P5533" s="9">
        <v>1.3783E-4</v>
      </c>
      <c r="Q5533" s="9">
        <v>1.761E-4</v>
      </c>
      <c r="R5533" s="10">
        <v>4.206779640258244E-5</v>
      </c>
      <c r="S5533" s="10">
        <v>6.3527234525673137E-5</v>
      </c>
      <c r="T5533" s="10">
        <v>2.5622584037430401E-4</v>
      </c>
      <c r="U5533" s="10">
        <v>7.1680000000000005E-5</v>
      </c>
      <c r="V5533" s="25"/>
      <c r="W5533" s="25"/>
      <c r="X5533" s="25"/>
      <c r="Y5533" s="25"/>
      <c r="Z5533" s="25"/>
      <c r="AA5533" s="25"/>
    </row>
    <row r="5534" spans="1:27" x14ac:dyDescent="0.35">
      <c r="A5534" s="5">
        <v>5530</v>
      </c>
      <c r="B5534" s="5">
        <v>231</v>
      </c>
      <c r="C5534" s="5">
        <v>8</v>
      </c>
      <c r="D5534" s="25">
        <v>1.1415000000000001E-4</v>
      </c>
      <c r="E5534" s="25">
        <v>1.16E-4</v>
      </c>
      <c r="F5534" s="25">
        <v>1.2263000000000001E-4</v>
      </c>
      <c r="G5534" s="25">
        <v>1.6667E-4</v>
      </c>
      <c r="H5534" s="25">
        <v>3.8349999999999997E-5</v>
      </c>
      <c r="I5534" s="9">
        <v>1.1234E-4</v>
      </c>
      <c r="J5534" s="9">
        <v>1.2010000000000001E-4</v>
      </c>
      <c r="K5534" s="9">
        <v>0</v>
      </c>
      <c r="L5534" s="9">
        <v>9.0619999999999996E-5</v>
      </c>
      <c r="M5534" s="9">
        <v>1.0655E-4</v>
      </c>
      <c r="N5534" s="9">
        <v>1.2453E-4</v>
      </c>
      <c r="O5534" s="9">
        <v>1.2778E-4</v>
      </c>
      <c r="P5534" s="9">
        <v>1.5458E-4</v>
      </c>
      <c r="Q5534" s="9">
        <v>1.8137000000000001E-4</v>
      </c>
      <c r="R5534" s="10">
        <v>2.6099041360749629E-5</v>
      </c>
      <c r="S5534" s="10">
        <v>6.182976771619897E-5</v>
      </c>
      <c r="T5534" s="10">
        <v>3.9150799351232642E-4</v>
      </c>
      <c r="U5534" s="10">
        <v>7.1680000000000005E-5</v>
      </c>
      <c r="V5534" s="25"/>
      <c r="W5534" s="25"/>
      <c r="X5534" s="25"/>
      <c r="Y5534" s="25"/>
      <c r="Z5534" s="25"/>
      <c r="AA5534" s="25"/>
    </row>
    <row r="5535" spans="1:27" x14ac:dyDescent="0.35">
      <c r="A5535" s="5">
        <v>5531</v>
      </c>
      <c r="B5535" s="5">
        <v>231</v>
      </c>
      <c r="C5535" s="5">
        <v>8</v>
      </c>
      <c r="D5535" s="25">
        <v>1.1416E-4</v>
      </c>
      <c r="E5535" s="25">
        <v>1.1527E-4</v>
      </c>
      <c r="F5535" s="25">
        <v>1.2570999999999999E-4</v>
      </c>
      <c r="G5535" s="25">
        <v>1.5678999999999999E-4</v>
      </c>
      <c r="H5535" s="25">
        <v>3.9579999999999997E-5</v>
      </c>
      <c r="I5535" s="9">
        <v>1.12E-4</v>
      </c>
      <c r="J5535" s="9">
        <v>1.2013E-4</v>
      </c>
      <c r="K5535" s="9">
        <v>0</v>
      </c>
      <c r="L5535" s="9">
        <v>1.1891E-4</v>
      </c>
      <c r="M5535" s="9">
        <v>1.2973999999999999E-4</v>
      </c>
      <c r="N5535" s="9">
        <v>1.4244999999999999E-4</v>
      </c>
      <c r="O5535" s="9">
        <v>1.3616999999999999E-4</v>
      </c>
      <c r="P5535" s="9">
        <v>1.5752999999999999E-4</v>
      </c>
      <c r="Q5535" s="9">
        <v>1.7899999999999999E-4</v>
      </c>
      <c r="R5535" s="10">
        <v>2.0103096107755357E-5</v>
      </c>
      <c r="S5535" s="10">
        <v>5.7929342654813053E-5</v>
      </c>
      <c r="T5535" s="10">
        <v>5.2337945831159151E-4</v>
      </c>
      <c r="U5535" s="10">
        <v>7.1680000000000005E-5</v>
      </c>
      <c r="V5535" s="25"/>
      <c r="W5535" s="25"/>
      <c r="X5535" s="25"/>
      <c r="Y5535" s="25"/>
      <c r="Z5535" s="25"/>
      <c r="AA5535" s="25"/>
    </row>
    <row r="5536" spans="1:27" x14ac:dyDescent="0.35">
      <c r="A5536" s="5">
        <v>5532</v>
      </c>
      <c r="B5536" s="5">
        <v>231</v>
      </c>
      <c r="C5536" s="5">
        <v>8</v>
      </c>
      <c r="D5536" s="25">
        <v>1.1415000000000001E-4</v>
      </c>
      <c r="E5536" s="25">
        <v>1.1302999999999999E-4</v>
      </c>
      <c r="F5536" s="25">
        <v>1.1572E-4</v>
      </c>
      <c r="G5536" s="25">
        <v>1.5737999999999999E-4</v>
      </c>
      <c r="H5536" s="25">
        <v>3.9660000000000003E-5</v>
      </c>
      <c r="I5536" s="9">
        <v>1.087E-4</v>
      </c>
      <c r="J5536" s="9">
        <v>1.188E-4</v>
      </c>
      <c r="K5536" s="9">
        <v>0</v>
      </c>
      <c r="L5536" s="9">
        <v>1.3171E-4</v>
      </c>
      <c r="M5536" s="9">
        <v>1.4522999999999999E-4</v>
      </c>
      <c r="N5536" s="9">
        <v>1.5642999999999999E-4</v>
      </c>
      <c r="O5536" s="9">
        <v>1.3909E-4</v>
      </c>
      <c r="P5536" s="9">
        <v>1.5728000000000001E-4</v>
      </c>
      <c r="Q5536" s="9">
        <v>1.7563E-4</v>
      </c>
      <c r="R5536" s="10">
        <v>1.2569223548643921E-5</v>
      </c>
      <c r="S5536" s="10">
        <v>5.1665132173477954E-5</v>
      </c>
      <c r="T5536" s="10">
        <v>6.7972812673601783E-4</v>
      </c>
      <c r="U5536" s="10">
        <v>7.1680000000000005E-5</v>
      </c>
      <c r="V5536" s="25"/>
      <c r="W5536" s="25"/>
      <c r="X5536" s="25"/>
      <c r="Y5536" s="25"/>
      <c r="Z5536" s="25"/>
      <c r="AA5536" s="25"/>
    </row>
    <row r="5537" spans="1:27" x14ac:dyDescent="0.35">
      <c r="A5537" s="5">
        <v>5533</v>
      </c>
      <c r="B5537" s="5">
        <v>231</v>
      </c>
      <c r="C5537" s="5">
        <v>8</v>
      </c>
      <c r="D5537" s="25">
        <v>1.1416E-4</v>
      </c>
      <c r="E5537" s="25">
        <v>1.1686E-4</v>
      </c>
      <c r="F5537" s="25">
        <v>1.2490999999999999E-4</v>
      </c>
      <c r="G5537" s="25">
        <v>1.5865000000000001E-4</v>
      </c>
      <c r="H5537" s="25">
        <v>4.0590000000000003E-5</v>
      </c>
      <c r="I5537" s="9">
        <v>1.0739999999999999E-4</v>
      </c>
      <c r="J5537" s="9">
        <v>1.1869E-4</v>
      </c>
      <c r="K5537" s="9">
        <v>0</v>
      </c>
      <c r="L5537" s="9">
        <v>1.3729000000000001E-4</v>
      </c>
      <c r="M5537" s="9">
        <v>1.5289000000000001E-4</v>
      </c>
      <c r="N5537" s="9">
        <v>1.6623000000000001E-4</v>
      </c>
      <c r="O5537" s="9">
        <v>1.3018E-4</v>
      </c>
      <c r="P5537" s="9">
        <v>1.4904999999999999E-4</v>
      </c>
      <c r="Q5537" s="9">
        <v>1.6804E-4</v>
      </c>
      <c r="R5537" s="10">
        <v>9.4543931939134291E-6</v>
      </c>
      <c r="S5537" s="10">
        <v>5.6397708757830578E-5</v>
      </c>
      <c r="T5537" s="10">
        <v>4.7803087828507981E-4</v>
      </c>
      <c r="U5537" s="10">
        <v>7.1680000000000005E-5</v>
      </c>
      <c r="V5537" s="25"/>
      <c r="W5537" s="25"/>
      <c r="X5537" s="25"/>
      <c r="Y5537" s="25"/>
      <c r="Z5537" s="25"/>
      <c r="AA5537" s="25"/>
    </row>
    <row r="5538" spans="1:27" x14ac:dyDescent="0.35">
      <c r="A5538" s="5">
        <v>5534</v>
      </c>
      <c r="B5538" s="5">
        <v>231</v>
      </c>
      <c r="C5538" s="5">
        <v>8</v>
      </c>
      <c r="D5538" s="25">
        <v>1.1415000000000001E-4</v>
      </c>
      <c r="E5538" s="25">
        <v>1.2064E-4</v>
      </c>
      <c r="F5538" s="25">
        <v>1.1556E-4</v>
      </c>
      <c r="G5538" s="25">
        <v>1.6207999999999999E-4</v>
      </c>
      <c r="H5538" s="25">
        <v>3.9390000000000001E-5</v>
      </c>
      <c r="I5538" s="9">
        <v>1.0679E-4</v>
      </c>
      <c r="J5538" s="9">
        <v>1.1868E-4</v>
      </c>
      <c r="K5538" s="9">
        <v>0</v>
      </c>
      <c r="L5538" s="9">
        <v>1.3176E-4</v>
      </c>
      <c r="M5538" s="9">
        <v>1.5302E-4</v>
      </c>
      <c r="N5538" s="9">
        <v>1.7069000000000001E-4</v>
      </c>
      <c r="O5538" s="9">
        <v>1.1239E-4</v>
      </c>
      <c r="P5538" s="9">
        <v>1.3669999999999999E-4</v>
      </c>
      <c r="Q5538" s="9">
        <v>1.6097999999999999E-4</v>
      </c>
      <c r="R5538" s="10">
        <v>5.1177944761664702E-6</v>
      </c>
      <c r="S5538" s="10">
        <v>5.7892848537532869E-5</v>
      </c>
      <c r="T5538" s="10">
        <v>4.5188226768794063E-4</v>
      </c>
      <c r="U5538" s="10">
        <v>7.1680000000000005E-5</v>
      </c>
      <c r="V5538" s="25"/>
      <c r="W5538" s="25"/>
      <c r="X5538" s="25"/>
      <c r="Y5538" s="25"/>
      <c r="Z5538" s="25"/>
      <c r="AA5538" s="25"/>
    </row>
    <row r="5539" spans="1:27" x14ac:dyDescent="0.35">
      <c r="A5539" s="5">
        <v>5535</v>
      </c>
      <c r="B5539" s="5">
        <v>231</v>
      </c>
      <c r="C5539" s="5">
        <v>8</v>
      </c>
      <c r="D5539" s="25">
        <v>1.1416E-4</v>
      </c>
      <c r="E5539" s="25">
        <v>1.1874E-4</v>
      </c>
      <c r="F5539" s="25">
        <v>1.1809E-4</v>
      </c>
      <c r="G5539" s="25">
        <v>1.5893999999999999E-4</v>
      </c>
      <c r="H5539" s="25">
        <v>3.892E-5</v>
      </c>
      <c r="I5539" s="9">
        <v>1.0771E-4</v>
      </c>
      <c r="J5539" s="9">
        <v>1.1868E-4</v>
      </c>
      <c r="K5539" s="9">
        <v>0</v>
      </c>
      <c r="L5539" s="9">
        <v>1.1687E-4</v>
      </c>
      <c r="M5539" s="9">
        <v>1.4689999999999999E-4</v>
      </c>
      <c r="N5539" s="9">
        <v>1.7029E-4</v>
      </c>
      <c r="O5539" s="9">
        <v>1.2732999999999999E-4</v>
      </c>
      <c r="P5539" s="9">
        <v>1.4013E-4</v>
      </c>
      <c r="Q5539" s="9">
        <v>1.5312999999999999E-4</v>
      </c>
      <c r="R5539" s="10">
        <v>2.2474971952915515E-6</v>
      </c>
      <c r="S5539" s="10">
        <v>5.6862315726987921E-5</v>
      </c>
      <c r="T5539" s="10">
        <v>3.1715159400767741E-4</v>
      </c>
      <c r="U5539" s="10">
        <v>7.1680000000000005E-5</v>
      </c>
      <c r="V5539" s="25"/>
      <c r="W5539" s="25"/>
      <c r="X5539" s="25"/>
      <c r="Y5539" s="25"/>
      <c r="Z5539" s="25"/>
      <c r="AA5539" s="25"/>
    </row>
    <row r="5540" spans="1:27" x14ac:dyDescent="0.35">
      <c r="A5540" s="5">
        <v>5536</v>
      </c>
      <c r="B5540" s="5">
        <v>231</v>
      </c>
      <c r="C5540" s="5">
        <v>8</v>
      </c>
      <c r="D5540" s="25">
        <v>1.1415000000000001E-4</v>
      </c>
      <c r="E5540" s="25">
        <v>1.1257E-4</v>
      </c>
      <c r="F5540" s="25">
        <v>1.2658E-4</v>
      </c>
      <c r="G5540" s="25">
        <v>1.5632999999999999E-4</v>
      </c>
      <c r="H5540" s="25">
        <v>3.8859999999999997E-5</v>
      </c>
      <c r="I5540" s="9">
        <v>1.0741E-4</v>
      </c>
      <c r="J5540" s="9">
        <v>1.1968000000000001E-4</v>
      </c>
      <c r="K5540" s="9">
        <v>0</v>
      </c>
      <c r="L5540" s="9">
        <v>1.2547E-4</v>
      </c>
      <c r="M5540" s="9">
        <v>1.4273000000000001E-4</v>
      </c>
      <c r="N5540" s="9">
        <v>1.6653999999999999E-4</v>
      </c>
      <c r="O5540" s="9">
        <v>1.3326000000000001E-4</v>
      </c>
      <c r="P5540" s="9">
        <v>1.2101E-4</v>
      </c>
      <c r="Q5540" s="9">
        <v>1.0938999999999999E-4</v>
      </c>
      <c r="R5540" s="10">
        <v>1.1580333009521168E-6</v>
      </c>
      <c r="S5540" s="10">
        <v>5.4301826248733394E-5</v>
      </c>
      <c r="T5540" s="10">
        <v>1.3106545636100159E-4</v>
      </c>
      <c r="U5540" s="10">
        <v>7.1680000000000005E-5</v>
      </c>
      <c r="V5540" s="25"/>
      <c r="W5540" s="25"/>
      <c r="X5540" s="25"/>
      <c r="Y5540" s="25"/>
      <c r="Z5540" s="25"/>
      <c r="AA5540" s="25"/>
    </row>
    <row r="5541" spans="1:27" x14ac:dyDescent="0.35">
      <c r="A5541" s="5">
        <v>5537</v>
      </c>
      <c r="B5541" s="5">
        <v>231</v>
      </c>
      <c r="C5541" s="5">
        <v>8</v>
      </c>
      <c r="D5541" s="25">
        <v>1.1416E-4</v>
      </c>
      <c r="E5541" s="25">
        <v>1.2158E-4</v>
      </c>
      <c r="F5541" s="25">
        <v>1.2003E-4</v>
      </c>
      <c r="G5541" s="25">
        <v>1.6129999999999999E-4</v>
      </c>
      <c r="H5541" s="25">
        <v>3.9520000000000001E-5</v>
      </c>
      <c r="I5541" s="9">
        <v>1.1129999999999999E-4</v>
      </c>
      <c r="J5541" s="9">
        <v>1.2120000000000001E-4</v>
      </c>
      <c r="K5541" s="9">
        <v>0</v>
      </c>
      <c r="L5541" s="9">
        <v>1.3127000000000001E-4</v>
      </c>
      <c r="M5541" s="9">
        <v>1.34E-4</v>
      </c>
      <c r="N5541" s="9">
        <v>1.5270999999999999E-4</v>
      </c>
      <c r="O5541" s="9">
        <v>1.3935999999999999E-4</v>
      </c>
      <c r="P5541" s="9">
        <v>1.2273000000000001E-4</v>
      </c>
      <c r="Q5541" s="9">
        <v>1.0681E-4</v>
      </c>
      <c r="R5541" s="10">
        <v>9.9732087141273054E-7</v>
      </c>
      <c r="S5541" s="10">
        <v>4.7018125851177708E-5</v>
      </c>
      <c r="T5541" s="10">
        <v>1.6459540739276483E-4</v>
      </c>
      <c r="U5541" s="10">
        <v>7.1680000000000005E-5</v>
      </c>
      <c r="V5541" s="25"/>
      <c r="W5541" s="25"/>
      <c r="X5541" s="25"/>
      <c r="Y5541" s="25"/>
      <c r="Z5541" s="25"/>
      <c r="AA5541" s="25"/>
    </row>
    <row r="5542" spans="1:27" x14ac:dyDescent="0.35">
      <c r="A5542" s="5">
        <v>5538</v>
      </c>
      <c r="B5542" s="5">
        <v>231</v>
      </c>
      <c r="C5542" s="5">
        <v>8</v>
      </c>
      <c r="D5542" s="25">
        <v>1.1415000000000001E-4</v>
      </c>
      <c r="E5542" s="25">
        <v>1.1449E-4</v>
      </c>
      <c r="F5542" s="25">
        <v>1.3108E-4</v>
      </c>
      <c r="G5542" s="25">
        <v>1.5835999999999999E-4</v>
      </c>
      <c r="H5542" s="25">
        <v>3.8729999999999997E-5</v>
      </c>
      <c r="I5542" s="9">
        <v>1.1309E-4</v>
      </c>
      <c r="J5542" s="9">
        <v>1.1862E-4</v>
      </c>
      <c r="K5542" s="9">
        <v>0</v>
      </c>
      <c r="L5542" s="9">
        <v>1.3731E-4</v>
      </c>
      <c r="M5542" s="9">
        <v>1.2772E-4</v>
      </c>
      <c r="N5542" s="9">
        <v>1.3920999999999999E-4</v>
      </c>
      <c r="O5542" s="9">
        <v>1.4019E-4</v>
      </c>
      <c r="P5542" s="9">
        <v>1.2852E-4</v>
      </c>
      <c r="Q5542" s="9">
        <v>1.175E-4</v>
      </c>
      <c r="R5542" s="10">
        <v>1.0616202060027289E-6</v>
      </c>
      <c r="S5542" s="10">
        <v>4.1870523936110498E-5</v>
      </c>
      <c r="T5542" s="10">
        <v>9.9351145390168862E-5</v>
      </c>
      <c r="U5542" s="10">
        <v>7.1680000000000005E-5</v>
      </c>
      <c r="V5542" s="25"/>
      <c r="W5542" s="25"/>
      <c r="X5542" s="25"/>
      <c r="Y5542" s="25"/>
      <c r="Z5542" s="25"/>
      <c r="AA5542" s="25"/>
    </row>
    <row r="5543" spans="1:27" x14ac:dyDescent="0.35">
      <c r="A5543" s="5">
        <v>5539</v>
      </c>
      <c r="B5543" s="5">
        <v>231</v>
      </c>
      <c r="C5543" s="5">
        <v>8</v>
      </c>
      <c r="D5543" s="25">
        <v>1.1416E-4</v>
      </c>
      <c r="E5543" s="25">
        <v>1.1273E-4</v>
      </c>
      <c r="F5543" s="25">
        <v>1.2142999999999999E-4</v>
      </c>
      <c r="G5543" s="25">
        <v>1.0763E-4</v>
      </c>
      <c r="H5543" s="25">
        <v>2.5599999999999999E-5</v>
      </c>
      <c r="I5543" s="9">
        <v>1.1247E-4</v>
      </c>
      <c r="J5543" s="9">
        <v>1.1648E-4</v>
      </c>
      <c r="K5543" s="9">
        <v>0</v>
      </c>
      <c r="L5543" s="9">
        <v>1.3946E-4</v>
      </c>
      <c r="M5543" s="9">
        <v>1.2656000000000001E-4</v>
      </c>
      <c r="N5543" s="9">
        <v>1.3002000000000001E-4</v>
      </c>
      <c r="O5543" s="9">
        <v>1.4103E-4</v>
      </c>
      <c r="P5543" s="9">
        <v>1.2366999999999999E-4</v>
      </c>
      <c r="Q5543" s="9">
        <v>1.0705E-4</v>
      </c>
      <c r="R5543" s="10">
        <v>2.3590613555879401E-6</v>
      </c>
      <c r="S5543" s="10">
        <v>3.998210382713596E-5</v>
      </c>
      <c r="T5543" s="10">
        <v>1.5492330613360236E-5</v>
      </c>
      <c r="U5543" s="10">
        <v>7.1680000000000005E-5</v>
      </c>
      <c r="V5543" s="25"/>
      <c r="W5543" s="25"/>
      <c r="X5543" s="25"/>
      <c r="Y5543" s="25"/>
      <c r="Z5543" s="25"/>
      <c r="AA5543" s="25"/>
    </row>
    <row r="5544" spans="1:27" x14ac:dyDescent="0.35">
      <c r="A5544" s="5">
        <v>5540</v>
      </c>
      <c r="B5544" s="5">
        <v>231</v>
      </c>
      <c r="C5544" s="5">
        <v>8</v>
      </c>
      <c r="D5544" s="25">
        <v>1.1415000000000001E-4</v>
      </c>
      <c r="E5544" s="25">
        <v>1.1976000000000001E-4</v>
      </c>
      <c r="F5544" s="25">
        <v>1.1504E-4</v>
      </c>
      <c r="G5544" s="25">
        <v>1.0626E-4</v>
      </c>
      <c r="H5544" s="25">
        <v>2.5660000000000002E-5</v>
      </c>
      <c r="I5544" s="9">
        <v>1.106E-4</v>
      </c>
      <c r="J5544" s="9">
        <v>1.1393E-4</v>
      </c>
      <c r="K5544" s="9">
        <v>0</v>
      </c>
      <c r="L5544" s="9">
        <v>1.4066999999999999E-4</v>
      </c>
      <c r="M5544" s="9">
        <v>1.2551000000000001E-4</v>
      </c>
      <c r="N5544" s="9">
        <v>1.2085E-4</v>
      </c>
      <c r="O5544" s="9">
        <v>1.4464999999999999E-4</v>
      </c>
      <c r="P5544" s="9">
        <v>1.2328E-4</v>
      </c>
      <c r="Q5544" s="9">
        <v>1.0271E-4</v>
      </c>
      <c r="R5544" s="10">
        <v>5.8359622293928562E-6</v>
      </c>
      <c r="S5544" s="10">
        <v>4.4412131508060498E-5</v>
      </c>
      <c r="T5544" s="10">
        <v>0</v>
      </c>
      <c r="U5544" s="10">
        <v>7.1680000000000005E-5</v>
      </c>
      <c r="V5544" s="25"/>
      <c r="W5544" s="25"/>
      <c r="X5544" s="25"/>
      <c r="Y5544" s="25"/>
      <c r="Z5544" s="25"/>
      <c r="AA5544" s="25"/>
    </row>
    <row r="5545" spans="1:27" x14ac:dyDescent="0.35">
      <c r="A5545" s="5">
        <v>5541</v>
      </c>
      <c r="B5545" s="5">
        <v>231</v>
      </c>
      <c r="C5545" s="5">
        <v>8</v>
      </c>
      <c r="D5545" s="25">
        <v>1.1416E-4</v>
      </c>
      <c r="E5545" s="25">
        <v>1.1656E-4</v>
      </c>
      <c r="F5545" s="25">
        <v>1.1731999999999999E-4</v>
      </c>
      <c r="G5545" s="25">
        <v>6.2739999999999999E-5</v>
      </c>
      <c r="H5545" s="25">
        <v>1.466E-5</v>
      </c>
      <c r="I5545" s="9">
        <v>1.1313E-4</v>
      </c>
      <c r="J5545" s="9">
        <v>1.1525E-4</v>
      </c>
      <c r="K5545" s="9">
        <v>0</v>
      </c>
      <c r="L5545" s="9">
        <v>1.4378000000000001E-4</v>
      </c>
      <c r="M5545" s="9">
        <v>1.2446000000000001E-4</v>
      </c>
      <c r="N5545" s="9">
        <v>1.1332000000000001E-4</v>
      </c>
      <c r="O5545" s="9">
        <v>8.5220000000000001E-5</v>
      </c>
      <c r="P5545" s="9">
        <v>8.7009999999999995E-5</v>
      </c>
      <c r="Q5545" s="9">
        <v>8.9019999999999998E-5</v>
      </c>
      <c r="R5545" s="10">
        <v>1.3645115632224216E-5</v>
      </c>
      <c r="S5545" s="10">
        <v>5.3831755871550335E-5</v>
      </c>
      <c r="T5545" s="10">
        <v>0</v>
      </c>
      <c r="U5545" s="10">
        <v>7.1680000000000005E-5</v>
      </c>
      <c r="V5545" s="25"/>
      <c r="W5545" s="25"/>
      <c r="X5545" s="25"/>
      <c r="Y5545" s="25"/>
      <c r="Z5545" s="25"/>
      <c r="AA5545" s="25"/>
    </row>
    <row r="5546" spans="1:27" x14ac:dyDescent="0.35">
      <c r="A5546" s="5">
        <v>5542</v>
      </c>
      <c r="B5546" s="5">
        <v>231</v>
      </c>
      <c r="C5546" s="5">
        <v>8</v>
      </c>
      <c r="D5546" s="25">
        <v>1.1415000000000001E-4</v>
      </c>
      <c r="E5546" s="25">
        <v>1.2171999999999999E-4</v>
      </c>
      <c r="F5546" s="25">
        <v>1.1579E-4</v>
      </c>
      <c r="G5546" s="25">
        <v>5.6910000000000002E-5</v>
      </c>
      <c r="H5546" s="25">
        <v>1.393E-5</v>
      </c>
      <c r="I5546" s="9">
        <v>1.1286E-4</v>
      </c>
      <c r="J5546" s="9">
        <v>1.1033E-4</v>
      </c>
      <c r="K5546" s="9">
        <v>0</v>
      </c>
      <c r="L5546" s="9">
        <v>9.802E-5</v>
      </c>
      <c r="M5546" s="9">
        <v>1.1068E-4</v>
      </c>
      <c r="N5546" s="9">
        <v>1.0588E-4</v>
      </c>
      <c r="O5546" s="9">
        <v>8.7880000000000006E-5</v>
      </c>
      <c r="P5546" s="9">
        <v>8.8280000000000002E-5</v>
      </c>
      <c r="Q5546" s="9">
        <v>8.8930000000000004E-5</v>
      </c>
      <c r="R5546" s="10">
        <v>2.6604169841587813E-5</v>
      </c>
      <c r="S5546" s="10">
        <v>6.191671034512141E-5</v>
      </c>
      <c r="T5546" s="10">
        <v>0</v>
      </c>
      <c r="U5546" s="10">
        <v>7.1680000000000005E-5</v>
      </c>
      <c r="V5546" s="25"/>
      <c r="W5546" s="25"/>
      <c r="X5546" s="25"/>
      <c r="Y5546" s="25"/>
      <c r="Z5546" s="25"/>
      <c r="AA5546" s="25"/>
    </row>
    <row r="5547" spans="1:27" x14ac:dyDescent="0.35">
      <c r="A5547" s="5">
        <v>5543</v>
      </c>
      <c r="B5547" s="5">
        <v>231</v>
      </c>
      <c r="C5547" s="5">
        <v>8</v>
      </c>
      <c r="D5547" s="25">
        <v>1.1416E-4</v>
      </c>
      <c r="E5547" s="25">
        <v>1.1738E-4</v>
      </c>
      <c r="F5547" s="25">
        <v>1.2804E-4</v>
      </c>
      <c r="G5547" s="25">
        <v>5.9960000000000002E-5</v>
      </c>
      <c r="H5547" s="25">
        <v>1.279E-5</v>
      </c>
      <c r="I5547" s="9">
        <v>1.076E-4</v>
      </c>
      <c r="J5547" s="9">
        <v>1.0404999999999999E-4</v>
      </c>
      <c r="K5547" s="9">
        <v>0</v>
      </c>
      <c r="L5547" s="9">
        <v>9.1379999999999996E-5</v>
      </c>
      <c r="M5547" s="9">
        <v>9.8889999999999997E-5</v>
      </c>
      <c r="N5547" s="9">
        <v>1.0022E-4</v>
      </c>
      <c r="O5547" s="9">
        <v>8.4610000000000005E-5</v>
      </c>
      <c r="P5547" s="9">
        <v>7.559E-5</v>
      </c>
      <c r="Q5547" s="9">
        <v>6.6959999999999996E-5</v>
      </c>
      <c r="R5547" s="10">
        <v>4.040327790017218E-5</v>
      </c>
      <c r="S5547" s="10">
        <v>7.5410885793479661E-5</v>
      </c>
      <c r="T5547" s="10">
        <v>0</v>
      </c>
      <c r="U5547" s="10">
        <v>7.1680000000000005E-5</v>
      </c>
      <c r="V5547" s="25"/>
      <c r="W5547" s="25"/>
      <c r="X5547" s="25"/>
      <c r="Y5547" s="25"/>
      <c r="Z5547" s="25"/>
      <c r="AA5547" s="25"/>
    </row>
    <row r="5548" spans="1:27" x14ac:dyDescent="0.35">
      <c r="A5548" s="5">
        <v>5544</v>
      </c>
      <c r="B5548" s="5">
        <v>231</v>
      </c>
      <c r="C5548" s="5">
        <v>8</v>
      </c>
      <c r="D5548" s="25">
        <v>1.1415000000000001E-4</v>
      </c>
      <c r="E5548" s="25">
        <v>1.1243000000000001E-4</v>
      </c>
      <c r="F5548" s="25">
        <v>1.2038E-4</v>
      </c>
      <c r="G5548" s="25">
        <v>6.1849999999999999E-5</v>
      </c>
      <c r="H5548" s="25">
        <v>1.52E-5</v>
      </c>
      <c r="I5548" s="9">
        <v>1.0061E-4</v>
      </c>
      <c r="J5548" s="9">
        <v>9.7510000000000007E-5</v>
      </c>
      <c r="K5548" s="9">
        <v>0</v>
      </c>
      <c r="L5548" s="9">
        <v>8.6340000000000003E-5</v>
      </c>
      <c r="M5548" s="9">
        <v>8.7730000000000002E-5</v>
      </c>
      <c r="N5548" s="9">
        <v>9.0950000000000002E-5</v>
      </c>
      <c r="O5548" s="9">
        <v>7.8750000000000003E-5</v>
      </c>
      <c r="P5548" s="9">
        <v>6.8490000000000003E-5</v>
      </c>
      <c r="Q5548" s="9">
        <v>5.8629999999999999E-5</v>
      </c>
      <c r="R5548" s="10">
        <v>7.5617037636308666E-5</v>
      </c>
      <c r="S5548" s="10">
        <v>7.9749415950984524E-5</v>
      </c>
      <c r="T5548" s="10">
        <v>0</v>
      </c>
      <c r="U5548" s="10">
        <v>7.1680000000000005E-5</v>
      </c>
      <c r="V5548" s="25"/>
      <c r="W5548" s="25"/>
      <c r="X5548" s="25"/>
      <c r="Y5548" s="25"/>
      <c r="Z5548" s="25"/>
      <c r="AA5548" s="25"/>
    </row>
    <row r="5549" spans="1:27" x14ac:dyDescent="0.35">
      <c r="A5549" s="5">
        <v>5545</v>
      </c>
      <c r="B5549" s="5">
        <v>232</v>
      </c>
      <c r="C5549" s="5">
        <v>8</v>
      </c>
      <c r="D5549" s="25">
        <v>1.1416E-4</v>
      </c>
      <c r="E5549" s="25">
        <v>1.1400000000000001E-4</v>
      </c>
      <c r="F5549" s="25">
        <v>1.2634000000000001E-4</v>
      </c>
      <c r="G5549" s="25">
        <v>6.0970000000000001E-5</v>
      </c>
      <c r="H5549" s="25">
        <v>6.9280000000000001E-5</v>
      </c>
      <c r="I5549" s="9">
        <v>9.692E-5</v>
      </c>
      <c r="J5549" s="9">
        <v>9.2479999999999995E-5</v>
      </c>
      <c r="K5549" s="9">
        <v>0</v>
      </c>
      <c r="L5549" s="9">
        <v>8.0210000000000006E-5</v>
      </c>
      <c r="M5549" s="9">
        <v>7.8269999999999994E-5</v>
      </c>
      <c r="N5549" s="9">
        <v>8.1440000000000006E-5</v>
      </c>
      <c r="O5549" s="9">
        <v>5.435E-5</v>
      </c>
      <c r="P5549" s="9">
        <v>5.3770000000000002E-5</v>
      </c>
      <c r="Q5549" s="9">
        <v>5.3350000000000003E-5</v>
      </c>
      <c r="R5549" s="10">
        <v>7.2673195646469227E-5</v>
      </c>
      <c r="S5549" s="10">
        <v>9.2031112020143501E-5</v>
      </c>
      <c r="T5549" s="10">
        <v>0</v>
      </c>
      <c r="U5549" s="10">
        <v>7.0900000000000002E-5</v>
      </c>
      <c r="V5549" s="25"/>
      <c r="W5549" s="25"/>
      <c r="X5549" s="25"/>
      <c r="Y5549" s="25"/>
      <c r="Z5549" s="25"/>
      <c r="AA5549" s="25"/>
    </row>
    <row r="5550" spans="1:27" x14ac:dyDescent="0.35">
      <c r="A5550" s="5">
        <v>5546</v>
      </c>
      <c r="B5550" s="5">
        <v>232</v>
      </c>
      <c r="C5550" s="5">
        <v>8</v>
      </c>
      <c r="D5550" s="25">
        <v>1.1415000000000001E-4</v>
      </c>
      <c r="E5550" s="25">
        <v>1.1671999999999999E-4</v>
      </c>
      <c r="F5550" s="25">
        <v>1.1019E-4</v>
      </c>
      <c r="G5550" s="25">
        <v>6.0300000000000002E-5</v>
      </c>
      <c r="H5550" s="25">
        <v>6.4690000000000006E-5</v>
      </c>
      <c r="I5550" s="9">
        <v>9.3200000000000002E-5</v>
      </c>
      <c r="J5550" s="9">
        <v>9.0099999999999995E-5</v>
      </c>
      <c r="K5550" s="9">
        <v>0</v>
      </c>
      <c r="L5550" s="9">
        <v>6.0189999999999998E-5</v>
      </c>
      <c r="M5550" s="9">
        <v>6.7230000000000005E-5</v>
      </c>
      <c r="N5550" s="9">
        <v>7.2230000000000005E-5</v>
      </c>
      <c r="O5550" s="9">
        <v>1.9130000000000001E-5</v>
      </c>
      <c r="P5550" s="9">
        <v>3.7929999999999998E-5</v>
      </c>
      <c r="Q5550" s="9">
        <v>5.6440000000000002E-5</v>
      </c>
      <c r="R5550" s="10">
        <v>6.6167897080747514E-5</v>
      </c>
      <c r="S5550" s="10">
        <v>9.7223429353573745E-5</v>
      </c>
      <c r="T5550" s="10">
        <v>0</v>
      </c>
      <c r="U5550" s="10">
        <v>7.0900000000000002E-5</v>
      </c>
      <c r="V5550" s="25"/>
      <c r="W5550" s="25"/>
      <c r="X5550" s="25"/>
      <c r="Y5550" s="25"/>
      <c r="Z5550" s="25"/>
      <c r="AA5550" s="25"/>
    </row>
    <row r="5551" spans="1:27" x14ac:dyDescent="0.35">
      <c r="A5551" s="5">
        <v>5547</v>
      </c>
      <c r="B5551" s="5">
        <v>232</v>
      </c>
      <c r="C5551" s="5">
        <v>8</v>
      </c>
      <c r="D5551" s="25">
        <v>1.1416E-4</v>
      </c>
      <c r="E5551" s="25">
        <v>1.0881E-4</v>
      </c>
      <c r="F5551" s="25">
        <v>1.1796E-4</v>
      </c>
      <c r="G5551" s="25">
        <v>5.3449999999999998E-5</v>
      </c>
      <c r="H5551" s="25">
        <v>6.5190000000000004E-5</v>
      </c>
      <c r="I5551" s="9">
        <v>9.1329999999999995E-5</v>
      </c>
      <c r="J5551" s="9">
        <v>8.9450000000000006E-5</v>
      </c>
      <c r="K5551" s="9">
        <v>0</v>
      </c>
      <c r="L5551" s="9">
        <v>2.8710000000000001E-5</v>
      </c>
      <c r="M5551" s="9">
        <v>5.3980000000000002E-5</v>
      </c>
      <c r="N5551" s="9">
        <v>6.5640000000000002E-5</v>
      </c>
      <c r="O5551" s="9">
        <v>1.348E-5</v>
      </c>
      <c r="P5551" s="9">
        <v>3.7459999999999997E-5</v>
      </c>
      <c r="Q5551" s="9">
        <v>6.1050000000000007E-5</v>
      </c>
      <c r="R5551" s="10">
        <v>6.3499420418539523E-5</v>
      </c>
      <c r="S5551" s="10">
        <v>8.6515101803754941E-5</v>
      </c>
      <c r="T5551" s="10">
        <v>0</v>
      </c>
      <c r="U5551" s="10">
        <v>7.0900000000000002E-5</v>
      </c>
      <c r="V5551" s="25"/>
      <c r="W5551" s="25"/>
      <c r="X5551" s="25"/>
      <c r="Y5551" s="25"/>
      <c r="Z5551" s="25"/>
      <c r="AA5551" s="25"/>
    </row>
    <row r="5552" spans="1:27" x14ac:dyDescent="0.35">
      <c r="A5552" s="5">
        <v>5548</v>
      </c>
      <c r="B5552" s="5">
        <v>232</v>
      </c>
      <c r="C5552" s="5">
        <v>8</v>
      </c>
      <c r="D5552" s="25">
        <v>1.1415000000000001E-4</v>
      </c>
      <c r="E5552" s="25">
        <v>1.1221E-4</v>
      </c>
      <c r="F5552" s="25">
        <v>1.1603999999999999E-4</v>
      </c>
      <c r="G5552" s="25">
        <v>5.5940000000000003E-5</v>
      </c>
      <c r="H5552" s="25">
        <v>7.1299999999999998E-5</v>
      </c>
      <c r="I5552" s="9">
        <v>9.3659999999999994E-5</v>
      </c>
      <c r="J5552" s="9">
        <v>8.9120000000000001E-5</v>
      </c>
      <c r="K5552" s="9">
        <v>0</v>
      </c>
      <c r="L5552" s="9">
        <v>1.768E-5</v>
      </c>
      <c r="M5552" s="9">
        <v>4.4849999999999999E-5</v>
      </c>
      <c r="N5552" s="9">
        <v>6.1870000000000002E-5</v>
      </c>
      <c r="O5552" s="9">
        <v>1.348E-5</v>
      </c>
      <c r="P5552" s="9">
        <v>4.6799999999999999E-5</v>
      </c>
      <c r="Q5552" s="9">
        <v>7.9599999999999997E-5</v>
      </c>
      <c r="R5552" s="10">
        <v>6.31427972505965E-5</v>
      </c>
      <c r="S5552" s="10">
        <v>7.9216075089997434E-5</v>
      </c>
      <c r="T5552" s="10">
        <v>0</v>
      </c>
      <c r="U5552" s="10">
        <v>7.0900000000000002E-5</v>
      </c>
      <c r="V5552" s="25"/>
      <c r="W5552" s="25"/>
      <c r="X5552" s="25"/>
      <c r="Y5552" s="25"/>
      <c r="Z5552" s="25"/>
      <c r="AA5552" s="25"/>
    </row>
    <row r="5553" spans="1:27" x14ac:dyDescent="0.35">
      <c r="A5553" s="5">
        <v>5549</v>
      </c>
      <c r="B5553" s="5">
        <v>232</v>
      </c>
      <c r="C5553" s="5">
        <v>8</v>
      </c>
      <c r="D5553" s="25">
        <v>1.1416E-4</v>
      </c>
      <c r="E5553" s="25">
        <v>1.1124999999999999E-4</v>
      </c>
      <c r="F5553" s="25">
        <v>1.1236E-4</v>
      </c>
      <c r="G5553" s="25">
        <v>5.9500000000000003E-5</v>
      </c>
      <c r="H5553" s="25">
        <v>7.1970000000000004E-5</v>
      </c>
      <c r="I5553" s="9">
        <v>9.7349999999999995E-5</v>
      </c>
      <c r="J5553" s="9">
        <v>9.1429999999999997E-5</v>
      </c>
      <c r="K5553" s="9">
        <v>0</v>
      </c>
      <c r="L5553" s="9">
        <v>1.4579999999999999E-5</v>
      </c>
      <c r="M5553" s="9">
        <v>4.3529999999999998E-5</v>
      </c>
      <c r="N5553" s="9">
        <v>6.4200000000000002E-5</v>
      </c>
      <c r="O5553" s="9">
        <v>1.897E-5</v>
      </c>
      <c r="P5553" s="9">
        <v>5.6409999999999997E-5</v>
      </c>
      <c r="Q5553" s="9">
        <v>9.3280000000000001E-5</v>
      </c>
      <c r="R5553" s="10">
        <v>6.2777927061649587E-5</v>
      </c>
      <c r="S5553" s="10">
        <v>7.7367158448483575E-5</v>
      </c>
      <c r="T5553" s="10">
        <v>0</v>
      </c>
      <c r="U5553" s="10">
        <v>7.0900000000000002E-5</v>
      </c>
      <c r="V5553" s="25"/>
      <c r="W5553" s="25"/>
      <c r="X5553" s="25"/>
      <c r="Y5553" s="25"/>
      <c r="Z5553" s="25"/>
      <c r="AA5553" s="25"/>
    </row>
    <row r="5554" spans="1:27" x14ac:dyDescent="0.35">
      <c r="A5554" s="5">
        <v>5550</v>
      </c>
      <c r="B5554" s="5">
        <v>232</v>
      </c>
      <c r="C5554" s="5">
        <v>8</v>
      </c>
      <c r="D5554" s="25">
        <v>1.1415000000000001E-4</v>
      </c>
      <c r="E5554" s="25">
        <v>1.1003E-4</v>
      </c>
      <c r="F5554" s="25">
        <v>1.1533E-4</v>
      </c>
      <c r="G5554" s="25">
        <v>1.0847E-4</v>
      </c>
      <c r="H5554" s="25">
        <v>1.3011000000000001E-4</v>
      </c>
      <c r="I5554" s="9">
        <v>1.0443E-4</v>
      </c>
      <c r="J5554" s="9">
        <v>9.7239999999999997E-5</v>
      </c>
      <c r="K5554" s="9">
        <v>0</v>
      </c>
      <c r="L5554" s="9">
        <v>1.7880000000000002E-5</v>
      </c>
      <c r="M5554" s="9">
        <v>4.8199999999999999E-5</v>
      </c>
      <c r="N5554" s="9">
        <v>7.0690000000000003E-5</v>
      </c>
      <c r="O5554" s="9">
        <v>4.6090000000000001E-5</v>
      </c>
      <c r="P5554" s="9">
        <v>7.6450000000000002E-5</v>
      </c>
      <c r="Q5554" s="9">
        <v>1.0645999999999999E-4</v>
      </c>
      <c r="R5554" s="10">
        <v>6.4939359102557677E-5</v>
      </c>
      <c r="S5554" s="10">
        <v>8.1794830926374307E-5</v>
      </c>
      <c r="T5554" s="10">
        <v>1.2293749758356507E-5</v>
      </c>
      <c r="U5554" s="10">
        <v>7.0900000000000002E-5</v>
      </c>
      <c r="V5554" s="25"/>
      <c r="W5554" s="25"/>
      <c r="X5554" s="25"/>
      <c r="Y5554" s="25"/>
      <c r="Z5554" s="25"/>
      <c r="AA5554" s="25"/>
    </row>
    <row r="5555" spans="1:27" x14ac:dyDescent="0.35">
      <c r="A5555" s="5">
        <v>5551</v>
      </c>
      <c r="B5555" s="5">
        <v>232</v>
      </c>
      <c r="C5555" s="5">
        <v>8</v>
      </c>
      <c r="D5555" s="25">
        <v>1.1416E-4</v>
      </c>
      <c r="E5555" s="25">
        <v>1.1052000000000001E-4</v>
      </c>
      <c r="F5555" s="25">
        <v>1.1544000000000001E-4</v>
      </c>
      <c r="G5555" s="25">
        <v>1.0942000000000001E-4</v>
      </c>
      <c r="H5555" s="25">
        <v>1.3045E-4</v>
      </c>
      <c r="I5555" s="9">
        <v>1.1010000000000001E-4</v>
      </c>
      <c r="J5555" s="9">
        <v>1.065E-4</v>
      </c>
      <c r="K5555" s="9">
        <v>0</v>
      </c>
      <c r="L5555" s="9">
        <v>3.9740000000000002E-5</v>
      </c>
      <c r="M5555" s="9">
        <v>5.9700000000000001E-5</v>
      </c>
      <c r="N5555" s="9">
        <v>8.03E-5</v>
      </c>
      <c r="O5555" s="9">
        <v>1.2286999999999999E-4</v>
      </c>
      <c r="P5555" s="9">
        <v>1.1743000000000001E-4</v>
      </c>
      <c r="Q5555" s="9">
        <v>1.1249E-4</v>
      </c>
      <c r="R5555" s="10">
        <v>6.4925990346759453E-5</v>
      </c>
      <c r="S5555" s="10">
        <v>9.572265435707558E-5</v>
      </c>
      <c r="T5555" s="10">
        <v>1.0009776373298141E-4</v>
      </c>
      <c r="U5555" s="10">
        <v>7.0900000000000002E-5</v>
      </c>
      <c r="V5555" s="25"/>
      <c r="W5555" s="25"/>
      <c r="X5555" s="25"/>
      <c r="Y5555" s="25"/>
      <c r="Z5555" s="25"/>
      <c r="AA5555" s="25"/>
    </row>
    <row r="5556" spans="1:27" x14ac:dyDescent="0.35">
      <c r="A5556" s="5">
        <v>5552</v>
      </c>
      <c r="B5556" s="5">
        <v>232</v>
      </c>
      <c r="C5556" s="5">
        <v>8</v>
      </c>
      <c r="D5556" s="25">
        <v>1.1415000000000001E-4</v>
      </c>
      <c r="E5556" s="25">
        <v>1.0814E-4</v>
      </c>
      <c r="F5556" s="25">
        <v>1.2441000000000001E-4</v>
      </c>
      <c r="G5556" s="25">
        <v>1.5823000000000001E-4</v>
      </c>
      <c r="H5556" s="25">
        <v>2.0246000000000001E-4</v>
      </c>
      <c r="I5556" s="9">
        <v>1.153E-4</v>
      </c>
      <c r="J5556" s="9">
        <v>1.1542E-4</v>
      </c>
      <c r="K5556" s="9">
        <v>0</v>
      </c>
      <c r="L5556" s="9">
        <v>1.0397E-4</v>
      </c>
      <c r="M5556" s="9">
        <v>8.3469999999999999E-5</v>
      </c>
      <c r="N5556" s="9">
        <v>9.0459999999999998E-5</v>
      </c>
      <c r="O5556" s="9">
        <v>2.1709999999999999E-4</v>
      </c>
      <c r="P5556" s="9">
        <v>1.7572E-4</v>
      </c>
      <c r="Q5556" s="9">
        <v>1.3574E-4</v>
      </c>
      <c r="R5556" s="10">
        <v>6.592413987381651E-5</v>
      </c>
      <c r="S5556" s="10">
        <v>1.1460127595069878E-4</v>
      </c>
      <c r="T5556" s="10">
        <v>2.8019398603845659E-4</v>
      </c>
      <c r="U5556" s="10">
        <v>7.0900000000000002E-5</v>
      </c>
      <c r="V5556" s="25"/>
      <c r="W5556" s="25"/>
      <c r="X5556" s="25"/>
      <c r="Y5556" s="25"/>
      <c r="Z5556" s="25"/>
      <c r="AA5556" s="25"/>
    </row>
    <row r="5557" spans="1:27" x14ac:dyDescent="0.35">
      <c r="A5557" s="5">
        <v>5553</v>
      </c>
      <c r="B5557" s="5">
        <v>232</v>
      </c>
      <c r="C5557" s="5">
        <v>8</v>
      </c>
      <c r="D5557" s="25">
        <v>1.1416E-4</v>
      </c>
      <c r="E5557" s="25">
        <v>1.0962E-4</v>
      </c>
      <c r="F5557" s="25">
        <v>1.2426000000000001E-4</v>
      </c>
      <c r="G5557" s="25">
        <v>1.582E-4</v>
      </c>
      <c r="H5557" s="25">
        <v>2.0284E-4</v>
      </c>
      <c r="I5557" s="9">
        <v>1.1828E-4</v>
      </c>
      <c r="J5557" s="9">
        <v>1.2022E-4</v>
      </c>
      <c r="K5557" s="9">
        <v>0</v>
      </c>
      <c r="L5557" s="9">
        <v>1.9044999999999999E-4</v>
      </c>
      <c r="M5557" s="9">
        <v>1.2282999999999999E-4</v>
      </c>
      <c r="N5557" s="9">
        <v>1.0408000000000001E-4</v>
      </c>
      <c r="O5557" s="9">
        <v>2.0903E-4</v>
      </c>
      <c r="P5557" s="9">
        <v>1.9188000000000001E-4</v>
      </c>
      <c r="Q5557" s="9">
        <v>1.7573E-4</v>
      </c>
      <c r="R5557" s="10">
        <v>6.2471043244974068E-5</v>
      </c>
      <c r="S5557" s="10">
        <v>1.2632435247213102E-4</v>
      </c>
      <c r="T5557" s="10">
        <v>4.4687653107135651E-4</v>
      </c>
      <c r="U5557" s="10">
        <v>7.0900000000000002E-5</v>
      </c>
      <c r="V5557" s="25"/>
      <c r="W5557" s="25"/>
      <c r="X5557" s="25"/>
      <c r="Y5557" s="25"/>
      <c r="Z5557" s="25"/>
      <c r="AA5557" s="25"/>
    </row>
    <row r="5558" spans="1:27" x14ac:dyDescent="0.35">
      <c r="A5558" s="5">
        <v>5554</v>
      </c>
      <c r="B5558" s="5">
        <v>232</v>
      </c>
      <c r="C5558" s="5">
        <v>8</v>
      </c>
      <c r="D5558" s="25">
        <v>1.1415000000000001E-4</v>
      </c>
      <c r="E5558" s="25">
        <v>1.0958E-4</v>
      </c>
      <c r="F5558" s="25">
        <v>1.0985E-4</v>
      </c>
      <c r="G5558" s="25">
        <v>1.6602000000000001E-4</v>
      </c>
      <c r="H5558" s="25">
        <v>1.9321E-4</v>
      </c>
      <c r="I5558" s="9">
        <v>1.1891E-4</v>
      </c>
      <c r="J5558" s="9">
        <v>1.2205E-4</v>
      </c>
      <c r="K5558" s="9">
        <v>0</v>
      </c>
      <c r="L5558" s="9">
        <v>2.0268E-4</v>
      </c>
      <c r="M5558" s="9">
        <v>1.5765000000000001E-4</v>
      </c>
      <c r="N5558" s="9">
        <v>1.2394000000000001E-4</v>
      </c>
      <c r="O5558" s="9">
        <v>1.6583E-4</v>
      </c>
      <c r="P5558" s="9">
        <v>1.7335000000000001E-4</v>
      </c>
      <c r="Q5558" s="9">
        <v>1.8132000000000001E-4</v>
      </c>
      <c r="R5558" s="10">
        <v>3.8810402329106292E-5</v>
      </c>
      <c r="S5558" s="10">
        <v>1.335429957019556E-4</v>
      </c>
      <c r="T5558" s="10">
        <v>5.7423434861634593E-4</v>
      </c>
      <c r="U5558" s="10">
        <v>7.0900000000000002E-5</v>
      </c>
      <c r="V5558" s="25"/>
      <c r="W5558" s="25"/>
      <c r="X5558" s="25"/>
      <c r="Y5558" s="25"/>
      <c r="Z5558" s="25"/>
      <c r="AA5558" s="25"/>
    </row>
    <row r="5559" spans="1:27" x14ac:dyDescent="0.35">
      <c r="A5559" s="5">
        <v>5555</v>
      </c>
      <c r="B5559" s="5">
        <v>232</v>
      </c>
      <c r="C5559" s="5">
        <v>8</v>
      </c>
      <c r="D5559" s="25">
        <v>1.1416E-4</v>
      </c>
      <c r="E5559" s="25">
        <v>1.1527999999999999E-4</v>
      </c>
      <c r="F5559" s="25">
        <v>1.2271999999999999E-4</v>
      </c>
      <c r="G5559" s="25">
        <v>1.6317E-4</v>
      </c>
      <c r="H5559" s="25">
        <v>1.9666E-4</v>
      </c>
      <c r="I5559" s="9">
        <v>1.1945E-4</v>
      </c>
      <c r="J5559" s="9">
        <v>1.2284000000000001E-4</v>
      </c>
      <c r="K5559" s="9">
        <v>0</v>
      </c>
      <c r="L5559" s="9">
        <v>1.7401E-4</v>
      </c>
      <c r="M5559" s="9">
        <v>1.7137000000000001E-4</v>
      </c>
      <c r="N5559" s="9">
        <v>1.4195000000000001E-4</v>
      </c>
      <c r="O5559" s="9">
        <v>1.66E-4</v>
      </c>
      <c r="P5559" s="9">
        <v>1.7218999999999999E-4</v>
      </c>
      <c r="Q5559" s="9">
        <v>1.7883999999999999E-4</v>
      </c>
      <c r="R5559" s="10">
        <v>2.2520521631549141E-5</v>
      </c>
      <c r="S5559" s="10">
        <v>1.3666848982877631E-4</v>
      </c>
      <c r="T5559" s="10">
        <v>6.6219107997927333E-4</v>
      </c>
      <c r="U5559" s="10">
        <v>7.0900000000000002E-5</v>
      </c>
      <c r="V5559" s="25"/>
      <c r="W5559" s="25"/>
      <c r="X5559" s="25"/>
      <c r="Y5559" s="25"/>
      <c r="Z5559" s="25"/>
      <c r="AA5559" s="25"/>
    </row>
    <row r="5560" spans="1:27" x14ac:dyDescent="0.35">
      <c r="A5560" s="5">
        <v>5556</v>
      </c>
      <c r="B5560" s="5">
        <v>232</v>
      </c>
      <c r="C5560" s="5">
        <v>8</v>
      </c>
      <c r="D5560" s="25">
        <v>1.1415000000000001E-4</v>
      </c>
      <c r="E5560" s="25">
        <v>1.1123E-4</v>
      </c>
      <c r="F5560" s="25">
        <v>1.0937E-4</v>
      </c>
      <c r="G5560" s="25">
        <v>1.6415000000000001E-4</v>
      </c>
      <c r="H5560" s="25">
        <v>1.9525E-4</v>
      </c>
      <c r="I5560" s="9">
        <v>1.1684E-4</v>
      </c>
      <c r="J5560" s="9">
        <v>1.2150999999999999E-4</v>
      </c>
      <c r="K5560" s="9">
        <v>0</v>
      </c>
      <c r="L5560" s="9">
        <v>1.6914999999999999E-4</v>
      </c>
      <c r="M5560" s="9">
        <v>1.7399000000000001E-4</v>
      </c>
      <c r="N5560" s="9">
        <v>1.5600999999999999E-4</v>
      </c>
      <c r="O5560" s="9">
        <v>1.6856999999999999E-4</v>
      </c>
      <c r="P5560" s="9">
        <v>1.7068000000000001E-4</v>
      </c>
      <c r="Q5560" s="9">
        <v>1.7333999999999999E-4</v>
      </c>
      <c r="R5560" s="10">
        <v>1.3291996875156282E-5</v>
      </c>
      <c r="S5560" s="10">
        <v>1.1936578417488358E-4</v>
      </c>
      <c r="T5560" s="10">
        <v>6.9636583776164739E-4</v>
      </c>
      <c r="U5560" s="10">
        <v>7.0900000000000002E-5</v>
      </c>
      <c r="V5560" s="25"/>
      <c r="W5560" s="25"/>
      <c r="X5560" s="25"/>
      <c r="Y5560" s="25"/>
      <c r="Z5560" s="25"/>
      <c r="AA5560" s="25"/>
    </row>
    <row r="5561" spans="1:27" x14ac:dyDescent="0.35">
      <c r="A5561" s="5">
        <v>5557</v>
      </c>
      <c r="B5561" s="5">
        <v>232</v>
      </c>
      <c r="C5561" s="5">
        <v>8</v>
      </c>
      <c r="D5561" s="25">
        <v>1.1416E-4</v>
      </c>
      <c r="E5561" s="25">
        <v>1.0932E-4</v>
      </c>
      <c r="F5561" s="25">
        <v>1.1124E-4</v>
      </c>
      <c r="G5561" s="25">
        <v>1.6670000000000001E-4</v>
      </c>
      <c r="H5561" s="25">
        <v>1.9829E-4</v>
      </c>
      <c r="I5561" s="9">
        <v>1.1841999999999999E-4</v>
      </c>
      <c r="J5561" s="9">
        <v>1.2294000000000001E-4</v>
      </c>
      <c r="K5561" s="9">
        <v>0</v>
      </c>
      <c r="L5561" s="9">
        <v>1.6885000000000001E-4</v>
      </c>
      <c r="M5561" s="9">
        <v>1.73E-4</v>
      </c>
      <c r="N5561" s="9">
        <v>1.6542E-4</v>
      </c>
      <c r="O5561" s="9">
        <v>1.6050999999999999E-4</v>
      </c>
      <c r="P5561" s="9">
        <v>1.6338999999999999E-4</v>
      </c>
      <c r="Q5561" s="9">
        <v>1.6678E-4</v>
      </c>
      <c r="R5561" s="10">
        <v>1.0840144094496768E-5</v>
      </c>
      <c r="S5561" s="10">
        <v>1.1306607870573261E-4</v>
      </c>
      <c r="T5561" s="10">
        <v>6.9568709381363596E-4</v>
      </c>
      <c r="U5561" s="10">
        <v>7.0900000000000002E-5</v>
      </c>
      <c r="V5561" s="25"/>
      <c r="W5561" s="25"/>
      <c r="X5561" s="25"/>
      <c r="Y5561" s="25"/>
      <c r="Z5561" s="25"/>
      <c r="AA5561" s="25"/>
    </row>
    <row r="5562" spans="1:27" x14ac:dyDescent="0.35">
      <c r="A5562" s="5">
        <v>5558</v>
      </c>
      <c r="B5562" s="5">
        <v>232</v>
      </c>
      <c r="C5562" s="5">
        <v>8</v>
      </c>
      <c r="D5562" s="25">
        <v>1.1415000000000001E-4</v>
      </c>
      <c r="E5562" s="25">
        <v>1.1010000000000001E-4</v>
      </c>
      <c r="F5562" s="25">
        <v>1.1425999999999999E-4</v>
      </c>
      <c r="G5562" s="25">
        <v>1.6403000000000001E-4</v>
      </c>
      <c r="H5562" s="25">
        <v>1.8977999999999999E-4</v>
      </c>
      <c r="I5562" s="9">
        <v>1.1752999999999999E-4</v>
      </c>
      <c r="J5562" s="9">
        <v>1.2311000000000001E-4</v>
      </c>
      <c r="K5562" s="9">
        <v>0</v>
      </c>
      <c r="L5562" s="9">
        <v>1.6210000000000001E-4</v>
      </c>
      <c r="M5562" s="9">
        <v>1.6924E-4</v>
      </c>
      <c r="N5562" s="9">
        <v>1.6975000000000001E-4</v>
      </c>
      <c r="O5562" s="9">
        <v>1.7891000000000001E-4</v>
      </c>
      <c r="P5562" s="9">
        <v>1.7007E-4</v>
      </c>
      <c r="Q5562" s="9">
        <v>1.6199000000000001E-4</v>
      </c>
      <c r="R5562" s="10">
        <v>8.3601279519248169E-6</v>
      </c>
      <c r="S5562" s="10">
        <v>1.0682843357787979E-4</v>
      </c>
      <c r="T5562" s="10">
        <v>5.91033261329628E-4</v>
      </c>
      <c r="U5562" s="10">
        <v>7.0900000000000002E-5</v>
      </c>
      <c r="V5562" s="25"/>
      <c r="W5562" s="25"/>
      <c r="X5562" s="25"/>
      <c r="Y5562" s="25"/>
      <c r="Z5562" s="25"/>
      <c r="AA5562" s="25"/>
    </row>
    <row r="5563" spans="1:27" x14ac:dyDescent="0.35">
      <c r="A5563" s="5">
        <v>5559</v>
      </c>
      <c r="B5563" s="5">
        <v>232</v>
      </c>
      <c r="C5563" s="5">
        <v>8</v>
      </c>
      <c r="D5563" s="25">
        <v>1.1416E-4</v>
      </c>
      <c r="E5563" s="25">
        <v>1.1612000000000001E-4</v>
      </c>
      <c r="F5563" s="25">
        <v>1.097E-4</v>
      </c>
      <c r="G5563" s="25">
        <v>1.6699999999999999E-4</v>
      </c>
      <c r="H5563" s="25">
        <v>1.9651E-4</v>
      </c>
      <c r="I5563" s="9">
        <v>1.1624E-4</v>
      </c>
      <c r="J5563" s="9">
        <v>1.2354999999999999E-4</v>
      </c>
      <c r="K5563" s="9">
        <v>0</v>
      </c>
      <c r="L5563" s="9">
        <v>1.7537999999999999E-4</v>
      </c>
      <c r="M5563" s="9">
        <v>1.6846999999999999E-4</v>
      </c>
      <c r="N5563" s="9">
        <v>1.6971E-4</v>
      </c>
      <c r="O5563" s="9">
        <v>1.8395999999999999E-4</v>
      </c>
      <c r="P5563" s="9">
        <v>1.6829E-4</v>
      </c>
      <c r="Q5563" s="9">
        <v>1.5349999999999999E-4</v>
      </c>
      <c r="R5563" s="10">
        <v>9.2567047999355284E-6</v>
      </c>
      <c r="S5563" s="10">
        <v>1.0382860514337097E-4</v>
      </c>
      <c r="T5563" s="10">
        <v>5.0733564824047208E-4</v>
      </c>
      <c r="U5563" s="10">
        <v>7.0900000000000002E-5</v>
      </c>
      <c r="V5563" s="25"/>
      <c r="W5563" s="25"/>
      <c r="X5563" s="25"/>
      <c r="Y5563" s="25"/>
      <c r="Z5563" s="25"/>
      <c r="AA5563" s="25"/>
    </row>
    <row r="5564" spans="1:27" x14ac:dyDescent="0.35">
      <c r="A5564" s="5">
        <v>5560</v>
      </c>
      <c r="B5564" s="5">
        <v>232</v>
      </c>
      <c r="C5564" s="5">
        <v>8</v>
      </c>
      <c r="D5564" s="25">
        <v>1.1415000000000001E-4</v>
      </c>
      <c r="E5564" s="25">
        <v>1.1608E-4</v>
      </c>
      <c r="F5564" s="25">
        <v>1.1556E-4</v>
      </c>
      <c r="G5564" s="25">
        <v>1.6131000000000001E-4</v>
      </c>
      <c r="H5564" s="25">
        <v>1.9588E-4</v>
      </c>
      <c r="I5564" s="9">
        <v>1.1639E-4</v>
      </c>
      <c r="J5564" s="9">
        <v>1.2442E-4</v>
      </c>
      <c r="K5564" s="9">
        <v>0</v>
      </c>
      <c r="L5564" s="9">
        <v>1.8171999999999999E-4</v>
      </c>
      <c r="M5564" s="9">
        <v>1.6830999999999999E-4</v>
      </c>
      <c r="N5564" s="9">
        <v>1.6618000000000001E-4</v>
      </c>
      <c r="O5564" s="9">
        <v>1.9813E-4</v>
      </c>
      <c r="P5564" s="9">
        <v>1.537E-4</v>
      </c>
      <c r="Q5564" s="9">
        <v>1.1066E-4</v>
      </c>
      <c r="R5564" s="10">
        <v>9.4235544083052339E-6</v>
      </c>
      <c r="S5564" s="10">
        <v>1.0010249893007632E-4</v>
      </c>
      <c r="T5564" s="10">
        <v>3.0981267506980417E-4</v>
      </c>
      <c r="U5564" s="10">
        <v>7.0900000000000002E-5</v>
      </c>
      <c r="V5564" s="25"/>
      <c r="W5564" s="25"/>
      <c r="X5564" s="25"/>
      <c r="Y5564" s="25"/>
      <c r="Z5564" s="25"/>
      <c r="AA5564" s="25"/>
    </row>
    <row r="5565" spans="1:27" x14ac:dyDescent="0.35">
      <c r="A5565" s="5">
        <v>5561</v>
      </c>
      <c r="B5565" s="5">
        <v>232</v>
      </c>
      <c r="C5565" s="5">
        <v>8</v>
      </c>
      <c r="D5565" s="25">
        <v>1.1416E-4</v>
      </c>
      <c r="E5565" s="25">
        <v>1.0807E-4</v>
      </c>
      <c r="F5565" s="25">
        <v>1.2631E-4</v>
      </c>
      <c r="G5565" s="25">
        <v>1.6344999999999999E-4</v>
      </c>
      <c r="H5565" s="25">
        <v>1.8956999999999999E-4</v>
      </c>
      <c r="I5565" s="9">
        <v>1.1908000000000001E-4</v>
      </c>
      <c r="J5565" s="9">
        <v>1.2577000000000001E-4</v>
      </c>
      <c r="K5565" s="9">
        <v>0</v>
      </c>
      <c r="L5565" s="9">
        <v>1.9429000000000001E-4</v>
      </c>
      <c r="M5565" s="9">
        <v>1.6310000000000001E-4</v>
      </c>
      <c r="N5565" s="9">
        <v>1.5276999999999999E-4</v>
      </c>
      <c r="O5565" s="9">
        <v>2.1220000000000001E-4</v>
      </c>
      <c r="P5565" s="9">
        <v>1.5867E-4</v>
      </c>
      <c r="Q5565" s="9">
        <v>1.0673E-4</v>
      </c>
      <c r="R5565" s="10">
        <v>8.8309173583895336E-6</v>
      </c>
      <c r="S5565" s="10">
        <v>1.0016850569130251E-4</v>
      </c>
      <c r="T5565" s="10">
        <v>4.0996134459888643E-5</v>
      </c>
      <c r="U5565" s="10">
        <v>7.0900000000000002E-5</v>
      </c>
      <c r="V5565" s="25"/>
      <c r="W5565" s="25"/>
      <c r="X5565" s="25"/>
      <c r="Y5565" s="25"/>
      <c r="Z5565" s="25"/>
      <c r="AA5565" s="25"/>
    </row>
    <row r="5566" spans="1:27" x14ac:dyDescent="0.35">
      <c r="A5566" s="5">
        <v>5562</v>
      </c>
      <c r="B5566" s="5">
        <v>232</v>
      </c>
      <c r="C5566" s="5">
        <v>8</v>
      </c>
      <c r="D5566" s="25">
        <v>1.1415000000000001E-4</v>
      </c>
      <c r="E5566" s="25">
        <v>1.1344E-4</v>
      </c>
      <c r="F5566" s="25">
        <v>1.2831E-4</v>
      </c>
      <c r="G5566" s="25">
        <v>1.6176E-4</v>
      </c>
      <c r="H5566" s="25">
        <v>1.8971999999999999E-4</v>
      </c>
      <c r="I5566" s="9">
        <v>1.1824000000000001E-4</v>
      </c>
      <c r="J5566" s="9">
        <v>1.2207E-4</v>
      </c>
      <c r="K5566" s="9">
        <v>0</v>
      </c>
      <c r="L5566" s="9">
        <v>2.0801000000000001E-4</v>
      </c>
      <c r="M5566" s="9">
        <v>1.6003E-4</v>
      </c>
      <c r="N5566" s="9">
        <v>1.3939000000000001E-4</v>
      </c>
      <c r="O5566" s="9">
        <v>2.0484999999999999E-4</v>
      </c>
      <c r="P5566" s="9">
        <v>1.6066E-4</v>
      </c>
      <c r="Q5566" s="9">
        <v>1.1786999999999999E-4</v>
      </c>
      <c r="R5566" s="10">
        <v>7.5774370896257996E-6</v>
      </c>
      <c r="S5566" s="10">
        <v>1.0187602520546925E-4</v>
      </c>
      <c r="T5566" s="10">
        <v>6.3072281368959472E-5</v>
      </c>
      <c r="U5566" s="10">
        <v>7.0900000000000002E-5</v>
      </c>
      <c r="V5566" s="25"/>
      <c r="W5566" s="25"/>
      <c r="X5566" s="25"/>
      <c r="Y5566" s="25"/>
      <c r="Z5566" s="25"/>
      <c r="AA5566" s="25"/>
    </row>
    <row r="5567" spans="1:27" x14ac:dyDescent="0.35">
      <c r="A5567" s="5">
        <v>5563</v>
      </c>
      <c r="B5567" s="5">
        <v>232</v>
      </c>
      <c r="C5567" s="5">
        <v>8</v>
      </c>
      <c r="D5567" s="25">
        <v>1.1416E-4</v>
      </c>
      <c r="E5567" s="25">
        <v>1.1195E-4</v>
      </c>
      <c r="F5567" s="25">
        <v>1.1974E-4</v>
      </c>
      <c r="G5567" s="25">
        <v>1.1098E-4</v>
      </c>
      <c r="H5567" s="25">
        <v>1.3111000000000001E-4</v>
      </c>
      <c r="I5567" s="9">
        <v>1.1464999999999999E-4</v>
      </c>
      <c r="J5567" s="9">
        <v>1.1936E-4</v>
      </c>
      <c r="K5567" s="9">
        <v>0</v>
      </c>
      <c r="L5567" s="9">
        <v>2.052E-4</v>
      </c>
      <c r="M5567" s="9">
        <v>1.596E-4</v>
      </c>
      <c r="N5567" s="9">
        <v>1.3035999999999999E-4</v>
      </c>
      <c r="O5567" s="9">
        <v>1.6484E-4</v>
      </c>
      <c r="P5567" s="9">
        <v>1.3579999999999999E-4</v>
      </c>
      <c r="Q5567" s="9">
        <v>1.0779E-4</v>
      </c>
      <c r="R5567" s="10">
        <v>6.4705140574776315E-6</v>
      </c>
      <c r="S5567" s="10">
        <v>1.0358271007948965E-4</v>
      </c>
      <c r="T5567" s="10">
        <v>1.2887650712866481E-5</v>
      </c>
      <c r="U5567" s="10">
        <v>7.0900000000000002E-5</v>
      </c>
      <c r="V5567" s="25"/>
      <c r="W5567" s="25"/>
      <c r="X5567" s="25"/>
      <c r="Y5567" s="25"/>
      <c r="Z5567" s="25"/>
      <c r="AA5567" s="25"/>
    </row>
    <row r="5568" spans="1:27" x14ac:dyDescent="0.35">
      <c r="A5568" s="5">
        <v>5564</v>
      </c>
      <c r="B5568" s="5">
        <v>232</v>
      </c>
      <c r="C5568" s="5">
        <v>8</v>
      </c>
      <c r="D5568" s="25">
        <v>1.1415000000000001E-4</v>
      </c>
      <c r="E5568" s="25">
        <v>1.1095E-4</v>
      </c>
      <c r="F5568" s="25">
        <v>1.3019E-4</v>
      </c>
      <c r="G5568" s="25">
        <v>1.0707E-4</v>
      </c>
      <c r="H5568" s="25">
        <v>1.3973999999999999E-4</v>
      </c>
      <c r="I5568" s="9">
        <v>1.1087E-4</v>
      </c>
      <c r="J5568" s="9">
        <v>1.1735000000000001E-4</v>
      </c>
      <c r="K5568" s="9">
        <v>0</v>
      </c>
      <c r="L5568" s="9">
        <v>1.7386999999999999E-4</v>
      </c>
      <c r="M5568" s="9">
        <v>1.5109999999999999E-4</v>
      </c>
      <c r="N5568" s="9">
        <v>1.2133000000000001E-4</v>
      </c>
      <c r="O5568" s="9">
        <v>1.2734000000000001E-4</v>
      </c>
      <c r="P5568" s="9">
        <v>1.1385E-4</v>
      </c>
      <c r="Q5568" s="9">
        <v>1.01E-4</v>
      </c>
      <c r="R5568" s="10">
        <v>8.1731218278439923E-6</v>
      </c>
      <c r="S5568" s="10">
        <v>1.088997018659704E-4</v>
      </c>
      <c r="T5568" s="10">
        <v>0</v>
      </c>
      <c r="U5568" s="10">
        <v>7.0900000000000002E-5</v>
      </c>
      <c r="V5568" s="25"/>
      <c r="W5568" s="25"/>
      <c r="X5568" s="25"/>
      <c r="Y5568" s="25"/>
      <c r="Z5568" s="25"/>
      <c r="AA5568" s="25"/>
    </row>
    <row r="5569" spans="1:27" x14ac:dyDescent="0.35">
      <c r="A5569" s="5">
        <v>5565</v>
      </c>
      <c r="B5569" s="5">
        <v>232</v>
      </c>
      <c r="C5569" s="5">
        <v>8</v>
      </c>
      <c r="D5569" s="25">
        <v>1.1416E-4</v>
      </c>
      <c r="E5569" s="25">
        <v>1.1607000000000001E-4</v>
      </c>
      <c r="F5569" s="25">
        <v>1.2069E-4</v>
      </c>
      <c r="G5569" s="25">
        <v>5.7599999999999997E-5</v>
      </c>
      <c r="H5569" s="25">
        <v>6.8999999999999997E-5</v>
      </c>
      <c r="I5569" s="9">
        <v>1.0959999999999999E-4</v>
      </c>
      <c r="J5569" s="9">
        <v>1.1527E-4</v>
      </c>
      <c r="K5569" s="9">
        <v>0</v>
      </c>
      <c r="L5569" s="9">
        <v>1.3854000000000001E-4</v>
      </c>
      <c r="M5569" s="9">
        <v>1.3531E-4</v>
      </c>
      <c r="N5569" s="9">
        <v>1.1334E-4</v>
      </c>
      <c r="O5569" s="9">
        <v>8.4779999999999998E-5</v>
      </c>
      <c r="P5569" s="9">
        <v>8.6550000000000003E-5</v>
      </c>
      <c r="Q5569" s="9">
        <v>8.8549999999999998E-5</v>
      </c>
      <c r="R5569" s="10">
        <v>1.3065563505997372E-5</v>
      </c>
      <c r="S5569" s="10">
        <v>1.1440391042334012E-4</v>
      </c>
      <c r="T5569" s="10">
        <v>0</v>
      </c>
      <c r="U5569" s="10">
        <v>7.0900000000000002E-5</v>
      </c>
      <c r="V5569" s="25"/>
      <c r="W5569" s="25"/>
      <c r="X5569" s="25"/>
      <c r="Y5569" s="25"/>
      <c r="Z5569" s="25"/>
      <c r="AA5569" s="25"/>
    </row>
    <row r="5570" spans="1:27" x14ac:dyDescent="0.35">
      <c r="A5570" s="5">
        <v>5566</v>
      </c>
      <c r="B5570" s="5">
        <v>232</v>
      </c>
      <c r="C5570" s="5">
        <v>8</v>
      </c>
      <c r="D5570" s="25">
        <v>1.1415000000000001E-4</v>
      </c>
      <c r="E5570" s="25">
        <v>1.1478E-4</v>
      </c>
      <c r="F5570" s="25">
        <v>1.1066E-4</v>
      </c>
      <c r="G5570" s="25">
        <v>5.2160000000000002E-5</v>
      </c>
      <c r="H5570" s="25">
        <v>6.3330000000000005E-5</v>
      </c>
      <c r="I5570" s="9">
        <v>1.0933999999999999E-4</v>
      </c>
      <c r="J5570" s="9">
        <v>1.0901E-4</v>
      </c>
      <c r="K5570" s="9">
        <v>0</v>
      </c>
      <c r="L5570" s="9">
        <v>9.7570000000000003E-5</v>
      </c>
      <c r="M5570" s="9">
        <v>1.1368E-4</v>
      </c>
      <c r="N5570" s="9">
        <v>1.0569999999999999E-4</v>
      </c>
      <c r="O5570" s="9">
        <v>8.7410000000000005E-5</v>
      </c>
      <c r="P5570" s="9">
        <v>8.7800000000000006E-5</v>
      </c>
      <c r="Q5570" s="9">
        <v>8.8449999999999995E-5</v>
      </c>
      <c r="R5570" s="10">
        <v>2.0887978615927248E-5</v>
      </c>
      <c r="S5570" s="10">
        <v>1.1680951124115388E-4</v>
      </c>
      <c r="T5570" s="10">
        <v>0</v>
      </c>
      <c r="U5570" s="10">
        <v>7.0900000000000002E-5</v>
      </c>
      <c r="V5570" s="25"/>
      <c r="W5570" s="25"/>
      <c r="X5570" s="25"/>
      <c r="Y5570" s="25"/>
      <c r="Z5570" s="25"/>
      <c r="AA5570" s="25"/>
    </row>
    <row r="5571" spans="1:27" x14ac:dyDescent="0.35">
      <c r="A5571" s="5">
        <v>5567</v>
      </c>
      <c r="B5571" s="5">
        <v>232</v>
      </c>
      <c r="C5571" s="5">
        <v>8</v>
      </c>
      <c r="D5571" s="25">
        <v>1.1416E-4</v>
      </c>
      <c r="E5571" s="25">
        <v>1.0835E-4</v>
      </c>
      <c r="F5571" s="25">
        <v>1.2149E-4</v>
      </c>
      <c r="G5571" s="25">
        <v>5.4190000000000001E-5</v>
      </c>
      <c r="H5571" s="25">
        <v>6.4980000000000005E-5</v>
      </c>
      <c r="I5571" s="9">
        <v>1.0463000000000001E-4</v>
      </c>
      <c r="J5571" s="9">
        <v>1.0428E-4</v>
      </c>
      <c r="K5571" s="9">
        <v>0</v>
      </c>
      <c r="L5571" s="9">
        <v>9.056E-5</v>
      </c>
      <c r="M5571" s="9">
        <v>9.9069999999999998E-5</v>
      </c>
      <c r="N5571" s="9">
        <v>9.9889999999999994E-5</v>
      </c>
      <c r="O5571" s="9">
        <v>7.8189999999999995E-5</v>
      </c>
      <c r="P5571" s="9">
        <v>7.2589999999999994E-5</v>
      </c>
      <c r="Q5571" s="9">
        <v>6.7299999999999996E-5</v>
      </c>
      <c r="R5571" s="10">
        <v>2.9920663554850909E-5</v>
      </c>
      <c r="S5571" s="10">
        <v>1.2017571423035923E-4</v>
      </c>
      <c r="T5571" s="10">
        <v>0</v>
      </c>
      <c r="U5571" s="10">
        <v>7.0900000000000002E-5</v>
      </c>
      <c r="V5571" s="25"/>
      <c r="W5571" s="25"/>
      <c r="X5571" s="25"/>
      <c r="Y5571" s="25"/>
      <c r="Z5571" s="25"/>
      <c r="AA5571" s="25"/>
    </row>
    <row r="5572" spans="1:27" x14ac:dyDescent="0.35">
      <c r="A5572" s="5">
        <v>5568</v>
      </c>
      <c r="B5572" s="5">
        <v>232</v>
      </c>
      <c r="C5572" s="5">
        <v>8</v>
      </c>
      <c r="D5572" s="25">
        <v>1.1415000000000001E-4</v>
      </c>
      <c r="E5572" s="25">
        <v>1.1373E-4</v>
      </c>
      <c r="F5572" s="25">
        <v>1.3139E-4</v>
      </c>
      <c r="G5572" s="25">
        <v>6.3490000000000004E-5</v>
      </c>
      <c r="H5572" s="25">
        <v>6.8650000000000002E-5</v>
      </c>
      <c r="I5572" s="9">
        <v>9.8490000000000001E-5</v>
      </c>
      <c r="J5572" s="9">
        <v>9.7260000000000001E-5</v>
      </c>
      <c r="K5572" s="9">
        <v>0</v>
      </c>
      <c r="L5572" s="9">
        <v>8.0890000000000006E-5</v>
      </c>
      <c r="M5572" s="9">
        <v>8.6340000000000003E-5</v>
      </c>
      <c r="N5572" s="9">
        <v>9.0680000000000006E-5</v>
      </c>
      <c r="O5572" s="9">
        <v>6.3059999999999996E-5</v>
      </c>
      <c r="P5572" s="9">
        <v>6.1029999999999997E-5</v>
      </c>
      <c r="Q5572" s="9">
        <v>5.9200000000000002E-5</v>
      </c>
      <c r="R5572" s="10">
        <v>3.512123499918052E-5</v>
      </c>
      <c r="S5572" s="10">
        <v>1.2017849735168344E-4</v>
      </c>
      <c r="T5572" s="10">
        <v>0</v>
      </c>
      <c r="U5572" s="10">
        <v>7.0900000000000002E-5</v>
      </c>
      <c r="V5572" s="25"/>
      <c r="W5572" s="25"/>
      <c r="X5572" s="25"/>
      <c r="Y5572" s="25"/>
      <c r="Z5572" s="25"/>
      <c r="AA5572" s="25"/>
    </row>
    <row r="5573" spans="1:27" x14ac:dyDescent="0.35">
      <c r="A5573" s="5">
        <v>5569</v>
      </c>
      <c r="B5573" s="5">
        <v>233</v>
      </c>
      <c r="C5573" s="5">
        <v>8</v>
      </c>
      <c r="D5573" s="25">
        <v>1.1416E-4</v>
      </c>
      <c r="E5573" s="25">
        <v>1.1328999999999999E-4</v>
      </c>
      <c r="F5573" s="25">
        <v>1.0911E-4</v>
      </c>
      <c r="G5573" s="25">
        <v>6.2260000000000004E-5</v>
      </c>
      <c r="H5573" s="25">
        <v>6.3899999999999995E-5</v>
      </c>
      <c r="I5573" s="9">
        <v>9.3750000000000002E-5</v>
      </c>
      <c r="J5573" s="9">
        <v>9.1619999999999994E-5</v>
      </c>
      <c r="K5573" s="9">
        <v>0</v>
      </c>
      <c r="L5573" s="9">
        <v>6.6989999999999994E-5</v>
      </c>
      <c r="M5573" s="9">
        <v>7.4300000000000004E-5</v>
      </c>
      <c r="N5573" s="9">
        <v>8.1320000000000001E-5</v>
      </c>
      <c r="O5573" s="9">
        <v>5.4599999999999999E-5</v>
      </c>
      <c r="P5573" s="9">
        <v>5.4020000000000001E-5</v>
      </c>
      <c r="Q5573" s="9">
        <v>5.359E-5</v>
      </c>
      <c r="R5573" s="10">
        <v>4.0367977763333604E-5</v>
      </c>
      <c r="S5573" s="10">
        <v>1.2192365990399564E-4</v>
      </c>
      <c r="T5573" s="10">
        <v>0</v>
      </c>
      <c r="U5573" s="10">
        <v>7.0030000000000005E-5</v>
      </c>
      <c r="V5573" s="25"/>
      <c r="W5573" s="25"/>
      <c r="X5573" s="25"/>
      <c r="Y5573" s="25"/>
      <c r="Z5573" s="25"/>
      <c r="AA5573" s="25"/>
    </row>
    <row r="5574" spans="1:27" x14ac:dyDescent="0.35">
      <c r="A5574" s="5">
        <v>5570</v>
      </c>
      <c r="B5574" s="5">
        <v>233</v>
      </c>
      <c r="C5574" s="5">
        <v>8</v>
      </c>
      <c r="D5574" s="25">
        <v>1.1415000000000001E-4</v>
      </c>
      <c r="E5574" s="25">
        <v>1.1502000000000001E-4</v>
      </c>
      <c r="F5574" s="25">
        <v>9.0340000000000006E-5</v>
      </c>
      <c r="G5574" s="25">
        <v>6.1630000000000005E-5</v>
      </c>
      <c r="H5574" s="25">
        <v>7.0469999999999994E-5</v>
      </c>
      <c r="I5574" s="9">
        <v>9.0829999999999996E-5</v>
      </c>
      <c r="J5574" s="9">
        <v>8.878E-5</v>
      </c>
      <c r="K5574" s="9">
        <v>0</v>
      </c>
      <c r="L5574" s="9">
        <v>5.7710000000000001E-5</v>
      </c>
      <c r="M5574" s="9">
        <v>6.4129999999999998E-5</v>
      </c>
      <c r="N5574" s="9">
        <v>7.2260000000000003E-5</v>
      </c>
      <c r="O5574" s="9">
        <v>1.9130000000000001E-5</v>
      </c>
      <c r="P5574" s="9">
        <v>3.7920000000000003E-5</v>
      </c>
      <c r="Q5574" s="9">
        <v>5.6440000000000002E-5</v>
      </c>
      <c r="R5574" s="10">
        <v>4.4902731719289182E-5</v>
      </c>
      <c r="S5574" s="10">
        <v>1.2064128607580032E-4</v>
      </c>
      <c r="T5574" s="10">
        <v>0</v>
      </c>
      <c r="U5574" s="10">
        <v>7.0030000000000005E-5</v>
      </c>
      <c r="V5574" s="25"/>
      <c r="W5574" s="25"/>
      <c r="X5574" s="25"/>
      <c r="Y5574" s="25"/>
      <c r="Z5574" s="25"/>
      <c r="AA5574" s="25"/>
    </row>
    <row r="5575" spans="1:27" x14ac:dyDescent="0.35">
      <c r="A5575" s="5">
        <v>5571</v>
      </c>
      <c r="B5575" s="5">
        <v>233</v>
      </c>
      <c r="C5575" s="5">
        <v>8</v>
      </c>
      <c r="D5575" s="25">
        <v>1.1416E-4</v>
      </c>
      <c r="E5575" s="25">
        <v>1.166E-4</v>
      </c>
      <c r="F5575" s="25">
        <v>1.0108E-4</v>
      </c>
      <c r="G5575" s="25">
        <v>5.6159999999999998E-5</v>
      </c>
      <c r="H5575" s="25">
        <v>7.025E-5</v>
      </c>
      <c r="I5575" s="9">
        <v>8.9010000000000003E-5</v>
      </c>
      <c r="J5575" s="9">
        <v>8.7529999999999997E-5</v>
      </c>
      <c r="K5575" s="9">
        <v>0</v>
      </c>
      <c r="L5575" s="9">
        <v>2.783E-5</v>
      </c>
      <c r="M5575" s="9">
        <v>5.2380000000000003E-5</v>
      </c>
      <c r="N5575" s="9">
        <v>6.5720000000000001E-5</v>
      </c>
      <c r="O5575" s="9">
        <v>1.3519999999999999E-5</v>
      </c>
      <c r="P5575" s="9">
        <v>3.756E-5</v>
      </c>
      <c r="Q5575" s="9">
        <v>6.122E-5</v>
      </c>
      <c r="R5575" s="10">
        <v>4.4091658513356856E-5</v>
      </c>
      <c r="S5575" s="10">
        <v>1.2002331877114281E-4</v>
      </c>
      <c r="T5575" s="10">
        <v>0</v>
      </c>
      <c r="U5575" s="10">
        <v>7.0030000000000005E-5</v>
      </c>
      <c r="V5575" s="25"/>
      <c r="W5575" s="25"/>
      <c r="X5575" s="25"/>
      <c r="Y5575" s="25"/>
      <c r="Z5575" s="25"/>
      <c r="AA5575" s="25"/>
    </row>
    <row r="5576" spans="1:27" x14ac:dyDescent="0.35">
      <c r="A5576" s="5">
        <v>5572</v>
      </c>
      <c r="B5576" s="5">
        <v>233</v>
      </c>
      <c r="C5576" s="5">
        <v>8</v>
      </c>
      <c r="D5576" s="25">
        <v>1.1415000000000001E-4</v>
      </c>
      <c r="E5576" s="25">
        <v>1.0813E-4</v>
      </c>
      <c r="F5576" s="25">
        <v>1.0075E-4</v>
      </c>
      <c r="G5576" s="25">
        <v>6.1359999999999995E-5</v>
      </c>
      <c r="H5576" s="25">
        <v>6.3919999999999998E-5</v>
      </c>
      <c r="I5576" s="9">
        <v>8.6489999999999994E-5</v>
      </c>
      <c r="J5576" s="9">
        <v>8.6849999999999997E-5</v>
      </c>
      <c r="K5576" s="9">
        <v>2.12E-6</v>
      </c>
      <c r="L5576" s="9">
        <v>1.7399999999999999E-5</v>
      </c>
      <c r="M5576" s="9">
        <v>4.4240000000000003E-5</v>
      </c>
      <c r="N5576" s="9">
        <v>6.2020000000000006E-5</v>
      </c>
      <c r="O5576" s="9">
        <v>1.3679999999999999E-5</v>
      </c>
      <c r="P5576" s="9">
        <v>4.7509999999999997E-5</v>
      </c>
      <c r="Q5576" s="9">
        <v>8.0809999999999994E-5</v>
      </c>
      <c r="R5576" s="10">
        <v>3.8522194975714727E-5</v>
      </c>
      <c r="S5576" s="10">
        <v>1.2239813129034263E-4</v>
      </c>
      <c r="T5576" s="10">
        <v>0</v>
      </c>
      <c r="U5576" s="10">
        <v>7.0030000000000005E-5</v>
      </c>
      <c r="V5576" s="25"/>
      <c r="W5576" s="25"/>
      <c r="X5576" s="25"/>
      <c r="Y5576" s="25"/>
      <c r="Z5576" s="25"/>
      <c r="AA5576" s="25"/>
    </row>
    <row r="5577" spans="1:27" x14ac:dyDescent="0.35">
      <c r="A5577" s="5">
        <v>5573</v>
      </c>
      <c r="B5577" s="5">
        <v>233</v>
      </c>
      <c r="C5577" s="5">
        <v>8</v>
      </c>
      <c r="D5577" s="25">
        <v>1.1416E-4</v>
      </c>
      <c r="E5577" s="25">
        <v>1.1275E-4</v>
      </c>
      <c r="F5577" s="25">
        <v>8.9019999999999998E-5</v>
      </c>
      <c r="G5577" s="25">
        <v>5.3789999999999998E-5</v>
      </c>
      <c r="H5577" s="25">
        <v>7.3540000000000004E-5</v>
      </c>
      <c r="I5577" s="9">
        <v>8.7869999999999997E-5</v>
      </c>
      <c r="J5577" s="9">
        <v>8.6609999999999999E-5</v>
      </c>
      <c r="K5577" s="9">
        <v>0</v>
      </c>
      <c r="L5577" s="9">
        <v>1.4749999999999999E-5</v>
      </c>
      <c r="M5577" s="9">
        <v>4.3579999999999999E-5</v>
      </c>
      <c r="N5577" s="9">
        <v>6.4610000000000007E-5</v>
      </c>
      <c r="O5577" s="9">
        <v>1.9230000000000001E-5</v>
      </c>
      <c r="P5577" s="9">
        <v>5.719E-5</v>
      </c>
      <c r="Q5577" s="9">
        <v>9.4560000000000003E-5</v>
      </c>
      <c r="R5577" s="10">
        <v>3.0424075306990135E-5</v>
      </c>
      <c r="S5577" s="10">
        <v>1.2201514817504032E-4</v>
      </c>
      <c r="T5577" s="10">
        <v>0</v>
      </c>
      <c r="U5577" s="10">
        <v>7.0030000000000005E-5</v>
      </c>
      <c r="V5577" s="25"/>
      <c r="W5577" s="25"/>
      <c r="X5577" s="25"/>
      <c r="Y5577" s="25"/>
      <c r="Z5577" s="25"/>
      <c r="AA5577" s="25"/>
    </row>
    <row r="5578" spans="1:27" x14ac:dyDescent="0.35">
      <c r="A5578" s="5">
        <v>5574</v>
      </c>
      <c r="B5578" s="5">
        <v>233</v>
      </c>
      <c r="C5578" s="5">
        <v>8</v>
      </c>
      <c r="D5578" s="25">
        <v>1.1415000000000001E-4</v>
      </c>
      <c r="E5578" s="25">
        <v>1.1027E-4</v>
      </c>
      <c r="F5578" s="25">
        <v>9.5089999999999999E-5</v>
      </c>
      <c r="G5578" s="25">
        <v>1.1032E-4</v>
      </c>
      <c r="H5578" s="25">
        <v>1.2988E-4</v>
      </c>
      <c r="I5578" s="9">
        <v>8.9110000000000006E-5</v>
      </c>
      <c r="J5578" s="9">
        <v>8.7379999999999993E-5</v>
      </c>
      <c r="K5578" s="9">
        <v>0</v>
      </c>
      <c r="L5578" s="9">
        <v>1.8110000000000001E-5</v>
      </c>
      <c r="M5578" s="9">
        <v>4.867E-5</v>
      </c>
      <c r="N5578" s="9">
        <v>7.1320000000000002E-5</v>
      </c>
      <c r="O5578" s="9">
        <v>4.6100000000000002E-5</v>
      </c>
      <c r="P5578" s="9">
        <v>7.6459999999999996E-5</v>
      </c>
      <c r="Q5578" s="9">
        <v>1.0647E-4</v>
      </c>
      <c r="R5578" s="10">
        <v>2.6228100907938537E-5</v>
      </c>
      <c r="S5578" s="10">
        <v>1.2428636582818034E-4</v>
      </c>
      <c r="T5578" s="10">
        <v>1.0987167658434558E-5</v>
      </c>
      <c r="U5578" s="10">
        <v>7.0030000000000005E-5</v>
      </c>
      <c r="V5578" s="25"/>
      <c r="W5578" s="25"/>
      <c r="X5578" s="25"/>
      <c r="Y5578" s="25"/>
      <c r="Z5578" s="25"/>
      <c r="AA5578" s="25"/>
    </row>
    <row r="5579" spans="1:27" x14ac:dyDescent="0.35">
      <c r="A5579" s="5">
        <v>5575</v>
      </c>
      <c r="B5579" s="5">
        <v>233</v>
      </c>
      <c r="C5579" s="5">
        <v>8</v>
      </c>
      <c r="D5579" s="25">
        <v>1.1416E-4</v>
      </c>
      <c r="E5579" s="25">
        <v>1.1654000000000001E-4</v>
      </c>
      <c r="F5579" s="25">
        <v>9.0290000000000005E-5</v>
      </c>
      <c r="G5579" s="25">
        <v>1.1356E-4</v>
      </c>
      <c r="H5579" s="25">
        <v>1.3149E-4</v>
      </c>
      <c r="I5579" s="9">
        <v>9.1160000000000001E-5</v>
      </c>
      <c r="J5579" s="9">
        <v>9.0779999999999995E-5</v>
      </c>
      <c r="K5579" s="9">
        <v>0</v>
      </c>
      <c r="L5579" s="9">
        <v>3.9789999999999997E-5</v>
      </c>
      <c r="M5579" s="9">
        <v>6.0109999999999999E-5</v>
      </c>
      <c r="N5579" s="9">
        <v>8.0870000000000003E-5</v>
      </c>
      <c r="O5579" s="9">
        <v>1.2247000000000001E-4</v>
      </c>
      <c r="P5579" s="9">
        <v>1.1705E-4</v>
      </c>
      <c r="Q5579" s="9">
        <v>1.1213E-4</v>
      </c>
      <c r="R5579" s="10">
        <v>2.3039479831675438E-5</v>
      </c>
      <c r="S5579" s="10">
        <v>1.2561321382811996E-4</v>
      </c>
      <c r="T5579" s="10">
        <v>8.2357093791833401E-5</v>
      </c>
      <c r="U5579" s="10">
        <v>7.0030000000000005E-5</v>
      </c>
      <c r="V5579" s="25"/>
      <c r="W5579" s="25"/>
      <c r="X5579" s="25"/>
      <c r="Y5579" s="25"/>
      <c r="Z5579" s="25"/>
      <c r="AA5579" s="25"/>
    </row>
    <row r="5580" spans="1:27" x14ac:dyDescent="0.35">
      <c r="A5580" s="5">
        <v>5576</v>
      </c>
      <c r="B5580" s="5">
        <v>233</v>
      </c>
      <c r="C5580" s="5">
        <v>8</v>
      </c>
      <c r="D5580" s="25">
        <v>1.1415000000000001E-4</v>
      </c>
      <c r="E5580" s="25">
        <v>1.1423E-4</v>
      </c>
      <c r="F5580" s="25">
        <v>1.0709000000000001E-4</v>
      </c>
      <c r="G5580" s="25">
        <v>1.6374E-4</v>
      </c>
      <c r="H5580" s="25">
        <v>1.9495E-4</v>
      </c>
      <c r="I5580" s="9">
        <v>9.4629999999999994E-5</v>
      </c>
      <c r="J5580" s="9">
        <v>9.7319999999999997E-5</v>
      </c>
      <c r="K5580" s="9">
        <v>0</v>
      </c>
      <c r="L5580" s="9">
        <v>1.0367E-4</v>
      </c>
      <c r="M5580" s="9">
        <v>8.3540000000000003E-5</v>
      </c>
      <c r="N5580" s="9">
        <v>9.0859999999999994E-5</v>
      </c>
      <c r="O5580" s="9">
        <v>2.1672999999999999E-4</v>
      </c>
      <c r="P5580" s="9">
        <v>1.7542E-4</v>
      </c>
      <c r="Q5580" s="9">
        <v>1.3551000000000001E-4</v>
      </c>
      <c r="R5580" s="10">
        <v>2.1334224143854277E-5</v>
      </c>
      <c r="S5580" s="10">
        <v>1.2774540829911901E-4</v>
      </c>
      <c r="T5580" s="10">
        <v>2.7296536299213522E-4</v>
      </c>
      <c r="U5580" s="10">
        <v>7.0030000000000005E-5</v>
      </c>
      <c r="V5580" s="25"/>
      <c r="W5580" s="25"/>
      <c r="X5580" s="25"/>
      <c r="Y5580" s="25"/>
      <c r="Z5580" s="25"/>
      <c r="AA5580" s="25"/>
    </row>
    <row r="5581" spans="1:27" x14ac:dyDescent="0.35">
      <c r="A5581" s="5">
        <v>5577</v>
      </c>
      <c r="B5581" s="5">
        <v>233</v>
      </c>
      <c r="C5581" s="5">
        <v>8</v>
      </c>
      <c r="D5581" s="25">
        <v>1.1416E-4</v>
      </c>
      <c r="E5581" s="25">
        <v>1.0896E-4</v>
      </c>
      <c r="F5581" s="25">
        <v>1.0554E-4</v>
      </c>
      <c r="G5581" s="25">
        <v>1.6524000000000001E-4</v>
      </c>
      <c r="H5581" s="25">
        <v>1.8866999999999999E-4</v>
      </c>
      <c r="I5581" s="9">
        <v>9.7070000000000004E-5</v>
      </c>
      <c r="J5581" s="9">
        <v>1.0369000000000001E-4</v>
      </c>
      <c r="K5581" s="9">
        <v>0</v>
      </c>
      <c r="L5581" s="9">
        <v>1.9011000000000001E-4</v>
      </c>
      <c r="M5581" s="9">
        <v>1.2268000000000001E-4</v>
      </c>
      <c r="N5581" s="9">
        <v>1.0432E-4</v>
      </c>
      <c r="O5581" s="9">
        <v>2.0981999999999999E-4</v>
      </c>
      <c r="P5581" s="9">
        <v>1.9260999999999999E-4</v>
      </c>
      <c r="Q5581" s="9">
        <v>1.7639000000000001E-4</v>
      </c>
      <c r="R5581" s="10">
        <v>2.2460257675214924E-5</v>
      </c>
      <c r="S5581" s="10">
        <v>1.2988519688433356E-4</v>
      </c>
      <c r="T5581" s="10">
        <v>4.3683960494013792E-4</v>
      </c>
      <c r="U5581" s="10">
        <v>7.0030000000000005E-5</v>
      </c>
      <c r="V5581" s="25"/>
      <c r="W5581" s="25"/>
      <c r="X5581" s="25"/>
      <c r="Y5581" s="25"/>
      <c r="Z5581" s="25"/>
      <c r="AA5581" s="25"/>
    </row>
    <row r="5582" spans="1:27" x14ac:dyDescent="0.35">
      <c r="A5582" s="5">
        <v>5578</v>
      </c>
      <c r="B5582" s="5">
        <v>233</v>
      </c>
      <c r="C5582" s="5">
        <v>8</v>
      </c>
      <c r="D5582" s="25">
        <v>1.1415000000000001E-4</v>
      </c>
      <c r="E5582" s="25">
        <v>1.1582E-4</v>
      </c>
      <c r="F5582" s="25">
        <v>9.789E-5</v>
      </c>
      <c r="G5582" s="25">
        <v>1.6509000000000001E-4</v>
      </c>
      <c r="H5582" s="25">
        <v>2.009E-4</v>
      </c>
      <c r="I5582" s="9">
        <v>9.5740000000000002E-5</v>
      </c>
      <c r="J5582" s="9">
        <v>1.0561E-4</v>
      </c>
      <c r="K5582" s="9">
        <v>0</v>
      </c>
      <c r="L5582" s="9">
        <v>2.0322E-4</v>
      </c>
      <c r="M5582" s="9">
        <v>1.5778E-4</v>
      </c>
      <c r="N5582" s="9">
        <v>1.2420000000000001E-4</v>
      </c>
      <c r="O5582" s="9">
        <v>1.6708000000000001E-4</v>
      </c>
      <c r="P5582" s="9">
        <v>1.7464999999999999E-4</v>
      </c>
      <c r="Q5582" s="9">
        <v>1.8268000000000001E-4</v>
      </c>
      <c r="R5582" s="10">
        <v>1.2420088412866166E-5</v>
      </c>
      <c r="S5582" s="10">
        <v>1.258832849310291E-4</v>
      </c>
      <c r="T5582" s="10">
        <v>5.6049826796846511E-4</v>
      </c>
      <c r="U5582" s="10">
        <v>7.0030000000000005E-5</v>
      </c>
      <c r="V5582" s="25"/>
      <c r="W5582" s="25"/>
      <c r="X5582" s="25"/>
      <c r="Y5582" s="25"/>
      <c r="Z5582" s="25"/>
      <c r="AA5582" s="25"/>
    </row>
    <row r="5583" spans="1:27" x14ac:dyDescent="0.35">
      <c r="A5583" s="5">
        <v>5579</v>
      </c>
      <c r="B5583" s="5">
        <v>233</v>
      </c>
      <c r="C5583" s="5">
        <v>8</v>
      </c>
      <c r="D5583" s="25">
        <v>1.1416E-4</v>
      </c>
      <c r="E5583" s="25">
        <v>1.0713E-4</v>
      </c>
      <c r="F5583" s="25">
        <v>1.0951999999999999E-4</v>
      </c>
      <c r="G5583" s="25">
        <v>1.6140999999999999E-4</v>
      </c>
      <c r="H5583" s="25">
        <v>1.8961999999999999E-4</v>
      </c>
      <c r="I5583" s="9">
        <v>9.4359999999999998E-5</v>
      </c>
      <c r="J5583" s="9">
        <v>1.0593E-4</v>
      </c>
      <c r="K5583" s="9">
        <v>0</v>
      </c>
      <c r="L5583" s="9">
        <v>1.7508000000000001E-4</v>
      </c>
      <c r="M5583" s="9">
        <v>1.7200000000000001E-4</v>
      </c>
      <c r="N5583" s="9">
        <v>1.4240999999999999E-4</v>
      </c>
      <c r="O5583" s="9">
        <v>1.6762E-4</v>
      </c>
      <c r="P5583" s="9">
        <v>1.7385999999999999E-4</v>
      </c>
      <c r="Q5583" s="9">
        <v>1.8058000000000001E-4</v>
      </c>
      <c r="R5583" s="10">
        <v>5.7952001949087788E-6</v>
      </c>
      <c r="S5583" s="10">
        <v>1.2326633982051016E-4</v>
      </c>
      <c r="T5583" s="10">
        <v>6.0334397968668486E-4</v>
      </c>
      <c r="U5583" s="10">
        <v>7.0030000000000005E-5</v>
      </c>
      <c r="V5583" s="25"/>
      <c r="W5583" s="25"/>
      <c r="X5583" s="25"/>
      <c r="Y5583" s="25"/>
      <c r="Z5583" s="25"/>
      <c r="AA5583" s="25"/>
    </row>
    <row r="5584" spans="1:27" x14ac:dyDescent="0.35">
      <c r="A5584" s="5">
        <v>5580</v>
      </c>
      <c r="B5584" s="5">
        <v>233</v>
      </c>
      <c r="C5584" s="5">
        <v>8</v>
      </c>
      <c r="D5584" s="25">
        <v>1.1415000000000001E-4</v>
      </c>
      <c r="E5584" s="25">
        <v>1.1353000000000001E-4</v>
      </c>
      <c r="F5584" s="25">
        <v>9.8480000000000006E-5</v>
      </c>
      <c r="G5584" s="25">
        <v>1.6264E-4</v>
      </c>
      <c r="H5584" s="25">
        <v>1.9770000000000001E-4</v>
      </c>
      <c r="I5584" s="9">
        <v>9.0909999999999995E-5</v>
      </c>
      <c r="J5584" s="9">
        <v>1.0541E-4</v>
      </c>
      <c r="K5584" s="9">
        <v>0</v>
      </c>
      <c r="L5584" s="9">
        <v>1.7063000000000001E-4</v>
      </c>
      <c r="M5584" s="9">
        <v>1.7513000000000001E-4</v>
      </c>
      <c r="N5584" s="9">
        <v>1.5678E-4</v>
      </c>
      <c r="O5584" s="9">
        <v>1.7051999999999999E-4</v>
      </c>
      <c r="P5584" s="9">
        <v>1.7265999999999999E-4</v>
      </c>
      <c r="Q5584" s="9">
        <v>1.7535000000000001E-4</v>
      </c>
      <c r="R5584" s="10">
        <v>3.7985868437987781E-6</v>
      </c>
      <c r="S5584" s="10">
        <v>1.179648145893862E-4</v>
      </c>
      <c r="T5584" s="10">
        <v>5.6387501910982183E-4</v>
      </c>
      <c r="U5584" s="10">
        <v>7.0030000000000005E-5</v>
      </c>
      <c r="V5584" s="25"/>
      <c r="W5584" s="25"/>
      <c r="X5584" s="25"/>
      <c r="Y5584" s="25"/>
      <c r="Z5584" s="25"/>
      <c r="AA5584" s="25"/>
    </row>
    <row r="5585" spans="1:27" x14ac:dyDescent="0.35">
      <c r="A5585" s="5">
        <v>5581</v>
      </c>
      <c r="B5585" s="5">
        <v>233</v>
      </c>
      <c r="C5585" s="5">
        <v>8</v>
      </c>
      <c r="D5585" s="25">
        <v>1.1416E-4</v>
      </c>
      <c r="E5585" s="25">
        <v>1.1409E-4</v>
      </c>
      <c r="F5585" s="25">
        <v>1.0261E-4</v>
      </c>
      <c r="G5585" s="25">
        <v>1.6379E-4</v>
      </c>
      <c r="H5585" s="25">
        <v>1.9141000000000001E-4</v>
      </c>
      <c r="I5585" s="9">
        <v>8.5279999999999997E-5</v>
      </c>
      <c r="J5585" s="9">
        <v>1.0352E-4</v>
      </c>
      <c r="K5585" s="9">
        <v>0</v>
      </c>
      <c r="L5585" s="9">
        <v>1.707E-4</v>
      </c>
      <c r="M5585" s="9">
        <v>1.7456000000000001E-4</v>
      </c>
      <c r="N5585" s="9">
        <v>1.6656E-4</v>
      </c>
      <c r="O5585" s="9">
        <v>1.6042000000000001E-4</v>
      </c>
      <c r="P5585" s="9">
        <v>1.6330000000000001E-4</v>
      </c>
      <c r="Q5585" s="9">
        <v>1.6668999999999999E-4</v>
      </c>
      <c r="R5585" s="10">
        <v>4.969412035788281E-6</v>
      </c>
      <c r="S5585" s="10">
        <v>1.117778410375358E-4</v>
      </c>
      <c r="T5585" s="10">
        <v>4.9361653619129156E-4</v>
      </c>
      <c r="U5585" s="10">
        <v>7.0030000000000005E-5</v>
      </c>
      <c r="V5585" s="25"/>
      <c r="W5585" s="25"/>
      <c r="X5585" s="25"/>
      <c r="Y5585" s="25"/>
      <c r="Z5585" s="25"/>
      <c r="AA5585" s="25"/>
    </row>
    <row r="5586" spans="1:27" x14ac:dyDescent="0.35">
      <c r="A5586" s="5">
        <v>5582</v>
      </c>
      <c r="B5586" s="5">
        <v>233</v>
      </c>
      <c r="C5586" s="5">
        <v>8</v>
      </c>
      <c r="D5586" s="25">
        <v>1.1415000000000001E-4</v>
      </c>
      <c r="E5586" s="25">
        <v>1.0781E-4</v>
      </c>
      <c r="F5586" s="25">
        <v>9.1539999999999994E-5</v>
      </c>
      <c r="G5586" s="25">
        <v>1.5749000000000001E-4</v>
      </c>
      <c r="H5586" s="25">
        <v>1.8953000000000001E-4</v>
      </c>
      <c r="I5586" s="9">
        <v>8.2739999999999997E-5</v>
      </c>
      <c r="J5586" s="9">
        <v>1.0143E-4</v>
      </c>
      <c r="K5586" s="9">
        <v>0</v>
      </c>
      <c r="L5586" s="9">
        <v>1.6243E-4</v>
      </c>
      <c r="M5586" s="9">
        <v>1.7029999999999999E-4</v>
      </c>
      <c r="N5586" s="9">
        <v>1.7076E-4</v>
      </c>
      <c r="O5586" s="9">
        <v>1.7767999999999999E-4</v>
      </c>
      <c r="P5586" s="9">
        <v>1.6891000000000001E-4</v>
      </c>
      <c r="Q5586" s="9">
        <v>1.6087999999999999E-4</v>
      </c>
      <c r="R5586" s="10">
        <v>5.2244778602425651E-6</v>
      </c>
      <c r="S5586" s="10">
        <v>1.0422579692286271E-4</v>
      </c>
      <c r="T5586" s="10">
        <v>6.0944419091943738E-4</v>
      </c>
      <c r="U5586" s="10">
        <v>7.0030000000000005E-5</v>
      </c>
      <c r="V5586" s="25"/>
      <c r="W5586" s="25"/>
      <c r="X5586" s="25"/>
      <c r="Y5586" s="25"/>
      <c r="Z5586" s="25"/>
      <c r="AA5586" s="25"/>
    </row>
    <row r="5587" spans="1:27" x14ac:dyDescent="0.35">
      <c r="A5587" s="5">
        <v>5583</v>
      </c>
      <c r="B5587" s="5">
        <v>233</v>
      </c>
      <c r="C5587" s="5">
        <v>8</v>
      </c>
      <c r="D5587" s="25">
        <v>1.1416E-4</v>
      </c>
      <c r="E5587" s="25">
        <v>1.1615E-4</v>
      </c>
      <c r="F5587" s="25">
        <v>9.5069999999999996E-5</v>
      </c>
      <c r="G5587" s="25">
        <v>1.5971E-4</v>
      </c>
      <c r="H5587" s="25">
        <v>1.9267000000000001E-4</v>
      </c>
      <c r="I5587" s="9">
        <v>8.4120000000000001E-5</v>
      </c>
      <c r="J5587" s="9">
        <v>9.9879999999999999E-5</v>
      </c>
      <c r="K5587" s="9">
        <v>0</v>
      </c>
      <c r="L5587" s="9">
        <v>1.7453999999999999E-4</v>
      </c>
      <c r="M5587" s="9">
        <v>1.6857999999999999E-4</v>
      </c>
      <c r="N5587" s="9">
        <v>1.7029999999999999E-4</v>
      </c>
      <c r="O5587" s="9">
        <v>1.8411E-4</v>
      </c>
      <c r="P5587" s="9">
        <v>1.6843000000000001E-4</v>
      </c>
      <c r="Q5587" s="9">
        <v>1.5363E-4</v>
      </c>
      <c r="R5587" s="10">
        <v>4.956410267072172E-6</v>
      </c>
      <c r="S5587" s="10">
        <v>9.9154261693671866E-5</v>
      </c>
      <c r="T5587" s="10">
        <v>3.8975174354684695E-4</v>
      </c>
      <c r="U5587" s="10">
        <v>7.0030000000000005E-5</v>
      </c>
      <c r="V5587" s="25"/>
      <c r="W5587" s="25"/>
      <c r="X5587" s="25"/>
      <c r="Y5587" s="25"/>
      <c r="Z5587" s="25"/>
      <c r="AA5587" s="25"/>
    </row>
    <row r="5588" spans="1:27" x14ac:dyDescent="0.35">
      <c r="A5588" s="5">
        <v>5584</v>
      </c>
      <c r="B5588" s="5">
        <v>233</v>
      </c>
      <c r="C5588" s="5">
        <v>8</v>
      </c>
      <c r="D5588" s="25">
        <v>1.1415000000000001E-4</v>
      </c>
      <c r="E5588" s="25">
        <v>1.1603E-4</v>
      </c>
      <c r="F5588" s="25">
        <v>9.5279999999999996E-5</v>
      </c>
      <c r="G5588" s="25">
        <v>1.6234999999999999E-4</v>
      </c>
      <c r="H5588" s="25">
        <v>1.9291999999999999E-4</v>
      </c>
      <c r="I5588" s="9">
        <v>8.5580000000000004E-5</v>
      </c>
      <c r="J5588" s="9">
        <v>1.0090999999999999E-4</v>
      </c>
      <c r="K5588" s="9">
        <v>0</v>
      </c>
      <c r="L5588" s="9">
        <v>1.8169E-4</v>
      </c>
      <c r="M5588" s="9">
        <v>1.6818000000000001E-4</v>
      </c>
      <c r="N5588" s="9">
        <v>1.6658999999999999E-4</v>
      </c>
      <c r="O5588" s="9">
        <v>1.9459999999999999E-4</v>
      </c>
      <c r="P5588" s="9">
        <v>1.5096E-4</v>
      </c>
      <c r="Q5588" s="9">
        <v>1.0869E-4</v>
      </c>
      <c r="R5588" s="10">
        <v>5.0200500290004518E-6</v>
      </c>
      <c r="S5588" s="10">
        <v>9.6809412585602199E-5</v>
      </c>
      <c r="T5588" s="10">
        <v>3.6921973911950204E-4</v>
      </c>
      <c r="U5588" s="10">
        <v>7.0030000000000005E-5</v>
      </c>
      <c r="V5588" s="25"/>
      <c r="W5588" s="25"/>
      <c r="X5588" s="25"/>
      <c r="Y5588" s="25"/>
      <c r="Z5588" s="25"/>
      <c r="AA5588" s="25"/>
    </row>
    <row r="5589" spans="1:27" x14ac:dyDescent="0.35">
      <c r="A5589" s="5">
        <v>5585</v>
      </c>
      <c r="B5589" s="5">
        <v>233</v>
      </c>
      <c r="C5589" s="5">
        <v>8</v>
      </c>
      <c r="D5589" s="25">
        <v>1.1416E-4</v>
      </c>
      <c r="E5589" s="25">
        <v>1.1340000000000001E-4</v>
      </c>
      <c r="F5589" s="25">
        <v>1.0815999999999999E-4</v>
      </c>
      <c r="G5589" s="25">
        <v>1.6374E-4</v>
      </c>
      <c r="H5589" s="25">
        <v>1.9137000000000001E-4</v>
      </c>
      <c r="I5589" s="9">
        <v>9.221E-5</v>
      </c>
      <c r="J5589" s="9">
        <v>1.0341E-4</v>
      </c>
      <c r="K5589" s="9">
        <v>0</v>
      </c>
      <c r="L5589" s="9">
        <v>1.9149999999999999E-4</v>
      </c>
      <c r="M5589" s="9">
        <v>1.6200000000000001E-4</v>
      </c>
      <c r="N5589" s="9">
        <v>1.5253E-4</v>
      </c>
      <c r="O5589" s="9">
        <v>2.1263E-4</v>
      </c>
      <c r="P5589" s="9">
        <v>1.5899999999999999E-4</v>
      </c>
      <c r="Q5589" s="9">
        <v>1.0695E-4</v>
      </c>
      <c r="R5589" s="10">
        <v>6.7905746327818132E-6</v>
      </c>
      <c r="S5589" s="10">
        <v>9.4505011155752975E-5</v>
      </c>
      <c r="T5589" s="10">
        <v>2.7513734362577172E-4</v>
      </c>
      <c r="U5589" s="10">
        <v>7.0030000000000005E-5</v>
      </c>
      <c r="V5589" s="25"/>
      <c r="W5589" s="25"/>
      <c r="X5589" s="25"/>
      <c r="Y5589" s="25"/>
      <c r="Z5589" s="25"/>
      <c r="AA5589" s="25"/>
    </row>
    <row r="5590" spans="1:27" x14ac:dyDescent="0.35">
      <c r="A5590" s="5">
        <v>5586</v>
      </c>
      <c r="B5590" s="5">
        <v>233</v>
      </c>
      <c r="C5590" s="5">
        <v>8</v>
      </c>
      <c r="D5590" s="25">
        <v>1.1415000000000001E-4</v>
      </c>
      <c r="E5590" s="25">
        <v>1.1569999999999999E-4</v>
      </c>
      <c r="F5590" s="25">
        <v>1.0733E-4</v>
      </c>
      <c r="G5590" s="25">
        <v>1.6157000000000001E-4</v>
      </c>
      <c r="H5590" s="25">
        <v>1.9207E-4</v>
      </c>
      <c r="I5590" s="9">
        <v>9.6199999999999994E-5</v>
      </c>
      <c r="J5590" s="9">
        <v>1.044E-4</v>
      </c>
      <c r="K5590" s="9">
        <v>0</v>
      </c>
      <c r="L5590" s="9">
        <v>2.0780000000000001E-4</v>
      </c>
      <c r="M5590" s="9">
        <v>1.5919999999999999E-4</v>
      </c>
      <c r="N5590" s="9">
        <v>1.3904999999999999E-4</v>
      </c>
      <c r="O5590" s="9">
        <v>2.0477000000000001E-4</v>
      </c>
      <c r="P5590" s="9">
        <v>1.6059000000000001E-4</v>
      </c>
      <c r="Q5590" s="9">
        <v>1.1781999999999999E-4</v>
      </c>
      <c r="R5590" s="10">
        <v>1.016438911481833E-5</v>
      </c>
      <c r="S5590" s="10">
        <v>9.0615570300376516E-5</v>
      </c>
      <c r="T5590" s="10">
        <v>9.5448367689103311E-5</v>
      </c>
      <c r="U5590" s="10">
        <v>7.0030000000000005E-5</v>
      </c>
      <c r="V5590" s="25"/>
      <c r="W5590" s="25"/>
      <c r="X5590" s="25"/>
      <c r="Y5590" s="25"/>
      <c r="Z5590" s="25"/>
      <c r="AA5590" s="25"/>
    </row>
    <row r="5591" spans="1:27" x14ac:dyDescent="0.35">
      <c r="A5591" s="5">
        <v>5587</v>
      </c>
      <c r="B5591" s="5">
        <v>233</v>
      </c>
      <c r="C5591" s="5">
        <v>8</v>
      </c>
      <c r="D5591" s="25">
        <v>1.1416E-4</v>
      </c>
      <c r="E5591" s="25">
        <v>1.1048E-4</v>
      </c>
      <c r="F5591" s="25">
        <v>8.8819999999999993E-5</v>
      </c>
      <c r="G5591" s="25">
        <v>1.0407E-4</v>
      </c>
      <c r="H5591" s="25">
        <v>1.3836999999999999E-4</v>
      </c>
      <c r="I5591" s="9">
        <v>9.9329999999999999E-5</v>
      </c>
      <c r="J5591" s="9">
        <v>1.0378E-4</v>
      </c>
      <c r="K5591" s="9">
        <v>0</v>
      </c>
      <c r="L5591" s="9">
        <v>2.0503000000000001E-4</v>
      </c>
      <c r="M5591" s="9">
        <v>1.5914E-4</v>
      </c>
      <c r="N5591" s="9">
        <v>1.2998E-4</v>
      </c>
      <c r="O5591" s="9">
        <v>1.6440000000000001E-4</v>
      </c>
      <c r="P5591" s="9">
        <v>1.3543999999999999E-4</v>
      </c>
      <c r="Q5591" s="9">
        <v>1.075E-4</v>
      </c>
      <c r="R5591" s="10">
        <v>1.5098392222437573E-5</v>
      </c>
      <c r="S5591" s="10">
        <v>9.1482932572498096E-5</v>
      </c>
      <c r="T5591" s="10">
        <v>1.3422161571925462E-5</v>
      </c>
      <c r="U5591" s="10">
        <v>7.0030000000000005E-5</v>
      </c>
      <c r="V5591" s="25"/>
      <c r="W5591" s="25"/>
      <c r="X5591" s="25"/>
      <c r="Y5591" s="25"/>
      <c r="Z5591" s="25"/>
      <c r="AA5591" s="25"/>
    </row>
    <row r="5592" spans="1:27" x14ac:dyDescent="0.35">
      <c r="A5592" s="5">
        <v>5588</v>
      </c>
      <c r="B5592" s="5">
        <v>233</v>
      </c>
      <c r="C5592" s="5">
        <v>8</v>
      </c>
      <c r="D5592" s="25">
        <v>1.1415000000000001E-4</v>
      </c>
      <c r="E5592" s="25">
        <v>1.1183000000000001E-4</v>
      </c>
      <c r="F5592" s="25">
        <v>9.3739999999999994E-5</v>
      </c>
      <c r="G5592" s="25">
        <v>1.0729E-4</v>
      </c>
      <c r="H5592" s="25">
        <v>1.3839000000000001E-4</v>
      </c>
      <c r="I5592" s="9">
        <v>9.8800000000000003E-5</v>
      </c>
      <c r="J5592" s="9">
        <v>1.0328E-4</v>
      </c>
      <c r="K5592" s="9">
        <v>0</v>
      </c>
      <c r="L5592" s="9">
        <v>1.7347E-4</v>
      </c>
      <c r="M5592" s="9">
        <v>1.5077999999999999E-4</v>
      </c>
      <c r="N5592" s="9">
        <v>1.2095E-4</v>
      </c>
      <c r="O5592" s="9">
        <v>1.2786000000000001E-4</v>
      </c>
      <c r="P5592" s="9">
        <v>1.1432E-4</v>
      </c>
      <c r="Q5592" s="9">
        <v>1.0141000000000001E-4</v>
      </c>
      <c r="R5592" s="10">
        <v>2.7937684881889774E-5</v>
      </c>
      <c r="S5592" s="10">
        <v>9.7115004093891778E-5</v>
      </c>
      <c r="T5592" s="10">
        <v>0</v>
      </c>
      <c r="U5592" s="10">
        <v>7.0030000000000005E-5</v>
      </c>
      <c r="V5592" s="25"/>
      <c r="W5592" s="25"/>
      <c r="X5592" s="25"/>
      <c r="Y5592" s="25"/>
      <c r="Z5592" s="25"/>
      <c r="AA5592" s="25"/>
    </row>
    <row r="5593" spans="1:27" x14ac:dyDescent="0.35">
      <c r="A5593" s="5">
        <v>5589</v>
      </c>
      <c r="B5593" s="5">
        <v>233</v>
      </c>
      <c r="C5593" s="5">
        <v>8</v>
      </c>
      <c r="D5593" s="25">
        <v>1.1416E-4</v>
      </c>
      <c r="E5593" s="25">
        <v>1.16E-4</v>
      </c>
      <c r="F5593" s="25">
        <v>1.0637E-4</v>
      </c>
      <c r="G5593" s="25">
        <v>6.003E-5</v>
      </c>
      <c r="H5593" s="25">
        <v>7.1760000000000004E-5</v>
      </c>
      <c r="I5593" s="9">
        <v>1.0062E-4</v>
      </c>
      <c r="J5593" s="9">
        <v>1.0533E-4</v>
      </c>
      <c r="K5593" s="9">
        <v>0</v>
      </c>
      <c r="L5593" s="9">
        <v>1.3888E-4</v>
      </c>
      <c r="M5593" s="9">
        <v>1.3530000000000001E-4</v>
      </c>
      <c r="N5593" s="9">
        <v>1.1314E-4</v>
      </c>
      <c r="O5593" s="9">
        <v>8.4850000000000002E-5</v>
      </c>
      <c r="P5593" s="9">
        <v>8.6619999999999994E-5</v>
      </c>
      <c r="Q5593" s="9">
        <v>8.8629999999999997E-5</v>
      </c>
      <c r="R5593" s="10">
        <v>4.9316312919851408E-5</v>
      </c>
      <c r="S5593" s="10">
        <v>1.0730095502276606E-4</v>
      </c>
      <c r="T5593" s="10">
        <v>0</v>
      </c>
      <c r="U5593" s="10">
        <v>7.0030000000000005E-5</v>
      </c>
      <c r="V5593" s="25"/>
      <c r="W5593" s="25"/>
      <c r="X5593" s="25"/>
      <c r="Y5593" s="25"/>
      <c r="Z5593" s="25"/>
      <c r="AA5593" s="25"/>
    </row>
    <row r="5594" spans="1:27" x14ac:dyDescent="0.35">
      <c r="A5594" s="5">
        <v>5590</v>
      </c>
      <c r="B5594" s="5">
        <v>233</v>
      </c>
      <c r="C5594" s="5">
        <v>8</v>
      </c>
      <c r="D5594" s="25">
        <v>1.1415000000000001E-4</v>
      </c>
      <c r="E5594" s="25">
        <v>1.1416E-4</v>
      </c>
      <c r="F5594" s="25">
        <v>1.0809E-4</v>
      </c>
      <c r="G5594" s="25">
        <v>5.8350000000000002E-5</v>
      </c>
      <c r="H5594" s="25">
        <v>6.8830000000000003E-5</v>
      </c>
      <c r="I5594" s="9">
        <v>9.9209999999999994E-5</v>
      </c>
      <c r="J5594" s="9">
        <v>1.0197E-4</v>
      </c>
      <c r="K5594" s="9">
        <v>0</v>
      </c>
      <c r="L5594" s="9">
        <v>9.768E-5</v>
      </c>
      <c r="M5594" s="9">
        <v>1.1377E-4</v>
      </c>
      <c r="N5594" s="9">
        <v>1.0564E-4</v>
      </c>
      <c r="O5594" s="9">
        <v>8.7299999999999994E-5</v>
      </c>
      <c r="P5594" s="9">
        <v>8.7680000000000001E-5</v>
      </c>
      <c r="Q5594" s="9">
        <v>8.8330000000000003E-5</v>
      </c>
      <c r="R5594" s="10">
        <v>7.6463266364274241E-5</v>
      </c>
      <c r="S5594" s="10">
        <v>1.1964017825476242E-4</v>
      </c>
      <c r="T5594" s="10">
        <v>0</v>
      </c>
      <c r="U5594" s="10">
        <v>7.0030000000000005E-5</v>
      </c>
      <c r="V5594" s="25"/>
      <c r="W5594" s="25"/>
      <c r="X5594" s="25"/>
      <c r="Y5594" s="25"/>
      <c r="Z5594" s="25"/>
      <c r="AA5594" s="25"/>
    </row>
    <row r="5595" spans="1:27" x14ac:dyDescent="0.35">
      <c r="A5595" s="5">
        <v>5591</v>
      </c>
      <c r="B5595" s="5">
        <v>233</v>
      </c>
      <c r="C5595" s="5">
        <v>8</v>
      </c>
      <c r="D5595" s="25">
        <v>1.1416E-4</v>
      </c>
      <c r="E5595" s="25">
        <v>1.1449E-4</v>
      </c>
      <c r="F5595" s="25">
        <v>9.2470000000000001E-5</v>
      </c>
      <c r="G5595" s="25">
        <v>5.6740000000000002E-5</v>
      </c>
      <c r="H5595" s="25">
        <v>6.3910000000000003E-5</v>
      </c>
      <c r="I5595" s="9">
        <v>9.5710000000000004E-5</v>
      </c>
      <c r="J5595" s="9">
        <v>9.7159999999999998E-5</v>
      </c>
      <c r="K5595" s="9">
        <v>6.3600000000000001E-6</v>
      </c>
      <c r="L5595" s="9">
        <v>9.0500000000000004E-5</v>
      </c>
      <c r="M5595" s="9">
        <v>9.9110000000000005E-5</v>
      </c>
      <c r="N5595" s="9">
        <v>9.9870000000000004E-5</v>
      </c>
      <c r="O5595" s="9">
        <v>7.784E-5</v>
      </c>
      <c r="P5595" s="9">
        <v>7.2249999999999994E-5</v>
      </c>
      <c r="Q5595" s="9">
        <v>6.7000000000000002E-5</v>
      </c>
      <c r="R5595" s="10">
        <v>1.0491444084878518E-4</v>
      </c>
      <c r="S5595" s="10">
        <v>1.3533794391248582E-4</v>
      </c>
      <c r="T5595" s="10">
        <v>0</v>
      </c>
      <c r="U5595" s="10">
        <v>7.0030000000000005E-5</v>
      </c>
      <c r="V5595" s="25"/>
      <c r="W5595" s="25"/>
      <c r="X5595" s="25"/>
      <c r="Y5595" s="25"/>
      <c r="Z5595" s="25"/>
      <c r="AA5595" s="25"/>
    </row>
    <row r="5596" spans="1:27" x14ac:dyDescent="0.35">
      <c r="A5596" s="5">
        <v>5592</v>
      </c>
      <c r="B5596" s="5">
        <v>233</v>
      </c>
      <c r="C5596" s="5">
        <v>8</v>
      </c>
      <c r="D5596" s="25">
        <v>1.1415000000000001E-4</v>
      </c>
      <c r="E5596" s="25">
        <v>1.0984000000000001E-4</v>
      </c>
      <c r="F5596" s="25">
        <v>9.8880000000000002E-5</v>
      </c>
      <c r="G5596" s="25">
        <v>6.2570000000000006E-5</v>
      </c>
      <c r="H5596" s="25">
        <v>6.991E-5</v>
      </c>
      <c r="I5596" s="9">
        <v>9.0760000000000005E-5</v>
      </c>
      <c r="J5596" s="9">
        <v>9.1689999999999998E-5</v>
      </c>
      <c r="K5596" s="9">
        <v>1.484E-5</v>
      </c>
      <c r="L5596" s="9">
        <v>8.0610000000000002E-5</v>
      </c>
      <c r="M5596" s="9">
        <v>8.6219999999999998E-5</v>
      </c>
      <c r="N5596" s="9">
        <v>9.0619999999999996E-5</v>
      </c>
      <c r="O5596" s="9">
        <v>6.2119999999999995E-5</v>
      </c>
      <c r="P5596" s="9">
        <v>6.0109999999999999E-5</v>
      </c>
      <c r="Q5596" s="9">
        <v>5.8310000000000002E-5</v>
      </c>
      <c r="R5596" s="10">
        <v>1.2961103812774864E-4</v>
      </c>
      <c r="S5596" s="10">
        <v>1.4563330957648326E-4</v>
      </c>
      <c r="T5596" s="10">
        <v>0</v>
      </c>
      <c r="U5596" s="10">
        <v>7.0030000000000005E-5</v>
      </c>
      <c r="V5596" s="25"/>
      <c r="W5596" s="25"/>
      <c r="X5596" s="25"/>
      <c r="Y5596" s="25"/>
      <c r="Z5596" s="25"/>
      <c r="AA5596" s="25"/>
    </row>
    <row r="5597" spans="1:27" x14ac:dyDescent="0.35">
      <c r="A5597" s="5">
        <v>5593</v>
      </c>
      <c r="B5597" s="5">
        <v>234</v>
      </c>
      <c r="C5597" s="5">
        <v>8</v>
      </c>
      <c r="D5597" s="25">
        <v>1.1416E-4</v>
      </c>
      <c r="E5597" s="25">
        <v>1.2307E-4</v>
      </c>
      <c r="F5597" s="25">
        <v>1.1696000000000001E-4</v>
      </c>
      <c r="G5597" s="25">
        <v>6.2920000000000001E-5</v>
      </c>
      <c r="H5597" s="25">
        <v>6.3759999999999999E-5</v>
      </c>
      <c r="I5597" s="9">
        <v>8.7059999999999997E-5</v>
      </c>
      <c r="J5597" s="9">
        <v>8.7289999999999999E-5</v>
      </c>
      <c r="K5597" s="9">
        <v>3.18E-5</v>
      </c>
      <c r="L5597" s="9">
        <v>6.6190000000000002E-5</v>
      </c>
      <c r="M5597" s="9">
        <v>7.3860000000000001E-5</v>
      </c>
      <c r="N5597" s="9">
        <v>8.1080000000000003E-5</v>
      </c>
      <c r="O5597" s="9">
        <v>5.4610000000000001E-5</v>
      </c>
      <c r="P5597" s="9">
        <v>5.4030000000000003E-5</v>
      </c>
      <c r="Q5597" s="9">
        <v>5.3600000000000002E-5</v>
      </c>
      <c r="R5597" s="10">
        <v>1.3814052841082253E-4</v>
      </c>
      <c r="S5597" s="10">
        <v>1.5488135938655415E-4</v>
      </c>
      <c r="T5597" s="10">
        <v>0</v>
      </c>
      <c r="U5597" s="10">
        <v>6.9510000000000004E-5</v>
      </c>
      <c r="V5597" s="25"/>
      <c r="W5597" s="25"/>
      <c r="X5597" s="25"/>
      <c r="Y5597" s="25"/>
      <c r="Z5597" s="25"/>
      <c r="AA5597" s="25"/>
    </row>
    <row r="5598" spans="1:27" x14ac:dyDescent="0.35">
      <c r="A5598" s="5">
        <v>5594</v>
      </c>
      <c r="B5598" s="5">
        <v>234</v>
      </c>
      <c r="C5598" s="5">
        <v>8</v>
      </c>
      <c r="D5598" s="25">
        <v>1.1415000000000001E-4</v>
      </c>
      <c r="E5598" s="25">
        <v>1.182E-4</v>
      </c>
      <c r="F5598" s="25">
        <v>1.1709000000000001E-4</v>
      </c>
      <c r="G5598" s="25">
        <v>5.5930000000000002E-5</v>
      </c>
      <c r="H5598" s="25">
        <v>6.4989999999999999E-5</v>
      </c>
      <c r="I5598" s="9">
        <v>8.3109999999999995E-5</v>
      </c>
      <c r="J5598" s="9">
        <v>8.4809999999999996E-5</v>
      </c>
      <c r="K5598" s="9">
        <v>2.12E-5</v>
      </c>
      <c r="L5598" s="9">
        <v>5.7550000000000003E-5</v>
      </c>
      <c r="M5598" s="9">
        <v>6.3769999999999994E-5</v>
      </c>
      <c r="N5598" s="9">
        <v>7.2020000000000005E-5</v>
      </c>
      <c r="O5598" s="9">
        <v>1.9150000000000001E-5</v>
      </c>
      <c r="P5598" s="9">
        <v>3.7960000000000002E-5</v>
      </c>
      <c r="Q5598" s="9">
        <v>5.6490000000000003E-5</v>
      </c>
      <c r="R5598" s="10">
        <v>1.3471707699307646E-4</v>
      </c>
      <c r="S5598" s="10">
        <v>1.6481433091306764E-4</v>
      </c>
      <c r="T5598" s="10">
        <v>0</v>
      </c>
      <c r="U5598" s="10">
        <v>6.9510000000000004E-5</v>
      </c>
      <c r="V5598" s="25"/>
      <c r="W5598" s="25"/>
      <c r="X5598" s="25"/>
      <c r="Y5598" s="25"/>
      <c r="Z5598" s="25"/>
      <c r="AA5598" s="25"/>
    </row>
    <row r="5599" spans="1:27" x14ac:dyDescent="0.35">
      <c r="A5599" s="5">
        <v>5595</v>
      </c>
      <c r="B5599" s="5">
        <v>234</v>
      </c>
      <c r="C5599" s="5">
        <v>8</v>
      </c>
      <c r="D5599" s="25">
        <v>1.1416E-4</v>
      </c>
      <c r="E5599" s="25">
        <v>1.1824000000000001E-4</v>
      </c>
      <c r="F5599" s="25">
        <v>1.0823E-4</v>
      </c>
      <c r="G5599" s="25">
        <v>5.3140000000000003E-5</v>
      </c>
      <c r="H5599" s="25">
        <v>7.3800000000000005E-5</v>
      </c>
      <c r="I5599" s="9">
        <v>8.2150000000000005E-5</v>
      </c>
      <c r="J5599" s="9">
        <v>8.3540000000000003E-5</v>
      </c>
      <c r="K5599" s="9">
        <v>2.1189999999999999E-5</v>
      </c>
      <c r="L5599" s="9">
        <v>2.779E-5</v>
      </c>
      <c r="M5599" s="9">
        <v>5.219E-5</v>
      </c>
      <c r="N5599" s="9">
        <v>6.5519999999999996E-5</v>
      </c>
      <c r="O5599" s="9">
        <v>1.349E-5</v>
      </c>
      <c r="P5599" s="9">
        <v>3.748E-5</v>
      </c>
      <c r="Q5599" s="9">
        <v>6.109E-5</v>
      </c>
      <c r="R5599" s="10">
        <v>1.1623273496648209E-4</v>
      </c>
      <c r="S5599" s="10">
        <v>1.6749409457597492E-4</v>
      </c>
      <c r="T5599" s="10">
        <v>0</v>
      </c>
      <c r="U5599" s="10">
        <v>6.9510000000000004E-5</v>
      </c>
      <c r="V5599" s="25"/>
      <c r="W5599" s="25"/>
      <c r="X5599" s="25"/>
      <c r="Y5599" s="25"/>
      <c r="Z5599" s="25"/>
      <c r="AA5599" s="25"/>
    </row>
    <row r="5600" spans="1:27" x14ac:dyDescent="0.35">
      <c r="A5600" s="5">
        <v>5596</v>
      </c>
      <c r="B5600" s="5">
        <v>234</v>
      </c>
      <c r="C5600" s="5">
        <v>8</v>
      </c>
      <c r="D5600" s="25">
        <v>1.1415000000000001E-4</v>
      </c>
      <c r="E5600" s="25">
        <v>1.1757E-4</v>
      </c>
      <c r="F5600" s="25">
        <v>1.0497000000000001E-4</v>
      </c>
      <c r="G5600" s="25">
        <v>5.5590000000000001E-5</v>
      </c>
      <c r="H5600" s="25">
        <v>7.2290000000000001E-5</v>
      </c>
      <c r="I5600" s="9">
        <v>8.1240000000000001E-5</v>
      </c>
      <c r="J5600" s="9">
        <v>8.2949999999999997E-5</v>
      </c>
      <c r="K5600" s="9">
        <v>1.908E-5</v>
      </c>
      <c r="L5600" s="9">
        <v>1.7370000000000001E-5</v>
      </c>
      <c r="M5600" s="9">
        <v>4.4140000000000001E-5</v>
      </c>
      <c r="N5600" s="9">
        <v>6.1829999999999996E-5</v>
      </c>
      <c r="O5600" s="9">
        <v>1.366E-5</v>
      </c>
      <c r="P5600" s="9">
        <v>4.7460000000000003E-5</v>
      </c>
      <c r="Q5600" s="9">
        <v>8.0710000000000005E-5</v>
      </c>
      <c r="R5600" s="10">
        <v>9.8973795325017097E-5</v>
      </c>
      <c r="S5600" s="10">
        <v>1.6541713101641091E-4</v>
      </c>
      <c r="T5600" s="10">
        <v>0</v>
      </c>
      <c r="U5600" s="10">
        <v>6.9510000000000004E-5</v>
      </c>
      <c r="V5600" s="25"/>
      <c r="W5600" s="25"/>
      <c r="X5600" s="25"/>
      <c r="Y5600" s="25"/>
      <c r="Z5600" s="25"/>
      <c r="AA5600" s="25"/>
    </row>
    <row r="5601" spans="1:27" x14ac:dyDescent="0.35">
      <c r="A5601" s="5">
        <v>5597</v>
      </c>
      <c r="B5601" s="5">
        <v>234</v>
      </c>
      <c r="C5601" s="5">
        <v>8</v>
      </c>
      <c r="D5601" s="25">
        <v>1.1416E-4</v>
      </c>
      <c r="E5601" s="25">
        <v>1.1679E-4</v>
      </c>
      <c r="F5601" s="25">
        <v>1.1156E-4</v>
      </c>
      <c r="G5601" s="25">
        <v>5.2790000000000001E-5</v>
      </c>
      <c r="H5601" s="25">
        <v>6.8930000000000006E-5</v>
      </c>
      <c r="I5601" s="9">
        <v>8.1699999999999994E-5</v>
      </c>
      <c r="J5601" s="9">
        <v>8.2919999999999999E-5</v>
      </c>
      <c r="K5601" s="9">
        <v>1.272E-5</v>
      </c>
      <c r="L5601" s="9">
        <v>1.473E-5</v>
      </c>
      <c r="M5601" s="9">
        <v>4.3510000000000002E-5</v>
      </c>
      <c r="N5601" s="9">
        <v>6.4449999999999994E-5</v>
      </c>
      <c r="O5601" s="9">
        <v>1.893E-5</v>
      </c>
      <c r="P5601" s="9">
        <v>5.6289999999999998E-5</v>
      </c>
      <c r="Q5601" s="9">
        <v>9.3090000000000005E-5</v>
      </c>
      <c r="R5601" s="10">
        <v>8.8863309589562705E-5</v>
      </c>
      <c r="S5601" s="10">
        <v>1.5745361279462049E-4</v>
      </c>
      <c r="T5601" s="10">
        <v>0</v>
      </c>
      <c r="U5601" s="10">
        <v>6.9510000000000004E-5</v>
      </c>
      <c r="V5601" s="25"/>
      <c r="W5601" s="25"/>
      <c r="X5601" s="25"/>
      <c r="Y5601" s="25"/>
      <c r="Z5601" s="25"/>
      <c r="AA5601" s="25"/>
    </row>
    <row r="5602" spans="1:27" x14ac:dyDescent="0.35">
      <c r="A5602" s="5">
        <v>5598</v>
      </c>
      <c r="B5602" s="5">
        <v>234</v>
      </c>
      <c r="C5602" s="5">
        <v>8</v>
      </c>
      <c r="D5602" s="25">
        <v>1.1415000000000001E-4</v>
      </c>
      <c r="E5602" s="25">
        <v>1.2291E-4</v>
      </c>
      <c r="F5602" s="25">
        <v>1.0712E-4</v>
      </c>
      <c r="G5602" s="25">
        <v>1.0813E-4</v>
      </c>
      <c r="H5602" s="25">
        <v>1.3177999999999999E-4</v>
      </c>
      <c r="I5602" s="9">
        <v>8.318E-5</v>
      </c>
      <c r="J5602" s="9">
        <v>8.2399999999999997E-5</v>
      </c>
      <c r="K5602" s="9">
        <v>8.4800000000000001E-6</v>
      </c>
      <c r="L5602" s="9">
        <v>1.787E-5</v>
      </c>
      <c r="M5602" s="9">
        <v>4.8310000000000003E-5</v>
      </c>
      <c r="N5602" s="9">
        <v>7.0900000000000002E-5</v>
      </c>
      <c r="O5602" s="9">
        <v>4.651E-5</v>
      </c>
      <c r="P5602" s="9">
        <v>7.7150000000000005E-5</v>
      </c>
      <c r="Q5602" s="9">
        <v>1.0743000000000001E-4</v>
      </c>
      <c r="R5602" s="10">
        <v>8.8842620854554007E-5</v>
      </c>
      <c r="S5602" s="10">
        <v>1.4606710150417092E-4</v>
      </c>
      <c r="T5602" s="10">
        <v>1.0282970812372729E-5</v>
      </c>
      <c r="U5602" s="10">
        <v>6.9510000000000004E-5</v>
      </c>
      <c r="V5602" s="25"/>
      <c r="W5602" s="25"/>
      <c r="X5602" s="25"/>
      <c r="Y5602" s="25"/>
      <c r="Z5602" s="25"/>
      <c r="AA5602" s="25"/>
    </row>
    <row r="5603" spans="1:27" x14ac:dyDescent="0.35">
      <c r="A5603" s="5">
        <v>5599</v>
      </c>
      <c r="B5603" s="5">
        <v>234</v>
      </c>
      <c r="C5603" s="5">
        <v>8</v>
      </c>
      <c r="D5603" s="25">
        <v>1.1416E-4</v>
      </c>
      <c r="E5603" s="25">
        <v>1.1743000000000001E-4</v>
      </c>
      <c r="F5603" s="25">
        <v>1.0825E-4</v>
      </c>
      <c r="G5603" s="25">
        <v>1.1218999999999999E-4</v>
      </c>
      <c r="H5603" s="25">
        <v>1.3341000000000001E-4</v>
      </c>
      <c r="I5603" s="9">
        <v>8.4709999999999994E-5</v>
      </c>
      <c r="J5603" s="9">
        <v>8.3889999999999998E-5</v>
      </c>
      <c r="K5603" s="9">
        <v>0</v>
      </c>
      <c r="L5603" s="9">
        <v>4.0070000000000001E-5</v>
      </c>
      <c r="M5603" s="9">
        <v>6.0050000000000003E-5</v>
      </c>
      <c r="N5603" s="9">
        <v>8.0710000000000005E-5</v>
      </c>
      <c r="O5603" s="9">
        <v>1.2368000000000001E-4</v>
      </c>
      <c r="P5603" s="9">
        <v>1.1820999999999999E-4</v>
      </c>
      <c r="Q5603" s="9">
        <v>1.1323999999999999E-4</v>
      </c>
      <c r="R5603" s="10">
        <v>9.1583354541173011E-5</v>
      </c>
      <c r="S5603" s="10">
        <v>1.3418868592203855E-4</v>
      </c>
      <c r="T5603" s="10">
        <v>9.5227775905999608E-5</v>
      </c>
      <c r="U5603" s="10">
        <v>6.9510000000000004E-5</v>
      </c>
      <c r="V5603" s="25"/>
      <c r="W5603" s="25"/>
      <c r="X5603" s="25"/>
      <c r="Y5603" s="25"/>
      <c r="Z5603" s="25"/>
      <c r="AA5603" s="25"/>
    </row>
    <row r="5604" spans="1:27" x14ac:dyDescent="0.35">
      <c r="A5604" s="5">
        <v>5600</v>
      </c>
      <c r="B5604" s="5">
        <v>234</v>
      </c>
      <c r="C5604" s="5">
        <v>8</v>
      </c>
      <c r="D5604" s="25">
        <v>1.1415000000000001E-4</v>
      </c>
      <c r="E5604" s="25">
        <v>1.1747999999999999E-4</v>
      </c>
      <c r="F5604" s="25">
        <v>1.2423999999999999E-4</v>
      </c>
      <c r="G5604" s="25">
        <v>1.6122E-4</v>
      </c>
      <c r="H5604" s="25">
        <v>1.9535E-4</v>
      </c>
      <c r="I5604" s="9">
        <v>8.7460000000000006E-5</v>
      </c>
      <c r="J5604" s="9">
        <v>8.8560000000000006E-5</v>
      </c>
      <c r="K5604" s="9">
        <v>0</v>
      </c>
      <c r="L5604" s="9">
        <v>1.0467E-4</v>
      </c>
      <c r="M5604" s="9">
        <v>8.4010000000000004E-5</v>
      </c>
      <c r="N5604" s="9">
        <v>9.0989999999999994E-5</v>
      </c>
      <c r="O5604" s="9">
        <v>2.2028E-4</v>
      </c>
      <c r="P5604" s="9">
        <v>1.7829E-4</v>
      </c>
      <c r="Q5604" s="9">
        <v>1.3773E-4</v>
      </c>
      <c r="R5604" s="10">
        <v>8.6988848828126319E-5</v>
      </c>
      <c r="S5604" s="10">
        <v>1.2491523590994199E-4</v>
      </c>
      <c r="T5604" s="10">
        <v>2.793879776001931E-4</v>
      </c>
      <c r="U5604" s="10">
        <v>6.9510000000000004E-5</v>
      </c>
      <c r="V5604" s="25"/>
      <c r="W5604" s="25"/>
      <c r="X5604" s="25"/>
      <c r="Y5604" s="25"/>
      <c r="Z5604" s="25"/>
      <c r="AA5604" s="25"/>
    </row>
    <row r="5605" spans="1:27" x14ac:dyDescent="0.35">
      <c r="A5605" s="5">
        <v>5601</v>
      </c>
      <c r="B5605" s="5">
        <v>234</v>
      </c>
      <c r="C5605" s="5">
        <v>8</v>
      </c>
      <c r="D5605" s="25">
        <v>1.1416E-4</v>
      </c>
      <c r="E5605" s="25">
        <v>1.2365E-4</v>
      </c>
      <c r="F5605" s="25">
        <v>1.0932E-4</v>
      </c>
      <c r="G5605" s="25">
        <v>1.596E-4</v>
      </c>
      <c r="H5605" s="25">
        <v>1.9773999999999999E-4</v>
      </c>
      <c r="I5605" s="9">
        <v>9.1500000000000001E-5</v>
      </c>
      <c r="J5605" s="9">
        <v>9.4480000000000003E-5</v>
      </c>
      <c r="K5605" s="9">
        <v>0</v>
      </c>
      <c r="L5605" s="9">
        <v>1.9306999999999999E-4</v>
      </c>
      <c r="M5605" s="9">
        <v>1.2416E-4</v>
      </c>
      <c r="N5605" s="9">
        <v>1.0497000000000001E-4</v>
      </c>
      <c r="O5605" s="9">
        <v>2.1022E-4</v>
      </c>
      <c r="P5605" s="9">
        <v>1.9296999999999999E-4</v>
      </c>
      <c r="Q5605" s="9">
        <v>1.7673E-4</v>
      </c>
      <c r="R5605" s="10">
        <v>7.5810401000867244E-5</v>
      </c>
      <c r="S5605" s="10">
        <v>1.2570534161446319E-4</v>
      </c>
      <c r="T5605" s="10">
        <v>4.3193567991575552E-4</v>
      </c>
      <c r="U5605" s="10">
        <v>6.9510000000000004E-5</v>
      </c>
      <c r="V5605" s="25"/>
      <c r="W5605" s="25"/>
      <c r="X5605" s="25"/>
      <c r="Y5605" s="25"/>
      <c r="Z5605" s="25"/>
      <c r="AA5605" s="25"/>
    </row>
    <row r="5606" spans="1:27" x14ac:dyDescent="0.35">
      <c r="A5606" s="5">
        <v>5602</v>
      </c>
      <c r="B5606" s="5">
        <v>234</v>
      </c>
      <c r="C5606" s="5">
        <v>8</v>
      </c>
      <c r="D5606" s="25">
        <v>1.1415000000000001E-4</v>
      </c>
      <c r="E5606" s="25">
        <v>1.2332000000000001E-4</v>
      </c>
      <c r="F5606" s="25">
        <v>1.2376999999999999E-4</v>
      </c>
      <c r="G5606" s="25">
        <v>1.6535000000000001E-4</v>
      </c>
      <c r="H5606" s="25">
        <v>1.8976999999999999E-4</v>
      </c>
      <c r="I5606" s="9">
        <v>9.3410000000000002E-5</v>
      </c>
      <c r="J5606" s="9">
        <v>9.8610000000000006E-5</v>
      </c>
      <c r="K5606" s="9">
        <v>0</v>
      </c>
      <c r="L5606" s="9">
        <v>2.0413000000000001E-4</v>
      </c>
      <c r="M5606" s="9">
        <v>1.5909999999999999E-4</v>
      </c>
      <c r="N5606" s="9">
        <v>1.2491999999999999E-4</v>
      </c>
      <c r="O5606" s="9">
        <v>1.6615E-4</v>
      </c>
      <c r="P5606" s="9">
        <v>1.7368E-4</v>
      </c>
      <c r="Q5606" s="9">
        <v>1.8166999999999999E-4</v>
      </c>
      <c r="R5606" s="10">
        <v>4.1522724130406408E-5</v>
      </c>
      <c r="S5606" s="10">
        <v>1.292293036662585E-4</v>
      </c>
      <c r="T5606" s="10">
        <v>5.6214422204239282E-4</v>
      </c>
      <c r="U5606" s="10">
        <v>6.9510000000000004E-5</v>
      </c>
      <c r="V5606" s="25"/>
      <c r="W5606" s="25"/>
      <c r="X5606" s="25"/>
      <c r="Y5606" s="25"/>
      <c r="Z5606" s="25"/>
      <c r="AA5606" s="25"/>
    </row>
    <row r="5607" spans="1:27" x14ac:dyDescent="0.35">
      <c r="A5607" s="5">
        <v>5603</v>
      </c>
      <c r="B5607" s="5">
        <v>234</v>
      </c>
      <c r="C5607" s="5">
        <v>8</v>
      </c>
      <c r="D5607" s="25">
        <v>1.1416E-4</v>
      </c>
      <c r="E5607" s="25">
        <v>1.2105E-4</v>
      </c>
      <c r="F5607" s="25">
        <v>1.2178E-4</v>
      </c>
      <c r="G5607" s="25">
        <v>1.6527999999999999E-4</v>
      </c>
      <c r="H5607" s="25">
        <v>1.9504E-4</v>
      </c>
      <c r="I5607" s="9">
        <v>9.4989999999999997E-5</v>
      </c>
      <c r="J5607" s="9">
        <v>1.0090999999999999E-4</v>
      </c>
      <c r="K5607" s="9">
        <v>0</v>
      </c>
      <c r="L5607" s="9">
        <v>1.7461000000000001E-4</v>
      </c>
      <c r="M5607" s="9">
        <v>1.7242000000000001E-4</v>
      </c>
      <c r="N5607" s="9">
        <v>1.4287999999999999E-4</v>
      </c>
      <c r="O5607" s="9">
        <v>1.6648999999999999E-4</v>
      </c>
      <c r="P5607" s="9">
        <v>1.727E-4</v>
      </c>
      <c r="Q5607" s="9">
        <v>1.7937000000000001E-4</v>
      </c>
      <c r="R5607" s="10">
        <v>2.9322386603489769E-5</v>
      </c>
      <c r="S5607" s="10">
        <v>1.3586667714802979E-4</v>
      </c>
      <c r="T5607" s="10">
        <v>6.4142151517012443E-4</v>
      </c>
      <c r="U5607" s="10">
        <v>6.9510000000000004E-5</v>
      </c>
      <c r="V5607" s="25"/>
      <c r="W5607" s="25"/>
      <c r="X5607" s="25"/>
      <c r="Y5607" s="25"/>
      <c r="Z5607" s="25"/>
      <c r="AA5607" s="25"/>
    </row>
    <row r="5608" spans="1:27" x14ac:dyDescent="0.35">
      <c r="A5608" s="5">
        <v>5604</v>
      </c>
      <c r="B5608" s="5">
        <v>234</v>
      </c>
      <c r="C5608" s="5">
        <v>8</v>
      </c>
      <c r="D5608" s="25">
        <v>1.1415000000000001E-4</v>
      </c>
      <c r="E5608" s="25">
        <v>1.1900000000000001E-4</v>
      </c>
      <c r="F5608" s="25">
        <v>1.0417E-4</v>
      </c>
      <c r="G5608" s="25">
        <v>1.6670000000000001E-4</v>
      </c>
      <c r="H5608" s="25">
        <v>1.9815999999999999E-4</v>
      </c>
      <c r="I5608" s="9">
        <v>9.4019999999999998E-5</v>
      </c>
      <c r="J5608" s="9">
        <v>1.0231E-4</v>
      </c>
      <c r="K5608" s="9">
        <v>0</v>
      </c>
      <c r="L5608" s="9">
        <v>1.697E-4</v>
      </c>
      <c r="M5608" s="9">
        <v>1.7473E-4</v>
      </c>
      <c r="N5608" s="9">
        <v>1.5686000000000001E-4</v>
      </c>
      <c r="O5608" s="9">
        <v>1.6865000000000001E-4</v>
      </c>
      <c r="P5608" s="9">
        <v>1.7076999999999999E-4</v>
      </c>
      <c r="Q5608" s="9">
        <v>1.7343E-4</v>
      </c>
      <c r="R5608" s="10">
        <v>3.0789403953675651E-5</v>
      </c>
      <c r="S5608" s="10">
        <v>1.2804550644629365E-4</v>
      </c>
      <c r="T5608" s="10">
        <v>6.8067836826323381E-4</v>
      </c>
      <c r="U5608" s="10">
        <v>6.9510000000000004E-5</v>
      </c>
      <c r="V5608" s="25"/>
      <c r="W5608" s="25"/>
      <c r="X5608" s="25"/>
      <c r="Y5608" s="25"/>
      <c r="Z5608" s="25"/>
      <c r="AA5608" s="25"/>
    </row>
    <row r="5609" spans="1:27" x14ac:dyDescent="0.35">
      <c r="A5609" s="5">
        <v>5605</v>
      </c>
      <c r="B5609" s="5">
        <v>234</v>
      </c>
      <c r="C5609" s="5">
        <v>8</v>
      </c>
      <c r="D5609" s="25">
        <v>1.1416E-4</v>
      </c>
      <c r="E5609" s="25">
        <v>1.2348E-4</v>
      </c>
      <c r="F5609" s="25">
        <v>1.1249E-4</v>
      </c>
      <c r="G5609" s="25">
        <v>1.6475999999999999E-4</v>
      </c>
      <c r="H5609" s="25">
        <v>1.8989000000000001E-4</v>
      </c>
      <c r="I5609" s="9">
        <v>8.9220000000000003E-5</v>
      </c>
      <c r="J5609" s="9">
        <v>1.0119999999999999E-4</v>
      </c>
      <c r="K5609" s="9">
        <v>0</v>
      </c>
      <c r="L5609" s="9">
        <v>1.6903E-4</v>
      </c>
      <c r="M5609" s="9">
        <v>1.7343E-4</v>
      </c>
      <c r="N5609" s="9">
        <v>1.6609E-4</v>
      </c>
      <c r="O5609" s="9">
        <v>1.6050999999999999E-4</v>
      </c>
      <c r="P5609" s="9">
        <v>1.6339999999999999E-4</v>
      </c>
      <c r="Q5609" s="9">
        <v>1.6678E-4</v>
      </c>
      <c r="R5609" s="10">
        <v>4.3305063979164109E-5</v>
      </c>
      <c r="S5609" s="10">
        <v>1.3866145730440489E-4</v>
      </c>
      <c r="T5609" s="10">
        <v>6.9148736563531539E-4</v>
      </c>
      <c r="U5609" s="10">
        <v>6.9510000000000004E-5</v>
      </c>
      <c r="V5609" s="25"/>
      <c r="W5609" s="25"/>
      <c r="X5609" s="25"/>
      <c r="Y5609" s="25"/>
      <c r="Z5609" s="25"/>
      <c r="AA5609" s="25"/>
    </row>
    <row r="5610" spans="1:27" x14ac:dyDescent="0.35">
      <c r="A5610" s="5">
        <v>5606</v>
      </c>
      <c r="B5610" s="5">
        <v>234</v>
      </c>
      <c r="C5610" s="5">
        <v>8</v>
      </c>
      <c r="D5610" s="25">
        <v>1.1415000000000001E-4</v>
      </c>
      <c r="E5610" s="25">
        <v>1.1423E-4</v>
      </c>
      <c r="F5610" s="25">
        <v>1.1991E-4</v>
      </c>
      <c r="G5610" s="25">
        <v>1.5669999999999999E-4</v>
      </c>
      <c r="H5610" s="25">
        <v>1.9184000000000001E-4</v>
      </c>
      <c r="I5610" s="9">
        <v>8.6550000000000003E-5</v>
      </c>
      <c r="J5610" s="9">
        <v>9.9320000000000005E-5</v>
      </c>
      <c r="K5610" s="9">
        <v>0</v>
      </c>
      <c r="L5610" s="9">
        <v>1.6215000000000001E-4</v>
      </c>
      <c r="M5610" s="9">
        <v>1.6945999999999999E-4</v>
      </c>
      <c r="N5610" s="9">
        <v>1.7019999999999999E-4</v>
      </c>
      <c r="O5610" s="9">
        <v>1.7785000000000001E-4</v>
      </c>
      <c r="P5610" s="9">
        <v>1.6907000000000001E-4</v>
      </c>
      <c r="Q5610" s="9">
        <v>1.6102999999999999E-4</v>
      </c>
      <c r="R5610" s="10">
        <v>5.5136807683014364E-5</v>
      </c>
      <c r="S5610" s="10">
        <v>1.4096557962478551E-4</v>
      </c>
      <c r="T5610" s="10">
        <v>6.5618419603937232E-4</v>
      </c>
      <c r="U5610" s="10">
        <v>6.9510000000000004E-5</v>
      </c>
      <c r="V5610" s="25"/>
      <c r="W5610" s="25"/>
      <c r="X5610" s="25"/>
      <c r="Y5610" s="25"/>
      <c r="Z5610" s="25"/>
      <c r="AA5610" s="25"/>
    </row>
    <row r="5611" spans="1:27" x14ac:dyDescent="0.35">
      <c r="A5611" s="5">
        <v>5607</v>
      </c>
      <c r="B5611" s="5">
        <v>234</v>
      </c>
      <c r="C5611" s="5">
        <v>8</v>
      </c>
      <c r="D5611" s="25">
        <v>1.1416E-4</v>
      </c>
      <c r="E5611" s="25">
        <v>1.2247000000000001E-4</v>
      </c>
      <c r="F5611" s="25">
        <v>1.1247999999999999E-4</v>
      </c>
      <c r="G5611" s="25">
        <v>1.5918E-4</v>
      </c>
      <c r="H5611" s="25">
        <v>1.9437E-4</v>
      </c>
      <c r="I5611" s="9">
        <v>8.5840000000000005E-5</v>
      </c>
      <c r="J5611" s="9">
        <v>9.7609999999999995E-5</v>
      </c>
      <c r="K5611" s="9">
        <v>0</v>
      </c>
      <c r="L5611" s="9">
        <v>1.7457E-4</v>
      </c>
      <c r="M5611" s="9">
        <v>1.6819E-4</v>
      </c>
      <c r="N5611" s="9">
        <v>1.6977E-4</v>
      </c>
      <c r="O5611" s="9">
        <v>1.8134E-4</v>
      </c>
      <c r="P5611" s="9">
        <v>1.6589999999999999E-4</v>
      </c>
      <c r="Q5611" s="9">
        <v>1.5132000000000001E-4</v>
      </c>
      <c r="R5611" s="10">
        <v>5.5283757637332861E-5</v>
      </c>
      <c r="S5611" s="10">
        <v>1.4731249255318327E-4</v>
      </c>
      <c r="T5611" s="10">
        <v>5.6786263980438876E-4</v>
      </c>
      <c r="U5611" s="10">
        <v>6.9510000000000004E-5</v>
      </c>
      <c r="V5611" s="25"/>
      <c r="W5611" s="25"/>
      <c r="X5611" s="25"/>
      <c r="Y5611" s="25"/>
      <c r="Z5611" s="25"/>
      <c r="AA5611" s="25"/>
    </row>
    <row r="5612" spans="1:27" x14ac:dyDescent="0.35">
      <c r="A5612" s="5">
        <v>5608</v>
      </c>
      <c r="B5612" s="5">
        <v>234</v>
      </c>
      <c r="C5612" s="5">
        <v>8</v>
      </c>
      <c r="D5612" s="25">
        <v>1.1415000000000001E-4</v>
      </c>
      <c r="E5612" s="25">
        <v>1.1901E-4</v>
      </c>
      <c r="F5612" s="25">
        <v>1.1527999999999999E-4</v>
      </c>
      <c r="G5612" s="25">
        <v>1.6185E-4</v>
      </c>
      <c r="H5612" s="25">
        <v>1.9345000000000001E-4</v>
      </c>
      <c r="I5612" s="9">
        <v>8.6749999999999994E-5</v>
      </c>
      <c r="J5612" s="9">
        <v>9.8659999999999994E-5</v>
      </c>
      <c r="K5612" s="9">
        <v>0</v>
      </c>
      <c r="L5612" s="9">
        <v>1.7951999999999999E-4</v>
      </c>
      <c r="M5612" s="9">
        <v>1.6714E-4</v>
      </c>
      <c r="N5612" s="9">
        <v>1.6564999999999999E-4</v>
      </c>
      <c r="O5612" s="9">
        <v>1.9683E-4</v>
      </c>
      <c r="P5612" s="9">
        <v>1.527E-4</v>
      </c>
      <c r="Q5612" s="9">
        <v>1.0993999999999999E-4</v>
      </c>
      <c r="R5612" s="10">
        <v>5.4148825805782349E-5</v>
      </c>
      <c r="S5612" s="10">
        <v>1.5560279997969061E-4</v>
      </c>
      <c r="T5612" s="10">
        <v>4.4195563744827381E-4</v>
      </c>
      <c r="U5612" s="10">
        <v>6.9510000000000004E-5</v>
      </c>
      <c r="V5612" s="25"/>
      <c r="W5612" s="25"/>
      <c r="X5612" s="25"/>
      <c r="Y5612" s="25"/>
      <c r="Z5612" s="25"/>
      <c r="AA5612" s="25"/>
    </row>
    <row r="5613" spans="1:27" x14ac:dyDescent="0.35">
      <c r="A5613" s="5">
        <v>5609</v>
      </c>
      <c r="B5613" s="5">
        <v>234</v>
      </c>
      <c r="C5613" s="5">
        <v>8</v>
      </c>
      <c r="D5613" s="25">
        <v>1.1416E-4</v>
      </c>
      <c r="E5613" s="25">
        <v>1.1679E-4</v>
      </c>
      <c r="F5613" s="25">
        <v>1.2364E-4</v>
      </c>
      <c r="G5613" s="25">
        <v>1.5639000000000001E-4</v>
      </c>
      <c r="H5613" s="25">
        <v>1.8943000000000001E-4</v>
      </c>
      <c r="I5613" s="9">
        <v>9.0210000000000005E-5</v>
      </c>
      <c r="J5613" s="9">
        <v>1.0281E-4</v>
      </c>
      <c r="K5613" s="9">
        <v>0</v>
      </c>
      <c r="L5613" s="9">
        <v>1.9283000000000001E-4</v>
      </c>
      <c r="M5613" s="9">
        <v>1.6176E-4</v>
      </c>
      <c r="N5613" s="9">
        <v>1.5202999999999999E-4</v>
      </c>
      <c r="O5613" s="9">
        <v>2.1378E-4</v>
      </c>
      <c r="P5613" s="9">
        <v>1.5986E-4</v>
      </c>
      <c r="Q5613" s="9">
        <v>1.0753E-4</v>
      </c>
      <c r="R5613" s="10">
        <v>5.5512044424619663E-5</v>
      </c>
      <c r="S5613" s="10">
        <v>1.600769958824689E-4</v>
      </c>
      <c r="T5613" s="10">
        <v>2.7171817098766424E-4</v>
      </c>
      <c r="U5613" s="10">
        <v>6.9510000000000004E-5</v>
      </c>
      <c r="V5613" s="25"/>
      <c r="W5613" s="25"/>
      <c r="X5613" s="25"/>
      <c r="Y5613" s="25"/>
      <c r="Z5613" s="25"/>
      <c r="AA5613" s="25"/>
    </row>
    <row r="5614" spans="1:27" x14ac:dyDescent="0.35">
      <c r="A5614" s="5">
        <v>5610</v>
      </c>
      <c r="B5614" s="5">
        <v>234</v>
      </c>
      <c r="C5614" s="5">
        <v>8</v>
      </c>
      <c r="D5614" s="25">
        <v>1.1415000000000001E-4</v>
      </c>
      <c r="E5614" s="25">
        <v>1.2369E-4</v>
      </c>
      <c r="F5614" s="25">
        <v>1.0731E-4</v>
      </c>
      <c r="G5614" s="25">
        <v>1.6744000000000001E-4</v>
      </c>
      <c r="H5614" s="25">
        <v>1.9044E-4</v>
      </c>
      <c r="I5614" s="9">
        <v>9.4640000000000002E-5</v>
      </c>
      <c r="J5614" s="9">
        <v>1.0425999999999999E-4</v>
      </c>
      <c r="K5614" s="9">
        <v>0</v>
      </c>
      <c r="L5614" s="9">
        <v>2.0890000000000001E-4</v>
      </c>
      <c r="M5614" s="9">
        <v>1.5959000000000001E-4</v>
      </c>
      <c r="N5614" s="9">
        <v>1.3888E-4</v>
      </c>
      <c r="O5614" s="9">
        <v>2.0542999999999999E-4</v>
      </c>
      <c r="P5614" s="9">
        <v>1.6112E-4</v>
      </c>
      <c r="Q5614" s="9">
        <v>1.1820999999999999E-4</v>
      </c>
      <c r="R5614" s="10">
        <v>6.1656442661714854E-5</v>
      </c>
      <c r="S5614" s="10">
        <v>1.6744686643040984E-4</v>
      </c>
      <c r="T5614" s="10">
        <v>9.8154859181798782E-5</v>
      </c>
      <c r="U5614" s="10">
        <v>6.9510000000000004E-5</v>
      </c>
      <c r="V5614" s="25"/>
      <c r="W5614" s="25"/>
      <c r="X5614" s="25"/>
      <c r="Y5614" s="25"/>
      <c r="Z5614" s="25"/>
      <c r="AA5614" s="25"/>
    </row>
    <row r="5615" spans="1:27" x14ac:dyDescent="0.35">
      <c r="A5615" s="5">
        <v>5611</v>
      </c>
      <c r="B5615" s="5">
        <v>234</v>
      </c>
      <c r="C5615" s="5">
        <v>8</v>
      </c>
      <c r="D5615" s="25">
        <v>1.1416E-4</v>
      </c>
      <c r="E5615" s="25">
        <v>1.1312E-4</v>
      </c>
      <c r="F5615" s="25">
        <v>1.2197999999999999E-4</v>
      </c>
      <c r="G5615" s="25">
        <v>1.0674E-4</v>
      </c>
      <c r="H5615" s="25">
        <v>1.3426000000000001E-4</v>
      </c>
      <c r="I5615" s="9">
        <v>9.7899999999999994E-5</v>
      </c>
      <c r="J5615" s="9">
        <v>1.0349E-4</v>
      </c>
      <c r="K5615" s="9">
        <v>0</v>
      </c>
      <c r="L5615" s="9">
        <v>2.0577E-4</v>
      </c>
      <c r="M5615" s="9">
        <v>1.5975000000000001E-4</v>
      </c>
      <c r="N5615" s="9">
        <v>1.3001000000000001E-4</v>
      </c>
      <c r="O5615" s="9">
        <v>1.6259E-4</v>
      </c>
      <c r="P5615" s="9">
        <v>1.3396E-4</v>
      </c>
      <c r="Q5615" s="9">
        <v>1.0632E-4</v>
      </c>
      <c r="R5615" s="10">
        <v>7.582442318657908E-5</v>
      </c>
      <c r="S5615" s="10">
        <v>1.7392064716634275E-4</v>
      </c>
      <c r="T5615" s="10">
        <v>1.2242843962255652E-5</v>
      </c>
      <c r="U5615" s="10">
        <v>6.9510000000000004E-5</v>
      </c>
      <c r="V5615" s="25"/>
      <c r="W5615" s="25"/>
      <c r="X5615" s="25"/>
      <c r="Y5615" s="25"/>
      <c r="Z5615" s="25"/>
      <c r="AA5615" s="25"/>
    </row>
    <row r="5616" spans="1:27" x14ac:dyDescent="0.35">
      <c r="A5616" s="5">
        <v>5612</v>
      </c>
      <c r="B5616" s="5">
        <v>234</v>
      </c>
      <c r="C5616" s="5">
        <v>8</v>
      </c>
      <c r="D5616" s="25">
        <v>1.1415000000000001E-4</v>
      </c>
      <c r="E5616" s="25">
        <v>1.2112000000000001E-4</v>
      </c>
      <c r="F5616" s="25">
        <v>1.1273999999999999E-4</v>
      </c>
      <c r="G5616" s="25">
        <v>1.1437E-4</v>
      </c>
      <c r="H5616" s="25">
        <v>1.3184000000000001E-4</v>
      </c>
      <c r="I5616" s="9">
        <v>9.9400000000000004E-5</v>
      </c>
      <c r="J5616" s="9">
        <v>1.0305E-4</v>
      </c>
      <c r="K5616" s="9">
        <v>0</v>
      </c>
      <c r="L5616" s="9">
        <v>1.7227E-4</v>
      </c>
      <c r="M5616" s="9">
        <v>1.5065E-4</v>
      </c>
      <c r="N5616" s="9">
        <v>1.2079E-4</v>
      </c>
      <c r="O5616" s="9">
        <v>1.2907000000000001E-4</v>
      </c>
      <c r="P5616" s="9">
        <v>1.1539E-4</v>
      </c>
      <c r="Q5616" s="9">
        <v>1.0236E-4</v>
      </c>
      <c r="R5616" s="10">
        <v>1.1529891091610527E-4</v>
      </c>
      <c r="S5616" s="10">
        <v>1.7866987794812051E-4</v>
      </c>
      <c r="T5616" s="10">
        <v>0</v>
      </c>
      <c r="U5616" s="10">
        <v>6.9510000000000004E-5</v>
      </c>
      <c r="V5616" s="25"/>
      <c r="W5616" s="25"/>
      <c r="X5616" s="25"/>
      <c r="Y5616" s="25"/>
      <c r="Z5616" s="25"/>
      <c r="AA5616" s="25"/>
    </row>
    <row r="5617" spans="1:27" x14ac:dyDescent="0.35">
      <c r="A5617" s="5">
        <v>5613</v>
      </c>
      <c r="B5617" s="5">
        <v>234</v>
      </c>
      <c r="C5617" s="5">
        <v>8</v>
      </c>
      <c r="D5617" s="25">
        <v>1.1416E-4</v>
      </c>
      <c r="E5617" s="25">
        <v>1.2233E-4</v>
      </c>
      <c r="F5617" s="25">
        <v>1.0431E-4</v>
      </c>
      <c r="G5617" s="25">
        <v>5.2889999999999997E-5</v>
      </c>
      <c r="H5617" s="25">
        <v>6.9779999999999999E-5</v>
      </c>
      <c r="I5617" s="9">
        <v>1.0226E-4</v>
      </c>
      <c r="J5617" s="9">
        <v>1.0561E-4</v>
      </c>
      <c r="K5617" s="9">
        <v>0</v>
      </c>
      <c r="L5617" s="9">
        <v>1.3961E-4</v>
      </c>
      <c r="M5617" s="9">
        <v>1.3538999999999999E-4</v>
      </c>
      <c r="N5617" s="9">
        <v>1.1328E-4</v>
      </c>
      <c r="O5617" s="9">
        <v>8.4549999999999995E-5</v>
      </c>
      <c r="P5617" s="9">
        <v>8.6310000000000005E-5</v>
      </c>
      <c r="Q5617" s="9">
        <v>8.831E-5</v>
      </c>
      <c r="R5617" s="10">
        <v>1.6696512158484016E-4</v>
      </c>
      <c r="S5617" s="10">
        <v>1.8266477927700688E-4</v>
      </c>
      <c r="T5617" s="10">
        <v>0</v>
      </c>
      <c r="U5617" s="10">
        <v>6.9510000000000004E-5</v>
      </c>
      <c r="V5617" s="25"/>
      <c r="W5617" s="25"/>
      <c r="X5617" s="25"/>
      <c r="Y5617" s="25"/>
      <c r="Z5617" s="25"/>
      <c r="AA5617" s="25"/>
    </row>
    <row r="5618" spans="1:27" x14ac:dyDescent="0.35">
      <c r="A5618" s="5">
        <v>5614</v>
      </c>
      <c r="B5618" s="5">
        <v>234</v>
      </c>
      <c r="C5618" s="5">
        <v>8</v>
      </c>
      <c r="D5618" s="25">
        <v>1.1415000000000001E-4</v>
      </c>
      <c r="E5618" s="25">
        <v>1.1423E-4</v>
      </c>
      <c r="F5618" s="25">
        <v>1.2212E-4</v>
      </c>
      <c r="G5618" s="25">
        <v>6.0890000000000001E-5</v>
      </c>
      <c r="H5618" s="25">
        <v>7.1619999999999995E-5</v>
      </c>
      <c r="I5618" s="9">
        <v>1.003E-4</v>
      </c>
      <c r="J5618" s="9">
        <v>1.0254E-4</v>
      </c>
      <c r="K5618" s="9">
        <v>2.5429999999999999E-5</v>
      </c>
      <c r="L5618" s="9">
        <v>9.7549999999999999E-5</v>
      </c>
      <c r="M5618" s="9">
        <v>1.1382E-4</v>
      </c>
      <c r="N5618" s="9">
        <v>1.0569E-4</v>
      </c>
      <c r="O5618" s="9">
        <v>8.6489999999999994E-5</v>
      </c>
      <c r="P5618" s="9">
        <v>8.687E-5</v>
      </c>
      <c r="Q5618" s="9">
        <v>8.7509999999999994E-5</v>
      </c>
      <c r="R5618" s="10">
        <v>1.9090930181357493E-4</v>
      </c>
      <c r="S5618" s="10">
        <v>1.8595124014649401E-4</v>
      </c>
      <c r="T5618" s="10">
        <v>0</v>
      </c>
      <c r="U5618" s="10">
        <v>6.9510000000000004E-5</v>
      </c>
      <c r="V5618" s="25"/>
      <c r="W5618" s="25"/>
      <c r="X5618" s="25"/>
      <c r="Y5618" s="25"/>
      <c r="Z5618" s="25"/>
      <c r="AA5618" s="25"/>
    </row>
    <row r="5619" spans="1:27" x14ac:dyDescent="0.35">
      <c r="A5619" s="5">
        <v>5615</v>
      </c>
      <c r="B5619" s="5">
        <v>234</v>
      </c>
      <c r="C5619" s="5">
        <v>8</v>
      </c>
      <c r="D5619" s="25">
        <v>1.1416E-4</v>
      </c>
      <c r="E5619" s="25">
        <v>1.149E-4</v>
      </c>
      <c r="F5619" s="25">
        <v>1.2026E-4</v>
      </c>
      <c r="G5619" s="25">
        <v>5.4769999999999999E-5</v>
      </c>
      <c r="H5619" s="25">
        <v>7.3310000000000001E-5</v>
      </c>
      <c r="I5619" s="9">
        <v>9.4749999999999999E-5</v>
      </c>
      <c r="J5619" s="9">
        <v>9.6760000000000002E-5</v>
      </c>
      <c r="K5619" s="9">
        <v>3.1789999999999999E-5</v>
      </c>
      <c r="L5619" s="9">
        <v>8.9850000000000002E-5</v>
      </c>
      <c r="M5619" s="9">
        <v>9.8830000000000001E-5</v>
      </c>
      <c r="N5619" s="9">
        <v>9.9710000000000006E-5</v>
      </c>
      <c r="O5619" s="9">
        <v>7.7600000000000002E-5</v>
      </c>
      <c r="P5619" s="9">
        <v>7.203E-5</v>
      </c>
      <c r="Q5619" s="9">
        <v>6.6790000000000003E-5</v>
      </c>
      <c r="R5619" s="10">
        <v>2.0142036844837815E-4</v>
      </c>
      <c r="S5619" s="10">
        <v>1.8833228237722711E-4</v>
      </c>
      <c r="T5619" s="10">
        <v>0</v>
      </c>
      <c r="U5619" s="10">
        <v>6.9510000000000004E-5</v>
      </c>
      <c r="V5619" s="25"/>
      <c r="W5619" s="25"/>
      <c r="X5619" s="25"/>
      <c r="Y5619" s="25"/>
      <c r="Z5619" s="25"/>
      <c r="AA5619" s="25"/>
    </row>
    <row r="5620" spans="1:27" x14ac:dyDescent="0.35">
      <c r="A5620" s="5">
        <v>5616</v>
      </c>
      <c r="B5620" s="5">
        <v>234</v>
      </c>
      <c r="C5620" s="5">
        <v>8</v>
      </c>
      <c r="D5620" s="25">
        <v>1.1415000000000001E-4</v>
      </c>
      <c r="E5620" s="25">
        <v>1.2299000000000001E-4</v>
      </c>
      <c r="F5620" s="25">
        <v>1.0746E-4</v>
      </c>
      <c r="G5620" s="25">
        <v>5.4540000000000003E-5</v>
      </c>
      <c r="H5620" s="25">
        <v>6.4280000000000001E-5</v>
      </c>
      <c r="I5620" s="9">
        <v>8.9279999999999999E-5</v>
      </c>
      <c r="J5620" s="9">
        <v>9.1550000000000003E-5</v>
      </c>
      <c r="K5620" s="9">
        <v>5.0869999999999999E-5</v>
      </c>
      <c r="L5620" s="9">
        <v>8.0309999999999995E-5</v>
      </c>
      <c r="M5620" s="9">
        <v>8.5859999999999994E-5</v>
      </c>
      <c r="N5620" s="9">
        <v>9.0409999999999997E-5</v>
      </c>
      <c r="O5620" s="9">
        <v>6.211E-5</v>
      </c>
      <c r="P5620" s="9">
        <v>6.0099999999999997E-5</v>
      </c>
      <c r="Q5620" s="9">
        <v>5.8300000000000001E-5</v>
      </c>
      <c r="R5620" s="10">
        <v>2.093592799326728E-4</v>
      </c>
      <c r="S5620" s="10">
        <v>1.9007994082707196E-4</v>
      </c>
      <c r="T5620" s="10">
        <v>0</v>
      </c>
      <c r="U5620" s="10">
        <v>6.9510000000000004E-5</v>
      </c>
      <c r="V5620" s="25"/>
      <c r="W5620" s="25"/>
      <c r="X5620" s="25"/>
      <c r="Y5620" s="25"/>
      <c r="Z5620" s="25"/>
      <c r="AA5620" s="25"/>
    </row>
    <row r="5621" spans="1:27" x14ac:dyDescent="0.35">
      <c r="A5621" s="5">
        <v>5617</v>
      </c>
      <c r="B5621" s="5">
        <v>235</v>
      </c>
      <c r="C5621" s="5">
        <v>8</v>
      </c>
      <c r="D5621" s="25">
        <v>1.1416E-4</v>
      </c>
      <c r="E5621" s="25">
        <v>1.1353000000000001E-4</v>
      </c>
      <c r="F5621" s="25">
        <v>1.0611999999999999E-4</v>
      </c>
      <c r="G5621" s="25">
        <v>6.0949999999999998E-5</v>
      </c>
      <c r="H5621" s="25">
        <v>7.038E-5</v>
      </c>
      <c r="I5621" s="9">
        <v>8.5569999999999996E-5</v>
      </c>
      <c r="J5621" s="9">
        <v>8.7449999999999998E-5</v>
      </c>
      <c r="K5621" s="9">
        <v>5.0859999999999998E-5</v>
      </c>
      <c r="L5621" s="9">
        <v>6.6099999999999994E-5</v>
      </c>
      <c r="M5621" s="9">
        <v>7.3620000000000003E-5</v>
      </c>
      <c r="N5621" s="9">
        <v>8.0900000000000001E-5</v>
      </c>
      <c r="O5621" s="9">
        <v>5.4490000000000002E-5</v>
      </c>
      <c r="P5621" s="9">
        <v>5.3909999999999997E-5</v>
      </c>
      <c r="Q5621" s="9">
        <v>5.3489999999999998E-5</v>
      </c>
      <c r="R5621" s="10">
        <v>2.062463617932954E-4</v>
      </c>
      <c r="S5621" s="10">
        <v>1.9008434622868193E-4</v>
      </c>
      <c r="T5621" s="10">
        <v>0</v>
      </c>
      <c r="U5621" s="10">
        <v>7.0209999999999994E-5</v>
      </c>
      <c r="V5621" s="25"/>
      <c r="W5621" s="25"/>
      <c r="X5621" s="25"/>
      <c r="Y5621" s="25"/>
      <c r="Z5621" s="25"/>
      <c r="AA5621" s="25"/>
    </row>
    <row r="5622" spans="1:27" x14ac:dyDescent="0.35">
      <c r="A5622" s="5">
        <v>5618</v>
      </c>
      <c r="B5622" s="5">
        <v>235</v>
      </c>
      <c r="C5622" s="5">
        <v>8</v>
      </c>
      <c r="D5622" s="25">
        <v>1.1415000000000001E-4</v>
      </c>
      <c r="E5622" s="25">
        <v>1.1621E-4</v>
      </c>
      <c r="F5622" s="25">
        <v>1.1984E-4</v>
      </c>
      <c r="G5622" s="25">
        <v>5.7639999999999997E-5</v>
      </c>
      <c r="H5622" s="25">
        <v>7.1429999999999999E-5</v>
      </c>
      <c r="I5622" s="9">
        <v>8.3339999999999998E-5</v>
      </c>
      <c r="J5622" s="9">
        <v>8.5719999999999999E-5</v>
      </c>
      <c r="K5622" s="9">
        <v>1.908E-5</v>
      </c>
      <c r="L5622" s="9">
        <v>5.7429999999999997E-5</v>
      </c>
      <c r="M5622" s="9">
        <v>6.3620000000000004E-5</v>
      </c>
      <c r="N5622" s="9">
        <v>7.1810000000000005E-5</v>
      </c>
      <c r="O5622" s="9">
        <v>1.9199999999999999E-5</v>
      </c>
      <c r="P5622" s="9">
        <v>3.8059999999999998E-5</v>
      </c>
      <c r="Q5622" s="9">
        <v>5.664E-5</v>
      </c>
      <c r="R5622" s="10">
        <v>2.0338856997650242E-4</v>
      </c>
      <c r="S5622" s="10">
        <v>1.8997078623888701E-4</v>
      </c>
      <c r="T5622" s="10">
        <v>0</v>
      </c>
      <c r="U5622" s="10">
        <v>7.0209999999999994E-5</v>
      </c>
      <c r="V5622" s="25"/>
      <c r="W5622" s="25"/>
      <c r="X5622" s="25"/>
      <c r="Y5622" s="25"/>
      <c r="Z5622" s="25"/>
      <c r="AA5622" s="25"/>
    </row>
    <row r="5623" spans="1:27" x14ac:dyDescent="0.35">
      <c r="A5623" s="5">
        <v>5619</v>
      </c>
      <c r="B5623" s="5">
        <v>235</v>
      </c>
      <c r="C5623" s="5">
        <v>8</v>
      </c>
      <c r="D5623" s="25">
        <v>1.1416E-4</v>
      </c>
      <c r="E5623" s="25">
        <v>1.1398E-4</v>
      </c>
      <c r="F5623" s="25">
        <v>1.2294000000000001E-4</v>
      </c>
      <c r="G5623" s="25">
        <v>5.6180000000000001E-5</v>
      </c>
      <c r="H5623" s="25">
        <v>6.8419999999999999E-5</v>
      </c>
      <c r="I5623" s="9">
        <v>8.3369999999999996E-5</v>
      </c>
      <c r="J5623" s="9">
        <v>8.5530000000000003E-5</v>
      </c>
      <c r="K5623" s="9">
        <v>0</v>
      </c>
      <c r="L5623" s="9">
        <v>2.781E-5</v>
      </c>
      <c r="M5623" s="9">
        <v>5.2139999999999999E-5</v>
      </c>
      <c r="N5623" s="9">
        <v>6.5389999999999996E-5</v>
      </c>
      <c r="O5623" s="9">
        <v>1.362E-5</v>
      </c>
      <c r="P5623" s="9">
        <v>3.7830000000000002E-5</v>
      </c>
      <c r="Q5623" s="9">
        <v>6.1660000000000003E-5</v>
      </c>
      <c r="R5623" s="10">
        <v>2.0258680037678664E-4</v>
      </c>
      <c r="S5623" s="10">
        <v>1.8983990034681302E-4</v>
      </c>
      <c r="T5623" s="10">
        <v>0</v>
      </c>
      <c r="U5623" s="10">
        <v>7.0209999999999994E-5</v>
      </c>
      <c r="V5623" s="25"/>
      <c r="W5623" s="25"/>
      <c r="X5623" s="25"/>
      <c r="Y5623" s="25"/>
      <c r="Z5623" s="25"/>
      <c r="AA5623" s="25"/>
    </row>
    <row r="5624" spans="1:27" x14ac:dyDescent="0.35">
      <c r="A5624" s="5">
        <v>5620</v>
      </c>
      <c r="B5624" s="5">
        <v>235</v>
      </c>
      <c r="C5624" s="5">
        <v>8</v>
      </c>
      <c r="D5624" s="25">
        <v>1.1415000000000001E-4</v>
      </c>
      <c r="E5624" s="25">
        <v>1.0623E-4</v>
      </c>
      <c r="F5624" s="25">
        <v>1.0789999999999999E-4</v>
      </c>
      <c r="G5624" s="25">
        <v>6.1029999999999997E-5</v>
      </c>
      <c r="H5624" s="25">
        <v>7.1569999999999994E-5</v>
      </c>
      <c r="I5624" s="9">
        <v>8.6399999999999999E-5</v>
      </c>
      <c r="J5624" s="9">
        <v>8.6149999999999993E-5</v>
      </c>
      <c r="K5624" s="9">
        <v>0</v>
      </c>
      <c r="L5624" s="9">
        <v>1.747E-5</v>
      </c>
      <c r="M5624" s="9">
        <v>4.426E-5</v>
      </c>
      <c r="N5624" s="9">
        <v>6.1890000000000005E-5</v>
      </c>
      <c r="O5624" s="9">
        <v>1.364E-5</v>
      </c>
      <c r="P5624" s="9">
        <v>4.7379999999999997E-5</v>
      </c>
      <c r="Q5624" s="9">
        <v>8.0580000000000004E-5</v>
      </c>
      <c r="R5624" s="10">
        <v>2.046096829874506E-4</v>
      </c>
      <c r="S5624" s="10">
        <v>1.8965483110384195E-4</v>
      </c>
      <c r="T5624" s="10">
        <v>0</v>
      </c>
      <c r="U5624" s="10">
        <v>7.0209999999999994E-5</v>
      </c>
      <c r="V5624" s="25"/>
      <c r="W5624" s="25"/>
      <c r="X5624" s="25"/>
      <c r="Y5624" s="25"/>
      <c r="Z5624" s="25"/>
      <c r="AA5624" s="25"/>
    </row>
    <row r="5625" spans="1:27" x14ac:dyDescent="0.35">
      <c r="A5625" s="5">
        <v>5621</v>
      </c>
      <c r="B5625" s="5">
        <v>235</v>
      </c>
      <c r="C5625" s="5">
        <v>8</v>
      </c>
      <c r="D5625" s="25">
        <v>1.1416E-4</v>
      </c>
      <c r="E5625" s="25">
        <v>1.0971E-4</v>
      </c>
      <c r="F5625" s="25">
        <v>1.1315E-4</v>
      </c>
      <c r="G5625" s="25">
        <v>5.5619999999999999E-5</v>
      </c>
      <c r="H5625" s="25">
        <v>7.2280000000000006E-5</v>
      </c>
      <c r="I5625" s="9">
        <v>9.1310000000000005E-5</v>
      </c>
      <c r="J5625" s="9">
        <v>8.8819999999999993E-5</v>
      </c>
      <c r="K5625" s="9">
        <v>0</v>
      </c>
      <c r="L5625" s="9">
        <v>1.473E-5</v>
      </c>
      <c r="M5625" s="9">
        <v>4.3609999999999998E-5</v>
      </c>
      <c r="N5625" s="9">
        <v>6.4510000000000004E-5</v>
      </c>
      <c r="O5625" s="9">
        <v>1.9000000000000001E-5</v>
      </c>
      <c r="P5625" s="9">
        <v>5.6480000000000001E-5</v>
      </c>
      <c r="Q5625" s="9">
        <v>9.3399999999999993E-5</v>
      </c>
      <c r="R5625" s="10">
        <v>2.0701130433310345E-4</v>
      </c>
      <c r="S5625" s="10">
        <v>1.8973556319968962E-4</v>
      </c>
      <c r="T5625" s="10">
        <v>0</v>
      </c>
      <c r="U5625" s="10">
        <v>7.0209999999999994E-5</v>
      </c>
      <c r="V5625" s="25"/>
      <c r="W5625" s="25"/>
      <c r="X5625" s="25"/>
      <c r="Y5625" s="25"/>
      <c r="Z5625" s="25"/>
      <c r="AA5625" s="25"/>
    </row>
    <row r="5626" spans="1:27" x14ac:dyDescent="0.35">
      <c r="A5626" s="5">
        <v>5622</v>
      </c>
      <c r="B5626" s="5">
        <v>235</v>
      </c>
      <c r="C5626" s="5">
        <v>8</v>
      </c>
      <c r="D5626" s="25">
        <v>1.1415000000000001E-4</v>
      </c>
      <c r="E5626" s="25">
        <v>1.1163E-4</v>
      </c>
      <c r="F5626" s="25">
        <v>1.1202E-4</v>
      </c>
      <c r="G5626" s="25">
        <v>1.1259E-4</v>
      </c>
      <c r="H5626" s="25">
        <v>1.3422999999999999E-4</v>
      </c>
      <c r="I5626" s="9">
        <v>1.0075E-4</v>
      </c>
      <c r="J5626" s="9">
        <v>9.7600000000000001E-5</v>
      </c>
      <c r="K5626" s="9">
        <v>0</v>
      </c>
      <c r="L5626" s="9">
        <v>1.7929999999999999E-5</v>
      </c>
      <c r="M5626" s="9">
        <v>4.8420000000000001E-5</v>
      </c>
      <c r="N5626" s="9">
        <v>7.1039999999999997E-5</v>
      </c>
      <c r="O5626" s="9">
        <v>4.617E-5</v>
      </c>
      <c r="P5626" s="9">
        <v>7.6589999999999997E-5</v>
      </c>
      <c r="Q5626" s="9">
        <v>1.0665E-4</v>
      </c>
      <c r="R5626" s="10">
        <v>2.0578525778888683E-4</v>
      </c>
      <c r="S5626" s="10">
        <v>1.8994640572137596E-4</v>
      </c>
      <c r="T5626" s="10">
        <v>9.6805855585126112E-6</v>
      </c>
      <c r="U5626" s="10">
        <v>7.0209999999999994E-5</v>
      </c>
      <c r="V5626" s="25"/>
      <c r="W5626" s="25"/>
      <c r="X5626" s="25"/>
      <c r="Y5626" s="25"/>
      <c r="Z5626" s="25"/>
      <c r="AA5626" s="25"/>
    </row>
    <row r="5627" spans="1:27" x14ac:dyDescent="0.35">
      <c r="A5627" s="5">
        <v>5623</v>
      </c>
      <c r="B5627" s="5">
        <v>235</v>
      </c>
      <c r="C5627" s="5">
        <v>8</v>
      </c>
      <c r="D5627" s="25">
        <v>1.1416E-4</v>
      </c>
      <c r="E5627" s="25">
        <v>1.099E-4</v>
      </c>
      <c r="F5627" s="25">
        <v>1.1077E-4</v>
      </c>
      <c r="G5627" s="25">
        <v>1.0629E-4</v>
      </c>
      <c r="H5627" s="25">
        <v>1.3278000000000001E-4</v>
      </c>
      <c r="I5627" s="9">
        <v>1.0875E-4</v>
      </c>
      <c r="J5627" s="9">
        <v>1.1014999999999999E-4</v>
      </c>
      <c r="K5627" s="9">
        <v>0</v>
      </c>
      <c r="L5627" s="9">
        <v>3.9820000000000002E-5</v>
      </c>
      <c r="M5627" s="9">
        <v>5.9920000000000002E-5</v>
      </c>
      <c r="N5627" s="9">
        <v>8.0679999999999993E-5</v>
      </c>
      <c r="O5627" s="9">
        <v>1.2334999999999999E-4</v>
      </c>
      <c r="P5627" s="9">
        <v>1.1790000000000001E-4</v>
      </c>
      <c r="Q5627" s="9">
        <v>1.1294E-4</v>
      </c>
      <c r="R5627" s="10">
        <v>2.0689090832508097E-4</v>
      </c>
      <c r="S5627" s="10">
        <v>1.9004235443126794E-4</v>
      </c>
      <c r="T5627" s="10">
        <v>9.2156459541248021E-5</v>
      </c>
      <c r="U5627" s="10">
        <v>7.0209999999999994E-5</v>
      </c>
      <c r="V5627" s="25"/>
      <c r="W5627" s="25"/>
      <c r="X5627" s="25"/>
      <c r="Y5627" s="25"/>
      <c r="Z5627" s="25"/>
      <c r="AA5627" s="25"/>
    </row>
    <row r="5628" spans="1:27" x14ac:dyDescent="0.35">
      <c r="A5628" s="5">
        <v>5624</v>
      </c>
      <c r="B5628" s="5">
        <v>235</v>
      </c>
      <c r="C5628" s="5">
        <v>8</v>
      </c>
      <c r="D5628" s="25">
        <v>1.1415000000000001E-4</v>
      </c>
      <c r="E5628" s="25">
        <v>1.0592E-4</v>
      </c>
      <c r="F5628" s="25">
        <v>1.075E-4</v>
      </c>
      <c r="G5628" s="25">
        <v>1.6034999999999999E-4</v>
      </c>
      <c r="H5628" s="25">
        <v>1.8814999999999999E-4</v>
      </c>
      <c r="I5628" s="9">
        <v>1.1724E-4</v>
      </c>
      <c r="J5628" s="9">
        <v>1.2144E-4</v>
      </c>
      <c r="K5628" s="9">
        <v>0</v>
      </c>
      <c r="L5628" s="9">
        <v>1.0436E-4</v>
      </c>
      <c r="M5628" s="9">
        <v>8.3759999999999998E-5</v>
      </c>
      <c r="N5628" s="9">
        <v>9.0870000000000002E-5</v>
      </c>
      <c r="O5628" s="9">
        <v>2.1994000000000001E-4</v>
      </c>
      <c r="P5628" s="9">
        <v>1.7802000000000001E-4</v>
      </c>
      <c r="Q5628" s="9">
        <v>1.3752E-4</v>
      </c>
      <c r="R5628" s="10">
        <v>2.0787502410882881E-4</v>
      </c>
      <c r="S5628" s="10">
        <v>1.8993694028307401E-4</v>
      </c>
      <c r="T5628" s="10">
        <v>2.7190482557336743E-4</v>
      </c>
      <c r="U5628" s="10">
        <v>7.0209999999999994E-5</v>
      </c>
      <c r="V5628" s="25"/>
      <c r="W5628" s="25"/>
      <c r="X5628" s="25"/>
      <c r="Y5628" s="25"/>
      <c r="Z5628" s="25"/>
      <c r="AA5628" s="25"/>
    </row>
    <row r="5629" spans="1:27" x14ac:dyDescent="0.35">
      <c r="A5629" s="5">
        <v>5625</v>
      </c>
      <c r="B5629" s="5">
        <v>235</v>
      </c>
      <c r="C5629" s="5">
        <v>8</v>
      </c>
      <c r="D5629" s="25">
        <v>1.1416E-4</v>
      </c>
      <c r="E5629" s="25">
        <v>1.0730000000000001E-4</v>
      </c>
      <c r="F5629" s="25">
        <v>1.1021E-4</v>
      </c>
      <c r="G5629" s="25">
        <v>1.5663E-4</v>
      </c>
      <c r="H5629" s="25">
        <v>2.0086999999999999E-4</v>
      </c>
      <c r="I5629" s="9">
        <v>1.1964999999999999E-4</v>
      </c>
      <c r="J5629" s="9">
        <v>1.2705E-4</v>
      </c>
      <c r="K5629" s="9">
        <v>0</v>
      </c>
      <c r="L5629" s="9">
        <v>1.9274E-4</v>
      </c>
      <c r="M5629" s="9">
        <v>1.2386E-4</v>
      </c>
      <c r="N5629" s="9">
        <v>1.0478E-4</v>
      </c>
      <c r="O5629" s="9">
        <v>2.085E-4</v>
      </c>
      <c r="P5629" s="9">
        <v>1.9139E-4</v>
      </c>
      <c r="Q5629" s="9">
        <v>1.7527999999999999E-4</v>
      </c>
      <c r="R5629" s="10">
        <v>2.0810127117671729E-4</v>
      </c>
      <c r="S5629" s="10">
        <v>1.9019882743819084E-4</v>
      </c>
      <c r="T5629" s="10">
        <v>4.4397490069360767E-4</v>
      </c>
      <c r="U5629" s="10">
        <v>7.0209999999999994E-5</v>
      </c>
      <c r="V5629" s="25"/>
      <c r="W5629" s="25"/>
      <c r="X5629" s="25"/>
      <c r="Y5629" s="25"/>
      <c r="Z5629" s="25"/>
      <c r="AA5629" s="25"/>
    </row>
    <row r="5630" spans="1:27" x14ac:dyDescent="0.35">
      <c r="A5630" s="5">
        <v>5626</v>
      </c>
      <c r="B5630" s="5">
        <v>235</v>
      </c>
      <c r="C5630" s="5">
        <v>8</v>
      </c>
      <c r="D5630" s="25">
        <v>1.1415000000000001E-4</v>
      </c>
      <c r="E5630" s="25">
        <v>1.0917999999999999E-4</v>
      </c>
      <c r="F5630" s="25">
        <v>1.2627E-4</v>
      </c>
      <c r="G5630" s="25">
        <v>1.6624000000000001E-4</v>
      </c>
      <c r="H5630" s="25">
        <v>1.9437E-4</v>
      </c>
      <c r="I5630" s="9">
        <v>1.1722000000000001E-4</v>
      </c>
      <c r="J5630" s="9">
        <v>1.2882E-4</v>
      </c>
      <c r="K5630" s="9">
        <v>0</v>
      </c>
      <c r="L5630" s="9">
        <v>2.0270999999999999E-4</v>
      </c>
      <c r="M5630" s="9">
        <v>1.5834000000000001E-4</v>
      </c>
      <c r="N5630" s="9">
        <v>1.2442E-4</v>
      </c>
      <c r="O5630" s="9">
        <v>1.6553E-4</v>
      </c>
      <c r="P5630" s="9">
        <v>1.7304000000000001E-4</v>
      </c>
      <c r="Q5630" s="9">
        <v>1.8098999999999999E-4</v>
      </c>
      <c r="R5630" s="10">
        <v>2.0473241283698327E-4</v>
      </c>
      <c r="S5630" s="10">
        <v>1.9028755079466726E-4</v>
      </c>
      <c r="T5630" s="10">
        <v>5.7916372653877863E-4</v>
      </c>
      <c r="U5630" s="10">
        <v>7.0209999999999994E-5</v>
      </c>
      <c r="V5630" s="25"/>
      <c r="W5630" s="25"/>
      <c r="X5630" s="25"/>
      <c r="Y5630" s="25"/>
      <c r="Z5630" s="25"/>
      <c r="AA5630" s="25"/>
    </row>
    <row r="5631" spans="1:27" x14ac:dyDescent="0.35">
      <c r="A5631" s="5">
        <v>5627</v>
      </c>
      <c r="B5631" s="5">
        <v>235</v>
      </c>
      <c r="C5631" s="5">
        <v>8</v>
      </c>
      <c r="D5631" s="25">
        <v>1.1416E-4</v>
      </c>
      <c r="E5631" s="25">
        <v>1.1061999999999999E-4</v>
      </c>
      <c r="F5631" s="25">
        <v>1.1197E-4</v>
      </c>
      <c r="G5631" s="25">
        <v>1.6542E-4</v>
      </c>
      <c r="H5631" s="25">
        <v>1.9373E-4</v>
      </c>
      <c r="I5631" s="9">
        <v>1.1561E-4</v>
      </c>
      <c r="J5631" s="9">
        <v>1.3004E-4</v>
      </c>
      <c r="K5631" s="9">
        <v>0</v>
      </c>
      <c r="L5631" s="9">
        <v>1.7385E-4</v>
      </c>
      <c r="M5631" s="9">
        <v>1.7157000000000001E-4</v>
      </c>
      <c r="N5631" s="9">
        <v>1.4226000000000001E-4</v>
      </c>
      <c r="O5631" s="9">
        <v>1.6493000000000001E-4</v>
      </c>
      <c r="P5631" s="9">
        <v>1.7107E-4</v>
      </c>
      <c r="Q5631" s="9">
        <v>1.7768999999999999E-4</v>
      </c>
      <c r="R5631" s="10">
        <v>1.9744326057312032E-4</v>
      </c>
      <c r="S5631" s="10">
        <v>1.9029013116504285E-4</v>
      </c>
      <c r="T5631" s="10">
        <v>6.6844400860032837E-4</v>
      </c>
      <c r="U5631" s="10">
        <v>7.0209999999999994E-5</v>
      </c>
      <c r="V5631" s="25"/>
      <c r="W5631" s="25"/>
      <c r="X5631" s="25"/>
      <c r="Y5631" s="25"/>
      <c r="Z5631" s="25"/>
      <c r="AA5631" s="25"/>
    </row>
    <row r="5632" spans="1:27" x14ac:dyDescent="0.35">
      <c r="A5632" s="5">
        <v>5628</v>
      </c>
      <c r="B5632" s="5">
        <v>235</v>
      </c>
      <c r="C5632" s="5">
        <v>8</v>
      </c>
      <c r="D5632" s="25">
        <v>1.1415000000000001E-4</v>
      </c>
      <c r="E5632" s="25">
        <v>1.0854E-4</v>
      </c>
      <c r="F5632" s="25">
        <v>1.1139E-4</v>
      </c>
      <c r="G5632" s="25">
        <v>1.6066E-4</v>
      </c>
      <c r="H5632" s="25">
        <v>1.9239999999999999E-4</v>
      </c>
      <c r="I5632" s="9">
        <v>1.0774E-4</v>
      </c>
      <c r="J5632" s="9">
        <v>1.2939000000000001E-4</v>
      </c>
      <c r="K5632" s="9">
        <v>0</v>
      </c>
      <c r="L5632" s="9">
        <v>1.683E-4</v>
      </c>
      <c r="M5632" s="9">
        <v>1.7359999999999999E-4</v>
      </c>
      <c r="N5632" s="9">
        <v>1.5597000000000001E-4</v>
      </c>
      <c r="O5632" s="9">
        <v>1.6980000000000001E-4</v>
      </c>
      <c r="P5632" s="9">
        <v>1.7192999999999999E-4</v>
      </c>
      <c r="Q5632" s="9">
        <v>1.7459999999999999E-4</v>
      </c>
      <c r="R5632" s="10">
        <v>1.9224566084352613E-4</v>
      </c>
      <c r="S5632" s="10">
        <v>1.9027860885459925E-4</v>
      </c>
      <c r="T5632" s="10">
        <v>7.1737296295260023E-4</v>
      </c>
      <c r="U5632" s="10">
        <v>7.0209999999999994E-5</v>
      </c>
      <c r="V5632" s="25"/>
      <c r="W5632" s="25"/>
      <c r="X5632" s="25"/>
      <c r="Y5632" s="25"/>
      <c r="Z5632" s="25"/>
      <c r="AA5632" s="25"/>
    </row>
    <row r="5633" spans="1:27" x14ac:dyDescent="0.35">
      <c r="A5633" s="5">
        <v>5629</v>
      </c>
      <c r="B5633" s="5">
        <v>235</v>
      </c>
      <c r="C5633" s="5">
        <v>8</v>
      </c>
      <c r="D5633" s="25">
        <v>1.1416E-4</v>
      </c>
      <c r="E5633" s="25">
        <v>1.1223E-4</v>
      </c>
      <c r="F5633" s="25">
        <v>1.0887000000000001E-4</v>
      </c>
      <c r="G5633" s="25">
        <v>1.6093999999999999E-4</v>
      </c>
      <c r="H5633" s="25">
        <v>1.9704E-4</v>
      </c>
      <c r="I5633" s="9">
        <v>1.0764000000000001E-4</v>
      </c>
      <c r="J5633" s="9">
        <v>1.2941999999999999E-4</v>
      </c>
      <c r="K5633" s="9">
        <v>0</v>
      </c>
      <c r="L5633" s="9">
        <v>1.6962999999999999E-4</v>
      </c>
      <c r="M5633" s="9">
        <v>1.7306E-4</v>
      </c>
      <c r="N5633" s="9">
        <v>1.6557E-4</v>
      </c>
      <c r="O5633" s="9">
        <v>1.6081E-4</v>
      </c>
      <c r="P5633" s="9">
        <v>1.6369999999999999E-4</v>
      </c>
      <c r="Q5633" s="9">
        <v>1.6709E-4</v>
      </c>
      <c r="R5633" s="10">
        <v>2.0634946079553201E-4</v>
      </c>
      <c r="S5633" s="10">
        <v>1.9026867241532221E-4</v>
      </c>
      <c r="T5633" s="10">
        <v>5.9509724071834624E-4</v>
      </c>
      <c r="U5633" s="10">
        <v>7.0209999999999994E-5</v>
      </c>
      <c r="V5633" s="25"/>
      <c r="W5633" s="25"/>
      <c r="X5633" s="25"/>
      <c r="Y5633" s="25"/>
      <c r="Z5633" s="25"/>
      <c r="AA5633" s="25"/>
    </row>
    <row r="5634" spans="1:27" x14ac:dyDescent="0.35">
      <c r="A5634" s="5">
        <v>5630</v>
      </c>
      <c r="B5634" s="5">
        <v>235</v>
      </c>
      <c r="C5634" s="5">
        <v>8</v>
      </c>
      <c r="D5634" s="25">
        <v>1.1415000000000001E-4</v>
      </c>
      <c r="E5634" s="25">
        <v>1.1E-4</v>
      </c>
      <c r="F5634" s="25">
        <v>1.0545E-4</v>
      </c>
      <c r="G5634" s="25">
        <v>1.6532E-4</v>
      </c>
      <c r="H5634" s="25">
        <v>1.8870000000000001E-4</v>
      </c>
      <c r="I5634" s="9">
        <v>1.0840000000000001E-4</v>
      </c>
      <c r="J5634" s="9">
        <v>1.2709E-4</v>
      </c>
      <c r="K5634" s="9">
        <v>0</v>
      </c>
      <c r="L5634" s="9">
        <v>1.6246000000000001E-4</v>
      </c>
      <c r="M5634" s="9">
        <v>1.6954000000000001E-4</v>
      </c>
      <c r="N5634" s="9">
        <v>1.6988999999999999E-4</v>
      </c>
      <c r="O5634" s="9">
        <v>1.7603000000000001E-4</v>
      </c>
      <c r="P5634" s="9">
        <v>1.6734000000000001E-4</v>
      </c>
      <c r="Q5634" s="9">
        <v>1.5938000000000001E-4</v>
      </c>
      <c r="R5634" s="10">
        <v>2.085543858924326E-4</v>
      </c>
      <c r="S5634" s="10">
        <v>1.8997225751839886E-4</v>
      </c>
      <c r="T5634" s="10">
        <v>6.6158869472541311E-4</v>
      </c>
      <c r="U5634" s="10">
        <v>7.0209999999999994E-5</v>
      </c>
      <c r="V5634" s="25"/>
      <c r="W5634" s="25"/>
      <c r="X5634" s="25"/>
      <c r="Y5634" s="25"/>
      <c r="Z5634" s="25"/>
      <c r="AA5634" s="25"/>
    </row>
    <row r="5635" spans="1:27" x14ac:dyDescent="0.35">
      <c r="A5635" s="5">
        <v>5631</v>
      </c>
      <c r="B5635" s="5">
        <v>235</v>
      </c>
      <c r="C5635" s="5">
        <v>8</v>
      </c>
      <c r="D5635" s="25">
        <v>1.1416E-4</v>
      </c>
      <c r="E5635" s="25">
        <v>1.0967999999999999E-4</v>
      </c>
      <c r="F5635" s="25">
        <v>1.1711E-4</v>
      </c>
      <c r="G5635" s="25">
        <v>1.6096E-4</v>
      </c>
      <c r="H5635" s="25">
        <v>1.9872999999999999E-4</v>
      </c>
      <c r="I5635" s="9">
        <v>1.0768E-4</v>
      </c>
      <c r="J5635" s="9">
        <v>1.2506E-4</v>
      </c>
      <c r="K5635" s="9">
        <v>0</v>
      </c>
      <c r="L5635" s="9">
        <v>1.7322E-4</v>
      </c>
      <c r="M5635" s="9">
        <v>1.6772E-4</v>
      </c>
      <c r="N5635" s="9">
        <v>1.6924999999999999E-4</v>
      </c>
      <c r="O5635" s="9">
        <v>1.8129999999999999E-4</v>
      </c>
      <c r="P5635" s="9">
        <v>1.6585999999999999E-4</v>
      </c>
      <c r="Q5635" s="9">
        <v>1.5128E-4</v>
      </c>
      <c r="R5635" s="10">
        <v>2.0758013114751693E-4</v>
      </c>
      <c r="S5635" s="10">
        <v>1.8910706083959415E-4</v>
      </c>
      <c r="T5635" s="10">
        <v>3.7735618219628873E-4</v>
      </c>
      <c r="U5635" s="10">
        <v>7.0209999999999994E-5</v>
      </c>
      <c r="V5635" s="25"/>
      <c r="W5635" s="25"/>
      <c r="X5635" s="25"/>
      <c r="Y5635" s="25"/>
      <c r="Z5635" s="25"/>
      <c r="AA5635" s="25"/>
    </row>
    <row r="5636" spans="1:27" x14ac:dyDescent="0.35">
      <c r="A5636" s="5">
        <v>5632</v>
      </c>
      <c r="B5636" s="5">
        <v>235</v>
      </c>
      <c r="C5636" s="5">
        <v>8</v>
      </c>
      <c r="D5636" s="25">
        <v>1.1415000000000001E-4</v>
      </c>
      <c r="E5636" s="25">
        <v>1.0698E-4</v>
      </c>
      <c r="F5636" s="25">
        <v>1.0882000000000001E-4</v>
      </c>
      <c r="G5636" s="25">
        <v>1.6273000000000001E-4</v>
      </c>
      <c r="H5636" s="25">
        <v>1.8961999999999999E-4</v>
      </c>
      <c r="I5636" s="9">
        <v>1.0678E-4</v>
      </c>
      <c r="J5636" s="9">
        <v>1.236E-4</v>
      </c>
      <c r="K5636" s="9">
        <v>0</v>
      </c>
      <c r="L5636" s="9">
        <v>1.7924999999999999E-4</v>
      </c>
      <c r="M5636" s="9">
        <v>1.6665000000000001E-4</v>
      </c>
      <c r="N5636" s="9">
        <v>1.6525000000000001E-4</v>
      </c>
      <c r="O5636" s="9">
        <v>1.9678999999999999E-4</v>
      </c>
      <c r="P5636" s="9">
        <v>1.5265999999999999E-4</v>
      </c>
      <c r="Q5636" s="9">
        <v>1.0991E-4</v>
      </c>
      <c r="R5636" s="10">
        <v>2.0241499179529695E-4</v>
      </c>
      <c r="S5636" s="10">
        <v>1.8661020037768149E-4</v>
      </c>
      <c r="T5636" s="10">
        <v>6.2037196848242082E-5</v>
      </c>
      <c r="U5636" s="10">
        <v>7.0209999999999994E-5</v>
      </c>
      <c r="V5636" s="25"/>
      <c r="W5636" s="25"/>
      <c r="X5636" s="25"/>
      <c r="Y5636" s="25"/>
      <c r="Z5636" s="25"/>
      <c r="AA5636" s="25"/>
    </row>
    <row r="5637" spans="1:27" x14ac:dyDescent="0.35">
      <c r="A5637" s="5">
        <v>5633</v>
      </c>
      <c r="B5637" s="5">
        <v>235</v>
      </c>
      <c r="C5637" s="5">
        <v>8</v>
      </c>
      <c r="D5637" s="25">
        <v>1.1416E-4</v>
      </c>
      <c r="E5637" s="25">
        <v>1.0751000000000001E-4</v>
      </c>
      <c r="F5637" s="25">
        <v>1.1315999999999999E-4</v>
      </c>
      <c r="G5637" s="25">
        <v>1.6401999999999999E-4</v>
      </c>
      <c r="H5637" s="25">
        <v>1.9668999999999999E-4</v>
      </c>
      <c r="I5637" s="9">
        <v>1.1033E-4</v>
      </c>
      <c r="J5637" s="9">
        <v>1.2433999999999999E-4</v>
      </c>
      <c r="K5637" s="9">
        <v>0</v>
      </c>
      <c r="L5637" s="9">
        <v>1.9270999999999999E-4</v>
      </c>
      <c r="M5637" s="9">
        <v>1.6144999999999999E-4</v>
      </c>
      <c r="N5637" s="9">
        <v>1.5176E-4</v>
      </c>
      <c r="O5637" s="9">
        <v>2.1382000000000001E-4</v>
      </c>
      <c r="P5637" s="9">
        <v>1.5988999999999999E-4</v>
      </c>
      <c r="Q5637" s="9">
        <v>1.0754E-4</v>
      </c>
      <c r="R5637" s="10">
        <v>1.8708495180922108E-4</v>
      </c>
      <c r="S5637" s="10">
        <v>1.8294679427581853E-4</v>
      </c>
      <c r="T5637" s="10">
        <v>2.5486835247828122E-5</v>
      </c>
      <c r="U5637" s="10">
        <v>7.0209999999999994E-5</v>
      </c>
      <c r="V5637" s="25"/>
      <c r="W5637" s="25"/>
      <c r="X5637" s="25"/>
      <c r="Y5637" s="25"/>
      <c r="Z5637" s="25"/>
      <c r="AA5637" s="25"/>
    </row>
    <row r="5638" spans="1:27" x14ac:dyDescent="0.35">
      <c r="A5638" s="5">
        <v>5634</v>
      </c>
      <c r="B5638" s="5">
        <v>235</v>
      </c>
      <c r="C5638" s="5">
        <v>8</v>
      </c>
      <c r="D5638" s="25">
        <v>1.1415000000000001E-4</v>
      </c>
      <c r="E5638" s="25">
        <v>1.0909E-4</v>
      </c>
      <c r="F5638" s="25">
        <v>1.0984000000000001E-4</v>
      </c>
      <c r="G5638" s="25">
        <v>1.6093999999999999E-4</v>
      </c>
      <c r="H5638" s="25">
        <v>1.8929E-4</v>
      </c>
      <c r="I5638" s="9">
        <v>1.1326E-4</v>
      </c>
      <c r="J5638" s="9">
        <v>1.2E-4</v>
      </c>
      <c r="K5638" s="9">
        <v>0</v>
      </c>
      <c r="L5638" s="9">
        <v>2.0887999999999999E-4</v>
      </c>
      <c r="M5638" s="9">
        <v>1.5946999999999999E-4</v>
      </c>
      <c r="N5638" s="9">
        <v>1.3865000000000001E-4</v>
      </c>
      <c r="O5638" s="9">
        <v>2.0537999999999999E-4</v>
      </c>
      <c r="P5638" s="9">
        <v>1.6107E-4</v>
      </c>
      <c r="Q5638" s="9">
        <v>1.1817E-4</v>
      </c>
      <c r="R5638" s="10">
        <v>1.6779319722695478E-4</v>
      </c>
      <c r="S5638" s="10">
        <v>1.8197970984081354E-4</v>
      </c>
      <c r="T5638" s="10">
        <v>2.0175663854638906E-5</v>
      </c>
      <c r="U5638" s="10">
        <v>7.0209999999999994E-5</v>
      </c>
      <c r="V5638" s="25"/>
      <c r="W5638" s="25"/>
      <c r="X5638" s="25"/>
      <c r="Y5638" s="25"/>
      <c r="Z5638" s="25"/>
      <c r="AA5638" s="25"/>
    </row>
    <row r="5639" spans="1:27" x14ac:dyDescent="0.35">
      <c r="A5639" s="5">
        <v>5635</v>
      </c>
      <c r="B5639" s="5">
        <v>235</v>
      </c>
      <c r="C5639" s="5">
        <v>8</v>
      </c>
      <c r="D5639" s="25">
        <v>1.1416E-4</v>
      </c>
      <c r="E5639" s="25">
        <v>1.0907E-4</v>
      </c>
      <c r="F5639" s="25">
        <v>1.2706999999999999E-4</v>
      </c>
      <c r="G5639" s="25">
        <v>1.1513E-4</v>
      </c>
      <c r="H5639" s="25">
        <v>1.3365999999999999E-4</v>
      </c>
      <c r="I5639" s="9">
        <v>1.1485E-4</v>
      </c>
      <c r="J5639" s="9">
        <v>1.1739E-4</v>
      </c>
      <c r="K5639" s="9">
        <v>2.332E-5</v>
      </c>
      <c r="L5639" s="9">
        <v>2.0573E-4</v>
      </c>
      <c r="M5639" s="9">
        <v>1.5967999999999999E-4</v>
      </c>
      <c r="N5639" s="9">
        <v>1.2983999999999999E-4</v>
      </c>
      <c r="O5639" s="9">
        <v>1.6224999999999999E-4</v>
      </c>
      <c r="P5639" s="9">
        <v>1.3368000000000001E-4</v>
      </c>
      <c r="Q5639" s="9">
        <v>1.061E-4</v>
      </c>
      <c r="R5639" s="10">
        <v>1.4808643248473091E-4</v>
      </c>
      <c r="S5639" s="10">
        <v>1.8247114227434164E-4</v>
      </c>
      <c r="T5639" s="10">
        <v>6.0238525386011863E-6</v>
      </c>
      <c r="U5639" s="10">
        <v>7.0209999999999994E-5</v>
      </c>
      <c r="V5639" s="25"/>
      <c r="W5639" s="25"/>
      <c r="X5639" s="25"/>
      <c r="Y5639" s="25"/>
      <c r="Z5639" s="25"/>
      <c r="AA5639" s="25"/>
    </row>
    <row r="5640" spans="1:27" x14ac:dyDescent="0.35">
      <c r="A5640" s="5">
        <v>5636</v>
      </c>
      <c r="B5640" s="5">
        <v>235</v>
      </c>
      <c r="C5640" s="5">
        <v>8</v>
      </c>
      <c r="D5640" s="25">
        <v>1.1415000000000001E-4</v>
      </c>
      <c r="E5640" s="25">
        <v>1.1E-4</v>
      </c>
      <c r="F5640" s="25">
        <v>1.2364E-4</v>
      </c>
      <c r="G5640" s="25">
        <v>1.1513E-4</v>
      </c>
      <c r="H5640" s="25">
        <v>1.3081E-4</v>
      </c>
      <c r="I5640" s="9">
        <v>1.1401E-4</v>
      </c>
      <c r="J5640" s="9">
        <v>1.1535E-4</v>
      </c>
      <c r="K5640" s="9">
        <v>4.0269999999999999E-5</v>
      </c>
      <c r="L5640" s="9">
        <v>1.7199000000000001E-4</v>
      </c>
      <c r="M5640" s="9">
        <v>1.5051999999999999E-4</v>
      </c>
      <c r="N5640" s="9">
        <v>1.2065000000000001E-4</v>
      </c>
      <c r="O5640" s="9">
        <v>1.2860000000000001E-4</v>
      </c>
      <c r="P5640" s="9">
        <v>1.1498E-4</v>
      </c>
      <c r="Q5640" s="9">
        <v>1.02E-4</v>
      </c>
      <c r="R5640" s="10">
        <v>1.3951478454002326E-4</v>
      </c>
      <c r="S5640" s="10">
        <v>1.8239743991367991E-4</v>
      </c>
      <c r="T5640" s="10">
        <v>0</v>
      </c>
      <c r="U5640" s="10">
        <v>7.0209999999999994E-5</v>
      </c>
      <c r="V5640" s="25"/>
      <c r="W5640" s="25"/>
      <c r="X5640" s="25"/>
      <c r="Y5640" s="25"/>
      <c r="Z5640" s="25"/>
      <c r="AA5640" s="25"/>
    </row>
    <row r="5641" spans="1:27" x14ac:dyDescent="0.35">
      <c r="A5641" s="5">
        <v>5637</v>
      </c>
      <c r="B5641" s="5">
        <v>235</v>
      </c>
      <c r="C5641" s="5">
        <v>8</v>
      </c>
      <c r="D5641" s="25">
        <v>1.1416E-4</v>
      </c>
      <c r="E5641" s="25">
        <v>1.144E-4</v>
      </c>
      <c r="F5641" s="25">
        <v>1.2244999999999999E-4</v>
      </c>
      <c r="G5641" s="25">
        <v>5.8159999999999999E-5</v>
      </c>
      <c r="H5641" s="25">
        <v>7.64E-5</v>
      </c>
      <c r="I5641" s="9">
        <v>1.1518000000000001E-4</v>
      </c>
      <c r="J5641" s="9">
        <v>1.1745E-4</v>
      </c>
      <c r="K5641" s="9">
        <v>5.9339999999999998E-5</v>
      </c>
      <c r="L5641" s="9">
        <v>1.3919E-4</v>
      </c>
      <c r="M5641" s="9">
        <v>1.3514000000000001E-4</v>
      </c>
      <c r="N5641" s="9">
        <v>1.131E-4</v>
      </c>
      <c r="O5641" s="9">
        <v>8.4149999999999999E-5</v>
      </c>
      <c r="P5641" s="9">
        <v>8.5900000000000001E-5</v>
      </c>
      <c r="Q5641" s="9">
        <v>8.789E-5</v>
      </c>
      <c r="R5641" s="10">
        <v>1.2840719058027761E-4</v>
      </c>
      <c r="S5641" s="10">
        <v>1.8188032819568681E-4</v>
      </c>
      <c r="T5641" s="10">
        <v>0</v>
      </c>
      <c r="U5641" s="10">
        <v>7.0209999999999994E-5</v>
      </c>
      <c r="V5641" s="25"/>
      <c r="W5641" s="25"/>
      <c r="X5641" s="25"/>
      <c r="Y5641" s="25"/>
      <c r="Z5641" s="25"/>
      <c r="AA5641" s="25"/>
    </row>
    <row r="5642" spans="1:27" x14ac:dyDescent="0.35">
      <c r="A5642" s="5">
        <v>5638</v>
      </c>
      <c r="B5642" s="5">
        <v>235</v>
      </c>
      <c r="C5642" s="5">
        <v>8</v>
      </c>
      <c r="D5642" s="25">
        <v>1.1415000000000001E-4</v>
      </c>
      <c r="E5642" s="25">
        <v>1.0958E-4</v>
      </c>
      <c r="F5642" s="25">
        <v>1.2531E-4</v>
      </c>
      <c r="G5642" s="25">
        <v>5.5649999999999997E-5</v>
      </c>
      <c r="H5642" s="25">
        <v>7.5560000000000002E-5</v>
      </c>
      <c r="I5642" s="9">
        <v>1.1333E-4</v>
      </c>
      <c r="J5642" s="9">
        <v>1.1150999999999999E-4</v>
      </c>
      <c r="K5642" s="9">
        <v>9.7490000000000003E-5</v>
      </c>
      <c r="L5642" s="9">
        <v>9.7150000000000003E-5</v>
      </c>
      <c r="M5642" s="9">
        <v>1.1348E-4</v>
      </c>
      <c r="N5642" s="9">
        <v>1.0545E-4</v>
      </c>
      <c r="O5642" s="9">
        <v>8.7059999999999997E-5</v>
      </c>
      <c r="P5642" s="9">
        <v>8.7440000000000003E-5</v>
      </c>
      <c r="Q5642" s="9">
        <v>8.8079999999999997E-5</v>
      </c>
      <c r="R5642" s="10">
        <v>1.1655257707029146E-4</v>
      </c>
      <c r="S5642" s="10">
        <v>1.7913467225394008E-4</v>
      </c>
      <c r="T5642" s="10">
        <v>0</v>
      </c>
      <c r="U5642" s="10">
        <v>7.0209999999999994E-5</v>
      </c>
      <c r="V5642" s="25"/>
      <c r="W5642" s="25"/>
      <c r="X5642" s="25"/>
      <c r="Y5642" s="25"/>
      <c r="Z5642" s="25"/>
      <c r="AA5642" s="25"/>
    </row>
    <row r="5643" spans="1:27" x14ac:dyDescent="0.35">
      <c r="A5643" s="5">
        <v>5639</v>
      </c>
      <c r="B5643" s="5">
        <v>235</v>
      </c>
      <c r="C5643" s="5">
        <v>8</v>
      </c>
      <c r="D5643" s="25">
        <v>1.1416E-4</v>
      </c>
      <c r="E5643" s="25">
        <v>1.0768E-4</v>
      </c>
      <c r="F5643" s="25">
        <v>1.0687E-4</v>
      </c>
      <c r="G5643" s="25">
        <v>5.825E-5</v>
      </c>
      <c r="H5643" s="25">
        <v>6.4729999999999999E-5</v>
      </c>
      <c r="I5643" s="9">
        <v>1.0791E-4</v>
      </c>
      <c r="J5643" s="9">
        <v>1.0505000000000001E-4</v>
      </c>
      <c r="K5643" s="9">
        <v>1.1656E-4</v>
      </c>
      <c r="L5643" s="9">
        <v>9.0199999999999997E-5</v>
      </c>
      <c r="M5643" s="9">
        <v>9.8800000000000003E-5</v>
      </c>
      <c r="N5643" s="9">
        <v>9.9630000000000007E-5</v>
      </c>
      <c r="O5643" s="9">
        <v>7.839E-5</v>
      </c>
      <c r="P5643" s="9">
        <v>7.2760000000000001E-5</v>
      </c>
      <c r="Q5643" s="9">
        <v>6.7470000000000003E-5</v>
      </c>
      <c r="R5643" s="10">
        <v>1.0525976965145645E-4</v>
      </c>
      <c r="S5643" s="10">
        <v>1.7644445560999E-4</v>
      </c>
      <c r="T5643" s="10">
        <v>0</v>
      </c>
      <c r="U5643" s="10">
        <v>7.0209999999999994E-5</v>
      </c>
      <c r="V5643" s="25"/>
      <c r="W5643" s="25"/>
      <c r="X5643" s="25"/>
      <c r="Y5643" s="25"/>
      <c r="Z5643" s="25"/>
      <c r="AA5643" s="25"/>
    </row>
    <row r="5644" spans="1:27" x14ac:dyDescent="0.35">
      <c r="A5644" s="5">
        <v>5640</v>
      </c>
      <c r="B5644" s="5">
        <v>235</v>
      </c>
      <c r="C5644" s="5">
        <v>8</v>
      </c>
      <c r="D5644" s="25">
        <v>1.1415000000000001E-4</v>
      </c>
      <c r="E5644" s="25">
        <v>1.1044000000000001E-4</v>
      </c>
      <c r="F5644" s="25">
        <v>1.1107000000000001E-4</v>
      </c>
      <c r="G5644" s="25">
        <v>6.122E-5</v>
      </c>
      <c r="H5644" s="25">
        <v>7.3720000000000006E-5</v>
      </c>
      <c r="I5644" s="9">
        <v>1.0077999999999999E-4</v>
      </c>
      <c r="J5644" s="9">
        <v>9.7609999999999995E-5</v>
      </c>
      <c r="K5644" s="9">
        <v>1.314E-4</v>
      </c>
      <c r="L5644" s="9">
        <v>8.0980000000000001E-5</v>
      </c>
      <c r="M5644" s="9">
        <v>8.619E-5</v>
      </c>
      <c r="N5644" s="9">
        <v>9.0509999999999999E-5</v>
      </c>
      <c r="O5644" s="9">
        <v>6.2749999999999994E-5</v>
      </c>
      <c r="P5644" s="9">
        <v>6.0730000000000003E-5</v>
      </c>
      <c r="Q5644" s="9">
        <v>5.8909999999999997E-5</v>
      </c>
      <c r="R5644" s="10">
        <v>9.3347218747737113E-5</v>
      </c>
      <c r="S5644" s="10">
        <v>1.6455424330405016E-4</v>
      </c>
      <c r="T5644" s="10">
        <v>0</v>
      </c>
      <c r="U5644" s="10">
        <v>7.0209999999999994E-5</v>
      </c>
      <c r="V5644" s="25"/>
      <c r="W5644" s="25"/>
      <c r="X5644" s="25"/>
      <c r="Y5644" s="25"/>
      <c r="Z5644" s="25"/>
      <c r="AA5644" s="25"/>
    </row>
    <row r="5645" spans="1:27" x14ac:dyDescent="0.35">
      <c r="A5645" s="5">
        <v>5641</v>
      </c>
      <c r="B5645" s="5">
        <v>236</v>
      </c>
      <c r="C5645" s="5">
        <v>8</v>
      </c>
      <c r="D5645" s="25">
        <v>1.1416E-4</v>
      </c>
      <c r="E5645" s="25">
        <v>1.205E-4</v>
      </c>
      <c r="F5645" s="25">
        <v>1.2199E-4</v>
      </c>
      <c r="G5645" s="25">
        <v>5.5519999999999997E-5</v>
      </c>
      <c r="H5645" s="25">
        <v>6.7100000000000005E-5</v>
      </c>
      <c r="I5645" s="9">
        <v>9.6630000000000001E-5</v>
      </c>
      <c r="J5645" s="9">
        <v>9.2440000000000003E-5</v>
      </c>
      <c r="K5645" s="9">
        <v>1.1869E-4</v>
      </c>
      <c r="L5645" s="9">
        <v>6.6740000000000001E-5</v>
      </c>
      <c r="M5645" s="9">
        <v>7.4140000000000005E-5</v>
      </c>
      <c r="N5645" s="9">
        <v>8.1149999999999994E-5</v>
      </c>
      <c r="O5645" s="9">
        <v>5.427E-5</v>
      </c>
      <c r="P5645" s="9">
        <v>5.3690000000000003E-5</v>
      </c>
      <c r="Q5645" s="9">
        <v>5.3270000000000003E-5</v>
      </c>
      <c r="R5645" s="10">
        <v>8.0888663979653054E-5</v>
      </c>
      <c r="S5645" s="10">
        <v>1.5015897545367357E-4</v>
      </c>
      <c r="T5645" s="10">
        <v>0</v>
      </c>
      <c r="U5645" s="10">
        <v>6.9430000000000004E-5</v>
      </c>
      <c r="V5645" s="25"/>
      <c r="W5645" s="25"/>
      <c r="X5645" s="25"/>
      <c r="Y5645" s="25"/>
      <c r="Z5645" s="25"/>
      <c r="AA5645" s="25"/>
    </row>
    <row r="5646" spans="1:27" x14ac:dyDescent="0.35">
      <c r="A5646" s="5">
        <v>5642</v>
      </c>
      <c r="B5646" s="5">
        <v>236</v>
      </c>
      <c r="C5646" s="5">
        <v>8</v>
      </c>
      <c r="D5646" s="25">
        <v>1.1415000000000001E-4</v>
      </c>
      <c r="E5646" s="25">
        <v>1.195E-4</v>
      </c>
      <c r="F5646" s="25">
        <v>1.4092E-4</v>
      </c>
      <c r="G5646" s="25">
        <v>5.4500000000000003E-5</v>
      </c>
      <c r="H5646" s="25">
        <v>6.9579999999999995E-5</v>
      </c>
      <c r="I5646" s="9">
        <v>9.4069999999999999E-5</v>
      </c>
      <c r="J5646" s="9">
        <v>9.0400000000000002E-5</v>
      </c>
      <c r="K5646" s="9">
        <v>1.3564E-4</v>
      </c>
      <c r="L5646" s="9">
        <v>5.7399999999999999E-5</v>
      </c>
      <c r="M5646" s="9">
        <v>6.3910000000000003E-5</v>
      </c>
      <c r="N5646" s="9">
        <v>7.203E-5</v>
      </c>
      <c r="O5646" s="9">
        <v>1.8989999999999999E-5</v>
      </c>
      <c r="P5646" s="9">
        <v>3.7639999999999999E-5</v>
      </c>
      <c r="Q5646" s="9">
        <v>5.6020000000000002E-5</v>
      </c>
      <c r="R5646" s="10">
        <v>6.1332327550424855E-5</v>
      </c>
      <c r="S5646" s="10">
        <v>1.3360506847815513E-4</v>
      </c>
      <c r="T5646" s="10">
        <v>0</v>
      </c>
      <c r="U5646" s="10">
        <v>6.9430000000000004E-5</v>
      </c>
      <c r="V5646" s="25"/>
      <c r="W5646" s="25"/>
      <c r="X5646" s="25"/>
      <c r="Y5646" s="25"/>
      <c r="Z5646" s="25"/>
      <c r="AA5646" s="25"/>
    </row>
    <row r="5647" spans="1:27" x14ac:dyDescent="0.35">
      <c r="A5647" s="5">
        <v>5643</v>
      </c>
      <c r="B5647" s="5">
        <v>236</v>
      </c>
      <c r="C5647" s="5">
        <v>8</v>
      </c>
      <c r="D5647" s="25">
        <v>1.1416E-4</v>
      </c>
      <c r="E5647" s="25">
        <v>1.1340000000000001E-4</v>
      </c>
      <c r="F5647" s="25">
        <v>1.2991000000000001E-4</v>
      </c>
      <c r="G5647" s="25">
        <v>5.6789999999999997E-5</v>
      </c>
      <c r="H5647" s="25">
        <v>7.3029999999999997E-5</v>
      </c>
      <c r="I5647" s="9">
        <v>9.3239999999999995E-5</v>
      </c>
      <c r="J5647" s="9">
        <v>8.9499999999999994E-5</v>
      </c>
      <c r="K5647" s="9">
        <v>1.3564E-4</v>
      </c>
      <c r="L5647" s="9">
        <v>2.7659999999999999E-5</v>
      </c>
      <c r="M5647" s="9">
        <v>5.2110000000000001E-5</v>
      </c>
      <c r="N5647" s="9">
        <v>6.546E-5</v>
      </c>
      <c r="O5647" s="9">
        <v>1.348E-5</v>
      </c>
      <c r="P5647" s="9">
        <v>3.7450000000000002E-5</v>
      </c>
      <c r="Q5647" s="9">
        <v>6.1029999999999997E-5</v>
      </c>
      <c r="R5647" s="10">
        <v>4.7954277093095839E-5</v>
      </c>
      <c r="S5647" s="10">
        <v>1.2081522271713769E-4</v>
      </c>
      <c r="T5647" s="10">
        <v>0</v>
      </c>
      <c r="U5647" s="10">
        <v>6.9430000000000004E-5</v>
      </c>
      <c r="V5647" s="25"/>
      <c r="W5647" s="25"/>
      <c r="X5647" s="25"/>
      <c r="Y5647" s="25"/>
      <c r="Z5647" s="25"/>
      <c r="AA5647" s="25"/>
    </row>
    <row r="5648" spans="1:27" x14ac:dyDescent="0.35">
      <c r="A5648" s="5">
        <v>5644</v>
      </c>
      <c r="B5648" s="5">
        <v>236</v>
      </c>
      <c r="C5648" s="5">
        <v>8</v>
      </c>
      <c r="D5648" s="25">
        <v>1.1415000000000001E-4</v>
      </c>
      <c r="E5648" s="25">
        <v>1.1982E-4</v>
      </c>
      <c r="F5648" s="25">
        <v>1.3116000000000001E-4</v>
      </c>
      <c r="G5648" s="25">
        <v>6.0439999999999997E-5</v>
      </c>
      <c r="H5648" s="25">
        <v>6.2639999999999997E-5</v>
      </c>
      <c r="I5648" s="9">
        <v>9.3629999999999996E-5</v>
      </c>
      <c r="J5648" s="9">
        <v>8.9599999999999996E-5</v>
      </c>
      <c r="K5648" s="9">
        <v>1.208E-4</v>
      </c>
      <c r="L5648" s="9">
        <v>1.7329999999999998E-5</v>
      </c>
      <c r="M5648" s="9">
        <v>4.4020000000000002E-5</v>
      </c>
      <c r="N5648" s="9">
        <v>6.1779999999999995E-5</v>
      </c>
      <c r="O5648" s="9">
        <v>1.366E-5</v>
      </c>
      <c r="P5648" s="9">
        <v>4.744E-5</v>
      </c>
      <c r="Q5648" s="9">
        <v>8.0690000000000002E-5</v>
      </c>
      <c r="R5648" s="10">
        <v>3.3091375033561381E-5</v>
      </c>
      <c r="S5648" s="10">
        <v>1.1339787630818785E-4</v>
      </c>
      <c r="T5648" s="10">
        <v>0</v>
      </c>
      <c r="U5648" s="10">
        <v>6.9430000000000004E-5</v>
      </c>
      <c r="V5648" s="25"/>
      <c r="W5648" s="25"/>
      <c r="X5648" s="25"/>
      <c r="Y5648" s="25"/>
      <c r="Z5648" s="25"/>
      <c r="AA5648" s="25"/>
    </row>
    <row r="5649" spans="1:27" x14ac:dyDescent="0.35">
      <c r="A5649" s="5">
        <v>5645</v>
      </c>
      <c r="B5649" s="5">
        <v>236</v>
      </c>
      <c r="C5649" s="5">
        <v>8</v>
      </c>
      <c r="D5649" s="25">
        <v>1.1416E-4</v>
      </c>
      <c r="E5649" s="25">
        <v>1.1485E-4</v>
      </c>
      <c r="F5649" s="25">
        <v>1.2123E-4</v>
      </c>
      <c r="G5649" s="25">
        <v>5.677E-5</v>
      </c>
      <c r="H5649" s="25">
        <v>6.4480000000000006E-5</v>
      </c>
      <c r="I5649" s="9">
        <v>9.8049999999999998E-5</v>
      </c>
      <c r="J5649" s="9">
        <v>9.2529999999999997E-5</v>
      </c>
      <c r="K5649" s="9">
        <v>1.1021E-4</v>
      </c>
      <c r="L5649" s="9">
        <v>1.471E-5</v>
      </c>
      <c r="M5649" s="9">
        <v>4.3430000000000003E-5</v>
      </c>
      <c r="N5649" s="9">
        <v>6.4369999999999995E-5</v>
      </c>
      <c r="O5649" s="9">
        <v>1.912E-5</v>
      </c>
      <c r="P5649" s="9">
        <v>5.6839999999999998E-5</v>
      </c>
      <c r="Q5649" s="9">
        <v>9.3999999999999994E-5</v>
      </c>
      <c r="R5649" s="10">
        <v>2.3900715860234167E-5</v>
      </c>
      <c r="S5649" s="10">
        <v>1.0473812823277756E-4</v>
      </c>
      <c r="T5649" s="10">
        <v>0</v>
      </c>
      <c r="U5649" s="10">
        <v>6.9430000000000004E-5</v>
      </c>
      <c r="V5649" s="25"/>
      <c r="W5649" s="25"/>
      <c r="X5649" s="25"/>
      <c r="Y5649" s="25"/>
      <c r="Z5649" s="25"/>
      <c r="AA5649" s="25"/>
    </row>
    <row r="5650" spans="1:27" x14ac:dyDescent="0.35">
      <c r="A5650" s="5">
        <v>5646</v>
      </c>
      <c r="B5650" s="5">
        <v>236</v>
      </c>
      <c r="C5650" s="5">
        <v>8</v>
      </c>
      <c r="D5650" s="25">
        <v>1.1415000000000001E-4</v>
      </c>
      <c r="E5650" s="25">
        <v>1.1882E-4</v>
      </c>
      <c r="F5650" s="25">
        <v>1.3752E-4</v>
      </c>
      <c r="G5650" s="25">
        <v>1.0778E-4</v>
      </c>
      <c r="H5650" s="25">
        <v>1.2517999999999999E-4</v>
      </c>
      <c r="I5650" s="9">
        <v>1.0473E-4</v>
      </c>
      <c r="J5650" s="9">
        <v>1.0005000000000001E-4</v>
      </c>
      <c r="K5650" s="9">
        <v>6.5699999999999998E-5</v>
      </c>
      <c r="L5650" s="9">
        <v>1.8009999999999999E-5</v>
      </c>
      <c r="M5650" s="9">
        <v>4.846E-5</v>
      </c>
      <c r="N5650" s="9">
        <v>7.1009999999999999E-5</v>
      </c>
      <c r="O5650" s="9">
        <v>4.6010000000000002E-5</v>
      </c>
      <c r="P5650" s="9">
        <v>7.6329999999999996E-5</v>
      </c>
      <c r="Q5650" s="9">
        <v>1.0629E-4</v>
      </c>
      <c r="R5650" s="10">
        <v>1.7828631469958625E-5</v>
      </c>
      <c r="S5650" s="10">
        <v>9.433460702523537E-5</v>
      </c>
      <c r="T5650" s="10">
        <v>0</v>
      </c>
      <c r="U5650" s="10">
        <v>6.9430000000000004E-5</v>
      </c>
      <c r="V5650" s="25"/>
      <c r="W5650" s="25"/>
      <c r="X5650" s="25"/>
      <c r="Y5650" s="25"/>
      <c r="Z5650" s="25"/>
      <c r="AA5650" s="25"/>
    </row>
    <row r="5651" spans="1:27" x14ac:dyDescent="0.35">
      <c r="A5651" s="5">
        <v>5647</v>
      </c>
      <c r="B5651" s="5">
        <v>236</v>
      </c>
      <c r="C5651" s="5">
        <v>8</v>
      </c>
      <c r="D5651" s="25">
        <v>1.1416E-4</v>
      </c>
      <c r="E5651" s="25">
        <v>1.1564E-4</v>
      </c>
      <c r="F5651" s="25">
        <v>1.3130999999999999E-4</v>
      </c>
      <c r="G5651" s="25">
        <v>1.0958E-4</v>
      </c>
      <c r="H5651" s="25">
        <v>1.3755000000000001E-4</v>
      </c>
      <c r="I5651" s="9">
        <v>1.1167000000000001E-4</v>
      </c>
      <c r="J5651" s="9">
        <v>1.1106E-4</v>
      </c>
      <c r="K5651" s="9">
        <v>4.2389999999999999E-5</v>
      </c>
      <c r="L5651" s="9">
        <v>3.9709999999999998E-5</v>
      </c>
      <c r="M5651" s="9">
        <v>5.9910000000000001E-5</v>
      </c>
      <c r="N5651" s="9">
        <v>8.0580000000000004E-5</v>
      </c>
      <c r="O5651" s="9">
        <v>1.2339E-4</v>
      </c>
      <c r="P5651" s="9">
        <v>1.1794E-4</v>
      </c>
      <c r="Q5651" s="9">
        <v>1.1297E-4</v>
      </c>
      <c r="R5651" s="10">
        <v>1.3084702767644509E-5</v>
      </c>
      <c r="S5651" s="10">
        <v>9.0711915635590236E-5</v>
      </c>
      <c r="T5651" s="10">
        <v>8.5742329232540271E-5</v>
      </c>
      <c r="U5651" s="10">
        <v>6.9430000000000004E-5</v>
      </c>
      <c r="V5651" s="25"/>
      <c r="W5651" s="25"/>
      <c r="X5651" s="25"/>
      <c r="Y5651" s="25"/>
      <c r="Z5651" s="25"/>
      <c r="AA5651" s="25"/>
    </row>
    <row r="5652" spans="1:27" x14ac:dyDescent="0.35">
      <c r="A5652" s="5">
        <v>5648</v>
      </c>
      <c r="B5652" s="5">
        <v>236</v>
      </c>
      <c r="C5652" s="5">
        <v>8</v>
      </c>
      <c r="D5652" s="25">
        <v>1.1415000000000001E-4</v>
      </c>
      <c r="E5652" s="25">
        <v>1.1776E-4</v>
      </c>
      <c r="F5652" s="25">
        <v>1.2194E-4</v>
      </c>
      <c r="G5652" s="25">
        <v>1.6665000000000001E-4</v>
      </c>
      <c r="H5652" s="25">
        <v>1.9495999999999999E-4</v>
      </c>
      <c r="I5652" s="9">
        <v>1.1569E-4</v>
      </c>
      <c r="J5652" s="9">
        <v>1.2114E-4</v>
      </c>
      <c r="K5652" s="9">
        <v>0</v>
      </c>
      <c r="L5652" s="9">
        <v>1.0438E-4</v>
      </c>
      <c r="M5652" s="9">
        <v>8.3739999999999994E-5</v>
      </c>
      <c r="N5652" s="9">
        <v>9.0820000000000001E-5</v>
      </c>
      <c r="O5652" s="9">
        <v>2.1816000000000001E-4</v>
      </c>
      <c r="P5652" s="9">
        <v>1.7657999999999999E-4</v>
      </c>
      <c r="Q5652" s="9">
        <v>1.3641E-4</v>
      </c>
      <c r="R5652" s="10">
        <v>1.482283979494555E-5</v>
      </c>
      <c r="S5652" s="10">
        <v>9.1704042447071074E-5</v>
      </c>
      <c r="T5652" s="10">
        <v>1.840923272993923E-4</v>
      </c>
      <c r="U5652" s="10">
        <v>6.9430000000000004E-5</v>
      </c>
      <c r="V5652" s="25"/>
      <c r="W5652" s="25"/>
      <c r="X5652" s="25"/>
      <c r="Y5652" s="25"/>
      <c r="Z5652" s="25"/>
      <c r="AA5652" s="25"/>
    </row>
    <row r="5653" spans="1:27" x14ac:dyDescent="0.35">
      <c r="A5653" s="5">
        <v>5649</v>
      </c>
      <c r="B5653" s="5">
        <v>236</v>
      </c>
      <c r="C5653" s="5">
        <v>8</v>
      </c>
      <c r="D5653" s="25">
        <v>1.1416E-4</v>
      </c>
      <c r="E5653" s="25">
        <v>1.1614E-4</v>
      </c>
      <c r="F5653" s="25">
        <v>1.2769999999999999E-4</v>
      </c>
      <c r="G5653" s="25">
        <v>1.5871E-4</v>
      </c>
      <c r="H5653" s="25">
        <v>1.8608000000000001E-4</v>
      </c>
      <c r="I5653" s="9">
        <v>1.1451E-4</v>
      </c>
      <c r="J5653" s="9">
        <v>1.2527E-4</v>
      </c>
      <c r="K5653" s="9">
        <v>0</v>
      </c>
      <c r="L5653" s="9">
        <v>1.9136000000000001E-4</v>
      </c>
      <c r="M5653" s="9">
        <v>1.2333E-4</v>
      </c>
      <c r="N5653" s="9">
        <v>1.0453E-4</v>
      </c>
      <c r="O5653" s="9">
        <v>2.0945E-4</v>
      </c>
      <c r="P5653" s="9">
        <v>1.9227E-4</v>
      </c>
      <c r="Q5653" s="9">
        <v>1.7608000000000001E-4</v>
      </c>
      <c r="R5653" s="10">
        <v>1.778836924942491E-5</v>
      </c>
      <c r="S5653" s="10">
        <v>8.7737936023660467E-5</v>
      </c>
      <c r="T5653" s="10">
        <v>4.1896318620938765E-4</v>
      </c>
      <c r="U5653" s="10">
        <v>6.9430000000000004E-5</v>
      </c>
      <c r="V5653" s="25"/>
      <c r="W5653" s="25"/>
      <c r="X5653" s="25"/>
      <c r="Y5653" s="25"/>
      <c r="Z5653" s="25"/>
      <c r="AA5653" s="25"/>
    </row>
    <row r="5654" spans="1:27" x14ac:dyDescent="0.35">
      <c r="A5654" s="5">
        <v>5650</v>
      </c>
      <c r="B5654" s="5">
        <v>236</v>
      </c>
      <c r="C5654" s="5">
        <v>8</v>
      </c>
      <c r="D5654" s="25">
        <v>1.1415000000000001E-4</v>
      </c>
      <c r="E5654" s="25">
        <v>1.2155E-4</v>
      </c>
      <c r="F5654" s="25">
        <v>1.3317E-4</v>
      </c>
      <c r="G5654" s="25">
        <v>1.6472000000000001E-4</v>
      </c>
      <c r="H5654" s="25">
        <v>1.9647999999999999E-4</v>
      </c>
      <c r="I5654" s="9">
        <v>1.1357E-4</v>
      </c>
      <c r="J5654" s="9">
        <v>1.2652E-4</v>
      </c>
      <c r="K5654" s="9">
        <v>0</v>
      </c>
      <c r="L5654" s="9">
        <v>2.0319000000000001E-4</v>
      </c>
      <c r="M5654" s="9">
        <v>1.5818000000000001E-4</v>
      </c>
      <c r="N5654" s="9">
        <v>1.2437E-4</v>
      </c>
      <c r="O5654" s="9">
        <v>1.6494E-4</v>
      </c>
      <c r="P5654" s="9">
        <v>1.7242000000000001E-4</v>
      </c>
      <c r="Q5654" s="9">
        <v>1.8034999999999999E-4</v>
      </c>
      <c r="R5654" s="10">
        <v>1.5404951304629895E-5</v>
      </c>
      <c r="S5654" s="10">
        <v>8.0254823149000088E-5</v>
      </c>
      <c r="T5654" s="10">
        <v>3.6919428622145159E-4</v>
      </c>
      <c r="U5654" s="10">
        <v>6.9430000000000004E-5</v>
      </c>
      <c r="V5654" s="25"/>
      <c r="W5654" s="25"/>
      <c r="X5654" s="25"/>
      <c r="Y5654" s="25"/>
      <c r="Z5654" s="25"/>
      <c r="AA5654" s="25"/>
    </row>
    <row r="5655" spans="1:27" x14ac:dyDescent="0.35">
      <c r="A5655" s="5">
        <v>5651</v>
      </c>
      <c r="B5655" s="5">
        <v>236</v>
      </c>
      <c r="C5655" s="5">
        <v>8</v>
      </c>
      <c r="D5655" s="25">
        <v>1.1416E-4</v>
      </c>
      <c r="E5655" s="25">
        <v>1.1668E-4</v>
      </c>
      <c r="F5655" s="25">
        <v>1.3116000000000001E-4</v>
      </c>
      <c r="G5655" s="25">
        <v>1.6415000000000001E-4</v>
      </c>
      <c r="H5655" s="25">
        <v>1.9363E-4</v>
      </c>
      <c r="I5655" s="9">
        <v>1.1281E-4</v>
      </c>
      <c r="J5655" s="9">
        <v>1.2684E-4</v>
      </c>
      <c r="K5655" s="9">
        <v>0</v>
      </c>
      <c r="L5655" s="9">
        <v>1.7344999999999999E-4</v>
      </c>
      <c r="M5655" s="9">
        <v>1.7136000000000001E-4</v>
      </c>
      <c r="N5655" s="9">
        <v>1.4207E-4</v>
      </c>
      <c r="O5655" s="9">
        <v>1.6784999999999999E-4</v>
      </c>
      <c r="P5655" s="9">
        <v>1.741E-4</v>
      </c>
      <c r="Q5655" s="9">
        <v>1.8082999999999999E-4</v>
      </c>
      <c r="R5655" s="10">
        <v>2.2715671430008728E-5</v>
      </c>
      <c r="S5655" s="10">
        <v>7.8422149944403155E-5</v>
      </c>
      <c r="T5655" s="10">
        <v>1.7751699530303187E-4</v>
      </c>
      <c r="U5655" s="10">
        <v>6.9430000000000004E-5</v>
      </c>
      <c r="V5655" s="25"/>
      <c r="W5655" s="25"/>
      <c r="X5655" s="25"/>
      <c r="Y5655" s="25"/>
      <c r="Z5655" s="25"/>
      <c r="AA5655" s="25"/>
    </row>
    <row r="5656" spans="1:27" x14ac:dyDescent="0.35">
      <c r="A5656" s="5">
        <v>5652</v>
      </c>
      <c r="B5656" s="5">
        <v>236</v>
      </c>
      <c r="C5656" s="5">
        <v>8</v>
      </c>
      <c r="D5656" s="25">
        <v>1.1415000000000001E-4</v>
      </c>
      <c r="E5656" s="25">
        <v>1.1281E-4</v>
      </c>
      <c r="F5656" s="25">
        <v>1.3872E-4</v>
      </c>
      <c r="G5656" s="25">
        <v>1.6449999999999999E-4</v>
      </c>
      <c r="H5656" s="25">
        <v>1.9259999999999999E-4</v>
      </c>
      <c r="I5656" s="9">
        <v>1.0838E-4</v>
      </c>
      <c r="J5656" s="9">
        <v>1.2546000000000001E-4</v>
      </c>
      <c r="K5656" s="9">
        <v>0</v>
      </c>
      <c r="L5656" s="9">
        <v>1.705E-4</v>
      </c>
      <c r="M5656" s="9">
        <v>1.7453E-4</v>
      </c>
      <c r="N5656" s="9">
        <v>1.5650000000000001E-4</v>
      </c>
      <c r="O5656" s="9">
        <v>1.6861E-4</v>
      </c>
      <c r="P5656" s="9">
        <v>1.7072999999999999E-4</v>
      </c>
      <c r="Q5656" s="9">
        <v>1.7338999999999999E-4</v>
      </c>
      <c r="R5656" s="10">
        <v>3.7888793536616734E-5</v>
      </c>
      <c r="S5656" s="10">
        <v>6.3595850803404078E-5</v>
      </c>
      <c r="T5656" s="10">
        <v>9.5312618899501036E-5</v>
      </c>
      <c r="U5656" s="10">
        <v>6.9430000000000004E-5</v>
      </c>
      <c r="V5656" s="25"/>
      <c r="W5656" s="25"/>
      <c r="X5656" s="25"/>
      <c r="Y5656" s="25"/>
      <c r="Z5656" s="25"/>
      <c r="AA5656" s="25"/>
    </row>
    <row r="5657" spans="1:27" x14ac:dyDescent="0.35">
      <c r="A5657" s="5">
        <v>5653</v>
      </c>
      <c r="B5657" s="5">
        <v>236</v>
      </c>
      <c r="C5657" s="5">
        <v>8</v>
      </c>
      <c r="D5657" s="25">
        <v>1.1416E-4</v>
      </c>
      <c r="E5657" s="25">
        <v>1.1430999999999999E-4</v>
      </c>
      <c r="F5657" s="25">
        <v>1.2213999999999999E-4</v>
      </c>
      <c r="G5657" s="25">
        <v>1.6715999999999999E-4</v>
      </c>
      <c r="H5657" s="25">
        <v>1.9552E-4</v>
      </c>
      <c r="I5657" s="9">
        <v>1.0776E-4</v>
      </c>
      <c r="J5657" s="9">
        <v>1.2603000000000001E-4</v>
      </c>
      <c r="K5657" s="9">
        <v>0</v>
      </c>
      <c r="L5657" s="9">
        <v>1.6913E-4</v>
      </c>
      <c r="M5657" s="9">
        <v>1.7353E-4</v>
      </c>
      <c r="N5657" s="9">
        <v>1.6583E-4</v>
      </c>
      <c r="O5657" s="9">
        <v>1.5951999999999999E-4</v>
      </c>
      <c r="P5657" s="9">
        <v>1.6238E-4</v>
      </c>
      <c r="Q5657" s="9">
        <v>1.6574999999999999E-4</v>
      </c>
      <c r="R5657" s="10">
        <v>5.31245197331134E-5</v>
      </c>
      <c r="S5657" s="10">
        <v>6.9425368146955541E-5</v>
      </c>
      <c r="T5657" s="10">
        <v>2.5185642620898061E-4</v>
      </c>
      <c r="U5657" s="10">
        <v>6.9430000000000004E-5</v>
      </c>
      <c r="V5657" s="25"/>
      <c r="W5657" s="25"/>
      <c r="X5657" s="25"/>
      <c r="Y5657" s="25"/>
      <c r="Z5657" s="25"/>
      <c r="AA5657" s="25"/>
    </row>
    <row r="5658" spans="1:27" x14ac:dyDescent="0.35">
      <c r="A5658" s="5">
        <v>5654</v>
      </c>
      <c r="B5658" s="5">
        <v>236</v>
      </c>
      <c r="C5658" s="5">
        <v>8</v>
      </c>
      <c r="D5658" s="25">
        <v>1.1415000000000001E-4</v>
      </c>
      <c r="E5658" s="25">
        <v>1.2108999999999999E-4</v>
      </c>
      <c r="F5658" s="25">
        <v>1.2961E-4</v>
      </c>
      <c r="G5658" s="25">
        <v>1.5682000000000001E-4</v>
      </c>
      <c r="H5658" s="25">
        <v>1.8857999999999999E-4</v>
      </c>
      <c r="I5658" s="9">
        <v>1.0739999999999999E-4</v>
      </c>
      <c r="J5658" s="9">
        <v>1.2570999999999999E-4</v>
      </c>
      <c r="K5658" s="9">
        <v>0</v>
      </c>
      <c r="L5658" s="9">
        <v>1.6140999999999999E-4</v>
      </c>
      <c r="M5658" s="9">
        <v>1.6919999999999999E-4</v>
      </c>
      <c r="N5658" s="9">
        <v>1.6986E-4</v>
      </c>
      <c r="O5658" s="9">
        <v>1.7703E-4</v>
      </c>
      <c r="P5658" s="9">
        <v>1.6829E-4</v>
      </c>
      <c r="Q5658" s="9">
        <v>1.6029E-4</v>
      </c>
      <c r="R5658" s="10">
        <v>6.426763649419131E-5</v>
      </c>
      <c r="S5658" s="10">
        <v>7.7172141878620003E-5</v>
      </c>
      <c r="T5658" s="10">
        <v>1.9498616766497532E-4</v>
      </c>
      <c r="U5658" s="10">
        <v>6.9430000000000004E-5</v>
      </c>
      <c r="V5658" s="25"/>
      <c r="W5658" s="25"/>
      <c r="X5658" s="25"/>
      <c r="Y5658" s="25"/>
      <c r="Z5658" s="25"/>
      <c r="AA5658" s="25"/>
    </row>
    <row r="5659" spans="1:27" x14ac:dyDescent="0.35">
      <c r="A5659" s="5">
        <v>5655</v>
      </c>
      <c r="B5659" s="5">
        <v>236</v>
      </c>
      <c r="C5659" s="5">
        <v>8</v>
      </c>
      <c r="D5659" s="25">
        <v>1.1416E-4</v>
      </c>
      <c r="E5659" s="25">
        <v>1.1859E-4</v>
      </c>
      <c r="F5659" s="25">
        <v>1.2261999999999999E-4</v>
      </c>
      <c r="G5659" s="25">
        <v>1.6213999999999999E-4</v>
      </c>
      <c r="H5659" s="25">
        <v>1.9345000000000001E-4</v>
      </c>
      <c r="I5659" s="9">
        <v>1.0791E-4</v>
      </c>
      <c r="J5659" s="9">
        <v>1.2569999999999999E-4</v>
      </c>
      <c r="K5659" s="9">
        <v>0</v>
      </c>
      <c r="L5659" s="9">
        <v>1.738E-4</v>
      </c>
      <c r="M5659" s="9">
        <v>1.6762999999999999E-4</v>
      </c>
      <c r="N5659" s="9">
        <v>1.6938000000000001E-4</v>
      </c>
      <c r="O5659" s="9">
        <v>1.8370999999999999E-4</v>
      </c>
      <c r="P5659" s="9">
        <v>1.6807000000000001E-4</v>
      </c>
      <c r="Q5659" s="9">
        <v>1.5330000000000001E-4</v>
      </c>
      <c r="R5659" s="10">
        <v>1.0610515447863659E-4</v>
      </c>
      <c r="S5659" s="10">
        <v>6.5014525113471475E-5</v>
      </c>
      <c r="T5659" s="10">
        <v>5.8262532067363676E-4</v>
      </c>
      <c r="U5659" s="10">
        <v>6.9430000000000004E-5</v>
      </c>
      <c r="V5659" s="25"/>
      <c r="W5659" s="25"/>
      <c r="X5659" s="25"/>
      <c r="Y5659" s="25"/>
      <c r="Z5659" s="25"/>
      <c r="AA5659" s="25"/>
    </row>
    <row r="5660" spans="1:27" x14ac:dyDescent="0.35">
      <c r="A5660" s="5">
        <v>5656</v>
      </c>
      <c r="B5660" s="5">
        <v>236</v>
      </c>
      <c r="C5660" s="5">
        <v>8</v>
      </c>
      <c r="D5660" s="25">
        <v>1.1415000000000001E-4</v>
      </c>
      <c r="E5660" s="25">
        <v>1.1657E-4</v>
      </c>
      <c r="F5660" s="25">
        <v>1.2936999999999999E-4</v>
      </c>
      <c r="G5660" s="25">
        <v>1.6488000000000001E-4</v>
      </c>
      <c r="H5660" s="25">
        <v>1.9327E-4</v>
      </c>
      <c r="I5660" s="9">
        <v>1.0966E-4</v>
      </c>
      <c r="J5660" s="9">
        <v>1.2671000000000001E-4</v>
      </c>
      <c r="K5660" s="9">
        <v>0</v>
      </c>
      <c r="L5660" s="9">
        <v>1.8120000000000001E-4</v>
      </c>
      <c r="M5660" s="9">
        <v>1.6750000000000001E-4</v>
      </c>
      <c r="N5660" s="9">
        <v>1.6579E-4</v>
      </c>
      <c r="O5660" s="9">
        <v>1.9803E-4</v>
      </c>
      <c r="P5660" s="9">
        <v>1.5363E-4</v>
      </c>
      <c r="Q5660" s="9">
        <v>1.1061E-4</v>
      </c>
      <c r="R5660" s="10">
        <v>1.2847702469264446E-4</v>
      </c>
      <c r="S5660" s="10">
        <v>5.946241642881591E-5</v>
      </c>
      <c r="T5660" s="10">
        <v>2.2360370937300604E-4</v>
      </c>
      <c r="U5660" s="10">
        <v>6.9430000000000004E-5</v>
      </c>
      <c r="V5660" s="25"/>
      <c r="W5660" s="25"/>
      <c r="X5660" s="25"/>
      <c r="Y5660" s="25"/>
      <c r="Z5660" s="25"/>
      <c r="AA5660" s="25"/>
    </row>
    <row r="5661" spans="1:27" x14ac:dyDescent="0.35">
      <c r="A5661" s="5">
        <v>5657</v>
      </c>
      <c r="B5661" s="5">
        <v>236</v>
      </c>
      <c r="C5661" s="5">
        <v>8</v>
      </c>
      <c r="D5661" s="25">
        <v>1.1416E-4</v>
      </c>
      <c r="E5661" s="25">
        <v>1.194E-4</v>
      </c>
      <c r="F5661" s="25">
        <v>1.2662E-4</v>
      </c>
      <c r="G5661" s="25">
        <v>1.6605999999999999E-4</v>
      </c>
      <c r="H5661" s="25">
        <v>1.8968000000000001E-4</v>
      </c>
      <c r="I5661" s="9">
        <v>1.1343E-4</v>
      </c>
      <c r="J5661" s="9">
        <v>1.2731999999999999E-4</v>
      </c>
      <c r="K5661" s="9">
        <v>0</v>
      </c>
      <c r="L5661" s="9">
        <v>1.9406999999999999E-4</v>
      </c>
      <c r="M5661" s="9">
        <v>1.6259999999999999E-4</v>
      </c>
      <c r="N5661" s="9">
        <v>1.5233E-4</v>
      </c>
      <c r="O5661" s="9">
        <v>2.1096999999999999E-4</v>
      </c>
      <c r="P5661" s="9">
        <v>1.5775000000000001E-4</v>
      </c>
      <c r="Q5661" s="9">
        <v>1.0611E-4</v>
      </c>
      <c r="R5661" s="10">
        <v>1.5230254518923067E-4</v>
      </c>
      <c r="S5661" s="10">
        <v>5.5494118711299126E-5</v>
      </c>
      <c r="T5661" s="10">
        <v>1.5831702587365936E-5</v>
      </c>
      <c r="U5661" s="10">
        <v>6.9430000000000004E-5</v>
      </c>
      <c r="V5661" s="25"/>
      <c r="W5661" s="25"/>
      <c r="X5661" s="25"/>
      <c r="Y5661" s="25"/>
      <c r="Z5661" s="25"/>
      <c r="AA5661" s="25"/>
    </row>
    <row r="5662" spans="1:27" x14ac:dyDescent="0.35">
      <c r="A5662" s="5">
        <v>5658</v>
      </c>
      <c r="B5662" s="5">
        <v>236</v>
      </c>
      <c r="C5662" s="5">
        <v>8</v>
      </c>
      <c r="D5662" s="25">
        <v>1.1415000000000001E-4</v>
      </c>
      <c r="E5662" s="25">
        <v>1.1513E-4</v>
      </c>
      <c r="F5662" s="25">
        <v>1.3410000000000001E-4</v>
      </c>
      <c r="G5662" s="25">
        <v>1.6723000000000001E-4</v>
      </c>
      <c r="H5662" s="25">
        <v>1.9023E-4</v>
      </c>
      <c r="I5662" s="9">
        <v>1.1593E-4</v>
      </c>
      <c r="J5662" s="9">
        <v>1.2344E-4</v>
      </c>
      <c r="K5662" s="9">
        <v>0</v>
      </c>
      <c r="L5662" s="9">
        <v>2.0699E-4</v>
      </c>
      <c r="M5662" s="9">
        <v>1.5945999999999999E-4</v>
      </c>
      <c r="N5662" s="9">
        <v>1.3887E-4</v>
      </c>
      <c r="O5662" s="9">
        <v>2.0288000000000001E-4</v>
      </c>
      <c r="P5662" s="9">
        <v>1.5911000000000001E-4</v>
      </c>
      <c r="Q5662" s="9">
        <v>1.1674E-4</v>
      </c>
      <c r="R5662" s="10">
        <v>1.612430105200244E-4</v>
      </c>
      <c r="S5662" s="10">
        <v>5.7479104622101384E-5</v>
      </c>
      <c r="T5662" s="10">
        <v>5.5987891411590462E-5</v>
      </c>
      <c r="U5662" s="10">
        <v>6.9430000000000004E-5</v>
      </c>
      <c r="V5662" s="25"/>
      <c r="W5662" s="25"/>
      <c r="X5662" s="25"/>
      <c r="Y5662" s="25"/>
      <c r="Z5662" s="25"/>
      <c r="AA5662" s="25"/>
    </row>
    <row r="5663" spans="1:27" x14ac:dyDescent="0.35">
      <c r="A5663" s="5">
        <v>5659</v>
      </c>
      <c r="B5663" s="5">
        <v>236</v>
      </c>
      <c r="C5663" s="5">
        <v>8</v>
      </c>
      <c r="D5663" s="25">
        <v>1.1416E-4</v>
      </c>
      <c r="E5663" s="25">
        <v>1.1757E-4</v>
      </c>
      <c r="F5663" s="25">
        <v>1.3699E-4</v>
      </c>
      <c r="G5663" s="25">
        <v>1.0626E-4</v>
      </c>
      <c r="H5663" s="25">
        <v>1.3234E-4</v>
      </c>
      <c r="I5663" s="9">
        <v>1.1695E-4</v>
      </c>
      <c r="J5663" s="9">
        <v>1.2053999999999999E-4</v>
      </c>
      <c r="K5663" s="9">
        <v>0</v>
      </c>
      <c r="L5663" s="9">
        <v>2.0347E-4</v>
      </c>
      <c r="M5663" s="9">
        <v>1.5865000000000001E-4</v>
      </c>
      <c r="N5663" s="9">
        <v>1.2970000000000001E-4</v>
      </c>
      <c r="O5663" s="9">
        <v>1.6378000000000001E-4</v>
      </c>
      <c r="P5663" s="9">
        <v>1.3493000000000001E-4</v>
      </c>
      <c r="Q5663" s="9">
        <v>1.071E-4</v>
      </c>
      <c r="R5663" s="10">
        <v>1.8260807148104906E-4</v>
      </c>
      <c r="S5663" s="10">
        <v>5.732540178218395E-5</v>
      </c>
      <c r="T5663" s="10">
        <v>9.5448367689103318E-6</v>
      </c>
      <c r="U5663" s="10">
        <v>6.9430000000000004E-5</v>
      </c>
      <c r="V5663" s="25"/>
      <c r="W5663" s="25"/>
      <c r="X5663" s="25"/>
      <c r="Y5663" s="25"/>
      <c r="Z5663" s="25"/>
      <c r="AA5663" s="25"/>
    </row>
    <row r="5664" spans="1:27" x14ac:dyDescent="0.35">
      <c r="A5664" s="5">
        <v>5660</v>
      </c>
      <c r="B5664" s="5">
        <v>236</v>
      </c>
      <c r="C5664" s="5">
        <v>8</v>
      </c>
      <c r="D5664" s="25">
        <v>1.1415000000000001E-4</v>
      </c>
      <c r="E5664" s="25">
        <v>1.1230000000000001E-4</v>
      </c>
      <c r="F5664" s="25">
        <v>1.2302999999999999E-4</v>
      </c>
      <c r="G5664" s="25">
        <v>1.1010000000000001E-4</v>
      </c>
      <c r="H5664" s="25">
        <v>1.3616E-4</v>
      </c>
      <c r="I5664" s="9">
        <v>1.1531000000000001E-4</v>
      </c>
      <c r="J5664" s="9">
        <v>1.1812E-4</v>
      </c>
      <c r="K5664" s="9">
        <v>0</v>
      </c>
      <c r="L5664" s="9">
        <v>1.7269E-4</v>
      </c>
      <c r="M5664" s="9">
        <v>1.5007E-4</v>
      </c>
      <c r="N5664" s="9">
        <v>1.2065000000000001E-4</v>
      </c>
      <c r="O5664" s="9">
        <v>1.2757E-4</v>
      </c>
      <c r="P5664" s="9">
        <v>1.1406E-4</v>
      </c>
      <c r="Q5664" s="9">
        <v>1.0118E-4</v>
      </c>
      <c r="R5664" s="10">
        <v>1.8645437683452185E-4</v>
      </c>
      <c r="S5664" s="10">
        <v>6.8106347171901228E-5</v>
      </c>
      <c r="T5664" s="10">
        <v>0</v>
      </c>
      <c r="U5664" s="10">
        <v>6.9430000000000004E-5</v>
      </c>
      <c r="V5664" s="25"/>
      <c r="W5664" s="25"/>
      <c r="X5664" s="25"/>
      <c r="Y5664" s="25"/>
      <c r="Z5664" s="25"/>
      <c r="AA5664" s="25"/>
    </row>
    <row r="5665" spans="1:27" x14ac:dyDescent="0.35">
      <c r="A5665" s="5">
        <v>5661</v>
      </c>
      <c r="B5665" s="5">
        <v>236</v>
      </c>
      <c r="C5665" s="5">
        <v>8</v>
      </c>
      <c r="D5665" s="25">
        <v>1.1416E-4</v>
      </c>
      <c r="E5665" s="25">
        <v>1.1063E-4</v>
      </c>
      <c r="F5665" s="25">
        <v>1.2173E-4</v>
      </c>
      <c r="G5665" s="25">
        <v>5.8749999999999998E-5</v>
      </c>
      <c r="H5665" s="25">
        <v>7.1509999999999998E-5</v>
      </c>
      <c r="I5665" s="9">
        <v>1.1679E-4</v>
      </c>
      <c r="J5665" s="9">
        <v>1.2018E-4</v>
      </c>
      <c r="K5665" s="9">
        <v>0</v>
      </c>
      <c r="L5665" s="9">
        <v>1.3844000000000001E-4</v>
      </c>
      <c r="M5665" s="9">
        <v>1.3473000000000001E-4</v>
      </c>
      <c r="N5665" s="9">
        <v>1.1284E-4</v>
      </c>
      <c r="O5665" s="9">
        <v>8.4289999999999994E-5</v>
      </c>
      <c r="P5665" s="9">
        <v>8.6050000000000005E-5</v>
      </c>
      <c r="Q5665" s="9">
        <v>8.8040000000000004E-5</v>
      </c>
      <c r="R5665" s="10">
        <v>1.8772662684478703E-4</v>
      </c>
      <c r="S5665" s="10">
        <v>7.5458231142894438E-5</v>
      </c>
      <c r="T5665" s="10">
        <v>0</v>
      </c>
      <c r="U5665" s="10">
        <v>6.9430000000000004E-5</v>
      </c>
      <c r="V5665" s="25"/>
      <c r="W5665" s="25"/>
      <c r="X5665" s="25"/>
      <c r="Y5665" s="25"/>
      <c r="Z5665" s="25"/>
      <c r="AA5665" s="25"/>
    </row>
    <row r="5666" spans="1:27" x14ac:dyDescent="0.35">
      <c r="A5666" s="5">
        <v>5662</v>
      </c>
      <c r="B5666" s="5">
        <v>236</v>
      </c>
      <c r="C5666" s="5">
        <v>8</v>
      </c>
      <c r="D5666" s="25">
        <v>1.1415000000000001E-4</v>
      </c>
      <c r="E5666" s="25">
        <v>1.205E-4</v>
      </c>
      <c r="F5666" s="25">
        <v>1.2564E-4</v>
      </c>
      <c r="G5666" s="25">
        <v>5.7340000000000003E-5</v>
      </c>
      <c r="H5666" s="25">
        <v>7.4729999999999998E-5</v>
      </c>
      <c r="I5666" s="9">
        <v>1.1482E-4</v>
      </c>
      <c r="J5666" s="9">
        <v>1.1451E-4</v>
      </c>
      <c r="K5666" s="9">
        <v>0</v>
      </c>
      <c r="L5666" s="9">
        <v>9.713E-5</v>
      </c>
      <c r="M5666" s="9">
        <v>1.1325E-4</v>
      </c>
      <c r="N5666" s="9">
        <v>1.0521E-4</v>
      </c>
      <c r="O5666" s="9">
        <v>8.7910000000000004E-5</v>
      </c>
      <c r="P5666" s="9">
        <v>8.8300000000000005E-5</v>
      </c>
      <c r="Q5666" s="9">
        <v>8.8949999999999994E-5</v>
      </c>
      <c r="R5666" s="10">
        <v>1.9900564784232084E-4</v>
      </c>
      <c r="S5666" s="10">
        <v>8.6426261178587928E-5</v>
      </c>
      <c r="T5666" s="10">
        <v>0</v>
      </c>
      <c r="U5666" s="10">
        <v>6.9430000000000004E-5</v>
      </c>
      <c r="V5666" s="25"/>
      <c r="W5666" s="25"/>
      <c r="X5666" s="25"/>
      <c r="Y5666" s="25"/>
      <c r="Z5666" s="25"/>
      <c r="AA5666" s="25"/>
    </row>
    <row r="5667" spans="1:27" x14ac:dyDescent="0.35">
      <c r="A5667" s="5">
        <v>5663</v>
      </c>
      <c r="B5667" s="5">
        <v>236</v>
      </c>
      <c r="C5667" s="5">
        <v>8</v>
      </c>
      <c r="D5667" s="25">
        <v>1.1416E-4</v>
      </c>
      <c r="E5667" s="25">
        <v>1.1948E-4</v>
      </c>
      <c r="F5667" s="25">
        <v>1.3430000000000001E-4</v>
      </c>
      <c r="G5667" s="25">
        <v>5.9290000000000003E-5</v>
      </c>
      <c r="H5667" s="25">
        <v>6.5380000000000001E-5</v>
      </c>
      <c r="I5667" s="9">
        <v>1.0821E-4</v>
      </c>
      <c r="J5667" s="9">
        <v>1.0831E-4</v>
      </c>
      <c r="K5667" s="9">
        <v>0</v>
      </c>
      <c r="L5667" s="9">
        <v>9.0870000000000002E-5</v>
      </c>
      <c r="M5667" s="9">
        <v>9.8999999999999994E-5</v>
      </c>
      <c r="N5667" s="9">
        <v>9.9640000000000001E-5</v>
      </c>
      <c r="O5667" s="9">
        <v>7.8410000000000003E-5</v>
      </c>
      <c r="P5667" s="9">
        <v>7.2780000000000005E-5</v>
      </c>
      <c r="Q5667" s="9">
        <v>6.7490000000000006E-5</v>
      </c>
      <c r="R5667" s="10">
        <v>2.0733295523983877E-4</v>
      </c>
      <c r="S5667" s="10">
        <v>8.9886779601487478E-5</v>
      </c>
      <c r="T5667" s="10">
        <v>0</v>
      </c>
      <c r="U5667" s="10">
        <v>6.9430000000000004E-5</v>
      </c>
      <c r="V5667" s="25"/>
      <c r="W5667" s="25"/>
      <c r="X5667" s="25"/>
      <c r="Y5667" s="25"/>
      <c r="Z5667" s="25"/>
      <c r="AA5667" s="25"/>
    </row>
    <row r="5668" spans="1:27" x14ac:dyDescent="0.35">
      <c r="A5668" s="5">
        <v>5664</v>
      </c>
      <c r="B5668" s="5">
        <v>236</v>
      </c>
      <c r="C5668" s="5">
        <v>8</v>
      </c>
      <c r="D5668" s="25">
        <v>1.1415000000000001E-4</v>
      </c>
      <c r="E5668" s="25">
        <v>1.1341E-4</v>
      </c>
      <c r="F5668" s="25">
        <v>1.2265999999999999E-4</v>
      </c>
      <c r="G5668" s="25">
        <v>6.2639999999999997E-5</v>
      </c>
      <c r="H5668" s="25">
        <v>6.3910000000000003E-5</v>
      </c>
      <c r="I5668" s="9">
        <v>1.0239E-4</v>
      </c>
      <c r="J5668" s="9">
        <v>1.0074E-4</v>
      </c>
      <c r="K5668" s="9">
        <v>1.272E-5</v>
      </c>
      <c r="L5668" s="9">
        <v>8.1110000000000001E-5</v>
      </c>
      <c r="M5668" s="9">
        <v>8.6450000000000001E-5</v>
      </c>
      <c r="N5668" s="9">
        <v>9.0589999999999998E-5</v>
      </c>
      <c r="O5668" s="9">
        <v>6.3059999999999996E-5</v>
      </c>
      <c r="P5668" s="9">
        <v>6.1020000000000002E-5</v>
      </c>
      <c r="Q5668" s="9">
        <v>5.9200000000000002E-5</v>
      </c>
      <c r="R5668" s="10">
        <v>2.0477052518834028E-4</v>
      </c>
      <c r="S5668" s="10">
        <v>8.7375738889320493E-5</v>
      </c>
      <c r="T5668" s="10">
        <v>0</v>
      </c>
      <c r="U5668" s="10">
        <v>6.9430000000000004E-5</v>
      </c>
      <c r="V5668" s="25"/>
      <c r="W5668" s="25"/>
      <c r="X5668" s="25"/>
      <c r="Y5668" s="25"/>
      <c r="Z5668" s="25"/>
      <c r="AA5668" s="25"/>
    </row>
    <row r="5669" spans="1:27" x14ac:dyDescent="0.35">
      <c r="A5669" s="5">
        <v>5665</v>
      </c>
      <c r="B5669" s="5">
        <v>237</v>
      </c>
      <c r="C5669" s="5">
        <v>8</v>
      </c>
      <c r="D5669" s="25">
        <v>1.1416E-4</v>
      </c>
      <c r="E5669" s="25">
        <v>1.1775E-4</v>
      </c>
      <c r="F5669" s="25">
        <v>1.1165E-4</v>
      </c>
      <c r="G5669" s="25">
        <v>5.4729999999999999E-5</v>
      </c>
      <c r="H5669" s="25">
        <v>3.862E-5</v>
      </c>
      <c r="I5669" s="9">
        <v>9.789E-5</v>
      </c>
      <c r="J5669" s="9">
        <v>9.5050000000000006E-5</v>
      </c>
      <c r="K5669" s="9">
        <v>1.696E-5</v>
      </c>
      <c r="L5669" s="9">
        <v>6.703E-5</v>
      </c>
      <c r="M5669" s="9">
        <v>7.4419999999999996E-5</v>
      </c>
      <c r="N5669" s="9">
        <v>8.1310000000000006E-5</v>
      </c>
      <c r="O5669" s="9">
        <v>6.8449999999999997E-5</v>
      </c>
      <c r="P5669" s="9">
        <v>6.0949999999999998E-5</v>
      </c>
      <c r="Q5669" s="9">
        <v>5.3749999999999999E-5</v>
      </c>
      <c r="R5669" s="10">
        <v>2.0547956578485384E-4</v>
      </c>
      <c r="S5669" s="10">
        <v>8.1937885579661969E-5</v>
      </c>
      <c r="T5669" s="10">
        <v>0</v>
      </c>
      <c r="U5669" s="10">
        <v>7.1069999999999995E-5</v>
      </c>
      <c r="V5669" s="25"/>
      <c r="W5669" s="25"/>
      <c r="X5669" s="25"/>
      <c r="Y5669" s="25"/>
      <c r="Z5669" s="25"/>
      <c r="AA5669" s="25"/>
    </row>
    <row r="5670" spans="1:27" x14ac:dyDescent="0.35">
      <c r="A5670" s="5">
        <v>5666</v>
      </c>
      <c r="B5670" s="5">
        <v>237</v>
      </c>
      <c r="C5670" s="5">
        <v>8</v>
      </c>
      <c r="D5670" s="25">
        <v>1.1415000000000001E-4</v>
      </c>
      <c r="E5670" s="25">
        <v>1.1239999999999999E-4</v>
      </c>
      <c r="F5670" s="25">
        <v>9.9619999999999998E-5</v>
      </c>
      <c r="G5670" s="25">
        <v>6.3109999999999997E-5</v>
      </c>
      <c r="H5670" s="25">
        <v>4.1170000000000001E-5</v>
      </c>
      <c r="I5670" s="9">
        <v>9.5030000000000003E-5</v>
      </c>
      <c r="J5670" s="9">
        <v>9.2720000000000007E-5</v>
      </c>
      <c r="K5670" s="9">
        <v>1.696E-5</v>
      </c>
      <c r="L5670" s="9">
        <v>6.8529999999999996E-5</v>
      </c>
      <c r="M5670" s="9">
        <v>6.669E-5</v>
      </c>
      <c r="N5670" s="9">
        <v>7.2329999999999994E-5</v>
      </c>
      <c r="O5670" s="9">
        <v>3.5509999999999997E-5</v>
      </c>
      <c r="P5670" s="9">
        <v>4.5979999999999997E-5</v>
      </c>
      <c r="Q5670" s="9">
        <v>5.6350000000000001E-5</v>
      </c>
      <c r="R5670" s="10">
        <v>2.0388913427436453E-4</v>
      </c>
      <c r="S5670" s="10">
        <v>8.1213715211391626E-5</v>
      </c>
      <c r="T5670" s="10">
        <v>0</v>
      </c>
      <c r="U5670" s="10">
        <v>7.1069999999999995E-5</v>
      </c>
      <c r="V5670" s="25"/>
      <c r="W5670" s="25"/>
      <c r="X5670" s="25"/>
      <c r="Y5670" s="25"/>
      <c r="Z5670" s="25"/>
      <c r="AA5670" s="25"/>
    </row>
    <row r="5671" spans="1:27" x14ac:dyDescent="0.35">
      <c r="A5671" s="5">
        <v>5667</v>
      </c>
      <c r="B5671" s="5">
        <v>237</v>
      </c>
      <c r="C5671" s="5">
        <v>8</v>
      </c>
      <c r="D5671" s="25">
        <v>1.1416E-4</v>
      </c>
      <c r="E5671" s="25">
        <v>1.0978E-4</v>
      </c>
      <c r="F5671" s="25">
        <v>1.1022E-4</v>
      </c>
      <c r="G5671" s="25">
        <v>5.7269999999999999E-5</v>
      </c>
      <c r="H5671" s="25">
        <v>4.6419999999999999E-5</v>
      </c>
      <c r="I5671" s="9">
        <v>9.3690000000000006E-5</v>
      </c>
      <c r="J5671" s="9">
        <v>9.1680000000000003E-5</v>
      </c>
      <c r="K5671" s="9">
        <v>1.908E-5</v>
      </c>
      <c r="L5671" s="9">
        <v>4.269E-5</v>
      </c>
      <c r="M5671" s="9">
        <v>5.7590000000000003E-5</v>
      </c>
      <c r="N5671" s="9">
        <v>6.5790000000000005E-5</v>
      </c>
      <c r="O5671" s="9">
        <v>2.245E-5</v>
      </c>
      <c r="P5671" s="9">
        <v>4.2339999999999998E-5</v>
      </c>
      <c r="Q5671" s="9">
        <v>6.1929999999999998E-5</v>
      </c>
      <c r="R5671" s="10">
        <v>2.0400526412557734E-4</v>
      </c>
      <c r="S5671" s="10">
        <v>9.0968225360036012E-5</v>
      </c>
      <c r="T5671" s="10">
        <v>0</v>
      </c>
      <c r="U5671" s="10">
        <v>7.1069999999999995E-5</v>
      </c>
      <c r="V5671" s="25"/>
      <c r="W5671" s="25"/>
      <c r="X5671" s="25"/>
      <c r="Y5671" s="25"/>
      <c r="Z5671" s="25"/>
      <c r="AA5671" s="25"/>
    </row>
    <row r="5672" spans="1:27" x14ac:dyDescent="0.35">
      <c r="A5672" s="5">
        <v>5668</v>
      </c>
      <c r="B5672" s="5">
        <v>237</v>
      </c>
      <c r="C5672" s="5">
        <v>8</v>
      </c>
      <c r="D5672" s="25">
        <v>1.1415000000000001E-4</v>
      </c>
      <c r="E5672" s="25">
        <v>1.1008E-4</v>
      </c>
      <c r="F5672" s="25">
        <v>1.1102E-4</v>
      </c>
      <c r="G5672" s="25">
        <v>5.7949999999999999E-5</v>
      </c>
      <c r="H5672" s="25">
        <v>4.4209999999999999E-5</v>
      </c>
      <c r="I5672" s="9">
        <v>9.4419999999999994E-5</v>
      </c>
      <c r="J5672" s="9">
        <v>9.1849999999999996E-5</v>
      </c>
      <c r="K5672" s="9">
        <v>1.696E-5</v>
      </c>
      <c r="L5672" s="9">
        <v>2.7520000000000001E-5</v>
      </c>
      <c r="M5672" s="9">
        <v>4.994E-5</v>
      </c>
      <c r="N5672" s="9">
        <v>6.2230000000000006E-5</v>
      </c>
      <c r="O5672" s="9">
        <v>2.1630000000000001E-5</v>
      </c>
      <c r="P5672" s="9">
        <v>5.0930000000000002E-5</v>
      </c>
      <c r="Q5672" s="9">
        <v>7.9779999999999998E-5</v>
      </c>
      <c r="R5672" s="10">
        <v>2.0583722181798103E-4</v>
      </c>
      <c r="S5672" s="10">
        <v>9.7752128334791967E-5</v>
      </c>
      <c r="T5672" s="10">
        <v>0</v>
      </c>
      <c r="U5672" s="10">
        <v>7.1069999999999995E-5</v>
      </c>
      <c r="V5672" s="25"/>
      <c r="W5672" s="25"/>
      <c r="X5672" s="25"/>
      <c r="Y5672" s="25"/>
      <c r="Z5672" s="25"/>
      <c r="AA5672" s="25"/>
    </row>
    <row r="5673" spans="1:27" x14ac:dyDescent="0.35">
      <c r="A5673" s="5">
        <v>5669</v>
      </c>
      <c r="B5673" s="5">
        <v>237</v>
      </c>
      <c r="C5673" s="5">
        <v>8</v>
      </c>
      <c r="D5673" s="25">
        <v>1.1416E-4</v>
      </c>
      <c r="E5673" s="25">
        <v>1.1098E-4</v>
      </c>
      <c r="F5673" s="25">
        <v>1.0011E-4</v>
      </c>
      <c r="G5673" s="25">
        <v>6.0760000000000001E-5</v>
      </c>
      <c r="H5673" s="25">
        <v>3.9889999999999999E-5</v>
      </c>
      <c r="I5673" s="9">
        <v>9.802E-5</v>
      </c>
      <c r="J5673" s="9">
        <v>9.4439999999999997E-5</v>
      </c>
      <c r="K5673" s="9">
        <v>1.272E-5</v>
      </c>
      <c r="L5673" s="9">
        <v>2.338E-5</v>
      </c>
      <c r="M5673" s="9">
        <v>4.8479999999999997E-5</v>
      </c>
      <c r="N5673" s="9">
        <v>6.457E-5</v>
      </c>
      <c r="O5673" s="9">
        <v>2.3499999999999999E-5</v>
      </c>
      <c r="P5673" s="9">
        <v>5.8510000000000001E-5</v>
      </c>
      <c r="Q5673" s="9">
        <v>9.2979999999999994E-5</v>
      </c>
      <c r="R5673" s="10">
        <v>2.0234771921089263E-4</v>
      </c>
      <c r="S5673" s="10">
        <v>1.0412677096098621E-4</v>
      </c>
      <c r="T5673" s="10">
        <v>0</v>
      </c>
      <c r="U5673" s="10">
        <v>7.1069999999999995E-5</v>
      </c>
      <c r="V5673" s="25"/>
      <c r="W5673" s="25"/>
      <c r="X5673" s="25"/>
      <c r="Y5673" s="25"/>
      <c r="Z5673" s="25"/>
      <c r="AA5673" s="25"/>
    </row>
    <row r="5674" spans="1:27" x14ac:dyDescent="0.35">
      <c r="A5674" s="5">
        <v>5670</v>
      </c>
      <c r="B5674" s="5">
        <v>237</v>
      </c>
      <c r="C5674" s="5">
        <v>8</v>
      </c>
      <c r="D5674" s="25">
        <v>1.1415000000000001E-4</v>
      </c>
      <c r="E5674" s="25">
        <v>1.1055E-4</v>
      </c>
      <c r="F5674" s="25">
        <v>1.1624E-4</v>
      </c>
      <c r="G5674" s="25">
        <v>1.0802E-4</v>
      </c>
      <c r="H5674" s="25">
        <v>8.1509999999999997E-5</v>
      </c>
      <c r="I5674" s="9">
        <v>1.0607000000000001E-4</v>
      </c>
      <c r="J5674" s="9">
        <v>1.0234999999999999E-4</v>
      </c>
      <c r="K5674" s="9">
        <v>1.484E-5</v>
      </c>
      <c r="L5674" s="9">
        <v>2.3410000000000001E-5</v>
      </c>
      <c r="M5674" s="9">
        <v>5.2030000000000002E-5</v>
      </c>
      <c r="N5674" s="9">
        <v>7.0909999999999997E-5</v>
      </c>
      <c r="O5674" s="9">
        <v>3.0170000000000001E-5</v>
      </c>
      <c r="P5674" s="9">
        <v>6.9289999999999996E-5</v>
      </c>
      <c r="Q5674" s="9">
        <v>1.0783E-4</v>
      </c>
      <c r="R5674" s="10">
        <v>2.0565312054999721E-4</v>
      </c>
      <c r="S5674" s="10">
        <v>1.1820720147602535E-4</v>
      </c>
      <c r="T5674" s="10">
        <v>5.7523549593966265E-6</v>
      </c>
      <c r="U5674" s="10">
        <v>7.1069999999999995E-5</v>
      </c>
      <c r="V5674" s="25"/>
      <c r="W5674" s="25"/>
      <c r="X5674" s="25"/>
      <c r="Y5674" s="25"/>
      <c r="Z5674" s="25"/>
      <c r="AA5674" s="25"/>
    </row>
    <row r="5675" spans="1:27" x14ac:dyDescent="0.35">
      <c r="A5675" s="5">
        <v>5671</v>
      </c>
      <c r="B5675" s="5">
        <v>237</v>
      </c>
      <c r="C5675" s="5">
        <v>8</v>
      </c>
      <c r="D5675" s="25">
        <v>1.1416E-4</v>
      </c>
      <c r="E5675" s="25">
        <v>1.0888E-4</v>
      </c>
      <c r="F5675" s="25">
        <v>1.176E-4</v>
      </c>
      <c r="G5675" s="25">
        <v>1.0645999999999999E-4</v>
      </c>
      <c r="H5675" s="25">
        <v>8.4720000000000002E-5</v>
      </c>
      <c r="I5675" s="9">
        <v>1.1216E-4</v>
      </c>
      <c r="J5675" s="9">
        <v>1.1332000000000001E-4</v>
      </c>
      <c r="K5675" s="9">
        <v>1.6949999999999999E-5</v>
      </c>
      <c r="L5675" s="9">
        <v>2.8589999999999999E-5</v>
      </c>
      <c r="M5675" s="9">
        <v>5.9299999999999998E-5</v>
      </c>
      <c r="N5675" s="9">
        <v>8.0760000000000006E-5</v>
      </c>
      <c r="O5675" s="9">
        <v>4.6690000000000002E-5</v>
      </c>
      <c r="P5675" s="9">
        <v>8.0190000000000003E-5</v>
      </c>
      <c r="Q5675" s="9">
        <v>1.1328E-4</v>
      </c>
      <c r="R5675" s="10">
        <v>2.0882393797098378E-4</v>
      </c>
      <c r="S5675" s="10">
        <v>1.3758737599561325E-4</v>
      </c>
      <c r="T5675" s="10">
        <v>5.5529739246682779E-5</v>
      </c>
      <c r="U5675" s="10">
        <v>7.1069999999999995E-5</v>
      </c>
      <c r="V5675" s="25"/>
      <c r="W5675" s="25"/>
      <c r="X5675" s="25"/>
      <c r="Y5675" s="25"/>
      <c r="Z5675" s="25"/>
      <c r="AA5675" s="25"/>
    </row>
    <row r="5676" spans="1:27" x14ac:dyDescent="0.35">
      <c r="A5676" s="5">
        <v>5672</v>
      </c>
      <c r="B5676" s="5">
        <v>237</v>
      </c>
      <c r="C5676" s="5">
        <v>8</v>
      </c>
      <c r="D5676" s="25">
        <v>1.1415000000000001E-4</v>
      </c>
      <c r="E5676" s="25">
        <v>1.0988E-4</v>
      </c>
      <c r="F5676" s="25">
        <v>1.0967999999999999E-4</v>
      </c>
      <c r="G5676" s="25">
        <v>1.6025999999999999E-4</v>
      </c>
      <c r="H5676" s="25">
        <v>1.1941E-4</v>
      </c>
      <c r="I5676" s="9">
        <v>1.1621E-4</v>
      </c>
      <c r="J5676" s="9">
        <v>1.2339E-4</v>
      </c>
      <c r="K5676" s="9">
        <v>4.25E-6</v>
      </c>
      <c r="L5676" s="9">
        <v>4.2549999999999997E-5</v>
      </c>
      <c r="M5676" s="9">
        <v>6.8659999999999997E-5</v>
      </c>
      <c r="N5676" s="9">
        <v>9.1009999999999998E-5</v>
      </c>
      <c r="O5676" s="9">
        <v>6.8089999999999994E-5</v>
      </c>
      <c r="P5676" s="9">
        <v>1.0239E-4</v>
      </c>
      <c r="Q5676" s="9">
        <v>1.3634000000000001E-4</v>
      </c>
      <c r="R5676" s="10">
        <v>2.0925474768989519E-4</v>
      </c>
      <c r="S5676" s="10">
        <v>1.6792957539429236E-4</v>
      </c>
      <c r="T5676" s="10">
        <v>2.4439872708020534E-4</v>
      </c>
      <c r="U5676" s="10">
        <v>7.1069999999999995E-5</v>
      </c>
      <c r="V5676" s="25"/>
      <c r="W5676" s="25"/>
      <c r="X5676" s="25"/>
      <c r="Y5676" s="25"/>
      <c r="Z5676" s="25"/>
      <c r="AA5676" s="25"/>
    </row>
    <row r="5677" spans="1:27" x14ac:dyDescent="0.35">
      <c r="A5677" s="5">
        <v>5673</v>
      </c>
      <c r="B5677" s="5">
        <v>237</v>
      </c>
      <c r="C5677" s="5">
        <v>8</v>
      </c>
      <c r="D5677" s="25">
        <v>1.1416E-4</v>
      </c>
      <c r="E5677" s="25">
        <v>1.1025E-4</v>
      </c>
      <c r="F5677" s="25">
        <v>1.1616E-4</v>
      </c>
      <c r="G5677" s="25">
        <v>1.6452E-4</v>
      </c>
      <c r="H5677" s="25">
        <v>1.1941E-4</v>
      </c>
      <c r="I5677" s="9">
        <v>1.166E-4</v>
      </c>
      <c r="J5677" s="9">
        <v>1.2837999999999999E-4</v>
      </c>
      <c r="K5677" s="9">
        <v>0</v>
      </c>
      <c r="L5677" s="9">
        <v>6.2089999999999997E-5</v>
      </c>
      <c r="M5677" s="9">
        <v>8.3120000000000004E-5</v>
      </c>
      <c r="N5677" s="9">
        <v>1.0467E-4</v>
      </c>
      <c r="O5677" s="9">
        <v>9.9090000000000002E-5</v>
      </c>
      <c r="P5677" s="9">
        <v>1.3760000000000001E-4</v>
      </c>
      <c r="Q5677" s="9">
        <v>1.7581000000000001E-4</v>
      </c>
      <c r="R5677" s="10">
        <v>2.0945548553986484E-4</v>
      </c>
      <c r="S5677" s="10">
        <v>1.8523767499802778E-4</v>
      </c>
      <c r="T5677" s="10">
        <v>9.0434146773169094E-5</v>
      </c>
      <c r="U5677" s="10">
        <v>7.1069999999999995E-5</v>
      </c>
      <c r="V5677" s="25"/>
      <c r="W5677" s="25"/>
      <c r="X5677" s="25"/>
      <c r="Y5677" s="25"/>
      <c r="Z5677" s="25"/>
      <c r="AA5677" s="25"/>
    </row>
    <row r="5678" spans="1:27" x14ac:dyDescent="0.35">
      <c r="A5678" s="5">
        <v>5674</v>
      </c>
      <c r="B5678" s="5">
        <v>237</v>
      </c>
      <c r="C5678" s="5">
        <v>8</v>
      </c>
      <c r="D5678" s="25">
        <v>1.1415000000000001E-4</v>
      </c>
      <c r="E5678" s="25">
        <v>1.1957E-4</v>
      </c>
      <c r="F5678" s="25">
        <v>1.0056E-4</v>
      </c>
      <c r="G5678" s="25">
        <v>1.6543999999999999E-4</v>
      </c>
      <c r="H5678" s="25">
        <v>1.2074999999999999E-4</v>
      </c>
      <c r="I5678" s="9">
        <v>1.1491E-4</v>
      </c>
      <c r="J5678" s="9">
        <v>1.2955E-4</v>
      </c>
      <c r="K5678" s="9">
        <v>0</v>
      </c>
      <c r="L5678" s="9">
        <v>9.0439999999999995E-5</v>
      </c>
      <c r="M5678" s="9">
        <v>1.0637E-4</v>
      </c>
      <c r="N5678" s="9">
        <v>1.2444999999999999E-4</v>
      </c>
      <c r="O5678" s="9">
        <v>1.2936999999999999E-4</v>
      </c>
      <c r="P5678" s="9">
        <v>1.5650000000000001E-4</v>
      </c>
      <c r="Q5678" s="9">
        <v>1.8363E-4</v>
      </c>
      <c r="R5678" s="10">
        <v>2.1049162175609085E-4</v>
      </c>
      <c r="S5678" s="10">
        <v>1.8975991043924714E-4</v>
      </c>
      <c r="T5678" s="10">
        <v>9.759489542468938E-5</v>
      </c>
      <c r="U5678" s="10">
        <v>7.1069999999999995E-5</v>
      </c>
      <c r="V5678" s="25"/>
      <c r="W5678" s="25"/>
      <c r="X5678" s="25"/>
      <c r="Y5678" s="25"/>
      <c r="Z5678" s="25"/>
      <c r="AA5678" s="25"/>
    </row>
    <row r="5679" spans="1:27" x14ac:dyDescent="0.35">
      <c r="A5679" s="5">
        <v>5675</v>
      </c>
      <c r="B5679" s="5">
        <v>237</v>
      </c>
      <c r="C5679" s="5">
        <v>8</v>
      </c>
      <c r="D5679" s="25">
        <v>1.1416E-4</v>
      </c>
      <c r="E5679" s="25">
        <v>1.1646000000000001E-4</v>
      </c>
      <c r="F5679" s="25">
        <v>1.1909999999999999E-4</v>
      </c>
      <c r="G5679" s="25">
        <v>1.6123E-4</v>
      </c>
      <c r="H5679" s="25">
        <v>1.2334999999999999E-4</v>
      </c>
      <c r="I5679" s="9">
        <v>1.1377E-4</v>
      </c>
      <c r="J5679" s="9">
        <v>1.3004E-4</v>
      </c>
      <c r="K5679" s="9">
        <v>0</v>
      </c>
      <c r="L5679" s="9">
        <v>1.2011E-4</v>
      </c>
      <c r="M5679" s="9">
        <v>1.3028000000000001E-4</v>
      </c>
      <c r="N5679" s="9">
        <v>1.4287999999999999E-4</v>
      </c>
      <c r="O5679" s="9">
        <v>1.3593000000000001E-4</v>
      </c>
      <c r="P5679" s="9">
        <v>1.5726E-4</v>
      </c>
      <c r="Q5679" s="9">
        <v>1.7870000000000001E-4</v>
      </c>
      <c r="R5679" s="10">
        <v>2.0795891768531891E-4</v>
      </c>
      <c r="S5679" s="10">
        <v>1.9001569199702425E-4</v>
      </c>
      <c r="T5679" s="10">
        <v>1.9278024983393827E-4</v>
      </c>
      <c r="U5679" s="10">
        <v>7.1069999999999995E-5</v>
      </c>
      <c r="V5679" s="25"/>
      <c r="W5679" s="25"/>
      <c r="X5679" s="25"/>
      <c r="Y5679" s="25"/>
      <c r="Z5679" s="25"/>
      <c r="AA5679" s="25"/>
    </row>
    <row r="5680" spans="1:27" x14ac:dyDescent="0.35">
      <c r="A5680" s="5">
        <v>5676</v>
      </c>
      <c r="B5680" s="5">
        <v>237</v>
      </c>
      <c r="C5680" s="5">
        <v>8</v>
      </c>
      <c r="D5680" s="25">
        <v>1.1415000000000001E-4</v>
      </c>
      <c r="E5680" s="25">
        <v>1.1757E-4</v>
      </c>
      <c r="F5680" s="25">
        <v>9.9439999999999997E-5</v>
      </c>
      <c r="G5680" s="25">
        <v>1.5804E-4</v>
      </c>
      <c r="H5680" s="25">
        <v>1.1574E-4</v>
      </c>
      <c r="I5680" s="9">
        <v>1.1004E-4</v>
      </c>
      <c r="J5680" s="9">
        <v>1.2897000000000001E-4</v>
      </c>
      <c r="K5680" s="9">
        <v>0</v>
      </c>
      <c r="L5680" s="9">
        <v>1.3175E-4</v>
      </c>
      <c r="M5680" s="9">
        <v>1.4569E-4</v>
      </c>
      <c r="N5680" s="9">
        <v>1.5673999999999999E-4</v>
      </c>
      <c r="O5680" s="9">
        <v>1.3739000000000001E-4</v>
      </c>
      <c r="P5680" s="9">
        <v>1.5536E-4</v>
      </c>
      <c r="Q5680" s="9">
        <v>1.7348999999999999E-4</v>
      </c>
      <c r="R5680" s="10">
        <v>2.0709743128542637E-4</v>
      </c>
      <c r="S5680" s="10">
        <v>1.8931448519957596E-4</v>
      </c>
      <c r="T5680" s="10">
        <v>6.1907387068184893E-4</v>
      </c>
      <c r="U5680" s="10">
        <v>7.1069999999999995E-5</v>
      </c>
      <c r="V5680" s="25"/>
      <c r="W5680" s="25"/>
      <c r="X5680" s="25"/>
      <c r="Y5680" s="25"/>
      <c r="Z5680" s="25"/>
      <c r="AA5680" s="25"/>
    </row>
    <row r="5681" spans="1:27" x14ac:dyDescent="0.35">
      <c r="A5681" s="5">
        <v>5677</v>
      </c>
      <c r="B5681" s="5">
        <v>237</v>
      </c>
      <c r="C5681" s="5">
        <v>8</v>
      </c>
      <c r="D5681" s="25">
        <v>1.1416E-4</v>
      </c>
      <c r="E5681" s="25">
        <v>1.1811000000000001E-4</v>
      </c>
      <c r="F5681" s="25">
        <v>1.1304E-4</v>
      </c>
      <c r="G5681" s="25">
        <v>1.6487000000000001E-4</v>
      </c>
      <c r="H5681" s="25">
        <v>1.2192E-4</v>
      </c>
      <c r="I5681" s="9">
        <v>1.0909E-4</v>
      </c>
      <c r="J5681" s="9">
        <v>1.2986000000000001E-4</v>
      </c>
      <c r="K5681" s="9">
        <v>0</v>
      </c>
      <c r="L5681" s="9">
        <v>1.3600999999999999E-4</v>
      </c>
      <c r="M5681" s="9">
        <v>1.5244E-4</v>
      </c>
      <c r="N5681" s="9">
        <v>1.6603000000000001E-4</v>
      </c>
      <c r="O5681" s="9">
        <v>1.306E-4</v>
      </c>
      <c r="P5681" s="9">
        <v>1.4954000000000001E-4</v>
      </c>
      <c r="Q5681" s="9">
        <v>1.6859000000000001E-4</v>
      </c>
      <c r="R5681" s="10">
        <v>2.0756857049247801E-4</v>
      </c>
      <c r="S5681" s="10">
        <v>1.8816373717337468E-4</v>
      </c>
      <c r="T5681" s="10">
        <v>6.030470292094298E-4</v>
      </c>
      <c r="U5681" s="10">
        <v>7.1069999999999995E-5</v>
      </c>
      <c r="V5681" s="25"/>
      <c r="W5681" s="25"/>
      <c r="X5681" s="25"/>
      <c r="Y5681" s="25"/>
      <c r="Z5681" s="25"/>
      <c r="AA5681" s="25"/>
    </row>
    <row r="5682" spans="1:27" x14ac:dyDescent="0.35">
      <c r="A5682" s="5">
        <v>5678</v>
      </c>
      <c r="B5682" s="5">
        <v>237</v>
      </c>
      <c r="C5682" s="5">
        <v>8</v>
      </c>
      <c r="D5682" s="25">
        <v>1.1415000000000001E-4</v>
      </c>
      <c r="E5682" s="25">
        <v>1.1702E-4</v>
      </c>
      <c r="F5682" s="25">
        <v>1.1567E-4</v>
      </c>
      <c r="G5682" s="25">
        <v>1.6035999999999999E-4</v>
      </c>
      <c r="H5682" s="25">
        <v>1.2229E-4</v>
      </c>
      <c r="I5682" s="9">
        <v>1.0896E-4</v>
      </c>
      <c r="J5682" s="9">
        <v>1.2956999999999999E-4</v>
      </c>
      <c r="K5682" s="9">
        <v>0</v>
      </c>
      <c r="L5682" s="9">
        <v>1.3186E-4</v>
      </c>
      <c r="M5682" s="9">
        <v>1.5265E-4</v>
      </c>
      <c r="N5682" s="9">
        <v>1.7060999999999999E-4</v>
      </c>
      <c r="O5682" s="9">
        <v>1.1245E-4</v>
      </c>
      <c r="P5682" s="9">
        <v>1.3677000000000001E-4</v>
      </c>
      <c r="Q5682" s="9">
        <v>1.6107E-4</v>
      </c>
      <c r="R5682" s="10">
        <v>2.0678528467604244E-4</v>
      </c>
      <c r="S5682" s="10">
        <v>1.8934117302197922E-4</v>
      </c>
      <c r="T5682" s="10">
        <v>3.5078335663164237E-4</v>
      </c>
      <c r="U5682" s="10">
        <v>7.1069999999999995E-5</v>
      </c>
      <c r="V5682" s="25"/>
      <c r="W5682" s="25"/>
      <c r="X5682" s="25"/>
      <c r="Y5682" s="25"/>
      <c r="Z5682" s="25"/>
      <c r="AA5682" s="25"/>
    </row>
    <row r="5683" spans="1:27" x14ac:dyDescent="0.35">
      <c r="A5683" s="5">
        <v>5679</v>
      </c>
      <c r="B5683" s="5">
        <v>237</v>
      </c>
      <c r="C5683" s="5">
        <v>8</v>
      </c>
      <c r="D5683" s="25">
        <v>1.1416E-4</v>
      </c>
      <c r="E5683" s="25">
        <v>1.1903E-4</v>
      </c>
      <c r="F5683" s="25">
        <v>1.1268E-4</v>
      </c>
      <c r="G5683" s="25">
        <v>1.6583E-4</v>
      </c>
      <c r="H5683" s="25">
        <v>1.1832000000000001E-4</v>
      </c>
      <c r="I5683" s="9">
        <v>1.105E-4</v>
      </c>
      <c r="J5683" s="9">
        <v>1.293E-4</v>
      </c>
      <c r="K5683" s="9">
        <v>0</v>
      </c>
      <c r="L5683" s="9">
        <v>1.1689E-4</v>
      </c>
      <c r="M5683" s="9">
        <v>1.4676000000000001E-4</v>
      </c>
      <c r="N5683" s="9">
        <v>1.7019999999999999E-4</v>
      </c>
      <c r="O5683" s="9">
        <v>1.2757999999999999E-4</v>
      </c>
      <c r="P5683" s="9">
        <v>1.404E-4</v>
      </c>
      <c r="Q5683" s="9">
        <v>1.5343E-4</v>
      </c>
      <c r="R5683" s="10">
        <v>2.0308147052329717E-4</v>
      </c>
      <c r="S5683" s="10">
        <v>1.8959850796158387E-4</v>
      </c>
      <c r="T5683" s="10">
        <v>1.9740419297976594E-4</v>
      </c>
      <c r="U5683" s="10">
        <v>7.1069999999999995E-5</v>
      </c>
      <c r="V5683" s="25"/>
      <c r="W5683" s="25"/>
      <c r="X5683" s="25"/>
      <c r="Y5683" s="25"/>
      <c r="Z5683" s="25"/>
      <c r="AA5683" s="25"/>
    </row>
    <row r="5684" spans="1:27" x14ac:dyDescent="0.35">
      <c r="A5684" s="5">
        <v>5680</v>
      </c>
      <c r="B5684" s="5">
        <v>237</v>
      </c>
      <c r="C5684" s="5">
        <v>8</v>
      </c>
      <c r="D5684" s="25">
        <v>1.1415000000000001E-4</v>
      </c>
      <c r="E5684" s="25">
        <v>1.1802E-4</v>
      </c>
      <c r="F5684" s="25">
        <v>1.1835E-4</v>
      </c>
      <c r="G5684" s="25">
        <v>1.6417E-4</v>
      </c>
      <c r="H5684" s="25">
        <v>1.1898E-4</v>
      </c>
      <c r="I5684" s="9">
        <v>1.127E-4</v>
      </c>
      <c r="J5684" s="9">
        <v>1.2931999999999999E-4</v>
      </c>
      <c r="K5684" s="9">
        <v>0</v>
      </c>
      <c r="L5684" s="9">
        <v>1.2566000000000001E-4</v>
      </c>
      <c r="M5684" s="9">
        <v>1.428E-4</v>
      </c>
      <c r="N5684" s="9">
        <v>1.6647E-4</v>
      </c>
      <c r="O5684" s="9">
        <v>1.3297999999999999E-4</v>
      </c>
      <c r="P5684" s="9">
        <v>1.2076E-4</v>
      </c>
      <c r="Q5684" s="9">
        <v>1.0916000000000001E-4</v>
      </c>
      <c r="R5684" s="10">
        <v>2.002565688560835E-4</v>
      </c>
      <c r="S5684" s="10">
        <v>1.8974948731550909E-4</v>
      </c>
      <c r="T5684" s="10">
        <v>1.6193982169617022E-4</v>
      </c>
      <c r="U5684" s="10">
        <v>7.1069999999999995E-5</v>
      </c>
      <c r="V5684" s="25"/>
      <c r="W5684" s="25"/>
      <c r="X5684" s="25"/>
      <c r="Y5684" s="25"/>
      <c r="Z5684" s="25"/>
      <c r="AA5684" s="25"/>
    </row>
    <row r="5685" spans="1:27" x14ac:dyDescent="0.35">
      <c r="A5685" s="5">
        <v>5681</v>
      </c>
      <c r="B5685" s="5">
        <v>237</v>
      </c>
      <c r="C5685" s="5">
        <v>8</v>
      </c>
      <c r="D5685" s="25">
        <v>1.1416E-4</v>
      </c>
      <c r="E5685" s="25">
        <v>1.0982E-4</v>
      </c>
      <c r="F5685" s="25">
        <v>1.1865E-4</v>
      </c>
      <c r="G5685" s="25">
        <v>1.6055E-4</v>
      </c>
      <c r="H5685" s="25">
        <v>1.2008E-4</v>
      </c>
      <c r="I5685" s="9">
        <v>1.1599000000000001E-4</v>
      </c>
      <c r="J5685" s="9">
        <v>1.2999999999999999E-4</v>
      </c>
      <c r="K5685" s="9">
        <v>0</v>
      </c>
      <c r="L5685" s="9">
        <v>1.3108999999999999E-4</v>
      </c>
      <c r="M5685" s="9">
        <v>1.3399000000000001E-4</v>
      </c>
      <c r="N5685" s="9">
        <v>1.5262000000000001E-4</v>
      </c>
      <c r="O5685" s="9">
        <v>1.4092999999999999E-4</v>
      </c>
      <c r="P5685" s="9">
        <v>1.2411E-4</v>
      </c>
      <c r="Q5685" s="9">
        <v>1.0802E-4</v>
      </c>
      <c r="R5685" s="10">
        <v>1.9332280496481749E-4</v>
      </c>
      <c r="S5685" s="10">
        <v>1.8868221029883872E-4</v>
      </c>
      <c r="T5685" s="10">
        <v>2.4307517638158309E-5</v>
      </c>
      <c r="U5685" s="10">
        <v>7.1069999999999995E-5</v>
      </c>
      <c r="V5685" s="25"/>
      <c r="W5685" s="25"/>
      <c r="X5685" s="25"/>
      <c r="Y5685" s="25"/>
      <c r="Z5685" s="25"/>
      <c r="AA5685" s="25"/>
    </row>
    <row r="5686" spans="1:27" x14ac:dyDescent="0.35">
      <c r="A5686" s="5">
        <v>5682</v>
      </c>
      <c r="B5686" s="5">
        <v>237</v>
      </c>
      <c r="C5686" s="5">
        <v>8</v>
      </c>
      <c r="D5686" s="25">
        <v>1.1415000000000001E-4</v>
      </c>
      <c r="E5686" s="25">
        <v>1.0963000000000001E-4</v>
      </c>
      <c r="F5686" s="25">
        <v>1.1029E-4</v>
      </c>
      <c r="G5686" s="25">
        <v>1.6411E-4</v>
      </c>
      <c r="H5686" s="25">
        <v>1.1928E-4</v>
      </c>
      <c r="I5686" s="9">
        <v>1.1765E-4</v>
      </c>
      <c r="J5686" s="9">
        <v>1.2595E-4</v>
      </c>
      <c r="K5686" s="9">
        <v>0</v>
      </c>
      <c r="L5686" s="9">
        <v>1.3850000000000001E-4</v>
      </c>
      <c r="M5686" s="9">
        <v>1.2819E-4</v>
      </c>
      <c r="N5686" s="9">
        <v>1.3945E-4</v>
      </c>
      <c r="O5686" s="9">
        <v>1.4055E-4</v>
      </c>
      <c r="P5686" s="9">
        <v>1.2884999999999999E-4</v>
      </c>
      <c r="Q5686" s="9">
        <v>1.178E-4</v>
      </c>
      <c r="R5686" s="10">
        <v>1.7467136173133466E-4</v>
      </c>
      <c r="S5686" s="10">
        <v>1.8956899851201917E-4</v>
      </c>
      <c r="T5686" s="10">
        <v>4.5221315536259615E-6</v>
      </c>
      <c r="U5686" s="10">
        <v>7.1069999999999995E-5</v>
      </c>
      <c r="V5686" s="25"/>
      <c r="W5686" s="25"/>
      <c r="X5686" s="25"/>
      <c r="Y5686" s="25"/>
      <c r="Z5686" s="25"/>
      <c r="AA5686" s="25"/>
    </row>
    <row r="5687" spans="1:27" x14ac:dyDescent="0.35">
      <c r="A5687" s="5">
        <v>5683</v>
      </c>
      <c r="B5687" s="5">
        <v>237</v>
      </c>
      <c r="C5687" s="5">
        <v>8</v>
      </c>
      <c r="D5687" s="25">
        <v>1.1416E-4</v>
      </c>
      <c r="E5687" s="25">
        <v>1.1297E-4</v>
      </c>
      <c r="F5687" s="25">
        <v>1.0203E-4</v>
      </c>
      <c r="G5687" s="25">
        <v>1.1444E-4</v>
      </c>
      <c r="H5687" s="25">
        <v>8.0400000000000003E-5</v>
      </c>
      <c r="I5687" s="9">
        <v>1.1835E-4</v>
      </c>
      <c r="J5687" s="9">
        <v>1.2307E-4</v>
      </c>
      <c r="K5687" s="9">
        <v>1.908E-5</v>
      </c>
      <c r="L5687" s="9">
        <v>1.3997E-4</v>
      </c>
      <c r="M5687" s="9">
        <v>1.2711999999999999E-4</v>
      </c>
      <c r="N5687" s="9">
        <v>1.3032000000000001E-4</v>
      </c>
      <c r="O5687" s="9">
        <v>1.4228E-4</v>
      </c>
      <c r="P5687" s="9">
        <v>1.2477000000000001E-4</v>
      </c>
      <c r="Q5687" s="9">
        <v>1.0799E-4</v>
      </c>
      <c r="R5687" s="10">
        <v>1.6855320350626598E-4</v>
      </c>
      <c r="S5687" s="10">
        <v>1.9018563252213438E-4</v>
      </c>
      <c r="T5687" s="10">
        <v>8.5776266429940843E-6</v>
      </c>
      <c r="U5687" s="10">
        <v>7.1069999999999995E-5</v>
      </c>
      <c r="V5687" s="25"/>
      <c r="W5687" s="25"/>
      <c r="X5687" s="25"/>
      <c r="Y5687" s="25"/>
      <c r="Z5687" s="25"/>
      <c r="AA5687" s="25"/>
    </row>
    <row r="5688" spans="1:27" x14ac:dyDescent="0.35">
      <c r="A5688" s="5">
        <v>5684</v>
      </c>
      <c r="B5688" s="5">
        <v>237</v>
      </c>
      <c r="C5688" s="5">
        <v>8</v>
      </c>
      <c r="D5688" s="25">
        <v>1.1415000000000001E-4</v>
      </c>
      <c r="E5688" s="25">
        <v>1.1826E-4</v>
      </c>
      <c r="F5688" s="25">
        <v>1.0897E-4</v>
      </c>
      <c r="G5688" s="25">
        <v>1.1552000000000001E-4</v>
      </c>
      <c r="H5688" s="25">
        <v>7.8129999999999999E-5</v>
      </c>
      <c r="I5688" s="9">
        <v>1.1717E-4</v>
      </c>
      <c r="J5688" s="9">
        <v>1.2142999999999999E-4</v>
      </c>
      <c r="K5688" s="9">
        <v>6.5699999999999998E-5</v>
      </c>
      <c r="L5688" s="9">
        <v>1.4176999999999999E-4</v>
      </c>
      <c r="M5688" s="9">
        <v>1.2626E-4</v>
      </c>
      <c r="N5688" s="9">
        <v>1.2135E-4</v>
      </c>
      <c r="O5688" s="9">
        <v>1.4446000000000001E-4</v>
      </c>
      <c r="P5688" s="9">
        <v>1.2312E-4</v>
      </c>
      <c r="Q5688" s="9">
        <v>1.0258E-4</v>
      </c>
      <c r="R5688" s="10">
        <v>1.701940750627511E-4</v>
      </c>
      <c r="S5688" s="10">
        <v>1.9002106548084524E-4</v>
      </c>
      <c r="T5688" s="10">
        <v>0</v>
      </c>
      <c r="U5688" s="10">
        <v>7.1069999999999995E-5</v>
      </c>
      <c r="V5688" s="25"/>
      <c r="W5688" s="25"/>
      <c r="X5688" s="25"/>
      <c r="Y5688" s="25"/>
      <c r="Z5688" s="25"/>
      <c r="AA5688" s="25"/>
    </row>
    <row r="5689" spans="1:27" x14ac:dyDescent="0.35">
      <c r="A5689" s="5">
        <v>5685</v>
      </c>
      <c r="B5689" s="5">
        <v>237</v>
      </c>
      <c r="C5689" s="5">
        <v>8</v>
      </c>
      <c r="D5689" s="25">
        <v>1.1416E-4</v>
      </c>
      <c r="E5689" s="25">
        <v>1.1421000000000001E-4</v>
      </c>
      <c r="F5689" s="25">
        <v>1.2129999999999999E-4</v>
      </c>
      <c r="G5689" s="25">
        <v>5.7349999999999998E-5</v>
      </c>
      <c r="H5689" s="25">
        <v>4.4129999999999999E-5</v>
      </c>
      <c r="I5689" s="9">
        <v>1.1914E-4</v>
      </c>
      <c r="J5689" s="9">
        <v>1.2366999999999999E-4</v>
      </c>
      <c r="K5689" s="9">
        <v>1.0809E-4</v>
      </c>
      <c r="L5689" s="9">
        <v>1.4386999999999999E-4</v>
      </c>
      <c r="M5689" s="9">
        <v>1.2493000000000001E-4</v>
      </c>
      <c r="N5689" s="9">
        <v>1.1373E-4</v>
      </c>
      <c r="O5689" s="9">
        <v>8.5400000000000002E-5</v>
      </c>
      <c r="P5689" s="9">
        <v>8.7200000000000005E-5</v>
      </c>
      <c r="Q5689" s="9">
        <v>8.9220000000000003E-5</v>
      </c>
      <c r="R5689" s="10">
        <v>1.8665231040766692E-4</v>
      </c>
      <c r="S5689" s="10">
        <v>1.8935051750549418E-4</v>
      </c>
      <c r="T5689" s="10">
        <v>0</v>
      </c>
      <c r="U5689" s="10">
        <v>7.1069999999999995E-5</v>
      </c>
      <c r="V5689" s="25"/>
      <c r="W5689" s="25"/>
      <c r="X5689" s="25"/>
      <c r="Y5689" s="25"/>
      <c r="Z5689" s="25"/>
      <c r="AA5689" s="25"/>
    </row>
    <row r="5690" spans="1:27" x14ac:dyDescent="0.35">
      <c r="A5690" s="5">
        <v>5686</v>
      </c>
      <c r="B5690" s="5">
        <v>237</v>
      </c>
      <c r="C5690" s="5">
        <v>8</v>
      </c>
      <c r="D5690" s="25">
        <v>1.1415000000000001E-4</v>
      </c>
      <c r="E5690" s="25">
        <v>1.131E-4</v>
      </c>
      <c r="F5690" s="25">
        <v>1.1765E-4</v>
      </c>
      <c r="G5690" s="25">
        <v>5.6830000000000003E-5</v>
      </c>
      <c r="H5690" s="25">
        <v>4.0170000000000003E-5</v>
      </c>
      <c r="I5690" s="9">
        <v>1.1692E-4</v>
      </c>
      <c r="J5690" s="9">
        <v>1.1769000000000001E-4</v>
      </c>
      <c r="K5690" s="9">
        <v>9.9610000000000003E-5</v>
      </c>
      <c r="L5690" s="9">
        <v>9.8209999999999997E-5</v>
      </c>
      <c r="M5690" s="9">
        <v>1.1097E-4</v>
      </c>
      <c r="N5690" s="9">
        <v>1.0626E-4</v>
      </c>
      <c r="O5690" s="9">
        <v>8.6769999999999998E-5</v>
      </c>
      <c r="P5690" s="9">
        <v>8.7159999999999999E-5</v>
      </c>
      <c r="Q5690" s="9">
        <v>8.7810000000000001E-5</v>
      </c>
      <c r="R5690" s="10">
        <v>2.0667667364342876E-4</v>
      </c>
      <c r="S5690" s="10">
        <v>1.8913839338258792E-4</v>
      </c>
      <c r="T5690" s="10">
        <v>0</v>
      </c>
      <c r="U5690" s="10">
        <v>7.1069999999999995E-5</v>
      </c>
      <c r="V5690" s="25"/>
      <c r="W5690" s="25"/>
      <c r="X5690" s="25"/>
      <c r="Y5690" s="25"/>
      <c r="Z5690" s="25"/>
      <c r="AA5690" s="25"/>
    </row>
    <row r="5691" spans="1:27" x14ac:dyDescent="0.35">
      <c r="A5691" s="5">
        <v>5687</v>
      </c>
      <c r="B5691" s="5">
        <v>237</v>
      </c>
      <c r="C5691" s="5">
        <v>8</v>
      </c>
      <c r="D5691" s="25">
        <v>1.1416E-4</v>
      </c>
      <c r="E5691" s="25">
        <v>1.1951E-4</v>
      </c>
      <c r="F5691" s="25">
        <v>1.1503E-4</v>
      </c>
      <c r="G5691" s="25">
        <v>5.4870000000000002E-5</v>
      </c>
      <c r="H5691" s="25">
        <v>4.6560000000000001E-5</v>
      </c>
      <c r="I5691" s="9">
        <v>1.1064E-4</v>
      </c>
      <c r="J5691" s="9">
        <v>1.1149E-4</v>
      </c>
      <c r="K5691" s="9">
        <v>7.4179999999999998E-5</v>
      </c>
      <c r="L5691" s="9">
        <v>9.056E-5</v>
      </c>
      <c r="M5691" s="9">
        <v>9.8629999999999996E-5</v>
      </c>
      <c r="N5691" s="9">
        <v>1.0025E-4</v>
      </c>
      <c r="O5691" s="9">
        <v>8.5080000000000005E-5</v>
      </c>
      <c r="P5691" s="9">
        <v>7.6009999999999999E-5</v>
      </c>
      <c r="Q5691" s="9">
        <v>6.7329999999999994E-5</v>
      </c>
      <c r="R5691" s="10">
        <v>2.1083384699668997E-4</v>
      </c>
      <c r="S5691" s="10">
        <v>1.8425366924675675E-4</v>
      </c>
      <c r="T5691" s="10">
        <v>0</v>
      </c>
      <c r="U5691" s="10">
        <v>7.1069999999999995E-5</v>
      </c>
      <c r="V5691" s="25"/>
      <c r="W5691" s="25"/>
      <c r="X5691" s="25"/>
      <c r="Y5691" s="25"/>
      <c r="Z5691" s="25"/>
      <c r="AA5691" s="25"/>
    </row>
    <row r="5692" spans="1:27" x14ac:dyDescent="0.35">
      <c r="A5692" s="5">
        <v>5688</v>
      </c>
      <c r="B5692" s="5">
        <v>237</v>
      </c>
      <c r="C5692" s="5">
        <v>8</v>
      </c>
      <c r="D5692" s="25">
        <v>1.1415000000000001E-4</v>
      </c>
      <c r="E5692" s="25">
        <v>1.1754E-4</v>
      </c>
      <c r="F5692" s="25">
        <v>1.1794999999999999E-4</v>
      </c>
      <c r="G5692" s="25">
        <v>5.2269999999999999E-5</v>
      </c>
      <c r="H5692" s="25">
        <v>3.9900000000000001E-5</v>
      </c>
      <c r="I5692" s="9">
        <v>1.027E-4</v>
      </c>
      <c r="J5692" s="9">
        <v>1.0389E-4</v>
      </c>
      <c r="K5692" s="9">
        <v>8.9010000000000003E-5</v>
      </c>
      <c r="L5692" s="9">
        <v>8.6539999999999995E-5</v>
      </c>
      <c r="M5692" s="9">
        <v>8.7579999999999998E-5</v>
      </c>
      <c r="N5692" s="9">
        <v>9.098E-5</v>
      </c>
      <c r="O5692" s="9">
        <v>7.9060000000000005E-5</v>
      </c>
      <c r="P5692" s="9">
        <v>6.8759999999999999E-5</v>
      </c>
      <c r="Q5692" s="9">
        <v>5.8860000000000002E-5</v>
      </c>
      <c r="R5692" s="10">
        <v>2.1244381511554376E-4</v>
      </c>
      <c r="S5692" s="10">
        <v>1.8943836409170248E-4</v>
      </c>
      <c r="T5692" s="10">
        <v>0</v>
      </c>
      <c r="U5692" s="10">
        <v>7.1069999999999995E-5</v>
      </c>
      <c r="V5692" s="25"/>
      <c r="W5692" s="25"/>
      <c r="X5692" s="25"/>
      <c r="Y5692" s="25"/>
      <c r="Z5692" s="25"/>
      <c r="AA5692" s="25"/>
    </row>
    <row r="5693" spans="1:27" x14ac:dyDescent="0.35">
      <c r="A5693" s="5">
        <v>5689</v>
      </c>
      <c r="B5693" s="5">
        <v>238</v>
      </c>
      <c r="C5693" s="5">
        <v>8</v>
      </c>
      <c r="D5693" s="25">
        <v>1.1416E-4</v>
      </c>
      <c r="E5693" s="25">
        <v>1.0378E-4</v>
      </c>
      <c r="F5693" s="25">
        <v>1.1189E-4</v>
      </c>
      <c r="G5693" s="25">
        <v>5.859E-5</v>
      </c>
      <c r="H5693" s="25">
        <v>1.5549999999999999E-5</v>
      </c>
      <c r="I5693" s="9">
        <v>9.8679999999999997E-5</v>
      </c>
      <c r="J5693" s="9">
        <v>9.8490000000000001E-5</v>
      </c>
      <c r="K5693" s="9">
        <v>9.5370000000000003E-5</v>
      </c>
      <c r="L5693" s="9">
        <v>8.0480000000000002E-5</v>
      </c>
      <c r="M5693" s="9">
        <v>7.8319999999999996E-5</v>
      </c>
      <c r="N5693" s="9">
        <v>8.1450000000000001E-5</v>
      </c>
      <c r="O5693" s="9">
        <v>6.7899999999999997E-5</v>
      </c>
      <c r="P5693" s="9">
        <v>6.0460000000000001E-5</v>
      </c>
      <c r="Q5693" s="9">
        <v>5.3319999999999998E-5</v>
      </c>
      <c r="R5693" s="10">
        <v>2.1244224863885077E-4</v>
      </c>
      <c r="S5693" s="10">
        <v>1.8981026476419925E-4</v>
      </c>
      <c r="T5693" s="10">
        <v>0</v>
      </c>
      <c r="U5693" s="10">
        <v>7.203E-5</v>
      </c>
      <c r="V5693" s="25"/>
      <c r="W5693" s="25"/>
      <c r="X5693" s="25"/>
      <c r="Y5693" s="25"/>
      <c r="Z5693" s="25"/>
      <c r="AA5693" s="25"/>
    </row>
    <row r="5694" spans="1:27" x14ac:dyDescent="0.35">
      <c r="A5694" s="5">
        <v>5690</v>
      </c>
      <c r="B5694" s="5">
        <v>238</v>
      </c>
      <c r="C5694" s="5">
        <v>8</v>
      </c>
      <c r="D5694" s="25">
        <v>1.1415000000000001E-4</v>
      </c>
      <c r="E5694" s="25">
        <v>1.0428E-4</v>
      </c>
      <c r="F5694" s="25">
        <v>1.1173E-4</v>
      </c>
      <c r="G5694" s="25">
        <v>5.6589999999999999E-5</v>
      </c>
      <c r="H5694" s="25">
        <v>1.38E-5</v>
      </c>
      <c r="I5694" s="9">
        <v>9.5920000000000003E-5</v>
      </c>
      <c r="J5694" s="9">
        <v>9.535E-5</v>
      </c>
      <c r="K5694" s="9">
        <v>9.5370000000000003E-5</v>
      </c>
      <c r="L5694" s="9">
        <v>7.0809999999999995E-5</v>
      </c>
      <c r="M5694" s="9">
        <v>6.9720000000000003E-5</v>
      </c>
      <c r="N5694" s="9">
        <v>7.2210000000000002E-5</v>
      </c>
      <c r="O5694" s="9">
        <v>3.5469999999999998E-5</v>
      </c>
      <c r="P5694" s="9">
        <v>4.5930000000000002E-5</v>
      </c>
      <c r="Q5694" s="9">
        <v>5.6289999999999998E-5</v>
      </c>
      <c r="R5694" s="10">
        <v>2.1234868618941622E-4</v>
      </c>
      <c r="S5694" s="10">
        <v>1.834487986494568E-4</v>
      </c>
      <c r="T5694" s="10">
        <v>0</v>
      </c>
      <c r="U5694" s="10">
        <v>7.203E-5</v>
      </c>
      <c r="V5694" s="25"/>
      <c r="W5694" s="25"/>
      <c r="X5694" s="25"/>
      <c r="Y5694" s="25"/>
      <c r="Z5694" s="25"/>
      <c r="AA5694" s="25"/>
    </row>
    <row r="5695" spans="1:27" x14ac:dyDescent="0.35">
      <c r="A5695" s="5">
        <v>5691</v>
      </c>
      <c r="B5695" s="5">
        <v>238</v>
      </c>
      <c r="C5695" s="5">
        <v>8</v>
      </c>
      <c r="D5695" s="25">
        <v>1.1416E-4</v>
      </c>
      <c r="E5695" s="25">
        <v>1.0911E-4</v>
      </c>
      <c r="F5695" s="25">
        <v>1.1054E-4</v>
      </c>
      <c r="G5695" s="25">
        <v>5.8060000000000003E-5</v>
      </c>
      <c r="H5695" s="25">
        <v>1.3560000000000001E-5</v>
      </c>
      <c r="I5695" s="9">
        <v>9.4959999999999999E-5</v>
      </c>
      <c r="J5695" s="9">
        <v>9.433E-5</v>
      </c>
      <c r="K5695" s="9">
        <v>7.4179999999999998E-5</v>
      </c>
      <c r="L5695" s="9">
        <v>4.35E-5</v>
      </c>
      <c r="M5695" s="9">
        <v>5.9120000000000003E-5</v>
      </c>
      <c r="N5695" s="9">
        <v>6.5580000000000006E-5</v>
      </c>
      <c r="O5695" s="9">
        <v>2.234E-5</v>
      </c>
      <c r="P5695" s="9">
        <v>4.214E-5</v>
      </c>
      <c r="Q5695" s="9">
        <v>6.1639999999999999E-5</v>
      </c>
      <c r="R5695" s="10">
        <v>2.1133751372792034E-4</v>
      </c>
      <c r="S5695" s="10">
        <v>1.6898532419727904E-4</v>
      </c>
      <c r="T5695" s="10">
        <v>0</v>
      </c>
      <c r="U5695" s="10">
        <v>7.203E-5</v>
      </c>
      <c r="V5695" s="25"/>
      <c r="W5695" s="25"/>
      <c r="X5695" s="25"/>
      <c r="Y5695" s="25"/>
      <c r="Z5695" s="25"/>
      <c r="AA5695" s="25"/>
    </row>
    <row r="5696" spans="1:27" x14ac:dyDescent="0.35">
      <c r="A5696" s="5">
        <v>5692</v>
      </c>
      <c r="B5696" s="5">
        <v>238</v>
      </c>
      <c r="C5696" s="5">
        <v>8</v>
      </c>
      <c r="D5696" s="25">
        <v>1.1415000000000001E-4</v>
      </c>
      <c r="E5696" s="25">
        <v>1.1184E-4</v>
      </c>
      <c r="F5696" s="25">
        <v>1.2944000000000001E-4</v>
      </c>
      <c r="G5696" s="25">
        <v>5.8E-5</v>
      </c>
      <c r="H5696" s="25">
        <v>1.624E-5</v>
      </c>
      <c r="I5696" s="9">
        <v>9.6650000000000005E-5</v>
      </c>
      <c r="J5696" s="9">
        <v>9.4309999999999997E-5</v>
      </c>
      <c r="K5696" s="9">
        <v>7.8419999999999998E-5</v>
      </c>
      <c r="L5696" s="9">
        <v>2.7719999999999999E-5</v>
      </c>
      <c r="M5696" s="9">
        <v>5.0460000000000001E-5</v>
      </c>
      <c r="N5696" s="9">
        <v>6.198E-5</v>
      </c>
      <c r="O5696" s="9">
        <v>2.198E-5</v>
      </c>
      <c r="P5696" s="9">
        <v>5.1759999999999999E-5</v>
      </c>
      <c r="Q5696" s="9">
        <v>8.1080000000000003E-5</v>
      </c>
      <c r="R5696" s="10">
        <v>2.0575064202724643E-4</v>
      </c>
      <c r="S5696" s="10">
        <v>1.592326406309984E-4</v>
      </c>
      <c r="T5696" s="10">
        <v>0</v>
      </c>
      <c r="U5696" s="10">
        <v>7.203E-5</v>
      </c>
      <c r="V5696" s="25"/>
      <c r="W5696" s="25"/>
      <c r="X5696" s="25"/>
      <c r="Y5696" s="25"/>
      <c r="Z5696" s="25"/>
      <c r="AA5696" s="25"/>
    </row>
    <row r="5697" spans="1:27" x14ac:dyDescent="0.35">
      <c r="A5697" s="5">
        <v>5693</v>
      </c>
      <c r="B5697" s="5">
        <v>238</v>
      </c>
      <c r="C5697" s="5">
        <v>8</v>
      </c>
      <c r="D5697" s="25">
        <v>1.1416E-4</v>
      </c>
      <c r="E5697" s="25">
        <v>1.1021E-4</v>
      </c>
      <c r="F5697" s="25">
        <v>1.3181E-4</v>
      </c>
      <c r="G5697" s="25">
        <v>6.3269999999999996E-5</v>
      </c>
      <c r="H5697" s="25">
        <v>1.5719999999999999E-5</v>
      </c>
      <c r="I5697" s="9">
        <v>9.9909999999999997E-5</v>
      </c>
      <c r="J5697" s="9">
        <v>9.7020000000000003E-5</v>
      </c>
      <c r="K5697" s="9">
        <v>7.4179999999999998E-5</v>
      </c>
      <c r="L5697" s="9">
        <v>2.3629999999999999E-5</v>
      </c>
      <c r="M5697" s="9">
        <v>4.8919999999999999E-5</v>
      </c>
      <c r="N5697" s="9">
        <v>6.4640000000000005E-5</v>
      </c>
      <c r="O5697" s="9">
        <v>2.3589999999999999E-5</v>
      </c>
      <c r="P5697" s="9">
        <v>5.872E-5</v>
      </c>
      <c r="Q5697" s="9">
        <v>9.3319999999999994E-5</v>
      </c>
      <c r="R5697" s="10">
        <v>1.985513745116959E-4</v>
      </c>
      <c r="S5697" s="10">
        <v>1.8464248469512903E-4</v>
      </c>
      <c r="T5697" s="10">
        <v>0</v>
      </c>
      <c r="U5697" s="10">
        <v>7.203E-5</v>
      </c>
      <c r="V5697" s="25"/>
      <c r="W5697" s="25"/>
      <c r="X5697" s="25"/>
      <c r="Y5697" s="25"/>
      <c r="Z5697" s="25"/>
      <c r="AA5697" s="25"/>
    </row>
    <row r="5698" spans="1:27" x14ac:dyDescent="0.35">
      <c r="A5698" s="5">
        <v>5694</v>
      </c>
      <c r="B5698" s="5">
        <v>238</v>
      </c>
      <c r="C5698" s="5">
        <v>8</v>
      </c>
      <c r="D5698" s="25">
        <v>1.1415000000000001E-4</v>
      </c>
      <c r="E5698" s="25">
        <v>1.1093E-4</v>
      </c>
      <c r="F5698" s="25">
        <v>1.1315E-4</v>
      </c>
      <c r="G5698" s="25">
        <v>1.1292E-4</v>
      </c>
      <c r="H5698" s="25">
        <v>2.8E-5</v>
      </c>
      <c r="I5698" s="9">
        <v>1.0772000000000001E-4</v>
      </c>
      <c r="J5698" s="9">
        <v>1.0509E-4</v>
      </c>
      <c r="K5698" s="9">
        <v>6.1459999999999998E-5</v>
      </c>
      <c r="L5698" s="9">
        <v>2.3519999999999998E-5</v>
      </c>
      <c r="M5698" s="9">
        <v>5.24E-5</v>
      </c>
      <c r="N5698" s="9">
        <v>7.1099999999999994E-5</v>
      </c>
      <c r="O5698" s="9">
        <v>2.974E-5</v>
      </c>
      <c r="P5698" s="9">
        <v>6.8300000000000007E-5</v>
      </c>
      <c r="Q5698" s="9">
        <v>1.0629E-4</v>
      </c>
      <c r="R5698" s="10">
        <v>1.9533641609609316E-4</v>
      </c>
      <c r="S5698" s="10">
        <v>1.8978474998530341E-4</v>
      </c>
      <c r="T5698" s="10">
        <v>4.0979165861188353E-6</v>
      </c>
      <c r="U5698" s="10">
        <v>7.203E-5</v>
      </c>
      <c r="V5698" s="25"/>
      <c r="W5698" s="25"/>
      <c r="X5698" s="25"/>
      <c r="Y5698" s="25"/>
      <c r="Z5698" s="25"/>
      <c r="AA5698" s="25"/>
    </row>
    <row r="5699" spans="1:27" x14ac:dyDescent="0.35">
      <c r="A5699" s="5">
        <v>5695</v>
      </c>
      <c r="B5699" s="5">
        <v>238</v>
      </c>
      <c r="C5699" s="5">
        <v>8</v>
      </c>
      <c r="D5699" s="25">
        <v>1.1416E-4</v>
      </c>
      <c r="E5699" s="25">
        <v>1.1132E-4</v>
      </c>
      <c r="F5699" s="25">
        <v>1.2542E-4</v>
      </c>
      <c r="G5699" s="25">
        <v>1.1492E-4</v>
      </c>
      <c r="H5699" s="25">
        <v>2.836E-5</v>
      </c>
      <c r="I5699" s="9">
        <v>1.1485E-4</v>
      </c>
      <c r="J5699" s="9">
        <v>1.1579E-4</v>
      </c>
      <c r="K5699" s="9">
        <v>4.2389999999999999E-5</v>
      </c>
      <c r="L5699" s="9">
        <v>2.828E-5</v>
      </c>
      <c r="M5699" s="9">
        <v>5.9150000000000001E-5</v>
      </c>
      <c r="N5699" s="9">
        <v>8.064E-5</v>
      </c>
      <c r="O5699" s="9">
        <v>4.6289999999999999E-5</v>
      </c>
      <c r="P5699" s="9">
        <v>7.9510000000000003E-5</v>
      </c>
      <c r="Q5699" s="9">
        <v>1.1231E-4</v>
      </c>
      <c r="R5699" s="10">
        <v>1.9570395914403341E-4</v>
      </c>
      <c r="S5699" s="10">
        <v>1.8843249048489048E-4</v>
      </c>
      <c r="T5699" s="10">
        <v>8.4537558724820039E-5</v>
      </c>
      <c r="U5699" s="10">
        <v>7.203E-5</v>
      </c>
      <c r="V5699" s="25"/>
      <c r="W5699" s="25"/>
      <c r="X5699" s="25"/>
      <c r="Y5699" s="25"/>
      <c r="Z5699" s="25"/>
      <c r="AA5699" s="25"/>
    </row>
    <row r="5700" spans="1:27" x14ac:dyDescent="0.35">
      <c r="A5700" s="5">
        <v>5696</v>
      </c>
      <c r="B5700" s="5">
        <v>238</v>
      </c>
      <c r="C5700" s="5">
        <v>8</v>
      </c>
      <c r="D5700" s="25">
        <v>1.1415000000000001E-4</v>
      </c>
      <c r="E5700" s="25">
        <v>1.0906E-4</v>
      </c>
      <c r="F5700" s="25">
        <v>1.3087999999999999E-4</v>
      </c>
      <c r="G5700" s="25">
        <v>1.6024999999999999E-4</v>
      </c>
      <c r="H5700" s="25">
        <v>4.0670000000000002E-5</v>
      </c>
      <c r="I5700" s="9">
        <v>1.1861E-4</v>
      </c>
      <c r="J5700" s="9">
        <v>1.2575999999999999E-4</v>
      </c>
      <c r="K5700" s="9">
        <v>1.696E-5</v>
      </c>
      <c r="L5700" s="9">
        <v>4.2190000000000001E-5</v>
      </c>
      <c r="M5700" s="9">
        <v>6.8180000000000001E-5</v>
      </c>
      <c r="N5700" s="9">
        <v>9.0690000000000001E-5</v>
      </c>
      <c r="O5700" s="9">
        <v>6.847E-5</v>
      </c>
      <c r="P5700" s="9">
        <v>1.0296E-4</v>
      </c>
      <c r="Q5700" s="9">
        <v>1.3709E-4</v>
      </c>
      <c r="R5700" s="10">
        <v>1.9958517248081496E-4</v>
      </c>
      <c r="S5700" s="10">
        <v>1.8373565520549942E-4</v>
      </c>
      <c r="T5700" s="10">
        <v>2.5993347919031634E-4</v>
      </c>
      <c r="U5700" s="10">
        <v>7.203E-5</v>
      </c>
      <c r="V5700" s="25"/>
      <c r="W5700" s="25"/>
      <c r="X5700" s="25"/>
      <c r="Y5700" s="25"/>
      <c r="Z5700" s="25"/>
      <c r="AA5700" s="25"/>
    </row>
    <row r="5701" spans="1:27" x14ac:dyDescent="0.35">
      <c r="A5701" s="5">
        <v>5697</v>
      </c>
      <c r="B5701" s="5">
        <v>238</v>
      </c>
      <c r="C5701" s="5">
        <v>8</v>
      </c>
      <c r="D5701" s="25">
        <v>1.1416E-4</v>
      </c>
      <c r="E5701" s="25">
        <v>1.0967999999999999E-4</v>
      </c>
      <c r="F5701" s="25">
        <v>1.2875000000000001E-4</v>
      </c>
      <c r="G5701" s="25">
        <v>1.6312999999999999E-4</v>
      </c>
      <c r="H5701" s="25">
        <v>4.2660000000000002E-5</v>
      </c>
      <c r="I5701" s="9">
        <v>1.188E-4</v>
      </c>
      <c r="J5701" s="9">
        <v>1.3104999999999999E-4</v>
      </c>
      <c r="K5701" s="9">
        <v>0</v>
      </c>
      <c r="L5701" s="9">
        <v>6.2310000000000005E-5</v>
      </c>
      <c r="M5701" s="9">
        <v>8.2949999999999997E-5</v>
      </c>
      <c r="N5701" s="9">
        <v>1.0452E-4</v>
      </c>
      <c r="O5701" s="9">
        <v>9.9160000000000006E-5</v>
      </c>
      <c r="P5701" s="9">
        <v>1.3770000000000001E-4</v>
      </c>
      <c r="Q5701" s="9">
        <v>1.7594E-4</v>
      </c>
      <c r="R5701" s="10">
        <v>2.03402142607259E-4</v>
      </c>
      <c r="S5701" s="10">
        <v>1.8303110619253974E-4</v>
      </c>
      <c r="T5701" s="10">
        <v>3.8273522798427907E-4</v>
      </c>
      <c r="U5701" s="10">
        <v>7.203E-5</v>
      </c>
      <c r="V5701" s="25"/>
      <c r="W5701" s="25"/>
      <c r="X5701" s="25"/>
      <c r="Y5701" s="25"/>
      <c r="Z5701" s="25"/>
      <c r="AA5701" s="25"/>
    </row>
    <row r="5702" spans="1:27" x14ac:dyDescent="0.35">
      <c r="A5702" s="5">
        <v>5698</v>
      </c>
      <c r="B5702" s="5">
        <v>238</v>
      </c>
      <c r="C5702" s="5">
        <v>8</v>
      </c>
      <c r="D5702" s="25">
        <v>1.1415000000000001E-4</v>
      </c>
      <c r="E5702" s="25">
        <v>1.1375E-4</v>
      </c>
      <c r="F5702" s="25">
        <v>1.2622999999999999E-4</v>
      </c>
      <c r="G5702" s="25">
        <v>1.6085000000000001E-4</v>
      </c>
      <c r="H5702" s="25">
        <v>4.1050000000000002E-5</v>
      </c>
      <c r="I5702" s="9">
        <v>1.176E-4</v>
      </c>
      <c r="J5702" s="9">
        <v>1.3245999999999999E-4</v>
      </c>
      <c r="K5702" s="9">
        <v>0</v>
      </c>
      <c r="L5702" s="9">
        <v>9.0519999999999994E-5</v>
      </c>
      <c r="M5702" s="9">
        <v>1.064E-4</v>
      </c>
      <c r="N5702" s="9">
        <v>1.2432E-4</v>
      </c>
      <c r="O5702" s="9">
        <v>1.2875000000000001E-4</v>
      </c>
      <c r="P5702" s="9">
        <v>1.5576000000000001E-4</v>
      </c>
      <c r="Q5702" s="9">
        <v>1.8275E-4</v>
      </c>
      <c r="R5702" s="10">
        <v>2.1152529134276315E-4</v>
      </c>
      <c r="S5702" s="10">
        <v>1.8572904364890609E-4</v>
      </c>
      <c r="T5702" s="10">
        <v>3.987366165586479E-4</v>
      </c>
      <c r="U5702" s="10">
        <v>7.203E-5</v>
      </c>
      <c r="V5702" s="25"/>
      <c r="W5702" s="25"/>
      <c r="X5702" s="25"/>
      <c r="Y5702" s="25"/>
      <c r="Z5702" s="25"/>
      <c r="AA5702" s="25"/>
    </row>
    <row r="5703" spans="1:27" x14ac:dyDescent="0.35">
      <c r="A5703" s="5">
        <v>5699</v>
      </c>
      <c r="B5703" s="5">
        <v>238</v>
      </c>
      <c r="C5703" s="5">
        <v>8</v>
      </c>
      <c r="D5703" s="25">
        <v>1.1416E-4</v>
      </c>
      <c r="E5703" s="25">
        <v>1.1177E-4</v>
      </c>
      <c r="F5703" s="25">
        <v>1.3118E-4</v>
      </c>
      <c r="G5703" s="25">
        <v>1.662E-4</v>
      </c>
      <c r="H5703" s="25">
        <v>4.193E-5</v>
      </c>
      <c r="I5703" s="9">
        <v>1.1680000000000001E-4</v>
      </c>
      <c r="J5703" s="9">
        <v>1.3303999999999999E-4</v>
      </c>
      <c r="K5703" s="9">
        <v>0</v>
      </c>
      <c r="L5703" s="9">
        <v>1.1964999999999999E-4</v>
      </c>
      <c r="M5703" s="9">
        <v>1.3007000000000001E-4</v>
      </c>
      <c r="N5703" s="9">
        <v>1.4257000000000001E-4</v>
      </c>
      <c r="O5703" s="9">
        <v>1.3647E-4</v>
      </c>
      <c r="P5703" s="9">
        <v>1.5788E-4</v>
      </c>
      <c r="Q5703" s="9">
        <v>1.794E-4</v>
      </c>
      <c r="R5703" s="10">
        <v>2.1232372918628318E-4</v>
      </c>
      <c r="S5703" s="10">
        <v>1.9024228012971012E-4</v>
      </c>
      <c r="T5703" s="10">
        <v>4.0947773953592831E-4</v>
      </c>
      <c r="U5703" s="10">
        <v>7.203E-5</v>
      </c>
      <c r="V5703" s="25"/>
      <c r="W5703" s="25"/>
      <c r="X5703" s="25"/>
      <c r="Y5703" s="25"/>
      <c r="Z5703" s="25"/>
      <c r="AA5703" s="25"/>
    </row>
    <row r="5704" spans="1:27" x14ac:dyDescent="0.35">
      <c r="A5704" s="5">
        <v>5700</v>
      </c>
      <c r="B5704" s="5">
        <v>238</v>
      </c>
      <c r="C5704" s="5">
        <v>8</v>
      </c>
      <c r="D5704" s="25">
        <v>1.1415000000000001E-4</v>
      </c>
      <c r="E5704" s="25">
        <v>1.0675000000000001E-4</v>
      </c>
      <c r="F5704" s="25">
        <v>1.1938999999999999E-4</v>
      </c>
      <c r="G5704" s="25">
        <v>1.5689999999999999E-4</v>
      </c>
      <c r="H5704" s="25">
        <v>4.1399999999999997E-5</v>
      </c>
      <c r="I5704" s="9">
        <v>1.1302E-4</v>
      </c>
      <c r="J5704" s="9">
        <v>1.3244E-4</v>
      </c>
      <c r="K5704" s="9">
        <v>0</v>
      </c>
      <c r="L5704" s="9">
        <v>1.3208999999999999E-4</v>
      </c>
      <c r="M5704" s="9">
        <v>1.4571000000000001E-4</v>
      </c>
      <c r="N5704" s="9">
        <v>1.5667E-4</v>
      </c>
      <c r="O5704" s="9">
        <v>1.3736E-4</v>
      </c>
      <c r="P5704" s="9">
        <v>1.5532E-4</v>
      </c>
      <c r="Q5704" s="9">
        <v>1.7344999999999999E-4</v>
      </c>
      <c r="R5704" s="10">
        <v>2.0836704850687922E-4</v>
      </c>
      <c r="S5704" s="10">
        <v>1.9029020759484994E-4</v>
      </c>
      <c r="T5704" s="10">
        <v>5.6821898037709483E-4</v>
      </c>
      <c r="U5704" s="10">
        <v>7.203E-5</v>
      </c>
      <c r="V5704" s="25"/>
      <c r="W5704" s="25"/>
      <c r="X5704" s="25"/>
      <c r="Y5704" s="25"/>
      <c r="Z5704" s="25"/>
      <c r="AA5704" s="25"/>
    </row>
    <row r="5705" spans="1:27" x14ac:dyDescent="0.35">
      <c r="A5705" s="5">
        <v>5701</v>
      </c>
      <c r="B5705" s="5">
        <v>238</v>
      </c>
      <c r="C5705" s="5">
        <v>8</v>
      </c>
      <c r="D5705" s="25">
        <v>1.1416E-4</v>
      </c>
      <c r="E5705" s="25">
        <v>1.1340000000000001E-4</v>
      </c>
      <c r="F5705" s="25">
        <v>1.1033E-4</v>
      </c>
      <c r="G5705" s="25">
        <v>1.6426E-4</v>
      </c>
      <c r="H5705" s="25">
        <v>4.3069999999999999E-5</v>
      </c>
      <c r="I5705" s="9">
        <v>1.1259E-4</v>
      </c>
      <c r="J5705" s="9">
        <v>1.3276999999999999E-4</v>
      </c>
      <c r="K5705" s="9">
        <v>0</v>
      </c>
      <c r="L5705" s="9">
        <v>1.3603000000000001E-4</v>
      </c>
      <c r="M5705" s="9">
        <v>1.5250999999999999E-4</v>
      </c>
      <c r="N5705" s="9">
        <v>1.6602000000000001E-4</v>
      </c>
      <c r="O5705" s="9">
        <v>1.2861E-4</v>
      </c>
      <c r="P5705" s="9">
        <v>1.4725E-4</v>
      </c>
      <c r="Q5705" s="9">
        <v>1.6600999999999999E-4</v>
      </c>
      <c r="R5705" s="10">
        <v>2.08407767515605E-4</v>
      </c>
      <c r="S5705" s="10">
        <v>1.9029020759484994E-4</v>
      </c>
      <c r="T5705" s="10">
        <v>5.7283443922357226E-4</v>
      </c>
      <c r="U5705" s="10">
        <v>7.203E-5</v>
      </c>
      <c r="V5705" s="25"/>
      <c r="W5705" s="25"/>
      <c r="X5705" s="25"/>
      <c r="Y5705" s="25"/>
      <c r="Z5705" s="25"/>
      <c r="AA5705" s="25"/>
    </row>
    <row r="5706" spans="1:27" x14ac:dyDescent="0.35">
      <c r="A5706" s="5">
        <v>5702</v>
      </c>
      <c r="B5706" s="5">
        <v>238</v>
      </c>
      <c r="C5706" s="5">
        <v>8</v>
      </c>
      <c r="D5706" s="25">
        <v>1.1415000000000001E-4</v>
      </c>
      <c r="E5706" s="25">
        <v>1.0505000000000001E-4</v>
      </c>
      <c r="F5706" s="25">
        <v>1.2362000000000001E-4</v>
      </c>
      <c r="G5706" s="25">
        <v>1.6033E-4</v>
      </c>
      <c r="H5706" s="25">
        <v>4.303E-5</v>
      </c>
      <c r="I5706" s="9">
        <v>1.1276E-4</v>
      </c>
      <c r="J5706" s="9">
        <v>1.3216000000000001E-4</v>
      </c>
      <c r="K5706" s="9">
        <v>0</v>
      </c>
      <c r="L5706" s="9">
        <v>1.3032000000000001E-4</v>
      </c>
      <c r="M5706" s="9">
        <v>1.5187999999999999E-4</v>
      </c>
      <c r="N5706" s="9">
        <v>1.7003999999999999E-4</v>
      </c>
      <c r="O5706" s="9">
        <v>1.1237E-4</v>
      </c>
      <c r="P5706" s="9">
        <v>1.3668E-4</v>
      </c>
      <c r="Q5706" s="9">
        <v>1.6096E-4</v>
      </c>
      <c r="R5706" s="10">
        <v>2.0597131509562223E-4</v>
      </c>
      <c r="S5706" s="10">
        <v>1.9029020759484994E-4</v>
      </c>
      <c r="T5706" s="10">
        <v>2.2946636022395448E-4</v>
      </c>
      <c r="U5706" s="10">
        <v>7.203E-5</v>
      </c>
      <c r="V5706" s="25"/>
      <c r="W5706" s="25"/>
      <c r="X5706" s="25"/>
      <c r="Y5706" s="25"/>
      <c r="Z5706" s="25"/>
      <c r="AA5706" s="25"/>
    </row>
    <row r="5707" spans="1:27" x14ac:dyDescent="0.35">
      <c r="A5707" s="5">
        <v>5703</v>
      </c>
      <c r="B5707" s="5">
        <v>238</v>
      </c>
      <c r="C5707" s="5">
        <v>8</v>
      </c>
      <c r="D5707" s="25">
        <v>1.1416E-4</v>
      </c>
      <c r="E5707" s="25">
        <v>1.0808E-4</v>
      </c>
      <c r="F5707" s="25">
        <v>1.1943999999999999E-4</v>
      </c>
      <c r="G5707" s="25">
        <v>1.6055E-4</v>
      </c>
      <c r="H5707" s="25">
        <v>4.1850000000000001E-5</v>
      </c>
      <c r="I5707" s="9">
        <v>1.1341999999999999E-4</v>
      </c>
      <c r="J5707" s="9">
        <v>1.3214999999999999E-4</v>
      </c>
      <c r="K5707" s="9">
        <v>0</v>
      </c>
      <c r="L5707" s="9">
        <v>1.1654000000000001E-4</v>
      </c>
      <c r="M5707" s="9">
        <v>1.4599E-4</v>
      </c>
      <c r="N5707" s="9">
        <v>1.6965E-4</v>
      </c>
      <c r="O5707" s="9">
        <v>1.2799E-4</v>
      </c>
      <c r="P5707" s="9">
        <v>1.4085000000000001E-4</v>
      </c>
      <c r="Q5707" s="9">
        <v>1.5391999999999999E-4</v>
      </c>
      <c r="R5707" s="10">
        <v>2.0272081209494775E-4</v>
      </c>
      <c r="S5707" s="10">
        <v>1.9029020759484994E-4</v>
      </c>
      <c r="T5707" s="10">
        <v>1.9357777397285166E-4</v>
      </c>
      <c r="U5707" s="10">
        <v>7.203E-5</v>
      </c>
      <c r="V5707" s="25"/>
      <c r="W5707" s="25"/>
      <c r="X5707" s="25"/>
      <c r="Y5707" s="25"/>
      <c r="Z5707" s="25"/>
      <c r="AA5707" s="25"/>
    </row>
    <row r="5708" spans="1:27" x14ac:dyDescent="0.35">
      <c r="A5708" s="5">
        <v>5704</v>
      </c>
      <c r="B5708" s="5">
        <v>238</v>
      </c>
      <c r="C5708" s="5">
        <v>8</v>
      </c>
      <c r="D5708" s="25">
        <v>1.1415000000000001E-4</v>
      </c>
      <c r="E5708" s="25">
        <v>1.1298000000000001E-4</v>
      </c>
      <c r="F5708" s="25">
        <v>1.1077E-4</v>
      </c>
      <c r="G5708" s="25">
        <v>1.6488000000000001E-4</v>
      </c>
      <c r="H5708" s="25">
        <v>4.2570000000000001E-5</v>
      </c>
      <c r="I5708" s="9">
        <v>1.1543E-4</v>
      </c>
      <c r="J5708" s="9">
        <v>1.3239E-4</v>
      </c>
      <c r="K5708" s="9">
        <v>0</v>
      </c>
      <c r="L5708" s="9">
        <v>1.2585999999999999E-4</v>
      </c>
      <c r="M5708" s="9">
        <v>1.4250999999999999E-4</v>
      </c>
      <c r="N5708" s="9">
        <v>1.661E-4</v>
      </c>
      <c r="O5708" s="9">
        <v>1.3423999999999999E-4</v>
      </c>
      <c r="P5708" s="9">
        <v>1.2191E-4</v>
      </c>
      <c r="Q5708" s="9">
        <v>1.102E-4</v>
      </c>
      <c r="R5708" s="10">
        <v>1.9852058139725219E-4</v>
      </c>
      <c r="S5708" s="10">
        <v>1.9029020759484994E-4</v>
      </c>
      <c r="T5708" s="10">
        <v>2.9731530212704423E-4</v>
      </c>
      <c r="U5708" s="10">
        <v>7.203E-5</v>
      </c>
      <c r="V5708" s="25"/>
      <c r="W5708" s="25"/>
      <c r="X5708" s="25"/>
      <c r="Y5708" s="25"/>
      <c r="Z5708" s="25"/>
      <c r="AA5708" s="25"/>
    </row>
    <row r="5709" spans="1:27" x14ac:dyDescent="0.35">
      <c r="A5709" s="5">
        <v>5705</v>
      </c>
      <c r="B5709" s="5">
        <v>238</v>
      </c>
      <c r="C5709" s="5">
        <v>8</v>
      </c>
      <c r="D5709" s="25">
        <v>1.1416E-4</v>
      </c>
      <c r="E5709" s="25">
        <v>1.0645E-4</v>
      </c>
      <c r="F5709" s="25">
        <v>1.1524E-4</v>
      </c>
      <c r="G5709" s="25">
        <v>1.6391999999999999E-4</v>
      </c>
      <c r="H5709" s="25">
        <v>4.0809999999999997E-5</v>
      </c>
      <c r="I5709" s="9">
        <v>1.1812E-4</v>
      </c>
      <c r="J5709" s="9">
        <v>1.3264E-4</v>
      </c>
      <c r="K5709" s="9">
        <v>0</v>
      </c>
      <c r="L5709" s="9">
        <v>1.3210000000000001E-4</v>
      </c>
      <c r="M5709" s="9">
        <v>1.3435000000000001E-4</v>
      </c>
      <c r="N5709" s="9">
        <v>1.5253E-4</v>
      </c>
      <c r="O5709" s="9">
        <v>1.4079000000000001E-4</v>
      </c>
      <c r="P5709" s="9">
        <v>1.2397999999999999E-4</v>
      </c>
      <c r="Q5709" s="9">
        <v>1.0789999999999999E-4</v>
      </c>
      <c r="R5709" s="10">
        <v>1.868747856204555E-4</v>
      </c>
      <c r="S5709" s="10">
        <v>1.9029018908869801E-4</v>
      </c>
      <c r="T5709" s="10">
        <v>1.456923884406473E-4</v>
      </c>
      <c r="U5709" s="10">
        <v>7.203E-5</v>
      </c>
      <c r="V5709" s="25"/>
      <c r="W5709" s="25"/>
      <c r="X5709" s="25"/>
      <c r="Y5709" s="25"/>
      <c r="Z5709" s="25"/>
      <c r="AA5709" s="25"/>
    </row>
    <row r="5710" spans="1:27" x14ac:dyDescent="0.35">
      <c r="A5710" s="5">
        <v>5706</v>
      </c>
      <c r="B5710" s="5">
        <v>238</v>
      </c>
      <c r="C5710" s="5">
        <v>8</v>
      </c>
      <c r="D5710" s="25">
        <v>1.1415000000000001E-4</v>
      </c>
      <c r="E5710" s="25">
        <v>1.1351E-4</v>
      </c>
      <c r="F5710" s="25">
        <v>1.1633000000000001E-4</v>
      </c>
      <c r="G5710" s="25">
        <v>1.6012000000000001E-4</v>
      </c>
      <c r="H5710" s="25">
        <v>4.1270000000000003E-5</v>
      </c>
      <c r="I5710" s="9">
        <v>1.2048E-4</v>
      </c>
      <c r="J5710" s="9">
        <v>1.2972999999999999E-4</v>
      </c>
      <c r="K5710" s="9">
        <v>0</v>
      </c>
      <c r="L5710" s="9">
        <v>1.3860000000000001E-4</v>
      </c>
      <c r="M5710" s="9">
        <v>1.2852999999999999E-4</v>
      </c>
      <c r="N5710" s="9">
        <v>1.3941999999999999E-4</v>
      </c>
      <c r="O5710" s="9">
        <v>1.405E-4</v>
      </c>
      <c r="P5710" s="9">
        <v>1.2881000000000001E-4</v>
      </c>
      <c r="Q5710" s="9">
        <v>1.1776E-4</v>
      </c>
      <c r="R5710" s="10">
        <v>1.8166673184042556E-4</v>
      </c>
      <c r="S5710" s="10">
        <v>1.9016291611657647E-4</v>
      </c>
      <c r="T5710" s="10">
        <v>7.6647160329187494E-5</v>
      </c>
      <c r="U5710" s="10">
        <v>7.203E-5</v>
      </c>
      <c r="V5710" s="25"/>
      <c r="W5710" s="25"/>
      <c r="X5710" s="25"/>
      <c r="Y5710" s="25"/>
      <c r="Z5710" s="25"/>
      <c r="AA5710" s="25"/>
    </row>
    <row r="5711" spans="1:27" x14ac:dyDescent="0.35">
      <c r="A5711" s="5">
        <v>5707</v>
      </c>
      <c r="B5711" s="5">
        <v>238</v>
      </c>
      <c r="C5711" s="5">
        <v>8</v>
      </c>
      <c r="D5711" s="25">
        <v>1.1416E-4</v>
      </c>
      <c r="E5711" s="25">
        <v>1.0755999999999999E-4</v>
      </c>
      <c r="F5711" s="25">
        <v>1.3044E-4</v>
      </c>
      <c r="G5711" s="25">
        <v>1.0903E-4</v>
      </c>
      <c r="H5711" s="25">
        <v>2.8940000000000001E-5</v>
      </c>
      <c r="I5711" s="9">
        <v>1.205E-4</v>
      </c>
      <c r="J5711" s="9">
        <v>1.2786000000000001E-4</v>
      </c>
      <c r="K5711" s="9">
        <v>2.756E-5</v>
      </c>
      <c r="L5711" s="9">
        <v>1.3998E-4</v>
      </c>
      <c r="M5711" s="9">
        <v>1.2729000000000001E-4</v>
      </c>
      <c r="N5711" s="9">
        <v>1.3040999999999999E-4</v>
      </c>
      <c r="O5711" s="9">
        <v>1.4071E-4</v>
      </c>
      <c r="P5711" s="9">
        <v>1.2339E-4</v>
      </c>
      <c r="Q5711" s="9">
        <v>1.0679999999999999E-4</v>
      </c>
      <c r="R5711" s="10">
        <v>1.8892920304226966E-4</v>
      </c>
      <c r="S5711" s="10">
        <v>1.8984861569570319E-4</v>
      </c>
      <c r="T5711" s="10">
        <v>1.6629226726279333E-6</v>
      </c>
      <c r="U5711" s="10">
        <v>7.203E-5</v>
      </c>
      <c r="V5711" s="25"/>
      <c r="W5711" s="25"/>
      <c r="X5711" s="25"/>
      <c r="Y5711" s="25"/>
      <c r="Z5711" s="25"/>
      <c r="AA5711" s="25"/>
    </row>
    <row r="5712" spans="1:27" x14ac:dyDescent="0.35">
      <c r="A5712" s="5">
        <v>5708</v>
      </c>
      <c r="B5712" s="5">
        <v>238</v>
      </c>
      <c r="C5712" s="5">
        <v>8</v>
      </c>
      <c r="D5712" s="25">
        <v>1.1415000000000001E-4</v>
      </c>
      <c r="E5712" s="25">
        <v>1.0758E-4</v>
      </c>
      <c r="F5712" s="25">
        <v>1.2118E-4</v>
      </c>
      <c r="G5712" s="25">
        <v>1.1010000000000001E-4</v>
      </c>
      <c r="H5712" s="25">
        <v>2.8140000000000002E-5</v>
      </c>
      <c r="I5712" s="9">
        <v>1.1894E-4</v>
      </c>
      <c r="J5712" s="9">
        <v>1.2549999999999999E-4</v>
      </c>
      <c r="K5712" s="9">
        <v>4.6629999999999999E-5</v>
      </c>
      <c r="L5712" s="9">
        <v>1.4055E-4</v>
      </c>
      <c r="M5712" s="9">
        <v>1.2583000000000001E-4</v>
      </c>
      <c r="N5712" s="9">
        <v>1.2120000000000001E-4</v>
      </c>
      <c r="O5712" s="9">
        <v>1.4325000000000001E-4</v>
      </c>
      <c r="P5712" s="9">
        <v>1.2208E-4</v>
      </c>
      <c r="Q5712" s="9">
        <v>1.0172E-4</v>
      </c>
      <c r="R5712" s="10">
        <v>1.9781740309097304E-4</v>
      </c>
      <c r="S5712" s="10">
        <v>1.8963869167320244E-4</v>
      </c>
      <c r="T5712" s="10">
        <v>0</v>
      </c>
      <c r="U5712" s="10">
        <v>7.203E-5</v>
      </c>
      <c r="V5712" s="25"/>
      <c r="W5712" s="25"/>
      <c r="X5712" s="25"/>
      <c r="Y5712" s="25"/>
      <c r="Z5712" s="25"/>
      <c r="AA5712" s="25"/>
    </row>
    <row r="5713" spans="1:27" x14ac:dyDescent="0.35">
      <c r="A5713" s="5">
        <v>5709</v>
      </c>
      <c r="B5713" s="5">
        <v>238</v>
      </c>
      <c r="C5713" s="5">
        <v>8</v>
      </c>
      <c r="D5713" s="25">
        <v>1.1416E-4</v>
      </c>
      <c r="E5713" s="25">
        <v>1.1134E-4</v>
      </c>
      <c r="F5713" s="25">
        <v>1.2189E-4</v>
      </c>
      <c r="G5713" s="25">
        <v>6.2219999999999997E-5</v>
      </c>
      <c r="H5713" s="25">
        <v>1.455E-5</v>
      </c>
      <c r="I5713" s="9">
        <v>1.2108999999999999E-4</v>
      </c>
      <c r="J5713" s="9">
        <v>1.2622999999999999E-4</v>
      </c>
      <c r="K5713" s="9">
        <v>4.4509999999999999E-5</v>
      </c>
      <c r="L5713" s="9">
        <v>1.4268000000000001E-4</v>
      </c>
      <c r="M5713" s="9">
        <v>1.2412999999999999E-4</v>
      </c>
      <c r="N5713" s="9">
        <v>1.1339E-4</v>
      </c>
      <c r="O5713" s="9">
        <v>8.4179999999999997E-5</v>
      </c>
      <c r="P5713" s="9">
        <v>8.5950000000000002E-5</v>
      </c>
      <c r="Q5713" s="9">
        <v>8.7929999999999993E-5</v>
      </c>
      <c r="R5713" s="10">
        <v>2.0572048112655638E-4</v>
      </c>
      <c r="S5713" s="10">
        <v>1.8799471246347467E-4</v>
      </c>
      <c r="T5713" s="10">
        <v>0</v>
      </c>
      <c r="U5713" s="10">
        <v>7.203E-5</v>
      </c>
      <c r="V5713" s="25"/>
      <c r="W5713" s="25"/>
      <c r="X5713" s="25"/>
      <c r="Y5713" s="25"/>
      <c r="Z5713" s="25"/>
      <c r="AA5713" s="25"/>
    </row>
    <row r="5714" spans="1:27" x14ac:dyDescent="0.35">
      <c r="A5714" s="5">
        <v>5710</v>
      </c>
      <c r="B5714" s="5">
        <v>238</v>
      </c>
      <c r="C5714" s="5">
        <v>8</v>
      </c>
      <c r="D5714" s="25">
        <v>1.1415000000000001E-4</v>
      </c>
      <c r="E5714" s="25">
        <v>1.0496E-4</v>
      </c>
      <c r="F5714" s="25">
        <v>1.1769000000000001E-4</v>
      </c>
      <c r="G5714" s="25">
        <v>5.9079999999999997E-5</v>
      </c>
      <c r="H5714" s="25">
        <v>1.435E-5</v>
      </c>
      <c r="I5714" s="9">
        <v>1.195E-4</v>
      </c>
      <c r="J5714" s="9">
        <v>1.1992E-4</v>
      </c>
      <c r="K5714" s="9">
        <v>5.0869999999999999E-5</v>
      </c>
      <c r="L5714" s="9">
        <v>9.6990000000000005E-5</v>
      </c>
      <c r="M5714" s="9">
        <v>1.0991E-4</v>
      </c>
      <c r="N5714" s="9">
        <v>1.0563E-4</v>
      </c>
      <c r="O5714" s="9">
        <v>8.6899999999999998E-5</v>
      </c>
      <c r="P5714" s="9">
        <v>8.7289999999999999E-5</v>
      </c>
      <c r="Q5714" s="9">
        <v>8.7940000000000002E-5</v>
      </c>
      <c r="R5714" s="10">
        <v>2.1062850115293114E-4</v>
      </c>
      <c r="S5714" s="10">
        <v>1.859298771174786E-4</v>
      </c>
      <c r="T5714" s="10">
        <v>0</v>
      </c>
      <c r="U5714" s="10">
        <v>7.203E-5</v>
      </c>
      <c r="V5714" s="25"/>
      <c r="W5714" s="25"/>
      <c r="X5714" s="25"/>
      <c r="Y5714" s="25"/>
      <c r="Z5714" s="25"/>
      <c r="AA5714" s="25"/>
    </row>
    <row r="5715" spans="1:27" x14ac:dyDescent="0.35">
      <c r="A5715" s="5">
        <v>5711</v>
      </c>
      <c r="B5715" s="5">
        <v>238</v>
      </c>
      <c r="C5715" s="5">
        <v>8</v>
      </c>
      <c r="D5715" s="25">
        <v>1.1416E-4</v>
      </c>
      <c r="E5715" s="25">
        <v>1.0713E-4</v>
      </c>
      <c r="F5715" s="25">
        <v>1.1052000000000001E-4</v>
      </c>
      <c r="G5715" s="25">
        <v>6.0430000000000002E-5</v>
      </c>
      <c r="H5715" s="25">
        <v>1.358E-5</v>
      </c>
      <c r="I5715" s="9">
        <v>1.1244E-4</v>
      </c>
      <c r="J5715" s="9">
        <v>1.1406E-4</v>
      </c>
      <c r="K5715" s="9">
        <v>4.2389999999999999E-5</v>
      </c>
      <c r="L5715" s="9">
        <v>9.0379999999999999E-5</v>
      </c>
      <c r="M5715" s="9">
        <v>9.7960000000000004E-5</v>
      </c>
      <c r="N5715" s="9">
        <v>9.9679999999999994E-5</v>
      </c>
      <c r="O5715" s="9">
        <v>8.5149999999999996E-5</v>
      </c>
      <c r="P5715" s="9">
        <v>7.6069999999999995E-5</v>
      </c>
      <c r="Q5715" s="9">
        <v>6.7379999999999995E-5</v>
      </c>
      <c r="R5715" s="10">
        <v>2.1001602404413562E-4</v>
      </c>
      <c r="S5715" s="10">
        <v>1.7843350815132579E-4</v>
      </c>
      <c r="T5715" s="10">
        <v>0</v>
      </c>
      <c r="U5715" s="10">
        <v>7.203E-5</v>
      </c>
      <c r="V5715" s="25"/>
      <c r="W5715" s="25"/>
      <c r="X5715" s="25"/>
      <c r="Y5715" s="25"/>
      <c r="Z5715" s="25"/>
      <c r="AA5715" s="25"/>
    </row>
    <row r="5716" spans="1:27" x14ac:dyDescent="0.35">
      <c r="A5716" s="5">
        <v>5712</v>
      </c>
      <c r="B5716" s="5">
        <v>238</v>
      </c>
      <c r="C5716" s="5">
        <v>8</v>
      </c>
      <c r="D5716" s="25">
        <v>1.1415000000000001E-4</v>
      </c>
      <c r="E5716" s="25">
        <v>1.0657E-4</v>
      </c>
      <c r="F5716" s="25">
        <v>1.1025E-4</v>
      </c>
      <c r="G5716" s="25">
        <v>6.0489999999999999E-5</v>
      </c>
      <c r="H5716" s="25">
        <v>1.4769999999999999E-5</v>
      </c>
      <c r="I5716" s="9">
        <v>1.0537E-4</v>
      </c>
      <c r="J5716" s="9">
        <v>1.0594000000000001E-4</v>
      </c>
      <c r="K5716" s="9">
        <v>4.0269999999999999E-5</v>
      </c>
      <c r="L5716" s="9">
        <v>8.6520000000000005E-5</v>
      </c>
      <c r="M5716" s="9">
        <v>8.7280000000000005E-5</v>
      </c>
      <c r="N5716" s="9">
        <v>9.0489999999999996E-5</v>
      </c>
      <c r="O5716" s="9">
        <v>7.8659999999999996E-5</v>
      </c>
      <c r="P5716" s="9">
        <v>6.8419999999999999E-5</v>
      </c>
      <c r="Q5716" s="9">
        <v>5.8560000000000002E-5</v>
      </c>
      <c r="R5716" s="10">
        <v>1.6397039359053814E-4</v>
      </c>
      <c r="S5716" s="10">
        <v>1.7767753039892202E-4</v>
      </c>
      <c r="T5716" s="10">
        <v>0</v>
      </c>
      <c r="U5716" s="10">
        <v>7.203E-5</v>
      </c>
      <c r="V5716" s="25"/>
      <c r="W5716" s="25"/>
      <c r="X5716" s="25"/>
      <c r="Y5716" s="25"/>
      <c r="Z5716" s="25"/>
      <c r="AA5716" s="25"/>
    </row>
    <row r="5717" spans="1:27" x14ac:dyDescent="0.35">
      <c r="A5717" s="5">
        <v>5713</v>
      </c>
      <c r="B5717" s="5">
        <v>239</v>
      </c>
      <c r="C5717" s="5">
        <v>8</v>
      </c>
      <c r="D5717" s="25">
        <v>1.1416E-4</v>
      </c>
      <c r="E5717" s="25">
        <v>1.0802E-4</v>
      </c>
      <c r="F5717" s="25">
        <v>9.7819999999999995E-5</v>
      </c>
      <c r="G5717" s="25">
        <v>5.6379999999999999E-5</v>
      </c>
      <c r="H5717" s="25">
        <v>7.4140000000000005E-5</v>
      </c>
      <c r="I5717" s="9">
        <v>1.0077E-4</v>
      </c>
      <c r="J5717" s="9">
        <v>1.0016E-4</v>
      </c>
      <c r="K5717" s="9">
        <v>4.0269999999999999E-5</v>
      </c>
      <c r="L5717" s="9">
        <v>8.0160000000000005E-5</v>
      </c>
      <c r="M5717" s="9">
        <v>7.8090000000000006E-5</v>
      </c>
      <c r="N5717" s="9">
        <v>8.1039999999999997E-5</v>
      </c>
      <c r="O5717" s="9">
        <v>5.4490000000000002E-5</v>
      </c>
      <c r="P5717" s="9">
        <v>5.3909999999999997E-5</v>
      </c>
      <c r="Q5717" s="9">
        <v>5.3480000000000003E-5</v>
      </c>
      <c r="R5717" s="10">
        <v>1.326020893265257E-4</v>
      </c>
      <c r="S5717" s="10">
        <v>1.6435441255989718E-4</v>
      </c>
      <c r="T5717" s="10">
        <v>0</v>
      </c>
      <c r="U5717" s="10">
        <v>7.6110000000000001E-5</v>
      </c>
      <c r="V5717" s="25"/>
      <c r="W5717" s="25"/>
      <c r="X5717" s="25"/>
      <c r="Y5717" s="25"/>
      <c r="Z5717" s="25"/>
      <c r="AA5717" s="25"/>
    </row>
    <row r="5718" spans="1:27" x14ac:dyDescent="0.35">
      <c r="A5718" s="5">
        <v>5714</v>
      </c>
      <c r="B5718" s="5">
        <v>239</v>
      </c>
      <c r="C5718" s="5">
        <v>8</v>
      </c>
      <c r="D5718" s="25">
        <v>1.1415000000000001E-4</v>
      </c>
      <c r="E5718" s="25">
        <v>1.0987E-4</v>
      </c>
      <c r="F5718" s="25">
        <v>1.0909E-4</v>
      </c>
      <c r="G5718" s="25">
        <v>5.4830000000000002E-5</v>
      </c>
      <c r="H5718" s="25">
        <v>6.6379999999999998E-5</v>
      </c>
      <c r="I5718" s="9">
        <v>9.7860000000000002E-5</v>
      </c>
      <c r="J5718" s="9">
        <v>9.7639999999999994E-5</v>
      </c>
      <c r="K5718" s="9">
        <v>3.8149999999999999E-5</v>
      </c>
      <c r="L5718" s="9">
        <v>6.0300000000000002E-5</v>
      </c>
      <c r="M5718" s="9">
        <v>6.7219999999999997E-5</v>
      </c>
      <c r="N5718" s="9">
        <v>7.1970000000000004E-5</v>
      </c>
      <c r="O5718" s="9">
        <v>1.916E-5</v>
      </c>
      <c r="P5718" s="9">
        <v>3.7979999999999999E-5</v>
      </c>
      <c r="Q5718" s="9">
        <v>5.6530000000000003E-5</v>
      </c>
      <c r="R5718" s="10">
        <v>1.404804277817384E-4</v>
      </c>
      <c r="S5718" s="10">
        <v>1.5157956835620619E-4</v>
      </c>
      <c r="T5718" s="10">
        <v>0</v>
      </c>
      <c r="U5718" s="10">
        <v>7.6110000000000001E-5</v>
      </c>
      <c r="V5718" s="25"/>
      <c r="W5718" s="25"/>
      <c r="X5718" s="25"/>
      <c r="Y5718" s="25"/>
      <c r="Z5718" s="25"/>
      <c r="AA5718" s="25"/>
    </row>
    <row r="5719" spans="1:27" x14ac:dyDescent="0.35">
      <c r="A5719" s="5">
        <v>5715</v>
      </c>
      <c r="B5719" s="5">
        <v>239</v>
      </c>
      <c r="C5719" s="5">
        <v>8</v>
      </c>
      <c r="D5719" s="25">
        <v>1.1416E-4</v>
      </c>
      <c r="E5719" s="25">
        <v>1.1221E-4</v>
      </c>
      <c r="F5719" s="25">
        <v>8.7810000000000001E-5</v>
      </c>
      <c r="G5719" s="25">
        <v>5.7739999999999999E-5</v>
      </c>
      <c r="H5719" s="25">
        <v>6.703E-5</v>
      </c>
      <c r="I5719" s="9">
        <v>9.7319999999999997E-5</v>
      </c>
      <c r="J5719" s="9">
        <v>9.6630000000000001E-5</v>
      </c>
      <c r="K5719" s="9">
        <v>4.4499999999999997E-5</v>
      </c>
      <c r="L5719" s="9">
        <v>2.8759999999999999E-5</v>
      </c>
      <c r="M5719" s="9">
        <v>5.4030000000000003E-5</v>
      </c>
      <c r="N5719" s="9">
        <v>6.5519999999999996E-5</v>
      </c>
      <c r="O5719" s="9">
        <v>1.366E-5</v>
      </c>
      <c r="P5719" s="9">
        <v>3.7939999999999999E-5</v>
      </c>
      <c r="Q5719" s="9">
        <v>6.1840000000000004E-5</v>
      </c>
      <c r="R5719" s="10">
        <v>1.7063561931291782E-4</v>
      </c>
      <c r="S5719" s="10">
        <v>1.408678249797376E-4</v>
      </c>
      <c r="T5719" s="10">
        <v>0</v>
      </c>
      <c r="U5719" s="10">
        <v>7.6110000000000001E-5</v>
      </c>
      <c r="V5719" s="25"/>
      <c r="W5719" s="25"/>
      <c r="X5719" s="25"/>
      <c r="Y5719" s="25"/>
      <c r="Z5719" s="25"/>
      <c r="AA5719" s="25"/>
    </row>
    <row r="5720" spans="1:27" x14ac:dyDescent="0.35">
      <c r="A5720" s="5">
        <v>5716</v>
      </c>
      <c r="B5720" s="5">
        <v>239</v>
      </c>
      <c r="C5720" s="5">
        <v>8</v>
      </c>
      <c r="D5720" s="25">
        <v>1.1415000000000001E-4</v>
      </c>
      <c r="E5720" s="25">
        <v>1.1229E-4</v>
      </c>
      <c r="F5720" s="25">
        <v>1.0416000000000001E-4</v>
      </c>
      <c r="G5720" s="25">
        <v>5.2429999999999998E-5</v>
      </c>
      <c r="H5720" s="25">
        <v>7.4670000000000002E-5</v>
      </c>
      <c r="I5720" s="9">
        <v>9.7899999999999994E-5</v>
      </c>
      <c r="J5720" s="9">
        <v>9.658E-5</v>
      </c>
      <c r="K5720" s="9">
        <v>4.6629999999999999E-5</v>
      </c>
      <c r="L5720" s="9">
        <v>1.7819999999999999E-5</v>
      </c>
      <c r="M5720" s="9">
        <v>4.5059999999999999E-5</v>
      </c>
      <c r="N5720" s="9">
        <v>6.2030000000000001E-5</v>
      </c>
      <c r="O5720" s="9">
        <v>1.347E-5</v>
      </c>
      <c r="P5720" s="9">
        <v>4.6789999999999998E-5</v>
      </c>
      <c r="Q5720" s="9">
        <v>7.9569999999999999E-5</v>
      </c>
      <c r="R5720" s="10">
        <v>1.9184437365049037E-4</v>
      </c>
      <c r="S5720" s="10">
        <v>1.3502538269335437E-4</v>
      </c>
      <c r="T5720" s="10">
        <v>0</v>
      </c>
      <c r="U5720" s="10">
        <v>7.6110000000000001E-5</v>
      </c>
      <c r="V5720" s="25"/>
      <c r="W5720" s="25"/>
      <c r="X5720" s="25"/>
      <c r="Y5720" s="25"/>
      <c r="Z5720" s="25"/>
      <c r="AA5720" s="25"/>
    </row>
    <row r="5721" spans="1:27" x14ac:dyDescent="0.35">
      <c r="A5721" s="5">
        <v>5717</v>
      </c>
      <c r="B5721" s="5">
        <v>239</v>
      </c>
      <c r="C5721" s="5">
        <v>8</v>
      </c>
      <c r="D5721" s="25">
        <v>1.1416E-4</v>
      </c>
      <c r="E5721" s="25">
        <v>1.1182E-4</v>
      </c>
      <c r="F5721" s="25">
        <v>9.2479999999999995E-5</v>
      </c>
      <c r="G5721" s="25">
        <v>5.3600000000000002E-5</v>
      </c>
      <c r="H5721" s="25">
        <v>7.0740000000000004E-5</v>
      </c>
      <c r="I5721" s="9">
        <v>1.0087E-4</v>
      </c>
      <c r="J5721" s="9">
        <v>9.9209999999999994E-5</v>
      </c>
      <c r="K5721" s="9">
        <v>4.6629999999999999E-5</v>
      </c>
      <c r="L5721" s="9">
        <v>1.4600000000000001E-5</v>
      </c>
      <c r="M5721" s="9">
        <v>4.371E-5</v>
      </c>
      <c r="N5721" s="9">
        <v>6.4380000000000004E-5</v>
      </c>
      <c r="O5721" s="9">
        <v>1.9110000000000002E-5</v>
      </c>
      <c r="P5721" s="9">
        <v>5.6820000000000001E-5</v>
      </c>
      <c r="Q5721" s="9">
        <v>9.3949999999999993E-5</v>
      </c>
      <c r="R5721" s="10">
        <v>1.9083822670730612E-4</v>
      </c>
      <c r="S5721" s="10">
        <v>1.3584995724350734E-4</v>
      </c>
      <c r="T5721" s="10">
        <v>0</v>
      </c>
      <c r="U5721" s="10">
        <v>7.6110000000000001E-5</v>
      </c>
      <c r="V5721" s="25"/>
      <c r="W5721" s="25"/>
      <c r="X5721" s="25"/>
      <c r="Y5721" s="25"/>
      <c r="Z5721" s="25"/>
      <c r="AA5721" s="25"/>
    </row>
    <row r="5722" spans="1:27" x14ac:dyDescent="0.35">
      <c r="A5722" s="5">
        <v>5718</v>
      </c>
      <c r="B5722" s="5">
        <v>239</v>
      </c>
      <c r="C5722" s="5">
        <v>8</v>
      </c>
      <c r="D5722" s="25">
        <v>1.1415000000000001E-4</v>
      </c>
      <c r="E5722" s="25">
        <v>1.1341E-4</v>
      </c>
      <c r="F5722" s="25">
        <v>1.013E-4</v>
      </c>
      <c r="G5722" s="25">
        <v>1.1357E-4</v>
      </c>
      <c r="H5722" s="25">
        <v>1.3867999999999999E-4</v>
      </c>
      <c r="I5722" s="9">
        <v>1.0998E-4</v>
      </c>
      <c r="J5722" s="9">
        <v>1.0702E-4</v>
      </c>
      <c r="K5722" s="9">
        <v>4.2389999999999999E-5</v>
      </c>
      <c r="L5722" s="9">
        <v>1.7989999999999999E-5</v>
      </c>
      <c r="M5722" s="9">
        <v>4.8439999999999997E-5</v>
      </c>
      <c r="N5722" s="9">
        <v>7.1009999999999999E-5</v>
      </c>
      <c r="O5722" s="9">
        <v>4.6069999999999998E-5</v>
      </c>
      <c r="P5722" s="9">
        <v>7.6429999999999998E-5</v>
      </c>
      <c r="Q5722" s="9">
        <v>1.0642E-4</v>
      </c>
      <c r="R5722" s="10">
        <v>1.90674296131878E-4</v>
      </c>
      <c r="S5722" s="10">
        <v>1.5203169875631521E-4</v>
      </c>
      <c r="T5722" s="10">
        <v>2.2144021303871968E-6</v>
      </c>
      <c r="U5722" s="10">
        <v>7.6110000000000001E-5</v>
      </c>
      <c r="V5722" s="25"/>
      <c r="W5722" s="25"/>
      <c r="X5722" s="25"/>
      <c r="Y5722" s="25"/>
      <c r="Z5722" s="25"/>
      <c r="AA5722" s="25"/>
    </row>
    <row r="5723" spans="1:27" x14ac:dyDescent="0.35">
      <c r="A5723" s="5">
        <v>5719</v>
      </c>
      <c r="B5723" s="5">
        <v>239</v>
      </c>
      <c r="C5723" s="5">
        <v>8</v>
      </c>
      <c r="D5723" s="25">
        <v>1.1416E-4</v>
      </c>
      <c r="E5723" s="25">
        <v>1.105E-4</v>
      </c>
      <c r="F5723" s="25">
        <v>8.6749999999999994E-5</v>
      </c>
      <c r="G5723" s="25">
        <v>1.1294999999999999E-4</v>
      </c>
      <c r="H5723" s="25">
        <v>1.3537E-4</v>
      </c>
      <c r="I5723" s="9">
        <v>1.1703E-4</v>
      </c>
      <c r="J5723" s="9">
        <v>1.1762E-4</v>
      </c>
      <c r="K5723" s="9">
        <v>1.484E-5</v>
      </c>
      <c r="L5723" s="9">
        <v>3.9749999999999997E-5</v>
      </c>
      <c r="M5723" s="9">
        <v>5.9870000000000001E-5</v>
      </c>
      <c r="N5723" s="9">
        <v>8.0580000000000004E-5</v>
      </c>
      <c r="O5723" s="9">
        <v>1.227E-4</v>
      </c>
      <c r="P5723" s="9">
        <v>1.1728E-4</v>
      </c>
      <c r="Q5723" s="9">
        <v>1.1234999999999999E-4</v>
      </c>
      <c r="R5723" s="10">
        <v>1.8102406386576777E-4</v>
      </c>
      <c r="S5723" s="10">
        <v>1.6184740393660355E-4</v>
      </c>
      <c r="T5723" s="10">
        <v>6.3717088119570302E-5</v>
      </c>
      <c r="U5723" s="10">
        <v>7.6110000000000001E-5</v>
      </c>
      <c r="V5723" s="25"/>
      <c r="W5723" s="25"/>
      <c r="X5723" s="25"/>
      <c r="Y5723" s="25"/>
      <c r="Z5723" s="25"/>
      <c r="AA5723" s="25"/>
    </row>
    <row r="5724" spans="1:27" x14ac:dyDescent="0.35">
      <c r="A5724" s="5">
        <v>5720</v>
      </c>
      <c r="B5724" s="5">
        <v>239</v>
      </c>
      <c r="C5724" s="5">
        <v>8</v>
      </c>
      <c r="D5724" s="25">
        <v>1.1415000000000001E-4</v>
      </c>
      <c r="E5724" s="25">
        <v>1.158E-4</v>
      </c>
      <c r="F5724" s="25">
        <v>1.0029E-4</v>
      </c>
      <c r="G5724" s="25">
        <v>1.6364E-4</v>
      </c>
      <c r="H5724" s="25">
        <v>1.9579999999999999E-4</v>
      </c>
      <c r="I5724" s="9">
        <v>1.2063E-4</v>
      </c>
      <c r="J5724" s="9">
        <v>1.2773999999999999E-4</v>
      </c>
      <c r="K5724" s="9">
        <v>6.37E-6</v>
      </c>
      <c r="L5724" s="9">
        <v>1.0385E-4</v>
      </c>
      <c r="M5724" s="9">
        <v>8.3499999999999997E-5</v>
      </c>
      <c r="N5724" s="9">
        <v>9.0649999999999994E-5</v>
      </c>
      <c r="O5724" s="9">
        <v>2.1765E-4</v>
      </c>
      <c r="P5724" s="9">
        <v>1.7615999999999999E-4</v>
      </c>
      <c r="Q5724" s="9">
        <v>1.3609000000000001E-4</v>
      </c>
      <c r="R5724" s="10">
        <v>1.7239155648474821E-4</v>
      </c>
      <c r="S5724" s="10">
        <v>1.6320016044719425E-4</v>
      </c>
      <c r="T5724" s="10">
        <v>3.8128441279540474E-5</v>
      </c>
      <c r="U5724" s="10">
        <v>7.6110000000000001E-5</v>
      </c>
      <c r="V5724" s="25"/>
      <c r="W5724" s="25"/>
      <c r="X5724" s="25"/>
      <c r="Y5724" s="25"/>
      <c r="Z5724" s="25"/>
      <c r="AA5724" s="25"/>
    </row>
    <row r="5725" spans="1:27" x14ac:dyDescent="0.35">
      <c r="A5725" s="5">
        <v>5721</v>
      </c>
      <c r="B5725" s="5">
        <v>239</v>
      </c>
      <c r="C5725" s="5">
        <v>8</v>
      </c>
      <c r="D5725" s="25">
        <v>1.1416E-4</v>
      </c>
      <c r="E5725" s="25">
        <v>1.0909E-4</v>
      </c>
      <c r="F5725" s="25">
        <v>1.0445E-4</v>
      </c>
      <c r="G5725" s="25">
        <v>1.5835999999999999E-4</v>
      </c>
      <c r="H5725" s="25">
        <v>1.9374999999999999E-4</v>
      </c>
      <c r="I5725" s="9">
        <v>1.2099000000000001E-4</v>
      </c>
      <c r="J5725" s="9">
        <v>1.3297999999999999E-4</v>
      </c>
      <c r="K5725" s="9">
        <v>0</v>
      </c>
      <c r="L5725" s="9">
        <v>1.9086E-4</v>
      </c>
      <c r="M5725" s="9">
        <v>1.2297E-4</v>
      </c>
      <c r="N5725" s="9">
        <v>1.0427E-4</v>
      </c>
      <c r="O5725" s="9">
        <v>2.1194000000000001E-4</v>
      </c>
      <c r="P5725" s="9">
        <v>1.9455000000000001E-4</v>
      </c>
      <c r="Q5725" s="9">
        <v>1.7818000000000001E-4</v>
      </c>
      <c r="R5725" s="10">
        <v>1.6268739113348406E-4</v>
      </c>
      <c r="S5725" s="10">
        <v>1.7124283086622012E-4</v>
      </c>
      <c r="T5725" s="10">
        <v>1.1016014276225044E-4</v>
      </c>
      <c r="U5725" s="10">
        <v>7.6110000000000001E-5</v>
      </c>
      <c r="V5725" s="25"/>
      <c r="W5725" s="25"/>
      <c r="X5725" s="25"/>
      <c r="Y5725" s="25"/>
      <c r="Z5725" s="25"/>
      <c r="AA5725" s="25"/>
    </row>
    <row r="5726" spans="1:27" x14ac:dyDescent="0.35">
      <c r="A5726" s="5">
        <v>5722</v>
      </c>
      <c r="B5726" s="5">
        <v>239</v>
      </c>
      <c r="C5726" s="5">
        <v>8</v>
      </c>
      <c r="D5726" s="25">
        <v>1.1415000000000001E-4</v>
      </c>
      <c r="E5726" s="25">
        <v>1.0766E-4</v>
      </c>
      <c r="F5726" s="25">
        <v>9.8189999999999993E-5</v>
      </c>
      <c r="G5726" s="25">
        <v>1.5998E-4</v>
      </c>
      <c r="H5726" s="25">
        <v>2.0146000000000001E-4</v>
      </c>
      <c r="I5726" s="9">
        <v>1.1900000000000001E-4</v>
      </c>
      <c r="J5726" s="9">
        <v>1.3360999999999999E-4</v>
      </c>
      <c r="K5726" s="9">
        <v>0</v>
      </c>
      <c r="L5726" s="9">
        <v>2.0502000000000001E-4</v>
      </c>
      <c r="M5726" s="9">
        <v>1.5873999999999999E-4</v>
      </c>
      <c r="N5726" s="9">
        <v>1.2462000000000001E-4</v>
      </c>
      <c r="O5726" s="9">
        <v>1.6691000000000001E-4</v>
      </c>
      <c r="P5726" s="9">
        <v>1.7448E-4</v>
      </c>
      <c r="Q5726" s="9">
        <v>1.8249999999999999E-4</v>
      </c>
      <c r="R5726" s="10">
        <v>1.4893527904413385E-4</v>
      </c>
      <c r="S5726" s="10">
        <v>1.738137482467033E-4</v>
      </c>
      <c r="T5726" s="10">
        <v>5.6522402270649448E-5</v>
      </c>
      <c r="U5726" s="10">
        <v>7.6110000000000001E-5</v>
      </c>
      <c r="V5726" s="25"/>
      <c r="W5726" s="25"/>
      <c r="X5726" s="25"/>
      <c r="Y5726" s="25"/>
      <c r="Z5726" s="25"/>
      <c r="AA5726" s="25"/>
    </row>
    <row r="5727" spans="1:27" x14ac:dyDescent="0.35">
      <c r="A5727" s="5">
        <v>5723</v>
      </c>
      <c r="B5727" s="5">
        <v>239</v>
      </c>
      <c r="C5727" s="5">
        <v>8</v>
      </c>
      <c r="D5727" s="25">
        <v>1.1416E-4</v>
      </c>
      <c r="E5727" s="25">
        <v>1.0813E-4</v>
      </c>
      <c r="F5727" s="25">
        <v>9.6710000000000001E-5</v>
      </c>
      <c r="G5727" s="25">
        <v>1.5822000000000001E-4</v>
      </c>
      <c r="H5727" s="25">
        <v>1.9485999999999999E-4</v>
      </c>
      <c r="I5727" s="9">
        <v>1.1778E-4</v>
      </c>
      <c r="J5727" s="9">
        <v>1.338E-4</v>
      </c>
      <c r="K5727" s="9">
        <v>0</v>
      </c>
      <c r="L5727" s="9">
        <v>1.7531E-4</v>
      </c>
      <c r="M5727" s="9">
        <v>1.7273000000000001E-4</v>
      </c>
      <c r="N5727" s="9">
        <v>1.4281E-4</v>
      </c>
      <c r="O5727" s="9">
        <v>1.6699999999999999E-4</v>
      </c>
      <c r="P5727" s="9">
        <v>1.7322E-4</v>
      </c>
      <c r="Q5727" s="9">
        <v>1.7992E-4</v>
      </c>
      <c r="R5727" s="10">
        <v>1.5430186243647797E-4</v>
      </c>
      <c r="S5727" s="10">
        <v>1.7317799063518806E-4</v>
      </c>
      <c r="T5727" s="10">
        <v>6.34964963364666E-5</v>
      </c>
      <c r="U5727" s="10">
        <v>7.6110000000000001E-5</v>
      </c>
      <c r="V5727" s="25"/>
      <c r="W5727" s="25"/>
      <c r="X5727" s="25"/>
      <c r="Y5727" s="25"/>
      <c r="Z5727" s="25"/>
      <c r="AA5727" s="25"/>
    </row>
    <row r="5728" spans="1:27" x14ac:dyDescent="0.35">
      <c r="A5728" s="5">
        <v>5724</v>
      </c>
      <c r="B5728" s="5">
        <v>239</v>
      </c>
      <c r="C5728" s="5">
        <v>8</v>
      </c>
      <c r="D5728" s="25">
        <v>1.1415000000000001E-4</v>
      </c>
      <c r="E5728" s="25">
        <v>1.1715E-4</v>
      </c>
      <c r="F5728" s="25">
        <v>9.5550000000000005E-5</v>
      </c>
      <c r="G5728" s="25">
        <v>1.6432E-4</v>
      </c>
      <c r="H5728" s="25">
        <v>1.9096E-4</v>
      </c>
      <c r="I5728" s="9">
        <v>1.1389E-4</v>
      </c>
      <c r="J5728" s="9">
        <v>1.3216000000000001E-4</v>
      </c>
      <c r="K5728" s="9">
        <v>0</v>
      </c>
      <c r="L5728" s="9">
        <v>1.7024999999999999E-4</v>
      </c>
      <c r="M5728" s="9">
        <v>1.7527999999999999E-4</v>
      </c>
      <c r="N5728" s="9">
        <v>1.5702000000000001E-4</v>
      </c>
      <c r="O5728" s="9">
        <v>1.7039E-4</v>
      </c>
      <c r="P5728" s="9">
        <v>1.7253E-4</v>
      </c>
      <c r="Q5728" s="9">
        <v>1.7521999999999999E-4</v>
      </c>
      <c r="R5728" s="10">
        <v>1.6157207416365063E-4</v>
      </c>
      <c r="S5728" s="10">
        <v>1.6700457777928473E-4</v>
      </c>
      <c r="T5728" s="10">
        <v>8.6225934295498398E-5</v>
      </c>
      <c r="U5728" s="10">
        <v>7.6110000000000001E-5</v>
      </c>
      <c r="V5728" s="25"/>
      <c r="W5728" s="25"/>
      <c r="X5728" s="25"/>
      <c r="Y5728" s="25"/>
      <c r="Z5728" s="25"/>
      <c r="AA5728" s="25"/>
    </row>
    <row r="5729" spans="1:27" x14ac:dyDescent="0.35">
      <c r="A5729" s="5">
        <v>5725</v>
      </c>
      <c r="B5729" s="5">
        <v>239</v>
      </c>
      <c r="C5729" s="5">
        <v>8</v>
      </c>
      <c r="D5729" s="25">
        <v>1.1416E-4</v>
      </c>
      <c r="E5729" s="25">
        <v>1.0653E-4</v>
      </c>
      <c r="F5729" s="25">
        <v>9.1349999999999998E-5</v>
      </c>
      <c r="G5729" s="25">
        <v>1.6069000000000001E-4</v>
      </c>
      <c r="H5729" s="25">
        <v>1.9154999999999999E-4</v>
      </c>
      <c r="I5729" s="9">
        <v>1.1266E-4</v>
      </c>
      <c r="J5729" s="9">
        <v>1.3140999999999999E-4</v>
      </c>
      <c r="K5729" s="9">
        <v>0</v>
      </c>
      <c r="L5729" s="9">
        <v>1.7054E-4</v>
      </c>
      <c r="M5729" s="9">
        <v>1.7445000000000001E-4</v>
      </c>
      <c r="N5729" s="9">
        <v>1.6672E-4</v>
      </c>
      <c r="O5729" s="9">
        <v>1.5993999999999999E-4</v>
      </c>
      <c r="P5729" s="9">
        <v>1.6281999999999999E-4</v>
      </c>
      <c r="Q5729" s="9">
        <v>1.6619000000000001E-4</v>
      </c>
      <c r="R5729" s="10">
        <v>1.8324133375821841E-4</v>
      </c>
      <c r="S5729" s="10">
        <v>1.7394867086366675E-4</v>
      </c>
      <c r="T5729" s="10">
        <v>9.0230523588765669E-5</v>
      </c>
      <c r="U5729" s="10">
        <v>7.6110000000000001E-5</v>
      </c>
      <c r="V5729" s="25"/>
      <c r="W5729" s="25"/>
      <c r="X5729" s="25"/>
      <c r="Y5729" s="25"/>
      <c r="Z5729" s="25"/>
      <c r="AA5729" s="25"/>
    </row>
    <row r="5730" spans="1:27" x14ac:dyDescent="0.35">
      <c r="A5730" s="5">
        <v>5726</v>
      </c>
      <c r="B5730" s="5">
        <v>239</v>
      </c>
      <c r="C5730" s="5">
        <v>8</v>
      </c>
      <c r="D5730" s="25">
        <v>1.1415000000000001E-4</v>
      </c>
      <c r="E5730" s="25">
        <v>1.145E-4</v>
      </c>
      <c r="F5730" s="25">
        <v>1.06E-4</v>
      </c>
      <c r="G5730" s="25">
        <v>1.6087E-4</v>
      </c>
      <c r="H5730" s="25">
        <v>1.8881E-4</v>
      </c>
      <c r="I5730" s="9">
        <v>1.1191E-4</v>
      </c>
      <c r="J5730" s="9">
        <v>1.2967999999999999E-4</v>
      </c>
      <c r="K5730" s="9">
        <v>0</v>
      </c>
      <c r="L5730" s="9">
        <v>1.6200000000000001E-4</v>
      </c>
      <c r="M5730" s="9">
        <v>1.7002E-4</v>
      </c>
      <c r="N5730" s="9">
        <v>1.7071999999999999E-4</v>
      </c>
      <c r="O5730" s="9">
        <v>1.7741E-4</v>
      </c>
      <c r="P5730" s="9">
        <v>1.6865000000000001E-4</v>
      </c>
      <c r="Q5730" s="9">
        <v>1.6063000000000001E-4</v>
      </c>
      <c r="R5730" s="10">
        <v>1.9634394501781536E-4</v>
      </c>
      <c r="S5730" s="10">
        <v>1.7195386629509314E-4</v>
      </c>
      <c r="T5730" s="10">
        <v>7.244743215086695E-5</v>
      </c>
      <c r="U5730" s="10">
        <v>7.6110000000000001E-5</v>
      </c>
      <c r="V5730" s="25"/>
      <c r="W5730" s="25"/>
      <c r="X5730" s="25"/>
      <c r="Y5730" s="25"/>
      <c r="Z5730" s="25"/>
      <c r="AA5730" s="25"/>
    </row>
    <row r="5731" spans="1:27" x14ac:dyDescent="0.35">
      <c r="A5731" s="5">
        <v>5727</v>
      </c>
      <c r="B5731" s="5">
        <v>239</v>
      </c>
      <c r="C5731" s="5">
        <v>8</v>
      </c>
      <c r="D5731" s="25">
        <v>1.1416E-4</v>
      </c>
      <c r="E5731" s="25">
        <v>1.1022999999999999E-4</v>
      </c>
      <c r="F5731" s="25">
        <v>9.6420000000000002E-5</v>
      </c>
      <c r="G5731" s="25">
        <v>1.6302999999999999E-4</v>
      </c>
      <c r="H5731" s="25">
        <v>2.0091999999999999E-4</v>
      </c>
      <c r="I5731" s="9">
        <v>1.1157E-4</v>
      </c>
      <c r="J5731" s="9">
        <v>1.2803000000000001E-4</v>
      </c>
      <c r="K5731" s="9">
        <v>0</v>
      </c>
      <c r="L5731" s="9">
        <v>1.7422999999999999E-4</v>
      </c>
      <c r="M5731" s="9">
        <v>1.6825999999999999E-4</v>
      </c>
      <c r="N5731" s="9">
        <v>1.7011000000000001E-4</v>
      </c>
      <c r="O5731" s="9">
        <v>1.8409000000000001E-4</v>
      </c>
      <c r="P5731" s="9">
        <v>1.6841E-4</v>
      </c>
      <c r="Q5731" s="9">
        <v>1.5362000000000001E-4</v>
      </c>
      <c r="R5731" s="10">
        <v>1.9820885297929769E-4</v>
      </c>
      <c r="S5731" s="10">
        <v>1.6866923972497062E-4</v>
      </c>
      <c r="T5731" s="10">
        <v>7.0988132662642446E-5</v>
      </c>
      <c r="U5731" s="10">
        <v>7.6110000000000001E-5</v>
      </c>
      <c r="V5731" s="25"/>
      <c r="W5731" s="25"/>
      <c r="X5731" s="25"/>
      <c r="Y5731" s="25"/>
      <c r="Z5731" s="25"/>
      <c r="AA5731" s="25"/>
    </row>
    <row r="5732" spans="1:27" x14ac:dyDescent="0.35">
      <c r="A5732" s="5">
        <v>5728</v>
      </c>
      <c r="B5732" s="5">
        <v>239</v>
      </c>
      <c r="C5732" s="5">
        <v>8</v>
      </c>
      <c r="D5732" s="25">
        <v>1.1415000000000001E-4</v>
      </c>
      <c r="E5732" s="25">
        <v>1.1056E-4</v>
      </c>
      <c r="F5732" s="25">
        <v>9.2189999999999997E-5</v>
      </c>
      <c r="G5732" s="25">
        <v>1.5805999999999999E-4</v>
      </c>
      <c r="H5732" s="25">
        <v>1.9304000000000001E-4</v>
      </c>
      <c r="I5732" s="9">
        <v>1.1387000000000001E-4</v>
      </c>
      <c r="J5732" s="9">
        <v>1.27E-4</v>
      </c>
      <c r="K5732" s="9">
        <v>0</v>
      </c>
      <c r="L5732" s="9">
        <v>1.8160999999999999E-4</v>
      </c>
      <c r="M5732" s="9">
        <v>1.6796000000000001E-4</v>
      </c>
      <c r="N5732" s="9">
        <v>1.6639000000000001E-4</v>
      </c>
      <c r="O5732" s="9">
        <v>1.9741999999999999E-4</v>
      </c>
      <c r="P5732" s="9">
        <v>1.5315000000000001E-4</v>
      </c>
      <c r="Q5732" s="9">
        <v>1.1026E-4</v>
      </c>
      <c r="R5732" s="10">
        <v>1.9524479310444168E-4</v>
      </c>
      <c r="S5732" s="10">
        <v>1.634974309407328E-4</v>
      </c>
      <c r="T5732" s="10">
        <v>1.0483200277036094E-4</v>
      </c>
      <c r="U5732" s="10">
        <v>7.6110000000000001E-5</v>
      </c>
      <c r="V5732" s="25"/>
      <c r="W5732" s="25"/>
      <c r="X5732" s="25"/>
      <c r="Y5732" s="25"/>
      <c r="Z5732" s="25"/>
      <c r="AA5732" s="25"/>
    </row>
    <row r="5733" spans="1:27" x14ac:dyDescent="0.35">
      <c r="A5733" s="5">
        <v>5729</v>
      </c>
      <c r="B5733" s="5">
        <v>239</v>
      </c>
      <c r="C5733" s="5">
        <v>8</v>
      </c>
      <c r="D5733" s="25">
        <v>1.1416E-4</v>
      </c>
      <c r="E5733" s="25">
        <v>1.1281999999999999E-4</v>
      </c>
      <c r="F5733" s="25">
        <v>1.0347E-4</v>
      </c>
      <c r="G5733" s="25">
        <v>1.6165999999999999E-4</v>
      </c>
      <c r="H5733" s="25">
        <v>1.8851999999999999E-4</v>
      </c>
      <c r="I5733" s="9">
        <v>1.1712E-4</v>
      </c>
      <c r="J5733" s="9">
        <v>1.2772E-4</v>
      </c>
      <c r="K5733" s="9">
        <v>0</v>
      </c>
      <c r="L5733" s="9">
        <v>1.9367000000000001E-4</v>
      </c>
      <c r="M5733" s="9">
        <v>1.6269E-4</v>
      </c>
      <c r="N5733" s="9">
        <v>1.5270999999999999E-4</v>
      </c>
      <c r="O5733" s="9">
        <v>2.1469999999999999E-4</v>
      </c>
      <c r="P5733" s="9">
        <v>1.6054E-4</v>
      </c>
      <c r="Q5733" s="9">
        <v>1.0799E-4</v>
      </c>
      <c r="R5733" s="10">
        <v>1.872745265345721E-4</v>
      </c>
      <c r="S5733" s="10">
        <v>1.5279850445866979E-4</v>
      </c>
      <c r="T5733" s="10">
        <v>6.7288978145980306E-5</v>
      </c>
      <c r="U5733" s="10">
        <v>7.6110000000000001E-5</v>
      </c>
      <c r="V5733" s="25"/>
      <c r="W5733" s="25"/>
      <c r="X5733" s="25"/>
      <c r="Y5733" s="25"/>
      <c r="Z5733" s="25"/>
      <c r="AA5733" s="25"/>
    </row>
    <row r="5734" spans="1:27" x14ac:dyDescent="0.35">
      <c r="A5734" s="5">
        <v>5730</v>
      </c>
      <c r="B5734" s="5">
        <v>239</v>
      </c>
      <c r="C5734" s="5">
        <v>8</v>
      </c>
      <c r="D5734" s="25">
        <v>1.1415000000000001E-4</v>
      </c>
      <c r="E5734" s="25">
        <v>1.0915E-4</v>
      </c>
      <c r="F5734" s="25">
        <v>1.0781999999999999E-4</v>
      </c>
      <c r="G5734" s="25">
        <v>1.6686000000000001E-4</v>
      </c>
      <c r="H5734" s="25">
        <v>1.9348999999999999E-4</v>
      </c>
      <c r="I5734" s="9">
        <v>1.1747999999999999E-4</v>
      </c>
      <c r="J5734" s="9">
        <v>1.2495E-4</v>
      </c>
      <c r="K5734" s="9">
        <v>0</v>
      </c>
      <c r="L5734" s="9">
        <v>2.0982999999999999E-4</v>
      </c>
      <c r="M5734" s="9">
        <v>1.6044E-4</v>
      </c>
      <c r="N5734" s="9">
        <v>1.3948000000000001E-4</v>
      </c>
      <c r="O5734" s="9">
        <v>2.0652999999999999E-4</v>
      </c>
      <c r="P5734" s="9">
        <v>1.6197999999999999E-4</v>
      </c>
      <c r="Q5734" s="9">
        <v>1.1883999999999999E-4</v>
      </c>
      <c r="R5734" s="10">
        <v>1.7931738876726127E-4</v>
      </c>
      <c r="S5734" s="10">
        <v>1.3687383198463161E-4</v>
      </c>
      <c r="T5734" s="10">
        <v>1.2964009407017765E-5</v>
      </c>
      <c r="U5734" s="10">
        <v>7.6110000000000001E-5</v>
      </c>
      <c r="V5734" s="25"/>
      <c r="W5734" s="25"/>
      <c r="X5734" s="25"/>
      <c r="Y5734" s="25"/>
      <c r="Z5734" s="25"/>
      <c r="AA5734" s="25"/>
    </row>
    <row r="5735" spans="1:27" x14ac:dyDescent="0.35">
      <c r="A5735" s="5">
        <v>5731</v>
      </c>
      <c r="B5735" s="5">
        <v>239</v>
      </c>
      <c r="C5735" s="5">
        <v>8</v>
      </c>
      <c r="D5735" s="25">
        <v>1.1416E-4</v>
      </c>
      <c r="E5735" s="25">
        <v>1.1061999999999999E-4</v>
      </c>
      <c r="F5735" s="25">
        <v>8.9389999999999996E-5</v>
      </c>
      <c r="G5735" s="25">
        <v>1.0674E-4</v>
      </c>
      <c r="H5735" s="25">
        <v>1.3905999999999999E-4</v>
      </c>
      <c r="I5735" s="9">
        <v>1.1584E-4</v>
      </c>
      <c r="J5735" s="9">
        <v>1.2154000000000001E-4</v>
      </c>
      <c r="K5735" s="9">
        <v>0</v>
      </c>
      <c r="L5735" s="9">
        <v>2.0685000000000001E-4</v>
      </c>
      <c r="M5735" s="9">
        <v>1.6055E-4</v>
      </c>
      <c r="N5735" s="9">
        <v>1.3065E-4</v>
      </c>
      <c r="O5735" s="9">
        <v>1.6223E-4</v>
      </c>
      <c r="P5735" s="9">
        <v>1.3365E-4</v>
      </c>
      <c r="Q5735" s="9">
        <v>1.0608E-4</v>
      </c>
      <c r="R5735" s="10">
        <v>1.7212519228376052E-4</v>
      </c>
      <c r="S5735" s="10">
        <v>1.2763966951720803E-4</v>
      </c>
      <c r="T5735" s="10">
        <v>0</v>
      </c>
      <c r="U5735" s="10">
        <v>7.6110000000000001E-5</v>
      </c>
      <c r="V5735" s="25"/>
      <c r="W5735" s="25"/>
      <c r="X5735" s="25"/>
      <c r="Y5735" s="25"/>
      <c r="Z5735" s="25"/>
      <c r="AA5735" s="25"/>
    </row>
    <row r="5736" spans="1:27" x14ac:dyDescent="0.35">
      <c r="A5736" s="5">
        <v>5732</v>
      </c>
      <c r="B5736" s="5">
        <v>239</v>
      </c>
      <c r="C5736" s="5">
        <v>8</v>
      </c>
      <c r="D5736" s="25">
        <v>1.1415000000000001E-4</v>
      </c>
      <c r="E5736" s="25">
        <v>1.1642999999999999E-4</v>
      </c>
      <c r="F5736" s="25">
        <v>1.0847E-4</v>
      </c>
      <c r="G5736" s="25">
        <v>1.1483E-4</v>
      </c>
      <c r="H5736" s="25">
        <v>1.3224999999999999E-4</v>
      </c>
      <c r="I5736" s="9">
        <v>1.1385E-4</v>
      </c>
      <c r="J5736" s="9">
        <v>1.1938999999999999E-4</v>
      </c>
      <c r="K5736" s="9">
        <v>1.908E-5</v>
      </c>
      <c r="L5736" s="9">
        <v>1.7220000000000001E-4</v>
      </c>
      <c r="M5736" s="9">
        <v>1.5106000000000001E-4</v>
      </c>
      <c r="N5736" s="9">
        <v>1.2126E-4</v>
      </c>
      <c r="O5736" s="9">
        <v>1.2902000000000001E-4</v>
      </c>
      <c r="P5736" s="9">
        <v>1.1535E-4</v>
      </c>
      <c r="Q5736" s="9">
        <v>1.0233E-4</v>
      </c>
      <c r="R5736" s="10">
        <v>1.5463461251216638E-4</v>
      </c>
      <c r="S5736" s="10">
        <v>1.1206817943658015E-4</v>
      </c>
      <c r="T5736" s="10">
        <v>0</v>
      </c>
      <c r="U5736" s="10">
        <v>7.6110000000000001E-5</v>
      </c>
      <c r="V5736" s="25"/>
      <c r="W5736" s="25"/>
      <c r="X5736" s="25"/>
      <c r="Y5736" s="25"/>
      <c r="Z5736" s="25"/>
      <c r="AA5736" s="25"/>
    </row>
    <row r="5737" spans="1:27" x14ac:dyDescent="0.35">
      <c r="A5737" s="5">
        <v>5733</v>
      </c>
      <c r="B5737" s="5">
        <v>239</v>
      </c>
      <c r="C5737" s="5">
        <v>8</v>
      </c>
      <c r="D5737" s="25">
        <v>1.1416E-4</v>
      </c>
      <c r="E5737" s="25">
        <v>1.1601E-4</v>
      </c>
      <c r="F5737" s="25">
        <v>1.0241E-4</v>
      </c>
      <c r="G5737" s="25">
        <v>5.3050000000000002E-5</v>
      </c>
      <c r="H5737" s="25">
        <v>6.4709999999999995E-5</v>
      </c>
      <c r="I5737" s="9">
        <v>1.1605E-4</v>
      </c>
      <c r="J5737" s="9">
        <v>1.1976000000000001E-4</v>
      </c>
      <c r="K5737" s="9">
        <v>4.0269999999999999E-5</v>
      </c>
      <c r="L5737" s="9">
        <v>1.3959000000000001E-4</v>
      </c>
      <c r="M5737" s="9">
        <v>1.3553E-4</v>
      </c>
      <c r="N5737" s="9">
        <v>1.1357999999999999E-4</v>
      </c>
      <c r="O5737" s="9">
        <v>8.3739999999999994E-5</v>
      </c>
      <c r="P5737" s="9">
        <v>8.5489999999999996E-5</v>
      </c>
      <c r="Q5737" s="9">
        <v>8.7470000000000001E-5</v>
      </c>
      <c r="R5737" s="10">
        <v>1.2972946322397378E-4</v>
      </c>
      <c r="S5737" s="10">
        <v>9.9949107683895724E-5</v>
      </c>
      <c r="T5737" s="10">
        <v>0</v>
      </c>
      <c r="U5737" s="10">
        <v>7.6110000000000001E-5</v>
      </c>
      <c r="V5737" s="25"/>
      <c r="W5737" s="25"/>
      <c r="X5737" s="25"/>
      <c r="Y5737" s="25"/>
      <c r="Z5737" s="25"/>
      <c r="AA5737" s="25"/>
    </row>
    <row r="5738" spans="1:27" x14ac:dyDescent="0.35">
      <c r="A5738" s="5">
        <v>5734</v>
      </c>
      <c r="B5738" s="5">
        <v>239</v>
      </c>
      <c r="C5738" s="5">
        <v>8</v>
      </c>
      <c r="D5738" s="25">
        <v>1.1415000000000001E-4</v>
      </c>
      <c r="E5738" s="25">
        <v>1.0859E-4</v>
      </c>
      <c r="F5738" s="25">
        <v>9.7230000000000003E-5</v>
      </c>
      <c r="G5738" s="25">
        <v>6.2730000000000004E-5</v>
      </c>
      <c r="H5738" s="25">
        <v>6.313E-5</v>
      </c>
      <c r="I5738" s="9">
        <v>1.13E-4</v>
      </c>
      <c r="J5738" s="9">
        <v>1.1396999999999999E-4</v>
      </c>
      <c r="K5738" s="9">
        <v>7.2059999999999998E-5</v>
      </c>
      <c r="L5738" s="9">
        <v>9.6910000000000006E-5</v>
      </c>
      <c r="M5738" s="9">
        <v>1.1354E-4</v>
      </c>
      <c r="N5738" s="9">
        <v>1.0569E-4</v>
      </c>
      <c r="O5738" s="9">
        <v>8.6509999999999997E-5</v>
      </c>
      <c r="P5738" s="9">
        <v>8.6890000000000003E-5</v>
      </c>
      <c r="Q5738" s="9">
        <v>8.7529999999999997E-5</v>
      </c>
      <c r="R5738" s="10">
        <v>1.185637486573618E-4</v>
      </c>
      <c r="S5738" s="10">
        <v>9.5076387809629295E-5</v>
      </c>
      <c r="T5738" s="10">
        <v>0</v>
      </c>
      <c r="U5738" s="10">
        <v>7.6110000000000001E-5</v>
      </c>
      <c r="V5738" s="25"/>
      <c r="W5738" s="25"/>
      <c r="X5738" s="25"/>
      <c r="Y5738" s="25"/>
      <c r="Z5738" s="25"/>
      <c r="AA5738" s="25"/>
    </row>
    <row r="5739" spans="1:27" x14ac:dyDescent="0.35">
      <c r="A5739" s="5">
        <v>5735</v>
      </c>
      <c r="B5739" s="5">
        <v>239</v>
      </c>
      <c r="C5739" s="5">
        <v>8</v>
      </c>
      <c r="D5739" s="25">
        <v>1.1416E-4</v>
      </c>
      <c r="E5739" s="25">
        <v>1.1069999999999999E-4</v>
      </c>
      <c r="F5739" s="25">
        <v>9.6680000000000003E-5</v>
      </c>
      <c r="G5739" s="25">
        <v>6.2550000000000003E-5</v>
      </c>
      <c r="H5739" s="25">
        <v>7.0870000000000004E-5</v>
      </c>
      <c r="I5739" s="9">
        <v>1.0793000000000001E-4</v>
      </c>
      <c r="J5739" s="9">
        <v>1.0883999999999999E-4</v>
      </c>
      <c r="K5739" s="9">
        <v>7.8419999999999998E-5</v>
      </c>
      <c r="L5739" s="9">
        <v>8.9740000000000005E-5</v>
      </c>
      <c r="M5739" s="9">
        <v>9.857E-5</v>
      </c>
      <c r="N5739" s="9">
        <v>9.9630000000000007E-5</v>
      </c>
      <c r="O5739" s="9">
        <v>7.7200000000000006E-5</v>
      </c>
      <c r="P5739" s="9">
        <v>7.1660000000000002E-5</v>
      </c>
      <c r="Q5739" s="9">
        <v>6.6450000000000002E-5</v>
      </c>
      <c r="R5739" s="10">
        <v>1.0651007151838497E-4</v>
      </c>
      <c r="S5739" s="10">
        <v>8.7469162828554024E-5</v>
      </c>
      <c r="T5739" s="10">
        <v>0</v>
      </c>
      <c r="U5739" s="10">
        <v>7.6110000000000001E-5</v>
      </c>
      <c r="V5739" s="25"/>
      <c r="W5739" s="25"/>
      <c r="X5739" s="25"/>
      <c r="Y5739" s="25"/>
      <c r="Z5739" s="25"/>
      <c r="AA5739" s="25"/>
    </row>
    <row r="5740" spans="1:27" x14ac:dyDescent="0.35">
      <c r="A5740" s="5">
        <v>5736</v>
      </c>
      <c r="B5740" s="5">
        <v>239</v>
      </c>
      <c r="C5740" s="5">
        <v>8</v>
      </c>
      <c r="D5740" s="25">
        <v>1.1415000000000001E-4</v>
      </c>
      <c r="E5740" s="25">
        <v>1.1472999999999999E-4</v>
      </c>
      <c r="F5740" s="25">
        <v>1.031E-4</v>
      </c>
      <c r="G5740" s="25">
        <v>6.0859999999999997E-5</v>
      </c>
      <c r="H5740" s="25">
        <v>6.6730000000000007E-5</v>
      </c>
      <c r="I5740" s="9">
        <v>1.0258E-4</v>
      </c>
      <c r="J5740" s="9">
        <v>1.0197E-4</v>
      </c>
      <c r="K5740" s="9">
        <v>1.0173E-4</v>
      </c>
      <c r="L5740" s="9">
        <v>7.996E-5</v>
      </c>
      <c r="M5740" s="9">
        <v>8.5569999999999996E-5</v>
      </c>
      <c r="N5740" s="9">
        <v>9.0190000000000002E-5</v>
      </c>
      <c r="O5740" s="9">
        <v>6.2180000000000004E-5</v>
      </c>
      <c r="P5740" s="9">
        <v>6.0170000000000002E-5</v>
      </c>
      <c r="Q5740" s="9">
        <v>5.8369999999999998E-5</v>
      </c>
      <c r="R5740" s="10">
        <v>1.2619868786489764E-4</v>
      </c>
      <c r="S5740" s="10">
        <v>9.8279752959284941E-5</v>
      </c>
      <c r="T5740" s="10">
        <v>0</v>
      </c>
      <c r="U5740" s="10">
        <v>7.6110000000000001E-5</v>
      </c>
      <c r="V5740" s="25"/>
      <c r="W5740" s="25"/>
      <c r="X5740" s="25"/>
      <c r="Y5740" s="25"/>
      <c r="Z5740" s="25"/>
      <c r="AA5740" s="25"/>
    </row>
    <row r="5741" spans="1:27" x14ac:dyDescent="0.35">
      <c r="A5741" s="5">
        <v>5737</v>
      </c>
      <c r="B5741" s="5">
        <v>240</v>
      </c>
      <c r="C5741" s="5">
        <v>8</v>
      </c>
      <c r="D5741" s="25">
        <v>1.1416E-4</v>
      </c>
      <c r="E5741" s="25">
        <v>1.1522E-4</v>
      </c>
      <c r="F5741" s="25">
        <v>1.011E-4</v>
      </c>
      <c r="G5741" s="25">
        <v>5.8860000000000002E-5</v>
      </c>
      <c r="H5741" s="25">
        <v>6.6870000000000002E-5</v>
      </c>
      <c r="I5741" s="9">
        <v>9.7769999999999994E-5</v>
      </c>
      <c r="J5741" s="9">
        <v>9.6409999999999993E-5</v>
      </c>
      <c r="K5741" s="9">
        <v>1.0173E-4</v>
      </c>
      <c r="L5741" s="9">
        <v>6.6080000000000004E-5</v>
      </c>
      <c r="M5741" s="9">
        <v>7.3449999999999996E-5</v>
      </c>
      <c r="N5741" s="9">
        <v>8.0710000000000005E-5</v>
      </c>
      <c r="O5741" s="9">
        <v>5.4729999999999999E-5</v>
      </c>
      <c r="P5741" s="9">
        <v>5.414E-5</v>
      </c>
      <c r="Q5741" s="9">
        <v>5.3720000000000001E-5</v>
      </c>
      <c r="R5741" s="10">
        <v>1.1867302240479707E-4</v>
      </c>
      <c r="S5741" s="10">
        <v>1.0158221135680774E-4</v>
      </c>
      <c r="T5741" s="10">
        <v>0</v>
      </c>
      <c r="U5741" s="10">
        <v>7.5069999999999998E-5</v>
      </c>
      <c r="V5741" s="25"/>
      <c r="W5741" s="25"/>
      <c r="X5741" s="25"/>
      <c r="Y5741" s="25"/>
      <c r="Z5741" s="25"/>
      <c r="AA5741" s="25"/>
    </row>
    <row r="5742" spans="1:27" x14ac:dyDescent="0.35">
      <c r="A5742" s="5">
        <v>5738</v>
      </c>
      <c r="B5742" s="5">
        <v>240</v>
      </c>
      <c r="C5742" s="5">
        <v>8</v>
      </c>
      <c r="D5742" s="25">
        <v>1.1415000000000001E-4</v>
      </c>
      <c r="E5742" s="25">
        <v>1.2266999999999999E-4</v>
      </c>
      <c r="F5742" s="25">
        <v>1.0615000000000001E-4</v>
      </c>
      <c r="G5742" s="25">
        <v>5.7309999999999998E-5</v>
      </c>
      <c r="H5742" s="25">
        <v>6.8280000000000004E-5</v>
      </c>
      <c r="I5742" s="9">
        <v>9.3709999999999996E-5</v>
      </c>
      <c r="J5742" s="9">
        <v>9.3280000000000001E-5</v>
      </c>
      <c r="K5742" s="9">
        <v>1.0173E-4</v>
      </c>
      <c r="L5742" s="9">
        <v>5.7609999999999999E-5</v>
      </c>
      <c r="M5742" s="9">
        <v>6.3629999999999999E-5</v>
      </c>
      <c r="N5742" s="9">
        <v>7.1710000000000003E-5</v>
      </c>
      <c r="O5742" s="9">
        <v>1.893E-5</v>
      </c>
      <c r="P5742" s="9">
        <v>3.752E-5</v>
      </c>
      <c r="Q5742" s="9">
        <v>5.5840000000000001E-5</v>
      </c>
      <c r="R5742" s="10">
        <v>9.8485209818379105E-5</v>
      </c>
      <c r="S5742" s="10">
        <v>9.6616951128564063E-5</v>
      </c>
      <c r="T5742" s="10">
        <v>0</v>
      </c>
      <c r="U5742" s="10">
        <v>7.5069999999999998E-5</v>
      </c>
      <c r="V5742" s="25"/>
      <c r="W5742" s="25"/>
      <c r="X5742" s="25"/>
      <c r="Y5742" s="25"/>
      <c r="Z5742" s="25"/>
      <c r="AA5742" s="25"/>
    </row>
    <row r="5743" spans="1:27" x14ac:dyDescent="0.35">
      <c r="A5743" s="5">
        <v>5739</v>
      </c>
      <c r="B5743" s="5">
        <v>240</v>
      </c>
      <c r="C5743" s="5">
        <v>8</v>
      </c>
      <c r="D5743" s="25">
        <v>1.1416E-4</v>
      </c>
      <c r="E5743" s="25">
        <v>1.1503E-4</v>
      </c>
      <c r="F5743" s="25">
        <v>1.1616E-4</v>
      </c>
      <c r="G5743" s="25">
        <v>5.855E-5</v>
      </c>
      <c r="H5743" s="25">
        <v>6.5580000000000006E-5</v>
      </c>
      <c r="I5743" s="9">
        <v>9.2070000000000004E-5</v>
      </c>
      <c r="J5743" s="9">
        <v>9.1799999999999995E-5</v>
      </c>
      <c r="K5743" s="9">
        <v>9.5370000000000003E-5</v>
      </c>
      <c r="L5743" s="9">
        <v>2.7630000000000001E-5</v>
      </c>
      <c r="M5743" s="9">
        <v>5.1999999999999997E-5</v>
      </c>
      <c r="N5743" s="9">
        <v>6.5170000000000001E-5</v>
      </c>
      <c r="O5743" s="9">
        <v>1.367E-5</v>
      </c>
      <c r="P5743" s="9">
        <v>3.799E-5</v>
      </c>
      <c r="Q5743" s="9">
        <v>6.1920000000000003E-5</v>
      </c>
      <c r="R5743" s="10">
        <v>8.0200721826748992E-5</v>
      </c>
      <c r="S5743" s="10">
        <v>9.0215160511744889E-5</v>
      </c>
      <c r="T5743" s="10">
        <v>0</v>
      </c>
      <c r="U5743" s="10">
        <v>7.5069999999999998E-5</v>
      </c>
      <c r="V5743" s="25"/>
      <c r="W5743" s="25"/>
      <c r="X5743" s="25"/>
      <c r="Y5743" s="25"/>
      <c r="Z5743" s="25"/>
      <c r="AA5743" s="25"/>
    </row>
    <row r="5744" spans="1:27" x14ac:dyDescent="0.35">
      <c r="A5744" s="5">
        <v>5740</v>
      </c>
      <c r="B5744" s="5">
        <v>240</v>
      </c>
      <c r="C5744" s="5">
        <v>8</v>
      </c>
      <c r="D5744" s="25">
        <v>1.1415000000000001E-4</v>
      </c>
      <c r="E5744" s="25">
        <v>1.2116E-4</v>
      </c>
      <c r="F5744" s="25">
        <v>1.1205E-4</v>
      </c>
      <c r="G5744" s="25">
        <v>6.198E-5</v>
      </c>
      <c r="H5744" s="25">
        <v>6.9729999999999998E-5</v>
      </c>
      <c r="I5744" s="9">
        <v>9.0260000000000007E-5</v>
      </c>
      <c r="J5744" s="9">
        <v>9.1130000000000003E-5</v>
      </c>
      <c r="K5744" s="9">
        <v>1.0385E-4</v>
      </c>
      <c r="L5744" s="9">
        <v>1.7479999999999999E-5</v>
      </c>
      <c r="M5744" s="9">
        <v>4.4180000000000001E-5</v>
      </c>
      <c r="N5744" s="9">
        <v>6.177E-5</v>
      </c>
      <c r="O5744" s="9">
        <v>1.3720000000000001E-5</v>
      </c>
      <c r="P5744" s="9">
        <v>4.7660000000000001E-5</v>
      </c>
      <c r="Q5744" s="9">
        <v>8.106E-5</v>
      </c>
      <c r="R5744" s="10">
        <v>6.773052183097416E-5</v>
      </c>
      <c r="S5744" s="10">
        <v>7.8807415050006916E-5</v>
      </c>
      <c r="T5744" s="10">
        <v>0</v>
      </c>
      <c r="U5744" s="10">
        <v>7.5069999999999998E-5</v>
      </c>
      <c r="V5744" s="25"/>
      <c r="W5744" s="25"/>
      <c r="X5744" s="25"/>
      <c r="Y5744" s="25"/>
      <c r="Z5744" s="25"/>
      <c r="AA5744" s="25"/>
    </row>
    <row r="5745" spans="1:27" x14ac:dyDescent="0.35">
      <c r="A5745" s="5">
        <v>5741</v>
      </c>
      <c r="B5745" s="5">
        <v>240</v>
      </c>
      <c r="C5745" s="5">
        <v>8</v>
      </c>
      <c r="D5745" s="25">
        <v>1.1416E-4</v>
      </c>
      <c r="E5745" s="25">
        <v>1.1417E-4</v>
      </c>
      <c r="F5745" s="25">
        <v>1.0069E-4</v>
      </c>
      <c r="G5745" s="25">
        <v>6.1660000000000003E-5</v>
      </c>
      <c r="H5745" s="25">
        <v>6.8120000000000005E-5</v>
      </c>
      <c r="I5745" s="9">
        <v>9.0049999999999993E-5</v>
      </c>
      <c r="J5745" s="9">
        <v>9.1189999999999999E-5</v>
      </c>
      <c r="K5745" s="9">
        <v>1.0385E-4</v>
      </c>
      <c r="L5745" s="9">
        <v>1.4800000000000001E-5</v>
      </c>
      <c r="M5745" s="9">
        <v>4.3680000000000002E-5</v>
      </c>
      <c r="N5745" s="9">
        <v>6.4529999999999994E-5</v>
      </c>
      <c r="O5745" s="9">
        <v>1.914E-5</v>
      </c>
      <c r="P5745" s="9">
        <v>5.6910000000000002E-5</v>
      </c>
      <c r="Q5745" s="9">
        <v>9.4099999999999997E-5</v>
      </c>
      <c r="R5745" s="10">
        <v>6.7721177988754687E-5</v>
      </c>
      <c r="S5745" s="10">
        <v>6.6126337721129122E-5</v>
      </c>
      <c r="T5745" s="10">
        <v>0</v>
      </c>
      <c r="U5745" s="10">
        <v>7.5069999999999998E-5</v>
      </c>
      <c r="V5745" s="25"/>
      <c r="W5745" s="25"/>
      <c r="X5745" s="25"/>
      <c r="Y5745" s="25"/>
      <c r="Z5745" s="25"/>
      <c r="AA5745" s="25"/>
    </row>
    <row r="5746" spans="1:27" x14ac:dyDescent="0.35">
      <c r="A5746" s="5">
        <v>5742</v>
      </c>
      <c r="B5746" s="5">
        <v>240</v>
      </c>
      <c r="C5746" s="5">
        <v>8</v>
      </c>
      <c r="D5746" s="25">
        <v>1.1415000000000001E-4</v>
      </c>
      <c r="E5746" s="25">
        <v>1.2277999999999999E-4</v>
      </c>
      <c r="F5746" s="25">
        <v>1.1349E-4</v>
      </c>
      <c r="G5746" s="25">
        <v>1.0809E-4</v>
      </c>
      <c r="H5746" s="25">
        <v>1.3154E-4</v>
      </c>
      <c r="I5746" s="9">
        <v>9.0690000000000001E-5</v>
      </c>
      <c r="J5746" s="9">
        <v>9.2650000000000002E-5</v>
      </c>
      <c r="K5746" s="9">
        <v>7.6299999999999998E-5</v>
      </c>
      <c r="L5746" s="9">
        <v>1.8050000000000002E-5</v>
      </c>
      <c r="M5746" s="9">
        <v>4.8659999999999998E-5</v>
      </c>
      <c r="N5746" s="9">
        <v>7.1240000000000002E-5</v>
      </c>
      <c r="O5746" s="9">
        <v>4.638E-5</v>
      </c>
      <c r="P5746" s="9">
        <v>7.6940000000000005E-5</v>
      </c>
      <c r="Q5746" s="9">
        <v>1.0713E-4</v>
      </c>
      <c r="R5746" s="10">
        <v>7.2281117447136334E-5</v>
      </c>
      <c r="S5746" s="10">
        <v>5.3305494879064267E-5</v>
      </c>
      <c r="T5746" s="10">
        <v>2.2737922258381944E-6</v>
      </c>
      <c r="U5746" s="10">
        <v>7.5069999999999998E-5</v>
      </c>
      <c r="V5746" s="25"/>
      <c r="W5746" s="25"/>
      <c r="X5746" s="25"/>
      <c r="Y5746" s="25"/>
      <c r="Z5746" s="25"/>
      <c r="AA5746" s="25"/>
    </row>
    <row r="5747" spans="1:27" x14ac:dyDescent="0.35">
      <c r="A5747" s="5">
        <v>5743</v>
      </c>
      <c r="B5747" s="5">
        <v>240</v>
      </c>
      <c r="C5747" s="5">
        <v>8</v>
      </c>
      <c r="D5747" s="25">
        <v>1.1416E-4</v>
      </c>
      <c r="E5747" s="25">
        <v>1.2097E-4</v>
      </c>
      <c r="F5747" s="25">
        <v>1.1082E-4</v>
      </c>
      <c r="G5747" s="25">
        <v>1.1271E-4</v>
      </c>
      <c r="H5747" s="25">
        <v>1.3269000000000001E-4</v>
      </c>
      <c r="I5747" s="9">
        <v>9.2910000000000003E-5</v>
      </c>
      <c r="J5747" s="9">
        <v>9.5610000000000001E-5</v>
      </c>
      <c r="K5747" s="9">
        <v>2.1299999999999999E-6</v>
      </c>
      <c r="L5747" s="9">
        <v>4.0009999999999998E-5</v>
      </c>
      <c r="M5747" s="9">
        <v>6.0239999999999999E-5</v>
      </c>
      <c r="N5747" s="9">
        <v>8.0980000000000001E-5</v>
      </c>
      <c r="O5747" s="9">
        <v>1.2281E-4</v>
      </c>
      <c r="P5747" s="9">
        <v>1.1738E-4</v>
      </c>
      <c r="Q5747" s="9">
        <v>1.1244E-4</v>
      </c>
      <c r="R5747" s="10">
        <v>7.4121515047046913E-5</v>
      </c>
      <c r="S5747" s="10">
        <v>4.6331106776330081E-5</v>
      </c>
      <c r="T5747" s="10">
        <v>5.5436411953831212E-5</v>
      </c>
      <c r="U5747" s="10">
        <v>7.5069999999999998E-5</v>
      </c>
      <c r="V5747" s="25"/>
      <c r="W5747" s="25"/>
      <c r="X5747" s="25"/>
      <c r="Y5747" s="25"/>
      <c r="Z5747" s="25"/>
      <c r="AA5747" s="25"/>
    </row>
    <row r="5748" spans="1:27" x14ac:dyDescent="0.35">
      <c r="A5748" s="5">
        <v>5744</v>
      </c>
      <c r="B5748" s="5">
        <v>240</v>
      </c>
      <c r="C5748" s="5">
        <v>8</v>
      </c>
      <c r="D5748" s="25">
        <v>1.1415000000000001E-4</v>
      </c>
      <c r="E5748" s="25">
        <v>1.137E-4</v>
      </c>
      <c r="F5748" s="25">
        <v>1.0479E-4</v>
      </c>
      <c r="G5748" s="25">
        <v>1.6667E-4</v>
      </c>
      <c r="H5748" s="25">
        <v>1.9473E-4</v>
      </c>
      <c r="I5748" s="9">
        <v>9.6879999999999994E-5</v>
      </c>
      <c r="J5748" s="9">
        <v>1.0166999999999999E-4</v>
      </c>
      <c r="K5748" s="9">
        <v>0</v>
      </c>
      <c r="L5748" s="9">
        <v>1.0398E-4</v>
      </c>
      <c r="M5748" s="9">
        <v>8.3789999999999996E-5</v>
      </c>
      <c r="N5748" s="9">
        <v>9.1059999999999999E-5</v>
      </c>
      <c r="O5748" s="9">
        <v>2.1910000000000001E-4</v>
      </c>
      <c r="P5748" s="9">
        <v>1.7734000000000001E-4</v>
      </c>
      <c r="Q5748" s="9">
        <v>1.3699E-4</v>
      </c>
      <c r="R5748" s="10">
        <v>7.2278289483472744E-5</v>
      </c>
      <c r="S5748" s="10">
        <v>4.7514860990837809E-5</v>
      </c>
      <c r="T5748" s="10">
        <v>2.2767617306107446E-4</v>
      </c>
      <c r="U5748" s="10">
        <v>7.5069999999999998E-5</v>
      </c>
      <c r="V5748" s="25"/>
      <c r="W5748" s="25"/>
      <c r="X5748" s="25"/>
      <c r="Y5748" s="25"/>
      <c r="Z5748" s="25"/>
      <c r="AA5748" s="25"/>
    </row>
    <row r="5749" spans="1:27" x14ac:dyDescent="0.35">
      <c r="A5749" s="5">
        <v>5745</v>
      </c>
      <c r="B5749" s="5">
        <v>240</v>
      </c>
      <c r="C5749" s="5">
        <v>8</v>
      </c>
      <c r="D5749" s="25">
        <v>1.1416E-4</v>
      </c>
      <c r="E5749" s="25">
        <v>1.1627E-4</v>
      </c>
      <c r="F5749" s="25">
        <v>1.1415E-4</v>
      </c>
      <c r="G5749" s="25">
        <v>1.6469E-4</v>
      </c>
      <c r="H5749" s="25">
        <v>2.0189000000000001E-4</v>
      </c>
      <c r="I5749" s="9">
        <v>9.8750000000000002E-5</v>
      </c>
      <c r="J5749" s="9">
        <v>1.0745E-4</v>
      </c>
      <c r="K5749" s="9">
        <v>0</v>
      </c>
      <c r="L5749" s="9">
        <v>1.9201999999999999E-4</v>
      </c>
      <c r="M5749" s="9">
        <v>1.2355999999999999E-4</v>
      </c>
      <c r="N5749" s="9">
        <v>1.0482E-4</v>
      </c>
      <c r="O5749" s="9">
        <v>2.1159999999999999E-4</v>
      </c>
      <c r="P5749" s="9">
        <v>1.9424000000000001E-4</v>
      </c>
      <c r="Q5749" s="9">
        <v>1.7788999999999999E-4</v>
      </c>
      <c r="R5749" s="10">
        <v>6.6927428616971537E-5</v>
      </c>
      <c r="S5749" s="10">
        <v>5.7924777168457006E-5</v>
      </c>
      <c r="T5749" s="10">
        <v>3.9647979293150993E-4</v>
      </c>
      <c r="U5749" s="10">
        <v>7.5069999999999998E-5</v>
      </c>
      <c r="V5749" s="25"/>
      <c r="W5749" s="25"/>
      <c r="X5749" s="25"/>
      <c r="Y5749" s="25"/>
      <c r="Z5749" s="25"/>
      <c r="AA5749" s="25"/>
    </row>
    <row r="5750" spans="1:27" x14ac:dyDescent="0.35">
      <c r="A5750" s="5">
        <v>5746</v>
      </c>
      <c r="B5750" s="5">
        <v>240</v>
      </c>
      <c r="C5750" s="5">
        <v>8</v>
      </c>
      <c r="D5750" s="25">
        <v>1.1415000000000001E-4</v>
      </c>
      <c r="E5750" s="25">
        <v>1.2326000000000001E-4</v>
      </c>
      <c r="F5750" s="25">
        <v>1.0314000000000001E-4</v>
      </c>
      <c r="G5750" s="25">
        <v>1.6682000000000001E-4</v>
      </c>
      <c r="H5750" s="25">
        <v>2.0153E-4</v>
      </c>
      <c r="I5750" s="9">
        <v>9.7830000000000004E-5</v>
      </c>
      <c r="J5750" s="9">
        <v>1.0925999999999999E-4</v>
      </c>
      <c r="K5750" s="9">
        <v>0</v>
      </c>
      <c r="L5750" s="9">
        <v>2.0498000000000001E-4</v>
      </c>
      <c r="M5750" s="9">
        <v>1.5909E-4</v>
      </c>
      <c r="N5750" s="9">
        <v>1.2498000000000001E-4</v>
      </c>
      <c r="O5750" s="9">
        <v>1.6653999999999999E-4</v>
      </c>
      <c r="P5750" s="9">
        <v>1.741E-4</v>
      </c>
      <c r="Q5750" s="9">
        <v>1.8210000000000001E-4</v>
      </c>
      <c r="R5750" s="10">
        <v>5.9165524816091938E-5</v>
      </c>
      <c r="S5750" s="10">
        <v>6.9996966066048608E-5</v>
      </c>
      <c r="T5750" s="10">
        <v>4.8080524417257653E-4</v>
      </c>
      <c r="U5750" s="10">
        <v>7.5069999999999998E-5</v>
      </c>
      <c r="V5750" s="25"/>
      <c r="W5750" s="25"/>
      <c r="X5750" s="25"/>
      <c r="Y5750" s="25"/>
      <c r="Z5750" s="25"/>
      <c r="AA5750" s="25"/>
    </row>
    <row r="5751" spans="1:27" x14ac:dyDescent="0.35">
      <c r="A5751" s="5">
        <v>5747</v>
      </c>
      <c r="B5751" s="5">
        <v>240</v>
      </c>
      <c r="C5751" s="5">
        <v>8</v>
      </c>
      <c r="D5751" s="25">
        <v>1.1416E-4</v>
      </c>
      <c r="E5751" s="25">
        <v>1.2242000000000001E-4</v>
      </c>
      <c r="F5751" s="25">
        <v>1.0102000000000001E-4</v>
      </c>
      <c r="G5751" s="25">
        <v>1.5646E-4</v>
      </c>
      <c r="H5751" s="25">
        <v>1.9352E-4</v>
      </c>
      <c r="I5751" s="9">
        <v>9.6479999999999998E-5</v>
      </c>
      <c r="J5751" s="9">
        <v>1.0924E-4</v>
      </c>
      <c r="K5751" s="9">
        <v>0</v>
      </c>
      <c r="L5751" s="9">
        <v>1.7505E-4</v>
      </c>
      <c r="M5751" s="9">
        <v>1.7274E-4</v>
      </c>
      <c r="N5751" s="9">
        <v>1.4299000000000001E-4</v>
      </c>
      <c r="O5751" s="9">
        <v>1.6773999999999999E-4</v>
      </c>
      <c r="P5751" s="9">
        <v>1.7399000000000001E-4</v>
      </c>
      <c r="Q5751" s="9">
        <v>1.8071E-4</v>
      </c>
      <c r="R5751" s="10">
        <v>4.7107525163465796E-5</v>
      </c>
      <c r="S5751" s="10">
        <v>8.6500673864929787E-5</v>
      </c>
      <c r="T5751" s="10">
        <v>5.7769594275120396E-4</v>
      </c>
      <c r="U5751" s="10">
        <v>7.5069999999999998E-5</v>
      </c>
      <c r="V5751" s="25"/>
      <c r="W5751" s="25"/>
      <c r="X5751" s="25"/>
      <c r="Y5751" s="25"/>
      <c r="Z5751" s="25"/>
      <c r="AA5751" s="25"/>
    </row>
    <row r="5752" spans="1:27" x14ac:dyDescent="0.35">
      <c r="A5752" s="5">
        <v>5748</v>
      </c>
      <c r="B5752" s="5">
        <v>240</v>
      </c>
      <c r="C5752" s="5">
        <v>8</v>
      </c>
      <c r="D5752" s="25">
        <v>1.1415000000000001E-4</v>
      </c>
      <c r="E5752" s="25">
        <v>1.2146000000000001E-4</v>
      </c>
      <c r="F5752" s="25">
        <v>1.0692E-4</v>
      </c>
      <c r="G5752" s="25">
        <v>1.6175E-4</v>
      </c>
      <c r="H5752" s="25">
        <v>1.9118999999999999E-4</v>
      </c>
      <c r="I5752" s="9">
        <v>9.3999999999999994E-5</v>
      </c>
      <c r="J5752" s="9">
        <v>1.0739E-4</v>
      </c>
      <c r="K5752" s="9">
        <v>0</v>
      </c>
      <c r="L5752" s="9">
        <v>1.7077999999999999E-4</v>
      </c>
      <c r="M5752" s="9">
        <v>1.7547E-4</v>
      </c>
      <c r="N5752" s="9">
        <v>1.5726999999999999E-4</v>
      </c>
      <c r="O5752" s="9">
        <v>1.6927000000000001E-4</v>
      </c>
      <c r="P5752" s="9">
        <v>1.7139999999999999E-4</v>
      </c>
      <c r="Q5752" s="9">
        <v>1.7406999999999999E-4</v>
      </c>
      <c r="R5752" s="10">
        <v>2.6241649214026303E-5</v>
      </c>
      <c r="S5752" s="10">
        <v>8.6954042498736756E-5</v>
      </c>
      <c r="T5752" s="10">
        <v>5.5359204829744904E-4</v>
      </c>
      <c r="U5752" s="10">
        <v>7.5069999999999998E-5</v>
      </c>
      <c r="V5752" s="25"/>
      <c r="W5752" s="25"/>
      <c r="X5752" s="25"/>
      <c r="Y5752" s="25"/>
      <c r="Z5752" s="25"/>
      <c r="AA5752" s="25"/>
    </row>
    <row r="5753" spans="1:27" x14ac:dyDescent="0.35">
      <c r="A5753" s="5">
        <v>5749</v>
      </c>
      <c r="B5753" s="5">
        <v>240</v>
      </c>
      <c r="C5753" s="5">
        <v>8</v>
      </c>
      <c r="D5753" s="25">
        <v>1.1416E-4</v>
      </c>
      <c r="E5753" s="25">
        <v>1.1684E-4</v>
      </c>
      <c r="F5753" s="25">
        <v>9.7850000000000007E-5</v>
      </c>
      <c r="G5753" s="25">
        <v>1.6515E-4</v>
      </c>
      <c r="H5753" s="25">
        <v>2.018E-4</v>
      </c>
      <c r="I5753" s="9">
        <v>9.0729999999999994E-5</v>
      </c>
      <c r="J5753" s="9">
        <v>1.0606E-4</v>
      </c>
      <c r="K5753" s="9">
        <v>0</v>
      </c>
      <c r="L5753" s="9">
        <v>1.6975000000000001E-4</v>
      </c>
      <c r="M5753" s="9">
        <v>1.7422999999999999E-4</v>
      </c>
      <c r="N5753" s="9">
        <v>1.6665000000000001E-4</v>
      </c>
      <c r="O5753" s="9">
        <v>1.6045E-4</v>
      </c>
      <c r="P5753" s="9">
        <v>1.6333E-4</v>
      </c>
      <c r="Q5753" s="9">
        <v>1.6671000000000001E-4</v>
      </c>
      <c r="R5753" s="10">
        <v>3.1261011218009402E-5</v>
      </c>
      <c r="S5753" s="10">
        <v>1.092384640768265E-4</v>
      </c>
      <c r="T5753" s="10">
        <v>6.3298812161608278E-4</v>
      </c>
      <c r="U5753" s="10">
        <v>7.5069999999999998E-5</v>
      </c>
      <c r="V5753" s="25"/>
      <c r="W5753" s="25"/>
      <c r="X5753" s="25"/>
      <c r="Y5753" s="25"/>
      <c r="Z5753" s="25"/>
      <c r="AA5753" s="25"/>
    </row>
    <row r="5754" spans="1:27" x14ac:dyDescent="0.35">
      <c r="A5754" s="5">
        <v>5750</v>
      </c>
      <c r="B5754" s="5">
        <v>240</v>
      </c>
      <c r="C5754" s="5">
        <v>8</v>
      </c>
      <c r="D5754" s="25">
        <v>1.1415000000000001E-4</v>
      </c>
      <c r="E5754" s="25">
        <v>1.1246E-4</v>
      </c>
      <c r="F5754" s="25">
        <v>1.0702E-4</v>
      </c>
      <c r="G5754" s="25">
        <v>1.5894999999999999E-4</v>
      </c>
      <c r="H5754" s="25">
        <v>1.9916000000000001E-4</v>
      </c>
      <c r="I5754" s="9">
        <v>9.0959999999999996E-5</v>
      </c>
      <c r="J5754" s="9">
        <v>1.0537E-4</v>
      </c>
      <c r="K5754" s="9">
        <v>0</v>
      </c>
      <c r="L5754" s="9">
        <v>1.6226000000000001E-4</v>
      </c>
      <c r="M5754" s="9">
        <v>1.6995000000000001E-4</v>
      </c>
      <c r="N5754" s="9">
        <v>1.7071E-4</v>
      </c>
      <c r="O5754" s="9">
        <v>1.7908E-4</v>
      </c>
      <c r="P5754" s="9">
        <v>1.7023E-4</v>
      </c>
      <c r="Q5754" s="9">
        <v>1.6213999999999999E-4</v>
      </c>
      <c r="R5754" s="10">
        <v>4.1397711410442915E-5</v>
      </c>
      <c r="S5754" s="10">
        <v>1.2325730164260547E-4</v>
      </c>
      <c r="T5754" s="10">
        <v>3.8121653840060354E-4</v>
      </c>
      <c r="U5754" s="10">
        <v>7.5069999999999998E-5</v>
      </c>
      <c r="V5754" s="25"/>
      <c r="W5754" s="25"/>
      <c r="X5754" s="25"/>
      <c r="Y5754" s="25"/>
      <c r="Z5754" s="25"/>
      <c r="AA5754" s="25"/>
    </row>
    <row r="5755" spans="1:27" x14ac:dyDescent="0.35">
      <c r="A5755" s="5">
        <v>5751</v>
      </c>
      <c r="B5755" s="5">
        <v>240</v>
      </c>
      <c r="C5755" s="5">
        <v>8</v>
      </c>
      <c r="D5755" s="25">
        <v>1.1416E-4</v>
      </c>
      <c r="E5755" s="25">
        <v>1.153E-4</v>
      </c>
      <c r="F5755" s="25">
        <v>1.1519E-4</v>
      </c>
      <c r="G5755" s="25">
        <v>1.6176999999999999E-4</v>
      </c>
      <c r="H5755" s="25">
        <v>1.9142000000000001E-4</v>
      </c>
      <c r="I5755" s="9">
        <v>9.2880000000000005E-5</v>
      </c>
      <c r="J5755" s="9">
        <v>1.0547E-4</v>
      </c>
      <c r="K5755" s="9">
        <v>0</v>
      </c>
      <c r="L5755" s="9">
        <v>1.7557E-4</v>
      </c>
      <c r="M5755" s="9">
        <v>1.6882999999999999E-4</v>
      </c>
      <c r="N5755" s="9">
        <v>1.7043000000000001E-4</v>
      </c>
      <c r="O5755" s="9">
        <v>1.8169E-4</v>
      </c>
      <c r="P5755" s="9">
        <v>1.6621999999999999E-4</v>
      </c>
      <c r="Q5755" s="9">
        <v>1.5160999999999999E-4</v>
      </c>
      <c r="R5755" s="10">
        <v>5.2170351161762426E-5</v>
      </c>
      <c r="S5755" s="10">
        <v>1.3085964071959195E-4</v>
      </c>
      <c r="T5755" s="10">
        <v>4.4456880164811768E-4</v>
      </c>
      <c r="U5755" s="10">
        <v>7.5069999999999998E-5</v>
      </c>
      <c r="V5755" s="25"/>
      <c r="W5755" s="25"/>
      <c r="X5755" s="25"/>
      <c r="Y5755" s="25"/>
      <c r="Z5755" s="25"/>
      <c r="AA5755" s="25"/>
    </row>
    <row r="5756" spans="1:27" x14ac:dyDescent="0.35">
      <c r="A5756" s="5">
        <v>5752</v>
      </c>
      <c r="B5756" s="5">
        <v>240</v>
      </c>
      <c r="C5756" s="5">
        <v>8</v>
      </c>
      <c r="D5756" s="25">
        <v>1.1415000000000001E-4</v>
      </c>
      <c r="E5756" s="25">
        <v>1.1203E-4</v>
      </c>
      <c r="F5756" s="25">
        <v>9.6730000000000004E-5</v>
      </c>
      <c r="G5756" s="25">
        <v>1.6322999999999999E-4</v>
      </c>
      <c r="H5756" s="25">
        <v>1.9291999999999999E-4</v>
      </c>
      <c r="I5756" s="9">
        <v>9.645E-5</v>
      </c>
      <c r="J5756" s="9">
        <v>1.0686E-4</v>
      </c>
      <c r="K5756" s="9">
        <v>0</v>
      </c>
      <c r="L5756" s="9">
        <v>1.7998999999999999E-4</v>
      </c>
      <c r="M5756" s="9">
        <v>1.6772E-4</v>
      </c>
      <c r="N5756" s="9">
        <v>1.6625E-4</v>
      </c>
      <c r="O5756" s="9">
        <v>1.9542999999999999E-4</v>
      </c>
      <c r="P5756" s="9">
        <v>1.5160999999999999E-4</v>
      </c>
      <c r="Q5756" s="9">
        <v>1.0915E-4</v>
      </c>
      <c r="R5756" s="10">
        <v>5.8564900098100448E-5</v>
      </c>
      <c r="S5756" s="10">
        <v>1.3551370651255888E-4</v>
      </c>
      <c r="T5756" s="10">
        <v>3.3275422051258952E-4</v>
      </c>
      <c r="U5756" s="10">
        <v>7.5069999999999998E-5</v>
      </c>
      <c r="V5756" s="25"/>
      <c r="W5756" s="25"/>
      <c r="X5756" s="25"/>
      <c r="Y5756" s="25"/>
      <c r="Z5756" s="25"/>
      <c r="AA5756" s="25"/>
    </row>
    <row r="5757" spans="1:27" x14ac:dyDescent="0.35">
      <c r="A5757" s="5">
        <v>5753</v>
      </c>
      <c r="B5757" s="5">
        <v>240</v>
      </c>
      <c r="C5757" s="5">
        <v>8</v>
      </c>
      <c r="D5757" s="25">
        <v>1.1416E-4</v>
      </c>
      <c r="E5757" s="25">
        <v>1.1956E-4</v>
      </c>
      <c r="F5757" s="25">
        <v>1.1298000000000001E-4</v>
      </c>
      <c r="G5757" s="25">
        <v>1.5636E-4</v>
      </c>
      <c r="H5757" s="25">
        <v>2.0123E-4</v>
      </c>
      <c r="I5757" s="9">
        <v>1.0060000000000001E-4</v>
      </c>
      <c r="J5757" s="9">
        <v>1.0896E-4</v>
      </c>
      <c r="K5757" s="9">
        <v>0</v>
      </c>
      <c r="L5757" s="9">
        <v>1.9185E-4</v>
      </c>
      <c r="M5757" s="9">
        <v>1.6171999999999999E-4</v>
      </c>
      <c r="N5757" s="9">
        <v>1.5229999999999999E-4</v>
      </c>
      <c r="O5757" s="9">
        <v>2.1099000000000001E-4</v>
      </c>
      <c r="P5757" s="9">
        <v>1.5777E-4</v>
      </c>
      <c r="Q5757" s="9">
        <v>1.0611999999999999E-4</v>
      </c>
      <c r="R5757" s="10">
        <v>5.7217799042401897E-5</v>
      </c>
      <c r="S5757" s="10">
        <v>1.3495969042120605E-4</v>
      </c>
      <c r="T5757" s="10">
        <v>2.5484289958023081E-4</v>
      </c>
      <c r="U5757" s="10">
        <v>7.5069999999999998E-5</v>
      </c>
      <c r="V5757" s="25"/>
      <c r="W5757" s="25"/>
      <c r="X5757" s="25"/>
      <c r="Y5757" s="25"/>
      <c r="Z5757" s="25"/>
      <c r="AA5757" s="25"/>
    </row>
    <row r="5758" spans="1:27" x14ac:dyDescent="0.35">
      <c r="A5758" s="5">
        <v>5754</v>
      </c>
      <c r="B5758" s="5">
        <v>240</v>
      </c>
      <c r="C5758" s="5">
        <v>8</v>
      </c>
      <c r="D5758" s="25">
        <v>1.1415000000000001E-4</v>
      </c>
      <c r="E5758" s="25">
        <v>1.2273000000000001E-4</v>
      </c>
      <c r="F5758" s="25">
        <v>9.7559999999999994E-5</v>
      </c>
      <c r="G5758" s="25">
        <v>1.5917000000000001E-4</v>
      </c>
      <c r="H5758" s="25">
        <v>1.8922000000000001E-4</v>
      </c>
      <c r="I5758" s="9">
        <v>1.0342E-4</v>
      </c>
      <c r="J5758" s="9">
        <v>1.0988E-4</v>
      </c>
      <c r="K5758" s="9">
        <v>0</v>
      </c>
      <c r="L5758" s="9">
        <v>2.0655000000000001E-4</v>
      </c>
      <c r="M5758" s="9">
        <v>1.5864000000000001E-4</v>
      </c>
      <c r="N5758" s="9">
        <v>1.3871000000000001E-4</v>
      </c>
      <c r="O5758" s="9">
        <v>2.0401999999999999E-4</v>
      </c>
      <c r="P5758" s="9">
        <v>1.6001000000000001E-4</v>
      </c>
      <c r="Q5758" s="9">
        <v>1.1739999999999999E-4</v>
      </c>
      <c r="R5758" s="10">
        <v>5.0638130935054959E-5</v>
      </c>
      <c r="S5758" s="10">
        <v>1.3461366437592781E-4</v>
      </c>
      <c r="T5758" s="10">
        <v>8.181409863342429E-5</v>
      </c>
      <c r="U5758" s="10">
        <v>7.5069999999999998E-5</v>
      </c>
      <c r="V5758" s="25"/>
      <c r="W5758" s="25"/>
      <c r="X5758" s="25"/>
      <c r="Y5758" s="25"/>
      <c r="Z5758" s="25"/>
      <c r="AA5758" s="25"/>
    </row>
    <row r="5759" spans="1:27" x14ac:dyDescent="0.35">
      <c r="A5759" s="5">
        <v>5755</v>
      </c>
      <c r="B5759" s="5">
        <v>240</v>
      </c>
      <c r="C5759" s="5">
        <v>8</v>
      </c>
      <c r="D5759" s="25">
        <v>1.1416E-4</v>
      </c>
      <c r="E5759" s="25">
        <v>1.2076E-4</v>
      </c>
      <c r="F5759" s="25">
        <v>9.8950000000000006E-5</v>
      </c>
      <c r="G5759" s="25">
        <v>1.1484000000000001E-4</v>
      </c>
      <c r="H5759" s="25">
        <v>1.3726999999999999E-4</v>
      </c>
      <c r="I5759" s="9">
        <v>1.0458E-4</v>
      </c>
      <c r="J5759" s="9">
        <v>1.0922E-4</v>
      </c>
      <c r="K5759" s="9">
        <v>0</v>
      </c>
      <c r="L5759" s="9">
        <v>2.0419000000000001E-4</v>
      </c>
      <c r="M5759" s="9">
        <v>1.5851E-4</v>
      </c>
      <c r="N5759" s="9">
        <v>1.2960000000000001E-4</v>
      </c>
      <c r="O5759" s="9">
        <v>1.6412999999999999E-4</v>
      </c>
      <c r="P5759" s="9">
        <v>1.3522E-4</v>
      </c>
      <c r="Q5759" s="9">
        <v>1.0732E-4</v>
      </c>
      <c r="R5759" s="10">
        <v>3.7984302057039667E-5</v>
      </c>
      <c r="S5759" s="10">
        <v>1.3024732025464578E-4</v>
      </c>
      <c r="T5759" s="10">
        <v>4.0979165861188353E-6</v>
      </c>
      <c r="U5759" s="10">
        <v>7.5069999999999998E-5</v>
      </c>
      <c r="V5759" s="25"/>
      <c r="W5759" s="25"/>
      <c r="X5759" s="25"/>
      <c r="Y5759" s="25"/>
      <c r="Z5759" s="25"/>
      <c r="AA5759" s="25"/>
    </row>
    <row r="5760" spans="1:27" x14ac:dyDescent="0.35">
      <c r="A5760" s="5">
        <v>5756</v>
      </c>
      <c r="B5760" s="5">
        <v>240</v>
      </c>
      <c r="C5760" s="5">
        <v>8</v>
      </c>
      <c r="D5760" s="25">
        <v>1.1415000000000001E-4</v>
      </c>
      <c r="E5760" s="25">
        <v>1.1471E-4</v>
      </c>
      <c r="F5760" s="25">
        <v>1.1591000000000001E-4</v>
      </c>
      <c r="G5760" s="25">
        <v>1.0929000000000001E-4</v>
      </c>
      <c r="H5760" s="25">
        <v>1.2700999999999999E-4</v>
      </c>
      <c r="I5760" s="9">
        <v>1.0504E-4</v>
      </c>
      <c r="J5760" s="9">
        <v>1.0986E-4</v>
      </c>
      <c r="K5760" s="9">
        <v>1.484E-5</v>
      </c>
      <c r="L5760" s="9">
        <v>1.7307999999999999E-4</v>
      </c>
      <c r="M5760" s="9">
        <v>1.5028E-4</v>
      </c>
      <c r="N5760" s="9">
        <v>1.2056E-4</v>
      </c>
      <c r="O5760" s="9">
        <v>1.2845000000000001E-4</v>
      </c>
      <c r="P5760" s="9">
        <v>1.1484000000000001E-4</v>
      </c>
      <c r="Q5760" s="9">
        <v>1.0187999999999999E-4</v>
      </c>
      <c r="R5760" s="10">
        <v>3.5982485870190295E-5</v>
      </c>
      <c r="S5760" s="10">
        <v>1.2804024331652429E-4</v>
      </c>
      <c r="T5760" s="10">
        <v>0</v>
      </c>
      <c r="U5760" s="10">
        <v>7.5069999999999998E-5</v>
      </c>
      <c r="V5760" s="25"/>
      <c r="W5760" s="25"/>
      <c r="X5760" s="25"/>
      <c r="Y5760" s="25"/>
      <c r="Z5760" s="25"/>
      <c r="AA5760" s="25"/>
    </row>
    <row r="5761" spans="1:27" x14ac:dyDescent="0.35">
      <c r="A5761" s="5">
        <v>5757</v>
      </c>
      <c r="B5761" s="5">
        <v>240</v>
      </c>
      <c r="C5761" s="5">
        <v>8</v>
      </c>
      <c r="D5761" s="25">
        <v>1.1416E-4</v>
      </c>
      <c r="E5761" s="25">
        <v>1.1578000000000001E-4</v>
      </c>
      <c r="F5761" s="25">
        <v>1.0098999999999999E-4</v>
      </c>
      <c r="G5761" s="25">
        <v>6.2990000000000005E-5</v>
      </c>
      <c r="H5761" s="25">
        <v>7.2659999999999999E-5</v>
      </c>
      <c r="I5761" s="9">
        <v>1.0834E-4</v>
      </c>
      <c r="J5761" s="9">
        <v>1.1158E-4</v>
      </c>
      <c r="K5761" s="9">
        <v>1.272E-5</v>
      </c>
      <c r="L5761" s="9">
        <v>1.3923000000000001E-4</v>
      </c>
      <c r="M5761" s="9">
        <v>1.3520000000000001E-4</v>
      </c>
      <c r="N5761" s="9">
        <v>1.1296E-4</v>
      </c>
      <c r="O5761" s="9">
        <v>8.4950000000000005E-5</v>
      </c>
      <c r="P5761" s="9">
        <v>8.6719999999999996E-5</v>
      </c>
      <c r="Q5761" s="9">
        <v>8.8729999999999999E-5</v>
      </c>
      <c r="R5761" s="10">
        <v>3.539383103385707E-5</v>
      </c>
      <c r="S5761" s="10">
        <v>1.2931241364230622E-4</v>
      </c>
      <c r="T5761" s="10">
        <v>0</v>
      </c>
      <c r="U5761" s="10">
        <v>7.5069999999999998E-5</v>
      </c>
      <c r="V5761" s="25"/>
      <c r="W5761" s="25"/>
      <c r="X5761" s="25"/>
      <c r="Y5761" s="25"/>
      <c r="Z5761" s="25"/>
      <c r="AA5761" s="25"/>
    </row>
    <row r="5762" spans="1:27" x14ac:dyDescent="0.35">
      <c r="A5762" s="5">
        <v>5758</v>
      </c>
      <c r="B5762" s="5">
        <v>240</v>
      </c>
      <c r="C5762" s="5">
        <v>8</v>
      </c>
      <c r="D5762" s="25">
        <v>1.1415000000000001E-4</v>
      </c>
      <c r="E5762" s="25">
        <v>1.2250999999999999E-4</v>
      </c>
      <c r="F5762" s="25">
        <v>9.9190000000000004E-5</v>
      </c>
      <c r="G5762" s="25">
        <v>5.4060000000000001E-5</v>
      </c>
      <c r="H5762" s="25">
        <v>6.3159999999999998E-5</v>
      </c>
      <c r="I5762" s="9">
        <v>1.0518000000000001E-4</v>
      </c>
      <c r="J5762" s="9">
        <v>1.0836999999999999E-4</v>
      </c>
      <c r="K5762" s="9">
        <v>2.7549999999999999E-5</v>
      </c>
      <c r="L5762" s="9">
        <v>9.7819999999999995E-5</v>
      </c>
      <c r="M5762" s="9">
        <v>1.1386E-4</v>
      </c>
      <c r="N5762" s="9">
        <v>1.0554E-4</v>
      </c>
      <c r="O5762" s="9">
        <v>8.7949999999999996E-5</v>
      </c>
      <c r="P5762" s="9">
        <v>8.8339999999999998E-5</v>
      </c>
      <c r="Q5762" s="9">
        <v>8.899E-5</v>
      </c>
      <c r="R5762" s="10">
        <v>3.2234112526825047E-5</v>
      </c>
      <c r="S5762" s="10">
        <v>1.3605692129426485E-4</v>
      </c>
      <c r="T5762" s="10">
        <v>0</v>
      </c>
      <c r="U5762" s="10">
        <v>7.5069999999999998E-5</v>
      </c>
      <c r="V5762" s="25"/>
      <c r="W5762" s="25"/>
      <c r="X5762" s="25"/>
      <c r="Y5762" s="25"/>
      <c r="Z5762" s="25"/>
      <c r="AA5762" s="25"/>
    </row>
    <row r="5763" spans="1:27" x14ac:dyDescent="0.35">
      <c r="A5763" s="5">
        <v>5759</v>
      </c>
      <c r="B5763" s="5">
        <v>240</v>
      </c>
      <c r="C5763" s="5">
        <v>8</v>
      </c>
      <c r="D5763" s="25">
        <v>1.1416E-4</v>
      </c>
      <c r="E5763" s="25">
        <v>1.1291E-4</v>
      </c>
      <c r="F5763" s="25">
        <v>9.5660000000000002E-5</v>
      </c>
      <c r="G5763" s="25">
        <v>6.0409999999999999E-5</v>
      </c>
      <c r="H5763" s="25">
        <v>7.6979999999999998E-5</v>
      </c>
      <c r="I5763" s="9">
        <v>9.9450000000000005E-5</v>
      </c>
      <c r="J5763" s="9">
        <v>1.0386E-4</v>
      </c>
      <c r="K5763" s="9">
        <v>4.6629999999999999E-5</v>
      </c>
      <c r="L5763" s="9">
        <v>9.1050000000000004E-5</v>
      </c>
      <c r="M5763" s="9">
        <v>9.9439999999999997E-5</v>
      </c>
      <c r="N5763" s="9">
        <v>9.9989999999999996E-5</v>
      </c>
      <c r="O5763" s="9">
        <v>7.8029999999999997E-5</v>
      </c>
      <c r="P5763" s="9">
        <v>7.2440000000000004E-5</v>
      </c>
      <c r="Q5763" s="9">
        <v>6.7160000000000001E-5</v>
      </c>
      <c r="R5763" s="10">
        <v>3.0062398234806061E-5</v>
      </c>
      <c r="S5763" s="10">
        <v>1.4058246807598616E-4</v>
      </c>
      <c r="T5763" s="10">
        <v>0</v>
      </c>
      <c r="U5763" s="10">
        <v>7.5069999999999998E-5</v>
      </c>
      <c r="V5763" s="25"/>
      <c r="W5763" s="25"/>
      <c r="X5763" s="25"/>
      <c r="Y5763" s="25"/>
      <c r="Z5763" s="25"/>
      <c r="AA5763" s="25"/>
    </row>
    <row r="5764" spans="1:27" x14ac:dyDescent="0.35">
      <c r="A5764" s="5">
        <v>5760</v>
      </c>
      <c r="B5764" s="5">
        <v>240</v>
      </c>
      <c r="C5764" s="5">
        <v>8</v>
      </c>
      <c r="D5764" s="25">
        <v>1.1415000000000001E-4</v>
      </c>
      <c r="E5764" s="25">
        <v>1.2018E-4</v>
      </c>
      <c r="F5764" s="25">
        <v>1.0398E-4</v>
      </c>
      <c r="G5764" s="25">
        <v>6.2730000000000004E-5</v>
      </c>
      <c r="H5764" s="25">
        <v>7.4950000000000006E-5</v>
      </c>
      <c r="I5764" s="9">
        <v>9.4419999999999994E-5</v>
      </c>
      <c r="J5764" s="9">
        <v>9.7919999999999998E-5</v>
      </c>
      <c r="K5764" s="9">
        <v>4.2389999999999999E-5</v>
      </c>
      <c r="L5764" s="9">
        <v>8.0870000000000003E-5</v>
      </c>
      <c r="M5764" s="9">
        <v>8.6550000000000003E-5</v>
      </c>
      <c r="N5764" s="9">
        <v>9.0820000000000001E-5</v>
      </c>
      <c r="O5764" s="9">
        <v>6.2429999999999997E-5</v>
      </c>
      <c r="P5764" s="9">
        <v>6.0409999999999999E-5</v>
      </c>
      <c r="Q5764" s="9">
        <v>5.8600000000000001E-5</v>
      </c>
      <c r="R5764" s="10">
        <v>2.4715150461938163E-5</v>
      </c>
      <c r="S5764" s="10">
        <v>1.3821793170233867E-4</v>
      </c>
      <c r="T5764" s="10">
        <v>0</v>
      </c>
      <c r="U5764" s="10">
        <v>7.5069999999999998E-5</v>
      </c>
      <c r="V5764" s="25"/>
      <c r="W5764" s="25"/>
      <c r="X5764" s="25"/>
      <c r="Y5764" s="25"/>
      <c r="Z5764" s="25"/>
      <c r="AA5764" s="25"/>
    </row>
    <row r="5765" spans="1:27" x14ac:dyDescent="0.35">
      <c r="A5765" s="5">
        <v>5761</v>
      </c>
      <c r="B5765" s="5">
        <v>241</v>
      </c>
      <c r="C5765" s="5">
        <v>8</v>
      </c>
      <c r="D5765" s="25">
        <v>1.1416E-4</v>
      </c>
      <c r="E5765" s="25">
        <v>1.1972999999999999E-4</v>
      </c>
      <c r="F5765" s="25">
        <v>1.2259E-4</v>
      </c>
      <c r="G5765" s="25">
        <v>6.2680000000000003E-5</v>
      </c>
      <c r="H5765" s="25">
        <v>6.5549999999999994E-5</v>
      </c>
      <c r="I5765" s="9">
        <v>9.1199999999999994E-5</v>
      </c>
      <c r="J5765" s="9">
        <v>9.3140000000000006E-5</v>
      </c>
      <c r="K5765" s="9">
        <v>3.3909999999999999E-5</v>
      </c>
      <c r="L5765" s="9">
        <v>6.6500000000000004E-5</v>
      </c>
      <c r="M5765" s="9">
        <v>7.4170000000000003E-5</v>
      </c>
      <c r="N5765" s="9">
        <v>8.1349999999999999E-5</v>
      </c>
      <c r="O5765" s="9">
        <v>5.4669999999999997E-5</v>
      </c>
      <c r="P5765" s="9">
        <v>5.4079999999999997E-5</v>
      </c>
      <c r="Q5765" s="9">
        <v>5.3659999999999998E-5</v>
      </c>
      <c r="R5765" s="10">
        <v>2.8093334594281677E-5</v>
      </c>
      <c r="S5765" s="10">
        <v>1.3672359325487174E-4</v>
      </c>
      <c r="T5765" s="10">
        <v>0</v>
      </c>
      <c r="U5765" s="10">
        <v>7.3239999999999997E-5</v>
      </c>
      <c r="V5765" s="25"/>
      <c r="W5765" s="25"/>
      <c r="X5765" s="25"/>
      <c r="Y5765" s="25"/>
      <c r="Z5765" s="25"/>
      <c r="AA5765" s="25"/>
    </row>
    <row r="5766" spans="1:27" x14ac:dyDescent="0.35">
      <c r="A5766" s="5">
        <v>5762</v>
      </c>
      <c r="B5766" s="5">
        <v>241</v>
      </c>
      <c r="C5766" s="5">
        <v>8</v>
      </c>
      <c r="D5766" s="25">
        <v>1.1415000000000001E-4</v>
      </c>
      <c r="E5766" s="25">
        <v>1.1109E-4</v>
      </c>
      <c r="F5766" s="25">
        <v>1.2739000000000001E-4</v>
      </c>
      <c r="G5766" s="25">
        <v>5.9460000000000003E-5</v>
      </c>
      <c r="H5766" s="25">
        <v>6.5980000000000002E-5</v>
      </c>
      <c r="I5766" s="9">
        <v>8.7929999999999993E-5</v>
      </c>
      <c r="J5766" s="9">
        <v>9.0530000000000002E-5</v>
      </c>
      <c r="K5766" s="9">
        <v>2.332E-5</v>
      </c>
      <c r="L5766" s="9">
        <v>5.766E-5</v>
      </c>
      <c r="M5766" s="9">
        <v>6.3979999999999994E-5</v>
      </c>
      <c r="N5766" s="9">
        <v>7.2269999999999998E-5</v>
      </c>
      <c r="O5766" s="9">
        <v>1.9179999999999999E-5</v>
      </c>
      <c r="P5766" s="9">
        <v>3.8019999999999999E-5</v>
      </c>
      <c r="Q5766" s="9">
        <v>5.6579999999999997E-5</v>
      </c>
      <c r="R5766" s="10">
        <v>3.0717799363446188E-5</v>
      </c>
      <c r="S5766" s="10">
        <v>1.2702765440256216E-4</v>
      </c>
      <c r="T5766" s="10">
        <v>0</v>
      </c>
      <c r="U5766" s="10">
        <v>7.3239999999999997E-5</v>
      </c>
      <c r="V5766" s="25"/>
      <c r="W5766" s="25"/>
      <c r="X5766" s="25"/>
      <c r="Y5766" s="25"/>
      <c r="Z5766" s="25"/>
      <c r="AA5766" s="25"/>
    </row>
    <row r="5767" spans="1:27" x14ac:dyDescent="0.35">
      <c r="A5767" s="5">
        <v>5763</v>
      </c>
      <c r="B5767" s="5">
        <v>241</v>
      </c>
      <c r="C5767" s="5">
        <v>8</v>
      </c>
      <c r="D5767" s="25">
        <v>1.1416E-4</v>
      </c>
      <c r="E5767" s="25">
        <v>1.1783E-4</v>
      </c>
      <c r="F5767" s="25">
        <v>1.2541000000000001E-4</v>
      </c>
      <c r="G5767" s="25">
        <v>5.5630000000000001E-5</v>
      </c>
      <c r="H5767" s="25">
        <v>7.462E-5</v>
      </c>
      <c r="I5767" s="9">
        <v>8.6799999999999996E-5</v>
      </c>
      <c r="J5767" s="9">
        <v>8.9530000000000005E-5</v>
      </c>
      <c r="K5767" s="9">
        <v>3.1789999999999999E-5</v>
      </c>
      <c r="L5767" s="9">
        <v>2.7840000000000001E-5</v>
      </c>
      <c r="M5767" s="9">
        <v>5.2320000000000001E-5</v>
      </c>
      <c r="N5767" s="9">
        <v>6.5729999999999996E-5</v>
      </c>
      <c r="O5767" s="9">
        <v>1.3720000000000001E-5</v>
      </c>
      <c r="P5767" s="9">
        <v>3.8109999999999999E-5</v>
      </c>
      <c r="Q5767" s="9">
        <v>6.211E-5</v>
      </c>
      <c r="R5767" s="10">
        <v>3.0179900877523364E-5</v>
      </c>
      <c r="S5767" s="10">
        <v>1.1410862218627907E-4</v>
      </c>
      <c r="T5767" s="10">
        <v>0</v>
      </c>
      <c r="U5767" s="10">
        <v>7.3239999999999997E-5</v>
      </c>
      <c r="V5767" s="25"/>
      <c r="W5767" s="25"/>
      <c r="X5767" s="25"/>
      <c r="Y5767" s="25"/>
      <c r="Z5767" s="25"/>
      <c r="AA5767" s="25"/>
    </row>
    <row r="5768" spans="1:27" x14ac:dyDescent="0.35">
      <c r="A5768" s="5">
        <v>5764</v>
      </c>
      <c r="B5768" s="5">
        <v>241</v>
      </c>
      <c r="C5768" s="5">
        <v>8</v>
      </c>
      <c r="D5768" s="25">
        <v>1.1415000000000001E-4</v>
      </c>
      <c r="E5768" s="25">
        <v>1.1346E-4</v>
      </c>
      <c r="F5768" s="25">
        <v>1.2768999999999999E-4</v>
      </c>
      <c r="G5768" s="25">
        <v>6.0890000000000001E-5</v>
      </c>
      <c r="H5768" s="25">
        <v>7.6249999999999997E-5</v>
      </c>
      <c r="I5768" s="9">
        <v>8.6550000000000003E-5</v>
      </c>
      <c r="J5768" s="9">
        <v>8.852E-5</v>
      </c>
      <c r="K5768" s="9">
        <v>3.8149999999999999E-5</v>
      </c>
      <c r="L5768" s="9">
        <v>1.7560000000000001E-5</v>
      </c>
      <c r="M5768" s="9">
        <v>4.443E-5</v>
      </c>
      <c r="N5768" s="9">
        <v>6.2199999999999994E-5</v>
      </c>
      <c r="O5768" s="9">
        <v>1.3570000000000001E-5</v>
      </c>
      <c r="P5768" s="9">
        <v>4.7129999999999998E-5</v>
      </c>
      <c r="Q5768" s="9">
        <v>8.0160000000000005E-5</v>
      </c>
      <c r="R5768" s="10">
        <v>3.7658038145084609E-5</v>
      </c>
      <c r="S5768" s="10">
        <v>1.0100834584514411E-4</v>
      </c>
      <c r="T5768" s="10">
        <v>0</v>
      </c>
      <c r="U5768" s="10">
        <v>7.3239999999999997E-5</v>
      </c>
      <c r="V5768" s="25"/>
      <c r="W5768" s="25"/>
      <c r="X5768" s="25"/>
      <c r="Y5768" s="25"/>
      <c r="Z5768" s="25"/>
      <c r="AA5768" s="25"/>
    </row>
    <row r="5769" spans="1:27" x14ac:dyDescent="0.35">
      <c r="A5769" s="5">
        <v>5765</v>
      </c>
      <c r="B5769" s="5">
        <v>241</v>
      </c>
      <c r="C5769" s="5">
        <v>8</v>
      </c>
      <c r="D5769" s="25">
        <v>1.1416E-4</v>
      </c>
      <c r="E5769" s="25">
        <v>1.1118E-4</v>
      </c>
      <c r="F5769" s="25">
        <v>1.2701999999999999E-4</v>
      </c>
      <c r="G5769" s="25">
        <v>5.8699999999999997E-5</v>
      </c>
      <c r="H5769" s="25">
        <v>6.9889999999999997E-5</v>
      </c>
      <c r="I5769" s="9">
        <v>8.6219999999999998E-5</v>
      </c>
      <c r="J5769" s="9">
        <v>8.7769999999999995E-5</v>
      </c>
      <c r="K5769" s="9">
        <v>7.8410000000000003E-5</v>
      </c>
      <c r="L5769" s="9">
        <v>1.47E-5</v>
      </c>
      <c r="M5769" s="9">
        <v>4.3630000000000001E-5</v>
      </c>
      <c r="N5769" s="9">
        <v>6.4629999999999996E-5</v>
      </c>
      <c r="O5769" s="9">
        <v>1.925E-5</v>
      </c>
      <c r="P5769" s="9">
        <v>5.7229999999999999E-5</v>
      </c>
      <c r="Q5769" s="9">
        <v>9.4629999999999994E-5</v>
      </c>
      <c r="R5769" s="10">
        <v>3.7855886584900861E-5</v>
      </c>
      <c r="S5769" s="10">
        <v>8.0828545447685194E-5</v>
      </c>
      <c r="T5769" s="10">
        <v>0</v>
      </c>
      <c r="U5769" s="10">
        <v>7.3239999999999997E-5</v>
      </c>
      <c r="V5769" s="25"/>
      <c r="W5769" s="25"/>
      <c r="X5769" s="25"/>
      <c r="Y5769" s="25"/>
      <c r="Z5769" s="25"/>
      <c r="AA5769" s="25"/>
    </row>
    <row r="5770" spans="1:27" x14ac:dyDescent="0.35">
      <c r="A5770" s="5">
        <v>5766</v>
      </c>
      <c r="B5770" s="5">
        <v>241</v>
      </c>
      <c r="C5770" s="5">
        <v>8</v>
      </c>
      <c r="D5770" s="25">
        <v>1.1415000000000001E-4</v>
      </c>
      <c r="E5770" s="25">
        <v>1.1971E-4</v>
      </c>
      <c r="F5770" s="25">
        <v>1.2407E-4</v>
      </c>
      <c r="G5770" s="25">
        <v>1.1349999999999999E-4</v>
      </c>
      <c r="H5770" s="25">
        <v>1.3770000000000001E-4</v>
      </c>
      <c r="I5770" s="9">
        <v>8.6899999999999998E-5</v>
      </c>
      <c r="J5770" s="9">
        <v>8.8230000000000001E-5</v>
      </c>
      <c r="K5770" s="9">
        <v>2.12E-6</v>
      </c>
      <c r="L5770" s="9">
        <v>1.8119999999999999E-5</v>
      </c>
      <c r="M5770" s="9">
        <v>4.8659999999999998E-5</v>
      </c>
      <c r="N5770" s="9">
        <v>7.1370000000000003E-5</v>
      </c>
      <c r="O5770" s="9">
        <v>4.6730000000000002E-5</v>
      </c>
      <c r="P5770" s="9">
        <v>7.7509999999999995E-5</v>
      </c>
      <c r="Q5770" s="9">
        <v>1.0793000000000001E-4</v>
      </c>
      <c r="R5770" s="10">
        <v>4.3931533428694808E-5</v>
      </c>
      <c r="S5770" s="10">
        <v>7.645143967342987E-5</v>
      </c>
      <c r="T5770" s="10">
        <v>3.7670289114632779E-6</v>
      </c>
      <c r="U5770" s="10">
        <v>7.3239999999999997E-5</v>
      </c>
      <c r="V5770" s="25"/>
      <c r="W5770" s="25"/>
      <c r="X5770" s="25"/>
      <c r="Y5770" s="25"/>
      <c r="Z5770" s="25"/>
      <c r="AA5770" s="25"/>
    </row>
    <row r="5771" spans="1:27" x14ac:dyDescent="0.35">
      <c r="A5771" s="5">
        <v>5767</v>
      </c>
      <c r="B5771" s="5">
        <v>241</v>
      </c>
      <c r="C5771" s="5">
        <v>8</v>
      </c>
      <c r="D5771" s="25">
        <v>1.1416E-4</v>
      </c>
      <c r="E5771" s="25">
        <v>1.1215E-4</v>
      </c>
      <c r="F5771" s="25">
        <v>1.2851E-4</v>
      </c>
      <c r="G5771" s="25">
        <v>1.1187E-4</v>
      </c>
      <c r="H5771" s="25">
        <v>1.3564999999999999E-4</v>
      </c>
      <c r="I5771" s="9">
        <v>8.7529999999999997E-5</v>
      </c>
      <c r="J5771" s="9">
        <v>8.8999999999999995E-5</v>
      </c>
      <c r="K5771" s="9">
        <v>0</v>
      </c>
      <c r="L5771" s="9">
        <v>4.0290000000000002E-5</v>
      </c>
      <c r="M5771" s="9">
        <v>6.0470000000000002E-5</v>
      </c>
      <c r="N5771" s="9">
        <v>8.1219999999999998E-5</v>
      </c>
      <c r="O5771" s="9">
        <v>1.2253000000000001E-4</v>
      </c>
      <c r="P5771" s="9">
        <v>1.1711E-4</v>
      </c>
      <c r="Q5771" s="9">
        <v>1.1218999999999999E-4</v>
      </c>
      <c r="R5771" s="10">
        <v>5.002952294491976E-5</v>
      </c>
      <c r="S5771" s="10">
        <v>6.9661200348148942E-5</v>
      </c>
      <c r="T5771" s="10">
        <v>8.721859731946508E-5</v>
      </c>
      <c r="U5771" s="10">
        <v>7.3239999999999997E-5</v>
      </c>
      <c r="V5771" s="25"/>
      <c r="W5771" s="25"/>
      <c r="X5771" s="25"/>
      <c r="Y5771" s="25"/>
      <c r="Z5771" s="25"/>
      <c r="AA5771" s="25"/>
    </row>
    <row r="5772" spans="1:27" x14ac:dyDescent="0.35">
      <c r="A5772" s="5">
        <v>5768</v>
      </c>
      <c r="B5772" s="5">
        <v>241</v>
      </c>
      <c r="C5772" s="5">
        <v>8</v>
      </c>
      <c r="D5772" s="25">
        <v>1.1415000000000001E-4</v>
      </c>
      <c r="E5772" s="25">
        <v>1.1378E-4</v>
      </c>
      <c r="F5772" s="25">
        <v>1.1917999999999999E-4</v>
      </c>
      <c r="G5772" s="25">
        <v>1.5893E-4</v>
      </c>
      <c r="H5772" s="25">
        <v>2.0233999999999999E-4</v>
      </c>
      <c r="I5772" s="9">
        <v>8.8949999999999994E-5</v>
      </c>
      <c r="J5772" s="9">
        <v>9.3579999999999995E-5</v>
      </c>
      <c r="K5772" s="9">
        <v>0</v>
      </c>
      <c r="L5772" s="9">
        <v>1.0382000000000001E-4</v>
      </c>
      <c r="M5772" s="9">
        <v>8.3910000000000001E-5</v>
      </c>
      <c r="N5772" s="9">
        <v>9.1199999999999994E-5</v>
      </c>
      <c r="O5772" s="9">
        <v>2.1944999999999999E-4</v>
      </c>
      <c r="P5772" s="9">
        <v>1.7762E-4</v>
      </c>
      <c r="Q5772" s="9">
        <v>1.3721E-4</v>
      </c>
      <c r="R5772" s="10">
        <v>4.9712580089927063E-5</v>
      </c>
      <c r="S5772" s="10">
        <v>6.9115386689648406E-5</v>
      </c>
      <c r="T5772" s="10">
        <v>2.6663607567692886E-4</v>
      </c>
      <c r="U5772" s="10">
        <v>7.3239999999999997E-5</v>
      </c>
      <c r="V5772" s="25"/>
      <c r="W5772" s="25"/>
      <c r="X5772" s="25"/>
      <c r="Y5772" s="25"/>
      <c r="Z5772" s="25"/>
      <c r="AA5772" s="25"/>
    </row>
    <row r="5773" spans="1:27" x14ac:dyDescent="0.35">
      <c r="A5773" s="5">
        <v>5769</v>
      </c>
      <c r="B5773" s="5">
        <v>241</v>
      </c>
      <c r="C5773" s="5">
        <v>8</v>
      </c>
      <c r="D5773" s="25">
        <v>1.1416E-4</v>
      </c>
      <c r="E5773" s="25">
        <v>1.1293E-4</v>
      </c>
      <c r="F5773" s="25">
        <v>1.2035E-4</v>
      </c>
      <c r="G5773" s="25">
        <v>1.6374E-4</v>
      </c>
      <c r="H5773" s="25">
        <v>1.9657999999999999E-4</v>
      </c>
      <c r="I5773" s="9">
        <v>8.8770000000000006E-5</v>
      </c>
      <c r="J5773" s="9">
        <v>9.9339999999999994E-5</v>
      </c>
      <c r="K5773" s="9">
        <v>0</v>
      </c>
      <c r="L5773" s="9">
        <v>1.9227E-4</v>
      </c>
      <c r="M5773" s="9">
        <v>1.2369E-4</v>
      </c>
      <c r="N5773" s="9">
        <v>1.0497000000000001E-4</v>
      </c>
      <c r="O5773" s="9">
        <v>2.1118999999999999E-4</v>
      </c>
      <c r="P5773" s="9">
        <v>1.9387000000000001E-4</v>
      </c>
      <c r="Q5773" s="9">
        <v>1.7755000000000001E-4</v>
      </c>
      <c r="R5773" s="10">
        <v>4.026061900888166E-5</v>
      </c>
      <c r="S5773" s="10">
        <v>7.8100779349273174E-5</v>
      </c>
      <c r="T5773" s="10">
        <v>4.2622574645310963E-4</v>
      </c>
      <c r="U5773" s="10">
        <v>7.3239999999999997E-5</v>
      </c>
      <c r="V5773" s="25"/>
      <c r="W5773" s="25"/>
      <c r="X5773" s="25"/>
      <c r="Y5773" s="25"/>
      <c r="Z5773" s="25"/>
      <c r="AA5773" s="25"/>
    </row>
    <row r="5774" spans="1:27" x14ac:dyDescent="0.35">
      <c r="A5774" s="5">
        <v>5770</v>
      </c>
      <c r="B5774" s="5">
        <v>241</v>
      </c>
      <c r="C5774" s="5">
        <v>8</v>
      </c>
      <c r="D5774" s="25">
        <v>1.1415000000000001E-4</v>
      </c>
      <c r="E5774" s="25">
        <v>1.2182E-4</v>
      </c>
      <c r="F5774" s="25">
        <v>1.1123E-4</v>
      </c>
      <c r="G5774" s="25">
        <v>1.6745E-4</v>
      </c>
      <c r="H5774" s="25">
        <v>1.9563999999999999E-4</v>
      </c>
      <c r="I5774" s="9">
        <v>8.8259999999999999E-5</v>
      </c>
      <c r="J5774" s="9">
        <v>1.0186E-4</v>
      </c>
      <c r="K5774" s="9">
        <v>0</v>
      </c>
      <c r="L5774" s="9">
        <v>2.0471000000000001E-4</v>
      </c>
      <c r="M5774" s="9">
        <v>1.5904999999999999E-4</v>
      </c>
      <c r="N5774" s="9">
        <v>1.2505E-4</v>
      </c>
      <c r="O5774" s="9">
        <v>1.6629000000000001E-4</v>
      </c>
      <c r="P5774" s="9">
        <v>1.7384E-4</v>
      </c>
      <c r="Q5774" s="9">
        <v>1.8183000000000001E-4</v>
      </c>
      <c r="R5774" s="10">
        <v>1.9687027761017914E-5</v>
      </c>
      <c r="S5774" s="10">
        <v>8.6546305389446039E-5</v>
      </c>
      <c r="T5774" s="10">
        <v>5.31498932789678E-4</v>
      </c>
      <c r="U5774" s="10">
        <v>7.3239999999999997E-5</v>
      </c>
      <c r="V5774" s="25"/>
      <c r="W5774" s="25"/>
      <c r="X5774" s="25"/>
      <c r="Y5774" s="25"/>
      <c r="Z5774" s="25"/>
      <c r="AA5774" s="25"/>
    </row>
    <row r="5775" spans="1:27" x14ac:dyDescent="0.35">
      <c r="A5775" s="5">
        <v>5771</v>
      </c>
      <c r="B5775" s="5">
        <v>241</v>
      </c>
      <c r="C5775" s="5">
        <v>8</v>
      </c>
      <c r="D5775" s="25">
        <v>1.1416E-4</v>
      </c>
      <c r="E5775" s="25">
        <v>1.1239E-4</v>
      </c>
      <c r="F5775" s="25">
        <v>1.1548E-4</v>
      </c>
      <c r="G5775" s="25">
        <v>1.6538999999999999E-4</v>
      </c>
      <c r="H5775" s="25">
        <v>1.9521E-4</v>
      </c>
      <c r="I5775" s="9">
        <v>8.9240000000000006E-5</v>
      </c>
      <c r="J5775" s="9">
        <v>1.0370999999999999E-4</v>
      </c>
      <c r="K5775" s="9">
        <v>0</v>
      </c>
      <c r="L5775" s="9">
        <v>1.7480999999999999E-4</v>
      </c>
      <c r="M5775" s="9">
        <v>1.7257000000000001E-4</v>
      </c>
      <c r="N5775" s="9">
        <v>1.4296E-4</v>
      </c>
      <c r="O5775" s="9">
        <v>1.6626E-4</v>
      </c>
      <c r="P5775" s="9">
        <v>1.7244999999999999E-4</v>
      </c>
      <c r="Q5775" s="9">
        <v>1.7912000000000001E-4</v>
      </c>
      <c r="R5775" s="10">
        <v>9.5499529646982111E-6</v>
      </c>
      <c r="S5775" s="10">
        <v>8.9735590941981337E-5</v>
      </c>
      <c r="T5775" s="10">
        <v>6.3989434128709885E-4</v>
      </c>
      <c r="U5775" s="10">
        <v>7.3239999999999997E-5</v>
      </c>
      <c r="V5775" s="25"/>
      <c r="W5775" s="25"/>
      <c r="X5775" s="25"/>
      <c r="Y5775" s="25"/>
      <c r="Z5775" s="25"/>
      <c r="AA5775" s="25"/>
    </row>
    <row r="5776" spans="1:27" x14ac:dyDescent="0.35">
      <c r="A5776" s="5">
        <v>5772</v>
      </c>
      <c r="B5776" s="5">
        <v>241</v>
      </c>
      <c r="C5776" s="5">
        <v>8</v>
      </c>
      <c r="D5776" s="25">
        <v>1.1415000000000001E-4</v>
      </c>
      <c r="E5776" s="25">
        <v>1.1930999999999999E-4</v>
      </c>
      <c r="F5776" s="25">
        <v>1.1387000000000001E-4</v>
      </c>
      <c r="G5776" s="25">
        <v>1.6468E-4</v>
      </c>
      <c r="H5776" s="25">
        <v>1.9937000000000001E-4</v>
      </c>
      <c r="I5776" s="9">
        <v>8.852E-5</v>
      </c>
      <c r="J5776" s="9">
        <v>1.0497000000000001E-4</v>
      </c>
      <c r="K5776" s="9">
        <v>0</v>
      </c>
      <c r="L5776" s="9">
        <v>1.6956999999999999E-4</v>
      </c>
      <c r="M5776" s="9">
        <v>1.7478E-4</v>
      </c>
      <c r="N5776" s="9">
        <v>1.5686000000000001E-4</v>
      </c>
      <c r="O5776" s="9">
        <v>1.6752E-4</v>
      </c>
      <c r="P5776" s="9">
        <v>1.6961999999999999E-4</v>
      </c>
      <c r="Q5776" s="9">
        <v>1.7226000000000001E-4</v>
      </c>
      <c r="R5776" s="10">
        <v>1.2430517540897046E-5</v>
      </c>
      <c r="S5776" s="10">
        <v>6.9282853121304237E-5</v>
      </c>
      <c r="T5776" s="10">
        <v>6.6790101344191928E-4</v>
      </c>
      <c r="U5776" s="10">
        <v>7.3239999999999997E-5</v>
      </c>
      <c r="V5776" s="25"/>
      <c r="W5776" s="25"/>
      <c r="X5776" s="25"/>
      <c r="Y5776" s="25"/>
      <c r="Z5776" s="25"/>
      <c r="AA5776" s="25"/>
    </row>
    <row r="5777" spans="1:27" x14ac:dyDescent="0.35">
      <c r="A5777" s="5">
        <v>5773</v>
      </c>
      <c r="B5777" s="5">
        <v>241</v>
      </c>
      <c r="C5777" s="5">
        <v>8</v>
      </c>
      <c r="D5777" s="25">
        <v>1.1416E-4</v>
      </c>
      <c r="E5777" s="25">
        <v>1.1671999999999999E-4</v>
      </c>
      <c r="F5777" s="25">
        <v>1.1012E-4</v>
      </c>
      <c r="G5777" s="25">
        <v>1.6589999999999999E-4</v>
      </c>
      <c r="H5777" s="25">
        <v>2.0033E-4</v>
      </c>
      <c r="I5777" s="9">
        <v>8.3839999999999997E-5</v>
      </c>
      <c r="J5777" s="9">
        <v>1.0424E-4</v>
      </c>
      <c r="K5777" s="9">
        <v>0</v>
      </c>
      <c r="L5777" s="9">
        <v>1.6814E-4</v>
      </c>
      <c r="M5777" s="9">
        <v>1.7301E-4</v>
      </c>
      <c r="N5777" s="9">
        <v>1.6584999999999999E-4</v>
      </c>
      <c r="O5777" s="9">
        <v>1.6022000000000001E-4</v>
      </c>
      <c r="P5777" s="9">
        <v>1.6310000000000001E-4</v>
      </c>
      <c r="Q5777" s="9">
        <v>1.6647999999999999E-4</v>
      </c>
      <c r="R5777" s="10">
        <v>1.2259677676014889E-5</v>
      </c>
      <c r="S5777" s="10">
        <v>6.9256698850617894E-5</v>
      </c>
      <c r="T5777" s="10">
        <v>6.6774829605361664E-4</v>
      </c>
      <c r="U5777" s="10">
        <v>7.3239999999999997E-5</v>
      </c>
      <c r="V5777" s="25"/>
      <c r="W5777" s="25"/>
      <c r="X5777" s="25"/>
      <c r="Y5777" s="25"/>
      <c r="Z5777" s="25"/>
      <c r="AA5777" s="25"/>
    </row>
    <row r="5778" spans="1:27" x14ac:dyDescent="0.35">
      <c r="A5778" s="5">
        <v>5774</v>
      </c>
      <c r="B5778" s="5">
        <v>241</v>
      </c>
      <c r="C5778" s="5">
        <v>8</v>
      </c>
      <c r="D5778" s="25">
        <v>1.1415000000000001E-4</v>
      </c>
      <c r="E5778" s="25">
        <v>1.1658E-4</v>
      </c>
      <c r="F5778" s="25">
        <v>1.3069000000000001E-4</v>
      </c>
      <c r="G5778" s="25">
        <v>1.6536E-4</v>
      </c>
      <c r="H5778" s="25">
        <v>1.8963000000000001E-4</v>
      </c>
      <c r="I5778" s="9">
        <v>8.3059999999999994E-5</v>
      </c>
      <c r="J5778" s="9">
        <v>1.0168E-4</v>
      </c>
      <c r="K5778" s="9">
        <v>0</v>
      </c>
      <c r="L5778" s="9">
        <v>1.6174000000000001E-4</v>
      </c>
      <c r="M5778" s="9">
        <v>1.6894999999999999E-4</v>
      </c>
      <c r="N5778" s="9">
        <v>1.6991E-4</v>
      </c>
      <c r="O5778" s="9">
        <v>1.7838000000000001E-4</v>
      </c>
      <c r="P5778" s="9">
        <v>1.6956999999999999E-4</v>
      </c>
      <c r="Q5778" s="9">
        <v>1.6150999999999999E-4</v>
      </c>
      <c r="R5778" s="10">
        <v>1.3818699715741739E-5</v>
      </c>
      <c r="S5778" s="10">
        <v>6.7847526402990942E-5</v>
      </c>
      <c r="T5778" s="10">
        <v>6.2799935359819897E-4</v>
      </c>
      <c r="U5778" s="10">
        <v>7.3239999999999997E-5</v>
      </c>
      <c r="V5778" s="25"/>
      <c r="W5778" s="25"/>
      <c r="X5778" s="25"/>
      <c r="Y5778" s="25"/>
      <c r="Z5778" s="25"/>
      <c r="AA5778" s="25"/>
    </row>
    <row r="5779" spans="1:27" x14ac:dyDescent="0.35">
      <c r="A5779" s="5">
        <v>5775</v>
      </c>
      <c r="B5779" s="5">
        <v>241</v>
      </c>
      <c r="C5779" s="5">
        <v>8</v>
      </c>
      <c r="D5779" s="25">
        <v>1.1416E-4</v>
      </c>
      <c r="E5779" s="25">
        <v>1.1336E-4</v>
      </c>
      <c r="F5779" s="25">
        <v>1.2699E-4</v>
      </c>
      <c r="G5779" s="25">
        <v>1.6354999999999999E-4</v>
      </c>
      <c r="H5779" s="25">
        <v>1.9959000000000001E-4</v>
      </c>
      <c r="I5779" s="9">
        <v>8.2589999999999994E-5</v>
      </c>
      <c r="J5779" s="9">
        <v>1.0093E-4</v>
      </c>
      <c r="K5779" s="9">
        <v>0</v>
      </c>
      <c r="L5779" s="9">
        <v>1.7487000000000001E-4</v>
      </c>
      <c r="M5779" s="9">
        <v>1.6804999999999999E-4</v>
      </c>
      <c r="N5779" s="9">
        <v>1.6959000000000001E-4</v>
      </c>
      <c r="O5779" s="9">
        <v>1.8340000000000001E-4</v>
      </c>
      <c r="P5779" s="9">
        <v>1.6778E-4</v>
      </c>
      <c r="Q5779" s="9">
        <v>1.5304000000000001E-4</v>
      </c>
      <c r="R5779" s="10">
        <v>8.8310200658382417E-6</v>
      </c>
      <c r="S5779" s="10">
        <v>6.5651912850887462E-5</v>
      </c>
      <c r="T5779" s="10">
        <v>5.3522354020439059E-4</v>
      </c>
      <c r="U5779" s="10">
        <v>7.3239999999999997E-5</v>
      </c>
      <c r="V5779" s="25"/>
      <c r="W5779" s="25"/>
      <c r="X5779" s="25"/>
      <c r="Y5779" s="25"/>
      <c r="Z5779" s="25"/>
      <c r="AA5779" s="25"/>
    </row>
    <row r="5780" spans="1:27" x14ac:dyDescent="0.35">
      <c r="A5780" s="5">
        <v>5776</v>
      </c>
      <c r="B5780" s="5">
        <v>241</v>
      </c>
      <c r="C5780" s="5">
        <v>8</v>
      </c>
      <c r="D5780" s="25">
        <v>1.1415000000000001E-4</v>
      </c>
      <c r="E5780" s="25">
        <v>1.2119E-4</v>
      </c>
      <c r="F5780" s="25">
        <v>1.1477E-4</v>
      </c>
      <c r="G5780" s="25">
        <v>1.6127000000000001E-4</v>
      </c>
      <c r="H5780" s="25">
        <v>1.9565000000000001E-4</v>
      </c>
      <c r="I5780" s="9">
        <v>8.4690000000000004E-5</v>
      </c>
      <c r="J5780" s="9">
        <v>1.0184E-4</v>
      </c>
      <c r="K5780" s="9">
        <v>0</v>
      </c>
      <c r="L5780" s="9">
        <v>1.8117E-4</v>
      </c>
      <c r="M5780" s="9">
        <v>1.6783E-4</v>
      </c>
      <c r="N5780" s="9">
        <v>1.6588E-4</v>
      </c>
      <c r="O5780" s="9">
        <v>1.9841999999999999E-4</v>
      </c>
      <c r="P5780" s="9">
        <v>1.5391999999999999E-4</v>
      </c>
      <c r="Q5780" s="9">
        <v>1.1082E-4</v>
      </c>
      <c r="R5780" s="10">
        <v>4.1415519866743276E-6</v>
      </c>
      <c r="S5780" s="10">
        <v>5.7784100925451638E-5</v>
      </c>
      <c r="T5780" s="10">
        <v>4.1159033007411375E-4</v>
      </c>
      <c r="U5780" s="10">
        <v>7.3239999999999997E-5</v>
      </c>
      <c r="V5780" s="25"/>
      <c r="W5780" s="25"/>
      <c r="X5780" s="25"/>
      <c r="Y5780" s="25"/>
      <c r="Z5780" s="25"/>
      <c r="AA5780" s="25"/>
    </row>
    <row r="5781" spans="1:27" x14ac:dyDescent="0.35">
      <c r="A5781" s="5">
        <v>5777</v>
      </c>
      <c r="B5781" s="5">
        <v>241</v>
      </c>
      <c r="C5781" s="5">
        <v>8</v>
      </c>
      <c r="D5781" s="25">
        <v>1.1416E-4</v>
      </c>
      <c r="E5781" s="25">
        <v>1.1205E-4</v>
      </c>
      <c r="F5781" s="25">
        <v>1.2737999999999999E-4</v>
      </c>
      <c r="G5781" s="25">
        <v>1.5898999999999999E-4</v>
      </c>
      <c r="H5781" s="25">
        <v>1.9945E-4</v>
      </c>
      <c r="I5781" s="9">
        <v>8.9079999999999994E-5</v>
      </c>
      <c r="J5781" s="9">
        <v>1.0545E-4</v>
      </c>
      <c r="K5781" s="9">
        <v>0</v>
      </c>
      <c r="L5781" s="9">
        <v>1.9440000000000001E-4</v>
      </c>
      <c r="M5781" s="9">
        <v>1.6286E-4</v>
      </c>
      <c r="N5781" s="9">
        <v>1.5249E-4</v>
      </c>
      <c r="O5781" s="9">
        <v>2.1413000000000001E-4</v>
      </c>
      <c r="P5781" s="9">
        <v>1.6012000000000001E-4</v>
      </c>
      <c r="Q5781" s="9">
        <v>1.077E-4</v>
      </c>
      <c r="R5781" s="10">
        <v>1.5516495731525287E-6</v>
      </c>
      <c r="S5781" s="10">
        <v>5.1525446819688696E-5</v>
      </c>
      <c r="T5781" s="10">
        <v>2.6248725329470915E-4</v>
      </c>
      <c r="U5781" s="10">
        <v>7.3239999999999997E-5</v>
      </c>
      <c r="V5781" s="25"/>
      <c r="W5781" s="25"/>
      <c r="X5781" s="25"/>
      <c r="Y5781" s="25"/>
      <c r="Z5781" s="25"/>
      <c r="AA5781" s="25"/>
    </row>
    <row r="5782" spans="1:27" x14ac:dyDescent="0.35">
      <c r="A5782" s="5">
        <v>5778</v>
      </c>
      <c r="B5782" s="5">
        <v>241</v>
      </c>
      <c r="C5782" s="5">
        <v>8</v>
      </c>
      <c r="D5782" s="25">
        <v>1.1415000000000001E-4</v>
      </c>
      <c r="E5782" s="25">
        <v>1.1205999999999999E-4</v>
      </c>
      <c r="F5782" s="25">
        <v>1.119E-4</v>
      </c>
      <c r="G5782" s="25">
        <v>1.6182999999999999E-4</v>
      </c>
      <c r="H5782" s="25">
        <v>2.0128E-4</v>
      </c>
      <c r="I5782" s="9">
        <v>9.4279999999999999E-5</v>
      </c>
      <c r="J5782" s="9">
        <v>1.069E-4</v>
      </c>
      <c r="K5782" s="9">
        <v>0</v>
      </c>
      <c r="L5782" s="9">
        <v>2.0952000000000001E-4</v>
      </c>
      <c r="M5782" s="9">
        <v>1.6046999999999999E-4</v>
      </c>
      <c r="N5782" s="9">
        <v>1.3939000000000001E-4</v>
      </c>
      <c r="O5782" s="9">
        <v>2.0620999999999999E-4</v>
      </c>
      <c r="P5782" s="9">
        <v>1.6173000000000001E-4</v>
      </c>
      <c r="Q5782" s="9">
        <v>1.1866000000000001E-4</v>
      </c>
      <c r="R5782" s="10">
        <v>6.4808107104972638E-7</v>
      </c>
      <c r="S5782" s="10">
        <v>4.9154921295434931E-5</v>
      </c>
      <c r="T5782" s="10">
        <v>8.2501326880785828E-5</v>
      </c>
      <c r="U5782" s="10">
        <v>7.3239999999999997E-5</v>
      </c>
      <c r="V5782" s="25"/>
      <c r="W5782" s="25"/>
      <c r="X5782" s="25"/>
      <c r="Y5782" s="25"/>
      <c r="Z5782" s="25"/>
      <c r="AA5782" s="25"/>
    </row>
    <row r="5783" spans="1:27" x14ac:dyDescent="0.35">
      <c r="A5783" s="5">
        <v>5779</v>
      </c>
      <c r="B5783" s="5">
        <v>241</v>
      </c>
      <c r="C5783" s="5">
        <v>8</v>
      </c>
      <c r="D5783" s="25">
        <v>1.1416E-4</v>
      </c>
      <c r="E5783" s="25">
        <v>1.1502000000000001E-4</v>
      </c>
      <c r="F5783" s="25">
        <v>1.1969E-4</v>
      </c>
      <c r="G5783" s="25">
        <v>1.0912999999999999E-4</v>
      </c>
      <c r="H5783" s="25">
        <v>1.3755000000000001E-4</v>
      </c>
      <c r="I5783" s="9">
        <v>9.9060000000000004E-5</v>
      </c>
      <c r="J5783" s="9">
        <v>1.0726999999999999E-4</v>
      </c>
      <c r="K5783" s="9">
        <v>0</v>
      </c>
      <c r="L5783" s="9">
        <v>2.0655000000000001E-4</v>
      </c>
      <c r="M5783" s="9">
        <v>1.6045E-4</v>
      </c>
      <c r="N5783" s="9">
        <v>1.3059000000000001E-4</v>
      </c>
      <c r="O5783" s="9">
        <v>1.6233E-4</v>
      </c>
      <c r="P5783" s="9">
        <v>1.3374E-4</v>
      </c>
      <c r="Q5783" s="9">
        <v>1.0615000000000001E-4</v>
      </c>
      <c r="R5783" s="10">
        <v>3.8130027244588076E-6</v>
      </c>
      <c r="S5783" s="10">
        <v>4.414279684543756E-5</v>
      </c>
      <c r="T5783" s="10">
        <v>4.0215578919675534E-6</v>
      </c>
      <c r="U5783" s="10">
        <v>7.3239999999999997E-5</v>
      </c>
      <c r="V5783" s="25"/>
      <c r="W5783" s="25"/>
      <c r="X5783" s="25"/>
      <c r="Y5783" s="25"/>
      <c r="Z5783" s="25"/>
      <c r="AA5783" s="25"/>
    </row>
    <row r="5784" spans="1:27" x14ac:dyDescent="0.35">
      <c r="A5784" s="5">
        <v>5780</v>
      </c>
      <c r="B5784" s="5">
        <v>241</v>
      </c>
      <c r="C5784" s="5">
        <v>8</v>
      </c>
      <c r="D5784" s="25">
        <v>1.1415000000000001E-4</v>
      </c>
      <c r="E5784" s="25">
        <v>1.2157E-4</v>
      </c>
      <c r="F5784" s="25">
        <v>1.1272E-4</v>
      </c>
      <c r="G5784" s="25">
        <v>1.0647E-4</v>
      </c>
      <c r="H5784" s="25">
        <v>1.3845E-4</v>
      </c>
      <c r="I5784" s="9">
        <v>1.0247999999999999E-4</v>
      </c>
      <c r="J5784" s="9">
        <v>1.0822E-4</v>
      </c>
      <c r="K5784" s="9">
        <v>2.12E-6</v>
      </c>
      <c r="L5784" s="9">
        <v>1.7222E-4</v>
      </c>
      <c r="M5784" s="9">
        <v>1.5097999999999999E-4</v>
      </c>
      <c r="N5784" s="9">
        <v>1.2124E-4</v>
      </c>
      <c r="O5784" s="9">
        <v>1.2899E-4</v>
      </c>
      <c r="P5784" s="9">
        <v>1.1533E-4</v>
      </c>
      <c r="Q5784" s="9">
        <v>1.0230000000000001E-4</v>
      </c>
      <c r="R5784" s="10">
        <v>2.6473656322765726E-5</v>
      </c>
      <c r="S5784" s="10">
        <v>3.4518441121726417E-5</v>
      </c>
      <c r="T5784" s="10">
        <v>0</v>
      </c>
      <c r="U5784" s="10">
        <v>7.3239999999999997E-5</v>
      </c>
      <c r="V5784" s="25"/>
      <c r="W5784" s="25"/>
      <c r="X5784" s="25"/>
      <c r="Y5784" s="25"/>
      <c r="Z5784" s="25"/>
      <c r="AA5784" s="25"/>
    </row>
    <row r="5785" spans="1:27" x14ac:dyDescent="0.35">
      <c r="A5785" s="5">
        <v>5781</v>
      </c>
      <c r="B5785" s="5">
        <v>241</v>
      </c>
      <c r="C5785" s="5">
        <v>8</v>
      </c>
      <c r="D5785" s="25">
        <v>1.1416E-4</v>
      </c>
      <c r="E5785" s="25">
        <v>1.2119E-4</v>
      </c>
      <c r="F5785" s="25">
        <v>1.1912E-4</v>
      </c>
      <c r="G5785" s="25">
        <v>5.325E-5</v>
      </c>
      <c r="H5785" s="25">
        <v>7.1730000000000006E-5</v>
      </c>
      <c r="I5785" s="9">
        <v>1.0653E-4</v>
      </c>
      <c r="J5785" s="9">
        <v>1.1004E-4</v>
      </c>
      <c r="K5785" s="9">
        <v>2.544E-5</v>
      </c>
      <c r="L5785" s="9">
        <v>1.3955E-4</v>
      </c>
      <c r="M5785" s="9">
        <v>1.3548E-4</v>
      </c>
      <c r="N5785" s="9">
        <v>1.1357E-4</v>
      </c>
      <c r="O5785" s="9">
        <v>8.4250000000000001E-5</v>
      </c>
      <c r="P5785" s="9">
        <v>8.6009999999999998E-5</v>
      </c>
      <c r="Q5785" s="9">
        <v>8.7999999999999998E-5</v>
      </c>
      <c r="R5785" s="10">
        <v>5.4184397321960172E-5</v>
      </c>
      <c r="S5785" s="10">
        <v>3.3541635115748936E-5</v>
      </c>
      <c r="T5785" s="10">
        <v>0</v>
      </c>
      <c r="U5785" s="10">
        <v>7.3239999999999997E-5</v>
      </c>
      <c r="V5785" s="25"/>
      <c r="W5785" s="25"/>
      <c r="X5785" s="25"/>
      <c r="Y5785" s="25"/>
      <c r="Z5785" s="25"/>
      <c r="AA5785" s="25"/>
    </row>
    <row r="5786" spans="1:27" x14ac:dyDescent="0.35">
      <c r="A5786" s="5">
        <v>5782</v>
      </c>
      <c r="B5786" s="5">
        <v>241</v>
      </c>
      <c r="C5786" s="5">
        <v>8</v>
      </c>
      <c r="D5786" s="25">
        <v>1.1415000000000001E-4</v>
      </c>
      <c r="E5786" s="25">
        <v>1.2029E-4</v>
      </c>
      <c r="F5786" s="25">
        <v>1.2323E-4</v>
      </c>
      <c r="G5786" s="25">
        <v>5.5179999999999997E-5</v>
      </c>
      <c r="H5786" s="25">
        <v>7.3200000000000004E-5</v>
      </c>
      <c r="I5786" s="9">
        <v>1.0281E-4</v>
      </c>
      <c r="J5786" s="9">
        <v>1.0631E-4</v>
      </c>
      <c r="K5786" s="9">
        <v>4.8749999999999999E-5</v>
      </c>
      <c r="L5786" s="9">
        <v>9.7310000000000002E-5</v>
      </c>
      <c r="M5786" s="9">
        <v>1.1370999999999999E-4</v>
      </c>
      <c r="N5786" s="9">
        <v>1.0577999999999999E-4</v>
      </c>
      <c r="O5786" s="9">
        <v>8.742E-5</v>
      </c>
      <c r="P5786" s="9">
        <v>8.7810000000000001E-5</v>
      </c>
      <c r="Q5786" s="9">
        <v>8.8460000000000003E-5</v>
      </c>
      <c r="R5786" s="10">
        <v>6.4272629711506501E-5</v>
      </c>
      <c r="S5786" s="10">
        <v>3.7435134409770243E-5</v>
      </c>
      <c r="T5786" s="10">
        <v>0</v>
      </c>
      <c r="U5786" s="10">
        <v>7.3239999999999997E-5</v>
      </c>
      <c r="V5786" s="25"/>
      <c r="W5786" s="25"/>
      <c r="X5786" s="25"/>
      <c r="Y5786" s="25"/>
      <c r="Z5786" s="25"/>
      <c r="AA5786" s="25"/>
    </row>
    <row r="5787" spans="1:27" x14ac:dyDescent="0.35">
      <c r="A5787" s="5">
        <v>5783</v>
      </c>
      <c r="B5787" s="5">
        <v>241</v>
      </c>
      <c r="C5787" s="5">
        <v>8</v>
      </c>
      <c r="D5787" s="25">
        <v>1.1416E-4</v>
      </c>
      <c r="E5787" s="25">
        <v>1.2032999999999999E-4</v>
      </c>
      <c r="F5787" s="25">
        <v>1.183E-4</v>
      </c>
      <c r="G5787" s="25">
        <v>5.4540000000000003E-5</v>
      </c>
      <c r="H5787" s="25">
        <v>6.8449999999999997E-5</v>
      </c>
      <c r="I5787" s="9">
        <v>9.747E-5</v>
      </c>
      <c r="J5787" s="9">
        <v>1.0068000000000001E-4</v>
      </c>
      <c r="K5787" s="9">
        <v>5.5109999999999999E-5</v>
      </c>
      <c r="L5787" s="9">
        <v>9.0519999999999994E-5</v>
      </c>
      <c r="M5787" s="9">
        <v>9.9060000000000004E-5</v>
      </c>
      <c r="N5787" s="9">
        <v>9.9920000000000006E-5</v>
      </c>
      <c r="O5787" s="9">
        <v>7.8529999999999995E-5</v>
      </c>
      <c r="P5787" s="9">
        <v>7.2890000000000002E-5</v>
      </c>
      <c r="Q5787" s="9">
        <v>6.7589999999999995E-5</v>
      </c>
      <c r="R5787" s="10">
        <v>6.5839745382973935E-5</v>
      </c>
      <c r="S5787" s="10">
        <v>3.9220132788417652E-5</v>
      </c>
      <c r="T5787" s="10">
        <v>0</v>
      </c>
      <c r="U5787" s="10">
        <v>7.3239999999999997E-5</v>
      </c>
      <c r="V5787" s="25"/>
      <c r="W5787" s="25"/>
      <c r="X5787" s="25"/>
      <c r="Y5787" s="25"/>
      <c r="Z5787" s="25"/>
      <c r="AA5787" s="25"/>
    </row>
    <row r="5788" spans="1:27" x14ac:dyDescent="0.35">
      <c r="A5788" s="5">
        <v>5784</v>
      </c>
      <c r="B5788" s="5">
        <v>241</v>
      </c>
      <c r="C5788" s="5">
        <v>8</v>
      </c>
      <c r="D5788" s="25">
        <v>1.1415000000000001E-4</v>
      </c>
      <c r="E5788" s="25">
        <v>1.1508E-4</v>
      </c>
      <c r="F5788" s="25">
        <v>1.3072E-4</v>
      </c>
      <c r="G5788" s="25">
        <v>6.2799999999999995E-5</v>
      </c>
      <c r="H5788" s="25">
        <v>7.0019999999999997E-5</v>
      </c>
      <c r="I5788" s="9">
        <v>9.1970000000000002E-5</v>
      </c>
      <c r="J5788" s="9">
        <v>9.4920000000000006E-5</v>
      </c>
      <c r="K5788" s="9">
        <v>8.0539999999999998E-5</v>
      </c>
      <c r="L5788" s="9">
        <v>8.1160000000000002E-5</v>
      </c>
      <c r="M5788" s="9">
        <v>8.6409999999999994E-5</v>
      </c>
      <c r="N5788" s="9">
        <v>9.0729999999999994E-5</v>
      </c>
      <c r="O5788" s="9">
        <v>6.2940000000000004E-5</v>
      </c>
      <c r="P5788" s="9">
        <v>6.0900000000000003E-5</v>
      </c>
      <c r="Q5788" s="9">
        <v>5.9079999999999997E-5</v>
      </c>
      <c r="R5788" s="10">
        <v>8.2320146226240044E-5</v>
      </c>
      <c r="S5788" s="10">
        <v>3.3305141661893012E-5</v>
      </c>
      <c r="T5788" s="10">
        <v>0</v>
      </c>
      <c r="U5788" s="10">
        <v>7.3239999999999997E-5</v>
      </c>
      <c r="V5788" s="25"/>
      <c r="W5788" s="25"/>
      <c r="X5788" s="25"/>
      <c r="Y5788" s="25"/>
      <c r="Z5788" s="25"/>
      <c r="AA5788" s="25"/>
    </row>
    <row r="5789" spans="1:27" x14ac:dyDescent="0.35">
      <c r="A5789" s="5">
        <v>5785</v>
      </c>
      <c r="B5789" s="5">
        <v>242</v>
      </c>
      <c r="C5789" s="5">
        <v>8</v>
      </c>
      <c r="D5789" s="25">
        <v>1.1416E-4</v>
      </c>
      <c r="E5789" s="25">
        <v>1.1436E-4</v>
      </c>
      <c r="F5789" s="25">
        <v>1.3564E-4</v>
      </c>
      <c r="G5789" s="25">
        <v>5.7290000000000002E-5</v>
      </c>
      <c r="H5789" s="25">
        <v>6.9460000000000002E-5</v>
      </c>
      <c r="I5789" s="9">
        <v>8.8590000000000004E-5</v>
      </c>
      <c r="J5789" s="9">
        <v>9.1160000000000001E-5</v>
      </c>
      <c r="K5789" s="9">
        <v>8.0530000000000003E-5</v>
      </c>
      <c r="L5789" s="9">
        <v>6.6929999999999998E-5</v>
      </c>
      <c r="M5789" s="9">
        <v>7.4339999999999996E-5</v>
      </c>
      <c r="N5789" s="9">
        <v>8.1359999999999994E-5</v>
      </c>
      <c r="O5789" s="9">
        <v>5.4660000000000002E-5</v>
      </c>
      <c r="P5789" s="9">
        <v>5.4070000000000002E-5</v>
      </c>
      <c r="Q5789" s="9">
        <v>5.3650000000000003E-5</v>
      </c>
      <c r="R5789" s="10">
        <v>7.0332392453506884E-5</v>
      </c>
      <c r="S5789" s="10">
        <v>3.7330962148193484E-5</v>
      </c>
      <c r="T5789" s="10">
        <v>0</v>
      </c>
      <c r="U5789" s="10">
        <v>7.2459999999999994E-5</v>
      </c>
      <c r="V5789" s="25"/>
      <c r="W5789" s="25"/>
      <c r="X5789" s="25"/>
      <c r="Y5789" s="25"/>
      <c r="Z5789" s="25"/>
      <c r="AA5789" s="25"/>
    </row>
    <row r="5790" spans="1:27" x14ac:dyDescent="0.35">
      <c r="A5790" s="5">
        <v>5786</v>
      </c>
      <c r="B5790" s="5">
        <v>242</v>
      </c>
      <c r="C5790" s="5">
        <v>8</v>
      </c>
      <c r="D5790" s="25">
        <v>1.1415000000000001E-4</v>
      </c>
      <c r="E5790" s="25">
        <v>1.1218E-4</v>
      </c>
      <c r="F5790" s="25">
        <v>1.1789E-4</v>
      </c>
      <c r="G5790" s="25">
        <v>5.8810000000000001E-5</v>
      </c>
      <c r="H5790" s="25">
        <v>6.4250000000000003E-5</v>
      </c>
      <c r="I5790" s="9">
        <v>8.6149999999999993E-5</v>
      </c>
      <c r="J5790" s="9">
        <v>8.9660000000000006E-5</v>
      </c>
      <c r="K5790" s="9">
        <v>8.9010000000000003E-5</v>
      </c>
      <c r="L5790" s="9">
        <v>5.7750000000000001E-5</v>
      </c>
      <c r="M5790" s="9">
        <v>6.4170000000000004E-5</v>
      </c>
      <c r="N5790" s="9">
        <v>7.2269999999999998E-5</v>
      </c>
      <c r="O5790" s="9">
        <v>1.9199999999999999E-5</v>
      </c>
      <c r="P5790" s="9">
        <v>3.8059999999999998E-5</v>
      </c>
      <c r="Q5790" s="9">
        <v>5.664E-5</v>
      </c>
      <c r="R5790" s="10">
        <v>7.5895659360609993E-5</v>
      </c>
      <c r="S5790" s="10">
        <v>3.212354885696059E-5</v>
      </c>
      <c r="T5790" s="10">
        <v>0</v>
      </c>
      <c r="U5790" s="10">
        <v>7.2459999999999994E-5</v>
      </c>
      <c r="V5790" s="25"/>
      <c r="W5790" s="25"/>
      <c r="X5790" s="25"/>
      <c r="Y5790" s="25"/>
      <c r="Z5790" s="25"/>
      <c r="AA5790" s="25"/>
    </row>
    <row r="5791" spans="1:27" x14ac:dyDescent="0.35">
      <c r="A5791" s="5">
        <v>5787</v>
      </c>
      <c r="B5791" s="5">
        <v>242</v>
      </c>
      <c r="C5791" s="5">
        <v>8</v>
      </c>
      <c r="D5791" s="25">
        <v>1.1416E-4</v>
      </c>
      <c r="E5791" s="25">
        <v>1.1894E-4</v>
      </c>
      <c r="F5791" s="25">
        <v>1.2167000000000001E-4</v>
      </c>
      <c r="G5791" s="25">
        <v>5.359E-5</v>
      </c>
      <c r="H5791" s="25">
        <v>7.1249999999999997E-5</v>
      </c>
      <c r="I5791" s="9">
        <v>8.6349999999999998E-5</v>
      </c>
      <c r="J5791" s="9">
        <v>8.9450000000000006E-5</v>
      </c>
      <c r="K5791" s="9">
        <v>1.0173E-4</v>
      </c>
      <c r="L5791" s="9">
        <v>2.7889999999999999E-5</v>
      </c>
      <c r="M5791" s="9">
        <v>5.2439999999999999E-5</v>
      </c>
      <c r="N5791" s="9">
        <v>6.5790000000000005E-5</v>
      </c>
      <c r="O5791" s="9">
        <v>1.362E-5</v>
      </c>
      <c r="P5791" s="9">
        <v>3.7849999999999998E-5</v>
      </c>
      <c r="Q5791" s="9">
        <v>6.1690000000000001E-5</v>
      </c>
      <c r="R5791" s="10">
        <v>8.4571639725285238E-5</v>
      </c>
      <c r="S5791" s="10">
        <v>2.8084222015662881E-5</v>
      </c>
      <c r="T5791" s="10">
        <v>0</v>
      </c>
      <c r="U5791" s="10">
        <v>7.2459999999999994E-5</v>
      </c>
      <c r="V5791" s="25"/>
      <c r="W5791" s="25"/>
      <c r="X5791" s="25"/>
      <c r="Y5791" s="25"/>
      <c r="Z5791" s="25"/>
      <c r="AA5791" s="25"/>
    </row>
    <row r="5792" spans="1:27" x14ac:dyDescent="0.35">
      <c r="A5792" s="5">
        <v>5788</v>
      </c>
      <c r="B5792" s="5">
        <v>242</v>
      </c>
      <c r="C5792" s="5">
        <v>8</v>
      </c>
      <c r="D5792" s="25">
        <v>1.1415000000000001E-4</v>
      </c>
      <c r="E5792" s="25">
        <v>1.1789E-4</v>
      </c>
      <c r="F5792" s="25">
        <v>1.2343E-4</v>
      </c>
      <c r="G5792" s="25">
        <v>6.0390000000000003E-5</v>
      </c>
      <c r="H5792" s="25">
        <v>7.3189999999999996E-5</v>
      </c>
      <c r="I5792" s="9">
        <v>8.7899999999999995E-5</v>
      </c>
      <c r="J5792" s="9">
        <v>9.0350000000000001E-5</v>
      </c>
      <c r="K5792" s="9">
        <v>1.0385E-4</v>
      </c>
      <c r="L5792" s="9">
        <v>1.7499999999999998E-5</v>
      </c>
      <c r="M5792" s="9">
        <v>4.4400000000000002E-5</v>
      </c>
      <c r="N5792" s="9">
        <v>6.2189999999999999E-5</v>
      </c>
      <c r="O5792" s="9">
        <v>1.3509999999999999E-5</v>
      </c>
      <c r="P5792" s="9">
        <v>4.693E-5</v>
      </c>
      <c r="Q5792" s="9">
        <v>7.9820000000000005E-5</v>
      </c>
      <c r="R5792" s="10">
        <v>8.5821818721977167E-5</v>
      </c>
      <c r="S5792" s="10">
        <v>2.5625108178759007E-5</v>
      </c>
      <c r="T5792" s="10">
        <v>0</v>
      </c>
      <c r="U5792" s="10">
        <v>7.2459999999999994E-5</v>
      </c>
      <c r="V5792" s="25"/>
      <c r="W5792" s="25"/>
      <c r="X5792" s="25"/>
      <c r="Y5792" s="25"/>
      <c r="Z5792" s="25"/>
      <c r="AA5792" s="25"/>
    </row>
    <row r="5793" spans="1:27" x14ac:dyDescent="0.35">
      <c r="A5793" s="5">
        <v>5789</v>
      </c>
      <c r="B5793" s="5">
        <v>242</v>
      </c>
      <c r="C5793" s="5">
        <v>8</v>
      </c>
      <c r="D5793" s="25">
        <v>1.1416E-4</v>
      </c>
      <c r="E5793" s="25">
        <v>1.1911E-4</v>
      </c>
      <c r="F5793" s="25">
        <v>1.3742E-4</v>
      </c>
      <c r="G5793" s="25">
        <v>5.8520000000000002E-5</v>
      </c>
      <c r="H5793" s="25">
        <v>7.5599999999999994E-5</v>
      </c>
      <c r="I5793" s="9">
        <v>9.2919999999999998E-5</v>
      </c>
      <c r="J5793" s="9">
        <v>9.3090000000000005E-5</v>
      </c>
      <c r="K5793" s="9">
        <v>9.9610000000000003E-5</v>
      </c>
      <c r="L5793" s="9">
        <v>1.464E-5</v>
      </c>
      <c r="M5793" s="9">
        <v>4.35E-5</v>
      </c>
      <c r="N5793" s="9">
        <v>6.4540000000000002E-5</v>
      </c>
      <c r="O5793" s="9">
        <v>1.9130000000000001E-5</v>
      </c>
      <c r="P5793" s="9">
        <v>5.6870000000000003E-5</v>
      </c>
      <c r="Q5793" s="9">
        <v>9.4040000000000001E-5</v>
      </c>
      <c r="R5793" s="10">
        <v>8.8308480745520726E-5</v>
      </c>
      <c r="S5793" s="10">
        <v>2.1684393234197948E-5</v>
      </c>
      <c r="T5793" s="10">
        <v>0</v>
      </c>
      <c r="U5793" s="10">
        <v>7.2459999999999994E-5</v>
      </c>
      <c r="V5793" s="25"/>
      <c r="W5793" s="25"/>
      <c r="X5793" s="25"/>
      <c r="Y5793" s="25"/>
      <c r="Z5793" s="25"/>
      <c r="AA5793" s="25"/>
    </row>
    <row r="5794" spans="1:27" x14ac:dyDescent="0.35">
      <c r="A5794" s="5">
        <v>5790</v>
      </c>
      <c r="B5794" s="5">
        <v>242</v>
      </c>
      <c r="C5794" s="5">
        <v>8</v>
      </c>
      <c r="D5794" s="25">
        <v>1.1415000000000001E-4</v>
      </c>
      <c r="E5794" s="25">
        <v>1.1601E-4</v>
      </c>
      <c r="F5794" s="25">
        <v>1.3849000000000001E-4</v>
      </c>
      <c r="G5794" s="25">
        <v>1.0730000000000001E-4</v>
      </c>
      <c r="H5794" s="25">
        <v>1.3605999999999999E-4</v>
      </c>
      <c r="I5794" s="9">
        <v>1.0323999999999999E-4</v>
      </c>
      <c r="J5794" s="9">
        <v>1.0221999999999999E-4</v>
      </c>
      <c r="K5794" s="9">
        <v>4.8749999999999999E-5</v>
      </c>
      <c r="L5794" s="9">
        <v>1.8009999999999999E-5</v>
      </c>
      <c r="M5794" s="9">
        <v>4.8430000000000002E-5</v>
      </c>
      <c r="N5794" s="9">
        <v>7.1130000000000005E-5</v>
      </c>
      <c r="O5794" s="9">
        <v>4.5930000000000002E-5</v>
      </c>
      <c r="P5794" s="9">
        <v>7.6190000000000001E-5</v>
      </c>
      <c r="Q5794" s="9">
        <v>1.061E-4</v>
      </c>
      <c r="R5794" s="10">
        <v>1.0673140682795222E-4</v>
      </c>
      <c r="S5794" s="10">
        <v>1.8497637513331865E-5</v>
      </c>
      <c r="T5794" s="10">
        <v>0</v>
      </c>
      <c r="U5794" s="10">
        <v>7.2459999999999994E-5</v>
      </c>
      <c r="V5794" s="25"/>
      <c r="W5794" s="25"/>
      <c r="X5794" s="25"/>
      <c r="Y5794" s="25"/>
      <c r="Z5794" s="25"/>
      <c r="AA5794" s="25"/>
    </row>
    <row r="5795" spans="1:27" x14ac:dyDescent="0.35">
      <c r="A5795" s="5">
        <v>5791</v>
      </c>
      <c r="B5795" s="5">
        <v>242</v>
      </c>
      <c r="C5795" s="5">
        <v>8</v>
      </c>
      <c r="D5795" s="25">
        <v>1.1416E-4</v>
      </c>
      <c r="E5795" s="25">
        <v>1.1459E-4</v>
      </c>
      <c r="F5795" s="25">
        <v>1.3202E-4</v>
      </c>
      <c r="G5795" s="25">
        <v>1.1108E-4</v>
      </c>
      <c r="H5795" s="25">
        <v>1.3721999999999999E-4</v>
      </c>
      <c r="I5795" s="9">
        <v>1.1116E-4</v>
      </c>
      <c r="J5795" s="9">
        <v>1.1493E-4</v>
      </c>
      <c r="K5795" s="9">
        <v>0</v>
      </c>
      <c r="L5795" s="9">
        <v>3.964E-5</v>
      </c>
      <c r="M5795" s="9">
        <v>5.982E-5</v>
      </c>
      <c r="N5795" s="9">
        <v>8.0589999999999999E-5</v>
      </c>
      <c r="O5795" s="9">
        <v>1.2310000000000001E-4</v>
      </c>
      <c r="P5795" s="9">
        <v>1.1765999999999999E-4</v>
      </c>
      <c r="Q5795" s="9">
        <v>1.1271E-4</v>
      </c>
      <c r="R5795" s="10">
        <v>1.2418423169584017E-4</v>
      </c>
      <c r="S5795" s="10">
        <v>1.4530312757930387E-5</v>
      </c>
      <c r="T5795" s="10">
        <v>1.7537046756744582E-5</v>
      </c>
      <c r="U5795" s="10">
        <v>7.2459999999999994E-5</v>
      </c>
      <c r="V5795" s="25"/>
      <c r="W5795" s="25"/>
      <c r="X5795" s="25"/>
      <c r="Y5795" s="25"/>
      <c r="Z5795" s="25"/>
      <c r="AA5795" s="25"/>
    </row>
    <row r="5796" spans="1:27" x14ac:dyDescent="0.35">
      <c r="A5796" s="5">
        <v>5792</v>
      </c>
      <c r="B5796" s="5">
        <v>242</v>
      </c>
      <c r="C5796" s="5">
        <v>8</v>
      </c>
      <c r="D5796" s="25">
        <v>1.1415000000000001E-4</v>
      </c>
      <c r="E5796" s="25">
        <v>1.1334E-4</v>
      </c>
      <c r="F5796" s="25">
        <v>1.2070000000000001E-4</v>
      </c>
      <c r="G5796" s="25">
        <v>1.6621E-4</v>
      </c>
      <c r="H5796" s="25">
        <v>1.9479E-4</v>
      </c>
      <c r="I5796" s="9">
        <v>1.1856E-4</v>
      </c>
      <c r="J5796" s="9">
        <v>1.2559E-4</v>
      </c>
      <c r="K5796" s="9">
        <v>0</v>
      </c>
      <c r="L5796" s="9">
        <v>1.0412999999999999E-4</v>
      </c>
      <c r="M5796" s="9">
        <v>8.3579999999999996E-5</v>
      </c>
      <c r="N5796" s="9">
        <v>9.0719999999999999E-5</v>
      </c>
      <c r="O5796" s="9">
        <v>2.1832000000000001E-4</v>
      </c>
      <c r="P5796" s="9">
        <v>1.7670000000000001E-4</v>
      </c>
      <c r="Q5796" s="9">
        <v>1.3650000000000001E-4</v>
      </c>
      <c r="R5796" s="10">
        <v>1.2722576186030985E-4</v>
      </c>
      <c r="S5796" s="10">
        <v>1.2115415717723024E-5</v>
      </c>
      <c r="T5796" s="10">
        <v>2.6479498271794798E-5</v>
      </c>
      <c r="U5796" s="10">
        <v>7.2459999999999994E-5</v>
      </c>
      <c r="V5796" s="25"/>
      <c r="W5796" s="25"/>
      <c r="X5796" s="25"/>
      <c r="Y5796" s="25"/>
      <c r="Z5796" s="25"/>
      <c r="AA5796" s="25"/>
    </row>
    <row r="5797" spans="1:27" x14ac:dyDescent="0.35">
      <c r="A5797" s="5">
        <v>5793</v>
      </c>
      <c r="B5797" s="5">
        <v>242</v>
      </c>
      <c r="C5797" s="5">
        <v>8</v>
      </c>
      <c r="D5797" s="25">
        <v>1.1416E-4</v>
      </c>
      <c r="E5797" s="25">
        <v>1.1559E-4</v>
      </c>
      <c r="F5797" s="25">
        <v>1.3467000000000001E-4</v>
      </c>
      <c r="G5797" s="25">
        <v>1.6025999999999999E-4</v>
      </c>
      <c r="H5797" s="25">
        <v>1.9751E-4</v>
      </c>
      <c r="I5797" s="9">
        <v>1.2233E-4</v>
      </c>
      <c r="J5797" s="9">
        <v>1.3020999999999999E-4</v>
      </c>
      <c r="K5797" s="9">
        <v>0</v>
      </c>
      <c r="L5797" s="9">
        <v>1.9143E-4</v>
      </c>
      <c r="M5797" s="9">
        <v>1.2324999999999999E-4</v>
      </c>
      <c r="N5797" s="9">
        <v>1.0442000000000001E-4</v>
      </c>
      <c r="O5797" s="9">
        <v>2.108E-4</v>
      </c>
      <c r="P5797" s="9">
        <v>1.9351000000000001E-4</v>
      </c>
      <c r="Q5797" s="9">
        <v>1.7721999999999999E-4</v>
      </c>
      <c r="R5797" s="10">
        <v>1.1221427840093488E-4</v>
      </c>
      <c r="S5797" s="10">
        <v>1.3074486523114941E-5</v>
      </c>
      <c r="T5797" s="10">
        <v>3.750229998749995E-4</v>
      </c>
      <c r="U5797" s="10">
        <v>7.2459999999999994E-5</v>
      </c>
      <c r="V5797" s="25"/>
      <c r="W5797" s="25"/>
      <c r="X5797" s="25"/>
      <c r="Y5797" s="25"/>
      <c r="Z5797" s="25"/>
      <c r="AA5797" s="25"/>
    </row>
    <row r="5798" spans="1:27" x14ac:dyDescent="0.35">
      <c r="A5798" s="5">
        <v>5794</v>
      </c>
      <c r="B5798" s="5">
        <v>242</v>
      </c>
      <c r="C5798" s="5">
        <v>8</v>
      </c>
      <c r="D5798" s="25">
        <v>1.1415000000000001E-4</v>
      </c>
      <c r="E5798" s="25">
        <v>1.1746E-4</v>
      </c>
      <c r="F5798" s="25">
        <v>1.3479E-4</v>
      </c>
      <c r="G5798" s="25">
        <v>1.5736999999999999E-4</v>
      </c>
      <c r="H5798" s="25">
        <v>1.9636E-4</v>
      </c>
      <c r="I5798" s="9">
        <v>1.2324999999999999E-4</v>
      </c>
      <c r="J5798" s="9">
        <v>1.3117000000000001E-4</v>
      </c>
      <c r="K5798" s="9">
        <v>0</v>
      </c>
      <c r="L5798" s="9">
        <v>2.0425E-4</v>
      </c>
      <c r="M5798" s="9">
        <v>1.5860000000000001E-4</v>
      </c>
      <c r="N5798" s="9">
        <v>1.2453E-4</v>
      </c>
      <c r="O5798" s="9">
        <v>1.6602000000000001E-4</v>
      </c>
      <c r="P5798" s="9">
        <v>1.7354999999999999E-4</v>
      </c>
      <c r="Q5798" s="9">
        <v>1.8153000000000001E-4</v>
      </c>
      <c r="R5798" s="10">
        <v>7.2246766603253871E-5</v>
      </c>
      <c r="S5798" s="10">
        <v>1.3821914858315684E-5</v>
      </c>
      <c r="T5798" s="10">
        <v>5.4744941556794592E-4</v>
      </c>
      <c r="U5798" s="10">
        <v>7.2459999999999994E-5</v>
      </c>
      <c r="V5798" s="25"/>
      <c r="W5798" s="25"/>
      <c r="X5798" s="25"/>
      <c r="Y5798" s="25"/>
      <c r="Z5798" s="25"/>
      <c r="AA5798" s="25"/>
    </row>
    <row r="5799" spans="1:27" x14ac:dyDescent="0.35">
      <c r="A5799" s="5">
        <v>5795</v>
      </c>
      <c r="B5799" s="5">
        <v>242</v>
      </c>
      <c r="C5799" s="5">
        <v>8</v>
      </c>
      <c r="D5799" s="25">
        <v>1.1416E-4</v>
      </c>
      <c r="E5799" s="25">
        <v>1.2027E-4</v>
      </c>
      <c r="F5799" s="25">
        <v>1.2608000000000001E-4</v>
      </c>
      <c r="G5799" s="25">
        <v>1.6105000000000001E-4</v>
      </c>
      <c r="H5799" s="25">
        <v>1.9090000000000001E-4</v>
      </c>
      <c r="I5799" s="9">
        <v>1.2276999999999999E-4</v>
      </c>
      <c r="J5799" s="9">
        <v>1.3155E-4</v>
      </c>
      <c r="K5799" s="9">
        <v>0</v>
      </c>
      <c r="L5799" s="9">
        <v>1.7448999999999999E-4</v>
      </c>
      <c r="M5799" s="9">
        <v>1.7217E-4</v>
      </c>
      <c r="N5799" s="9">
        <v>1.4250999999999999E-4</v>
      </c>
      <c r="O5799" s="9">
        <v>1.6482000000000001E-4</v>
      </c>
      <c r="P5799" s="9">
        <v>1.7096E-4</v>
      </c>
      <c r="Q5799" s="9">
        <v>1.7757E-4</v>
      </c>
      <c r="R5799" s="10">
        <v>3.861608997777697E-5</v>
      </c>
      <c r="S5799" s="10">
        <v>1.5312360071586945E-5</v>
      </c>
      <c r="T5799" s="10">
        <v>4.2781231043158627E-4</v>
      </c>
      <c r="U5799" s="10">
        <v>7.2459999999999994E-5</v>
      </c>
      <c r="V5799" s="25"/>
      <c r="W5799" s="25"/>
      <c r="X5799" s="25"/>
      <c r="Y5799" s="25"/>
      <c r="Z5799" s="25"/>
      <c r="AA5799" s="25"/>
    </row>
    <row r="5800" spans="1:27" x14ac:dyDescent="0.35">
      <c r="A5800" s="5">
        <v>5796</v>
      </c>
      <c r="B5800" s="5">
        <v>242</v>
      </c>
      <c r="C5800" s="5">
        <v>8</v>
      </c>
      <c r="D5800" s="25">
        <v>1.1415000000000001E-4</v>
      </c>
      <c r="E5800" s="25">
        <v>1.1318E-4</v>
      </c>
      <c r="F5800" s="25">
        <v>1.2423999999999999E-4</v>
      </c>
      <c r="G5800" s="25">
        <v>1.6448E-4</v>
      </c>
      <c r="H5800" s="25">
        <v>2.0031000000000001E-4</v>
      </c>
      <c r="I5800" s="9">
        <v>1.1934000000000001E-4</v>
      </c>
      <c r="J5800" s="9">
        <v>1.3018E-4</v>
      </c>
      <c r="K5800" s="9">
        <v>0</v>
      </c>
      <c r="L5800" s="9">
        <v>1.6836999999999999E-4</v>
      </c>
      <c r="M5800" s="9">
        <v>1.7401E-4</v>
      </c>
      <c r="N5800" s="9">
        <v>1.5621E-4</v>
      </c>
      <c r="O5800" s="9">
        <v>1.6903E-4</v>
      </c>
      <c r="P5800" s="9">
        <v>1.7115000000000001E-4</v>
      </c>
      <c r="Q5800" s="9">
        <v>1.7382000000000001E-4</v>
      </c>
      <c r="R5800" s="10">
        <v>2.4165448565345986E-5</v>
      </c>
      <c r="S5800" s="10">
        <v>1.9870071382258792E-5</v>
      </c>
      <c r="T5800" s="10">
        <v>6.588058445385664E-4</v>
      </c>
      <c r="U5800" s="10">
        <v>7.2459999999999994E-5</v>
      </c>
      <c r="V5800" s="25"/>
      <c r="W5800" s="25"/>
      <c r="X5800" s="25"/>
      <c r="Y5800" s="25"/>
      <c r="Z5800" s="25"/>
      <c r="AA5800" s="25"/>
    </row>
    <row r="5801" spans="1:27" x14ac:dyDescent="0.35">
      <c r="A5801" s="5">
        <v>5797</v>
      </c>
      <c r="B5801" s="5">
        <v>242</v>
      </c>
      <c r="C5801" s="5">
        <v>8</v>
      </c>
      <c r="D5801" s="25">
        <v>1.1416E-4</v>
      </c>
      <c r="E5801" s="25">
        <v>1.1496E-4</v>
      </c>
      <c r="F5801" s="25">
        <v>1.2084E-4</v>
      </c>
      <c r="G5801" s="25">
        <v>1.618E-4</v>
      </c>
      <c r="H5801" s="25">
        <v>1.9437999999999999E-4</v>
      </c>
      <c r="I5801" s="9">
        <v>1.1646000000000001E-4</v>
      </c>
      <c r="J5801" s="9">
        <v>1.2977999999999999E-4</v>
      </c>
      <c r="K5801" s="9">
        <v>0</v>
      </c>
      <c r="L5801" s="9">
        <v>1.6909E-4</v>
      </c>
      <c r="M5801" s="9">
        <v>1.7296999999999999E-4</v>
      </c>
      <c r="N5801" s="9">
        <v>1.6563999999999999E-4</v>
      </c>
      <c r="O5801" s="9">
        <v>1.6220000000000001E-4</v>
      </c>
      <c r="P5801" s="9">
        <v>1.6511999999999999E-4</v>
      </c>
      <c r="Q5801" s="9">
        <v>1.6854000000000001E-4</v>
      </c>
      <c r="R5801" s="10">
        <v>2.7746847570168189E-5</v>
      </c>
      <c r="S5801" s="10">
        <v>2.4320013141284706E-5</v>
      </c>
      <c r="T5801" s="10">
        <v>6.5234080843375782E-4</v>
      </c>
      <c r="U5801" s="10">
        <v>7.2459999999999994E-5</v>
      </c>
      <c r="V5801" s="25"/>
      <c r="W5801" s="25"/>
      <c r="X5801" s="25"/>
      <c r="Y5801" s="25"/>
      <c r="Z5801" s="25"/>
      <c r="AA5801" s="25"/>
    </row>
    <row r="5802" spans="1:27" x14ac:dyDescent="0.35">
      <c r="A5802" s="5">
        <v>5798</v>
      </c>
      <c r="B5802" s="5">
        <v>242</v>
      </c>
      <c r="C5802" s="5">
        <v>8</v>
      </c>
      <c r="D5802" s="25">
        <v>1.1415000000000001E-4</v>
      </c>
      <c r="E5802" s="25">
        <v>1.1179999999999999E-4</v>
      </c>
      <c r="F5802" s="25">
        <v>1.2849000000000001E-4</v>
      </c>
      <c r="G5802" s="25">
        <v>1.6454999999999999E-4</v>
      </c>
      <c r="H5802" s="25">
        <v>1.9488E-4</v>
      </c>
      <c r="I5802" s="9">
        <v>1.1421000000000001E-4</v>
      </c>
      <c r="J5802" s="9">
        <v>1.2850000000000001E-4</v>
      </c>
      <c r="K5802" s="9">
        <v>0</v>
      </c>
      <c r="L5802" s="9">
        <v>1.6343E-4</v>
      </c>
      <c r="M5802" s="9">
        <v>1.6986E-4</v>
      </c>
      <c r="N5802" s="9">
        <v>1.7026000000000001E-4</v>
      </c>
      <c r="O5802" s="9">
        <v>1.7657E-4</v>
      </c>
      <c r="P5802" s="9">
        <v>1.6783999999999999E-4</v>
      </c>
      <c r="Q5802" s="9">
        <v>1.5986E-4</v>
      </c>
      <c r="R5802" s="10">
        <v>3.2473907208599861E-5</v>
      </c>
      <c r="S5802" s="10">
        <v>3.5006820240276799E-5</v>
      </c>
      <c r="T5802" s="10">
        <v>4.3434522093119596E-4</v>
      </c>
      <c r="U5802" s="10">
        <v>7.2459999999999994E-5</v>
      </c>
      <c r="V5802" s="25"/>
      <c r="W5802" s="25"/>
      <c r="X5802" s="25"/>
      <c r="Y5802" s="25"/>
      <c r="Z5802" s="25"/>
      <c r="AA5802" s="25"/>
    </row>
    <row r="5803" spans="1:27" x14ac:dyDescent="0.35">
      <c r="A5803" s="5">
        <v>5799</v>
      </c>
      <c r="B5803" s="5">
        <v>242</v>
      </c>
      <c r="C5803" s="5">
        <v>8</v>
      </c>
      <c r="D5803" s="25">
        <v>1.1416E-4</v>
      </c>
      <c r="E5803" s="25">
        <v>1.1402E-4</v>
      </c>
      <c r="F5803" s="25">
        <v>1.3635000000000001E-4</v>
      </c>
      <c r="G5803" s="25">
        <v>1.6338999999999999E-4</v>
      </c>
      <c r="H5803" s="25">
        <v>1.9709E-4</v>
      </c>
      <c r="I5803" s="9">
        <v>1.1391999999999999E-4</v>
      </c>
      <c r="J5803" s="9">
        <v>1.2708000000000001E-4</v>
      </c>
      <c r="K5803" s="9">
        <v>0</v>
      </c>
      <c r="L5803" s="9">
        <v>1.738E-4</v>
      </c>
      <c r="M5803" s="9">
        <v>1.6825E-4</v>
      </c>
      <c r="N5803" s="9">
        <v>1.6964000000000001E-4</v>
      </c>
      <c r="O5803" s="9">
        <v>1.8143E-4</v>
      </c>
      <c r="P5803" s="9">
        <v>1.6598000000000001E-4</v>
      </c>
      <c r="Q5803" s="9">
        <v>1.5139999999999999E-4</v>
      </c>
      <c r="R5803" s="10">
        <v>3.4918184498163444E-5</v>
      </c>
      <c r="S5803" s="10">
        <v>4.5213739135595064E-5</v>
      </c>
      <c r="T5803" s="10">
        <v>3.1096653978142347E-4</v>
      </c>
      <c r="U5803" s="10">
        <v>7.2459999999999994E-5</v>
      </c>
      <c r="V5803" s="25"/>
      <c r="W5803" s="25"/>
      <c r="X5803" s="25"/>
      <c r="Y5803" s="25"/>
      <c r="Z5803" s="25"/>
      <c r="AA5803" s="25"/>
    </row>
    <row r="5804" spans="1:27" x14ac:dyDescent="0.35">
      <c r="A5804" s="5">
        <v>5800</v>
      </c>
      <c r="B5804" s="5">
        <v>242</v>
      </c>
      <c r="C5804" s="5">
        <v>8</v>
      </c>
      <c r="D5804" s="25">
        <v>1.1415000000000001E-4</v>
      </c>
      <c r="E5804" s="25">
        <v>1.1354E-4</v>
      </c>
      <c r="F5804" s="25">
        <v>1.3039E-4</v>
      </c>
      <c r="G5804" s="25">
        <v>1.5794999999999999E-4</v>
      </c>
      <c r="H5804" s="25">
        <v>1.9481000000000001E-4</v>
      </c>
      <c r="I5804" s="9">
        <v>1.1286E-4</v>
      </c>
      <c r="J5804" s="9">
        <v>1.2653999999999999E-4</v>
      </c>
      <c r="K5804" s="9">
        <v>0</v>
      </c>
      <c r="L5804" s="9">
        <v>1.795E-4</v>
      </c>
      <c r="M5804" s="9">
        <v>1.6707000000000001E-4</v>
      </c>
      <c r="N5804" s="9">
        <v>1.6558999999999999E-4</v>
      </c>
      <c r="O5804" s="9">
        <v>1.9743000000000001E-4</v>
      </c>
      <c r="P5804" s="9">
        <v>1.5316E-4</v>
      </c>
      <c r="Q5804" s="9">
        <v>1.1027E-4</v>
      </c>
      <c r="R5804" s="10">
        <v>3.2797805157822953E-5</v>
      </c>
      <c r="S5804" s="10">
        <v>4.6397908937117016E-5</v>
      </c>
      <c r="T5804" s="10">
        <v>2.6851110583331041E-4</v>
      </c>
      <c r="U5804" s="10">
        <v>7.2459999999999994E-5</v>
      </c>
      <c r="V5804" s="25"/>
      <c r="W5804" s="25"/>
      <c r="X5804" s="25"/>
      <c r="Y5804" s="25"/>
      <c r="Z5804" s="25"/>
      <c r="AA5804" s="25"/>
    </row>
    <row r="5805" spans="1:27" x14ac:dyDescent="0.35">
      <c r="A5805" s="5">
        <v>5801</v>
      </c>
      <c r="B5805" s="5">
        <v>242</v>
      </c>
      <c r="C5805" s="5">
        <v>8</v>
      </c>
      <c r="D5805" s="25">
        <v>1.1416E-4</v>
      </c>
      <c r="E5805" s="25">
        <v>1.1184E-4</v>
      </c>
      <c r="F5805" s="25">
        <v>1.3001000000000001E-4</v>
      </c>
      <c r="G5805" s="25">
        <v>1.6055E-4</v>
      </c>
      <c r="H5805" s="25">
        <v>1.9837000000000001E-4</v>
      </c>
      <c r="I5805" s="9">
        <v>1.144E-4</v>
      </c>
      <c r="J5805" s="9">
        <v>1.2716E-4</v>
      </c>
      <c r="K5805" s="9">
        <v>0</v>
      </c>
      <c r="L5805" s="9">
        <v>1.9327999999999999E-4</v>
      </c>
      <c r="M5805" s="9">
        <v>1.6185E-4</v>
      </c>
      <c r="N5805" s="9">
        <v>1.5212E-4</v>
      </c>
      <c r="O5805" s="9">
        <v>2.1104000000000001E-4</v>
      </c>
      <c r="P5805" s="9">
        <v>1.5781000000000001E-4</v>
      </c>
      <c r="Q5805" s="9">
        <v>1.0615000000000001E-4</v>
      </c>
      <c r="R5805" s="10">
        <v>2.8379120111580022E-5</v>
      </c>
      <c r="S5805" s="10">
        <v>4.6161274250632777E-5</v>
      </c>
      <c r="T5805" s="10">
        <v>8.4359388438467043E-5</v>
      </c>
      <c r="U5805" s="10">
        <v>7.2459999999999994E-5</v>
      </c>
      <c r="V5805" s="25"/>
      <c r="W5805" s="25"/>
      <c r="X5805" s="25"/>
      <c r="Y5805" s="25"/>
      <c r="Z5805" s="25"/>
      <c r="AA5805" s="25"/>
    </row>
    <row r="5806" spans="1:27" x14ac:dyDescent="0.35">
      <c r="A5806" s="5">
        <v>5802</v>
      </c>
      <c r="B5806" s="5">
        <v>242</v>
      </c>
      <c r="C5806" s="5">
        <v>8</v>
      </c>
      <c r="D5806" s="25">
        <v>1.1415000000000001E-4</v>
      </c>
      <c r="E5806" s="25">
        <v>1.1162000000000001E-4</v>
      </c>
      <c r="F5806" s="25">
        <v>1.292E-4</v>
      </c>
      <c r="G5806" s="25">
        <v>1.6197999999999999E-4</v>
      </c>
      <c r="H5806" s="25">
        <v>1.9319000000000001E-4</v>
      </c>
      <c r="I5806" s="9">
        <v>1.1655E-4</v>
      </c>
      <c r="J5806" s="9">
        <v>1.2345999999999999E-4</v>
      </c>
      <c r="K5806" s="9">
        <v>0</v>
      </c>
      <c r="L5806" s="9">
        <v>2.0683E-4</v>
      </c>
      <c r="M5806" s="9">
        <v>1.5898E-4</v>
      </c>
      <c r="N5806" s="9">
        <v>1.3865000000000001E-4</v>
      </c>
      <c r="O5806" s="9">
        <v>2.0367000000000001E-4</v>
      </c>
      <c r="P5806" s="9">
        <v>1.5972999999999999E-4</v>
      </c>
      <c r="Q5806" s="9">
        <v>1.1718999999999999E-4</v>
      </c>
      <c r="R5806" s="10">
        <v>2.6671931851251862E-5</v>
      </c>
      <c r="S5806" s="10">
        <v>4.1188787117605563E-5</v>
      </c>
      <c r="T5806" s="10">
        <v>5.0829437406703818E-5</v>
      </c>
      <c r="U5806" s="10">
        <v>7.2459999999999994E-5</v>
      </c>
      <c r="V5806" s="25"/>
      <c r="W5806" s="25"/>
      <c r="X5806" s="25"/>
      <c r="Y5806" s="25"/>
      <c r="Z5806" s="25"/>
      <c r="AA5806" s="25"/>
    </row>
    <row r="5807" spans="1:27" x14ac:dyDescent="0.35">
      <c r="A5807" s="5">
        <v>5803</v>
      </c>
      <c r="B5807" s="5">
        <v>242</v>
      </c>
      <c r="C5807" s="5">
        <v>8</v>
      </c>
      <c r="D5807" s="25">
        <v>1.1416E-4</v>
      </c>
      <c r="E5807" s="25">
        <v>1.1203E-4</v>
      </c>
      <c r="F5807" s="25">
        <v>1.2342000000000001E-4</v>
      </c>
      <c r="G5807" s="25">
        <v>1.1497000000000001E-4</v>
      </c>
      <c r="H5807" s="25">
        <v>1.3216000000000001E-4</v>
      </c>
      <c r="I5807" s="9">
        <v>1.1526E-4</v>
      </c>
      <c r="J5807" s="9">
        <v>1.2074E-4</v>
      </c>
      <c r="K5807" s="9">
        <v>0</v>
      </c>
      <c r="L5807" s="9">
        <v>2.0401999999999999E-4</v>
      </c>
      <c r="M5807" s="9">
        <v>1.5865000000000001E-4</v>
      </c>
      <c r="N5807" s="9">
        <v>1.2952999999999999E-4</v>
      </c>
      <c r="O5807" s="9">
        <v>1.6285E-4</v>
      </c>
      <c r="P5807" s="9">
        <v>1.3416E-4</v>
      </c>
      <c r="Q5807" s="9">
        <v>1.0649000000000001E-4</v>
      </c>
      <c r="R5807" s="10">
        <v>3.0980986601896749E-5</v>
      </c>
      <c r="S5807" s="10">
        <v>3.9326237577715817E-5</v>
      </c>
      <c r="T5807" s="10">
        <v>8.7388283306467932E-7</v>
      </c>
      <c r="U5807" s="10">
        <v>7.2459999999999994E-5</v>
      </c>
      <c r="V5807" s="25"/>
      <c r="W5807" s="25"/>
      <c r="X5807" s="25"/>
      <c r="Y5807" s="25"/>
      <c r="Z5807" s="25"/>
      <c r="AA5807" s="25"/>
    </row>
    <row r="5808" spans="1:27" x14ac:dyDescent="0.35">
      <c r="A5808" s="5">
        <v>5804</v>
      </c>
      <c r="B5808" s="5">
        <v>242</v>
      </c>
      <c r="C5808" s="5">
        <v>8</v>
      </c>
      <c r="D5808" s="25">
        <v>1.1415000000000001E-4</v>
      </c>
      <c r="E5808" s="25">
        <v>1.1061999999999999E-4</v>
      </c>
      <c r="F5808" s="25">
        <v>1.2882E-4</v>
      </c>
      <c r="G5808" s="25">
        <v>1.1412E-4</v>
      </c>
      <c r="H5808" s="25">
        <v>1.3629000000000001E-4</v>
      </c>
      <c r="I5808" s="9">
        <v>1.1552000000000001E-4</v>
      </c>
      <c r="J5808" s="9">
        <v>1.1998999999999999E-4</v>
      </c>
      <c r="K5808" s="9">
        <v>0</v>
      </c>
      <c r="L5808" s="9">
        <v>1.7207E-4</v>
      </c>
      <c r="M5808" s="9">
        <v>1.4990000000000001E-4</v>
      </c>
      <c r="N5808" s="9">
        <v>1.204E-4</v>
      </c>
      <c r="O5808" s="9">
        <v>1.2779999999999999E-4</v>
      </c>
      <c r="P5808" s="9">
        <v>1.1425999999999999E-4</v>
      </c>
      <c r="Q5808" s="9">
        <v>1.0136000000000001E-4</v>
      </c>
      <c r="R5808" s="10">
        <v>4.222972168408137E-5</v>
      </c>
      <c r="S5808" s="10">
        <v>4.2350997269835064E-5</v>
      </c>
      <c r="T5808" s="10">
        <v>0</v>
      </c>
      <c r="U5808" s="10">
        <v>7.2459999999999994E-5</v>
      </c>
      <c r="V5808" s="25"/>
      <c r="W5808" s="25"/>
      <c r="X5808" s="25"/>
      <c r="Y5808" s="25"/>
      <c r="Z5808" s="25"/>
      <c r="AA5808" s="25"/>
    </row>
    <row r="5809" spans="1:27" x14ac:dyDescent="0.35">
      <c r="A5809" s="5">
        <v>5805</v>
      </c>
      <c r="B5809" s="5">
        <v>242</v>
      </c>
      <c r="C5809" s="5">
        <v>8</v>
      </c>
      <c r="D5809" s="25">
        <v>1.1416E-4</v>
      </c>
      <c r="E5809" s="25">
        <v>1.1299E-4</v>
      </c>
      <c r="F5809" s="25">
        <v>1.3511E-4</v>
      </c>
      <c r="G5809" s="25">
        <v>6.2630000000000002E-5</v>
      </c>
      <c r="H5809" s="25">
        <v>7.5959999999999998E-5</v>
      </c>
      <c r="I5809" s="9">
        <v>1.1607000000000001E-4</v>
      </c>
      <c r="J5809" s="9">
        <v>1.211E-4</v>
      </c>
      <c r="K5809" s="9">
        <v>0</v>
      </c>
      <c r="L5809" s="9">
        <v>1.3851E-4</v>
      </c>
      <c r="M5809" s="9">
        <v>1.3464E-4</v>
      </c>
      <c r="N5809" s="9">
        <v>1.1271E-4</v>
      </c>
      <c r="O5809" s="9">
        <v>8.4649999999999998E-5</v>
      </c>
      <c r="P5809" s="9">
        <v>8.6409999999999994E-5</v>
      </c>
      <c r="Q5809" s="9">
        <v>8.8410000000000002E-5</v>
      </c>
      <c r="R5809" s="10">
        <v>5.5256171765273352E-5</v>
      </c>
      <c r="S5809" s="10">
        <v>4.9869592793155308E-5</v>
      </c>
      <c r="T5809" s="10">
        <v>0</v>
      </c>
      <c r="U5809" s="10">
        <v>7.2459999999999994E-5</v>
      </c>
      <c r="V5809" s="25"/>
      <c r="W5809" s="25"/>
      <c r="X5809" s="25"/>
      <c r="Y5809" s="25"/>
      <c r="Z5809" s="25"/>
      <c r="AA5809" s="25"/>
    </row>
    <row r="5810" spans="1:27" x14ac:dyDescent="0.35">
      <c r="A5810" s="5">
        <v>5806</v>
      </c>
      <c r="B5810" s="5">
        <v>242</v>
      </c>
      <c r="C5810" s="5">
        <v>8</v>
      </c>
      <c r="D5810" s="25">
        <v>1.1415000000000001E-4</v>
      </c>
      <c r="E5810" s="25">
        <v>1.2011E-4</v>
      </c>
      <c r="F5810" s="25">
        <v>1.1861E-4</v>
      </c>
      <c r="G5810" s="25">
        <v>6.0069999999999999E-5</v>
      </c>
      <c r="H5810" s="25">
        <v>7.2490000000000006E-5</v>
      </c>
      <c r="I5810" s="9">
        <v>1.1259E-4</v>
      </c>
      <c r="J5810" s="9">
        <v>1.1387000000000001E-4</v>
      </c>
      <c r="K5810" s="9">
        <v>0</v>
      </c>
      <c r="L5810" s="9">
        <v>9.7410000000000004E-5</v>
      </c>
      <c r="M5810" s="9">
        <v>1.1335E-4</v>
      </c>
      <c r="N5810" s="9">
        <v>1.0521E-4</v>
      </c>
      <c r="O5810" s="9">
        <v>8.666E-5</v>
      </c>
      <c r="P5810" s="9">
        <v>8.7039999999999993E-5</v>
      </c>
      <c r="Q5810" s="9">
        <v>8.7680000000000001E-5</v>
      </c>
      <c r="R5810" s="10">
        <v>6.6578227069844425E-5</v>
      </c>
      <c r="S5810" s="10">
        <v>6.1116369507433998E-5</v>
      </c>
      <c r="T5810" s="10">
        <v>0</v>
      </c>
      <c r="U5810" s="10">
        <v>7.2459999999999994E-5</v>
      </c>
      <c r="V5810" s="25"/>
      <c r="W5810" s="25"/>
      <c r="X5810" s="25"/>
      <c r="Y5810" s="25"/>
      <c r="Z5810" s="25"/>
      <c r="AA5810" s="25"/>
    </row>
    <row r="5811" spans="1:27" x14ac:dyDescent="0.35">
      <c r="A5811" s="5">
        <v>5807</v>
      </c>
      <c r="B5811" s="5">
        <v>242</v>
      </c>
      <c r="C5811" s="5">
        <v>8</v>
      </c>
      <c r="D5811" s="25">
        <v>1.1416E-4</v>
      </c>
      <c r="E5811" s="25">
        <v>1.142E-4</v>
      </c>
      <c r="F5811" s="25">
        <v>1.2068E-4</v>
      </c>
      <c r="G5811" s="25">
        <v>5.5739999999999998E-5</v>
      </c>
      <c r="H5811" s="25">
        <v>6.8850000000000007E-5</v>
      </c>
      <c r="I5811" s="9">
        <v>1.0641000000000001E-4</v>
      </c>
      <c r="J5811" s="9">
        <v>1.0739E-4</v>
      </c>
      <c r="K5811" s="9">
        <v>0</v>
      </c>
      <c r="L5811" s="9">
        <v>8.9939999999999996E-5</v>
      </c>
      <c r="M5811" s="9">
        <v>9.8659999999999994E-5</v>
      </c>
      <c r="N5811" s="9">
        <v>9.9409999999999999E-5</v>
      </c>
      <c r="O5811" s="9">
        <v>7.7059999999999997E-5</v>
      </c>
      <c r="P5811" s="9">
        <v>7.1530000000000001E-5</v>
      </c>
      <c r="Q5811" s="9">
        <v>6.6329999999999997E-5</v>
      </c>
      <c r="R5811" s="10">
        <v>6.3452760978584022E-5</v>
      </c>
      <c r="S5811" s="10">
        <v>6.7195214174036873E-5</v>
      </c>
      <c r="T5811" s="10">
        <v>0</v>
      </c>
      <c r="U5811" s="10">
        <v>7.2459999999999994E-5</v>
      </c>
      <c r="V5811" s="25"/>
      <c r="W5811" s="25"/>
      <c r="X5811" s="25"/>
      <c r="Y5811" s="25"/>
      <c r="Z5811" s="25"/>
      <c r="AA5811" s="25"/>
    </row>
    <row r="5812" spans="1:27" x14ac:dyDescent="0.35">
      <c r="A5812" s="5">
        <v>5808</v>
      </c>
      <c r="B5812" s="5">
        <v>242</v>
      </c>
      <c r="C5812" s="5">
        <v>8</v>
      </c>
      <c r="D5812" s="25">
        <v>1.1415000000000001E-4</v>
      </c>
      <c r="E5812" s="25">
        <v>1.2008E-4</v>
      </c>
      <c r="F5812" s="25">
        <v>1.3877E-4</v>
      </c>
      <c r="G5812" s="25">
        <v>5.6360000000000002E-5</v>
      </c>
      <c r="H5812" s="25">
        <v>6.9830000000000001E-5</v>
      </c>
      <c r="I5812" s="9">
        <v>1.0046E-4</v>
      </c>
      <c r="J5812" s="9">
        <v>9.9870000000000004E-5</v>
      </c>
      <c r="K5812" s="9">
        <v>0</v>
      </c>
      <c r="L5812" s="9">
        <v>7.9889999999999996E-5</v>
      </c>
      <c r="M5812" s="9">
        <v>8.5660000000000003E-5</v>
      </c>
      <c r="N5812" s="9">
        <v>9.0119999999999998E-5</v>
      </c>
      <c r="O5812" s="9">
        <v>6.2650000000000005E-5</v>
      </c>
      <c r="P5812" s="9">
        <v>6.0619999999999999E-5</v>
      </c>
      <c r="Q5812" s="9">
        <v>5.8810000000000001E-5</v>
      </c>
      <c r="R5812" s="10">
        <v>2.5406384050497659E-5</v>
      </c>
      <c r="S5812" s="10">
        <v>7.0668218170324913E-5</v>
      </c>
      <c r="T5812" s="10">
        <v>0</v>
      </c>
      <c r="U5812" s="10">
        <v>7.2459999999999994E-5</v>
      </c>
      <c r="V5812" s="25"/>
      <c r="W5812" s="25"/>
      <c r="X5812" s="25"/>
      <c r="Y5812" s="25"/>
      <c r="Z5812" s="25"/>
      <c r="AA5812" s="25"/>
    </row>
    <row r="5813" spans="1:27" x14ac:dyDescent="0.35">
      <c r="A5813" s="5">
        <v>5809</v>
      </c>
      <c r="B5813" s="5">
        <v>243</v>
      </c>
      <c r="C5813" s="5">
        <v>8</v>
      </c>
      <c r="D5813" s="25">
        <v>1.1416E-4</v>
      </c>
      <c r="E5813" s="25">
        <v>1.1389E-4</v>
      </c>
      <c r="F5813" s="25">
        <v>1.1967E-4</v>
      </c>
      <c r="G5813" s="25">
        <v>5.9349999999999999E-5</v>
      </c>
      <c r="H5813" s="25">
        <v>7.2730000000000003E-5</v>
      </c>
      <c r="I5813" s="9">
        <v>9.6559999999999997E-5</v>
      </c>
      <c r="J5813" s="9">
        <v>9.4870000000000005E-5</v>
      </c>
      <c r="K5813" s="9">
        <v>0</v>
      </c>
      <c r="L5813" s="9">
        <v>6.6450000000000002E-5</v>
      </c>
      <c r="M5813" s="9">
        <v>7.3650000000000001E-5</v>
      </c>
      <c r="N5813" s="9">
        <v>8.0799999999999999E-5</v>
      </c>
      <c r="O5813" s="9">
        <v>5.4370000000000003E-5</v>
      </c>
      <c r="P5813" s="9">
        <v>5.3789999999999998E-5</v>
      </c>
      <c r="Q5813" s="9">
        <v>5.3359999999999997E-5</v>
      </c>
      <c r="R5813" s="10">
        <v>2.2891734122288247E-5</v>
      </c>
      <c r="S5813" s="10">
        <v>7.384023776792915E-5</v>
      </c>
      <c r="T5813" s="10">
        <v>0</v>
      </c>
      <c r="U5813" s="10">
        <v>7.1249999999999997E-5</v>
      </c>
      <c r="V5813" s="25"/>
      <c r="W5813" s="25"/>
      <c r="X5813" s="25"/>
      <c r="Y5813" s="25"/>
      <c r="Z5813" s="25"/>
      <c r="AA5813" s="25"/>
    </row>
    <row r="5814" spans="1:27" x14ac:dyDescent="0.35">
      <c r="A5814" s="5">
        <v>5810</v>
      </c>
      <c r="B5814" s="5">
        <v>243</v>
      </c>
      <c r="C5814" s="5">
        <v>8</v>
      </c>
      <c r="D5814" s="25">
        <v>1.1415000000000001E-4</v>
      </c>
      <c r="E5814" s="25">
        <v>1.1779E-4</v>
      </c>
      <c r="F5814" s="25">
        <v>1.1726999999999999E-4</v>
      </c>
      <c r="G5814" s="25">
        <v>5.5109999999999999E-5</v>
      </c>
      <c r="H5814" s="25">
        <v>7.1019999999999994E-5</v>
      </c>
      <c r="I5814" s="9">
        <v>9.3850000000000004E-5</v>
      </c>
      <c r="J5814" s="9">
        <v>9.2040000000000006E-5</v>
      </c>
      <c r="K5814" s="9">
        <v>0</v>
      </c>
      <c r="L5814" s="9">
        <v>5.7389999999999998E-5</v>
      </c>
      <c r="M5814" s="9">
        <v>6.3659999999999997E-5</v>
      </c>
      <c r="N5814" s="9">
        <v>7.1779999999999994E-5</v>
      </c>
      <c r="O5814" s="9">
        <v>1.9009999999999999E-5</v>
      </c>
      <c r="P5814" s="9">
        <v>3.7669999999999997E-5</v>
      </c>
      <c r="Q5814" s="9">
        <v>5.6069999999999997E-5</v>
      </c>
      <c r="R5814" s="10">
        <v>2.4254460399010503E-5</v>
      </c>
      <c r="S5814" s="10">
        <v>6.1797415261520325E-5</v>
      </c>
      <c r="T5814" s="10">
        <v>0</v>
      </c>
      <c r="U5814" s="10">
        <v>7.1249999999999997E-5</v>
      </c>
      <c r="V5814" s="25"/>
      <c r="W5814" s="25"/>
      <c r="X5814" s="25"/>
      <c r="Y5814" s="25"/>
      <c r="Z5814" s="25"/>
      <c r="AA5814" s="25"/>
    </row>
    <row r="5815" spans="1:27" x14ac:dyDescent="0.35">
      <c r="A5815" s="5">
        <v>5811</v>
      </c>
      <c r="B5815" s="5">
        <v>243</v>
      </c>
      <c r="C5815" s="5">
        <v>8</v>
      </c>
      <c r="D5815" s="25">
        <v>1.1416E-4</v>
      </c>
      <c r="E5815" s="25">
        <v>1.18E-4</v>
      </c>
      <c r="F5815" s="25">
        <v>1.3027000000000001E-4</v>
      </c>
      <c r="G5815" s="25">
        <v>6.0560000000000003E-5</v>
      </c>
      <c r="H5815" s="25">
        <v>7.271E-5</v>
      </c>
      <c r="I5815" s="9">
        <v>9.3029999999999995E-5</v>
      </c>
      <c r="J5815" s="9">
        <v>9.09E-5</v>
      </c>
      <c r="K5815" s="9">
        <v>8.4800000000000001E-6</v>
      </c>
      <c r="L5815" s="9">
        <v>2.7650000000000001E-5</v>
      </c>
      <c r="M5815" s="9">
        <v>5.2030000000000002E-5</v>
      </c>
      <c r="N5815" s="9">
        <v>6.5259999999999995E-5</v>
      </c>
      <c r="O5815" s="9">
        <v>1.3709999999999999E-5</v>
      </c>
      <c r="P5815" s="9">
        <v>3.8099999999999998E-5</v>
      </c>
      <c r="Q5815" s="9">
        <v>6.2100000000000005E-5</v>
      </c>
      <c r="R5815" s="10">
        <v>2.2916017506736067E-5</v>
      </c>
      <c r="S5815" s="10">
        <v>5.1767757902846162E-5</v>
      </c>
      <c r="T5815" s="10">
        <v>0</v>
      </c>
      <c r="U5815" s="10">
        <v>7.1249999999999997E-5</v>
      </c>
      <c r="V5815" s="25"/>
      <c r="W5815" s="25"/>
      <c r="X5815" s="25"/>
      <c r="Y5815" s="25"/>
      <c r="Z5815" s="25"/>
      <c r="AA5815" s="25"/>
    </row>
    <row r="5816" spans="1:27" x14ac:dyDescent="0.35">
      <c r="A5816" s="5">
        <v>5812</v>
      </c>
      <c r="B5816" s="5">
        <v>243</v>
      </c>
      <c r="C5816" s="5">
        <v>8</v>
      </c>
      <c r="D5816" s="25">
        <v>1.1415000000000001E-4</v>
      </c>
      <c r="E5816" s="25">
        <v>1.1898E-4</v>
      </c>
      <c r="F5816" s="25">
        <v>1.2439999999999999E-4</v>
      </c>
      <c r="G5816" s="25">
        <v>5.5040000000000002E-5</v>
      </c>
      <c r="H5816" s="25">
        <v>7.4909999999999999E-5</v>
      </c>
      <c r="I5816" s="9">
        <v>9.3549999999999997E-5</v>
      </c>
      <c r="J5816" s="9">
        <v>9.1379999999999996E-5</v>
      </c>
      <c r="K5816" s="9">
        <v>2.12E-5</v>
      </c>
      <c r="L5816" s="9">
        <v>1.7520000000000002E-5</v>
      </c>
      <c r="M5816" s="9">
        <v>4.4230000000000002E-5</v>
      </c>
      <c r="N5816" s="9">
        <v>6.1870000000000002E-5</v>
      </c>
      <c r="O5816" s="9">
        <v>1.365E-5</v>
      </c>
      <c r="P5816" s="9">
        <v>4.7410000000000002E-5</v>
      </c>
      <c r="Q5816" s="9">
        <v>8.0630000000000006E-5</v>
      </c>
      <c r="R5816" s="10">
        <v>3.3739113745298198E-5</v>
      </c>
      <c r="S5816" s="10">
        <v>5.3676147383114413E-5</v>
      </c>
      <c r="T5816" s="10">
        <v>0</v>
      </c>
      <c r="U5816" s="10">
        <v>7.1249999999999997E-5</v>
      </c>
      <c r="V5816" s="25"/>
      <c r="W5816" s="25"/>
      <c r="X5816" s="25"/>
      <c r="Y5816" s="25"/>
      <c r="Z5816" s="25"/>
      <c r="AA5816" s="25"/>
    </row>
    <row r="5817" spans="1:27" x14ac:dyDescent="0.35">
      <c r="A5817" s="5">
        <v>5813</v>
      </c>
      <c r="B5817" s="5">
        <v>243</v>
      </c>
      <c r="C5817" s="5">
        <v>8</v>
      </c>
      <c r="D5817" s="25">
        <v>1.1416E-4</v>
      </c>
      <c r="E5817" s="25">
        <v>1.1607000000000001E-4</v>
      </c>
      <c r="F5817" s="25">
        <v>1.2184E-4</v>
      </c>
      <c r="G5817" s="25">
        <v>6.101E-5</v>
      </c>
      <c r="H5817" s="25">
        <v>6.7749999999999993E-5</v>
      </c>
      <c r="I5817" s="9">
        <v>9.7629999999999999E-5</v>
      </c>
      <c r="J5817" s="9">
        <v>9.3900000000000006E-5</v>
      </c>
      <c r="K5817" s="9">
        <v>2.332E-5</v>
      </c>
      <c r="L5817" s="9">
        <v>1.4739999999999999E-5</v>
      </c>
      <c r="M5817" s="9">
        <v>4.3640000000000002E-5</v>
      </c>
      <c r="N5817" s="9">
        <v>6.4519999999999999E-5</v>
      </c>
      <c r="O5817" s="9">
        <v>1.91E-5</v>
      </c>
      <c r="P5817" s="9">
        <v>5.6799999999999998E-5</v>
      </c>
      <c r="Q5817" s="9">
        <v>9.3919999999999995E-5</v>
      </c>
      <c r="R5817" s="10">
        <v>3.3579344443378501E-5</v>
      </c>
      <c r="S5817" s="10">
        <v>5.5990929048998564E-5</v>
      </c>
      <c r="T5817" s="10">
        <v>0</v>
      </c>
      <c r="U5817" s="10">
        <v>7.1249999999999997E-5</v>
      </c>
      <c r="V5817" s="25"/>
      <c r="W5817" s="25"/>
      <c r="X5817" s="25"/>
      <c r="Y5817" s="25"/>
      <c r="Z5817" s="25"/>
      <c r="AA5817" s="25"/>
    </row>
    <row r="5818" spans="1:27" x14ac:dyDescent="0.35">
      <c r="A5818" s="5">
        <v>5814</v>
      </c>
      <c r="B5818" s="5">
        <v>243</v>
      </c>
      <c r="C5818" s="5">
        <v>8</v>
      </c>
      <c r="D5818" s="25">
        <v>1.1415000000000001E-4</v>
      </c>
      <c r="E5818" s="25">
        <v>1.0843E-4</v>
      </c>
      <c r="F5818" s="25">
        <v>1.2244E-4</v>
      </c>
      <c r="G5818" s="25">
        <v>1.1132E-4</v>
      </c>
      <c r="H5818" s="25">
        <v>1.3418999999999999E-4</v>
      </c>
      <c r="I5818" s="9">
        <v>1.0728E-4</v>
      </c>
      <c r="J5818" s="9">
        <v>1.0237E-4</v>
      </c>
      <c r="K5818" s="9">
        <v>0</v>
      </c>
      <c r="L5818" s="9">
        <v>1.8009999999999999E-5</v>
      </c>
      <c r="M5818" s="9">
        <v>4.8569999999999997E-5</v>
      </c>
      <c r="N5818" s="9">
        <v>7.1160000000000003E-5</v>
      </c>
      <c r="O5818" s="9">
        <v>4.6300000000000001E-5</v>
      </c>
      <c r="P5818" s="9">
        <v>7.6799999999999997E-5</v>
      </c>
      <c r="Q5818" s="9">
        <v>1.0694E-4</v>
      </c>
      <c r="R5818" s="10">
        <v>3.1495702148522724E-5</v>
      </c>
      <c r="S5818" s="10">
        <v>5.3276153452345065E-5</v>
      </c>
      <c r="T5818" s="10">
        <v>1.7307970674290735E-6</v>
      </c>
      <c r="U5818" s="10">
        <v>7.1249999999999997E-5</v>
      </c>
      <c r="V5818" s="25"/>
      <c r="W5818" s="25"/>
      <c r="X5818" s="25"/>
      <c r="Y5818" s="25"/>
      <c r="Z5818" s="25"/>
      <c r="AA5818" s="25"/>
    </row>
    <row r="5819" spans="1:27" x14ac:dyDescent="0.35">
      <c r="A5819" s="5">
        <v>5815</v>
      </c>
      <c r="B5819" s="5">
        <v>243</v>
      </c>
      <c r="C5819" s="5">
        <v>8</v>
      </c>
      <c r="D5819" s="25">
        <v>1.1416E-4</v>
      </c>
      <c r="E5819" s="25">
        <v>1.1569E-4</v>
      </c>
      <c r="F5819" s="25">
        <v>1.1835E-4</v>
      </c>
      <c r="G5819" s="25">
        <v>1.1339E-4</v>
      </c>
      <c r="H5819" s="25">
        <v>1.3694999999999999E-4</v>
      </c>
      <c r="I5819" s="9">
        <v>1.1279E-4</v>
      </c>
      <c r="J5819" s="9">
        <v>1.1367E-4</v>
      </c>
      <c r="K5819" s="9">
        <v>0</v>
      </c>
      <c r="L5819" s="9">
        <v>3.9929999999999999E-5</v>
      </c>
      <c r="M5819" s="9">
        <v>6.0109999999999999E-5</v>
      </c>
      <c r="N5819" s="9">
        <v>8.0859999999999995E-5</v>
      </c>
      <c r="O5819" s="9">
        <v>1.2285E-4</v>
      </c>
      <c r="P5819" s="9">
        <v>1.1742E-4</v>
      </c>
      <c r="Q5819" s="9">
        <v>1.1247999999999999E-4</v>
      </c>
      <c r="R5819" s="10">
        <v>2.5732207093021351E-5</v>
      </c>
      <c r="S5819" s="10">
        <v>5.0644982972744418E-5</v>
      </c>
      <c r="T5819" s="10">
        <v>4.2387559553312009E-5</v>
      </c>
      <c r="U5819" s="10">
        <v>7.1249999999999997E-5</v>
      </c>
      <c r="V5819" s="25"/>
      <c r="W5819" s="25"/>
      <c r="X5819" s="25"/>
      <c r="Y5819" s="25"/>
      <c r="Z5819" s="25"/>
      <c r="AA5819" s="25"/>
    </row>
    <row r="5820" spans="1:27" x14ac:dyDescent="0.35">
      <c r="A5820" s="5">
        <v>5816</v>
      </c>
      <c r="B5820" s="5">
        <v>243</v>
      </c>
      <c r="C5820" s="5">
        <v>8</v>
      </c>
      <c r="D5820" s="25">
        <v>1.1415000000000001E-4</v>
      </c>
      <c r="E5820" s="25">
        <v>1.1121E-4</v>
      </c>
      <c r="F5820" s="25">
        <v>1.3818000000000001E-4</v>
      </c>
      <c r="G5820" s="25">
        <v>1.5852999999999999E-4</v>
      </c>
      <c r="H5820" s="25">
        <v>2.0233999999999999E-4</v>
      </c>
      <c r="I5820" s="9">
        <v>1.1636E-4</v>
      </c>
      <c r="J5820" s="9">
        <v>1.2266999999999999E-4</v>
      </c>
      <c r="K5820" s="9">
        <v>0</v>
      </c>
      <c r="L5820" s="9">
        <v>1.0399999999999999E-4</v>
      </c>
      <c r="M5820" s="9">
        <v>8.3720000000000005E-5</v>
      </c>
      <c r="N5820" s="9">
        <v>9.0950000000000002E-5</v>
      </c>
      <c r="O5820" s="9">
        <v>2.1985E-4</v>
      </c>
      <c r="P5820" s="9">
        <v>1.7794999999999999E-4</v>
      </c>
      <c r="Q5820" s="9">
        <v>1.3746E-4</v>
      </c>
      <c r="R5820" s="10">
        <v>1.9401568226123339E-5</v>
      </c>
      <c r="S5820" s="10">
        <v>5.4824303168723872E-5</v>
      </c>
      <c r="T5820" s="10">
        <v>2.3795065957409701E-4</v>
      </c>
      <c r="U5820" s="10">
        <v>7.1249999999999997E-5</v>
      </c>
      <c r="V5820" s="25"/>
      <c r="W5820" s="25"/>
      <c r="X5820" s="25"/>
      <c r="Y5820" s="25"/>
      <c r="Z5820" s="25"/>
      <c r="AA5820" s="25"/>
    </row>
    <row r="5821" spans="1:27" x14ac:dyDescent="0.35">
      <c r="A5821" s="5">
        <v>5817</v>
      </c>
      <c r="B5821" s="5">
        <v>243</v>
      </c>
      <c r="C5821" s="5">
        <v>8</v>
      </c>
      <c r="D5821" s="25">
        <v>1.1416E-4</v>
      </c>
      <c r="E5821" s="25">
        <v>1.0972E-4</v>
      </c>
      <c r="F5821" s="25">
        <v>1.1726999999999999E-4</v>
      </c>
      <c r="G5821" s="25">
        <v>1.5715E-4</v>
      </c>
      <c r="H5821" s="25">
        <v>1.9945999999999999E-4</v>
      </c>
      <c r="I5821" s="9">
        <v>1.1484000000000001E-4</v>
      </c>
      <c r="J5821" s="9">
        <v>1.259E-4</v>
      </c>
      <c r="K5821" s="9">
        <v>0</v>
      </c>
      <c r="L5821" s="9">
        <v>1.9260999999999999E-4</v>
      </c>
      <c r="M5821" s="9">
        <v>1.2375E-4</v>
      </c>
      <c r="N5821" s="9">
        <v>1.0483E-4</v>
      </c>
      <c r="O5821" s="9">
        <v>2.0994000000000001E-4</v>
      </c>
      <c r="P5821" s="9">
        <v>1.9272000000000001E-4</v>
      </c>
      <c r="Q5821" s="9">
        <v>1.7650000000000001E-4</v>
      </c>
      <c r="R5821" s="10">
        <v>1.3316761645486776E-5</v>
      </c>
      <c r="S5821" s="10">
        <v>6.2820370108390399E-5</v>
      </c>
      <c r="T5821" s="10">
        <v>3.266709778785373E-4</v>
      </c>
      <c r="U5821" s="10">
        <v>7.1249999999999997E-5</v>
      </c>
      <c r="V5821" s="25"/>
      <c r="W5821" s="25"/>
      <c r="X5821" s="25"/>
      <c r="Y5821" s="25"/>
      <c r="Z5821" s="25"/>
      <c r="AA5821" s="25"/>
    </row>
    <row r="5822" spans="1:27" x14ac:dyDescent="0.35">
      <c r="A5822" s="5">
        <v>5818</v>
      </c>
      <c r="B5822" s="5">
        <v>243</v>
      </c>
      <c r="C5822" s="5">
        <v>8</v>
      </c>
      <c r="D5822" s="25">
        <v>1.1415000000000001E-4</v>
      </c>
      <c r="E5822" s="25">
        <v>1.1928E-4</v>
      </c>
      <c r="F5822" s="25">
        <v>1.3682000000000001E-4</v>
      </c>
      <c r="G5822" s="25">
        <v>1.6725999999999999E-4</v>
      </c>
      <c r="H5822" s="25">
        <v>1.9565000000000001E-4</v>
      </c>
      <c r="I5822" s="9">
        <v>1.1226999999999999E-4</v>
      </c>
      <c r="J5822" s="9">
        <v>1.2678E-4</v>
      </c>
      <c r="K5822" s="9">
        <v>0</v>
      </c>
      <c r="L5822" s="9">
        <v>2.0379999999999999E-4</v>
      </c>
      <c r="M5822" s="9">
        <v>1.5872999999999999E-4</v>
      </c>
      <c r="N5822" s="9">
        <v>1.2470999999999999E-4</v>
      </c>
      <c r="O5822" s="9">
        <v>1.6750000000000001E-4</v>
      </c>
      <c r="P5822" s="9">
        <v>1.751E-4</v>
      </c>
      <c r="Q5822" s="9">
        <v>1.8315000000000001E-4</v>
      </c>
      <c r="R5822" s="10">
        <v>1.8293672354641989E-5</v>
      </c>
      <c r="S5822" s="10">
        <v>7.8993806109042074E-5</v>
      </c>
      <c r="T5822" s="10">
        <v>5.2994630600860181E-4</v>
      </c>
      <c r="U5822" s="10">
        <v>7.1249999999999997E-5</v>
      </c>
      <c r="V5822" s="25"/>
      <c r="W5822" s="25"/>
      <c r="X5822" s="25"/>
      <c r="Y5822" s="25"/>
      <c r="Z5822" s="25"/>
      <c r="AA5822" s="25"/>
    </row>
    <row r="5823" spans="1:27" x14ac:dyDescent="0.35">
      <c r="A5823" s="5">
        <v>5819</v>
      </c>
      <c r="B5823" s="5">
        <v>243</v>
      </c>
      <c r="C5823" s="5">
        <v>8</v>
      </c>
      <c r="D5823" s="25">
        <v>1.1416E-4</v>
      </c>
      <c r="E5823" s="25">
        <v>1.1615E-4</v>
      </c>
      <c r="F5823" s="25">
        <v>1.1815E-4</v>
      </c>
      <c r="G5823" s="25">
        <v>1.5629000000000001E-4</v>
      </c>
      <c r="H5823" s="25">
        <v>1.9981999999999999E-4</v>
      </c>
      <c r="I5823" s="9">
        <v>1.1112000000000001E-4</v>
      </c>
      <c r="J5823" s="9">
        <v>1.2683E-4</v>
      </c>
      <c r="K5823" s="9">
        <v>0</v>
      </c>
      <c r="L5823" s="9">
        <v>1.7558999999999999E-4</v>
      </c>
      <c r="M5823" s="9">
        <v>1.7270999999999999E-4</v>
      </c>
      <c r="N5823" s="9">
        <v>1.4297999999999999E-4</v>
      </c>
      <c r="O5823" s="9">
        <v>1.6720999999999999E-4</v>
      </c>
      <c r="P5823" s="9">
        <v>1.7343999999999999E-4</v>
      </c>
      <c r="Q5823" s="9">
        <v>1.8014999999999999E-4</v>
      </c>
      <c r="R5823" s="10">
        <v>2.4939111894357413E-5</v>
      </c>
      <c r="S5823" s="10">
        <v>1.0278685193735417E-4</v>
      </c>
      <c r="T5823" s="10">
        <v>3.7944331983642382E-4</v>
      </c>
      <c r="U5823" s="10">
        <v>7.1249999999999997E-5</v>
      </c>
      <c r="V5823" s="25"/>
      <c r="W5823" s="25"/>
      <c r="X5823" s="25"/>
      <c r="Y5823" s="25"/>
      <c r="Z5823" s="25"/>
      <c r="AA5823" s="25"/>
    </row>
    <row r="5824" spans="1:27" x14ac:dyDescent="0.35">
      <c r="A5824" s="5">
        <v>5820</v>
      </c>
      <c r="B5824" s="5">
        <v>243</v>
      </c>
      <c r="C5824" s="5">
        <v>8</v>
      </c>
      <c r="D5824" s="25">
        <v>1.1415000000000001E-4</v>
      </c>
      <c r="E5824" s="25">
        <v>1.1569999999999999E-4</v>
      </c>
      <c r="F5824" s="25">
        <v>1.3982E-4</v>
      </c>
      <c r="G5824" s="25">
        <v>1.6668E-4</v>
      </c>
      <c r="H5824" s="25">
        <v>1.9446000000000001E-4</v>
      </c>
      <c r="I5824" s="9">
        <v>1.0723E-4</v>
      </c>
      <c r="J5824" s="9">
        <v>1.2577000000000001E-4</v>
      </c>
      <c r="K5824" s="9">
        <v>0</v>
      </c>
      <c r="L5824" s="9">
        <v>1.7045E-4</v>
      </c>
      <c r="M5824" s="9">
        <v>1.7537E-4</v>
      </c>
      <c r="N5824" s="9">
        <v>1.5715999999999999E-4</v>
      </c>
      <c r="O5824" s="9">
        <v>1.6929E-4</v>
      </c>
      <c r="P5824" s="9">
        <v>1.7142000000000001E-4</v>
      </c>
      <c r="Q5824" s="9">
        <v>1.7409000000000001E-4</v>
      </c>
      <c r="R5824" s="10">
        <v>1.3684183864150531E-5</v>
      </c>
      <c r="S5824" s="10">
        <v>1.1160267754107184E-4</v>
      </c>
      <c r="T5824" s="10">
        <v>5.9642079141696848E-4</v>
      </c>
      <c r="U5824" s="10">
        <v>7.1249999999999997E-5</v>
      </c>
      <c r="V5824" s="25"/>
      <c r="W5824" s="25"/>
      <c r="X5824" s="25"/>
      <c r="Y5824" s="25"/>
      <c r="Z5824" s="25"/>
      <c r="AA5824" s="25"/>
    </row>
    <row r="5825" spans="1:27" x14ac:dyDescent="0.35">
      <c r="A5825" s="5">
        <v>5821</v>
      </c>
      <c r="B5825" s="5">
        <v>243</v>
      </c>
      <c r="C5825" s="5">
        <v>8</v>
      </c>
      <c r="D5825" s="25">
        <v>1.1416E-4</v>
      </c>
      <c r="E5825" s="25">
        <v>1.1504E-4</v>
      </c>
      <c r="F5825" s="25">
        <v>1.2026E-4</v>
      </c>
      <c r="G5825" s="25">
        <v>1.6573E-4</v>
      </c>
      <c r="H5825" s="25">
        <v>1.8866E-4</v>
      </c>
      <c r="I5825" s="9">
        <v>1.0485E-4</v>
      </c>
      <c r="J5825" s="9">
        <v>1.2627999999999999E-4</v>
      </c>
      <c r="K5825" s="9">
        <v>0</v>
      </c>
      <c r="L5825" s="9">
        <v>1.6971E-4</v>
      </c>
      <c r="M5825" s="9">
        <v>1.7415E-4</v>
      </c>
      <c r="N5825" s="9">
        <v>1.6656E-4</v>
      </c>
      <c r="O5825" s="9">
        <v>1.6127000000000001E-4</v>
      </c>
      <c r="P5825" s="9">
        <v>1.6417E-4</v>
      </c>
      <c r="Q5825" s="9">
        <v>1.6757E-4</v>
      </c>
      <c r="R5825" s="10">
        <v>2.428435421813353E-5</v>
      </c>
      <c r="S5825" s="10">
        <v>9.9636391025333064E-5</v>
      </c>
      <c r="T5825" s="10">
        <v>6.0546505452422044E-4</v>
      </c>
      <c r="U5825" s="10">
        <v>7.1249999999999997E-5</v>
      </c>
      <c r="V5825" s="25"/>
      <c r="W5825" s="25"/>
      <c r="X5825" s="25"/>
      <c r="Y5825" s="25"/>
      <c r="Z5825" s="25"/>
      <c r="AA5825" s="25"/>
    </row>
    <row r="5826" spans="1:27" x14ac:dyDescent="0.35">
      <c r="A5826" s="5">
        <v>5822</v>
      </c>
      <c r="B5826" s="5">
        <v>243</v>
      </c>
      <c r="C5826" s="5">
        <v>8</v>
      </c>
      <c r="D5826" s="25">
        <v>1.1415000000000001E-4</v>
      </c>
      <c r="E5826" s="25">
        <v>1.1472E-4</v>
      </c>
      <c r="F5826" s="25">
        <v>1.1895E-4</v>
      </c>
      <c r="G5826" s="25">
        <v>1.6093999999999999E-4</v>
      </c>
      <c r="H5826" s="25">
        <v>1.9989000000000001E-4</v>
      </c>
      <c r="I5826" s="9">
        <v>1.0459999999999999E-4</v>
      </c>
      <c r="J5826" s="9">
        <v>1.2664999999999999E-4</v>
      </c>
      <c r="K5826" s="9">
        <v>0</v>
      </c>
      <c r="L5826" s="9">
        <v>1.6289000000000001E-4</v>
      </c>
      <c r="M5826" s="9">
        <v>1.7019E-4</v>
      </c>
      <c r="N5826" s="9">
        <v>1.7082999999999999E-4</v>
      </c>
      <c r="O5826" s="9">
        <v>1.7804E-4</v>
      </c>
      <c r="P5826" s="9">
        <v>1.6924E-4</v>
      </c>
      <c r="Q5826" s="9">
        <v>1.6119999999999999E-4</v>
      </c>
      <c r="R5826" s="10">
        <v>3.1627892812261073E-5</v>
      </c>
      <c r="S5826" s="10">
        <v>9.57864796121378E-5</v>
      </c>
      <c r="T5826" s="10">
        <v>4.4385612050270576E-4</v>
      </c>
      <c r="U5826" s="10">
        <v>7.1249999999999997E-5</v>
      </c>
      <c r="V5826" s="25"/>
      <c r="W5826" s="25"/>
      <c r="X5826" s="25"/>
      <c r="Y5826" s="25"/>
      <c r="Z5826" s="25"/>
      <c r="AA5826" s="25"/>
    </row>
    <row r="5827" spans="1:27" x14ac:dyDescent="0.35">
      <c r="A5827" s="5">
        <v>5823</v>
      </c>
      <c r="B5827" s="5">
        <v>243</v>
      </c>
      <c r="C5827" s="5">
        <v>8</v>
      </c>
      <c r="D5827" s="25">
        <v>1.1416E-4</v>
      </c>
      <c r="E5827" s="25">
        <v>1.1764000000000001E-4</v>
      </c>
      <c r="F5827" s="25">
        <v>1.2863999999999999E-4</v>
      </c>
      <c r="G5827" s="25">
        <v>1.6171999999999999E-4</v>
      </c>
      <c r="H5827" s="25">
        <v>1.9767E-4</v>
      </c>
      <c r="I5827" s="9">
        <v>1.0611999999999999E-4</v>
      </c>
      <c r="J5827" s="9">
        <v>1.2674E-4</v>
      </c>
      <c r="K5827" s="9">
        <v>0</v>
      </c>
      <c r="L5827" s="9">
        <v>1.7487000000000001E-4</v>
      </c>
      <c r="M5827" s="9">
        <v>1.6872999999999999E-4</v>
      </c>
      <c r="N5827" s="9">
        <v>1.7037000000000001E-4</v>
      </c>
      <c r="O5827" s="9">
        <v>1.8433999999999999E-4</v>
      </c>
      <c r="P5827" s="9">
        <v>1.6864000000000001E-4</v>
      </c>
      <c r="Q5827" s="9">
        <v>1.5381999999999999E-4</v>
      </c>
      <c r="R5827" s="10">
        <v>2.4352329977325171E-5</v>
      </c>
      <c r="S5827" s="10">
        <v>9.0536464579365553E-5</v>
      </c>
      <c r="T5827" s="10">
        <v>3.3462076636962082E-5</v>
      </c>
      <c r="U5827" s="10">
        <v>7.1249999999999997E-5</v>
      </c>
      <c r="V5827" s="25"/>
      <c r="W5827" s="25"/>
      <c r="X5827" s="25"/>
      <c r="Y5827" s="25"/>
      <c r="Z5827" s="25"/>
      <c r="AA5827" s="25"/>
    </row>
    <row r="5828" spans="1:27" x14ac:dyDescent="0.35">
      <c r="A5828" s="5">
        <v>5824</v>
      </c>
      <c r="B5828" s="5">
        <v>243</v>
      </c>
      <c r="C5828" s="5">
        <v>8</v>
      </c>
      <c r="D5828" s="25">
        <v>1.1415000000000001E-4</v>
      </c>
      <c r="E5828" s="25">
        <v>1.1340000000000001E-4</v>
      </c>
      <c r="F5828" s="25">
        <v>1.3017000000000001E-4</v>
      </c>
      <c r="G5828" s="25">
        <v>1.6302999999999999E-4</v>
      </c>
      <c r="H5828" s="25">
        <v>2.0074000000000001E-4</v>
      </c>
      <c r="I5828" s="9">
        <v>1.0788E-4</v>
      </c>
      <c r="J5828" s="9">
        <v>1.2715E-4</v>
      </c>
      <c r="K5828" s="9">
        <v>0</v>
      </c>
      <c r="L5828" s="9">
        <v>1.8194000000000001E-4</v>
      </c>
      <c r="M5828" s="9">
        <v>1.6841999999999999E-4</v>
      </c>
      <c r="N5828" s="9">
        <v>1.6666000000000001E-4</v>
      </c>
      <c r="O5828" s="9">
        <v>1.9845E-4</v>
      </c>
      <c r="P5828" s="9">
        <v>1.5395E-4</v>
      </c>
      <c r="Q5828" s="9">
        <v>1.1084E-4</v>
      </c>
      <c r="R5828" s="10">
        <v>3.6951033549785643E-5</v>
      </c>
      <c r="S5828" s="10">
        <v>9.2759791104035847E-5</v>
      </c>
      <c r="T5828" s="10">
        <v>1.8623037073562825E-5</v>
      </c>
      <c r="U5828" s="10">
        <v>7.1249999999999997E-5</v>
      </c>
      <c r="V5828" s="25"/>
      <c r="W5828" s="25"/>
      <c r="X5828" s="25"/>
      <c r="Y5828" s="25"/>
      <c r="Z5828" s="25"/>
      <c r="AA5828" s="25"/>
    </row>
    <row r="5829" spans="1:27" x14ac:dyDescent="0.35">
      <c r="A5829" s="5">
        <v>5825</v>
      </c>
      <c r="B5829" s="5">
        <v>243</v>
      </c>
      <c r="C5829" s="5">
        <v>8</v>
      </c>
      <c r="D5829" s="25">
        <v>1.1416E-4</v>
      </c>
      <c r="E5829" s="25">
        <v>1.1477E-4</v>
      </c>
      <c r="F5829" s="25">
        <v>1.2723000000000001E-4</v>
      </c>
      <c r="G5829" s="25">
        <v>1.6725E-4</v>
      </c>
      <c r="H5829" s="25">
        <v>1.8925999999999999E-4</v>
      </c>
      <c r="I5829" s="9">
        <v>1.1241E-4</v>
      </c>
      <c r="J5829" s="9">
        <v>1.283E-4</v>
      </c>
      <c r="K5829" s="9">
        <v>0</v>
      </c>
      <c r="L5829" s="9">
        <v>1.9457E-4</v>
      </c>
      <c r="M5829" s="9">
        <v>1.6323999999999999E-4</v>
      </c>
      <c r="N5829" s="9">
        <v>1.5307999999999999E-4</v>
      </c>
      <c r="O5829" s="9">
        <v>2.1201E-4</v>
      </c>
      <c r="P5829" s="9">
        <v>1.5852999999999999E-4</v>
      </c>
      <c r="Q5829" s="9">
        <v>1.0663E-4</v>
      </c>
      <c r="R5829" s="10">
        <v>6.753118041961504E-5</v>
      </c>
      <c r="S5829" s="10">
        <v>1.0261471801601659E-4</v>
      </c>
      <c r="T5829" s="10">
        <v>1.0486593996776151E-5</v>
      </c>
      <c r="U5829" s="10">
        <v>7.1249999999999997E-5</v>
      </c>
      <c r="V5829" s="25"/>
      <c r="W5829" s="25"/>
      <c r="X5829" s="25"/>
      <c r="Y5829" s="25"/>
      <c r="Z5829" s="25"/>
      <c r="AA5829" s="25"/>
    </row>
    <row r="5830" spans="1:27" x14ac:dyDescent="0.35">
      <c r="A5830" s="5">
        <v>5826</v>
      </c>
      <c r="B5830" s="5">
        <v>243</v>
      </c>
      <c r="C5830" s="5">
        <v>8</v>
      </c>
      <c r="D5830" s="25">
        <v>1.1415000000000001E-4</v>
      </c>
      <c r="E5830" s="25">
        <v>1.176E-4</v>
      </c>
      <c r="F5830" s="25">
        <v>1.2907000000000001E-4</v>
      </c>
      <c r="G5830" s="25">
        <v>1.5742999999999999E-4</v>
      </c>
      <c r="H5830" s="25">
        <v>1.9531999999999999E-4</v>
      </c>
      <c r="I5830" s="9">
        <v>1.1548E-4</v>
      </c>
      <c r="J5830" s="9">
        <v>1.2354999999999999E-4</v>
      </c>
      <c r="K5830" s="9">
        <v>0</v>
      </c>
      <c r="L5830" s="9">
        <v>2.0791000000000001E-4</v>
      </c>
      <c r="M5830" s="9">
        <v>1.6008999999999999E-4</v>
      </c>
      <c r="N5830" s="9">
        <v>1.3954000000000001E-4</v>
      </c>
      <c r="O5830" s="9">
        <v>2.0314000000000001E-4</v>
      </c>
      <c r="P5830" s="9">
        <v>1.5930999999999999E-4</v>
      </c>
      <c r="Q5830" s="9">
        <v>1.1689E-4</v>
      </c>
      <c r="R5830" s="10">
        <v>8.395441020382409E-5</v>
      </c>
      <c r="S5830" s="10">
        <v>1.2764775839598839E-4</v>
      </c>
      <c r="T5830" s="10">
        <v>4.5272221332360469E-5</v>
      </c>
      <c r="U5830" s="10">
        <v>7.1249999999999997E-5</v>
      </c>
      <c r="V5830" s="25"/>
      <c r="W5830" s="25"/>
      <c r="X5830" s="25"/>
      <c r="Y5830" s="25"/>
      <c r="Z5830" s="25"/>
      <c r="AA5830" s="25"/>
    </row>
    <row r="5831" spans="1:27" x14ac:dyDescent="0.35">
      <c r="A5831" s="5">
        <v>5827</v>
      </c>
      <c r="B5831" s="5">
        <v>243</v>
      </c>
      <c r="C5831" s="5">
        <v>8</v>
      </c>
      <c r="D5831" s="25">
        <v>1.1416E-4</v>
      </c>
      <c r="E5831" s="25">
        <v>1.1009E-4</v>
      </c>
      <c r="F5831" s="25">
        <v>1.3412999999999999E-4</v>
      </c>
      <c r="G5831" s="25">
        <v>1.0592E-4</v>
      </c>
      <c r="H5831" s="25">
        <v>1.281E-4</v>
      </c>
      <c r="I5831" s="9">
        <v>1.1529E-4</v>
      </c>
      <c r="J5831" s="9">
        <v>1.211E-4</v>
      </c>
      <c r="K5831" s="9">
        <v>0</v>
      </c>
      <c r="L5831" s="9">
        <v>2.0385999999999999E-4</v>
      </c>
      <c r="M5831" s="9">
        <v>1.5913E-4</v>
      </c>
      <c r="N5831" s="9">
        <v>1.3019999999999999E-4</v>
      </c>
      <c r="O5831" s="9">
        <v>1.6469999999999999E-4</v>
      </c>
      <c r="P5831" s="9">
        <v>1.3569E-4</v>
      </c>
      <c r="Q5831" s="9">
        <v>1.077E-4</v>
      </c>
      <c r="R5831" s="10">
        <v>6.7094519314690634E-5</v>
      </c>
      <c r="S5831" s="10">
        <v>1.4554465374534435E-4</v>
      </c>
      <c r="T5831" s="10">
        <v>0</v>
      </c>
      <c r="U5831" s="10">
        <v>7.1249999999999997E-5</v>
      </c>
      <c r="V5831" s="25"/>
      <c r="W5831" s="25"/>
      <c r="X5831" s="25"/>
      <c r="Y5831" s="25"/>
      <c r="Z5831" s="25"/>
      <c r="AA5831" s="25"/>
    </row>
    <row r="5832" spans="1:27" x14ac:dyDescent="0.35">
      <c r="A5832" s="5">
        <v>5828</v>
      </c>
      <c r="B5832" s="5">
        <v>243</v>
      </c>
      <c r="C5832" s="5">
        <v>8</v>
      </c>
      <c r="D5832" s="25">
        <v>1.1415000000000001E-4</v>
      </c>
      <c r="E5832" s="25">
        <v>1.0979E-4</v>
      </c>
      <c r="F5832" s="25">
        <v>1.2019999999999999E-4</v>
      </c>
      <c r="G5832" s="25">
        <v>1.0709000000000001E-4</v>
      </c>
      <c r="H5832" s="25">
        <v>1.2667000000000001E-4</v>
      </c>
      <c r="I5832" s="9">
        <v>1.1586000000000001E-4</v>
      </c>
      <c r="J5832" s="9">
        <v>1.2078000000000001E-4</v>
      </c>
      <c r="K5832" s="9">
        <v>0</v>
      </c>
      <c r="L5832" s="9">
        <v>1.7349999999999999E-4</v>
      </c>
      <c r="M5832" s="9">
        <v>1.5061E-4</v>
      </c>
      <c r="N5832" s="9">
        <v>1.2113E-4</v>
      </c>
      <c r="O5832" s="9">
        <v>1.2706999999999999E-4</v>
      </c>
      <c r="P5832" s="9">
        <v>1.1361E-4</v>
      </c>
      <c r="Q5832" s="9">
        <v>1.0077999999999999E-4</v>
      </c>
      <c r="R5832" s="10">
        <v>6.4069662525322092E-5</v>
      </c>
      <c r="S5832" s="10">
        <v>1.5374591747418687E-4</v>
      </c>
      <c r="T5832" s="10">
        <v>0</v>
      </c>
      <c r="U5832" s="10">
        <v>7.1249999999999997E-5</v>
      </c>
      <c r="V5832" s="25"/>
      <c r="W5832" s="25"/>
      <c r="X5832" s="25"/>
      <c r="Y5832" s="25"/>
      <c r="Z5832" s="25"/>
      <c r="AA5832" s="25"/>
    </row>
    <row r="5833" spans="1:27" x14ac:dyDescent="0.35">
      <c r="A5833" s="5">
        <v>5829</v>
      </c>
      <c r="B5833" s="5">
        <v>243</v>
      </c>
      <c r="C5833" s="5">
        <v>8</v>
      </c>
      <c r="D5833" s="25">
        <v>1.1416E-4</v>
      </c>
      <c r="E5833" s="25">
        <v>1.1595E-4</v>
      </c>
      <c r="F5833" s="25">
        <v>1.2483000000000001E-4</v>
      </c>
      <c r="G5833" s="25">
        <v>5.5770000000000003E-5</v>
      </c>
      <c r="H5833" s="25">
        <v>7.1979999999999999E-5</v>
      </c>
      <c r="I5833" s="9">
        <v>1.1688000000000001E-4</v>
      </c>
      <c r="J5833" s="9">
        <v>1.2138000000000001E-4</v>
      </c>
      <c r="K5833" s="9">
        <v>0</v>
      </c>
      <c r="L5833" s="9">
        <v>1.3821999999999999E-4</v>
      </c>
      <c r="M5833" s="9">
        <v>1.3493000000000001E-4</v>
      </c>
      <c r="N5833" s="9">
        <v>1.131E-4</v>
      </c>
      <c r="O5833" s="9">
        <v>8.5270000000000002E-5</v>
      </c>
      <c r="P5833" s="9">
        <v>8.7050000000000002E-5</v>
      </c>
      <c r="Q5833" s="9">
        <v>8.9060000000000005E-5</v>
      </c>
      <c r="R5833" s="10">
        <v>7.1241456511220594E-5</v>
      </c>
      <c r="S5833" s="10">
        <v>1.5876120372971118E-4</v>
      </c>
      <c r="T5833" s="10">
        <v>0</v>
      </c>
      <c r="U5833" s="10">
        <v>7.1249999999999997E-5</v>
      </c>
      <c r="V5833" s="25"/>
      <c r="W5833" s="25"/>
      <c r="X5833" s="25"/>
      <c r="Y5833" s="25"/>
      <c r="Z5833" s="25"/>
      <c r="AA5833" s="25"/>
    </row>
    <row r="5834" spans="1:27" x14ac:dyDescent="0.35">
      <c r="A5834" s="5">
        <v>5830</v>
      </c>
      <c r="B5834" s="5">
        <v>243</v>
      </c>
      <c r="C5834" s="5">
        <v>8</v>
      </c>
      <c r="D5834" s="25">
        <v>1.1415000000000001E-4</v>
      </c>
      <c r="E5834" s="25">
        <v>1.1022999999999999E-4</v>
      </c>
      <c r="F5834" s="25">
        <v>1.2121E-4</v>
      </c>
      <c r="G5834" s="25">
        <v>5.7330000000000002E-5</v>
      </c>
      <c r="H5834" s="25">
        <v>6.6439999999999994E-5</v>
      </c>
      <c r="I5834" s="9">
        <v>1.1349E-4</v>
      </c>
      <c r="J5834" s="9">
        <v>1.1429000000000001E-4</v>
      </c>
      <c r="K5834" s="9">
        <v>0</v>
      </c>
      <c r="L5834" s="9">
        <v>9.7869999999999996E-5</v>
      </c>
      <c r="M5834" s="9">
        <v>1.1365E-4</v>
      </c>
      <c r="N5834" s="9">
        <v>1.0560000000000001E-4</v>
      </c>
      <c r="O5834" s="9">
        <v>8.6680000000000004E-5</v>
      </c>
      <c r="P5834" s="9">
        <v>8.7059999999999997E-5</v>
      </c>
      <c r="Q5834" s="9">
        <v>8.7700000000000004E-5</v>
      </c>
      <c r="R5834" s="10">
        <v>7.4477840260203619E-5</v>
      </c>
      <c r="S5834" s="10">
        <v>1.6713376381104989E-4</v>
      </c>
      <c r="T5834" s="10">
        <v>0</v>
      </c>
      <c r="U5834" s="10">
        <v>7.1249999999999997E-5</v>
      </c>
      <c r="V5834" s="25"/>
      <c r="W5834" s="25"/>
      <c r="X5834" s="25"/>
      <c r="Y5834" s="25"/>
      <c r="Z5834" s="25"/>
      <c r="AA5834" s="25"/>
    </row>
    <row r="5835" spans="1:27" x14ac:dyDescent="0.35">
      <c r="A5835" s="5">
        <v>5831</v>
      </c>
      <c r="B5835" s="5">
        <v>243</v>
      </c>
      <c r="C5835" s="5">
        <v>8</v>
      </c>
      <c r="D5835" s="25">
        <v>1.1416E-4</v>
      </c>
      <c r="E5835" s="25">
        <v>1.1677E-4</v>
      </c>
      <c r="F5835" s="25">
        <v>1.2883999999999999E-4</v>
      </c>
      <c r="G5835" s="25">
        <v>6.2329999999999994E-5</v>
      </c>
      <c r="H5835" s="25">
        <v>7.3609999999999995E-5</v>
      </c>
      <c r="I5835" s="9">
        <v>1.0692E-4</v>
      </c>
      <c r="J5835" s="9">
        <v>1.0774E-4</v>
      </c>
      <c r="K5835" s="9">
        <v>0</v>
      </c>
      <c r="L5835" s="9">
        <v>9.0049999999999993E-5</v>
      </c>
      <c r="M5835" s="9">
        <v>9.8869999999999994E-5</v>
      </c>
      <c r="N5835" s="9">
        <v>9.9669999999999999E-5</v>
      </c>
      <c r="O5835" s="9">
        <v>7.7520000000000003E-5</v>
      </c>
      <c r="P5835" s="9">
        <v>7.1959999999999995E-5</v>
      </c>
      <c r="Q5835" s="9">
        <v>6.6719999999999998E-5</v>
      </c>
      <c r="R5835" s="10">
        <v>8.7546766037015537E-5</v>
      </c>
      <c r="S5835" s="10">
        <v>1.81471666277559E-4</v>
      </c>
      <c r="T5835" s="10">
        <v>0</v>
      </c>
      <c r="U5835" s="10">
        <v>7.1249999999999997E-5</v>
      </c>
      <c r="V5835" s="25"/>
      <c r="W5835" s="25"/>
      <c r="X5835" s="25"/>
      <c r="Y5835" s="25"/>
      <c r="Z5835" s="25"/>
      <c r="AA5835" s="25"/>
    </row>
    <row r="5836" spans="1:27" x14ac:dyDescent="0.35">
      <c r="A5836" s="5">
        <v>5832</v>
      </c>
      <c r="B5836" s="5">
        <v>243</v>
      </c>
      <c r="C5836" s="5">
        <v>8</v>
      </c>
      <c r="D5836" s="25">
        <v>1.1415000000000001E-4</v>
      </c>
      <c r="E5836" s="25">
        <v>1.1841E-4</v>
      </c>
      <c r="F5836" s="25">
        <v>1.1883999999999999E-4</v>
      </c>
      <c r="G5836" s="25">
        <v>5.7269999999999999E-5</v>
      </c>
      <c r="H5836" s="25">
        <v>7.1009999999999999E-5</v>
      </c>
      <c r="I5836" s="9">
        <v>1.0021E-4</v>
      </c>
      <c r="J5836" s="9">
        <v>1.0017E-4</v>
      </c>
      <c r="K5836" s="9">
        <v>0</v>
      </c>
      <c r="L5836" s="9">
        <v>8.0270000000000002E-5</v>
      </c>
      <c r="M5836" s="9">
        <v>8.5929999999999999E-5</v>
      </c>
      <c r="N5836" s="9">
        <v>9.0389999999999993E-5</v>
      </c>
      <c r="O5836" s="9">
        <v>6.2730000000000004E-5</v>
      </c>
      <c r="P5836" s="9">
        <v>6.0699999999999998E-5</v>
      </c>
      <c r="Q5836" s="9">
        <v>5.8879999999999999E-5</v>
      </c>
      <c r="R5836" s="10">
        <v>1.0625587870520771E-4</v>
      </c>
      <c r="S5836" s="10">
        <v>1.8915025144214322E-4</v>
      </c>
      <c r="T5836" s="10">
        <v>0</v>
      </c>
      <c r="U5836" s="10">
        <v>7.1249999999999997E-5</v>
      </c>
      <c r="V5836" s="25"/>
      <c r="W5836" s="25"/>
      <c r="X5836" s="25"/>
      <c r="Y5836" s="25"/>
      <c r="Z5836" s="25"/>
      <c r="AA5836" s="25"/>
    </row>
    <row r="5837" spans="1:27" x14ac:dyDescent="0.35">
      <c r="A5837" s="5">
        <v>5833</v>
      </c>
      <c r="B5837" s="5">
        <v>244</v>
      </c>
      <c r="C5837" s="5">
        <v>9</v>
      </c>
      <c r="D5837" s="25">
        <v>1.1416E-4</v>
      </c>
      <c r="E5837" s="25">
        <v>1.1411E-4</v>
      </c>
      <c r="F5837" s="25">
        <v>1.2509000000000001E-4</v>
      </c>
      <c r="G5837" s="25">
        <v>6.156E-5</v>
      </c>
      <c r="H5837" s="25">
        <v>4.5479999999999998E-5</v>
      </c>
      <c r="I5837" s="9">
        <v>9.6160000000000001E-5</v>
      </c>
      <c r="J5837" s="9">
        <v>9.4679999999999995E-5</v>
      </c>
      <c r="K5837" s="9">
        <v>0</v>
      </c>
      <c r="L5837" s="9">
        <v>6.6589999999999998E-5</v>
      </c>
      <c r="M5837" s="9">
        <v>7.3869999999999996E-5</v>
      </c>
      <c r="N5837" s="9">
        <v>8.1009999999999999E-5</v>
      </c>
      <c r="O5837" s="9">
        <v>6.8109999999999997E-5</v>
      </c>
      <c r="P5837" s="9">
        <v>6.0640000000000002E-5</v>
      </c>
      <c r="Q5837" s="9">
        <v>5.3480000000000003E-5</v>
      </c>
      <c r="R5837" s="10">
        <v>9.462826561909149E-5</v>
      </c>
      <c r="S5837" s="10">
        <v>1.8674253215582472E-4</v>
      </c>
      <c r="T5837" s="10">
        <v>0</v>
      </c>
      <c r="U5837" s="10">
        <v>7.0809999999999995E-5</v>
      </c>
      <c r="V5837" s="25"/>
      <c r="W5837" s="25"/>
      <c r="X5837" s="25"/>
      <c r="Y5837" s="25"/>
      <c r="Z5837" s="25"/>
      <c r="AA5837" s="25"/>
    </row>
    <row r="5838" spans="1:27" x14ac:dyDescent="0.35">
      <c r="A5838" s="5">
        <v>5834</v>
      </c>
      <c r="B5838" s="5">
        <v>244</v>
      </c>
      <c r="C5838" s="5">
        <v>9</v>
      </c>
      <c r="D5838" s="25">
        <v>1.1415000000000001E-4</v>
      </c>
      <c r="E5838" s="25">
        <v>1.0642E-4</v>
      </c>
      <c r="F5838" s="25">
        <v>1.3847999999999999E-4</v>
      </c>
      <c r="G5838" s="25">
        <v>5.9929999999999997E-5</v>
      </c>
      <c r="H5838" s="25">
        <v>4.5130000000000003E-5</v>
      </c>
      <c r="I5838" s="9">
        <v>9.3519999999999999E-5</v>
      </c>
      <c r="J5838" s="9">
        <v>9.2040000000000006E-5</v>
      </c>
      <c r="K5838" s="9">
        <v>0</v>
      </c>
      <c r="L5838" s="9">
        <v>6.8139999999999995E-5</v>
      </c>
      <c r="M5838" s="9">
        <v>6.6249999999999998E-5</v>
      </c>
      <c r="N5838" s="9">
        <v>7.1979999999999999E-5</v>
      </c>
      <c r="O5838" s="9">
        <v>3.5450000000000001E-5</v>
      </c>
      <c r="P5838" s="9">
        <v>4.6029999999999998E-5</v>
      </c>
      <c r="Q5838" s="9">
        <v>5.6409999999999997E-5</v>
      </c>
      <c r="R5838" s="10">
        <v>1.0172389555718101E-4</v>
      </c>
      <c r="S5838" s="10">
        <v>1.8321489986263342E-4</v>
      </c>
      <c r="T5838" s="10">
        <v>0</v>
      </c>
      <c r="U5838" s="10">
        <v>7.0809999999999995E-5</v>
      </c>
      <c r="V5838" s="25"/>
      <c r="W5838" s="25"/>
      <c r="X5838" s="25"/>
      <c r="Y5838" s="25"/>
      <c r="Z5838" s="25"/>
      <c r="AA5838" s="25"/>
    </row>
    <row r="5839" spans="1:27" x14ac:dyDescent="0.35">
      <c r="A5839" s="5">
        <v>5835</v>
      </c>
      <c r="B5839" s="5">
        <v>244</v>
      </c>
      <c r="C5839" s="5">
        <v>9</v>
      </c>
      <c r="D5839" s="25">
        <v>1.1416E-4</v>
      </c>
      <c r="E5839" s="25">
        <v>1.054E-4</v>
      </c>
      <c r="F5839" s="25">
        <v>1.3941999999999999E-4</v>
      </c>
      <c r="G5839" s="25">
        <v>5.342E-5</v>
      </c>
      <c r="H5839" s="25">
        <v>4.3489999999999999E-5</v>
      </c>
      <c r="I5839" s="9">
        <v>9.2239999999999998E-5</v>
      </c>
      <c r="J5839" s="9">
        <v>9.1650000000000005E-5</v>
      </c>
      <c r="K5839" s="9">
        <v>0</v>
      </c>
      <c r="L5839" s="9">
        <v>4.2549999999999997E-5</v>
      </c>
      <c r="M5839" s="9">
        <v>5.7349999999999998E-5</v>
      </c>
      <c r="N5839" s="9">
        <v>6.5469999999999995E-5</v>
      </c>
      <c r="O5839" s="9">
        <v>2.23E-5</v>
      </c>
      <c r="P5839" s="9">
        <v>4.231E-5</v>
      </c>
      <c r="Q5839" s="9">
        <v>6.1890000000000005E-5</v>
      </c>
      <c r="R5839" s="10">
        <v>1.0449785198993146E-4</v>
      </c>
      <c r="S5839" s="10">
        <v>1.7693741039070474E-4</v>
      </c>
      <c r="T5839" s="10">
        <v>0</v>
      </c>
      <c r="U5839" s="10">
        <v>7.0809999999999995E-5</v>
      </c>
      <c r="V5839" s="25"/>
      <c r="W5839" s="25"/>
      <c r="X5839" s="25"/>
      <c r="Y5839" s="25"/>
      <c r="Z5839" s="25"/>
      <c r="AA5839" s="25"/>
    </row>
    <row r="5840" spans="1:27" x14ac:dyDescent="0.35">
      <c r="A5840" s="5">
        <v>5836</v>
      </c>
      <c r="B5840" s="5">
        <v>244</v>
      </c>
      <c r="C5840" s="5">
        <v>9</v>
      </c>
      <c r="D5840" s="25">
        <v>1.1415000000000001E-4</v>
      </c>
      <c r="E5840" s="25">
        <v>1.1089E-4</v>
      </c>
      <c r="F5840" s="25">
        <v>1.404E-4</v>
      </c>
      <c r="G5840" s="25">
        <v>5.52E-5</v>
      </c>
      <c r="H5840" s="25">
        <v>4.6270000000000003E-5</v>
      </c>
      <c r="I5840" s="9">
        <v>9.2479999999999995E-5</v>
      </c>
      <c r="J5840" s="9">
        <v>9.1680000000000003E-5</v>
      </c>
      <c r="K5840" s="9">
        <v>0</v>
      </c>
      <c r="L5840" s="9">
        <v>2.7370000000000001E-5</v>
      </c>
      <c r="M5840" s="9">
        <v>4.9830000000000002E-5</v>
      </c>
      <c r="N5840" s="9">
        <v>6.1989999999999994E-5</v>
      </c>
      <c r="O5840" s="9">
        <v>2.1549999999999999E-5</v>
      </c>
      <c r="P5840" s="9">
        <v>5.1069999999999997E-5</v>
      </c>
      <c r="Q5840" s="9">
        <v>8.0000000000000007E-5</v>
      </c>
      <c r="R5840" s="10">
        <v>1.2831728835485486E-4</v>
      </c>
      <c r="S5840" s="10">
        <v>1.6498552876857375E-4</v>
      </c>
      <c r="T5840" s="10">
        <v>0</v>
      </c>
      <c r="U5840" s="10">
        <v>7.0809999999999995E-5</v>
      </c>
      <c r="V5840" s="25"/>
      <c r="W5840" s="25"/>
      <c r="X5840" s="25"/>
      <c r="Y5840" s="25"/>
      <c r="Z5840" s="25"/>
      <c r="AA5840" s="25"/>
    </row>
    <row r="5841" spans="1:27" x14ac:dyDescent="0.35">
      <c r="A5841" s="5">
        <v>5837</v>
      </c>
      <c r="B5841" s="5">
        <v>244</v>
      </c>
      <c r="C5841" s="5">
        <v>9</v>
      </c>
      <c r="D5841" s="25">
        <v>1.1416E-4</v>
      </c>
      <c r="E5841" s="25">
        <v>1.1074E-4</v>
      </c>
      <c r="F5841" s="25">
        <v>1.1797E-4</v>
      </c>
      <c r="G5841" s="25">
        <v>6.1829999999999996E-5</v>
      </c>
      <c r="H5841" s="25">
        <v>3.8529999999999999E-5</v>
      </c>
      <c r="I5841" s="9">
        <v>9.6280000000000007E-5</v>
      </c>
      <c r="J5841" s="9">
        <v>9.4450000000000005E-5</v>
      </c>
      <c r="K5841" s="9">
        <v>0</v>
      </c>
      <c r="L5841" s="9">
        <v>2.3289999999999999E-5</v>
      </c>
      <c r="M5841" s="9">
        <v>4.8479999999999997E-5</v>
      </c>
      <c r="N5841" s="9">
        <v>6.4460000000000003E-5</v>
      </c>
      <c r="O5841" s="9">
        <v>2.3649999999999999E-5</v>
      </c>
      <c r="P5841" s="9">
        <v>5.9209999999999997E-5</v>
      </c>
      <c r="Q5841" s="9">
        <v>9.4099999999999997E-5</v>
      </c>
      <c r="R5841" s="10">
        <v>1.348410116157202E-4</v>
      </c>
      <c r="S5841" s="10">
        <v>1.5991412223931265E-4</v>
      </c>
      <c r="T5841" s="10">
        <v>0</v>
      </c>
      <c r="U5841" s="10">
        <v>7.0809999999999995E-5</v>
      </c>
      <c r="V5841" s="25"/>
      <c r="W5841" s="25"/>
      <c r="X5841" s="25"/>
      <c r="Y5841" s="25"/>
      <c r="Z5841" s="25"/>
      <c r="AA5841" s="25"/>
    </row>
    <row r="5842" spans="1:27" x14ac:dyDescent="0.35">
      <c r="A5842" s="5">
        <v>5838</v>
      </c>
      <c r="B5842" s="5">
        <v>244</v>
      </c>
      <c r="C5842" s="5">
        <v>9</v>
      </c>
      <c r="D5842" s="25">
        <v>1.1415000000000001E-4</v>
      </c>
      <c r="E5842" s="25">
        <v>1.1003E-4</v>
      </c>
      <c r="F5842" s="25">
        <v>1.1811000000000001E-4</v>
      </c>
      <c r="G5842" s="25">
        <v>1.1547E-4</v>
      </c>
      <c r="H5842" s="25">
        <v>8.0060000000000003E-5</v>
      </c>
      <c r="I5842" s="9">
        <v>1.0618E-4</v>
      </c>
      <c r="J5842" s="9">
        <v>1.0179999999999999E-4</v>
      </c>
      <c r="K5842" s="9">
        <v>0</v>
      </c>
      <c r="L5842" s="9">
        <v>2.3499999999999999E-5</v>
      </c>
      <c r="M5842" s="9">
        <v>5.2320000000000001E-5</v>
      </c>
      <c r="N5842" s="9">
        <v>7.1119999999999997E-5</v>
      </c>
      <c r="O5842" s="9">
        <v>2.9920000000000002E-5</v>
      </c>
      <c r="P5842" s="9">
        <v>6.8969999999999999E-5</v>
      </c>
      <c r="Q5842" s="9">
        <v>1.0734E-4</v>
      </c>
      <c r="R5842" s="10">
        <v>1.2799441658022649E-4</v>
      </c>
      <c r="S5842" s="10">
        <v>1.6290061373196247E-4</v>
      </c>
      <c r="T5842" s="10">
        <v>0</v>
      </c>
      <c r="U5842" s="10">
        <v>7.0809999999999995E-5</v>
      </c>
      <c r="V5842" s="25"/>
      <c r="W5842" s="25"/>
      <c r="X5842" s="25"/>
      <c r="Y5842" s="25"/>
      <c r="Z5842" s="25"/>
      <c r="AA5842" s="25"/>
    </row>
    <row r="5843" spans="1:27" x14ac:dyDescent="0.35">
      <c r="A5843" s="5">
        <v>5839</v>
      </c>
      <c r="B5843" s="5">
        <v>244</v>
      </c>
      <c r="C5843" s="5">
        <v>9</v>
      </c>
      <c r="D5843" s="25">
        <v>1.1416E-4</v>
      </c>
      <c r="E5843" s="25">
        <v>1.1056999999999999E-4</v>
      </c>
      <c r="F5843" s="25">
        <v>1.2009E-4</v>
      </c>
      <c r="G5843" s="25">
        <v>1.1467E-4</v>
      </c>
      <c r="H5843" s="25">
        <v>7.9220000000000004E-5</v>
      </c>
      <c r="I5843" s="9">
        <v>1.1232E-4</v>
      </c>
      <c r="J5843" s="9">
        <v>1.1343E-4</v>
      </c>
      <c r="K5843" s="9">
        <v>0</v>
      </c>
      <c r="L5843" s="9">
        <v>2.8410000000000001E-5</v>
      </c>
      <c r="M5843" s="9">
        <v>5.944E-5</v>
      </c>
      <c r="N5843" s="9">
        <v>8.0890000000000006E-5</v>
      </c>
      <c r="O5843" s="9">
        <v>4.6690000000000002E-5</v>
      </c>
      <c r="P5843" s="9">
        <v>8.0309999999999995E-5</v>
      </c>
      <c r="Q5843" s="9">
        <v>1.1344E-4</v>
      </c>
      <c r="R5843" s="10">
        <v>1.2097709080450032E-4</v>
      </c>
      <c r="S5843" s="10">
        <v>1.5905889918487015E-4</v>
      </c>
      <c r="T5843" s="10">
        <v>1.1004136257134844E-5</v>
      </c>
      <c r="U5843" s="10">
        <v>7.0809999999999995E-5</v>
      </c>
      <c r="V5843" s="25"/>
      <c r="W5843" s="25"/>
      <c r="X5843" s="25"/>
      <c r="Y5843" s="25"/>
      <c r="Z5843" s="25"/>
      <c r="AA5843" s="25"/>
    </row>
    <row r="5844" spans="1:27" x14ac:dyDescent="0.35">
      <c r="A5844" s="5">
        <v>5840</v>
      </c>
      <c r="B5844" s="5">
        <v>244</v>
      </c>
      <c r="C5844" s="5">
        <v>9</v>
      </c>
      <c r="D5844" s="25">
        <v>1.1415000000000001E-4</v>
      </c>
      <c r="E5844" s="25">
        <v>1.1136E-4</v>
      </c>
      <c r="F5844" s="25">
        <v>1.3814E-4</v>
      </c>
      <c r="G5844" s="25">
        <v>1.6377000000000001E-4</v>
      </c>
      <c r="H5844" s="25">
        <v>1.2274000000000001E-4</v>
      </c>
      <c r="I5844" s="9">
        <v>1.1543E-4</v>
      </c>
      <c r="J5844" s="9">
        <v>1.2297999999999999E-4</v>
      </c>
      <c r="K5844" s="9">
        <v>0</v>
      </c>
      <c r="L5844" s="9">
        <v>4.2519999999999999E-5</v>
      </c>
      <c r="M5844" s="9">
        <v>6.8739999999999996E-5</v>
      </c>
      <c r="N5844" s="9">
        <v>9.1180000000000005E-5</v>
      </c>
      <c r="O5844" s="9">
        <v>6.7780000000000005E-5</v>
      </c>
      <c r="P5844" s="9">
        <v>1.0192999999999999E-4</v>
      </c>
      <c r="Q5844" s="9">
        <v>1.3572000000000001E-4</v>
      </c>
      <c r="R5844" s="10">
        <v>1.1209848501446443E-4</v>
      </c>
      <c r="S5844" s="10">
        <v>1.5814110976890351E-4</v>
      </c>
      <c r="T5844" s="10">
        <v>5.5470349151231767E-5</v>
      </c>
      <c r="U5844" s="10">
        <v>7.0809999999999995E-5</v>
      </c>
      <c r="V5844" s="25"/>
      <c r="W5844" s="25"/>
      <c r="X5844" s="25"/>
      <c r="Y5844" s="25"/>
      <c r="Z5844" s="25"/>
      <c r="AA5844" s="25"/>
    </row>
    <row r="5845" spans="1:27" x14ac:dyDescent="0.35">
      <c r="A5845" s="5">
        <v>5841</v>
      </c>
      <c r="B5845" s="5">
        <v>244</v>
      </c>
      <c r="C5845" s="5">
        <v>9</v>
      </c>
      <c r="D5845" s="25">
        <v>1.1416E-4</v>
      </c>
      <c r="E5845" s="25">
        <v>1.0607000000000001E-4</v>
      </c>
      <c r="F5845" s="25">
        <v>1.3797000000000001E-4</v>
      </c>
      <c r="G5845" s="25">
        <v>1.5752E-4</v>
      </c>
      <c r="H5845" s="25">
        <v>1.204E-4</v>
      </c>
      <c r="I5845" s="9">
        <v>1.1467E-4</v>
      </c>
      <c r="J5845" s="9">
        <v>1.2682000000000001E-4</v>
      </c>
      <c r="K5845" s="9">
        <v>0</v>
      </c>
      <c r="L5845" s="9">
        <v>6.1840000000000004E-5</v>
      </c>
      <c r="M5845" s="9">
        <v>8.2990000000000003E-5</v>
      </c>
      <c r="N5845" s="9">
        <v>1.0467E-4</v>
      </c>
      <c r="O5845" s="9">
        <v>1.0062E-4</v>
      </c>
      <c r="P5845" s="9">
        <v>1.3960000000000001E-4</v>
      </c>
      <c r="Q5845" s="9">
        <v>1.7836999999999999E-4</v>
      </c>
      <c r="R5845" s="10">
        <v>1.0536528484505556E-4</v>
      </c>
      <c r="S5845" s="10">
        <v>1.5393368655174591E-4</v>
      </c>
      <c r="T5845" s="10">
        <v>1.6000540144433774E-4</v>
      </c>
      <c r="U5845" s="10">
        <v>7.0809999999999995E-5</v>
      </c>
      <c r="V5845" s="25"/>
      <c r="W5845" s="25"/>
      <c r="X5845" s="25"/>
      <c r="Y5845" s="25"/>
      <c r="Z5845" s="25"/>
      <c r="AA5845" s="25"/>
    </row>
    <row r="5846" spans="1:27" x14ac:dyDescent="0.35">
      <c r="A5846" s="5">
        <v>5842</v>
      </c>
      <c r="B5846" s="5">
        <v>244</v>
      </c>
      <c r="C5846" s="5">
        <v>9</v>
      </c>
      <c r="D5846" s="25">
        <v>1.1415000000000001E-4</v>
      </c>
      <c r="E5846" s="25">
        <v>1.0793000000000001E-4</v>
      </c>
      <c r="F5846" s="25">
        <v>1.3668999999999999E-4</v>
      </c>
      <c r="G5846" s="25">
        <v>1.6558999999999999E-4</v>
      </c>
      <c r="H5846" s="25">
        <v>1.2294000000000001E-4</v>
      </c>
      <c r="I5846" s="9">
        <v>1.1323999999999999E-4</v>
      </c>
      <c r="J5846" s="9">
        <v>1.27E-4</v>
      </c>
      <c r="K5846" s="9">
        <v>0</v>
      </c>
      <c r="L5846" s="9">
        <v>9.1589999999999996E-5</v>
      </c>
      <c r="M5846" s="9">
        <v>1.0696000000000001E-4</v>
      </c>
      <c r="N5846" s="9">
        <v>1.2498000000000001E-4</v>
      </c>
      <c r="O5846" s="9">
        <v>1.2881000000000001E-4</v>
      </c>
      <c r="P5846" s="9">
        <v>1.5561000000000001E-4</v>
      </c>
      <c r="Q5846" s="9">
        <v>1.8258E-4</v>
      </c>
      <c r="R5846" s="10">
        <v>1.0749157638544448E-4</v>
      </c>
      <c r="S5846" s="10">
        <v>1.4788210570092686E-4</v>
      </c>
      <c r="T5846" s="10">
        <v>3.127397583456033E-4</v>
      </c>
      <c r="U5846" s="10">
        <v>7.0809999999999995E-5</v>
      </c>
      <c r="V5846" s="25"/>
      <c r="W5846" s="25"/>
      <c r="X5846" s="25"/>
      <c r="Y5846" s="25"/>
      <c r="Z5846" s="25"/>
      <c r="AA5846" s="25"/>
    </row>
    <row r="5847" spans="1:27" x14ac:dyDescent="0.35">
      <c r="A5847" s="5">
        <v>5843</v>
      </c>
      <c r="B5847" s="5">
        <v>244</v>
      </c>
      <c r="C5847" s="5">
        <v>9</v>
      </c>
      <c r="D5847" s="25">
        <v>1.1416E-4</v>
      </c>
      <c r="E5847" s="25">
        <v>1.0561E-4</v>
      </c>
      <c r="F5847" s="25">
        <v>1.3721E-4</v>
      </c>
      <c r="G5847" s="25">
        <v>1.6640000000000001E-4</v>
      </c>
      <c r="H5847" s="25">
        <v>1.2285E-4</v>
      </c>
      <c r="I5847" s="9">
        <v>1.122E-4</v>
      </c>
      <c r="J5847" s="9">
        <v>1.2718000000000001E-4</v>
      </c>
      <c r="K5847" s="9">
        <v>0</v>
      </c>
      <c r="L5847" s="9">
        <v>1.1989000000000001E-4</v>
      </c>
      <c r="M5847" s="9">
        <v>1.3054000000000001E-4</v>
      </c>
      <c r="N5847" s="9">
        <v>1.4311E-4</v>
      </c>
      <c r="O5847" s="9">
        <v>1.3687000000000001E-4</v>
      </c>
      <c r="P5847" s="9">
        <v>1.5810999999999999E-4</v>
      </c>
      <c r="Q5847" s="9">
        <v>1.7966E-4</v>
      </c>
      <c r="R5847" s="10">
        <v>9.9167582599302156E-5</v>
      </c>
      <c r="S5847" s="10">
        <v>1.4555810006709275E-4</v>
      </c>
      <c r="T5847" s="10">
        <v>2.4456841306720823E-4</v>
      </c>
      <c r="U5847" s="10">
        <v>7.0809999999999995E-5</v>
      </c>
      <c r="V5847" s="25"/>
      <c r="W5847" s="25"/>
      <c r="X5847" s="25"/>
      <c r="Y5847" s="25"/>
      <c r="Z5847" s="25"/>
      <c r="AA5847" s="25"/>
    </row>
    <row r="5848" spans="1:27" x14ac:dyDescent="0.35">
      <c r="A5848" s="5">
        <v>5844</v>
      </c>
      <c r="B5848" s="5">
        <v>244</v>
      </c>
      <c r="C5848" s="5">
        <v>9</v>
      </c>
      <c r="D5848" s="25">
        <v>1.1415000000000001E-4</v>
      </c>
      <c r="E5848" s="25">
        <v>1.0917E-4</v>
      </c>
      <c r="F5848" s="25">
        <v>1.2507999999999999E-4</v>
      </c>
      <c r="G5848" s="25">
        <v>1.6379E-4</v>
      </c>
      <c r="H5848" s="25">
        <v>1.2274000000000001E-4</v>
      </c>
      <c r="I5848" s="9">
        <v>1.0809E-4</v>
      </c>
      <c r="J5848" s="9">
        <v>1.2616999999999999E-4</v>
      </c>
      <c r="K5848" s="9">
        <v>0</v>
      </c>
      <c r="L5848" s="9">
        <v>1.3247000000000001E-4</v>
      </c>
      <c r="M5848" s="9">
        <v>1.4605E-4</v>
      </c>
      <c r="N5848" s="9">
        <v>1.5715E-4</v>
      </c>
      <c r="O5848" s="9">
        <v>1.3919E-4</v>
      </c>
      <c r="P5848" s="9">
        <v>1.5715E-4</v>
      </c>
      <c r="Q5848" s="9">
        <v>1.7548999999999999E-4</v>
      </c>
      <c r="R5848" s="10">
        <v>7.5964905556736984E-5</v>
      </c>
      <c r="S5848" s="10">
        <v>1.5561038600245606E-4</v>
      </c>
      <c r="T5848" s="10">
        <v>2.3472662582104287E-4</v>
      </c>
      <c r="U5848" s="10">
        <v>7.0809999999999995E-5</v>
      </c>
      <c r="V5848" s="25"/>
      <c r="W5848" s="25"/>
      <c r="X5848" s="25"/>
      <c r="Y5848" s="25"/>
      <c r="Z5848" s="25"/>
      <c r="AA5848" s="25"/>
    </row>
    <row r="5849" spans="1:27" x14ac:dyDescent="0.35">
      <c r="A5849" s="5">
        <v>5845</v>
      </c>
      <c r="B5849" s="5">
        <v>244</v>
      </c>
      <c r="C5849" s="5">
        <v>9</v>
      </c>
      <c r="D5849" s="25">
        <v>1.1416E-4</v>
      </c>
      <c r="E5849" s="25">
        <v>1.0840000000000001E-4</v>
      </c>
      <c r="F5849" s="25">
        <v>1.3253000000000001E-4</v>
      </c>
      <c r="G5849" s="25">
        <v>1.6641E-4</v>
      </c>
      <c r="H5849" s="25">
        <v>1.1482E-4</v>
      </c>
      <c r="I5849" s="9">
        <v>1.0868E-4</v>
      </c>
      <c r="J5849" s="9">
        <v>1.2674999999999999E-4</v>
      </c>
      <c r="K5849" s="9">
        <v>0</v>
      </c>
      <c r="L5849" s="9">
        <v>1.3755000000000001E-4</v>
      </c>
      <c r="M5849" s="9">
        <v>1.5334999999999999E-4</v>
      </c>
      <c r="N5849" s="9">
        <v>1.6682000000000001E-4</v>
      </c>
      <c r="O5849" s="9">
        <v>1.3009E-4</v>
      </c>
      <c r="P5849" s="9">
        <v>1.4873999999999999E-4</v>
      </c>
      <c r="Q5849" s="9">
        <v>1.6770000000000001E-4</v>
      </c>
      <c r="R5849" s="10">
        <v>1.0272610983067043E-4</v>
      </c>
      <c r="S5849" s="10">
        <v>1.4933372063360346E-4</v>
      </c>
      <c r="T5849" s="10">
        <v>4.4232894661968007E-4</v>
      </c>
      <c r="U5849" s="10">
        <v>7.0809999999999995E-5</v>
      </c>
      <c r="V5849" s="25"/>
      <c r="W5849" s="25"/>
      <c r="X5849" s="25"/>
      <c r="Y5849" s="25"/>
      <c r="Z5849" s="25"/>
      <c r="AA5849" s="25"/>
    </row>
    <row r="5850" spans="1:27" x14ac:dyDescent="0.35">
      <c r="A5850" s="5">
        <v>5846</v>
      </c>
      <c r="B5850" s="5">
        <v>244</v>
      </c>
      <c r="C5850" s="5">
        <v>9</v>
      </c>
      <c r="D5850" s="25">
        <v>1.1415000000000001E-4</v>
      </c>
      <c r="E5850" s="25">
        <v>1.1213E-4</v>
      </c>
      <c r="F5850" s="25">
        <v>1.2642999999999999E-4</v>
      </c>
      <c r="G5850" s="25">
        <v>1.5788E-4</v>
      </c>
      <c r="H5850" s="25">
        <v>1.2165E-4</v>
      </c>
      <c r="I5850" s="9">
        <v>1.0886E-4</v>
      </c>
      <c r="J5850" s="9">
        <v>1.2661000000000001E-4</v>
      </c>
      <c r="K5850" s="9">
        <v>0</v>
      </c>
      <c r="L5850" s="9">
        <v>1.3176999999999999E-4</v>
      </c>
      <c r="M5850" s="9">
        <v>1.5310000000000001E-4</v>
      </c>
      <c r="N5850" s="9">
        <v>1.7112E-4</v>
      </c>
      <c r="O5850" s="9">
        <v>1.1247999999999999E-4</v>
      </c>
      <c r="P5850" s="9">
        <v>1.3663999999999999E-4</v>
      </c>
      <c r="Q5850" s="9">
        <v>1.6091E-4</v>
      </c>
      <c r="R5850" s="10">
        <v>1.0756039196141343E-4</v>
      </c>
      <c r="S5850" s="10">
        <v>1.4127032313705922E-4</v>
      </c>
      <c r="T5850" s="10">
        <v>3.1525959525259561E-4</v>
      </c>
      <c r="U5850" s="10">
        <v>7.0809999999999995E-5</v>
      </c>
      <c r="V5850" s="25"/>
      <c r="W5850" s="25"/>
      <c r="X5850" s="25"/>
      <c r="Y5850" s="25"/>
      <c r="Z5850" s="25"/>
      <c r="AA5850" s="25"/>
    </row>
    <row r="5851" spans="1:27" x14ac:dyDescent="0.35">
      <c r="A5851" s="5">
        <v>5847</v>
      </c>
      <c r="B5851" s="5">
        <v>244</v>
      </c>
      <c r="C5851" s="5">
        <v>9</v>
      </c>
      <c r="D5851" s="25">
        <v>1.1416E-4</v>
      </c>
      <c r="E5851" s="25">
        <v>1.0733E-4</v>
      </c>
      <c r="F5851" s="25">
        <v>1.3687000000000001E-4</v>
      </c>
      <c r="G5851" s="25">
        <v>1.5704E-4</v>
      </c>
      <c r="H5851" s="25">
        <v>1.2103E-4</v>
      </c>
      <c r="I5851" s="9">
        <v>1.0992E-4</v>
      </c>
      <c r="J5851" s="9">
        <v>1.2704E-4</v>
      </c>
      <c r="K5851" s="9">
        <v>0</v>
      </c>
      <c r="L5851" s="9">
        <v>1.1694E-4</v>
      </c>
      <c r="M5851" s="9">
        <v>1.4684999999999999E-4</v>
      </c>
      <c r="N5851" s="9">
        <v>1.7051999999999999E-4</v>
      </c>
      <c r="O5851" s="9">
        <v>1.2714000000000001E-4</v>
      </c>
      <c r="P5851" s="9">
        <v>1.3972E-4</v>
      </c>
      <c r="Q5851" s="9">
        <v>1.5269E-4</v>
      </c>
      <c r="R5851" s="10">
        <v>1.154367559016672E-4</v>
      </c>
      <c r="S5851" s="10">
        <v>1.3520514749993602E-4</v>
      </c>
      <c r="T5851" s="10">
        <v>4.4830189336218047E-4</v>
      </c>
      <c r="U5851" s="10">
        <v>7.0809999999999995E-5</v>
      </c>
      <c r="V5851" s="25"/>
      <c r="W5851" s="25"/>
      <c r="X5851" s="25"/>
      <c r="Y5851" s="25"/>
      <c r="Z5851" s="25"/>
      <c r="AA5851" s="25"/>
    </row>
    <row r="5852" spans="1:27" x14ac:dyDescent="0.35">
      <c r="A5852" s="5">
        <v>5848</v>
      </c>
      <c r="B5852" s="5">
        <v>244</v>
      </c>
      <c r="C5852" s="5">
        <v>9</v>
      </c>
      <c r="D5852" s="25">
        <v>1.1415000000000001E-4</v>
      </c>
      <c r="E5852" s="25">
        <v>1.1338E-4</v>
      </c>
      <c r="F5852" s="25">
        <v>1.249E-4</v>
      </c>
      <c r="G5852" s="25">
        <v>1.6203999999999999E-4</v>
      </c>
      <c r="H5852" s="25">
        <v>1.1781999999999999E-4</v>
      </c>
      <c r="I5852" s="9">
        <v>1.1149E-4</v>
      </c>
      <c r="J5852" s="9">
        <v>1.2809E-4</v>
      </c>
      <c r="K5852" s="9">
        <v>0</v>
      </c>
      <c r="L5852" s="9">
        <v>1.2532999999999999E-4</v>
      </c>
      <c r="M5852" s="9">
        <v>1.4252000000000001E-4</v>
      </c>
      <c r="N5852" s="9">
        <v>1.6655000000000001E-4</v>
      </c>
      <c r="O5852" s="9">
        <v>1.3412E-4</v>
      </c>
      <c r="P5852" s="9">
        <v>1.2162E-4</v>
      </c>
      <c r="Q5852" s="9">
        <v>1.0993999999999999E-4</v>
      </c>
      <c r="R5852" s="10">
        <v>1.2567912967406133E-4</v>
      </c>
      <c r="S5852" s="10">
        <v>1.3868740120503929E-4</v>
      </c>
      <c r="T5852" s="10">
        <v>4.2982308937757004E-4</v>
      </c>
      <c r="U5852" s="10">
        <v>7.0809999999999995E-5</v>
      </c>
      <c r="V5852" s="25"/>
      <c r="W5852" s="25"/>
      <c r="X5852" s="25"/>
      <c r="Y5852" s="25"/>
      <c r="Z5852" s="25"/>
      <c r="AA5852" s="25"/>
    </row>
    <row r="5853" spans="1:27" x14ac:dyDescent="0.35">
      <c r="A5853" s="5">
        <v>5849</v>
      </c>
      <c r="B5853" s="5">
        <v>244</v>
      </c>
      <c r="C5853" s="5">
        <v>9</v>
      </c>
      <c r="D5853" s="25">
        <v>1.1416E-4</v>
      </c>
      <c r="E5853" s="25">
        <v>1.1368E-4</v>
      </c>
      <c r="F5853" s="25">
        <v>1.2558E-4</v>
      </c>
      <c r="G5853" s="25">
        <v>1.5966999999999999E-4</v>
      </c>
      <c r="H5853" s="25">
        <v>1.2071E-4</v>
      </c>
      <c r="I5853" s="9">
        <v>1.1472999999999999E-4</v>
      </c>
      <c r="J5853" s="9">
        <v>1.2933000000000001E-4</v>
      </c>
      <c r="K5853" s="9">
        <v>0</v>
      </c>
      <c r="L5853" s="9">
        <v>1.3191E-4</v>
      </c>
      <c r="M5853" s="9">
        <v>1.3405000000000001E-4</v>
      </c>
      <c r="N5853" s="9">
        <v>1.5275E-4</v>
      </c>
      <c r="O5853" s="9">
        <v>1.3883E-4</v>
      </c>
      <c r="P5853" s="9">
        <v>1.2207E-4</v>
      </c>
      <c r="Q5853" s="9">
        <v>1.0624E-4</v>
      </c>
      <c r="R5853" s="10">
        <v>1.2535955756583556E-4</v>
      </c>
      <c r="S5853" s="10">
        <v>1.3762529259527201E-4</v>
      </c>
      <c r="T5853" s="10">
        <v>2.5959410721631063E-4</v>
      </c>
      <c r="U5853" s="10">
        <v>7.0809999999999995E-5</v>
      </c>
      <c r="V5853" s="25"/>
      <c r="W5853" s="25"/>
      <c r="X5853" s="25"/>
      <c r="Y5853" s="25"/>
      <c r="Z5853" s="25"/>
      <c r="AA5853" s="25"/>
    </row>
    <row r="5854" spans="1:27" x14ac:dyDescent="0.35">
      <c r="A5854" s="5">
        <v>5850</v>
      </c>
      <c r="B5854" s="5">
        <v>244</v>
      </c>
      <c r="C5854" s="5">
        <v>9</v>
      </c>
      <c r="D5854" s="25">
        <v>1.1415000000000001E-4</v>
      </c>
      <c r="E5854" s="25">
        <v>1.0719E-4</v>
      </c>
      <c r="F5854" s="25">
        <v>1.1962E-4</v>
      </c>
      <c r="G5854" s="25">
        <v>1.5760000000000001E-4</v>
      </c>
      <c r="H5854" s="25">
        <v>1.188E-4</v>
      </c>
      <c r="I5854" s="9">
        <v>1.176E-4</v>
      </c>
      <c r="J5854" s="9">
        <v>1.2478000000000001E-4</v>
      </c>
      <c r="K5854" s="9">
        <v>0</v>
      </c>
      <c r="L5854" s="9">
        <v>1.3700999999999999E-4</v>
      </c>
      <c r="M5854" s="9">
        <v>1.2758999999999999E-4</v>
      </c>
      <c r="N5854" s="9">
        <v>1.3908E-4</v>
      </c>
      <c r="O5854" s="9">
        <v>1.4205000000000001E-4</v>
      </c>
      <c r="P5854" s="9">
        <v>1.3003E-4</v>
      </c>
      <c r="Q5854" s="9">
        <v>1.1888E-4</v>
      </c>
      <c r="R5854" s="10">
        <v>1.2469771033597063E-4</v>
      </c>
      <c r="S5854" s="10">
        <v>1.3653819988244205E-4</v>
      </c>
      <c r="T5854" s="10">
        <v>7.1369926133398853E-5</v>
      </c>
      <c r="U5854" s="10">
        <v>7.0809999999999995E-5</v>
      </c>
      <c r="V5854" s="25"/>
      <c r="W5854" s="25"/>
      <c r="X5854" s="25"/>
      <c r="Y5854" s="25"/>
      <c r="Z5854" s="25"/>
      <c r="AA5854" s="25"/>
    </row>
    <row r="5855" spans="1:27" x14ac:dyDescent="0.35">
      <c r="A5855" s="5">
        <v>5851</v>
      </c>
      <c r="B5855" s="5">
        <v>244</v>
      </c>
      <c r="C5855" s="5">
        <v>9</v>
      </c>
      <c r="D5855" s="25">
        <v>1.1416E-4</v>
      </c>
      <c r="E5855" s="25">
        <v>1.1394E-4</v>
      </c>
      <c r="F5855" s="25">
        <v>1.2912000000000001E-4</v>
      </c>
      <c r="G5855" s="25">
        <v>1.1192E-4</v>
      </c>
      <c r="H5855" s="25">
        <v>7.7130000000000002E-5</v>
      </c>
      <c r="I5855" s="9">
        <v>1.1691E-4</v>
      </c>
      <c r="J5855" s="9">
        <v>1.22E-4</v>
      </c>
      <c r="K5855" s="9">
        <v>0</v>
      </c>
      <c r="L5855" s="9">
        <v>1.4087E-4</v>
      </c>
      <c r="M5855" s="9">
        <v>1.2697000000000001E-4</v>
      </c>
      <c r="N5855" s="9">
        <v>1.3020999999999999E-4</v>
      </c>
      <c r="O5855" s="9">
        <v>1.4213E-4</v>
      </c>
      <c r="P5855" s="9">
        <v>1.2443999999999999E-4</v>
      </c>
      <c r="Q5855" s="9">
        <v>1.0771E-4</v>
      </c>
      <c r="R5855" s="10">
        <v>1.1276017034439347E-4</v>
      </c>
      <c r="S5855" s="10">
        <v>1.3510042254992995E-4</v>
      </c>
      <c r="T5855" s="10">
        <v>0</v>
      </c>
      <c r="U5855" s="10">
        <v>7.0809999999999995E-5</v>
      </c>
      <c r="V5855" s="25"/>
      <c r="W5855" s="25"/>
      <c r="X5855" s="25"/>
      <c r="Y5855" s="25"/>
      <c r="Z5855" s="25"/>
      <c r="AA5855" s="25"/>
    </row>
    <row r="5856" spans="1:27" x14ac:dyDescent="0.35">
      <c r="A5856" s="5">
        <v>5852</v>
      </c>
      <c r="B5856" s="5">
        <v>244</v>
      </c>
      <c r="C5856" s="5">
        <v>9</v>
      </c>
      <c r="D5856" s="25">
        <v>1.1415000000000001E-4</v>
      </c>
      <c r="E5856" s="25">
        <v>1.089E-4</v>
      </c>
      <c r="F5856" s="25">
        <v>1.3594E-4</v>
      </c>
      <c r="G5856" s="25">
        <v>1.0737E-4</v>
      </c>
      <c r="H5856" s="25">
        <v>7.9649999999999998E-5</v>
      </c>
      <c r="I5856" s="9">
        <v>1.1733E-4</v>
      </c>
      <c r="J5856" s="9">
        <v>1.2162E-4</v>
      </c>
      <c r="K5856" s="9">
        <v>0</v>
      </c>
      <c r="L5856" s="9">
        <v>1.4179000000000001E-4</v>
      </c>
      <c r="M5856" s="9">
        <v>1.2619000000000001E-4</v>
      </c>
      <c r="N5856" s="9">
        <v>1.2120000000000001E-4</v>
      </c>
      <c r="O5856" s="9">
        <v>1.4449999999999999E-4</v>
      </c>
      <c r="P5856" s="9">
        <v>1.2296E-4</v>
      </c>
      <c r="Q5856" s="9">
        <v>1.0245E-4</v>
      </c>
      <c r="R5856" s="10">
        <v>1.009524086714026E-4</v>
      </c>
      <c r="S5856" s="10">
        <v>1.3841092402747338E-4</v>
      </c>
      <c r="T5856" s="10">
        <v>0</v>
      </c>
      <c r="U5856" s="10">
        <v>7.0809999999999995E-5</v>
      </c>
      <c r="V5856" s="25"/>
      <c r="W5856" s="25"/>
      <c r="X5856" s="25"/>
      <c r="Y5856" s="25"/>
      <c r="Z5856" s="25"/>
      <c r="AA5856" s="25"/>
    </row>
    <row r="5857" spans="1:27" x14ac:dyDescent="0.35">
      <c r="A5857" s="5">
        <v>5853</v>
      </c>
      <c r="B5857" s="5">
        <v>244</v>
      </c>
      <c r="C5857" s="5">
        <v>9</v>
      </c>
      <c r="D5857" s="25">
        <v>1.1416E-4</v>
      </c>
      <c r="E5857" s="25">
        <v>1.1588E-4</v>
      </c>
      <c r="F5857" s="25">
        <v>1.1995E-4</v>
      </c>
      <c r="G5857" s="25">
        <v>6.0859999999999997E-5</v>
      </c>
      <c r="H5857" s="25">
        <v>3.9830000000000003E-5</v>
      </c>
      <c r="I5857" s="9">
        <v>1.178E-4</v>
      </c>
      <c r="J5857" s="9">
        <v>1.2176999999999999E-4</v>
      </c>
      <c r="K5857" s="9">
        <v>0</v>
      </c>
      <c r="L5857" s="9">
        <v>1.4391E-4</v>
      </c>
      <c r="M5857" s="9">
        <v>1.2485E-4</v>
      </c>
      <c r="N5857" s="9">
        <v>1.136E-4</v>
      </c>
      <c r="O5857" s="9">
        <v>8.4179999999999997E-5</v>
      </c>
      <c r="P5857" s="9">
        <v>8.5900000000000001E-5</v>
      </c>
      <c r="Q5857" s="9">
        <v>8.789E-5</v>
      </c>
      <c r="R5857" s="10">
        <v>9.1041681926063643E-5</v>
      </c>
      <c r="S5857" s="10">
        <v>1.4607777000285316E-4</v>
      </c>
      <c r="T5857" s="10">
        <v>0</v>
      </c>
      <c r="U5857" s="10">
        <v>7.0809999999999995E-5</v>
      </c>
      <c r="V5857" s="25"/>
      <c r="W5857" s="25"/>
      <c r="X5857" s="25"/>
      <c r="Y5857" s="25"/>
      <c r="Z5857" s="25"/>
      <c r="AA5857" s="25"/>
    </row>
    <row r="5858" spans="1:27" x14ac:dyDescent="0.35">
      <c r="A5858" s="5">
        <v>5854</v>
      </c>
      <c r="B5858" s="5">
        <v>244</v>
      </c>
      <c r="C5858" s="5">
        <v>9</v>
      </c>
      <c r="D5858" s="25">
        <v>1.1415000000000001E-4</v>
      </c>
      <c r="E5858" s="25">
        <v>1.0577999999999999E-4</v>
      </c>
      <c r="F5858" s="25">
        <v>1.2931999999999999E-4</v>
      </c>
      <c r="G5858" s="25">
        <v>6.1589999999999998E-5</v>
      </c>
      <c r="H5858" s="25">
        <v>4.0269999999999999E-5</v>
      </c>
      <c r="I5858" s="9">
        <v>1.1478E-4</v>
      </c>
      <c r="J5858" s="9">
        <v>1.1445E-4</v>
      </c>
      <c r="K5858" s="9">
        <v>0</v>
      </c>
      <c r="L5858" s="9">
        <v>9.7280000000000004E-5</v>
      </c>
      <c r="M5858" s="9">
        <v>1.1042E-4</v>
      </c>
      <c r="N5858" s="9">
        <v>1.0587E-4</v>
      </c>
      <c r="O5858" s="9">
        <v>8.6970000000000002E-5</v>
      </c>
      <c r="P5858" s="9">
        <v>8.7310000000000003E-5</v>
      </c>
      <c r="Q5858" s="9">
        <v>8.7960000000000005E-5</v>
      </c>
      <c r="R5858" s="10">
        <v>9.3908973331708576E-5</v>
      </c>
      <c r="S5858" s="10">
        <v>1.5808264411260148E-4</v>
      </c>
      <c r="T5858" s="10">
        <v>0</v>
      </c>
      <c r="U5858" s="10">
        <v>7.0809999999999995E-5</v>
      </c>
      <c r="V5858" s="25"/>
      <c r="W5858" s="25"/>
      <c r="X5858" s="25"/>
      <c r="Y5858" s="25"/>
      <c r="Z5858" s="25"/>
      <c r="AA5858" s="25"/>
    </row>
    <row r="5859" spans="1:27" x14ac:dyDescent="0.35">
      <c r="A5859" s="5">
        <v>5855</v>
      </c>
      <c r="B5859" s="5">
        <v>244</v>
      </c>
      <c r="C5859" s="5">
        <v>9</v>
      </c>
      <c r="D5859" s="25">
        <v>1.1416E-4</v>
      </c>
      <c r="E5859" s="25">
        <v>1.053E-4</v>
      </c>
      <c r="F5859" s="25">
        <v>1.1788E-4</v>
      </c>
      <c r="G5859" s="25">
        <v>5.5149999999999999E-5</v>
      </c>
      <c r="H5859" s="25">
        <v>4.2700000000000001E-5</v>
      </c>
      <c r="I5859" s="9">
        <v>1.0826E-4</v>
      </c>
      <c r="J5859" s="9">
        <v>1.0774E-4</v>
      </c>
      <c r="K5859" s="9">
        <v>0</v>
      </c>
      <c r="L5859" s="9">
        <v>9.0530000000000002E-5</v>
      </c>
      <c r="M5859" s="9">
        <v>9.8220000000000005E-5</v>
      </c>
      <c r="N5859" s="9">
        <v>9.9970000000000007E-5</v>
      </c>
      <c r="O5859" s="9">
        <v>8.4919999999999993E-5</v>
      </c>
      <c r="P5859" s="9">
        <v>7.5820000000000003E-5</v>
      </c>
      <c r="Q5859" s="9">
        <v>6.7169999999999996E-5</v>
      </c>
      <c r="R5859" s="10">
        <v>9.8126872513195403E-5</v>
      </c>
      <c r="S5859" s="10">
        <v>1.6612617697007933E-4</v>
      </c>
      <c r="T5859" s="10">
        <v>0</v>
      </c>
      <c r="U5859" s="10">
        <v>7.0809999999999995E-5</v>
      </c>
      <c r="V5859" s="25"/>
      <c r="W5859" s="25"/>
      <c r="X5859" s="25"/>
      <c r="Y5859" s="25"/>
      <c r="Z5859" s="25"/>
      <c r="AA5859" s="25"/>
    </row>
    <row r="5860" spans="1:27" x14ac:dyDescent="0.35">
      <c r="A5860" s="5">
        <v>5856</v>
      </c>
      <c r="B5860" s="5">
        <v>244</v>
      </c>
      <c r="C5860" s="5">
        <v>9</v>
      </c>
      <c r="D5860" s="25">
        <v>1.1415000000000001E-4</v>
      </c>
      <c r="E5860" s="25">
        <v>1.1510000000000001E-4</v>
      </c>
      <c r="F5860" s="25">
        <v>1.2674999999999999E-4</v>
      </c>
      <c r="G5860" s="25">
        <v>6.1480000000000001E-5</v>
      </c>
      <c r="H5860" s="25">
        <v>4.0219999999999998E-5</v>
      </c>
      <c r="I5860" s="9">
        <v>1.0221999999999999E-4</v>
      </c>
      <c r="J5860" s="9">
        <v>1.0088E-4</v>
      </c>
      <c r="K5860" s="9">
        <v>0</v>
      </c>
      <c r="L5860" s="9">
        <v>8.6379999999999996E-5</v>
      </c>
      <c r="M5860" s="9">
        <v>8.7299999999999994E-5</v>
      </c>
      <c r="N5860" s="9">
        <v>9.0680000000000006E-5</v>
      </c>
      <c r="O5860" s="9">
        <v>7.8860000000000001E-5</v>
      </c>
      <c r="P5860" s="9">
        <v>6.8559999999999994E-5</v>
      </c>
      <c r="Q5860" s="9">
        <v>5.8690000000000002E-5</v>
      </c>
      <c r="R5860" s="10">
        <v>1.1646533875472701E-4</v>
      </c>
      <c r="S5860" s="10">
        <v>1.7569249915426466E-4</v>
      </c>
      <c r="T5860" s="10">
        <v>0</v>
      </c>
      <c r="U5860" s="10">
        <v>7.0809999999999995E-5</v>
      </c>
      <c r="V5860" s="25"/>
      <c r="W5860" s="25"/>
      <c r="X5860" s="25"/>
      <c r="Y5860" s="25"/>
      <c r="Z5860" s="25"/>
      <c r="AA5860" s="25"/>
    </row>
    <row r="5861" spans="1:27" x14ac:dyDescent="0.35">
      <c r="A5861" s="5">
        <v>5857</v>
      </c>
      <c r="B5861" s="5">
        <v>245</v>
      </c>
      <c r="C5861" s="5">
        <v>9</v>
      </c>
      <c r="D5861" s="25">
        <v>1.1416E-4</v>
      </c>
      <c r="E5861" s="25">
        <v>1.1705E-4</v>
      </c>
      <c r="F5861" s="25">
        <v>1.4171E-4</v>
      </c>
      <c r="G5861" s="25">
        <v>5.4870000000000002E-5</v>
      </c>
      <c r="H5861" s="25">
        <v>1.437E-5</v>
      </c>
      <c r="I5861" s="9">
        <v>9.7330000000000005E-5</v>
      </c>
      <c r="J5861" s="9">
        <v>9.569E-5</v>
      </c>
      <c r="K5861" s="9">
        <v>0</v>
      </c>
      <c r="L5861" s="9">
        <v>8.0279999999999997E-5</v>
      </c>
      <c r="M5861" s="9">
        <v>7.8100000000000001E-5</v>
      </c>
      <c r="N5861" s="9">
        <v>8.1169999999999997E-5</v>
      </c>
      <c r="O5861" s="9">
        <v>6.8300000000000007E-5</v>
      </c>
      <c r="P5861" s="9">
        <v>6.0810000000000002E-5</v>
      </c>
      <c r="Q5861" s="9">
        <v>5.363E-5</v>
      </c>
      <c r="R5861" s="10">
        <v>1.1937987062507546E-4</v>
      </c>
      <c r="S5861" s="10">
        <v>1.7580136395627658E-4</v>
      </c>
      <c r="T5861" s="10">
        <v>0</v>
      </c>
      <c r="U5861" s="10">
        <v>7.0030000000000005E-5</v>
      </c>
      <c r="V5861" s="25"/>
      <c r="W5861" s="25"/>
      <c r="X5861" s="25"/>
      <c r="Y5861" s="25"/>
      <c r="Z5861" s="25"/>
      <c r="AA5861" s="25"/>
    </row>
    <row r="5862" spans="1:27" x14ac:dyDescent="0.35">
      <c r="A5862" s="5">
        <v>5858</v>
      </c>
      <c r="B5862" s="5">
        <v>245</v>
      </c>
      <c r="C5862" s="5">
        <v>9</v>
      </c>
      <c r="D5862" s="25">
        <v>1.1415000000000001E-4</v>
      </c>
      <c r="E5862" s="25">
        <v>1.0938E-4</v>
      </c>
      <c r="F5862" s="25">
        <v>1.2652E-4</v>
      </c>
      <c r="G5862" s="25">
        <v>5.414E-5</v>
      </c>
      <c r="H5862" s="25">
        <v>1.4080000000000001E-5</v>
      </c>
      <c r="I5862" s="9">
        <v>9.4489999999999998E-5</v>
      </c>
      <c r="J5862" s="9">
        <v>9.3659999999999994E-5</v>
      </c>
      <c r="K5862" s="9">
        <v>1.06E-5</v>
      </c>
      <c r="L5862" s="9">
        <v>7.1089999999999999E-5</v>
      </c>
      <c r="M5862" s="9">
        <v>6.9720000000000003E-5</v>
      </c>
      <c r="N5862" s="9">
        <v>7.2070000000000006E-5</v>
      </c>
      <c r="O5862" s="9">
        <v>3.5070000000000001E-5</v>
      </c>
      <c r="P5862" s="9">
        <v>4.5540000000000001E-5</v>
      </c>
      <c r="Q5862" s="9">
        <v>5.5819999999999997E-5</v>
      </c>
      <c r="R5862" s="10">
        <v>1.1790541547189185E-4</v>
      </c>
      <c r="S5862" s="10">
        <v>1.7646653091508705E-4</v>
      </c>
      <c r="T5862" s="10">
        <v>0</v>
      </c>
      <c r="U5862" s="10">
        <v>7.0030000000000005E-5</v>
      </c>
      <c r="V5862" s="25"/>
      <c r="W5862" s="25"/>
      <c r="X5862" s="25"/>
      <c r="Y5862" s="25"/>
      <c r="Z5862" s="25"/>
      <c r="AA5862" s="25"/>
    </row>
    <row r="5863" spans="1:27" x14ac:dyDescent="0.35">
      <c r="A5863" s="5">
        <v>5859</v>
      </c>
      <c r="B5863" s="5">
        <v>245</v>
      </c>
      <c r="C5863" s="5">
        <v>9</v>
      </c>
      <c r="D5863" s="25">
        <v>1.1416E-4</v>
      </c>
      <c r="E5863" s="25">
        <v>1.1098E-4</v>
      </c>
      <c r="F5863" s="25">
        <v>1.4336000000000001E-4</v>
      </c>
      <c r="G5863" s="25">
        <v>5.948E-5</v>
      </c>
      <c r="H5863" s="25">
        <v>1.543E-5</v>
      </c>
      <c r="I5863" s="9">
        <v>9.3059999999999993E-5</v>
      </c>
      <c r="J5863" s="9">
        <v>9.2930000000000006E-5</v>
      </c>
      <c r="K5863" s="9">
        <v>0</v>
      </c>
      <c r="L5863" s="9">
        <v>4.3239999999999999E-5</v>
      </c>
      <c r="M5863" s="9">
        <v>5.9030000000000002E-5</v>
      </c>
      <c r="N5863" s="9">
        <v>6.5419999999999994E-5</v>
      </c>
      <c r="O5863" s="9">
        <v>2.2209999999999999E-5</v>
      </c>
      <c r="P5863" s="9">
        <v>4.214E-5</v>
      </c>
      <c r="Q5863" s="9">
        <v>6.1649999999999994E-5</v>
      </c>
      <c r="R5863" s="10">
        <v>1.0724195300842604E-4</v>
      </c>
      <c r="S5863" s="10">
        <v>1.7691645657097002E-4</v>
      </c>
      <c r="T5863" s="10">
        <v>0</v>
      </c>
      <c r="U5863" s="10">
        <v>7.0030000000000005E-5</v>
      </c>
      <c r="V5863" s="25"/>
      <c r="W5863" s="25"/>
      <c r="X5863" s="25"/>
      <c r="Y5863" s="25"/>
      <c r="Z5863" s="25"/>
      <c r="AA5863" s="25"/>
    </row>
    <row r="5864" spans="1:27" x14ac:dyDescent="0.35">
      <c r="A5864" s="5">
        <v>5860</v>
      </c>
      <c r="B5864" s="5">
        <v>245</v>
      </c>
      <c r="C5864" s="5">
        <v>9</v>
      </c>
      <c r="D5864" s="25">
        <v>1.1415000000000001E-4</v>
      </c>
      <c r="E5864" s="25">
        <v>1.1177E-4</v>
      </c>
      <c r="F5864" s="25">
        <v>1.3086E-4</v>
      </c>
      <c r="G5864" s="25">
        <v>6.3490000000000004E-5</v>
      </c>
      <c r="H5864" s="25">
        <v>1.449E-5</v>
      </c>
      <c r="I5864" s="9">
        <v>9.3999999999999994E-5</v>
      </c>
      <c r="J5864" s="9">
        <v>9.3029999999999995E-5</v>
      </c>
      <c r="K5864" s="9">
        <v>0</v>
      </c>
      <c r="L5864" s="9">
        <v>2.758E-5</v>
      </c>
      <c r="M5864" s="9">
        <v>5.0389999999999997E-5</v>
      </c>
      <c r="N5864" s="9">
        <v>6.1859999999999994E-5</v>
      </c>
      <c r="O5864" s="9">
        <v>2.181E-5</v>
      </c>
      <c r="P5864" s="9">
        <v>5.168E-5</v>
      </c>
      <c r="Q5864" s="9">
        <v>8.0959999999999997E-5</v>
      </c>
      <c r="R5864" s="10">
        <v>1.049345916045917E-4</v>
      </c>
      <c r="S5864" s="10">
        <v>1.7559248849559038E-4</v>
      </c>
      <c r="T5864" s="10">
        <v>0</v>
      </c>
      <c r="U5864" s="10">
        <v>7.0030000000000005E-5</v>
      </c>
      <c r="V5864" s="25"/>
      <c r="W5864" s="25"/>
      <c r="X5864" s="25"/>
      <c r="Y5864" s="25"/>
      <c r="Z5864" s="25"/>
      <c r="AA5864" s="25"/>
    </row>
    <row r="5865" spans="1:27" x14ac:dyDescent="0.35">
      <c r="A5865" s="5">
        <v>5861</v>
      </c>
      <c r="B5865" s="5">
        <v>245</v>
      </c>
      <c r="C5865" s="5">
        <v>9</v>
      </c>
      <c r="D5865" s="25">
        <v>1.1416E-4</v>
      </c>
      <c r="E5865" s="25">
        <v>1.0972E-4</v>
      </c>
      <c r="F5865" s="25">
        <v>1.4320000000000001E-4</v>
      </c>
      <c r="G5865" s="25">
        <v>6.0760000000000001E-5</v>
      </c>
      <c r="H5865" s="25">
        <v>1.6140000000000001E-5</v>
      </c>
      <c r="I5865" s="9">
        <v>9.8120000000000002E-5</v>
      </c>
      <c r="J5865" s="9">
        <v>9.5950000000000001E-5</v>
      </c>
      <c r="K5865" s="9">
        <v>0</v>
      </c>
      <c r="L5865" s="9">
        <v>2.3459999999999999E-5</v>
      </c>
      <c r="M5865" s="9">
        <v>4.8850000000000002E-5</v>
      </c>
      <c r="N5865" s="9">
        <v>6.4529999999999994E-5</v>
      </c>
      <c r="O5865" s="9">
        <v>2.3770000000000001E-5</v>
      </c>
      <c r="P5865" s="9">
        <v>5.9500000000000003E-5</v>
      </c>
      <c r="Q5865" s="9">
        <v>9.4560000000000003E-5</v>
      </c>
      <c r="R5865" s="10">
        <v>1.0275221538526586E-4</v>
      </c>
      <c r="S5865" s="10">
        <v>1.7259155448882794E-4</v>
      </c>
      <c r="T5865" s="10">
        <v>0</v>
      </c>
      <c r="U5865" s="10">
        <v>7.0030000000000005E-5</v>
      </c>
      <c r="V5865" s="25"/>
      <c r="W5865" s="25"/>
      <c r="X5865" s="25"/>
      <c r="Y5865" s="25"/>
      <c r="Z5865" s="25"/>
      <c r="AA5865" s="25"/>
    </row>
    <row r="5866" spans="1:27" x14ac:dyDescent="0.35">
      <c r="A5866" s="5">
        <v>5862</v>
      </c>
      <c r="B5866" s="5">
        <v>245</v>
      </c>
      <c r="C5866" s="5">
        <v>9</v>
      </c>
      <c r="D5866" s="25">
        <v>1.1415000000000001E-4</v>
      </c>
      <c r="E5866" s="25">
        <v>1.1726999999999999E-4</v>
      </c>
      <c r="F5866" s="25">
        <v>1.3255999999999999E-4</v>
      </c>
      <c r="G5866" s="25">
        <v>1.1379000000000001E-4</v>
      </c>
      <c r="H5866" s="25">
        <v>2.8940000000000001E-5</v>
      </c>
      <c r="I5866" s="9">
        <v>1.0878E-4</v>
      </c>
      <c r="J5866" s="9">
        <v>1.0469E-4</v>
      </c>
      <c r="K5866" s="9">
        <v>0</v>
      </c>
      <c r="L5866" s="9">
        <v>2.3620000000000001E-5</v>
      </c>
      <c r="M5866" s="9">
        <v>5.2630000000000003E-5</v>
      </c>
      <c r="N5866" s="9">
        <v>7.1299999999999998E-5</v>
      </c>
      <c r="O5866" s="9">
        <v>2.9799999999999999E-5</v>
      </c>
      <c r="P5866" s="9">
        <v>6.8700000000000003E-5</v>
      </c>
      <c r="Q5866" s="9">
        <v>1.0691E-4</v>
      </c>
      <c r="R5866" s="10">
        <v>9.7677912193544719E-5</v>
      </c>
      <c r="S5866" s="10">
        <v>1.7149776093453172E-4</v>
      </c>
      <c r="T5866" s="10">
        <v>0</v>
      </c>
      <c r="U5866" s="10">
        <v>7.0030000000000005E-5</v>
      </c>
      <c r="V5866" s="25"/>
      <c r="W5866" s="25"/>
      <c r="X5866" s="25"/>
      <c r="Y5866" s="25"/>
      <c r="Z5866" s="25"/>
      <c r="AA5866" s="25"/>
    </row>
    <row r="5867" spans="1:27" x14ac:dyDescent="0.35">
      <c r="A5867" s="5">
        <v>5863</v>
      </c>
      <c r="B5867" s="5">
        <v>245</v>
      </c>
      <c r="C5867" s="5">
        <v>9</v>
      </c>
      <c r="D5867" s="25">
        <v>1.1416E-4</v>
      </c>
      <c r="E5867" s="25">
        <v>1.1022E-4</v>
      </c>
      <c r="F5867" s="25">
        <v>1.3501999999999999E-4</v>
      </c>
      <c r="G5867" s="25">
        <v>1.1099000000000001E-4</v>
      </c>
      <c r="H5867" s="25">
        <v>2.8189999999999999E-5</v>
      </c>
      <c r="I5867" s="9">
        <v>1.1716E-4</v>
      </c>
      <c r="J5867" s="9">
        <v>1.1676E-4</v>
      </c>
      <c r="K5867" s="9">
        <v>0</v>
      </c>
      <c r="L5867" s="9">
        <v>2.834E-5</v>
      </c>
      <c r="M5867" s="9">
        <v>5.9530000000000001E-5</v>
      </c>
      <c r="N5867" s="9">
        <v>8.0970000000000006E-5</v>
      </c>
      <c r="O5867" s="9">
        <v>4.6529999999999997E-5</v>
      </c>
      <c r="P5867" s="9">
        <v>8.0030000000000005E-5</v>
      </c>
      <c r="Q5867" s="9">
        <v>1.1305E-4</v>
      </c>
      <c r="R5867" s="10">
        <v>9.1977912010106003E-5</v>
      </c>
      <c r="S5867" s="10">
        <v>1.6995258781111488E-4</v>
      </c>
      <c r="T5867" s="10">
        <v>5.540247475643063E-5</v>
      </c>
      <c r="U5867" s="10">
        <v>7.0030000000000005E-5</v>
      </c>
      <c r="V5867" s="25"/>
      <c r="W5867" s="25"/>
      <c r="X5867" s="25"/>
      <c r="Y5867" s="25"/>
      <c r="Z5867" s="25"/>
      <c r="AA5867" s="25"/>
    </row>
    <row r="5868" spans="1:27" x14ac:dyDescent="0.35">
      <c r="A5868" s="5">
        <v>5864</v>
      </c>
      <c r="B5868" s="5">
        <v>245</v>
      </c>
      <c r="C5868" s="5">
        <v>9</v>
      </c>
      <c r="D5868" s="25">
        <v>1.1415000000000001E-4</v>
      </c>
      <c r="E5868" s="25">
        <v>1.099E-4</v>
      </c>
      <c r="F5868" s="25">
        <v>1.3401E-4</v>
      </c>
      <c r="G5868" s="25">
        <v>1.5797000000000001E-4</v>
      </c>
      <c r="H5868" s="25">
        <v>4.3319999999999999E-5</v>
      </c>
      <c r="I5868" s="9">
        <v>1.2235999999999999E-4</v>
      </c>
      <c r="J5868" s="9">
        <v>1.2701999999999999E-4</v>
      </c>
      <c r="K5868" s="9">
        <v>0</v>
      </c>
      <c r="L5868" s="9">
        <v>4.2389999999999999E-5</v>
      </c>
      <c r="M5868" s="9">
        <v>6.8639999999999993E-5</v>
      </c>
      <c r="N5868" s="9">
        <v>9.1180000000000005E-5</v>
      </c>
      <c r="O5868" s="9">
        <v>6.8570000000000002E-5</v>
      </c>
      <c r="P5868" s="9">
        <v>1.0312E-4</v>
      </c>
      <c r="Q5868" s="9">
        <v>1.3731E-4</v>
      </c>
      <c r="R5868" s="10">
        <v>9.2425295173184963E-5</v>
      </c>
      <c r="S5868" s="10">
        <v>1.6678801321327427E-4</v>
      </c>
      <c r="T5868" s="10">
        <v>2.8320591230775722E-5</v>
      </c>
      <c r="U5868" s="10">
        <v>7.0030000000000005E-5</v>
      </c>
      <c r="V5868" s="25"/>
      <c r="W5868" s="25"/>
      <c r="X5868" s="25"/>
      <c r="Y5868" s="25"/>
      <c r="Z5868" s="25"/>
      <c r="AA5868" s="25"/>
    </row>
    <row r="5869" spans="1:27" x14ac:dyDescent="0.35">
      <c r="A5869" s="5">
        <v>5865</v>
      </c>
      <c r="B5869" s="5">
        <v>245</v>
      </c>
      <c r="C5869" s="5">
        <v>9</v>
      </c>
      <c r="D5869" s="25">
        <v>1.1416E-4</v>
      </c>
      <c r="E5869" s="25">
        <v>1.0891999999999999E-4</v>
      </c>
      <c r="F5869" s="25">
        <v>1.3054000000000001E-4</v>
      </c>
      <c r="G5869" s="25">
        <v>1.6296E-4</v>
      </c>
      <c r="H5869" s="25">
        <v>4.1239999999999998E-5</v>
      </c>
      <c r="I5869" s="9">
        <v>1.2621999999999999E-4</v>
      </c>
      <c r="J5869" s="9">
        <v>1.3127000000000001E-4</v>
      </c>
      <c r="K5869" s="9">
        <v>0</v>
      </c>
      <c r="L5869" s="9">
        <v>6.2429999999999997E-5</v>
      </c>
      <c r="M5869" s="9">
        <v>8.3319999999999995E-5</v>
      </c>
      <c r="N5869" s="9">
        <v>1.0501999999999999E-4</v>
      </c>
      <c r="O5869" s="9">
        <v>9.9450000000000005E-5</v>
      </c>
      <c r="P5869" s="9">
        <v>1.3798E-4</v>
      </c>
      <c r="Q5869" s="9">
        <v>1.7629000000000001E-4</v>
      </c>
      <c r="R5869" s="10">
        <v>8.8044058384512448E-5</v>
      </c>
      <c r="S5869" s="10">
        <v>1.6124202395277561E-4</v>
      </c>
      <c r="T5869" s="10">
        <v>8.3723065987206365E-5</v>
      </c>
      <c r="U5869" s="10">
        <v>7.0030000000000005E-5</v>
      </c>
      <c r="V5869" s="25"/>
      <c r="W5869" s="25"/>
      <c r="X5869" s="25"/>
      <c r="Y5869" s="25"/>
      <c r="Z5869" s="25"/>
      <c r="AA5869" s="25"/>
    </row>
    <row r="5870" spans="1:27" x14ac:dyDescent="0.35">
      <c r="A5870" s="5">
        <v>5866</v>
      </c>
      <c r="B5870" s="5">
        <v>245</v>
      </c>
      <c r="C5870" s="5">
        <v>9</v>
      </c>
      <c r="D5870" s="25">
        <v>1.1415000000000001E-4</v>
      </c>
      <c r="E5870" s="25">
        <v>1.1021E-4</v>
      </c>
      <c r="F5870" s="25">
        <v>1.4700999999999999E-4</v>
      </c>
      <c r="G5870" s="25">
        <v>1.5924999999999999E-4</v>
      </c>
      <c r="H5870" s="25">
        <v>4.269E-5</v>
      </c>
      <c r="I5870" s="9">
        <v>1.2789999999999999E-4</v>
      </c>
      <c r="J5870" s="9">
        <v>1.3185000000000001E-4</v>
      </c>
      <c r="K5870" s="9">
        <v>0</v>
      </c>
      <c r="L5870" s="9">
        <v>9.0779999999999995E-5</v>
      </c>
      <c r="M5870" s="9">
        <v>1.0670000000000001E-4</v>
      </c>
      <c r="N5870" s="9">
        <v>1.2481999999999999E-4</v>
      </c>
      <c r="O5870" s="9">
        <v>1.2847999999999999E-4</v>
      </c>
      <c r="P5870" s="9">
        <v>1.5521E-4</v>
      </c>
      <c r="Q5870" s="9">
        <v>1.8211E-4</v>
      </c>
      <c r="R5870" s="10">
        <v>8.4437515999577327E-5</v>
      </c>
      <c r="S5870" s="10">
        <v>1.574231069493883E-4</v>
      </c>
      <c r="T5870" s="10">
        <v>1.1782146507542913E-4</v>
      </c>
      <c r="U5870" s="10">
        <v>7.0030000000000005E-5</v>
      </c>
      <c r="V5870" s="25"/>
      <c r="W5870" s="25"/>
      <c r="X5870" s="25"/>
      <c r="Y5870" s="25"/>
      <c r="Z5870" s="25"/>
      <c r="AA5870" s="25"/>
    </row>
    <row r="5871" spans="1:27" x14ac:dyDescent="0.35">
      <c r="A5871" s="5">
        <v>5867</v>
      </c>
      <c r="B5871" s="5">
        <v>245</v>
      </c>
      <c r="C5871" s="5">
        <v>9</v>
      </c>
      <c r="D5871" s="25">
        <v>1.1416E-4</v>
      </c>
      <c r="E5871" s="25">
        <v>1.099E-4</v>
      </c>
      <c r="F5871" s="25">
        <v>1.4509000000000001E-4</v>
      </c>
      <c r="G5871" s="25">
        <v>1.6053000000000001E-4</v>
      </c>
      <c r="H5871" s="25">
        <v>4.3010000000000003E-5</v>
      </c>
      <c r="I5871" s="9">
        <v>1.2919E-4</v>
      </c>
      <c r="J5871" s="9">
        <v>1.3219999999999999E-4</v>
      </c>
      <c r="K5871" s="9">
        <v>0</v>
      </c>
      <c r="L5871" s="9">
        <v>1.1949E-4</v>
      </c>
      <c r="M5871" s="9">
        <v>1.3006000000000001E-4</v>
      </c>
      <c r="N5871" s="9">
        <v>1.4281E-4</v>
      </c>
      <c r="O5871" s="9">
        <v>1.3553E-4</v>
      </c>
      <c r="P5871" s="9">
        <v>1.5656000000000001E-4</v>
      </c>
      <c r="Q5871" s="9">
        <v>1.7789999999999999E-4</v>
      </c>
      <c r="R5871" s="10">
        <v>7.7818859449400339E-5</v>
      </c>
      <c r="S5871" s="10">
        <v>1.5241852329762296E-4</v>
      </c>
      <c r="T5871" s="10">
        <v>6.8727915315764461E-4</v>
      </c>
      <c r="U5871" s="10">
        <v>7.0030000000000005E-5</v>
      </c>
      <c r="V5871" s="25"/>
      <c r="W5871" s="25"/>
      <c r="X5871" s="25"/>
      <c r="Y5871" s="25"/>
      <c r="Z5871" s="25"/>
      <c r="AA5871" s="25"/>
    </row>
    <row r="5872" spans="1:27" x14ac:dyDescent="0.35">
      <c r="A5872" s="5">
        <v>5868</v>
      </c>
      <c r="B5872" s="5">
        <v>245</v>
      </c>
      <c r="C5872" s="5">
        <v>9</v>
      </c>
      <c r="D5872" s="25">
        <v>1.1415000000000001E-4</v>
      </c>
      <c r="E5872" s="25">
        <v>1.127E-4</v>
      </c>
      <c r="F5872" s="25">
        <v>1.2747999999999999E-4</v>
      </c>
      <c r="G5872" s="25">
        <v>1.6453999999999999E-4</v>
      </c>
      <c r="H5872" s="25">
        <v>4.3189999999999998E-5</v>
      </c>
      <c r="I5872" s="9">
        <v>1.2690999999999999E-4</v>
      </c>
      <c r="J5872" s="9">
        <v>1.2977E-4</v>
      </c>
      <c r="K5872" s="9">
        <v>0</v>
      </c>
      <c r="L5872" s="9">
        <v>1.3133E-4</v>
      </c>
      <c r="M5872" s="9">
        <v>1.4512999999999999E-4</v>
      </c>
      <c r="N5872" s="9">
        <v>1.5647E-4</v>
      </c>
      <c r="O5872" s="9">
        <v>1.3844000000000001E-4</v>
      </c>
      <c r="P5872" s="9">
        <v>1.5631E-4</v>
      </c>
      <c r="Q5872" s="9">
        <v>1.7454999999999999E-4</v>
      </c>
      <c r="R5872" s="10">
        <v>6.7804583342746398E-5</v>
      </c>
      <c r="S5872" s="10">
        <v>1.5661202069002181E-4</v>
      </c>
      <c r="T5872" s="10">
        <v>5.0828588976768805E-4</v>
      </c>
      <c r="U5872" s="10">
        <v>7.0030000000000005E-5</v>
      </c>
      <c r="V5872" s="25"/>
      <c r="W5872" s="25"/>
      <c r="X5872" s="25"/>
      <c r="Y5872" s="25"/>
      <c r="Z5872" s="25"/>
      <c r="AA5872" s="25"/>
    </row>
    <row r="5873" spans="1:27" x14ac:dyDescent="0.35">
      <c r="A5873" s="5">
        <v>5869</v>
      </c>
      <c r="B5873" s="5">
        <v>245</v>
      </c>
      <c r="C5873" s="5">
        <v>9</v>
      </c>
      <c r="D5873" s="25">
        <v>1.1416E-4</v>
      </c>
      <c r="E5873" s="25">
        <v>1.1204E-4</v>
      </c>
      <c r="F5873" s="25">
        <v>1.4018E-4</v>
      </c>
      <c r="G5873" s="25">
        <v>1.6196E-4</v>
      </c>
      <c r="H5873" s="25">
        <v>4.1529999999999997E-5</v>
      </c>
      <c r="I5873" s="9">
        <v>1.2713000000000001E-4</v>
      </c>
      <c r="J5873" s="9">
        <v>1.2977999999999999E-4</v>
      </c>
      <c r="K5873" s="9">
        <v>0</v>
      </c>
      <c r="L5873" s="9">
        <v>1.3673E-4</v>
      </c>
      <c r="M5873" s="9">
        <v>1.5236000000000001E-4</v>
      </c>
      <c r="N5873" s="9">
        <v>1.6598000000000001E-4</v>
      </c>
      <c r="O5873" s="9">
        <v>1.2926999999999999E-4</v>
      </c>
      <c r="P5873" s="9">
        <v>1.4779999999999999E-4</v>
      </c>
      <c r="Q5873" s="9">
        <v>1.6663999999999999E-4</v>
      </c>
      <c r="R5873" s="10">
        <v>7.4199353906224272E-5</v>
      </c>
      <c r="S5873" s="10">
        <v>1.5837990045138611E-4</v>
      </c>
      <c r="T5873" s="10">
        <v>1.9835443450698189E-4</v>
      </c>
      <c r="U5873" s="10">
        <v>7.0030000000000005E-5</v>
      </c>
      <c r="V5873" s="25"/>
      <c r="W5873" s="25"/>
      <c r="X5873" s="25"/>
      <c r="Y5873" s="25"/>
      <c r="Z5873" s="25"/>
      <c r="AA5873" s="25"/>
    </row>
    <row r="5874" spans="1:27" x14ac:dyDescent="0.35">
      <c r="A5874" s="5">
        <v>5870</v>
      </c>
      <c r="B5874" s="5">
        <v>245</v>
      </c>
      <c r="C5874" s="5">
        <v>9</v>
      </c>
      <c r="D5874" s="25">
        <v>1.1415000000000001E-4</v>
      </c>
      <c r="E5874" s="25">
        <v>1.0929000000000001E-4</v>
      </c>
      <c r="F5874" s="25">
        <v>1.3354E-4</v>
      </c>
      <c r="G5874" s="25">
        <v>1.6181E-4</v>
      </c>
      <c r="H5874" s="25">
        <v>4.0710000000000002E-5</v>
      </c>
      <c r="I5874" s="9">
        <v>1.2650000000000001E-4</v>
      </c>
      <c r="J5874" s="9">
        <v>1.2935999999999999E-4</v>
      </c>
      <c r="K5874" s="9">
        <v>0</v>
      </c>
      <c r="L5874" s="9">
        <v>1.3095000000000001E-4</v>
      </c>
      <c r="M5874" s="9">
        <v>1.5212E-4</v>
      </c>
      <c r="N5874" s="9">
        <v>1.7011000000000001E-4</v>
      </c>
      <c r="O5874" s="9">
        <v>1.13E-4</v>
      </c>
      <c r="P5874" s="9">
        <v>1.3727999999999999E-4</v>
      </c>
      <c r="Q5874" s="9">
        <v>1.6165999999999999E-4</v>
      </c>
      <c r="R5874" s="10">
        <v>7.1621074382542129E-5</v>
      </c>
      <c r="S5874" s="10">
        <v>1.6024875641716739E-4</v>
      </c>
      <c r="T5874" s="10">
        <v>5.6390895630722233E-4</v>
      </c>
      <c r="U5874" s="10">
        <v>7.0030000000000005E-5</v>
      </c>
      <c r="V5874" s="25"/>
      <c r="W5874" s="25"/>
      <c r="X5874" s="25"/>
      <c r="Y5874" s="25"/>
      <c r="Z5874" s="25"/>
      <c r="AA5874" s="25"/>
    </row>
    <row r="5875" spans="1:27" x14ac:dyDescent="0.35">
      <c r="A5875" s="5">
        <v>5871</v>
      </c>
      <c r="B5875" s="5">
        <v>245</v>
      </c>
      <c r="C5875" s="5">
        <v>9</v>
      </c>
      <c r="D5875" s="25">
        <v>1.1416E-4</v>
      </c>
      <c r="E5875" s="25">
        <v>1.1669E-4</v>
      </c>
      <c r="F5875" s="25">
        <v>1.461E-4</v>
      </c>
      <c r="G5875" s="25">
        <v>1.6003999999999999E-4</v>
      </c>
      <c r="H5875" s="25">
        <v>4.3590000000000001E-5</v>
      </c>
      <c r="I5875" s="9">
        <v>1.25E-4</v>
      </c>
      <c r="J5875" s="9">
        <v>1.2884999999999999E-4</v>
      </c>
      <c r="K5875" s="9">
        <v>0</v>
      </c>
      <c r="L5875" s="9">
        <v>1.1716E-4</v>
      </c>
      <c r="M5875" s="9">
        <v>1.4646E-4</v>
      </c>
      <c r="N5875" s="9">
        <v>1.6987E-4</v>
      </c>
      <c r="O5875" s="9">
        <v>1.2772E-4</v>
      </c>
      <c r="P5875" s="9">
        <v>1.4035999999999999E-4</v>
      </c>
      <c r="Q5875" s="9">
        <v>1.5338999999999999E-4</v>
      </c>
      <c r="R5875" s="10">
        <v>7.029672902247465E-5</v>
      </c>
      <c r="S5875" s="10">
        <v>1.5952425782563427E-4</v>
      </c>
      <c r="T5875" s="10">
        <v>1.3646147074769226E-4</v>
      </c>
      <c r="U5875" s="10">
        <v>7.0030000000000005E-5</v>
      </c>
      <c r="V5875" s="25"/>
      <c r="W5875" s="25"/>
      <c r="X5875" s="25"/>
      <c r="Y5875" s="25"/>
      <c r="Z5875" s="25"/>
      <c r="AA5875" s="25"/>
    </row>
    <row r="5876" spans="1:27" x14ac:dyDescent="0.35">
      <c r="A5876" s="5">
        <v>5872</v>
      </c>
      <c r="B5876" s="5">
        <v>245</v>
      </c>
      <c r="C5876" s="5">
        <v>9</v>
      </c>
      <c r="D5876" s="25">
        <v>1.1415000000000001E-4</v>
      </c>
      <c r="E5876" s="25">
        <v>1.137E-4</v>
      </c>
      <c r="F5876" s="25">
        <v>1.4211000000000001E-4</v>
      </c>
      <c r="G5876" s="25">
        <v>1.607E-4</v>
      </c>
      <c r="H5876" s="25">
        <v>4.07E-5</v>
      </c>
      <c r="I5876" s="9">
        <v>1.2496999999999999E-4</v>
      </c>
      <c r="J5876" s="9">
        <v>1.2931999999999999E-4</v>
      </c>
      <c r="K5876" s="9">
        <v>0</v>
      </c>
      <c r="L5876" s="9">
        <v>1.2580999999999999E-4</v>
      </c>
      <c r="M5876" s="9">
        <v>1.4266999999999999E-4</v>
      </c>
      <c r="N5876" s="9">
        <v>1.6621999999999999E-4</v>
      </c>
      <c r="O5876" s="9">
        <v>1.3359999999999999E-4</v>
      </c>
      <c r="P5876" s="9">
        <v>1.2115E-4</v>
      </c>
      <c r="Q5876" s="9">
        <v>1.0951E-4</v>
      </c>
      <c r="R5876" s="10">
        <v>7.0297765124065974E-5</v>
      </c>
      <c r="S5876" s="10">
        <v>1.6165362245773587E-4</v>
      </c>
      <c r="T5876" s="10">
        <v>4.2810926090884122E-4</v>
      </c>
      <c r="U5876" s="10">
        <v>7.0030000000000005E-5</v>
      </c>
      <c r="V5876" s="25"/>
      <c r="W5876" s="25"/>
      <c r="X5876" s="25"/>
      <c r="Y5876" s="25"/>
      <c r="Z5876" s="25"/>
      <c r="AA5876" s="25"/>
    </row>
    <row r="5877" spans="1:27" x14ac:dyDescent="0.35">
      <c r="A5877" s="5">
        <v>5873</v>
      </c>
      <c r="B5877" s="5">
        <v>245</v>
      </c>
      <c r="C5877" s="5">
        <v>9</v>
      </c>
      <c r="D5877" s="25">
        <v>1.1416E-4</v>
      </c>
      <c r="E5877" s="25">
        <v>1.1726E-4</v>
      </c>
      <c r="F5877" s="25">
        <v>1.3957999999999999E-4</v>
      </c>
      <c r="G5877" s="25">
        <v>1.6538999999999999E-4</v>
      </c>
      <c r="H5877" s="25">
        <v>4.176E-5</v>
      </c>
      <c r="I5877" s="9">
        <v>1.2507999999999999E-4</v>
      </c>
      <c r="J5877" s="9">
        <v>1.2983E-4</v>
      </c>
      <c r="K5877" s="9">
        <v>0</v>
      </c>
      <c r="L5877" s="9">
        <v>1.3161E-4</v>
      </c>
      <c r="M5877" s="9">
        <v>1.3410000000000001E-4</v>
      </c>
      <c r="N5877" s="9">
        <v>1.5253E-4</v>
      </c>
      <c r="O5877" s="9">
        <v>1.4092999999999999E-4</v>
      </c>
      <c r="P5877" s="9">
        <v>1.2391999999999999E-4</v>
      </c>
      <c r="Q5877" s="9">
        <v>1.0785000000000001E-4</v>
      </c>
      <c r="R5877" s="10">
        <v>6.3627073366827268E-5</v>
      </c>
      <c r="S5877" s="10">
        <v>1.6279858357790222E-4</v>
      </c>
      <c r="T5877" s="10">
        <v>2.3986811122722926E-4</v>
      </c>
      <c r="U5877" s="10">
        <v>7.0030000000000005E-5</v>
      </c>
      <c r="V5877" s="25"/>
      <c r="W5877" s="25"/>
      <c r="X5877" s="25"/>
      <c r="Y5877" s="25"/>
      <c r="Z5877" s="25"/>
      <c r="AA5877" s="25"/>
    </row>
    <row r="5878" spans="1:27" x14ac:dyDescent="0.35">
      <c r="A5878" s="5">
        <v>5874</v>
      </c>
      <c r="B5878" s="5">
        <v>245</v>
      </c>
      <c r="C5878" s="5">
        <v>9</v>
      </c>
      <c r="D5878" s="25">
        <v>1.1415000000000001E-4</v>
      </c>
      <c r="E5878" s="25">
        <v>1.1153E-4</v>
      </c>
      <c r="F5878" s="25">
        <v>1.4402999999999999E-4</v>
      </c>
      <c r="G5878" s="25">
        <v>1.5966999999999999E-4</v>
      </c>
      <c r="H5878" s="25">
        <v>4.1810000000000001E-5</v>
      </c>
      <c r="I5878" s="9">
        <v>1.2318999999999999E-4</v>
      </c>
      <c r="J5878" s="9">
        <v>1.2604000000000001E-4</v>
      </c>
      <c r="K5878" s="9">
        <v>0</v>
      </c>
      <c r="L5878" s="9">
        <v>1.3862E-4</v>
      </c>
      <c r="M5878" s="9">
        <v>1.2824000000000001E-4</v>
      </c>
      <c r="N5878" s="9">
        <v>1.3935999999999999E-4</v>
      </c>
      <c r="O5878" s="9">
        <v>1.3949000000000001E-4</v>
      </c>
      <c r="P5878" s="9">
        <v>1.2768E-4</v>
      </c>
      <c r="Q5878" s="9">
        <v>1.1673E-4</v>
      </c>
      <c r="R5878" s="10">
        <v>5.2319726293951933E-5</v>
      </c>
      <c r="S5878" s="10">
        <v>1.5953399292761681E-4</v>
      </c>
      <c r="T5878" s="10">
        <v>6.1485717390482819E-5</v>
      </c>
      <c r="U5878" s="10">
        <v>7.0030000000000005E-5</v>
      </c>
      <c r="V5878" s="25"/>
      <c r="W5878" s="25"/>
      <c r="X5878" s="25"/>
      <c r="Y5878" s="25"/>
      <c r="Z5878" s="25"/>
      <c r="AA5878" s="25"/>
    </row>
    <row r="5879" spans="1:27" x14ac:dyDescent="0.35">
      <c r="A5879" s="5">
        <v>5875</v>
      </c>
      <c r="B5879" s="5">
        <v>245</v>
      </c>
      <c r="C5879" s="5">
        <v>9</v>
      </c>
      <c r="D5879" s="25">
        <v>1.1416E-4</v>
      </c>
      <c r="E5879" s="25">
        <v>1.1352E-4</v>
      </c>
      <c r="F5879" s="25">
        <v>1.3018E-4</v>
      </c>
      <c r="G5879" s="25">
        <v>1.1409E-4</v>
      </c>
      <c r="H5879" s="25">
        <v>2.7489999999999999E-5</v>
      </c>
      <c r="I5879" s="9">
        <v>1.188E-4</v>
      </c>
      <c r="J5879" s="9">
        <v>1.2399000000000001E-4</v>
      </c>
      <c r="K5879" s="9">
        <v>0</v>
      </c>
      <c r="L5879" s="9">
        <v>1.3917000000000001E-4</v>
      </c>
      <c r="M5879" s="9">
        <v>1.2669999999999999E-4</v>
      </c>
      <c r="N5879" s="9">
        <v>1.3009E-4</v>
      </c>
      <c r="O5879" s="9">
        <v>1.4187999999999999E-4</v>
      </c>
      <c r="P5879" s="9">
        <v>1.2422E-4</v>
      </c>
      <c r="Q5879" s="9">
        <v>1.0752E-4</v>
      </c>
      <c r="R5879" s="10">
        <v>4.1887752490609151E-5</v>
      </c>
      <c r="S5879" s="10">
        <v>1.5602751505372562E-4</v>
      </c>
      <c r="T5879" s="10">
        <v>0</v>
      </c>
      <c r="U5879" s="10">
        <v>7.0030000000000005E-5</v>
      </c>
      <c r="V5879" s="25"/>
      <c r="W5879" s="25"/>
      <c r="X5879" s="25"/>
      <c r="Y5879" s="25"/>
      <c r="Z5879" s="25"/>
      <c r="AA5879" s="25"/>
    </row>
    <row r="5880" spans="1:27" x14ac:dyDescent="0.35">
      <c r="A5880" s="5">
        <v>5876</v>
      </c>
      <c r="B5880" s="5">
        <v>245</v>
      </c>
      <c r="C5880" s="5">
        <v>9</v>
      </c>
      <c r="D5880" s="25">
        <v>1.1415000000000001E-4</v>
      </c>
      <c r="E5880" s="25">
        <v>1.0916000000000001E-4</v>
      </c>
      <c r="F5880" s="25">
        <v>1.4016000000000001E-4</v>
      </c>
      <c r="G5880" s="25">
        <v>1.142E-4</v>
      </c>
      <c r="H5880" s="25">
        <v>2.783E-5</v>
      </c>
      <c r="I5880" s="9">
        <v>1.1856E-4</v>
      </c>
      <c r="J5880" s="9">
        <v>1.2443999999999999E-4</v>
      </c>
      <c r="K5880" s="9">
        <v>0</v>
      </c>
      <c r="L5880" s="9">
        <v>1.4130999999999999E-4</v>
      </c>
      <c r="M5880" s="9">
        <v>1.2568E-4</v>
      </c>
      <c r="N5880" s="9">
        <v>1.2103E-4</v>
      </c>
      <c r="O5880" s="9">
        <v>1.4454E-4</v>
      </c>
      <c r="P5880" s="9">
        <v>1.2299000000000001E-4</v>
      </c>
      <c r="Q5880" s="9">
        <v>1.0247E-4</v>
      </c>
      <c r="R5880" s="10">
        <v>3.909643642024864E-5</v>
      </c>
      <c r="S5880" s="10">
        <v>1.4980500483154722E-4</v>
      </c>
      <c r="T5880" s="10">
        <v>0</v>
      </c>
      <c r="U5880" s="10">
        <v>7.0030000000000005E-5</v>
      </c>
      <c r="V5880" s="25"/>
      <c r="W5880" s="25"/>
      <c r="X5880" s="25"/>
      <c r="Y5880" s="25"/>
      <c r="Z5880" s="25"/>
      <c r="AA5880" s="25"/>
    </row>
    <row r="5881" spans="1:27" x14ac:dyDescent="0.35">
      <c r="A5881" s="5">
        <v>5877</v>
      </c>
      <c r="B5881" s="5">
        <v>245</v>
      </c>
      <c r="C5881" s="5">
        <v>9</v>
      </c>
      <c r="D5881" s="25">
        <v>1.1416E-4</v>
      </c>
      <c r="E5881" s="25">
        <v>1.1433E-4</v>
      </c>
      <c r="F5881" s="25">
        <v>1.3540000000000001E-4</v>
      </c>
      <c r="G5881" s="25">
        <v>5.6190000000000002E-5</v>
      </c>
      <c r="H5881" s="25">
        <v>1.537E-5</v>
      </c>
      <c r="I5881" s="9">
        <v>1.1778E-4</v>
      </c>
      <c r="J5881" s="9">
        <v>1.2321000000000001E-4</v>
      </c>
      <c r="K5881" s="9">
        <v>0</v>
      </c>
      <c r="L5881" s="9">
        <v>1.4380999999999999E-4</v>
      </c>
      <c r="M5881" s="9">
        <v>1.2448E-4</v>
      </c>
      <c r="N5881" s="9">
        <v>1.1341999999999999E-4</v>
      </c>
      <c r="O5881" s="9">
        <v>8.4159999999999994E-5</v>
      </c>
      <c r="P5881" s="9">
        <v>8.5879999999999998E-5</v>
      </c>
      <c r="Q5881" s="9">
        <v>8.7869999999999997E-5</v>
      </c>
      <c r="R5881" s="10">
        <v>3.5329639408008176E-5</v>
      </c>
      <c r="S5881" s="10">
        <v>1.454475505681277E-4</v>
      </c>
      <c r="T5881" s="10">
        <v>0</v>
      </c>
      <c r="U5881" s="10">
        <v>7.0030000000000005E-5</v>
      </c>
      <c r="V5881" s="25"/>
      <c r="W5881" s="25"/>
      <c r="X5881" s="25"/>
      <c r="Y5881" s="25"/>
      <c r="Z5881" s="25"/>
      <c r="AA5881" s="25"/>
    </row>
    <row r="5882" spans="1:27" x14ac:dyDescent="0.35">
      <c r="A5882" s="5">
        <v>5878</v>
      </c>
      <c r="B5882" s="5">
        <v>245</v>
      </c>
      <c r="C5882" s="5">
        <v>9</v>
      </c>
      <c r="D5882" s="25">
        <v>1.1415000000000001E-4</v>
      </c>
      <c r="E5882" s="25">
        <v>1.1048E-4</v>
      </c>
      <c r="F5882" s="25">
        <v>1.3552E-4</v>
      </c>
      <c r="G5882" s="25">
        <v>5.3199999999999999E-5</v>
      </c>
      <c r="H5882" s="25">
        <v>1.577E-5</v>
      </c>
      <c r="I5882" s="9">
        <v>1.1409E-4</v>
      </c>
      <c r="J5882" s="9">
        <v>1.1517E-4</v>
      </c>
      <c r="K5882" s="9">
        <v>0</v>
      </c>
      <c r="L5882" s="9">
        <v>9.7209999999999999E-5</v>
      </c>
      <c r="M5882" s="9">
        <v>1.1025E-4</v>
      </c>
      <c r="N5882" s="9">
        <v>1.0569E-4</v>
      </c>
      <c r="O5882" s="9">
        <v>8.7029999999999999E-5</v>
      </c>
      <c r="P5882" s="9">
        <v>8.7369999999999999E-5</v>
      </c>
      <c r="Q5882" s="9">
        <v>8.8010000000000006E-5</v>
      </c>
      <c r="R5882" s="10">
        <v>3.2478976050052423E-5</v>
      </c>
      <c r="S5882" s="10">
        <v>1.4758019157607864E-4</v>
      </c>
      <c r="T5882" s="10">
        <v>0</v>
      </c>
      <c r="U5882" s="10">
        <v>7.0030000000000005E-5</v>
      </c>
      <c r="V5882" s="25"/>
      <c r="W5882" s="25"/>
      <c r="X5882" s="25"/>
      <c r="Y5882" s="25"/>
      <c r="Z5882" s="25"/>
      <c r="AA5882" s="25"/>
    </row>
    <row r="5883" spans="1:27" x14ac:dyDescent="0.35">
      <c r="A5883" s="5">
        <v>5879</v>
      </c>
      <c r="B5883" s="5">
        <v>245</v>
      </c>
      <c r="C5883" s="5">
        <v>9</v>
      </c>
      <c r="D5883" s="25">
        <v>1.1416E-4</v>
      </c>
      <c r="E5883" s="25">
        <v>1.1726E-4</v>
      </c>
      <c r="F5883" s="25">
        <v>1.4348E-4</v>
      </c>
      <c r="G5883" s="25">
        <v>5.7849999999999997E-5</v>
      </c>
      <c r="H5883" s="25">
        <v>1.398E-5</v>
      </c>
      <c r="I5883" s="9">
        <v>1.0762E-4</v>
      </c>
      <c r="J5883" s="9">
        <v>1.087E-4</v>
      </c>
      <c r="K5883" s="9">
        <v>0</v>
      </c>
      <c r="L5883" s="9">
        <v>9.0569999999999995E-5</v>
      </c>
      <c r="M5883" s="9">
        <v>9.8170000000000004E-5</v>
      </c>
      <c r="N5883" s="9">
        <v>9.9790000000000005E-5</v>
      </c>
      <c r="O5883" s="9">
        <v>8.4699999999999999E-5</v>
      </c>
      <c r="P5883" s="9">
        <v>7.5630000000000006E-5</v>
      </c>
      <c r="Q5883" s="9">
        <v>6.6989999999999994E-5</v>
      </c>
      <c r="R5883" s="10">
        <v>3.1653596546481704E-5</v>
      </c>
      <c r="S5883" s="10">
        <v>1.4657302356690726E-4</v>
      </c>
      <c r="T5883" s="10">
        <v>0</v>
      </c>
      <c r="U5883" s="10">
        <v>7.0030000000000005E-5</v>
      </c>
      <c r="V5883" s="25"/>
      <c r="W5883" s="25"/>
      <c r="X5883" s="25"/>
      <c r="Y5883" s="25"/>
      <c r="Z5883" s="25"/>
      <c r="AA5883" s="25"/>
    </row>
    <row r="5884" spans="1:27" x14ac:dyDescent="0.35">
      <c r="A5884" s="5">
        <v>5880</v>
      </c>
      <c r="B5884" s="5">
        <v>245</v>
      </c>
      <c r="C5884" s="5">
        <v>9</v>
      </c>
      <c r="D5884" s="25">
        <v>1.1415000000000001E-4</v>
      </c>
      <c r="E5884" s="25">
        <v>1.0817E-4</v>
      </c>
      <c r="F5884" s="25">
        <v>1.4462000000000001E-4</v>
      </c>
      <c r="G5884" s="25">
        <v>6.3009999999999995E-5</v>
      </c>
      <c r="H5884" s="25">
        <v>1.413E-5</v>
      </c>
      <c r="I5884" s="9">
        <v>1.0079E-4</v>
      </c>
      <c r="J5884" s="9">
        <v>1.0084E-4</v>
      </c>
      <c r="K5884" s="9">
        <v>0</v>
      </c>
      <c r="L5884" s="9">
        <v>8.6219999999999998E-5</v>
      </c>
      <c r="M5884" s="9">
        <v>8.7219999999999995E-5</v>
      </c>
      <c r="N5884" s="9">
        <v>9.0550000000000005E-5</v>
      </c>
      <c r="O5884" s="9">
        <v>7.8739999999999995E-5</v>
      </c>
      <c r="P5884" s="9">
        <v>6.8460000000000005E-5</v>
      </c>
      <c r="Q5884" s="9">
        <v>5.8600000000000001E-5</v>
      </c>
      <c r="R5884" s="10">
        <v>4.7341872357704743E-5</v>
      </c>
      <c r="S5884" s="10">
        <v>1.6198000664265644E-4</v>
      </c>
      <c r="T5884" s="10">
        <v>0</v>
      </c>
      <c r="U5884" s="10">
        <v>7.0030000000000005E-5</v>
      </c>
      <c r="V5884" s="25"/>
      <c r="W5884" s="25"/>
      <c r="X5884" s="25"/>
      <c r="Y5884" s="25"/>
      <c r="Z5884" s="25"/>
      <c r="AA5884" s="25"/>
    </row>
    <row r="5885" spans="1:27" x14ac:dyDescent="0.35">
      <c r="A5885" s="5">
        <v>5881</v>
      </c>
      <c r="B5885" s="5">
        <v>246</v>
      </c>
      <c r="C5885" s="5">
        <v>9</v>
      </c>
      <c r="D5885" s="25">
        <v>1.1416E-4</v>
      </c>
      <c r="E5885" s="25">
        <v>1.2443999999999999E-4</v>
      </c>
      <c r="F5885" s="25">
        <v>1.1401E-4</v>
      </c>
      <c r="G5885" s="25">
        <v>5.588E-5</v>
      </c>
      <c r="H5885" s="25">
        <v>6.4289999999999996E-5</v>
      </c>
      <c r="I5885" s="9">
        <v>9.6669999999999994E-5</v>
      </c>
      <c r="J5885" s="9">
        <v>9.5619999999999996E-5</v>
      </c>
      <c r="K5885" s="9">
        <v>0</v>
      </c>
      <c r="L5885" s="9">
        <v>8.0160000000000005E-5</v>
      </c>
      <c r="M5885" s="9">
        <v>7.7999999999999999E-5</v>
      </c>
      <c r="N5885" s="9">
        <v>8.1069999999999995E-5</v>
      </c>
      <c r="O5885" s="9">
        <v>5.418E-5</v>
      </c>
      <c r="P5885" s="9">
        <v>5.3600000000000002E-5</v>
      </c>
      <c r="Q5885" s="9">
        <v>5.3180000000000002E-5</v>
      </c>
      <c r="R5885" s="10">
        <v>4.2274478724762681E-5</v>
      </c>
      <c r="S5885" s="10">
        <v>1.5403081298279969E-4</v>
      </c>
      <c r="T5885" s="10">
        <v>0</v>
      </c>
      <c r="U5885" s="10">
        <v>6.9250000000000003E-5</v>
      </c>
      <c r="V5885" s="25"/>
      <c r="W5885" s="25"/>
      <c r="X5885" s="25"/>
      <c r="Y5885" s="25"/>
      <c r="Z5885" s="25"/>
      <c r="AA5885" s="25"/>
    </row>
    <row r="5886" spans="1:27" x14ac:dyDescent="0.35">
      <c r="A5886" s="5">
        <v>5882</v>
      </c>
      <c r="B5886" s="5">
        <v>246</v>
      </c>
      <c r="C5886" s="5">
        <v>9</v>
      </c>
      <c r="D5886" s="25">
        <v>1.1415000000000001E-4</v>
      </c>
      <c r="E5886" s="25">
        <v>1.1585E-4</v>
      </c>
      <c r="F5886" s="25">
        <v>1.1745E-4</v>
      </c>
      <c r="G5886" s="25">
        <v>5.418E-5</v>
      </c>
      <c r="H5886" s="25">
        <v>6.2119999999999995E-5</v>
      </c>
      <c r="I5886" s="9">
        <v>9.4450000000000005E-5</v>
      </c>
      <c r="J5886" s="9">
        <v>9.3480000000000006E-5</v>
      </c>
      <c r="K5886" s="9">
        <v>0</v>
      </c>
      <c r="L5886" s="9">
        <v>6.0050000000000003E-5</v>
      </c>
      <c r="M5886" s="9">
        <v>6.7050000000000003E-5</v>
      </c>
      <c r="N5886" s="9">
        <v>7.1899999999999999E-5</v>
      </c>
      <c r="O5886" s="9">
        <v>1.889E-5</v>
      </c>
      <c r="P5886" s="9">
        <v>3.7660000000000002E-5</v>
      </c>
      <c r="Q5886" s="9">
        <v>5.605E-5</v>
      </c>
      <c r="R5886" s="10">
        <v>3.8473125523806406E-5</v>
      </c>
      <c r="S5886" s="10">
        <v>1.5325839071129337E-4</v>
      </c>
      <c r="T5886" s="10">
        <v>0</v>
      </c>
      <c r="U5886" s="10">
        <v>6.9250000000000003E-5</v>
      </c>
      <c r="V5886" s="25"/>
      <c r="W5886" s="25"/>
      <c r="X5886" s="25"/>
      <c r="Y5886" s="25"/>
      <c r="Z5886" s="25"/>
      <c r="AA5886" s="25"/>
    </row>
    <row r="5887" spans="1:27" x14ac:dyDescent="0.35">
      <c r="A5887" s="5">
        <v>5883</v>
      </c>
      <c r="B5887" s="5">
        <v>246</v>
      </c>
      <c r="C5887" s="5">
        <v>9</v>
      </c>
      <c r="D5887" s="25">
        <v>1.1416E-4</v>
      </c>
      <c r="E5887" s="25">
        <v>1.1916E-4</v>
      </c>
      <c r="F5887" s="25">
        <v>1.1179999999999999E-4</v>
      </c>
      <c r="G5887" s="25">
        <v>6.1970000000000005E-5</v>
      </c>
      <c r="H5887" s="25">
        <v>6.813E-5</v>
      </c>
      <c r="I5887" s="9">
        <v>9.3250000000000003E-5</v>
      </c>
      <c r="J5887" s="9">
        <v>9.2429999999999994E-5</v>
      </c>
      <c r="K5887" s="9">
        <v>0</v>
      </c>
      <c r="L5887" s="9">
        <v>2.8500000000000002E-5</v>
      </c>
      <c r="M5887" s="9">
        <v>5.3779999999999997E-5</v>
      </c>
      <c r="N5887" s="9">
        <v>6.533E-5</v>
      </c>
      <c r="O5887" s="9">
        <v>1.3360000000000001E-5</v>
      </c>
      <c r="P5887" s="9">
        <v>3.7469999999999999E-5</v>
      </c>
      <c r="Q5887" s="9">
        <v>6.1069999999999996E-5</v>
      </c>
      <c r="R5887" s="10">
        <v>3.5943275912742284E-5</v>
      </c>
      <c r="S5887" s="10">
        <v>1.5497619603215045E-4</v>
      </c>
      <c r="T5887" s="10">
        <v>0</v>
      </c>
      <c r="U5887" s="10">
        <v>6.9250000000000003E-5</v>
      </c>
      <c r="V5887" s="25"/>
      <c r="W5887" s="25"/>
      <c r="X5887" s="25"/>
      <c r="Y5887" s="25"/>
      <c r="Z5887" s="25"/>
      <c r="AA5887" s="25"/>
    </row>
    <row r="5888" spans="1:27" x14ac:dyDescent="0.35">
      <c r="A5888" s="5">
        <v>5884</v>
      </c>
      <c r="B5888" s="5">
        <v>246</v>
      </c>
      <c r="C5888" s="5">
        <v>9</v>
      </c>
      <c r="D5888" s="25">
        <v>1.1415000000000001E-4</v>
      </c>
      <c r="E5888" s="25">
        <v>1.171E-4</v>
      </c>
      <c r="F5888" s="25">
        <v>1.2271E-4</v>
      </c>
      <c r="G5888" s="25">
        <v>5.6280000000000003E-5</v>
      </c>
      <c r="H5888" s="25">
        <v>7.1409999999999996E-5</v>
      </c>
      <c r="I5888" s="9">
        <v>9.3360000000000001E-5</v>
      </c>
      <c r="J5888" s="9">
        <v>9.2590000000000006E-5</v>
      </c>
      <c r="K5888" s="9">
        <v>0</v>
      </c>
      <c r="L5888" s="9">
        <v>1.7540000000000001E-5</v>
      </c>
      <c r="M5888" s="9">
        <v>4.4719999999999999E-5</v>
      </c>
      <c r="N5888" s="9">
        <v>6.1669999999999997E-5</v>
      </c>
      <c r="O5888" s="9">
        <v>1.3519999999999999E-5</v>
      </c>
      <c r="P5888" s="9">
        <v>4.7389999999999999E-5</v>
      </c>
      <c r="Q5888" s="9">
        <v>8.0610000000000002E-5</v>
      </c>
      <c r="R5888" s="10">
        <v>3.291159066497232E-5</v>
      </c>
      <c r="S5888" s="10">
        <v>1.5665470553399312E-4</v>
      </c>
      <c r="T5888" s="10">
        <v>0</v>
      </c>
      <c r="U5888" s="10">
        <v>6.9250000000000003E-5</v>
      </c>
      <c r="V5888" s="25"/>
      <c r="W5888" s="25"/>
      <c r="X5888" s="25"/>
      <c r="Y5888" s="25"/>
      <c r="Z5888" s="25"/>
      <c r="AA5888" s="25"/>
    </row>
    <row r="5889" spans="1:27" x14ac:dyDescent="0.35">
      <c r="A5889" s="5">
        <v>5885</v>
      </c>
      <c r="B5889" s="5">
        <v>246</v>
      </c>
      <c r="C5889" s="5">
        <v>9</v>
      </c>
      <c r="D5889" s="25">
        <v>1.1416E-4</v>
      </c>
      <c r="E5889" s="25">
        <v>1.1370999999999999E-4</v>
      </c>
      <c r="F5889" s="25">
        <v>1.002E-4</v>
      </c>
      <c r="G5889" s="25">
        <v>5.5269999999999998E-5</v>
      </c>
      <c r="H5889" s="25">
        <v>7.4789999999999994E-5</v>
      </c>
      <c r="I5889" s="9">
        <v>9.7590000000000006E-5</v>
      </c>
      <c r="J5889" s="9">
        <v>9.4959999999999999E-5</v>
      </c>
      <c r="K5889" s="9">
        <v>0</v>
      </c>
      <c r="L5889" s="9">
        <v>1.4579999999999999E-5</v>
      </c>
      <c r="M5889" s="9">
        <v>4.3680000000000002E-5</v>
      </c>
      <c r="N5889" s="9">
        <v>6.4289999999999996E-5</v>
      </c>
      <c r="O5889" s="9">
        <v>1.8850000000000001E-5</v>
      </c>
      <c r="P5889" s="9">
        <v>5.6350000000000001E-5</v>
      </c>
      <c r="Q5889" s="9">
        <v>9.3179999999999999E-5</v>
      </c>
      <c r="R5889" s="10">
        <v>2.9508896271799636E-5</v>
      </c>
      <c r="S5889" s="10">
        <v>1.5518459426882295E-4</v>
      </c>
      <c r="T5889" s="10">
        <v>0</v>
      </c>
      <c r="U5889" s="10">
        <v>6.9250000000000003E-5</v>
      </c>
      <c r="V5889" s="25"/>
      <c r="W5889" s="25"/>
      <c r="X5889" s="25"/>
      <c r="Y5889" s="25"/>
      <c r="Z5889" s="25"/>
      <c r="AA5889" s="25"/>
    </row>
    <row r="5890" spans="1:27" x14ac:dyDescent="0.35">
      <c r="A5890" s="5">
        <v>5886</v>
      </c>
      <c r="B5890" s="5">
        <v>246</v>
      </c>
      <c r="C5890" s="5">
        <v>9</v>
      </c>
      <c r="D5890" s="25">
        <v>1.1415000000000001E-4</v>
      </c>
      <c r="E5890" s="25">
        <v>1.2015000000000001E-4</v>
      </c>
      <c r="F5890" s="25">
        <v>1.1434000000000001E-4</v>
      </c>
      <c r="G5890" s="25">
        <v>1.1318E-4</v>
      </c>
      <c r="H5890" s="25">
        <v>1.3020999999999999E-4</v>
      </c>
      <c r="I5890" s="9">
        <v>1.0868E-4</v>
      </c>
      <c r="J5890" s="9">
        <v>1.0362E-4</v>
      </c>
      <c r="K5890" s="9">
        <v>0</v>
      </c>
      <c r="L5890" s="9">
        <v>1.7770000000000001E-5</v>
      </c>
      <c r="M5890" s="9">
        <v>4.8350000000000003E-5</v>
      </c>
      <c r="N5890" s="9">
        <v>7.0790000000000005E-5</v>
      </c>
      <c r="O5890" s="9">
        <v>4.5970000000000002E-5</v>
      </c>
      <c r="P5890" s="9">
        <v>7.6299999999999998E-5</v>
      </c>
      <c r="Q5890" s="9">
        <v>1.0624E-4</v>
      </c>
      <c r="R5890" s="10">
        <v>3.3764509954698034E-5</v>
      </c>
      <c r="S5890" s="10">
        <v>1.4939128878623247E-4</v>
      </c>
      <c r="T5890" s="10">
        <v>0</v>
      </c>
      <c r="U5890" s="10">
        <v>6.9250000000000003E-5</v>
      </c>
      <c r="V5890" s="25"/>
      <c r="W5890" s="25"/>
      <c r="X5890" s="25"/>
      <c r="Y5890" s="25"/>
      <c r="Z5890" s="25"/>
      <c r="AA5890" s="25"/>
    </row>
    <row r="5891" spans="1:27" x14ac:dyDescent="0.35">
      <c r="A5891" s="5">
        <v>5887</v>
      </c>
      <c r="B5891" s="5">
        <v>246</v>
      </c>
      <c r="C5891" s="5">
        <v>9</v>
      </c>
      <c r="D5891" s="25">
        <v>1.1416E-4</v>
      </c>
      <c r="E5891" s="25">
        <v>1.1875999999999999E-4</v>
      </c>
      <c r="F5891" s="25">
        <v>1.2045E-4</v>
      </c>
      <c r="G5891" s="25">
        <v>1.0632E-4</v>
      </c>
      <c r="H5891" s="25">
        <v>1.3006000000000001E-4</v>
      </c>
      <c r="I5891" s="9">
        <v>1.1695E-4</v>
      </c>
      <c r="J5891" s="9">
        <v>1.1505E-4</v>
      </c>
      <c r="K5891" s="9">
        <v>0</v>
      </c>
      <c r="L5891" s="9">
        <v>3.9629999999999998E-5</v>
      </c>
      <c r="M5891" s="9">
        <v>5.9729999999999999E-5</v>
      </c>
      <c r="N5891" s="9">
        <v>8.0370000000000005E-5</v>
      </c>
      <c r="O5891" s="9">
        <v>1.2189E-4</v>
      </c>
      <c r="P5891" s="9">
        <v>1.1631E-4</v>
      </c>
      <c r="Q5891" s="9">
        <v>1.1142E-4</v>
      </c>
      <c r="R5891" s="10">
        <v>4.2414797011885157E-5</v>
      </c>
      <c r="S5891" s="10">
        <v>1.4013750462159901E-4</v>
      </c>
      <c r="T5891" s="10">
        <v>8.4011532165111205E-5</v>
      </c>
      <c r="U5891" s="10">
        <v>6.9250000000000003E-5</v>
      </c>
      <c r="V5891" s="25"/>
      <c r="W5891" s="25"/>
      <c r="X5891" s="25"/>
      <c r="Y5891" s="25"/>
      <c r="Z5891" s="25"/>
      <c r="AA5891" s="25"/>
    </row>
    <row r="5892" spans="1:27" x14ac:dyDescent="0.35">
      <c r="A5892" s="5">
        <v>5888</v>
      </c>
      <c r="B5892" s="5">
        <v>246</v>
      </c>
      <c r="C5892" s="5">
        <v>9</v>
      </c>
      <c r="D5892" s="25">
        <v>1.1415000000000001E-4</v>
      </c>
      <c r="E5892" s="25">
        <v>1.1542E-4</v>
      </c>
      <c r="F5892" s="25">
        <v>1.1038E-4</v>
      </c>
      <c r="G5892" s="25">
        <v>1.6097E-4</v>
      </c>
      <c r="H5892" s="25">
        <v>1.8700999999999999E-4</v>
      </c>
      <c r="I5892" s="9">
        <v>1.2205999999999999E-4</v>
      </c>
      <c r="J5892" s="9">
        <v>1.2495E-4</v>
      </c>
      <c r="K5892" s="9">
        <v>0</v>
      </c>
      <c r="L5892" s="9">
        <v>1.0319000000000001E-4</v>
      </c>
      <c r="M5892" s="9">
        <v>8.3049999999999999E-5</v>
      </c>
      <c r="N5892" s="9">
        <v>9.0299999999999999E-5</v>
      </c>
      <c r="O5892" s="9">
        <v>2.1745999999999999E-4</v>
      </c>
      <c r="P5892" s="9">
        <v>1.7561000000000001E-4</v>
      </c>
      <c r="Q5892" s="9">
        <v>1.3566000000000001E-4</v>
      </c>
      <c r="R5892" s="10">
        <v>4.8305113032154721E-5</v>
      </c>
      <c r="S5892" s="10">
        <v>1.3193520320358153E-4</v>
      </c>
      <c r="T5892" s="10">
        <v>2.3905361848961556E-4</v>
      </c>
      <c r="U5892" s="10">
        <v>6.9250000000000003E-5</v>
      </c>
      <c r="V5892" s="25"/>
      <c r="W5892" s="25"/>
      <c r="X5892" s="25"/>
      <c r="Y5892" s="25"/>
      <c r="Z5892" s="25"/>
      <c r="AA5892" s="25"/>
    </row>
    <row r="5893" spans="1:27" x14ac:dyDescent="0.35">
      <c r="A5893" s="5">
        <v>5889</v>
      </c>
      <c r="B5893" s="5">
        <v>246</v>
      </c>
      <c r="C5893" s="5">
        <v>9</v>
      </c>
      <c r="D5893" s="25">
        <v>1.1416E-4</v>
      </c>
      <c r="E5893" s="25">
        <v>1.2004E-4</v>
      </c>
      <c r="F5893" s="25">
        <v>1.197E-4</v>
      </c>
      <c r="G5893" s="25">
        <v>1.5915999999999999E-4</v>
      </c>
      <c r="H5893" s="25">
        <v>1.9395999999999999E-4</v>
      </c>
      <c r="I5893" s="9">
        <v>1.2622999999999999E-4</v>
      </c>
      <c r="J5893" s="9">
        <v>1.2881000000000001E-4</v>
      </c>
      <c r="K5893" s="9">
        <v>0</v>
      </c>
      <c r="L5893" s="9">
        <v>1.9058000000000001E-4</v>
      </c>
      <c r="M5893" s="9">
        <v>1.2240999999999999E-4</v>
      </c>
      <c r="N5893" s="9">
        <v>1.0389E-4</v>
      </c>
      <c r="O5893" s="9">
        <v>2.1005000000000001E-4</v>
      </c>
      <c r="P5893" s="9">
        <v>1.9238999999999999E-4</v>
      </c>
      <c r="Q5893" s="9">
        <v>1.762E-4</v>
      </c>
      <c r="R5893" s="10">
        <v>4.8658915034242347E-5</v>
      </c>
      <c r="S5893" s="10">
        <v>1.3302032616576659E-4</v>
      </c>
      <c r="T5893" s="10">
        <v>3.2906355029527754E-4</v>
      </c>
      <c r="U5893" s="10">
        <v>6.9250000000000003E-5</v>
      </c>
      <c r="V5893" s="25"/>
      <c r="W5893" s="25"/>
      <c r="X5893" s="25"/>
      <c r="Y5893" s="25"/>
      <c r="Z5893" s="25"/>
      <c r="AA5893" s="25"/>
    </row>
    <row r="5894" spans="1:27" x14ac:dyDescent="0.35">
      <c r="A5894" s="5">
        <v>5890</v>
      </c>
      <c r="B5894" s="5">
        <v>246</v>
      </c>
      <c r="C5894" s="5">
        <v>9</v>
      </c>
      <c r="D5894" s="25">
        <v>1.1415000000000001E-4</v>
      </c>
      <c r="E5894" s="25">
        <v>1.2042E-4</v>
      </c>
      <c r="F5894" s="25">
        <v>1.1266E-4</v>
      </c>
      <c r="G5894" s="25">
        <v>1.6171999999999999E-4</v>
      </c>
      <c r="H5894" s="25">
        <v>1.9117E-4</v>
      </c>
      <c r="I5894" s="9">
        <v>1.2784E-4</v>
      </c>
      <c r="J5894" s="9">
        <v>1.2914E-4</v>
      </c>
      <c r="K5894" s="9">
        <v>0</v>
      </c>
      <c r="L5894" s="9">
        <v>2.0347E-4</v>
      </c>
      <c r="M5894" s="9">
        <v>1.5757999999999999E-4</v>
      </c>
      <c r="N5894" s="9">
        <v>1.2383000000000001E-4</v>
      </c>
      <c r="O5894" s="9">
        <v>1.6653999999999999E-4</v>
      </c>
      <c r="P5894" s="9">
        <v>1.7374E-4</v>
      </c>
      <c r="Q5894" s="9">
        <v>1.8173000000000001E-4</v>
      </c>
      <c r="R5894" s="10">
        <v>4.9813856999332453E-5</v>
      </c>
      <c r="S5894" s="10">
        <v>1.3760719993532631E-4</v>
      </c>
      <c r="T5894" s="10">
        <v>4.5161925440808618E-5</v>
      </c>
      <c r="U5894" s="10">
        <v>6.9250000000000003E-5</v>
      </c>
      <c r="V5894" s="25"/>
      <c r="W5894" s="25"/>
      <c r="X5894" s="25"/>
      <c r="Y5894" s="25"/>
      <c r="Z5894" s="25"/>
      <c r="AA5894" s="25"/>
    </row>
    <row r="5895" spans="1:27" x14ac:dyDescent="0.35">
      <c r="A5895" s="5">
        <v>5891</v>
      </c>
      <c r="B5895" s="5">
        <v>246</v>
      </c>
      <c r="C5895" s="5">
        <v>9</v>
      </c>
      <c r="D5895" s="25">
        <v>1.1416E-4</v>
      </c>
      <c r="E5895" s="25">
        <v>1.1335E-4</v>
      </c>
      <c r="F5895" s="25">
        <v>1.1875E-4</v>
      </c>
      <c r="G5895" s="25">
        <v>1.5903E-4</v>
      </c>
      <c r="H5895" s="25">
        <v>1.9934999999999999E-4</v>
      </c>
      <c r="I5895" s="9">
        <v>1.2857E-4</v>
      </c>
      <c r="J5895" s="9">
        <v>1.2938000000000001E-4</v>
      </c>
      <c r="K5895" s="9">
        <v>0</v>
      </c>
      <c r="L5895" s="9">
        <v>1.7472000000000001E-4</v>
      </c>
      <c r="M5895" s="9">
        <v>1.7155999999999999E-4</v>
      </c>
      <c r="N5895" s="9">
        <v>1.4195000000000001E-4</v>
      </c>
      <c r="O5895" s="9">
        <v>1.6757E-4</v>
      </c>
      <c r="P5895" s="9">
        <v>1.7346000000000001E-4</v>
      </c>
      <c r="Q5895" s="9">
        <v>1.8016000000000001E-4</v>
      </c>
      <c r="R5895" s="10">
        <v>5.5623450219477665E-5</v>
      </c>
      <c r="S5895" s="10">
        <v>1.4219366194614182E-4</v>
      </c>
      <c r="T5895" s="10">
        <v>7.8657939275171261E-5</v>
      </c>
      <c r="U5895" s="10">
        <v>6.9250000000000003E-5</v>
      </c>
      <c r="V5895" s="25"/>
      <c r="W5895" s="25"/>
      <c r="X5895" s="25"/>
      <c r="Y5895" s="25"/>
      <c r="Z5895" s="25"/>
      <c r="AA5895" s="25"/>
    </row>
    <row r="5896" spans="1:27" x14ac:dyDescent="0.35">
      <c r="A5896" s="5">
        <v>5892</v>
      </c>
      <c r="B5896" s="5">
        <v>246</v>
      </c>
      <c r="C5896" s="5">
        <v>9</v>
      </c>
      <c r="D5896" s="25">
        <v>1.1415000000000001E-4</v>
      </c>
      <c r="E5896" s="25">
        <v>1.1894E-4</v>
      </c>
      <c r="F5896" s="25">
        <v>1.0242999999999999E-4</v>
      </c>
      <c r="G5896" s="25">
        <v>1.5791000000000001E-4</v>
      </c>
      <c r="H5896" s="25">
        <v>1.8619E-4</v>
      </c>
      <c r="I5896" s="9">
        <v>1.2505E-4</v>
      </c>
      <c r="J5896" s="9">
        <v>1.2842999999999999E-4</v>
      </c>
      <c r="K5896" s="9">
        <v>0</v>
      </c>
      <c r="L5896" s="9">
        <v>1.7054E-4</v>
      </c>
      <c r="M5896" s="9">
        <v>1.7463999999999999E-4</v>
      </c>
      <c r="N5896" s="9">
        <v>1.5632999999999999E-4</v>
      </c>
      <c r="O5896" s="9">
        <v>1.6882E-4</v>
      </c>
      <c r="P5896" s="9">
        <v>1.7059E-4</v>
      </c>
      <c r="Q5896" s="9">
        <v>1.7323999999999999E-4</v>
      </c>
      <c r="R5896" s="10">
        <v>6.477745242497706E-5</v>
      </c>
      <c r="S5896" s="10">
        <v>1.5519208539886226E-4</v>
      </c>
      <c r="T5896" s="10">
        <v>3.7475998659514511E-4</v>
      </c>
      <c r="U5896" s="10">
        <v>6.9250000000000003E-5</v>
      </c>
      <c r="V5896" s="25"/>
      <c r="W5896" s="25"/>
      <c r="X5896" s="25"/>
      <c r="Y5896" s="25"/>
      <c r="Z5896" s="25"/>
      <c r="AA5896" s="25"/>
    </row>
    <row r="5897" spans="1:27" x14ac:dyDescent="0.35">
      <c r="A5897" s="5">
        <v>5893</v>
      </c>
      <c r="B5897" s="5">
        <v>246</v>
      </c>
      <c r="C5897" s="5">
        <v>9</v>
      </c>
      <c r="D5897" s="25">
        <v>1.1416E-4</v>
      </c>
      <c r="E5897" s="25">
        <v>1.1547E-4</v>
      </c>
      <c r="F5897" s="25">
        <v>1.1945E-4</v>
      </c>
      <c r="G5897" s="25">
        <v>1.6061E-4</v>
      </c>
      <c r="H5897" s="25">
        <v>1.8730999999999999E-4</v>
      </c>
      <c r="I5897" s="9">
        <v>1.2321000000000001E-4</v>
      </c>
      <c r="J5897" s="9">
        <v>1.2841999999999999E-4</v>
      </c>
      <c r="K5897" s="9">
        <v>0</v>
      </c>
      <c r="L5897" s="9">
        <v>1.6934E-4</v>
      </c>
      <c r="M5897" s="9">
        <v>1.7348999999999999E-4</v>
      </c>
      <c r="N5897" s="9">
        <v>1.6574999999999999E-4</v>
      </c>
      <c r="O5897" s="9">
        <v>1.6157000000000001E-4</v>
      </c>
      <c r="P5897" s="9">
        <v>1.6415000000000001E-4</v>
      </c>
      <c r="Q5897" s="9">
        <v>1.6755000000000001E-4</v>
      </c>
      <c r="R5897" s="10">
        <v>6.80281926922013E-5</v>
      </c>
      <c r="S5897" s="10">
        <v>1.5484987594139386E-4</v>
      </c>
      <c r="T5897" s="10">
        <v>2.0530307567474864E-4</v>
      </c>
      <c r="U5897" s="10">
        <v>6.9250000000000003E-5</v>
      </c>
      <c r="V5897" s="25"/>
      <c r="W5897" s="25"/>
      <c r="X5897" s="25"/>
      <c r="Y5897" s="25"/>
      <c r="Z5897" s="25"/>
      <c r="AA5897" s="25"/>
    </row>
    <row r="5898" spans="1:27" x14ac:dyDescent="0.35">
      <c r="A5898" s="5">
        <v>5894</v>
      </c>
      <c r="B5898" s="5">
        <v>246</v>
      </c>
      <c r="C5898" s="5">
        <v>9</v>
      </c>
      <c r="D5898" s="25">
        <v>1.1415000000000001E-4</v>
      </c>
      <c r="E5898" s="25">
        <v>1.1813E-4</v>
      </c>
      <c r="F5898" s="25">
        <v>1.0688000000000001E-4</v>
      </c>
      <c r="G5898" s="25">
        <v>1.5752999999999999E-4</v>
      </c>
      <c r="H5898" s="25">
        <v>1.9054E-4</v>
      </c>
      <c r="I5898" s="9">
        <v>1.2297999999999999E-4</v>
      </c>
      <c r="J5898" s="9">
        <v>1.2829000000000001E-4</v>
      </c>
      <c r="K5898" s="9">
        <v>0</v>
      </c>
      <c r="L5898" s="9">
        <v>1.6305000000000001E-4</v>
      </c>
      <c r="M5898" s="9">
        <v>1.6977E-4</v>
      </c>
      <c r="N5898" s="9">
        <v>1.7024E-4</v>
      </c>
      <c r="O5898" s="9">
        <v>1.7896000000000001E-4</v>
      </c>
      <c r="P5898" s="9">
        <v>1.6976E-4</v>
      </c>
      <c r="Q5898" s="9">
        <v>1.6169000000000001E-4</v>
      </c>
      <c r="R5898" s="10">
        <v>6.4457380528692889E-5</v>
      </c>
      <c r="S5898" s="10">
        <v>1.5522338555244261E-4</v>
      </c>
      <c r="T5898" s="10">
        <v>1.7291002075590451E-4</v>
      </c>
      <c r="U5898" s="10">
        <v>6.9250000000000003E-5</v>
      </c>
      <c r="V5898" s="25"/>
      <c r="W5898" s="25"/>
      <c r="X5898" s="25"/>
      <c r="Y5898" s="25"/>
      <c r="Z5898" s="25"/>
      <c r="AA5898" s="25"/>
    </row>
    <row r="5899" spans="1:27" x14ac:dyDescent="0.35">
      <c r="A5899" s="5">
        <v>5895</v>
      </c>
      <c r="B5899" s="5">
        <v>246</v>
      </c>
      <c r="C5899" s="5">
        <v>9</v>
      </c>
      <c r="D5899" s="25">
        <v>1.1416E-4</v>
      </c>
      <c r="E5899" s="25">
        <v>1.1635E-4</v>
      </c>
      <c r="F5899" s="25">
        <v>1.0014E-4</v>
      </c>
      <c r="G5899" s="25">
        <v>1.6149E-4</v>
      </c>
      <c r="H5899" s="25">
        <v>1.8639000000000001E-4</v>
      </c>
      <c r="I5899" s="9">
        <v>1.2300000000000001E-4</v>
      </c>
      <c r="J5899" s="9">
        <v>1.2787000000000001E-4</v>
      </c>
      <c r="K5899" s="9">
        <v>0</v>
      </c>
      <c r="L5899" s="9">
        <v>1.7561000000000001E-4</v>
      </c>
      <c r="M5899" s="9">
        <v>1.6871E-4</v>
      </c>
      <c r="N5899" s="9">
        <v>1.7006000000000001E-4</v>
      </c>
      <c r="O5899" s="9">
        <v>1.8276999999999999E-4</v>
      </c>
      <c r="P5899" s="9">
        <v>1.6684999999999999E-4</v>
      </c>
      <c r="Q5899" s="9">
        <v>1.5218999999999999E-4</v>
      </c>
      <c r="R5899" s="10">
        <v>7.0800079645422107E-5</v>
      </c>
      <c r="S5899" s="10">
        <v>1.5594188745877665E-4</v>
      </c>
      <c r="T5899" s="10">
        <v>2.5340056869070654E-4</v>
      </c>
      <c r="U5899" s="10">
        <v>6.9250000000000003E-5</v>
      </c>
      <c r="V5899" s="25"/>
      <c r="W5899" s="25"/>
      <c r="X5899" s="25"/>
      <c r="Y5899" s="25"/>
      <c r="Z5899" s="25"/>
      <c r="AA5899" s="25"/>
    </row>
    <row r="5900" spans="1:27" x14ac:dyDescent="0.35">
      <c r="A5900" s="5">
        <v>5896</v>
      </c>
      <c r="B5900" s="5">
        <v>246</v>
      </c>
      <c r="C5900" s="5">
        <v>9</v>
      </c>
      <c r="D5900" s="25">
        <v>1.1415000000000001E-4</v>
      </c>
      <c r="E5900" s="25">
        <v>1.2284000000000001E-4</v>
      </c>
      <c r="F5900" s="25">
        <v>1.1103999999999999E-4</v>
      </c>
      <c r="G5900" s="25">
        <v>1.6626E-4</v>
      </c>
      <c r="H5900" s="25">
        <v>1.9756E-4</v>
      </c>
      <c r="I5900" s="9">
        <v>1.2328999999999999E-4</v>
      </c>
      <c r="J5900" s="9">
        <v>1.2772E-4</v>
      </c>
      <c r="K5900" s="9">
        <v>0</v>
      </c>
      <c r="L5900" s="9">
        <v>1.8086E-4</v>
      </c>
      <c r="M5900" s="9">
        <v>1.6786000000000001E-4</v>
      </c>
      <c r="N5900" s="9">
        <v>1.6615999999999999E-4</v>
      </c>
      <c r="O5900" s="9">
        <v>1.9709999999999999E-4</v>
      </c>
      <c r="P5900" s="9">
        <v>1.5257000000000001E-4</v>
      </c>
      <c r="Q5900" s="9">
        <v>1.0984000000000001E-4</v>
      </c>
      <c r="R5900" s="10">
        <v>5.7003299194120952E-5</v>
      </c>
      <c r="S5900" s="10">
        <v>1.5295385245261481E-4</v>
      </c>
      <c r="T5900" s="10">
        <v>2.2353583497820493E-4</v>
      </c>
      <c r="U5900" s="10">
        <v>6.9250000000000003E-5</v>
      </c>
      <c r="V5900" s="25"/>
      <c r="W5900" s="25"/>
      <c r="X5900" s="25"/>
      <c r="Y5900" s="25"/>
      <c r="Z5900" s="25"/>
      <c r="AA5900" s="25"/>
    </row>
    <row r="5901" spans="1:27" x14ac:dyDescent="0.35">
      <c r="A5901" s="5">
        <v>5897</v>
      </c>
      <c r="B5901" s="5">
        <v>246</v>
      </c>
      <c r="C5901" s="5">
        <v>9</v>
      </c>
      <c r="D5901" s="25">
        <v>1.1416E-4</v>
      </c>
      <c r="E5901" s="25">
        <v>1.1702E-4</v>
      </c>
      <c r="F5901" s="25">
        <v>1.1582E-4</v>
      </c>
      <c r="G5901" s="25">
        <v>1.5906000000000001E-4</v>
      </c>
      <c r="H5901" s="25">
        <v>1.9163000000000001E-4</v>
      </c>
      <c r="I5901" s="9">
        <v>1.2318999999999999E-4</v>
      </c>
      <c r="J5901" s="9">
        <v>1.2834000000000001E-4</v>
      </c>
      <c r="K5901" s="9">
        <v>0</v>
      </c>
      <c r="L5901" s="9">
        <v>1.9332999999999999E-4</v>
      </c>
      <c r="M5901" s="9">
        <v>1.6223E-4</v>
      </c>
      <c r="N5901" s="9">
        <v>1.5247000000000001E-4</v>
      </c>
      <c r="O5901" s="9">
        <v>2.1492000000000001E-4</v>
      </c>
      <c r="P5901" s="9">
        <v>1.6034999999999999E-4</v>
      </c>
      <c r="Q5901" s="9">
        <v>1.0786E-4</v>
      </c>
      <c r="R5901" s="10">
        <v>5.910934395101389E-5</v>
      </c>
      <c r="S5901" s="10">
        <v>1.5108673752995422E-4</v>
      </c>
      <c r="T5901" s="10">
        <v>9.7068868864980533E-5</v>
      </c>
      <c r="U5901" s="10">
        <v>6.9250000000000003E-5</v>
      </c>
      <c r="V5901" s="25"/>
      <c r="W5901" s="25"/>
      <c r="X5901" s="25"/>
      <c r="Y5901" s="25"/>
      <c r="Z5901" s="25"/>
      <c r="AA5901" s="25"/>
    </row>
    <row r="5902" spans="1:27" x14ac:dyDescent="0.35">
      <c r="A5902" s="5">
        <v>5898</v>
      </c>
      <c r="B5902" s="5">
        <v>246</v>
      </c>
      <c r="C5902" s="5">
        <v>9</v>
      </c>
      <c r="D5902" s="25">
        <v>1.1415000000000001E-4</v>
      </c>
      <c r="E5902" s="25">
        <v>1.1378E-4</v>
      </c>
      <c r="F5902" s="25">
        <v>1.2051E-4</v>
      </c>
      <c r="G5902" s="25">
        <v>1.5929E-4</v>
      </c>
      <c r="H5902" s="25">
        <v>1.9511999999999999E-4</v>
      </c>
      <c r="I5902" s="9">
        <v>1.2034E-4</v>
      </c>
      <c r="J5902" s="9">
        <v>1.2496E-4</v>
      </c>
      <c r="K5902" s="9">
        <v>0</v>
      </c>
      <c r="L5902" s="9">
        <v>2.0992E-4</v>
      </c>
      <c r="M5902" s="9">
        <v>1.5998999999999999E-4</v>
      </c>
      <c r="N5902" s="9">
        <v>1.3930999999999999E-4</v>
      </c>
      <c r="O5902" s="9">
        <v>2.0497000000000001E-4</v>
      </c>
      <c r="P5902" s="9">
        <v>1.604E-4</v>
      </c>
      <c r="Q5902" s="9">
        <v>1.1768E-4</v>
      </c>
      <c r="R5902" s="10">
        <v>6.1890270015197191E-5</v>
      </c>
      <c r="S5902" s="10">
        <v>1.5237493614315368E-4</v>
      </c>
      <c r="T5902" s="10">
        <v>4.3312348182477548E-5</v>
      </c>
      <c r="U5902" s="10">
        <v>6.9250000000000003E-5</v>
      </c>
      <c r="V5902" s="25"/>
      <c r="W5902" s="25"/>
      <c r="X5902" s="25"/>
      <c r="Y5902" s="25"/>
      <c r="Z5902" s="25"/>
      <c r="AA5902" s="25"/>
    </row>
    <row r="5903" spans="1:27" x14ac:dyDescent="0.35">
      <c r="A5903" s="5">
        <v>5899</v>
      </c>
      <c r="B5903" s="5">
        <v>246</v>
      </c>
      <c r="C5903" s="5">
        <v>9</v>
      </c>
      <c r="D5903" s="25">
        <v>1.1416E-4</v>
      </c>
      <c r="E5903" s="25">
        <v>1.1995E-4</v>
      </c>
      <c r="F5903" s="25">
        <v>1.215E-4</v>
      </c>
      <c r="G5903" s="25">
        <v>1.1296E-4</v>
      </c>
      <c r="H5903" s="25">
        <v>1.3708000000000001E-4</v>
      </c>
      <c r="I5903" s="9">
        <v>1.1593E-4</v>
      </c>
      <c r="J5903" s="9">
        <v>1.2223E-4</v>
      </c>
      <c r="K5903" s="9">
        <v>0</v>
      </c>
      <c r="L5903" s="9">
        <v>2.0562E-4</v>
      </c>
      <c r="M5903" s="9">
        <v>1.5972999999999999E-4</v>
      </c>
      <c r="N5903" s="9">
        <v>1.3022000000000001E-4</v>
      </c>
      <c r="O5903" s="9">
        <v>1.6421E-4</v>
      </c>
      <c r="P5903" s="9">
        <v>1.3501999999999999E-4</v>
      </c>
      <c r="Q5903" s="9">
        <v>1.0717000000000001E-4</v>
      </c>
      <c r="R5903" s="10">
        <v>6.2518770228288904E-5</v>
      </c>
      <c r="S5903" s="10">
        <v>1.5819832527956087E-4</v>
      </c>
      <c r="T5903" s="10">
        <v>0</v>
      </c>
      <c r="U5903" s="10">
        <v>6.9250000000000003E-5</v>
      </c>
      <c r="V5903" s="25"/>
      <c r="W5903" s="25"/>
      <c r="X5903" s="25"/>
      <c r="Y5903" s="25"/>
      <c r="Z5903" s="25"/>
      <c r="AA5903" s="25"/>
    </row>
    <row r="5904" spans="1:27" x14ac:dyDescent="0.35">
      <c r="A5904" s="5">
        <v>5900</v>
      </c>
      <c r="B5904" s="5">
        <v>246</v>
      </c>
      <c r="C5904" s="5">
        <v>9</v>
      </c>
      <c r="D5904" s="25">
        <v>1.1415000000000001E-4</v>
      </c>
      <c r="E5904" s="25">
        <v>1.2271E-4</v>
      </c>
      <c r="F5904" s="25">
        <v>1.1702E-4</v>
      </c>
      <c r="G5904" s="25">
        <v>1.0466E-4</v>
      </c>
      <c r="H5904" s="25">
        <v>1.2805999999999999E-4</v>
      </c>
      <c r="I5904" s="9">
        <v>1.176E-4</v>
      </c>
      <c r="J5904" s="9">
        <v>1.226E-4</v>
      </c>
      <c r="K5904" s="9">
        <v>0</v>
      </c>
      <c r="L5904" s="9">
        <v>1.7352000000000001E-4</v>
      </c>
      <c r="M5904" s="9">
        <v>1.5091E-4</v>
      </c>
      <c r="N5904" s="9">
        <v>1.2108E-4</v>
      </c>
      <c r="O5904" s="9">
        <v>1.2820999999999999E-4</v>
      </c>
      <c r="P5904" s="9">
        <v>1.1444E-4</v>
      </c>
      <c r="Q5904" s="9">
        <v>1.0151E-4</v>
      </c>
      <c r="R5904" s="10">
        <v>6.4668450625501755E-5</v>
      </c>
      <c r="S5904" s="10">
        <v>1.5691417776507487E-4</v>
      </c>
      <c r="T5904" s="10">
        <v>0</v>
      </c>
      <c r="U5904" s="10">
        <v>6.9250000000000003E-5</v>
      </c>
      <c r="V5904" s="25"/>
      <c r="W5904" s="25"/>
      <c r="X5904" s="25"/>
      <c r="Y5904" s="25"/>
      <c r="Z5904" s="25"/>
      <c r="AA5904" s="25"/>
    </row>
    <row r="5905" spans="1:27" x14ac:dyDescent="0.35">
      <c r="A5905" s="5">
        <v>5901</v>
      </c>
      <c r="B5905" s="5">
        <v>246</v>
      </c>
      <c r="C5905" s="5">
        <v>9</v>
      </c>
      <c r="D5905" s="25">
        <v>1.1416E-4</v>
      </c>
      <c r="E5905" s="25">
        <v>1.1413000000000001E-4</v>
      </c>
      <c r="F5905" s="25">
        <v>1.0772000000000001E-4</v>
      </c>
      <c r="G5905" s="25">
        <v>5.2549999999999997E-5</v>
      </c>
      <c r="H5905" s="25">
        <v>7.3969999999999998E-5</v>
      </c>
      <c r="I5905" s="9">
        <v>1.1457E-4</v>
      </c>
      <c r="J5905" s="9">
        <v>1.1820999999999999E-4</v>
      </c>
      <c r="K5905" s="9">
        <v>0</v>
      </c>
      <c r="L5905" s="9">
        <v>1.3919E-4</v>
      </c>
      <c r="M5905" s="9">
        <v>1.3530000000000001E-4</v>
      </c>
      <c r="N5905" s="9">
        <v>1.1328999999999999E-4</v>
      </c>
      <c r="O5905" s="9">
        <v>8.3960000000000003E-5</v>
      </c>
      <c r="P5905" s="9">
        <v>8.5619999999999997E-5</v>
      </c>
      <c r="Q5905" s="9">
        <v>8.7600000000000002E-5</v>
      </c>
      <c r="R5905" s="10">
        <v>7.4907633451800934E-5</v>
      </c>
      <c r="S5905" s="10">
        <v>1.5549801113028193E-4</v>
      </c>
      <c r="T5905" s="10">
        <v>0</v>
      </c>
      <c r="U5905" s="10">
        <v>6.9250000000000003E-5</v>
      </c>
      <c r="V5905" s="25"/>
      <c r="W5905" s="25"/>
      <c r="X5905" s="25"/>
      <c r="Y5905" s="25"/>
      <c r="Z5905" s="25"/>
      <c r="AA5905" s="25"/>
    </row>
    <row r="5906" spans="1:27" x14ac:dyDescent="0.35">
      <c r="A5906" s="5">
        <v>5902</v>
      </c>
      <c r="B5906" s="5">
        <v>246</v>
      </c>
      <c r="C5906" s="5">
        <v>9</v>
      </c>
      <c r="D5906" s="25">
        <v>1.1415000000000001E-4</v>
      </c>
      <c r="E5906" s="25">
        <v>1.183E-4</v>
      </c>
      <c r="F5906" s="25">
        <v>1.1736E-4</v>
      </c>
      <c r="G5906" s="25">
        <v>5.999E-5</v>
      </c>
      <c r="H5906" s="25">
        <v>6.3E-5</v>
      </c>
      <c r="I5906" s="9">
        <v>1.1095E-4</v>
      </c>
      <c r="J5906" s="9">
        <v>1.1137999999999999E-4</v>
      </c>
      <c r="K5906" s="9">
        <v>0</v>
      </c>
      <c r="L5906" s="9">
        <v>9.7029999999999998E-5</v>
      </c>
      <c r="M5906" s="9">
        <v>1.1341E-4</v>
      </c>
      <c r="N5906" s="9">
        <v>1.055E-4</v>
      </c>
      <c r="O5906" s="9">
        <v>8.6700000000000007E-5</v>
      </c>
      <c r="P5906" s="9">
        <v>8.6979999999999997E-5</v>
      </c>
      <c r="Q5906" s="9">
        <v>8.763E-5</v>
      </c>
      <c r="R5906" s="10">
        <v>8.9989715162403061E-5</v>
      </c>
      <c r="S5906" s="10">
        <v>1.5188487237986604E-4</v>
      </c>
      <c r="T5906" s="10">
        <v>0</v>
      </c>
      <c r="U5906" s="10">
        <v>6.9250000000000003E-5</v>
      </c>
      <c r="V5906" s="25"/>
      <c r="W5906" s="25"/>
      <c r="X5906" s="25"/>
      <c r="Y5906" s="25"/>
      <c r="Z5906" s="25"/>
      <c r="AA5906" s="25"/>
    </row>
    <row r="5907" spans="1:27" x14ac:dyDescent="0.35">
      <c r="A5907" s="5">
        <v>5903</v>
      </c>
      <c r="B5907" s="5">
        <v>246</v>
      </c>
      <c r="C5907" s="5">
        <v>9</v>
      </c>
      <c r="D5907" s="25">
        <v>1.1416E-4</v>
      </c>
      <c r="E5907" s="25">
        <v>1.2391999999999999E-4</v>
      </c>
      <c r="F5907" s="25">
        <v>1.0415E-4</v>
      </c>
      <c r="G5907" s="25">
        <v>5.6329999999999998E-5</v>
      </c>
      <c r="H5907" s="25">
        <v>6.3590000000000006E-5</v>
      </c>
      <c r="I5907" s="9">
        <v>1.0645E-4</v>
      </c>
      <c r="J5907" s="9">
        <v>1.064E-4</v>
      </c>
      <c r="K5907" s="9">
        <v>0</v>
      </c>
      <c r="L5907" s="9">
        <v>8.9920000000000006E-5</v>
      </c>
      <c r="M5907" s="9">
        <v>9.8529999999999993E-5</v>
      </c>
      <c r="N5907" s="9">
        <v>9.9519999999999996E-5</v>
      </c>
      <c r="O5907" s="9">
        <v>7.7999999999999999E-5</v>
      </c>
      <c r="P5907" s="9">
        <v>7.2349999999999997E-5</v>
      </c>
      <c r="Q5907" s="9">
        <v>6.7080000000000001E-5</v>
      </c>
      <c r="R5907" s="10">
        <v>1.0372650610726566E-4</v>
      </c>
      <c r="S5907" s="10">
        <v>1.4551771159126259E-4</v>
      </c>
      <c r="T5907" s="10">
        <v>0</v>
      </c>
      <c r="U5907" s="10">
        <v>6.9250000000000003E-5</v>
      </c>
      <c r="V5907" s="25"/>
      <c r="W5907" s="25"/>
      <c r="X5907" s="25"/>
      <c r="Y5907" s="25"/>
      <c r="Z5907" s="25"/>
      <c r="AA5907" s="25"/>
    </row>
    <row r="5908" spans="1:27" x14ac:dyDescent="0.35">
      <c r="A5908" s="5">
        <v>5904</v>
      </c>
      <c r="B5908" s="5">
        <v>246</v>
      </c>
      <c r="C5908" s="5">
        <v>9</v>
      </c>
      <c r="D5908" s="25">
        <v>1.1415000000000001E-4</v>
      </c>
      <c r="E5908" s="25">
        <v>1.1629999999999999E-4</v>
      </c>
      <c r="F5908" s="25">
        <v>1.2079E-4</v>
      </c>
      <c r="G5908" s="25">
        <v>5.9889999999999997E-5</v>
      </c>
      <c r="H5908" s="25">
        <v>7.5300000000000001E-5</v>
      </c>
      <c r="I5908" s="9">
        <v>9.9610000000000003E-5</v>
      </c>
      <c r="J5908" s="9">
        <v>9.925E-5</v>
      </c>
      <c r="K5908" s="9">
        <v>2.1299999999999999E-6</v>
      </c>
      <c r="L5908" s="9">
        <v>8.0610000000000002E-5</v>
      </c>
      <c r="M5908" s="9">
        <v>8.5829999999999996E-5</v>
      </c>
      <c r="N5908" s="9">
        <v>9.0299999999999999E-5</v>
      </c>
      <c r="O5908" s="9">
        <v>6.2710000000000001E-5</v>
      </c>
      <c r="P5908" s="9">
        <v>6.0659999999999999E-5</v>
      </c>
      <c r="Q5908" s="9">
        <v>5.8850000000000001E-5</v>
      </c>
      <c r="R5908" s="10">
        <v>1.1290031294247776E-4</v>
      </c>
      <c r="S5908" s="10">
        <v>1.5922740792061223E-4</v>
      </c>
      <c r="T5908" s="10">
        <v>0</v>
      </c>
      <c r="U5908" s="10">
        <v>6.9250000000000003E-5</v>
      </c>
      <c r="V5908" s="25"/>
      <c r="W5908" s="25"/>
      <c r="X5908" s="25"/>
      <c r="Y5908" s="25"/>
      <c r="Z5908" s="25"/>
      <c r="AA5908" s="25"/>
    </row>
    <row r="5909" spans="1:27" x14ac:dyDescent="0.35">
      <c r="A5909" s="5">
        <v>5905</v>
      </c>
      <c r="B5909" s="5">
        <v>247</v>
      </c>
      <c r="C5909" s="5">
        <v>9</v>
      </c>
      <c r="D5909" s="25">
        <v>1.1416E-4</v>
      </c>
      <c r="E5909" s="25">
        <v>1.1714000000000001E-4</v>
      </c>
      <c r="F5909" s="25">
        <v>1.2729000000000001E-4</v>
      </c>
      <c r="G5909" s="25">
        <v>5.3820000000000003E-5</v>
      </c>
      <c r="H5909" s="25">
        <v>6.8830000000000003E-5</v>
      </c>
      <c r="I5909" s="9">
        <v>9.4930000000000001E-5</v>
      </c>
      <c r="J5909" s="9">
        <v>9.3739999999999994E-5</v>
      </c>
      <c r="K5909" s="9">
        <v>6.3600000000000001E-6</v>
      </c>
      <c r="L5909" s="9">
        <v>6.6630000000000004E-5</v>
      </c>
      <c r="M5909" s="9">
        <v>7.3869999999999996E-5</v>
      </c>
      <c r="N5909" s="9">
        <v>8.0920000000000005E-5</v>
      </c>
      <c r="O5909" s="9">
        <v>5.4660000000000002E-5</v>
      </c>
      <c r="P5909" s="9">
        <v>5.4070000000000002E-5</v>
      </c>
      <c r="Q5909" s="9">
        <v>5.3650000000000003E-5</v>
      </c>
      <c r="R5909" s="10">
        <v>1.2082738574152101E-4</v>
      </c>
      <c r="S5909" s="10">
        <v>1.5726345366970888E-4</v>
      </c>
      <c r="T5909" s="10">
        <v>0</v>
      </c>
      <c r="U5909" s="10">
        <v>6.847E-5</v>
      </c>
      <c r="V5909" s="25"/>
      <c r="W5909" s="25"/>
      <c r="X5909" s="25"/>
      <c r="Y5909" s="25"/>
      <c r="Z5909" s="25"/>
      <c r="AA5909" s="25"/>
    </row>
    <row r="5910" spans="1:27" x14ac:dyDescent="0.35">
      <c r="A5910" s="5">
        <v>5906</v>
      </c>
      <c r="B5910" s="5">
        <v>247</v>
      </c>
      <c r="C5910" s="5">
        <v>9</v>
      </c>
      <c r="D5910" s="25">
        <v>1.1415000000000001E-4</v>
      </c>
      <c r="E5910" s="25">
        <v>1.1257E-4</v>
      </c>
      <c r="F5910" s="25">
        <v>1.3908E-4</v>
      </c>
      <c r="G5910" s="25">
        <v>6.0690000000000003E-5</v>
      </c>
      <c r="H5910" s="25">
        <v>7.1569999999999994E-5</v>
      </c>
      <c r="I5910" s="9">
        <v>9.145E-5</v>
      </c>
      <c r="J5910" s="9">
        <v>9.0760000000000005E-5</v>
      </c>
      <c r="K5910" s="9">
        <v>2.332E-5</v>
      </c>
      <c r="L5910" s="9">
        <v>5.7670000000000002E-5</v>
      </c>
      <c r="M5910" s="9">
        <v>6.3899999999999995E-5</v>
      </c>
      <c r="N5910" s="9">
        <v>7.1920000000000003E-5</v>
      </c>
      <c r="O5910" s="9">
        <v>1.9020000000000001E-5</v>
      </c>
      <c r="P5910" s="9">
        <v>3.7920000000000003E-5</v>
      </c>
      <c r="Q5910" s="9">
        <v>5.643E-5</v>
      </c>
      <c r="R5910" s="10">
        <v>1.3679691648443997E-4</v>
      </c>
      <c r="S5910" s="10">
        <v>1.459551511631275E-4</v>
      </c>
      <c r="T5910" s="10">
        <v>0</v>
      </c>
      <c r="U5910" s="10">
        <v>6.847E-5</v>
      </c>
      <c r="V5910" s="25"/>
      <c r="W5910" s="25"/>
      <c r="X5910" s="25"/>
      <c r="Y5910" s="25"/>
      <c r="Z5910" s="25"/>
      <c r="AA5910" s="25"/>
    </row>
    <row r="5911" spans="1:27" x14ac:dyDescent="0.35">
      <c r="A5911" s="5">
        <v>5907</v>
      </c>
      <c r="B5911" s="5">
        <v>247</v>
      </c>
      <c r="C5911" s="5">
        <v>9</v>
      </c>
      <c r="D5911" s="25">
        <v>1.1416E-4</v>
      </c>
      <c r="E5911" s="25">
        <v>1.1636E-4</v>
      </c>
      <c r="F5911" s="25">
        <v>1.3339E-4</v>
      </c>
      <c r="G5911" s="25">
        <v>5.817E-5</v>
      </c>
      <c r="H5911" s="25">
        <v>7.3640000000000006E-5</v>
      </c>
      <c r="I5911" s="9">
        <v>9.0149999999999996E-5</v>
      </c>
      <c r="J5911" s="9">
        <v>8.9510000000000002E-5</v>
      </c>
      <c r="K5911" s="9">
        <v>3.8149999999999999E-5</v>
      </c>
      <c r="L5911" s="9">
        <v>2.773E-5</v>
      </c>
      <c r="M5911" s="9">
        <v>5.2269999999999999E-5</v>
      </c>
      <c r="N5911" s="9">
        <v>6.5480000000000003E-5</v>
      </c>
      <c r="O5911" s="9">
        <v>1.3550000000000001E-5</v>
      </c>
      <c r="P5911" s="9">
        <v>3.7979999999999999E-5</v>
      </c>
      <c r="Q5911" s="9">
        <v>6.1909999999999995E-5</v>
      </c>
      <c r="R5911" s="10">
        <v>1.5213130732174402E-4</v>
      </c>
      <c r="S5911" s="10">
        <v>1.3322868707384884E-4</v>
      </c>
      <c r="T5911" s="10">
        <v>0</v>
      </c>
      <c r="U5911" s="10">
        <v>6.847E-5</v>
      </c>
      <c r="V5911" s="25"/>
      <c r="W5911" s="25"/>
      <c r="X5911" s="25"/>
      <c r="Y5911" s="25"/>
      <c r="Z5911" s="25"/>
      <c r="AA5911" s="25"/>
    </row>
    <row r="5912" spans="1:27" x14ac:dyDescent="0.35">
      <c r="A5912" s="5">
        <v>5908</v>
      </c>
      <c r="B5912" s="5">
        <v>247</v>
      </c>
      <c r="C5912" s="5">
        <v>9</v>
      </c>
      <c r="D5912" s="25">
        <v>1.1415000000000001E-4</v>
      </c>
      <c r="E5912" s="25">
        <v>1.1508E-4</v>
      </c>
      <c r="F5912" s="25">
        <v>1.4168000000000001E-4</v>
      </c>
      <c r="G5912" s="25">
        <v>5.944E-5</v>
      </c>
      <c r="H5912" s="25">
        <v>6.7639999999999996E-5</v>
      </c>
      <c r="I5912" s="9">
        <v>8.9209999999999995E-5</v>
      </c>
      <c r="J5912" s="9">
        <v>8.9159999999999993E-5</v>
      </c>
      <c r="K5912" s="9">
        <v>5.5109999999999999E-5</v>
      </c>
      <c r="L5912" s="9">
        <v>1.7410000000000001E-5</v>
      </c>
      <c r="M5912" s="9">
        <v>4.4350000000000001E-5</v>
      </c>
      <c r="N5912" s="9">
        <v>6.2030000000000001E-5</v>
      </c>
      <c r="O5912" s="9">
        <v>1.344E-5</v>
      </c>
      <c r="P5912" s="9">
        <v>4.7110000000000001E-5</v>
      </c>
      <c r="Q5912" s="9">
        <v>8.0119999999999999E-5</v>
      </c>
      <c r="R5912" s="10">
        <v>1.6252410443764299E-4</v>
      </c>
      <c r="S5912" s="10">
        <v>1.2716336626885117E-4</v>
      </c>
      <c r="T5912" s="10">
        <v>0</v>
      </c>
      <c r="U5912" s="10">
        <v>6.847E-5</v>
      </c>
      <c r="V5912" s="25"/>
      <c r="W5912" s="25"/>
      <c r="X5912" s="25"/>
      <c r="Y5912" s="25"/>
      <c r="Z5912" s="25"/>
      <c r="AA5912" s="25"/>
    </row>
    <row r="5913" spans="1:27" x14ac:dyDescent="0.35">
      <c r="A5913" s="5">
        <v>5909</v>
      </c>
      <c r="B5913" s="5">
        <v>247</v>
      </c>
      <c r="C5913" s="5">
        <v>9</v>
      </c>
      <c r="D5913" s="25">
        <v>1.1416E-4</v>
      </c>
      <c r="E5913" s="25">
        <v>1.2046E-4</v>
      </c>
      <c r="F5913" s="25">
        <v>1.2935999999999999E-4</v>
      </c>
      <c r="G5913" s="25">
        <v>6.0300000000000002E-5</v>
      </c>
      <c r="H5913" s="25">
        <v>6.3490000000000004E-5</v>
      </c>
      <c r="I5913" s="9">
        <v>8.9300000000000002E-5</v>
      </c>
      <c r="J5913" s="9">
        <v>8.9560000000000003E-5</v>
      </c>
      <c r="K5913" s="9">
        <v>6.5699999999999998E-5</v>
      </c>
      <c r="L5913" s="9">
        <v>1.456E-5</v>
      </c>
      <c r="M5913" s="9">
        <v>4.3569999999999998E-5</v>
      </c>
      <c r="N5913" s="9">
        <v>6.4519999999999999E-5</v>
      </c>
      <c r="O5913" s="9">
        <v>1.876E-5</v>
      </c>
      <c r="P5913" s="9">
        <v>5.6100000000000002E-5</v>
      </c>
      <c r="Q5913" s="9">
        <v>9.2769999999999994E-5</v>
      </c>
      <c r="R5913" s="10">
        <v>1.6392195841866001E-4</v>
      </c>
      <c r="S5913" s="10">
        <v>1.2332624427563942E-4</v>
      </c>
      <c r="T5913" s="10">
        <v>0</v>
      </c>
      <c r="U5913" s="10">
        <v>6.847E-5</v>
      </c>
      <c r="V5913" s="25"/>
      <c r="W5913" s="25"/>
      <c r="X5913" s="25"/>
      <c r="Y5913" s="25"/>
      <c r="Z5913" s="25"/>
      <c r="AA5913" s="25"/>
    </row>
    <row r="5914" spans="1:27" x14ac:dyDescent="0.35">
      <c r="A5914" s="5">
        <v>5910</v>
      </c>
      <c r="B5914" s="5">
        <v>247</v>
      </c>
      <c r="C5914" s="5">
        <v>9</v>
      </c>
      <c r="D5914" s="25">
        <v>1.1415000000000001E-4</v>
      </c>
      <c r="E5914" s="25">
        <v>1.0972999999999999E-4</v>
      </c>
      <c r="F5914" s="25">
        <v>1.2851E-4</v>
      </c>
      <c r="G5914" s="25">
        <v>1.1124999999999999E-4</v>
      </c>
      <c r="H5914" s="25">
        <v>1.3794999999999999E-4</v>
      </c>
      <c r="I5914" s="9">
        <v>9.3010000000000006E-5</v>
      </c>
      <c r="J5914" s="9">
        <v>9.2330000000000005E-5</v>
      </c>
      <c r="K5914" s="9">
        <v>2.332E-5</v>
      </c>
      <c r="L5914" s="9">
        <v>1.7710000000000002E-5</v>
      </c>
      <c r="M5914" s="9">
        <v>4.8220000000000002E-5</v>
      </c>
      <c r="N5914" s="9">
        <v>7.0879999999999999E-5</v>
      </c>
      <c r="O5914" s="9">
        <v>4.5880000000000001E-5</v>
      </c>
      <c r="P5914" s="9">
        <v>7.6139999999999999E-5</v>
      </c>
      <c r="Q5914" s="9">
        <v>1.0603E-4</v>
      </c>
      <c r="R5914" s="10">
        <v>1.6512183631457234E-4</v>
      </c>
      <c r="S5914" s="10">
        <v>1.1948639627818593E-4</v>
      </c>
      <c r="T5914" s="10">
        <v>0</v>
      </c>
      <c r="U5914" s="10">
        <v>6.847E-5</v>
      </c>
      <c r="V5914" s="25"/>
      <c r="W5914" s="25"/>
      <c r="X5914" s="25"/>
      <c r="Y5914" s="25"/>
      <c r="Z5914" s="25"/>
      <c r="AA5914" s="25"/>
    </row>
    <row r="5915" spans="1:27" x14ac:dyDescent="0.35">
      <c r="A5915" s="5">
        <v>5911</v>
      </c>
      <c r="B5915" s="5">
        <v>247</v>
      </c>
      <c r="C5915" s="5">
        <v>9</v>
      </c>
      <c r="D5915" s="25">
        <v>1.1416E-4</v>
      </c>
      <c r="E5915" s="25">
        <v>1.1309E-4</v>
      </c>
      <c r="F5915" s="25">
        <v>1.3174000000000001E-4</v>
      </c>
      <c r="G5915" s="25">
        <v>1.1137999999999999E-4</v>
      </c>
      <c r="H5915" s="25">
        <v>1.3401E-4</v>
      </c>
      <c r="I5915" s="9">
        <v>9.569E-5</v>
      </c>
      <c r="J5915" s="9">
        <v>9.6379999999999995E-5</v>
      </c>
      <c r="K5915" s="9">
        <v>0</v>
      </c>
      <c r="L5915" s="9">
        <v>3.9539999999999998E-5</v>
      </c>
      <c r="M5915" s="9">
        <v>5.9589999999999997E-5</v>
      </c>
      <c r="N5915" s="9">
        <v>8.0359999999999996E-5</v>
      </c>
      <c r="O5915" s="9">
        <v>1.2205999999999999E-4</v>
      </c>
      <c r="P5915" s="9">
        <v>1.1647E-4</v>
      </c>
      <c r="Q5915" s="9">
        <v>1.1157E-4</v>
      </c>
      <c r="R5915" s="10">
        <v>1.7007098645942871E-4</v>
      </c>
      <c r="S5915" s="10">
        <v>1.196639169652627E-4</v>
      </c>
      <c r="T5915" s="10">
        <v>5.6853289945305008E-5</v>
      </c>
      <c r="U5915" s="10">
        <v>6.847E-5</v>
      </c>
      <c r="V5915" s="25"/>
      <c r="W5915" s="25"/>
      <c r="X5915" s="25"/>
      <c r="Y5915" s="25"/>
      <c r="Z5915" s="25"/>
      <c r="AA5915" s="25"/>
    </row>
    <row r="5916" spans="1:27" x14ac:dyDescent="0.35">
      <c r="A5916" s="5">
        <v>5912</v>
      </c>
      <c r="B5916" s="5">
        <v>247</v>
      </c>
      <c r="C5916" s="5">
        <v>9</v>
      </c>
      <c r="D5916" s="25">
        <v>1.1415000000000001E-4</v>
      </c>
      <c r="E5916" s="25">
        <v>1.1477E-4</v>
      </c>
      <c r="F5916" s="25">
        <v>1.3328E-4</v>
      </c>
      <c r="G5916" s="25">
        <v>1.6407999999999999E-4</v>
      </c>
      <c r="H5916" s="25">
        <v>1.9561000000000001E-4</v>
      </c>
      <c r="I5916" s="9">
        <v>1.0132999999999999E-4</v>
      </c>
      <c r="J5916" s="9">
        <v>1.0362E-4</v>
      </c>
      <c r="K5916" s="9">
        <v>0</v>
      </c>
      <c r="L5916" s="9">
        <v>1.033E-4</v>
      </c>
      <c r="M5916" s="9">
        <v>8.2999999999999998E-5</v>
      </c>
      <c r="N5916" s="9">
        <v>9.0270000000000001E-5</v>
      </c>
      <c r="O5916" s="9">
        <v>2.1671E-4</v>
      </c>
      <c r="P5916" s="9">
        <v>1.7500999999999999E-4</v>
      </c>
      <c r="Q5916" s="9">
        <v>1.3519000000000001E-4</v>
      </c>
      <c r="R5916" s="10">
        <v>1.7647138243303084E-4</v>
      </c>
      <c r="S5916" s="10">
        <v>1.1803298728105396E-4</v>
      </c>
      <c r="T5916" s="10">
        <v>5.8134419147176524E-5</v>
      </c>
      <c r="U5916" s="10">
        <v>6.847E-5</v>
      </c>
      <c r="V5916" s="25"/>
      <c r="W5916" s="25"/>
      <c r="X5916" s="25"/>
      <c r="Y5916" s="25"/>
      <c r="Z5916" s="25"/>
      <c r="AA5916" s="25"/>
    </row>
    <row r="5917" spans="1:27" x14ac:dyDescent="0.35">
      <c r="A5917" s="5">
        <v>5913</v>
      </c>
      <c r="B5917" s="5">
        <v>247</v>
      </c>
      <c r="C5917" s="5">
        <v>9</v>
      </c>
      <c r="D5917" s="25">
        <v>1.1416E-4</v>
      </c>
      <c r="E5917" s="25">
        <v>1.1165E-4</v>
      </c>
      <c r="F5917" s="25">
        <v>1.2944000000000001E-4</v>
      </c>
      <c r="G5917" s="25">
        <v>1.6587000000000001E-4</v>
      </c>
      <c r="H5917" s="25">
        <v>1.9013E-4</v>
      </c>
      <c r="I5917" s="9">
        <v>1.0689E-4</v>
      </c>
      <c r="J5917" s="9">
        <v>1.0917E-4</v>
      </c>
      <c r="K5917" s="9">
        <v>0</v>
      </c>
      <c r="L5917" s="9">
        <v>1.9001000000000001E-4</v>
      </c>
      <c r="M5917" s="9">
        <v>1.2218999999999999E-4</v>
      </c>
      <c r="N5917" s="9">
        <v>1.0372E-4</v>
      </c>
      <c r="O5917" s="9">
        <v>2.087E-4</v>
      </c>
      <c r="P5917" s="9">
        <v>1.9115000000000001E-4</v>
      </c>
      <c r="Q5917" s="9">
        <v>1.7505999999999999E-4</v>
      </c>
      <c r="R5917" s="10">
        <v>1.8010797344289995E-4</v>
      </c>
      <c r="S5917" s="10">
        <v>1.1673996626445747E-4</v>
      </c>
      <c r="T5917" s="10">
        <v>2.1197173496396066E-4</v>
      </c>
      <c r="U5917" s="10">
        <v>6.847E-5</v>
      </c>
      <c r="V5917" s="25"/>
      <c r="W5917" s="25"/>
      <c r="X5917" s="25"/>
      <c r="Y5917" s="25"/>
      <c r="Z5917" s="25"/>
      <c r="AA5917" s="25"/>
    </row>
    <row r="5918" spans="1:27" x14ac:dyDescent="0.35">
      <c r="A5918" s="5">
        <v>5914</v>
      </c>
      <c r="B5918" s="5">
        <v>247</v>
      </c>
      <c r="C5918" s="5">
        <v>9</v>
      </c>
      <c r="D5918" s="25">
        <v>1.1415000000000001E-4</v>
      </c>
      <c r="E5918" s="25">
        <v>1.1221E-4</v>
      </c>
      <c r="F5918" s="25">
        <v>1.2744000000000001E-4</v>
      </c>
      <c r="G5918" s="25">
        <v>1.5686000000000001E-4</v>
      </c>
      <c r="H5918" s="25">
        <v>2.0159E-4</v>
      </c>
      <c r="I5918" s="9">
        <v>1.1077E-4</v>
      </c>
      <c r="J5918" s="9">
        <v>1.1087E-4</v>
      </c>
      <c r="K5918" s="9">
        <v>0</v>
      </c>
      <c r="L5918" s="9">
        <v>2.0231000000000001E-4</v>
      </c>
      <c r="M5918" s="9">
        <v>1.5694E-4</v>
      </c>
      <c r="N5918" s="9">
        <v>1.2343E-4</v>
      </c>
      <c r="O5918" s="9">
        <v>1.6666000000000001E-4</v>
      </c>
      <c r="P5918" s="9">
        <v>1.7386999999999999E-4</v>
      </c>
      <c r="Q5918" s="9">
        <v>1.8186E-4</v>
      </c>
      <c r="R5918" s="10">
        <v>1.8546815863792592E-4</v>
      </c>
      <c r="S5918" s="10">
        <v>1.1683418941638745E-4</v>
      </c>
      <c r="T5918" s="10">
        <v>5.6149093099243179E-5</v>
      </c>
      <c r="U5918" s="10">
        <v>6.847E-5</v>
      </c>
      <c r="V5918" s="25"/>
      <c r="W5918" s="25"/>
      <c r="X5918" s="25"/>
      <c r="Y5918" s="25"/>
      <c r="Z5918" s="25"/>
      <c r="AA5918" s="25"/>
    </row>
    <row r="5919" spans="1:27" x14ac:dyDescent="0.35">
      <c r="A5919" s="5">
        <v>5915</v>
      </c>
      <c r="B5919" s="5">
        <v>247</v>
      </c>
      <c r="C5919" s="5">
        <v>9</v>
      </c>
      <c r="D5919" s="25">
        <v>1.1416E-4</v>
      </c>
      <c r="E5919" s="25">
        <v>1.0987E-4</v>
      </c>
      <c r="F5919" s="25">
        <v>1.4182999999999999E-4</v>
      </c>
      <c r="G5919" s="25">
        <v>1.6625E-4</v>
      </c>
      <c r="H5919" s="25">
        <v>2.0013E-4</v>
      </c>
      <c r="I5919" s="9">
        <v>1.1271E-4</v>
      </c>
      <c r="J5919" s="9">
        <v>1.1018000000000001E-4</v>
      </c>
      <c r="K5919" s="9">
        <v>0</v>
      </c>
      <c r="L5919" s="9">
        <v>1.7458E-4</v>
      </c>
      <c r="M5919" s="9">
        <v>1.7108999999999999E-4</v>
      </c>
      <c r="N5919" s="9">
        <v>1.4161999999999999E-4</v>
      </c>
      <c r="O5919" s="9">
        <v>1.6572000000000001E-4</v>
      </c>
      <c r="P5919" s="9">
        <v>1.7155E-4</v>
      </c>
      <c r="Q5919" s="9">
        <v>1.7818000000000001E-4</v>
      </c>
      <c r="R5919" s="10">
        <v>1.9083744725327997E-4</v>
      </c>
      <c r="S5919" s="10">
        <v>1.2456793434217E-4</v>
      </c>
      <c r="T5919" s="10">
        <v>3.0915938401984315E-4</v>
      </c>
      <c r="U5919" s="10">
        <v>6.847E-5</v>
      </c>
      <c r="V5919" s="25"/>
      <c r="W5919" s="25"/>
      <c r="X5919" s="25"/>
      <c r="Y5919" s="25"/>
      <c r="Z5919" s="25"/>
      <c r="AA5919" s="25"/>
    </row>
    <row r="5920" spans="1:27" x14ac:dyDescent="0.35">
      <c r="A5920" s="5">
        <v>5916</v>
      </c>
      <c r="B5920" s="5">
        <v>247</v>
      </c>
      <c r="C5920" s="5">
        <v>9</v>
      </c>
      <c r="D5920" s="25">
        <v>1.1415000000000001E-4</v>
      </c>
      <c r="E5920" s="25">
        <v>1.1977E-4</v>
      </c>
      <c r="F5920" s="25">
        <v>1.2386E-4</v>
      </c>
      <c r="G5920" s="25">
        <v>1.6048000000000001E-4</v>
      </c>
      <c r="H5920" s="25">
        <v>1.9809999999999999E-4</v>
      </c>
      <c r="I5920" s="9">
        <v>1.1213E-4</v>
      </c>
      <c r="J5920" s="9">
        <v>1.0870999999999999E-4</v>
      </c>
      <c r="K5920" s="9">
        <v>0</v>
      </c>
      <c r="L5920" s="9">
        <v>1.6903E-4</v>
      </c>
      <c r="M5920" s="9">
        <v>1.7370999999999999E-4</v>
      </c>
      <c r="N5920" s="9">
        <v>1.5562E-4</v>
      </c>
      <c r="O5920" s="9">
        <v>1.6846999999999999E-4</v>
      </c>
      <c r="P5920" s="9">
        <v>1.7024E-4</v>
      </c>
      <c r="Q5920" s="9">
        <v>1.7289000000000001E-4</v>
      </c>
      <c r="R5920" s="10">
        <v>1.8718998689668556E-4</v>
      </c>
      <c r="S5920" s="10">
        <v>1.3080652053052943E-4</v>
      </c>
      <c r="T5920" s="10">
        <v>3.3065859857310434E-4</v>
      </c>
      <c r="U5920" s="10">
        <v>6.847E-5</v>
      </c>
      <c r="V5920" s="25"/>
      <c r="W5920" s="25"/>
      <c r="X5920" s="25"/>
      <c r="Y5920" s="25"/>
      <c r="Z5920" s="25"/>
      <c r="AA5920" s="25"/>
    </row>
    <row r="5921" spans="1:27" x14ac:dyDescent="0.35">
      <c r="A5921" s="5">
        <v>5917</v>
      </c>
      <c r="B5921" s="5">
        <v>247</v>
      </c>
      <c r="C5921" s="5">
        <v>9</v>
      </c>
      <c r="D5921" s="25">
        <v>1.1416E-4</v>
      </c>
      <c r="E5921" s="25">
        <v>1.1797E-4</v>
      </c>
      <c r="F5921" s="25">
        <v>1.4004999999999999E-4</v>
      </c>
      <c r="G5921" s="25">
        <v>1.6542E-4</v>
      </c>
      <c r="H5921" s="25">
        <v>2.0095000000000001E-4</v>
      </c>
      <c r="I5921" s="9">
        <v>1.0912999999999999E-4</v>
      </c>
      <c r="J5921" s="9">
        <v>1.0716E-4</v>
      </c>
      <c r="K5921" s="9">
        <v>0</v>
      </c>
      <c r="L5921" s="9">
        <v>1.6877E-4</v>
      </c>
      <c r="M5921" s="9">
        <v>1.7264E-4</v>
      </c>
      <c r="N5921" s="9">
        <v>1.6504000000000001E-4</v>
      </c>
      <c r="O5921" s="9">
        <v>1.6280999999999999E-4</v>
      </c>
      <c r="P5921" s="9">
        <v>1.6541E-4</v>
      </c>
      <c r="Q5921" s="9">
        <v>1.6883999999999999E-4</v>
      </c>
      <c r="R5921" s="10">
        <v>1.9392292267386265E-4</v>
      </c>
      <c r="S5921" s="10">
        <v>1.3607513870940406E-4</v>
      </c>
      <c r="T5921" s="10">
        <v>1.4809344515673764E-4</v>
      </c>
      <c r="U5921" s="10">
        <v>6.847E-5</v>
      </c>
      <c r="V5921" s="25"/>
      <c r="W5921" s="25"/>
      <c r="X5921" s="25"/>
      <c r="Y5921" s="25"/>
      <c r="Z5921" s="25"/>
      <c r="AA5921" s="25"/>
    </row>
    <row r="5922" spans="1:27" x14ac:dyDescent="0.35">
      <c r="A5922" s="5">
        <v>5918</v>
      </c>
      <c r="B5922" s="5">
        <v>247</v>
      </c>
      <c r="C5922" s="5">
        <v>9</v>
      </c>
      <c r="D5922" s="25">
        <v>1.1415000000000001E-4</v>
      </c>
      <c r="E5922" s="25">
        <v>1.1712E-4</v>
      </c>
      <c r="F5922" s="25">
        <v>1.2344999999999999E-4</v>
      </c>
      <c r="G5922" s="25">
        <v>1.6008999999999999E-4</v>
      </c>
      <c r="H5922" s="25">
        <v>1.8992999999999999E-4</v>
      </c>
      <c r="I5922" s="9">
        <v>1.0608E-4</v>
      </c>
      <c r="J5922" s="9">
        <v>1.0586000000000001E-4</v>
      </c>
      <c r="K5922" s="9">
        <v>0</v>
      </c>
      <c r="L5922" s="9">
        <v>1.6388000000000001E-4</v>
      </c>
      <c r="M5922" s="9">
        <v>1.6971E-4</v>
      </c>
      <c r="N5922" s="9">
        <v>1.6992999999999999E-4</v>
      </c>
      <c r="O5922" s="9">
        <v>1.7666000000000001E-4</v>
      </c>
      <c r="P5922" s="9">
        <v>1.6759000000000001E-4</v>
      </c>
      <c r="Q5922" s="9">
        <v>1.5961999999999999E-4</v>
      </c>
      <c r="R5922" s="10">
        <v>2.0090510491917451E-4</v>
      </c>
      <c r="S5922" s="10">
        <v>1.3942097698790048E-4</v>
      </c>
      <c r="T5922" s="10">
        <v>2.9132538678584358E-4</v>
      </c>
      <c r="U5922" s="10">
        <v>6.847E-5</v>
      </c>
      <c r="V5922" s="25"/>
      <c r="W5922" s="25"/>
      <c r="X5922" s="25"/>
      <c r="Y5922" s="25"/>
      <c r="Z5922" s="25"/>
      <c r="AA5922" s="25"/>
    </row>
    <row r="5923" spans="1:27" x14ac:dyDescent="0.35">
      <c r="A5923" s="5">
        <v>5919</v>
      </c>
      <c r="B5923" s="5">
        <v>247</v>
      </c>
      <c r="C5923" s="5">
        <v>9</v>
      </c>
      <c r="D5923" s="25">
        <v>1.1416E-4</v>
      </c>
      <c r="E5923" s="25">
        <v>1.1930999999999999E-4</v>
      </c>
      <c r="F5923" s="25">
        <v>1.2598000000000001E-4</v>
      </c>
      <c r="G5923" s="25">
        <v>1.6514000000000001E-4</v>
      </c>
      <c r="H5923" s="25">
        <v>1.9108999999999999E-4</v>
      </c>
      <c r="I5923" s="9">
        <v>1.0368E-4</v>
      </c>
      <c r="J5923" s="9">
        <v>1.0511E-4</v>
      </c>
      <c r="K5923" s="9">
        <v>0</v>
      </c>
      <c r="L5923" s="9">
        <v>1.7395999999999999E-4</v>
      </c>
      <c r="M5923" s="9">
        <v>1.6810999999999999E-4</v>
      </c>
      <c r="N5923" s="9">
        <v>1.6943000000000001E-4</v>
      </c>
      <c r="O5923" s="9">
        <v>1.8264E-4</v>
      </c>
      <c r="P5923" s="9">
        <v>1.6673E-4</v>
      </c>
      <c r="Q5923" s="9">
        <v>1.5207999999999999E-4</v>
      </c>
      <c r="R5923" s="10">
        <v>2.033702896796979E-4</v>
      </c>
      <c r="S5923" s="10">
        <v>1.4883367460644483E-4</v>
      </c>
      <c r="T5923" s="10">
        <v>2.6784933048399925E-5</v>
      </c>
      <c r="U5923" s="10">
        <v>6.847E-5</v>
      </c>
      <c r="V5923" s="25"/>
      <c r="W5923" s="25"/>
      <c r="X5923" s="25"/>
      <c r="Y5923" s="25"/>
      <c r="Z5923" s="25"/>
      <c r="AA5923" s="25"/>
    </row>
    <row r="5924" spans="1:27" x14ac:dyDescent="0.35">
      <c r="A5924" s="5">
        <v>5920</v>
      </c>
      <c r="B5924" s="5">
        <v>247</v>
      </c>
      <c r="C5924" s="5">
        <v>9</v>
      </c>
      <c r="D5924" s="25">
        <v>1.1415000000000001E-4</v>
      </c>
      <c r="E5924" s="25">
        <v>1.2025E-4</v>
      </c>
      <c r="F5924" s="25">
        <v>1.2364E-4</v>
      </c>
      <c r="G5924" s="25">
        <v>1.6604E-4</v>
      </c>
      <c r="H5924" s="25">
        <v>2.0337E-4</v>
      </c>
      <c r="I5924" s="9">
        <v>1.0525E-4</v>
      </c>
      <c r="J5924" s="9">
        <v>1.0595E-4</v>
      </c>
      <c r="K5924" s="9">
        <v>0</v>
      </c>
      <c r="L5924" s="9">
        <v>1.8047000000000001E-4</v>
      </c>
      <c r="M5924" s="9">
        <v>1.6725999999999999E-4</v>
      </c>
      <c r="N5924" s="9">
        <v>1.6562E-4</v>
      </c>
      <c r="O5924" s="9">
        <v>1.9547E-4</v>
      </c>
      <c r="P5924" s="9">
        <v>1.5132000000000001E-4</v>
      </c>
      <c r="Q5924" s="9">
        <v>1.0894E-4</v>
      </c>
      <c r="R5924" s="10">
        <v>1.9771798647078657E-4</v>
      </c>
      <c r="S5924" s="10">
        <v>1.6075775763182859E-4</v>
      </c>
      <c r="T5924" s="10">
        <v>4.5357064325861897E-5</v>
      </c>
      <c r="U5924" s="10">
        <v>6.847E-5</v>
      </c>
      <c r="V5924" s="25"/>
      <c r="W5924" s="25"/>
      <c r="X5924" s="25"/>
      <c r="Y5924" s="25"/>
      <c r="Z5924" s="25"/>
      <c r="AA5924" s="25"/>
    </row>
    <row r="5925" spans="1:27" x14ac:dyDescent="0.35">
      <c r="A5925" s="5">
        <v>5921</v>
      </c>
      <c r="B5925" s="5">
        <v>247</v>
      </c>
      <c r="C5925" s="5">
        <v>9</v>
      </c>
      <c r="D5925" s="25">
        <v>1.1416E-4</v>
      </c>
      <c r="E5925" s="25">
        <v>1.1684E-4</v>
      </c>
      <c r="F5925" s="25">
        <v>1.3134999999999999E-4</v>
      </c>
      <c r="G5925" s="25">
        <v>1.5971E-4</v>
      </c>
      <c r="H5925" s="25">
        <v>2.007E-4</v>
      </c>
      <c r="I5925" s="9">
        <v>1.0518000000000001E-4</v>
      </c>
      <c r="J5925" s="9">
        <v>1.0870999999999999E-4</v>
      </c>
      <c r="K5925" s="9">
        <v>0</v>
      </c>
      <c r="L5925" s="9">
        <v>1.9196E-4</v>
      </c>
      <c r="M5925" s="9">
        <v>1.6139E-4</v>
      </c>
      <c r="N5925" s="9">
        <v>1.5189000000000001E-4</v>
      </c>
      <c r="O5925" s="9">
        <v>2.1529000000000001E-4</v>
      </c>
      <c r="P5925" s="9">
        <v>1.6063000000000001E-4</v>
      </c>
      <c r="Q5925" s="9">
        <v>1.0805E-4</v>
      </c>
      <c r="R5925" s="10">
        <v>1.9519263488561206E-4</v>
      </c>
      <c r="S5925" s="10">
        <v>1.7406358385812262E-4</v>
      </c>
      <c r="T5925" s="10">
        <v>2.9075693872938407E-5</v>
      </c>
      <c r="U5925" s="10">
        <v>6.847E-5</v>
      </c>
      <c r="V5925" s="25"/>
      <c r="W5925" s="25"/>
      <c r="X5925" s="25"/>
      <c r="Y5925" s="25"/>
      <c r="Z5925" s="25"/>
      <c r="AA5925" s="25"/>
    </row>
    <row r="5926" spans="1:27" x14ac:dyDescent="0.35">
      <c r="A5926" s="5">
        <v>5922</v>
      </c>
      <c r="B5926" s="5">
        <v>247</v>
      </c>
      <c r="C5926" s="5">
        <v>9</v>
      </c>
      <c r="D5926" s="25">
        <v>1.1415000000000001E-4</v>
      </c>
      <c r="E5926" s="25">
        <v>1.1218999999999999E-4</v>
      </c>
      <c r="F5926" s="25">
        <v>1.4511999999999999E-4</v>
      </c>
      <c r="G5926" s="25">
        <v>1.6451000000000001E-4</v>
      </c>
      <c r="H5926" s="25">
        <v>2.0153E-4</v>
      </c>
      <c r="I5926" s="9">
        <v>1.0574E-4</v>
      </c>
      <c r="J5926" s="9">
        <v>1.105E-4</v>
      </c>
      <c r="K5926" s="9">
        <v>0</v>
      </c>
      <c r="L5926" s="9">
        <v>2.0991E-4</v>
      </c>
      <c r="M5926" s="9">
        <v>1.5951E-4</v>
      </c>
      <c r="N5926" s="9">
        <v>1.3888E-4</v>
      </c>
      <c r="O5926" s="9">
        <v>2.0672E-4</v>
      </c>
      <c r="P5926" s="9">
        <v>1.6176999999999999E-4</v>
      </c>
      <c r="Q5926" s="9">
        <v>1.1869E-4</v>
      </c>
      <c r="R5926" s="10">
        <v>1.9435786422295127E-4</v>
      </c>
      <c r="S5926" s="10">
        <v>1.8102178926488759E-4</v>
      </c>
      <c r="T5926" s="10">
        <v>2.0277475446840619E-6</v>
      </c>
      <c r="U5926" s="10">
        <v>6.847E-5</v>
      </c>
      <c r="V5926" s="25"/>
      <c r="W5926" s="25"/>
      <c r="X5926" s="25"/>
      <c r="Y5926" s="25"/>
      <c r="Z5926" s="25"/>
      <c r="AA5926" s="25"/>
    </row>
    <row r="5927" spans="1:27" x14ac:dyDescent="0.35">
      <c r="A5927" s="5">
        <v>5923</v>
      </c>
      <c r="B5927" s="5">
        <v>247</v>
      </c>
      <c r="C5927" s="5">
        <v>9</v>
      </c>
      <c r="D5927" s="25">
        <v>1.1416E-4</v>
      </c>
      <c r="E5927" s="25">
        <v>1.1926000000000001E-4</v>
      </c>
      <c r="F5927" s="25">
        <v>1.3742E-4</v>
      </c>
      <c r="G5927" s="25">
        <v>1.1196000000000001E-4</v>
      </c>
      <c r="H5927" s="25">
        <v>1.3443E-4</v>
      </c>
      <c r="I5927" s="9">
        <v>1.0478E-4</v>
      </c>
      <c r="J5927" s="9">
        <v>1.0957E-4</v>
      </c>
      <c r="K5927" s="9">
        <v>0</v>
      </c>
      <c r="L5927" s="9">
        <v>2.0697000000000001E-4</v>
      </c>
      <c r="M5927" s="9">
        <v>1.6002E-4</v>
      </c>
      <c r="N5927" s="9">
        <v>1.3009E-4</v>
      </c>
      <c r="O5927" s="9">
        <v>1.6419000000000001E-4</v>
      </c>
      <c r="P5927" s="9">
        <v>1.35E-4</v>
      </c>
      <c r="Q5927" s="9">
        <v>1.0715E-4</v>
      </c>
      <c r="R5927" s="10">
        <v>1.9282167234172657E-4</v>
      </c>
      <c r="S5927" s="10">
        <v>1.829326661063271E-4</v>
      </c>
      <c r="T5927" s="10">
        <v>0</v>
      </c>
      <c r="U5927" s="10">
        <v>6.847E-5</v>
      </c>
      <c r="V5927" s="25"/>
      <c r="W5927" s="25"/>
      <c r="X5927" s="25"/>
      <c r="Y5927" s="25"/>
      <c r="Z5927" s="25"/>
      <c r="AA5927" s="25"/>
    </row>
    <row r="5928" spans="1:27" x14ac:dyDescent="0.35">
      <c r="A5928" s="5">
        <v>5924</v>
      </c>
      <c r="B5928" s="5">
        <v>247</v>
      </c>
      <c r="C5928" s="5">
        <v>9</v>
      </c>
      <c r="D5928" s="25">
        <v>1.1415000000000001E-4</v>
      </c>
      <c r="E5928" s="25">
        <v>1.2098E-4</v>
      </c>
      <c r="F5928" s="25">
        <v>1.2391999999999999E-4</v>
      </c>
      <c r="G5928" s="25">
        <v>1.0584E-4</v>
      </c>
      <c r="H5928" s="25">
        <v>1.3087999999999999E-4</v>
      </c>
      <c r="I5928" s="9">
        <v>1.0553E-4</v>
      </c>
      <c r="J5928" s="9">
        <v>1.1121E-4</v>
      </c>
      <c r="K5928" s="9">
        <v>0</v>
      </c>
      <c r="L5928" s="9">
        <v>1.7374999999999999E-4</v>
      </c>
      <c r="M5928" s="9">
        <v>1.5129E-4</v>
      </c>
      <c r="N5928" s="9">
        <v>1.2108E-4</v>
      </c>
      <c r="O5928" s="9">
        <v>1.2784E-4</v>
      </c>
      <c r="P5928" s="9">
        <v>1.141E-4</v>
      </c>
      <c r="Q5928" s="9">
        <v>1.0122E-4</v>
      </c>
      <c r="R5928" s="10">
        <v>1.8761405460700979E-4</v>
      </c>
      <c r="S5928" s="10">
        <v>1.8254312462786799E-4</v>
      </c>
      <c r="T5928" s="10">
        <v>0</v>
      </c>
      <c r="U5928" s="10">
        <v>6.847E-5</v>
      </c>
      <c r="V5928" s="25"/>
      <c r="W5928" s="25"/>
      <c r="X5928" s="25"/>
      <c r="Y5928" s="25"/>
      <c r="Z5928" s="25"/>
      <c r="AA5928" s="25"/>
    </row>
    <row r="5929" spans="1:27" x14ac:dyDescent="0.35">
      <c r="A5929" s="5">
        <v>5925</v>
      </c>
      <c r="B5929" s="5">
        <v>247</v>
      </c>
      <c r="C5929" s="5">
        <v>9</v>
      </c>
      <c r="D5929" s="25">
        <v>1.1416E-4</v>
      </c>
      <c r="E5929" s="25">
        <v>1.1904E-4</v>
      </c>
      <c r="F5929" s="25">
        <v>1.3281999999999999E-4</v>
      </c>
      <c r="G5929" s="25">
        <v>5.8730000000000002E-5</v>
      </c>
      <c r="H5929" s="25">
        <v>6.3999999999999997E-5</v>
      </c>
      <c r="I5929" s="9">
        <v>1.0565000000000001E-4</v>
      </c>
      <c r="J5929" s="9">
        <v>1.0974E-4</v>
      </c>
      <c r="K5929" s="9">
        <v>0</v>
      </c>
      <c r="L5929" s="9">
        <v>1.3898E-4</v>
      </c>
      <c r="M5929" s="9">
        <v>1.3542E-4</v>
      </c>
      <c r="N5929" s="9">
        <v>1.1328E-4</v>
      </c>
      <c r="O5929" s="9">
        <v>8.5389999999999994E-5</v>
      </c>
      <c r="P5929" s="9">
        <v>8.708E-5</v>
      </c>
      <c r="Q5929" s="9">
        <v>8.9090000000000003E-5</v>
      </c>
      <c r="R5929" s="10">
        <v>1.8273321024404898E-4</v>
      </c>
      <c r="S5929" s="10">
        <v>1.8336653196112724E-4</v>
      </c>
      <c r="T5929" s="10">
        <v>0</v>
      </c>
      <c r="U5929" s="10">
        <v>6.847E-5</v>
      </c>
      <c r="V5929" s="25"/>
      <c r="W5929" s="25"/>
      <c r="X5929" s="25"/>
      <c r="Y5929" s="25"/>
      <c r="Z5929" s="25"/>
      <c r="AA5929" s="25"/>
    </row>
    <row r="5930" spans="1:27" x14ac:dyDescent="0.35">
      <c r="A5930" s="5">
        <v>5926</v>
      </c>
      <c r="B5930" s="5">
        <v>247</v>
      </c>
      <c r="C5930" s="5">
        <v>9</v>
      </c>
      <c r="D5930" s="25">
        <v>1.1415000000000001E-4</v>
      </c>
      <c r="E5930" s="25">
        <v>1.1919E-4</v>
      </c>
      <c r="F5930" s="25">
        <v>1.4322E-4</v>
      </c>
      <c r="G5930" s="25">
        <v>6.012E-5</v>
      </c>
      <c r="H5930" s="25">
        <v>6.6489999999999995E-5</v>
      </c>
      <c r="I5930" s="9">
        <v>1.0183000000000001E-4</v>
      </c>
      <c r="J5930" s="9">
        <v>1.0543E-4</v>
      </c>
      <c r="K5930" s="9">
        <v>0</v>
      </c>
      <c r="L5930" s="9">
        <v>9.8120000000000002E-5</v>
      </c>
      <c r="M5930" s="9">
        <v>1.1391999999999999E-4</v>
      </c>
      <c r="N5930" s="9">
        <v>1.0587E-4</v>
      </c>
      <c r="O5930" s="9">
        <v>8.789E-5</v>
      </c>
      <c r="P5930" s="9">
        <v>8.8179999999999999E-5</v>
      </c>
      <c r="Q5930" s="9">
        <v>8.8830000000000002E-5</v>
      </c>
      <c r="R5930" s="10">
        <v>1.777924422013646E-4</v>
      </c>
      <c r="S5930" s="10">
        <v>1.8425181813364186E-4</v>
      </c>
      <c r="T5930" s="10">
        <v>0</v>
      </c>
      <c r="U5930" s="10">
        <v>6.847E-5</v>
      </c>
      <c r="V5930" s="25"/>
      <c r="W5930" s="25"/>
      <c r="X5930" s="25"/>
      <c r="Y5930" s="25"/>
      <c r="Z5930" s="25"/>
      <c r="AA5930" s="25"/>
    </row>
    <row r="5931" spans="1:27" x14ac:dyDescent="0.35">
      <c r="A5931" s="5">
        <v>5927</v>
      </c>
      <c r="B5931" s="5">
        <v>247</v>
      </c>
      <c r="C5931" s="5">
        <v>9</v>
      </c>
      <c r="D5931" s="25">
        <v>1.1416E-4</v>
      </c>
      <c r="E5931" s="25">
        <v>1.1277000000000001E-4</v>
      </c>
      <c r="F5931" s="25">
        <v>1.2438E-4</v>
      </c>
      <c r="G5931" s="25">
        <v>5.3430000000000002E-5</v>
      </c>
      <c r="H5931" s="25">
        <v>7.1619999999999995E-5</v>
      </c>
      <c r="I5931" s="9">
        <v>9.8250000000000003E-5</v>
      </c>
      <c r="J5931" s="9">
        <v>1.0037E-4</v>
      </c>
      <c r="K5931" s="9">
        <v>0</v>
      </c>
      <c r="L5931" s="9">
        <v>9.1039999999999996E-5</v>
      </c>
      <c r="M5931" s="9">
        <v>9.9419999999999993E-5</v>
      </c>
      <c r="N5931" s="9">
        <v>1.0014E-4</v>
      </c>
      <c r="O5931" s="9">
        <v>7.8579999999999996E-5</v>
      </c>
      <c r="P5931" s="9">
        <v>7.2879999999999993E-5</v>
      </c>
      <c r="Q5931" s="9">
        <v>6.7570000000000005E-5</v>
      </c>
      <c r="R5931" s="10">
        <v>1.722501430079249E-4</v>
      </c>
      <c r="S5931" s="10">
        <v>1.8448453488374369E-4</v>
      </c>
      <c r="T5931" s="10">
        <v>0</v>
      </c>
      <c r="U5931" s="10">
        <v>6.847E-5</v>
      </c>
      <c r="V5931" s="25"/>
      <c r="W5931" s="25"/>
      <c r="X5931" s="25"/>
      <c r="Y5931" s="25"/>
      <c r="Z5931" s="25"/>
      <c r="AA5931" s="25"/>
    </row>
    <row r="5932" spans="1:27" x14ac:dyDescent="0.35">
      <c r="A5932" s="5">
        <v>5928</v>
      </c>
      <c r="B5932" s="5">
        <v>247</v>
      </c>
      <c r="C5932" s="5">
        <v>9</v>
      </c>
      <c r="D5932" s="25">
        <v>1.1415000000000001E-4</v>
      </c>
      <c r="E5932" s="25">
        <v>1.187E-4</v>
      </c>
      <c r="F5932" s="25">
        <v>1.3159000000000001E-4</v>
      </c>
      <c r="G5932" s="25">
        <v>6.1959999999999996E-5</v>
      </c>
      <c r="H5932" s="25">
        <v>6.4989999999999999E-5</v>
      </c>
      <c r="I5932" s="9">
        <v>9.2109999999999997E-5</v>
      </c>
      <c r="J5932" s="9">
        <v>9.488E-5</v>
      </c>
      <c r="K5932" s="9">
        <v>0</v>
      </c>
      <c r="L5932" s="9">
        <v>8.1299999999999997E-5</v>
      </c>
      <c r="M5932" s="9">
        <v>8.6669999999999995E-5</v>
      </c>
      <c r="N5932" s="9">
        <v>9.0950000000000002E-5</v>
      </c>
      <c r="O5932" s="9">
        <v>6.3E-5</v>
      </c>
      <c r="P5932" s="9">
        <v>6.0940000000000003E-5</v>
      </c>
      <c r="Q5932" s="9">
        <v>5.9120000000000003E-5</v>
      </c>
      <c r="R5932" s="10">
        <v>1.5080331680936027E-4</v>
      </c>
      <c r="S5932" s="10">
        <v>1.8681885687941177E-4</v>
      </c>
      <c r="T5932" s="10">
        <v>0</v>
      </c>
      <c r="U5932" s="10">
        <v>6.847E-5</v>
      </c>
      <c r="V5932" s="25"/>
      <c r="W5932" s="25"/>
      <c r="X5932" s="25"/>
      <c r="Y5932" s="25"/>
      <c r="Z5932" s="25"/>
      <c r="AA5932" s="25"/>
    </row>
    <row r="5933" spans="1:27" x14ac:dyDescent="0.35">
      <c r="A5933" s="5">
        <v>5929</v>
      </c>
      <c r="B5933" s="5">
        <v>248</v>
      </c>
      <c r="C5933" s="5">
        <v>9</v>
      </c>
      <c r="D5933" s="25">
        <v>1.1416E-4</v>
      </c>
      <c r="E5933" s="25">
        <v>1.0836E-4</v>
      </c>
      <c r="F5933" s="25">
        <v>1.0192999999999999E-4</v>
      </c>
      <c r="G5933" s="25">
        <v>5.7219999999999998E-5</v>
      </c>
      <c r="H5933" s="25">
        <v>7.4759999999999996E-5</v>
      </c>
      <c r="I5933" s="9">
        <v>8.8939999999999999E-5</v>
      </c>
      <c r="J5933" s="9">
        <v>9.0610000000000002E-5</v>
      </c>
      <c r="K5933" s="9">
        <v>0</v>
      </c>
      <c r="L5933" s="9">
        <v>6.703E-5</v>
      </c>
      <c r="M5933" s="9">
        <v>7.4480000000000005E-5</v>
      </c>
      <c r="N5933" s="9">
        <v>8.1550000000000004E-5</v>
      </c>
      <c r="O5933" s="9">
        <v>5.486E-5</v>
      </c>
      <c r="P5933" s="9">
        <v>5.427E-5</v>
      </c>
      <c r="Q5933" s="9">
        <v>5.3850000000000001E-5</v>
      </c>
      <c r="R5933" s="10">
        <v>1.4792146391212055E-4</v>
      </c>
      <c r="S5933" s="10">
        <v>1.848473990067174E-4</v>
      </c>
      <c r="T5933" s="10">
        <v>0</v>
      </c>
      <c r="U5933" s="10">
        <v>6.8040000000000006E-5</v>
      </c>
      <c r="V5933" s="25"/>
      <c r="W5933" s="25"/>
      <c r="X5933" s="25"/>
      <c r="Y5933" s="25"/>
      <c r="Z5933" s="25"/>
      <c r="AA5933" s="25"/>
    </row>
    <row r="5934" spans="1:27" x14ac:dyDescent="0.35">
      <c r="A5934" s="5">
        <v>5930</v>
      </c>
      <c r="B5934" s="5">
        <v>248</v>
      </c>
      <c r="C5934" s="5">
        <v>9</v>
      </c>
      <c r="D5934" s="25">
        <v>1.1415000000000001E-4</v>
      </c>
      <c r="E5934" s="25">
        <v>1.1502000000000001E-4</v>
      </c>
      <c r="F5934" s="25">
        <v>1.0128000000000001E-4</v>
      </c>
      <c r="G5934" s="25">
        <v>5.3609999999999997E-5</v>
      </c>
      <c r="H5934" s="25">
        <v>7.3730000000000001E-5</v>
      </c>
      <c r="I5934" s="9">
        <v>8.6050000000000005E-5</v>
      </c>
      <c r="J5934" s="9">
        <v>8.7960000000000005E-5</v>
      </c>
      <c r="K5934" s="9">
        <v>0</v>
      </c>
      <c r="L5934" s="9">
        <v>5.7930000000000003E-5</v>
      </c>
      <c r="M5934" s="9">
        <v>6.4300000000000004E-5</v>
      </c>
      <c r="N5934" s="9">
        <v>7.2479999999999997E-5</v>
      </c>
      <c r="O5934" s="9">
        <v>1.889E-5</v>
      </c>
      <c r="P5934" s="9">
        <v>3.7660000000000002E-5</v>
      </c>
      <c r="Q5934" s="9">
        <v>5.6039999999999999E-5</v>
      </c>
      <c r="R5934" s="10">
        <v>1.4306836931091837E-4</v>
      </c>
      <c r="S5934" s="10">
        <v>1.821301844450823E-4</v>
      </c>
      <c r="T5934" s="10">
        <v>0</v>
      </c>
      <c r="U5934" s="10">
        <v>6.8040000000000006E-5</v>
      </c>
      <c r="V5934" s="25"/>
      <c r="W5934" s="25"/>
      <c r="X5934" s="25"/>
      <c r="Y5934" s="25"/>
      <c r="Z5934" s="25"/>
      <c r="AA5934" s="25"/>
    </row>
    <row r="5935" spans="1:27" x14ac:dyDescent="0.35">
      <c r="A5935" s="5">
        <v>5931</v>
      </c>
      <c r="B5935" s="5">
        <v>248</v>
      </c>
      <c r="C5935" s="5">
        <v>9</v>
      </c>
      <c r="D5935" s="25">
        <v>1.1416E-4</v>
      </c>
      <c r="E5935" s="25">
        <v>1.0982E-4</v>
      </c>
      <c r="F5935" s="25">
        <v>9.1609999999999999E-5</v>
      </c>
      <c r="G5935" s="25">
        <v>6.1169999999999999E-5</v>
      </c>
      <c r="H5935" s="25">
        <v>6.8709999999999998E-5</v>
      </c>
      <c r="I5935" s="9">
        <v>8.4930000000000002E-5</v>
      </c>
      <c r="J5935" s="9">
        <v>8.6749999999999994E-5</v>
      </c>
      <c r="K5935" s="9">
        <v>0</v>
      </c>
      <c r="L5935" s="9">
        <v>2.7690000000000001E-5</v>
      </c>
      <c r="M5935" s="9">
        <v>5.2389999999999998E-5</v>
      </c>
      <c r="N5935" s="9">
        <v>6.58E-5</v>
      </c>
      <c r="O5935" s="9">
        <v>1.3349999999999999E-5</v>
      </c>
      <c r="P5935" s="9">
        <v>3.7440000000000001E-5</v>
      </c>
      <c r="Q5935" s="9">
        <v>6.1029999999999997E-5</v>
      </c>
      <c r="R5935" s="10">
        <v>1.5415512513893118E-4</v>
      </c>
      <c r="S5935" s="10">
        <v>1.8116373701421032E-4</v>
      </c>
      <c r="T5935" s="10">
        <v>0</v>
      </c>
      <c r="U5935" s="10">
        <v>6.8040000000000006E-5</v>
      </c>
      <c r="V5935" s="25"/>
      <c r="W5935" s="25"/>
      <c r="X5935" s="25"/>
      <c r="Y5935" s="25"/>
      <c r="Z5935" s="25"/>
      <c r="AA5935" s="25"/>
    </row>
    <row r="5936" spans="1:27" x14ac:dyDescent="0.35">
      <c r="A5936" s="5">
        <v>5932</v>
      </c>
      <c r="B5936" s="5">
        <v>248</v>
      </c>
      <c r="C5936" s="5">
        <v>9</v>
      </c>
      <c r="D5936" s="25">
        <v>1.1415000000000001E-4</v>
      </c>
      <c r="E5936" s="25">
        <v>1.0446E-4</v>
      </c>
      <c r="F5936" s="25">
        <v>1.0378999999999999E-4</v>
      </c>
      <c r="G5936" s="25">
        <v>5.3189999999999997E-5</v>
      </c>
      <c r="H5936" s="25">
        <v>7.3819999999999995E-5</v>
      </c>
      <c r="I5936" s="9">
        <v>8.4389999999999997E-5</v>
      </c>
      <c r="J5936" s="9">
        <v>8.6210000000000003E-5</v>
      </c>
      <c r="K5936" s="9">
        <v>0</v>
      </c>
      <c r="L5936" s="9">
        <v>1.7249999999999999E-5</v>
      </c>
      <c r="M5936" s="9">
        <v>4.4159999999999997E-5</v>
      </c>
      <c r="N5936" s="9">
        <v>6.2009999999999998E-5</v>
      </c>
      <c r="O5936" s="9">
        <v>1.3390000000000001E-5</v>
      </c>
      <c r="P5936" s="9">
        <v>4.6940000000000001E-5</v>
      </c>
      <c r="Q5936" s="9">
        <v>7.983E-5</v>
      </c>
      <c r="R5936" s="10">
        <v>1.61611495425385E-4</v>
      </c>
      <c r="S5936" s="10">
        <v>1.8121353955497356E-4</v>
      </c>
      <c r="T5936" s="10">
        <v>0</v>
      </c>
      <c r="U5936" s="10">
        <v>6.8040000000000006E-5</v>
      </c>
      <c r="V5936" s="25"/>
      <c r="W5936" s="25"/>
      <c r="X5936" s="25"/>
      <c r="Y5936" s="25"/>
      <c r="Z5936" s="25"/>
      <c r="AA5936" s="25"/>
    </row>
    <row r="5937" spans="1:27" x14ac:dyDescent="0.35">
      <c r="A5937" s="5">
        <v>5933</v>
      </c>
      <c r="B5937" s="5">
        <v>248</v>
      </c>
      <c r="C5937" s="5">
        <v>9</v>
      </c>
      <c r="D5937" s="25">
        <v>1.1416E-4</v>
      </c>
      <c r="E5937" s="25">
        <v>1.1331E-4</v>
      </c>
      <c r="F5937" s="25">
        <v>9.7200000000000004E-5</v>
      </c>
      <c r="G5937" s="25">
        <v>6.1649999999999994E-5</v>
      </c>
      <c r="H5937" s="25">
        <v>7.3490000000000003E-5</v>
      </c>
      <c r="I5937" s="9">
        <v>8.5550000000000006E-5</v>
      </c>
      <c r="J5937" s="9">
        <v>8.6340000000000003E-5</v>
      </c>
      <c r="K5937" s="9">
        <v>0</v>
      </c>
      <c r="L5937" s="9">
        <v>1.449E-5</v>
      </c>
      <c r="M5937" s="9">
        <v>4.3309999999999997E-5</v>
      </c>
      <c r="N5937" s="9">
        <v>6.4350000000000006E-5</v>
      </c>
      <c r="O5937" s="9">
        <v>1.8839999999999999E-5</v>
      </c>
      <c r="P5937" s="9">
        <v>5.6339999999999999E-5</v>
      </c>
      <c r="Q5937" s="9">
        <v>9.3170000000000004E-5</v>
      </c>
      <c r="R5937" s="10">
        <v>1.5738639504055623E-4</v>
      </c>
      <c r="S5937" s="10">
        <v>1.8382989991477889E-4</v>
      </c>
      <c r="T5937" s="10">
        <v>0</v>
      </c>
      <c r="U5937" s="10">
        <v>6.8040000000000006E-5</v>
      </c>
      <c r="V5937" s="25"/>
      <c r="W5937" s="25"/>
      <c r="X5937" s="25"/>
      <c r="Y5937" s="25"/>
      <c r="Z5937" s="25"/>
      <c r="AA5937" s="25"/>
    </row>
    <row r="5938" spans="1:27" x14ac:dyDescent="0.35">
      <c r="A5938" s="5">
        <v>5934</v>
      </c>
      <c r="B5938" s="5">
        <v>248</v>
      </c>
      <c r="C5938" s="5">
        <v>9</v>
      </c>
      <c r="D5938" s="25">
        <v>1.1415000000000001E-4</v>
      </c>
      <c r="E5938" s="25">
        <v>1.0978E-4</v>
      </c>
      <c r="F5938" s="25">
        <v>1.1092E-4</v>
      </c>
      <c r="G5938" s="25">
        <v>1.0908000000000001E-4</v>
      </c>
      <c r="H5938" s="25">
        <v>1.2861E-4</v>
      </c>
      <c r="I5938" s="9">
        <v>8.7299999999999994E-5</v>
      </c>
      <c r="J5938" s="9">
        <v>8.7600000000000002E-5</v>
      </c>
      <c r="K5938" s="9">
        <v>0</v>
      </c>
      <c r="L5938" s="9">
        <v>1.7750000000000001E-5</v>
      </c>
      <c r="M5938" s="9">
        <v>4.8140000000000003E-5</v>
      </c>
      <c r="N5938" s="9">
        <v>7.0749999999999999E-5</v>
      </c>
      <c r="O5938" s="9">
        <v>4.6619999999999997E-5</v>
      </c>
      <c r="P5938" s="9">
        <v>7.7379999999999994E-5</v>
      </c>
      <c r="Q5938" s="9">
        <v>1.0774E-4</v>
      </c>
      <c r="R5938" s="10">
        <v>1.5095340368409156E-4</v>
      </c>
      <c r="S5938" s="10">
        <v>1.8561174982765013E-4</v>
      </c>
      <c r="T5938" s="10">
        <v>0</v>
      </c>
      <c r="U5938" s="10">
        <v>6.8040000000000006E-5</v>
      </c>
      <c r="V5938" s="25"/>
      <c r="W5938" s="25"/>
      <c r="X5938" s="25"/>
      <c r="Y5938" s="25"/>
      <c r="Z5938" s="25"/>
      <c r="AA5938" s="25"/>
    </row>
    <row r="5939" spans="1:27" x14ac:dyDescent="0.35">
      <c r="A5939" s="5">
        <v>5935</v>
      </c>
      <c r="B5939" s="5">
        <v>248</v>
      </c>
      <c r="C5939" s="5">
        <v>9</v>
      </c>
      <c r="D5939" s="25">
        <v>1.1416E-4</v>
      </c>
      <c r="E5939" s="25">
        <v>1.1202E-4</v>
      </c>
      <c r="F5939" s="25">
        <v>1.1095999999999999E-4</v>
      </c>
      <c r="G5939" s="25">
        <v>1.0527E-4</v>
      </c>
      <c r="H5939" s="25">
        <v>1.3067999999999999E-4</v>
      </c>
      <c r="I5939" s="9">
        <v>8.8410000000000002E-5</v>
      </c>
      <c r="J5939" s="9">
        <v>8.8490000000000001E-5</v>
      </c>
      <c r="K5939" s="9">
        <v>0</v>
      </c>
      <c r="L5939" s="9">
        <v>4.0129999999999997E-5</v>
      </c>
      <c r="M5939" s="9">
        <v>6.003E-5</v>
      </c>
      <c r="N5939" s="9">
        <v>8.0610000000000002E-5</v>
      </c>
      <c r="O5939" s="9">
        <v>1.2274000000000001E-4</v>
      </c>
      <c r="P5939" s="9">
        <v>1.1712E-4</v>
      </c>
      <c r="Q5939" s="9">
        <v>1.1218999999999999E-4</v>
      </c>
      <c r="R5939" s="10">
        <v>1.5640859237303772E-4</v>
      </c>
      <c r="S5939" s="10">
        <v>1.8611941600620103E-4</v>
      </c>
      <c r="T5939" s="10">
        <v>7.4424273899450149E-5</v>
      </c>
      <c r="U5939" s="10">
        <v>6.8040000000000006E-5</v>
      </c>
      <c r="V5939" s="25"/>
      <c r="W5939" s="25"/>
      <c r="X5939" s="25"/>
      <c r="Y5939" s="25"/>
      <c r="Z5939" s="25"/>
      <c r="AA5939" s="25"/>
    </row>
    <row r="5940" spans="1:27" x14ac:dyDescent="0.35">
      <c r="A5940" s="5">
        <v>5936</v>
      </c>
      <c r="B5940" s="5">
        <v>248</v>
      </c>
      <c r="C5940" s="5">
        <v>9</v>
      </c>
      <c r="D5940" s="25">
        <v>1.1415000000000001E-4</v>
      </c>
      <c r="E5940" s="25">
        <v>1.086E-4</v>
      </c>
      <c r="F5940" s="25">
        <v>9.7180000000000001E-5</v>
      </c>
      <c r="G5940" s="25">
        <v>1.6262000000000001E-4</v>
      </c>
      <c r="H5940" s="25">
        <v>1.9304000000000001E-4</v>
      </c>
      <c r="I5940" s="9">
        <v>9.3519999999999999E-5</v>
      </c>
      <c r="J5940" s="9">
        <v>9.4060000000000004E-5</v>
      </c>
      <c r="K5940" s="9">
        <v>0</v>
      </c>
      <c r="L5940" s="9">
        <v>1.0394E-4</v>
      </c>
      <c r="M5940" s="9">
        <v>8.3659999999999995E-5</v>
      </c>
      <c r="N5940" s="9">
        <v>9.0680000000000006E-5</v>
      </c>
      <c r="O5940" s="9">
        <v>2.2047000000000001E-4</v>
      </c>
      <c r="P5940" s="9">
        <v>1.7804E-4</v>
      </c>
      <c r="Q5940" s="9">
        <v>1.3753999999999999E-4</v>
      </c>
      <c r="R5940" s="10">
        <v>1.6555922303304943E-4</v>
      </c>
      <c r="S5940" s="10">
        <v>1.8707916931752722E-4</v>
      </c>
      <c r="T5940" s="10">
        <v>6.1731762071636951E-5</v>
      </c>
      <c r="U5940" s="10">
        <v>6.8040000000000006E-5</v>
      </c>
      <c r="V5940" s="25"/>
      <c r="W5940" s="25"/>
      <c r="X5940" s="25"/>
      <c r="Y5940" s="25"/>
      <c r="Z5940" s="25"/>
      <c r="AA5940" s="25"/>
    </row>
    <row r="5941" spans="1:27" x14ac:dyDescent="0.35">
      <c r="A5941" s="5">
        <v>5937</v>
      </c>
      <c r="B5941" s="5">
        <v>248</v>
      </c>
      <c r="C5941" s="5">
        <v>9</v>
      </c>
      <c r="D5941" s="25">
        <v>1.1416E-4</v>
      </c>
      <c r="E5941" s="25">
        <v>1.0657E-4</v>
      </c>
      <c r="F5941" s="25">
        <v>1.091E-4</v>
      </c>
      <c r="G5941" s="25">
        <v>1.6658999999999999E-4</v>
      </c>
      <c r="H5941" s="25">
        <v>1.8786000000000001E-4</v>
      </c>
      <c r="I5941" s="9">
        <v>9.8040000000000003E-5</v>
      </c>
      <c r="J5941" s="9">
        <v>9.9240000000000005E-5</v>
      </c>
      <c r="K5941" s="9">
        <v>0</v>
      </c>
      <c r="L5941" s="9">
        <v>1.9309000000000001E-4</v>
      </c>
      <c r="M5941" s="9">
        <v>1.2374E-4</v>
      </c>
      <c r="N5941" s="9">
        <v>1.0466E-4</v>
      </c>
      <c r="O5941" s="9">
        <v>2.1138999999999999E-4</v>
      </c>
      <c r="P5941" s="9">
        <v>1.9362000000000001E-4</v>
      </c>
      <c r="Q5941" s="9">
        <v>1.7731999999999999E-4</v>
      </c>
      <c r="R5941" s="10">
        <v>1.7005968138655674E-4</v>
      </c>
      <c r="S5941" s="10">
        <v>1.8717959552730314E-4</v>
      </c>
      <c r="T5941" s="10">
        <v>7.3906731639091454E-5</v>
      </c>
      <c r="U5941" s="10">
        <v>6.8040000000000006E-5</v>
      </c>
      <c r="V5941" s="25"/>
      <c r="W5941" s="25"/>
      <c r="X5941" s="25"/>
      <c r="Y5941" s="25"/>
      <c r="Z5941" s="25"/>
      <c r="AA5941" s="25"/>
    </row>
    <row r="5942" spans="1:27" x14ac:dyDescent="0.35">
      <c r="A5942" s="5">
        <v>5938</v>
      </c>
      <c r="B5942" s="5">
        <v>248</v>
      </c>
      <c r="C5942" s="5">
        <v>9</v>
      </c>
      <c r="D5942" s="25">
        <v>1.1415000000000001E-4</v>
      </c>
      <c r="E5942" s="25">
        <v>1.1244E-4</v>
      </c>
      <c r="F5942" s="25">
        <v>9.0569999999999995E-5</v>
      </c>
      <c r="G5942" s="25">
        <v>1.6621999999999999E-4</v>
      </c>
      <c r="H5942" s="25">
        <v>2.0102999999999999E-4</v>
      </c>
      <c r="I5942" s="9">
        <v>1.0414E-4</v>
      </c>
      <c r="J5942" s="9">
        <v>1.0194E-4</v>
      </c>
      <c r="K5942" s="9">
        <v>0</v>
      </c>
      <c r="L5942" s="9">
        <v>2.0503000000000001E-4</v>
      </c>
      <c r="M5942" s="9">
        <v>1.5906000000000001E-4</v>
      </c>
      <c r="N5942" s="9">
        <v>1.2480999999999999E-4</v>
      </c>
      <c r="O5942" s="9">
        <v>1.6676000000000001E-4</v>
      </c>
      <c r="P5942" s="9">
        <v>1.7396999999999999E-4</v>
      </c>
      <c r="Q5942" s="9">
        <v>1.8196999999999999E-4</v>
      </c>
      <c r="R5942" s="10">
        <v>1.6269919079664742E-4</v>
      </c>
      <c r="S5942" s="10">
        <v>1.862978052935548E-4</v>
      </c>
      <c r="T5942" s="10">
        <v>1.1883109669809608E-4</v>
      </c>
      <c r="U5942" s="10">
        <v>6.8040000000000006E-5</v>
      </c>
      <c r="V5942" s="25"/>
      <c r="W5942" s="25"/>
      <c r="X5942" s="25"/>
      <c r="Y5942" s="25"/>
      <c r="Z5942" s="25"/>
      <c r="AA5942" s="25"/>
    </row>
    <row r="5943" spans="1:27" x14ac:dyDescent="0.35">
      <c r="A5943" s="5">
        <v>5939</v>
      </c>
      <c r="B5943" s="5">
        <v>248</v>
      </c>
      <c r="C5943" s="5">
        <v>9</v>
      </c>
      <c r="D5943" s="25">
        <v>1.1416E-4</v>
      </c>
      <c r="E5943" s="25">
        <v>1.0922E-4</v>
      </c>
      <c r="F5943" s="25">
        <v>9.7070000000000004E-5</v>
      </c>
      <c r="G5943" s="25">
        <v>1.5695999999999999E-4</v>
      </c>
      <c r="H5943" s="25">
        <v>1.9314000000000001E-4</v>
      </c>
      <c r="I5943" s="9">
        <v>1.1161E-4</v>
      </c>
      <c r="J5943" s="9">
        <v>1.0314000000000001E-4</v>
      </c>
      <c r="K5943" s="9">
        <v>0</v>
      </c>
      <c r="L5943" s="9">
        <v>1.7526E-4</v>
      </c>
      <c r="M5943" s="9">
        <v>1.7260999999999999E-4</v>
      </c>
      <c r="N5943" s="9">
        <v>1.4287999999999999E-4</v>
      </c>
      <c r="O5943" s="9">
        <v>1.6699999999999999E-4</v>
      </c>
      <c r="P5943" s="9">
        <v>1.7286999999999999E-4</v>
      </c>
      <c r="Q5943" s="9">
        <v>1.7955E-4</v>
      </c>
      <c r="R5943" s="10">
        <v>1.7067436708240812E-4</v>
      </c>
      <c r="S5943" s="10">
        <v>1.8738283838974656E-4</v>
      </c>
      <c r="T5943" s="10">
        <v>1.2814685738455256E-4</v>
      </c>
      <c r="U5943" s="10">
        <v>6.8040000000000006E-5</v>
      </c>
      <c r="V5943" s="25"/>
      <c r="W5943" s="25"/>
      <c r="X5943" s="25"/>
      <c r="Y5943" s="25"/>
      <c r="Z5943" s="25"/>
      <c r="AA5943" s="25"/>
    </row>
    <row r="5944" spans="1:27" x14ac:dyDescent="0.35">
      <c r="A5944" s="5">
        <v>5940</v>
      </c>
      <c r="B5944" s="5">
        <v>248</v>
      </c>
      <c r="C5944" s="5">
        <v>9</v>
      </c>
      <c r="D5944" s="25">
        <v>1.1415000000000001E-4</v>
      </c>
      <c r="E5944" s="25">
        <v>1.0581000000000001E-4</v>
      </c>
      <c r="F5944" s="25">
        <v>1.1319000000000001E-4</v>
      </c>
      <c r="G5944" s="25">
        <v>1.6144E-4</v>
      </c>
      <c r="H5944" s="25">
        <v>1.8776E-4</v>
      </c>
      <c r="I5944" s="9">
        <v>1.1217000000000001E-4</v>
      </c>
      <c r="J5944" s="9">
        <v>1.0349999999999999E-4</v>
      </c>
      <c r="K5944" s="9">
        <v>0</v>
      </c>
      <c r="L5944" s="9">
        <v>1.7024999999999999E-4</v>
      </c>
      <c r="M5944" s="9">
        <v>1.7495999999999999E-4</v>
      </c>
      <c r="N5944" s="9">
        <v>1.5693E-4</v>
      </c>
      <c r="O5944" s="9">
        <v>1.6919999999999999E-4</v>
      </c>
      <c r="P5944" s="9">
        <v>1.7097E-4</v>
      </c>
      <c r="Q5944" s="9">
        <v>1.7364E-4</v>
      </c>
      <c r="R5944" s="10">
        <v>1.5020622484134403E-4</v>
      </c>
      <c r="S5944" s="10">
        <v>1.8715130254818931E-4</v>
      </c>
      <c r="T5944" s="10">
        <v>4.217036148994837E-4</v>
      </c>
      <c r="U5944" s="10">
        <v>6.8040000000000006E-5</v>
      </c>
      <c r="V5944" s="25"/>
      <c r="W5944" s="25"/>
      <c r="X5944" s="25"/>
      <c r="Y5944" s="25"/>
      <c r="Z5944" s="25"/>
      <c r="AA5944" s="25"/>
    </row>
    <row r="5945" spans="1:27" x14ac:dyDescent="0.35">
      <c r="A5945" s="5">
        <v>5941</v>
      </c>
      <c r="B5945" s="5">
        <v>248</v>
      </c>
      <c r="C5945" s="5">
        <v>9</v>
      </c>
      <c r="D5945" s="25">
        <v>1.1416E-4</v>
      </c>
      <c r="E5945" s="25">
        <v>1.078E-4</v>
      </c>
      <c r="F5945" s="25">
        <v>9.3159999999999996E-5</v>
      </c>
      <c r="G5945" s="25">
        <v>1.5914E-4</v>
      </c>
      <c r="H5945" s="25">
        <v>1.9990000000000001E-4</v>
      </c>
      <c r="I5945" s="9">
        <v>1.0632E-4</v>
      </c>
      <c r="J5945" s="9">
        <v>1.0275E-4</v>
      </c>
      <c r="K5945" s="9">
        <v>0</v>
      </c>
      <c r="L5945" s="9">
        <v>1.6959000000000001E-4</v>
      </c>
      <c r="M5945" s="9">
        <v>1.7364999999999999E-4</v>
      </c>
      <c r="N5945" s="9">
        <v>1.6625E-4</v>
      </c>
      <c r="O5945" s="9">
        <v>1.6124999999999999E-4</v>
      </c>
      <c r="P5945" s="9">
        <v>1.6383000000000001E-4</v>
      </c>
      <c r="Q5945" s="9">
        <v>1.6721999999999999E-4</v>
      </c>
      <c r="R5945" s="10">
        <v>1.5719799877701669E-4</v>
      </c>
      <c r="S5945" s="10">
        <v>1.8861040306130146E-4</v>
      </c>
      <c r="T5945" s="10">
        <v>2.3059477203752349E-4</v>
      </c>
      <c r="U5945" s="10">
        <v>6.8040000000000006E-5</v>
      </c>
      <c r="V5945" s="25"/>
      <c r="W5945" s="25"/>
      <c r="X5945" s="25"/>
      <c r="Y5945" s="25"/>
      <c r="Z5945" s="25"/>
      <c r="AA5945" s="25"/>
    </row>
    <row r="5946" spans="1:27" x14ac:dyDescent="0.35">
      <c r="A5946" s="5">
        <v>5942</v>
      </c>
      <c r="B5946" s="5">
        <v>248</v>
      </c>
      <c r="C5946" s="5">
        <v>9</v>
      </c>
      <c r="D5946" s="25">
        <v>1.1415000000000001E-4</v>
      </c>
      <c r="E5946" s="25">
        <v>1.1106E-4</v>
      </c>
      <c r="F5946" s="25">
        <v>1.0128000000000001E-4</v>
      </c>
      <c r="G5946" s="25">
        <v>1.5854000000000001E-4</v>
      </c>
      <c r="H5946" s="25">
        <v>1.9615E-4</v>
      </c>
      <c r="I5946" s="9">
        <v>1.0137E-4</v>
      </c>
      <c r="J5946" s="9">
        <v>1.0191000000000001E-4</v>
      </c>
      <c r="K5946" s="9">
        <v>0</v>
      </c>
      <c r="L5946" s="9">
        <v>1.6284000000000001E-4</v>
      </c>
      <c r="M5946" s="9">
        <v>1.6975000000000001E-4</v>
      </c>
      <c r="N5946" s="9">
        <v>1.7045999999999999E-4</v>
      </c>
      <c r="O5946" s="9">
        <v>1.7717000000000001E-4</v>
      </c>
      <c r="P5946" s="9">
        <v>1.6807000000000001E-4</v>
      </c>
      <c r="Q5946" s="9">
        <v>1.6008E-4</v>
      </c>
      <c r="R5946" s="10">
        <v>1.7280998387957572E-4</v>
      </c>
      <c r="S5946" s="10">
        <v>1.8924299417808076E-4</v>
      </c>
      <c r="T5946" s="10">
        <v>4.7927807028955074E-4</v>
      </c>
      <c r="U5946" s="10">
        <v>6.8040000000000006E-5</v>
      </c>
      <c r="V5946" s="25"/>
      <c r="W5946" s="25"/>
      <c r="X5946" s="25"/>
      <c r="Y5946" s="25"/>
      <c r="Z5946" s="25"/>
      <c r="AA5946" s="25"/>
    </row>
    <row r="5947" spans="1:27" x14ac:dyDescent="0.35">
      <c r="A5947" s="5">
        <v>5943</v>
      </c>
      <c r="B5947" s="5">
        <v>248</v>
      </c>
      <c r="C5947" s="5">
        <v>9</v>
      </c>
      <c r="D5947" s="25">
        <v>1.1416E-4</v>
      </c>
      <c r="E5947" s="25">
        <v>1.0826E-4</v>
      </c>
      <c r="F5947" s="25">
        <v>1.0143E-4</v>
      </c>
      <c r="G5947" s="25">
        <v>1.5660000000000001E-4</v>
      </c>
      <c r="H5947" s="25">
        <v>1.9945E-4</v>
      </c>
      <c r="I5947" s="9">
        <v>1.003E-4</v>
      </c>
      <c r="J5947" s="9">
        <v>1.0152E-4</v>
      </c>
      <c r="K5947" s="9">
        <v>0</v>
      </c>
      <c r="L5947" s="9">
        <v>1.7417999999999999E-4</v>
      </c>
      <c r="M5947" s="9">
        <v>1.6804E-4</v>
      </c>
      <c r="N5947" s="9">
        <v>1.6977999999999999E-4</v>
      </c>
      <c r="O5947" s="9">
        <v>1.817E-4</v>
      </c>
      <c r="P5947" s="9">
        <v>1.6588E-4</v>
      </c>
      <c r="Q5947" s="9">
        <v>1.5129999999999999E-4</v>
      </c>
      <c r="R5947" s="10">
        <v>1.9028676942223208E-4</v>
      </c>
      <c r="S5947" s="10">
        <v>1.8955276273830983E-4</v>
      </c>
      <c r="T5947" s="10">
        <v>1.0899779375128092E-4</v>
      </c>
      <c r="U5947" s="10">
        <v>6.8040000000000006E-5</v>
      </c>
      <c r="V5947" s="25"/>
      <c r="W5947" s="25"/>
      <c r="X5947" s="25"/>
      <c r="Y5947" s="25"/>
      <c r="Z5947" s="25"/>
      <c r="AA5947" s="25"/>
    </row>
    <row r="5948" spans="1:27" x14ac:dyDescent="0.35">
      <c r="A5948" s="5">
        <v>5944</v>
      </c>
      <c r="B5948" s="5">
        <v>248</v>
      </c>
      <c r="C5948" s="5">
        <v>9</v>
      </c>
      <c r="D5948" s="25">
        <v>1.1415000000000001E-4</v>
      </c>
      <c r="E5948" s="25">
        <v>1.1425999999999999E-4</v>
      </c>
      <c r="F5948" s="25">
        <v>1.0641000000000001E-4</v>
      </c>
      <c r="G5948" s="25">
        <v>1.5893999999999999E-4</v>
      </c>
      <c r="H5948" s="25">
        <v>1.8776E-4</v>
      </c>
      <c r="I5948" s="9">
        <v>9.9300000000000001E-5</v>
      </c>
      <c r="J5948" s="9">
        <v>1.0325E-4</v>
      </c>
      <c r="K5948" s="9">
        <v>0</v>
      </c>
      <c r="L5948" s="9">
        <v>1.7975000000000001E-4</v>
      </c>
      <c r="M5948" s="9">
        <v>1.6691000000000001E-4</v>
      </c>
      <c r="N5948" s="9">
        <v>1.6562E-4</v>
      </c>
      <c r="O5948" s="9">
        <v>1.9766E-4</v>
      </c>
      <c r="P5948" s="9">
        <v>1.5301E-4</v>
      </c>
      <c r="Q5948" s="9">
        <v>1.1016E-4</v>
      </c>
      <c r="R5948" s="10">
        <v>1.9337754622284631E-4</v>
      </c>
      <c r="S5948" s="10">
        <v>1.9012644995167525E-4</v>
      </c>
      <c r="T5948" s="10">
        <v>4.296194661931666E-4</v>
      </c>
      <c r="U5948" s="10">
        <v>6.8040000000000006E-5</v>
      </c>
      <c r="V5948" s="25"/>
      <c r="W5948" s="25"/>
      <c r="X5948" s="25"/>
      <c r="Y5948" s="25"/>
      <c r="Z5948" s="25"/>
      <c r="AA5948" s="25"/>
    </row>
    <row r="5949" spans="1:27" x14ac:dyDescent="0.35">
      <c r="A5949" s="5">
        <v>5945</v>
      </c>
      <c r="B5949" s="5">
        <v>248</v>
      </c>
      <c r="C5949" s="5">
        <v>9</v>
      </c>
      <c r="D5949" s="25">
        <v>1.1416E-4</v>
      </c>
      <c r="E5949" s="25">
        <v>1.0842E-4</v>
      </c>
      <c r="F5949" s="25">
        <v>1.0221999999999999E-4</v>
      </c>
      <c r="G5949" s="25">
        <v>1.6248E-4</v>
      </c>
      <c r="H5949" s="25">
        <v>1.9766E-4</v>
      </c>
      <c r="I5949" s="9">
        <v>1.024E-4</v>
      </c>
      <c r="J5949" s="9">
        <v>1.0842E-4</v>
      </c>
      <c r="K5949" s="9">
        <v>0</v>
      </c>
      <c r="L5949" s="9">
        <v>1.9352E-4</v>
      </c>
      <c r="M5949" s="9">
        <v>1.6171999999999999E-4</v>
      </c>
      <c r="N5949" s="9">
        <v>1.5202E-4</v>
      </c>
      <c r="O5949" s="9">
        <v>2.1283000000000001E-4</v>
      </c>
      <c r="P5949" s="9">
        <v>1.5878999999999999E-4</v>
      </c>
      <c r="Q5949" s="9">
        <v>1.0681E-4</v>
      </c>
      <c r="R5949" s="10">
        <v>2.0048634597767581E-4</v>
      </c>
      <c r="S5949" s="10">
        <v>1.9027040826199748E-4</v>
      </c>
      <c r="T5949" s="10">
        <v>8.3154617930746811E-5</v>
      </c>
      <c r="U5949" s="10">
        <v>6.8040000000000006E-5</v>
      </c>
      <c r="V5949" s="25"/>
      <c r="W5949" s="25"/>
      <c r="X5949" s="25"/>
      <c r="Y5949" s="25"/>
      <c r="Z5949" s="25"/>
      <c r="AA5949" s="25"/>
    </row>
    <row r="5950" spans="1:27" x14ac:dyDescent="0.35">
      <c r="A5950" s="5">
        <v>5946</v>
      </c>
      <c r="B5950" s="5">
        <v>248</v>
      </c>
      <c r="C5950" s="5">
        <v>9</v>
      </c>
      <c r="D5950" s="25">
        <v>1.1415000000000001E-4</v>
      </c>
      <c r="E5950" s="25">
        <v>1.1364E-4</v>
      </c>
      <c r="F5950" s="25">
        <v>1.042E-4</v>
      </c>
      <c r="G5950" s="25">
        <v>1.6386999999999999E-4</v>
      </c>
      <c r="H5950" s="25">
        <v>1.9671000000000001E-4</v>
      </c>
      <c r="I5950" s="9">
        <v>1.0688000000000001E-4</v>
      </c>
      <c r="J5950" s="9">
        <v>1.0949E-4</v>
      </c>
      <c r="K5950" s="9">
        <v>0</v>
      </c>
      <c r="L5950" s="9">
        <v>2.0828E-4</v>
      </c>
      <c r="M5950" s="9">
        <v>1.5924E-4</v>
      </c>
      <c r="N5950" s="9">
        <v>1.3867999999999999E-4</v>
      </c>
      <c r="O5950" s="9">
        <v>2.0327999999999999E-4</v>
      </c>
      <c r="P5950" s="9">
        <v>1.5907000000000001E-4</v>
      </c>
      <c r="Q5950" s="9">
        <v>1.1671E-4</v>
      </c>
      <c r="R5950" s="10">
        <v>2.0162785431428147E-4</v>
      </c>
      <c r="S5950" s="10">
        <v>1.9028014221910702E-4</v>
      </c>
      <c r="T5950" s="10">
        <v>4.6926659705638266E-5</v>
      </c>
      <c r="U5950" s="10">
        <v>6.8040000000000006E-5</v>
      </c>
      <c r="V5950" s="25"/>
      <c r="W5950" s="25"/>
      <c r="X5950" s="25"/>
      <c r="Y5950" s="25"/>
      <c r="Z5950" s="25"/>
      <c r="AA5950" s="25"/>
    </row>
    <row r="5951" spans="1:27" x14ac:dyDescent="0.35">
      <c r="A5951" s="5">
        <v>5947</v>
      </c>
      <c r="B5951" s="5">
        <v>248</v>
      </c>
      <c r="C5951" s="5">
        <v>9</v>
      </c>
      <c r="D5951" s="25">
        <v>1.1416E-4</v>
      </c>
      <c r="E5951" s="25">
        <v>1.1158E-4</v>
      </c>
      <c r="F5951" s="25">
        <v>1.0446E-4</v>
      </c>
      <c r="G5951" s="25">
        <v>1.0576E-4</v>
      </c>
      <c r="H5951" s="25">
        <v>1.2919E-4</v>
      </c>
      <c r="I5951" s="9">
        <v>1.0734999999999999E-4</v>
      </c>
      <c r="J5951" s="9">
        <v>1.0877E-4</v>
      </c>
      <c r="K5951" s="9">
        <v>0</v>
      </c>
      <c r="L5951" s="9">
        <v>2.04E-4</v>
      </c>
      <c r="M5951" s="9">
        <v>1.5868999999999999E-4</v>
      </c>
      <c r="N5951" s="9">
        <v>1.2949000000000001E-4</v>
      </c>
      <c r="O5951" s="9">
        <v>1.6267000000000001E-4</v>
      </c>
      <c r="P5951" s="9">
        <v>1.3375E-4</v>
      </c>
      <c r="Q5951" s="9">
        <v>1.0616E-4</v>
      </c>
      <c r="R5951" s="10">
        <v>2.0756959220750312E-4</v>
      </c>
      <c r="S5951" s="10">
        <v>1.9028721219876415E-4</v>
      </c>
      <c r="T5951" s="10">
        <v>0</v>
      </c>
      <c r="U5951" s="10">
        <v>6.8040000000000006E-5</v>
      </c>
      <c r="V5951" s="25"/>
      <c r="W5951" s="25"/>
      <c r="X5951" s="25"/>
      <c r="Y5951" s="25"/>
      <c r="Z5951" s="25"/>
      <c r="AA5951" s="25"/>
    </row>
    <row r="5952" spans="1:27" x14ac:dyDescent="0.35">
      <c r="A5952" s="5">
        <v>5948</v>
      </c>
      <c r="B5952" s="5">
        <v>248</v>
      </c>
      <c r="C5952" s="5">
        <v>9</v>
      </c>
      <c r="D5952" s="25">
        <v>1.1415000000000001E-4</v>
      </c>
      <c r="E5952" s="25">
        <v>1.0776E-4</v>
      </c>
      <c r="F5952" s="25">
        <v>9.4240000000000006E-5</v>
      </c>
      <c r="G5952" s="25">
        <v>1.1322E-4</v>
      </c>
      <c r="H5952" s="25">
        <v>1.2967E-4</v>
      </c>
      <c r="I5952" s="9">
        <v>1.0925E-4</v>
      </c>
      <c r="J5952" s="9">
        <v>1.1084E-4</v>
      </c>
      <c r="K5952" s="9">
        <v>0</v>
      </c>
      <c r="L5952" s="9">
        <v>1.7197E-4</v>
      </c>
      <c r="M5952" s="9">
        <v>1.4971E-4</v>
      </c>
      <c r="N5952" s="9">
        <v>1.203E-4</v>
      </c>
      <c r="O5952" s="9">
        <v>1.281E-4</v>
      </c>
      <c r="P5952" s="9">
        <v>1.1433E-4</v>
      </c>
      <c r="Q5952" s="9">
        <v>1.0142E-4</v>
      </c>
      <c r="R5952" s="10">
        <v>2.0531462475446914E-4</v>
      </c>
      <c r="S5952" s="10">
        <v>1.9028938259881342E-4</v>
      </c>
      <c r="T5952" s="10">
        <v>0</v>
      </c>
      <c r="U5952" s="10">
        <v>6.8040000000000006E-5</v>
      </c>
      <c r="V5952" s="25"/>
      <c r="W5952" s="25"/>
      <c r="X5952" s="25"/>
      <c r="Y5952" s="25"/>
      <c r="Z5952" s="25"/>
      <c r="AA5952" s="25"/>
    </row>
    <row r="5953" spans="1:27" x14ac:dyDescent="0.35">
      <c r="A5953" s="5">
        <v>5949</v>
      </c>
      <c r="B5953" s="5">
        <v>248</v>
      </c>
      <c r="C5953" s="5">
        <v>9</v>
      </c>
      <c r="D5953" s="25">
        <v>1.1416E-4</v>
      </c>
      <c r="E5953" s="25">
        <v>1.1389E-4</v>
      </c>
      <c r="F5953" s="25">
        <v>9.0810000000000006E-5</v>
      </c>
      <c r="G5953" s="25">
        <v>5.6870000000000003E-5</v>
      </c>
      <c r="H5953" s="25">
        <v>6.6110000000000002E-5</v>
      </c>
      <c r="I5953" s="9">
        <v>1.0801E-4</v>
      </c>
      <c r="J5953" s="9">
        <v>1.0951E-4</v>
      </c>
      <c r="K5953" s="9">
        <v>0</v>
      </c>
      <c r="L5953" s="9">
        <v>1.3873999999999999E-4</v>
      </c>
      <c r="M5953" s="9">
        <v>1.3447000000000001E-4</v>
      </c>
      <c r="N5953" s="9">
        <v>1.1264000000000001E-4</v>
      </c>
      <c r="O5953" s="9">
        <v>8.5480000000000002E-5</v>
      </c>
      <c r="P5953" s="9">
        <v>8.7169999999999994E-5</v>
      </c>
      <c r="Q5953" s="9">
        <v>8.9190000000000005E-5</v>
      </c>
      <c r="R5953" s="10">
        <v>2.0244244711911004E-4</v>
      </c>
      <c r="S5953" s="10">
        <v>1.9029013201210087E-4</v>
      </c>
      <c r="T5953" s="10">
        <v>0</v>
      </c>
      <c r="U5953" s="10">
        <v>6.8040000000000006E-5</v>
      </c>
      <c r="V5953" s="25"/>
      <c r="W5953" s="25"/>
      <c r="X5953" s="25"/>
      <c r="Y5953" s="25"/>
      <c r="Z5953" s="25"/>
      <c r="AA5953" s="25"/>
    </row>
    <row r="5954" spans="1:27" x14ac:dyDescent="0.35">
      <c r="A5954" s="5">
        <v>5950</v>
      </c>
      <c r="B5954" s="5">
        <v>248</v>
      </c>
      <c r="C5954" s="5">
        <v>9</v>
      </c>
      <c r="D5954" s="25">
        <v>1.1415000000000001E-4</v>
      </c>
      <c r="E5954" s="25">
        <v>1.1194E-4</v>
      </c>
      <c r="F5954" s="25">
        <v>1.0679999999999999E-4</v>
      </c>
      <c r="G5954" s="25">
        <v>5.4950000000000001E-5</v>
      </c>
      <c r="H5954" s="25">
        <v>7.6299999999999998E-5</v>
      </c>
      <c r="I5954" s="9">
        <v>1.0322E-4</v>
      </c>
      <c r="J5954" s="9">
        <v>1.0498E-4</v>
      </c>
      <c r="K5954" s="9">
        <v>0</v>
      </c>
      <c r="L5954" s="9">
        <v>9.8090000000000004E-5</v>
      </c>
      <c r="M5954" s="9">
        <v>1.1354E-4</v>
      </c>
      <c r="N5954" s="9">
        <v>1.0533E-4</v>
      </c>
      <c r="O5954" s="9">
        <v>8.7260000000000001E-5</v>
      </c>
      <c r="P5954" s="9">
        <v>8.7540000000000006E-5</v>
      </c>
      <c r="Q5954" s="9">
        <v>8.8189999999999994E-5</v>
      </c>
      <c r="R5954" s="10">
        <v>1.9718370778639891E-4</v>
      </c>
      <c r="S5954" s="10">
        <v>1.9029018531456775E-4</v>
      </c>
      <c r="T5954" s="10">
        <v>0</v>
      </c>
      <c r="U5954" s="10">
        <v>6.8040000000000006E-5</v>
      </c>
      <c r="V5954" s="25"/>
      <c r="W5954" s="25"/>
      <c r="X5954" s="25"/>
      <c r="Y5954" s="25"/>
      <c r="Z5954" s="25"/>
      <c r="AA5954" s="25"/>
    </row>
    <row r="5955" spans="1:27" x14ac:dyDescent="0.35">
      <c r="A5955" s="5">
        <v>5951</v>
      </c>
      <c r="B5955" s="5">
        <v>248</v>
      </c>
      <c r="C5955" s="5">
        <v>9</v>
      </c>
      <c r="D5955" s="25">
        <v>1.1416E-4</v>
      </c>
      <c r="E5955" s="25">
        <v>1.1182E-4</v>
      </c>
      <c r="F5955" s="25">
        <v>1.0887000000000001E-4</v>
      </c>
      <c r="G5955" s="25">
        <v>6.2130000000000003E-5</v>
      </c>
      <c r="H5955" s="25">
        <v>7.3349999999999994E-5</v>
      </c>
      <c r="I5955" s="9">
        <v>9.823E-5</v>
      </c>
      <c r="J5955" s="9">
        <v>9.8659999999999994E-5</v>
      </c>
      <c r="K5955" s="9">
        <v>6.3600000000000001E-6</v>
      </c>
      <c r="L5955" s="9">
        <v>9.0539999999999997E-5</v>
      </c>
      <c r="M5955" s="9">
        <v>9.9069999999999998E-5</v>
      </c>
      <c r="N5955" s="9">
        <v>9.9619999999999998E-5</v>
      </c>
      <c r="O5955" s="9">
        <v>7.7700000000000005E-5</v>
      </c>
      <c r="P5955" s="9">
        <v>7.2059999999999998E-5</v>
      </c>
      <c r="Q5955" s="9">
        <v>6.6820000000000001E-5</v>
      </c>
      <c r="R5955" s="10">
        <v>1.9338237131939144E-4</v>
      </c>
      <c r="S5955" s="10">
        <v>1.9029015884520489E-4</v>
      </c>
      <c r="T5955" s="10">
        <v>0</v>
      </c>
      <c r="U5955" s="10">
        <v>6.8040000000000006E-5</v>
      </c>
      <c r="V5955" s="25"/>
      <c r="W5955" s="25"/>
      <c r="X5955" s="25"/>
      <c r="Y5955" s="25"/>
      <c r="Z5955" s="25"/>
      <c r="AA5955" s="25"/>
    </row>
    <row r="5956" spans="1:27" x14ac:dyDescent="0.35">
      <c r="A5956" s="5">
        <v>5952</v>
      </c>
      <c r="B5956" s="5">
        <v>248</v>
      </c>
      <c r="C5956" s="5">
        <v>9</v>
      </c>
      <c r="D5956" s="25">
        <v>1.1415000000000001E-4</v>
      </c>
      <c r="E5956" s="25">
        <v>1.0887000000000001E-4</v>
      </c>
      <c r="F5956" s="25">
        <v>1.1273999999999999E-4</v>
      </c>
      <c r="G5956" s="25">
        <v>5.7580000000000001E-5</v>
      </c>
      <c r="H5956" s="25">
        <v>6.6370000000000003E-5</v>
      </c>
      <c r="I5956" s="9">
        <v>9.3200000000000002E-5</v>
      </c>
      <c r="J5956" s="9">
        <v>9.3480000000000006E-5</v>
      </c>
      <c r="K5956" s="9">
        <v>1.484E-5</v>
      </c>
      <c r="L5956" s="9">
        <v>8.0530000000000003E-5</v>
      </c>
      <c r="M5956" s="9">
        <v>8.6139999999999999E-5</v>
      </c>
      <c r="N5956" s="9">
        <v>9.0439999999999995E-5</v>
      </c>
      <c r="O5956" s="9">
        <v>6.2719999999999996E-5</v>
      </c>
      <c r="P5956" s="9">
        <v>6.0659999999999999E-5</v>
      </c>
      <c r="Q5956" s="9">
        <v>5.8850000000000001E-5</v>
      </c>
      <c r="R5956" s="10">
        <v>1.7863702309761124E-4</v>
      </c>
      <c r="S5956" s="10">
        <v>1.9025445334463543E-4</v>
      </c>
      <c r="T5956" s="10">
        <v>0</v>
      </c>
      <c r="U5956" s="10">
        <v>6.8040000000000006E-5</v>
      </c>
      <c r="V5956" s="25"/>
      <c r="W5956" s="25"/>
      <c r="X5956" s="25"/>
      <c r="Y5956" s="25"/>
      <c r="Z5956" s="25"/>
      <c r="AA5956" s="25"/>
    </row>
    <row r="5957" spans="1:27" x14ac:dyDescent="0.35">
      <c r="A5957" s="5">
        <v>5953</v>
      </c>
      <c r="B5957" s="5">
        <v>249</v>
      </c>
      <c r="C5957" s="5">
        <v>9</v>
      </c>
      <c r="D5957" s="25">
        <v>1.1416E-4</v>
      </c>
      <c r="E5957" s="25">
        <v>1.1655E-4</v>
      </c>
      <c r="F5957" s="25">
        <v>9.009E-5</v>
      </c>
      <c r="G5957" s="25">
        <v>5.6440000000000002E-5</v>
      </c>
      <c r="H5957" s="25">
        <v>6.868E-5</v>
      </c>
      <c r="I5957" s="9">
        <v>8.9989999999999997E-5</v>
      </c>
      <c r="J5957" s="9">
        <v>8.9969999999999994E-5</v>
      </c>
      <c r="K5957" s="9">
        <v>3.392E-5</v>
      </c>
      <c r="L5957" s="9">
        <v>6.6649999999999994E-5</v>
      </c>
      <c r="M5957" s="9">
        <v>7.3990000000000001E-5</v>
      </c>
      <c r="N5957" s="9">
        <v>8.1110000000000001E-5</v>
      </c>
      <c r="O5957" s="9">
        <v>5.4259999999999999E-5</v>
      </c>
      <c r="P5957" s="9">
        <v>5.3680000000000001E-5</v>
      </c>
      <c r="Q5957" s="9">
        <v>5.3260000000000002E-5</v>
      </c>
      <c r="R5957" s="10">
        <v>1.817987354938586E-4</v>
      </c>
      <c r="S5957" s="10">
        <v>1.9024333950214332E-4</v>
      </c>
      <c r="T5957" s="10">
        <v>0</v>
      </c>
      <c r="U5957" s="10">
        <v>6.7429999999999996E-5</v>
      </c>
      <c r="V5957" s="25"/>
      <c r="W5957" s="25"/>
      <c r="X5957" s="25"/>
      <c r="Y5957" s="25"/>
      <c r="Z5957" s="25"/>
      <c r="AA5957" s="25"/>
    </row>
    <row r="5958" spans="1:27" x14ac:dyDescent="0.35">
      <c r="A5958" s="5">
        <v>5954</v>
      </c>
      <c r="B5958" s="5">
        <v>249</v>
      </c>
      <c r="C5958" s="5">
        <v>9</v>
      </c>
      <c r="D5958" s="25">
        <v>1.1415000000000001E-4</v>
      </c>
      <c r="E5958" s="25">
        <v>1.1115E-4</v>
      </c>
      <c r="F5958" s="25">
        <v>1.0164E-4</v>
      </c>
      <c r="G5958" s="25">
        <v>6.2559999999999997E-5</v>
      </c>
      <c r="H5958" s="25">
        <v>7.046E-5</v>
      </c>
      <c r="I5958" s="9">
        <v>8.7999999999999998E-5</v>
      </c>
      <c r="J5958" s="9">
        <v>8.8480000000000007E-5</v>
      </c>
      <c r="K5958" s="9">
        <v>2.332E-5</v>
      </c>
      <c r="L5958" s="9">
        <v>5.736E-5</v>
      </c>
      <c r="M5958" s="9">
        <v>6.3800000000000006E-5</v>
      </c>
      <c r="N5958" s="9">
        <v>7.2020000000000005E-5</v>
      </c>
      <c r="O5958" s="9">
        <v>1.8870000000000001E-5</v>
      </c>
      <c r="P5958" s="9">
        <v>3.7610000000000001E-5</v>
      </c>
      <c r="Q5958" s="9">
        <v>5.5970000000000001E-5</v>
      </c>
      <c r="R5958" s="10">
        <v>1.8597870807016701E-4</v>
      </c>
      <c r="S5958" s="10">
        <v>1.9028330033894617E-4</v>
      </c>
      <c r="T5958" s="10">
        <v>0</v>
      </c>
      <c r="U5958" s="10">
        <v>6.7429999999999996E-5</v>
      </c>
      <c r="V5958" s="25"/>
      <c r="W5958" s="25"/>
      <c r="X5958" s="25"/>
      <c r="Y5958" s="25"/>
      <c r="Z5958" s="25"/>
      <c r="AA5958" s="25"/>
    </row>
    <row r="5959" spans="1:27" x14ac:dyDescent="0.35">
      <c r="A5959" s="5">
        <v>5955</v>
      </c>
      <c r="B5959" s="5">
        <v>249</v>
      </c>
      <c r="C5959" s="5">
        <v>9</v>
      </c>
      <c r="D5959" s="25">
        <v>1.1416E-4</v>
      </c>
      <c r="E5959" s="25">
        <v>1.121E-4</v>
      </c>
      <c r="F5959" s="25">
        <v>9.7910000000000003E-5</v>
      </c>
      <c r="G5959" s="25">
        <v>5.5829999999999999E-5</v>
      </c>
      <c r="H5959" s="25">
        <v>7.5279999999999998E-5</v>
      </c>
      <c r="I5959" s="9">
        <v>8.687E-5</v>
      </c>
      <c r="J5959" s="9">
        <v>8.8209999999999997E-5</v>
      </c>
      <c r="K5959" s="9">
        <v>4.8749999999999999E-5</v>
      </c>
      <c r="L5959" s="9">
        <v>2.7540000000000001E-5</v>
      </c>
      <c r="M5959" s="9">
        <v>5.2040000000000003E-5</v>
      </c>
      <c r="N5959" s="9">
        <v>6.5409999999999999E-5</v>
      </c>
      <c r="O5959" s="9">
        <v>1.3370000000000001E-5</v>
      </c>
      <c r="P5959" s="9">
        <v>3.748E-5</v>
      </c>
      <c r="Q5959" s="9">
        <v>6.109E-5</v>
      </c>
      <c r="R5959" s="10">
        <v>1.8873249027254665E-4</v>
      </c>
      <c r="S5959" s="10">
        <v>1.9028147971741156E-4</v>
      </c>
      <c r="T5959" s="10">
        <v>0</v>
      </c>
      <c r="U5959" s="10">
        <v>6.7429999999999996E-5</v>
      </c>
      <c r="V5959" s="25"/>
      <c r="W5959" s="25"/>
      <c r="X5959" s="25"/>
      <c r="Y5959" s="25"/>
      <c r="Z5959" s="25"/>
      <c r="AA5959" s="25"/>
    </row>
    <row r="5960" spans="1:27" x14ac:dyDescent="0.35">
      <c r="A5960" s="5">
        <v>5956</v>
      </c>
      <c r="B5960" s="5">
        <v>249</v>
      </c>
      <c r="C5960" s="5">
        <v>9</v>
      </c>
      <c r="D5960" s="25">
        <v>1.1415000000000001E-4</v>
      </c>
      <c r="E5960" s="25">
        <v>1.219E-4</v>
      </c>
      <c r="F5960" s="25">
        <v>9.8049999999999998E-5</v>
      </c>
      <c r="G5960" s="25">
        <v>5.6199999999999997E-5</v>
      </c>
      <c r="H5960" s="25">
        <v>6.9659999999999994E-5</v>
      </c>
      <c r="I5960" s="9">
        <v>8.7410000000000005E-5</v>
      </c>
      <c r="J5960" s="9">
        <v>8.8839999999999996E-5</v>
      </c>
      <c r="K5960" s="9">
        <v>4.8749999999999999E-5</v>
      </c>
      <c r="L5960" s="9">
        <v>1.7220000000000001E-5</v>
      </c>
      <c r="M5960" s="9">
        <v>4.3989999999999997E-5</v>
      </c>
      <c r="N5960" s="9">
        <v>6.1729999999999993E-5</v>
      </c>
      <c r="O5960" s="9">
        <v>1.3540000000000001E-5</v>
      </c>
      <c r="P5960" s="9">
        <v>4.7460000000000003E-5</v>
      </c>
      <c r="Q5960" s="9">
        <v>8.0729999999999994E-5</v>
      </c>
      <c r="R5960" s="10">
        <v>1.8535345970706148E-4</v>
      </c>
      <c r="S5960" s="10">
        <v>1.9026597990076186E-4</v>
      </c>
      <c r="T5960" s="10">
        <v>0</v>
      </c>
      <c r="U5960" s="10">
        <v>6.7429999999999996E-5</v>
      </c>
      <c r="V5960" s="25"/>
      <c r="W5960" s="25"/>
      <c r="X5960" s="25"/>
      <c r="Y5960" s="25"/>
      <c r="Z5960" s="25"/>
      <c r="AA5960" s="25"/>
    </row>
    <row r="5961" spans="1:27" x14ac:dyDescent="0.35">
      <c r="A5961" s="5">
        <v>5957</v>
      </c>
      <c r="B5961" s="5">
        <v>249</v>
      </c>
      <c r="C5961" s="5">
        <v>9</v>
      </c>
      <c r="D5961" s="25">
        <v>1.1416E-4</v>
      </c>
      <c r="E5961" s="25">
        <v>1.184E-4</v>
      </c>
      <c r="F5961" s="25">
        <v>9.9690000000000003E-5</v>
      </c>
      <c r="G5961" s="25">
        <v>5.6530000000000003E-5</v>
      </c>
      <c r="H5961" s="25">
        <v>7.6470000000000005E-5</v>
      </c>
      <c r="I5961" s="9">
        <v>9.4599999999999996E-5</v>
      </c>
      <c r="J5961" s="9">
        <v>9.2360000000000003E-5</v>
      </c>
      <c r="K5961" s="9">
        <v>3.6029999999999999E-5</v>
      </c>
      <c r="L5961" s="9">
        <v>1.4600000000000001E-5</v>
      </c>
      <c r="M5961" s="9">
        <v>4.3439999999999997E-5</v>
      </c>
      <c r="N5961" s="9">
        <v>6.4350000000000006E-5</v>
      </c>
      <c r="O5961" s="9">
        <v>1.9009999999999999E-5</v>
      </c>
      <c r="P5961" s="9">
        <v>5.6830000000000003E-5</v>
      </c>
      <c r="Q5961" s="9">
        <v>9.3969999999999996E-5</v>
      </c>
      <c r="R5961" s="10">
        <v>1.8615360032483042E-4</v>
      </c>
      <c r="S5961" s="10">
        <v>1.9028398078005021E-4</v>
      </c>
      <c r="T5961" s="10">
        <v>0</v>
      </c>
      <c r="U5961" s="10">
        <v>6.7429999999999996E-5</v>
      </c>
      <c r="V5961" s="25"/>
      <c r="W5961" s="25"/>
      <c r="X5961" s="25"/>
      <c r="Y5961" s="25"/>
      <c r="Z5961" s="25"/>
      <c r="AA5961" s="25"/>
    </row>
    <row r="5962" spans="1:27" x14ac:dyDescent="0.35">
      <c r="A5962" s="5">
        <v>5958</v>
      </c>
      <c r="B5962" s="5">
        <v>249</v>
      </c>
      <c r="C5962" s="5">
        <v>9</v>
      </c>
      <c r="D5962" s="25">
        <v>1.1415000000000001E-4</v>
      </c>
      <c r="E5962" s="25">
        <v>1.1362E-4</v>
      </c>
      <c r="F5962" s="25">
        <v>1.003E-4</v>
      </c>
      <c r="G5962" s="25">
        <v>1.1230000000000001E-4</v>
      </c>
      <c r="H5962" s="25">
        <v>1.2978999999999999E-4</v>
      </c>
      <c r="I5962" s="9">
        <v>1.0715E-4</v>
      </c>
      <c r="J5962" s="9">
        <v>1.0232E-4</v>
      </c>
      <c r="K5962" s="9">
        <v>2.1189999999999999E-5</v>
      </c>
      <c r="L5962" s="9">
        <v>1.7900000000000001E-5</v>
      </c>
      <c r="M5962" s="9">
        <v>4.8470000000000002E-5</v>
      </c>
      <c r="N5962" s="9">
        <v>7.1000000000000005E-5</v>
      </c>
      <c r="O5962" s="9">
        <v>4.6239999999999998E-5</v>
      </c>
      <c r="P5962" s="9">
        <v>7.6749999999999995E-5</v>
      </c>
      <c r="Q5962" s="9">
        <v>1.0687E-4</v>
      </c>
      <c r="R5962" s="10">
        <v>1.8428891771977694E-4</v>
      </c>
      <c r="S5962" s="10">
        <v>1.9028918006433755E-4</v>
      </c>
      <c r="T5962" s="10">
        <v>0</v>
      </c>
      <c r="U5962" s="10">
        <v>6.7429999999999996E-5</v>
      </c>
      <c r="V5962" s="25"/>
      <c r="W5962" s="25"/>
      <c r="X5962" s="25"/>
      <c r="Y5962" s="25"/>
      <c r="Z5962" s="25"/>
      <c r="AA5962" s="25"/>
    </row>
    <row r="5963" spans="1:27" x14ac:dyDescent="0.35">
      <c r="A5963" s="5">
        <v>5959</v>
      </c>
      <c r="B5963" s="5">
        <v>249</v>
      </c>
      <c r="C5963" s="5">
        <v>9</v>
      </c>
      <c r="D5963" s="25">
        <v>1.1416E-4</v>
      </c>
      <c r="E5963" s="25">
        <v>1.1938E-4</v>
      </c>
      <c r="F5963" s="25">
        <v>1.0538E-4</v>
      </c>
      <c r="G5963" s="25">
        <v>1.0568E-4</v>
      </c>
      <c r="H5963" s="25">
        <v>1.3369E-4</v>
      </c>
      <c r="I5963" s="9">
        <v>1.1561E-4</v>
      </c>
      <c r="J5963" s="9">
        <v>1.1492E-4</v>
      </c>
      <c r="K5963" s="9">
        <v>0</v>
      </c>
      <c r="L5963" s="9">
        <v>3.9870000000000003E-5</v>
      </c>
      <c r="M5963" s="9">
        <v>6.0059999999999998E-5</v>
      </c>
      <c r="N5963" s="9">
        <v>8.0699999999999996E-5</v>
      </c>
      <c r="O5963" s="9">
        <v>1.2339999999999999E-4</v>
      </c>
      <c r="P5963" s="9">
        <v>1.1775E-4</v>
      </c>
      <c r="Q5963" s="9">
        <v>1.1279E-4</v>
      </c>
      <c r="R5963" s="10">
        <v>1.7943613423009283E-4</v>
      </c>
      <c r="S5963" s="10">
        <v>1.9028234889014481E-4</v>
      </c>
      <c r="T5963" s="10">
        <v>4.6137619866075009E-5</v>
      </c>
      <c r="U5963" s="10">
        <v>6.7429999999999996E-5</v>
      </c>
      <c r="V5963" s="25"/>
      <c r="W5963" s="25"/>
      <c r="X5963" s="25"/>
      <c r="Y5963" s="25"/>
      <c r="Z5963" s="25"/>
      <c r="AA5963" s="25"/>
    </row>
    <row r="5964" spans="1:27" x14ac:dyDescent="0.35">
      <c r="A5964" s="5">
        <v>5960</v>
      </c>
      <c r="B5964" s="5">
        <v>249</v>
      </c>
      <c r="C5964" s="5">
        <v>9</v>
      </c>
      <c r="D5964" s="25">
        <v>1.1415000000000001E-4</v>
      </c>
      <c r="E5964" s="25">
        <v>1.1156E-4</v>
      </c>
      <c r="F5964" s="25">
        <v>9.7180000000000001E-5</v>
      </c>
      <c r="G5964" s="25">
        <v>1.6593000000000001E-4</v>
      </c>
      <c r="H5964" s="25">
        <v>1.9076999999999999E-4</v>
      </c>
      <c r="I5964" s="9">
        <v>1.2176E-4</v>
      </c>
      <c r="J5964" s="9">
        <v>1.2480999999999999E-4</v>
      </c>
      <c r="K5964" s="9">
        <v>0</v>
      </c>
      <c r="L5964" s="9">
        <v>1.0441E-4</v>
      </c>
      <c r="M5964" s="9">
        <v>8.3809999999999999E-5</v>
      </c>
      <c r="N5964" s="9">
        <v>9.09E-5</v>
      </c>
      <c r="O5964" s="9">
        <v>2.2062000000000001E-4</v>
      </c>
      <c r="P5964" s="9">
        <v>1.7815999999999999E-4</v>
      </c>
      <c r="Q5964" s="9">
        <v>1.3763E-4</v>
      </c>
      <c r="R5964" s="10">
        <v>1.745896748095202E-4</v>
      </c>
      <c r="S5964" s="10">
        <v>1.9023802476896991E-4</v>
      </c>
      <c r="T5964" s="10">
        <v>2.7594335206403522E-4</v>
      </c>
      <c r="U5964" s="10">
        <v>6.7429999999999996E-5</v>
      </c>
      <c r="V5964" s="25"/>
      <c r="W5964" s="25"/>
      <c r="X5964" s="25"/>
      <c r="Y5964" s="25"/>
      <c r="Z5964" s="25"/>
      <c r="AA5964" s="25"/>
    </row>
    <row r="5965" spans="1:27" x14ac:dyDescent="0.35">
      <c r="A5965" s="5">
        <v>5961</v>
      </c>
      <c r="B5965" s="5">
        <v>249</v>
      </c>
      <c r="C5965" s="5">
        <v>9</v>
      </c>
      <c r="D5965" s="25">
        <v>1.1416E-4</v>
      </c>
      <c r="E5965" s="25">
        <v>1.1641000000000001E-4</v>
      </c>
      <c r="F5965" s="25">
        <v>9.2260000000000001E-5</v>
      </c>
      <c r="G5965" s="25">
        <v>1.6367000000000001E-4</v>
      </c>
      <c r="H5965" s="25">
        <v>1.9577E-4</v>
      </c>
      <c r="I5965" s="9">
        <v>1.2453E-4</v>
      </c>
      <c r="J5965" s="9">
        <v>1.2846E-4</v>
      </c>
      <c r="K5965" s="9">
        <v>0</v>
      </c>
      <c r="L5965" s="9">
        <v>1.9327999999999999E-4</v>
      </c>
      <c r="M5965" s="9">
        <v>1.2391999999999999E-4</v>
      </c>
      <c r="N5965" s="9">
        <v>1.0487E-4</v>
      </c>
      <c r="O5965" s="9">
        <v>2.1131000000000001E-4</v>
      </c>
      <c r="P5965" s="9">
        <v>1.9353999999999999E-4</v>
      </c>
      <c r="Q5965" s="9">
        <v>1.7725E-4</v>
      </c>
      <c r="R5965" s="10">
        <v>1.7351002914140008E-4</v>
      </c>
      <c r="S5965" s="10">
        <v>1.9001342609960753E-4</v>
      </c>
      <c r="T5965" s="10">
        <v>1.8155552179369974E-4</v>
      </c>
      <c r="U5965" s="10">
        <v>6.7429999999999996E-5</v>
      </c>
      <c r="V5965" s="25"/>
      <c r="W5965" s="25"/>
      <c r="X5965" s="25"/>
      <c r="Y5965" s="25"/>
      <c r="Z5965" s="25"/>
      <c r="AA5965" s="25"/>
    </row>
    <row r="5966" spans="1:27" x14ac:dyDescent="0.35">
      <c r="A5966" s="5">
        <v>5962</v>
      </c>
      <c r="B5966" s="5">
        <v>249</v>
      </c>
      <c r="C5966" s="5">
        <v>9</v>
      </c>
      <c r="D5966" s="25">
        <v>1.1415000000000001E-4</v>
      </c>
      <c r="E5966" s="25">
        <v>1.1539E-4</v>
      </c>
      <c r="F5966" s="25">
        <v>8.4709999999999994E-5</v>
      </c>
      <c r="G5966" s="25">
        <v>1.5847999999999999E-4</v>
      </c>
      <c r="H5966" s="25">
        <v>1.9217E-4</v>
      </c>
      <c r="I5966" s="9">
        <v>1.2637999999999999E-4</v>
      </c>
      <c r="J5966" s="9">
        <v>1.2881000000000001E-4</v>
      </c>
      <c r="K5966" s="9">
        <v>0</v>
      </c>
      <c r="L5966" s="9">
        <v>2.0500999999999999E-4</v>
      </c>
      <c r="M5966" s="9">
        <v>1.5915999999999999E-4</v>
      </c>
      <c r="N5966" s="9">
        <v>1.2494000000000001E-4</v>
      </c>
      <c r="O5966" s="9">
        <v>1.6845E-4</v>
      </c>
      <c r="P5966" s="9">
        <v>1.7573999999999999E-4</v>
      </c>
      <c r="Q5966" s="9">
        <v>1.8382000000000001E-4</v>
      </c>
      <c r="R5966" s="10">
        <v>1.6529409962969649E-4</v>
      </c>
      <c r="S5966" s="10">
        <v>1.8895867614178463E-4</v>
      </c>
      <c r="T5966" s="10">
        <v>3.4457284950733803E-4</v>
      </c>
      <c r="U5966" s="10">
        <v>6.7429999999999996E-5</v>
      </c>
      <c r="V5966" s="25"/>
      <c r="W5966" s="25"/>
      <c r="X5966" s="25"/>
      <c r="Y5966" s="25"/>
      <c r="Z5966" s="25"/>
      <c r="AA5966" s="25"/>
    </row>
    <row r="5967" spans="1:27" x14ac:dyDescent="0.35">
      <c r="A5967" s="5">
        <v>5963</v>
      </c>
      <c r="B5967" s="5">
        <v>249</v>
      </c>
      <c r="C5967" s="5">
        <v>9</v>
      </c>
      <c r="D5967" s="25">
        <v>1.1416E-4</v>
      </c>
      <c r="E5967" s="25">
        <v>1.1226999999999999E-4</v>
      </c>
      <c r="F5967" s="25">
        <v>1.054E-4</v>
      </c>
      <c r="G5967" s="25">
        <v>1.6398000000000001E-4</v>
      </c>
      <c r="H5967" s="25">
        <v>1.8951999999999999E-4</v>
      </c>
      <c r="I5967" s="9">
        <v>1.2865000000000001E-4</v>
      </c>
      <c r="J5967" s="9">
        <v>1.2914E-4</v>
      </c>
      <c r="K5967" s="9">
        <v>0</v>
      </c>
      <c r="L5967" s="9">
        <v>1.7658999999999999E-4</v>
      </c>
      <c r="M5967" s="9">
        <v>1.7327999999999999E-4</v>
      </c>
      <c r="N5967" s="9">
        <v>1.4336000000000001E-4</v>
      </c>
      <c r="O5967" s="9">
        <v>1.6713000000000001E-4</v>
      </c>
      <c r="P5967" s="9">
        <v>1.7301E-4</v>
      </c>
      <c r="Q5967" s="9">
        <v>1.7969000000000001E-4</v>
      </c>
      <c r="R5967" s="10">
        <v>1.8704506188414919E-4</v>
      </c>
      <c r="S5967" s="10">
        <v>1.8558121420275862E-4</v>
      </c>
      <c r="T5967" s="10">
        <v>7.9302746025782105E-5</v>
      </c>
      <c r="U5967" s="10">
        <v>6.7429999999999996E-5</v>
      </c>
      <c r="V5967" s="25"/>
      <c r="W5967" s="25"/>
      <c r="X5967" s="25"/>
      <c r="Y5967" s="25"/>
      <c r="Z5967" s="25"/>
      <c r="AA5967" s="25"/>
    </row>
    <row r="5968" spans="1:27" x14ac:dyDescent="0.35">
      <c r="A5968" s="5">
        <v>5964</v>
      </c>
      <c r="B5968" s="5">
        <v>249</v>
      </c>
      <c r="C5968" s="5">
        <v>9</v>
      </c>
      <c r="D5968" s="25">
        <v>1.1415000000000001E-4</v>
      </c>
      <c r="E5968" s="25">
        <v>1.1601E-4</v>
      </c>
      <c r="F5968" s="25">
        <v>9.9500000000000006E-5</v>
      </c>
      <c r="G5968" s="25">
        <v>1.6734000000000001E-4</v>
      </c>
      <c r="H5968" s="25">
        <v>1.9803999999999999E-4</v>
      </c>
      <c r="I5968" s="9">
        <v>1.2547E-4</v>
      </c>
      <c r="J5968" s="9">
        <v>1.2746E-4</v>
      </c>
      <c r="K5968" s="9">
        <v>0</v>
      </c>
      <c r="L5968" s="9">
        <v>1.7060999999999999E-4</v>
      </c>
      <c r="M5968" s="9">
        <v>1.7560000000000001E-4</v>
      </c>
      <c r="N5968" s="9">
        <v>1.5741E-4</v>
      </c>
      <c r="O5968" s="9">
        <v>1.6894999999999999E-4</v>
      </c>
      <c r="P5968" s="9">
        <v>1.7072999999999999E-4</v>
      </c>
      <c r="Q5968" s="9">
        <v>1.7338999999999999E-4</v>
      </c>
      <c r="R5968" s="10">
        <v>1.4836163546203245E-4</v>
      </c>
      <c r="S5968" s="10">
        <v>1.6993349728174791E-4</v>
      </c>
      <c r="T5968" s="10">
        <v>2.7342351515704291E-4</v>
      </c>
      <c r="U5968" s="10">
        <v>6.7429999999999996E-5</v>
      </c>
      <c r="V5968" s="25"/>
      <c r="W5968" s="25"/>
      <c r="X5968" s="25"/>
      <c r="Y5968" s="25"/>
      <c r="Z5968" s="25"/>
      <c r="AA5968" s="25"/>
    </row>
    <row r="5969" spans="1:27" x14ac:dyDescent="0.35">
      <c r="A5969" s="5">
        <v>5965</v>
      </c>
      <c r="B5969" s="5">
        <v>249</v>
      </c>
      <c r="C5969" s="5">
        <v>9</v>
      </c>
      <c r="D5969" s="25">
        <v>1.1416E-4</v>
      </c>
      <c r="E5969" s="25">
        <v>1.2213E-4</v>
      </c>
      <c r="F5969" s="25">
        <v>9.8750000000000002E-5</v>
      </c>
      <c r="G5969" s="25">
        <v>1.6024999999999999E-4</v>
      </c>
      <c r="H5969" s="25">
        <v>1.984E-4</v>
      </c>
      <c r="I5969" s="9">
        <v>1.2522999999999999E-4</v>
      </c>
      <c r="J5969" s="9">
        <v>1.2883999999999999E-4</v>
      </c>
      <c r="K5969" s="9">
        <v>0</v>
      </c>
      <c r="L5969" s="9">
        <v>1.695E-4</v>
      </c>
      <c r="M5969" s="9">
        <v>1.7395E-4</v>
      </c>
      <c r="N5969" s="9">
        <v>1.6660000000000001E-4</v>
      </c>
      <c r="O5969" s="9">
        <v>1.6074000000000001E-4</v>
      </c>
      <c r="P5969" s="9">
        <v>1.6331000000000001E-4</v>
      </c>
      <c r="Q5969" s="9">
        <v>1.6668999999999999E-4</v>
      </c>
      <c r="R5969" s="10">
        <v>1.634144628869606E-4</v>
      </c>
      <c r="S5969" s="10">
        <v>1.7153480142082823E-4</v>
      </c>
      <c r="T5969" s="10">
        <v>2.5388417375366468E-4</v>
      </c>
      <c r="U5969" s="10">
        <v>6.7429999999999996E-5</v>
      </c>
      <c r="V5969" s="25"/>
      <c r="W5969" s="25"/>
      <c r="X5969" s="25"/>
      <c r="Y5969" s="25"/>
      <c r="Z5969" s="25"/>
      <c r="AA5969" s="25"/>
    </row>
    <row r="5970" spans="1:27" x14ac:dyDescent="0.35">
      <c r="A5970" s="5">
        <v>5966</v>
      </c>
      <c r="B5970" s="5">
        <v>249</v>
      </c>
      <c r="C5970" s="5">
        <v>9</v>
      </c>
      <c r="D5970" s="25">
        <v>1.1415000000000001E-4</v>
      </c>
      <c r="E5970" s="25">
        <v>1.2163E-4</v>
      </c>
      <c r="F5970" s="25">
        <v>9.6879999999999994E-5</v>
      </c>
      <c r="G5970" s="25">
        <v>1.6605999999999999E-4</v>
      </c>
      <c r="H5970" s="25">
        <v>1.9880000000000001E-4</v>
      </c>
      <c r="I5970" s="9">
        <v>1.2442E-4</v>
      </c>
      <c r="J5970" s="9">
        <v>1.2842999999999999E-4</v>
      </c>
      <c r="K5970" s="9">
        <v>0</v>
      </c>
      <c r="L5970" s="9">
        <v>1.6244999999999999E-4</v>
      </c>
      <c r="M5970" s="9">
        <v>1.6965E-4</v>
      </c>
      <c r="N5970" s="9">
        <v>1.7061999999999999E-4</v>
      </c>
      <c r="O5970" s="9">
        <v>1.7697000000000001E-4</v>
      </c>
      <c r="P5970" s="9">
        <v>1.6788E-4</v>
      </c>
      <c r="Q5970" s="9">
        <v>1.5990000000000001E-4</v>
      </c>
      <c r="R5970" s="10">
        <v>1.8326871156638515E-4</v>
      </c>
      <c r="S5970" s="10">
        <v>1.73281088778614E-4</v>
      </c>
      <c r="T5970" s="10">
        <v>2.5049893831295781E-4</v>
      </c>
      <c r="U5970" s="10">
        <v>6.7429999999999996E-5</v>
      </c>
      <c r="V5970" s="25"/>
      <c r="W5970" s="25"/>
      <c r="X5970" s="25"/>
      <c r="Y5970" s="25"/>
      <c r="Z5970" s="25"/>
      <c r="AA5970" s="25"/>
    </row>
    <row r="5971" spans="1:27" x14ac:dyDescent="0.35">
      <c r="A5971" s="5">
        <v>5967</v>
      </c>
      <c r="B5971" s="5">
        <v>249</v>
      </c>
      <c r="C5971" s="5">
        <v>9</v>
      </c>
      <c r="D5971" s="25">
        <v>1.1416E-4</v>
      </c>
      <c r="E5971" s="25">
        <v>1.1175000000000001E-4</v>
      </c>
      <c r="F5971" s="25">
        <v>1.0132999999999999E-4</v>
      </c>
      <c r="G5971" s="25">
        <v>1.5891000000000001E-4</v>
      </c>
      <c r="H5971" s="25">
        <v>1.9633000000000001E-4</v>
      </c>
      <c r="I5971" s="9">
        <v>1.2489000000000001E-4</v>
      </c>
      <c r="J5971" s="9">
        <v>1.2773999999999999E-4</v>
      </c>
      <c r="K5971" s="9">
        <v>0</v>
      </c>
      <c r="L5971" s="9">
        <v>1.7394E-4</v>
      </c>
      <c r="M5971" s="9">
        <v>1.6781000000000001E-4</v>
      </c>
      <c r="N5971" s="9">
        <v>1.6982999999999999E-4</v>
      </c>
      <c r="O5971" s="9">
        <v>1.8228E-4</v>
      </c>
      <c r="P5971" s="9">
        <v>1.6640000000000001E-4</v>
      </c>
      <c r="Q5971" s="9">
        <v>1.5177999999999999E-4</v>
      </c>
      <c r="R5971" s="10">
        <v>1.8584772253485841E-4</v>
      </c>
      <c r="S5971" s="10">
        <v>1.7527332285470577E-4</v>
      </c>
      <c r="T5971" s="10">
        <v>1.0739426117410397E-4</v>
      </c>
      <c r="U5971" s="10">
        <v>6.7429999999999996E-5</v>
      </c>
      <c r="V5971" s="25"/>
      <c r="W5971" s="25"/>
      <c r="X5971" s="25"/>
      <c r="Y5971" s="25"/>
      <c r="Z5971" s="25"/>
      <c r="AA5971" s="25"/>
    </row>
    <row r="5972" spans="1:27" x14ac:dyDescent="0.35">
      <c r="A5972" s="5">
        <v>5968</v>
      </c>
      <c r="B5972" s="5">
        <v>249</v>
      </c>
      <c r="C5972" s="5">
        <v>9</v>
      </c>
      <c r="D5972" s="25">
        <v>1.1415000000000001E-4</v>
      </c>
      <c r="E5972" s="25">
        <v>1.1578000000000001E-4</v>
      </c>
      <c r="F5972" s="25">
        <v>1.0212E-4</v>
      </c>
      <c r="G5972" s="25">
        <v>1.6111000000000001E-4</v>
      </c>
      <c r="H5972" s="25">
        <v>2.0150999999999999E-4</v>
      </c>
      <c r="I5972" s="9">
        <v>1.237E-4</v>
      </c>
      <c r="J5972" s="9">
        <v>1.2836999999999999E-4</v>
      </c>
      <c r="K5972" s="9">
        <v>0</v>
      </c>
      <c r="L5972" s="9">
        <v>1.8013999999999999E-4</v>
      </c>
      <c r="M5972" s="9">
        <v>1.6694E-4</v>
      </c>
      <c r="N5972" s="9">
        <v>1.6567E-4</v>
      </c>
      <c r="O5972" s="9">
        <v>1.9588E-4</v>
      </c>
      <c r="P5972" s="9">
        <v>1.5163000000000001E-4</v>
      </c>
      <c r="Q5972" s="9">
        <v>1.0917E-4</v>
      </c>
      <c r="R5972" s="10">
        <v>1.8344997188156516E-4</v>
      </c>
      <c r="S5972" s="10">
        <v>1.7930966320902278E-4</v>
      </c>
      <c r="T5972" s="10">
        <v>3.7461575350619273E-4</v>
      </c>
      <c r="U5972" s="10">
        <v>6.7429999999999996E-5</v>
      </c>
      <c r="V5972" s="25"/>
      <c r="W5972" s="25"/>
      <c r="X5972" s="25"/>
      <c r="Y5972" s="25"/>
      <c r="Z5972" s="25"/>
      <c r="AA5972" s="25"/>
    </row>
    <row r="5973" spans="1:27" x14ac:dyDescent="0.35">
      <c r="A5973" s="5">
        <v>5969</v>
      </c>
      <c r="B5973" s="5">
        <v>249</v>
      </c>
      <c r="C5973" s="5">
        <v>9</v>
      </c>
      <c r="D5973" s="25">
        <v>1.1416E-4</v>
      </c>
      <c r="E5973" s="25">
        <v>1.2093E-4</v>
      </c>
      <c r="F5973" s="25">
        <v>9.1230000000000006E-5</v>
      </c>
      <c r="G5973" s="25">
        <v>1.6153000000000001E-4</v>
      </c>
      <c r="H5973" s="25">
        <v>1.9217999999999999E-4</v>
      </c>
      <c r="I5973" s="9">
        <v>1.2449E-4</v>
      </c>
      <c r="J5973" s="9">
        <v>1.2888999999999999E-4</v>
      </c>
      <c r="K5973" s="9">
        <v>0</v>
      </c>
      <c r="L5973" s="9">
        <v>1.9218999999999999E-4</v>
      </c>
      <c r="M5973" s="9">
        <v>1.6131000000000001E-4</v>
      </c>
      <c r="N5973" s="9">
        <v>1.5181999999999999E-4</v>
      </c>
      <c r="O5973" s="9">
        <v>2.1460000000000001E-4</v>
      </c>
      <c r="P5973" s="9">
        <v>1.6011000000000001E-4</v>
      </c>
      <c r="Q5973" s="9">
        <v>1.077E-4</v>
      </c>
      <c r="R5973" s="10">
        <v>1.6728417164142321E-4</v>
      </c>
      <c r="S5973" s="10">
        <v>1.8297337396624297E-4</v>
      </c>
      <c r="T5973" s="10">
        <v>1.2004435150516648E-4</v>
      </c>
      <c r="U5973" s="10">
        <v>6.7429999999999996E-5</v>
      </c>
      <c r="V5973" s="25"/>
      <c r="W5973" s="25"/>
      <c r="X5973" s="25"/>
      <c r="Y5973" s="25"/>
      <c r="Z5973" s="25"/>
      <c r="AA5973" s="25"/>
    </row>
    <row r="5974" spans="1:27" x14ac:dyDescent="0.35">
      <c r="A5974" s="5">
        <v>5970</v>
      </c>
      <c r="B5974" s="5">
        <v>249</v>
      </c>
      <c r="C5974" s="5">
        <v>9</v>
      </c>
      <c r="D5974" s="25">
        <v>1.1415000000000001E-4</v>
      </c>
      <c r="E5974" s="25">
        <v>1.2147E-4</v>
      </c>
      <c r="F5974" s="25">
        <v>1.0388E-4</v>
      </c>
      <c r="G5974" s="25">
        <v>1.563E-4</v>
      </c>
      <c r="H5974" s="25">
        <v>1.9888999999999999E-4</v>
      </c>
      <c r="I5974" s="9">
        <v>1.2446000000000001E-4</v>
      </c>
      <c r="J5974" s="9">
        <v>1.2506E-4</v>
      </c>
      <c r="K5974" s="9">
        <v>0</v>
      </c>
      <c r="L5974" s="9">
        <v>2.0943000000000001E-4</v>
      </c>
      <c r="M5974" s="9">
        <v>1.5933000000000001E-4</v>
      </c>
      <c r="N5974" s="9">
        <v>1.3867999999999999E-4</v>
      </c>
      <c r="O5974" s="9">
        <v>2.0576000000000001E-4</v>
      </c>
      <c r="P5974" s="9">
        <v>1.6102E-4</v>
      </c>
      <c r="Q5974" s="9">
        <v>1.1814E-4</v>
      </c>
      <c r="R5974" s="10">
        <v>1.5640479561155563E-4</v>
      </c>
      <c r="S5974" s="10">
        <v>1.8315988720952277E-4</v>
      </c>
      <c r="T5974" s="10">
        <v>3.9443507678812565E-5</v>
      </c>
      <c r="U5974" s="10">
        <v>6.7429999999999996E-5</v>
      </c>
      <c r="V5974" s="25"/>
      <c r="W5974" s="25"/>
      <c r="X5974" s="25"/>
      <c r="Y5974" s="25"/>
      <c r="Z5974" s="25"/>
      <c r="AA5974" s="25"/>
    </row>
    <row r="5975" spans="1:27" x14ac:dyDescent="0.35">
      <c r="A5975" s="5">
        <v>5971</v>
      </c>
      <c r="B5975" s="5">
        <v>249</v>
      </c>
      <c r="C5975" s="5">
        <v>9</v>
      </c>
      <c r="D5975" s="25">
        <v>1.1416E-4</v>
      </c>
      <c r="E5975" s="25">
        <v>1.1368E-4</v>
      </c>
      <c r="F5975" s="25">
        <v>9.4250000000000001E-5</v>
      </c>
      <c r="G5975" s="25">
        <v>1.1531000000000001E-4</v>
      </c>
      <c r="H5975" s="25">
        <v>1.3067999999999999E-4</v>
      </c>
      <c r="I5975" s="9">
        <v>1.1992E-4</v>
      </c>
      <c r="J5975" s="9">
        <v>1.2286999999999999E-4</v>
      </c>
      <c r="K5975" s="9">
        <v>0</v>
      </c>
      <c r="L5975" s="9">
        <v>2.0613000000000001E-4</v>
      </c>
      <c r="M5975" s="9">
        <v>1.596E-4</v>
      </c>
      <c r="N5975" s="9">
        <v>1.2982E-4</v>
      </c>
      <c r="O5975" s="9">
        <v>1.6469999999999999E-4</v>
      </c>
      <c r="P5975" s="9">
        <v>1.3542E-4</v>
      </c>
      <c r="Q5975" s="9">
        <v>1.0747999999999999E-4</v>
      </c>
      <c r="R5975" s="10">
        <v>1.6178078413031963E-4</v>
      </c>
      <c r="S5975" s="10">
        <v>1.8212118998070477E-4</v>
      </c>
      <c r="T5975" s="10">
        <v>0</v>
      </c>
      <c r="U5975" s="10">
        <v>6.7429999999999996E-5</v>
      </c>
      <c r="V5975" s="25"/>
      <c r="W5975" s="25"/>
      <c r="X5975" s="25"/>
      <c r="Y5975" s="25"/>
      <c r="Z5975" s="25"/>
      <c r="AA5975" s="25"/>
    </row>
    <row r="5976" spans="1:27" x14ac:dyDescent="0.35">
      <c r="A5976" s="5">
        <v>5972</v>
      </c>
      <c r="B5976" s="5">
        <v>249</v>
      </c>
      <c r="C5976" s="5">
        <v>9</v>
      </c>
      <c r="D5976" s="25">
        <v>1.1415000000000001E-4</v>
      </c>
      <c r="E5976" s="25">
        <v>1.1644E-4</v>
      </c>
      <c r="F5976" s="25">
        <v>1.0351E-4</v>
      </c>
      <c r="G5976" s="25">
        <v>1.1234E-4</v>
      </c>
      <c r="H5976" s="25">
        <v>1.35E-4</v>
      </c>
      <c r="I5976" s="9">
        <v>1.2107E-4</v>
      </c>
      <c r="J5976" s="9">
        <v>1.2431000000000001E-4</v>
      </c>
      <c r="K5976" s="9">
        <v>0</v>
      </c>
      <c r="L5976" s="9">
        <v>1.7396999999999999E-4</v>
      </c>
      <c r="M5976" s="9">
        <v>1.5111000000000001E-4</v>
      </c>
      <c r="N5976" s="9">
        <v>1.2093E-4</v>
      </c>
      <c r="O5976" s="9">
        <v>1.2826E-4</v>
      </c>
      <c r="P5976" s="9">
        <v>1.1446999999999999E-4</v>
      </c>
      <c r="Q5976" s="9">
        <v>1.0155E-4</v>
      </c>
      <c r="R5976" s="10">
        <v>1.598834173537611E-4</v>
      </c>
      <c r="S5976" s="10">
        <v>1.8100927596525823E-4</v>
      </c>
      <c r="T5976" s="10">
        <v>0</v>
      </c>
      <c r="U5976" s="10">
        <v>6.7429999999999996E-5</v>
      </c>
      <c r="V5976" s="25"/>
      <c r="W5976" s="25"/>
      <c r="X5976" s="25"/>
      <c r="Y5976" s="25"/>
      <c r="Z5976" s="25"/>
      <c r="AA5976" s="25"/>
    </row>
    <row r="5977" spans="1:27" x14ac:dyDescent="0.35">
      <c r="A5977" s="5">
        <v>5973</v>
      </c>
      <c r="B5977" s="5">
        <v>249</v>
      </c>
      <c r="C5977" s="5">
        <v>9</v>
      </c>
      <c r="D5977" s="25">
        <v>1.1416E-4</v>
      </c>
      <c r="E5977" s="25">
        <v>1.1620000000000001E-4</v>
      </c>
      <c r="F5977" s="25">
        <v>9.7739999999999996E-5</v>
      </c>
      <c r="G5977" s="25">
        <v>5.3359999999999997E-5</v>
      </c>
      <c r="H5977" s="25">
        <v>7.2559999999999996E-5</v>
      </c>
      <c r="I5977" s="9">
        <v>1.1836999999999999E-4</v>
      </c>
      <c r="J5977" s="9">
        <v>1.2308999999999999E-4</v>
      </c>
      <c r="K5977" s="9">
        <v>0</v>
      </c>
      <c r="L5977" s="9">
        <v>1.3933000000000001E-4</v>
      </c>
      <c r="M5977" s="9">
        <v>1.3551000000000001E-4</v>
      </c>
      <c r="N5977" s="9">
        <v>1.1326E-4</v>
      </c>
      <c r="O5977" s="9">
        <v>8.3850000000000005E-5</v>
      </c>
      <c r="P5977" s="9">
        <v>8.551E-5</v>
      </c>
      <c r="Q5977" s="9">
        <v>8.7490000000000004E-5</v>
      </c>
      <c r="R5977" s="10">
        <v>1.6131134359072301E-4</v>
      </c>
      <c r="S5977" s="10">
        <v>1.8092384580038331E-4</v>
      </c>
      <c r="T5977" s="10">
        <v>0</v>
      </c>
      <c r="U5977" s="10">
        <v>6.7429999999999996E-5</v>
      </c>
      <c r="V5977" s="25"/>
      <c r="W5977" s="25"/>
      <c r="X5977" s="25"/>
      <c r="Y5977" s="25"/>
      <c r="Z5977" s="25"/>
      <c r="AA5977" s="25"/>
    </row>
    <row r="5978" spans="1:27" x14ac:dyDescent="0.35">
      <c r="A5978" s="5">
        <v>5974</v>
      </c>
      <c r="B5978" s="5">
        <v>249</v>
      </c>
      <c r="C5978" s="5">
        <v>9</v>
      </c>
      <c r="D5978" s="25">
        <v>1.1415000000000001E-4</v>
      </c>
      <c r="E5978" s="25">
        <v>1.1176E-4</v>
      </c>
      <c r="F5978" s="25">
        <v>8.5920000000000004E-5</v>
      </c>
      <c r="G5978" s="25">
        <v>6.3440000000000002E-5</v>
      </c>
      <c r="H5978" s="25">
        <v>6.6199999999999996E-5</v>
      </c>
      <c r="I5978" s="9">
        <v>1.1425999999999999E-4</v>
      </c>
      <c r="J5978" s="9">
        <v>1.1504E-4</v>
      </c>
      <c r="K5978" s="9">
        <v>0</v>
      </c>
      <c r="L5978" s="9">
        <v>9.6990000000000005E-5</v>
      </c>
      <c r="M5978" s="9">
        <v>1.1349E-4</v>
      </c>
      <c r="N5978" s="9">
        <v>1.0552000000000001E-4</v>
      </c>
      <c r="O5978" s="9">
        <v>8.8040000000000004E-5</v>
      </c>
      <c r="P5978" s="9">
        <v>8.8330000000000003E-5</v>
      </c>
      <c r="Q5978" s="9">
        <v>8.8980000000000005E-5</v>
      </c>
      <c r="R5978" s="10">
        <v>1.6680772574618899E-4</v>
      </c>
      <c r="S5978" s="10">
        <v>1.8076348017949208E-4</v>
      </c>
      <c r="T5978" s="10">
        <v>0</v>
      </c>
      <c r="U5978" s="10">
        <v>6.7429999999999996E-5</v>
      </c>
      <c r="V5978" s="25"/>
      <c r="W5978" s="25"/>
      <c r="X5978" s="25"/>
      <c r="Y5978" s="25"/>
      <c r="Z5978" s="25"/>
      <c r="AA5978" s="25"/>
    </row>
    <row r="5979" spans="1:27" x14ac:dyDescent="0.35">
      <c r="A5979" s="5">
        <v>5975</v>
      </c>
      <c r="B5979" s="5">
        <v>249</v>
      </c>
      <c r="C5979" s="5">
        <v>9</v>
      </c>
      <c r="D5979" s="25">
        <v>1.1416E-4</v>
      </c>
      <c r="E5979" s="25">
        <v>1.1726E-4</v>
      </c>
      <c r="F5979" s="25">
        <v>9.8510000000000004E-5</v>
      </c>
      <c r="G5979" s="25">
        <v>6.1519999999999994E-5</v>
      </c>
      <c r="H5979" s="25">
        <v>7.0740000000000004E-5</v>
      </c>
      <c r="I5979" s="9">
        <v>1.0789E-4</v>
      </c>
      <c r="J5979" s="9">
        <v>1.0806000000000001E-4</v>
      </c>
      <c r="K5979" s="9">
        <v>0</v>
      </c>
      <c r="L5979" s="9">
        <v>9.0959999999999996E-5</v>
      </c>
      <c r="M5979" s="9">
        <v>9.9030000000000006E-5</v>
      </c>
      <c r="N5979" s="9">
        <v>9.9870000000000004E-5</v>
      </c>
      <c r="O5979" s="9">
        <v>7.8109999999999996E-5</v>
      </c>
      <c r="P5979" s="9">
        <v>7.2440000000000004E-5</v>
      </c>
      <c r="Q5979" s="9">
        <v>6.7169999999999996E-5</v>
      </c>
      <c r="R5979" s="10">
        <v>1.711593089768283E-4</v>
      </c>
      <c r="S5979" s="10">
        <v>1.8081401732410041E-4</v>
      </c>
      <c r="T5979" s="10">
        <v>0</v>
      </c>
      <c r="U5979" s="10">
        <v>6.7429999999999996E-5</v>
      </c>
      <c r="V5979" s="25"/>
      <c r="W5979" s="25"/>
      <c r="X5979" s="25"/>
      <c r="Y5979" s="25"/>
      <c r="Z5979" s="25"/>
      <c r="AA5979" s="25"/>
    </row>
    <row r="5980" spans="1:27" x14ac:dyDescent="0.35">
      <c r="A5980" s="5">
        <v>5976</v>
      </c>
      <c r="B5980" s="5">
        <v>249</v>
      </c>
      <c r="C5980" s="5">
        <v>9</v>
      </c>
      <c r="D5980" s="25">
        <v>1.1415000000000001E-4</v>
      </c>
      <c r="E5980" s="25">
        <v>1.2203E-4</v>
      </c>
      <c r="F5980" s="25">
        <v>1.0511E-4</v>
      </c>
      <c r="G5980" s="25">
        <v>5.7429999999999997E-5</v>
      </c>
      <c r="H5980" s="25">
        <v>6.2990000000000005E-5</v>
      </c>
      <c r="I5980" s="9">
        <v>1.0206E-4</v>
      </c>
      <c r="J5980" s="9">
        <v>1.0034E-4</v>
      </c>
      <c r="K5980" s="9">
        <v>0</v>
      </c>
      <c r="L5980" s="9">
        <v>8.0890000000000006E-5</v>
      </c>
      <c r="M5980" s="9">
        <v>8.6299999999999997E-5</v>
      </c>
      <c r="N5980" s="9">
        <v>9.064E-5</v>
      </c>
      <c r="O5980" s="9">
        <v>6.3230000000000003E-5</v>
      </c>
      <c r="P5980" s="9">
        <v>6.1169999999999999E-5</v>
      </c>
      <c r="Q5980" s="9">
        <v>5.9339999999999998E-5</v>
      </c>
      <c r="R5980" s="10">
        <v>1.6360078219865146E-4</v>
      </c>
      <c r="S5980" s="10">
        <v>1.7890024882094804E-4</v>
      </c>
      <c r="T5980" s="10">
        <v>0</v>
      </c>
      <c r="U5980" s="10">
        <v>6.7429999999999996E-5</v>
      </c>
      <c r="V5980" s="25"/>
      <c r="W5980" s="25"/>
      <c r="X5980" s="25"/>
      <c r="Y5980" s="25"/>
      <c r="Z5980" s="25"/>
      <c r="AA5980" s="25"/>
    </row>
    <row r="5981" spans="1:27" x14ac:dyDescent="0.35">
      <c r="A5981" s="5">
        <v>5977</v>
      </c>
      <c r="B5981" s="5">
        <v>250</v>
      </c>
      <c r="C5981" s="5">
        <v>9</v>
      </c>
      <c r="D5981" s="25">
        <v>1.1416E-4</v>
      </c>
      <c r="E5981" s="25">
        <v>1.1527E-4</v>
      </c>
      <c r="F5981" s="25">
        <v>1.2664999999999999E-4</v>
      </c>
      <c r="G5981" s="25">
        <v>5.7080000000000002E-5</v>
      </c>
      <c r="H5981" s="25">
        <v>6.4820000000000006E-5</v>
      </c>
      <c r="I5981" s="9">
        <v>9.7830000000000004E-5</v>
      </c>
      <c r="J5981" s="9">
        <v>9.5550000000000005E-5</v>
      </c>
      <c r="K5981" s="9">
        <v>0</v>
      </c>
      <c r="L5981" s="9">
        <v>6.7119999999999994E-5</v>
      </c>
      <c r="M5981" s="9">
        <v>7.4339999999999996E-5</v>
      </c>
      <c r="N5981" s="9">
        <v>8.1320000000000001E-5</v>
      </c>
      <c r="O5981" s="9">
        <v>5.4870000000000002E-5</v>
      </c>
      <c r="P5981" s="9">
        <v>5.4280000000000002E-5</v>
      </c>
      <c r="Q5981" s="9">
        <v>5.3860000000000003E-5</v>
      </c>
      <c r="R5981" s="10">
        <v>1.6815842546086146E-4</v>
      </c>
      <c r="S5981" s="10">
        <v>1.7875672938710331E-4</v>
      </c>
      <c r="T5981" s="10">
        <v>0</v>
      </c>
      <c r="U5981" s="10">
        <v>6.6909999999999995E-5</v>
      </c>
      <c r="V5981" s="25"/>
      <c r="W5981" s="25"/>
      <c r="X5981" s="25"/>
      <c r="Y5981" s="25"/>
      <c r="Z5981" s="25"/>
      <c r="AA5981" s="25"/>
    </row>
    <row r="5982" spans="1:27" x14ac:dyDescent="0.35">
      <c r="A5982" s="5">
        <v>5978</v>
      </c>
      <c r="B5982" s="5">
        <v>250</v>
      </c>
      <c r="C5982" s="5">
        <v>9</v>
      </c>
      <c r="D5982" s="25">
        <v>1.1415000000000001E-4</v>
      </c>
      <c r="E5982" s="25">
        <v>1.1086000000000001E-4</v>
      </c>
      <c r="F5982" s="25">
        <v>1.4552E-4</v>
      </c>
      <c r="G5982" s="25">
        <v>5.2540000000000002E-5</v>
      </c>
      <c r="H5982" s="25">
        <v>6.8510000000000006E-5</v>
      </c>
      <c r="I5982" s="9">
        <v>9.5940000000000006E-5</v>
      </c>
      <c r="J5982" s="9">
        <v>9.3430000000000005E-5</v>
      </c>
      <c r="K5982" s="9">
        <v>2.1299999999999999E-6</v>
      </c>
      <c r="L5982" s="9">
        <v>5.7949999999999999E-5</v>
      </c>
      <c r="M5982" s="9">
        <v>6.4270000000000006E-5</v>
      </c>
      <c r="N5982" s="9">
        <v>7.2310000000000004E-5</v>
      </c>
      <c r="O5982" s="9">
        <v>1.8830000000000001E-5</v>
      </c>
      <c r="P5982" s="9">
        <v>3.7540000000000003E-5</v>
      </c>
      <c r="Q5982" s="9">
        <v>5.5869999999999999E-5</v>
      </c>
      <c r="R5982" s="10">
        <v>1.6573041609153392E-4</v>
      </c>
      <c r="S5982" s="10">
        <v>1.7976004414128693E-4</v>
      </c>
      <c r="T5982" s="10">
        <v>0</v>
      </c>
      <c r="U5982" s="10">
        <v>6.6909999999999995E-5</v>
      </c>
      <c r="V5982" s="25"/>
      <c r="W5982" s="25"/>
      <c r="X5982" s="25"/>
      <c r="Y5982" s="25"/>
      <c r="Z5982" s="25"/>
      <c r="AA5982" s="25"/>
    </row>
    <row r="5983" spans="1:27" x14ac:dyDescent="0.35">
      <c r="A5983" s="5">
        <v>5979</v>
      </c>
      <c r="B5983" s="5">
        <v>250</v>
      </c>
      <c r="C5983" s="5">
        <v>9</v>
      </c>
      <c r="D5983" s="25">
        <v>1.1416E-4</v>
      </c>
      <c r="E5983" s="25">
        <v>1.1039000000000001E-4</v>
      </c>
      <c r="F5983" s="25">
        <v>1.3496E-4</v>
      </c>
      <c r="G5983" s="25">
        <v>6.3360000000000003E-5</v>
      </c>
      <c r="H5983" s="25">
        <v>6.7550000000000002E-5</v>
      </c>
      <c r="I5983" s="9">
        <v>9.4820000000000004E-5</v>
      </c>
      <c r="J5983" s="9">
        <v>9.2629999999999999E-5</v>
      </c>
      <c r="K5983" s="9">
        <v>1.06E-5</v>
      </c>
      <c r="L5983" s="9">
        <v>2.764E-5</v>
      </c>
      <c r="M5983" s="9">
        <v>5.2349999999999999E-5</v>
      </c>
      <c r="N5983" s="9">
        <v>6.567E-5</v>
      </c>
      <c r="O5983" s="9">
        <v>1.3560000000000001E-5</v>
      </c>
      <c r="P5983" s="9">
        <v>3.8019999999999999E-5</v>
      </c>
      <c r="Q5983" s="9">
        <v>6.1970000000000005E-5</v>
      </c>
      <c r="R5983" s="10">
        <v>1.6857903537946596E-4</v>
      </c>
      <c r="S5983" s="10">
        <v>1.8097459627024548E-4</v>
      </c>
      <c r="T5983" s="10">
        <v>0</v>
      </c>
      <c r="U5983" s="10">
        <v>6.6909999999999995E-5</v>
      </c>
      <c r="V5983" s="25"/>
      <c r="W5983" s="25"/>
      <c r="X5983" s="25"/>
      <c r="Y5983" s="25"/>
      <c r="Z5983" s="25"/>
      <c r="AA5983" s="25"/>
    </row>
    <row r="5984" spans="1:27" x14ac:dyDescent="0.35">
      <c r="A5984" s="5">
        <v>5980</v>
      </c>
      <c r="B5984" s="5">
        <v>250</v>
      </c>
      <c r="C5984" s="5">
        <v>9</v>
      </c>
      <c r="D5984" s="25">
        <v>1.1415000000000001E-4</v>
      </c>
      <c r="E5984" s="25">
        <v>1.1215E-4</v>
      </c>
      <c r="F5984" s="25">
        <v>1.2651000000000001E-4</v>
      </c>
      <c r="G5984" s="25">
        <v>5.2899999999999998E-5</v>
      </c>
      <c r="H5984" s="25">
        <v>7.0980000000000001E-5</v>
      </c>
      <c r="I5984" s="9">
        <v>9.603E-5</v>
      </c>
      <c r="J5984" s="9">
        <v>9.2999999999999997E-5</v>
      </c>
      <c r="K5984" s="9">
        <v>0</v>
      </c>
      <c r="L5984" s="9">
        <v>1.7410000000000001E-5</v>
      </c>
      <c r="M5984" s="9">
        <v>4.4339999999999999E-5</v>
      </c>
      <c r="N5984" s="9">
        <v>6.2130000000000003E-5</v>
      </c>
      <c r="O5984" s="9">
        <v>1.3390000000000001E-5</v>
      </c>
      <c r="P5984" s="9">
        <v>4.6919999999999998E-5</v>
      </c>
      <c r="Q5984" s="9">
        <v>7.9800000000000002E-5</v>
      </c>
      <c r="R5984" s="10">
        <v>1.6660053643681124E-4</v>
      </c>
      <c r="S5984" s="10">
        <v>1.7980038746675381E-4</v>
      </c>
      <c r="T5984" s="10">
        <v>0</v>
      </c>
      <c r="U5984" s="10">
        <v>6.6909999999999995E-5</v>
      </c>
      <c r="V5984" s="25"/>
      <c r="W5984" s="25"/>
      <c r="X5984" s="25"/>
      <c r="Y5984" s="25"/>
      <c r="Z5984" s="25"/>
      <c r="AA5984" s="25"/>
    </row>
    <row r="5985" spans="1:27" x14ac:dyDescent="0.35">
      <c r="A5985" s="5">
        <v>5981</v>
      </c>
      <c r="B5985" s="5">
        <v>250</v>
      </c>
      <c r="C5985" s="5">
        <v>9</v>
      </c>
      <c r="D5985" s="25">
        <v>1.1416E-4</v>
      </c>
      <c r="E5985" s="25">
        <v>1.1328E-4</v>
      </c>
      <c r="F5985" s="25">
        <v>1.3285E-4</v>
      </c>
      <c r="G5985" s="25">
        <v>5.5210000000000002E-5</v>
      </c>
      <c r="H5985" s="25">
        <v>7.1370000000000003E-5</v>
      </c>
      <c r="I5985" s="9">
        <v>9.9909999999999997E-5</v>
      </c>
      <c r="J5985" s="9">
        <v>9.6180000000000004E-5</v>
      </c>
      <c r="K5985" s="9">
        <v>2.1189999999999999E-5</v>
      </c>
      <c r="L5985" s="9">
        <v>1.452E-5</v>
      </c>
      <c r="M5985" s="9">
        <v>4.3470000000000002E-5</v>
      </c>
      <c r="N5985" s="9">
        <v>6.4499999999999996E-5</v>
      </c>
      <c r="O5985" s="9">
        <v>1.8870000000000001E-5</v>
      </c>
      <c r="P5985" s="9">
        <v>5.6419999999999999E-5</v>
      </c>
      <c r="Q5985" s="9">
        <v>9.3300000000000005E-5</v>
      </c>
      <c r="R5985" s="10">
        <v>1.641452063280013E-4</v>
      </c>
      <c r="S5985" s="10">
        <v>1.758271926820322E-4</v>
      </c>
      <c r="T5985" s="10">
        <v>0</v>
      </c>
      <c r="U5985" s="10">
        <v>6.6909999999999995E-5</v>
      </c>
      <c r="V5985" s="25"/>
      <c r="W5985" s="25"/>
      <c r="X5985" s="25"/>
      <c r="Y5985" s="25"/>
      <c r="Z5985" s="25"/>
      <c r="AA5985" s="25"/>
    </row>
    <row r="5986" spans="1:27" x14ac:dyDescent="0.35">
      <c r="A5986" s="5">
        <v>5982</v>
      </c>
      <c r="B5986" s="5">
        <v>250</v>
      </c>
      <c r="C5986" s="5">
        <v>9</v>
      </c>
      <c r="D5986" s="25">
        <v>1.1415000000000001E-4</v>
      </c>
      <c r="E5986" s="25">
        <v>1.1441E-4</v>
      </c>
      <c r="F5986" s="25">
        <v>1.4051999999999999E-4</v>
      </c>
      <c r="G5986" s="25">
        <v>1.1157E-4</v>
      </c>
      <c r="H5986" s="25">
        <v>1.3651000000000001E-4</v>
      </c>
      <c r="I5986" s="9">
        <v>1.1120000000000001E-4</v>
      </c>
      <c r="J5986" s="9">
        <v>1.0586000000000001E-4</v>
      </c>
      <c r="K5986" s="9">
        <v>0</v>
      </c>
      <c r="L5986" s="9">
        <v>1.7779999999999999E-5</v>
      </c>
      <c r="M5986" s="9">
        <v>4.8260000000000002E-5</v>
      </c>
      <c r="N5986" s="9">
        <v>7.093E-5</v>
      </c>
      <c r="O5986" s="9">
        <v>4.6079999999999999E-5</v>
      </c>
      <c r="P5986" s="9">
        <v>7.6489999999999994E-5</v>
      </c>
      <c r="Q5986" s="9">
        <v>1.065E-4</v>
      </c>
      <c r="R5986" s="10">
        <v>1.5008835324224797E-4</v>
      </c>
      <c r="S5986" s="10">
        <v>1.739317860154832E-4</v>
      </c>
      <c r="T5986" s="10">
        <v>0</v>
      </c>
      <c r="U5986" s="10">
        <v>6.6909999999999995E-5</v>
      </c>
      <c r="V5986" s="25"/>
      <c r="W5986" s="25"/>
      <c r="X5986" s="25"/>
      <c r="Y5986" s="25"/>
      <c r="Z5986" s="25"/>
      <c r="AA5986" s="25"/>
    </row>
    <row r="5987" spans="1:27" x14ac:dyDescent="0.35">
      <c r="A5987" s="5">
        <v>5983</v>
      </c>
      <c r="B5987" s="5">
        <v>250</v>
      </c>
      <c r="C5987" s="5">
        <v>9</v>
      </c>
      <c r="D5987" s="25">
        <v>1.1416E-4</v>
      </c>
      <c r="E5987" s="25">
        <v>1.1765E-4</v>
      </c>
      <c r="F5987" s="25">
        <v>1.4526E-4</v>
      </c>
      <c r="G5987" s="25">
        <v>1.1346E-4</v>
      </c>
      <c r="H5987" s="25">
        <v>1.3758999999999999E-4</v>
      </c>
      <c r="I5987" s="9">
        <v>1.1955000000000001E-4</v>
      </c>
      <c r="J5987" s="9">
        <v>1.1815E-4</v>
      </c>
      <c r="K5987" s="9">
        <v>0</v>
      </c>
      <c r="L5987" s="9">
        <v>3.9719999999999999E-5</v>
      </c>
      <c r="M5987" s="9">
        <v>5.978E-5</v>
      </c>
      <c r="N5987" s="9">
        <v>8.0489999999999997E-5</v>
      </c>
      <c r="O5987" s="9">
        <v>1.2302E-4</v>
      </c>
      <c r="P5987" s="9">
        <v>1.1739E-4</v>
      </c>
      <c r="Q5987" s="9">
        <v>1.1245E-4</v>
      </c>
      <c r="R5987" s="10">
        <v>1.400118018193805E-4</v>
      </c>
      <c r="S5987" s="10">
        <v>1.7181024585918931E-4</v>
      </c>
      <c r="T5987" s="10">
        <v>6.0034902201608453E-5</v>
      </c>
      <c r="U5987" s="10">
        <v>6.6909999999999995E-5</v>
      </c>
      <c r="V5987" s="25"/>
      <c r="W5987" s="25"/>
      <c r="X5987" s="25"/>
      <c r="Y5987" s="25"/>
      <c r="Z5987" s="25"/>
      <c r="AA5987" s="25"/>
    </row>
    <row r="5988" spans="1:27" x14ac:dyDescent="0.35">
      <c r="A5988" s="5">
        <v>5984</v>
      </c>
      <c r="B5988" s="5">
        <v>250</v>
      </c>
      <c r="C5988" s="5">
        <v>9</v>
      </c>
      <c r="D5988" s="25">
        <v>1.1415000000000001E-4</v>
      </c>
      <c r="E5988" s="25">
        <v>1.128E-4</v>
      </c>
      <c r="F5988" s="25">
        <v>1.2731E-4</v>
      </c>
      <c r="G5988" s="25">
        <v>1.6163000000000001E-4</v>
      </c>
      <c r="H5988" s="25">
        <v>1.9479E-4</v>
      </c>
      <c r="I5988" s="9">
        <v>1.2463E-4</v>
      </c>
      <c r="J5988" s="9">
        <v>1.2726999999999999E-4</v>
      </c>
      <c r="K5988" s="9">
        <v>0</v>
      </c>
      <c r="L5988" s="9">
        <v>1.0408000000000001E-4</v>
      </c>
      <c r="M5988" s="9">
        <v>8.3490000000000002E-5</v>
      </c>
      <c r="N5988" s="9">
        <v>9.0600000000000007E-5</v>
      </c>
      <c r="O5988" s="9">
        <v>2.1687E-4</v>
      </c>
      <c r="P5988" s="9">
        <v>1.7513000000000001E-4</v>
      </c>
      <c r="Q5988" s="9">
        <v>1.3528999999999999E-4</v>
      </c>
      <c r="R5988" s="10">
        <v>1.3524289040492215E-4</v>
      </c>
      <c r="S5988" s="10">
        <v>1.7258532187675312E-4</v>
      </c>
      <c r="T5988" s="10">
        <v>2.397747839343777E-4</v>
      </c>
      <c r="U5988" s="10">
        <v>6.6909999999999995E-5</v>
      </c>
      <c r="V5988" s="25"/>
      <c r="W5988" s="25"/>
      <c r="X5988" s="25"/>
      <c r="Y5988" s="25"/>
      <c r="Z5988" s="25"/>
      <c r="AA5988" s="25"/>
    </row>
    <row r="5989" spans="1:27" x14ac:dyDescent="0.35">
      <c r="A5989" s="5">
        <v>5985</v>
      </c>
      <c r="B5989" s="5">
        <v>250</v>
      </c>
      <c r="C5989" s="5">
        <v>9</v>
      </c>
      <c r="D5989" s="25">
        <v>1.1416E-4</v>
      </c>
      <c r="E5989" s="25">
        <v>1.1413000000000001E-4</v>
      </c>
      <c r="F5989" s="25">
        <v>1.4463E-4</v>
      </c>
      <c r="G5989" s="25">
        <v>1.6249999999999999E-4</v>
      </c>
      <c r="H5989" s="25">
        <v>1.9154E-4</v>
      </c>
      <c r="I5989" s="9">
        <v>1.2771000000000001E-4</v>
      </c>
      <c r="J5989" s="9">
        <v>1.3074000000000001E-4</v>
      </c>
      <c r="K5989" s="9">
        <v>0</v>
      </c>
      <c r="L5989" s="9">
        <v>1.9029E-4</v>
      </c>
      <c r="M5989" s="9">
        <v>1.2261999999999999E-4</v>
      </c>
      <c r="N5989" s="9">
        <v>1.0404999999999999E-4</v>
      </c>
      <c r="O5989" s="9">
        <v>2.1002E-4</v>
      </c>
      <c r="P5989" s="9">
        <v>1.9237E-4</v>
      </c>
      <c r="Q5989" s="9">
        <v>1.7616999999999999E-4</v>
      </c>
      <c r="R5989" s="10">
        <v>1.2671648727918361E-4</v>
      </c>
      <c r="S5989" s="10">
        <v>1.6699740837084243E-4</v>
      </c>
      <c r="T5989" s="10">
        <v>4.0652520336207867E-4</v>
      </c>
      <c r="U5989" s="10">
        <v>6.6909999999999995E-5</v>
      </c>
      <c r="V5989" s="25"/>
      <c r="W5989" s="25"/>
      <c r="X5989" s="25"/>
      <c r="Y5989" s="25"/>
      <c r="Z5989" s="25"/>
      <c r="AA5989" s="25"/>
    </row>
    <row r="5990" spans="1:27" x14ac:dyDescent="0.35">
      <c r="A5990" s="5">
        <v>5986</v>
      </c>
      <c r="B5990" s="5">
        <v>250</v>
      </c>
      <c r="C5990" s="5">
        <v>9</v>
      </c>
      <c r="D5990" s="25">
        <v>1.1415000000000001E-4</v>
      </c>
      <c r="E5990" s="25">
        <v>1.1187E-4</v>
      </c>
      <c r="F5990" s="25">
        <v>1.2679999999999999E-4</v>
      </c>
      <c r="G5990" s="25">
        <v>1.5613000000000001E-4</v>
      </c>
      <c r="H5990" s="25">
        <v>1.9986E-4</v>
      </c>
      <c r="I5990" s="9">
        <v>1.2836E-4</v>
      </c>
      <c r="J5990" s="9">
        <v>1.3121000000000001E-4</v>
      </c>
      <c r="K5990" s="9">
        <v>0</v>
      </c>
      <c r="L5990" s="9">
        <v>2.0342E-4</v>
      </c>
      <c r="M5990" s="9">
        <v>1.5762999999999999E-4</v>
      </c>
      <c r="N5990" s="9">
        <v>1.2397999999999999E-4</v>
      </c>
      <c r="O5990" s="9">
        <v>1.6670000000000001E-4</v>
      </c>
      <c r="P5990" s="9">
        <v>1.7390999999999999E-4</v>
      </c>
      <c r="Q5990" s="9">
        <v>1.8191E-4</v>
      </c>
      <c r="R5990" s="10">
        <v>1.3006079041867478E-4</v>
      </c>
      <c r="S5990" s="10">
        <v>1.6644389199002064E-4</v>
      </c>
      <c r="T5990" s="10">
        <v>1.9880410237253944E-4</v>
      </c>
      <c r="U5990" s="10">
        <v>6.6909999999999995E-5</v>
      </c>
      <c r="V5990" s="25"/>
      <c r="W5990" s="25"/>
      <c r="X5990" s="25"/>
      <c r="Y5990" s="25"/>
      <c r="Z5990" s="25"/>
      <c r="AA5990" s="25"/>
    </row>
    <row r="5991" spans="1:27" x14ac:dyDescent="0.35">
      <c r="A5991" s="5">
        <v>5987</v>
      </c>
      <c r="B5991" s="5">
        <v>250</v>
      </c>
      <c r="C5991" s="5">
        <v>9</v>
      </c>
      <c r="D5991" s="25">
        <v>1.1416E-4</v>
      </c>
      <c r="E5991" s="25">
        <v>1.1889E-4</v>
      </c>
      <c r="F5991" s="25">
        <v>1.4249999999999999E-4</v>
      </c>
      <c r="G5991" s="25">
        <v>1.5733000000000001E-4</v>
      </c>
      <c r="H5991" s="25">
        <v>1.9900000000000001E-4</v>
      </c>
      <c r="I5991" s="9">
        <v>1.3015999999999999E-4</v>
      </c>
      <c r="J5991" s="9">
        <v>1.3067999999999999E-4</v>
      </c>
      <c r="K5991" s="9">
        <v>0</v>
      </c>
      <c r="L5991" s="9">
        <v>1.7483E-4</v>
      </c>
      <c r="M5991" s="9">
        <v>1.7160999999999999E-4</v>
      </c>
      <c r="N5991" s="9">
        <v>1.4211000000000001E-4</v>
      </c>
      <c r="O5991" s="9">
        <v>1.6624000000000001E-4</v>
      </c>
      <c r="P5991" s="9">
        <v>1.7208999999999999E-4</v>
      </c>
      <c r="Q5991" s="9">
        <v>1.7874000000000001E-4</v>
      </c>
      <c r="R5991" s="10">
        <v>1.2395471030434392E-4</v>
      </c>
      <c r="S5991" s="10">
        <v>1.66142817256047E-4</v>
      </c>
      <c r="T5991" s="10">
        <v>2.3958812934867451E-4</v>
      </c>
      <c r="U5991" s="10">
        <v>6.6909999999999995E-5</v>
      </c>
      <c r="V5991" s="25"/>
      <c r="W5991" s="25"/>
      <c r="X5991" s="25"/>
      <c r="Y5991" s="25"/>
      <c r="Z5991" s="25"/>
      <c r="AA5991" s="25"/>
    </row>
    <row r="5992" spans="1:27" x14ac:dyDescent="0.35">
      <c r="A5992" s="5">
        <v>5988</v>
      </c>
      <c r="B5992" s="5">
        <v>250</v>
      </c>
      <c r="C5992" s="5">
        <v>9</v>
      </c>
      <c r="D5992" s="25">
        <v>1.1415000000000001E-4</v>
      </c>
      <c r="E5992" s="25">
        <v>1.1513E-4</v>
      </c>
      <c r="F5992" s="25">
        <v>1.3334999999999999E-4</v>
      </c>
      <c r="G5992" s="25">
        <v>1.6102999999999999E-4</v>
      </c>
      <c r="H5992" s="25">
        <v>1.9033E-4</v>
      </c>
      <c r="I5992" s="9">
        <v>1.2674E-4</v>
      </c>
      <c r="J5992" s="9">
        <v>1.2992E-4</v>
      </c>
      <c r="K5992" s="9">
        <v>0</v>
      </c>
      <c r="L5992" s="9">
        <v>1.6950999999999999E-4</v>
      </c>
      <c r="M5992" s="9">
        <v>1.7419000000000001E-4</v>
      </c>
      <c r="N5992" s="9">
        <v>1.5611999999999999E-4</v>
      </c>
      <c r="O5992" s="9">
        <v>1.684E-4</v>
      </c>
      <c r="P5992" s="9">
        <v>1.7017000000000001E-4</v>
      </c>
      <c r="Q5992" s="9">
        <v>1.7281999999999999E-4</v>
      </c>
      <c r="R5992" s="10">
        <v>6.6438152004900396E-5</v>
      </c>
      <c r="S5992" s="10">
        <v>1.622956832361913E-4</v>
      </c>
      <c r="T5992" s="10">
        <v>5.6895711442055722E-5</v>
      </c>
      <c r="U5992" s="10">
        <v>6.6909999999999995E-5</v>
      </c>
      <c r="V5992" s="25"/>
      <c r="W5992" s="25"/>
      <c r="X5992" s="25"/>
      <c r="Y5992" s="25"/>
      <c r="Z5992" s="25"/>
      <c r="AA5992" s="25"/>
    </row>
    <row r="5993" spans="1:27" x14ac:dyDescent="0.35">
      <c r="A5993" s="5">
        <v>5989</v>
      </c>
      <c r="B5993" s="5">
        <v>250</v>
      </c>
      <c r="C5993" s="5">
        <v>9</v>
      </c>
      <c r="D5993" s="25">
        <v>1.1416E-4</v>
      </c>
      <c r="E5993" s="25">
        <v>1.1812E-4</v>
      </c>
      <c r="F5993" s="25">
        <v>1.4553E-4</v>
      </c>
      <c r="G5993" s="25">
        <v>1.6428999999999999E-4</v>
      </c>
      <c r="H5993" s="25">
        <v>1.9133999999999999E-4</v>
      </c>
      <c r="I5993" s="9">
        <v>1.2700999999999999E-4</v>
      </c>
      <c r="J5993" s="9">
        <v>1.3219999999999999E-4</v>
      </c>
      <c r="K5993" s="9">
        <v>0</v>
      </c>
      <c r="L5993" s="9">
        <v>1.6882E-4</v>
      </c>
      <c r="M5993" s="9">
        <v>1.7291E-4</v>
      </c>
      <c r="N5993" s="9">
        <v>1.6542E-4</v>
      </c>
      <c r="O5993" s="9">
        <v>1.6056999999999999E-4</v>
      </c>
      <c r="P5993" s="9">
        <v>1.6312999999999999E-4</v>
      </c>
      <c r="Q5993" s="9">
        <v>1.6651E-4</v>
      </c>
      <c r="R5993" s="10">
        <v>6.4981633585264162E-5</v>
      </c>
      <c r="S5993" s="10">
        <v>1.5658169772067598E-4</v>
      </c>
      <c r="T5993" s="10">
        <v>9.3047310973012984E-5</v>
      </c>
      <c r="U5993" s="10">
        <v>6.6909999999999995E-5</v>
      </c>
      <c r="V5993" s="25"/>
      <c r="W5993" s="25"/>
      <c r="X5993" s="25"/>
      <c r="Y5993" s="25"/>
      <c r="Z5993" s="25"/>
      <c r="AA5993" s="25"/>
    </row>
    <row r="5994" spans="1:27" x14ac:dyDescent="0.35">
      <c r="A5994" s="5">
        <v>5990</v>
      </c>
      <c r="B5994" s="5">
        <v>250</v>
      </c>
      <c r="C5994" s="5">
        <v>9</v>
      </c>
      <c r="D5994" s="25">
        <v>1.1415000000000001E-4</v>
      </c>
      <c r="E5994" s="25">
        <v>1.1493E-4</v>
      </c>
      <c r="F5994" s="25">
        <v>1.2448E-4</v>
      </c>
      <c r="G5994" s="25">
        <v>1.6495999999999999E-4</v>
      </c>
      <c r="H5994" s="25">
        <v>1.9369E-4</v>
      </c>
      <c r="I5994" s="9">
        <v>1.2695E-4</v>
      </c>
      <c r="J5994" s="9">
        <v>1.3284000000000001E-4</v>
      </c>
      <c r="K5994" s="9">
        <v>0</v>
      </c>
      <c r="L5994" s="9">
        <v>1.6215000000000001E-4</v>
      </c>
      <c r="M5994" s="9">
        <v>1.6901000000000001E-4</v>
      </c>
      <c r="N5994" s="9">
        <v>1.6969000000000001E-4</v>
      </c>
      <c r="O5994" s="9">
        <v>1.7903999999999999E-4</v>
      </c>
      <c r="P5994" s="9">
        <v>1.6983999999999999E-4</v>
      </c>
      <c r="Q5994" s="9">
        <v>1.6176999999999999E-4</v>
      </c>
      <c r="R5994" s="10">
        <v>7.2060650286724924E-5</v>
      </c>
      <c r="S5994" s="10">
        <v>1.5331549973332661E-4</v>
      </c>
      <c r="T5994" s="10">
        <v>1.2585609656001409E-4</v>
      </c>
      <c r="U5994" s="10">
        <v>6.6909999999999995E-5</v>
      </c>
      <c r="V5994" s="25"/>
      <c r="W5994" s="25"/>
      <c r="X5994" s="25"/>
      <c r="Y5994" s="25"/>
      <c r="Z5994" s="25"/>
      <c r="AA5994" s="25"/>
    </row>
    <row r="5995" spans="1:27" x14ac:dyDescent="0.35">
      <c r="A5995" s="5">
        <v>5991</v>
      </c>
      <c r="B5995" s="5">
        <v>250</v>
      </c>
      <c r="C5995" s="5">
        <v>9</v>
      </c>
      <c r="D5995" s="25">
        <v>1.1416E-4</v>
      </c>
      <c r="E5995" s="25">
        <v>1.1356E-4</v>
      </c>
      <c r="F5995" s="25">
        <v>1.2993999999999999E-4</v>
      </c>
      <c r="G5995" s="25">
        <v>1.5941999999999999E-4</v>
      </c>
      <c r="H5995" s="25">
        <v>1.9673999999999999E-4</v>
      </c>
      <c r="I5995" s="9">
        <v>1.2564999999999999E-4</v>
      </c>
      <c r="J5995" s="9">
        <v>1.327E-4</v>
      </c>
      <c r="K5995" s="9">
        <v>0</v>
      </c>
      <c r="L5995" s="9">
        <v>1.7547999999999999E-4</v>
      </c>
      <c r="M5995" s="9">
        <v>1.6822000000000001E-4</v>
      </c>
      <c r="N5995" s="9">
        <v>1.6956999999999999E-4</v>
      </c>
      <c r="O5995" s="9">
        <v>1.8221000000000001E-4</v>
      </c>
      <c r="P5995" s="9">
        <v>1.6634000000000001E-4</v>
      </c>
      <c r="Q5995" s="9">
        <v>1.5171999999999999E-4</v>
      </c>
      <c r="R5995" s="10">
        <v>7.8810671283688466E-5</v>
      </c>
      <c r="S5995" s="10">
        <v>1.5223291295221153E-4</v>
      </c>
      <c r="T5995" s="10">
        <v>7.7571948958353039E-5</v>
      </c>
      <c r="U5995" s="10">
        <v>6.6909999999999995E-5</v>
      </c>
      <c r="V5995" s="25"/>
      <c r="W5995" s="25"/>
      <c r="X5995" s="25"/>
      <c r="Y5995" s="25"/>
      <c r="Z5995" s="25"/>
      <c r="AA5995" s="25"/>
    </row>
    <row r="5996" spans="1:27" x14ac:dyDescent="0.35">
      <c r="A5996" s="5">
        <v>5992</v>
      </c>
      <c r="B5996" s="5">
        <v>250</v>
      </c>
      <c r="C5996" s="5">
        <v>9</v>
      </c>
      <c r="D5996" s="25">
        <v>1.1415000000000001E-4</v>
      </c>
      <c r="E5996" s="25">
        <v>1.1075E-4</v>
      </c>
      <c r="F5996" s="25">
        <v>1.2883999999999999E-4</v>
      </c>
      <c r="G5996" s="25">
        <v>1.6493000000000001E-4</v>
      </c>
      <c r="H5996" s="25">
        <v>1.9220000000000001E-4</v>
      </c>
      <c r="I5996" s="9">
        <v>1.2554999999999999E-4</v>
      </c>
      <c r="J5996" s="9">
        <v>1.3315000000000001E-4</v>
      </c>
      <c r="K5996" s="9">
        <v>0</v>
      </c>
      <c r="L5996" s="9">
        <v>1.8038E-4</v>
      </c>
      <c r="M5996" s="9">
        <v>1.6744000000000001E-4</v>
      </c>
      <c r="N5996" s="9">
        <v>1.6563999999999999E-4</v>
      </c>
      <c r="O5996" s="9">
        <v>1.9760000000000001E-4</v>
      </c>
      <c r="P5996" s="9">
        <v>1.5296E-4</v>
      </c>
      <c r="Q5996" s="9">
        <v>1.1012E-4</v>
      </c>
      <c r="R5996" s="10">
        <v>8.7012699279612473E-5</v>
      </c>
      <c r="S5996" s="10">
        <v>1.5540578841960562E-4</v>
      </c>
      <c r="T5996" s="10">
        <v>1.4051696583706038E-4</v>
      </c>
      <c r="U5996" s="10">
        <v>6.6909999999999995E-5</v>
      </c>
      <c r="V5996" s="25"/>
      <c r="W5996" s="25"/>
      <c r="X5996" s="25"/>
      <c r="Y5996" s="25"/>
      <c r="Z5996" s="25"/>
      <c r="AA5996" s="25"/>
    </row>
    <row r="5997" spans="1:27" x14ac:dyDescent="0.35">
      <c r="A5997" s="5">
        <v>5993</v>
      </c>
      <c r="B5997" s="5">
        <v>250</v>
      </c>
      <c r="C5997" s="5">
        <v>9</v>
      </c>
      <c r="D5997" s="25">
        <v>1.1416E-4</v>
      </c>
      <c r="E5997" s="25">
        <v>1.1478E-4</v>
      </c>
      <c r="F5997" s="25">
        <v>1.4038000000000001E-4</v>
      </c>
      <c r="G5997" s="25">
        <v>1.6555000000000001E-4</v>
      </c>
      <c r="H5997" s="25">
        <v>1.8971E-4</v>
      </c>
      <c r="I5997" s="9">
        <v>1.2716E-4</v>
      </c>
      <c r="J5997" s="9">
        <v>1.3347000000000001E-4</v>
      </c>
      <c r="K5997" s="9">
        <v>0</v>
      </c>
      <c r="L5997" s="9">
        <v>1.9362000000000001E-4</v>
      </c>
      <c r="M5997" s="9">
        <v>1.6210000000000001E-4</v>
      </c>
      <c r="N5997" s="9">
        <v>1.5215000000000001E-4</v>
      </c>
      <c r="O5997" s="9">
        <v>2.1143999999999999E-4</v>
      </c>
      <c r="P5997" s="9">
        <v>1.5776000000000001E-4</v>
      </c>
      <c r="Q5997" s="9">
        <v>1.0611E-4</v>
      </c>
      <c r="R5997" s="10">
        <v>9.6306816675511569E-5</v>
      </c>
      <c r="S5997" s="10">
        <v>1.6194586842154356E-4</v>
      </c>
      <c r="T5997" s="10">
        <v>1.0167584341210793E-4</v>
      </c>
      <c r="U5997" s="10">
        <v>6.6909999999999995E-5</v>
      </c>
      <c r="V5997" s="25"/>
      <c r="W5997" s="25"/>
      <c r="X5997" s="25"/>
      <c r="Y5997" s="25"/>
      <c r="Z5997" s="25"/>
      <c r="AA5997" s="25"/>
    </row>
    <row r="5998" spans="1:27" x14ac:dyDescent="0.35">
      <c r="A5998" s="5">
        <v>5994</v>
      </c>
      <c r="B5998" s="5">
        <v>250</v>
      </c>
      <c r="C5998" s="5">
        <v>9</v>
      </c>
      <c r="D5998" s="25">
        <v>1.1415000000000001E-4</v>
      </c>
      <c r="E5998" s="25">
        <v>1.1221E-4</v>
      </c>
      <c r="F5998" s="25">
        <v>1.2375999999999999E-4</v>
      </c>
      <c r="G5998" s="25">
        <v>1.6652E-4</v>
      </c>
      <c r="H5998" s="25">
        <v>1.9228E-4</v>
      </c>
      <c r="I5998" s="9">
        <v>1.2604000000000001E-4</v>
      </c>
      <c r="J5998" s="9">
        <v>1.2839000000000001E-4</v>
      </c>
      <c r="K5998" s="9">
        <v>0</v>
      </c>
      <c r="L5998" s="9">
        <v>2.0725E-4</v>
      </c>
      <c r="M5998" s="9">
        <v>1.5906000000000001E-4</v>
      </c>
      <c r="N5998" s="9">
        <v>1.3871000000000001E-4</v>
      </c>
      <c r="O5998" s="9">
        <v>2.0666E-4</v>
      </c>
      <c r="P5998" s="9">
        <v>1.6171999999999999E-4</v>
      </c>
      <c r="Q5998" s="9">
        <v>1.1865E-4</v>
      </c>
      <c r="R5998" s="10">
        <v>9.4747425049914285E-5</v>
      </c>
      <c r="S5998" s="10">
        <v>1.6468415490795093E-4</v>
      </c>
      <c r="T5998" s="10">
        <v>4.111491465079064E-5</v>
      </c>
      <c r="U5998" s="10">
        <v>6.6909999999999995E-5</v>
      </c>
      <c r="V5998" s="25"/>
      <c r="W5998" s="25"/>
      <c r="X5998" s="25"/>
      <c r="Y5998" s="25"/>
      <c r="Z5998" s="25"/>
      <c r="AA5998" s="25"/>
    </row>
    <row r="5999" spans="1:27" x14ac:dyDescent="0.35">
      <c r="A5999" s="5">
        <v>5995</v>
      </c>
      <c r="B5999" s="5">
        <v>250</v>
      </c>
      <c r="C5999" s="5">
        <v>9</v>
      </c>
      <c r="D5999" s="25">
        <v>1.1416E-4</v>
      </c>
      <c r="E5999" s="25">
        <v>1.1889E-4</v>
      </c>
      <c r="F5999" s="25">
        <v>1.3236000000000001E-4</v>
      </c>
      <c r="G5999" s="25">
        <v>1.1493999999999999E-4</v>
      </c>
      <c r="H5999" s="25">
        <v>1.2867E-4</v>
      </c>
      <c r="I5999" s="9">
        <v>1.2237000000000001E-4</v>
      </c>
      <c r="J5999" s="9">
        <v>1.2609000000000001E-4</v>
      </c>
      <c r="K5999" s="9">
        <v>0</v>
      </c>
      <c r="L5999" s="9">
        <v>2.0642999999999999E-4</v>
      </c>
      <c r="M5999" s="9">
        <v>1.5936999999999999E-4</v>
      </c>
      <c r="N5999" s="9">
        <v>1.2996000000000001E-4</v>
      </c>
      <c r="O5999" s="9">
        <v>1.6260999999999999E-4</v>
      </c>
      <c r="P5999" s="9">
        <v>1.337E-4</v>
      </c>
      <c r="Q5999" s="9">
        <v>1.0611999999999999E-4</v>
      </c>
      <c r="R5999" s="10">
        <v>1.0455863921626771E-4</v>
      </c>
      <c r="S5999" s="10">
        <v>1.6444903894344206E-4</v>
      </c>
      <c r="T5999" s="10">
        <v>0</v>
      </c>
      <c r="U5999" s="10">
        <v>6.6909999999999995E-5</v>
      </c>
      <c r="V5999" s="25"/>
      <c r="W5999" s="25"/>
      <c r="X5999" s="25"/>
      <c r="Y5999" s="25"/>
      <c r="Z5999" s="25"/>
      <c r="AA5999" s="25"/>
    </row>
    <row r="6000" spans="1:27" x14ac:dyDescent="0.35">
      <c r="A6000" s="5">
        <v>5996</v>
      </c>
      <c r="B6000" s="5">
        <v>250</v>
      </c>
      <c r="C6000" s="5">
        <v>9</v>
      </c>
      <c r="D6000" s="25">
        <v>1.1415000000000001E-4</v>
      </c>
      <c r="E6000" s="25">
        <v>1.0992E-4</v>
      </c>
      <c r="F6000" s="25">
        <v>1.3826999999999999E-4</v>
      </c>
      <c r="G6000" s="25">
        <v>1.1485E-4</v>
      </c>
      <c r="H6000" s="25">
        <v>1.3596999999999999E-4</v>
      </c>
      <c r="I6000" s="9">
        <v>1.2279000000000001E-4</v>
      </c>
      <c r="J6000" s="9">
        <v>1.2753999999999999E-4</v>
      </c>
      <c r="K6000" s="9">
        <v>0</v>
      </c>
      <c r="L6000" s="9">
        <v>1.7236000000000001E-4</v>
      </c>
      <c r="M6000" s="9">
        <v>1.504E-4</v>
      </c>
      <c r="N6000" s="9">
        <v>1.2068E-4</v>
      </c>
      <c r="O6000" s="9">
        <v>1.2802000000000001E-4</v>
      </c>
      <c r="P6000" s="9">
        <v>1.1425999999999999E-4</v>
      </c>
      <c r="Q6000" s="9">
        <v>1.0136000000000001E-4</v>
      </c>
      <c r="R6000" s="10">
        <v>1.1126382536725148E-4</v>
      </c>
      <c r="S6000" s="10">
        <v>1.5486201658656315E-4</v>
      </c>
      <c r="T6000" s="10">
        <v>0</v>
      </c>
      <c r="U6000" s="10">
        <v>6.6909999999999995E-5</v>
      </c>
      <c r="V6000" s="25"/>
      <c r="W6000" s="25"/>
      <c r="X6000" s="25"/>
      <c r="Y6000" s="25"/>
      <c r="Z6000" s="25"/>
      <c r="AA6000" s="25"/>
    </row>
    <row r="6001" spans="1:27" x14ac:dyDescent="0.35">
      <c r="A6001" s="5">
        <v>5997</v>
      </c>
      <c r="B6001" s="5">
        <v>250</v>
      </c>
      <c r="C6001" s="5">
        <v>9</v>
      </c>
      <c r="D6001" s="25">
        <v>1.1416E-4</v>
      </c>
      <c r="E6001" s="25">
        <v>1.1288E-4</v>
      </c>
      <c r="F6001" s="25">
        <v>1.3689E-4</v>
      </c>
      <c r="G6001" s="25">
        <v>5.397E-5</v>
      </c>
      <c r="H6001" s="25">
        <v>7.1459999999999997E-5</v>
      </c>
      <c r="I6001" s="9">
        <v>1.2093E-4</v>
      </c>
      <c r="J6001" s="9">
        <v>1.2475999999999999E-4</v>
      </c>
      <c r="K6001" s="9">
        <v>4.2400000000000001E-6</v>
      </c>
      <c r="L6001" s="9">
        <v>1.3881000000000001E-4</v>
      </c>
      <c r="M6001" s="9">
        <v>1.3485999999999999E-4</v>
      </c>
      <c r="N6001" s="9">
        <v>1.1294E-4</v>
      </c>
      <c r="O6001" s="9">
        <v>8.5130000000000007E-5</v>
      </c>
      <c r="P6001" s="9">
        <v>8.6819999999999999E-5</v>
      </c>
      <c r="Q6001" s="9">
        <v>8.8830000000000002E-5</v>
      </c>
      <c r="R6001" s="10">
        <v>1.134292829509344E-4</v>
      </c>
      <c r="S6001" s="10">
        <v>1.4875977936395154E-4</v>
      </c>
      <c r="T6001" s="10">
        <v>0</v>
      </c>
      <c r="U6001" s="10">
        <v>6.6909999999999995E-5</v>
      </c>
      <c r="V6001" s="25"/>
      <c r="W6001" s="25"/>
      <c r="X6001" s="25"/>
      <c r="Y6001" s="25"/>
      <c r="Z6001" s="25"/>
      <c r="AA6001" s="25"/>
    </row>
    <row r="6002" spans="1:27" x14ac:dyDescent="0.35">
      <c r="A6002" s="5">
        <v>5998</v>
      </c>
      <c r="B6002" s="5">
        <v>250</v>
      </c>
      <c r="C6002" s="5">
        <v>9</v>
      </c>
      <c r="D6002" s="25">
        <v>1.1415000000000001E-4</v>
      </c>
      <c r="E6002" s="25">
        <v>1.1468000000000001E-4</v>
      </c>
      <c r="F6002" s="25">
        <v>1.2956E-4</v>
      </c>
      <c r="G6002" s="25">
        <v>6.3059999999999996E-5</v>
      </c>
      <c r="H6002" s="25">
        <v>6.4319999999999994E-5</v>
      </c>
      <c r="I6002" s="9">
        <v>1.1654000000000001E-4</v>
      </c>
      <c r="J6002" s="9">
        <v>1.1697999999999999E-4</v>
      </c>
      <c r="K6002" s="9">
        <v>1.06E-5</v>
      </c>
      <c r="L6002" s="9">
        <v>9.7869999999999996E-5</v>
      </c>
      <c r="M6002" s="9">
        <v>1.1356E-4</v>
      </c>
      <c r="N6002" s="9">
        <v>1.0548E-4</v>
      </c>
      <c r="O6002" s="9">
        <v>8.7219999999999995E-5</v>
      </c>
      <c r="P6002" s="9">
        <v>8.7509999999999994E-5</v>
      </c>
      <c r="Q6002" s="9">
        <v>8.8150000000000001E-5</v>
      </c>
      <c r="R6002" s="10">
        <v>1.1216674174425395E-4</v>
      </c>
      <c r="S6002" s="10">
        <v>1.3852681536582212E-4</v>
      </c>
      <c r="T6002" s="10">
        <v>0</v>
      </c>
      <c r="U6002" s="10">
        <v>6.6909999999999995E-5</v>
      </c>
      <c r="V6002" s="25"/>
      <c r="W6002" s="25"/>
      <c r="X6002" s="25"/>
      <c r="Y6002" s="25"/>
      <c r="Z6002" s="25"/>
      <c r="AA6002" s="25"/>
    </row>
    <row r="6003" spans="1:27" x14ac:dyDescent="0.35">
      <c r="A6003" s="5">
        <v>5999</v>
      </c>
      <c r="B6003" s="5">
        <v>250</v>
      </c>
      <c r="C6003" s="5">
        <v>9</v>
      </c>
      <c r="D6003" s="25">
        <v>1.1416E-4</v>
      </c>
      <c r="E6003" s="25">
        <v>1.1595999999999999E-4</v>
      </c>
      <c r="F6003" s="25">
        <v>1.3825E-4</v>
      </c>
      <c r="G6003" s="25">
        <v>5.435E-5</v>
      </c>
      <c r="H6003" s="25">
        <v>7.5080000000000006E-5</v>
      </c>
      <c r="I6003" s="9">
        <v>1.0995E-4</v>
      </c>
      <c r="J6003" s="9">
        <v>1.1001E-4</v>
      </c>
      <c r="K6003" s="9">
        <v>2.3309999999999999E-5</v>
      </c>
      <c r="L6003" s="9">
        <v>9.0459999999999998E-5</v>
      </c>
      <c r="M6003" s="9">
        <v>9.8989999999999999E-5</v>
      </c>
      <c r="N6003" s="9">
        <v>9.9710000000000006E-5</v>
      </c>
      <c r="O6003" s="9">
        <v>7.7230000000000004E-5</v>
      </c>
      <c r="P6003" s="9">
        <v>7.1630000000000004E-5</v>
      </c>
      <c r="Q6003" s="9">
        <v>6.6409999999999996E-5</v>
      </c>
      <c r="R6003" s="10">
        <v>1.0973922146021098E-4</v>
      </c>
      <c r="S6003" s="10">
        <v>1.2574566299975034E-4</v>
      </c>
      <c r="T6003" s="10">
        <v>0</v>
      </c>
      <c r="U6003" s="10">
        <v>6.6909999999999995E-5</v>
      </c>
      <c r="V6003" s="25"/>
      <c r="W6003" s="25"/>
      <c r="X6003" s="25"/>
      <c r="Y6003" s="25"/>
      <c r="Z6003" s="25"/>
      <c r="AA6003" s="25"/>
    </row>
    <row r="6004" spans="1:27" x14ac:dyDescent="0.35">
      <c r="A6004" s="5">
        <v>6000</v>
      </c>
      <c r="B6004" s="5">
        <v>250</v>
      </c>
      <c r="C6004" s="5">
        <v>9</v>
      </c>
      <c r="D6004" s="25">
        <v>1.1415000000000001E-4</v>
      </c>
      <c r="E6004" s="25">
        <v>1.1704E-4</v>
      </c>
      <c r="F6004" s="25">
        <v>1.4292999999999999E-4</v>
      </c>
      <c r="G6004" s="25">
        <v>5.4089999999999999E-5</v>
      </c>
      <c r="H6004" s="25">
        <v>7.5640000000000001E-5</v>
      </c>
      <c r="I6004" s="9">
        <v>1.0342E-4</v>
      </c>
      <c r="J6004" s="9">
        <v>1.0197E-4</v>
      </c>
      <c r="K6004" s="9">
        <v>0</v>
      </c>
      <c r="L6004" s="9">
        <v>8.0140000000000002E-5</v>
      </c>
      <c r="M6004" s="9">
        <v>8.5929999999999999E-5</v>
      </c>
      <c r="N6004" s="9">
        <v>9.0359999999999995E-5</v>
      </c>
      <c r="O6004" s="9">
        <v>6.2340000000000003E-5</v>
      </c>
      <c r="P6004" s="9">
        <v>6.0300000000000002E-5</v>
      </c>
      <c r="Q6004" s="9">
        <v>5.8489999999999997E-5</v>
      </c>
      <c r="R6004" s="10">
        <v>8.828597436595863E-5</v>
      </c>
      <c r="S6004" s="10">
        <v>1.1595933527840578E-4</v>
      </c>
      <c r="T6004" s="10">
        <v>0</v>
      </c>
      <c r="U6004" s="10">
        <v>6.6909999999999995E-5</v>
      </c>
      <c r="V6004" s="25"/>
      <c r="W6004" s="25"/>
      <c r="X6004" s="25"/>
      <c r="Y6004" s="25"/>
      <c r="Z6004" s="25"/>
      <c r="AA6004" s="25"/>
    </row>
    <row r="6005" spans="1:27" x14ac:dyDescent="0.35">
      <c r="A6005" s="5">
        <v>6001</v>
      </c>
      <c r="B6005" s="5">
        <v>251</v>
      </c>
      <c r="C6005" s="5">
        <v>9</v>
      </c>
      <c r="D6005" s="25">
        <v>1.1416E-4</v>
      </c>
      <c r="E6005" s="25">
        <v>1.1817E-4</v>
      </c>
      <c r="F6005" s="25">
        <v>1.2619000000000001E-4</v>
      </c>
      <c r="G6005" s="25">
        <v>6.1240000000000003E-5</v>
      </c>
      <c r="H6005" s="25">
        <v>3.9879999999999998E-5</v>
      </c>
      <c r="I6005" s="9">
        <v>9.946E-5</v>
      </c>
      <c r="J6005" s="9">
        <v>9.6810000000000003E-5</v>
      </c>
      <c r="K6005" s="9">
        <v>1.9069999999999999E-5</v>
      </c>
      <c r="L6005" s="9">
        <v>6.6270000000000001E-5</v>
      </c>
      <c r="M6005" s="9">
        <v>7.3679999999999999E-5</v>
      </c>
      <c r="N6005" s="9">
        <v>8.0929999999999999E-5</v>
      </c>
      <c r="O6005" s="9">
        <v>6.8369999999999998E-5</v>
      </c>
      <c r="P6005" s="9">
        <v>6.088E-5</v>
      </c>
      <c r="Q6005" s="9">
        <v>5.3690000000000003E-5</v>
      </c>
      <c r="R6005" s="10">
        <v>9.0332255587707508E-5</v>
      </c>
      <c r="S6005" s="10">
        <v>9.9858282718702661E-5</v>
      </c>
      <c r="T6005" s="10">
        <v>0</v>
      </c>
      <c r="U6005" s="10">
        <v>6.9599999999999998E-5</v>
      </c>
      <c r="V6005" s="25"/>
      <c r="W6005" s="25"/>
      <c r="X6005" s="25"/>
      <c r="Y6005" s="25"/>
      <c r="Z6005" s="25"/>
      <c r="AA6005" s="25"/>
    </row>
    <row r="6006" spans="1:27" x14ac:dyDescent="0.35">
      <c r="A6006" s="5">
        <v>6002</v>
      </c>
      <c r="B6006" s="5">
        <v>251</v>
      </c>
      <c r="C6006" s="5">
        <v>9</v>
      </c>
      <c r="D6006" s="25">
        <v>1.1415000000000001E-4</v>
      </c>
      <c r="E6006" s="25">
        <v>1.2343E-4</v>
      </c>
      <c r="F6006" s="25">
        <v>1.2256999999999999E-4</v>
      </c>
      <c r="G6006" s="25">
        <v>5.9320000000000001E-5</v>
      </c>
      <c r="H6006" s="25">
        <v>3.8500000000000001E-5</v>
      </c>
      <c r="I6006" s="9">
        <v>9.6269999999999998E-5</v>
      </c>
      <c r="J6006" s="9">
        <v>9.4530000000000005E-5</v>
      </c>
      <c r="K6006" s="9">
        <v>2.9669999999999999E-5</v>
      </c>
      <c r="L6006" s="9">
        <v>6.8289999999999998E-5</v>
      </c>
      <c r="M6006" s="9">
        <v>6.6169999999999998E-5</v>
      </c>
      <c r="N6006" s="9">
        <v>7.1929999999999997E-5</v>
      </c>
      <c r="O6006" s="9">
        <v>3.5349999999999999E-5</v>
      </c>
      <c r="P6006" s="9">
        <v>4.5899999999999998E-5</v>
      </c>
      <c r="Q6006" s="9">
        <v>5.6249999999999998E-5</v>
      </c>
      <c r="R6006" s="10">
        <v>9.8808012281231255E-5</v>
      </c>
      <c r="S6006" s="10">
        <v>8.5764437705135267E-5</v>
      </c>
      <c r="T6006" s="10">
        <v>0</v>
      </c>
      <c r="U6006" s="10">
        <v>6.9599999999999998E-5</v>
      </c>
      <c r="V6006" s="25"/>
      <c r="W6006" s="25"/>
      <c r="X6006" s="25"/>
      <c r="Y6006" s="25"/>
      <c r="Z6006" s="25"/>
      <c r="AA6006" s="25"/>
    </row>
    <row r="6007" spans="1:27" x14ac:dyDescent="0.35">
      <c r="A6007" s="5">
        <v>6003</v>
      </c>
      <c r="B6007" s="5">
        <v>251</v>
      </c>
      <c r="C6007" s="5">
        <v>9</v>
      </c>
      <c r="D6007" s="25">
        <v>1.1416E-4</v>
      </c>
      <c r="E6007" s="25">
        <v>1.1455000000000001E-4</v>
      </c>
      <c r="F6007" s="25">
        <v>1.1943E-4</v>
      </c>
      <c r="G6007" s="25">
        <v>5.5050000000000003E-5</v>
      </c>
      <c r="H6007" s="25">
        <v>3.748E-5</v>
      </c>
      <c r="I6007" s="9">
        <v>9.48E-5</v>
      </c>
      <c r="J6007" s="9">
        <v>9.3430000000000005E-5</v>
      </c>
      <c r="K6007" s="9">
        <v>3.18E-5</v>
      </c>
      <c r="L6007" s="9">
        <v>4.2490000000000001E-5</v>
      </c>
      <c r="M6007" s="9">
        <v>5.7290000000000002E-5</v>
      </c>
      <c r="N6007" s="9">
        <v>6.5400000000000004E-5</v>
      </c>
      <c r="O6007" s="9">
        <v>2.213E-5</v>
      </c>
      <c r="P6007" s="9">
        <v>4.1999999999999998E-5</v>
      </c>
      <c r="Q6007" s="9">
        <v>6.1439999999999995E-5</v>
      </c>
      <c r="R6007" s="10">
        <v>1.0204518895876647E-4</v>
      </c>
      <c r="S6007" s="10">
        <v>8.323614731739571E-5</v>
      </c>
      <c r="T6007" s="10">
        <v>0</v>
      </c>
      <c r="U6007" s="10">
        <v>6.9599999999999998E-5</v>
      </c>
      <c r="V6007" s="25"/>
      <c r="W6007" s="25"/>
      <c r="X6007" s="25"/>
      <c r="Y6007" s="25"/>
      <c r="Z6007" s="25"/>
      <c r="AA6007" s="25"/>
    </row>
    <row r="6008" spans="1:27" x14ac:dyDescent="0.35">
      <c r="A6008" s="5">
        <v>6004</v>
      </c>
      <c r="B6008" s="5">
        <v>251</v>
      </c>
      <c r="C6008" s="5">
        <v>9</v>
      </c>
      <c r="D6008" s="25">
        <v>1.1415000000000001E-4</v>
      </c>
      <c r="E6008" s="25">
        <v>1.1323E-4</v>
      </c>
      <c r="F6008" s="25">
        <v>1.2904E-4</v>
      </c>
      <c r="G6008" s="25">
        <v>5.3940000000000002E-5</v>
      </c>
      <c r="H6008" s="25">
        <v>3.773E-5</v>
      </c>
      <c r="I6008" s="9">
        <v>9.5459999999999997E-5</v>
      </c>
      <c r="J6008" s="9">
        <v>9.344E-5</v>
      </c>
      <c r="K6008" s="9">
        <v>4.6619999999999997E-5</v>
      </c>
      <c r="L6008" s="9">
        <v>2.7229999999999998E-5</v>
      </c>
      <c r="M6008" s="9">
        <v>4.9679999999999999E-5</v>
      </c>
      <c r="N6008" s="9">
        <v>6.1829999999999996E-5</v>
      </c>
      <c r="O6008" s="9">
        <v>2.1529999999999999E-5</v>
      </c>
      <c r="P6008" s="9">
        <v>5.1020000000000003E-5</v>
      </c>
      <c r="Q6008" s="9">
        <v>7.9930000000000002E-5</v>
      </c>
      <c r="R6008" s="10">
        <v>9.7474859735784445E-5</v>
      </c>
      <c r="S6008" s="10">
        <v>7.9580645649414108E-5</v>
      </c>
      <c r="T6008" s="10">
        <v>0</v>
      </c>
      <c r="U6008" s="10">
        <v>6.9599999999999998E-5</v>
      </c>
      <c r="V6008" s="25"/>
      <c r="W6008" s="25"/>
      <c r="X6008" s="25"/>
      <c r="Y6008" s="25"/>
      <c r="Z6008" s="25"/>
      <c r="AA6008" s="25"/>
    </row>
    <row r="6009" spans="1:27" x14ac:dyDescent="0.35">
      <c r="A6009" s="5">
        <v>6005</v>
      </c>
      <c r="B6009" s="5">
        <v>251</v>
      </c>
      <c r="C6009" s="5">
        <v>9</v>
      </c>
      <c r="D6009" s="25">
        <v>1.1416E-4</v>
      </c>
      <c r="E6009" s="25">
        <v>1.1724E-4</v>
      </c>
      <c r="F6009" s="25">
        <v>1.2748999999999999E-4</v>
      </c>
      <c r="G6009" s="25">
        <v>6.0250000000000001E-5</v>
      </c>
      <c r="H6009" s="25">
        <v>3.9879999999999998E-5</v>
      </c>
      <c r="I6009" s="9">
        <v>9.9510000000000001E-5</v>
      </c>
      <c r="J6009" s="9">
        <v>9.5749999999999996E-5</v>
      </c>
      <c r="K6009" s="9">
        <v>2.9669999999999999E-5</v>
      </c>
      <c r="L6009" s="9">
        <v>2.3249999999999999E-5</v>
      </c>
      <c r="M6009" s="9">
        <v>4.8340000000000001E-5</v>
      </c>
      <c r="N6009" s="9">
        <v>6.4300000000000004E-5</v>
      </c>
      <c r="O6009" s="9">
        <v>2.3430000000000001E-5</v>
      </c>
      <c r="P6009" s="9">
        <v>5.8659999999999997E-5</v>
      </c>
      <c r="Q6009" s="9">
        <v>9.323E-5</v>
      </c>
      <c r="R6009" s="10">
        <v>9.1895397548344179E-5</v>
      </c>
      <c r="S6009" s="10">
        <v>7.8242141953253027E-5</v>
      </c>
      <c r="T6009" s="10">
        <v>0</v>
      </c>
      <c r="U6009" s="10">
        <v>6.9599999999999998E-5</v>
      </c>
      <c r="V6009" s="25"/>
      <c r="W6009" s="25"/>
      <c r="X6009" s="25"/>
      <c r="Y6009" s="25"/>
      <c r="Z6009" s="25"/>
      <c r="AA6009" s="25"/>
    </row>
    <row r="6010" spans="1:27" x14ac:dyDescent="0.35">
      <c r="A6010" s="5">
        <v>6006</v>
      </c>
      <c r="B6010" s="5">
        <v>251</v>
      </c>
      <c r="C6010" s="5">
        <v>9</v>
      </c>
      <c r="D6010" s="25">
        <v>1.1415000000000001E-4</v>
      </c>
      <c r="E6010" s="25">
        <v>1.1801E-4</v>
      </c>
      <c r="F6010" s="25">
        <v>1.1824000000000001E-4</v>
      </c>
      <c r="G6010" s="25">
        <v>1.0812E-4</v>
      </c>
      <c r="H6010" s="25">
        <v>8.1030000000000002E-5</v>
      </c>
      <c r="I6010" s="9">
        <v>1.0964E-4</v>
      </c>
      <c r="J6010" s="9">
        <v>1.0524E-4</v>
      </c>
      <c r="K6010" s="9">
        <v>4.2400000000000001E-6</v>
      </c>
      <c r="L6010" s="9">
        <v>2.332E-5</v>
      </c>
      <c r="M6010" s="9">
        <v>5.2040000000000003E-5</v>
      </c>
      <c r="N6010" s="9">
        <v>7.0790000000000005E-5</v>
      </c>
      <c r="O6010" s="9">
        <v>2.9620000000000001E-5</v>
      </c>
      <c r="P6010" s="9">
        <v>6.8269999999999995E-5</v>
      </c>
      <c r="Q6010" s="9">
        <v>1.0624999999999999E-4</v>
      </c>
      <c r="R6010" s="10">
        <v>8.9449289985898863E-5</v>
      </c>
      <c r="S6010" s="10">
        <v>8.288138509743454E-5</v>
      </c>
      <c r="T6010" s="10">
        <v>0</v>
      </c>
      <c r="U6010" s="10">
        <v>6.9599999999999998E-5</v>
      </c>
      <c r="V6010" s="25"/>
      <c r="W6010" s="25"/>
      <c r="X6010" s="25"/>
      <c r="Y6010" s="25"/>
      <c r="Z6010" s="25"/>
      <c r="AA6010" s="25"/>
    </row>
    <row r="6011" spans="1:27" x14ac:dyDescent="0.35">
      <c r="A6011" s="5">
        <v>6007</v>
      </c>
      <c r="B6011" s="5">
        <v>251</v>
      </c>
      <c r="C6011" s="5">
        <v>9</v>
      </c>
      <c r="D6011" s="25">
        <v>1.1416E-4</v>
      </c>
      <c r="E6011" s="25">
        <v>1.1892000000000001E-4</v>
      </c>
      <c r="F6011" s="25">
        <v>1.2171E-4</v>
      </c>
      <c r="G6011" s="25">
        <v>1.0668E-4</v>
      </c>
      <c r="H6011" s="25">
        <v>7.7280000000000005E-5</v>
      </c>
      <c r="I6011" s="9">
        <v>1.1874E-4</v>
      </c>
      <c r="J6011" s="9">
        <v>1.1772E-4</v>
      </c>
      <c r="K6011" s="9">
        <v>0</v>
      </c>
      <c r="L6011" s="9">
        <v>2.8140000000000002E-5</v>
      </c>
      <c r="M6011" s="9">
        <v>5.8980000000000001E-5</v>
      </c>
      <c r="N6011" s="9">
        <v>8.0359999999999996E-5</v>
      </c>
      <c r="O6011" s="9">
        <v>4.587E-5</v>
      </c>
      <c r="P6011" s="9">
        <v>7.8899999999999993E-5</v>
      </c>
      <c r="Q6011" s="9">
        <v>1.1144E-4</v>
      </c>
      <c r="R6011" s="10">
        <v>8.7761466569250102E-5</v>
      </c>
      <c r="S6011" s="10">
        <v>8.7369078862753198E-5</v>
      </c>
      <c r="T6011" s="10">
        <v>5.2611140270233744E-5</v>
      </c>
      <c r="U6011" s="10">
        <v>6.9599999999999998E-5</v>
      </c>
      <c r="V6011" s="25"/>
      <c r="W6011" s="25"/>
      <c r="X6011" s="25"/>
      <c r="Y6011" s="25"/>
      <c r="Z6011" s="25"/>
      <c r="AA6011" s="25"/>
    </row>
    <row r="6012" spans="1:27" x14ac:dyDescent="0.35">
      <c r="A6012" s="5">
        <v>6008</v>
      </c>
      <c r="B6012" s="5">
        <v>251</v>
      </c>
      <c r="C6012" s="5">
        <v>9</v>
      </c>
      <c r="D6012" s="25">
        <v>1.1415000000000001E-4</v>
      </c>
      <c r="E6012" s="25">
        <v>1.2047E-4</v>
      </c>
      <c r="F6012" s="25">
        <v>1.2657E-4</v>
      </c>
      <c r="G6012" s="25">
        <v>1.5823000000000001E-4</v>
      </c>
      <c r="H6012" s="25">
        <v>1.1711E-4</v>
      </c>
      <c r="I6012" s="9">
        <v>1.2234999999999999E-4</v>
      </c>
      <c r="J6012" s="9">
        <v>1.2762E-4</v>
      </c>
      <c r="K6012" s="9">
        <v>0</v>
      </c>
      <c r="L6012" s="9">
        <v>4.1820000000000003E-5</v>
      </c>
      <c r="M6012" s="9">
        <v>6.7879999999999994E-5</v>
      </c>
      <c r="N6012" s="9">
        <v>9.0270000000000001E-5</v>
      </c>
      <c r="O6012" s="9">
        <v>6.8659999999999997E-5</v>
      </c>
      <c r="P6012" s="9">
        <v>1.0325E-4</v>
      </c>
      <c r="Q6012" s="9">
        <v>1.3747999999999999E-4</v>
      </c>
      <c r="R6012" s="10">
        <v>8.1276831914405865E-5</v>
      </c>
      <c r="S6012" s="10">
        <v>9.0363430314716696E-5</v>
      </c>
      <c r="T6012" s="10">
        <v>1.9007375834124282E-4</v>
      </c>
      <c r="U6012" s="10">
        <v>6.9599999999999998E-5</v>
      </c>
      <c r="V6012" s="25"/>
      <c r="W6012" s="25"/>
      <c r="X6012" s="25"/>
      <c r="Y6012" s="25"/>
      <c r="Z6012" s="25"/>
      <c r="AA6012" s="25"/>
    </row>
    <row r="6013" spans="1:27" x14ac:dyDescent="0.35">
      <c r="A6013" s="5">
        <v>6009</v>
      </c>
      <c r="B6013" s="5">
        <v>251</v>
      </c>
      <c r="C6013" s="5">
        <v>9</v>
      </c>
      <c r="D6013" s="25">
        <v>1.1416E-4</v>
      </c>
      <c r="E6013" s="25">
        <v>1.2142E-4</v>
      </c>
      <c r="F6013" s="25">
        <v>1.1649E-4</v>
      </c>
      <c r="G6013" s="25">
        <v>1.5954000000000001E-4</v>
      </c>
      <c r="H6013" s="25">
        <v>1.1765999999999999E-4</v>
      </c>
      <c r="I6013" s="9">
        <v>1.2668E-4</v>
      </c>
      <c r="J6013" s="9">
        <v>1.3065E-4</v>
      </c>
      <c r="K6013" s="9">
        <v>0</v>
      </c>
      <c r="L6013" s="9">
        <v>6.2379999999999996E-5</v>
      </c>
      <c r="M6013" s="9">
        <v>8.2819999999999996E-5</v>
      </c>
      <c r="N6013" s="9">
        <v>1.0425E-4</v>
      </c>
      <c r="O6013" s="9">
        <v>1.0001E-4</v>
      </c>
      <c r="P6013" s="9">
        <v>1.3875000000000001E-4</v>
      </c>
      <c r="Q6013" s="9">
        <v>1.7728000000000001E-4</v>
      </c>
      <c r="R6013" s="10">
        <v>7.3725678980330378E-5</v>
      </c>
      <c r="S6013" s="10">
        <v>9.3907610871471443E-5</v>
      </c>
      <c r="T6013" s="10">
        <v>2.8337559829476008E-4</v>
      </c>
      <c r="U6013" s="10">
        <v>6.9599999999999998E-5</v>
      </c>
      <c r="V6013" s="25"/>
      <c r="W6013" s="25"/>
      <c r="X6013" s="25"/>
      <c r="Y6013" s="25"/>
      <c r="Z6013" s="25"/>
      <c r="AA6013" s="25"/>
    </row>
    <row r="6014" spans="1:27" x14ac:dyDescent="0.35">
      <c r="A6014" s="5">
        <v>6010</v>
      </c>
      <c r="B6014" s="5">
        <v>251</v>
      </c>
      <c r="C6014" s="5">
        <v>9</v>
      </c>
      <c r="D6014" s="25">
        <v>1.1415000000000001E-4</v>
      </c>
      <c r="E6014" s="25">
        <v>1.1542E-4</v>
      </c>
      <c r="F6014" s="25">
        <v>1.1299E-4</v>
      </c>
      <c r="G6014" s="25">
        <v>1.6380999999999999E-4</v>
      </c>
      <c r="H6014" s="25">
        <v>1.1334E-4</v>
      </c>
      <c r="I6014" s="9">
        <v>1.2872E-4</v>
      </c>
      <c r="J6014" s="9">
        <v>1.3104999999999999E-4</v>
      </c>
      <c r="K6014" s="9">
        <v>0</v>
      </c>
      <c r="L6014" s="9">
        <v>9.1189999999999999E-5</v>
      </c>
      <c r="M6014" s="9">
        <v>1.0674E-4</v>
      </c>
      <c r="N6014" s="9">
        <v>1.2443E-4</v>
      </c>
      <c r="O6014" s="9">
        <v>1.2897000000000001E-4</v>
      </c>
      <c r="P6014" s="9">
        <v>1.5579999999999999E-4</v>
      </c>
      <c r="Q6014" s="9">
        <v>1.828E-4</v>
      </c>
      <c r="R6014" s="10">
        <v>6.2123687470970601E-5</v>
      </c>
      <c r="S6014" s="10">
        <v>9.4241081143019341E-5</v>
      </c>
      <c r="T6014" s="10">
        <v>4.0719546301073994E-4</v>
      </c>
      <c r="U6014" s="10">
        <v>6.9599999999999998E-5</v>
      </c>
      <c r="V6014" s="25"/>
      <c r="W6014" s="25"/>
      <c r="X6014" s="25"/>
      <c r="Y6014" s="25"/>
      <c r="Z6014" s="25"/>
      <c r="AA6014" s="25"/>
    </row>
    <row r="6015" spans="1:27" x14ac:dyDescent="0.35">
      <c r="A6015" s="5">
        <v>6011</v>
      </c>
      <c r="B6015" s="5">
        <v>251</v>
      </c>
      <c r="C6015" s="5">
        <v>9</v>
      </c>
      <c r="D6015" s="25">
        <v>1.1416E-4</v>
      </c>
      <c r="E6015" s="25">
        <v>1.1733E-4</v>
      </c>
      <c r="F6015" s="25">
        <v>1.2991000000000001E-4</v>
      </c>
      <c r="G6015" s="25">
        <v>1.6051999999999999E-4</v>
      </c>
      <c r="H6015" s="25">
        <v>1.1540999999999999E-4</v>
      </c>
      <c r="I6015" s="9">
        <v>1.3144E-4</v>
      </c>
      <c r="J6015" s="9">
        <v>1.3142000000000001E-4</v>
      </c>
      <c r="K6015" s="9">
        <v>0</v>
      </c>
      <c r="L6015" s="9">
        <v>1.1995E-4</v>
      </c>
      <c r="M6015" s="9">
        <v>1.3044E-4</v>
      </c>
      <c r="N6015" s="9">
        <v>1.4275E-4</v>
      </c>
      <c r="O6015" s="9">
        <v>1.362E-4</v>
      </c>
      <c r="P6015" s="9">
        <v>1.5733000000000001E-4</v>
      </c>
      <c r="Q6015" s="9">
        <v>1.7877E-4</v>
      </c>
      <c r="R6015" s="10">
        <v>5.8368379033165227E-5</v>
      </c>
      <c r="S6015" s="10">
        <v>9.1798162327978429E-5</v>
      </c>
      <c r="T6015" s="10">
        <v>1.3252475584922608E-4</v>
      </c>
      <c r="U6015" s="10">
        <v>6.9599999999999998E-5</v>
      </c>
      <c r="V6015" s="25"/>
      <c r="W6015" s="25"/>
      <c r="X6015" s="25"/>
      <c r="Y6015" s="25"/>
      <c r="Z6015" s="25"/>
      <c r="AA6015" s="25"/>
    </row>
    <row r="6016" spans="1:27" x14ac:dyDescent="0.35">
      <c r="A6016" s="5">
        <v>6012</v>
      </c>
      <c r="B6016" s="5">
        <v>251</v>
      </c>
      <c r="C6016" s="5">
        <v>9</v>
      </c>
      <c r="D6016" s="25">
        <v>1.1415000000000001E-4</v>
      </c>
      <c r="E6016" s="25">
        <v>1.1668E-4</v>
      </c>
      <c r="F6016" s="25">
        <v>1.2695999999999999E-4</v>
      </c>
      <c r="G6016" s="25">
        <v>1.5899999999999999E-4</v>
      </c>
      <c r="H6016" s="25">
        <v>1.1533E-4</v>
      </c>
      <c r="I6016" s="9">
        <v>1.2823000000000001E-4</v>
      </c>
      <c r="J6016" s="9">
        <v>1.2981000000000001E-4</v>
      </c>
      <c r="K6016" s="9">
        <v>0</v>
      </c>
      <c r="L6016" s="9">
        <v>1.3195000000000001E-4</v>
      </c>
      <c r="M6016" s="9">
        <v>1.4572000000000001E-4</v>
      </c>
      <c r="N6016" s="9">
        <v>1.5673999999999999E-4</v>
      </c>
      <c r="O6016" s="9">
        <v>1.3899E-4</v>
      </c>
      <c r="P6016" s="9">
        <v>1.5692000000000001E-4</v>
      </c>
      <c r="Q6016" s="9">
        <v>1.7522999999999999E-4</v>
      </c>
      <c r="R6016" s="10">
        <v>1.73231045004792E-5</v>
      </c>
      <c r="S6016" s="10">
        <v>7.6806008454769853E-5</v>
      </c>
      <c r="T6016" s="10">
        <v>2.5094012187916519E-4</v>
      </c>
      <c r="U6016" s="10">
        <v>6.9599999999999998E-5</v>
      </c>
      <c r="V6016" s="25"/>
      <c r="W6016" s="25"/>
      <c r="X6016" s="25"/>
      <c r="Y6016" s="25"/>
      <c r="Z6016" s="25"/>
      <c r="AA6016" s="25"/>
    </row>
    <row r="6017" spans="1:27" x14ac:dyDescent="0.35">
      <c r="A6017" s="5">
        <v>6013</v>
      </c>
      <c r="B6017" s="5">
        <v>251</v>
      </c>
      <c r="C6017" s="5">
        <v>9</v>
      </c>
      <c r="D6017" s="25">
        <v>1.1416E-4</v>
      </c>
      <c r="E6017" s="25">
        <v>1.2057000000000001E-4</v>
      </c>
      <c r="F6017" s="25">
        <v>1.2199E-4</v>
      </c>
      <c r="G6017" s="25">
        <v>1.5856E-4</v>
      </c>
      <c r="H6017" s="25">
        <v>1.132E-4</v>
      </c>
      <c r="I6017" s="9">
        <v>1.2867E-4</v>
      </c>
      <c r="J6017" s="9">
        <v>1.3062999999999999E-4</v>
      </c>
      <c r="K6017" s="9">
        <v>0</v>
      </c>
      <c r="L6017" s="9">
        <v>1.3729000000000001E-4</v>
      </c>
      <c r="M6017" s="9">
        <v>1.5300000000000001E-4</v>
      </c>
      <c r="N6017" s="9">
        <v>1.6648999999999999E-4</v>
      </c>
      <c r="O6017" s="9">
        <v>1.3034E-4</v>
      </c>
      <c r="P6017" s="9">
        <v>1.4902000000000001E-4</v>
      </c>
      <c r="Q6017" s="9">
        <v>1.6801000000000001E-4</v>
      </c>
      <c r="R6017" s="10">
        <v>1.9094401311970119E-5</v>
      </c>
      <c r="S6017" s="10">
        <v>7.2427389944974344E-5</v>
      </c>
      <c r="T6017" s="10">
        <v>2.4656222341449169E-4</v>
      </c>
      <c r="U6017" s="10">
        <v>6.9599999999999998E-5</v>
      </c>
      <c r="V6017" s="25"/>
      <c r="W6017" s="25"/>
      <c r="X6017" s="25"/>
      <c r="Y6017" s="25"/>
      <c r="Z6017" s="25"/>
      <c r="AA6017" s="25"/>
    </row>
    <row r="6018" spans="1:27" x14ac:dyDescent="0.35">
      <c r="A6018" s="5">
        <v>6014</v>
      </c>
      <c r="B6018" s="5">
        <v>251</v>
      </c>
      <c r="C6018" s="5">
        <v>9</v>
      </c>
      <c r="D6018" s="25">
        <v>1.1415000000000001E-4</v>
      </c>
      <c r="E6018" s="25">
        <v>1.2148E-4</v>
      </c>
      <c r="F6018" s="25">
        <v>1.2391999999999999E-4</v>
      </c>
      <c r="G6018" s="25">
        <v>1.627E-4</v>
      </c>
      <c r="H6018" s="25">
        <v>1.1381E-4</v>
      </c>
      <c r="I6018" s="9">
        <v>1.2772E-4</v>
      </c>
      <c r="J6018" s="9">
        <v>1.3044E-4</v>
      </c>
      <c r="K6018" s="9">
        <v>0</v>
      </c>
      <c r="L6018" s="9">
        <v>1.3190000000000001E-4</v>
      </c>
      <c r="M6018" s="9">
        <v>1.5297999999999999E-4</v>
      </c>
      <c r="N6018" s="9">
        <v>1.7090000000000001E-4</v>
      </c>
      <c r="O6018" s="9">
        <v>1.1201000000000001E-4</v>
      </c>
      <c r="P6018" s="9">
        <v>1.3606999999999999E-4</v>
      </c>
      <c r="Q6018" s="9">
        <v>1.6024E-4</v>
      </c>
      <c r="R6018" s="10">
        <v>2.1820280017383383E-5</v>
      </c>
      <c r="S6018" s="10">
        <v>5.9416078373816065E-5</v>
      </c>
      <c r="T6018" s="10">
        <v>1.5185198976885078E-4</v>
      </c>
      <c r="U6018" s="10">
        <v>6.9599999999999998E-5</v>
      </c>
      <c r="V6018" s="25"/>
      <c r="W6018" s="25"/>
      <c r="X6018" s="25"/>
      <c r="Y6018" s="25"/>
      <c r="Z6018" s="25"/>
      <c r="AA6018" s="25"/>
    </row>
    <row r="6019" spans="1:27" x14ac:dyDescent="0.35">
      <c r="A6019" s="5">
        <v>6015</v>
      </c>
      <c r="B6019" s="5">
        <v>251</v>
      </c>
      <c r="C6019" s="5">
        <v>9</v>
      </c>
      <c r="D6019" s="25">
        <v>1.1416E-4</v>
      </c>
      <c r="E6019" s="25">
        <v>1.131E-4</v>
      </c>
      <c r="F6019" s="25">
        <v>1.1501E-4</v>
      </c>
      <c r="G6019" s="25">
        <v>1.6196E-4</v>
      </c>
      <c r="H6019" s="25">
        <v>1.1427E-4</v>
      </c>
      <c r="I6019" s="9">
        <v>1.2766000000000001E-4</v>
      </c>
      <c r="J6019" s="9">
        <v>1.3029E-4</v>
      </c>
      <c r="K6019" s="9">
        <v>0</v>
      </c>
      <c r="L6019" s="9">
        <v>1.1658999999999999E-4</v>
      </c>
      <c r="M6019" s="9">
        <v>1.4663E-4</v>
      </c>
      <c r="N6019" s="9">
        <v>1.7024E-4</v>
      </c>
      <c r="O6019" s="9">
        <v>1.2685999999999999E-4</v>
      </c>
      <c r="P6019" s="9">
        <v>1.3941999999999999E-4</v>
      </c>
      <c r="Q6019" s="9">
        <v>1.5234999999999999E-4</v>
      </c>
      <c r="R6019" s="10">
        <v>2.3418312479615945E-5</v>
      </c>
      <c r="S6019" s="10">
        <v>4.8402241566007684E-5</v>
      </c>
      <c r="T6019" s="10">
        <v>1.4639658528670913E-4</v>
      </c>
      <c r="U6019" s="10">
        <v>6.9599999999999998E-5</v>
      </c>
      <c r="V6019" s="25"/>
      <c r="W6019" s="25"/>
      <c r="X6019" s="25"/>
      <c r="Y6019" s="25"/>
      <c r="Z6019" s="25"/>
      <c r="AA6019" s="25"/>
    </row>
    <row r="6020" spans="1:27" x14ac:dyDescent="0.35">
      <c r="A6020" s="5">
        <v>6016</v>
      </c>
      <c r="B6020" s="5">
        <v>251</v>
      </c>
      <c r="C6020" s="5">
        <v>9</v>
      </c>
      <c r="D6020" s="25">
        <v>1.1415000000000001E-4</v>
      </c>
      <c r="E6020" s="25">
        <v>1.1785E-4</v>
      </c>
      <c r="F6020" s="25">
        <v>1.2625000000000001E-4</v>
      </c>
      <c r="G6020" s="25">
        <v>1.5777E-4</v>
      </c>
      <c r="H6020" s="25">
        <v>1.1722000000000001E-4</v>
      </c>
      <c r="I6020" s="9">
        <v>1.2655000000000001E-4</v>
      </c>
      <c r="J6020" s="9">
        <v>1.3096000000000001E-4</v>
      </c>
      <c r="K6020" s="9">
        <v>0</v>
      </c>
      <c r="L6020" s="9">
        <v>1.2505E-4</v>
      </c>
      <c r="M6020" s="9">
        <v>1.4223999999999999E-4</v>
      </c>
      <c r="N6020" s="9">
        <v>1.6624000000000001E-4</v>
      </c>
      <c r="O6020" s="9">
        <v>1.3336000000000001E-4</v>
      </c>
      <c r="P6020" s="9">
        <v>1.2093E-4</v>
      </c>
      <c r="Q6020" s="9">
        <v>1.0931E-4</v>
      </c>
      <c r="R6020" s="10">
        <v>2.2598937484890258E-5</v>
      </c>
      <c r="S6020" s="10">
        <v>4.2065401003164279E-5</v>
      </c>
      <c r="T6020" s="10">
        <v>1.3636814345484066E-4</v>
      </c>
      <c r="U6020" s="10">
        <v>6.9599999999999998E-5</v>
      </c>
      <c r="V6020" s="25"/>
      <c r="W6020" s="25"/>
      <c r="X6020" s="25"/>
      <c r="Y6020" s="25"/>
      <c r="Z6020" s="25"/>
      <c r="AA6020" s="25"/>
    </row>
    <row r="6021" spans="1:27" x14ac:dyDescent="0.35">
      <c r="A6021" s="5">
        <v>6017</v>
      </c>
      <c r="B6021" s="5">
        <v>251</v>
      </c>
      <c r="C6021" s="5">
        <v>9</v>
      </c>
      <c r="D6021" s="25">
        <v>1.1416E-4</v>
      </c>
      <c r="E6021" s="25">
        <v>1.1949E-4</v>
      </c>
      <c r="F6021" s="25">
        <v>1.2725E-4</v>
      </c>
      <c r="G6021" s="25">
        <v>1.6658999999999999E-4</v>
      </c>
      <c r="H6021" s="25">
        <v>1.1947000000000001E-4</v>
      </c>
      <c r="I6021" s="9">
        <v>1.2562000000000001E-4</v>
      </c>
      <c r="J6021" s="9">
        <v>1.3222E-4</v>
      </c>
      <c r="K6021" s="9">
        <v>0</v>
      </c>
      <c r="L6021" s="9">
        <v>1.3125999999999999E-4</v>
      </c>
      <c r="M6021" s="9">
        <v>1.3359999999999999E-4</v>
      </c>
      <c r="N6021" s="9">
        <v>1.5238E-4</v>
      </c>
      <c r="O6021" s="9">
        <v>1.3986000000000001E-4</v>
      </c>
      <c r="P6021" s="9">
        <v>1.2297999999999999E-4</v>
      </c>
      <c r="Q6021" s="9">
        <v>1.0703E-4</v>
      </c>
      <c r="R6021" s="10">
        <v>2.3035947873290314E-5</v>
      </c>
      <c r="S6021" s="10">
        <v>3.89417853345685E-5</v>
      </c>
      <c r="T6021" s="10">
        <v>1.0172674920820879E-4</v>
      </c>
      <c r="U6021" s="10">
        <v>6.9599999999999998E-5</v>
      </c>
      <c r="V6021" s="25"/>
      <c r="W6021" s="25"/>
      <c r="X6021" s="25"/>
      <c r="Y6021" s="25"/>
      <c r="Z6021" s="25"/>
      <c r="AA6021" s="25"/>
    </row>
    <row r="6022" spans="1:27" x14ac:dyDescent="0.35">
      <c r="A6022" s="5">
        <v>6018</v>
      </c>
      <c r="B6022" s="5">
        <v>251</v>
      </c>
      <c r="C6022" s="5">
        <v>9</v>
      </c>
      <c r="D6022" s="25">
        <v>1.1415000000000001E-4</v>
      </c>
      <c r="E6022" s="25">
        <v>1.1629E-4</v>
      </c>
      <c r="F6022" s="25">
        <v>1.2846E-4</v>
      </c>
      <c r="G6022" s="25">
        <v>1.6113E-4</v>
      </c>
      <c r="H6022" s="25">
        <v>1.1395000000000001E-4</v>
      </c>
      <c r="I6022" s="9">
        <v>1.2331000000000001E-4</v>
      </c>
      <c r="J6022" s="9">
        <v>1.2727999999999999E-4</v>
      </c>
      <c r="K6022" s="9">
        <v>0</v>
      </c>
      <c r="L6022" s="9">
        <v>1.3768E-4</v>
      </c>
      <c r="M6022" s="9">
        <v>1.2758999999999999E-4</v>
      </c>
      <c r="N6022" s="9">
        <v>1.3894999999999999E-4</v>
      </c>
      <c r="O6022" s="9">
        <v>1.4215000000000001E-4</v>
      </c>
      <c r="P6022" s="9">
        <v>1.3012000000000001E-4</v>
      </c>
      <c r="Q6022" s="9">
        <v>1.1896E-4</v>
      </c>
      <c r="R6022" s="10">
        <v>2.1498040134868536E-5</v>
      </c>
      <c r="S6022" s="10">
        <v>3.7673158551711585E-5</v>
      </c>
      <c r="T6022" s="10">
        <v>3.652490870236353E-5</v>
      </c>
      <c r="U6022" s="10">
        <v>6.9599999999999998E-5</v>
      </c>
      <c r="V6022" s="25"/>
      <c r="W6022" s="25"/>
      <c r="X6022" s="25"/>
      <c r="Y6022" s="25"/>
      <c r="Z6022" s="25"/>
      <c r="AA6022" s="25"/>
    </row>
    <row r="6023" spans="1:27" x14ac:dyDescent="0.35">
      <c r="A6023" s="5">
        <v>6019</v>
      </c>
      <c r="B6023" s="5">
        <v>251</v>
      </c>
      <c r="C6023" s="5">
        <v>9</v>
      </c>
      <c r="D6023" s="25">
        <v>1.1416E-4</v>
      </c>
      <c r="E6023" s="25">
        <v>1.1989000000000001E-4</v>
      </c>
      <c r="F6023" s="25">
        <v>1.178E-4</v>
      </c>
      <c r="G6023" s="25">
        <v>1.1314E-4</v>
      </c>
      <c r="H6023" s="25">
        <v>8.1110000000000001E-5</v>
      </c>
      <c r="I6023" s="9">
        <v>1.1904E-4</v>
      </c>
      <c r="J6023" s="9">
        <v>1.2490999999999999E-4</v>
      </c>
      <c r="K6023" s="9">
        <v>0</v>
      </c>
      <c r="L6023" s="9">
        <v>1.4106000000000001E-4</v>
      </c>
      <c r="M6023" s="9">
        <v>1.2713000000000001E-4</v>
      </c>
      <c r="N6023" s="9">
        <v>1.3014999999999999E-4</v>
      </c>
      <c r="O6023" s="9">
        <v>1.4024E-4</v>
      </c>
      <c r="P6023" s="9">
        <v>1.2279000000000001E-4</v>
      </c>
      <c r="Q6023" s="9">
        <v>1.0628000000000001E-4</v>
      </c>
      <c r="R6023" s="10">
        <v>2.3020880609966478E-5</v>
      </c>
      <c r="S6023" s="10">
        <v>3.6433796671676682E-5</v>
      </c>
      <c r="T6023" s="10">
        <v>0</v>
      </c>
      <c r="U6023" s="10">
        <v>6.9599999999999998E-5</v>
      </c>
      <c r="V6023" s="25"/>
      <c r="W6023" s="25"/>
      <c r="X6023" s="25"/>
      <c r="Y6023" s="25"/>
      <c r="Z6023" s="25"/>
      <c r="AA6023" s="25"/>
    </row>
    <row r="6024" spans="1:27" x14ac:dyDescent="0.35">
      <c r="A6024" s="5">
        <v>6020</v>
      </c>
      <c r="B6024" s="5">
        <v>251</v>
      </c>
      <c r="C6024" s="5">
        <v>9</v>
      </c>
      <c r="D6024" s="25">
        <v>1.1415000000000001E-4</v>
      </c>
      <c r="E6024" s="25">
        <v>1.2032999999999999E-4</v>
      </c>
      <c r="F6024" s="25">
        <v>1.1328E-4</v>
      </c>
      <c r="G6024" s="25">
        <v>1.1103999999999999E-4</v>
      </c>
      <c r="H6024" s="25">
        <v>8.25E-5</v>
      </c>
      <c r="I6024" s="9">
        <v>1.2016E-4</v>
      </c>
      <c r="J6024" s="9">
        <v>1.2627E-4</v>
      </c>
      <c r="K6024" s="9">
        <v>0</v>
      </c>
      <c r="L6024" s="9">
        <v>1.4037000000000001E-4</v>
      </c>
      <c r="M6024" s="9">
        <v>1.2573E-4</v>
      </c>
      <c r="N6024" s="9">
        <v>1.2087999999999999E-4</v>
      </c>
      <c r="O6024" s="9">
        <v>1.4292999999999999E-4</v>
      </c>
      <c r="P6024" s="9">
        <v>1.2162E-4</v>
      </c>
      <c r="Q6024" s="9">
        <v>1.0132999999999999E-4</v>
      </c>
      <c r="R6024" s="10">
        <v>3.3009569122360955E-5</v>
      </c>
      <c r="S6024" s="10">
        <v>3.714647436924797E-5</v>
      </c>
      <c r="T6024" s="10">
        <v>0</v>
      </c>
      <c r="U6024" s="10">
        <v>6.9599999999999998E-5</v>
      </c>
      <c r="V6024" s="25"/>
      <c r="W6024" s="25"/>
      <c r="X6024" s="25"/>
      <c r="Y6024" s="25"/>
      <c r="Z6024" s="25"/>
      <c r="AA6024" s="25"/>
    </row>
    <row r="6025" spans="1:27" x14ac:dyDescent="0.35">
      <c r="A6025" s="5">
        <v>6021</v>
      </c>
      <c r="B6025" s="5">
        <v>251</v>
      </c>
      <c r="C6025" s="5">
        <v>9</v>
      </c>
      <c r="D6025" s="25">
        <v>1.1416E-4</v>
      </c>
      <c r="E6025" s="25">
        <v>1.1195E-4</v>
      </c>
      <c r="F6025" s="25">
        <v>1.1712E-4</v>
      </c>
      <c r="G6025" s="25">
        <v>6.054E-5</v>
      </c>
      <c r="H6025" s="25">
        <v>4.3779999999999998E-5</v>
      </c>
      <c r="I6025" s="9">
        <v>1.181E-4</v>
      </c>
      <c r="J6025" s="9">
        <v>1.2519000000000001E-4</v>
      </c>
      <c r="K6025" s="9">
        <v>0</v>
      </c>
      <c r="L6025" s="9">
        <v>1.4242000000000001E-4</v>
      </c>
      <c r="M6025" s="9">
        <v>1.2389000000000001E-4</v>
      </c>
      <c r="N6025" s="9">
        <v>1.1307999999999999E-4</v>
      </c>
      <c r="O6025" s="9">
        <v>8.4469999999999996E-5</v>
      </c>
      <c r="P6025" s="9">
        <v>8.619E-5</v>
      </c>
      <c r="Q6025" s="9">
        <v>8.8189999999999994E-5</v>
      </c>
      <c r="R6025" s="10">
        <v>4.6723116963780166E-5</v>
      </c>
      <c r="S6025" s="10">
        <v>3.5891427933907134E-5</v>
      </c>
      <c r="T6025" s="10">
        <v>0</v>
      </c>
      <c r="U6025" s="10">
        <v>6.9599999999999998E-5</v>
      </c>
      <c r="V6025" s="25"/>
      <c r="W6025" s="25"/>
      <c r="X6025" s="25"/>
      <c r="Y6025" s="25"/>
      <c r="Z6025" s="25"/>
      <c r="AA6025" s="25"/>
    </row>
    <row r="6026" spans="1:27" x14ac:dyDescent="0.35">
      <c r="A6026" s="5">
        <v>6022</v>
      </c>
      <c r="B6026" s="5">
        <v>251</v>
      </c>
      <c r="C6026" s="5">
        <v>9</v>
      </c>
      <c r="D6026" s="25">
        <v>1.1415000000000001E-4</v>
      </c>
      <c r="E6026" s="25">
        <v>1.1524E-4</v>
      </c>
      <c r="F6026" s="25">
        <v>1.2008E-4</v>
      </c>
      <c r="G6026" s="25">
        <v>5.5980000000000003E-5</v>
      </c>
      <c r="H6026" s="25">
        <v>4.1350000000000002E-5</v>
      </c>
      <c r="I6026" s="9">
        <v>1.1389E-4</v>
      </c>
      <c r="J6026" s="9">
        <v>1.17E-4</v>
      </c>
      <c r="K6026" s="9">
        <v>0</v>
      </c>
      <c r="L6026" s="9">
        <v>9.7180000000000001E-5</v>
      </c>
      <c r="M6026" s="9">
        <v>1.098E-4</v>
      </c>
      <c r="N6026" s="9">
        <v>1.0548E-4</v>
      </c>
      <c r="O6026" s="9">
        <v>8.7349999999999995E-5</v>
      </c>
      <c r="P6026" s="9">
        <v>8.7689999999999996E-5</v>
      </c>
      <c r="Q6026" s="9">
        <v>8.8339999999999998E-5</v>
      </c>
      <c r="R6026" s="10">
        <v>5.5976108965413231E-5</v>
      </c>
      <c r="S6026" s="10">
        <v>3.415814196427489E-5</v>
      </c>
      <c r="T6026" s="10">
        <v>0</v>
      </c>
      <c r="U6026" s="10">
        <v>6.9599999999999998E-5</v>
      </c>
      <c r="V6026" s="25"/>
      <c r="W6026" s="25"/>
      <c r="X6026" s="25"/>
      <c r="Y6026" s="25"/>
      <c r="Z6026" s="25"/>
      <c r="AA6026" s="25"/>
    </row>
    <row r="6027" spans="1:27" x14ac:dyDescent="0.35">
      <c r="A6027" s="5">
        <v>6023</v>
      </c>
      <c r="B6027" s="5">
        <v>251</v>
      </c>
      <c r="C6027" s="5">
        <v>9</v>
      </c>
      <c r="D6027" s="25">
        <v>1.1416E-4</v>
      </c>
      <c r="E6027" s="25">
        <v>1.1715E-4</v>
      </c>
      <c r="F6027" s="25">
        <v>1.1548999999999999E-4</v>
      </c>
      <c r="G6027" s="25">
        <v>6.3419999999999999E-5</v>
      </c>
      <c r="H6027" s="25">
        <v>3.9669999999999998E-5</v>
      </c>
      <c r="I6027" s="9">
        <v>1.0826E-4</v>
      </c>
      <c r="J6027" s="9">
        <v>1.0956E-4</v>
      </c>
      <c r="K6027" s="9">
        <v>0</v>
      </c>
      <c r="L6027" s="9">
        <v>9.0749999999999997E-5</v>
      </c>
      <c r="M6027" s="9">
        <v>9.8079999999999996E-5</v>
      </c>
      <c r="N6027" s="9">
        <v>9.9710000000000006E-5</v>
      </c>
      <c r="O6027" s="9">
        <v>8.4670000000000001E-5</v>
      </c>
      <c r="P6027" s="9">
        <v>7.5599999999999994E-5</v>
      </c>
      <c r="Q6027" s="9">
        <v>6.6970000000000004E-5</v>
      </c>
      <c r="R6027" s="10">
        <v>5.0292444152204624E-5</v>
      </c>
      <c r="S6027" s="10">
        <v>3.1149474096402479E-5</v>
      </c>
      <c r="T6027" s="10">
        <v>0</v>
      </c>
      <c r="U6027" s="10">
        <v>6.9599999999999998E-5</v>
      </c>
      <c r="V6027" s="25"/>
      <c r="W6027" s="25"/>
      <c r="X6027" s="25"/>
      <c r="Y6027" s="25"/>
      <c r="Z6027" s="25"/>
      <c r="AA6027" s="25"/>
    </row>
    <row r="6028" spans="1:27" x14ac:dyDescent="0.35">
      <c r="A6028" s="5">
        <v>6024</v>
      </c>
      <c r="B6028" s="5">
        <v>251</v>
      </c>
      <c r="C6028" s="5">
        <v>9</v>
      </c>
      <c r="D6028" s="25">
        <v>1.1415000000000001E-4</v>
      </c>
      <c r="E6028" s="25">
        <v>1.2297E-4</v>
      </c>
      <c r="F6028" s="25">
        <v>1.2180000000000001E-4</v>
      </c>
      <c r="G6028" s="25">
        <v>6.109E-5</v>
      </c>
      <c r="H6028" s="25">
        <v>4.2009999999999999E-5</v>
      </c>
      <c r="I6028" s="9">
        <v>1.0208E-4</v>
      </c>
      <c r="J6028" s="9">
        <v>1.0234999999999999E-4</v>
      </c>
      <c r="K6028" s="9">
        <v>0</v>
      </c>
      <c r="L6028" s="9">
        <v>8.6230000000000006E-5</v>
      </c>
      <c r="M6028" s="9">
        <v>8.7239999999999998E-5</v>
      </c>
      <c r="N6028" s="9">
        <v>9.0450000000000003E-5</v>
      </c>
      <c r="O6028" s="9">
        <v>7.8549999999999998E-5</v>
      </c>
      <c r="P6028" s="9">
        <v>6.8289999999999998E-5</v>
      </c>
      <c r="Q6028" s="9">
        <v>5.8459999999999999E-5</v>
      </c>
      <c r="R6028" s="10">
        <v>6.0274079044321421E-5</v>
      </c>
      <c r="S6028" s="10">
        <v>2.9256145691490596E-5</v>
      </c>
      <c r="T6028" s="10">
        <v>0</v>
      </c>
      <c r="U6028" s="10">
        <v>6.9599999999999998E-5</v>
      </c>
      <c r="V6028" s="25"/>
      <c r="W6028" s="25"/>
      <c r="X6028" s="25"/>
      <c r="Y6028" s="25"/>
      <c r="Z6028" s="25"/>
      <c r="AA6028" s="25"/>
    </row>
    <row r="6029" spans="1:27" x14ac:dyDescent="0.35">
      <c r="A6029" s="5">
        <v>6025</v>
      </c>
      <c r="B6029" s="5">
        <v>252</v>
      </c>
      <c r="C6029" s="5">
        <v>9</v>
      </c>
      <c r="D6029" s="25">
        <v>1.1416E-4</v>
      </c>
      <c r="E6029" s="25">
        <v>1.1557000000000001E-4</v>
      </c>
      <c r="F6029" s="25">
        <v>1.4465999999999999E-4</v>
      </c>
      <c r="G6029" s="25">
        <v>6.003E-5</v>
      </c>
      <c r="H6029" s="25">
        <v>1.384E-5</v>
      </c>
      <c r="I6029" s="9">
        <v>9.7869999999999996E-5</v>
      </c>
      <c r="J6029" s="9">
        <v>9.7230000000000003E-5</v>
      </c>
      <c r="K6029" s="9">
        <v>0</v>
      </c>
      <c r="L6029" s="9">
        <v>8.0030000000000005E-5</v>
      </c>
      <c r="M6029" s="9">
        <v>7.7970000000000001E-5</v>
      </c>
      <c r="N6029" s="9">
        <v>8.0989999999999995E-5</v>
      </c>
      <c r="O6029" s="9">
        <v>6.7940000000000003E-5</v>
      </c>
      <c r="P6029" s="9">
        <v>6.0489999999999999E-5</v>
      </c>
      <c r="Q6029" s="9">
        <v>5.3350000000000003E-5</v>
      </c>
      <c r="R6029" s="10">
        <v>5.716943104439358E-5</v>
      </c>
      <c r="S6029" s="10">
        <v>2.4246426023296191E-5</v>
      </c>
      <c r="T6029" s="10">
        <v>0</v>
      </c>
      <c r="U6029" s="10">
        <v>6.9510000000000004E-5</v>
      </c>
      <c r="V6029" s="25"/>
      <c r="W6029" s="25"/>
      <c r="X6029" s="25"/>
      <c r="Y6029" s="25"/>
      <c r="Z6029" s="25"/>
      <c r="AA6029" s="25"/>
    </row>
    <row r="6030" spans="1:27" x14ac:dyDescent="0.35">
      <c r="A6030" s="5">
        <v>6026</v>
      </c>
      <c r="B6030" s="5">
        <v>252</v>
      </c>
      <c r="C6030" s="5">
        <v>9</v>
      </c>
      <c r="D6030" s="25">
        <v>1.1415000000000001E-4</v>
      </c>
      <c r="E6030" s="25">
        <v>1.2166E-4</v>
      </c>
      <c r="F6030" s="25">
        <v>1.2562000000000001E-4</v>
      </c>
      <c r="G6030" s="25">
        <v>5.9729999999999999E-5</v>
      </c>
      <c r="H6030" s="25">
        <v>1.345E-5</v>
      </c>
      <c r="I6030" s="9">
        <v>9.4549999999999994E-5</v>
      </c>
      <c r="J6030" s="9">
        <v>9.4909999999999998E-5</v>
      </c>
      <c r="K6030" s="9">
        <v>0</v>
      </c>
      <c r="L6030" s="9">
        <v>7.0749999999999999E-5</v>
      </c>
      <c r="M6030" s="9">
        <v>6.949E-5</v>
      </c>
      <c r="N6030" s="9">
        <v>7.1909999999999994E-5</v>
      </c>
      <c r="O6030" s="9">
        <v>3.5129999999999997E-5</v>
      </c>
      <c r="P6030" s="9">
        <v>4.562E-5</v>
      </c>
      <c r="Q6030" s="9">
        <v>5.5909999999999998E-5</v>
      </c>
      <c r="R6030" s="10">
        <v>6.2238490268252749E-5</v>
      </c>
      <c r="S6030" s="10">
        <v>1.9698108547984369E-5</v>
      </c>
      <c r="T6030" s="10">
        <v>0</v>
      </c>
      <c r="U6030" s="10">
        <v>6.9510000000000004E-5</v>
      </c>
      <c r="V6030" s="25"/>
      <c r="W6030" s="25"/>
      <c r="X6030" s="25"/>
      <c r="Y6030" s="25"/>
      <c r="Z6030" s="25"/>
      <c r="AA6030" s="25"/>
    </row>
    <row r="6031" spans="1:27" x14ac:dyDescent="0.35">
      <c r="A6031" s="5">
        <v>6027</v>
      </c>
      <c r="B6031" s="5">
        <v>252</v>
      </c>
      <c r="C6031" s="5">
        <v>9</v>
      </c>
      <c r="D6031" s="25">
        <v>1.1416E-4</v>
      </c>
      <c r="E6031" s="25">
        <v>1.2027E-4</v>
      </c>
      <c r="F6031" s="25">
        <v>1.3546000000000001E-4</v>
      </c>
      <c r="G6031" s="25">
        <v>5.9429999999999999E-5</v>
      </c>
      <c r="H6031" s="25">
        <v>1.447E-5</v>
      </c>
      <c r="I6031" s="9">
        <v>9.3460000000000003E-5</v>
      </c>
      <c r="J6031" s="9">
        <v>9.4040000000000001E-5</v>
      </c>
      <c r="K6031" s="9">
        <v>0</v>
      </c>
      <c r="L6031" s="9">
        <v>4.3220000000000003E-5</v>
      </c>
      <c r="M6031" s="9">
        <v>5.8900000000000002E-5</v>
      </c>
      <c r="N6031" s="9">
        <v>6.5320000000000005E-5</v>
      </c>
      <c r="O6031" s="9">
        <v>2.1990000000000001E-5</v>
      </c>
      <c r="P6031" s="9">
        <v>4.1739999999999997E-5</v>
      </c>
      <c r="Q6031" s="9">
        <v>6.1050000000000007E-5</v>
      </c>
      <c r="R6031" s="10">
        <v>5.5878830957427537E-5</v>
      </c>
      <c r="S6031" s="10">
        <v>1.2634374697654355E-5</v>
      </c>
      <c r="T6031" s="10">
        <v>0</v>
      </c>
      <c r="U6031" s="10">
        <v>6.9510000000000004E-5</v>
      </c>
      <c r="V6031" s="25"/>
      <c r="W6031" s="25"/>
      <c r="X6031" s="25"/>
      <c r="Y6031" s="25"/>
      <c r="Z6031" s="25"/>
      <c r="AA6031" s="25"/>
    </row>
    <row r="6032" spans="1:27" x14ac:dyDescent="0.35">
      <c r="A6032" s="5">
        <v>6028</v>
      </c>
      <c r="B6032" s="5">
        <v>252</v>
      </c>
      <c r="C6032" s="5">
        <v>9</v>
      </c>
      <c r="D6032" s="25">
        <v>1.1415000000000001E-4</v>
      </c>
      <c r="E6032" s="25">
        <v>1.1504E-4</v>
      </c>
      <c r="F6032" s="25">
        <v>1.3019E-4</v>
      </c>
      <c r="G6032" s="25">
        <v>5.215E-5</v>
      </c>
      <c r="H6032" s="25">
        <v>1.4630000000000001E-5</v>
      </c>
      <c r="I6032" s="9">
        <v>9.4270000000000004E-5</v>
      </c>
      <c r="J6032" s="9">
        <v>9.4320000000000005E-5</v>
      </c>
      <c r="K6032" s="9">
        <v>0</v>
      </c>
      <c r="L6032" s="9">
        <v>2.739E-5</v>
      </c>
      <c r="M6032" s="9">
        <v>5.0179999999999997E-5</v>
      </c>
      <c r="N6032" s="9">
        <v>6.1660000000000003E-5</v>
      </c>
      <c r="O6032" s="9">
        <v>2.145E-5</v>
      </c>
      <c r="P6032" s="9">
        <v>5.083E-5</v>
      </c>
      <c r="Q6032" s="9">
        <v>7.9629999999999995E-5</v>
      </c>
      <c r="R6032" s="10">
        <v>5.2287213692136099E-5</v>
      </c>
      <c r="S6032" s="10">
        <v>8.8381252206447248E-6</v>
      </c>
      <c r="T6032" s="10">
        <v>0</v>
      </c>
      <c r="U6032" s="10">
        <v>6.9510000000000004E-5</v>
      </c>
      <c r="V6032" s="25"/>
      <c r="W6032" s="25"/>
      <c r="X6032" s="25"/>
      <c r="Y6032" s="25"/>
      <c r="Z6032" s="25"/>
      <c r="AA6032" s="25"/>
    </row>
    <row r="6033" spans="1:27" x14ac:dyDescent="0.35">
      <c r="A6033" s="5">
        <v>6029</v>
      </c>
      <c r="B6033" s="5">
        <v>252</v>
      </c>
      <c r="C6033" s="5">
        <v>9</v>
      </c>
      <c r="D6033" s="25">
        <v>1.1416E-4</v>
      </c>
      <c r="E6033" s="25">
        <v>1.1622E-4</v>
      </c>
      <c r="F6033" s="25">
        <v>1.4653999999999999E-4</v>
      </c>
      <c r="G6033" s="25">
        <v>5.7429999999999997E-5</v>
      </c>
      <c r="H6033" s="25">
        <v>1.349E-5</v>
      </c>
      <c r="I6033" s="9">
        <v>9.8709999999999995E-5</v>
      </c>
      <c r="J6033" s="9">
        <v>9.6869999999999999E-5</v>
      </c>
      <c r="K6033" s="9">
        <v>0</v>
      </c>
      <c r="L6033" s="9">
        <v>2.315E-5</v>
      </c>
      <c r="M6033" s="9">
        <v>4.8390000000000003E-5</v>
      </c>
      <c r="N6033" s="9">
        <v>6.4060000000000007E-5</v>
      </c>
      <c r="O6033" s="9">
        <v>2.336E-5</v>
      </c>
      <c r="P6033" s="9">
        <v>5.8470000000000001E-5</v>
      </c>
      <c r="Q6033" s="9">
        <v>9.2919999999999998E-5</v>
      </c>
      <c r="R6033" s="10">
        <v>5.3641262433207771E-5</v>
      </c>
      <c r="S6033" s="10">
        <v>8.891765817292827E-6</v>
      </c>
      <c r="T6033" s="10">
        <v>0</v>
      </c>
      <c r="U6033" s="10">
        <v>6.9510000000000004E-5</v>
      </c>
      <c r="V6033" s="25"/>
      <c r="W6033" s="25"/>
      <c r="X6033" s="25"/>
      <c r="Y6033" s="25"/>
      <c r="Z6033" s="25"/>
      <c r="AA6033" s="25"/>
    </row>
    <row r="6034" spans="1:27" x14ac:dyDescent="0.35">
      <c r="A6034" s="5">
        <v>6030</v>
      </c>
      <c r="B6034" s="5">
        <v>252</v>
      </c>
      <c r="C6034" s="5">
        <v>9</v>
      </c>
      <c r="D6034" s="25">
        <v>1.1415000000000001E-4</v>
      </c>
      <c r="E6034" s="25">
        <v>1.1349E-4</v>
      </c>
      <c r="F6034" s="25">
        <v>1.4433999999999999E-4</v>
      </c>
      <c r="G6034" s="25">
        <v>1.1053E-4</v>
      </c>
      <c r="H6034" s="25">
        <v>2.565E-5</v>
      </c>
      <c r="I6034" s="9">
        <v>1.1014E-4</v>
      </c>
      <c r="J6034" s="9">
        <v>1.0699E-4</v>
      </c>
      <c r="K6034" s="9">
        <v>0</v>
      </c>
      <c r="L6034" s="9">
        <v>2.3240000000000001E-5</v>
      </c>
      <c r="M6034" s="9">
        <v>5.1900000000000001E-5</v>
      </c>
      <c r="N6034" s="9">
        <v>7.0510000000000001E-5</v>
      </c>
      <c r="O6034" s="9">
        <v>2.9969999999999999E-5</v>
      </c>
      <c r="P6034" s="9">
        <v>6.9090000000000004E-5</v>
      </c>
      <c r="Q6034" s="9">
        <v>1.0752E-4</v>
      </c>
      <c r="R6034" s="10">
        <v>5.5803973482765956E-5</v>
      </c>
      <c r="S6034" s="10">
        <v>1.0827831075905348E-5</v>
      </c>
      <c r="T6034" s="10">
        <v>0</v>
      </c>
      <c r="U6034" s="10">
        <v>6.9510000000000004E-5</v>
      </c>
      <c r="V6034" s="25"/>
      <c r="W6034" s="25"/>
      <c r="X6034" s="25"/>
      <c r="Y6034" s="25"/>
      <c r="Z6034" s="25"/>
      <c r="AA6034" s="25"/>
    </row>
    <row r="6035" spans="1:27" x14ac:dyDescent="0.35">
      <c r="A6035" s="5">
        <v>6031</v>
      </c>
      <c r="B6035" s="5">
        <v>252</v>
      </c>
      <c r="C6035" s="5">
        <v>9</v>
      </c>
      <c r="D6035" s="25">
        <v>1.1416E-4</v>
      </c>
      <c r="E6035" s="25">
        <v>1.2086E-4</v>
      </c>
      <c r="F6035" s="25">
        <v>1.3867999999999999E-4</v>
      </c>
      <c r="G6035" s="25">
        <v>1.1012E-4</v>
      </c>
      <c r="H6035" s="25">
        <v>2.5279999999999999E-5</v>
      </c>
      <c r="I6035" s="9">
        <v>1.1856E-4</v>
      </c>
      <c r="J6035" s="9">
        <v>1.1946E-4</v>
      </c>
      <c r="K6035" s="9">
        <v>0</v>
      </c>
      <c r="L6035" s="9">
        <v>2.8390000000000001E-5</v>
      </c>
      <c r="M6035" s="9">
        <v>5.914E-5</v>
      </c>
      <c r="N6035" s="9">
        <v>8.0400000000000003E-5</v>
      </c>
      <c r="O6035" s="9">
        <v>4.6199999999999998E-5</v>
      </c>
      <c r="P6035" s="9">
        <v>7.9450000000000007E-5</v>
      </c>
      <c r="Q6035" s="9">
        <v>1.1223E-4</v>
      </c>
      <c r="R6035" s="10">
        <v>5.3701160284057944E-5</v>
      </c>
      <c r="S6035" s="10">
        <v>1.0326365082800246E-5</v>
      </c>
      <c r="T6035" s="10">
        <v>6.1485717390482819E-5</v>
      </c>
      <c r="U6035" s="10">
        <v>6.9510000000000004E-5</v>
      </c>
      <c r="V6035" s="25"/>
      <c r="W6035" s="25"/>
      <c r="X6035" s="25"/>
      <c r="Y6035" s="25"/>
      <c r="Z6035" s="25"/>
      <c r="AA6035" s="25"/>
    </row>
    <row r="6036" spans="1:27" x14ac:dyDescent="0.35">
      <c r="A6036" s="5">
        <v>6032</v>
      </c>
      <c r="B6036" s="5">
        <v>252</v>
      </c>
      <c r="C6036" s="5">
        <v>9</v>
      </c>
      <c r="D6036" s="25">
        <v>1.1415000000000001E-4</v>
      </c>
      <c r="E6036" s="25">
        <v>1.1510000000000001E-4</v>
      </c>
      <c r="F6036" s="25">
        <v>1.4647999999999999E-4</v>
      </c>
      <c r="G6036" s="25">
        <v>1.6396E-4</v>
      </c>
      <c r="H6036" s="25">
        <v>3.8859999999999997E-5</v>
      </c>
      <c r="I6036" s="9">
        <v>1.2234999999999999E-4</v>
      </c>
      <c r="J6036" s="9">
        <v>1.2867E-4</v>
      </c>
      <c r="K6036" s="9">
        <v>0</v>
      </c>
      <c r="L6036" s="9">
        <v>4.2120000000000003E-5</v>
      </c>
      <c r="M6036" s="9">
        <v>6.8289999999999998E-5</v>
      </c>
      <c r="N6036" s="9">
        <v>9.0530000000000002E-5</v>
      </c>
      <c r="O6036" s="9">
        <v>6.7620000000000006E-5</v>
      </c>
      <c r="P6036" s="9">
        <v>1.0168E-4</v>
      </c>
      <c r="Q6036" s="9">
        <v>1.3538999999999999E-4</v>
      </c>
      <c r="R6036" s="10">
        <v>5.0524349860024312E-5</v>
      </c>
      <c r="S6036" s="10">
        <v>1.040714796353151E-5</v>
      </c>
      <c r="T6036" s="10">
        <v>2.4596832245998173E-4</v>
      </c>
      <c r="U6036" s="10">
        <v>6.9510000000000004E-5</v>
      </c>
      <c r="V6036" s="25"/>
      <c r="W6036" s="25"/>
      <c r="X6036" s="25"/>
      <c r="Y6036" s="25"/>
      <c r="Z6036" s="25"/>
      <c r="AA6036" s="25"/>
    </row>
    <row r="6037" spans="1:27" x14ac:dyDescent="0.35">
      <c r="A6037" s="5">
        <v>6033</v>
      </c>
      <c r="B6037" s="5">
        <v>252</v>
      </c>
      <c r="C6037" s="5">
        <v>9</v>
      </c>
      <c r="D6037" s="25">
        <v>1.1416E-4</v>
      </c>
      <c r="E6037" s="25">
        <v>1.1076E-4</v>
      </c>
      <c r="F6037" s="25">
        <v>1.4683E-4</v>
      </c>
      <c r="G6037" s="25">
        <v>1.5836999999999999E-4</v>
      </c>
      <c r="H6037" s="25">
        <v>3.7889999999999998E-5</v>
      </c>
      <c r="I6037" s="9">
        <v>1.2625000000000001E-4</v>
      </c>
      <c r="J6037" s="9">
        <v>1.3197E-4</v>
      </c>
      <c r="K6037" s="9">
        <v>0</v>
      </c>
      <c r="L6037" s="9">
        <v>6.1639999999999999E-5</v>
      </c>
      <c r="M6037" s="9">
        <v>8.2570000000000004E-5</v>
      </c>
      <c r="N6037" s="9">
        <v>1.0408000000000001E-4</v>
      </c>
      <c r="O6037" s="9">
        <v>9.9959999999999998E-5</v>
      </c>
      <c r="P6037" s="9">
        <v>1.3867999999999999E-4</v>
      </c>
      <c r="Q6037" s="9">
        <v>1.7719E-4</v>
      </c>
      <c r="R6037" s="10">
        <v>4.4750377188363581E-5</v>
      </c>
      <c r="S6037" s="10">
        <v>1.2533629578367064E-5</v>
      </c>
      <c r="T6037" s="10">
        <v>4.4132779929636324E-4</v>
      </c>
      <c r="U6037" s="10">
        <v>6.9510000000000004E-5</v>
      </c>
      <c r="V6037" s="25"/>
      <c r="W6037" s="25"/>
      <c r="X6037" s="25"/>
      <c r="Y6037" s="25"/>
      <c r="Z6037" s="25"/>
      <c r="AA6037" s="25"/>
    </row>
    <row r="6038" spans="1:27" x14ac:dyDescent="0.35">
      <c r="A6038" s="5">
        <v>6034</v>
      </c>
      <c r="B6038" s="5">
        <v>252</v>
      </c>
      <c r="C6038" s="5">
        <v>9</v>
      </c>
      <c r="D6038" s="25">
        <v>1.1415000000000001E-4</v>
      </c>
      <c r="E6038" s="25">
        <v>1.1373E-4</v>
      </c>
      <c r="F6038" s="25">
        <v>1.4444999999999999E-4</v>
      </c>
      <c r="G6038" s="25">
        <v>1.6105000000000001E-4</v>
      </c>
      <c r="H6038" s="25">
        <v>3.8349999999999997E-5</v>
      </c>
      <c r="I6038" s="9">
        <v>1.2847999999999999E-4</v>
      </c>
      <c r="J6038" s="9">
        <v>1.3237000000000001E-4</v>
      </c>
      <c r="K6038" s="9">
        <v>0</v>
      </c>
      <c r="L6038" s="9">
        <v>9.1020000000000006E-5</v>
      </c>
      <c r="M6038" s="9">
        <v>1.0636E-4</v>
      </c>
      <c r="N6038" s="9">
        <v>1.2426000000000001E-4</v>
      </c>
      <c r="O6038" s="9">
        <v>1.2924E-4</v>
      </c>
      <c r="P6038" s="9">
        <v>1.5613000000000001E-4</v>
      </c>
      <c r="Q6038" s="9">
        <v>1.8319000000000001E-4</v>
      </c>
      <c r="R6038" s="10">
        <v>2.4357926339299901E-5</v>
      </c>
      <c r="S6038" s="10">
        <v>1.657318551382973E-5</v>
      </c>
      <c r="T6038" s="10">
        <v>5.8211626271262827E-4</v>
      </c>
      <c r="U6038" s="10">
        <v>6.9510000000000004E-5</v>
      </c>
      <c r="V6038" s="25"/>
      <c r="W6038" s="25"/>
      <c r="X6038" s="25"/>
      <c r="Y6038" s="25"/>
      <c r="Z6038" s="25"/>
      <c r="AA6038" s="25"/>
    </row>
    <row r="6039" spans="1:27" x14ac:dyDescent="0.35">
      <c r="A6039" s="5">
        <v>6035</v>
      </c>
      <c r="B6039" s="5">
        <v>252</v>
      </c>
      <c r="C6039" s="5">
        <v>9</v>
      </c>
      <c r="D6039" s="25">
        <v>1.1416E-4</v>
      </c>
      <c r="E6039" s="25">
        <v>1.1252E-4</v>
      </c>
      <c r="F6039" s="25">
        <v>1.4009E-4</v>
      </c>
      <c r="G6039" s="25">
        <v>1.6357000000000001E-4</v>
      </c>
      <c r="H6039" s="25">
        <v>3.8760000000000002E-5</v>
      </c>
      <c r="I6039" s="9">
        <v>1.3033000000000001E-4</v>
      </c>
      <c r="J6039" s="9">
        <v>1.3239E-4</v>
      </c>
      <c r="K6039" s="9">
        <v>0</v>
      </c>
      <c r="L6039" s="9">
        <v>1.2011E-4</v>
      </c>
      <c r="M6039" s="9">
        <v>1.303E-4</v>
      </c>
      <c r="N6039" s="9">
        <v>1.4266999999999999E-4</v>
      </c>
      <c r="O6039" s="9">
        <v>1.3653E-4</v>
      </c>
      <c r="P6039" s="9">
        <v>1.5771000000000001E-4</v>
      </c>
      <c r="Q6039" s="9">
        <v>1.7920999999999999E-4</v>
      </c>
      <c r="R6039" s="10">
        <v>2.6342180808698627E-5</v>
      </c>
      <c r="S6039" s="10">
        <v>2.1627426128125582E-5</v>
      </c>
      <c r="T6039" s="10">
        <v>6.6709500500365573E-4</v>
      </c>
      <c r="U6039" s="10">
        <v>6.9510000000000004E-5</v>
      </c>
      <c r="V6039" s="25"/>
      <c r="W6039" s="25"/>
      <c r="X6039" s="25"/>
      <c r="Y6039" s="25"/>
      <c r="Z6039" s="25"/>
      <c r="AA6039" s="25"/>
    </row>
    <row r="6040" spans="1:27" x14ac:dyDescent="0.35">
      <c r="A6040" s="5">
        <v>6036</v>
      </c>
      <c r="B6040" s="5">
        <v>252</v>
      </c>
      <c r="C6040" s="5">
        <v>9</v>
      </c>
      <c r="D6040" s="25">
        <v>1.1415000000000001E-4</v>
      </c>
      <c r="E6040" s="25">
        <v>1.1669E-4</v>
      </c>
      <c r="F6040" s="25">
        <v>1.3936999999999999E-4</v>
      </c>
      <c r="G6040" s="25">
        <v>1.615E-4</v>
      </c>
      <c r="H6040" s="25">
        <v>3.7929999999999998E-5</v>
      </c>
      <c r="I6040" s="9">
        <v>1.2834000000000001E-4</v>
      </c>
      <c r="J6040" s="9">
        <v>1.3116000000000001E-4</v>
      </c>
      <c r="K6040" s="9">
        <v>0</v>
      </c>
      <c r="L6040" s="9">
        <v>1.3223E-4</v>
      </c>
      <c r="M6040" s="9">
        <v>1.4585999999999999E-4</v>
      </c>
      <c r="N6040" s="9">
        <v>1.5673E-4</v>
      </c>
      <c r="O6040" s="9">
        <v>1.3734000000000001E-4</v>
      </c>
      <c r="P6040" s="9">
        <v>1.5506E-4</v>
      </c>
      <c r="Q6040" s="9">
        <v>1.7316E-4</v>
      </c>
      <c r="R6040" s="10">
        <v>4.4067666881290184E-5</v>
      </c>
      <c r="S6040" s="10">
        <v>2.3608670626513633E-5</v>
      </c>
      <c r="T6040" s="10">
        <v>6.6949606171974607E-4</v>
      </c>
      <c r="U6040" s="10">
        <v>6.9510000000000004E-5</v>
      </c>
      <c r="V6040" s="25"/>
      <c r="W6040" s="25"/>
      <c r="X6040" s="25"/>
      <c r="Y6040" s="25"/>
      <c r="Z6040" s="25"/>
      <c r="AA6040" s="25"/>
    </row>
    <row r="6041" spans="1:27" x14ac:dyDescent="0.35">
      <c r="A6041" s="5">
        <v>6037</v>
      </c>
      <c r="B6041" s="5">
        <v>252</v>
      </c>
      <c r="C6041" s="5">
        <v>9</v>
      </c>
      <c r="D6041" s="25">
        <v>1.1416E-4</v>
      </c>
      <c r="E6041" s="25">
        <v>1.1328999999999999E-4</v>
      </c>
      <c r="F6041" s="25">
        <v>1.3187999999999999E-4</v>
      </c>
      <c r="G6041" s="25">
        <v>1.6140999999999999E-4</v>
      </c>
      <c r="H6041" s="25">
        <v>3.8850000000000002E-5</v>
      </c>
      <c r="I6041" s="9">
        <v>1.2889999999999999E-4</v>
      </c>
      <c r="J6041" s="9">
        <v>1.3221000000000001E-4</v>
      </c>
      <c r="K6041" s="9">
        <v>0</v>
      </c>
      <c r="L6041" s="9">
        <v>1.3606999999999999E-4</v>
      </c>
      <c r="M6041" s="9">
        <v>1.5247000000000001E-4</v>
      </c>
      <c r="N6041" s="9">
        <v>1.6602000000000001E-4</v>
      </c>
      <c r="O6041" s="9">
        <v>1.2930999999999999E-4</v>
      </c>
      <c r="P6041" s="9">
        <v>1.4784999999999999E-4</v>
      </c>
      <c r="Q6041" s="9">
        <v>1.6668999999999999E-4</v>
      </c>
      <c r="R6041" s="10">
        <v>5.8697814110320726E-5</v>
      </c>
      <c r="S6041" s="10">
        <v>3.0973675397015519E-5</v>
      </c>
      <c r="T6041" s="10">
        <v>6.172836835189689E-4</v>
      </c>
      <c r="U6041" s="10">
        <v>6.9510000000000004E-5</v>
      </c>
      <c r="V6041" s="25"/>
      <c r="W6041" s="25"/>
      <c r="X6041" s="25"/>
      <c r="Y6041" s="25"/>
      <c r="Z6041" s="25"/>
      <c r="AA6041" s="25"/>
    </row>
    <row r="6042" spans="1:27" x14ac:dyDescent="0.35">
      <c r="A6042" s="5">
        <v>6038</v>
      </c>
      <c r="B6042" s="5">
        <v>252</v>
      </c>
      <c r="C6042" s="5">
        <v>9</v>
      </c>
      <c r="D6042" s="25">
        <v>1.1415000000000001E-4</v>
      </c>
      <c r="E6042" s="25">
        <v>1.2131E-4</v>
      </c>
      <c r="F6042" s="25">
        <v>1.4328999999999999E-4</v>
      </c>
      <c r="G6042" s="25">
        <v>1.5885000000000001E-4</v>
      </c>
      <c r="H6042" s="25">
        <v>4.0210000000000003E-5</v>
      </c>
      <c r="I6042" s="9">
        <v>1.2773E-4</v>
      </c>
      <c r="J6042" s="9">
        <v>1.3247000000000001E-4</v>
      </c>
      <c r="K6042" s="9">
        <v>0</v>
      </c>
      <c r="L6042" s="9">
        <v>1.3087999999999999E-4</v>
      </c>
      <c r="M6042" s="9">
        <v>1.5202999999999999E-4</v>
      </c>
      <c r="N6042" s="9">
        <v>1.7022000000000001E-4</v>
      </c>
      <c r="O6042" s="9">
        <v>1.1132E-4</v>
      </c>
      <c r="P6042" s="9">
        <v>1.3522999999999999E-4</v>
      </c>
      <c r="Q6042" s="9">
        <v>1.5924999999999999E-4</v>
      </c>
      <c r="R6042" s="10">
        <v>6.9146541352827005E-5</v>
      </c>
      <c r="S6042" s="10">
        <v>3.9430137019002895E-5</v>
      </c>
      <c r="T6042" s="10">
        <v>4.8855140947925665E-4</v>
      </c>
      <c r="U6042" s="10">
        <v>6.9510000000000004E-5</v>
      </c>
      <c r="V6042" s="25"/>
      <c r="W6042" s="25"/>
      <c r="X6042" s="25"/>
      <c r="Y6042" s="25"/>
      <c r="Z6042" s="25"/>
      <c r="AA6042" s="25"/>
    </row>
    <row r="6043" spans="1:27" x14ac:dyDescent="0.35">
      <c r="A6043" s="5">
        <v>6039</v>
      </c>
      <c r="B6043" s="5">
        <v>252</v>
      </c>
      <c r="C6043" s="5">
        <v>9</v>
      </c>
      <c r="D6043" s="25">
        <v>1.1416E-4</v>
      </c>
      <c r="E6043" s="25">
        <v>1.1759E-4</v>
      </c>
      <c r="F6043" s="25">
        <v>1.3773E-4</v>
      </c>
      <c r="G6043" s="25">
        <v>1.6661000000000001E-4</v>
      </c>
      <c r="H6043" s="25">
        <v>3.8680000000000002E-5</v>
      </c>
      <c r="I6043" s="9">
        <v>1.2677000000000001E-4</v>
      </c>
      <c r="J6043" s="9">
        <v>1.3253000000000001E-4</v>
      </c>
      <c r="K6043" s="9">
        <v>0</v>
      </c>
      <c r="L6043" s="9">
        <v>1.1582E-4</v>
      </c>
      <c r="M6043" s="9">
        <v>1.4562000000000001E-4</v>
      </c>
      <c r="N6043" s="9">
        <v>1.6940999999999999E-4</v>
      </c>
      <c r="O6043" s="9">
        <v>1.2652E-4</v>
      </c>
      <c r="P6043" s="9">
        <v>1.3904E-4</v>
      </c>
      <c r="Q6043" s="9">
        <v>1.5195000000000001E-4</v>
      </c>
      <c r="R6043" s="10">
        <v>7.3726356182303804E-5</v>
      </c>
      <c r="S6043" s="10">
        <v>4.982139317368302E-5</v>
      </c>
      <c r="T6043" s="10">
        <v>5.5863172211143366E-4</v>
      </c>
      <c r="U6043" s="10">
        <v>6.9510000000000004E-5</v>
      </c>
      <c r="V6043" s="25"/>
      <c r="W6043" s="25"/>
      <c r="X6043" s="25"/>
      <c r="Y6043" s="25"/>
      <c r="Z6043" s="25"/>
      <c r="AA6043" s="25"/>
    </row>
    <row r="6044" spans="1:27" x14ac:dyDescent="0.35">
      <c r="A6044" s="5">
        <v>6040</v>
      </c>
      <c r="B6044" s="5">
        <v>252</v>
      </c>
      <c r="C6044" s="5">
        <v>9</v>
      </c>
      <c r="D6044" s="25">
        <v>1.1415000000000001E-4</v>
      </c>
      <c r="E6044" s="25">
        <v>1.1578000000000001E-4</v>
      </c>
      <c r="F6044" s="25">
        <v>1.383E-4</v>
      </c>
      <c r="G6044" s="25">
        <v>1.5721999999999999E-4</v>
      </c>
      <c r="H6044" s="25">
        <v>3.7710000000000003E-5</v>
      </c>
      <c r="I6044" s="9">
        <v>1.2704E-4</v>
      </c>
      <c r="J6044" s="9">
        <v>1.3353E-4</v>
      </c>
      <c r="K6044" s="9">
        <v>0</v>
      </c>
      <c r="L6044" s="9">
        <v>1.2459999999999999E-4</v>
      </c>
      <c r="M6044" s="9">
        <v>1.4147000000000001E-4</v>
      </c>
      <c r="N6044" s="9">
        <v>1.6541E-4</v>
      </c>
      <c r="O6044" s="9">
        <v>1.3370999999999999E-4</v>
      </c>
      <c r="P6044" s="9">
        <v>1.2125000000000001E-4</v>
      </c>
      <c r="Q6044" s="9">
        <v>1.0959999999999999E-4</v>
      </c>
      <c r="R6044" s="10">
        <v>7.5081464798765118E-5</v>
      </c>
      <c r="S6044" s="10">
        <v>6.0224661146117059E-5</v>
      </c>
      <c r="T6044" s="10">
        <v>4.3329316781177838E-4</v>
      </c>
      <c r="U6044" s="10">
        <v>6.9510000000000004E-5</v>
      </c>
      <c r="V6044" s="25"/>
      <c r="W6044" s="25"/>
      <c r="X6044" s="25"/>
      <c r="Y6044" s="25"/>
      <c r="Z6044" s="25"/>
      <c r="AA6044" s="25"/>
    </row>
    <row r="6045" spans="1:27" x14ac:dyDescent="0.35">
      <c r="A6045" s="5">
        <v>6041</v>
      </c>
      <c r="B6045" s="5">
        <v>252</v>
      </c>
      <c r="C6045" s="5">
        <v>9</v>
      </c>
      <c r="D6045" s="25">
        <v>1.1416E-4</v>
      </c>
      <c r="E6045" s="25">
        <v>1.1149E-4</v>
      </c>
      <c r="F6045" s="25">
        <v>1.3664999999999999E-4</v>
      </c>
      <c r="G6045" s="25">
        <v>1.6301E-4</v>
      </c>
      <c r="H6045" s="25">
        <v>3.773E-5</v>
      </c>
      <c r="I6045" s="9">
        <v>1.2752999999999999E-4</v>
      </c>
      <c r="J6045" s="9">
        <v>1.3432E-4</v>
      </c>
      <c r="K6045" s="9">
        <v>0</v>
      </c>
      <c r="L6045" s="9">
        <v>1.3143000000000001E-4</v>
      </c>
      <c r="M6045" s="9">
        <v>1.3328E-4</v>
      </c>
      <c r="N6045" s="9">
        <v>1.5175E-4</v>
      </c>
      <c r="O6045" s="9">
        <v>1.4098E-4</v>
      </c>
      <c r="P6045" s="9">
        <v>1.2396999999999999E-4</v>
      </c>
      <c r="Q6045" s="9">
        <v>1.0789E-4</v>
      </c>
      <c r="R6045" s="10">
        <v>7.9596064188218354E-5</v>
      </c>
      <c r="S6045" s="10">
        <v>6.8086520414540819E-5</v>
      </c>
      <c r="T6045" s="10">
        <v>2.2855005589413912E-4</v>
      </c>
      <c r="U6045" s="10">
        <v>6.9510000000000004E-5</v>
      </c>
      <c r="V6045" s="25"/>
      <c r="W6045" s="25"/>
      <c r="X6045" s="25"/>
      <c r="Y6045" s="25"/>
      <c r="Z6045" s="25"/>
      <c r="AA6045" s="25"/>
    </row>
    <row r="6046" spans="1:27" x14ac:dyDescent="0.35">
      <c r="A6046" s="5">
        <v>6042</v>
      </c>
      <c r="B6046" s="5">
        <v>252</v>
      </c>
      <c r="C6046" s="5">
        <v>9</v>
      </c>
      <c r="D6046" s="25">
        <v>1.1415000000000001E-4</v>
      </c>
      <c r="E6046" s="25">
        <v>1.2166E-4</v>
      </c>
      <c r="F6046" s="25">
        <v>1.2621999999999999E-4</v>
      </c>
      <c r="G6046" s="25">
        <v>1.5951E-4</v>
      </c>
      <c r="H6046" s="25">
        <v>3.8220000000000003E-5</v>
      </c>
      <c r="I6046" s="9">
        <v>1.2396999999999999E-4</v>
      </c>
      <c r="J6046" s="9">
        <v>1.3019999999999999E-4</v>
      </c>
      <c r="K6046" s="9">
        <v>0</v>
      </c>
      <c r="L6046" s="9">
        <v>1.3857999999999999E-4</v>
      </c>
      <c r="M6046" s="9">
        <v>1.2786000000000001E-4</v>
      </c>
      <c r="N6046" s="9">
        <v>1.3870000000000001E-4</v>
      </c>
      <c r="O6046" s="9">
        <v>1.4016000000000001E-4</v>
      </c>
      <c r="P6046" s="9">
        <v>1.283E-4</v>
      </c>
      <c r="Q6046" s="9">
        <v>1.1730000000000001E-4</v>
      </c>
      <c r="R6046" s="10">
        <v>7.807275531071822E-5</v>
      </c>
      <c r="S6046" s="10">
        <v>6.9567632210321969E-5</v>
      </c>
      <c r="T6046" s="10">
        <v>4.5933996681671584E-5</v>
      </c>
      <c r="U6046" s="10">
        <v>6.9510000000000004E-5</v>
      </c>
      <c r="V6046" s="25"/>
      <c r="W6046" s="25"/>
      <c r="X6046" s="25"/>
      <c r="Y6046" s="25"/>
      <c r="Z6046" s="25"/>
      <c r="AA6046" s="25"/>
    </row>
    <row r="6047" spans="1:27" x14ac:dyDescent="0.35">
      <c r="A6047" s="5">
        <v>6043</v>
      </c>
      <c r="B6047" s="5">
        <v>252</v>
      </c>
      <c r="C6047" s="5">
        <v>9</v>
      </c>
      <c r="D6047" s="25">
        <v>1.1416E-4</v>
      </c>
      <c r="E6047" s="25">
        <v>1.1815999999999999E-4</v>
      </c>
      <c r="F6047" s="25">
        <v>1.4161999999999999E-4</v>
      </c>
      <c r="G6047" s="25">
        <v>1.0624999999999999E-4</v>
      </c>
      <c r="H6047" s="25">
        <v>2.597E-5</v>
      </c>
      <c r="I6047" s="9">
        <v>1.1988E-4</v>
      </c>
      <c r="J6047" s="9">
        <v>1.2823000000000001E-4</v>
      </c>
      <c r="K6047" s="9">
        <v>0</v>
      </c>
      <c r="L6047" s="9">
        <v>1.3969000000000001E-4</v>
      </c>
      <c r="M6047" s="9">
        <v>1.2679E-4</v>
      </c>
      <c r="N6047" s="9">
        <v>1.2970000000000001E-4</v>
      </c>
      <c r="O6047" s="9">
        <v>1.4228999999999999E-4</v>
      </c>
      <c r="P6047" s="9">
        <v>1.2458E-4</v>
      </c>
      <c r="Q6047" s="9">
        <v>1.0783E-4</v>
      </c>
      <c r="R6047" s="10">
        <v>8.7263240899657286E-5</v>
      </c>
      <c r="S6047" s="10">
        <v>6.8327551175227392E-5</v>
      </c>
      <c r="T6047" s="10">
        <v>0</v>
      </c>
      <c r="U6047" s="10">
        <v>6.9510000000000004E-5</v>
      </c>
      <c r="V6047" s="25"/>
      <c r="W6047" s="25"/>
      <c r="X6047" s="25"/>
      <c r="Y6047" s="25"/>
      <c r="Z6047" s="25"/>
      <c r="AA6047" s="25"/>
    </row>
    <row r="6048" spans="1:27" x14ac:dyDescent="0.35">
      <c r="A6048" s="5">
        <v>6044</v>
      </c>
      <c r="B6048" s="5">
        <v>252</v>
      </c>
      <c r="C6048" s="5">
        <v>9</v>
      </c>
      <c r="D6048" s="25">
        <v>1.1415000000000001E-4</v>
      </c>
      <c r="E6048" s="25">
        <v>1.1644E-4</v>
      </c>
      <c r="F6048" s="25">
        <v>1.3920999999999999E-4</v>
      </c>
      <c r="G6048" s="25">
        <v>1.1107000000000001E-4</v>
      </c>
      <c r="H6048" s="25">
        <v>2.6020000000000002E-5</v>
      </c>
      <c r="I6048" s="9">
        <v>1.2095E-4</v>
      </c>
      <c r="J6048" s="9">
        <v>1.3028000000000001E-4</v>
      </c>
      <c r="K6048" s="9">
        <v>0</v>
      </c>
      <c r="L6048" s="9">
        <v>1.4173000000000001E-4</v>
      </c>
      <c r="M6048" s="9">
        <v>1.2596999999999999E-4</v>
      </c>
      <c r="N6048" s="9">
        <v>1.2091000000000001E-4</v>
      </c>
      <c r="O6048" s="9">
        <v>1.4423999999999999E-4</v>
      </c>
      <c r="P6048" s="9">
        <v>1.2273000000000001E-4</v>
      </c>
      <c r="Q6048" s="9">
        <v>1.0226E-4</v>
      </c>
      <c r="R6048" s="10">
        <v>1.1843487577594236E-4</v>
      </c>
      <c r="S6048" s="10">
        <v>7.1989500203794283E-5</v>
      </c>
      <c r="T6048" s="10">
        <v>0</v>
      </c>
      <c r="U6048" s="10">
        <v>6.9510000000000004E-5</v>
      </c>
      <c r="V6048" s="25"/>
      <c r="W6048" s="25"/>
      <c r="X6048" s="25"/>
      <c r="Y6048" s="25"/>
      <c r="Z6048" s="25"/>
      <c r="AA6048" s="25"/>
    </row>
    <row r="6049" spans="1:27" x14ac:dyDescent="0.35">
      <c r="A6049" s="5">
        <v>6045</v>
      </c>
      <c r="B6049" s="5">
        <v>252</v>
      </c>
      <c r="C6049" s="5">
        <v>9</v>
      </c>
      <c r="D6049" s="25">
        <v>1.1416E-4</v>
      </c>
      <c r="E6049" s="25">
        <v>1.187E-4</v>
      </c>
      <c r="F6049" s="25">
        <v>1.4313999999999999E-4</v>
      </c>
      <c r="G6049" s="25">
        <v>5.6549999999999999E-5</v>
      </c>
      <c r="H6049" s="25">
        <v>1.4090000000000001E-5</v>
      </c>
      <c r="I6049" s="9">
        <v>1.1908000000000001E-4</v>
      </c>
      <c r="J6049" s="9">
        <v>1.2668999999999999E-4</v>
      </c>
      <c r="K6049" s="9">
        <v>0</v>
      </c>
      <c r="L6049" s="9">
        <v>1.4368000000000001E-4</v>
      </c>
      <c r="M6049" s="9">
        <v>1.2462000000000001E-4</v>
      </c>
      <c r="N6049" s="9">
        <v>1.1340000000000001E-4</v>
      </c>
      <c r="O6049" s="9">
        <v>8.543E-5</v>
      </c>
      <c r="P6049" s="9">
        <v>8.7169999999999994E-5</v>
      </c>
      <c r="Q6049" s="9">
        <v>8.9190000000000005E-5</v>
      </c>
      <c r="R6049" s="10">
        <v>1.626060006695766E-4</v>
      </c>
      <c r="S6049" s="10">
        <v>7.9960043631239938E-5</v>
      </c>
      <c r="T6049" s="10">
        <v>0</v>
      </c>
      <c r="U6049" s="10">
        <v>6.9510000000000004E-5</v>
      </c>
      <c r="V6049" s="25"/>
      <c r="W6049" s="25"/>
      <c r="X6049" s="25"/>
      <c r="Y6049" s="25"/>
      <c r="Z6049" s="25"/>
      <c r="AA6049" s="25"/>
    </row>
    <row r="6050" spans="1:27" x14ac:dyDescent="0.35">
      <c r="A6050" s="5">
        <v>6046</v>
      </c>
      <c r="B6050" s="5">
        <v>252</v>
      </c>
      <c r="C6050" s="5">
        <v>9</v>
      </c>
      <c r="D6050" s="25">
        <v>1.1415000000000001E-4</v>
      </c>
      <c r="E6050" s="25">
        <v>1.1993999999999999E-4</v>
      </c>
      <c r="F6050" s="25">
        <v>1.3922000000000001E-4</v>
      </c>
      <c r="G6050" s="25">
        <v>5.4759999999999997E-5</v>
      </c>
      <c r="H6050" s="25">
        <v>1.4209999999999999E-5</v>
      </c>
      <c r="I6050" s="9">
        <v>1.144E-4</v>
      </c>
      <c r="J6050" s="9">
        <v>1.1779E-4</v>
      </c>
      <c r="K6050" s="9">
        <v>0</v>
      </c>
      <c r="L6050" s="9">
        <v>9.8189999999999993E-5</v>
      </c>
      <c r="M6050" s="9">
        <v>1.1075E-4</v>
      </c>
      <c r="N6050" s="9">
        <v>1.0603E-4</v>
      </c>
      <c r="O6050" s="9">
        <v>8.6550000000000003E-5</v>
      </c>
      <c r="P6050" s="9">
        <v>8.6890000000000003E-5</v>
      </c>
      <c r="Q6050" s="9">
        <v>8.7529999999999997E-5</v>
      </c>
      <c r="R6050" s="10">
        <v>1.8805076441018859E-4</v>
      </c>
      <c r="S6050" s="10">
        <v>8.7717230474580285E-5</v>
      </c>
      <c r="T6050" s="10">
        <v>0</v>
      </c>
      <c r="U6050" s="10">
        <v>6.9510000000000004E-5</v>
      </c>
      <c r="V6050" s="25"/>
      <c r="W6050" s="25"/>
      <c r="X6050" s="25"/>
      <c r="Y6050" s="25"/>
      <c r="Z6050" s="25"/>
      <c r="AA6050" s="25"/>
    </row>
    <row r="6051" spans="1:27" x14ac:dyDescent="0.35">
      <c r="A6051" s="5">
        <v>6047</v>
      </c>
      <c r="B6051" s="5">
        <v>252</v>
      </c>
      <c r="C6051" s="5">
        <v>9</v>
      </c>
      <c r="D6051" s="25">
        <v>1.1416E-4</v>
      </c>
      <c r="E6051" s="25">
        <v>1.2036000000000001E-4</v>
      </c>
      <c r="F6051" s="25">
        <v>1.2773999999999999E-4</v>
      </c>
      <c r="G6051" s="25">
        <v>5.2889999999999997E-5</v>
      </c>
      <c r="H6051" s="25">
        <v>1.2840000000000001E-5</v>
      </c>
      <c r="I6051" s="9">
        <v>1.08E-4</v>
      </c>
      <c r="J6051" s="9">
        <v>1.1058E-4</v>
      </c>
      <c r="K6051" s="9">
        <v>0</v>
      </c>
      <c r="L6051" s="9">
        <v>9.0379999999999999E-5</v>
      </c>
      <c r="M6051" s="9">
        <v>9.8419999999999996E-5</v>
      </c>
      <c r="N6051" s="9">
        <v>1.0003E-4</v>
      </c>
      <c r="O6051" s="9">
        <v>8.4460000000000001E-5</v>
      </c>
      <c r="P6051" s="9">
        <v>7.5409999999999998E-5</v>
      </c>
      <c r="Q6051" s="9">
        <v>6.6799999999999997E-5</v>
      </c>
      <c r="R6051" s="10">
        <v>1.9554051227393276E-4</v>
      </c>
      <c r="S6051" s="10">
        <v>9.579099736423092E-5</v>
      </c>
      <c r="T6051" s="10">
        <v>0</v>
      </c>
      <c r="U6051" s="10">
        <v>6.9510000000000004E-5</v>
      </c>
      <c r="V6051" s="25"/>
      <c r="W6051" s="25"/>
      <c r="X6051" s="25"/>
      <c r="Y6051" s="25"/>
      <c r="Z6051" s="25"/>
      <c r="AA6051" s="25"/>
    </row>
    <row r="6052" spans="1:27" x14ac:dyDescent="0.35">
      <c r="A6052" s="5">
        <v>6048</v>
      </c>
      <c r="B6052" s="5">
        <v>252</v>
      </c>
      <c r="C6052" s="5">
        <v>9</v>
      </c>
      <c r="D6052" s="25">
        <v>1.1415000000000001E-4</v>
      </c>
      <c r="E6052" s="25">
        <v>1.1845000000000001E-4</v>
      </c>
      <c r="F6052" s="25">
        <v>1.3145999999999999E-4</v>
      </c>
      <c r="G6052" s="25">
        <v>5.5680000000000002E-5</v>
      </c>
      <c r="H6052" s="25">
        <v>1.5099999999999999E-5</v>
      </c>
      <c r="I6052" s="9">
        <v>1.0136000000000001E-4</v>
      </c>
      <c r="J6052" s="9">
        <v>1.0273E-4</v>
      </c>
      <c r="K6052" s="9">
        <v>0</v>
      </c>
      <c r="L6052" s="9">
        <v>8.6020000000000007E-5</v>
      </c>
      <c r="M6052" s="9">
        <v>8.7219999999999995E-5</v>
      </c>
      <c r="N6052" s="9">
        <v>9.0699999999999996E-5</v>
      </c>
      <c r="O6052" s="9">
        <v>7.9359999999999999E-5</v>
      </c>
      <c r="P6052" s="9">
        <v>6.8990000000000002E-5</v>
      </c>
      <c r="Q6052" s="9">
        <v>5.906E-5</v>
      </c>
      <c r="R6052" s="10">
        <v>2.0393782106858325E-4</v>
      </c>
      <c r="S6052" s="10">
        <v>1.029662224151417E-4</v>
      </c>
      <c r="T6052" s="10">
        <v>0</v>
      </c>
      <c r="U6052" s="10">
        <v>6.9510000000000004E-5</v>
      </c>
      <c r="V6052" s="25"/>
      <c r="W6052" s="25"/>
      <c r="X6052" s="25"/>
      <c r="Y6052" s="25"/>
      <c r="Z6052" s="25"/>
      <c r="AA6052" s="25"/>
    </row>
    <row r="6053" spans="1:27" x14ac:dyDescent="0.35">
      <c r="A6053" s="5">
        <v>6049</v>
      </c>
      <c r="B6053" s="5">
        <v>253</v>
      </c>
      <c r="C6053" s="5">
        <v>9</v>
      </c>
      <c r="D6053" s="25">
        <v>1.1416E-4</v>
      </c>
      <c r="E6053" s="25">
        <v>1.1799E-4</v>
      </c>
      <c r="F6053" s="25">
        <v>8.7180000000000002E-5</v>
      </c>
      <c r="G6053" s="25">
        <v>5.7720000000000003E-5</v>
      </c>
      <c r="H6053" s="25">
        <v>7.6569999999999994E-5</v>
      </c>
      <c r="I6053" s="9">
        <v>9.7310000000000002E-5</v>
      </c>
      <c r="J6053" s="9">
        <v>9.734E-5</v>
      </c>
      <c r="K6053" s="9">
        <v>0</v>
      </c>
      <c r="L6053" s="9">
        <v>8.0599999999999994E-5</v>
      </c>
      <c r="M6053" s="9">
        <v>7.8129999999999999E-5</v>
      </c>
      <c r="N6053" s="9">
        <v>8.1260000000000005E-5</v>
      </c>
      <c r="O6053" s="9">
        <v>5.4790000000000002E-5</v>
      </c>
      <c r="P6053" s="9">
        <v>5.4209999999999998E-5</v>
      </c>
      <c r="Q6053" s="9">
        <v>5.3779999999999997E-5</v>
      </c>
      <c r="R6053" s="10">
        <v>1.9575591490923568E-4</v>
      </c>
      <c r="S6053" s="10">
        <v>1.0123544136862741E-4</v>
      </c>
      <c r="T6053" s="10">
        <v>0</v>
      </c>
      <c r="U6053" s="10">
        <v>6.9510000000000004E-5</v>
      </c>
      <c r="V6053" s="25"/>
      <c r="W6053" s="25"/>
      <c r="X6053" s="25"/>
      <c r="Y6053" s="25"/>
      <c r="Z6053" s="25"/>
      <c r="AA6053" s="25"/>
    </row>
    <row r="6054" spans="1:27" x14ac:dyDescent="0.35">
      <c r="A6054" s="5">
        <v>6050</v>
      </c>
      <c r="B6054" s="5">
        <v>253</v>
      </c>
      <c r="C6054" s="5">
        <v>9</v>
      </c>
      <c r="D6054" s="25">
        <v>1.1415000000000001E-4</v>
      </c>
      <c r="E6054" s="25">
        <v>1.1137E-4</v>
      </c>
      <c r="F6054" s="25">
        <v>1.0176E-4</v>
      </c>
      <c r="G6054" s="25">
        <v>5.9799999999999997E-5</v>
      </c>
      <c r="H6054" s="25">
        <v>7.3490000000000003E-5</v>
      </c>
      <c r="I6054" s="9">
        <v>9.5249999999999998E-5</v>
      </c>
      <c r="J6054" s="9">
        <v>9.5550000000000005E-5</v>
      </c>
      <c r="K6054" s="9">
        <v>0</v>
      </c>
      <c r="L6054" s="9">
        <v>6.0600000000000003E-5</v>
      </c>
      <c r="M6054" s="9">
        <v>6.7409999999999993E-5</v>
      </c>
      <c r="N6054" s="9">
        <v>7.2180000000000003E-5</v>
      </c>
      <c r="O6054" s="9">
        <v>1.889E-5</v>
      </c>
      <c r="P6054" s="9">
        <v>3.7660000000000002E-5</v>
      </c>
      <c r="Q6054" s="9">
        <v>5.6039999999999999E-5</v>
      </c>
      <c r="R6054" s="10">
        <v>1.8458260552195994E-4</v>
      </c>
      <c r="S6054" s="10">
        <v>8.9190776643455891E-5</v>
      </c>
      <c r="T6054" s="10">
        <v>0</v>
      </c>
      <c r="U6054" s="10">
        <v>6.9510000000000004E-5</v>
      </c>
      <c r="V6054" s="25"/>
      <c r="W6054" s="25"/>
      <c r="X6054" s="25"/>
      <c r="Y6054" s="25"/>
      <c r="Z6054" s="25"/>
      <c r="AA6054" s="25"/>
    </row>
    <row r="6055" spans="1:27" x14ac:dyDescent="0.35">
      <c r="A6055" s="5">
        <v>6051</v>
      </c>
      <c r="B6055" s="5">
        <v>253</v>
      </c>
      <c r="C6055" s="5">
        <v>9</v>
      </c>
      <c r="D6055" s="25">
        <v>1.1416E-4</v>
      </c>
      <c r="E6055" s="25">
        <v>1.1614E-4</v>
      </c>
      <c r="F6055" s="25">
        <v>8.9759999999999994E-5</v>
      </c>
      <c r="G6055" s="25">
        <v>5.906E-5</v>
      </c>
      <c r="H6055" s="25">
        <v>7.1710000000000003E-5</v>
      </c>
      <c r="I6055" s="9">
        <v>9.3289999999999996E-5</v>
      </c>
      <c r="J6055" s="9">
        <v>9.4419999999999994E-5</v>
      </c>
      <c r="K6055" s="9">
        <v>0</v>
      </c>
      <c r="L6055" s="9">
        <v>2.8609999999999999E-5</v>
      </c>
      <c r="M6055" s="9">
        <v>5.4070000000000002E-5</v>
      </c>
      <c r="N6055" s="9">
        <v>6.5530000000000004E-5</v>
      </c>
      <c r="O6055" s="9">
        <v>1.342E-5</v>
      </c>
      <c r="P6055" s="9">
        <v>3.7610000000000001E-5</v>
      </c>
      <c r="Q6055" s="9">
        <v>6.1309999999999994E-5</v>
      </c>
      <c r="R6055" s="10">
        <v>1.6969095184672718E-4</v>
      </c>
      <c r="S6055" s="10">
        <v>7.8738260188090749E-5</v>
      </c>
      <c r="T6055" s="10">
        <v>0</v>
      </c>
      <c r="U6055" s="10">
        <v>6.9510000000000004E-5</v>
      </c>
      <c r="V6055" s="25"/>
      <c r="W6055" s="25"/>
      <c r="X6055" s="25"/>
      <c r="Y6055" s="25"/>
      <c r="Z6055" s="25"/>
      <c r="AA6055" s="25"/>
    </row>
    <row r="6056" spans="1:27" x14ac:dyDescent="0.35">
      <c r="A6056" s="5">
        <v>6052</v>
      </c>
      <c r="B6056" s="5">
        <v>253</v>
      </c>
      <c r="C6056" s="5">
        <v>9</v>
      </c>
      <c r="D6056" s="25">
        <v>1.1415000000000001E-4</v>
      </c>
      <c r="E6056" s="25">
        <v>1.1293E-4</v>
      </c>
      <c r="F6056" s="25">
        <v>8.8220000000000006E-5</v>
      </c>
      <c r="G6056" s="25">
        <v>6.0579999999999999E-5</v>
      </c>
      <c r="H6056" s="25">
        <v>7.6359999999999994E-5</v>
      </c>
      <c r="I6056" s="9">
        <v>9.48E-5</v>
      </c>
      <c r="J6056" s="9">
        <v>9.4500000000000007E-5</v>
      </c>
      <c r="K6056" s="9">
        <v>0</v>
      </c>
      <c r="L6056" s="9">
        <v>1.7620000000000001E-5</v>
      </c>
      <c r="M6056" s="9">
        <v>4.4919999999999997E-5</v>
      </c>
      <c r="N6056" s="9">
        <v>6.1890000000000005E-5</v>
      </c>
      <c r="O6056" s="9">
        <v>1.347E-5</v>
      </c>
      <c r="P6056" s="9">
        <v>4.7209999999999997E-5</v>
      </c>
      <c r="Q6056" s="9">
        <v>8.03E-5</v>
      </c>
      <c r="R6056" s="10">
        <v>1.6373954122209902E-4</v>
      </c>
      <c r="S6056" s="10">
        <v>7.3809147414692294E-5</v>
      </c>
      <c r="T6056" s="10">
        <v>0</v>
      </c>
      <c r="U6056" s="10">
        <v>6.9510000000000004E-5</v>
      </c>
      <c r="V6056" s="25"/>
      <c r="W6056" s="25"/>
      <c r="X6056" s="25"/>
      <c r="Y6056" s="25"/>
      <c r="Z6056" s="25"/>
      <c r="AA6056" s="25"/>
    </row>
    <row r="6057" spans="1:27" x14ac:dyDescent="0.35">
      <c r="A6057" s="5">
        <v>6053</v>
      </c>
      <c r="B6057" s="5">
        <v>253</v>
      </c>
      <c r="C6057" s="5">
        <v>9</v>
      </c>
      <c r="D6057" s="25">
        <v>1.1416E-4</v>
      </c>
      <c r="E6057" s="25">
        <v>1.1385E-4</v>
      </c>
      <c r="F6057" s="25">
        <v>1.0620000000000001E-4</v>
      </c>
      <c r="G6057" s="25">
        <v>5.3489999999999998E-5</v>
      </c>
      <c r="H6057" s="25">
        <v>7.4289999999999995E-5</v>
      </c>
      <c r="I6057" s="9">
        <v>9.8839999999999996E-5</v>
      </c>
      <c r="J6057" s="9">
        <v>9.6970000000000002E-5</v>
      </c>
      <c r="K6057" s="9">
        <v>0</v>
      </c>
      <c r="L6057" s="9">
        <v>1.456E-5</v>
      </c>
      <c r="M6057" s="9">
        <v>4.3720000000000002E-5</v>
      </c>
      <c r="N6057" s="9">
        <v>6.4410000000000002E-5</v>
      </c>
      <c r="O6057" s="9">
        <v>1.8790000000000001E-5</v>
      </c>
      <c r="P6057" s="9">
        <v>5.6190000000000002E-5</v>
      </c>
      <c r="Q6057" s="9">
        <v>9.2910000000000003E-5</v>
      </c>
      <c r="R6057" s="10">
        <v>1.6263581588837629E-4</v>
      </c>
      <c r="S6057" s="10">
        <v>6.9381854904490507E-5</v>
      </c>
      <c r="T6057" s="10">
        <v>0</v>
      </c>
      <c r="U6057" s="10">
        <v>6.9510000000000004E-5</v>
      </c>
      <c r="V6057" s="25"/>
      <c r="W6057" s="25"/>
      <c r="X6057" s="25"/>
      <c r="Y6057" s="25"/>
      <c r="Z6057" s="25"/>
      <c r="AA6057" s="25"/>
    </row>
    <row r="6058" spans="1:27" x14ac:dyDescent="0.35">
      <c r="A6058" s="5">
        <v>6054</v>
      </c>
      <c r="B6058" s="5">
        <v>253</v>
      </c>
      <c r="C6058" s="5">
        <v>9</v>
      </c>
      <c r="D6058" s="25">
        <v>1.1415000000000001E-4</v>
      </c>
      <c r="E6058" s="25">
        <v>1.1251000000000001E-4</v>
      </c>
      <c r="F6058" s="25">
        <v>8.9019999999999998E-5</v>
      </c>
      <c r="G6058" s="25">
        <v>1.1171999999999999E-4</v>
      </c>
      <c r="H6058" s="25">
        <v>1.3810999999999999E-4</v>
      </c>
      <c r="I6058" s="9">
        <v>1.1008E-4</v>
      </c>
      <c r="J6058" s="9">
        <v>1.0628000000000001E-4</v>
      </c>
      <c r="K6058" s="9">
        <v>0</v>
      </c>
      <c r="L6058" s="9">
        <v>1.7730000000000001E-5</v>
      </c>
      <c r="M6058" s="9">
        <v>4.8279999999999999E-5</v>
      </c>
      <c r="N6058" s="9">
        <v>7.08E-5</v>
      </c>
      <c r="O6058" s="9">
        <v>4.6570000000000003E-5</v>
      </c>
      <c r="P6058" s="9">
        <v>7.7299999999999995E-5</v>
      </c>
      <c r="Q6058" s="9">
        <v>1.0763E-4</v>
      </c>
      <c r="R6058" s="10">
        <v>1.6362211457978193E-4</v>
      </c>
      <c r="S6058" s="10">
        <v>6.757923617803111E-5</v>
      </c>
      <c r="T6058" s="10">
        <v>0</v>
      </c>
      <c r="U6058" s="10">
        <v>6.9510000000000004E-5</v>
      </c>
      <c r="V6058" s="25"/>
      <c r="W6058" s="25"/>
      <c r="X6058" s="25"/>
      <c r="Y6058" s="25"/>
      <c r="Z6058" s="25"/>
      <c r="AA6058" s="25"/>
    </row>
    <row r="6059" spans="1:27" x14ac:dyDescent="0.35">
      <c r="A6059" s="5">
        <v>6055</v>
      </c>
      <c r="B6059" s="5">
        <v>253</v>
      </c>
      <c r="C6059" s="5">
        <v>9</v>
      </c>
      <c r="D6059" s="25">
        <v>1.1416E-4</v>
      </c>
      <c r="E6059" s="25">
        <v>1.0883999999999999E-4</v>
      </c>
      <c r="F6059" s="25">
        <v>1.0658E-4</v>
      </c>
      <c r="G6059" s="25">
        <v>1.1278E-4</v>
      </c>
      <c r="H6059" s="25">
        <v>1.3495E-4</v>
      </c>
      <c r="I6059" s="9">
        <v>1.1817E-4</v>
      </c>
      <c r="J6059" s="9">
        <v>1.1818E-4</v>
      </c>
      <c r="K6059" s="9">
        <v>0</v>
      </c>
      <c r="L6059" s="9">
        <v>4.0089999999999997E-5</v>
      </c>
      <c r="M6059" s="9">
        <v>6.0019999999999998E-5</v>
      </c>
      <c r="N6059" s="9">
        <v>8.0649999999999995E-5</v>
      </c>
      <c r="O6059" s="9">
        <v>1.2421000000000001E-4</v>
      </c>
      <c r="P6059" s="9">
        <v>1.1852E-4</v>
      </c>
      <c r="Q6059" s="9">
        <v>1.1353000000000001E-4</v>
      </c>
      <c r="R6059" s="10">
        <v>1.6766650324545612E-4</v>
      </c>
      <c r="S6059" s="10">
        <v>6.851804925702482E-5</v>
      </c>
      <c r="T6059" s="10">
        <v>5.9636140132151755E-5</v>
      </c>
      <c r="U6059" s="10">
        <v>6.9510000000000004E-5</v>
      </c>
      <c r="V6059" s="25"/>
      <c r="W6059" s="25"/>
      <c r="X6059" s="25"/>
      <c r="Y6059" s="25"/>
      <c r="Z6059" s="25"/>
      <c r="AA6059" s="25"/>
    </row>
    <row r="6060" spans="1:27" x14ac:dyDescent="0.35">
      <c r="A6060" s="5">
        <v>6056</v>
      </c>
      <c r="B6060" s="5">
        <v>253</v>
      </c>
      <c r="C6060" s="5">
        <v>9</v>
      </c>
      <c r="D6060" s="25">
        <v>1.1415000000000001E-4</v>
      </c>
      <c r="E6060" s="25">
        <v>1.1463000000000001E-4</v>
      </c>
      <c r="F6060" s="25">
        <v>9.9300000000000001E-5</v>
      </c>
      <c r="G6060" s="25">
        <v>1.6731999999999999E-4</v>
      </c>
      <c r="H6060" s="25">
        <v>1.9147000000000001E-4</v>
      </c>
      <c r="I6060" s="9">
        <v>1.228E-4</v>
      </c>
      <c r="J6060" s="9">
        <v>1.2762E-4</v>
      </c>
      <c r="K6060" s="9">
        <v>0</v>
      </c>
      <c r="L6060" s="9">
        <v>1.0508E-4</v>
      </c>
      <c r="M6060" s="9">
        <v>8.4129999999999996E-5</v>
      </c>
      <c r="N6060" s="9">
        <v>9.1009999999999998E-5</v>
      </c>
      <c r="O6060" s="9">
        <v>2.1922000000000001E-4</v>
      </c>
      <c r="P6060" s="9">
        <v>1.7704E-4</v>
      </c>
      <c r="Q6060" s="9">
        <v>1.3676000000000001E-4</v>
      </c>
      <c r="R6060" s="10">
        <v>1.6840326333350094E-4</v>
      </c>
      <c r="S6060" s="10">
        <v>7.2200062621689647E-5</v>
      </c>
      <c r="T6060" s="10">
        <v>2.3672892046767649E-4</v>
      </c>
      <c r="U6060" s="10">
        <v>6.9510000000000004E-5</v>
      </c>
      <c r="V6060" s="25"/>
      <c r="W6060" s="25"/>
      <c r="X6060" s="25"/>
      <c r="Y6060" s="25"/>
      <c r="Z6060" s="25"/>
      <c r="AA6060" s="25"/>
    </row>
    <row r="6061" spans="1:27" x14ac:dyDescent="0.35">
      <c r="A6061" s="5">
        <v>6057</v>
      </c>
      <c r="B6061" s="5">
        <v>253</v>
      </c>
      <c r="C6061" s="5">
        <v>9</v>
      </c>
      <c r="D6061" s="25">
        <v>1.1416E-4</v>
      </c>
      <c r="E6061" s="25">
        <v>1.1179999999999999E-4</v>
      </c>
      <c r="F6061" s="25">
        <v>1.0359E-4</v>
      </c>
      <c r="G6061" s="25">
        <v>1.5736E-4</v>
      </c>
      <c r="H6061" s="25">
        <v>1.9306E-4</v>
      </c>
      <c r="I6061" s="9">
        <v>1.2674999999999999E-4</v>
      </c>
      <c r="J6061" s="9">
        <v>1.3127000000000001E-4</v>
      </c>
      <c r="K6061" s="9">
        <v>0</v>
      </c>
      <c r="L6061" s="9">
        <v>1.9233E-4</v>
      </c>
      <c r="M6061" s="9">
        <v>1.2381999999999999E-4</v>
      </c>
      <c r="N6061" s="9">
        <v>1.0478E-4</v>
      </c>
      <c r="O6061" s="9">
        <v>2.0913999999999999E-4</v>
      </c>
      <c r="P6061" s="9">
        <v>1.9155999999999999E-4</v>
      </c>
      <c r="Q6061" s="9">
        <v>1.7543999999999999E-4</v>
      </c>
      <c r="R6061" s="10">
        <v>1.555783696431286E-4</v>
      </c>
      <c r="S6061" s="10">
        <v>7.1594975751615932E-5</v>
      </c>
      <c r="T6061" s="10">
        <v>3.7827248652610415E-4</v>
      </c>
      <c r="U6061" s="10">
        <v>6.9510000000000004E-5</v>
      </c>
      <c r="V6061" s="25"/>
      <c r="W6061" s="25"/>
      <c r="X6061" s="25"/>
      <c r="Y6061" s="25"/>
      <c r="Z6061" s="25"/>
      <c r="AA6061" s="25"/>
    </row>
    <row r="6062" spans="1:27" x14ac:dyDescent="0.35">
      <c r="A6062" s="5">
        <v>6058</v>
      </c>
      <c r="B6062" s="5">
        <v>253</v>
      </c>
      <c r="C6062" s="5">
        <v>9</v>
      </c>
      <c r="D6062" s="25">
        <v>1.1415000000000001E-4</v>
      </c>
      <c r="E6062" s="25">
        <v>1.1120000000000001E-4</v>
      </c>
      <c r="F6062" s="25">
        <v>9.1879999999999994E-5</v>
      </c>
      <c r="G6062" s="25">
        <v>1.6478E-4</v>
      </c>
      <c r="H6062" s="25">
        <v>1.9440000000000001E-4</v>
      </c>
      <c r="I6062" s="9">
        <v>1.2692000000000001E-4</v>
      </c>
      <c r="J6062" s="9">
        <v>1.3165E-4</v>
      </c>
      <c r="K6062" s="9">
        <v>0</v>
      </c>
      <c r="L6062" s="9">
        <v>2.0316E-4</v>
      </c>
      <c r="M6062" s="9">
        <v>1.5824E-4</v>
      </c>
      <c r="N6062" s="9">
        <v>1.2448E-4</v>
      </c>
      <c r="O6062" s="9">
        <v>1.6746E-4</v>
      </c>
      <c r="P6062" s="9">
        <v>1.7471000000000001E-4</v>
      </c>
      <c r="Q6062" s="9">
        <v>1.8274E-4</v>
      </c>
      <c r="R6062" s="10">
        <v>8.901342640700184E-5</v>
      </c>
      <c r="S6062" s="10">
        <v>6.8949177561371131E-5</v>
      </c>
      <c r="T6062" s="10">
        <v>5.3592773705045231E-4</v>
      </c>
      <c r="U6062" s="10">
        <v>6.9510000000000004E-5</v>
      </c>
      <c r="V6062" s="25"/>
      <c r="W6062" s="25"/>
      <c r="X6062" s="25"/>
      <c r="Y6062" s="25"/>
      <c r="Z6062" s="25"/>
      <c r="AA6062" s="25"/>
    </row>
    <row r="6063" spans="1:27" x14ac:dyDescent="0.35">
      <c r="A6063" s="5">
        <v>6059</v>
      </c>
      <c r="B6063" s="5">
        <v>253</v>
      </c>
      <c r="C6063" s="5">
        <v>9</v>
      </c>
      <c r="D6063" s="25">
        <v>1.1416E-4</v>
      </c>
      <c r="E6063" s="25">
        <v>1.1340000000000001E-4</v>
      </c>
      <c r="F6063" s="25">
        <v>9.9110000000000005E-5</v>
      </c>
      <c r="G6063" s="25">
        <v>1.6138E-4</v>
      </c>
      <c r="H6063" s="25">
        <v>1.9953000000000001E-4</v>
      </c>
      <c r="I6063" s="9">
        <v>1.2867999999999999E-4</v>
      </c>
      <c r="J6063" s="9">
        <v>1.3122000000000001E-4</v>
      </c>
      <c r="K6063" s="9">
        <v>0</v>
      </c>
      <c r="L6063" s="9">
        <v>1.7543999999999999E-4</v>
      </c>
      <c r="M6063" s="9">
        <v>1.7211E-4</v>
      </c>
      <c r="N6063" s="9">
        <v>1.4270999999999999E-4</v>
      </c>
      <c r="O6063" s="9">
        <v>1.6642E-4</v>
      </c>
      <c r="P6063" s="9">
        <v>1.7227E-4</v>
      </c>
      <c r="Q6063" s="9">
        <v>1.7893E-4</v>
      </c>
      <c r="R6063" s="10">
        <v>6.0559378714941298E-5</v>
      </c>
      <c r="S6063" s="10">
        <v>6.5673909648221798E-5</v>
      </c>
      <c r="T6063" s="10">
        <v>6.4225297650643838E-4</v>
      </c>
      <c r="U6063" s="10">
        <v>6.9510000000000004E-5</v>
      </c>
      <c r="V6063" s="25"/>
      <c r="W6063" s="25"/>
      <c r="X6063" s="25"/>
      <c r="Y6063" s="25"/>
      <c r="Z6063" s="25"/>
      <c r="AA6063" s="25"/>
    </row>
    <row r="6064" spans="1:27" x14ac:dyDescent="0.35">
      <c r="A6064" s="5">
        <v>6060</v>
      </c>
      <c r="B6064" s="5">
        <v>253</v>
      </c>
      <c r="C6064" s="5">
        <v>9</v>
      </c>
      <c r="D6064" s="25">
        <v>1.1415000000000001E-4</v>
      </c>
      <c r="E6064" s="25">
        <v>1.0891999999999999E-4</v>
      </c>
      <c r="F6064" s="25">
        <v>9.8170000000000004E-5</v>
      </c>
      <c r="G6064" s="25">
        <v>1.5953000000000001E-4</v>
      </c>
      <c r="H6064" s="25">
        <v>1.9508000000000001E-4</v>
      </c>
      <c r="I6064" s="9">
        <v>1.2545000000000001E-4</v>
      </c>
      <c r="J6064" s="9">
        <v>1.2889999999999999E-4</v>
      </c>
      <c r="K6064" s="9">
        <v>0</v>
      </c>
      <c r="L6064" s="9">
        <v>1.6977E-4</v>
      </c>
      <c r="M6064" s="9">
        <v>1.7456000000000001E-4</v>
      </c>
      <c r="N6064" s="9">
        <v>1.5663E-4</v>
      </c>
      <c r="O6064" s="9">
        <v>1.6998E-4</v>
      </c>
      <c r="P6064" s="9">
        <v>1.7176999999999999E-4</v>
      </c>
      <c r="Q6064" s="9">
        <v>1.7443999999999999E-4</v>
      </c>
      <c r="R6064" s="10">
        <v>5.2852656172605117E-5</v>
      </c>
      <c r="S6064" s="10">
        <v>5.6457729670713504E-5</v>
      </c>
      <c r="T6064" s="10">
        <v>7.2589968379949349E-4</v>
      </c>
      <c r="U6064" s="10">
        <v>6.9510000000000004E-5</v>
      </c>
      <c r="V6064" s="25"/>
      <c r="W6064" s="25"/>
      <c r="X6064" s="25"/>
      <c r="Y6064" s="25"/>
      <c r="Z6064" s="25"/>
      <c r="AA6064" s="25"/>
    </row>
    <row r="6065" spans="1:27" x14ac:dyDescent="0.35">
      <c r="A6065" s="5">
        <v>6061</v>
      </c>
      <c r="B6065" s="5">
        <v>253</v>
      </c>
      <c r="C6065" s="5">
        <v>9</v>
      </c>
      <c r="D6065" s="25">
        <v>1.1416E-4</v>
      </c>
      <c r="E6065" s="25">
        <v>1.1631E-4</v>
      </c>
      <c r="F6065" s="25">
        <v>9.5710000000000004E-5</v>
      </c>
      <c r="G6065" s="25">
        <v>1.5626999999999999E-4</v>
      </c>
      <c r="H6065" s="25">
        <v>1.9968000000000001E-4</v>
      </c>
      <c r="I6065" s="9">
        <v>1.2467000000000001E-4</v>
      </c>
      <c r="J6065" s="9">
        <v>1.2829000000000001E-4</v>
      </c>
      <c r="K6065" s="9">
        <v>0</v>
      </c>
      <c r="L6065" s="9">
        <v>1.7009999999999999E-4</v>
      </c>
      <c r="M6065" s="9">
        <v>1.7369999999999999E-4</v>
      </c>
      <c r="N6065" s="9">
        <v>1.6611999999999999E-4</v>
      </c>
      <c r="O6065" s="9">
        <v>1.6281999999999999E-4</v>
      </c>
      <c r="P6065" s="9">
        <v>1.6542E-4</v>
      </c>
      <c r="Q6065" s="9">
        <v>1.6885000000000001E-4</v>
      </c>
      <c r="R6065" s="10">
        <v>7.1276530210048094E-5</v>
      </c>
      <c r="S6065" s="10">
        <v>5.9093808565698864E-5</v>
      </c>
      <c r="T6065" s="10">
        <v>7.1200240146396005E-4</v>
      </c>
      <c r="U6065" s="10">
        <v>6.9510000000000004E-5</v>
      </c>
      <c r="V6065" s="25"/>
      <c r="W6065" s="25"/>
      <c r="X6065" s="25"/>
      <c r="Y6065" s="25"/>
      <c r="Z6065" s="25"/>
      <c r="AA6065" s="25"/>
    </row>
    <row r="6066" spans="1:27" x14ac:dyDescent="0.35">
      <c r="A6066" s="5">
        <v>6062</v>
      </c>
      <c r="B6066" s="5">
        <v>253</v>
      </c>
      <c r="C6066" s="5">
        <v>9</v>
      </c>
      <c r="D6066" s="25">
        <v>1.1415000000000001E-4</v>
      </c>
      <c r="E6066" s="25">
        <v>1.136E-4</v>
      </c>
      <c r="F6066" s="25">
        <v>1.0569999999999999E-4</v>
      </c>
      <c r="G6066" s="25">
        <v>1.6253E-4</v>
      </c>
      <c r="H6066" s="25">
        <v>1.9021000000000001E-4</v>
      </c>
      <c r="I6066" s="9">
        <v>1.2302999999999999E-4</v>
      </c>
      <c r="J6066" s="9">
        <v>1.2768E-4</v>
      </c>
      <c r="K6066" s="9">
        <v>0</v>
      </c>
      <c r="L6066" s="9">
        <v>1.6417E-4</v>
      </c>
      <c r="M6066" s="9">
        <v>1.7045999999999999E-4</v>
      </c>
      <c r="N6066" s="9">
        <v>1.7075E-4</v>
      </c>
      <c r="O6066" s="9">
        <v>1.795E-4</v>
      </c>
      <c r="P6066" s="9">
        <v>1.7027000000000001E-4</v>
      </c>
      <c r="Q6066" s="9">
        <v>1.6218E-4</v>
      </c>
      <c r="R6066" s="10">
        <v>8.7751512619973929E-5</v>
      </c>
      <c r="S6066" s="10">
        <v>6.3987831227274941E-5</v>
      </c>
      <c r="T6066" s="10">
        <v>5.8979455362450717E-4</v>
      </c>
      <c r="U6066" s="10">
        <v>6.9510000000000004E-5</v>
      </c>
      <c r="V6066" s="25"/>
      <c r="W6066" s="25"/>
      <c r="X6066" s="25"/>
      <c r="Y6066" s="25"/>
      <c r="Z6066" s="25"/>
      <c r="AA6066" s="25"/>
    </row>
    <row r="6067" spans="1:27" x14ac:dyDescent="0.35">
      <c r="A6067" s="5">
        <v>6063</v>
      </c>
      <c r="B6067" s="5">
        <v>253</v>
      </c>
      <c r="C6067" s="5">
        <v>9</v>
      </c>
      <c r="D6067" s="25">
        <v>1.1416E-4</v>
      </c>
      <c r="E6067" s="25">
        <v>1.1085E-4</v>
      </c>
      <c r="F6067" s="25">
        <v>9.6589999999999995E-5</v>
      </c>
      <c r="G6067" s="25">
        <v>1.6650000000000001E-4</v>
      </c>
      <c r="H6067" s="25">
        <v>1.9919E-4</v>
      </c>
      <c r="I6067" s="9">
        <v>1.2157E-4</v>
      </c>
      <c r="J6067" s="9">
        <v>1.2663999999999999E-4</v>
      </c>
      <c r="K6067" s="9">
        <v>0</v>
      </c>
      <c r="L6067" s="9">
        <v>1.7626E-4</v>
      </c>
      <c r="M6067" s="9">
        <v>1.6945999999999999E-4</v>
      </c>
      <c r="N6067" s="9">
        <v>1.706E-4</v>
      </c>
      <c r="O6067" s="9">
        <v>1.8414000000000001E-4</v>
      </c>
      <c r="P6067" s="9">
        <v>1.6810999999999999E-4</v>
      </c>
      <c r="Q6067" s="9">
        <v>1.5333E-4</v>
      </c>
      <c r="R6067" s="10">
        <v>9.6467679579529962E-5</v>
      </c>
      <c r="S6067" s="10">
        <v>7.2283081202978151E-5</v>
      </c>
      <c r="T6067" s="10">
        <v>5.4853540588476412E-4</v>
      </c>
      <c r="U6067" s="10">
        <v>6.9510000000000004E-5</v>
      </c>
      <c r="V6067" s="25"/>
      <c r="W6067" s="25"/>
      <c r="X6067" s="25"/>
      <c r="Y6067" s="25"/>
      <c r="Z6067" s="25"/>
      <c r="AA6067" s="25"/>
    </row>
    <row r="6068" spans="1:27" x14ac:dyDescent="0.35">
      <c r="A6068" s="5">
        <v>6064</v>
      </c>
      <c r="B6068" s="5">
        <v>253</v>
      </c>
      <c r="C6068" s="5">
        <v>9</v>
      </c>
      <c r="D6068" s="25">
        <v>1.1415000000000001E-4</v>
      </c>
      <c r="E6068" s="25">
        <v>1.1511E-4</v>
      </c>
      <c r="F6068" s="25">
        <v>1.0399999999999999E-4</v>
      </c>
      <c r="G6068" s="25">
        <v>1.6372000000000001E-4</v>
      </c>
      <c r="H6068" s="25">
        <v>1.9929999999999999E-4</v>
      </c>
      <c r="I6068" s="9">
        <v>1.2095E-4</v>
      </c>
      <c r="J6068" s="9">
        <v>1.2667000000000001E-4</v>
      </c>
      <c r="K6068" s="9">
        <v>0</v>
      </c>
      <c r="L6068" s="9">
        <v>1.8210000000000001E-4</v>
      </c>
      <c r="M6068" s="9">
        <v>1.6880000000000001E-4</v>
      </c>
      <c r="N6068" s="9">
        <v>1.6684999999999999E-4</v>
      </c>
      <c r="O6068" s="9">
        <v>1.9881E-4</v>
      </c>
      <c r="P6068" s="9">
        <v>1.539E-4</v>
      </c>
      <c r="Q6068" s="9">
        <v>1.108E-4</v>
      </c>
      <c r="R6068" s="10">
        <v>9.7723630269012964E-5</v>
      </c>
      <c r="S6068" s="10">
        <v>8.7405942831031368E-5</v>
      </c>
      <c r="T6068" s="10">
        <v>3.8479691272636369E-4</v>
      </c>
      <c r="U6068" s="10">
        <v>6.9510000000000004E-5</v>
      </c>
      <c r="V6068" s="25"/>
      <c r="W6068" s="25"/>
      <c r="X6068" s="25"/>
      <c r="Y6068" s="25"/>
      <c r="Z6068" s="25"/>
      <c r="AA6068" s="25"/>
    </row>
    <row r="6069" spans="1:27" x14ac:dyDescent="0.35">
      <c r="A6069" s="5">
        <v>6065</v>
      </c>
      <c r="B6069" s="5">
        <v>253</v>
      </c>
      <c r="C6069" s="5">
        <v>9</v>
      </c>
      <c r="D6069" s="25">
        <v>1.1416E-4</v>
      </c>
      <c r="E6069" s="25">
        <v>1.1409E-4</v>
      </c>
      <c r="F6069" s="25">
        <v>9.8880000000000002E-5</v>
      </c>
      <c r="G6069" s="25">
        <v>1.6642E-4</v>
      </c>
      <c r="H6069" s="25">
        <v>1.9238999999999999E-4</v>
      </c>
      <c r="I6069" s="9">
        <v>1.2095999999999999E-4</v>
      </c>
      <c r="J6069" s="9">
        <v>1.2792000000000001E-4</v>
      </c>
      <c r="K6069" s="9">
        <v>0</v>
      </c>
      <c r="L6069" s="9">
        <v>1.9493000000000001E-4</v>
      </c>
      <c r="M6069" s="9">
        <v>1.6333999999999999E-4</v>
      </c>
      <c r="N6069" s="9">
        <v>1.5331000000000001E-4</v>
      </c>
      <c r="O6069" s="9">
        <v>2.1246000000000001E-4</v>
      </c>
      <c r="P6069" s="9">
        <v>1.5851E-4</v>
      </c>
      <c r="Q6069" s="9">
        <v>1.0662000000000001E-4</v>
      </c>
      <c r="R6069" s="10">
        <v>1.0163814001351085E-4</v>
      </c>
      <c r="S6069" s="10">
        <v>9.9019482633354839E-5</v>
      </c>
      <c r="T6069" s="10">
        <v>2.1630721193188347E-4</v>
      </c>
      <c r="U6069" s="10">
        <v>6.9510000000000004E-5</v>
      </c>
      <c r="V6069" s="25"/>
      <c r="W6069" s="25"/>
      <c r="X6069" s="25"/>
      <c r="Y6069" s="25"/>
      <c r="Z6069" s="25"/>
      <c r="AA6069" s="25"/>
    </row>
    <row r="6070" spans="1:27" x14ac:dyDescent="0.35">
      <c r="A6070" s="5">
        <v>6066</v>
      </c>
      <c r="B6070" s="5">
        <v>253</v>
      </c>
      <c r="C6070" s="5">
        <v>9</v>
      </c>
      <c r="D6070" s="25">
        <v>1.1415000000000001E-4</v>
      </c>
      <c r="E6070" s="25">
        <v>1.1582999999999999E-4</v>
      </c>
      <c r="F6070" s="25">
        <v>9.0019999999999995E-5</v>
      </c>
      <c r="G6070" s="25">
        <v>1.6451000000000001E-4</v>
      </c>
      <c r="H6070" s="25">
        <v>1.9830999999999999E-4</v>
      </c>
      <c r="I6070" s="9">
        <v>1.1806E-4</v>
      </c>
      <c r="J6070" s="9">
        <v>1.2515000000000001E-4</v>
      </c>
      <c r="K6070" s="9">
        <v>0</v>
      </c>
      <c r="L6070" s="9">
        <v>2.0834E-4</v>
      </c>
      <c r="M6070" s="9">
        <v>1.6008999999999999E-4</v>
      </c>
      <c r="N6070" s="9">
        <v>1.3972999999999999E-4</v>
      </c>
      <c r="O6070" s="9">
        <v>2.0592000000000001E-4</v>
      </c>
      <c r="P6070" s="9">
        <v>1.6113999999999999E-4</v>
      </c>
      <c r="Q6070" s="9">
        <v>1.1823E-4</v>
      </c>
      <c r="R6070" s="10">
        <v>9.7811616168150319E-5</v>
      </c>
      <c r="S6070" s="10">
        <v>1.0318772268178602E-4</v>
      </c>
      <c r="T6070" s="10">
        <v>4.3261442386376695E-5</v>
      </c>
      <c r="U6070" s="10">
        <v>6.9510000000000004E-5</v>
      </c>
      <c r="V6070" s="25"/>
      <c r="W6070" s="25"/>
      <c r="X6070" s="25"/>
      <c r="Y6070" s="25"/>
      <c r="Z6070" s="25"/>
      <c r="AA6070" s="25"/>
    </row>
    <row r="6071" spans="1:27" x14ac:dyDescent="0.35">
      <c r="A6071" s="5">
        <v>6067</v>
      </c>
      <c r="B6071" s="5">
        <v>253</v>
      </c>
      <c r="C6071" s="5">
        <v>9</v>
      </c>
      <c r="D6071" s="25">
        <v>1.1416E-4</v>
      </c>
      <c r="E6071" s="25">
        <v>1.0993E-4</v>
      </c>
      <c r="F6071" s="25">
        <v>1.0734E-4</v>
      </c>
      <c r="G6071" s="25">
        <v>1.0938E-4</v>
      </c>
      <c r="H6071" s="25">
        <v>1.2729000000000001E-4</v>
      </c>
      <c r="I6071" s="9">
        <v>1.1472E-4</v>
      </c>
      <c r="J6071" s="9">
        <v>1.2255E-4</v>
      </c>
      <c r="K6071" s="9">
        <v>0</v>
      </c>
      <c r="L6071" s="9">
        <v>2.0610999999999999E-4</v>
      </c>
      <c r="M6071" s="9">
        <v>1.5977E-4</v>
      </c>
      <c r="N6071" s="9">
        <v>1.306E-4</v>
      </c>
      <c r="O6071" s="9">
        <v>1.6244999999999999E-4</v>
      </c>
      <c r="P6071" s="9">
        <v>1.3357000000000001E-4</v>
      </c>
      <c r="Q6071" s="9">
        <v>1.0602E-4</v>
      </c>
      <c r="R6071" s="10">
        <v>1.1674430757230507E-4</v>
      </c>
      <c r="S6071" s="10">
        <v>1.0336871371338747E-4</v>
      </c>
      <c r="T6071" s="10">
        <v>0</v>
      </c>
      <c r="U6071" s="10">
        <v>6.9510000000000004E-5</v>
      </c>
      <c r="V6071" s="25"/>
      <c r="W6071" s="25"/>
      <c r="X6071" s="25"/>
      <c r="Y6071" s="25"/>
      <c r="Z6071" s="25"/>
      <c r="AA6071" s="25"/>
    </row>
    <row r="6072" spans="1:27" x14ac:dyDescent="0.35">
      <c r="A6072" s="5">
        <v>6068</v>
      </c>
      <c r="B6072" s="5">
        <v>253</v>
      </c>
      <c r="C6072" s="5">
        <v>9</v>
      </c>
      <c r="D6072" s="25">
        <v>1.1415000000000001E-4</v>
      </c>
      <c r="E6072" s="25">
        <v>1.0904999999999999E-4</v>
      </c>
      <c r="F6072" s="25">
        <v>9.0849999999999999E-5</v>
      </c>
      <c r="G6072" s="25">
        <v>1.0505000000000001E-4</v>
      </c>
      <c r="H6072" s="25">
        <v>1.2946E-4</v>
      </c>
      <c r="I6072" s="9">
        <v>1.1738E-4</v>
      </c>
      <c r="J6072" s="9">
        <v>1.2384000000000001E-4</v>
      </c>
      <c r="K6072" s="9">
        <v>0</v>
      </c>
      <c r="L6072" s="9">
        <v>1.7220000000000001E-4</v>
      </c>
      <c r="M6072" s="9">
        <v>1.5044E-4</v>
      </c>
      <c r="N6072" s="9">
        <v>1.2108E-4</v>
      </c>
      <c r="O6072" s="9">
        <v>1.2904999999999999E-4</v>
      </c>
      <c r="P6072" s="9">
        <v>1.1518000000000001E-4</v>
      </c>
      <c r="Q6072" s="9">
        <v>1.0217000000000001E-4</v>
      </c>
      <c r="R6072" s="10">
        <v>1.5047011359406177E-4</v>
      </c>
      <c r="S6072" s="10">
        <v>1.0026977527126857E-4</v>
      </c>
      <c r="T6072" s="10">
        <v>0</v>
      </c>
      <c r="U6072" s="10">
        <v>6.9510000000000004E-5</v>
      </c>
      <c r="V6072" s="25"/>
      <c r="W6072" s="25"/>
      <c r="X6072" s="25"/>
      <c r="Y6072" s="25"/>
      <c r="Z6072" s="25"/>
      <c r="AA6072" s="25"/>
    </row>
    <row r="6073" spans="1:27" x14ac:dyDescent="0.35">
      <c r="A6073" s="5">
        <v>6069</v>
      </c>
      <c r="B6073" s="5">
        <v>253</v>
      </c>
      <c r="C6073" s="5">
        <v>9</v>
      </c>
      <c r="D6073" s="25">
        <v>1.1416E-4</v>
      </c>
      <c r="E6073" s="25">
        <v>1.0857E-4</v>
      </c>
      <c r="F6073" s="25">
        <v>9.3490000000000001E-5</v>
      </c>
      <c r="G6073" s="25">
        <v>5.469E-5</v>
      </c>
      <c r="H6073" s="25">
        <v>7.6520000000000006E-5</v>
      </c>
      <c r="I6073" s="9">
        <v>1.1424E-4</v>
      </c>
      <c r="J6073" s="9">
        <v>1.2026E-4</v>
      </c>
      <c r="K6073" s="9">
        <v>0</v>
      </c>
      <c r="L6073" s="9">
        <v>1.3956999999999999E-4</v>
      </c>
      <c r="M6073" s="9">
        <v>1.3514000000000001E-4</v>
      </c>
      <c r="N6073" s="9">
        <v>1.1331E-4</v>
      </c>
      <c r="O6073" s="9">
        <v>8.3980000000000006E-5</v>
      </c>
      <c r="P6073" s="9">
        <v>8.564E-5</v>
      </c>
      <c r="Q6073" s="9">
        <v>8.7620000000000005E-5</v>
      </c>
      <c r="R6073" s="10">
        <v>1.7286099646249742E-4</v>
      </c>
      <c r="S6073" s="10">
        <v>1.0593166750906447E-4</v>
      </c>
      <c r="T6073" s="10">
        <v>0</v>
      </c>
      <c r="U6073" s="10">
        <v>6.9510000000000004E-5</v>
      </c>
      <c r="V6073" s="25"/>
      <c r="W6073" s="25"/>
      <c r="X6073" s="25"/>
      <c r="Y6073" s="25"/>
      <c r="Z6073" s="25"/>
      <c r="AA6073" s="25"/>
    </row>
    <row r="6074" spans="1:27" x14ac:dyDescent="0.35">
      <c r="A6074" s="5">
        <v>6070</v>
      </c>
      <c r="B6074" s="5">
        <v>253</v>
      </c>
      <c r="C6074" s="5">
        <v>9</v>
      </c>
      <c r="D6074" s="25">
        <v>1.1415000000000001E-4</v>
      </c>
      <c r="E6074" s="25">
        <v>1.0974E-4</v>
      </c>
      <c r="F6074" s="25">
        <v>1.0107000000000001E-4</v>
      </c>
      <c r="G6074" s="25">
        <v>5.6990000000000002E-5</v>
      </c>
      <c r="H6074" s="25">
        <v>7.1740000000000001E-5</v>
      </c>
      <c r="I6074" s="9">
        <v>1.1177E-4</v>
      </c>
      <c r="J6074" s="9">
        <v>1.1292E-4</v>
      </c>
      <c r="K6074" s="9">
        <v>0</v>
      </c>
      <c r="L6074" s="9">
        <v>9.7100000000000002E-5</v>
      </c>
      <c r="M6074" s="9">
        <v>1.1340000000000001E-4</v>
      </c>
      <c r="N6074" s="9">
        <v>1.0546E-4</v>
      </c>
      <c r="O6074" s="9">
        <v>8.7600000000000002E-5</v>
      </c>
      <c r="P6074" s="9">
        <v>8.7880000000000006E-5</v>
      </c>
      <c r="Q6074" s="9">
        <v>8.8529999999999994E-5</v>
      </c>
      <c r="R6074" s="10">
        <v>1.8282202120626433E-4</v>
      </c>
      <c r="S6074" s="10">
        <v>1.1797586369615803E-4</v>
      </c>
      <c r="T6074" s="10">
        <v>0</v>
      </c>
      <c r="U6074" s="10">
        <v>6.9510000000000004E-5</v>
      </c>
      <c r="V6074" s="25"/>
      <c r="W6074" s="25"/>
      <c r="X6074" s="25"/>
      <c r="Y6074" s="25"/>
      <c r="Z6074" s="25"/>
      <c r="AA6074" s="25"/>
    </row>
    <row r="6075" spans="1:27" x14ac:dyDescent="0.35">
      <c r="A6075" s="5">
        <v>6071</v>
      </c>
      <c r="B6075" s="5">
        <v>253</v>
      </c>
      <c r="C6075" s="5">
        <v>9</v>
      </c>
      <c r="D6075" s="25">
        <v>1.1416E-4</v>
      </c>
      <c r="E6075" s="25">
        <v>1.1623E-4</v>
      </c>
      <c r="F6075" s="25">
        <v>1.0478E-4</v>
      </c>
      <c r="G6075" s="25">
        <v>5.9979999999999998E-5</v>
      </c>
      <c r="H6075" s="25">
        <v>6.834E-5</v>
      </c>
      <c r="I6075" s="9">
        <v>1.0645E-4</v>
      </c>
      <c r="J6075" s="9">
        <v>1.0712E-4</v>
      </c>
      <c r="K6075" s="9">
        <v>0</v>
      </c>
      <c r="L6075" s="9">
        <v>9.0619999999999996E-5</v>
      </c>
      <c r="M6075" s="9">
        <v>9.8889999999999997E-5</v>
      </c>
      <c r="N6075" s="9">
        <v>9.9699999999999998E-5</v>
      </c>
      <c r="O6075" s="9">
        <v>7.8330000000000004E-5</v>
      </c>
      <c r="P6075" s="9">
        <v>7.2639999999999996E-5</v>
      </c>
      <c r="Q6075" s="9">
        <v>6.7360000000000006E-5</v>
      </c>
      <c r="R6075" s="10">
        <v>1.8519145221879469E-4</v>
      </c>
      <c r="S6075" s="10">
        <v>1.3223502473722049E-4</v>
      </c>
      <c r="T6075" s="10">
        <v>0</v>
      </c>
      <c r="U6075" s="10">
        <v>6.9510000000000004E-5</v>
      </c>
      <c r="V6075" s="25"/>
      <c r="W6075" s="25"/>
      <c r="X6075" s="25"/>
      <c r="Y6075" s="25"/>
      <c r="Z6075" s="25"/>
      <c r="AA6075" s="25"/>
    </row>
    <row r="6076" spans="1:27" x14ac:dyDescent="0.35">
      <c r="A6076" s="5">
        <v>6072</v>
      </c>
      <c r="B6076" s="5">
        <v>253</v>
      </c>
      <c r="C6076" s="5">
        <v>9</v>
      </c>
      <c r="D6076" s="25">
        <v>1.1415000000000001E-4</v>
      </c>
      <c r="E6076" s="25">
        <v>1.0801E-4</v>
      </c>
      <c r="F6076" s="25">
        <v>8.7039999999999993E-5</v>
      </c>
      <c r="G6076" s="25">
        <v>5.363E-5</v>
      </c>
      <c r="H6076" s="25">
        <v>7.4980000000000004E-5</v>
      </c>
      <c r="I6076" s="9">
        <v>1.0013000000000001E-4</v>
      </c>
      <c r="J6076" s="9">
        <v>1.0001999999999999E-4</v>
      </c>
      <c r="K6076" s="9">
        <v>0</v>
      </c>
      <c r="L6076" s="9">
        <v>8.1009999999999999E-5</v>
      </c>
      <c r="M6076" s="9">
        <v>8.6260000000000004E-5</v>
      </c>
      <c r="N6076" s="9">
        <v>9.0530000000000002E-5</v>
      </c>
      <c r="O6076" s="9">
        <v>6.2700000000000006E-5</v>
      </c>
      <c r="P6076" s="9">
        <v>6.0649999999999997E-5</v>
      </c>
      <c r="Q6076" s="9">
        <v>5.8839999999999999E-5</v>
      </c>
      <c r="R6076" s="10">
        <v>1.9804994915447989E-4</v>
      </c>
      <c r="S6076" s="10">
        <v>1.4721942818348287E-4</v>
      </c>
      <c r="T6076" s="10">
        <v>0</v>
      </c>
      <c r="U6076" s="10">
        <v>6.9510000000000004E-5</v>
      </c>
      <c r="V6076" s="25"/>
      <c r="W6076" s="25"/>
      <c r="X6076" s="25"/>
      <c r="Y6076" s="25"/>
      <c r="Z6076" s="25"/>
      <c r="AA6076" s="25"/>
    </row>
    <row r="6077" spans="1:27" x14ac:dyDescent="0.35">
      <c r="A6077" s="5">
        <v>6073</v>
      </c>
      <c r="B6077" s="5">
        <v>254</v>
      </c>
      <c r="C6077" s="5">
        <v>9</v>
      </c>
      <c r="D6077" s="25">
        <v>1.1416E-4</v>
      </c>
      <c r="E6077" s="25">
        <v>1.1254E-4</v>
      </c>
      <c r="F6077" s="25">
        <v>1.2302E-4</v>
      </c>
      <c r="G6077" s="25">
        <v>5.5670000000000001E-5</v>
      </c>
      <c r="H6077" s="25">
        <v>7.5459999999999999E-5</v>
      </c>
      <c r="I6077" s="9">
        <v>9.5879999999999997E-5</v>
      </c>
      <c r="J6077" s="9">
        <v>9.4469999999999995E-5</v>
      </c>
      <c r="K6077" s="9">
        <v>0</v>
      </c>
      <c r="L6077" s="9">
        <v>6.6719999999999998E-5</v>
      </c>
      <c r="M6077" s="9">
        <v>7.415E-5</v>
      </c>
      <c r="N6077" s="9">
        <v>8.1160000000000002E-5</v>
      </c>
      <c r="O6077" s="9">
        <v>5.4219999999999999E-5</v>
      </c>
      <c r="P6077" s="9">
        <v>5.3640000000000001E-5</v>
      </c>
      <c r="Q6077" s="9">
        <v>5.3220000000000002E-5</v>
      </c>
      <c r="R6077" s="10">
        <v>1.891738729574013E-4</v>
      </c>
      <c r="S6077" s="10">
        <v>1.4141259566134701E-4</v>
      </c>
      <c r="T6077" s="10">
        <v>0</v>
      </c>
      <c r="U6077" s="10">
        <v>6.8730000000000001E-5</v>
      </c>
      <c r="V6077" s="25"/>
      <c r="W6077" s="25"/>
      <c r="X6077" s="25"/>
      <c r="Y6077" s="25"/>
      <c r="Z6077" s="25"/>
      <c r="AA6077" s="25"/>
    </row>
    <row r="6078" spans="1:27" x14ac:dyDescent="0.35">
      <c r="A6078" s="5">
        <v>6074</v>
      </c>
      <c r="B6078" s="5">
        <v>254</v>
      </c>
      <c r="C6078" s="5">
        <v>9</v>
      </c>
      <c r="D6078" s="25">
        <v>1.1415000000000001E-4</v>
      </c>
      <c r="E6078" s="25">
        <v>1.1095E-4</v>
      </c>
      <c r="F6078" s="25">
        <v>1.4336000000000001E-4</v>
      </c>
      <c r="G6078" s="25">
        <v>6.2459999999999995E-5</v>
      </c>
      <c r="H6078" s="25">
        <v>6.5870000000000005E-5</v>
      </c>
      <c r="I6078" s="9">
        <v>9.1860000000000005E-5</v>
      </c>
      <c r="J6078" s="9">
        <v>9.1509999999999996E-5</v>
      </c>
      <c r="K6078" s="9">
        <v>0</v>
      </c>
      <c r="L6078" s="9">
        <v>5.736E-5</v>
      </c>
      <c r="M6078" s="9">
        <v>6.3880000000000005E-5</v>
      </c>
      <c r="N6078" s="9">
        <v>7.203E-5</v>
      </c>
      <c r="O6078" s="9">
        <v>1.8980000000000001E-5</v>
      </c>
      <c r="P6078" s="9">
        <v>3.7839999999999997E-5</v>
      </c>
      <c r="Q6078" s="9">
        <v>5.6310000000000001E-5</v>
      </c>
      <c r="R6078" s="10">
        <v>1.8369491788321833E-4</v>
      </c>
      <c r="S6078" s="10">
        <v>1.3248640262363578E-4</v>
      </c>
      <c r="T6078" s="10">
        <v>0</v>
      </c>
      <c r="U6078" s="10">
        <v>6.8730000000000001E-5</v>
      </c>
      <c r="V6078" s="25"/>
      <c r="W6078" s="25"/>
      <c r="X6078" s="25"/>
      <c r="Y6078" s="25"/>
      <c r="Z6078" s="25"/>
      <c r="AA6078" s="25"/>
    </row>
    <row r="6079" spans="1:27" x14ac:dyDescent="0.35">
      <c r="A6079" s="5">
        <v>6075</v>
      </c>
      <c r="B6079" s="5">
        <v>254</v>
      </c>
      <c r="C6079" s="5">
        <v>9</v>
      </c>
      <c r="D6079" s="25">
        <v>1.1416E-4</v>
      </c>
      <c r="E6079" s="25">
        <v>1.1323E-4</v>
      </c>
      <c r="F6079" s="25">
        <v>1.3679999999999999E-4</v>
      </c>
      <c r="G6079" s="25">
        <v>5.715E-5</v>
      </c>
      <c r="H6079" s="25">
        <v>6.9709999999999995E-5</v>
      </c>
      <c r="I6079" s="9">
        <v>8.9599999999999996E-5</v>
      </c>
      <c r="J6079" s="9">
        <v>8.9829999999999999E-5</v>
      </c>
      <c r="K6079" s="9">
        <v>0</v>
      </c>
      <c r="L6079" s="9">
        <v>2.764E-5</v>
      </c>
      <c r="M6079" s="9">
        <v>5.215E-5</v>
      </c>
      <c r="N6079" s="9">
        <v>6.5530000000000004E-5</v>
      </c>
      <c r="O6079" s="9">
        <v>1.3360000000000001E-5</v>
      </c>
      <c r="P6079" s="9">
        <v>3.7450000000000002E-5</v>
      </c>
      <c r="Q6079" s="9">
        <v>6.1029999999999997E-5</v>
      </c>
      <c r="R6079" s="10">
        <v>1.7603410766441115E-4</v>
      </c>
      <c r="S6079" s="10">
        <v>1.2163916851832845E-4</v>
      </c>
      <c r="T6079" s="10">
        <v>0</v>
      </c>
      <c r="U6079" s="10">
        <v>6.8730000000000001E-5</v>
      </c>
      <c r="V6079" s="25"/>
      <c r="W6079" s="25"/>
      <c r="X6079" s="25"/>
      <c r="Y6079" s="25"/>
      <c r="Z6079" s="25"/>
      <c r="AA6079" s="25"/>
    </row>
    <row r="6080" spans="1:27" x14ac:dyDescent="0.35">
      <c r="A6080" s="5">
        <v>6076</v>
      </c>
      <c r="B6080" s="5">
        <v>254</v>
      </c>
      <c r="C6080" s="5">
        <v>9</v>
      </c>
      <c r="D6080" s="25">
        <v>1.1415000000000001E-4</v>
      </c>
      <c r="E6080" s="25">
        <v>1.0717000000000001E-4</v>
      </c>
      <c r="F6080" s="25">
        <v>1.328E-4</v>
      </c>
      <c r="G6080" s="25">
        <v>5.8919999999999998E-5</v>
      </c>
      <c r="H6080" s="25">
        <v>6.3659999999999997E-5</v>
      </c>
      <c r="I6080" s="9">
        <v>8.8079999999999997E-5</v>
      </c>
      <c r="J6080" s="9">
        <v>8.9090000000000003E-5</v>
      </c>
      <c r="K6080" s="9">
        <v>0</v>
      </c>
      <c r="L6080" s="9">
        <v>1.7229999999999999E-5</v>
      </c>
      <c r="M6080" s="9">
        <v>4.4070000000000003E-5</v>
      </c>
      <c r="N6080" s="9">
        <v>6.1820000000000001E-5</v>
      </c>
      <c r="O6080" s="9">
        <v>1.3550000000000001E-5</v>
      </c>
      <c r="P6080" s="9">
        <v>4.7479999999999999E-5</v>
      </c>
      <c r="Q6080" s="9">
        <v>8.0749999999999998E-5</v>
      </c>
      <c r="R6080" s="10">
        <v>1.6496191803504616E-4</v>
      </c>
      <c r="S6080" s="10">
        <v>1.1972462979784241E-4</v>
      </c>
      <c r="T6080" s="10">
        <v>0</v>
      </c>
      <c r="U6080" s="10">
        <v>6.8730000000000001E-5</v>
      </c>
      <c r="V6080" s="25"/>
      <c r="W6080" s="25"/>
      <c r="X6080" s="25"/>
      <c r="Y6080" s="25"/>
      <c r="Z6080" s="25"/>
      <c r="AA6080" s="25"/>
    </row>
    <row r="6081" spans="1:27" x14ac:dyDescent="0.35">
      <c r="A6081" s="5">
        <v>6077</v>
      </c>
      <c r="B6081" s="5">
        <v>254</v>
      </c>
      <c r="C6081" s="5">
        <v>9</v>
      </c>
      <c r="D6081" s="25">
        <v>1.1416E-4</v>
      </c>
      <c r="E6081" s="25">
        <v>1.1222000000000001E-4</v>
      </c>
      <c r="F6081" s="25">
        <v>1.4423999999999999E-4</v>
      </c>
      <c r="G6081" s="25">
        <v>6.321E-5</v>
      </c>
      <c r="H6081" s="25">
        <v>7.3059999999999995E-5</v>
      </c>
      <c r="I6081" s="9">
        <v>8.9149999999999999E-5</v>
      </c>
      <c r="J6081" s="9">
        <v>8.9450000000000006E-5</v>
      </c>
      <c r="K6081" s="9">
        <v>0</v>
      </c>
      <c r="L6081" s="9">
        <v>1.4600000000000001E-5</v>
      </c>
      <c r="M6081" s="9">
        <v>4.3479999999999997E-5</v>
      </c>
      <c r="N6081" s="9">
        <v>6.4430000000000005E-5</v>
      </c>
      <c r="O6081" s="9">
        <v>1.88E-5</v>
      </c>
      <c r="P6081" s="9">
        <v>5.622E-5</v>
      </c>
      <c r="Q6081" s="9">
        <v>9.2960000000000004E-5</v>
      </c>
      <c r="R6081" s="10">
        <v>1.5055529433264533E-4</v>
      </c>
      <c r="S6081" s="10">
        <v>1.1888535367984379E-4</v>
      </c>
      <c r="T6081" s="10">
        <v>0</v>
      </c>
      <c r="U6081" s="10">
        <v>6.8730000000000001E-5</v>
      </c>
      <c r="V6081" s="25"/>
      <c r="W6081" s="25"/>
      <c r="X6081" s="25"/>
      <c r="Y6081" s="25"/>
      <c r="Z6081" s="25"/>
      <c r="AA6081" s="25"/>
    </row>
    <row r="6082" spans="1:27" x14ac:dyDescent="0.35">
      <c r="A6082" s="5">
        <v>6078</v>
      </c>
      <c r="B6082" s="5">
        <v>254</v>
      </c>
      <c r="C6082" s="5">
        <v>9</v>
      </c>
      <c r="D6082" s="25">
        <v>1.1415000000000001E-4</v>
      </c>
      <c r="E6082" s="25">
        <v>1.1264000000000001E-4</v>
      </c>
      <c r="F6082" s="25">
        <v>1.3802000000000001E-4</v>
      </c>
      <c r="G6082" s="25">
        <v>1.1255E-4</v>
      </c>
      <c r="H6082" s="25">
        <v>1.3596999999999999E-4</v>
      </c>
      <c r="I6082" s="9">
        <v>9.2780000000000003E-5</v>
      </c>
      <c r="J6082" s="9">
        <v>9.2449999999999997E-5</v>
      </c>
      <c r="K6082" s="9">
        <v>0</v>
      </c>
      <c r="L6082" s="9">
        <v>1.774E-5</v>
      </c>
      <c r="M6082" s="9">
        <v>4.8260000000000002E-5</v>
      </c>
      <c r="N6082" s="9">
        <v>7.0840000000000006E-5</v>
      </c>
      <c r="O6082" s="9">
        <v>4.621E-5</v>
      </c>
      <c r="P6082" s="9">
        <v>7.6699999999999994E-5</v>
      </c>
      <c r="Q6082" s="9">
        <v>1.0681E-4</v>
      </c>
      <c r="R6082" s="10">
        <v>1.4567229421055372E-4</v>
      </c>
      <c r="S6082" s="10">
        <v>1.1604393573123711E-4</v>
      </c>
      <c r="T6082" s="10">
        <v>0</v>
      </c>
      <c r="U6082" s="10">
        <v>6.8730000000000001E-5</v>
      </c>
      <c r="V6082" s="25"/>
      <c r="W6082" s="25"/>
      <c r="X6082" s="25"/>
      <c r="Y6082" s="25"/>
      <c r="Z6082" s="25"/>
      <c r="AA6082" s="25"/>
    </row>
    <row r="6083" spans="1:27" x14ac:dyDescent="0.35">
      <c r="A6083" s="5">
        <v>6079</v>
      </c>
      <c r="B6083" s="5">
        <v>254</v>
      </c>
      <c r="C6083" s="5">
        <v>9</v>
      </c>
      <c r="D6083" s="25">
        <v>1.1416E-4</v>
      </c>
      <c r="E6083" s="25">
        <v>1.1024E-4</v>
      </c>
      <c r="F6083" s="25">
        <v>1.2925E-4</v>
      </c>
      <c r="G6083" s="25">
        <v>1.1425999999999999E-4</v>
      </c>
      <c r="H6083" s="25">
        <v>1.3086E-4</v>
      </c>
      <c r="I6083" s="9">
        <v>9.4969999999999994E-5</v>
      </c>
      <c r="J6083" s="9">
        <v>9.6470000000000003E-5</v>
      </c>
      <c r="K6083" s="9">
        <v>0</v>
      </c>
      <c r="L6083" s="9">
        <v>3.981E-5</v>
      </c>
      <c r="M6083" s="9">
        <v>5.9849999999999998E-5</v>
      </c>
      <c r="N6083" s="9">
        <v>8.0519999999999995E-5</v>
      </c>
      <c r="O6083" s="9">
        <v>1.2218E-4</v>
      </c>
      <c r="P6083" s="9">
        <v>1.1658E-4</v>
      </c>
      <c r="Q6083" s="9">
        <v>1.1168E-4</v>
      </c>
      <c r="R6083" s="10">
        <v>1.4420252580201663E-4</v>
      </c>
      <c r="S6083" s="10">
        <v>1.1831905756771366E-4</v>
      </c>
      <c r="T6083" s="10">
        <v>6.9902142345824197E-5</v>
      </c>
      <c r="U6083" s="10">
        <v>6.8730000000000001E-5</v>
      </c>
      <c r="V6083" s="25"/>
      <c r="W6083" s="25"/>
      <c r="X6083" s="25"/>
      <c r="Y6083" s="25"/>
      <c r="Z6083" s="25"/>
      <c r="AA6083" s="25"/>
    </row>
    <row r="6084" spans="1:27" x14ac:dyDescent="0.35">
      <c r="A6084" s="5">
        <v>6080</v>
      </c>
      <c r="B6084" s="5">
        <v>254</v>
      </c>
      <c r="C6084" s="5">
        <v>9</v>
      </c>
      <c r="D6084" s="25">
        <v>1.1415000000000001E-4</v>
      </c>
      <c r="E6084" s="25">
        <v>1.1247999999999999E-4</v>
      </c>
      <c r="F6084" s="25">
        <v>1.2978999999999999E-4</v>
      </c>
      <c r="G6084" s="25">
        <v>1.6199000000000001E-4</v>
      </c>
      <c r="H6084" s="25">
        <v>1.8991E-4</v>
      </c>
      <c r="I6084" s="9">
        <v>1.0121E-4</v>
      </c>
      <c r="J6084" s="9">
        <v>1.0304E-4</v>
      </c>
      <c r="K6084" s="9">
        <v>0</v>
      </c>
      <c r="L6084" s="9">
        <v>1.0344E-4</v>
      </c>
      <c r="M6084" s="9">
        <v>8.3259999999999999E-5</v>
      </c>
      <c r="N6084" s="9">
        <v>9.0470000000000006E-5</v>
      </c>
      <c r="O6084" s="9">
        <v>2.1739E-4</v>
      </c>
      <c r="P6084" s="9">
        <v>1.7556000000000001E-4</v>
      </c>
      <c r="Q6084" s="9">
        <v>1.3562000000000001E-4</v>
      </c>
      <c r="R6084" s="10">
        <v>1.3575255061991747E-4</v>
      </c>
      <c r="S6084" s="10">
        <v>1.2385892118656664E-4</v>
      </c>
      <c r="T6084" s="10">
        <v>2.578208886521308E-4</v>
      </c>
      <c r="U6084" s="10">
        <v>6.8730000000000001E-5</v>
      </c>
      <c r="V6084" s="25"/>
      <c r="W6084" s="25"/>
      <c r="X6084" s="25"/>
      <c r="Y6084" s="25"/>
      <c r="Z6084" s="25"/>
      <c r="AA6084" s="25"/>
    </row>
    <row r="6085" spans="1:27" x14ac:dyDescent="0.35">
      <c r="A6085" s="5">
        <v>6081</v>
      </c>
      <c r="B6085" s="5">
        <v>254</v>
      </c>
      <c r="C6085" s="5">
        <v>9</v>
      </c>
      <c r="D6085" s="25">
        <v>1.1416E-4</v>
      </c>
      <c r="E6085" s="25">
        <v>1.1272E-4</v>
      </c>
      <c r="F6085" s="25">
        <v>1.2823000000000001E-4</v>
      </c>
      <c r="G6085" s="25">
        <v>1.6305000000000001E-4</v>
      </c>
      <c r="H6085" s="25">
        <v>2.0089000000000001E-4</v>
      </c>
      <c r="I6085" s="9">
        <v>1.0763E-4</v>
      </c>
      <c r="J6085" s="9">
        <v>1.081E-4</v>
      </c>
      <c r="K6085" s="9">
        <v>0</v>
      </c>
      <c r="L6085" s="9">
        <v>1.9058000000000001E-4</v>
      </c>
      <c r="M6085" s="9">
        <v>1.2254E-4</v>
      </c>
      <c r="N6085" s="9">
        <v>1.0403000000000001E-4</v>
      </c>
      <c r="O6085" s="9">
        <v>2.1248999999999999E-4</v>
      </c>
      <c r="P6085" s="9">
        <v>1.9462E-4</v>
      </c>
      <c r="Q6085" s="9">
        <v>1.7824E-4</v>
      </c>
      <c r="R6085" s="10">
        <v>1.1669565464655771E-4</v>
      </c>
      <c r="S6085" s="10">
        <v>1.2267233938035324E-4</v>
      </c>
      <c r="T6085" s="10">
        <v>4.4212532343527663E-4</v>
      </c>
      <c r="U6085" s="10">
        <v>6.8730000000000001E-5</v>
      </c>
      <c r="V6085" s="25"/>
      <c r="W6085" s="25"/>
      <c r="X6085" s="25"/>
      <c r="Y6085" s="25"/>
      <c r="Z6085" s="25"/>
      <c r="AA6085" s="25"/>
    </row>
    <row r="6086" spans="1:27" x14ac:dyDescent="0.35">
      <c r="A6086" s="5">
        <v>6082</v>
      </c>
      <c r="B6086" s="5">
        <v>254</v>
      </c>
      <c r="C6086" s="5">
        <v>9</v>
      </c>
      <c r="D6086" s="25">
        <v>1.1415000000000001E-4</v>
      </c>
      <c r="E6086" s="25">
        <v>1.1254E-4</v>
      </c>
      <c r="F6086" s="25">
        <v>1.2611E-4</v>
      </c>
      <c r="G6086" s="25">
        <v>1.5955E-4</v>
      </c>
      <c r="H6086" s="25">
        <v>1.9691000000000001E-4</v>
      </c>
      <c r="I6086" s="9">
        <v>1.1111E-4</v>
      </c>
      <c r="J6086" s="9">
        <v>1.0967999999999999E-4</v>
      </c>
      <c r="K6086" s="9">
        <v>0</v>
      </c>
      <c r="L6086" s="9">
        <v>2.0537999999999999E-4</v>
      </c>
      <c r="M6086" s="9">
        <v>1.5845E-4</v>
      </c>
      <c r="N6086" s="9">
        <v>1.2439999999999999E-4</v>
      </c>
      <c r="O6086" s="9">
        <v>1.6823000000000001E-4</v>
      </c>
      <c r="P6086" s="9">
        <v>1.7550000000000001E-4</v>
      </c>
      <c r="Q6086" s="9">
        <v>1.8357000000000001E-4</v>
      </c>
      <c r="R6086" s="10">
        <v>6.5777298013076216E-5</v>
      </c>
      <c r="S6086" s="10">
        <v>1.1852600264957492E-4</v>
      </c>
      <c r="T6086" s="10">
        <v>5.8221807430482999E-4</v>
      </c>
      <c r="U6086" s="10">
        <v>6.8730000000000001E-5</v>
      </c>
      <c r="V6086" s="25"/>
      <c r="W6086" s="25"/>
      <c r="X6086" s="25"/>
      <c r="Y6086" s="25"/>
      <c r="Z6086" s="25"/>
      <c r="AA6086" s="25"/>
    </row>
    <row r="6087" spans="1:27" x14ac:dyDescent="0.35">
      <c r="A6087" s="5">
        <v>6083</v>
      </c>
      <c r="B6087" s="5">
        <v>254</v>
      </c>
      <c r="C6087" s="5">
        <v>9</v>
      </c>
      <c r="D6087" s="25">
        <v>1.1416E-4</v>
      </c>
      <c r="E6087" s="25">
        <v>1.1242E-4</v>
      </c>
      <c r="F6087" s="25">
        <v>1.2881000000000001E-4</v>
      </c>
      <c r="G6087" s="25">
        <v>1.6202999999999999E-4</v>
      </c>
      <c r="H6087" s="25">
        <v>1.9981999999999999E-4</v>
      </c>
      <c r="I6087" s="9">
        <v>1.122E-4</v>
      </c>
      <c r="J6087" s="9">
        <v>1.0895000000000001E-4</v>
      </c>
      <c r="K6087" s="9">
        <v>0</v>
      </c>
      <c r="L6087" s="9">
        <v>1.7640000000000001E-4</v>
      </c>
      <c r="M6087" s="9">
        <v>1.7295E-4</v>
      </c>
      <c r="N6087" s="9">
        <v>1.4287999999999999E-4</v>
      </c>
      <c r="O6087" s="9">
        <v>1.6788999999999999E-4</v>
      </c>
      <c r="P6087" s="9">
        <v>1.738E-4</v>
      </c>
      <c r="Q6087" s="9">
        <v>1.8050999999999999E-4</v>
      </c>
      <c r="R6087" s="10">
        <v>5.2854102146816429E-5</v>
      </c>
      <c r="S6087" s="10">
        <v>1.1791296421932215E-4</v>
      </c>
      <c r="T6087" s="10">
        <v>6.6490605577131903E-4</v>
      </c>
      <c r="U6087" s="10">
        <v>6.8730000000000001E-5</v>
      </c>
      <c r="V6087" s="25"/>
      <c r="W6087" s="25"/>
      <c r="X6087" s="25"/>
      <c r="Y6087" s="25"/>
      <c r="Z6087" s="25"/>
      <c r="AA6087" s="25"/>
    </row>
    <row r="6088" spans="1:27" x14ac:dyDescent="0.35">
      <c r="A6088" s="5">
        <v>6084</v>
      </c>
      <c r="B6088" s="5">
        <v>254</v>
      </c>
      <c r="C6088" s="5">
        <v>9</v>
      </c>
      <c r="D6088" s="25">
        <v>1.1415000000000001E-4</v>
      </c>
      <c r="E6088" s="25">
        <v>1.1203E-4</v>
      </c>
      <c r="F6088" s="25">
        <v>1.2321000000000001E-4</v>
      </c>
      <c r="G6088" s="25">
        <v>1.6270999999999999E-4</v>
      </c>
      <c r="H6088" s="25">
        <v>1.9892999999999999E-4</v>
      </c>
      <c r="I6088" s="9">
        <v>1.1098E-4</v>
      </c>
      <c r="J6088" s="9">
        <v>1.0746E-4</v>
      </c>
      <c r="K6088" s="9">
        <v>0</v>
      </c>
      <c r="L6088" s="9">
        <v>1.7116000000000001E-4</v>
      </c>
      <c r="M6088" s="9">
        <v>1.7577000000000001E-4</v>
      </c>
      <c r="N6088" s="9">
        <v>1.5723000000000001E-4</v>
      </c>
      <c r="O6088" s="9">
        <v>1.6802000000000001E-4</v>
      </c>
      <c r="P6088" s="9">
        <v>1.6979000000000001E-4</v>
      </c>
      <c r="Q6088" s="9">
        <v>1.7243E-4</v>
      </c>
      <c r="R6088" s="10">
        <v>2.5798530495103584E-5</v>
      </c>
      <c r="S6088" s="10">
        <v>1.1225108630407103E-4</v>
      </c>
      <c r="T6088" s="10">
        <v>7.3283984066790995E-4</v>
      </c>
      <c r="U6088" s="10">
        <v>6.8730000000000001E-5</v>
      </c>
      <c r="V6088" s="25"/>
      <c r="W6088" s="25"/>
      <c r="X6088" s="25"/>
      <c r="Y6088" s="25"/>
      <c r="Z6088" s="25"/>
      <c r="AA6088" s="25"/>
    </row>
    <row r="6089" spans="1:27" x14ac:dyDescent="0.35">
      <c r="A6089" s="5">
        <v>6085</v>
      </c>
      <c r="B6089" s="5">
        <v>254</v>
      </c>
      <c r="C6089" s="5">
        <v>9</v>
      </c>
      <c r="D6089" s="25">
        <v>1.1416E-4</v>
      </c>
      <c r="E6089" s="25">
        <v>1.1544000000000001E-4</v>
      </c>
      <c r="F6089" s="25">
        <v>1.3982E-4</v>
      </c>
      <c r="G6089" s="25">
        <v>1.6449999999999999E-4</v>
      </c>
      <c r="H6089" s="25">
        <v>1.953E-4</v>
      </c>
      <c r="I6089" s="9">
        <v>1.0825E-4</v>
      </c>
      <c r="J6089" s="9">
        <v>1.0605E-4</v>
      </c>
      <c r="K6089" s="9">
        <v>0</v>
      </c>
      <c r="L6089" s="9">
        <v>1.6890000000000001E-4</v>
      </c>
      <c r="M6089" s="9">
        <v>1.7382000000000001E-4</v>
      </c>
      <c r="N6089" s="9">
        <v>1.6635E-4</v>
      </c>
      <c r="O6089" s="9">
        <v>1.6259E-4</v>
      </c>
      <c r="P6089" s="9">
        <v>1.6517999999999999E-4</v>
      </c>
      <c r="Q6089" s="9">
        <v>1.6860000000000001E-4</v>
      </c>
      <c r="R6089" s="10">
        <v>2.8668600310721594E-5</v>
      </c>
      <c r="S6089" s="10">
        <v>1.1936900173353183E-4</v>
      </c>
      <c r="T6089" s="10">
        <v>7.1423377219304756E-4</v>
      </c>
      <c r="U6089" s="10">
        <v>6.8730000000000001E-5</v>
      </c>
      <c r="V6089" s="25"/>
      <c r="W6089" s="25"/>
      <c r="X6089" s="25"/>
      <c r="Y6089" s="25"/>
      <c r="Z6089" s="25"/>
      <c r="AA6089" s="25"/>
    </row>
    <row r="6090" spans="1:27" x14ac:dyDescent="0.35">
      <c r="A6090" s="5">
        <v>6086</v>
      </c>
      <c r="B6090" s="5">
        <v>254</v>
      </c>
      <c r="C6090" s="5">
        <v>9</v>
      </c>
      <c r="D6090" s="25">
        <v>1.1415000000000001E-4</v>
      </c>
      <c r="E6090" s="25">
        <v>1.0895000000000001E-4</v>
      </c>
      <c r="F6090" s="25">
        <v>1.2980000000000001E-4</v>
      </c>
      <c r="G6090" s="25">
        <v>1.6660000000000001E-4</v>
      </c>
      <c r="H6090" s="25">
        <v>1.8719E-4</v>
      </c>
      <c r="I6090" s="9">
        <v>1.0609E-4</v>
      </c>
      <c r="J6090" s="9">
        <v>1.0504E-4</v>
      </c>
      <c r="K6090" s="9">
        <v>0</v>
      </c>
      <c r="L6090" s="9">
        <v>1.6378000000000001E-4</v>
      </c>
      <c r="M6090" s="9">
        <v>1.7014999999999999E-4</v>
      </c>
      <c r="N6090" s="9">
        <v>1.7092E-4</v>
      </c>
      <c r="O6090" s="9">
        <v>1.7818000000000001E-4</v>
      </c>
      <c r="P6090" s="9">
        <v>1.6903E-4</v>
      </c>
      <c r="Q6090" s="9">
        <v>1.6098999999999999E-4</v>
      </c>
      <c r="R6090" s="10">
        <v>2.644538139018007E-5</v>
      </c>
      <c r="S6090" s="10">
        <v>1.1567665540001666E-4</v>
      </c>
      <c r="T6090" s="10">
        <v>6.528074448980156E-4</v>
      </c>
      <c r="U6090" s="10">
        <v>6.8730000000000001E-5</v>
      </c>
      <c r="V6090" s="25"/>
      <c r="W6090" s="25"/>
      <c r="X6090" s="25"/>
      <c r="Y6090" s="25"/>
      <c r="Z6090" s="25"/>
      <c r="AA6090" s="25"/>
    </row>
    <row r="6091" spans="1:27" x14ac:dyDescent="0.35">
      <c r="A6091" s="5">
        <v>6087</v>
      </c>
      <c r="B6091" s="5">
        <v>254</v>
      </c>
      <c r="C6091" s="5">
        <v>9</v>
      </c>
      <c r="D6091" s="25">
        <v>1.1416E-4</v>
      </c>
      <c r="E6091" s="25">
        <v>1.0888E-4</v>
      </c>
      <c r="F6091" s="25">
        <v>1.2603000000000001E-4</v>
      </c>
      <c r="G6091" s="25">
        <v>1.6616999999999999E-4</v>
      </c>
      <c r="H6091" s="25">
        <v>1.9981E-4</v>
      </c>
      <c r="I6091" s="9">
        <v>1.0428E-4</v>
      </c>
      <c r="J6091" s="9">
        <v>1.0486E-4</v>
      </c>
      <c r="K6091" s="9">
        <v>0</v>
      </c>
      <c r="L6091" s="9">
        <v>1.7513000000000001E-4</v>
      </c>
      <c r="M6091" s="9">
        <v>1.6872999999999999E-4</v>
      </c>
      <c r="N6091" s="9">
        <v>1.7038000000000001E-4</v>
      </c>
      <c r="O6091" s="9">
        <v>1.8374999999999999E-4</v>
      </c>
      <c r="P6091" s="9">
        <v>1.6775000000000001E-4</v>
      </c>
      <c r="Q6091" s="9">
        <v>1.5301E-4</v>
      </c>
      <c r="R6091" s="10">
        <v>2.2326477558104294E-5</v>
      </c>
      <c r="S6091" s="10">
        <v>1.072990402705415E-4</v>
      </c>
      <c r="T6091" s="10">
        <v>5.4215521277345695E-4</v>
      </c>
      <c r="U6091" s="10">
        <v>6.8730000000000001E-5</v>
      </c>
      <c r="V6091" s="25"/>
      <c r="W6091" s="25"/>
      <c r="X6091" s="25"/>
      <c r="Y6091" s="25"/>
      <c r="Z6091" s="25"/>
      <c r="AA6091" s="25"/>
    </row>
    <row r="6092" spans="1:27" x14ac:dyDescent="0.35">
      <c r="A6092" s="5">
        <v>6088</v>
      </c>
      <c r="B6092" s="5">
        <v>254</v>
      </c>
      <c r="C6092" s="5">
        <v>9</v>
      </c>
      <c r="D6092" s="25">
        <v>1.1415000000000001E-4</v>
      </c>
      <c r="E6092" s="25">
        <v>1.1792E-4</v>
      </c>
      <c r="F6092" s="25">
        <v>1.4103999999999999E-4</v>
      </c>
      <c r="G6092" s="25">
        <v>1.6425000000000001E-4</v>
      </c>
      <c r="H6092" s="25">
        <v>1.9317E-4</v>
      </c>
      <c r="I6092" s="9">
        <v>1.0435E-4</v>
      </c>
      <c r="J6092" s="9">
        <v>1.0663E-4</v>
      </c>
      <c r="K6092" s="9">
        <v>0</v>
      </c>
      <c r="L6092" s="9">
        <v>1.8154E-4</v>
      </c>
      <c r="M6092" s="9">
        <v>1.6810999999999999E-4</v>
      </c>
      <c r="N6092" s="9">
        <v>1.6647E-4</v>
      </c>
      <c r="O6092" s="9">
        <v>1.9865E-4</v>
      </c>
      <c r="P6092" s="9">
        <v>1.5378000000000001E-4</v>
      </c>
      <c r="Q6092" s="9">
        <v>1.1071E-4</v>
      </c>
      <c r="R6092" s="10">
        <v>2.2095522921813989E-5</v>
      </c>
      <c r="S6092" s="10">
        <v>9.9129551527616944E-5</v>
      </c>
      <c r="T6092" s="10">
        <v>4.0469259470244794E-4</v>
      </c>
      <c r="U6092" s="10">
        <v>6.8730000000000001E-5</v>
      </c>
      <c r="V6092" s="25"/>
      <c r="W6092" s="25"/>
      <c r="X6092" s="25"/>
      <c r="Y6092" s="25"/>
      <c r="Z6092" s="25"/>
      <c r="AA6092" s="25"/>
    </row>
    <row r="6093" spans="1:27" x14ac:dyDescent="0.35">
      <c r="A6093" s="5">
        <v>6089</v>
      </c>
      <c r="B6093" s="5">
        <v>254</v>
      </c>
      <c r="C6093" s="5">
        <v>9</v>
      </c>
      <c r="D6093" s="25">
        <v>1.1416E-4</v>
      </c>
      <c r="E6093" s="25">
        <v>1.1383E-4</v>
      </c>
      <c r="F6093" s="25">
        <v>1.2499000000000001E-4</v>
      </c>
      <c r="G6093" s="25">
        <v>1.6611999999999999E-4</v>
      </c>
      <c r="H6093" s="25">
        <v>1.9504E-4</v>
      </c>
      <c r="I6093" s="9">
        <v>1.0599000000000001E-4</v>
      </c>
      <c r="J6093" s="9">
        <v>1.098E-4</v>
      </c>
      <c r="K6093" s="9">
        <v>0</v>
      </c>
      <c r="L6093" s="9">
        <v>1.9467E-4</v>
      </c>
      <c r="M6093" s="9">
        <v>1.6288000000000001E-4</v>
      </c>
      <c r="N6093" s="9">
        <v>1.5286999999999999E-4</v>
      </c>
      <c r="O6093" s="9">
        <v>2.1388000000000001E-4</v>
      </c>
      <c r="P6093" s="9">
        <v>1.5957999999999999E-4</v>
      </c>
      <c r="Q6093" s="9">
        <v>1.0734E-4</v>
      </c>
      <c r="R6093" s="10">
        <v>2.2535452273323044E-5</v>
      </c>
      <c r="S6093" s="10">
        <v>9.2963096610204304E-5</v>
      </c>
      <c r="T6093" s="10">
        <v>2.1608662014877973E-4</v>
      </c>
      <c r="U6093" s="10">
        <v>6.8730000000000001E-5</v>
      </c>
      <c r="V6093" s="25"/>
      <c r="W6093" s="25"/>
      <c r="X6093" s="25"/>
      <c r="Y6093" s="25"/>
      <c r="Z6093" s="25"/>
      <c r="AA6093" s="25"/>
    </row>
    <row r="6094" spans="1:27" x14ac:dyDescent="0.35">
      <c r="A6094" s="5">
        <v>6090</v>
      </c>
      <c r="B6094" s="5">
        <v>254</v>
      </c>
      <c r="C6094" s="5">
        <v>9</v>
      </c>
      <c r="D6094" s="25">
        <v>1.1415000000000001E-4</v>
      </c>
      <c r="E6094" s="25">
        <v>1.1513E-4</v>
      </c>
      <c r="F6094" s="25">
        <v>1.4155E-4</v>
      </c>
      <c r="G6094" s="25">
        <v>1.5979000000000001E-4</v>
      </c>
      <c r="H6094" s="25">
        <v>1.9014999999999999E-4</v>
      </c>
      <c r="I6094" s="9">
        <v>1.0587E-4</v>
      </c>
      <c r="J6094" s="9">
        <v>1.1066E-4</v>
      </c>
      <c r="K6094" s="9">
        <v>0</v>
      </c>
      <c r="L6094" s="9">
        <v>2.0938E-4</v>
      </c>
      <c r="M6094" s="9">
        <v>1.6024E-4</v>
      </c>
      <c r="N6094" s="9">
        <v>1.3951999999999999E-4</v>
      </c>
      <c r="O6094" s="9">
        <v>2.0668999999999999E-4</v>
      </c>
      <c r="P6094" s="9">
        <v>1.6174000000000001E-4</v>
      </c>
      <c r="Q6094" s="9">
        <v>1.1867E-4</v>
      </c>
      <c r="R6094" s="10">
        <v>2.1968723141970425E-5</v>
      </c>
      <c r="S6094" s="10">
        <v>8.3239001121928607E-5</v>
      </c>
      <c r="T6094" s="10">
        <v>3.9273821691809708E-5</v>
      </c>
      <c r="U6094" s="10">
        <v>6.8730000000000001E-5</v>
      </c>
      <c r="V6094" s="25"/>
      <c r="W6094" s="25"/>
      <c r="X6094" s="25"/>
      <c r="Y6094" s="25"/>
      <c r="Z6094" s="25"/>
      <c r="AA6094" s="25"/>
    </row>
    <row r="6095" spans="1:27" x14ac:dyDescent="0.35">
      <c r="A6095" s="5">
        <v>6091</v>
      </c>
      <c r="B6095" s="5">
        <v>254</v>
      </c>
      <c r="C6095" s="5">
        <v>9</v>
      </c>
      <c r="D6095" s="25">
        <v>1.1416E-4</v>
      </c>
      <c r="E6095" s="25">
        <v>1.154E-4</v>
      </c>
      <c r="F6095" s="25">
        <v>1.3234E-4</v>
      </c>
      <c r="G6095" s="25">
        <v>1.1196000000000001E-4</v>
      </c>
      <c r="H6095" s="25">
        <v>1.3198999999999999E-4</v>
      </c>
      <c r="I6095" s="9">
        <v>1.0466E-4</v>
      </c>
      <c r="J6095" s="9">
        <v>1.1014999999999999E-4</v>
      </c>
      <c r="K6095" s="9">
        <v>0</v>
      </c>
      <c r="L6095" s="9">
        <v>2.0691000000000001E-4</v>
      </c>
      <c r="M6095" s="9">
        <v>1.6024999999999999E-4</v>
      </c>
      <c r="N6095" s="9">
        <v>1.3057999999999999E-4</v>
      </c>
      <c r="O6095" s="9">
        <v>1.6441000000000001E-4</v>
      </c>
      <c r="P6095" s="9">
        <v>1.3517999999999999E-4</v>
      </c>
      <c r="Q6095" s="9">
        <v>1.0730000000000001E-4</v>
      </c>
      <c r="R6095" s="10">
        <v>3.0522620438172671E-5</v>
      </c>
      <c r="S6095" s="10">
        <v>7.7173133262749104E-5</v>
      </c>
      <c r="T6095" s="10">
        <v>0</v>
      </c>
      <c r="U6095" s="10">
        <v>6.8730000000000001E-5</v>
      </c>
      <c r="V6095" s="25"/>
      <c r="W6095" s="25"/>
      <c r="X6095" s="25"/>
      <c r="Y6095" s="25"/>
      <c r="Z6095" s="25"/>
      <c r="AA6095" s="25"/>
    </row>
    <row r="6096" spans="1:27" x14ac:dyDescent="0.35">
      <c r="A6096" s="5">
        <v>6092</v>
      </c>
      <c r="B6096" s="5">
        <v>254</v>
      </c>
      <c r="C6096" s="5">
        <v>9</v>
      </c>
      <c r="D6096" s="25">
        <v>1.1415000000000001E-4</v>
      </c>
      <c r="E6096" s="25">
        <v>1.083E-4</v>
      </c>
      <c r="F6096" s="25">
        <v>1.2575999999999999E-4</v>
      </c>
      <c r="G6096" s="25">
        <v>1.1229E-4</v>
      </c>
      <c r="H6096" s="25">
        <v>1.3370999999999999E-4</v>
      </c>
      <c r="I6096" s="9">
        <v>1.0681E-4</v>
      </c>
      <c r="J6096" s="9">
        <v>1.1287E-4</v>
      </c>
      <c r="K6096" s="9">
        <v>0</v>
      </c>
      <c r="L6096" s="9">
        <v>1.7390999999999999E-4</v>
      </c>
      <c r="M6096" s="9">
        <v>1.5139E-4</v>
      </c>
      <c r="N6096" s="9">
        <v>1.2144E-4</v>
      </c>
      <c r="O6096" s="9">
        <v>1.2924E-4</v>
      </c>
      <c r="P6096" s="9">
        <v>1.1535E-4</v>
      </c>
      <c r="Q6096" s="9">
        <v>1.0233E-4</v>
      </c>
      <c r="R6096" s="10">
        <v>6.0738721962676342E-5</v>
      </c>
      <c r="S6096" s="10">
        <v>7.9235459942669897E-5</v>
      </c>
      <c r="T6096" s="10">
        <v>0</v>
      </c>
      <c r="U6096" s="10">
        <v>6.8730000000000001E-5</v>
      </c>
      <c r="V6096" s="25"/>
      <c r="W6096" s="25"/>
      <c r="X6096" s="25"/>
      <c r="Y6096" s="25"/>
      <c r="Z6096" s="25"/>
      <c r="AA6096" s="25"/>
    </row>
    <row r="6097" spans="1:27" x14ac:dyDescent="0.35">
      <c r="A6097" s="5">
        <v>6093</v>
      </c>
      <c r="B6097" s="5">
        <v>254</v>
      </c>
      <c r="C6097" s="5">
        <v>9</v>
      </c>
      <c r="D6097" s="25">
        <v>1.1416E-4</v>
      </c>
      <c r="E6097" s="25">
        <v>1.1043E-4</v>
      </c>
      <c r="F6097" s="25">
        <v>1.3313999999999999E-4</v>
      </c>
      <c r="G6097" s="25">
        <v>5.2899999999999998E-5</v>
      </c>
      <c r="H6097" s="25">
        <v>6.4369999999999995E-5</v>
      </c>
      <c r="I6097" s="9">
        <v>1.0486E-4</v>
      </c>
      <c r="J6097" s="9">
        <v>1.1027999999999999E-4</v>
      </c>
      <c r="K6097" s="9">
        <v>0</v>
      </c>
      <c r="L6097" s="9">
        <v>1.4008E-4</v>
      </c>
      <c r="M6097" s="9">
        <v>1.3593000000000001E-4</v>
      </c>
      <c r="N6097" s="9">
        <v>1.1375E-4</v>
      </c>
      <c r="O6097" s="9">
        <v>8.4679999999999996E-5</v>
      </c>
      <c r="P6097" s="9">
        <v>8.6349999999999998E-5</v>
      </c>
      <c r="Q6097" s="9">
        <v>8.8350000000000006E-5</v>
      </c>
      <c r="R6097" s="10">
        <v>1.0315642608815628E-4</v>
      </c>
      <c r="S6097" s="10">
        <v>8.5564236690546634E-5</v>
      </c>
      <c r="T6097" s="10">
        <v>0</v>
      </c>
      <c r="U6097" s="10">
        <v>6.8730000000000001E-5</v>
      </c>
      <c r="V6097" s="25"/>
      <c r="W6097" s="25"/>
      <c r="X6097" s="25"/>
      <c r="Y6097" s="25"/>
      <c r="Z6097" s="25"/>
      <c r="AA6097" s="25"/>
    </row>
    <row r="6098" spans="1:27" x14ac:dyDescent="0.35">
      <c r="A6098" s="5">
        <v>6094</v>
      </c>
      <c r="B6098" s="5">
        <v>254</v>
      </c>
      <c r="C6098" s="5">
        <v>9</v>
      </c>
      <c r="D6098" s="25">
        <v>1.1415000000000001E-4</v>
      </c>
      <c r="E6098" s="25">
        <v>1.1401E-4</v>
      </c>
      <c r="F6098" s="25">
        <v>1.3532E-4</v>
      </c>
      <c r="G6098" s="25">
        <v>5.8029999999999998E-5</v>
      </c>
      <c r="H6098" s="25">
        <v>6.8850000000000007E-5</v>
      </c>
      <c r="I6098" s="9">
        <v>1.0135E-4</v>
      </c>
      <c r="J6098" s="9">
        <v>1.0605E-4</v>
      </c>
      <c r="K6098" s="9">
        <v>0</v>
      </c>
      <c r="L6098" s="9">
        <v>9.7789999999999997E-5</v>
      </c>
      <c r="M6098" s="9">
        <v>1.141E-4</v>
      </c>
      <c r="N6098" s="9">
        <v>1.0602E-4</v>
      </c>
      <c r="O6098" s="9">
        <v>8.7239999999999998E-5</v>
      </c>
      <c r="P6098" s="9">
        <v>8.7529999999999997E-5</v>
      </c>
      <c r="Q6098" s="9">
        <v>8.8179999999999999E-5</v>
      </c>
      <c r="R6098" s="10">
        <v>1.257795082770549E-4</v>
      </c>
      <c r="S6098" s="10">
        <v>9.5235413381360913E-5</v>
      </c>
      <c r="T6098" s="10">
        <v>0</v>
      </c>
      <c r="U6098" s="10">
        <v>6.8730000000000001E-5</v>
      </c>
      <c r="V6098" s="25"/>
      <c r="W6098" s="25"/>
      <c r="X6098" s="25"/>
      <c r="Y6098" s="25"/>
      <c r="Z6098" s="25"/>
      <c r="AA6098" s="25"/>
    </row>
    <row r="6099" spans="1:27" x14ac:dyDescent="0.35">
      <c r="A6099" s="5">
        <v>6095</v>
      </c>
      <c r="B6099" s="5">
        <v>254</v>
      </c>
      <c r="C6099" s="5">
        <v>9</v>
      </c>
      <c r="D6099" s="25">
        <v>1.1416E-4</v>
      </c>
      <c r="E6099" s="25">
        <v>1.0975E-4</v>
      </c>
      <c r="F6099" s="25">
        <v>1.4257000000000001E-4</v>
      </c>
      <c r="G6099" s="25">
        <v>6.2749999999999994E-5</v>
      </c>
      <c r="H6099" s="25">
        <v>6.3990000000000002E-5</v>
      </c>
      <c r="I6099" s="9">
        <v>9.7759999999999999E-5</v>
      </c>
      <c r="J6099" s="9">
        <v>1.0119999999999999E-4</v>
      </c>
      <c r="K6099" s="9">
        <v>0</v>
      </c>
      <c r="L6099" s="9">
        <v>9.0500000000000004E-5</v>
      </c>
      <c r="M6099" s="9">
        <v>9.9190000000000004E-5</v>
      </c>
      <c r="N6099" s="9">
        <v>1.0009E-4</v>
      </c>
      <c r="O6099" s="9">
        <v>7.7379999999999994E-5</v>
      </c>
      <c r="P6099" s="9">
        <v>7.1760000000000004E-5</v>
      </c>
      <c r="Q6099" s="9">
        <v>6.6539999999999997E-5</v>
      </c>
      <c r="R6099" s="10">
        <v>1.3302031875451537E-4</v>
      </c>
      <c r="S6099" s="10">
        <v>1.0438098079776566E-4</v>
      </c>
      <c r="T6099" s="10">
        <v>0</v>
      </c>
      <c r="U6099" s="10">
        <v>6.8730000000000001E-5</v>
      </c>
      <c r="V6099" s="25"/>
      <c r="W6099" s="25"/>
      <c r="X6099" s="25"/>
      <c r="Y6099" s="25"/>
      <c r="Z6099" s="25"/>
      <c r="AA6099" s="25"/>
    </row>
    <row r="6100" spans="1:27" x14ac:dyDescent="0.35">
      <c r="A6100" s="5">
        <v>6096</v>
      </c>
      <c r="B6100" s="5">
        <v>254</v>
      </c>
      <c r="C6100" s="5">
        <v>9</v>
      </c>
      <c r="D6100" s="25">
        <v>1.1415000000000001E-4</v>
      </c>
      <c r="E6100" s="25">
        <v>1.1529E-4</v>
      </c>
      <c r="F6100" s="25">
        <v>1.2689E-4</v>
      </c>
      <c r="G6100" s="25">
        <v>5.8860000000000002E-5</v>
      </c>
      <c r="H6100" s="25">
        <v>6.8969999999999999E-5</v>
      </c>
      <c r="I6100" s="9">
        <v>9.2449999999999997E-5</v>
      </c>
      <c r="J6100" s="9">
        <v>9.5569999999999995E-5</v>
      </c>
      <c r="K6100" s="9">
        <v>0</v>
      </c>
      <c r="L6100" s="9">
        <v>8.0259999999999994E-5</v>
      </c>
      <c r="M6100" s="9">
        <v>8.6030000000000001E-5</v>
      </c>
      <c r="N6100" s="9">
        <v>9.064E-5</v>
      </c>
      <c r="O6100" s="9">
        <v>6.2799999999999995E-5</v>
      </c>
      <c r="P6100" s="9">
        <v>6.0749999999999999E-5</v>
      </c>
      <c r="Q6100" s="9">
        <v>5.893E-5</v>
      </c>
      <c r="R6100" s="10">
        <v>1.3228731451986992E-4</v>
      </c>
      <c r="S6100" s="10">
        <v>1.1731875604708298E-4</v>
      </c>
      <c r="T6100" s="10">
        <v>0</v>
      </c>
      <c r="U6100" s="10">
        <v>6.8730000000000001E-5</v>
      </c>
      <c r="V6100" s="25"/>
      <c r="W6100" s="25"/>
      <c r="X6100" s="25"/>
      <c r="Y6100" s="25"/>
      <c r="Z6100" s="25"/>
      <c r="AA6100" s="25"/>
    </row>
    <row r="6101" spans="1:27" x14ac:dyDescent="0.35">
      <c r="A6101" s="5">
        <v>6097</v>
      </c>
      <c r="B6101" s="5">
        <v>255</v>
      </c>
      <c r="C6101" s="5">
        <v>9</v>
      </c>
      <c r="D6101" s="25">
        <v>1.1416E-4</v>
      </c>
      <c r="E6101" s="25">
        <v>1.2333E-4</v>
      </c>
      <c r="F6101" s="25">
        <v>1.1493999999999999E-4</v>
      </c>
      <c r="G6101" s="25">
        <v>6.2769999999999997E-5</v>
      </c>
      <c r="H6101" s="25">
        <v>6.737E-5</v>
      </c>
      <c r="I6101" s="9">
        <v>8.8369999999999996E-5</v>
      </c>
      <c r="J6101" s="9">
        <v>9.0660000000000003E-5</v>
      </c>
      <c r="K6101" s="9">
        <v>0</v>
      </c>
      <c r="L6101" s="9">
        <v>6.6649999999999994E-5</v>
      </c>
      <c r="M6101" s="9">
        <v>7.3899999999999994E-5</v>
      </c>
      <c r="N6101" s="9">
        <v>8.1180000000000005E-5</v>
      </c>
      <c r="O6101" s="9">
        <v>5.4549999999999998E-5</v>
      </c>
      <c r="P6101" s="9">
        <v>5.3959999999999998E-5</v>
      </c>
      <c r="Q6101" s="9">
        <v>5.3539999999999999E-5</v>
      </c>
      <c r="R6101" s="10">
        <v>1.2911231911836625E-4</v>
      </c>
      <c r="S6101" s="10">
        <v>1.1773571398773876E-4</v>
      </c>
      <c r="T6101" s="10">
        <v>0</v>
      </c>
      <c r="U6101" s="10">
        <v>6.9510000000000004E-5</v>
      </c>
      <c r="V6101" s="25"/>
      <c r="W6101" s="25"/>
      <c r="X6101" s="25"/>
      <c r="Y6101" s="25"/>
      <c r="Z6101" s="25"/>
      <c r="AA6101" s="25"/>
    </row>
    <row r="6102" spans="1:27" x14ac:dyDescent="0.35">
      <c r="A6102" s="5">
        <v>6098</v>
      </c>
      <c r="B6102" s="5">
        <v>255</v>
      </c>
      <c r="C6102" s="5">
        <v>9</v>
      </c>
      <c r="D6102" s="25">
        <v>1.1415000000000001E-4</v>
      </c>
      <c r="E6102" s="25">
        <v>1.2355999999999999E-4</v>
      </c>
      <c r="F6102" s="25">
        <v>1.0113E-4</v>
      </c>
      <c r="G6102" s="25">
        <v>5.3680000000000001E-5</v>
      </c>
      <c r="H6102" s="25">
        <v>6.3499999999999999E-5</v>
      </c>
      <c r="I6102" s="9">
        <v>8.5820000000000002E-5</v>
      </c>
      <c r="J6102" s="9">
        <v>8.8419999999999997E-5</v>
      </c>
      <c r="K6102" s="9">
        <v>0</v>
      </c>
      <c r="L6102" s="9">
        <v>5.7580000000000001E-5</v>
      </c>
      <c r="M6102" s="9">
        <v>6.3860000000000002E-5</v>
      </c>
      <c r="N6102" s="9">
        <v>7.2050000000000003E-5</v>
      </c>
      <c r="O6102" s="9">
        <v>1.8839999999999999E-5</v>
      </c>
      <c r="P6102" s="9">
        <v>3.756E-5</v>
      </c>
      <c r="Q6102" s="9">
        <v>5.5899999999999997E-5</v>
      </c>
      <c r="R6102" s="10">
        <v>1.2123915534730091E-4</v>
      </c>
      <c r="S6102" s="10">
        <v>1.1804157573596798E-4</v>
      </c>
      <c r="T6102" s="10">
        <v>0</v>
      </c>
      <c r="U6102" s="10">
        <v>6.9510000000000004E-5</v>
      </c>
      <c r="V6102" s="25"/>
      <c r="W6102" s="25"/>
      <c r="X6102" s="25"/>
      <c r="Y6102" s="25"/>
      <c r="Z6102" s="25"/>
      <c r="AA6102" s="25"/>
    </row>
    <row r="6103" spans="1:27" x14ac:dyDescent="0.35">
      <c r="A6103" s="5">
        <v>6099</v>
      </c>
      <c r="B6103" s="5">
        <v>255</v>
      </c>
      <c r="C6103" s="5">
        <v>9</v>
      </c>
      <c r="D6103" s="25">
        <v>1.1416E-4</v>
      </c>
      <c r="E6103" s="25">
        <v>1.2147E-4</v>
      </c>
      <c r="F6103" s="25">
        <v>1.1095E-4</v>
      </c>
      <c r="G6103" s="25">
        <v>5.3980000000000002E-5</v>
      </c>
      <c r="H6103" s="25">
        <v>6.7650000000000005E-5</v>
      </c>
      <c r="I6103" s="9">
        <v>8.4499999999999994E-5</v>
      </c>
      <c r="J6103" s="9">
        <v>8.7180000000000002E-5</v>
      </c>
      <c r="K6103" s="9">
        <v>0</v>
      </c>
      <c r="L6103" s="9">
        <v>2.7569999999999999E-5</v>
      </c>
      <c r="M6103" s="9">
        <v>5.2099999999999999E-5</v>
      </c>
      <c r="N6103" s="9">
        <v>6.5409999999999999E-5</v>
      </c>
      <c r="O6103" s="9">
        <v>1.36E-5</v>
      </c>
      <c r="P6103" s="9">
        <v>3.8130000000000003E-5</v>
      </c>
      <c r="Q6103" s="9">
        <v>6.2150000000000006E-5</v>
      </c>
      <c r="R6103" s="10">
        <v>1.1689994783526352E-4</v>
      </c>
      <c r="S6103" s="10">
        <v>1.1847893859069562E-4</v>
      </c>
      <c r="T6103" s="10">
        <v>0</v>
      </c>
      <c r="U6103" s="10">
        <v>6.9510000000000004E-5</v>
      </c>
      <c r="V6103" s="25"/>
      <c r="W6103" s="25"/>
      <c r="X6103" s="25"/>
      <c r="Y6103" s="25"/>
      <c r="Z6103" s="25"/>
      <c r="AA6103" s="25"/>
    </row>
    <row r="6104" spans="1:27" x14ac:dyDescent="0.35">
      <c r="A6104" s="5">
        <v>6100</v>
      </c>
      <c r="B6104" s="5">
        <v>255</v>
      </c>
      <c r="C6104" s="5">
        <v>9</v>
      </c>
      <c r="D6104" s="25">
        <v>1.1415000000000001E-4</v>
      </c>
      <c r="E6104" s="25">
        <v>1.1492E-4</v>
      </c>
      <c r="F6104" s="25">
        <v>1.149E-4</v>
      </c>
      <c r="G6104" s="25">
        <v>5.5449999999999999E-5</v>
      </c>
      <c r="H6104" s="25">
        <v>6.5749999999999999E-5</v>
      </c>
      <c r="I6104" s="9">
        <v>8.3739999999999994E-5</v>
      </c>
      <c r="J6104" s="9">
        <v>8.5740000000000002E-5</v>
      </c>
      <c r="K6104" s="9">
        <v>0</v>
      </c>
      <c r="L6104" s="9">
        <v>1.7419999999999999E-5</v>
      </c>
      <c r="M6104" s="9">
        <v>4.426E-5</v>
      </c>
      <c r="N6104" s="9">
        <v>6.1959999999999996E-5</v>
      </c>
      <c r="O6104" s="9">
        <v>1.358E-5</v>
      </c>
      <c r="P6104" s="9">
        <v>4.7580000000000002E-5</v>
      </c>
      <c r="Q6104" s="9">
        <v>8.0920000000000005E-5</v>
      </c>
      <c r="R6104" s="10">
        <v>1.1277237837186078E-4</v>
      </c>
      <c r="S6104" s="10">
        <v>1.1840213030079074E-4</v>
      </c>
      <c r="T6104" s="10">
        <v>0</v>
      </c>
      <c r="U6104" s="10">
        <v>6.9510000000000004E-5</v>
      </c>
      <c r="V6104" s="25"/>
      <c r="W6104" s="25"/>
      <c r="X6104" s="25"/>
      <c r="Y6104" s="25"/>
      <c r="Z6104" s="25"/>
      <c r="AA6104" s="25"/>
    </row>
    <row r="6105" spans="1:27" x14ac:dyDescent="0.35">
      <c r="A6105" s="5">
        <v>6101</v>
      </c>
      <c r="B6105" s="5">
        <v>255</v>
      </c>
      <c r="C6105" s="5">
        <v>9</v>
      </c>
      <c r="D6105" s="25">
        <v>1.1416E-4</v>
      </c>
      <c r="E6105" s="25">
        <v>1.1682E-4</v>
      </c>
      <c r="F6105" s="25">
        <v>1.0116E-4</v>
      </c>
      <c r="G6105" s="25">
        <v>5.9039999999999997E-5</v>
      </c>
      <c r="H6105" s="25">
        <v>6.5980000000000002E-5</v>
      </c>
      <c r="I6105" s="9">
        <v>8.4530000000000006E-5</v>
      </c>
      <c r="J6105" s="9">
        <v>8.5530000000000003E-5</v>
      </c>
      <c r="K6105" s="9">
        <v>0</v>
      </c>
      <c r="L6105" s="9">
        <v>1.466E-5</v>
      </c>
      <c r="M6105" s="9">
        <v>4.371E-5</v>
      </c>
      <c r="N6105" s="9">
        <v>6.4640000000000005E-5</v>
      </c>
      <c r="O6105" s="9">
        <v>1.8870000000000001E-5</v>
      </c>
      <c r="P6105" s="9">
        <v>5.643E-5</v>
      </c>
      <c r="Q6105" s="9">
        <v>9.3309999999999999E-5</v>
      </c>
      <c r="R6105" s="10">
        <v>1.1448983217121343E-4</v>
      </c>
      <c r="S6105" s="10">
        <v>1.240776269456344E-4</v>
      </c>
      <c r="T6105" s="10">
        <v>0</v>
      </c>
      <c r="U6105" s="10">
        <v>6.9510000000000004E-5</v>
      </c>
      <c r="V6105" s="25"/>
      <c r="W6105" s="25"/>
      <c r="X6105" s="25"/>
      <c r="Y6105" s="25"/>
      <c r="Z6105" s="25"/>
      <c r="AA6105" s="25"/>
    </row>
    <row r="6106" spans="1:27" x14ac:dyDescent="0.35">
      <c r="A6106" s="5">
        <v>6102</v>
      </c>
      <c r="B6106" s="5">
        <v>255</v>
      </c>
      <c r="C6106" s="5">
        <v>9</v>
      </c>
      <c r="D6106" s="25">
        <v>1.1415000000000001E-4</v>
      </c>
      <c r="E6106" s="25">
        <v>1.1836999999999999E-4</v>
      </c>
      <c r="F6106" s="25">
        <v>9.9259999999999995E-5</v>
      </c>
      <c r="G6106" s="25">
        <v>1.1535999999999999E-4</v>
      </c>
      <c r="H6106" s="25">
        <v>1.3834000000000001E-4</v>
      </c>
      <c r="I6106" s="9">
        <v>8.6849999999999997E-5</v>
      </c>
      <c r="J6106" s="9">
        <v>8.6379999999999996E-5</v>
      </c>
      <c r="K6106" s="9">
        <v>0</v>
      </c>
      <c r="L6106" s="9">
        <v>1.7810000000000001E-5</v>
      </c>
      <c r="M6106" s="9">
        <v>4.8489999999999998E-5</v>
      </c>
      <c r="N6106" s="9">
        <v>7.1110000000000002E-5</v>
      </c>
      <c r="O6106" s="9">
        <v>4.634E-5</v>
      </c>
      <c r="P6106" s="9">
        <v>7.6909999999999994E-5</v>
      </c>
      <c r="Q6106" s="9">
        <v>1.0709000000000001E-4</v>
      </c>
      <c r="R6106" s="10">
        <v>1.1766081230740567E-4</v>
      </c>
      <c r="S6106" s="10">
        <v>1.3418904255999619E-4</v>
      </c>
      <c r="T6106" s="10">
        <v>0</v>
      </c>
      <c r="U6106" s="10">
        <v>6.9510000000000004E-5</v>
      </c>
      <c r="V6106" s="25"/>
      <c r="W6106" s="25"/>
      <c r="X6106" s="25"/>
      <c r="Y6106" s="25"/>
      <c r="Z6106" s="25"/>
      <c r="AA6106" s="25"/>
    </row>
    <row r="6107" spans="1:27" x14ac:dyDescent="0.35">
      <c r="A6107" s="5">
        <v>6103</v>
      </c>
      <c r="B6107" s="5">
        <v>255</v>
      </c>
      <c r="C6107" s="5">
        <v>9</v>
      </c>
      <c r="D6107" s="25">
        <v>1.1416E-4</v>
      </c>
      <c r="E6107" s="25">
        <v>1.1438999999999999E-4</v>
      </c>
      <c r="F6107" s="25">
        <v>1.1546E-4</v>
      </c>
      <c r="G6107" s="25">
        <v>1.0691E-4</v>
      </c>
      <c r="H6107" s="25">
        <v>1.2632E-4</v>
      </c>
      <c r="I6107" s="9">
        <v>8.7880000000000006E-5</v>
      </c>
      <c r="J6107" s="9">
        <v>8.7979999999999995E-5</v>
      </c>
      <c r="K6107" s="9">
        <v>0</v>
      </c>
      <c r="L6107" s="9">
        <v>3.9929999999999999E-5</v>
      </c>
      <c r="M6107" s="9">
        <v>6.0069999999999999E-5</v>
      </c>
      <c r="N6107" s="9">
        <v>8.0829999999999997E-5</v>
      </c>
      <c r="O6107" s="9">
        <v>1.2294000000000001E-4</v>
      </c>
      <c r="P6107" s="9">
        <v>1.1731E-4</v>
      </c>
      <c r="Q6107" s="9">
        <v>1.1238E-4</v>
      </c>
      <c r="R6107" s="10">
        <v>1.2237417376810558E-4</v>
      </c>
      <c r="S6107" s="10">
        <v>1.5069497269378621E-4</v>
      </c>
      <c r="T6107" s="10">
        <v>1.3184601190121472E-5</v>
      </c>
      <c r="U6107" s="10">
        <v>6.9510000000000004E-5</v>
      </c>
      <c r="V6107" s="25"/>
      <c r="W6107" s="25"/>
      <c r="X6107" s="25"/>
      <c r="Y6107" s="25"/>
      <c r="Z6107" s="25"/>
      <c r="AA6107" s="25"/>
    </row>
    <row r="6108" spans="1:27" x14ac:dyDescent="0.35">
      <c r="A6108" s="5">
        <v>6104</v>
      </c>
      <c r="B6108" s="5">
        <v>255</v>
      </c>
      <c r="C6108" s="5">
        <v>9</v>
      </c>
      <c r="D6108" s="25">
        <v>1.1415000000000001E-4</v>
      </c>
      <c r="E6108" s="25">
        <v>1.1747E-4</v>
      </c>
      <c r="F6108" s="25">
        <v>1.0984000000000001E-4</v>
      </c>
      <c r="G6108" s="25">
        <v>1.6469E-4</v>
      </c>
      <c r="H6108" s="25">
        <v>1.9900000000000001E-4</v>
      </c>
      <c r="I6108" s="9">
        <v>9.2289999999999999E-5</v>
      </c>
      <c r="J6108" s="9">
        <v>9.2819999999999996E-5</v>
      </c>
      <c r="K6108" s="9">
        <v>0</v>
      </c>
      <c r="L6108" s="9">
        <v>1.0406E-4</v>
      </c>
      <c r="M6108" s="9">
        <v>8.3659999999999995E-5</v>
      </c>
      <c r="N6108" s="9">
        <v>9.09E-5</v>
      </c>
      <c r="O6108" s="9">
        <v>2.1884000000000001E-4</v>
      </c>
      <c r="P6108" s="9">
        <v>1.7673E-4</v>
      </c>
      <c r="Q6108" s="9">
        <v>1.3652E-4</v>
      </c>
      <c r="R6108" s="10">
        <v>1.3167815388136954E-4</v>
      </c>
      <c r="S6108" s="10">
        <v>1.6652190785917663E-4</v>
      </c>
      <c r="T6108" s="10">
        <v>1.7061925993136602E-5</v>
      </c>
      <c r="U6108" s="10">
        <v>6.9510000000000004E-5</v>
      </c>
      <c r="V6108" s="25"/>
      <c r="W6108" s="25"/>
      <c r="X6108" s="25"/>
      <c r="Y6108" s="25"/>
      <c r="Z6108" s="25"/>
      <c r="AA6108" s="25"/>
    </row>
    <row r="6109" spans="1:27" x14ac:dyDescent="0.35">
      <c r="A6109" s="5">
        <v>6105</v>
      </c>
      <c r="B6109" s="5">
        <v>255</v>
      </c>
      <c r="C6109" s="5">
        <v>9</v>
      </c>
      <c r="D6109" s="25">
        <v>1.1416E-4</v>
      </c>
      <c r="E6109" s="25">
        <v>1.1611E-4</v>
      </c>
      <c r="F6109" s="25">
        <v>1.1265E-4</v>
      </c>
      <c r="G6109" s="25">
        <v>1.595E-4</v>
      </c>
      <c r="H6109" s="25">
        <v>1.919E-4</v>
      </c>
      <c r="I6109" s="9">
        <v>9.8620000000000001E-5</v>
      </c>
      <c r="J6109" s="9">
        <v>9.7919999999999998E-5</v>
      </c>
      <c r="K6109" s="9">
        <v>0</v>
      </c>
      <c r="L6109" s="9">
        <v>1.9183000000000001E-4</v>
      </c>
      <c r="M6109" s="9">
        <v>1.2327E-4</v>
      </c>
      <c r="N6109" s="9">
        <v>1.0456E-4</v>
      </c>
      <c r="O6109" s="9">
        <v>2.1109000000000001E-4</v>
      </c>
      <c r="P6109" s="9">
        <v>1.9333999999999999E-4</v>
      </c>
      <c r="Q6109" s="9">
        <v>1.7707000000000001E-4</v>
      </c>
      <c r="R6109" s="10">
        <v>1.3896539028086078E-4</v>
      </c>
      <c r="S6109" s="10">
        <v>1.7652341096351085E-4</v>
      </c>
      <c r="T6109" s="10">
        <v>7.739377867200003E-5</v>
      </c>
      <c r="U6109" s="10">
        <v>6.9510000000000004E-5</v>
      </c>
      <c r="V6109" s="25"/>
      <c r="W6109" s="25"/>
      <c r="X6109" s="25"/>
      <c r="Y6109" s="25"/>
      <c r="Z6109" s="25"/>
      <c r="AA6109" s="25"/>
    </row>
    <row r="6110" spans="1:27" x14ac:dyDescent="0.35">
      <c r="A6110" s="5">
        <v>6106</v>
      </c>
      <c r="B6110" s="5">
        <v>255</v>
      </c>
      <c r="C6110" s="5">
        <v>9</v>
      </c>
      <c r="D6110" s="25">
        <v>1.1415000000000001E-4</v>
      </c>
      <c r="E6110" s="25">
        <v>1.2125000000000001E-4</v>
      </c>
      <c r="F6110" s="25">
        <v>1.1383999999999999E-4</v>
      </c>
      <c r="G6110" s="25">
        <v>1.6236000000000001E-4</v>
      </c>
      <c r="H6110" s="25">
        <v>1.8694999999999999E-4</v>
      </c>
      <c r="I6110" s="9">
        <v>1.019E-4</v>
      </c>
      <c r="J6110" s="9">
        <v>1.0155E-4</v>
      </c>
      <c r="K6110" s="9">
        <v>0</v>
      </c>
      <c r="L6110" s="9">
        <v>2.0455000000000001E-4</v>
      </c>
      <c r="M6110" s="9">
        <v>1.5852999999999999E-4</v>
      </c>
      <c r="N6110" s="9">
        <v>1.2459E-4</v>
      </c>
      <c r="O6110" s="9">
        <v>1.6662E-4</v>
      </c>
      <c r="P6110" s="9">
        <v>1.7383000000000001E-4</v>
      </c>
      <c r="Q6110" s="9">
        <v>1.8183000000000001E-4</v>
      </c>
      <c r="R6110" s="10">
        <v>1.3050510575566898E-4</v>
      </c>
      <c r="S6110" s="10">
        <v>1.825563712146412E-4</v>
      </c>
      <c r="T6110" s="10">
        <v>2.2115174686081484E-4</v>
      </c>
      <c r="U6110" s="10">
        <v>6.9510000000000004E-5</v>
      </c>
      <c r="V6110" s="25"/>
      <c r="W6110" s="25"/>
      <c r="X6110" s="25"/>
      <c r="Y6110" s="25"/>
      <c r="Z6110" s="25"/>
      <c r="AA6110" s="25"/>
    </row>
    <row r="6111" spans="1:27" x14ac:dyDescent="0.35">
      <c r="A6111" s="5">
        <v>6107</v>
      </c>
      <c r="B6111" s="5">
        <v>255</v>
      </c>
      <c r="C6111" s="5">
        <v>9</v>
      </c>
      <c r="D6111" s="25">
        <v>1.1416E-4</v>
      </c>
      <c r="E6111" s="25">
        <v>1.13E-4</v>
      </c>
      <c r="F6111" s="25">
        <v>1.0367E-4</v>
      </c>
      <c r="G6111" s="25">
        <v>1.5833000000000001E-4</v>
      </c>
      <c r="H6111" s="25">
        <v>1.9311E-4</v>
      </c>
      <c r="I6111" s="9">
        <v>1.0542E-4</v>
      </c>
      <c r="J6111" s="9">
        <v>1.0223E-4</v>
      </c>
      <c r="K6111" s="9">
        <v>0</v>
      </c>
      <c r="L6111" s="9">
        <v>1.7503000000000001E-4</v>
      </c>
      <c r="M6111" s="9">
        <v>1.7222E-4</v>
      </c>
      <c r="N6111" s="9">
        <v>1.4260999999999999E-4</v>
      </c>
      <c r="O6111" s="9">
        <v>1.662E-4</v>
      </c>
      <c r="P6111" s="9">
        <v>1.7205000000000001E-4</v>
      </c>
      <c r="Q6111" s="9">
        <v>1.7870000000000001E-4</v>
      </c>
      <c r="R6111" s="10">
        <v>1.2566106414699666E-4</v>
      </c>
      <c r="S6111" s="10">
        <v>1.8595471077410681E-4</v>
      </c>
      <c r="T6111" s="10">
        <v>5.5103827419305618E-4</v>
      </c>
      <c r="U6111" s="10">
        <v>6.9510000000000004E-5</v>
      </c>
      <c r="V6111" s="25"/>
      <c r="W6111" s="25"/>
      <c r="X6111" s="25"/>
      <c r="Y6111" s="25"/>
      <c r="Z6111" s="25"/>
      <c r="AA6111" s="25"/>
    </row>
    <row r="6112" spans="1:27" x14ac:dyDescent="0.35">
      <c r="A6112" s="5">
        <v>6108</v>
      </c>
      <c r="B6112" s="5">
        <v>255</v>
      </c>
      <c r="C6112" s="5">
        <v>9</v>
      </c>
      <c r="D6112" s="25">
        <v>1.1415000000000001E-4</v>
      </c>
      <c r="E6112" s="25">
        <v>1.1234E-4</v>
      </c>
      <c r="F6112" s="25">
        <v>9.9510000000000001E-5</v>
      </c>
      <c r="G6112" s="25">
        <v>1.6458E-4</v>
      </c>
      <c r="H6112" s="25">
        <v>1.8734000000000001E-4</v>
      </c>
      <c r="I6112" s="9">
        <v>1.0533E-4</v>
      </c>
      <c r="J6112" s="9">
        <v>1.0359E-4</v>
      </c>
      <c r="K6112" s="9">
        <v>0</v>
      </c>
      <c r="L6112" s="9">
        <v>1.6956E-4</v>
      </c>
      <c r="M6112" s="9">
        <v>1.7446000000000001E-4</v>
      </c>
      <c r="N6112" s="9">
        <v>1.5650000000000001E-4</v>
      </c>
      <c r="O6112" s="9">
        <v>1.6786000000000001E-4</v>
      </c>
      <c r="P6112" s="9">
        <v>1.6961999999999999E-4</v>
      </c>
      <c r="Q6112" s="9">
        <v>1.7226000000000001E-4</v>
      </c>
      <c r="R6112" s="10">
        <v>8.7209863643283663E-5</v>
      </c>
      <c r="S6112" s="10">
        <v>1.7349611858888975E-4</v>
      </c>
      <c r="T6112" s="10">
        <v>3.2898719160112623E-4</v>
      </c>
      <c r="U6112" s="10">
        <v>6.9510000000000004E-5</v>
      </c>
      <c r="V6112" s="25"/>
      <c r="W6112" s="25"/>
      <c r="X6112" s="25"/>
      <c r="Y6112" s="25"/>
      <c r="Z6112" s="25"/>
      <c r="AA6112" s="25"/>
    </row>
    <row r="6113" spans="1:27" x14ac:dyDescent="0.35">
      <c r="A6113" s="5">
        <v>6109</v>
      </c>
      <c r="B6113" s="5">
        <v>255</v>
      </c>
      <c r="C6113" s="5">
        <v>9</v>
      </c>
      <c r="D6113" s="25">
        <v>1.1416E-4</v>
      </c>
      <c r="E6113" s="25">
        <v>1.1711E-4</v>
      </c>
      <c r="F6113" s="25">
        <v>9.9329999999999999E-5</v>
      </c>
      <c r="G6113" s="25">
        <v>1.6244999999999999E-4</v>
      </c>
      <c r="H6113" s="25">
        <v>1.8975E-4</v>
      </c>
      <c r="I6113" s="9">
        <v>1.0247999999999999E-4</v>
      </c>
      <c r="J6113" s="9">
        <v>1.0246E-4</v>
      </c>
      <c r="K6113" s="9">
        <v>0</v>
      </c>
      <c r="L6113" s="9">
        <v>1.6841E-4</v>
      </c>
      <c r="M6113" s="9">
        <v>1.7280999999999999E-4</v>
      </c>
      <c r="N6113" s="9">
        <v>1.6557E-4</v>
      </c>
      <c r="O6113" s="9">
        <v>1.6108999999999999E-4</v>
      </c>
      <c r="P6113" s="9">
        <v>1.6365999999999999E-4</v>
      </c>
      <c r="Q6113" s="9">
        <v>1.6705999999999999E-4</v>
      </c>
      <c r="R6113" s="10">
        <v>1.0802053289707908E-4</v>
      </c>
      <c r="S6113" s="10">
        <v>1.7076418677527567E-4</v>
      </c>
      <c r="T6113" s="10">
        <v>2.8658266344911391E-4</v>
      </c>
      <c r="U6113" s="10">
        <v>6.9510000000000004E-5</v>
      </c>
      <c r="V6113" s="25"/>
      <c r="W6113" s="25"/>
      <c r="X6113" s="25"/>
      <c r="Y6113" s="25"/>
      <c r="Z6113" s="25"/>
      <c r="AA6113" s="25"/>
    </row>
    <row r="6114" spans="1:27" x14ac:dyDescent="0.35">
      <c r="A6114" s="5">
        <v>6110</v>
      </c>
      <c r="B6114" s="5">
        <v>255</v>
      </c>
      <c r="C6114" s="5">
        <v>9</v>
      </c>
      <c r="D6114" s="25">
        <v>1.1415000000000001E-4</v>
      </c>
      <c r="E6114" s="25">
        <v>1.1656E-4</v>
      </c>
      <c r="F6114" s="25">
        <v>1.0742E-4</v>
      </c>
      <c r="G6114" s="25">
        <v>1.5897E-4</v>
      </c>
      <c r="H6114" s="25">
        <v>1.9495999999999999E-4</v>
      </c>
      <c r="I6114" s="9">
        <v>9.959E-5</v>
      </c>
      <c r="J6114" s="9">
        <v>1.0147E-4</v>
      </c>
      <c r="K6114" s="9">
        <v>0</v>
      </c>
      <c r="L6114" s="9">
        <v>1.6247000000000001E-4</v>
      </c>
      <c r="M6114" s="9">
        <v>1.6906000000000001E-4</v>
      </c>
      <c r="N6114" s="9">
        <v>1.6985000000000001E-4</v>
      </c>
      <c r="O6114" s="9">
        <v>1.7719E-4</v>
      </c>
      <c r="P6114" s="9">
        <v>1.6809E-4</v>
      </c>
      <c r="Q6114" s="9">
        <v>1.6009999999999999E-4</v>
      </c>
      <c r="R6114" s="10">
        <v>1.184612641815071E-4</v>
      </c>
      <c r="S6114" s="10">
        <v>1.757493635240671E-4</v>
      </c>
      <c r="T6114" s="10">
        <v>1.6598683248618819E-4</v>
      </c>
      <c r="U6114" s="10">
        <v>6.9510000000000004E-5</v>
      </c>
      <c r="V6114" s="25"/>
      <c r="W6114" s="25"/>
      <c r="X6114" s="25"/>
      <c r="Y6114" s="25"/>
      <c r="Z6114" s="25"/>
      <c r="AA6114" s="25"/>
    </row>
    <row r="6115" spans="1:27" x14ac:dyDescent="0.35">
      <c r="A6115" s="5">
        <v>6111</v>
      </c>
      <c r="B6115" s="5">
        <v>255</v>
      </c>
      <c r="C6115" s="5">
        <v>9</v>
      </c>
      <c r="D6115" s="25">
        <v>1.1416E-4</v>
      </c>
      <c r="E6115" s="25">
        <v>1.1879000000000001E-4</v>
      </c>
      <c r="F6115" s="25">
        <v>9.9439999999999997E-5</v>
      </c>
      <c r="G6115" s="25">
        <v>1.6155E-4</v>
      </c>
      <c r="H6115" s="25">
        <v>1.9908E-4</v>
      </c>
      <c r="I6115" s="9">
        <v>9.8809999999999998E-5</v>
      </c>
      <c r="J6115" s="9">
        <v>1.0175000000000001E-4</v>
      </c>
      <c r="K6115" s="9">
        <v>0</v>
      </c>
      <c r="L6115" s="9">
        <v>1.7409000000000001E-4</v>
      </c>
      <c r="M6115" s="9">
        <v>1.6766E-4</v>
      </c>
      <c r="N6115" s="9">
        <v>1.6929E-4</v>
      </c>
      <c r="O6115" s="9">
        <v>1.8150999999999999E-4</v>
      </c>
      <c r="P6115" s="9">
        <v>1.6569999999999999E-4</v>
      </c>
      <c r="Q6115" s="9">
        <v>1.5113999999999999E-4</v>
      </c>
      <c r="R6115" s="10">
        <v>1.2117712186874808E-4</v>
      </c>
      <c r="S6115" s="10">
        <v>1.8014378488766608E-4</v>
      </c>
      <c r="T6115" s="10">
        <v>1.3287261212258198E-4</v>
      </c>
      <c r="U6115" s="10">
        <v>6.9510000000000004E-5</v>
      </c>
      <c r="V6115" s="25"/>
      <c r="W6115" s="25"/>
      <c r="X6115" s="25"/>
      <c r="Y6115" s="25"/>
      <c r="Z6115" s="25"/>
      <c r="AA6115" s="25"/>
    </row>
    <row r="6116" spans="1:27" x14ac:dyDescent="0.35">
      <c r="A6116" s="5">
        <v>6112</v>
      </c>
      <c r="B6116" s="5">
        <v>255</v>
      </c>
      <c r="C6116" s="5">
        <v>9</v>
      </c>
      <c r="D6116" s="25">
        <v>1.1415000000000001E-4</v>
      </c>
      <c r="E6116" s="25">
        <v>1.1362E-4</v>
      </c>
      <c r="F6116" s="25">
        <v>1.1484000000000001E-4</v>
      </c>
      <c r="G6116" s="25">
        <v>1.6708000000000001E-4</v>
      </c>
      <c r="H6116" s="25">
        <v>1.9933E-4</v>
      </c>
      <c r="I6116" s="9">
        <v>9.8560000000000005E-5</v>
      </c>
      <c r="J6116" s="9">
        <v>1.0297E-4</v>
      </c>
      <c r="K6116" s="9">
        <v>0</v>
      </c>
      <c r="L6116" s="9">
        <v>1.7956999999999999E-4</v>
      </c>
      <c r="M6116" s="9">
        <v>1.6668999999999999E-4</v>
      </c>
      <c r="N6116" s="9">
        <v>1.652E-4</v>
      </c>
      <c r="O6116" s="9">
        <v>1.9535E-4</v>
      </c>
      <c r="P6116" s="9">
        <v>1.5122000000000001E-4</v>
      </c>
      <c r="Q6116" s="9">
        <v>1.0887000000000001E-4</v>
      </c>
      <c r="R6116" s="10">
        <v>1.1994306141392969E-4</v>
      </c>
      <c r="S6116" s="10">
        <v>1.7790753710238973E-4</v>
      </c>
      <c r="T6116" s="10">
        <v>7.1921405591158117E-5</v>
      </c>
      <c r="U6116" s="10">
        <v>6.9510000000000004E-5</v>
      </c>
      <c r="V6116" s="25"/>
      <c r="W6116" s="25"/>
      <c r="X6116" s="25"/>
      <c r="Y6116" s="25"/>
      <c r="Z6116" s="25"/>
      <c r="AA6116" s="25"/>
    </row>
    <row r="6117" spans="1:27" x14ac:dyDescent="0.35">
      <c r="A6117" s="5">
        <v>6113</v>
      </c>
      <c r="B6117" s="5">
        <v>255</v>
      </c>
      <c r="C6117" s="5">
        <v>9</v>
      </c>
      <c r="D6117" s="25">
        <v>1.1416E-4</v>
      </c>
      <c r="E6117" s="25">
        <v>1.2186E-4</v>
      </c>
      <c r="F6117" s="25">
        <v>1.1569999999999999E-4</v>
      </c>
      <c r="G6117" s="25">
        <v>1.5894999999999999E-4</v>
      </c>
      <c r="H6117" s="25">
        <v>1.9349999999999999E-4</v>
      </c>
      <c r="I6117" s="9">
        <v>1.011E-4</v>
      </c>
      <c r="J6117" s="9">
        <v>1.082E-4</v>
      </c>
      <c r="K6117" s="9">
        <v>0</v>
      </c>
      <c r="L6117" s="9">
        <v>1.9168000000000001E-4</v>
      </c>
      <c r="M6117" s="9">
        <v>1.6096E-4</v>
      </c>
      <c r="N6117" s="9">
        <v>1.5145999999999999E-4</v>
      </c>
      <c r="O6117" s="9">
        <v>2.143E-4</v>
      </c>
      <c r="P6117" s="9">
        <v>1.5988999999999999E-4</v>
      </c>
      <c r="Q6117" s="9">
        <v>1.0755E-4</v>
      </c>
      <c r="R6117" s="10">
        <v>1.1621562802537495E-4</v>
      </c>
      <c r="S6117" s="10">
        <v>1.7358224793839386E-4</v>
      </c>
      <c r="T6117" s="10">
        <v>6.9223398397812798E-5</v>
      </c>
      <c r="U6117" s="10">
        <v>6.9510000000000004E-5</v>
      </c>
      <c r="V6117" s="25"/>
      <c r="W6117" s="25"/>
      <c r="X6117" s="25"/>
      <c r="Y6117" s="25"/>
      <c r="Z6117" s="25"/>
      <c r="AA6117" s="25"/>
    </row>
    <row r="6118" spans="1:27" x14ac:dyDescent="0.35">
      <c r="A6118" s="5">
        <v>6114</v>
      </c>
      <c r="B6118" s="5">
        <v>255</v>
      </c>
      <c r="C6118" s="5">
        <v>9</v>
      </c>
      <c r="D6118" s="25">
        <v>1.1415000000000001E-4</v>
      </c>
      <c r="E6118" s="25">
        <v>1.1302E-4</v>
      </c>
      <c r="F6118" s="25">
        <v>9.7020000000000003E-5</v>
      </c>
      <c r="G6118" s="25">
        <v>1.6605E-4</v>
      </c>
      <c r="H6118" s="25">
        <v>1.9917000000000001E-4</v>
      </c>
      <c r="I6118" s="9">
        <v>1.0377E-4</v>
      </c>
      <c r="J6118" s="9">
        <v>1.105E-4</v>
      </c>
      <c r="K6118" s="9">
        <v>0</v>
      </c>
      <c r="L6118" s="9">
        <v>2.0908E-4</v>
      </c>
      <c r="M6118" s="9">
        <v>1.5899999999999999E-4</v>
      </c>
      <c r="N6118" s="9">
        <v>1.3841999999999999E-4</v>
      </c>
      <c r="O6118" s="9">
        <v>2.0635E-4</v>
      </c>
      <c r="P6118" s="9">
        <v>1.6148000000000001E-4</v>
      </c>
      <c r="Q6118" s="9">
        <v>1.1847E-4</v>
      </c>
      <c r="R6118" s="10">
        <v>1.0648394197854731E-4</v>
      </c>
      <c r="S6118" s="10">
        <v>1.7211047472552219E-4</v>
      </c>
      <c r="T6118" s="10">
        <v>1.6544383732777907E-5</v>
      </c>
      <c r="U6118" s="10">
        <v>6.9510000000000004E-5</v>
      </c>
      <c r="V6118" s="25"/>
      <c r="W6118" s="25"/>
      <c r="X6118" s="25"/>
      <c r="Y6118" s="25"/>
      <c r="Z6118" s="25"/>
      <c r="AA6118" s="25"/>
    </row>
    <row r="6119" spans="1:27" x14ac:dyDescent="0.35">
      <c r="A6119" s="5">
        <v>6115</v>
      </c>
      <c r="B6119" s="5">
        <v>255</v>
      </c>
      <c r="C6119" s="5">
        <v>9</v>
      </c>
      <c r="D6119" s="25">
        <v>1.1416E-4</v>
      </c>
      <c r="E6119" s="25">
        <v>1.1692E-4</v>
      </c>
      <c r="F6119" s="25">
        <v>1.1230000000000001E-4</v>
      </c>
      <c r="G6119" s="25">
        <v>1.0868E-4</v>
      </c>
      <c r="H6119" s="25">
        <v>1.2625000000000001E-4</v>
      </c>
      <c r="I6119" s="9">
        <v>1.0542E-4</v>
      </c>
      <c r="J6119" s="9">
        <v>1.1131E-4</v>
      </c>
      <c r="K6119" s="9">
        <v>2.12E-6</v>
      </c>
      <c r="L6119" s="9">
        <v>2.0649000000000001E-4</v>
      </c>
      <c r="M6119" s="9">
        <v>1.5956E-4</v>
      </c>
      <c r="N6119" s="9">
        <v>1.2971E-4</v>
      </c>
      <c r="O6119" s="9">
        <v>1.6421E-4</v>
      </c>
      <c r="P6119" s="9">
        <v>1.3501E-4</v>
      </c>
      <c r="Q6119" s="9">
        <v>1.0716E-4</v>
      </c>
      <c r="R6119" s="10">
        <v>9.1119965782113197E-5</v>
      </c>
      <c r="S6119" s="10">
        <v>1.6850286284748154E-4</v>
      </c>
      <c r="T6119" s="10">
        <v>0</v>
      </c>
      <c r="U6119" s="10">
        <v>6.9510000000000004E-5</v>
      </c>
      <c r="V6119" s="25"/>
      <c r="W6119" s="25"/>
      <c r="X6119" s="25"/>
      <c r="Y6119" s="25"/>
      <c r="Z6119" s="25"/>
      <c r="AA6119" s="25"/>
    </row>
    <row r="6120" spans="1:27" x14ac:dyDescent="0.35">
      <c r="A6120" s="5">
        <v>6116</v>
      </c>
      <c r="B6120" s="5">
        <v>255</v>
      </c>
      <c r="C6120" s="5">
        <v>9</v>
      </c>
      <c r="D6120" s="25">
        <v>1.1415000000000001E-4</v>
      </c>
      <c r="E6120" s="25">
        <v>1.1912E-4</v>
      </c>
      <c r="F6120" s="25">
        <v>1.0807E-4</v>
      </c>
      <c r="G6120" s="25">
        <v>1.0959999999999999E-4</v>
      </c>
      <c r="H6120" s="25">
        <v>1.3731E-4</v>
      </c>
      <c r="I6120" s="9">
        <v>1.0914E-4</v>
      </c>
      <c r="J6120" s="9">
        <v>1.1498E-4</v>
      </c>
      <c r="K6120" s="9">
        <v>3.8149999999999999E-5</v>
      </c>
      <c r="L6120" s="9">
        <v>1.7365999999999999E-4</v>
      </c>
      <c r="M6120" s="9">
        <v>1.5102E-4</v>
      </c>
      <c r="N6120" s="9">
        <v>1.2079E-4</v>
      </c>
      <c r="O6120" s="9">
        <v>1.2783E-4</v>
      </c>
      <c r="P6120" s="9">
        <v>1.141E-4</v>
      </c>
      <c r="Q6120" s="9">
        <v>1.0121E-4</v>
      </c>
      <c r="R6120" s="10">
        <v>7.9212047230828962E-5</v>
      </c>
      <c r="S6120" s="10">
        <v>1.6198787151431747E-4</v>
      </c>
      <c r="T6120" s="10">
        <v>0</v>
      </c>
      <c r="U6120" s="10">
        <v>6.9510000000000004E-5</v>
      </c>
      <c r="V6120" s="25"/>
      <c r="W6120" s="25"/>
      <c r="X6120" s="25"/>
      <c r="Y6120" s="25"/>
      <c r="Z6120" s="25"/>
      <c r="AA6120" s="25"/>
    </row>
    <row r="6121" spans="1:27" x14ac:dyDescent="0.35">
      <c r="A6121" s="5">
        <v>6117</v>
      </c>
      <c r="B6121" s="5">
        <v>255</v>
      </c>
      <c r="C6121" s="5">
        <v>9</v>
      </c>
      <c r="D6121" s="25">
        <v>1.1416E-4</v>
      </c>
      <c r="E6121" s="25">
        <v>1.1639E-4</v>
      </c>
      <c r="F6121" s="25">
        <v>1.0901E-4</v>
      </c>
      <c r="G6121" s="25">
        <v>5.6150000000000003E-5</v>
      </c>
      <c r="H6121" s="25">
        <v>6.6030000000000003E-5</v>
      </c>
      <c r="I6121" s="9">
        <v>1.0784E-4</v>
      </c>
      <c r="J6121" s="9">
        <v>1.1264000000000001E-4</v>
      </c>
      <c r="K6121" s="9">
        <v>5.7229999999999999E-5</v>
      </c>
      <c r="L6121" s="9">
        <v>1.3893999999999999E-4</v>
      </c>
      <c r="M6121" s="9">
        <v>1.3528999999999999E-4</v>
      </c>
      <c r="N6121" s="9">
        <v>1.131E-4</v>
      </c>
      <c r="O6121" s="9">
        <v>8.454E-5</v>
      </c>
      <c r="P6121" s="9">
        <v>8.6210000000000003E-5</v>
      </c>
      <c r="Q6121" s="9">
        <v>8.8209999999999997E-5</v>
      </c>
      <c r="R6121" s="10">
        <v>6.3460021575210943E-5</v>
      </c>
      <c r="S6121" s="10">
        <v>1.5307776293510552E-4</v>
      </c>
      <c r="T6121" s="10">
        <v>0</v>
      </c>
      <c r="U6121" s="10">
        <v>6.9510000000000004E-5</v>
      </c>
      <c r="V6121" s="25"/>
      <c r="W6121" s="25"/>
      <c r="X6121" s="25"/>
      <c r="Y6121" s="25"/>
      <c r="Z6121" s="25"/>
      <c r="AA6121" s="25"/>
    </row>
    <row r="6122" spans="1:27" x14ac:dyDescent="0.35">
      <c r="A6122" s="5">
        <v>6118</v>
      </c>
      <c r="B6122" s="5">
        <v>255</v>
      </c>
      <c r="C6122" s="5">
        <v>9</v>
      </c>
      <c r="D6122" s="25">
        <v>1.1415000000000001E-4</v>
      </c>
      <c r="E6122" s="25">
        <v>1.1908000000000001E-4</v>
      </c>
      <c r="F6122" s="25">
        <v>9.7730000000000001E-5</v>
      </c>
      <c r="G6122" s="25">
        <v>5.4410000000000003E-5</v>
      </c>
      <c r="H6122" s="25">
        <v>6.5629999999999993E-5</v>
      </c>
      <c r="I6122" s="9">
        <v>1.0436E-4</v>
      </c>
      <c r="J6122" s="9">
        <v>1.0762E-4</v>
      </c>
      <c r="K6122" s="9">
        <v>5.0869999999999999E-5</v>
      </c>
      <c r="L6122" s="9">
        <v>9.7449999999999997E-5</v>
      </c>
      <c r="M6122" s="9">
        <v>1.1357E-4</v>
      </c>
      <c r="N6122" s="9">
        <v>1.0555E-4</v>
      </c>
      <c r="O6122" s="9">
        <v>8.7639999999999994E-5</v>
      </c>
      <c r="P6122" s="9">
        <v>8.7929999999999993E-5</v>
      </c>
      <c r="Q6122" s="9">
        <v>8.8579999999999996E-5</v>
      </c>
      <c r="R6122" s="10">
        <v>6.0187275307483826E-5</v>
      </c>
      <c r="S6122" s="10">
        <v>1.3724106784968043E-4</v>
      </c>
      <c r="T6122" s="10">
        <v>0</v>
      </c>
      <c r="U6122" s="10">
        <v>6.9510000000000004E-5</v>
      </c>
      <c r="V6122" s="25"/>
      <c r="W6122" s="25"/>
      <c r="X6122" s="25"/>
      <c r="Y6122" s="25"/>
      <c r="Z6122" s="25"/>
      <c r="AA6122" s="25"/>
    </row>
    <row r="6123" spans="1:27" x14ac:dyDescent="0.35">
      <c r="A6123" s="5">
        <v>6119</v>
      </c>
      <c r="B6123" s="5">
        <v>255</v>
      </c>
      <c r="C6123" s="5">
        <v>9</v>
      </c>
      <c r="D6123" s="25">
        <v>1.1416E-4</v>
      </c>
      <c r="E6123" s="25">
        <v>1.1298000000000001E-4</v>
      </c>
      <c r="F6123" s="25">
        <v>1.0062E-4</v>
      </c>
      <c r="G6123" s="25">
        <v>5.2439999999999999E-5</v>
      </c>
      <c r="H6123" s="25">
        <v>7.3769999999999993E-5</v>
      </c>
      <c r="I6123" s="9">
        <v>9.734E-5</v>
      </c>
      <c r="J6123" s="9">
        <v>1.0105E-4</v>
      </c>
      <c r="K6123" s="9">
        <v>4.6629999999999999E-5</v>
      </c>
      <c r="L6123" s="9">
        <v>9.0719999999999999E-5</v>
      </c>
      <c r="M6123" s="9">
        <v>9.9030000000000006E-5</v>
      </c>
      <c r="N6123" s="9">
        <v>9.9829999999999998E-5</v>
      </c>
      <c r="O6123" s="9">
        <v>7.7349999999999996E-5</v>
      </c>
      <c r="P6123" s="9">
        <v>7.1740000000000001E-5</v>
      </c>
      <c r="Q6123" s="9">
        <v>6.6519999999999993E-5</v>
      </c>
      <c r="R6123" s="10">
        <v>5.4875413997473834E-5</v>
      </c>
      <c r="S6123" s="10">
        <v>1.1899790960220156E-4</v>
      </c>
      <c r="T6123" s="10">
        <v>0</v>
      </c>
      <c r="U6123" s="10">
        <v>6.9510000000000004E-5</v>
      </c>
      <c r="V6123" s="25"/>
      <c r="W6123" s="25"/>
      <c r="X6123" s="25"/>
      <c r="Y6123" s="25"/>
      <c r="Z6123" s="25"/>
      <c r="AA6123" s="25"/>
    </row>
    <row r="6124" spans="1:27" x14ac:dyDescent="0.35">
      <c r="A6124" s="5">
        <v>6120</v>
      </c>
      <c r="B6124" s="5">
        <v>255</v>
      </c>
      <c r="C6124" s="5">
        <v>9</v>
      </c>
      <c r="D6124" s="25">
        <v>1.1415000000000001E-4</v>
      </c>
      <c r="E6124" s="25">
        <v>1.2108E-4</v>
      </c>
      <c r="F6124" s="25">
        <v>1.102E-4</v>
      </c>
      <c r="G6124" s="25">
        <v>5.4429999999999999E-5</v>
      </c>
      <c r="H6124" s="25">
        <v>7.5350000000000002E-5</v>
      </c>
      <c r="I6124" s="9">
        <v>9.2169999999999993E-5</v>
      </c>
      <c r="J6124" s="9">
        <v>9.5710000000000004E-5</v>
      </c>
      <c r="K6124" s="9">
        <v>3.392E-5</v>
      </c>
      <c r="L6124" s="9">
        <v>8.0259999999999994E-5</v>
      </c>
      <c r="M6124" s="9">
        <v>8.6020000000000007E-5</v>
      </c>
      <c r="N6124" s="9">
        <v>9.0470000000000006E-5</v>
      </c>
      <c r="O6124" s="9">
        <v>6.334E-5</v>
      </c>
      <c r="P6124" s="9">
        <v>6.1270000000000001E-5</v>
      </c>
      <c r="Q6124" s="9">
        <v>5.944E-5</v>
      </c>
      <c r="R6124" s="10">
        <v>4.8730585929106851E-5</v>
      </c>
      <c r="S6124" s="10">
        <v>9.1917755486642125E-5</v>
      </c>
      <c r="T6124" s="10">
        <v>0</v>
      </c>
      <c r="U6124" s="10">
        <v>6.9510000000000004E-5</v>
      </c>
      <c r="V6124" s="25"/>
      <c r="W6124" s="25"/>
      <c r="X6124" s="25"/>
      <c r="Y6124" s="25"/>
      <c r="Z6124" s="25"/>
      <c r="AA6124" s="25"/>
    </row>
    <row r="6125" spans="1:27" x14ac:dyDescent="0.35">
      <c r="A6125" s="5">
        <v>6121</v>
      </c>
      <c r="B6125" s="5">
        <v>256</v>
      </c>
      <c r="C6125" s="5">
        <v>9</v>
      </c>
      <c r="D6125" s="25">
        <v>1.1416E-4</v>
      </c>
      <c r="E6125" s="25">
        <v>1.0734999999999999E-4</v>
      </c>
      <c r="F6125" s="25">
        <v>1.0108E-4</v>
      </c>
      <c r="G6125" s="25">
        <v>6.0739999999999998E-5</v>
      </c>
      <c r="H6125" s="25">
        <v>6.5530000000000004E-5</v>
      </c>
      <c r="I6125" s="9">
        <v>8.8570000000000001E-5</v>
      </c>
      <c r="J6125" s="9">
        <v>9.2150000000000004E-5</v>
      </c>
      <c r="K6125" s="9">
        <v>4.8749999999999999E-5</v>
      </c>
      <c r="L6125" s="9">
        <v>6.7080000000000001E-5</v>
      </c>
      <c r="M6125" s="9">
        <v>7.4109999999999993E-5</v>
      </c>
      <c r="N6125" s="9">
        <v>8.119E-5</v>
      </c>
      <c r="O6125" s="9">
        <v>5.4769999999999999E-5</v>
      </c>
      <c r="P6125" s="9">
        <v>5.418E-5</v>
      </c>
      <c r="Q6125" s="9">
        <v>5.376E-5</v>
      </c>
      <c r="R6125" s="10">
        <v>4.7914314880140248E-5</v>
      </c>
      <c r="S6125" s="10">
        <v>6.408262751579913E-5</v>
      </c>
      <c r="T6125" s="10">
        <v>0</v>
      </c>
      <c r="U6125" s="10">
        <v>6.9430000000000004E-5</v>
      </c>
      <c r="V6125" s="25"/>
      <c r="W6125" s="25"/>
      <c r="X6125" s="25"/>
      <c r="Y6125" s="25"/>
      <c r="Z6125" s="25"/>
      <c r="AA6125" s="25"/>
    </row>
    <row r="6126" spans="1:27" x14ac:dyDescent="0.35">
      <c r="A6126" s="5">
        <v>6122</v>
      </c>
      <c r="B6126" s="5">
        <v>256</v>
      </c>
      <c r="C6126" s="5">
        <v>9</v>
      </c>
      <c r="D6126" s="25">
        <v>1.1415000000000001E-4</v>
      </c>
      <c r="E6126" s="25">
        <v>1.1608E-4</v>
      </c>
      <c r="F6126" s="25">
        <v>1.0734999999999999E-4</v>
      </c>
      <c r="G6126" s="25">
        <v>5.6929999999999999E-5</v>
      </c>
      <c r="H6126" s="25">
        <v>7.0110000000000005E-5</v>
      </c>
      <c r="I6126" s="9">
        <v>8.7169999999999994E-5</v>
      </c>
      <c r="J6126" s="9">
        <v>9.0669999999999998E-5</v>
      </c>
      <c r="K6126" s="9">
        <v>5.5109999999999999E-5</v>
      </c>
      <c r="L6126" s="9">
        <v>5.7840000000000002E-5</v>
      </c>
      <c r="M6126" s="9">
        <v>6.4120000000000003E-5</v>
      </c>
      <c r="N6126" s="9">
        <v>7.2180000000000003E-5</v>
      </c>
      <c r="O6126" s="9">
        <v>1.9020000000000001E-5</v>
      </c>
      <c r="P6126" s="9">
        <v>3.7910000000000001E-5</v>
      </c>
      <c r="Q6126" s="9">
        <v>5.6419999999999999E-5</v>
      </c>
      <c r="R6126" s="10">
        <v>4.0653712205386909E-5</v>
      </c>
      <c r="S6126" s="10">
        <v>3.5257727471514768E-5</v>
      </c>
      <c r="T6126" s="10">
        <v>0</v>
      </c>
      <c r="U6126" s="10">
        <v>6.9430000000000004E-5</v>
      </c>
      <c r="V6126" s="25"/>
      <c r="W6126" s="25"/>
      <c r="X6126" s="25"/>
      <c r="Y6126" s="25"/>
      <c r="Z6126" s="25"/>
      <c r="AA6126" s="25"/>
    </row>
    <row r="6127" spans="1:27" x14ac:dyDescent="0.35">
      <c r="A6127" s="5">
        <v>6123</v>
      </c>
      <c r="B6127" s="5">
        <v>256</v>
      </c>
      <c r="C6127" s="5">
        <v>9</v>
      </c>
      <c r="D6127" s="25">
        <v>1.1416E-4</v>
      </c>
      <c r="E6127" s="25">
        <v>1.1619E-4</v>
      </c>
      <c r="F6127" s="25">
        <v>9.6310000000000005E-5</v>
      </c>
      <c r="G6127" s="25">
        <v>5.8629999999999999E-5</v>
      </c>
      <c r="H6127" s="25">
        <v>6.3709999999999998E-5</v>
      </c>
      <c r="I6127" s="9">
        <v>8.6440000000000006E-5</v>
      </c>
      <c r="J6127" s="9">
        <v>9.0309999999999994E-5</v>
      </c>
      <c r="K6127" s="9">
        <v>7.4179999999999998E-5</v>
      </c>
      <c r="L6127" s="9">
        <v>2.7759999999999998E-5</v>
      </c>
      <c r="M6127" s="9">
        <v>5.2410000000000001E-5</v>
      </c>
      <c r="N6127" s="9">
        <v>6.567E-5</v>
      </c>
      <c r="O6127" s="9">
        <v>1.3360000000000001E-5</v>
      </c>
      <c r="P6127" s="9">
        <v>3.7450000000000002E-5</v>
      </c>
      <c r="Q6127" s="9">
        <v>6.1039999999999998E-5</v>
      </c>
      <c r="R6127" s="10">
        <v>2.9425691282013423E-5</v>
      </c>
      <c r="S6127" s="10">
        <v>1.4349919226539184E-5</v>
      </c>
      <c r="T6127" s="10">
        <v>0</v>
      </c>
      <c r="U6127" s="10">
        <v>6.9430000000000004E-5</v>
      </c>
      <c r="V6127" s="25"/>
      <c r="W6127" s="25"/>
      <c r="X6127" s="25"/>
      <c r="Y6127" s="25"/>
      <c r="Z6127" s="25"/>
      <c r="AA6127" s="25"/>
    </row>
    <row r="6128" spans="1:27" x14ac:dyDescent="0.35">
      <c r="A6128" s="5">
        <v>6124</v>
      </c>
      <c r="B6128" s="5">
        <v>256</v>
      </c>
      <c r="C6128" s="5">
        <v>9</v>
      </c>
      <c r="D6128" s="25">
        <v>1.1415000000000001E-4</v>
      </c>
      <c r="E6128" s="25">
        <v>1.1623E-4</v>
      </c>
      <c r="F6128" s="25">
        <v>8.8729999999999999E-5</v>
      </c>
      <c r="G6128" s="25">
        <v>5.4459999999999997E-5</v>
      </c>
      <c r="H6128" s="25">
        <v>7.3200000000000004E-5</v>
      </c>
      <c r="I6128" s="9">
        <v>8.8350000000000006E-5</v>
      </c>
      <c r="J6128" s="9">
        <v>9.1130000000000003E-5</v>
      </c>
      <c r="K6128" s="9">
        <v>6.9939999999999998E-5</v>
      </c>
      <c r="L6128" s="9">
        <v>1.7280000000000001E-5</v>
      </c>
      <c r="M6128" s="9">
        <v>4.422E-5</v>
      </c>
      <c r="N6128" s="9">
        <v>6.1950000000000001E-5</v>
      </c>
      <c r="O6128" s="9">
        <v>1.349E-5</v>
      </c>
      <c r="P6128" s="9">
        <v>4.7290000000000003E-5</v>
      </c>
      <c r="Q6128" s="9">
        <v>8.0430000000000001E-5</v>
      </c>
      <c r="R6128" s="10">
        <v>2.1520279596284243E-5</v>
      </c>
      <c r="S6128" s="10">
        <v>4.575899568383405E-6</v>
      </c>
      <c r="T6128" s="10">
        <v>0</v>
      </c>
      <c r="U6128" s="10">
        <v>6.9430000000000004E-5</v>
      </c>
      <c r="V6128" s="25"/>
      <c r="W6128" s="25"/>
      <c r="X6128" s="25"/>
      <c r="Y6128" s="25"/>
      <c r="Z6128" s="25"/>
      <c r="AA6128" s="25"/>
    </row>
    <row r="6129" spans="1:27" x14ac:dyDescent="0.35">
      <c r="A6129" s="5">
        <v>6125</v>
      </c>
      <c r="B6129" s="5">
        <v>256</v>
      </c>
      <c r="C6129" s="5">
        <v>9</v>
      </c>
      <c r="D6129" s="25">
        <v>1.1416E-4</v>
      </c>
      <c r="E6129" s="25">
        <v>1.0886E-4</v>
      </c>
      <c r="F6129" s="25">
        <v>9.9389999999999995E-5</v>
      </c>
      <c r="G6129" s="25">
        <v>5.995E-5</v>
      </c>
      <c r="H6129" s="25">
        <v>6.525E-5</v>
      </c>
      <c r="I6129" s="9">
        <v>9.3469999999999998E-5</v>
      </c>
      <c r="J6129" s="9">
        <v>9.4619999999999999E-5</v>
      </c>
      <c r="K6129" s="9">
        <v>8.6899999999999998E-5</v>
      </c>
      <c r="L6129" s="9">
        <v>1.4569999999999999E-5</v>
      </c>
      <c r="M6129" s="9">
        <v>4.3470000000000002E-5</v>
      </c>
      <c r="N6129" s="9">
        <v>6.4499999999999996E-5</v>
      </c>
      <c r="O6129" s="9">
        <v>1.8960000000000001E-5</v>
      </c>
      <c r="P6129" s="9">
        <v>5.6679999999999999E-5</v>
      </c>
      <c r="Q6129" s="9">
        <v>9.3729999999999999E-5</v>
      </c>
      <c r="R6129" s="10">
        <v>1.9058241153543958E-5</v>
      </c>
      <c r="S6129" s="10">
        <v>3.2888990079430571E-6</v>
      </c>
      <c r="T6129" s="10">
        <v>0</v>
      </c>
      <c r="U6129" s="10">
        <v>6.9430000000000004E-5</v>
      </c>
      <c r="V6129" s="25"/>
      <c r="W6129" s="25"/>
      <c r="X6129" s="25"/>
      <c r="Y6129" s="25"/>
      <c r="Z6129" s="25"/>
      <c r="AA6129" s="25"/>
    </row>
    <row r="6130" spans="1:27" x14ac:dyDescent="0.35">
      <c r="A6130" s="5">
        <v>6126</v>
      </c>
      <c r="B6130" s="5">
        <v>256</v>
      </c>
      <c r="C6130" s="5">
        <v>9</v>
      </c>
      <c r="D6130" s="25">
        <v>1.1415000000000001E-4</v>
      </c>
      <c r="E6130" s="25">
        <v>1.0781E-4</v>
      </c>
      <c r="F6130" s="25">
        <v>1.0428E-4</v>
      </c>
      <c r="G6130" s="25">
        <v>1.1464999999999999E-4</v>
      </c>
      <c r="H6130" s="25">
        <v>1.3627999999999999E-4</v>
      </c>
      <c r="I6130" s="9">
        <v>1.0597E-4</v>
      </c>
      <c r="J6130" s="9">
        <v>1.0516E-4</v>
      </c>
      <c r="K6130" s="9">
        <v>8.9010000000000003E-5</v>
      </c>
      <c r="L6130" s="9">
        <v>1.7859999999999998E-5</v>
      </c>
      <c r="M6130" s="9">
        <v>4.8399999999999997E-5</v>
      </c>
      <c r="N6130" s="9">
        <v>7.1030000000000003E-5</v>
      </c>
      <c r="O6130" s="9">
        <v>4.6199999999999998E-5</v>
      </c>
      <c r="P6130" s="9">
        <v>7.6669999999999996E-5</v>
      </c>
      <c r="Q6130" s="9">
        <v>1.0676E-4</v>
      </c>
      <c r="R6130" s="10">
        <v>1.8486332099206434E-5</v>
      </c>
      <c r="S6130" s="10">
        <v>3.5601404456434834E-6</v>
      </c>
      <c r="T6130" s="10">
        <v>0</v>
      </c>
      <c r="U6130" s="10">
        <v>6.9430000000000004E-5</v>
      </c>
      <c r="V6130" s="25"/>
      <c r="W6130" s="25"/>
      <c r="X6130" s="25"/>
      <c r="Y6130" s="25"/>
      <c r="Z6130" s="25"/>
      <c r="AA6130" s="25"/>
    </row>
    <row r="6131" spans="1:27" x14ac:dyDescent="0.35">
      <c r="A6131" s="5">
        <v>6127</v>
      </c>
      <c r="B6131" s="5">
        <v>256</v>
      </c>
      <c r="C6131" s="5">
        <v>9</v>
      </c>
      <c r="D6131" s="25">
        <v>1.1416E-4</v>
      </c>
      <c r="E6131" s="25">
        <v>1.1572E-4</v>
      </c>
      <c r="F6131" s="25">
        <v>8.7769999999999995E-5</v>
      </c>
      <c r="G6131" s="25">
        <v>1.0775E-4</v>
      </c>
      <c r="H6131" s="25">
        <v>1.3772E-4</v>
      </c>
      <c r="I6131" s="9">
        <v>1.1611E-4</v>
      </c>
      <c r="J6131" s="9">
        <v>1.1835E-4</v>
      </c>
      <c r="K6131" s="9">
        <v>1.06E-5</v>
      </c>
      <c r="L6131" s="9">
        <v>3.9820000000000002E-5</v>
      </c>
      <c r="M6131" s="9">
        <v>5.9969999999999997E-5</v>
      </c>
      <c r="N6131" s="9">
        <v>8.0660000000000004E-5</v>
      </c>
      <c r="O6131" s="9">
        <v>1.2362000000000001E-4</v>
      </c>
      <c r="P6131" s="9">
        <v>1.1796E-4</v>
      </c>
      <c r="Q6131" s="9">
        <v>1.13E-4</v>
      </c>
      <c r="R6131" s="10">
        <v>2.3068154092140537E-5</v>
      </c>
      <c r="S6131" s="10">
        <v>5.2194359109265994E-6</v>
      </c>
      <c r="T6131" s="10">
        <v>6.5863615855156344E-5</v>
      </c>
      <c r="U6131" s="10">
        <v>6.9430000000000004E-5</v>
      </c>
      <c r="V6131" s="25"/>
      <c r="W6131" s="25"/>
      <c r="X6131" s="25"/>
      <c r="Y6131" s="25"/>
      <c r="Z6131" s="25"/>
      <c r="AA6131" s="25"/>
    </row>
    <row r="6132" spans="1:27" x14ac:dyDescent="0.35">
      <c r="A6132" s="5">
        <v>6128</v>
      </c>
      <c r="B6132" s="5">
        <v>256</v>
      </c>
      <c r="C6132" s="5">
        <v>9</v>
      </c>
      <c r="D6132" s="25">
        <v>1.1415000000000001E-4</v>
      </c>
      <c r="E6132" s="25">
        <v>1.0731E-4</v>
      </c>
      <c r="F6132" s="25">
        <v>9.1180000000000005E-5</v>
      </c>
      <c r="G6132" s="25">
        <v>1.5661000000000001E-4</v>
      </c>
      <c r="H6132" s="25">
        <v>1.9427999999999999E-4</v>
      </c>
      <c r="I6132" s="9">
        <v>1.209E-4</v>
      </c>
      <c r="J6132" s="9">
        <v>1.2857E-4</v>
      </c>
      <c r="K6132" s="9">
        <v>0</v>
      </c>
      <c r="L6132" s="9">
        <v>1.0457E-4</v>
      </c>
      <c r="M6132" s="9">
        <v>8.3819999999999994E-5</v>
      </c>
      <c r="N6132" s="9">
        <v>9.0870000000000002E-5</v>
      </c>
      <c r="O6132" s="9">
        <v>2.2094000000000001E-4</v>
      </c>
      <c r="P6132" s="9">
        <v>1.7841999999999999E-4</v>
      </c>
      <c r="Q6132" s="9">
        <v>1.3783E-4</v>
      </c>
      <c r="R6132" s="10">
        <v>2.1130470556207466E-5</v>
      </c>
      <c r="S6132" s="10">
        <v>8.3819981189036763E-6</v>
      </c>
      <c r="T6132" s="10">
        <v>2.5523317735033732E-4</v>
      </c>
      <c r="U6132" s="10">
        <v>6.9430000000000004E-5</v>
      </c>
      <c r="V6132" s="25"/>
      <c r="W6132" s="25"/>
      <c r="X6132" s="25"/>
      <c r="Y6132" s="25"/>
      <c r="Z6132" s="25"/>
      <c r="AA6132" s="25"/>
    </row>
    <row r="6133" spans="1:27" x14ac:dyDescent="0.35">
      <c r="A6133" s="5">
        <v>6129</v>
      </c>
      <c r="B6133" s="5">
        <v>256</v>
      </c>
      <c r="C6133" s="5">
        <v>9</v>
      </c>
      <c r="D6133" s="25">
        <v>1.1416E-4</v>
      </c>
      <c r="E6133" s="25">
        <v>1.1186E-4</v>
      </c>
      <c r="F6133" s="25">
        <v>8.7990000000000003E-5</v>
      </c>
      <c r="G6133" s="25">
        <v>1.6222E-4</v>
      </c>
      <c r="H6133" s="25">
        <v>1.8796000000000001E-4</v>
      </c>
      <c r="I6133" s="9">
        <v>1.2516E-4</v>
      </c>
      <c r="J6133" s="9">
        <v>1.3226000000000001E-4</v>
      </c>
      <c r="K6133" s="9">
        <v>0</v>
      </c>
      <c r="L6133" s="9">
        <v>1.9356000000000001E-4</v>
      </c>
      <c r="M6133" s="9">
        <v>1.2405000000000001E-4</v>
      </c>
      <c r="N6133" s="9">
        <v>1.0488E-4</v>
      </c>
      <c r="O6133" s="9">
        <v>2.1159E-4</v>
      </c>
      <c r="P6133" s="9">
        <v>1.9379999999999999E-4</v>
      </c>
      <c r="Q6133" s="9">
        <v>1.7749000000000001E-4</v>
      </c>
      <c r="R6133" s="10">
        <v>1.2858048969264078E-5</v>
      </c>
      <c r="S6133" s="10">
        <v>1.0637316576590351E-5</v>
      </c>
      <c r="T6133" s="10">
        <v>3.8987900803709907E-4</v>
      </c>
      <c r="U6133" s="10">
        <v>6.9430000000000004E-5</v>
      </c>
      <c r="V6133" s="25"/>
      <c r="W6133" s="25"/>
      <c r="X6133" s="25"/>
      <c r="Y6133" s="25"/>
      <c r="Z6133" s="25"/>
      <c r="AA6133" s="25"/>
    </row>
    <row r="6134" spans="1:27" x14ac:dyDescent="0.35">
      <c r="A6134" s="5">
        <v>6130</v>
      </c>
      <c r="B6134" s="5">
        <v>256</v>
      </c>
      <c r="C6134" s="5">
        <v>9</v>
      </c>
      <c r="D6134" s="25">
        <v>1.1415000000000001E-4</v>
      </c>
      <c r="E6134" s="25">
        <v>1.1480999999999999E-4</v>
      </c>
      <c r="F6134" s="25">
        <v>9.6719999999999996E-5</v>
      </c>
      <c r="G6134" s="25">
        <v>1.5871E-4</v>
      </c>
      <c r="H6134" s="25">
        <v>1.9035999999999999E-4</v>
      </c>
      <c r="I6134" s="9">
        <v>1.2658999999999999E-4</v>
      </c>
      <c r="J6134" s="9">
        <v>1.3195000000000001E-4</v>
      </c>
      <c r="K6134" s="9">
        <v>0</v>
      </c>
      <c r="L6134" s="9">
        <v>2.0528000000000001E-4</v>
      </c>
      <c r="M6134" s="9">
        <v>1.5936999999999999E-4</v>
      </c>
      <c r="N6134" s="9">
        <v>1.2501E-4</v>
      </c>
      <c r="O6134" s="9">
        <v>1.6657999999999999E-4</v>
      </c>
      <c r="P6134" s="9">
        <v>1.7379E-4</v>
      </c>
      <c r="Q6134" s="9">
        <v>1.8178000000000001E-4</v>
      </c>
      <c r="R6134" s="10">
        <v>9.1945264025823873E-6</v>
      </c>
      <c r="S6134" s="10">
        <v>1.1506338258853359E-5</v>
      </c>
      <c r="T6134" s="10">
        <v>3.4979917790702584E-4</v>
      </c>
      <c r="U6134" s="10">
        <v>6.9430000000000004E-5</v>
      </c>
      <c r="V6134" s="25"/>
      <c r="W6134" s="25"/>
      <c r="X6134" s="25"/>
      <c r="Y6134" s="25"/>
      <c r="Z6134" s="25"/>
      <c r="AA6134" s="25"/>
    </row>
    <row r="6135" spans="1:27" x14ac:dyDescent="0.35">
      <c r="A6135" s="5">
        <v>6131</v>
      </c>
      <c r="B6135" s="5">
        <v>256</v>
      </c>
      <c r="C6135" s="5">
        <v>9</v>
      </c>
      <c r="D6135" s="25">
        <v>1.1416E-4</v>
      </c>
      <c r="E6135" s="25">
        <v>1.1006E-4</v>
      </c>
      <c r="F6135" s="25">
        <v>9.768E-5</v>
      </c>
      <c r="G6135" s="25">
        <v>1.6160999999999999E-4</v>
      </c>
      <c r="H6135" s="25">
        <v>1.9029E-4</v>
      </c>
      <c r="I6135" s="9">
        <v>1.2908E-4</v>
      </c>
      <c r="J6135" s="9">
        <v>1.3196E-4</v>
      </c>
      <c r="K6135" s="9">
        <v>0</v>
      </c>
      <c r="L6135" s="9">
        <v>1.7519000000000001E-4</v>
      </c>
      <c r="M6135" s="9">
        <v>1.7272000000000001E-4</v>
      </c>
      <c r="N6135" s="9">
        <v>1.4299000000000001E-4</v>
      </c>
      <c r="O6135" s="9">
        <v>1.6834E-4</v>
      </c>
      <c r="P6135" s="9">
        <v>1.7426E-4</v>
      </c>
      <c r="Q6135" s="9">
        <v>1.8100000000000001E-4</v>
      </c>
      <c r="R6135" s="10">
        <v>8.0346193834326786E-6</v>
      </c>
      <c r="S6135" s="10">
        <v>1.860666764278617E-5</v>
      </c>
      <c r="T6135" s="10">
        <v>5.3089654753581779E-4</v>
      </c>
      <c r="U6135" s="10">
        <v>6.9430000000000004E-5</v>
      </c>
      <c r="V6135" s="25"/>
      <c r="W6135" s="25"/>
      <c r="X6135" s="25"/>
      <c r="Y6135" s="25"/>
      <c r="Z6135" s="25"/>
      <c r="AA6135" s="25"/>
    </row>
    <row r="6136" spans="1:27" x14ac:dyDescent="0.35">
      <c r="A6136" s="5">
        <v>6132</v>
      </c>
      <c r="B6136" s="5">
        <v>256</v>
      </c>
      <c r="C6136" s="5">
        <v>9</v>
      </c>
      <c r="D6136" s="25">
        <v>1.1415000000000001E-4</v>
      </c>
      <c r="E6136" s="25">
        <v>1.1290000000000001E-4</v>
      </c>
      <c r="F6136" s="25">
        <v>8.7319999999999997E-5</v>
      </c>
      <c r="G6136" s="25">
        <v>1.6553999999999999E-4</v>
      </c>
      <c r="H6136" s="25">
        <v>1.941E-4</v>
      </c>
      <c r="I6136" s="9">
        <v>1.2716E-4</v>
      </c>
      <c r="J6136" s="9">
        <v>1.3100000000000001E-4</v>
      </c>
      <c r="K6136" s="9">
        <v>0</v>
      </c>
      <c r="L6136" s="9">
        <v>1.7128999999999999E-4</v>
      </c>
      <c r="M6136" s="9">
        <v>1.7548999999999999E-4</v>
      </c>
      <c r="N6136" s="9">
        <v>1.5735E-4</v>
      </c>
      <c r="O6136" s="9">
        <v>1.6946999999999999E-4</v>
      </c>
      <c r="P6136" s="9">
        <v>1.7124999999999999E-4</v>
      </c>
      <c r="Q6136" s="9">
        <v>1.7390999999999999E-4</v>
      </c>
      <c r="R6136" s="10">
        <v>5.2826466023022657E-6</v>
      </c>
      <c r="S6136" s="10">
        <v>2.8686829743340442E-5</v>
      </c>
      <c r="T6136" s="10">
        <v>5.7042489820813193E-4</v>
      </c>
      <c r="U6136" s="10">
        <v>6.9430000000000004E-5</v>
      </c>
      <c r="V6136" s="25"/>
      <c r="W6136" s="25"/>
      <c r="X6136" s="25"/>
      <c r="Y6136" s="25"/>
      <c r="Z6136" s="25"/>
      <c r="AA6136" s="25"/>
    </row>
    <row r="6137" spans="1:27" x14ac:dyDescent="0.35">
      <c r="A6137" s="5">
        <v>6133</v>
      </c>
      <c r="B6137" s="5">
        <v>256</v>
      </c>
      <c r="C6137" s="5">
        <v>9</v>
      </c>
      <c r="D6137" s="25">
        <v>1.1416E-4</v>
      </c>
      <c r="E6137" s="25">
        <v>1.1786999999999999E-4</v>
      </c>
      <c r="F6137" s="25">
        <v>9.0350000000000001E-5</v>
      </c>
      <c r="G6137" s="25">
        <v>1.6229999999999999E-4</v>
      </c>
      <c r="H6137" s="25">
        <v>1.8881E-4</v>
      </c>
      <c r="I6137" s="9">
        <v>1.272E-4</v>
      </c>
      <c r="J6137" s="9">
        <v>1.3243E-4</v>
      </c>
      <c r="K6137" s="9">
        <v>0</v>
      </c>
      <c r="L6137" s="9">
        <v>1.7000000000000001E-4</v>
      </c>
      <c r="M6137" s="9">
        <v>1.7421E-4</v>
      </c>
      <c r="N6137" s="9">
        <v>1.6667E-4</v>
      </c>
      <c r="O6137" s="9">
        <v>1.628E-4</v>
      </c>
      <c r="P6137" s="9">
        <v>1.6540000000000001E-4</v>
      </c>
      <c r="Q6137" s="9">
        <v>1.6882999999999999E-4</v>
      </c>
      <c r="R6137" s="10">
        <v>5.5832823470006946E-6</v>
      </c>
      <c r="S6137" s="10">
        <v>3.1347754219065813E-5</v>
      </c>
      <c r="T6137" s="10">
        <v>2.5447807470817464E-4</v>
      </c>
      <c r="U6137" s="10">
        <v>6.9430000000000004E-5</v>
      </c>
      <c r="V6137" s="25"/>
      <c r="W6137" s="25"/>
      <c r="X6137" s="25"/>
      <c r="Y6137" s="25"/>
      <c r="Z6137" s="25"/>
      <c r="AA6137" s="25"/>
    </row>
    <row r="6138" spans="1:27" x14ac:dyDescent="0.35">
      <c r="A6138" s="5">
        <v>6134</v>
      </c>
      <c r="B6138" s="5">
        <v>256</v>
      </c>
      <c r="C6138" s="5">
        <v>9</v>
      </c>
      <c r="D6138" s="25">
        <v>1.1415000000000001E-4</v>
      </c>
      <c r="E6138" s="25">
        <v>1.1224E-4</v>
      </c>
      <c r="F6138" s="25">
        <v>9.9640000000000001E-5</v>
      </c>
      <c r="G6138" s="25">
        <v>1.5646E-4</v>
      </c>
      <c r="H6138" s="25">
        <v>1.8786000000000001E-4</v>
      </c>
      <c r="I6138" s="9">
        <v>1.2657E-4</v>
      </c>
      <c r="J6138" s="9">
        <v>1.3328999999999999E-4</v>
      </c>
      <c r="K6138" s="9">
        <v>0</v>
      </c>
      <c r="L6138" s="9">
        <v>1.6415000000000001E-4</v>
      </c>
      <c r="M6138" s="9">
        <v>1.7066999999999999E-4</v>
      </c>
      <c r="N6138" s="9">
        <v>1.7116000000000001E-4</v>
      </c>
      <c r="O6138" s="9">
        <v>1.7846E-4</v>
      </c>
      <c r="P6138" s="9">
        <v>1.6929E-4</v>
      </c>
      <c r="Q6138" s="9">
        <v>1.6123999999999999E-4</v>
      </c>
      <c r="R6138" s="10">
        <v>1.3252144164035005E-5</v>
      </c>
      <c r="S6138" s="10">
        <v>2.9392628156753293E-5</v>
      </c>
      <c r="T6138" s="10">
        <v>3.9393450312646722E-4</v>
      </c>
      <c r="U6138" s="10">
        <v>6.9430000000000004E-5</v>
      </c>
      <c r="V6138" s="25"/>
      <c r="W6138" s="25"/>
      <c r="X6138" s="25"/>
      <c r="Y6138" s="25"/>
      <c r="Z6138" s="25"/>
      <c r="AA6138" s="25"/>
    </row>
    <row r="6139" spans="1:27" x14ac:dyDescent="0.35">
      <c r="A6139" s="5">
        <v>6135</v>
      </c>
      <c r="B6139" s="5">
        <v>256</v>
      </c>
      <c r="C6139" s="5">
        <v>9</v>
      </c>
      <c r="D6139" s="25">
        <v>1.1416E-4</v>
      </c>
      <c r="E6139" s="25">
        <v>1.1241E-4</v>
      </c>
      <c r="F6139" s="25">
        <v>9.3469999999999998E-5</v>
      </c>
      <c r="G6139" s="25">
        <v>1.5731999999999999E-4</v>
      </c>
      <c r="H6139" s="25">
        <v>1.9007E-4</v>
      </c>
      <c r="I6139" s="9">
        <v>1.2701999999999999E-4</v>
      </c>
      <c r="J6139" s="9">
        <v>1.3349999999999999E-4</v>
      </c>
      <c r="K6139" s="9">
        <v>0</v>
      </c>
      <c r="L6139" s="9">
        <v>1.7546E-4</v>
      </c>
      <c r="M6139" s="9">
        <v>1.6916000000000001E-4</v>
      </c>
      <c r="N6139" s="9">
        <v>1.7066E-4</v>
      </c>
      <c r="O6139" s="9">
        <v>1.8430000000000001E-4</v>
      </c>
      <c r="P6139" s="9">
        <v>1.6825E-4</v>
      </c>
      <c r="Q6139" s="9">
        <v>1.5347000000000001E-4</v>
      </c>
      <c r="R6139" s="10">
        <v>4.5368175128358602E-5</v>
      </c>
      <c r="S6139" s="10">
        <v>2.0904740364349741E-5</v>
      </c>
      <c r="T6139" s="10">
        <v>3.9765911054117975E-4</v>
      </c>
      <c r="U6139" s="10">
        <v>6.9430000000000004E-5</v>
      </c>
      <c r="V6139" s="25"/>
      <c r="W6139" s="25"/>
      <c r="X6139" s="25"/>
      <c r="Y6139" s="25"/>
      <c r="Z6139" s="25"/>
      <c r="AA6139" s="25"/>
    </row>
    <row r="6140" spans="1:27" x14ac:dyDescent="0.35">
      <c r="A6140" s="5">
        <v>6136</v>
      </c>
      <c r="B6140" s="5">
        <v>256</v>
      </c>
      <c r="C6140" s="5">
        <v>9</v>
      </c>
      <c r="D6140" s="25">
        <v>1.1415000000000001E-4</v>
      </c>
      <c r="E6140" s="25">
        <v>1.0945E-4</v>
      </c>
      <c r="F6140" s="25">
        <v>8.8739999999999994E-5</v>
      </c>
      <c r="G6140" s="25">
        <v>1.6529000000000001E-4</v>
      </c>
      <c r="H6140" s="25">
        <v>1.9963000000000001E-4</v>
      </c>
      <c r="I6140" s="9">
        <v>1.2542E-4</v>
      </c>
      <c r="J6140" s="9">
        <v>1.3411E-4</v>
      </c>
      <c r="K6140" s="9">
        <v>0</v>
      </c>
      <c r="L6140" s="9">
        <v>1.8206E-4</v>
      </c>
      <c r="M6140" s="9">
        <v>1.6852999999999999E-4</v>
      </c>
      <c r="N6140" s="9">
        <v>1.6686000000000001E-4</v>
      </c>
      <c r="O6140" s="9">
        <v>1.9801000000000001E-4</v>
      </c>
      <c r="P6140" s="9">
        <v>1.5328E-4</v>
      </c>
      <c r="Q6140" s="9">
        <v>1.1035E-4</v>
      </c>
      <c r="R6140" s="10">
        <v>6.4158323645264483E-5</v>
      </c>
      <c r="S6140" s="10">
        <v>1.632028818328016E-5</v>
      </c>
      <c r="T6140" s="10">
        <v>1.3146421843045829E-4</v>
      </c>
      <c r="U6140" s="10">
        <v>6.9430000000000004E-5</v>
      </c>
      <c r="V6140" s="25"/>
      <c r="W6140" s="25"/>
      <c r="X6140" s="25"/>
      <c r="Y6140" s="25"/>
      <c r="Z6140" s="25"/>
      <c r="AA6140" s="25"/>
    </row>
    <row r="6141" spans="1:27" x14ac:dyDescent="0.35">
      <c r="A6141" s="5">
        <v>6137</v>
      </c>
      <c r="B6141" s="5">
        <v>256</v>
      </c>
      <c r="C6141" s="5">
        <v>9</v>
      </c>
      <c r="D6141" s="25">
        <v>1.1416E-4</v>
      </c>
      <c r="E6141" s="25">
        <v>1.08E-4</v>
      </c>
      <c r="F6141" s="25">
        <v>9.9720000000000001E-5</v>
      </c>
      <c r="G6141" s="25">
        <v>1.5851E-4</v>
      </c>
      <c r="H6141" s="25">
        <v>1.9801000000000001E-4</v>
      </c>
      <c r="I6141" s="9">
        <v>1.2588000000000001E-4</v>
      </c>
      <c r="J6141" s="9">
        <v>1.3485999999999999E-4</v>
      </c>
      <c r="K6141" s="9">
        <v>0</v>
      </c>
      <c r="L6141" s="9">
        <v>1.9426999999999999E-4</v>
      </c>
      <c r="M6141" s="9">
        <v>1.6297999999999999E-4</v>
      </c>
      <c r="N6141" s="9">
        <v>1.5311E-4</v>
      </c>
      <c r="O6141" s="9">
        <v>2.1535E-4</v>
      </c>
      <c r="P6141" s="9">
        <v>1.6066999999999999E-4</v>
      </c>
      <c r="Q6141" s="9">
        <v>1.0807E-4</v>
      </c>
      <c r="R6141" s="10">
        <v>9.1293970014799178E-5</v>
      </c>
      <c r="S6141" s="10">
        <v>1.6704729774218917E-5</v>
      </c>
      <c r="T6141" s="10">
        <v>6.6576297000568325E-5</v>
      </c>
      <c r="U6141" s="10">
        <v>6.9430000000000004E-5</v>
      </c>
      <c r="V6141" s="25"/>
      <c r="W6141" s="25"/>
      <c r="X6141" s="25"/>
      <c r="Y6141" s="25"/>
      <c r="Z6141" s="25"/>
      <c r="AA6141" s="25"/>
    </row>
    <row r="6142" spans="1:27" x14ac:dyDescent="0.35">
      <c r="A6142" s="5">
        <v>6138</v>
      </c>
      <c r="B6142" s="5">
        <v>256</v>
      </c>
      <c r="C6142" s="5">
        <v>9</v>
      </c>
      <c r="D6142" s="25">
        <v>1.1415000000000001E-4</v>
      </c>
      <c r="E6142" s="25">
        <v>1.0899E-4</v>
      </c>
      <c r="F6142" s="25">
        <v>9.4359999999999998E-5</v>
      </c>
      <c r="G6142" s="25">
        <v>1.5802000000000001E-4</v>
      </c>
      <c r="H6142" s="25">
        <v>1.8771E-4</v>
      </c>
      <c r="I6142" s="9">
        <v>1.2350999999999999E-4</v>
      </c>
      <c r="J6142" s="9">
        <v>1.3087999999999999E-4</v>
      </c>
      <c r="K6142" s="9">
        <v>0</v>
      </c>
      <c r="L6142" s="9">
        <v>2.1045999999999999E-4</v>
      </c>
      <c r="M6142" s="9">
        <v>1.6061E-4</v>
      </c>
      <c r="N6142" s="9">
        <v>1.3985000000000001E-4</v>
      </c>
      <c r="O6142" s="9">
        <v>2.0562E-4</v>
      </c>
      <c r="P6142" s="9">
        <v>1.6090000000000001E-4</v>
      </c>
      <c r="Q6142" s="9">
        <v>1.1805E-4</v>
      </c>
      <c r="R6142" s="10">
        <v>1.2049262200712458E-4</v>
      </c>
      <c r="S6142" s="10">
        <v>1.7684696544338875E-5</v>
      </c>
      <c r="T6142" s="10">
        <v>3.0543477660513057E-7</v>
      </c>
      <c r="U6142" s="10">
        <v>6.9430000000000004E-5</v>
      </c>
      <c r="V6142" s="25"/>
      <c r="W6142" s="25"/>
      <c r="X6142" s="25"/>
      <c r="Y6142" s="25"/>
      <c r="Z6142" s="25"/>
      <c r="AA6142" s="25"/>
    </row>
    <row r="6143" spans="1:27" x14ac:dyDescent="0.35">
      <c r="A6143" s="5">
        <v>6139</v>
      </c>
      <c r="B6143" s="5">
        <v>256</v>
      </c>
      <c r="C6143" s="5">
        <v>9</v>
      </c>
      <c r="D6143" s="25">
        <v>1.1416E-4</v>
      </c>
      <c r="E6143" s="25">
        <v>1.1663E-4</v>
      </c>
      <c r="F6143" s="25">
        <v>1.0427E-4</v>
      </c>
      <c r="G6143" s="25">
        <v>1.097E-4</v>
      </c>
      <c r="H6143" s="25">
        <v>1.2857E-4</v>
      </c>
      <c r="I6143" s="9">
        <v>1.2029E-4</v>
      </c>
      <c r="J6143" s="9">
        <v>1.2816999999999999E-4</v>
      </c>
      <c r="K6143" s="9">
        <v>1.484E-5</v>
      </c>
      <c r="L6143" s="9">
        <v>2.0626999999999999E-4</v>
      </c>
      <c r="M6143" s="9">
        <v>1.6025999999999999E-4</v>
      </c>
      <c r="N6143" s="9">
        <v>1.3070000000000001E-4</v>
      </c>
      <c r="O6143" s="9">
        <v>1.6503000000000001E-4</v>
      </c>
      <c r="P6143" s="9">
        <v>1.3569E-4</v>
      </c>
      <c r="Q6143" s="9">
        <v>1.077E-4</v>
      </c>
      <c r="R6143" s="10">
        <v>1.5004859726115862E-4</v>
      </c>
      <c r="S6143" s="10">
        <v>2.3752262101507211E-5</v>
      </c>
      <c r="T6143" s="10">
        <v>0</v>
      </c>
      <c r="U6143" s="10">
        <v>6.9430000000000004E-5</v>
      </c>
      <c r="V6143" s="25"/>
      <c r="W6143" s="25"/>
      <c r="X6143" s="25"/>
      <c r="Y6143" s="25"/>
      <c r="Z6143" s="25"/>
      <c r="AA6143" s="25"/>
    </row>
    <row r="6144" spans="1:27" x14ac:dyDescent="0.35">
      <c r="A6144" s="5">
        <v>6140</v>
      </c>
      <c r="B6144" s="5">
        <v>256</v>
      </c>
      <c r="C6144" s="5">
        <v>9</v>
      </c>
      <c r="D6144" s="25">
        <v>1.1415000000000001E-4</v>
      </c>
      <c r="E6144" s="25">
        <v>1.1321E-4</v>
      </c>
      <c r="F6144" s="25">
        <v>1.0433999999999999E-4</v>
      </c>
      <c r="G6144" s="25">
        <v>1.0504E-4</v>
      </c>
      <c r="H6144" s="25">
        <v>1.3795999999999999E-4</v>
      </c>
      <c r="I6144" s="9">
        <v>1.2344999999999999E-4</v>
      </c>
      <c r="J6144" s="9">
        <v>1.3129999999999999E-4</v>
      </c>
      <c r="K6144" s="9">
        <v>3.6029999999999999E-5</v>
      </c>
      <c r="L6144" s="9">
        <v>1.7429000000000001E-4</v>
      </c>
      <c r="M6144" s="9">
        <v>1.5148000000000001E-4</v>
      </c>
      <c r="N6144" s="9">
        <v>1.2157E-4</v>
      </c>
      <c r="O6144" s="9">
        <v>1.294E-4</v>
      </c>
      <c r="P6144" s="9">
        <v>1.1548999999999999E-4</v>
      </c>
      <c r="Q6144" s="9">
        <v>1.0245E-4</v>
      </c>
      <c r="R6144" s="10">
        <v>1.8504401897409092E-4</v>
      </c>
      <c r="S6144" s="10">
        <v>2.9973989078126268E-5</v>
      </c>
      <c r="T6144" s="10">
        <v>0</v>
      </c>
      <c r="U6144" s="10">
        <v>6.9430000000000004E-5</v>
      </c>
      <c r="V6144" s="25"/>
      <c r="W6144" s="25"/>
      <c r="X6144" s="25"/>
      <c r="Y6144" s="25"/>
      <c r="Z6144" s="25"/>
      <c r="AA6144" s="25"/>
    </row>
    <row r="6145" spans="1:27" x14ac:dyDescent="0.35">
      <c r="A6145" s="5">
        <v>6141</v>
      </c>
      <c r="B6145" s="5">
        <v>256</v>
      </c>
      <c r="C6145" s="5">
        <v>9</v>
      </c>
      <c r="D6145" s="25">
        <v>1.1416E-4</v>
      </c>
      <c r="E6145" s="25">
        <v>1.1522E-4</v>
      </c>
      <c r="F6145" s="25">
        <v>1.0590999999999999E-4</v>
      </c>
      <c r="G6145" s="25">
        <v>5.7139999999999998E-5</v>
      </c>
      <c r="H6145" s="25">
        <v>6.4220000000000005E-5</v>
      </c>
      <c r="I6145" s="9">
        <v>1.1969E-4</v>
      </c>
      <c r="J6145" s="9">
        <v>1.2735000000000001E-4</v>
      </c>
      <c r="K6145" s="9">
        <v>5.7219999999999998E-5</v>
      </c>
      <c r="L6145" s="9">
        <v>1.4027000000000001E-4</v>
      </c>
      <c r="M6145" s="9">
        <v>1.3605999999999999E-4</v>
      </c>
      <c r="N6145" s="9">
        <v>1.1385E-4</v>
      </c>
      <c r="O6145" s="9">
        <v>8.5400000000000002E-5</v>
      </c>
      <c r="P6145" s="9">
        <v>8.7089999999999995E-5</v>
      </c>
      <c r="Q6145" s="9">
        <v>8.9110000000000006E-5</v>
      </c>
      <c r="R6145" s="10">
        <v>2.0012944814096686E-4</v>
      </c>
      <c r="S6145" s="10">
        <v>4.7480990144758569E-5</v>
      </c>
      <c r="T6145" s="10">
        <v>0</v>
      </c>
      <c r="U6145" s="10">
        <v>6.9430000000000004E-5</v>
      </c>
      <c r="V6145" s="25"/>
      <c r="W6145" s="25"/>
      <c r="X6145" s="25"/>
      <c r="Y6145" s="25"/>
      <c r="Z6145" s="25"/>
      <c r="AA6145" s="25"/>
    </row>
    <row r="6146" spans="1:27" x14ac:dyDescent="0.35">
      <c r="A6146" s="5">
        <v>6142</v>
      </c>
      <c r="B6146" s="5">
        <v>256</v>
      </c>
      <c r="C6146" s="5">
        <v>9</v>
      </c>
      <c r="D6146" s="25">
        <v>1.1415000000000001E-4</v>
      </c>
      <c r="E6146" s="25">
        <v>1.1458E-4</v>
      </c>
      <c r="F6146" s="25">
        <v>8.7709999999999999E-5</v>
      </c>
      <c r="G6146" s="25">
        <v>5.4920000000000003E-5</v>
      </c>
      <c r="H6146" s="25">
        <v>7.2879999999999993E-5</v>
      </c>
      <c r="I6146" s="9">
        <v>1.153E-4</v>
      </c>
      <c r="J6146" s="9">
        <v>1.1966E-4</v>
      </c>
      <c r="K6146" s="9">
        <v>6.3579999999999998E-5</v>
      </c>
      <c r="L6146" s="9">
        <v>9.8389999999999998E-5</v>
      </c>
      <c r="M6146" s="9">
        <v>1.1446999999999999E-4</v>
      </c>
      <c r="N6146" s="9">
        <v>1.0628000000000001E-4</v>
      </c>
      <c r="O6146" s="9">
        <v>8.7159999999999999E-5</v>
      </c>
      <c r="P6146" s="9">
        <v>8.7449999999999998E-5</v>
      </c>
      <c r="Q6146" s="9">
        <v>8.8090000000000005E-5</v>
      </c>
      <c r="R6146" s="10">
        <v>1.9886751553470342E-4</v>
      </c>
      <c r="S6146" s="10">
        <v>7.4498446076297757E-5</v>
      </c>
      <c r="T6146" s="10">
        <v>0</v>
      </c>
      <c r="U6146" s="10">
        <v>6.9430000000000004E-5</v>
      </c>
      <c r="V6146" s="25"/>
      <c r="W6146" s="25"/>
      <c r="X6146" s="25"/>
      <c r="Y6146" s="25"/>
      <c r="Z6146" s="25"/>
      <c r="AA6146" s="25"/>
    </row>
    <row r="6147" spans="1:27" x14ac:dyDescent="0.35">
      <c r="A6147" s="5">
        <v>6143</v>
      </c>
      <c r="B6147" s="5">
        <v>256</v>
      </c>
      <c r="C6147" s="5">
        <v>9</v>
      </c>
      <c r="D6147" s="25">
        <v>1.1416E-4</v>
      </c>
      <c r="E6147" s="25">
        <v>1.069E-4</v>
      </c>
      <c r="F6147" s="25">
        <v>9.0509999999999999E-5</v>
      </c>
      <c r="G6147" s="25">
        <v>6.1580000000000003E-5</v>
      </c>
      <c r="H6147" s="25">
        <v>6.5870000000000005E-5</v>
      </c>
      <c r="I6147" s="9">
        <v>1.0786E-4</v>
      </c>
      <c r="J6147" s="9">
        <v>1.1225E-4</v>
      </c>
      <c r="K6147" s="9">
        <v>8.6899999999999998E-5</v>
      </c>
      <c r="L6147" s="9">
        <v>9.0569999999999995E-5</v>
      </c>
      <c r="M6147" s="9">
        <v>9.9450000000000005E-5</v>
      </c>
      <c r="N6147" s="9">
        <v>1.0029E-4</v>
      </c>
      <c r="O6147" s="9">
        <v>7.7299999999999995E-5</v>
      </c>
      <c r="P6147" s="9">
        <v>7.169E-5</v>
      </c>
      <c r="Q6147" s="9">
        <v>6.6470000000000006E-5</v>
      </c>
      <c r="R6147" s="10">
        <v>1.9836865520675729E-4</v>
      </c>
      <c r="S6147" s="10">
        <v>9.5548552546001521E-5</v>
      </c>
      <c r="T6147" s="10">
        <v>0</v>
      </c>
      <c r="U6147" s="10">
        <v>6.9430000000000004E-5</v>
      </c>
      <c r="V6147" s="25"/>
      <c r="W6147" s="25"/>
      <c r="X6147" s="25"/>
      <c r="Y6147" s="25"/>
      <c r="Z6147" s="25"/>
      <c r="AA6147" s="25"/>
    </row>
    <row r="6148" spans="1:27" x14ac:dyDescent="0.35">
      <c r="A6148" s="5">
        <v>6144</v>
      </c>
      <c r="B6148" s="5">
        <v>256</v>
      </c>
      <c r="C6148" s="5">
        <v>9</v>
      </c>
      <c r="D6148" s="25">
        <v>1.1415000000000001E-4</v>
      </c>
      <c r="E6148" s="25">
        <v>1.1211E-4</v>
      </c>
      <c r="F6148" s="25">
        <v>8.9320000000000005E-5</v>
      </c>
      <c r="G6148" s="25">
        <v>5.5189999999999998E-5</v>
      </c>
      <c r="H6148" s="25">
        <v>7.6119999999999996E-5</v>
      </c>
      <c r="I6148" s="9">
        <v>1.0170000000000001E-4</v>
      </c>
      <c r="J6148" s="9">
        <v>1.0395000000000001E-4</v>
      </c>
      <c r="K6148" s="9">
        <v>6.1459999999999998E-5</v>
      </c>
      <c r="L6148" s="9">
        <v>8.0229999999999996E-5</v>
      </c>
      <c r="M6148" s="9">
        <v>8.6130000000000004E-5</v>
      </c>
      <c r="N6148" s="9">
        <v>9.0799999999999998E-5</v>
      </c>
      <c r="O6148" s="9">
        <v>6.2840000000000001E-5</v>
      </c>
      <c r="P6148" s="9">
        <v>6.0789999999999999E-5</v>
      </c>
      <c r="Q6148" s="9">
        <v>5.897E-5</v>
      </c>
      <c r="R6148" s="10">
        <v>1.7263620853563195E-4</v>
      </c>
      <c r="S6148" s="10">
        <v>1.1651756730635787E-4</v>
      </c>
      <c r="T6148" s="10">
        <v>0</v>
      </c>
      <c r="U6148" s="10">
        <v>6.9430000000000004E-5</v>
      </c>
      <c r="V6148" s="25"/>
      <c r="W6148" s="25"/>
      <c r="X6148" s="25"/>
      <c r="Y6148" s="25"/>
      <c r="Z6148" s="25"/>
      <c r="AA6148" s="25"/>
    </row>
    <row r="6149" spans="1:27" x14ac:dyDescent="0.35">
      <c r="A6149" s="5">
        <v>6145</v>
      </c>
      <c r="B6149" s="5">
        <v>257</v>
      </c>
      <c r="C6149" s="5">
        <v>9</v>
      </c>
      <c r="D6149" s="25">
        <v>1.1416E-4</v>
      </c>
      <c r="E6149" s="25">
        <v>1.1951999999999999E-4</v>
      </c>
      <c r="F6149" s="25">
        <v>1.2631E-4</v>
      </c>
      <c r="G6149" s="25">
        <v>5.6700000000000003E-5</v>
      </c>
      <c r="H6149" s="25">
        <v>6.7009999999999997E-5</v>
      </c>
      <c r="I6149" s="9">
        <v>9.7460000000000005E-5</v>
      </c>
      <c r="J6149" s="9">
        <v>9.8880000000000002E-5</v>
      </c>
      <c r="K6149" s="9">
        <v>3.8149999999999999E-5</v>
      </c>
      <c r="L6149" s="9">
        <v>6.6680000000000005E-5</v>
      </c>
      <c r="M6149" s="9">
        <v>7.394E-5</v>
      </c>
      <c r="N6149" s="9">
        <v>8.1310000000000006E-5</v>
      </c>
      <c r="O6149" s="9">
        <v>5.4629999999999997E-5</v>
      </c>
      <c r="P6149" s="9">
        <v>5.4039999999999998E-5</v>
      </c>
      <c r="Q6149" s="9">
        <v>5.3619999999999998E-5</v>
      </c>
      <c r="R6149" s="10">
        <v>1.6354379503358418E-4</v>
      </c>
      <c r="S6149" s="10">
        <v>1.4126953791824531E-4</v>
      </c>
      <c r="T6149" s="10">
        <v>0</v>
      </c>
      <c r="U6149" s="10">
        <v>6.9339999999999997E-5</v>
      </c>
      <c r="V6149" s="25"/>
      <c r="W6149" s="25"/>
      <c r="X6149" s="25"/>
      <c r="Y6149" s="25"/>
      <c r="Z6149" s="25"/>
      <c r="AA6149" s="25"/>
    </row>
    <row r="6150" spans="1:27" x14ac:dyDescent="0.35">
      <c r="A6150" s="5">
        <v>6146</v>
      </c>
      <c r="B6150" s="5">
        <v>257</v>
      </c>
      <c r="C6150" s="5">
        <v>9</v>
      </c>
      <c r="D6150" s="25">
        <v>1.1415000000000001E-4</v>
      </c>
      <c r="E6150" s="25">
        <v>1.1642999999999999E-4</v>
      </c>
      <c r="F6150" s="25">
        <v>1.1153E-4</v>
      </c>
      <c r="G6150" s="25">
        <v>5.2750000000000001E-5</v>
      </c>
      <c r="H6150" s="25">
        <v>7.1310000000000007E-5</v>
      </c>
      <c r="I6150" s="9">
        <v>9.4619999999999999E-5</v>
      </c>
      <c r="J6150" s="9">
        <v>9.6689999999999998E-5</v>
      </c>
      <c r="K6150" s="9">
        <v>4.2389999999999999E-5</v>
      </c>
      <c r="L6150" s="9">
        <v>5.7639999999999997E-5</v>
      </c>
      <c r="M6150" s="9">
        <v>6.3899999999999995E-5</v>
      </c>
      <c r="N6150" s="9">
        <v>7.216E-5</v>
      </c>
      <c r="O6150" s="9">
        <v>1.891E-5</v>
      </c>
      <c r="P6150" s="9">
        <v>3.769E-5</v>
      </c>
      <c r="Q6150" s="9">
        <v>5.609E-5</v>
      </c>
      <c r="R6150" s="10">
        <v>1.3951591290970342E-4</v>
      </c>
      <c r="S6150" s="10">
        <v>1.4789033752049262E-4</v>
      </c>
      <c r="T6150" s="10">
        <v>0</v>
      </c>
      <c r="U6150" s="10">
        <v>6.9339999999999997E-5</v>
      </c>
      <c r="V6150" s="25"/>
      <c r="W6150" s="25"/>
      <c r="X6150" s="25"/>
      <c r="Y6150" s="25"/>
      <c r="Z6150" s="25"/>
      <c r="AA6150" s="25"/>
    </row>
    <row r="6151" spans="1:27" x14ac:dyDescent="0.35">
      <c r="A6151" s="5">
        <v>6147</v>
      </c>
      <c r="B6151" s="5">
        <v>257</v>
      </c>
      <c r="C6151" s="5">
        <v>9</v>
      </c>
      <c r="D6151" s="25">
        <v>1.1416E-4</v>
      </c>
      <c r="E6151" s="25">
        <v>1.1887000000000001E-4</v>
      </c>
      <c r="F6151" s="25">
        <v>1.2595E-4</v>
      </c>
      <c r="G6151" s="25">
        <v>5.728E-5</v>
      </c>
      <c r="H6151" s="25">
        <v>6.7929999999999995E-5</v>
      </c>
      <c r="I6151" s="9">
        <v>9.3129999999999998E-5</v>
      </c>
      <c r="J6151" s="9">
        <v>9.5829999999999996E-5</v>
      </c>
      <c r="K6151" s="9">
        <v>3.6029999999999999E-5</v>
      </c>
      <c r="L6151" s="9">
        <v>2.7630000000000001E-5</v>
      </c>
      <c r="M6151" s="9">
        <v>5.2179999999999998E-5</v>
      </c>
      <c r="N6151" s="9">
        <v>6.5510000000000001E-5</v>
      </c>
      <c r="O6151" s="9">
        <v>1.3550000000000001E-5</v>
      </c>
      <c r="P6151" s="9">
        <v>3.8000000000000002E-5</v>
      </c>
      <c r="Q6151" s="9">
        <v>6.1929999999999998E-5</v>
      </c>
      <c r="R6151" s="10">
        <v>1.2295941400823092E-4</v>
      </c>
      <c r="S6151" s="10">
        <v>1.4052791053524303E-4</v>
      </c>
      <c r="T6151" s="10">
        <v>0</v>
      </c>
      <c r="U6151" s="10">
        <v>6.9339999999999997E-5</v>
      </c>
      <c r="V6151" s="25"/>
      <c r="W6151" s="25"/>
      <c r="X6151" s="25"/>
      <c r="Y6151" s="25"/>
      <c r="Z6151" s="25"/>
      <c r="AA6151" s="25"/>
    </row>
    <row r="6152" spans="1:27" x14ac:dyDescent="0.35">
      <c r="A6152" s="5">
        <v>6148</v>
      </c>
      <c r="B6152" s="5">
        <v>257</v>
      </c>
      <c r="C6152" s="5">
        <v>9</v>
      </c>
      <c r="D6152" s="25">
        <v>1.1415000000000001E-4</v>
      </c>
      <c r="E6152" s="25">
        <v>1.1506999999999999E-4</v>
      </c>
      <c r="F6152" s="25">
        <v>1.0959E-4</v>
      </c>
      <c r="G6152" s="25">
        <v>5.3690000000000003E-5</v>
      </c>
      <c r="H6152" s="25">
        <v>7.6769999999999999E-5</v>
      </c>
      <c r="I6152" s="9">
        <v>9.4740000000000004E-5</v>
      </c>
      <c r="J6152" s="9">
        <v>9.6059999999999998E-5</v>
      </c>
      <c r="K6152" s="9">
        <v>3.1789999999999999E-5</v>
      </c>
      <c r="L6152" s="9">
        <v>1.7399999999999999E-5</v>
      </c>
      <c r="M6152" s="9">
        <v>4.4270000000000001E-5</v>
      </c>
      <c r="N6152" s="9">
        <v>6.1989999999999994E-5</v>
      </c>
      <c r="O6152" s="9">
        <v>1.342E-5</v>
      </c>
      <c r="P6152" s="9">
        <v>4.7039999999999997E-5</v>
      </c>
      <c r="Q6152" s="9">
        <v>8.0000000000000007E-5</v>
      </c>
      <c r="R6152" s="10">
        <v>1.0031308458498135E-4</v>
      </c>
      <c r="S6152" s="10">
        <v>1.3496993730140381E-4</v>
      </c>
      <c r="T6152" s="10">
        <v>0</v>
      </c>
      <c r="U6152" s="10">
        <v>6.9339999999999997E-5</v>
      </c>
      <c r="V6152" s="25"/>
      <c r="W6152" s="25"/>
      <c r="X6152" s="25"/>
      <c r="Y6152" s="25"/>
      <c r="Z6152" s="25"/>
      <c r="AA6152" s="25"/>
    </row>
    <row r="6153" spans="1:27" x14ac:dyDescent="0.35">
      <c r="A6153" s="5">
        <v>6149</v>
      </c>
      <c r="B6153" s="5">
        <v>257</v>
      </c>
      <c r="C6153" s="5">
        <v>9</v>
      </c>
      <c r="D6153" s="25">
        <v>1.1416E-4</v>
      </c>
      <c r="E6153" s="25">
        <v>1.2113E-4</v>
      </c>
      <c r="F6153" s="25">
        <v>1.2321000000000001E-4</v>
      </c>
      <c r="G6153" s="25">
        <v>5.3270000000000003E-5</v>
      </c>
      <c r="H6153" s="25">
        <v>6.9510000000000004E-5</v>
      </c>
      <c r="I6153" s="9">
        <v>9.9019999999999997E-5</v>
      </c>
      <c r="J6153" s="9">
        <v>9.9179999999999996E-5</v>
      </c>
      <c r="K6153" s="9">
        <v>1.272E-5</v>
      </c>
      <c r="L6153" s="9">
        <v>1.454E-5</v>
      </c>
      <c r="M6153" s="9">
        <v>4.35E-5</v>
      </c>
      <c r="N6153" s="9">
        <v>6.444E-5</v>
      </c>
      <c r="O6153" s="9">
        <v>1.8839999999999999E-5</v>
      </c>
      <c r="P6153" s="9">
        <v>5.6339999999999999E-5</v>
      </c>
      <c r="Q6153" s="9">
        <v>9.3159999999999996E-5</v>
      </c>
      <c r="R6153" s="10">
        <v>7.7266804981699979E-5</v>
      </c>
      <c r="S6153" s="10">
        <v>1.4271609467121716E-4</v>
      </c>
      <c r="T6153" s="10">
        <v>0</v>
      </c>
      <c r="U6153" s="10">
        <v>6.9339999999999997E-5</v>
      </c>
      <c r="V6153" s="25"/>
      <c r="W6153" s="25"/>
      <c r="X6153" s="25"/>
      <c r="Y6153" s="25"/>
      <c r="Z6153" s="25"/>
      <c r="AA6153" s="25"/>
    </row>
    <row r="6154" spans="1:27" x14ac:dyDescent="0.35">
      <c r="A6154" s="5">
        <v>6150</v>
      </c>
      <c r="B6154" s="5">
        <v>257</v>
      </c>
      <c r="C6154" s="5">
        <v>9</v>
      </c>
      <c r="D6154" s="25">
        <v>1.1415000000000001E-4</v>
      </c>
      <c r="E6154" s="25">
        <v>1.1313E-4</v>
      </c>
      <c r="F6154" s="25">
        <v>1.2538999999999999E-4</v>
      </c>
      <c r="G6154" s="25">
        <v>1.0605E-4</v>
      </c>
      <c r="H6154" s="25">
        <v>1.3959000000000001E-4</v>
      </c>
      <c r="I6154" s="9">
        <v>1.1156E-4</v>
      </c>
      <c r="J6154" s="9">
        <v>1.0951E-4</v>
      </c>
      <c r="K6154" s="9">
        <v>4.2400000000000001E-6</v>
      </c>
      <c r="L6154" s="9">
        <v>1.7770000000000001E-5</v>
      </c>
      <c r="M6154" s="9">
        <v>4.8269999999999997E-5</v>
      </c>
      <c r="N6154" s="9">
        <v>7.0879999999999999E-5</v>
      </c>
      <c r="O6154" s="9">
        <v>4.634E-5</v>
      </c>
      <c r="P6154" s="9">
        <v>7.6899999999999999E-5</v>
      </c>
      <c r="Q6154" s="9">
        <v>1.0709000000000001E-4</v>
      </c>
      <c r="R6154" s="10">
        <v>5.7780374478364075E-5</v>
      </c>
      <c r="S6154" s="10">
        <v>1.3724171794958392E-4</v>
      </c>
      <c r="T6154" s="10">
        <v>0</v>
      </c>
      <c r="U6154" s="10">
        <v>6.9339999999999997E-5</v>
      </c>
      <c r="V6154" s="25"/>
      <c r="W6154" s="25"/>
      <c r="X6154" s="25"/>
      <c r="Y6154" s="25"/>
      <c r="Z6154" s="25"/>
      <c r="AA6154" s="25"/>
    </row>
    <row r="6155" spans="1:27" x14ac:dyDescent="0.35">
      <c r="A6155" s="5">
        <v>6151</v>
      </c>
      <c r="B6155" s="5">
        <v>257</v>
      </c>
      <c r="C6155" s="5">
        <v>9</v>
      </c>
      <c r="D6155" s="25">
        <v>1.1416E-4</v>
      </c>
      <c r="E6155" s="25">
        <v>1.1807999999999999E-4</v>
      </c>
      <c r="F6155" s="25">
        <v>1.1082E-4</v>
      </c>
      <c r="G6155" s="25">
        <v>1.1555E-4</v>
      </c>
      <c r="H6155" s="25">
        <v>1.3902000000000001E-4</v>
      </c>
      <c r="I6155" s="9">
        <v>1.2055E-4</v>
      </c>
      <c r="J6155" s="9">
        <v>1.2167000000000001E-4</v>
      </c>
      <c r="K6155" s="9">
        <v>0</v>
      </c>
      <c r="L6155" s="9">
        <v>3.9910000000000002E-5</v>
      </c>
      <c r="M6155" s="9">
        <v>5.9920000000000002E-5</v>
      </c>
      <c r="N6155" s="9">
        <v>8.0610000000000002E-5</v>
      </c>
      <c r="O6155" s="9">
        <v>1.2313E-4</v>
      </c>
      <c r="P6155" s="9">
        <v>1.1749E-4</v>
      </c>
      <c r="Q6155" s="9">
        <v>1.1254E-4</v>
      </c>
      <c r="R6155" s="10">
        <v>5.9258087815949466E-5</v>
      </c>
      <c r="S6155" s="10">
        <v>1.22310545732237E-4</v>
      </c>
      <c r="T6155" s="10">
        <v>3.050105616376235E-5</v>
      </c>
      <c r="U6155" s="10">
        <v>6.9339999999999997E-5</v>
      </c>
      <c r="V6155" s="25"/>
      <c r="W6155" s="25"/>
      <c r="X6155" s="25"/>
      <c r="Y6155" s="25"/>
      <c r="Z6155" s="25"/>
      <c r="AA6155" s="25"/>
    </row>
    <row r="6156" spans="1:27" x14ac:dyDescent="0.35">
      <c r="A6156" s="5">
        <v>6152</v>
      </c>
      <c r="B6156" s="5">
        <v>257</v>
      </c>
      <c r="C6156" s="5">
        <v>9</v>
      </c>
      <c r="D6156" s="25">
        <v>1.1415000000000001E-4</v>
      </c>
      <c r="E6156" s="25">
        <v>1.2301E-4</v>
      </c>
      <c r="F6156" s="25">
        <v>1.1201000000000001E-4</v>
      </c>
      <c r="G6156" s="25">
        <v>1.5758999999999999E-4</v>
      </c>
      <c r="H6156" s="25">
        <v>1.9619E-4</v>
      </c>
      <c r="I6156" s="9">
        <v>1.2540000000000001E-4</v>
      </c>
      <c r="J6156" s="9">
        <v>1.3121000000000001E-4</v>
      </c>
      <c r="K6156" s="9">
        <v>0</v>
      </c>
      <c r="L6156" s="9">
        <v>1.042E-4</v>
      </c>
      <c r="M6156" s="9">
        <v>8.3659999999999995E-5</v>
      </c>
      <c r="N6156" s="9">
        <v>9.0740000000000002E-5</v>
      </c>
      <c r="O6156" s="9">
        <v>2.1825999999999999E-4</v>
      </c>
      <c r="P6156" s="9">
        <v>1.7626E-4</v>
      </c>
      <c r="Q6156" s="9">
        <v>1.3616E-4</v>
      </c>
      <c r="R6156" s="10">
        <v>6.9189042401104767E-5</v>
      </c>
      <c r="S6156" s="10">
        <v>1.1475653407086605E-4</v>
      </c>
      <c r="T6156" s="10">
        <v>8.5886562321492698E-5</v>
      </c>
      <c r="U6156" s="10">
        <v>6.9339999999999997E-5</v>
      </c>
      <c r="V6156" s="25"/>
      <c r="W6156" s="25"/>
      <c r="X6156" s="25"/>
      <c r="Y6156" s="25"/>
      <c r="Z6156" s="25"/>
      <c r="AA6156" s="25"/>
    </row>
    <row r="6157" spans="1:27" x14ac:dyDescent="0.35">
      <c r="A6157" s="5">
        <v>6153</v>
      </c>
      <c r="B6157" s="5">
        <v>257</v>
      </c>
      <c r="C6157" s="5">
        <v>9</v>
      </c>
      <c r="D6157" s="25">
        <v>1.1416E-4</v>
      </c>
      <c r="E6157" s="25">
        <v>1.1332000000000001E-4</v>
      </c>
      <c r="F6157" s="25">
        <v>1.2195E-4</v>
      </c>
      <c r="G6157" s="25">
        <v>1.6176999999999999E-4</v>
      </c>
      <c r="H6157" s="25">
        <v>1.9599999999999999E-4</v>
      </c>
      <c r="I6157" s="9">
        <v>1.2918000000000001E-4</v>
      </c>
      <c r="J6157" s="9">
        <v>1.3491999999999999E-4</v>
      </c>
      <c r="K6157" s="9">
        <v>0</v>
      </c>
      <c r="L6157" s="9">
        <v>1.9139999999999999E-4</v>
      </c>
      <c r="M6157" s="9">
        <v>1.2313E-4</v>
      </c>
      <c r="N6157" s="9">
        <v>1.0438E-4</v>
      </c>
      <c r="O6157" s="9">
        <v>2.0947000000000001E-4</v>
      </c>
      <c r="P6157" s="9">
        <v>1.9186E-4</v>
      </c>
      <c r="Q6157" s="9">
        <v>1.7571000000000001E-4</v>
      </c>
      <c r="R6157" s="10">
        <v>8.0243352719042895E-5</v>
      </c>
      <c r="S6157" s="10">
        <v>1.0375409985476513E-4</v>
      </c>
      <c r="T6157" s="10">
        <v>2.0782291258174095E-4</v>
      </c>
      <c r="U6157" s="10">
        <v>6.9339999999999997E-5</v>
      </c>
      <c r="V6157" s="25"/>
      <c r="W6157" s="25"/>
      <c r="X6157" s="25"/>
      <c r="Y6157" s="25"/>
      <c r="Z6157" s="25"/>
      <c r="AA6157" s="25"/>
    </row>
    <row r="6158" spans="1:27" x14ac:dyDescent="0.35">
      <c r="A6158" s="5">
        <v>6154</v>
      </c>
      <c r="B6158" s="5">
        <v>257</v>
      </c>
      <c r="C6158" s="5">
        <v>9</v>
      </c>
      <c r="D6158" s="25">
        <v>1.1415000000000001E-4</v>
      </c>
      <c r="E6158" s="25">
        <v>1.1943E-4</v>
      </c>
      <c r="F6158" s="25">
        <v>1.2558E-4</v>
      </c>
      <c r="G6158" s="25">
        <v>1.6331000000000001E-4</v>
      </c>
      <c r="H6158" s="25">
        <v>2.0132E-4</v>
      </c>
      <c r="I6158" s="9">
        <v>1.3161999999999999E-4</v>
      </c>
      <c r="J6158" s="9">
        <v>1.3564999999999999E-4</v>
      </c>
      <c r="K6158" s="9">
        <v>0</v>
      </c>
      <c r="L6158" s="9">
        <v>2.0321E-4</v>
      </c>
      <c r="M6158" s="9">
        <v>1.5787E-4</v>
      </c>
      <c r="N6158" s="9">
        <v>1.2416E-4</v>
      </c>
      <c r="O6158" s="9">
        <v>1.6660000000000001E-4</v>
      </c>
      <c r="P6158" s="9">
        <v>1.7380999999999999E-4</v>
      </c>
      <c r="Q6158" s="9">
        <v>1.818E-4</v>
      </c>
      <c r="R6158" s="10">
        <v>8.5201698250785885E-5</v>
      </c>
      <c r="S6158" s="10">
        <v>9.398492850486677E-5</v>
      </c>
      <c r="T6158" s="10">
        <v>1.4603176041465298E-4</v>
      </c>
      <c r="U6158" s="10">
        <v>6.9339999999999997E-5</v>
      </c>
      <c r="V6158" s="25"/>
      <c r="W6158" s="25"/>
      <c r="X6158" s="25"/>
      <c r="Y6158" s="25"/>
      <c r="Z6158" s="25"/>
      <c r="AA6158" s="25"/>
    </row>
    <row r="6159" spans="1:27" x14ac:dyDescent="0.35">
      <c r="A6159" s="5">
        <v>6155</v>
      </c>
      <c r="B6159" s="5">
        <v>257</v>
      </c>
      <c r="C6159" s="5">
        <v>9</v>
      </c>
      <c r="D6159" s="25">
        <v>1.1416E-4</v>
      </c>
      <c r="E6159" s="25">
        <v>1.1891E-4</v>
      </c>
      <c r="F6159" s="25">
        <v>1.1252999999999999E-4</v>
      </c>
      <c r="G6159" s="25">
        <v>1.5941999999999999E-4</v>
      </c>
      <c r="H6159" s="25">
        <v>1.9023E-4</v>
      </c>
      <c r="I6159" s="9">
        <v>1.3232000000000001E-4</v>
      </c>
      <c r="J6159" s="9">
        <v>1.3674999999999999E-4</v>
      </c>
      <c r="K6159" s="9">
        <v>0</v>
      </c>
      <c r="L6159" s="9">
        <v>1.7474E-4</v>
      </c>
      <c r="M6159" s="9">
        <v>1.7164E-4</v>
      </c>
      <c r="N6159" s="9">
        <v>1.4223E-4</v>
      </c>
      <c r="O6159" s="9">
        <v>1.6568999999999999E-4</v>
      </c>
      <c r="P6159" s="9">
        <v>1.7150999999999999E-4</v>
      </c>
      <c r="Q6159" s="9">
        <v>1.7814E-4</v>
      </c>
      <c r="R6159" s="10">
        <v>9.0237087243059385E-5</v>
      </c>
      <c r="S6159" s="10">
        <v>9.1584744596779575E-5</v>
      </c>
      <c r="T6159" s="10">
        <v>4.5150895851653425E-4</v>
      </c>
      <c r="U6159" s="10">
        <v>6.9339999999999997E-5</v>
      </c>
      <c r="V6159" s="25"/>
      <c r="W6159" s="25"/>
      <c r="X6159" s="25"/>
      <c r="Y6159" s="25"/>
      <c r="Z6159" s="25"/>
      <c r="AA6159" s="25"/>
    </row>
    <row r="6160" spans="1:27" x14ac:dyDescent="0.35">
      <c r="A6160" s="5">
        <v>6156</v>
      </c>
      <c r="B6160" s="5">
        <v>257</v>
      </c>
      <c r="C6160" s="5">
        <v>9</v>
      </c>
      <c r="D6160" s="25">
        <v>1.1415000000000001E-4</v>
      </c>
      <c r="E6160" s="25">
        <v>1.1946E-4</v>
      </c>
      <c r="F6160" s="25">
        <v>1.2604000000000001E-4</v>
      </c>
      <c r="G6160" s="25">
        <v>1.5766E-4</v>
      </c>
      <c r="H6160" s="25">
        <v>1.9338999999999999E-4</v>
      </c>
      <c r="I6160" s="9">
        <v>1.2988999999999999E-4</v>
      </c>
      <c r="J6160" s="9">
        <v>1.3556000000000001E-4</v>
      </c>
      <c r="K6160" s="9">
        <v>0</v>
      </c>
      <c r="L6160" s="9">
        <v>1.6906000000000001E-4</v>
      </c>
      <c r="M6160" s="9">
        <v>1.7395E-4</v>
      </c>
      <c r="N6160" s="9">
        <v>1.5605999999999999E-4</v>
      </c>
      <c r="O6160" s="9">
        <v>1.6975000000000001E-4</v>
      </c>
      <c r="P6160" s="9">
        <v>1.7153000000000001E-4</v>
      </c>
      <c r="Q6160" s="9">
        <v>1.7420000000000001E-4</v>
      </c>
      <c r="R6160" s="10">
        <v>8.7488141930112167E-5</v>
      </c>
      <c r="S6160" s="10">
        <v>9.2915701907251682E-5</v>
      </c>
      <c r="T6160" s="10">
        <v>5.6854138375240018E-4</v>
      </c>
      <c r="U6160" s="10">
        <v>6.9339999999999997E-5</v>
      </c>
      <c r="V6160" s="25"/>
      <c r="W6160" s="25"/>
      <c r="X6160" s="25"/>
      <c r="Y6160" s="25"/>
      <c r="Z6160" s="25"/>
      <c r="AA6160" s="25"/>
    </row>
    <row r="6161" spans="1:27" x14ac:dyDescent="0.35">
      <c r="A6161" s="5">
        <v>6157</v>
      </c>
      <c r="B6161" s="5">
        <v>257</v>
      </c>
      <c r="C6161" s="5">
        <v>9</v>
      </c>
      <c r="D6161" s="25">
        <v>1.1416E-4</v>
      </c>
      <c r="E6161" s="25">
        <v>1.2263000000000001E-4</v>
      </c>
      <c r="F6161" s="25">
        <v>1.2797000000000001E-4</v>
      </c>
      <c r="G6161" s="25">
        <v>1.6169000000000001E-4</v>
      </c>
      <c r="H6161" s="25">
        <v>2.0155999999999999E-4</v>
      </c>
      <c r="I6161" s="9">
        <v>1.2960000000000001E-4</v>
      </c>
      <c r="J6161" s="9">
        <v>1.3677000000000001E-4</v>
      </c>
      <c r="K6161" s="9">
        <v>0</v>
      </c>
      <c r="L6161" s="9">
        <v>1.6977999999999999E-4</v>
      </c>
      <c r="M6161" s="9">
        <v>1.7318999999999999E-4</v>
      </c>
      <c r="N6161" s="9">
        <v>1.6563E-4</v>
      </c>
      <c r="O6161" s="9">
        <v>1.6065E-4</v>
      </c>
      <c r="P6161" s="9">
        <v>1.6322E-4</v>
      </c>
      <c r="Q6161" s="9">
        <v>1.6660000000000001E-4</v>
      </c>
      <c r="R6161" s="10">
        <v>6.6574580201565655E-5</v>
      </c>
      <c r="S6161" s="10">
        <v>1.0336377978175546E-4</v>
      </c>
      <c r="T6161" s="10">
        <v>5.1741499586844143E-4</v>
      </c>
      <c r="U6161" s="10">
        <v>6.9339999999999997E-5</v>
      </c>
      <c r="V6161" s="25"/>
      <c r="W6161" s="25"/>
      <c r="X6161" s="25"/>
      <c r="Y6161" s="25"/>
      <c r="Z6161" s="25"/>
      <c r="AA6161" s="25"/>
    </row>
    <row r="6162" spans="1:27" x14ac:dyDescent="0.35">
      <c r="A6162" s="5">
        <v>6158</v>
      </c>
      <c r="B6162" s="5">
        <v>257</v>
      </c>
      <c r="C6162" s="5">
        <v>9</v>
      </c>
      <c r="D6162" s="25">
        <v>1.1415000000000001E-4</v>
      </c>
      <c r="E6162" s="25">
        <v>1.2422E-4</v>
      </c>
      <c r="F6162" s="25">
        <v>1.1933E-4</v>
      </c>
      <c r="G6162" s="25">
        <v>1.6304000000000001E-4</v>
      </c>
      <c r="H6162" s="25">
        <v>1.9195E-4</v>
      </c>
      <c r="I6162" s="9">
        <v>1.2928000000000001E-4</v>
      </c>
      <c r="J6162" s="9">
        <v>1.3697000000000001E-4</v>
      </c>
      <c r="K6162" s="9">
        <v>0</v>
      </c>
      <c r="L6162" s="9">
        <v>1.6239E-4</v>
      </c>
      <c r="M6162" s="9">
        <v>1.6937000000000001E-4</v>
      </c>
      <c r="N6162" s="9">
        <v>1.6987E-4</v>
      </c>
      <c r="O6162" s="9">
        <v>1.7813E-4</v>
      </c>
      <c r="P6162" s="9">
        <v>1.6898E-4</v>
      </c>
      <c r="Q6162" s="9">
        <v>1.6095000000000001E-4</v>
      </c>
      <c r="R6162" s="10">
        <v>8.700532801720995E-5</v>
      </c>
      <c r="S6162" s="10">
        <v>9.6884745463045544E-5</v>
      </c>
      <c r="T6162" s="10">
        <v>3.7695742012683201E-5</v>
      </c>
      <c r="U6162" s="10">
        <v>6.9339999999999997E-5</v>
      </c>
      <c r="V6162" s="25"/>
      <c r="W6162" s="25"/>
      <c r="X6162" s="25"/>
      <c r="Y6162" s="25"/>
      <c r="Z6162" s="25"/>
      <c r="AA6162" s="25"/>
    </row>
    <row r="6163" spans="1:27" x14ac:dyDescent="0.35">
      <c r="A6163" s="5">
        <v>6159</v>
      </c>
      <c r="B6163" s="5">
        <v>257</v>
      </c>
      <c r="C6163" s="5">
        <v>9</v>
      </c>
      <c r="D6163" s="25">
        <v>1.1416E-4</v>
      </c>
      <c r="E6163" s="25">
        <v>1.2452000000000001E-4</v>
      </c>
      <c r="F6163" s="25">
        <v>1.0738000000000001E-4</v>
      </c>
      <c r="G6163" s="25">
        <v>1.6578E-4</v>
      </c>
      <c r="H6163" s="25">
        <v>1.9163000000000001E-4</v>
      </c>
      <c r="I6163" s="9">
        <v>1.2818000000000001E-4</v>
      </c>
      <c r="J6163" s="9">
        <v>1.372E-4</v>
      </c>
      <c r="K6163" s="9">
        <v>0</v>
      </c>
      <c r="L6163" s="9">
        <v>1.7484E-4</v>
      </c>
      <c r="M6163" s="9">
        <v>1.6814E-4</v>
      </c>
      <c r="N6163" s="9">
        <v>1.6956E-4</v>
      </c>
      <c r="O6163" s="9">
        <v>1.8285999999999999E-4</v>
      </c>
      <c r="P6163" s="9">
        <v>1.6693E-4</v>
      </c>
      <c r="Q6163" s="9">
        <v>1.5226000000000001E-4</v>
      </c>
      <c r="R6163" s="10">
        <v>9.6419972314602123E-5</v>
      </c>
      <c r="S6163" s="10">
        <v>9.4832966454782823E-5</v>
      </c>
      <c r="T6163" s="10">
        <v>3.7881548168451325E-4</v>
      </c>
      <c r="U6163" s="10">
        <v>6.9339999999999997E-5</v>
      </c>
      <c r="V6163" s="25"/>
      <c r="W6163" s="25"/>
      <c r="X6163" s="25"/>
      <c r="Y6163" s="25"/>
      <c r="Z6163" s="25"/>
      <c r="AA6163" s="25"/>
    </row>
    <row r="6164" spans="1:27" x14ac:dyDescent="0.35">
      <c r="A6164" s="5">
        <v>6160</v>
      </c>
      <c r="B6164" s="5">
        <v>257</v>
      </c>
      <c r="C6164" s="5">
        <v>9</v>
      </c>
      <c r="D6164" s="25">
        <v>1.1415000000000001E-4</v>
      </c>
      <c r="E6164" s="25">
        <v>1.1464999999999999E-4</v>
      </c>
      <c r="F6164" s="25">
        <v>1.2308999999999999E-4</v>
      </c>
      <c r="G6164" s="25">
        <v>1.5789999999999999E-4</v>
      </c>
      <c r="H6164" s="25">
        <v>1.9107E-4</v>
      </c>
      <c r="I6164" s="9">
        <v>1.2768999999999999E-4</v>
      </c>
      <c r="J6164" s="9">
        <v>1.3699E-4</v>
      </c>
      <c r="K6164" s="9">
        <v>0</v>
      </c>
      <c r="L6164" s="9">
        <v>1.8077999999999999E-4</v>
      </c>
      <c r="M6164" s="9">
        <v>1.6747999999999999E-4</v>
      </c>
      <c r="N6164" s="9">
        <v>1.6574E-4</v>
      </c>
      <c r="O6164" s="9">
        <v>1.9547E-4</v>
      </c>
      <c r="P6164" s="9">
        <v>1.5131000000000001E-4</v>
      </c>
      <c r="Q6164" s="9">
        <v>1.0894E-4</v>
      </c>
      <c r="R6164" s="10">
        <v>1.3090312765133552E-4</v>
      </c>
      <c r="S6164" s="10">
        <v>1.0075386353777331E-4</v>
      </c>
      <c r="T6164" s="10">
        <v>2.3048447614597162E-4</v>
      </c>
      <c r="U6164" s="10">
        <v>6.9339999999999997E-5</v>
      </c>
      <c r="V6164" s="25"/>
      <c r="W6164" s="25"/>
      <c r="X6164" s="25"/>
      <c r="Y6164" s="25"/>
      <c r="Z6164" s="25"/>
      <c r="AA6164" s="25"/>
    </row>
    <row r="6165" spans="1:27" x14ac:dyDescent="0.35">
      <c r="A6165" s="5">
        <v>6161</v>
      </c>
      <c r="B6165" s="5">
        <v>257</v>
      </c>
      <c r="C6165" s="5">
        <v>9</v>
      </c>
      <c r="D6165" s="25">
        <v>1.1416E-4</v>
      </c>
      <c r="E6165" s="25">
        <v>1.2195E-4</v>
      </c>
      <c r="F6165" s="25">
        <v>1.1224E-4</v>
      </c>
      <c r="G6165" s="25">
        <v>1.6411999999999999E-4</v>
      </c>
      <c r="H6165" s="25">
        <v>1.9714999999999999E-4</v>
      </c>
      <c r="I6165" s="9">
        <v>1.2852E-4</v>
      </c>
      <c r="J6165" s="9">
        <v>1.3725E-4</v>
      </c>
      <c r="K6165" s="9">
        <v>0</v>
      </c>
      <c r="L6165" s="9">
        <v>1.9201999999999999E-4</v>
      </c>
      <c r="M6165" s="9">
        <v>1.6159E-4</v>
      </c>
      <c r="N6165" s="9">
        <v>1.5197999999999999E-4</v>
      </c>
      <c r="O6165" s="9">
        <v>2.1306E-4</v>
      </c>
      <c r="P6165" s="9">
        <v>1.5896000000000001E-4</v>
      </c>
      <c r="Q6165" s="9">
        <v>1.0692E-4</v>
      </c>
      <c r="R6165" s="10">
        <v>1.5244236114906034E-4</v>
      </c>
      <c r="S6165" s="10">
        <v>1.2000385998748657E-4</v>
      </c>
      <c r="T6165" s="10">
        <v>1.2292052898486478E-4</v>
      </c>
      <c r="U6165" s="10">
        <v>6.9339999999999997E-5</v>
      </c>
      <c r="V6165" s="25"/>
      <c r="W6165" s="25"/>
      <c r="X6165" s="25"/>
      <c r="Y6165" s="25"/>
      <c r="Z6165" s="25"/>
      <c r="AA6165" s="25"/>
    </row>
    <row r="6166" spans="1:27" x14ac:dyDescent="0.35">
      <c r="A6166" s="5">
        <v>6162</v>
      </c>
      <c r="B6166" s="5">
        <v>257</v>
      </c>
      <c r="C6166" s="5">
        <v>9</v>
      </c>
      <c r="D6166" s="25">
        <v>1.1415000000000001E-4</v>
      </c>
      <c r="E6166" s="25">
        <v>1.2308999999999999E-4</v>
      </c>
      <c r="F6166" s="25">
        <v>1.0971E-4</v>
      </c>
      <c r="G6166" s="25">
        <v>1.628E-4</v>
      </c>
      <c r="H6166" s="25">
        <v>1.8951999999999999E-4</v>
      </c>
      <c r="I6166" s="9">
        <v>1.2643999999999999E-4</v>
      </c>
      <c r="J6166" s="9">
        <v>1.329E-4</v>
      </c>
      <c r="K6166" s="9">
        <v>0</v>
      </c>
      <c r="L6166" s="9">
        <v>2.0820999999999999E-4</v>
      </c>
      <c r="M6166" s="9">
        <v>1.5901000000000001E-4</v>
      </c>
      <c r="N6166" s="9">
        <v>1.3868999999999999E-4</v>
      </c>
      <c r="O6166" s="9">
        <v>2.0693999999999999E-4</v>
      </c>
      <c r="P6166" s="9">
        <v>1.6194000000000001E-4</v>
      </c>
      <c r="Q6166" s="9">
        <v>1.1881E-4</v>
      </c>
      <c r="R6166" s="10">
        <v>1.7611753588576515E-4</v>
      </c>
      <c r="S6166" s="10">
        <v>1.4711173672977078E-4</v>
      </c>
      <c r="T6166" s="10">
        <v>3.047560326571192E-5</v>
      </c>
      <c r="U6166" s="10">
        <v>6.9339999999999997E-5</v>
      </c>
      <c r="V6166" s="25"/>
      <c r="W6166" s="25"/>
      <c r="X6166" s="25"/>
      <c r="Y6166" s="25"/>
      <c r="Z6166" s="25"/>
      <c r="AA6166" s="25"/>
    </row>
    <row r="6167" spans="1:27" x14ac:dyDescent="0.35">
      <c r="A6167" s="5">
        <v>6163</v>
      </c>
      <c r="B6167" s="5">
        <v>257</v>
      </c>
      <c r="C6167" s="5">
        <v>9</v>
      </c>
      <c r="D6167" s="25">
        <v>1.1416E-4</v>
      </c>
      <c r="E6167" s="25">
        <v>1.2183E-4</v>
      </c>
      <c r="F6167" s="25">
        <v>1.2769999999999999E-4</v>
      </c>
      <c r="G6167" s="25">
        <v>1.1354E-4</v>
      </c>
      <c r="H6167" s="25">
        <v>1.281E-4</v>
      </c>
      <c r="I6167" s="9">
        <v>1.2180000000000001E-4</v>
      </c>
      <c r="J6167" s="9">
        <v>1.3066999999999999E-4</v>
      </c>
      <c r="K6167" s="9">
        <v>0</v>
      </c>
      <c r="L6167" s="9">
        <v>2.0680000000000001E-4</v>
      </c>
      <c r="M6167" s="9">
        <v>1.5956E-4</v>
      </c>
      <c r="N6167" s="9">
        <v>1.2997E-4</v>
      </c>
      <c r="O6167" s="9">
        <v>1.6323999999999999E-4</v>
      </c>
      <c r="P6167" s="9">
        <v>1.3422E-4</v>
      </c>
      <c r="Q6167" s="9">
        <v>1.0653E-4</v>
      </c>
      <c r="R6167" s="10">
        <v>1.8492396619044721E-4</v>
      </c>
      <c r="S6167" s="10">
        <v>1.5245740828831274E-4</v>
      </c>
      <c r="T6167" s="10">
        <v>0</v>
      </c>
      <c r="U6167" s="10">
        <v>6.9339999999999997E-5</v>
      </c>
      <c r="V6167" s="25"/>
      <c r="W6167" s="25"/>
      <c r="X6167" s="25"/>
      <c r="Y6167" s="25"/>
      <c r="Z6167" s="25"/>
      <c r="AA6167" s="25"/>
    </row>
    <row r="6168" spans="1:27" x14ac:dyDescent="0.35">
      <c r="A6168" s="5">
        <v>6164</v>
      </c>
      <c r="B6168" s="5">
        <v>257</v>
      </c>
      <c r="C6168" s="5">
        <v>9</v>
      </c>
      <c r="D6168" s="25">
        <v>1.1415000000000001E-4</v>
      </c>
      <c r="E6168" s="25">
        <v>1.2226000000000001E-4</v>
      </c>
      <c r="F6168" s="25">
        <v>1.1841999999999999E-4</v>
      </c>
      <c r="G6168" s="25">
        <v>1.0581000000000001E-4</v>
      </c>
      <c r="H6168" s="25">
        <v>1.2913000000000001E-4</v>
      </c>
      <c r="I6168" s="9">
        <v>1.2404000000000001E-4</v>
      </c>
      <c r="J6168" s="9">
        <v>1.3365E-4</v>
      </c>
      <c r="K6168" s="9">
        <v>0</v>
      </c>
      <c r="L6168" s="9">
        <v>1.7293000000000001E-4</v>
      </c>
      <c r="M6168" s="9">
        <v>1.5076999999999999E-4</v>
      </c>
      <c r="N6168" s="9">
        <v>1.208E-4</v>
      </c>
      <c r="O6168" s="9">
        <v>1.2968999999999999E-4</v>
      </c>
      <c r="P6168" s="9">
        <v>1.1576E-4</v>
      </c>
      <c r="Q6168" s="9">
        <v>1.0268999999999999E-4</v>
      </c>
      <c r="R6168" s="10">
        <v>1.9505315308099706E-4</v>
      </c>
      <c r="S6168" s="10">
        <v>1.5552615716863487E-4</v>
      </c>
      <c r="T6168" s="10">
        <v>0</v>
      </c>
      <c r="U6168" s="10">
        <v>6.9339999999999997E-5</v>
      </c>
      <c r="V6168" s="25"/>
      <c r="W6168" s="25"/>
      <c r="X6168" s="25"/>
      <c r="Y6168" s="25"/>
      <c r="Z6168" s="25"/>
      <c r="AA6168" s="25"/>
    </row>
    <row r="6169" spans="1:27" x14ac:dyDescent="0.35">
      <c r="A6169" s="5">
        <v>6165</v>
      </c>
      <c r="B6169" s="5">
        <v>257</v>
      </c>
      <c r="C6169" s="5">
        <v>9</v>
      </c>
      <c r="D6169" s="25">
        <v>1.1416E-4</v>
      </c>
      <c r="E6169" s="25">
        <v>1.1933E-4</v>
      </c>
      <c r="F6169" s="25">
        <v>1.1212E-4</v>
      </c>
      <c r="G6169" s="25">
        <v>5.4079999999999997E-5</v>
      </c>
      <c r="H6169" s="25">
        <v>7.1110000000000002E-5</v>
      </c>
      <c r="I6169" s="9">
        <v>1.2131E-4</v>
      </c>
      <c r="J6169" s="9">
        <v>1.3009E-4</v>
      </c>
      <c r="K6169" s="9">
        <v>0</v>
      </c>
      <c r="L6169" s="9">
        <v>1.4025999999999999E-4</v>
      </c>
      <c r="M6169" s="9">
        <v>1.3566000000000001E-4</v>
      </c>
      <c r="N6169" s="9">
        <v>1.1335E-4</v>
      </c>
      <c r="O6169" s="9">
        <v>8.4380000000000002E-5</v>
      </c>
      <c r="P6169" s="9">
        <v>8.6050000000000005E-5</v>
      </c>
      <c r="Q6169" s="9">
        <v>8.8040000000000004E-5</v>
      </c>
      <c r="R6169" s="10">
        <v>2.0610388448774389E-4</v>
      </c>
      <c r="S6169" s="10">
        <v>1.6453214602616344E-4</v>
      </c>
      <c r="T6169" s="10">
        <v>0</v>
      </c>
      <c r="U6169" s="10">
        <v>6.9339999999999997E-5</v>
      </c>
      <c r="V6169" s="25"/>
      <c r="W6169" s="25"/>
      <c r="X6169" s="25"/>
      <c r="Y6169" s="25"/>
      <c r="Z6169" s="25"/>
      <c r="AA6169" s="25"/>
    </row>
    <row r="6170" spans="1:27" x14ac:dyDescent="0.35">
      <c r="A6170" s="5">
        <v>6166</v>
      </c>
      <c r="B6170" s="5">
        <v>257</v>
      </c>
      <c r="C6170" s="5">
        <v>9</v>
      </c>
      <c r="D6170" s="25">
        <v>1.1415000000000001E-4</v>
      </c>
      <c r="E6170" s="25">
        <v>1.2171999999999999E-4</v>
      </c>
      <c r="F6170" s="25">
        <v>1.1419E-4</v>
      </c>
      <c r="G6170" s="25">
        <v>5.2769999999999998E-5</v>
      </c>
      <c r="H6170" s="25">
        <v>6.3180000000000002E-5</v>
      </c>
      <c r="I6170" s="9">
        <v>1.1667000000000001E-4</v>
      </c>
      <c r="J6170" s="9">
        <v>1.2213999999999999E-4</v>
      </c>
      <c r="K6170" s="9">
        <v>0</v>
      </c>
      <c r="L6170" s="9">
        <v>9.7570000000000003E-5</v>
      </c>
      <c r="M6170" s="9">
        <v>1.1391999999999999E-4</v>
      </c>
      <c r="N6170" s="9">
        <v>1.0573000000000001E-4</v>
      </c>
      <c r="O6170" s="9">
        <v>8.7429999999999995E-5</v>
      </c>
      <c r="P6170" s="9">
        <v>8.7709999999999999E-5</v>
      </c>
      <c r="Q6170" s="9">
        <v>8.8360000000000001E-5</v>
      </c>
      <c r="R6170" s="10">
        <v>2.0973111826828015E-4</v>
      </c>
      <c r="S6170" s="10">
        <v>1.6862520058271989E-4</v>
      </c>
      <c r="T6170" s="10">
        <v>0</v>
      </c>
      <c r="U6170" s="10">
        <v>6.9339999999999997E-5</v>
      </c>
      <c r="V6170" s="25"/>
      <c r="W6170" s="25"/>
      <c r="X6170" s="25"/>
      <c r="Y6170" s="25"/>
      <c r="Z6170" s="25"/>
      <c r="AA6170" s="25"/>
    </row>
    <row r="6171" spans="1:27" x14ac:dyDescent="0.35">
      <c r="A6171" s="5">
        <v>6167</v>
      </c>
      <c r="B6171" s="5">
        <v>257</v>
      </c>
      <c r="C6171" s="5">
        <v>9</v>
      </c>
      <c r="D6171" s="25">
        <v>1.1416E-4</v>
      </c>
      <c r="E6171" s="25">
        <v>1.1414E-4</v>
      </c>
      <c r="F6171" s="25">
        <v>1.2056E-4</v>
      </c>
      <c r="G6171" s="25">
        <v>5.6039999999999999E-5</v>
      </c>
      <c r="H6171" s="25">
        <v>6.8380000000000006E-5</v>
      </c>
      <c r="I6171" s="9">
        <v>1.0938999999999999E-4</v>
      </c>
      <c r="J6171" s="9">
        <v>1.1393E-4</v>
      </c>
      <c r="K6171" s="9">
        <v>1.272E-5</v>
      </c>
      <c r="L6171" s="9">
        <v>9.0600000000000007E-5</v>
      </c>
      <c r="M6171" s="9">
        <v>9.9149999999999998E-5</v>
      </c>
      <c r="N6171" s="9">
        <v>9.9950000000000004E-5</v>
      </c>
      <c r="O6171" s="9">
        <v>7.7420000000000001E-5</v>
      </c>
      <c r="P6171" s="9">
        <v>7.1799999999999997E-5</v>
      </c>
      <c r="Q6171" s="9">
        <v>6.6580000000000003E-5</v>
      </c>
      <c r="R6171" s="10">
        <v>2.1083550857829681E-4</v>
      </c>
      <c r="S6171" s="10">
        <v>1.6507108074568174E-4</v>
      </c>
      <c r="T6171" s="10">
        <v>0</v>
      </c>
      <c r="U6171" s="10">
        <v>6.9339999999999997E-5</v>
      </c>
      <c r="V6171" s="25"/>
      <c r="W6171" s="25"/>
      <c r="X6171" s="25"/>
      <c r="Y6171" s="25"/>
      <c r="Z6171" s="25"/>
      <c r="AA6171" s="25"/>
    </row>
    <row r="6172" spans="1:27" x14ac:dyDescent="0.35">
      <c r="A6172" s="5">
        <v>6168</v>
      </c>
      <c r="B6172" s="5">
        <v>257</v>
      </c>
      <c r="C6172" s="5">
        <v>9</v>
      </c>
      <c r="D6172" s="25">
        <v>1.1415000000000001E-4</v>
      </c>
      <c r="E6172" s="25">
        <v>1.1914E-4</v>
      </c>
      <c r="F6172" s="25">
        <v>1.1989000000000001E-4</v>
      </c>
      <c r="G6172" s="25">
        <v>5.5980000000000003E-5</v>
      </c>
      <c r="H6172" s="25">
        <v>6.4049999999999998E-5</v>
      </c>
      <c r="I6172" s="9">
        <v>1.0266E-4</v>
      </c>
      <c r="J6172" s="9">
        <v>1.0603E-4</v>
      </c>
      <c r="K6172" s="9">
        <v>4.4509999999999999E-5</v>
      </c>
      <c r="L6172" s="9">
        <v>8.0309999999999995E-5</v>
      </c>
      <c r="M6172" s="9">
        <v>8.6050000000000005E-5</v>
      </c>
      <c r="N6172" s="9">
        <v>9.0569999999999995E-5</v>
      </c>
      <c r="O6172" s="9">
        <v>6.3319999999999997E-5</v>
      </c>
      <c r="P6172" s="9">
        <v>6.1249999999999998E-5</v>
      </c>
      <c r="Q6172" s="9">
        <v>5.9419999999999997E-5</v>
      </c>
      <c r="R6172" s="10">
        <v>2.1190940646590069E-4</v>
      </c>
      <c r="S6172" s="10">
        <v>1.7138975045380384E-4</v>
      </c>
      <c r="T6172" s="10">
        <v>0</v>
      </c>
      <c r="U6172" s="10">
        <v>6.9339999999999997E-5</v>
      </c>
      <c r="V6172" s="25"/>
      <c r="W6172" s="25"/>
      <c r="X6172" s="25"/>
      <c r="Y6172" s="25"/>
      <c r="Z6172" s="25"/>
      <c r="AA6172" s="25"/>
    </row>
    <row r="6173" spans="1:27" x14ac:dyDescent="0.35">
      <c r="A6173" s="5">
        <v>6169</v>
      </c>
      <c r="B6173" s="5">
        <v>258</v>
      </c>
      <c r="C6173" s="5">
        <v>9</v>
      </c>
      <c r="D6173" s="25">
        <v>1.1416E-4</v>
      </c>
      <c r="E6173" s="25">
        <v>1.1892000000000001E-4</v>
      </c>
      <c r="F6173" s="25">
        <v>1.0242E-4</v>
      </c>
      <c r="G6173" s="25">
        <v>5.5300000000000002E-5</v>
      </c>
      <c r="H6173" s="25">
        <v>4.163E-5</v>
      </c>
      <c r="I6173" s="9">
        <v>9.8389999999999998E-5</v>
      </c>
      <c r="J6173" s="9">
        <v>1.0042E-4</v>
      </c>
      <c r="K6173" s="9">
        <v>5.0869999999999999E-5</v>
      </c>
      <c r="L6173" s="9">
        <v>6.7059999999999998E-5</v>
      </c>
      <c r="M6173" s="9">
        <v>7.4109999999999993E-5</v>
      </c>
      <c r="N6173" s="9">
        <v>8.1269999999999999E-5</v>
      </c>
      <c r="O6173" s="9">
        <v>6.7620000000000006E-5</v>
      </c>
      <c r="P6173" s="9">
        <v>6.0210000000000001E-5</v>
      </c>
      <c r="Q6173" s="9">
        <v>5.3100000000000003E-5</v>
      </c>
      <c r="R6173" s="10">
        <v>2.1135809039464276E-4</v>
      </c>
      <c r="S6173" s="10">
        <v>1.8494156358058505E-4</v>
      </c>
      <c r="T6173" s="10">
        <v>0</v>
      </c>
      <c r="U6173" s="10">
        <v>6.9690000000000005E-5</v>
      </c>
      <c r="V6173" s="25"/>
      <c r="W6173" s="25"/>
      <c r="X6173" s="25"/>
      <c r="Y6173" s="25"/>
      <c r="Z6173" s="25"/>
      <c r="AA6173" s="25"/>
    </row>
    <row r="6174" spans="1:27" x14ac:dyDescent="0.35">
      <c r="A6174" s="5">
        <v>6170</v>
      </c>
      <c r="B6174" s="5">
        <v>258</v>
      </c>
      <c r="C6174" s="5">
        <v>9</v>
      </c>
      <c r="D6174" s="25">
        <v>1.1415000000000001E-4</v>
      </c>
      <c r="E6174" s="25">
        <v>1.1464999999999999E-4</v>
      </c>
      <c r="F6174" s="25">
        <v>1.1422E-4</v>
      </c>
      <c r="G6174" s="25">
        <v>5.2299999999999997E-5</v>
      </c>
      <c r="H6174" s="25">
        <v>3.926E-5</v>
      </c>
      <c r="I6174" s="9">
        <v>9.6559999999999997E-5</v>
      </c>
      <c r="J6174" s="9">
        <v>9.7960000000000004E-5</v>
      </c>
      <c r="K6174" s="9">
        <v>6.1459999999999998E-5</v>
      </c>
      <c r="L6174" s="9">
        <v>6.7860000000000004E-5</v>
      </c>
      <c r="M6174" s="9">
        <v>6.6290000000000004E-5</v>
      </c>
      <c r="N6174" s="9">
        <v>7.2059999999999998E-5</v>
      </c>
      <c r="O6174" s="9">
        <v>3.5339999999999997E-5</v>
      </c>
      <c r="P6174" s="9">
        <v>4.5890000000000003E-5</v>
      </c>
      <c r="Q6174" s="9">
        <v>5.6239999999999997E-5</v>
      </c>
      <c r="R6174" s="10">
        <v>2.1159532712675561E-4</v>
      </c>
      <c r="S6174" s="10">
        <v>1.8816796814243204E-4</v>
      </c>
      <c r="T6174" s="10">
        <v>0</v>
      </c>
      <c r="U6174" s="10">
        <v>6.9690000000000005E-5</v>
      </c>
      <c r="V6174" s="25"/>
      <c r="W6174" s="25"/>
      <c r="X6174" s="25"/>
      <c r="Y6174" s="25"/>
      <c r="Z6174" s="25"/>
      <c r="AA6174" s="25"/>
    </row>
    <row r="6175" spans="1:27" x14ac:dyDescent="0.35">
      <c r="A6175" s="5">
        <v>6171</v>
      </c>
      <c r="B6175" s="5">
        <v>258</v>
      </c>
      <c r="C6175" s="5">
        <v>9</v>
      </c>
      <c r="D6175" s="25">
        <v>1.1416E-4</v>
      </c>
      <c r="E6175" s="25">
        <v>1.1794999999999999E-4</v>
      </c>
      <c r="F6175" s="25">
        <v>1.1335E-4</v>
      </c>
      <c r="G6175" s="25">
        <v>5.8959999999999998E-5</v>
      </c>
      <c r="H6175" s="25">
        <v>4.3859999999999997E-5</v>
      </c>
      <c r="I6175" s="9">
        <v>9.5390000000000007E-5</v>
      </c>
      <c r="J6175" s="9">
        <v>9.7079999999999999E-5</v>
      </c>
      <c r="K6175" s="9">
        <v>7.4179999999999998E-5</v>
      </c>
      <c r="L6175" s="9">
        <v>4.2419999999999997E-5</v>
      </c>
      <c r="M6175" s="9">
        <v>5.7259999999999997E-5</v>
      </c>
      <c r="N6175" s="9">
        <v>6.5500000000000006E-5</v>
      </c>
      <c r="O6175" s="9">
        <v>2.211E-5</v>
      </c>
      <c r="P6175" s="9">
        <v>4.1950000000000003E-5</v>
      </c>
      <c r="Q6175" s="9">
        <v>6.1370000000000004E-5</v>
      </c>
      <c r="R6175" s="10">
        <v>2.1102219815115846E-4</v>
      </c>
      <c r="S6175" s="10">
        <v>1.8975148038853263E-4</v>
      </c>
      <c r="T6175" s="10">
        <v>0</v>
      </c>
      <c r="U6175" s="10">
        <v>6.9690000000000005E-5</v>
      </c>
      <c r="V6175" s="25"/>
      <c r="W6175" s="25"/>
      <c r="X6175" s="25"/>
      <c r="Y6175" s="25"/>
      <c r="Z6175" s="25"/>
      <c r="AA6175" s="25"/>
    </row>
    <row r="6176" spans="1:27" x14ac:dyDescent="0.35">
      <c r="A6176" s="5">
        <v>6172</v>
      </c>
      <c r="B6176" s="5">
        <v>258</v>
      </c>
      <c r="C6176" s="5">
        <v>9</v>
      </c>
      <c r="D6176" s="25">
        <v>1.1415000000000001E-4</v>
      </c>
      <c r="E6176" s="25">
        <v>1.1760999999999999E-4</v>
      </c>
      <c r="F6176" s="25">
        <v>9.5630000000000004E-5</v>
      </c>
      <c r="G6176" s="25">
        <v>6.1169999999999999E-5</v>
      </c>
      <c r="H6176" s="25">
        <v>4.4839999999999998E-5</v>
      </c>
      <c r="I6176" s="9">
        <v>9.5580000000000003E-5</v>
      </c>
      <c r="J6176" s="9">
        <v>9.6940000000000004E-5</v>
      </c>
      <c r="K6176" s="9">
        <v>8.2659999999999998E-5</v>
      </c>
      <c r="L6176" s="9">
        <v>2.7189999999999999E-5</v>
      </c>
      <c r="M6176" s="9">
        <v>4.9620000000000003E-5</v>
      </c>
      <c r="N6176" s="9">
        <v>6.1870000000000002E-5</v>
      </c>
      <c r="O6176" s="9">
        <v>2.179E-5</v>
      </c>
      <c r="P6176" s="9">
        <v>5.1629999999999999E-5</v>
      </c>
      <c r="Q6176" s="9">
        <v>8.0879999999999998E-5</v>
      </c>
      <c r="R6176" s="10">
        <v>2.097002048655048E-4</v>
      </c>
      <c r="S6176" s="10">
        <v>1.8923555350059093E-4</v>
      </c>
      <c r="T6176" s="10">
        <v>0</v>
      </c>
      <c r="U6176" s="10">
        <v>6.9690000000000005E-5</v>
      </c>
      <c r="V6176" s="25"/>
      <c r="W6176" s="25"/>
      <c r="X6176" s="25"/>
      <c r="Y6176" s="25"/>
      <c r="Z6176" s="25"/>
      <c r="AA6176" s="25"/>
    </row>
    <row r="6177" spans="1:27" x14ac:dyDescent="0.35">
      <c r="A6177" s="5">
        <v>6173</v>
      </c>
      <c r="B6177" s="5">
        <v>258</v>
      </c>
      <c r="C6177" s="5">
        <v>9</v>
      </c>
      <c r="D6177" s="25">
        <v>1.1416E-4</v>
      </c>
      <c r="E6177" s="25">
        <v>1.1937E-4</v>
      </c>
      <c r="F6177" s="25">
        <v>9.7860000000000002E-5</v>
      </c>
      <c r="G6177" s="25">
        <v>5.2129999999999997E-5</v>
      </c>
      <c r="H6177" s="25">
        <v>4.0240000000000001E-5</v>
      </c>
      <c r="I6177" s="9">
        <v>1.0098999999999999E-4</v>
      </c>
      <c r="J6177" s="9">
        <v>1.0019E-4</v>
      </c>
      <c r="K6177" s="9">
        <v>7.6299999999999998E-5</v>
      </c>
      <c r="L6177" s="9">
        <v>2.3430000000000001E-5</v>
      </c>
      <c r="M6177" s="9">
        <v>4.8520000000000003E-5</v>
      </c>
      <c r="N6177" s="9">
        <v>6.4519999999999999E-5</v>
      </c>
      <c r="O6177" s="9">
        <v>2.3770000000000001E-5</v>
      </c>
      <c r="P6177" s="9">
        <v>5.9500000000000003E-5</v>
      </c>
      <c r="Q6177" s="9">
        <v>9.4549999999999994E-5</v>
      </c>
      <c r="R6177" s="10">
        <v>2.0676644711714178E-4</v>
      </c>
      <c r="S6177" s="10">
        <v>1.8953753963611955E-4</v>
      </c>
      <c r="T6177" s="10">
        <v>0</v>
      </c>
      <c r="U6177" s="10">
        <v>6.9690000000000005E-5</v>
      </c>
      <c r="V6177" s="25"/>
      <c r="W6177" s="25"/>
      <c r="X6177" s="25"/>
      <c r="Y6177" s="25"/>
      <c r="Z6177" s="25"/>
      <c r="AA6177" s="25"/>
    </row>
    <row r="6178" spans="1:27" x14ac:dyDescent="0.35">
      <c r="A6178" s="5">
        <v>6174</v>
      </c>
      <c r="B6178" s="5">
        <v>258</v>
      </c>
      <c r="C6178" s="5">
        <v>9</v>
      </c>
      <c r="D6178" s="25">
        <v>1.1415000000000001E-4</v>
      </c>
      <c r="E6178" s="25">
        <v>1.2039E-4</v>
      </c>
      <c r="F6178" s="25">
        <v>9.7739999999999996E-5</v>
      </c>
      <c r="G6178" s="25">
        <v>1.1445E-4</v>
      </c>
      <c r="H6178" s="25">
        <v>7.7910000000000005E-5</v>
      </c>
      <c r="I6178" s="9">
        <v>1.1205999999999999E-4</v>
      </c>
      <c r="J6178" s="9">
        <v>1.1029E-4</v>
      </c>
      <c r="K6178" s="9">
        <v>7.4179999999999998E-5</v>
      </c>
      <c r="L6178" s="9">
        <v>2.3620000000000001E-5</v>
      </c>
      <c r="M6178" s="9">
        <v>5.2519999999999999E-5</v>
      </c>
      <c r="N6178" s="9">
        <v>7.1260000000000006E-5</v>
      </c>
      <c r="O6178" s="9">
        <v>2.968E-5</v>
      </c>
      <c r="P6178" s="9">
        <v>6.8410000000000004E-5</v>
      </c>
      <c r="Q6178" s="9">
        <v>1.0647E-4</v>
      </c>
      <c r="R6178" s="10">
        <v>2.0678923434203691E-4</v>
      </c>
      <c r="S6178" s="10">
        <v>1.8945185567729959E-4</v>
      </c>
      <c r="T6178" s="10">
        <v>0</v>
      </c>
      <c r="U6178" s="10">
        <v>6.9690000000000005E-5</v>
      </c>
      <c r="V6178" s="25"/>
      <c r="W6178" s="25"/>
      <c r="X6178" s="25"/>
      <c r="Y6178" s="25"/>
      <c r="Z6178" s="25"/>
      <c r="AA6178" s="25"/>
    </row>
    <row r="6179" spans="1:27" x14ac:dyDescent="0.35">
      <c r="A6179" s="5">
        <v>6175</v>
      </c>
      <c r="B6179" s="5">
        <v>258</v>
      </c>
      <c r="C6179" s="5">
        <v>9</v>
      </c>
      <c r="D6179" s="25">
        <v>1.1416E-4</v>
      </c>
      <c r="E6179" s="25">
        <v>1.1658999999999999E-4</v>
      </c>
      <c r="F6179" s="25">
        <v>9.9430000000000002E-5</v>
      </c>
      <c r="G6179" s="25">
        <v>1.0980999999999999E-4</v>
      </c>
      <c r="H6179" s="25">
        <v>8.2310000000000003E-5</v>
      </c>
      <c r="I6179" s="9">
        <v>1.2106E-4</v>
      </c>
      <c r="J6179" s="9">
        <v>1.2332000000000001E-4</v>
      </c>
      <c r="K6179" s="9">
        <v>2.1299999999999999E-6</v>
      </c>
      <c r="L6179" s="9">
        <v>2.8249999999999999E-5</v>
      </c>
      <c r="M6179" s="9">
        <v>5.9410000000000002E-5</v>
      </c>
      <c r="N6179" s="9">
        <v>8.085E-5</v>
      </c>
      <c r="O6179" s="9">
        <v>4.6190000000000003E-5</v>
      </c>
      <c r="P6179" s="9">
        <v>7.9439999999999998E-5</v>
      </c>
      <c r="Q6179" s="9">
        <v>1.1222000000000001E-4</v>
      </c>
      <c r="R6179" s="10">
        <v>2.0859797618228378E-4</v>
      </c>
      <c r="S6179" s="10">
        <v>1.886028681072398E-4</v>
      </c>
      <c r="T6179" s="10">
        <v>2.6487982571144937E-5</v>
      </c>
      <c r="U6179" s="10">
        <v>6.9690000000000005E-5</v>
      </c>
      <c r="V6179" s="25"/>
      <c r="W6179" s="25"/>
      <c r="X6179" s="25"/>
      <c r="Y6179" s="25"/>
      <c r="Z6179" s="25"/>
      <c r="AA6179" s="25"/>
    </row>
    <row r="6180" spans="1:27" x14ac:dyDescent="0.35">
      <c r="A6180" s="5">
        <v>6176</v>
      </c>
      <c r="B6180" s="5">
        <v>258</v>
      </c>
      <c r="C6180" s="5">
        <v>9</v>
      </c>
      <c r="D6180" s="25">
        <v>1.1415000000000001E-4</v>
      </c>
      <c r="E6180" s="25">
        <v>1.2052E-4</v>
      </c>
      <c r="F6180" s="25">
        <v>1.0063E-4</v>
      </c>
      <c r="G6180" s="25">
        <v>1.6263000000000001E-4</v>
      </c>
      <c r="H6180" s="25">
        <v>1.1519E-4</v>
      </c>
      <c r="I6180" s="9">
        <v>1.2553999999999999E-4</v>
      </c>
      <c r="J6180" s="9">
        <v>1.3239E-4</v>
      </c>
      <c r="K6180" s="9">
        <v>0</v>
      </c>
      <c r="L6180" s="9">
        <v>4.21E-5</v>
      </c>
      <c r="M6180" s="9">
        <v>6.8330000000000005E-5</v>
      </c>
      <c r="N6180" s="9">
        <v>9.0879999999999997E-5</v>
      </c>
      <c r="O6180" s="9">
        <v>6.7860000000000004E-5</v>
      </c>
      <c r="P6180" s="9">
        <v>1.0204000000000001E-4</v>
      </c>
      <c r="Q6180" s="9">
        <v>1.3587000000000001E-4</v>
      </c>
      <c r="R6180" s="10">
        <v>2.0834413219667676E-4</v>
      </c>
      <c r="S6180" s="10">
        <v>1.882867852148303E-4</v>
      </c>
      <c r="T6180" s="10">
        <v>2.6885047780731607E-4</v>
      </c>
      <c r="U6180" s="10">
        <v>6.9690000000000005E-5</v>
      </c>
      <c r="V6180" s="25"/>
      <c r="W6180" s="25"/>
      <c r="X6180" s="25"/>
      <c r="Y6180" s="25"/>
      <c r="Z6180" s="25"/>
      <c r="AA6180" s="25"/>
    </row>
    <row r="6181" spans="1:27" x14ac:dyDescent="0.35">
      <c r="A6181" s="5">
        <v>6177</v>
      </c>
      <c r="B6181" s="5">
        <v>258</v>
      </c>
      <c r="C6181" s="5">
        <v>9</v>
      </c>
      <c r="D6181" s="25">
        <v>1.1416E-4</v>
      </c>
      <c r="E6181" s="25">
        <v>1.1181E-4</v>
      </c>
      <c r="F6181" s="25">
        <v>1.0315999999999999E-4</v>
      </c>
      <c r="G6181" s="25">
        <v>1.6508000000000001E-4</v>
      </c>
      <c r="H6181" s="25">
        <v>1.2254E-4</v>
      </c>
      <c r="I6181" s="9">
        <v>1.2941E-4</v>
      </c>
      <c r="J6181" s="9">
        <v>1.3640000000000001E-4</v>
      </c>
      <c r="K6181" s="9">
        <v>0</v>
      </c>
      <c r="L6181" s="9">
        <v>6.1820000000000001E-5</v>
      </c>
      <c r="M6181" s="9">
        <v>8.2680000000000001E-5</v>
      </c>
      <c r="N6181" s="9">
        <v>1.0442000000000001E-4</v>
      </c>
      <c r="O6181" s="9">
        <v>1.0059E-4</v>
      </c>
      <c r="P6181" s="9">
        <v>1.3955E-4</v>
      </c>
      <c r="Q6181" s="9">
        <v>1.783E-4</v>
      </c>
      <c r="R6181" s="10">
        <v>2.0747871058142132E-4</v>
      </c>
      <c r="S6181" s="10">
        <v>1.8677041250982784E-4</v>
      </c>
      <c r="T6181" s="10">
        <v>2.7712266967370503E-4</v>
      </c>
      <c r="U6181" s="10">
        <v>6.9690000000000005E-5</v>
      </c>
      <c r="V6181" s="25"/>
      <c r="W6181" s="25"/>
      <c r="X6181" s="25"/>
      <c r="Y6181" s="25"/>
      <c r="Z6181" s="25"/>
      <c r="AA6181" s="25"/>
    </row>
    <row r="6182" spans="1:27" x14ac:dyDescent="0.35">
      <c r="A6182" s="5">
        <v>6178</v>
      </c>
      <c r="B6182" s="5">
        <v>258</v>
      </c>
      <c r="C6182" s="5">
        <v>9</v>
      </c>
      <c r="D6182" s="25">
        <v>1.1415000000000001E-4</v>
      </c>
      <c r="E6182" s="25">
        <v>1.1478E-4</v>
      </c>
      <c r="F6182" s="25">
        <v>1.0086000000000001E-4</v>
      </c>
      <c r="G6182" s="25">
        <v>1.6401E-4</v>
      </c>
      <c r="H6182" s="25">
        <v>1.1848E-4</v>
      </c>
      <c r="I6182" s="9">
        <v>1.3171E-4</v>
      </c>
      <c r="J6182" s="9">
        <v>1.3673E-4</v>
      </c>
      <c r="K6182" s="9">
        <v>0</v>
      </c>
      <c r="L6182" s="9">
        <v>9.1539999999999994E-5</v>
      </c>
      <c r="M6182" s="9">
        <v>1.0678E-4</v>
      </c>
      <c r="N6182" s="9">
        <v>1.2472000000000001E-4</v>
      </c>
      <c r="O6182" s="9">
        <v>1.2767E-4</v>
      </c>
      <c r="P6182" s="9">
        <v>1.5422999999999999E-4</v>
      </c>
      <c r="Q6182" s="9">
        <v>1.8096E-4</v>
      </c>
      <c r="R6182" s="10">
        <v>2.0534514526884134E-4</v>
      </c>
      <c r="S6182" s="10">
        <v>1.8868287348873167E-4</v>
      </c>
      <c r="T6182" s="10">
        <v>2.3293643865816282E-4</v>
      </c>
      <c r="U6182" s="10">
        <v>6.9690000000000005E-5</v>
      </c>
      <c r="V6182" s="25"/>
      <c r="W6182" s="25"/>
      <c r="X6182" s="25"/>
      <c r="Y6182" s="25"/>
      <c r="Z6182" s="25"/>
      <c r="AA6182" s="25"/>
    </row>
    <row r="6183" spans="1:27" x14ac:dyDescent="0.35">
      <c r="A6183" s="5">
        <v>6179</v>
      </c>
      <c r="B6183" s="5">
        <v>258</v>
      </c>
      <c r="C6183" s="5">
        <v>9</v>
      </c>
      <c r="D6183" s="25">
        <v>1.1416E-4</v>
      </c>
      <c r="E6183" s="25">
        <v>1.2286999999999999E-4</v>
      </c>
      <c r="F6183" s="25">
        <v>9.6399999999999999E-5</v>
      </c>
      <c r="G6183" s="25">
        <v>1.6027000000000001E-4</v>
      </c>
      <c r="H6183" s="25">
        <v>1.1537E-4</v>
      </c>
      <c r="I6183" s="9">
        <v>1.3308999999999999E-4</v>
      </c>
      <c r="J6183" s="9">
        <v>1.3699E-4</v>
      </c>
      <c r="K6183" s="9">
        <v>0</v>
      </c>
      <c r="L6183" s="9">
        <v>1.1899E-4</v>
      </c>
      <c r="M6183" s="9">
        <v>1.2996000000000001E-4</v>
      </c>
      <c r="N6183" s="9">
        <v>1.4250999999999999E-4</v>
      </c>
      <c r="O6183" s="9">
        <v>1.3676000000000001E-4</v>
      </c>
      <c r="P6183" s="9">
        <v>1.5798E-4</v>
      </c>
      <c r="Q6183" s="9">
        <v>1.7951999999999999E-4</v>
      </c>
      <c r="R6183" s="10">
        <v>2.087781694916387E-4</v>
      </c>
      <c r="S6183" s="10">
        <v>1.8893513502972416E-4</v>
      </c>
      <c r="T6183" s="10">
        <v>3.998565440728667E-4</v>
      </c>
      <c r="U6183" s="10">
        <v>6.9690000000000005E-5</v>
      </c>
      <c r="V6183" s="25"/>
      <c r="W6183" s="25"/>
      <c r="X6183" s="25"/>
      <c r="Y6183" s="25"/>
      <c r="Z6183" s="25"/>
      <c r="AA6183" s="25"/>
    </row>
    <row r="6184" spans="1:27" x14ac:dyDescent="0.35">
      <c r="A6184" s="5">
        <v>6180</v>
      </c>
      <c r="B6184" s="5">
        <v>258</v>
      </c>
      <c r="C6184" s="5">
        <v>9</v>
      </c>
      <c r="D6184" s="25">
        <v>1.1415000000000001E-4</v>
      </c>
      <c r="E6184" s="25">
        <v>1.2006999999999999E-4</v>
      </c>
      <c r="F6184" s="25">
        <v>1.0034E-4</v>
      </c>
      <c r="G6184" s="25">
        <v>1.5919999999999999E-4</v>
      </c>
      <c r="H6184" s="25">
        <v>1.1896999999999999E-4</v>
      </c>
      <c r="I6184" s="9">
        <v>1.3210000000000001E-4</v>
      </c>
      <c r="J6184" s="9">
        <v>1.3616999999999999E-4</v>
      </c>
      <c r="K6184" s="9">
        <v>0</v>
      </c>
      <c r="L6184" s="9">
        <v>1.3221000000000001E-4</v>
      </c>
      <c r="M6184" s="9">
        <v>1.4552E-4</v>
      </c>
      <c r="N6184" s="9">
        <v>1.5661000000000001E-4</v>
      </c>
      <c r="O6184" s="9">
        <v>1.3818000000000001E-4</v>
      </c>
      <c r="P6184" s="9">
        <v>1.5601999999999999E-4</v>
      </c>
      <c r="Q6184" s="9">
        <v>1.7422E-4</v>
      </c>
      <c r="R6184" s="10">
        <v>1.9885966231349058E-4</v>
      </c>
      <c r="S6184" s="10">
        <v>1.7411583436160872E-4</v>
      </c>
      <c r="T6184" s="10">
        <v>4.9096943479404718E-4</v>
      </c>
      <c r="U6184" s="10">
        <v>6.9690000000000005E-5</v>
      </c>
      <c r="V6184" s="25"/>
      <c r="W6184" s="25"/>
      <c r="X6184" s="25"/>
      <c r="Y6184" s="25"/>
      <c r="Z6184" s="25"/>
      <c r="AA6184" s="25"/>
    </row>
    <row r="6185" spans="1:27" x14ac:dyDescent="0.35">
      <c r="A6185" s="5">
        <v>6181</v>
      </c>
      <c r="B6185" s="5">
        <v>258</v>
      </c>
      <c r="C6185" s="5">
        <v>9</v>
      </c>
      <c r="D6185" s="25">
        <v>1.1416E-4</v>
      </c>
      <c r="E6185" s="25">
        <v>1.2155999999999999E-4</v>
      </c>
      <c r="F6185" s="25">
        <v>1.0236E-4</v>
      </c>
      <c r="G6185" s="25">
        <v>1.6671000000000001E-4</v>
      </c>
      <c r="H6185" s="25">
        <v>1.1527E-4</v>
      </c>
      <c r="I6185" s="9">
        <v>1.3153000000000001E-4</v>
      </c>
      <c r="J6185" s="9">
        <v>1.3724000000000001E-4</v>
      </c>
      <c r="K6185" s="9">
        <v>0</v>
      </c>
      <c r="L6185" s="9">
        <v>1.3668999999999999E-4</v>
      </c>
      <c r="M6185" s="9">
        <v>1.5262000000000001E-4</v>
      </c>
      <c r="N6185" s="9">
        <v>1.6610999999999999E-4</v>
      </c>
      <c r="O6185" s="9">
        <v>1.2922000000000001E-4</v>
      </c>
      <c r="P6185" s="9">
        <v>1.4773999999999999E-4</v>
      </c>
      <c r="Q6185" s="9">
        <v>1.6656E-4</v>
      </c>
      <c r="R6185" s="10">
        <v>2.0222056929604964E-4</v>
      </c>
      <c r="S6185" s="10">
        <v>1.556556386334744E-4</v>
      </c>
      <c r="T6185" s="10">
        <v>1.0379691824964355E-4</v>
      </c>
      <c r="U6185" s="10">
        <v>6.9690000000000005E-5</v>
      </c>
      <c r="V6185" s="25"/>
      <c r="W6185" s="25"/>
      <c r="X6185" s="25"/>
      <c r="Y6185" s="25"/>
      <c r="Z6185" s="25"/>
      <c r="AA6185" s="25"/>
    </row>
    <row r="6186" spans="1:27" x14ac:dyDescent="0.35">
      <c r="A6186" s="5">
        <v>6182</v>
      </c>
      <c r="B6186" s="5">
        <v>258</v>
      </c>
      <c r="C6186" s="5">
        <v>9</v>
      </c>
      <c r="D6186" s="25">
        <v>1.1415000000000001E-4</v>
      </c>
      <c r="E6186" s="25">
        <v>1.1212E-4</v>
      </c>
      <c r="F6186" s="25">
        <v>1.0864E-4</v>
      </c>
      <c r="G6186" s="25">
        <v>1.5694999999999999E-4</v>
      </c>
      <c r="H6186" s="25">
        <v>1.2204E-4</v>
      </c>
      <c r="I6186" s="9">
        <v>1.3101000000000001E-4</v>
      </c>
      <c r="J6186" s="9">
        <v>1.3689E-4</v>
      </c>
      <c r="K6186" s="9">
        <v>0</v>
      </c>
      <c r="L6186" s="9">
        <v>1.3091000000000001E-4</v>
      </c>
      <c r="M6186" s="9">
        <v>1.5223E-4</v>
      </c>
      <c r="N6186" s="9">
        <v>1.7027000000000001E-4</v>
      </c>
      <c r="O6186" s="9">
        <v>1.1276E-4</v>
      </c>
      <c r="P6186" s="9">
        <v>1.3699E-4</v>
      </c>
      <c r="Q6186" s="9">
        <v>1.6132000000000001E-4</v>
      </c>
      <c r="R6186" s="10">
        <v>2.0552532477754345E-4</v>
      </c>
      <c r="S6186" s="10">
        <v>1.701048607287511E-4</v>
      </c>
      <c r="T6186" s="10">
        <v>4.7639340851050234E-5</v>
      </c>
      <c r="U6186" s="10">
        <v>6.9690000000000005E-5</v>
      </c>
      <c r="V6186" s="25"/>
      <c r="W6186" s="25"/>
      <c r="X6186" s="25"/>
      <c r="Y6186" s="25"/>
      <c r="Z6186" s="25"/>
      <c r="AA6186" s="25"/>
    </row>
    <row r="6187" spans="1:27" x14ac:dyDescent="0.35">
      <c r="A6187" s="5">
        <v>6183</v>
      </c>
      <c r="B6187" s="5">
        <v>258</v>
      </c>
      <c r="C6187" s="5">
        <v>9</v>
      </c>
      <c r="D6187" s="25">
        <v>1.1416E-4</v>
      </c>
      <c r="E6187" s="25">
        <v>1.1391E-4</v>
      </c>
      <c r="F6187" s="25">
        <v>1.0342E-4</v>
      </c>
      <c r="G6187" s="25">
        <v>1.5908E-4</v>
      </c>
      <c r="H6187" s="25">
        <v>1.2274000000000001E-4</v>
      </c>
      <c r="I6187" s="9">
        <v>1.2912000000000001E-4</v>
      </c>
      <c r="J6187" s="9">
        <v>1.3656000000000001E-4</v>
      </c>
      <c r="K6187" s="9">
        <v>0</v>
      </c>
      <c r="L6187" s="9">
        <v>1.1697999999999999E-4</v>
      </c>
      <c r="M6187" s="9">
        <v>1.4637E-4</v>
      </c>
      <c r="N6187" s="9">
        <v>1.6991E-4</v>
      </c>
      <c r="O6187" s="9">
        <v>1.2611E-4</v>
      </c>
      <c r="P6187" s="9">
        <v>1.3859000000000001E-4</v>
      </c>
      <c r="Q6187" s="9">
        <v>1.5144999999999999E-4</v>
      </c>
      <c r="R6187" s="10">
        <v>2.1082940765316491E-4</v>
      </c>
      <c r="S6187" s="10">
        <v>1.6821779585198432E-4</v>
      </c>
      <c r="T6187" s="10">
        <v>5.0659751419700968E-5</v>
      </c>
      <c r="U6187" s="10">
        <v>6.9690000000000005E-5</v>
      </c>
      <c r="V6187" s="25"/>
      <c r="W6187" s="25"/>
      <c r="X6187" s="25"/>
      <c r="Y6187" s="25"/>
      <c r="Z6187" s="25"/>
      <c r="AA6187" s="25"/>
    </row>
    <row r="6188" spans="1:27" x14ac:dyDescent="0.35">
      <c r="A6188" s="5">
        <v>6184</v>
      </c>
      <c r="B6188" s="5">
        <v>258</v>
      </c>
      <c r="C6188" s="5">
        <v>9</v>
      </c>
      <c r="D6188" s="25">
        <v>1.1415000000000001E-4</v>
      </c>
      <c r="E6188" s="25">
        <v>1.2092E-4</v>
      </c>
      <c r="F6188" s="25">
        <v>9.6249999999999995E-5</v>
      </c>
      <c r="G6188" s="25">
        <v>1.616E-4</v>
      </c>
      <c r="H6188" s="25">
        <v>1.2082999999999999E-4</v>
      </c>
      <c r="I6188" s="9">
        <v>1.2778999999999999E-4</v>
      </c>
      <c r="J6188" s="9">
        <v>1.3626999999999999E-4</v>
      </c>
      <c r="K6188" s="9">
        <v>0</v>
      </c>
      <c r="L6188" s="9">
        <v>1.2451000000000001E-4</v>
      </c>
      <c r="M6188" s="9">
        <v>1.4192999999999999E-4</v>
      </c>
      <c r="N6188" s="9">
        <v>1.6583E-4</v>
      </c>
      <c r="O6188" s="9">
        <v>1.3258000000000001E-4</v>
      </c>
      <c r="P6188" s="9">
        <v>1.2022E-4</v>
      </c>
      <c r="Q6188" s="9">
        <v>1.0867E-4</v>
      </c>
      <c r="R6188" s="10">
        <v>2.1123316832884122E-4</v>
      </c>
      <c r="S6188" s="10">
        <v>1.6037941452162348E-4</v>
      </c>
      <c r="T6188" s="10">
        <v>8.0948700099709743E-5</v>
      </c>
      <c r="U6188" s="10">
        <v>6.9690000000000005E-5</v>
      </c>
      <c r="V6188" s="25"/>
      <c r="W6188" s="25"/>
      <c r="X6188" s="25"/>
      <c r="Y6188" s="25"/>
      <c r="Z6188" s="25"/>
      <c r="AA6188" s="25"/>
    </row>
    <row r="6189" spans="1:27" x14ac:dyDescent="0.35">
      <c r="A6189" s="5">
        <v>6185</v>
      </c>
      <c r="B6189" s="5">
        <v>258</v>
      </c>
      <c r="C6189" s="5">
        <v>9</v>
      </c>
      <c r="D6189" s="25">
        <v>1.1416E-4</v>
      </c>
      <c r="E6189" s="25">
        <v>1.1599000000000001E-4</v>
      </c>
      <c r="F6189" s="25">
        <v>1.1079E-4</v>
      </c>
      <c r="G6189" s="25">
        <v>1.5776000000000001E-4</v>
      </c>
      <c r="H6189" s="25">
        <v>1.1900000000000001E-4</v>
      </c>
      <c r="I6189" s="9">
        <v>1.2778E-4</v>
      </c>
      <c r="J6189" s="9">
        <v>1.3655000000000001E-4</v>
      </c>
      <c r="K6189" s="9">
        <v>0</v>
      </c>
      <c r="L6189" s="9">
        <v>1.3055E-4</v>
      </c>
      <c r="M6189" s="9">
        <v>1.3312E-4</v>
      </c>
      <c r="N6189" s="9">
        <v>1.5190000000000001E-4</v>
      </c>
      <c r="O6189" s="9">
        <v>1.3870000000000001E-4</v>
      </c>
      <c r="P6189" s="9">
        <v>1.2196E-4</v>
      </c>
      <c r="Q6189" s="9">
        <v>1.0614E-4</v>
      </c>
      <c r="R6189" s="10">
        <v>2.1173288080237384E-4</v>
      </c>
      <c r="S6189" s="10">
        <v>1.6350410091675959E-4</v>
      </c>
      <c r="T6189" s="10">
        <v>7.9166997236179831E-5</v>
      </c>
      <c r="U6189" s="10">
        <v>6.9690000000000005E-5</v>
      </c>
      <c r="V6189" s="25"/>
      <c r="W6189" s="25"/>
      <c r="X6189" s="25"/>
      <c r="Y6189" s="25"/>
      <c r="Z6189" s="25"/>
      <c r="AA6189" s="25"/>
    </row>
    <row r="6190" spans="1:27" x14ac:dyDescent="0.35">
      <c r="A6190" s="5">
        <v>6186</v>
      </c>
      <c r="B6190" s="5">
        <v>258</v>
      </c>
      <c r="C6190" s="5">
        <v>9</v>
      </c>
      <c r="D6190" s="25">
        <v>1.1415000000000001E-4</v>
      </c>
      <c r="E6190" s="25">
        <v>1.1854E-4</v>
      </c>
      <c r="F6190" s="25">
        <v>1.1115E-4</v>
      </c>
      <c r="G6190" s="25">
        <v>1.6456000000000001E-4</v>
      </c>
      <c r="H6190" s="25">
        <v>1.2249E-4</v>
      </c>
      <c r="I6190" s="9">
        <v>1.2511999999999999E-4</v>
      </c>
      <c r="J6190" s="9">
        <v>1.3197999999999999E-4</v>
      </c>
      <c r="K6190" s="9">
        <v>0</v>
      </c>
      <c r="L6190" s="9">
        <v>1.3663999999999999E-4</v>
      </c>
      <c r="M6190" s="9">
        <v>1.2685999999999999E-4</v>
      </c>
      <c r="N6190" s="9">
        <v>1.384E-4</v>
      </c>
      <c r="O6190" s="9">
        <v>1.4118E-4</v>
      </c>
      <c r="P6190" s="9">
        <v>1.2924E-4</v>
      </c>
      <c r="Q6190" s="9">
        <v>1.1815E-4</v>
      </c>
      <c r="R6190" s="10">
        <v>2.1241156976573126E-4</v>
      </c>
      <c r="S6190" s="10">
        <v>1.542533209665079E-4</v>
      </c>
      <c r="T6190" s="10">
        <v>2.2228864297373391E-5</v>
      </c>
      <c r="U6190" s="10">
        <v>6.9690000000000005E-5</v>
      </c>
      <c r="V6190" s="25"/>
      <c r="W6190" s="25"/>
      <c r="X6190" s="25"/>
      <c r="Y6190" s="25"/>
      <c r="Z6190" s="25"/>
      <c r="AA6190" s="25"/>
    </row>
    <row r="6191" spans="1:27" x14ac:dyDescent="0.35">
      <c r="A6191" s="5">
        <v>6187</v>
      </c>
      <c r="B6191" s="5">
        <v>258</v>
      </c>
      <c r="C6191" s="5">
        <v>9</v>
      </c>
      <c r="D6191" s="25">
        <v>1.1416E-4</v>
      </c>
      <c r="E6191" s="25">
        <v>1.1826E-4</v>
      </c>
      <c r="F6191" s="25">
        <v>1.0472E-4</v>
      </c>
      <c r="G6191" s="25">
        <v>1.0666999999999999E-4</v>
      </c>
      <c r="H6191" s="25">
        <v>8.3830000000000002E-5</v>
      </c>
      <c r="I6191" s="9">
        <v>1.2232000000000001E-4</v>
      </c>
      <c r="J6191" s="9">
        <v>1.2847999999999999E-4</v>
      </c>
      <c r="K6191" s="9">
        <v>0</v>
      </c>
      <c r="L6191" s="9">
        <v>1.4008E-4</v>
      </c>
      <c r="M6191" s="9">
        <v>1.2629000000000001E-4</v>
      </c>
      <c r="N6191" s="9">
        <v>1.2954000000000001E-4</v>
      </c>
      <c r="O6191" s="9">
        <v>1.4187999999999999E-4</v>
      </c>
      <c r="P6191" s="9">
        <v>1.2422E-4</v>
      </c>
      <c r="Q6191" s="9">
        <v>1.0752E-4</v>
      </c>
      <c r="R6191" s="10">
        <v>2.1210616333217427E-4</v>
      </c>
      <c r="S6191" s="10">
        <v>1.4411926238611008E-4</v>
      </c>
      <c r="T6191" s="10">
        <v>0</v>
      </c>
      <c r="U6191" s="10">
        <v>6.9690000000000005E-5</v>
      </c>
      <c r="V6191" s="25"/>
      <c r="W6191" s="25"/>
      <c r="X6191" s="25"/>
      <c r="Y6191" s="25"/>
      <c r="Z6191" s="25"/>
      <c r="AA6191" s="25"/>
    </row>
    <row r="6192" spans="1:27" x14ac:dyDescent="0.35">
      <c r="A6192" s="5">
        <v>6188</v>
      </c>
      <c r="B6192" s="5">
        <v>258</v>
      </c>
      <c r="C6192" s="5">
        <v>9</v>
      </c>
      <c r="D6192" s="25">
        <v>1.1415000000000001E-4</v>
      </c>
      <c r="E6192" s="25">
        <v>1.2142E-4</v>
      </c>
      <c r="F6192" s="25">
        <v>1.1292E-4</v>
      </c>
      <c r="G6192" s="25">
        <v>1.048E-4</v>
      </c>
      <c r="H6192" s="25">
        <v>7.8899999999999993E-5</v>
      </c>
      <c r="I6192" s="9">
        <v>1.2516E-4</v>
      </c>
      <c r="J6192" s="9">
        <v>1.3176E-4</v>
      </c>
      <c r="K6192" s="9">
        <v>0</v>
      </c>
      <c r="L6192" s="9">
        <v>1.4143000000000001E-4</v>
      </c>
      <c r="M6192" s="9">
        <v>1.2569E-4</v>
      </c>
      <c r="N6192" s="9">
        <v>1.2061E-4</v>
      </c>
      <c r="O6192" s="9">
        <v>1.4285E-4</v>
      </c>
      <c r="P6192" s="9">
        <v>1.2155E-4</v>
      </c>
      <c r="Q6192" s="9">
        <v>1.0127E-4</v>
      </c>
      <c r="R6192" s="10">
        <v>2.0782570752664401E-4</v>
      </c>
      <c r="S6192" s="10">
        <v>1.3347116965500711E-4</v>
      </c>
      <c r="T6192" s="10">
        <v>0</v>
      </c>
      <c r="U6192" s="10">
        <v>6.9690000000000005E-5</v>
      </c>
      <c r="V6192" s="25"/>
      <c r="W6192" s="25"/>
      <c r="X6192" s="25"/>
      <c r="Y6192" s="25"/>
      <c r="Z6192" s="25"/>
      <c r="AA6192" s="25"/>
    </row>
    <row r="6193" spans="1:27" x14ac:dyDescent="0.35">
      <c r="A6193" s="5">
        <v>6189</v>
      </c>
      <c r="B6193" s="5">
        <v>258</v>
      </c>
      <c r="C6193" s="5">
        <v>9</v>
      </c>
      <c r="D6193" s="25">
        <v>1.1416E-4</v>
      </c>
      <c r="E6193" s="25">
        <v>1.1862999999999999E-4</v>
      </c>
      <c r="F6193" s="25">
        <v>1.177E-4</v>
      </c>
      <c r="G6193" s="25">
        <v>6.2379999999999996E-5</v>
      </c>
      <c r="H6193" s="25">
        <v>4.3630000000000001E-5</v>
      </c>
      <c r="I6193" s="9">
        <v>1.2111E-4</v>
      </c>
      <c r="J6193" s="9">
        <v>1.2826E-4</v>
      </c>
      <c r="K6193" s="9">
        <v>0</v>
      </c>
      <c r="L6193" s="9">
        <v>1.4253000000000001E-4</v>
      </c>
      <c r="M6193" s="9">
        <v>1.2406E-4</v>
      </c>
      <c r="N6193" s="9">
        <v>1.1292E-4</v>
      </c>
      <c r="O6193" s="9">
        <v>8.4980000000000003E-5</v>
      </c>
      <c r="P6193" s="9">
        <v>8.6719999999999996E-5</v>
      </c>
      <c r="Q6193" s="9">
        <v>8.8729999999999999E-5</v>
      </c>
      <c r="R6193" s="10">
        <v>1.8925002520054973E-4</v>
      </c>
      <c r="S6193" s="10">
        <v>1.3254848156122592E-4</v>
      </c>
      <c r="T6193" s="10">
        <v>0</v>
      </c>
      <c r="U6193" s="10">
        <v>6.9690000000000005E-5</v>
      </c>
      <c r="V6193" s="25"/>
      <c r="W6193" s="25"/>
      <c r="X6193" s="25"/>
      <c r="Y6193" s="25"/>
      <c r="Z6193" s="25"/>
      <c r="AA6193" s="25"/>
    </row>
    <row r="6194" spans="1:27" x14ac:dyDescent="0.35">
      <c r="A6194" s="5">
        <v>6190</v>
      </c>
      <c r="B6194" s="5">
        <v>258</v>
      </c>
      <c r="C6194" s="5">
        <v>9</v>
      </c>
      <c r="D6194" s="25">
        <v>1.1415000000000001E-4</v>
      </c>
      <c r="E6194" s="25">
        <v>1.2286E-4</v>
      </c>
      <c r="F6194" s="25">
        <v>9.9240000000000005E-5</v>
      </c>
      <c r="G6194" s="25">
        <v>5.5909999999999998E-5</v>
      </c>
      <c r="H6194" s="25">
        <v>4.3430000000000003E-5</v>
      </c>
      <c r="I6194" s="9">
        <v>1.1692999999999999E-4</v>
      </c>
      <c r="J6194" s="9">
        <v>1.205E-4</v>
      </c>
      <c r="K6194" s="9">
        <v>1.484E-5</v>
      </c>
      <c r="L6194" s="9">
        <v>9.7629999999999999E-5</v>
      </c>
      <c r="M6194" s="9">
        <v>1.1013E-4</v>
      </c>
      <c r="N6194" s="9">
        <v>1.0553E-4</v>
      </c>
      <c r="O6194" s="9">
        <v>8.7960000000000005E-5</v>
      </c>
      <c r="P6194" s="9">
        <v>8.8300000000000005E-5</v>
      </c>
      <c r="Q6194" s="9">
        <v>8.8960000000000002E-5</v>
      </c>
      <c r="R6194" s="10">
        <v>1.7283934441566926E-4</v>
      </c>
      <c r="S6194" s="10">
        <v>1.284407959497404E-4</v>
      </c>
      <c r="T6194" s="10">
        <v>0</v>
      </c>
      <c r="U6194" s="10">
        <v>6.9690000000000005E-5</v>
      </c>
      <c r="V6194" s="25"/>
      <c r="W6194" s="25"/>
      <c r="X6194" s="25"/>
      <c r="Y6194" s="25"/>
      <c r="Z6194" s="25"/>
      <c r="AA6194" s="25"/>
    </row>
    <row r="6195" spans="1:27" x14ac:dyDescent="0.35">
      <c r="A6195" s="5">
        <v>6191</v>
      </c>
      <c r="B6195" s="5">
        <v>258</v>
      </c>
      <c r="C6195" s="5">
        <v>9</v>
      </c>
      <c r="D6195" s="25">
        <v>1.1416E-4</v>
      </c>
      <c r="E6195" s="25">
        <v>1.2181E-4</v>
      </c>
      <c r="F6195" s="25">
        <v>1.0728E-4</v>
      </c>
      <c r="G6195" s="25">
        <v>5.8999999999999998E-5</v>
      </c>
      <c r="H6195" s="25">
        <v>4.0370000000000001E-5</v>
      </c>
      <c r="I6195" s="9">
        <v>1.0836E-4</v>
      </c>
      <c r="J6195" s="9">
        <v>1.1312E-4</v>
      </c>
      <c r="K6195" s="9">
        <v>4.4509999999999999E-5</v>
      </c>
      <c r="L6195" s="9">
        <v>9.1340000000000003E-5</v>
      </c>
      <c r="M6195" s="9">
        <v>9.8540000000000002E-5</v>
      </c>
      <c r="N6195" s="9">
        <v>9.9970000000000007E-5</v>
      </c>
      <c r="O6195" s="9">
        <v>8.5199999999999997E-5</v>
      </c>
      <c r="P6195" s="9">
        <v>7.6069999999999995E-5</v>
      </c>
      <c r="Q6195" s="9">
        <v>6.7390000000000004E-5</v>
      </c>
      <c r="R6195" s="10">
        <v>1.5469278214457339E-4</v>
      </c>
      <c r="S6195" s="10">
        <v>1.1972453296558138E-4</v>
      </c>
      <c r="T6195" s="10">
        <v>0</v>
      </c>
      <c r="U6195" s="10">
        <v>6.9690000000000005E-5</v>
      </c>
      <c r="V6195" s="25"/>
      <c r="W6195" s="25"/>
      <c r="X6195" s="25"/>
      <c r="Y6195" s="25"/>
      <c r="Z6195" s="25"/>
      <c r="AA6195" s="25"/>
    </row>
    <row r="6196" spans="1:27" x14ac:dyDescent="0.35">
      <c r="A6196" s="5">
        <v>6192</v>
      </c>
      <c r="B6196" s="5">
        <v>258</v>
      </c>
      <c r="C6196" s="5">
        <v>9</v>
      </c>
      <c r="D6196" s="25">
        <v>1.1415000000000001E-4</v>
      </c>
      <c r="E6196" s="25">
        <v>1.183E-4</v>
      </c>
      <c r="F6196" s="25">
        <v>1.1728E-4</v>
      </c>
      <c r="G6196" s="25">
        <v>5.4289999999999997E-5</v>
      </c>
      <c r="H6196" s="25">
        <v>4.5540000000000001E-5</v>
      </c>
      <c r="I6196" s="9">
        <v>1.0204000000000001E-4</v>
      </c>
      <c r="J6196" s="9">
        <v>1.0495E-4</v>
      </c>
      <c r="K6196" s="9">
        <v>5.0869999999999999E-5</v>
      </c>
      <c r="L6196" s="9">
        <v>8.6760000000000003E-5</v>
      </c>
      <c r="M6196" s="9">
        <v>8.7750000000000005E-5</v>
      </c>
      <c r="N6196" s="9">
        <v>9.0829999999999996E-5</v>
      </c>
      <c r="O6196" s="9">
        <v>7.9389999999999997E-5</v>
      </c>
      <c r="P6196" s="9">
        <v>6.902E-5</v>
      </c>
      <c r="Q6196" s="9">
        <v>5.9079999999999997E-5</v>
      </c>
      <c r="R6196" s="10">
        <v>1.6313211537148366E-4</v>
      </c>
      <c r="S6196" s="10">
        <v>1.2139774495498499E-4</v>
      </c>
      <c r="T6196" s="10">
        <v>0</v>
      </c>
      <c r="U6196" s="10">
        <v>6.9690000000000005E-5</v>
      </c>
      <c r="V6196" s="25"/>
      <c r="W6196" s="25"/>
      <c r="X6196" s="25"/>
      <c r="Y6196" s="25"/>
      <c r="Z6196" s="25"/>
      <c r="AA6196" s="25"/>
    </row>
    <row r="6197" spans="1:27" x14ac:dyDescent="0.35">
      <c r="A6197" s="5">
        <v>6193</v>
      </c>
      <c r="B6197" s="5">
        <v>259</v>
      </c>
      <c r="C6197" s="5">
        <v>9</v>
      </c>
      <c r="D6197" s="25">
        <v>1.1416E-4</v>
      </c>
      <c r="E6197" s="25">
        <v>1.1230000000000001E-4</v>
      </c>
      <c r="F6197" s="25">
        <v>1.2197E-4</v>
      </c>
      <c r="G6197" s="25">
        <v>6.0659999999999999E-5</v>
      </c>
      <c r="H6197" s="25">
        <v>1.5150000000000001E-5</v>
      </c>
      <c r="I6197" s="9">
        <v>9.8800000000000003E-5</v>
      </c>
      <c r="J6197" s="9">
        <v>9.9510000000000001E-5</v>
      </c>
      <c r="K6197" s="9">
        <v>5.9349999999999999E-5</v>
      </c>
      <c r="L6197" s="9">
        <v>8.0799999999999999E-5</v>
      </c>
      <c r="M6197" s="9">
        <v>7.8560000000000007E-5</v>
      </c>
      <c r="N6197" s="9">
        <v>8.1459999999999996E-5</v>
      </c>
      <c r="O6197" s="9">
        <v>6.8250000000000006E-5</v>
      </c>
      <c r="P6197" s="9">
        <v>6.0770000000000003E-5</v>
      </c>
      <c r="Q6197" s="9">
        <v>5.359E-5</v>
      </c>
      <c r="R6197" s="10">
        <v>1.3627257362911982E-4</v>
      </c>
      <c r="S6197" s="10">
        <v>1.0832502865781667E-4</v>
      </c>
      <c r="T6197" s="10">
        <v>0</v>
      </c>
      <c r="U6197" s="10">
        <v>7.2379999999999995E-5</v>
      </c>
      <c r="V6197" s="25"/>
      <c r="W6197" s="25"/>
      <c r="X6197" s="25"/>
      <c r="Y6197" s="25"/>
      <c r="Z6197" s="25"/>
      <c r="AA6197" s="25"/>
    </row>
    <row r="6198" spans="1:27" x14ac:dyDescent="0.35">
      <c r="A6198" s="5">
        <v>6194</v>
      </c>
      <c r="B6198" s="5">
        <v>259</v>
      </c>
      <c r="C6198" s="5">
        <v>9</v>
      </c>
      <c r="D6198" s="25">
        <v>1.1415000000000001E-4</v>
      </c>
      <c r="E6198" s="25">
        <v>1.1411E-4</v>
      </c>
      <c r="F6198" s="25">
        <v>1.1781999999999999E-4</v>
      </c>
      <c r="G6198" s="25">
        <v>5.5949999999999998E-5</v>
      </c>
      <c r="H6198" s="25">
        <v>1.49E-5</v>
      </c>
      <c r="I6198" s="9">
        <v>9.5550000000000005E-5</v>
      </c>
      <c r="J6198" s="9">
        <v>9.7209999999999999E-5</v>
      </c>
      <c r="K6198" s="9">
        <v>6.7819999999999998E-5</v>
      </c>
      <c r="L6198" s="9">
        <v>7.1169999999999998E-5</v>
      </c>
      <c r="M6198" s="9">
        <v>6.9989999999999999E-5</v>
      </c>
      <c r="N6198" s="9">
        <v>7.237E-5</v>
      </c>
      <c r="O6198" s="9">
        <v>3.5269999999999999E-5</v>
      </c>
      <c r="P6198" s="9">
        <v>4.579E-5</v>
      </c>
      <c r="Q6198" s="9">
        <v>5.6119999999999998E-5</v>
      </c>
      <c r="R6198" s="10">
        <v>1.3370788752667051E-4</v>
      </c>
      <c r="S6198" s="10">
        <v>9.3558468416596853E-5</v>
      </c>
      <c r="T6198" s="10">
        <v>0</v>
      </c>
      <c r="U6198" s="10">
        <v>7.2379999999999995E-5</v>
      </c>
      <c r="V6198" s="25"/>
      <c r="W6198" s="25"/>
      <c r="X6198" s="25"/>
      <c r="Y6198" s="25"/>
      <c r="Z6198" s="25"/>
      <c r="AA6198" s="25"/>
    </row>
    <row r="6199" spans="1:27" x14ac:dyDescent="0.35">
      <c r="A6199" s="5">
        <v>6195</v>
      </c>
      <c r="B6199" s="5">
        <v>259</v>
      </c>
      <c r="C6199" s="5">
        <v>9</v>
      </c>
      <c r="D6199" s="25">
        <v>1.1416E-4</v>
      </c>
      <c r="E6199" s="25">
        <v>1.1908000000000001E-4</v>
      </c>
      <c r="F6199" s="25">
        <v>1.1831E-4</v>
      </c>
      <c r="G6199" s="25">
        <v>5.9339999999999998E-5</v>
      </c>
      <c r="H6199" s="25">
        <v>1.309E-5</v>
      </c>
      <c r="I6199" s="9">
        <v>9.4939999999999996E-5</v>
      </c>
      <c r="J6199" s="9">
        <v>9.6100000000000005E-5</v>
      </c>
      <c r="K6199" s="9">
        <v>8.4779999999999998E-5</v>
      </c>
      <c r="L6199" s="9">
        <v>4.3420000000000001E-5</v>
      </c>
      <c r="M6199" s="9">
        <v>5.9259999999999998E-5</v>
      </c>
      <c r="N6199" s="9">
        <v>6.5720000000000001E-5</v>
      </c>
      <c r="O6199" s="9">
        <v>2.2330000000000001E-5</v>
      </c>
      <c r="P6199" s="9">
        <v>4.2370000000000003E-5</v>
      </c>
      <c r="Q6199" s="9">
        <v>6.1970000000000005E-5</v>
      </c>
      <c r="R6199" s="10">
        <v>1.4942090803061981E-4</v>
      </c>
      <c r="S6199" s="10">
        <v>7.7346898141192495E-5</v>
      </c>
      <c r="T6199" s="10">
        <v>0</v>
      </c>
      <c r="U6199" s="10">
        <v>7.2379999999999995E-5</v>
      </c>
      <c r="V6199" s="25"/>
      <c r="W6199" s="25"/>
      <c r="X6199" s="25"/>
      <c r="Y6199" s="25"/>
      <c r="Z6199" s="25"/>
      <c r="AA6199" s="25"/>
    </row>
    <row r="6200" spans="1:27" x14ac:dyDescent="0.35">
      <c r="A6200" s="5">
        <v>6196</v>
      </c>
      <c r="B6200" s="5">
        <v>259</v>
      </c>
      <c r="C6200" s="5">
        <v>9</v>
      </c>
      <c r="D6200" s="25">
        <v>1.1415000000000001E-4</v>
      </c>
      <c r="E6200" s="25">
        <v>1.1187E-4</v>
      </c>
      <c r="F6200" s="25">
        <v>1.1935E-4</v>
      </c>
      <c r="G6200" s="25">
        <v>6.1509999999999999E-5</v>
      </c>
      <c r="H6200" s="25">
        <v>1.524E-5</v>
      </c>
      <c r="I6200" s="9">
        <v>9.5840000000000004E-5</v>
      </c>
      <c r="J6200" s="9">
        <v>9.6280000000000007E-5</v>
      </c>
      <c r="K6200" s="9">
        <v>8.0539999999999998E-5</v>
      </c>
      <c r="L6200" s="9">
        <v>2.7699999999999999E-5</v>
      </c>
      <c r="M6200" s="9">
        <v>5.0599999999999997E-5</v>
      </c>
      <c r="N6200" s="9">
        <v>6.2150000000000006E-5</v>
      </c>
      <c r="O6200" s="9">
        <v>2.1719999999999999E-5</v>
      </c>
      <c r="P6200" s="9">
        <v>5.1480000000000002E-5</v>
      </c>
      <c r="Q6200" s="9">
        <v>8.064E-5</v>
      </c>
      <c r="R6200" s="10">
        <v>1.7334544951473751E-4</v>
      </c>
      <c r="S6200" s="10">
        <v>6.1443471455881429E-5</v>
      </c>
      <c r="T6200" s="10">
        <v>0</v>
      </c>
      <c r="U6200" s="10">
        <v>7.2379999999999995E-5</v>
      </c>
      <c r="V6200" s="25"/>
      <c r="W6200" s="25"/>
      <c r="X6200" s="25"/>
      <c r="Y6200" s="25"/>
      <c r="Z6200" s="25"/>
      <c r="AA6200" s="25"/>
    </row>
    <row r="6201" spans="1:27" x14ac:dyDescent="0.35">
      <c r="A6201" s="5">
        <v>6197</v>
      </c>
      <c r="B6201" s="5">
        <v>259</v>
      </c>
      <c r="C6201" s="5">
        <v>9</v>
      </c>
      <c r="D6201" s="25">
        <v>1.1416E-4</v>
      </c>
      <c r="E6201" s="25">
        <v>1.1707E-4</v>
      </c>
      <c r="F6201" s="25">
        <v>1.3083999999999999E-4</v>
      </c>
      <c r="G6201" s="25">
        <v>5.2689999999999999E-5</v>
      </c>
      <c r="H6201" s="25">
        <v>1.312E-5</v>
      </c>
      <c r="I6201" s="9">
        <v>1.0019E-4</v>
      </c>
      <c r="J6201" s="9">
        <v>9.9350000000000003E-5</v>
      </c>
      <c r="K6201" s="9">
        <v>7.6299999999999998E-5</v>
      </c>
      <c r="L6201" s="9">
        <v>2.3419999999999999E-5</v>
      </c>
      <c r="M6201" s="9">
        <v>4.8909999999999998E-5</v>
      </c>
      <c r="N6201" s="9">
        <v>6.4679999999999997E-5</v>
      </c>
      <c r="O6201" s="9">
        <v>2.332E-5</v>
      </c>
      <c r="P6201" s="9">
        <v>5.838E-5</v>
      </c>
      <c r="Q6201" s="9">
        <v>9.2769999999999994E-5</v>
      </c>
      <c r="R6201" s="10">
        <v>1.7851745507630533E-4</v>
      </c>
      <c r="S6201" s="10">
        <v>5.6994704056627658E-5</v>
      </c>
      <c r="T6201" s="10">
        <v>0</v>
      </c>
      <c r="U6201" s="10">
        <v>7.2379999999999995E-5</v>
      </c>
      <c r="V6201" s="25"/>
      <c r="W6201" s="25"/>
      <c r="X6201" s="25"/>
      <c r="Y6201" s="25"/>
      <c r="Z6201" s="25"/>
      <c r="AA6201" s="25"/>
    </row>
    <row r="6202" spans="1:27" x14ac:dyDescent="0.35">
      <c r="A6202" s="5">
        <v>6198</v>
      </c>
      <c r="B6202" s="5">
        <v>259</v>
      </c>
      <c r="C6202" s="5">
        <v>9</v>
      </c>
      <c r="D6202" s="25">
        <v>1.1415000000000001E-4</v>
      </c>
      <c r="E6202" s="25">
        <v>1.1586000000000001E-4</v>
      </c>
      <c r="F6202" s="25">
        <v>1.2079E-4</v>
      </c>
      <c r="G6202" s="25">
        <v>1.0503E-4</v>
      </c>
      <c r="H6202" s="25">
        <v>2.7970000000000002E-5</v>
      </c>
      <c r="I6202" s="9">
        <v>1.1163E-4</v>
      </c>
      <c r="J6202" s="9">
        <v>1.0975E-4</v>
      </c>
      <c r="K6202" s="9">
        <v>6.9939999999999998E-5</v>
      </c>
      <c r="L6202" s="9">
        <v>2.3269999999999999E-5</v>
      </c>
      <c r="M6202" s="9">
        <v>5.223E-5</v>
      </c>
      <c r="N6202" s="9">
        <v>7.0989999999999996E-5</v>
      </c>
      <c r="O6202" s="9">
        <v>3.0049999999999999E-5</v>
      </c>
      <c r="P6202" s="9">
        <v>6.9270000000000006E-5</v>
      </c>
      <c r="Q6202" s="9">
        <v>1.0781E-4</v>
      </c>
      <c r="R6202" s="10">
        <v>1.686885469133598E-4</v>
      </c>
      <c r="S6202" s="10">
        <v>7.9152520937906883E-5</v>
      </c>
      <c r="T6202" s="10">
        <v>0</v>
      </c>
      <c r="U6202" s="10">
        <v>7.2379999999999995E-5</v>
      </c>
      <c r="V6202" s="25"/>
      <c r="W6202" s="25"/>
      <c r="X6202" s="25"/>
      <c r="Y6202" s="25"/>
      <c r="Z6202" s="25"/>
      <c r="AA6202" s="25"/>
    </row>
    <row r="6203" spans="1:27" x14ac:dyDescent="0.35">
      <c r="A6203" s="5">
        <v>6199</v>
      </c>
      <c r="B6203" s="5">
        <v>259</v>
      </c>
      <c r="C6203" s="5">
        <v>9</v>
      </c>
      <c r="D6203" s="25">
        <v>1.1416E-4</v>
      </c>
      <c r="E6203" s="25">
        <v>1.1149E-4</v>
      </c>
      <c r="F6203" s="25">
        <v>1.2860000000000001E-4</v>
      </c>
      <c r="G6203" s="25">
        <v>1.1472999999999999E-4</v>
      </c>
      <c r="H6203" s="25">
        <v>2.8580000000000001E-5</v>
      </c>
      <c r="I6203" s="9">
        <v>1.2047E-4</v>
      </c>
      <c r="J6203" s="9">
        <v>1.2297E-4</v>
      </c>
      <c r="K6203" s="9">
        <v>6.5710000000000006E-5</v>
      </c>
      <c r="L6203" s="9">
        <v>2.847E-5</v>
      </c>
      <c r="M6203" s="9">
        <v>5.9349999999999999E-5</v>
      </c>
      <c r="N6203" s="9">
        <v>8.0829999999999997E-5</v>
      </c>
      <c r="O6203" s="9">
        <v>4.5930000000000002E-5</v>
      </c>
      <c r="P6203" s="9">
        <v>7.8990000000000001E-5</v>
      </c>
      <c r="Q6203" s="9">
        <v>1.1158E-4</v>
      </c>
      <c r="R6203" s="10">
        <v>1.534270913534894E-4</v>
      </c>
      <c r="S6203" s="10">
        <v>9.0501188564871108E-5</v>
      </c>
      <c r="T6203" s="10">
        <v>5.6395137780397312E-5</v>
      </c>
      <c r="U6203" s="10">
        <v>7.2379999999999995E-5</v>
      </c>
      <c r="V6203" s="25"/>
      <c r="W6203" s="25"/>
      <c r="X6203" s="25"/>
      <c r="Y6203" s="25"/>
      <c r="Z6203" s="25"/>
      <c r="AA6203" s="25"/>
    </row>
    <row r="6204" spans="1:27" x14ac:dyDescent="0.35">
      <c r="A6204" s="5">
        <v>6200</v>
      </c>
      <c r="B6204" s="5">
        <v>259</v>
      </c>
      <c r="C6204" s="5">
        <v>9</v>
      </c>
      <c r="D6204" s="25">
        <v>1.1415000000000001E-4</v>
      </c>
      <c r="E6204" s="25">
        <v>1.1854E-4</v>
      </c>
      <c r="F6204" s="25">
        <v>1.3020999999999999E-4</v>
      </c>
      <c r="G6204" s="25">
        <v>1.6007E-4</v>
      </c>
      <c r="H6204" s="25">
        <v>3.9020000000000002E-5</v>
      </c>
      <c r="I6204" s="9">
        <v>1.2426000000000001E-4</v>
      </c>
      <c r="J6204" s="9">
        <v>1.3153000000000001E-4</v>
      </c>
      <c r="K6204" s="9">
        <v>3.1789999999999999E-5</v>
      </c>
      <c r="L6204" s="9">
        <v>4.193E-5</v>
      </c>
      <c r="M6204" s="9">
        <v>6.8230000000000002E-5</v>
      </c>
      <c r="N6204" s="9">
        <v>9.0719999999999999E-5</v>
      </c>
      <c r="O6204" s="9">
        <v>6.8369999999999998E-5</v>
      </c>
      <c r="P6204" s="9">
        <v>1.0281E-4</v>
      </c>
      <c r="Q6204" s="9">
        <v>1.3689999999999999E-4</v>
      </c>
      <c r="R6204" s="10">
        <v>1.5963116323135893E-4</v>
      </c>
      <c r="S6204" s="10">
        <v>8.3665855393497983E-5</v>
      </c>
      <c r="T6204" s="10">
        <v>1.1199275142188122E-5</v>
      </c>
      <c r="U6204" s="10">
        <v>7.2379999999999995E-5</v>
      </c>
      <c r="V6204" s="25"/>
      <c r="W6204" s="25"/>
      <c r="X6204" s="25"/>
      <c r="Y6204" s="25"/>
      <c r="Z6204" s="25"/>
      <c r="AA6204" s="25"/>
    </row>
    <row r="6205" spans="1:27" x14ac:dyDescent="0.35">
      <c r="A6205" s="5">
        <v>6201</v>
      </c>
      <c r="B6205" s="5">
        <v>259</v>
      </c>
      <c r="C6205" s="5">
        <v>9</v>
      </c>
      <c r="D6205" s="25">
        <v>1.1416E-4</v>
      </c>
      <c r="E6205" s="25">
        <v>1.1742E-4</v>
      </c>
      <c r="F6205" s="25">
        <v>1.2792000000000001E-4</v>
      </c>
      <c r="G6205" s="25">
        <v>1.5626999999999999E-4</v>
      </c>
      <c r="H6205" s="25">
        <v>4.108E-5</v>
      </c>
      <c r="I6205" s="9">
        <v>1.2668E-4</v>
      </c>
      <c r="J6205" s="9">
        <v>1.3469E-4</v>
      </c>
      <c r="K6205" s="9">
        <v>3.18E-5</v>
      </c>
      <c r="L6205" s="9">
        <v>6.2189999999999999E-5</v>
      </c>
      <c r="M6205" s="9">
        <v>8.2880000000000006E-5</v>
      </c>
      <c r="N6205" s="9">
        <v>1.0449E-4</v>
      </c>
      <c r="O6205" s="9">
        <v>9.9970000000000007E-5</v>
      </c>
      <c r="P6205" s="9">
        <v>1.3870000000000001E-4</v>
      </c>
      <c r="Q6205" s="9">
        <v>1.7720999999999999E-4</v>
      </c>
      <c r="R6205" s="10">
        <v>1.6622407071898151E-4</v>
      </c>
      <c r="S6205" s="10">
        <v>8.1057973746023979E-5</v>
      </c>
      <c r="T6205" s="10">
        <v>1.0038622991088625E-4</v>
      </c>
      <c r="U6205" s="10">
        <v>7.2379999999999995E-5</v>
      </c>
      <c r="V6205" s="25"/>
      <c r="W6205" s="25"/>
      <c r="X6205" s="25"/>
      <c r="Y6205" s="25"/>
      <c r="Z6205" s="25"/>
      <c r="AA6205" s="25"/>
    </row>
    <row r="6206" spans="1:27" x14ac:dyDescent="0.35">
      <c r="A6206" s="5">
        <v>6202</v>
      </c>
      <c r="B6206" s="5">
        <v>259</v>
      </c>
      <c r="C6206" s="5">
        <v>9</v>
      </c>
      <c r="D6206" s="25">
        <v>1.1415000000000001E-4</v>
      </c>
      <c r="E6206" s="25">
        <v>1.0997000000000001E-4</v>
      </c>
      <c r="F6206" s="25">
        <v>1.1895E-4</v>
      </c>
      <c r="G6206" s="25">
        <v>1.6273000000000001E-4</v>
      </c>
      <c r="H6206" s="25">
        <v>4.074E-5</v>
      </c>
      <c r="I6206" s="9">
        <v>1.2892000000000001E-4</v>
      </c>
      <c r="J6206" s="9">
        <v>1.3438999999999999E-4</v>
      </c>
      <c r="K6206" s="9">
        <v>4.6629999999999999E-5</v>
      </c>
      <c r="L6206" s="9">
        <v>9.1130000000000003E-5</v>
      </c>
      <c r="M6206" s="9">
        <v>1.0666999999999999E-4</v>
      </c>
      <c r="N6206" s="9">
        <v>1.2457000000000001E-4</v>
      </c>
      <c r="O6206" s="9">
        <v>1.2852999999999999E-4</v>
      </c>
      <c r="P6206" s="9">
        <v>1.5527999999999999E-4</v>
      </c>
      <c r="Q6206" s="9">
        <v>1.8218999999999999E-4</v>
      </c>
      <c r="R6206" s="10">
        <v>1.746402601332367E-4</v>
      </c>
      <c r="S6206" s="10">
        <v>7.0271383427109878E-5</v>
      </c>
      <c r="T6206" s="10">
        <v>2.4053837087589048E-4</v>
      </c>
      <c r="U6206" s="10">
        <v>7.2379999999999995E-5</v>
      </c>
      <c r="V6206" s="25"/>
      <c r="W6206" s="25"/>
      <c r="X6206" s="25"/>
      <c r="Y6206" s="25"/>
      <c r="Z6206" s="25"/>
      <c r="AA6206" s="25"/>
    </row>
    <row r="6207" spans="1:27" x14ac:dyDescent="0.35">
      <c r="A6207" s="5">
        <v>6203</v>
      </c>
      <c r="B6207" s="5">
        <v>259</v>
      </c>
      <c r="C6207" s="5">
        <v>9</v>
      </c>
      <c r="D6207" s="25">
        <v>1.1416E-4</v>
      </c>
      <c r="E6207" s="25">
        <v>1.1103E-4</v>
      </c>
      <c r="F6207" s="25">
        <v>1.3055E-4</v>
      </c>
      <c r="G6207" s="25">
        <v>1.5776000000000001E-4</v>
      </c>
      <c r="H6207" s="25">
        <v>4.1659999999999998E-5</v>
      </c>
      <c r="I6207" s="9">
        <v>1.3179000000000001E-4</v>
      </c>
      <c r="J6207" s="9">
        <v>1.3448999999999999E-4</v>
      </c>
      <c r="K6207" s="9">
        <v>8.4770000000000003E-5</v>
      </c>
      <c r="L6207" s="9">
        <v>1.1959E-4</v>
      </c>
      <c r="M6207" s="9">
        <v>1.3018E-4</v>
      </c>
      <c r="N6207" s="9">
        <v>1.427E-4</v>
      </c>
      <c r="O6207" s="9">
        <v>1.3674E-4</v>
      </c>
      <c r="P6207" s="9">
        <v>1.5796000000000001E-4</v>
      </c>
      <c r="Q6207" s="9">
        <v>1.7949E-4</v>
      </c>
      <c r="R6207" s="10">
        <v>1.8145676992673384E-4</v>
      </c>
      <c r="S6207" s="10">
        <v>7.1608124374914091E-5</v>
      </c>
      <c r="T6207" s="10">
        <v>2.1311711537622989E-4</v>
      </c>
      <c r="U6207" s="10">
        <v>7.2379999999999995E-5</v>
      </c>
      <c r="V6207" s="25"/>
      <c r="W6207" s="25"/>
      <c r="X6207" s="25"/>
      <c r="Y6207" s="25"/>
      <c r="Z6207" s="25"/>
      <c r="AA6207" s="25"/>
    </row>
    <row r="6208" spans="1:27" x14ac:dyDescent="0.35">
      <c r="A6208" s="5">
        <v>6204</v>
      </c>
      <c r="B6208" s="5">
        <v>259</v>
      </c>
      <c r="C6208" s="5">
        <v>9</v>
      </c>
      <c r="D6208" s="25">
        <v>1.1415000000000001E-4</v>
      </c>
      <c r="E6208" s="25">
        <v>1.1733E-4</v>
      </c>
      <c r="F6208" s="25">
        <v>1.25E-4</v>
      </c>
      <c r="G6208" s="25">
        <v>1.6023E-4</v>
      </c>
      <c r="H6208" s="25">
        <v>3.9870000000000003E-5</v>
      </c>
      <c r="I6208" s="9">
        <v>1.3011000000000001E-4</v>
      </c>
      <c r="J6208" s="9">
        <v>1.3384000000000001E-4</v>
      </c>
      <c r="K6208" s="9">
        <v>1.908E-5</v>
      </c>
      <c r="L6208" s="9">
        <v>1.3229999999999999E-4</v>
      </c>
      <c r="M6208" s="9">
        <v>1.4574E-4</v>
      </c>
      <c r="N6208" s="9">
        <v>1.5677000000000001E-4</v>
      </c>
      <c r="O6208" s="9">
        <v>1.3781000000000001E-4</v>
      </c>
      <c r="P6208" s="9">
        <v>1.5559999999999999E-4</v>
      </c>
      <c r="Q6208" s="9">
        <v>1.7375999999999999E-4</v>
      </c>
      <c r="R6208" s="10">
        <v>1.7239093306409408E-4</v>
      </c>
      <c r="S6208" s="10">
        <v>7.54247069496814E-5</v>
      </c>
      <c r="T6208" s="10">
        <v>2.2458788809762257E-4</v>
      </c>
      <c r="U6208" s="10">
        <v>7.2379999999999995E-5</v>
      </c>
      <c r="V6208" s="25"/>
      <c r="W6208" s="25"/>
      <c r="X6208" s="25"/>
      <c r="Y6208" s="25"/>
      <c r="Z6208" s="25"/>
      <c r="AA6208" s="25"/>
    </row>
    <row r="6209" spans="1:27" x14ac:dyDescent="0.35">
      <c r="A6209" s="5">
        <v>6205</v>
      </c>
      <c r="B6209" s="5">
        <v>259</v>
      </c>
      <c r="C6209" s="5">
        <v>9</v>
      </c>
      <c r="D6209" s="25">
        <v>1.1416E-4</v>
      </c>
      <c r="E6209" s="25">
        <v>1.2098E-4</v>
      </c>
      <c r="F6209" s="25">
        <v>1.3493000000000001E-4</v>
      </c>
      <c r="G6209" s="25">
        <v>1.6746999999999999E-4</v>
      </c>
      <c r="H6209" s="25">
        <v>3.9220000000000001E-5</v>
      </c>
      <c r="I6209" s="9">
        <v>1.3057999999999999E-4</v>
      </c>
      <c r="J6209" s="9">
        <v>1.3505E-4</v>
      </c>
      <c r="K6209" s="9">
        <v>1.908E-5</v>
      </c>
      <c r="L6209" s="9">
        <v>1.3642999999999999E-4</v>
      </c>
      <c r="M6209" s="9">
        <v>1.5260999999999999E-4</v>
      </c>
      <c r="N6209" s="9">
        <v>1.6616999999999999E-4</v>
      </c>
      <c r="O6209" s="9">
        <v>1.2903E-4</v>
      </c>
      <c r="P6209" s="9">
        <v>1.4752E-4</v>
      </c>
      <c r="Q6209" s="9">
        <v>1.6631999999999999E-4</v>
      </c>
      <c r="R6209" s="10">
        <v>1.7598448852215607E-4</v>
      </c>
      <c r="S6209" s="10">
        <v>8.7244732118263495E-5</v>
      </c>
      <c r="T6209" s="10">
        <v>1.382092364138216E-4</v>
      </c>
      <c r="U6209" s="10">
        <v>7.2379999999999995E-5</v>
      </c>
      <c r="V6209" s="25"/>
      <c r="W6209" s="25"/>
      <c r="X6209" s="25"/>
      <c r="Y6209" s="25"/>
      <c r="Z6209" s="25"/>
      <c r="AA6209" s="25"/>
    </row>
    <row r="6210" spans="1:27" x14ac:dyDescent="0.35">
      <c r="A6210" s="5">
        <v>6206</v>
      </c>
      <c r="B6210" s="5">
        <v>259</v>
      </c>
      <c r="C6210" s="5">
        <v>9</v>
      </c>
      <c r="D6210" s="25">
        <v>1.1415000000000001E-4</v>
      </c>
      <c r="E6210" s="25">
        <v>1.1165E-4</v>
      </c>
      <c r="F6210" s="25">
        <v>1.3386E-4</v>
      </c>
      <c r="G6210" s="25">
        <v>1.5902000000000001E-4</v>
      </c>
      <c r="H6210" s="25">
        <v>4.1600000000000002E-5</v>
      </c>
      <c r="I6210" s="9">
        <v>1.2954000000000001E-4</v>
      </c>
      <c r="J6210" s="9">
        <v>1.3557E-4</v>
      </c>
      <c r="K6210" s="9">
        <v>2.12E-5</v>
      </c>
      <c r="L6210" s="9">
        <v>1.3072E-4</v>
      </c>
      <c r="M6210" s="9">
        <v>1.5207999999999999E-4</v>
      </c>
      <c r="N6210" s="9">
        <v>1.7024E-4</v>
      </c>
      <c r="O6210" s="9">
        <v>1.1298000000000001E-4</v>
      </c>
      <c r="P6210" s="9">
        <v>1.3725E-4</v>
      </c>
      <c r="Q6210" s="9">
        <v>1.6163000000000001E-4</v>
      </c>
      <c r="R6210" s="10">
        <v>1.8377752469523186E-4</v>
      </c>
      <c r="S6210" s="10">
        <v>7.4494315241235644E-5</v>
      </c>
      <c r="T6210" s="10">
        <v>4.7953259927005504E-5</v>
      </c>
      <c r="U6210" s="10">
        <v>7.2379999999999995E-5</v>
      </c>
      <c r="V6210" s="25"/>
      <c r="W6210" s="25"/>
      <c r="X6210" s="25"/>
      <c r="Y6210" s="25"/>
      <c r="Z6210" s="25"/>
      <c r="AA6210" s="25"/>
    </row>
    <row r="6211" spans="1:27" x14ac:dyDescent="0.35">
      <c r="A6211" s="5">
        <v>6207</v>
      </c>
      <c r="B6211" s="5">
        <v>259</v>
      </c>
      <c r="C6211" s="5">
        <v>9</v>
      </c>
      <c r="D6211" s="25">
        <v>1.1416E-4</v>
      </c>
      <c r="E6211" s="25">
        <v>1.1522E-4</v>
      </c>
      <c r="F6211" s="25">
        <v>1.1314E-4</v>
      </c>
      <c r="G6211" s="25">
        <v>1.6757E-4</v>
      </c>
      <c r="H6211" s="25">
        <v>3.9669999999999998E-5</v>
      </c>
      <c r="I6211" s="9">
        <v>1.3038000000000001E-4</v>
      </c>
      <c r="J6211" s="9">
        <v>1.3566000000000001E-4</v>
      </c>
      <c r="K6211" s="9">
        <v>2.1299999999999999E-6</v>
      </c>
      <c r="L6211" s="9">
        <v>1.171E-4</v>
      </c>
      <c r="M6211" s="9">
        <v>1.4634000000000001E-4</v>
      </c>
      <c r="N6211" s="9">
        <v>1.6993999999999999E-4</v>
      </c>
      <c r="O6211" s="9">
        <v>1.2736E-4</v>
      </c>
      <c r="P6211" s="9">
        <v>1.3996000000000001E-4</v>
      </c>
      <c r="Q6211" s="9">
        <v>1.5295E-4</v>
      </c>
      <c r="R6211" s="10">
        <v>1.8690093380281802E-4</v>
      </c>
      <c r="S6211" s="10">
        <v>6.71794051745257E-5</v>
      </c>
      <c r="T6211" s="10">
        <v>1.6691162111535373E-4</v>
      </c>
      <c r="U6211" s="10">
        <v>7.2379999999999995E-5</v>
      </c>
      <c r="V6211" s="25"/>
      <c r="W6211" s="25"/>
      <c r="X6211" s="25"/>
      <c r="Y6211" s="25"/>
      <c r="Z6211" s="25"/>
      <c r="AA6211" s="25"/>
    </row>
    <row r="6212" spans="1:27" x14ac:dyDescent="0.35">
      <c r="A6212" s="5">
        <v>6208</v>
      </c>
      <c r="B6212" s="5">
        <v>259</v>
      </c>
      <c r="C6212" s="5">
        <v>9</v>
      </c>
      <c r="D6212" s="25">
        <v>1.1415000000000001E-4</v>
      </c>
      <c r="E6212" s="25">
        <v>1.1242E-4</v>
      </c>
      <c r="F6212" s="25">
        <v>1.2196E-4</v>
      </c>
      <c r="G6212" s="25">
        <v>1.5934E-4</v>
      </c>
      <c r="H6212" s="25">
        <v>4.1770000000000002E-5</v>
      </c>
      <c r="I6212" s="9">
        <v>1.2935999999999999E-4</v>
      </c>
      <c r="J6212" s="9">
        <v>1.3688E-4</v>
      </c>
      <c r="K6212" s="9">
        <v>2.9669999999999999E-5</v>
      </c>
      <c r="L6212" s="9">
        <v>1.2549999999999999E-4</v>
      </c>
      <c r="M6212" s="9">
        <v>1.4244999999999999E-4</v>
      </c>
      <c r="N6212" s="9">
        <v>1.6615E-4</v>
      </c>
      <c r="O6212" s="9">
        <v>1.3407999999999999E-4</v>
      </c>
      <c r="P6212" s="9">
        <v>1.2158E-4</v>
      </c>
      <c r="Q6212" s="9">
        <v>1.099E-4</v>
      </c>
      <c r="R6212" s="10">
        <v>1.8496102934644442E-4</v>
      </c>
      <c r="S6212" s="10">
        <v>7.2181949777350564E-5</v>
      </c>
      <c r="T6212" s="10">
        <v>1.2887650712866484E-4</v>
      </c>
      <c r="U6212" s="10">
        <v>7.2379999999999995E-5</v>
      </c>
      <c r="V6212" s="25"/>
      <c r="W6212" s="25"/>
      <c r="X6212" s="25"/>
      <c r="Y6212" s="25"/>
      <c r="Z6212" s="25"/>
      <c r="AA6212" s="25"/>
    </row>
    <row r="6213" spans="1:27" x14ac:dyDescent="0.35">
      <c r="A6213" s="5">
        <v>6209</v>
      </c>
      <c r="B6213" s="5">
        <v>259</v>
      </c>
      <c r="C6213" s="5">
        <v>9</v>
      </c>
      <c r="D6213" s="25">
        <v>1.1416E-4</v>
      </c>
      <c r="E6213" s="25">
        <v>1.1127E-4</v>
      </c>
      <c r="F6213" s="25">
        <v>1.1442000000000001E-4</v>
      </c>
      <c r="G6213" s="25">
        <v>1.5788E-4</v>
      </c>
      <c r="H6213" s="25">
        <v>4.0970000000000002E-5</v>
      </c>
      <c r="I6213" s="9">
        <v>1.2925E-4</v>
      </c>
      <c r="J6213" s="9">
        <v>1.3694E-4</v>
      </c>
      <c r="K6213" s="9">
        <v>6.7819999999999998E-5</v>
      </c>
      <c r="L6213" s="9">
        <v>1.3192E-4</v>
      </c>
      <c r="M6213" s="9">
        <v>1.3407999999999999E-4</v>
      </c>
      <c r="N6213" s="9">
        <v>1.5248E-4</v>
      </c>
      <c r="O6213" s="9">
        <v>1.4049000000000001E-4</v>
      </c>
      <c r="P6213" s="9">
        <v>1.2354E-4</v>
      </c>
      <c r="Q6213" s="9">
        <v>1.0751000000000001E-4</v>
      </c>
      <c r="R6213" s="10">
        <v>1.9167006286924322E-4</v>
      </c>
      <c r="S6213" s="10">
        <v>6.6781834922377258E-5</v>
      </c>
      <c r="T6213" s="10">
        <v>1.9446014110526651E-5</v>
      </c>
      <c r="U6213" s="10">
        <v>7.2379999999999995E-5</v>
      </c>
      <c r="V6213" s="25"/>
      <c r="W6213" s="25"/>
      <c r="X6213" s="25"/>
      <c r="Y6213" s="25"/>
      <c r="Z6213" s="25"/>
      <c r="AA6213" s="25"/>
    </row>
    <row r="6214" spans="1:27" x14ac:dyDescent="0.35">
      <c r="A6214" s="5">
        <v>6210</v>
      </c>
      <c r="B6214" s="5">
        <v>259</v>
      </c>
      <c r="C6214" s="5">
        <v>9</v>
      </c>
      <c r="D6214" s="25">
        <v>1.1415000000000001E-4</v>
      </c>
      <c r="E6214" s="25">
        <v>1.1290000000000001E-4</v>
      </c>
      <c r="F6214" s="25">
        <v>1.1915E-4</v>
      </c>
      <c r="G6214" s="25">
        <v>1.5631999999999999E-4</v>
      </c>
      <c r="H6214" s="25">
        <v>3.9889999999999999E-5</v>
      </c>
      <c r="I6214" s="9">
        <v>1.2622999999999999E-4</v>
      </c>
      <c r="J6214" s="9">
        <v>1.3325000000000001E-4</v>
      </c>
      <c r="K6214" s="9">
        <v>8.0539999999999998E-5</v>
      </c>
      <c r="L6214" s="9">
        <v>1.3833000000000001E-4</v>
      </c>
      <c r="M6214" s="9">
        <v>1.2815E-4</v>
      </c>
      <c r="N6214" s="9">
        <v>1.3924E-4</v>
      </c>
      <c r="O6214" s="9">
        <v>1.4101000000000001E-4</v>
      </c>
      <c r="P6214" s="9">
        <v>1.2908E-4</v>
      </c>
      <c r="Q6214" s="9">
        <v>1.1801E-4</v>
      </c>
      <c r="R6214" s="10">
        <v>2.012093508506312E-4</v>
      </c>
      <c r="S6214" s="10">
        <v>6.6917482636722684E-5</v>
      </c>
      <c r="T6214" s="10">
        <v>2.4858997095917573E-5</v>
      </c>
      <c r="U6214" s="10">
        <v>7.2379999999999995E-5</v>
      </c>
      <c r="V6214" s="25"/>
      <c r="W6214" s="25"/>
      <c r="X6214" s="25"/>
      <c r="Y6214" s="25"/>
      <c r="Z6214" s="25"/>
      <c r="AA6214" s="25"/>
    </row>
    <row r="6215" spans="1:27" x14ac:dyDescent="0.35">
      <c r="A6215" s="5">
        <v>6211</v>
      </c>
      <c r="B6215" s="5">
        <v>259</v>
      </c>
      <c r="C6215" s="5">
        <v>9</v>
      </c>
      <c r="D6215" s="25">
        <v>1.1416E-4</v>
      </c>
      <c r="E6215" s="25">
        <v>1.2124E-4</v>
      </c>
      <c r="F6215" s="25">
        <v>1.1257E-4</v>
      </c>
      <c r="G6215" s="25">
        <v>1.1257E-4</v>
      </c>
      <c r="H6215" s="25">
        <v>2.8379999999999999E-5</v>
      </c>
      <c r="I6215" s="9">
        <v>1.2341000000000001E-4</v>
      </c>
      <c r="J6215" s="9">
        <v>1.3087999999999999E-4</v>
      </c>
      <c r="K6215" s="9">
        <v>9.9610000000000003E-5</v>
      </c>
      <c r="L6215" s="9">
        <v>1.4030999999999999E-4</v>
      </c>
      <c r="M6215" s="9">
        <v>1.2713000000000001E-4</v>
      </c>
      <c r="N6215" s="9">
        <v>1.3028000000000001E-4</v>
      </c>
      <c r="O6215" s="9">
        <v>1.4181999999999999E-4</v>
      </c>
      <c r="P6215" s="9">
        <v>1.2417E-4</v>
      </c>
      <c r="Q6215" s="9">
        <v>1.0747E-4</v>
      </c>
      <c r="R6215" s="10">
        <v>2.0896608328558236E-4</v>
      </c>
      <c r="S6215" s="10">
        <v>8.5749199826970843E-5</v>
      </c>
      <c r="T6215" s="10">
        <v>0</v>
      </c>
      <c r="U6215" s="10">
        <v>7.2379999999999995E-5</v>
      </c>
      <c r="V6215" s="25"/>
      <c r="W6215" s="25"/>
      <c r="X6215" s="25"/>
      <c r="Y6215" s="25"/>
      <c r="Z6215" s="25"/>
      <c r="AA6215" s="25"/>
    </row>
    <row r="6216" spans="1:27" x14ac:dyDescent="0.35">
      <c r="A6216" s="5">
        <v>6212</v>
      </c>
      <c r="B6216" s="5">
        <v>259</v>
      </c>
      <c r="C6216" s="5">
        <v>9</v>
      </c>
      <c r="D6216" s="25">
        <v>1.1415000000000001E-4</v>
      </c>
      <c r="E6216" s="25">
        <v>1.1493999999999999E-4</v>
      </c>
      <c r="F6216" s="25">
        <v>1.3301E-4</v>
      </c>
      <c r="G6216" s="25">
        <v>1.0977E-4</v>
      </c>
      <c r="H6216" s="25">
        <v>2.6829999999999999E-5</v>
      </c>
      <c r="I6216" s="9">
        <v>1.236E-4</v>
      </c>
      <c r="J6216" s="9">
        <v>1.3422999999999999E-4</v>
      </c>
      <c r="K6216" s="9">
        <v>9.9610000000000003E-5</v>
      </c>
      <c r="L6216" s="9">
        <v>1.4147000000000001E-4</v>
      </c>
      <c r="M6216" s="9">
        <v>1.2606999999999999E-4</v>
      </c>
      <c r="N6216" s="9">
        <v>1.2121999999999999E-4</v>
      </c>
      <c r="O6216" s="9">
        <v>1.4470999999999999E-4</v>
      </c>
      <c r="P6216" s="9">
        <v>1.2313E-4</v>
      </c>
      <c r="Q6216" s="9">
        <v>1.0259000000000001E-4</v>
      </c>
      <c r="R6216" s="10">
        <v>2.1148567856849756E-4</v>
      </c>
      <c r="S6216" s="10">
        <v>9.918200302170741E-5</v>
      </c>
      <c r="T6216" s="10">
        <v>0</v>
      </c>
      <c r="U6216" s="10">
        <v>7.2379999999999995E-5</v>
      </c>
      <c r="V6216" s="25"/>
      <c r="W6216" s="25"/>
      <c r="X6216" s="25"/>
      <c r="Y6216" s="25"/>
      <c r="Z6216" s="25"/>
      <c r="AA6216" s="25"/>
    </row>
    <row r="6217" spans="1:27" x14ac:dyDescent="0.35">
      <c r="A6217" s="5">
        <v>6213</v>
      </c>
      <c r="B6217" s="5">
        <v>259</v>
      </c>
      <c r="C6217" s="5">
        <v>9</v>
      </c>
      <c r="D6217" s="25">
        <v>1.1416E-4</v>
      </c>
      <c r="E6217" s="25">
        <v>1.1642E-4</v>
      </c>
      <c r="F6217" s="25">
        <v>1.3072999999999999E-4</v>
      </c>
      <c r="G6217" s="25">
        <v>6.071E-5</v>
      </c>
      <c r="H6217" s="25">
        <v>1.484E-5</v>
      </c>
      <c r="I6217" s="9">
        <v>1.1743000000000001E-4</v>
      </c>
      <c r="J6217" s="9">
        <v>1.2835E-4</v>
      </c>
      <c r="K6217" s="9">
        <v>1.2292999999999999E-4</v>
      </c>
      <c r="L6217" s="9">
        <v>1.44E-4</v>
      </c>
      <c r="M6217" s="9">
        <v>1.2475999999999999E-4</v>
      </c>
      <c r="N6217" s="9">
        <v>1.1364E-4</v>
      </c>
      <c r="O6217" s="9">
        <v>8.4129999999999996E-5</v>
      </c>
      <c r="P6217" s="9">
        <v>8.585E-5</v>
      </c>
      <c r="Q6217" s="9">
        <v>8.7839999999999999E-5</v>
      </c>
      <c r="R6217" s="10">
        <v>2.1239896173523784E-4</v>
      </c>
      <c r="S6217" s="10">
        <v>1.2070716685366592E-4</v>
      </c>
      <c r="T6217" s="10">
        <v>0</v>
      </c>
      <c r="U6217" s="10">
        <v>7.2379999999999995E-5</v>
      </c>
      <c r="V6217" s="25"/>
      <c r="W6217" s="25"/>
      <c r="X6217" s="25"/>
      <c r="Y6217" s="25"/>
      <c r="Z6217" s="25"/>
      <c r="AA6217" s="25"/>
    </row>
    <row r="6218" spans="1:27" x14ac:dyDescent="0.35">
      <c r="A6218" s="5">
        <v>6214</v>
      </c>
      <c r="B6218" s="5">
        <v>259</v>
      </c>
      <c r="C6218" s="5">
        <v>9</v>
      </c>
      <c r="D6218" s="25">
        <v>1.1415000000000001E-4</v>
      </c>
      <c r="E6218" s="25">
        <v>1.2082E-4</v>
      </c>
      <c r="F6218" s="25">
        <v>1.3216000000000001E-4</v>
      </c>
      <c r="G6218" s="25">
        <v>5.9589999999999997E-5</v>
      </c>
      <c r="H6218" s="25">
        <v>1.484E-5</v>
      </c>
      <c r="I6218" s="9">
        <v>1.1257E-4</v>
      </c>
      <c r="J6218" s="9">
        <v>1.1996E-4</v>
      </c>
      <c r="K6218" s="9">
        <v>1.3564E-4</v>
      </c>
      <c r="L6218" s="9">
        <v>9.7239999999999997E-5</v>
      </c>
      <c r="M6218" s="9">
        <v>1.1038E-4</v>
      </c>
      <c r="N6218" s="9">
        <v>1.0587E-4</v>
      </c>
      <c r="O6218" s="9">
        <v>8.8120000000000003E-5</v>
      </c>
      <c r="P6218" s="9">
        <v>8.8460000000000003E-5</v>
      </c>
      <c r="Q6218" s="9">
        <v>8.9120000000000001E-5</v>
      </c>
      <c r="R6218" s="10">
        <v>2.1244920794616232E-4</v>
      </c>
      <c r="S6218" s="10">
        <v>1.2562477524399423E-4</v>
      </c>
      <c r="T6218" s="10">
        <v>0</v>
      </c>
      <c r="U6218" s="10">
        <v>7.2379999999999995E-5</v>
      </c>
      <c r="V6218" s="25"/>
      <c r="W6218" s="25"/>
      <c r="X6218" s="25"/>
      <c r="Y6218" s="25"/>
      <c r="Z6218" s="25"/>
      <c r="AA6218" s="25"/>
    </row>
    <row r="6219" spans="1:27" x14ac:dyDescent="0.35">
      <c r="A6219" s="5">
        <v>6215</v>
      </c>
      <c r="B6219" s="5">
        <v>259</v>
      </c>
      <c r="C6219" s="5">
        <v>9</v>
      </c>
      <c r="D6219" s="25">
        <v>1.1416E-4</v>
      </c>
      <c r="E6219" s="25">
        <v>1.1637999999999999E-4</v>
      </c>
      <c r="F6219" s="25">
        <v>1.2011E-4</v>
      </c>
      <c r="G6219" s="25">
        <v>6.2139999999999998E-5</v>
      </c>
      <c r="H6219" s="25">
        <v>1.4219999999999999E-5</v>
      </c>
      <c r="I6219" s="9">
        <v>1.0705999999999999E-4</v>
      </c>
      <c r="J6219" s="9">
        <v>1.1216E-4</v>
      </c>
      <c r="K6219" s="9">
        <v>1.526E-4</v>
      </c>
      <c r="L6219" s="9">
        <v>9.1429999999999997E-5</v>
      </c>
      <c r="M6219" s="9">
        <v>9.8610000000000006E-5</v>
      </c>
      <c r="N6219" s="9">
        <v>1.0018000000000001E-4</v>
      </c>
      <c r="O6219" s="9">
        <v>8.4679999999999996E-5</v>
      </c>
      <c r="P6219" s="9">
        <v>7.5610000000000003E-5</v>
      </c>
      <c r="Q6219" s="9">
        <v>6.6979999999999999E-5</v>
      </c>
      <c r="R6219" s="10">
        <v>2.1244892782891364E-4</v>
      </c>
      <c r="S6219" s="10">
        <v>1.3158054725821011E-4</v>
      </c>
      <c r="T6219" s="10">
        <v>0</v>
      </c>
      <c r="U6219" s="10">
        <v>7.2379999999999995E-5</v>
      </c>
      <c r="V6219" s="25"/>
      <c r="W6219" s="25"/>
      <c r="X6219" s="25"/>
      <c r="Y6219" s="25"/>
      <c r="Z6219" s="25"/>
      <c r="AA6219" s="25"/>
    </row>
    <row r="6220" spans="1:27" x14ac:dyDescent="0.35">
      <c r="A6220" s="5">
        <v>6216</v>
      </c>
      <c r="B6220" s="5">
        <v>259</v>
      </c>
      <c r="C6220" s="5">
        <v>9</v>
      </c>
      <c r="D6220" s="25">
        <v>1.1415000000000001E-4</v>
      </c>
      <c r="E6220" s="25">
        <v>1.2044000000000001E-4</v>
      </c>
      <c r="F6220" s="25">
        <v>1.1783E-4</v>
      </c>
      <c r="G6220" s="25">
        <v>5.2899999999999998E-5</v>
      </c>
      <c r="H6220" s="25">
        <v>1.3550000000000001E-5</v>
      </c>
      <c r="I6220" s="9">
        <v>1.0026000000000001E-4</v>
      </c>
      <c r="J6220" s="9">
        <v>1.0420999999999999E-4</v>
      </c>
      <c r="K6220" s="9">
        <v>1.6955E-4</v>
      </c>
      <c r="L6220" s="9">
        <v>8.6370000000000001E-5</v>
      </c>
      <c r="M6220" s="9">
        <v>8.7590000000000007E-5</v>
      </c>
      <c r="N6220" s="9">
        <v>9.0859999999999994E-5</v>
      </c>
      <c r="O6220" s="9">
        <v>7.9040000000000002E-5</v>
      </c>
      <c r="P6220" s="9">
        <v>6.8720000000000006E-5</v>
      </c>
      <c r="Q6220" s="9">
        <v>5.8820000000000003E-5</v>
      </c>
      <c r="R6220" s="10">
        <v>2.124493555957825E-4</v>
      </c>
      <c r="S6220" s="10">
        <v>1.6243669667712776E-4</v>
      </c>
      <c r="T6220" s="10">
        <v>0</v>
      </c>
      <c r="U6220" s="10">
        <v>7.2379999999999995E-5</v>
      </c>
      <c r="V6220" s="25"/>
      <c r="W6220" s="25"/>
      <c r="X6220" s="25"/>
      <c r="Y6220" s="25"/>
      <c r="Z6220" s="25"/>
      <c r="AA6220" s="25"/>
    </row>
    <row r="6221" spans="1:27" x14ac:dyDescent="0.35">
      <c r="A6221" s="5">
        <v>6217</v>
      </c>
      <c r="B6221" s="5">
        <v>260</v>
      </c>
      <c r="C6221" s="5">
        <v>9</v>
      </c>
      <c r="D6221" s="25">
        <v>1.1416E-4</v>
      </c>
      <c r="E6221" s="25">
        <v>1.0437000000000001E-4</v>
      </c>
      <c r="F6221" s="25">
        <v>1.1599000000000001E-4</v>
      </c>
      <c r="G6221" s="25">
        <v>5.9049999999999999E-5</v>
      </c>
      <c r="H6221" s="25">
        <v>7.5119999999999999E-5</v>
      </c>
      <c r="I6221" s="9">
        <v>9.734E-5</v>
      </c>
      <c r="J6221" s="9">
        <v>9.9209999999999994E-5</v>
      </c>
      <c r="K6221" s="9">
        <v>1.7802000000000001E-4</v>
      </c>
      <c r="L6221" s="9">
        <v>8.0450000000000004E-5</v>
      </c>
      <c r="M6221" s="9">
        <v>7.8300000000000006E-5</v>
      </c>
      <c r="N6221" s="9">
        <v>8.1370000000000002E-5</v>
      </c>
      <c r="O6221" s="9">
        <v>5.4530000000000001E-5</v>
      </c>
      <c r="P6221" s="9">
        <v>5.3949999999999997E-5</v>
      </c>
      <c r="Q6221" s="9">
        <v>5.3529999999999997E-5</v>
      </c>
      <c r="R6221" s="10">
        <v>2.1244936787709023E-4</v>
      </c>
      <c r="S6221" s="10">
        <v>1.5338846084948809E-4</v>
      </c>
      <c r="T6221" s="10">
        <v>0</v>
      </c>
      <c r="U6221" s="10">
        <v>7.2719999999999995E-5</v>
      </c>
      <c r="V6221" s="25"/>
      <c r="W6221" s="25"/>
      <c r="X6221" s="25"/>
      <c r="Y6221" s="25"/>
      <c r="Z6221" s="25"/>
      <c r="AA6221" s="25"/>
    </row>
    <row r="6222" spans="1:27" x14ac:dyDescent="0.35">
      <c r="A6222" s="5">
        <v>6218</v>
      </c>
      <c r="B6222" s="5">
        <v>260</v>
      </c>
      <c r="C6222" s="5">
        <v>9</v>
      </c>
      <c r="D6222" s="25">
        <v>1.1415000000000001E-4</v>
      </c>
      <c r="E6222" s="25">
        <v>1.0404999999999999E-4</v>
      </c>
      <c r="F6222" s="25">
        <v>1.0891999999999999E-4</v>
      </c>
      <c r="G6222" s="25">
        <v>6.0210000000000001E-5</v>
      </c>
      <c r="H6222" s="25">
        <v>6.7830000000000006E-5</v>
      </c>
      <c r="I6222" s="9">
        <v>9.4450000000000005E-5</v>
      </c>
      <c r="J6222" s="9">
        <v>9.6890000000000002E-5</v>
      </c>
      <c r="K6222" s="9">
        <v>2.0133E-4</v>
      </c>
      <c r="L6222" s="9">
        <v>6.0390000000000003E-5</v>
      </c>
      <c r="M6222" s="9">
        <v>6.7349999999999997E-5</v>
      </c>
      <c r="N6222" s="9">
        <v>7.2210000000000002E-5</v>
      </c>
      <c r="O6222" s="9">
        <v>1.8919999999999998E-5</v>
      </c>
      <c r="P6222" s="9">
        <v>3.7719999999999998E-5</v>
      </c>
      <c r="Q6222" s="9">
        <v>5.613E-5</v>
      </c>
      <c r="R6222" s="10">
        <v>2.1244935562480778E-4</v>
      </c>
      <c r="S6222" s="10">
        <v>1.6118664410858516E-4</v>
      </c>
      <c r="T6222" s="10">
        <v>0</v>
      </c>
      <c r="U6222" s="10">
        <v>7.2719999999999995E-5</v>
      </c>
      <c r="V6222" s="25"/>
      <c r="W6222" s="25"/>
      <c r="X6222" s="25"/>
      <c r="Y6222" s="25"/>
      <c r="Z6222" s="25"/>
      <c r="AA6222" s="25"/>
    </row>
    <row r="6223" spans="1:27" x14ac:dyDescent="0.35">
      <c r="A6223" s="5">
        <v>6219</v>
      </c>
      <c r="B6223" s="5">
        <v>260</v>
      </c>
      <c r="C6223" s="5">
        <v>9</v>
      </c>
      <c r="D6223" s="25">
        <v>1.1416E-4</v>
      </c>
      <c r="E6223" s="25">
        <v>1.1369E-4</v>
      </c>
      <c r="F6223" s="25">
        <v>1.1896999999999999E-4</v>
      </c>
      <c r="G6223" s="25">
        <v>5.2129999999999997E-5</v>
      </c>
      <c r="H6223" s="25">
        <v>7.1680000000000005E-5</v>
      </c>
      <c r="I6223" s="9">
        <v>9.3150000000000001E-5</v>
      </c>
      <c r="J6223" s="9">
        <v>9.5790000000000003E-5</v>
      </c>
      <c r="K6223" s="9">
        <v>1.8861999999999999E-4</v>
      </c>
      <c r="L6223" s="9">
        <v>2.8580000000000001E-5</v>
      </c>
      <c r="M6223" s="9">
        <v>5.3999999999999998E-5</v>
      </c>
      <c r="N6223" s="9">
        <v>6.5599999999999995E-5</v>
      </c>
      <c r="O6223" s="9">
        <v>1.3550000000000001E-5</v>
      </c>
      <c r="P6223" s="9">
        <v>3.799E-5</v>
      </c>
      <c r="Q6223" s="9">
        <v>6.1920000000000003E-5</v>
      </c>
      <c r="R6223" s="10">
        <v>2.1244936787709023E-4</v>
      </c>
      <c r="S6223" s="10">
        <v>1.7394590227558988E-4</v>
      </c>
      <c r="T6223" s="10">
        <v>0</v>
      </c>
      <c r="U6223" s="10">
        <v>7.2719999999999995E-5</v>
      </c>
      <c r="V6223" s="25"/>
      <c r="W6223" s="25"/>
      <c r="X6223" s="25"/>
      <c r="Y6223" s="25"/>
      <c r="Z6223" s="25"/>
      <c r="AA6223" s="25"/>
    </row>
    <row r="6224" spans="1:27" x14ac:dyDescent="0.35">
      <c r="A6224" s="5">
        <v>6220</v>
      </c>
      <c r="B6224" s="5">
        <v>260</v>
      </c>
      <c r="C6224" s="5">
        <v>9</v>
      </c>
      <c r="D6224" s="25">
        <v>1.1415000000000001E-4</v>
      </c>
      <c r="E6224" s="25">
        <v>1.1302999999999999E-4</v>
      </c>
      <c r="F6224" s="25">
        <v>1.0979E-4</v>
      </c>
      <c r="G6224" s="25">
        <v>6.0149999999999998E-5</v>
      </c>
      <c r="H6224" s="25">
        <v>6.6619999999999996E-5</v>
      </c>
      <c r="I6224" s="9">
        <v>9.4279999999999999E-5</v>
      </c>
      <c r="J6224" s="9">
        <v>9.556E-5</v>
      </c>
      <c r="K6224" s="9">
        <v>1.9498000000000001E-4</v>
      </c>
      <c r="L6224" s="9">
        <v>1.7710000000000002E-5</v>
      </c>
      <c r="M6224" s="9">
        <v>4.5019999999999999E-5</v>
      </c>
      <c r="N6224" s="9">
        <v>6.2039999999999996E-5</v>
      </c>
      <c r="O6224" s="9">
        <v>1.3540000000000001E-5</v>
      </c>
      <c r="P6224" s="9">
        <v>4.744E-5</v>
      </c>
      <c r="Q6224" s="9">
        <v>8.0690000000000002E-5</v>
      </c>
      <c r="R6224" s="10">
        <v>2.1244936787709023E-4</v>
      </c>
      <c r="S6224" s="10">
        <v>1.7626699132626016E-4</v>
      </c>
      <c r="T6224" s="10">
        <v>0</v>
      </c>
      <c r="U6224" s="10">
        <v>7.2719999999999995E-5</v>
      </c>
      <c r="V6224" s="25"/>
      <c r="W6224" s="25"/>
      <c r="X6224" s="25"/>
      <c r="Y6224" s="25"/>
      <c r="Z6224" s="25"/>
      <c r="AA6224" s="25"/>
    </row>
    <row r="6225" spans="1:27" x14ac:dyDescent="0.35">
      <c r="A6225" s="5">
        <v>6221</v>
      </c>
      <c r="B6225" s="5">
        <v>260</v>
      </c>
      <c r="C6225" s="5">
        <v>9</v>
      </c>
      <c r="D6225" s="25">
        <v>1.1416E-4</v>
      </c>
      <c r="E6225" s="25">
        <v>1.0375E-4</v>
      </c>
      <c r="F6225" s="25">
        <v>1.0814E-4</v>
      </c>
      <c r="G6225" s="25">
        <v>5.8090000000000001E-5</v>
      </c>
      <c r="H6225" s="25">
        <v>6.7609999999999998E-5</v>
      </c>
      <c r="I6225" s="9">
        <v>9.7839999999999998E-5</v>
      </c>
      <c r="J6225" s="9">
        <v>9.8129999999999997E-5</v>
      </c>
      <c r="K6225" s="9">
        <v>2.0346000000000001E-4</v>
      </c>
      <c r="L6225" s="9">
        <v>1.4630000000000001E-5</v>
      </c>
      <c r="M6225" s="9">
        <v>4.3909999999999998E-5</v>
      </c>
      <c r="N6225" s="9">
        <v>6.4610000000000007E-5</v>
      </c>
      <c r="O6225" s="9">
        <v>1.9049999999999999E-5</v>
      </c>
      <c r="P6225" s="9">
        <v>5.6969999999999998E-5</v>
      </c>
      <c r="Q6225" s="9">
        <v>9.4199999999999999E-5</v>
      </c>
      <c r="R6225" s="10">
        <v>2.1244936787709023E-4</v>
      </c>
      <c r="S6225" s="10">
        <v>1.6036757832642662E-4</v>
      </c>
      <c r="T6225" s="10">
        <v>0</v>
      </c>
      <c r="U6225" s="10">
        <v>7.2719999999999995E-5</v>
      </c>
      <c r="V6225" s="25"/>
      <c r="W6225" s="25"/>
      <c r="X6225" s="25"/>
      <c r="Y6225" s="25"/>
      <c r="Z6225" s="25"/>
      <c r="AA6225" s="25"/>
    </row>
    <row r="6226" spans="1:27" x14ac:dyDescent="0.35">
      <c r="A6226" s="5">
        <v>6222</v>
      </c>
      <c r="B6226" s="5">
        <v>260</v>
      </c>
      <c r="C6226" s="5">
        <v>9</v>
      </c>
      <c r="D6226" s="25">
        <v>1.1415000000000001E-4</v>
      </c>
      <c r="E6226" s="25">
        <v>1.1207E-4</v>
      </c>
      <c r="F6226" s="25">
        <v>1.0904E-4</v>
      </c>
      <c r="G6226" s="25">
        <v>1.0450000000000001E-4</v>
      </c>
      <c r="H6226" s="25">
        <v>1.3793E-4</v>
      </c>
      <c r="I6226" s="9">
        <v>1.0914E-4</v>
      </c>
      <c r="J6226" s="9">
        <v>1.0844999999999999E-4</v>
      </c>
      <c r="K6226" s="9">
        <v>1.7166999999999999E-4</v>
      </c>
      <c r="L6226" s="9">
        <v>1.7949999999999999E-5</v>
      </c>
      <c r="M6226" s="9">
        <v>4.871E-5</v>
      </c>
      <c r="N6226" s="9">
        <v>7.127E-5</v>
      </c>
      <c r="O6226" s="9">
        <v>4.655E-5</v>
      </c>
      <c r="P6226" s="9">
        <v>7.7260000000000002E-5</v>
      </c>
      <c r="Q6226" s="9">
        <v>1.0758E-4</v>
      </c>
      <c r="R6226" s="10">
        <v>2.1244739882139393E-4</v>
      </c>
      <c r="S6226" s="10">
        <v>1.439829585187621E-4</v>
      </c>
      <c r="T6226" s="10">
        <v>0</v>
      </c>
      <c r="U6226" s="10">
        <v>7.2719999999999995E-5</v>
      </c>
      <c r="V6226" s="25"/>
      <c r="W6226" s="25"/>
      <c r="X6226" s="25"/>
      <c r="Y6226" s="25"/>
      <c r="Z6226" s="25"/>
      <c r="AA6226" s="25"/>
    </row>
    <row r="6227" spans="1:27" x14ac:dyDescent="0.35">
      <c r="A6227" s="5">
        <v>6223</v>
      </c>
      <c r="B6227" s="5">
        <v>260</v>
      </c>
      <c r="C6227" s="5">
        <v>9</v>
      </c>
      <c r="D6227" s="25">
        <v>1.1416E-4</v>
      </c>
      <c r="E6227" s="25">
        <v>1.1323999999999999E-4</v>
      </c>
      <c r="F6227" s="25">
        <v>1.1098E-4</v>
      </c>
      <c r="G6227" s="25">
        <v>1.0784E-4</v>
      </c>
      <c r="H6227" s="25">
        <v>1.2856E-4</v>
      </c>
      <c r="I6227" s="9">
        <v>1.198E-4</v>
      </c>
      <c r="J6227" s="9">
        <v>1.2108999999999999E-4</v>
      </c>
      <c r="K6227" s="9">
        <v>1.1868E-4</v>
      </c>
      <c r="L6227" s="9">
        <v>4.0110000000000001E-5</v>
      </c>
      <c r="M6227" s="9">
        <v>6.0340000000000002E-5</v>
      </c>
      <c r="N6227" s="9">
        <v>8.1069999999999995E-5</v>
      </c>
      <c r="O6227" s="9">
        <v>1.2409000000000001E-4</v>
      </c>
      <c r="P6227" s="9">
        <v>1.1841E-4</v>
      </c>
      <c r="Q6227" s="9">
        <v>1.1343E-4</v>
      </c>
      <c r="R6227" s="10">
        <v>2.1242793252441549E-4</v>
      </c>
      <c r="S6227" s="10">
        <v>1.5530044101673835E-4</v>
      </c>
      <c r="T6227" s="10">
        <v>1.362578475632888E-5</v>
      </c>
      <c r="U6227" s="10">
        <v>7.2719999999999995E-5</v>
      </c>
      <c r="V6227" s="25"/>
      <c r="W6227" s="25"/>
      <c r="X6227" s="25"/>
      <c r="Y6227" s="25"/>
      <c r="Z6227" s="25"/>
      <c r="AA6227" s="25"/>
    </row>
    <row r="6228" spans="1:27" x14ac:dyDescent="0.35">
      <c r="A6228" s="5">
        <v>6224</v>
      </c>
      <c r="B6228" s="5">
        <v>260</v>
      </c>
      <c r="C6228" s="5">
        <v>9</v>
      </c>
      <c r="D6228" s="25">
        <v>1.1415000000000001E-4</v>
      </c>
      <c r="E6228" s="25">
        <v>1.041E-4</v>
      </c>
      <c r="F6228" s="25">
        <v>1.0946999999999999E-4</v>
      </c>
      <c r="G6228" s="25">
        <v>1.6463E-4</v>
      </c>
      <c r="H6228" s="25">
        <v>1.9258E-4</v>
      </c>
      <c r="I6228" s="9">
        <v>1.2274000000000001E-4</v>
      </c>
      <c r="J6228" s="9">
        <v>1.3028000000000001E-4</v>
      </c>
      <c r="K6228" s="9">
        <v>6.1459999999999998E-5</v>
      </c>
      <c r="L6228" s="9">
        <v>1.05E-4</v>
      </c>
      <c r="M6228" s="9">
        <v>8.4259999999999996E-5</v>
      </c>
      <c r="N6228" s="9">
        <v>9.1349999999999998E-5</v>
      </c>
      <c r="O6228" s="9">
        <v>2.1950999999999999E-4</v>
      </c>
      <c r="P6228" s="9">
        <v>1.7726999999999999E-4</v>
      </c>
      <c r="Q6228" s="9">
        <v>1.3694E-4</v>
      </c>
      <c r="R6228" s="10">
        <v>2.1190026485158917E-4</v>
      </c>
      <c r="S6228" s="10">
        <v>1.7092418646029979E-4</v>
      </c>
      <c r="T6228" s="10">
        <v>4.4305011206444217E-5</v>
      </c>
      <c r="U6228" s="10">
        <v>7.2719999999999995E-5</v>
      </c>
      <c r="V6228" s="25"/>
      <c r="W6228" s="25"/>
      <c r="X6228" s="25"/>
      <c r="Y6228" s="25"/>
      <c r="Z6228" s="25"/>
      <c r="AA6228" s="25"/>
    </row>
    <row r="6229" spans="1:27" x14ac:dyDescent="0.35">
      <c r="A6229" s="5">
        <v>6225</v>
      </c>
      <c r="B6229" s="5">
        <v>260</v>
      </c>
      <c r="C6229" s="5">
        <v>9</v>
      </c>
      <c r="D6229" s="25">
        <v>1.1416E-4</v>
      </c>
      <c r="E6229" s="25">
        <v>1.075E-4</v>
      </c>
      <c r="F6229" s="25">
        <v>1.1372E-4</v>
      </c>
      <c r="G6229" s="25">
        <v>1.5737999999999999E-4</v>
      </c>
      <c r="H6229" s="25">
        <v>1.9785000000000001E-4</v>
      </c>
      <c r="I6229" s="9">
        <v>1.2496E-4</v>
      </c>
      <c r="J6229" s="9">
        <v>1.3453E-4</v>
      </c>
      <c r="K6229" s="9">
        <v>3.6040000000000001E-5</v>
      </c>
      <c r="L6229" s="9">
        <v>1.9254E-4</v>
      </c>
      <c r="M6229" s="9">
        <v>1.2392999999999999E-4</v>
      </c>
      <c r="N6229" s="9">
        <v>1.0508E-4</v>
      </c>
      <c r="O6229" s="9">
        <v>2.1123E-4</v>
      </c>
      <c r="P6229" s="9">
        <v>1.9347E-4</v>
      </c>
      <c r="Q6229" s="9">
        <v>1.7718000000000001E-4</v>
      </c>
      <c r="R6229" s="10">
        <v>2.0789902506997861E-4</v>
      </c>
      <c r="S6229" s="10">
        <v>1.6742491284981186E-4</v>
      </c>
      <c r="T6229" s="10">
        <v>2.379845967714976E-5</v>
      </c>
      <c r="U6229" s="10">
        <v>7.2719999999999995E-5</v>
      </c>
      <c r="V6229" s="25"/>
      <c r="W6229" s="25"/>
      <c r="X6229" s="25"/>
      <c r="Y6229" s="25"/>
      <c r="Z6229" s="25"/>
      <c r="AA6229" s="25"/>
    </row>
    <row r="6230" spans="1:27" x14ac:dyDescent="0.35">
      <c r="A6230" s="5">
        <v>6226</v>
      </c>
      <c r="B6230" s="5">
        <v>260</v>
      </c>
      <c r="C6230" s="5">
        <v>9</v>
      </c>
      <c r="D6230" s="25">
        <v>1.1415000000000001E-4</v>
      </c>
      <c r="E6230" s="25">
        <v>1.1234E-4</v>
      </c>
      <c r="F6230" s="25">
        <v>1.0778E-4</v>
      </c>
      <c r="G6230" s="25">
        <v>1.6326000000000001E-4</v>
      </c>
      <c r="H6230" s="25">
        <v>1.8817000000000001E-4</v>
      </c>
      <c r="I6230" s="9">
        <v>1.2645000000000001E-4</v>
      </c>
      <c r="J6230" s="9">
        <v>1.3532E-4</v>
      </c>
      <c r="K6230" s="9">
        <v>4.8749999999999999E-5</v>
      </c>
      <c r="L6230" s="9">
        <v>2.0482000000000001E-4</v>
      </c>
      <c r="M6230" s="9">
        <v>1.5901000000000001E-4</v>
      </c>
      <c r="N6230" s="9">
        <v>1.2506999999999999E-4</v>
      </c>
      <c r="O6230" s="9">
        <v>1.672E-4</v>
      </c>
      <c r="P6230" s="9">
        <v>1.7443E-4</v>
      </c>
      <c r="Q6230" s="9">
        <v>1.8244999999999999E-4</v>
      </c>
      <c r="R6230" s="10">
        <v>1.9448043523544149E-4</v>
      </c>
      <c r="S6230" s="10">
        <v>1.6124087722402109E-4</v>
      </c>
      <c r="T6230" s="10">
        <v>1.3958369290854468E-4</v>
      </c>
      <c r="U6230" s="10">
        <v>7.2719999999999995E-5</v>
      </c>
      <c r="V6230" s="25"/>
      <c r="W6230" s="25"/>
      <c r="X6230" s="25"/>
      <c r="Y6230" s="25"/>
      <c r="Z6230" s="25"/>
      <c r="AA6230" s="25"/>
    </row>
    <row r="6231" spans="1:27" x14ac:dyDescent="0.35">
      <c r="A6231" s="5">
        <v>6227</v>
      </c>
      <c r="B6231" s="5">
        <v>260</v>
      </c>
      <c r="C6231" s="5">
        <v>9</v>
      </c>
      <c r="D6231" s="25">
        <v>1.1416E-4</v>
      </c>
      <c r="E6231" s="25">
        <v>1.1018000000000001E-4</v>
      </c>
      <c r="F6231" s="25">
        <v>1.1566E-4</v>
      </c>
      <c r="G6231" s="25">
        <v>1.6013999999999999E-4</v>
      </c>
      <c r="H6231" s="25">
        <v>2.0097999999999999E-4</v>
      </c>
      <c r="I6231" s="9">
        <v>1.2923000000000001E-4</v>
      </c>
      <c r="J6231" s="9">
        <v>1.3514000000000001E-4</v>
      </c>
      <c r="K6231" s="9">
        <v>2.5429999999999999E-5</v>
      </c>
      <c r="L6231" s="9">
        <v>1.7555000000000001E-4</v>
      </c>
      <c r="M6231" s="9">
        <v>1.7268000000000001E-4</v>
      </c>
      <c r="N6231" s="9">
        <v>1.4312E-4</v>
      </c>
      <c r="O6231" s="9">
        <v>1.6652999999999999E-4</v>
      </c>
      <c r="P6231" s="9">
        <v>1.7238999999999999E-4</v>
      </c>
      <c r="Q6231" s="9">
        <v>1.7904999999999999E-4</v>
      </c>
      <c r="R6231" s="10">
        <v>1.8358237709996904E-4</v>
      </c>
      <c r="S6231" s="10">
        <v>1.572299638652522E-4</v>
      </c>
      <c r="T6231" s="10">
        <v>1.2276781159656223E-4</v>
      </c>
      <c r="U6231" s="10">
        <v>7.2719999999999995E-5</v>
      </c>
      <c r="V6231" s="25"/>
      <c r="W6231" s="25"/>
      <c r="X6231" s="25"/>
      <c r="Y6231" s="25"/>
      <c r="Z6231" s="25"/>
      <c r="AA6231" s="25"/>
    </row>
    <row r="6232" spans="1:27" x14ac:dyDescent="0.35">
      <c r="A6232" s="5">
        <v>6228</v>
      </c>
      <c r="B6232" s="5">
        <v>260</v>
      </c>
      <c r="C6232" s="5">
        <v>9</v>
      </c>
      <c r="D6232" s="25">
        <v>1.1415000000000001E-4</v>
      </c>
      <c r="E6232" s="25">
        <v>1.0849999999999999E-4</v>
      </c>
      <c r="F6232" s="25">
        <v>1.1468000000000001E-4</v>
      </c>
      <c r="G6232" s="25">
        <v>1.6723000000000001E-4</v>
      </c>
      <c r="H6232" s="25">
        <v>1.9196E-4</v>
      </c>
      <c r="I6232" s="9">
        <v>1.2668E-4</v>
      </c>
      <c r="J6232" s="9">
        <v>1.3287999999999999E-4</v>
      </c>
      <c r="K6232" s="9">
        <v>2.756E-5</v>
      </c>
      <c r="L6232" s="9">
        <v>1.6992E-4</v>
      </c>
      <c r="M6232" s="9">
        <v>1.7489E-4</v>
      </c>
      <c r="N6232" s="9">
        <v>1.5698E-4</v>
      </c>
      <c r="O6232" s="9">
        <v>1.7058000000000001E-4</v>
      </c>
      <c r="P6232" s="9">
        <v>1.7237E-4</v>
      </c>
      <c r="Q6232" s="9">
        <v>1.7505E-4</v>
      </c>
      <c r="R6232" s="10">
        <v>1.5953021595513446E-4</v>
      </c>
      <c r="S6232" s="10">
        <v>1.6060871138755806E-4</v>
      </c>
      <c r="T6232" s="10">
        <v>2.7828501868467454E-4</v>
      </c>
      <c r="U6232" s="10">
        <v>7.2719999999999995E-5</v>
      </c>
      <c r="V6232" s="25"/>
      <c r="W6232" s="25"/>
      <c r="X6232" s="25"/>
      <c r="Y6232" s="25"/>
      <c r="Z6232" s="25"/>
      <c r="AA6232" s="25"/>
    </row>
    <row r="6233" spans="1:27" x14ac:dyDescent="0.35">
      <c r="A6233" s="5">
        <v>6229</v>
      </c>
      <c r="B6233" s="5">
        <v>260</v>
      </c>
      <c r="C6233" s="5">
        <v>9</v>
      </c>
      <c r="D6233" s="25">
        <v>1.1416E-4</v>
      </c>
      <c r="E6233" s="25">
        <v>1.0789999999999999E-4</v>
      </c>
      <c r="F6233" s="25">
        <v>1.1691E-4</v>
      </c>
      <c r="G6233" s="25">
        <v>1.6111000000000001E-4</v>
      </c>
      <c r="H6233" s="25">
        <v>1.9393000000000001E-4</v>
      </c>
      <c r="I6233" s="9">
        <v>1.2452000000000001E-4</v>
      </c>
      <c r="J6233" s="9">
        <v>1.3202999999999999E-4</v>
      </c>
      <c r="K6233" s="9">
        <v>0</v>
      </c>
      <c r="L6233" s="9">
        <v>1.7061999999999999E-4</v>
      </c>
      <c r="M6233" s="9">
        <v>1.7406E-4</v>
      </c>
      <c r="N6233" s="9">
        <v>1.6652999999999999E-4</v>
      </c>
      <c r="O6233" s="9">
        <v>1.6084000000000001E-4</v>
      </c>
      <c r="P6233" s="9">
        <v>1.6341000000000001E-4</v>
      </c>
      <c r="Q6233" s="9">
        <v>1.6678999999999999E-4</v>
      </c>
      <c r="R6233" s="10">
        <v>1.4605543711634808E-4</v>
      </c>
      <c r="S6233" s="10">
        <v>1.6228012483015538E-4</v>
      </c>
      <c r="T6233" s="10">
        <v>9.612711163711471E-5</v>
      </c>
      <c r="U6233" s="10">
        <v>7.2719999999999995E-5</v>
      </c>
      <c r="V6233" s="25"/>
      <c r="W6233" s="25"/>
      <c r="X6233" s="25"/>
      <c r="Y6233" s="25"/>
      <c r="Z6233" s="25"/>
      <c r="AA6233" s="25"/>
    </row>
    <row r="6234" spans="1:27" x14ac:dyDescent="0.35">
      <c r="A6234" s="5">
        <v>6230</v>
      </c>
      <c r="B6234" s="5">
        <v>260</v>
      </c>
      <c r="C6234" s="5">
        <v>9</v>
      </c>
      <c r="D6234" s="25">
        <v>1.1415000000000001E-4</v>
      </c>
      <c r="E6234" s="25">
        <v>1.0929000000000001E-4</v>
      </c>
      <c r="F6234" s="25">
        <v>1.0666E-4</v>
      </c>
      <c r="G6234" s="25">
        <v>1.6061E-4</v>
      </c>
      <c r="H6234" s="25">
        <v>1.9502000000000001E-4</v>
      </c>
      <c r="I6234" s="9">
        <v>1.2214999999999999E-4</v>
      </c>
      <c r="J6234" s="9">
        <v>1.3028000000000001E-4</v>
      </c>
      <c r="K6234" s="9">
        <v>0</v>
      </c>
      <c r="L6234" s="9">
        <v>1.6270999999999999E-4</v>
      </c>
      <c r="M6234" s="9">
        <v>1.6998999999999999E-4</v>
      </c>
      <c r="N6234" s="9">
        <v>1.7061999999999999E-4</v>
      </c>
      <c r="O6234" s="9">
        <v>1.7763999999999999E-4</v>
      </c>
      <c r="P6234" s="9">
        <v>1.6851E-4</v>
      </c>
      <c r="Q6234" s="9">
        <v>1.605E-4</v>
      </c>
      <c r="R6234" s="10">
        <v>1.5065646969503337E-4</v>
      </c>
      <c r="S6234" s="10">
        <v>1.6804637588712211E-4</v>
      </c>
      <c r="T6234" s="10">
        <v>1.2637363882037278E-4</v>
      </c>
      <c r="U6234" s="10">
        <v>7.2719999999999995E-5</v>
      </c>
      <c r="V6234" s="25"/>
      <c r="W6234" s="25"/>
      <c r="X6234" s="25"/>
      <c r="Y6234" s="25"/>
      <c r="Z6234" s="25"/>
      <c r="AA6234" s="25"/>
    </row>
    <row r="6235" spans="1:27" x14ac:dyDescent="0.35">
      <c r="A6235" s="5">
        <v>6231</v>
      </c>
      <c r="B6235" s="5">
        <v>260</v>
      </c>
      <c r="C6235" s="5">
        <v>9</v>
      </c>
      <c r="D6235" s="25">
        <v>1.1416E-4</v>
      </c>
      <c r="E6235" s="25">
        <v>1.0607000000000001E-4</v>
      </c>
      <c r="F6235" s="25">
        <v>1.1008E-4</v>
      </c>
      <c r="G6235" s="25">
        <v>1.6453999999999999E-4</v>
      </c>
      <c r="H6235" s="25">
        <v>1.9594999999999999E-4</v>
      </c>
      <c r="I6235" s="9">
        <v>1.2204E-4</v>
      </c>
      <c r="J6235" s="9">
        <v>1.2862999999999999E-4</v>
      </c>
      <c r="K6235" s="9">
        <v>0</v>
      </c>
      <c r="L6235" s="9">
        <v>1.7453999999999999E-4</v>
      </c>
      <c r="M6235" s="9">
        <v>1.683E-4</v>
      </c>
      <c r="N6235" s="9">
        <v>1.7001000000000001E-4</v>
      </c>
      <c r="O6235" s="9">
        <v>1.8213999999999999E-4</v>
      </c>
      <c r="P6235" s="9">
        <v>1.6626999999999999E-4</v>
      </c>
      <c r="Q6235" s="9">
        <v>1.5165999999999999E-4</v>
      </c>
      <c r="R6235" s="10">
        <v>1.5270173219641349E-4</v>
      </c>
      <c r="S6235" s="10">
        <v>1.7856231328607054E-4</v>
      </c>
      <c r="T6235" s="10">
        <v>1.2066370535772686E-4</v>
      </c>
      <c r="U6235" s="10">
        <v>7.2719999999999995E-5</v>
      </c>
      <c r="V6235" s="25"/>
      <c r="W6235" s="25"/>
      <c r="X6235" s="25"/>
      <c r="Y6235" s="25"/>
      <c r="Z6235" s="25"/>
      <c r="AA6235" s="25"/>
    </row>
    <row r="6236" spans="1:27" x14ac:dyDescent="0.35">
      <c r="A6236" s="5">
        <v>6232</v>
      </c>
      <c r="B6236" s="5">
        <v>260</v>
      </c>
      <c r="C6236" s="5">
        <v>9</v>
      </c>
      <c r="D6236" s="25">
        <v>1.1415000000000001E-4</v>
      </c>
      <c r="E6236" s="25">
        <v>1.0665E-4</v>
      </c>
      <c r="F6236" s="25">
        <v>9.9380000000000001E-5</v>
      </c>
      <c r="G6236" s="25">
        <v>1.6681000000000001E-4</v>
      </c>
      <c r="H6236" s="25">
        <v>1.951E-4</v>
      </c>
      <c r="I6236" s="9">
        <v>1.2204E-4</v>
      </c>
      <c r="J6236" s="9">
        <v>1.2809E-4</v>
      </c>
      <c r="K6236" s="9">
        <v>1.272E-5</v>
      </c>
      <c r="L6236" s="9">
        <v>1.8017E-4</v>
      </c>
      <c r="M6236" s="9">
        <v>1.6721999999999999E-4</v>
      </c>
      <c r="N6236" s="9">
        <v>1.6589E-4</v>
      </c>
      <c r="O6236" s="9">
        <v>1.9824999999999999E-4</v>
      </c>
      <c r="P6236" s="9">
        <v>1.5347000000000001E-4</v>
      </c>
      <c r="Q6236" s="9">
        <v>1.1048999999999999E-4</v>
      </c>
      <c r="R6236" s="10">
        <v>1.7082665692786229E-4</v>
      </c>
      <c r="S6236" s="10">
        <v>1.7770806809264928E-4</v>
      </c>
      <c r="T6236" s="10">
        <v>1.8595038885707351E-4</v>
      </c>
      <c r="U6236" s="10">
        <v>7.2719999999999995E-5</v>
      </c>
      <c r="V6236" s="25"/>
      <c r="W6236" s="25"/>
      <c r="X6236" s="25"/>
      <c r="Y6236" s="25"/>
      <c r="Z6236" s="25"/>
      <c r="AA6236" s="25"/>
    </row>
    <row r="6237" spans="1:27" x14ac:dyDescent="0.35">
      <c r="A6237" s="5">
        <v>6233</v>
      </c>
      <c r="B6237" s="5">
        <v>260</v>
      </c>
      <c r="C6237" s="5">
        <v>9</v>
      </c>
      <c r="D6237" s="25">
        <v>1.1416E-4</v>
      </c>
      <c r="E6237" s="25">
        <v>1.1155E-4</v>
      </c>
      <c r="F6237" s="25">
        <v>9.8040000000000003E-5</v>
      </c>
      <c r="G6237" s="25">
        <v>1.6283000000000001E-4</v>
      </c>
      <c r="H6237" s="25">
        <v>1.9848000000000001E-4</v>
      </c>
      <c r="I6237" s="9">
        <v>1.2176E-4</v>
      </c>
      <c r="J6237" s="9">
        <v>1.2846999999999999E-4</v>
      </c>
      <c r="K6237" s="9">
        <v>2.7549999999999999E-5</v>
      </c>
      <c r="L6237" s="9">
        <v>1.9406E-4</v>
      </c>
      <c r="M6237" s="9">
        <v>1.6210000000000001E-4</v>
      </c>
      <c r="N6237" s="9">
        <v>1.5233E-4</v>
      </c>
      <c r="O6237" s="9">
        <v>2.1502000000000001E-4</v>
      </c>
      <c r="P6237" s="9">
        <v>1.6043000000000001E-4</v>
      </c>
      <c r="Q6237" s="9">
        <v>1.0791E-4</v>
      </c>
      <c r="R6237" s="10">
        <v>1.6560232269716065E-4</v>
      </c>
      <c r="S6237" s="10">
        <v>1.7454564255860308E-4</v>
      </c>
      <c r="T6237" s="10">
        <v>1.612610777481588E-4</v>
      </c>
      <c r="U6237" s="10">
        <v>7.2719999999999995E-5</v>
      </c>
      <c r="V6237" s="25"/>
      <c r="W6237" s="25"/>
      <c r="X6237" s="25"/>
      <c r="Y6237" s="25"/>
      <c r="Z6237" s="25"/>
      <c r="AA6237" s="25"/>
    </row>
    <row r="6238" spans="1:27" x14ac:dyDescent="0.35">
      <c r="A6238" s="5">
        <v>6234</v>
      </c>
      <c r="B6238" s="5">
        <v>260</v>
      </c>
      <c r="C6238" s="5">
        <v>9</v>
      </c>
      <c r="D6238" s="25">
        <v>1.1415000000000001E-4</v>
      </c>
      <c r="E6238" s="25">
        <v>1.047E-4</v>
      </c>
      <c r="F6238" s="25">
        <v>1.1229E-4</v>
      </c>
      <c r="G6238" s="25">
        <v>1.6013999999999999E-4</v>
      </c>
      <c r="H6238" s="25">
        <v>1.8851999999999999E-4</v>
      </c>
      <c r="I6238" s="9">
        <v>1.1927E-4</v>
      </c>
      <c r="J6238" s="9">
        <v>1.2522E-4</v>
      </c>
      <c r="K6238" s="9">
        <v>8.0539999999999998E-5</v>
      </c>
      <c r="L6238" s="9">
        <v>2.1011000000000001E-4</v>
      </c>
      <c r="M6238" s="9">
        <v>1.6009999999999999E-4</v>
      </c>
      <c r="N6238" s="9">
        <v>1.3914999999999999E-4</v>
      </c>
      <c r="O6238" s="9">
        <v>2.0694999999999999E-4</v>
      </c>
      <c r="P6238" s="9">
        <v>1.6195000000000001E-4</v>
      </c>
      <c r="Q6238" s="9">
        <v>1.1882E-4</v>
      </c>
      <c r="R6238" s="10">
        <v>1.5517197460448811E-4</v>
      </c>
      <c r="S6238" s="10">
        <v>1.7605536676947009E-4</v>
      </c>
      <c r="T6238" s="10">
        <v>3.4955313322587173E-6</v>
      </c>
      <c r="U6238" s="10">
        <v>7.2719999999999995E-5</v>
      </c>
      <c r="V6238" s="25"/>
      <c r="W6238" s="25"/>
      <c r="X6238" s="25"/>
      <c r="Y6238" s="25"/>
      <c r="Z6238" s="25"/>
      <c r="AA6238" s="25"/>
    </row>
    <row r="6239" spans="1:27" x14ac:dyDescent="0.35">
      <c r="A6239" s="5">
        <v>6235</v>
      </c>
      <c r="B6239" s="5">
        <v>260</v>
      </c>
      <c r="C6239" s="5">
        <v>9</v>
      </c>
      <c r="D6239" s="25">
        <v>1.1416E-4</v>
      </c>
      <c r="E6239" s="25">
        <v>1.0966E-4</v>
      </c>
      <c r="F6239" s="25">
        <v>1.0877E-4</v>
      </c>
      <c r="G6239" s="25">
        <v>1.105E-4</v>
      </c>
      <c r="H6239" s="25">
        <v>1.3831999999999999E-4</v>
      </c>
      <c r="I6239" s="9">
        <v>1.1762E-4</v>
      </c>
      <c r="J6239" s="9">
        <v>1.2317E-4</v>
      </c>
      <c r="K6239" s="9">
        <v>1.3352000000000001E-4</v>
      </c>
      <c r="L6239" s="9">
        <v>2.0723000000000001E-4</v>
      </c>
      <c r="M6239" s="9">
        <v>1.6039E-4</v>
      </c>
      <c r="N6239" s="9">
        <v>1.3036999999999999E-4</v>
      </c>
      <c r="O6239" s="9">
        <v>1.6470999999999999E-4</v>
      </c>
      <c r="P6239" s="9">
        <v>1.3543E-4</v>
      </c>
      <c r="Q6239" s="9">
        <v>1.0749E-4</v>
      </c>
      <c r="R6239" s="10">
        <v>1.4815834801458252E-4</v>
      </c>
      <c r="S6239" s="10">
        <v>1.7381810659234019E-4</v>
      </c>
      <c r="T6239" s="10">
        <v>0</v>
      </c>
      <c r="U6239" s="10">
        <v>7.2719999999999995E-5</v>
      </c>
      <c r="V6239" s="25"/>
      <c r="W6239" s="25"/>
      <c r="X6239" s="25"/>
      <c r="Y6239" s="25"/>
      <c r="Z6239" s="25"/>
      <c r="AA6239" s="25"/>
    </row>
    <row r="6240" spans="1:27" x14ac:dyDescent="0.35">
      <c r="A6240" s="5">
        <v>6236</v>
      </c>
      <c r="B6240" s="5">
        <v>260</v>
      </c>
      <c r="C6240" s="5">
        <v>9</v>
      </c>
      <c r="D6240" s="25">
        <v>1.1415000000000001E-4</v>
      </c>
      <c r="E6240" s="25">
        <v>1.1386E-4</v>
      </c>
      <c r="F6240" s="25">
        <v>1.0124E-4</v>
      </c>
      <c r="G6240" s="25">
        <v>1.0974E-4</v>
      </c>
      <c r="H6240" s="25">
        <v>1.3077E-4</v>
      </c>
      <c r="I6240" s="9">
        <v>1.203E-4</v>
      </c>
      <c r="J6240" s="9">
        <v>1.2521E-4</v>
      </c>
      <c r="K6240" s="9">
        <v>1.6107E-4</v>
      </c>
      <c r="L6240" s="9">
        <v>1.7424000000000001E-4</v>
      </c>
      <c r="M6240" s="9">
        <v>1.5163000000000001E-4</v>
      </c>
      <c r="N6240" s="9">
        <v>1.2137E-4</v>
      </c>
      <c r="O6240" s="9">
        <v>1.2952999999999999E-4</v>
      </c>
      <c r="P6240" s="9">
        <v>1.1561E-4</v>
      </c>
      <c r="Q6240" s="9">
        <v>1.0255999999999999E-4</v>
      </c>
      <c r="R6240" s="10">
        <v>1.3932452447704103E-4</v>
      </c>
      <c r="S6240" s="10">
        <v>1.5937812071208966E-4</v>
      </c>
      <c r="T6240" s="10">
        <v>0</v>
      </c>
      <c r="U6240" s="10">
        <v>7.2719999999999995E-5</v>
      </c>
      <c r="V6240" s="25"/>
      <c r="W6240" s="25"/>
      <c r="X6240" s="25"/>
      <c r="Y6240" s="25"/>
      <c r="Z6240" s="25"/>
      <c r="AA6240" s="25"/>
    </row>
    <row r="6241" spans="1:27" x14ac:dyDescent="0.35">
      <c r="A6241" s="5">
        <v>6237</v>
      </c>
      <c r="B6241" s="5">
        <v>260</v>
      </c>
      <c r="C6241" s="5">
        <v>9</v>
      </c>
      <c r="D6241" s="25">
        <v>1.1416E-4</v>
      </c>
      <c r="E6241" s="25">
        <v>1.0923E-4</v>
      </c>
      <c r="F6241" s="25">
        <v>1.192E-4</v>
      </c>
      <c r="G6241" s="25">
        <v>5.2609999999999999E-5</v>
      </c>
      <c r="H6241" s="25">
        <v>6.5790000000000005E-5</v>
      </c>
      <c r="I6241" s="9">
        <v>1.1401E-4</v>
      </c>
      <c r="J6241" s="9">
        <v>1.1946E-4</v>
      </c>
      <c r="K6241" s="9">
        <v>1.7378000000000001E-4</v>
      </c>
      <c r="L6241" s="9">
        <v>1.4039E-4</v>
      </c>
      <c r="M6241" s="9">
        <v>1.3617999999999999E-4</v>
      </c>
      <c r="N6241" s="9">
        <v>1.1382E-4</v>
      </c>
      <c r="O6241" s="9">
        <v>8.4549999999999995E-5</v>
      </c>
      <c r="P6241" s="9">
        <v>8.6219999999999998E-5</v>
      </c>
      <c r="Q6241" s="9">
        <v>8.8220000000000006E-5</v>
      </c>
      <c r="R6241" s="10">
        <v>1.297362880387509E-4</v>
      </c>
      <c r="S6241" s="10">
        <v>1.4578969364763486E-4</v>
      </c>
      <c r="T6241" s="10">
        <v>0</v>
      </c>
      <c r="U6241" s="10">
        <v>7.2719999999999995E-5</v>
      </c>
      <c r="V6241" s="25"/>
      <c r="W6241" s="25"/>
      <c r="X6241" s="25"/>
      <c r="Y6241" s="25"/>
      <c r="Z6241" s="25"/>
      <c r="AA6241" s="25"/>
    </row>
    <row r="6242" spans="1:27" x14ac:dyDescent="0.35">
      <c r="A6242" s="5">
        <v>6238</v>
      </c>
      <c r="B6242" s="5">
        <v>260</v>
      </c>
      <c r="C6242" s="5">
        <v>9</v>
      </c>
      <c r="D6242" s="25">
        <v>1.1415000000000001E-4</v>
      </c>
      <c r="E6242" s="25">
        <v>1.0801E-4</v>
      </c>
      <c r="F6242" s="25">
        <v>1.0964E-4</v>
      </c>
      <c r="G6242" s="25">
        <v>6.2929999999999995E-5</v>
      </c>
      <c r="H6242" s="25">
        <v>6.6509999999999998E-5</v>
      </c>
      <c r="I6242" s="9">
        <v>1.1058E-4</v>
      </c>
      <c r="J6242" s="9">
        <v>1.1281E-4</v>
      </c>
      <c r="K6242" s="9">
        <v>1.8013999999999999E-4</v>
      </c>
      <c r="L6242" s="9">
        <v>9.7759999999999999E-5</v>
      </c>
      <c r="M6242" s="9">
        <v>1.1423E-4</v>
      </c>
      <c r="N6242" s="9">
        <v>1.0611E-4</v>
      </c>
      <c r="O6242" s="9">
        <v>8.8239999999999995E-5</v>
      </c>
      <c r="P6242" s="9">
        <v>8.852E-5</v>
      </c>
      <c r="Q6242" s="9">
        <v>8.9179999999999997E-5</v>
      </c>
      <c r="R6242" s="10">
        <v>1.3461887566371719E-4</v>
      </c>
      <c r="S6242" s="10">
        <v>1.3874584415380853E-4</v>
      </c>
      <c r="T6242" s="10">
        <v>0</v>
      </c>
      <c r="U6242" s="10">
        <v>7.2719999999999995E-5</v>
      </c>
      <c r="V6242" s="25"/>
      <c r="W6242" s="25"/>
      <c r="X6242" s="25"/>
      <c r="Y6242" s="25"/>
      <c r="Z6242" s="25"/>
      <c r="AA6242" s="25"/>
    </row>
    <row r="6243" spans="1:27" x14ac:dyDescent="0.35">
      <c r="A6243" s="5">
        <v>6239</v>
      </c>
      <c r="B6243" s="5">
        <v>260</v>
      </c>
      <c r="C6243" s="5">
        <v>9</v>
      </c>
      <c r="D6243" s="25">
        <v>1.1416E-4</v>
      </c>
      <c r="E6243" s="25">
        <v>1.0509999999999999E-4</v>
      </c>
      <c r="F6243" s="25">
        <v>1.1746E-4</v>
      </c>
      <c r="G6243" s="25">
        <v>5.2290000000000002E-5</v>
      </c>
      <c r="H6243" s="25">
        <v>6.6039999999999998E-5</v>
      </c>
      <c r="I6243" s="9">
        <v>1.0507E-4</v>
      </c>
      <c r="J6243" s="9">
        <v>1.0737E-4</v>
      </c>
      <c r="K6243" s="9">
        <v>2.0346000000000001E-4</v>
      </c>
      <c r="L6243" s="9">
        <v>9.1279999999999993E-5</v>
      </c>
      <c r="M6243" s="9">
        <v>9.959E-5</v>
      </c>
      <c r="N6243" s="9">
        <v>1.0039000000000001E-4</v>
      </c>
      <c r="O6243" s="9">
        <v>7.8129999999999999E-5</v>
      </c>
      <c r="P6243" s="9">
        <v>7.2459999999999994E-5</v>
      </c>
      <c r="Q6243" s="9">
        <v>6.7189999999999999E-5</v>
      </c>
      <c r="R6243" s="10">
        <v>1.4987765563842853E-4</v>
      </c>
      <c r="S6243" s="10">
        <v>1.379763653216531E-4</v>
      </c>
      <c r="T6243" s="10">
        <v>0</v>
      </c>
      <c r="U6243" s="10">
        <v>7.2719999999999995E-5</v>
      </c>
      <c r="V6243" s="25"/>
      <c r="W6243" s="25"/>
      <c r="X6243" s="25"/>
      <c r="Y6243" s="25"/>
      <c r="Z6243" s="25"/>
      <c r="AA6243" s="25"/>
    </row>
    <row r="6244" spans="1:27" x14ac:dyDescent="0.35">
      <c r="A6244" s="5">
        <v>6240</v>
      </c>
      <c r="B6244" s="5">
        <v>260</v>
      </c>
      <c r="C6244" s="5">
        <v>9</v>
      </c>
      <c r="D6244" s="25">
        <v>1.1415000000000001E-4</v>
      </c>
      <c r="E6244" s="25">
        <v>1.1404E-4</v>
      </c>
      <c r="F6244" s="25">
        <v>1.1934000000000001E-4</v>
      </c>
      <c r="G6244" s="25">
        <v>6.2379999999999996E-5</v>
      </c>
      <c r="H6244" s="25">
        <v>7.6550000000000004E-5</v>
      </c>
      <c r="I6244" s="9">
        <v>9.8919999999999995E-5</v>
      </c>
      <c r="J6244" s="9">
        <v>9.9770000000000002E-5</v>
      </c>
      <c r="K6244" s="9">
        <v>2.1618000000000001E-4</v>
      </c>
      <c r="L6244" s="9">
        <v>8.0989999999999995E-5</v>
      </c>
      <c r="M6244" s="9">
        <v>8.6609999999999999E-5</v>
      </c>
      <c r="N6244" s="9">
        <v>9.1050000000000004E-5</v>
      </c>
      <c r="O6244" s="9">
        <v>6.2920000000000001E-5</v>
      </c>
      <c r="P6244" s="9">
        <v>6.0869999999999998E-5</v>
      </c>
      <c r="Q6244" s="9">
        <v>5.9049999999999999E-5</v>
      </c>
      <c r="R6244" s="10">
        <v>1.7914214955561456E-4</v>
      </c>
      <c r="S6244" s="10">
        <v>1.5075946732990599E-4</v>
      </c>
      <c r="T6244" s="10">
        <v>0</v>
      </c>
      <c r="U6244" s="10">
        <v>7.2719999999999995E-5</v>
      </c>
      <c r="V6244" s="25"/>
      <c r="W6244" s="25"/>
      <c r="X6244" s="25"/>
      <c r="Y6244" s="25"/>
      <c r="Z6244" s="25"/>
      <c r="AA6244" s="25"/>
    </row>
    <row r="6245" spans="1:27" x14ac:dyDescent="0.35">
      <c r="A6245" s="5">
        <v>6241</v>
      </c>
      <c r="B6245" s="5">
        <v>261</v>
      </c>
      <c r="C6245" s="5">
        <v>9</v>
      </c>
      <c r="D6245" s="25">
        <v>1.1416E-4</v>
      </c>
      <c r="E6245" s="25">
        <v>1.1828999999999999E-4</v>
      </c>
      <c r="F6245" s="25">
        <v>1.0632999999999999E-4</v>
      </c>
      <c r="G6245" s="25">
        <v>6.198E-5</v>
      </c>
      <c r="H6245" s="25">
        <v>6.3730000000000001E-5</v>
      </c>
      <c r="I6245" s="9">
        <v>9.4359999999999998E-5</v>
      </c>
      <c r="J6245" s="9">
        <v>9.4300000000000002E-5</v>
      </c>
      <c r="K6245" s="9">
        <v>2.2041000000000001E-4</v>
      </c>
      <c r="L6245" s="9">
        <v>6.69E-5</v>
      </c>
      <c r="M6245" s="9">
        <v>7.436E-5</v>
      </c>
      <c r="N6245" s="9">
        <v>8.1559999999999998E-5</v>
      </c>
      <c r="O6245" s="9">
        <v>5.4129999999999998E-5</v>
      </c>
      <c r="P6245" s="9">
        <v>5.3550000000000001E-5</v>
      </c>
      <c r="Q6245" s="9">
        <v>5.3130000000000001E-5</v>
      </c>
      <c r="R6245" s="10">
        <v>1.7397301272292664E-4</v>
      </c>
      <c r="S6245" s="10">
        <v>1.5527655588987437E-4</v>
      </c>
      <c r="T6245" s="10">
        <v>0</v>
      </c>
      <c r="U6245" s="10">
        <v>7.2899999999999997E-5</v>
      </c>
      <c r="V6245" s="25"/>
      <c r="W6245" s="25"/>
      <c r="X6245" s="25"/>
      <c r="Y6245" s="25"/>
      <c r="Z6245" s="25"/>
      <c r="AA6245" s="25"/>
    </row>
    <row r="6246" spans="1:27" x14ac:dyDescent="0.35">
      <c r="A6246" s="5">
        <v>6242</v>
      </c>
      <c r="B6246" s="5">
        <v>261</v>
      </c>
      <c r="C6246" s="5">
        <v>9</v>
      </c>
      <c r="D6246" s="25">
        <v>1.1415000000000001E-4</v>
      </c>
      <c r="E6246" s="25">
        <v>1.1449E-4</v>
      </c>
      <c r="F6246" s="25">
        <v>1.1736E-4</v>
      </c>
      <c r="G6246" s="25">
        <v>5.4370000000000003E-5</v>
      </c>
      <c r="H6246" s="25">
        <v>6.703E-5</v>
      </c>
      <c r="I6246" s="9">
        <v>9.1459999999999995E-5</v>
      </c>
      <c r="J6246" s="9">
        <v>9.1589999999999996E-5</v>
      </c>
      <c r="K6246" s="9">
        <v>2.2887999999999999E-4</v>
      </c>
      <c r="L6246" s="9">
        <v>5.7330000000000002E-5</v>
      </c>
      <c r="M6246" s="9">
        <v>6.3960000000000004E-5</v>
      </c>
      <c r="N6246" s="9">
        <v>7.2280000000000006E-5</v>
      </c>
      <c r="O6246" s="9">
        <v>1.9040000000000001E-5</v>
      </c>
      <c r="P6246" s="9">
        <v>3.7950000000000001E-5</v>
      </c>
      <c r="Q6246" s="9">
        <v>5.6480000000000001E-5</v>
      </c>
      <c r="R6246" s="10">
        <v>1.6435442398295543E-4</v>
      </c>
      <c r="S6246" s="10">
        <v>1.5371967230174116E-4</v>
      </c>
      <c r="T6246" s="10">
        <v>0</v>
      </c>
      <c r="U6246" s="10">
        <v>7.2899999999999997E-5</v>
      </c>
      <c r="V6246" s="25"/>
      <c r="W6246" s="25"/>
      <c r="X6246" s="25"/>
      <c r="Y6246" s="25"/>
      <c r="Z6246" s="25"/>
      <c r="AA6246" s="25"/>
    </row>
    <row r="6247" spans="1:27" x14ac:dyDescent="0.35">
      <c r="A6247" s="5">
        <v>6243</v>
      </c>
      <c r="B6247" s="5">
        <v>261</v>
      </c>
      <c r="C6247" s="5">
        <v>9</v>
      </c>
      <c r="D6247" s="25">
        <v>1.1416E-4</v>
      </c>
      <c r="E6247" s="25">
        <v>1.2255999999999999E-4</v>
      </c>
      <c r="F6247" s="25">
        <v>1.147E-4</v>
      </c>
      <c r="G6247" s="25">
        <v>5.8409999999999998E-5</v>
      </c>
      <c r="H6247" s="25">
        <v>7.415E-5</v>
      </c>
      <c r="I6247" s="9">
        <v>9.0309999999999994E-5</v>
      </c>
      <c r="J6247" s="9">
        <v>9.0030000000000004E-5</v>
      </c>
      <c r="K6247" s="9">
        <v>2.1617000000000001E-4</v>
      </c>
      <c r="L6247" s="9">
        <v>2.7679999999999999E-5</v>
      </c>
      <c r="M6247" s="9">
        <v>5.2210000000000003E-5</v>
      </c>
      <c r="N6247" s="9">
        <v>6.5699999999999998E-5</v>
      </c>
      <c r="O6247" s="9">
        <v>1.3380000000000001E-5</v>
      </c>
      <c r="P6247" s="9">
        <v>3.752E-5</v>
      </c>
      <c r="Q6247" s="9">
        <v>6.1160000000000004E-5</v>
      </c>
      <c r="R6247" s="10">
        <v>1.5427658757810161E-4</v>
      </c>
      <c r="S6247" s="10">
        <v>1.4328593977845272E-4</v>
      </c>
      <c r="T6247" s="10">
        <v>0</v>
      </c>
      <c r="U6247" s="10">
        <v>7.2899999999999997E-5</v>
      </c>
      <c r="V6247" s="25"/>
      <c r="W6247" s="25"/>
      <c r="X6247" s="25"/>
      <c r="Y6247" s="25"/>
      <c r="Z6247" s="25"/>
      <c r="AA6247" s="25"/>
    </row>
    <row r="6248" spans="1:27" x14ac:dyDescent="0.35">
      <c r="A6248" s="5">
        <v>6244</v>
      </c>
      <c r="B6248" s="5">
        <v>261</v>
      </c>
      <c r="C6248" s="5">
        <v>9</v>
      </c>
      <c r="D6248" s="25">
        <v>1.1415000000000001E-4</v>
      </c>
      <c r="E6248" s="25">
        <v>1.2307999999999999E-4</v>
      </c>
      <c r="F6248" s="25">
        <v>1.1275E-4</v>
      </c>
      <c r="G6248" s="25">
        <v>5.5829999999999999E-5</v>
      </c>
      <c r="H6248" s="25">
        <v>6.7849999999999996E-5</v>
      </c>
      <c r="I6248" s="9">
        <v>8.9010000000000003E-5</v>
      </c>
      <c r="J6248" s="9">
        <v>8.9439999999999997E-5</v>
      </c>
      <c r="K6248" s="9">
        <v>2.3735999999999999E-4</v>
      </c>
      <c r="L6248" s="9">
        <v>1.7260000000000001E-5</v>
      </c>
      <c r="M6248" s="9">
        <v>4.4140000000000001E-5</v>
      </c>
      <c r="N6248" s="9">
        <v>6.1940000000000007E-5</v>
      </c>
      <c r="O6248" s="9">
        <v>1.3570000000000001E-5</v>
      </c>
      <c r="P6248" s="9">
        <v>4.7559999999999999E-5</v>
      </c>
      <c r="Q6248" s="9">
        <v>8.0879999999999998E-5</v>
      </c>
      <c r="R6248" s="10">
        <v>1.4489609247751825E-4</v>
      </c>
      <c r="S6248" s="10">
        <v>1.2786075418494899E-4</v>
      </c>
      <c r="T6248" s="10">
        <v>0</v>
      </c>
      <c r="U6248" s="10">
        <v>7.2899999999999997E-5</v>
      </c>
      <c r="V6248" s="25"/>
      <c r="W6248" s="25"/>
      <c r="X6248" s="25"/>
      <c r="Y6248" s="25"/>
      <c r="Z6248" s="25"/>
      <c r="AA6248" s="25"/>
    </row>
    <row r="6249" spans="1:27" x14ac:dyDescent="0.35">
      <c r="A6249" s="5">
        <v>6245</v>
      </c>
      <c r="B6249" s="5">
        <v>261</v>
      </c>
      <c r="C6249" s="5">
        <v>9</v>
      </c>
      <c r="D6249" s="25">
        <v>1.1416E-4</v>
      </c>
      <c r="E6249" s="25">
        <v>1.2265E-4</v>
      </c>
      <c r="F6249" s="25">
        <v>1.1937E-4</v>
      </c>
      <c r="G6249" s="25">
        <v>5.2320000000000001E-5</v>
      </c>
      <c r="H6249" s="25">
        <v>7.0489999999999998E-5</v>
      </c>
      <c r="I6249" s="9">
        <v>8.9679999999999995E-5</v>
      </c>
      <c r="J6249" s="9">
        <v>9.0229999999999995E-5</v>
      </c>
      <c r="K6249" s="9">
        <v>2.1617000000000001E-4</v>
      </c>
      <c r="L6249" s="9">
        <v>1.4630000000000001E-5</v>
      </c>
      <c r="M6249" s="9">
        <v>4.3550000000000001E-5</v>
      </c>
      <c r="N6249" s="9">
        <v>6.4540000000000002E-5</v>
      </c>
      <c r="O6249" s="9">
        <v>1.8960000000000001E-5</v>
      </c>
      <c r="P6249" s="9">
        <v>5.6700000000000003E-5</v>
      </c>
      <c r="Q6249" s="9">
        <v>9.3759999999999997E-5</v>
      </c>
      <c r="R6249" s="10">
        <v>1.3656173263557891E-4</v>
      </c>
      <c r="S6249" s="10">
        <v>1.0486621748428543E-4</v>
      </c>
      <c r="T6249" s="10">
        <v>0</v>
      </c>
      <c r="U6249" s="10">
        <v>7.2899999999999997E-5</v>
      </c>
      <c r="V6249" s="25"/>
      <c r="W6249" s="25"/>
      <c r="X6249" s="25"/>
      <c r="Y6249" s="25"/>
      <c r="Z6249" s="25"/>
      <c r="AA6249" s="25"/>
    </row>
    <row r="6250" spans="1:27" x14ac:dyDescent="0.35">
      <c r="A6250" s="5">
        <v>6246</v>
      </c>
      <c r="B6250" s="5">
        <v>261</v>
      </c>
      <c r="C6250" s="5">
        <v>9</v>
      </c>
      <c r="D6250" s="25">
        <v>1.1415000000000001E-4</v>
      </c>
      <c r="E6250" s="25">
        <v>1.2188000000000001E-4</v>
      </c>
      <c r="F6250" s="25">
        <v>1.0162000000000001E-4</v>
      </c>
      <c r="G6250" s="25">
        <v>1.1103999999999999E-4</v>
      </c>
      <c r="H6250" s="25">
        <v>1.2569E-4</v>
      </c>
      <c r="I6250" s="9">
        <v>9.391E-5</v>
      </c>
      <c r="J6250" s="9">
        <v>9.3960000000000002E-5</v>
      </c>
      <c r="K6250" s="9">
        <v>1.9922000000000001E-4</v>
      </c>
      <c r="L6250" s="9">
        <v>1.7880000000000002E-5</v>
      </c>
      <c r="M6250" s="9">
        <v>4.8489999999999998E-5</v>
      </c>
      <c r="N6250" s="9">
        <v>7.1099999999999994E-5</v>
      </c>
      <c r="O6250" s="9">
        <v>4.6220000000000001E-5</v>
      </c>
      <c r="P6250" s="9">
        <v>7.6699999999999994E-5</v>
      </c>
      <c r="Q6250" s="9">
        <v>1.0681E-4</v>
      </c>
      <c r="R6250" s="10">
        <v>1.3724592673553044E-4</v>
      </c>
      <c r="S6250" s="10">
        <v>8.7677572985307172E-5</v>
      </c>
      <c r="T6250" s="10">
        <v>0</v>
      </c>
      <c r="U6250" s="10">
        <v>7.2899999999999997E-5</v>
      </c>
      <c r="V6250" s="25"/>
      <c r="W6250" s="25"/>
      <c r="X6250" s="25"/>
      <c r="Y6250" s="25"/>
      <c r="Z6250" s="25"/>
      <c r="AA6250" s="25"/>
    </row>
    <row r="6251" spans="1:27" x14ac:dyDescent="0.35">
      <c r="A6251" s="5">
        <v>6247</v>
      </c>
      <c r="B6251" s="5">
        <v>261</v>
      </c>
      <c r="C6251" s="5">
        <v>9</v>
      </c>
      <c r="D6251" s="25">
        <v>1.1416E-4</v>
      </c>
      <c r="E6251" s="25">
        <v>1.1654000000000001E-4</v>
      </c>
      <c r="F6251" s="25">
        <v>1.1629E-4</v>
      </c>
      <c r="G6251" s="25">
        <v>1.0900000000000001E-4</v>
      </c>
      <c r="H6251" s="25">
        <v>1.3430000000000001E-4</v>
      </c>
      <c r="I6251" s="9">
        <v>9.7819999999999995E-5</v>
      </c>
      <c r="J6251" s="9">
        <v>9.8339999999999997E-5</v>
      </c>
      <c r="K6251" s="9">
        <v>1.3352000000000001E-4</v>
      </c>
      <c r="L6251" s="9">
        <v>3.9839999999999998E-5</v>
      </c>
      <c r="M6251" s="9">
        <v>6.0040000000000001E-5</v>
      </c>
      <c r="N6251" s="9">
        <v>8.0749999999999998E-5</v>
      </c>
      <c r="O6251" s="9">
        <v>1.2232000000000001E-4</v>
      </c>
      <c r="P6251" s="9">
        <v>1.1671999999999999E-4</v>
      </c>
      <c r="Q6251" s="9">
        <v>1.1181E-4</v>
      </c>
      <c r="R6251" s="10">
        <v>1.4414475004224909E-4</v>
      </c>
      <c r="S6251" s="10">
        <v>7.3589536792125211E-5</v>
      </c>
      <c r="T6251" s="10">
        <v>5.3781973580553415E-5</v>
      </c>
      <c r="U6251" s="10">
        <v>7.2899999999999997E-5</v>
      </c>
      <c r="V6251" s="25"/>
      <c r="W6251" s="25"/>
      <c r="X6251" s="25"/>
      <c r="Y6251" s="25"/>
      <c r="Z6251" s="25"/>
      <c r="AA6251" s="25"/>
    </row>
    <row r="6252" spans="1:27" x14ac:dyDescent="0.35">
      <c r="A6252" s="5">
        <v>6248</v>
      </c>
      <c r="B6252" s="5">
        <v>261</v>
      </c>
      <c r="C6252" s="5">
        <v>9</v>
      </c>
      <c r="D6252" s="25">
        <v>1.1415000000000001E-4</v>
      </c>
      <c r="E6252" s="25">
        <v>1.1451E-4</v>
      </c>
      <c r="F6252" s="25">
        <v>1.1053E-4</v>
      </c>
      <c r="G6252" s="25">
        <v>1.6474999999999999E-4</v>
      </c>
      <c r="H6252" s="25">
        <v>1.8872999999999999E-4</v>
      </c>
      <c r="I6252" s="9">
        <v>1.0312E-4</v>
      </c>
      <c r="J6252" s="9">
        <v>1.0534E-4</v>
      </c>
      <c r="K6252" s="9">
        <v>6.5699999999999998E-5</v>
      </c>
      <c r="L6252" s="9">
        <v>1.0356E-4</v>
      </c>
      <c r="M6252" s="9">
        <v>8.3410000000000003E-5</v>
      </c>
      <c r="N6252" s="9">
        <v>9.0699999999999996E-5</v>
      </c>
      <c r="O6252" s="9">
        <v>2.1986999999999999E-4</v>
      </c>
      <c r="P6252" s="9">
        <v>1.7756E-4</v>
      </c>
      <c r="Q6252" s="9">
        <v>1.3716999999999999E-4</v>
      </c>
      <c r="R6252" s="10">
        <v>1.5232278681355434E-4</v>
      </c>
      <c r="S6252" s="10">
        <v>6.3380964222536267E-5</v>
      </c>
      <c r="T6252" s="10">
        <v>1.2387077051208073E-4</v>
      </c>
      <c r="U6252" s="10">
        <v>7.2899999999999997E-5</v>
      </c>
      <c r="V6252" s="25"/>
      <c r="W6252" s="25"/>
      <c r="X6252" s="25"/>
      <c r="Y6252" s="25"/>
      <c r="Z6252" s="25"/>
      <c r="AA6252" s="25"/>
    </row>
    <row r="6253" spans="1:27" x14ac:dyDescent="0.35">
      <c r="A6253" s="5">
        <v>6249</v>
      </c>
      <c r="B6253" s="5">
        <v>261</v>
      </c>
      <c r="C6253" s="5">
        <v>9</v>
      </c>
      <c r="D6253" s="25">
        <v>1.1416E-4</v>
      </c>
      <c r="E6253" s="25">
        <v>1.1472E-4</v>
      </c>
      <c r="F6253" s="25">
        <v>1.2223E-4</v>
      </c>
      <c r="G6253" s="25">
        <v>1.5667E-4</v>
      </c>
      <c r="H6253" s="25">
        <v>1.8657E-4</v>
      </c>
      <c r="I6253" s="9">
        <v>1.0935E-4</v>
      </c>
      <c r="J6253" s="9">
        <v>1.1155E-4</v>
      </c>
      <c r="K6253" s="9">
        <v>8.4800000000000001E-6</v>
      </c>
      <c r="L6253" s="9">
        <v>1.9254E-4</v>
      </c>
      <c r="M6253" s="9">
        <v>1.2334999999999999E-4</v>
      </c>
      <c r="N6253" s="9">
        <v>1.0454999999999999E-4</v>
      </c>
      <c r="O6253" s="9">
        <v>2.1176999999999999E-4</v>
      </c>
      <c r="P6253" s="9">
        <v>1.9396999999999999E-4</v>
      </c>
      <c r="Q6253" s="9">
        <v>1.7763999999999999E-4</v>
      </c>
      <c r="R6253" s="10">
        <v>1.5495192753659838E-4</v>
      </c>
      <c r="S6253" s="10">
        <v>5.7882750015440534E-5</v>
      </c>
      <c r="T6253" s="10">
        <v>3.3317843548009665E-4</v>
      </c>
      <c r="U6253" s="10">
        <v>7.2899999999999997E-5</v>
      </c>
      <c r="V6253" s="25"/>
      <c r="W6253" s="25"/>
      <c r="X6253" s="25"/>
      <c r="Y6253" s="25"/>
      <c r="Z6253" s="25"/>
      <c r="AA6253" s="25"/>
    </row>
    <row r="6254" spans="1:27" x14ac:dyDescent="0.35">
      <c r="A6254" s="5">
        <v>6250</v>
      </c>
      <c r="B6254" s="5">
        <v>261</v>
      </c>
      <c r="C6254" s="5">
        <v>9</v>
      </c>
      <c r="D6254" s="25">
        <v>1.1415000000000001E-4</v>
      </c>
      <c r="E6254" s="25">
        <v>1.1267E-4</v>
      </c>
      <c r="F6254" s="25">
        <v>1.0157000000000001E-4</v>
      </c>
      <c r="G6254" s="25">
        <v>1.6023E-4</v>
      </c>
      <c r="H6254" s="25">
        <v>1.9413000000000001E-4</v>
      </c>
      <c r="I6254" s="9">
        <v>1.1243000000000001E-4</v>
      </c>
      <c r="J6254" s="9">
        <v>1.1315999999999999E-4</v>
      </c>
      <c r="K6254" s="9">
        <v>0</v>
      </c>
      <c r="L6254" s="9">
        <v>2.052E-4</v>
      </c>
      <c r="M6254" s="9">
        <v>1.5891000000000001E-4</v>
      </c>
      <c r="N6254" s="9">
        <v>1.2472000000000001E-4</v>
      </c>
      <c r="O6254" s="9">
        <v>1.6735E-4</v>
      </c>
      <c r="P6254" s="9">
        <v>1.7458999999999999E-4</v>
      </c>
      <c r="Q6254" s="9">
        <v>1.8260999999999999E-4</v>
      </c>
      <c r="R6254" s="10">
        <v>1.3466228639113544E-4</v>
      </c>
      <c r="S6254" s="10">
        <v>5.3003100948645663E-5</v>
      </c>
      <c r="T6254" s="10">
        <v>3.4179848361984142E-4</v>
      </c>
      <c r="U6254" s="10">
        <v>7.2899999999999997E-5</v>
      </c>
      <c r="V6254" s="25"/>
      <c r="W6254" s="25"/>
      <c r="X6254" s="25"/>
      <c r="Y6254" s="25"/>
      <c r="Z6254" s="25"/>
      <c r="AA6254" s="25"/>
    </row>
    <row r="6255" spans="1:27" x14ac:dyDescent="0.35">
      <c r="A6255" s="5">
        <v>6251</v>
      </c>
      <c r="B6255" s="5">
        <v>261</v>
      </c>
      <c r="C6255" s="5">
        <v>9</v>
      </c>
      <c r="D6255" s="25">
        <v>1.1416E-4</v>
      </c>
      <c r="E6255" s="25">
        <v>1.1949E-4</v>
      </c>
      <c r="F6255" s="25">
        <v>1.0631E-4</v>
      </c>
      <c r="G6255" s="25">
        <v>1.671E-4</v>
      </c>
      <c r="H6255" s="25">
        <v>1.998E-4</v>
      </c>
      <c r="I6255" s="9">
        <v>1.1446E-4</v>
      </c>
      <c r="J6255" s="9">
        <v>1.1284E-4</v>
      </c>
      <c r="K6255" s="9">
        <v>0</v>
      </c>
      <c r="L6255" s="9">
        <v>1.7573999999999999E-4</v>
      </c>
      <c r="M6255" s="9">
        <v>1.728E-4</v>
      </c>
      <c r="N6255" s="9">
        <v>1.4291E-4</v>
      </c>
      <c r="O6255" s="9">
        <v>1.6516E-4</v>
      </c>
      <c r="P6255" s="9">
        <v>1.7096E-4</v>
      </c>
      <c r="Q6255" s="9">
        <v>1.7757E-4</v>
      </c>
      <c r="R6255" s="10">
        <v>1.3152910485687036E-4</v>
      </c>
      <c r="S6255" s="10">
        <v>5.1877340494283042E-5</v>
      </c>
      <c r="T6255" s="10">
        <v>5.8679111165455672E-4</v>
      </c>
      <c r="U6255" s="10">
        <v>7.2899999999999997E-5</v>
      </c>
      <c r="V6255" s="25"/>
      <c r="W6255" s="25"/>
      <c r="X6255" s="25"/>
      <c r="Y6255" s="25"/>
      <c r="Z6255" s="25"/>
      <c r="AA6255" s="25"/>
    </row>
    <row r="6256" spans="1:27" x14ac:dyDescent="0.35">
      <c r="A6256" s="5">
        <v>6252</v>
      </c>
      <c r="B6256" s="5">
        <v>261</v>
      </c>
      <c r="C6256" s="5">
        <v>9</v>
      </c>
      <c r="D6256" s="25">
        <v>1.1415000000000001E-4</v>
      </c>
      <c r="E6256" s="25">
        <v>1.2061999999999999E-4</v>
      </c>
      <c r="F6256" s="25">
        <v>1.0437000000000001E-4</v>
      </c>
      <c r="G6256" s="25">
        <v>1.6321E-4</v>
      </c>
      <c r="H6256" s="25">
        <v>1.8946999999999999E-4</v>
      </c>
      <c r="I6256" s="9">
        <v>1.1304E-4</v>
      </c>
      <c r="J6256" s="9">
        <v>1.1158E-4</v>
      </c>
      <c r="K6256" s="9">
        <v>0</v>
      </c>
      <c r="L6256" s="9">
        <v>1.6891000000000001E-4</v>
      </c>
      <c r="M6256" s="9">
        <v>1.7448999999999999E-4</v>
      </c>
      <c r="N6256" s="9">
        <v>1.5656000000000001E-4</v>
      </c>
      <c r="O6256" s="9">
        <v>1.6969000000000001E-4</v>
      </c>
      <c r="P6256" s="9">
        <v>1.7147000000000001E-4</v>
      </c>
      <c r="Q6256" s="9">
        <v>1.7414000000000001E-4</v>
      </c>
      <c r="R6256" s="10">
        <v>1.324982296273487E-4</v>
      </c>
      <c r="S6256" s="10">
        <v>5.094031405320164E-5</v>
      </c>
      <c r="T6256" s="10">
        <v>5.003954913720554E-4</v>
      </c>
      <c r="U6256" s="10">
        <v>7.2899999999999997E-5</v>
      </c>
      <c r="V6256" s="25"/>
      <c r="W6256" s="25"/>
      <c r="X6256" s="25"/>
      <c r="Y6256" s="25"/>
      <c r="Z6256" s="25"/>
      <c r="AA6256" s="25"/>
    </row>
    <row r="6257" spans="1:27" x14ac:dyDescent="0.35">
      <c r="A6257" s="5">
        <v>6253</v>
      </c>
      <c r="B6257" s="5">
        <v>261</v>
      </c>
      <c r="C6257" s="5">
        <v>9</v>
      </c>
      <c r="D6257" s="25">
        <v>1.1416E-4</v>
      </c>
      <c r="E6257" s="25">
        <v>1.1544000000000001E-4</v>
      </c>
      <c r="F6257" s="25">
        <v>1.1961E-4</v>
      </c>
      <c r="G6257" s="25">
        <v>1.6189000000000001E-4</v>
      </c>
      <c r="H6257" s="25">
        <v>1.9352E-4</v>
      </c>
      <c r="I6257" s="9">
        <v>1.0903E-4</v>
      </c>
      <c r="J6257" s="9">
        <v>1.0961E-4</v>
      </c>
      <c r="K6257" s="9">
        <v>0</v>
      </c>
      <c r="L6257" s="9">
        <v>1.6974000000000001E-4</v>
      </c>
      <c r="M6257" s="9">
        <v>1.7333E-4</v>
      </c>
      <c r="N6257" s="9">
        <v>1.6603000000000001E-4</v>
      </c>
      <c r="O6257" s="9">
        <v>1.6118999999999999E-4</v>
      </c>
      <c r="P6257" s="9">
        <v>1.6377000000000001E-4</v>
      </c>
      <c r="Q6257" s="9">
        <v>1.6715999999999999E-4</v>
      </c>
      <c r="R6257" s="10">
        <v>1.0259793120349374E-4</v>
      </c>
      <c r="S6257" s="10">
        <v>4.871046125353397E-5</v>
      </c>
      <c r="T6257" s="10">
        <v>2.8990002449501967E-4</v>
      </c>
      <c r="U6257" s="10">
        <v>7.2899999999999997E-5</v>
      </c>
      <c r="V6257" s="25"/>
      <c r="W6257" s="25"/>
      <c r="X6257" s="25"/>
      <c r="Y6257" s="25"/>
      <c r="Z6257" s="25"/>
      <c r="AA6257" s="25"/>
    </row>
    <row r="6258" spans="1:27" x14ac:dyDescent="0.35">
      <c r="A6258" s="5">
        <v>6254</v>
      </c>
      <c r="B6258" s="5">
        <v>261</v>
      </c>
      <c r="C6258" s="5">
        <v>9</v>
      </c>
      <c r="D6258" s="25">
        <v>1.1415000000000001E-4</v>
      </c>
      <c r="E6258" s="25">
        <v>1.2353E-4</v>
      </c>
      <c r="F6258" s="25">
        <v>1.0936E-4</v>
      </c>
      <c r="G6258" s="25">
        <v>1.6055999999999999E-4</v>
      </c>
      <c r="H6258" s="25">
        <v>1.8749000000000001E-4</v>
      </c>
      <c r="I6258" s="9">
        <v>1.0849E-4</v>
      </c>
      <c r="J6258" s="9">
        <v>1.0904999999999999E-4</v>
      </c>
      <c r="K6258" s="9">
        <v>0</v>
      </c>
      <c r="L6258" s="9">
        <v>1.6279000000000001E-4</v>
      </c>
      <c r="M6258" s="9">
        <v>1.6959000000000001E-4</v>
      </c>
      <c r="N6258" s="9">
        <v>1.7027000000000001E-4</v>
      </c>
      <c r="O6258" s="9">
        <v>1.7914999999999999E-4</v>
      </c>
      <c r="P6258" s="9">
        <v>1.6995000000000001E-4</v>
      </c>
      <c r="Q6258" s="9">
        <v>1.6186999999999999E-4</v>
      </c>
      <c r="R6258" s="10">
        <v>9.9346038414991193E-5</v>
      </c>
      <c r="S6258" s="10">
        <v>4.5403234760374178E-5</v>
      </c>
      <c r="T6258" s="10">
        <v>2.0507399959229477E-4</v>
      </c>
      <c r="U6258" s="10">
        <v>7.2899999999999997E-5</v>
      </c>
      <c r="V6258" s="25"/>
      <c r="W6258" s="25"/>
      <c r="X6258" s="25"/>
      <c r="Y6258" s="25"/>
      <c r="Z6258" s="25"/>
      <c r="AA6258" s="25"/>
    </row>
    <row r="6259" spans="1:27" x14ac:dyDescent="0.35">
      <c r="A6259" s="5">
        <v>6255</v>
      </c>
      <c r="B6259" s="5">
        <v>261</v>
      </c>
      <c r="C6259" s="5">
        <v>9</v>
      </c>
      <c r="D6259" s="25">
        <v>1.1416E-4</v>
      </c>
      <c r="E6259" s="25">
        <v>1.2375999999999999E-4</v>
      </c>
      <c r="F6259" s="25">
        <v>1.0449E-4</v>
      </c>
      <c r="G6259" s="25">
        <v>1.5920999999999999E-4</v>
      </c>
      <c r="H6259" s="25">
        <v>1.8667E-4</v>
      </c>
      <c r="I6259" s="9">
        <v>1.0563E-4</v>
      </c>
      <c r="J6259" s="9">
        <v>1.0875E-4</v>
      </c>
      <c r="K6259" s="9">
        <v>0</v>
      </c>
      <c r="L6259" s="9">
        <v>1.7571000000000001E-4</v>
      </c>
      <c r="M6259" s="9">
        <v>1.6866E-4</v>
      </c>
      <c r="N6259" s="9">
        <v>1.7002E-4</v>
      </c>
      <c r="O6259" s="9">
        <v>1.8432999999999999E-4</v>
      </c>
      <c r="P6259" s="9">
        <v>1.6828000000000001E-4</v>
      </c>
      <c r="Q6259" s="9">
        <v>1.5349E-4</v>
      </c>
      <c r="R6259" s="10">
        <v>9.7860970722068809E-5</v>
      </c>
      <c r="S6259" s="10">
        <v>3.7670033995549475E-5</v>
      </c>
      <c r="T6259" s="10">
        <v>2.6348840061802599E-4</v>
      </c>
      <c r="U6259" s="10">
        <v>7.2899999999999997E-5</v>
      </c>
      <c r="V6259" s="25"/>
      <c r="W6259" s="25"/>
      <c r="X6259" s="25"/>
      <c r="Y6259" s="25"/>
      <c r="Z6259" s="25"/>
      <c r="AA6259" s="25"/>
    </row>
    <row r="6260" spans="1:27" x14ac:dyDescent="0.35">
      <c r="A6260" s="5">
        <v>6256</v>
      </c>
      <c r="B6260" s="5">
        <v>261</v>
      </c>
      <c r="C6260" s="5">
        <v>9</v>
      </c>
      <c r="D6260" s="25">
        <v>1.1415000000000001E-4</v>
      </c>
      <c r="E6260" s="25">
        <v>1.2389000000000001E-4</v>
      </c>
      <c r="F6260" s="25">
        <v>1.0954E-4</v>
      </c>
      <c r="G6260" s="25">
        <v>1.5860000000000001E-4</v>
      </c>
      <c r="H6260" s="25">
        <v>1.9301999999999999E-4</v>
      </c>
      <c r="I6260" s="9">
        <v>1.0618E-4</v>
      </c>
      <c r="J6260" s="9">
        <v>1.1021E-4</v>
      </c>
      <c r="K6260" s="9">
        <v>0</v>
      </c>
      <c r="L6260" s="9">
        <v>1.8211E-4</v>
      </c>
      <c r="M6260" s="9">
        <v>1.6836999999999999E-4</v>
      </c>
      <c r="N6260" s="9">
        <v>1.6635E-4</v>
      </c>
      <c r="O6260" s="9">
        <v>1.9577E-4</v>
      </c>
      <c r="P6260" s="9">
        <v>1.5154E-4</v>
      </c>
      <c r="Q6260" s="9">
        <v>1.0911E-4</v>
      </c>
      <c r="R6260" s="10">
        <v>7.5650493514213513E-5</v>
      </c>
      <c r="S6260" s="10">
        <v>2.6350274209334601E-5</v>
      </c>
      <c r="T6260" s="10">
        <v>2.3310612464516565E-4</v>
      </c>
      <c r="U6260" s="10">
        <v>7.2899999999999997E-5</v>
      </c>
      <c r="V6260" s="25"/>
      <c r="W6260" s="25"/>
      <c r="X6260" s="25"/>
      <c r="Y6260" s="25"/>
      <c r="Z6260" s="25"/>
      <c r="AA6260" s="25"/>
    </row>
    <row r="6261" spans="1:27" x14ac:dyDescent="0.35">
      <c r="A6261" s="5">
        <v>6257</v>
      </c>
      <c r="B6261" s="5">
        <v>261</v>
      </c>
      <c r="C6261" s="5">
        <v>9</v>
      </c>
      <c r="D6261" s="25">
        <v>1.1416E-4</v>
      </c>
      <c r="E6261" s="25">
        <v>1.1827E-4</v>
      </c>
      <c r="F6261" s="25">
        <v>1.0789999999999999E-4</v>
      </c>
      <c r="G6261" s="25">
        <v>1.5825E-4</v>
      </c>
      <c r="H6261" s="25">
        <v>1.9751999999999999E-4</v>
      </c>
      <c r="I6261" s="9">
        <v>1.0774E-4</v>
      </c>
      <c r="J6261" s="9">
        <v>1.131E-4</v>
      </c>
      <c r="K6261" s="9">
        <v>4.2400000000000001E-6</v>
      </c>
      <c r="L6261" s="9">
        <v>1.9253E-4</v>
      </c>
      <c r="M6261" s="9">
        <v>1.6233E-4</v>
      </c>
      <c r="N6261" s="9">
        <v>1.5254E-4</v>
      </c>
      <c r="O6261" s="9">
        <v>2.1165999999999999E-4</v>
      </c>
      <c r="P6261" s="9">
        <v>1.5792000000000001E-4</v>
      </c>
      <c r="Q6261" s="9">
        <v>1.0622E-4</v>
      </c>
      <c r="R6261" s="10">
        <v>5.9013723625988326E-5</v>
      </c>
      <c r="S6261" s="10">
        <v>1.8032191372488267E-5</v>
      </c>
      <c r="T6261" s="10">
        <v>1.5572083027251573E-4</v>
      </c>
      <c r="U6261" s="10">
        <v>7.2899999999999997E-5</v>
      </c>
      <c r="V6261" s="25"/>
      <c r="W6261" s="25"/>
      <c r="X6261" s="25"/>
      <c r="Y6261" s="25"/>
      <c r="Z6261" s="25"/>
      <c r="AA6261" s="25"/>
    </row>
    <row r="6262" spans="1:27" x14ac:dyDescent="0.35">
      <c r="A6262" s="5">
        <v>6258</v>
      </c>
      <c r="B6262" s="5">
        <v>261</v>
      </c>
      <c r="C6262" s="5">
        <v>9</v>
      </c>
      <c r="D6262" s="25">
        <v>1.1415000000000001E-4</v>
      </c>
      <c r="E6262" s="25">
        <v>1.1807999999999999E-4</v>
      </c>
      <c r="F6262" s="25">
        <v>1.0111999999999999E-4</v>
      </c>
      <c r="G6262" s="25">
        <v>1.6354999999999999E-4</v>
      </c>
      <c r="H6262" s="25">
        <v>1.8726999999999999E-4</v>
      </c>
      <c r="I6262" s="9">
        <v>1.0809E-4</v>
      </c>
      <c r="J6262" s="9">
        <v>1.1271E-4</v>
      </c>
      <c r="K6262" s="9">
        <v>6.1459999999999998E-5</v>
      </c>
      <c r="L6262" s="9">
        <v>2.0725999999999999E-4</v>
      </c>
      <c r="M6262" s="9">
        <v>1.5906000000000001E-4</v>
      </c>
      <c r="N6262" s="9">
        <v>1.3899999999999999E-4</v>
      </c>
      <c r="O6262" s="9">
        <v>2.0510999999999999E-4</v>
      </c>
      <c r="P6262" s="9">
        <v>1.6050999999999999E-4</v>
      </c>
      <c r="Q6262" s="9">
        <v>1.1776E-4</v>
      </c>
      <c r="R6262" s="10">
        <v>6.3325498237300356E-5</v>
      </c>
      <c r="S6262" s="10">
        <v>1.0740557539410661E-5</v>
      </c>
      <c r="T6262" s="10">
        <v>1.7392813667792159E-5</v>
      </c>
      <c r="U6262" s="10">
        <v>7.2899999999999997E-5</v>
      </c>
      <c r="V6262" s="25"/>
      <c r="W6262" s="25"/>
      <c r="X6262" s="25"/>
      <c r="Y6262" s="25"/>
      <c r="Z6262" s="25"/>
      <c r="AA6262" s="25"/>
    </row>
    <row r="6263" spans="1:27" x14ac:dyDescent="0.35">
      <c r="A6263" s="5">
        <v>6259</v>
      </c>
      <c r="B6263" s="5">
        <v>261</v>
      </c>
      <c r="C6263" s="5">
        <v>9</v>
      </c>
      <c r="D6263" s="25">
        <v>1.1416E-4</v>
      </c>
      <c r="E6263" s="25">
        <v>1.1417999999999999E-4</v>
      </c>
      <c r="F6263" s="25">
        <v>1.0556E-4</v>
      </c>
      <c r="G6263" s="25">
        <v>1.111E-4</v>
      </c>
      <c r="H6263" s="25">
        <v>1.3155E-4</v>
      </c>
      <c r="I6263" s="9">
        <v>1.0628000000000001E-4</v>
      </c>
      <c r="J6263" s="9">
        <v>1.1208E-4</v>
      </c>
      <c r="K6263" s="9">
        <v>1.0597E-4</v>
      </c>
      <c r="L6263" s="9">
        <v>2.0521E-4</v>
      </c>
      <c r="M6263" s="9">
        <v>1.5888999999999999E-4</v>
      </c>
      <c r="N6263" s="9">
        <v>1.2996000000000001E-4</v>
      </c>
      <c r="O6263" s="9">
        <v>1.6286999999999999E-4</v>
      </c>
      <c r="P6263" s="9">
        <v>1.3391E-4</v>
      </c>
      <c r="Q6263" s="9">
        <v>1.0629E-4</v>
      </c>
      <c r="R6263" s="10">
        <v>4.7308582520650621E-5</v>
      </c>
      <c r="S6263" s="10">
        <v>8.2712758766013985E-6</v>
      </c>
      <c r="T6263" s="10">
        <v>0</v>
      </c>
      <c r="U6263" s="10">
        <v>7.2899999999999997E-5</v>
      </c>
      <c r="V6263" s="25"/>
      <c r="W6263" s="25"/>
      <c r="X6263" s="25"/>
      <c r="Y6263" s="25"/>
      <c r="Z6263" s="25"/>
      <c r="AA6263" s="25"/>
    </row>
    <row r="6264" spans="1:27" x14ac:dyDescent="0.35">
      <c r="A6264" s="5">
        <v>6260</v>
      </c>
      <c r="B6264" s="5">
        <v>261</v>
      </c>
      <c r="C6264" s="5">
        <v>9</v>
      </c>
      <c r="D6264" s="25">
        <v>1.1415000000000001E-4</v>
      </c>
      <c r="E6264" s="25">
        <v>1.1485E-4</v>
      </c>
      <c r="F6264" s="25">
        <v>1.0877E-4</v>
      </c>
      <c r="G6264" s="25">
        <v>1.1249E-4</v>
      </c>
      <c r="H6264" s="25">
        <v>1.3637999999999999E-4</v>
      </c>
      <c r="I6264" s="9">
        <v>1.0941E-4</v>
      </c>
      <c r="J6264" s="9">
        <v>1.1480999999999999E-4</v>
      </c>
      <c r="K6264" s="9">
        <v>1.1869E-4</v>
      </c>
      <c r="L6264" s="9">
        <v>1.7229999999999999E-4</v>
      </c>
      <c r="M6264" s="9">
        <v>1.5004999999999999E-4</v>
      </c>
      <c r="N6264" s="9">
        <v>1.2064E-4</v>
      </c>
      <c r="O6264" s="9">
        <v>1.2894E-4</v>
      </c>
      <c r="P6264" s="9">
        <v>1.1508E-4</v>
      </c>
      <c r="Q6264" s="9">
        <v>1.0208999999999999E-4</v>
      </c>
      <c r="R6264" s="10">
        <v>4.8891550049413051E-5</v>
      </c>
      <c r="S6264" s="10">
        <v>7.9213829282411308E-6</v>
      </c>
      <c r="T6264" s="10">
        <v>0</v>
      </c>
      <c r="U6264" s="10">
        <v>7.2899999999999997E-5</v>
      </c>
      <c r="V6264" s="25"/>
      <c r="W6264" s="25"/>
      <c r="X6264" s="25"/>
      <c r="Y6264" s="25"/>
      <c r="Z6264" s="25"/>
      <c r="AA6264" s="25"/>
    </row>
    <row r="6265" spans="1:27" x14ac:dyDescent="0.35">
      <c r="A6265" s="5">
        <v>6261</v>
      </c>
      <c r="B6265" s="5">
        <v>261</v>
      </c>
      <c r="C6265" s="5">
        <v>9</v>
      </c>
      <c r="D6265" s="25">
        <v>1.1416E-4</v>
      </c>
      <c r="E6265" s="25">
        <v>1.1796E-4</v>
      </c>
      <c r="F6265" s="25">
        <v>1.1673E-4</v>
      </c>
      <c r="G6265" s="25">
        <v>6.0210000000000001E-5</v>
      </c>
      <c r="H6265" s="25">
        <v>7.4870000000000007E-5</v>
      </c>
      <c r="I6265" s="9">
        <v>1.0563E-4</v>
      </c>
      <c r="J6265" s="9">
        <v>1.1052000000000001E-4</v>
      </c>
      <c r="K6265" s="9">
        <v>1.3776000000000001E-4</v>
      </c>
      <c r="L6265" s="9">
        <v>1.3949000000000001E-4</v>
      </c>
      <c r="M6265" s="9">
        <v>1.3498000000000001E-4</v>
      </c>
      <c r="N6265" s="9">
        <v>1.1298000000000001E-4</v>
      </c>
      <c r="O6265" s="9">
        <v>8.4779999999999998E-5</v>
      </c>
      <c r="P6265" s="9">
        <v>8.6459999999999996E-5</v>
      </c>
      <c r="Q6265" s="9">
        <v>8.8460000000000003E-5</v>
      </c>
      <c r="R6265" s="10">
        <v>4.6433048002992241E-5</v>
      </c>
      <c r="S6265" s="10">
        <v>8.1341439208656921E-6</v>
      </c>
      <c r="T6265" s="10">
        <v>0</v>
      </c>
      <c r="U6265" s="10">
        <v>7.2899999999999997E-5</v>
      </c>
      <c r="V6265" s="25"/>
      <c r="W6265" s="25"/>
      <c r="X6265" s="25"/>
      <c r="Y6265" s="25"/>
      <c r="Z6265" s="25"/>
      <c r="AA6265" s="25"/>
    </row>
    <row r="6266" spans="1:27" x14ac:dyDescent="0.35">
      <c r="A6266" s="5">
        <v>6262</v>
      </c>
      <c r="B6266" s="5">
        <v>261</v>
      </c>
      <c r="C6266" s="5">
        <v>9</v>
      </c>
      <c r="D6266" s="25">
        <v>1.1415000000000001E-4</v>
      </c>
      <c r="E6266" s="25">
        <v>1.17E-4</v>
      </c>
      <c r="F6266" s="25">
        <v>1.0356E-4</v>
      </c>
      <c r="G6266" s="25">
        <v>5.7609999999999999E-5</v>
      </c>
      <c r="H6266" s="25">
        <v>6.3360000000000003E-5</v>
      </c>
      <c r="I6266" s="9">
        <v>1.0266E-4</v>
      </c>
      <c r="J6266" s="9">
        <v>1.0579E-4</v>
      </c>
      <c r="K6266" s="9">
        <v>1.4835E-4</v>
      </c>
      <c r="L6266" s="9">
        <v>9.7720000000000006E-5</v>
      </c>
      <c r="M6266" s="9">
        <v>1.1364E-4</v>
      </c>
      <c r="N6266" s="9">
        <v>1.0545E-4</v>
      </c>
      <c r="O6266" s="9">
        <v>8.7180000000000002E-5</v>
      </c>
      <c r="P6266" s="9">
        <v>8.7460000000000006E-5</v>
      </c>
      <c r="Q6266" s="9">
        <v>8.8109999999999995E-5</v>
      </c>
      <c r="R6266" s="10">
        <v>4.6769898894626477E-5</v>
      </c>
      <c r="S6266" s="10">
        <v>1.0554166243867208E-5</v>
      </c>
      <c r="T6266" s="10">
        <v>0</v>
      </c>
      <c r="U6266" s="10">
        <v>7.2899999999999997E-5</v>
      </c>
      <c r="V6266" s="25"/>
      <c r="W6266" s="25"/>
      <c r="X6266" s="25"/>
      <c r="Y6266" s="25"/>
      <c r="Z6266" s="25"/>
      <c r="AA6266" s="25"/>
    </row>
    <row r="6267" spans="1:27" x14ac:dyDescent="0.35">
      <c r="A6267" s="5">
        <v>6263</v>
      </c>
      <c r="B6267" s="5">
        <v>261</v>
      </c>
      <c r="C6267" s="5">
        <v>9</v>
      </c>
      <c r="D6267" s="25">
        <v>1.1416E-4</v>
      </c>
      <c r="E6267" s="25">
        <v>1.2148E-4</v>
      </c>
      <c r="F6267" s="25">
        <v>1.2001E-4</v>
      </c>
      <c r="G6267" s="25">
        <v>6.0300000000000002E-5</v>
      </c>
      <c r="H6267" s="25">
        <v>6.6929999999999998E-5</v>
      </c>
      <c r="I6267" s="9">
        <v>9.8109999999999994E-5</v>
      </c>
      <c r="J6267" s="9">
        <v>1.0086000000000001E-4</v>
      </c>
      <c r="K6267" s="9">
        <v>1.5472000000000001E-4</v>
      </c>
      <c r="L6267" s="9">
        <v>9.0420000000000005E-5</v>
      </c>
      <c r="M6267" s="9">
        <v>9.8989999999999999E-5</v>
      </c>
      <c r="N6267" s="9">
        <v>9.9679999999999994E-5</v>
      </c>
      <c r="O6267" s="9">
        <v>7.8129999999999999E-5</v>
      </c>
      <c r="P6267" s="9">
        <v>7.2459999999999994E-5</v>
      </c>
      <c r="Q6267" s="9">
        <v>6.7189999999999999E-5</v>
      </c>
      <c r="R6267" s="10">
        <v>4.423643804727032E-5</v>
      </c>
      <c r="S6267" s="10">
        <v>1.625060896434912E-5</v>
      </c>
      <c r="T6267" s="10">
        <v>0</v>
      </c>
      <c r="U6267" s="10">
        <v>7.2899999999999997E-5</v>
      </c>
      <c r="V6267" s="25"/>
      <c r="W6267" s="25"/>
      <c r="X6267" s="25"/>
      <c r="Y6267" s="25"/>
      <c r="Z6267" s="25"/>
      <c r="AA6267" s="25"/>
    </row>
    <row r="6268" spans="1:27" x14ac:dyDescent="0.35">
      <c r="A6268" s="5">
        <v>6264</v>
      </c>
      <c r="B6268" s="5">
        <v>261</v>
      </c>
      <c r="C6268" s="5">
        <v>9</v>
      </c>
      <c r="D6268" s="25">
        <v>1.1415000000000001E-4</v>
      </c>
      <c r="E6268" s="25">
        <v>1.2292999999999999E-4</v>
      </c>
      <c r="F6268" s="25">
        <v>1.1055E-4</v>
      </c>
      <c r="G6268" s="25">
        <v>5.5550000000000002E-5</v>
      </c>
      <c r="H6268" s="25">
        <v>6.279E-5</v>
      </c>
      <c r="I6268" s="9">
        <v>9.2330000000000005E-5</v>
      </c>
      <c r="J6268" s="9">
        <v>9.4889999999999994E-5</v>
      </c>
      <c r="K6268" s="9">
        <v>1.7590999999999999E-4</v>
      </c>
      <c r="L6268" s="9">
        <v>8.0829999999999997E-5</v>
      </c>
      <c r="M6268" s="9">
        <v>8.6199999999999995E-5</v>
      </c>
      <c r="N6268" s="9">
        <v>9.0519999999999994E-5</v>
      </c>
      <c r="O6268" s="9">
        <v>6.2399999999999999E-5</v>
      </c>
      <c r="P6268" s="9">
        <v>6.0359999999999998E-5</v>
      </c>
      <c r="Q6268" s="9">
        <v>5.855E-5</v>
      </c>
      <c r="R6268" s="10">
        <v>3.2693096443614081E-5</v>
      </c>
      <c r="S6268" s="10">
        <v>2.8504236875437529E-5</v>
      </c>
      <c r="T6268" s="10">
        <v>0</v>
      </c>
      <c r="U6268" s="10">
        <v>7.2899999999999997E-5</v>
      </c>
      <c r="V6268" s="25"/>
      <c r="W6268" s="25"/>
      <c r="X6268" s="25"/>
      <c r="Y6268" s="25"/>
      <c r="Z6268" s="25"/>
      <c r="AA6268" s="25"/>
    </row>
    <row r="6269" spans="1:27" x14ac:dyDescent="0.35">
      <c r="A6269" s="5">
        <v>6265</v>
      </c>
      <c r="B6269" s="5">
        <v>262</v>
      </c>
      <c r="C6269" s="5">
        <v>9</v>
      </c>
      <c r="D6269" s="25">
        <v>1.1416E-4</v>
      </c>
      <c r="E6269" s="25">
        <v>1.1120000000000001E-4</v>
      </c>
      <c r="F6269" s="25">
        <v>8.1730000000000005E-5</v>
      </c>
      <c r="G6269" s="25">
        <v>5.7979999999999997E-5</v>
      </c>
      <c r="H6269" s="25">
        <v>6.3730000000000001E-5</v>
      </c>
      <c r="I6269" s="9">
        <v>8.92E-5</v>
      </c>
      <c r="J6269" s="9">
        <v>9.0699999999999996E-5</v>
      </c>
      <c r="K6269" s="9">
        <v>1.8861999999999999E-4</v>
      </c>
      <c r="L6269" s="9">
        <v>6.6450000000000002E-5</v>
      </c>
      <c r="M6269" s="9">
        <v>7.3969999999999998E-5</v>
      </c>
      <c r="N6269" s="9">
        <v>8.1110000000000001E-5</v>
      </c>
      <c r="O6269" s="9">
        <v>5.4249999999999997E-5</v>
      </c>
      <c r="P6269" s="9">
        <v>5.3669999999999999E-5</v>
      </c>
      <c r="Q6269" s="9">
        <v>5.325E-5</v>
      </c>
      <c r="R6269" s="10">
        <v>3.6027395331237567E-5</v>
      </c>
      <c r="S6269" s="10">
        <v>3.4337410771326493E-5</v>
      </c>
      <c r="T6269" s="10">
        <v>0</v>
      </c>
      <c r="U6269" s="10">
        <v>7.2459999999999994E-5</v>
      </c>
      <c r="V6269" s="25"/>
      <c r="W6269" s="25"/>
      <c r="X6269" s="25"/>
      <c r="Y6269" s="25"/>
      <c r="Z6269" s="25"/>
      <c r="AA6269" s="25"/>
    </row>
    <row r="6270" spans="1:27" x14ac:dyDescent="0.35">
      <c r="A6270" s="5">
        <v>6266</v>
      </c>
      <c r="B6270" s="5">
        <v>262</v>
      </c>
      <c r="C6270" s="5">
        <v>9</v>
      </c>
      <c r="D6270" s="25">
        <v>1.1415000000000001E-4</v>
      </c>
      <c r="E6270" s="25">
        <v>1.1128000000000001E-4</v>
      </c>
      <c r="F6270" s="25">
        <v>8.7180000000000002E-5</v>
      </c>
      <c r="G6270" s="25">
        <v>5.8199999999999998E-5</v>
      </c>
      <c r="H6270" s="25">
        <v>7.2550000000000002E-5</v>
      </c>
      <c r="I6270" s="9">
        <v>8.6139999999999999E-5</v>
      </c>
      <c r="J6270" s="9">
        <v>8.8300000000000005E-5</v>
      </c>
      <c r="K6270" s="9">
        <v>1.9285999999999999E-4</v>
      </c>
      <c r="L6270" s="9">
        <v>5.732E-5</v>
      </c>
      <c r="M6270" s="9">
        <v>6.3750000000000005E-5</v>
      </c>
      <c r="N6270" s="9">
        <v>7.1979999999999999E-5</v>
      </c>
      <c r="O6270" s="9">
        <v>1.8819999999999999E-5</v>
      </c>
      <c r="P6270" s="9">
        <v>3.7509999999999998E-5</v>
      </c>
      <c r="Q6270" s="9">
        <v>5.5819999999999997E-5</v>
      </c>
      <c r="R6270" s="10">
        <v>2.6516316607657329E-5</v>
      </c>
      <c r="S6270" s="10">
        <v>4.2734415317731345E-5</v>
      </c>
      <c r="T6270" s="10">
        <v>0</v>
      </c>
      <c r="U6270" s="10">
        <v>7.2459999999999994E-5</v>
      </c>
      <c r="V6270" s="25"/>
      <c r="W6270" s="25"/>
      <c r="X6270" s="25"/>
      <c r="Y6270" s="25"/>
      <c r="Z6270" s="25"/>
      <c r="AA6270" s="25"/>
    </row>
    <row r="6271" spans="1:27" x14ac:dyDescent="0.35">
      <c r="A6271" s="5">
        <v>6267</v>
      </c>
      <c r="B6271" s="5">
        <v>262</v>
      </c>
      <c r="C6271" s="5">
        <v>9</v>
      </c>
      <c r="D6271" s="25">
        <v>1.1416E-4</v>
      </c>
      <c r="E6271" s="25">
        <v>1.1242E-4</v>
      </c>
      <c r="F6271" s="25">
        <v>1.033E-4</v>
      </c>
      <c r="G6271" s="25">
        <v>5.77E-5</v>
      </c>
      <c r="H6271" s="25">
        <v>7.0879999999999999E-5</v>
      </c>
      <c r="I6271" s="9">
        <v>8.4510000000000002E-5</v>
      </c>
      <c r="J6271" s="9">
        <v>8.6130000000000004E-5</v>
      </c>
      <c r="K6271" s="9">
        <v>2.0557999999999999E-4</v>
      </c>
      <c r="L6271" s="9">
        <v>2.7500000000000001E-5</v>
      </c>
      <c r="M6271" s="9">
        <v>5.1969999999999999E-5</v>
      </c>
      <c r="N6271" s="9">
        <v>6.5339999999999994E-5</v>
      </c>
      <c r="O6271" s="9">
        <v>1.3540000000000001E-5</v>
      </c>
      <c r="P6271" s="9">
        <v>3.7969999999999997E-5</v>
      </c>
      <c r="Q6271" s="9">
        <v>6.1890000000000005E-5</v>
      </c>
      <c r="R6271" s="10">
        <v>2.2008419105086749E-5</v>
      </c>
      <c r="S6271" s="10">
        <v>4.7469577142929031E-5</v>
      </c>
      <c r="T6271" s="10">
        <v>0</v>
      </c>
      <c r="U6271" s="10">
        <v>7.2459999999999994E-5</v>
      </c>
      <c r="V6271" s="25"/>
      <c r="W6271" s="25"/>
      <c r="X6271" s="25"/>
      <c r="Y6271" s="25"/>
      <c r="Z6271" s="25"/>
      <c r="AA6271" s="25"/>
    </row>
    <row r="6272" spans="1:27" x14ac:dyDescent="0.35">
      <c r="A6272" s="5">
        <v>6268</v>
      </c>
      <c r="B6272" s="5">
        <v>262</v>
      </c>
      <c r="C6272" s="5">
        <v>9</v>
      </c>
      <c r="D6272" s="25">
        <v>1.1415000000000001E-4</v>
      </c>
      <c r="E6272" s="25">
        <v>1.2144E-4</v>
      </c>
      <c r="F6272" s="25">
        <v>9.6210000000000002E-5</v>
      </c>
      <c r="G6272" s="25">
        <v>5.6629999999999998E-5</v>
      </c>
      <c r="H6272" s="25">
        <v>7.5350000000000002E-5</v>
      </c>
      <c r="I6272" s="9">
        <v>8.3629999999999997E-5</v>
      </c>
      <c r="J6272" s="9">
        <v>8.5900000000000001E-5</v>
      </c>
      <c r="K6272" s="9">
        <v>2.1194000000000001E-4</v>
      </c>
      <c r="L6272" s="9">
        <v>1.7350000000000002E-5</v>
      </c>
      <c r="M6272" s="9">
        <v>4.4119999999999998E-5</v>
      </c>
      <c r="N6272" s="9">
        <v>6.1849999999999999E-5</v>
      </c>
      <c r="O6272" s="9">
        <v>1.3540000000000001E-5</v>
      </c>
      <c r="P6272" s="9">
        <v>4.7460000000000003E-5</v>
      </c>
      <c r="Q6272" s="9">
        <v>8.0729999999999994E-5</v>
      </c>
      <c r="R6272" s="10">
        <v>1.7062238195468473E-5</v>
      </c>
      <c r="S6272" s="10">
        <v>4.9010229642572421E-5</v>
      </c>
      <c r="T6272" s="10">
        <v>0</v>
      </c>
      <c r="U6272" s="10">
        <v>7.2459999999999994E-5</v>
      </c>
      <c r="V6272" s="25"/>
      <c r="W6272" s="25"/>
      <c r="X6272" s="25"/>
      <c r="Y6272" s="25"/>
      <c r="Z6272" s="25"/>
      <c r="AA6272" s="25"/>
    </row>
    <row r="6273" spans="1:27" x14ac:dyDescent="0.35">
      <c r="A6273" s="5">
        <v>6269</v>
      </c>
      <c r="B6273" s="5">
        <v>262</v>
      </c>
      <c r="C6273" s="5">
        <v>9</v>
      </c>
      <c r="D6273" s="25">
        <v>1.1416E-4</v>
      </c>
      <c r="E6273" s="25">
        <v>1.2157E-4</v>
      </c>
      <c r="F6273" s="25">
        <v>8.2029999999999999E-5</v>
      </c>
      <c r="G6273" s="25">
        <v>6.2749999999999994E-5</v>
      </c>
      <c r="H6273" s="25">
        <v>6.7899999999999997E-5</v>
      </c>
      <c r="I6273" s="9">
        <v>8.4389999999999997E-5</v>
      </c>
      <c r="J6273" s="9">
        <v>8.5959999999999997E-5</v>
      </c>
      <c r="K6273" s="9">
        <v>2.1617000000000001E-4</v>
      </c>
      <c r="L6273" s="9">
        <v>1.4620000000000001E-5</v>
      </c>
      <c r="M6273" s="9">
        <v>4.3569999999999998E-5</v>
      </c>
      <c r="N6273" s="9">
        <v>6.4469999999999998E-5</v>
      </c>
      <c r="O6273" s="9">
        <v>1.914E-5</v>
      </c>
      <c r="P6273" s="9">
        <v>5.7219999999999998E-5</v>
      </c>
      <c r="Q6273" s="9">
        <v>9.4610000000000004E-5</v>
      </c>
      <c r="R6273" s="10">
        <v>1.7384415271194261E-5</v>
      </c>
      <c r="S6273" s="10">
        <v>4.7338680275112161E-5</v>
      </c>
      <c r="T6273" s="10">
        <v>0</v>
      </c>
      <c r="U6273" s="10">
        <v>7.2459999999999994E-5</v>
      </c>
      <c r="V6273" s="25"/>
      <c r="W6273" s="25"/>
      <c r="X6273" s="25"/>
      <c r="Y6273" s="25"/>
      <c r="Z6273" s="25"/>
      <c r="AA6273" s="25"/>
    </row>
    <row r="6274" spans="1:27" x14ac:dyDescent="0.35">
      <c r="A6274" s="5">
        <v>6270</v>
      </c>
      <c r="B6274" s="5">
        <v>262</v>
      </c>
      <c r="C6274" s="5">
        <v>9</v>
      </c>
      <c r="D6274" s="25">
        <v>1.1415000000000001E-4</v>
      </c>
      <c r="E6274" s="25">
        <v>1.209E-4</v>
      </c>
      <c r="F6274" s="25">
        <v>9.7310000000000002E-5</v>
      </c>
      <c r="G6274" s="25">
        <v>1.0997000000000001E-4</v>
      </c>
      <c r="H6274" s="25">
        <v>1.3323999999999999E-4</v>
      </c>
      <c r="I6274" s="9">
        <v>8.6399999999999999E-5</v>
      </c>
      <c r="J6274" s="9">
        <v>8.7379999999999993E-5</v>
      </c>
      <c r="K6274" s="9">
        <v>1.9498000000000001E-4</v>
      </c>
      <c r="L6274" s="9">
        <v>1.8009999999999999E-5</v>
      </c>
      <c r="M6274" s="9">
        <v>4.8690000000000003E-5</v>
      </c>
      <c r="N6274" s="9">
        <v>7.1260000000000006E-5</v>
      </c>
      <c r="O6274" s="9">
        <v>4.6619999999999997E-5</v>
      </c>
      <c r="P6274" s="9">
        <v>7.737E-5</v>
      </c>
      <c r="Q6274" s="9">
        <v>1.0773E-4</v>
      </c>
      <c r="R6274" s="10">
        <v>1.7642862902166552E-5</v>
      </c>
      <c r="S6274" s="10">
        <v>5.2818626457255321E-5</v>
      </c>
      <c r="T6274" s="10">
        <v>0</v>
      </c>
      <c r="U6274" s="10">
        <v>7.2459999999999994E-5</v>
      </c>
      <c r="V6274" s="25"/>
      <c r="W6274" s="25"/>
      <c r="X6274" s="25"/>
      <c r="Y6274" s="25"/>
      <c r="Z6274" s="25"/>
      <c r="AA6274" s="25"/>
    </row>
    <row r="6275" spans="1:27" x14ac:dyDescent="0.35">
      <c r="A6275" s="5">
        <v>6271</v>
      </c>
      <c r="B6275" s="5">
        <v>262</v>
      </c>
      <c r="C6275" s="5">
        <v>9</v>
      </c>
      <c r="D6275" s="25">
        <v>1.1416E-4</v>
      </c>
      <c r="E6275" s="25">
        <v>1.1413000000000001E-4</v>
      </c>
      <c r="F6275" s="25">
        <v>9.5270000000000001E-5</v>
      </c>
      <c r="G6275" s="25">
        <v>1.1434000000000001E-4</v>
      </c>
      <c r="H6275" s="25">
        <v>1.3663999999999999E-4</v>
      </c>
      <c r="I6275" s="9">
        <v>8.8179999999999999E-5</v>
      </c>
      <c r="J6275" s="9">
        <v>8.8869999999999994E-5</v>
      </c>
      <c r="K6275" s="9">
        <v>1.1021E-4</v>
      </c>
      <c r="L6275" s="9">
        <v>4.0179999999999998E-5</v>
      </c>
      <c r="M6275" s="9">
        <v>6.0449999999999999E-5</v>
      </c>
      <c r="N6275" s="9">
        <v>8.1130000000000004E-5</v>
      </c>
      <c r="O6275" s="9">
        <v>1.2384000000000001E-4</v>
      </c>
      <c r="P6275" s="9">
        <v>1.1817E-4</v>
      </c>
      <c r="Q6275" s="9">
        <v>1.132E-4</v>
      </c>
      <c r="R6275" s="10">
        <v>1.9308866407592523E-5</v>
      </c>
      <c r="S6275" s="10">
        <v>5.5945547635547032E-5</v>
      </c>
      <c r="T6275" s="10">
        <v>2.5342602158875699E-5</v>
      </c>
      <c r="U6275" s="10">
        <v>7.2459999999999994E-5</v>
      </c>
      <c r="V6275" s="25"/>
      <c r="W6275" s="25"/>
      <c r="X6275" s="25"/>
      <c r="Y6275" s="25"/>
      <c r="Z6275" s="25"/>
      <c r="AA6275" s="25"/>
    </row>
    <row r="6276" spans="1:27" x14ac:dyDescent="0.35">
      <c r="A6276" s="5">
        <v>6272</v>
      </c>
      <c r="B6276" s="5">
        <v>262</v>
      </c>
      <c r="C6276" s="5">
        <v>9</v>
      </c>
      <c r="D6276" s="25">
        <v>1.1415000000000001E-4</v>
      </c>
      <c r="E6276" s="25">
        <v>1.1429000000000001E-4</v>
      </c>
      <c r="F6276" s="25">
        <v>1.0247E-4</v>
      </c>
      <c r="G6276" s="25">
        <v>1.5760000000000001E-4</v>
      </c>
      <c r="H6276" s="25">
        <v>1.9886E-4</v>
      </c>
      <c r="I6276" s="9">
        <v>9.3590000000000003E-5</v>
      </c>
      <c r="J6276" s="9">
        <v>9.3350000000000006E-5</v>
      </c>
      <c r="K6276" s="9">
        <v>2.9669999999999999E-5</v>
      </c>
      <c r="L6276" s="9">
        <v>1.0480999999999999E-4</v>
      </c>
      <c r="M6276" s="9">
        <v>8.4250000000000001E-5</v>
      </c>
      <c r="N6276" s="9">
        <v>9.1379999999999996E-5</v>
      </c>
      <c r="O6276" s="9">
        <v>2.2097999999999999E-4</v>
      </c>
      <c r="P6276" s="9">
        <v>1.7845E-4</v>
      </c>
      <c r="Q6276" s="9">
        <v>1.3786000000000001E-4</v>
      </c>
      <c r="R6276" s="10">
        <v>2.5334825728722616E-5</v>
      </c>
      <c r="S6276" s="10">
        <v>5.0902779670976857E-5</v>
      </c>
      <c r="T6276" s="10">
        <v>5.4460717528564814E-5</v>
      </c>
      <c r="U6276" s="10">
        <v>7.2459999999999994E-5</v>
      </c>
      <c r="V6276" s="25"/>
      <c r="W6276" s="25"/>
      <c r="X6276" s="25"/>
      <c r="Y6276" s="25"/>
      <c r="Z6276" s="25"/>
      <c r="AA6276" s="25"/>
    </row>
    <row r="6277" spans="1:27" x14ac:dyDescent="0.35">
      <c r="A6277" s="5">
        <v>6273</v>
      </c>
      <c r="B6277" s="5">
        <v>262</v>
      </c>
      <c r="C6277" s="5">
        <v>9</v>
      </c>
      <c r="D6277" s="25">
        <v>1.1416E-4</v>
      </c>
      <c r="E6277" s="25">
        <v>1.2258000000000001E-4</v>
      </c>
      <c r="F6277" s="25">
        <v>9.8120000000000002E-5</v>
      </c>
      <c r="G6277" s="25">
        <v>1.6056999999999999E-4</v>
      </c>
      <c r="H6277" s="25">
        <v>1.9421E-4</v>
      </c>
      <c r="I6277" s="9">
        <v>9.9309999999999996E-5</v>
      </c>
      <c r="J6277" s="9">
        <v>9.7659999999999997E-5</v>
      </c>
      <c r="K6277" s="9">
        <v>0</v>
      </c>
      <c r="L6277" s="9">
        <v>1.9364999999999999E-4</v>
      </c>
      <c r="M6277" s="9">
        <v>1.2432E-4</v>
      </c>
      <c r="N6277" s="9">
        <v>1.0531000000000001E-4</v>
      </c>
      <c r="O6277" s="9">
        <v>2.1083000000000001E-4</v>
      </c>
      <c r="P6277" s="9">
        <v>1.9311E-4</v>
      </c>
      <c r="Q6277" s="9">
        <v>1.7684999999999999E-4</v>
      </c>
      <c r="R6277" s="10">
        <v>3.2655319767663925E-5</v>
      </c>
      <c r="S6277" s="10">
        <v>4.218912154976955E-5</v>
      </c>
      <c r="T6277" s="10">
        <v>8.918695476869814E-5</v>
      </c>
      <c r="U6277" s="10">
        <v>7.2459999999999994E-5</v>
      </c>
      <c r="V6277" s="25"/>
      <c r="W6277" s="25"/>
      <c r="X6277" s="25"/>
      <c r="Y6277" s="25"/>
      <c r="Z6277" s="25"/>
      <c r="AA6277" s="25"/>
    </row>
    <row r="6278" spans="1:27" x14ac:dyDescent="0.35">
      <c r="A6278" s="5">
        <v>6274</v>
      </c>
      <c r="B6278" s="5">
        <v>262</v>
      </c>
      <c r="C6278" s="5">
        <v>9</v>
      </c>
      <c r="D6278" s="25">
        <v>1.1415000000000001E-4</v>
      </c>
      <c r="E6278" s="25">
        <v>1.1199E-4</v>
      </c>
      <c r="F6278" s="25">
        <v>8.9419999999999994E-5</v>
      </c>
      <c r="G6278" s="25">
        <v>1.6538999999999999E-4</v>
      </c>
      <c r="H6278" s="25">
        <v>1.9979000000000001E-4</v>
      </c>
      <c r="I6278" s="9">
        <v>1.0314000000000001E-4</v>
      </c>
      <c r="J6278" s="9">
        <v>9.9439999999999997E-5</v>
      </c>
      <c r="K6278" s="9">
        <v>0</v>
      </c>
      <c r="L6278" s="9">
        <v>2.0472000000000001E-4</v>
      </c>
      <c r="M6278" s="9">
        <v>1.5924E-4</v>
      </c>
      <c r="N6278" s="9">
        <v>1.2521E-4</v>
      </c>
      <c r="O6278" s="9">
        <v>1.6618000000000001E-4</v>
      </c>
      <c r="P6278" s="9">
        <v>1.7337E-4</v>
      </c>
      <c r="Q6278" s="9">
        <v>1.8134E-4</v>
      </c>
      <c r="R6278" s="10">
        <v>2.6531795858397082E-5</v>
      </c>
      <c r="S6278" s="10">
        <v>3.980557232882637E-5</v>
      </c>
      <c r="T6278" s="10">
        <v>7.6536864437635649E-5</v>
      </c>
      <c r="U6278" s="10">
        <v>7.2459999999999994E-5</v>
      </c>
      <c r="V6278" s="25"/>
      <c r="W6278" s="25"/>
      <c r="X6278" s="25"/>
      <c r="Y6278" s="25"/>
      <c r="Z6278" s="25"/>
      <c r="AA6278" s="25"/>
    </row>
    <row r="6279" spans="1:27" x14ac:dyDescent="0.35">
      <c r="A6279" s="5">
        <v>6275</v>
      </c>
      <c r="B6279" s="5">
        <v>262</v>
      </c>
      <c r="C6279" s="5">
        <v>9</v>
      </c>
      <c r="D6279" s="25">
        <v>1.1416E-4</v>
      </c>
      <c r="E6279" s="25">
        <v>1.2174E-4</v>
      </c>
      <c r="F6279" s="25">
        <v>8.8750000000000002E-5</v>
      </c>
      <c r="G6279" s="25">
        <v>1.6447E-4</v>
      </c>
      <c r="H6279" s="25">
        <v>1.9692000000000001E-4</v>
      </c>
      <c r="I6279" s="9">
        <v>1.0744E-4</v>
      </c>
      <c r="J6279" s="9">
        <v>1.0109E-4</v>
      </c>
      <c r="K6279" s="9">
        <v>0</v>
      </c>
      <c r="L6279" s="9">
        <v>1.7477000000000001E-4</v>
      </c>
      <c r="M6279" s="9">
        <v>1.7238999999999999E-4</v>
      </c>
      <c r="N6279" s="9">
        <v>1.4297999999999999E-4</v>
      </c>
      <c r="O6279" s="9">
        <v>1.6611999999999999E-4</v>
      </c>
      <c r="P6279" s="9">
        <v>1.7196E-4</v>
      </c>
      <c r="Q6279" s="9">
        <v>1.7861E-4</v>
      </c>
      <c r="R6279" s="10">
        <v>2.2511034374817207E-5</v>
      </c>
      <c r="S6279" s="10">
        <v>4.0334231753549826E-5</v>
      </c>
      <c r="T6279" s="10">
        <v>2.7108184853640358E-4</v>
      </c>
      <c r="U6279" s="10">
        <v>7.2459999999999994E-5</v>
      </c>
      <c r="V6279" s="25"/>
      <c r="W6279" s="25"/>
      <c r="X6279" s="25"/>
      <c r="Y6279" s="25"/>
      <c r="Z6279" s="25"/>
      <c r="AA6279" s="25"/>
    </row>
    <row r="6280" spans="1:27" x14ac:dyDescent="0.35">
      <c r="A6280" s="5">
        <v>6276</v>
      </c>
      <c r="B6280" s="5">
        <v>262</v>
      </c>
      <c r="C6280" s="5">
        <v>9</v>
      </c>
      <c r="D6280" s="25">
        <v>1.1415000000000001E-4</v>
      </c>
      <c r="E6280" s="25">
        <v>1.1205999999999999E-4</v>
      </c>
      <c r="F6280" s="25">
        <v>9.4649999999999997E-5</v>
      </c>
      <c r="G6280" s="25">
        <v>1.5991000000000001E-4</v>
      </c>
      <c r="H6280" s="25">
        <v>1.9635E-4</v>
      </c>
      <c r="I6280" s="9">
        <v>1.0917999999999999E-4</v>
      </c>
      <c r="J6280" s="9">
        <v>1.0218E-4</v>
      </c>
      <c r="K6280" s="9">
        <v>0</v>
      </c>
      <c r="L6280" s="9">
        <v>1.6945999999999999E-4</v>
      </c>
      <c r="M6280" s="9">
        <v>1.7440000000000001E-4</v>
      </c>
      <c r="N6280" s="9">
        <v>1.5673E-4</v>
      </c>
      <c r="O6280" s="9">
        <v>1.6966999999999999E-4</v>
      </c>
      <c r="P6280" s="9">
        <v>1.7144999999999999E-4</v>
      </c>
      <c r="Q6280" s="9">
        <v>1.7411999999999999E-4</v>
      </c>
      <c r="R6280" s="10">
        <v>2.446686767518193E-5</v>
      </c>
      <c r="S6280" s="10">
        <v>4.9543897653590927E-5</v>
      </c>
      <c r="T6280" s="10">
        <v>5.7560880511106898E-4</v>
      </c>
      <c r="U6280" s="10">
        <v>7.2459999999999994E-5</v>
      </c>
      <c r="V6280" s="25"/>
      <c r="W6280" s="25"/>
      <c r="X6280" s="25"/>
      <c r="Y6280" s="25"/>
      <c r="Z6280" s="25"/>
      <c r="AA6280" s="25"/>
    </row>
    <row r="6281" spans="1:27" x14ac:dyDescent="0.35">
      <c r="A6281" s="5">
        <v>6277</v>
      </c>
      <c r="B6281" s="5">
        <v>262</v>
      </c>
      <c r="C6281" s="5">
        <v>9</v>
      </c>
      <c r="D6281" s="25">
        <v>1.1416E-4</v>
      </c>
      <c r="E6281" s="25">
        <v>1.203E-4</v>
      </c>
      <c r="F6281" s="25">
        <v>8.1110000000000001E-5</v>
      </c>
      <c r="G6281" s="25">
        <v>1.6138E-4</v>
      </c>
      <c r="H6281" s="25">
        <v>1.9463999999999999E-4</v>
      </c>
      <c r="I6281" s="9">
        <v>1.044E-4</v>
      </c>
      <c r="J6281" s="9">
        <v>1.0148E-4</v>
      </c>
      <c r="K6281" s="9">
        <v>0</v>
      </c>
      <c r="L6281" s="9">
        <v>1.6979000000000001E-4</v>
      </c>
      <c r="M6281" s="9">
        <v>1.7338999999999999E-4</v>
      </c>
      <c r="N6281" s="9">
        <v>1.6608000000000001E-4</v>
      </c>
      <c r="O6281" s="9">
        <v>1.6030999999999999E-4</v>
      </c>
      <c r="P6281" s="9">
        <v>1.6286999999999999E-4</v>
      </c>
      <c r="Q6281" s="9">
        <v>1.6625E-4</v>
      </c>
      <c r="R6281" s="10">
        <v>2.7306598207850401E-5</v>
      </c>
      <c r="S6281" s="10">
        <v>4.3474437963204159E-5</v>
      </c>
      <c r="T6281" s="10">
        <v>5.0803984508653395E-5</v>
      </c>
      <c r="U6281" s="10">
        <v>7.2459999999999994E-5</v>
      </c>
      <c r="V6281" s="25"/>
      <c r="W6281" s="25"/>
      <c r="X6281" s="25"/>
      <c r="Y6281" s="25"/>
      <c r="Z6281" s="25"/>
      <c r="AA6281" s="25"/>
    </row>
    <row r="6282" spans="1:27" x14ac:dyDescent="0.35">
      <c r="A6282" s="5">
        <v>6278</v>
      </c>
      <c r="B6282" s="5">
        <v>262</v>
      </c>
      <c r="C6282" s="5">
        <v>9</v>
      </c>
      <c r="D6282" s="25">
        <v>1.1415000000000001E-4</v>
      </c>
      <c r="E6282" s="25">
        <v>1.1814E-4</v>
      </c>
      <c r="F6282" s="25">
        <v>9.7999999999999997E-5</v>
      </c>
      <c r="G6282" s="25">
        <v>1.5939E-4</v>
      </c>
      <c r="H6282" s="25">
        <v>1.9542E-4</v>
      </c>
      <c r="I6282" s="9">
        <v>1.0109E-4</v>
      </c>
      <c r="J6282" s="9">
        <v>9.9610000000000003E-5</v>
      </c>
      <c r="K6282" s="9">
        <v>0</v>
      </c>
      <c r="L6282" s="9">
        <v>1.6212E-4</v>
      </c>
      <c r="M6282" s="9">
        <v>1.6933000000000001E-4</v>
      </c>
      <c r="N6282" s="9">
        <v>1.7006000000000001E-4</v>
      </c>
      <c r="O6282" s="9">
        <v>1.7713000000000001E-4</v>
      </c>
      <c r="P6282" s="9">
        <v>1.6803E-4</v>
      </c>
      <c r="Q6282" s="9">
        <v>1.6003999999999999E-4</v>
      </c>
      <c r="R6282" s="10">
        <v>3.3265336143820109E-5</v>
      </c>
      <c r="S6282" s="10">
        <v>4.3383518991700047E-5</v>
      </c>
      <c r="T6282" s="10">
        <v>1.373692907781575E-4</v>
      </c>
      <c r="U6282" s="10">
        <v>7.2459999999999994E-5</v>
      </c>
      <c r="V6282" s="25"/>
      <c r="W6282" s="25"/>
      <c r="X6282" s="25"/>
      <c r="Y6282" s="25"/>
      <c r="Z6282" s="25"/>
      <c r="AA6282" s="25"/>
    </row>
    <row r="6283" spans="1:27" x14ac:dyDescent="0.35">
      <c r="A6283" s="5">
        <v>6279</v>
      </c>
      <c r="B6283" s="5">
        <v>262</v>
      </c>
      <c r="C6283" s="5">
        <v>9</v>
      </c>
      <c r="D6283" s="25">
        <v>1.1416E-4</v>
      </c>
      <c r="E6283" s="25">
        <v>1.1744E-4</v>
      </c>
      <c r="F6283" s="25">
        <v>8.3230000000000001E-5</v>
      </c>
      <c r="G6283" s="25">
        <v>1.6695999999999999E-4</v>
      </c>
      <c r="H6283" s="25">
        <v>1.9531999999999999E-4</v>
      </c>
      <c r="I6283" s="9">
        <v>9.9530000000000004E-5</v>
      </c>
      <c r="J6283" s="9">
        <v>9.8690000000000005E-5</v>
      </c>
      <c r="K6283" s="9">
        <v>0</v>
      </c>
      <c r="L6283" s="9">
        <v>1.7401E-4</v>
      </c>
      <c r="M6283" s="9">
        <v>1.6770000000000001E-4</v>
      </c>
      <c r="N6283" s="9">
        <v>1.6941999999999999E-4</v>
      </c>
      <c r="O6283" s="9">
        <v>1.8317E-4</v>
      </c>
      <c r="P6283" s="9">
        <v>1.6720999999999999E-4</v>
      </c>
      <c r="Q6283" s="9">
        <v>1.5252000000000001E-4</v>
      </c>
      <c r="R6283" s="10">
        <v>3.5085757504042796E-5</v>
      </c>
      <c r="S6283" s="10">
        <v>4.6551074929201307E-5</v>
      </c>
      <c r="T6283" s="10">
        <v>3.8990446093514953E-4</v>
      </c>
      <c r="U6283" s="10">
        <v>7.2459999999999994E-5</v>
      </c>
      <c r="V6283" s="25"/>
      <c r="W6283" s="25"/>
      <c r="X6283" s="25"/>
      <c r="Y6283" s="25"/>
      <c r="Z6283" s="25"/>
      <c r="AA6283" s="25"/>
    </row>
    <row r="6284" spans="1:27" x14ac:dyDescent="0.35">
      <c r="A6284" s="5">
        <v>6280</v>
      </c>
      <c r="B6284" s="5">
        <v>262</v>
      </c>
      <c r="C6284" s="5">
        <v>9</v>
      </c>
      <c r="D6284" s="25">
        <v>1.1415000000000001E-4</v>
      </c>
      <c r="E6284" s="25">
        <v>1.1448E-4</v>
      </c>
      <c r="F6284" s="25">
        <v>9.5030000000000003E-5</v>
      </c>
      <c r="G6284" s="25">
        <v>1.5687000000000001E-4</v>
      </c>
      <c r="H6284" s="25">
        <v>1.9000000000000001E-4</v>
      </c>
      <c r="I6284" s="9">
        <v>9.8099999999999999E-5</v>
      </c>
      <c r="J6284" s="9">
        <v>1.005E-4</v>
      </c>
      <c r="K6284" s="9">
        <v>0</v>
      </c>
      <c r="L6284" s="9">
        <v>1.8085E-4</v>
      </c>
      <c r="M6284" s="9">
        <v>1.672E-4</v>
      </c>
      <c r="N6284" s="9">
        <v>1.6561000000000001E-4</v>
      </c>
      <c r="O6284" s="9">
        <v>1.9652999999999999E-4</v>
      </c>
      <c r="P6284" s="9">
        <v>1.5213E-4</v>
      </c>
      <c r="Q6284" s="9">
        <v>1.0953E-4</v>
      </c>
      <c r="R6284" s="10">
        <v>4.4038050385393802E-5</v>
      </c>
      <c r="S6284" s="10">
        <v>5.5493294081217527E-5</v>
      </c>
      <c r="T6284" s="10">
        <v>2.2280618523409264E-4</v>
      </c>
      <c r="U6284" s="10">
        <v>7.2459999999999994E-5</v>
      </c>
      <c r="V6284" s="25"/>
      <c r="W6284" s="25"/>
      <c r="X6284" s="25"/>
      <c r="Y6284" s="25"/>
      <c r="Z6284" s="25"/>
      <c r="AA6284" s="25"/>
    </row>
    <row r="6285" spans="1:27" x14ac:dyDescent="0.35">
      <c r="A6285" s="5">
        <v>6281</v>
      </c>
      <c r="B6285" s="5">
        <v>262</v>
      </c>
      <c r="C6285" s="5">
        <v>9</v>
      </c>
      <c r="D6285" s="25">
        <v>1.1416E-4</v>
      </c>
      <c r="E6285" s="25">
        <v>1.1790000000000001E-4</v>
      </c>
      <c r="F6285" s="25">
        <v>8.8399999999999994E-5</v>
      </c>
      <c r="G6285" s="25">
        <v>1.6148000000000001E-4</v>
      </c>
      <c r="H6285" s="25">
        <v>1.9388000000000001E-4</v>
      </c>
      <c r="I6285" s="9">
        <v>1.0019E-4</v>
      </c>
      <c r="J6285" s="9">
        <v>1.0649000000000001E-4</v>
      </c>
      <c r="K6285" s="9">
        <v>0</v>
      </c>
      <c r="L6285" s="9">
        <v>1.9283000000000001E-4</v>
      </c>
      <c r="M6285" s="9">
        <v>1.6176999999999999E-4</v>
      </c>
      <c r="N6285" s="9">
        <v>1.5195000000000001E-4</v>
      </c>
      <c r="O6285" s="9">
        <v>2.1244999999999999E-4</v>
      </c>
      <c r="P6285" s="9">
        <v>1.5851E-4</v>
      </c>
      <c r="Q6285" s="9">
        <v>1.0662000000000001E-4</v>
      </c>
      <c r="R6285" s="10">
        <v>6.4772425550448364E-5</v>
      </c>
      <c r="S6285" s="10">
        <v>6.4074915106906074E-5</v>
      </c>
      <c r="T6285" s="10">
        <v>9.852816835320505E-5</v>
      </c>
      <c r="U6285" s="10">
        <v>7.2459999999999994E-5</v>
      </c>
      <c r="V6285" s="25"/>
      <c r="W6285" s="25"/>
      <c r="X6285" s="25"/>
      <c r="Y6285" s="25"/>
      <c r="Z6285" s="25"/>
      <c r="AA6285" s="25"/>
    </row>
    <row r="6286" spans="1:27" x14ac:dyDescent="0.35">
      <c r="A6286" s="5">
        <v>6282</v>
      </c>
      <c r="B6286" s="5">
        <v>262</v>
      </c>
      <c r="C6286" s="5">
        <v>9</v>
      </c>
      <c r="D6286" s="25">
        <v>1.1415000000000001E-4</v>
      </c>
      <c r="E6286" s="25">
        <v>1.1135E-4</v>
      </c>
      <c r="F6286" s="25">
        <v>1.01E-4</v>
      </c>
      <c r="G6286" s="25">
        <v>1.6499E-4</v>
      </c>
      <c r="H6286" s="25">
        <v>2.0019999999999999E-4</v>
      </c>
      <c r="I6286" s="9">
        <v>1.0281999999999999E-4</v>
      </c>
      <c r="J6286" s="9">
        <v>1.0909E-4</v>
      </c>
      <c r="K6286" s="9">
        <v>5.9339999999999998E-5</v>
      </c>
      <c r="L6286" s="9">
        <v>2.0788999999999999E-4</v>
      </c>
      <c r="M6286" s="9">
        <v>1.5908E-4</v>
      </c>
      <c r="N6286" s="9">
        <v>1.3861E-4</v>
      </c>
      <c r="O6286" s="9">
        <v>2.0466000000000001E-4</v>
      </c>
      <c r="P6286" s="9">
        <v>1.6016000000000001E-4</v>
      </c>
      <c r="Q6286" s="9">
        <v>1.175E-4</v>
      </c>
      <c r="R6286" s="10">
        <v>7.2466416803517732E-5</v>
      </c>
      <c r="S6286" s="10">
        <v>6.8368699138801329E-5</v>
      </c>
      <c r="T6286" s="10">
        <v>9.8333029468151767E-6</v>
      </c>
      <c r="U6286" s="10">
        <v>7.2459999999999994E-5</v>
      </c>
      <c r="V6286" s="25"/>
      <c r="W6286" s="25"/>
      <c r="X6286" s="25"/>
      <c r="Y6286" s="25"/>
      <c r="Z6286" s="25"/>
      <c r="AA6286" s="25"/>
    </row>
    <row r="6287" spans="1:27" x14ac:dyDescent="0.35">
      <c r="A6287" s="5">
        <v>6283</v>
      </c>
      <c r="B6287" s="5">
        <v>262</v>
      </c>
      <c r="C6287" s="5">
        <v>9</v>
      </c>
      <c r="D6287" s="25">
        <v>1.1416E-4</v>
      </c>
      <c r="E6287" s="25">
        <v>1.1260999999999999E-4</v>
      </c>
      <c r="F6287" s="25">
        <v>1.0315999999999999E-4</v>
      </c>
      <c r="G6287" s="25">
        <v>1.0951999999999999E-4</v>
      </c>
      <c r="H6287" s="25">
        <v>1.3569E-4</v>
      </c>
      <c r="I6287" s="9">
        <v>1.0473E-4</v>
      </c>
      <c r="J6287" s="9">
        <v>1.0998E-4</v>
      </c>
      <c r="K6287" s="9">
        <v>8.6899999999999998E-5</v>
      </c>
      <c r="L6287" s="9">
        <v>2.0499E-4</v>
      </c>
      <c r="M6287" s="9">
        <v>1.5892E-4</v>
      </c>
      <c r="N6287" s="9">
        <v>1.2964000000000001E-4</v>
      </c>
      <c r="O6287" s="9">
        <v>1.6451000000000001E-4</v>
      </c>
      <c r="P6287" s="9">
        <v>1.3526E-4</v>
      </c>
      <c r="Q6287" s="9">
        <v>1.0736E-4</v>
      </c>
      <c r="R6287" s="10">
        <v>8.3918021726815773E-5</v>
      </c>
      <c r="S6287" s="10">
        <v>6.9117215129405036E-5</v>
      </c>
      <c r="T6287" s="10">
        <v>0</v>
      </c>
      <c r="U6287" s="10">
        <v>7.2459999999999994E-5</v>
      </c>
      <c r="V6287" s="25"/>
      <c r="W6287" s="25"/>
      <c r="X6287" s="25"/>
      <c r="Y6287" s="25"/>
      <c r="Z6287" s="25"/>
      <c r="AA6287" s="25"/>
    </row>
    <row r="6288" spans="1:27" x14ac:dyDescent="0.35">
      <c r="A6288" s="5">
        <v>6284</v>
      </c>
      <c r="B6288" s="5">
        <v>262</v>
      </c>
      <c r="C6288" s="5">
        <v>9</v>
      </c>
      <c r="D6288" s="25">
        <v>1.1415000000000001E-4</v>
      </c>
      <c r="E6288" s="25">
        <v>1.2022E-4</v>
      </c>
      <c r="F6288" s="25">
        <v>8.551E-5</v>
      </c>
      <c r="G6288" s="25">
        <v>1.1378E-4</v>
      </c>
      <c r="H6288" s="25">
        <v>1.3181999999999999E-4</v>
      </c>
      <c r="I6288" s="9">
        <v>1.1042E-4</v>
      </c>
      <c r="J6288" s="9">
        <v>1.1399E-4</v>
      </c>
      <c r="K6288" s="9">
        <v>1.1233E-4</v>
      </c>
      <c r="L6288" s="9">
        <v>1.7357000000000001E-4</v>
      </c>
      <c r="M6288" s="9">
        <v>1.5053000000000001E-4</v>
      </c>
      <c r="N6288" s="9">
        <v>1.2071E-4</v>
      </c>
      <c r="O6288" s="9">
        <v>1.2897000000000001E-4</v>
      </c>
      <c r="P6288" s="9">
        <v>1.1511E-4</v>
      </c>
      <c r="Q6288" s="9">
        <v>1.0211E-4</v>
      </c>
      <c r="R6288" s="10">
        <v>9.0764762138603354E-5</v>
      </c>
      <c r="S6288" s="10">
        <v>7.1825277762519593E-5</v>
      </c>
      <c r="T6288" s="10">
        <v>0</v>
      </c>
      <c r="U6288" s="10">
        <v>7.2459999999999994E-5</v>
      </c>
      <c r="V6288" s="25"/>
      <c r="W6288" s="25"/>
      <c r="X6288" s="25"/>
      <c r="Y6288" s="25"/>
      <c r="Z6288" s="25"/>
      <c r="AA6288" s="25"/>
    </row>
    <row r="6289" spans="1:27" x14ac:dyDescent="0.35">
      <c r="A6289" s="5">
        <v>6285</v>
      </c>
      <c r="B6289" s="5">
        <v>262</v>
      </c>
      <c r="C6289" s="5">
        <v>9</v>
      </c>
      <c r="D6289" s="25">
        <v>1.1416E-4</v>
      </c>
      <c r="E6289" s="25">
        <v>1.1654000000000001E-4</v>
      </c>
      <c r="F6289" s="25">
        <v>9.3610000000000007E-5</v>
      </c>
      <c r="G6289" s="25">
        <v>5.4769999999999999E-5</v>
      </c>
      <c r="H6289" s="25">
        <v>7.4709999999999995E-5</v>
      </c>
      <c r="I6289" s="9">
        <v>1.0620000000000001E-4</v>
      </c>
      <c r="J6289" s="9">
        <v>1.1018000000000001E-4</v>
      </c>
      <c r="K6289" s="9">
        <v>1.3352000000000001E-4</v>
      </c>
      <c r="L6289" s="9">
        <v>1.3975000000000001E-4</v>
      </c>
      <c r="M6289" s="9">
        <v>1.3542E-4</v>
      </c>
      <c r="N6289" s="9">
        <v>1.1315E-4</v>
      </c>
      <c r="O6289" s="9">
        <v>8.5450000000000003E-5</v>
      </c>
      <c r="P6289" s="9">
        <v>8.7139999999999996E-5</v>
      </c>
      <c r="Q6289" s="9">
        <v>8.9159999999999993E-5</v>
      </c>
      <c r="R6289" s="10">
        <v>8.8116929984883706E-5</v>
      </c>
      <c r="S6289" s="10">
        <v>6.6606438852742468E-5</v>
      </c>
      <c r="T6289" s="10">
        <v>0</v>
      </c>
      <c r="U6289" s="10">
        <v>7.2459999999999994E-5</v>
      </c>
      <c r="V6289" s="25"/>
      <c r="W6289" s="25"/>
      <c r="X6289" s="25"/>
      <c r="Y6289" s="25"/>
      <c r="Z6289" s="25"/>
      <c r="AA6289" s="25"/>
    </row>
    <row r="6290" spans="1:27" x14ac:dyDescent="0.35">
      <c r="A6290" s="5">
        <v>6286</v>
      </c>
      <c r="B6290" s="5">
        <v>262</v>
      </c>
      <c r="C6290" s="5">
        <v>9</v>
      </c>
      <c r="D6290" s="25">
        <v>1.1415000000000001E-4</v>
      </c>
      <c r="E6290" s="25">
        <v>1.1886E-4</v>
      </c>
      <c r="F6290" s="25">
        <v>9.2639999999999994E-5</v>
      </c>
      <c r="G6290" s="25">
        <v>6.3260000000000001E-5</v>
      </c>
      <c r="H6290" s="25">
        <v>7.6019999999999994E-5</v>
      </c>
      <c r="I6290" s="9">
        <v>1.0206E-4</v>
      </c>
      <c r="J6290" s="9">
        <v>1.0476000000000001E-4</v>
      </c>
      <c r="K6290" s="9">
        <v>1.4624000000000001E-4</v>
      </c>
      <c r="L6290" s="9">
        <v>9.8309999999999999E-5</v>
      </c>
      <c r="M6290" s="9">
        <v>1.1414E-4</v>
      </c>
      <c r="N6290" s="9">
        <v>1.058E-4</v>
      </c>
      <c r="O6290" s="9">
        <v>8.7620000000000005E-5</v>
      </c>
      <c r="P6290" s="9">
        <v>8.7899999999999995E-5</v>
      </c>
      <c r="Q6290" s="9">
        <v>8.8549999999999998E-5</v>
      </c>
      <c r="R6290" s="10">
        <v>8.7465217813136319E-5</v>
      </c>
      <c r="S6290" s="10">
        <v>5.9165087551327435E-5</v>
      </c>
      <c r="T6290" s="10">
        <v>0</v>
      </c>
      <c r="U6290" s="10">
        <v>7.2459999999999994E-5</v>
      </c>
      <c r="V6290" s="25"/>
      <c r="W6290" s="25"/>
      <c r="X6290" s="25"/>
      <c r="Y6290" s="25"/>
      <c r="Z6290" s="25"/>
      <c r="AA6290" s="25"/>
    </row>
    <row r="6291" spans="1:27" x14ac:dyDescent="0.35">
      <c r="A6291" s="5">
        <v>6287</v>
      </c>
      <c r="B6291" s="5">
        <v>262</v>
      </c>
      <c r="C6291" s="5">
        <v>9</v>
      </c>
      <c r="D6291" s="25">
        <v>1.1416E-4</v>
      </c>
      <c r="E6291" s="25">
        <v>1.131E-4</v>
      </c>
      <c r="F6291" s="25">
        <v>8.3419999999999998E-5</v>
      </c>
      <c r="G6291" s="25">
        <v>6.3419999999999999E-5</v>
      </c>
      <c r="H6291" s="25">
        <v>6.8880000000000005E-5</v>
      </c>
      <c r="I6291" s="9">
        <v>9.6100000000000005E-5</v>
      </c>
      <c r="J6291" s="9">
        <v>9.8330000000000002E-5</v>
      </c>
      <c r="K6291" s="9">
        <v>1.6742999999999999E-4</v>
      </c>
      <c r="L6291" s="9">
        <v>9.09E-5</v>
      </c>
      <c r="M6291" s="9">
        <v>9.9480000000000003E-5</v>
      </c>
      <c r="N6291" s="9">
        <v>1.0009E-4</v>
      </c>
      <c r="O6291" s="9">
        <v>7.7139999999999997E-5</v>
      </c>
      <c r="P6291" s="9">
        <v>7.1539999999999996E-5</v>
      </c>
      <c r="Q6291" s="9">
        <v>6.6340000000000005E-5</v>
      </c>
      <c r="R6291" s="10">
        <v>7.7182616758080406E-5</v>
      </c>
      <c r="S6291" s="10">
        <v>5.0665274008377061E-5</v>
      </c>
      <c r="T6291" s="10">
        <v>0</v>
      </c>
      <c r="U6291" s="10">
        <v>7.2459999999999994E-5</v>
      </c>
      <c r="V6291" s="25"/>
      <c r="W6291" s="25"/>
      <c r="X6291" s="25"/>
      <c r="Y6291" s="25"/>
      <c r="Z6291" s="25"/>
      <c r="AA6291" s="25"/>
    </row>
    <row r="6292" spans="1:27" x14ac:dyDescent="0.35">
      <c r="A6292" s="5">
        <v>6288</v>
      </c>
      <c r="B6292" s="5">
        <v>262</v>
      </c>
      <c r="C6292" s="5">
        <v>9</v>
      </c>
      <c r="D6292" s="25">
        <v>1.1415000000000001E-4</v>
      </c>
      <c r="E6292" s="25">
        <v>1.193E-4</v>
      </c>
      <c r="F6292" s="25">
        <v>9.4859999999999996E-5</v>
      </c>
      <c r="G6292" s="25">
        <v>5.6570000000000002E-5</v>
      </c>
      <c r="H6292" s="25">
        <v>6.7630000000000001E-5</v>
      </c>
      <c r="I6292" s="9">
        <v>8.9939999999999996E-5</v>
      </c>
      <c r="J6292" s="9">
        <v>9.3090000000000005E-5</v>
      </c>
      <c r="K6292" s="9">
        <v>1.8650000000000001E-4</v>
      </c>
      <c r="L6292" s="9">
        <v>8.0160000000000005E-5</v>
      </c>
      <c r="M6292" s="9">
        <v>8.619E-5</v>
      </c>
      <c r="N6292" s="9">
        <v>9.0690000000000001E-5</v>
      </c>
      <c r="O6292" s="9">
        <v>6.2609999999999999E-5</v>
      </c>
      <c r="P6292" s="9">
        <v>6.0569999999999998E-5</v>
      </c>
      <c r="Q6292" s="9">
        <v>5.8749999999999998E-5</v>
      </c>
      <c r="R6292" s="10">
        <v>5.872730027515318E-5</v>
      </c>
      <c r="S6292" s="10">
        <v>6.7588513295768524E-5</v>
      </c>
      <c r="T6292" s="10">
        <v>0</v>
      </c>
      <c r="U6292" s="10">
        <v>7.2459999999999994E-5</v>
      </c>
      <c r="V6292" s="25"/>
      <c r="W6292" s="25"/>
      <c r="X6292" s="25"/>
      <c r="Y6292" s="25"/>
      <c r="Z6292" s="25"/>
      <c r="AA6292" s="25"/>
    </row>
    <row r="6293" spans="1:27" x14ac:dyDescent="0.35">
      <c r="A6293" s="5">
        <v>6289</v>
      </c>
      <c r="B6293" s="5">
        <v>263</v>
      </c>
      <c r="C6293" s="5">
        <v>9</v>
      </c>
      <c r="D6293" s="25">
        <v>1.1416E-4</v>
      </c>
      <c r="E6293" s="25">
        <v>1.2442E-4</v>
      </c>
      <c r="F6293" s="25">
        <v>1.2173E-4</v>
      </c>
      <c r="G6293" s="25">
        <v>5.9429999999999999E-5</v>
      </c>
      <c r="H6293" s="25">
        <v>7.0989999999999996E-5</v>
      </c>
      <c r="I6293" s="9">
        <v>8.7730000000000002E-5</v>
      </c>
      <c r="J6293" s="9">
        <v>8.9679999999999995E-5</v>
      </c>
      <c r="K6293" s="9">
        <v>1.8861999999999999E-4</v>
      </c>
      <c r="L6293" s="9">
        <v>6.6500000000000004E-5</v>
      </c>
      <c r="M6293" s="9">
        <v>7.3889999999999999E-5</v>
      </c>
      <c r="N6293" s="9">
        <v>8.1230000000000007E-5</v>
      </c>
      <c r="O6293" s="9">
        <v>5.4039999999999998E-5</v>
      </c>
      <c r="P6293" s="9">
        <v>5.3470000000000001E-5</v>
      </c>
      <c r="Q6293" s="9">
        <v>5.3050000000000002E-5</v>
      </c>
      <c r="R6293" s="10">
        <v>5.4235052515709017E-5</v>
      </c>
      <c r="S6293" s="10">
        <v>6.8555109672752268E-5</v>
      </c>
      <c r="T6293" s="10">
        <v>0</v>
      </c>
      <c r="U6293" s="10">
        <v>7.1940000000000006E-5</v>
      </c>
      <c r="V6293" s="25"/>
      <c r="W6293" s="25"/>
      <c r="X6293" s="25"/>
      <c r="Y6293" s="25"/>
      <c r="Z6293" s="25"/>
      <c r="AA6293" s="25"/>
    </row>
    <row r="6294" spans="1:27" x14ac:dyDescent="0.35">
      <c r="A6294" s="5">
        <v>6290</v>
      </c>
      <c r="B6294" s="5">
        <v>263</v>
      </c>
      <c r="C6294" s="5">
        <v>9</v>
      </c>
      <c r="D6294" s="25">
        <v>1.1415000000000001E-4</v>
      </c>
      <c r="E6294" s="25">
        <v>1.2123E-4</v>
      </c>
      <c r="F6294" s="25">
        <v>1.2652E-4</v>
      </c>
      <c r="G6294" s="25">
        <v>5.325E-5</v>
      </c>
      <c r="H6294" s="25">
        <v>7.3919999999999997E-5</v>
      </c>
      <c r="I6294" s="9">
        <v>8.5110000000000003E-5</v>
      </c>
      <c r="J6294" s="9">
        <v>8.8839999999999996E-5</v>
      </c>
      <c r="K6294" s="9">
        <v>2.0345000000000001E-4</v>
      </c>
      <c r="L6294" s="9">
        <v>5.7160000000000002E-5</v>
      </c>
      <c r="M6294" s="9">
        <v>6.3620000000000004E-5</v>
      </c>
      <c r="N6294" s="9">
        <v>7.2000000000000002E-5</v>
      </c>
      <c r="O6294" s="9">
        <v>1.893E-5</v>
      </c>
      <c r="P6294" s="9">
        <v>3.7740000000000001E-5</v>
      </c>
      <c r="Q6294" s="9">
        <v>5.6159999999999998E-5</v>
      </c>
      <c r="R6294" s="10">
        <v>5.5983752641500998E-5</v>
      </c>
      <c r="S6294" s="10">
        <v>6.6834674421707965E-5</v>
      </c>
      <c r="T6294" s="10">
        <v>0</v>
      </c>
      <c r="U6294" s="10">
        <v>7.1940000000000006E-5</v>
      </c>
      <c r="V6294" s="25"/>
      <c r="W6294" s="25"/>
      <c r="X6294" s="25"/>
      <c r="Y6294" s="25"/>
      <c r="Z6294" s="25"/>
      <c r="AA6294" s="25"/>
    </row>
    <row r="6295" spans="1:27" x14ac:dyDescent="0.35">
      <c r="A6295" s="5">
        <v>6291</v>
      </c>
      <c r="B6295" s="5">
        <v>263</v>
      </c>
      <c r="C6295" s="5">
        <v>9</v>
      </c>
      <c r="D6295" s="25">
        <v>1.1416E-4</v>
      </c>
      <c r="E6295" s="25">
        <v>1.1663E-4</v>
      </c>
      <c r="F6295" s="25">
        <v>1.4028000000000001E-4</v>
      </c>
      <c r="G6295" s="25">
        <v>5.9079999999999997E-5</v>
      </c>
      <c r="H6295" s="25">
        <v>6.7890000000000002E-5</v>
      </c>
      <c r="I6295" s="9">
        <v>8.5320000000000003E-5</v>
      </c>
      <c r="J6295" s="9">
        <v>8.8369999999999996E-5</v>
      </c>
      <c r="K6295" s="9">
        <v>2.0557999999999999E-4</v>
      </c>
      <c r="L6295" s="9">
        <v>2.7549999999999999E-5</v>
      </c>
      <c r="M6295" s="9">
        <v>5.1969999999999999E-5</v>
      </c>
      <c r="N6295" s="9">
        <v>6.5389999999999996E-5</v>
      </c>
      <c r="O6295" s="9">
        <v>1.3509999999999999E-5</v>
      </c>
      <c r="P6295" s="9">
        <v>3.7880000000000003E-5</v>
      </c>
      <c r="Q6295" s="9">
        <v>6.1740000000000002E-5</v>
      </c>
      <c r="R6295" s="10">
        <v>5.3464253640709098E-5</v>
      </c>
      <c r="S6295" s="10">
        <v>7.6512836720725057E-5</v>
      </c>
      <c r="T6295" s="10">
        <v>0</v>
      </c>
      <c r="U6295" s="10">
        <v>7.1940000000000006E-5</v>
      </c>
      <c r="V6295" s="25"/>
      <c r="W6295" s="25"/>
      <c r="X6295" s="25"/>
      <c r="Y6295" s="25"/>
      <c r="Z6295" s="25"/>
      <c r="AA6295" s="25"/>
    </row>
    <row r="6296" spans="1:27" x14ac:dyDescent="0.35">
      <c r="A6296" s="5">
        <v>6292</v>
      </c>
      <c r="B6296" s="5">
        <v>263</v>
      </c>
      <c r="C6296" s="5">
        <v>9</v>
      </c>
      <c r="D6296" s="25">
        <v>1.1415000000000001E-4</v>
      </c>
      <c r="E6296" s="25">
        <v>1.1932E-4</v>
      </c>
      <c r="F6296" s="25">
        <v>1.2031000000000001E-4</v>
      </c>
      <c r="G6296" s="25">
        <v>6.0970000000000001E-5</v>
      </c>
      <c r="H6296" s="25">
        <v>7.4250000000000002E-5</v>
      </c>
      <c r="I6296" s="9">
        <v>8.5939999999999994E-5</v>
      </c>
      <c r="J6296" s="9">
        <v>8.8789999999999995E-5</v>
      </c>
      <c r="K6296" s="9">
        <v>2.0769000000000001E-4</v>
      </c>
      <c r="L6296" s="9">
        <v>1.7329999999999998E-5</v>
      </c>
      <c r="M6296" s="9">
        <v>4.4119999999999998E-5</v>
      </c>
      <c r="N6296" s="9">
        <v>6.1829999999999996E-5</v>
      </c>
      <c r="O6296" s="9">
        <v>1.3509999999999999E-5</v>
      </c>
      <c r="P6296" s="9">
        <v>4.7349999999999999E-5</v>
      </c>
      <c r="Q6296" s="9">
        <v>8.0530000000000003E-5</v>
      </c>
      <c r="R6296" s="10">
        <v>5.1652945659273279E-5</v>
      </c>
      <c r="S6296" s="10">
        <v>8.5451183169009629E-5</v>
      </c>
      <c r="T6296" s="10">
        <v>0</v>
      </c>
      <c r="U6296" s="10">
        <v>7.1940000000000006E-5</v>
      </c>
      <c r="V6296" s="25"/>
      <c r="W6296" s="25"/>
      <c r="X6296" s="25"/>
      <c r="Y6296" s="25"/>
      <c r="Z6296" s="25"/>
      <c r="AA6296" s="25"/>
    </row>
    <row r="6297" spans="1:27" x14ac:dyDescent="0.35">
      <c r="A6297" s="5">
        <v>6293</v>
      </c>
      <c r="B6297" s="5">
        <v>263</v>
      </c>
      <c r="C6297" s="5">
        <v>9</v>
      </c>
      <c r="D6297" s="25">
        <v>1.1416E-4</v>
      </c>
      <c r="E6297" s="25">
        <v>1.1428E-4</v>
      </c>
      <c r="F6297" s="25">
        <v>1.194E-4</v>
      </c>
      <c r="G6297" s="25">
        <v>6.1649999999999994E-5</v>
      </c>
      <c r="H6297" s="25">
        <v>7.4419999999999996E-5</v>
      </c>
      <c r="I6297" s="9">
        <v>9.2540000000000005E-5</v>
      </c>
      <c r="J6297" s="9">
        <v>9.2529999999999997E-5</v>
      </c>
      <c r="K6297" s="9">
        <v>2.0557E-4</v>
      </c>
      <c r="L6297" s="9">
        <v>1.4589999999999999E-5</v>
      </c>
      <c r="M6297" s="9">
        <v>4.3529999999999998E-5</v>
      </c>
      <c r="N6297" s="9">
        <v>6.4419999999999996E-5</v>
      </c>
      <c r="O6297" s="9">
        <v>1.878E-5</v>
      </c>
      <c r="P6297" s="9">
        <v>5.6169999999999999E-5</v>
      </c>
      <c r="Q6297" s="9">
        <v>9.2869999999999997E-5</v>
      </c>
      <c r="R6297" s="10">
        <v>5.9200400786598973E-5</v>
      </c>
      <c r="S6297" s="10">
        <v>8.6893896030860955E-5</v>
      </c>
      <c r="T6297" s="10">
        <v>0</v>
      </c>
      <c r="U6297" s="10">
        <v>7.1940000000000006E-5</v>
      </c>
      <c r="V6297" s="25"/>
      <c r="W6297" s="25"/>
      <c r="X6297" s="25"/>
      <c r="Y6297" s="25"/>
      <c r="Z6297" s="25"/>
      <c r="AA6297" s="25"/>
    </row>
    <row r="6298" spans="1:27" x14ac:dyDescent="0.35">
      <c r="A6298" s="5">
        <v>6294</v>
      </c>
      <c r="B6298" s="5">
        <v>263</v>
      </c>
      <c r="C6298" s="5">
        <v>9</v>
      </c>
      <c r="D6298" s="25">
        <v>1.1415000000000001E-4</v>
      </c>
      <c r="E6298" s="25">
        <v>1.1441E-4</v>
      </c>
      <c r="F6298" s="25">
        <v>1.2410000000000001E-4</v>
      </c>
      <c r="G6298" s="25">
        <v>1.1338E-4</v>
      </c>
      <c r="H6298" s="25">
        <v>1.3697000000000001E-4</v>
      </c>
      <c r="I6298" s="9">
        <v>1.063E-4</v>
      </c>
      <c r="J6298" s="9">
        <v>1.0384E-4</v>
      </c>
      <c r="K6298" s="9">
        <v>2.0557999999999999E-4</v>
      </c>
      <c r="L6298" s="9">
        <v>1.7730000000000001E-5</v>
      </c>
      <c r="M6298" s="9">
        <v>4.8269999999999997E-5</v>
      </c>
      <c r="N6298" s="9">
        <v>7.0829999999999998E-5</v>
      </c>
      <c r="O6298" s="9">
        <v>4.6430000000000001E-5</v>
      </c>
      <c r="P6298" s="9">
        <v>7.7059999999999997E-5</v>
      </c>
      <c r="Q6298" s="9">
        <v>1.0731E-4</v>
      </c>
      <c r="R6298" s="10">
        <v>6.4290095308548755E-5</v>
      </c>
      <c r="S6298" s="10">
        <v>8.2824262446320893E-5</v>
      </c>
      <c r="T6298" s="10">
        <v>0</v>
      </c>
      <c r="U6298" s="10">
        <v>7.1940000000000006E-5</v>
      </c>
      <c r="V6298" s="25"/>
      <c r="W6298" s="25"/>
      <c r="X6298" s="25"/>
      <c r="Y6298" s="25"/>
      <c r="Z6298" s="25"/>
      <c r="AA6298" s="25"/>
    </row>
    <row r="6299" spans="1:27" x14ac:dyDescent="0.35">
      <c r="A6299" s="5">
        <v>6295</v>
      </c>
      <c r="B6299" s="5">
        <v>263</v>
      </c>
      <c r="C6299" s="5">
        <v>9</v>
      </c>
      <c r="D6299" s="25">
        <v>1.1416E-4</v>
      </c>
      <c r="E6299" s="25">
        <v>1.1466E-4</v>
      </c>
      <c r="F6299" s="25">
        <v>1.3125999999999999E-4</v>
      </c>
      <c r="G6299" s="25">
        <v>1.1389E-4</v>
      </c>
      <c r="H6299" s="25">
        <v>1.3396E-4</v>
      </c>
      <c r="I6299" s="9">
        <v>1.1568E-4</v>
      </c>
      <c r="J6299" s="9">
        <v>1.1794999999999999E-4</v>
      </c>
      <c r="K6299" s="9">
        <v>1.1233E-4</v>
      </c>
      <c r="L6299" s="9">
        <v>3.998E-5</v>
      </c>
      <c r="M6299" s="9">
        <v>5.9969999999999997E-5</v>
      </c>
      <c r="N6299" s="9">
        <v>8.064E-5</v>
      </c>
      <c r="O6299" s="9">
        <v>1.2285E-4</v>
      </c>
      <c r="P6299" s="9">
        <v>1.1722000000000001E-4</v>
      </c>
      <c r="Q6299" s="9">
        <v>1.1229E-4</v>
      </c>
      <c r="R6299" s="10">
        <v>6.6480988606623201E-5</v>
      </c>
      <c r="S6299" s="10">
        <v>7.3100811343725455E-5</v>
      </c>
      <c r="T6299" s="10">
        <v>4.9947070274288994E-5</v>
      </c>
      <c r="U6299" s="10">
        <v>7.1940000000000006E-5</v>
      </c>
      <c r="V6299" s="25"/>
      <c r="W6299" s="25"/>
      <c r="X6299" s="25"/>
      <c r="Y6299" s="25"/>
      <c r="Z6299" s="25"/>
      <c r="AA6299" s="25"/>
    </row>
    <row r="6300" spans="1:27" x14ac:dyDescent="0.35">
      <c r="A6300" s="5">
        <v>6296</v>
      </c>
      <c r="B6300" s="5">
        <v>263</v>
      </c>
      <c r="C6300" s="5">
        <v>9</v>
      </c>
      <c r="D6300" s="25">
        <v>1.1415000000000001E-4</v>
      </c>
      <c r="E6300" s="25">
        <v>1.1442000000000001E-4</v>
      </c>
      <c r="F6300" s="25">
        <v>1.4124999999999999E-4</v>
      </c>
      <c r="G6300" s="25">
        <v>1.6044E-4</v>
      </c>
      <c r="H6300" s="25">
        <v>1.9833000000000001E-4</v>
      </c>
      <c r="I6300" s="9">
        <v>1.1924E-4</v>
      </c>
      <c r="J6300" s="9">
        <v>1.2784999999999999E-4</v>
      </c>
      <c r="K6300" s="9">
        <v>2.5429999999999999E-5</v>
      </c>
      <c r="L6300" s="9">
        <v>1.0399E-4</v>
      </c>
      <c r="M6300" s="9">
        <v>8.3599999999999999E-5</v>
      </c>
      <c r="N6300" s="9">
        <v>9.0729999999999994E-5</v>
      </c>
      <c r="O6300" s="9">
        <v>2.206E-4</v>
      </c>
      <c r="P6300" s="9">
        <v>1.7814999999999999E-4</v>
      </c>
      <c r="Q6300" s="9">
        <v>1.3762E-4</v>
      </c>
      <c r="R6300" s="10">
        <v>6.5437021518487733E-5</v>
      </c>
      <c r="S6300" s="10">
        <v>5.4529941293415642E-5</v>
      </c>
      <c r="T6300" s="10">
        <v>1.06740970124143E-4</v>
      </c>
      <c r="U6300" s="10">
        <v>7.1940000000000006E-5</v>
      </c>
      <c r="V6300" s="25"/>
      <c r="W6300" s="25"/>
      <c r="X6300" s="25"/>
      <c r="Y6300" s="25"/>
      <c r="Z6300" s="25"/>
      <c r="AA6300" s="25"/>
    </row>
    <row r="6301" spans="1:27" x14ac:dyDescent="0.35">
      <c r="A6301" s="5">
        <v>6297</v>
      </c>
      <c r="B6301" s="5">
        <v>263</v>
      </c>
      <c r="C6301" s="5">
        <v>9</v>
      </c>
      <c r="D6301" s="25">
        <v>1.1416E-4</v>
      </c>
      <c r="E6301" s="25">
        <v>1.1599000000000001E-4</v>
      </c>
      <c r="F6301" s="25">
        <v>1.3134E-4</v>
      </c>
      <c r="G6301" s="25">
        <v>1.5809999999999999E-4</v>
      </c>
      <c r="H6301" s="25">
        <v>1.9908999999999999E-4</v>
      </c>
      <c r="I6301" s="9">
        <v>1.2355999999999999E-4</v>
      </c>
      <c r="J6301" s="9">
        <v>1.3123E-4</v>
      </c>
      <c r="K6301" s="9">
        <v>0</v>
      </c>
      <c r="L6301" s="9">
        <v>1.9319000000000001E-4</v>
      </c>
      <c r="M6301" s="9">
        <v>1.2375E-4</v>
      </c>
      <c r="N6301" s="9">
        <v>1.0469E-4</v>
      </c>
      <c r="O6301" s="9">
        <v>2.1259999999999999E-4</v>
      </c>
      <c r="P6301" s="9">
        <v>1.9472000000000001E-4</v>
      </c>
      <c r="Q6301" s="9">
        <v>1.7833000000000001E-4</v>
      </c>
      <c r="R6301" s="10">
        <v>6.2596718068865919E-5</v>
      </c>
      <c r="S6301" s="10">
        <v>4.3852077687722947E-5</v>
      </c>
      <c r="T6301" s="10">
        <v>2.1995546065244474E-4</v>
      </c>
      <c r="U6301" s="10">
        <v>7.1940000000000006E-5</v>
      </c>
      <c r="V6301" s="25"/>
      <c r="W6301" s="25"/>
      <c r="X6301" s="25"/>
      <c r="Y6301" s="25"/>
      <c r="Z6301" s="25"/>
      <c r="AA6301" s="25"/>
    </row>
    <row r="6302" spans="1:27" x14ac:dyDescent="0.35">
      <c r="A6302" s="5">
        <v>6298</v>
      </c>
      <c r="B6302" s="5">
        <v>263</v>
      </c>
      <c r="C6302" s="5">
        <v>9</v>
      </c>
      <c r="D6302" s="25">
        <v>1.1415000000000001E-4</v>
      </c>
      <c r="E6302" s="25">
        <v>1.1779E-4</v>
      </c>
      <c r="F6302" s="25">
        <v>1.3834000000000001E-4</v>
      </c>
      <c r="G6302" s="25">
        <v>1.5637E-4</v>
      </c>
      <c r="H6302" s="25">
        <v>1.9212999999999999E-4</v>
      </c>
      <c r="I6302" s="9">
        <v>1.2428E-4</v>
      </c>
      <c r="J6302" s="9">
        <v>1.3161E-4</v>
      </c>
      <c r="K6302" s="9">
        <v>0</v>
      </c>
      <c r="L6302" s="9">
        <v>2.0599E-4</v>
      </c>
      <c r="M6302" s="9">
        <v>1.5948000000000001E-4</v>
      </c>
      <c r="N6302" s="9">
        <v>1.2502999999999999E-4</v>
      </c>
      <c r="O6302" s="9">
        <v>1.6593000000000001E-4</v>
      </c>
      <c r="P6302" s="9">
        <v>1.7311E-4</v>
      </c>
      <c r="Q6302" s="9">
        <v>1.8107E-4</v>
      </c>
      <c r="R6302" s="10">
        <v>5.7404095007700506E-5</v>
      </c>
      <c r="S6302" s="10">
        <v>4.1570253976409582E-5</v>
      </c>
      <c r="T6302" s="10">
        <v>2.434739384510398E-4</v>
      </c>
      <c r="U6302" s="10">
        <v>7.1940000000000006E-5</v>
      </c>
      <c r="V6302" s="25"/>
      <c r="W6302" s="25"/>
      <c r="X6302" s="25"/>
      <c r="Y6302" s="25"/>
      <c r="Z6302" s="25"/>
      <c r="AA6302" s="25"/>
    </row>
    <row r="6303" spans="1:27" x14ac:dyDescent="0.35">
      <c r="A6303" s="5">
        <v>6299</v>
      </c>
      <c r="B6303" s="5">
        <v>263</v>
      </c>
      <c r="C6303" s="5">
        <v>9</v>
      </c>
      <c r="D6303" s="25">
        <v>1.1416E-4</v>
      </c>
      <c r="E6303" s="25">
        <v>1.2204E-4</v>
      </c>
      <c r="F6303" s="25">
        <v>1.2146000000000001E-4</v>
      </c>
      <c r="G6303" s="25">
        <v>1.5943000000000001E-4</v>
      </c>
      <c r="H6303" s="25">
        <v>1.8798E-4</v>
      </c>
      <c r="I6303" s="9">
        <v>1.2680999999999999E-4</v>
      </c>
      <c r="J6303" s="9">
        <v>1.3128E-4</v>
      </c>
      <c r="K6303" s="9">
        <v>0</v>
      </c>
      <c r="L6303" s="9">
        <v>1.7479999999999999E-4</v>
      </c>
      <c r="M6303" s="9">
        <v>1.7268000000000001E-4</v>
      </c>
      <c r="N6303" s="9">
        <v>1.4287999999999999E-4</v>
      </c>
      <c r="O6303" s="9">
        <v>1.6788E-4</v>
      </c>
      <c r="P6303" s="9">
        <v>1.7379E-4</v>
      </c>
      <c r="Q6303" s="9">
        <v>1.805E-4</v>
      </c>
      <c r="R6303" s="10">
        <v>4.3279534303272623E-5</v>
      </c>
      <c r="S6303" s="10">
        <v>4.2316916036552126E-5</v>
      </c>
      <c r="T6303" s="10">
        <v>4.6848604151616952E-4</v>
      </c>
      <c r="U6303" s="10">
        <v>7.1940000000000006E-5</v>
      </c>
      <c r="V6303" s="25"/>
      <c r="W6303" s="25"/>
      <c r="X6303" s="25"/>
      <c r="Y6303" s="25"/>
      <c r="Z6303" s="25"/>
      <c r="AA6303" s="25"/>
    </row>
    <row r="6304" spans="1:27" x14ac:dyDescent="0.35">
      <c r="A6304" s="5">
        <v>6300</v>
      </c>
      <c r="B6304" s="5">
        <v>263</v>
      </c>
      <c r="C6304" s="5">
        <v>9</v>
      </c>
      <c r="D6304" s="25">
        <v>1.1415000000000001E-4</v>
      </c>
      <c r="E6304" s="25">
        <v>1.1673E-4</v>
      </c>
      <c r="F6304" s="25">
        <v>1.3678E-4</v>
      </c>
      <c r="G6304" s="25">
        <v>1.6694999999999999E-4</v>
      </c>
      <c r="H6304" s="25">
        <v>1.9781000000000001E-4</v>
      </c>
      <c r="I6304" s="9">
        <v>1.2415000000000001E-4</v>
      </c>
      <c r="J6304" s="9">
        <v>1.2957999999999999E-4</v>
      </c>
      <c r="K6304" s="9">
        <v>0</v>
      </c>
      <c r="L6304" s="9">
        <v>1.7087999999999999E-4</v>
      </c>
      <c r="M6304" s="9">
        <v>1.7522999999999999E-4</v>
      </c>
      <c r="N6304" s="9">
        <v>1.5714E-4</v>
      </c>
      <c r="O6304" s="9">
        <v>1.6793E-4</v>
      </c>
      <c r="P6304" s="9">
        <v>1.697E-4</v>
      </c>
      <c r="Q6304" s="9">
        <v>1.7233999999999999E-4</v>
      </c>
      <c r="R6304" s="10">
        <v>5.8309428903566058E-5</v>
      </c>
      <c r="S6304" s="10">
        <v>6.2987561315768251E-5</v>
      </c>
      <c r="T6304" s="10">
        <v>3.2271729438137088E-4</v>
      </c>
      <c r="U6304" s="10">
        <v>7.1940000000000006E-5</v>
      </c>
      <c r="V6304" s="25"/>
      <c r="W6304" s="25"/>
      <c r="X6304" s="25"/>
      <c r="Y6304" s="25"/>
      <c r="Z6304" s="25"/>
      <c r="AA6304" s="25"/>
    </row>
    <row r="6305" spans="1:27" x14ac:dyDescent="0.35">
      <c r="A6305" s="5">
        <v>6301</v>
      </c>
      <c r="B6305" s="5">
        <v>263</v>
      </c>
      <c r="C6305" s="5">
        <v>9</v>
      </c>
      <c r="D6305" s="25">
        <v>1.1416E-4</v>
      </c>
      <c r="E6305" s="25">
        <v>1.2405000000000001E-4</v>
      </c>
      <c r="F6305" s="25">
        <v>1.2084E-4</v>
      </c>
      <c r="G6305" s="25">
        <v>1.5893999999999999E-4</v>
      </c>
      <c r="H6305" s="25">
        <v>1.9340000000000001E-4</v>
      </c>
      <c r="I6305" s="9">
        <v>1.2378000000000001E-4</v>
      </c>
      <c r="J6305" s="9">
        <v>1.3061E-4</v>
      </c>
      <c r="K6305" s="9">
        <v>0</v>
      </c>
      <c r="L6305" s="9">
        <v>1.6872E-4</v>
      </c>
      <c r="M6305" s="9">
        <v>1.7343E-4</v>
      </c>
      <c r="N6305" s="9">
        <v>1.6615999999999999E-4</v>
      </c>
      <c r="O6305" s="9">
        <v>1.6208999999999999E-4</v>
      </c>
      <c r="P6305" s="9">
        <v>1.6468E-4</v>
      </c>
      <c r="Q6305" s="9">
        <v>1.6809E-4</v>
      </c>
      <c r="R6305" s="10">
        <v>7.0306540619142376E-5</v>
      </c>
      <c r="S6305" s="10">
        <v>5.2279971847079075E-5</v>
      </c>
      <c r="T6305" s="10">
        <v>2.2528360064433424E-4</v>
      </c>
      <c r="U6305" s="10">
        <v>7.1940000000000006E-5</v>
      </c>
      <c r="V6305" s="25"/>
      <c r="W6305" s="25"/>
      <c r="X6305" s="25"/>
      <c r="Y6305" s="25"/>
      <c r="Z6305" s="25"/>
      <c r="AA6305" s="25"/>
    </row>
    <row r="6306" spans="1:27" x14ac:dyDescent="0.35">
      <c r="A6306" s="5">
        <v>6302</v>
      </c>
      <c r="B6306" s="5">
        <v>263</v>
      </c>
      <c r="C6306" s="5">
        <v>9</v>
      </c>
      <c r="D6306" s="25">
        <v>1.1415000000000001E-4</v>
      </c>
      <c r="E6306" s="25">
        <v>1.2307999999999999E-4</v>
      </c>
      <c r="F6306" s="25">
        <v>1.273E-4</v>
      </c>
      <c r="G6306" s="25">
        <v>1.6495999999999999E-4</v>
      </c>
      <c r="H6306" s="25">
        <v>1.9598E-4</v>
      </c>
      <c r="I6306" s="9">
        <v>1.2302E-4</v>
      </c>
      <c r="J6306" s="9">
        <v>1.2980000000000001E-4</v>
      </c>
      <c r="K6306" s="9">
        <v>0</v>
      </c>
      <c r="L6306" s="9">
        <v>1.6333E-4</v>
      </c>
      <c r="M6306" s="9">
        <v>1.6977E-4</v>
      </c>
      <c r="N6306" s="9">
        <v>1.7054E-4</v>
      </c>
      <c r="O6306" s="9">
        <v>1.7687000000000001E-4</v>
      </c>
      <c r="P6306" s="9">
        <v>1.6778E-4</v>
      </c>
      <c r="Q6306" s="9">
        <v>1.5980000000000001E-4</v>
      </c>
      <c r="R6306" s="10">
        <v>7.8484392783470207E-5</v>
      </c>
      <c r="S6306" s="10">
        <v>4.2737366651908847E-5</v>
      </c>
      <c r="T6306" s="10">
        <v>2.2606415618454733E-4</v>
      </c>
      <c r="U6306" s="10">
        <v>7.1940000000000006E-5</v>
      </c>
      <c r="V6306" s="25"/>
      <c r="W6306" s="25"/>
      <c r="X6306" s="25"/>
      <c r="Y6306" s="25"/>
      <c r="Z6306" s="25"/>
      <c r="AA6306" s="25"/>
    </row>
    <row r="6307" spans="1:27" x14ac:dyDescent="0.35">
      <c r="A6307" s="5">
        <v>6303</v>
      </c>
      <c r="B6307" s="5">
        <v>263</v>
      </c>
      <c r="C6307" s="5">
        <v>9</v>
      </c>
      <c r="D6307" s="25">
        <v>1.1416E-4</v>
      </c>
      <c r="E6307" s="25">
        <v>1.1725E-4</v>
      </c>
      <c r="F6307" s="25">
        <v>1.3504000000000001E-4</v>
      </c>
      <c r="G6307" s="25">
        <v>1.6695999999999999E-4</v>
      </c>
      <c r="H6307" s="25">
        <v>1.8776E-4</v>
      </c>
      <c r="I6307" s="9">
        <v>1.2247000000000001E-4</v>
      </c>
      <c r="J6307" s="9">
        <v>1.2901000000000001E-4</v>
      </c>
      <c r="K6307" s="9">
        <v>0</v>
      </c>
      <c r="L6307" s="9">
        <v>1.7401999999999999E-4</v>
      </c>
      <c r="M6307" s="9">
        <v>1.6803E-4</v>
      </c>
      <c r="N6307" s="9">
        <v>1.6976E-4</v>
      </c>
      <c r="O6307" s="9">
        <v>1.8186999999999999E-4</v>
      </c>
      <c r="P6307" s="9">
        <v>1.6603000000000001E-4</v>
      </c>
      <c r="Q6307" s="9">
        <v>1.5144E-4</v>
      </c>
      <c r="R6307" s="10">
        <v>7.6285700746603924E-5</v>
      </c>
      <c r="S6307" s="10">
        <v>3.1646711331558057E-5</v>
      </c>
      <c r="T6307" s="10">
        <v>2.4892934293318142E-4</v>
      </c>
      <c r="U6307" s="10">
        <v>7.1940000000000006E-5</v>
      </c>
      <c r="V6307" s="25"/>
      <c r="W6307" s="25"/>
      <c r="X6307" s="25"/>
      <c r="Y6307" s="25"/>
      <c r="Z6307" s="25"/>
      <c r="AA6307" s="25"/>
    </row>
    <row r="6308" spans="1:27" x14ac:dyDescent="0.35">
      <c r="A6308" s="5">
        <v>6304</v>
      </c>
      <c r="B6308" s="5">
        <v>263</v>
      </c>
      <c r="C6308" s="5">
        <v>9</v>
      </c>
      <c r="D6308" s="25">
        <v>1.1415000000000001E-4</v>
      </c>
      <c r="E6308" s="25">
        <v>1.1796E-4</v>
      </c>
      <c r="F6308" s="25">
        <v>1.2715E-4</v>
      </c>
      <c r="G6308" s="25">
        <v>1.5754000000000001E-4</v>
      </c>
      <c r="H6308" s="25">
        <v>1.9474E-4</v>
      </c>
      <c r="I6308" s="9">
        <v>1.2178E-4</v>
      </c>
      <c r="J6308" s="9">
        <v>1.2967999999999999E-4</v>
      </c>
      <c r="K6308" s="9">
        <v>0</v>
      </c>
      <c r="L6308" s="9">
        <v>1.7985000000000001E-4</v>
      </c>
      <c r="M6308" s="9">
        <v>1.6694999999999999E-4</v>
      </c>
      <c r="N6308" s="9">
        <v>1.6563999999999999E-4</v>
      </c>
      <c r="O6308" s="9">
        <v>1.9687E-4</v>
      </c>
      <c r="P6308" s="9">
        <v>1.5239E-4</v>
      </c>
      <c r="Q6308" s="9">
        <v>1.0972E-4</v>
      </c>
      <c r="R6308" s="10">
        <v>8.1504997231811164E-5</v>
      </c>
      <c r="S6308" s="10">
        <v>2.3008921437893489E-5</v>
      </c>
      <c r="T6308" s="10">
        <v>2.2390914414961119E-4</v>
      </c>
      <c r="U6308" s="10">
        <v>7.1940000000000006E-5</v>
      </c>
      <c r="V6308" s="25"/>
      <c r="W6308" s="25"/>
      <c r="X6308" s="25"/>
      <c r="Y6308" s="25"/>
      <c r="Z6308" s="25"/>
      <c r="AA6308" s="25"/>
    </row>
    <row r="6309" spans="1:27" x14ac:dyDescent="0.35">
      <c r="A6309" s="5">
        <v>6305</v>
      </c>
      <c r="B6309" s="5">
        <v>263</v>
      </c>
      <c r="C6309" s="5">
        <v>9</v>
      </c>
      <c r="D6309" s="25">
        <v>1.1416E-4</v>
      </c>
      <c r="E6309" s="25">
        <v>1.16E-4</v>
      </c>
      <c r="F6309" s="25">
        <v>1.3554999999999999E-4</v>
      </c>
      <c r="G6309" s="25">
        <v>1.6606999999999999E-4</v>
      </c>
      <c r="H6309" s="25">
        <v>1.8945999999999999E-4</v>
      </c>
      <c r="I6309" s="9">
        <v>1.239E-4</v>
      </c>
      <c r="J6309" s="9">
        <v>1.3140999999999999E-4</v>
      </c>
      <c r="K6309" s="9">
        <v>0</v>
      </c>
      <c r="L6309" s="9">
        <v>1.9291999999999999E-4</v>
      </c>
      <c r="M6309" s="9">
        <v>1.6153000000000001E-4</v>
      </c>
      <c r="N6309" s="9">
        <v>1.5192E-4</v>
      </c>
      <c r="O6309" s="9">
        <v>2.1398000000000001E-4</v>
      </c>
      <c r="P6309" s="9">
        <v>1.5965E-4</v>
      </c>
      <c r="Q6309" s="9">
        <v>1.0739E-4</v>
      </c>
      <c r="R6309" s="10">
        <v>7.4426560974173061E-5</v>
      </c>
      <c r="S6309" s="10">
        <v>2.0725088397976116E-5</v>
      </c>
      <c r="T6309" s="10">
        <v>1.4074604191951419E-4</v>
      </c>
      <c r="U6309" s="10">
        <v>7.1940000000000006E-5</v>
      </c>
      <c r="V6309" s="25"/>
      <c r="W6309" s="25"/>
      <c r="X6309" s="25"/>
      <c r="Y6309" s="25"/>
      <c r="Z6309" s="25"/>
      <c r="AA6309" s="25"/>
    </row>
    <row r="6310" spans="1:27" x14ac:dyDescent="0.35">
      <c r="A6310" s="5">
        <v>6306</v>
      </c>
      <c r="B6310" s="5">
        <v>263</v>
      </c>
      <c r="C6310" s="5">
        <v>9</v>
      </c>
      <c r="D6310" s="25">
        <v>1.1415000000000001E-4</v>
      </c>
      <c r="E6310" s="25">
        <v>1.1571E-4</v>
      </c>
      <c r="F6310" s="25">
        <v>1.3134999999999999E-4</v>
      </c>
      <c r="G6310" s="25">
        <v>1.6154E-4</v>
      </c>
      <c r="H6310" s="25">
        <v>1.9432999999999999E-4</v>
      </c>
      <c r="I6310" s="9">
        <v>1.2258000000000001E-4</v>
      </c>
      <c r="J6310" s="9">
        <v>1.2731E-4</v>
      </c>
      <c r="K6310" s="9">
        <v>2.544E-5</v>
      </c>
      <c r="L6310" s="9">
        <v>2.0906000000000001E-4</v>
      </c>
      <c r="M6310" s="9">
        <v>1.5936999999999999E-4</v>
      </c>
      <c r="N6310" s="9">
        <v>1.3873999999999999E-4</v>
      </c>
      <c r="O6310" s="9">
        <v>2.0677E-4</v>
      </c>
      <c r="P6310" s="9">
        <v>1.6181E-4</v>
      </c>
      <c r="Q6310" s="9">
        <v>1.1872E-4</v>
      </c>
      <c r="R6310" s="10">
        <v>6.942788206821362E-5</v>
      </c>
      <c r="S6310" s="10">
        <v>1.819331005862013E-5</v>
      </c>
      <c r="T6310" s="10">
        <v>1.0104800526019737E-5</v>
      </c>
      <c r="U6310" s="10">
        <v>7.1940000000000006E-5</v>
      </c>
      <c r="V6310" s="25"/>
      <c r="W6310" s="25"/>
      <c r="X6310" s="25"/>
      <c r="Y6310" s="25"/>
      <c r="Z6310" s="25"/>
      <c r="AA6310" s="25"/>
    </row>
    <row r="6311" spans="1:27" x14ac:dyDescent="0.35">
      <c r="A6311" s="5">
        <v>6307</v>
      </c>
      <c r="B6311" s="5">
        <v>263</v>
      </c>
      <c r="C6311" s="5">
        <v>9</v>
      </c>
      <c r="D6311" s="25">
        <v>1.1416E-4</v>
      </c>
      <c r="E6311" s="25">
        <v>1.1437E-4</v>
      </c>
      <c r="F6311" s="25">
        <v>1.4062999999999999E-4</v>
      </c>
      <c r="G6311" s="25">
        <v>1.1509E-4</v>
      </c>
      <c r="H6311" s="25">
        <v>1.3814E-4</v>
      </c>
      <c r="I6311" s="9">
        <v>1.2111E-4</v>
      </c>
      <c r="J6311" s="9">
        <v>1.2688E-4</v>
      </c>
      <c r="K6311" s="9">
        <v>4.4509999999999999E-5</v>
      </c>
      <c r="L6311" s="9">
        <v>2.0686000000000001E-4</v>
      </c>
      <c r="M6311" s="9">
        <v>1.5985000000000001E-4</v>
      </c>
      <c r="N6311" s="9">
        <v>1.2998E-4</v>
      </c>
      <c r="O6311" s="9">
        <v>1.6363E-4</v>
      </c>
      <c r="P6311" s="9">
        <v>1.3454E-4</v>
      </c>
      <c r="Q6311" s="9">
        <v>1.0679E-4</v>
      </c>
      <c r="R6311" s="10">
        <v>6.7329877295896863E-5</v>
      </c>
      <c r="S6311" s="10">
        <v>1.5835169451199535E-5</v>
      </c>
      <c r="T6311" s="10">
        <v>0</v>
      </c>
      <c r="U6311" s="10">
        <v>7.1940000000000006E-5</v>
      </c>
      <c r="V6311" s="25"/>
      <c r="W6311" s="25"/>
      <c r="X6311" s="25"/>
      <c r="Y6311" s="25"/>
      <c r="Z6311" s="25"/>
      <c r="AA6311" s="25"/>
    </row>
    <row r="6312" spans="1:27" x14ac:dyDescent="0.35">
      <c r="A6312" s="5">
        <v>6308</v>
      </c>
      <c r="B6312" s="5">
        <v>263</v>
      </c>
      <c r="C6312" s="5">
        <v>9</v>
      </c>
      <c r="D6312" s="25">
        <v>1.1415000000000001E-4</v>
      </c>
      <c r="E6312" s="25">
        <v>1.1662E-4</v>
      </c>
      <c r="F6312" s="25">
        <v>1.3946E-4</v>
      </c>
      <c r="G6312" s="25">
        <v>1.1E-4</v>
      </c>
      <c r="H6312" s="25">
        <v>1.3261999999999999E-4</v>
      </c>
      <c r="I6312" s="9">
        <v>1.2284000000000001E-4</v>
      </c>
      <c r="J6312" s="9">
        <v>1.2872E-4</v>
      </c>
      <c r="K6312" s="9">
        <v>8.6899999999999998E-5</v>
      </c>
      <c r="L6312" s="9">
        <v>1.7328999999999999E-4</v>
      </c>
      <c r="M6312" s="9">
        <v>1.5102E-4</v>
      </c>
      <c r="N6312" s="9">
        <v>1.2091000000000001E-4</v>
      </c>
      <c r="O6312" s="9">
        <v>1.2863999999999999E-4</v>
      </c>
      <c r="P6312" s="9">
        <v>1.1480999999999999E-4</v>
      </c>
      <c r="Q6312" s="9">
        <v>1.0185E-4</v>
      </c>
      <c r="R6312" s="10">
        <v>5.7035815776672165E-5</v>
      </c>
      <c r="S6312" s="10">
        <v>1.3267123253721884E-5</v>
      </c>
      <c r="T6312" s="10">
        <v>0</v>
      </c>
      <c r="U6312" s="10">
        <v>7.1940000000000006E-5</v>
      </c>
      <c r="V6312" s="25"/>
      <c r="W6312" s="25"/>
      <c r="X6312" s="25"/>
      <c r="Y6312" s="25"/>
      <c r="Z6312" s="25"/>
      <c r="AA6312" s="25"/>
    </row>
    <row r="6313" spans="1:27" x14ac:dyDescent="0.35">
      <c r="A6313" s="5">
        <v>6309</v>
      </c>
      <c r="B6313" s="5">
        <v>263</v>
      </c>
      <c r="C6313" s="5">
        <v>9</v>
      </c>
      <c r="D6313" s="25">
        <v>1.1416E-4</v>
      </c>
      <c r="E6313" s="25">
        <v>1.1548999999999999E-4</v>
      </c>
      <c r="F6313" s="25">
        <v>1.3300000000000001E-4</v>
      </c>
      <c r="G6313" s="25">
        <v>6.2940000000000004E-5</v>
      </c>
      <c r="H6313" s="25">
        <v>7.08E-5</v>
      </c>
      <c r="I6313" s="9">
        <v>1.1553E-4</v>
      </c>
      <c r="J6313" s="9">
        <v>1.2255E-4</v>
      </c>
      <c r="K6313" s="9">
        <v>1.0597E-4</v>
      </c>
      <c r="L6313" s="9">
        <v>1.395E-4</v>
      </c>
      <c r="M6313" s="9">
        <v>1.3548E-4</v>
      </c>
      <c r="N6313" s="9">
        <v>1.133E-4</v>
      </c>
      <c r="O6313" s="9">
        <v>8.5049999999999994E-5</v>
      </c>
      <c r="P6313" s="9">
        <v>8.6730000000000005E-5</v>
      </c>
      <c r="Q6313" s="9">
        <v>8.8739999999999994E-5</v>
      </c>
      <c r="R6313" s="10">
        <v>5.1470494876551956E-5</v>
      </c>
      <c r="S6313" s="10">
        <v>1.3993935894623702E-5</v>
      </c>
      <c r="T6313" s="10">
        <v>0</v>
      </c>
      <c r="U6313" s="10">
        <v>7.1940000000000006E-5</v>
      </c>
      <c r="V6313" s="25"/>
      <c r="W6313" s="25"/>
      <c r="X6313" s="25"/>
      <c r="Y6313" s="25"/>
      <c r="Z6313" s="25"/>
      <c r="AA6313" s="25"/>
    </row>
    <row r="6314" spans="1:27" x14ac:dyDescent="0.35">
      <c r="A6314" s="5">
        <v>6310</v>
      </c>
      <c r="B6314" s="5">
        <v>263</v>
      </c>
      <c r="C6314" s="5">
        <v>9</v>
      </c>
      <c r="D6314" s="25">
        <v>1.1415000000000001E-4</v>
      </c>
      <c r="E6314" s="25">
        <v>1.2449999999999999E-4</v>
      </c>
      <c r="F6314" s="25">
        <v>1.1886E-4</v>
      </c>
      <c r="G6314" s="25">
        <v>5.5349999999999997E-5</v>
      </c>
      <c r="H6314" s="25">
        <v>6.3059999999999996E-5</v>
      </c>
      <c r="I6314" s="9">
        <v>1.1053E-4</v>
      </c>
      <c r="J6314" s="9">
        <v>1.1383999999999999E-4</v>
      </c>
      <c r="K6314" s="9">
        <v>9.7499999999999998E-5</v>
      </c>
      <c r="L6314" s="9">
        <v>9.7949999999999996E-5</v>
      </c>
      <c r="M6314" s="9">
        <v>1.1393E-4</v>
      </c>
      <c r="N6314" s="9">
        <v>1.0581000000000001E-4</v>
      </c>
      <c r="O6314" s="9">
        <v>8.7830000000000004E-5</v>
      </c>
      <c r="P6314" s="9">
        <v>8.8120000000000003E-5</v>
      </c>
      <c r="Q6314" s="9">
        <v>8.8770000000000006E-5</v>
      </c>
      <c r="R6314" s="10">
        <v>4.9102068242117176E-5</v>
      </c>
      <c r="S6314" s="10">
        <v>1.734971819057107E-5</v>
      </c>
      <c r="T6314" s="10">
        <v>0</v>
      </c>
      <c r="U6314" s="10">
        <v>7.1940000000000006E-5</v>
      </c>
      <c r="V6314" s="25"/>
      <c r="W6314" s="25"/>
      <c r="X6314" s="25"/>
      <c r="Y6314" s="25"/>
      <c r="Z6314" s="25"/>
      <c r="AA6314" s="25"/>
    </row>
    <row r="6315" spans="1:27" x14ac:dyDescent="0.35">
      <c r="A6315" s="5">
        <v>6311</v>
      </c>
      <c r="B6315" s="5">
        <v>263</v>
      </c>
      <c r="C6315" s="5">
        <v>9</v>
      </c>
      <c r="D6315" s="25">
        <v>1.1416E-4</v>
      </c>
      <c r="E6315" s="25">
        <v>1.2542E-4</v>
      </c>
      <c r="F6315" s="25">
        <v>1.3035999999999999E-4</v>
      </c>
      <c r="G6315" s="25">
        <v>5.4450000000000002E-5</v>
      </c>
      <c r="H6315" s="25">
        <v>7.3239999999999997E-5</v>
      </c>
      <c r="I6315" s="9">
        <v>1.0422E-4</v>
      </c>
      <c r="J6315" s="9">
        <v>1.0621E-4</v>
      </c>
      <c r="K6315" s="9">
        <v>1.1868E-4</v>
      </c>
      <c r="L6315" s="9">
        <v>9.0970000000000005E-5</v>
      </c>
      <c r="M6315" s="9">
        <v>9.9370000000000006E-5</v>
      </c>
      <c r="N6315" s="9">
        <v>1.0009999999999999E-4</v>
      </c>
      <c r="O6315" s="9">
        <v>7.7680000000000002E-5</v>
      </c>
      <c r="P6315" s="9">
        <v>7.2039999999999995E-5</v>
      </c>
      <c r="Q6315" s="9">
        <v>6.6799999999999997E-5</v>
      </c>
      <c r="R6315" s="10">
        <v>4.9130428398485874E-5</v>
      </c>
      <c r="S6315" s="10">
        <v>2.1104087074234626E-5</v>
      </c>
      <c r="T6315" s="10">
        <v>0</v>
      </c>
      <c r="U6315" s="10">
        <v>7.1940000000000006E-5</v>
      </c>
      <c r="V6315" s="25"/>
      <c r="W6315" s="25"/>
      <c r="X6315" s="25"/>
      <c r="Y6315" s="25"/>
      <c r="Z6315" s="25"/>
      <c r="AA6315" s="25"/>
    </row>
    <row r="6316" spans="1:27" x14ac:dyDescent="0.35">
      <c r="A6316" s="5">
        <v>6312</v>
      </c>
      <c r="B6316" s="5">
        <v>263</v>
      </c>
      <c r="C6316" s="5">
        <v>9</v>
      </c>
      <c r="D6316" s="25">
        <v>1.1415000000000001E-4</v>
      </c>
      <c r="E6316" s="25">
        <v>1.2043E-4</v>
      </c>
      <c r="F6316" s="25">
        <v>1.2323999999999999E-4</v>
      </c>
      <c r="G6316" s="25">
        <v>5.9349999999999999E-5</v>
      </c>
      <c r="H6316" s="25">
        <v>7.1899999999999999E-5</v>
      </c>
      <c r="I6316" s="9">
        <v>9.8330000000000002E-5</v>
      </c>
      <c r="J6316" s="9">
        <v>9.8789999999999994E-5</v>
      </c>
      <c r="K6316" s="9">
        <v>1.1657E-4</v>
      </c>
      <c r="L6316" s="9">
        <v>8.0589999999999999E-5</v>
      </c>
      <c r="M6316" s="9">
        <v>8.6329999999999995E-5</v>
      </c>
      <c r="N6316" s="9">
        <v>9.0749999999999997E-5</v>
      </c>
      <c r="O6316" s="9">
        <v>6.3310000000000002E-5</v>
      </c>
      <c r="P6316" s="9">
        <v>6.1240000000000003E-5</v>
      </c>
      <c r="Q6316" s="9">
        <v>5.9410000000000002E-5</v>
      </c>
      <c r="R6316" s="10">
        <v>7.3836494196516245E-5</v>
      </c>
      <c r="S6316" s="10">
        <v>2.7806201938125656E-5</v>
      </c>
      <c r="T6316" s="10">
        <v>0</v>
      </c>
      <c r="U6316" s="10">
        <v>7.1940000000000006E-5</v>
      </c>
      <c r="V6316" s="25"/>
      <c r="W6316" s="25"/>
      <c r="X6316" s="25"/>
      <c r="Y6316" s="25"/>
      <c r="Z6316" s="25"/>
      <c r="AA6316" s="25"/>
    </row>
    <row r="6317" spans="1:27" x14ac:dyDescent="0.35">
      <c r="A6317" s="5">
        <v>6313</v>
      </c>
      <c r="B6317" s="5">
        <v>264</v>
      </c>
      <c r="C6317" s="5">
        <v>9</v>
      </c>
      <c r="D6317" s="25">
        <v>1.1416E-4</v>
      </c>
      <c r="E6317" s="25">
        <v>1.1273E-4</v>
      </c>
      <c r="F6317" s="25">
        <v>1.3569999999999999E-4</v>
      </c>
      <c r="G6317" s="25">
        <v>5.5279999999999999E-5</v>
      </c>
      <c r="H6317" s="25">
        <v>7.1630000000000004E-5</v>
      </c>
      <c r="I6317" s="9">
        <v>9.3809999999999998E-5</v>
      </c>
      <c r="J6317" s="9">
        <v>9.4220000000000003E-5</v>
      </c>
      <c r="K6317" s="9">
        <v>1.4200000000000001E-4</v>
      </c>
      <c r="L6317" s="9">
        <v>6.7119999999999994E-5</v>
      </c>
      <c r="M6317" s="9">
        <v>7.4289999999999995E-5</v>
      </c>
      <c r="N6317" s="9">
        <v>8.1429999999999998E-5</v>
      </c>
      <c r="O6317" s="9">
        <v>5.4440000000000001E-5</v>
      </c>
      <c r="P6317" s="9">
        <v>5.3860000000000003E-5</v>
      </c>
      <c r="Q6317" s="9">
        <v>5.3440000000000003E-5</v>
      </c>
      <c r="R6317" s="10">
        <v>8.2670961856796447E-5</v>
      </c>
      <c r="S6317" s="10">
        <v>3.0048665504539359E-5</v>
      </c>
      <c r="T6317" s="10">
        <v>0</v>
      </c>
      <c r="U6317" s="10">
        <v>7.1249999999999997E-5</v>
      </c>
      <c r="V6317" s="25"/>
      <c r="W6317" s="25"/>
      <c r="X6317" s="25"/>
      <c r="Y6317" s="25"/>
      <c r="Z6317" s="25"/>
      <c r="AA6317" s="25"/>
    </row>
    <row r="6318" spans="1:27" x14ac:dyDescent="0.35">
      <c r="A6318" s="5">
        <v>6314</v>
      </c>
      <c r="B6318" s="5">
        <v>264</v>
      </c>
      <c r="C6318" s="5">
        <v>9</v>
      </c>
      <c r="D6318" s="25">
        <v>1.1415000000000001E-4</v>
      </c>
      <c r="E6318" s="25">
        <v>1.1422E-4</v>
      </c>
      <c r="F6318" s="25">
        <v>1.3257000000000001E-4</v>
      </c>
      <c r="G6318" s="25">
        <v>5.3430000000000002E-5</v>
      </c>
      <c r="H6318" s="25">
        <v>6.3750000000000005E-5</v>
      </c>
      <c r="I6318" s="9">
        <v>9.1929999999999996E-5</v>
      </c>
      <c r="J6318" s="9">
        <v>9.2169999999999993E-5</v>
      </c>
      <c r="K6318" s="9">
        <v>1.6954000000000001E-4</v>
      </c>
      <c r="L6318" s="9">
        <v>5.7599999999999997E-5</v>
      </c>
      <c r="M6318" s="9">
        <v>6.4090000000000005E-5</v>
      </c>
      <c r="N6318" s="9">
        <v>7.2280000000000006E-5</v>
      </c>
      <c r="O6318" s="9">
        <v>1.8830000000000001E-5</v>
      </c>
      <c r="P6318" s="9">
        <v>3.7530000000000002E-5</v>
      </c>
      <c r="Q6318" s="9">
        <v>5.5850000000000002E-5</v>
      </c>
      <c r="R6318" s="10">
        <v>7.4851280906892113E-5</v>
      </c>
      <c r="S6318" s="10">
        <v>3.4690228023823871E-5</v>
      </c>
      <c r="T6318" s="10">
        <v>0</v>
      </c>
      <c r="U6318" s="10">
        <v>7.1249999999999997E-5</v>
      </c>
      <c r="V6318" s="25"/>
      <c r="W6318" s="25"/>
      <c r="X6318" s="25"/>
      <c r="Y6318" s="25"/>
      <c r="Z6318" s="25"/>
      <c r="AA6318" s="25"/>
    </row>
    <row r="6319" spans="1:27" x14ac:dyDescent="0.35">
      <c r="A6319" s="5">
        <v>6315</v>
      </c>
      <c r="B6319" s="5">
        <v>264</v>
      </c>
      <c r="C6319" s="5">
        <v>9</v>
      </c>
      <c r="D6319" s="25">
        <v>1.1416E-4</v>
      </c>
      <c r="E6319" s="25">
        <v>1.0593E-4</v>
      </c>
      <c r="F6319" s="25">
        <v>1.2861E-4</v>
      </c>
      <c r="G6319" s="25">
        <v>5.5179999999999997E-5</v>
      </c>
      <c r="H6319" s="25">
        <v>7.1959999999999995E-5</v>
      </c>
      <c r="I6319" s="9">
        <v>9.0489999999999996E-5</v>
      </c>
      <c r="J6319" s="9">
        <v>9.1279999999999993E-5</v>
      </c>
      <c r="K6319" s="9">
        <v>1.6531E-4</v>
      </c>
      <c r="L6319" s="9">
        <v>2.7569999999999999E-5</v>
      </c>
      <c r="M6319" s="9">
        <v>5.219E-5</v>
      </c>
      <c r="N6319" s="9">
        <v>6.5580000000000006E-5</v>
      </c>
      <c r="O6319" s="9">
        <v>1.347E-5</v>
      </c>
      <c r="P6319" s="9">
        <v>3.7780000000000001E-5</v>
      </c>
      <c r="Q6319" s="9">
        <v>6.1580000000000003E-5</v>
      </c>
      <c r="R6319" s="10">
        <v>7.4379285250611435E-5</v>
      </c>
      <c r="S6319" s="10">
        <v>3.7944561221515801E-5</v>
      </c>
      <c r="T6319" s="10">
        <v>0</v>
      </c>
      <c r="U6319" s="10">
        <v>7.1249999999999997E-5</v>
      </c>
      <c r="V6319" s="25"/>
      <c r="W6319" s="25"/>
      <c r="X6319" s="25"/>
      <c r="Y6319" s="25"/>
      <c r="Z6319" s="25"/>
      <c r="AA6319" s="25"/>
    </row>
    <row r="6320" spans="1:27" x14ac:dyDescent="0.35">
      <c r="A6320" s="5">
        <v>6316</v>
      </c>
      <c r="B6320" s="5">
        <v>264</v>
      </c>
      <c r="C6320" s="5">
        <v>9</v>
      </c>
      <c r="D6320" s="25">
        <v>1.1415000000000001E-4</v>
      </c>
      <c r="E6320" s="25">
        <v>1.0896E-4</v>
      </c>
      <c r="F6320" s="25">
        <v>1.3552E-4</v>
      </c>
      <c r="G6320" s="25">
        <v>6.2379999999999996E-5</v>
      </c>
      <c r="H6320" s="25">
        <v>7.161E-5</v>
      </c>
      <c r="I6320" s="9">
        <v>9.1130000000000003E-5</v>
      </c>
      <c r="J6320" s="9">
        <v>9.1509999999999996E-5</v>
      </c>
      <c r="K6320" s="9">
        <v>1.8013999999999999E-4</v>
      </c>
      <c r="L6320" s="9">
        <v>1.732E-5</v>
      </c>
      <c r="M6320" s="9">
        <v>4.4159999999999997E-5</v>
      </c>
      <c r="N6320" s="9">
        <v>6.1959999999999996E-5</v>
      </c>
      <c r="O6320" s="9">
        <v>1.341E-5</v>
      </c>
      <c r="P6320" s="9">
        <v>4.7009999999999999E-5</v>
      </c>
      <c r="Q6320" s="9">
        <v>7.996E-5</v>
      </c>
      <c r="R6320" s="10">
        <v>7.7449193644559789E-5</v>
      </c>
      <c r="S6320" s="10">
        <v>4.2157865375179823E-5</v>
      </c>
      <c r="T6320" s="10">
        <v>0</v>
      </c>
      <c r="U6320" s="10">
        <v>7.1249999999999997E-5</v>
      </c>
      <c r="V6320" s="25"/>
      <c r="W6320" s="25"/>
      <c r="X6320" s="25"/>
      <c r="Y6320" s="25"/>
      <c r="Z6320" s="25"/>
      <c r="AA6320" s="25"/>
    </row>
    <row r="6321" spans="1:27" x14ac:dyDescent="0.35">
      <c r="A6321" s="5">
        <v>6317</v>
      </c>
      <c r="B6321" s="5">
        <v>264</v>
      </c>
      <c r="C6321" s="5">
        <v>9</v>
      </c>
      <c r="D6321" s="25">
        <v>1.1416E-4</v>
      </c>
      <c r="E6321" s="25">
        <v>1.0832000000000001E-4</v>
      </c>
      <c r="F6321" s="25">
        <v>1.3035999999999999E-4</v>
      </c>
      <c r="G6321" s="25">
        <v>5.7949999999999999E-5</v>
      </c>
      <c r="H6321" s="25">
        <v>6.9759999999999996E-5</v>
      </c>
      <c r="I6321" s="9">
        <v>9.6050000000000004E-5</v>
      </c>
      <c r="J6321" s="9">
        <v>9.4350000000000003E-5</v>
      </c>
      <c r="K6321" s="9">
        <v>1.9074000000000001E-4</v>
      </c>
      <c r="L6321" s="9">
        <v>1.451E-5</v>
      </c>
      <c r="M6321" s="9">
        <v>4.3390000000000003E-5</v>
      </c>
      <c r="N6321" s="9">
        <v>6.4369999999999995E-5</v>
      </c>
      <c r="O6321" s="9">
        <v>1.8870000000000001E-5</v>
      </c>
      <c r="P6321" s="9">
        <v>5.643E-5</v>
      </c>
      <c r="Q6321" s="9">
        <v>9.3309999999999999E-5</v>
      </c>
      <c r="R6321" s="10">
        <v>7.1904205715166223E-5</v>
      </c>
      <c r="S6321" s="10">
        <v>4.2282468171630986E-5</v>
      </c>
      <c r="T6321" s="10">
        <v>0</v>
      </c>
      <c r="U6321" s="10">
        <v>7.1249999999999997E-5</v>
      </c>
      <c r="V6321" s="25"/>
      <c r="W6321" s="25"/>
      <c r="X6321" s="25"/>
      <c r="Y6321" s="25"/>
      <c r="Z6321" s="25"/>
      <c r="AA6321" s="25"/>
    </row>
    <row r="6322" spans="1:27" x14ac:dyDescent="0.35">
      <c r="A6322" s="5">
        <v>6318</v>
      </c>
      <c r="B6322" s="5">
        <v>264</v>
      </c>
      <c r="C6322" s="5">
        <v>9</v>
      </c>
      <c r="D6322" s="25">
        <v>1.1415000000000001E-4</v>
      </c>
      <c r="E6322" s="25">
        <v>1.0721E-4</v>
      </c>
      <c r="F6322" s="25">
        <v>1.2847999999999999E-4</v>
      </c>
      <c r="G6322" s="25">
        <v>1.1171999999999999E-4</v>
      </c>
      <c r="H6322" s="25">
        <v>1.2818000000000001E-4</v>
      </c>
      <c r="I6322" s="9">
        <v>1.0838E-4</v>
      </c>
      <c r="J6322" s="9">
        <v>1.0485E-4</v>
      </c>
      <c r="K6322" s="9">
        <v>1.8014999999999999E-4</v>
      </c>
      <c r="L6322" s="9">
        <v>1.7779999999999999E-5</v>
      </c>
      <c r="M6322" s="9">
        <v>4.8239999999999999E-5</v>
      </c>
      <c r="N6322" s="9">
        <v>7.0820000000000003E-5</v>
      </c>
      <c r="O6322" s="9">
        <v>4.6440000000000003E-5</v>
      </c>
      <c r="P6322" s="9">
        <v>7.7070000000000006E-5</v>
      </c>
      <c r="Q6322" s="9">
        <v>1.0732E-4</v>
      </c>
      <c r="R6322" s="10">
        <v>7.4847357888972659E-5</v>
      </c>
      <c r="S6322" s="10">
        <v>4.9678737995409088E-5</v>
      </c>
      <c r="T6322" s="10">
        <v>0</v>
      </c>
      <c r="U6322" s="10">
        <v>7.1249999999999997E-5</v>
      </c>
      <c r="V6322" s="25"/>
      <c r="W6322" s="25"/>
      <c r="X6322" s="25"/>
      <c r="Y6322" s="25"/>
      <c r="Z6322" s="25"/>
      <c r="AA6322" s="25"/>
    </row>
    <row r="6323" spans="1:27" x14ac:dyDescent="0.35">
      <c r="A6323" s="5">
        <v>6319</v>
      </c>
      <c r="B6323" s="5">
        <v>264</v>
      </c>
      <c r="C6323" s="5">
        <v>9</v>
      </c>
      <c r="D6323" s="25">
        <v>1.1416E-4</v>
      </c>
      <c r="E6323" s="25">
        <v>1.0746E-4</v>
      </c>
      <c r="F6323" s="25">
        <v>1.2808000000000001E-4</v>
      </c>
      <c r="G6323" s="25">
        <v>1.0696000000000001E-4</v>
      </c>
      <c r="H6323" s="25">
        <v>1.2546000000000001E-4</v>
      </c>
      <c r="I6323" s="9">
        <v>1.1881E-4</v>
      </c>
      <c r="J6323" s="9">
        <v>1.1885E-4</v>
      </c>
      <c r="K6323" s="9">
        <v>1.0173E-4</v>
      </c>
      <c r="L6323" s="9">
        <v>3.9990000000000002E-5</v>
      </c>
      <c r="M6323" s="9">
        <v>5.999E-5</v>
      </c>
      <c r="N6323" s="9">
        <v>8.0610000000000002E-5</v>
      </c>
      <c r="O6323" s="9">
        <v>1.2256999999999999E-4</v>
      </c>
      <c r="P6323" s="9">
        <v>1.1696000000000001E-4</v>
      </c>
      <c r="Q6323" s="9">
        <v>1.1204E-4</v>
      </c>
      <c r="R6323" s="10">
        <v>8.6899957022457737E-5</v>
      </c>
      <c r="S6323" s="10">
        <v>5.8713244834396204E-5</v>
      </c>
      <c r="T6323" s="10">
        <v>5.3790457879903553E-5</v>
      </c>
      <c r="U6323" s="10">
        <v>7.1249999999999997E-5</v>
      </c>
      <c r="V6323" s="25"/>
      <c r="W6323" s="25"/>
      <c r="X6323" s="25"/>
      <c r="Y6323" s="25"/>
      <c r="Z6323" s="25"/>
      <c r="AA6323" s="25"/>
    </row>
    <row r="6324" spans="1:27" x14ac:dyDescent="0.35">
      <c r="A6324" s="5">
        <v>6320</v>
      </c>
      <c r="B6324" s="5">
        <v>264</v>
      </c>
      <c r="C6324" s="5">
        <v>9</v>
      </c>
      <c r="D6324" s="25">
        <v>1.1415000000000001E-4</v>
      </c>
      <c r="E6324" s="25">
        <v>1.065E-4</v>
      </c>
      <c r="F6324" s="25">
        <v>1.2286999999999999E-4</v>
      </c>
      <c r="G6324" s="25">
        <v>1.6241000000000001E-4</v>
      </c>
      <c r="H6324" s="25">
        <v>1.9760000000000001E-4</v>
      </c>
      <c r="I6324" s="9">
        <v>1.2238E-4</v>
      </c>
      <c r="J6324" s="9">
        <v>1.2710999999999999E-4</v>
      </c>
      <c r="K6324" s="9">
        <v>2.12E-5</v>
      </c>
      <c r="L6324" s="9">
        <v>1.0378E-4</v>
      </c>
      <c r="M6324" s="9">
        <v>8.3529999999999995E-5</v>
      </c>
      <c r="N6324" s="9">
        <v>9.0649999999999994E-5</v>
      </c>
      <c r="O6324" s="9">
        <v>2.2023E-4</v>
      </c>
      <c r="P6324" s="9">
        <v>1.7785000000000001E-4</v>
      </c>
      <c r="Q6324" s="9">
        <v>1.3739000000000001E-4</v>
      </c>
      <c r="R6324" s="10">
        <v>9.540638478342275E-5</v>
      </c>
      <c r="S6324" s="10">
        <v>5.8567282621025368E-5</v>
      </c>
      <c r="T6324" s="10">
        <v>2.2726044239291745E-4</v>
      </c>
      <c r="U6324" s="10">
        <v>7.1249999999999997E-5</v>
      </c>
      <c r="V6324" s="25"/>
      <c r="W6324" s="25"/>
      <c r="X6324" s="25"/>
      <c r="Y6324" s="25"/>
      <c r="Z6324" s="25"/>
      <c r="AA6324" s="25"/>
    </row>
    <row r="6325" spans="1:27" x14ac:dyDescent="0.35">
      <c r="A6325" s="5">
        <v>6321</v>
      </c>
      <c r="B6325" s="5">
        <v>264</v>
      </c>
      <c r="C6325" s="5">
        <v>9</v>
      </c>
      <c r="D6325" s="25">
        <v>1.1416E-4</v>
      </c>
      <c r="E6325" s="25">
        <v>1.0543E-4</v>
      </c>
      <c r="F6325" s="25">
        <v>1.2619000000000001E-4</v>
      </c>
      <c r="G6325" s="25">
        <v>1.6684E-4</v>
      </c>
      <c r="H6325" s="25">
        <v>1.9011000000000001E-4</v>
      </c>
      <c r="I6325" s="9">
        <v>1.2506E-4</v>
      </c>
      <c r="J6325" s="9">
        <v>1.3012000000000001E-4</v>
      </c>
      <c r="K6325" s="9">
        <v>0</v>
      </c>
      <c r="L6325" s="9">
        <v>1.9286999999999999E-4</v>
      </c>
      <c r="M6325" s="9">
        <v>1.2357000000000001E-4</v>
      </c>
      <c r="N6325" s="9">
        <v>1.0457E-4</v>
      </c>
      <c r="O6325" s="9">
        <v>2.1242E-4</v>
      </c>
      <c r="P6325" s="9">
        <v>1.9456000000000001E-4</v>
      </c>
      <c r="Q6325" s="9">
        <v>1.7819E-4</v>
      </c>
      <c r="R6325" s="10">
        <v>9.2414004049893016E-5</v>
      </c>
      <c r="S6325" s="10">
        <v>5.2773365781558598E-5</v>
      </c>
      <c r="T6325" s="10">
        <v>3.7411517984453429E-4</v>
      </c>
      <c r="U6325" s="10">
        <v>7.1249999999999997E-5</v>
      </c>
      <c r="V6325" s="25"/>
      <c r="W6325" s="25"/>
      <c r="X6325" s="25"/>
      <c r="Y6325" s="25"/>
      <c r="Z6325" s="25"/>
      <c r="AA6325" s="25"/>
    </row>
    <row r="6326" spans="1:27" x14ac:dyDescent="0.35">
      <c r="A6326" s="5">
        <v>6322</v>
      </c>
      <c r="B6326" s="5">
        <v>264</v>
      </c>
      <c r="C6326" s="5">
        <v>9</v>
      </c>
      <c r="D6326" s="25">
        <v>1.1415000000000001E-4</v>
      </c>
      <c r="E6326" s="25">
        <v>1.1155E-4</v>
      </c>
      <c r="F6326" s="25">
        <v>1.3101000000000001E-4</v>
      </c>
      <c r="G6326" s="25">
        <v>1.6448E-4</v>
      </c>
      <c r="H6326" s="25">
        <v>1.9840999999999999E-4</v>
      </c>
      <c r="I6326" s="9">
        <v>1.2551000000000001E-4</v>
      </c>
      <c r="J6326" s="9">
        <v>1.2967E-4</v>
      </c>
      <c r="K6326" s="9">
        <v>0</v>
      </c>
      <c r="L6326" s="9">
        <v>2.0578E-4</v>
      </c>
      <c r="M6326" s="9">
        <v>1.5929E-4</v>
      </c>
      <c r="N6326" s="9">
        <v>1.2490999999999999E-4</v>
      </c>
      <c r="O6326" s="9">
        <v>1.6793999999999999E-4</v>
      </c>
      <c r="P6326" s="9">
        <v>1.752E-4</v>
      </c>
      <c r="Q6326" s="9">
        <v>1.8326E-4</v>
      </c>
      <c r="R6326" s="10">
        <v>7.3958673489455244E-5</v>
      </c>
      <c r="S6326" s="10">
        <v>5.3009489896891303E-5</v>
      </c>
      <c r="T6326" s="10">
        <v>5.6168606987748503E-4</v>
      </c>
      <c r="U6326" s="10">
        <v>7.1249999999999997E-5</v>
      </c>
      <c r="V6326" s="25"/>
      <c r="W6326" s="25"/>
      <c r="X6326" s="25"/>
      <c r="Y6326" s="25"/>
      <c r="Z6326" s="25"/>
      <c r="AA6326" s="25"/>
    </row>
    <row r="6327" spans="1:27" x14ac:dyDescent="0.35">
      <c r="A6327" s="5">
        <v>6323</v>
      </c>
      <c r="B6327" s="5">
        <v>264</v>
      </c>
      <c r="C6327" s="5">
        <v>9</v>
      </c>
      <c r="D6327" s="25">
        <v>1.1416E-4</v>
      </c>
      <c r="E6327" s="25">
        <v>1.0786E-4</v>
      </c>
      <c r="F6327" s="25">
        <v>1.2119E-4</v>
      </c>
      <c r="G6327" s="25">
        <v>1.5977E-4</v>
      </c>
      <c r="H6327" s="25">
        <v>1.9824999999999999E-4</v>
      </c>
      <c r="I6327" s="9">
        <v>1.2856E-4</v>
      </c>
      <c r="J6327" s="9">
        <v>1.2909999999999999E-4</v>
      </c>
      <c r="K6327" s="9">
        <v>0</v>
      </c>
      <c r="L6327" s="9">
        <v>1.7631999999999999E-4</v>
      </c>
      <c r="M6327" s="9">
        <v>1.7330000000000001E-4</v>
      </c>
      <c r="N6327" s="9">
        <v>1.4326000000000001E-4</v>
      </c>
      <c r="O6327" s="9">
        <v>1.6623000000000001E-4</v>
      </c>
      <c r="P6327" s="9">
        <v>1.7207999999999999E-4</v>
      </c>
      <c r="Q6327" s="9">
        <v>1.7872999999999999E-4</v>
      </c>
      <c r="R6327" s="10">
        <v>6.9411533204516378E-5</v>
      </c>
      <c r="S6327" s="10">
        <v>6.1157139502263349E-5</v>
      </c>
      <c r="T6327" s="10">
        <v>4.6525352346376523E-4</v>
      </c>
      <c r="U6327" s="10">
        <v>7.1249999999999997E-5</v>
      </c>
      <c r="V6327" s="25"/>
      <c r="W6327" s="25"/>
      <c r="X6327" s="25"/>
      <c r="Y6327" s="25"/>
      <c r="Z6327" s="25"/>
      <c r="AA6327" s="25"/>
    </row>
    <row r="6328" spans="1:27" x14ac:dyDescent="0.35">
      <c r="A6328" s="5">
        <v>6324</v>
      </c>
      <c r="B6328" s="5">
        <v>264</v>
      </c>
      <c r="C6328" s="5">
        <v>9</v>
      </c>
      <c r="D6328" s="25">
        <v>1.1415000000000001E-4</v>
      </c>
      <c r="E6328" s="25">
        <v>1.0730000000000001E-4</v>
      </c>
      <c r="F6328" s="25">
        <v>1.147E-4</v>
      </c>
      <c r="G6328" s="25">
        <v>1.5667E-4</v>
      </c>
      <c r="H6328" s="25">
        <v>1.9819999999999999E-4</v>
      </c>
      <c r="I6328" s="9">
        <v>1.2499000000000001E-4</v>
      </c>
      <c r="J6328" s="9">
        <v>1.2757E-4</v>
      </c>
      <c r="K6328" s="9">
        <v>0</v>
      </c>
      <c r="L6328" s="9">
        <v>1.6987999999999999E-4</v>
      </c>
      <c r="M6328" s="9">
        <v>1.7524000000000001E-4</v>
      </c>
      <c r="N6328" s="9">
        <v>1.5712000000000001E-4</v>
      </c>
      <c r="O6328" s="9">
        <v>1.6883999999999999E-4</v>
      </c>
      <c r="P6328" s="9">
        <v>1.7060999999999999E-4</v>
      </c>
      <c r="Q6328" s="9">
        <v>1.7327E-4</v>
      </c>
      <c r="R6328" s="10">
        <v>5.50072250871554E-5</v>
      </c>
      <c r="S6328" s="10">
        <v>8.4603131613849298E-5</v>
      </c>
      <c r="T6328" s="10">
        <v>5.8685050175000773E-4</v>
      </c>
      <c r="U6328" s="10">
        <v>7.1249999999999997E-5</v>
      </c>
      <c r="V6328" s="25"/>
      <c r="W6328" s="25"/>
      <c r="X6328" s="25"/>
      <c r="Y6328" s="25"/>
      <c r="Z6328" s="25"/>
      <c r="AA6328" s="25"/>
    </row>
    <row r="6329" spans="1:27" x14ac:dyDescent="0.35">
      <c r="A6329" s="5">
        <v>6325</v>
      </c>
      <c r="B6329" s="5">
        <v>264</v>
      </c>
      <c r="C6329" s="5">
        <v>9</v>
      </c>
      <c r="D6329" s="25">
        <v>1.1416E-4</v>
      </c>
      <c r="E6329" s="25">
        <v>1.1090999999999999E-4</v>
      </c>
      <c r="F6329" s="25">
        <v>1.3312999999999999E-4</v>
      </c>
      <c r="G6329" s="25">
        <v>1.5987E-4</v>
      </c>
      <c r="H6329" s="25">
        <v>1.8955999999999999E-4</v>
      </c>
      <c r="I6329" s="9">
        <v>1.2577000000000001E-4</v>
      </c>
      <c r="J6329" s="9">
        <v>1.2837999999999999E-4</v>
      </c>
      <c r="K6329" s="9">
        <v>0</v>
      </c>
      <c r="L6329" s="9">
        <v>1.6927000000000001E-4</v>
      </c>
      <c r="M6329" s="9">
        <v>1.7356000000000001E-4</v>
      </c>
      <c r="N6329" s="9">
        <v>1.6634000000000001E-4</v>
      </c>
      <c r="O6329" s="9">
        <v>1.6174000000000001E-4</v>
      </c>
      <c r="P6329" s="9">
        <v>1.6432999999999999E-4</v>
      </c>
      <c r="Q6329" s="9">
        <v>1.6772999999999999E-4</v>
      </c>
      <c r="R6329" s="10">
        <v>7.3973749948074796E-5</v>
      </c>
      <c r="S6329" s="10">
        <v>9.6453042460809167E-5</v>
      </c>
      <c r="T6329" s="10">
        <v>4.0417505244208919E-4</v>
      </c>
      <c r="U6329" s="10">
        <v>7.1249999999999997E-5</v>
      </c>
      <c r="V6329" s="25"/>
      <c r="W6329" s="25"/>
      <c r="X6329" s="25"/>
      <c r="Y6329" s="25"/>
      <c r="Z6329" s="25"/>
      <c r="AA6329" s="25"/>
    </row>
    <row r="6330" spans="1:27" x14ac:dyDescent="0.35">
      <c r="A6330" s="5">
        <v>6326</v>
      </c>
      <c r="B6330" s="5">
        <v>264</v>
      </c>
      <c r="C6330" s="5">
        <v>9</v>
      </c>
      <c r="D6330" s="25">
        <v>1.1415000000000001E-4</v>
      </c>
      <c r="E6330" s="25">
        <v>1.0974E-4</v>
      </c>
      <c r="F6330" s="25">
        <v>1.2233E-4</v>
      </c>
      <c r="G6330" s="25">
        <v>1.6223E-4</v>
      </c>
      <c r="H6330" s="25">
        <v>1.9171999999999999E-4</v>
      </c>
      <c r="I6330" s="9">
        <v>1.2423999999999999E-4</v>
      </c>
      <c r="J6330" s="9">
        <v>1.292E-4</v>
      </c>
      <c r="K6330" s="9">
        <v>0</v>
      </c>
      <c r="L6330" s="9">
        <v>1.6316E-4</v>
      </c>
      <c r="M6330" s="9">
        <v>1.6977999999999999E-4</v>
      </c>
      <c r="N6330" s="9">
        <v>1.7063000000000001E-4</v>
      </c>
      <c r="O6330" s="9">
        <v>1.7887E-4</v>
      </c>
      <c r="P6330" s="9">
        <v>1.6967999999999999E-4</v>
      </c>
      <c r="Q6330" s="9">
        <v>1.6160999999999999E-4</v>
      </c>
      <c r="R6330" s="10">
        <v>8.2906945478598634E-5</v>
      </c>
      <c r="S6330" s="10">
        <v>1.0445416841642275E-4</v>
      </c>
      <c r="T6330" s="10">
        <v>4.667637287480906E-4</v>
      </c>
      <c r="U6330" s="10">
        <v>7.1249999999999997E-5</v>
      </c>
      <c r="V6330" s="25"/>
      <c r="W6330" s="25"/>
      <c r="X6330" s="25"/>
      <c r="Y6330" s="25"/>
      <c r="Z6330" s="25"/>
      <c r="AA6330" s="25"/>
    </row>
    <row r="6331" spans="1:27" x14ac:dyDescent="0.35">
      <c r="A6331" s="5">
        <v>6327</v>
      </c>
      <c r="B6331" s="5">
        <v>264</v>
      </c>
      <c r="C6331" s="5">
        <v>9</v>
      </c>
      <c r="D6331" s="25">
        <v>1.1416E-4</v>
      </c>
      <c r="E6331" s="25">
        <v>1.1340000000000001E-4</v>
      </c>
      <c r="F6331" s="25">
        <v>1.1618E-4</v>
      </c>
      <c r="G6331" s="25">
        <v>1.6375E-4</v>
      </c>
      <c r="H6331" s="25">
        <v>1.9471000000000001E-4</v>
      </c>
      <c r="I6331" s="9">
        <v>1.2385E-4</v>
      </c>
      <c r="J6331" s="9">
        <v>1.2915E-4</v>
      </c>
      <c r="K6331" s="9">
        <v>0</v>
      </c>
      <c r="L6331" s="9">
        <v>1.7553999999999999E-4</v>
      </c>
      <c r="M6331" s="9">
        <v>1.6869000000000001E-4</v>
      </c>
      <c r="N6331" s="9">
        <v>1.7022000000000001E-4</v>
      </c>
      <c r="O6331" s="9">
        <v>1.8340000000000001E-4</v>
      </c>
      <c r="P6331" s="9">
        <v>1.6742999999999999E-4</v>
      </c>
      <c r="Q6331" s="9">
        <v>1.5270999999999999E-4</v>
      </c>
      <c r="R6331" s="10">
        <v>8.7467954271327805E-5</v>
      </c>
      <c r="S6331" s="10">
        <v>1.2727391989961209E-4</v>
      </c>
      <c r="T6331" s="10">
        <v>2.8560696902384754E-4</v>
      </c>
      <c r="U6331" s="10">
        <v>7.1249999999999997E-5</v>
      </c>
      <c r="V6331" s="25"/>
      <c r="W6331" s="25"/>
      <c r="X6331" s="25"/>
      <c r="Y6331" s="25"/>
      <c r="Z6331" s="25"/>
      <c r="AA6331" s="25"/>
    </row>
    <row r="6332" spans="1:27" x14ac:dyDescent="0.35">
      <c r="A6332" s="5">
        <v>6328</v>
      </c>
      <c r="B6332" s="5">
        <v>264</v>
      </c>
      <c r="C6332" s="5">
        <v>9</v>
      </c>
      <c r="D6332" s="25">
        <v>1.1415000000000001E-4</v>
      </c>
      <c r="E6332" s="25">
        <v>1.1092E-4</v>
      </c>
      <c r="F6332" s="25">
        <v>1.3569999999999999E-4</v>
      </c>
      <c r="G6332" s="25">
        <v>1.5626999999999999E-4</v>
      </c>
      <c r="H6332" s="25">
        <v>1.9998999999999999E-4</v>
      </c>
      <c r="I6332" s="9">
        <v>1.2375E-4</v>
      </c>
      <c r="J6332" s="9">
        <v>1.2983999999999999E-4</v>
      </c>
      <c r="K6332" s="9">
        <v>0</v>
      </c>
      <c r="L6332" s="9">
        <v>1.8134E-4</v>
      </c>
      <c r="M6332" s="9">
        <v>1.6804999999999999E-4</v>
      </c>
      <c r="N6332" s="9">
        <v>1.6629000000000001E-4</v>
      </c>
      <c r="O6332" s="9">
        <v>1.9778999999999999E-4</v>
      </c>
      <c r="P6332" s="9">
        <v>1.5310000000000001E-4</v>
      </c>
      <c r="Q6332" s="9">
        <v>1.1022999999999999E-4</v>
      </c>
      <c r="R6332" s="10">
        <v>8.5451693717166345E-5</v>
      </c>
      <c r="S6332" s="10">
        <v>1.4822526386747397E-4</v>
      </c>
      <c r="T6332" s="10">
        <v>1.4775407318273192E-4</v>
      </c>
      <c r="U6332" s="10">
        <v>7.1249999999999997E-5</v>
      </c>
      <c r="V6332" s="25"/>
      <c r="W6332" s="25"/>
      <c r="X6332" s="25"/>
      <c r="Y6332" s="25"/>
      <c r="Z6332" s="25"/>
      <c r="AA6332" s="25"/>
    </row>
    <row r="6333" spans="1:27" x14ac:dyDescent="0.35">
      <c r="A6333" s="5">
        <v>6329</v>
      </c>
      <c r="B6333" s="5">
        <v>264</v>
      </c>
      <c r="C6333" s="5">
        <v>9</v>
      </c>
      <c r="D6333" s="25">
        <v>1.1416E-4</v>
      </c>
      <c r="E6333" s="25">
        <v>1.1144E-4</v>
      </c>
      <c r="F6333" s="25">
        <v>1.2274000000000001E-4</v>
      </c>
      <c r="G6333" s="25">
        <v>1.6750000000000001E-4</v>
      </c>
      <c r="H6333" s="25">
        <v>1.9290999999999999E-4</v>
      </c>
      <c r="I6333" s="9">
        <v>1.2420000000000001E-4</v>
      </c>
      <c r="J6333" s="9">
        <v>1.3074000000000001E-4</v>
      </c>
      <c r="K6333" s="9">
        <v>0</v>
      </c>
      <c r="L6333" s="9">
        <v>1.9395999999999999E-4</v>
      </c>
      <c r="M6333" s="9">
        <v>1.6259E-4</v>
      </c>
      <c r="N6333" s="9">
        <v>1.5265999999999999E-4</v>
      </c>
      <c r="O6333" s="9">
        <v>2.1306E-4</v>
      </c>
      <c r="P6333" s="9">
        <v>1.5896000000000001E-4</v>
      </c>
      <c r="Q6333" s="9">
        <v>1.0692E-4</v>
      </c>
      <c r="R6333" s="10">
        <v>8.3442008688430921E-5</v>
      </c>
      <c r="S6333" s="10">
        <v>1.5073914198238963E-4</v>
      </c>
      <c r="T6333" s="10">
        <v>5.2585687372183314E-5</v>
      </c>
      <c r="U6333" s="10">
        <v>7.1249999999999997E-5</v>
      </c>
      <c r="V6333" s="25"/>
      <c r="W6333" s="25"/>
      <c r="X6333" s="25"/>
      <c r="Y6333" s="25"/>
      <c r="Z6333" s="25"/>
      <c r="AA6333" s="25"/>
    </row>
    <row r="6334" spans="1:27" x14ac:dyDescent="0.35">
      <c r="A6334" s="5">
        <v>6330</v>
      </c>
      <c r="B6334" s="5">
        <v>264</v>
      </c>
      <c r="C6334" s="5">
        <v>9</v>
      </c>
      <c r="D6334" s="25">
        <v>1.1415000000000001E-4</v>
      </c>
      <c r="E6334" s="25">
        <v>1.0962E-4</v>
      </c>
      <c r="F6334" s="25">
        <v>1.2375999999999999E-4</v>
      </c>
      <c r="G6334" s="25">
        <v>1.6548999999999999E-4</v>
      </c>
      <c r="H6334" s="25">
        <v>1.8822000000000001E-4</v>
      </c>
      <c r="I6334" s="9">
        <v>1.2210000000000001E-4</v>
      </c>
      <c r="J6334" s="9">
        <v>1.2689E-4</v>
      </c>
      <c r="K6334" s="9">
        <v>2.544E-5</v>
      </c>
      <c r="L6334" s="9">
        <v>2.086E-4</v>
      </c>
      <c r="M6334" s="9">
        <v>1.5977E-4</v>
      </c>
      <c r="N6334" s="9">
        <v>1.3925999999999999E-4</v>
      </c>
      <c r="O6334" s="9">
        <v>2.0338999999999999E-4</v>
      </c>
      <c r="P6334" s="9">
        <v>1.5915999999999999E-4</v>
      </c>
      <c r="Q6334" s="9">
        <v>1.1677E-4</v>
      </c>
      <c r="R6334" s="10">
        <v>9.468644870334097E-5</v>
      </c>
      <c r="S6334" s="10">
        <v>1.5116783652077562E-4</v>
      </c>
      <c r="T6334" s="10">
        <v>0</v>
      </c>
      <c r="U6334" s="10">
        <v>7.1249999999999997E-5</v>
      </c>
      <c r="V6334" s="25"/>
      <c r="W6334" s="25"/>
      <c r="X6334" s="25"/>
      <c r="Y6334" s="25"/>
      <c r="Z6334" s="25"/>
      <c r="AA6334" s="25"/>
    </row>
    <row r="6335" spans="1:27" x14ac:dyDescent="0.35">
      <c r="A6335" s="5">
        <v>6331</v>
      </c>
      <c r="B6335" s="5">
        <v>264</v>
      </c>
      <c r="C6335" s="5">
        <v>9</v>
      </c>
      <c r="D6335" s="25">
        <v>1.1416E-4</v>
      </c>
      <c r="E6335" s="25">
        <v>1.0956E-4</v>
      </c>
      <c r="F6335" s="25">
        <v>1.3237000000000001E-4</v>
      </c>
      <c r="G6335" s="25">
        <v>1.1451E-4</v>
      </c>
      <c r="H6335" s="25">
        <v>1.2677000000000001E-4</v>
      </c>
      <c r="I6335" s="9">
        <v>1.2048E-4</v>
      </c>
      <c r="J6335" s="9">
        <v>1.2679E-4</v>
      </c>
      <c r="K6335" s="9">
        <v>5.9339999999999998E-5</v>
      </c>
      <c r="L6335" s="9">
        <v>2.0416E-4</v>
      </c>
      <c r="M6335" s="9">
        <v>1.5897E-4</v>
      </c>
      <c r="N6335" s="9">
        <v>1.2996000000000001E-4</v>
      </c>
      <c r="O6335" s="9">
        <v>1.6457E-4</v>
      </c>
      <c r="P6335" s="9">
        <v>1.3532E-4</v>
      </c>
      <c r="Q6335" s="9">
        <v>1.0739999999999999E-4</v>
      </c>
      <c r="R6335" s="10">
        <v>1.0564774305699476E-4</v>
      </c>
      <c r="S6335" s="10">
        <v>1.4123028144601786E-4</v>
      </c>
      <c r="T6335" s="10">
        <v>0</v>
      </c>
      <c r="U6335" s="10">
        <v>7.1249999999999997E-5</v>
      </c>
      <c r="V6335" s="25"/>
      <c r="W6335" s="25"/>
      <c r="X6335" s="25"/>
      <c r="Y6335" s="25"/>
      <c r="Z6335" s="25"/>
      <c r="AA6335" s="25"/>
    </row>
    <row r="6336" spans="1:27" x14ac:dyDescent="0.35">
      <c r="A6336" s="5">
        <v>6332</v>
      </c>
      <c r="B6336" s="5">
        <v>264</v>
      </c>
      <c r="C6336" s="5">
        <v>9</v>
      </c>
      <c r="D6336" s="25">
        <v>1.1415000000000001E-4</v>
      </c>
      <c r="E6336" s="25">
        <v>1.1461E-4</v>
      </c>
      <c r="F6336" s="25">
        <v>1.2024E-4</v>
      </c>
      <c r="G6336" s="25">
        <v>1.128E-4</v>
      </c>
      <c r="H6336" s="25">
        <v>1.2645000000000001E-4</v>
      </c>
      <c r="I6336" s="9">
        <v>1.2284000000000001E-4</v>
      </c>
      <c r="J6336" s="9">
        <v>1.2813000000000001E-4</v>
      </c>
      <c r="K6336" s="9">
        <v>7.8419999999999998E-5</v>
      </c>
      <c r="L6336" s="9">
        <v>1.7348E-4</v>
      </c>
      <c r="M6336" s="9">
        <v>1.5040999999999999E-4</v>
      </c>
      <c r="N6336" s="9">
        <v>1.2089E-4</v>
      </c>
      <c r="O6336" s="9">
        <v>1.2871000000000001E-4</v>
      </c>
      <c r="P6336" s="9">
        <v>1.1488E-4</v>
      </c>
      <c r="Q6336" s="9">
        <v>1.0191000000000001E-4</v>
      </c>
      <c r="R6336" s="10">
        <v>1.1917034578342824E-4</v>
      </c>
      <c r="S6336" s="10">
        <v>1.2403614148556708E-4</v>
      </c>
      <c r="T6336" s="10">
        <v>0</v>
      </c>
      <c r="U6336" s="10">
        <v>7.1249999999999997E-5</v>
      </c>
      <c r="V6336" s="25"/>
      <c r="W6336" s="25"/>
      <c r="X6336" s="25"/>
      <c r="Y6336" s="25"/>
      <c r="Z6336" s="25"/>
      <c r="AA6336" s="25"/>
    </row>
    <row r="6337" spans="1:27" x14ac:dyDescent="0.35">
      <c r="A6337" s="5">
        <v>6333</v>
      </c>
      <c r="B6337" s="5">
        <v>264</v>
      </c>
      <c r="C6337" s="5">
        <v>9</v>
      </c>
      <c r="D6337" s="25">
        <v>1.1416E-4</v>
      </c>
      <c r="E6337" s="25">
        <v>1.1068E-4</v>
      </c>
      <c r="F6337" s="25">
        <v>1.1626E-4</v>
      </c>
      <c r="G6337" s="25">
        <v>5.5810000000000003E-5</v>
      </c>
      <c r="H6337" s="25">
        <v>6.6400000000000001E-5</v>
      </c>
      <c r="I6337" s="9">
        <v>1.1567E-4</v>
      </c>
      <c r="J6337" s="9">
        <v>1.2243000000000001E-4</v>
      </c>
      <c r="K6337" s="9">
        <v>9.7490000000000003E-5</v>
      </c>
      <c r="L6337" s="9">
        <v>1.3951E-4</v>
      </c>
      <c r="M6337" s="9">
        <v>1.3522999999999999E-4</v>
      </c>
      <c r="N6337" s="9">
        <v>1.1318E-4</v>
      </c>
      <c r="O6337" s="9">
        <v>8.4480000000000004E-5</v>
      </c>
      <c r="P6337" s="9">
        <v>8.6149999999999993E-5</v>
      </c>
      <c r="Q6337" s="9">
        <v>8.8150000000000001E-5</v>
      </c>
      <c r="R6337" s="10">
        <v>1.3148919500912193E-4</v>
      </c>
      <c r="S6337" s="10">
        <v>1.1506490269010594E-4</v>
      </c>
      <c r="T6337" s="10">
        <v>0</v>
      </c>
      <c r="U6337" s="10">
        <v>7.1249999999999997E-5</v>
      </c>
      <c r="V6337" s="25"/>
      <c r="W6337" s="25"/>
      <c r="X6337" s="25"/>
      <c r="Y6337" s="25"/>
      <c r="Z6337" s="25"/>
      <c r="AA6337" s="25"/>
    </row>
    <row r="6338" spans="1:27" x14ac:dyDescent="0.35">
      <c r="A6338" s="5">
        <v>6334</v>
      </c>
      <c r="B6338" s="5">
        <v>264</v>
      </c>
      <c r="C6338" s="5">
        <v>9</v>
      </c>
      <c r="D6338" s="25">
        <v>1.1415000000000001E-4</v>
      </c>
      <c r="E6338" s="25">
        <v>1.1349E-4</v>
      </c>
      <c r="F6338" s="25">
        <v>1.2617999999999999E-4</v>
      </c>
      <c r="G6338" s="25">
        <v>5.4089999999999999E-5</v>
      </c>
      <c r="H6338" s="25">
        <v>7.2929999999999995E-5</v>
      </c>
      <c r="I6338" s="9">
        <v>1.1085E-4</v>
      </c>
      <c r="J6338" s="9">
        <v>1.1387000000000001E-4</v>
      </c>
      <c r="K6338" s="9">
        <v>1.1021E-4</v>
      </c>
      <c r="L6338" s="9">
        <v>9.7499999999999998E-5</v>
      </c>
      <c r="M6338" s="9">
        <v>1.1367E-4</v>
      </c>
      <c r="N6338" s="9">
        <v>1.0552000000000001E-4</v>
      </c>
      <c r="O6338" s="9">
        <v>8.6879999999999995E-5</v>
      </c>
      <c r="P6338" s="9">
        <v>8.7159999999999999E-5</v>
      </c>
      <c r="Q6338" s="9">
        <v>8.7800000000000006E-5</v>
      </c>
      <c r="R6338" s="10">
        <v>1.4939416620334998E-4</v>
      </c>
      <c r="S6338" s="10">
        <v>1.1711419894094532E-4</v>
      </c>
      <c r="T6338" s="10">
        <v>0</v>
      </c>
      <c r="U6338" s="10">
        <v>7.1249999999999997E-5</v>
      </c>
      <c r="V6338" s="25"/>
      <c r="W6338" s="25"/>
      <c r="X6338" s="25"/>
      <c r="Y6338" s="25"/>
      <c r="Z6338" s="25"/>
      <c r="AA6338" s="25"/>
    </row>
    <row r="6339" spans="1:27" x14ac:dyDescent="0.35">
      <c r="A6339" s="5">
        <v>6335</v>
      </c>
      <c r="B6339" s="5">
        <v>264</v>
      </c>
      <c r="C6339" s="5">
        <v>9</v>
      </c>
      <c r="D6339" s="25">
        <v>1.1416E-4</v>
      </c>
      <c r="E6339" s="25">
        <v>1.13E-4</v>
      </c>
      <c r="F6339" s="25">
        <v>1.2682000000000001E-4</v>
      </c>
      <c r="G6339" s="25">
        <v>5.4559999999999999E-5</v>
      </c>
      <c r="H6339" s="25">
        <v>7.1439999999999994E-5</v>
      </c>
      <c r="I6339" s="9">
        <v>1.0442000000000001E-4</v>
      </c>
      <c r="J6339" s="9">
        <v>1.0681E-4</v>
      </c>
      <c r="K6339" s="9">
        <v>1.2504000000000001E-4</v>
      </c>
      <c r="L6339" s="9">
        <v>9.0160000000000004E-5</v>
      </c>
      <c r="M6339" s="9">
        <v>9.8820000000000006E-5</v>
      </c>
      <c r="N6339" s="9">
        <v>9.9640000000000001E-5</v>
      </c>
      <c r="O6339" s="9">
        <v>7.7319999999999998E-5</v>
      </c>
      <c r="P6339" s="9">
        <v>7.1710000000000003E-5</v>
      </c>
      <c r="Q6339" s="9">
        <v>6.6489999999999995E-5</v>
      </c>
      <c r="R6339" s="10">
        <v>1.597257866578266E-4</v>
      </c>
      <c r="S6339" s="10">
        <v>1.2128534383898337E-4</v>
      </c>
      <c r="T6339" s="10">
        <v>0</v>
      </c>
      <c r="U6339" s="10">
        <v>7.1249999999999997E-5</v>
      </c>
      <c r="V6339" s="25"/>
      <c r="W6339" s="25"/>
      <c r="X6339" s="25"/>
      <c r="Y6339" s="25"/>
      <c r="Z6339" s="25"/>
      <c r="AA6339" s="25"/>
    </row>
    <row r="6340" spans="1:27" x14ac:dyDescent="0.35">
      <c r="A6340" s="5">
        <v>6336</v>
      </c>
      <c r="B6340" s="5">
        <v>264</v>
      </c>
      <c r="C6340" s="5">
        <v>9</v>
      </c>
      <c r="D6340" s="25">
        <v>1.1415000000000001E-4</v>
      </c>
      <c r="E6340" s="25">
        <v>1.0887000000000001E-4</v>
      </c>
      <c r="F6340" s="25">
        <v>1.1694E-4</v>
      </c>
      <c r="G6340" s="25">
        <v>5.4629999999999997E-5</v>
      </c>
      <c r="H6340" s="25">
        <v>7.1420000000000004E-5</v>
      </c>
      <c r="I6340" s="9">
        <v>9.8029999999999995E-5</v>
      </c>
      <c r="J6340" s="9">
        <v>9.9649999999999996E-5</v>
      </c>
      <c r="K6340" s="9">
        <v>1.3564E-4</v>
      </c>
      <c r="L6340" s="9">
        <v>8.0140000000000002E-5</v>
      </c>
      <c r="M6340" s="9">
        <v>8.5790000000000004E-5</v>
      </c>
      <c r="N6340" s="9">
        <v>9.0320000000000003E-5</v>
      </c>
      <c r="O6340" s="9">
        <v>6.2959999999999994E-5</v>
      </c>
      <c r="P6340" s="9">
        <v>6.0900000000000003E-5</v>
      </c>
      <c r="Q6340" s="9">
        <v>5.9079999999999997E-5</v>
      </c>
      <c r="R6340" s="10">
        <v>1.6728493637344281E-4</v>
      </c>
      <c r="S6340" s="10">
        <v>1.2526731277834354E-4</v>
      </c>
      <c r="T6340" s="10">
        <v>0</v>
      </c>
      <c r="U6340" s="10">
        <v>7.1249999999999997E-5</v>
      </c>
      <c r="V6340" s="25"/>
      <c r="W6340" s="25"/>
      <c r="X6340" s="25"/>
      <c r="Y6340" s="25"/>
      <c r="Z6340" s="25"/>
      <c r="AA6340" s="25"/>
    </row>
    <row r="6341" spans="1:27" x14ac:dyDescent="0.35">
      <c r="A6341" s="5">
        <v>6337</v>
      </c>
      <c r="B6341" s="5">
        <v>265</v>
      </c>
      <c r="C6341" s="5">
        <v>9</v>
      </c>
      <c r="D6341" s="25">
        <v>1.1416E-4</v>
      </c>
      <c r="E6341" s="25">
        <v>1.1613E-4</v>
      </c>
      <c r="F6341" s="25">
        <v>1.1924E-4</v>
      </c>
      <c r="G6341" s="25">
        <v>5.376E-5</v>
      </c>
      <c r="H6341" s="25">
        <v>3.8890000000000002E-5</v>
      </c>
      <c r="I6341" s="9">
        <v>9.3980000000000005E-5</v>
      </c>
      <c r="J6341" s="9">
        <v>9.4790000000000006E-5</v>
      </c>
      <c r="K6341" s="9">
        <v>1.5470999999999999E-4</v>
      </c>
      <c r="L6341" s="9">
        <v>6.6740000000000001E-5</v>
      </c>
      <c r="M6341" s="9">
        <v>7.3839999999999998E-5</v>
      </c>
      <c r="N6341" s="9">
        <v>8.0989999999999995E-5</v>
      </c>
      <c r="O6341" s="9">
        <v>6.7509999999999996E-5</v>
      </c>
      <c r="P6341" s="9">
        <v>6.0109999999999999E-5</v>
      </c>
      <c r="Q6341" s="9">
        <v>5.3010000000000002E-5</v>
      </c>
      <c r="R6341" s="10">
        <v>1.7001248626226373E-4</v>
      </c>
      <c r="S6341" s="10">
        <v>1.2336154439300686E-4</v>
      </c>
      <c r="T6341" s="10">
        <v>0</v>
      </c>
      <c r="U6341" s="10">
        <v>7.0549999999999994E-5</v>
      </c>
      <c r="V6341" s="25"/>
      <c r="W6341" s="25"/>
      <c r="X6341" s="25"/>
      <c r="Y6341" s="25"/>
      <c r="Z6341" s="25"/>
      <c r="AA6341" s="25"/>
    </row>
    <row r="6342" spans="1:27" x14ac:dyDescent="0.35">
      <c r="A6342" s="5">
        <v>6338</v>
      </c>
      <c r="B6342" s="5">
        <v>265</v>
      </c>
      <c r="C6342" s="5">
        <v>9</v>
      </c>
      <c r="D6342" s="25">
        <v>1.1415000000000001E-4</v>
      </c>
      <c r="E6342" s="25">
        <v>1.1896999999999999E-4</v>
      </c>
      <c r="F6342" s="25">
        <v>9.9820000000000003E-5</v>
      </c>
      <c r="G6342" s="25">
        <v>6.3200000000000005E-5</v>
      </c>
      <c r="H6342" s="25">
        <v>4.3460000000000001E-5</v>
      </c>
      <c r="I6342" s="9">
        <v>9.1959999999999994E-5</v>
      </c>
      <c r="J6342" s="9">
        <v>9.2609999999999996E-5</v>
      </c>
      <c r="K6342" s="9">
        <v>1.5894999999999999E-4</v>
      </c>
      <c r="L6342" s="9">
        <v>6.7710000000000001E-5</v>
      </c>
      <c r="M6342" s="9">
        <v>6.6069999999999996E-5</v>
      </c>
      <c r="N6342" s="9">
        <v>7.1829999999999995E-5</v>
      </c>
      <c r="O6342" s="9">
        <v>3.5030000000000002E-5</v>
      </c>
      <c r="P6342" s="9">
        <v>4.549E-5</v>
      </c>
      <c r="Q6342" s="9">
        <v>5.575E-5</v>
      </c>
      <c r="R6342" s="10">
        <v>1.7945676269193715E-4</v>
      </c>
      <c r="S6342" s="10">
        <v>1.0526672618101874E-4</v>
      </c>
      <c r="T6342" s="10">
        <v>0</v>
      </c>
      <c r="U6342" s="10">
        <v>7.0549999999999994E-5</v>
      </c>
      <c r="V6342" s="25"/>
      <c r="W6342" s="25"/>
      <c r="X6342" s="25"/>
      <c r="Y6342" s="25"/>
      <c r="Z6342" s="25"/>
      <c r="AA6342" s="25"/>
    </row>
    <row r="6343" spans="1:27" x14ac:dyDescent="0.35">
      <c r="A6343" s="5">
        <v>6339</v>
      </c>
      <c r="B6343" s="5">
        <v>265</v>
      </c>
      <c r="C6343" s="5">
        <v>9</v>
      </c>
      <c r="D6343" s="25">
        <v>1.1416E-4</v>
      </c>
      <c r="E6343" s="25">
        <v>1.1182E-4</v>
      </c>
      <c r="F6343" s="25">
        <v>9.8869999999999994E-5</v>
      </c>
      <c r="G6343" s="25">
        <v>6.1110000000000003E-5</v>
      </c>
      <c r="H6343" s="25">
        <v>4.4180000000000001E-5</v>
      </c>
      <c r="I6343" s="9">
        <v>9.0749999999999997E-5</v>
      </c>
      <c r="J6343" s="9">
        <v>9.2E-5</v>
      </c>
      <c r="K6343" s="9">
        <v>1.6955E-4</v>
      </c>
      <c r="L6343" s="9">
        <v>4.2150000000000001E-5</v>
      </c>
      <c r="M6343" s="9">
        <v>5.7000000000000003E-5</v>
      </c>
      <c r="N6343" s="9">
        <v>6.5220000000000002E-5</v>
      </c>
      <c r="O6343" s="9">
        <v>2.196E-5</v>
      </c>
      <c r="P6343" s="9">
        <v>4.1669999999999999E-5</v>
      </c>
      <c r="Q6343" s="9">
        <v>6.0959999999999999E-5</v>
      </c>
      <c r="R6343" s="10">
        <v>1.8364217043068676E-4</v>
      </c>
      <c r="S6343" s="10">
        <v>8.6034675861177621E-5</v>
      </c>
      <c r="T6343" s="10">
        <v>0</v>
      </c>
      <c r="U6343" s="10">
        <v>7.0549999999999994E-5</v>
      </c>
      <c r="V6343" s="25"/>
      <c r="W6343" s="25"/>
      <c r="X6343" s="25"/>
      <c r="Y6343" s="25"/>
      <c r="Z6343" s="25"/>
      <c r="AA6343" s="25"/>
    </row>
    <row r="6344" spans="1:27" x14ac:dyDescent="0.35">
      <c r="A6344" s="5">
        <v>6340</v>
      </c>
      <c r="B6344" s="5">
        <v>265</v>
      </c>
      <c r="C6344" s="5">
        <v>9</v>
      </c>
      <c r="D6344" s="25">
        <v>1.1415000000000001E-4</v>
      </c>
      <c r="E6344" s="25">
        <v>1.2275E-4</v>
      </c>
      <c r="F6344" s="25">
        <v>1.0513E-4</v>
      </c>
      <c r="G6344" s="25">
        <v>5.8060000000000003E-5</v>
      </c>
      <c r="H6344" s="25">
        <v>4.3040000000000001E-5</v>
      </c>
      <c r="I6344" s="9">
        <v>9.2150000000000004E-5</v>
      </c>
      <c r="J6344" s="9">
        <v>9.2289999999999999E-5</v>
      </c>
      <c r="K6344" s="9">
        <v>1.6318999999999999E-4</v>
      </c>
      <c r="L6344" s="9">
        <v>2.7019999999999999E-5</v>
      </c>
      <c r="M6344" s="9">
        <v>4.9329999999999997E-5</v>
      </c>
      <c r="N6344" s="9">
        <v>6.1550000000000005E-5</v>
      </c>
      <c r="O6344" s="9">
        <v>2.1670000000000001E-5</v>
      </c>
      <c r="P6344" s="9">
        <v>5.1350000000000001E-5</v>
      </c>
      <c r="Q6344" s="9">
        <v>8.0450000000000004E-5</v>
      </c>
      <c r="R6344" s="10">
        <v>1.8017498951241692E-4</v>
      </c>
      <c r="S6344" s="10">
        <v>7.3608177450227368E-5</v>
      </c>
      <c r="T6344" s="10">
        <v>0</v>
      </c>
      <c r="U6344" s="10">
        <v>7.0549999999999994E-5</v>
      </c>
      <c r="V6344" s="25"/>
      <c r="W6344" s="25"/>
      <c r="X6344" s="25"/>
      <c r="Y6344" s="25"/>
      <c r="Z6344" s="25"/>
      <c r="AA6344" s="25"/>
    </row>
    <row r="6345" spans="1:27" x14ac:dyDescent="0.35">
      <c r="A6345" s="5">
        <v>6341</v>
      </c>
      <c r="B6345" s="5">
        <v>265</v>
      </c>
      <c r="C6345" s="5">
        <v>9</v>
      </c>
      <c r="D6345" s="25">
        <v>1.1416E-4</v>
      </c>
      <c r="E6345" s="25">
        <v>1.1228E-4</v>
      </c>
      <c r="F6345" s="25">
        <v>1.1680000000000001E-4</v>
      </c>
      <c r="G6345" s="25">
        <v>5.431E-5</v>
      </c>
      <c r="H6345" s="25">
        <v>4.0049999999999998E-5</v>
      </c>
      <c r="I6345" s="9">
        <v>9.7540000000000005E-5</v>
      </c>
      <c r="J6345" s="9">
        <v>9.5290000000000004E-5</v>
      </c>
      <c r="K6345" s="9">
        <v>1.5894999999999999E-4</v>
      </c>
      <c r="L6345" s="9">
        <v>2.3300000000000001E-5</v>
      </c>
      <c r="M6345" s="9">
        <v>4.8239999999999999E-5</v>
      </c>
      <c r="N6345" s="9">
        <v>6.4170000000000004E-5</v>
      </c>
      <c r="O6345" s="9">
        <v>2.3589999999999999E-5</v>
      </c>
      <c r="P6345" s="9">
        <v>5.9049999999999999E-5</v>
      </c>
      <c r="Q6345" s="9">
        <v>9.3839999999999996E-5</v>
      </c>
      <c r="R6345" s="10">
        <v>1.674982138028356E-4</v>
      </c>
      <c r="S6345" s="10">
        <v>6.2450273182532463E-5</v>
      </c>
      <c r="T6345" s="10">
        <v>0</v>
      </c>
      <c r="U6345" s="10">
        <v>7.0549999999999994E-5</v>
      </c>
      <c r="V6345" s="25"/>
      <c r="W6345" s="25"/>
      <c r="X6345" s="25"/>
      <c r="Y6345" s="25"/>
      <c r="Z6345" s="25"/>
      <c r="AA6345" s="25"/>
    </row>
    <row r="6346" spans="1:27" x14ac:dyDescent="0.35">
      <c r="A6346" s="5">
        <v>6342</v>
      </c>
      <c r="B6346" s="5">
        <v>265</v>
      </c>
      <c r="C6346" s="5">
        <v>9</v>
      </c>
      <c r="D6346" s="25">
        <v>1.1415000000000001E-4</v>
      </c>
      <c r="E6346" s="25">
        <v>1.2082999999999999E-4</v>
      </c>
      <c r="F6346" s="25">
        <v>1.1663999999999999E-4</v>
      </c>
      <c r="G6346" s="25">
        <v>1.1262E-4</v>
      </c>
      <c r="H6346" s="25">
        <v>7.9820000000000005E-5</v>
      </c>
      <c r="I6346" s="9">
        <v>1.0971E-4</v>
      </c>
      <c r="J6346" s="9">
        <v>1.0572E-4</v>
      </c>
      <c r="K6346" s="9">
        <v>1.4624000000000001E-4</v>
      </c>
      <c r="L6346" s="9">
        <v>2.3450000000000001E-5</v>
      </c>
      <c r="M6346" s="9">
        <v>5.2169999999999997E-5</v>
      </c>
      <c r="N6346" s="9">
        <v>7.0820000000000003E-5</v>
      </c>
      <c r="O6346" s="9">
        <v>2.9819999999999999E-5</v>
      </c>
      <c r="P6346" s="9">
        <v>6.8750000000000004E-5</v>
      </c>
      <c r="Q6346" s="9">
        <v>1.0699E-4</v>
      </c>
      <c r="R6346" s="10">
        <v>1.5037568109460257E-4</v>
      </c>
      <c r="S6346" s="10">
        <v>5.5306979020794645E-5</v>
      </c>
      <c r="T6346" s="10">
        <v>0</v>
      </c>
      <c r="U6346" s="10">
        <v>7.0549999999999994E-5</v>
      </c>
      <c r="V6346" s="25"/>
      <c r="W6346" s="25"/>
      <c r="X6346" s="25"/>
      <c r="Y6346" s="25"/>
      <c r="Z6346" s="25"/>
      <c r="AA6346" s="25"/>
    </row>
    <row r="6347" spans="1:27" x14ac:dyDescent="0.35">
      <c r="A6347" s="5">
        <v>6343</v>
      </c>
      <c r="B6347" s="5">
        <v>265</v>
      </c>
      <c r="C6347" s="5">
        <v>9</v>
      </c>
      <c r="D6347" s="25">
        <v>1.1416E-4</v>
      </c>
      <c r="E6347" s="25">
        <v>1.1359E-4</v>
      </c>
      <c r="F6347" s="25">
        <v>1.0084E-4</v>
      </c>
      <c r="G6347" s="25">
        <v>1.0594000000000001E-4</v>
      </c>
      <c r="H6347" s="25">
        <v>8.2219999999999995E-5</v>
      </c>
      <c r="I6347" s="9">
        <v>1.1904E-4</v>
      </c>
      <c r="J6347" s="9">
        <v>1.2015000000000001E-4</v>
      </c>
      <c r="K6347" s="9">
        <v>9.1139999999999998E-5</v>
      </c>
      <c r="L6347" s="9">
        <v>2.832E-5</v>
      </c>
      <c r="M6347" s="9">
        <v>5.9290000000000003E-5</v>
      </c>
      <c r="N6347" s="9">
        <v>8.0589999999999999E-5</v>
      </c>
      <c r="O6347" s="9">
        <v>4.6610000000000003E-5</v>
      </c>
      <c r="P6347" s="9">
        <v>8.017E-5</v>
      </c>
      <c r="Q6347" s="9">
        <v>1.1325E-4</v>
      </c>
      <c r="R6347" s="10">
        <v>1.2692844234500159E-4</v>
      </c>
      <c r="S6347" s="10">
        <v>5.2316825832141263E-5</v>
      </c>
      <c r="T6347" s="10">
        <v>2.5257759165374271E-5</v>
      </c>
      <c r="U6347" s="10">
        <v>7.0549999999999994E-5</v>
      </c>
      <c r="V6347" s="25"/>
      <c r="W6347" s="25"/>
      <c r="X6347" s="25"/>
      <c r="Y6347" s="25"/>
      <c r="Z6347" s="25"/>
      <c r="AA6347" s="25"/>
    </row>
    <row r="6348" spans="1:27" x14ac:dyDescent="0.35">
      <c r="A6348" s="5">
        <v>6344</v>
      </c>
      <c r="B6348" s="5">
        <v>265</v>
      </c>
      <c r="C6348" s="5">
        <v>9</v>
      </c>
      <c r="D6348" s="25">
        <v>1.1415000000000001E-4</v>
      </c>
      <c r="E6348" s="25">
        <v>1.2169E-4</v>
      </c>
      <c r="F6348" s="25">
        <v>1.0072E-4</v>
      </c>
      <c r="G6348" s="25">
        <v>1.6072999999999999E-4</v>
      </c>
      <c r="H6348" s="25">
        <v>1.1932E-4</v>
      </c>
      <c r="I6348" s="9">
        <v>1.2333999999999999E-4</v>
      </c>
      <c r="J6348" s="9">
        <v>1.2867E-4</v>
      </c>
      <c r="K6348" s="9">
        <v>2.12E-5</v>
      </c>
      <c r="L6348" s="9">
        <v>4.244E-5</v>
      </c>
      <c r="M6348" s="9">
        <v>6.8579999999999997E-5</v>
      </c>
      <c r="N6348" s="9">
        <v>9.0929999999999998E-5</v>
      </c>
      <c r="O6348" s="9">
        <v>6.8830000000000003E-5</v>
      </c>
      <c r="P6348" s="9">
        <v>1.0351E-4</v>
      </c>
      <c r="Q6348" s="9">
        <v>1.3783E-4</v>
      </c>
      <c r="R6348" s="10">
        <v>1.1066066866917555E-4</v>
      </c>
      <c r="S6348" s="10">
        <v>5.4020217129318256E-5</v>
      </c>
      <c r="T6348" s="10">
        <v>6.7755614610238142E-5</v>
      </c>
      <c r="U6348" s="10">
        <v>7.0549999999999994E-5</v>
      </c>
      <c r="V6348" s="25"/>
      <c r="W6348" s="25"/>
      <c r="X6348" s="25"/>
      <c r="Y6348" s="25"/>
      <c r="Z6348" s="25"/>
      <c r="AA6348" s="25"/>
    </row>
    <row r="6349" spans="1:27" x14ac:dyDescent="0.35">
      <c r="A6349" s="5">
        <v>6345</v>
      </c>
      <c r="B6349" s="5">
        <v>265</v>
      </c>
      <c r="C6349" s="5">
        <v>9</v>
      </c>
      <c r="D6349" s="25">
        <v>1.1416E-4</v>
      </c>
      <c r="E6349" s="25">
        <v>1.1336999999999999E-4</v>
      </c>
      <c r="F6349" s="25">
        <v>1.0255999999999999E-4</v>
      </c>
      <c r="G6349" s="25">
        <v>1.5637E-4</v>
      </c>
      <c r="H6349" s="25">
        <v>1.1713E-4</v>
      </c>
      <c r="I6349" s="9">
        <v>1.2716999999999999E-4</v>
      </c>
      <c r="J6349" s="9">
        <v>1.3145E-4</v>
      </c>
      <c r="K6349" s="9">
        <v>0</v>
      </c>
      <c r="L6349" s="9">
        <v>6.2650000000000005E-5</v>
      </c>
      <c r="M6349" s="9">
        <v>8.3460000000000004E-5</v>
      </c>
      <c r="N6349" s="9">
        <v>1.0496E-4</v>
      </c>
      <c r="O6349" s="9">
        <v>9.9259999999999995E-5</v>
      </c>
      <c r="P6349" s="9">
        <v>1.3771000000000001E-4</v>
      </c>
      <c r="Q6349" s="9">
        <v>1.7594999999999999E-4</v>
      </c>
      <c r="R6349" s="10">
        <v>1.0207221448007585E-4</v>
      </c>
      <c r="S6349" s="10">
        <v>5.1868807507175207E-5</v>
      </c>
      <c r="T6349" s="10">
        <v>1.8097858943789003E-4</v>
      </c>
      <c r="U6349" s="10">
        <v>7.0549999999999994E-5</v>
      </c>
      <c r="V6349" s="25"/>
      <c r="W6349" s="25"/>
      <c r="X6349" s="25"/>
      <c r="Y6349" s="25"/>
      <c r="Z6349" s="25"/>
      <c r="AA6349" s="25"/>
    </row>
    <row r="6350" spans="1:27" x14ac:dyDescent="0.35">
      <c r="A6350" s="5">
        <v>6346</v>
      </c>
      <c r="B6350" s="5">
        <v>265</v>
      </c>
      <c r="C6350" s="5">
        <v>9</v>
      </c>
      <c r="D6350" s="25">
        <v>1.1415000000000001E-4</v>
      </c>
      <c r="E6350" s="25">
        <v>1.1471E-4</v>
      </c>
      <c r="F6350" s="25">
        <v>1.1244E-4</v>
      </c>
      <c r="G6350" s="25">
        <v>1.5906000000000001E-4</v>
      </c>
      <c r="H6350" s="25">
        <v>1.1457E-4</v>
      </c>
      <c r="I6350" s="9">
        <v>1.2773999999999999E-4</v>
      </c>
      <c r="J6350" s="9">
        <v>1.3027000000000001E-4</v>
      </c>
      <c r="K6350" s="9">
        <v>0</v>
      </c>
      <c r="L6350" s="9">
        <v>9.0680000000000006E-5</v>
      </c>
      <c r="M6350" s="9">
        <v>1.0675000000000001E-4</v>
      </c>
      <c r="N6350" s="9">
        <v>1.2475999999999999E-4</v>
      </c>
      <c r="O6350" s="9">
        <v>1.2776000000000001E-4</v>
      </c>
      <c r="P6350" s="9">
        <v>1.5433999999999999E-4</v>
      </c>
      <c r="Q6350" s="9">
        <v>1.8108999999999999E-4</v>
      </c>
      <c r="R6350" s="10">
        <v>1.024798313226349E-4</v>
      </c>
      <c r="S6350" s="10">
        <v>4.6197552259850106E-5</v>
      </c>
      <c r="T6350" s="10">
        <v>2.8923824914570861E-4</v>
      </c>
      <c r="U6350" s="10">
        <v>7.0549999999999994E-5</v>
      </c>
      <c r="V6350" s="25"/>
      <c r="W6350" s="25"/>
      <c r="X6350" s="25"/>
      <c r="Y6350" s="25"/>
      <c r="Z6350" s="25"/>
      <c r="AA6350" s="25"/>
    </row>
    <row r="6351" spans="1:27" x14ac:dyDescent="0.35">
      <c r="A6351" s="5">
        <v>6347</v>
      </c>
      <c r="B6351" s="5">
        <v>265</v>
      </c>
      <c r="C6351" s="5">
        <v>9</v>
      </c>
      <c r="D6351" s="25">
        <v>1.1416E-4</v>
      </c>
      <c r="E6351" s="25">
        <v>1.2255999999999999E-4</v>
      </c>
      <c r="F6351" s="25">
        <v>1.0129E-4</v>
      </c>
      <c r="G6351" s="25">
        <v>1.6432999999999999E-4</v>
      </c>
      <c r="H6351" s="25">
        <v>1.2047E-4</v>
      </c>
      <c r="I6351" s="9">
        <v>1.2962999999999999E-4</v>
      </c>
      <c r="J6351" s="9">
        <v>1.2920999999999999E-4</v>
      </c>
      <c r="K6351" s="9">
        <v>0</v>
      </c>
      <c r="L6351" s="9">
        <v>1.1892000000000001E-4</v>
      </c>
      <c r="M6351" s="9">
        <v>1.2973999999999999E-4</v>
      </c>
      <c r="N6351" s="9">
        <v>1.4259E-4</v>
      </c>
      <c r="O6351" s="9">
        <v>1.3751E-4</v>
      </c>
      <c r="P6351" s="9">
        <v>1.5885000000000001E-4</v>
      </c>
      <c r="Q6351" s="9">
        <v>1.805E-4</v>
      </c>
      <c r="R6351" s="10">
        <v>6.0827887382124662E-5</v>
      </c>
      <c r="S6351" s="10">
        <v>3.829360184372434E-5</v>
      </c>
      <c r="T6351" s="10">
        <v>2.5864386568909465E-4</v>
      </c>
      <c r="U6351" s="10">
        <v>7.0549999999999994E-5</v>
      </c>
      <c r="V6351" s="25"/>
      <c r="W6351" s="25"/>
      <c r="X6351" s="25"/>
      <c r="Y6351" s="25"/>
      <c r="Z6351" s="25"/>
      <c r="AA6351" s="25"/>
    </row>
    <row r="6352" spans="1:27" x14ac:dyDescent="0.35">
      <c r="A6352" s="5">
        <v>6348</v>
      </c>
      <c r="B6352" s="5">
        <v>265</v>
      </c>
      <c r="C6352" s="5">
        <v>9</v>
      </c>
      <c r="D6352" s="25">
        <v>1.1415000000000001E-4</v>
      </c>
      <c r="E6352" s="25">
        <v>1.2068E-4</v>
      </c>
      <c r="F6352" s="25">
        <v>1.1218999999999999E-4</v>
      </c>
      <c r="G6352" s="25">
        <v>1.5834000000000001E-4</v>
      </c>
      <c r="H6352" s="25">
        <v>1.1558E-4</v>
      </c>
      <c r="I6352" s="9">
        <v>1.2721999999999999E-4</v>
      </c>
      <c r="J6352" s="9">
        <v>1.2761000000000001E-4</v>
      </c>
      <c r="K6352" s="9">
        <v>0</v>
      </c>
      <c r="L6352" s="9">
        <v>1.3276999999999999E-4</v>
      </c>
      <c r="M6352" s="9">
        <v>1.4566000000000001E-4</v>
      </c>
      <c r="N6352" s="9">
        <v>1.5684999999999999E-4</v>
      </c>
      <c r="O6352" s="9">
        <v>1.3771000000000001E-4</v>
      </c>
      <c r="P6352" s="9">
        <v>1.5548E-4</v>
      </c>
      <c r="Q6352" s="9">
        <v>1.7362000000000001E-4</v>
      </c>
      <c r="R6352" s="10">
        <v>2.9818869719537621E-5</v>
      </c>
      <c r="S6352" s="10">
        <v>3.3540182351619909E-5</v>
      </c>
      <c r="T6352" s="10">
        <v>4.9272568475952671E-4</v>
      </c>
      <c r="U6352" s="10">
        <v>7.0549999999999994E-5</v>
      </c>
      <c r="V6352" s="25"/>
      <c r="W6352" s="25"/>
      <c r="X6352" s="25"/>
      <c r="Y6352" s="25"/>
      <c r="Z6352" s="25"/>
      <c r="AA6352" s="25"/>
    </row>
    <row r="6353" spans="1:27" x14ac:dyDescent="0.35">
      <c r="A6353" s="5">
        <v>6349</v>
      </c>
      <c r="B6353" s="5">
        <v>265</v>
      </c>
      <c r="C6353" s="5">
        <v>9</v>
      </c>
      <c r="D6353" s="25">
        <v>1.1416E-4</v>
      </c>
      <c r="E6353" s="25">
        <v>1.2214999999999999E-4</v>
      </c>
      <c r="F6353" s="25">
        <v>1.1451E-4</v>
      </c>
      <c r="G6353" s="25">
        <v>1.6529000000000001E-4</v>
      </c>
      <c r="H6353" s="25">
        <v>1.2124E-4</v>
      </c>
      <c r="I6353" s="9">
        <v>1.2616E-4</v>
      </c>
      <c r="J6353" s="9">
        <v>1.2789999999999999E-4</v>
      </c>
      <c r="K6353" s="9">
        <v>0</v>
      </c>
      <c r="L6353" s="9">
        <v>1.3641E-4</v>
      </c>
      <c r="M6353" s="9">
        <v>1.5264E-4</v>
      </c>
      <c r="N6353" s="9">
        <v>1.6615E-4</v>
      </c>
      <c r="O6353" s="9">
        <v>1.3012000000000001E-4</v>
      </c>
      <c r="P6353" s="9">
        <v>1.4878E-4</v>
      </c>
      <c r="Q6353" s="9">
        <v>1.6773999999999999E-4</v>
      </c>
      <c r="R6353" s="10">
        <v>1.8258334624997122E-5</v>
      </c>
      <c r="S6353" s="10">
        <v>2.6114773311576315E-5</v>
      </c>
      <c r="T6353" s="10">
        <v>3.681846545987846E-4</v>
      </c>
      <c r="U6353" s="10">
        <v>7.0549999999999994E-5</v>
      </c>
      <c r="V6353" s="25"/>
      <c r="W6353" s="25"/>
      <c r="X6353" s="25"/>
      <c r="Y6353" s="25"/>
      <c r="Z6353" s="25"/>
      <c r="AA6353" s="25"/>
    </row>
    <row r="6354" spans="1:27" x14ac:dyDescent="0.35">
      <c r="A6354" s="5">
        <v>6350</v>
      </c>
      <c r="B6354" s="5">
        <v>265</v>
      </c>
      <c r="C6354" s="5">
        <v>9</v>
      </c>
      <c r="D6354" s="25">
        <v>1.1415000000000001E-4</v>
      </c>
      <c r="E6354" s="25">
        <v>1.1187E-4</v>
      </c>
      <c r="F6354" s="25">
        <v>1.0404E-4</v>
      </c>
      <c r="G6354" s="25">
        <v>1.6645000000000001E-4</v>
      </c>
      <c r="H6354" s="25">
        <v>1.1969E-4</v>
      </c>
      <c r="I6354" s="9">
        <v>1.2443999999999999E-4</v>
      </c>
      <c r="J6354" s="9">
        <v>1.2797000000000001E-4</v>
      </c>
      <c r="K6354" s="9">
        <v>0</v>
      </c>
      <c r="L6354" s="9">
        <v>1.3158000000000001E-4</v>
      </c>
      <c r="M6354" s="9">
        <v>1.5255999999999999E-4</v>
      </c>
      <c r="N6354" s="9">
        <v>1.7048000000000001E-4</v>
      </c>
      <c r="O6354" s="9">
        <v>1.1317E-4</v>
      </c>
      <c r="P6354" s="9">
        <v>1.3749000000000001E-4</v>
      </c>
      <c r="Q6354" s="9">
        <v>1.6191E-4</v>
      </c>
      <c r="R6354" s="10">
        <v>1.2007560432015367E-5</v>
      </c>
      <c r="S6354" s="10">
        <v>2.1496608713336456E-5</v>
      </c>
      <c r="T6354" s="10">
        <v>3.8291339827063205E-4</v>
      </c>
      <c r="U6354" s="10">
        <v>7.0549999999999994E-5</v>
      </c>
      <c r="V6354" s="25"/>
      <c r="W6354" s="25"/>
      <c r="X6354" s="25"/>
      <c r="Y6354" s="25"/>
      <c r="Z6354" s="25"/>
      <c r="AA6354" s="25"/>
    </row>
    <row r="6355" spans="1:27" x14ac:dyDescent="0.35">
      <c r="A6355" s="5">
        <v>6351</v>
      </c>
      <c r="B6355" s="5">
        <v>265</v>
      </c>
      <c r="C6355" s="5">
        <v>9</v>
      </c>
      <c r="D6355" s="25">
        <v>1.1416E-4</v>
      </c>
      <c r="E6355" s="25">
        <v>1.2148E-4</v>
      </c>
      <c r="F6355" s="25">
        <v>1.1283E-4</v>
      </c>
      <c r="G6355" s="25">
        <v>1.5957999999999999E-4</v>
      </c>
      <c r="H6355" s="25">
        <v>1.2066999999999999E-4</v>
      </c>
      <c r="I6355" s="9">
        <v>1.2271999999999999E-4</v>
      </c>
      <c r="J6355" s="9">
        <v>1.2800999999999999E-4</v>
      </c>
      <c r="K6355" s="9">
        <v>0</v>
      </c>
      <c r="L6355" s="9">
        <v>1.1743000000000001E-4</v>
      </c>
      <c r="M6355" s="9">
        <v>1.4684999999999999E-4</v>
      </c>
      <c r="N6355" s="9">
        <v>1.7027000000000001E-4</v>
      </c>
      <c r="O6355" s="9">
        <v>1.2807000000000001E-4</v>
      </c>
      <c r="P6355" s="9">
        <v>1.4074000000000001E-4</v>
      </c>
      <c r="Q6355" s="9">
        <v>1.538E-4</v>
      </c>
      <c r="R6355" s="10">
        <v>7.6326345623008655E-6</v>
      </c>
      <c r="S6355" s="10">
        <v>1.7777197652231051E-5</v>
      </c>
      <c r="T6355" s="10">
        <v>2.6598278462696791E-5</v>
      </c>
      <c r="U6355" s="10">
        <v>7.0549999999999994E-5</v>
      </c>
      <c r="V6355" s="25"/>
      <c r="W6355" s="25"/>
      <c r="X6355" s="25"/>
      <c r="Y6355" s="25"/>
      <c r="Z6355" s="25"/>
      <c r="AA6355" s="25"/>
    </row>
    <row r="6356" spans="1:27" x14ac:dyDescent="0.35">
      <c r="A6356" s="5">
        <v>6352</v>
      </c>
      <c r="B6356" s="5">
        <v>265</v>
      </c>
      <c r="C6356" s="5">
        <v>9</v>
      </c>
      <c r="D6356" s="25">
        <v>1.1415000000000001E-4</v>
      </c>
      <c r="E6356" s="25">
        <v>1.1811000000000001E-4</v>
      </c>
      <c r="F6356" s="25">
        <v>1.1508E-4</v>
      </c>
      <c r="G6356" s="25">
        <v>1.5888999999999999E-4</v>
      </c>
      <c r="H6356" s="25">
        <v>1.1996E-4</v>
      </c>
      <c r="I6356" s="9">
        <v>1.2255999999999999E-4</v>
      </c>
      <c r="J6356" s="9">
        <v>1.2873E-4</v>
      </c>
      <c r="K6356" s="9">
        <v>0</v>
      </c>
      <c r="L6356" s="9">
        <v>1.2612999999999999E-4</v>
      </c>
      <c r="M6356" s="9">
        <v>1.4306E-4</v>
      </c>
      <c r="N6356" s="9">
        <v>1.6667E-4</v>
      </c>
      <c r="O6356" s="9">
        <v>1.3396E-4</v>
      </c>
      <c r="P6356" s="9">
        <v>1.2147E-4</v>
      </c>
      <c r="Q6356" s="9">
        <v>1.0980999999999999E-4</v>
      </c>
      <c r="R6356" s="10">
        <v>5.7836982033153103E-6</v>
      </c>
      <c r="S6356" s="10">
        <v>1.53162262410191E-5</v>
      </c>
      <c r="T6356" s="10">
        <v>4.5136472542758195E-5</v>
      </c>
      <c r="U6356" s="10">
        <v>7.0549999999999994E-5</v>
      </c>
      <c r="V6356" s="25"/>
      <c r="W6356" s="25"/>
      <c r="X6356" s="25"/>
      <c r="Y6356" s="25"/>
      <c r="Z6356" s="25"/>
      <c r="AA6356" s="25"/>
    </row>
    <row r="6357" spans="1:27" x14ac:dyDescent="0.35">
      <c r="A6357" s="5">
        <v>6353</v>
      </c>
      <c r="B6357" s="5">
        <v>265</v>
      </c>
      <c r="C6357" s="5">
        <v>9</v>
      </c>
      <c r="D6357" s="25">
        <v>1.1416E-4</v>
      </c>
      <c r="E6357" s="25">
        <v>1.2107E-4</v>
      </c>
      <c r="F6357" s="25">
        <v>1.0228E-4</v>
      </c>
      <c r="G6357" s="25">
        <v>1.6343999999999999E-4</v>
      </c>
      <c r="H6357" s="25">
        <v>1.1938999999999999E-4</v>
      </c>
      <c r="I6357" s="9">
        <v>1.2315000000000001E-4</v>
      </c>
      <c r="J6357" s="9">
        <v>1.3113E-4</v>
      </c>
      <c r="K6357" s="9">
        <v>0</v>
      </c>
      <c r="L6357" s="9">
        <v>1.3196E-4</v>
      </c>
      <c r="M6357" s="9">
        <v>1.3444999999999999E-4</v>
      </c>
      <c r="N6357" s="9">
        <v>1.5291E-4</v>
      </c>
      <c r="O6357" s="9">
        <v>1.4092E-4</v>
      </c>
      <c r="P6357" s="9">
        <v>1.2391E-4</v>
      </c>
      <c r="Q6357" s="9">
        <v>1.0784E-4</v>
      </c>
      <c r="R6357" s="10">
        <v>1.0624910514136005E-5</v>
      </c>
      <c r="S6357" s="10">
        <v>1.2880369424401186E-5</v>
      </c>
      <c r="T6357" s="10">
        <v>1.4406340296541995E-5</v>
      </c>
      <c r="U6357" s="10">
        <v>7.0549999999999994E-5</v>
      </c>
      <c r="V6357" s="25"/>
      <c r="W6357" s="25"/>
      <c r="X6357" s="25"/>
      <c r="Y6357" s="25"/>
      <c r="Z6357" s="25"/>
      <c r="AA6357" s="25"/>
    </row>
    <row r="6358" spans="1:27" x14ac:dyDescent="0.35">
      <c r="A6358" s="5">
        <v>6354</v>
      </c>
      <c r="B6358" s="5">
        <v>265</v>
      </c>
      <c r="C6358" s="5">
        <v>9</v>
      </c>
      <c r="D6358" s="25">
        <v>1.1415000000000001E-4</v>
      </c>
      <c r="E6358" s="25">
        <v>1.1613E-4</v>
      </c>
      <c r="F6358" s="25">
        <v>1.1493E-4</v>
      </c>
      <c r="G6358" s="25">
        <v>1.605E-4</v>
      </c>
      <c r="H6358" s="25">
        <v>1.1861E-4</v>
      </c>
      <c r="I6358" s="9">
        <v>1.219E-4</v>
      </c>
      <c r="J6358" s="9">
        <v>1.2706999999999999E-4</v>
      </c>
      <c r="K6358" s="9">
        <v>1.484E-5</v>
      </c>
      <c r="L6358" s="9">
        <v>1.3867999999999999E-4</v>
      </c>
      <c r="M6358" s="9">
        <v>1.2845000000000001E-4</v>
      </c>
      <c r="N6358" s="9">
        <v>1.3967999999999999E-4</v>
      </c>
      <c r="O6358" s="9">
        <v>1.4139E-4</v>
      </c>
      <c r="P6358" s="9">
        <v>1.2943000000000001E-4</v>
      </c>
      <c r="Q6358" s="9">
        <v>1.1833E-4</v>
      </c>
      <c r="R6358" s="10">
        <v>1.2328519984000652E-5</v>
      </c>
      <c r="S6358" s="10">
        <v>1.1320435157988567E-5</v>
      </c>
      <c r="T6358" s="10">
        <v>3.0119262693005932E-6</v>
      </c>
      <c r="U6358" s="10">
        <v>7.0549999999999994E-5</v>
      </c>
      <c r="V6358" s="25"/>
      <c r="W6358" s="25"/>
      <c r="X6358" s="25"/>
      <c r="Y6358" s="25"/>
      <c r="Z6358" s="25"/>
      <c r="AA6358" s="25"/>
    </row>
    <row r="6359" spans="1:27" x14ac:dyDescent="0.35">
      <c r="A6359" s="5">
        <v>6355</v>
      </c>
      <c r="B6359" s="5">
        <v>265</v>
      </c>
      <c r="C6359" s="5">
        <v>9</v>
      </c>
      <c r="D6359" s="25">
        <v>1.1416E-4</v>
      </c>
      <c r="E6359" s="25">
        <v>1.1656E-4</v>
      </c>
      <c r="F6359" s="25">
        <v>1.1373E-4</v>
      </c>
      <c r="G6359" s="25">
        <v>1.12E-4</v>
      </c>
      <c r="H6359" s="25">
        <v>8.2009999999999996E-5</v>
      </c>
      <c r="I6359" s="9">
        <v>1.2045E-4</v>
      </c>
      <c r="J6359" s="9">
        <v>1.2627999999999999E-4</v>
      </c>
      <c r="K6359" s="9">
        <v>5.0869999999999999E-5</v>
      </c>
      <c r="L6359" s="9">
        <v>1.4067999999999999E-4</v>
      </c>
      <c r="M6359" s="9">
        <v>1.2744000000000001E-4</v>
      </c>
      <c r="N6359" s="9">
        <v>1.3066E-4</v>
      </c>
      <c r="O6359" s="9">
        <v>1.4023E-4</v>
      </c>
      <c r="P6359" s="9">
        <v>1.2277999999999999E-4</v>
      </c>
      <c r="Q6359" s="9">
        <v>1.0627E-4</v>
      </c>
      <c r="R6359" s="10">
        <v>1.4662770233530688E-5</v>
      </c>
      <c r="S6359" s="10">
        <v>1.0881040745533012E-5</v>
      </c>
      <c r="T6359" s="10">
        <v>0</v>
      </c>
      <c r="U6359" s="10">
        <v>7.0549999999999994E-5</v>
      </c>
      <c r="V6359" s="25"/>
      <c r="W6359" s="25"/>
      <c r="X6359" s="25"/>
      <c r="Y6359" s="25"/>
      <c r="Z6359" s="25"/>
      <c r="AA6359" s="25"/>
    </row>
    <row r="6360" spans="1:27" x14ac:dyDescent="0.35">
      <c r="A6360" s="5">
        <v>6356</v>
      </c>
      <c r="B6360" s="5">
        <v>265</v>
      </c>
      <c r="C6360" s="5">
        <v>9</v>
      </c>
      <c r="D6360" s="25">
        <v>1.1415000000000001E-4</v>
      </c>
      <c r="E6360" s="25">
        <v>1.1453E-4</v>
      </c>
      <c r="F6360" s="25">
        <v>1.0961E-4</v>
      </c>
      <c r="G6360" s="25">
        <v>1.1114E-4</v>
      </c>
      <c r="H6360" s="25">
        <v>8.1199999999999995E-5</v>
      </c>
      <c r="I6360" s="9">
        <v>1.2318999999999999E-4</v>
      </c>
      <c r="J6360" s="9">
        <v>1.2909E-4</v>
      </c>
      <c r="K6360" s="9">
        <v>7.4179999999999998E-5</v>
      </c>
      <c r="L6360" s="9">
        <v>1.4030999999999999E-4</v>
      </c>
      <c r="M6360" s="9">
        <v>1.2577000000000001E-4</v>
      </c>
      <c r="N6360" s="9">
        <v>1.2123E-4</v>
      </c>
      <c r="O6360" s="9">
        <v>1.4388000000000001E-4</v>
      </c>
      <c r="P6360" s="9">
        <v>1.2243000000000001E-4</v>
      </c>
      <c r="Q6360" s="9">
        <v>1.02E-4</v>
      </c>
      <c r="R6360" s="10">
        <v>2.2162389961719592E-5</v>
      </c>
      <c r="S6360" s="10">
        <v>1.0112423572414586E-5</v>
      </c>
      <c r="T6360" s="10">
        <v>0</v>
      </c>
      <c r="U6360" s="10">
        <v>7.0549999999999994E-5</v>
      </c>
      <c r="V6360" s="25"/>
      <c r="W6360" s="25"/>
      <c r="X6360" s="25"/>
      <c r="Y6360" s="25"/>
      <c r="Z6360" s="25"/>
      <c r="AA6360" s="25"/>
    </row>
    <row r="6361" spans="1:27" x14ac:dyDescent="0.35">
      <c r="A6361" s="5">
        <v>6357</v>
      </c>
      <c r="B6361" s="5">
        <v>265</v>
      </c>
      <c r="C6361" s="5">
        <v>9</v>
      </c>
      <c r="D6361" s="25">
        <v>1.1416E-4</v>
      </c>
      <c r="E6361" s="25">
        <v>1.1771E-4</v>
      </c>
      <c r="F6361" s="25">
        <v>9.9400000000000004E-5</v>
      </c>
      <c r="G6361" s="25">
        <v>5.5050000000000003E-5</v>
      </c>
      <c r="H6361" s="25">
        <v>4.1480000000000003E-5</v>
      </c>
      <c r="I6361" s="9">
        <v>1.1675000000000001E-4</v>
      </c>
      <c r="J6361" s="9">
        <v>1.2233E-4</v>
      </c>
      <c r="K6361" s="9">
        <v>9.3259999999999998E-5</v>
      </c>
      <c r="L6361" s="9">
        <v>1.4315000000000001E-4</v>
      </c>
      <c r="M6361" s="9">
        <v>1.2415000000000001E-4</v>
      </c>
      <c r="N6361" s="9">
        <v>1.1343E-4</v>
      </c>
      <c r="O6361" s="9">
        <v>8.5049999999999994E-5</v>
      </c>
      <c r="P6361" s="9">
        <v>8.6790000000000001E-5</v>
      </c>
      <c r="Q6361" s="9">
        <v>8.8800000000000004E-5</v>
      </c>
      <c r="R6361" s="10">
        <v>1.7687748792427916E-5</v>
      </c>
      <c r="S6361" s="10">
        <v>1.0417055266713258E-5</v>
      </c>
      <c r="T6361" s="10">
        <v>0</v>
      </c>
      <c r="U6361" s="10">
        <v>7.0549999999999994E-5</v>
      </c>
      <c r="V6361" s="25"/>
      <c r="W6361" s="25"/>
      <c r="X6361" s="25"/>
      <c r="Y6361" s="25"/>
      <c r="Z6361" s="25"/>
      <c r="AA6361" s="25"/>
    </row>
    <row r="6362" spans="1:27" x14ac:dyDescent="0.35">
      <c r="A6362" s="5">
        <v>6358</v>
      </c>
      <c r="B6362" s="5">
        <v>265</v>
      </c>
      <c r="C6362" s="5">
        <v>9</v>
      </c>
      <c r="D6362" s="25">
        <v>1.1415000000000001E-4</v>
      </c>
      <c r="E6362" s="25">
        <v>1.1438E-4</v>
      </c>
      <c r="F6362" s="25">
        <v>1.0386E-4</v>
      </c>
      <c r="G6362" s="25">
        <v>5.4589999999999997E-5</v>
      </c>
      <c r="H6362" s="25">
        <v>4.6199999999999998E-5</v>
      </c>
      <c r="I6362" s="9">
        <v>1.121E-4</v>
      </c>
      <c r="J6362" s="9">
        <v>1.1417E-4</v>
      </c>
      <c r="K6362" s="9">
        <v>9.5370000000000003E-5</v>
      </c>
      <c r="L6362" s="9">
        <v>9.7759999999999999E-5</v>
      </c>
      <c r="M6362" s="9">
        <v>1.1026E-4</v>
      </c>
      <c r="N6362" s="9">
        <v>1.0584E-4</v>
      </c>
      <c r="O6362" s="9">
        <v>8.8090000000000005E-5</v>
      </c>
      <c r="P6362" s="9">
        <v>8.8430000000000005E-5</v>
      </c>
      <c r="Q6362" s="9">
        <v>8.9090000000000003E-5</v>
      </c>
      <c r="R6362" s="10">
        <v>1.3848503004205508E-5</v>
      </c>
      <c r="S6362" s="10">
        <v>1.1364735966228913E-5</v>
      </c>
      <c r="T6362" s="10">
        <v>0</v>
      </c>
      <c r="U6362" s="10">
        <v>7.0549999999999994E-5</v>
      </c>
      <c r="V6362" s="25"/>
      <c r="W6362" s="25"/>
      <c r="X6362" s="25"/>
      <c r="Y6362" s="25"/>
      <c r="Z6362" s="25"/>
      <c r="AA6362" s="25"/>
    </row>
    <row r="6363" spans="1:27" x14ac:dyDescent="0.35">
      <c r="A6363" s="5">
        <v>6359</v>
      </c>
      <c r="B6363" s="5">
        <v>265</v>
      </c>
      <c r="C6363" s="5">
        <v>9</v>
      </c>
      <c r="D6363" s="25">
        <v>1.1416E-4</v>
      </c>
      <c r="E6363" s="25">
        <v>1.1464999999999999E-4</v>
      </c>
      <c r="F6363" s="25">
        <v>1.1312E-4</v>
      </c>
      <c r="G6363" s="25">
        <v>6.1680000000000006E-5</v>
      </c>
      <c r="H6363" s="25">
        <v>4.5420000000000002E-5</v>
      </c>
      <c r="I6363" s="9">
        <v>1.0581000000000001E-4</v>
      </c>
      <c r="J6363" s="9">
        <v>1.0642E-4</v>
      </c>
      <c r="K6363" s="9">
        <v>1.2716E-4</v>
      </c>
      <c r="L6363" s="9">
        <v>9.1470000000000003E-5</v>
      </c>
      <c r="M6363" s="9">
        <v>9.8679999999999997E-5</v>
      </c>
      <c r="N6363" s="9">
        <v>1.0013000000000001E-4</v>
      </c>
      <c r="O6363" s="9">
        <v>8.4709999999999994E-5</v>
      </c>
      <c r="P6363" s="9">
        <v>7.5640000000000001E-5</v>
      </c>
      <c r="Q6363" s="9">
        <v>6.7000000000000002E-5</v>
      </c>
      <c r="R6363" s="10">
        <v>1.2312796698726E-5</v>
      </c>
      <c r="S6363" s="10">
        <v>1.294472814106444E-5</v>
      </c>
      <c r="T6363" s="10">
        <v>0</v>
      </c>
      <c r="U6363" s="10">
        <v>7.0549999999999994E-5</v>
      </c>
      <c r="V6363" s="25"/>
      <c r="W6363" s="25"/>
      <c r="X6363" s="25"/>
      <c r="Y6363" s="25"/>
      <c r="Z6363" s="25"/>
      <c r="AA6363" s="25"/>
    </row>
    <row r="6364" spans="1:27" x14ac:dyDescent="0.35">
      <c r="A6364" s="5">
        <v>6360</v>
      </c>
      <c r="B6364" s="5">
        <v>265</v>
      </c>
      <c r="C6364" s="5">
        <v>9</v>
      </c>
      <c r="D6364" s="25">
        <v>1.1415000000000001E-4</v>
      </c>
      <c r="E6364" s="25">
        <v>1.2082E-4</v>
      </c>
      <c r="F6364" s="25">
        <v>1.0562E-4</v>
      </c>
      <c r="G6364" s="25">
        <v>6.3540000000000005E-5</v>
      </c>
      <c r="H6364" s="25">
        <v>4.5580000000000001E-5</v>
      </c>
      <c r="I6364" s="9">
        <v>9.9240000000000005E-5</v>
      </c>
      <c r="J6364" s="9">
        <v>9.9300000000000001E-5</v>
      </c>
      <c r="K6364" s="9">
        <v>1.3564E-4</v>
      </c>
      <c r="L6364" s="9">
        <v>8.6420000000000003E-5</v>
      </c>
      <c r="M6364" s="9">
        <v>8.7670000000000006E-5</v>
      </c>
      <c r="N6364" s="9">
        <v>9.0829999999999996E-5</v>
      </c>
      <c r="O6364" s="9">
        <v>7.8689999999999994E-5</v>
      </c>
      <c r="P6364" s="9">
        <v>6.8410000000000004E-5</v>
      </c>
      <c r="Q6364" s="9">
        <v>5.8560000000000002E-5</v>
      </c>
      <c r="R6364" s="10">
        <v>1.4879935878574244E-5</v>
      </c>
      <c r="S6364" s="10">
        <v>1.3630722843959441E-5</v>
      </c>
      <c r="T6364" s="10">
        <v>0</v>
      </c>
      <c r="U6364" s="10">
        <v>7.0549999999999994E-5</v>
      </c>
      <c r="V6364" s="25"/>
      <c r="W6364" s="25"/>
      <c r="X6364" s="25"/>
      <c r="Y6364" s="25"/>
      <c r="Z6364" s="25"/>
      <c r="AA6364" s="25"/>
    </row>
    <row r="6365" spans="1:27" x14ac:dyDescent="0.35">
      <c r="A6365" s="5">
        <v>6361</v>
      </c>
      <c r="B6365" s="5">
        <v>266</v>
      </c>
      <c r="C6365" s="5">
        <v>9</v>
      </c>
      <c r="D6365" s="25">
        <v>1.1416E-4</v>
      </c>
      <c r="E6365" s="25">
        <v>1.1148E-4</v>
      </c>
      <c r="F6365" s="25">
        <v>8.7449999999999998E-5</v>
      </c>
      <c r="G6365" s="25">
        <v>6.2780000000000005E-5</v>
      </c>
      <c r="H6365" s="25">
        <v>1.3560000000000001E-5</v>
      </c>
      <c r="I6365" s="9">
        <v>9.5130000000000006E-5</v>
      </c>
      <c r="J6365" s="9">
        <v>9.4250000000000001E-5</v>
      </c>
      <c r="K6365" s="9">
        <v>1.5259E-4</v>
      </c>
      <c r="L6365" s="9">
        <v>8.0190000000000003E-5</v>
      </c>
      <c r="M6365" s="9">
        <v>7.8230000000000001E-5</v>
      </c>
      <c r="N6365" s="9">
        <v>8.1329999999999996E-5</v>
      </c>
      <c r="O6365" s="9">
        <v>6.7609999999999998E-5</v>
      </c>
      <c r="P6365" s="9">
        <v>6.02E-5</v>
      </c>
      <c r="Q6365" s="9">
        <v>5.3090000000000002E-5</v>
      </c>
      <c r="R6365" s="10">
        <v>1.5226353685748277E-5</v>
      </c>
      <c r="S6365" s="10">
        <v>1.4871138563193888E-5</v>
      </c>
      <c r="T6365" s="10">
        <v>0</v>
      </c>
      <c r="U6365" s="10">
        <v>7.0290000000000006E-5</v>
      </c>
      <c r="V6365" s="25"/>
      <c r="W6365" s="25"/>
      <c r="X6365" s="25"/>
      <c r="Y6365" s="25"/>
      <c r="Z6365" s="25"/>
      <c r="AA6365" s="25"/>
    </row>
    <row r="6366" spans="1:27" x14ac:dyDescent="0.35">
      <c r="A6366" s="5">
        <v>6362</v>
      </c>
      <c r="B6366" s="5">
        <v>266</v>
      </c>
      <c r="C6366" s="5">
        <v>9</v>
      </c>
      <c r="D6366" s="25">
        <v>1.1415000000000001E-4</v>
      </c>
      <c r="E6366" s="25">
        <v>1.1684E-4</v>
      </c>
      <c r="F6366" s="25">
        <v>8.7379999999999993E-5</v>
      </c>
      <c r="G6366" s="25">
        <v>5.7809999999999997E-5</v>
      </c>
      <c r="H6366" s="25">
        <v>1.5909999999999998E-5</v>
      </c>
      <c r="I6366" s="9">
        <v>9.2629999999999999E-5</v>
      </c>
      <c r="J6366" s="9">
        <v>9.1769999999999997E-5</v>
      </c>
      <c r="K6366" s="9">
        <v>1.5683E-4</v>
      </c>
      <c r="L6366" s="9">
        <v>7.0539999999999999E-5</v>
      </c>
      <c r="M6366" s="9">
        <v>6.9519999999999998E-5</v>
      </c>
      <c r="N6366" s="9">
        <v>7.2109999999999999E-5</v>
      </c>
      <c r="O6366" s="9">
        <v>3.553E-5</v>
      </c>
      <c r="P6366" s="9">
        <v>4.613E-5</v>
      </c>
      <c r="Q6366" s="9">
        <v>5.6539999999999997E-5</v>
      </c>
      <c r="R6366" s="10">
        <v>2.337867300760559E-5</v>
      </c>
      <c r="S6366" s="10">
        <v>1.6036423572132647E-5</v>
      </c>
      <c r="T6366" s="10">
        <v>0</v>
      </c>
      <c r="U6366" s="10">
        <v>7.0290000000000006E-5</v>
      </c>
      <c r="V6366" s="25"/>
      <c r="W6366" s="25"/>
      <c r="X6366" s="25"/>
      <c r="Y6366" s="25"/>
      <c r="Z6366" s="25"/>
      <c r="AA6366" s="25"/>
    </row>
    <row r="6367" spans="1:27" x14ac:dyDescent="0.35">
      <c r="A6367" s="5">
        <v>6363</v>
      </c>
      <c r="B6367" s="5">
        <v>266</v>
      </c>
      <c r="C6367" s="5">
        <v>9</v>
      </c>
      <c r="D6367" s="25">
        <v>1.1416E-4</v>
      </c>
      <c r="E6367" s="25">
        <v>1.1704E-4</v>
      </c>
      <c r="F6367" s="25">
        <v>9.8640000000000004E-5</v>
      </c>
      <c r="G6367" s="25">
        <v>5.257E-5</v>
      </c>
      <c r="H6367" s="25">
        <v>1.342E-5</v>
      </c>
      <c r="I6367" s="9">
        <v>9.1899999999999998E-5</v>
      </c>
      <c r="J6367" s="9">
        <v>9.0870000000000002E-5</v>
      </c>
      <c r="K6367" s="9">
        <v>1.3988E-4</v>
      </c>
      <c r="L6367" s="9">
        <v>4.3479999999999997E-5</v>
      </c>
      <c r="M6367" s="9">
        <v>5.9039999999999997E-5</v>
      </c>
      <c r="N6367" s="9">
        <v>6.5569999999999997E-5</v>
      </c>
      <c r="O6367" s="9">
        <v>2.2010000000000001E-5</v>
      </c>
      <c r="P6367" s="9">
        <v>4.176E-5</v>
      </c>
      <c r="Q6367" s="9">
        <v>6.109E-5</v>
      </c>
      <c r="R6367" s="10">
        <v>3.6608193369792955E-5</v>
      </c>
      <c r="S6367" s="10">
        <v>1.6939047481144421E-5</v>
      </c>
      <c r="T6367" s="10">
        <v>0</v>
      </c>
      <c r="U6367" s="10">
        <v>7.0290000000000006E-5</v>
      </c>
      <c r="V6367" s="25"/>
      <c r="W6367" s="25"/>
      <c r="X6367" s="25"/>
      <c r="Y6367" s="25"/>
      <c r="Z6367" s="25"/>
      <c r="AA6367" s="25"/>
    </row>
    <row r="6368" spans="1:27" x14ac:dyDescent="0.35">
      <c r="A6368" s="5">
        <v>6364</v>
      </c>
      <c r="B6368" s="5">
        <v>266</v>
      </c>
      <c r="C6368" s="5">
        <v>9</v>
      </c>
      <c r="D6368" s="25">
        <v>1.1415000000000001E-4</v>
      </c>
      <c r="E6368" s="25">
        <v>1.1599000000000001E-4</v>
      </c>
      <c r="F6368" s="25">
        <v>8.7379999999999993E-5</v>
      </c>
      <c r="G6368" s="25">
        <v>5.52E-5</v>
      </c>
      <c r="H6368" s="25">
        <v>1.383E-5</v>
      </c>
      <c r="I6368" s="9">
        <v>9.2189999999999997E-5</v>
      </c>
      <c r="J6368" s="9">
        <v>9.1169999999999996E-5</v>
      </c>
      <c r="K6368" s="9">
        <v>1.7166999999999999E-4</v>
      </c>
      <c r="L6368" s="9">
        <v>2.745E-5</v>
      </c>
      <c r="M6368" s="9">
        <v>5.0319999999999999E-5</v>
      </c>
      <c r="N6368" s="9">
        <v>6.1840000000000004E-5</v>
      </c>
      <c r="O6368" s="9">
        <v>2.1650000000000001E-5</v>
      </c>
      <c r="P6368" s="9">
        <v>5.1310000000000002E-5</v>
      </c>
      <c r="Q6368" s="9">
        <v>8.0389999999999994E-5</v>
      </c>
      <c r="R6368" s="10">
        <v>4.4560964995322569E-5</v>
      </c>
      <c r="S6368" s="10">
        <v>1.77305823777752E-5</v>
      </c>
      <c r="T6368" s="10">
        <v>0</v>
      </c>
      <c r="U6368" s="10">
        <v>7.0290000000000006E-5</v>
      </c>
      <c r="V6368" s="25"/>
      <c r="W6368" s="25"/>
      <c r="X6368" s="25"/>
      <c r="Y6368" s="25"/>
      <c r="Z6368" s="25"/>
      <c r="AA6368" s="25"/>
    </row>
    <row r="6369" spans="1:27" x14ac:dyDescent="0.35">
      <c r="A6369" s="5">
        <v>6365</v>
      </c>
      <c r="B6369" s="5">
        <v>266</v>
      </c>
      <c r="C6369" s="5">
        <v>9</v>
      </c>
      <c r="D6369" s="25">
        <v>1.1416E-4</v>
      </c>
      <c r="E6369" s="25">
        <v>1.1618E-4</v>
      </c>
      <c r="F6369" s="25">
        <v>9.5270000000000001E-5</v>
      </c>
      <c r="G6369" s="25">
        <v>6.3219999999999994E-5</v>
      </c>
      <c r="H6369" s="25">
        <v>1.34E-5</v>
      </c>
      <c r="I6369" s="9">
        <v>9.7659999999999997E-5</v>
      </c>
      <c r="J6369" s="9">
        <v>9.4359999999999998E-5</v>
      </c>
      <c r="K6369" s="9">
        <v>1.4411E-4</v>
      </c>
      <c r="L6369" s="9">
        <v>2.332E-5</v>
      </c>
      <c r="M6369" s="9">
        <v>4.8640000000000002E-5</v>
      </c>
      <c r="N6369" s="9">
        <v>6.436E-5</v>
      </c>
      <c r="O6369" s="9">
        <v>2.334E-5</v>
      </c>
      <c r="P6369" s="9">
        <v>5.8430000000000001E-5</v>
      </c>
      <c r="Q6369" s="9">
        <v>9.2860000000000002E-5</v>
      </c>
      <c r="R6369" s="10">
        <v>4.5331765081054673E-5</v>
      </c>
      <c r="S6369" s="10">
        <v>1.8701818598569656E-5</v>
      </c>
      <c r="T6369" s="10">
        <v>0</v>
      </c>
      <c r="U6369" s="10">
        <v>7.0290000000000006E-5</v>
      </c>
      <c r="V6369" s="25"/>
      <c r="W6369" s="25"/>
      <c r="X6369" s="25"/>
      <c r="Y6369" s="25"/>
      <c r="Z6369" s="25"/>
      <c r="AA6369" s="25"/>
    </row>
    <row r="6370" spans="1:27" x14ac:dyDescent="0.35">
      <c r="A6370" s="5">
        <v>6366</v>
      </c>
      <c r="B6370" s="5">
        <v>266</v>
      </c>
      <c r="C6370" s="5">
        <v>9</v>
      </c>
      <c r="D6370" s="25">
        <v>1.1415000000000001E-4</v>
      </c>
      <c r="E6370" s="25">
        <v>1.2040999999999999E-4</v>
      </c>
      <c r="F6370" s="25">
        <v>9.9400000000000004E-5</v>
      </c>
      <c r="G6370" s="25">
        <v>1.1012E-4</v>
      </c>
      <c r="H6370" s="25">
        <v>2.7319999999999999E-5</v>
      </c>
      <c r="I6370" s="9">
        <v>1.1034E-4</v>
      </c>
      <c r="J6370" s="9">
        <v>1.0476000000000001E-4</v>
      </c>
      <c r="K6370" s="9">
        <v>1.3352000000000001E-4</v>
      </c>
      <c r="L6370" s="9">
        <v>2.3260000000000001E-5</v>
      </c>
      <c r="M6370" s="9">
        <v>5.2080000000000003E-5</v>
      </c>
      <c r="N6370" s="9">
        <v>7.0749999999999999E-5</v>
      </c>
      <c r="O6370" s="9">
        <v>2.9560000000000002E-5</v>
      </c>
      <c r="P6370" s="9">
        <v>6.8139999999999995E-5</v>
      </c>
      <c r="Q6370" s="9">
        <v>1.0605E-4</v>
      </c>
      <c r="R6370" s="10">
        <v>4.9036387203483804E-5</v>
      </c>
      <c r="S6370" s="10">
        <v>1.8319127113911995E-5</v>
      </c>
      <c r="T6370" s="10">
        <v>0</v>
      </c>
      <c r="U6370" s="10">
        <v>7.0290000000000006E-5</v>
      </c>
      <c r="V6370" s="25"/>
      <c r="W6370" s="25"/>
      <c r="X6370" s="25"/>
      <c r="Y6370" s="25"/>
      <c r="Z6370" s="25"/>
      <c r="AA6370" s="25"/>
    </row>
    <row r="6371" spans="1:27" x14ac:dyDescent="0.35">
      <c r="A6371" s="5">
        <v>6367</v>
      </c>
      <c r="B6371" s="5">
        <v>266</v>
      </c>
      <c r="C6371" s="5">
        <v>9</v>
      </c>
      <c r="D6371" s="25">
        <v>1.1416E-4</v>
      </c>
      <c r="E6371" s="25">
        <v>1.131E-4</v>
      </c>
      <c r="F6371" s="25">
        <v>8.4460000000000001E-5</v>
      </c>
      <c r="G6371" s="25">
        <v>1.0900000000000001E-4</v>
      </c>
      <c r="H6371" s="25">
        <v>2.7889999999999999E-5</v>
      </c>
      <c r="I6371" s="9">
        <v>1.2103E-4</v>
      </c>
      <c r="J6371" s="9">
        <v>1.1867E-4</v>
      </c>
      <c r="K6371" s="9">
        <v>8.9019999999999998E-5</v>
      </c>
      <c r="L6371" s="9">
        <v>2.8079999999999999E-5</v>
      </c>
      <c r="M6371" s="9">
        <v>5.889E-5</v>
      </c>
      <c r="N6371" s="9">
        <v>8.0279999999999997E-5</v>
      </c>
      <c r="O6371" s="9">
        <v>4.6459999999999999E-5</v>
      </c>
      <c r="P6371" s="9">
        <v>7.9909999999999999E-5</v>
      </c>
      <c r="Q6371" s="9">
        <v>1.1288E-4</v>
      </c>
      <c r="R6371" s="10">
        <v>4.6293678953810659E-5</v>
      </c>
      <c r="S6371" s="10">
        <v>1.9241365704543719E-5</v>
      </c>
      <c r="T6371" s="10">
        <v>4.9217420530176742E-5</v>
      </c>
      <c r="U6371" s="10">
        <v>7.0290000000000006E-5</v>
      </c>
      <c r="V6371" s="25"/>
      <c r="W6371" s="25"/>
      <c r="X6371" s="25"/>
      <c r="Y6371" s="25"/>
      <c r="Z6371" s="25"/>
      <c r="AA6371" s="25"/>
    </row>
    <row r="6372" spans="1:27" x14ac:dyDescent="0.35">
      <c r="A6372" s="5">
        <v>6368</v>
      </c>
      <c r="B6372" s="5">
        <v>266</v>
      </c>
      <c r="C6372" s="5">
        <v>9</v>
      </c>
      <c r="D6372" s="25">
        <v>1.1415000000000001E-4</v>
      </c>
      <c r="E6372" s="25">
        <v>1.1099000000000001E-4</v>
      </c>
      <c r="F6372" s="25">
        <v>8.5080000000000005E-5</v>
      </c>
      <c r="G6372" s="25">
        <v>1.6608000000000001E-4</v>
      </c>
      <c r="H6372" s="25">
        <v>4.2620000000000002E-5</v>
      </c>
      <c r="I6372" s="9">
        <v>1.2176999999999999E-4</v>
      </c>
      <c r="J6372" s="9">
        <v>1.2663999999999999E-4</v>
      </c>
      <c r="K6372" s="9">
        <v>4.0269999999999999E-5</v>
      </c>
      <c r="L6372" s="9">
        <v>4.227E-5</v>
      </c>
      <c r="M6372" s="9">
        <v>6.8180000000000001E-5</v>
      </c>
      <c r="N6372" s="9">
        <v>9.0509999999999999E-5</v>
      </c>
      <c r="O6372" s="9">
        <v>6.7700000000000006E-5</v>
      </c>
      <c r="P6372" s="9">
        <v>1.0179999999999999E-4</v>
      </c>
      <c r="Q6372" s="9">
        <v>1.3554999999999999E-4</v>
      </c>
      <c r="R6372" s="10">
        <v>3.9051044638464992E-5</v>
      </c>
      <c r="S6372" s="10">
        <v>1.8047012439111527E-5</v>
      </c>
      <c r="T6372" s="10">
        <v>2.2448607650542085E-4</v>
      </c>
      <c r="U6372" s="10">
        <v>7.0290000000000006E-5</v>
      </c>
      <c r="V6372" s="25"/>
      <c r="W6372" s="25"/>
      <c r="X6372" s="25"/>
      <c r="Y6372" s="25"/>
      <c r="Z6372" s="25"/>
      <c r="AA6372" s="25"/>
    </row>
    <row r="6373" spans="1:27" x14ac:dyDescent="0.35">
      <c r="A6373" s="5">
        <v>6369</v>
      </c>
      <c r="B6373" s="5">
        <v>266</v>
      </c>
      <c r="C6373" s="5">
        <v>9</v>
      </c>
      <c r="D6373" s="25">
        <v>1.1416E-4</v>
      </c>
      <c r="E6373" s="25">
        <v>1.1647E-4</v>
      </c>
      <c r="F6373" s="25">
        <v>8.7349999999999995E-5</v>
      </c>
      <c r="G6373" s="25">
        <v>1.5904999999999999E-4</v>
      </c>
      <c r="H6373" s="25">
        <v>4.2530000000000001E-5</v>
      </c>
      <c r="I6373" s="9">
        <v>1.2477000000000001E-4</v>
      </c>
      <c r="J6373" s="9">
        <v>1.2956E-4</v>
      </c>
      <c r="K6373" s="9">
        <v>0</v>
      </c>
      <c r="L6373" s="9">
        <v>6.1719999999999999E-5</v>
      </c>
      <c r="M6373" s="9">
        <v>8.2600000000000002E-5</v>
      </c>
      <c r="N6373" s="9">
        <v>1.0407E-4</v>
      </c>
      <c r="O6373" s="9">
        <v>9.9610000000000003E-5</v>
      </c>
      <c r="P6373" s="9">
        <v>1.382E-4</v>
      </c>
      <c r="Q6373" s="9">
        <v>1.7657E-4</v>
      </c>
      <c r="R6373" s="10">
        <v>3.5177575428973844E-5</v>
      </c>
      <c r="S6373" s="10">
        <v>2.1368581449677156E-5</v>
      </c>
      <c r="T6373" s="10">
        <v>3.6987303016946301E-4</v>
      </c>
      <c r="U6373" s="10">
        <v>7.0290000000000006E-5</v>
      </c>
      <c r="V6373" s="25"/>
      <c r="W6373" s="25"/>
      <c r="X6373" s="25"/>
      <c r="Y6373" s="25"/>
      <c r="Z6373" s="25"/>
      <c r="AA6373" s="25"/>
    </row>
    <row r="6374" spans="1:27" x14ac:dyDescent="0.35">
      <c r="A6374" s="5">
        <v>6370</v>
      </c>
      <c r="B6374" s="5">
        <v>266</v>
      </c>
      <c r="C6374" s="5">
        <v>9</v>
      </c>
      <c r="D6374" s="25">
        <v>1.1415000000000001E-4</v>
      </c>
      <c r="E6374" s="25">
        <v>1.1328999999999999E-4</v>
      </c>
      <c r="F6374" s="25">
        <v>9.0619999999999996E-5</v>
      </c>
      <c r="G6374" s="25">
        <v>1.5692000000000001E-4</v>
      </c>
      <c r="H6374" s="25">
        <v>4.0689999999999998E-5</v>
      </c>
      <c r="I6374" s="9">
        <v>1.2494000000000001E-4</v>
      </c>
      <c r="J6374" s="9">
        <v>1.2965000000000001E-4</v>
      </c>
      <c r="K6374" s="9">
        <v>0</v>
      </c>
      <c r="L6374" s="9">
        <v>9.077E-5</v>
      </c>
      <c r="M6374" s="9">
        <v>1.0624999999999999E-4</v>
      </c>
      <c r="N6374" s="9">
        <v>1.2409000000000001E-4</v>
      </c>
      <c r="O6374" s="9">
        <v>1.2903E-4</v>
      </c>
      <c r="P6374" s="9">
        <v>1.5588000000000001E-4</v>
      </c>
      <c r="Q6374" s="9">
        <v>1.8289000000000001E-4</v>
      </c>
      <c r="R6374" s="10">
        <v>3.2277971085016499E-5</v>
      </c>
      <c r="S6374" s="10">
        <v>2.603566288153131E-5</v>
      </c>
      <c r="T6374" s="10">
        <v>4.0235092808180861E-4</v>
      </c>
      <c r="U6374" s="10">
        <v>7.0290000000000006E-5</v>
      </c>
      <c r="V6374" s="25"/>
      <c r="W6374" s="25"/>
      <c r="X6374" s="25"/>
      <c r="Y6374" s="25"/>
      <c r="Z6374" s="25"/>
      <c r="AA6374" s="25"/>
    </row>
    <row r="6375" spans="1:27" x14ac:dyDescent="0.35">
      <c r="A6375" s="5">
        <v>6371</v>
      </c>
      <c r="B6375" s="5">
        <v>266</v>
      </c>
      <c r="C6375" s="5">
        <v>9</v>
      </c>
      <c r="D6375" s="25">
        <v>1.1416E-4</v>
      </c>
      <c r="E6375" s="25">
        <v>1.1743000000000001E-4</v>
      </c>
      <c r="F6375" s="25">
        <v>9.6009999999999997E-5</v>
      </c>
      <c r="G6375" s="25">
        <v>1.6307E-4</v>
      </c>
      <c r="H6375" s="25">
        <v>4.18E-5</v>
      </c>
      <c r="I6375" s="9">
        <v>1.2663999999999999E-4</v>
      </c>
      <c r="J6375" s="9">
        <v>1.2967999999999999E-4</v>
      </c>
      <c r="K6375" s="9">
        <v>0</v>
      </c>
      <c r="L6375" s="9">
        <v>1.199E-4</v>
      </c>
      <c r="M6375" s="9">
        <v>1.3008E-4</v>
      </c>
      <c r="N6375" s="9">
        <v>1.4244999999999999E-4</v>
      </c>
      <c r="O6375" s="9">
        <v>1.3641E-4</v>
      </c>
      <c r="P6375" s="9">
        <v>1.5757999999999999E-4</v>
      </c>
      <c r="Q6375" s="9">
        <v>1.7904999999999999E-4</v>
      </c>
      <c r="R6375" s="10">
        <v>3.5373780260493255E-5</v>
      </c>
      <c r="S6375" s="10">
        <v>2.3936261999707251E-5</v>
      </c>
      <c r="T6375" s="10">
        <v>4.0749241348799495E-4</v>
      </c>
      <c r="U6375" s="10">
        <v>7.0290000000000006E-5</v>
      </c>
      <c r="V6375" s="25"/>
      <c r="W6375" s="25"/>
      <c r="X6375" s="25"/>
      <c r="Y6375" s="25"/>
      <c r="Z6375" s="25"/>
      <c r="AA6375" s="25"/>
    </row>
    <row r="6376" spans="1:27" x14ac:dyDescent="0.35">
      <c r="A6376" s="5">
        <v>6372</v>
      </c>
      <c r="B6376" s="5">
        <v>266</v>
      </c>
      <c r="C6376" s="5">
        <v>9</v>
      </c>
      <c r="D6376" s="25">
        <v>1.1415000000000001E-4</v>
      </c>
      <c r="E6376" s="25">
        <v>1.1798000000000001E-4</v>
      </c>
      <c r="F6376" s="25">
        <v>1.0419E-4</v>
      </c>
      <c r="G6376" s="25">
        <v>1.5712000000000001E-4</v>
      </c>
      <c r="H6376" s="25">
        <v>4.2299999999999998E-5</v>
      </c>
      <c r="I6376" s="9">
        <v>1.2481999999999999E-4</v>
      </c>
      <c r="J6376" s="9">
        <v>1.2765000000000001E-4</v>
      </c>
      <c r="K6376" s="9">
        <v>0</v>
      </c>
      <c r="L6376" s="9">
        <v>1.3208999999999999E-4</v>
      </c>
      <c r="M6376" s="9">
        <v>1.4564999999999999E-4</v>
      </c>
      <c r="N6376" s="9">
        <v>1.5652999999999999E-4</v>
      </c>
      <c r="O6376" s="9">
        <v>1.3927000000000001E-4</v>
      </c>
      <c r="P6376" s="9">
        <v>1.5724000000000001E-4</v>
      </c>
      <c r="Q6376" s="9">
        <v>1.7558999999999999E-4</v>
      </c>
      <c r="R6376" s="10">
        <v>2.7684387887413352E-5</v>
      </c>
      <c r="S6376" s="10">
        <v>2.3105533838806693E-5</v>
      </c>
      <c r="T6376" s="10">
        <v>1.0900627805063104E-4</v>
      </c>
      <c r="U6376" s="10">
        <v>7.0290000000000006E-5</v>
      </c>
      <c r="V6376" s="25"/>
      <c r="W6376" s="25"/>
      <c r="X6376" s="25"/>
      <c r="Y6376" s="25"/>
      <c r="Z6376" s="25"/>
      <c r="AA6376" s="25"/>
    </row>
    <row r="6377" spans="1:27" x14ac:dyDescent="0.35">
      <c r="A6377" s="5">
        <v>6373</v>
      </c>
      <c r="B6377" s="5">
        <v>266</v>
      </c>
      <c r="C6377" s="5">
        <v>9</v>
      </c>
      <c r="D6377" s="25">
        <v>1.1416E-4</v>
      </c>
      <c r="E6377" s="25">
        <v>1.1177E-4</v>
      </c>
      <c r="F6377" s="25">
        <v>8.7990000000000003E-5</v>
      </c>
      <c r="G6377" s="25">
        <v>1.6181E-4</v>
      </c>
      <c r="H6377" s="25">
        <v>4.0890000000000003E-5</v>
      </c>
      <c r="I6377" s="9">
        <v>1.2521E-4</v>
      </c>
      <c r="J6377" s="9">
        <v>1.2850000000000001E-4</v>
      </c>
      <c r="K6377" s="9">
        <v>0</v>
      </c>
      <c r="L6377" s="9">
        <v>1.3753999999999999E-4</v>
      </c>
      <c r="M6377" s="9">
        <v>1.5312999999999999E-4</v>
      </c>
      <c r="N6377" s="9">
        <v>1.6637999999999999E-4</v>
      </c>
      <c r="O6377" s="9">
        <v>1.2961E-4</v>
      </c>
      <c r="P6377" s="9">
        <v>1.4819E-4</v>
      </c>
      <c r="Q6377" s="9">
        <v>1.6707000000000001E-4</v>
      </c>
      <c r="R6377" s="10">
        <v>3.6847664820875978E-5</v>
      </c>
      <c r="S6377" s="10">
        <v>2.4952850874980077E-5</v>
      </c>
      <c r="T6377" s="10">
        <v>2.5039712672075609E-4</v>
      </c>
      <c r="U6377" s="10">
        <v>7.0290000000000006E-5</v>
      </c>
      <c r="V6377" s="25"/>
      <c r="W6377" s="25"/>
      <c r="X6377" s="25"/>
      <c r="Y6377" s="25"/>
      <c r="Z6377" s="25"/>
      <c r="AA6377" s="25"/>
    </row>
    <row r="6378" spans="1:27" x14ac:dyDescent="0.35">
      <c r="A6378" s="5">
        <v>6374</v>
      </c>
      <c r="B6378" s="5">
        <v>266</v>
      </c>
      <c r="C6378" s="5">
        <v>9</v>
      </c>
      <c r="D6378" s="25">
        <v>1.1415000000000001E-4</v>
      </c>
      <c r="E6378" s="25">
        <v>1.1089E-4</v>
      </c>
      <c r="F6378" s="25">
        <v>9.7910000000000003E-5</v>
      </c>
      <c r="G6378" s="25">
        <v>1.6379E-4</v>
      </c>
      <c r="H6378" s="25">
        <v>4.1409999999999998E-5</v>
      </c>
      <c r="I6378" s="9">
        <v>1.2396E-4</v>
      </c>
      <c r="J6378" s="9">
        <v>1.2881000000000001E-4</v>
      </c>
      <c r="K6378" s="9">
        <v>0</v>
      </c>
      <c r="L6378" s="9">
        <v>1.3139E-4</v>
      </c>
      <c r="M6378" s="9">
        <v>1.5281E-4</v>
      </c>
      <c r="N6378" s="9">
        <v>1.7068000000000001E-4</v>
      </c>
      <c r="O6378" s="9">
        <v>1.1222000000000001E-4</v>
      </c>
      <c r="P6378" s="9">
        <v>1.3632999999999999E-4</v>
      </c>
      <c r="Q6378" s="9">
        <v>1.6054E-4</v>
      </c>
      <c r="R6378" s="10">
        <v>4.3912944343396479E-5</v>
      </c>
      <c r="S6378" s="10">
        <v>2.7775790961402228E-5</v>
      </c>
      <c r="T6378" s="10">
        <v>9.0960173332877927E-5</v>
      </c>
      <c r="U6378" s="10">
        <v>7.0290000000000006E-5</v>
      </c>
      <c r="V6378" s="25"/>
      <c r="W6378" s="25"/>
      <c r="X6378" s="25"/>
      <c r="Y6378" s="25"/>
      <c r="Z6378" s="25"/>
      <c r="AA6378" s="25"/>
    </row>
    <row r="6379" spans="1:27" x14ac:dyDescent="0.35">
      <c r="A6379" s="5">
        <v>6375</v>
      </c>
      <c r="B6379" s="5">
        <v>266</v>
      </c>
      <c r="C6379" s="5">
        <v>9</v>
      </c>
      <c r="D6379" s="25">
        <v>1.1416E-4</v>
      </c>
      <c r="E6379" s="25">
        <v>1.0979E-4</v>
      </c>
      <c r="F6379" s="25">
        <v>1.0126E-4</v>
      </c>
      <c r="G6379" s="25">
        <v>1.5804E-4</v>
      </c>
      <c r="H6379" s="25">
        <v>4.1619999999999998E-5</v>
      </c>
      <c r="I6379" s="9">
        <v>1.2402E-4</v>
      </c>
      <c r="J6379" s="9">
        <v>1.2999999999999999E-4</v>
      </c>
      <c r="K6379" s="9">
        <v>0</v>
      </c>
      <c r="L6379" s="9">
        <v>1.1666E-4</v>
      </c>
      <c r="M6379" s="9">
        <v>1.4652E-4</v>
      </c>
      <c r="N6379" s="9">
        <v>1.7014999999999999E-4</v>
      </c>
      <c r="O6379" s="9">
        <v>1.2705E-4</v>
      </c>
      <c r="P6379" s="9">
        <v>1.3962999999999999E-4</v>
      </c>
      <c r="Q6379" s="9">
        <v>1.5258000000000001E-4</v>
      </c>
      <c r="R6379" s="10">
        <v>5.7780583464699684E-5</v>
      </c>
      <c r="S6379" s="10">
        <v>3.5752751035686271E-5</v>
      </c>
      <c r="T6379" s="10">
        <v>4.1988797483855318E-5</v>
      </c>
      <c r="U6379" s="10">
        <v>7.0290000000000006E-5</v>
      </c>
      <c r="V6379" s="25"/>
      <c r="W6379" s="25"/>
      <c r="X6379" s="25"/>
      <c r="Y6379" s="25"/>
      <c r="Z6379" s="25"/>
      <c r="AA6379" s="25"/>
    </row>
    <row r="6380" spans="1:27" x14ac:dyDescent="0.35">
      <c r="A6380" s="5">
        <v>6376</v>
      </c>
      <c r="B6380" s="5">
        <v>266</v>
      </c>
      <c r="C6380" s="5">
        <v>9</v>
      </c>
      <c r="D6380" s="25">
        <v>1.1415000000000001E-4</v>
      </c>
      <c r="E6380" s="25">
        <v>1.1805E-4</v>
      </c>
      <c r="F6380" s="25">
        <v>9.4679999999999995E-5</v>
      </c>
      <c r="G6380" s="25">
        <v>1.6347000000000001E-4</v>
      </c>
      <c r="H6380" s="25">
        <v>4.0070000000000001E-5</v>
      </c>
      <c r="I6380" s="9">
        <v>1.2337000000000001E-4</v>
      </c>
      <c r="J6380" s="9">
        <v>1.3093999999999999E-4</v>
      </c>
      <c r="K6380" s="9">
        <v>0</v>
      </c>
      <c r="L6380" s="9">
        <v>1.2520000000000001E-4</v>
      </c>
      <c r="M6380" s="9">
        <v>1.4228E-4</v>
      </c>
      <c r="N6380" s="9">
        <v>1.6623000000000001E-4</v>
      </c>
      <c r="O6380" s="9">
        <v>1.3477000000000001E-4</v>
      </c>
      <c r="P6380" s="9">
        <v>1.2219999999999999E-4</v>
      </c>
      <c r="Q6380" s="9">
        <v>1.1047E-4</v>
      </c>
      <c r="R6380" s="10">
        <v>7.0800092094715995E-5</v>
      </c>
      <c r="S6380" s="10">
        <v>4.4615464030760911E-5</v>
      </c>
      <c r="T6380" s="10">
        <v>1.3943945981959225E-4</v>
      </c>
      <c r="U6380" s="10">
        <v>7.0290000000000006E-5</v>
      </c>
      <c r="V6380" s="25"/>
      <c r="W6380" s="25"/>
      <c r="X6380" s="25"/>
      <c r="Y6380" s="25"/>
      <c r="Z6380" s="25"/>
      <c r="AA6380" s="25"/>
    </row>
    <row r="6381" spans="1:27" x14ac:dyDescent="0.35">
      <c r="A6381" s="5">
        <v>6377</v>
      </c>
      <c r="B6381" s="5">
        <v>266</v>
      </c>
      <c r="C6381" s="5">
        <v>9</v>
      </c>
      <c r="D6381" s="25">
        <v>1.1416E-4</v>
      </c>
      <c r="E6381" s="25">
        <v>1.1791E-4</v>
      </c>
      <c r="F6381" s="25">
        <v>9.6230000000000005E-5</v>
      </c>
      <c r="G6381" s="25">
        <v>1.6652E-4</v>
      </c>
      <c r="H6381" s="25">
        <v>4.2629999999999997E-5</v>
      </c>
      <c r="I6381" s="9">
        <v>1.2511E-4</v>
      </c>
      <c r="J6381" s="9">
        <v>1.3175E-4</v>
      </c>
      <c r="K6381" s="9">
        <v>0</v>
      </c>
      <c r="L6381" s="9">
        <v>1.3238E-4</v>
      </c>
      <c r="M6381" s="9">
        <v>1.3412E-4</v>
      </c>
      <c r="N6381" s="9">
        <v>1.5265E-4</v>
      </c>
      <c r="O6381" s="9">
        <v>1.4123E-4</v>
      </c>
      <c r="P6381" s="9">
        <v>1.2417999999999999E-4</v>
      </c>
      <c r="Q6381" s="9">
        <v>1.0808E-4</v>
      </c>
      <c r="R6381" s="10">
        <v>7.6026157738444058E-5</v>
      </c>
      <c r="S6381" s="10">
        <v>5.0898856216592865E-5</v>
      </c>
      <c r="T6381" s="10">
        <v>7.8742782268672703E-5</v>
      </c>
      <c r="U6381" s="10">
        <v>7.0290000000000006E-5</v>
      </c>
      <c r="V6381" s="25"/>
      <c r="W6381" s="25"/>
      <c r="X6381" s="25"/>
      <c r="Y6381" s="25"/>
      <c r="Z6381" s="25"/>
      <c r="AA6381" s="25"/>
    </row>
    <row r="6382" spans="1:27" x14ac:dyDescent="0.35">
      <c r="A6382" s="5">
        <v>6378</v>
      </c>
      <c r="B6382" s="5">
        <v>266</v>
      </c>
      <c r="C6382" s="5">
        <v>9</v>
      </c>
      <c r="D6382" s="25">
        <v>1.1415000000000001E-4</v>
      </c>
      <c r="E6382" s="25">
        <v>1.1781E-4</v>
      </c>
      <c r="F6382" s="25">
        <v>8.6059999999999999E-5</v>
      </c>
      <c r="G6382" s="25">
        <v>1.6264E-4</v>
      </c>
      <c r="H6382" s="25">
        <v>3.9789999999999997E-5</v>
      </c>
      <c r="I6382" s="9">
        <v>1.2354E-4</v>
      </c>
      <c r="J6382" s="9">
        <v>1.2804E-4</v>
      </c>
      <c r="K6382" s="9">
        <v>0</v>
      </c>
      <c r="L6382" s="9">
        <v>1.3897000000000001E-4</v>
      </c>
      <c r="M6382" s="9">
        <v>1.2849000000000001E-4</v>
      </c>
      <c r="N6382" s="9">
        <v>1.3944000000000001E-4</v>
      </c>
      <c r="O6382" s="9">
        <v>1.3992E-4</v>
      </c>
      <c r="P6382" s="9">
        <v>1.2808000000000001E-4</v>
      </c>
      <c r="Q6382" s="9">
        <v>1.1709000000000001E-4</v>
      </c>
      <c r="R6382" s="10">
        <v>8.4804637341339884E-5</v>
      </c>
      <c r="S6382" s="10">
        <v>5.3033405120929281E-5</v>
      </c>
      <c r="T6382" s="10">
        <v>4.8869564256820891E-6</v>
      </c>
      <c r="U6382" s="10">
        <v>7.0290000000000006E-5</v>
      </c>
      <c r="V6382" s="25"/>
      <c r="W6382" s="25"/>
      <c r="X6382" s="25"/>
      <c r="Y6382" s="25"/>
      <c r="Z6382" s="25"/>
      <c r="AA6382" s="25"/>
    </row>
    <row r="6383" spans="1:27" x14ac:dyDescent="0.35">
      <c r="A6383" s="5">
        <v>6379</v>
      </c>
      <c r="B6383" s="5">
        <v>266</v>
      </c>
      <c r="C6383" s="5">
        <v>9</v>
      </c>
      <c r="D6383" s="25">
        <v>1.1416E-4</v>
      </c>
      <c r="E6383" s="25">
        <v>1.1313E-4</v>
      </c>
      <c r="F6383" s="25">
        <v>9.2949999999999996E-5</v>
      </c>
      <c r="G6383" s="25">
        <v>1.1097E-4</v>
      </c>
      <c r="H6383" s="25">
        <v>2.836E-5</v>
      </c>
      <c r="I6383" s="9">
        <v>1.2118E-4</v>
      </c>
      <c r="J6383" s="9">
        <v>1.2802000000000001E-4</v>
      </c>
      <c r="K6383" s="9">
        <v>0</v>
      </c>
      <c r="L6383" s="9">
        <v>1.3960000000000001E-4</v>
      </c>
      <c r="M6383" s="9">
        <v>1.2705E-4</v>
      </c>
      <c r="N6383" s="9">
        <v>1.3020999999999999E-4</v>
      </c>
      <c r="O6383" s="9">
        <v>1.4128E-4</v>
      </c>
      <c r="P6383" s="9">
        <v>1.237E-4</v>
      </c>
      <c r="Q6383" s="9">
        <v>1.0707E-4</v>
      </c>
      <c r="R6383" s="10">
        <v>9.1168618888332718E-5</v>
      </c>
      <c r="S6383" s="10">
        <v>4.5857908426584632E-5</v>
      </c>
      <c r="T6383" s="10">
        <v>0</v>
      </c>
      <c r="U6383" s="10">
        <v>7.0290000000000006E-5</v>
      </c>
      <c r="V6383" s="25"/>
      <c r="W6383" s="25"/>
      <c r="X6383" s="25"/>
      <c r="Y6383" s="25"/>
      <c r="Z6383" s="25"/>
      <c r="AA6383" s="25"/>
    </row>
    <row r="6384" spans="1:27" x14ac:dyDescent="0.35">
      <c r="A6384" s="5">
        <v>6380</v>
      </c>
      <c r="B6384" s="5">
        <v>266</v>
      </c>
      <c r="C6384" s="5">
        <v>9</v>
      </c>
      <c r="D6384" s="25">
        <v>1.1415000000000001E-4</v>
      </c>
      <c r="E6384" s="25">
        <v>1.1945E-4</v>
      </c>
      <c r="F6384" s="25">
        <v>9.6329999999999994E-5</v>
      </c>
      <c r="G6384" s="25">
        <v>1.1353000000000001E-4</v>
      </c>
      <c r="H6384" s="25">
        <v>2.6800000000000001E-5</v>
      </c>
      <c r="I6384" s="9">
        <v>1.2342000000000001E-4</v>
      </c>
      <c r="J6384" s="9">
        <v>1.3070000000000001E-4</v>
      </c>
      <c r="K6384" s="9">
        <v>0</v>
      </c>
      <c r="L6384" s="9">
        <v>1.4093999999999999E-4</v>
      </c>
      <c r="M6384" s="9">
        <v>1.2572000000000001E-4</v>
      </c>
      <c r="N6384" s="9">
        <v>1.2106E-4</v>
      </c>
      <c r="O6384" s="9">
        <v>1.4404000000000001E-4</v>
      </c>
      <c r="P6384" s="9">
        <v>1.2256999999999999E-4</v>
      </c>
      <c r="Q6384" s="9">
        <v>1.0212E-4</v>
      </c>
      <c r="R6384" s="10">
        <v>7.9478323945457671E-5</v>
      </c>
      <c r="S6384" s="10">
        <v>3.8043414522200339E-5</v>
      </c>
      <c r="T6384" s="10">
        <v>0</v>
      </c>
      <c r="U6384" s="10">
        <v>7.0290000000000006E-5</v>
      </c>
      <c r="V6384" s="25"/>
      <c r="W6384" s="25"/>
      <c r="X6384" s="25"/>
      <c r="Y6384" s="25"/>
      <c r="Z6384" s="25"/>
      <c r="AA6384" s="25"/>
    </row>
    <row r="6385" spans="1:27" x14ac:dyDescent="0.35">
      <c r="A6385" s="5">
        <v>6381</v>
      </c>
      <c r="B6385" s="5">
        <v>266</v>
      </c>
      <c r="C6385" s="5">
        <v>9</v>
      </c>
      <c r="D6385" s="25">
        <v>1.1416E-4</v>
      </c>
      <c r="E6385" s="25">
        <v>1.167E-4</v>
      </c>
      <c r="F6385" s="25">
        <v>9.6869999999999999E-5</v>
      </c>
      <c r="G6385" s="25">
        <v>6.0319999999999998E-5</v>
      </c>
      <c r="H6385" s="25">
        <v>1.6059999999999999E-5</v>
      </c>
      <c r="I6385" s="9">
        <v>1.1757E-4</v>
      </c>
      <c r="J6385" s="9">
        <v>1.2302999999999999E-4</v>
      </c>
      <c r="K6385" s="9">
        <v>0</v>
      </c>
      <c r="L6385" s="9">
        <v>1.4337E-4</v>
      </c>
      <c r="M6385" s="9">
        <v>1.2428E-4</v>
      </c>
      <c r="N6385" s="9">
        <v>1.1339E-4</v>
      </c>
      <c r="O6385" s="9">
        <v>8.5279999999999997E-5</v>
      </c>
      <c r="P6385" s="9">
        <v>8.7029999999999999E-5</v>
      </c>
      <c r="Q6385" s="9">
        <v>8.9040000000000001E-5</v>
      </c>
      <c r="R6385" s="10">
        <v>7.0733040430144071E-5</v>
      </c>
      <c r="S6385" s="10">
        <v>3.6464645913594544E-5</v>
      </c>
      <c r="T6385" s="10">
        <v>0</v>
      </c>
      <c r="U6385" s="10">
        <v>7.0290000000000006E-5</v>
      </c>
      <c r="V6385" s="25"/>
      <c r="W6385" s="25"/>
      <c r="X6385" s="25"/>
      <c r="Y6385" s="25"/>
      <c r="Z6385" s="25"/>
      <c r="AA6385" s="25"/>
    </row>
    <row r="6386" spans="1:27" x14ac:dyDescent="0.35">
      <c r="A6386" s="5">
        <v>6382</v>
      </c>
      <c r="B6386" s="5">
        <v>266</v>
      </c>
      <c r="C6386" s="5">
        <v>9</v>
      </c>
      <c r="D6386" s="25">
        <v>1.1415000000000001E-4</v>
      </c>
      <c r="E6386" s="25">
        <v>1.1739999999999999E-4</v>
      </c>
      <c r="F6386" s="25">
        <v>1.0493E-4</v>
      </c>
      <c r="G6386" s="25">
        <v>6.1840000000000004E-5</v>
      </c>
      <c r="H6386" s="25">
        <v>1.3570000000000001E-5</v>
      </c>
      <c r="I6386" s="9">
        <v>1.1288E-4</v>
      </c>
      <c r="J6386" s="9">
        <v>1.1428E-4</v>
      </c>
      <c r="K6386" s="9">
        <v>1.696E-5</v>
      </c>
      <c r="L6386" s="9">
        <v>9.7990000000000002E-5</v>
      </c>
      <c r="M6386" s="9">
        <v>1.1047E-4</v>
      </c>
      <c r="N6386" s="9">
        <v>1.0589E-4</v>
      </c>
      <c r="O6386" s="9">
        <v>8.8140000000000007E-5</v>
      </c>
      <c r="P6386" s="9">
        <v>8.8480000000000007E-5</v>
      </c>
      <c r="Q6386" s="9">
        <v>8.9140000000000004E-5</v>
      </c>
      <c r="R6386" s="10">
        <v>7.5119123831397092E-5</v>
      </c>
      <c r="S6386" s="10">
        <v>3.724033602342276E-5</v>
      </c>
      <c r="T6386" s="10">
        <v>0</v>
      </c>
      <c r="U6386" s="10">
        <v>7.0290000000000006E-5</v>
      </c>
      <c r="V6386" s="25"/>
      <c r="W6386" s="25"/>
      <c r="X6386" s="25"/>
      <c r="Y6386" s="25"/>
      <c r="Z6386" s="25"/>
      <c r="AA6386" s="25"/>
    </row>
    <row r="6387" spans="1:27" x14ac:dyDescent="0.35">
      <c r="A6387" s="5">
        <v>6383</v>
      </c>
      <c r="B6387" s="5">
        <v>266</v>
      </c>
      <c r="C6387" s="5">
        <v>9</v>
      </c>
      <c r="D6387" s="25">
        <v>1.1416E-4</v>
      </c>
      <c r="E6387" s="25">
        <v>1.1039000000000001E-4</v>
      </c>
      <c r="F6387" s="25">
        <v>9.1349999999999998E-5</v>
      </c>
      <c r="G6387" s="25">
        <v>6.3200000000000005E-5</v>
      </c>
      <c r="H6387" s="25">
        <v>1.348E-5</v>
      </c>
      <c r="I6387" s="9">
        <v>1.0606E-4</v>
      </c>
      <c r="J6387" s="9">
        <v>1.0716E-4</v>
      </c>
      <c r="K6387" s="9">
        <v>2.12E-6</v>
      </c>
      <c r="L6387" s="9">
        <v>9.1570000000000006E-5</v>
      </c>
      <c r="M6387" s="9">
        <v>9.8839999999999996E-5</v>
      </c>
      <c r="N6387" s="9">
        <v>1.0022E-4</v>
      </c>
      <c r="O6387" s="9">
        <v>8.3780000000000001E-5</v>
      </c>
      <c r="P6387" s="9">
        <v>7.4809999999999997E-5</v>
      </c>
      <c r="Q6387" s="9">
        <v>6.6270000000000001E-5</v>
      </c>
      <c r="R6387" s="10">
        <v>8.3007913771872621E-5</v>
      </c>
      <c r="S6387" s="10">
        <v>4.4914559902611536E-5</v>
      </c>
      <c r="T6387" s="10">
        <v>0</v>
      </c>
      <c r="U6387" s="10">
        <v>7.0290000000000006E-5</v>
      </c>
      <c r="V6387" s="25"/>
      <c r="W6387" s="25"/>
      <c r="X6387" s="25"/>
      <c r="Y6387" s="25"/>
      <c r="Z6387" s="25"/>
      <c r="AA6387" s="25"/>
    </row>
    <row r="6388" spans="1:27" x14ac:dyDescent="0.35">
      <c r="A6388" s="5">
        <v>6384</v>
      </c>
      <c r="B6388" s="5">
        <v>266</v>
      </c>
      <c r="C6388" s="5">
        <v>9</v>
      </c>
      <c r="D6388" s="25">
        <v>1.1415000000000001E-4</v>
      </c>
      <c r="E6388" s="25">
        <v>1.161E-4</v>
      </c>
      <c r="F6388" s="25">
        <v>9.1979999999999997E-5</v>
      </c>
      <c r="G6388" s="25">
        <v>5.9630000000000003E-5</v>
      </c>
      <c r="H6388" s="25">
        <v>1.5140000000000001E-5</v>
      </c>
      <c r="I6388" s="9">
        <v>1.0018000000000001E-4</v>
      </c>
      <c r="J6388" s="9">
        <v>9.9400000000000004E-5</v>
      </c>
      <c r="K6388" s="9">
        <v>0</v>
      </c>
      <c r="L6388" s="9">
        <v>8.5719999999999999E-5</v>
      </c>
      <c r="M6388" s="9">
        <v>8.7460000000000006E-5</v>
      </c>
      <c r="N6388" s="9">
        <v>9.077E-5</v>
      </c>
      <c r="O6388" s="9">
        <v>7.86E-5</v>
      </c>
      <c r="P6388" s="9">
        <v>6.834E-5</v>
      </c>
      <c r="Q6388" s="9">
        <v>5.8489999999999997E-5</v>
      </c>
      <c r="R6388" s="10">
        <v>1.147625148712464E-4</v>
      </c>
      <c r="S6388" s="10">
        <v>6.174583441400363E-5</v>
      </c>
      <c r="T6388" s="10">
        <v>0</v>
      </c>
      <c r="U6388" s="10">
        <v>7.0290000000000006E-5</v>
      </c>
      <c r="V6388" s="25"/>
      <c r="W6388" s="25"/>
      <c r="X6388" s="25"/>
      <c r="Y6388" s="25"/>
      <c r="Z6388" s="25"/>
      <c r="AA6388" s="25"/>
    </row>
    <row r="6389" spans="1:27" x14ac:dyDescent="0.35">
      <c r="A6389" s="5">
        <v>6385</v>
      </c>
      <c r="B6389" s="5">
        <v>267</v>
      </c>
      <c r="C6389" s="5">
        <v>9</v>
      </c>
      <c r="D6389" s="25">
        <v>1.1416E-4</v>
      </c>
      <c r="E6389" s="25">
        <v>1.1645E-4</v>
      </c>
      <c r="F6389" s="25">
        <v>1E-4</v>
      </c>
      <c r="G6389" s="25">
        <v>5.49E-5</v>
      </c>
      <c r="H6389" s="25">
        <v>6.4900000000000005E-5</v>
      </c>
      <c r="I6389" s="9">
        <v>9.556E-5</v>
      </c>
      <c r="J6389" s="9">
        <v>9.4519999999999996E-5</v>
      </c>
      <c r="K6389" s="9">
        <v>0</v>
      </c>
      <c r="L6389" s="9">
        <v>7.9989999999999998E-5</v>
      </c>
      <c r="M6389" s="9">
        <v>7.7970000000000001E-5</v>
      </c>
      <c r="N6389" s="9">
        <v>8.1240000000000001E-5</v>
      </c>
      <c r="O6389" s="9">
        <v>5.5080000000000001E-5</v>
      </c>
      <c r="P6389" s="9">
        <v>5.4490000000000002E-5</v>
      </c>
      <c r="Q6389" s="9">
        <v>5.4060000000000001E-5</v>
      </c>
      <c r="R6389" s="10">
        <v>1.2333334187475766E-4</v>
      </c>
      <c r="S6389" s="10">
        <v>7.3975782955933007E-5</v>
      </c>
      <c r="T6389" s="10">
        <v>0</v>
      </c>
      <c r="U6389" s="10">
        <v>7.0119999999999999E-5</v>
      </c>
      <c r="V6389" s="25"/>
      <c r="W6389" s="25"/>
      <c r="X6389" s="25"/>
      <c r="Y6389" s="25"/>
      <c r="Z6389" s="25"/>
      <c r="AA6389" s="25"/>
    </row>
    <row r="6390" spans="1:27" x14ac:dyDescent="0.35">
      <c r="A6390" s="5">
        <v>6386</v>
      </c>
      <c r="B6390" s="5">
        <v>267</v>
      </c>
      <c r="C6390" s="5">
        <v>9</v>
      </c>
      <c r="D6390" s="25">
        <v>1.1415000000000001E-4</v>
      </c>
      <c r="E6390" s="25">
        <v>1.1561E-4</v>
      </c>
      <c r="F6390" s="25">
        <v>1.1652E-4</v>
      </c>
      <c r="G6390" s="25">
        <v>5.9589999999999997E-5</v>
      </c>
      <c r="H6390" s="25">
        <v>7.2200000000000007E-5</v>
      </c>
      <c r="I6390" s="9">
        <v>9.3109999999999995E-5</v>
      </c>
      <c r="J6390" s="9">
        <v>9.2109999999999997E-5</v>
      </c>
      <c r="K6390" s="9">
        <v>0</v>
      </c>
      <c r="L6390" s="9">
        <v>6.0699999999999998E-5</v>
      </c>
      <c r="M6390" s="9">
        <v>6.7299999999999996E-5</v>
      </c>
      <c r="N6390" s="9">
        <v>7.2219999999999996E-5</v>
      </c>
      <c r="O6390" s="9">
        <v>1.8850000000000001E-5</v>
      </c>
      <c r="P6390" s="9">
        <v>3.7570000000000001E-5</v>
      </c>
      <c r="Q6390" s="9">
        <v>5.5909999999999998E-5</v>
      </c>
      <c r="R6390" s="10">
        <v>1.3278112730181896E-4</v>
      </c>
      <c r="S6390" s="10">
        <v>9.8588861310156822E-5</v>
      </c>
      <c r="T6390" s="10">
        <v>0</v>
      </c>
      <c r="U6390" s="10">
        <v>7.0119999999999999E-5</v>
      </c>
      <c r="V6390" s="25"/>
      <c r="W6390" s="25"/>
      <c r="X6390" s="25"/>
      <c r="Y6390" s="25"/>
      <c r="Z6390" s="25"/>
      <c r="AA6390" s="25"/>
    </row>
    <row r="6391" spans="1:27" x14ac:dyDescent="0.35">
      <c r="A6391" s="5">
        <v>6387</v>
      </c>
      <c r="B6391" s="5">
        <v>267</v>
      </c>
      <c r="C6391" s="5">
        <v>9</v>
      </c>
      <c r="D6391" s="25">
        <v>1.1416E-4</v>
      </c>
      <c r="E6391" s="25">
        <v>1.1238E-4</v>
      </c>
      <c r="F6391" s="25">
        <v>1.1673E-4</v>
      </c>
      <c r="G6391" s="25">
        <v>5.4280000000000002E-5</v>
      </c>
      <c r="H6391" s="25">
        <v>6.8330000000000005E-5</v>
      </c>
      <c r="I6391" s="9">
        <v>9.2260000000000001E-5</v>
      </c>
      <c r="J6391" s="9">
        <v>9.1089999999999997E-5</v>
      </c>
      <c r="K6391" s="9">
        <v>2.1189999999999999E-5</v>
      </c>
      <c r="L6391" s="9">
        <v>2.8569999999999999E-5</v>
      </c>
      <c r="M6391" s="9">
        <v>5.3999999999999998E-5</v>
      </c>
      <c r="N6391" s="9">
        <v>6.5539999999999999E-5</v>
      </c>
      <c r="O6391" s="9">
        <v>1.346E-5</v>
      </c>
      <c r="P6391" s="9">
        <v>3.7740000000000001E-5</v>
      </c>
      <c r="Q6391" s="9">
        <v>6.1519999999999994E-5</v>
      </c>
      <c r="R6391" s="10">
        <v>1.4840968772601804E-4</v>
      </c>
      <c r="S6391" s="10">
        <v>1.1916071048728941E-4</v>
      </c>
      <c r="T6391" s="10">
        <v>0</v>
      </c>
      <c r="U6391" s="10">
        <v>7.0119999999999999E-5</v>
      </c>
      <c r="V6391" s="25"/>
      <c r="W6391" s="25"/>
      <c r="X6391" s="25"/>
      <c r="Y6391" s="25"/>
      <c r="Z6391" s="25"/>
      <c r="AA6391" s="25"/>
    </row>
    <row r="6392" spans="1:27" x14ac:dyDescent="0.35">
      <c r="A6392" s="5">
        <v>6388</v>
      </c>
      <c r="B6392" s="5">
        <v>267</v>
      </c>
      <c r="C6392" s="5">
        <v>9</v>
      </c>
      <c r="D6392" s="25">
        <v>1.1415000000000001E-4</v>
      </c>
      <c r="E6392" s="25">
        <v>1.0779E-4</v>
      </c>
      <c r="F6392" s="25">
        <v>1.1551E-4</v>
      </c>
      <c r="G6392" s="25">
        <v>6.2069999999999994E-5</v>
      </c>
      <c r="H6392" s="25">
        <v>6.2860000000000005E-5</v>
      </c>
      <c r="I6392" s="9">
        <v>9.3560000000000005E-5</v>
      </c>
      <c r="J6392" s="9">
        <v>9.1490000000000007E-5</v>
      </c>
      <c r="K6392" s="9">
        <v>5.9339999999999998E-5</v>
      </c>
      <c r="L6392" s="9">
        <v>1.7649999999999999E-5</v>
      </c>
      <c r="M6392" s="9">
        <v>4.4929999999999998E-5</v>
      </c>
      <c r="N6392" s="9">
        <v>6.19E-5</v>
      </c>
      <c r="O6392" s="9">
        <v>1.343E-5</v>
      </c>
      <c r="P6392" s="9">
        <v>4.706E-5</v>
      </c>
      <c r="Q6392" s="9">
        <v>8.0039999999999999E-5</v>
      </c>
      <c r="R6392" s="10">
        <v>1.5793261242906415E-4</v>
      </c>
      <c r="S6392" s="10">
        <v>1.3593769442582168E-4</v>
      </c>
      <c r="T6392" s="10">
        <v>0</v>
      </c>
      <c r="U6392" s="10">
        <v>7.0119999999999999E-5</v>
      </c>
      <c r="V6392" s="25"/>
      <c r="W6392" s="25"/>
      <c r="X6392" s="25"/>
      <c r="Y6392" s="25"/>
      <c r="Z6392" s="25"/>
      <c r="AA6392" s="25"/>
    </row>
    <row r="6393" spans="1:27" x14ac:dyDescent="0.35">
      <c r="A6393" s="5">
        <v>6389</v>
      </c>
      <c r="B6393" s="5">
        <v>267</v>
      </c>
      <c r="C6393" s="5">
        <v>9</v>
      </c>
      <c r="D6393" s="25">
        <v>1.1416E-4</v>
      </c>
      <c r="E6393" s="25">
        <v>1.1815999999999999E-4</v>
      </c>
      <c r="F6393" s="25">
        <v>1.1737E-4</v>
      </c>
      <c r="G6393" s="25">
        <v>6.1699999999999995E-5</v>
      </c>
      <c r="H6393" s="25">
        <v>7.5190000000000003E-5</v>
      </c>
      <c r="I6393" s="9">
        <v>9.8159999999999995E-5</v>
      </c>
      <c r="J6393" s="9">
        <v>9.4489999999999998E-5</v>
      </c>
      <c r="K6393" s="9">
        <v>6.3579999999999998E-5</v>
      </c>
      <c r="L6393" s="9">
        <v>1.454E-5</v>
      </c>
      <c r="M6393" s="9">
        <v>4.3689999999999997E-5</v>
      </c>
      <c r="N6393" s="9">
        <v>6.436E-5</v>
      </c>
      <c r="O6393" s="9">
        <v>1.8940000000000002E-5</v>
      </c>
      <c r="P6393" s="9">
        <v>5.664E-5</v>
      </c>
      <c r="Q6393" s="9">
        <v>9.365E-5</v>
      </c>
      <c r="R6393" s="10">
        <v>1.624038443941681E-4</v>
      </c>
      <c r="S6393" s="10">
        <v>1.6009898104644965E-4</v>
      </c>
      <c r="T6393" s="10">
        <v>0</v>
      </c>
      <c r="U6393" s="10">
        <v>7.0119999999999999E-5</v>
      </c>
      <c r="V6393" s="25"/>
      <c r="W6393" s="25"/>
      <c r="X6393" s="25"/>
      <c r="Y6393" s="25"/>
      <c r="Z6393" s="25"/>
      <c r="AA6393" s="25"/>
    </row>
    <row r="6394" spans="1:27" x14ac:dyDescent="0.35">
      <c r="A6394" s="5">
        <v>6390</v>
      </c>
      <c r="B6394" s="5">
        <v>267</v>
      </c>
      <c r="C6394" s="5">
        <v>9</v>
      </c>
      <c r="D6394" s="25">
        <v>1.1415000000000001E-4</v>
      </c>
      <c r="E6394" s="25">
        <v>1.1872E-4</v>
      </c>
      <c r="F6394" s="25">
        <v>9.8529999999999993E-5</v>
      </c>
      <c r="G6394" s="25">
        <v>1.1461E-4</v>
      </c>
      <c r="H6394" s="25">
        <v>1.3315000000000001E-4</v>
      </c>
      <c r="I6394" s="9">
        <v>1.1032E-4</v>
      </c>
      <c r="J6394" s="9">
        <v>1.0453E-4</v>
      </c>
      <c r="K6394" s="9">
        <v>9.7490000000000003E-5</v>
      </c>
      <c r="L6394" s="9">
        <v>1.7839999999999999E-5</v>
      </c>
      <c r="M6394" s="9">
        <v>4.8409999999999999E-5</v>
      </c>
      <c r="N6394" s="9">
        <v>7.0920000000000005E-5</v>
      </c>
      <c r="O6394" s="9">
        <v>4.651E-5</v>
      </c>
      <c r="P6394" s="9">
        <v>7.7180000000000003E-5</v>
      </c>
      <c r="Q6394" s="9">
        <v>1.0747999999999999E-4</v>
      </c>
      <c r="R6394" s="10">
        <v>1.7266602510211852E-4</v>
      </c>
      <c r="S6394" s="10">
        <v>1.7251032929185297E-4</v>
      </c>
      <c r="T6394" s="10">
        <v>0</v>
      </c>
      <c r="U6394" s="10">
        <v>7.0119999999999999E-5</v>
      </c>
      <c r="V6394" s="25"/>
      <c r="W6394" s="25"/>
      <c r="X6394" s="25"/>
      <c r="Y6394" s="25"/>
      <c r="Z6394" s="25"/>
      <c r="AA6394" s="25"/>
    </row>
    <row r="6395" spans="1:27" x14ac:dyDescent="0.35">
      <c r="A6395" s="5">
        <v>6391</v>
      </c>
      <c r="B6395" s="5">
        <v>267</v>
      </c>
      <c r="C6395" s="5">
        <v>9</v>
      </c>
      <c r="D6395" s="25">
        <v>1.1416E-4</v>
      </c>
      <c r="E6395" s="25">
        <v>1.137E-4</v>
      </c>
      <c r="F6395" s="25">
        <v>1.1022999999999999E-4</v>
      </c>
      <c r="G6395" s="25">
        <v>1.0642E-4</v>
      </c>
      <c r="H6395" s="25">
        <v>1.2956999999999999E-4</v>
      </c>
      <c r="I6395" s="9">
        <v>1.2082999999999999E-4</v>
      </c>
      <c r="J6395" s="9">
        <v>1.1898E-4</v>
      </c>
      <c r="K6395" s="9">
        <v>1.272E-5</v>
      </c>
      <c r="L6395" s="9">
        <v>4.0059999999999999E-5</v>
      </c>
      <c r="M6395" s="9">
        <v>6.0109999999999999E-5</v>
      </c>
      <c r="N6395" s="9">
        <v>8.0729999999999994E-5</v>
      </c>
      <c r="O6395" s="9">
        <v>1.2395E-4</v>
      </c>
      <c r="P6395" s="9">
        <v>1.1827E-4</v>
      </c>
      <c r="Q6395" s="9">
        <v>1.133E-4</v>
      </c>
      <c r="R6395" s="10">
        <v>1.8493852316891273E-4</v>
      </c>
      <c r="S6395" s="10">
        <v>1.8385470436089736E-4</v>
      </c>
      <c r="T6395" s="10">
        <v>2.3756038180399049E-5</v>
      </c>
      <c r="U6395" s="10">
        <v>7.0119999999999999E-5</v>
      </c>
      <c r="V6395" s="25"/>
      <c r="W6395" s="25"/>
      <c r="X6395" s="25"/>
      <c r="Y6395" s="25"/>
      <c r="Z6395" s="25"/>
      <c r="AA6395" s="25"/>
    </row>
    <row r="6396" spans="1:27" x14ac:dyDescent="0.35">
      <c r="A6396" s="5">
        <v>6392</v>
      </c>
      <c r="B6396" s="5">
        <v>267</v>
      </c>
      <c r="C6396" s="5">
        <v>9</v>
      </c>
      <c r="D6396" s="25">
        <v>1.1415000000000001E-4</v>
      </c>
      <c r="E6396" s="25">
        <v>1.1681E-4</v>
      </c>
      <c r="F6396" s="25">
        <v>1.1322E-4</v>
      </c>
      <c r="G6396" s="25">
        <v>1.6619000000000001E-4</v>
      </c>
      <c r="H6396" s="25">
        <v>1.9369E-4</v>
      </c>
      <c r="I6396" s="9">
        <v>1.2426000000000001E-4</v>
      </c>
      <c r="J6396" s="9">
        <v>1.2773999999999999E-4</v>
      </c>
      <c r="K6396" s="9">
        <v>0</v>
      </c>
      <c r="L6396" s="9">
        <v>1.0487E-4</v>
      </c>
      <c r="M6396" s="9">
        <v>8.4079999999999995E-5</v>
      </c>
      <c r="N6396" s="9">
        <v>9.1039999999999996E-5</v>
      </c>
      <c r="O6396" s="9">
        <v>2.2048E-4</v>
      </c>
      <c r="P6396" s="9">
        <v>1.7804999999999999E-4</v>
      </c>
      <c r="Q6396" s="9">
        <v>1.3755000000000001E-4</v>
      </c>
      <c r="R6396" s="10">
        <v>1.9623074854760916E-4</v>
      </c>
      <c r="S6396" s="10">
        <v>1.8485329719293759E-4</v>
      </c>
      <c r="T6396" s="10">
        <v>7.4661834281254143E-5</v>
      </c>
      <c r="U6396" s="10">
        <v>7.0119999999999999E-5</v>
      </c>
      <c r="V6396" s="25"/>
      <c r="W6396" s="25"/>
      <c r="X6396" s="25"/>
      <c r="Y6396" s="25"/>
      <c r="Z6396" s="25"/>
      <c r="AA6396" s="25"/>
    </row>
    <row r="6397" spans="1:27" x14ac:dyDescent="0.35">
      <c r="A6397" s="5">
        <v>6393</v>
      </c>
      <c r="B6397" s="5">
        <v>267</v>
      </c>
      <c r="C6397" s="5">
        <v>9</v>
      </c>
      <c r="D6397" s="25">
        <v>1.1416E-4</v>
      </c>
      <c r="E6397" s="25">
        <v>1.1022999999999999E-4</v>
      </c>
      <c r="F6397" s="25">
        <v>1.0323999999999999E-4</v>
      </c>
      <c r="G6397" s="25">
        <v>1.5642999999999999E-4</v>
      </c>
      <c r="H6397" s="25">
        <v>1.9293000000000001E-4</v>
      </c>
      <c r="I6397" s="9">
        <v>1.2668999999999999E-4</v>
      </c>
      <c r="J6397" s="9">
        <v>1.3097E-4</v>
      </c>
      <c r="K6397" s="9">
        <v>0</v>
      </c>
      <c r="L6397" s="9">
        <v>1.9327E-4</v>
      </c>
      <c r="M6397" s="9">
        <v>1.2411E-4</v>
      </c>
      <c r="N6397" s="9">
        <v>1.0497000000000001E-4</v>
      </c>
      <c r="O6397" s="9">
        <v>2.0971E-4</v>
      </c>
      <c r="P6397" s="9">
        <v>1.9207999999999999E-4</v>
      </c>
      <c r="Q6397" s="9">
        <v>1.7590999999999999E-4</v>
      </c>
      <c r="R6397" s="10">
        <v>2.0218915342647183E-4</v>
      </c>
      <c r="S6397" s="10">
        <v>1.8591784115177493E-4</v>
      </c>
      <c r="T6397" s="10">
        <v>1.9205908438917616E-4</v>
      </c>
      <c r="U6397" s="10">
        <v>7.0119999999999999E-5</v>
      </c>
      <c r="V6397" s="25"/>
      <c r="W6397" s="25"/>
      <c r="X6397" s="25"/>
      <c r="Y6397" s="25"/>
      <c r="Z6397" s="25"/>
      <c r="AA6397" s="25"/>
    </row>
    <row r="6398" spans="1:27" x14ac:dyDescent="0.35">
      <c r="A6398" s="5">
        <v>6394</v>
      </c>
      <c r="B6398" s="5">
        <v>267</v>
      </c>
      <c r="C6398" s="5">
        <v>9</v>
      </c>
      <c r="D6398" s="25">
        <v>1.1415000000000001E-4</v>
      </c>
      <c r="E6398" s="25">
        <v>1.186E-4</v>
      </c>
      <c r="F6398" s="25">
        <v>1.1186E-4</v>
      </c>
      <c r="G6398" s="25">
        <v>1.6139999999999999E-4</v>
      </c>
      <c r="H6398" s="25">
        <v>1.9312999999999999E-4</v>
      </c>
      <c r="I6398" s="9">
        <v>1.2611E-4</v>
      </c>
      <c r="J6398" s="9">
        <v>1.3002000000000001E-4</v>
      </c>
      <c r="K6398" s="9">
        <v>0</v>
      </c>
      <c r="L6398" s="9">
        <v>2.0377000000000001E-4</v>
      </c>
      <c r="M6398" s="9">
        <v>1.5872E-4</v>
      </c>
      <c r="N6398" s="9">
        <v>1.2475E-4</v>
      </c>
      <c r="O6398" s="9">
        <v>1.6621E-4</v>
      </c>
      <c r="P6398" s="9">
        <v>1.7340000000000001E-4</v>
      </c>
      <c r="Q6398" s="9">
        <v>1.8137000000000001E-4</v>
      </c>
      <c r="R6398" s="10">
        <v>2.0355942689827283E-4</v>
      </c>
      <c r="S6398" s="10">
        <v>1.8193183504833371E-4</v>
      </c>
      <c r="T6398" s="10">
        <v>3.0241436603647986E-4</v>
      </c>
      <c r="U6398" s="10">
        <v>7.0119999999999999E-5</v>
      </c>
      <c r="V6398" s="25"/>
      <c r="W6398" s="25"/>
      <c r="X6398" s="25"/>
      <c r="Y6398" s="25"/>
      <c r="Z6398" s="25"/>
      <c r="AA6398" s="25"/>
    </row>
    <row r="6399" spans="1:27" x14ac:dyDescent="0.35">
      <c r="A6399" s="5">
        <v>6395</v>
      </c>
      <c r="B6399" s="5">
        <v>267</v>
      </c>
      <c r="C6399" s="5">
        <v>9</v>
      </c>
      <c r="D6399" s="25">
        <v>1.1416E-4</v>
      </c>
      <c r="E6399" s="25">
        <v>1.1139E-4</v>
      </c>
      <c r="F6399" s="25">
        <v>1.0689E-4</v>
      </c>
      <c r="G6399" s="25">
        <v>1.5673999999999999E-4</v>
      </c>
      <c r="H6399" s="25">
        <v>1.8723000000000001E-4</v>
      </c>
      <c r="I6399" s="9">
        <v>1.2752999999999999E-4</v>
      </c>
      <c r="J6399" s="9">
        <v>1.2947999999999999E-4</v>
      </c>
      <c r="K6399" s="9">
        <v>0</v>
      </c>
      <c r="L6399" s="9">
        <v>1.7459999999999999E-4</v>
      </c>
      <c r="M6399" s="9">
        <v>1.7197999999999999E-4</v>
      </c>
      <c r="N6399" s="9">
        <v>1.4264E-4</v>
      </c>
      <c r="O6399" s="9">
        <v>1.6810999999999999E-4</v>
      </c>
      <c r="P6399" s="9">
        <v>1.7401999999999999E-4</v>
      </c>
      <c r="Q6399" s="9">
        <v>1.8075E-4</v>
      </c>
      <c r="R6399" s="10">
        <v>2.0680742806277163E-4</v>
      </c>
      <c r="S6399" s="10">
        <v>1.8712527676628132E-4</v>
      </c>
      <c r="T6399" s="10">
        <v>6.3623760826718735E-5</v>
      </c>
      <c r="U6399" s="10">
        <v>7.0119999999999999E-5</v>
      </c>
      <c r="V6399" s="25"/>
      <c r="W6399" s="25"/>
      <c r="X6399" s="25"/>
      <c r="Y6399" s="25"/>
      <c r="Z6399" s="25"/>
      <c r="AA6399" s="25"/>
    </row>
    <row r="6400" spans="1:27" x14ac:dyDescent="0.35">
      <c r="A6400" s="5">
        <v>6396</v>
      </c>
      <c r="B6400" s="5">
        <v>267</v>
      </c>
      <c r="C6400" s="5">
        <v>9</v>
      </c>
      <c r="D6400" s="25">
        <v>1.1415000000000001E-4</v>
      </c>
      <c r="E6400" s="25">
        <v>1.1807E-4</v>
      </c>
      <c r="F6400" s="25">
        <v>1.0354E-4</v>
      </c>
      <c r="G6400" s="25">
        <v>1.6632999999999999E-4</v>
      </c>
      <c r="H6400" s="25">
        <v>1.8877999999999999E-4</v>
      </c>
      <c r="I6400" s="9">
        <v>1.2396E-4</v>
      </c>
      <c r="J6400" s="9">
        <v>1.2767E-4</v>
      </c>
      <c r="K6400" s="9">
        <v>0</v>
      </c>
      <c r="L6400" s="9">
        <v>1.7095000000000001E-4</v>
      </c>
      <c r="M6400" s="9">
        <v>1.7493000000000001E-4</v>
      </c>
      <c r="N6400" s="9">
        <v>1.5694E-4</v>
      </c>
      <c r="O6400" s="9">
        <v>1.6903E-4</v>
      </c>
      <c r="P6400" s="9">
        <v>1.708E-4</v>
      </c>
      <c r="Q6400" s="9">
        <v>1.7346000000000001E-4</v>
      </c>
      <c r="R6400" s="10">
        <v>2.0965370834546135E-4</v>
      </c>
      <c r="S6400" s="10">
        <v>1.8301672530067408E-4</v>
      </c>
      <c r="T6400" s="10">
        <v>6.34964963364666E-5</v>
      </c>
      <c r="U6400" s="10">
        <v>7.0119999999999999E-5</v>
      </c>
      <c r="V6400" s="25"/>
      <c r="W6400" s="25"/>
      <c r="X6400" s="25"/>
      <c r="Y6400" s="25"/>
      <c r="Z6400" s="25"/>
      <c r="AA6400" s="25"/>
    </row>
    <row r="6401" spans="1:27" x14ac:dyDescent="0.35">
      <c r="A6401" s="5">
        <v>6397</v>
      </c>
      <c r="B6401" s="5">
        <v>267</v>
      </c>
      <c r="C6401" s="5">
        <v>9</v>
      </c>
      <c r="D6401" s="25">
        <v>1.1416E-4</v>
      </c>
      <c r="E6401" s="25">
        <v>1.1657E-4</v>
      </c>
      <c r="F6401" s="25">
        <v>1.1427E-4</v>
      </c>
      <c r="G6401" s="25">
        <v>1.6080000000000001E-4</v>
      </c>
      <c r="H6401" s="25">
        <v>1.9950999999999999E-4</v>
      </c>
      <c r="I6401" s="9">
        <v>1.2443E-4</v>
      </c>
      <c r="J6401" s="9">
        <v>1.2693000000000001E-4</v>
      </c>
      <c r="K6401" s="9">
        <v>0</v>
      </c>
      <c r="L6401" s="9">
        <v>1.6956E-4</v>
      </c>
      <c r="M6401" s="9">
        <v>1.7374999999999999E-4</v>
      </c>
      <c r="N6401" s="9">
        <v>1.6619000000000001E-4</v>
      </c>
      <c r="O6401" s="9">
        <v>1.604E-4</v>
      </c>
      <c r="P6401" s="9">
        <v>1.6296E-4</v>
      </c>
      <c r="Q6401" s="9">
        <v>1.6634000000000001E-4</v>
      </c>
      <c r="R6401" s="10">
        <v>2.1177819865962982E-4</v>
      </c>
      <c r="S6401" s="10">
        <v>1.565122194719496E-4</v>
      </c>
      <c r="T6401" s="10">
        <v>6.4896405729240105E-5</v>
      </c>
      <c r="U6401" s="10">
        <v>7.0119999999999999E-5</v>
      </c>
      <c r="V6401" s="25"/>
      <c r="W6401" s="25"/>
      <c r="X6401" s="25"/>
      <c r="Y6401" s="25"/>
      <c r="Z6401" s="25"/>
      <c r="AA6401" s="25"/>
    </row>
    <row r="6402" spans="1:27" x14ac:dyDescent="0.35">
      <c r="A6402" s="5">
        <v>6398</v>
      </c>
      <c r="B6402" s="5">
        <v>267</v>
      </c>
      <c r="C6402" s="5">
        <v>9</v>
      </c>
      <c r="D6402" s="25">
        <v>1.1415000000000001E-4</v>
      </c>
      <c r="E6402" s="25">
        <v>1.0962E-4</v>
      </c>
      <c r="F6402" s="25">
        <v>1.0432E-4</v>
      </c>
      <c r="G6402" s="25">
        <v>1.5961999999999999E-4</v>
      </c>
      <c r="H6402" s="25">
        <v>1.9044E-4</v>
      </c>
      <c r="I6402" s="9">
        <v>1.2152E-4</v>
      </c>
      <c r="J6402" s="9">
        <v>1.2516E-4</v>
      </c>
      <c r="K6402" s="9">
        <v>0</v>
      </c>
      <c r="L6402" s="9">
        <v>1.6220000000000001E-4</v>
      </c>
      <c r="M6402" s="9">
        <v>1.6950999999999999E-4</v>
      </c>
      <c r="N6402" s="9">
        <v>1.7022000000000001E-4</v>
      </c>
      <c r="O6402" s="9">
        <v>1.7789999999999999E-4</v>
      </c>
      <c r="P6402" s="9">
        <v>1.6876E-4</v>
      </c>
      <c r="Q6402" s="9">
        <v>1.6074000000000001E-4</v>
      </c>
      <c r="R6402" s="10">
        <v>2.1158465428723297E-4</v>
      </c>
      <c r="S6402" s="10">
        <v>1.2432698595120256E-4</v>
      </c>
      <c r="T6402" s="10">
        <v>6.0094292297059452E-5</v>
      </c>
      <c r="U6402" s="10">
        <v>7.0119999999999999E-5</v>
      </c>
      <c r="V6402" s="25"/>
      <c r="W6402" s="25"/>
      <c r="X6402" s="25"/>
      <c r="Y6402" s="25"/>
      <c r="Z6402" s="25"/>
      <c r="AA6402" s="25"/>
    </row>
    <row r="6403" spans="1:27" x14ac:dyDescent="0.35">
      <c r="A6403" s="5">
        <v>6399</v>
      </c>
      <c r="B6403" s="5">
        <v>267</v>
      </c>
      <c r="C6403" s="5">
        <v>9</v>
      </c>
      <c r="D6403" s="25">
        <v>1.1416E-4</v>
      </c>
      <c r="E6403" s="25">
        <v>1.1353000000000001E-4</v>
      </c>
      <c r="F6403" s="25">
        <v>1.1052000000000001E-4</v>
      </c>
      <c r="G6403" s="25">
        <v>1.6441000000000001E-4</v>
      </c>
      <c r="H6403" s="25">
        <v>1.9337E-4</v>
      </c>
      <c r="I6403" s="9">
        <v>1.1817E-4</v>
      </c>
      <c r="J6403" s="9">
        <v>1.2407E-4</v>
      </c>
      <c r="K6403" s="9">
        <v>0</v>
      </c>
      <c r="L6403" s="9">
        <v>1.7463E-4</v>
      </c>
      <c r="M6403" s="9">
        <v>1.6803E-4</v>
      </c>
      <c r="N6403" s="9">
        <v>1.6975000000000001E-4</v>
      </c>
      <c r="O6403" s="9">
        <v>1.8505999999999999E-4</v>
      </c>
      <c r="P6403" s="9">
        <v>1.6893999999999999E-4</v>
      </c>
      <c r="Q6403" s="9">
        <v>1.5410000000000001E-4</v>
      </c>
      <c r="R6403" s="10">
        <v>2.0691229513170698E-4</v>
      </c>
      <c r="S6403" s="10">
        <v>1.240681722551922E-4</v>
      </c>
      <c r="T6403" s="10">
        <v>2.8659963204781425E-5</v>
      </c>
      <c r="U6403" s="10">
        <v>7.0119999999999999E-5</v>
      </c>
      <c r="V6403" s="25"/>
      <c r="W6403" s="25"/>
      <c r="X6403" s="25"/>
      <c r="Y6403" s="25"/>
      <c r="Z6403" s="25"/>
      <c r="AA6403" s="25"/>
    </row>
    <row r="6404" spans="1:27" x14ac:dyDescent="0.35">
      <c r="A6404" s="5">
        <v>6400</v>
      </c>
      <c r="B6404" s="5">
        <v>267</v>
      </c>
      <c r="C6404" s="5">
        <v>9</v>
      </c>
      <c r="D6404" s="25">
        <v>1.1415000000000001E-4</v>
      </c>
      <c r="E6404" s="25">
        <v>1.1362999999999999E-4</v>
      </c>
      <c r="F6404" s="25">
        <v>1.1812E-4</v>
      </c>
      <c r="G6404" s="25">
        <v>1.6674999999999999E-4</v>
      </c>
      <c r="H6404" s="25">
        <v>1.9217999999999999E-4</v>
      </c>
      <c r="I6404" s="9">
        <v>1.1854999999999999E-4</v>
      </c>
      <c r="J6404" s="9">
        <v>1.2428E-4</v>
      </c>
      <c r="K6404" s="9">
        <v>0</v>
      </c>
      <c r="L6404" s="9">
        <v>1.8243E-4</v>
      </c>
      <c r="M6404" s="9">
        <v>1.6809E-4</v>
      </c>
      <c r="N6404" s="9">
        <v>1.6624000000000001E-4</v>
      </c>
      <c r="O6404" s="9">
        <v>1.9748000000000001E-4</v>
      </c>
      <c r="P6404" s="9">
        <v>1.5286999999999999E-4</v>
      </c>
      <c r="Q6404" s="9">
        <v>1.1006E-4</v>
      </c>
      <c r="R6404" s="10">
        <v>1.9557682610035315E-4</v>
      </c>
      <c r="S6404" s="10">
        <v>1.3328484049609111E-4</v>
      </c>
      <c r="T6404" s="10">
        <v>5.6284841888845467E-5</v>
      </c>
      <c r="U6404" s="10">
        <v>7.0119999999999999E-5</v>
      </c>
      <c r="V6404" s="25"/>
      <c r="W6404" s="25"/>
      <c r="X6404" s="25"/>
      <c r="Y6404" s="25"/>
      <c r="Z6404" s="25"/>
      <c r="AA6404" s="25"/>
    </row>
    <row r="6405" spans="1:27" x14ac:dyDescent="0.35">
      <c r="A6405" s="5">
        <v>6401</v>
      </c>
      <c r="B6405" s="5">
        <v>267</v>
      </c>
      <c r="C6405" s="5">
        <v>9</v>
      </c>
      <c r="D6405" s="25">
        <v>1.1416E-4</v>
      </c>
      <c r="E6405" s="25">
        <v>1.0831E-4</v>
      </c>
      <c r="F6405" s="25">
        <v>1.097E-4</v>
      </c>
      <c r="G6405" s="25">
        <v>1.5647E-4</v>
      </c>
      <c r="H6405" s="25">
        <v>1.9646999999999999E-4</v>
      </c>
      <c r="I6405" s="9">
        <v>1.2015000000000001E-4</v>
      </c>
      <c r="J6405" s="9">
        <v>1.2621E-4</v>
      </c>
      <c r="K6405" s="9">
        <v>0</v>
      </c>
      <c r="L6405" s="9">
        <v>1.939E-4</v>
      </c>
      <c r="M6405" s="9">
        <v>1.6275E-4</v>
      </c>
      <c r="N6405" s="9">
        <v>1.5259E-4</v>
      </c>
      <c r="O6405" s="9">
        <v>2.1327999999999999E-4</v>
      </c>
      <c r="P6405" s="9">
        <v>1.5913E-4</v>
      </c>
      <c r="Q6405" s="9">
        <v>1.0704000000000001E-4</v>
      </c>
      <c r="R6405" s="10">
        <v>1.7971784896264302E-4</v>
      </c>
      <c r="S6405" s="10">
        <v>1.3648885811617608E-4</v>
      </c>
      <c r="T6405" s="10">
        <v>3.669459468936638E-5</v>
      </c>
      <c r="U6405" s="10">
        <v>7.0119999999999999E-5</v>
      </c>
      <c r="V6405" s="25"/>
      <c r="W6405" s="25"/>
      <c r="X6405" s="25"/>
      <c r="Y6405" s="25"/>
      <c r="Z6405" s="25"/>
      <c r="AA6405" s="25"/>
    </row>
    <row r="6406" spans="1:27" x14ac:dyDescent="0.35">
      <c r="A6406" s="5">
        <v>6402</v>
      </c>
      <c r="B6406" s="5">
        <v>267</v>
      </c>
      <c r="C6406" s="5">
        <v>9</v>
      </c>
      <c r="D6406" s="25">
        <v>1.1415000000000001E-4</v>
      </c>
      <c r="E6406" s="25">
        <v>1.1071E-4</v>
      </c>
      <c r="F6406" s="25">
        <v>1.0543E-4</v>
      </c>
      <c r="G6406" s="25">
        <v>1.6538999999999999E-4</v>
      </c>
      <c r="H6406" s="25">
        <v>1.9755E-4</v>
      </c>
      <c r="I6406" s="9">
        <v>1.1826E-4</v>
      </c>
      <c r="J6406" s="9">
        <v>1.2374E-4</v>
      </c>
      <c r="K6406" s="9">
        <v>2.756E-5</v>
      </c>
      <c r="L6406" s="9">
        <v>2.0879000000000001E-4</v>
      </c>
      <c r="M6406" s="9">
        <v>1.5993E-4</v>
      </c>
      <c r="N6406" s="9">
        <v>1.3925999999999999E-4</v>
      </c>
      <c r="O6406" s="9">
        <v>2.0408000000000001E-4</v>
      </c>
      <c r="P6406" s="9">
        <v>1.5970000000000001E-4</v>
      </c>
      <c r="Q6406" s="9">
        <v>1.1717E-4</v>
      </c>
      <c r="R6406" s="10">
        <v>1.4782246286047283E-4</v>
      </c>
      <c r="S6406" s="10">
        <v>1.4237890835027808E-4</v>
      </c>
      <c r="T6406" s="10">
        <v>3.3003924472054394E-6</v>
      </c>
      <c r="U6406" s="10">
        <v>7.0119999999999999E-5</v>
      </c>
      <c r="V6406" s="25"/>
      <c r="W6406" s="25"/>
      <c r="X6406" s="25"/>
      <c r="Y6406" s="25"/>
      <c r="Z6406" s="25"/>
      <c r="AA6406" s="25"/>
    </row>
    <row r="6407" spans="1:27" x14ac:dyDescent="0.35">
      <c r="A6407" s="5">
        <v>6403</v>
      </c>
      <c r="B6407" s="5">
        <v>267</v>
      </c>
      <c r="C6407" s="5">
        <v>9</v>
      </c>
      <c r="D6407" s="25">
        <v>1.1416E-4</v>
      </c>
      <c r="E6407" s="25">
        <v>1.1297E-4</v>
      </c>
      <c r="F6407" s="25">
        <v>1.1692999999999999E-4</v>
      </c>
      <c r="G6407" s="25">
        <v>1.1232E-4</v>
      </c>
      <c r="H6407" s="25">
        <v>1.2640000000000001E-4</v>
      </c>
      <c r="I6407" s="9">
        <v>1.1743000000000001E-4</v>
      </c>
      <c r="J6407" s="9">
        <v>1.2365999999999999E-4</v>
      </c>
      <c r="K6407" s="9">
        <v>4.8749999999999999E-5</v>
      </c>
      <c r="L6407" s="9">
        <v>2.0474999999999999E-4</v>
      </c>
      <c r="M6407" s="9">
        <v>1.5925999999999999E-4</v>
      </c>
      <c r="N6407" s="9">
        <v>1.3009999999999999E-4</v>
      </c>
      <c r="O6407" s="9">
        <v>1.6431E-4</v>
      </c>
      <c r="P6407" s="9">
        <v>1.351E-4</v>
      </c>
      <c r="Q6407" s="9">
        <v>1.0723E-4</v>
      </c>
      <c r="R6407" s="10">
        <v>1.105258758213086E-4</v>
      </c>
      <c r="S6407" s="10">
        <v>1.459318587516703E-4</v>
      </c>
      <c r="T6407" s="10">
        <v>0</v>
      </c>
      <c r="U6407" s="10">
        <v>7.0119999999999999E-5</v>
      </c>
      <c r="V6407" s="25"/>
      <c r="W6407" s="25"/>
      <c r="X6407" s="25"/>
      <c r="Y6407" s="25"/>
      <c r="Z6407" s="25"/>
      <c r="AA6407" s="25"/>
    </row>
    <row r="6408" spans="1:27" x14ac:dyDescent="0.35">
      <c r="A6408" s="5">
        <v>6404</v>
      </c>
      <c r="B6408" s="5">
        <v>267</v>
      </c>
      <c r="C6408" s="5">
        <v>9</v>
      </c>
      <c r="D6408" s="25">
        <v>1.1415000000000001E-4</v>
      </c>
      <c r="E6408" s="25">
        <v>1.0955000000000001E-4</v>
      </c>
      <c r="F6408" s="25">
        <v>9.9879999999999999E-5</v>
      </c>
      <c r="G6408" s="25">
        <v>1.0808E-4</v>
      </c>
      <c r="H6408" s="25">
        <v>1.3443999999999999E-4</v>
      </c>
      <c r="I6408" s="9">
        <v>1.1909E-4</v>
      </c>
      <c r="J6408" s="9">
        <v>1.2506E-4</v>
      </c>
      <c r="K6408" s="9">
        <v>6.1459999999999998E-5</v>
      </c>
      <c r="L6408" s="9">
        <v>1.7338999999999999E-4</v>
      </c>
      <c r="M6408" s="9">
        <v>1.5056E-4</v>
      </c>
      <c r="N6408" s="9">
        <v>1.21E-4</v>
      </c>
      <c r="O6408" s="9">
        <v>1.2815E-4</v>
      </c>
      <c r="P6408" s="9">
        <v>1.1438E-4</v>
      </c>
      <c r="Q6408" s="9">
        <v>1.0145999999999999E-4</v>
      </c>
      <c r="R6408" s="10">
        <v>9.1650005754387396E-5</v>
      </c>
      <c r="S6408" s="10">
        <v>1.4738087295382182E-4</v>
      </c>
      <c r="T6408" s="10">
        <v>0</v>
      </c>
      <c r="U6408" s="10">
        <v>7.0119999999999999E-5</v>
      </c>
      <c r="V6408" s="25"/>
      <c r="W6408" s="25"/>
      <c r="X6408" s="25"/>
      <c r="Y6408" s="25"/>
      <c r="Z6408" s="25"/>
      <c r="AA6408" s="25"/>
    </row>
    <row r="6409" spans="1:27" x14ac:dyDescent="0.35">
      <c r="A6409" s="5">
        <v>6405</v>
      </c>
      <c r="B6409" s="5">
        <v>267</v>
      </c>
      <c r="C6409" s="5">
        <v>9</v>
      </c>
      <c r="D6409" s="25">
        <v>1.1416E-4</v>
      </c>
      <c r="E6409" s="25">
        <v>1.1344E-4</v>
      </c>
      <c r="F6409" s="25">
        <v>9.9759999999999994E-5</v>
      </c>
      <c r="G6409" s="25">
        <v>6.0560000000000003E-5</v>
      </c>
      <c r="H6409" s="25">
        <v>6.7849999999999996E-5</v>
      </c>
      <c r="I6409" s="9">
        <v>1.1201000000000001E-4</v>
      </c>
      <c r="J6409" s="9">
        <v>1.1827E-4</v>
      </c>
      <c r="K6409" s="9">
        <v>4.0269999999999999E-5</v>
      </c>
      <c r="L6409" s="9">
        <v>1.3907000000000001E-4</v>
      </c>
      <c r="M6409" s="9">
        <v>1.3511E-4</v>
      </c>
      <c r="N6409" s="9">
        <v>1.1317E-4</v>
      </c>
      <c r="O6409" s="9">
        <v>8.3930000000000004E-5</v>
      </c>
      <c r="P6409" s="9">
        <v>8.5589999999999999E-5</v>
      </c>
      <c r="Q6409" s="9">
        <v>8.7570000000000004E-5</v>
      </c>
      <c r="R6409" s="10">
        <v>8.9493654449385179E-5</v>
      </c>
      <c r="S6409" s="10">
        <v>1.4213435576411931E-4</v>
      </c>
      <c r="T6409" s="10">
        <v>0</v>
      </c>
      <c r="U6409" s="10">
        <v>7.0119999999999999E-5</v>
      </c>
      <c r="V6409" s="25"/>
      <c r="W6409" s="25"/>
      <c r="X6409" s="25"/>
      <c r="Y6409" s="25"/>
      <c r="Z6409" s="25"/>
      <c r="AA6409" s="25"/>
    </row>
    <row r="6410" spans="1:27" x14ac:dyDescent="0.35">
      <c r="A6410" s="5">
        <v>6406</v>
      </c>
      <c r="B6410" s="5">
        <v>267</v>
      </c>
      <c r="C6410" s="5">
        <v>9</v>
      </c>
      <c r="D6410" s="25">
        <v>1.1415000000000001E-4</v>
      </c>
      <c r="E6410" s="25">
        <v>1.1383999999999999E-4</v>
      </c>
      <c r="F6410" s="25">
        <v>9.8469999999999997E-5</v>
      </c>
      <c r="G6410" s="25">
        <v>5.206E-5</v>
      </c>
      <c r="H6410" s="25">
        <v>7.5090000000000001E-5</v>
      </c>
      <c r="I6410" s="9">
        <v>1.0891E-4</v>
      </c>
      <c r="J6410" s="9">
        <v>1.1055E-4</v>
      </c>
      <c r="K6410" s="9">
        <v>3.1789999999999999E-5</v>
      </c>
      <c r="L6410" s="9">
        <v>9.6990000000000005E-5</v>
      </c>
      <c r="M6410" s="9">
        <v>1.1331E-4</v>
      </c>
      <c r="N6410" s="9">
        <v>1.0537E-4</v>
      </c>
      <c r="O6410" s="9">
        <v>8.8049999999999999E-5</v>
      </c>
      <c r="P6410" s="9">
        <v>8.8339999999999998E-5</v>
      </c>
      <c r="Q6410" s="9">
        <v>8.899E-5</v>
      </c>
      <c r="R6410" s="10">
        <v>9.3470855903968886E-5</v>
      </c>
      <c r="S6410" s="10">
        <v>1.3698597698544033E-4</v>
      </c>
      <c r="T6410" s="10">
        <v>0</v>
      </c>
      <c r="U6410" s="10">
        <v>7.0119999999999999E-5</v>
      </c>
      <c r="V6410" s="25"/>
      <c r="W6410" s="25"/>
      <c r="X6410" s="25"/>
      <c r="Y6410" s="25"/>
      <c r="Z6410" s="25"/>
      <c r="AA6410" s="25"/>
    </row>
    <row r="6411" spans="1:27" x14ac:dyDescent="0.35">
      <c r="A6411" s="5">
        <v>6407</v>
      </c>
      <c r="B6411" s="5">
        <v>267</v>
      </c>
      <c r="C6411" s="5">
        <v>9</v>
      </c>
      <c r="D6411" s="25">
        <v>1.1416E-4</v>
      </c>
      <c r="E6411" s="25">
        <v>1.1108E-4</v>
      </c>
      <c r="F6411" s="25">
        <v>1.1099000000000001E-4</v>
      </c>
      <c r="G6411" s="25">
        <v>5.4580000000000003E-5</v>
      </c>
      <c r="H6411" s="25">
        <v>6.5710000000000006E-5</v>
      </c>
      <c r="I6411" s="9">
        <v>1.0352E-4</v>
      </c>
      <c r="J6411" s="9">
        <v>1.0423E-4</v>
      </c>
      <c r="K6411" s="9">
        <v>2.3309999999999999E-5</v>
      </c>
      <c r="L6411" s="9">
        <v>9.0959999999999996E-5</v>
      </c>
      <c r="M6411" s="9">
        <v>9.8969999999999996E-5</v>
      </c>
      <c r="N6411" s="9">
        <v>9.9729999999999996E-5</v>
      </c>
      <c r="O6411" s="9">
        <v>7.8170000000000005E-5</v>
      </c>
      <c r="P6411" s="9">
        <v>7.25E-5</v>
      </c>
      <c r="Q6411" s="9">
        <v>6.7219999999999997E-5</v>
      </c>
      <c r="R6411" s="10">
        <v>9.7417785664237816E-5</v>
      </c>
      <c r="S6411" s="10">
        <v>1.3251206587099816E-4</v>
      </c>
      <c r="T6411" s="10">
        <v>0</v>
      </c>
      <c r="U6411" s="10">
        <v>7.0119999999999999E-5</v>
      </c>
      <c r="V6411" s="25"/>
      <c r="W6411" s="25"/>
      <c r="X6411" s="25"/>
      <c r="Y6411" s="25"/>
      <c r="Z6411" s="25"/>
      <c r="AA6411" s="25"/>
    </row>
    <row r="6412" spans="1:27" x14ac:dyDescent="0.35">
      <c r="A6412" s="5">
        <v>6408</v>
      </c>
      <c r="B6412" s="5">
        <v>267</v>
      </c>
      <c r="C6412" s="5">
        <v>9</v>
      </c>
      <c r="D6412" s="25">
        <v>1.1415000000000001E-4</v>
      </c>
      <c r="E6412" s="25">
        <v>1.0955000000000001E-4</v>
      </c>
      <c r="F6412" s="25">
        <v>1.0024E-4</v>
      </c>
      <c r="G6412" s="25">
        <v>5.8050000000000002E-5</v>
      </c>
      <c r="H6412" s="25">
        <v>6.7890000000000002E-5</v>
      </c>
      <c r="I6412" s="9">
        <v>9.7040000000000006E-5</v>
      </c>
      <c r="J6412" s="9">
        <v>9.7150000000000003E-5</v>
      </c>
      <c r="K6412" s="9">
        <v>1.272E-5</v>
      </c>
      <c r="L6412" s="9">
        <v>8.0939999999999994E-5</v>
      </c>
      <c r="M6412" s="9">
        <v>8.6310000000000005E-5</v>
      </c>
      <c r="N6412" s="9">
        <v>9.056E-5</v>
      </c>
      <c r="O6412" s="9">
        <v>6.2600000000000004E-5</v>
      </c>
      <c r="P6412" s="9">
        <v>6.0550000000000001E-5</v>
      </c>
      <c r="Q6412" s="9">
        <v>5.8739999999999997E-5</v>
      </c>
      <c r="R6412" s="10">
        <v>1.1521869833400577E-4</v>
      </c>
      <c r="S6412" s="10">
        <v>1.3857051708360011E-4</v>
      </c>
      <c r="T6412" s="10">
        <v>0</v>
      </c>
      <c r="U6412" s="10">
        <v>7.0119999999999999E-5</v>
      </c>
      <c r="V6412" s="25"/>
      <c r="W6412" s="25"/>
      <c r="X6412" s="25"/>
      <c r="Y6412" s="25"/>
      <c r="Z6412" s="25"/>
      <c r="AA6412" s="25"/>
    </row>
    <row r="6413" spans="1:27" x14ac:dyDescent="0.35">
      <c r="A6413" s="5">
        <v>6409</v>
      </c>
      <c r="B6413" s="5">
        <v>268</v>
      </c>
      <c r="C6413" s="5">
        <v>9</v>
      </c>
      <c r="D6413" s="25">
        <v>1.1416E-4</v>
      </c>
      <c r="E6413" s="25">
        <v>1.1734E-4</v>
      </c>
      <c r="F6413" s="25">
        <v>1.0993E-4</v>
      </c>
      <c r="G6413" s="25">
        <v>5.842E-5</v>
      </c>
      <c r="H6413" s="25">
        <v>6.4140000000000006E-5</v>
      </c>
      <c r="I6413" s="9">
        <v>9.2639999999999994E-5</v>
      </c>
      <c r="J6413" s="9">
        <v>9.1910000000000006E-5</v>
      </c>
      <c r="K6413" s="9">
        <v>3.392E-5</v>
      </c>
      <c r="L6413" s="9">
        <v>6.6630000000000004E-5</v>
      </c>
      <c r="M6413" s="9">
        <v>7.4140000000000005E-5</v>
      </c>
      <c r="N6413" s="9">
        <v>8.1149999999999994E-5</v>
      </c>
      <c r="O6413" s="9">
        <v>5.5090000000000003E-5</v>
      </c>
      <c r="P6413" s="9">
        <v>5.4500000000000003E-5</v>
      </c>
      <c r="Q6413" s="9">
        <v>5.4070000000000002E-5</v>
      </c>
      <c r="R6413" s="10">
        <v>1.0680077573863469E-4</v>
      </c>
      <c r="S6413" s="10">
        <v>1.3658414736452215E-4</v>
      </c>
      <c r="T6413" s="10">
        <v>0</v>
      </c>
      <c r="U6413" s="10">
        <v>6.9430000000000004E-5</v>
      </c>
      <c r="V6413" s="25"/>
      <c r="W6413" s="25"/>
      <c r="X6413" s="25"/>
      <c r="Y6413" s="25"/>
      <c r="Z6413" s="25"/>
      <c r="AA6413" s="25"/>
    </row>
    <row r="6414" spans="1:27" x14ac:dyDescent="0.35">
      <c r="A6414" s="5">
        <v>6410</v>
      </c>
      <c r="B6414" s="5">
        <v>268</v>
      </c>
      <c r="C6414" s="5">
        <v>9</v>
      </c>
      <c r="D6414" s="25">
        <v>1.1415000000000001E-4</v>
      </c>
      <c r="E6414" s="25">
        <v>1.1835E-4</v>
      </c>
      <c r="F6414" s="25">
        <v>1.111E-4</v>
      </c>
      <c r="G6414" s="25">
        <v>6.0130000000000002E-5</v>
      </c>
      <c r="H6414" s="25">
        <v>7.5549999999999993E-5</v>
      </c>
      <c r="I6414" s="9">
        <v>8.8510000000000005E-5</v>
      </c>
      <c r="J6414" s="9">
        <v>8.8819999999999993E-5</v>
      </c>
      <c r="K6414" s="9">
        <v>3.8149999999999999E-5</v>
      </c>
      <c r="L6414" s="9">
        <v>5.8029999999999998E-5</v>
      </c>
      <c r="M6414" s="9">
        <v>6.4150000000000001E-5</v>
      </c>
      <c r="N6414" s="9">
        <v>7.2230000000000005E-5</v>
      </c>
      <c r="O6414" s="9">
        <v>1.878E-5</v>
      </c>
      <c r="P6414" s="9">
        <v>3.7429999999999999E-5</v>
      </c>
      <c r="Q6414" s="9">
        <v>5.5699999999999999E-5</v>
      </c>
      <c r="R6414" s="10">
        <v>1.1575693118200118E-4</v>
      </c>
      <c r="S6414" s="10">
        <v>1.4196506879886876E-4</v>
      </c>
      <c r="T6414" s="10">
        <v>0</v>
      </c>
      <c r="U6414" s="10">
        <v>6.9430000000000004E-5</v>
      </c>
      <c r="V6414" s="25"/>
      <c r="W6414" s="25"/>
      <c r="X6414" s="25"/>
      <c r="Y6414" s="25"/>
      <c r="Z6414" s="25"/>
      <c r="AA6414" s="25"/>
    </row>
    <row r="6415" spans="1:27" x14ac:dyDescent="0.35">
      <c r="A6415" s="5">
        <v>6411</v>
      </c>
      <c r="B6415" s="5">
        <v>268</v>
      </c>
      <c r="C6415" s="5">
        <v>9</v>
      </c>
      <c r="D6415" s="25">
        <v>1.1416E-4</v>
      </c>
      <c r="E6415" s="25">
        <v>1.208E-4</v>
      </c>
      <c r="F6415" s="25">
        <v>1.1412E-4</v>
      </c>
      <c r="G6415" s="25">
        <v>5.8E-5</v>
      </c>
      <c r="H6415" s="25">
        <v>7.0339999999999994E-5</v>
      </c>
      <c r="I6415" s="9">
        <v>8.7059999999999997E-5</v>
      </c>
      <c r="J6415" s="9">
        <v>8.7600000000000002E-5</v>
      </c>
      <c r="K6415" s="9">
        <v>3.1789999999999999E-5</v>
      </c>
      <c r="L6415" s="9">
        <v>2.76E-5</v>
      </c>
      <c r="M6415" s="9">
        <v>5.2269999999999999E-5</v>
      </c>
      <c r="N6415" s="9">
        <v>6.5580000000000006E-5</v>
      </c>
      <c r="O6415" s="9">
        <v>1.3380000000000001E-5</v>
      </c>
      <c r="P6415" s="9">
        <v>3.7499999999999997E-5</v>
      </c>
      <c r="Q6415" s="9">
        <v>6.1130000000000006E-5</v>
      </c>
      <c r="R6415" s="10">
        <v>1.1211298775388583E-4</v>
      </c>
      <c r="S6415" s="10">
        <v>1.4199593464728127E-4</v>
      </c>
      <c r="T6415" s="10">
        <v>0</v>
      </c>
      <c r="U6415" s="10">
        <v>6.9430000000000004E-5</v>
      </c>
      <c r="V6415" s="25"/>
      <c r="W6415" s="25"/>
      <c r="X6415" s="25"/>
      <c r="Y6415" s="25"/>
      <c r="Z6415" s="25"/>
      <c r="AA6415" s="25"/>
    </row>
    <row r="6416" spans="1:27" x14ac:dyDescent="0.35">
      <c r="A6416" s="5">
        <v>6412</v>
      </c>
      <c r="B6416" s="5">
        <v>268</v>
      </c>
      <c r="C6416" s="5">
        <v>9</v>
      </c>
      <c r="D6416" s="25">
        <v>1.1415000000000001E-4</v>
      </c>
      <c r="E6416" s="25">
        <v>1.1679E-4</v>
      </c>
      <c r="F6416" s="25">
        <v>1.1094000000000001E-4</v>
      </c>
      <c r="G6416" s="25">
        <v>5.7639999999999997E-5</v>
      </c>
      <c r="H6416" s="25">
        <v>7.182E-5</v>
      </c>
      <c r="I6416" s="9">
        <v>8.6009999999999998E-5</v>
      </c>
      <c r="J6416" s="9">
        <v>8.7250000000000007E-5</v>
      </c>
      <c r="K6416" s="9">
        <v>3.3909999999999999E-5</v>
      </c>
      <c r="L6416" s="9">
        <v>1.7260000000000001E-5</v>
      </c>
      <c r="M6416" s="9">
        <v>4.4110000000000003E-5</v>
      </c>
      <c r="N6416" s="9">
        <v>6.1870000000000002E-5</v>
      </c>
      <c r="O6416" s="9">
        <v>1.345E-5</v>
      </c>
      <c r="P6416" s="9">
        <v>4.7129999999999998E-5</v>
      </c>
      <c r="Q6416" s="9">
        <v>8.0160000000000005E-5</v>
      </c>
      <c r="R6416" s="10">
        <v>9.9942244136182881E-5</v>
      </c>
      <c r="S6416" s="10">
        <v>1.3851919424891657E-4</v>
      </c>
      <c r="T6416" s="10">
        <v>0</v>
      </c>
      <c r="U6416" s="10">
        <v>6.9430000000000004E-5</v>
      </c>
      <c r="V6416" s="25"/>
      <c r="W6416" s="25"/>
      <c r="X6416" s="25"/>
      <c r="Y6416" s="25"/>
      <c r="Z6416" s="25"/>
      <c r="AA6416" s="25"/>
    </row>
    <row r="6417" spans="1:27" x14ac:dyDescent="0.35">
      <c r="A6417" s="5">
        <v>6413</v>
      </c>
      <c r="B6417" s="5">
        <v>268</v>
      </c>
      <c r="C6417" s="5">
        <v>9</v>
      </c>
      <c r="D6417" s="25">
        <v>1.1416E-4</v>
      </c>
      <c r="E6417" s="25">
        <v>1.2255999999999999E-4</v>
      </c>
      <c r="F6417" s="25">
        <v>1.1238E-4</v>
      </c>
      <c r="G6417" s="25">
        <v>5.8940000000000002E-5</v>
      </c>
      <c r="H6417" s="25">
        <v>7.6489999999999994E-5</v>
      </c>
      <c r="I6417" s="9">
        <v>8.7020000000000004E-5</v>
      </c>
      <c r="J6417" s="9">
        <v>8.7670000000000006E-5</v>
      </c>
      <c r="K6417" s="9">
        <v>3.3909999999999999E-5</v>
      </c>
      <c r="L6417" s="9">
        <v>1.454E-5</v>
      </c>
      <c r="M6417" s="9">
        <v>4.3359999999999998E-5</v>
      </c>
      <c r="N6417" s="9">
        <v>6.4330000000000002E-5</v>
      </c>
      <c r="O6417" s="9">
        <v>1.8989999999999999E-5</v>
      </c>
      <c r="P6417" s="9">
        <v>5.6780000000000002E-5</v>
      </c>
      <c r="Q6417" s="9">
        <v>9.3889999999999997E-5</v>
      </c>
      <c r="R6417" s="10">
        <v>8.1898914674759173E-5</v>
      </c>
      <c r="S6417" s="10">
        <v>1.3153569656291508E-4</v>
      </c>
      <c r="T6417" s="10">
        <v>0</v>
      </c>
      <c r="U6417" s="10">
        <v>6.9430000000000004E-5</v>
      </c>
      <c r="V6417" s="25"/>
      <c r="W6417" s="25"/>
      <c r="X6417" s="25"/>
      <c r="Y6417" s="25"/>
      <c r="Z6417" s="25"/>
      <c r="AA6417" s="25"/>
    </row>
    <row r="6418" spans="1:27" x14ac:dyDescent="0.35">
      <c r="A6418" s="5">
        <v>6414</v>
      </c>
      <c r="B6418" s="5">
        <v>268</v>
      </c>
      <c r="C6418" s="5">
        <v>9</v>
      </c>
      <c r="D6418" s="25">
        <v>1.1415000000000001E-4</v>
      </c>
      <c r="E6418" s="25">
        <v>1.1806E-4</v>
      </c>
      <c r="F6418" s="25">
        <v>1.0281E-4</v>
      </c>
      <c r="G6418" s="25">
        <v>1.065E-4</v>
      </c>
      <c r="H6418" s="25">
        <v>1.2873999999999999E-4</v>
      </c>
      <c r="I6418" s="9">
        <v>9.1390000000000004E-5</v>
      </c>
      <c r="J6418" s="9">
        <v>9.1279999999999993E-5</v>
      </c>
      <c r="K6418" s="9">
        <v>2.332E-5</v>
      </c>
      <c r="L6418" s="9">
        <v>1.787E-5</v>
      </c>
      <c r="M6418" s="9">
        <v>4.8350000000000003E-5</v>
      </c>
      <c r="N6418" s="9">
        <v>7.0939999999999995E-5</v>
      </c>
      <c r="O6418" s="9">
        <v>4.6780000000000003E-5</v>
      </c>
      <c r="P6418" s="9">
        <v>7.7650000000000004E-5</v>
      </c>
      <c r="Q6418" s="9">
        <v>1.0812E-4</v>
      </c>
      <c r="R6418" s="10">
        <v>7.0300097228483444E-5</v>
      </c>
      <c r="S6418" s="10">
        <v>1.2281505981432206E-4</v>
      </c>
      <c r="T6418" s="10">
        <v>0</v>
      </c>
      <c r="U6418" s="10">
        <v>6.9430000000000004E-5</v>
      </c>
      <c r="V6418" s="25"/>
      <c r="W6418" s="25"/>
      <c r="X6418" s="25"/>
      <c r="Y6418" s="25"/>
      <c r="Z6418" s="25"/>
      <c r="AA6418" s="25"/>
    </row>
    <row r="6419" spans="1:27" x14ac:dyDescent="0.35">
      <c r="A6419" s="5">
        <v>6415</v>
      </c>
      <c r="B6419" s="5">
        <v>268</v>
      </c>
      <c r="C6419" s="5">
        <v>9</v>
      </c>
      <c r="D6419" s="25">
        <v>1.1416E-4</v>
      </c>
      <c r="E6419" s="25">
        <v>1.2355999999999999E-4</v>
      </c>
      <c r="F6419" s="25">
        <v>1.1462E-4</v>
      </c>
      <c r="G6419" s="25">
        <v>1.1477E-4</v>
      </c>
      <c r="H6419" s="25">
        <v>1.2805E-4</v>
      </c>
      <c r="I6419" s="9">
        <v>9.5429999999999999E-5</v>
      </c>
      <c r="J6419" s="9">
        <v>9.7200000000000004E-5</v>
      </c>
      <c r="K6419" s="9">
        <v>1.696E-5</v>
      </c>
      <c r="L6419" s="9">
        <v>4.0280000000000001E-5</v>
      </c>
      <c r="M6419" s="9">
        <v>6.0309999999999997E-5</v>
      </c>
      <c r="N6419" s="9">
        <v>8.0879999999999998E-5</v>
      </c>
      <c r="O6419" s="9">
        <v>1.2420000000000001E-4</v>
      </c>
      <c r="P6419" s="9">
        <v>1.1851E-4</v>
      </c>
      <c r="Q6419" s="9">
        <v>1.1353000000000001E-4</v>
      </c>
      <c r="R6419" s="10">
        <v>6.3265838146887938E-5</v>
      </c>
      <c r="S6419" s="10">
        <v>1.1217916764069997E-4</v>
      </c>
      <c r="T6419" s="10">
        <v>1.7808544335949141E-5</v>
      </c>
      <c r="U6419" s="10">
        <v>6.9430000000000004E-5</v>
      </c>
      <c r="V6419" s="25"/>
      <c r="W6419" s="25"/>
      <c r="X6419" s="25"/>
      <c r="Y6419" s="25"/>
      <c r="Z6419" s="25"/>
      <c r="AA6419" s="25"/>
    </row>
    <row r="6420" spans="1:27" x14ac:dyDescent="0.35">
      <c r="A6420" s="5">
        <v>6416</v>
      </c>
      <c r="B6420" s="5">
        <v>268</v>
      </c>
      <c r="C6420" s="5">
        <v>9</v>
      </c>
      <c r="D6420" s="25">
        <v>1.1415000000000001E-4</v>
      </c>
      <c r="E6420" s="25">
        <v>1.2473000000000001E-4</v>
      </c>
      <c r="F6420" s="25">
        <v>1.1655E-4</v>
      </c>
      <c r="G6420" s="25">
        <v>1.6668E-4</v>
      </c>
      <c r="H6420" s="25">
        <v>1.9877999999999999E-4</v>
      </c>
      <c r="I6420" s="9">
        <v>1.0067E-4</v>
      </c>
      <c r="J6420" s="9">
        <v>1.0416000000000001E-4</v>
      </c>
      <c r="K6420" s="9">
        <v>0</v>
      </c>
      <c r="L6420" s="9">
        <v>1.0511E-4</v>
      </c>
      <c r="M6420" s="9">
        <v>8.4350000000000004E-5</v>
      </c>
      <c r="N6420" s="9">
        <v>9.1230000000000006E-5</v>
      </c>
      <c r="O6420" s="9">
        <v>2.2002E-4</v>
      </c>
      <c r="P6420" s="9">
        <v>1.7767999999999999E-4</v>
      </c>
      <c r="Q6420" s="9">
        <v>1.3726E-4</v>
      </c>
      <c r="R6420" s="10">
        <v>5.8941697196413866E-5</v>
      </c>
      <c r="S6420" s="10">
        <v>1.0516676436517302E-4</v>
      </c>
      <c r="T6420" s="10">
        <v>8.0982637297110326E-5</v>
      </c>
      <c r="U6420" s="10">
        <v>6.9430000000000004E-5</v>
      </c>
      <c r="V6420" s="25"/>
      <c r="W6420" s="25"/>
      <c r="X6420" s="25"/>
      <c r="Y6420" s="25"/>
      <c r="Z6420" s="25"/>
      <c r="AA6420" s="25"/>
    </row>
    <row r="6421" spans="1:27" x14ac:dyDescent="0.35">
      <c r="A6421" s="5">
        <v>6417</v>
      </c>
      <c r="B6421" s="5">
        <v>268</v>
      </c>
      <c r="C6421" s="5">
        <v>9</v>
      </c>
      <c r="D6421" s="25">
        <v>1.1416E-4</v>
      </c>
      <c r="E6421" s="25">
        <v>1.1933E-4</v>
      </c>
      <c r="F6421" s="25">
        <v>1.0894E-4</v>
      </c>
      <c r="G6421" s="25">
        <v>1.5679999999999999E-4</v>
      </c>
      <c r="H6421" s="25">
        <v>1.929E-4</v>
      </c>
      <c r="I6421" s="9">
        <v>1.0645999999999999E-4</v>
      </c>
      <c r="J6421" s="9">
        <v>1.0886E-4</v>
      </c>
      <c r="K6421" s="9">
        <v>0</v>
      </c>
      <c r="L6421" s="9">
        <v>1.9296999999999999E-4</v>
      </c>
      <c r="M6421" s="9">
        <v>1.2416E-4</v>
      </c>
      <c r="N6421" s="9">
        <v>1.0509999999999999E-4</v>
      </c>
      <c r="O6421" s="9">
        <v>2.1117999999999999E-4</v>
      </c>
      <c r="P6421" s="9">
        <v>1.9343E-4</v>
      </c>
      <c r="Q6421" s="9">
        <v>1.7715E-4</v>
      </c>
      <c r="R6421" s="10">
        <v>5.2282774518381361E-5</v>
      </c>
      <c r="S6421" s="10">
        <v>1.0264616861415417E-4</v>
      </c>
      <c r="T6421" s="10">
        <v>7.5077564949411132E-5</v>
      </c>
      <c r="U6421" s="10">
        <v>6.9430000000000004E-5</v>
      </c>
      <c r="V6421" s="25"/>
      <c r="W6421" s="25"/>
      <c r="X6421" s="25"/>
      <c r="Y6421" s="25"/>
      <c r="Z6421" s="25"/>
      <c r="AA6421" s="25"/>
    </row>
    <row r="6422" spans="1:27" x14ac:dyDescent="0.35">
      <c r="A6422" s="5">
        <v>6418</v>
      </c>
      <c r="B6422" s="5">
        <v>268</v>
      </c>
      <c r="C6422" s="5">
        <v>9</v>
      </c>
      <c r="D6422" s="25">
        <v>1.1415000000000001E-4</v>
      </c>
      <c r="E6422" s="25">
        <v>1.2348E-4</v>
      </c>
      <c r="F6422" s="25">
        <v>1.1056E-4</v>
      </c>
      <c r="G6422" s="25">
        <v>1.6019999999999999E-4</v>
      </c>
      <c r="H6422" s="25">
        <v>1.9526E-4</v>
      </c>
      <c r="I6422" s="9">
        <v>1.0802E-4</v>
      </c>
      <c r="J6422" s="9">
        <v>1.0931E-4</v>
      </c>
      <c r="K6422" s="9">
        <v>0</v>
      </c>
      <c r="L6422" s="9">
        <v>2.0487000000000001E-4</v>
      </c>
      <c r="M6422" s="9">
        <v>1.5917000000000001E-4</v>
      </c>
      <c r="N6422" s="9">
        <v>1.2512999999999999E-4</v>
      </c>
      <c r="O6422" s="9">
        <v>1.6624000000000001E-4</v>
      </c>
      <c r="P6422" s="9">
        <v>1.7343E-4</v>
      </c>
      <c r="Q6422" s="9">
        <v>1.8141000000000001E-4</v>
      </c>
      <c r="R6422" s="10">
        <v>3.7537201413354938E-5</v>
      </c>
      <c r="S6422" s="10">
        <v>1.0044902103898737E-4</v>
      </c>
      <c r="T6422" s="10">
        <v>2.9265742178381598E-4</v>
      </c>
      <c r="U6422" s="10">
        <v>6.9430000000000004E-5</v>
      </c>
      <c r="V6422" s="25"/>
      <c r="W6422" s="25"/>
      <c r="X6422" s="25"/>
      <c r="Y6422" s="25"/>
      <c r="Z6422" s="25"/>
      <c r="AA6422" s="25"/>
    </row>
    <row r="6423" spans="1:27" x14ac:dyDescent="0.35">
      <c r="A6423" s="5">
        <v>6419</v>
      </c>
      <c r="B6423" s="5">
        <v>268</v>
      </c>
      <c r="C6423" s="5">
        <v>9</v>
      </c>
      <c r="D6423" s="25">
        <v>1.1416E-4</v>
      </c>
      <c r="E6423" s="25">
        <v>1.1639E-4</v>
      </c>
      <c r="F6423" s="25">
        <v>1.0921000000000001E-4</v>
      </c>
      <c r="G6423" s="25">
        <v>1.5679999999999999E-4</v>
      </c>
      <c r="H6423" s="25">
        <v>1.9678E-4</v>
      </c>
      <c r="I6423" s="9">
        <v>1.0976000000000001E-4</v>
      </c>
      <c r="J6423" s="9">
        <v>1.0802999999999999E-4</v>
      </c>
      <c r="K6423" s="9">
        <v>0</v>
      </c>
      <c r="L6423" s="9">
        <v>1.7483E-4</v>
      </c>
      <c r="M6423" s="9">
        <v>1.7239999999999999E-4</v>
      </c>
      <c r="N6423" s="9">
        <v>1.4297999999999999E-4</v>
      </c>
      <c r="O6423" s="9">
        <v>1.6775000000000001E-4</v>
      </c>
      <c r="P6423" s="9">
        <v>1.7364999999999999E-4</v>
      </c>
      <c r="Q6423" s="9">
        <v>1.8035999999999999E-4</v>
      </c>
      <c r="R6423" s="10">
        <v>2.770475803198919E-5</v>
      </c>
      <c r="S6423" s="10">
        <v>1.0048929132372937E-4</v>
      </c>
      <c r="T6423" s="10">
        <v>5.424861004481125E-5</v>
      </c>
      <c r="U6423" s="10">
        <v>6.9430000000000004E-5</v>
      </c>
      <c r="V6423" s="25"/>
      <c r="W6423" s="25"/>
      <c r="X6423" s="25"/>
      <c r="Y6423" s="25"/>
      <c r="Z6423" s="25"/>
      <c r="AA6423" s="25"/>
    </row>
    <row r="6424" spans="1:27" x14ac:dyDescent="0.35">
      <c r="A6424" s="5">
        <v>6420</v>
      </c>
      <c r="B6424" s="5">
        <v>268</v>
      </c>
      <c r="C6424" s="5">
        <v>9</v>
      </c>
      <c r="D6424" s="25">
        <v>1.1415000000000001E-4</v>
      </c>
      <c r="E6424" s="25">
        <v>1.2523999999999999E-4</v>
      </c>
      <c r="F6424" s="25">
        <v>1.0082E-4</v>
      </c>
      <c r="G6424" s="25">
        <v>1.5687000000000001E-4</v>
      </c>
      <c r="H6424" s="25">
        <v>1.8880000000000001E-4</v>
      </c>
      <c r="I6424" s="9">
        <v>1.091E-4</v>
      </c>
      <c r="J6424" s="9">
        <v>1.0611999999999999E-4</v>
      </c>
      <c r="K6424" s="9">
        <v>0</v>
      </c>
      <c r="L6424" s="9">
        <v>1.7074000000000001E-4</v>
      </c>
      <c r="M6424" s="9">
        <v>1.7504E-4</v>
      </c>
      <c r="N6424" s="9">
        <v>1.5712000000000001E-4</v>
      </c>
      <c r="O6424" s="9">
        <v>1.6949000000000001E-4</v>
      </c>
      <c r="P6424" s="9">
        <v>1.7127000000000001E-4</v>
      </c>
      <c r="Q6424" s="9">
        <v>1.7393000000000001E-4</v>
      </c>
      <c r="R6424" s="10">
        <v>2.5755937554460621E-5</v>
      </c>
      <c r="S6424" s="10">
        <v>1.1636690058263261E-4</v>
      </c>
      <c r="T6424" s="10">
        <v>3.9782879652818265E-5</v>
      </c>
      <c r="U6424" s="10">
        <v>6.9430000000000004E-5</v>
      </c>
      <c r="V6424" s="25"/>
      <c r="W6424" s="25"/>
      <c r="X6424" s="25"/>
      <c r="Y6424" s="25"/>
      <c r="Z6424" s="25"/>
      <c r="AA6424" s="25"/>
    </row>
    <row r="6425" spans="1:27" x14ac:dyDescent="0.35">
      <c r="A6425" s="5">
        <v>6421</v>
      </c>
      <c r="B6425" s="5">
        <v>268</v>
      </c>
      <c r="C6425" s="5">
        <v>9</v>
      </c>
      <c r="D6425" s="25">
        <v>1.1416E-4</v>
      </c>
      <c r="E6425" s="25">
        <v>1.2205999999999999E-4</v>
      </c>
      <c r="F6425" s="25">
        <v>1.0631E-4</v>
      </c>
      <c r="G6425" s="25">
        <v>1.5954000000000001E-4</v>
      </c>
      <c r="H6425" s="25">
        <v>1.8916000000000001E-4</v>
      </c>
      <c r="I6425" s="9">
        <v>1.0605E-4</v>
      </c>
      <c r="J6425" s="9">
        <v>1.0446999999999999E-4</v>
      </c>
      <c r="K6425" s="9">
        <v>0</v>
      </c>
      <c r="L6425" s="9">
        <v>1.6990000000000001E-4</v>
      </c>
      <c r="M6425" s="9">
        <v>1.739E-4</v>
      </c>
      <c r="N6425" s="9">
        <v>1.6642E-4</v>
      </c>
      <c r="O6425" s="9">
        <v>1.6027000000000001E-4</v>
      </c>
      <c r="P6425" s="9">
        <v>1.6283000000000001E-4</v>
      </c>
      <c r="Q6425" s="9">
        <v>1.662E-4</v>
      </c>
      <c r="R6425" s="10">
        <v>2.8593141262421945E-5</v>
      </c>
      <c r="S6425" s="10">
        <v>1.0729208515663571E-4</v>
      </c>
      <c r="T6425" s="10">
        <v>4.2948371740356427E-4</v>
      </c>
      <c r="U6425" s="10">
        <v>6.9430000000000004E-5</v>
      </c>
      <c r="V6425" s="25"/>
      <c r="W6425" s="25"/>
      <c r="X6425" s="25"/>
      <c r="Y6425" s="25"/>
      <c r="Z6425" s="25"/>
      <c r="AA6425" s="25"/>
    </row>
    <row r="6426" spans="1:27" x14ac:dyDescent="0.35">
      <c r="A6426" s="5">
        <v>6422</v>
      </c>
      <c r="B6426" s="5">
        <v>268</v>
      </c>
      <c r="C6426" s="5">
        <v>9</v>
      </c>
      <c r="D6426" s="25">
        <v>1.1415000000000001E-4</v>
      </c>
      <c r="E6426" s="25">
        <v>1.1512E-4</v>
      </c>
      <c r="F6426" s="25">
        <v>1.2104000000000001E-4</v>
      </c>
      <c r="G6426" s="25">
        <v>1.6433999999999999E-4</v>
      </c>
      <c r="H6426" s="25">
        <v>2.0243999999999999E-4</v>
      </c>
      <c r="I6426" s="9">
        <v>1.0341E-4</v>
      </c>
      <c r="J6426" s="9">
        <v>1.0353000000000001E-4</v>
      </c>
      <c r="K6426" s="9">
        <v>0</v>
      </c>
      <c r="L6426" s="9">
        <v>1.6215000000000001E-4</v>
      </c>
      <c r="M6426" s="9">
        <v>1.6958000000000001E-4</v>
      </c>
      <c r="N6426" s="9">
        <v>1.7035999999999999E-4</v>
      </c>
      <c r="O6426" s="9">
        <v>1.7797000000000001E-4</v>
      </c>
      <c r="P6426" s="9">
        <v>1.6882999999999999E-4</v>
      </c>
      <c r="Q6426" s="9">
        <v>1.6080000000000001E-4</v>
      </c>
      <c r="R6426" s="10">
        <v>3.3710474427850115E-5</v>
      </c>
      <c r="S6426" s="10">
        <v>1.0267172458554022E-4</v>
      </c>
      <c r="T6426" s="10">
        <v>3.9765911054117975E-4</v>
      </c>
      <c r="U6426" s="10">
        <v>6.9430000000000004E-5</v>
      </c>
      <c r="V6426" s="25"/>
      <c r="W6426" s="25"/>
      <c r="X6426" s="25"/>
      <c r="Y6426" s="25"/>
      <c r="Z6426" s="25"/>
      <c r="AA6426" s="25"/>
    </row>
    <row r="6427" spans="1:27" x14ac:dyDescent="0.35">
      <c r="A6427" s="5">
        <v>6423</v>
      </c>
      <c r="B6427" s="5">
        <v>268</v>
      </c>
      <c r="C6427" s="5">
        <v>9</v>
      </c>
      <c r="D6427" s="25">
        <v>1.1416E-4</v>
      </c>
      <c r="E6427" s="25">
        <v>1.1913000000000001E-4</v>
      </c>
      <c r="F6427" s="25">
        <v>1.0999E-4</v>
      </c>
      <c r="G6427" s="25">
        <v>1.6631999999999999E-4</v>
      </c>
      <c r="H6427" s="25">
        <v>1.942E-4</v>
      </c>
      <c r="I6427" s="9">
        <v>1.0218E-4</v>
      </c>
      <c r="J6427" s="9">
        <v>1.0357E-4</v>
      </c>
      <c r="K6427" s="9">
        <v>0</v>
      </c>
      <c r="L6427" s="9">
        <v>1.7469E-4</v>
      </c>
      <c r="M6427" s="9">
        <v>1.6808E-4</v>
      </c>
      <c r="N6427" s="9">
        <v>1.6982999999999999E-4</v>
      </c>
      <c r="O6427" s="9">
        <v>1.8362000000000001E-4</v>
      </c>
      <c r="P6427" s="9">
        <v>1.6762999999999999E-4</v>
      </c>
      <c r="Q6427" s="9">
        <v>1.529E-4</v>
      </c>
      <c r="R6427" s="10">
        <v>3.6119078296213809E-5</v>
      </c>
      <c r="S6427" s="10">
        <v>9.3653738676773035E-5</v>
      </c>
      <c r="T6427" s="10">
        <v>2.9440518744994533E-5</v>
      </c>
      <c r="U6427" s="10">
        <v>6.9430000000000004E-5</v>
      </c>
      <c r="V6427" s="25"/>
      <c r="W6427" s="25"/>
      <c r="X6427" s="25"/>
      <c r="Y6427" s="25"/>
      <c r="Z6427" s="25"/>
      <c r="AA6427" s="25"/>
    </row>
    <row r="6428" spans="1:27" x14ac:dyDescent="0.35">
      <c r="A6428" s="5">
        <v>6424</v>
      </c>
      <c r="B6428" s="5">
        <v>268</v>
      </c>
      <c r="C6428" s="5">
        <v>9</v>
      </c>
      <c r="D6428" s="25">
        <v>1.1415000000000001E-4</v>
      </c>
      <c r="E6428" s="25">
        <v>1.2093E-4</v>
      </c>
      <c r="F6428" s="25">
        <v>1.1657E-4</v>
      </c>
      <c r="G6428" s="25">
        <v>1.5686000000000001E-4</v>
      </c>
      <c r="H6428" s="25">
        <v>1.9147000000000001E-4</v>
      </c>
      <c r="I6428" s="9">
        <v>1.0215E-4</v>
      </c>
      <c r="J6428" s="9">
        <v>1.0532E-4</v>
      </c>
      <c r="K6428" s="9">
        <v>0</v>
      </c>
      <c r="L6428" s="9">
        <v>1.8132000000000001E-4</v>
      </c>
      <c r="M6428" s="9">
        <v>1.6763999999999999E-4</v>
      </c>
      <c r="N6428" s="9">
        <v>1.6603000000000001E-4</v>
      </c>
      <c r="O6428" s="9">
        <v>1.9552E-4</v>
      </c>
      <c r="P6428" s="9">
        <v>1.5134999999999999E-4</v>
      </c>
      <c r="Q6428" s="9">
        <v>1.0897E-4</v>
      </c>
      <c r="R6428" s="10">
        <v>3.4796978603712981E-5</v>
      </c>
      <c r="S6428" s="10">
        <v>8.0854805424736097E-5</v>
      </c>
      <c r="T6428" s="10">
        <v>1.5494875903165276E-4</v>
      </c>
      <c r="U6428" s="10">
        <v>6.9430000000000004E-5</v>
      </c>
      <c r="V6428" s="25"/>
      <c r="W6428" s="25"/>
      <c r="X6428" s="25"/>
      <c r="Y6428" s="25"/>
      <c r="Z6428" s="25"/>
      <c r="AA6428" s="25"/>
    </row>
    <row r="6429" spans="1:27" x14ac:dyDescent="0.35">
      <c r="A6429" s="5">
        <v>6425</v>
      </c>
      <c r="B6429" s="5">
        <v>268</v>
      </c>
      <c r="C6429" s="5">
        <v>9</v>
      </c>
      <c r="D6429" s="25">
        <v>1.1416E-4</v>
      </c>
      <c r="E6429" s="25">
        <v>1.1508E-4</v>
      </c>
      <c r="F6429" s="25">
        <v>1.0496E-4</v>
      </c>
      <c r="G6429" s="25">
        <v>1.6110000000000001E-4</v>
      </c>
      <c r="H6429" s="25">
        <v>1.8971E-4</v>
      </c>
      <c r="I6429" s="9">
        <v>1.0403000000000001E-4</v>
      </c>
      <c r="J6429" s="9">
        <v>1.0900000000000001E-4</v>
      </c>
      <c r="K6429" s="9">
        <v>0</v>
      </c>
      <c r="L6429" s="9">
        <v>1.9216E-4</v>
      </c>
      <c r="M6429" s="9">
        <v>1.6178000000000001E-4</v>
      </c>
      <c r="N6429" s="9">
        <v>1.5213E-4</v>
      </c>
      <c r="O6429" s="9">
        <v>2.1219000000000001E-4</v>
      </c>
      <c r="P6429" s="9">
        <v>1.5830999999999999E-4</v>
      </c>
      <c r="Q6429" s="9">
        <v>1.0649000000000001E-4</v>
      </c>
      <c r="R6429" s="10">
        <v>3.1210392889582516E-5</v>
      </c>
      <c r="S6429" s="10">
        <v>6.9885817626570804E-5</v>
      </c>
      <c r="T6429" s="10">
        <v>1.2451557726269157E-4</v>
      </c>
      <c r="U6429" s="10">
        <v>6.9430000000000004E-5</v>
      </c>
      <c r="V6429" s="25"/>
      <c r="W6429" s="25"/>
      <c r="X6429" s="25"/>
      <c r="Y6429" s="25"/>
      <c r="Z6429" s="25"/>
      <c r="AA6429" s="25"/>
    </row>
    <row r="6430" spans="1:27" x14ac:dyDescent="0.35">
      <c r="A6430" s="5">
        <v>6426</v>
      </c>
      <c r="B6430" s="5">
        <v>268</v>
      </c>
      <c r="C6430" s="5">
        <v>9</v>
      </c>
      <c r="D6430" s="25">
        <v>1.1415000000000001E-4</v>
      </c>
      <c r="E6430" s="25">
        <v>1.1807E-4</v>
      </c>
      <c r="F6430" s="25">
        <v>1.0473E-4</v>
      </c>
      <c r="G6430" s="25">
        <v>1.6353E-4</v>
      </c>
      <c r="H6430" s="25">
        <v>1.9623000000000001E-4</v>
      </c>
      <c r="I6430" s="9">
        <v>1.0428E-4</v>
      </c>
      <c r="J6430" s="9">
        <v>1.1106E-4</v>
      </c>
      <c r="K6430" s="9">
        <v>0</v>
      </c>
      <c r="L6430" s="9">
        <v>2.0756999999999999E-4</v>
      </c>
      <c r="M6430" s="9">
        <v>1.5888999999999999E-4</v>
      </c>
      <c r="N6430" s="9">
        <v>1.3868999999999999E-4</v>
      </c>
      <c r="O6430" s="9">
        <v>2.0499E-4</v>
      </c>
      <c r="P6430" s="9">
        <v>1.6042000000000001E-4</v>
      </c>
      <c r="Q6430" s="9">
        <v>1.1769000000000001E-4</v>
      </c>
      <c r="R6430" s="10">
        <v>3.0068621274937401E-5</v>
      </c>
      <c r="S6430" s="10">
        <v>6.0174322371622435E-5</v>
      </c>
      <c r="T6430" s="10">
        <v>3.979136395216841E-6</v>
      </c>
      <c r="U6430" s="10">
        <v>6.9430000000000004E-5</v>
      </c>
      <c r="V6430" s="25"/>
      <c r="W6430" s="25"/>
      <c r="X6430" s="25"/>
      <c r="Y6430" s="25"/>
      <c r="Z6430" s="25"/>
      <c r="AA6430" s="25"/>
    </row>
    <row r="6431" spans="1:27" x14ac:dyDescent="0.35">
      <c r="A6431" s="5">
        <v>6427</v>
      </c>
      <c r="B6431" s="5">
        <v>268</v>
      </c>
      <c r="C6431" s="5">
        <v>9</v>
      </c>
      <c r="D6431" s="25">
        <v>1.1416E-4</v>
      </c>
      <c r="E6431" s="25">
        <v>1.1573E-4</v>
      </c>
      <c r="F6431" s="25">
        <v>1.0541E-4</v>
      </c>
      <c r="G6431" s="25">
        <v>1.0971E-4</v>
      </c>
      <c r="H6431" s="25">
        <v>1.3758999999999999E-4</v>
      </c>
      <c r="I6431" s="9">
        <v>1.0535999999999999E-4</v>
      </c>
      <c r="J6431" s="9">
        <v>1.1264000000000001E-4</v>
      </c>
      <c r="K6431" s="9">
        <v>1.272E-5</v>
      </c>
      <c r="L6431" s="9">
        <v>2.0516999999999999E-4</v>
      </c>
      <c r="M6431" s="9">
        <v>1.5885000000000001E-4</v>
      </c>
      <c r="N6431" s="9">
        <v>1.2971E-4</v>
      </c>
      <c r="O6431" s="9">
        <v>1.6499E-4</v>
      </c>
      <c r="P6431" s="9">
        <v>1.3566000000000001E-4</v>
      </c>
      <c r="Q6431" s="9">
        <v>1.0767E-4</v>
      </c>
      <c r="R6431" s="10">
        <v>3.0308383836822815E-5</v>
      </c>
      <c r="S6431" s="10">
        <v>5.1911600346555249E-5</v>
      </c>
      <c r="T6431" s="10">
        <v>0</v>
      </c>
      <c r="U6431" s="10">
        <v>6.9430000000000004E-5</v>
      </c>
      <c r="V6431" s="25"/>
      <c r="W6431" s="25"/>
      <c r="X6431" s="25"/>
      <c r="Y6431" s="25"/>
      <c r="Z6431" s="25"/>
      <c r="AA6431" s="25"/>
    </row>
    <row r="6432" spans="1:27" x14ac:dyDescent="0.35">
      <c r="A6432" s="5">
        <v>6428</v>
      </c>
      <c r="B6432" s="5">
        <v>268</v>
      </c>
      <c r="C6432" s="5">
        <v>9</v>
      </c>
      <c r="D6432" s="25">
        <v>1.1415000000000001E-4</v>
      </c>
      <c r="E6432" s="25">
        <v>1.1781E-4</v>
      </c>
      <c r="F6432" s="25">
        <v>1.0347E-4</v>
      </c>
      <c r="G6432" s="25">
        <v>1.1213999999999999E-4</v>
      </c>
      <c r="H6432" s="25">
        <v>1.3024E-4</v>
      </c>
      <c r="I6432" s="9">
        <v>1.0774E-4</v>
      </c>
      <c r="J6432" s="9">
        <v>1.1459E-4</v>
      </c>
      <c r="K6432" s="9">
        <v>1.908E-5</v>
      </c>
      <c r="L6432" s="9">
        <v>1.7395999999999999E-4</v>
      </c>
      <c r="M6432" s="9">
        <v>1.5067999999999999E-4</v>
      </c>
      <c r="N6432" s="9">
        <v>1.2079E-4</v>
      </c>
      <c r="O6432" s="9">
        <v>1.2849000000000001E-4</v>
      </c>
      <c r="P6432" s="9">
        <v>1.1468000000000001E-4</v>
      </c>
      <c r="Q6432" s="9">
        <v>1.0174E-4</v>
      </c>
      <c r="R6432" s="10">
        <v>3.207448151307137E-5</v>
      </c>
      <c r="S6432" s="10">
        <v>4.3513765884557565E-5</v>
      </c>
      <c r="T6432" s="10">
        <v>0</v>
      </c>
      <c r="U6432" s="10">
        <v>6.9430000000000004E-5</v>
      </c>
      <c r="V6432" s="25"/>
      <c r="W6432" s="25"/>
      <c r="X6432" s="25"/>
      <c r="Y6432" s="25"/>
      <c r="Z6432" s="25"/>
      <c r="AA6432" s="25"/>
    </row>
    <row r="6433" spans="1:27" x14ac:dyDescent="0.35">
      <c r="A6433" s="5">
        <v>6429</v>
      </c>
      <c r="B6433" s="5">
        <v>268</v>
      </c>
      <c r="C6433" s="5">
        <v>9</v>
      </c>
      <c r="D6433" s="25">
        <v>1.1416E-4</v>
      </c>
      <c r="E6433" s="25">
        <v>1.1959E-4</v>
      </c>
      <c r="F6433" s="25">
        <v>1.1061999999999999E-4</v>
      </c>
      <c r="G6433" s="25">
        <v>5.3059999999999997E-5</v>
      </c>
      <c r="H6433" s="25">
        <v>7.3479999999999994E-5</v>
      </c>
      <c r="I6433" s="9">
        <v>1.0293000000000001E-4</v>
      </c>
      <c r="J6433" s="9">
        <v>1.0962E-4</v>
      </c>
      <c r="K6433" s="9">
        <v>4.8739999999999998E-5</v>
      </c>
      <c r="L6433" s="9">
        <v>1.3946999999999999E-4</v>
      </c>
      <c r="M6433" s="9">
        <v>1.3542E-4</v>
      </c>
      <c r="N6433" s="9">
        <v>1.1313E-4</v>
      </c>
      <c r="O6433" s="9">
        <v>8.4590000000000002E-5</v>
      </c>
      <c r="P6433" s="9">
        <v>8.6269999999999999E-5</v>
      </c>
      <c r="Q6433" s="9">
        <v>8.8259999999999999E-5</v>
      </c>
      <c r="R6433" s="10">
        <v>3.5517865876603937E-5</v>
      </c>
      <c r="S6433" s="10">
        <v>3.7608483618133343E-5</v>
      </c>
      <c r="T6433" s="10">
        <v>0</v>
      </c>
      <c r="U6433" s="10">
        <v>6.9430000000000004E-5</v>
      </c>
      <c r="V6433" s="25"/>
      <c r="W6433" s="25"/>
      <c r="X6433" s="25"/>
      <c r="Y6433" s="25"/>
      <c r="Z6433" s="25"/>
      <c r="AA6433" s="25"/>
    </row>
    <row r="6434" spans="1:27" x14ac:dyDescent="0.35">
      <c r="A6434" s="5">
        <v>6430</v>
      </c>
      <c r="B6434" s="5">
        <v>268</v>
      </c>
      <c r="C6434" s="5">
        <v>9</v>
      </c>
      <c r="D6434" s="25">
        <v>1.1415000000000001E-4</v>
      </c>
      <c r="E6434" s="25">
        <v>1.183E-4</v>
      </c>
      <c r="F6434" s="25">
        <v>1.2162E-4</v>
      </c>
      <c r="G6434" s="25">
        <v>5.3440000000000003E-5</v>
      </c>
      <c r="H6434" s="25">
        <v>7.0199999999999999E-5</v>
      </c>
      <c r="I6434" s="9">
        <v>9.9980000000000002E-5</v>
      </c>
      <c r="J6434" s="9">
        <v>1.0471000000000001E-4</v>
      </c>
      <c r="K6434" s="9">
        <v>6.3579999999999998E-5</v>
      </c>
      <c r="L6434" s="9">
        <v>9.7609999999999995E-5</v>
      </c>
      <c r="M6434" s="9">
        <v>1.1377E-4</v>
      </c>
      <c r="N6434" s="9">
        <v>1.0558E-4</v>
      </c>
      <c r="O6434" s="9">
        <v>8.7379999999999993E-5</v>
      </c>
      <c r="P6434" s="9">
        <v>8.7670000000000006E-5</v>
      </c>
      <c r="Q6434" s="9">
        <v>8.8319999999999995E-5</v>
      </c>
      <c r="R6434" s="10">
        <v>3.5360520914408282E-5</v>
      </c>
      <c r="S6434" s="10">
        <v>3.1635962174298716E-5</v>
      </c>
      <c r="T6434" s="10">
        <v>0</v>
      </c>
      <c r="U6434" s="10">
        <v>6.9430000000000004E-5</v>
      </c>
      <c r="V6434" s="25"/>
      <c r="W6434" s="25"/>
      <c r="X6434" s="25"/>
      <c r="Y6434" s="25"/>
      <c r="Z6434" s="25"/>
      <c r="AA6434" s="25"/>
    </row>
    <row r="6435" spans="1:27" x14ac:dyDescent="0.35">
      <c r="A6435" s="5">
        <v>6431</v>
      </c>
      <c r="B6435" s="5">
        <v>268</v>
      </c>
      <c r="C6435" s="5">
        <v>9</v>
      </c>
      <c r="D6435" s="25">
        <v>1.1416E-4</v>
      </c>
      <c r="E6435" s="25">
        <v>1.2348E-4</v>
      </c>
      <c r="F6435" s="25">
        <v>1.1891E-4</v>
      </c>
      <c r="G6435" s="25">
        <v>6.1569999999999995E-5</v>
      </c>
      <c r="H6435" s="25">
        <v>6.8360000000000003E-5</v>
      </c>
      <c r="I6435" s="9">
        <v>9.5840000000000004E-5</v>
      </c>
      <c r="J6435" s="9">
        <v>9.8839999999999996E-5</v>
      </c>
      <c r="K6435" s="9">
        <v>5.0869999999999999E-5</v>
      </c>
      <c r="L6435" s="9">
        <v>9.0569999999999995E-5</v>
      </c>
      <c r="M6435" s="9">
        <v>9.9069999999999998E-5</v>
      </c>
      <c r="N6435" s="9">
        <v>9.9829999999999998E-5</v>
      </c>
      <c r="O6435" s="9">
        <v>7.8499999999999997E-5</v>
      </c>
      <c r="P6435" s="9">
        <v>7.2799999999999994E-5</v>
      </c>
      <c r="Q6435" s="9">
        <v>6.7500000000000001E-5</v>
      </c>
      <c r="R6435" s="10">
        <v>3.0111822324012046E-5</v>
      </c>
      <c r="S6435" s="10">
        <v>2.636212817459039E-5</v>
      </c>
      <c r="T6435" s="10">
        <v>0</v>
      </c>
      <c r="U6435" s="10">
        <v>6.9430000000000004E-5</v>
      </c>
      <c r="V6435" s="25"/>
      <c r="W6435" s="25"/>
      <c r="X6435" s="25"/>
      <c r="Y6435" s="25"/>
      <c r="Z6435" s="25"/>
      <c r="AA6435" s="25"/>
    </row>
    <row r="6436" spans="1:27" x14ac:dyDescent="0.35">
      <c r="A6436" s="5">
        <v>6432</v>
      </c>
      <c r="B6436" s="5">
        <v>268</v>
      </c>
      <c r="C6436" s="5">
        <v>9</v>
      </c>
      <c r="D6436" s="25">
        <v>1.1415000000000001E-4</v>
      </c>
      <c r="E6436" s="25">
        <v>1.1699E-4</v>
      </c>
      <c r="F6436" s="25">
        <v>1.0357E-4</v>
      </c>
      <c r="G6436" s="25">
        <v>5.643E-5</v>
      </c>
      <c r="H6436" s="25">
        <v>7.1009999999999999E-5</v>
      </c>
      <c r="I6436" s="9">
        <v>9.1080000000000002E-5</v>
      </c>
      <c r="J6436" s="9">
        <v>9.3490000000000001E-5</v>
      </c>
      <c r="K6436" s="9">
        <v>4.8749999999999999E-5</v>
      </c>
      <c r="L6436" s="9">
        <v>8.1130000000000004E-5</v>
      </c>
      <c r="M6436" s="9">
        <v>8.6379999999999996E-5</v>
      </c>
      <c r="N6436" s="9">
        <v>9.0710000000000004E-5</v>
      </c>
      <c r="O6436" s="9">
        <v>6.3369999999999998E-5</v>
      </c>
      <c r="P6436" s="9">
        <v>6.1299999999999999E-5</v>
      </c>
      <c r="Q6436" s="9">
        <v>5.9460000000000003E-5</v>
      </c>
      <c r="R6436" s="10">
        <v>2.0116470086366472E-5</v>
      </c>
      <c r="S6436" s="10">
        <v>2.6995579791798002E-5</v>
      </c>
      <c r="T6436" s="10">
        <v>0</v>
      </c>
      <c r="U6436" s="10">
        <v>6.9430000000000004E-5</v>
      </c>
      <c r="V6436" s="25"/>
      <c r="W6436" s="25"/>
      <c r="X6436" s="25"/>
      <c r="Y6436" s="25"/>
      <c r="Z6436" s="25"/>
      <c r="AA6436" s="25"/>
    </row>
    <row r="6437" spans="1:27" x14ac:dyDescent="0.35">
      <c r="A6437" s="5">
        <v>6433</v>
      </c>
      <c r="B6437" s="5">
        <v>269</v>
      </c>
      <c r="C6437" s="5">
        <v>9</v>
      </c>
      <c r="D6437" s="25">
        <v>1.1416E-4</v>
      </c>
      <c r="E6437" s="25">
        <v>1.1964E-4</v>
      </c>
      <c r="F6437" s="25">
        <v>1.0828E-4</v>
      </c>
      <c r="G6437" s="25">
        <v>5.4440000000000001E-5</v>
      </c>
      <c r="H6437" s="25">
        <v>7.1639999999999998E-5</v>
      </c>
      <c r="I6437" s="9">
        <v>8.7750000000000005E-5</v>
      </c>
      <c r="J6437" s="9">
        <v>8.8720000000000004E-5</v>
      </c>
      <c r="K6437" s="9">
        <v>5.5109999999999999E-5</v>
      </c>
      <c r="L6437" s="9">
        <v>6.7260000000000003E-5</v>
      </c>
      <c r="M6437" s="9">
        <v>7.4449999999999994E-5</v>
      </c>
      <c r="N6437" s="9">
        <v>8.1420000000000003E-5</v>
      </c>
      <c r="O6437" s="9">
        <v>5.469E-5</v>
      </c>
      <c r="P6437" s="9">
        <v>5.4110000000000002E-5</v>
      </c>
      <c r="Q6437" s="9">
        <v>5.3680000000000001E-5</v>
      </c>
      <c r="R6437" s="10">
        <v>1.8549585632610909E-5</v>
      </c>
      <c r="S6437" s="10">
        <v>2.2063246646432952E-5</v>
      </c>
      <c r="T6437" s="10">
        <v>0</v>
      </c>
      <c r="U6437" s="10">
        <v>6.8639999999999993E-5</v>
      </c>
      <c r="V6437" s="25"/>
      <c r="W6437" s="25"/>
      <c r="X6437" s="25"/>
      <c r="Y6437" s="25"/>
      <c r="Z6437" s="25"/>
      <c r="AA6437" s="25"/>
    </row>
    <row r="6438" spans="1:27" x14ac:dyDescent="0.35">
      <c r="A6438" s="5">
        <v>6434</v>
      </c>
      <c r="B6438" s="5">
        <v>269</v>
      </c>
      <c r="C6438" s="5">
        <v>9</v>
      </c>
      <c r="D6438" s="25">
        <v>1.1415000000000001E-4</v>
      </c>
      <c r="E6438" s="25">
        <v>1.1794999999999999E-4</v>
      </c>
      <c r="F6438" s="25">
        <v>1.1368E-4</v>
      </c>
      <c r="G6438" s="25">
        <v>5.9769999999999999E-5</v>
      </c>
      <c r="H6438" s="25">
        <v>7.1320000000000002E-5</v>
      </c>
      <c r="I6438" s="9">
        <v>8.454E-5</v>
      </c>
      <c r="J6438" s="9">
        <v>8.6340000000000003E-5</v>
      </c>
      <c r="K6438" s="9">
        <v>5.5109999999999999E-5</v>
      </c>
      <c r="L6438" s="9">
        <v>5.7840000000000002E-5</v>
      </c>
      <c r="M6438" s="9">
        <v>6.4289999999999996E-5</v>
      </c>
      <c r="N6438" s="9">
        <v>7.2360000000000005E-5</v>
      </c>
      <c r="O6438" s="9">
        <v>1.895E-5</v>
      </c>
      <c r="P6438" s="9">
        <v>3.7780000000000001E-5</v>
      </c>
      <c r="Q6438" s="9">
        <v>5.6230000000000002E-5</v>
      </c>
      <c r="R6438" s="10">
        <v>1.7313207597278105E-5</v>
      </c>
      <c r="S6438" s="10">
        <v>1.8806607559040999E-5</v>
      </c>
      <c r="T6438" s="10">
        <v>0</v>
      </c>
      <c r="U6438" s="10">
        <v>6.8639999999999993E-5</v>
      </c>
      <c r="V6438" s="25"/>
      <c r="W6438" s="25"/>
      <c r="X6438" s="25"/>
      <c r="Y6438" s="25"/>
      <c r="Z6438" s="25"/>
      <c r="AA6438" s="25"/>
    </row>
    <row r="6439" spans="1:27" x14ac:dyDescent="0.35">
      <c r="A6439" s="5">
        <v>6435</v>
      </c>
      <c r="B6439" s="5">
        <v>269</v>
      </c>
      <c r="C6439" s="5">
        <v>9</v>
      </c>
      <c r="D6439" s="25">
        <v>1.1416E-4</v>
      </c>
      <c r="E6439" s="25">
        <v>1.172E-4</v>
      </c>
      <c r="F6439" s="25">
        <v>1.1642E-4</v>
      </c>
      <c r="G6439" s="25">
        <v>6.177E-5</v>
      </c>
      <c r="H6439" s="25">
        <v>7.1130000000000005E-5</v>
      </c>
      <c r="I6439" s="9">
        <v>8.187E-5</v>
      </c>
      <c r="J6439" s="9">
        <v>8.4709999999999994E-5</v>
      </c>
      <c r="K6439" s="9">
        <v>5.2989999999999999E-5</v>
      </c>
      <c r="L6439" s="9">
        <v>2.773E-5</v>
      </c>
      <c r="M6439" s="9">
        <v>5.2420000000000003E-5</v>
      </c>
      <c r="N6439" s="9">
        <v>6.5759999999999994E-5</v>
      </c>
      <c r="O6439" s="9">
        <v>1.348E-5</v>
      </c>
      <c r="P6439" s="9">
        <v>3.7799999999999997E-5</v>
      </c>
      <c r="Q6439" s="9">
        <v>6.1610000000000001E-5</v>
      </c>
      <c r="R6439" s="10">
        <v>1.4802112253082519E-5</v>
      </c>
      <c r="S6439" s="10">
        <v>1.7088648282910315E-5</v>
      </c>
      <c r="T6439" s="10">
        <v>0</v>
      </c>
      <c r="U6439" s="10">
        <v>6.8639999999999993E-5</v>
      </c>
      <c r="V6439" s="25"/>
      <c r="W6439" s="25"/>
      <c r="X6439" s="25"/>
      <c r="Y6439" s="25"/>
      <c r="Z6439" s="25"/>
      <c r="AA6439" s="25"/>
    </row>
    <row r="6440" spans="1:27" x14ac:dyDescent="0.35">
      <c r="A6440" s="5">
        <v>6436</v>
      </c>
      <c r="B6440" s="5">
        <v>269</v>
      </c>
      <c r="C6440" s="5">
        <v>9</v>
      </c>
      <c r="D6440" s="25">
        <v>1.1415000000000001E-4</v>
      </c>
      <c r="E6440" s="25">
        <v>1.187E-4</v>
      </c>
      <c r="F6440" s="25">
        <v>1.0645999999999999E-4</v>
      </c>
      <c r="G6440" s="25">
        <v>5.2819999999999999E-5</v>
      </c>
      <c r="H6440" s="25">
        <v>7.5630000000000006E-5</v>
      </c>
      <c r="I6440" s="9">
        <v>8.1039999999999997E-5</v>
      </c>
      <c r="J6440" s="9">
        <v>8.4159999999999994E-5</v>
      </c>
      <c r="K6440" s="9">
        <v>3.1789999999999999E-5</v>
      </c>
      <c r="L6440" s="9">
        <v>1.736E-5</v>
      </c>
      <c r="M6440" s="9">
        <v>4.4320000000000003E-5</v>
      </c>
      <c r="N6440" s="9">
        <v>6.2139999999999998E-5</v>
      </c>
      <c r="O6440" s="9">
        <v>1.341E-5</v>
      </c>
      <c r="P6440" s="9">
        <v>4.7009999999999999E-5</v>
      </c>
      <c r="Q6440" s="9">
        <v>7.9950000000000005E-5</v>
      </c>
      <c r="R6440" s="10">
        <v>1.2462095963103759E-5</v>
      </c>
      <c r="S6440" s="10">
        <v>1.4848248701514248E-5</v>
      </c>
      <c r="T6440" s="10">
        <v>0</v>
      </c>
      <c r="U6440" s="10">
        <v>6.8639999999999993E-5</v>
      </c>
      <c r="V6440" s="25"/>
      <c r="W6440" s="25"/>
      <c r="X6440" s="25"/>
      <c r="Y6440" s="25"/>
      <c r="Z6440" s="25"/>
      <c r="AA6440" s="25"/>
    </row>
    <row r="6441" spans="1:27" x14ac:dyDescent="0.35">
      <c r="A6441" s="5">
        <v>6437</v>
      </c>
      <c r="B6441" s="5">
        <v>269</v>
      </c>
      <c r="C6441" s="5">
        <v>9</v>
      </c>
      <c r="D6441" s="25">
        <v>1.1416E-4</v>
      </c>
      <c r="E6441" s="25">
        <v>1.1642999999999999E-4</v>
      </c>
      <c r="F6441" s="25">
        <v>1.1885E-4</v>
      </c>
      <c r="G6441" s="25">
        <v>5.7930000000000003E-5</v>
      </c>
      <c r="H6441" s="25">
        <v>6.8860000000000001E-5</v>
      </c>
      <c r="I6441" s="9">
        <v>8.2750000000000006E-5</v>
      </c>
      <c r="J6441" s="9">
        <v>8.4489999999999999E-5</v>
      </c>
      <c r="K6441" s="9">
        <v>3.3909999999999999E-5</v>
      </c>
      <c r="L6441" s="9">
        <v>1.453E-5</v>
      </c>
      <c r="M6441" s="9">
        <v>4.3470000000000002E-5</v>
      </c>
      <c r="N6441" s="9">
        <v>6.4519999999999999E-5</v>
      </c>
      <c r="O6441" s="9">
        <v>1.897E-5</v>
      </c>
      <c r="P6441" s="9">
        <v>5.6719999999999999E-5</v>
      </c>
      <c r="Q6441" s="9">
        <v>9.3789999999999995E-5</v>
      </c>
      <c r="R6441" s="10">
        <v>1.2612393468624538E-5</v>
      </c>
      <c r="S6441" s="10">
        <v>1.3338316747681955E-5</v>
      </c>
      <c r="T6441" s="10">
        <v>0</v>
      </c>
      <c r="U6441" s="10">
        <v>6.8639999999999993E-5</v>
      </c>
      <c r="V6441" s="25"/>
      <c r="W6441" s="25"/>
      <c r="X6441" s="25"/>
      <c r="Y6441" s="25"/>
      <c r="Z6441" s="25"/>
      <c r="AA6441" s="25"/>
    </row>
    <row r="6442" spans="1:27" x14ac:dyDescent="0.35">
      <c r="A6442" s="5">
        <v>6438</v>
      </c>
      <c r="B6442" s="5">
        <v>269</v>
      </c>
      <c r="C6442" s="5">
        <v>9</v>
      </c>
      <c r="D6442" s="25">
        <v>1.1415000000000001E-4</v>
      </c>
      <c r="E6442" s="25">
        <v>1.1574999999999999E-4</v>
      </c>
      <c r="F6442" s="25">
        <v>1.1277000000000001E-4</v>
      </c>
      <c r="G6442" s="25">
        <v>1.1120000000000001E-4</v>
      </c>
      <c r="H6442" s="25">
        <v>1.3381999999999999E-4</v>
      </c>
      <c r="I6442" s="9">
        <v>8.5080000000000005E-5</v>
      </c>
      <c r="J6442" s="9">
        <v>8.5790000000000004E-5</v>
      </c>
      <c r="K6442" s="9">
        <v>3.3909999999999999E-5</v>
      </c>
      <c r="L6442" s="9">
        <v>1.7859999999999998E-5</v>
      </c>
      <c r="M6442" s="9">
        <v>4.8369999999999999E-5</v>
      </c>
      <c r="N6442" s="9">
        <v>7.1039999999999997E-5</v>
      </c>
      <c r="O6442" s="9">
        <v>4.6140000000000002E-5</v>
      </c>
      <c r="P6442" s="9">
        <v>7.6589999999999997E-5</v>
      </c>
      <c r="Q6442" s="9">
        <v>1.0664E-4</v>
      </c>
      <c r="R6442" s="10">
        <v>1.4203808892448711E-5</v>
      </c>
      <c r="S6442" s="10">
        <v>1.1783830267954254E-5</v>
      </c>
      <c r="T6442" s="10">
        <v>0</v>
      </c>
      <c r="U6442" s="10">
        <v>6.8639999999999993E-5</v>
      </c>
      <c r="V6442" s="25"/>
      <c r="W6442" s="25"/>
      <c r="X6442" s="25"/>
      <c r="Y6442" s="25"/>
      <c r="Z6442" s="25"/>
      <c r="AA6442" s="25"/>
    </row>
    <row r="6443" spans="1:27" x14ac:dyDescent="0.35">
      <c r="A6443" s="5">
        <v>6439</v>
      </c>
      <c r="B6443" s="5">
        <v>269</v>
      </c>
      <c r="C6443" s="5">
        <v>9</v>
      </c>
      <c r="D6443" s="25">
        <v>1.1416E-4</v>
      </c>
      <c r="E6443" s="25">
        <v>1.1669E-4</v>
      </c>
      <c r="F6443" s="25">
        <v>1.2630000000000001E-4</v>
      </c>
      <c r="G6443" s="25">
        <v>1.1378E-4</v>
      </c>
      <c r="H6443" s="25">
        <v>1.3876000000000001E-4</v>
      </c>
      <c r="I6443" s="9">
        <v>8.7349999999999995E-5</v>
      </c>
      <c r="J6443" s="9">
        <v>8.8040000000000004E-5</v>
      </c>
      <c r="K6443" s="9">
        <v>2.7549999999999999E-5</v>
      </c>
      <c r="L6443" s="9">
        <v>3.9780000000000002E-5</v>
      </c>
      <c r="M6443" s="9">
        <v>5.9920000000000002E-5</v>
      </c>
      <c r="N6443" s="9">
        <v>8.0630000000000006E-5</v>
      </c>
      <c r="O6443" s="9">
        <v>1.2363000000000001E-4</v>
      </c>
      <c r="P6443" s="9">
        <v>1.1797E-4</v>
      </c>
      <c r="Q6443" s="9">
        <v>1.1301E-4</v>
      </c>
      <c r="R6443" s="10">
        <v>1.4079140007711371E-5</v>
      </c>
      <c r="S6443" s="10">
        <v>1.0554291078560493E-5</v>
      </c>
      <c r="T6443" s="10">
        <v>3.5625572971248428E-5</v>
      </c>
      <c r="U6443" s="10">
        <v>6.8639999999999993E-5</v>
      </c>
      <c r="V6443" s="25"/>
      <c r="W6443" s="25"/>
      <c r="X6443" s="25"/>
      <c r="Y6443" s="25"/>
      <c r="Z6443" s="25"/>
      <c r="AA6443" s="25"/>
    </row>
    <row r="6444" spans="1:27" x14ac:dyDescent="0.35">
      <c r="A6444" s="5">
        <v>6440</v>
      </c>
      <c r="B6444" s="5">
        <v>269</v>
      </c>
      <c r="C6444" s="5">
        <v>9</v>
      </c>
      <c r="D6444" s="25">
        <v>1.1415000000000001E-4</v>
      </c>
      <c r="E6444" s="25">
        <v>1.2208E-4</v>
      </c>
      <c r="F6444" s="25">
        <v>1.2021E-4</v>
      </c>
      <c r="G6444" s="25">
        <v>1.5807000000000001E-4</v>
      </c>
      <c r="H6444" s="25">
        <v>1.9352E-4</v>
      </c>
      <c r="I6444" s="9">
        <v>9.1509999999999996E-5</v>
      </c>
      <c r="J6444" s="9">
        <v>9.2940000000000001E-5</v>
      </c>
      <c r="K6444" s="9">
        <v>1.696E-5</v>
      </c>
      <c r="L6444" s="9">
        <v>1.0457E-4</v>
      </c>
      <c r="M6444" s="9">
        <v>8.3789999999999996E-5</v>
      </c>
      <c r="N6444" s="9">
        <v>9.0840000000000004E-5</v>
      </c>
      <c r="O6444" s="9">
        <v>2.1981E-4</v>
      </c>
      <c r="P6444" s="9">
        <v>1.7751E-4</v>
      </c>
      <c r="Q6444" s="9">
        <v>1.3713000000000001E-4</v>
      </c>
      <c r="R6444" s="10">
        <v>1.3669263475672937E-5</v>
      </c>
      <c r="S6444" s="10">
        <v>9.4737415679648181E-6</v>
      </c>
      <c r="T6444" s="10">
        <v>2.2076146909070826E-4</v>
      </c>
      <c r="U6444" s="10">
        <v>6.8639999999999993E-5</v>
      </c>
      <c r="V6444" s="25"/>
      <c r="W6444" s="25"/>
      <c r="X6444" s="25"/>
      <c r="Y6444" s="25"/>
      <c r="Z6444" s="25"/>
      <c r="AA6444" s="25"/>
    </row>
    <row r="6445" spans="1:27" x14ac:dyDescent="0.35">
      <c r="A6445" s="5">
        <v>6441</v>
      </c>
      <c r="B6445" s="5">
        <v>269</v>
      </c>
      <c r="C6445" s="5">
        <v>9</v>
      </c>
      <c r="D6445" s="25">
        <v>1.1416E-4</v>
      </c>
      <c r="E6445" s="25">
        <v>1.2057000000000001E-4</v>
      </c>
      <c r="F6445" s="25">
        <v>1.0849999999999999E-4</v>
      </c>
      <c r="G6445" s="25">
        <v>1.6296999999999999E-4</v>
      </c>
      <c r="H6445" s="25">
        <v>1.9039E-4</v>
      </c>
      <c r="I6445" s="9">
        <v>9.6459999999999995E-5</v>
      </c>
      <c r="J6445" s="9">
        <v>9.666E-5</v>
      </c>
      <c r="K6445" s="9">
        <v>4.2400000000000001E-6</v>
      </c>
      <c r="L6445" s="9">
        <v>1.9268000000000001E-4</v>
      </c>
      <c r="M6445" s="9">
        <v>1.2370999999999999E-4</v>
      </c>
      <c r="N6445" s="9">
        <v>1.0467999999999999E-4</v>
      </c>
      <c r="O6445" s="9">
        <v>2.0976E-4</v>
      </c>
      <c r="P6445" s="9">
        <v>1.9212E-4</v>
      </c>
      <c r="Q6445" s="9">
        <v>1.7594999999999999E-4</v>
      </c>
      <c r="R6445" s="10">
        <v>1.2615501926761098E-5</v>
      </c>
      <c r="S6445" s="10">
        <v>8.6148200569478061E-6</v>
      </c>
      <c r="T6445" s="10">
        <v>3.9852450907489431E-4</v>
      </c>
      <c r="U6445" s="10">
        <v>6.8639999999999993E-5</v>
      </c>
      <c r="V6445" s="25"/>
      <c r="W6445" s="25"/>
      <c r="X6445" s="25"/>
      <c r="Y6445" s="25"/>
      <c r="Z6445" s="25"/>
      <c r="AA6445" s="25"/>
    </row>
    <row r="6446" spans="1:27" x14ac:dyDescent="0.35">
      <c r="A6446" s="5">
        <v>6442</v>
      </c>
      <c r="B6446" s="5">
        <v>269</v>
      </c>
      <c r="C6446" s="5">
        <v>9</v>
      </c>
      <c r="D6446" s="25">
        <v>1.1415000000000001E-4</v>
      </c>
      <c r="E6446" s="25">
        <v>1.1896E-4</v>
      </c>
      <c r="F6446" s="25">
        <v>1.2229E-4</v>
      </c>
      <c r="G6446" s="25">
        <v>1.64E-4</v>
      </c>
      <c r="H6446" s="25">
        <v>1.9039999999999999E-4</v>
      </c>
      <c r="I6446" s="9">
        <v>9.9480000000000003E-5</v>
      </c>
      <c r="J6446" s="9">
        <v>9.7689999999999995E-5</v>
      </c>
      <c r="K6446" s="9">
        <v>0</v>
      </c>
      <c r="L6446" s="9">
        <v>2.0369E-4</v>
      </c>
      <c r="M6446" s="9">
        <v>1.5846E-4</v>
      </c>
      <c r="N6446" s="9">
        <v>1.2449999999999999E-4</v>
      </c>
      <c r="O6446" s="9">
        <v>1.6793E-4</v>
      </c>
      <c r="P6446" s="9">
        <v>1.7519000000000001E-4</v>
      </c>
      <c r="Q6446" s="9">
        <v>1.8325000000000001E-4</v>
      </c>
      <c r="R6446" s="10">
        <v>1.244313851602425E-5</v>
      </c>
      <c r="S6446" s="10">
        <v>7.5134181496199837E-6</v>
      </c>
      <c r="T6446" s="10">
        <v>4.4996481603480837E-4</v>
      </c>
      <c r="U6446" s="10">
        <v>6.8639999999999993E-5</v>
      </c>
      <c r="V6446" s="25"/>
      <c r="W6446" s="25"/>
      <c r="X6446" s="25"/>
      <c r="Y6446" s="25"/>
      <c r="Z6446" s="25"/>
      <c r="AA6446" s="25"/>
    </row>
    <row r="6447" spans="1:27" x14ac:dyDescent="0.35">
      <c r="A6447" s="5">
        <v>6443</v>
      </c>
      <c r="B6447" s="5">
        <v>269</v>
      </c>
      <c r="C6447" s="5">
        <v>9</v>
      </c>
      <c r="D6447" s="25">
        <v>1.1416E-4</v>
      </c>
      <c r="E6447" s="25">
        <v>1.216E-4</v>
      </c>
      <c r="F6447" s="25">
        <v>1.1959E-4</v>
      </c>
      <c r="G6447" s="25">
        <v>1.5897E-4</v>
      </c>
      <c r="H6447" s="25">
        <v>1.9281999999999999E-4</v>
      </c>
      <c r="I6447" s="9">
        <v>1.0216E-4</v>
      </c>
      <c r="J6447" s="9">
        <v>9.8099999999999999E-5</v>
      </c>
      <c r="K6447" s="9">
        <v>0</v>
      </c>
      <c r="L6447" s="9">
        <v>1.7590999999999999E-4</v>
      </c>
      <c r="M6447" s="9">
        <v>1.7249999999999999E-4</v>
      </c>
      <c r="N6447" s="9">
        <v>1.4284000000000001E-4</v>
      </c>
      <c r="O6447" s="9">
        <v>1.6707000000000001E-4</v>
      </c>
      <c r="P6447" s="9">
        <v>1.7295E-4</v>
      </c>
      <c r="Q6447" s="9">
        <v>1.7963000000000001E-4</v>
      </c>
      <c r="R6447" s="10">
        <v>9.0131657493688605E-6</v>
      </c>
      <c r="S6447" s="10">
        <v>6.4001714870819214E-6</v>
      </c>
      <c r="T6447" s="10">
        <v>4.2344289626626287E-4</v>
      </c>
      <c r="U6447" s="10">
        <v>6.8639999999999993E-5</v>
      </c>
      <c r="V6447" s="25"/>
      <c r="W6447" s="25"/>
      <c r="X6447" s="25"/>
      <c r="Y6447" s="25"/>
      <c r="Z6447" s="25"/>
      <c r="AA6447" s="25"/>
    </row>
    <row r="6448" spans="1:27" x14ac:dyDescent="0.35">
      <c r="A6448" s="5">
        <v>6444</v>
      </c>
      <c r="B6448" s="5">
        <v>269</v>
      </c>
      <c r="C6448" s="5">
        <v>9</v>
      </c>
      <c r="D6448" s="25">
        <v>1.1415000000000001E-4</v>
      </c>
      <c r="E6448" s="25">
        <v>1.1825E-4</v>
      </c>
      <c r="F6448" s="25">
        <v>1.177E-4</v>
      </c>
      <c r="G6448" s="25">
        <v>1.5661000000000001E-4</v>
      </c>
      <c r="H6448" s="25">
        <v>1.9926000000000001E-4</v>
      </c>
      <c r="I6448" s="9">
        <v>1.0406E-4</v>
      </c>
      <c r="J6448" s="9">
        <v>9.878E-5</v>
      </c>
      <c r="K6448" s="9">
        <v>0</v>
      </c>
      <c r="L6448" s="9">
        <v>1.7039E-4</v>
      </c>
      <c r="M6448" s="9">
        <v>1.7508000000000001E-4</v>
      </c>
      <c r="N6448" s="9">
        <v>1.5694E-4</v>
      </c>
      <c r="O6448" s="9">
        <v>1.6865000000000001E-4</v>
      </c>
      <c r="P6448" s="9">
        <v>1.7042000000000001E-4</v>
      </c>
      <c r="Q6448" s="9">
        <v>1.7307999999999999E-4</v>
      </c>
      <c r="R6448" s="10">
        <v>7.5126005086034157E-6</v>
      </c>
      <c r="S6448" s="10">
        <v>3.5858014292571241E-6</v>
      </c>
      <c r="T6448" s="10">
        <v>3.7263042745825932E-4</v>
      </c>
      <c r="U6448" s="10">
        <v>6.8639999999999993E-5</v>
      </c>
      <c r="V6448" s="25"/>
      <c r="W6448" s="25"/>
      <c r="X6448" s="25"/>
      <c r="Y6448" s="25"/>
      <c r="Z6448" s="25"/>
      <c r="AA6448" s="25"/>
    </row>
    <row r="6449" spans="1:27" x14ac:dyDescent="0.35">
      <c r="A6449" s="5">
        <v>6445</v>
      </c>
      <c r="B6449" s="5">
        <v>269</v>
      </c>
      <c r="C6449" s="5">
        <v>9</v>
      </c>
      <c r="D6449" s="25">
        <v>1.1416E-4</v>
      </c>
      <c r="E6449" s="25">
        <v>1.2131E-4</v>
      </c>
      <c r="F6449" s="25">
        <v>1.2201000000000001E-4</v>
      </c>
      <c r="G6449" s="25">
        <v>1.6742999999999999E-4</v>
      </c>
      <c r="H6449" s="25">
        <v>1.9762999999999999E-4</v>
      </c>
      <c r="I6449" s="9">
        <v>9.9519999999999996E-5</v>
      </c>
      <c r="J6449" s="9">
        <v>9.8469999999999997E-5</v>
      </c>
      <c r="K6449" s="9">
        <v>0</v>
      </c>
      <c r="L6449" s="9">
        <v>1.6919999999999999E-4</v>
      </c>
      <c r="M6449" s="9">
        <v>1.7359E-4</v>
      </c>
      <c r="N6449" s="9">
        <v>1.6614000000000001E-4</v>
      </c>
      <c r="O6449" s="9">
        <v>1.6161999999999999E-4</v>
      </c>
      <c r="P6449" s="9">
        <v>1.6420000000000001E-4</v>
      </c>
      <c r="Q6449" s="9">
        <v>1.6761E-4</v>
      </c>
      <c r="R6449" s="10">
        <v>1.1038890554748408E-5</v>
      </c>
      <c r="S6449" s="10">
        <v>3.0421426961346816E-6</v>
      </c>
      <c r="T6449" s="10">
        <v>3.6284803030754503E-4</v>
      </c>
      <c r="U6449" s="10">
        <v>6.8639999999999993E-5</v>
      </c>
      <c r="V6449" s="25"/>
      <c r="W6449" s="25"/>
      <c r="X6449" s="25"/>
      <c r="Y6449" s="25"/>
      <c r="Z6449" s="25"/>
      <c r="AA6449" s="25"/>
    </row>
    <row r="6450" spans="1:27" x14ac:dyDescent="0.35">
      <c r="A6450" s="5">
        <v>6446</v>
      </c>
      <c r="B6450" s="5">
        <v>269</v>
      </c>
      <c r="C6450" s="5">
        <v>9</v>
      </c>
      <c r="D6450" s="25">
        <v>1.1415000000000001E-4</v>
      </c>
      <c r="E6450" s="25">
        <v>1.1849999999999999E-4</v>
      </c>
      <c r="F6450" s="25">
        <v>1.148E-4</v>
      </c>
      <c r="G6450" s="25">
        <v>1.6312999999999999E-4</v>
      </c>
      <c r="H6450" s="25">
        <v>1.9744000000000001E-4</v>
      </c>
      <c r="I6450" s="9">
        <v>9.6000000000000002E-5</v>
      </c>
      <c r="J6450" s="9">
        <v>9.8610000000000006E-5</v>
      </c>
      <c r="K6450" s="9">
        <v>0</v>
      </c>
      <c r="L6450" s="9">
        <v>1.6307999999999999E-4</v>
      </c>
      <c r="M6450" s="9">
        <v>1.6977E-4</v>
      </c>
      <c r="N6450" s="9">
        <v>1.7047000000000001E-4</v>
      </c>
      <c r="O6450" s="9">
        <v>1.7815999999999999E-4</v>
      </c>
      <c r="P6450" s="9">
        <v>1.6901000000000001E-4</v>
      </c>
      <c r="Q6450" s="9">
        <v>1.6097999999999999E-4</v>
      </c>
      <c r="R6450" s="10">
        <v>1.645981332807687E-5</v>
      </c>
      <c r="S6450" s="10">
        <v>3.3359730037057685E-6</v>
      </c>
      <c r="T6450" s="10">
        <v>3.9041351889615807E-4</v>
      </c>
      <c r="U6450" s="10">
        <v>6.8639999999999993E-5</v>
      </c>
      <c r="V6450" s="25"/>
      <c r="W6450" s="25"/>
      <c r="X6450" s="25"/>
      <c r="Y6450" s="25"/>
      <c r="Z6450" s="25"/>
      <c r="AA6450" s="25"/>
    </row>
    <row r="6451" spans="1:27" x14ac:dyDescent="0.35">
      <c r="A6451" s="5">
        <v>6447</v>
      </c>
      <c r="B6451" s="5">
        <v>269</v>
      </c>
      <c r="C6451" s="5">
        <v>9</v>
      </c>
      <c r="D6451" s="25">
        <v>1.1416E-4</v>
      </c>
      <c r="E6451" s="25">
        <v>1.1658999999999999E-4</v>
      </c>
      <c r="F6451" s="25">
        <v>1.0608E-4</v>
      </c>
      <c r="G6451" s="25">
        <v>1.5995000000000001E-4</v>
      </c>
      <c r="H6451" s="25">
        <v>1.8992E-4</v>
      </c>
      <c r="I6451" s="9">
        <v>9.6249999999999995E-5</v>
      </c>
      <c r="J6451" s="9">
        <v>1.0055E-4</v>
      </c>
      <c r="K6451" s="9">
        <v>0</v>
      </c>
      <c r="L6451" s="9">
        <v>1.7499E-4</v>
      </c>
      <c r="M6451" s="9">
        <v>1.6841999999999999E-4</v>
      </c>
      <c r="N6451" s="9">
        <v>1.7003E-4</v>
      </c>
      <c r="O6451" s="9">
        <v>1.8331000000000001E-4</v>
      </c>
      <c r="P6451" s="9">
        <v>1.6735E-4</v>
      </c>
      <c r="Q6451" s="9">
        <v>1.5264E-4</v>
      </c>
      <c r="R6451" s="10">
        <v>2.4329129731276649E-5</v>
      </c>
      <c r="S6451" s="10">
        <v>3.9755282407563973E-6</v>
      </c>
      <c r="T6451" s="10">
        <v>1.3823468931187203E-4</v>
      </c>
      <c r="U6451" s="10">
        <v>6.8639999999999993E-5</v>
      </c>
      <c r="V6451" s="25"/>
      <c r="W6451" s="25"/>
      <c r="X6451" s="25"/>
      <c r="Y6451" s="25"/>
      <c r="Z6451" s="25"/>
      <c r="AA6451" s="25"/>
    </row>
    <row r="6452" spans="1:27" x14ac:dyDescent="0.35">
      <c r="A6452" s="5">
        <v>6448</v>
      </c>
      <c r="B6452" s="5">
        <v>269</v>
      </c>
      <c r="C6452" s="5">
        <v>9</v>
      </c>
      <c r="D6452" s="25">
        <v>1.1415000000000001E-4</v>
      </c>
      <c r="E6452" s="25">
        <v>1.2138000000000001E-4</v>
      </c>
      <c r="F6452" s="25">
        <v>1.0737E-4</v>
      </c>
      <c r="G6452" s="25">
        <v>1.6054E-4</v>
      </c>
      <c r="H6452" s="25">
        <v>1.9400999999999999E-4</v>
      </c>
      <c r="I6452" s="9">
        <v>9.7280000000000004E-5</v>
      </c>
      <c r="J6452" s="9">
        <v>1.0451E-4</v>
      </c>
      <c r="K6452" s="9">
        <v>0</v>
      </c>
      <c r="L6452" s="9">
        <v>1.8116000000000001E-4</v>
      </c>
      <c r="M6452" s="9">
        <v>1.6778999999999999E-4</v>
      </c>
      <c r="N6452" s="9">
        <v>1.6611999999999999E-4</v>
      </c>
      <c r="O6452" s="9">
        <v>1.9715999999999999E-4</v>
      </c>
      <c r="P6452" s="9">
        <v>1.5262000000000001E-4</v>
      </c>
      <c r="Q6452" s="9">
        <v>1.0988E-4</v>
      </c>
      <c r="R6452" s="10">
        <v>3.06859845278528E-5</v>
      </c>
      <c r="S6452" s="10">
        <v>5.5473634099210104E-6</v>
      </c>
      <c r="T6452" s="10">
        <v>5.6310294786895884E-5</v>
      </c>
      <c r="U6452" s="10">
        <v>6.8639999999999993E-5</v>
      </c>
      <c r="V6452" s="25"/>
      <c r="W6452" s="25"/>
      <c r="X6452" s="25"/>
      <c r="Y6452" s="25"/>
      <c r="Z6452" s="25"/>
      <c r="AA6452" s="25"/>
    </row>
    <row r="6453" spans="1:27" x14ac:dyDescent="0.35">
      <c r="A6453" s="5">
        <v>6449</v>
      </c>
      <c r="B6453" s="5">
        <v>269</v>
      </c>
      <c r="C6453" s="5">
        <v>9</v>
      </c>
      <c r="D6453" s="25">
        <v>1.1416E-4</v>
      </c>
      <c r="E6453" s="25">
        <v>1.1356E-4</v>
      </c>
      <c r="F6453" s="25">
        <v>1.0925E-4</v>
      </c>
      <c r="G6453" s="25">
        <v>1.6394000000000001E-4</v>
      </c>
      <c r="H6453" s="25">
        <v>2.0180999999999999E-4</v>
      </c>
      <c r="I6453" s="9">
        <v>1.0152E-4</v>
      </c>
      <c r="J6453" s="9">
        <v>1.1069999999999999E-4</v>
      </c>
      <c r="K6453" s="9">
        <v>0</v>
      </c>
      <c r="L6453" s="9">
        <v>1.9342E-4</v>
      </c>
      <c r="M6453" s="9">
        <v>1.6226000000000001E-4</v>
      </c>
      <c r="N6453" s="9">
        <v>1.5243E-4</v>
      </c>
      <c r="O6453" s="9">
        <v>2.1222E-4</v>
      </c>
      <c r="P6453" s="9">
        <v>1.5834000000000001E-4</v>
      </c>
      <c r="Q6453" s="9">
        <v>1.065E-4</v>
      </c>
      <c r="R6453" s="10">
        <v>3.438098892171825E-5</v>
      </c>
      <c r="S6453" s="10">
        <v>8.5773684825489689E-6</v>
      </c>
      <c r="T6453" s="10">
        <v>1.6033628911899328E-4</v>
      </c>
      <c r="U6453" s="10">
        <v>6.8639999999999993E-5</v>
      </c>
      <c r="V6453" s="25"/>
      <c r="W6453" s="25"/>
      <c r="X6453" s="25"/>
      <c r="Y6453" s="25"/>
      <c r="Z6453" s="25"/>
      <c r="AA6453" s="25"/>
    </row>
    <row r="6454" spans="1:27" x14ac:dyDescent="0.35">
      <c r="A6454" s="5">
        <v>6450</v>
      </c>
      <c r="B6454" s="5">
        <v>269</v>
      </c>
      <c r="C6454" s="5">
        <v>9</v>
      </c>
      <c r="D6454" s="25">
        <v>1.1415000000000001E-4</v>
      </c>
      <c r="E6454" s="25">
        <v>1.2081E-4</v>
      </c>
      <c r="F6454" s="25">
        <v>1.192E-4</v>
      </c>
      <c r="G6454" s="25">
        <v>1.5708000000000001E-4</v>
      </c>
      <c r="H6454" s="25">
        <v>1.8974000000000001E-4</v>
      </c>
      <c r="I6454" s="9">
        <v>1.0374000000000001E-4</v>
      </c>
      <c r="J6454" s="9">
        <v>1.1294999999999999E-4</v>
      </c>
      <c r="K6454" s="9">
        <v>2.1299999999999999E-6</v>
      </c>
      <c r="L6454" s="9">
        <v>2.0782999999999999E-4</v>
      </c>
      <c r="M6454" s="9">
        <v>1.5930999999999999E-4</v>
      </c>
      <c r="N6454" s="9">
        <v>1.3898E-4</v>
      </c>
      <c r="O6454" s="9">
        <v>2.0327E-4</v>
      </c>
      <c r="P6454" s="9">
        <v>1.5907000000000001E-4</v>
      </c>
      <c r="Q6454" s="9">
        <v>1.1671E-4</v>
      </c>
      <c r="R6454" s="10">
        <v>4.0226846984849733E-5</v>
      </c>
      <c r="S6454" s="10">
        <v>1.2286937205999865E-5</v>
      </c>
      <c r="T6454" s="10">
        <v>0</v>
      </c>
      <c r="U6454" s="10">
        <v>6.8639999999999993E-5</v>
      </c>
      <c r="V6454" s="25"/>
      <c r="W6454" s="25"/>
      <c r="X6454" s="25"/>
      <c r="Y6454" s="25"/>
      <c r="Z6454" s="25"/>
      <c r="AA6454" s="25"/>
    </row>
    <row r="6455" spans="1:27" x14ac:dyDescent="0.35">
      <c r="A6455" s="5">
        <v>6451</v>
      </c>
      <c r="B6455" s="5">
        <v>269</v>
      </c>
      <c r="C6455" s="5">
        <v>9</v>
      </c>
      <c r="D6455" s="25">
        <v>1.1416E-4</v>
      </c>
      <c r="E6455" s="25">
        <v>1.1722000000000001E-4</v>
      </c>
      <c r="F6455" s="25">
        <v>1.0988E-4</v>
      </c>
      <c r="G6455" s="25">
        <v>1.1141000000000001E-4</v>
      </c>
      <c r="H6455" s="25">
        <v>1.3299000000000001E-4</v>
      </c>
      <c r="I6455" s="9">
        <v>1.0650999999999999E-4</v>
      </c>
      <c r="J6455" s="9">
        <v>1.1416E-4</v>
      </c>
      <c r="K6455" s="9">
        <v>2.1299999999999999E-6</v>
      </c>
      <c r="L6455" s="9">
        <v>2.0390999999999999E-4</v>
      </c>
      <c r="M6455" s="9">
        <v>1.5861E-4</v>
      </c>
      <c r="N6455" s="9">
        <v>1.2970000000000001E-4</v>
      </c>
      <c r="O6455" s="9">
        <v>1.6547E-4</v>
      </c>
      <c r="P6455" s="9">
        <v>1.3605999999999999E-4</v>
      </c>
      <c r="Q6455" s="9">
        <v>1.0799E-4</v>
      </c>
      <c r="R6455" s="10">
        <v>6.1120969938595638E-5</v>
      </c>
      <c r="S6455" s="10">
        <v>1.4911365177172462E-5</v>
      </c>
      <c r="T6455" s="10">
        <v>0</v>
      </c>
      <c r="U6455" s="10">
        <v>6.8639999999999993E-5</v>
      </c>
      <c r="V6455" s="25"/>
      <c r="W6455" s="25"/>
      <c r="X6455" s="25"/>
      <c r="Y6455" s="25"/>
      <c r="Z6455" s="25"/>
      <c r="AA6455" s="25"/>
    </row>
    <row r="6456" spans="1:27" x14ac:dyDescent="0.35">
      <c r="A6456" s="5">
        <v>6452</v>
      </c>
      <c r="B6456" s="5">
        <v>269</v>
      </c>
      <c r="C6456" s="5">
        <v>9</v>
      </c>
      <c r="D6456" s="25">
        <v>1.1415000000000001E-4</v>
      </c>
      <c r="E6456" s="25">
        <v>1.2087E-4</v>
      </c>
      <c r="F6456" s="25">
        <v>1.0547E-4</v>
      </c>
      <c r="G6456" s="25">
        <v>1.0916000000000001E-4</v>
      </c>
      <c r="H6456" s="25">
        <v>1.3428E-4</v>
      </c>
      <c r="I6456" s="9">
        <v>1.1006999999999999E-4</v>
      </c>
      <c r="J6456" s="9">
        <v>1.1496E-4</v>
      </c>
      <c r="K6456" s="9">
        <v>6.3600000000000001E-6</v>
      </c>
      <c r="L6456" s="9">
        <v>1.7411E-4</v>
      </c>
      <c r="M6456" s="9">
        <v>1.5048000000000001E-4</v>
      </c>
      <c r="N6456" s="9">
        <v>1.2082E-4</v>
      </c>
      <c r="O6456" s="9">
        <v>1.2771000000000001E-4</v>
      </c>
      <c r="P6456" s="9">
        <v>1.1398E-4</v>
      </c>
      <c r="Q6456" s="9">
        <v>1.0111E-4</v>
      </c>
      <c r="R6456" s="10">
        <v>9.4493031419299648E-5</v>
      </c>
      <c r="S6456" s="10">
        <v>1.6130893552863398E-5</v>
      </c>
      <c r="T6456" s="10">
        <v>0</v>
      </c>
      <c r="U6456" s="10">
        <v>6.8639999999999993E-5</v>
      </c>
      <c r="V6456" s="25"/>
      <c r="W6456" s="25"/>
      <c r="X6456" s="25"/>
      <c r="Y6456" s="25"/>
      <c r="Z6456" s="25"/>
      <c r="AA6456" s="25"/>
    </row>
    <row r="6457" spans="1:27" x14ac:dyDescent="0.35">
      <c r="A6457" s="5">
        <v>6453</v>
      </c>
      <c r="B6457" s="5">
        <v>269</v>
      </c>
      <c r="C6457" s="5">
        <v>9</v>
      </c>
      <c r="D6457" s="25">
        <v>1.1416E-4</v>
      </c>
      <c r="E6457" s="25">
        <v>1.2203E-4</v>
      </c>
      <c r="F6457" s="25">
        <v>1.0644E-4</v>
      </c>
      <c r="G6457" s="25">
        <v>6.1309999999999994E-5</v>
      </c>
      <c r="H6457" s="25">
        <v>7.3129999999999999E-5</v>
      </c>
      <c r="I6457" s="9">
        <v>1.0479E-4</v>
      </c>
      <c r="J6457" s="9">
        <v>1.1001E-4</v>
      </c>
      <c r="K6457" s="9">
        <v>2.756E-5</v>
      </c>
      <c r="L6457" s="9">
        <v>1.3883999999999999E-4</v>
      </c>
      <c r="M6457" s="9">
        <v>1.3506999999999999E-4</v>
      </c>
      <c r="N6457" s="9">
        <v>1.1299E-4</v>
      </c>
      <c r="O6457" s="9">
        <v>8.5480000000000002E-5</v>
      </c>
      <c r="P6457" s="9">
        <v>8.7169999999999994E-5</v>
      </c>
      <c r="Q6457" s="9">
        <v>8.9179999999999997E-5</v>
      </c>
      <c r="R6457" s="10">
        <v>1.2538381465524042E-4</v>
      </c>
      <c r="S6457" s="10">
        <v>1.5888920037837037E-5</v>
      </c>
      <c r="T6457" s="10">
        <v>0</v>
      </c>
      <c r="U6457" s="10">
        <v>6.8639999999999993E-5</v>
      </c>
      <c r="V6457" s="25"/>
      <c r="W6457" s="25"/>
      <c r="X6457" s="25"/>
      <c r="Y6457" s="25"/>
      <c r="Z6457" s="25"/>
      <c r="AA6457" s="25"/>
    </row>
    <row r="6458" spans="1:27" x14ac:dyDescent="0.35">
      <c r="A6458" s="5">
        <v>6454</v>
      </c>
      <c r="B6458" s="5">
        <v>269</v>
      </c>
      <c r="C6458" s="5">
        <v>9</v>
      </c>
      <c r="D6458" s="25">
        <v>1.1415000000000001E-4</v>
      </c>
      <c r="E6458" s="25">
        <v>1.1424E-4</v>
      </c>
      <c r="F6458" s="25">
        <v>1.1683E-4</v>
      </c>
      <c r="G6458" s="25">
        <v>5.4119999999999997E-5</v>
      </c>
      <c r="H6458" s="25">
        <v>6.9820000000000006E-5</v>
      </c>
      <c r="I6458" s="9">
        <v>1.0052000000000001E-4</v>
      </c>
      <c r="J6458" s="9">
        <v>1.0420999999999999E-4</v>
      </c>
      <c r="K6458" s="9">
        <v>2.5429999999999999E-5</v>
      </c>
      <c r="L6458" s="9">
        <v>9.8170000000000004E-5</v>
      </c>
      <c r="M6458" s="9">
        <v>1.1385E-4</v>
      </c>
      <c r="N6458" s="9">
        <v>1.0561E-4</v>
      </c>
      <c r="O6458" s="9">
        <v>8.7600000000000002E-5</v>
      </c>
      <c r="P6458" s="9">
        <v>8.789E-5</v>
      </c>
      <c r="Q6458" s="9">
        <v>8.8540000000000003E-5</v>
      </c>
      <c r="R6458" s="10">
        <v>1.3902077572304099E-4</v>
      </c>
      <c r="S6458" s="10">
        <v>1.4865298541942402E-5</v>
      </c>
      <c r="T6458" s="10">
        <v>0</v>
      </c>
      <c r="U6458" s="10">
        <v>6.8639999999999993E-5</v>
      </c>
      <c r="V6458" s="25"/>
      <c r="W6458" s="25"/>
      <c r="X6458" s="25"/>
      <c r="Y6458" s="25"/>
      <c r="Z6458" s="25"/>
      <c r="AA6458" s="25"/>
    </row>
    <row r="6459" spans="1:27" x14ac:dyDescent="0.35">
      <c r="A6459" s="5">
        <v>6455</v>
      </c>
      <c r="B6459" s="5">
        <v>269</v>
      </c>
      <c r="C6459" s="5">
        <v>9</v>
      </c>
      <c r="D6459" s="25">
        <v>1.1416E-4</v>
      </c>
      <c r="E6459" s="25">
        <v>1.1166E-4</v>
      </c>
      <c r="F6459" s="25">
        <v>1.1836E-4</v>
      </c>
      <c r="G6459" s="25">
        <v>5.6789999999999997E-5</v>
      </c>
      <c r="H6459" s="25">
        <v>6.5320000000000005E-5</v>
      </c>
      <c r="I6459" s="9">
        <v>9.5439999999999994E-5</v>
      </c>
      <c r="J6459" s="9">
        <v>9.7200000000000004E-5</v>
      </c>
      <c r="K6459" s="9">
        <v>3.6029999999999999E-5</v>
      </c>
      <c r="L6459" s="9">
        <v>9.0840000000000004E-5</v>
      </c>
      <c r="M6459" s="9">
        <v>9.9300000000000001E-5</v>
      </c>
      <c r="N6459" s="9">
        <v>9.9909999999999997E-5</v>
      </c>
      <c r="O6459" s="9">
        <v>7.8209999999999998E-5</v>
      </c>
      <c r="P6459" s="9">
        <v>7.2539999999999993E-5</v>
      </c>
      <c r="Q6459" s="9">
        <v>6.7260000000000003E-5</v>
      </c>
      <c r="R6459" s="10">
        <v>1.3860174456133402E-4</v>
      </c>
      <c r="S6459" s="10">
        <v>1.354563427811261E-5</v>
      </c>
      <c r="T6459" s="10">
        <v>0</v>
      </c>
      <c r="U6459" s="10">
        <v>6.8639999999999993E-5</v>
      </c>
      <c r="V6459" s="25"/>
      <c r="W6459" s="25"/>
      <c r="X6459" s="25"/>
      <c r="Y6459" s="25"/>
      <c r="Z6459" s="25"/>
      <c r="AA6459" s="25"/>
    </row>
    <row r="6460" spans="1:27" x14ac:dyDescent="0.35">
      <c r="A6460" s="5">
        <v>6456</v>
      </c>
      <c r="B6460" s="5">
        <v>269</v>
      </c>
      <c r="C6460" s="5">
        <v>9</v>
      </c>
      <c r="D6460" s="25">
        <v>1.1415000000000001E-4</v>
      </c>
      <c r="E6460" s="25">
        <v>1.22E-4</v>
      </c>
      <c r="F6460" s="25">
        <v>1.2464999999999999E-4</v>
      </c>
      <c r="G6460" s="25">
        <v>5.2389999999999998E-5</v>
      </c>
      <c r="H6460" s="25">
        <v>7.4740000000000006E-5</v>
      </c>
      <c r="I6460" s="9">
        <v>8.9959999999999999E-5</v>
      </c>
      <c r="J6460" s="9">
        <v>9.2E-5</v>
      </c>
      <c r="K6460" s="9">
        <v>3.8149999999999999E-5</v>
      </c>
      <c r="L6460" s="9">
        <v>8.0970000000000006E-5</v>
      </c>
      <c r="M6460" s="9">
        <v>8.6470000000000004E-5</v>
      </c>
      <c r="N6460" s="9">
        <v>9.077E-5</v>
      </c>
      <c r="O6460" s="9">
        <v>6.2970000000000002E-5</v>
      </c>
      <c r="P6460" s="9">
        <v>6.0909999999999998E-5</v>
      </c>
      <c r="Q6460" s="9">
        <v>5.9089999999999998E-5</v>
      </c>
      <c r="R6460" s="10">
        <v>1.3929023848025321E-4</v>
      </c>
      <c r="S6460" s="10">
        <v>1.0006897061613404E-5</v>
      </c>
      <c r="T6460" s="10">
        <v>0</v>
      </c>
      <c r="U6460" s="10">
        <v>6.8639999999999993E-5</v>
      </c>
      <c r="V6460" s="25"/>
      <c r="W6460" s="25"/>
      <c r="X6460" s="25"/>
      <c r="Y6460" s="25"/>
      <c r="Z6460" s="25"/>
      <c r="AA6460" s="25"/>
    </row>
    <row r="6461" spans="1:27" x14ac:dyDescent="0.35">
      <c r="A6461" s="5">
        <v>6457</v>
      </c>
      <c r="B6461" s="5">
        <v>270</v>
      </c>
      <c r="C6461" s="5">
        <v>9</v>
      </c>
      <c r="D6461" s="25">
        <v>1.1416E-4</v>
      </c>
      <c r="E6461" s="25">
        <v>1.1836E-4</v>
      </c>
      <c r="F6461" s="25">
        <v>8.3809999999999999E-5</v>
      </c>
      <c r="G6461" s="25">
        <v>5.9530000000000001E-5</v>
      </c>
      <c r="H6461" s="25">
        <v>6.6489999999999995E-5</v>
      </c>
      <c r="I6461" s="9">
        <v>8.6879999999999995E-5</v>
      </c>
      <c r="J6461" s="9">
        <v>8.8449999999999995E-5</v>
      </c>
      <c r="K6461" s="9">
        <v>3.8149999999999999E-5</v>
      </c>
      <c r="L6461" s="9">
        <v>6.6940000000000006E-5</v>
      </c>
      <c r="M6461" s="9">
        <v>7.4320000000000007E-5</v>
      </c>
      <c r="N6461" s="9">
        <v>8.1390000000000005E-5</v>
      </c>
      <c r="O6461" s="9">
        <v>5.4809999999999999E-5</v>
      </c>
      <c r="P6461" s="9">
        <v>5.4230000000000001E-5</v>
      </c>
      <c r="Q6461" s="9">
        <v>5.38E-5</v>
      </c>
      <c r="R6461" s="10">
        <v>1.272313091772343E-4</v>
      </c>
      <c r="S6461" s="10">
        <v>7.9318528040986985E-6</v>
      </c>
      <c r="T6461" s="10">
        <v>0</v>
      </c>
      <c r="U6461" s="10">
        <v>6.8040000000000006E-5</v>
      </c>
      <c r="V6461" s="25"/>
      <c r="W6461" s="25"/>
      <c r="X6461" s="25"/>
      <c r="Y6461" s="25"/>
      <c r="Z6461" s="25"/>
      <c r="AA6461" s="25"/>
    </row>
    <row r="6462" spans="1:27" x14ac:dyDescent="0.35">
      <c r="A6462" s="5">
        <v>6458</v>
      </c>
      <c r="B6462" s="5">
        <v>270</v>
      </c>
      <c r="C6462" s="5">
        <v>9</v>
      </c>
      <c r="D6462" s="25">
        <v>1.1415000000000001E-4</v>
      </c>
      <c r="E6462" s="25">
        <v>1.0891E-4</v>
      </c>
      <c r="F6462" s="25">
        <v>1.0093E-4</v>
      </c>
      <c r="G6462" s="25">
        <v>5.7089999999999997E-5</v>
      </c>
      <c r="H6462" s="25">
        <v>6.8139999999999995E-5</v>
      </c>
      <c r="I6462" s="9">
        <v>8.4980000000000003E-5</v>
      </c>
      <c r="J6462" s="9">
        <v>8.7440000000000003E-5</v>
      </c>
      <c r="K6462" s="9">
        <v>4.0269999999999999E-5</v>
      </c>
      <c r="L6462" s="9">
        <v>5.7859999999999998E-5</v>
      </c>
      <c r="M6462" s="9">
        <v>6.4189999999999994E-5</v>
      </c>
      <c r="N6462" s="9">
        <v>7.237E-5</v>
      </c>
      <c r="O6462" s="9">
        <v>1.9049999999999999E-5</v>
      </c>
      <c r="P6462" s="9">
        <v>3.7969999999999997E-5</v>
      </c>
      <c r="Q6462" s="9">
        <v>5.6499999999999998E-5</v>
      </c>
      <c r="R6462" s="10">
        <v>1.1537226680193123E-4</v>
      </c>
      <c r="S6462" s="10">
        <v>6.4381913038541141E-6</v>
      </c>
      <c r="T6462" s="10">
        <v>0</v>
      </c>
      <c r="U6462" s="10">
        <v>6.8040000000000006E-5</v>
      </c>
      <c r="V6462" s="25"/>
      <c r="W6462" s="25"/>
      <c r="X6462" s="25"/>
      <c r="Y6462" s="25"/>
      <c r="Z6462" s="25"/>
      <c r="AA6462" s="25"/>
    </row>
    <row r="6463" spans="1:27" x14ac:dyDescent="0.35">
      <c r="A6463" s="5">
        <v>6459</v>
      </c>
      <c r="B6463" s="5">
        <v>270</v>
      </c>
      <c r="C6463" s="5">
        <v>9</v>
      </c>
      <c r="D6463" s="25">
        <v>1.1416E-4</v>
      </c>
      <c r="E6463" s="25">
        <v>1.1548999999999999E-4</v>
      </c>
      <c r="F6463" s="25">
        <v>9.9939999999999995E-5</v>
      </c>
      <c r="G6463" s="25">
        <v>5.2219999999999998E-5</v>
      </c>
      <c r="H6463" s="25">
        <v>7.6459999999999996E-5</v>
      </c>
      <c r="I6463" s="9">
        <v>8.4389999999999997E-5</v>
      </c>
      <c r="J6463" s="9">
        <v>8.7070000000000005E-5</v>
      </c>
      <c r="K6463" s="9">
        <v>4.2389999999999999E-5</v>
      </c>
      <c r="L6463" s="9">
        <v>2.779E-5</v>
      </c>
      <c r="M6463" s="9">
        <v>5.2450000000000001E-5</v>
      </c>
      <c r="N6463" s="9">
        <v>6.5809999999999995E-5</v>
      </c>
      <c r="O6463" s="9">
        <v>1.36E-5</v>
      </c>
      <c r="P6463" s="9">
        <v>3.8139999999999997E-5</v>
      </c>
      <c r="Q6463" s="9">
        <v>6.2169999999999996E-5</v>
      </c>
      <c r="R6463" s="10">
        <v>1.0382015903875584E-4</v>
      </c>
      <c r="S6463" s="10">
        <v>5.4672870827786694E-6</v>
      </c>
      <c r="T6463" s="10">
        <v>0</v>
      </c>
      <c r="U6463" s="10">
        <v>6.8040000000000006E-5</v>
      </c>
      <c r="V6463" s="25"/>
      <c r="W6463" s="25"/>
      <c r="X6463" s="25"/>
      <c r="Y6463" s="25"/>
      <c r="Z6463" s="25"/>
      <c r="AA6463" s="25"/>
    </row>
    <row r="6464" spans="1:27" x14ac:dyDescent="0.35">
      <c r="A6464" s="5">
        <v>6460</v>
      </c>
      <c r="B6464" s="5">
        <v>270</v>
      </c>
      <c r="C6464" s="5">
        <v>9</v>
      </c>
      <c r="D6464" s="25">
        <v>1.1415000000000001E-4</v>
      </c>
      <c r="E6464" s="25">
        <v>1.1760999999999999E-4</v>
      </c>
      <c r="F6464" s="25">
        <v>9.4500000000000007E-5</v>
      </c>
      <c r="G6464" s="25">
        <v>5.5949999999999998E-5</v>
      </c>
      <c r="H6464" s="25">
        <v>7.674E-5</v>
      </c>
      <c r="I6464" s="9">
        <v>8.6100000000000006E-5</v>
      </c>
      <c r="J6464" s="9">
        <v>8.7620000000000005E-5</v>
      </c>
      <c r="K6464" s="9">
        <v>3.8149999999999999E-5</v>
      </c>
      <c r="L6464" s="9">
        <v>1.747E-5</v>
      </c>
      <c r="M6464" s="9">
        <v>4.4490000000000003E-5</v>
      </c>
      <c r="N6464" s="9">
        <v>6.2290000000000002E-5</v>
      </c>
      <c r="O6464" s="9">
        <v>1.361E-5</v>
      </c>
      <c r="P6464" s="9">
        <v>4.7679999999999998E-5</v>
      </c>
      <c r="Q6464" s="9">
        <v>8.1100000000000006E-5</v>
      </c>
      <c r="R6464" s="10">
        <v>9.19930300332656E-5</v>
      </c>
      <c r="S6464" s="10">
        <v>5.1220595443656051E-6</v>
      </c>
      <c r="T6464" s="10">
        <v>0</v>
      </c>
      <c r="U6464" s="10">
        <v>6.8040000000000006E-5</v>
      </c>
      <c r="V6464" s="25"/>
      <c r="W6464" s="25"/>
      <c r="X6464" s="25"/>
      <c r="Y6464" s="25"/>
      <c r="Z6464" s="25"/>
      <c r="AA6464" s="25"/>
    </row>
    <row r="6465" spans="1:27" x14ac:dyDescent="0.35">
      <c r="A6465" s="5">
        <v>6461</v>
      </c>
      <c r="B6465" s="5">
        <v>270</v>
      </c>
      <c r="C6465" s="5">
        <v>9</v>
      </c>
      <c r="D6465" s="25">
        <v>1.1416E-4</v>
      </c>
      <c r="E6465" s="25">
        <v>1.1627E-4</v>
      </c>
      <c r="F6465" s="25">
        <v>1.0639E-4</v>
      </c>
      <c r="G6465" s="25">
        <v>5.4679999999999998E-5</v>
      </c>
      <c r="H6465" s="25">
        <v>7.4590000000000002E-5</v>
      </c>
      <c r="I6465" s="9">
        <v>9.221E-5</v>
      </c>
      <c r="J6465" s="9">
        <v>9.1470000000000003E-5</v>
      </c>
      <c r="K6465" s="9">
        <v>2.968E-5</v>
      </c>
      <c r="L6465" s="9">
        <v>1.47E-5</v>
      </c>
      <c r="M6465" s="9">
        <v>4.3859999999999997E-5</v>
      </c>
      <c r="N6465" s="9">
        <v>6.4919999999999995E-5</v>
      </c>
      <c r="O6465" s="9">
        <v>1.9029999999999999E-5</v>
      </c>
      <c r="P6465" s="9">
        <v>5.6910000000000002E-5</v>
      </c>
      <c r="Q6465" s="9">
        <v>9.4110000000000005E-5</v>
      </c>
      <c r="R6465" s="10">
        <v>8.7014401780511073E-5</v>
      </c>
      <c r="S6465" s="10">
        <v>5.712249292953603E-6</v>
      </c>
      <c r="T6465" s="10">
        <v>0</v>
      </c>
      <c r="U6465" s="10">
        <v>6.8040000000000006E-5</v>
      </c>
      <c r="V6465" s="25"/>
      <c r="W6465" s="25"/>
      <c r="X6465" s="25"/>
      <c r="Y6465" s="25"/>
      <c r="Z6465" s="25"/>
      <c r="AA6465" s="25"/>
    </row>
    <row r="6466" spans="1:27" x14ac:dyDescent="0.35">
      <c r="A6466" s="5">
        <v>6462</v>
      </c>
      <c r="B6466" s="5">
        <v>270</v>
      </c>
      <c r="C6466" s="5">
        <v>9</v>
      </c>
      <c r="D6466" s="25">
        <v>1.1415000000000001E-4</v>
      </c>
      <c r="E6466" s="25">
        <v>1.1336999999999999E-4</v>
      </c>
      <c r="F6466" s="25">
        <v>8.9629999999999994E-5</v>
      </c>
      <c r="G6466" s="25">
        <v>1.1355E-4</v>
      </c>
      <c r="H6466" s="25">
        <v>1.3339999999999999E-4</v>
      </c>
      <c r="I6466" s="9">
        <v>1.0546E-4</v>
      </c>
      <c r="J6466" s="9">
        <v>1.0268E-4</v>
      </c>
      <c r="K6466" s="9">
        <v>2.544E-5</v>
      </c>
      <c r="L6466" s="9">
        <v>1.7949999999999999E-5</v>
      </c>
      <c r="M6466" s="9">
        <v>4.8739999999999998E-5</v>
      </c>
      <c r="N6466" s="9">
        <v>7.1489999999999995E-5</v>
      </c>
      <c r="O6466" s="9">
        <v>4.6699999999999997E-5</v>
      </c>
      <c r="P6466" s="9">
        <v>7.7509999999999995E-5</v>
      </c>
      <c r="Q6466" s="9">
        <v>1.0793000000000001E-4</v>
      </c>
      <c r="R6466" s="10">
        <v>8.5780402459351051E-5</v>
      </c>
      <c r="S6466" s="10">
        <v>5.9039776943585358E-6</v>
      </c>
      <c r="T6466" s="10">
        <v>0</v>
      </c>
      <c r="U6466" s="10">
        <v>6.8040000000000006E-5</v>
      </c>
      <c r="V6466" s="25"/>
      <c r="W6466" s="25"/>
      <c r="X6466" s="25"/>
      <c r="Y6466" s="25"/>
      <c r="Z6466" s="25"/>
      <c r="AA6466" s="25"/>
    </row>
    <row r="6467" spans="1:27" x14ac:dyDescent="0.35">
      <c r="A6467" s="5">
        <v>6463</v>
      </c>
      <c r="B6467" s="5">
        <v>270</v>
      </c>
      <c r="C6467" s="5">
        <v>9</v>
      </c>
      <c r="D6467" s="25">
        <v>1.1416E-4</v>
      </c>
      <c r="E6467" s="25">
        <v>1.1296E-4</v>
      </c>
      <c r="F6467" s="25">
        <v>9.8529999999999993E-5</v>
      </c>
      <c r="G6467" s="25">
        <v>1.1425E-4</v>
      </c>
      <c r="H6467" s="25">
        <v>1.2695E-4</v>
      </c>
      <c r="I6467" s="9">
        <v>1.1662E-4</v>
      </c>
      <c r="J6467" s="9">
        <v>1.1804E-4</v>
      </c>
      <c r="K6467" s="9">
        <v>1.272E-5</v>
      </c>
      <c r="L6467" s="9">
        <v>4.0229999999999999E-5</v>
      </c>
      <c r="M6467" s="9">
        <v>6.0479999999999997E-5</v>
      </c>
      <c r="N6467" s="9">
        <v>8.1320000000000001E-5</v>
      </c>
      <c r="O6467" s="9">
        <v>1.2273000000000001E-4</v>
      </c>
      <c r="P6467" s="9">
        <v>1.1711E-4</v>
      </c>
      <c r="Q6467" s="9">
        <v>1.1218E-4</v>
      </c>
      <c r="R6467" s="10">
        <v>9.1094199953750164E-5</v>
      </c>
      <c r="S6467" s="10">
        <v>7.1223563296016264E-6</v>
      </c>
      <c r="T6467" s="10">
        <v>3.4005071795371206E-5</v>
      </c>
      <c r="U6467" s="10">
        <v>6.8040000000000006E-5</v>
      </c>
      <c r="V6467" s="25"/>
      <c r="W6467" s="25"/>
      <c r="X6467" s="25"/>
      <c r="Y6467" s="25"/>
      <c r="Z6467" s="25"/>
      <c r="AA6467" s="25"/>
    </row>
    <row r="6468" spans="1:27" x14ac:dyDescent="0.35">
      <c r="A6468" s="5">
        <v>6464</v>
      </c>
      <c r="B6468" s="5">
        <v>270</v>
      </c>
      <c r="C6468" s="5">
        <v>9</v>
      </c>
      <c r="D6468" s="25">
        <v>1.1415000000000001E-4</v>
      </c>
      <c r="E6468" s="25">
        <v>1.1571E-4</v>
      </c>
      <c r="F6468" s="25">
        <v>8.7239999999999998E-5</v>
      </c>
      <c r="G6468" s="25">
        <v>1.6466000000000001E-4</v>
      </c>
      <c r="H6468" s="25">
        <v>2.0138999999999999E-4</v>
      </c>
      <c r="I6468" s="9">
        <v>1.1967E-4</v>
      </c>
      <c r="J6468" s="9">
        <v>1.2634000000000001E-4</v>
      </c>
      <c r="K6468" s="9">
        <v>8.49E-6</v>
      </c>
      <c r="L6468" s="9">
        <v>1.0395000000000001E-4</v>
      </c>
      <c r="M6468" s="9">
        <v>8.3889999999999998E-5</v>
      </c>
      <c r="N6468" s="9">
        <v>9.1260000000000004E-5</v>
      </c>
      <c r="O6468" s="9">
        <v>2.1781E-4</v>
      </c>
      <c r="P6468" s="9">
        <v>1.7589E-4</v>
      </c>
      <c r="Q6468" s="9">
        <v>1.3588000000000001E-4</v>
      </c>
      <c r="R6468" s="10">
        <v>9.4222272391568807E-5</v>
      </c>
      <c r="S6468" s="10">
        <v>8.459716453319184E-6</v>
      </c>
      <c r="T6468" s="10">
        <v>2.1917490511223165E-4</v>
      </c>
      <c r="U6468" s="10">
        <v>6.8040000000000006E-5</v>
      </c>
      <c r="V6468" s="25"/>
      <c r="W6468" s="25"/>
      <c r="X6468" s="25"/>
      <c r="Y6468" s="25"/>
      <c r="Z6468" s="25"/>
      <c r="AA6468" s="25"/>
    </row>
    <row r="6469" spans="1:27" x14ac:dyDescent="0.35">
      <c r="A6469" s="5">
        <v>6465</v>
      </c>
      <c r="B6469" s="5">
        <v>270</v>
      </c>
      <c r="C6469" s="5">
        <v>9</v>
      </c>
      <c r="D6469" s="25">
        <v>1.1416E-4</v>
      </c>
      <c r="E6469" s="25">
        <v>1.0901E-4</v>
      </c>
      <c r="F6469" s="25">
        <v>1.0066E-4</v>
      </c>
      <c r="G6469" s="25">
        <v>1.6449999999999999E-4</v>
      </c>
      <c r="H6469" s="25">
        <v>1.9829E-4</v>
      </c>
      <c r="I6469" s="9">
        <v>1.2238E-4</v>
      </c>
      <c r="J6469" s="9">
        <v>1.2904999999999999E-4</v>
      </c>
      <c r="K6469" s="9">
        <v>0</v>
      </c>
      <c r="L6469" s="9">
        <v>1.9101E-4</v>
      </c>
      <c r="M6469" s="9">
        <v>1.2306E-4</v>
      </c>
      <c r="N6469" s="9">
        <v>1.0471000000000001E-4</v>
      </c>
      <c r="O6469" s="9">
        <v>2.1002E-4</v>
      </c>
      <c r="P6469" s="9">
        <v>1.9237E-4</v>
      </c>
      <c r="Q6469" s="9">
        <v>1.7616999999999999E-4</v>
      </c>
      <c r="R6469" s="10">
        <v>9.4210669156323106E-5</v>
      </c>
      <c r="S6469" s="10">
        <v>8.564785922501923E-6</v>
      </c>
      <c r="T6469" s="10">
        <v>3.9957656219431195E-4</v>
      </c>
      <c r="U6469" s="10">
        <v>6.8040000000000006E-5</v>
      </c>
      <c r="V6469" s="25"/>
      <c r="W6469" s="25"/>
      <c r="X6469" s="25"/>
      <c r="Y6469" s="25"/>
      <c r="Z6469" s="25"/>
      <c r="AA6469" s="25"/>
    </row>
    <row r="6470" spans="1:27" x14ac:dyDescent="0.35">
      <c r="A6470" s="5">
        <v>6466</v>
      </c>
      <c r="B6470" s="5">
        <v>270</v>
      </c>
      <c r="C6470" s="5">
        <v>9</v>
      </c>
      <c r="D6470" s="25">
        <v>1.1415000000000001E-4</v>
      </c>
      <c r="E6470" s="25">
        <v>1.1743000000000001E-4</v>
      </c>
      <c r="F6470" s="25">
        <v>9.2670000000000006E-5</v>
      </c>
      <c r="G6470" s="25">
        <v>1.5919999999999999E-4</v>
      </c>
      <c r="H6470" s="25">
        <v>1.9547E-4</v>
      </c>
      <c r="I6470" s="9">
        <v>1.2384000000000001E-4</v>
      </c>
      <c r="J6470" s="9">
        <v>1.2788E-4</v>
      </c>
      <c r="K6470" s="9">
        <v>0</v>
      </c>
      <c r="L6470" s="9">
        <v>2.0356000000000001E-4</v>
      </c>
      <c r="M6470" s="9">
        <v>1.5793E-4</v>
      </c>
      <c r="N6470" s="9">
        <v>1.2446000000000001E-4</v>
      </c>
      <c r="O6470" s="9">
        <v>1.6737999999999999E-4</v>
      </c>
      <c r="P6470" s="9">
        <v>1.7462000000000001E-4</v>
      </c>
      <c r="Q6470" s="9">
        <v>1.8264999999999999E-4</v>
      </c>
      <c r="R6470" s="10">
        <v>8.4012326559954758E-5</v>
      </c>
      <c r="S6470" s="10">
        <v>8.7864095248858386E-6</v>
      </c>
      <c r="T6470" s="10">
        <v>5.3485871533233431E-4</v>
      </c>
      <c r="U6470" s="10">
        <v>6.8040000000000006E-5</v>
      </c>
      <c r="V6470" s="25"/>
      <c r="W6470" s="25"/>
      <c r="X6470" s="25"/>
      <c r="Y6470" s="25"/>
      <c r="Z6470" s="25"/>
      <c r="AA6470" s="25"/>
    </row>
    <row r="6471" spans="1:27" x14ac:dyDescent="0.35">
      <c r="A6471" s="5">
        <v>6467</v>
      </c>
      <c r="B6471" s="5">
        <v>270</v>
      </c>
      <c r="C6471" s="5">
        <v>9</v>
      </c>
      <c r="D6471" s="25">
        <v>1.1416E-4</v>
      </c>
      <c r="E6471" s="25">
        <v>1.2009E-4</v>
      </c>
      <c r="F6471" s="25">
        <v>8.9389999999999996E-5</v>
      </c>
      <c r="G6471" s="25">
        <v>1.6024999999999999E-4</v>
      </c>
      <c r="H6471" s="25">
        <v>2.0047000000000001E-4</v>
      </c>
      <c r="I6471" s="9">
        <v>1.2594E-4</v>
      </c>
      <c r="J6471" s="9">
        <v>1.2870000000000001E-4</v>
      </c>
      <c r="K6471" s="9">
        <v>0</v>
      </c>
      <c r="L6471" s="9">
        <v>1.7540000000000001E-4</v>
      </c>
      <c r="M6471" s="9">
        <v>1.7202999999999999E-4</v>
      </c>
      <c r="N6471" s="9">
        <v>1.426E-4</v>
      </c>
      <c r="O6471" s="9">
        <v>1.6689E-4</v>
      </c>
      <c r="P6471" s="9">
        <v>1.7275999999999999E-4</v>
      </c>
      <c r="Q6471" s="9">
        <v>1.7944E-4</v>
      </c>
      <c r="R6471" s="10">
        <v>4.2838259217110368E-5</v>
      </c>
      <c r="S6471" s="10">
        <v>8.3853543572274992E-6</v>
      </c>
      <c r="T6471" s="10">
        <v>4.3769651917450228E-4</v>
      </c>
      <c r="U6471" s="10">
        <v>6.8040000000000006E-5</v>
      </c>
      <c r="V6471" s="25"/>
      <c r="W6471" s="25"/>
      <c r="X6471" s="25"/>
      <c r="Y6471" s="25"/>
      <c r="Z6471" s="25"/>
      <c r="AA6471" s="25"/>
    </row>
    <row r="6472" spans="1:27" x14ac:dyDescent="0.35">
      <c r="A6472" s="5">
        <v>6468</v>
      </c>
      <c r="B6472" s="5">
        <v>270</v>
      </c>
      <c r="C6472" s="5">
        <v>9</v>
      </c>
      <c r="D6472" s="25">
        <v>1.1415000000000001E-4</v>
      </c>
      <c r="E6472" s="25">
        <v>1.1847E-4</v>
      </c>
      <c r="F6472" s="25">
        <v>8.4339999999999995E-5</v>
      </c>
      <c r="G6472" s="25">
        <v>1.6467000000000001E-4</v>
      </c>
      <c r="H6472" s="25">
        <v>1.9829E-4</v>
      </c>
      <c r="I6472" s="9">
        <v>1.2350999999999999E-4</v>
      </c>
      <c r="J6472" s="9">
        <v>1.2819E-4</v>
      </c>
      <c r="K6472" s="9">
        <v>0</v>
      </c>
      <c r="L6472" s="9">
        <v>1.7013999999999999E-4</v>
      </c>
      <c r="M6472" s="9">
        <v>1.7473E-4</v>
      </c>
      <c r="N6472" s="9">
        <v>1.5662E-4</v>
      </c>
      <c r="O6472" s="9">
        <v>1.6996000000000001E-4</v>
      </c>
      <c r="P6472" s="9">
        <v>1.7175E-4</v>
      </c>
      <c r="Q6472" s="9">
        <v>1.7442E-4</v>
      </c>
      <c r="R6472" s="10">
        <v>2.1719620047581973E-5</v>
      </c>
      <c r="S6472" s="10">
        <v>6.3644258981614514E-6</v>
      </c>
      <c r="T6472" s="10">
        <v>4.9716297331965122E-4</v>
      </c>
      <c r="U6472" s="10">
        <v>6.8040000000000006E-5</v>
      </c>
      <c r="V6472" s="25"/>
      <c r="W6472" s="25"/>
      <c r="X6472" s="25"/>
      <c r="Y6472" s="25"/>
      <c r="Z6472" s="25"/>
      <c r="AA6472" s="25"/>
    </row>
    <row r="6473" spans="1:27" x14ac:dyDescent="0.35">
      <c r="A6473" s="5">
        <v>6469</v>
      </c>
      <c r="B6473" s="5">
        <v>270</v>
      </c>
      <c r="C6473" s="5">
        <v>9</v>
      </c>
      <c r="D6473" s="25">
        <v>1.1416E-4</v>
      </c>
      <c r="E6473" s="25">
        <v>1.1915E-4</v>
      </c>
      <c r="F6473" s="25">
        <v>9.5470000000000006E-5</v>
      </c>
      <c r="G6473" s="25">
        <v>1.5731E-4</v>
      </c>
      <c r="H6473" s="25">
        <v>2.0018E-4</v>
      </c>
      <c r="I6473" s="9">
        <v>1.226E-4</v>
      </c>
      <c r="J6473" s="9">
        <v>1.2908E-4</v>
      </c>
      <c r="K6473" s="9">
        <v>0</v>
      </c>
      <c r="L6473" s="9">
        <v>1.7017000000000001E-4</v>
      </c>
      <c r="M6473" s="9">
        <v>1.7385999999999999E-4</v>
      </c>
      <c r="N6473" s="9">
        <v>1.6615999999999999E-4</v>
      </c>
      <c r="O6473" s="9">
        <v>1.6110000000000001E-4</v>
      </c>
      <c r="P6473" s="9">
        <v>1.6368E-4</v>
      </c>
      <c r="Q6473" s="9">
        <v>1.6707000000000001E-4</v>
      </c>
      <c r="R6473" s="10">
        <v>2.9890535451395195E-5</v>
      </c>
      <c r="S6473" s="10">
        <v>5.0262168826549931E-6</v>
      </c>
      <c r="T6473" s="10">
        <v>2.172744220577997E-4</v>
      </c>
      <c r="U6473" s="10">
        <v>6.8040000000000006E-5</v>
      </c>
      <c r="V6473" s="25"/>
      <c r="W6473" s="25"/>
      <c r="X6473" s="25"/>
      <c r="Y6473" s="25"/>
      <c r="Z6473" s="25"/>
      <c r="AA6473" s="25"/>
    </row>
    <row r="6474" spans="1:27" x14ac:dyDescent="0.35">
      <c r="A6474" s="5">
        <v>6470</v>
      </c>
      <c r="B6474" s="5">
        <v>270</v>
      </c>
      <c r="C6474" s="5">
        <v>9</v>
      </c>
      <c r="D6474" s="25">
        <v>1.1415000000000001E-4</v>
      </c>
      <c r="E6474" s="25">
        <v>1.1848E-4</v>
      </c>
      <c r="F6474" s="25">
        <v>1.0299E-4</v>
      </c>
      <c r="G6474" s="25">
        <v>1.6027000000000001E-4</v>
      </c>
      <c r="H6474" s="25">
        <v>2.0216E-4</v>
      </c>
      <c r="I6474" s="9">
        <v>1.2263000000000001E-4</v>
      </c>
      <c r="J6474" s="9">
        <v>1.2886000000000001E-4</v>
      </c>
      <c r="K6474" s="9">
        <v>0</v>
      </c>
      <c r="L6474" s="9">
        <v>1.6285E-4</v>
      </c>
      <c r="M6474" s="9">
        <v>1.6992E-4</v>
      </c>
      <c r="N6474" s="9">
        <v>1.7044E-4</v>
      </c>
      <c r="O6474" s="9">
        <v>1.7615999999999999E-4</v>
      </c>
      <c r="P6474" s="9">
        <v>1.6710999999999999E-4</v>
      </c>
      <c r="Q6474" s="9">
        <v>1.5915999999999999E-4</v>
      </c>
      <c r="R6474" s="10">
        <v>4.0118281948555802E-5</v>
      </c>
      <c r="S6474" s="10">
        <v>3.695354450749647E-6</v>
      </c>
      <c r="T6474" s="10">
        <v>2.0312261074176198E-4</v>
      </c>
      <c r="U6474" s="10">
        <v>6.8040000000000006E-5</v>
      </c>
      <c r="V6474" s="25"/>
      <c r="W6474" s="25"/>
      <c r="X6474" s="25"/>
      <c r="Y6474" s="25"/>
      <c r="Z6474" s="25"/>
      <c r="AA6474" s="25"/>
    </row>
    <row r="6475" spans="1:27" x14ac:dyDescent="0.35">
      <c r="A6475" s="5">
        <v>6471</v>
      </c>
      <c r="B6475" s="5">
        <v>270</v>
      </c>
      <c r="C6475" s="5">
        <v>9</v>
      </c>
      <c r="D6475" s="25">
        <v>1.1416E-4</v>
      </c>
      <c r="E6475" s="25">
        <v>1.1584E-4</v>
      </c>
      <c r="F6475" s="25">
        <v>8.3759999999999998E-5</v>
      </c>
      <c r="G6475" s="25">
        <v>1.6456000000000001E-4</v>
      </c>
      <c r="H6475" s="25">
        <v>1.9183000000000001E-4</v>
      </c>
      <c r="I6475" s="9">
        <v>1.2169E-4</v>
      </c>
      <c r="J6475" s="9">
        <v>1.2951999999999999E-4</v>
      </c>
      <c r="K6475" s="9">
        <v>0</v>
      </c>
      <c r="L6475" s="9">
        <v>1.7341000000000001E-4</v>
      </c>
      <c r="M6475" s="9">
        <v>1.6778999999999999E-4</v>
      </c>
      <c r="N6475" s="9">
        <v>1.6964000000000001E-4</v>
      </c>
      <c r="O6475" s="9">
        <v>1.8191999999999999E-4</v>
      </c>
      <c r="P6475" s="9">
        <v>1.6608000000000001E-4</v>
      </c>
      <c r="Q6475" s="9">
        <v>1.5149E-4</v>
      </c>
      <c r="R6475" s="10">
        <v>5.0299153617634822E-5</v>
      </c>
      <c r="S6475" s="10">
        <v>4.449994468202609E-6</v>
      </c>
      <c r="T6475" s="10">
        <v>9.1647401580239465E-5</v>
      </c>
      <c r="U6475" s="10">
        <v>6.8040000000000006E-5</v>
      </c>
      <c r="V6475" s="25"/>
      <c r="W6475" s="25"/>
      <c r="X6475" s="25"/>
      <c r="Y6475" s="25"/>
      <c r="Z6475" s="25"/>
      <c r="AA6475" s="25"/>
    </row>
    <row r="6476" spans="1:27" x14ac:dyDescent="0.35">
      <c r="A6476" s="5">
        <v>6472</v>
      </c>
      <c r="B6476" s="5">
        <v>270</v>
      </c>
      <c r="C6476" s="5">
        <v>9</v>
      </c>
      <c r="D6476" s="25">
        <v>1.1415000000000001E-4</v>
      </c>
      <c r="E6476" s="25">
        <v>1.1009E-4</v>
      </c>
      <c r="F6476" s="25">
        <v>8.7239999999999998E-5</v>
      </c>
      <c r="G6476" s="25">
        <v>1.6469E-4</v>
      </c>
      <c r="H6476" s="25">
        <v>1.9848000000000001E-4</v>
      </c>
      <c r="I6476" s="9">
        <v>1.2138000000000001E-4</v>
      </c>
      <c r="J6476" s="9">
        <v>1.3001000000000001E-4</v>
      </c>
      <c r="K6476" s="9">
        <v>0</v>
      </c>
      <c r="L6476" s="9">
        <v>1.7977999999999999E-4</v>
      </c>
      <c r="M6476" s="9">
        <v>1.6670000000000001E-4</v>
      </c>
      <c r="N6476" s="9">
        <v>1.6553999999999999E-4</v>
      </c>
      <c r="O6476" s="9">
        <v>1.9531999999999999E-4</v>
      </c>
      <c r="P6476" s="9">
        <v>1.5119999999999999E-4</v>
      </c>
      <c r="Q6476" s="9">
        <v>1.0885E-4</v>
      </c>
      <c r="R6476" s="10">
        <v>5.9135174086616232E-5</v>
      </c>
      <c r="S6476" s="10">
        <v>6.3112190341060867E-6</v>
      </c>
      <c r="T6476" s="10">
        <v>3.2987804303289119E-4</v>
      </c>
      <c r="U6476" s="10">
        <v>6.8040000000000006E-5</v>
      </c>
      <c r="V6476" s="25"/>
      <c r="W6476" s="25"/>
      <c r="X6476" s="25"/>
      <c r="Y6476" s="25"/>
      <c r="Z6476" s="25"/>
      <c r="AA6476" s="25"/>
    </row>
    <row r="6477" spans="1:27" x14ac:dyDescent="0.35">
      <c r="A6477" s="5">
        <v>6473</v>
      </c>
      <c r="B6477" s="5">
        <v>270</v>
      </c>
      <c r="C6477" s="5">
        <v>9</v>
      </c>
      <c r="D6477" s="25">
        <v>1.1416E-4</v>
      </c>
      <c r="E6477" s="25">
        <v>1.0969E-4</v>
      </c>
      <c r="F6477" s="25">
        <v>9.0690000000000001E-5</v>
      </c>
      <c r="G6477" s="25">
        <v>1.6285E-4</v>
      </c>
      <c r="H6477" s="25">
        <v>1.9755E-4</v>
      </c>
      <c r="I6477" s="9">
        <v>1.2294000000000001E-4</v>
      </c>
      <c r="J6477" s="9">
        <v>1.3100000000000001E-4</v>
      </c>
      <c r="K6477" s="9">
        <v>0</v>
      </c>
      <c r="L6477" s="9">
        <v>1.9167000000000001E-4</v>
      </c>
      <c r="M6477" s="9">
        <v>1.6096E-4</v>
      </c>
      <c r="N6477" s="9">
        <v>1.5166999999999999E-4</v>
      </c>
      <c r="O6477" s="9">
        <v>2.1296999999999999E-4</v>
      </c>
      <c r="P6477" s="9">
        <v>1.5890000000000001E-4</v>
      </c>
      <c r="Q6477" s="9">
        <v>1.0688000000000001E-4</v>
      </c>
      <c r="R6477" s="10">
        <v>6.6982941268299039E-5</v>
      </c>
      <c r="S6477" s="10">
        <v>8.6899011668561045E-6</v>
      </c>
      <c r="T6477" s="10">
        <v>1.0563801120862449E-4</v>
      </c>
      <c r="U6477" s="10">
        <v>6.8040000000000006E-5</v>
      </c>
      <c r="V6477" s="25"/>
      <c r="W6477" s="25"/>
      <c r="X6477" s="25"/>
      <c r="Y6477" s="25"/>
      <c r="Z6477" s="25"/>
      <c r="AA6477" s="25"/>
    </row>
    <row r="6478" spans="1:27" x14ac:dyDescent="0.35">
      <c r="A6478" s="5">
        <v>6474</v>
      </c>
      <c r="B6478" s="5">
        <v>270</v>
      </c>
      <c r="C6478" s="5">
        <v>9</v>
      </c>
      <c r="D6478" s="25">
        <v>1.1415000000000001E-4</v>
      </c>
      <c r="E6478" s="25">
        <v>1.1137999999999999E-4</v>
      </c>
      <c r="F6478" s="25">
        <v>9.6479999999999998E-5</v>
      </c>
      <c r="G6478" s="25">
        <v>1.6304000000000001E-4</v>
      </c>
      <c r="H6478" s="25">
        <v>1.9834E-4</v>
      </c>
      <c r="I6478" s="9">
        <v>1.2296E-4</v>
      </c>
      <c r="J6478" s="9">
        <v>1.2736E-4</v>
      </c>
      <c r="K6478" s="9">
        <v>1.908E-5</v>
      </c>
      <c r="L6478" s="9">
        <v>2.0803E-4</v>
      </c>
      <c r="M6478" s="9">
        <v>1.5865000000000001E-4</v>
      </c>
      <c r="N6478" s="9">
        <v>1.3834000000000001E-4</v>
      </c>
      <c r="O6478" s="9">
        <v>2.0468E-4</v>
      </c>
      <c r="P6478" s="9">
        <v>1.6018E-4</v>
      </c>
      <c r="Q6478" s="9">
        <v>1.1752E-4</v>
      </c>
      <c r="R6478" s="10">
        <v>7.7868689421688826E-5</v>
      </c>
      <c r="S6478" s="10">
        <v>1.130200991255588E-5</v>
      </c>
      <c r="T6478" s="10">
        <v>0</v>
      </c>
      <c r="U6478" s="10">
        <v>6.8040000000000006E-5</v>
      </c>
      <c r="V6478" s="25"/>
      <c r="W6478" s="25"/>
      <c r="X6478" s="25"/>
      <c r="Y6478" s="25"/>
      <c r="Z6478" s="25"/>
      <c r="AA6478" s="25"/>
    </row>
    <row r="6479" spans="1:27" x14ac:dyDescent="0.35">
      <c r="A6479" s="5">
        <v>6475</v>
      </c>
      <c r="B6479" s="5">
        <v>270</v>
      </c>
      <c r="C6479" s="5">
        <v>9</v>
      </c>
      <c r="D6479" s="25">
        <v>1.1416E-4</v>
      </c>
      <c r="E6479" s="25">
        <v>1.1533E-4</v>
      </c>
      <c r="F6479" s="25">
        <v>8.4359999999999999E-5</v>
      </c>
      <c r="G6479" s="25">
        <v>1.0976000000000001E-4</v>
      </c>
      <c r="H6479" s="25">
        <v>1.2867E-4</v>
      </c>
      <c r="I6479" s="9">
        <v>1.2297E-4</v>
      </c>
      <c r="J6479" s="9">
        <v>1.2894E-4</v>
      </c>
      <c r="K6479" s="9">
        <v>2.968E-5</v>
      </c>
      <c r="L6479" s="9">
        <v>2.05E-4</v>
      </c>
      <c r="M6479" s="9">
        <v>1.5876E-4</v>
      </c>
      <c r="N6479" s="9">
        <v>1.2936999999999999E-4</v>
      </c>
      <c r="O6479" s="9">
        <v>1.6463E-4</v>
      </c>
      <c r="P6479" s="9">
        <v>1.3536000000000001E-4</v>
      </c>
      <c r="Q6479" s="9">
        <v>1.0744E-4</v>
      </c>
      <c r="R6479" s="10">
        <v>1.0138040540088808E-4</v>
      </c>
      <c r="S6479" s="10">
        <v>1.4691081842048088E-5</v>
      </c>
      <c r="T6479" s="10">
        <v>0</v>
      </c>
      <c r="U6479" s="10">
        <v>6.8040000000000006E-5</v>
      </c>
      <c r="V6479" s="25"/>
      <c r="W6479" s="25"/>
      <c r="X6479" s="25"/>
      <c r="Y6479" s="25"/>
      <c r="Z6479" s="25"/>
      <c r="AA6479" s="25"/>
    </row>
    <row r="6480" spans="1:27" x14ac:dyDescent="0.35">
      <c r="A6480" s="5">
        <v>6476</v>
      </c>
      <c r="B6480" s="5">
        <v>270</v>
      </c>
      <c r="C6480" s="5">
        <v>9</v>
      </c>
      <c r="D6480" s="25">
        <v>1.1415000000000001E-4</v>
      </c>
      <c r="E6480" s="25">
        <v>1.0980999999999999E-4</v>
      </c>
      <c r="F6480" s="25">
        <v>9.3049999999999998E-5</v>
      </c>
      <c r="G6480" s="25">
        <v>1.076E-4</v>
      </c>
      <c r="H6480" s="25">
        <v>1.2805E-4</v>
      </c>
      <c r="I6480" s="9">
        <v>1.2197999999999999E-4</v>
      </c>
      <c r="J6480" s="9">
        <v>1.2861E-4</v>
      </c>
      <c r="K6480" s="9">
        <v>4.2389999999999999E-5</v>
      </c>
      <c r="L6480" s="9">
        <v>1.7367000000000001E-4</v>
      </c>
      <c r="M6480" s="9">
        <v>1.5053000000000001E-4</v>
      </c>
      <c r="N6480" s="9">
        <v>1.2052E-4</v>
      </c>
      <c r="O6480" s="9">
        <v>1.2926999999999999E-4</v>
      </c>
      <c r="P6480" s="9">
        <v>1.1538E-4</v>
      </c>
      <c r="Q6480" s="9">
        <v>1.0234999999999999E-4</v>
      </c>
      <c r="R6480" s="10">
        <v>1.3882544991194795E-4</v>
      </c>
      <c r="S6480" s="10">
        <v>1.8415733200246992E-5</v>
      </c>
      <c r="T6480" s="10">
        <v>0</v>
      </c>
      <c r="U6480" s="10">
        <v>6.8040000000000006E-5</v>
      </c>
      <c r="V6480" s="25"/>
      <c r="W6480" s="25"/>
      <c r="X6480" s="25"/>
      <c r="Y6480" s="25"/>
      <c r="Z6480" s="25"/>
      <c r="AA6480" s="25"/>
    </row>
    <row r="6481" spans="1:27" x14ac:dyDescent="0.35">
      <c r="A6481" s="5">
        <v>6477</v>
      </c>
      <c r="B6481" s="5">
        <v>270</v>
      </c>
      <c r="C6481" s="5">
        <v>9</v>
      </c>
      <c r="D6481" s="25">
        <v>1.1416E-4</v>
      </c>
      <c r="E6481" s="25">
        <v>1.1891E-4</v>
      </c>
      <c r="F6481" s="25">
        <v>8.8540000000000003E-5</v>
      </c>
      <c r="G6481" s="25">
        <v>5.7429999999999997E-5</v>
      </c>
      <c r="H6481" s="25">
        <v>6.3009999999999995E-5</v>
      </c>
      <c r="I6481" s="9">
        <v>1.1451999999999999E-4</v>
      </c>
      <c r="J6481" s="9">
        <v>1.2150999999999999E-4</v>
      </c>
      <c r="K6481" s="9">
        <v>3.8160000000000001E-5</v>
      </c>
      <c r="L6481" s="9">
        <v>1.4002E-4</v>
      </c>
      <c r="M6481" s="9">
        <v>1.3554999999999999E-4</v>
      </c>
      <c r="N6481" s="9">
        <v>1.1311000000000001E-4</v>
      </c>
      <c r="O6481" s="9">
        <v>8.441E-5</v>
      </c>
      <c r="P6481" s="9">
        <v>8.6080000000000003E-5</v>
      </c>
      <c r="Q6481" s="9">
        <v>8.8070000000000002E-5</v>
      </c>
      <c r="R6481" s="10">
        <v>1.6431415817064288E-4</v>
      </c>
      <c r="S6481" s="10">
        <v>1.958340705807457E-5</v>
      </c>
      <c r="T6481" s="10">
        <v>0</v>
      </c>
      <c r="U6481" s="10">
        <v>6.8040000000000006E-5</v>
      </c>
      <c r="V6481" s="25"/>
      <c r="W6481" s="25"/>
      <c r="X6481" s="25"/>
      <c r="Y6481" s="25"/>
      <c r="Z6481" s="25"/>
      <c r="AA6481" s="25"/>
    </row>
    <row r="6482" spans="1:27" x14ac:dyDescent="0.35">
      <c r="A6482" s="5">
        <v>6478</v>
      </c>
      <c r="B6482" s="5">
        <v>270</v>
      </c>
      <c r="C6482" s="5">
        <v>9</v>
      </c>
      <c r="D6482" s="25">
        <v>1.1415000000000001E-4</v>
      </c>
      <c r="E6482" s="25">
        <v>1.0894E-4</v>
      </c>
      <c r="F6482" s="25">
        <v>8.4779999999999998E-5</v>
      </c>
      <c r="G6482" s="25">
        <v>5.7099999999999999E-5</v>
      </c>
      <c r="H6482" s="25">
        <v>7.1050000000000006E-5</v>
      </c>
      <c r="I6482" s="9">
        <v>1.0986E-4</v>
      </c>
      <c r="J6482" s="9">
        <v>1.1289E-4</v>
      </c>
      <c r="K6482" s="9">
        <v>3.8160000000000001E-5</v>
      </c>
      <c r="L6482" s="9">
        <v>9.7559999999999994E-5</v>
      </c>
      <c r="M6482" s="9">
        <v>1.1388E-4</v>
      </c>
      <c r="N6482" s="9">
        <v>1.0558E-4</v>
      </c>
      <c r="O6482" s="9">
        <v>8.7609999999999996E-5</v>
      </c>
      <c r="P6482" s="9">
        <v>8.7899999999999995E-5</v>
      </c>
      <c r="Q6482" s="9">
        <v>8.8549999999999998E-5</v>
      </c>
      <c r="R6482" s="10">
        <v>1.7341237490019749E-4</v>
      </c>
      <c r="S6482" s="10">
        <v>1.8626890560065275E-5</v>
      </c>
      <c r="T6482" s="10">
        <v>0</v>
      </c>
      <c r="U6482" s="10">
        <v>6.8040000000000006E-5</v>
      </c>
      <c r="V6482" s="25"/>
      <c r="W6482" s="25"/>
      <c r="X6482" s="25"/>
      <c r="Y6482" s="25"/>
      <c r="Z6482" s="25"/>
      <c r="AA6482" s="25"/>
    </row>
    <row r="6483" spans="1:27" x14ac:dyDescent="0.35">
      <c r="A6483" s="5">
        <v>6479</v>
      </c>
      <c r="B6483" s="5">
        <v>270</v>
      </c>
      <c r="C6483" s="5">
        <v>9</v>
      </c>
      <c r="D6483" s="25">
        <v>1.1416E-4</v>
      </c>
      <c r="E6483" s="25">
        <v>1.1314E-4</v>
      </c>
      <c r="F6483" s="25">
        <v>8.577E-5</v>
      </c>
      <c r="G6483" s="25">
        <v>5.9030000000000002E-5</v>
      </c>
      <c r="H6483" s="25">
        <v>6.7589999999999995E-5</v>
      </c>
      <c r="I6483" s="9">
        <v>1.0388E-4</v>
      </c>
      <c r="J6483" s="9">
        <v>1.0524E-4</v>
      </c>
      <c r="K6483" s="9">
        <v>5.0869999999999999E-5</v>
      </c>
      <c r="L6483" s="9">
        <v>9.0749999999999997E-5</v>
      </c>
      <c r="M6483" s="9">
        <v>9.9190000000000004E-5</v>
      </c>
      <c r="N6483" s="9">
        <v>9.9909999999999997E-5</v>
      </c>
      <c r="O6483" s="9">
        <v>7.7589999999999994E-5</v>
      </c>
      <c r="P6483" s="9">
        <v>7.1959999999999995E-5</v>
      </c>
      <c r="Q6483" s="9">
        <v>6.6719999999999998E-5</v>
      </c>
      <c r="R6483" s="10">
        <v>1.7045413188975176E-4</v>
      </c>
      <c r="S6483" s="10">
        <v>1.4886966132406886E-5</v>
      </c>
      <c r="T6483" s="10">
        <v>0</v>
      </c>
      <c r="U6483" s="10">
        <v>6.8040000000000006E-5</v>
      </c>
      <c r="V6483" s="25"/>
      <c r="W6483" s="25"/>
      <c r="X6483" s="25"/>
      <c r="Y6483" s="25"/>
      <c r="Z6483" s="25"/>
      <c r="AA6483" s="25"/>
    </row>
    <row r="6484" spans="1:27" x14ac:dyDescent="0.35">
      <c r="A6484" s="5">
        <v>6480</v>
      </c>
      <c r="B6484" s="5">
        <v>270</v>
      </c>
      <c r="C6484" s="5">
        <v>9</v>
      </c>
      <c r="D6484" s="25">
        <v>1.1415000000000001E-4</v>
      </c>
      <c r="E6484" s="25">
        <v>1.1696000000000001E-4</v>
      </c>
      <c r="F6484" s="25">
        <v>9.8789999999999994E-5</v>
      </c>
      <c r="G6484" s="25">
        <v>5.4049999999999999E-5</v>
      </c>
      <c r="H6484" s="25">
        <v>7.674E-5</v>
      </c>
      <c r="I6484" s="9">
        <v>9.8380000000000003E-5</v>
      </c>
      <c r="J6484" s="9">
        <v>9.8439999999999999E-5</v>
      </c>
      <c r="K6484" s="9">
        <v>5.2979999999999998E-5</v>
      </c>
      <c r="L6484" s="9">
        <v>8.0469999999999994E-5</v>
      </c>
      <c r="M6484" s="9">
        <v>8.6160000000000002E-5</v>
      </c>
      <c r="N6484" s="9">
        <v>9.0619999999999996E-5</v>
      </c>
      <c r="O6484" s="9">
        <v>6.2570000000000006E-5</v>
      </c>
      <c r="P6484" s="9">
        <v>6.0529999999999998E-5</v>
      </c>
      <c r="Q6484" s="9">
        <v>5.872E-5</v>
      </c>
      <c r="R6484" s="10">
        <v>1.5912791044498366E-4</v>
      </c>
      <c r="S6484" s="10">
        <v>1.4318598148736116E-5</v>
      </c>
      <c r="T6484" s="10">
        <v>0</v>
      </c>
      <c r="U6484" s="10">
        <v>6.8040000000000006E-5</v>
      </c>
      <c r="V6484" s="25"/>
      <c r="W6484" s="25"/>
      <c r="X6484" s="25"/>
      <c r="Y6484" s="25"/>
      <c r="Z6484" s="25"/>
      <c r="AA6484" s="25"/>
    </row>
    <row r="6485" spans="1:27" x14ac:dyDescent="0.35">
      <c r="A6485" s="5">
        <v>6481</v>
      </c>
      <c r="B6485" s="5">
        <v>271</v>
      </c>
      <c r="C6485" s="5">
        <v>9</v>
      </c>
      <c r="D6485" s="25">
        <v>1.1416E-4</v>
      </c>
      <c r="E6485" s="25">
        <v>1.0705E-4</v>
      </c>
      <c r="F6485" s="25">
        <v>1.0281999999999999E-4</v>
      </c>
      <c r="G6485" s="25">
        <v>5.3919999999999999E-5</v>
      </c>
      <c r="H6485" s="25">
        <v>6.3899999999999995E-5</v>
      </c>
      <c r="I6485" s="9">
        <v>9.535E-5</v>
      </c>
      <c r="J6485" s="9">
        <v>9.3729999999999999E-5</v>
      </c>
      <c r="K6485" s="9">
        <v>3.8160000000000001E-5</v>
      </c>
      <c r="L6485" s="9">
        <v>6.6509999999999998E-5</v>
      </c>
      <c r="M6485" s="9">
        <v>7.394E-5</v>
      </c>
      <c r="N6485" s="9">
        <v>8.1169999999999997E-5</v>
      </c>
      <c r="O6485" s="9">
        <v>5.4440000000000001E-5</v>
      </c>
      <c r="P6485" s="9">
        <v>5.3860000000000003E-5</v>
      </c>
      <c r="Q6485" s="9">
        <v>5.3430000000000002E-5</v>
      </c>
      <c r="R6485" s="10">
        <v>1.4382801317770435E-4</v>
      </c>
      <c r="S6485" s="10">
        <v>1.284338497676277E-5</v>
      </c>
      <c r="T6485" s="10">
        <v>0</v>
      </c>
      <c r="U6485" s="10">
        <v>6.7429999999999996E-5</v>
      </c>
      <c r="V6485" s="25"/>
      <c r="W6485" s="25"/>
      <c r="X6485" s="25"/>
      <c r="Y6485" s="25"/>
      <c r="Z6485" s="25"/>
      <c r="AA6485" s="25"/>
    </row>
    <row r="6486" spans="1:27" x14ac:dyDescent="0.35">
      <c r="A6486" s="5">
        <v>6482</v>
      </c>
      <c r="B6486" s="5">
        <v>271</v>
      </c>
      <c r="C6486" s="5">
        <v>9</v>
      </c>
      <c r="D6486" s="25">
        <v>1.1415000000000001E-4</v>
      </c>
      <c r="E6486" s="25">
        <v>1.0765E-4</v>
      </c>
      <c r="F6486" s="25">
        <v>1.1056E-4</v>
      </c>
      <c r="G6486" s="25">
        <v>5.6910000000000002E-5</v>
      </c>
      <c r="H6486" s="25">
        <v>6.6450000000000002E-5</v>
      </c>
      <c r="I6486" s="9">
        <v>9.2169999999999993E-5</v>
      </c>
      <c r="J6486" s="9">
        <v>9.1180000000000005E-5</v>
      </c>
      <c r="K6486" s="9">
        <v>4.6629999999999999E-5</v>
      </c>
      <c r="L6486" s="9">
        <v>5.7479999999999999E-5</v>
      </c>
      <c r="M6486" s="9">
        <v>6.3800000000000006E-5</v>
      </c>
      <c r="N6486" s="9">
        <v>7.2039999999999995E-5</v>
      </c>
      <c r="O6486" s="9">
        <v>1.897E-5</v>
      </c>
      <c r="P6486" s="9">
        <v>3.782E-5</v>
      </c>
      <c r="Q6486" s="9">
        <v>5.6289999999999998E-5</v>
      </c>
      <c r="R6486" s="10">
        <v>1.2894677428888196E-4</v>
      </c>
      <c r="S6486" s="10">
        <v>1.1422676922397788E-5</v>
      </c>
      <c r="T6486" s="10">
        <v>0</v>
      </c>
      <c r="U6486" s="10">
        <v>6.7429999999999996E-5</v>
      </c>
      <c r="V6486" s="25"/>
      <c r="W6486" s="25"/>
      <c r="X6486" s="25"/>
      <c r="Y6486" s="25"/>
      <c r="Z6486" s="25"/>
      <c r="AA6486" s="25"/>
    </row>
    <row r="6487" spans="1:27" x14ac:dyDescent="0.35">
      <c r="A6487" s="5">
        <v>6483</v>
      </c>
      <c r="B6487" s="5">
        <v>271</v>
      </c>
      <c r="C6487" s="5">
        <v>9</v>
      </c>
      <c r="D6487" s="25">
        <v>1.1416E-4</v>
      </c>
      <c r="E6487" s="25">
        <v>1.1305E-4</v>
      </c>
      <c r="F6487" s="25">
        <v>1.0928E-4</v>
      </c>
      <c r="G6487" s="25">
        <v>6.0380000000000001E-5</v>
      </c>
      <c r="H6487" s="25">
        <v>6.6829999999999995E-5</v>
      </c>
      <c r="I6487" s="9">
        <v>9.1580000000000001E-5</v>
      </c>
      <c r="J6487" s="9">
        <v>9.0619999999999996E-5</v>
      </c>
      <c r="K6487" s="9">
        <v>4.8749999999999999E-5</v>
      </c>
      <c r="L6487" s="9">
        <v>2.7650000000000001E-5</v>
      </c>
      <c r="M6487" s="9">
        <v>5.2139999999999999E-5</v>
      </c>
      <c r="N6487" s="9">
        <v>6.5489999999999998E-5</v>
      </c>
      <c r="O6487" s="9">
        <v>1.36E-5</v>
      </c>
      <c r="P6487" s="9">
        <v>3.8139999999999997E-5</v>
      </c>
      <c r="Q6487" s="9">
        <v>6.2169999999999996E-5</v>
      </c>
      <c r="R6487" s="10">
        <v>1.1814140296809535E-4</v>
      </c>
      <c r="S6487" s="10">
        <v>1.0364967764570933E-5</v>
      </c>
      <c r="T6487" s="10">
        <v>0</v>
      </c>
      <c r="U6487" s="10">
        <v>6.7429999999999996E-5</v>
      </c>
      <c r="V6487" s="25"/>
      <c r="W6487" s="25"/>
      <c r="X6487" s="25"/>
      <c r="Y6487" s="25"/>
      <c r="Z6487" s="25"/>
      <c r="AA6487" s="25"/>
    </row>
    <row r="6488" spans="1:27" x14ac:dyDescent="0.35">
      <c r="A6488" s="5">
        <v>6484</v>
      </c>
      <c r="B6488" s="5">
        <v>271</v>
      </c>
      <c r="C6488" s="5">
        <v>9</v>
      </c>
      <c r="D6488" s="25">
        <v>1.1415000000000001E-4</v>
      </c>
      <c r="E6488" s="25">
        <v>1.1135E-4</v>
      </c>
      <c r="F6488" s="25">
        <v>1.0933E-4</v>
      </c>
      <c r="G6488" s="25">
        <v>5.2729999999999998E-5</v>
      </c>
      <c r="H6488" s="25">
        <v>7.4880000000000001E-5</v>
      </c>
      <c r="I6488" s="9">
        <v>9.2570000000000003E-5</v>
      </c>
      <c r="J6488" s="9">
        <v>9.1130000000000003E-5</v>
      </c>
      <c r="K6488" s="9">
        <v>6.9939999999999998E-5</v>
      </c>
      <c r="L6488" s="9">
        <v>1.7430000000000001E-5</v>
      </c>
      <c r="M6488" s="9">
        <v>4.4329999999999997E-5</v>
      </c>
      <c r="N6488" s="9">
        <v>6.2030000000000001E-5</v>
      </c>
      <c r="O6488" s="9">
        <v>1.342E-5</v>
      </c>
      <c r="P6488" s="9">
        <v>4.7030000000000002E-5</v>
      </c>
      <c r="Q6488" s="9">
        <v>7.9980000000000003E-5</v>
      </c>
      <c r="R6488" s="10">
        <v>1.0629762278719851E-4</v>
      </c>
      <c r="S6488" s="10">
        <v>9.690668323523849E-6</v>
      </c>
      <c r="T6488" s="10">
        <v>0</v>
      </c>
      <c r="U6488" s="10">
        <v>6.7429999999999996E-5</v>
      </c>
      <c r="V6488" s="25"/>
      <c r="W6488" s="25"/>
      <c r="X6488" s="25"/>
      <c r="Y6488" s="25"/>
      <c r="Z6488" s="25"/>
      <c r="AA6488" s="25"/>
    </row>
    <row r="6489" spans="1:27" x14ac:dyDescent="0.35">
      <c r="A6489" s="5">
        <v>6485</v>
      </c>
      <c r="B6489" s="5">
        <v>271</v>
      </c>
      <c r="C6489" s="5">
        <v>9</v>
      </c>
      <c r="D6489" s="25">
        <v>1.1416E-4</v>
      </c>
      <c r="E6489" s="25">
        <v>1.115E-4</v>
      </c>
      <c r="F6489" s="25">
        <v>1.1582E-4</v>
      </c>
      <c r="G6489" s="25">
        <v>5.7479999999999999E-5</v>
      </c>
      <c r="H6489" s="25">
        <v>7.1219999999999999E-5</v>
      </c>
      <c r="I6489" s="9">
        <v>9.7600000000000001E-5</v>
      </c>
      <c r="J6489" s="9">
        <v>9.4110000000000005E-5</v>
      </c>
      <c r="K6489" s="9">
        <v>6.3579999999999998E-5</v>
      </c>
      <c r="L6489" s="9">
        <v>1.454E-5</v>
      </c>
      <c r="M6489" s="9">
        <v>4.3550000000000001E-5</v>
      </c>
      <c r="N6489" s="9">
        <v>6.4480000000000006E-5</v>
      </c>
      <c r="O6489" s="9">
        <v>1.895E-5</v>
      </c>
      <c r="P6489" s="9">
        <v>5.6679999999999999E-5</v>
      </c>
      <c r="Q6489" s="9">
        <v>9.3720000000000004E-5</v>
      </c>
      <c r="R6489" s="10">
        <v>9.8643940464817186E-5</v>
      </c>
      <c r="S6489" s="10">
        <v>8.8396231333518211E-6</v>
      </c>
      <c r="T6489" s="10">
        <v>0</v>
      </c>
      <c r="U6489" s="10">
        <v>6.7429999999999996E-5</v>
      </c>
      <c r="V6489" s="25"/>
      <c r="W6489" s="25"/>
      <c r="X6489" s="25"/>
      <c r="Y6489" s="25"/>
      <c r="Z6489" s="25"/>
      <c r="AA6489" s="25"/>
    </row>
    <row r="6490" spans="1:27" x14ac:dyDescent="0.35">
      <c r="A6490" s="5">
        <v>6486</v>
      </c>
      <c r="B6490" s="5">
        <v>271</v>
      </c>
      <c r="C6490" s="5">
        <v>9</v>
      </c>
      <c r="D6490" s="25">
        <v>1.1415000000000001E-4</v>
      </c>
      <c r="E6490" s="25">
        <v>1.0999E-4</v>
      </c>
      <c r="F6490" s="25">
        <v>1.0883999999999999E-4</v>
      </c>
      <c r="G6490" s="25">
        <v>1.0696000000000001E-4</v>
      </c>
      <c r="H6490" s="25">
        <v>1.3064000000000001E-4</v>
      </c>
      <c r="I6490" s="9">
        <v>1.0888E-4</v>
      </c>
      <c r="J6490" s="9">
        <v>1.0539000000000001E-4</v>
      </c>
      <c r="K6490" s="9">
        <v>7.6290000000000003E-5</v>
      </c>
      <c r="L6490" s="9">
        <v>1.7859999999999998E-5</v>
      </c>
      <c r="M6490" s="9">
        <v>4.8420000000000001E-5</v>
      </c>
      <c r="N6490" s="9">
        <v>7.1050000000000006E-5</v>
      </c>
      <c r="O6490" s="9">
        <v>4.6230000000000003E-5</v>
      </c>
      <c r="P6490" s="9">
        <v>7.6730000000000006E-5</v>
      </c>
      <c r="Q6490" s="9">
        <v>1.0684E-4</v>
      </c>
      <c r="R6490" s="10">
        <v>9.7621632844587246E-5</v>
      </c>
      <c r="S6490" s="10">
        <v>8.5630015783238525E-6</v>
      </c>
      <c r="T6490" s="10">
        <v>0</v>
      </c>
      <c r="U6490" s="10">
        <v>6.7429999999999996E-5</v>
      </c>
      <c r="V6490" s="25"/>
      <c r="W6490" s="25"/>
      <c r="X6490" s="25"/>
      <c r="Y6490" s="25"/>
      <c r="Z6490" s="25"/>
      <c r="AA6490" s="25"/>
    </row>
    <row r="6491" spans="1:27" x14ac:dyDescent="0.35">
      <c r="A6491" s="5">
        <v>6487</v>
      </c>
      <c r="B6491" s="5">
        <v>271</v>
      </c>
      <c r="C6491" s="5">
        <v>9</v>
      </c>
      <c r="D6491" s="25">
        <v>1.1416E-4</v>
      </c>
      <c r="E6491" s="25">
        <v>1.0965E-4</v>
      </c>
      <c r="F6491" s="25">
        <v>1.0924E-4</v>
      </c>
      <c r="G6491" s="25">
        <v>1.0524E-4</v>
      </c>
      <c r="H6491" s="25">
        <v>1.2658E-4</v>
      </c>
      <c r="I6491" s="9">
        <v>1.1817E-4</v>
      </c>
      <c r="J6491" s="9">
        <v>1.2014E-4</v>
      </c>
      <c r="K6491" s="9">
        <v>4.2389999999999999E-5</v>
      </c>
      <c r="L6491" s="9">
        <v>3.9839999999999998E-5</v>
      </c>
      <c r="M6491" s="9">
        <v>5.9979999999999998E-5</v>
      </c>
      <c r="N6491" s="9">
        <v>8.072E-5</v>
      </c>
      <c r="O6491" s="9">
        <v>1.2354999999999999E-4</v>
      </c>
      <c r="P6491" s="9">
        <v>1.1789E-4</v>
      </c>
      <c r="Q6491" s="9">
        <v>1.1293E-4</v>
      </c>
      <c r="R6491" s="10">
        <v>1.0491499725711707E-4</v>
      </c>
      <c r="S6491" s="10">
        <v>9.172020575342077E-6</v>
      </c>
      <c r="T6491" s="10">
        <v>1.5585657906211803E-5</v>
      </c>
      <c r="U6491" s="10">
        <v>6.7429999999999996E-5</v>
      </c>
      <c r="V6491" s="25"/>
      <c r="W6491" s="25"/>
      <c r="X6491" s="25"/>
      <c r="Y6491" s="25"/>
      <c r="Z6491" s="25"/>
      <c r="AA6491" s="25"/>
    </row>
    <row r="6492" spans="1:27" x14ac:dyDescent="0.35">
      <c r="A6492" s="5">
        <v>6488</v>
      </c>
      <c r="B6492" s="5">
        <v>271</v>
      </c>
      <c r="C6492" s="5">
        <v>9</v>
      </c>
      <c r="D6492" s="25">
        <v>1.1415000000000001E-4</v>
      </c>
      <c r="E6492" s="25">
        <v>1.1068E-4</v>
      </c>
      <c r="F6492" s="25">
        <v>9.7910000000000003E-5</v>
      </c>
      <c r="G6492" s="25">
        <v>1.6297999999999999E-4</v>
      </c>
      <c r="H6492" s="25">
        <v>1.8913E-4</v>
      </c>
      <c r="I6492" s="9">
        <v>1.2213999999999999E-4</v>
      </c>
      <c r="J6492" s="9">
        <v>1.2784E-4</v>
      </c>
      <c r="K6492" s="9">
        <v>2.756E-5</v>
      </c>
      <c r="L6492" s="9">
        <v>1.0452E-4</v>
      </c>
      <c r="M6492" s="9">
        <v>8.3809999999999999E-5</v>
      </c>
      <c r="N6492" s="9">
        <v>9.0909999999999995E-5</v>
      </c>
      <c r="O6492" s="9">
        <v>2.1693E-4</v>
      </c>
      <c r="P6492" s="9">
        <v>1.7519000000000001E-4</v>
      </c>
      <c r="Q6492" s="9">
        <v>1.3532999999999999E-4</v>
      </c>
      <c r="R6492" s="10">
        <v>1.1113367530928043E-4</v>
      </c>
      <c r="S6492" s="10">
        <v>9.3280904177278511E-6</v>
      </c>
      <c r="T6492" s="10">
        <v>8.4283029744315754E-5</v>
      </c>
      <c r="U6492" s="10">
        <v>6.7429999999999996E-5</v>
      </c>
      <c r="V6492" s="25"/>
      <c r="W6492" s="25"/>
      <c r="X6492" s="25"/>
      <c r="Y6492" s="25"/>
      <c r="Z6492" s="25"/>
      <c r="AA6492" s="25"/>
    </row>
    <row r="6493" spans="1:27" x14ac:dyDescent="0.35">
      <c r="A6493" s="5">
        <v>6489</v>
      </c>
      <c r="B6493" s="5">
        <v>271</v>
      </c>
      <c r="C6493" s="5">
        <v>9</v>
      </c>
      <c r="D6493" s="25">
        <v>1.1416E-4</v>
      </c>
      <c r="E6493" s="25">
        <v>1.0914E-4</v>
      </c>
      <c r="F6493" s="25">
        <v>1.0898E-4</v>
      </c>
      <c r="G6493" s="25">
        <v>1.6304000000000001E-4</v>
      </c>
      <c r="H6493" s="25">
        <v>1.9574999999999999E-4</v>
      </c>
      <c r="I6493" s="9">
        <v>1.2438999999999999E-4</v>
      </c>
      <c r="J6493" s="9">
        <v>1.2955E-4</v>
      </c>
      <c r="K6493" s="9">
        <v>0</v>
      </c>
      <c r="L6493" s="9">
        <v>1.9043E-4</v>
      </c>
      <c r="M6493" s="9">
        <v>1.2287999999999999E-4</v>
      </c>
      <c r="N6493" s="9">
        <v>1.0433999999999999E-4</v>
      </c>
      <c r="O6493" s="9">
        <v>2.1039999999999999E-4</v>
      </c>
      <c r="P6493" s="9">
        <v>1.9270999999999999E-4</v>
      </c>
      <c r="Q6493" s="9">
        <v>1.7649000000000001E-4</v>
      </c>
      <c r="R6493" s="10">
        <v>1.1039404097241483E-4</v>
      </c>
      <c r="S6493" s="10">
        <v>9.4210229061249289E-6</v>
      </c>
      <c r="T6493" s="10">
        <v>1.8790177770760632E-4</v>
      </c>
      <c r="U6493" s="10">
        <v>6.7429999999999996E-5</v>
      </c>
      <c r="V6493" s="25"/>
      <c r="W6493" s="25"/>
      <c r="X6493" s="25"/>
      <c r="Y6493" s="25"/>
      <c r="Z6493" s="25"/>
      <c r="AA6493" s="25"/>
    </row>
    <row r="6494" spans="1:27" x14ac:dyDescent="0.35">
      <c r="A6494" s="5">
        <v>6490</v>
      </c>
      <c r="B6494" s="5">
        <v>271</v>
      </c>
      <c r="C6494" s="5">
        <v>9</v>
      </c>
      <c r="D6494" s="25">
        <v>1.1415000000000001E-4</v>
      </c>
      <c r="E6494" s="25">
        <v>1.0598E-4</v>
      </c>
      <c r="F6494" s="25">
        <v>1.0364E-4</v>
      </c>
      <c r="G6494" s="25">
        <v>1.6354E-4</v>
      </c>
      <c r="H6494" s="25">
        <v>1.9788999999999999E-4</v>
      </c>
      <c r="I6494" s="9">
        <v>1.2606E-4</v>
      </c>
      <c r="J6494" s="9">
        <v>1.2746E-4</v>
      </c>
      <c r="K6494" s="9">
        <v>0</v>
      </c>
      <c r="L6494" s="9">
        <v>2.0374999999999999E-4</v>
      </c>
      <c r="M6494" s="9">
        <v>1.5789999999999999E-4</v>
      </c>
      <c r="N6494" s="9">
        <v>1.2427E-4</v>
      </c>
      <c r="O6494" s="9">
        <v>1.6689E-4</v>
      </c>
      <c r="P6494" s="9">
        <v>1.7411E-4</v>
      </c>
      <c r="Q6494" s="9">
        <v>1.8212E-4</v>
      </c>
      <c r="R6494" s="10">
        <v>9.7389897894387841E-5</v>
      </c>
      <c r="S6494" s="10">
        <v>9.1278072167749284E-6</v>
      </c>
      <c r="T6494" s="10">
        <v>1.6013266593458987E-4</v>
      </c>
      <c r="U6494" s="10">
        <v>6.7429999999999996E-5</v>
      </c>
      <c r="V6494" s="25"/>
      <c r="W6494" s="25"/>
      <c r="X6494" s="25"/>
      <c r="Y6494" s="25"/>
      <c r="Z6494" s="25"/>
      <c r="AA6494" s="25"/>
    </row>
    <row r="6495" spans="1:27" x14ac:dyDescent="0.35">
      <c r="A6495" s="5">
        <v>6491</v>
      </c>
      <c r="B6495" s="5">
        <v>271</v>
      </c>
      <c r="C6495" s="5">
        <v>9</v>
      </c>
      <c r="D6495" s="25">
        <v>1.1416E-4</v>
      </c>
      <c r="E6495" s="25">
        <v>1.0794999999999999E-4</v>
      </c>
      <c r="F6495" s="25">
        <v>1.0542E-4</v>
      </c>
      <c r="G6495" s="25">
        <v>1.5861E-4</v>
      </c>
      <c r="H6495" s="25">
        <v>1.9170999999999999E-4</v>
      </c>
      <c r="I6495" s="9">
        <v>1.2778999999999999E-4</v>
      </c>
      <c r="J6495" s="9">
        <v>1.2636E-4</v>
      </c>
      <c r="K6495" s="9">
        <v>0</v>
      </c>
      <c r="L6495" s="9">
        <v>1.7505E-4</v>
      </c>
      <c r="M6495" s="9">
        <v>1.7186E-4</v>
      </c>
      <c r="N6495" s="9">
        <v>1.4238E-4</v>
      </c>
      <c r="O6495" s="9">
        <v>1.6809E-4</v>
      </c>
      <c r="P6495" s="9">
        <v>1.74E-4</v>
      </c>
      <c r="Q6495" s="9">
        <v>1.8071999999999999E-4</v>
      </c>
      <c r="R6495" s="10">
        <v>5.7418862853196504E-5</v>
      </c>
      <c r="S6495" s="10">
        <v>8.8181137134043028E-6</v>
      </c>
      <c r="T6495" s="10">
        <v>2.4381331042504551E-4</v>
      </c>
      <c r="U6495" s="10">
        <v>6.7429999999999996E-5</v>
      </c>
      <c r="V6495" s="25"/>
      <c r="W6495" s="25"/>
      <c r="X6495" s="25"/>
      <c r="Y6495" s="25"/>
      <c r="Z6495" s="25"/>
      <c r="AA6495" s="25"/>
    </row>
    <row r="6496" spans="1:27" x14ac:dyDescent="0.35">
      <c r="A6496" s="5">
        <v>6492</v>
      </c>
      <c r="B6496" s="5">
        <v>271</v>
      </c>
      <c r="C6496" s="5">
        <v>9</v>
      </c>
      <c r="D6496" s="25">
        <v>1.1415000000000001E-4</v>
      </c>
      <c r="E6496" s="25">
        <v>1.1223E-4</v>
      </c>
      <c r="F6496" s="25">
        <v>9.8309999999999999E-5</v>
      </c>
      <c r="G6496" s="25">
        <v>1.6364E-4</v>
      </c>
      <c r="H6496" s="25">
        <v>1.8939E-4</v>
      </c>
      <c r="I6496" s="9">
        <v>1.2469E-4</v>
      </c>
      <c r="J6496" s="9">
        <v>1.2428E-4</v>
      </c>
      <c r="K6496" s="9">
        <v>0</v>
      </c>
      <c r="L6496" s="9">
        <v>1.7100000000000001E-4</v>
      </c>
      <c r="M6496" s="9">
        <v>1.7503000000000001E-4</v>
      </c>
      <c r="N6496" s="9">
        <v>1.5676000000000001E-4</v>
      </c>
      <c r="O6496" s="9">
        <v>1.6846E-4</v>
      </c>
      <c r="P6496" s="9">
        <v>1.7023E-4</v>
      </c>
      <c r="Q6496" s="9">
        <v>1.7288000000000001E-4</v>
      </c>
      <c r="R6496" s="10">
        <v>1.4717499167929577E-5</v>
      </c>
      <c r="S6496" s="10">
        <v>5.4306302673714823E-6</v>
      </c>
      <c r="T6496" s="10">
        <v>2.5315452400955239E-4</v>
      </c>
      <c r="U6496" s="10">
        <v>6.7429999999999996E-5</v>
      </c>
      <c r="V6496" s="25"/>
      <c r="W6496" s="25"/>
      <c r="X6496" s="25"/>
      <c r="Y6496" s="25"/>
      <c r="Z6496" s="25"/>
      <c r="AA6496" s="25"/>
    </row>
    <row r="6497" spans="1:27" x14ac:dyDescent="0.35">
      <c r="A6497" s="5">
        <v>6493</v>
      </c>
      <c r="B6497" s="5">
        <v>271</v>
      </c>
      <c r="C6497" s="5">
        <v>9</v>
      </c>
      <c r="D6497" s="25">
        <v>1.1416E-4</v>
      </c>
      <c r="E6497" s="25">
        <v>1.0745E-4</v>
      </c>
      <c r="F6497" s="25">
        <v>9.9959999999999998E-5</v>
      </c>
      <c r="G6497" s="25">
        <v>1.6105000000000001E-4</v>
      </c>
      <c r="H6497" s="25">
        <v>2.0148E-4</v>
      </c>
      <c r="I6497" s="9">
        <v>1.2369E-4</v>
      </c>
      <c r="J6497" s="9">
        <v>1.2463E-4</v>
      </c>
      <c r="K6497" s="9">
        <v>0</v>
      </c>
      <c r="L6497" s="9">
        <v>1.6917000000000001E-4</v>
      </c>
      <c r="M6497" s="9">
        <v>1.7364E-4</v>
      </c>
      <c r="N6497" s="9">
        <v>1.6599E-4</v>
      </c>
      <c r="O6497" s="9">
        <v>1.6239E-4</v>
      </c>
      <c r="P6497" s="9">
        <v>1.6498000000000001E-4</v>
      </c>
      <c r="Q6497" s="9">
        <v>1.684E-4</v>
      </c>
      <c r="R6497" s="10">
        <v>2.1435641157979933E-5</v>
      </c>
      <c r="S6497" s="10">
        <v>4.5566883766783007E-6</v>
      </c>
      <c r="T6497" s="10">
        <v>2.2804948223248072E-4</v>
      </c>
      <c r="U6497" s="10">
        <v>6.7429999999999996E-5</v>
      </c>
      <c r="V6497" s="25"/>
      <c r="W6497" s="25"/>
      <c r="X6497" s="25"/>
      <c r="Y6497" s="25"/>
      <c r="Z6497" s="25"/>
      <c r="AA6497" s="25"/>
    </row>
    <row r="6498" spans="1:27" x14ac:dyDescent="0.35">
      <c r="A6498" s="5">
        <v>6494</v>
      </c>
      <c r="B6498" s="5">
        <v>271</v>
      </c>
      <c r="C6498" s="5">
        <v>9</v>
      </c>
      <c r="D6498" s="25">
        <v>1.1415000000000001E-4</v>
      </c>
      <c r="E6498" s="25">
        <v>1.1401E-4</v>
      </c>
      <c r="F6498" s="25">
        <v>9.8989999999999999E-5</v>
      </c>
      <c r="G6498" s="25">
        <v>1.6479E-4</v>
      </c>
      <c r="H6498" s="25">
        <v>1.9846999999999999E-4</v>
      </c>
      <c r="I6498" s="9">
        <v>1.2176E-4</v>
      </c>
      <c r="J6498" s="9">
        <v>1.2443E-4</v>
      </c>
      <c r="K6498" s="9">
        <v>0</v>
      </c>
      <c r="L6498" s="9">
        <v>1.6367000000000001E-4</v>
      </c>
      <c r="M6498" s="9">
        <v>1.7008999999999999E-4</v>
      </c>
      <c r="N6498" s="9">
        <v>1.7058000000000001E-4</v>
      </c>
      <c r="O6498" s="9">
        <v>1.7615999999999999E-4</v>
      </c>
      <c r="P6498" s="9">
        <v>1.6710999999999999E-4</v>
      </c>
      <c r="Q6498" s="9">
        <v>1.5917000000000001E-4</v>
      </c>
      <c r="R6498" s="10">
        <v>3.2624613845954689E-5</v>
      </c>
      <c r="S6498" s="10">
        <v>3.741264731509634E-6</v>
      </c>
      <c r="T6498" s="10">
        <v>2.9393855098568746E-4</v>
      </c>
      <c r="U6498" s="10">
        <v>6.7429999999999996E-5</v>
      </c>
      <c r="V6498" s="25"/>
      <c r="W6498" s="25"/>
      <c r="X6498" s="25"/>
      <c r="Y6498" s="25"/>
      <c r="Z6498" s="25"/>
      <c r="AA6498" s="25"/>
    </row>
    <row r="6499" spans="1:27" x14ac:dyDescent="0.35">
      <c r="A6499" s="5">
        <v>6495</v>
      </c>
      <c r="B6499" s="5">
        <v>271</v>
      </c>
      <c r="C6499" s="5">
        <v>9</v>
      </c>
      <c r="D6499" s="25">
        <v>1.1416E-4</v>
      </c>
      <c r="E6499" s="25">
        <v>1.0747E-4</v>
      </c>
      <c r="F6499" s="25">
        <v>1.038E-4</v>
      </c>
      <c r="G6499" s="25">
        <v>1.6762999999999999E-4</v>
      </c>
      <c r="H6499" s="25">
        <v>1.9321E-4</v>
      </c>
      <c r="I6499" s="9">
        <v>1.219E-4</v>
      </c>
      <c r="J6499" s="9">
        <v>1.2494000000000001E-4</v>
      </c>
      <c r="K6499" s="9">
        <v>0</v>
      </c>
      <c r="L6499" s="9">
        <v>1.7354999999999999E-4</v>
      </c>
      <c r="M6499" s="9">
        <v>1.6802000000000001E-4</v>
      </c>
      <c r="N6499" s="9">
        <v>1.6977999999999999E-4</v>
      </c>
      <c r="O6499" s="9">
        <v>1.8331000000000001E-4</v>
      </c>
      <c r="P6499" s="9">
        <v>1.6734000000000001E-4</v>
      </c>
      <c r="Q6499" s="9">
        <v>1.5264E-4</v>
      </c>
      <c r="R6499" s="10">
        <v>4.2872934271696776E-5</v>
      </c>
      <c r="S6499" s="10">
        <v>4.2858702138967743E-6</v>
      </c>
      <c r="T6499" s="10">
        <v>1.2980129575783039E-4</v>
      </c>
      <c r="U6499" s="10">
        <v>6.7429999999999996E-5</v>
      </c>
      <c r="V6499" s="25"/>
      <c r="W6499" s="25"/>
      <c r="X6499" s="25"/>
      <c r="Y6499" s="25"/>
      <c r="Z6499" s="25"/>
      <c r="AA6499" s="25"/>
    </row>
    <row r="6500" spans="1:27" x14ac:dyDescent="0.35">
      <c r="A6500" s="5">
        <v>6496</v>
      </c>
      <c r="B6500" s="5">
        <v>271</v>
      </c>
      <c r="C6500" s="5">
        <v>9</v>
      </c>
      <c r="D6500" s="25">
        <v>1.1415000000000001E-4</v>
      </c>
      <c r="E6500" s="25">
        <v>1.0852E-4</v>
      </c>
      <c r="F6500" s="25">
        <v>1.0648E-4</v>
      </c>
      <c r="G6500" s="25">
        <v>1.6276999999999999E-4</v>
      </c>
      <c r="H6500" s="25">
        <v>1.9471000000000001E-4</v>
      </c>
      <c r="I6500" s="9">
        <v>1.21E-4</v>
      </c>
      <c r="J6500" s="9">
        <v>1.2690999999999999E-4</v>
      </c>
      <c r="K6500" s="9">
        <v>8.49E-6</v>
      </c>
      <c r="L6500" s="9">
        <v>1.8089000000000001E-4</v>
      </c>
      <c r="M6500" s="9">
        <v>1.6731999999999999E-4</v>
      </c>
      <c r="N6500" s="9">
        <v>1.6592000000000001E-4</v>
      </c>
      <c r="O6500" s="9">
        <v>1.9767E-4</v>
      </c>
      <c r="P6500" s="9">
        <v>1.5302E-4</v>
      </c>
      <c r="Q6500" s="9">
        <v>1.1017E-4</v>
      </c>
      <c r="R6500" s="10">
        <v>5.3585822928469579E-5</v>
      </c>
      <c r="S6500" s="10">
        <v>6.3774948194401855E-6</v>
      </c>
      <c r="T6500" s="10">
        <v>2.3272433117440923E-4</v>
      </c>
      <c r="U6500" s="10">
        <v>6.7429999999999996E-5</v>
      </c>
      <c r="V6500" s="25"/>
      <c r="W6500" s="25"/>
      <c r="X6500" s="25"/>
      <c r="Y6500" s="25"/>
      <c r="Z6500" s="25"/>
      <c r="AA6500" s="25"/>
    </row>
    <row r="6501" spans="1:27" x14ac:dyDescent="0.35">
      <c r="A6501" s="5">
        <v>6497</v>
      </c>
      <c r="B6501" s="5">
        <v>271</v>
      </c>
      <c r="C6501" s="5">
        <v>9</v>
      </c>
      <c r="D6501" s="25">
        <v>1.1416E-4</v>
      </c>
      <c r="E6501" s="25">
        <v>1.1255E-4</v>
      </c>
      <c r="F6501" s="25">
        <v>1.1823E-4</v>
      </c>
      <c r="G6501" s="25">
        <v>1.5864000000000001E-4</v>
      </c>
      <c r="H6501" s="25">
        <v>1.9264E-4</v>
      </c>
      <c r="I6501" s="9">
        <v>1.2269000000000001E-4</v>
      </c>
      <c r="J6501" s="9">
        <v>1.3004999999999999E-4</v>
      </c>
      <c r="K6501" s="9">
        <v>4.0269999999999999E-5</v>
      </c>
      <c r="L6501" s="9">
        <v>1.9374E-4</v>
      </c>
      <c r="M6501" s="9">
        <v>1.6211E-4</v>
      </c>
      <c r="N6501" s="9">
        <v>1.5228999999999999E-4</v>
      </c>
      <c r="O6501" s="9">
        <v>2.1431999999999999E-4</v>
      </c>
      <c r="P6501" s="9">
        <v>1.5991000000000001E-4</v>
      </c>
      <c r="Q6501" s="9">
        <v>1.0755999999999999E-4</v>
      </c>
      <c r="R6501" s="10">
        <v>7.029281087077238E-5</v>
      </c>
      <c r="S6501" s="10">
        <v>9.9196543080030467E-6</v>
      </c>
      <c r="T6501" s="10">
        <v>1.2334474395237191E-4</v>
      </c>
      <c r="U6501" s="10">
        <v>6.7429999999999996E-5</v>
      </c>
      <c r="V6501" s="25"/>
      <c r="W6501" s="25"/>
      <c r="X6501" s="25"/>
      <c r="Y6501" s="25"/>
      <c r="Z6501" s="25"/>
      <c r="AA6501" s="25"/>
    </row>
    <row r="6502" spans="1:27" x14ac:dyDescent="0.35">
      <c r="A6502" s="5">
        <v>6498</v>
      </c>
      <c r="B6502" s="5">
        <v>271</v>
      </c>
      <c r="C6502" s="5">
        <v>9</v>
      </c>
      <c r="D6502" s="25">
        <v>1.1415000000000001E-4</v>
      </c>
      <c r="E6502" s="25">
        <v>1.0982E-4</v>
      </c>
      <c r="F6502" s="25">
        <v>1.092E-4</v>
      </c>
      <c r="G6502" s="25">
        <v>1.6547E-4</v>
      </c>
      <c r="H6502" s="25">
        <v>1.9699999999999999E-4</v>
      </c>
      <c r="I6502" s="9">
        <v>1.2281E-4</v>
      </c>
      <c r="J6502" s="9">
        <v>1.2761000000000001E-4</v>
      </c>
      <c r="K6502" s="9">
        <v>6.5699999999999998E-5</v>
      </c>
      <c r="L6502" s="9">
        <v>2.0950999999999999E-4</v>
      </c>
      <c r="M6502" s="9">
        <v>1.5987999999999999E-4</v>
      </c>
      <c r="N6502" s="9">
        <v>1.3909E-4</v>
      </c>
      <c r="O6502" s="9">
        <v>2.0646999999999999E-4</v>
      </c>
      <c r="P6502" s="9">
        <v>1.6157000000000001E-4</v>
      </c>
      <c r="Q6502" s="9">
        <v>1.1854E-4</v>
      </c>
      <c r="R6502" s="10">
        <v>9.2392261576448008E-5</v>
      </c>
      <c r="S6502" s="10">
        <v>1.5306597741167431E-5</v>
      </c>
      <c r="T6502" s="10">
        <v>0</v>
      </c>
      <c r="U6502" s="10">
        <v>6.7429999999999996E-5</v>
      </c>
      <c r="V6502" s="25"/>
      <c r="W6502" s="25"/>
      <c r="X6502" s="25"/>
      <c r="Y6502" s="25"/>
      <c r="Z6502" s="25"/>
      <c r="AA6502" s="25"/>
    </row>
    <row r="6503" spans="1:27" x14ac:dyDescent="0.35">
      <c r="A6503" s="5">
        <v>6499</v>
      </c>
      <c r="B6503" s="5">
        <v>271</v>
      </c>
      <c r="C6503" s="5">
        <v>9</v>
      </c>
      <c r="D6503" s="25">
        <v>1.1416E-4</v>
      </c>
      <c r="E6503" s="25">
        <v>1.1334E-4</v>
      </c>
      <c r="F6503" s="25">
        <v>1.0012E-4</v>
      </c>
      <c r="G6503" s="25">
        <v>1.1375E-4</v>
      </c>
      <c r="H6503" s="25">
        <v>1.2967999999999999E-4</v>
      </c>
      <c r="I6503" s="9">
        <v>1.2407999999999999E-4</v>
      </c>
      <c r="J6503" s="9">
        <v>1.2915E-4</v>
      </c>
      <c r="K6503" s="9">
        <v>7.8410000000000003E-5</v>
      </c>
      <c r="L6503" s="9">
        <v>2.0673999999999999E-4</v>
      </c>
      <c r="M6503" s="9">
        <v>1.6006000000000001E-4</v>
      </c>
      <c r="N6503" s="9">
        <v>1.3022000000000001E-4</v>
      </c>
      <c r="O6503" s="9">
        <v>1.6415000000000001E-4</v>
      </c>
      <c r="P6503" s="9">
        <v>1.3496999999999999E-4</v>
      </c>
      <c r="Q6503" s="9">
        <v>1.0713E-4</v>
      </c>
      <c r="R6503" s="10">
        <v>1.1674880931207328E-4</v>
      </c>
      <c r="S6503" s="10">
        <v>2.0487687602058888E-5</v>
      </c>
      <c r="T6503" s="10">
        <v>0</v>
      </c>
      <c r="U6503" s="10">
        <v>6.7429999999999996E-5</v>
      </c>
      <c r="V6503" s="25"/>
      <c r="W6503" s="25"/>
      <c r="X6503" s="25"/>
      <c r="Y6503" s="25"/>
      <c r="Z6503" s="25"/>
      <c r="AA6503" s="25"/>
    </row>
    <row r="6504" spans="1:27" x14ac:dyDescent="0.35">
      <c r="A6504" s="5">
        <v>6500</v>
      </c>
      <c r="B6504" s="5">
        <v>271</v>
      </c>
      <c r="C6504" s="5">
        <v>9</v>
      </c>
      <c r="D6504" s="25">
        <v>1.1415000000000001E-4</v>
      </c>
      <c r="E6504" s="25">
        <v>1.0831E-4</v>
      </c>
      <c r="F6504" s="25">
        <v>9.7310000000000002E-5</v>
      </c>
      <c r="G6504" s="25">
        <v>1.0765E-4</v>
      </c>
      <c r="H6504" s="25">
        <v>1.3075000000000001E-4</v>
      </c>
      <c r="I6504" s="9">
        <v>1.2360999999999999E-4</v>
      </c>
      <c r="J6504" s="9">
        <v>1.2959000000000001E-4</v>
      </c>
      <c r="K6504" s="9">
        <v>7.4179999999999998E-5</v>
      </c>
      <c r="L6504" s="9">
        <v>1.7368E-4</v>
      </c>
      <c r="M6504" s="9">
        <v>1.5122000000000001E-4</v>
      </c>
      <c r="N6504" s="9">
        <v>1.2116999999999999E-4</v>
      </c>
      <c r="O6504" s="9">
        <v>1.293E-4</v>
      </c>
      <c r="P6504" s="9">
        <v>1.154E-4</v>
      </c>
      <c r="Q6504" s="9">
        <v>1.0237E-4</v>
      </c>
      <c r="R6504" s="10">
        <v>1.4071878559051318E-4</v>
      </c>
      <c r="S6504" s="10">
        <v>2.5855172251065505E-5</v>
      </c>
      <c r="T6504" s="10">
        <v>0</v>
      </c>
      <c r="U6504" s="10">
        <v>6.7429999999999996E-5</v>
      </c>
      <c r="V6504" s="25"/>
      <c r="W6504" s="25"/>
      <c r="X6504" s="25"/>
      <c r="Y6504" s="25"/>
      <c r="Z6504" s="25"/>
      <c r="AA6504" s="25"/>
    </row>
    <row r="6505" spans="1:27" x14ac:dyDescent="0.35">
      <c r="A6505" s="5">
        <v>6501</v>
      </c>
      <c r="B6505" s="5">
        <v>271</v>
      </c>
      <c r="C6505" s="5">
        <v>9</v>
      </c>
      <c r="D6505" s="25">
        <v>1.1416E-4</v>
      </c>
      <c r="E6505" s="25">
        <v>1.0529E-4</v>
      </c>
      <c r="F6505" s="25">
        <v>1.1016E-4</v>
      </c>
      <c r="G6505" s="25">
        <v>6.0600000000000003E-5</v>
      </c>
      <c r="H6505" s="25">
        <v>7.4999999999999993E-5</v>
      </c>
      <c r="I6505" s="9">
        <v>1.1574E-4</v>
      </c>
      <c r="J6505" s="9">
        <v>1.2233E-4</v>
      </c>
      <c r="K6505" s="9">
        <v>8.0539999999999998E-5</v>
      </c>
      <c r="L6505" s="9">
        <v>1.4009E-4</v>
      </c>
      <c r="M6505" s="9">
        <v>1.3584E-4</v>
      </c>
      <c r="N6505" s="9">
        <v>1.1359E-4</v>
      </c>
      <c r="O6505" s="9">
        <v>8.4430000000000003E-5</v>
      </c>
      <c r="P6505" s="9">
        <v>8.6100000000000006E-5</v>
      </c>
      <c r="Q6505" s="9">
        <v>8.81E-5</v>
      </c>
      <c r="R6505" s="10">
        <v>1.5966572132117501E-4</v>
      </c>
      <c r="S6505" s="10">
        <v>2.9417506595768979E-5</v>
      </c>
      <c r="T6505" s="10">
        <v>0</v>
      </c>
      <c r="U6505" s="10">
        <v>6.7429999999999996E-5</v>
      </c>
      <c r="V6505" s="25"/>
      <c r="W6505" s="25"/>
      <c r="X6505" s="25"/>
      <c r="Y6505" s="25"/>
      <c r="Z6505" s="25"/>
      <c r="AA6505" s="25"/>
    </row>
    <row r="6506" spans="1:27" x14ac:dyDescent="0.35">
      <c r="A6506" s="5">
        <v>6502</v>
      </c>
      <c r="B6506" s="5">
        <v>271</v>
      </c>
      <c r="C6506" s="5">
        <v>9</v>
      </c>
      <c r="D6506" s="25">
        <v>1.1415000000000001E-4</v>
      </c>
      <c r="E6506" s="25">
        <v>1.0517E-4</v>
      </c>
      <c r="F6506" s="25">
        <v>9.9240000000000005E-5</v>
      </c>
      <c r="G6506" s="25">
        <v>6.1710000000000004E-5</v>
      </c>
      <c r="H6506" s="25">
        <v>6.8830000000000003E-5</v>
      </c>
      <c r="I6506" s="9">
        <v>1.1143E-4</v>
      </c>
      <c r="J6506" s="9">
        <v>1.1357999999999999E-4</v>
      </c>
      <c r="K6506" s="9">
        <v>8.4779999999999998E-5</v>
      </c>
      <c r="L6506" s="9">
        <v>9.7590000000000006E-5</v>
      </c>
      <c r="M6506" s="9">
        <v>1.1398E-4</v>
      </c>
      <c r="N6506" s="9">
        <v>1.0589E-4</v>
      </c>
      <c r="O6506" s="9">
        <v>8.7739999999999997E-5</v>
      </c>
      <c r="P6506" s="9">
        <v>8.8020000000000001E-5</v>
      </c>
      <c r="Q6506" s="9">
        <v>8.8679999999999998E-5</v>
      </c>
      <c r="R6506" s="10">
        <v>1.7769556462085673E-4</v>
      </c>
      <c r="S6506" s="10">
        <v>3.2084985628130869E-5</v>
      </c>
      <c r="T6506" s="10">
        <v>0</v>
      </c>
      <c r="U6506" s="10">
        <v>6.7429999999999996E-5</v>
      </c>
      <c r="V6506" s="25"/>
      <c r="W6506" s="25"/>
      <c r="X6506" s="25"/>
      <c r="Y6506" s="25"/>
      <c r="Z6506" s="25"/>
      <c r="AA6506" s="25"/>
    </row>
    <row r="6507" spans="1:27" x14ac:dyDescent="0.35">
      <c r="A6507" s="5">
        <v>6503</v>
      </c>
      <c r="B6507" s="5">
        <v>271</v>
      </c>
      <c r="C6507" s="5">
        <v>9</v>
      </c>
      <c r="D6507" s="25">
        <v>1.1416E-4</v>
      </c>
      <c r="E6507" s="25">
        <v>1.1186E-4</v>
      </c>
      <c r="F6507" s="25">
        <v>1.1063E-4</v>
      </c>
      <c r="G6507" s="25">
        <v>5.8180000000000002E-5</v>
      </c>
      <c r="H6507" s="25">
        <v>7.1329999999999996E-5</v>
      </c>
      <c r="I6507" s="9">
        <v>1.0521E-4</v>
      </c>
      <c r="J6507" s="9">
        <v>1.0657E-4</v>
      </c>
      <c r="K6507" s="9">
        <v>8.4770000000000003E-5</v>
      </c>
      <c r="L6507" s="9">
        <v>9.0849999999999999E-5</v>
      </c>
      <c r="M6507" s="9">
        <v>9.9270000000000003E-5</v>
      </c>
      <c r="N6507" s="9">
        <v>1.0011E-4</v>
      </c>
      <c r="O6507" s="9">
        <v>7.7760000000000001E-5</v>
      </c>
      <c r="P6507" s="9">
        <v>7.2109999999999999E-5</v>
      </c>
      <c r="Q6507" s="9">
        <v>6.6870000000000002E-5</v>
      </c>
      <c r="R6507" s="10">
        <v>1.8544014395939826E-4</v>
      </c>
      <c r="S6507" s="10">
        <v>3.4511722607836735E-5</v>
      </c>
      <c r="T6507" s="10">
        <v>0</v>
      </c>
      <c r="U6507" s="10">
        <v>6.7429999999999996E-5</v>
      </c>
      <c r="V6507" s="25"/>
      <c r="W6507" s="25"/>
      <c r="X6507" s="25"/>
      <c r="Y6507" s="25"/>
      <c r="Z6507" s="25"/>
      <c r="AA6507" s="25"/>
    </row>
    <row r="6508" spans="1:27" x14ac:dyDescent="0.35">
      <c r="A6508" s="5">
        <v>6504</v>
      </c>
      <c r="B6508" s="5">
        <v>271</v>
      </c>
      <c r="C6508" s="5">
        <v>9</v>
      </c>
      <c r="D6508" s="25">
        <v>1.1415000000000001E-4</v>
      </c>
      <c r="E6508" s="25">
        <v>1.0643E-4</v>
      </c>
      <c r="F6508" s="25">
        <v>1.0823E-4</v>
      </c>
      <c r="G6508" s="25">
        <v>5.63E-5</v>
      </c>
      <c r="H6508" s="25">
        <v>6.6459999999999997E-5</v>
      </c>
      <c r="I6508" s="9">
        <v>9.8579999999999995E-5</v>
      </c>
      <c r="J6508" s="9">
        <v>9.8939999999999998E-5</v>
      </c>
      <c r="K6508" s="9">
        <v>7.6299999999999998E-5</v>
      </c>
      <c r="L6508" s="9">
        <v>8.0619999999999997E-5</v>
      </c>
      <c r="M6508" s="9">
        <v>8.6269999999999999E-5</v>
      </c>
      <c r="N6508" s="9">
        <v>9.0749999999999997E-5</v>
      </c>
      <c r="O6508" s="9">
        <v>6.2470000000000003E-5</v>
      </c>
      <c r="P6508" s="9">
        <v>6.0420000000000001E-5</v>
      </c>
      <c r="Q6508" s="9">
        <v>5.8610000000000003E-5</v>
      </c>
      <c r="R6508" s="10">
        <v>1.9008693545158098E-4</v>
      </c>
      <c r="S6508" s="10">
        <v>3.4014864007186275E-5</v>
      </c>
      <c r="T6508" s="10">
        <v>0</v>
      </c>
      <c r="U6508" s="10">
        <v>6.7429999999999996E-5</v>
      </c>
      <c r="V6508" s="25"/>
      <c r="W6508" s="25"/>
      <c r="X6508" s="25"/>
      <c r="Y6508" s="25"/>
      <c r="Z6508" s="25"/>
      <c r="AA6508" s="25"/>
    </row>
    <row r="6509" spans="1:27" x14ac:dyDescent="0.35">
      <c r="A6509" s="5">
        <v>6505</v>
      </c>
      <c r="B6509" s="5">
        <v>272</v>
      </c>
      <c r="C6509" s="5">
        <v>9</v>
      </c>
      <c r="D6509" s="25">
        <v>1.1416E-4</v>
      </c>
      <c r="E6509" s="25">
        <v>1.2484E-4</v>
      </c>
      <c r="F6509" s="25">
        <v>1.0314000000000001E-4</v>
      </c>
      <c r="G6509" s="25">
        <v>5.533E-5</v>
      </c>
      <c r="H6509" s="25">
        <v>4.3460000000000001E-5</v>
      </c>
      <c r="I6509" s="9">
        <v>9.4859999999999996E-5</v>
      </c>
      <c r="J6509" s="9">
        <v>9.4040000000000001E-5</v>
      </c>
      <c r="K6509" s="9">
        <v>7.2059999999999998E-5</v>
      </c>
      <c r="L6509" s="9">
        <v>6.6459999999999997E-5</v>
      </c>
      <c r="M6509" s="9">
        <v>7.3969999999999998E-5</v>
      </c>
      <c r="N6509" s="9">
        <v>8.1230000000000007E-5</v>
      </c>
      <c r="O6509" s="9">
        <v>6.8570000000000002E-5</v>
      </c>
      <c r="P6509" s="9">
        <v>6.1060000000000002E-5</v>
      </c>
      <c r="Q6509" s="9">
        <v>5.3850000000000001E-5</v>
      </c>
      <c r="R6509" s="10">
        <v>1.8120286987545708E-4</v>
      </c>
      <c r="S6509" s="10">
        <v>3.2033304073827983E-5</v>
      </c>
      <c r="T6509" s="10">
        <v>0</v>
      </c>
      <c r="U6509" s="10">
        <v>6.7000000000000002E-5</v>
      </c>
      <c r="V6509" s="25"/>
      <c r="W6509" s="25"/>
      <c r="X6509" s="25"/>
      <c r="Y6509" s="25"/>
      <c r="Z6509" s="25"/>
      <c r="AA6509" s="25"/>
    </row>
    <row r="6510" spans="1:27" x14ac:dyDescent="0.35">
      <c r="A6510" s="5">
        <v>6506</v>
      </c>
      <c r="B6510" s="5">
        <v>272</v>
      </c>
      <c r="C6510" s="5">
        <v>9</v>
      </c>
      <c r="D6510" s="25">
        <v>1.1415000000000001E-4</v>
      </c>
      <c r="E6510" s="25">
        <v>1.25E-4</v>
      </c>
      <c r="F6510" s="25">
        <v>1.1661E-4</v>
      </c>
      <c r="G6510" s="25">
        <v>5.6650000000000001E-5</v>
      </c>
      <c r="H6510" s="25">
        <v>4.1560000000000002E-5</v>
      </c>
      <c r="I6510" s="9">
        <v>9.1680000000000003E-5</v>
      </c>
      <c r="J6510" s="9">
        <v>9.2380000000000007E-5</v>
      </c>
      <c r="K6510" s="9">
        <v>1.0173E-4</v>
      </c>
      <c r="L6510" s="9">
        <v>6.8499999999999998E-5</v>
      </c>
      <c r="M6510" s="9">
        <v>6.6400000000000001E-5</v>
      </c>
      <c r="N6510" s="9">
        <v>7.216E-5</v>
      </c>
      <c r="O6510" s="9">
        <v>3.4990000000000002E-5</v>
      </c>
      <c r="P6510" s="9">
        <v>4.5429999999999997E-5</v>
      </c>
      <c r="Q6510" s="9">
        <v>5.5680000000000002E-5</v>
      </c>
      <c r="R6510" s="10">
        <v>1.735819246224044E-4</v>
      </c>
      <c r="S6510" s="10">
        <v>2.701536634073739E-5</v>
      </c>
      <c r="T6510" s="10">
        <v>0</v>
      </c>
      <c r="U6510" s="10">
        <v>6.7000000000000002E-5</v>
      </c>
      <c r="V6510" s="25"/>
      <c r="W6510" s="25"/>
      <c r="X6510" s="25"/>
      <c r="Y6510" s="25"/>
      <c r="Z6510" s="25"/>
      <c r="AA6510" s="25"/>
    </row>
    <row r="6511" spans="1:27" x14ac:dyDescent="0.35">
      <c r="A6511" s="5">
        <v>6507</v>
      </c>
      <c r="B6511" s="5">
        <v>272</v>
      </c>
      <c r="C6511" s="5">
        <v>9</v>
      </c>
      <c r="D6511" s="25">
        <v>1.1416E-4</v>
      </c>
      <c r="E6511" s="25">
        <v>1.2498000000000001E-4</v>
      </c>
      <c r="F6511" s="25">
        <v>1.071E-4</v>
      </c>
      <c r="G6511" s="25">
        <v>6.1039999999999998E-5</v>
      </c>
      <c r="H6511" s="25">
        <v>3.8829999999999999E-5</v>
      </c>
      <c r="I6511" s="9">
        <v>9.0810000000000006E-5</v>
      </c>
      <c r="J6511" s="9">
        <v>9.1910000000000006E-5</v>
      </c>
      <c r="K6511" s="9">
        <v>1.0384E-4</v>
      </c>
      <c r="L6511" s="9">
        <v>4.2259999999999999E-5</v>
      </c>
      <c r="M6511" s="9">
        <v>5.7259999999999997E-5</v>
      </c>
      <c r="N6511" s="9">
        <v>6.546E-5</v>
      </c>
      <c r="O6511" s="9">
        <v>2.2010000000000001E-5</v>
      </c>
      <c r="P6511" s="9">
        <v>4.1770000000000002E-5</v>
      </c>
      <c r="Q6511" s="9">
        <v>6.1110000000000003E-5</v>
      </c>
      <c r="R6511" s="10">
        <v>1.6919344114249148E-4</v>
      </c>
      <c r="S6511" s="10">
        <v>2.2700430584969152E-5</v>
      </c>
      <c r="T6511" s="10">
        <v>0</v>
      </c>
      <c r="U6511" s="10">
        <v>6.7000000000000002E-5</v>
      </c>
      <c r="V6511" s="25"/>
      <c r="W6511" s="25"/>
      <c r="X6511" s="25"/>
      <c r="Y6511" s="25"/>
      <c r="Z6511" s="25"/>
      <c r="AA6511" s="25"/>
    </row>
    <row r="6512" spans="1:27" x14ac:dyDescent="0.35">
      <c r="A6512" s="5">
        <v>6508</v>
      </c>
      <c r="B6512" s="5">
        <v>272</v>
      </c>
      <c r="C6512" s="5">
        <v>9</v>
      </c>
      <c r="D6512" s="25">
        <v>1.1415000000000001E-4</v>
      </c>
      <c r="E6512" s="25">
        <v>1.2442E-4</v>
      </c>
      <c r="F6512" s="25">
        <v>1.0339E-4</v>
      </c>
      <c r="G6512" s="25">
        <v>5.961E-5</v>
      </c>
      <c r="H6512" s="25">
        <v>4.0670000000000002E-5</v>
      </c>
      <c r="I6512" s="9">
        <v>9.2159999999999999E-5</v>
      </c>
      <c r="J6512" s="9">
        <v>9.2310000000000002E-5</v>
      </c>
      <c r="K6512" s="9">
        <v>9.7499999999999998E-5</v>
      </c>
      <c r="L6512" s="9">
        <v>2.7100000000000001E-5</v>
      </c>
      <c r="M6512" s="9">
        <v>4.9509999999999999E-5</v>
      </c>
      <c r="N6512" s="9">
        <v>6.1760000000000005E-5</v>
      </c>
      <c r="O6512" s="9">
        <v>2.1610000000000001E-5</v>
      </c>
      <c r="P6512" s="9">
        <v>5.1199999999999998E-5</v>
      </c>
      <c r="Q6512" s="9">
        <v>8.0210000000000006E-5</v>
      </c>
      <c r="R6512" s="10">
        <v>1.6402438747013521E-4</v>
      </c>
      <c r="S6512" s="10">
        <v>2.1830086213690452E-5</v>
      </c>
      <c r="T6512" s="10">
        <v>0</v>
      </c>
      <c r="U6512" s="10">
        <v>6.7000000000000002E-5</v>
      </c>
      <c r="V6512" s="25"/>
      <c r="W6512" s="25"/>
      <c r="X6512" s="25"/>
      <c r="Y6512" s="25"/>
      <c r="Z6512" s="25"/>
      <c r="AA6512" s="25"/>
    </row>
    <row r="6513" spans="1:27" x14ac:dyDescent="0.35">
      <c r="A6513" s="5">
        <v>6509</v>
      </c>
      <c r="B6513" s="5">
        <v>272</v>
      </c>
      <c r="C6513" s="5">
        <v>9</v>
      </c>
      <c r="D6513" s="25">
        <v>1.1416E-4</v>
      </c>
      <c r="E6513" s="25">
        <v>1.2150999999999999E-4</v>
      </c>
      <c r="F6513" s="25">
        <v>1.0637999999999999E-4</v>
      </c>
      <c r="G6513" s="25">
        <v>5.8199999999999998E-5</v>
      </c>
      <c r="H6513" s="25">
        <v>3.7610000000000001E-5</v>
      </c>
      <c r="I6513" s="9">
        <v>9.7079999999999999E-5</v>
      </c>
      <c r="J6513" s="9">
        <v>9.5459999999999997E-5</v>
      </c>
      <c r="K6513" s="9">
        <v>9.1139999999999998E-5</v>
      </c>
      <c r="L6513" s="9">
        <v>2.3280000000000001E-5</v>
      </c>
      <c r="M6513" s="9">
        <v>4.8269999999999997E-5</v>
      </c>
      <c r="N6513" s="9">
        <v>6.4259999999999998E-5</v>
      </c>
      <c r="O6513" s="9">
        <v>2.334E-5</v>
      </c>
      <c r="P6513" s="9">
        <v>5.8440000000000003E-5</v>
      </c>
      <c r="Q6513" s="9">
        <v>9.2880000000000005E-5</v>
      </c>
      <c r="R6513" s="10">
        <v>1.5540117889572505E-4</v>
      </c>
      <c r="S6513" s="10">
        <v>1.8586152928279948E-5</v>
      </c>
      <c r="T6513" s="10">
        <v>0</v>
      </c>
      <c r="U6513" s="10">
        <v>6.7000000000000002E-5</v>
      </c>
      <c r="V6513" s="25"/>
      <c r="W6513" s="25"/>
      <c r="X6513" s="25"/>
      <c r="Y6513" s="25"/>
      <c r="Z6513" s="25"/>
      <c r="AA6513" s="25"/>
    </row>
    <row r="6514" spans="1:27" x14ac:dyDescent="0.35">
      <c r="A6514" s="5">
        <v>6510</v>
      </c>
      <c r="B6514" s="5">
        <v>272</v>
      </c>
      <c r="C6514" s="5">
        <v>9</v>
      </c>
      <c r="D6514" s="25">
        <v>1.1415000000000001E-4</v>
      </c>
      <c r="E6514" s="25">
        <v>1.1569999999999999E-4</v>
      </c>
      <c r="F6514" s="25">
        <v>1.0261E-4</v>
      </c>
      <c r="G6514" s="25">
        <v>1.1176E-4</v>
      </c>
      <c r="H6514" s="25">
        <v>7.695E-5</v>
      </c>
      <c r="I6514" s="9">
        <v>1.0922E-4</v>
      </c>
      <c r="J6514" s="9">
        <v>1.0627E-4</v>
      </c>
      <c r="K6514" s="9">
        <v>8.2659999999999998E-5</v>
      </c>
      <c r="L6514" s="9">
        <v>2.3249999999999999E-5</v>
      </c>
      <c r="M6514" s="9">
        <v>5.1940000000000001E-5</v>
      </c>
      <c r="N6514" s="9">
        <v>7.0669999999999999E-5</v>
      </c>
      <c r="O6514" s="9">
        <v>2.9730000000000002E-5</v>
      </c>
      <c r="P6514" s="9">
        <v>6.8520000000000001E-5</v>
      </c>
      <c r="Q6514" s="9">
        <v>1.0664E-4</v>
      </c>
      <c r="R6514" s="10">
        <v>1.5415079161400764E-4</v>
      </c>
      <c r="S6514" s="10">
        <v>1.5043006710705157E-5</v>
      </c>
      <c r="T6514" s="10">
        <v>0</v>
      </c>
      <c r="U6514" s="10">
        <v>6.7000000000000002E-5</v>
      </c>
      <c r="V6514" s="25"/>
      <c r="W6514" s="25"/>
      <c r="X6514" s="25"/>
      <c r="Y6514" s="25"/>
      <c r="Z6514" s="25"/>
      <c r="AA6514" s="25"/>
    </row>
    <row r="6515" spans="1:27" x14ac:dyDescent="0.35">
      <c r="A6515" s="5">
        <v>6511</v>
      </c>
      <c r="B6515" s="5">
        <v>272</v>
      </c>
      <c r="C6515" s="5">
        <v>9</v>
      </c>
      <c r="D6515" s="25">
        <v>1.1416E-4</v>
      </c>
      <c r="E6515" s="25">
        <v>1.2400000000000001E-4</v>
      </c>
      <c r="F6515" s="25">
        <v>1.1116999999999999E-4</v>
      </c>
      <c r="G6515" s="25">
        <v>1.041E-4</v>
      </c>
      <c r="H6515" s="25">
        <v>7.9019999999999999E-5</v>
      </c>
      <c r="I6515" s="9">
        <v>1.22E-4</v>
      </c>
      <c r="J6515" s="9">
        <v>1.2277999999999999E-4</v>
      </c>
      <c r="K6515" s="9">
        <v>6.5699999999999998E-5</v>
      </c>
      <c r="L6515" s="9">
        <v>2.8209999999999999E-5</v>
      </c>
      <c r="M6515" s="9">
        <v>5.8999999999999998E-5</v>
      </c>
      <c r="N6515" s="9">
        <v>8.0320000000000003E-5</v>
      </c>
      <c r="O6515" s="9">
        <v>4.6239999999999998E-5</v>
      </c>
      <c r="P6515" s="9">
        <v>7.9530000000000006E-5</v>
      </c>
      <c r="Q6515" s="9">
        <v>1.1234E-4</v>
      </c>
      <c r="R6515" s="10">
        <v>1.5897659555353871E-4</v>
      </c>
      <c r="S6515" s="10">
        <v>1.5606906584358805E-5</v>
      </c>
      <c r="T6515" s="10">
        <v>2.7701237378215315E-5</v>
      </c>
      <c r="U6515" s="10">
        <v>6.7000000000000002E-5</v>
      </c>
      <c r="V6515" s="25"/>
      <c r="W6515" s="25"/>
      <c r="X6515" s="25"/>
      <c r="Y6515" s="25"/>
      <c r="Z6515" s="25"/>
      <c r="AA6515" s="25"/>
    </row>
    <row r="6516" spans="1:27" x14ac:dyDescent="0.35">
      <c r="A6516" s="5">
        <v>6512</v>
      </c>
      <c r="B6516" s="5">
        <v>272</v>
      </c>
      <c r="C6516" s="5">
        <v>9</v>
      </c>
      <c r="D6516" s="25">
        <v>1.1415000000000001E-4</v>
      </c>
      <c r="E6516" s="25">
        <v>1.2176E-4</v>
      </c>
      <c r="F6516" s="25">
        <v>9.7979999999999994E-5</v>
      </c>
      <c r="G6516" s="25">
        <v>1.5955E-4</v>
      </c>
      <c r="H6516" s="25">
        <v>1.1533E-4</v>
      </c>
      <c r="I6516" s="9">
        <v>1.2465999999999999E-4</v>
      </c>
      <c r="J6516" s="9">
        <v>1.3108999999999999E-4</v>
      </c>
      <c r="K6516" s="9">
        <v>4.2389999999999999E-5</v>
      </c>
      <c r="L6516" s="9">
        <v>4.2120000000000003E-5</v>
      </c>
      <c r="M6516" s="9">
        <v>6.8150000000000003E-5</v>
      </c>
      <c r="N6516" s="9">
        <v>9.0459999999999998E-5</v>
      </c>
      <c r="O6516" s="9">
        <v>6.8380000000000006E-5</v>
      </c>
      <c r="P6516" s="9">
        <v>1.0281999999999999E-4</v>
      </c>
      <c r="Q6516" s="9">
        <v>1.3690999999999999E-4</v>
      </c>
      <c r="R6516" s="10">
        <v>1.626426690040313E-4</v>
      </c>
      <c r="S6516" s="10">
        <v>1.981440458535404E-5</v>
      </c>
      <c r="T6516" s="10">
        <v>1.9686968212070697E-4</v>
      </c>
      <c r="U6516" s="10">
        <v>6.7000000000000002E-5</v>
      </c>
      <c r="V6516" s="25"/>
      <c r="W6516" s="25"/>
      <c r="X6516" s="25"/>
      <c r="Y6516" s="25"/>
      <c r="Z6516" s="25"/>
      <c r="AA6516" s="25"/>
    </row>
    <row r="6517" spans="1:27" x14ac:dyDescent="0.35">
      <c r="A6517" s="5">
        <v>6513</v>
      </c>
      <c r="B6517" s="5">
        <v>272</v>
      </c>
      <c r="C6517" s="5">
        <v>9</v>
      </c>
      <c r="D6517" s="25">
        <v>1.1416E-4</v>
      </c>
      <c r="E6517" s="25">
        <v>1.225E-4</v>
      </c>
      <c r="F6517" s="25">
        <v>1.1142E-4</v>
      </c>
      <c r="G6517" s="25">
        <v>1.5784999999999999E-4</v>
      </c>
      <c r="H6517" s="25">
        <v>1.1935E-4</v>
      </c>
      <c r="I6517" s="9">
        <v>1.2789999999999999E-4</v>
      </c>
      <c r="J6517" s="9">
        <v>1.3342000000000001E-4</v>
      </c>
      <c r="K6517" s="9">
        <v>8.4800000000000001E-6</v>
      </c>
      <c r="L6517" s="9">
        <v>6.2219999999999997E-5</v>
      </c>
      <c r="M6517" s="9">
        <v>8.2910000000000004E-5</v>
      </c>
      <c r="N6517" s="9">
        <v>1.0433E-4</v>
      </c>
      <c r="O6517" s="9">
        <v>1.0027E-4</v>
      </c>
      <c r="P6517" s="9">
        <v>1.3910999999999999E-4</v>
      </c>
      <c r="Q6517" s="9">
        <v>1.7773999999999999E-4</v>
      </c>
      <c r="R6517" s="10">
        <v>1.6408721380159526E-4</v>
      </c>
      <c r="S6517" s="10">
        <v>2.4157708248185013E-5</v>
      </c>
      <c r="T6517" s="10">
        <v>4.003995392312758E-4</v>
      </c>
      <c r="U6517" s="10">
        <v>6.7000000000000002E-5</v>
      </c>
      <c r="V6517" s="25"/>
      <c r="W6517" s="25"/>
      <c r="X6517" s="25"/>
      <c r="Y6517" s="25"/>
      <c r="Z6517" s="25"/>
      <c r="AA6517" s="25"/>
    </row>
    <row r="6518" spans="1:27" x14ac:dyDescent="0.35">
      <c r="A6518" s="5">
        <v>6514</v>
      </c>
      <c r="B6518" s="5">
        <v>272</v>
      </c>
      <c r="C6518" s="5">
        <v>9</v>
      </c>
      <c r="D6518" s="25">
        <v>1.1415000000000001E-4</v>
      </c>
      <c r="E6518" s="25">
        <v>1.1556E-4</v>
      </c>
      <c r="F6518" s="25">
        <v>1.1831E-4</v>
      </c>
      <c r="G6518" s="25">
        <v>1.6312999999999999E-4</v>
      </c>
      <c r="H6518" s="25">
        <v>1.1547E-4</v>
      </c>
      <c r="I6518" s="9">
        <v>1.2854000000000001E-4</v>
      </c>
      <c r="J6518" s="9">
        <v>1.3259E-4</v>
      </c>
      <c r="K6518" s="9">
        <v>3.8149999999999999E-5</v>
      </c>
      <c r="L6518" s="9">
        <v>9.1370000000000001E-5</v>
      </c>
      <c r="M6518" s="9">
        <v>1.0687E-4</v>
      </c>
      <c r="N6518" s="9">
        <v>1.2460999999999999E-4</v>
      </c>
      <c r="O6518" s="9">
        <v>1.2957999999999999E-4</v>
      </c>
      <c r="P6518" s="9">
        <v>1.5652999999999999E-4</v>
      </c>
      <c r="Q6518" s="9">
        <v>1.8365999999999999E-4</v>
      </c>
      <c r="R6518" s="10">
        <v>1.6295986515166944E-4</v>
      </c>
      <c r="S6518" s="10">
        <v>2.8708635222229848E-5</v>
      </c>
      <c r="T6518" s="10">
        <v>5.2780826257236592E-4</v>
      </c>
      <c r="U6518" s="10">
        <v>6.7000000000000002E-5</v>
      </c>
      <c r="V6518" s="25"/>
      <c r="W6518" s="25"/>
      <c r="X6518" s="25"/>
      <c r="Y6518" s="25"/>
      <c r="Z6518" s="25"/>
      <c r="AA6518" s="25"/>
    </row>
    <row r="6519" spans="1:27" x14ac:dyDescent="0.35">
      <c r="A6519" s="5">
        <v>6515</v>
      </c>
      <c r="B6519" s="5">
        <v>272</v>
      </c>
      <c r="C6519" s="5">
        <v>9</v>
      </c>
      <c r="D6519" s="25">
        <v>1.1416E-4</v>
      </c>
      <c r="E6519" s="25">
        <v>1.2402E-4</v>
      </c>
      <c r="F6519" s="25">
        <v>1.18E-4</v>
      </c>
      <c r="G6519" s="25">
        <v>1.5663E-4</v>
      </c>
      <c r="H6519" s="25">
        <v>1.2046E-4</v>
      </c>
      <c r="I6519" s="9">
        <v>1.3098999999999999E-4</v>
      </c>
      <c r="J6519" s="9">
        <v>1.3164000000000001E-4</v>
      </c>
      <c r="K6519" s="9">
        <v>2.756E-5</v>
      </c>
      <c r="L6519" s="9">
        <v>1.2045E-4</v>
      </c>
      <c r="M6519" s="9">
        <v>1.3080000000000001E-4</v>
      </c>
      <c r="N6519" s="9">
        <v>1.4310000000000001E-4</v>
      </c>
      <c r="O6519" s="9">
        <v>1.3616E-4</v>
      </c>
      <c r="P6519" s="9">
        <v>1.5729000000000001E-4</v>
      </c>
      <c r="Q6519" s="9">
        <v>1.7872999999999999E-4</v>
      </c>
      <c r="R6519" s="10">
        <v>1.2901271410500998E-4</v>
      </c>
      <c r="S6519" s="10">
        <v>3.4108483156721337E-5</v>
      </c>
      <c r="T6519" s="10">
        <v>5.8354162500345213E-4</v>
      </c>
      <c r="U6519" s="10">
        <v>6.7000000000000002E-5</v>
      </c>
      <c r="V6519" s="25"/>
      <c r="W6519" s="25"/>
      <c r="X6519" s="25"/>
      <c r="Y6519" s="25"/>
      <c r="Z6519" s="25"/>
      <c r="AA6519" s="25"/>
    </row>
    <row r="6520" spans="1:27" x14ac:dyDescent="0.35">
      <c r="A6520" s="5">
        <v>6516</v>
      </c>
      <c r="B6520" s="5">
        <v>272</v>
      </c>
      <c r="C6520" s="5">
        <v>9</v>
      </c>
      <c r="D6520" s="25">
        <v>1.1415000000000001E-4</v>
      </c>
      <c r="E6520" s="25">
        <v>1.2299000000000001E-4</v>
      </c>
      <c r="F6520" s="25">
        <v>1.1064E-4</v>
      </c>
      <c r="G6520" s="25">
        <v>1.6530000000000001E-4</v>
      </c>
      <c r="H6520" s="25">
        <v>1.1869E-4</v>
      </c>
      <c r="I6520" s="9">
        <v>1.2674999999999999E-4</v>
      </c>
      <c r="J6520" s="9">
        <v>1.2892000000000001E-4</v>
      </c>
      <c r="K6520" s="9">
        <v>2.756E-5</v>
      </c>
      <c r="L6520" s="9">
        <v>1.3202E-4</v>
      </c>
      <c r="M6520" s="9">
        <v>1.4600999999999999E-4</v>
      </c>
      <c r="N6520" s="9">
        <v>1.5703000000000001E-4</v>
      </c>
      <c r="O6520" s="9">
        <v>1.3752E-4</v>
      </c>
      <c r="P6520" s="9">
        <v>1.5527E-4</v>
      </c>
      <c r="Q6520" s="9">
        <v>1.7338999999999999E-4</v>
      </c>
      <c r="R6520" s="10">
        <v>6.1643149506486678E-5</v>
      </c>
      <c r="S6520" s="10">
        <v>3.5760659995679273E-5</v>
      </c>
      <c r="T6520" s="10">
        <v>6.4300807914860101E-4</v>
      </c>
      <c r="U6520" s="10">
        <v>6.7000000000000002E-5</v>
      </c>
      <c r="V6520" s="25"/>
      <c r="W6520" s="25"/>
      <c r="X6520" s="25"/>
      <c r="Y6520" s="25"/>
      <c r="Z6520" s="25"/>
      <c r="AA6520" s="25"/>
    </row>
    <row r="6521" spans="1:27" x14ac:dyDescent="0.35">
      <c r="A6521" s="5">
        <v>6517</v>
      </c>
      <c r="B6521" s="5">
        <v>272</v>
      </c>
      <c r="C6521" s="5">
        <v>9</v>
      </c>
      <c r="D6521" s="25">
        <v>1.1416E-4</v>
      </c>
      <c r="E6521" s="25">
        <v>1.1738E-4</v>
      </c>
      <c r="F6521" s="25">
        <v>9.7490000000000003E-5</v>
      </c>
      <c r="G6521" s="25">
        <v>1.6695999999999999E-4</v>
      </c>
      <c r="H6521" s="25">
        <v>1.1692999999999999E-4</v>
      </c>
      <c r="I6521" s="9">
        <v>1.2506E-4</v>
      </c>
      <c r="J6521" s="9">
        <v>1.2887E-4</v>
      </c>
      <c r="K6521" s="9">
        <v>5.9339999999999998E-5</v>
      </c>
      <c r="L6521" s="9">
        <v>1.3616999999999999E-4</v>
      </c>
      <c r="M6521" s="9">
        <v>1.5254999999999999E-4</v>
      </c>
      <c r="N6521" s="9">
        <v>1.6631E-4</v>
      </c>
      <c r="O6521" s="9">
        <v>1.3090000000000001E-4</v>
      </c>
      <c r="P6521" s="9">
        <v>1.4966E-4</v>
      </c>
      <c r="Q6521" s="9">
        <v>1.6872999999999999E-4</v>
      </c>
      <c r="R6521" s="10">
        <v>6.2531759721375099E-5</v>
      </c>
      <c r="S6521" s="10">
        <v>3.1105740758517339E-5</v>
      </c>
      <c r="T6521" s="10">
        <v>6.3413350202835199E-4</v>
      </c>
      <c r="U6521" s="10">
        <v>6.7000000000000002E-5</v>
      </c>
      <c r="V6521" s="25"/>
      <c r="W6521" s="25"/>
      <c r="X6521" s="25"/>
      <c r="Y6521" s="25"/>
      <c r="Z6521" s="25"/>
      <c r="AA6521" s="25"/>
    </row>
    <row r="6522" spans="1:27" x14ac:dyDescent="0.35">
      <c r="A6522" s="5">
        <v>6518</v>
      </c>
      <c r="B6522" s="5">
        <v>272</v>
      </c>
      <c r="C6522" s="5">
        <v>9</v>
      </c>
      <c r="D6522" s="25">
        <v>1.1415000000000001E-4</v>
      </c>
      <c r="E6522" s="25">
        <v>1.1725E-4</v>
      </c>
      <c r="F6522" s="25">
        <v>1.1733E-4</v>
      </c>
      <c r="G6522" s="25">
        <v>1.6255999999999999E-4</v>
      </c>
      <c r="H6522" s="25">
        <v>1.1467E-4</v>
      </c>
      <c r="I6522" s="9">
        <v>1.2276E-4</v>
      </c>
      <c r="J6522" s="9">
        <v>1.2913000000000001E-4</v>
      </c>
      <c r="K6522" s="9">
        <v>3.6029999999999999E-5</v>
      </c>
      <c r="L6522" s="9">
        <v>1.3213E-4</v>
      </c>
      <c r="M6522" s="9">
        <v>1.5273000000000001E-4</v>
      </c>
      <c r="N6522" s="9">
        <v>1.7086E-4</v>
      </c>
      <c r="O6522" s="9">
        <v>1.1149E-4</v>
      </c>
      <c r="P6522" s="9">
        <v>1.3545000000000001E-4</v>
      </c>
      <c r="Q6522" s="9">
        <v>1.5951E-4</v>
      </c>
      <c r="R6522" s="10">
        <v>1.0881877295466954E-4</v>
      </c>
      <c r="S6522" s="10">
        <v>2.8438062057835895E-5</v>
      </c>
      <c r="T6522" s="10">
        <v>5.8135267577111543E-4</v>
      </c>
      <c r="U6522" s="10">
        <v>6.7000000000000002E-5</v>
      </c>
      <c r="V6522" s="25"/>
      <c r="W6522" s="25"/>
      <c r="X6522" s="25"/>
      <c r="Y6522" s="25"/>
      <c r="Z6522" s="25"/>
      <c r="AA6522" s="25"/>
    </row>
    <row r="6523" spans="1:27" x14ac:dyDescent="0.35">
      <c r="A6523" s="5">
        <v>6519</v>
      </c>
      <c r="B6523" s="5">
        <v>272</v>
      </c>
      <c r="C6523" s="5">
        <v>9</v>
      </c>
      <c r="D6523" s="25">
        <v>1.1416E-4</v>
      </c>
      <c r="E6523" s="25">
        <v>1.1887000000000001E-4</v>
      </c>
      <c r="F6523" s="25">
        <v>1.1032E-4</v>
      </c>
      <c r="G6523" s="25">
        <v>1.6458999999999999E-4</v>
      </c>
      <c r="H6523" s="25">
        <v>1.1281999999999999E-4</v>
      </c>
      <c r="I6523" s="9">
        <v>1.2348E-4</v>
      </c>
      <c r="J6523" s="9">
        <v>1.2894E-4</v>
      </c>
      <c r="K6523" s="9">
        <v>6.3600000000000001E-6</v>
      </c>
      <c r="L6523" s="9">
        <v>1.1620000000000001E-4</v>
      </c>
      <c r="M6523" s="9">
        <v>1.4631999999999999E-4</v>
      </c>
      <c r="N6523" s="9">
        <v>1.7000000000000001E-4</v>
      </c>
      <c r="O6523" s="9">
        <v>1.2772E-4</v>
      </c>
      <c r="P6523" s="9">
        <v>1.4035999999999999E-4</v>
      </c>
      <c r="Q6523" s="9">
        <v>1.5338E-4</v>
      </c>
      <c r="R6523" s="10">
        <v>1.3043874875291004E-4</v>
      </c>
      <c r="S6523" s="10">
        <v>3.3544058534521959E-5</v>
      </c>
      <c r="T6523" s="10">
        <v>4.81789422897193E-4</v>
      </c>
      <c r="U6523" s="10">
        <v>6.7000000000000002E-5</v>
      </c>
      <c r="V6523" s="25"/>
      <c r="W6523" s="25"/>
      <c r="X6523" s="25"/>
      <c r="Y6523" s="25"/>
      <c r="Z6523" s="25"/>
      <c r="AA6523" s="25"/>
    </row>
    <row r="6524" spans="1:27" x14ac:dyDescent="0.35">
      <c r="A6524" s="5">
        <v>6520</v>
      </c>
      <c r="B6524" s="5">
        <v>272</v>
      </c>
      <c r="C6524" s="5">
        <v>9</v>
      </c>
      <c r="D6524" s="25">
        <v>1.1415000000000001E-4</v>
      </c>
      <c r="E6524" s="25">
        <v>1.1836999999999999E-4</v>
      </c>
      <c r="F6524" s="25">
        <v>1.1765999999999999E-4</v>
      </c>
      <c r="G6524" s="25">
        <v>1.6530000000000001E-4</v>
      </c>
      <c r="H6524" s="25">
        <v>1.1466E-4</v>
      </c>
      <c r="I6524" s="9">
        <v>1.2142999999999999E-4</v>
      </c>
      <c r="J6524" s="9">
        <v>1.3076E-4</v>
      </c>
      <c r="K6524" s="9">
        <v>4.0269999999999999E-5</v>
      </c>
      <c r="L6524" s="9">
        <v>1.2564E-4</v>
      </c>
      <c r="M6524" s="9">
        <v>1.4237000000000001E-4</v>
      </c>
      <c r="N6524" s="9">
        <v>1.6621E-4</v>
      </c>
      <c r="O6524" s="9">
        <v>1.3422E-4</v>
      </c>
      <c r="P6524" s="9">
        <v>1.2171E-4</v>
      </c>
      <c r="Q6524" s="9">
        <v>1.1001999999999999E-4</v>
      </c>
      <c r="R6524" s="10">
        <v>1.4961924663599597E-4</v>
      </c>
      <c r="S6524" s="10">
        <v>4.0898457681498983E-5</v>
      </c>
      <c r="T6524" s="10">
        <v>3.1178103251903723E-4</v>
      </c>
      <c r="U6524" s="10">
        <v>6.7000000000000002E-5</v>
      </c>
      <c r="V6524" s="25"/>
      <c r="W6524" s="25"/>
      <c r="X6524" s="25"/>
      <c r="Y6524" s="25"/>
      <c r="Z6524" s="25"/>
      <c r="AA6524" s="25"/>
    </row>
    <row r="6525" spans="1:27" x14ac:dyDescent="0.35">
      <c r="A6525" s="5">
        <v>6521</v>
      </c>
      <c r="B6525" s="5">
        <v>272</v>
      </c>
      <c r="C6525" s="5">
        <v>9</v>
      </c>
      <c r="D6525" s="25">
        <v>1.1416E-4</v>
      </c>
      <c r="E6525" s="25">
        <v>1.2475E-4</v>
      </c>
      <c r="F6525" s="25">
        <v>1.1263E-4</v>
      </c>
      <c r="G6525" s="25">
        <v>1.6065E-4</v>
      </c>
      <c r="H6525" s="25">
        <v>1.2008E-4</v>
      </c>
      <c r="I6525" s="9">
        <v>1.2208E-4</v>
      </c>
      <c r="J6525" s="9">
        <v>1.3307999999999999E-4</v>
      </c>
      <c r="K6525" s="9">
        <v>5.0869999999999999E-5</v>
      </c>
      <c r="L6525" s="9">
        <v>1.3203999999999999E-4</v>
      </c>
      <c r="M6525" s="9">
        <v>1.3407E-4</v>
      </c>
      <c r="N6525" s="9">
        <v>1.5254E-4</v>
      </c>
      <c r="O6525" s="9">
        <v>1.4033000000000001E-4</v>
      </c>
      <c r="P6525" s="9">
        <v>1.2339E-4</v>
      </c>
      <c r="Q6525" s="9">
        <v>1.0739E-4</v>
      </c>
      <c r="R6525" s="10">
        <v>1.6662690072538901E-4</v>
      </c>
      <c r="S6525" s="10">
        <v>5.2260664011810046E-5</v>
      </c>
      <c r="T6525" s="10">
        <v>1.115515678556738E-4</v>
      </c>
      <c r="U6525" s="10">
        <v>6.7000000000000002E-5</v>
      </c>
      <c r="V6525" s="25"/>
      <c r="W6525" s="25"/>
      <c r="X6525" s="25"/>
      <c r="Y6525" s="25"/>
      <c r="Z6525" s="25"/>
      <c r="AA6525" s="25"/>
    </row>
    <row r="6526" spans="1:27" x14ac:dyDescent="0.35">
      <c r="A6526" s="5">
        <v>6522</v>
      </c>
      <c r="B6526" s="5">
        <v>272</v>
      </c>
      <c r="C6526" s="5">
        <v>9</v>
      </c>
      <c r="D6526" s="25">
        <v>1.1415000000000001E-4</v>
      </c>
      <c r="E6526" s="25">
        <v>1.2348E-4</v>
      </c>
      <c r="F6526" s="25">
        <v>1.1391999999999999E-4</v>
      </c>
      <c r="G6526" s="25">
        <v>1.6003999999999999E-4</v>
      </c>
      <c r="H6526" s="25">
        <v>1.1812E-4</v>
      </c>
      <c r="I6526" s="9">
        <v>1.2227000000000001E-4</v>
      </c>
      <c r="J6526" s="9">
        <v>1.2852E-4</v>
      </c>
      <c r="K6526" s="9">
        <v>6.5699999999999998E-5</v>
      </c>
      <c r="L6526" s="9">
        <v>1.3820999999999999E-4</v>
      </c>
      <c r="M6526" s="9">
        <v>1.2813000000000001E-4</v>
      </c>
      <c r="N6526" s="9">
        <v>1.3924E-4</v>
      </c>
      <c r="O6526" s="9">
        <v>1.3960000000000001E-4</v>
      </c>
      <c r="P6526" s="9">
        <v>1.2778999999999999E-4</v>
      </c>
      <c r="Q6526" s="9">
        <v>1.1683E-4</v>
      </c>
      <c r="R6526" s="10">
        <v>1.7949378934372536E-4</v>
      </c>
      <c r="S6526" s="10">
        <v>6.2980334184581426E-5</v>
      </c>
      <c r="T6526" s="10">
        <v>0</v>
      </c>
      <c r="U6526" s="10">
        <v>6.7000000000000002E-5</v>
      </c>
      <c r="V6526" s="25"/>
      <c r="W6526" s="25"/>
      <c r="X6526" s="25"/>
      <c r="Y6526" s="25"/>
      <c r="Z6526" s="25"/>
      <c r="AA6526" s="25"/>
    </row>
    <row r="6527" spans="1:27" x14ac:dyDescent="0.35">
      <c r="A6527" s="5">
        <v>6523</v>
      </c>
      <c r="B6527" s="5">
        <v>272</v>
      </c>
      <c r="C6527" s="5">
        <v>9</v>
      </c>
      <c r="D6527" s="25">
        <v>1.1416E-4</v>
      </c>
      <c r="E6527" s="25">
        <v>1.1867E-4</v>
      </c>
      <c r="F6527" s="25">
        <v>9.8729999999999998E-5</v>
      </c>
      <c r="G6527" s="25">
        <v>1.0485E-4</v>
      </c>
      <c r="H6527" s="25">
        <v>8.1749999999999995E-5</v>
      </c>
      <c r="I6527" s="9">
        <v>1.2271999999999999E-4</v>
      </c>
      <c r="J6527" s="9">
        <v>1.2986000000000001E-4</v>
      </c>
      <c r="K6527" s="9">
        <v>7.8410000000000003E-5</v>
      </c>
      <c r="L6527" s="9">
        <v>1.3920999999999999E-4</v>
      </c>
      <c r="M6527" s="9">
        <v>1.2663999999999999E-4</v>
      </c>
      <c r="N6527" s="9">
        <v>1.2994999999999999E-4</v>
      </c>
      <c r="O6527" s="9">
        <v>1.4054000000000001E-4</v>
      </c>
      <c r="P6527" s="9">
        <v>1.2305000000000001E-4</v>
      </c>
      <c r="Q6527" s="9">
        <v>1.0650999999999999E-4</v>
      </c>
      <c r="R6527" s="10">
        <v>1.9651728175745195E-4</v>
      </c>
      <c r="S6527" s="10">
        <v>6.9143423444748353E-5</v>
      </c>
      <c r="T6527" s="10">
        <v>0</v>
      </c>
      <c r="U6527" s="10">
        <v>6.7000000000000002E-5</v>
      </c>
      <c r="V6527" s="25"/>
      <c r="W6527" s="25"/>
      <c r="X6527" s="25"/>
      <c r="Y6527" s="25"/>
      <c r="Z6527" s="25"/>
      <c r="AA6527" s="25"/>
    </row>
    <row r="6528" spans="1:27" x14ac:dyDescent="0.35">
      <c r="A6528" s="5">
        <v>6524</v>
      </c>
      <c r="B6528" s="5">
        <v>272</v>
      </c>
      <c r="C6528" s="5">
        <v>9</v>
      </c>
      <c r="D6528" s="25">
        <v>1.1415000000000001E-4</v>
      </c>
      <c r="E6528" s="25">
        <v>1.2271999999999999E-4</v>
      </c>
      <c r="F6528" s="25">
        <v>9.9489999999999998E-5</v>
      </c>
      <c r="G6528" s="25">
        <v>1.1106E-4</v>
      </c>
      <c r="H6528" s="25">
        <v>7.9709999999999994E-5</v>
      </c>
      <c r="I6528" s="9">
        <v>1.2184999999999999E-4</v>
      </c>
      <c r="J6528" s="9">
        <v>1.3081E-4</v>
      </c>
      <c r="K6528" s="9">
        <v>9.9610000000000003E-5</v>
      </c>
      <c r="L6528" s="9">
        <v>1.4025999999999999E-4</v>
      </c>
      <c r="M6528" s="9">
        <v>1.2522E-4</v>
      </c>
      <c r="N6528" s="9">
        <v>1.2074E-4</v>
      </c>
      <c r="O6528" s="9">
        <v>1.4304000000000001E-4</v>
      </c>
      <c r="P6528" s="9">
        <v>1.2171E-4</v>
      </c>
      <c r="Q6528" s="9">
        <v>1.0141000000000001E-4</v>
      </c>
      <c r="R6528" s="10">
        <v>2.0576995541471459E-4</v>
      </c>
      <c r="S6528" s="10">
        <v>7.3472622702629373E-5</v>
      </c>
      <c r="T6528" s="10">
        <v>0</v>
      </c>
      <c r="U6528" s="10">
        <v>6.7000000000000002E-5</v>
      </c>
      <c r="V6528" s="25"/>
      <c r="W6528" s="25"/>
      <c r="X6528" s="25"/>
      <c r="Y6528" s="25"/>
      <c r="Z6528" s="25"/>
      <c r="AA6528" s="25"/>
    </row>
    <row r="6529" spans="1:27" x14ac:dyDescent="0.35">
      <c r="A6529" s="5">
        <v>6525</v>
      </c>
      <c r="B6529" s="5">
        <v>272</v>
      </c>
      <c r="C6529" s="5">
        <v>9</v>
      </c>
      <c r="D6529" s="25">
        <v>1.1416E-4</v>
      </c>
      <c r="E6529" s="25">
        <v>1.1582999999999999E-4</v>
      </c>
      <c r="F6529" s="25">
        <v>1.1663999999999999E-4</v>
      </c>
      <c r="G6529" s="25">
        <v>6.0550000000000001E-5</v>
      </c>
      <c r="H6529" s="25">
        <v>3.9339999999999999E-5</v>
      </c>
      <c r="I6529" s="9">
        <v>1.161E-4</v>
      </c>
      <c r="J6529" s="9">
        <v>1.2368000000000001E-4</v>
      </c>
      <c r="K6529" s="9">
        <v>1.2716E-4</v>
      </c>
      <c r="L6529" s="9">
        <v>1.4244E-4</v>
      </c>
      <c r="M6529" s="9">
        <v>1.2363000000000001E-4</v>
      </c>
      <c r="N6529" s="9">
        <v>1.1293E-4</v>
      </c>
      <c r="O6529" s="9">
        <v>8.4179999999999997E-5</v>
      </c>
      <c r="P6529" s="9">
        <v>8.5900000000000001E-5</v>
      </c>
      <c r="Q6529" s="9">
        <v>8.789E-5</v>
      </c>
      <c r="R6529" s="10">
        <v>2.0880065782862692E-4</v>
      </c>
      <c r="S6529" s="10">
        <v>7.5860987015124439E-5</v>
      </c>
      <c r="T6529" s="10">
        <v>0</v>
      </c>
      <c r="U6529" s="10">
        <v>6.7000000000000002E-5</v>
      </c>
      <c r="V6529" s="25"/>
      <c r="W6529" s="25"/>
      <c r="X6529" s="25"/>
      <c r="Y6529" s="25"/>
      <c r="Z6529" s="25"/>
      <c r="AA6529" s="25"/>
    </row>
    <row r="6530" spans="1:27" x14ac:dyDescent="0.35">
      <c r="A6530" s="5">
        <v>6526</v>
      </c>
      <c r="B6530" s="5">
        <v>272</v>
      </c>
      <c r="C6530" s="5">
        <v>9</v>
      </c>
      <c r="D6530" s="25">
        <v>1.1415000000000001E-4</v>
      </c>
      <c r="E6530" s="25">
        <v>1.1817E-4</v>
      </c>
      <c r="F6530" s="25">
        <v>1.1556E-4</v>
      </c>
      <c r="G6530" s="25">
        <v>5.6180000000000001E-5</v>
      </c>
      <c r="H6530" s="25">
        <v>4.0000000000000003E-5</v>
      </c>
      <c r="I6530" s="9">
        <v>1.1218999999999999E-4</v>
      </c>
      <c r="J6530" s="9">
        <v>1.1472E-4</v>
      </c>
      <c r="K6530" s="9">
        <v>1.2716E-4</v>
      </c>
      <c r="L6530" s="9">
        <v>9.6940000000000004E-5</v>
      </c>
      <c r="M6530" s="9">
        <v>1.0961E-4</v>
      </c>
      <c r="N6530" s="9">
        <v>1.0524E-4</v>
      </c>
      <c r="O6530" s="9">
        <v>8.6580000000000001E-5</v>
      </c>
      <c r="P6530" s="9">
        <v>8.6920000000000001E-5</v>
      </c>
      <c r="Q6530" s="9">
        <v>8.7559999999999995E-5</v>
      </c>
      <c r="R6530" s="10">
        <v>2.1005169111296614E-4</v>
      </c>
      <c r="S6530" s="10">
        <v>7.7597820683040957E-5</v>
      </c>
      <c r="T6530" s="10">
        <v>0</v>
      </c>
      <c r="U6530" s="10">
        <v>6.7000000000000002E-5</v>
      </c>
      <c r="V6530" s="25"/>
      <c r="W6530" s="25"/>
      <c r="X6530" s="25"/>
      <c r="Y6530" s="25"/>
      <c r="Z6530" s="25"/>
      <c r="AA6530" s="25"/>
    </row>
    <row r="6531" spans="1:27" x14ac:dyDescent="0.35">
      <c r="A6531" s="5">
        <v>6527</v>
      </c>
      <c r="B6531" s="5">
        <v>272</v>
      </c>
      <c r="C6531" s="5">
        <v>9</v>
      </c>
      <c r="D6531" s="25">
        <v>1.1416E-4</v>
      </c>
      <c r="E6531" s="25">
        <v>1.183E-4</v>
      </c>
      <c r="F6531" s="25">
        <v>1.0155E-4</v>
      </c>
      <c r="G6531" s="25">
        <v>6.1519999999999994E-5</v>
      </c>
      <c r="H6531" s="25">
        <v>3.8220000000000003E-5</v>
      </c>
      <c r="I6531" s="9">
        <v>1.0634E-4</v>
      </c>
      <c r="J6531" s="9">
        <v>1.0737E-4</v>
      </c>
      <c r="K6531" s="9">
        <v>1.2928000000000001E-4</v>
      </c>
      <c r="L6531" s="9">
        <v>9.0119999999999998E-5</v>
      </c>
      <c r="M6531" s="9">
        <v>9.7670000000000005E-5</v>
      </c>
      <c r="N6531" s="9">
        <v>9.9329999999999999E-5</v>
      </c>
      <c r="O6531" s="9">
        <v>8.475E-5</v>
      </c>
      <c r="P6531" s="9">
        <v>7.5679999999999994E-5</v>
      </c>
      <c r="Q6531" s="9">
        <v>6.7039999999999995E-5</v>
      </c>
      <c r="R6531" s="10">
        <v>2.105039201207448E-4</v>
      </c>
      <c r="S6531" s="10">
        <v>7.9937132141125465E-5</v>
      </c>
      <c r="T6531" s="10">
        <v>0</v>
      </c>
      <c r="U6531" s="10">
        <v>6.7000000000000002E-5</v>
      </c>
      <c r="V6531" s="25"/>
      <c r="W6531" s="25"/>
      <c r="X6531" s="25"/>
      <c r="Y6531" s="25"/>
      <c r="Z6531" s="25"/>
      <c r="AA6531" s="25"/>
    </row>
    <row r="6532" spans="1:27" x14ac:dyDescent="0.35">
      <c r="A6532" s="5">
        <v>6528</v>
      </c>
      <c r="B6532" s="5">
        <v>272</v>
      </c>
      <c r="C6532" s="5">
        <v>9</v>
      </c>
      <c r="D6532" s="25">
        <v>1.1415000000000001E-4</v>
      </c>
      <c r="E6532" s="25">
        <v>1.2259E-4</v>
      </c>
      <c r="F6532" s="25">
        <v>1.0465E-4</v>
      </c>
      <c r="G6532" s="25">
        <v>5.4339999999999998E-5</v>
      </c>
      <c r="H6532" s="25">
        <v>3.913E-5</v>
      </c>
      <c r="I6532" s="9">
        <v>9.9829999999999998E-5</v>
      </c>
      <c r="J6532" s="9">
        <v>9.9850000000000001E-5</v>
      </c>
      <c r="K6532" s="9">
        <v>1.0597E-4</v>
      </c>
      <c r="L6532" s="9">
        <v>8.6169999999999997E-5</v>
      </c>
      <c r="M6532" s="9">
        <v>8.6949999999999999E-5</v>
      </c>
      <c r="N6532" s="9">
        <v>9.0169999999999999E-5</v>
      </c>
      <c r="O6532" s="9">
        <v>7.9029999999999994E-5</v>
      </c>
      <c r="P6532" s="9">
        <v>6.8709999999999998E-5</v>
      </c>
      <c r="Q6532" s="9">
        <v>5.8820000000000003E-5</v>
      </c>
      <c r="R6532" s="10">
        <v>2.1235082897479279E-4</v>
      </c>
      <c r="S6532" s="10">
        <v>9.9984506471904695E-5</v>
      </c>
      <c r="T6532" s="10">
        <v>0</v>
      </c>
      <c r="U6532" s="10">
        <v>6.7000000000000002E-5</v>
      </c>
      <c r="V6532" s="25"/>
      <c r="W6532" s="25"/>
      <c r="X6532" s="25"/>
      <c r="Y6532" s="25"/>
      <c r="Z6532" s="25"/>
      <c r="AA6532" s="25"/>
    </row>
    <row r="6533" spans="1:27" x14ac:dyDescent="0.35">
      <c r="A6533" s="5">
        <v>6529</v>
      </c>
      <c r="B6533" s="5">
        <v>273</v>
      </c>
      <c r="C6533" s="5">
        <v>9</v>
      </c>
      <c r="D6533" s="25">
        <v>1.1416E-4</v>
      </c>
      <c r="E6533" s="25">
        <v>1.1233E-4</v>
      </c>
      <c r="F6533" s="25">
        <v>1.3145E-4</v>
      </c>
      <c r="G6533" s="25">
        <v>5.3300000000000001E-5</v>
      </c>
      <c r="H6533" s="25">
        <v>1.347E-5</v>
      </c>
      <c r="I6533" s="9">
        <v>9.5649999999999994E-5</v>
      </c>
      <c r="J6533" s="9">
        <v>9.5000000000000005E-5</v>
      </c>
      <c r="K6533" s="9">
        <v>9.9610000000000003E-5</v>
      </c>
      <c r="L6533" s="9">
        <v>8.0370000000000005E-5</v>
      </c>
      <c r="M6533" s="9">
        <v>7.7979999999999995E-5</v>
      </c>
      <c r="N6533" s="9">
        <v>8.085E-5</v>
      </c>
      <c r="O6533" s="9">
        <v>6.8200000000000004E-5</v>
      </c>
      <c r="P6533" s="9">
        <v>6.0720000000000001E-5</v>
      </c>
      <c r="Q6533" s="9">
        <v>5.3550000000000001E-5</v>
      </c>
      <c r="R6533" s="10">
        <v>2.1157863180762735E-4</v>
      </c>
      <c r="S6533" s="10">
        <v>8.9565126092003972E-5</v>
      </c>
      <c r="T6533" s="10">
        <v>0</v>
      </c>
      <c r="U6533" s="10">
        <v>6.6649999999999994E-5</v>
      </c>
      <c r="V6533" s="25"/>
      <c r="W6533" s="25"/>
      <c r="X6533" s="25"/>
      <c r="Y6533" s="25"/>
      <c r="Z6533" s="25"/>
      <c r="AA6533" s="25"/>
    </row>
    <row r="6534" spans="1:27" x14ac:dyDescent="0.35">
      <c r="A6534" s="5">
        <v>6530</v>
      </c>
      <c r="B6534" s="5">
        <v>273</v>
      </c>
      <c r="C6534" s="5">
        <v>9</v>
      </c>
      <c r="D6534" s="25">
        <v>1.1415000000000001E-4</v>
      </c>
      <c r="E6534" s="25">
        <v>1.1934000000000001E-4</v>
      </c>
      <c r="F6534" s="25">
        <v>1.1231E-4</v>
      </c>
      <c r="G6534" s="25">
        <v>5.7779999999999999E-5</v>
      </c>
      <c r="H6534" s="25">
        <v>1.5310000000000001E-5</v>
      </c>
      <c r="I6534" s="9">
        <v>9.2200000000000005E-5</v>
      </c>
      <c r="J6534" s="9">
        <v>9.302E-5</v>
      </c>
      <c r="K6534" s="9">
        <v>9.5370000000000003E-5</v>
      </c>
      <c r="L6534" s="9">
        <v>7.1019999999999994E-5</v>
      </c>
      <c r="M6534" s="9">
        <v>6.9659999999999994E-5</v>
      </c>
      <c r="N6534" s="9">
        <v>7.1870000000000001E-5</v>
      </c>
      <c r="O6534" s="9">
        <v>3.519E-5</v>
      </c>
      <c r="P6534" s="9">
        <v>4.5689999999999998E-5</v>
      </c>
      <c r="Q6534" s="9">
        <v>5.5999999999999999E-5</v>
      </c>
      <c r="R6534" s="10">
        <v>2.1154238684159668E-4</v>
      </c>
      <c r="S6534" s="10">
        <v>8.1743118705180783E-5</v>
      </c>
      <c r="T6534" s="10">
        <v>0</v>
      </c>
      <c r="U6534" s="10">
        <v>6.6649999999999994E-5</v>
      </c>
      <c r="V6534" s="25"/>
      <c r="W6534" s="25"/>
      <c r="X6534" s="25"/>
      <c r="Y6534" s="25"/>
      <c r="Z6534" s="25"/>
      <c r="AA6534" s="25"/>
    </row>
    <row r="6535" spans="1:27" x14ac:dyDescent="0.35">
      <c r="A6535" s="5">
        <v>6531</v>
      </c>
      <c r="B6535" s="5">
        <v>273</v>
      </c>
      <c r="C6535" s="5">
        <v>9</v>
      </c>
      <c r="D6535" s="25">
        <v>1.1416E-4</v>
      </c>
      <c r="E6535" s="25">
        <v>1.1736E-4</v>
      </c>
      <c r="F6535" s="25">
        <v>1.2695E-4</v>
      </c>
      <c r="G6535" s="25">
        <v>5.3699999999999997E-5</v>
      </c>
      <c r="H6535" s="25">
        <v>1.358E-5</v>
      </c>
      <c r="I6535" s="9">
        <v>9.1890000000000003E-5</v>
      </c>
      <c r="J6535" s="9">
        <v>9.1920000000000001E-5</v>
      </c>
      <c r="K6535" s="9">
        <v>1.1869E-4</v>
      </c>
      <c r="L6535" s="9">
        <v>4.3319999999999999E-5</v>
      </c>
      <c r="M6535" s="9">
        <v>5.906E-5</v>
      </c>
      <c r="N6535" s="9">
        <v>6.5350000000000003E-5</v>
      </c>
      <c r="O6535" s="9">
        <v>2.2310000000000002E-5</v>
      </c>
      <c r="P6535" s="9">
        <v>4.2339999999999998E-5</v>
      </c>
      <c r="Q6535" s="9">
        <v>6.1929999999999998E-5</v>
      </c>
      <c r="R6535" s="10">
        <v>2.1083581107643047E-4</v>
      </c>
      <c r="S6535" s="10">
        <v>7.950403872574363E-5</v>
      </c>
      <c r="T6535" s="10">
        <v>0</v>
      </c>
      <c r="U6535" s="10">
        <v>6.6649999999999994E-5</v>
      </c>
      <c r="V6535" s="25"/>
      <c r="W6535" s="25"/>
      <c r="X6535" s="25"/>
      <c r="Y6535" s="25"/>
      <c r="Z6535" s="25"/>
      <c r="AA6535" s="25"/>
    </row>
    <row r="6536" spans="1:27" x14ac:dyDescent="0.35">
      <c r="A6536" s="5">
        <v>6532</v>
      </c>
      <c r="B6536" s="5">
        <v>273</v>
      </c>
      <c r="C6536" s="5">
        <v>9</v>
      </c>
      <c r="D6536" s="25">
        <v>1.1415000000000001E-4</v>
      </c>
      <c r="E6536" s="25">
        <v>1.1257E-4</v>
      </c>
      <c r="F6536" s="25">
        <v>1.1077E-4</v>
      </c>
      <c r="G6536" s="25">
        <v>5.9549999999999997E-5</v>
      </c>
      <c r="H6536" s="25">
        <v>1.34E-5</v>
      </c>
      <c r="I6536" s="9">
        <v>9.2979999999999994E-5</v>
      </c>
      <c r="J6536" s="9">
        <v>9.2180000000000002E-5</v>
      </c>
      <c r="K6536" s="9">
        <v>1.1656E-4</v>
      </c>
      <c r="L6536" s="9">
        <v>2.7670000000000001E-5</v>
      </c>
      <c r="M6536" s="9">
        <v>5.0489999999999999E-5</v>
      </c>
      <c r="N6536" s="9">
        <v>6.1920000000000003E-5</v>
      </c>
      <c r="O6536" s="9">
        <v>2.1590000000000002E-5</v>
      </c>
      <c r="P6536" s="9">
        <v>5.117E-5</v>
      </c>
      <c r="Q6536" s="9">
        <v>8.0160000000000005E-5</v>
      </c>
      <c r="R6536" s="10">
        <v>2.0998567458189692E-4</v>
      </c>
      <c r="S6536" s="10">
        <v>7.6649515618228036E-5</v>
      </c>
      <c r="T6536" s="10">
        <v>0</v>
      </c>
      <c r="U6536" s="10">
        <v>6.6649999999999994E-5</v>
      </c>
      <c r="V6536" s="25"/>
      <c r="W6536" s="25"/>
      <c r="X6536" s="25"/>
      <c r="Y6536" s="25"/>
      <c r="Z6536" s="25"/>
      <c r="AA6536" s="25"/>
    </row>
    <row r="6537" spans="1:27" x14ac:dyDescent="0.35">
      <c r="A6537" s="5">
        <v>6533</v>
      </c>
      <c r="B6537" s="5">
        <v>273</v>
      </c>
      <c r="C6537" s="5">
        <v>9</v>
      </c>
      <c r="D6537" s="25">
        <v>1.1416E-4</v>
      </c>
      <c r="E6537" s="25">
        <v>1.1485E-4</v>
      </c>
      <c r="F6537" s="25">
        <v>1.3067999999999999E-4</v>
      </c>
      <c r="G6537" s="25">
        <v>5.9200000000000002E-5</v>
      </c>
      <c r="H6537" s="25">
        <v>1.36E-5</v>
      </c>
      <c r="I6537" s="9">
        <v>9.6799999999999995E-5</v>
      </c>
      <c r="J6537" s="9">
        <v>9.5110000000000002E-5</v>
      </c>
      <c r="K6537" s="9">
        <v>1.102E-4</v>
      </c>
      <c r="L6537" s="9">
        <v>2.3309999999999999E-5</v>
      </c>
      <c r="M6537" s="9">
        <v>4.8749999999999999E-5</v>
      </c>
      <c r="N6537" s="9">
        <v>6.444E-5</v>
      </c>
      <c r="O6537" s="9">
        <v>2.3540000000000002E-5</v>
      </c>
      <c r="P6537" s="9">
        <v>5.893E-5</v>
      </c>
      <c r="Q6537" s="9">
        <v>9.3659999999999994E-5</v>
      </c>
      <c r="R6537" s="10">
        <v>2.0862923031897841E-4</v>
      </c>
      <c r="S6537" s="10">
        <v>7.1661023242398122E-5</v>
      </c>
      <c r="T6537" s="10">
        <v>0</v>
      </c>
      <c r="U6537" s="10">
        <v>6.6649999999999994E-5</v>
      </c>
      <c r="V6537" s="25"/>
      <c r="W6537" s="25"/>
      <c r="X6537" s="25"/>
      <c r="Y6537" s="25"/>
      <c r="Z6537" s="25"/>
      <c r="AA6537" s="25"/>
    </row>
    <row r="6538" spans="1:27" x14ac:dyDescent="0.35">
      <c r="A6538" s="5">
        <v>6534</v>
      </c>
      <c r="B6538" s="5">
        <v>273</v>
      </c>
      <c r="C6538" s="5">
        <v>9</v>
      </c>
      <c r="D6538" s="25">
        <v>1.1415000000000001E-4</v>
      </c>
      <c r="E6538" s="25">
        <v>1.1985999999999999E-4</v>
      </c>
      <c r="F6538" s="25">
        <v>1.2740000000000001E-4</v>
      </c>
      <c r="G6538" s="25">
        <v>1.1533E-4</v>
      </c>
      <c r="H6538" s="25">
        <v>2.6089999999999999E-5</v>
      </c>
      <c r="I6538" s="9">
        <v>1.0901E-4</v>
      </c>
      <c r="J6538" s="9">
        <v>1.0620000000000001E-4</v>
      </c>
      <c r="K6538" s="9">
        <v>9.7490000000000003E-5</v>
      </c>
      <c r="L6538" s="9">
        <v>2.3419999999999999E-5</v>
      </c>
      <c r="M6538" s="9">
        <v>5.2309999999999999E-5</v>
      </c>
      <c r="N6538" s="9">
        <v>7.1009999999999999E-5</v>
      </c>
      <c r="O6538" s="9">
        <v>2.987E-5</v>
      </c>
      <c r="P6538" s="9">
        <v>6.8850000000000007E-5</v>
      </c>
      <c r="Q6538" s="9">
        <v>1.0715E-4</v>
      </c>
      <c r="R6538" s="10">
        <v>2.0596185098028209E-4</v>
      </c>
      <c r="S6538" s="10">
        <v>6.3945944555057784E-5</v>
      </c>
      <c r="T6538" s="10">
        <v>0</v>
      </c>
      <c r="U6538" s="10">
        <v>6.6649999999999994E-5</v>
      </c>
      <c r="V6538" s="25"/>
      <c r="W6538" s="25"/>
      <c r="X6538" s="25"/>
      <c r="Y6538" s="25"/>
      <c r="Z6538" s="25"/>
      <c r="AA6538" s="25"/>
    </row>
    <row r="6539" spans="1:27" x14ac:dyDescent="0.35">
      <c r="A6539" s="5">
        <v>6535</v>
      </c>
      <c r="B6539" s="5">
        <v>273</v>
      </c>
      <c r="C6539" s="5">
        <v>9</v>
      </c>
      <c r="D6539" s="25">
        <v>1.1416E-4</v>
      </c>
      <c r="E6539" s="25">
        <v>1.1461E-4</v>
      </c>
      <c r="F6539" s="25">
        <v>1.1883999999999999E-4</v>
      </c>
      <c r="G6539" s="25">
        <v>1.1224E-4</v>
      </c>
      <c r="H6539" s="25">
        <v>2.5899999999999999E-5</v>
      </c>
      <c r="I6539" s="9">
        <v>1.1985999999999999E-4</v>
      </c>
      <c r="J6539" s="9">
        <v>1.2213E-4</v>
      </c>
      <c r="K6539" s="9">
        <v>8.0539999999999998E-5</v>
      </c>
      <c r="L6539" s="9">
        <v>2.8350000000000001E-5</v>
      </c>
      <c r="M6539" s="9">
        <v>5.9320000000000001E-5</v>
      </c>
      <c r="N6539" s="9">
        <v>8.0749999999999998E-5</v>
      </c>
      <c r="O6539" s="9">
        <v>4.5859999999999998E-5</v>
      </c>
      <c r="P6539" s="9">
        <v>7.8869999999999995E-5</v>
      </c>
      <c r="Q6539" s="9">
        <v>1.1141000000000001E-4</v>
      </c>
      <c r="R6539" s="10">
        <v>2.0195513926109064E-4</v>
      </c>
      <c r="S6539" s="10">
        <v>5.8554537995032417E-5</v>
      </c>
      <c r="T6539" s="10">
        <v>2.5681974132881398E-5</v>
      </c>
      <c r="U6539" s="10">
        <v>6.6649999999999994E-5</v>
      </c>
      <c r="V6539" s="25"/>
      <c r="W6539" s="25"/>
      <c r="X6539" s="25"/>
      <c r="Y6539" s="25"/>
      <c r="Z6539" s="25"/>
      <c r="AA6539" s="25"/>
    </row>
    <row r="6540" spans="1:27" x14ac:dyDescent="0.35">
      <c r="A6540" s="5">
        <v>6536</v>
      </c>
      <c r="B6540" s="5">
        <v>273</v>
      </c>
      <c r="C6540" s="5">
        <v>9</v>
      </c>
      <c r="D6540" s="25">
        <v>1.1415000000000001E-4</v>
      </c>
      <c r="E6540" s="25">
        <v>1.1291E-4</v>
      </c>
      <c r="F6540" s="25">
        <v>1.0922E-4</v>
      </c>
      <c r="G6540" s="25">
        <v>1.6179000000000001E-4</v>
      </c>
      <c r="H6540" s="25">
        <v>3.9839999999999998E-5</v>
      </c>
      <c r="I6540" s="9">
        <v>1.2266999999999999E-4</v>
      </c>
      <c r="J6540" s="9">
        <v>1.2962999999999999E-4</v>
      </c>
      <c r="K6540" s="9">
        <v>4.6629999999999999E-5</v>
      </c>
      <c r="L6540" s="9">
        <v>4.1860000000000002E-5</v>
      </c>
      <c r="M6540" s="9">
        <v>6.813E-5</v>
      </c>
      <c r="N6540" s="9">
        <v>9.0619999999999996E-5</v>
      </c>
      <c r="O6540" s="9">
        <v>6.8460000000000005E-5</v>
      </c>
      <c r="P6540" s="9">
        <v>1.0294E-4</v>
      </c>
      <c r="Q6540" s="9">
        <v>1.3706999999999999E-4</v>
      </c>
      <c r="R6540" s="10">
        <v>1.944100439415979E-4</v>
      </c>
      <c r="S6540" s="10">
        <v>5.1517753241676831E-5</v>
      </c>
      <c r="T6540" s="10">
        <v>2.0520974838189707E-4</v>
      </c>
      <c r="U6540" s="10">
        <v>6.6649999999999994E-5</v>
      </c>
      <c r="V6540" s="25"/>
      <c r="W6540" s="25"/>
      <c r="X6540" s="25"/>
      <c r="Y6540" s="25"/>
      <c r="Z6540" s="25"/>
      <c r="AA6540" s="25"/>
    </row>
    <row r="6541" spans="1:27" x14ac:dyDescent="0.35">
      <c r="A6541" s="5">
        <v>6537</v>
      </c>
      <c r="B6541" s="5">
        <v>273</v>
      </c>
      <c r="C6541" s="5">
        <v>9</v>
      </c>
      <c r="D6541" s="25">
        <v>1.1416E-4</v>
      </c>
      <c r="E6541" s="25">
        <v>1.1568E-4</v>
      </c>
      <c r="F6541" s="25">
        <v>1.2085E-4</v>
      </c>
      <c r="G6541" s="25">
        <v>1.5992E-4</v>
      </c>
      <c r="H6541" s="25">
        <v>3.9749999999999997E-5</v>
      </c>
      <c r="I6541" s="9">
        <v>1.2599E-4</v>
      </c>
      <c r="J6541" s="9">
        <v>1.3341000000000001E-4</v>
      </c>
      <c r="K6541" s="9">
        <v>4.0280000000000001E-5</v>
      </c>
      <c r="L6541" s="9">
        <v>6.224E-5</v>
      </c>
      <c r="M6541" s="9">
        <v>8.284E-5</v>
      </c>
      <c r="N6541" s="9">
        <v>1.0445E-4</v>
      </c>
      <c r="O6541" s="9">
        <v>9.9110000000000005E-5</v>
      </c>
      <c r="P6541" s="9">
        <v>1.3750000000000001E-4</v>
      </c>
      <c r="Q6541" s="9">
        <v>1.7568999999999999E-4</v>
      </c>
      <c r="R6541" s="10">
        <v>1.8553131822125345E-4</v>
      </c>
      <c r="S6541" s="10">
        <v>4.7027494843684802E-5</v>
      </c>
      <c r="T6541" s="10">
        <v>3.9312849468820367E-4</v>
      </c>
      <c r="U6541" s="10">
        <v>6.6649999999999994E-5</v>
      </c>
      <c r="V6541" s="25"/>
      <c r="W6541" s="25"/>
      <c r="X6541" s="25"/>
      <c r="Y6541" s="25"/>
      <c r="Z6541" s="25"/>
      <c r="AA6541" s="25"/>
    </row>
    <row r="6542" spans="1:27" x14ac:dyDescent="0.35">
      <c r="A6542" s="5">
        <v>6538</v>
      </c>
      <c r="B6542" s="5">
        <v>273</v>
      </c>
      <c r="C6542" s="5">
        <v>9</v>
      </c>
      <c r="D6542" s="25">
        <v>1.1415000000000001E-4</v>
      </c>
      <c r="E6542" s="25">
        <v>1.1124999999999999E-4</v>
      </c>
      <c r="F6542" s="25">
        <v>1.2394000000000001E-4</v>
      </c>
      <c r="G6542" s="25">
        <v>1.6113E-4</v>
      </c>
      <c r="H6542" s="25">
        <v>3.9870000000000003E-5</v>
      </c>
      <c r="I6542" s="9">
        <v>1.2637999999999999E-4</v>
      </c>
      <c r="J6542" s="9">
        <v>1.3527999999999999E-4</v>
      </c>
      <c r="K6542" s="9">
        <v>4.0269999999999999E-5</v>
      </c>
      <c r="L6542" s="9">
        <v>9.0470000000000006E-5</v>
      </c>
      <c r="M6542" s="9">
        <v>1.0624E-4</v>
      </c>
      <c r="N6542" s="9">
        <v>1.2421000000000001E-4</v>
      </c>
      <c r="O6542" s="9">
        <v>1.2736E-4</v>
      </c>
      <c r="P6542" s="9">
        <v>1.5385999999999999E-4</v>
      </c>
      <c r="Q6542" s="9">
        <v>1.8053000000000001E-4</v>
      </c>
      <c r="R6542" s="10">
        <v>1.761347873676987E-4</v>
      </c>
      <c r="S6542" s="10">
        <v>4.4795319010101742E-5</v>
      </c>
      <c r="T6542" s="10">
        <v>5.3199950645133629E-4</v>
      </c>
      <c r="U6542" s="10">
        <v>6.6649999999999994E-5</v>
      </c>
      <c r="V6542" s="25"/>
      <c r="W6542" s="25"/>
      <c r="X6542" s="25"/>
      <c r="Y6542" s="25"/>
      <c r="Z6542" s="25"/>
      <c r="AA6542" s="25"/>
    </row>
    <row r="6543" spans="1:27" x14ac:dyDescent="0.35">
      <c r="A6543" s="5">
        <v>6539</v>
      </c>
      <c r="B6543" s="5">
        <v>273</v>
      </c>
      <c r="C6543" s="5">
        <v>9</v>
      </c>
      <c r="D6543" s="25">
        <v>1.1416E-4</v>
      </c>
      <c r="E6543" s="25">
        <v>1.2053E-4</v>
      </c>
      <c r="F6543" s="25">
        <v>1.2658E-4</v>
      </c>
      <c r="G6543" s="25">
        <v>1.6411999999999999E-4</v>
      </c>
      <c r="H6543" s="25">
        <v>4.0920000000000001E-5</v>
      </c>
      <c r="I6543" s="9">
        <v>1.2727999999999999E-4</v>
      </c>
      <c r="J6543" s="9">
        <v>1.3574E-4</v>
      </c>
      <c r="K6543" s="9">
        <v>4.0269999999999999E-5</v>
      </c>
      <c r="L6543" s="9">
        <v>1.1854999999999999E-4</v>
      </c>
      <c r="M6543" s="9">
        <v>1.2929E-4</v>
      </c>
      <c r="N6543" s="9">
        <v>1.4197999999999999E-4</v>
      </c>
      <c r="O6543" s="9">
        <v>1.3682000000000001E-4</v>
      </c>
      <c r="P6543" s="9">
        <v>1.5804999999999999E-4</v>
      </c>
      <c r="Q6543" s="9">
        <v>1.7959000000000001E-4</v>
      </c>
      <c r="R6543" s="10">
        <v>1.3443670309330768E-4</v>
      </c>
      <c r="S6543" s="10">
        <v>4.5479010353432605E-5</v>
      </c>
      <c r="T6543" s="10">
        <v>6.1605346011319828E-4</v>
      </c>
      <c r="U6543" s="10">
        <v>6.6649999999999994E-5</v>
      </c>
      <c r="V6543" s="25"/>
      <c r="W6543" s="25"/>
      <c r="X6543" s="25"/>
      <c r="Y6543" s="25"/>
      <c r="Z6543" s="25"/>
      <c r="AA6543" s="25"/>
    </row>
    <row r="6544" spans="1:27" x14ac:dyDescent="0.35">
      <c r="A6544" s="5">
        <v>6540</v>
      </c>
      <c r="B6544" s="5">
        <v>273</v>
      </c>
      <c r="C6544" s="5">
        <v>9</v>
      </c>
      <c r="D6544" s="25">
        <v>1.1415000000000001E-4</v>
      </c>
      <c r="E6544" s="25">
        <v>1.1396E-4</v>
      </c>
      <c r="F6544" s="25">
        <v>1.1882E-4</v>
      </c>
      <c r="G6544" s="25">
        <v>1.6239E-4</v>
      </c>
      <c r="H6544" s="25">
        <v>4.036E-5</v>
      </c>
      <c r="I6544" s="9">
        <v>1.2339999999999999E-4</v>
      </c>
      <c r="J6544" s="9">
        <v>1.3447000000000001E-4</v>
      </c>
      <c r="K6544" s="9">
        <v>2.5429999999999999E-5</v>
      </c>
      <c r="L6544" s="9">
        <v>1.3214999999999999E-4</v>
      </c>
      <c r="M6544" s="9">
        <v>1.4509000000000001E-4</v>
      </c>
      <c r="N6544" s="9">
        <v>1.5614000000000001E-4</v>
      </c>
      <c r="O6544" s="9">
        <v>1.3798E-4</v>
      </c>
      <c r="P6544" s="9">
        <v>1.5579E-4</v>
      </c>
      <c r="Q6544" s="9">
        <v>1.7396999999999999E-4</v>
      </c>
      <c r="R6544" s="10">
        <v>7.3218353651726911E-5</v>
      </c>
      <c r="S6544" s="10">
        <v>4.1643399040004633E-5</v>
      </c>
      <c r="T6544" s="10">
        <v>0</v>
      </c>
      <c r="U6544" s="10">
        <v>6.6649999999999994E-5</v>
      </c>
      <c r="V6544" s="25"/>
      <c r="W6544" s="25"/>
      <c r="X6544" s="25"/>
      <c r="Y6544" s="25"/>
      <c r="Z6544" s="25"/>
      <c r="AA6544" s="25"/>
    </row>
    <row r="6545" spans="1:27" x14ac:dyDescent="0.35">
      <c r="A6545" s="5">
        <v>6541</v>
      </c>
      <c r="B6545" s="5">
        <v>273</v>
      </c>
      <c r="C6545" s="5">
        <v>9</v>
      </c>
      <c r="D6545" s="25">
        <v>1.1416E-4</v>
      </c>
      <c r="E6545" s="25">
        <v>1.126E-4</v>
      </c>
      <c r="F6545" s="25">
        <v>1.1369E-4</v>
      </c>
      <c r="G6545" s="25">
        <v>1.6603000000000001E-4</v>
      </c>
      <c r="H6545" s="25">
        <v>3.8819999999999998E-5</v>
      </c>
      <c r="I6545" s="9">
        <v>1.2214999999999999E-4</v>
      </c>
      <c r="J6545" s="9">
        <v>1.3566000000000001E-4</v>
      </c>
      <c r="K6545" s="9">
        <v>8.4800000000000001E-6</v>
      </c>
      <c r="L6545" s="9">
        <v>1.3650000000000001E-4</v>
      </c>
      <c r="M6545" s="9">
        <v>1.5234999999999999E-4</v>
      </c>
      <c r="N6545" s="9">
        <v>1.6568E-4</v>
      </c>
      <c r="O6545" s="9">
        <v>1.3040999999999999E-4</v>
      </c>
      <c r="P6545" s="9">
        <v>1.4909999999999999E-4</v>
      </c>
      <c r="Q6545" s="9">
        <v>1.6809999999999999E-4</v>
      </c>
      <c r="R6545" s="10">
        <v>6.9940786055294529E-5</v>
      </c>
      <c r="S6545" s="10">
        <v>3.9277977778142527E-5</v>
      </c>
      <c r="T6545" s="10">
        <v>6.4478978201213094E-4</v>
      </c>
      <c r="U6545" s="10">
        <v>6.6649999999999994E-5</v>
      </c>
      <c r="V6545" s="25"/>
      <c r="W6545" s="25"/>
      <c r="X6545" s="25"/>
      <c r="Y6545" s="25"/>
      <c r="Z6545" s="25"/>
      <c r="AA6545" s="25"/>
    </row>
    <row r="6546" spans="1:27" x14ac:dyDescent="0.35">
      <c r="A6546" s="5">
        <v>6542</v>
      </c>
      <c r="B6546" s="5">
        <v>273</v>
      </c>
      <c r="C6546" s="5">
        <v>9</v>
      </c>
      <c r="D6546" s="25">
        <v>1.1415000000000001E-4</v>
      </c>
      <c r="E6546" s="25">
        <v>1.1757E-4</v>
      </c>
      <c r="F6546" s="25">
        <v>1.1492E-4</v>
      </c>
      <c r="G6546" s="25">
        <v>1.6566000000000001E-4</v>
      </c>
      <c r="H6546" s="25">
        <v>3.837E-5</v>
      </c>
      <c r="I6546" s="9">
        <v>1.2095999999999999E-4</v>
      </c>
      <c r="J6546" s="9">
        <v>1.3556000000000001E-4</v>
      </c>
      <c r="K6546" s="9">
        <v>8.4800000000000001E-6</v>
      </c>
      <c r="L6546" s="9">
        <v>1.3180000000000001E-4</v>
      </c>
      <c r="M6546" s="9">
        <v>1.5258000000000001E-4</v>
      </c>
      <c r="N6546" s="9">
        <v>1.7024E-4</v>
      </c>
      <c r="O6546" s="9">
        <v>1.1312E-4</v>
      </c>
      <c r="P6546" s="9">
        <v>1.3742999999999999E-4</v>
      </c>
      <c r="Q6546" s="9">
        <v>1.6184000000000001E-4</v>
      </c>
      <c r="R6546" s="10">
        <v>1.0688562546966863E-4</v>
      </c>
      <c r="S6546" s="10">
        <v>3.6891868191565348E-5</v>
      </c>
      <c r="T6546" s="10">
        <v>5.9862670924800559E-4</v>
      </c>
      <c r="U6546" s="10">
        <v>6.6649999999999994E-5</v>
      </c>
      <c r="V6546" s="25"/>
      <c r="W6546" s="25"/>
      <c r="X6546" s="25"/>
      <c r="Y6546" s="25"/>
      <c r="Z6546" s="25"/>
      <c r="AA6546" s="25"/>
    </row>
    <row r="6547" spans="1:27" x14ac:dyDescent="0.35">
      <c r="A6547" s="5">
        <v>6543</v>
      </c>
      <c r="B6547" s="5">
        <v>273</v>
      </c>
      <c r="C6547" s="5">
        <v>9</v>
      </c>
      <c r="D6547" s="25">
        <v>1.1416E-4</v>
      </c>
      <c r="E6547" s="25">
        <v>1.1992E-4</v>
      </c>
      <c r="F6547" s="25">
        <v>1.1069999999999999E-4</v>
      </c>
      <c r="G6547" s="25">
        <v>1.6040999999999999E-4</v>
      </c>
      <c r="H6547" s="25">
        <v>3.8500000000000001E-5</v>
      </c>
      <c r="I6547" s="9">
        <v>1.2091000000000001E-4</v>
      </c>
      <c r="J6547" s="9">
        <v>1.3520000000000001E-4</v>
      </c>
      <c r="K6547" s="9">
        <v>2.1189999999999999E-5</v>
      </c>
      <c r="L6547" s="9">
        <v>1.1743000000000001E-4</v>
      </c>
      <c r="M6547" s="9">
        <v>1.4690999999999999E-4</v>
      </c>
      <c r="N6547" s="9">
        <v>1.7012E-4</v>
      </c>
      <c r="O6547" s="9">
        <v>1.283E-4</v>
      </c>
      <c r="P6547" s="9">
        <v>1.4098999999999999E-4</v>
      </c>
      <c r="Q6547" s="9">
        <v>1.5407999999999999E-4</v>
      </c>
      <c r="R6547" s="10">
        <v>1.2883898819086005E-4</v>
      </c>
      <c r="S6547" s="10">
        <v>3.8519317028771909E-5</v>
      </c>
      <c r="T6547" s="10">
        <v>4.8528495422945169E-4</v>
      </c>
      <c r="U6547" s="10">
        <v>6.6649999999999994E-5</v>
      </c>
      <c r="V6547" s="25"/>
      <c r="W6547" s="25"/>
      <c r="X6547" s="25"/>
      <c r="Y6547" s="25"/>
      <c r="Z6547" s="25"/>
      <c r="AA6547" s="25"/>
    </row>
    <row r="6548" spans="1:27" x14ac:dyDescent="0.35">
      <c r="A6548" s="5">
        <v>6544</v>
      </c>
      <c r="B6548" s="5">
        <v>273</v>
      </c>
      <c r="C6548" s="5">
        <v>9</v>
      </c>
      <c r="D6548" s="25">
        <v>1.1415000000000001E-4</v>
      </c>
      <c r="E6548" s="25">
        <v>1.1230000000000001E-4</v>
      </c>
      <c r="F6548" s="25">
        <v>1.2549999999999999E-4</v>
      </c>
      <c r="G6548" s="25">
        <v>1.6592000000000001E-4</v>
      </c>
      <c r="H6548" s="25">
        <v>3.9619999999999997E-5</v>
      </c>
      <c r="I6548" s="9">
        <v>1.2093E-4</v>
      </c>
      <c r="J6548" s="9">
        <v>1.3558E-4</v>
      </c>
      <c r="K6548" s="9">
        <v>3.1789999999999999E-5</v>
      </c>
      <c r="L6548" s="9">
        <v>1.2632E-4</v>
      </c>
      <c r="M6548" s="9">
        <v>1.4317999999999999E-4</v>
      </c>
      <c r="N6548" s="9">
        <v>1.6668E-4</v>
      </c>
      <c r="O6548" s="9">
        <v>1.3443999999999999E-4</v>
      </c>
      <c r="P6548" s="9">
        <v>1.219E-4</v>
      </c>
      <c r="Q6548" s="9">
        <v>1.102E-4</v>
      </c>
      <c r="R6548" s="10">
        <v>1.3526896825084969E-4</v>
      </c>
      <c r="S6548" s="10">
        <v>4.1788985468783888E-5</v>
      </c>
      <c r="T6548" s="10">
        <v>3.4582004151180901E-4</v>
      </c>
      <c r="U6548" s="10">
        <v>6.6649999999999994E-5</v>
      </c>
      <c r="V6548" s="25"/>
      <c r="W6548" s="25"/>
      <c r="X6548" s="25"/>
      <c r="Y6548" s="25"/>
      <c r="Z6548" s="25"/>
      <c r="AA6548" s="25"/>
    </row>
    <row r="6549" spans="1:27" x14ac:dyDescent="0.35">
      <c r="A6549" s="5">
        <v>6545</v>
      </c>
      <c r="B6549" s="5">
        <v>273</v>
      </c>
      <c r="C6549" s="5">
        <v>9</v>
      </c>
      <c r="D6549" s="25">
        <v>1.1416E-4</v>
      </c>
      <c r="E6549" s="25">
        <v>1.1362E-4</v>
      </c>
      <c r="F6549" s="25">
        <v>1.2098E-4</v>
      </c>
      <c r="G6549" s="25">
        <v>1.5948000000000001E-4</v>
      </c>
      <c r="H6549" s="25">
        <v>4.0800000000000002E-5</v>
      </c>
      <c r="I6549" s="9">
        <v>1.2242000000000001E-4</v>
      </c>
      <c r="J6549" s="9">
        <v>1.3608000000000001E-4</v>
      </c>
      <c r="K6549" s="9">
        <v>4.0280000000000001E-5</v>
      </c>
      <c r="L6549" s="9">
        <v>1.3237000000000001E-4</v>
      </c>
      <c r="M6549" s="9">
        <v>1.3470999999999999E-4</v>
      </c>
      <c r="N6549" s="9">
        <v>1.5307E-4</v>
      </c>
      <c r="O6549" s="9">
        <v>1.3918000000000001E-4</v>
      </c>
      <c r="P6549" s="9">
        <v>1.2238E-4</v>
      </c>
      <c r="Q6549" s="9">
        <v>1.0650999999999999E-4</v>
      </c>
      <c r="R6549" s="10">
        <v>1.3828391054929241E-4</v>
      </c>
      <c r="S6549" s="10">
        <v>4.7324496128925624E-5</v>
      </c>
      <c r="T6549" s="10">
        <v>1.2534703859900555E-4</v>
      </c>
      <c r="U6549" s="10">
        <v>6.6649999999999994E-5</v>
      </c>
      <c r="V6549" s="25"/>
      <c r="W6549" s="25"/>
      <c r="X6549" s="25"/>
      <c r="Y6549" s="25"/>
      <c r="Z6549" s="25"/>
      <c r="AA6549" s="25"/>
    </row>
    <row r="6550" spans="1:27" x14ac:dyDescent="0.35">
      <c r="A6550" s="5">
        <v>6546</v>
      </c>
      <c r="B6550" s="5">
        <v>273</v>
      </c>
      <c r="C6550" s="5">
        <v>9</v>
      </c>
      <c r="D6550" s="25">
        <v>1.1415000000000001E-4</v>
      </c>
      <c r="E6550" s="25">
        <v>1.1223E-4</v>
      </c>
      <c r="F6550" s="25">
        <v>1.2828000000000001E-4</v>
      </c>
      <c r="G6550" s="25">
        <v>1.6615E-4</v>
      </c>
      <c r="H6550" s="25">
        <v>3.9889999999999999E-5</v>
      </c>
      <c r="I6550" s="9">
        <v>1.2312E-4</v>
      </c>
      <c r="J6550" s="9">
        <v>1.3269000000000001E-4</v>
      </c>
      <c r="K6550" s="9">
        <v>4.0269999999999999E-5</v>
      </c>
      <c r="L6550" s="9">
        <v>1.3741E-4</v>
      </c>
      <c r="M6550" s="9">
        <v>1.281E-4</v>
      </c>
      <c r="N6550" s="9">
        <v>1.3954000000000001E-4</v>
      </c>
      <c r="O6550" s="9">
        <v>1.4108E-4</v>
      </c>
      <c r="P6550" s="9">
        <v>1.2914E-4</v>
      </c>
      <c r="Q6550" s="9">
        <v>1.1806E-4</v>
      </c>
      <c r="R6550" s="10">
        <v>1.5734183577977495E-4</v>
      </c>
      <c r="S6550" s="10">
        <v>5.6649762299261121E-5</v>
      </c>
      <c r="T6550" s="10">
        <v>0</v>
      </c>
      <c r="U6550" s="10">
        <v>6.6649999999999994E-5</v>
      </c>
      <c r="V6550" s="25"/>
      <c r="W6550" s="25"/>
      <c r="X6550" s="25"/>
      <c r="Y6550" s="25"/>
      <c r="Z6550" s="25"/>
      <c r="AA6550" s="25"/>
    </row>
    <row r="6551" spans="1:27" x14ac:dyDescent="0.35">
      <c r="A6551" s="5">
        <v>6547</v>
      </c>
      <c r="B6551" s="5">
        <v>273</v>
      </c>
      <c r="C6551" s="5">
        <v>9</v>
      </c>
      <c r="D6551" s="25">
        <v>1.1416E-4</v>
      </c>
      <c r="E6551" s="25">
        <v>1.1951999999999999E-4</v>
      </c>
      <c r="F6551" s="25">
        <v>1.2333999999999999E-4</v>
      </c>
      <c r="G6551" s="25">
        <v>1.1531000000000001E-4</v>
      </c>
      <c r="H6551" s="25">
        <v>2.7670000000000001E-5</v>
      </c>
      <c r="I6551" s="9">
        <v>1.2428E-4</v>
      </c>
      <c r="J6551" s="9">
        <v>1.3451000000000001E-4</v>
      </c>
      <c r="K6551" s="9">
        <v>4.0269999999999999E-5</v>
      </c>
      <c r="L6551" s="9">
        <v>1.4019999999999999E-4</v>
      </c>
      <c r="M6551" s="9">
        <v>1.2693000000000001E-4</v>
      </c>
      <c r="N6551" s="9">
        <v>1.3045E-4</v>
      </c>
      <c r="O6551" s="9">
        <v>1.4248E-4</v>
      </c>
      <c r="P6551" s="9">
        <v>1.2474E-4</v>
      </c>
      <c r="Q6551" s="9">
        <v>1.0797E-4</v>
      </c>
      <c r="R6551" s="10">
        <v>1.888310110748342E-4</v>
      </c>
      <c r="S6551" s="10">
        <v>6.4600428234217087E-5</v>
      </c>
      <c r="T6551" s="10">
        <v>0</v>
      </c>
      <c r="U6551" s="10">
        <v>6.6649999999999994E-5</v>
      </c>
      <c r="V6551" s="25"/>
      <c r="W6551" s="25"/>
      <c r="X6551" s="25"/>
      <c r="Y6551" s="25"/>
      <c r="Z6551" s="25"/>
      <c r="AA6551" s="25"/>
    </row>
    <row r="6552" spans="1:27" x14ac:dyDescent="0.35">
      <c r="A6552" s="5">
        <v>6548</v>
      </c>
      <c r="B6552" s="5">
        <v>273</v>
      </c>
      <c r="C6552" s="5">
        <v>9</v>
      </c>
      <c r="D6552" s="25">
        <v>1.1415000000000001E-4</v>
      </c>
      <c r="E6552" s="25">
        <v>1.1647E-4</v>
      </c>
      <c r="F6552" s="25">
        <v>1.1678E-4</v>
      </c>
      <c r="G6552" s="25">
        <v>1.1226E-4</v>
      </c>
      <c r="H6552" s="25">
        <v>2.8010000000000001E-5</v>
      </c>
      <c r="I6552" s="9">
        <v>1.2091000000000001E-4</v>
      </c>
      <c r="J6552" s="9">
        <v>1.3143000000000001E-4</v>
      </c>
      <c r="K6552" s="9">
        <v>4.2389999999999999E-5</v>
      </c>
      <c r="L6552" s="9">
        <v>1.4194000000000001E-4</v>
      </c>
      <c r="M6552" s="9">
        <v>1.2612999999999999E-4</v>
      </c>
      <c r="N6552" s="9">
        <v>1.214E-4</v>
      </c>
      <c r="O6552" s="9">
        <v>1.4464999999999999E-4</v>
      </c>
      <c r="P6552" s="9">
        <v>1.2307999999999999E-4</v>
      </c>
      <c r="Q6552" s="9">
        <v>1.0255E-4</v>
      </c>
      <c r="R6552" s="10">
        <v>2.0581497456186168E-4</v>
      </c>
      <c r="S6552" s="10">
        <v>6.9287152713244708E-5</v>
      </c>
      <c r="T6552" s="10">
        <v>0</v>
      </c>
      <c r="U6552" s="10">
        <v>6.6649999999999994E-5</v>
      </c>
      <c r="V6552" s="25"/>
      <c r="W6552" s="25"/>
      <c r="X6552" s="25"/>
      <c r="Y6552" s="25"/>
      <c r="Z6552" s="25"/>
      <c r="AA6552" s="25"/>
    </row>
    <row r="6553" spans="1:27" x14ac:dyDescent="0.35">
      <c r="A6553" s="5">
        <v>6549</v>
      </c>
      <c r="B6553" s="5">
        <v>273</v>
      </c>
      <c r="C6553" s="5">
        <v>9</v>
      </c>
      <c r="D6553" s="25">
        <v>1.1416E-4</v>
      </c>
      <c r="E6553" s="25">
        <v>1.1936E-4</v>
      </c>
      <c r="F6553" s="25">
        <v>1.2333999999999999E-4</v>
      </c>
      <c r="G6553" s="25">
        <v>5.7259999999999997E-5</v>
      </c>
      <c r="H6553" s="25">
        <v>1.4450000000000001E-5</v>
      </c>
      <c r="I6553" s="9">
        <v>1.1409E-4</v>
      </c>
      <c r="J6553" s="9">
        <v>1.2342000000000001E-4</v>
      </c>
      <c r="K6553" s="9">
        <v>4.2389999999999999E-5</v>
      </c>
      <c r="L6553" s="9">
        <v>1.4404000000000001E-4</v>
      </c>
      <c r="M6553" s="9">
        <v>1.2486999999999999E-4</v>
      </c>
      <c r="N6553" s="9">
        <v>1.1370999999999999E-4</v>
      </c>
      <c r="O6553" s="9">
        <v>8.4690000000000004E-5</v>
      </c>
      <c r="P6553" s="9">
        <v>8.6420000000000003E-5</v>
      </c>
      <c r="Q6553" s="9">
        <v>8.8419999999999997E-5</v>
      </c>
      <c r="R6553" s="10">
        <v>2.0836184090001304E-4</v>
      </c>
      <c r="S6553" s="10">
        <v>6.7885025586238902E-5</v>
      </c>
      <c r="T6553" s="10">
        <v>0</v>
      </c>
      <c r="U6553" s="10">
        <v>6.6649999999999994E-5</v>
      </c>
      <c r="V6553" s="25"/>
      <c r="W6553" s="25"/>
      <c r="X6553" s="25"/>
      <c r="Y6553" s="25"/>
      <c r="Z6553" s="25"/>
      <c r="AA6553" s="25"/>
    </row>
    <row r="6554" spans="1:27" x14ac:dyDescent="0.35">
      <c r="A6554" s="5">
        <v>6550</v>
      </c>
      <c r="B6554" s="5">
        <v>273</v>
      </c>
      <c r="C6554" s="5">
        <v>9</v>
      </c>
      <c r="D6554" s="25">
        <v>1.1415000000000001E-4</v>
      </c>
      <c r="E6554" s="25">
        <v>1.1993E-4</v>
      </c>
      <c r="F6554" s="25">
        <v>1.2988999999999999E-4</v>
      </c>
      <c r="G6554" s="25">
        <v>6.1119999999999998E-5</v>
      </c>
      <c r="H6554" s="25">
        <v>1.385E-5</v>
      </c>
      <c r="I6554" s="9">
        <v>1.1016E-4</v>
      </c>
      <c r="J6554" s="9">
        <v>1.1456E-4</v>
      </c>
      <c r="K6554" s="9">
        <v>4.2389999999999999E-5</v>
      </c>
      <c r="L6554" s="9">
        <v>9.7700000000000003E-5</v>
      </c>
      <c r="M6554" s="9">
        <v>1.1065000000000001E-4</v>
      </c>
      <c r="N6554" s="9">
        <v>1.0603E-4</v>
      </c>
      <c r="O6554" s="9">
        <v>8.7529999999999997E-5</v>
      </c>
      <c r="P6554" s="9">
        <v>8.7869999999999997E-5</v>
      </c>
      <c r="Q6554" s="9">
        <v>8.852E-5</v>
      </c>
      <c r="R6554" s="10">
        <v>2.088408029111508E-4</v>
      </c>
      <c r="S6554" s="10">
        <v>6.5054556038645023E-5</v>
      </c>
      <c r="T6554" s="10">
        <v>0</v>
      </c>
      <c r="U6554" s="10">
        <v>6.6649999999999994E-5</v>
      </c>
      <c r="V6554" s="25"/>
      <c r="W6554" s="25"/>
      <c r="X6554" s="25"/>
      <c r="Y6554" s="25"/>
      <c r="Z6554" s="25"/>
      <c r="AA6554" s="25"/>
    </row>
    <row r="6555" spans="1:27" x14ac:dyDescent="0.35">
      <c r="A6555" s="5">
        <v>6551</v>
      </c>
      <c r="B6555" s="5">
        <v>273</v>
      </c>
      <c r="C6555" s="5">
        <v>9</v>
      </c>
      <c r="D6555" s="25">
        <v>1.1416E-4</v>
      </c>
      <c r="E6555" s="25">
        <v>1.1497000000000001E-4</v>
      </c>
      <c r="F6555" s="25">
        <v>1.1676E-4</v>
      </c>
      <c r="G6555" s="25">
        <v>5.5449999999999999E-5</v>
      </c>
      <c r="H6555" s="25">
        <v>1.4250000000000001E-5</v>
      </c>
      <c r="I6555" s="9">
        <v>1.0518000000000001E-4</v>
      </c>
      <c r="J6555" s="9">
        <v>1.0734E-4</v>
      </c>
      <c r="K6555" s="9">
        <v>3.8160000000000001E-5</v>
      </c>
      <c r="L6555" s="9">
        <v>9.1059999999999999E-5</v>
      </c>
      <c r="M6555" s="9">
        <v>9.8610000000000006E-5</v>
      </c>
      <c r="N6555" s="9">
        <v>1.0021E-4</v>
      </c>
      <c r="O6555" s="9">
        <v>8.4120000000000001E-5</v>
      </c>
      <c r="P6555" s="9">
        <v>7.5110000000000004E-5</v>
      </c>
      <c r="Q6555" s="9">
        <v>6.6530000000000002E-5</v>
      </c>
      <c r="R6555" s="10">
        <v>2.0793495316927339E-4</v>
      </c>
      <c r="S6555" s="10">
        <v>5.9894843613053633E-5</v>
      </c>
      <c r="T6555" s="10">
        <v>0</v>
      </c>
      <c r="U6555" s="10">
        <v>6.6649999999999994E-5</v>
      </c>
      <c r="V6555" s="25"/>
      <c r="W6555" s="25"/>
      <c r="X6555" s="25"/>
      <c r="Y6555" s="25"/>
      <c r="Z6555" s="25"/>
      <c r="AA6555" s="25"/>
    </row>
    <row r="6556" spans="1:27" x14ac:dyDescent="0.35">
      <c r="A6556" s="5">
        <v>6552</v>
      </c>
      <c r="B6556" s="5">
        <v>273</v>
      </c>
      <c r="C6556" s="5">
        <v>9</v>
      </c>
      <c r="D6556" s="25">
        <v>1.1415000000000001E-4</v>
      </c>
      <c r="E6556" s="25">
        <v>1.2079E-4</v>
      </c>
      <c r="F6556" s="25">
        <v>1.2536000000000001E-4</v>
      </c>
      <c r="G6556" s="25">
        <v>5.7210000000000003E-5</v>
      </c>
      <c r="H6556" s="25">
        <v>1.346E-5</v>
      </c>
      <c r="I6556" s="9">
        <v>9.8560000000000005E-5</v>
      </c>
      <c r="J6556" s="9">
        <v>1.0001E-4</v>
      </c>
      <c r="K6556" s="9">
        <v>3.1789999999999999E-5</v>
      </c>
      <c r="L6556" s="9">
        <v>8.5870000000000003E-5</v>
      </c>
      <c r="M6556" s="9">
        <v>8.7340000000000001E-5</v>
      </c>
      <c r="N6556" s="9">
        <v>9.077E-5</v>
      </c>
      <c r="O6556" s="9">
        <v>7.8360000000000002E-5</v>
      </c>
      <c r="P6556" s="9">
        <v>6.813E-5</v>
      </c>
      <c r="Q6556" s="9">
        <v>5.8310000000000002E-5</v>
      </c>
      <c r="R6556" s="10">
        <v>2.0933793188343701E-4</v>
      </c>
      <c r="S6556" s="10">
        <v>6.0409192881517633E-5</v>
      </c>
      <c r="T6556" s="10">
        <v>0</v>
      </c>
      <c r="U6556" s="10">
        <v>6.6649999999999994E-5</v>
      </c>
      <c r="V6556" s="25"/>
      <c r="W6556" s="25"/>
      <c r="X6556" s="25"/>
      <c r="Y6556" s="25"/>
      <c r="Z6556" s="25"/>
      <c r="AA6556" s="25"/>
    </row>
    <row r="6557" spans="1:27" x14ac:dyDescent="0.35">
      <c r="A6557" s="5">
        <v>6553</v>
      </c>
      <c r="B6557" s="5">
        <v>274</v>
      </c>
      <c r="C6557" s="5">
        <v>10</v>
      </c>
      <c r="D6557" s="25">
        <v>1.1416E-4</v>
      </c>
      <c r="E6557" s="25">
        <v>1.1649E-4</v>
      </c>
      <c r="F6557" s="25">
        <v>9.3679999999999998E-5</v>
      </c>
      <c r="G6557" s="25">
        <v>6.2760000000000002E-5</v>
      </c>
      <c r="H6557" s="25">
        <v>6.6500000000000004E-5</v>
      </c>
      <c r="I6557" s="9">
        <v>9.5260000000000006E-5</v>
      </c>
      <c r="J6557" s="9">
        <v>9.5099999999999994E-5</v>
      </c>
      <c r="K6557" s="9">
        <v>2.3309999999999999E-5</v>
      </c>
      <c r="L6557" s="9">
        <v>7.9809999999999997E-5</v>
      </c>
      <c r="M6557" s="9">
        <v>7.7860000000000003E-5</v>
      </c>
      <c r="N6557" s="9">
        <v>8.1160000000000002E-5</v>
      </c>
      <c r="O6557" s="9">
        <v>5.5059999999999998E-5</v>
      </c>
      <c r="P6557" s="9">
        <v>5.4469999999999999E-5</v>
      </c>
      <c r="Q6557" s="9">
        <v>5.4039999999999998E-5</v>
      </c>
      <c r="R6557" s="10">
        <v>1.9913183953826672E-4</v>
      </c>
      <c r="S6557" s="10">
        <v>4.9075938713988133E-5</v>
      </c>
      <c r="T6557" s="10">
        <v>0</v>
      </c>
      <c r="U6557" s="10">
        <v>6.6470000000000006E-5</v>
      </c>
      <c r="V6557" s="25"/>
      <c r="W6557" s="25"/>
      <c r="X6557" s="25"/>
      <c r="Y6557" s="25"/>
      <c r="Z6557" s="25"/>
      <c r="AA6557" s="25"/>
    </row>
    <row r="6558" spans="1:27" x14ac:dyDescent="0.35">
      <c r="A6558" s="5">
        <v>6554</v>
      </c>
      <c r="B6558" s="5">
        <v>274</v>
      </c>
      <c r="C6558" s="5">
        <v>10</v>
      </c>
      <c r="D6558" s="25">
        <v>1.1415000000000001E-4</v>
      </c>
      <c r="E6558" s="25">
        <v>1.1309E-4</v>
      </c>
      <c r="F6558" s="25">
        <v>1.0187999999999999E-4</v>
      </c>
      <c r="G6558" s="25">
        <v>6.1400000000000002E-5</v>
      </c>
      <c r="H6558" s="25">
        <v>7.3449999999999996E-5</v>
      </c>
      <c r="I6558" s="9">
        <v>9.2230000000000003E-5</v>
      </c>
      <c r="J6558" s="9">
        <v>9.2230000000000003E-5</v>
      </c>
      <c r="K6558" s="9">
        <v>1.272E-5</v>
      </c>
      <c r="L6558" s="9">
        <v>6.0659999999999999E-5</v>
      </c>
      <c r="M6558" s="9">
        <v>6.7210000000000002E-5</v>
      </c>
      <c r="N6558" s="9">
        <v>7.2119999999999994E-5</v>
      </c>
      <c r="O6558" s="9">
        <v>1.861E-5</v>
      </c>
      <c r="P6558" s="9">
        <v>3.7450000000000002E-5</v>
      </c>
      <c r="Q6558" s="9">
        <v>5.5729999999999997E-5</v>
      </c>
      <c r="R6558" s="10">
        <v>1.8097526818208805E-4</v>
      </c>
      <c r="S6558" s="10">
        <v>3.7148293140331112E-5</v>
      </c>
      <c r="T6558" s="10">
        <v>0</v>
      </c>
      <c r="U6558" s="10">
        <v>6.6470000000000006E-5</v>
      </c>
      <c r="V6558" s="25"/>
      <c r="W6558" s="25"/>
      <c r="X6558" s="25"/>
      <c r="Y6558" s="25"/>
      <c r="Z6558" s="25"/>
      <c r="AA6558" s="25"/>
    </row>
    <row r="6559" spans="1:27" x14ac:dyDescent="0.35">
      <c r="A6559" s="5">
        <v>6555</v>
      </c>
      <c r="B6559" s="5">
        <v>274</v>
      </c>
      <c r="C6559" s="5">
        <v>10</v>
      </c>
      <c r="D6559" s="25">
        <v>1.1416E-4</v>
      </c>
      <c r="E6559" s="25">
        <v>1.1516E-4</v>
      </c>
      <c r="F6559" s="25">
        <v>9.6470000000000003E-5</v>
      </c>
      <c r="G6559" s="25">
        <v>5.8270000000000003E-5</v>
      </c>
      <c r="H6559" s="25">
        <v>7.1199999999999996E-5</v>
      </c>
      <c r="I6559" s="9">
        <v>9.0619999999999996E-5</v>
      </c>
      <c r="J6559" s="9">
        <v>9.0929999999999998E-5</v>
      </c>
      <c r="K6559" s="9">
        <v>0</v>
      </c>
      <c r="L6559" s="9">
        <v>2.8370000000000001E-5</v>
      </c>
      <c r="M6559" s="9">
        <v>5.3909999999999997E-5</v>
      </c>
      <c r="N6559" s="9">
        <v>6.5419999999999994E-5</v>
      </c>
      <c r="O6559" s="9">
        <v>1.3370000000000001E-5</v>
      </c>
      <c r="P6559" s="9">
        <v>3.807E-5</v>
      </c>
      <c r="Q6559" s="9">
        <v>6.2059999999999999E-5</v>
      </c>
      <c r="R6559" s="10">
        <v>1.6290848692940063E-4</v>
      </c>
      <c r="S6559" s="10">
        <v>2.853366485297516E-5</v>
      </c>
      <c r="T6559" s="10">
        <v>0</v>
      </c>
      <c r="U6559" s="10">
        <v>6.6470000000000006E-5</v>
      </c>
      <c r="V6559" s="25"/>
      <c r="W6559" s="25"/>
      <c r="X6559" s="25"/>
      <c r="Y6559" s="25"/>
      <c r="Z6559" s="25"/>
      <c r="AA6559" s="25"/>
    </row>
    <row r="6560" spans="1:27" x14ac:dyDescent="0.35">
      <c r="A6560" s="5">
        <v>6556</v>
      </c>
      <c r="B6560" s="5">
        <v>274</v>
      </c>
      <c r="C6560" s="5">
        <v>10</v>
      </c>
      <c r="D6560" s="25">
        <v>1.1415000000000001E-4</v>
      </c>
      <c r="E6560" s="25">
        <v>1.1680000000000001E-4</v>
      </c>
      <c r="F6560" s="25">
        <v>1.0669E-4</v>
      </c>
      <c r="G6560" s="25">
        <v>6.088E-5</v>
      </c>
      <c r="H6560" s="25">
        <v>6.7509999999999996E-5</v>
      </c>
      <c r="I6560" s="9">
        <v>9.1299999999999997E-5</v>
      </c>
      <c r="J6560" s="9">
        <v>9.1760000000000002E-5</v>
      </c>
      <c r="K6560" s="9">
        <v>0</v>
      </c>
      <c r="L6560" s="9">
        <v>1.7540000000000001E-5</v>
      </c>
      <c r="M6560" s="9">
        <v>4.5000000000000003E-5</v>
      </c>
      <c r="N6560" s="9">
        <v>6.1929999999999998E-5</v>
      </c>
      <c r="O6560" s="9">
        <v>1.325E-5</v>
      </c>
      <c r="P6560" s="9">
        <v>4.7160000000000002E-5</v>
      </c>
      <c r="Q6560" s="9">
        <v>8.0220000000000001E-5</v>
      </c>
      <c r="R6560" s="10">
        <v>1.4889511575428207E-4</v>
      </c>
      <c r="S6560" s="10">
        <v>2.0999770068818476E-5</v>
      </c>
      <c r="T6560" s="10">
        <v>0</v>
      </c>
      <c r="U6560" s="10">
        <v>6.6470000000000006E-5</v>
      </c>
      <c r="V6560" s="25"/>
      <c r="W6560" s="25"/>
      <c r="X6560" s="25"/>
      <c r="Y6560" s="25"/>
      <c r="Z6560" s="25"/>
      <c r="AA6560" s="25"/>
    </row>
    <row r="6561" spans="1:27" x14ac:dyDescent="0.35">
      <c r="A6561" s="5">
        <v>6557</v>
      </c>
      <c r="B6561" s="5">
        <v>274</v>
      </c>
      <c r="C6561" s="5">
        <v>10</v>
      </c>
      <c r="D6561" s="25">
        <v>1.1416E-4</v>
      </c>
      <c r="E6561" s="25">
        <v>1.1247999999999999E-4</v>
      </c>
      <c r="F6561" s="25">
        <v>1.1446999999999999E-4</v>
      </c>
      <c r="G6561" s="25">
        <v>5.5850000000000002E-5</v>
      </c>
      <c r="H6561" s="25">
        <v>6.7559999999999997E-5</v>
      </c>
      <c r="I6561" s="9">
        <v>9.6760000000000002E-5</v>
      </c>
      <c r="J6561" s="9">
        <v>9.4409999999999999E-5</v>
      </c>
      <c r="K6561" s="9">
        <v>0</v>
      </c>
      <c r="L6561" s="9">
        <v>1.438E-5</v>
      </c>
      <c r="M6561" s="9">
        <v>4.3810000000000002E-5</v>
      </c>
      <c r="N6561" s="9">
        <v>6.444E-5</v>
      </c>
      <c r="O6561" s="9">
        <v>1.8729999999999999E-5</v>
      </c>
      <c r="P6561" s="9">
        <v>5.6530000000000003E-5</v>
      </c>
      <c r="Q6561" s="9">
        <v>9.3469999999999998E-5</v>
      </c>
      <c r="R6561" s="10">
        <v>1.4270890058064661E-4</v>
      </c>
      <c r="S6561" s="10">
        <v>1.8822962945926977E-5</v>
      </c>
      <c r="T6561" s="10">
        <v>0</v>
      </c>
      <c r="U6561" s="10">
        <v>6.6470000000000006E-5</v>
      </c>
      <c r="V6561" s="25"/>
      <c r="W6561" s="25"/>
      <c r="X6561" s="25"/>
      <c r="Y6561" s="25"/>
      <c r="Z6561" s="25"/>
      <c r="AA6561" s="25"/>
    </row>
    <row r="6562" spans="1:27" x14ac:dyDescent="0.35">
      <c r="A6562" s="5">
        <v>6558</v>
      </c>
      <c r="B6562" s="5">
        <v>274</v>
      </c>
      <c r="C6562" s="5">
        <v>10</v>
      </c>
      <c r="D6562" s="25">
        <v>1.1415000000000001E-4</v>
      </c>
      <c r="E6562" s="25">
        <v>1.0826E-4</v>
      </c>
      <c r="F6562" s="25">
        <v>1.1108E-4</v>
      </c>
      <c r="G6562" s="25">
        <v>1.1192999999999999E-4</v>
      </c>
      <c r="H6562" s="25">
        <v>1.3835E-4</v>
      </c>
      <c r="I6562" s="9">
        <v>1.0825E-4</v>
      </c>
      <c r="J6562" s="9">
        <v>1.0454999999999999E-4</v>
      </c>
      <c r="K6562" s="9">
        <v>2.9669999999999999E-5</v>
      </c>
      <c r="L6562" s="9">
        <v>1.7640000000000001E-5</v>
      </c>
      <c r="M6562" s="9">
        <v>4.846E-5</v>
      </c>
      <c r="N6562" s="9">
        <v>7.0980000000000001E-5</v>
      </c>
      <c r="O6562" s="9">
        <v>4.6079999999999999E-5</v>
      </c>
      <c r="P6562" s="9">
        <v>7.6539999999999996E-5</v>
      </c>
      <c r="Q6562" s="9">
        <v>1.0658E-4</v>
      </c>
      <c r="R6562" s="10">
        <v>1.4323380492579774E-4</v>
      </c>
      <c r="S6562" s="10">
        <v>1.5729931268349509E-5</v>
      </c>
      <c r="T6562" s="10">
        <v>0</v>
      </c>
      <c r="U6562" s="10">
        <v>6.6470000000000006E-5</v>
      </c>
      <c r="V6562" s="25"/>
      <c r="W6562" s="25"/>
      <c r="X6562" s="25"/>
      <c r="Y6562" s="25"/>
      <c r="Z6562" s="25"/>
      <c r="AA6562" s="25"/>
    </row>
    <row r="6563" spans="1:27" x14ac:dyDescent="0.35">
      <c r="A6563" s="5">
        <v>6559</v>
      </c>
      <c r="B6563" s="5">
        <v>274</v>
      </c>
      <c r="C6563" s="5">
        <v>10</v>
      </c>
      <c r="D6563" s="25">
        <v>1.1416E-4</v>
      </c>
      <c r="E6563" s="25">
        <v>1.1163E-4</v>
      </c>
      <c r="F6563" s="25">
        <v>1.127E-4</v>
      </c>
      <c r="G6563" s="25">
        <v>1.1373E-4</v>
      </c>
      <c r="H6563" s="25">
        <v>1.3321000000000001E-4</v>
      </c>
      <c r="I6563" s="9">
        <v>1.2070000000000001E-4</v>
      </c>
      <c r="J6563" s="9">
        <v>1.2085E-4</v>
      </c>
      <c r="K6563" s="9">
        <v>4.0269999999999999E-5</v>
      </c>
      <c r="L6563" s="9">
        <v>3.968E-5</v>
      </c>
      <c r="M6563" s="9">
        <v>5.9880000000000003E-5</v>
      </c>
      <c r="N6563" s="9">
        <v>8.0589999999999999E-5</v>
      </c>
      <c r="O6563" s="9">
        <v>1.2396E-4</v>
      </c>
      <c r="P6563" s="9">
        <v>1.1794999999999999E-4</v>
      </c>
      <c r="Q6563" s="9">
        <v>1.1299E-4</v>
      </c>
      <c r="R6563" s="10">
        <v>1.4435202107073328E-4</v>
      </c>
      <c r="S6563" s="10">
        <v>1.3493559485753048E-5</v>
      </c>
      <c r="T6563" s="10">
        <v>2.0820470605249737E-5</v>
      </c>
      <c r="U6563" s="10">
        <v>6.6470000000000006E-5</v>
      </c>
      <c r="V6563" s="25"/>
      <c r="W6563" s="25"/>
      <c r="X6563" s="25"/>
      <c r="Y6563" s="25"/>
      <c r="Z6563" s="25"/>
      <c r="AA6563" s="25"/>
    </row>
    <row r="6564" spans="1:27" x14ac:dyDescent="0.35">
      <c r="A6564" s="5">
        <v>6560</v>
      </c>
      <c r="B6564" s="5">
        <v>274</v>
      </c>
      <c r="C6564" s="5">
        <v>10</v>
      </c>
      <c r="D6564" s="25">
        <v>1.1415000000000001E-4</v>
      </c>
      <c r="E6564" s="25">
        <v>1.161E-4</v>
      </c>
      <c r="F6564" s="25">
        <v>9.4510000000000001E-5</v>
      </c>
      <c r="G6564" s="25">
        <v>1.6639000000000001E-4</v>
      </c>
      <c r="H6564" s="25">
        <v>1.9212E-4</v>
      </c>
      <c r="I6564" s="9">
        <v>1.2448E-4</v>
      </c>
      <c r="J6564" s="9">
        <v>1.2910999999999999E-4</v>
      </c>
      <c r="K6564" s="9">
        <v>3.1789999999999999E-5</v>
      </c>
      <c r="L6564" s="9">
        <v>1.048E-4</v>
      </c>
      <c r="M6564" s="9">
        <v>8.3750000000000003E-5</v>
      </c>
      <c r="N6564" s="9">
        <v>9.0829999999999996E-5</v>
      </c>
      <c r="O6564" s="9">
        <v>2.2136000000000001E-4</v>
      </c>
      <c r="P6564" s="9">
        <v>1.7809999999999999E-4</v>
      </c>
      <c r="Q6564" s="9">
        <v>1.3757999999999999E-4</v>
      </c>
      <c r="R6564" s="10">
        <v>1.4357549229905017E-4</v>
      </c>
      <c r="S6564" s="10">
        <v>1.501439354287684E-5</v>
      </c>
      <c r="T6564" s="10">
        <v>0</v>
      </c>
      <c r="U6564" s="10">
        <v>6.6470000000000006E-5</v>
      </c>
      <c r="V6564" s="25"/>
      <c r="W6564" s="25"/>
      <c r="X6564" s="25"/>
      <c r="Y6564" s="25"/>
      <c r="Z6564" s="25"/>
      <c r="AA6564" s="25"/>
    </row>
    <row r="6565" spans="1:27" x14ac:dyDescent="0.35">
      <c r="A6565" s="5">
        <v>6561</v>
      </c>
      <c r="B6565" s="5">
        <v>274</v>
      </c>
      <c r="C6565" s="5">
        <v>10</v>
      </c>
      <c r="D6565" s="25">
        <v>1.1416E-4</v>
      </c>
      <c r="E6565" s="25">
        <v>1.1085E-4</v>
      </c>
      <c r="F6565" s="25">
        <v>1.1400000000000001E-4</v>
      </c>
      <c r="G6565" s="25">
        <v>1.562E-4</v>
      </c>
      <c r="H6565" s="25">
        <v>2.0141000000000001E-4</v>
      </c>
      <c r="I6565" s="9">
        <v>1.2793E-4</v>
      </c>
      <c r="J6565" s="9">
        <v>1.3250999999999999E-4</v>
      </c>
      <c r="K6565" s="9">
        <v>8.4800000000000001E-6</v>
      </c>
      <c r="L6565" s="9">
        <v>1.9394E-4</v>
      </c>
      <c r="M6565" s="9">
        <v>1.239E-4</v>
      </c>
      <c r="N6565" s="9">
        <v>1.0476000000000001E-4</v>
      </c>
      <c r="O6565" s="9">
        <v>2.1299000000000001E-4</v>
      </c>
      <c r="P6565" s="9">
        <v>1.9436E-4</v>
      </c>
      <c r="Q6565" s="9">
        <v>1.7799999999999999E-4</v>
      </c>
      <c r="R6565" s="10">
        <v>1.4230753749612854E-4</v>
      </c>
      <c r="S6565" s="10">
        <v>2.0312078253845225E-5</v>
      </c>
      <c r="T6565" s="10">
        <v>4.2943281160746346E-4</v>
      </c>
      <c r="U6565" s="10">
        <v>6.6470000000000006E-5</v>
      </c>
      <c r="V6565" s="25"/>
      <c r="W6565" s="25"/>
      <c r="X6565" s="25"/>
      <c r="Y6565" s="25"/>
      <c r="Z6565" s="25"/>
      <c r="AA6565" s="25"/>
    </row>
    <row r="6566" spans="1:27" x14ac:dyDescent="0.35">
      <c r="A6566" s="5">
        <v>6562</v>
      </c>
      <c r="B6566" s="5">
        <v>274</v>
      </c>
      <c r="C6566" s="5">
        <v>10</v>
      </c>
      <c r="D6566" s="25">
        <v>1.1415000000000001E-4</v>
      </c>
      <c r="E6566" s="25">
        <v>1.1034E-4</v>
      </c>
      <c r="F6566" s="25">
        <v>1.0561E-4</v>
      </c>
      <c r="G6566" s="25">
        <v>1.6754000000000001E-4</v>
      </c>
      <c r="H6566" s="25">
        <v>1.9485999999999999E-4</v>
      </c>
      <c r="I6566" s="9">
        <v>1.2884999999999999E-4</v>
      </c>
      <c r="J6566" s="9">
        <v>1.3232000000000001E-4</v>
      </c>
      <c r="K6566" s="9">
        <v>0</v>
      </c>
      <c r="L6566" s="9">
        <v>2.0645E-4</v>
      </c>
      <c r="M6566" s="9">
        <v>1.5945E-4</v>
      </c>
      <c r="N6566" s="9">
        <v>1.2501999999999999E-4</v>
      </c>
      <c r="O6566" s="9">
        <v>1.6890000000000001E-4</v>
      </c>
      <c r="P6566" s="9">
        <v>1.7562E-4</v>
      </c>
      <c r="Q6566" s="9">
        <v>1.8369E-4</v>
      </c>
      <c r="R6566" s="10">
        <v>1.3345745829445576E-4</v>
      </c>
      <c r="S6566" s="10">
        <v>2.3717218523855708E-5</v>
      </c>
      <c r="T6566" s="10">
        <v>5.6704814706677511E-4</v>
      </c>
      <c r="U6566" s="10">
        <v>6.6470000000000006E-5</v>
      </c>
      <c r="V6566" s="25"/>
      <c r="W6566" s="25"/>
      <c r="X6566" s="25"/>
      <c r="Y6566" s="25"/>
      <c r="Z6566" s="25"/>
      <c r="AA6566" s="25"/>
    </row>
    <row r="6567" spans="1:27" x14ac:dyDescent="0.35">
      <c r="A6567" s="5">
        <v>6563</v>
      </c>
      <c r="B6567" s="5">
        <v>274</v>
      </c>
      <c r="C6567" s="5">
        <v>10</v>
      </c>
      <c r="D6567" s="25">
        <v>1.1416E-4</v>
      </c>
      <c r="E6567" s="25">
        <v>1.0885E-4</v>
      </c>
      <c r="F6567" s="25">
        <v>1.0526000000000001E-4</v>
      </c>
      <c r="G6567" s="25">
        <v>1.5652E-4</v>
      </c>
      <c r="H6567" s="25">
        <v>1.8966999999999999E-4</v>
      </c>
      <c r="I6567" s="9">
        <v>1.3035999999999999E-4</v>
      </c>
      <c r="J6567" s="9">
        <v>1.3116000000000001E-4</v>
      </c>
      <c r="K6567" s="9">
        <v>0</v>
      </c>
      <c r="L6567" s="9">
        <v>1.7724E-4</v>
      </c>
      <c r="M6567" s="9">
        <v>1.7349999999999999E-4</v>
      </c>
      <c r="N6567" s="9">
        <v>1.4344E-4</v>
      </c>
      <c r="O6567" s="9">
        <v>1.6731999999999999E-4</v>
      </c>
      <c r="P6567" s="9">
        <v>1.7262000000000001E-4</v>
      </c>
      <c r="Q6567" s="9">
        <v>1.7929E-4</v>
      </c>
      <c r="R6567" s="10">
        <v>8.7198901058101221E-5</v>
      </c>
      <c r="S6567" s="10">
        <v>2.5813759406822235E-5</v>
      </c>
      <c r="T6567" s="10">
        <v>6.5783015011330003E-4</v>
      </c>
      <c r="U6567" s="10">
        <v>6.6470000000000006E-5</v>
      </c>
      <c r="V6567" s="25"/>
      <c r="W6567" s="25"/>
      <c r="X6567" s="25"/>
      <c r="Y6567" s="25"/>
      <c r="Z6567" s="25"/>
      <c r="AA6567" s="25"/>
    </row>
    <row r="6568" spans="1:27" x14ac:dyDescent="0.35">
      <c r="A6568" s="5">
        <v>6564</v>
      </c>
      <c r="B6568" s="5">
        <v>274</v>
      </c>
      <c r="C6568" s="5">
        <v>10</v>
      </c>
      <c r="D6568" s="25">
        <v>1.1415000000000001E-4</v>
      </c>
      <c r="E6568" s="25">
        <v>1.0938999999999999E-4</v>
      </c>
      <c r="F6568" s="25">
        <v>9.6890000000000002E-5</v>
      </c>
      <c r="G6568" s="25">
        <v>1.5752999999999999E-4</v>
      </c>
      <c r="H6568" s="25">
        <v>1.9599E-4</v>
      </c>
      <c r="I6568" s="9">
        <v>1.2745000000000001E-4</v>
      </c>
      <c r="J6568" s="9">
        <v>1.282E-4</v>
      </c>
      <c r="K6568" s="9">
        <v>0</v>
      </c>
      <c r="L6568" s="9">
        <v>1.7092E-4</v>
      </c>
      <c r="M6568" s="9">
        <v>1.7558E-4</v>
      </c>
      <c r="N6568" s="9">
        <v>1.5741E-4</v>
      </c>
      <c r="O6568" s="9">
        <v>1.7140999999999999E-4</v>
      </c>
      <c r="P6568" s="9">
        <v>1.7262000000000001E-4</v>
      </c>
      <c r="Q6568" s="9">
        <v>1.7531E-4</v>
      </c>
      <c r="R6568" s="10">
        <v>4.6878684768389101E-5</v>
      </c>
      <c r="S6568" s="10">
        <v>2.325512918718434E-5</v>
      </c>
      <c r="T6568" s="10">
        <v>7.0361991370601921E-4</v>
      </c>
      <c r="U6568" s="10">
        <v>6.6470000000000006E-5</v>
      </c>
      <c r="V6568" s="25"/>
      <c r="W6568" s="25"/>
      <c r="X6568" s="25"/>
      <c r="Y6568" s="25"/>
      <c r="Z6568" s="25"/>
      <c r="AA6568" s="25"/>
    </row>
    <row r="6569" spans="1:27" x14ac:dyDescent="0.35">
      <c r="A6569" s="5">
        <v>6565</v>
      </c>
      <c r="B6569" s="5">
        <v>274</v>
      </c>
      <c r="C6569" s="5">
        <v>10</v>
      </c>
      <c r="D6569" s="25">
        <v>1.1416E-4</v>
      </c>
      <c r="E6569" s="25">
        <v>1.0758E-4</v>
      </c>
      <c r="F6569" s="25">
        <v>9.2130000000000001E-5</v>
      </c>
      <c r="G6569" s="25">
        <v>1.6525000000000001E-4</v>
      </c>
      <c r="H6569" s="25">
        <v>1.9252000000000001E-4</v>
      </c>
      <c r="I6569" s="9">
        <v>1.2447000000000001E-4</v>
      </c>
      <c r="J6569" s="9">
        <v>1.2725E-4</v>
      </c>
      <c r="K6569" s="9">
        <v>0</v>
      </c>
      <c r="L6569" s="9">
        <v>1.7149999999999999E-4</v>
      </c>
      <c r="M6569" s="9">
        <v>1.7454999999999999E-4</v>
      </c>
      <c r="N6569" s="9">
        <v>1.6702000000000001E-4</v>
      </c>
      <c r="O6569" s="9">
        <v>1.6315000000000001E-4</v>
      </c>
      <c r="P6569" s="9">
        <v>1.6521E-4</v>
      </c>
      <c r="Q6569" s="9">
        <v>1.6864000000000001E-4</v>
      </c>
      <c r="R6569" s="10">
        <v>7.038745457215447E-5</v>
      </c>
      <c r="S6569" s="10">
        <v>2.3503455950782764E-5</v>
      </c>
      <c r="T6569" s="10">
        <v>6.8923054200817748E-4</v>
      </c>
      <c r="U6569" s="10">
        <v>6.6470000000000006E-5</v>
      </c>
      <c r="V6569" s="25"/>
      <c r="W6569" s="25"/>
      <c r="X6569" s="25"/>
      <c r="Y6569" s="25"/>
      <c r="Z6569" s="25"/>
      <c r="AA6569" s="25"/>
    </row>
    <row r="6570" spans="1:27" x14ac:dyDescent="0.35">
      <c r="A6570" s="5">
        <v>6566</v>
      </c>
      <c r="B6570" s="5">
        <v>274</v>
      </c>
      <c r="C6570" s="5">
        <v>10</v>
      </c>
      <c r="D6570" s="25">
        <v>1.1415000000000001E-4</v>
      </c>
      <c r="E6570" s="25">
        <v>1.1404999999999999E-4</v>
      </c>
      <c r="F6570" s="25">
        <v>9.4749999999999999E-5</v>
      </c>
      <c r="G6570" s="25">
        <v>1.5872E-4</v>
      </c>
      <c r="H6570" s="25">
        <v>1.9011000000000001E-4</v>
      </c>
      <c r="I6570" s="9">
        <v>1.2302999999999999E-4</v>
      </c>
      <c r="J6570" s="9">
        <v>1.2547E-4</v>
      </c>
      <c r="K6570" s="9">
        <v>0</v>
      </c>
      <c r="L6570" s="9">
        <v>1.6470999999999999E-4</v>
      </c>
      <c r="M6570" s="9">
        <v>1.7090000000000001E-4</v>
      </c>
      <c r="N6570" s="9">
        <v>1.7144E-4</v>
      </c>
      <c r="O6570" s="9">
        <v>1.7791000000000001E-4</v>
      </c>
      <c r="P6570" s="9">
        <v>1.6819E-4</v>
      </c>
      <c r="Q6570" s="9">
        <v>1.6019E-4</v>
      </c>
      <c r="R6570" s="10">
        <v>9.1022957906842494E-5</v>
      </c>
      <c r="S6570" s="10">
        <v>2.4371457170572789E-5</v>
      </c>
      <c r="T6570" s="10">
        <v>6.2105071243043219E-4</v>
      </c>
      <c r="U6570" s="10">
        <v>6.6470000000000006E-5</v>
      </c>
      <c r="V6570" s="25"/>
      <c r="W6570" s="25"/>
      <c r="X6570" s="25"/>
      <c r="Y6570" s="25"/>
      <c r="Z6570" s="25"/>
      <c r="AA6570" s="25"/>
    </row>
    <row r="6571" spans="1:27" x14ac:dyDescent="0.35">
      <c r="A6571" s="5">
        <v>6567</v>
      </c>
      <c r="B6571" s="5">
        <v>274</v>
      </c>
      <c r="C6571" s="5">
        <v>10</v>
      </c>
      <c r="D6571" s="25">
        <v>1.1416E-4</v>
      </c>
      <c r="E6571" s="25">
        <v>1.0827000000000001E-4</v>
      </c>
      <c r="F6571" s="25">
        <v>1.1328999999999999E-4</v>
      </c>
      <c r="G6571" s="25">
        <v>1.6301999999999999E-4</v>
      </c>
      <c r="H6571" s="25">
        <v>1.9652999999999999E-4</v>
      </c>
      <c r="I6571" s="9">
        <v>1.1969E-4</v>
      </c>
      <c r="J6571" s="9">
        <v>1.2430000000000001E-4</v>
      </c>
      <c r="K6571" s="9">
        <v>0</v>
      </c>
      <c r="L6571" s="9">
        <v>1.7516E-4</v>
      </c>
      <c r="M6571" s="9">
        <v>1.6888999999999999E-4</v>
      </c>
      <c r="N6571" s="9">
        <v>1.7063000000000001E-4</v>
      </c>
      <c r="O6571" s="9">
        <v>1.8550000000000001E-4</v>
      </c>
      <c r="P6571" s="9">
        <v>1.6875000000000001E-4</v>
      </c>
      <c r="Q6571" s="9">
        <v>1.5393000000000001E-4</v>
      </c>
      <c r="R6571" s="10">
        <v>1.0170983610573427E-4</v>
      </c>
      <c r="S6571" s="10">
        <v>2.6763048187504349E-5</v>
      </c>
      <c r="T6571" s="10">
        <v>5.0550303958084124E-4</v>
      </c>
      <c r="U6571" s="10">
        <v>6.6470000000000006E-5</v>
      </c>
      <c r="V6571" s="25"/>
      <c r="W6571" s="25"/>
      <c r="X6571" s="25"/>
      <c r="Y6571" s="25"/>
      <c r="Z6571" s="25"/>
      <c r="AA6571" s="25"/>
    </row>
    <row r="6572" spans="1:27" x14ac:dyDescent="0.35">
      <c r="A6572" s="5">
        <v>6568</v>
      </c>
      <c r="B6572" s="5">
        <v>274</v>
      </c>
      <c r="C6572" s="5">
        <v>10</v>
      </c>
      <c r="D6572" s="25">
        <v>1.1415000000000001E-4</v>
      </c>
      <c r="E6572" s="25">
        <v>1.1136E-4</v>
      </c>
      <c r="F6572" s="25">
        <v>1.1425E-4</v>
      </c>
      <c r="G6572" s="25">
        <v>1.6039E-4</v>
      </c>
      <c r="H6572" s="25">
        <v>1.9003999999999999E-4</v>
      </c>
      <c r="I6572" s="9">
        <v>1.1928E-4</v>
      </c>
      <c r="J6572" s="9">
        <v>1.2462000000000001E-4</v>
      </c>
      <c r="K6572" s="9">
        <v>1.272E-5</v>
      </c>
      <c r="L6572" s="9">
        <v>1.8296E-4</v>
      </c>
      <c r="M6572" s="9">
        <v>1.6839000000000001E-4</v>
      </c>
      <c r="N6572" s="9">
        <v>1.6684999999999999E-4</v>
      </c>
      <c r="O6572" s="9">
        <v>1.9665000000000001E-4</v>
      </c>
      <c r="P6572" s="9">
        <v>1.5168000000000001E-4</v>
      </c>
      <c r="Q6572" s="9">
        <v>1.092E-4</v>
      </c>
      <c r="R6572" s="10">
        <v>1.1401316050864082E-4</v>
      </c>
      <c r="S6572" s="10">
        <v>2.8799903684224565E-5</v>
      </c>
      <c r="T6572" s="10">
        <v>3.359697699662935E-4</v>
      </c>
      <c r="U6572" s="10">
        <v>6.6470000000000006E-5</v>
      </c>
      <c r="V6572" s="25"/>
      <c r="W6572" s="25"/>
      <c r="X6572" s="25"/>
      <c r="Y6572" s="25"/>
      <c r="Z6572" s="25"/>
      <c r="AA6572" s="25"/>
    </row>
    <row r="6573" spans="1:27" x14ac:dyDescent="0.35">
      <c r="A6573" s="5">
        <v>6569</v>
      </c>
      <c r="B6573" s="5">
        <v>274</v>
      </c>
      <c r="C6573" s="5">
        <v>10</v>
      </c>
      <c r="D6573" s="25">
        <v>1.1416E-4</v>
      </c>
      <c r="E6573" s="25">
        <v>1.1066E-4</v>
      </c>
      <c r="F6573" s="25">
        <v>9.9439999999999997E-5</v>
      </c>
      <c r="G6573" s="25">
        <v>1.6208999999999999E-4</v>
      </c>
      <c r="H6573" s="25">
        <v>1.9084000000000001E-4</v>
      </c>
      <c r="I6573" s="9">
        <v>1.2017E-4</v>
      </c>
      <c r="J6573" s="9">
        <v>1.2690999999999999E-4</v>
      </c>
      <c r="K6573" s="9">
        <v>3.6029999999999999E-5</v>
      </c>
      <c r="L6573" s="9">
        <v>1.9337E-4</v>
      </c>
      <c r="M6573" s="9">
        <v>1.6237000000000001E-4</v>
      </c>
      <c r="N6573" s="9">
        <v>1.5285E-4</v>
      </c>
      <c r="O6573" s="9">
        <v>2.1554000000000001E-4</v>
      </c>
      <c r="P6573" s="9">
        <v>1.6022000000000001E-4</v>
      </c>
      <c r="Q6573" s="9">
        <v>1.0777000000000001E-4</v>
      </c>
      <c r="R6573" s="10">
        <v>1.1725631448829924E-4</v>
      </c>
      <c r="S6573" s="10">
        <v>2.9470939877724284E-5</v>
      </c>
      <c r="T6573" s="10">
        <v>1.3726747918595578E-4</v>
      </c>
      <c r="U6573" s="10">
        <v>6.6470000000000006E-5</v>
      </c>
      <c r="V6573" s="25"/>
      <c r="W6573" s="25"/>
      <c r="X6573" s="25"/>
      <c r="Y6573" s="25"/>
      <c r="Z6573" s="25"/>
      <c r="AA6573" s="25"/>
    </row>
    <row r="6574" spans="1:27" x14ac:dyDescent="0.35">
      <c r="A6574" s="5">
        <v>6570</v>
      </c>
      <c r="B6574" s="5">
        <v>274</v>
      </c>
      <c r="C6574" s="5">
        <v>10</v>
      </c>
      <c r="D6574" s="25">
        <v>1.1415000000000001E-4</v>
      </c>
      <c r="E6574" s="25">
        <v>1.1425999999999999E-4</v>
      </c>
      <c r="F6574" s="25">
        <v>1.0921000000000001E-4</v>
      </c>
      <c r="G6574" s="25">
        <v>1.628E-4</v>
      </c>
      <c r="H6574" s="25">
        <v>1.9535E-4</v>
      </c>
      <c r="I6574" s="9">
        <v>1.189E-4</v>
      </c>
      <c r="J6574" s="9">
        <v>1.2496E-4</v>
      </c>
      <c r="K6574" s="9">
        <v>7.8419999999999998E-5</v>
      </c>
      <c r="L6574" s="9">
        <v>2.1044999999999999E-4</v>
      </c>
      <c r="M6574" s="9">
        <v>1.5993E-4</v>
      </c>
      <c r="N6574" s="9">
        <v>1.3949000000000001E-4</v>
      </c>
      <c r="O6574" s="9">
        <v>2.0685000000000001E-4</v>
      </c>
      <c r="P6574" s="9">
        <v>1.6128E-4</v>
      </c>
      <c r="Q6574" s="9">
        <v>1.1833E-4</v>
      </c>
      <c r="R6574" s="10">
        <v>1.1888286045134137E-4</v>
      </c>
      <c r="S6574" s="10">
        <v>3.0266430164297969E-5</v>
      </c>
      <c r="T6574" s="10">
        <v>0</v>
      </c>
      <c r="U6574" s="10">
        <v>6.6470000000000006E-5</v>
      </c>
      <c r="V6574" s="25"/>
      <c r="W6574" s="25"/>
      <c r="X6574" s="25"/>
      <c r="Y6574" s="25"/>
      <c r="Z6574" s="25"/>
      <c r="AA6574" s="25"/>
    </row>
    <row r="6575" spans="1:27" x14ac:dyDescent="0.35">
      <c r="A6575" s="5">
        <v>6571</v>
      </c>
      <c r="B6575" s="5">
        <v>274</v>
      </c>
      <c r="C6575" s="5">
        <v>10</v>
      </c>
      <c r="D6575" s="25">
        <v>1.1416E-4</v>
      </c>
      <c r="E6575" s="25">
        <v>1.1307E-4</v>
      </c>
      <c r="F6575" s="25">
        <v>1.1266E-4</v>
      </c>
      <c r="G6575" s="25">
        <v>1.1222000000000001E-4</v>
      </c>
      <c r="H6575" s="25">
        <v>1.3019999999999999E-4</v>
      </c>
      <c r="I6575" s="9">
        <v>1.2032E-4</v>
      </c>
      <c r="J6575" s="9">
        <v>1.2684999999999999E-4</v>
      </c>
      <c r="K6575" s="9">
        <v>9.3250000000000003E-5</v>
      </c>
      <c r="L6575" s="9">
        <v>2.0720999999999999E-4</v>
      </c>
      <c r="M6575" s="9">
        <v>1.5995000000000001E-4</v>
      </c>
      <c r="N6575" s="9">
        <v>1.3043000000000001E-4</v>
      </c>
      <c r="O6575" s="9">
        <v>1.6302999999999999E-4</v>
      </c>
      <c r="P6575" s="9">
        <v>1.3359999999999999E-4</v>
      </c>
      <c r="Q6575" s="9">
        <v>1.0603999999999999E-4</v>
      </c>
      <c r="R6575" s="10">
        <v>1.396194869077684E-4</v>
      </c>
      <c r="S6575" s="10">
        <v>3.1914956371348936E-5</v>
      </c>
      <c r="T6575" s="10">
        <v>0</v>
      </c>
      <c r="U6575" s="10">
        <v>6.6470000000000006E-5</v>
      </c>
      <c r="V6575" s="25"/>
      <c r="W6575" s="25"/>
      <c r="X6575" s="25"/>
      <c r="Y6575" s="25"/>
      <c r="Z6575" s="25"/>
      <c r="AA6575" s="25"/>
    </row>
    <row r="6576" spans="1:27" x14ac:dyDescent="0.35">
      <c r="A6576" s="5">
        <v>6572</v>
      </c>
      <c r="B6576" s="5">
        <v>274</v>
      </c>
      <c r="C6576" s="5">
        <v>10</v>
      </c>
      <c r="D6576" s="25">
        <v>1.1415000000000001E-4</v>
      </c>
      <c r="E6576" s="25">
        <v>1.1362999999999999E-4</v>
      </c>
      <c r="F6576" s="25">
        <v>1.0665E-4</v>
      </c>
      <c r="G6576" s="25">
        <v>1.0842E-4</v>
      </c>
      <c r="H6576" s="25">
        <v>1.3872999999999999E-4</v>
      </c>
      <c r="I6576" s="9">
        <v>1.1953E-4</v>
      </c>
      <c r="J6576" s="9">
        <v>1.2598000000000001E-4</v>
      </c>
      <c r="K6576" s="9">
        <v>8.6899999999999998E-5</v>
      </c>
      <c r="L6576" s="9">
        <v>1.729E-4</v>
      </c>
      <c r="M6576" s="9">
        <v>1.5064000000000001E-4</v>
      </c>
      <c r="N6576" s="9">
        <v>1.2102E-4</v>
      </c>
      <c r="O6576" s="9">
        <v>1.2938000000000001E-4</v>
      </c>
      <c r="P6576" s="9">
        <v>1.1514999999999999E-4</v>
      </c>
      <c r="Q6576" s="9">
        <v>1.0215E-4</v>
      </c>
      <c r="R6576" s="10">
        <v>1.5801881113913983E-4</v>
      </c>
      <c r="S6576" s="10">
        <v>3.1994079061471724E-5</v>
      </c>
      <c r="T6576" s="10">
        <v>0</v>
      </c>
      <c r="U6576" s="10">
        <v>6.6470000000000006E-5</v>
      </c>
      <c r="V6576" s="25"/>
      <c r="W6576" s="25"/>
      <c r="X6576" s="25"/>
      <c r="Y6576" s="25"/>
      <c r="Z6576" s="25"/>
      <c r="AA6576" s="25"/>
    </row>
    <row r="6577" spans="1:27" x14ac:dyDescent="0.35">
      <c r="A6577" s="5">
        <v>6573</v>
      </c>
      <c r="B6577" s="5">
        <v>274</v>
      </c>
      <c r="C6577" s="5">
        <v>10</v>
      </c>
      <c r="D6577" s="25">
        <v>1.1416E-4</v>
      </c>
      <c r="E6577" s="25">
        <v>1.1552000000000001E-4</v>
      </c>
      <c r="F6577" s="25">
        <v>1.1132E-4</v>
      </c>
      <c r="G6577" s="25">
        <v>5.6820000000000001E-5</v>
      </c>
      <c r="H6577" s="25">
        <v>6.5980000000000002E-5</v>
      </c>
      <c r="I6577" s="9">
        <v>1.1307E-4</v>
      </c>
      <c r="J6577" s="9">
        <v>1.1797E-4</v>
      </c>
      <c r="K6577" s="9">
        <v>1.0385E-4</v>
      </c>
      <c r="L6577" s="9">
        <v>1.4003E-4</v>
      </c>
      <c r="M6577" s="9">
        <v>1.3524000000000001E-4</v>
      </c>
      <c r="N6577" s="9">
        <v>1.133E-4</v>
      </c>
      <c r="O6577" s="9">
        <v>8.4530000000000006E-5</v>
      </c>
      <c r="P6577" s="9">
        <v>8.6039999999999996E-5</v>
      </c>
      <c r="Q6577" s="9">
        <v>8.8040000000000004E-5</v>
      </c>
      <c r="R6577" s="10">
        <v>1.5982838228177331E-4</v>
      </c>
      <c r="S6577" s="10">
        <v>3.0190237338967971E-5</v>
      </c>
      <c r="T6577" s="10">
        <v>0</v>
      </c>
      <c r="U6577" s="10">
        <v>6.6470000000000006E-5</v>
      </c>
      <c r="V6577" s="25"/>
      <c r="W6577" s="25"/>
      <c r="X6577" s="25"/>
      <c r="Y6577" s="25"/>
      <c r="Z6577" s="25"/>
      <c r="AA6577" s="25"/>
    </row>
    <row r="6578" spans="1:27" x14ac:dyDescent="0.35">
      <c r="A6578" s="5">
        <v>6574</v>
      </c>
      <c r="B6578" s="5">
        <v>274</v>
      </c>
      <c r="C6578" s="5">
        <v>10</v>
      </c>
      <c r="D6578" s="25">
        <v>1.1415000000000001E-4</v>
      </c>
      <c r="E6578" s="25">
        <v>1.0849E-4</v>
      </c>
      <c r="F6578" s="25">
        <v>1.0511E-4</v>
      </c>
      <c r="G6578" s="25">
        <v>6.109E-5</v>
      </c>
      <c r="H6578" s="25">
        <v>6.9809999999999997E-5</v>
      </c>
      <c r="I6578" s="9">
        <v>1.0961E-4</v>
      </c>
      <c r="J6578" s="9">
        <v>1.1066E-4</v>
      </c>
      <c r="K6578" s="9">
        <v>1.1868E-4</v>
      </c>
      <c r="L6578" s="9">
        <v>9.7629999999999999E-5</v>
      </c>
      <c r="M6578" s="9">
        <v>1.1357999999999999E-4</v>
      </c>
      <c r="N6578" s="9">
        <v>1.0560000000000001E-4</v>
      </c>
      <c r="O6578" s="9">
        <v>8.7009999999999995E-5</v>
      </c>
      <c r="P6578" s="9">
        <v>8.7130000000000001E-5</v>
      </c>
      <c r="Q6578" s="9">
        <v>8.7769999999999995E-5</v>
      </c>
      <c r="R6578" s="10">
        <v>1.4782531241450201E-4</v>
      </c>
      <c r="S6578" s="10">
        <v>2.5267030846792416E-5</v>
      </c>
      <c r="T6578" s="10">
        <v>0</v>
      </c>
      <c r="U6578" s="10">
        <v>6.6470000000000006E-5</v>
      </c>
      <c r="V6578" s="25"/>
      <c r="W6578" s="25"/>
      <c r="X6578" s="25"/>
      <c r="Y6578" s="25"/>
      <c r="Z6578" s="25"/>
      <c r="AA6578" s="25"/>
    </row>
    <row r="6579" spans="1:27" x14ac:dyDescent="0.35">
      <c r="A6579" s="5">
        <v>6575</v>
      </c>
      <c r="B6579" s="5">
        <v>274</v>
      </c>
      <c r="C6579" s="5">
        <v>10</v>
      </c>
      <c r="D6579" s="25">
        <v>1.1416E-4</v>
      </c>
      <c r="E6579" s="25">
        <v>1.0716E-4</v>
      </c>
      <c r="F6579" s="25">
        <v>1.0614E-4</v>
      </c>
      <c r="G6579" s="25">
        <v>6.2030000000000001E-5</v>
      </c>
      <c r="H6579" s="25">
        <v>6.6039999999999998E-5</v>
      </c>
      <c r="I6579" s="9">
        <v>1.0526000000000001E-4</v>
      </c>
      <c r="J6579" s="9">
        <v>1.0446999999999999E-4</v>
      </c>
      <c r="K6579" s="9">
        <v>1.3564E-4</v>
      </c>
      <c r="L6579" s="9">
        <v>9.0279999999999996E-5</v>
      </c>
      <c r="M6579" s="9">
        <v>9.8770000000000005E-5</v>
      </c>
      <c r="N6579" s="9">
        <v>9.9649999999999996E-5</v>
      </c>
      <c r="O6579" s="9">
        <v>7.7520000000000003E-5</v>
      </c>
      <c r="P6579" s="9">
        <v>7.1790000000000002E-5</v>
      </c>
      <c r="Q6579" s="9">
        <v>6.6569999999999995E-5</v>
      </c>
      <c r="R6579" s="10">
        <v>1.337194742766508E-4</v>
      </c>
      <c r="S6579" s="10">
        <v>1.9307997304290058E-5</v>
      </c>
      <c r="T6579" s="10">
        <v>0</v>
      </c>
      <c r="U6579" s="10">
        <v>6.6470000000000006E-5</v>
      </c>
      <c r="V6579" s="25"/>
      <c r="W6579" s="25"/>
      <c r="X6579" s="25"/>
      <c r="Y6579" s="25"/>
      <c r="Z6579" s="25"/>
      <c r="AA6579" s="25"/>
    </row>
    <row r="6580" spans="1:27" x14ac:dyDescent="0.35">
      <c r="A6580" s="5">
        <v>6576</v>
      </c>
      <c r="B6580" s="5">
        <v>274</v>
      </c>
      <c r="C6580" s="5">
        <v>10</v>
      </c>
      <c r="D6580" s="25">
        <v>1.1415000000000001E-4</v>
      </c>
      <c r="E6580" s="25">
        <v>1.1108E-4</v>
      </c>
      <c r="F6580" s="25">
        <v>9.5719999999999998E-5</v>
      </c>
      <c r="G6580" s="25">
        <v>5.5930000000000002E-5</v>
      </c>
      <c r="H6580" s="25">
        <v>6.4659999999999994E-5</v>
      </c>
      <c r="I6580" s="9">
        <v>9.8099999999999999E-5</v>
      </c>
      <c r="J6580" s="9">
        <v>9.7759999999999999E-5</v>
      </c>
      <c r="K6580" s="9">
        <v>1.0597E-4</v>
      </c>
      <c r="L6580" s="9">
        <v>8.0329999999999998E-5</v>
      </c>
      <c r="M6580" s="9">
        <v>8.5779999999999995E-5</v>
      </c>
      <c r="N6580" s="9">
        <v>9.0299999999999999E-5</v>
      </c>
      <c r="O6580" s="9">
        <v>6.232E-5</v>
      </c>
      <c r="P6580" s="9">
        <v>6.0239999999999999E-5</v>
      </c>
      <c r="Q6580" s="9">
        <v>5.8440000000000003E-5</v>
      </c>
      <c r="R6580" s="10">
        <v>1.2964406015689796E-4</v>
      </c>
      <c r="S6580" s="10">
        <v>1.8069284364531972E-5</v>
      </c>
      <c r="T6580" s="10">
        <v>0</v>
      </c>
      <c r="U6580" s="10">
        <v>6.6470000000000006E-5</v>
      </c>
      <c r="V6580" s="25"/>
      <c r="W6580" s="25"/>
      <c r="X6580" s="25"/>
      <c r="Y6580" s="25"/>
      <c r="Z6580" s="25"/>
      <c r="AA6580" s="25"/>
    </row>
    <row r="6581" spans="1:27" x14ac:dyDescent="0.35">
      <c r="A6581" s="5">
        <v>6577</v>
      </c>
      <c r="B6581" s="5">
        <v>275</v>
      </c>
      <c r="C6581" s="5">
        <v>10</v>
      </c>
      <c r="D6581" s="25">
        <v>1.1416E-4</v>
      </c>
      <c r="E6581" s="25">
        <v>1.1391E-4</v>
      </c>
      <c r="F6581" s="25">
        <v>1.2774999999999999E-4</v>
      </c>
      <c r="G6581" s="25">
        <v>6.1249999999999998E-5</v>
      </c>
      <c r="H6581" s="25">
        <v>6.4109999999999994E-5</v>
      </c>
      <c r="I6581" s="9">
        <v>9.3239999999999995E-5</v>
      </c>
      <c r="J6581" s="9">
        <v>9.2490000000000004E-5</v>
      </c>
      <c r="K6581" s="9">
        <v>1.2716E-4</v>
      </c>
      <c r="L6581" s="9">
        <v>6.6279999999999996E-5</v>
      </c>
      <c r="M6581" s="9">
        <v>7.36E-5</v>
      </c>
      <c r="N6581" s="9">
        <v>8.0840000000000005E-5</v>
      </c>
      <c r="O6581" s="9">
        <v>5.5080000000000001E-5</v>
      </c>
      <c r="P6581" s="9">
        <v>5.4490000000000002E-5</v>
      </c>
      <c r="Q6581" s="9">
        <v>5.4060000000000001E-5</v>
      </c>
      <c r="R6581" s="10">
        <v>1.0615231538296231E-4</v>
      </c>
      <c r="S6581" s="10">
        <v>1.7277739721416591E-5</v>
      </c>
      <c r="T6581" s="10">
        <v>0</v>
      </c>
      <c r="U6581" s="10">
        <v>6.6820000000000001E-5</v>
      </c>
      <c r="V6581" s="25"/>
      <c r="W6581" s="25"/>
      <c r="X6581" s="25"/>
      <c r="Y6581" s="25"/>
      <c r="Z6581" s="25"/>
      <c r="AA6581" s="25"/>
    </row>
    <row r="6582" spans="1:27" x14ac:dyDescent="0.35">
      <c r="A6582" s="5">
        <v>6578</v>
      </c>
      <c r="B6582" s="5">
        <v>275</v>
      </c>
      <c r="C6582" s="5">
        <v>10</v>
      </c>
      <c r="D6582" s="25">
        <v>1.1415000000000001E-4</v>
      </c>
      <c r="E6582" s="25">
        <v>1.1569999999999999E-4</v>
      </c>
      <c r="F6582" s="25">
        <v>1.4008E-4</v>
      </c>
      <c r="G6582" s="25">
        <v>5.5340000000000002E-5</v>
      </c>
      <c r="H6582" s="25">
        <v>6.4109999999999994E-5</v>
      </c>
      <c r="I6582" s="9">
        <v>9.0400000000000002E-5</v>
      </c>
      <c r="J6582" s="9">
        <v>8.9640000000000002E-5</v>
      </c>
      <c r="K6582" s="9">
        <v>1.1233E-4</v>
      </c>
      <c r="L6582" s="9">
        <v>5.7920000000000001E-5</v>
      </c>
      <c r="M6582" s="9">
        <v>6.3839999999999999E-5</v>
      </c>
      <c r="N6582" s="9">
        <v>7.1909999999999994E-5</v>
      </c>
      <c r="O6582" s="9">
        <v>1.8790000000000001E-5</v>
      </c>
      <c r="P6582" s="9">
        <v>3.7809999999999999E-5</v>
      </c>
      <c r="Q6582" s="9">
        <v>5.626E-5</v>
      </c>
      <c r="R6582" s="10">
        <v>9.078501406186275E-5</v>
      </c>
      <c r="S6582" s="10">
        <v>1.80399660720173E-5</v>
      </c>
      <c r="T6582" s="10">
        <v>0</v>
      </c>
      <c r="U6582" s="10">
        <v>6.6820000000000001E-5</v>
      </c>
      <c r="V6582" s="25"/>
      <c r="W6582" s="25"/>
      <c r="X6582" s="25"/>
      <c r="Y6582" s="25"/>
      <c r="Z6582" s="25"/>
      <c r="AA6582" s="25"/>
    </row>
    <row r="6583" spans="1:27" x14ac:dyDescent="0.35">
      <c r="A6583" s="5">
        <v>6579</v>
      </c>
      <c r="B6583" s="5">
        <v>275</v>
      </c>
      <c r="C6583" s="5">
        <v>10</v>
      </c>
      <c r="D6583" s="25">
        <v>1.1416E-4</v>
      </c>
      <c r="E6583" s="25">
        <v>1.1065000000000001E-4</v>
      </c>
      <c r="F6583" s="25">
        <v>1.2815E-4</v>
      </c>
      <c r="G6583" s="25">
        <v>5.8739999999999997E-5</v>
      </c>
      <c r="H6583" s="25">
        <v>6.5790000000000005E-5</v>
      </c>
      <c r="I6583" s="9">
        <v>8.7960000000000005E-5</v>
      </c>
      <c r="J6583" s="9">
        <v>8.8029999999999996E-5</v>
      </c>
      <c r="K6583" s="9">
        <v>1.2081E-4</v>
      </c>
      <c r="L6583" s="9">
        <v>2.758E-5</v>
      </c>
      <c r="M6583" s="9">
        <v>5.2250000000000003E-5</v>
      </c>
      <c r="N6583" s="9">
        <v>6.5419999999999994E-5</v>
      </c>
      <c r="O6583" s="9">
        <v>1.3339999999999999E-5</v>
      </c>
      <c r="P6583" s="9">
        <v>3.7979999999999999E-5</v>
      </c>
      <c r="Q6583" s="9">
        <v>6.19E-5</v>
      </c>
      <c r="R6583" s="10">
        <v>8.7215758793044603E-5</v>
      </c>
      <c r="S6583" s="10">
        <v>1.751855470648499E-5</v>
      </c>
      <c r="T6583" s="10">
        <v>0</v>
      </c>
      <c r="U6583" s="10">
        <v>6.6820000000000001E-5</v>
      </c>
      <c r="V6583" s="25"/>
      <c r="W6583" s="25"/>
      <c r="X6583" s="25"/>
      <c r="Y6583" s="25"/>
      <c r="Z6583" s="25"/>
      <c r="AA6583" s="25"/>
    </row>
    <row r="6584" spans="1:27" x14ac:dyDescent="0.35">
      <c r="A6584" s="5">
        <v>6580</v>
      </c>
      <c r="B6584" s="5">
        <v>275</v>
      </c>
      <c r="C6584" s="5">
        <v>10</v>
      </c>
      <c r="D6584" s="25">
        <v>1.1415000000000001E-4</v>
      </c>
      <c r="E6584" s="25">
        <v>1.1229E-4</v>
      </c>
      <c r="F6584" s="25">
        <v>1.2878999999999999E-4</v>
      </c>
      <c r="G6584" s="25">
        <v>5.2429999999999998E-5</v>
      </c>
      <c r="H6584" s="25">
        <v>6.5049999999999996E-5</v>
      </c>
      <c r="I6584" s="9">
        <v>8.7650000000000003E-5</v>
      </c>
      <c r="J6584" s="9">
        <v>8.7590000000000007E-5</v>
      </c>
      <c r="K6584" s="9">
        <v>1.1869E-4</v>
      </c>
      <c r="L6584" s="9">
        <v>1.7220000000000001E-5</v>
      </c>
      <c r="M6584" s="9">
        <v>4.4339999999999999E-5</v>
      </c>
      <c r="N6584" s="9">
        <v>6.1970000000000005E-5</v>
      </c>
      <c r="O6584" s="9">
        <v>1.3349999999999999E-5</v>
      </c>
      <c r="P6584" s="9">
        <v>4.7490000000000001E-5</v>
      </c>
      <c r="Q6584" s="9">
        <v>8.0779999999999996E-5</v>
      </c>
      <c r="R6584" s="10">
        <v>7.7730107786614733E-5</v>
      </c>
      <c r="S6584" s="10">
        <v>1.5578426467840624E-5</v>
      </c>
      <c r="T6584" s="10">
        <v>0</v>
      </c>
      <c r="U6584" s="10">
        <v>6.6820000000000001E-5</v>
      </c>
      <c r="V6584" s="25"/>
      <c r="W6584" s="25"/>
      <c r="X6584" s="25"/>
      <c r="Y6584" s="25"/>
      <c r="Z6584" s="25"/>
      <c r="AA6584" s="25"/>
    </row>
    <row r="6585" spans="1:27" x14ac:dyDescent="0.35">
      <c r="A6585" s="5">
        <v>6581</v>
      </c>
      <c r="B6585" s="5">
        <v>275</v>
      </c>
      <c r="C6585" s="5">
        <v>10</v>
      </c>
      <c r="D6585" s="25">
        <v>1.1416E-4</v>
      </c>
      <c r="E6585" s="25">
        <v>1.1933E-4</v>
      </c>
      <c r="F6585" s="25">
        <v>1.4046999999999999E-4</v>
      </c>
      <c r="G6585" s="25">
        <v>5.7240000000000001E-5</v>
      </c>
      <c r="H6585" s="25">
        <v>6.5090000000000002E-5</v>
      </c>
      <c r="I6585" s="9">
        <v>8.7979999999999995E-5</v>
      </c>
      <c r="J6585" s="9">
        <v>8.8709999999999996E-5</v>
      </c>
      <c r="K6585" s="9">
        <v>1.0385E-4</v>
      </c>
      <c r="L6585" s="9">
        <v>1.4450000000000001E-5</v>
      </c>
      <c r="M6585" s="9">
        <v>4.3699999999999998E-5</v>
      </c>
      <c r="N6585" s="9">
        <v>6.4629999999999996E-5</v>
      </c>
      <c r="O6585" s="9">
        <v>1.8680000000000001E-5</v>
      </c>
      <c r="P6585" s="9">
        <v>5.6369999999999997E-5</v>
      </c>
      <c r="Q6585" s="9">
        <v>9.3209999999999997E-5</v>
      </c>
      <c r="R6585" s="10">
        <v>7.1918856111266241E-5</v>
      </c>
      <c r="S6585" s="10">
        <v>1.3517692701111906E-5</v>
      </c>
      <c r="T6585" s="10">
        <v>0</v>
      </c>
      <c r="U6585" s="10">
        <v>6.6820000000000001E-5</v>
      </c>
      <c r="V6585" s="25"/>
      <c r="W6585" s="25"/>
      <c r="X6585" s="25"/>
      <c r="Y6585" s="25"/>
      <c r="Z6585" s="25"/>
      <c r="AA6585" s="25"/>
    </row>
    <row r="6586" spans="1:27" x14ac:dyDescent="0.35">
      <c r="A6586" s="5">
        <v>6582</v>
      </c>
      <c r="B6586" s="5">
        <v>275</v>
      </c>
      <c r="C6586" s="5">
        <v>10</v>
      </c>
      <c r="D6586" s="25">
        <v>1.1415000000000001E-4</v>
      </c>
      <c r="E6586" s="25">
        <v>1.147E-4</v>
      </c>
      <c r="F6586" s="25">
        <v>1.4077999999999999E-4</v>
      </c>
      <c r="G6586" s="25">
        <v>1.1543E-4</v>
      </c>
      <c r="H6586" s="25">
        <v>1.2526E-4</v>
      </c>
      <c r="I6586" s="9">
        <v>9.1710000000000001E-5</v>
      </c>
      <c r="J6586" s="9">
        <v>9.2280000000000004E-5</v>
      </c>
      <c r="K6586" s="9">
        <v>1.1444E-4</v>
      </c>
      <c r="L6586" s="9">
        <v>1.7609999999999999E-5</v>
      </c>
      <c r="M6586" s="9">
        <v>4.8439999999999997E-5</v>
      </c>
      <c r="N6586" s="9">
        <v>7.1099999999999994E-5</v>
      </c>
      <c r="O6586" s="9">
        <v>4.6119999999999999E-5</v>
      </c>
      <c r="P6586" s="9">
        <v>7.661E-5</v>
      </c>
      <c r="Q6586" s="9">
        <v>1.0668E-4</v>
      </c>
      <c r="R6586" s="10">
        <v>6.9699718222532051E-5</v>
      </c>
      <c r="S6586" s="10">
        <v>1.2141569744798162E-5</v>
      </c>
      <c r="T6586" s="10">
        <v>0</v>
      </c>
      <c r="U6586" s="10">
        <v>6.6820000000000001E-5</v>
      </c>
      <c r="V6586" s="25"/>
      <c r="W6586" s="25"/>
      <c r="X6586" s="25"/>
      <c r="Y6586" s="25"/>
      <c r="Z6586" s="25"/>
      <c r="AA6586" s="25"/>
    </row>
    <row r="6587" spans="1:27" x14ac:dyDescent="0.35">
      <c r="A6587" s="5">
        <v>6583</v>
      </c>
      <c r="B6587" s="5">
        <v>275</v>
      </c>
      <c r="C6587" s="5">
        <v>10</v>
      </c>
      <c r="D6587" s="25">
        <v>1.1416E-4</v>
      </c>
      <c r="E6587" s="25">
        <v>1.1281E-4</v>
      </c>
      <c r="F6587" s="25">
        <v>1.2285E-4</v>
      </c>
      <c r="G6587" s="25">
        <v>1.1512E-4</v>
      </c>
      <c r="H6587" s="25">
        <v>1.3134999999999999E-4</v>
      </c>
      <c r="I6587" s="9">
        <v>9.6869999999999999E-5</v>
      </c>
      <c r="J6587" s="9">
        <v>9.8930000000000003E-5</v>
      </c>
      <c r="K6587" s="9">
        <v>9.7490000000000003E-5</v>
      </c>
      <c r="L6587" s="9">
        <v>3.9709999999999998E-5</v>
      </c>
      <c r="M6587" s="9">
        <v>5.9920000000000002E-5</v>
      </c>
      <c r="N6587" s="9">
        <v>8.0710000000000005E-5</v>
      </c>
      <c r="O6587" s="9">
        <v>1.2389000000000001E-4</v>
      </c>
      <c r="P6587" s="9">
        <v>1.1789E-4</v>
      </c>
      <c r="Q6587" s="9">
        <v>1.1293E-4</v>
      </c>
      <c r="R6587" s="10">
        <v>7.2616968112179423E-5</v>
      </c>
      <c r="S6587" s="10">
        <v>1.3033251685211718E-5</v>
      </c>
      <c r="T6587" s="10">
        <v>1.911512643587109E-5</v>
      </c>
      <c r="U6587" s="10">
        <v>6.6820000000000001E-5</v>
      </c>
      <c r="V6587" s="25"/>
      <c r="W6587" s="25"/>
      <c r="X6587" s="25"/>
      <c r="Y6587" s="25"/>
      <c r="Z6587" s="25"/>
      <c r="AA6587" s="25"/>
    </row>
    <row r="6588" spans="1:27" x14ac:dyDescent="0.35">
      <c r="A6588" s="5">
        <v>6584</v>
      </c>
      <c r="B6588" s="5">
        <v>275</v>
      </c>
      <c r="C6588" s="5">
        <v>10</v>
      </c>
      <c r="D6588" s="25">
        <v>1.1415000000000001E-4</v>
      </c>
      <c r="E6588" s="25">
        <v>1.0847E-4</v>
      </c>
      <c r="F6588" s="25">
        <v>1.4271999999999999E-4</v>
      </c>
      <c r="G6588" s="25">
        <v>1.6017000000000001E-4</v>
      </c>
      <c r="H6588" s="25">
        <v>1.9242E-4</v>
      </c>
      <c r="I6588" s="9">
        <v>1.0233E-4</v>
      </c>
      <c r="J6588" s="9">
        <v>1.0577999999999999E-4</v>
      </c>
      <c r="K6588" s="9">
        <v>6.1459999999999998E-5</v>
      </c>
      <c r="L6588" s="9">
        <v>1.0475E-4</v>
      </c>
      <c r="M6588" s="9">
        <v>8.3750000000000003E-5</v>
      </c>
      <c r="N6588" s="9">
        <v>9.0890000000000006E-5</v>
      </c>
      <c r="O6588" s="9">
        <v>2.1806000000000001E-4</v>
      </c>
      <c r="P6588" s="9">
        <v>1.7543999999999999E-4</v>
      </c>
      <c r="Q6588" s="9">
        <v>1.3553E-4</v>
      </c>
      <c r="R6588" s="10">
        <v>7.4908618507374666E-5</v>
      </c>
      <c r="S6588" s="10">
        <v>1.4618162070537339E-5</v>
      </c>
      <c r="T6588" s="10">
        <v>2.1039365528483412E-4</v>
      </c>
      <c r="U6588" s="10">
        <v>6.6820000000000001E-5</v>
      </c>
      <c r="V6588" s="25"/>
      <c r="W6588" s="25"/>
      <c r="X6588" s="25"/>
      <c r="Y6588" s="25"/>
      <c r="Z6588" s="25"/>
      <c r="AA6588" s="25"/>
    </row>
    <row r="6589" spans="1:27" x14ac:dyDescent="0.35">
      <c r="A6589" s="5">
        <v>6585</v>
      </c>
      <c r="B6589" s="5">
        <v>275</v>
      </c>
      <c r="C6589" s="5">
        <v>10</v>
      </c>
      <c r="D6589" s="25">
        <v>1.1416E-4</v>
      </c>
      <c r="E6589" s="25">
        <v>1.1687E-4</v>
      </c>
      <c r="F6589" s="25">
        <v>1.2685999999999999E-4</v>
      </c>
      <c r="G6589" s="25">
        <v>1.5726999999999999E-4</v>
      </c>
      <c r="H6589" s="25">
        <v>1.9217E-4</v>
      </c>
      <c r="I6589" s="9">
        <v>1.0739E-4</v>
      </c>
      <c r="J6589" s="9">
        <v>1.1182E-4</v>
      </c>
      <c r="K6589" s="9">
        <v>3.1789999999999999E-5</v>
      </c>
      <c r="L6589" s="9">
        <v>1.9134999999999999E-4</v>
      </c>
      <c r="M6589" s="9">
        <v>1.2292999999999999E-4</v>
      </c>
      <c r="N6589" s="9">
        <v>1.0435E-4</v>
      </c>
      <c r="O6589" s="9">
        <v>2.1062000000000001E-4</v>
      </c>
      <c r="P6589" s="9">
        <v>1.9220000000000001E-4</v>
      </c>
      <c r="Q6589" s="9">
        <v>1.7602000000000001E-4</v>
      </c>
      <c r="R6589" s="10">
        <v>7.4556384913301559E-5</v>
      </c>
      <c r="S6589" s="10">
        <v>1.5698300368993564E-5</v>
      </c>
      <c r="T6589" s="10">
        <v>4.230441341968062E-4</v>
      </c>
      <c r="U6589" s="10">
        <v>6.6820000000000001E-5</v>
      </c>
      <c r="V6589" s="25"/>
      <c r="W6589" s="25"/>
      <c r="X6589" s="25"/>
      <c r="Y6589" s="25"/>
      <c r="Z6589" s="25"/>
      <c r="AA6589" s="25"/>
    </row>
    <row r="6590" spans="1:27" x14ac:dyDescent="0.35">
      <c r="A6590" s="5">
        <v>6586</v>
      </c>
      <c r="B6590" s="5">
        <v>275</v>
      </c>
      <c r="C6590" s="5">
        <v>10</v>
      </c>
      <c r="D6590" s="25">
        <v>1.1415000000000001E-4</v>
      </c>
      <c r="E6590" s="25">
        <v>1.0985E-4</v>
      </c>
      <c r="F6590" s="25">
        <v>1.2570999999999999E-4</v>
      </c>
      <c r="G6590" s="25">
        <v>1.5843000000000001E-4</v>
      </c>
      <c r="H6590" s="25">
        <v>1.9185E-4</v>
      </c>
      <c r="I6590" s="9">
        <v>1.1139E-4</v>
      </c>
      <c r="J6590" s="9">
        <v>1.1298000000000001E-4</v>
      </c>
      <c r="K6590" s="9">
        <v>2.1299999999999999E-6</v>
      </c>
      <c r="L6590" s="9">
        <v>2.0411E-4</v>
      </c>
      <c r="M6590" s="9">
        <v>1.5778E-4</v>
      </c>
      <c r="N6590" s="9">
        <v>1.2416E-4</v>
      </c>
      <c r="O6590" s="9">
        <v>1.6831999999999999E-4</v>
      </c>
      <c r="P6590" s="9">
        <v>1.7501999999999999E-4</v>
      </c>
      <c r="Q6590" s="9">
        <v>1.8306E-4</v>
      </c>
      <c r="R6590" s="10">
        <v>6.3981371135653849E-5</v>
      </c>
      <c r="S6590" s="10">
        <v>1.6750409236458354E-5</v>
      </c>
      <c r="T6590" s="10">
        <v>5.6224603363459443E-4</v>
      </c>
      <c r="U6590" s="10">
        <v>6.6820000000000001E-5</v>
      </c>
      <c r="V6590" s="25"/>
      <c r="W6590" s="25"/>
      <c r="X6590" s="25"/>
      <c r="Y6590" s="25"/>
      <c r="Z6590" s="25"/>
      <c r="AA6590" s="25"/>
    </row>
    <row r="6591" spans="1:27" x14ac:dyDescent="0.35">
      <c r="A6591" s="5">
        <v>6587</v>
      </c>
      <c r="B6591" s="5">
        <v>275</v>
      </c>
      <c r="C6591" s="5">
        <v>10</v>
      </c>
      <c r="D6591" s="25">
        <v>1.1416E-4</v>
      </c>
      <c r="E6591" s="25">
        <v>1.1666E-4</v>
      </c>
      <c r="F6591" s="25">
        <v>1.2342000000000001E-4</v>
      </c>
      <c r="G6591" s="25">
        <v>1.5668999999999999E-4</v>
      </c>
      <c r="H6591" s="25">
        <v>1.9982999999999999E-4</v>
      </c>
      <c r="I6591" s="9">
        <v>1.1150999999999999E-4</v>
      </c>
      <c r="J6591" s="9">
        <v>1.1174E-4</v>
      </c>
      <c r="K6591" s="9">
        <v>0</v>
      </c>
      <c r="L6591" s="9">
        <v>1.7626E-4</v>
      </c>
      <c r="M6591" s="9">
        <v>1.7206E-4</v>
      </c>
      <c r="N6591" s="9">
        <v>1.4249E-4</v>
      </c>
      <c r="O6591" s="9">
        <v>1.6856999999999999E-4</v>
      </c>
      <c r="P6591" s="9">
        <v>1.7390999999999999E-4</v>
      </c>
      <c r="Q6591" s="9">
        <v>1.8063000000000001E-4</v>
      </c>
      <c r="R6591" s="10">
        <v>3.8014292190892723E-5</v>
      </c>
      <c r="S6591" s="10">
        <v>2.0052169624365047E-5</v>
      </c>
      <c r="T6591" s="10">
        <v>6.5184023477209932E-4</v>
      </c>
      <c r="U6591" s="10">
        <v>6.6820000000000001E-5</v>
      </c>
      <c r="V6591" s="25"/>
      <c r="W6591" s="25"/>
      <c r="X6591" s="25"/>
      <c r="Y6591" s="25"/>
      <c r="Z6591" s="25"/>
      <c r="AA6591" s="25"/>
    </row>
    <row r="6592" spans="1:27" x14ac:dyDescent="0.35">
      <c r="A6592" s="5">
        <v>6588</v>
      </c>
      <c r="B6592" s="5">
        <v>275</v>
      </c>
      <c r="C6592" s="5">
        <v>10</v>
      </c>
      <c r="D6592" s="25">
        <v>1.1415000000000001E-4</v>
      </c>
      <c r="E6592" s="25">
        <v>1.1697999999999999E-4</v>
      </c>
      <c r="F6592" s="25">
        <v>1.3030999999999999E-4</v>
      </c>
      <c r="G6592" s="25">
        <v>1.5684E-4</v>
      </c>
      <c r="H6592" s="25">
        <v>1.9164E-4</v>
      </c>
      <c r="I6592" s="9">
        <v>1.1177E-4</v>
      </c>
      <c r="J6592" s="9">
        <v>1.0975E-4</v>
      </c>
      <c r="K6592" s="9">
        <v>0</v>
      </c>
      <c r="L6592" s="9">
        <v>1.7161999999999999E-4</v>
      </c>
      <c r="M6592" s="9">
        <v>1.7521999999999999E-4</v>
      </c>
      <c r="N6592" s="9">
        <v>1.5687000000000001E-4</v>
      </c>
      <c r="O6592" s="9">
        <v>1.7001000000000001E-4</v>
      </c>
      <c r="P6592" s="9">
        <v>1.7122E-4</v>
      </c>
      <c r="Q6592" s="9">
        <v>1.7389E-4</v>
      </c>
      <c r="R6592" s="10">
        <v>1.939939594573675E-5</v>
      </c>
      <c r="S6592" s="10">
        <v>2.674034198877966E-5</v>
      </c>
      <c r="T6592" s="10">
        <v>6.9351511317999946E-4</v>
      </c>
      <c r="U6592" s="10">
        <v>6.6820000000000001E-5</v>
      </c>
      <c r="V6592" s="25"/>
      <c r="W6592" s="25"/>
      <c r="X6592" s="25"/>
      <c r="Y6592" s="25"/>
      <c r="Z6592" s="25"/>
      <c r="AA6592" s="25"/>
    </row>
    <row r="6593" spans="1:27" x14ac:dyDescent="0.35">
      <c r="A6593" s="5">
        <v>6589</v>
      </c>
      <c r="B6593" s="5">
        <v>275</v>
      </c>
      <c r="C6593" s="5">
        <v>10</v>
      </c>
      <c r="D6593" s="25">
        <v>1.1416E-4</v>
      </c>
      <c r="E6593" s="25">
        <v>1.1102E-4</v>
      </c>
      <c r="F6593" s="25">
        <v>1.3207E-4</v>
      </c>
      <c r="G6593" s="25">
        <v>1.6605E-4</v>
      </c>
      <c r="H6593" s="25">
        <v>1.9096E-4</v>
      </c>
      <c r="I6593" s="9">
        <v>1.0917999999999999E-4</v>
      </c>
      <c r="J6593" s="9">
        <v>1.0841E-4</v>
      </c>
      <c r="K6593" s="9">
        <v>0</v>
      </c>
      <c r="L6593" s="9">
        <v>1.7051999999999999E-4</v>
      </c>
      <c r="M6593" s="9">
        <v>1.741E-4</v>
      </c>
      <c r="N6593" s="9">
        <v>1.6631E-4</v>
      </c>
      <c r="O6593" s="9">
        <v>1.6222E-4</v>
      </c>
      <c r="P6593" s="9">
        <v>1.6427E-4</v>
      </c>
      <c r="Q6593" s="9">
        <v>1.6767E-4</v>
      </c>
      <c r="R6593" s="10">
        <v>1.8003647177394412E-5</v>
      </c>
      <c r="S6593" s="10">
        <v>2.9559726340842696E-5</v>
      </c>
      <c r="T6593" s="10">
        <v>6.7118443729042437E-4</v>
      </c>
      <c r="U6593" s="10">
        <v>6.6820000000000001E-5</v>
      </c>
      <c r="V6593" s="25"/>
      <c r="W6593" s="25"/>
      <c r="X6593" s="25"/>
      <c r="Y6593" s="25"/>
      <c r="Z6593" s="25"/>
      <c r="AA6593" s="25"/>
    </row>
    <row r="6594" spans="1:27" x14ac:dyDescent="0.35">
      <c r="A6594" s="5">
        <v>6590</v>
      </c>
      <c r="B6594" s="5">
        <v>275</v>
      </c>
      <c r="C6594" s="5">
        <v>10</v>
      </c>
      <c r="D6594" s="25">
        <v>1.1415000000000001E-4</v>
      </c>
      <c r="E6594" s="25">
        <v>1.1621E-4</v>
      </c>
      <c r="F6594" s="25">
        <v>1.3328999999999999E-4</v>
      </c>
      <c r="G6594" s="25">
        <v>1.5825E-4</v>
      </c>
      <c r="H6594" s="25">
        <v>1.9735E-4</v>
      </c>
      <c r="I6594" s="9">
        <v>1.0525E-4</v>
      </c>
      <c r="J6594" s="9">
        <v>1.0733E-4</v>
      </c>
      <c r="K6594" s="9">
        <v>3.8149999999999999E-5</v>
      </c>
      <c r="L6594" s="9">
        <v>1.6383000000000001E-4</v>
      </c>
      <c r="M6594" s="9">
        <v>1.7019999999999999E-4</v>
      </c>
      <c r="N6594" s="9">
        <v>1.7071999999999999E-4</v>
      </c>
      <c r="O6594" s="9">
        <v>1.7844000000000001E-4</v>
      </c>
      <c r="P6594" s="9">
        <v>1.6869000000000001E-4</v>
      </c>
      <c r="Q6594" s="9">
        <v>1.6066999999999999E-4</v>
      </c>
      <c r="R6594" s="10">
        <v>2.3822644700350221E-5</v>
      </c>
      <c r="S6594" s="10">
        <v>2.740201366364069E-5</v>
      </c>
      <c r="T6594" s="10">
        <v>5.9945817058431944E-4</v>
      </c>
      <c r="U6594" s="10">
        <v>6.6820000000000001E-5</v>
      </c>
      <c r="V6594" s="25"/>
      <c r="W6594" s="25"/>
      <c r="X6594" s="25"/>
      <c r="Y6594" s="25"/>
      <c r="Z6594" s="25"/>
      <c r="AA6594" s="25"/>
    </row>
    <row r="6595" spans="1:27" x14ac:dyDescent="0.35">
      <c r="A6595" s="5">
        <v>6591</v>
      </c>
      <c r="B6595" s="5">
        <v>275</v>
      </c>
      <c r="C6595" s="5">
        <v>10</v>
      </c>
      <c r="D6595" s="25">
        <v>1.1416E-4</v>
      </c>
      <c r="E6595" s="25">
        <v>1.1195E-4</v>
      </c>
      <c r="F6595" s="25">
        <v>1.4535000000000001E-4</v>
      </c>
      <c r="G6595" s="25">
        <v>1.6338E-4</v>
      </c>
      <c r="H6595" s="25">
        <v>1.953E-4</v>
      </c>
      <c r="I6595" s="9">
        <v>1.0338E-4</v>
      </c>
      <c r="J6595" s="9">
        <v>1.0636E-4</v>
      </c>
      <c r="K6595" s="9">
        <v>5.0869999999999999E-5</v>
      </c>
      <c r="L6595" s="9">
        <v>1.7539000000000001E-4</v>
      </c>
      <c r="M6595" s="9">
        <v>1.6855E-4</v>
      </c>
      <c r="N6595" s="9">
        <v>1.7022000000000001E-4</v>
      </c>
      <c r="O6595" s="9">
        <v>1.8550000000000001E-4</v>
      </c>
      <c r="P6595" s="9">
        <v>1.6875000000000001E-4</v>
      </c>
      <c r="Q6595" s="9">
        <v>1.5393000000000001E-4</v>
      </c>
      <c r="R6595" s="10">
        <v>3.1581727012085747E-5</v>
      </c>
      <c r="S6595" s="10">
        <v>2.250766037455334E-5</v>
      </c>
      <c r="T6595" s="10">
        <v>4.9418498424775117E-4</v>
      </c>
      <c r="U6595" s="10">
        <v>6.6820000000000001E-5</v>
      </c>
      <c r="V6595" s="25"/>
      <c r="W6595" s="25"/>
      <c r="X6595" s="25"/>
      <c r="Y6595" s="25"/>
      <c r="Z6595" s="25"/>
      <c r="AA6595" s="25"/>
    </row>
    <row r="6596" spans="1:27" x14ac:dyDescent="0.35">
      <c r="A6596" s="5">
        <v>6592</v>
      </c>
      <c r="B6596" s="5">
        <v>275</v>
      </c>
      <c r="C6596" s="5">
        <v>10</v>
      </c>
      <c r="D6596" s="25">
        <v>1.1415000000000001E-4</v>
      </c>
      <c r="E6596" s="25">
        <v>1.1216E-4</v>
      </c>
      <c r="F6596" s="25">
        <v>1.2401E-4</v>
      </c>
      <c r="G6596" s="25">
        <v>1.6639000000000001E-4</v>
      </c>
      <c r="H6596" s="25">
        <v>1.8709E-4</v>
      </c>
      <c r="I6596" s="9">
        <v>1.0391E-4</v>
      </c>
      <c r="J6596" s="9">
        <v>1.0776E-4</v>
      </c>
      <c r="K6596" s="9">
        <v>5.2989999999999999E-5</v>
      </c>
      <c r="L6596" s="9">
        <v>1.8296999999999999E-4</v>
      </c>
      <c r="M6596" s="9">
        <v>1.683E-4</v>
      </c>
      <c r="N6596" s="9">
        <v>1.6657999999999999E-4</v>
      </c>
      <c r="O6596" s="9">
        <v>1.9890000000000001E-4</v>
      </c>
      <c r="P6596" s="9">
        <v>1.5341000000000001E-4</v>
      </c>
      <c r="Q6596" s="9">
        <v>1.1045E-4</v>
      </c>
      <c r="R6596" s="10">
        <v>3.8915405561600127E-5</v>
      </c>
      <c r="S6596" s="10">
        <v>1.9104135106903501E-5</v>
      </c>
      <c r="T6596" s="10">
        <v>3.2825754185701394E-4</v>
      </c>
      <c r="U6596" s="10">
        <v>6.6820000000000001E-5</v>
      </c>
      <c r="V6596" s="25"/>
      <c r="W6596" s="25"/>
      <c r="X6596" s="25"/>
      <c r="Y6596" s="25"/>
      <c r="Z6596" s="25"/>
      <c r="AA6596" s="25"/>
    </row>
    <row r="6597" spans="1:27" x14ac:dyDescent="0.35">
      <c r="A6597" s="5">
        <v>6593</v>
      </c>
      <c r="B6597" s="5">
        <v>275</v>
      </c>
      <c r="C6597" s="5">
        <v>10</v>
      </c>
      <c r="D6597" s="25">
        <v>1.1416E-4</v>
      </c>
      <c r="E6597" s="25">
        <v>1.1119E-4</v>
      </c>
      <c r="F6597" s="25">
        <v>1.3127000000000001E-4</v>
      </c>
      <c r="G6597" s="25">
        <v>1.5948000000000001E-4</v>
      </c>
      <c r="H6597" s="25">
        <v>1.9380999999999999E-4</v>
      </c>
      <c r="I6597" s="9">
        <v>1.0595E-4</v>
      </c>
      <c r="J6597" s="9">
        <v>1.12E-4</v>
      </c>
      <c r="K6597" s="9">
        <v>6.5699999999999998E-5</v>
      </c>
      <c r="L6597" s="9">
        <v>1.9513000000000001E-4</v>
      </c>
      <c r="M6597" s="9">
        <v>1.6299000000000001E-4</v>
      </c>
      <c r="N6597" s="9">
        <v>1.5294000000000001E-4</v>
      </c>
      <c r="O6597" s="9">
        <v>2.1295E-4</v>
      </c>
      <c r="P6597" s="9">
        <v>1.5829E-4</v>
      </c>
      <c r="Q6597" s="9">
        <v>1.0647E-4</v>
      </c>
      <c r="R6597" s="10">
        <v>4.4575916099224433E-5</v>
      </c>
      <c r="S6597" s="10">
        <v>1.8512273768830785E-5</v>
      </c>
      <c r="T6597" s="10">
        <v>1.3143876553240786E-4</v>
      </c>
      <c r="U6597" s="10">
        <v>6.6820000000000001E-5</v>
      </c>
      <c r="V6597" s="25"/>
      <c r="W6597" s="25"/>
      <c r="X6597" s="25"/>
      <c r="Y6597" s="25"/>
      <c r="Z6597" s="25"/>
      <c r="AA6597" s="25"/>
    </row>
    <row r="6598" spans="1:27" x14ac:dyDescent="0.35">
      <c r="A6598" s="5">
        <v>6594</v>
      </c>
      <c r="B6598" s="5">
        <v>275</v>
      </c>
      <c r="C6598" s="5">
        <v>10</v>
      </c>
      <c r="D6598" s="25">
        <v>1.1415000000000001E-4</v>
      </c>
      <c r="E6598" s="25">
        <v>1.1085E-4</v>
      </c>
      <c r="F6598" s="25">
        <v>1.3941E-4</v>
      </c>
      <c r="G6598" s="25">
        <v>1.6034E-4</v>
      </c>
      <c r="H6598" s="25">
        <v>1.9584999999999999E-4</v>
      </c>
      <c r="I6598" s="9">
        <v>1.0864E-4</v>
      </c>
      <c r="J6598" s="9">
        <v>1.1393E-4</v>
      </c>
      <c r="K6598" s="9">
        <v>1.0173E-4</v>
      </c>
      <c r="L6598" s="9">
        <v>2.0877999999999999E-4</v>
      </c>
      <c r="M6598" s="9">
        <v>1.5981E-4</v>
      </c>
      <c r="N6598" s="9">
        <v>1.3938000000000001E-4</v>
      </c>
      <c r="O6598" s="9">
        <v>2.0503000000000001E-4</v>
      </c>
      <c r="P6598" s="9">
        <v>1.5986E-4</v>
      </c>
      <c r="Q6598" s="9">
        <v>1.1729E-4</v>
      </c>
      <c r="R6598" s="10">
        <v>6.4161270735491925E-5</v>
      </c>
      <c r="S6598" s="10">
        <v>1.9778977546038995E-5</v>
      </c>
      <c r="T6598" s="10">
        <v>0</v>
      </c>
      <c r="U6598" s="10">
        <v>6.6820000000000001E-5</v>
      </c>
      <c r="V6598" s="25"/>
      <c r="W6598" s="25"/>
      <c r="X6598" s="25"/>
      <c r="Y6598" s="25"/>
      <c r="Z6598" s="25"/>
      <c r="AA6598" s="25"/>
    </row>
    <row r="6599" spans="1:27" x14ac:dyDescent="0.35">
      <c r="A6599" s="5">
        <v>6595</v>
      </c>
      <c r="B6599" s="5">
        <v>275</v>
      </c>
      <c r="C6599" s="5">
        <v>10</v>
      </c>
      <c r="D6599" s="25">
        <v>1.1416E-4</v>
      </c>
      <c r="E6599" s="25">
        <v>1.1103E-4</v>
      </c>
      <c r="F6599" s="25">
        <v>1.4002E-4</v>
      </c>
      <c r="G6599" s="25">
        <v>1.0555E-4</v>
      </c>
      <c r="H6599" s="25">
        <v>1.2935E-4</v>
      </c>
      <c r="I6599" s="9">
        <v>1.1113E-4</v>
      </c>
      <c r="J6599" s="9">
        <v>1.1658E-4</v>
      </c>
      <c r="K6599" s="9">
        <v>1.0597E-4</v>
      </c>
      <c r="L6599" s="9">
        <v>2.0552E-4</v>
      </c>
      <c r="M6599" s="9">
        <v>1.5914E-4</v>
      </c>
      <c r="N6599" s="9">
        <v>1.3014E-4</v>
      </c>
      <c r="O6599" s="9">
        <v>1.6344999999999999E-4</v>
      </c>
      <c r="P6599" s="9">
        <v>1.3395E-4</v>
      </c>
      <c r="Q6599" s="9">
        <v>1.0632E-4</v>
      </c>
      <c r="R6599" s="10">
        <v>1.0235716073618887E-4</v>
      </c>
      <c r="S6599" s="10">
        <v>2.0012945496362397E-5</v>
      </c>
      <c r="T6599" s="10">
        <v>0</v>
      </c>
      <c r="U6599" s="10">
        <v>6.6820000000000001E-5</v>
      </c>
      <c r="V6599" s="25"/>
      <c r="W6599" s="25"/>
      <c r="X6599" s="25"/>
      <c r="Y6599" s="25"/>
      <c r="Z6599" s="25"/>
      <c r="AA6599" s="25"/>
    </row>
    <row r="6600" spans="1:27" x14ac:dyDescent="0.35">
      <c r="A6600" s="5">
        <v>6596</v>
      </c>
      <c r="B6600" s="5">
        <v>275</v>
      </c>
      <c r="C6600" s="5">
        <v>10</v>
      </c>
      <c r="D6600" s="25">
        <v>1.1415000000000001E-4</v>
      </c>
      <c r="E6600" s="25">
        <v>1.1251000000000001E-4</v>
      </c>
      <c r="F6600" s="25">
        <v>1.4173000000000001E-4</v>
      </c>
      <c r="G6600" s="25">
        <v>1.1505E-4</v>
      </c>
      <c r="H6600" s="25">
        <v>1.3041999999999999E-4</v>
      </c>
      <c r="I6600" s="9">
        <v>1.097E-4</v>
      </c>
      <c r="J6600" s="9">
        <v>1.1531000000000001E-4</v>
      </c>
      <c r="K6600" s="9">
        <v>1.1657E-4</v>
      </c>
      <c r="L6600" s="9">
        <v>1.7286999999999999E-4</v>
      </c>
      <c r="M6600" s="9">
        <v>1.5007E-4</v>
      </c>
      <c r="N6600" s="9">
        <v>1.208E-4</v>
      </c>
      <c r="O6600" s="9">
        <v>1.2763E-4</v>
      </c>
      <c r="P6600" s="9">
        <v>1.1359E-4</v>
      </c>
      <c r="Q6600" s="9">
        <v>1.0076E-4</v>
      </c>
      <c r="R6600" s="10">
        <v>1.4744940539030188E-4</v>
      </c>
      <c r="S6600" s="10">
        <v>2.0898861963705309E-5</v>
      </c>
      <c r="T6600" s="10">
        <v>0</v>
      </c>
      <c r="U6600" s="10">
        <v>6.6820000000000001E-5</v>
      </c>
      <c r="V6600" s="25"/>
      <c r="W6600" s="25"/>
      <c r="X6600" s="25"/>
      <c r="Y6600" s="25"/>
      <c r="Z6600" s="25"/>
      <c r="AA6600" s="25"/>
    </row>
    <row r="6601" spans="1:27" x14ac:dyDescent="0.35">
      <c r="A6601" s="5">
        <v>6597</v>
      </c>
      <c r="B6601" s="5">
        <v>275</v>
      </c>
      <c r="C6601" s="5">
        <v>10</v>
      </c>
      <c r="D6601" s="25">
        <v>1.1416E-4</v>
      </c>
      <c r="E6601" s="25">
        <v>1.1663E-4</v>
      </c>
      <c r="F6601" s="25">
        <v>1.3013E-4</v>
      </c>
      <c r="G6601" s="25">
        <v>5.8879999999999999E-5</v>
      </c>
      <c r="H6601" s="25">
        <v>6.8570000000000002E-5</v>
      </c>
      <c r="I6601" s="9">
        <v>1.0425E-4</v>
      </c>
      <c r="J6601" s="9">
        <v>1.0969E-4</v>
      </c>
      <c r="K6601" s="9">
        <v>1.2504000000000001E-4</v>
      </c>
      <c r="L6601" s="9">
        <v>1.3857999999999999E-4</v>
      </c>
      <c r="M6601" s="9">
        <v>1.3442E-4</v>
      </c>
      <c r="N6601" s="9">
        <v>1.128E-4</v>
      </c>
      <c r="O6601" s="9">
        <v>8.5530000000000003E-5</v>
      </c>
      <c r="P6601" s="9">
        <v>8.7070000000000005E-5</v>
      </c>
      <c r="Q6601" s="9">
        <v>8.9079999999999994E-5</v>
      </c>
      <c r="R6601" s="10">
        <v>1.6151333899836834E-4</v>
      </c>
      <c r="S6601" s="10">
        <v>2.4725058757844847E-5</v>
      </c>
      <c r="T6601" s="10">
        <v>0</v>
      </c>
      <c r="U6601" s="10">
        <v>6.6820000000000001E-5</v>
      </c>
      <c r="V6601" s="25"/>
      <c r="W6601" s="25"/>
      <c r="X6601" s="25"/>
      <c r="Y6601" s="25"/>
      <c r="Z6601" s="25"/>
      <c r="AA6601" s="25"/>
    </row>
    <row r="6602" spans="1:27" x14ac:dyDescent="0.35">
      <c r="A6602" s="5">
        <v>6598</v>
      </c>
      <c r="B6602" s="5">
        <v>275</v>
      </c>
      <c r="C6602" s="5">
        <v>10</v>
      </c>
      <c r="D6602" s="25">
        <v>1.1415000000000001E-4</v>
      </c>
      <c r="E6602" s="25">
        <v>1.121E-4</v>
      </c>
      <c r="F6602" s="25">
        <v>1.4124999999999999E-4</v>
      </c>
      <c r="G6602" s="25">
        <v>6.3050000000000001E-5</v>
      </c>
      <c r="H6602" s="25">
        <v>6.7589999999999995E-5</v>
      </c>
      <c r="I6602" s="9">
        <v>1.0128000000000001E-4</v>
      </c>
      <c r="J6602" s="9">
        <v>1.041E-4</v>
      </c>
      <c r="K6602" s="9">
        <v>1.3776000000000001E-4</v>
      </c>
      <c r="L6602" s="9">
        <v>9.8129999999999997E-5</v>
      </c>
      <c r="M6602" s="9">
        <v>1.1335E-4</v>
      </c>
      <c r="N6602" s="9">
        <v>1.0535E-4</v>
      </c>
      <c r="O6602" s="9">
        <v>8.7830000000000004E-5</v>
      </c>
      <c r="P6602" s="9">
        <v>8.7949999999999996E-5</v>
      </c>
      <c r="Q6602" s="9">
        <v>8.8599999999999999E-5</v>
      </c>
      <c r="R6602" s="10">
        <v>1.6347791841454733E-4</v>
      </c>
      <c r="S6602" s="10">
        <v>2.9139836043799051E-5</v>
      </c>
      <c r="T6602" s="10">
        <v>0</v>
      </c>
      <c r="U6602" s="10">
        <v>6.6820000000000001E-5</v>
      </c>
      <c r="V6602" s="25"/>
      <c r="W6602" s="25"/>
      <c r="X6602" s="25"/>
      <c r="Y6602" s="25"/>
      <c r="Z6602" s="25"/>
      <c r="AA6602" s="25"/>
    </row>
    <row r="6603" spans="1:27" x14ac:dyDescent="0.35">
      <c r="A6603" s="5">
        <v>6599</v>
      </c>
      <c r="B6603" s="5">
        <v>275</v>
      </c>
      <c r="C6603" s="5">
        <v>10</v>
      </c>
      <c r="D6603" s="25">
        <v>1.1416E-4</v>
      </c>
      <c r="E6603" s="25">
        <v>1.1654000000000001E-4</v>
      </c>
      <c r="F6603" s="25">
        <v>1.4393000000000001E-4</v>
      </c>
      <c r="G6603" s="25">
        <v>6.1450000000000003E-5</v>
      </c>
      <c r="H6603" s="25">
        <v>6.9779999999999999E-5</v>
      </c>
      <c r="I6603" s="9">
        <v>9.823E-5</v>
      </c>
      <c r="J6603" s="9">
        <v>9.8400000000000007E-5</v>
      </c>
      <c r="K6603" s="9">
        <v>1.6742999999999999E-4</v>
      </c>
      <c r="L6603" s="9">
        <v>9.0989999999999994E-5</v>
      </c>
      <c r="M6603" s="9">
        <v>9.9069999999999998E-5</v>
      </c>
      <c r="N6603" s="9">
        <v>9.9669999999999999E-5</v>
      </c>
      <c r="O6603" s="9">
        <v>7.8029999999999997E-5</v>
      </c>
      <c r="P6603" s="9">
        <v>7.2260000000000003E-5</v>
      </c>
      <c r="Q6603" s="9">
        <v>6.7000000000000002E-5</v>
      </c>
      <c r="R6603" s="10">
        <v>1.576822583705478E-4</v>
      </c>
      <c r="S6603" s="10">
        <v>3.0627077512424766E-5</v>
      </c>
      <c r="T6603" s="10">
        <v>0</v>
      </c>
      <c r="U6603" s="10">
        <v>6.6820000000000001E-5</v>
      </c>
      <c r="V6603" s="25"/>
      <c r="W6603" s="25"/>
      <c r="X6603" s="25"/>
      <c r="Y6603" s="25"/>
      <c r="Z6603" s="25"/>
      <c r="AA6603" s="25"/>
    </row>
    <row r="6604" spans="1:27" x14ac:dyDescent="0.35">
      <c r="A6604" s="5">
        <v>6600</v>
      </c>
      <c r="B6604" s="5">
        <v>275</v>
      </c>
      <c r="C6604" s="5">
        <v>10</v>
      </c>
      <c r="D6604" s="25">
        <v>1.1415000000000001E-4</v>
      </c>
      <c r="E6604" s="25">
        <v>1.13E-4</v>
      </c>
      <c r="F6604" s="25">
        <v>1.2888999999999999E-4</v>
      </c>
      <c r="G6604" s="25">
        <v>5.5500000000000001E-5</v>
      </c>
      <c r="H6604" s="25">
        <v>7.0720000000000001E-5</v>
      </c>
      <c r="I6604" s="9">
        <v>9.1399999999999999E-5</v>
      </c>
      <c r="J6604" s="9">
        <v>9.2470000000000001E-5</v>
      </c>
      <c r="K6604" s="9">
        <v>1.7166999999999999E-4</v>
      </c>
      <c r="L6604" s="9">
        <v>8.0859999999999995E-5</v>
      </c>
      <c r="M6604" s="9">
        <v>8.6279999999999994E-5</v>
      </c>
      <c r="N6604" s="9">
        <v>9.0489999999999996E-5</v>
      </c>
      <c r="O6604" s="9">
        <v>6.2299999999999996E-5</v>
      </c>
      <c r="P6604" s="9">
        <v>6.0220000000000003E-5</v>
      </c>
      <c r="Q6604" s="9">
        <v>5.842E-5</v>
      </c>
      <c r="R6604" s="10">
        <v>1.6356484683051429E-4</v>
      </c>
      <c r="S6604" s="10">
        <v>3.4354168733018534E-5</v>
      </c>
      <c r="T6604" s="10">
        <v>0</v>
      </c>
      <c r="U6604" s="10">
        <v>6.6820000000000001E-5</v>
      </c>
      <c r="V6604" s="25"/>
      <c r="W6604" s="25"/>
      <c r="X6604" s="25"/>
      <c r="Y6604" s="25"/>
      <c r="Z6604" s="25"/>
      <c r="AA6604" s="25"/>
    </row>
    <row r="6605" spans="1:27" x14ac:dyDescent="0.35">
      <c r="A6605" s="5">
        <v>6601</v>
      </c>
      <c r="B6605" s="5">
        <v>276</v>
      </c>
      <c r="C6605" s="5">
        <v>10</v>
      </c>
      <c r="D6605" s="25">
        <v>1.1416E-4</v>
      </c>
      <c r="E6605" s="25">
        <v>1.0488E-4</v>
      </c>
      <c r="F6605" s="25">
        <v>9.8930000000000003E-5</v>
      </c>
      <c r="G6605" s="25">
        <v>5.7550000000000003E-5</v>
      </c>
      <c r="H6605" s="25">
        <v>6.9789999999999994E-5</v>
      </c>
      <c r="I6605" s="9">
        <v>8.7399999999999997E-5</v>
      </c>
      <c r="J6605" s="9">
        <v>8.7670000000000006E-5</v>
      </c>
      <c r="K6605" s="9">
        <v>1.7802000000000001E-4</v>
      </c>
      <c r="L6605" s="9">
        <v>6.6400000000000001E-5</v>
      </c>
      <c r="M6605" s="9">
        <v>7.3949999999999995E-5</v>
      </c>
      <c r="N6605" s="9">
        <v>8.106E-5</v>
      </c>
      <c r="O6605" s="9">
        <v>5.4169999999999998E-5</v>
      </c>
      <c r="P6605" s="9">
        <v>5.359E-5</v>
      </c>
      <c r="Q6605" s="9">
        <v>5.3170000000000001E-5</v>
      </c>
      <c r="R6605" s="10">
        <v>1.3955367930101702E-4</v>
      </c>
      <c r="S6605" s="10">
        <v>3.0452429784304892E-5</v>
      </c>
      <c r="T6605" s="10">
        <v>0</v>
      </c>
      <c r="U6605" s="10">
        <v>6.6649999999999994E-5</v>
      </c>
      <c r="V6605" s="25"/>
      <c r="W6605" s="25"/>
      <c r="X6605" s="25"/>
      <c r="Y6605" s="25"/>
      <c r="Z6605" s="25"/>
      <c r="AA6605" s="25"/>
    </row>
    <row r="6606" spans="1:27" x14ac:dyDescent="0.35">
      <c r="A6606" s="5">
        <v>6602</v>
      </c>
      <c r="B6606" s="5">
        <v>276</v>
      </c>
      <c r="C6606" s="5">
        <v>10</v>
      </c>
      <c r="D6606" s="25">
        <v>1.1415000000000001E-4</v>
      </c>
      <c r="E6606" s="25">
        <v>1.0805E-4</v>
      </c>
      <c r="F6606" s="25">
        <v>1.1027E-4</v>
      </c>
      <c r="G6606" s="25">
        <v>6.054E-5</v>
      </c>
      <c r="H6606" s="25">
        <v>6.9179999999999998E-5</v>
      </c>
      <c r="I6606" s="9">
        <v>8.4019999999999999E-5</v>
      </c>
      <c r="J6606" s="9">
        <v>8.5190000000000003E-5</v>
      </c>
      <c r="K6606" s="9">
        <v>1.5259E-4</v>
      </c>
      <c r="L6606" s="9">
        <v>5.7250000000000002E-5</v>
      </c>
      <c r="M6606" s="9">
        <v>6.368E-5</v>
      </c>
      <c r="N6606" s="9">
        <v>7.1970000000000004E-5</v>
      </c>
      <c r="O6606" s="9">
        <v>1.874E-5</v>
      </c>
      <c r="P6606" s="9">
        <v>3.7719999999999998E-5</v>
      </c>
      <c r="Q6606" s="9">
        <v>5.613E-5</v>
      </c>
      <c r="R6606" s="10">
        <v>1.1960045011873529E-4</v>
      </c>
      <c r="S6606" s="10">
        <v>2.7094927430532499E-5</v>
      </c>
      <c r="T6606" s="10">
        <v>0</v>
      </c>
      <c r="U6606" s="10">
        <v>6.6649999999999994E-5</v>
      </c>
      <c r="V6606" s="25"/>
      <c r="W6606" s="25"/>
      <c r="X6606" s="25"/>
      <c r="Y6606" s="25"/>
      <c r="Z6606" s="25"/>
      <c r="AA6606" s="25"/>
    </row>
    <row r="6607" spans="1:27" x14ac:dyDescent="0.35">
      <c r="A6607" s="5">
        <v>6603</v>
      </c>
      <c r="B6607" s="5">
        <v>276</v>
      </c>
      <c r="C6607" s="5">
        <v>10</v>
      </c>
      <c r="D6607" s="25">
        <v>1.1416E-4</v>
      </c>
      <c r="E6607" s="25">
        <v>1.0925999999999999E-4</v>
      </c>
      <c r="F6607" s="25">
        <v>1.0683000000000001E-4</v>
      </c>
      <c r="G6607" s="25">
        <v>5.9870000000000001E-5</v>
      </c>
      <c r="H6607" s="25">
        <v>7.0549999999999994E-5</v>
      </c>
      <c r="I6607" s="9">
        <v>8.2929999999999994E-5</v>
      </c>
      <c r="J6607" s="9">
        <v>8.3939999999999999E-5</v>
      </c>
      <c r="K6607" s="9">
        <v>1.6531E-4</v>
      </c>
      <c r="L6607" s="9">
        <v>2.7419999999999998E-5</v>
      </c>
      <c r="M6607" s="9">
        <v>5.1990000000000002E-5</v>
      </c>
      <c r="N6607" s="9">
        <v>6.5400000000000004E-5</v>
      </c>
      <c r="O6607" s="9">
        <v>1.34E-5</v>
      </c>
      <c r="P6607" s="9">
        <v>3.8139999999999997E-5</v>
      </c>
      <c r="Q6607" s="9">
        <v>6.2169999999999996E-5</v>
      </c>
      <c r="R6607" s="10">
        <v>9.6428549924194512E-5</v>
      </c>
      <c r="S6607" s="10">
        <v>2.3425390128981624E-5</v>
      </c>
      <c r="T6607" s="10">
        <v>0</v>
      </c>
      <c r="U6607" s="10">
        <v>6.6649999999999994E-5</v>
      </c>
      <c r="V6607" s="25"/>
      <c r="W6607" s="25"/>
      <c r="X6607" s="25"/>
      <c r="Y6607" s="25"/>
      <c r="Z6607" s="25"/>
      <c r="AA6607" s="25"/>
    </row>
    <row r="6608" spans="1:27" x14ac:dyDescent="0.35">
      <c r="A6608" s="5">
        <v>6604</v>
      </c>
      <c r="B6608" s="5">
        <v>276</v>
      </c>
      <c r="C6608" s="5">
        <v>10</v>
      </c>
      <c r="D6608" s="25">
        <v>1.1415000000000001E-4</v>
      </c>
      <c r="E6608" s="25">
        <v>1.0849999999999999E-4</v>
      </c>
      <c r="F6608" s="25">
        <v>1.1121E-4</v>
      </c>
      <c r="G6608" s="25">
        <v>5.295E-5</v>
      </c>
      <c r="H6608" s="25">
        <v>7.1619999999999995E-5</v>
      </c>
      <c r="I6608" s="9">
        <v>8.2399999999999997E-5</v>
      </c>
      <c r="J6608" s="9">
        <v>8.3250000000000004E-5</v>
      </c>
      <c r="K6608" s="9">
        <v>2.0346000000000001E-4</v>
      </c>
      <c r="L6608" s="9">
        <v>1.7220000000000001E-5</v>
      </c>
      <c r="M6608" s="9">
        <v>4.422E-5</v>
      </c>
      <c r="N6608" s="9">
        <v>6.1950000000000001E-5</v>
      </c>
      <c r="O6608" s="9">
        <v>1.3169999999999999E-5</v>
      </c>
      <c r="P6608" s="9">
        <v>4.6869999999999997E-5</v>
      </c>
      <c r="Q6608" s="9">
        <v>7.9720000000000002E-5</v>
      </c>
      <c r="R6608" s="10">
        <v>7.8345801451382645E-5</v>
      </c>
      <c r="S6608" s="10">
        <v>1.9201213795728538E-5</v>
      </c>
      <c r="T6608" s="10">
        <v>0</v>
      </c>
      <c r="U6608" s="10">
        <v>6.6649999999999994E-5</v>
      </c>
      <c r="V6608" s="25"/>
      <c r="W6608" s="25"/>
      <c r="X6608" s="25"/>
      <c r="Y6608" s="25"/>
      <c r="Z6608" s="25"/>
      <c r="AA6608" s="25"/>
    </row>
    <row r="6609" spans="1:27" x14ac:dyDescent="0.35">
      <c r="A6609" s="5">
        <v>6605</v>
      </c>
      <c r="B6609" s="5">
        <v>276</v>
      </c>
      <c r="C6609" s="5">
        <v>10</v>
      </c>
      <c r="D6609" s="25">
        <v>1.1416E-4</v>
      </c>
      <c r="E6609" s="25">
        <v>1.102E-4</v>
      </c>
      <c r="F6609" s="25">
        <v>1.1557000000000001E-4</v>
      </c>
      <c r="G6609" s="25">
        <v>6.2710000000000001E-5</v>
      </c>
      <c r="H6609" s="25">
        <v>7.0110000000000005E-5</v>
      </c>
      <c r="I6609" s="9">
        <v>8.2979999999999995E-5</v>
      </c>
      <c r="J6609" s="9">
        <v>8.386E-5</v>
      </c>
      <c r="K6609" s="9">
        <v>2.0346000000000001E-4</v>
      </c>
      <c r="L6609" s="9">
        <v>1.43E-5</v>
      </c>
      <c r="M6609" s="9">
        <v>4.3439999999999997E-5</v>
      </c>
      <c r="N6609" s="9">
        <v>6.4350000000000006E-5</v>
      </c>
      <c r="O6609" s="9">
        <v>1.8749999999999998E-5</v>
      </c>
      <c r="P6609" s="9">
        <v>5.66E-5</v>
      </c>
      <c r="Q6609" s="9">
        <v>9.3590000000000003E-5</v>
      </c>
      <c r="R6609" s="10">
        <v>6.0669544704232665E-5</v>
      </c>
      <c r="S6609" s="10">
        <v>1.5034316449598512E-5</v>
      </c>
      <c r="T6609" s="10">
        <v>0</v>
      </c>
      <c r="U6609" s="10">
        <v>6.6649999999999994E-5</v>
      </c>
      <c r="V6609" s="25"/>
      <c r="W6609" s="25"/>
      <c r="X6609" s="25"/>
      <c r="Y6609" s="25"/>
      <c r="Z6609" s="25"/>
      <c r="AA6609" s="25"/>
    </row>
    <row r="6610" spans="1:27" x14ac:dyDescent="0.35">
      <c r="A6610" s="5">
        <v>6606</v>
      </c>
      <c r="B6610" s="5">
        <v>276</v>
      </c>
      <c r="C6610" s="5">
        <v>10</v>
      </c>
      <c r="D6610" s="25">
        <v>1.1415000000000001E-4</v>
      </c>
      <c r="E6610" s="25">
        <v>1.1154000000000001E-4</v>
      </c>
      <c r="F6610" s="25">
        <v>1.1711E-4</v>
      </c>
      <c r="G6610" s="25">
        <v>1.0762E-4</v>
      </c>
      <c r="H6610" s="25">
        <v>1.3684E-4</v>
      </c>
      <c r="I6610" s="9">
        <v>8.4989999999999998E-5</v>
      </c>
      <c r="J6610" s="9">
        <v>8.5740000000000002E-5</v>
      </c>
      <c r="K6610" s="9">
        <v>1.8650000000000001E-4</v>
      </c>
      <c r="L6610" s="9">
        <v>1.7649999999999999E-5</v>
      </c>
      <c r="M6610" s="9">
        <v>4.8319999999999998E-5</v>
      </c>
      <c r="N6610" s="9">
        <v>7.0909999999999997E-5</v>
      </c>
      <c r="O6610" s="9">
        <v>4.6459999999999999E-5</v>
      </c>
      <c r="P6610" s="9">
        <v>7.7169999999999995E-5</v>
      </c>
      <c r="Q6610" s="9">
        <v>1.0746E-4</v>
      </c>
      <c r="R6610" s="10">
        <v>4.7874135853935011E-5</v>
      </c>
      <c r="S6610" s="10">
        <v>1.3054472237962706E-5</v>
      </c>
      <c r="T6610" s="10">
        <v>0</v>
      </c>
      <c r="U6610" s="10">
        <v>6.6649999999999994E-5</v>
      </c>
      <c r="V6610" s="25"/>
      <c r="W6610" s="25"/>
      <c r="X6610" s="25"/>
      <c r="Y6610" s="25"/>
      <c r="Z6610" s="25"/>
      <c r="AA6610" s="25"/>
    </row>
    <row r="6611" spans="1:27" x14ac:dyDescent="0.35">
      <c r="A6611" s="5">
        <v>6607</v>
      </c>
      <c r="B6611" s="5">
        <v>276</v>
      </c>
      <c r="C6611" s="5">
        <v>10</v>
      </c>
      <c r="D6611" s="25">
        <v>1.1416E-4</v>
      </c>
      <c r="E6611" s="25">
        <v>1.099E-4</v>
      </c>
      <c r="F6611" s="25">
        <v>9.7399999999999996E-5</v>
      </c>
      <c r="G6611" s="25">
        <v>1.0687E-4</v>
      </c>
      <c r="H6611" s="25">
        <v>1.3593000000000001E-4</v>
      </c>
      <c r="I6611" s="9">
        <v>8.8889999999999998E-5</v>
      </c>
      <c r="J6611" s="9">
        <v>8.8819999999999993E-5</v>
      </c>
      <c r="K6611" s="9">
        <v>1.1656E-4</v>
      </c>
      <c r="L6611" s="9">
        <v>3.998E-5</v>
      </c>
      <c r="M6611" s="9">
        <v>6.0080000000000001E-5</v>
      </c>
      <c r="N6611" s="9">
        <v>8.0740000000000003E-5</v>
      </c>
      <c r="O6611" s="9">
        <v>1.2448E-4</v>
      </c>
      <c r="P6611" s="9">
        <v>1.1845000000000001E-4</v>
      </c>
      <c r="Q6611" s="9">
        <v>1.1347E-4</v>
      </c>
      <c r="R6611" s="10">
        <v>4.3740146315914833E-5</v>
      </c>
      <c r="S6611" s="10">
        <v>1.3568326222986612E-5</v>
      </c>
      <c r="T6611" s="10">
        <v>2.0693206114997601E-5</v>
      </c>
      <c r="U6611" s="10">
        <v>6.6649999999999994E-5</v>
      </c>
      <c r="V6611" s="25"/>
      <c r="W6611" s="25"/>
      <c r="X6611" s="25"/>
      <c r="Y6611" s="25"/>
      <c r="Z6611" s="25"/>
      <c r="AA6611" s="25"/>
    </row>
    <row r="6612" spans="1:27" x14ac:dyDescent="0.35">
      <c r="A6612" s="5">
        <v>6608</v>
      </c>
      <c r="B6612" s="5">
        <v>276</v>
      </c>
      <c r="C6612" s="5">
        <v>10</v>
      </c>
      <c r="D6612" s="25">
        <v>1.1415000000000001E-4</v>
      </c>
      <c r="E6612" s="25">
        <v>1.1255E-4</v>
      </c>
      <c r="F6612" s="25">
        <v>1.0177E-4</v>
      </c>
      <c r="G6612" s="25">
        <v>1.6258000000000001E-4</v>
      </c>
      <c r="H6612" s="25">
        <v>2.0038E-4</v>
      </c>
      <c r="I6612" s="9">
        <v>9.3480000000000006E-5</v>
      </c>
      <c r="J6612" s="9">
        <v>9.3750000000000002E-5</v>
      </c>
      <c r="K6612" s="9">
        <v>5.9349999999999999E-5</v>
      </c>
      <c r="L6612" s="9">
        <v>1.0527E-4</v>
      </c>
      <c r="M6612" s="9">
        <v>8.4140000000000004E-5</v>
      </c>
      <c r="N6612" s="9">
        <v>9.1080000000000002E-5</v>
      </c>
      <c r="O6612" s="9">
        <v>2.1797E-4</v>
      </c>
      <c r="P6612" s="9">
        <v>1.7537E-4</v>
      </c>
      <c r="Q6612" s="9">
        <v>1.3548E-4</v>
      </c>
      <c r="R6612" s="10">
        <v>4.5501455415532661E-5</v>
      </c>
      <c r="S6612" s="10">
        <v>1.7381785312908654E-5</v>
      </c>
      <c r="T6612" s="10">
        <v>1.8919139120882801E-4</v>
      </c>
      <c r="U6612" s="10">
        <v>6.6649999999999994E-5</v>
      </c>
      <c r="V6612" s="25"/>
      <c r="W6612" s="25"/>
      <c r="X6612" s="25"/>
      <c r="Y6612" s="25"/>
      <c r="Z6612" s="25"/>
      <c r="AA6612" s="25"/>
    </row>
    <row r="6613" spans="1:27" x14ac:dyDescent="0.35">
      <c r="A6613" s="5">
        <v>6609</v>
      </c>
      <c r="B6613" s="5">
        <v>276</v>
      </c>
      <c r="C6613" s="5">
        <v>10</v>
      </c>
      <c r="D6613" s="25">
        <v>1.1416E-4</v>
      </c>
      <c r="E6613" s="25">
        <v>1.0933999999999999E-4</v>
      </c>
      <c r="F6613" s="25">
        <v>9.8170000000000004E-5</v>
      </c>
      <c r="G6613" s="25">
        <v>1.6463E-4</v>
      </c>
      <c r="H6613" s="25">
        <v>1.9895000000000001E-4</v>
      </c>
      <c r="I6613" s="9">
        <v>1.0052000000000001E-4</v>
      </c>
      <c r="J6613" s="9">
        <v>9.8629999999999996E-5</v>
      </c>
      <c r="K6613" s="9">
        <v>3.18E-5</v>
      </c>
      <c r="L6613" s="9">
        <v>1.9139E-4</v>
      </c>
      <c r="M6613" s="9">
        <v>1.2320000000000001E-4</v>
      </c>
      <c r="N6613" s="9">
        <v>1.0454E-4</v>
      </c>
      <c r="O6613" s="9">
        <v>2.1039999999999999E-4</v>
      </c>
      <c r="P6613" s="9">
        <v>1.92E-4</v>
      </c>
      <c r="Q6613" s="9">
        <v>1.7584E-4</v>
      </c>
      <c r="R6613" s="10">
        <v>3.7856692812575055E-5</v>
      </c>
      <c r="S6613" s="10">
        <v>2.3629846528632142E-5</v>
      </c>
      <c r="T6613" s="10">
        <v>3.3612248735459608E-4</v>
      </c>
      <c r="U6613" s="10">
        <v>6.6649999999999994E-5</v>
      </c>
      <c r="V6613" s="25"/>
      <c r="W6613" s="25"/>
      <c r="X6613" s="25"/>
      <c r="Y6613" s="25"/>
      <c r="Z6613" s="25"/>
      <c r="AA6613" s="25"/>
    </row>
    <row r="6614" spans="1:27" x14ac:dyDescent="0.35">
      <c r="A6614" s="5">
        <v>6610</v>
      </c>
      <c r="B6614" s="5">
        <v>276</v>
      </c>
      <c r="C6614" s="5">
        <v>10</v>
      </c>
      <c r="D6614" s="25">
        <v>1.1415000000000001E-4</v>
      </c>
      <c r="E6614" s="25">
        <v>1.0882000000000001E-4</v>
      </c>
      <c r="F6614" s="25">
        <v>1.1086000000000001E-4</v>
      </c>
      <c r="G6614" s="25">
        <v>1.6723000000000001E-4</v>
      </c>
      <c r="H6614" s="25">
        <v>1.9662999999999999E-4</v>
      </c>
      <c r="I6614" s="9">
        <v>1.0498E-4</v>
      </c>
      <c r="J6614" s="9">
        <v>1.0137999999999999E-4</v>
      </c>
      <c r="K6614" s="9">
        <v>4.2400000000000001E-6</v>
      </c>
      <c r="L6614" s="9">
        <v>2.0395999999999999E-4</v>
      </c>
      <c r="M6614" s="9">
        <v>1.5783999999999999E-4</v>
      </c>
      <c r="N6614" s="9">
        <v>1.2433E-4</v>
      </c>
      <c r="O6614" s="9">
        <v>1.6835E-4</v>
      </c>
      <c r="P6614" s="9">
        <v>1.7505E-4</v>
      </c>
      <c r="Q6614" s="9">
        <v>1.8310000000000001E-4</v>
      </c>
      <c r="R6614" s="10">
        <v>1.7895021880243396E-5</v>
      </c>
      <c r="S6614" s="10">
        <v>2.7293037240393967E-5</v>
      </c>
      <c r="T6614" s="10">
        <v>4.1801294468217168E-4</v>
      </c>
      <c r="U6614" s="10">
        <v>6.6649999999999994E-5</v>
      </c>
      <c r="V6614" s="25"/>
      <c r="W6614" s="25"/>
      <c r="X6614" s="25"/>
      <c r="Y6614" s="25"/>
      <c r="Z6614" s="25"/>
      <c r="AA6614" s="25"/>
    </row>
    <row r="6615" spans="1:27" x14ac:dyDescent="0.35">
      <c r="A6615" s="5">
        <v>6611</v>
      </c>
      <c r="B6615" s="5">
        <v>276</v>
      </c>
      <c r="C6615" s="5">
        <v>10</v>
      </c>
      <c r="D6615" s="25">
        <v>1.1416E-4</v>
      </c>
      <c r="E6615" s="25">
        <v>1.128E-4</v>
      </c>
      <c r="F6615" s="25">
        <v>1.1009E-4</v>
      </c>
      <c r="G6615" s="25">
        <v>1.6356000000000001E-4</v>
      </c>
      <c r="H6615" s="25">
        <v>2.0127E-4</v>
      </c>
      <c r="I6615" s="9">
        <v>1.0781999999999999E-4</v>
      </c>
      <c r="J6615" s="9">
        <v>1.0344999999999999E-4</v>
      </c>
      <c r="K6615" s="9">
        <v>0</v>
      </c>
      <c r="L6615" s="9">
        <v>1.7626E-4</v>
      </c>
      <c r="M6615" s="9">
        <v>1.7206E-4</v>
      </c>
      <c r="N6615" s="9">
        <v>1.4263000000000001E-4</v>
      </c>
      <c r="O6615" s="9">
        <v>1.6723000000000001E-4</v>
      </c>
      <c r="P6615" s="9">
        <v>1.7254E-4</v>
      </c>
      <c r="Q6615" s="9">
        <v>1.7920999999999999E-4</v>
      </c>
      <c r="R6615" s="10">
        <v>7.2124781777795159E-6</v>
      </c>
      <c r="S6615" s="10">
        <v>2.544563225041368E-5</v>
      </c>
      <c r="T6615" s="10">
        <v>3.2837632204791597E-4</v>
      </c>
      <c r="U6615" s="10">
        <v>6.6649999999999994E-5</v>
      </c>
      <c r="V6615" s="25"/>
      <c r="W6615" s="25"/>
      <c r="X6615" s="25"/>
      <c r="Y6615" s="25"/>
      <c r="Z6615" s="25"/>
      <c r="AA6615" s="25"/>
    </row>
    <row r="6616" spans="1:27" x14ac:dyDescent="0.35">
      <c r="A6616" s="5">
        <v>6612</v>
      </c>
      <c r="B6616" s="5">
        <v>276</v>
      </c>
      <c r="C6616" s="5">
        <v>10</v>
      </c>
      <c r="D6616" s="25">
        <v>1.1415000000000001E-4</v>
      </c>
      <c r="E6616" s="25">
        <v>1.0813E-4</v>
      </c>
      <c r="F6616" s="25">
        <v>1.033E-4</v>
      </c>
      <c r="G6616" s="25">
        <v>1.6639000000000001E-4</v>
      </c>
      <c r="H6616" s="25">
        <v>1.8963000000000001E-4</v>
      </c>
      <c r="I6616" s="9">
        <v>1.0771E-4</v>
      </c>
      <c r="J6616" s="9">
        <v>1.0545E-4</v>
      </c>
      <c r="K6616" s="9">
        <v>0</v>
      </c>
      <c r="L6616" s="9">
        <v>1.7056999999999999E-4</v>
      </c>
      <c r="M6616" s="9">
        <v>1.7471000000000001E-4</v>
      </c>
      <c r="N6616" s="9">
        <v>1.5663E-4</v>
      </c>
      <c r="O6616" s="9">
        <v>1.6998999999999999E-4</v>
      </c>
      <c r="P6616" s="9">
        <v>1.7119999999999999E-4</v>
      </c>
      <c r="Q6616" s="9">
        <v>1.7385999999999999E-4</v>
      </c>
      <c r="R6616" s="10">
        <v>4.3308369110370499E-6</v>
      </c>
      <c r="S6616" s="10">
        <v>2.0660302901035609E-5</v>
      </c>
      <c r="T6616" s="10">
        <v>9.5643506574156597E-5</v>
      </c>
      <c r="U6616" s="10">
        <v>6.6649999999999994E-5</v>
      </c>
      <c r="V6616" s="25"/>
      <c r="W6616" s="25"/>
      <c r="X6616" s="25"/>
      <c r="Y6616" s="25"/>
      <c r="Z6616" s="25"/>
      <c r="AA6616" s="25"/>
    </row>
    <row r="6617" spans="1:27" x14ac:dyDescent="0.35">
      <c r="A6617" s="5">
        <v>6613</v>
      </c>
      <c r="B6617" s="5">
        <v>276</v>
      </c>
      <c r="C6617" s="5">
        <v>10</v>
      </c>
      <c r="D6617" s="25">
        <v>1.1416E-4</v>
      </c>
      <c r="E6617" s="25">
        <v>1.1122E-4</v>
      </c>
      <c r="F6617" s="25">
        <v>9.9320000000000005E-5</v>
      </c>
      <c r="G6617" s="25">
        <v>1.6315000000000001E-4</v>
      </c>
      <c r="H6617" s="25">
        <v>1.9754000000000001E-4</v>
      </c>
      <c r="I6617" s="9">
        <v>1.0485E-4</v>
      </c>
      <c r="J6617" s="9">
        <v>1.0559E-4</v>
      </c>
      <c r="K6617" s="9">
        <v>0</v>
      </c>
      <c r="L6617" s="9">
        <v>1.7029999999999999E-4</v>
      </c>
      <c r="M6617" s="9">
        <v>1.7363E-4</v>
      </c>
      <c r="N6617" s="9">
        <v>1.6603000000000001E-4</v>
      </c>
      <c r="O6617" s="9">
        <v>1.6090000000000001E-4</v>
      </c>
      <c r="P6617" s="9">
        <v>1.6292999999999999E-4</v>
      </c>
      <c r="Q6617" s="9">
        <v>1.663E-4</v>
      </c>
      <c r="R6617" s="10">
        <v>2.6826057962682479E-6</v>
      </c>
      <c r="S6617" s="10">
        <v>2.0292186235634873E-5</v>
      </c>
      <c r="T6617" s="10">
        <v>3.8181892365446365E-4</v>
      </c>
      <c r="U6617" s="10">
        <v>6.6649999999999994E-5</v>
      </c>
      <c r="V6617" s="25"/>
      <c r="W6617" s="25"/>
      <c r="X6617" s="25"/>
      <c r="Y6617" s="25"/>
      <c r="Z6617" s="25"/>
      <c r="AA6617" s="25"/>
    </row>
    <row r="6618" spans="1:27" x14ac:dyDescent="0.35">
      <c r="A6618" s="5">
        <v>6614</v>
      </c>
      <c r="B6618" s="5">
        <v>276</v>
      </c>
      <c r="C6618" s="5">
        <v>10</v>
      </c>
      <c r="D6618" s="25">
        <v>1.1415000000000001E-4</v>
      </c>
      <c r="E6618" s="25">
        <v>1.0687E-4</v>
      </c>
      <c r="F6618" s="25">
        <v>1.0001E-4</v>
      </c>
      <c r="G6618" s="25">
        <v>1.6536E-4</v>
      </c>
      <c r="H6618" s="25">
        <v>1.9144999999999999E-4</v>
      </c>
      <c r="I6618" s="9">
        <v>1.0357999999999999E-4</v>
      </c>
      <c r="J6618" s="9">
        <v>1.0525E-4</v>
      </c>
      <c r="K6618" s="9">
        <v>0</v>
      </c>
      <c r="L6618" s="9">
        <v>1.6273000000000001E-4</v>
      </c>
      <c r="M6618" s="9">
        <v>1.6945E-4</v>
      </c>
      <c r="N6618" s="9">
        <v>1.7014999999999999E-4</v>
      </c>
      <c r="O6618" s="9">
        <v>1.784E-4</v>
      </c>
      <c r="P6618" s="9">
        <v>1.6865000000000001E-4</v>
      </c>
      <c r="Q6618" s="9">
        <v>1.6063000000000001E-4</v>
      </c>
      <c r="R6618" s="10">
        <v>1.2608524707328589E-6</v>
      </c>
      <c r="S6618" s="10">
        <v>1.7111694265576729E-5</v>
      </c>
      <c r="T6618" s="10">
        <v>5.2242921678437564E-4</v>
      </c>
      <c r="U6618" s="10">
        <v>6.6649999999999994E-5</v>
      </c>
      <c r="V6618" s="25"/>
      <c r="W6618" s="25"/>
      <c r="X6618" s="25"/>
      <c r="Y6618" s="25"/>
      <c r="Z6618" s="25"/>
      <c r="AA6618" s="25"/>
    </row>
    <row r="6619" spans="1:27" x14ac:dyDescent="0.35">
      <c r="A6619" s="5">
        <v>6615</v>
      </c>
      <c r="B6619" s="5">
        <v>276</v>
      </c>
      <c r="C6619" s="5">
        <v>10</v>
      </c>
      <c r="D6619" s="25">
        <v>1.1416E-4</v>
      </c>
      <c r="E6619" s="25">
        <v>1.0938E-4</v>
      </c>
      <c r="F6619" s="25">
        <v>1.141E-4</v>
      </c>
      <c r="G6619" s="25">
        <v>1.5766E-4</v>
      </c>
      <c r="H6619" s="25">
        <v>1.8937000000000001E-4</v>
      </c>
      <c r="I6619" s="9">
        <v>1.002E-4</v>
      </c>
      <c r="J6619" s="9">
        <v>1.0545E-4</v>
      </c>
      <c r="K6619" s="9">
        <v>0</v>
      </c>
      <c r="L6619" s="9">
        <v>1.7513000000000001E-4</v>
      </c>
      <c r="M6619" s="9">
        <v>1.6798E-4</v>
      </c>
      <c r="N6619" s="9">
        <v>1.6969000000000001E-4</v>
      </c>
      <c r="O6619" s="9">
        <v>1.8301E-4</v>
      </c>
      <c r="P6619" s="9">
        <v>1.6648999999999999E-4</v>
      </c>
      <c r="Q6619" s="9">
        <v>1.5186E-4</v>
      </c>
      <c r="R6619" s="10">
        <v>8.6982889774208284E-7</v>
      </c>
      <c r="S6619" s="10">
        <v>1.4695052621211087E-5</v>
      </c>
      <c r="T6619" s="10">
        <v>3.2716306724084559E-4</v>
      </c>
      <c r="U6619" s="10">
        <v>6.6649999999999994E-5</v>
      </c>
      <c r="V6619" s="25"/>
      <c r="W6619" s="25"/>
      <c r="X6619" s="25"/>
      <c r="Y6619" s="25"/>
      <c r="Z6619" s="25"/>
      <c r="AA6619" s="25"/>
    </row>
    <row r="6620" spans="1:27" x14ac:dyDescent="0.35">
      <c r="A6620" s="5">
        <v>6616</v>
      </c>
      <c r="B6620" s="5">
        <v>276</v>
      </c>
      <c r="C6620" s="5">
        <v>10</v>
      </c>
      <c r="D6620" s="25">
        <v>1.1415000000000001E-4</v>
      </c>
      <c r="E6620" s="25">
        <v>1.0972E-4</v>
      </c>
      <c r="F6620" s="25">
        <v>1.0043E-4</v>
      </c>
      <c r="G6620" s="25">
        <v>1.5627999999999999E-4</v>
      </c>
      <c r="H6620" s="25">
        <v>1.8788999999999999E-4</v>
      </c>
      <c r="I6620" s="9">
        <v>1.0202E-4</v>
      </c>
      <c r="J6620" s="9">
        <v>1.064E-4</v>
      </c>
      <c r="K6620" s="9">
        <v>0</v>
      </c>
      <c r="L6620" s="9">
        <v>1.8095000000000001E-4</v>
      </c>
      <c r="M6620" s="9">
        <v>1.6716999999999999E-4</v>
      </c>
      <c r="N6620" s="9">
        <v>1.6568E-4</v>
      </c>
      <c r="O6620" s="9">
        <v>1.9887999999999999E-4</v>
      </c>
      <c r="P6620" s="9">
        <v>1.5339999999999999E-4</v>
      </c>
      <c r="Q6620" s="9">
        <v>1.1044000000000001E-4</v>
      </c>
      <c r="R6620" s="10">
        <v>5.917858461910613E-7</v>
      </c>
      <c r="S6620" s="10">
        <v>1.2284706306188767E-5</v>
      </c>
      <c r="T6620" s="10">
        <v>1.56094139443922E-4</v>
      </c>
      <c r="U6620" s="10">
        <v>6.6649999999999994E-5</v>
      </c>
      <c r="V6620" s="25"/>
      <c r="W6620" s="25"/>
      <c r="X6620" s="25"/>
      <c r="Y6620" s="25"/>
      <c r="Z6620" s="25"/>
      <c r="AA6620" s="25"/>
    </row>
    <row r="6621" spans="1:27" x14ac:dyDescent="0.35">
      <c r="A6621" s="5">
        <v>6617</v>
      </c>
      <c r="B6621" s="5">
        <v>276</v>
      </c>
      <c r="C6621" s="5">
        <v>10</v>
      </c>
      <c r="D6621" s="25">
        <v>1.1416E-4</v>
      </c>
      <c r="E6621" s="25">
        <v>1.1109E-4</v>
      </c>
      <c r="F6621" s="25">
        <v>1.0448E-4</v>
      </c>
      <c r="G6621" s="25">
        <v>1.6566000000000001E-4</v>
      </c>
      <c r="H6621" s="25">
        <v>1.9631999999999999E-4</v>
      </c>
      <c r="I6621" s="9">
        <v>1.0386E-4</v>
      </c>
      <c r="J6621" s="9">
        <v>1.1081E-4</v>
      </c>
      <c r="K6621" s="9">
        <v>2.968E-5</v>
      </c>
      <c r="L6621" s="9">
        <v>1.9472000000000001E-4</v>
      </c>
      <c r="M6621" s="9">
        <v>1.6210000000000001E-4</v>
      </c>
      <c r="N6621" s="9">
        <v>1.5218E-4</v>
      </c>
      <c r="O6621" s="9">
        <v>2.1617000000000001E-4</v>
      </c>
      <c r="P6621" s="9">
        <v>1.6069000000000001E-4</v>
      </c>
      <c r="Q6621" s="9">
        <v>1.0808E-4</v>
      </c>
      <c r="R6621" s="10">
        <v>1.5572960634304551E-6</v>
      </c>
      <c r="S6621" s="10">
        <v>1.1290829413604694E-5</v>
      </c>
      <c r="T6621" s="10">
        <v>8.4283029744315754E-5</v>
      </c>
      <c r="U6621" s="10">
        <v>6.6649999999999994E-5</v>
      </c>
      <c r="V6621" s="25"/>
      <c r="W6621" s="25"/>
      <c r="X6621" s="25"/>
      <c r="Y6621" s="25"/>
      <c r="Z6621" s="25"/>
      <c r="AA6621" s="25"/>
    </row>
    <row r="6622" spans="1:27" x14ac:dyDescent="0.35">
      <c r="A6622" s="5">
        <v>6618</v>
      </c>
      <c r="B6622" s="5">
        <v>276</v>
      </c>
      <c r="C6622" s="5">
        <v>10</v>
      </c>
      <c r="D6622" s="25">
        <v>1.1415000000000001E-4</v>
      </c>
      <c r="E6622" s="25">
        <v>1.0454E-4</v>
      </c>
      <c r="F6622" s="25">
        <v>1.1459999999999999E-4</v>
      </c>
      <c r="G6622" s="25">
        <v>1.6422E-4</v>
      </c>
      <c r="H6622" s="25">
        <v>1.8953000000000001E-4</v>
      </c>
      <c r="I6622" s="9">
        <v>1.0527E-4</v>
      </c>
      <c r="J6622" s="9">
        <v>1.1239999999999999E-4</v>
      </c>
      <c r="K6622" s="9">
        <v>7.6299999999999998E-5</v>
      </c>
      <c r="L6622" s="9">
        <v>2.1116E-4</v>
      </c>
      <c r="M6622" s="9">
        <v>1.6019E-4</v>
      </c>
      <c r="N6622" s="9">
        <v>1.3912000000000001E-4</v>
      </c>
      <c r="O6622" s="9">
        <v>2.0617000000000001E-4</v>
      </c>
      <c r="P6622" s="9">
        <v>1.6075E-4</v>
      </c>
      <c r="Q6622" s="9">
        <v>1.1794E-4</v>
      </c>
      <c r="R6622" s="10">
        <v>4.3219969022848032E-6</v>
      </c>
      <c r="S6622" s="10">
        <v>9.147838658037367E-6</v>
      </c>
      <c r="T6622" s="10">
        <v>0</v>
      </c>
      <c r="U6622" s="10">
        <v>6.6649999999999994E-5</v>
      </c>
      <c r="V6622" s="25"/>
      <c r="W6622" s="25"/>
      <c r="X6622" s="25"/>
      <c r="Y6622" s="25"/>
      <c r="Z6622" s="25"/>
      <c r="AA6622" s="25"/>
    </row>
    <row r="6623" spans="1:27" x14ac:dyDescent="0.35">
      <c r="A6623" s="5">
        <v>6619</v>
      </c>
      <c r="B6623" s="5">
        <v>276</v>
      </c>
      <c r="C6623" s="5">
        <v>10</v>
      </c>
      <c r="D6623" s="25">
        <v>1.1416E-4</v>
      </c>
      <c r="E6623" s="25">
        <v>1.1051E-4</v>
      </c>
      <c r="F6623" s="25">
        <v>9.8659999999999994E-5</v>
      </c>
      <c r="G6623" s="25">
        <v>1.0517E-4</v>
      </c>
      <c r="H6623" s="25">
        <v>1.3454E-4</v>
      </c>
      <c r="I6623" s="9">
        <v>1.1004E-4</v>
      </c>
      <c r="J6623" s="9">
        <v>1.1546E-4</v>
      </c>
      <c r="K6623" s="9">
        <v>9.1130000000000003E-5</v>
      </c>
      <c r="L6623" s="9">
        <v>2.0683999999999999E-4</v>
      </c>
      <c r="M6623" s="9">
        <v>1.6004999999999999E-4</v>
      </c>
      <c r="N6623" s="9">
        <v>1.3019E-4</v>
      </c>
      <c r="O6623" s="9">
        <v>1.6548999999999999E-4</v>
      </c>
      <c r="P6623" s="9">
        <v>1.3562000000000001E-4</v>
      </c>
      <c r="Q6623" s="9">
        <v>1.0764000000000001E-4</v>
      </c>
      <c r="R6623" s="10">
        <v>8.1081675290679134E-6</v>
      </c>
      <c r="S6623" s="10">
        <v>6.7522213017469615E-6</v>
      </c>
      <c r="T6623" s="10">
        <v>0</v>
      </c>
      <c r="U6623" s="10">
        <v>6.6649999999999994E-5</v>
      </c>
      <c r="V6623" s="25"/>
      <c r="W6623" s="25"/>
      <c r="X6623" s="25"/>
      <c r="Y6623" s="25"/>
      <c r="Z6623" s="25"/>
      <c r="AA6623" s="25"/>
    </row>
    <row r="6624" spans="1:27" x14ac:dyDescent="0.35">
      <c r="A6624" s="5">
        <v>6620</v>
      </c>
      <c r="B6624" s="5">
        <v>276</v>
      </c>
      <c r="C6624" s="5">
        <v>10</v>
      </c>
      <c r="D6624" s="25">
        <v>1.1415000000000001E-4</v>
      </c>
      <c r="E6624" s="25">
        <v>1.0898E-4</v>
      </c>
      <c r="F6624" s="25">
        <v>1.0738000000000001E-4</v>
      </c>
      <c r="G6624" s="25">
        <v>1.0454999999999999E-4</v>
      </c>
      <c r="H6624" s="25">
        <v>1.3097E-4</v>
      </c>
      <c r="I6624" s="9">
        <v>1.1184E-4</v>
      </c>
      <c r="J6624" s="9">
        <v>1.1489000000000001E-4</v>
      </c>
      <c r="K6624" s="9">
        <v>1.0809E-4</v>
      </c>
      <c r="L6624" s="9">
        <v>1.7479999999999999E-4</v>
      </c>
      <c r="M6624" s="9">
        <v>1.5135999999999999E-4</v>
      </c>
      <c r="N6624" s="9">
        <v>1.2124E-4</v>
      </c>
      <c r="O6624" s="9">
        <v>1.2854000000000001E-4</v>
      </c>
      <c r="P6624" s="9">
        <v>1.144E-4</v>
      </c>
      <c r="Q6624" s="9">
        <v>1.0148E-4</v>
      </c>
      <c r="R6624" s="10">
        <v>1.0411291802492777E-5</v>
      </c>
      <c r="S6624" s="10">
        <v>4.1179070205417077E-6</v>
      </c>
      <c r="T6624" s="10">
        <v>0</v>
      </c>
      <c r="U6624" s="10">
        <v>6.6649999999999994E-5</v>
      </c>
      <c r="V6624" s="25"/>
      <c r="W6624" s="25"/>
      <c r="X6624" s="25"/>
      <c r="Y6624" s="25"/>
      <c r="Z6624" s="25"/>
      <c r="AA6624" s="25"/>
    </row>
    <row r="6625" spans="1:27" x14ac:dyDescent="0.35">
      <c r="A6625" s="5">
        <v>6621</v>
      </c>
      <c r="B6625" s="5">
        <v>276</v>
      </c>
      <c r="C6625" s="5">
        <v>10</v>
      </c>
      <c r="D6625" s="25">
        <v>1.1416E-4</v>
      </c>
      <c r="E6625" s="25">
        <v>1.0919E-4</v>
      </c>
      <c r="F6625" s="25">
        <v>9.9209999999999994E-5</v>
      </c>
      <c r="G6625" s="25">
        <v>5.4880000000000003E-5</v>
      </c>
      <c r="H6625" s="25">
        <v>7.3529999999999996E-5</v>
      </c>
      <c r="I6625" s="9">
        <v>1.0648E-4</v>
      </c>
      <c r="J6625" s="9">
        <v>1.0971E-4</v>
      </c>
      <c r="K6625" s="9">
        <v>1.1656E-4</v>
      </c>
      <c r="L6625" s="9">
        <v>1.3972E-4</v>
      </c>
      <c r="M6625" s="9">
        <v>1.3559999999999999E-4</v>
      </c>
      <c r="N6625" s="9">
        <v>1.1348E-4</v>
      </c>
      <c r="O6625" s="9">
        <v>8.3969999999999997E-5</v>
      </c>
      <c r="P6625" s="9">
        <v>8.5480000000000002E-5</v>
      </c>
      <c r="Q6625" s="9">
        <v>8.7460000000000006E-5</v>
      </c>
      <c r="R6625" s="10">
        <v>1.3542644206104988E-5</v>
      </c>
      <c r="S6625" s="10">
        <v>3.4776595805411538E-6</v>
      </c>
      <c r="T6625" s="10">
        <v>0</v>
      </c>
      <c r="U6625" s="10">
        <v>6.6649999999999994E-5</v>
      </c>
      <c r="V6625" s="25"/>
      <c r="W6625" s="25"/>
      <c r="X6625" s="25"/>
      <c r="Y6625" s="25"/>
      <c r="Z6625" s="25"/>
      <c r="AA6625" s="25"/>
    </row>
    <row r="6626" spans="1:27" x14ac:dyDescent="0.35">
      <c r="A6626" s="5">
        <v>6622</v>
      </c>
      <c r="B6626" s="5">
        <v>276</v>
      </c>
      <c r="C6626" s="5">
        <v>10</v>
      </c>
      <c r="D6626" s="25">
        <v>1.1415000000000001E-4</v>
      </c>
      <c r="E6626" s="25">
        <v>1.1054E-4</v>
      </c>
      <c r="F6626" s="25">
        <v>1.1109E-4</v>
      </c>
      <c r="G6626" s="25">
        <v>5.2660000000000001E-5</v>
      </c>
      <c r="H6626" s="25">
        <v>6.9969999999999996E-5</v>
      </c>
      <c r="I6626" s="9">
        <v>1.0301E-4</v>
      </c>
      <c r="J6626" s="9">
        <v>1.0394E-4</v>
      </c>
      <c r="K6626" s="9">
        <v>1.1657E-4</v>
      </c>
      <c r="L6626" s="9">
        <v>9.7180000000000001E-5</v>
      </c>
      <c r="M6626" s="9">
        <v>1.1351E-4</v>
      </c>
      <c r="N6626" s="9">
        <v>1.0563E-4</v>
      </c>
      <c r="O6626" s="9">
        <v>8.7150000000000004E-5</v>
      </c>
      <c r="P6626" s="9">
        <v>8.7269999999999996E-5</v>
      </c>
      <c r="Q6626" s="9">
        <v>8.7910000000000004E-5</v>
      </c>
      <c r="R6626" s="10">
        <v>1.2351243437143694E-5</v>
      </c>
      <c r="S6626" s="10">
        <v>3.6880717123435796E-6</v>
      </c>
      <c r="T6626" s="10">
        <v>0</v>
      </c>
      <c r="U6626" s="10">
        <v>6.6649999999999994E-5</v>
      </c>
      <c r="V6626" s="25"/>
      <c r="W6626" s="25"/>
      <c r="X6626" s="25"/>
      <c r="Y6626" s="25"/>
      <c r="Z6626" s="25"/>
      <c r="AA6626" s="25"/>
    </row>
    <row r="6627" spans="1:27" x14ac:dyDescent="0.35">
      <c r="A6627" s="5">
        <v>6623</v>
      </c>
      <c r="B6627" s="5">
        <v>276</v>
      </c>
      <c r="C6627" s="5">
        <v>10</v>
      </c>
      <c r="D6627" s="25">
        <v>1.1416E-4</v>
      </c>
      <c r="E6627" s="25">
        <v>1.0732E-4</v>
      </c>
      <c r="F6627" s="25">
        <v>1.0216E-4</v>
      </c>
      <c r="G6627" s="25">
        <v>6.0989999999999997E-5</v>
      </c>
      <c r="H6627" s="25">
        <v>7.449E-5</v>
      </c>
      <c r="I6627" s="9">
        <v>9.7549999999999999E-5</v>
      </c>
      <c r="J6627" s="9">
        <v>9.6970000000000002E-5</v>
      </c>
      <c r="K6627" s="9">
        <v>1.0597E-4</v>
      </c>
      <c r="L6627" s="9">
        <v>9.0309999999999994E-5</v>
      </c>
      <c r="M6627" s="9">
        <v>9.8640000000000004E-5</v>
      </c>
      <c r="N6627" s="9">
        <v>9.9679999999999994E-5</v>
      </c>
      <c r="O6627" s="9">
        <v>7.8460000000000004E-5</v>
      </c>
      <c r="P6627" s="9">
        <v>7.2659999999999999E-5</v>
      </c>
      <c r="Q6627" s="9">
        <v>6.737E-5</v>
      </c>
      <c r="R6627" s="10">
        <v>1.0721234252846131E-5</v>
      </c>
      <c r="S6627" s="10">
        <v>3.242202553643033E-6</v>
      </c>
      <c r="T6627" s="10">
        <v>0</v>
      </c>
      <c r="U6627" s="10">
        <v>6.6649999999999994E-5</v>
      </c>
      <c r="V6627" s="25"/>
      <c r="W6627" s="25"/>
      <c r="X6627" s="25"/>
      <c r="Y6627" s="25"/>
      <c r="Z6627" s="25"/>
      <c r="AA6627" s="25"/>
    </row>
    <row r="6628" spans="1:27" x14ac:dyDescent="0.35">
      <c r="A6628" s="5">
        <v>6624</v>
      </c>
      <c r="B6628" s="5">
        <v>276</v>
      </c>
      <c r="C6628" s="5">
        <v>10</v>
      </c>
      <c r="D6628" s="25">
        <v>1.1415000000000001E-4</v>
      </c>
      <c r="E6628" s="25">
        <v>1.0507E-4</v>
      </c>
      <c r="F6628" s="25">
        <v>1.1102E-4</v>
      </c>
      <c r="G6628" s="25">
        <v>5.9589999999999997E-5</v>
      </c>
      <c r="H6628" s="25">
        <v>7.0519999999999996E-5</v>
      </c>
      <c r="I6628" s="9">
        <v>9.1959999999999994E-5</v>
      </c>
      <c r="J6628" s="9">
        <v>9.132E-5</v>
      </c>
      <c r="K6628" s="9">
        <v>1.1021E-4</v>
      </c>
      <c r="L6628" s="9">
        <v>8.1039999999999997E-5</v>
      </c>
      <c r="M6628" s="9">
        <v>8.6030000000000001E-5</v>
      </c>
      <c r="N6628" s="9">
        <v>9.0480000000000001E-5</v>
      </c>
      <c r="O6628" s="9">
        <v>6.2269999999999998E-5</v>
      </c>
      <c r="P6628" s="9">
        <v>6.0189999999999998E-5</v>
      </c>
      <c r="Q6628" s="9">
        <v>5.8390000000000002E-5</v>
      </c>
      <c r="R6628" s="10">
        <v>2.5998488204994613E-5</v>
      </c>
      <c r="S6628" s="10">
        <v>3.7723938563084913E-6</v>
      </c>
      <c r="T6628" s="10">
        <v>0</v>
      </c>
      <c r="U6628" s="10">
        <v>6.6649999999999994E-5</v>
      </c>
      <c r="V6628" s="25"/>
      <c r="W6628" s="25"/>
      <c r="X6628" s="25"/>
      <c r="Y6628" s="25"/>
      <c r="Z6628" s="25"/>
      <c r="AA6628" s="25"/>
    </row>
    <row r="6629" spans="1:27" x14ac:dyDescent="0.35">
      <c r="A6629" s="5">
        <v>6625</v>
      </c>
      <c r="B6629" s="5">
        <v>277</v>
      </c>
      <c r="C6629" s="5">
        <v>10</v>
      </c>
      <c r="D6629" s="25">
        <v>1.1416E-4</v>
      </c>
      <c r="E6629" s="25">
        <v>1.1073000000000001E-4</v>
      </c>
      <c r="F6629" s="25">
        <v>1.0556999999999999E-4</v>
      </c>
      <c r="G6629" s="25">
        <v>5.4799999999999997E-5</v>
      </c>
      <c r="H6629" s="25">
        <v>6.5300000000000002E-5</v>
      </c>
      <c r="I6629" s="9">
        <v>8.7960000000000005E-5</v>
      </c>
      <c r="J6629" s="9">
        <v>8.7670000000000006E-5</v>
      </c>
      <c r="K6629" s="9">
        <v>1.2292E-4</v>
      </c>
      <c r="L6629" s="9">
        <v>6.6379999999999998E-5</v>
      </c>
      <c r="M6629" s="9">
        <v>7.3850000000000006E-5</v>
      </c>
      <c r="N6629" s="9">
        <v>8.0950000000000003E-5</v>
      </c>
      <c r="O6629" s="9">
        <v>5.4079999999999997E-5</v>
      </c>
      <c r="P6629" s="9">
        <v>5.3499999999999999E-5</v>
      </c>
      <c r="Q6629" s="9">
        <v>5.308E-5</v>
      </c>
      <c r="R6629" s="10">
        <v>2.7297136040308006E-5</v>
      </c>
      <c r="S6629" s="10">
        <v>4.4368594968649979E-6</v>
      </c>
      <c r="T6629" s="10">
        <v>0</v>
      </c>
      <c r="U6629" s="10">
        <v>6.6210000000000005E-5</v>
      </c>
      <c r="V6629" s="25"/>
      <c r="W6629" s="25"/>
      <c r="X6629" s="25"/>
      <c r="Y6629" s="25"/>
      <c r="Z6629" s="25"/>
      <c r="AA6629" s="25"/>
    </row>
    <row r="6630" spans="1:27" x14ac:dyDescent="0.35">
      <c r="A6630" s="5">
        <v>6626</v>
      </c>
      <c r="B6630" s="5">
        <v>277</v>
      </c>
      <c r="C6630" s="5">
        <v>10</v>
      </c>
      <c r="D6630" s="25">
        <v>1.1415000000000001E-4</v>
      </c>
      <c r="E6630" s="25">
        <v>1.0874000000000001E-4</v>
      </c>
      <c r="F6630" s="25">
        <v>1.0808E-4</v>
      </c>
      <c r="G6630" s="25">
        <v>6.2050000000000004E-5</v>
      </c>
      <c r="H6630" s="25">
        <v>7.1760000000000004E-5</v>
      </c>
      <c r="I6630" s="9">
        <v>8.5320000000000003E-5</v>
      </c>
      <c r="J6630" s="9">
        <v>8.6730000000000005E-5</v>
      </c>
      <c r="K6630" s="9">
        <v>1.2505E-4</v>
      </c>
      <c r="L6630" s="9">
        <v>5.719E-5</v>
      </c>
      <c r="M6630" s="9">
        <v>6.3620000000000004E-5</v>
      </c>
      <c r="N6630" s="9">
        <v>7.1799999999999997E-5</v>
      </c>
      <c r="O6630" s="9">
        <v>1.8709999999999999E-5</v>
      </c>
      <c r="P6630" s="9">
        <v>3.765E-5</v>
      </c>
      <c r="Q6630" s="9">
        <v>5.6029999999999997E-5</v>
      </c>
      <c r="R6630" s="10">
        <v>2.3280691245908292E-5</v>
      </c>
      <c r="S6630" s="10">
        <v>5.250448562226192E-6</v>
      </c>
      <c r="T6630" s="10">
        <v>0</v>
      </c>
      <c r="U6630" s="10">
        <v>6.6210000000000005E-5</v>
      </c>
      <c r="V6630" s="25"/>
      <c r="W6630" s="25"/>
      <c r="X6630" s="25"/>
      <c r="Y6630" s="25"/>
      <c r="Z6630" s="25"/>
      <c r="AA6630" s="25"/>
    </row>
    <row r="6631" spans="1:27" x14ac:dyDescent="0.35">
      <c r="A6631" s="5">
        <v>6627</v>
      </c>
      <c r="B6631" s="5">
        <v>277</v>
      </c>
      <c r="C6631" s="5">
        <v>10</v>
      </c>
      <c r="D6631" s="25">
        <v>1.1416E-4</v>
      </c>
      <c r="E6631" s="25">
        <v>1.1407E-4</v>
      </c>
      <c r="F6631" s="25">
        <v>1.0144E-4</v>
      </c>
      <c r="G6631" s="25">
        <v>5.834E-5</v>
      </c>
      <c r="H6631" s="25">
        <v>7.4640000000000004E-5</v>
      </c>
      <c r="I6631" s="9">
        <v>8.4930000000000002E-5</v>
      </c>
      <c r="J6631" s="9">
        <v>8.6489999999999994E-5</v>
      </c>
      <c r="K6631" s="9">
        <v>1.3352000000000001E-4</v>
      </c>
      <c r="L6631" s="9">
        <v>2.739E-5</v>
      </c>
      <c r="M6631" s="9">
        <v>5.1929999999999999E-5</v>
      </c>
      <c r="N6631" s="9">
        <v>6.5270000000000004E-5</v>
      </c>
      <c r="O6631" s="9">
        <v>1.323E-5</v>
      </c>
      <c r="P6631" s="9">
        <v>3.7669999999999997E-5</v>
      </c>
      <c r="Q6631" s="9">
        <v>6.1400000000000002E-5</v>
      </c>
      <c r="R6631" s="10">
        <v>1.8365644732155282E-5</v>
      </c>
      <c r="S6631" s="10">
        <v>9.0926616835008076E-6</v>
      </c>
      <c r="T6631" s="10">
        <v>0</v>
      </c>
      <c r="U6631" s="10">
        <v>6.6210000000000005E-5</v>
      </c>
      <c r="V6631" s="25"/>
      <c r="W6631" s="25"/>
      <c r="X6631" s="25"/>
      <c r="Y6631" s="25"/>
      <c r="Z6631" s="25"/>
      <c r="AA6631" s="25"/>
    </row>
    <row r="6632" spans="1:27" x14ac:dyDescent="0.35">
      <c r="A6632" s="5">
        <v>6628</v>
      </c>
      <c r="B6632" s="5">
        <v>277</v>
      </c>
      <c r="C6632" s="5">
        <v>10</v>
      </c>
      <c r="D6632" s="25">
        <v>1.1415000000000001E-4</v>
      </c>
      <c r="E6632" s="25">
        <v>1.0726999999999999E-4</v>
      </c>
      <c r="F6632" s="25">
        <v>9.4240000000000006E-5</v>
      </c>
      <c r="G6632" s="25">
        <v>5.9870000000000001E-5</v>
      </c>
      <c r="H6632" s="25">
        <v>7.0099999999999996E-5</v>
      </c>
      <c r="I6632" s="9">
        <v>8.6450000000000001E-5</v>
      </c>
      <c r="J6632" s="9">
        <v>8.7479999999999996E-5</v>
      </c>
      <c r="K6632" s="9">
        <v>1.3987E-4</v>
      </c>
      <c r="L6632" s="9">
        <v>1.7079999999999999E-5</v>
      </c>
      <c r="M6632" s="9">
        <v>4.4020000000000002E-5</v>
      </c>
      <c r="N6632" s="9">
        <v>6.1699999999999995E-5</v>
      </c>
      <c r="O6632" s="9">
        <v>1.329E-5</v>
      </c>
      <c r="P6632" s="9">
        <v>4.7299999999999998E-5</v>
      </c>
      <c r="Q6632" s="9">
        <v>8.0439999999999996E-5</v>
      </c>
      <c r="R6632" s="10">
        <v>2.1282655848730007E-5</v>
      </c>
      <c r="S6632" s="10">
        <v>1.1348612540772398E-5</v>
      </c>
      <c r="T6632" s="10">
        <v>0</v>
      </c>
      <c r="U6632" s="10">
        <v>6.6210000000000005E-5</v>
      </c>
      <c r="V6632" s="25"/>
      <c r="W6632" s="25"/>
      <c r="X6632" s="25"/>
      <c r="Y6632" s="25"/>
      <c r="Z6632" s="25"/>
      <c r="AA6632" s="25"/>
    </row>
    <row r="6633" spans="1:27" x14ac:dyDescent="0.35">
      <c r="A6633" s="5">
        <v>6629</v>
      </c>
      <c r="B6633" s="5">
        <v>277</v>
      </c>
      <c r="C6633" s="5">
        <v>10</v>
      </c>
      <c r="D6633" s="25">
        <v>1.1416E-4</v>
      </c>
      <c r="E6633" s="25">
        <v>1.1202E-4</v>
      </c>
      <c r="F6633" s="25">
        <v>1.122E-4</v>
      </c>
      <c r="G6633" s="25">
        <v>5.5449999999999999E-5</v>
      </c>
      <c r="H6633" s="25">
        <v>7.6240000000000002E-5</v>
      </c>
      <c r="I6633" s="9">
        <v>9.3519999999999999E-5</v>
      </c>
      <c r="J6633" s="9">
        <v>9.1470000000000003E-5</v>
      </c>
      <c r="K6633" s="9">
        <v>1.4835E-4</v>
      </c>
      <c r="L6633" s="9">
        <v>1.437E-5</v>
      </c>
      <c r="M6633" s="9">
        <v>4.3420000000000001E-5</v>
      </c>
      <c r="N6633" s="9">
        <v>6.4289999999999996E-5</v>
      </c>
      <c r="O6633" s="9">
        <v>1.8810000000000001E-5</v>
      </c>
      <c r="P6633" s="9">
        <v>5.6780000000000002E-5</v>
      </c>
      <c r="Q6633" s="9">
        <v>9.3889999999999997E-5</v>
      </c>
      <c r="R6633" s="10">
        <v>2.5765525590726958E-5</v>
      </c>
      <c r="S6633" s="10">
        <v>1.2670241336348848E-5</v>
      </c>
      <c r="T6633" s="10">
        <v>0</v>
      </c>
      <c r="U6633" s="10">
        <v>6.6210000000000005E-5</v>
      </c>
      <c r="V6633" s="25"/>
      <c r="W6633" s="25"/>
      <c r="X6633" s="25"/>
      <c r="Y6633" s="25"/>
      <c r="Z6633" s="25"/>
      <c r="AA6633" s="25"/>
    </row>
    <row r="6634" spans="1:27" x14ac:dyDescent="0.35">
      <c r="A6634" s="5">
        <v>6630</v>
      </c>
      <c r="B6634" s="5">
        <v>277</v>
      </c>
      <c r="C6634" s="5">
        <v>10</v>
      </c>
      <c r="D6634" s="25">
        <v>1.1415000000000001E-4</v>
      </c>
      <c r="E6634" s="25">
        <v>1.1094000000000001E-4</v>
      </c>
      <c r="F6634" s="25">
        <v>9.221E-5</v>
      </c>
      <c r="G6634" s="25">
        <v>1.0874000000000001E-4</v>
      </c>
      <c r="H6634" s="25">
        <v>1.3658999999999999E-4</v>
      </c>
      <c r="I6634" s="9">
        <v>1.0839E-4</v>
      </c>
      <c r="J6634" s="9">
        <v>1.0415E-4</v>
      </c>
      <c r="K6634" s="9">
        <v>1.5048000000000001E-4</v>
      </c>
      <c r="L6634" s="9">
        <v>1.77E-5</v>
      </c>
      <c r="M6634" s="9">
        <v>4.8430000000000002E-5</v>
      </c>
      <c r="N6634" s="9">
        <v>7.0950000000000003E-5</v>
      </c>
      <c r="O6634" s="9">
        <v>4.5970000000000002E-5</v>
      </c>
      <c r="P6634" s="9">
        <v>7.6359999999999994E-5</v>
      </c>
      <c r="Q6634" s="9">
        <v>1.0632999999999999E-4</v>
      </c>
      <c r="R6634" s="10">
        <v>2.7290366197113639E-5</v>
      </c>
      <c r="S6634" s="10">
        <v>1.5718743852078106E-5</v>
      </c>
      <c r="T6634" s="10">
        <v>0</v>
      </c>
      <c r="U6634" s="10">
        <v>6.6210000000000005E-5</v>
      </c>
      <c r="V6634" s="25"/>
      <c r="W6634" s="25"/>
      <c r="X6634" s="25"/>
      <c r="Y6634" s="25"/>
      <c r="Z6634" s="25"/>
      <c r="AA6634" s="25"/>
    </row>
    <row r="6635" spans="1:27" x14ac:dyDescent="0.35">
      <c r="A6635" s="5">
        <v>6631</v>
      </c>
      <c r="B6635" s="5">
        <v>277</v>
      </c>
      <c r="C6635" s="5">
        <v>10</v>
      </c>
      <c r="D6635" s="25">
        <v>1.1416E-4</v>
      </c>
      <c r="E6635" s="25">
        <v>1.0841E-4</v>
      </c>
      <c r="F6635" s="25">
        <v>9.2590000000000006E-5</v>
      </c>
      <c r="G6635" s="25">
        <v>1.1344E-4</v>
      </c>
      <c r="H6635" s="25">
        <v>1.3579E-4</v>
      </c>
      <c r="I6635" s="9">
        <v>1.2074999999999999E-4</v>
      </c>
      <c r="J6635" s="9">
        <v>1.206E-4</v>
      </c>
      <c r="K6635" s="9">
        <v>1.2504000000000001E-4</v>
      </c>
      <c r="L6635" s="9">
        <v>3.9610000000000002E-5</v>
      </c>
      <c r="M6635" s="9">
        <v>5.9889999999999997E-5</v>
      </c>
      <c r="N6635" s="9">
        <v>8.0550000000000006E-5</v>
      </c>
      <c r="O6635" s="9">
        <v>1.2402999999999999E-4</v>
      </c>
      <c r="P6635" s="9">
        <v>1.1802E-4</v>
      </c>
      <c r="Q6635" s="9">
        <v>1.1305E-4</v>
      </c>
      <c r="R6635" s="10">
        <v>3.110097128075172E-5</v>
      </c>
      <c r="S6635" s="10">
        <v>1.5661317812128371E-5</v>
      </c>
      <c r="T6635" s="10">
        <v>2.1923429520768264E-5</v>
      </c>
      <c r="U6635" s="10">
        <v>6.6210000000000005E-5</v>
      </c>
      <c r="V6635" s="25"/>
      <c r="W6635" s="25"/>
      <c r="X6635" s="25"/>
      <c r="Y6635" s="25"/>
      <c r="Z6635" s="25"/>
      <c r="AA6635" s="25"/>
    </row>
    <row r="6636" spans="1:27" x14ac:dyDescent="0.35">
      <c r="A6636" s="5">
        <v>6632</v>
      </c>
      <c r="B6636" s="5">
        <v>277</v>
      </c>
      <c r="C6636" s="5">
        <v>10</v>
      </c>
      <c r="D6636" s="25">
        <v>1.1415000000000001E-4</v>
      </c>
      <c r="E6636" s="25">
        <v>1.128E-4</v>
      </c>
      <c r="F6636" s="25">
        <v>9.3270000000000007E-5</v>
      </c>
      <c r="G6636" s="25">
        <v>1.6636E-4</v>
      </c>
      <c r="H6636" s="25">
        <v>1.9861E-4</v>
      </c>
      <c r="I6636" s="9">
        <v>1.2451000000000001E-4</v>
      </c>
      <c r="J6636" s="9">
        <v>1.2899E-4</v>
      </c>
      <c r="K6636" s="9">
        <v>8.0530000000000003E-5</v>
      </c>
      <c r="L6636" s="9">
        <v>1.0484000000000001E-4</v>
      </c>
      <c r="M6636" s="9">
        <v>8.3770000000000006E-5</v>
      </c>
      <c r="N6636" s="9">
        <v>9.0820000000000001E-5</v>
      </c>
      <c r="O6636" s="9">
        <v>2.1795000000000001E-4</v>
      </c>
      <c r="P6636" s="9">
        <v>1.7535000000000001E-4</v>
      </c>
      <c r="Q6636" s="9">
        <v>1.3546000000000001E-4</v>
      </c>
      <c r="R6636" s="10">
        <v>3.1042319572032884E-5</v>
      </c>
      <c r="S6636" s="10">
        <v>1.1662110878340924E-5</v>
      </c>
      <c r="T6636" s="10">
        <v>2.2520724195018298E-4</v>
      </c>
      <c r="U6636" s="10">
        <v>6.6210000000000005E-5</v>
      </c>
      <c r="V6636" s="25"/>
      <c r="W6636" s="25"/>
      <c r="X6636" s="25"/>
      <c r="Y6636" s="25"/>
      <c r="Z6636" s="25"/>
      <c r="AA6636" s="25"/>
    </row>
    <row r="6637" spans="1:27" x14ac:dyDescent="0.35">
      <c r="A6637" s="5">
        <v>6633</v>
      </c>
      <c r="B6637" s="5">
        <v>277</v>
      </c>
      <c r="C6637" s="5">
        <v>10</v>
      </c>
      <c r="D6637" s="25">
        <v>1.1416E-4</v>
      </c>
      <c r="E6637" s="25">
        <v>1.1519E-4</v>
      </c>
      <c r="F6637" s="25">
        <v>1.0474E-4</v>
      </c>
      <c r="G6637" s="25">
        <v>1.5677000000000001E-4</v>
      </c>
      <c r="H6637" s="25">
        <v>1.9206E-4</v>
      </c>
      <c r="I6637" s="9">
        <v>1.2752E-4</v>
      </c>
      <c r="J6637" s="9">
        <v>1.3116000000000001E-4</v>
      </c>
      <c r="K6637" s="9">
        <v>4.2389999999999999E-5</v>
      </c>
      <c r="L6637" s="9">
        <v>1.9128E-4</v>
      </c>
      <c r="M6637" s="9">
        <v>1.2292E-4</v>
      </c>
      <c r="N6637" s="9">
        <v>1.0432E-4</v>
      </c>
      <c r="O6637" s="9">
        <v>2.1253E-4</v>
      </c>
      <c r="P6637" s="9">
        <v>1.9394E-4</v>
      </c>
      <c r="Q6637" s="9">
        <v>1.7762E-4</v>
      </c>
      <c r="R6637" s="10">
        <v>3.0663558443564836E-5</v>
      </c>
      <c r="S6637" s="10">
        <v>9.3590537440622364E-6</v>
      </c>
      <c r="T6637" s="10">
        <v>3.8419452747250358E-4</v>
      </c>
      <c r="U6637" s="10">
        <v>6.6210000000000005E-5</v>
      </c>
      <c r="V6637" s="25"/>
      <c r="W6637" s="25"/>
      <c r="X6637" s="25"/>
      <c r="Y6637" s="25"/>
      <c r="Z6637" s="25"/>
      <c r="AA6637" s="25"/>
    </row>
    <row r="6638" spans="1:27" x14ac:dyDescent="0.35">
      <c r="A6638" s="5">
        <v>6634</v>
      </c>
      <c r="B6638" s="5">
        <v>277</v>
      </c>
      <c r="C6638" s="5">
        <v>10</v>
      </c>
      <c r="D6638" s="25">
        <v>1.1415000000000001E-4</v>
      </c>
      <c r="E6638" s="25">
        <v>1.0825E-4</v>
      </c>
      <c r="F6638" s="25">
        <v>1.0054E-4</v>
      </c>
      <c r="G6638" s="25">
        <v>1.584E-4</v>
      </c>
      <c r="H6638" s="25">
        <v>1.9424000000000001E-4</v>
      </c>
      <c r="I6638" s="9">
        <v>1.2928000000000001E-4</v>
      </c>
      <c r="J6638" s="9">
        <v>1.2967999999999999E-4</v>
      </c>
      <c r="K6638" s="9">
        <v>2.12E-5</v>
      </c>
      <c r="L6638" s="9">
        <v>2.0557999999999999E-4</v>
      </c>
      <c r="M6638" s="9">
        <v>1.5839000000000001E-4</v>
      </c>
      <c r="N6638" s="9">
        <v>1.2451000000000001E-4</v>
      </c>
      <c r="O6638" s="9">
        <v>1.6771000000000001E-4</v>
      </c>
      <c r="P6638" s="9">
        <v>1.7437999999999999E-4</v>
      </c>
      <c r="Q6638" s="9">
        <v>1.8239999999999999E-4</v>
      </c>
      <c r="R6638" s="10">
        <v>2.4137377655127906E-5</v>
      </c>
      <c r="S6638" s="10">
        <v>9.8658446630104875E-6</v>
      </c>
      <c r="T6638" s="10">
        <v>5.1903549704431862E-4</v>
      </c>
      <c r="U6638" s="10">
        <v>6.6210000000000005E-5</v>
      </c>
      <c r="V6638" s="25"/>
      <c r="W6638" s="25"/>
      <c r="X6638" s="25"/>
      <c r="Y6638" s="25"/>
      <c r="Z6638" s="25"/>
      <c r="AA6638" s="25"/>
    </row>
    <row r="6639" spans="1:27" x14ac:dyDescent="0.35">
      <c r="A6639" s="5">
        <v>6635</v>
      </c>
      <c r="B6639" s="5">
        <v>277</v>
      </c>
      <c r="C6639" s="5">
        <v>10</v>
      </c>
      <c r="D6639" s="25">
        <v>1.1416E-4</v>
      </c>
      <c r="E6639" s="25">
        <v>1.0801E-4</v>
      </c>
      <c r="F6639" s="25">
        <v>1.0948E-4</v>
      </c>
      <c r="G6639" s="25">
        <v>1.6506999999999999E-4</v>
      </c>
      <c r="H6639" s="25">
        <v>1.9073000000000001E-4</v>
      </c>
      <c r="I6639" s="9">
        <v>1.3039E-4</v>
      </c>
      <c r="J6639" s="9">
        <v>1.2868999999999999E-4</v>
      </c>
      <c r="K6639" s="9">
        <v>4.2400000000000001E-6</v>
      </c>
      <c r="L6639" s="9">
        <v>1.7607000000000001E-4</v>
      </c>
      <c r="M6639" s="9">
        <v>1.7239999999999999E-4</v>
      </c>
      <c r="N6639" s="9">
        <v>1.4266999999999999E-4</v>
      </c>
      <c r="O6639" s="9">
        <v>1.6657999999999999E-4</v>
      </c>
      <c r="P6639" s="9">
        <v>1.7186E-4</v>
      </c>
      <c r="Q6639" s="9">
        <v>1.785E-4</v>
      </c>
      <c r="R6639" s="10">
        <v>1.2063496727127068E-5</v>
      </c>
      <c r="S6639" s="10">
        <v>1.009927434785168E-5</v>
      </c>
      <c r="T6639" s="10">
        <v>6.0717039869359905E-4</v>
      </c>
      <c r="U6639" s="10">
        <v>6.6210000000000005E-5</v>
      </c>
      <c r="V6639" s="25"/>
      <c r="W6639" s="25"/>
      <c r="X6639" s="25"/>
      <c r="Y6639" s="25"/>
      <c r="Z6639" s="25"/>
      <c r="AA6639" s="25"/>
    </row>
    <row r="6640" spans="1:27" x14ac:dyDescent="0.35">
      <c r="A6640" s="5">
        <v>6636</v>
      </c>
      <c r="B6640" s="5">
        <v>277</v>
      </c>
      <c r="C6640" s="5">
        <v>10</v>
      </c>
      <c r="D6640" s="25">
        <v>1.1415000000000001E-4</v>
      </c>
      <c r="E6640" s="25">
        <v>1.0979E-4</v>
      </c>
      <c r="F6640" s="25">
        <v>9.2800000000000006E-5</v>
      </c>
      <c r="G6640" s="25">
        <v>1.6304000000000001E-4</v>
      </c>
      <c r="H6640" s="25">
        <v>1.9152000000000001E-4</v>
      </c>
      <c r="I6640" s="9">
        <v>1.2693000000000001E-4</v>
      </c>
      <c r="J6640" s="9">
        <v>1.2661000000000001E-4</v>
      </c>
      <c r="K6640" s="9">
        <v>0</v>
      </c>
      <c r="L6640" s="9">
        <v>1.7007E-4</v>
      </c>
      <c r="M6640" s="9">
        <v>1.7459999999999999E-4</v>
      </c>
      <c r="N6640" s="9">
        <v>1.5656000000000001E-4</v>
      </c>
      <c r="O6640" s="9">
        <v>1.7023E-4</v>
      </c>
      <c r="P6640" s="9">
        <v>1.7144E-4</v>
      </c>
      <c r="Q6640" s="9">
        <v>1.7411E-4</v>
      </c>
      <c r="R6640" s="10">
        <v>1.5036628214641738E-5</v>
      </c>
      <c r="S6640" s="10">
        <v>1.3189737374802722E-5</v>
      </c>
      <c r="T6640" s="10">
        <v>6.6286133962793455E-4</v>
      </c>
      <c r="U6640" s="10">
        <v>6.6210000000000005E-5</v>
      </c>
      <c r="V6640" s="25"/>
      <c r="W6640" s="25"/>
      <c r="X6640" s="25"/>
      <c r="Y6640" s="25"/>
      <c r="Z6640" s="25"/>
      <c r="AA6640" s="25"/>
    </row>
    <row r="6641" spans="1:27" x14ac:dyDescent="0.35">
      <c r="A6641" s="5">
        <v>6637</v>
      </c>
      <c r="B6641" s="5">
        <v>277</v>
      </c>
      <c r="C6641" s="5">
        <v>10</v>
      </c>
      <c r="D6641" s="25">
        <v>1.1416E-4</v>
      </c>
      <c r="E6641" s="25">
        <v>1.1163999999999999E-4</v>
      </c>
      <c r="F6641" s="25">
        <v>1.0288E-4</v>
      </c>
      <c r="G6641" s="25">
        <v>1.5713000000000001E-4</v>
      </c>
      <c r="H6641" s="25">
        <v>1.9432999999999999E-4</v>
      </c>
      <c r="I6641" s="9">
        <v>1.2695999999999999E-4</v>
      </c>
      <c r="J6641" s="9">
        <v>1.2774999999999999E-4</v>
      </c>
      <c r="K6641" s="9">
        <v>0</v>
      </c>
      <c r="L6641" s="9">
        <v>1.7039999999999999E-4</v>
      </c>
      <c r="M6641" s="9">
        <v>1.7352000000000001E-4</v>
      </c>
      <c r="N6641" s="9">
        <v>1.6603000000000001E-4</v>
      </c>
      <c r="O6641" s="9">
        <v>1.6091E-4</v>
      </c>
      <c r="P6641" s="9">
        <v>1.6294000000000001E-4</v>
      </c>
      <c r="Q6641" s="9">
        <v>1.6631999999999999E-4</v>
      </c>
      <c r="R6641" s="10">
        <v>1.1655931801374628E-5</v>
      </c>
      <c r="S6641" s="10">
        <v>9.6021525987536191E-6</v>
      </c>
      <c r="T6641" s="10">
        <v>6.6300557271688708E-4</v>
      </c>
      <c r="U6641" s="10">
        <v>6.6210000000000005E-5</v>
      </c>
      <c r="V6641" s="25"/>
      <c r="W6641" s="25"/>
      <c r="X6641" s="25"/>
      <c r="Y6641" s="25"/>
      <c r="Z6641" s="25"/>
      <c r="AA6641" s="25"/>
    </row>
    <row r="6642" spans="1:27" x14ac:dyDescent="0.35">
      <c r="A6642" s="5">
        <v>6638</v>
      </c>
      <c r="B6642" s="5">
        <v>277</v>
      </c>
      <c r="C6642" s="5">
        <v>10</v>
      </c>
      <c r="D6642" s="25">
        <v>1.1415000000000001E-4</v>
      </c>
      <c r="E6642" s="25">
        <v>1.1136E-4</v>
      </c>
      <c r="F6642" s="25">
        <v>9.6119999999999995E-5</v>
      </c>
      <c r="G6642" s="25">
        <v>1.616E-4</v>
      </c>
      <c r="H6642" s="25">
        <v>1.9790000000000001E-4</v>
      </c>
      <c r="I6642" s="9">
        <v>1.2517999999999999E-4</v>
      </c>
      <c r="J6642" s="9">
        <v>1.281E-4</v>
      </c>
      <c r="K6642" s="9">
        <v>0</v>
      </c>
      <c r="L6642" s="9">
        <v>1.6273000000000001E-4</v>
      </c>
      <c r="M6642" s="9">
        <v>1.6940999999999999E-4</v>
      </c>
      <c r="N6642" s="9">
        <v>1.7014999999999999E-4</v>
      </c>
      <c r="O6642" s="9">
        <v>1.7982E-4</v>
      </c>
      <c r="P6642" s="9">
        <v>1.6998999999999999E-4</v>
      </c>
      <c r="Q6642" s="9">
        <v>1.6191E-4</v>
      </c>
      <c r="R6642" s="10">
        <v>1.2532952757200557E-5</v>
      </c>
      <c r="S6642" s="10">
        <v>8.1940556815324725E-6</v>
      </c>
      <c r="T6642" s="10">
        <v>5.8178537503797271E-4</v>
      </c>
      <c r="U6642" s="10">
        <v>6.6210000000000005E-5</v>
      </c>
      <c r="V6642" s="25"/>
      <c r="W6642" s="25"/>
      <c r="X6642" s="25"/>
      <c r="Y6642" s="25"/>
      <c r="Z6642" s="25"/>
      <c r="AA6642" s="25"/>
    </row>
    <row r="6643" spans="1:27" x14ac:dyDescent="0.35">
      <c r="A6643" s="5">
        <v>6639</v>
      </c>
      <c r="B6643" s="5">
        <v>277</v>
      </c>
      <c r="C6643" s="5">
        <v>10</v>
      </c>
      <c r="D6643" s="25">
        <v>1.1416E-4</v>
      </c>
      <c r="E6643" s="25">
        <v>1.1717E-4</v>
      </c>
      <c r="F6643" s="25">
        <v>9.8029999999999995E-5</v>
      </c>
      <c r="G6643" s="25">
        <v>1.6139E-4</v>
      </c>
      <c r="H6643" s="25">
        <v>2.0132E-4</v>
      </c>
      <c r="I6643" s="9">
        <v>1.237E-4</v>
      </c>
      <c r="J6643" s="9">
        <v>1.2852E-4</v>
      </c>
      <c r="K6643" s="9">
        <v>0</v>
      </c>
      <c r="L6643" s="9">
        <v>1.7624000000000001E-4</v>
      </c>
      <c r="M6643" s="9">
        <v>1.6846E-4</v>
      </c>
      <c r="N6643" s="9">
        <v>1.6992999999999999E-4</v>
      </c>
      <c r="O6643" s="9">
        <v>1.8243E-4</v>
      </c>
      <c r="P6643" s="9">
        <v>1.6595999999999999E-4</v>
      </c>
      <c r="Q6643" s="9">
        <v>1.5138E-4</v>
      </c>
      <c r="R6643" s="10">
        <v>1.6999638838569665E-5</v>
      </c>
      <c r="S6643" s="10">
        <v>8.5349690400891603E-6</v>
      </c>
      <c r="T6643" s="10">
        <v>4.6286095104702498E-4</v>
      </c>
      <c r="U6643" s="10">
        <v>6.6210000000000005E-5</v>
      </c>
      <c r="V6643" s="25"/>
      <c r="W6643" s="25"/>
      <c r="X6643" s="25"/>
      <c r="Y6643" s="25"/>
      <c r="Z6643" s="25"/>
      <c r="AA6643" s="25"/>
    </row>
    <row r="6644" spans="1:27" x14ac:dyDescent="0.35">
      <c r="A6644" s="5">
        <v>6640</v>
      </c>
      <c r="B6644" s="5">
        <v>277</v>
      </c>
      <c r="C6644" s="5">
        <v>10</v>
      </c>
      <c r="D6644" s="25">
        <v>1.1415000000000001E-4</v>
      </c>
      <c r="E6644" s="25">
        <v>1.0864E-4</v>
      </c>
      <c r="F6644" s="25">
        <v>1.089E-4</v>
      </c>
      <c r="G6644" s="25">
        <v>1.6458E-4</v>
      </c>
      <c r="H6644" s="25">
        <v>1.9864000000000001E-4</v>
      </c>
      <c r="I6644" s="9">
        <v>1.236E-4</v>
      </c>
      <c r="J6644" s="9">
        <v>1.2978999999999999E-4</v>
      </c>
      <c r="K6644" s="9">
        <v>0</v>
      </c>
      <c r="L6644" s="9">
        <v>1.8071999999999999E-4</v>
      </c>
      <c r="M6644" s="9">
        <v>1.6741999999999999E-4</v>
      </c>
      <c r="N6644" s="9">
        <v>1.6581000000000001E-4</v>
      </c>
      <c r="O6644" s="9">
        <v>1.9819E-4</v>
      </c>
      <c r="P6644" s="9">
        <v>1.5286999999999999E-4</v>
      </c>
      <c r="Q6644" s="9">
        <v>1.1006E-4</v>
      </c>
      <c r="R6644" s="10">
        <v>1.9727793448233605E-5</v>
      </c>
      <c r="S6644" s="10">
        <v>9.0337686441748691E-6</v>
      </c>
      <c r="T6644" s="10">
        <v>2.8905159456000542E-4</v>
      </c>
      <c r="U6644" s="10">
        <v>6.6210000000000005E-5</v>
      </c>
      <c r="V6644" s="25"/>
      <c r="W6644" s="25"/>
      <c r="X6644" s="25"/>
      <c r="Y6644" s="25"/>
      <c r="Z6644" s="25"/>
      <c r="AA6644" s="25"/>
    </row>
    <row r="6645" spans="1:27" x14ac:dyDescent="0.35">
      <c r="A6645" s="5">
        <v>6641</v>
      </c>
      <c r="B6645" s="5">
        <v>277</v>
      </c>
      <c r="C6645" s="5">
        <v>10</v>
      </c>
      <c r="D6645" s="25">
        <v>1.1416E-4</v>
      </c>
      <c r="E6645" s="25">
        <v>1.1430999999999999E-4</v>
      </c>
      <c r="F6645" s="25">
        <v>9.5829999999999996E-5</v>
      </c>
      <c r="G6645" s="25">
        <v>1.6499E-4</v>
      </c>
      <c r="H6645" s="25">
        <v>1.9628000000000001E-4</v>
      </c>
      <c r="I6645" s="9">
        <v>1.2451000000000001E-4</v>
      </c>
      <c r="J6645" s="9">
        <v>1.3118E-4</v>
      </c>
      <c r="K6645" s="9">
        <v>2.1299999999999999E-6</v>
      </c>
      <c r="L6645" s="9">
        <v>1.9416E-4</v>
      </c>
      <c r="M6645" s="9">
        <v>1.6200000000000001E-4</v>
      </c>
      <c r="N6645" s="9">
        <v>1.5223E-4</v>
      </c>
      <c r="O6645" s="9">
        <v>2.1523000000000001E-4</v>
      </c>
      <c r="P6645" s="9">
        <v>1.5998999999999999E-4</v>
      </c>
      <c r="Q6645" s="9">
        <v>1.0762E-4</v>
      </c>
      <c r="R6645" s="10">
        <v>1.3340249150382806E-5</v>
      </c>
      <c r="S6645" s="10">
        <v>8.7232226116096127E-6</v>
      </c>
      <c r="T6645" s="10">
        <v>9.5660475172856875E-5</v>
      </c>
      <c r="U6645" s="10">
        <v>6.6210000000000005E-5</v>
      </c>
      <c r="V6645" s="25"/>
      <c r="W6645" s="25"/>
      <c r="X6645" s="25"/>
      <c r="Y6645" s="25"/>
      <c r="Z6645" s="25"/>
      <c r="AA6645" s="25"/>
    </row>
    <row r="6646" spans="1:27" x14ac:dyDescent="0.35">
      <c r="A6646" s="5">
        <v>6642</v>
      </c>
      <c r="B6646" s="5">
        <v>277</v>
      </c>
      <c r="C6646" s="5">
        <v>10</v>
      </c>
      <c r="D6646" s="25">
        <v>1.1415000000000001E-4</v>
      </c>
      <c r="E6646" s="25">
        <v>1.1179E-4</v>
      </c>
      <c r="F6646" s="25">
        <v>9.6280000000000007E-5</v>
      </c>
      <c r="G6646" s="25">
        <v>1.6250999999999999E-4</v>
      </c>
      <c r="H6646" s="25">
        <v>1.9251000000000001E-4</v>
      </c>
      <c r="I6646" s="9">
        <v>1.2441000000000001E-4</v>
      </c>
      <c r="J6646" s="9">
        <v>1.2786000000000001E-4</v>
      </c>
      <c r="K6646" s="9">
        <v>2.1189999999999999E-5</v>
      </c>
      <c r="L6646" s="9">
        <v>2.1033E-4</v>
      </c>
      <c r="M6646" s="9">
        <v>1.5977999999999999E-4</v>
      </c>
      <c r="N6646" s="9">
        <v>1.3904E-4</v>
      </c>
      <c r="O6646" s="9">
        <v>2.0399E-4</v>
      </c>
      <c r="P6646" s="9">
        <v>1.5904999999999999E-4</v>
      </c>
      <c r="Q6646" s="9">
        <v>1.1669E-4</v>
      </c>
      <c r="R6646" s="10">
        <v>8.5089444606719511E-6</v>
      </c>
      <c r="S6646" s="10">
        <v>5.0265528983173946E-6</v>
      </c>
      <c r="T6646" s="10">
        <v>0</v>
      </c>
      <c r="U6646" s="10">
        <v>6.6210000000000005E-5</v>
      </c>
      <c r="V6646" s="25"/>
      <c r="W6646" s="25"/>
      <c r="X6646" s="25"/>
      <c r="Y6646" s="25"/>
      <c r="Z6646" s="25"/>
      <c r="AA6646" s="25"/>
    </row>
    <row r="6647" spans="1:27" x14ac:dyDescent="0.35">
      <c r="A6647" s="5">
        <v>6643</v>
      </c>
      <c r="B6647" s="5">
        <v>277</v>
      </c>
      <c r="C6647" s="5">
        <v>10</v>
      </c>
      <c r="D6647" s="25">
        <v>1.1416E-4</v>
      </c>
      <c r="E6647" s="25">
        <v>1.1438E-4</v>
      </c>
      <c r="F6647" s="25">
        <v>9.6970000000000002E-5</v>
      </c>
      <c r="G6647" s="25">
        <v>1.0917999999999999E-4</v>
      </c>
      <c r="H6647" s="25">
        <v>1.3269000000000001E-4</v>
      </c>
      <c r="I6647" s="9">
        <v>1.2747E-4</v>
      </c>
      <c r="J6647" s="9">
        <v>1.3149E-4</v>
      </c>
      <c r="K6647" s="9">
        <v>4.0280000000000001E-5</v>
      </c>
      <c r="L6647" s="9">
        <v>2.0494999999999999E-4</v>
      </c>
      <c r="M6647" s="9">
        <v>1.5911000000000001E-4</v>
      </c>
      <c r="N6647" s="9">
        <v>1.2982E-4</v>
      </c>
      <c r="O6647" s="9">
        <v>1.6352000000000001E-4</v>
      </c>
      <c r="P6647" s="9">
        <v>1.3401E-4</v>
      </c>
      <c r="Q6647" s="9">
        <v>1.0636E-4</v>
      </c>
      <c r="R6647" s="10">
        <v>1.0207286345165204E-5</v>
      </c>
      <c r="S6647" s="10">
        <v>2.1277221163805975E-6</v>
      </c>
      <c r="T6647" s="10">
        <v>0</v>
      </c>
      <c r="U6647" s="10">
        <v>6.6210000000000005E-5</v>
      </c>
      <c r="V6647" s="25"/>
      <c r="W6647" s="25"/>
      <c r="X6647" s="25"/>
      <c r="Y6647" s="25"/>
      <c r="Z6647" s="25"/>
      <c r="AA6647" s="25"/>
    </row>
    <row r="6648" spans="1:27" x14ac:dyDescent="0.35">
      <c r="A6648" s="5">
        <v>6644</v>
      </c>
      <c r="B6648" s="5">
        <v>277</v>
      </c>
      <c r="C6648" s="5">
        <v>10</v>
      </c>
      <c r="D6648" s="25">
        <v>1.1415000000000001E-4</v>
      </c>
      <c r="E6648" s="25">
        <v>1.1516E-4</v>
      </c>
      <c r="F6648" s="25">
        <v>1.0809E-4</v>
      </c>
      <c r="G6648" s="25">
        <v>1.0989000000000001E-4</v>
      </c>
      <c r="H6648" s="25">
        <v>1.3374E-4</v>
      </c>
      <c r="I6648" s="9">
        <v>1.262E-4</v>
      </c>
      <c r="J6648" s="9">
        <v>1.2972E-4</v>
      </c>
      <c r="K6648" s="9">
        <v>5.0869999999999999E-5</v>
      </c>
      <c r="L6648" s="9">
        <v>1.7286999999999999E-4</v>
      </c>
      <c r="M6648" s="9">
        <v>1.5003999999999999E-4</v>
      </c>
      <c r="N6648" s="9">
        <v>1.2057000000000001E-4</v>
      </c>
      <c r="O6648" s="9">
        <v>1.2902000000000001E-4</v>
      </c>
      <c r="P6648" s="9">
        <v>1.1482E-4</v>
      </c>
      <c r="Q6648" s="9">
        <v>1.0186E-4</v>
      </c>
      <c r="R6648" s="10">
        <v>1.1784308817090961E-5</v>
      </c>
      <c r="S6648" s="10">
        <v>2.5811924209806249E-6</v>
      </c>
      <c r="T6648" s="10">
        <v>0</v>
      </c>
      <c r="U6648" s="10">
        <v>6.6210000000000005E-5</v>
      </c>
      <c r="V6648" s="25"/>
      <c r="W6648" s="25"/>
      <c r="X6648" s="25"/>
      <c r="Y6648" s="25"/>
      <c r="Z6648" s="25"/>
      <c r="AA6648" s="25"/>
    </row>
    <row r="6649" spans="1:27" x14ac:dyDescent="0.35">
      <c r="A6649" s="5">
        <v>6645</v>
      </c>
      <c r="B6649" s="5">
        <v>277</v>
      </c>
      <c r="C6649" s="5">
        <v>10</v>
      </c>
      <c r="D6649" s="25">
        <v>1.1416E-4</v>
      </c>
      <c r="E6649" s="25">
        <v>1.1726999999999999E-4</v>
      </c>
      <c r="F6649" s="25">
        <v>9.8830000000000001E-5</v>
      </c>
      <c r="G6649" s="25">
        <v>5.7080000000000002E-5</v>
      </c>
      <c r="H6649" s="25">
        <v>6.9339999999999997E-5</v>
      </c>
      <c r="I6649" s="9">
        <v>1.1826E-4</v>
      </c>
      <c r="J6649" s="9">
        <v>1.2244999999999999E-4</v>
      </c>
      <c r="K6649" s="9">
        <v>6.7819999999999998E-5</v>
      </c>
      <c r="L6649" s="9">
        <v>1.3966E-4</v>
      </c>
      <c r="M6649" s="9">
        <v>1.3481999999999999E-4</v>
      </c>
      <c r="N6649" s="9">
        <v>1.1294999999999999E-4</v>
      </c>
      <c r="O6649" s="9">
        <v>8.42E-5</v>
      </c>
      <c r="P6649" s="9">
        <v>8.5710000000000004E-5</v>
      </c>
      <c r="Q6649" s="9">
        <v>8.7700000000000004E-5</v>
      </c>
      <c r="R6649" s="10">
        <v>9.7682372650976518E-6</v>
      </c>
      <c r="S6649" s="10">
        <v>3.8701495647334071E-6</v>
      </c>
      <c r="T6649" s="10">
        <v>0</v>
      </c>
      <c r="U6649" s="10">
        <v>6.6210000000000005E-5</v>
      </c>
      <c r="V6649" s="25"/>
      <c r="W6649" s="25"/>
      <c r="X6649" s="25"/>
      <c r="Y6649" s="25"/>
      <c r="Z6649" s="25"/>
      <c r="AA6649" s="25"/>
    </row>
    <row r="6650" spans="1:27" x14ac:dyDescent="0.35">
      <c r="A6650" s="5">
        <v>6646</v>
      </c>
      <c r="B6650" s="5">
        <v>277</v>
      </c>
      <c r="C6650" s="5">
        <v>10</v>
      </c>
      <c r="D6650" s="25">
        <v>1.1415000000000001E-4</v>
      </c>
      <c r="E6650" s="25">
        <v>1.0802999999999999E-4</v>
      </c>
      <c r="F6650" s="25">
        <v>9.3159999999999996E-5</v>
      </c>
      <c r="G6650" s="25">
        <v>5.9589999999999997E-5</v>
      </c>
      <c r="H6650" s="25">
        <v>7.4170000000000003E-5</v>
      </c>
      <c r="I6650" s="9">
        <v>1.144E-4</v>
      </c>
      <c r="J6650" s="9">
        <v>1.1315999999999999E-4</v>
      </c>
      <c r="K6650" s="9">
        <v>7.4179999999999998E-5</v>
      </c>
      <c r="L6650" s="9">
        <v>9.7280000000000004E-5</v>
      </c>
      <c r="M6650" s="9">
        <v>1.1326E-4</v>
      </c>
      <c r="N6650" s="9">
        <v>1.0524E-4</v>
      </c>
      <c r="O6650" s="9">
        <v>8.755E-5</v>
      </c>
      <c r="P6650" s="9">
        <v>8.7670000000000006E-5</v>
      </c>
      <c r="Q6650" s="9">
        <v>8.8319999999999995E-5</v>
      </c>
      <c r="R6650" s="10">
        <v>1.1251401684036085E-5</v>
      </c>
      <c r="S6650" s="10">
        <v>5.2005118858867794E-6</v>
      </c>
      <c r="T6650" s="10">
        <v>0</v>
      </c>
      <c r="U6650" s="10">
        <v>6.6210000000000005E-5</v>
      </c>
      <c r="V6650" s="25"/>
      <c r="W6650" s="25"/>
      <c r="X6650" s="25"/>
      <c r="Y6650" s="25"/>
      <c r="Z6650" s="25"/>
      <c r="AA6650" s="25"/>
    </row>
    <row r="6651" spans="1:27" x14ac:dyDescent="0.35">
      <c r="A6651" s="5">
        <v>6647</v>
      </c>
      <c r="B6651" s="5">
        <v>277</v>
      </c>
      <c r="C6651" s="5">
        <v>10</v>
      </c>
      <c r="D6651" s="25">
        <v>1.1416E-4</v>
      </c>
      <c r="E6651" s="25">
        <v>1.1631E-4</v>
      </c>
      <c r="F6651" s="25">
        <v>1.0429000000000001E-4</v>
      </c>
      <c r="G6651" s="25">
        <v>6.0449999999999999E-5</v>
      </c>
      <c r="H6651" s="25">
        <v>7.6539999999999996E-5</v>
      </c>
      <c r="I6651" s="9">
        <v>1.0863E-4</v>
      </c>
      <c r="J6651" s="9">
        <v>1.0538E-4</v>
      </c>
      <c r="K6651" s="9">
        <v>7.8419999999999998E-5</v>
      </c>
      <c r="L6651" s="9">
        <v>9.064E-5</v>
      </c>
      <c r="M6651" s="9">
        <v>9.8750000000000002E-5</v>
      </c>
      <c r="N6651" s="9">
        <v>9.9489999999999998E-5</v>
      </c>
      <c r="O6651" s="9">
        <v>7.8700000000000002E-5</v>
      </c>
      <c r="P6651" s="9">
        <v>7.2879999999999993E-5</v>
      </c>
      <c r="Q6651" s="9">
        <v>6.758E-5</v>
      </c>
      <c r="R6651" s="10">
        <v>1.4517049189529386E-5</v>
      </c>
      <c r="S6651" s="10">
        <v>7.5258700469837383E-6</v>
      </c>
      <c r="T6651" s="10">
        <v>0</v>
      </c>
      <c r="U6651" s="10">
        <v>6.6210000000000005E-5</v>
      </c>
      <c r="V6651" s="25"/>
      <c r="W6651" s="25"/>
      <c r="X6651" s="25"/>
      <c r="Y6651" s="25"/>
      <c r="Z6651" s="25"/>
      <c r="AA6651" s="25"/>
    </row>
    <row r="6652" spans="1:27" x14ac:dyDescent="0.35">
      <c r="A6652" s="5">
        <v>6648</v>
      </c>
      <c r="B6652" s="5">
        <v>277</v>
      </c>
      <c r="C6652" s="5">
        <v>10</v>
      </c>
      <c r="D6652" s="25">
        <v>1.1415000000000001E-4</v>
      </c>
      <c r="E6652" s="25">
        <v>1.1535999999999999E-4</v>
      </c>
      <c r="F6652" s="25">
        <v>9.7079999999999999E-5</v>
      </c>
      <c r="G6652" s="25">
        <v>6.177E-5</v>
      </c>
      <c r="H6652" s="25">
        <v>6.8700000000000003E-5</v>
      </c>
      <c r="I6652" s="9">
        <v>1.0058E-4</v>
      </c>
      <c r="J6652" s="9">
        <v>9.8250000000000003E-5</v>
      </c>
      <c r="K6652" s="9">
        <v>9.1130000000000003E-5</v>
      </c>
      <c r="L6652" s="9">
        <v>8.1310000000000006E-5</v>
      </c>
      <c r="M6652" s="9">
        <v>8.6249999999999996E-5</v>
      </c>
      <c r="N6652" s="9">
        <v>9.0470000000000006E-5</v>
      </c>
      <c r="O6652" s="9">
        <v>6.2639999999999997E-5</v>
      </c>
      <c r="P6652" s="9">
        <v>6.0550000000000001E-5</v>
      </c>
      <c r="Q6652" s="9">
        <v>5.8739999999999997E-5</v>
      </c>
      <c r="R6652" s="10">
        <v>2.3025593305678093E-5</v>
      </c>
      <c r="S6652" s="10">
        <v>3.602846710690089E-6</v>
      </c>
      <c r="T6652" s="10">
        <v>0</v>
      </c>
      <c r="U6652" s="10">
        <v>6.6210000000000005E-5</v>
      </c>
      <c r="V6652" s="25"/>
      <c r="W6652" s="25"/>
      <c r="X6652" s="25"/>
      <c r="Y6652" s="25"/>
      <c r="Z6652" s="25"/>
      <c r="AA6652" s="25"/>
    </row>
    <row r="6653" spans="1:27" x14ac:dyDescent="0.35">
      <c r="A6653" s="5">
        <v>6649</v>
      </c>
      <c r="B6653" s="5">
        <v>278</v>
      </c>
      <c r="C6653" s="5">
        <v>10</v>
      </c>
      <c r="D6653" s="25">
        <v>1.1416E-4</v>
      </c>
      <c r="E6653" s="25">
        <v>1.1011E-4</v>
      </c>
      <c r="F6653" s="25">
        <v>1.0904999999999999E-4</v>
      </c>
      <c r="G6653" s="25">
        <v>6.3360000000000003E-5</v>
      </c>
      <c r="H6653" s="25">
        <v>7.1669999999999997E-5</v>
      </c>
      <c r="I6653" s="9">
        <v>9.6020000000000006E-5</v>
      </c>
      <c r="J6653" s="9">
        <v>9.3369999999999995E-5</v>
      </c>
      <c r="K6653" s="9">
        <v>9.9610000000000003E-5</v>
      </c>
      <c r="L6653" s="9">
        <v>6.6719999999999998E-5</v>
      </c>
      <c r="M6653" s="9">
        <v>7.415E-5</v>
      </c>
      <c r="N6653" s="9">
        <v>8.1110000000000001E-5</v>
      </c>
      <c r="O6653" s="9">
        <v>5.4639999999999999E-5</v>
      </c>
      <c r="P6653" s="9">
        <v>5.4060000000000001E-5</v>
      </c>
      <c r="Q6653" s="9">
        <v>5.363E-5</v>
      </c>
      <c r="R6653" s="10">
        <v>2.7051854796106885E-5</v>
      </c>
      <c r="S6653" s="10">
        <v>3.9499583435664665E-6</v>
      </c>
      <c r="T6653" s="10">
        <v>0</v>
      </c>
      <c r="U6653" s="10">
        <v>6.6130000000000006E-5</v>
      </c>
      <c r="V6653" s="25"/>
      <c r="W6653" s="25"/>
      <c r="X6653" s="25"/>
      <c r="Y6653" s="25"/>
      <c r="Z6653" s="25"/>
      <c r="AA6653" s="25"/>
    </row>
    <row r="6654" spans="1:27" x14ac:dyDescent="0.35">
      <c r="A6654" s="5">
        <v>6650</v>
      </c>
      <c r="B6654" s="5">
        <v>278</v>
      </c>
      <c r="C6654" s="5">
        <v>10</v>
      </c>
      <c r="D6654" s="25">
        <v>1.1415000000000001E-4</v>
      </c>
      <c r="E6654" s="25">
        <v>1.089E-4</v>
      </c>
      <c r="F6654" s="25">
        <v>1.105E-4</v>
      </c>
      <c r="G6654" s="25">
        <v>6.2689999999999998E-5</v>
      </c>
      <c r="H6654" s="25">
        <v>7.127E-5</v>
      </c>
      <c r="I6654" s="9">
        <v>9.3599999999999998E-5</v>
      </c>
      <c r="J6654" s="9">
        <v>9.1139999999999998E-5</v>
      </c>
      <c r="K6654" s="9">
        <v>1.0173E-4</v>
      </c>
      <c r="L6654" s="9">
        <v>5.77E-5</v>
      </c>
      <c r="M6654" s="9">
        <v>6.402E-5</v>
      </c>
      <c r="N6654" s="9">
        <v>7.2100000000000004E-5</v>
      </c>
      <c r="O6654" s="9">
        <v>1.8729999999999999E-5</v>
      </c>
      <c r="P6654" s="9">
        <v>3.7679999999999998E-5</v>
      </c>
      <c r="Q6654" s="9">
        <v>5.6079999999999998E-5</v>
      </c>
      <c r="R6654" s="10">
        <v>3.3356899444353182E-5</v>
      </c>
      <c r="S6654" s="10">
        <v>6.7162278381291418E-6</v>
      </c>
      <c r="T6654" s="10">
        <v>0</v>
      </c>
      <c r="U6654" s="10">
        <v>6.6130000000000006E-5</v>
      </c>
      <c r="V6654" s="25"/>
      <c r="W6654" s="25"/>
      <c r="X6654" s="25"/>
      <c r="Y6654" s="25"/>
      <c r="Z6654" s="25"/>
      <c r="AA6654" s="25"/>
    </row>
    <row r="6655" spans="1:27" x14ac:dyDescent="0.35">
      <c r="A6655" s="5">
        <v>6651</v>
      </c>
      <c r="B6655" s="5">
        <v>278</v>
      </c>
      <c r="C6655" s="5">
        <v>10</v>
      </c>
      <c r="D6655" s="25">
        <v>1.1416E-4</v>
      </c>
      <c r="E6655" s="25">
        <v>1.0832000000000001E-4</v>
      </c>
      <c r="F6655" s="25">
        <v>1.0064999999999999E-4</v>
      </c>
      <c r="G6655" s="25">
        <v>5.414E-5</v>
      </c>
      <c r="H6655" s="25">
        <v>7.2490000000000006E-5</v>
      </c>
      <c r="I6655" s="9">
        <v>9.2479999999999995E-5</v>
      </c>
      <c r="J6655" s="9">
        <v>9.0019999999999995E-5</v>
      </c>
      <c r="K6655" s="9">
        <v>1.0385E-4</v>
      </c>
      <c r="L6655" s="9">
        <v>2.7509999999999999E-5</v>
      </c>
      <c r="M6655" s="9">
        <v>5.223E-5</v>
      </c>
      <c r="N6655" s="9">
        <v>6.5549999999999994E-5</v>
      </c>
      <c r="O6655" s="9">
        <v>1.3390000000000001E-5</v>
      </c>
      <c r="P6655" s="9">
        <v>3.8109999999999999E-5</v>
      </c>
      <c r="Q6655" s="9">
        <v>6.2119999999999995E-5</v>
      </c>
      <c r="R6655" s="10">
        <v>3.8485007216603402E-5</v>
      </c>
      <c r="S6655" s="10">
        <v>1.3601172609235481E-5</v>
      </c>
      <c r="T6655" s="10">
        <v>0</v>
      </c>
      <c r="U6655" s="10">
        <v>6.6130000000000006E-5</v>
      </c>
      <c r="V6655" s="25"/>
      <c r="W6655" s="25"/>
      <c r="X6655" s="25"/>
      <c r="Y6655" s="25"/>
      <c r="Z6655" s="25"/>
      <c r="AA6655" s="25"/>
    </row>
    <row r="6656" spans="1:27" x14ac:dyDescent="0.35">
      <c r="A6656" s="5">
        <v>6652</v>
      </c>
      <c r="B6656" s="5">
        <v>278</v>
      </c>
      <c r="C6656" s="5">
        <v>10</v>
      </c>
      <c r="D6656" s="25">
        <v>1.1415000000000001E-4</v>
      </c>
      <c r="E6656" s="25">
        <v>1.1297E-4</v>
      </c>
      <c r="F6656" s="25">
        <v>1.1128000000000001E-4</v>
      </c>
      <c r="G6656" s="25">
        <v>6.0139999999999997E-5</v>
      </c>
      <c r="H6656" s="25">
        <v>6.7119999999999994E-5</v>
      </c>
      <c r="I6656" s="9">
        <v>9.4160000000000006E-5</v>
      </c>
      <c r="J6656" s="9">
        <v>9.0420000000000005E-5</v>
      </c>
      <c r="K6656" s="9">
        <v>1.0385E-4</v>
      </c>
      <c r="L6656" s="9">
        <v>1.7240000000000001E-5</v>
      </c>
      <c r="M6656" s="9">
        <v>4.4329999999999997E-5</v>
      </c>
      <c r="N6656" s="9">
        <v>6.2089999999999997E-5</v>
      </c>
      <c r="O6656" s="9">
        <v>1.3380000000000001E-5</v>
      </c>
      <c r="P6656" s="9">
        <v>4.761E-5</v>
      </c>
      <c r="Q6656" s="9">
        <v>8.0970000000000006E-5</v>
      </c>
      <c r="R6656" s="10">
        <v>4.6541272915595444E-5</v>
      </c>
      <c r="S6656" s="10">
        <v>2.158337382101899E-5</v>
      </c>
      <c r="T6656" s="10">
        <v>0</v>
      </c>
      <c r="U6656" s="10">
        <v>6.6130000000000006E-5</v>
      </c>
      <c r="V6656" s="25"/>
      <c r="W6656" s="25"/>
      <c r="X6656" s="25"/>
      <c r="Y6656" s="25"/>
      <c r="Z6656" s="25"/>
      <c r="AA6656" s="25"/>
    </row>
    <row r="6657" spans="1:27" x14ac:dyDescent="0.35">
      <c r="A6657" s="5">
        <v>6653</v>
      </c>
      <c r="B6657" s="5">
        <v>278</v>
      </c>
      <c r="C6657" s="5">
        <v>10</v>
      </c>
      <c r="D6657" s="25">
        <v>1.1416E-4</v>
      </c>
      <c r="E6657" s="25">
        <v>1.0613E-4</v>
      </c>
      <c r="F6657" s="25">
        <v>1.0818E-4</v>
      </c>
      <c r="G6657" s="25">
        <v>5.7009999999999998E-5</v>
      </c>
      <c r="H6657" s="25">
        <v>7.114E-5</v>
      </c>
      <c r="I6657" s="9">
        <v>9.8960000000000001E-5</v>
      </c>
      <c r="J6657" s="9">
        <v>9.391E-5</v>
      </c>
      <c r="K6657" s="9">
        <v>1.0173E-4</v>
      </c>
      <c r="L6657" s="9">
        <v>1.447E-5</v>
      </c>
      <c r="M6657" s="9">
        <v>4.375E-5</v>
      </c>
      <c r="N6657" s="9">
        <v>6.4729999999999999E-5</v>
      </c>
      <c r="O6657" s="9">
        <v>1.8899999999999999E-5</v>
      </c>
      <c r="P6657" s="9">
        <v>5.7049999999999998E-5</v>
      </c>
      <c r="Q6657" s="9">
        <v>9.4339999999999995E-5</v>
      </c>
      <c r="R6657" s="10">
        <v>6.1297242173691914E-5</v>
      </c>
      <c r="S6657" s="10">
        <v>2.917712522258363E-5</v>
      </c>
      <c r="T6657" s="10">
        <v>0</v>
      </c>
      <c r="U6657" s="10">
        <v>6.6130000000000006E-5</v>
      </c>
      <c r="V6657" s="25"/>
      <c r="W6657" s="25"/>
      <c r="X6657" s="25"/>
      <c r="Y6657" s="25"/>
      <c r="Z6657" s="25"/>
      <c r="AA6657" s="25"/>
    </row>
    <row r="6658" spans="1:27" x14ac:dyDescent="0.35">
      <c r="A6658" s="5">
        <v>6654</v>
      </c>
      <c r="B6658" s="5">
        <v>278</v>
      </c>
      <c r="C6658" s="5">
        <v>10</v>
      </c>
      <c r="D6658" s="25">
        <v>1.1415000000000001E-4</v>
      </c>
      <c r="E6658" s="25">
        <v>1.1532E-4</v>
      </c>
      <c r="F6658" s="25">
        <v>1.1381E-4</v>
      </c>
      <c r="G6658" s="25">
        <v>1.0868E-4</v>
      </c>
      <c r="H6658" s="25">
        <v>1.3710999999999999E-4</v>
      </c>
      <c r="I6658" s="9">
        <v>1.1301E-4</v>
      </c>
      <c r="J6658" s="9">
        <v>1.0582999999999999E-4</v>
      </c>
      <c r="K6658" s="9">
        <v>9.3250000000000003E-5</v>
      </c>
      <c r="L6658" s="9">
        <v>1.7790000000000001E-5</v>
      </c>
      <c r="M6658" s="9">
        <v>4.8730000000000003E-5</v>
      </c>
      <c r="N6658" s="9">
        <v>7.1400000000000001E-5</v>
      </c>
      <c r="O6658" s="9">
        <v>4.5840000000000002E-5</v>
      </c>
      <c r="P6658" s="9">
        <v>7.6139999999999999E-5</v>
      </c>
      <c r="Q6658" s="9">
        <v>1.0602E-4</v>
      </c>
      <c r="R6658" s="10">
        <v>7.1962392991870071E-5</v>
      </c>
      <c r="S6658" s="10">
        <v>3.8642076013194308E-5</v>
      </c>
      <c r="T6658" s="10">
        <v>0</v>
      </c>
      <c r="U6658" s="10">
        <v>6.6130000000000006E-5</v>
      </c>
      <c r="V6658" s="25"/>
      <c r="W6658" s="25"/>
      <c r="X6658" s="25"/>
      <c r="Y6658" s="25"/>
      <c r="Z6658" s="25"/>
      <c r="AA6658" s="25"/>
    </row>
    <row r="6659" spans="1:27" x14ac:dyDescent="0.35">
      <c r="A6659" s="5">
        <v>6655</v>
      </c>
      <c r="B6659" s="5">
        <v>278</v>
      </c>
      <c r="C6659" s="5">
        <v>10</v>
      </c>
      <c r="D6659" s="25">
        <v>1.1416E-4</v>
      </c>
      <c r="E6659" s="25">
        <v>1.0457E-4</v>
      </c>
      <c r="F6659" s="25">
        <v>1.1733E-4</v>
      </c>
      <c r="G6659" s="25">
        <v>1.0546E-4</v>
      </c>
      <c r="H6659" s="25">
        <v>1.2992E-4</v>
      </c>
      <c r="I6659" s="9">
        <v>1.2579999999999999E-4</v>
      </c>
      <c r="J6659" s="9">
        <v>1.2269000000000001E-4</v>
      </c>
      <c r="K6659" s="9">
        <v>8.2650000000000003E-5</v>
      </c>
      <c r="L6659" s="9">
        <v>3.9520000000000001E-5</v>
      </c>
      <c r="M6659" s="9">
        <v>6.0000000000000002E-5</v>
      </c>
      <c r="N6659" s="9">
        <v>8.085E-5</v>
      </c>
      <c r="O6659" s="9">
        <v>1.2263000000000001E-4</v>
      </c>
      <c r="P6659" s="9">
        <v>1.1669E-4</v>
      </c>
      <c r="Q6659" s="9">
        <v>1.1178E-4</v>
      </c>
      <c r="R6659" s="10">
        <v>8.4721175396302575E-5</v>
      </c>
      <c r="S6659" s="10">
        <v>5.5212741774908837E-5</v>
      </c>
      <c r="T6659" s="10">
        <v>3.5464371283595719E-6</v>
      </c>
      <c r="U6659" s="10">
        <v>6.6130000000000006E-5</v>
      </c>
      <c r="V6659" s="25"/>
      <c r="W6659" s="25"/>
      <c r="X6659" s="25"/>
      <c r="Y6659" s="25"/>
      <c r="Z6659" s="25"/>
      <c r="AA6659" s="25"/>
    </row>
    <row r="6660" spans="1:27" x14ac:dyDescent="0.35">
      <c r="A6660" s="5">
        <v>6656</v>
      </c>
      <c r="B6660" s="5">
        <v>278</v>
      </c>
      <c r="C6660" s="5">
        <v>10</v>
      </c>
      <c r="D6660" s="25">
        <v>1.1415000000000001E-4</v>
      </c>
      <c r="E6660" s="25">
        <v>1.0560000000000001E-4</v>
      </c>
      <c r="F6660" s="25">
        <v>1.1139E-4</v>
      </c>
      <c r="G6660" s="25">
        <v>1.6178000000000001E-4</v>
      </c>
      <c r="H6660" s="25">
        <v>1.9370999999999999E-4</v>
      </c>
      <c r="I6660" s="9">
        <v>1.2713000000000001E-4</v>
      </c>
      <c r="J6660" s="9">
        <v>1.3072E-4</v>
      </c>
      <c r="K6660" s="9">
        <v>6.7819999999999998E-5</v>
      </c>
      <c r="L6660" s="9">
        <v>1.0374000000000001E-4</v>
      </c>
      <c r="M6660" s="9">
        <v>8.3300000000000005E-5</v>
      </c>
      <c r="N6660" s="9">
        <v>9.0749999999999997E-5</v>
      </c>
      <c r="O6660" s="9">
        <v>2.2018999999999999E-4</v>
      </c>
      <c r="P6660" s="9">
        <v>1.7715E-4</v>
      </c>
      <c r="Q6660" s="9">
        <v>1.3684999999999999E-4</v>
      </c>
      <c r="R6660" s="10">
        <v>9.7509483708713211E-5</v>
      </c>
      <c r="S6660" s="10">
        <v>6.4416057605993083E-5</v>
      </c>
      <c r="T6660" s="10">
        <v>9.6941604374728397E-5</v>
      </c>
      <c r="U6660" s="10">
        <v>6.6130000000000006E-5</v>
      </c>
      <c r="V6660" s="25"/>
      <c r="W6660" s="25"/>
      <c r="X6660" s="25"/>
      <c r="Y6660" s="25"/>
      <c r="Z6660" s="25"/>
      <c r="AA6660" s="25"/>
    </row>
    <row r="6661" spans="1:27" x14ac:dyDescent="0.35">
      <c r="A6661" s="5">
        <v>6657</v>
      </c>
      <c r="B6661" s="5">
        <v>278</v>
      </c>
      <c r="C6661" s="5">
        <v>10</v>
      </c>
      <c r="D6661" s="25">
        <v>1.1416E-4</v>
      </c>
      <c r="E6661" s="25">
        <v>1.1292E-4</v>
      </c>
      <c r="F6661" s="25">
        <v>1.1612000000000001E-4</v>
      </c>
      <c r="G6661" s="25">
        <v>1.5640000000000001E-4</v>
      </c>
      <c r="H6661" s="25">
        <v>1.9419000000000001E-4</v>
      </c>
      <c r="I6661" s="9">
        <v>1.2964000000000001E-4</v>
      </c>
      <c r="J6661" s="9">
        <v>1.3341000000000001E-4</v>
      </c>
      <c r="K6661" s="9">
        <v>4.4509999999999999E-5</v>
      </c>
      <c r="L6661" s="9">
        <v>1.9280999999999999E-4</v>
      </c>
      <c r="M6661" s="9">
        <v>1.2312E-4</v>
      </c>
      <c r="N6661" s="9">
        <v>1.0448E-4</v>
      </c>
      <c r="O6661" s="9">
        <v>2.1193000000000001E-4</v>
      </c>
      <c r="P6661" s="9">
        <v>1.9340000000000001E-4</v>
      </c>
      <c r="Q6661" s="9">
        <v>1.7712000000000001E-4</v>
      </c>
      <c r="R6661" s="10">
        <v>1.0006012376718808E-4</v>
      </c>
      <c r="S6661" s="10">
        <v>7.7356526736989308E-5</v>
      </c>
      <c r="T6661" s="10">
        <v>5.6658151060251735E-5</v>
      </c>
      <c r="U6661" s="10">
        <v>6.6130000000000006E-5</v>
      </c>
      <c r="V6661" s="25"/>
      <c r="W6661" s="25"/>
      <c r="X6661" s="25"/>
      <c r="Y6661" s="25"/>
      <c r="Z6661" s="25"/>
      <c r="AA6661" s="25"/>
    </row>
    <row r="6662" spans="1:27" x14ac:dyDescent="0.35">
      <c r="A6662" s="5">
        <v>6658</v>
      </c>
      <c r="B6662" s="5">
        <v>278</v>
      </c>
      <c r="C6662" s="5">
        <v>10</v>
      </c>
      <c r="D6662" s="25">
        <v>1.1415000000000001E-4</v>
      </c>
      <c r="E6662" s="25">
        <v>1.0778E-4</v>
      </c>
      <c r="F6662" s="25">
        <v>1.0205E-4</v>
      </c>
      <c r="G6662" s="25">
        <v>1.6048000000000001E-4</v>
      </c>
      <c r="H6662" s="25">
        <v>1.9195E-4</v>
      </c>
      <c r="I6662" s="9">
        <v>1.2951999999999999E-4</v>
      </c>
      <c r="J6662" s="9">
        <v>1.3212E-4</v>
      </c>
      <c r="K6662" s="9">
        <v>1.06E-5</v>
      </c>
      <c r="L6662" s="9">
        <v>2.0537999999999999E-4</v>
      </c>
      <c r="M6662" s="9">
        <v>1.5854000000000001E-4</v>
      </c>
      <c r="N6662" s="9">
        <v>1.2451000000000001E-4</v>
      </c>
      <c r="O6662" s="9">
        <v>1.6662E-4</v>
      </c>
      <c r="P6662" s="9">
        <v>1.7325000000000001E-4</v>
      </c>
      <c r="Q6662" s="9">
        <v>1.8121000000000001E-4</v>
      </c>
      <c r="R6662" s="10">
        <v>9.5024835412370009E-5</v>
      </c>
      <c r="S6662" s="10">
        <v>9.0195899186263154E-5</v>
      </c>
      <c r="T6662" s="10">
        <v>3.9957656219431195E-4</v>
      </c>
      <c r="U6662" s="10">
        <v>6.6130000000000006E-5</v>
      </c>
      <c r="V6662" s="25"/>
      <c r="W6662" s="25"/>
      <c r="X6662" s="25"/>
      <c r="Y6662" s="25"/>
      <c r="Z6662" s="25"/>
      <c r="AA6662" s="25"/>
    </row>
    <row r="6663" spans="1:27" x14ac:dyDescent="0.35">
      <c r="A6663" s="5">
        <v>6659</v>
      </c>
      <c r="B6663" s="5">
        <v>278</v>
      </c>
      <c r="C6663" s="5">
        <v>10</v>
      </c>
      <c r="D6663" s="25">
        <v>1.1416E-4</v>
      </c>
      <c r="E6663" s="25">
        <v>1.0906E-4</v>
      </c>
      <c r="F6663" s="25">
        <v>1.0063E-4</v>
      </c>
      <c r="G6663" s="25">
        <v>1.5703000000000001E-4</v>
      </c>
      <c r="H6663" s="25">
        <v>2.0220000000000001E-4</v>
      </c>
      <c r="I6663" s="9">
        <v>1.2967999999999999E-4</v>
      </c>
      <c r="J6663" s="9">
        <v>1.3143000000000001E-4</v>
      </c>
      <c r="K6663" s="9">
        <v>0</v>
      </c>
      <c r="L6663" s="9">
        <v>1.7521999999999999E-4</v>
      </c>
      <c r="M6663" s="9">
        <v>1.7204000000000001E-4</v>
      </c>
      <c r="N6663" s="9">
        <v>1.4238E-4</v>
      </c>
      <c r="O6663" s="9">
        <v>1.6825999999999999E-4</v>
      </c>
      <c r="P6663" s="9">
        <v>1.7359999999999999E-4</v>
      </c>
      <c r="Q6663" s="9">
        <v>1.8031000000000001E-4</v>
      </c>
      <c r="R6663" s="10">
        <v>8.1385613185187719E-5</v>
      </c>
      <c r="S6663" s="10">
        <v>9.7645178052005463E-5</v>
      </c>
      <c r="T6663" s="10">
        <v>4.7154887358157092E-4</v>
      </c>
      <c r="U6663" s="10">
        <v>6.6130000000000006E-5</v>
      </c>
      <c r="V6663" s="25"/>
      <c r="W6663" s="25"/>
      <c r="X6663" s="25"/>
      <c r="Y6663" s="25"/>
      <c r="Z6663" s="25"/>
      <c r="AA6663" s="25"/>
    </row>
    <row r="6664" spans="1:27" x14ac:dyDescent="0.35">
      <c r="A6664" s="5">
        <v>6660</v>
      </c>
      <c r="B6664" s="5">
        <v>278</v>
      </c>
      <c r="C6664" s="5">
        <v>10</v>
      </c>
      <c r="D6664" s="25">
        <v>1.1415000000000001E-4</v>
      </c>
      <c r="E6664" s="25">
        <v>1.1457E-4</v>
      </c>
      <c r="F6664" s="25">
        <v>1.0713999999999999E-4</v>
      </c>
      <c r="G6664" s="25">
        <v>1.6453999999999999E-4</v>
      </c>
      <c r="H6664" s="25">
        <v>1.9911000000000001E-4</v>
      </c>
      <c r="I6664" s="9">
        <v>1.2651000000000001E-4</v>
      </c>
      <c r="J6664" s="9">
        <v>1.2819E-4</v>
      </c>
      <c r="K6664" s="9">
        <v>0</v>
      </c>
      <c r="L6664" s="9">
        <v>1.7123999999999999E-4</v>
      </c>
      <c r="M6664" s="9">
        <v>1.7484999999999999E-4</v>
      </c>
      <c r="N6664" s="9">
        <v>1.5668999999999999E-4</v>
      </c>
      <c r="O6664" s="9">
        <v>1.7034E-4</v>
      </c>
      <c r="P6664" s="9">
        <v>1.7155E-4</v>
      </c>
      <c r="Q6664" s="9">
        <v>1.7422E-4</v>
      </c>
      <c r="R6664" s="10">
        <v>6.6266734922497877E-5</v>
      </c>
      <c r="S6664" s="10">
        <v>9.6378630394635924E-5</v>
      </c>
      <c r="T6664" s="10">
        <v>2.3592291202941294E-4</v>
      </c>
      <c r="U6664" s="10">
        <v>6.6130000000000006E-5</v>
      </c>
      <c r="V6664" s="25"/>
      <c r="W6664" s="25"/>
      <c r="X6664" s="25"/>
      <c r="Y6664" s="25"/>
      <c r="Z6664" s="25"/>
      <c r="AA6664" s="25"/>
    </row>
    <row r="6665" spans="1:27" x14ac:dyDescent="0.35">
      <c r="A6665" s="5">
        <v>6661</v>
      </c>
      <c r="B6665" s="5">
        <v>278</v>
      </c>
      <c r="C6665" s="5">
        <v>10</v>
      </c>
      <c r="D6665" s="25">
        <v>1.1416E-4</v>
      </c>
      <c r="E6665" s="25">
        <v>1.1322E-4</v>
      </c>
      <c r="F6665" s="25">
        <v>1.0163E-4</v>
      </c>
      <c r="G6665" s="25">
        <v>1.6076E-4</v>
      </c>
      <c r="H6665" s="25">
        <v>2.0231000000000001E-4</v>
      </c>
      <c r="I6665" s="9">
        <v>1.2596999999999999E-4</v>
      </c>
      <c r="J6665" s="9">
        <v>1.2768999999999999E-4</v>
      </c>
      <c r="K6665" s="9">
        <v>0</v>
      </c>
      <c r="L6665" s="9">
        <v>1.7068000000000001E-4</v>
      </c>
      <c r="M6665" s="9">
        <v>1.7391999999999999E-4</v>
      </c>
      <c r="N6665" s="9">
        <v>1.6621999999999999E-4</v>
      </c>
      <c r="O6665" s="9">
        <v>1.6063000000000001E-4</v>
      </c>
      <c r="P6665" s="9">
        <v>1.6265999999999999E-4</v>
      </c>
      <c r="Q6665" s="9">
        <v>1.6603000000000001E-4</v>
      </c>
      <c r="R6665" s="10">
        <v>7.2225952785921795E-5</v>
      </c>
      <c r="S6665" s="10">
        <v>1.1120346367199358E-4</v>
      </c>
      <c r="T6665" s="10">
        <v>3.4172212492569011E-4</v>
      </c>
      <c r="U6665" s="10">
        <v>6.6130000000000006E-5</v>
      </c>
      <c r="V6665" s="25"/>
      <c r="W6665" s="25"/>
      <c r="X6665" s="25"/>
      <c r="Y6665" s="25"/>
      <c r="Z6665" s="25"/>
      <c r="AA6665" s="25"/>
    </row>
    <row r="6666" spans="1:27" x14ac:dyDescent="0.35">
      <c r="A6666" s="5">
        <v>6662</v>
      </c>
      <c r="B6666" s="5">
        <v>278</v>
      </c>
      <c r="C6666" s="5">
        <v>10</v>
      </c>
      <c r="D6666" s="25">
        <v>1.1415000000000001E-4</v>
      </c>
      <c r="E6666" s="25">
        <v>1.1458E-4</v>
      </c>
      <c r="F6666" s="25">
        <v>1.0021E-4</v>
      </c>
      <c r="G6666" s="25">
        <v>1.6254E-4</v>
      </c>
      <c r="H6666" s="25">
        <v>2.0061999999999999E-4</v>
      </c>
      <c r="I6666" s="9">
        <v>1.2491999999999999E-4</v>
      </c>
      <c r="J6666" s="9">
        <v>1.2674999999999999E-4</v>
      </c>
      <c r="K6666" s="9">
        <v>0</v>
      </c>
      <c r="L6666" s="9">
        <v>1.6259E-4</v>
      </c>
      <c r="M6666" s="9">
        <v>1.6959000000000001E-4</v>
      </c>
      <c r="N6666" s="9">
        <v>1.7024E-4</v>
      </c>
      <c r="O6666" s="9">
        <v>1.8012E-4</v>
      </c>
      <c r="P6666" s="9">
        <v>1.7028E-4</v>
      </c>
      <c r="Q6666" s="9">
        <v>1.6218E-4</v>
      </c>
      <c r="R6666" s="10">
        <v>8.4423216459901437E-5</v>
      </c>
      <c r="S6666" s="10">
        <v>1.2624171309951268E-4</v>
      </c>
      <c r="T6666" s="10">
        <v>1.5790977950485253E-4</v>
      </c>
      <c r="U6666" s="10">
        <v>6.6130000000000006E-5</v>
      </c>
      <c r="V6666" s="25"/>
      <c r="W6666" s="25"/>
      <c r="X6666" s="25"/>
      <c r="Y6666" s="25"/>
      <c r="Z6666" s="25"/>
      <c r="AA6666" s="25"/>
    </row>
    <row r="6667" spans="1:27" x14ac:dyDescent="0.35">
      <c r="A6667" s="5">
        <v>6663</v>
      </c>
      <c r="B6667" s="5">
        <v>278</v>
      </c>
      <c r="C6667" s="5">
        <v>10</v>
      </c>
      <c r="D6667" s="25">
        <v>1.1416E-4</v>
      </c>
      <c r="E6667" s="25">
        <v>1.0484000000000001E-4</v>
      </c>
      <c r="F6667" s="25">
        <v>1.137E-4</v>
      </c>
      <c r="G6667" s="25">
        <v>1.6745E-4</v>
      </c>
      <c r="H6667" s="25">
        <v>1.9704E-4</v>
      </c>
      <c r="I6667" s="9">
        <v>1.2338E-4</v>
      </c>
      <c r="J6667" s="9">
        <v>1.2706999999999999E-4</v>
      </c>
      <c r="K6667" s="9">
        <v>0</v>
      </c>
      <c r="L6667" s="9">
        <v>1.7647E-4</v>
      </c>
      <c r="M6667" s="9">
        <v>1.6859000000000001E-4</v>
      </c>
      <c r="N6667" s="9">
        <v>1.7008999999999999E-4</v>
      </c>
      <c r="O6667" s="9">
        <v>1.8432999999999999E-4</v>
      </c>
      <c r="P6667" s="9">
        <v>1.6768999999999999E-4</v>
      </c>
      <c r="Q6667" s="9">
        <v>1.5296E-4</v>
      </c>
      <c r="R6667" s="10">
        <v>9.2391654463844111E-5</v>
      </c>
      <c r="S6667" s="10">
        <v>1.3853596314061936E-4</v>
      </c>
      <c r="T6667" s="10">
        <v>8.3358241115150236E-5</v>
      </c>
      <c r="U6667" s="10">
        <v>6.6130000000000006E-5</v>
      </c>
      <c r="V6667" s="25"/>
      <c r="W6667" s="25"/>
      <c r="X6667" s="25"/>
      <c r="Y6667" s="25"/>
      <c r="Z6667" s="25"/>
      <c r="AA6667" s="25"/>
    </row>
    <row r="6668" spans="1:27" x14ac:dyDescent="0.35">
      <c r="A6668" s="5">
        <v>6664</v>
      </c>
      <c r="B6668" s="5">
        <v>278</v>
      </c>
      <c r="C6668" s="5">
        <v>10</v>
      </c>
      <c r="D6668" s="25">
        <v>1.1415000000000001E-4</v>
      </c>
      <c r="E6668" s="25">
        <v>1.1260999999999999E-4</v>
      </c>
      <c r="F6668" s="25">
        <v>1.1233E-4</v>
      </c>
      <c r="G6668" s="25">
        <v>1.5708000000000001E-4</v>
      </c>
      <c r="H6668" s="25">
        <v>1.9897E-4</v>
      </c>
      <c r="I6668" s="9">
        <v>1.2303999999999999E-4</v>
      </c>
      <c r="J6668" s="9">
        <v>1.2789999999999999E-4</v>
      </c>
      <c r="K6668" s="9">
        <v>0</v>
      </c>
      <c r="L6668" s="9">
        <v>1.8223E-4</v>
      </c>
      <c r="M6668" s="9">
        <v>1.6813E-4</v>
      </c>
      <c r="N6668" s="9">
        <v>1.6631999999999999E-4</v>
      </c>
      <c r="O6668" s="9">
        <v>1.9861999999999999E-4</v>
      </c>
      <c r="P6668" s="9">
        <v>1.5320000000000001E-4</v>
      </c>
      <c r="Q6668" s="9">
        <v>1.103E-4</v>
      </c>
      <c r="R6668" s="10">
        <v>9.8789019981573395E-5</v>
      </c>
      <c r="S6668" s="10">
        <v>1.530779601481458E-4</v>
      </c>
      <c r="T6668" s="10">
        <v>1.2984371725458107E-4</v>
      </c>
      <c r="U6668" s="10">
        <v>6.6130000000000006E-5</v>
      </c>
      <c r="V6668" s="25"/>
      <c r="W6668" s="25"/>
      <c r="X6668" s="25"/>
      <c r="Y6668" s="25"/>
      <c r="Z6668" s="25"/>
      <c r="AA6668" s="25"/>
    </row>
    <row r="6669" spans="1:27" x14ac:dyDescent="0.35">
      <c r="A6669" s="5">
        <v>6665</v>
      </c>
      <c r="B6669" s="5">
        <v>278</v>
      </c>
      <c r="C6669" s="5">
        <v>10</v>
      </c>
      <c r="D6669" s="25">
        <v>1.1416E-4</v>
      </c>
      <c r="E6669" s="25">
        <v>1.0933999999999999E-4</v>
      </c>
      <c r="F6669" s="25">
        <v>1.1353000000000001E-4</v>
      </c>
      <c r="G6669" s="25">
        <v>1.5987999999999999E-4</v>
      </c>
      <c r="H6669" s="25">
        <v>1.9979000000000001E-4</v>
      </c>
      <c r="I6669" s="9">
        <v>1.2522999999999999E-4</v>
      </c>
      <c r="J6669" s="9">
        <v>1.2987E-4</v>
      </c>
      <c r="K6669" s="9">
        <v>0</v>
      </c>
      <c r="L6669" s="9">
        <v>1.9479E-4</v>
      </c>
      <c r="M6669" s="9">
        <v>1.6274E-4</v>
      </c>
      <c r="N6669" s="9">
        <v>1.527E-4</v>
      </c>
      <c r="O6669" s="9">
        <v>2.1437E-4</v>
      </c>
      <c r="P6669" s="9">
        <v>1.5935E-4</v>
      </c>
      <c r="Q6669" s="9">
        <v>1.0718E-4</v>
      </c>
      <c r="R6669" s="10">
        <v>9.9337775692865803E-5</v>
      </c>
      <c r="S6669" s="10">
        <v>1.5821959531435516E-4</v>
      </c>
      <c r="T6669" s="10">
        <v>4.1327022134544204E-5</v>
      </c>
      <c r="U6669" s="10">
        <v>6.6130000000000006E-5</v>
      </c>
      <c r="V6669" s="25"/>
      <c r="W6669" s="25"/>
      <c r="X6669" s="25"/>
      <c r="Y6669" s="25"/>
      <c r="Z6669" s="25"/>
      <c r="AA6669" s="25"/>
    </row>
    <row r="6670" spans="1:27" x14ac:dyDescent="0.35">
      <c r="A6670" s="5">
        <v>6666</v>
      </c>
      <c r="B6670" s="5">
        <v>278</v>
      </c>
      <c r="C6670" s="5">
        <v>10</v>
      </c>
      <c r="D6670" s="25">
        <v>1.1415000000000001E-4</v>
      </c>
      <c r="E6670" s="25">
        <v>1.0552000000000001E-4</v>
      </c>
      <c r="F6670" s="25">
        <v>1.1883E-4</v>
      </c>
      <c r="G6670" s="25">
        <v>1.6126000000000001E-4</v>
      </c>
      <c r="H6670" s="25">
        <v>1.8932000000000001E-4</v>
      </c>
      <c r="I6670" s="9">
        <v>1.2624000000000001E-4</v>
      </c>
      <c r="J6670" s="9">
        <v>1.2726999999999999E-4</v>
      </c>
      <c r="K6670" s="9">
        <v>1.484E-5</v>
      </c>
      <c r="L6670" s="9">
        <v>2.0981999999999999E-4</v>
      </c>
      <c r="M6670" s="9">
        <v>1.6000000000000001E-4</v>
      </c>
      <c r="N6670" s="9">
        <v>1.3935E-4</v>
      </c>
      <c r="O6670" s="9">
        <v>2.0618000000000001E-4</v>
      </c>
      <c r="P6670" s="9">
        <v>1.6076E-4</v>
      </c>
      <c r="Q6670" s="9">
        <v>1.1794E-4</v>
      </c>
      <c r="R6670" s="10">
        <v>9.4171975370965449E-5</v>
      </c>
      <c r="S6670" s="10">
        <v>1.6396106117234644E-4</v>
      </c>
      <c r="T6670" s="10">
        <v>0</v>
      </c>
      <c r="U6670" s="10">
        <v>6.6130000000000006E-5</v>
      </c>
      <c r="V6670" s="25"/>
      <c r="W6670" s="25"/>
      <c r="X6670" s="25"/>
      <c r="Y6670" s="25"/>
      <c r="Z6670" s="25"/>
      <c r="AA6670" s="25"/>
    </row>
    <row r="6671" spans="1:27" x14ac:dyDescent="0.35">
      <c r="A6671" s="5">
        <v>6667</v>
      </c>
      <c r="B6671" s="5">
        <v>278</v>
      </c>
      <c r="C6671" s="5">
        <v>10</v>
      </c>
      <c r="D6671" s="25">
        <v>1.1416E-4</v>
      </c>
      <c r="E6671" s="25">
        <v>1.1336E-4</v>
      </c>
      <c r="F6671" s="25">
        <v>1.1807E-4</v>
      </c>
      <c r="G6671" s="25">
        <v>1.1482E-4</v>
      </c>
      <c r="H6671" s="25">
        <v>1.3169000000000001E-4</v>
      </c>
      <c r="I6671" s="9">
        <v>1.2782000000000001E-4</v>
      </c>
      <c r="J6671" s="9">
        <v>1.3104999999999999E-4</v>
      </c>
      <c r="K6671" s="9">
        <v>2.5429999999999999E-5</v>
      </c>
      <c r="L6671" s="9">
        <v>2.0659000000000001E-4</v>
      </c>
      <c r="M6671" s="9">
        <v>1.5972E-4</v>
      </c>
      <c r="N6671" s="9">
        <v>1.3034E-4</v>
      </c>
      <c r="O6671" s="9">
        <v>1.6517999999999999E-4</v>
      </c>
      <c r="P6671" s="9">
        <v>1.3536000000000001E-4</v>
      </c>
      <c r="Q6671" s="9">
        <v>1.0744E-4</v>
      </c>
      <c r="R6671" s="10">
        <v>9.5350852895240842E-5</v>
      </c>
      <c r="S6671" s="10">
        <v>1.6280076033318435E-4</v>
      </c>
      <c r="T6671" s="10">
        <v>0</v>
      </c>
      <c r="U6671" s="10">
        <v>6.6130000000000006E-5</v>
      </c>
      <c r="V6671" s="25"/>
      <c r="W6671" s="25"/>
      <c r="X6671" s="25"/>
      <c r="Y6671" s="25"/>
      <c r="Z6671" s="25"/>
      <c r="AA6671" s="25"/>
    </row>
    <row r="6672" spans="1:27" x14ac:dyDescent="0.35">
      <c r="A6672" s="5">
        <v>6668</v>
      </c>
      <c r="B6672" s="5">
        <v>278</v>
      </c>
      <c r="C6672" s="5">
        <v>10</v>
      </c>
      <c r="D6672" s="25">
        <v>1.1415000000000001E-4</v>
      </c>
      <c r="E6672" s="25">
        <v>1.1459E-4</v>
      </c>
      <c r="F6672" s="25">
        <v>1.0538E-4</v>
      </c>
      <c r="G6672" s="25">
        <v>1.0529E-4</v>
      </c>
      <c r="H6672" s="25">
        <v>1.3570999999999999E-4</v>
      </c>
      <c r="I6672" s="9">
        <v>1.2564E-4</v>
      </c>
      <c r="J6672" s="9">
        <v>1.2952999999999999E-4</v>
      </c>
      <c r="K6672" s="9">
        <v>4.4509999999999999E-5</v>
      </c>
      <c r="L6672" s="9">
        <v>1.7446000000000001E-4</v>
      </c>
      <c r="M6672" s="9">
        <v>1.5105000000000001E-4</v>
      </c>
      <c r="N6672" s="9">
        <v>1.2123E-4</v>
      </c>
      <c r="O6672" s="9">
        <v>1.2820999999999999E-4</v>
      </c>
      <c r="P6672" s="9">
        <v>1.141E-4</v>
      </c>
      <c r="Q6672" s="9">
        <v>1.0122E-4</v>
      </c>
      <c r="R6672" s="10">
        <v>1.0881790049422656E-4</v>
      </c>
      <c r="S6672" s="10">
        <v>1.6051556090908959E-4</v>
      </c>
      <c r="T6672" s="10">
        <v>0</v>
      </c>
      <c r="U6672" s="10">
        <v>6.6130000000000006E-5</v>
      </c>
      <c r="V6672" s="25"/>
      <c r="W6672" s="25"/>
      <c r="X6672" s="25"/>
      <c r="Y6672" s="25"/>
      <c r="Z6672" s="25"/>
      <c r="AA6672" s="25"/>
    </row>
    <row r="6673" spans="1:27" x14ac:dyDescent="0.35">
      <c r="A6673" s="5">
        <v>6669</v>
      </c>
      <c r="B6673" s="5">
        <v>278</v>
      </c>
      <c r="C6673" s="5">
        <v>10</v>
      </c>
      <c r="D6673" s="25">
        <v>1.1416E-4</v>
      </c>
      <c r="E6673" s="25">
        <v>1.1165E-4</v>
      </c>
      <c r="F6673" s="25">
        <v>1.1142E-4</v>
      </c>
      <c r="G6673" s="25">
        <v>5.7429999999999997E-5</v>
      </c>
      <c r="H6673" s="25">
        <v>6.9179999999999998E-5</v>
      </c>
      <c r="I6673" s="9">
        <v>1.1825E-4</v>
      </c>
      <c r="J6673" s="9">
        <v>1.2148E-4</v>
      </c>
      <c r="K6673" s="9">
        <v>5.7229999999999999E-5</v>
      </c>
      <c r="L6673" s="9">
        <v>1.3938000000000001E-4</v>
      </c>
      <c r="M6673" s="9">
        <v>1.3531E-4</v>
      </c>
      <c r="N6673" s="9">
        <v>1.1333E-4</v>
      </c>
      <c r="O6673" s="9">
        <v>8.5259999999999993E-5</v>
      </c>
      <c r="P6673" s="9">
        <v>8.6790000000000001E-5</v>
      </c>
      <c r="Q6673" s="9">
        <v>8.8800000000000004E-5</v>
      </c>
      <c r="R6673" s="10">
        <v>1.1069916364196329E-4</v>
      </c>
      <c r="S6673" s="10">
        <v>1.5439397409578964E-4</v>
      </c>
      <c r="T6673" s="10">
        <v>0</v>
      </c>
      <c r="U6673" s="10">
        <v>6.6130000000000006E-5</v>
      </c>
      <c r="V6673" s="25"/>
      <c r="W6673" s="25"/>
      <c r="X6673" s="25"/>
      <c r="Y6673" s="25"/>
      <c r="Z6673" s="25"/>
      <c r="AA6673" s="25"/>
    </row>
    <row r="6674" spans="1:27" x14ac:dyDescent="0.35">
      <c r="A6674" s="5">
        <v>6670</v>
      </c>
      <c r="B6674" s="5">
        <v>278</v>
      </c>
      <c r="C6674" s="5">
        <v>10</v>
      </c>
      <c r="D6674" s="25">
        <v>1.1415000000000001E-4</v>
      </c>
      <c r="E6674" s="25">
        <v>1.0841E-4</v>
      </c>
      <c r="F6674" s="25">
        <v>1.0051E-4</v>
      </c>
      <c r="G6674" s="25">
        <v>5.2790000000000001E-5</v>
      </c>
      <c r="H6674" s="25">
        <v>7.3520000000000001E-5</v>
      </c>
      <c r="I6674" s="9">
        <v>1.1472999999999999E-4</v>
      </c>
      <c r="J6674" s="9">
        <v>1.1215E-4</v>
      </c>
      <c r="K6674" s="9">
        <v>6.9939999999999998E-5</v>
      </c>
      <c r="L6674" s="9">
        <v>9.8109999999999994E-5</v>
      </c>
      <c r="M6674" s="9">
        <v>1.1379000000000001E-4</v>
      </c>
      <c r="N6674" s="9">
        <v>1.0577E-4</v>
      </c>
      <c r="O6674" s="9">
        <v>8.7180000000000002E-5</v>
      </c>
      <c r="P6674" s="9">
        <v>8.7299999999999994E-5</v>
      </c>
      <c r="Q6674" s="9">
        <v>8.7949999999999996E-5</v>
      </c>
      <c r="R6674" s="10">
        <v>1.0701807154564705E-4</v>
      </c>
      <c r="S6674" s="10">
        <v>1.5227405814858408E-4</v>
      </c>
      <c r="T6674" s="10">
        <v>0</v>
      </c>
      <c r="U6674" s="10">
        <v>6.6130000000000006E-5</v>
      </c>
      <c r="V6674" s="25"/>
      <c r="W6674" s="25"/>
      <c r="X6674" s="25"/>
      <c r="Y6674" s="25"/>
      <c r="Z6674" s="25"/>
      <c r="AA6674" s="25"/>
    </row>
    <row r="6675" spans="1:27" x14ac:dyDescent="0.35">
      <c r="A6675" s="5">
        <v>6671</v>
      </c>
      <c r="B6675" s="5">
        <v>278</v>
      </c>
      <c r="C6675" s="5">
        <v>10</v>
      </c>
      <c r="D6675" s="25">
        <v>1.1416E-4</v>
      </c>
      <c r="E6675" s="25">
        <v>1.0565000000000001E-4</v>
      </c>
      <c r="F6675" s="25">
        <v>1.0202E-4</v>
      </c>
      <c r="G6675" s="25">
        <v>5.3980000000000002E-5</v>
      </c>
      <c r="H6675" s="25">
        <v>7.6580000000000002E-5</v>
      </c>
      <c r="I6675" s="9">
        <v>1.0977E-4</v>
      </c>
      <c r="J6675" s="9">
        <v>1.0419E-4</v>
      </c>
      <c r="K6675" s="9">
        <v>7.8419999999999998E-5</v>
      </c>
      <c r="L6675" s="9">
        <v>9.0500000000000004E-5</v>
      </c>
      <c r="M6675" s="9">
        <v>9.8989999999999999E-5</v>
      </c>
      <c r="N6675" s="9">
        <v>9.9840000000000006E-5</v>
      </c>
      <c r="O6675" s="9">
        <v>7.771E-5</v>
      </c>
      <c r="P6675" s="9">
        <v>7.1970000000000004E-5</v>
      </c>
      <c r="Q6675" s="9">
        <v>6.6730000000000007E-5</v>
      </c>
      <c r="R6675" s="10">
        <v>9.9277092279858578E-5</v>
      </c>
      <c r="S6675" s="10">
        <v>1.5063850867494722E-4</v>
      </c>
      <c r="T6675" s="10">
        <v>0</v>
      </c>
      <c r="U6675" s="10">
        <v>6.6130000000000006E-5</v>
      </c>
      <c r="V6675" s="25"/>
      <c r="W6675" s="25"/>
      <c r="X6675" s="25"/>
      <c r="Y6675" s="25"/>
      <c r="Z6675" s="25"/>
      <c r="AA6675" s="25"/>
    </row>
    <row r="6676" spans="1:27" x14ac:dyDescent="0.35">
      <c r="A6676" s="5">
        <v>6672</v>
      </c>
      <c r="B6676" s="5">
        <v>278</v>
      </c>
      <c r="C6676" s="5">
        <v>10</v>
      </c>
      <c r="D6676" s="25">
        <v>1.1415000000000001E-4</v>
      </c>
      <c r="E6676" s="25">
        <v>1.1523000000000001E-4</v>
      </c>
      <c r="F6676" s="25">
        <v>1.0026000000000001E-4</v>
      </c>
      <c r="G6676" s="25">
        <v>5.6069999999999997E-5</v>
      </c>
      <c r="H6676" s="25">
        <v>7.5279999999999998E-5</v>
      </c>
      <c r="I6676" s="9">
        <v>1.0327000000000001E-4</v>
      </c>
      <c r="J6676" s="9">
        <v>9.6710000000000001E-5</v>
      </c>
      <c r="K6676" s="9">
        <v>8.2650000000000003E-5</v>
      </c>
      <c r="L6676" s="9">
        <v>8.0519999999999995E-5</v>
      </c>
      <c r="M6676" s="9">
        <v>8.6000000000000003E-5</v>
      </c>
      <c r="N6676" s="9">
        <v>9.0500000000000004E-5</v>
      </c>
      <c r="O6676" s="9">
        <v>6.2890000000000003E-5</v>
      </c>
      <c r="P6676" s="9">
        <v>6.0789999999999999E-5</v>
      </c>
      <c r="Q6676" s="9">
        <v>5.897E-5</v>
      </c>
      <c r="R6676" s="10">
        <v>9.5633727629343372E-5</v>
      </c>
      <c r="S6676" s="10">
        <v>1.3423478026133409E-4</v>
      </c>
      <c r="T6676" s="10">
        <v>0</v>
      </c>
      <c r="U6676" s="10">
        <v>6.6130000000000006E-5</v>
      </c>
      <c r="V6676" s="25"/>
      <c r="W6676" s="25"/>
      <c r="X6676" s="25"/>
      <c r="Y6676" s="25"/>
      <c r="Z6676" s="25"/>
      <c r="AA6676" s="25"/>
    </row>
    <row r="6677" spans="1:27" x14ac:dyDescent="0.35">
      <c r="A6677" s="5">
        <v>6673</v>
      </c>
      <c r="B6677" s="5">
        <v>279</v>
      </c>
      <c r="C6677" s="5">
        <v>10</v>
      </c>
      <c r="D6677" s="25">
        <v>1.1416E-4</v>
      </c>
      <c r="E6677" s="25">
        <v>1.1676E-4</v>
      </c>
      <c r="F6677" s="25">
        <v>1.1147E-4</v>
      </c>
      <c r="G6677" s="25">
        <v>5.5670000000000001E-5</v>
      </c>
      <c r="H6677" s="25">
        <v>4.5979999999999997E-5</v>
      </c>
      <c r="I6677" s="9">
        <v>9.7979999999999994E-5</v>
      </c>
      <c r="J6677" s="9">
        <v>9.1849999999999996E-5</v>
      </c>
      <c r="K6677" s="9">
        <v>9.3259999999999998E-5</v>
      </c>
      <c r="L6677" s="9">
        <v>6.6769999999999999E-5</v>
      </c>
      <c r="M6677" s="9">
        <v>7.394E-5</v>
      </c>
      <c r="N6677" s="9">
        <v>8.1110000000000001E-5</v>
      </c>
      <c r="O6677" s="9">
        <v>6.8219999999999994E-5</v>
      </c>
      <c r="P6677" s="9">
        <v>6.0739999999999998E-5</v>
      </c>
      <c r="Q6677" s="9">
        <v>5.3569999999999997E-5</v>
      </c>
      <c r="R6677" s="10">
        <v>8.5374143728389582E-5</v>
      </c>
      <c r="S6677" s="10">
        <v>1.2284063148411243E-4</v>
      </c>
      <c r="T6677" s="10">
        <v>0</v>
      </c>
      <c r="U6677" s="10">
        <v>6.6299999999999999E-5</v>
      </c>
      <c r="V6677" s="25"/>
      <c r="W6677" s="25"/>
      <c r="X6677" s="25"/>
      <c r="Y6677" s="25"/>
      <c r="Z6677" s="25"/>
      <c r="AA6677" s="25"/>
    </row>
    <row r="6678" spans="1:27" x14ac:dyDescent="0.35">
      <c r="A6678" s="5">
        <v>6674</v>
      </c>
      <c r="B6678" s="5">
        <v>279</v>
      </c>
      <c r="C6678" s="5">
        <v>10</v>
      </c>
      <c r="D6678" s="25">
        <v>1.1415000000000001E-4</v>
      </c>
      <c r="E6678" s="25">
        <v>1.1997000000000001E-4</v>
      </c>
      <c r="F6678" s="25">
        <v>1.0793000000000001E-4</v>
      </c>
      <c r="G6678" s="25">
        <v>5.9379999999999997E-5</v>
      </c>
      <c r="H6678" s="25">
        <v>4.015E-5</v>
      </c>
      <c r="I6678" s="9">
        <v>9.5359999999999995E-5</v>
      </c>
      <c r="J6678" s="9">
        <v>8.9469999999999995E-5</v>
      </c>
      <c r="K6678" s="9">
        <v>9.9610000000000003E-5</v>
      </c>
      <c r="L6678" s="9">
        <v>6.8280000000000004E-5</v>
      </c>
      <c r="M6678" s="9">
        <v>6.6329999999999997E-5</v>
      </c>
      <c r="N6678" s="9">
        <v>7.2050000000000003E-5</v>
      </c>
      <c r="O6678" s="9">
        <v>3.5410000000000001E-5</v>
      </c>
      <c r="P6678" s="9">
        <v>4.6190000000000003E-5</v>
      </c>
      <c r="Q6678" s="9">
        <v>5.6610000000000002E-5</v>
      </c>
      <c r="R6678" s="10">
        <v>8.3630565434846037E-5</v>
      </c>
      <c r="S6678" s="10">
        <v>1.1806349236724997E-4</v>
      </c>
      <c r="T6678" s="10">
        <v>0</v>
      </c>
      <c r="U6678" s="10">
        <v>6.6299999999999999E-5</v>
      </c>
      <c r="V6678" s="25"/>
      <c r="W6678" s="25"/>
      <c r="X6678" s="25"/>
      <c r="Y6678" s="25"/>
      <c r="Z6678" s="25"/>
      <c r="AA6678" s="25"/>
    </row>
    <row r="6679" spans="1:27" x14ac:dyDescent="0.35">
      <c r="A6679" s="5">
        <v>6675</v>
      </c>
      <c r="B6679" s="5">
        <v>279</v>
      </c>
      <c r="C6679" s="5">
        <v>10</v>
      </c>
      <c r="D6679" s="25">
        <v>1.1416E-4</v>
      </c>
      <c r="E6679" s="25">
        <v>1.2066E-4</v>
      </c>
      <c r="F6679" s="25">
        <v>1.0417E-4</v>
      </c>
      <c r="G6679" s="25">
        <v>5.3739999999999997E-5</v>
      </c>
      <c r="H6679" s="25">
        <v>4.2410000000000002E-5</v>
      </c>
      <c r="I6679" s="9">
        <v>9.4220000000000003E-5</v>
      </c>
      <c r="J6679" s="9">
        <v>8.8809999999999998E-5</v>
      </c>
      <c r="K6679" s="9">
        <v>9.1139999999999998E-5</v>
      </c>
      <c r="L6679" s="9">
        <v>4.2549999999999997E-5</v>
      </c>
      <c r="M6679" s="9">
        <v>5.7469999999999997E-5</v>
      </c>
      <c r="N6679" s="9">
        <v>6.5580000000000006E-5</v>
      </c>
      <c r="O6679" s="9">
        <v>2.1889999999999999E-5</v>
      </c>
      <c r="P6679" s="9">
        <v>4.197E-5</v>
      </c>
      <c r="Q6679" s="9">
        <v>6.1400000000000002E-5</v>
      </c>
      <c r="R6679" s="10">
        <v>8.0138353243321188E-5</v>
      </c>
      <c r="S6679" s="10">
        <v>1.1181671237418186E-4</v>
      </c>
      <c r="T6679" s="10">
        <v>0</v>
      </c>
      <c r="U6679" s="10">
        <v>6.6299999999999999E-5</v>
      </c>
      <c r="V6679" s="25"/>
      <c r="W6679" s="25"/>
      <c r="X6679" s="25"/>
      <c r="Y6679" s="25"/>
      <c r="Z6679" s="25"/>
      <c r="AA6679" s="25"/>
    </row>
    <row r="6680" spans="1:27" x14ac:dyDescent="0.35">
      <c r="A6680" s="5">
        <v>6676</v>
      </c>
      <c r="B6680" s="5">
        <v>279</v>
      </c>
      <c r="C6680" s="5">
        <v>10</v>
      </c>
      <c r="D6680" s="25">
        <v>1.1415000000000001E-4</v>
      </c>
      <c r="E6680" s="25">
        <v>1.2076E-4</v>
      </c>
      <c r="F6680" s="25">
        <v>1.0645999999999999E-4</v>
      </c>
      <c r="G6680" s="25">
        <v>5.8699999999999997E-5</v>
      </c>
      <c r="H6680" s="25">
        <v>3.799E-5</v>
      </c>
      <c r="I6680" s="9">
        <v>9.5089999999999999E-5</v>
      </c>
      <c r="J6680" s="9">
        <v>8.9190000000000005E-5</v>
      </c>
      <c r="K6680" s="9">
        <v>9.3250000000000003E-5</v>
      </c>
      <c r="L6680" s="9">
        <v>2.705E-5</v>
      </c>
      <c r="M6680" s="9">
        <v>4.9790000000000003E-5</v>
      </c>
      <c r="N6680" s="9">
        <v>6.1970000000000005E-5</v>
      </c>
      <c r="O6680" s="9">
        <v>2.1250000000000002E-5</v>
      </c>
      <c r="P6680" s="9">
        <v>5.0899999999999997E-5</v>
      </c>
      <c r="Q6680" s="9">
        <v>7.9740000000000006E-5</v>
      </c>
      <c r="R6680" s="10">
        <v>7.0503403188915074E-5</v>
      </c>
      <c r="S6680" s="10">
        <v>1.170963014069367E-4</v>
      </c>
      <c r="T6680" s="10">
        <v>0</v>
      </c>
      <c r="U6680" s="10">
        <v>6.6299999999999999E-5</v>
      </c>
      <c r="V6680" s="25"/>
      <c r="W6680" s="25"/>
      <c r="X6680" s="25"/>
      <c r="Y6680" s="25"/>
      <c r="Z6680" s="25"/>
      <c r="AA6680" s="25"/>
    </row>
    <row r="6681" spans="1:27" x14ac:dyDescent="0.35">
      <c r="A6681" s="5">
        <v>6677</v>
      </c>
      <c r="B6681" s="5">
        <v>279</v>
      </c>
      <c r="C6681" s="5">
        <v>10</v>
      </c>
      <c r="D6681" s="25">
        <v>1.1416E-4</v>
      </c>
      <c r="E6681" s="25">
        <v>1.1705999999999999E-4</v>
      </c>
      <c r="F6681" s="25">
        <v>1.1809E-4</v>
      </c>
      <c r="G6681" s="25">
        <v>5.8739999999999997E-5</v>
      </c>
      <c r="H6681" s="25">
        <v>4.549E-5</v>
      </c>
      <c r="I6681" s="9">
        <v>1.0109E-4</v>
      </c>
      <c r="J6681" s="9">
        <v>9.2899999999999995E-5</v>
      </c>
      <c r="K6681" s="9">
        <v>9.3259999999999998E-5</v>
      </c>
      <c r="L6681" s="9">
        <v>2.2989999999999998E-5</v>
      </c>
      <c r="M6681" s="9">
        <v>4.8359999999999998E-5</v>
      </c>
      <c r="N6681" s="9">
        <v>6.4369999999999995E-5</v>
      </c>
      <c r="O6681" s="9">
        <v>2.338E-5</v>
      </c>
      <c r="P6681" s="9">
        <v>5.9089999999999998E-5</v>
      </c>
      <c r="Q6681" s="9">
        <v>9.391E-5</v>
      </c>
      <c r="R6681" s="10">
        <v>6.3427926074814166E-5</v>
      </c>
      <c r="S6681" s="10">
        <v>1.1887986536395001E-4</v>
      </c>
      <c r="T6681" s="10">
        <v>0</v>
      </c>
      <c r="U6681" s="10">
        <v>6.6299999999999999E-5</v>
      </c>
      <c r="V6681" s="25"/>
      <c r="W6681" s="25"/>
      <c r="X6681" s="25"/>
      <c r="Y6681" s="25"/>
      <c r="Z6681" s="25"/>
      <c r="AA6681" s="25"/>
    </row>
    <row r="6682" spans="1:27" x14ac:dyDescent="0.35">
      <c r="A6682" s="5">
        <v>6678</v>
      </c>
      <c r="B6682" s="5">
        <v>279</v>
      </c>
      <c r="C6682" s="5">
        <v>10</v>
      </c>
      <c r="D6682" s="25">
        <v>1.1415000000000001E-4</v>
      </c>
      <c r="E6682" s="25">
        <v>1.1982E-4</v>
      </c>
      <c r="F6682" s="25">
        <v>1.049E-4</v>
      </c>
      <c r="G6682" s="25">
        <v>1.1485999999999999E-4</v>
      </c>
      <c r="H6682" s="25">
        <v>7.9720000000000002E-5</v>
      </c>
      <c r="I6682" s="9">
        <v>1.1456E-4</v>
      </c>
      <c r="J6682" s="9">
        <v>1.0463000000000001E-4</v>
      </c>
      <c r="K6682" s="9">
        <v>8.9010000000000003E-5</v>
      </c>
      <c r="L6682" s="9">
        <v>2.323E-5</v>
      </c>
      <c r="M6682" s="9">
        <v>5.2169999999999997E-5</v>
      </c>
      <c r="N6682" s="9">
        <v>7.0980000000000001E-5</v>
      </c>
      <c r="O6682" s="9">
        <v>2.9770000000000001E-5</v>
      </c>
      <c r="P6682" s="9">
        <v>6.9070000000000001E-5</v>
      </c>
      <c r="Q6682" s="9">
        <v>1.075E-4</v>
      </c>
      <c r="R6682" s="10">
        <v>5.9704114399222323E-5</v>
      </c>
      <c r="S6682" s="10">
        <v>1.080371548883164E-4</v>
      </c>
      <c r="T6682" s="10">
        <v>0</v>
      </c>
      <c r="U6682" s="10">
        <v>6.6299999999999999E-5</v>
      </c>
      <c r="V6682" s="25"/>
      <c r="W6682" s="25"/>
      <c r="X6682" s="25"/>
      <c r="Y6682" s="25"/>
      <c r="Z6682" s="25"/>
      <c r="AA6682" s="25"/>
    </row>
    <row r="6683" spans="1:27" x14ac:dyDescent="0.35">
      <c r="A6683" s="5">
        <v>6679</v>
      </c>
      <c r="B6683" s="5">
        <v>279</v>
      </c>
      <c r="C6683" s="5">
        <v>10</v>
      </c>
      <c r="D6683" s="25">
        <v>1.1416E-4</v>
      </c>
      <c r="E6683" s="25">
        <v>1.2286999999999999E-4</v>
      </c>
      <c r="F6683" s="25">
        <v>1.1793E-4</v>
      </c>
      <c r="G6683" s="25">
        <v>1.0539000000000001E-4</v>
      </c>
      <c r="H6683" s="25">
        <v>8.0090000000000001E-5</v>
      </c>
      <c r="I6683" s="9">
        <v>1.2758999999999999E-4</v>
      </c>
      <c r="J6683" s="9">
        <v>1.2201000000000001E-4</v>
      </c>
      <c r="K6683" s="9">
        <v>8.0530000000000003E-5</v>
      </c>
      <c r="L6683" s="9">
        <v>2.8229999999999999E-5</v>
      </c>
      <c r="M6683" s="9">
        <v>5.9389999999999999E-5</v>
      </c>
      <c r="N6683" s="9">
        <v>8.0790000000000004E-5</v>
      </c>
      <c r="O6683" s="9">
        <v>4.6180000000000002E-5</v>
      </c>
      <c r="P6683" s="9">
        <v>7.962E-5</v>
      </c>
      <c r="Q6683" s="9">
        <v>1.1246E-4</v>
      </c>
      <c r="R6683" s="10">
        <v>6.0465415057830124E-5</v>
      </c>
      <c r="S6683" s="10">
        <v>1.0643763618510699E-4</v>
      </c>
      <c r="T6683" s="10">
        <v>3.4785627335584317E-7</v>
      </c>
      <c r="U6683" s="10">
        <v>6.6299999999999999E-5</v>
      </c>
      <c r="V6683" s="25"/>
      <c r="W6683" s="25"/>
      <c r="X6683" s="25"/>
      <c r="Y6683" s="25"/>
      <c r="Z6683" s="25"/>
      <c r="AA6683" s="25"/>
    </row>
    <row r="6684" spans="1:27" x14ac:dyDescent="0.35">
      <c r="A6684" s="5">
        <v>6680</v>
      </c>
      <c r="B6684" s="5">
        <v>279</v>
      </c>
      <c r="C6684" s="5">
        <v>10</v>
      </c>
      <c r="D6684" s="25">
        <v>1.1415000000000001E-4</v>
      </c>
      <c r="E6684" s="25">
        <v>1.1362E-4</v>
      </c>
      <c r="F6684" s="25">
        <v>1.081E-4</v>
      </c>
      <c r="G6684" s="25">
        <v>1.6559999999999999E-4</v>
      </c>
      <c r="H6684" s="25">
        <v>1.1404E-4</v>
      </c>
      <c r="I6684" s="9">
        <v>1.2698000000000001E-4</v>
      </c>
      <c r="J6684" s="9">
        <v>1.2914E-4</v>
      </c>
      <c r="K6684" s="9">
        <v>7.2059999999999998E-5</v>
      </c>
      <c r="L6684" s="9">
        <v>4.2079999999999997E-5</v>
      </c>
      <c r="M6684" s="9">
        <v>6.8479999999999995E-5</v>
      </c>
      <c r="N6684" s="9">
        <v>9.0879999999999997E-5</v>
      </c>
      <c r="O6684" s="9">
        <v>6.8839999999999998E-5</v>
      </c>
      <c r="P6684" s="9">
        <v>1.0352E-4</v>
      </c>
      <c r="Q6684" s="9">
        <v>1.3783999999999999E-4</v>
      </c>
      <c r="R6684" s="10">
        <v>5.7952133161277405E-5</v>
      </c>
      <c r="S6684" s="10">
        <v>1.1886523186515748E-4</v>
      </c>
      <c r="T6684" s="10">
        <v>3.5820711856301708E-5</v>
      </c>
      <c r="U6684" s="10">
        <v>6.6299999999999999E-5</v>
      </c>
      <c r="V6684" s="25"/>
      <c r="W6684" s="25"/>
      <c r="X6684" s="25"/>
      <c r="Y6684" s="25"/>
      <c r="Z6684" s="25"/>
      <c r="AA6684" s="25"/>
    </row>
    <row r="6685" spans="1:27" x14ac:dyDescent="0.35">
      <c r="A6685" s="5">
        <v>6681</v>
      </c>
      <c r="B6685" s="5">
        <v>279</v>
      </c>
      <c r="C6685" s="5">
        <v>10</v>
      </c>
      <c r="D6685" s="25">
        <v>1.1416E-4</v>
      </c>
      <c r="E6685" s="25">
        <v>1.2486999999999999E-4</v>
      </c>
      <c r="F6685" s="25">
        <v>1.0553E-4</v>
      </c>
      <c r="G6685" s="25">
        <v>1.6139999999999999E-4</v>
      </c>
      <c r="H6685" s="25">
        <v>1.1569E-4</v>
      </c>
      <c r="I6685" s="9">
        <v>1.283E-4</v>
      </c>
      <c r="J6685" s="9">
        <v>1.3061E-4</v>
      </c>
      <c r="K6685" s="9">
        <v>6.3579999999999998E-5</v>
      </c>
      <c r="L6685" s="9">
        <v>6.2580000000000001E-5</v>
      </c>
      <c r="M6685" s="9">
        <v>8.3339999999999998E-5</v>
      </c>
      <c r="N6685" s="9">
        <v>1.0488E-4</v>
      </c>
      <c r="O6685" s="9">
        <v>9.9729999999999996E-5</v>
      </c>
      <c r="P6685" s="9">
        <v>1.3814E-4</v>
      </c>
      <c r="Q6685" s="9">
        <v>1.7649000000000001E-4</v>
      </c>
      <c r="R6685" s="10">
        <v>5.157145657712669E-5</v>
      </c>
      <c r="S6685" s="10">
        <v>1.2681281956733996E-4</v>
      </c>
      <c r="T6685" s="10">
        <v>1.1978133822531205E-4</v>
      </c>
      <c r="U6685" s="10">
        <v>6.6299999999999999E-5</v>
      </c>
      <c r="V6685" s="25"/>
      <c r="W6685" s="25"/>
      <c r="X6685" s="25"/>
      <c r="Y6685" s="25"/>
      <c r="Z6685" s="25"/>
      <c r="AA6685" s="25"/>
    </row>
    <row r="6686" spans="1:27" x14ac:dyDescent="0.35">
      <c r="A6686" s="5">
        <v>6682</v>
      </c>
      <c r="B6686" s="5">
        <v>279</v>
      </c>
      <c r="C6686" s="5">
        <v>10</v>
      </c>
      <c r="D6686" s="25">
        <v>1.1415000000000001E-4</v>
      </c>
      <c r="E6686" s="25">
        <v>1.1786E-4</v>
      </c>
      <c r="F6686" s="25">
        <v>1.2094E-4</v>
      </c>
      <c r="G6686" s="25">
        <v>1.6407999999999999E-4</v>
      </c>
      <c r="H6686" s="25">
        <v>1.1677E-4</v>
      </c>
      <c r="I6686" s="9">
        <v>1.2896000000000001E-4</v>
      </c>
      <c r="J6686" s="9">
        <v>1.2772E-4</v>
      </c>
      <c r="K6686" s="9">
        <v>4.6629999999999999E-5</v>
      </c>
      <c r="L6686" s="9">
        <v>9.1020000000000006E-5</v>
      </c>
      <c r="M6686" s="9">
        <v>1.0683000000000001E-4</v>
      </c>
      <c r="N6686" s="9">
        <v>1.248E-4</v>
      </c>
      <c r="O6686" s="9">
        <v>1.2815E-4</v>
      </c>
      <c r="P6686" s="9">
        <v>1.5444999999999999E-4</v>
      </c>
      <c r="Q6686" s="9">
        <v>1.8122E-4</v>
      </c>
      <c r="R6686" s="10">
        <v>5.0299102258241209E-5</v>
      </c>
      <c r="S6686" s="10">
        <v>1.2690921557519886E-4</v>
      </c>
      <c r="T6686" s="10">
        <v>4.7266031679643966E-5</v>
      </c>
      <c r="U6686" s="10">
        <v>6.6299999999999999E-5</v>
      </c>
      <c r="V6686" s="25"/>
      <c r="W6686" s="25"/>
      <c r="X6686" s="25"/>
      <c r="Y6686" s="25"/>
      <c r="Z6686" s="25"/>
      <c r="AA6686" s="25"/>
    </row>
    <row r="6687" spans="1:27" x14ac:dyDescent="0.35">
      <c r="A6687" s="5">
        <v>6683</v>
      </c>
      <c r="B6687" s="5">
        <v>279</v>
      </c>
      <c r="C6687" s="5">
        <v>10</v>
      </c>
      <c r="D6687" s="25">
        <v>1.1416E-4</v>
      </c>
      <c r="E6687" s="25">
        <v>1.1568E-4</v>
      </c>
      <c r="F6687" s="25">
        <v>1.1302E-4</v>
      </c>
      <c r="G6687" s="25">
        <v>1.6605E-4</v>
      </c>
      <c r="H6687" s="25">
        <v>1.2113E-4</v>
      </c>
      <c r="I6687" s="9">
        <v>1.3015999999999999E-4</v>
      </c>
      <c r="J6687" s="9">
        <v>1.2538999999999999E-4</v>
      </c>
      <c r="K6687" s="9">
        <v>3.8149999999999999E-5</v>
      </c>
      <c r="L6687" s="9">
        <v>1.1928E-4</v>
      </c>
      <c r="M6687" s="9">
        <v>1.2988999999999999E-4</v>
      </c>
      <c r="N6687" s="9">
        <v>1.4265999999999999E-4</v>
      </c>
      <c r="O6687" s="9">
        <v>1.3737999999999999E-4</v>
      </c>
      <c r="P6687" s="9">
        <v>1.583E-4</v>
      </c>
      <c r="Q6687" s="9">
        <v>1.7987E-4</v>
      </c>
      <c r="R6687" s="10">
        <v>4.4685511314454701E-5</v>
      </c>
      <c r="S6687" s="10">
        <v>1.2192354279443912E-4</v>
      </c>
      <c r="T6687" s="10">
        <v>2.7685117209450043E-4</v>
      </c>
      <c r="U6687" s="10">
        <v>6.6299999999999999E-5</v>
      </c>
      <c r="V6687" s="25"/>
      <c r="W6687" s="25"/>
      <c r="X6687" s="25"/>
      <c r="Y6687" s="25"/>
      <c r="Z6687" s="25"/>
      <c r="AA6687" s="25"/>
    </row>
    <row r="6688" spans="1:27" x14ac:dyDescent="0.35">
      <c r="A6688" s="5">
        <v>6684</v>
      </c>
      <c r="B6688" s="5">
        <v>279</v>
      </c>
      <c r="C6688" s="5">
        <v>10</v>
      </c>
      <c r="D6688" s="25">
        <v>1.1415000000000001E-4</v>
      </c>
      <c r="E6688" s="25">
        <v>1.219E-4</v>
      </c>
      <c r="F6688" s="25">
        <v>1.1456E-4</v>
      </c>
      <c r="G6688" s="25">
        <v>1.6191E-4</v>
      </c>
      <c r="H6688" s="25">
        <v>1.1422E-4</v>
      </c>
      <c r="I6688" s="9">
        <v>1.2684999999999999E-4</v>
      </c>
      <c r="J6688" s="9">
        <v>1.2264E-4</v>
      </c>
      <c r="K6688" s="9">
        <v>1.6949999999999999E-5</v>
      </c>
      <c r="L6688" s="9">
        <v>1.3274000000000001E-4</v>
      </c>
      <c r="M6688" s="9">
        <v>1.4556000000000001E-4</v>
      </c>
      <c r="N6688" s="9">
        <v>1.5678E-4</v>
      </c>
      <c r="O6688" s="9">
        <v>1.3894999999999999E-4</v>
      </c>
      <c r="P6688" s="9">
        <v>1.5648999999999999E-4</v>
      </c>
      <c r="Q6688" s="9">
        <v>1.7474999999999999E-4</v>
      </c>
      <c r="R6688" s="10">
        <v>4.8003770861208004E-5</v>
      </c>
      <c r="S6688" s="10">
        <v>1.1318570935932565E-4</v>
      </c>
      <c r="T6688" s="10">
        <v>3.2656916628633564E-4</v>
      </c>
      <c r="U6688" s="10">
        <v>6.6299999999999999E-5</v>
      </c>
      <c r="V6688" s="25"/>
      <c r="W6688" s="25"/>
      <c r="X6688" s="25"/>
      <c r="Y6688" s="25"/>
      <c r="Z6688" s="25"/>
      <c r="AA6688" s="25"/>
    </row>
    <row r="6689" spans="1:27" x14ac:dyDescent="0.35">
      <c r="A6689" s="5">
        <v>6685</v>
      </c>
      <c r="B6689" s="5">
        <v>279</v>
      </c>
      <c r="C6689" s="5">
        <v>10</v>
      </c>
      <c r="D6689" s="25">
        <v>1.1416E-4</v>
      </c>
      <c r="E6689" s="25">
        <v>1.1534E-4</v>
      </c>
      <c r="F6689" s="25">
        <v>1.1785E-4</v>
      </c>
      <c r="G6689" s="25">
        <v>1.6492000000000001E-4</v>
      </c>
      <c r="H6689" s="25">
        <v>1.1571E-4</v>
      </c>
      <c r="I6689" s="9">
        <v>1.2604000000000001E-4</v>
      </c>
      <c r="J6689" s="9">
        <v>1.2263000000000001E-4</v>
      </c>
      <c r="K6689" s="9">
        <v>8.4800000000000001E-6</v>
      </c>
      <c r="L6689" s="9">
        <v>1.3739000000000001E-4</v>
      </c>
      <c r="M6689" s="9">
        <v>1.5286999999999999E-4</v>
      </c>
      <c r="N6689" s="9">
        <v>1.6634000000000001E-4</v>
      </c>
      <c r="O6689" s="9">
        <v>1.3083999999999999E-4</v>
      </c>
      <c r="P6689" s="9">
        <v>1.4924E-4</v>
      </c>
      <c r="Q6689" s="9">
        <v>1.6825999999999999E-4</v>
      </c>
      <c r="R6689" s="10">
        <v>4.8240954981570899E-5</v>
      </c>
      <c r="S6689" s="10">
        <v>1.1031527731981153E-4</v>
      </c>
      <c r="T6689" s="10">
        <v>1.9429045511826364E-4</v>
      </c>
      <c r="U6689" s="10">
        <v>6.6299999999999999E-5</v>
      </c>
      <c r="V6689" s="25"/>
      <c r="W6689" s="25"/>
      <c r="X6689" s="25"/>
      <c r="Y6689" s="25"/>
      <c r="Z6689" s="25"/>
      <c r="AA6689" s="25"/>
    </row>
    <row r="6690" spans="1:27" x14ac:dyDescent="0.35">
      <c r="A6690" s="5">
        <v>6686</v>
      </c>
      <c r="B6690" s="5">
        <v>279</v>
      </c>
      <c r="C6690" s="5">
        <v>10</v>
      </c>
      <c r="D6690" s="25">
        <v>1.1415000000000001E-4</v>
      </c>
      <c r="E6690" s="25">
        <v>1.1458E-4</v>
      </c>
      <c r="F6690" s="25">
        <v>1.0863E-4</v>
      </c>
      <c r="G6690" s="25">
        <v>1.6752E-4</v>
      </c>
      <c r="H6690" s="25">
        <v>1.1538E-4</v>
      </c>
      <c r="I6690" s="9">
        <v>1.2399000000000001E-4</v>
      </c>
      <c r="J6690" s="9">
        <v>1.2195E-4</v>
      </c>
      <c r="K6690" s="9">
        <v>0</v>
      </c>
      <c r="L6690" s="9">
        <v>1.3233E-4</v>
      </c>
      <c r="M6690" s="9">
        <v>1.5297999999999999E-4</v>
      </c>
      <c r="N6690" s="9">
        <v>1.7077999999999999E-4</v>
      </c>
      <c r="O6690" s="9">
        <v>1.1189E-4</v>
      </c>
      <c r="P6690" s="9">
        <v>1.3566000000000001E-4</v>
      </c>
      <c r="Q6690" s="9">
        <v>1.5976E-4</v>
      </c>
      <c r="R6690" s="10">
        <v>4.8812889203145448E-5</v>
      </c>
      <c r="S6690" s="10">
        <v>9.5816193196467944E-5</v>
      </c>
      <c r="T6690" s="10">
        <v>1.4783891617623334E-4</v>
      </c>
      <c r="U6690" s="10">
        <v>6.6299999999999999E-5</v>
      </c>
      <c r="V6690" s="25"/>
      <c r="W6690" s="25"/>
      <c r="X6690" s="25"/>
      <c r="Y6690" s="25"/>
      <c r="Z6690" s="25"/>
      <c r="AA6690" s="25"/>
    </row>
    <row r="6691" spans="1:27" x14ac:dyDescent="0.35">
      <c r="A6691" s="5">
        <v>6687</v>
      </c>
      <c r="B6691" s="5">
        <v>279</v>
      </c>
      <c r="C6691" s="5">
        <v>10</v>
      </c>
      <c r="D6691" s="25">
        <v>1.1416E-4</v>
      </c>
      <c r="E6691" s="25">
        <v>1.2265999999999999E-4</v>
      </c>
      <c r="F6691" s="25">
        <v>1.153E-4</v>
      </c>
      <c r="G6691" s="25">
        <v>1.6380999999999999E-4</v>
      </c>
      <c r="H6691" s="25">
        <v>1.1425999999999999E-4</v>
      </c>
      <c r="I6691" s="9">
        <v>1.2349E-4</v>
      </c>
      <c r="J6691" s="9">
        <v>1.2224999999999999E-4</v>
      </c>
      <c r="K6691" s="9">
        <v>0</v>
      </c>
      <c r="L6691" s="9">
        <v>1.1658999999999999E-4</v>
      </c>
      <c r="M6691" s="9">
        <v>1.4650000000000001E-4</v>
      </c>
      <c r="N6691" s="9">
        <v>1.7006000000000001E-4</v>
      </c>
      <c r="O6691" s="9">
        <v>1.2646000000000001E-4</v>
      </c>
      <c r="P6691" s="9">
        <v>1.3866E-4</v>
      </c>
      <c r="Q6691" s="9">
        <v>1.5152000000000001E-4</v>
      </c>
      <c r="R6691" s="10">
        <v>5.5708731568212878E-5</v>
      </c>
      <c r="S6691" s="10">
        <v>8.7452845112378355E-5</v>
      </c>
      <c r="T6691" s="10">
        <v>2.3524416808140154E-4</v>
      </c>
      <c r="U6691" s="10">
        <v>6.6299999999999999E-5</v>
      </c>
      <c r="V6691" s="25"/>
      <c r="W6691" s="25"/>
      <c r="X6691" s="25"/>
      <c r="Y6691" s="25"/>
      <c r="Z6691" s="25"/>
      <c r="AA6691" s="25"/>
    </row>
    <row r="6692" spans="1:27" x14ac:dyDescent="0.35">
      <c r="A6692" s="5">
        <v>6688</v>
      </c>
      <c r="B6692" s="5">
        <v>279</v>
      </c>
      <c r="C6692" s="5">
        <v>10</v>
      </c>
      <c r="D6692" s="25">
        <v>1.1415000000000001E-4</v>
      </c>
      <c r="E6692" s="25">
        <v>1.2039E-4</v>
      </c>
      <c r="F6692" s="25">
        <v>1.2303999999999999E-4</v>
      </c>
      <c r="G6692" s="25">
        <v>1.6338E-4</v>
      </c>
      <c r="H6692" s="25">
        <v>1.1558E-4</v>
      </c>
      <c r="I6692" s="9">
        <v>1.2144E-4</v>
      </c>
      <c r="J6692" s="9">
        <v>1.2411E-4</v>
      </c>
      <c r="K6692" s="9">
        <v>0</v>
      </c>
      <c r="L6692" s="9">
        <v>1.2474E-4</v>
      </c>
      <c r="M6692" s="9">
        <v>1.4185000000000001E-4</v>
      </c>
      <c r="N6692" s="9">
        <v>1.6594E-4</v>
      </c>
      <c r="O6692" s="9">
        <v>1.3341000000000001E-4</v>
      </c>
      <c r="P6692" s="9">
        <v>1.2068E-4</v>
      </c>
      <c r="Q6692" s="9">
        <v>1.0909E-4</v>
      </c>
      <c r="R6692" s="10">
        <v>5.6160490273839516E-5</v>
      </c>
      <c r="S6692" s="10">
        <v>8.4090310129377734E-5</v>
      </c>
      <c r="T6692" s="10">
        <v>4.3074787800673561E-5</v>
      </c>
      <c r="U6692" s="10">
        <v>6.6299999999999999E-5</v>
      </c>
      <c r="V6692" s="25"/>
      <c r="W6692" s="25"/>
      <c r="X6692" s="25"/>
      <c r="Y6692" s="25"/>
      <c r="Z6692" s="25"/>
      <c r="AA6692" s="25"/>
    </row>
    <row r="6693" spans="1:27" x14ac:dyDescent="0.35">
      <c r="A6693" s="5">
        <v>6689</v>
      </c>
      <c r="B6693" s="5">
        <v>279</v>
      </c>
      <c r="C6693" s="5">
        <v>10</v>
      </c>
      <c r="D6693" s="25">
        <v>1.1416E-4</v>
      </c>
      <c r="E6693" s="25">
        <v>1.195E-4</v>
      </c>
      <c r="F6693" s="25">
        <v>1.1868E-4</v>
      </c>
      <c r="G6693" s="25">
        <v>1.5996000000000001E-4</v>
      </c>
      <c r="H6693" s="25">
        <v>1.1673E-4</v>
      </c>
      <c r="I6693" s="9">
        <v>1.2300000000000001E-4</v>
      </c>
      <c r="J6693" s="9">
        <v>1.2813000000000001E-4</v>
      </c>
      <c r="K6693" s="9">
        <v>0</v>
      </c>
      <c r="L6693" s="9">
        <v>1.3124E-4</v>
      </c>
      <c r="M6693" s="9">
        <v>1.3318999999999999E-4</v>
      </c>
      <c r="N6693" s="9">
        <v>1.5206E-4</v>
      </c>
      <c r="O6693" s="9">
        <v>1.4002E-4</v>
      </c>
      <c r="P6693" s="9">
        <v>1.228E-4</v>
      </c>
      <c r="Q6693" s="9">
        <v>1.0687E-4</v>
      </c>
      <c r="R6693" s="10">
        <v>5.588398003769147E-5</v>
      </c>
      <c r="S6693" s="10">
        <v>7.2509132319846682E-5</v>
      </c>
      <c r="T6693" s="10">
        <v>1.3515488864777029E-5</v>
      </c>
      <c r="U6693" s="10">
        <v>6.6299999999999999E-5</v>
      </c>
      <c r="V6693" s="25"/>
      <c r="W6693" s="25"/>
      <c r="X6693" s="25"/>
      <c r="Y6693" s="25"/>
      <c r="Z6693" s="25"/>
      <c r="AA6693" s="25"/>
    </row>
    <row r="6694" spans="1:27" x14ac:dyDescent="0.35">
      <c r="A6694" s="5">
        <v>6690</v>
      </c>
      <c r="B6694" s="5">
        <v>279</v>
      </c>
      <c r="C6694" s="5">
        <v>10</v>
      </c>
      <c r="D6694" s="25">
        <v>1.1415000000000001E-4</v>
      </c>
      <c r="E6694" s="25">
        <v>1.2216000000000001E-4</v>
      </c>
      <c r="F6694" s="25">
        <v>1.2226000000000001E-4</v>
      </c>
      <c r="G6694" s="25">
        <v>1.6475999999999999E-4</v>
      </c>
      <c r="H6694" s="25">
        <v>1.2217E-4</v>
      </c>
      <c r="I6694" s="9">
        <v>1.2395E-4</v>
      </c>
      <c r="J6694" s="9">
        <v>1.2606999999999999E-4</v>
      </c>
      <c r="K6694" s="9">
        <v>4.0269999999999999E-5</v>
      </c>
      <c r="L6694" s="9">
        <v>1.3778E-4</v>
      </c>
      <c r="M6694" s="9">
        <v>1.2726999999999999E-4</v>
      </c>
      <c r="N6694" s="9">
        <v>1.3866E-4</v>
      </c>
      <c r="O6694" s="9">
        <v>1.4179000000000001E-4</v>
      </c>
      <c r="P6694" s="9">
        <v>1.2946E-4</v>
      </c>
      <c r="Q6694" s="9">
        <v>1.1835E-4</v>
      </c>
      <c r="R6694" s="10">
        <v>5.148951455000404E-5</v>
      </c>
      <c r="S6694" s="10">
        <v>5.3006944634551828E-5</v>
      </c>
      <c r="T6694" s="10">
        <v>0</v>
      </c>
      <c r="U6694" s="10">
        <v>6.6299999999999999E-5</v>
      </c>
      <c r="V6694" s="25"/>
      <c r="W6694" s="25"/>
      <c r="X6694" s="25"/>
      <c r="Y6694" s="25"/>
      <c r="Z6694" s="25"/>
      <c r="AA6694" s="25"/>
    </row>
    <row r="6695" spans="1:27" x14ac:dyDescent="0.35">
      <c r="A6695" s="5">
        <v>6691</v>
      </c>
      <c r="B6695" s="5">
        <v>279</v>
      </c>
      <c r="C6695" s="5">
        <v>10</v>
      </c>
      <c r="D6695" s="25">
        <v>1.1416E-4</v>
      </c>
      <c r="E6695" s="25">
        <v>1.1812E-4</v>
      </c>
      <c r="F6695" s="25">
        <v>1.0391E-4</v>
      </c>
      <c r="G6695" s="25">
        <v>1.0498E-4</v>
      </c>
      <c r="H6695" s="25">
        <v>7.7210000000000001E-5</v>
      </c>
      <c r="I6695" s="9">
        <v>1.2943000000000001E-4</v>
      </c>
      <c r="J6695" s="9">
        <v>1.3020999999999999E-4</v>
      </c>
      <c r="K6695" s="9">
        <v>3.1789999999999999E-5</v>
      </c>
      <c r="L6695" s="9">
        <v>1.4080000000000001E-4</v>
      </c>
      <c r="M6695" s="9">
        <v>1.2671000000000001E-4</v>
      </c>
      <c r="N6695" s="9">
        <v>1.2976E-4</v>
      </c>
      <c r="O6695" s="9">
        <v>1.4160999999999999E-4</v>
      </c>
      <c r="P6695" s="9">
        <v>1.2366999999999999E-4</v>
      </c>
      <c r="Q6695" s="9">
        <v>1.0704000000000001E-4</v>
      </c>
      <c r="R6695" s="10">
        <v>6.1307344929772679E-5</v>
      </c>
      <c r="S6695" s="10">
        <v>5.3364861117094337E-5</v>
      </c>
      <c r="T6695" s="10">
        <v>0</v>
      </c>
      <c r="U6695" s="10">
        <v>6.6299999999999999E-5</v>
      </c>
      <c r="V6695" s="25"/>
      <c r="W6695" s="25"/>
      <c r="X6695" s="25"/>
      <c r="Y6695" s="25"/>
      <c r="Z6695" s="25"/>
      <c r="AA6695" s="25"/>
    </row>
    <row r="6696" spans="1:27" x14ac:dyDescent="0.35">
      <c r="A6696" s="5">
        <v>6692</v>
      </c>
      <c r="B6696" s="5">
        <v>279</v>
      </c>
      <c r="C6696" s="5">
        <v>10</v>
      </c>
      <c r="D6696" s="25">
        <v>1.1415000000000001E-4</v>
      </c>
      <c r="E6696" s="25">
        <v>1.1563E-4</v>
      </c>
      <c r="F6696" s="25">
        <v>1.1012E-4</v>
      </c>
      <c r="G6696" s="25">
        <v>1.0585E-4</v>
      </c>
      <c r="H6696" s="25">
        <v>7.9419999999999995E-5</v>
      </c>
      <c r="I6696" s="9">
        <v>1.2721999999999999E-4</v>
      </c>
      <c r="J6696" s="9">
        <v>1.2876000000000001E-4</v>
      </c>
      <c r="K6696" s="9">
        <v>3.392E-5</v>
      </c>
      <c r="L6696" s="9">
        <v>1.4139E-4</v>
      </c>
      <c r="M6696" s="9">
        <v>1.2574E-4</v>
      </c>
      <c r="N6696" s="9">
        <v>1.2073E-4</v>
      </c>
      <c r="O6696" s="9">
        <v>1.4525000000000001E-4</v>
      </c>
      <c r="P6696" s="9">
        <v>1.2327E-4</v>
      </c>
      <c r="Q6696" s="9">
        <v>1.0271E-4</v>
      </c>
      <c r="R6696" s="10">
        <v>7.6813491566864509E-5</v>
      </c>
      <c r="S6696" s="10">
        <v>6.5809179892727918E-5</v>
      </c>
      <c r="T6696" s="10">
        <v>0</v>
      </c>
      <c r="U6696" s="10">
        <v>6.6299999999999999E-5</v>
      </c>
      <c r="V6696" s="25"/>
      <c r="W6696" s="25"/>
      <c r="X6696" s="25"/>
      <c r="Y6696" s="25"/>
      <c r="Z6696" s="25"/>
      <c r="AA6696" s="25"/>
    </row>
    <row r="6697" spans="1:27" x14ac:dyDescent="0.35">
      <c r="A6697" s="5">
        <v>6693</v>
      </c>
      <c r="B6697" s="5">
        <v>279</v>
      </c>
      <c r="C6697" s="5">
        <v>10</v>
      </c>
      <c r="D6697" s="25">
        <v>1.1416E-4</v>
      </c>
      <c r="E6697" s="25">
        <v>1.2129E-4</v>
      </c>
      <c r="F6697" s="25">
        <v>1.2254E-4</v>
      </c>
      <c r="G6697" s="25">
        <v>5.38E-5</v>
      </c>
      <c r="H6697" s="25">
        <v>4.0580000000000001E-5</v>
      </c>
      <c r="I6697" s="9">
        <v>1.2053E-4</v>
      </c>
      <c r="J6697" s="9">
        <v>1.2150999999999999E-4</v>
      </c>
      <c r="K6697" s="9">
        <v>4.2400000000000001E-5</v>
      </c>
      <c r="L6697" s="9">
        <v>1.4443E-4</v>
      </c>
      <c r="M6697" s="9">
        <v>1.2462000000000001E-4</v>
      </c>
      <c r="N6697" s="9">
        <v>1.1332000000000001E-4</v>
      </c>
      <c r="O6697" s="9">
        <v>8.4729999999999997E-5</v>
      </c>
      <c r="P6697" s="9">
        <v>8.6379999999999996E-5</v>
      </c>
      <c r="Q6697" s="9">
        <v>8.8369999999999996E-5</v>
      </c>
      <c r="R6697" s="10">
        <v>9.1161113568862393E-5</v>
      </c>
      <c r="S6697" s="10">
        <v>8.7422661504900177E-5</v>
      </c>
      <c r="T6697" s="10">
        <v>0</v>
      </c>
      <c r="U6697" s="10">
        <v>6.6299999999999999E-5</v>
      </c>
      <c r="V6697" s="25"/>
      <c r="W6697" s="25"/>
      <c r="X6697" s="25"/>
      <c r="Y6697" s="25"/>
      <c r="Z6697" s="25"/>
      <c r="AA6697" s="25"/>
    </row>
    <row r="6698" spans="1:27" x14ac:dyDescent="0.35">
      <c r="A6698" s="5">
        <v>6694</v>
      </c>
      <c r="B6698" s="5">
        <v>279</v>
      </c>
      <c r="C6698" s="5">
        <v>10</v>
      </c>
      <c r="D6698" s="25">
        <v>1.1415000000000001E-4</v>
      </c>
      <c r="E6698" s="25">
        <v>1.1376E-4</v>
      </c>
      <c r="F6698" s="25">
        <v>1.2055E-4</v>
      </c>
      <c r="G6698" s="25">
        <v>5.8839999999999999E-5</v>
      </c>
      <c r="H6698" s="25">
        <v>4.091E-5</v>
      </c>
      <c r="I6698" s="9">
        <v>1.1744E-4</v>
      </c>
      <c r="J6698" s="9">
        <v>1.1215E-4</v>
      </c>
      <c r="K6698" s="9">
        <v>5.2979999999999998E-5</v>
      </c>
      <c r="L6698" s="9">
        <v>9.7789999999999997E-5</v>
      </c>
      <c r="M6698" s="9">
        <v>1.1052000000000001E-4</v>
      </c>
      <c r="N6698" s="9">
        <v>1.058E-4</v>
      </c>
      <c r="O6698" s="9">
        <v>8.8300000000000005E-5</v>
      </c>
      <c r="P6698" s="9">
        <v>8.8549999999999998E-5</v>
      </c>
      <c r="Q6698" s="9">
        <v>8.9209999999999995E-5</v>
      </c>
      <c r="R6698" s="10">
        <v>1.0812500022682024E-4</v>
      </c>
      <c r="S6698" s="10">
        <v>1.0381703891960887E-4</v>
      </c>
      <c r="T6698" s="10">
        <v>0</v>
      </c>
      <c r="U6698" s="10">
        <v>6.6299999999999999E-5</v>
      </c>
      <c r="V6698" s="25"/>
      <c r="W6698" s="25"/>
      <c r="X6698" s="25"/>
      <c r="Y6698" s="25"/>
      <c r="Z6698" s="25"/>
      <c r="AA6698" s="25"/>
    </row>
    <row r="6699" spans="1:27" x14ac:dyDescent="0.35">
      <c r="A6699" s="5">
        <v>6695</v>
      </c>
      <c r="B6699" s="5">
        <v>279</v>
      </c>
      <c r="C6699" s="5">
        <v>10</v>
      </c>
      <c r="D6699" s="25">
        <v>1.1416E-4</v>
      </c>
      <c r="E6699" s="25">
        <v>1.2014E-4</v>
      </c>
      <c r="F6699" s="25">
        <v>1.2286E-4</v>
      </c>
      <c r="G6699" s="25">
        <v>5.8499999999999999E-5</v>
      </c>
      <c r="H6699" s="25">
        <v>4.4509999999999999E-5</v>
      </c>
      <c r="I6699" s="9">
        <v>1.1252999999999999E-4</v>
      </c>
      <c r="J6699" s="9">
        <v>1.0438E-4</v>
      </c>
      <c r="K6699" s="9">
        <v>6.9939999999999998E-5</v>
      </c>
      <c r="L6699" s="9">
        <v>9.1680000000000003E-5</v>
      </c>
      <c r="M6699" s="9">
        <v>9.8809999999999998E-5</v>
      </c>
      <c r="N6699" s="9">
        <v>1.0022999999999999E-4</v>
      </c>
      <c r="O6699" s="9">
        <v>8.4120000000000001E-5</v>
      </c>
      <c r="P6699" s="9">
        <v>7.504E-5</v>
      </c>
      <c r="Q6699" s="9">
        <v>6.6470000000000006E-5</v>
      </c>
      <c r="R6699" s="10">
        <v>1.1901270850932287E-4</v>
      </c>
      <c r="S6699" s="10">
        <v>1.0956212816899598E-4</v>
      </c>
      <c r="T6699" s="10">
        <v>0</v>
      </c>
      <c r="U6699" s="10">
        <v>6.6299999999999999E-5</v>
      </c>
      <c r="V6699" s="25"/>
      <c r="W6699" s="25"/>
      <c r="X6699" s="25"/>
      <c r="Y6699" s="25"/>
      <c r="Z6699" s="25"/>
      <c r="AA6699" s="25"/>
    </row>
    <row r="6700" spans="1:27" x14ac:dyDescent="0.35">
      <c r="A6700" s="5">
        <v>6696</v>
      </c>
      <c r="B6700" s="5">
        <v>279</v>
      </c>
      <c r="C6700" s="5">
        <v>10</v>
      </c>
      <c r="D6700" s="25">
        <v>1.1415000000000001E-4</v>
      </c>
      <c r="E6700" s="25">
        <v>1.2053E-4</v>
      </c>
      <c r="F6700" s="25">
        <v>1.0325E-4</v>
      </c>
      <c r="G6700" s="25">
        <v>5.4400000000000001E-5</v>
      </c>
      <c r="H6700" s="25">
        <v>4.2849999999999998E-5</v>
      </c>
      <c r="I6700" s="9">
        <v>1.0543E-4</v>
      </c>
      <c r="J6700" s="9">
        <v>9.7139999999999995E-5</v>
      </c>
      <c r="K6700" s="9">
        <v>7.8419999999999998E-5</v>
      </c>
      <c r="L6700" s="9">
        <v>8.6000000000000003E-5</v>
      </c>
      <c r="M6700" s="9">
        <v>8.7509999999999994E-5</v>
      </c>
      <c r="N6700" s="9">
        <v>9.0820000000000001E-5</v>
      </c>
      <c r="O6700" s="9">
        <v>7.8560000000000007E-5</v>
      </c>
      <c r="P6700" s="9">
        <v>6.8250000000000006E-5</v>
      </c>
      <c r="Q6700" s="9">
        <v>5.842E-5</v>
      </c>
      <c r="R6700" s="10">
        <v>1.2336269677559104E-4</v>
      </c>
      <c r="S6700" s="10">
        <v>8.6949104954539509E-5</v>
      </c>
      <c r="T6700" s="10">
        <v>0</v>
      </c>
      <c r="U6700" s="10">
        <v>6.6299999999999999E-5</v>
      </c>
      <c r="V6700" s="25"/>
      <c r="W6700" s="25"/>
      <c r="X6700" s="25"/>
      <c r="Y6700" s="25"/>
      <c r="Z6700" s="25"/>
      <c r="AA6700" s="25"/>
    </row>
    <row r="6701" spans="1:27" x14ac:dyDescent="0.35">
      <c r="A6701" s="5">
        <v>6697</v>
      </c>
      <c r="B6701" s="5">
        <v>280</v>
      </c>
      <c r="C6701" s="5">
        <v>10</v>
      </c>
      <c r="D6701" s="25">
        <v>1.1416E-4</v>
      </c>
      <c r="E6701" s="25">
        <v>1.0828999999999999E-4</v>
      </c>
      <c r="F6701" s="25">
        <v>1.1116E-4</v>
      </c>
      <c r="G6701" s="25">
        <v>5.6700000000000003E-5</v>
      </c>
      <c r="H6701" s="25">
        <v>1.413E-5</v>
      </c>
      <c r="I6701" s="9">
        <v>1.0105E-4</v>
      </c>
      <c r="J6701" s="9">
        <v>9.2390000000000001E-5</v>
      </c>
      <c r="K6701" s="9">
        <v>7.8419999999999998E-5</v>
      </c>
      <c r="L6701" s="9">
        <v>8.0000000000000007E-5</v>
      </c>
      <c r="M6701" s="9">
        <v>7.7999999999999999E-5</v>
      </c>
      <c r="N6701" s="9">
        <v>8.1269999999999999E-5</v>
      </c>
      <c r="O6701" s="9">
        <v>6.7869999999999999E-5</v>
      </c>
      <c r="P6701" s="9">
        <v>6.0430000000000002E-5</v>
      </c>
      <c r="Q6701" s="9">
        <v>5.329E-5</v>
      </c>
      <c r="R6701" s="10">
        <v>1.1458941040896733E-4</v>
      </c>
      <c r="S6701" s="10">
        <v>8.7238642492292368E-5</v>
      </c>
      <c r="T6701" s="10">
        <v>0</v>
      </c>
      <c r="U6701" s="10">
        <v>6.6390000000000006E-5</v>
      </c>
      <c r="V6701" s="25"/>
      <c r="W6701" s="25"/>
      <c r="X6701" s="25"/>
      <c r="Y6701" s="25"/>
      <c r="Z6701" s="25"/>
      <c r="AA6701" s="25"/>
    </row>
    <row r="6702" spans="1:27" x14ac:dyDescent="0.35">
      <c r="A6702" s="5">
        <v>6698</v>
      </c>
      <c r="B6702" s="5">
        <v>280</v>
      </c>
      <c r="C6702" s="5">
        <v>10</v>
      </c>
      <c r="D6702" s="25">
        <v>1.1415000000000001E-4</v>
      </c>
      <c r="E6702" s="25">
        <v>1.175E-4</v>
      </c>
      <c r="F6702" s="25">
        <v>1.1900000000000001E-4</v>
      </c>
      <c r="G6702" s="25">
        <v>5.4969999999999997E-5</v>
      </c>
      <c r="H6702" s="25">
        <v>1.4070000000000001E-5</v>
      </c>
      <c r="I6702" s="9">
        <v>9.8239999999999995E-5</v>
      </c>
      <c r="J6702" s="9">
        <v>9.0820000000000001E-5</v>
      </c>
      <c r="K6702" s="9">
        <v>8.0539999999999998E-5</v>
      </c>
      <c r="L6702" s="9">
        <v>7.0690000000000003E-5</v>
      </c>
      <c r="M6702" s="9">
        <v>6.9439999999999999E-5</v>
      </c>
      <c r="N6702" s="9">
        <v>7.2059999999999998E-5</v>
      </c>
      <c r="O6702" s="9">
        <v>3.5339999999999997E-5</v>
      </c>
      <c r="P6702" s="9">
        <v>4.6100000000000002E-5</v>
      </c>
      <c r="Q6702" s="9">
        <v>5.6499999999999998E-5</v>
      </c>
      <c r="R6702" s="10">
        <v>1.0773427597726084E-4</v>
      </c>
      <c r="S6702" s="10">
        <v>1.0680382309657717E-4</v>
      </c>
      <c r="T6702" s="10">
        <v>0</v>
      </c>
      <c r="U6702" s="10">
        <v>6.6390000000000006E-5</v>
      </c>
      <c r="V6702" s="25"/>
      <c r="W6702" s="25"/>
      <c r="X6702" s="25"/>
      <c r="Y6702" s="25"/>
      <c r="Z6702" s="25"/>
      <c r="AA6702" s="25"/>
    </row>
    <row r="6703" spans="1:27" x14ac:dyDescent="0.35">
      <c r="A6703" s="5">
        <v>6699</v>
      </c>
      <c r="B6703" s="5">
        <v>280</v>
      </c>
      <c r="C6703" s="5">
        <v>10</v>
      </c>
      <c r="D6703" s="25">
        <v>1.1416E-4</v>
      </c>
      <c r="E6703" s="25">
        <v>1.1614E-4</v>
      </c>
      <c r="F6703" s="25">
        <v>1.0925999999999999E-4</v>
      </c>
      <c r="G6703" s="25">
        <v>5.4509999999999998E-5</v>
      </c>
      <c r="H6703" s="25">
        <v>1.393E-5</v>
      </c>
      <c r="I6703" s="9">
        <v>9.6710000000000001E-5</v>
      </c>
      <c r="J6703" s="9">
        <v>9.0160000000000004E-5</v>
      </c>
      <c r="K6703" s="9">
        <v>8.0539999999999998E-5</v>
      </c>
      <c r="L6703" s="9">
        <v>4.3359999999999998E-5</v>
      </c>
      <c r="M6703" s="9">
        <v>5.9030000000000002E-5</v>
      </c>
      <c r="N6703" s="9">
        <v>6.5519999999999996E-5</v>
      </c>
      <c r="O6703" s="9">
        <v>2.2050000000000001E-5</v>
      </c>
      <c r="P6703" s="9">
        <v>4.2280000000000002E-5</v>
      </c>
      <c r="Q6703" s="9">
        <v>6.1849999999999999E-5</v>
      </c>
      <c r="R6703" s="10">
        <v>1.0896838874557958E-4</v>
      </c>
      <c r="S6703" s="10">
        <v>1.2293076485420194E-4</v>
      </c>
      <c r="T6703" s="10">
        <v>0</v>
      </c>
      <c r="U6703" s="10">
        <v>6.6390000000000006E-5</v>
      </c>
      <c r="V6703" s="25"/>
      <c r="W6703" s="25"/>
      <c r="X6703" s="25"/>
      <c r="Y6703" s="25"/>
      <c r="Z6703" s="25"/>
      <c r="AA6703" s="25"/>
    </row>
    <row r="6704" spans="1:27" x14ac:dyDescent="0.35">
      <c r="A6704" s="5">
        <v>6700</v>
      </c>
      <c r="B6704" s="5">
        <v>280</v>
      </c>
      <c r="C6704" s="5">
        <v>10</v>
      </c>
      <c r="D6704" s="25">
        <v>1.1415000000000001E-4</v>
      </c>
      <c r="E6704" s="25">
        <v>1.0686E-4</v>
      </c>
      <c r="F6704" s="25">
        <v>1.1123E-4</v>
      </c>
      <c r="G6704" s="25">
        <v>5.4839999999999997E-5</v>
      </c>
      <c r="H6704" s="25">
        <v>1.415E-5</v>
      </c>
      <c r="I6704" s="9">
        <v>9.7930000000000006E-5</v>
      </c>
      <c r="J6704" s="9">
        <v>9.0710000000000004E-5</v>
      </c>
      <c r="K6704" s="9">
        <v>7.6299999999999998E-5</v>
      </c>
      <c r="L6704" s="9">
        <v>2.747E-5</v>
      </c>
      <c r="M6704" s="9">
        <v>5.0510000000000003E-5</v>
      </c>
      <c r="N6704" s="9">
        <v>6.1950000000000001E-5</v>
      </c>
      <c r="O6704" s="9">
        <v>2.1520000000000001E-5</v>
      </c>
      <c r="P6704" s="9">
        <v>5.1560000000000001E-5</v>
      </c>
      <c r="Q6704" s="9">
        <v>8.0770000000000001E-5</v>
      </c>
      <c r="R6704" s="10">
        <v>1.0774360224214887E-4</v>
      </c>
      <c r="S6704" s="10">
        <v>1.256846236511539E-4</v>
      </c>
      <c r="T6704" s="10">
        <v>0</v>
      </c>
      <c r="U6704" s="10">
        <v>6.6390000000000006E-5</v>
      </c>
      <c r="V6704" s="25"/>
      <c r="W6704" s="25"/>
      <c r="X6704" s="25"/>
      <c r="Y6704" s="25"/>
      <c r="Z6704" s="25"/>
      <c r="AA6704" s="25"/>
    </row>
    <row r="6705" spans="1:27" x14ac:dyDescent="0.35">
      <c r="A6705" s="5">
        <v>6701</v>
      </c>
      <c r="B6705" s="5">
        <v>280</v>
      </c>
      <c r="C6705" s="5">
        <v>10</v>
      </c>
      <c r="D6705" s="25">
        <v>1.1416E-4</v>
      </c>
      <c r="E6705" s="25">
        <v>1.1569999999999999E-4</v>
      </c>
      <c r="F6705" s="25">
        <v>1.2941999999999999E-4</v>
      </c>
      <c r="G6705" s="25">
        <v>6.2769999999999997E-5</v>
      </c>
      <c r="H6705" s="25">
        <v>1.362E-5</v>
      </c>
      <c r="I6705" s="9">
        <v>1.0249E-4</v>
      </c>
      <c r="J6705" s="9">
        <v>9.4489999999999998E-5</v>
      </c>
      <c r="K6705" s="9">
        <v>8.2659999999999998E-5</v>
      </c>
      <c r="L6705" s="9">
        <v>2.3220000000000001E-5</v>
      </c>
      <c r="M6705" s="9">
        <v>4.8909999999999998E-5</v>
      </c>
      <c r="N6705" s="9">
        <v>6.4579999999999995E-5</v>
      </c>
      <c r="O6705" s="9">
        <v>2.3110000000000001E-5</v>
      </c>
      <c r="P6705" s="9">
        <v>5.8400000000000003E-5</v>
      </c>
      <c r="Q6705" s="9">
        <v>9.2819999999999996E-5</v>
      </c>
      <c r="R6705" s="10">
        <v>1.0749137116925256E-4</v>
      </c>
      <c r="S6705" s="10">
        <v>1.230575440259387E-4</v>
      </c>
      <c r="T6705" s="10">
        <v>0</v>
      </c>
      <c r="U6705" s="10">
        <v>6.6390000000000006E-5</v>
      </c>
      <c r="V6705" s="25"/>
      <c r="W6705" s="25"/>
      <c r="X6705" s="25"/>
      <c r="Y6705" s="25"/>
      <c r="Z6705" s="25"/>
      <c r="AA6705" s="25"/>
    </row>
    <row r="6706" spans="1:27" x14ac:dyDescent="0.35">
      <c r="A6706" s="5">
        <v>6702</v>
      </c>
      <c r="B6706" s="5">
        <v>280</v>
      </c>
      <c r="C6706" s="5">
        <v>10</v>
      </c>
      <c r="D6706" s="25">
        <v>1.1415000000000001E-4</v>
      </c>
      <c r="E6706" s="25">
        <v>1.1126E-4</v>
      </c>
      <c r="F6706" s="25">
        <v>1.2841E-4</v>
      </c>
      <c r="G6706" s="25">
        <v>1.1171E-4</v>
      </c>
      <c r="H6706" s="25">
        <v>2.58E-5</v>
      </c>
      <c r="I6706" s="9">
        <v>1.1597E-4</v>
      </c>
      <c r="J6706" s="9">
        <v>1.0665E-4</v>
      </c>
      <c r="K6706" s="9">
        <v>8.9010000000000003E-5</v>
      </c>
      <c r="L6706" s="9">
        <v>2.3059999999999999E-5</v>
      </c>
      <c r="M6706" s="9">
        <v>5.2259999999999998E-5</v>
      </c>
      <c r="N6706" s="9">
        <v>7.0959999999999998E-5</v>
      </c>
      <c r="O6706" s="9">
        <v>2.9519999999999999E-5</v>
      </c>
      <c r="P6706" s="9">
        <v>6.8490000000000003E-5</v>
      </c>
      <c r="Q6706" s="9">
        <v>1.0658999999999999E-4</v>
      </c>
      <c r="R6706" s="10">
        <v>1.1405745035317829E-4</v>
      </c>
      <c r="S6706" s="10">
        <v>1.2166515808613931E-4</v>
      </c>
      <c r="T6706" s="10">
        <v>0</v>
      </c>
      <c r="U6706" s="10">
        <v>6.6390000000000006E-5</v>
      </c>
      <c r="V6706" s="25"/>
      <c r="W6706" s="25"/>
      <c r="X6706" s="25"/>
      <c r="Y6706" s="25"/>
      <c r="Z6706" s="25"/>
      <c r="AA6706" s="25"/>
    </row>
    <row r="6707" spans="1:27" x14ac:dyDescent="0.35">
      <c r="A6707" s="5">
        <v>6703</v>
      </c>
      <c r="B6707" s="5">
        <v>280</v>
      </c>
      <c r="C6707" s="5">
        <v>10</v>
      </c>
      <c r="D6707" s="25">
        <v>1.1416E-4</v>
      </c>
      <c r="E6707" s="25">
        <v>1.0877E-4</v>
      </c>
      <c r="F6707" s="25">
        <v>1.2695E-4</v>
      </c>
      <c r="G6707" s="25">
        <v>1.1116E-4</v>
      </c>
      <c r="H6707" s="25">
        <v>2.7189999999999999E-5</v>
      </c>
      <c r="I6707" s="9">
        <v>1.2861E-4</v>
      </c>
      <c r="J6707" s="9">
        <v>1.238E-4</v>
      </c>
      <c r="K6707" s="9">
        <v>9.3250000000000003E-5</v>
      </c>
      <c r="L6707" s="9">
        <v>2.8010000000000001E-5</v>
      </c>
      <c r="M6707" s="9">
        <v>5.9089999999999998E-5</v>
      </c>
      <c r="N6707" s="9">
        <v>8.0580000000000004E-5</v>
      </c>
      <c r="O6707" s="9">
        <v>4.583E-5</v>
      </c>
      <c r="P6707" s="9">
        <v>7.9010000000000004E-5</v>
      </c>
      <c r="Q6707" s="9">
        <v>1.1161E-4</v>
      </c>
      <c r="R6707" s="10">
        <v>1.245586601546477E-4</v>
      </c>
      <c r="S6707" s="10">
        <v>1.2289835049094204E-4</v>
      </c>
      <c r="T6707" s="10">
        <v>6.0832426340521848E-6</v>
      </c>
      <c r="U6707" s="10">
        <v>6.6390000000000006E-5</v>
      </c>
      <c r="V6707" s="25"/>
      <c r="W6707" s="25"/>
      <c r="X6707" s="25"/>
      <c r="Y6707" s="25"/>
      <c r="Z6707" s="25"/>
      <c r="AA6707" s="25"/>
    </row>
    <row r="6708" spans="1:27" x14ac:dyDescent="0.35">
      <c r="A6708" s="5">
        <v>6704</v>
      </c>
      <c r="B6708" s="5">
        <v>280</v>
      </c>
      <c r="C6708" s="5">
        <v>10</v>
      </c>
      <c r="D6708" s="25">
        <v>1.1415000000000001E-4</v>
      </c>
      <c r="E6708" s="25">
        <v>1.0705999999999999E-4</v>
      </c>
      <c r="F6708" s="25">
        <v>1.3140999999999999E-4</v>
      </c>
      <c r="G6708" s="25">
        <v>1.6023E-4</v>
      </c>
      <c r="H6708" s="25">
        <v>3.9390000000000001E-5</v>
      </c>
      <c r="I6708" s="9">
        <v>1.3027000000000001E-4</v>
      </c>
      <c r="J6708" s="9">
        <v>1.3097E-4</v>
      </c>
      <c r="K6708" s="9">
        <v>7.6299999999999998E-5</v>
      </c>
      <c r="L6708" s="9">
        <v>4.176E-5</v>
      </c>
      <c r="M6708" s="9">
        <v>6.7999999999999999E-5</v>
      </c>
      <c r="N6708" s="9">
        <v>9.0489999999999996E-5</v>
      </c>
      <c r="O6708" s="9">
        <v>6.8590000000000006E-5</v>
      </c>
      <c r="P6708" s="9">
        <v>1.0314000000000001E-4</v>
      </c>
      <c r="Q6708" s="9">
        <v>1.3732999999999999E-4</v>
      </c>
      <c r="R6708" s="10">
        <v>1.3444112715948757E-4</v>
      </c>
      <c r="S6708" s="10">
        <v>1.2916389329439799E-4</v>
      </c>
      <c r="T6708" s="10">
        <v>6.1562076084634108E-5</v>
      </c>
      <c r="U6708" s="10">
        <v>6.6390000000000006E-5</v>
      </c>
      <c r="V6708" s="25"/>
      <c r="W6708" s="25"/>
      <c r="X6708" s="25"/>
      <c r="Y6708" s="25"/>
      <c r="Z6708" s="25"/>
      <c r="AA6708" s="25"/>
    </row>
    <row r="6709" spans="1:27" x14ac:dyDescent="0.35">
      <c r="A6709" s="5">
        <v>6705</v>
      </c>
      <c r="B6709" s="5">
        <v>280</v>
      </c>
      <c r="C6709" s="5">
        <v>10</v>
      </c>
      <c r="D6709" s="25">
        <v>1.1416E-4</v>
      </c>
      <c r="E6709" s="25">
        <v>1.1072E-4</v>
      </c>
      <c r="F6709" s="25">
        <v>1.1014999999999999E-4</v>
      </c>
      <c r="G6709" s="25">
        <v>1.5739000000000001E-4</v>
      </c>
      <c r="H6709" s="25">
        <v>4.087E-5</v>
      </c>
      <c r="I6709" s="9">
        <v>1.3122000000000001E-4</v>
      </c>
      <c r="J6709" s="9">
        <v>1.3344999999999999E-4</v>
      </c>
      <c r="K6709" s="9">
        <v>2.12E-5</v>
      </c>
      <c r="L6709" s="9">
        <v>6.2310000000000005E-5</v>
      </c>
      <c r="M6709" s="9">
        <v>8.2860000000000003E-5</v>
      </c>
      <c r="N6709" s="9">
        <v>1.0438E-4</v>
      </c>
      <c r="O6709" s="9">
        <v>9.9539999999999999E-5</v>
      </c>
      <c r="P6709" s="9">
        <v>1.3788E-4</v>
      </c>
      <c r="Q6709" s="9">
        <v>1.7615999999999999E-4</v>
      </c>
      <c r="R6709" s="10">
        <v>1.4451371294566697E-4</v>
      </c>
      <c r="S6709" s="10">
        <v>1.3201380917364844E-4</v>
      </c>
      <c r="T6709" s="10">
        <v>1.862812765317291E-4</v>
      </c>
      <c r="U6709" s="10">
        <v>6.6390000000000006E-5</v>
      </c>
      <c r="V6709" s="25"/>
      <c r="W6709" s="25"/>
      <c r="X6709" s="25"/>
      <c r="Y6709" s="25"/>
      <c r="Z6709" s="25"/>
      <c r="AA6709" s="25"/>
    </row>
    <row r="6710" spans="1:27" x14ac:dyDescent="0.35">
      <c r="A6710" s="5">
        <v>6706</v>
      </c>
      <c r="B6710" s="5">
        <v>280</v>
      </c>
      <c r="C6710" s="5">
        <v>10</v>
      </c>
      <c r="D6710" s="25">
        <v>1.1415000000000001E-4</v>
      </c>
      <c r="E6710" s="25">
        <v>1.1479E-4</v>
      </c>
      <c r="F6710" s="25">
        <v>1.1215E-4</v>
      </c>
      <c r="G6710" s="25">
        <v>1.6534000000000001E-4</v>
      </c>
      <c r="H6710" s="25">
        <v>3.8869999999999999E-5</v>
      </c>
      <c r="I6710" s="9">
        <v>1.2945E-4</v>
      </c>
      <c r="J6710" s="9">
        <v>1.3222E-4</v>
      </c>
      <c r="K6710" s="9">
        <v>0</v>
      </c>
      <c r="L6710" s="9">
        <v>9.0810000000000006E-5</v>
      </c>
      <c r="M6710" s="9">
        <v>1.0643E-4</v>
      </c>
      <c r="N6710" s="9">
        <v>1.2426000000000001E-4</v>
      </c>
      <c r="O6710" s="9">
        <v>1.2833000000000001E-4</v>
      </c>
      <c r="P6710" s="9">
        <v>1.5467000000000001E-4</v>
      </c>
      <c r="Q6710" s="9">
        <v>1.8147000000000001E-4</v>
      </c>
      <c r="R6710" s="10">
        <v>1.4332019354859648E-4</v>
      </c>
      <c r="S6710" s="10">
        <v>1.2880765268976103E-4</v>
      </c>
      <c r="T6710" s="10">
        <v>2.8777046535813388E-4</v>
      </c>
      <c r="U6710" s="10">
        <v>6.6390000000000006E-5</v>
      </c>
      <c r="V6710" s="25"/>
      <c r="W6710" s="25"/>
      <c r="X6710" s="25"/>
      <c r="Y6710" s="25"/>
      <c r="Z6710" s="25"/>
      <c r="AA6710" s="25"/>
    </row>
    <row r="6711" spans="1:27" x14ac:dyDescent="0.35">
      <c r="A6711" s="5">
        <v>6707</v>
      </c>
      <c r="B6711" s="5">
        <v>280</v>
      </c>
      <c r="C6711" s="5">
        <v>10</v>
      </c>
      <c r="D6711" s="25">
        <v>1.1416E-4</v>
      </c>
      <c r="E6711" s="25">
        <v>1.154E-4</v>
      </c>
      <c r="F6711" s="25">
        <v>1.1401E-4</v>
      </c>
      <c r="G6711" s="25">
        <v>1.571E-4</v>
      </c>
      <c r="H6711" s="25">
        <v>3.9390000000000001E-5</v>
      </c>
      <c r="I6711" s="9">
        <v>1.3122000000000001E-4</v>
      </c>
      <c r="J6711" s="9">
        <v>1.3030999999999999E-4</v>
      </c>
      <c r="K6711" s="9">
        <v>0</v>
      </c>
      <c r="L6711" s="9">
        <v>1.1937E-4</v>
      </c>
      <c r="M6711" s="9">
        <v>1.2972999999999999E-4</v>
      </c>
      <c r="N6711" s="9">
        <v>1.4227E-4</v>
      </c>
      <c r="O6711" s="9">
        <v>1.3684999999999999E-4</v>
      </c>
      <c r="P6711" s="9">
        <v>1.5770000000000001E-4</v>
      </c>
      <c r="Q6711" s="9">
        <v>1.7919E-4</v>
      </c>
      <c r="R6711" s="10">
        <v>1.5632803398022213E-4</v>
      </c>
      <c r="S6711" s="10">
        <v>1.2497393966999943E-4</v>
      </c>
      <c r="T6711" s="10">
        <v>1.7162040725468282E-4</v>
      </c>
      <c r="U6711" s="10">
        <v>6.6390000000000006E-5</v>
      </c>
      <c r="V6711" s="25"/>
      <c r="W6711" s="25"/>
      <c r="X6711" s="25"/>
      <c r="Y6711" s="25"/>
      <c r="Z6711" s="25"/>
      <c r="AA6711" s="25"/>
    </row>
    <row r="6712" spans="1:27" x14ac:dyDescent="0.35">
      <c r="A6712" s="5">
        <v>6708</v>
      </c>
      <c r="B6712" s="5">
        <v>280</v>
      </c>
      <c r="C6712" s="5">
        <v>10</v>
      </c>
      <c r="D6712" s="25">
        <v>1.1415000000000001E-4</v>
      </c>
      <c r="E6712" s="25">
        <v>1.0784E-4</v>
      </c>
      <c r="F6712" s="25">
        <v>1.2098E-4</v>
      </c>
      <c r="G6712" s="25">
        <v>1.6353E-4</v>
      </c>
      <c r="H6712" s="25">
        <v>3.8819999999999998E-5</v>
      </c>
      <c r="I6712" s="9">
        <v>1.2588000000000001E-4</v>
      </c>
      <c r="J6712" s="9">
        <v>1.2812000000000001E-4</v>
      </c>
      <c r="K6712" s="9">
        <v>0</v>
      </c>
      <c r="L6712" s="9">
        <v>1.3234E-4</v>
      </c>
      <c r="M6712" s="9">
        <v>1.4531E-4</v>
      </c>
      <c r="N6712" s="9">
        <v>1.5636E-4</v>
      </c>
      <c r="O6712" s="9">
        <v>1.3719000000000001E-4</v>
      </c>
      <c r="P6712" s="9">
        <v>1.5449999999999999E-4</v>
      </c>
      <c r="Q6712" s="9">
        <v>1.7253E-4</v>
      </c>
      <c r="R6712" s="10">
        <v>1.4034827743155794E-4</v>
      </c>
      <c r="S6712" s="10">
        <v>1.1346198697922135E-4</v>
      </c>
      <c r="T6712" s="10">
        <v>1.1571735883659377E-4</v>
      </c>
      <c r="U6712" s="10">
        <v>6.6390000000000006E-5</v>
      </c>
      <c r="V6712" s="25"/>
      <c r="W6712" s="25"/>
      <c r="X6712" s="25"/>
      <c r="Y6712" s="25"/>
      <c r="Z6712" s="25"/>
      <c r="AA6712" s="25"/>
    </row>
    <row r="6713" spans="1:27" x14ac:dyDescent="0.35">
      <c r="A6713" s="5">
        <v>6709</v>
      </c>
      <c r="B6713" s="5">
        <v>280</v>
      </c>
      <c r="C6713" s="5">
        <v>10</v>
      </c>
      <c r="D6713" s="25">
        <v>1.1416E-4</v>
      </c>
      <c r="E6713" s="25">
        <v>1.0886E-4</v>
      </c>
      <c r="F6713" s="25">
        <v>1.2448E-4</v>
      </c>
      <c r="G6713" s="25">
        <v>1.5657E-4</v>
      </c>
      <c r="H6713" s="25">
        <v>3.8220000000000003E-5</v>
      </c>
      <c r="I6713" s="9">
        <v>1.2646000000000001E-4</v>
      </c>
      <c r="J6713" s="9">
        <v>1.2870000000000001E-4</v>
      </c>
      <c r="K6713" s="9">
        <v>0</v>
      </c>
      <c r="L6713" s="9">
        <v>1.3594E-4</v>
      </c>
      <c r="M6713" s="9">
        <v>1.5196E-4</v>
      </c>
      <c r="N6713" s="9">
        <v>1.6555000000000001E-4</v>
      </c>
      <c r="O6713" s="9">
        <v>1.3054000000000001E-4</v>
      </c>
      <c r="P6713" s="9">
        <v>1.4888999999999999E-4</v>
      </c>
      <c r="Q6713" s="9">
        <v>1.6787E-4</v>
      </c>
      <c r="R6713" s="10">
        <v>1.4993246600073049E-4</v>
      </c>
      <c r="S6713" s="10">
        <v>1.2462556023254588E-4</v>
      </c>
      <c r="T6713" s="10">
        <v>2.4231158944007029E-4</v>
      </c>
      <c r="U6713" s="10">
        <v>6.6390000000000006E-5</v>
      </c>
      <c r="V6713" s="25"/>
      <c r="W6713" s="25"/>
      <c r="X6713" s="25"/>
      <c r="Y6713" s="25"/>
      <c r="Z6713" s="25"/>
      <c r="AA6713" s="25"/>
    </row>
    <row r="6714" spans="1:27" x14ac:dyDescent="0.35">
      <c r="A6714" s="5">
        <v>6710</v>
      </c>
      <c r="B6714" s="5">
        <v>280</v>
      </c>
      <c r="C6714" s="5">
        <v>10</v>
      </c>
      <c r="D6714" s="25">
        <v>1.1415000000000001E-4</v>
      </c>
      <c r="E6714" s="25">
        <v>1.1446E-4</v>
      </c>
      <c r="F6714" s="25">
        <v>1.1001999999999999E-4</v>
      </c>
      <c r="G6714" s="25">
        <v>1.6547999999999999E-4</v>
      </c>
      <c r="H6714" s="25">
        <v>3.9020000000000002E-5</v>
      </c>
      <c r="I6714" s="9">
        <v>1.2608000000000001E-4</v>
      </c>
      <c r="J6714" s="9">
        <v>1.2861E-4</v>
      </c>
      <c r="K6714" s="9">
        <v>0</v>
      </c>
      <c r="L6714" s="9">
        <v>1.3181E-4</v>
      </c>
      <c r="M6714" s="9">
        <v>1.5208999999999999E-4</v>
      </c>
      <c r="N6714" s="9">
        <v>1.7003999999999999E-4</v>
      </c>
      <c r="O6714" s="9">
        <v>1.1195E-4</v>
      </c>
      <c r="P6714" s="9">
        <v>1.3574E-4</v>
      </c>
      <c r="Q6714" s="9">
        <v>1.5985000000000001E-4</v>
      </c>
      <c r="R6714" s="10">
        <v>1.4216733348513283E-4</v>
      </c>
      <c r="S6714" s="10">
        <v>1.4172006982279934E-4</v>
      </c>
      <c r="T6714" s="10">
        <v>8.2620107071687825E-5</v>
      </c>
      <c r="U6714" s="10">
        <v>6.6390000000000006E-5</v>
      </c>
      <c r="V6714" s="25"/>
      <c r="W6714" s="25"/>
      <c r="X6714" s="25"/>
      <c r="Y6714" s="25"/>
      <c r="Z6714" s="25"/>
      <c r="AA6714" s="25"/>
    </row>
    <row r="6715" spans="1:27" x14ac:dyDescent="0.35">
      <c r="A6715" s="5">
        <v>6711</v>
      </c>
      <c r="B6715" s="5">
        <v>280</v>
      </c>
      <c r="C6715" s="5">
        <v>10</v>
      </c>
      <c r="D6715" s="25">
        <v>1.1416E-4</v>
      </c>
      <c r="E6715" s="25">
        <v>1.1312E-4</v>
      </c>
      <c r="F6715" s="25">
        <v>1.127E-4</v>
      </c>
      <c r="G6715" s="25">
        <v>1.6258000000000001E-4</v>
      </c>
      <c r="H6715" s="25">
        <v>4.0729999999999998E-5</v>
      </c>
      <c r="I6715" s="9">
        <v>1.2611999999999999E-4</v>
      </c>
      <c r="J6715" s="9">
        <v>1.2941999999999999E-4</v>
      </c>
      <c r="K6715" s="9">
        <v>0</v>
      </c>
      <c r="L6715" s="9">
        <v>1.165E-4</v>
      </c>
      <c r="M6715" s="9">
        <v>1.4599E-4</v>
      </c>
      <c r="N6715" s="9">
        <v>1.6945E-4</v>
      </c>
      <c r="O6715" s="9">
        <v>1.2849000000000001E-4</v>
      </c>
      <c r="P6715" s="9">
        <v>1.4087999999999999E-4</v>
      </c>
      <c r="Q6715" s="9">
        <v>1.5395E-4</v>
      </c>
      <c r="R6715" s="10">
        <v>1.2893486357741583E-4</v>
      </c>
      <c r="S6715" s="10">
        <v>1.5650043010999234E-4</v>
      </c>
      <c r="T6715" s="10">
        <v>6.4718235442887123E-5</v>
      </c>
      <c r="U6715" s="10">
        <v>6.6390000000000006E-5</v>
      </c>
      <c r="V6715" s="25"/>
      <c r="W6715" s="25"/>
      <c r="X6715" s="25"/>
      <c r="Y6715" s="25"/>
      <c r="Z6715" s="25"/>
      <c r="AA6715" s="25"/>
    </row>
    <row r="6716" spans="1:27" x14ac:dyDescent="0.35">
      <c r="A6716" s="5">
        <v>6712</v>
      </c>
      <c r="B6716" s="5">
        <v>280</v>
      </c>
      <c r="C6716" s="5">
        <v>10</v>
      </c>
      <c r="D6716" s="25">
        <v>1.1415000000000001E-4</v>
      </c>
      <c r="E6716" s="25">
        <v>1.1619E-4</v>
      </c>
      <c r="F6716" s="25">
        <v>1.2523999999999999E-4</v>
      </c>
      <c r="G6716" s="25">
        <v>1.5904E-4</v>
      </c>
      <c r="H6716" s="25">
        <v>4.0779999999999999E-5</v>
      </c>
      <c r="I6716" s="9">
        <v>1.2515000000000001E-4</v>
      </c>
      <c r="J6716" s="9">
        <v>1.3172999999999999E-4</v>
      </c>
      <c r="K6716" s="9">
        <v>0</v>
      </c>
      <c r="L6716" s="9">
        <v>1.2629000000000001E-4</v>
      </c>
      <c r="M6716" s="9">
        <v>1.4244E-4</v>
      </c>
      <c r="N6716" s="9">
        <v>1.6599E-4</v>
      </c>
      <c r="O6716" s="9">
        <v>1.3337000000000001E-4</v>
      </c>
      <c r="P6716" s="9">
        <v>1.2064E-4</v>
      </c>
      <c r="Q6716" s="9">
        <v>1.0904999999999999E-4</v>
      </c>
      <c r="R6716" s="10">
        <v>1.1585386885565394E-4</v>
      </c>
      <c r="S6716" s="10">
        <v>1.6098989749729461E-4</v>
      </c>
      <c r="T6716" s="10">
        <v>5.4867963897371664E-5</v>
      </c>
      <c r="U6716" s="10">
        <v>6.6390000000000006E-5</v>
      </c>
      <c r="V6716" s="25"/>
      <c r="W6716" s="25"/>
      <c r="X6716" s="25"/>
      <c r="Y6716" s="25"/>
      <c r="Z6716" s="25"/>
      <c r="AA6716" s="25"/>
    </row>
    <row r="6717" spans="1:27" x14ac:dyDescent="0.35">
      <c r="A6717" s="5">
        <v>6713</v>
      </c>
      <c r="B6717" s="5">
        <v>280</v>
      </c>
      <c r="C6717" s="5">
        <v>10</v>
      </c>
      <c r="D6717" s="25">
        <v>1.1416E-4</v>
      </c>
      <c r="E6717" s="25">
        <v>1.0799E-4</v>
      </c>
      <c r="F6717" s="25">
        <v>1.1743000000000001E-4</v>
      </c>
      <c r="G6717" s="25">
        <v>1.5938000000000001E-4</v>
      </c>
      <c r="H6717" s="25">
        <v>3.8309999999999997E-5</v>
      </c>
      <c r="I6717" s="9">
        <v>1.2773E-4</v>
      </c>
      <c r="J6717" s="9">
        <v>1.3431000000000001E-4</v>
      </c>
      <c r="K6717" s="9">
        <v>0</v>
      </c>
      <c r="L6717" s="9">
        <v>1.3150999999999999E-4</v>
      </c>
      <c r="M6717" s="9">
        <v>1.3384000000000001E-4</v>
      </c>
      <c r="N6717" s="9">
        <v>1.5221000000000001E-4</v>
      </c>
      <c r="O6717" s="9">
        <v>1.4118E-4</v>
      </c>
      <c r="P6717" s="9">
        <v>1.2383000000000001E-4</v>
      </c>
      <c r="Q6717" s="9">
        <v>1.0777000000000001E-4</v>
      </c>
      <c r="R6717" s="10">
        <v>1.2729826000028091E-4</v>
      </c>
      <c r="S6717" s="10">
        <v>1.5438643117038147E-4</v>
      </c>
      <c r="T6717" s="10">
        <v>1.2310718357056793E-5</v>
      </c>
      <c r="U6717" s="10">
        <v>6.6390000000000006E-5</v>
      </c>
      <c r="V6717" s="25"/>
      <c r="W6717" s="25"/>
      <c r="X6717" s="25"/>
      <c r="Y6717" s="25"/>
      <c r="Z6717" s="25"/>
      <c r="AA6717" s="25"/>
    </row>
    <row r="6718" spans="1:27" x14ac:dyDescent="0.35">
      <c r="A6718" s="5">
        <v>6714</v>
      </c>
      <c r="B6718" s="5">
        <v>280</v>
      </c>
      <c r="C6718" s="5">
        <v>10</v>
      </c>
      <c r="D6718" s="25">
        <v>1.1415000000000001E-4</v>
      </c>
      <c r="E6718" s="25">
        <v>1.1302E-4</v>
      </c>
      <c r="F6718" s="25">
        <v>1.3106000000000001E-4</v>
      </c>
      <c r="G6718" s="25">
        <v>1.6458E-4</v>
      </c>
      <c r="H6718" s="25">
        <v>3.8479999999999997E-5</v>
      </c>
      <c r="I6718" s="9">
        <v>1.2929E-4</v>
      </c>
      <c r="J6718" s="9">
        <v>1.3369E-4</v>
      </c>
      <c r="K6718" s="9">
        <v>4.6629999999999999E-5</v>
      </c>
      <c r="L6718" s="9">
        <v>1.3878999999999999E-4</v>
      </c>
      <c r="M6718" s="9">
        <v>1.2803000000000001E-4</v>
      </c>
      <c r="N6718" s="9">
        <v>1.3912000000000001E-4</v>
      </c>
      <c r="O6718" s="9">
        <v>1.4127000000000001E-4</v>
      </c>
      <c r="P6718" s="9">
        <v>1.2899E-4</v>
      </c>
      <c r="Q6718" s="9">
        <v>1.1792E-4</v>
      </c>
      <c r="R6718" s="10">
        <v>1.2486538598870743E-4</v>
      </c>
      <c r="S6718" s="10">
        <v>1.377380267010674E-4</v>
      </c>
      <c r="T6718" s="10">
        <v>0</v>
      </c>
      <c r="U6718" s="10">
        <v>6.6390000000000006E-5</v>
      </c>
      <c r="V6718" s="25"/>
      <c r="W6718" s="25"/>
      <c r="X6718" s="25"/>
      <c r="Y6718" s="25"/>
      <c r="Z6718" s="25"/>
      <c r="AA6718" s="25"/>
    </row>
    <row r="6719" spans="1:27" x14ac:dyDescent="0.35">
      <c r="A6719" s="5">
        <v>6715</v>
      </c>
      <c r="B6719" s="5">
        <v>280</v>
      </c>
      <c r="C6719" s="5">
        <v>10</v>
      </c>
      <c r="D6719" s="25">
        <v>1.1416E-4</v>
      </c>
      <c r="E6719" s="25">
        <v>1.1652E-4</v>
      </c>
      <c r="F6719" s="25">
        <v>1.1182E-4</v>
      </c>
      <c r="G6719" s="25">
        <v>1.0699E-4</v>
      </c>
      <c r="H6719" s="25">
        <v>2.5469999999999998E-5</v>
      </c>
      <c r="I6719" s="9">
        <v>1.3313999999999999E-4</v>
      </c>
      <c r="J6719" s="9">
        <v>1.3702000000000001E-4</v>
      </c>
      <c r="K6719" s="9">
        <v>5.9349999999999999E-5</v>
      </c>
      <c r="L6719" s="9">
        <v>1.4061E-4</v>
      </c>
      <c r="M6719" s="9">
        <v>1.2705E-4</v>
      </c>
      <c r="N6719" s="9">
        <v>1.3014999999999999E-4</v>
      </c>
      <c r="O6719" s="9">
        <v>1.4056999999999999E-4</v>
      </c>
      <c r="P6719" s="9">
        <v>1.2276E-4</v>
      </c>
      <c r="Q6719" s="9">
        <v>1.0626E-4</v>
      </c>
      <c r="R6719" s="10">
        <v>1.2291862078293763E-4</v>
      </c>
      <c r="S6719" s="10">
        <v>1.2427523136760341E-4</v>
      </c>
      <c r="T6719" s="10">
        <v>0</v>
      </c>
      <c r="U6719" s="10">
        <v>6.6390000000000006E-5</v>
      </c>
      <c r="V6719" s="25"/>
      <c r="W6719" s="25"/>
      <c r="X6719" s="25"/>
      <c r="Y6719" s="25"/>
      <c r="Z6719" s="25"/>
      <c r="AA6719" s="25"/>
    </row>
    <row r="6720" spans="1:27" x14ac:dyDescent="0.35">
      <c r="A6720" s="5">
        <v>6716</v>
      </c>
      <c r="B6720" s="5">
        <v>280</v>
      </c>
      <c r="C6720" s="5">
        <v>10</v>
      </c>
      <c r="D6720" s="25">
        <v>1.1415000000000001E-4</v>
      </c>
      <c r="E6720" s="25">
        <v>1.1658E-4</v>
      </c>
      <c r="F6720" s="25">
        <v>1.2888E-4</v>
      </c>
      <c r="G6720" s="25">
        <v>1.1400000000000001E-4</v>
      </c>
      <c r="H6720" s="25">
        <v>2.762E-5</v>
      </c>
      <c r="I6720" s="9">
        <v>1.2862999999999999E-4</v>
      </c>
      <c r="J6720" s="9">
        <v>1.3296E-4</v>
      </c>
      <c r="K6720" s="9">
        <v>8.9010000000000003E-5</v>
      </c>
      <c r="L6720" s="9">
        <v>1.4056E-4</v>
      </c>
      <c r="M6720" s="9">
        <v>1.2552E-4</v>
      </c>
      <c r="N6720" s="9">
        <v>1.2089E-4</v>
      </c>
      <c r="O6720" s="9">
        <v>1.4300000000000001E-4</v>
      </c>
      <c r="P6720" s="9">
        <v>1.2136E-4</v>
      </c>
      <c r="Q6720" s="9">
        <v>1.0111999999999999E-4</v>
      </c>
      <c r="R6720" s="10">
        <v>1.2355254213761914E-4</v>
      </c>
      <c r="S6720" s="10">
        <v>1.1950136659355513E-4</v>
      </c>
      <c r="T6720" s="10">
        <v>0</v>
      </c>
      <c r="U6720" s="10">
        <v>6.6390000000000006E-5</v>
      </c>
      <c r="V6720" s="25"/>
      <c r="W6720" s="25"/>
      <c r="X6720" s="25"/>
      <c r="Y6720" s="25"/>
      <c r="Z6720" s="25"/>
      <c r="AA6720" s="25"/>
    </row>
    <row r="6721" spans="1:27" x14ac:dyDescent="0.35">
      <c r="A6721" s="5">
        <v>6717</v>
      </c>
      <c r="B6721" s="5">
        <v>280</v>
      </c>
      <c r="C6721" s="5">
        <v>10</v>
      </c>
      <c r="D6721" s="25">
        <v>1.1416E-4</v>
      </c>
      <c r="E6721" s="25">
        <v>1.097E-4</v>
      </c>
      <c r="F6721" s="25">
        <v>1.1238E-4</v>
      </c>
      <c r="G6721" s="25">
        <v>5.5290000000000001E-5</v>
      </c>
      <c r="H6721" s="25">
        <v>1.3499999999999999E-5</v>
      </c>
      <c r="I6721" s="9">
        <v>1.203E-4</v>
      </c>
      <c r="J6721" s="9">
        <v>1.2441000000000001E-4</v>
      </c>
      <c r="K6721" s="9">
        <v>9.9610000000000003E-5</v>
      </c>
      <c r="L6721" s="9">
        <v>1.4250999999999999E-4</v>
      </c>
      <c r="M6721" s="9">
        <v>1.2364E-4</v>
      </c>
      <c r="N6721" s="9">
        <v>1.1301E-4</v>
      </c>
      <c r="O6721" s="9">
        <v>8.5199999999999997E-5</v>
      </c>
      <c r="P6721" s="9">
        <v>8.6849999999999997E-5</v>
      </c>
      <c r="Q6721" s="9">
        <v>8.886E-5</v>
      </c>
      <c r="R6721" s="10">
        <v>1.2641964826061626E-4</v>
      </c>
      <c r="S6721" s="10">
        <v>1.2113952542784329E-4</v>
      </c>
      <c r="T6721" s="10">
        <v>0</v>
      </c>
      <c r="U6721" s="10">
        <v>6.6390000000000006E-5</v>
      </c>
      <c r="V6721" s="25"/>
      <c r="W6721" s="25"/>
      <c r="X6721" s="25"/>
      <c r="Y6721" s="25"/>
      <c r="Z6721" s="25"/>
      <c r="AA6721" s="25"/>
    </row>
    <row r="6722" spans="1:27" x14ac:dyDescent="0.35">
      <c r="A6722" s="5">
        <v>6718</v>
      </c>
      <c r="B6722" s="5">
        <v>280</v>
      </c>
      <c r="C6722" s="5">
        <v>10</v>
      </c>
      <c r="D6722" s="25">
        <v>1.1415000000000001E-4</v>
      </c>
      <c r="E6722" s="25">
        <v>1.1051E-4</v>
      </c>
      <c r="F6722" s="25">
        <v>1.2074E-4</v>
      </c>
      <c r="G6722" s="25">
        <v>6.2730000000000004E-5</v>
      </c>
      <c r="H6722" s="25">
        <v>1.469E-5</v>
      </c>
      <c r="I6722" s="9">
        <v>1.1680000000000001E-4</v>
      </c>
      <c r="J6722" s="9">
        <v>1.1472E-4</v>
      </c>
      <c r="K6722" s="9">
        <v>1.0809E-4</v>
      </c>
      <c r="L6722" s="9">
        <v>9.7759999999999999E-5</v>
      </c>
      <c r="M6722" s="9">
        <v>1.0988E-4</v>
      </c>
      <c r="N6722" s="9">
        <v>1.0553E-4</v>
      </c>
      <c r="O6722" s="9">
        <v>8.7910000000000004E-5</v>
      </c>
      <c r="P6722" s="9">
        <v>8.8159999999999996E-5</v>
      </c>
      <c r="Q6722" s="9">
        <v>8.8809999999999998E-5</v>
      </c>
      <c r="R6722" s="10">
        <v>1.2758676575887E-4</v>
      </c>
      <c r="S6722" s="10">
        <v>1.2273683493452852E-4</v>
      </c>
      <c r="T6722" s="10">
        <v>0</v>
      </c>
      <c r="U6722" s="10">
        <v>6.6390000000000006E-5</v>
      </c>
      <c r="V6722" s="25"/>
      <c r="W6722" s="25"/>
      <c r="X6722" s="25"/>
      <c r="Y6722" s="25"/>
      <c r="Z6722" s="25"/>
      <c r="AA6722" s="25"/>
    </row>
    <row r="6723" spans="1:27" x14ac:dyDescent="0.35">
      <c r="A6723" s="5">
        <v>6719</v>
      </c>
      <c r="B6723" s="5">
        <v>280</v>
      </c>
      <c r="C6723" s="5">
        <v>10</v>
      </c>
      <c r="D6723" s="25">
        <v>1.1416E-4</v>
      </c>
      <c r="E6723" s="25">
        <v>1.1422E-4</v>
      </c>
      <c r="F6723" s="25">
        <v>1.1807E-4</v>
      </c>
      <c r="G6723" s="25">
        <v>5.4219999999999999E-5</v>
      </c>
      <c r="H6723" s="25">
        <v>1.4610000000000001E-5</v>
      </c>
      <c r="I6723" s="9">
        <v>1.1266E-4</v>
      </c>
      <c r="J6723" s="9">
        <v>1.0687E-4</v>
      </c>
      <c r="K6723" s="9">
        <v>1.2504000000000001E-4</v>
      </c>
      <c r="L6723" s="9">
        <v>9.1310000000000005E-5</v>
      </c>
      <c r="M6723" s="9">
        <v>9.8389999999999998E-5</v>
      </c>
      <c r="N6723" s="9">
        <v>9.9840000000000006E-5</v>
      </c>
      <c r="O6723" s="9">
        <v>8.5229999999999995E-5</v>
      </c>
      <c r="P6723" s="9">
        <v>7.6030000000000002E-5</v>
      </c>
      <c r="Q6723" s="9">
        <v>6.7349999999999997E-5</v>
      </c>
      <c r="R6723" s="10">
        <v>1.2539326135027783E-4</v>
      </c>
      <c r="S6723" s="10">
        <v>1.2088700404478272E-4</v>
      </c>
      <c r="T6723" s="10">
        <v>0</v>
      </c>
      <c r="U6723" s="10">
        <v>6.6390000000000006E-5</v>
      </c>
      <c r="V6723" s="25"/>
      <c r="W6723" s="25"/>
      <c r="X6723" s="25"/>
      <c r="Y6723" s="25"/>
      <c r="Z6723" s="25"/>
      <c r="AA6723" s="25"/>
    </row>
    <row r="6724" spans="1:27" x14ac:dyDescent="0.35">
      <c r="A6724" s="5">
        <v>6720</v>
      </c>
      <c r="B6724" s="5">
        <v>280</v>
      </c>
      <c r="C6724" s="5">
        <v>10</v>
      </c>
      <c r="D6724" s="25">
        <v>1.1415000000000001E-4</v>
      </c>
      <c r="E6724" s="25">
        <v>1.1527999999999999E-4</v>
      </c>
      <c r="F6724" s="25">
        <v>1.1729E-4</v>
      </c>
      <c r="G6724" s="25">
        <v>6.3170000000000007E-5</v>
      </c>
      <c r="H6724" s="25">
        <v>1.3169999999999999E-5</v>
      </c>
      <c r="I6724" s="9">
        <v>1.0501E-4</v>
      </c>
      <c r="J6724" s="9">
        <v>9.9199999999999999E-5</v>
      </c>
      <c r="K6724" s="9">
        <v>1.3774999999999999E-4</v>
      </c>
      <c r="L6724" s="9">
        <v>8.6790000000000001E-5</v>
      </c>
      <c r="M6724" s="9">
        <v>8.7650000000000003E-5</v>
      </c>
      <c r="N6724" s="9">
        <v>9.0680000000000006E-5</v>
      </c>
      <c r="O6724" s="9">
        <v>7.9019999999999999E-5</v>
      </c>
      <c r="P6724" s="9">
        <v>6.8650000000000002E-5</v>
      </c>
      <c r="Q6724" s="9">
        <v>5.876E-5</v>
      </c>
      <c r="R6724" s="10">
        <v>1.1201628907618105E-4</v>
      </c>
      <c r="S6724" s="10">
        <v>1.1914828616905969E-4</v>
      </c>
      <c r="T6724" s="10">
        <v>0</v>
      </c>
      <c r="U6724" s="10">
        <v>6.6390000000000006E-5</v>
      </c>
      <c r="V6724" s="25"/>
      <c r="W6724" s="25"/>
      <c r="X6724" s="25"/>
      <c r="Y6724" s="25"/>
      <c r="Z6724" s="25"/>
      <c r="AA6724" s="25"/>
    </row>
    <row r="6725" spans="1:27" x14ac:dyDescent="0.35">
      <c r="A6725" s="5">
        <v>6721</v>
      </c>
      <c r="B6725" s="5">
        <v>281</v>
      </c>
      <c r="C6725" s="5">
        <v>10</v>
      </c>
      <c r="D6725" s="25">
        <v>1.1416E-4</v>
      </c>
      <c r="E6725" s="25">
        <v>1.0535E-4</v>
      </c>
      <c r="F6725" s="25">
        <v>1.0915E-4</v>
      </c>
      <c r="G6725" s="25">
        <v>5.6749999999999997E-5</v>
      </c>
      <c r="H6725" s="25">
        <v>6.2739999999999999E-5</v>
      </c>
      <c r="I6725" s="9">
        <v>9.9599999999999995E-5</v>
      </c>
      <c r="J6725" s="9">
        <v>9.4010000000000003E-5</v>
      </c>
      <c r="K6725" s="9">
        <v>8.4779999999999998E-5</v>
      </c>
      <c r="L6725" s="9">
        <v>8.0519999999999995E-5</v>
      </c>
      <c r="M6725" s="9">
        <v>7.8369999999999997E-5</v>
      </c>
      <c r="N6725" s="9">
        <v>8.1290000000000003E-5</v>
      </c>
      <c r="O6725" s="9">
        <v>5.5019999999999998E-5</v>
      </c>
      <c r="P6725" s="9">
        <v>5.4429999999999999E-5</v>
      </c>
      <c r="Q6725" s="9">
        <v>5.401E-5</v>
      </c>
      <c r="R6725" s="10">
        <v>1.0167859873913837E-4</v>
      </c>
      <c r="S6725" s="10">
        <v>1.113528383707958E-4</v>
      </c>
      <c r="T6725" s="10">
        <v>0</v>
      </c>
      <c r="U6725" s="10">
        <v>6.7520000000000004E-5</v>
      </c>
      <c r="V6725" s="25"/>
      <c r="W6725" s="25"/>
      <c r="X6725" s="25"/>
      <c r="Y6725" s="25"/>
      <c r="Z6725" s="25"/>
      <c r="AA6725" s="25"/>
    </row>
    <row r="6726" spans="1:27" x14ac:dyDescent="0.35">
      <c r="A6726" s="5">
        <v>6722</v>
      </c>
      <c r="B6726" s="5">
        <v>281</v>
      </c>
      <c r="C6726" s="5">
        <v>10</v>
      </c>
      <c r="D6726" s="25">
        <v>1.1415000000000001E-4</v>
      </c>
      <c r="E6726" s="25">
        <v>1.0649000000000001E-4</v>
      </c>
      <c r="F6726" s="25">
        <v>1.0786E-4</v>
      </c>
      <c r="G6726" s="25">
        <v>5.923E-5</v>
      </c>
      <c r="H6726" s="25">
        <v>6.5790000000000005E-5</v>
      </c>
      <c r="I6726" s="9">
        <v>9.5400000000000001E-5</v>
      </c>
      <c r="J6726" s="9">
        <v>9.2200000000000005E-5</v>
      </c>
      <c r="K6726" s="9">
        <v>7.2059999999999998E-5</v>
      </c>
      <c r="L6726" s="9">
        <v>6.0789999999999999E-5</v>
      </c>
      <c r="M6726" s="9">
        <v>6.7570000000000005E-5</v>
      </c>
      <c r="N6726" s="9">
        <v>7.2319999999999999E-5</v>
      </c>
      <c r="O6726" s="9">
        <v>1.88E-5</v>
      </c>
      <c r="P6726" s="9">
        <v>3.7830000000000002E-5</v>
      </c>
      <c r="Q6726" s="9">
        <v>5.6289999999999998E-5</v>
      </c>
      <c r="R6726" s="10">
        <v>8.3067491422726333E-5</v>
      </c>
      <c r="S6726" s="10">
        <v>9.458023086431545E-5</v>
      </c>
      <c r="T6726" s="10">
        <v>0</v>
      </c>
      <c r="U6726" s="10">
        <v>6.7520000000000004E-5</v>
      </c>
      <c r="V6726" s="25"/>
      <c r="W6726" s="25"/>
      <c r="X6726" s="25"/>
      <c r="Y6726" s="25"/>
      <c r="Z6726" s="25"/>
      <c r="AA6726" s="25"/>
    </row>
    <row r="6727" spans="1:27" x14ac:dyDescent="0.35">
      <c r="A6727" s="5">
        <v>6723</v>
      </c>
      <c r="B6727" s="5">
        <v>281</v>
      </c>
      <c r="C6727" s="5">
        <v>10</v>
      </c>
      <c r="D6727" s="25">
        <v>1.1416E-4</v>
      </c>
      <c r="E6727" s="25">
        <v>1.1463000000000001E-4</v>
      </c>
      <c r="F6727" s="25">
        <v>1.0841E-4</v>
      </c>
      <c r="G6727" s="25">
        <v>5.4459999999999997E-5</v>
      </c>
      <c r="H6727" s="25">
        <v>7.3730000000000001E-5</v>
      </c>
      <c r="I6727" s="9">
        <v>9.3549999999999997E-5</v>
      </c>
      <c r="J6727" s="9">
        <v>9.145E-5</v>
      </c>
      <c r="K6727" s="9">
        <v>6.1459999999999998E-5</v>
      </c>
      <c r="L6727" s="9">
        <v>2.8569999999999999E-5</v>
      </c>
      <c r="M6727" s="9">
        <v>5.4219999999999999E-5</v>
      </c>
      <c r="N6727" s="9">
        <v>6.5749999999999999E-5</v>
      </c>
      <c r="O6727" s="9">
        <v>1.3159999999999999E-5</v>
      </c>
      <c r="P6727" s="9">
        <v>3.7459999999999997E-5</v>
      </c>
      <c r="Q6727" s="9">
        <v>6.1060000000000002E-5</v>
      </c>
      <c r="R6727" s="10">
        <v>6.7680255956421371E-5</v>
      </c>
      <c r="S6727" s="10">
        <v>7.8310431851418355E-5</v>
      </c>
      <c r="T6727" s="10">
        <v>0</v>
      </c>
      <c r="U6727" s="10">
        <v>6.7520000000000004E-5</v>
      </c>
      <c r="V6727" s="25"/>
      <c r="W6727" s="25"/>
      <c r="X6727" s="25"/>
      <c r="Y6727" s="25"/>
      <c r="Z6727" s="25"/>
      <c r="AA6727" s="25"/>
    </row>
    <row r="6728" spans="1:27" x14ac:dyDescent="0.35">
      <c r="A6728" s="5">
        <v>6724</v>
      </c>
      <c r="B6728" s="5">
        <v>281</v>
      </c>
      <c r="C6728" s="5">
        <v>10</v>
      </c>
      <c r="D6728" s="25">
        <v>1.1415000000000001E-4</v>
      </c>
      <c r="E6728" s="25">
        <v>1.0891E-4</v>
      </c>
      <c r="F6728" s="25">
        <v>1.0514E-4</v>
      </c>
      <c r="G6728" s="25">
        <v>5.5970000000000001E-5</v>
      </c>
      <c r="H6728" s="25">
        <v>6.8399999999999996E-5</v>
      </c>
      <c r="I6728" s="9">
        <v>9.4840000000000007E-5</v>
      </c>
      <c r="J6728" s="9">
        <v>9.2040000000000006E-5</v>
      </c>
      <c r="K6728" s="9">
        <v>6.3579999999999998E-5</v>
      </c>
      <c r="L6728" s="9">
        <v>1.7410000000000001E-5</v>
      </c>
      <c r="M6728" s="9">
        <v>4.4960000000000003E-5</v>
      </c>
      <c r="N6728" s="9">
        <v>6.2000000000000003E-5</v>
      </c>
      <c r="O6728" s="9">
        <v>1.3210000000000001E-5</v>
      </c>
      <c r="P6728" s="9">
        <v>4.702E-5</v>
      </c>
      <c r="Q6728" s="9">
        <v>7.9969999999999995E-5</v>
      </c>
      <c r="R6728" s="10">
        <v>6.1138285823356638E-5</v>
      </c>
      <c r="S6728" s="10">
        <v>7.6131147235047661E-5</v>
      </c>
      <c r="T6728" s="10">
        <v>0</v>
      </c>
      <c r="U6728" s="10">
        <v>6.7520000000000004E-5</v>
      </c>
      <c r="V6728" s="25"/>
      <c r="W6728" s="25"/>
      <c r="X6728" s="25"/>
      <c r="Y6728" s="25"/>
      <c r="Z6728" s="25"/>
      <c r="AA6728" s="25"/>
    </row>
    <row r="6729" spans="1:27" x14ac:dyDescent="0.35">
      <c r="A6729" s="5">
        <v>6725</v>
      </c>
      <c r="B6729" s="5">
        <v>281</v>
      </c>
      <c r="C6729" s="5">
        <v>10</v>
      </c>
      <c r="D6729" s="25">
        <v>1.1416E-4</v>
      </c>
      <c r="E6729" s="25">
        <v>1.0882000000000001E-4</v>
      </c>
      <c r="F6729" s="25">
        <v>9.9850000000000001E-5</v>
      </c>
      <c r="G6729" s="25">
        <v>5.715E-5</v>
      </c>
      <c r="H6729" s="25">
        <v>6.6870000000000002E-5</v>
      </c>
      <c r="I6729" s="9">
        <v>9.8540000000000002E-5</v>
      </c>
      <c r="J6729" s="9">
        <v>9.5290000000000004E-5</v>
      </c>
      <c r="K6729" s="9">
        <v>6.7819999999999998E-5</v>
      </c>
      <c r="L6729" s="9">
        <v>1.432E-5</v>
      </c>
      <c r="M6729" s="9">
        <v>4.3649999999999997E-5</v>
      </c>
      <c r="N6729" s="9">
        <v>6.4399999999999993E-5</v>
      </c>
      <c r="O6729" s="9">
        <v>1.8870000000000001E-5</v>
      </c>
      <c r="P6729" s="9">
        <v>5.6959999999999997E-5</v>
      </c>
      <c r="Q6729" s="9">
        <v>9.4190000000000005E-5</v>
      </c>
      <c r="R6729" s="10">
        <v>5.6114479162689505E-5</v>
      </c>
      <c r="S6729" s="10">
        <v>7.3328348766478629E-5</v>
      </c>
      <c r="T6729" s="10">
        <v>0</v>
      </c>
      <c r="U6729" s="10">
        <v>6.7520000000000004E-5</v>
      </c>
      <c r="V6729" s="25"/>
      <c r="W6729" s="25"/>
      <c r="X6729" s="25"/>
      <c r="Y6729" s="25"/>
      <c r="Z6729" s="25"/>
      <c r="AA6729" s="25"/>
    </row>
    <row r="6730" spans="1:27" x14ac:dyDescent="0.35">
      <c r="A6730" s="5">
        <v>6726</v>
      </c>
      <c r="B6730" s="5">
        <v>281</v>
      </c>
      <c r="C6730" s="5">
        <v>10</v>
      </c>
      <c r="D6730" s="25">
        <v>1.1415000000000001E-4</v>
      </c>
      <c r="E6730" s="25">
        <v>1.0862E-4</v>
      </c>
      <c r="F6730" s="25">
        <v>1.1592E-4</v>
      </c>
      <c r="G6730" s="25">
        <v>1.0752E-4</v>
      </c>
      <c r="H6730" s="25">
        <v>1.3651000000000001E-4</v>
      </c>
      <c r="I6730" s="9">
        <v>1.0993E-4</v>
      </c>
      <c r="J6730" s="9">
        <v>1.0653E-4</v>
      </c>
      <c r="K6730" s="9">
        <v>6.1470000000000006E-5</v>
      </c>
      <c r="L6730" s="9">
        <v>1.7730000000000001E-5</v>
      </c>
      <c r="M6730" s="9">
        <v>4.8479999999999997E-5</v>
      </c>
      <c r="N6730" s="9">
        <v>7.1039999999999997E-5</v>
      </c>
      <c r="O6730" s="9">
        <v>4.6400000000000003E-5</v>
      </c>
      <c r="P6730" s="9">
        <v>7.7070000000000006E-5</v>
      </c>
      <c r="Q6730" s="9">
        <v>1.0732E-4</v>
      </c>
      <c r="R6730" s="10">
        <v>5.4098702191456304E-5</v>
      </c>
      <c r="S6730" s="10">
        <v>6.7704767182860155E-5</v>
      </c>
      <c r="T6730" s="10">
        <v>0</v>
      </c>
      <c r="U6730" s="10">
        <v>6.7520000000000004E-5</v>
      </c>
      <c r="V6730" s="25"/>
      <c r="W6730" s="25"/>
      <c r="X6730" s="25"/>
      <c r="Y6730" s="25"/>
      <c r="Z6730" s="25"/>
      <c r="AA6730" s="25"/>
    </row>
    <row r="6731" spans="1:27" x14ac:dyDescent="0.35">
      <c r="A6731" s="5">
        <v>6727</v>
      </c>
      <c r="B6731" s="5">
        <v>281</v>
      </c>
      <c r="C6731" s="5">
        <v>10</v>
      </c>
      <c r="D6731" s="25">
        <v>1.1416E-4</v>
      </c>
      <c r="E6731" s="25">
        <v>1.0692999999999999E-4</v>
      </c>
      <c r="F6731" s="25">
        <v>1.1312E-4</v>
      </c>
      <c r="G6731" s="25">
        <v>1.0839E-4</v>
      </c>
      <c r="H6731" s="25">
        <v>1.2645000000000001E-4</v>
      </c>
      <c r="I6731" s="9">
        <v>1.2276E-4</v>
      </c>
      <c r="J6731" s="9">
        <v>1.2359E-4</v>
      </c>
      <c r="K6731" s="9">
        <v>5.5109999999999999E-5</v>
      </c>
      <c r="L6731" s="9">
        <v>3.994E-5</v>
      </c>
      <c r="M6731" s="9">
        <v>6.0149999999999998E-5</v>
      </c>
      <c r="N6731" s="9">
        <v>8.0790000000000004E-5</v>
      </c>
      <c r="O6731" s="9">
        <v>1.2224999999999999E-4</v>
      </c>
      <c r="P6731" s="9">
        <v>1.1633000000000001E-4</v>
      </c>
      <c r="Q6731" s="9">
        <v>1.1144E-4</v>
      </c>
      <c r="R6731" s="10">
        <v>5.5243419744604383E-5</v>
      </c>
      <c r="S6731" s="10">
        <v>6.8871896492109591E-5</v>
      </c>
      <c r="T6731" s="10">
        <v>2.0532004427344887E-6</v>
      </c>
      <c r="U6731" s="10">
        <v>6.7520000000000004E-5</v>
      </c>
      <c r="V6731" s="25"/>
      <c r="W6731" s="25"/>
      <c r="X6731" s="25"/>
      <c r="Y6731" s="25"/>
      <c r="Z6731" s="25"/>
      <c r="AA6731" s="25"/>
    </row>
    <row r="6732" spans="1:27" x14ac:dyDescent="0.35">
      <c r="A6732" s="5">
        <v>6728</v>
      </c>
      <c r="B6732" s="5">
        <v>281</v>
      </c>
      <c r="C6732" s="5">
        <v>10</v>
      </c>
      <c r="D6732" s="25">
        <v>1.1415000000000001E-4</v>
      </c>
      <c r="E6732" s="25">
        <v>1.1241E-4</v>
      </c>
      <c r="F6732" s="25">
        <v>1.087E-4</v>
      </c>
      <c r="G6732" s="25">
        <v>1.5892E-4</v>
      </c>
      <c r="H6732" s="25">
        <v>1.8751E-4</v>
      </c>
      <c r="I6732" s="9">
        <v>1.2475E-4</v>
      </c>
      <c r="J6732" s="9">
        <v>1.3234999999999999E-4</v>
      </c>
      <c r="K6732" s="9">
        <v>4.4509999999999999E-5</v>
      </c>
      <c r="L6732" s="9">
        <v>1.0352E-4</v>
      </c>
      <c r="M6732" s="9">
        <v>8.3399999999999994E-5</v>
      </c>
      <c r="N6732" s="9">
        <v>9.0660000000000003E-5</v>
      </c>
      <c r="O6732" s="9">
        <v>2.2121E-4</v>
      </c>
      <c r="P6732" s="9">
        <v>1.7798E-4</v>
      </c>
      <c r="Q6732" s="9">
        <v>1.3749000000000001E-4</v>
      </c>
      <c r="R6732" s="10">
        <v>5.7340860769499877E-5</v>
      </c>
      <c r="S6732" s="10">
        <v>7.8094341560633077E-5</v>
      </c>
      <c r="T6732" s="10">
        <v>8.7447673401918922E-5</v>
      </c>
      <c r="U6732" s="10">
        <v>6.7520000000000004E-5</v>
      </c>
      <c r="V6732" s="25"/>
      <c r="W6732" s="25"/>
      <c r="X6732" s="25"/>
      <c r="Y6732" s="25"/>
      <c r="Z6732" s="25"/>
      <c r="AA6732" s="25"/>
    </row>
    <row r="6733" spans="1:27" x14ac:dyDescent="0.35">
      <c r="A6733" s="5">
        <v>6729</v>
      </c>
      <c r="B6733" s="5">
        <v>281</v>
      </c>
      <c r="C6733" s="5">
        <v>10</v>
      </c>
      <c r="D6733" s="25">
        <v>1.1416E-4</v>
      </c>
      <c r="E6733" s="25">
        <v>1.1621E-4</v>
      </c>
      <c r="F6733" s="25">
        <v>9.7089999999999994E-5</v>
      </c>
      <c r="G6733" s="25">
        <v>1.6721999999999999E-4</v>
      </c>
      <c r="H6733" s="25">
        <v>1.9107999999999999E-4</v>
      </c>
      <c r="I6733" s="9">
        <v>1.2782000000000001E-4</v>
      </c>
      <c r="J6733" s="9">
        <v>1.3559999999999999E-4</v>
      </c>
      <c r="K6733" s="9">
        <v>4.8749999999999999E-5</v>
      </c>
      <c r="L6733" s="9">
        <v>1.9358E-4</v>
      </c>
      <c r="M6733" s="9">
        <v>1.2344999999999999E-4</v>
      </c>
      <c r="N6733" s="9">
        <v>1.0459999999999999E-4</v>
      </c>
      <c r="O6733" s="9">
        <v>2.1121000000000001E-4</v>
      </c>
      <c r="P6733" s="9">
        <v>1.9274E-4</v>
      </c>
      <c r="Q6733" s="9">
        <v>1.7652E-4</v>
      </c>
      <c r="R6733" s="10">
        <v>5.4951984532907223E-5</v>
      </c>
      <c r="S6733" s="10">
        <v>8.8185658730066869E-5</v>
      </c>
      <c r="T6733" s="10">
        <v>3.0170168489106794E-4</v>
      </c>
      <c r="U6733" s="10">
        <v>6.7520000000000004E-5</v>
      </c>
      <c r="V6733" s="25"/>
      <c r="W6733" s="25"/>
      <c r="X6733" s="25"/>
      <c r="Y6733" s="25"/>
      <c r="Z6733" s="25"/>
      <c r="AA6733" s="25"/>
    </row>
    <row r="6734" spans="1:27" x14ac:dyDescent="0.35">
      <c r="A6734" s="5">
        <v>6730</v>
      </c>
      <c r="B6734" s="5">
        <v>281</v>
      </c>
      <c r="C6734" s="5">
        <v>10</v>
      </c>
      <c r="D6734" s="25">
        <v>1.1415000000000001E-4</v>
      </c>
      <c r="E6734" s="25">
        <v>1.0683000000000001E-4</v>
      </c>
      <c r="F6734" s="25">
        <v>1.1546E-4</v>
      </c>
      <c r="G6734" s="25">
        <v>1.6028E-4</v>
      </c>
      <c r="H6734" s="25">
        <v>1.9010000000000001E-4</v>
      </c>
      <c r="I6734" s="9">
        <v>1.2831E-4</v>
      </c>
      <c r="J6734" s="9">
        <v>1.3567000000000001E-4</v>
      </c>
      <c r="K6734" s="9">
        <v>4.0269999999999999E-5</v>
      </c>
      <c r="L6734" s="9">
        <v>2.0497000000000001E-4</v>
      </c>
      <c r="M6734" s="9">
        <v>1.5856999999999999E-4</v>
      </c>
      <c r="N6734" s="9">
        <v>1.2454999999999999E-4</v>
      </c>
      <c r="O6734" s="9">
        <v>1.6579E-4</v>
      </c>
      <c r="P6734" s="9">
        <v>1.7238E-4</v>
      </c>
      <c r="Q6734" s="9">
        <v>1.8031000000000001E-4</v>
      </c>
      <c r="R6734" s="10">
        <v>5.0647279357160212E-5</v>
      </c>
      <c r="S6734" s="10">
        <v>9.3163775196802964E-5</v>
      </c>
      <c r="T6734" s="10">
        <v>1.7602375861740677E-4</v>
      </c>
      <c r="U6734" s="10">
        <v>6.7520000000000004E-5</v>
      </c>
      <c r="V6734" s="25"/>
      <c r="W6734" s="25"/>
      <c r="X6734" s="25"/>
      <c r="Y6734" s="25"/>
      <c r="Z6734" s="25"/>
      <c r="AA6734" s="25"/>
    </row>
    <row r="6735" spans="1:27" x14ac:dyDescent="0.35">
      <c r="A6735" s="5">
        <v>6731</v>
      </c>
      <c r="B6735" s="5">
        <v>281</v>
      </c>
      <c r="C6735" s="5">
        <v>10</v>
      </c>
      <c r="D6735" s="25">
        <v>1.1416E-4</v>
      </c>
      <c r="E6735" s="25">
        <v>1.1561999999999999E-4</v>
      </c>
      <c r="F6735" s="25">
        <v>9.9779999999999997E-5</v>
      </c>
      <c r="G6735" s="25">
        <v>1.661E-4</v>
      </c>
      <c r="H6735" s="25">
        <v>1.9131000000000001E-4</v>
      </c>
      <c r="I6735" s="9">
        <v>1.2923000000000001E-4</v>
      </c>
      <c r="J6735" s="9">
        <v>1.3601999999999999E-4</v>
      </c>
      <c r="K6735" s="9">
        <v>2.12E-5</v>
      </c>
      <c r="L6735" s="9">
        <v>1.7450000000000001E-4</v>
      </c>
      <c r="M6735" s="9">
        <v>1.7166999999999999E-4</v>
      </c>
      <c r="N6735" s="9">
        <v>1.4223E-4</v>
      </c>
      <c r="O6735" s="9">
        <v>1.6626E-4</v>
      </c>
      <c r="P6735" s="9">
        <v>1.7153000000000001E-4</v>
      </c>
      <c r="Q6735" s="9">
        <v>1.7815999999999999E-4</v>
      </c>
      <c r="R6735" s="10">
        <v>3.8935644502307432E-5</v>
      </c>
      <c r="S6735" s="10">
        <v>8.8000489103070827E-5</v>
      </c>
      <c r="T6735" s="10">
        <v>2.3045902324792116E-4</v>
      </c>
      <c r="U6735" s="10">
        <v>6.7520000000000004E-5</v>
      </c>
      <c r="V6735" s="25"/>
      <c r="W6735" s="25"/>
      <c r="X6735" s="25"/>
      <c r="Y6735" s="25"/>
      <c r="Z6735" s="25"/>
      <c r="AA6735" s="25"/>
    </row>
    <row r="6736" spans="1:27" x14ac:dyDescent="0.35">
      <c r="A6736" s="5">
        <v>6732</v>
      </c>
      <c r="B6736" s="5">
        <v>281</v>
      </c>
      <c r="C6736" s="5">
        <v>10</v>
      </c>
      <c r="D6736" s="25">
        <v>1.1415000000000001E-4</v>
      </c>
      <c r="E6736" s="25">
        <v>1.1555E-4</v>
      </c>
      <c r="F6736" s="25">
        <v>9.6069999999999993E-5</v>
      </c>
      <c r="G6736" s="25">
        <v>1.6501999999999999E-4</v>
      </c>
      <c r="H6736" s="25">
        <v>1.9349999999999999E-4</v>
      </c>
      <c r="I6736" s="9">
        <v>1.2632E-4</v>
      </c>
      <c r="J6736" s="9">
        <v>1.3367000000000001E-4</v>
      </c>
      <c r="K6736" s="9">
        <v>0</v>
      </c>
      <c r="L6736" s="9">
        <v>1.6954000000000001E-4</v>
      </c>
      <c r="M6736" s="9">
        <v>1.7375999999999999E-4</v>
      </c>
      <c r="N6736" s="9">
        <v>1.5603000000000001E-4</v>
      </c>
      <c r="O6736" s="9">
        <v>1.6864000000000001E-4</v>
      </c>
      <c r="P6736" s="9">
        <v>1.6983999999999999E-4</v>
      </c>
      <c r="Q6736" s="9">
        <v>1.7249E-4</v>
      </c>
      <c r="R6736" s="10">
        <v>2.5944079620533044E-5</v>
      </c>
      <c r="S6736" s="10">
        <v>6.2690665968235607E-5</v>
      </c>
      <c r="T6736" s="10">
        <v>1.9400198894035879E-4</v>
      </c>
      <c r="U6736" s="10">
        <v>6.7520000000000004E-5</v>
      </c>
      <c r="V6736" s="25"/>
      <c r="W6736" s="25"/>
      <c r="X6736" s="25"/>
      <c r="Y6736" s="25"/>
      <c r="Z6736" s="25"/>
      <c r="AA6736" s="25"/>
    </row>
    <row r="6737" spans="1:27" x14ac:dyDescent="0.35">
      <c r="A6737" s="5">
        <v>6733</v>
      </c>
      <c r="B6737" s="5">
        <v>281</v>
      </c>
      <c r="C6737" s="5">
        <v>10</v>
      </c>
      <c r="D6737" s="25">
        <v>1.1416E-4</v>
      </c>
      <c r="E6737" s="25">
        <v>1.1327E-4</v>
      </c>
      <c r="F6737" s="25">
        <v>1.0687E-4</v>
      </c>
      <c r="G6737" s="25">
        <v>1.5802000000000001E-4</v>
      </c>
      <c r="H6737" s="25">
        <v>1.9809999999999999E-4</v>
      </c>
      <c r="I6737" s="9">
        <v>1.2505E-4</v>
      </c>
      <c r="J6737" s="9">
        <v>1.3311E-4</v>
      </c>
      <c r="K6737" s="9">
        <v>0</v>
      </c>
      <c r="L6737" s="9">
        <v>1.6898999999999999E-4</v>
      </c>
      <c r="M6737" s="9">
        <v>1.7242000000000001E-4</v>
      </c>
      <c r="N6737" s="9">
        <v>1.6521E-4</v>
      </c>
      <c r="O6737" s="9">
        <v>1.6317E-4</v>
      </c>
      <c r="P6737" s="9">
        <v>1.6522999999999999E-4</v>
      </c>
      <c r="Q6737" s="9">
        <v>1.6866E-4</v>
      </c>
      <c r="R6737" s="10">
        <v>2.5539968425647661E-5</v>
      </c>
      <c r="S6737" s="10">
        <v>4.4212698753192626E-5</v>
      </c>
      <c r="T6737" s="10">
        <v>1.2354836713677532E-4</v>
      </c>
      <c r="U6737" s="10">
        <v>6.7520000000000004E-5</v>
      </c>
      <c r="V6737" s="25"/>
      <c r="W6737" s="25"/>
      <c r="X6737" s="25"/>
      <c r="Y6737" s="25"/>
      <c r="Z6737" s="25"/>
      <c r="AA6737" s="25"/>
    </row>
    <row r="6738" spans="1:27" x14ac:dyDescent="0.35">
      <c r="A6738" s="5">
        <v>6734</v>
      </c>
      <c r="B6738" s="5">
        <v>281</v>
      </c>
      <c r="C6738" s="5">
        <v>10</v>
      </c>
      <c r="D6738" s="25">
        <v>1.1415000000000001E-4</v>
      </c>
      <c r="E6738" s="25">
        <v>1.0809E-4</v>
      </c>
      <c r="F6738" s="25">
        <v>1.0443E-4</v>
      </c>
      <c r="G6738" s="25">
        <v>1.6097999999999999E-4</v>
      </c>
      <c r="H6738" s="25">
        <v>1.9033E-4</v>
      </c>
      <c r="I6738" s="9">
        <v>1.2216000000000001E-4</v>
      </c>
      <c r="J6738" s="9">
        <v>1.3145999999999999E-4</v>
      </c>
      <c r="K6738" s="9">
        <v>0</v>
      </c>
      <c r="L6738" s="9">
        <v>1.6420000000000001E-4</v>
      </c>
      <c r="M6738" s="9">
        <v>1.6948000000000001E-4</v>
      </c>
      <c r="N6738" s="9">
        <v>1.6987E-4</v>
      </c>
      <c r="O6738" s="9">
        <v>1.7874000000000001E-4</v>
      </c>
      <c r="P6738" s="9">
        <v>1.6898E-4</v>
      </c>
      <c r="Q6738" s="9">
        <v>1.6093999999999999E-4</v>
      </c>
      <c r="R6738" s="10">
        <v>2.2700930495526719E-5</v>
      </c>
      <c r="S6738" s="10">
        <v>3.1678163655170935E-5</v>
      </c>
      <c r="T6738" s="10">
        <v>1.2281023309331293E-4</v>
      </c>
      <c r="U6738" s="10">
        <v>6.7520000000000004E-5</v>
      </c>
      <c r="V6738" s="25"/>
      <c r="W6738" s="25"/>
      <c r="X6738" s="25"/>
      <c r="Y6738" s="25"/>
      <c r="Z6738" s="25"/>
      <c r="AA6738" s="25"/>
    </row>
    <row r="6739" spans="1:27" x14ac:dyDescent="0.35">
      <c r="A6739" s="5">
        <v>6735</v>
      </c>
      <c r="B6739" s="5">
        <v>281</v>
      </c>
      <c r="C6739" s="5">
        <v>10</v>
      </c>
      <c r="D6739" s="25">
        <v>1.1416E-4</v>
      </c>
      <c r="E6739" s="25">
        <v>1.0705999999999999E-4</v>
      </c>
      <c r="F6739" s="25">
        <v>1.0302E-4</v>
      </c>
      <c r="G6739" s="25">
        <v>1.6673999999999999E-4</v>
      </c>
      <c r="H6739" s="25">
        <v>1.9968000000000001E-4</v>
      </c>
      <c r="I6739" s="9">
        <v>1.1955000000000001E-4</v>
      </c>
      <c r="J6739" s="9">
        <v>1.2898E-4</v>
      </c>
      <c r="K6739" s="9">
        <v>0</v>
      </c>
      <c r="L6739" s="9">
        <v>1.7564999999999999E-4</v>
      </c>
      <c r="M6739" s="9">
        <v>1.6845E-4</v>
      </c>
      <c r="N6739" s="9">
        <v>1.6956999999999999E-4</v>
      </c>
      <c r="O6739" s="9">
        <v>1.8265999999999999E-4</v>
      </c>
      <c r="P6739" s="9">
        <v>1.6618000000000001E-4</v>
      </c>
      <c r="Q6739" s="9">
        <v>1.5156999999999999E-4</v>
      </c>
      <c r="R6739" s="10">
        <v>1.7262648591856809E-5</v>
      </c>
      <c r="S6739" s="10">
        <v>2.6164534507057137E-5</v>
      </c>
      <c r="T6739" s="10">
        <v>9.6245891828016707E-5</v>
      </c>
      <c r="U6739" s="10">
        <v>6.7520000000000004E-5</v>
      </c>
      <c r="V6739" s="25"/>
      <c r="W6739" s="25"/>
      <c r="X6739" s="25"/>
      <c r="Y6739" s="25"/>
      <c r="Z6739" s="25"/>
      <c r="AA6739" s="25"/>
    </row>
    <row r="6740" spans="1:27" x14ac:dyDescent="0.35">
      <c r="A6740" s="5">
        <v>6736</v>
      </c>
      <c r="B6740" s="5">
        <v>281</v>
      </c>
      <c r="C6740" s="5">
        <v>10</v>
      </c>
      <c r="D6740" s="25">
        <v>1.1415000000000001E-4</v>
      </c>
      <c r="E6740" s="25">
        <v>1.1523000000000001E-4</v>
      </c>
      <c r="F6740" s="25">
        <v>1.0857E-4</v>
      </c>
      <c r="G6740" s="25">
        <v>1.5778999999999999E-4</v>
      </c>
      <c r="H6740" s="25">
        <v>1.8677E-4</v>
      </c>
      <c r="I6740" s="9">
        <v>1.1914E-4</v>
      </c>
      <c r="J6740" s="9">
        <v>1.2839000000000001E-4</v>
      </c>
      <c r="K6740" s="9">
        <v>0</v>
      </c>
      <c r="L6740" s="9">
        <v>1.8081999999999999E-4</v>
      </c>
      <c r="M6740" s="9">
        <v>1.6744000000000001E-4</v>
      </c>
      <c r="N6740" s="9">
        <v>1.6566000000000001E-4</v>
      </c>
      <c r="O6740" s="9">
        <v>1.9693E-4</v>
      </c>
      <c r="P6740" s="9">
        <v>1.5189000000000001E-4</v>
      </c>
      <c r="Q6740" s="9">
        <v>1.0936E-4</v>
      </c>
      <c r="R6740" s="10">
        <v>1.2615437118178653E-5</v>
      </c>
      <c r="S6740" s="10">
        <v>2.4887069262362299E-5</v>
      </c>
      <c r="T6740" s="10">
        <v>6.9579738970518775E-5</v>
      </c>
      <c r="U6740" s="10">
        <v>6.7520000000000004E-5</v>
      </c>
      <c r="V6740" s="25"/>
      <c r="W6740" s="25"/>
      <c r="X6740" s="25"/>
      <c r="Y6740" s="25"/>
      <c r="Z6740" s="25"/>
      <c r="AA6740" s="25"/>
    </row>
    <row r="6741" spans="1:27" x14ac:dyDescent="0.35">
      <c r="A6741" s="5">
        <v>6737</v>
      </c>
      <c r="B6741" s="5">
        <v>281</v>
      </c>
      <c r="C6741" s="5">
        <v>10</v>
      </c>
      <c r="D6741" s="25">
        <v>1.1416E-4</v>
      </c>
      <c r="E6741" s="25">
        <v>1.0736E-4</v>
      </c>
      <c r="F6741" s="25">
        <v>1.0853000000000001E-4</v>
      </c>
      <c r="G6741" s="25">
        <v>1.6286999999999999E-4</v>
      </c>
      <c r="H6741" s="25">
        <v>1.8661E-4</v>
      </c>
      <c r="I6741" s="9">
        <v>1.1976000000000001E-4</v>
      </c>
      <c r="J6741" s="9">
        <v>1.3048000000000001E-4</v>
      </c>
      <c r="K6741" s="9">
        <v>0</v>
      </c>
      <c r="L6741" s="9">
        <v>1.9320000000000001E-4</v>
      </c>
      <c r="M6741" s="9">
        <v>1.6165E-4</v>
      </c>
      <c r="N6741" s="9">
        <v>1.5202E-4</v>
      </c>
      <c r="O6741" s="9">
        <v>2.1625999999999999E-4</v>
      </c>
      <c r="P6741" s="9">
        <v>1.6076E-4</v>
      </c>
      <c r="Q6741" s="9">
        <v>1.0813E-4</v>
      </c>
      <c r="R6741" s="10">
        <v>9.8766649747627219E-6</v>
      </c>
      <c r="S6741" s="10">
        <v>2.5727094123544804E-5</v>
      </c>
      <c r="T6741" s="10">
        <v>2.955929893589653E-5</v>
      </c>
      <c r="U6741" s="10">
        <v>6.7520000000000004E-5</v>
      </c>
      <c r="V6741" s="25"/>
      <c r="W6741" s="25"/>
      <c r="X6741" s="25"/>
      <c r="Y6741" s="25"/>
      <c r="Z6741" s="25"/>
      <c r="AA6741" s="25"/>
    </row>
    <row r="6742" spans="1:27" x14ac:dyDescent="0.35">
      <c r="A6742" s="5">
        <v>6738</v>
      </c>
      <c r="B6742" s="5">
        <v>281</v>
      </c>
      <c r="C6742" s="5">
        <v>10</v>
      </c>
      <c r="D6742" s="25">
        <v>1.1415000000000001E-4</v>
      </c>
      <c r="E6742" s="25">
        <v>1.0597E-4</v>
      </c>
      <c r="F6742" s="25">
        <v>1.0272000000000001E-4</v>
      </c>
      <c r="G6742" s="25">
        <v>1.6479999999999999E-4</v>
      </c>
      <c r="H6742" s="25">
        <v>1.9210000000000001E-4</v>
      </c>
      <c r="I6742" s="9">
        <v>1.2039E-4</v>
      </c>
      <c r="J6742" s="9">
        <v>1.2837999999999999E-4</v>
      </c>
      <c r="K6742" s="9">
        <v>2.1299999999999999E-6</v>
      </c>
      <c r="L6742" s="9">
        <v>2.1092999999999999E-4</v>
      </c>
      <c r="M6742" s="9">
        <v>1.5974000000000001E-4</v>
      </c>
      <c r="N6742" s="9">
        <v>1.3904E-4</v>
      </c>
      <c r="O6742" s="9">
        <v>2.0426E-4</v>
      </c>
      <c r="P6742" s="9">
        <v>1.5925999999999999E-4</v>
      </c>
      <c r="Q6742" s="9">
        <v>1.1684999999999999E-4</v>
      </c>
      <c r="R6742" s="10">
        <v>9.9540399448917393E-6</v>
      </c>
      <c r="S6742" s="10">
        <v>2.5762300243224534E-5</v>
      </c>
      <c r="T6742" s="10">
        <v>0</v>
      </c>
      <c r="U6742" s="10">
        <v>6.7520000000000004E-5</v>
      </c>
      <c r="V6742" s="25"/>
      <c r="W6742" s="25"/>
      <c r="X6742" s="25"/>
      <c r="Y6742" s="25"/>
      <c r="Z6742" s="25"/>
      <c r="AA6742" s="25"/>
    </row>
    <row r="6743" spans="1:27" x14ac:dyDescent="0.35">
      <c r="A6743" s="5">
        <v>6739</v>
      </c>
      <c r="B6743" s="5">
        <v>281</v>
      </c>
      <c r="C6743" s="5">
        <v>10</v>
      </c>
      <c r="D6743" s="25">
        <v>1.1416E-4</v>
      </c>
      <c r="E6743" s="25">
        <v>1.1561E-4</v>
      </c>
      <c r="F6743" s="25">
        <v>9.8889999999999997E-5</v>
      </c>
      <c r="G6743" s="25">
        <v>1.1428E-4</v>
      </c>
      <c r="H6743" s="25">
        <v>1.2862E-4</v>
      </c>
      <c r="I6743" s="9">
        <v>1.2299000000000001E-4</v>
      </c>
      <c r="J6743" s="9">
        <v>1.3118E-4</v>
      </c>
      <c r="K6743" s="9">
        <v>1.06E-5</v>
      </c>
      <c r="L6743" s="9">
        <v>2.0526E-4</v>
      </c>
      <c r="M6743" s="9">
        <v>1.5925999999999999E-4</v>
      </c>
      <c r="N6743" s="9">
        <v>1.2983E-4</v>
      </c>
      <c r="O6743" s="9">
        <v>1.6548999999999999E-4</v>
      </c>
      <c r="P6743" s="9">
        <v>1.3562000000000001E-4</v>
      </c>
      <c r="Q6743" s="9">
        <v>1.0764000000000001E-4</v>
      </c>
      <c r="R6743" s="10">
        <v>1.1348031764470612E-5</v>
      </c>
      <c r="S6743" s="10">
        <v>2.6398659164564552E-5</v>
      </c>
      <c r="T6743" s="10">
        <v>0</v>
      </c>
      <c r="U6743" s="10">
        <v>6.7520000000000004E-5</v>
      </c>
      <c r="V6743" s="25"/>
      <c r="W6743" s="25"/>
      <c r="X6743" s="25"/>
      <c r="Y6743" s="25"/>
      <c r="Z6743" s="25"/>
      <c r="AA6743" s="25"/>
    </row>
    <row r="6744" spans="1:27" x14ac:dyDescent="0.35">
      <c r="A6744" s="5">
        <v>6740</v>
      </c>
      <c r="B6744" s="5">
        <v>281</v>
      </c>
      <c r="C6744" s="5">
        <v>10</v>
      </c>
      <c r="D6744" s="25">
        <v>1.1415000000000001E-4</v>
      </c>
      <c r="E6744" s="25">
        <v>1.0712E-4</v>
      </c>
      <c r="F6744" s="25">
        <v>1.121E-4</v>
      </c>
      <c r="G6744" s="25">
        <v>1.0946E-4</v>
      </c>
      <c r="H6744" s="25">
        <v>1.3208999999999999E-4</v>
      </c>
      <c r="I6744" s="9">
        <v>1.2019999999999999E-4</v>
      </c>
      <c r="J6744" s="9">
        <v>1.2808000000000001E-4</v>
      </c>
      <c r="K6744" s="9">
        <v>2.332E-5</v>
      </c>
      <c r="L6744" s="9">
        <v>1.7447E-4</v>
      </c>
      <c r="M6744" s="9">
        <v>1.5075000000000001E-4</v>
      </c>
      <c r="N6744" s="9">
        <v>1.2089E-4</v>
      </c>
      <c r="O6744" s="9">
        <v>1.2988E-4</v>
      </c>
      <c r="P6744" s="9">
        <v>1.1559E-4</v>
      </c>
      <c r="Q6744" s="9">
        <v>1.0254E-4</v>
      </c>
      <c r="R6744" s="10">
        <v>1.0901931463778692E-5</v>
      </c>
      <c r="S6744" s="10">
        <v>2.464232432331259E-5</v>
      </c>
      <c r="T6744" s="10">
        <v>0</v>
      </c>
      <c r="U6744" s="10">
        <v>6.7520000000000004E-5</v>
      </c>
      <c r="V6744" s="25"/>
      <c r="W6744" s="25"/>
      <c r="X6744" s="25"/>
      <c r="Y6744" s="25"/>
      <c r="Z6744" s="25"/>
      <c r="AA6744" s="25"/>
    </row>
    <row r="6745" spans="1:27" x14ac:dyDescent="0.35">
      <c r="A6745" s="5">
        <v>6741</v>
      </c>
      <c r="B6745" s="5">
        <v>281</v>
      </c>
      <c r="C6745" s="5">
        <v>10</v>
      </c>
      <c r="D6745" s="25">
        <v>1.1416E-4</v>
      </c>
      <c r="E6745" s="25">
        <v>1.1527E-4</v>
      </c>
      <c r="F6745" s="25">
        <v>9.8889999999999997E-5</v>
      </c>
      <c r="G6745" s="25">
        <v>6.3490000000000004E-5</v>
      </c>
      <c r="H6745" s="25">
        <v>6.4960000000000001E-5</v>
      </c>
      <c r="I6745" s="9">
        <v>1.1302999999999999E-4</v>
      </c>
      <c r="J6745" s="9">
        <v>1.204E-4</v>
      </c>
      <c r="K6745" s="9">
        <v>2.756E-5</v>
      </c>
      <c r="L6745" s="9">
        <v>1.4066999999999999E-4</v>
      </c>
      <c r="M6745" s="9">
        <v>1.3570999999999999E-4</v>
      </c>
      <c r="N6745" s="9">
        <v>1.1340000000000001E-4</v>
      </c>
      <c r="O6745" s="9">
        <v>8.4560000000000004E-5</v>
      </c>
      <c r="P6745" s="9">
        <v>8.6080000000000003E-5</v>
      </c>
      <c r="Q6745" s="9">
        <v>8.8070000000000002E-5</v>
      </c>
      <c r="R6745" s="10">
        <v>1.0512495090149982E-5</v>
      </c>
      <c r="S6745" s="10">
        <v>2.1881285425837461E-5</v>
      </c>
      <c r="T6745" s="10">
        <v>0</v>
      </c>
      <c r="U6745" s="10">
        <v>6.7520000000000004E-5</v>
      </c>
      <c r="V6745" s="25"/>
      <c r="W6745" s="25"/>
      <c r="X6745" s="25"/>
      <c r="Y6745" s="25"/>
      <c r="Z6745" s="25"/>
      <c r="AA6745" s="25"/>
    </row>
    <row r="6746" spans="1:27" x14ac:dyDescent="0.35">
      <c r="A6746" s="5">
        <v>6742</v>
      </c>
      <c r="B6746" s="5">
        <v>281</v>
      </c>
      <c r="C6746" s="5">
        <v>10</v>
      </c>
      <c r="D6746" s="25">
        <v>1.1415000000000001E-4</v>
      </c>
      <c r="E6746" s="25">
        <v>1.1288E-4</v>
      </c>
      <c r="F6746" s="25">
        <v>1.0459E-4</v>
      </c>
      <c r="G6746" s="25">
        <v>5.4960000000000002E-5</v>
      </c>
      <c r="H6746" s="25">
        <v>6.8540000000000004E-5</v>
      </c>
      <c r="I6746" s="9">
        <v>1.1189E-4</v>
      </c>
      <c r="J6746" s="9">
        <v>1.1198E-4</v>
      </c>
      <c r="K6746" s="9">
        <v>3.6040000000000001E-5</v>
      </c>
      <c r="L6746" s="9">
        <v>9.7800000000000006E-5</v>
      </c>
      <c r="M6746" s="9">
        <v>1.1398E-4</v>
      </c>
      <c r="N6746" s="9">
        <v>1.0575E-4</v>
      </c>
      <c r="O6746" s="9">
        <v>8.7739999999999997E-5</v>
      </c>
      <c r="P6746" s="9">
        <v>8.7860000000000002E-5</v>
      </c>
      <c r="Q6746" s="9">
        <v>8.8510000000000005E-5</v>
      </c>
      <c r="R6746" s="10">
        <v>9.2910780652322363E-6</v>
      </c>
      <c r="S6746" s="10">
        <v>1.9116311452292794E-5</v>
      </c>
      <c r="T6746" s="10">
        <v>0</v>
      </c>
      <c r="U6746" s="10">
        <v>6.7520000000000004E-5</v>
      </c>
      <c r="V6746" s="25"/>
      <c r="W6746" s="25"/>
      <c r="X6746" s="25"/>
      <c r="Y6746" s="25"/>
      <c r="Z6746" s="25"/>
      <c r="AA6746" s="25"/>
    </row>
    <row r="6747" spans="1:27" x14ac:dyDescent="0.35">
      <c r="A6747" s="5">
        <v>6743</v>
      </c>
      <c r="B6747" s="5">
        <v>281</v>
      </c>
      <c r="C6747" s="5">
        <v>10</v>
      </c>
      <c r="D6747" s="25">
        <v>1.1416E-4</v>
      </c>
      <c r="E6747" s="25">
        <v>1.0945E-4</v>
      </c>
      <c r="F6747" s="25">
        <v>9.9850000000000001E-5</v>
      </c>
      <c r="G6747" s="25">
        <v>5.5210000000000002E-5</v>
      </c>
      <c r="H6747" s="25">
        <v>7.2799999999999994E-5</v>
      </c>
      <c r="I6747" s="9">
        <v>1.0859E-4</v>
      </c>
      <c r="J6747" s="9">
        <v>1.054E-4</v>
      </c>
      <c r="K6747" s="9">
        <v>2.1189999999999999E-5</v>
      </c>
      <c r="L6747" s="9">
        <v>9.0929999999999998E-5</v>
      </c>
      <c r="M6747" s="9">
        <v>9.9229999999999997E-5</v>
      </c>
      <c r="N6747" s="9">
        <v>9.9980000000000002E-5</v>
      </c>
      <c r="O6747" s="9">
        <v>7.8009999999999993E-5</v>
      </c>
      <c r="P6747" s="9">
        <v>7.224E-5</v>
      </c>
      <c r="Q6747" s="9">
        <v>6.6979999999999999E-5</v>
      </c>
      <c r="R6747" s="10">
        <v>7.9022538760594826E-6</v>
      </c>
      <c r="S6747" s="10">
        <v>1.6920144345045388E-5</v>
      </c>
      <c r="T6747" s="10">
        <v>0</v>
      </c>
      <c r="U6747" s="10">
        <v>6.7520000000000004E-5</v>
      </c>
      <c r="V6747" s="25"/>
      <c r="W6747" s="25"/>
      <c r="X6747" s="25"/>
      <c r="Y6747" s="25"/>
      <c r="Z6747" s="25"/>
      <c r="AA6747" s="25"/>
    </row>
    <row r="6748" spans="1:27" x14ac:dyDescent="0.35">
      <c r="A6748" s="5">
        <v>6744</v>
      </c>
      <c r="B6748" s="5">
        <v>281</v>
      </c>
      <c r="C6748" s="5">
        <v>10</v>
      </c>
      <c r="D6748" s="25">
        <v>1.1415000000000001E-4</v>
      </c>
      <c r="E6748" s="25">
        <v>1.158E-4</v>
      </c>
      <c r="F6748" s="25">
        <v>1.0964E-4</v>
      </c>
      <c r="G6748" s="25">
        <v>5.3829999999999998E-5</v>
      </c>
      <c r="H6748" s="25">
        <v>6.9129999999999997E-5</v>
      </c>
      <c r="I6748" s="9">
        <v>1.0128000000000001E-4</v>
      </c>
      <c r="J6748" s="9">
        <v>9.7419999999999999E-5</v>
      </c>
      <c r="K6748" s="9">
        <v>3.3909999999999999E-5</v>
      </c>
      <c r="L6748" s="9">
        <v>8.0829999999999997E-5</v>
      </c>
      <c r="M6748" s="9">
        <v>8.6269999999999999E-5</v>
      </c>
      <c r="N6748" s="9">
        <v>9.0729999999999994E-5</v>
      </c>
      <c r="O6748" s="9">
        <v>6.3219999999999994E-5</v>
      </c>
      <c r="P6748" s="9">
        <v>6.1119999999999998E-5</v>
      </c>
      <c r="Q6748" s="9">
        <v>5.9290000000000003E-5</v>
      </c>
      <c r="R6748" s="10">
        <v>3.5821680140493464E-6</v>
      </c>
      <c r="S6748" s="10">
        <v>9.6776794312979787E-6</v>
      </c>
      <c r="T6748" s="10">
        <v>0</v>
      </c>
      <c r="U6748" s="10">
        <v>6.7520000000000004E-5</v>
      </c>
      <c r="V6748" s="25"/>
      <c r="W6748" s="25"/>
      <c r="X6748" s="25"/>
      <c r="Y6748" s="25"/>
      <c r="Z6748" s="25"/>
      <c r="AA6748" s="25"/>
    </row>
    <row r="6749" spans="1:27" x14ac:dyDescent="0.35">
      <c r="A6749" s="5">
        <v>6745</v>
      </c>
      <c r="B6749" s="5">
        <v>282</v>
      </c>
      <c r="C6749" s="5">
        <v>10</v>
      </c>
      <c r="D6749" s="25">
        <v>1.1416E-4</v>
      </c>
      <c r="E6749" s="25">
        <v>1.1537E-4</v>
      </c>
      <c r="F6749" s="25">
        <v>8.8250000000000004E-5</v>
      </c>
      <c r="G6749" s="25">
        <v>6.3050000000000001E-5</v>
      </c>
      <c r="H6749" s="25">
        <v>6.3559999999999995E-5</v>
      </c>
      <c r="I6749" s="9">
        <v>9.5920000000000003E-5</v>
      </c>
      <c r="J6749" s="9">
        <v>9.2880000000000005E-5</v>
      </c>
      <c r="K6749" s="9">
        <v>4.4509999999999999E-5</v>
      </c>
      <c r="L6749" s="9">
        <v>6.7089999999999996E-5</v>
      </c>
      <c r="M6749" s="9">
        <v>7.4250000000000002E-5</v>
      </c>
      <c r="N6749" s="9">
        <v>8.1370000000000002E-5</v>
      </c>
      <c r="O6749" s="9">
        <v>5.4929999999999998E-5</v>
      </c>
      <c r="P6749" s="9">
        <v>5.4339999999999998E-5</v>
      </c>
      <c r="Q6749" s="9">
        <v>5.3919999999999999E-5</v>
      </c>
      <c r="R6749" s="10">
        <v>2.2712922334375949E-6</v>
      </c>
      <c r="S6749" s="10">
        <v>7.7360947277534345E-6</v>
      </c>
      <c r="T6749" s="10">
        <v>0</v>
      </c>
      <c r="U6749" s="10">
        <v>6.7520000000000004E-5</v>
      </c>
      <c r="V6749" s="25"/>
      <c r="W6749" s="25"/>
      <c r="X6749" s="25"/>
      <c r="Y6749" s="25"/>
      <c r="Z6749" s="25"/>
      <c r="AA6749" s="25"/>
    </row>
    <row r="6750" spans="1:27" x14ac:dyDescent="0.35">
      <c r="A6750" s="5">
        <v>6746</v>
      </c>
      <c r="B6750" s="5">
        <v>282</v>
      </c>
      <c r="C6750" s="5">
        <v>10</v>
      </c>
      <c r="D6750" s="25">
        <v>1.1415000000000001E-4</v>
      </c>
      <c r="E6750" s="25">
        <v>1.2289000000000001E-4</v>
      </c>
      <c r="F6750" s="25">
        <v>1.0137E-4</v>
      </c>
      <c r="G6750" s="25">
        <v>6.2180000000000004E-5</v>
      </c>
      <c r="H6750" s="25">
        <v>7.1870000000000001E-5</v>
      </c>
      <c r="I6750" s="9">
        <v>9.1739999999999999E-5</v>
      </c>
      <c r="J6750" s="9">
        <v>9.0160000000000004E-5</v>
      </c>
      <c r="K6750" s="9">
        <v>3.6029999999999999E-5</v>
      </c>
      <c r="L6750" s="9">
        <v>5.7989999999999999E-5</v>
      </c>
      <c r="M6750" s="9">
        <v>6.423E-5</v>
      </c>
      <c r="N6750" s="9">
        <v>7.2319999999999999E-5</v>
      </c>
      <c r="O6750" s="9">
        <v>1.8790000000000001E-5</v>
      </c>
      <c r="P6750" s="9">
        <v>3.7809999999999999E-5</v>
      </c>
      <c r="Q6750" s="9">
        <v>5.6270000000000002E-5</v>
      </c>
      <c r="R6750" s="10">
        <v>2.1684905811360031E-6</v>
      </c>
      <c r="S6750" s="10">
        <v>6.9544575184897641E-6</v>
      </c>
      <c r="T6750" s="10">
        <v>0</v>
      </c>
      <c r="U6750" s="10">
        <v>6.7520000000000004E-5</v>
      </c>
      <c r="V6750" s="25"/>
      <c r="W6750" s="25"/>
      <c r="X6750" s="25"/>
      <c r="Y6750" s="25"/>
      <c r="Z6750" s="25"/>
      <c r="AA6750" s="25"/>
    </row>
    <row r="6751" spans="1:27" x14ac:dyDescent="0.35">
      <c r="A6751" s="5">
        <v>6747</v>
      </c>
      <c r="B6751" s="5">
        <v>282</v>
      </c>
      <c r="C6751" s="5">
        <v>10</v>
      </c>
      <c r="D6751" s="25">
        <v>1.1416E-4</v>
      </c>
      <c r="E6751" s="25">
        <v>1.1543E-4</v>
      </c>
      <c r="F6751" s="25">
        <v>1.0677E-4</v>
      </c>
      <c r="G6751" s="25">
        <v>5.694E-5</v>
      </c>
      <c r="H6751" s="25">
        <v>7.0259999999999995E-5</v>
      </c>
      <c r="I6751" s="9">
        <v>8.9640000000000002E-5</v>
      </c>
      <c r="J6751" s="9">
        <v>8.8880000000000003E-5</v>
      </c>
      <c r="K6751" s="9">
        <v>3.8160000000000001E-5</v>
      </c>
      <c r="L6751" s="9">
        <v>2.762E-5</v>
      </c>
      <c r="M6751" s="9">
        <v>5.2429999999999998E-5</v>
      </c>
      <c r="N6751" s="9">
        <v>6.5740000000000004E-5</v>
      </c>
      <c r="O6751" s="9">
        <v>1.3159999999999999E-5</v>
      </c>
      <c r="P6751" s="9">
        <v>3.7469999999999999E-5</v>
      </c>
      <c r="Q6751" s="9">
        <v>6.1069999999999996E-5</v>
      </c>
      <c r="R6751" s="10">
        <v>2.3759110319241226E-6</v>
      </c>
      <c r="S6751" s="10">
        <v>6.9195780943461054E-6</v>
      </c>
      <c r="T6751" s="10">
        <v>0</v>
      </c>
      <c r="U6751" s="10">
        <v>6.7520000000000004E-5</v>
      </c>
      <c r="V6751" s="25"/>
      <c r="W6751" s="25"/>
      <c r="X6751" s="25"/>
      <c r="Y6751" s="25"/>
      <c r="Z6751" s="25"/>
      <c r="AA6751" s="25"/>
    </row>
    <row r="6752" spans="1:27" x14ac:dyDescent="0.35">
      <c r="A6752" s="5">
        <v>6748</v>
      </c>
      <c r="B6752" s="5">
        <v>282</v>
      </c>
      <c r="C6752" s="5">
        <v>10</v>
      </c>
      <c r="D6752" s="25">
        <v>1.1415000000000001E-4</v>
      </c>
      <c r="E6752" s="25">
        <v>1.1650999999999999E-4</v>
      </c>
      <c r="F6752" s="25">
        <v>9.1490000000000007E-5</v>
      </c>
      <c r="G6752" s="25">
        <v>5.7170000000000003E-5</v>
      </c>
      <c r="H6752" s="25">
        <v>6.7280000000000006E-5</v>
      </c>
      <c r="I6752" s="9">
        <v>8.9190000000000005E-5</v>
      </c>
      <c r="J6752" s="9">
        <v>8.8969999999999997E-5</v>
      </c>
      <c r="K6752" s="9">
        <v>3.18E-5</v>
      </c>
      <c r="L6752" s="9">
        <v>1.7099999999999999E-5</v>
      </c>
      <c r="M6752" s="9">
        <v>4.4230000000000002E-5</v>
      </c>
      <c r="N6752" s="9">
        <v>6.2000000000000003E-5</v>
      </c>
      <c r="O6752" s="9">
        <v>1.324E-5</v>
      </c>
      <c r="P6752" s="9">
        <v>4.7129999999999998E-5</v>
      </c>
      <c r="Q6752" s="9">
        <v>8.0160000000000005E-5</v>
      </c>
      <c r="R6752" s="10">
        <v>1.7363849826253489E-6</v>
      </c>
      <c r="S6752" s="10">
        <v>7.5198684336713159E-6</v>
      </c>
      <c r="T6752" s="10">
        <v>0</v>
      </c>
      <c r="U6752" s="10">
        <v>6.7520000000000004E-5</v>
      </c>
      <c r="V6752" s="25"/>
      <c r="W6752" s="25"/>
      <c r="X6752" s="25"/>
      <c r="Y6752" s="25"/>
      <c r="Z6752" s="25"/>
      <c r="AA6752" s="25"/>
    </row>
    <row r="6753" spans="1:27" x14ac:dyDescent="0.35">
      <c r="A6753" s="5">
        <v>6749</v>
      </c>
      <c r="B6753" s="5">
        <v>282</v>
      </c>
      <c r="C6753" s="5">
        <v>10</v>
      </c>
      <c r="D6753" s="25">
        <v>1.1416E-4</v>
      </c>
      <c r="E6753" s="25">
        <v>1.1775E-4</v>
      </c>
      <c r="F6753" s="25">
        <v>1.0700999999999999E-4</v>
      </c>
      <c r="G6753" s="25">
        <v>6.0970000000000001E-5</v>
      </c>
      <c r="H6753" s="25">
        <v>7.3189999999999996E-5</v>
      </c>
      <c r="I6753" s="9">
        <v>9.0370000000000004E-5</v>
      </c>
      <c r="J6753" s="9">
        <v>8.9889999999999995E-5</v>
      </c>
      <c r="K6753" s="9">
        <v>2.756E-5</v>
      </c>
      <c r="L6753" s="9">
        <v>1.434E-5</v>
      </c>
      <c r="M6753" s="9">
        <v>4.3420000000000001E-5</v>
      </c>
      <c r="N6753" s="9">
        <v>6.4449999999999994E-5</v>
      </c>
      <c r="O6753" s="9">
        <v>1.859E-5</v>
      </c>
      <c r="P6753" s="9">
        <v>5.6110000000000003E-5</v>
      </c>
      <c r="Q6753" s="9">
        <v>9.2789999999999998E-5</v>
      </c>
      <c r="R6753" s="10">
        <v>1.010232370776089E-6</v>
      </c>
      <c r="S6753" s="10">
        <v>7.7602710989231719E-6</v>
      </c>
      <c r="T6753" s="10">
        <v>0</v>
      </c>
      <c r="U6753" s="10">
        <v>6.7520000000000004E-5</v>
      </c>
      <c r="V6753" s="25"/>
      <c r="W6753" s="25"/>
      <c r="X6753" s="25"/>
      <c r="Y6753" s="25"/>
      <c r="Z6753" s="25"/>
      <c r="AA6753" s="25"/>
    </row>
    <row r="6754" spans="1:27" x14ac:dyDescent="0.35">
      <c r="A6754" s="5">
        <v>6750</v>
      </c>
      <c r="B6754" s="5">
        <v>282</v>
      </c>
      <c r="C6754" s="5">
        <v>10</v>
      </c>
      <c r="D6754" s="25">
        <v>1.1415000000000001E-4</v>
      </c>
      <c r="E6754" s="25">
        <v>1.1869E-4</v>
      </c>
      <c r="F6754" s="25">
        <v>9.7730000000000001E-5</v>
      </c>
      <c r="G6754" s="25">
        <v>1.1425E-4</v>
      </c>
      <c r="H6754" s="25">
        <v>1.2782000000000001E-4</v>
      </c>
      <c r="I6754" s="9">
        <v>9.5459999999999997E-5</v>
      </c>
      <c r="J6754" s="9">
        <v>9.3709999999999996E-5</v>
      </c>
      <c r="K6754" s="9">
        <v>3.1789999999999999E-5</v>
      </c>
      <c r="L6754" s="9">
        <v>1.7520000000000002E-5</v>
      </c>
      <c r="M6754" s="9">
        <v>4.8140000000000003E-5</v>
      </c>
      <c r="N6754" s="9">
        <v>7.0779999999999997E-5</v>
      </c>
      <c r="O6754" s="9">
        <v>4.6730000000000002E-5</v>
      </c>
      <c r="P6754" s="9">
        <v>7.7620000000000006E-5</v>
      </c>
      <c r="Q6754" s="9">
        <v>1.0809E-4</v>
      </c>
      <c r="R6754" s="10">
        <v>7.2471435626008762E-7</v>
      </c>
      <c r="S6754" s="10">
        <v>7.6298251751472378E-6</v>
      </c>
      <c r="T6754" s="10">
        <v>0</v>
      </c>
      <c r="U6754" s="10">
        <v>6.7520000000000004E-5</v>
      </c>
      <c r="V6754" s="25"/>
      <c r="W6754" s="25"/>
      <c r="X6754" s="25"/>
      <c r="Y6754" s="25"/>
      <c r="Z6754" s="25"/>
      <c r="AA6754" s="25"/>
    </row>
    <row r="6755" spans="1:27" x14ac:dyDescent="0.35">
      <c r="A6755" s="5">
        <v>6751</v>
      </c>
      <c r="B6755" s="5">
        <v>282</v>
      </c>
      <c r="C6755" s="5">
        <v>10</v>
      </c>
      <c r="D6755" s="25">
        <v>1.1416E-4</v>
      </c>
      <c r="E6755" s="25">
        <v>1.1796E-4</v>
      </c>
      <c r="F6755" s="25">
        <v>9.357E-5</v>
      </c>
      <c r="G6755" s="25">
        <v>1.0639E-4</v>
      </c>
      <c r="H6755" s="25">
        <v>1.3059000000000001E-4</v>
      </c>
      <c r="I6755" s="9">
        <v>1.0272000000000001E-4</v>
      </c>
      <c r="J6755" s="9">
        <v>1.0122E-4</v>
      </c>
      <c r="K6755" s="9">
        <v>3.392E-5</v>
      </c>
      <c r="L6755" s="9">
        <v>4.0160000000000002E-5</v>
      </c>
      <c r="M6755" s="9">
        <v>6.0090000000000002E-5</v>
      </c>
      <c r="N6755" s="9">
        <v>8.0699999999999996E-5</v>
      </c>
      <c r="O6755" s="9">
        <v>1.2277999999999999E-4</v>
      </c>
      <c r="P6755" s="9">
        <v>1.1683E-4</v>
      </c>
      <c r="Q6755" s="9">
        <v>1.1191E-4</v>
      </c>
      <c r="R6755" s="10">
        <v>8.3211298123936359E-7</v>
      </c>
      <c r="S6755" s="10">
        <v>7.5374216023934886E-6</v>
      </c>
      <c r="T6755" s="10">
        <v>0</v>
      </c>
      <c r="U6755" s="10">
        <v>6.7520000000000004E-5</v>
      </c>
      <c r="V6755" s="25"/>
      <c r="W6755" s="25"/>
      <c r="X6755" s="25"/>
      <c r="Y6755" s="25"/>
      <c r="Z6755" s="25"/>
      <c r="AA6755" s="25"/>
    </row>
    <row r="6756" spans="1:27" x14ac:dyDescent="0.35">
      <c r="A6756" s="5">
        <v>6752</v>
      </c>
      <c r="B6756" s="5">
        <v>282</v>
      </c>
      <c r="C6756" s="5">
        <v>10</v>
      </c>
      <c r="D6756" s="25">
        <v>1.1415000000000001E-4</v>
      </c>
      <c r="E6756" s="25">
        <v>1.2002000000000001E-4</v>
      </c>
      <c r="F6756" s="25">
        <v>9.7100000000000002E-5</v>
      </c>
      <c r="G6756" s="25">
        <v>1.6624000000000001E-4</v>
      </c>
      <c r="H6756" s="25">
        <v>1.9106E-4</v>
      </c>
      <c r="I6756" s="9">
        <v>1.071E-4</v>
      </c>
      <c r="J6756" s="9">
        <v>1.0825E-4</v>
      </c>
      <c r="K6756" s="9">
        <v>2.968E-5</v>
      </c>
      <c r="L6756" s="9">
        <v>1.0397E-4</v>
      </c>
      <c r="M6756" s="9">
        <v>8.3609999999999994E-5</v>
      </c>
      <c r="N6756" s="9">
        <v>9.0690000000000001E-5</v>
      </c>
      <c r="O6756" s="9">
        <v>2.2067000000000001E-4</v>
      </c>
      <c r="P6756" s="9">
        <v>1.7755000000000001E-4</v>
      </c>
      <c r="Q6756" s="9">
        <v>1.3715999999999999E-4</v>
      </c>
      <c r="R6756" s="10">
        <v>1.3040776596015388E-6</v>
      </c>
      <c r="S6756" s="10">
        <v>8.1375671417737281E-6</v>
      </c>
      <c r="T6756" s="10">
        <v>1.3014915203118623E-4</v>
      </c>
      <c r="U6756" s="10">
        <v>6.7520000000000004E-5</v>
      </c>
      <c r="V6756" s="25"/>
      <c r="W6756" s="25"/>
      <c r="X6756" s="25"/>
      <c r="Y6756" s="25"/>
      <c r="Z6756" s="25"/>
      <c r="AA6756" s="25"/>
    </row>
    <row r="6757" spans="1:27" x14ac:dyDescent="0.35">
      <c r="A6757" s="5">
        <v>6753</v>
      </c>
      <c r="B6757" s="5">
        <v>282</v>
      </c>
      <c r="C6757" s="5">
        <v>10</v>
      </c>
      <c r="D6757" s="25">
        <v>1.1416E-4</v>
      </c>
      <c r="E6757" s="25">
        <v>1.2196E-4</v>
      </c>
      <c r="F6757" s="25">
        <v>9.5459999999999997E-5</v>
      </c>
      <c r="G6757" s="25">
        <v>1.6273000000000001E-4</v>
      </c>
      <c r="H6757" s="25">
        <v>1.9794999999999999E-4</v>
      </c>
      <c r="I6757" s="9">
        <v>1.1385E-4</v>
      </c>
      <c r="J6757" s="9">
        <v>1.1317E-4</v>
      </c>
      <c r="K6757" s="9">
        <v>1.6949999999999999E-5</v>
      </c>
      <c r="L6757" s="9">
        <v>1.9325000000000001E-4</v>
      </c>
      <c r="M6757" s="9">
        <v>1.2349999999999999E-4</v>
      </c>
      <c r="N6757" s="9">
        <v>1.0457E-4</v>
      </c>
      <c r="O6757" s="9">
        <v>2.0965E-4</v>
      </c>
      <c r="P6757" s="9">
        <v>1.9132E-4</v>
      </c>
      <c r="Q6757" s="9">
        <v>1.7521999999999999E-4</v>
      </c>
      <c r="R6757" s="10">
        <v>1.8108476250604605E-6</v>
      </c>
      <c r="S6757" s="10">
        <v>8.8317902530166442E-6</v>
      </c>
      <c r="T6757" s="10">
        <v>2.5728637779307185E-4</v>
      </c>
      <c r="U6757" s="10">
        <v>6.7520000000000004E-5</v>
      </c>
      <c r="V6757" s="25"/>
      <c r="W6757" s="25"/>
      <c r="X6757" s="25"/>
      <c r="Y6757" s="25"/>
      <c r="Z6757" s="25"/>
      <c r="AA6757" s="25"/>
    </row>
    <row r="6758" spans="1:27" x14ac:dyDescent="0.35">
      <c r="A6758" s="5">
        <v>6754</v>
      </c>
      <c r="B6758" s="5">
        <v>282</v>
      </c>
      <c r="C6758" s="5">
        <v>10</v>
      </c>
      <c r="D6758" s="25">
        <v>1.1415000000000001E-4</v>
      </c>
      <c r="E6758" s="25">
        <v>1.2188000000000001E-4</v>
      </c>
      <c r="F6758" s="25">
        <v>9.234E-5</v>
      </c>
      <c r="G6758" s="25">
        <v>1.6642999999999999E-4</v>
      </c>
      <c r="H6758" s="25">
        <v>1.9246000000000001E-4</v>
      </c>
      <c r="I6758" s="9">
        <v>1.1628E-4</v>
      </c>
      <c r="J6758" s="9">
        <v>1.1373E-4</v>
      </c>
      <c r="K6758" s="9">
        <v>2.12E-6</v>
      </c>
      <c r="L6758" s="9">
        <v>2.0369999999999999E-4</v>
      </c>
      <c r="M6758" s="9">
        <v>1.5803E-4</v>
      </c>
      <c r="N6758" s="9">
        <v>1.2425000000000001E-4</v>
      </c>
      <c r="O6758" s="9">
        <v>1.6644000000000001E-4</v>
      </c>
      <c r="P6758" s="9">
        <v>1.7306E-4</v>
      </c>
      <c r="Q6758" s="9">
        <v>1.8101E-4</v>
      </c>
      <c r="R6758" s="10">
        <v>2.2649203808378748E-6</v>
      </c>
      <c r="S6758" s="10">
        <v>9.0358587008544469E-6</v>
      </c>
      <c r="T6758" s="10">
        <v>2.3295340725686307E-4</v>
      </c>
      <c r="U6758" s="10">
        <v>6.7520000000000004E-5</v>
      </c>
      <c r="V6758" s="25"/>
      <c r="W6758" s="25"/>
      <c r="X6758" s="25"/>
      <c r="Y6758" s="25"/>
      <c r="Z6758" s="25"/>
      <c r="AA6758" s="25"/>
    </row>
    <row r="6759" spans="1:27" x14ac:dyDescent="0.35">
      <c r="A6759" s="5">
        <v>6755</v>
      </c>
      <c r="B6759" s="5">
        <v>282</v>
      </c>
      <c r="C6759" s="5">
        <v>10</v>
      </c>
      <c r="D6759" s="25">
        <v>1.1416E-4</v>
      </c>
      <c r="E6759" s="25">
        <v>1.1595E-4</v>
      </c>
      <c r="F6759" s="25">
        <v>8.5519999999999994E-5</v>
      </c>
      <c r="G6759" s="25">
        <v>1.6239999999999999E-4</v>
      </c>
      <c r="H6759" s="25">
        <v>1.9921000000000001E-4</v>
      </c>
      <c r="I6759" s="9">
        <v>1.1644E-4</v>
      </c>
      <c r="J6759" s="9">
        <v>1.1167000000000001E-4</v>
      </c>
      <c r="K6759" s="9">
        <v>0</v>
      </c>
      <c r="L6759" s="9">
        <v>1.7475999999999999E-4</v>
      </c>
      <c r="M6759" s="9">
        <v>1.7140999999999999E-4</v>
      </c>
      <c r="N6759" s="9">
        <v>1.4213999999999999E-4</v>
      </c>
      <c r="O6759" s="9">
        <v>1.661E-4</v>
      </c>
      <c r="P6759" s="9">
        <v>1.7137000000000001E-4</v>
      </c>
      <c r="Q6759" s="9">
        <v>1.7799E-4</v>
      </c>
      <c r="R6759" s="10">
        <v>9.3252112575533501E-7</v>
      </c>
      <c r="S6759" s="10">
        <v>7.9330676689875586E-6</v>
      </c>
      <c r="T6759" s="10">
        <v>3.832018644485369E-4</v>
      </c>
      <c r="U6759" s="10">
        <v>6.7520000000000004E-5</v>
      </c>
      <c r="V6759" s="25"/>
      <c r="W6759" s="25"/>
      <c r="X6759" s="25"/>
      <c r="Y6759" s="25"/>
      <c r="Z6759" s="25"/>
      <c r="AA6759" s="25"/>
    </row>
    <row r="6760" spans="1:27" x14ac:dyDescent="0.35">
      <c r="A6760" s="5">
        <v>6756</v>
      </c>
      <c r="B6760" s="5">
        <v>282</v>
      </c>
      <c r="C6760" s="5">
        <v>10</v>
      </c>
      <c r="D6760" s="25">
        <v>1.1415000000000001E-4</v>
      </c>
      <c r="E6760" s="25">
        <v>1.2396999999999999E-4</v>
      </c>
      <c r="F6760" s="25">
        <v>1.0261E-4</v>
      </c>
      <c r="G6760" s="25">
        <v>1.6639000000000001E-4</v>
      </c>
      <c r="H6760" s="25">
        <v>1.9688E-4</v>
      </c>
      <c r="I6760" s="9">
        <v>1.1425999999999999E-4</v>
      </c>
      <c r="J6760" s="9">
        <v>1.0982E-4</v>
      </c>
      <c r="K6760" s="9">
        <v>0</v>
      </c>
      <c r="L6760" s="9">
        <v>1.6941999999999999E-4</v>
      </c>
      <c r="M6760" s="9">
        <v>1.7364E-4</v>
      </c>
      <c r="N6760" s="9">
        <v>1.5590999999999999E-4</v>
      </c>
      <c r="O6760" s="9">
        <v>1.6887E-4</v>
      </c>
      <c r="P6760" s="9">
        <v>1.7007E-4</v>
      </c>
      <c r="Q6760" s="9">
        <v>1.7272000000000001E-4</v>
      </c>
      <c r="R6760" s="10">
        <v>1.2729430593327208E-6</v>
      </c>
      <c r="S6760" s="10">
        <v>6.1516005143755224E-6</v>
      </c>
      <c r="T6760" s="10">
        <v>5.2623866719258953E-4</v>
      </c>
      <c r="U6760" s="10">
        <v>6.7520000000000004E-5</v>
      </c>
      <c r="V6760" s="25"/>
      <c r="W6760" s="25"/>
      <c r="X6760" s="25"/>
      <c r="Y6760" s="25"/>
      <c r="Z6760" s="25"/>
      <c r="AA6760" s="25"/>
    </row>
    <row r="6761" spans="1:27" x14ac:dyDescent="0.35">
      <c r="A6761" s="5">
        <v>6757</v>
      </c>
      <c r="B6761" s="5">
        <v>282</v>
      </c>
      <c r="C6761" s="5">
        <v>10</v>
      </c>
      <c r="D6761" s="25">
        <v>1.1416E-4</v>
      </c>
      <c r="E6761" s="25">
        <v>1.2134E-4</v>
      </c>
      <c r="F6761" s="25">
        <v>9.1490000000000007E-5</v>
      </c>
      <c r="G6761" s="25">
        <v>1.5945999999999999E-4</v>
      </c>
      <c r="H6761" s="25">
        <v>1.9776E-4</v>
      </c>
      <c r="I6761" s="9">
        <v>1.1084E-4</v>
      </c>
      <c r="J6761" s="9">
        <v>1.0909E-4</v>
      </c>
      <c r="K6761" s="9">
        <v>0</v>
      </c>
      <c r="L6761" s="9">
        <v>1.6914999999999999E-4</v>
      </c>
      <c r="M6761" s="9">
        <v>1.7246000000000001E-4</v>
      </c>
      <c r="N6761" s="9">
        <v>1.6515E-4</v>
      </c>
      <c r="O6761" s="9">
        <v>1.6292999999999999E-4</v>
      </c>
      <c r="P6761" s="9">
        <v>1.6499E-4</v>
      </c>
      <c r="Q6761" s="9">
        <v>1.6841E-4</v>
      </c>
      <c r="R6761" s="10">
        <v>1.1739675697454211E-6</v>
      </c>
      <c r="S6761" s="10">
        <v>4.9205688684630637E-6</v>
      </c>
      <c r="T6761" s="10">
        <v>5.6998371464192434E-4</v>
      </c>
      <c r="U6761" s="10">
        <v>6.7520000000000004E-5</v>
      </c>
      <c r="V6761" s="25"/>
      <c r="W6761" s="25"/>
      <c r="X6761" s="25"/>
      <c r="Y6761" s="25"/>
      <c r="Z6761" s="25"/>
      <c r="AA6761" s="25"/>
    </row>
    <row r="6762" spans="1:27" x14ac:dyDescent="0.35">
      <c r="A6762" s="5">
        <v>6758</v>
      </c>
      <c r="B6762" s="5">
        <v>282</v>
      </c>
      <c r="C6762" s="5">
        <v>10</v>
      </c>
      <c r="D6762" s="25">
        <v>1.1415000000000001E-4</v>
      </c>
      <c r="E6762" s="25">
        <v>1.1707E-4</v>
      </c>
      <c r="F6762" s="25">
        <v>1.0008E-4</v>
      </c>
      <c r="G6762" s="25">
        <v>1.6034E-4</v>
      </c>
      <c r="H6762" s="25">
        <v>1.9354999999999999E-4</v>
      </c>
      <c r="I6762" s="9">
        <v>1.0971E-4</v>
      </c>
      <c r="J6762" s="9">
        <v>1.0802999999999999E-4</v>
      </c>
      <c r="K6762" s="9">
        <v>0</v>
      </c>
      <c r="L6762" s="9">
        <v>1.6405E-4</v>
      </c>
      <c r="M6762" s="9">
        <v>1.6944E-4</v>
      </c>
      <c r="N6762" s="9">
        <v>1.6979000000000001E-4</v>
      </c>
      <c r="O6762" s="9">
        <v>1.7794999999999999E-4</v>
      </c>
      <c r="P6762" s="9">
        <v>1.6823000000000001E-4</v>
      </c>
      <c r="Q6762" s="9">
        <v>1.6023E-4</v>
      </c>
      <c r="R6762" s="10">
        <v>1.5997669339328547E-6</v>
      </c>
      <c r="S6762" s="10">
        <v>3.6095107545479488E-6</v>
      </c>
      <c r="T6762" s="10">
        <v>5.4251155334616291E-4</v>
      </c>
      <c r="U6762" s="10">
        <v>6.7520000000000004E-5</v>
      </c>
      <c r="V6762" s="25"/>
      <c r="W6762" s="25"/>
      <c r="X6762" s="25"/>
      <c r="Y6762" s="25"/>
      <c r="Z6762" s="25"/>
      <c r="AA6762" s="25"/>
    </row>
    <row r="6763" spans="1:27" x14ac:dyDescent="0.35">
      <c r="A6763" s="5">
        <v>6759</v>
      </c>
      <c r="B6763" s="5">
        <v>282</v>
      </c>
      <c r="C6763" s="5">
        <v>10</v>
      </c>
      <c r="D6763" s="25">
        <v>1.1416E-4</v>
      </c>
      <c r="E6763" s="25">
        <v>1.1878E-4</v>
      </c>
      <c r="F6763" s="25">
        <v>1.0377E-4</v>
      </c>
      <c r="G6763" s="25">
        <v>1.6447E-4</v>
      </c>
      <c r="H6763" s="25">
        <v>1.8958000000000001E-4</v>
      </c>
      <c r="I6763" s="9">
        <v>1.0753E-4</v>
      </c>
      <c r="J6763" s="9">
        <v>1.0758E-4</v>
      </c>
      <c r="K6763" s="9">
        <v>0</v>
      </c>
      <c r="L6763" s="9">
        <v>1.7500999999999999E-4</v>
      </c>
      <c r="M6763" s="9">
        <v>1.6814E-4</v>
      </c>
      <c r="N6763" s="9">
        <v>1.6938000000000001E-4</v>
      </c>
      <c r="O6763" s="9">
        <v>1.8435000000000001E-4</v>
      </c>
      <c r="P6763" s="9">
        <v>1.6771000000000001E-4</v>
      </c>
      <c r="Q6763" s="9">
        <v>1.5297999999999999E-4</v>
      </c>
      <c r="R6763" s="10">
        <v>2.2398200387597629E-6</v>
      </c>
      <c r="S6763" s="10">
        <v>2.9221552841639785E-6</v>
      </c>
      <c r="T6763" s="10">
        <v>4.3773045637190289E-4</v>
      </c>
      <c r="U6763" s="10">
        <v>6.7520000000000004E-5</v>
      </c>
      <c r="V6763" s="25"/>
      <c r="W6763" s="25"/>
      <c r="X6763" s="25"/>
      <c r="Y6763" s="25"/>
      <c r="Z6763" s="25"/>
      <c r="AA6763" s="25"/>
    </row>
    <row r="6764" spans="1:27" x14ac:dyDescent="0.35">
      <c r="A6764" s="5">
        <v>6760</v>
      </c>
      <c r="B6764" s="5">
        <v>282</v>
      </c>
      <c r="C6764" s="5">
        <v>10</v>
      </c>
      <c r="D6764" s="25">
        <v>1.1415000000000001E-4</v>
      </c>
      <c r="E6764" s="25">
        <v>1.2184E-4</v>
      </c>
      <c r="F6764" s="25">
        <v>9.7079999999999999E-5</v>
      </c>
      <c r="G6764" s="25">
        <v>1.571E-4</v>
      </c>
      <c r="H6764" s="25">
        <v>1.9277000000000001E-4</v>
      </c>
      <c r="I6764" s="9">
        <v>1.0649000000000001E-4</v>
      </c>
      <c r="J6764" s="9">
        <v>1.097E-4</v>
      </c>
      <c r="K6764" s="9">
        <v>0</v>
      </c>
      <c r="L6764" s="9">
        <v>1.8201E-4</v>
      </c>
      <c r="M6764" s="9">
        <v>1.6772E-4</v>
      </c>
      <c r="N6764" s="9">
        <v>1.6578E-4</v>
      </c>
      <c r="O6764" s="9">
        <v>1.9824E-4</v>
      </c>
      <c r="P6764" s="9">
        <v>1.529E-4</v>
      </c>
      <c r="Q6764" s="9">
        <v>1.1008E-4</v>
      </c>
      <c r="R6764" s="10">
        <v>4.9341369292550089E-6</v>
      </c>
      <c r="S6764" s="10">
        <v>3.2845363650933093E-6</v>
      </c>
      <c r="T6764" s="10">
        <v>2.8426644972652504E-4</v>
      </c>
      <c r="U6764" s="10">
        <v>6.7520000000000004E-5</v>
      </c>
      <c r="V6764" s="25"/>
      <c r="W6764" s="25"/>
      <c r="X6764" s="25"/>
      <c r="Y6764" s="25"/>
      <c r="Z6764" s="25"/>
      <c r="AA6764" s="25"/>
    </row>
    <row r="6765" spans="1:27" x14ac:dyDescent="0.35">
      <c r="A6765" s="5">
        <v>6761</v>
      </c>
      <c r="B6765" s="5">
        <v>282</v>
      </c>
      <c r="C6765" s="5">
        <v>10</v>
      </c>
      <c r="D6765" s="25">
        <v>1.1416E-4</v>
      </c>
      <c r="E6765" s="25">
        <v>1.1613E-4</v>
      </c>
      <c r="F6765" s="25">
        <v>1.0596E-4</v>
      </c>
      <c r="G6765" s="25">
        <v>1.6618000000000001E-4</v>
      </c>
      <c r="H6765" s="25">
        <v>1.8770000000000001E-4</v>
      </c>
      <c r="I6765" s="9">
        <v>1.083E-4</v>
      </c>
      <c r="J6765" s="9">
        <v>1.1492E-4</v>
      </c>
      <c r="K6765" s="9">
        <v>2.12E-5</v>
      </c>
      <c r="L6765" s="9">
        <v>1.9442999999999999E-4</v>
      </c>
      <c r="M6765" s="9">
        <v>1.6237000000000001E-4</v>
      </c>
      <c r="N6765" s="9">
        <v>1.5232000000000001E-4</v>
      </c>
      <c r="O6765" s="9">
        <v>2.1212E-4</v>
      </c>
      <c r="P6765" s="9">
        <v>1.5767999999999999E-4</v>
      </c>
      <c r="Q6765" s="9">
        <v>1.0606E-4</v>
      </c>
      <c r="R6765" s="10">
        <v>7.959312072583537E-6</v>
      </c>
      <c r="S6765" s="10">
        <v>4.0526697887366606E-6</v>
      </c>
      <c r="T6765" s="10">
        <v>9.0366272378367957E-5</v>
      </c>
      <c r="U6765" s="10">
        <v>6.7520000000000004E-5</v>
      </c>
      <c r="V6765" s="25"/>
      <c r="W6765" s="25"/>
      <c r="X6765" s="25"/>
      <c r="Y6765" s="25"/>
      <c r="Z6765" s="25"/>
      <c r="AA6765" s="25"/>
    </row>
    <row r="6766" spans="1:27" x14ac:dyDescent="0.35">
      <c r="A6766" s="5">
        <v>6762</v>
      </c>
      <c r="B6766" s="5">
        <v>282</v>
      </c>
      <c r="C6766" s="5">
        <v>10</v>
      </c>
      <c r="D6766" s="25">
        <v>1.1415000000000001E-4</v>
      </c>
      <c r="E6766" s="25">
        <v>1.2459999999999999E-4</v>
      </c>
      <c r="F6766" s="25">
        <v>1.0742E-4</v>
      </c>
      <c r="G6766" s="25">
        <v>1.6556000000000001E-4</v>
      </c>
      <c r="H6766" s="25">
        <v>1.8895000000000001E-4</v>
      </c>
      <c r="I6766" s="9">
        <v>1.1171E-4</v>
      </c>
      <c r="J6766" s="9">
        <v>9.0649999999999994E-5</v>
      </c>
      <c r="K6766" s="9">
        <v>5.2979999999999998E-5</v>
      </c>
      <c r="L6766" s="9">
        <v>2.0797E-4</v>
      </c>
      <c r="M6766" s="9">
        <v>1.5919999999999999E-4</v>
      </c>
      <c r="N6766" s="9">
        <v>1.3887E-4</v>
      </c>
      <c r="O6766" s="9">
        <v>2.0683999999999999E-4</v>
      </c>
      <c r="P6766" s="9">
        <v>1.6128E-4</v>
      </c>
      <c r="Q6766" s="9">
        <v>1.1833E-4</v>
      </c>
      <c r="R6766" s="10">
        <v>1.5892896344857254E-5</v>
      </c>
      <c r="S6766" s="10">
        <v>6.2778381923948672E-6</v>
      </c>
      <c r="T6766" s="10">
        <v>0</v>
      </c>
      <c r="U6766" s="10">
        <v>6.7520000000000004E-5</v>
      </c>
      <c r="V6766" s="25"/>
      <c r="W6766" s="25"/>
      <c r="X6766" s="25"/>
      <c r="Y6766" s="25"/>
      <c r="Z6766" s="25"/>
      <c r="AA6766" s="25"/>
    </row>
    <row r="6767" spans="1:27" x14ac:dyDescent="0.35">
      <c r="A6767" s="5">
        <v>6763</v>
      </c>
      <c r="B6767" s="5">
        <v>282</v>
      </c>
      <c r="C6767" s="5">
        <v>10</v>
      </c>
      <c r="D6767" s="25">
        <v>1.1416E-4</v>
      </c>
      <c r="E6767" s="25">
        <v>1.1508E-4</v>
      </c>
      <c r="F6767" s="25">
        <v>1.0284E-4</v>
      </c>
      <c r="G6767" s="25">
        <v>1.1362999999999999E-4</v>
      </c>
      <c r="H6767" s="25">
        <v>1.3384000000000001E-4</v>
      </c>
      <c r="I6767" s="9">
        <v>1.172E-4</v>
      </c>
      <c r="J6767" s="9">
        <v>1.1886E-4</v>
      </c>
      <c r="K6767" s="9">
        <v>8.4770000000000003E-5</v>
      </c>
      <c r="L6767" s="9">
        <v>2.0675000000000001E-4</v>
      </c>
      <c r="M6767" s="9">
        <v>1.5925999999999999E-4</v>
      </c>
      <c r="N6767" s="9">
        <v>1.2998999999999999E-4</v>
      </c>
      <c r="O6767" s="9">
        <v>1.6524000000000001E-4</v>
      </c>
      <c r="P6767" s="9">
        <v>1.3542E-4</v>
      </c>
      <c r="Q6767" s="9">
        <v>1.0747999999999999E-4</v>
      </c>
      <c r="R6767" s="10">
        <v>2.7516233989158485E-5</v>
      </c>
      <c r="S6767" s="10">
        <v>8.4644345048874962E-6</v>
      </c>
      <c r="T6767" s="10">
        <v>0</v>
      </c>
      <c r="U6767" s="10">
        <v>6.7520000000000004E-5</v>
      </c>
      <c r="V6767" s="25"/>
      <c r="W6767" s="25"/>
      <c r="X6767" s="25"/>
      <c r="Y6767" s="25"/>
      <c r="Z6767" s="25"/>
      <c r="AA6767" s="25"/>
    </row>
    <row r="6768" spans="1:27" x14ac:dyDescent="0.35">
      <c r="A6768" s="5">
        <v>6764</v>
      </c>
      <c r="B6768" s="5">
        <v>282</v>
      </c>
      <c r="C6768" s="5">
        <v>10</v>
      </c>
      <c r="D6768" s="25">
        <v>1.1415000000000001E-4</v>
      </c>
      <c r="E6768" s="25">
        <v>1.1637999999999999E-4</v>
      </c>
      <c r="F6768" s="25">
        <v>9.4720000000000001E-5</v>
      </c>
      <c r="G6768" s="25">
        <v>1.1462E-4</v>
      </c>
      <c r="H6768" s="25">
        <v>1.3729000000000001E-4</v>
      </c>
      <c r="I6768" s="9">
        <v>1.1424E-4</v>
      </c>
      <c r="J6768" s="9">
        <v>1.1783E-4</v>
      </c>
      <c r="K6768" s="9">
        <v>6.7819999999999998E-5</v>
      </c>
      <c r="L6768" s="9">
        <v>1.7448999999999999E-4</v>
      </c>
      <c r="M6768" s="9">
        <v>1.5087999999999999E-4</v>
      </c>
      <c r="N6768" s="9">
        <v>1.2101E-4</v>
      </c>
      <c r="O6768" s="9">
        <v>1.2972999999999999E-4</v>
      </c>
      <c r="P6768" s="9">
        <v>1.1546E-4</v>
      </c>
      <c r="Q6768" s="9">
        <v>1.0242E-4</v>
      </c>
      <c r="R6768" s="10">
        <v>4.5086364818661224E-5</v>
      </c>
      <c r="S6768" s="10">
        <v>1.0962024229343015E-5</v>
      </c>
      <c r="T6768" s="10">
        <v>0</v>
      </c>
      <c r="U6768" s="10">
        <v>6.7520000000000004E-5</v>
      </c>
      <c r="V6768" s="25"/>
      <c r="W6768" s="25"/>
      <c r="X6768" s="25"/>
      <c r="Y6768" s="25"/>
      <c r="Z6768" s="25"/>
      <c r="AA6768" s="25"/>
    </row>
    <row r="6769" spans="1:27" x14ac:dyDescent="0.35">
      <c r="A6769" s="5">
        <v>6765</v>
      </c>
      <c r="B6769" s="5">
        <v>282</v>
      </c>
      <c r="C6769" s="5">
        <v>10</v>
      </c>
      <c r="D6769" s="25">
        <v>1.1416E-4</v>
      </c>
      <c r="E6769" s="25">
        <v>1.1712E-4</v>
      </c>
      <c r="F6769" s="25">
        <v>9.7319999999999997E-5</v>
      </c>
      <c r="G6769" s="25">
        <v>5.7309999999999998E-5</v>
      </c>
      <c r="H6769" s="25">
        <v>7.3419999999999998E-5</v>
      </c>
      <c r="I6769" s="9">
        <v>1.0912E-4</v>
      </c>
      <c r="J6769" s="9">
        <v>1.1175000000000001E-4</v>
      </c>
      <c r="K6769" s="9">
        <v>5.9339999999999998E-5</v>
      </c>
      <c r="L6769" s="9">
        <v>1.4056E-4</v>
      </c>
      <c r="M6769" s="9">
        <v>1.3577000000000001E-4</v>
      </c>
      <c r="N6769" s="9">
        <v>1.1343E-4</v>
      </c>
      <c r="O6769" s="9">
        <v>8.551E-5</v>
      </c>
      <c r="P6769" s="9">
        <v>8.7039999999999993E-5</v>
      </c>
      <c r="Q6769" s="9">
        <v>8.9060000000000005E-5</v>
      </c>
      <c r="R6769" s="10">
        <v>5.5285567673393451E-5</v>
      </c>
      <c r="S6769" s="10">
        <v>1.142355465321871E-5</v>
      </c>
      <c r="T6769" s="10">
        <v>0</v>
      </c>
      <c r="U6769" s="10">
        <v>6.7520000000000004E-5</v>
      </c>
      <c r="V6769" s="25"/>
      <c r="W6769" s="25"/>
      <c r="X6769" s="25"/>
      <c r="Y6769" s="25"/>
      <c r="Z6769" s="25"/>
      <c r="AA6769" s="25"/>
    </row>
    <row r="6770" spans="1:27" x14ac:dyDescent="0.35">
      <c r="A6770" s="5">
        <v>6766</v>
      </c>
      <c r="B6770" s="5">
        <v>282</v>
      </c>
      <c r="C6770" s="5">
        <v>10</v>
      </c>
      <c r="D6770" s="25">
        <v>1.1415000000000001E-4</v>
      </c>
      <c r="E6770" s="25">
        <v>1.1833E-4</v>
      </c>
      <c r="F6770" s="25">
        <v>9.5110000000000002E-5</v>
      </c>
      <c r="G6770" s="25">
        <v>5.291E-5</v>
      </c>
      <c r="H6770" s="25">
        <v>7.2550000000000002E-5</v>
      </c>
      <c r="I6770" s="9">
        <v>1.0801E-4</v>
      </c>
      <c r="J6770" s="9">
        <v>1.0629E-4</v>
      </c>
      <c r="K6770" s="9">
        <v>6.1459999999999998E-5</v>
      </c>
      <c r="L6770" s="9">
        <v>9.8549999999999997E-5</v>
      </c>
      <c r="M6770" s="9">
        <v>1.1433E-4</v>
      </c>
      <c r="N6770" s="9">
        <v>1.0598E-4</v>
      </c>
      <c r="O6770" s="9">
        <v>8.7269999999999996E-5</v>
      </c>
      <c r="P6770" s="9">
        <v>8.7390000000000002E-5</v>
      </c>
      <c r="Q6770" s="9">
        <v>8.8029999999999996E-5</v>
      </c>
      <c r="R6770" s="10">
        <v>6.3286129741378438E-5</v>
      </c>
      <c r="S6770" s="10">
        <v>1.2263291465078326E-5</v>
      </c>
      <c r="T6770" s="10">
        <v>0</v>
      </c>
      <c r="U6770" s="10">
        <v>6.7520000000000004E-5</v>
      </c>
      <c r="V6770" s="25"/>
      <c r="W6770" s="25"/>
      <c r="X6770" s="25"/>
      <c r="Y6770" s="25"/>
      <c r="Z6770" s="25"/>
      <c r="AA6770" s="25"/>
    </row>
    <row r="6771" spans="1:27" x14ac:dyDescent="0.35">
      <c r="A6771" s="5">
        <v>6767</v>
      </c>
      <c r="B6771" s="5">
        <v>282</v>
      </c>
      <c r="C6771" s="5">
        <v>10</v>
      </c>
      <c r="D6771" s="25">
        <v>1.1416E-4</v>
      </c>
      <c r="E6771" s="25">
        <v>1.1364E-4</v>
      </c>
      <c r="F6771" s="25">
        <v>9.5119999999999997E-5</v>
      </c>
      <c r="G6771" s="25">
        <v>5.6159999999999998E-5</v>
      </c>
      <c r="H6771" s="25">
        <v>7.1929999999999997E-5</v>
      </c>
      <c r="I6771" s="9">
        <v>1.0535E-4</v>
      </c>
      <c r="J6771" s="9">
        <v>1.0048E-4</v>
      </c>
      <c r="K6771" s="9">
        <v>6.3579999999999998E-5</v>
      </c>
      <c r="L6771" s="9">
        <v>9.0680000000000006E-5</v>
      </c>
      <c r="M6771" s="9">
        <v>9.9370000000000006E-5</v>
      </c>
      <c r="N6771" s="9">
        <v>1.0012E-4</v>
      </c>
      <c r="O6771" s="9">
        <v>7.7589999999999994E-5</v>
      </c>
      <c r="P6771" s="9">
        <v>7.1849999999999998E-5</v>
      </c>
      <c r="Q6771" s="9">
        <v>6.6619999999999996E-5</v>
      </c>
      <c r="R6771" s="10">
        <v>6.5107288105876218E-5</v>
      </c>
      <c r="S6771" s="10">
        <v>1.2755963411141134E-5</v>
      </c>
      <c r="T6771" s="10">
        <v>0</v>
      </c>
      <c r="U6771" s="10">
        <v>6.7520000000000004E-5</v>
      </c>
      <c r="V6771" s="25"/>
      <c r="W6771" s="25"/>
      <c r="X6771" s="25"/>
      <c r="Y6771" s="25"/>
      <c r="Z6771" s="25"/>
      <c r="AA6771" s="25"/>
    </row>
    <row r="6772" spans="1:27" x14ac:dyDescent="0.35">
      <c r="A6772" s="5">
        <v>6768</v>
      </c>
      <c r="B6772" s="5">
        <v>282</v>
      </c>
      <c r="C6772" s="5">
        <v>10</v>
      </c>
      <c r="D6772" s="25">
        <v>1.1415000000000001E-4</v>
      </c>
      <c r="E6772" s="25">
        <v>1.1535E-4</v>
      </c>
      <c r="F6772" s="25">
        <v>1.0529E-4</v>
      </c>
      <c r="G6772" s="25">
        <v>5.8610000000000003E-5</v>
      </c>
      <c r="H6772" s="25">
        <v>7.0660000000000004E-5</v>
      </c>
      <c r="I6772" s="9">
        <v>9.9580000000000005E-5</v>
      </c>
      <c r="J6772" s="9">
        <v>9.5110000000000002E-5</v>
      </c>
      <c r="K6772" s="9">
        <v>4.6629999999999999E-5</v>
      </c>
      <c r="L6772" s="9">
        <v>8.0480000000000002E-5</v>
      </c>
      <c r="M6772" s="9">
        <v>8.6149999999999993E-5</v>
      </c>
      <c r="N6772" s="9">
        <v>9.0729999999999994E-5</v>
      </c>
      <c r="O6772" s="9">
        <v>6.2420000000000002E-5</v>
      </c>
      <c r="P6772" s="9">
        <v>6.0340000000000002E-5</v>
      </c>
      <c r="Q6772" s="9">
        <v>5.8539999999999999E-5</v>
      </c>
      <c r="R6772" s="10">
        <v>8.0505297383355316E-5</v>
      </c>
      <c r="S6772" s="10">
        <v>1.3231359495554416E-5</v>
      </c>
      <c r="T6772" s="10">
        <v>0</v>
      </c>
      <c r="U6772" s="10">
        <v>6.7520000000000004E-5</v>
      </c>
      <c r="V6772" s="25"/>
      <c r="W6772" s="25"/>
      <c r="X6772" s="25"/>
      <c r="Y6772" s="25"/>
      <c r="Z6772" s="25"/>
      <c r="AA6772" s="25"/>
    </row>
    <row r="6773" spans="1:27" x14ac:dyDescent="0.35">
      <c r="A6773" s="5">
        <v>6769</v>
      </c>
      <c r="B6773" s="5">
        <v>283</v>
      </c>
      <c r="C6773" s="5">
        <v>10</v>
      </c>
      <c r="D6773" s="25">
        <v>1.1416E-4</v>
      </c>
      <c r="E6773" s="25">
        <v>1.1566E-4</v>
      </c>
      <c r="F6773" s="25">
        <v>1.0492000000000001E-4</v>
      </c>
      <c r="G6773" s="25">
        <v>6.2189999999999999E-5</v>
      </c>
      <c r="H6773" s="25">
        <v>6.6500000000000004E-5</v>
      </c>
      <c r="I6773" s="9">
        <v>9.4160000000000006E-5</v>
      </c>
      <c r="J6773" s="9">
        <v>9.0379999999999999E-5</v>
      </c>
      <c r="K6773" s="9">
        <v>4.6629999999999999E-5</v>
      </c>
      <c r="L6773" s="9">
        <v>6.6400000000000001E-5</v>
      </c>
      <c r="M6773" s="9">
        <v>7.3819999999999995E-5</v>
      </c>
      <c r="N6773" s="9">
        <v>8.119E-5</v>
      </c>
      <c r="O6773" s="9">
        <v>5.4809999999999999E-5</v>
      </c>
      <c r="P6773" s="9">
        <v>5.4230000000000001E-5</v>
      </c>
      <c r="Q6773" s="9">
        <v>5.38E-5</v>
      </c>
      <c r="R6773" s="10">
        <v>6.3382472496306292E-5</v>
      </c>
      <c r="S6773" s="10">
        <v>1.1930400735526942E-5</v>
      </c>
      <c r="T6773" s="10">
        <v>0</v>
      </c>
      <c r="U6773" s="10">
        <v>6.7689999999999997E-5</v>
      </c>
      <c r="V6773" s="25"/>
      <c r="W6773" s="25"/>
      <c r="X6773" s="25"/>
      <c r="Y6773" s="25"/>
      <c r="Z6773" s="25"/>
      <c r="AA6773" s="25"/>
    </row>
    <row r="6774" spans="1:27" x14ac:dyDescent="0.35">
      <c r="A6774" s="5">
        <v>6770</v>
      </c>
      <c r="B6774" s="5">
        <v>283</v>
      </c>
      <c r="C6774" s="5">
        <v>10</v>
      </c>
      <c r="D6774" s="25">
        <v>1.1415000000000001E-4</v>
      </c>
      <c r="E6774" s="25">
        <v>1.1658999999999999E-4</v>
      </c>
      <c r="F6774" s="25">
        <v>9.9209999999999994E-5</v>
      </c>
      <c r="G6774" s="25">
        <v>5.7590000000000003E-5</v>
      </c>
      <c r="H6774" s="25">
        <v>7.5660000000000004E-5</v>
      </c>
      <c r="I6774" s="9">
        <v>9.0099999999999995E-5</v>
      </c>
      <c r="J6774" s="9">
        <v>8.7449999999999998E-5</v>
      </c>
      <c r="K6774" s="9">
        <v>7.2059999999999998E-5</v>
      </c>
      <c r="L6774" s="9">
        <v>5.7739999999999999E-5</v>
      </c>
      <c r="M6774" s="9">
        <v>6.3839999999999999E-5</v>
      </c>
      <c r="N6774" s="9">
        <v>7.2109999999999999E-5</v>
      </c>
      <c r="O6774" s="9">
        <v>1.8879999999999999E-5</v>
      </c>
      <c r="P6774" s="9">
        <v>3.799E-5</v>
      </c>
      <c r="Q6774" s="9">
        <v>5.6530000000000003E-5</v>
      </c>
      <c r="R6774" s="10">
        <v>5.6454687355259751E-5</v>
      </c>
      <c r="S6774" s="10">
        <v>1.1909835729498115E-5</v>
      </c>
      <c r="T6774" s="10">
        <v>0</v>
      </c>
      <c r="U6774" s="10">
        <v>6.7689999999999997E-5</v>
      </c>
      <c r="V6774" s="25"/>
      <c r="W6774" s="25"/>
      <c r="X6774" s="25"/>
      <c r="Y6774" s="25"/>
      <c r="Z6774" s="25"/>
      <c r="AA6774" s="25"/>
    </row>
    <row r="6775" spans="1:27" x14ac:dyDescent="0.35">
      <c r="A6775" s="5">
        <v>6771</v>
      </c>
      <c r="B6775" s="5">
        <v>283</v>
      </c>
      <c r="C6775" s="5">
        <v>10</v>
      </c>
      <c r="D6775" s="25">
        <v>1.1416E-4</v>
      </c>
      <c r="E6775" s="25">
        <v>1.1218999999999999E-4</v>
      </c>
      <c r="F6775" s="25">
        <v>1.0145999999999999E-4</v>
      </c>
      <c r="G6775" s="25">
        <v>5.3359999999999997E-5</v>
      </c>
      <c r="H6775" s="25">
        <v>6.7089999999999996E-5</v>
      </c>
      <c r="I6775" s="9">
        <v>8.8339999999999998E-5</v>
      </c>
      <c r="J6775" s="9">
        <v>8.6459999999999996E-5</v>
      </c>
      <c r="K6775" s="9">
        <v>5.2979999999999998E-5</v>
      </c>
      <c r="L6775" s="9">
        <v>2.762E-5</v>
      </c>
      <c r="M6775" s="9">
        <v>5.2280000000000001E-5</v>
      </c>
      <c r="N6775" s="9">
        <v>6.5569999999999997E-5</v>
      </c>
      <c r="O6775" s="9">
        <v>1.324E-5</v>
      </c>
      <c r="P6775" s="9">
        <v>3.7700000000000002E-5</v>
      </c>
      <c r="Q6775" s="9">
        <v>6.1450000000000003E-5</v>
      </c>
      <c r="R6775" s="10">
        <v>5.4269718518013254E-5</v>
      </c>
      <c r="S6775" s="10">
        <v>1.1925914832826547E-5</v>
      </c>
      <c r="T6775" s="10">
        <v>0</v>
      </c>
      <c r="U6775" s="10">
        <v>6.7689999999999997E-5</v>
      </c>
      <c r="V6775" s="25"/>
      <c r="W6775" s="25"/>
      <c r="X6775" s="25"/>
      <c r="Y6775" s="25"/>
      <c r="Z6775" s="25"/>
      <c r="AA6775" s="25"/>
    </row>
    <row r="6776" spans="1:27" x14ac:dyDescent="0.35">
      <c r="A6776" s="5">
        <v>6772</v>
      </c>
      <c r="B6776" s="5">
        <v>283</v>
      </c>
      <c r="C6776" s="5">
        <v>10</v>
      </c>
      <c r="D6776" s="25">
        <v>1.1415000000000001E-4</v>
      </c>
      <c r="E6776" s="25">
        <v>1.1589E-4</v>
      </c>
      <c r="F6776" s="25">
        <v>1.0527E-4</v>
      </c>
      <c r="G6776" s="25">
        <v>5.401E-5</v>
      </c>
      <c r="H6776" s="25">
        <v>6.9759999999999996E-5</v>
      </c>
      <c r="I6776" s="9">
        <v>8.8739999999999994E-5</v>
      </c>
      <c r="J6776" s="9">
        <v>8.6030000000000001E-5</v>
      </c>
      <c r="K6776" s="9">
        <v>5.7229999999999999E-5</v>
      </c>
      <c r="L6776" s="9">
        <v>1.715E-5</v>
      </c>
      <c r="M6776" s="9">
        <v>4.4270000000000001E-5</v>
      </c>
      <c r="N6776" s="9">
        <v>6.1950000000000001E-5</v>
      </c>
      <c r="O6776" s="9">
        <v>1.3390000000000001E-5</v>
      </c>
      <c r="P6776" s="9">
        <v>4.7670000000000003E-5</v>
      </c>
      <c r="Q6776" s="9">
        <v>8.1069999999999995E-5</v>
      </c>
      <c r="R6776" s="10">
        <v>5.4014743391040513E-5</v>
      </c>
      <c r="S6776" s="10">
        <v>1.2084198069577714E-5</v>
      </c>
      <c r="T6776" s="10">
        <v>0</v>
      </c>
      <c r="U6776" s="10">
        <v>6.7689999999999997E-5</v>
      </c>
      <c r="V6776" s="25"/>
      <c r="W6776" s="25"/>
      <c r="X6776" s="25"/>
      <c r="Y6776" s="25"/>
      <c r="Z6776" s="25"/>
      <c r="AA6776" s="25"/>
    </row>
    <row r="6777" spans="1:27" x14ac:dyDescent="0.35">
      <c r="A6777" s="5">
        <v>6773</v>
      </c>
      <c r="B6777" s="5">
        <v>283</v>
      </c>
      <c r="C6777" s="5">
        <v>10</v>
      </c>
      <c r="D6777" s="25">
        <v>1.1416E-4</v>
      </c>
      <c r="E6777" s="25">
        <v>1.1133000000000001E-4</v>
      </c>
      <c r="F6777" s="25">
        <v>1.1523000000000001E-4</v>
      </c>
      <c r="G6777" s="25">
        <v>6.0770000000000003E-5</v>
      </c>
      <c r="H6777" s="25">
        <v>6.6429999999999999E-5</v>
      </c>
      <c r="I6777" s="9">
        <v>8.9370000000000007E-5</v>
      </c>
      <c r="J6777" s="9">
        <v>8.6370000000000001E-5</v>
      </c>
      <c r="K6777" s="9">
        <v>6.7830000000000006E-5</v>
      </c>
      <c r="L6777" s="9">
        <v>1.447E-5</v>
      </c>
      <c r="M6777" s="9">
        <v>4.3689999999999997E-5</v>
      </c>
      <c r="N6777" s="9">
        <v>6.4640000000000005E-5</v>
      </c>
      <c r="O6777" s="9">
        <v>1.859E-5</v>
      </c>
      <c r="P6777" s="9">
        <v>5.6119999999999998E-5</v>
      </c>
      <c r="Q6777" s="9">
        <v>9.2800000000000006E-5</v>
      </c>
      <c r="R6777" s="10">
        <v>5.4356822626872003E-5</v>
      </c>
      <c r="S6777" s="10">
        <v>1.3237896323898692E-5</v>
      </c>
      <c r="T6777" s="10">
        <v>0</v>
      </c>
      <c r="U6777" s="10">
        <v>6.7689999999999997E-5</v>
      </c>
      <c r="V6777" s="25"/>
      <c r="W6777" s="25"/>
      <c r="X6777" s="25"/>
      <c r="Y6777" s="25"/>
      <c r="Z6777" s="25"/>
      <c r="AA6777" s="25"/>
    </row>
    <row r="6778" spans="1:27" x14ac:dyDescent="0.35">
      <c r="A6778" s="5">
        <v>6774</v>
      </c>
      <c r="B6778" s="5">
        <v>283</v>
      </c>
      <c r="C6778" s="5">
        <v>10</v>
      </c>
      <c r="D6778" s="25">
        <v>1.1415000000000001E-4</v>
      </c>
      <c r="E6778" s="25">
        <v>1.1198E-4</v>
      </c>
      <c r="F6778" s="25">
        <v>1.0864E-4</v>
      </c>
      <c r="G6778" s="25">
        <v>1.082E-4</v>
      </c>
      <c r="H6778" s="25">
        <v>1.2854000000000001E-4</v>
      </c>
      <c r="I6778" s="9">
        <v>9.187E-5</v>
      </c>
      <c r="J6778" s="9">
        <v>8.8109999999999995E-5</v>
      </c>
      <c r="K6778" s="9">
        <v>8.2650000000000003E-5</v>
      </c>
      <c r="L6778" s="9">
        <v>1.755E-5</v>
      </c>
      <c r="M6778" s="9">
        <v>4.8369999999999999E-5</v>
      </c>
      <c r="N6778" s="9">
        <v>7.1009999999999999E-5</v>
      </c>
      <c r="O6778" s="9">
        <v>4.6690000000000002E-5</v>
      </c>
      <c r="P6778" s="9">
        <v>7.7559999999999996E-5</v>
      </c>
      <c r="Q6778" s="9">
        <v>1.08E-4</v>
      </c>
      <c r="R6778" s="10">
        <v>5.4890125200994061E-5</v>
      </c>
      <c r="S6778" s="10">
        <v>1.4583790832740269E-5</v>
      </c>
      <c r="T6778" s="10">
        <v>0</v>
      </c>
      <c r="U6778" s="10">
        <v>6.7689999999999997E-5</v>
      </c>
      <c r="V6778" s="25"/>
      <c r="W6778" s="25"/>
      <c r="X6778" s="25"/>
      <c r="Y6778" s="25"/>
      <c r="Z6778" s="25"/>
      <c r="AA6778" s="25"/>
    </row>
    <row r="6779" spans="1:27" x14ac:dyDescent="0.35">
      <c r="A6779" s="5">
        <v>6775</v>
      </c>
      <c r="B6779" s="5">
        <v>283</v>
      </c>
      <c r="C6779" s="5">
        <v>10</v>
      </c>
      <c r="D6779" s="25">
        <v>1.1416E-4</v>
      </c>
      <c r="E6779" s="25">
        <v>1.1449E-4</v>
      </c>
      <c r="F6779" s="25">
        <v>1.164E-4</v>
      </c>
      <c r="G6779" s="25">
        <v>1.0537E-4</v>
      </c>
      <c r="H6779" s="25">
        <v>1.3088999999999999E-4</v>
      </c>
      <c r="I6779" s="9">
        <v>9.48E-5</v>
      </c>
      <c r="J6779" s="9">
        <v>9.1710000000000001E-5</v>
      </c>
      <c r="K6779" s="9">
        <v>6.9939999999999998E-5</v>
      </c>
      <c r="L6779" s="9">
        <v>4.0139999999999999E-5</v>
      </c>
      <c r="M6779" s="9">
        <v>6.02E-5</v>
      </c>
      <c r="N6779" s="9">
        <v>8.0920000000000005E-5</v>
      </c>
      <c r="O6779" s="9">
        <v>1.2386999999999999E-4</v>
      </c>
      <c r="P6779" s="9">
        <v>1.1786999999999999E-4</v>
      </c>
      <c r="Q6779" s="9">
        <v>1.1291E-4</v>
      </c>
      <c r="R6779" s="10">
        <v>5.7101603836277869E-5</v>
      </c>
      <c r="S6779" s="10">
        <v>1.6982509527111741E-5</v>
      </c>
      <c r="T6779" s="10">
        <v>0</v>
      </c>
      <c r="U6779" s="10">
        <v>6.7689999999999997E-5</v>
      </c>
      <c r="V6779" s="25"/>
      <c r="W6779" s="25"/>
      <c r="X6779" s="25"/>
      <c r="Y6779" s="25"/>
      <c r="Z6779" s="25"/>
      <c r="AA6779" s="25"/>
    </row>
    <row r="6780" spans="1:27" x14ac:dyDescent="0.35">
      <c r="A6780" s="5">
        <v>6776</v>
      </c>
      <c r="B6780" s="5">
        <v>283</v>
      </c>
      <c r="C6780" s="5">
        <v>10</v>
      </c>
      <c r="D6780" s="25">
        <v>1.1415000000000001E-4</v>
      </c>
      <c r="E6780" s="25">
        <v>1.2027E-4</v>
      </c>
      <c r="F6780" s="25">
        <v>1.0132E-4</v>
      </c>
      <c r="G6780" s="25">
        <v>1.5707000000000001E-4</v>
      </c>
      <c r="H6780" s="25">
        <v>1.8745E-4</v>
      </c>
      <c r="I6780" s="9">
        <v>9.7780000000000002E-5</v>
      </c>
      <c r="J6780" s="9">
        <v>9.5290000000000004E-5</v>
      </c>
      <c r="K6780" s="9">
        <v>4.0280000000000001E-5</v>
      </c>
      <c r="L6780" s="9">
        <v>1.0482E-4</v>
      </c>
      <c r="M6780" s="9">
        <v>8.4019999999999999E-5</v>
      </c>
      <c r="N6780" s="9">
        <v>9.1089999999999997E-5</v>
      </c>
      <c r="O6780" s="9">
        <v>2.1798999999999999E-4</v>
      </c>
      <c r="P6780" s="9">
        <v>1.7539000000000001E-4</v>
      </c>
      <c r="Q6780" s="9">
        <v>1.3548999999999999E-4</v>
      </c>
      <c r="R6780" s="10">
        <v>6.2230878578261377E-5</v>
      </c>
      <c r="S6780" s="10">
        <v>2.0472860348868584E-5</v>
      </c>
      <c r="T6780" s="10">
        <v>4.893743865162204E-5</v>
      </c>
      <c r="U6780" s="10">
        <v>6.7689999999999997E-5</v>
      </c>
      <c r="V6780" s="25"/>
      <c r="W6780" s="25"/>
      <c r="X6780" s="25"/>
      <c r="Y6780" s="25"/>
      <c r="Z6780" s="25"/>
      <c r="AA6780" s="25"/>
    </row>
    <row r="6781" spans="1:27" x14ac:dyDescent="0.35">
      <c r="A6781" s="5">
        <v>6777</v>
      </c>
      <c r="B6781" s="5">
        <v>283</v>
      </c>
      <c r="C6781" s="5">
        <v>10</v>
      </c>
      <c r="D6781" s="25">
        <v>1.1416E-4</v>
      </c>
      <c r="E6781" s="25">
        <v>1.1551E-4</v>
      </c>
      <c r="F6781" s="25">
        <v>1.0452E-4</v>
      </c>
      <c r="G6781" s="25">
        <v>1.5903E-4</v>
      </c>
      <c r="H6781" s="25">
        <v>1.8924E-4</v>
      </c>
      <c r="I6781" s="9">
        <v>1.0301E-4</v>
      </c>
      <c r="J6781" s="9">
        <v>1.003E-4</v>
      </c>
      <c r="K6781" s="9">
        <v>0</v>
      </c>
      <c r="L6781" s="9">
        <v>1.9132E-4</v>
      </c>
      <c r="M6781" s="9">
        <v>1.2307E-4</v>
      </c>
      <c r="N6781" s="9">
        <v>1.0454E-4</v>
      </c>
      <c r="O6781" s="9">
        <v>2.1315E-4</v>
      </c>
      <c r="P6781" s="9">
        <v>1.9451000000000001E-4</v>
      </c>
      <c r="Q6781" s="9">
        <v>1.7814E-4</v>
      </c>
      <c r="R6781" s="10">
        <v>7.1043114870008746E-5</v>
      </c>
      <c r="S6781" s="10">
        <v>2.3501175458377137E-5</v>
      </c>
      <c r="T6781" s="10">
        <v>1.355960722139777E-4</v>
      </c>
      <c r="U6781" s="10">
        <v>6.7689999999999997E-5</v>
      </c>
      <c r="V6781" s="25"/>
      <c r="W6781" s="25"/>
      <c r="X6781" s="25"/>
      <c r="Y6781" s="25"/>
      <c r="Z6781" s="25"/>
      <c r="AA6781" s="25"/>
    </row>
    <row r="6782" spans="1:27" x14ac:dyDescent="0.35">
      <c r="A6782" s="5">
        <v>6778</v>
      </c>
      <c r="B6782" s="5">
        <v>283</v>
      </c>
      <c r="C6782" s="5">
        <v>10</v>
      </c>
      <c r="D6782" s="25">
        <v>1.1415000000000001E-4</v>
      </c>
      <c r="E6782" s="25">
        <v>1.1959E-4</v>
      </c>
      <c r="F6782" s="25">
        <v>9.7910000000000003E-5</v>
      </c>
      <c r="G6782" s="25">
        <v>1.6348E-4</v>
      </c>
      <c r="H6782" s="25">
        <v>1.9704E-4</v>
      </c>
      <c r="I6782" s="9">
        <v>1.052E-4</v>
      </c>
      <c r="J6782" s="9">
        <v>1.0228E-4</v>
      </c>
      <c r="K6782" s="9">
        <v>0</v>
      </c>
      <c r="L6782" s="9">
        <v>2.0609E-4</v>
      </c>
      <c r="M6782" s="9">
        <v>1.5866E-4</v>
      </c>
      <c r="N6782" s="9">
        <v>1.2479E-4</v>
      </c>
      <c r="O6782" s="9">
        <v>1.6752999999999999E-4</v>
      </c>
      <c r="P6782" s="9">
        <v>1.7419000000000001E-4</v>
      </c>
      <c r="Q6782" s="9">
        <v>1.8220000000000001E-4</v>
      </c>
      <c r="R6782" s="10">
        <v>7.1322260828176785E-5</v>
      </c>
      <c r="S6782" s="10">
        <v>2.9424806308250814E-5</v>
      </c>
      <c r="T6782" s="10">
        <v>4.2211934556764063E-4</v>
      </c>
      <c r="U6782" s="10">
        <v>6.7689999999999997E-5</v>
      </c>
      <c r="V6782" s="25"/>
      <c r="W6782" s="25"/>
      <c r="X6782" s="25"/>
      <c r="Y6782" s="25"/>
      <c r="Z6782" s="25"/>
      <c r="AA6782" s="25"/>
    </row>
    <row r="6783" spans="1:27" x14ac:dyDescent="0.35">
      <c r="A6783" s="5">
        <v>6779</v>
      </c>
      <c r="B6783" s="5">
        <v>283</v>
      </c>
      <c r="C6783" s="5">
        <v>10</v>
      </c>
      <c r="D6783" s="25">
        <v>1.1416E-4</v>
      </c>
      <c r="E6783" s="25">
        <v>1.1182E-4</v>
      </c>
      <c r="F6783" s="25">
        <v>1.1677E-4</v>
      </c>
      <c r="G6783" s="25">
        <v>1.6452E-4</v>
      </c>
      <c r="H6783" s="25">
        <v>1.9923E-4</v>
      </c>
      <c r="I6783" s="9">
        <v>1.0768E-4</v>
      </c>
      <c r="J6783" s="9">
        <v>1.0215E-4</v>
      </c>
      <c r="K6783" s="9">
        <v>0</v>
      </c>
      <c r="L6783" s="9">
        <v>1.7602000000000001E-4</v>
      </c>
      <c r="M6783" s="9">
        <v>1.7254E-4</v>
      </c>
      <c r="N6783" s="9">
        <v>1.4287999999999999E-4</v>
      </c>
      <c r="O6783" s="9">
        <v>1.6804E-4</v>
      </c>
      <c r="P6783" s="9">
        <v>1.7337E-4</v>
      </c>
      <c r="Q6783" s="9">
        <v>1.8007E-4</v>
      </c>
      <c r="R6783" s="10">
        <v>6.0033857359000709E-5</v>
      </c>
      <c r="S6783" s="10">
        <v>3.9727367907106209E-5</v>
      </c>
      <c r="T6783" s="10">
        <v>5.3681858848221738E-4</v>
      </c>
      <c r="U6783" s="10">
        <v>6.7689999999999997E-5</v>
      </c>
      <c r="V6783" s="25"/>
      <c r="W6783" s="25"/>
      <c r="X6783" s="25"/>
      <c r="Y6783" s="25"/>
      <c r="Z6783" s="25"/>
      <c r="AA6783" s="25"/>
    </row>
    <row r="6784" spans="1:27" x14ac:dyDescent="0.35">
      <c r="A6784" s="5">
        <v>6780</v>
      </c>
      <c r="B6784" s="5">
        <v>283</v>
      </c>
      <c r="C6784" s="5">
        <v>10</v>
      </c>
      <c r="D6784" s="25">
        <v>1.1415000000000001E-4</v>
      </c>
      <c r="E6784" s="25">
        <v>1.1668E-4</v>
      </c>
      <c r="F6784" s="25">
        <v>1.0759E-4</v>
      </c>
      <c r="G6784" s="25">
        <v>1.6283000000000001E-4</v>
      </c>
      <c r="H6784" s="25">
        <v>1.8891000000000001E-4</v>
      </c>
      <c r="I6784" s="9">
        <v>1.0907E-4</v>
      </c>
      <c r="J6784" s="9">
        <v>1.0286E-4</v>
      </c>
      <c r="K6784" s="9">
        <v>0</v>
      </c>
      <c r="L6784" s="9">
        <v>1.7122E-4</v>
      </c>
      <c r="M6784" s="9">
        <v>1.752E-4</v>
      </c>
      <c r="N6784" s="9">
        <v>1.5703000000000001E-4</v>
      </c>
      <c r="O6784" s="9">
        <v>1.6861999999999999E-4</v>
      </c>
      <c r="P6784" s="9">
        <v>1.6981E-4</v>
      </c>
      <c r="Q6784" s="9">
        <v>1.7246000000000001E-4</v>
      </c>
      <c r="R6784" s="10">
        <v>4.7450967178881351E-5</v>
      </c>
      <c r="S6784" s="10">
        <v>5.3259649090233601E-5</v>
      </c>
      <c r="T6784" s="10">
        <v>6.3342082088294006E-4</v>
      </c>
      <c r="U6784" s="10">
        <v>6.7689999999999997E-5</v>
      </c>
      <c r="V6784" s="25"/>
      <c r="W6784" s="25"/>
      <c r="X6784" s="25"/>
      <c r="Y6784" s="25"/>
      <c r="Z6784" s="25"/>
      <c r="AA6784" s="25"/>
    </row>
    <row r="6785" spans="1:27" x14ac:dyDescent="0.35">
      <c r="A6785" s="5">
        <v>6781</v>
      </c>
      <c r="B6785" s="5">
        <v>283</v>
      </c>
      <c r="C6785" s="5">
        <v>10</v>
      </c>
      <c r="D6785" s="25">
        <v>1.1416E-4</v>
      </c>
      <c r="E6785" s="25">
        <v>1.1315999999999999E-4</v>
      </c>
      <c r="F6785" s="25">
        <v>1.0058E-4</v>
      </c>
      <c r="G6785" s="25">
        <v>1.5694999999999999E-4</v>
      </c>
      <c r="H6785" s="25">
        <v>1.8916000000000001E-4</v>
      </c>
      <c r="I6785" s="9">
        <v>1.0652E-4</v>
      </c>
      <c r="J6785" s="9">
        <v>1.0199E-4</v>
      </c>
      <c r="K6785" s="9">
        <v>0</v>
      </c>
      <c r="L6785" s="9">
        <v>1.6937000000000001E-4</v>
      </c>
      <c r="M6785" s="9">
        <v>1.7343999999999999E-4</v>
      </c>
      <c r="N6785" s="9">
        <v>1.6608000000000001E-4</v>
      </c>
      <c r="O6785" s="9">
        <v>1.6186999999999999E-4</v>
      </c>
      <c r="P6785" s="9">
        <v>1.6390999999999999E-4</v>
      </c>
      <c r="Q6785" s="9">
        <v>1.6731E-4</v>
      </c>
      <c r="R6785" s="10">
        <v>5.3879977232421514E-5</v>
      </c>
      <c r="S6785" s="10">
        <v>5.1961434658469E-5</v>
      </c>
      <c r="T6785" s="10">
        <v>6.3938528332609026E-4</v>
      </c>
      <c r="U6785" s="10">
        <v>6.7689999999999997E-5</v>
      </c>
      <c r="V6785" s="25"/>
      <c r="W6785" s="25"/>
      <c r="X6785" s="25"/>
      <c r="Y6785" s="25"/>
      <c r="Z6785" s="25"/>
      <c r="AA6785" s="25"/>
    </row>
    <row r="6786" spans="1:27" x14ac:dyDescent="0.35">
      <c r="A6786" s="5">
        <v>6782</v>
      </c>
      <c r="B6786" s="5">
        <v>283</v>
      </c>
      <c r="C6786" s="5">
        <v>10</v>
      </c>
      <c r="D6786" s="25">
        <v>1.1415000000000001E-4</v>
      </c>
      <c r="E6786" s="25">
        <v>1.1407E-4</v>
      </c>
      <c r="F6786" s="25">
        <v>1.0609E-4</v>
      </c>
      <c r="G6786" s="25">
        <v>1.6618000000000001E-4</v>
      </c>
      <c r="H6786" s="25">
        <v>1.9173000000000001E-4</v>
      </c>
      <c r="I6786" s="9">
        <v>1.0443E-4</v>
      </c>
      <c r="J6786" s="9">
        <v>1.0056999999999999E-4</v>
      </c>
      <c r="K6786" s="9">
        <v>0</v>
      </c>
      <c r="L6786" s="9">
        <v>1.6330000000000001E-4</v>
      </c>
      <c r="M6786" s="9">
        <v>1.6950999999999999E-4</v>
      </c>
      <c r="N6786" s="9">
        <v>1.7035999999999999E-4</v>
      </c>
      <c r="O6786" s="9">
        <v>1.7665000000000001E-4</v>
      </c>
      <c r="P6786" s="9">
        <v>1.6699999999999999E-4</v>
      </c>
      <c r="Q6786" s="9">
        <v>1.5906000000000001E-4</v>
      </c>
      <c r="R6786" s="10">
        <v>5.6484863866124437E-5</v>
      </c>
      <c r="S6786" s="10">
        <v>4.5910328495310142E-5</v>
      </c>
      <c r="T6786" s="10">
        <v>5.6273812299690272E-4</v>
      </c>
      <c r="U6786" s="10">
        <v>6.7689999999999997E-5</v>
      </c>
      <c r="V6786" s="25"/>
      <c r="W6786" s="25"/>
      <c r="X6786" s="25"/>
      <c r="Y6786" s="25"/>
      <c r="Z6786" s="25"/>
      <c r="AA6786" s="25"/>
    </row>
    <row r="6787" spans="1:27" x14ac:dyDescent="0.35">
      <c r="A6787" s="5">
        <v>6783</v>
      </c>
      <c r="B6787" s="5">
        <v>283</v>
      </c>
      <c r="C6787" s="5">
        <v>10</v>
      </c>
      <c r="D6787" s="25">
        <v>1.1416E-4</v>
      </c>
      <c r="E6787" s="25">
        <v>1.1234999999999999E-4</v>
      </c>
      <c r="F6787" s="25">
        <v>1.0198E-4</v>
      </c>
      <c r="G6787" s="25">
        <v>1.6534000000000001E-4</v>
      </c>
      <c r="H6787" s="25">
        <v>1.9478E-4</v>
      </c>
      <c r="I6787" s="9">
        <v>1.0230000000000001E-4</v>
      </c>
      <c r="J6787" s="9">
        <v>1.0037E-4</v>
      </c>
      <c r="K6787" s="9">
        <v>0</v>
      </c>
      <c r="L6787" s="9">
        <v>1.7385999999999999E-4</v>
      </c>
      <c r="M6787" s="9">
        <v>1.6752E-4</v>
      </c>
      <c r="N6787" s="9">
        <v>1.6945E-4</v>
      </c>
      <c r="O6787" s="9">
        <v>1.8556000000000001E-4</v>
      </c>
      <c r="P6787" s="9">
        <v>1.6881E-4</v>
      </c>
      <c r="Q6787" s="9">
        <v>1.5398000000000001E-4</v>
      </c>
      <c r="R6787" s="10">
        <v>5.7602732313082802E-5</v>
      </c>
      <c r="S6787" s="10">
        <v>4.3033055057759316E-5</v>
      </c>
      <c r="T6787" s="10">
        <v>4.5705769029152752E-4</v>
      </c>
      <c r="U6787" s="10">
        <v>6.7689999999999997E-5</v>
      </c>
      <c r="V6787" s="25"/>
      <c r="W6787" s="25"/>
      <c r="X6787" s="25"/>
      <c r="Y6787" s="25"/>
      <c r="Z6787" s="25"/>
      <c r="AA6787" s="25"/>
    </row>
    <row r="6788" spans="1:27" x14ac:dyDescent="0.35">
      <c r="A6788" s="5">
        <v>6784</v>
      </c>
      <c r="B6788" s="5">
        <v>283</v>
      </c>
      <c r="C6788" s="5">
        <v>10</v>
      </c>
      <c r="D6788" s="25">
        <v>1.1415000000000001E-4</v>
      </c>
      <c r="E6788" s="25">
        <v>1.1818E-4</v>
      </c>
      <c r="F6788" s="25">
        <v>1.1056E-4</v>
      </c>
      <c r="G6788" s="25">
        <v>1.6257000000000001E-4</v>
      </c>
      <c r="H6788" s="25">
        <v>1.9770000000000001E-4</v>
      </c>
      <c r="I6788" s="9">
        <v>1.0109E-4</v>
      </c>
      <c r="J6788" s="9">
        <v>1.0266E-4</v>
      </c>
      <c r="K6788" s="9">
        <v>0</v>
      </c>
      <c r="L6788" s="9">
        <v>1.827E-4</v>
      </c>
      <c r="M6788" s="9">
        <v>1.6755000000000001E-4</v>
      </c>
      <c r="N6788" s="9">
        <v>1.6589999999999999E-4</v>
      </c>
      <c r="O6788" s="9">
        <v>1.9682E-4</v>
      </c>
      <c r="P6788" s="9">
        <v>1.5181E-4</v>
      </c>
      <c r="Q6788" s="9">
        <v>1.093E-4</v>
      </c>
      <c r="R6788" s="10">
        <v>6.4017820429600539E-5</v>
      </c>
      <c r="S6788" s="10">
        <v>4.5147686331112074E-5</v>
      </c>
      <c r="T6788" s="10">
        <v>2.8245929396494466E-4</v>
      </c>
      <c r="U6788" s="10">
        <v>6.7689999999999997E-5</v>
      </c>
      <c r="V6788" s="25"/>
      <c r="W6788" s="25"/>
      <c r="X6788" s="25"/>
      <c r="Y6788" s="25"/>
      <c r="Z6788" s="25"/>
      <c r="AA6788" s="25"/>
    </row>
    <row r="6789" spans="1:27" x14ac:dyDescent="0.35">
      <c r="A6789" s="5">
        <v>6785</v>
      </c>
      <c r="B6789" s="5">
        <v>283</v>
      </c>
      <c r="C6789" s="5">
        <v>10</v>
      </c>
      <c r="D6789" s="25">
        <v>1.1416E-4</v>
      </c>
      <c r="E6789" s="25">
        <v>1.1874E-4</v>
      </c>
      <c r="F6789" s="25">
        <v>1.0356E-4</v>
      </c>
      <c r="G6789" s="25">
        <v>1.6579E-4</v>
      </c>
      <c r="H6789" s="25">
        <v>1.9217E-4</v>
      </c>
      <c r="I6789" s="9">
        <v>1.0302999999999999E-4</v>
      </c>
      <c r="J6789" s="9">
        <v>1.0953E-4</v>
      </c>
      <c r="K6789" s="9">
        <v>0</v>
      </c>
      <c r="L6789" s="9">
        <v>1.9342E-4</v>
      </c>
      <c r="M6789" s="9">
        <v>1.6202999999999999E-4</v>
      </c>
      <c r="N6789" s="9">
        <v>1.5212E-4</v>
      </c>
      <c r="O6789" s="9">
        <v>2.1469999999999999E-4</v>
      </c>
      <c r="P6789" s="9">
        <v>1.596E-4</v>
      </c>
      <c r="Q6789" s="9">
        <v>1.0734999999999999E-4</v>
      </c>
      <c r="R6789" s="10">
        <v>7.5362079629554145E-5</v>
      </c>
      <c r="S6789" s="10">
        <v>5.4344554416827816E-5</v>
      </c>
      <c r="T6789" s="10">
        <v>8.4554527323520316E-5</v>
      </c>
      <c r="U6789" s="10">
        <v>6.7689999999999997E-5</v>
      </c>
      <c r="V6789" s="25"/>
      <c r="W6789" s="25"/>
      <c r="X6789" s="25"/>
      <c r="Y6789" s="25"/>
      <c r="Z6789" s="25"/>
      <c r="AA6789" s="25"/>
    </row>
    <row r="6790" spans="1:27" x14ac:dyDescent="0.35">
      <c r="A6790" s="5">
        <v>6786</v>
      </c>
      <c r="B6790" s="5">
        <v>283</v>
      </c>
      <c r="C6790" s="5">
        <v>10</v>
      </c>
      <c r="D6790" s="25">
        <v>1.1415000000000001E-4</v>
      </c>
      <c r="E6790" s="25">
        <v>1.1657E-4</v>
      </c>
      <c r="F6790" s="25">
        <v>1.1639E-4</v>
      </c>
      <c r="G6790" s="25">
        <v>1.5622999999999999E-4</v>
      </c>
      <c r="H6790" s="25">
        <v>1.9661E-4</v>
      </c>
      <c r="I6790" s="9">
        <v>1.0777000000000001E-4</v>
      </c>
      <c r="J6790" s="9">
        <v>1.1425999999999999E-4</v>
      </c>
      <c r="K6790" s="9">
        <v>0</v>
      </c>
      <c r="L6790" s="9">
        <v>2.098E-4</v>
      </c>
      <c r="M6790" s="9">
        <v>1.596E-4</v>
      </c>
      <c r="N6790" s="9">
        <v>1.3892E-4</v>
      </c>
      <c r="O6790" s="9">
        <v>2.0578999999999999E-4</v>
      </c>
      <c r="P6790" s="9">
        <v>1.6045E-4</v>
      </c>
      <c r="Q6790" s="9">
        <v>1.1772E-4</v>
      </c>
      <c r="R6790" s="10">
        <v>9.3188550336518561E-5</v>
      </c>
      <c r="S6790" s="10">
        <v>7.394044574086345E-5</v>
      </c>
      <c r="T6790" s="10">
        <v>0</v>
      </c>
      <c r="U6790" s="10">
        <v>6.7689999999999997E-5</v>
      </c>
      <c r="V6790" s="25"/>
      <c r="W6790" s="25"/>
      <c r="X6790" s="25"/>
      <c r="Y6790" s="25"/>
      <c r="Z6790" s="25"/>
      <c r="AA6790" s="25"/>
    </row>
    <row r="6791" spans="1:27" x14ac:dyDescent="0.35">
      <c r="A6791" s="5">
        <v>6787</v>
      </c>
      <c r="B6791" s="5">
        <v>283</v>
      </c>
      <c r="C6791" s="5">
        <v>10</v>
      </c>
      <c r="D6791" s="25">
        <v>1.1416E-4</v>
      </c>
      <c r="E6791" s="25">
        <v>1.2071E-4</v>
      </c>
      <c r="F6791" s="25">
        <v>1.0836999999999999E-4</v>
      </c>
      <c r="G6791" s="25">
        <v>1.1485E-4</v>
      </c>
      <c r="H6791" s="25">
        <v>1.3023000000000001E-4</v>
      </c>
      <c r="I6791" s="9">
        <v>1.1534E-4</v>
      </c>
      <c r="J6791" s="9">
        <v>1.1781999999999999E-4</v>
      </c>
      <c r="K6791" s="9">
        <v>0</v>
      </c>
      <c r="L6791" s="9">
        <v>2.0626999999999999E-4</v>
      </c>
      <c r="M6791" s="9">
        <v>1.5943000000000001E-4</v>
      </c>
      <c r="N6791" s="9">
        <v>1.2993999999999999E-4</v>
      </c>
      <c r="O6791" s="9">
        <v>1.6380999999999999E-4</v>
      </c>
      <c r="P6791" s="9">
        <v>1.3423999999999999E-4</v>
      </c>
      <c r="Q6791" s="9">
        <v>1.0655E-4</v>
      </c>
      <c r="R6791" s="10">
        <v>1.2497592725484982E-4</v>
      </c>
      <c r="S6791" s="10">
        <v>9.9039373306617645E-5</v>
      </c>
      <c r="T6791" s="10">
        <v>0</v>
      </c>
      <c r="U6791" s="10">
        <v>6.7689999999999997E-5</v>
      </c>
      <c r="V6791" s="25"/>
      <c r="W6791" s="25"/>
      <c r="X6791" s="25"/>
      <c r="Y6791" s="25"/>
      <c r="Z6791" s="25"/>
      <c r="AA6791" s="25"/>
    </row>
    <row r="6792" spans="1:27" x14ac:dyDescent="0.35">
      <c r="A6792" s="5">
        <v>6788</v>
      </c>
      <c r="B6792" s="5">
        <v>283</v>
      </c>
      <c r="C6792" s="5">
        <v>10</v>
      </c>
      <c r="D6792" s="25">
        <v>1.1415000000000001E-4</v>
      </c>
      <c r="E6792" s="25">
        <v>1.1108E-4</v>
      </c>
      <c r="F6792" s="25">
        <v>1.1379000000000001E-4</v>
      </c>
      <c r="G6792" s="25">
        <v>1.1367E-4</v>
      </c>
      <c r="H6792" s="25">
        <v>1.3619000000000001E-4</v>
      </c>
      <c r="I6792" s="9">
        <v>1.1506E-4</v>
      </c>
      <c r="J6792" s="9">
        <v>1.1820999999999999E-4</v>
      </c>
      <c r="K6792" s="9">
        <v>0</v>
      </c>
      <c r="L6792" s="9">
        <v>1.7331000000000001E-4</v>
      </c>
      <c r="M6792" s="9">
        <v>1.5048000000000001E-4</v>
      </c>
      <c r="N6792" s="9">
        <v>1.2081E-4</v>
      </c>
      <c r="O6792" s="9">
        <v>1.2998E-4</v>
      </c>
      <c r="P6792" s="9">
        <v>1.1568E-4</v>
      </c>
      <c r="Q6792" s="9">
        <v>1.0261E-4</v>
      </c>
      <c r="R6792" s="10">
        <v>1.5220138964935871E-4</v>
      </c>
      <c r="S6792" s="10">
        <v>1.2733984439613574E-4</v>
      </c>
      <c r="T6792" s="10">
        <v>0</v>
      </c>
      <c r="U6792" s="10">
        <v>6.7689999999999997E-5</v>
      </c>
      <c r="V6792" s="25"/>
      <c r="W6792" s="25"/>
      <c r="X6792" s="25"/>
      <c r="Y6792" s="25"/>
      <c r="Z6792" s="25"/>
      <c r="AA6792" s="25"/>
    </row>
    <row r="6793" spans="1:27" x14ac:dyDescent="0.35">
      <c r="A6793" s="5">
        <v>6789</v>
      </c>
      <c r="B6793" s="5">
        <v>283</v>
      </c>
      <c r="C6793" s="5">
        <v>10</v>
      </c>
      <c r="D6793" s="25">
        <v>1.1416E-4</v>
      </c>
      <c r="E6793" s="25">
        <v>1.1581E-4</v>
      </c>
      <c r="F6793" s="25">
        <v>1.1107000000000001E-4</v>
      </c>
      <c r="G6793" s="25">
        <v>5.927E-5</v>
      </c>
      <c r="H6793" s="25">
        <v>7.4480000000000005E-5</v>
      </c>
      <c r="I6793" s="9">
        <v>1.1014999999999999E-4</v>
      </c>
      <c r="J6793" s="9">
        <v>1.1277000000000001E-4</v>
      </c>
      <c r="K6793" s="9">
        <v>0</v>
      </c>
      <c r="L6793" s="9">
        <v>1.4054000000000001E-4</v>
      </c>
      <c r="M6793" s="9">
        <v>1.3543999999999999E-4</v>
      </c>
      <c r="N6793" s="9">
        <v>1.1328999999999999E-4</v>
      </c>
      <c r="O6793" s="9">
        <v>8.4530000000000006E-5</v>
      </c>
      <c r="P6793" s="9">
        <v>8.6039999999999996E-5</v>
      </c>
      <c r="Q6793" s="9">
        <v>8.8040000000000004E-5</v>
      </c>
      <c r="R6793" s="10">
        <v>1.6794686135974463E-4</v>
      </c>
      <c r="S6793" s="10">
        <v>1.4384905473678006E-4</v>
      </c>
      <c r="T6793" s="10">
        <v>0</v>
      </c>
      <c r="U6793" s="10">
        <v>6.7689999999999997E-5</v>
      </c>
      <c r="V6793" s="25"/>
      <c r="W6793" s="25"/>
      <c r="X6793" s="25"/>
      <c r="Y6793" s="25"/>
      <c r="Z6793" s="25"/>
      <c r="AA6793" s="25"/>
    </row>
    <row r="6794" spans="1:27" x14ac:dyDescent="0.35">
      <c r="A6794" s="5">
        <v>6790</v>
      </c>
      <c r="B6794" s="5">
        <v>283</v>
      </c>
      <c r="C6794" s="5">
        <v>10</v>
      </c>
      <c r="D6794" s="25">
        <v>1.1415000000000001E-4</v>
      </c>
      <c r="E6794" s="25">
        <v>1.2155E-4</v>
      </c>
      <c r="F6794" s="25">
        <v>1.1239999999999999E-4</v>
      </c>
      <c r="G6794" s="25">
        <v>5.2630000000000003E-5</v>
      </c>
      <c r="H6794" s="25">
        <v>6.2459999999999995E-5</v>
      </c>
      <c r="I6794" s="9">
        <v>1.0779E-4</v>
      </c>
      <c r="J6794" s="9">
        <v>1.0679999999999999E-4</v>
      </c>
      <c r="K6794" s="9">
        <v>4.2400000000000001E-6</v>
      </c>
      <c r="L6794" s="9">
        <v>9.7730000000000001E-5</v>
      </c>
      <c r="M6794" s="9">
        <v>1.138E-4</v>
      </c>
      <c r="N6794" s="9">
        <v>1.0565000000000001E-4</v>
      </c>
      <c r="O6794" s="9">
        <v>8.6829999999999994E-5</v>
      </c>
      <c r="P6794" s="9">
        <v>8.6949999999999999E-5</v>
      </c>
      <c r="Q6794" s="9">
        <v>8.7600000000000002E-5</v>
      </c>
      <c r="R6794" s="10">
        <v>1.7621121187426223E-4</v>
      </c>
      <c r="S6794" s="10">
        <v>1.4868898935032547E-4</v>
      </c>
      <c r="T6794" s="10">
        <v>0</v>
      </c>
      <c r="U6794" s="10">
        <v>6.7689999999999997E-5</v>
      </c>
      <c r="V6794" s="25"/>
      <c r="W6794" s="25"/>
      <c r="X6794" s="25"/>
      <c r="Y6794" s="25"/>
      <c r="Z6794" s="25"/>
      <c r="AA6794" s="25"/>
    </row>
    <row r="6795" spans="1:27" x14ac:dyDescent="0.35">
      <c r="A6795" s="5">
        <v>6791</v>
      </c>
      <c r="B6795" s="5">
        <v>283</v>
      </c>
      <c r="C6795" s="5">
        <v>10</v>
      </c>
      <c r="D6795" s="25">
        <v>1.1416E-4</v>
      </c>
      <c r="E6795" s="25">
        <v>1.1793E-4</v>
      </c>
      <c r="F6795" s="25">
        <v>1.0427E-4</v>
      </c>
      <c r="G6795" s="25">
        <v>5.4669999999999997E-5</v>
      </c>
      <c r="H6795" s="25">
        <v>6.4150000000000001E-5</v>
      </c>
      <c r="I6795" s="9">
        <v>1.0504E-4</v>
      </c>
      <c r="J6795" s="9">
        <v>9.9699999999999998E-5</v>
      </c>
      <c r="K6795" s="9">
        <v>2.12E-5</v>
      </c>
      <c r="L6795" s="9">
        <v>9.0179999999999994E-5</v>
      </c>
      <c r="M6795" s="9">
        <v>9.8820000000000006E-5</v>
      </c>
      <c r="N6795" s="9">
        <v>9.9690000000000003E-5</v>
      </c>
      <c r="O6795" s="9">
        <v>7.8430000000000006E-5</v>
      </c>
      <c r="P6795" s="9">
        <v>7.2630000000000001E-5</v>
      </c>
      <c r="Q6795" s="9">
        <v>6.7340000000000002E-5</v>
      </c>
      <c r="R6795" s="10">
        <v>1.8037493801533044E-4</v>
      </c>
      <c r="S6795" s="10">
        <v>1.4848884228237954E-4</v>
      </c>
      <c r="T6795" s="10">
        <v>0</v>
      </c>
      <c r="U6795" s="10">
        <v>6.7689999999999997E-5</v>
      </c>
      <c r="V6795" s="25"/>
      <c r="W6795" s="25"/>
      <c r="X6795" s="25"/>
      <c r="Y6795" s="25"/>
      <c r="Z6795" s="25"/>
      <c r="AA6795" s="25"/>
    </row>
    <row r="6796" spans="1:27" x14ac:dyDescent="0.35">
      <c r="A6796" s="5">
        <v>6792</v>
      </c>
      <c r="B6796" s="5">
        <v>283</v>
      </c>
      <c r="C6796" s="5">
        <v>10</v>
      </c>
      <c r="D6796" s="25">
        <v>1.1415000000000001E-4</v>
      </c>
      <c r="E6796" s="25">
        <v>1.1669E-4</v>
      </c>
      <c r="F6796" s="25">
        <v>9.4530000000000005E-5</v>
      </c>
      <c r="G6796" s="25">
        <v>5.8990000000000003E-5</v>
      </c>
      <c r="H6796" s="25">
        <v>7.5649999999999996E-5</v>
      </c>
      <c r="I6796" s="9">
        <v>9.7549999999999999E-5</v>
      </c>
      <c r="J6796" s="9">
        <v>9.3419999999999997E-5</v>
      </c>
      <c r="K6796" s="9">
        <v>3.3909999999999999E-5</v>
      </c>
      <c r="L6796" s="9">
        <v>8.1019999999999993E-5</v>
      </c>
      <c r="M6796" s="9">
        <v>8.6069999999999994E-5</v>
      </c>
      <c r="N6796" s="9">
        <v>9.0519999999999994E-5</v>
      </c>
      <c r="O6796" s="9">
        <v>6.3219999999999994E-5</v>
      </c>
      <c r="P6796" s="9">
        <v>6.1110000000000003E-5</v>
      </c>
      <c r="Q6796" s="9">
        <v>5.9290000000000003E-5</v>
      </c>
      <c r="R6796" s="10">
        <v>1.8256366342051935E-4</v>
      </c>
      <c r="S6796" s="10">
        <v>1.515576213925852E-4</v>
      </c>
      <c r="T6796" s="10">
        <v>0</v>
      </c>
      <c r="U6796" s="10">
        <v>6.7689999999999997E-5</v>
      </c>
      <c r="V6796" s="25"/>
      <c r="W6796" s="25"/>
      <c r="X6796" s="25"/>
      <c r="Y6796" s="25"/>
      <c r="Z6796" s="25"/>
      <c r="AA6796" s="25"/>
    </row>
    <row r="6797" spans="1:27" x14ac:dyDescent="0.35">
      <c r="A6797" s="5">
        <v>6793</v>
      </c>
      <c r="B6797" s="5">
        <v>284</v>
      </c>
      <c r="C6797" s="5">
        <v>10</v>
      </c>
      <c r="D6797" s="25">
        <v>1.1416E-4</v>
      </c>
      <c r="E6797" s="25">
        <v>1.1017E-4</v>
      </c>
      <c r="F6797" s="25">
        <v>9.2349999999999995E-5</v>
      </c>
      <c r="G6797" s="25">
        <v>6.1110000000000003E-5</v>
      </c>
      <c r="H6797" s="25">
        <v>7.4999999999999993E-5</v>
      </c>
      <c r="I6797" s="9">
        <v>9.323E-5</v>
      </c>
      <c r="J6797" s="9">
        <v>8.9850000000000002E-5</v>
      </c>
      <c r="K6797" s="9">
        <v>4.6629999999999999E-5</v>
      </c>
      <c r="L6797" s="9">
        <v>6.711E-5</v>
      </c>
      <c r="M6797" s="9">
        <v>7.4179999999999998E-5</v>
      </c>
      <c r="N6797" s="9">
        <v>8.1230000000000007E-5</v>
      </c>
      <c r="O6797" s="9">
        <v>5.486E-5</v>
      </c>
      <c r="P6797" s="9">
        <v>5.427E-5</v>
      </c>
      <c r="Q6797" s="9">
        <v>5.3850000000000001E-5</v>
      </c>
      <c r="R6797" s="10">
        <v>1.6744670959011561E-4</v>
      </c>
      <c r="S6797" s="10">
        <v>1.3570242774288909E-4</v>
      </c>
      <c r="T6797" s="10">
        <v>0</v>
      </c>
      <c r="U6797" s="10">
        <v>6.7260000000000003E-5</v>
      </c>
      <c r="V6797" s="25"/>
      <c r="W6797" s="25"/>
      <c r="X6797" s="25"/>
      <c r="Y6797" s="25"/>
      <c r="Z6797" s="25"/>
      <c r="AA6797" s="25"/>
    </row>
    <row r="6798" spans="1:27" x14ac:dyDescent="0.35">
      <c r="A6798" s="5">
        <v>6794</v>
      </c>
      <c r="B6798" s="5">
        <v>284</v>
      </c>
      <c r="C6798" s="5">
        <v>10</v>
      </c>
      <c r="D6798" s="25">
        <v>1.1415000000000001E-4</v>
      </c>
      <c r="E6798" s="25">
        <v>1.1417E-4</v>
      </c>
      <c r="F6798" s="25">
        <v>1.0726999999999999E-4</v>
      </c>
      <c r="G6798" s="25">
        <v>6.0560000000000003E-5</v>
      </c>
      <c r="H6798" s="25">
        <v>6.3040000000000006E-5</v>
      </c>
      <c r="I6798" s="9">
        <v>9.0820000000000001E-5</v>
      </c>
      <c r="J6798" s="9">
        <v>8.8460000000000003E-5</v>
      </c>
      <c r="K6798" s="9">
        <v>5.2989999999999999E-5</v>
      </c>
      <c r="L6798" s="9">
        <v>5.7930000000000003E-5</v>
      </c>
      <c r="M6798" s="9">
        <v>6.4200000000000002E-5</v>
      </c>
      <c r="N6798" s="9">
        <v>7.2200000000000007E-5</v>
      </c>
      <c r="O6798" s="9">
        <v>1.8709999999999999E-5</v>
      </c>
      <c r="P6798" s="9">
        <v>3.7660000000000002E-5</v>
      </c>
      <c r="Q6798" s="9">
        <v>5.6039999999999999E-5</v>
      </c>
      <c r="R6798" s="10">
        <v>1.6190002044382291E-4</v>
      </c>
      <c r="S6798" s="10">
        <v>1.2094600734699761E-4</v>
      </c>
      <c r="T6798" s="10">
        <v>0</v>
      </c>
      <c r="U6798" s="10">
        <v>6.7260000000000003E-5</v>
      </c>
      <c r="V6798" s="25"/>
      <c r="W6798" s="25"/>
      <c r="X6798" s="25"/>
      <c r="Y6798" s="25"/>
      <c r="Z6798" s="25"/>
      <c r="AA6798" s="25"/>
    </row>
    <row r="6799" spans="1:27" x14ac:dyDescent="0.35">
      <c r="A6799" s="5">
        <v>6795</v>
      </c>
      <c r="B6799" s="5">
        <v>284</v>
      </c>
      <c r="C6799" s="5">
        <v>10</v>
      </c>
      <c r="D6799" s="25">
        <v>1.1416E-4</v>
      </c>
      <c r="E6799" s="25">
        <v>1.1304E-4</v>
      </c>
      <c r="F6799" s="25">
        <v>1.0862E-4</v>
      </c>
      <c r="G6799" s="25">
        <v>6.029E-5</v>
      </c>
      <c r="H6799" s="25">
        <v>6.7819999999999998E-5</v>
      </c>
      <c r="I6799" s="9">
        <v>8.9950000000000004E-5</v>
      </c>
      <c r="J6799" s="9">
        <v>8.8360000000000001E-5</v>
      </c>
      <c r="K6799" s="9">
        <v>6.1470000000000006E-5</v>
      </c>
      <c r="L6799" s="9">
        <v>2.7549999999999999E-5</v>
      </c>
      <c r="M6799" s="9">
        <v>5.236E-5</v>
      </c>
      <c r="N6799" s="9">
        <v>6.5610000000000004E-5</v>
      </c>
      <c r="O6799" s="9">
        <v>1.3329999999999999E-5</v>
      </c>
      <c r="P6799" s="9">
        <v>3.7939999999999999E-5</v>
      </c>
      <c r="Q6799" s="9">
        <v>6.1840000000000004E-5</v>
      </c>
      <c r="R6799" s="10">
        <v>1.6461032846916374E-4</v>
      </c>
      <c r="S6799" s="10">
        <v>1.1602195788514653E-4</v>
      </c>
      <c r="T6799" s="10">
        <v>0</v>
      </c>
      <c r="U6799" s="10">
        <v>6.7260000000000003E-5</v>
      </c>
      <c r="V6799" s="25"/>
      <c r="W6799" s="25"/>
      <c r="X6799" s="25"/>
      <c r="Y6799" s="25"/>
      <c r="Z6799" s="25"/>
      <c r="AA6799" s="25"/>
    </row>
    <row r="6800" spans="1:27" x14ac:dyDescent="0.35">
      <c r="A6800" s="5">
        <v>6796</v>
      </c>
      <c r="B6800" s="5">
        <v>284</v>
      </c>
      <c r="C6800" s="5">
        <v>10</v>
      </c>
      <c r="D6800" s="25">
        <v>1.1415000000000001E-4</v>
      </c>
      <c r="E6800" s="25">
        <v>1.1177E-4</v>
      </c>
      <c r="F6800" s="25">
        <v>9.8759999999999996E-5</v>
      </c>
      <c r="G6800" s="25">
        <v>5.5909999999999998E-5</v>
      </c>
      <c r="H6800" s="25">
        <v>7.0480000000000003E-5</v>
      </c>
      <c r="I6800" s="9">
        <v>9.1940000000000004E-5</v>
      </c>
      <c r="J6800" s="9">
        <v>8.9060000000000005E-5</v>
      </c>
      <c r="K6800" s="9">
        <v>6.7819999999999998E-5</v>
      </c>
      <c r="L6800" s="9">
        <v>1.721E-5</v>
      </c>
      <c r="M6800" s="9">
        <v>4.4329999999999997E-5</v>
      </c>
      <c r="N6800" s="9">
        <v>6.2089999999999997E-5</v>
      </c>
      <c r="O6800" s="9">
        <v>1.3360000000000001E-5</v>
      </c>
      <c r="P6800" s="9">
        <v>4.7540000000000002E-5</v>
      </c>
      <c r="Q6800" s="9">
        <v>8.0859999999999995E-5</v>
      </c>
      <c r="R6800" s="10">
        <v>1.6627709707917905E-4</v>
      </c>
      <c r="S6800" s="10">
        <v>1.1221694664616753E-4</v>
      </c>
      <c r="T6800" s="10">
        <v>0</v>
      </c>
      <c r="U6800" s="10">
        <v>6.7260000000000003E-5</v>
      </c>
      <c r="V6800" s="25"/>
      <c r="W6800" s="25"/>
      <c r="X6800" s="25"/>
      <c r="Y6800" s="25"/>
      <c r="Z6800" s="25"/>
      <c r="AA6800" s="25"/>
    </row>
    <row r="6801" spans="1:27" x14ac:dyDescent="0.35">
      <c r="A6801" s="5">
        <v>6797</v>
      </c>
      <c r="B6801" s="5">
        <v>284</v>
      </c>
      <c r="C6801" s="5">
        <v>10</v>
      </c>
      <c r="D6801" s="25">
        <v>1.1416E-4</v>
      </c>
      <c r="E6801" s="25">
        <v>1.1618E-4</v>
      </c>
      <c r="F6801" s="25">
        <v>9.6609999999999998E-5</v>
      </c>
      <c r="G6801" s="25">
        <v>5.817E-5</v>
      </c>
      <c r="H6801" s="25">
        <v>6.5640000000000002E-5</v>
      </c>
      <c r="I6801" s="9">
        <v>9.8549999999999997E-5</v>
      </c>
      <c r="J6801" s="9">
        <v>9.2079999999999999E-5</v>
      </c>
      <c r="K6801" s="9">
        <v>6.7819999999999998E-5</v>
      </c>
      <c r="L6801" s="9">
        <v>1.4450000000000001E-5</v>
      </c>
      <c r="M6801" s="9">
        <v>4.3689999999999997E-5</v>
      </c>
      <c r="N6801" s="9">
        <v>6.4700000000000001E-5</v>
      </c>
      <c r="O6801" s="9">
        <v>1.8660000000000001E-5</v>
      </c>
      <c r="P6801" s="9">
        <v>5.6320000000000003E-5</v>
      </c>
      <c r="Q6801" s="9">
        <v>9.3129999999999998E-5</v>
      </c>
      <c r="R6801" s="10">
        <v>1.699006015241371E-4</v>
      </c>
      <c r="S6801" s="10">
        <v>1.1648831459415391E-4</v>
      </c>
      <c r="T6801" s="10">
        <v>0</v>
      </c>
      <c r="U6801" s="10">
        <v>6.7260000000000003E-5</v>
      </c>
      <c r="V6801" s="25"/>
      <c r="W6801" s="25"/>
      <c r="X6801" s="25"/>
      <c r="Y6801" s="25"/>
      <c r="Z6801" s="25"/>
      <c r="AA6801" s="25"/>
    </row>
    <row r="6802" spans="1:27" x14ac:dyDescent="0.35">
      <c r="A6802" s="5">
        <v>6798</v>
      </c>
      <c r="B6802" s="5">
        <v>284</v>
      </c>
      <c r="C6802" s="5">
        <v>10</v>
      </c>
      <c r="D6802" s="25">
        <v>1.1415000000000001E-4</v>
      </c>
      <c r="E6802" s="25">
        <v>1.1298000000000001E-4</v>
      </c>
      <c r="F6802" s="25">
        <v>1.0944E-4</v>
      </c>
      <c r="G6802" s="25">
        <v>1.1145E-4</v>
      </c>
      <c r="H6802" s="25">
        <v>1.3444999999999999E-4</v>
      </c>
      <c r="I6802" s="9">
        <v>1.1367E-4</v>
      </c>
      <c r="J6802" s="9">
        <v>1.0232E-4</v>
      </c>
      <c r="K6802" s="9">
        <v>7.6299999999999998E-5</v>
      </c>
      <c r="L6802" s="9">
        <v>1.7600000000000001E-5</v>
      </c>
      <c r="M6802" s="9">
        <v>4.8430000000000002E-5</v>
      </c>
      <c r="N6802" s="9">
        <v>7.1099999999999994E-5</v>
      </c>
      <c r="O6802" s="9">
        <v>4.5840000000000002E-5</v>
      </c>
      <c r="P6802" s="9">
        <v>7.6160000000000003E-5</v>
      </c>
      <c r="Q6802" s="9">
        <v>1.0605E-4</v>
      </c>
      <c r="R6802" s="10">
        <v>1.7408048767719882E-4</v>
      </c>
      <c r="S6802" s="10">
        <v>1.277920242469077E-4</v>
      </c>
      <c r="T6802" s="10">
        <v>0</v>
      </c>
      <c r="U6802" s="10">
        <v>6.7260000000000003E-5</v>
      </c>
      <c r="V6802" s="25"/>
      <c r="W6802" s="25"/>
      <c r="X6802" s="25"/>
      <c r="Y6802" s="25"/>
      <c r="Z6802" s="25"/>
      <c r="AA6802" s="25"/>
    </row>
    <row r="6803" spans="1:27" x14ac:dyDescent="0.35">
      <c r="A6803" s="5">
        <v>6799</v>
      </c>
      <c r="B6803" s="5">
        <v>284</v>
      </c>
      <c r="C6803" s="5">
        <v>10</v>
      </c>
      <c r="D6803" s="25">
        <v>1.1416E-4</v>
      </c>
      <c r="E6803" s="25">
        <v>1.1592E-4</v>
      </c>
      <c r="F6803" s="25">
        <v>1.1357E-4</v>
      </c>
      <c r="G6803" s="25">
        <v>1.1372E-4</v>
      </c>
      <c r="H6803" s="25">
        <v>1.3229999999999999E-4</v>
      </c>
      <c r="I6803" s="9">
        <v>1.2657E-4</v>
      </c>
      <c r="J6803" s="9">
        <v>1.1985E-4</v>
      </c>
      <c r="K6803" s="9">
        <v>6.5699999999999998E-5</v>
      </c>
      <c r="L6803" s="9">
        <v>3.9490000000000003E-5</v>
      </c>
      <c r="M6803" s="9">
        <v>5.9740000000000001E-5</v>
      </c>
      <c r="N6803" s="9">
        <v>8.0550000000000006E-5</v>
      </c>
      <c r="O6803" s="9">
        <v>1.2255E-4</v>
      </c>
      <c r="P6803" s="9">
        <v>1.1662E-4</v>
      </c>
      <c r="Q6803" s="9">
        <v>1.1171E-4</v>
      </c>
      <c r="R6803" s="10">
        <v>1.7943873052727672E-4</v>
      </c>
      <c r="S6803" s="10">
        <v>1.3962073953754624E-4</v>
      </c>
      <c r="T6803" s="10">
        <v>0</v>
      </c>
      <c r="U6803" s="10">
        <v>6.7260000000000003E-5</v>
      </c>
      <c r="V6803" s="25"/>
      <c r="W6803" s="25"/>
      <c r="X6803" s="25"/>
      <c r="Y6803" s="25"/>
      <c r="Z6803" s="25"/>
      <c r="AA6803" s="25"/>
    </row>
    <row r="6804" spans="1:27" x14ac:dyDescent="0.35">
      <c r="A6804" s="5">
        <v>6800</v>
      </c>
      <c r="B6804" s="5">
        <v>284</v>
      </c>
      <c r="C6804" s="5">
        <v>10</v>
      </c>
      <c r="D6804" s="25">
        <v>1.1415000000000001E-4</v>
      </c>
      <c r="E6804" s="25">
        <v>1.1309E-4</v>
      </c>
      <c r="F6804" s="25">
        <v>9.8830000000000001E-5</v>
      </c>
      <c r="G6804" s="25">
        <v>1.6191E-4</v>
      </c>
      <c r="H6804" s="25">
        <v>1.9389E-4</v>
      </c>
      <c r="I6804" s="9">
        <v>1.283E-4</v>
      </c>
      <c r="J6804" s="9">
        <v>1.3086E-4</v>
      </c>
      <c r="K6804" s="9">
        <v>2.756E-5</v>
      </c>
      <c r="L6804" s="9">
        <v>1.0367E-4</v>
      </c>
      <c r="M6804" s="9">
        <v>8.3129999999999999E-5</v>
      </c>
      <c r="N6804" s="9">
        <v>9.0470000000000006E-5</v>
      </c>
      <c r="O6804" s="9">
        <v>2.1940999999999999E-4</v>
      </c>
      <c r="P6804" s="9">
        <v>1.7652999999999999E-4</v>
      </c>
      <c r="Q6804" s="9">
        <v>1.3637E-4</v>
      </c>
      <c r="R6804" s="10">
        <v>1.8944149026911317E-4</v>
      </c>
      <c r="S6804" s="10">
        <v>1.5793176702594896E-4</v>
      </c>
      <c r="T6804" s="10">
        <v>1.7295244225265521E-4</v>
      </c>
      <c r="U6804" s="10">
        <v>6.7260000000000003E-5</v>
      </c>
      <c r="V6804" s="25"/>
      <c r="W6804" s="25"/>
      <c r="X6804" s="25"/>
      <c r="Y6804" s="25"/>
      <c r="Z6804" s="25"/>
      <c r="AA6804" s="25"/>
    </row>
    <row r="6805" spans="1:27" x14ac:dyDescent="0.35">
      <c r="A6805" s="5">
        <v>6801</v>
      </c>
      <c r="B6805" s="5">
        <v>284</v>
      </c>
      <c r="C6805" s="5">
        <v>10</v>
      </c>
      <c r="D6805" s="25">
        <v>1.1416E-4</v>
      </c>
      <c r="E6805" s="25">
        <v>1.1031000000000001E-4</v>
      </c>
      <c r="F6805" s="25">
        <v>9.6730000000000004E-5</v>
      </c>
      <c r="G6805" s="25">
        <v>1.6452E-4</v>
      </c>
      <c r="H6805" s="25">
        <v>1.905E-4</v>
      </c>
      <c r="I6805" s="9">
        <v>1.3130999999999999E-4</v>
      </c>
      <c r="J6805" s="9">
        <v>1.3501999999999999E-4</v>
      </c>
      <c r="K6805" s="9">
        <v>8.49E-6</v>
      </c>
      <c r="L6805" s="9">
        <v>1.9218999999999999E-4</v>
      </c>
      <c r="M6805" s="9">
        <v>1.2281999999999999E-4</v>
      </c>
      <c r="N6805" s="9">
        <v>1.0414E-4</v>
      </c>
      <c r="O6805" s="9">
        <v>2.1246000000000001E-4</v>
      </c>
      <c r="P6805" s="9">
        <v>1.9388000000000001E-4</v>
      </c>
      <c r="Q6805" s="9">
        <v>1.7756E-4</v>
      </c>
      <c r="R6805" s="10">
        <v>1.9311755620605094E-4</v>
      </c>
      <c r="S6805" s="10">
        <v>1.7380068270560946E-4</v>
      </c>
      <c r="T6805" s="10">
        <v>3.6088815715766212E-4</v>
      </c>
      <c r="U6805" s="10">
        <v>6.7260000000000003E-5</v>
      </c>
      <c r="V6805" s="25"/>
      <c r="W6805" s="25"/>
      <c r="X6805" s="25"/>
      <c r="Y6805" s="25"/>
      <c r="Z6805" s="25"/>
      <c r="AA6805" s="25"/>
    </row>
    <row r="6806" spans="1:27" x14ac:dyDescent="0.35">
      <c r="A6806" s="5">
        <v>6802</v>
      </c>
      <c r="B6806" s="5">
        <v>284</v>
      </c>
      <c r="C6806" s="5">
        <v>10</v>
      </c>
      <c r="D6806" s="25">
        <v>1.1415000000000001E-4</v>
      </c>
      <c r="E6806" s="25">
        <v>1.1542E-4</v>
      </c>
      <c r="F6806" s="25">
        <v>1.0512E-4</v>
      </c>
      <c r="G6806" s="25">
        <v>1.6312E-4</v>
      </c>
      <c r="H6806" s="25">
        <v>1.9222E-4</v>
      </c>
      <c r="I6806" s="9">
        <v>1.3244E-4</v>
      </c>
      <c r="J6806" s="9">
        <v>1.3402999999999999E-4</v>
      </c>
      <c r="K6806" s="9">
        <v>0</v>
      </c>
      <c r="L6806" s="9">
        <v>2.0568E-4</v>
      </c>
      <c r="M6806" s="9">
        <v>1.5846999999999999E-4</v>
      </c>
      <c r="N6806" s="9">
        <v>1.2433999999999999E-4</v>
      </c>
      <c r="O6806" s="9">
        <v>1.683E-4</v>
      </c>
      <c r="P6806" s="9">
        <v>1.75E-4</v>
      </c>
      <c r="Q6806" s="9">
        <v>1.8304000000000001E-4</v>
      </c>
      <c r="R6806" s="10">
        <v>1.7952287933439286E-4</v>
      </c>
      <c r="S6806" s="10">
        <v>1.8175519787839013E-4</v>
      </c>
      <c r="T6806" s="10">
        <v>5.4176493500335038E-4</v>
      </c>
      <c r="U6806" s="10">
        <v>6.7260000000000003E-5</v>
      </c>
      <c r="V6806" s="25"/>
      <c r="W6806" s="25"/>
      <c r="X6806" s="25"/>
      <c r="Y6806" s="25"/>
      <c r="Z6806" s="25"/>
      <c r="AA6806" s="25"/>
    </row>
    <row r="6807" spans="1:27" x14ac:dyDescent="0.35">
      <c r="A6807" s="5">
        <v>6803</v>
      </c>
      <c r="B6807" s="5">
        <v>284</v>
      </c>
      <c r="C6807" s="5">
        <v>10</v>
      </c>
      <c r="D6807" s="25">
        <v>1.1416E-4</v>
      </c>
      <c r="E6807" s="25">
        <v>1.1566E-4</v>
      </c>
      <c r="F6807" s="25">
        <v>9.8999999999999994E-5</v>
      </c>
      <c r="G6807" s="25">
        <v>1.5957999999999999E-4</v>
      </c>
      <c r="H6807" s="25">
        <v>1.8923E-4</v>
      </c>
      <c r="I6807" s="9">
        <v>1.3244999999999999E-4</v>
      </c>
      <c r="J6807" s="9">
        <v>1.3218E-4</v>
      </c>
      <c r="K6807" s="9">
        <v>0</v>
      </c>
      <c r="L6807" s="9">
        <v>1.7657E-4</v>
      </c>
      <c r="M6807" s="9">
        <v>1.727E-4</v>
      </c>
      <c r="N6807" s="9">
        <v>1.427E-4</v>
      </c>
      <c r="O6807" s="9">
        <v>1.6728000000000001E-4</v>
      </c>
      <c r="P6807" s="9">
        <v>1.7259E-4</v>
      </c>
      <c r="Q6807" s="9">
        <v>1.7925999999999999E-4</v>
      </c>
      <c r="R6807" s="10">
        <v>1.7151611361642793E-4</v>
      </c>
      <c r="S6807" s="10">
        <v>1.8308261788634332E-4</v>
      </c>
      <c r="T6807" s="10">
        <v>6.3522797664452039E-4</v>
      </c>
      <c r="U6807" s="10">
        <v>6.7260000000000003E-5</v>
      </c>
      <c r="V6807" s="25"/>
      <c r="W6807" s="25"/>
      <c r="X6807" s="25"/>
      <c r="Y6807" s="25"/>
      <c r="Z6807" s="25"/>
      <c r="AA6807" s="25"/>
    </row>
    <row r="6808" spans="1:27" x14ac:dyDescent="0.35">
      <c r="A6808" s="5">
        <v>6804</v>
      </c>
      <c r="B6808" s="5">
        <v>284</v>
      </c>
      <c r="C6808" s="5">
        <v>10</v>
      </c>
      <c r="D6808" s="25">
        <v>1.1415000000000001E-4</v>
      </c>
      <c r="E6808" s="25">
        <v>1.145E-4</v>
      </c>
      <c r="F6808" s="25">
        <v>1.0836E-4</v>
      </c>
      <c r="G6808" s="25">
        <v>1.6044E-4</v>
      </c>
      <c r="H6808" s="25">
        <v>1.9254999999999999E-4</v>
      </c>
      <c r="I6808" s="9">
        <v>1.2789999999999999E-4</v>
      </c>
      <c r="J6808" s="9">
        <v>1.292E-4</v>
      </c>
      <c r="K6808" s="9">
        <v>0</v>
      </c>
      <c r="L6808" s="9">
        <v>1.7074000000000001E-4</v>
      </c>
      <c r="M6808" s="9">
        <v>1.751E-4</v>
      </c>
      <c r="N6808" s="9">
        <v>1.5679999999999999E-4</v>
      </c>
      <c r="O6808" s="9">
        <v>1.6896000000000001E-4</v>
      </c>
      <c r="P6808" s="9">
        <v>1.7016000000000001E-4</v>
      </c>
      <c r="Q6808" s="9">
        <v>1.7280999999999999E-4</v>
      </c>
      <c r="R6808" s="10">
        <v>1.3931678275266795E-4</v>
      </c>
      <c r="S6808" s="10">
        <v>1.8266312816019175E-4</v>
      </c>
      <c r="T6808" s="10">
        <v>6.6602598328553773E-4</v>
      </c>
      <c r="U6808" s="10">
        <v>6.7260000000000003E-5</v>
      </c>
      <c r="V6808" s="25"/>
      <c r="W6808" s="25"/>
      <c r="X6808" s="25"/>
      <c r="Y6808" s="25"/>
      <c r="Z6808" s="25"/>
      <c r="AA6808" s="25"/>
    </row>
    <row r="6809" spans="1:27" x14ac:dyDescent="0.35">
      <c r="A6809" s="5">
        <v>6805</v>
      </c>
      <c r="B6809" s="5">
        <v>284</v>
      </c>
      <c r="C6809" s="5">
        <v>10</v>
      </c>
      <c r="D6809" s="25">
        <v>1.1416E-4</v>
      </c>
      <c r="E6809" s="25">
        <v>1.0822E-4</v>
      </c>
      <c r="F6809" s="25">
        <v>1.0456E-4</v>
      </c>
      <c r="G6809" s="25">
        <v>1.6176999999999999E-4</v>
      </c>
      <c r="H6809" s="25">
        <v>1.986E-4</v>
      </c>
      <c r="I6809" s="9">
        <v>1.2771000000000001E-4</v>
      </c>
      <c r="J6809" s="9">
        <v>1.2810999999999999E-4</v>
      </c>
      <c r="K6809" s="9">
        <v>0</v>
      </c>
      <c r="L6809" s="9">
        <v>1.6955E-4</v>
      </c>
      <c r="M6809" s="9">
        <v>1.7343E-4</v>
      </c>
      <c r="N6809" s="9">
        <v>1.6603000000000001E-4</v>
      </c>
      <c r="O6809" s="9">
        <v>1.6181E-4</v>
      </c>
      <c r="P6809" s="9">
        <v>1.6385E-4</v>
      </c>
      <c r="Q6809" s="9">
        <v>1.6725E-4</v>
      </c>
      <c r="R6809" s="10">
        <v>1.2957491420912336E-4</v>
      </c>
      <c r="S6809" s="10">
        <v>1.7857274546699854E-4</v>
      </c>
      <c r="T6809" s="10">
        <v>6.5378313932328209E-4</v>
      </c>
      <c r="U6809" s="10">
        <v>6.7260000000000003E-5</v>
      </c>
      <c r="V6809" s="25"/>
      <c r="W6809" s="25"/>
      <c r="X6809" s="25"/>
      <c r="Y6809" s="25"/>
      <c r="Z6809" s="25"/>
      <c r="AA6809" s="25"/>
    </row>
    <row r="6810" spans="1:27" x14ac:dyDescent="0.35">
      <c r="A6810" s="5">
        <v>6806</v>
      </c>
      <c r="B6810" s="5">
        <v>284</v>
      </c>
      <c r="C6810" s="5">
        <v>10</v>
      </c>
      <c r="D6810" s="25">
        <v>1.1415000000000001E-4</v>
      </c>
      <c r="E6810" s="25">
        <v>1.1254E-4</v>
      </c>
      <c r="F6810" s="25">
        <v>1.1383999999999999E-4</v>
      </c>
      <c r="G6810" s="25">
        <v>1.5749000000000001E-4</v>
      </c>
      <c r="H6810" s="25">
        <v>1.9026000000000001E-4</v>
      </c>
      <c r="I6810" s="9">
        <v>1.2658999999999999E-4</v>
      </c>
      <c r="J6810" s="9">
        <v>1.2894E-4</v>
      </c>
      <c r="K6810" s="9">
        <v>0</v>
      </c>
      <c r="L6810" s="9">
        <v>1.6328999999999999E-4</v>
      </c>
      <c r="M6810" s="9">
        <v>1.6950999999999999E-4</v>
      </c>
      <c r="N6810" s="9">
        <v>1.7033E-4</v>
      </c>
      <c r="O6810" s="9">
        <v>1.7945E-4</v>
      </c>
      <c r="P6810" s="9">
        <v>1.6964000000000001E-4</v>
      </c>
      <c r="Q6810" s="9">
        <v>1.6158000000000001E-4</v>
      </c>
      <c r="R6810" s="10">
        <v>1.2758823845220968E-4</v>
      </c>
      <c r="S6810" s="10">
        <v>1.7075672029121821E-4</v>
      </c>
      <c r="T6810" s="10">
        <v>5.7896010335437519E-4</v>
      </c>
      <c r="U6810" s="10">
        <v>6.7260000000000003E-5</v>
      </c>
      <c r="V6810" s="25"/>
      <c r="W6810" s="25"/>
      <c r="X6810" s="25"/>
      <c r="Y6810" s="25"/>
      <c r="Z6810" s="25"/>
      <c r="AA6810" s="25"/>
    </row>
    <row r="6811" spans="1:27" x14ac:dyDescent="0.35">
      <c r="A6811" s="5">
        <v>6807</v>
      </c>
      <c r="B6811" s="5">
        <v>284</v>
      </c>
      <c r="C6811" s="5">
        <v>10</v>
      </c>
      <c r="D6811" s="25">
        <v>1.1416E-4</v>
      </c>
      <c r="E6811" s="25">
        <v>1.0734E-4</v>
      </c>
      <c r="F6811" s="25">
        <v>9.7780000000000002E-5</v>
      </c>
      <c r="G6811" s="25">
        <v>1.6106000000000001E-4</v>
      </c>
      <c r="H6811" s="25">
        <v>1.9909999999999999E-4</v>
      </c>
      <c r="I6811" s="9">
        <v>1.2645000000000001E-4</v>
      </c>
      <c r="J6811" s="9">
        <v>1.2915E-4</v>
      </c>
      <c r="K6811" s="9">
        <v>0</v>
      </c>
      <c r="L6811" s="9">
        <v>1.7603000000000001E-4</v>
      </c>
      <c r="M6811" s="9">
        <v>1.6846999999999999E-4</v>
      </c>
      <c r="N6811" s="9">
        <v>1.7001000000000001E-4</v>
      </c>
      <c r="O6811" s="9">
        <v>1.8316E-4</v>
      </c>
      <c r="P6811" s="9">
        <v>1.6663E-4</v>
      </c>
      <c r="Q6811" s="9">
        <v>1.5199000000000001E-4</v>
      </c>
      <c r="R6811" s="10">
        <v>1.3232884919574665E-4</v>
      </c>
      <c r="S6811" s="10">
        <v>1.6096538630579516E-4</v>
      </c>
      <c r="T6811" s="10">
        <v>4.6832483982851679E-4</v>
      </c>
      <c r="U6811" s="10">
        <v>6.7260000000000003E-5</v>
      </c>
      <c r="V6811" s="25"/>
      <c r="W6811" s="25"/>
      <c r="X6811" s="25"/>
      <c r="Y6811" s="25"/>
      <c r="Z6811" s="25"/>
      <c r="AA6811" s="25"/>
    </row>
    <row r="6812" spans="1:27" x14ac:dyDescent="0.35">
      <c r="A6812" s="5">
        <v>6808</v>
      </c>
      <c r="B6812" s="5">
        <v>284</v>
      </c>
      <c r="C6812" s="5">
        <v>10</v>
      </c>
      <c r="D6812" s="25">
        <v>1.1415000000000001E-4</v>
      </c>
      <c r="E6812" s="25">
        <v>1.132E-4</v>
      </c>
      <c r="F6812" s="25">
        <v>1.0253E-4</v>
      </c>
      <c r="G6812" s="25">
        <v>1.5907000000000001E-4</v>
      </c>
      <c r="H6812" s="25">
        <v>1.9207999999999999E-4</v>
      </c>
      <c r="I6812" s="9">
        <v>1.2601999999999999E-4</v>
      </c>
      <c r="J6812" s="9">
        <v>1.3033000000000001E-4</v>
      </c>
      <c r="K6812" s="9">
        <v>0</v>
      </c>
      <c r="L6812" s="9">
        <v>1.8124999999999999E-4</v>
      </c>
      <c r="M6812" s="9">
        <v>1.6763999999999999E-4</v>
      </c>
      <c r="N6812" s="9">
        <v>1.6598000000000001E-4</v>
      </c>
      <c r="O6812" s="9">
        <v>1.9631E-4</v>
      </c>
      <c r="P6812" s="9">
        <v>1.5140999999999999E-4</v>
      </c>
      <c r="Q6812" s="9">
        <v>1.0901E-4</v>
      </c>
      <c r="R6812" s="10">
        <v>1.4405945525890597E-4</v>
      </c>
      <c r="S6812" s="10">
        <v>1.6332566740248004E-4</v>
      </c>
      <c r="T6812" s="10">
        <v>2.870323313146715E-4</v>
      </c>
      <c r="U6812" s="10">
        <v>6.7260000000000003E-5</v>
      </c>
      <c r="V6812" s="25"/>
      <c r="W6812" s="25"/>
      <c r="X6812" s="25"/>
      <c r="Y6812" s="25"/>
      <c r="Z6812" s="25"/>
      <c r="AA6812" s="25"/>
    </row>
    <row r="6813" spans="1:27" x14ac:dyDescent="0.35">
      <c r="A6813" s="5">
        <v>6809</v>
      </c>
      <c r="B6813" s="5">
        <v>284</v>
      </c>
      <c r="C6813" s="5">
        <v>10</v>
      </c>
      <c r="D6813" s="25">
        <v>1.1416E-4</v>
      </c>
      <c r="E6813" s="25">
        <v>1.1483E-4</v>
      </c>
      <c r="F6813" s="25">
        <v>1.0915E-4</v>
      </c>
      <c r="G6813" s="25">
        <v>1.6468E-4</v>
      </c>
      <c r="H6813" s="25">
        <v>1.9068000000000001E-4</v>
      </c>
      <c r="I6813" s="9">
        <v>1.2907000000000001E-4</v>
      </c>
      <c r="J6813" s="9">
        <v>1.3307E-4</v>
      </c>
      <c r="K6813" s="9">
        <v>0</v>
      </c>
      <c r="L6813" s="9">
        <v>1.928E-4</v>
      </c>
      <c r="M6813" s="9">
        <v>1.6166999999999999E-4</v>
      </c>
      <c r="N6813" s="9">
        <v>1.5212E-4</v>
      </c>
      <c r="O6813" s="9">
        <v>2.1274E-4</v>
      </c>
      <c r="P6813" s="9">
        <v>1.5814E-4</v>
      </c>
      <c r="Q6813" s="9">
        <v>1.0637E-4</v>
      </c>
      <c r="R6813" s="10">
        <v>1.464243471497699E-4</v>
      </c>
      <c r="S6813" s="10">
        <v>1.6984703173903619E-4</v>
      </c>
      <c r="T6813" s="10">
        <v>7.7079859596044761E-5</v>
      </c>
      <c r="U6813" s="10">
        <v>6.7260000000000003E-5</v>
      </c>
      <c r="V6813" s="25"/>
      <c r="W6813" s="25"/>
      <c r="X6813" s="25"/>
      <c r="Y6813" s="25"/>
      <c r="Z6813" s="25"/>
      <c r="AA6813" s="25"/>
    </row>
    <row r="6814" spans="1:27" x14ac:dyDescent="0.35">
      <c r="A6814" s="5">
        <v>6810</v>
      </c>
      <c r="B6814" s="5">
        <v>284</v>
      </c>
      <c r="C6814" s="5">
        <v>10</v>
      </c>
      <c r="D6814" s="25">
        <v>1.1415000000000001E-4</v>
      </c>
      <c r="E6814" s="25">
        <v>1.1029E-4</v>
      </c>
      <c r="F6814" s="25">
        <v>1.0949E-4</v>
      </c>
      <c r="G6814" s="25">
        <v>1.661E-4</v>
      </c>
      <c r="H6814" s="25">
        <v>1.8976E-4</v>
      </c>
      <c r="I6814" s="9">
        <v>1.3185000000000001E-4</v>
      </c>
      <c r="J6814" s="9">
        <v>1.3166E-4</v>
      </c>
      <c r="K6814" s="9">
        <v>0</v>
      </c>
      <c r="L6814" s="9">
        <v>2.0813E-4</v>
      </c>
      <c r="M6814" s="9">
        <v>1.5875000000000001E-4</v>
      </c>
      <c r="N6814" s="9">
        <v>1.3867E-4</v>
      </c>
      <c r="O6814" s="9">
        <v>2.0788E-4</v>
      </c>
      <c r="P6814" s="9">
        <v>1.6207999999999999E-4</v>
      </c>
      <c r="Q6814" s="9">
        <v>1.1892000000000001E-4</v>
      </c>
      <c r="R6814" s="10">
        <v>1.6072394302243283E-4</v>
      </c>
      <c r="S6814" s="10">
        <v>1.7552837288083953E-4</v>
      </c>
      <c r="T6814" s="10">
        <v>0</v>
      </c>
      <c r="U6814" s="10">
        <v>6.7260000000000003E-5</v>
      </c>
      <c r="V6814" s="25"/>
      <c r="W6814" s="25"/>
      <c r="X6814" s="25"/>
      <c r="Y6814" s="25"/>
      <c r="Z6814" s="25"/>
      <c r="AA6814" s="25"/>
    </row>
    <row r="6815" spans="1:27" x14ac:dyDescent="0.35">
      <c r="A6815" s="5">
        <v>6811</v>
      </c>
      <c r="B6815" s="5">
        <v>284</v>
      </c>
      <c r="C6815" s="5">
        <v>10</v>
      </c>
      <c r="D6815" s="25">
        <v>1.1416E-4</v>
      </c>
      <c r="E6815" s="25">
        <v>1.1336E-4</v>
      </c>
      <c r="F6815" s="25">
        <v>1.093E-4</v>
      </c>
      <c r="G6815" s="25">
        <v>1.1247999999999999E-4</v>
      </c>
      <c r="H6815" s="25">
        <v>1.3343E-4</v>
      </c>
      <c r="I6815" s="9">
        <v>1.3525000000000001E-4</v>
      </c>
      <c r="J6815" s="9">
        <v>1.3468E-4</v>
      </c>
      <c r="K6815" s="9">
        <v>0</v>
      </c>
      <c r="L6815" s="9">
        <v>2.0752999999999999E-4</v>
      </c>
      <c r="M6815" s="9">
        <v>1.5935999999999999E-4</v>
      </c>
      <c r="N6815" s="9">
        <v>1.2993E-4</v>
      </c>
      <c r="O6815" s="9">
        <v>1.6558999999999999E-4</v>
      </c>
      <c r="P6815" s="9">
        <v>1.3569999999999999E-4</v>
      </c>
      <c r="Q6815" s="9">
        <v>1.0771E-4</v>
      </c>
      <c r="R6815" s="10">
        <v>1.8255750208451117E-4</v>
      </c>
      <c r="S6815" s="10">
        <v>1.7775154846244934E-4</v>
      </c>
      <c r="T6815" s="10">
        <v>0</v>
      </c>
      <c r="U6815" s="10">
        <v>6.7260000000000003E-5</v>
      </c>
      <c r="V6815" s="25"/>
      <c r="W6815" s="25"/>
      <c r="X6815" s="25"/>
      <c r="Y6815" s="25"/>
      <c r="Z6815" s="25"/>
      <c r="AA6815" s="25"/>
    </row>
    <row r="6816" spans="1:27" x14ac:dyDescent="0.35">
      <c r="A6816" s="5">
        <v>6812</v>
      </c>
      <c r="B6816" s="5">
        <v>284</v>
      </c>
      <c r="C6816" s="5">
        <v>10</v>
      </c>
      <c r="D6816" s="25">
        <v>1.1415000000000001E-4</v>
      </c>
      <c r="E6816" s="25">
        <v>1.1341E-4</v>
      </c>
      <c r="F6816" s="25">
        <v>9.5459999999999997E-5</v>
      </c>
      <c r="G6816" s="25">
        <v>1.0987E-4</v>
      </c>
      <c r="H6816" s="25">
        <v>1.3081E-4</v>
      </c>
      <c r="I6816" s="9">
        <v>1.2986000000000001E-4</v>
      </c>
      <c r="J6816" s="9">
        <v>1.3322E-4</v>
      </c>
      <c r="K6816" s="9">
        <v>0</v>
      </c>
      <c r="L6816" s="9">
        <v>1.749E-4</v>
      </c>
      <c r="M6816" s="9">
        <v>1.5118999999999999E-4</v>
      </c>
      <c r="N6816" s="9">
        <v>1.21E-4</v>
      </c>
      <c r="O6816" s="9">
        <v>1.2952999999999999E-4</v>
      </c>
      <c r="P6816" s="9">
        <v>1.1527999999999999E-4</v>
      </c>
      <c r="Q6816" s="9">
        <v>1.0226E-4</v>
      </c>
      <c r="R6816" s="10">
        <v>1.9744229580943932E-4</v>
      </c>
      <c r="S6816" s="10">
        <v>1.8055525299386354E-4</v>
      </c>
      <c r="T6816" s="10">
        <v>0</v>
      </c>
      <c r="U6816" s="10">
        <v>6.7260000000000003E-5</v>
      </c>
      <c r="V6816" s="25"/>
      <c r="W6816" s="25"/>
      <c r="X6816" s="25"/>
      <c r="Y6816" s="25"/>
      <c r="Z6816" s="25"/>
      <c r="AA6816" s="25"/>
    </row>
    <row r="6817" spans="1:27" x14ac:dyDescent="0.35">
      <c r="A6817" s="5">
        <v>6813</v>
      </c>
      <c r="B6817" s="5">
        <v>284</v>
      </c>
      <c r="C6817" s="5">
        <v>10</v>
      </c>
      <c r="D6817" s="25">
        <v>1.1416E-4</v>
      </c>
      <c r="E6817" s="25">
        <v>1.1178E-4</v>
      </c>
      <c r="F6817" s="25">
        <v>1.131E-4</v>
      </c>
      <c r="G6817" s="25">
        <v>6.1309999999999994E-5</v>
      </c>
      <c r="H6817" s="25">
        <v>7.5749999999999998E-5</v>
      </c>
      <c r="I6817" s="9">
        <v>1.22E-4</v>
      </c>
      <c r="J6817" s="9">
        <v>1.2559E-4</v>
      </c>
      <c r="K6817" s="9">
        <v>1.484E-5</v>
      </c>
      <c r="L6817" s="9">
        <v>1.4051999999999999E-4</v>
      </c>
      <c r="M6817" s="9">
        <v>1.3594E-4</v>
      </c>
      <c r="N6817" s="9">
        <v>1.1345000000000001E-4</v>
      </c>
      <c r="O6817" s="9">
        <v>8.5049999999999994E-5</v>
      </c>
      <c r="P6817" s="9">
        <v>8.6580000000000001E-5</v>
      </c>
      <c r="Q6817" s="9">
        <v>8.8590000000000004E-5</v>
      </c>
      <c r="R6817" s="10">
        <v>2.0182133779556466E-4</v>
      </c>
      <c r="S6817" s="10">
        <v>1.8091954154336523E-4</v>
      </c>
      <c r="T6817" s="10">
        <v>0</v>
      </c>
      <c r="U6817" s="10">
        <v>6.7260000000000003E-5</v>
      </c>
      <c r="V6817" s="25"/>
      <c r="W6817" s="25"/>
      <c r="X6817" s="25"/>
      <c r="Y6817" s="25"/>
      <c r="Z6817" s="25"/>
      <c r="AA6817" s="25"/>
    </row>
    <row r="6818" spans="1:27" x14ac:dyDescent="0.35">
      <c r="A6818" s="5">
        <v>6814</v>
      </c>
      <c r="B6818" s="5">
        <v>284</v>
      </c>
      <c r="C6818" s="5">
        <v>10</v>
      </c>
      <c r="D6818" s="25">
        <v>1.1415000000000001E-4</v>
      </c>
      <c r="E6818" s="25">
        <v>1.1692E-4</v>
      </c>
      <c r="F6818" s="25">
        <v>9.3120000000000003E-5</v>
      </c>
      <c r="G6818" s="25">
        <v>6.1029999999999997E-5</v>
      </c>
      <c r="H6818" s="25">
        <v>6.6400000000000001E-5</v>
      </c>
      <c r="I6818" s="9">
        <v>1.183E-4</v>
      </c>
      <c r="J6818" s="9">
        <v>1.165E-4</v>
      </c>
      <c r="K6818" s="9">
        <v>3.3909999999999999E-5</v>
      </c>
      <c r="L6818" s="9">
        <v>9.8209999999999997E-5</v>
      </c>
      <c r="M6818" s="9">
        <v>1.1422E-4</v>
      </c>
      <c r="N6818" s="9">
        <v>1.0594000000000001E-4</v>
      </c>
      <c r="O6818" s="9">
        <v>8.6810000000000004E-5</v>
      </c>
      <c r="P6818" s="9">
        <v>8.6929999999999996E-5</v>
      </c>
      <c r="Q6818" s="9">
        <v>8.7570000000000004E-5</v>
      </c>
      <c r="R6818" s="10">
        <v>2.0147713049327459E-4</v>
      </c>
      <c r="S6818" s="10">
        <v>1.7932401662191402E-4</v>
      </c>
      <c r="T6818" s="10">
        <v>0</v>
      </c>
      <c r="U6818" s="10">
        <v>6.7260000000000003E-5</v>
      </c>
      <c r="V6818" s="25"/>
      <c r="W6818" s="25"/>
      <c r="X6818" s="25"/>
      <c r="Y6818" s="25"/>
      <c r="Z6818" s="25"/>
      <c r="AA6818" s="25"/>
    </row>
    <row r="6819" spans="1:27" x14ac:dyDescent="0.35">
      <c r="A6819" s="5">
        <v>6815</v>
      </c>
      <c r="B6819" s="5">
        <v>284</v>
      </c>
      <c r="C6819" s="5">
        <v>10</v>
      </c>
      <c r="D6819" s="25">
        <v>1.1416E-4</v>
      </c>
      <c r="E6819" s="25">
        <v>1.1137999999999999E-4</v>
      </c>
      <c r="F6819" s="25">
        <v>1.0438E-4</v>
      </c>
      <c r="G6819" s="25">
        <v>6.071E-5</v>
      </c>
      <c r="H6819" s="25">
        <v>6.6760000000000005E-5</v>
      </c>
      <c r="I6819" s="9">
        <v>1.1529E-4</v>
      </c>
      <c r="J6819" s="9">
        <v>1.0789999999999999E-4</v>
      </c>
      <c r="K6819" s="9">
        <v>4.2389999999999999E-5</v>
      </c>
      <c r="L6819" s="9">
        <v>9.0260000000000007E-5</v>
      </c>
      <c r="M6819" s="9">
        <v>9.9069999999999998E-5</v>
      </c>
      <c r="N6819" s="9">
        <v>9.9970000000000007E-5</v>
      </c>
      <c r="O6819" s="9">
        <v>7.7550000000000001E-5</v>
      </c>
      <c r="P6819" s="9">
        <v>7.1810000000000005E-5</v>
      </c>
      <c r="Q6819" s="9">
        <v>6.6589999999999998E-5</v>
      </c>
      <c r="R6819" s="10">
        <v>1.9784592043548029E-4</v>
      </c>
      <c r="S6819" s="10">
        <v>1.7502105430668898E-4</v>
      </c>
      <c r="T6819" s="10">
        <v>0</v>
      </c>
      <c r="U6819" s="10">
        <v>6.7260000000000003E-5</v>
      </c>
      <c r="V6819" s="25"/>
      <c r="W6819" s="25"/>
      <c r="X6819" s="25"/>
      <c r="Y6819" s="25"/>
      <c r="Z6819" s="25"/>
      <c r="AA6819" s="25"/>
    </row>
    <row r="6820" spans="1:27" x14ac:dyDescent="0.35">
      <c r="A6820" s="5">
        <v>6816</v>
      </c>
      <c r="B6820" s="5">
        <v>284</v>
      </c>
      <c r="C6820" s="5">
        <v>10</v>
      </c>
      <c r="D6820" s="25">
        <v>1.1415000000000001E-4</v>
      </c>
      <c r="E6820" s="25">
        <v>1.1331E-4</v>
      </c>
      <c r="F6820" s="25">
        <v>1.066E-4</v>
      </c>
      <c r="G6820" s="25">
        <v>6.1849999999999999E-5</v>
      </c>
      <c r="H6820" s="25">
        <v>7.5199999999999998E-5</v>
      </c>
      <c r="I6820" s="9">
        <v>1.069E-4</v>
      </c>
      <c r="J6820" s="9">
        <v>9.9699999999999998E-5</v>
      </c>
      <c r="K6820" s="9">
        <v>5.2989999999999999E-5</v>
      </c>
      <c r="L6820" s="9">
        <v>8.0350000000000001E-5</v>
      </c>
      <c r="M6820" s="9">
        <v>8.5900000000000001E-5</v>
      </c>
      <c r="N6820" s="9">
        <v>9.0569999999999995E-5</v>
      </c>
      <c r="O6820" s="9">
        <v>6.2899999999999997E-5</v>
      </c>
      <c r="P6820" s="9">
        <v>6.0800000000000001E-5</v>
      </c>
      <c r="Q6820" s="9">
        <v>5.8980000000000001E-5</v>
      </c>
      <c r="R6820" s="10">
        <v>1.9305949229347254E-4</v>
      </c>
      <c r="S6820" s="10">
        <v>1.6807314978590184E-4</v>
      </c>
      <c r="T6820" s="10">
        <v>0</v>
      </c>
      <c r="U6820" s="10">
        <v>6.7260000000000003E-5</v>
      </c>
      <c r="V6820" s="25"/>
      <c r="W6820" s="25"/>
      <c r="X6820" s="25"/>
      <c r="Y6820" s="25"/>
      <c r="Z6820" s="25"/>
      <c r="AA6820" s="25"/>
    </row>
    <row r="6821" spans="1:27" x14ac:dyDescent="0.35">
      <c r="A6821" s="5">
        <v>6817</v>
      </c>
      <c r="B6821" s="5">
        <v>285</v>
      </c>
      <c r="C6821" s="5">
        <v>10</v>
      </c>
      <c r="D6821" s="25">
        <v>1.1416E-4</v>
      </c>
      <c r="E6821" s="25">
        <v>1.1199E-4</v>
      </c>
      <c r="F6821" s="25">
        <v>9.6769999999999997E-5</v>
      </c>
      <c r="G6821" s="25">
        <v>5.346E-5</v>
      </c>
      <c r="H6821" s="25">
        <v>6.6550000000000005E-5</v>
      </c>
      <c r="I6821" s="9">
        <v>1.0109E-4</v>
      </c>
      <c r="J6821" s="9">
        <v>9.3900000000000006E-5</v>
      </c>
      <c r="K6821" s="9">
        <v>5.9349999999999999E-5</v>
      </c>
      <c r="L6821" s="9">
        <v>6.6740000000000001E-5</v>
      </c>
      <c r="M6821" s="9">
        <v>7.3850000000000006E-5</v>
      </c>
      <c r="N6821" s="9">
        <v>8.1139999999999999E-5</v>
      </c>
      <c r="O6821" s="9">
        <v>5.4259999999999999E-5</v>
      </c>
      <c r="P6821" s="9">
        <v>5.3680000000000001E-5</v>
      </c>
      <c r="Q6821" s="9">
        <v>5.3260000000000002E-5</v>
      </c>
      <c r="R6821" s="10">
        <v>1.749046866048169E-4</v>
      </c>
      <c r="S6821" s="10">
        <v>1.5205038971033701E-4</v>
      </c>
      <c r="T6821" s="10">
        <v>0</v>
      </c>
      <c r="U6821" s="10">
        <v>6.7689999999999997E-5</v>
      </c>
      <c r="V6821" s="25"/>
      <c r="W6821" s="25"/>
      <c r="X6821" s="25"/>
      <c r="Y6821" s="25"/>
      <c r="Z6821" s="25"/>
      <c r="AA6821" s="25"/>
    </row>
    <row r="6822" spans="1:27" x14ac:dyDescent="0.35">
      <c r="A6822" s="5">
        <v>6818</v>
      </c>
      <c r="B6822" s="5">
        <v>285</v>
      </c>
      <c r="C6822" s="5">
        <v>10</v>
      </c>
      <c r="D6822" s="25">
        <v>1.1415000000000001E-4</v>
      </c>
      <c r="E6822" s="25">
        <v>1.105E-4</v>
      </c>
      <c r="F6822" s="25">
        <v>1.0469E-4</v>
      </c>
      <c r="G6822" s="25">
        <v>6.0130000000000002E-5</v>
      </c>
      <c r="H6822" s="25">
        <v>6.8380000000000006E-5</v>
      </c>
      <c r="I6822" s="9">
        <v>9.8759999999999996E-5</v>
      </c>
      <c r="J6822" s="9">
        <v>9.1039999999999996E-5</v>
      </c>
      <c r="K6822" s="9">
        <v>6.3590000000000006E-5</v>
      </c>
      <c r="L6822" s="9">
        <v>5.7370000000000001E-5</v>
      </c>
      <c r="M6822" s="9">
        <v>6.3739999999999996E-5</v>
      </c>
      <c r="N6822" s="9">
        <v>7.1950000000000001E-5</v>
      </c>
      <c r="O6822" s="9">
        <v>1.8919999999999998E-5</v>
      </c>
      <c r="P6822" s="9">
        <v>3.8080000000000001E-5</v>
      </c>
      <c r="Q6822" s="9">
        <v>5.6669999999999998E-5</v>
      </c>
      <c r="R6822" s="10">
        <v>1.6731194096975162E-4</v>
      </c>
      <c r="S6822" s="10">
        <v>1.3498317218297364E-4</v>
      </c>
      <c r="T6822" s="10">
        <v>0</v>
      </c>
      <c r="U6822" s="10">
        <v>6.7689999999999997E-5</v>
      </c>
      <c r="V6822" s="25"/>
      <c r="W6822" s="25"/>
      <c r="X6822" s="25"/>
      <c r="Y6822" s="25"/>
      <c r="Z6822" s="25"/>
      <c r="AA6822" s="25"/>
    </row>
    <row r="6823" spans="1:27" x14ac:dyDescent="0.35">
      <c r="A6823" s="5">
        <v>6819</v>
      </c>
      <c r="B6823" s="5">
        <v>285</v>
      </c>
      <c r="C6823" s="5">
        <v>10</v>
      </c>
      <c r="D6823" s="25">
        <v>1.1416E-4</v>
      </c>
      <c r="E6823" s="25">
        <v>1.1453E-4</v>
      </c>
      <c r="F6823" s="25">
        <v>9.7720000000000006E-5</v>
      </c>
      <c r="G6823" s="25">
        <v>5.8629999999999999E-5</v>
      </c>
      <c r="H6823" s="25">
        <v>7.3559999999999994E-5</v>
      </c>
      <c r="I6823" s="9">
        <v>9.7830000000000004E-5</v>
      </c>
      <c r="J6823" s="9">
        <v>9.0589999999999998E-5</v>
      </c>
      <c r="K6823" s="9">
        <v>6.9939999999999998E-5</v>
      </c>
      <c r="L6823" s="9">
        <v>2.76E-5</v>
      </c>
      <c r="M6823" s="9">
        <v>5.2200000000000002E-5</v>
      </c>
      <c r="N6823" s="9">
        <v>6.5480000000000003E-5</v>
      </c>
      <c r="O6823" s="9">
        <v>1.326E-5</v>
      </c>
      <c r="P6823" s="9">
        <v>3.7759999999999998E-5</v>
      </c>
      <c r="Q6823" s="9">
        <v>6.1539999999999997E-5</v>
      </c>
      <c r="R6823" s="10">
        <v>1.5914177532942451E-4</v>
      </c>
      <c r="S6823" s="10">
        <v>1.1638203251197732E-4</v>
      </c>
      <c r="T6823" s="10">
        <v>0</v>
      </c>
      <c r="U6823" s="10">
        <v>6.7689999999999997E-5</v>
      </c>
      <c r="V6823" s="25"/>
      <c r="W6823" s="25"/>
      <c r="X6823" s="25"/>
      <c r="Y6823" s="25"/>
      <c r="Z6823" s="25"/>
      <c r="AA6823" s="25"/>
    </row>
    <row r="6824" spans="1:27" x14ac:dyDescent="0.35">
      <c r="A6824" s="5">
        <v>6820</v>
      </c>
      <c r="B6824" s="5">
        <v>285</v>
      </c>
      <c r="C6824" s="5">
        <v>10</v>
      </c>
      <c r="D6824" s="25">
        <v>1.1415000000000001E-4</v>
      </c>
      <c r="E6824" s="25">
        <v>1.1834E-4</v>
      </c>
      <c r="F6824" s="25">
        <v>1.087E-4</v>
      </c>
      <c r="G6824" s="25">
        <v>5.8319999999999997E-5</v>
      </c>
      <c r="H6824" s="25">
        <v>6.3310000000000002E-5</v>
      </c>
      <c r="I6824" s="9">
        <v>9.9099999999999996E-5</v>
      </c>
      <c r="J6824" s="9">
        <v>9.1409999999999994E-5</v>
      </c>
      <c r="K6824" s="9">
        <v>6.3590000000000006E-5</v>
      </c>
      <c r="L6824" s="9">
        <v>1.715E-5</v>
      </c>
      <c r="M6824" s="9">
        <v>4.4249999999999998E-5</v>
      </c>
      <c r="N6824" s="9">
        <v>6.1920000000000003E-5</v>
      </c>
      <c r="O6824" s="9">
        <v>1.3179999999999999E-5</v>
      </c>
      <c r="P6824" s="9">
        <v>4.6900000000000002E-5</v>
      </c>
      <c r="Q6824" s="9">
        <v>7.9770000000000004E-5</v>
      </c>
      <c r="R6824" s="10">
        <v>1.5018454355231959E-4</v>
      </c>
      <c r="S6824" s="10">
        <v>1.0789811801738551E-4</v>
      </c>
      <c r="T6824" s="10">
        <v>0</v>
      </c>
      <c r="U6824" s="10">
        <v>6.7689999999999997E-5</v>
      </c>
      <c r="V6824" s="25"/>
      <c r="W6824" s="25"/>
      <c r="X6824" s="25"/>
      <c r="Y6824" s="25"/>
      <c r="Z6824" s="25"/>
      <c r="AA6824" s="25"/>
    </row>
    <row r="6825" spans="1:27" x14ac:dyDescent="0.35">
      <c r="A6825" s="5">
        <v>6821</v>
      </c>
      <c r="B6825" s="5">
        <v>285</v>
      </c>
      <c r="C6825" s="5">
        <v>10</v>
      </c>
      <c r="D6825" s="25">
        <v>1.1416E-4</v>
      </c>
      <c r="E6825" s="25">
        <v>1.1665E-4</v>
      </c>
      <c r="F6825" s="25">
        <v>9.5030000000000003E-5</v>
      </c>
      <c r="G6825" s="25">
        <v>5.6350000000000001E-5</v>
      </c>
      <c r="H6825" s="25">
        <v>7.6689999999999999E-5</v>
      </c>
      <c r="I6825" s="9">
        <v>1.0556E-4</v>
      </c>
      <c r="J6825" s="9">
        <v>9.3939999999999998E-5</v>
      </c>
      <c r="K6825" s="9">
        <v>6.9939999999999998E-5</v>
      </c>
      <c r="L6825" s="9">
        <v>1.43E-5</v>
      </c>
      <c r="M6825" s="9">
        <v>4.3420000000000001E-5</v>
      </c>
      <c r="N6825" s="9">
        <v>6.4350000000000006E-5</v>
      </c>
      <c r="O6825" s="9">
        <v>1.876E-5</v>
      </c>
      <c r="P6825" s="9">
        <v>5.6629999999999998E-5</v>
      </c>
      <c r="Q6825" s="9">
        <v>9.3640000000000005E-5</v>
      </c>
      <c r="R6825" s="10">
        <v>1.4541012375480955E-4</v>
      </c>
      <c r="S6825" s="10">
        <v>1.040002238774543E-4</v>
      </c>
      <c r="T6825" s="10">
        <v>0</v>
      </c>
      <c r="U6825" s="10">
        <v>6.7689999999999997E-5</v>
      </c>
      <c r="V6825" s="25"/>
      <c r="W6825" s="25"/>
      <c r="X6825" s="25"/>
      <c r="Y6825" s="25"/>
      <c r="Z6825" s="25"/>
      <c r="AA6825" s="25"/>
    </row>
    <row r="6826" spans="1:27" x14ac:dyDescent="0.35">
      <c r="A6826" s="5">
        <v>6822</v>
      </c>
      <c r="B6826" s="5">
        <v>285</v>
      </c>
      <c r="C6826" s="5">
        <v>10</v>
      </c>
      <c r="D6826" s="25">
        <v>1.1415000000000001E-4</v>
      </c>
      <c r="E6826" s="25">
        <v>1.0959999999999999E-4</v>
      </c>
      <c r="F6826" s="25">
        <v>9.7930000000000006E-5</v>
      </c>
      <c r="G6826" s="25">
        <v>1.1336999999999999E-4</v>
      </c>
      <c r="H6826" s="25">
        <v>1.394E-4</v>
      </c>
      <c r="I6826" s="9">
        <v>1.1895E-4</v>
      </c>
      <c r="J6826" s="9">
        <v>1.0289E-4</v>
      </c>
      <c r="K6826" s="9">
        <v>7.6290000000000003E-5</v>
      </c>
      <c r="L6826" s="9">
        <v>1.7649999999999999E-5</v>
      </c>
      <c r="M6826" s="9">
        <v>4.8300000000000002E-5</v>
      </c>
      <c r="N6826" s="9">
        <v>7.0920000000000005E-5</v>
      </c>
      <c r="O6826" s="9">
        <v>4.6600000000000001E-5</v>
      </c>
      <c r="P6826" s="9">
        <v>7.7410000000000006E-5</v>
      </c>
      <c r="Q6826" s="9">
        <v>1.0779E-4</v>
      </c>
      <c r="R6826" s="10">
        <v>1.4824471336700006E-4</v>
      </c>
      <c r="S6826" s="10">
        <v>1.0412394159754973E-4</v>
      </c>
      <c r="T6826" s="10">
        <v>0</v>
      </c>
      <c r="U6826" s="10">
        <v>6.7689999999999997E-5</v>
      </c>
      <c r="V6826" s="25"/>
      <c r="W6826" s="25"/>
      <c r="X6826" s="25"/>
      <c r="Y6826" s="25"/>
      <c r="Z6826" s="25"/>
      <c r="AA6826" s="25"/>
    </row>
    <row r="6827" spans="1:27" x14ac:dyDescent="0.35">
      <c r="A6827" s="5">
        <v>6823</v>
      </c>
      <c r="B6827" s="5">
        <v>285</v>
      </c>
      <c r="C6827" s="5">
        <v>10</v>
      </c>
      <c r="D6827" s="25">
        <v>1.1416E-4</v>
      </c>
      <c r="E6827" s="25">
        <v>1.1578000000000001E-4</v>
      </c>
      <c r="F6827" s="25">
        <v>1.0124E-4</v>
      </c>
      <c r="G6827" s="25">
        <v>1.0474E-4</v>
      </c>
      <c r="H6827" s="25">
        <v>1.3059000000000001E-4</v>
      </c>
      <c r="I6827" s="9">
        <v>1.3242000000000001E-4</v>
      </c>
      <c r="J6827" s="9">
        <v>1.2036000000000001E-4</v>
      </c>
      <c r="K6827" s="9">
        <v>5.9349999999999999E-5</v>
      </c>
      <c r="L6827" s="9">
        <v>4.0089999999999997E-5</v>
      </c>
      <c r="M6827" s="9">
        <v>6.0170000000000002E-5</v>
      </c>
      <c r="N6827" s="9">
        <v>8.0809999999999994E-5</v>
      </c>
      <c r="O6827" s="9">
        <v>1.2433999999999999E-4</v>
      </c>
      <c r="P6827" s="9">
        <v>1.1831E-4</v>
      </c>
      <c r="Q6827" s="9">
        <v>1.1334E-4</v>
      </c>
      <c r="R6827" s="10">
        <v>1.5322271533637141E-4</v>
      </c>
      <c r="S6827" s="10">
        <v>1.0198605322435737E-4</v>
      </c>
      <c r="T6827" s="10">
        <v>0</v>
      </c>
      <c r="U6827" s="10">
        <v>6.7689999999999997E-5</v>
      </c>
      <c r="V6827" s="25"/>
      <c r="W6827" s="25"/>
      <c r="X6827" s="25"/>
      <c r="Y6827" s="25"/>
      <c r="Z6827" s="25"/>
      <c r="AA6827" s="25"/>
    </row>
    <row r="6828" spans="1:27" x14ac:dyDescent="0.35">
      <c r="A6828" s="5">
        <v>6824</v>
      </c>
      <c r="B6828" s="5">
        <v>285</v>
      </c>
      <c r="C6828" s="5">
        <v>10</v>
      </c>
      <c r="D6828" s="25">
        <v>1.1415000000000001E-4</v>
      </c>
      <c r="E6828" s="25">
        <v>1.1201000000000001E-4</v>
      </c>
      <c r="F6828" s="25">
        <v>1.1361E-4</v>
      </c>
      <c r="G6828" s="25">
        <v>1.5673999999999999E-4</v>
      </c>
      <c r="H6828" s="25">
        <v>1.9542999999999999E-4</v>
      </c>
      <c r="I6828" s="9">
        <v>1.3347000000000001E-4</v>
      </c>
      <c r="J6828" s="9">
        <v>1.3149E-4</v>
      </c>
      <c r="K6828" s="9">
        <v>2.544E-5</v>
      </c>
      <c r="L6828" s="9">
        <v>1.0517E-4</v>
      </c>
      <c r="M6828" s="9">
        <v>8.4159999999999994E-5</v>
      </c>
      <c r="N6828" s="9">
        <v>9.1100000000000005E-5</v>
      </c>
      <c r="O6828" s="9">
        <v>2.2013999999999999E-4</v>
      </c>
      <c r="P6828" s="9">
        <v>1.7710999999999999E-4</v>
      </c>
      <c r="Q6828" s="9">
        <v>1.3682000000000001E-4</v>
      </c>
      <c r="R6828" s="10">
        <v>1.514036560997274E-4</v>
      </c>
      <c r="S6828" s="10">
        <v>9.5776393759486767E-5</v>
      </c>
      <c r="T6828" s="10">
        <v>5.3866816574054843E-5</v>
      </c>
      <c r="U6828" s="10">
        <v>6.7689999999999997E-5</v>
      </c>
      <c r="V6828" s="25"/>
      <c r="W6828" s="25"/>
      <c r="X6828" s="25"/>
      <c r="Y6828" s="25"/>
      <c r="Z6828" s="25"/>
      <c r="AA6828" s="25"/>
    </row>
    <row r="6829" spans="1:27" x14ac:dyDescent="0.35">
      <c r="A6829" s="5">
        <v>6825</v>
      </c>
      <c r="B6829" s="5">
        <v>285</v>
      </c>
      <c r="C6829" s="5">
        <v>10</v>
      </c>
      <c r="D6829" s="25">
        <v>1.1416E-4</v>
      </c>
      <c r="E6829" s="25">
        <v>1.115E-4</v>
      </c>
      <c r="F6829" s="25">
        <v>1.0119999999999999E-4</v>
      </c>
      <c r="G6829" s="25">
        <v>1.615E-4</v>
      </c>
      <c r="H6829" s="25">
        <v>2.0157000000000001E-4</v>
      </c>
      <c r="I6829" s="9">
        <v>1.3469999999999999E-4</v>
      </c>
      <c r="J6829" s="9">
        <v>1.3526E-4</v>
      </c>
      <c r="K6829" s="9">
        <v>0</v>
      </c>
      <c r="L6829" s="9">
        <v>1.9306E-4</v>
      </c>
      <c r="M6829" s="9">
        <v>1.2383000000000001E-4</v>
      </c>
      <c r="N6829" s="9">
        <v>1.0486E-4</v>
      </c>
      <c r="O6829" s="9">
        <v>2.1343999999999999E-4</v>
      </c>
      <c r="P6829" s="9">
        <v>1.9477000000000001E-4</v>
      </c>
      <c r="Q6829" s="9">
        <v>1.7838000000000001E-4</v>
      </c>
      <c r="R6829" s="10">
        <v>1.3420122530966616E-4</v>
      </c>
      <c r="S6829" s="10">
        <v>9.8011987847440493E-5</v>
      </c>
      <c r="T6829" s="10">
        <v>1.7373299779286833E-4</v>
      </c>
      <c r="U6829" s="10">
        <v>6.7689999999999997E-5</v>
      </c>
      <c r="V6829" s="25"/>
      <c r="W6829" s="25"/>
      <c r="X6829" s="25"/>
      <c r="Y6829" s="25"/>
      <c r="Z6829" s="25"/>
      <c r="AA6829" s="25"/>
    </row>
    <row r="6830" spans="1:27" x14ac:dyDescent="0.35">
      <c r="A6830" s="5">
        <v>6826</v>
      </c>
      <c r="B6830" s="5">
        <v>285</v>
      </c>
      <c r="C6830" s="5">
        <v>10</v>
      </c>
      <c r="D6830" s="25">
        <v>1.1415000000000001E-4</v>
      </c>
      <c r="E6830" s="25">
        <v>1.1031000000000001E-4</v>
      </c>
      <c r="F6830" s="25">
        <v>9.9259999999999995E-5</v>
      </c>
      <c r="G6830" s="25">
        <v>1.6134E-4</v>
      </c>
      <c r="H6830" s="25">
        <v>1.9848000000000001E-4</v>
      </c>
      <c r="I6830" s="9">
        <v>1.3517999999999999E-4</v>
      </c>
      <c r="J6830" s="9">
        <v>1.3501999999999999E-4</v>
      </c>
      <c r="K6830" s="9">
        <v>0</v>
      </c>
      <c r="L6830" s="9">
        <v>2.0665000000000001E-4</v>
      </c>
      <c r="M6830" s="9">
        <v>1.5940999999999999E-4</v>
      </c>
      <c r="N6830" s="9">
        <v>1.2519000000000001E-4</v>
      </c>
      <c r="O6830" s="9">
        <v>1.6765000000000001E-4</v>
      </c>
      <c r="P6830" s="9">
        <v>1.7432E-4</v>
      </c>
      <c r="Q6830" s="9">
        <v>1.8233999999999999E-4</v>
      </c>
      <c r="R6830" s="10">
        <v>1.0145079036389372E-4</v>
      </c>
      <c r="S6830" s="10">
        <v>1.0902862505295574E-4</v>
      </c>
      <c r="T6830" s="10">
        <v>4.7287242428019317E-4</v>
      </c>
      <c r="U6830" s="10">
        <v>6.7689999999999997E-5</v>
      </c>
      <c r="V6830" s="25"/>
      <c r="W6830" s="25"/>
      <c r="X6830" s="25"/>
      <c r="Y6830" s="25"/>
      <c r="Z6830" s="25"/>
      <c r="AA6830" s="25"/>
    </row>
    <row r="6831" spans="1:27" x14ac:dyDescent="0.35">
      <c r="A6831" s="5">
        <v>6827</v>
      </c>
      <c r="B6831" s="5">
        <v>285</v>
      </c>
      <c r="C6831" s="5">
        <v>10</v>
      </c>
      <c r="D6831" s="25">
        <v>1.1416E-4</v>
      </c>
      <c r="E6831" s="25">
        <v>1.0984000000000001E-4</v>
      </c>
      <c r="F6831" s="25">
        <v>1.1031000000000001E-4</v>
      </c>
      <c r="G6831" s="25">
        <v>1.6605E-4</v>
      </c>
      <c r="H6831" s="25">
        <v>2.0002E-4</v>
      </c>
      <c r="I6831" s="9">
        <v>1.3415000000000001E-4</v>
      </c>
      <c r="J6831" s="9">
        <v>1.3358000000000001E-4</v>
      </c>
      <c r="K6831" s="9">
        <v>0</v>
      </c>
      <c r="L6831" s="9">
        <v>1.7628000000000001E-4</v>
      </c>
      <c r="M6831" s="9">
        <v>1.7304000000000001E-4</v>
      </c>
      <c r="N6831" s="9">
        <v>1.4327E-4</v>
      </c>
      <c r="O6831" s="9">
        <v>1.6804E-4</v>
      </c>
      <c r="P6831" s="9">
        <v>1.7337E-4</v>
      </c>
      <c r="Q6831" s="9">
        <v>1.8007E-4</v>
      </c>
      <c r="R6831" s="10">
        <v>6.7458405118297053E-5</v>
      </c>
      <c r="S6831" s="10">
        <v>1.1256456136455593E-4</v>
      </c>
      <c r="T6831" s="10">
        <v>5.0701324486516672E-4</v>
      </c>
      <c r="U6831" s="10">
        <v>6.7689999999999997E-5</v>
      </c>
      <c r="V6831" s="25"/>
      <c r="W6831" s="25"/>
      <c r="X6831" s="25"/>
      <c r="Y6831" s="25"/>
      <c r="Z6831" s="25"/>
      <c r="AA6831" s="25"/>
    </row>
    <row r="6832" spans="1:27" x14ac:dyDescent="0.35">
      <c r="A6832" s="5">
        <v>6828</v>
      </c>
      <c r="B6832" s="5">
        <v>285</v>
      </c>
      <c r="C6832" s="5">
        <v>10</v>
      </c>
      <c r="D6832" s="25">
        <v>1.1415000000000001E-4</v>
      </c>
      <c r="E6832" s="25">
        <v>1.1187E-4</v>
      </c>
      <c r="F6832" s="25">
        <v>1.1084E-4</v>
      </c>
      <c r="G6832" s="25">
        <v>1.6326000000000001E-4</v>
      </c>
      <c r="H6832" s="25">
        <v>1.9090000000000001E-4</v>
      </c>
      <c r="I6832" s="9">
        <v>1.2946E-4</v>
      </c>
      <c r="J6832" s="9">
        <v>1.3144E-4</v>
      </c>
      <c r="K6832" s="9">
        <v>0</v>
      </c>
      <c r="L6832" s="9">
        <v>1.7128999999999999E-4</v>
      </c>
      <c r="M6832" s="9">
        <v>1.7543999999999999E-4</v>
      </c>
      <c r="N6832" s="9">
        <v>1.5736E-4</v>
      </c>
      <c r="O6832" s="9">
        <v>1.6878999999999999E-4</v>
      </c>
      <c r="P6832" s="9">
        <v>1.6998999999999999E-4</v>
      </c>
      <c r="Q6832" s="9">
        <v>1.7264E-4</v>
      </c>
      <c r="R6832" s="10">
        <v>5.337577722676544E-5</v>
      </c>
      <c r="S6832" s="10">
        <v>1.0845810698296025E-4</v>
      </c>
      <c r="T6832" s="10">
        <v>4.9190270772256285E-4</v>
      </c>
      <c r="U6832" s="10">
        <v>6.7689999999999997E-5</v>
      </c>
      <c r="V6832" s="25"/>
      <c r="W6832" s="25"/>
      <c r="X6832" s="25"/>
      <c r="Y6832" s="25"/>
      <c r="Z6832" s="25"/>
      <c r="AA6832" s="25"/>
    </row>
    <row r="6833" spans="1:27" x14ac:dyDescent="0.35">
      <c r="A6833" s="5">
        <v>6829</v>
      </c>
      <c r="B6833" s="5">
        <v>285</v>
      </c>
      <c r="C6833" s="5">
        <v>10</v>
      </c>
      <c r="D6833" s="25">
        <v>1.1416E-4</v>
      </c>
      <c r="E6833" s="25">
        <v>1.1389E-4</v>
      </c>
      <c r="F6833" s="25">
        <v>9.8720000000000003E-5</v>
      </c>
      <c r="G6833" s="25">
        <v>1.6196E-4</v>
      </c>
      <c r="H6833" s="25">
        <v>1.9232E-4</v>
      </c>
      <c r="I6833" s="9">
        <v>1.2839000000000001E-4</v>
      </c>
      <c r="J6833" s="9">
        <v>1.3046999999999999E-4</v>
      </c>
      <c r="K6833" s="9">
        <v>0</v>
      </c>
      <c r="L6833" s="9">
        <v>1.6950999999999999E-4</v>
      </c>
      <c r="M6833" s="9">
        <v>1.7361000000000001E-4</v>
      </c>
      <c r="N6833" s="9">
        <v>1.6636999999999999E-4</v>
      </c>
      <c r="O6833" s="9">
        <v>1.6244E-4</v>
      </c>
      <c r="P6833" s="9">
        <v>1.6448999999999999E-4</v>
      </c>
      <c r="Q6833" s="9">
        <v>1.6789999999999999E-4</v>
      </c>
      <c r="R6833" s="10">
        <v>5.2624893790598346E-5</v>
      </c>
      <c r="S6833" s="10">
        <v>9.6390909493771843E-5</v>
      </c>
      <c r="T6833" s="10">
        <v>4.7883688672334336E-4</v>
      </c>
      <c r="U6833" s="10">
        <v>6.7689999999999997E-5</v>
      </c>
      <c r="V6833" s="25"/>
      <c r="W6833" s="25"/>
      <c r="X6833" s="25"/>
      <c r="Y6833" s="25"/>
      <c r="Z6833" s="25"/>
      <c r="AA6833" s="25"/>
    </row>
    <row r="6834" spans="1:27" x14ac:dyDescent="0.35">
      <c r="A6834" s="5">
        <v>6830</v>
      </c>
      <c r="B6834" s="5">
        <v>285</v>
      </c>
      <c r="C6834" s="5">
        <v>10</v>
      </c>
      <c r="D6834" s="25">
        <v>1.1415000000000001E-4</v>
      </c>
      <c r="E6834" s="25">
        <v>1.1765E-4</v>
      </c>
      <c r="F6834" s="25">
        <v>1.1195E-4</v>
      </c>
      <c r="G6834" s="25">
        <v>1.5796000000000001E-4</v>
      </c>
      <c r="H6834" s="25">
        <v>1.9914999999999999E-4</v>
      </c>
      <c r="I6834" s="9">
        <v>1.2617999999999999E-4</v>
      </c>
      <c r="J6834" s="9">
        <v>1.3054000000000001E-4</v>
      </c>
      <c r="K6834" s="9">
        <v>0</v>
      </c>
      <c r="L6834" s="9">
        <v>1.6378000000000001E-4</v>
      </c>
      <c r="M6834" s="9">
        <v>1.6981E-4</v>
      </c>
      <c r="N6834" s="9">
        <v>1.7066999999999999E-4</v>
      </c>
      <c r="O6834" s="9">
        <v>1.7718000000000001E-4</v>
      </c>
      <c r="P6834" s="9">
        <v>1.6750000000000001E-4</v>
      </c>
      <c r="Q6834" s="9">
        <v>1.5953000000000001E-4</v>
      </c>
      <c r="R6834" s="10">
        <v>5.2422519887859698E-5</v>
      </c>
      <c r="S6834" s="10">
        <v>7.9485441014790268E-5</v>
      </c>
      <c r="T6834" s="10">
        <v>3.6216928635953366E-4</v>
      </c>
      <c r="U6834" s="10">
        <v>6.7689999999999997E-5</v>
      </c>
      <c r="V6834" s="25"/>
      <c r="W6834" s="25"/>
      <c r="X6834" s="25"/>
      <c r="Y6834" s="25"/>
      <c r="Z6834" s="25"/>
      <c r="AA6834" s="25"/>
    </row>
    <row r="6835" spans="1:27" x14ac:dyDescent="0.35">
      <c r="A6835" s="5">
        <v>6831</v>
      </c>
      <c r="B6835" s="5">
        <v>285</v>
      </c>
      <c r="C6835" s="5">
        <v>10</v>
      </c>
      <c r="D6835" s="25">
        <v>1.1416E-4</v>
      </c>
      <c r="E6835" s="25">
        <v>1.1231E-4</v>
      </c>
      <c r="F6835" s="25">
        <v>1.1349E-4</v>
      </c>
      <c r="G6835" s="25">
        <v>1.6663E-4</v>
      </c>
      <c r="H6835" s="25">
        <v>1.9871999999999999E-4</v>
      </c>
      <c r="I6835" s="9">
        <v>1.2375E-4</v>
      </c>
      <c r="J6835" s="9">
        <v>1.3041999999999999E-4</v>
      </c>
      <c r="K6835" s="9">
        <v>0</v>
      </c>
      <c r="L6835" s="9">
        <v>1.7437E-4</v>
      </c>
      <c r="M6835" s="9">
        <v>1.6793E-4</v>
      </c>
      <c r="N6835" s="9">
        <v>1.6979000000000001E-4</v>
      </c>
      <c r="O6835" s="9">
        <v>1.8330000000000001E-4</v>
      </c>
      <c r="P6835" s="9">
        <v>1.6676000000000001E-4</v>
      </c>
      <c r="Q6835" s="9">
        <v>1.5210000000000001E-4</v>
      </c>
      <c r="R6835" s="10">
        <v>5.3194037161605152E-5</v>
      </c>
      <c r="S6835" s="10">
        <v>7.0162752152368881E-5</v>
      </c>
      <c r="T6835" s="10">
        <v>4.5239980994829932E-4</v>
      </c>
      <c r="U6835" s="10">
        <v>6.7689999999999997E-5</v>
      </c>
      <c r="V6835" s="25"/>
      <c r="W6835" s="25"/>
      <c r="X6835" s="25"/>
      <c r="Y6835" s="25"/>
      <c r="Z6835" s="25"/>
      <c r="AA6835" s="25"/>
    </row>
    <row r="6836" spans="1:27" x14ac:dyDescent="0.35">
      <c r="A6836" s="5">
        <v>6832</v>
      </c>
      <c r="B6836" s="5">
        <v>285</v>
      </c>
      <c r="C6836" s="5">
        <v>10</v>
      </c>
      <c r="D6836" s="25">
        <v>1.1415000000000001E-4</v>
      </c>
      <c r="E6836" s="25">
        <v>1.1929E-4</v>
      </c>
      <c r="F6836" s="25">
        <v>1.0666E-4</v>
      </c>
      <c r="G6836" s="25">
        <v>1.6359E-4</v>
      </c>
      <c r="H6836" s="25">
        <v>1.9515E-4</v>
      </c>
      <c r="I6836" s="9">
        <v>1.2313999999999999E-4</v>
      </c>
      <c r="J6836" s="9">
        <v>1.3129E-4</v>
      </c>
      <c r="K6836" s="9">
        <v>0</v>
      </c>
      <c r="L6836" s="9">
        <v>1.8105000000000001E-4</v>
      </c>
      <c r="M6836" s="9">
        <v>1.671E-4</v>
      </c>
      <c r="N6836" s="9">
        <v>1.6576000000000001E-4</v>
      </c>
      <c r="O6836" s="9">
        <v>1.9612000000000001E-4</v>
      </c>
      <c r="P6836" s="9">
        <v>1.5127000000000001E-4</v>
      </c>
      <c r="Q6836" s="9">
        <v>1.0891E-4</v>
      </c>
      <c r="R6836" s="10">
        <v>4.9005738527884778E-5</v>
      </c>
      <c r="S6836" s="10">
        <v>5.7203461723001224E-5</v>
      </c>
      <c r="T6836" s="10">
        <v>2.7501007913551955E-4</v>
      </c>
      <c r="U6836" s="10">
        <v>6.7689999999999997E-5</v>
      </c>
      <c r="V6836" s="25"/>
      <c r="W6836" s="25"/>
      <c r="X6836" s="25"/>
      <c r="Y6836" s="25"/>
      <c r="Z6836" s="25"/>
      <c r="AA6836" s="25"/>
    </row>
    <row r="6837" spans="1:27" x14ac:dyDescent="0.35">
      <c r="A6837" s="5">
        <v>6833</v>
      </c>
      <c r="B6837" s="5">
        <v>285</v>
      </c>
      <c r="C6837" s="5">
        <v>10</v>
      </c>
      <c r="D6837" s="25">
        <v>1.1416E-4</v>
      </c>
      <c r="E6837" s="25">
        <v>1.0963000000000001E-4</v>
      </c>
      <c r="F6837" s="25">
        <v>1.1399E-4</v>
      </c>
      <c r="G6837" s="25">
        <v>1.6071E-4</v>
      </c>
      <c r="H6837" s="25">
        <v>1.9592000000000001E-4</v>
      </c>
      <c r="I6837" s="9">
        <v>1.2742999999999999E-4</v>
      </c>
      <c r="J6837" s="9">
        <v>1.3359E-4</v>
      </c>
      <c r="K6837" s="9">
        <v>0</v>
      </c>
      <c r="L6837" s="9">
        <v>1.9258E-4</v>
      </c>
      <c r="M6837" s="9">
        <v>1.6129999999999999E-4</v>
      </c>
      <c r="N6837" s="9">
        <v>1.5185E-4</v>
      </c>
      <c r="O6837" s="9">
        <v>2.1252E-4</v>
      </c>
      <c r="P6837" s="9">
        <v>1.5798E-4</v>
      </c>
      <c r="Q6837" s="9">
        <v>1.0626E-4</v>
      </c>
      <c r="R6837" s="10">
        <v>4.0340515341292396E-5</v>
      </c>
      <c r="S6837" s="10">
        <v>4.8905903469902278E-5</v>
      </c>
      <c r="T6837" s="10">
        <v>6.8188313877095422E-5</v>
      </c>
      <c r="U6837" s="10">
        <v>6.7689999999999997E-5</v>
      </c>
      <c r="V6837" s="25"/>
      <c r="W6837" s="25"/>
      <c r="X6837" s="25"/>
      <c r="Y6837" s="25"/>
      <c r="Z6837" s="25"/>
      <c r="AA6837" s="25"/>
    </row>
    <row r="6838" spans="1:27" x14ac:dyDescent="0.35">
      <c r="A6838" s="5">
        <v>6834</v>
      </c>
      <c r="B6838" s="5">
        <v>285</v>
      </c>
      <c r="C6838" s="5">
        <v>10</v>
      </c>
      <c r="D6838" s="25">
        <v>1.1415000000000001E-4</v>
      </c>
      <c r="E6838" s="25">
        <v>1.18E-4</v>
      </c>
      <c r="F6838" s="25">
        <v>9.8720000000000003E-5</v>
      </c>
      <c r="G6838" s="25">
        <v>1.6461000000000001E-4</v>
      </c>
      <c r="H6838" s="25">
        <v>1.9924999999999999E-4</v>
      </c>
      <c r="I6838" s="9">
        <v>1.3069000000000001E-4</v>
      </c>
      <c r="J6838" s="9">
        <v>1.3227000000000001E-4</v>
      </c>
      <c r="K6838" s="9">
        <v>0</v>
      </c>
      <c r="L6838" s="9">
        <v>2.0788999999999999E-4</v>
      </c>
      <c r="M6838" s="9">
        <v>1.5851E-4</v>
      </c>
      <c r="N6838" s="9">
        <v>1.3841E-4</v>
      </c>
      <c r="O6838" s="9">
        <v>2.0703E-4</v>
      </c>
      <c r="P6838" s="9">
        <v>1.6142000000000001E-4</v>
      </c>
      <c r="Q6838" s="9">
        <v>1.1843E-4</v>
      </c>
      <c r="R6838" s="10">
        <v>4.6240295911947423E-5</v>
      </c>
      <c r="S6838" s="10">
        <v>5.3922161987807306E-5</v>
      </c>
      <c r="T6838" s="10">
        <v>0</v>
      </c>
      <c r="U6838" s="10">
        <v>6.7689999999999997E-5</v>
      </c>
      <c r="V6838" s="25"/>
      <c r="W6838" s="25"/>
      <c r="X6838" s="25"/>
      <c r="Y6838" s="25"/>
      <c r="Z6838" s="25"/>
      <c r="AA6838" s="25"/>
    </row>
    <row r="6839" spans="1:27" x14ac:dyDescent="0.35">
      <c r="A6839" s="5">
        <v>6835</v>
      </c>
      <c r="B6839" s="5">
        <v>285</v>
      </c>
      <c r="C6839" s="5">
        <v>10</v>
      </c>
      <c r="D6839" s="25">
        <v>1.1416E-4</v>
      </c>
      <c r="E6839" s="25">
        <v>1.1103999999999999E-4</v>
      </c>
      <c r="F6839" s="25">
        <v>1.1285000000000001E-4</v>
      </c>
      <c r="G6839" s="25">
        <v>1.0428E-4</v>
      </c>
      <c r="H6839" s="25">
        <v>1.2889999999999999E-4</v>
      </c>
      <c r="I6839" s="9">
        <v>1.3491999999999999E-4</v>
      </c>
      <c r="J6839" s="9">
        <v>1.3498000000000001E-4</v>
      </c>
      <c r="K6839" s="9">
        <v>2.3309999999999999E-5</v>
      </c>
      <c r="L6839" s="9">
        <v>2.0683E-4</v>
      </c>
      <c r="M6839" s="9">
        <v>1.5898999999999999E-4</v>
      </c>
      <c r="N6839" s="9">
        <v>1.2960000000000001E-4</v>
      </c>
      <c r="O6839" s="9">
        <v>1.6446000000000001E-4</v>
      </c>
      <c r="P6839" s="9">
        <v>1.3477000000000001E-4</v>
      </c>
      <c r="Q6839" s="9">
        <v>1.0697E-4</v>
      </c>
      <c r="R6839" s="10">
        <v>6.7763014521067137E-5</v>
      </c>
      <c r="S6839" s="10">
        <v>6.1635756462804399E-5</v>
      </c>
      <c r="T6839" s="10">
        <v>0</v>
      </c>
      <c r="U6839" s="10">
        <v>6.7689999999999997E-5</v>
      </c>
      <c r="V6839" s="25"/>
      <c r="W6839" s="25"/>
      <c r="X6839" s="25"/>
      <c r="Y6839" s="25"/>
      <c r="Z6839" s="25"/>
      <c r="AA6839" s="25"/>
    </row>
    <row r="6840" spans="1:27" x14ac:dyDescent="0.35">
      <c r="A6840" s="5">
        <v>6836</v>
      </c>
      <c r="B6840" s="5">
        <v>285</v>
      </c>
      <c r="C6840" s="5">
        <v>10</v>
      </c>
      <c r="D6840" s="25">
        <v>1.1415000000000001E-4</v>
      </c>
      <c r="E6840" s="25">
        <v>1.1383E-4</v>
      </c>
      <c r="F6840" s="25">
        <v>1.0764000000000001E-4</v>
      </c>
      <c r="G6840" s="25">
        <v>1.0965E-4</v>
      </c>
      <c r="H6840" s="25">
        <v>1.2636E-4</v>
      </c>
      <c r="I6840" s="9">
        <v>1.3030999999999999E-4</v>
      </c>
      <c r="J6840" s="9">
        <v>1.3301E-4</v>
      </c>
      <c r="K6840" s="9">
        <v>2.12E-6</v>
      </c>
      <c r="L6840" s="9">
        <v>1.7388000000000001E-4</v>
      </c>
      <c r="M6840" s="9">
        <v>1.5058000000000001E-4</v>
      </c>
      <c r="N6840" s="9">
        <v>1.2061E-4</v>
      </c>
      <c r="O6840" s="9">
        <v>1.2946999999999999E-4</v>
      </c>
      <c r="P6840" s="9">
        <v>1.1523000000000001E-4</v>
      </c>
      <c r="Q6840" s="9">
        <v>1.0221999999999999E-4</v>
      </c>
      <c r="R6840" s="10">
        <v>9.2309122098197397E-5</v>
      </c>
      <c r="S6840" s="10">
        <v>7.114712964552747E-5</v>
      </c>
      <c r="T6840" s="10">
        <v>0</v>
      </c>
      <c r="U6840" s="10">
        <v>6.7689999999999997E-5</v>
      </c>
      <c r="V6840" s="25"/>
      <c r="W6840" s="25"/>
      <c r="X6840" s="25"/>
      <c r="Y6840" s="25"/>
      <c r="Z6840" s="25"/>
      <c r="AA6840" s="25"/>
    </row>
    <row r="6841" spans="1:27" x14ac:dyDescent="0.35">
      <c r="A6841" s="5">
        <v>6837</v>
      </c>
      <c r="B6841" s="5">
        <v>285</v>
      </c>
      <c r="C6841" s="5">
        <v>10</v>
      </c>
      <c r="D6841" s="25">
        <v>1.1416E-4</v>
      </c>
      <c r="E6841" s="25">
        <v>1.1652E-4</v>
      </c>
      <c r="F6841" s="25">
        <v>9.8060000000000006E-5</v>
      </c>
      <c r="G6841" s="25">
        <v>5.2410000000000001E-5</v>
      </c>
      <c r="H6841" s="25">
        <v>7.5240000000000005E-5</v>
      </c>
      <c r="I6841" s="9">
        <v>1.2227000000000001E-4</v>
      </c>
      <c r="J6841" s="9">
        <v>1.2556000000000001E-4</v>
      </c>
      <c r="K6841" s="9">
        <v>8.4800000000000001E-6</v>
      </c>
      <c r="L6841" s="9">
        <v>1.4025999999999999E-4</v>
      </c>
      <c r="M6841" s="9">
        <v>1.3547E-4</v>
      </c>
      <c r="N6841" s="9">
        <v>1.1312E-4</v>
      </c>
      <c r="O6841" s="9">
        <v>8.4709999999999994E-5</v>
      </c>
      <c r="P6841" s="9">
        <v>8.6230000000000006E-5</v>
      </c>
      <c r="Q6841" s="9">
        <v>8.8230000000000001E-5</v>
      </c>
      <c r="R6841" s="10">
        <v>1.0554163644720405E-4</v>
      </c>
      <c r="S6841" s="10">
        <v>7.8283077142518538E-5</v>
      </c>
      <c r="T6841" s="10">
        <v>0</v>
      </c>
      <c r="U6841" s="10">
        <v>6.7689999999999997E-5</v>
      </c>
      <c r="V6841" s="25"/>
      <c r="W6841" s="25"/>
      <c r="X6841" s="25"/>
      <c r="Y6841" s="25"/>
      <c r="Z6841" s="25"/>
      <c r="AA6841" s="25"/>
    </row>
    <row r="6842" spans="1:27" x14ac:dyDescent="0.35">
      <c r="A6842" s="5">
        <v>6838</v>
      </c>
      <c r="B6842" s="5">
        <v>285</v>
      </c>
      <c r="C6842" s="5">
        <v>10</v>
      </c>
      <c r="D6842" s="25">
        <v>1.1415000000000001E-4</v>
      </c>
      <c r="E6842" s="25">
        <v>1.0950000000000001E-4</v>
      </c>
      <c r="F6842" s="25">
        <v>1.1271E-4</v>
      </c>
      <c r="G6842" s="25">
        <v>5.5859999999999997E-5</v>
      </c>
      <c r="H6842" s="25">
        <v>7.5610000000000003E-5</v>
      </c>
      <c r="I6842" s="9">
        <v>1.1883999999999999E-4</v>
      </c>
      <c r="J6842" s="9">
        <v>1.1658999999999999E-4</v>
      </c>
      <c r="K6842" s="9">
        <v>2.7549999999999999E-5</v>
      </c>
      <c r="L6842" s="9">
        <v>9.7860000000000002E-5</v>
      </c>
      <c r="M6842" s="9">
        <v>1.1383999999999999E-4</v>
      </c>
      <c r="N6842" s="9">
        <v>1.0559E-4</v>
      </c>
      <c r="O6842" s="9">
        <v>8.7709999999999999E-5</v>
      </c>
      <c r="P6842" s="9">
        <v>8.7830000000000004E-5</v>
      </c>
      <c r="Q6842" s="9">
        <v>8.8480000000000007E-5</v>
      </c>
      <c r="R6842" s="10">
        <v>1.0503888119750038E-4</v>
      </c>
      <c r="S6842" s="10">
        <v>8.6165677723497398E-5</v>
      </c>
      <c r="T6842" s="10">
        <v>0</v>
      </c>
      <c r="U6842" s="10">
        <v>6.7689999999999997E-5</v>
      </c>
      <c r="V6842" s="25"/>
      <c r="W6842" s="25"/>
      <c r="X6842" s="25"/>
      <c r="Y6842" s="25"/>
      <c r="Z6842" s="25"/>
      <c r="AA6842" s="25"/>
    </row>
    <row r="6843" spans="1:27" x14ac:dyDescent="0.35">
      <c r="A6843" s="5">
        <v>6839</v>
      </c>
      <c r="B6843" s="5">
        <v>285</v>
      </c>
      <c r="C6843" s="5">
        <v>10</v>
      </c>
      <c r="D6843" s="25">
        <v>1.1416E-4</v>
      </c>
      <c r="E6843" s="25">
        <v>1.1079E-4</v>
      </c>
      <c r="F6843" s="25">
        <v>1.0828E-4</v>
      </c>
      <c r="G6843" s="25">
        <v>5.8810000000000001E-5</v>
      </c>
      <c r="H6843" s="25">
        <v>7.0610000000000003E-5</v>
      </c>
      <c r="I6843" s="9">
        <v>1.1623E-4</v>
      </c>
      <c r="J6843" s="9">
        <v>1.0822E-4</v>
      </c>
      <c r="K6843" s="9">
        <v>2.9669999999999999E-5</v>
      </c>
      <c r="L6843" s="9">
        <v>9.0879999999999997E-5</v>
      </c>
      <c r="M6843" s="9">
        <v>9.9170000000000001E-5</v>
      </c>
      <c r="N6843" s="9">
        <v>9.9909999999999997E-5</v>
      </c>
      <c r="O6843" s="9">
        <v>7.7340000000000002E-5</v>
      </c>
      <c r="P6843" s="9">
        <v>7.1619999999999995E-5</v>
      </c>
      <c r="Q6843" s="9">
        <v>6.6409999999999996E-5</v>
      </c>
      <c r="R6843" s="10">
        <v>9.9992873214242532E-5</v>
      </c>
      <c r="S6843" s="10">
        <v>9.7710214843023673E-5</v>
      </c>
      <c r="T6843" s="10">
        <v>0</v>
      </c>
      <c r="U6843" s="10">
        <v>6.7689999999999997E-5</v>
      </c>
      <c r="V6843" s="25"/>
      <c r="W6843" s="25"/>
      <c r="X6843" s="25"/>
      <c r="Y6843" s="25"/>
      <c r="Z6843" s="25"/>
      <c r="AA6843" s="25"/>
    </row>
    <row r="6844" spans="1:27" x14ac:dyDescent="0.35">
      <c r="A6844" s="5">
        <v>6840</v>
      </c>
      <c r="B6844" s="5">
        <v>285</v>
      </c>
      <c r="C6844" s="5">
        <v>10</v>
      </c>
      <c r="D6844" s="25">
        <v>1.1415000000000001E-4</v>
      </c>
      <c r="E6844" s="25">
        <v>1.1937E-4</v>
      </c>
      <c r="F6844" s="25">
        <v>9.6059999999999998E-5</v>
      </c>
      <c r="G6844" s="25">
        <v>6.2440000000000005E-5</v>
      </c>
      <c r="H6844" s="25">
        <v>7.381E-5</v>
      </c>
      <c r="I6844" s="9">
        <v>1.0807E-4</v>
      </c>
      <c r="J6844" s="9">
        <v>1.0018000000000001E-4</v>
      </c>
      <c r="K6844" s="9">
        <v>4.2389999999999999E-5</v>
      </c>
      <c r="L6844" s="9">
        <v>8.0309999999999995E-5</v>
      </c>
      <c r="M6844" s="9">
        <v>8.6030000000000001E-5</v>
      </c>
      <c r="N6844" s="9">
        <v>9.0530000000000002E-5</v>
      </c>
      <c r="O6844" s="9">
        <v>6.2860000000000005E-5</v>
      </c>
      <c r="P6844" s="9">
        <v>6.0770000000000003E-5</v>
      </c>
      <c r="Q6844" s="9">
        <v>5.8950000000000003E-5</v>
      </c>
      <c r="R6844" s="10">
        <v>9.0304638823901772E-5</v>
      </c>
      <c r="S6844" s="10">
        <v>1.1558306601686688E-4</v>
      </c>
      <c r="T6844" s="10">
        <v>0</v>
      </c>
      <c r="U6844" s="10">
        <v>6.7689999999999997E-5</v>
      </c>
      <c r="V6844" s="25"/>
      <c r="W6844" s="25"/>
      <c r="X6844" s="25"/>
      <c r="Y6844" s="25"/>
      <c r="Z6844" s="25"/>
      <c r="AA6844" s="25"/>
    </row>
    <row r="6845" spans="1:27" x14ac:dyDescent="0.35">
      <c r="A6845" s="5">
        <v>6841</v>
      </c>
      <c r="B6845" s="5">
        <v>286</v>
      </c>
      <c r="C6845" s="5">
        <v>10</v>
      </c>
      <c r="D6845" s="25">
        <v>1.1416E-4</v>
      </c>
      <c r="E6845" s="25">
        <v>1.1351E-4</v>
      </c>
      <c r="F6845" s="25">
        <v>1.2878999999999999E-4</v>
      </c>
      <c r="G6845" s="25">
        <v>5.3709999999999999E-5</v>
      </c>
      <c r="H6845" s="25">
        <v>3.854E-5</v>
      </c>
      <c r="I6845" s="9">
        <v>1.0181E-4</v>
      </c>
      <c r="J6845" s="9">
        <v>9.4320000000000005E-5</v>
      </c>
      <c r="K6845" s="9">
        <v>4.8749999999999999E-5</v>
      </c>
      <c r="L6845" s="9">
        <v>6.6719999999999998E-5</v>
      </c>
      <c r="M6845" s="9">
        <v>7.3899999999999994E-5</v>
      </c>
      <c r="N6845" s="9">
        <v>8.1139999999999999E-5</v>
      </c>
      <c r="O6845" s="9">
        <v>6.8570000000000002E-5</v>
      </c>
      <c r="P6845" s="9">
        <v>6.1050000000000007E-5</v>
      </c>
      <c r="Q6845" s="9">
        <v>5.384E-5</v>
      </c>
      <c r="R6845" s="10">
        <v>8.7313795358968677E-5</v>
      </c>
      <c r="S6845" s="10">
        <v>1.2038704144809155E-4</v>
      </c>
      <c r="T6845" s="10">
        <v>0</v>
      </c>
      <c r="U6845" s="10">
        <v>6.9510000000000004E-5</v>
      </c>
      <c r="V6845" s="25"/>
      <c r="W6845" s="25"/>
      <c r="X6845" s="25"/>
      <c r="Y6845" s="25"/>
      <c r="Z6845" s="25"/>
      <c r="AA6845" s="25"/>
    </row>
    <row r="6846" spans="1:27" x14ac:dyDescent="0.35">
      <c r="A6846" s="5">
        <v>6842</v>
      </c>
      <c r="B6846" s="5">
        <v>286</v>
      </c>
      <c r="C6846" s="5">
        <v>10</v>
      </c>
      <c r="D6846" s="25">
        <v>1.1415000000000001E-4</v>
      </c>
      <c r="E6846" s="25">
        <v>1.1603E-4</v>
      </c>
      <c r="F6846" s="25">
        <v>1.45E-4</v>
      </c>
      <c r="G6846" s="25">
        <v>5.4669999999999997E-5</v>
      </c>
      <c r="H6846" s="25">
        <v>4.4950000000000002E-5</v>
      </c>
      <c r="I6846" s="9">
        <v>9.8389999999999998E-5</v>
      </c>
      <c r="J6846" s="9">
        <v>9.1459999999999995E-5</v>
      </c>
      <c r="K6846" s="9">
        <v>5.5099999999999998E-5</v>
      </c>
      <c r="L6846" s="9">
        <v>6.8540000000000004E-5</v>
      </c>
      <c r="M6846" s="9">
        <v>6.6409999999999996E-5</v>
      </c>
      <c r="N6846" s="9">
        <v>7.2109999999999999E-5</v>
      </c>
      <c r="O6846" s="9">
        <v>3.5120000000000003E-5</v>
      </c>
      <c r="P6846" s="9">
        <v>4.5819999999999998E-5</v>
      </c>
      <c r="Q6846" s="9">
        <v>5.6150000000000003E-5</v>
      </c>
      <c r="R6846" s="10">
        <v>1.0724218344605655E-4</v>
      </c>
      <c r="S6846" s="10">
        <v>1.2345018836222761E-4</v>
      </c>
      <c r="T6846" s="10">
        <v>0</v>
      </c>
      <c r="U6846" s="10">
        <v>6.9510000000000004E-5</v>
      </c>
      <c r="V6846" s="25"/>
      <c r="W6846" s="25"/>
      <c r="X6846" s="25"/>
      <c r="Y6846" s="25"/>
      <c r="Z6846" s="25"/>
      <c r="AA6846" s="25"/>
    </row>
    <row r="6847" spans="1:27" x14ac:dyDescent="0.35">
      <c r="A6847" s="5">
        <v>6843</v>
      </c>
      <c r="B6847" s="5">
        <v>286</v>
      </c>
      <c r="C6847" s="5">
        <v>10</v>
      </c>
      <c r="D6847" s="25">
        <v>1.1416E-4</v>
      </c>
      <c r="E6847" s="25">
        <v>1.1709000000000001E-4</v>
      </c>
      <c r="F6847" s="25">
        <v>1.2606E-4</v>
      </c>
      <c r="G6847" s="25">
        <v>6.0229999999999998E-5</v>
      </c>
      <c r="H6847" s="25">
        <v>4.4450000000000003E-5</v>
      </c>
      <c r="I6847" s="9">
        <v>9.7429999999999994E-5</v>
      </c>
      <c r="J6847" s="9">
        <v>9.0849999999999999E-5</v>
      </c>
      <c r="K6847" s="9">
        <v>6.1470000000000006E-5</v>
      </c>
      <c r="L6847" s="9">
        <v>4.2370000000000003E-5</v>
      </c>
      <c r="M6847" s="9">
        <v>5.7420000000000003E-5</v>
      </c>
      <c r="N6847" s="9">
        <v>6.5530000000000004E-5</v>
      </c>
      <c r="O6847" s="9">
        <v>2.1999999999999999E-5</v>
      </c>
      <c r="P6847" s="9">
        <v>4.2179999999999999E-5</v>
      </c>
      <c r="Q6847" s="9">
        <v>6.1699999999999995E-5</v>
      </c>
      <c r="R6847" s="10">
        <v>1.2088603400029624E-4</v>
      </c>
      <c r="S6847" s="10">
        <v>1.3864604494302036E-4</v>
      </c>
      <c r="T6847" s="10">
        <v>0</v>
      </c>
      <c r="U6847" s="10">
        <v>6.9510000000000004E-5</v>
      </c>
      <c r="V6847" s="25"/>
      <c r="W6847" s="25"/>
      <c r="X6847" s="25"/>
      <c r="Y6847" s="25"/>
      <c r="Z6847" s="25"/>
      <c r="AA6847" s="25"/>
    </row>
    <row r="6848" spans="1:27" x14ac:dyDescent="0.35">
      <c r="A6848" s="5">
        <v>6844</v>
      </c>
      <c r="B6848" s="5">
        <v>286</v>
      </c>
      <c r="C6848" s="5">
        <v>10</v>
      </c>
      <c r="D6848" s="25">
        <v>1.1415000000000001E-4</v>
      </c>
      <c r="E6848" s="25">
        <v>1.1815E-4</v>
      </c>
      <c r="F6848" s="25">
        <v>1.3435000000000001E-4</v>
      </c>
      <c r="G6848" s="25">
        <v>6.1389999999999993E-5</v>
      </c>
      <c r="H6848" s="25">
        <v>4.3619999999999999E-5</v>
      </c>
      <c r="I6848" s="9">
        <v>9.8189999999999993E-5</v>
      </c>
      <c r="J6848" s="9">
        <v>9.0790000000000003E-5</v>
      </c>
      <c r="K6848" s="9">
        <v>6.7819999999999998E-5</v>
      </c>
      <c r="L6848" s="9">
        <v>2.711E-5</v>
      </c>
      <c r="M6848" s="9">
        <v>4.9790000000000003E-5</v>
      </c>
      <c r="N6848" s="9">
        <v>6.198E-5</v>
      </c>
      <c r="O6848" s="9">
        <v>2.1350000000000001E-5</v>
      </c>
      <c r="P6848" s="9">
        <v>5.113E-5</v>
      </c>
      <c r="Q6848" s="9">
        <v>8.0099999999999995E-5</v>
      </c>
      <c r="R6848" s="10">
        <v>1.3000725631240009E-4</v>
      </c>
      <c r="S6848" s="10">
        <v>1.5665040585698329E-4</v>
      </c>
      <c r="T6848" s="10">
        <v>0</v>
      </c>
      <c r="U6848" s="10">
        <v>6.9510000000000004E-5</v>
      </c>
      <c r="V6848" s="25"/>
      <c r="W6848" s="25"/>
      <c r="X6848" s="25"/>
      <c r="Y6848" s="25"/>
      <c r="Z6848" s="25"/>
      <c r="AA6848" s="25"/>
    </row>
    <row r="6849" spans="1:27" x14ac:dyDescent="0.35">
      <c r="A6849" s="5">
        <v>6845</v>
      </c>
      <c r="B6849" s="5">
        <v>286</v>
      </c>
      <c r="C6849" s="5">
        <v>10</v>
      </c>
      <c r="D6849" s="25">
        <v>1.1416E-4</v>
      </c>
      <c r="E6849" s="25">
        <v>1.0951999999999999E-4</v>
      </c>
      <c r="F6849" s="25">
        <v>1.2740000000000001E-4</v>
      </c>
      <c r="G6849" s="25">
        <v>5.516E-5</v>
      </c>
      <c r="H6849" s="25">
        <v>3.9350000000000001E-5</v>
      </c>
      <c r="I6849" s="9">
        <v>1.0395000000000001E-4</v>
      </c>
      <c r="J6849" s="9">
        <v>9.31E-5</v>
      </c>
      <c r="K6849" s="9">
        <v>7.4179999999999998E-5</v>
      </c>
      <c r="L6849" s="9">
        <v>2.3079999999999999E-5</v>
      </c>
      <c r="M6849" s="9">
        <v>4.846E-5</v>
      </c>
      <c r="N6849" s="9">
        <v>6.4460000000000003E-5</v>
      </c>
      <c r="O6849" s="9">
        <v>2.3300000000000001E-5</v>
      </c>
      <c r="P6849" s="9">
        <v>5.8879999999999999E-5</v>
      </c>
      <c r="Q6849" s="9">
        <v>9.3579999999999995E-5</v>
      </c>
      <c r="R6849" s="10">
        <v>1.4152424401725814E-4</v>
      </c>
      <c r="S6849" s="10">
        <v>1.6894720278685829E-4</v>
      </c>
      <c r="T6849" s="10">
        <v>0</v>
      </c>
      <c r="U6849" s="10">
        <v>6.9510000000000004E-5</v>
      </c>
      <c r="V6849" s="25"/>
      <c r="W6849" s="25"/>
      <c r="X6849" s="25"/>
      <c r="Y6849" s="25"/>
      <c r="Z6849" s="25"/>
      <c r="AA6849" s="25"/>
    </row>
    <row r="6850" spans="1:27" x14ac:dyDescent="0.35">
      <c r="A6850" s="5">
        <v>6846</v>
      </c>
      <c r="B6850" s="5">
        <v>286</v>
      </c>
      <c r="C6850" s="5">
        <v>10</v>
      </c>
      <c r="D6850" s="25">
        <v>1.1415000000000001E-4</v>
      </c>
      <c r="E6850" s="25">
        <v>1.1413000000000001E-4</v>
      </c>
      <c r="F6850" s="25">
        <v>1.2896000000000001E-4</v>
      </c>
      <c r="G6850" s="25">
        <v>1.0817E-4</v>
      </c>
      <c r="H6850" s="25">
        <v>8.0010000000000001E-5</v>
      </c>
      <c r="I6850" s="9">
        <v>1.1626E-4</v>
      </c>
      <c r="J6850" s="9">
        <v>1.0280000000000001E-4</v>
      </c>
      <c r="K6850" s="9">
        <v>8.0539999999999998E-5</v>
      </c>
      <c r="L6850" s="9">
        <v>2.3180000000000002E-5</v>
      </c>
      <c r="M6850" s="9">
        <v>5.219E-5</v>
      </c>
      <c r="N6850" s="9">
        <v>7.0989999999999996E-5</v>
      </c>
      <c r="O6850" s="9">
        <v>2.9770000000000001E-5</v>
      </c>
      <c r="P6850" s="9">
        <v>6.9070000000000001E-5</v>
      </c>
      <c r="Q6850" s="9">
        <v>1.0749E-4</v>
      </c>
      <c r="R6850" s="10">
        <v>1.5157499433890402E-4</v>
      </c>
      <c r="S6850" s="10">
        <v>1.7207392893717614E-4</v>
      </c>
      <c r="T6850" s="10">
        <v>0</v>
      </c>
      <c r="U6850" s="10">
        <v>6.9510000000000004E-5</v>
      </c>
      <c r="V6850" s="25"/>
      <c r="W6850" s="25"/>
      <c r="X6850" s="25"/>
      <c r="Y6850" s="25"/>
      <c r="Z6850" s="25"/>
      <c r="AA6850" s="25"/>
    </row>
    <row r="6851" spans="1:27" x14ac:dyDescent="0.35">
      <c r="A6851" s="5">
        <v>6847</v>
      </c>
      <c r="B6851" s="5">
        <v>286</v>
      </c>
      <c r="C6851" s="5">
        <v>10</v>
      </c>
      <c r="D6851" s="25">
        <v>1.1416E-4</v>
      </c>
      <c r="E6851" s="25">
        <v>1.1668E-4</v>
      </c>
      <c r="F6851" s="25">
        <v>1.3192999999999999E-4</v>
      </c>
      <c r="G6851" s="25">
        <v>1.1178E-4</v>
      </c>
      <c r="H6851" s="25">
        <v>8.1219999999999998E-5</v>
      </c>
      <c r="I6851" s="9">
        <v>1.3061999999999999E-4</v>
      </c>
      <c r="J6851" s="9">
        <v>1.2069E-4</v>
      </c>
      <c r="K6851" s="9">
        <v>6.9939999999999998E-5</v>
      </c>
      <c r="L6851" s="9">
        <v>2.8220000000000001E-5</v>
      </c>
      <c r="M6851" s="9">
        <v>5.9370000000000002E-5</v>
      </c>
      <c r="N6851" s="9">
        <v>8.0790000000000004E-5</v>
      </c>
      <c r="O6851" s="9">
        <v>4.6560000000000001E-5</v>
      </c>
      <c r="P6851" s="9">
        <v>8.0270000000000002E-5</v>
      </c>
      <c r="Q6851" s="9">
        <v>1.1338E-4</v>
      </c>
      <c r="R6851" s="10">
        <v>1.5872102672428391E-4</v>
      </c>
      <c r="S6851" s="10">
        <v>1.7473667778563742E-4</v>
      </c>
      <c r="T6851" s="10">
        <v>0</v>
      </c>
      <c r="U6851" s="10">
        <v>6.9510000000000004E-5</v>
      </c>
      <c r="V6851" s="25"/>
      <c r="W6851" s="25"/>
      <c r="X6851" s="25"/>
      <c r="Y6851" s="25"/>
      <c r="Z6851" s="25"/>
      <c r="AA6851" s="25"/>
    </row>
    <row r="6852" spans="1:27" x14ac:dyDescent="0.35">
      <c r="A6852" s="5">
        <v>6848</v>
      </c>
      <c r="B6852" s="5">
        <v>286</v>
      </c>
      <c r="C6852" s="5">
        <v>10</v>
      </c>
      <c r="D6852" s="25">
        <v>1.1415000000000001E-4</v>
      </c>
      <c r="E6852" s="25">
        <v>1.1996E-4</v>
      </c>
      <c r="F6852" s="25">
        <v>1.2674999999999999E-4</v>
      </c>
      <c r="G6852" s="25">
        <v>1.6343E-4</v>
      </c>
      <c r="H6852" s="25">
        <v>1.1713E-4</v>
      </c>
      <c r="I6852" s="9">
        <v>1.3151999999999999E-4</v>
      </c>
      <c r="J6852" s="9">
        <v>1.3264E-4</v>
      </c>
      <c r="K6852" s="9">
        <v>3.8149999999999999E-5</v>
      </c>
      <c r="L6852" s="9">
        <v>4.2370000000000003E-5</v>
      </c>
      <c r="M6852" s="9">
        <v>6.8689999999999995E-5</v>
      </c>
      <c r="N6852" s="9">
        <v>9.1089999999999997E-5</v>
      </c>
      <c r="O6852" s="9">
        <v>6.7949999999999998E-5</v>
      </c>
      <c r="P6852" s="9">
        <v>1.0218E-4</v>
      </c>
      <c r="Q6852" s="9">
        <v>1.3605999999999999E-4</v>
      </c>
      <c r="R6852" s="10">
        <v>1.6372425762157451E-4</v>
      </c>
      <c r="S6852" s="10">
        <v>1.7295761102360379E-4</v>
      </c>
      <c r="T6852" s="10">
        <v>5.2585687372183314E-5</v>
      </c>
      <c r="U6852" s="10">
        <v>6.9510000000000004E-5</v>
      </c>
      <c r="V6852" s="25"/>
      <c r="W6852" s="25"/>
      <c r="X6852" s="25"/>
      <c r="Y6852" s="25"/>
      <c r="Z6852" s="25"/>
      <c r="AA6852" s="25"/>
    </row>
    <row r="6853" spans="1:27" x14ac:dyDescent="0.35">
      <c r="A6853" s="5">
        <v>6849</v>
      </c>
      <c r="B6853" s="5">
        <v>286</v>
      </c>
      <c r="C6853" s="5">
        <v>10</v>
      </c>
      <c r="D6853" s="25">
        <v>1.1416E-4</v>
      </c>
      <c r="E6853" s="25">
        <v>1.1728E-4</v>
      </c>
      <c r="F6853" s="25">
        <v>1.4430000000000001E-4</v>
      </c>
      <c r="G6853" s="25">
        <v>1.6563999999999999E-4</v>
      </c>
      <c r="H6853" s="25">
        <v>1.1848E-4</v>
      </c>
      <c r="I6853" s="9">
        <v>1.3454E-4</v>
      </c>
      <c r="J6853" s="9">
        <v>1.3710999999999999E-4</v>
      </c>
      <c r="K6853" s="9">
        <v>2.12E-6</v>
      </c>
      <c r="L6853" s="9">
        <v>6.1940000000000007E-5</v>
      </c>
      <c r="M6853" s="9">
        <v>8.3059999999999994E-5</v>
      </c>
      <c r="N6853" s="9">
        <v>1.0467999999999999E-4</v>
      </c>
      <c r="O6853" s="9">
        <v>9.9199999999999999E-5</v>
      </c>
      <c r="P6853" s="9">
        <v>1.3740000000000001E-4</v>
      </c>
      <c r="Q6853" s="9">
        <v>1.7556000000000001E-4</v>
      </c>
      <c r="R6853" s="10">
        <v>1.7341478978783042E-4</v>
      </c>
      <c r="S6853" s="10">
        <v>1.7152075185734354E-4</v>
      </c>
      <c r="T6853" s="10">
        <v>3.8449147794975859E-4</v>
      </c>
      <c r="U6853" s="10">
        <v>6.9510000000000004E-5</v>
      </c>
      <c r="V6853" s="25"/>
      <c r="W6853" s="25"/>
      <c r="X6853" s="25"/>
      <c r="Y6853" s="25"/>
      <c r="Z6853" s="25"/>
      <c r="AA6853" s="25"/>
    </row>
    <row r="6854" spans="1:27" x14ac:dyDescent="0.35">
      <c r="A6854" s="5">
        <v>6850</v>
      </c>
      <c r="B6854" s="5">
        <v>286</v>
      </c>
      <c r="C6854" s="5">
        <v>10</v>
      </c>
      <c r="D6854" s="25">
        <v>1.1415000000000001E-4</v>
      </c>
      <c r="E6854" s="25">
        <v>1.1612000000000001E-4</v>
      </c>
      <c r="F6854" s="25">
        <v>1.3430000000000001E-4</v>
      </c>
      <c r="G6854" s="25">
        <v>1.6543999999999999E-4</v>
      </c>
      <c r="H6854" s="25">
        <v>1.1573E-4</v>
      </c>
      <c r="I6854" s="9">
        <v>1.3537E-4</v>
      </c>
      <c r="J6854" s="9">
        <v>1.3770000000000001E-4</v>
      </c>
      <c r="K6854" s="9">
        <v>0</v>
      </c>
      <c r="L6854" s="9">
        <v>9.0489999999999996E-5</v>
      </c>
      <c r="M6854" s="9">
        <v>1.0624E-4</v>
      </c>
      <c r="N6854" s="9">
        <v>1.2438E-4</v>
      </c>
      <c r="O6854" s="9">
        <v>1.2752999999999999E-4</v>
      </c>
      <c r="P6854" s="9">
        <v>1.5370999999999999E-4</v>
      </c>
      <c r="Q6854" s="9">
        <v>1.8034999999999999E-4</v>
      </c>
      <c r="R6854" s="10">
        <v>1.6702653503084739E-4</v>
      </c>
      <c r="S6854" s="10">
        <v>1.6727803014080346E-4</v>
      </c>
      <c r="T6854" s="10">
        <v>3.4979069360767569E-4</v>
      </c>
      <c r="U6854" s="10">
        <v>6.9510000000000004E-5</v>
      </c>
      <c r="V6854" s="25"/>
      <c r="W6854" s="25"/>
      <c r="X6854" s="25"/>
      <c r="Y6854" s="25"/>
      <c r="Z6854" s="25"/>
      <c r="AA6854" s="25"/>
    </row>
    <row r="6855" spans="1:27" x14ac:dyDescent="0.35">
      <c r="A6855" s="5">
        <v>6851</v>
      </c>
      <c r="B6855" s="5">
        <v>286</v>
      </c>
      <c r="C6855" s="5">
        <v>10</v>
      </c>
      <c r="D6855" s="25">
        <v>1.1416E-4</v>
      </c>
      <c r="E6855" s="25">
        <v>1.1404E-4</v>
      </c>
      <c r="F6855" s="25">
        <v>1.3165E-4</v>
      </c>
      <c r="G6855" s="25">
        <v>1.6207999999999999E-4</v>
      </c>
      <c r="H6855" s="25">
        <v>1.1824000000000001E-4</v>
      </c>
      <c r="I6855" s="9">
        <v>1.3678E-4</v>
      </c>
      <c r="J6855" s="9">
        <v>1.3789999999999999E-4</v>
      </c>
      <c r="K6855" s="9">
        <v>0</v>
      </c>
      <c r="L6855" s="9">
        <v>1.1869E-4</v>
      </c>
      <c r="M6855" s="9">
        <v>1.2918000000000001E-4</v>
      </c>
      <c r="N6855" s="9">
        <v>1.4207E-4</v>
      </c>
      <c r="O6855" s="9">
        <v>1.3666000000000001E-4</v>
      </c>
      <c r="P6855" s="9">
        <v>1.5746999999999999E-4</v>
      </c>
      <c r="Q6855" s="9">
        <v>1.7893E-4</v>
      </c>
      <c r="R6855" s="10">
        <v>1.5911595570526651E-4</v>
      </c>
      <c r="S6855" s="10">
        <v>1.6164327283249523E-4</v>
      </c>
      <c r="T6855" s="10">
        <v>2.3858698202535767E-4</v>
      </c>
      <c r="U6855" s="10">
        <v>6.9510000000000004E-5</v>
      </c>
      <c r="V6855" s="25"/>
      <c r="W6855" s="25"/>
      <c r="X6855" s="25"/>
      <c r="Y6855" s="25"/>
      <c r="Z6855" s="25"/>
      <c r="AA6855" s="25"/>
    </row>
    <row r="6856" spans="1:27" x14ac:dyDescent="0.35">
      <c r="A6856" s="5">
        <v>6852</v>
      </c>
      <c r="B6856" s="5">
        <v>286</v>
      </c>
      <c r="C6856" s="5">
        <v>10</v>
      </c>
      <c r="D6856" s="25">
        <v>1.1415000000000001E-4</v>
      </c>
      <c r="E6856" s="25">
        <v>1.1605E-4</v>
      </c>
      <c r="F6856" s="25">
        <v>1.2412E-4</v>
      </c>
      <c r="G6856" s="25">
        <v>1.5783999999999999E-4</v>
      </c>
      <c r="H6856" s="25">
        <v>1.1245E-4</v>
      </c>
      <c r="I6856" s="9">
        <v>1.3453E-4</v>
      </c>
      <c r="J6856" s="9">
        <v>1.3569E-4</v>
      </c>
      <c r="K6856" s="9">
        <v>0</v>
      </c>
      <c r="L6856" s="9">
        <v>1.3203999999999999E-4</v>
      </c>
      <c r="M6856" s="9">
        <v>1.4479E-4</v>
      </c>
      <c r="N6856" s="9">
        <v>1.5603000000000001E-4</v>
      </c>
      <c r="O6856" s="9">
        <v>1.3955E-4</v>
      </c>
      <c r="P6856" s="9">
        <v>1.5716999999999999E-4</v>
      </c>
      <c r="Q6856" s="9">
        <v>1.7551000000000001E-4</v>
      </c>
      <c r="R6856" s="10">
        <v>1.5244092084704185E-4</v>
      </c>
      <c r="S6856" s="10">
        <v>1.4773005628023934E-4</v>
      </c>
      <c r="T6856" s="10">
        <v>1.044841464970051E-4</v>
      </c>
      <c r="U6856" s="10">
        <v>6.9510000000000004E-5</v>
      </c>
      <c r="V6856" s="25"/>
      <c r="W6856" s="25"/>
      <c r="X6856" s="25"/>
      <c r="Y6856" s="25"/>
      <c r="Z6856" s="25"/>
      <c r="AA6856" s="25"/>
    </row>
    <row r="6857" spans="1:27" x14ac:dyDescent="0.35">
      <c r="A6857" s="5">
        <v>6853</v>
      </c>
      <c r="B6857" s="5">
        <v>286</v>
      </c>
      <c r="C6857" s="5">
        <v>10</v>
      </c>
      <c r="D6857" s="25">
        <v>1.1416E-4</v>
      </c>
      <c r="E6857" s="25">
        <v>1.1107000000000001E-4</v>
      </c>
      <c r="F6857" s="25">
        <v>1.2692000000000001E-4</v>
      </c>
      <c r="G6857" s="25">
        <v>1.5621999999999999E-4</v>
      </c>
      <c r="H6857" s="25">
        <v>1.1585E-4</v>
      </c>
      <c r="I6857" s="9">
        <v>1.3493000000000001E-4</v>
      </c>
      <c r="J6857" s="9">
        <v>1.3420000000000001E-4</v>
      </c>
      <c r="K6857" s="9">
        <v>0</v>
      </c>
      <c r="L6857" s="9">
        <v>1.3771000000000001E-4</v>
      </c>
      <c r="M6857" s="9">
        <v>1.5260999999999999E-4</v>
      </c>
      <c r="N6857" s="9">
        <v>1.6583E-4</v>
      </c>
      <c r="O6857" s="9">
        <v>1.294E-4</v>
      </c>
      <c r="P6857" s="9">
        <v>1.4760000000000001E-4</v>
      </c>
      <c r="Q6857" s="9">
        <v>1.6641E-4</v>
      </c>
      <c r="R6857" s="10">
        <v>1.4648476229128587E-4</v>
      </c>
      <c r="S6857" s="10">
        <v>1.3713076246953891E-4</v>
      </c>
      <c r="T6857" s="10">
        <v>5.093124899890553E-5</v>
      </c>
      <c r="U6857" s="10">
        <v>6.9510000000000004E-5</v>
      </c>
      <c r="V6857" s="25"/>
      <c r="W6857" s="25"/>
      <c r="X6857" s="25"/>
      <c r="Y6857" s="25"/>
      <c r="Z6857" s="25"/>
      <c r="AA6857" s="25"/>
    </row>
    <row r="6858" spans="1:27" x14ac:dyDescent="0.35">
      <c r="A6858" s="5">
        <v>6854</v>
      </c>
      <c r="B6858" s="5">
        <v>286</v>
      </c>
      <c r="C6858" s="5">
        <v>10</v>
      </c>
      <c r="D6858" s="25">
        <v>1.1415000000000001E-4</v>
      </c>
      <c r="E6858" s="25">
        <v>1.1365E-4</v>
      </c>
      <c r="F6858" s="25">
        <v>1.2844000000000001E-4</v>
      </c>
      <c r="G6858" s="25">
        <v>1.5824E-4</v>
      </c>
      <c r="H6858" s="25">
        <v>1.1566E-4</v>
      </c>
      <c r="I6858" s="9">
        <v>1.3327E-4</v>
      </c>
      <c r="J6858" s="9">
        <v>1.3365999999999999E-4</v>
      </c>
      <c r="K6858" s="9">
        <v>0</v>
      </c>
      <c r="L6858" s="9">
        <v>1.3124999999999999E-4</v>
      </c>
      <c r="M6858" s="9">
        <v>1.5236000000000001E-4</v>
      </c>
      <c r="N6858" s="9">
        <v>1.7003E-4</v>
      </c>
      <c r="O6858" s="9">
        <v>1.1213E-4</v>
      </c>
      <c r="P6858" s="9">
        <v>1.3595999999999999E-4</v>
      </c>
      <c r="Q6858" s="9">
        <v>1.6011000000000001E-4</v>
      </c>
      <c r="R6858" s="10">
        <v>1.4594054306358277E-4</v>
      </c>
      <c r="S6858" s="10">
        <v>1.3339613916370571E-4</v>
      </c>
      <c r="T6858" s="10">
        <v>4.5357064325861897E-5</v>
      </c>
      <c r="U6858" s="10">
        <v>6.9510000000000004E-5</v>
      </c>
      <c r="V6858" s="25"/>
      <c r="W6858" s="25"/>
      <c r="X6858" s="25"/>
      <c r="Y6858" s="25"/>
      <c r="Z6858" s="25"/>
      <c r="AA6858" s="25"/>
    </row>
    <row r="6859" spans="1:27" x14ac:dyDescent="0.35">
      <c r="A6859" s="5">
        <v>6855</v>
      </c>
      <c r="B6859" s="5">
        <v>286</v>
      </c>
      <c r="C6859" s="5">
        <v>10</v>
      </c>
      <c r="D6859" s="25">
        <v>1.1416E-4</v>
      </c>
      <c r="E6859" s="25">
        <v>1.1039000000000001E-4</v>
      </c>
      <c r="F6859" s="25">
        <v>1.3023000000000001E-4</v>
      </c>
      <c r="G6859" s="25">
        <v>1.5644000000000001E-4</v>
      </c>
      <c r="H6859" s="25">
        <v>1.1841E-4</v>
      </c>
      <c r="I6859" s="9">
        <v>1.3231000000000001E-4</v>
      </c>
      <c r="J6859" s="9">
        <v>1.3402999999999999E-4</v>
      </c>
      <c r="K6859" s="9">
        <v>0</v>
      </c>
      <c r="L6859" s="9">
        <v>1.1658999999999999E-4</v>
      </c>
      <c r="M6859" s="9">
        <v>1.461E-4</v>
      </c>
      <c r="N6859" s="9">
        <v>1.6954000000000001E-4</v>
      </c>
      <c r="O6859" s="9">
        <v>1.2621E-4</v>
      </c>
      <c r="P6859" s="9">
        <v>1.3838000000000001E-4</v>
      </c>
      <c r="Q6859" s="9">
        <v>1.5122000000000001E-4</v>
      </c>
      <c r="R6859" s="10">
        <v>1.5166426801747381E-4</v>
      </c>
      <c r="S6859" s="10">
        <v>1.3686961386938612E-4</v>
      </c>
      <c r="T6859" s="10">
        <v>3.2274274727942133E-5</v>
      </c>
      <c r="U6859" s="10">
        <v>6.9510000000000004E-5</v>
      </c>
      <c r="V6859" s="25"/>
      <c r="W6859" s="25"/>
      <c r="X6859" s="25"/>
      <c r="Y6859" s="25"/>
      <c r="Z6859" s="25"/>
      <c r="AA6859" s="25"/>
    </row>
    <row r="6860" spans="1:27" x14ac:dyDescent="0.35">
      <c r="A6860" s="5">
        <v>6856</v>
      </c>
      <c r="B6860" s="5">
        <v>286</v>
      </c>
      <c r="C6860" s="5">
        <v>10</v>
      </c>
      <c r="D6860" s="25">
        <v>1.1415000000000001E-4</v>
      </c>
      <c r="E6860" s="25">
        <v>1.1101E-4</v>
      </c>
      <c r="F6860" s="25">
        <v>1.2980000000000001E-4</v>
      </c>
      <c r="G6860" s="25">
        <v>1.6231000000000001E-4</v>
      </c>
      <c r="H6860" s="25">
        <v>1.1620000000000001E-4</v>
      </c>
      <c r="I6860" s="9">
        <v>1.3145E-4</v>
      </c>
      <c r="J6860" s="9">
        <v>1.3473000000000001E-4</v>
      </c>
      <c r="K6860" s="9">
        <v>0</v>
      </c>
      <c r="L6860" s="9">
        <v>1.2452000000000001E-4</v>
      </c>
      <c r="M6860" s="9">
        <v>1.4155999999999999E-4</v>
      </c>
      <c r="N6860" s="9">
        <v>1.6551000000000001E-4</v>
      </c>
      <c r="O6860" s="9">
        <v>1.3453E-4</v>
      </c>
      <c r="P6860" s="9">
        <v>1.2169E-4</v>
      </c>
      <c r="Q6860" s="9">
        <v>1.1E-4</v>
      </c>
      <c r="R6860" s="10">
        <v>1.5555332396747162E-4</v>
      </c>
      <c r="S6860" s="10">
        <v>1.4784713862027953E-4</v>
      </c>
      <c r="T6860" s="10">
        <v>1.1077949661481083E-4</v>
      </c>
      <c r="U6860" s="10">
        <v>6.9510000000000004E-5</v>
      </c>
      <c r="V6860" s="25"/>
      <c r="W6860" s="25"/>
      <c r="X6860" s="25"/>
      <c r="Y6860" s="25"/>
      <c r="Z6860" s="25"/>
      <c r="AA6860" s="25"/>
    </row>
    <row r="6861" spans="1:27" x14ac:dyDescent="0.35">
      <c r="A6861" s="5">
        <v>6857</v>
      </c>
      <c r="B6861" s="5">
        <v>286</v>
      </c>
      <c r="C6861" s="5">
        <v>10</v>
      </c>
      <c r="D6861" s="25">
        <v>1.1416E-4</v>
      </c>
      <c r="E6861" s="25">
        <v>1.1832000000000001E-4</v>
      </c>
      <c r="F6861" s="25">
        <v>1.2920999999999999E-4</v>
      </c>
      <c r="G6861" s="25">
        <v>1.5877999999999999E-4</v>
      </c>
      <c r="H6861" s="25">
        <v>1.1981000000000001E-4</v>
      </c>
      <c r="I6861" s="9">
        <v>1.3302E-4</v>
      </c>
      <c r="J6861" s="9">
        <v>1.3681000000000001E-4</v>
      </c>
      <c r="K6861" s="9">
        <v>0</v>
      </c>
      <c r="L6861" s="9">
        <v>1.3206000000000001E-4</v>
      </c>
      <c r="M6861" s="9">
        <v>1.3339999999999999E-4</v>
      </c>
      <c r="N6861" s="9">
        <v>1.5197E-4</v>
      </c>
      <c r="O6861" s="9">
        <v>1.4040999999999999E-4</v>
      </c>
      <c r="P6861" s="9">
        <v>1.2313999999999999E-4</v>
      </c>
      <c r="Q6861" s="9">
        <v>1.0717000000000001E-4</v>
      </c>
      <c r="R6861" s="10">
        <v>1.4923560570746864E-4</v>
      </c>
      <c r="S6861" s="10">
        <v>1.618166439379373E-4</v>
      </c>
      <c r="T6861" s="10">
        <v>2.6233453590640665E-5</v>
      </c>
      <c r="U6861" s="10">
        <v>6.9510000000000004E-5</v>
      </c>
      <c r="V6861" s="25"/>
      <c r="W6861" s="25"/>
      <c r="X6861" s="25"/>
      <c r="Y6861" s="25"/>
      <c r="Z6861" s="25"/>
      <c r="AA6861" s="25"/>
    </row>
    <row r="6862" spans="1:27" x14ac:dyDescent="0.35">
      <c r="A6862" s="5">
        <v>6858</v>
      </c>
      <c r="B6862" s="5">
        <v>286</v>
      </c>
      <c r="C6862" s="5">
        <v>10</v>
      </c>
      <c r="D6862" s="25">
        <v>1.1415000000000001E-4</v>
      </c>
      <c r="E6862" s="25">
        <v>1.1137999999999999E-4</v>
      </c>
      <c r="F6862" s="25">
        <v>1.4447E-4</v>
      </c>
      <c r="G6862" s="25">
        <v>1.6509000000000001E-4</v>
      </c>
      <c r="H6862" s="25">
        <v>1.1723E-4</v>
      </c>
      <c r="I6862" s="9">
        <v>1.3409000000000001E-4</v>
      </c>
      <c r="J6862" s="9">
        <v>1.3480999999999999E-4</v>
      </c>
      <c r="K6862" s="9">
        <v>2.968E-5</v>
      </c>
      <c r="L6862" s="9">
        <v>1.3825E-4</v>
      </c>
      <c r="M6862" s="9">
        <v>1.2766000000000001E-4</v>
      </c>
      <c r="N6862" s="9">
        <v>1.3870000000000001E-4</v>
      </c>
      <c r="O6862" s="9">
        <v>1.4101000000000001E-4</v>
      </c>
      <c r="P6862" s="9">
        <v>1.2875000000000001E-4</v>
      </c>
      <c r="Q6862" s="9">
        <v>1.1771E-4</v>
      </c>
      <c r="R6862" s="10">
        <v>1.298406637944203E-4</v>
      </c>
      <c r="S6862" s="10">
        <v>1.6939898682924261E-4</v>
      </c>
      <c r="T6862" s="10">
        <v>0</v>
      </c>
      <c r="U6862" s="10">
        <v>6.9510000000000004E-5</v>
      </c>
      <c r="V6862" s="25"/>
      <c r="W6862" s="25"/>
      <c r="X6862" s="25"/>
      <c r="Y6862" s="25"/>
      <c r="Z6862" s="25"/>
      <c r="AA6862" s="25"/>
    </row>
    <row r="6863" spans="1:27" x14ac:dyDescent="0.35">
      <c r="A6863" s="5">
        <v>6859</v>
      </c>
      <c r="B6863" s="5">
        <v>286</v>
      </c>
      <c r="C6863" s="5">
        <v>10</v>
      </c>
      <c r="D6863" s="25">
        <v>1.1416E-4</v>
      </c>
      <c r="E6863" s="25">
        <v>1.1464E-4</v>
      </c>
      <c r="F6863" s="25">
        <v>1.3148000000000001E-4</v>
      </c>
      <c r="G6863" s="25">
        <v>1.1558E-4</v>
      </c>
      <c r="H6863" s="25">
        <v>7.5820000000000003E-5</v>
      </c>
      <c r="I6863" s="9">
        <v>1.3538999999999999E-4</v>
      </c>
      <c r="J6863" s="9">
        <v>1.3626E-4</v>
      </c>
      <c r="K6863" s="9">
        <v>5.0859999999999998E-5</v>
      </c>
      <c r="L6863" s="9">
        <v>1.403E-4</v>
      </c>
      <c r="M6863" s="9">
        <v>1.2673E-4</v>
      </c>
      <c r="N6863" s="9">
        <v>1.2975000000000001E-4</v>
      </c>
      <c r="O6863" s="9">
        <v>1.4062999999999999E-4</v>
      </c>
      <c r="P6863" s="9">
        <v>1.2281E-4</v>
      </c>
      <c r="Q6863" s="9">
        <v>1.063E-4</v>
      </c>
      <c r="R6863" s="10">
        <v>1.0140408095354058E-4</v>
      </c>
      <c r="S6863" s="10">
        <v>1.7185857423512995E-4</v>
      </c>
      <c r="T6863" s="10">
        <v>0</v>
      </c>
      <c r="U6863" s="10">
        <v>6.9510000000000004E-5</v>
      </c>
      <c r="V6863" s="25"/>
      <c r="W6863" s="25"/>
      <c r="X6863" s="25"/>
      <c r="Y6863" s="25"/>
      <c r="Z6863" s="25"/>
      <c r="AA6863" s="25"/>
    </row>
    <row r="6864" spans="1:27" x14ac:dyDescent="0.35">
      <c r="A6864" s="5">
        <v>6860</v>
      </c>
      <c r="B6864" s="5">
        <v>286</v>
      </c>
      <c r="C6864" s="5">
        <v>10</v>
      </c>
      <c r="D6864" s="25">
        <v>1.1415000000000001E-4</v>
      </c>
      <c r="E6864" s="25">
        <v>1.1809E-4</v>
      </c>
      <c r="F6864" s="25">
        <v>1.2454999999999999E-4</v>
      </c>
      <c r="G6864" s="25">
        <v>1.0568E-4</v>
      </c>
      <c r="H6864" s="25">
        <v>8.1269999999999999E-5</v>
      </c>
      <c r="I6864" s="9">
        <v>1.3014999999999999E-4</v>
      </c>
      <c r="J6864" s="9">
        <v>1.3328999999999999E-4</v>
      </c>
      <c r="K6864" s="9">
        <v>4.0269999999999999E-5</v>
      </c>
      <c r="L6864" s="9">
        <v>1.4055E-4</v>
      </c>
      <c r="M6864" s="9">
        <v>1.2533999999999999E-4</v>
      </c>
      <c r="N6864" s="9">
        <v>1.2057000000000001E-4</v>
      </c>
      <c r="O6864" s="9">
        <v>1.4426E-4</v>
      </c>
      <c r="P6864" s="9">
        <v>1.2243000000000001E-4</v>
      </c>
      <c r="Q6864" s="9">
        <v>1.0200999999999999E-4</v>
      </c>
      <c r="R6864" s="10">
        <v>7.6781204840099793E-5</v>
      </c>
      <c r="S6864" s="10">
        <v>1.6942802556289317E-4</v>
      </c>
      <c r="T6864" s="10">
        <v>0</v>
      </c>
      <c r="U6864" s="10">
        <v>6.9510000000000004E-5</v>
      </c>
      <c r="V6864" s="25"/>
      <c r="W6864" s="25"/>
      <c r="X6864" s="25"/>
      <c r="Y6864" s="25"/>
      <c r="Z6864" s="25"/>
      <c r="AA6864" s="25"/>
    </row>
    <row r="6865" spans="1:27" x14ac:dyDescent="0.35">
      <c r="A6865" s="5">
        <v>6861</v>
      </c>
      <c r="B6865" s="5">
        <v>286</v>
      </c>
      <c r="C6865" s="5">
        <v>10</v>
      </c>
      <c r="D6865" s="25">
        <v>1.1416E-4</v>
      </c>
      <c r="E6865" s="25">
        <v>1.161E-4</v>
      </c>
      <c r="F6865" s="25">
        <v>1.4601999999999999E-4</v>
      </c>
      <c r="G6865" s="25">
        <v>5.6199999999999997E-5</v>
      </c>
      <c r="H6865" s="25">
        <v>3.7830000000000002E-5</v>
      </c>
      <c r="I6865" s="9">
        <v>1.2234E-4</v>
      </c>
      <c r="J6865" s="9">
        <v>1.2526E-4</v>
      </c>
      <c r="K6865" s="9">
        <v>5.2989999999999999E-5</v>
      </c>
      <c r="L6865" s="9">
        <v>1.4348E-4</v>
      </c>
      <c r="M6865" s="9">
        <v>1.2395E-4</v>
      </c>
      <c r="N6865" s="9">
        <v>1.1302E-4</v>
      </c>
      <c r="O6865" s="9">
        <v>8.462E-5</v>
      </c>
      <c r="P6865" s="9">
        <v>8.6269999999999999E-5</v>
      </c>
      <c r="Q6865" s="9">
        <v>8.8259999999999999E-5</v>
      </c>
      <c r="R6865" s="10">
        <v>5.8167225056083186E-5</v>
      </c>
      <c r="S6865" s="10">
        <v>1.6506127726872934E-4</v>
      </c>
      <c r="T6865" s="10">
        <v>0</v>
      </c>
      <c r="U6865" s="10">
        <v>6.9510000000000004E-5</v>
      </c>
      <c r="V6865" s="25"/>
      <c r="W6865" s="25"/>
      <c r="X6865" s="25"/>
      <c r="Y6865" s="25"/>
      <c r="Z6865" s="25"/>
      <c r="AA6865" s="25"/>
    </row>
    <row r="6866" spans="1:27" x14ac:dyDescent="0.35">
      <c r="A6866" s="5">
        <v>6862</v>
      </c>
      <c r="B6866" s="5">
        <v>286</v>
      </c>
      <c r="C6866" s="5">
        <v>10</v>
      </c>
      <c r="D6866" s="25">
        <v>1.1415000000000001E-4</v>
      </c>
      <c r="E6866" s="25">
        <v>1.1681E-4</v>
      </c>
      <c r="F6866" s="25">
        <v>1.3202E-4</v>
      </c>
      <c r="G6866" s="25">
        <v>5.2469999999999997E-5</v>
      </c>
      <c r="H6866" s="25">
        <v>4.3210000000000001E-5</v>
      </c>
      <c r="I6866" s="9">
        <v>1.1987E-4</v>
      </c>
      <c r="J6866" s="9">
        <v>1.1627E-4</v>
      </c>
      <c r="K6866" s="9">
        <v>3.6029999999999999E-5</v>
      </c>
      <c r="L6866" s="9">
        <v>9.7499999999999998E-5</v>
      </c>
      <c r="M6866" s="9">
        <v>1.1E-4</v>
      </c>
      <c r="N6866" s="9">
        <v>1.0547E-4</v>
      </c>
      <c r="O6866" s="9">
        <v>8.7319999999999997E-5</v>
      </c>
      <c r="P6866" s="9">
        <v>8.7570000000000004E-5</v>
      </c>
      <c r="Q6866" s="9">
        <v>8.8209999999999997E-5</v>
      </c>
      <c r="R6866" s="10">
        <v>4.3148742165499E-5</v>
      </c>
      <c r="S6866" s="10">
        <v>1.5997117221469185E-4</v>
      </c>
      <c r="T6866" s="10">
        <v>0</v>
      </c>
      <c r="U6866" s="10">
        <v>6.9510000000000004E-5</v>
      </c>
      <c r="V6866" s="25"/>
      <c r="W6866" s="25"/>
      <c r="X6866" s="25"/>
      <c r="Y6866" s="25"/>
      <c r="Z6866" s="25"/>
      <c r="AA6866" s="25"/>
    </row>
    <row r="6867" spans="1:27" x14ac:dyDescent="0.35">
      <c r="A6867" s="5">
        <v>6863</v>
      </c>
      <c r="B6867" s="5">
        <v>286</v>
      </c>
      <c r="C6867" s="5">
        <v>10</v>
      </c>
      <c r="D6867" s="25">
        <v>1.1416E-4</v>
      </c>
      <c r="E6867" s="25">
        <v>1.1286E-4</v>
      </c>
      <c r="F6867" s="25">
        <v>1.4139E-4</v>
      </c>
      <c r="G6867" s="25">
        <v>5.2750000000000001E-5</v>
      </c>
      <c r="H6867" s="25">
        <v>4.1390000000000002E-5</v>
      </c>
      <c r="I6867" s="9">
        <v>1.17E-4</v>
      </c>
      <c r="J6867" s="9">
        <v>1.0757E-4</v>
      </c>
      <c r="K6867" s="9">
        <v>4.0269999999999999E-5</v>
      </c>
      <c r="L6867" s="9">
        <v>9.0829999999999996E-5</v>
      </c>
      <c r="M6867" s="9">
        <v>9.8170000000000004E-5</v>
      </c>
      <c r="N6867" s="9">
        <v>9.9699999999999998E-5</v>
      </c>
      <c r="O6867" s="9">
        <v>8.5080000000000005E-5</v>
      </c>
      <c r="P6867" s="9">
        <v>7.5889999999999993E-5</v>
      </c>
      <c r="Q6867" s="9">
        <v>6.7219999999999997E-5</v>
      </c>
      <c r="R6867" s="10">
        <v>2.9468824505623494E-5</v>
      </c>
      <c r="S6867" s="10">
        <v>1.5451780023166266E-4</v>
      </c>
      <c r="T6867" s="10">
        <v>0</v>
      </c>
      <c r="U6867" s="10">
        <v>6.9510000000000004E-5</v>
      </c>
      <c r="V6867" s="25"/>
      <c r="W6867" s="25"/>
      <c r="X6867" s="25"/>
      <c r="Y6867" s="25"/>
      <c r="Z6867" s="25"/>
      <c r="AA6867" s="25"/>
    </row>
    <row r="6868" spans="1:27" x14ac:dyDescent="0.35">
      <c r="A6868" s="5">
        <v>6864</v>
      </c>
      <c r="B6868" s="5">
        <v>286</v>
      </c>
      <c r="C6868" s="5">
        <v>10</v>
      </c>
      <c r="D6868" s="25">
        <v>1.1415000000000001E-4</v>
      </c>
      <c r="E6868" s="25">
        <v>1.1522E-4</v>
      </c>
      <c r="F6868" s="25">
        <v>1.2794E-4</v>
      </c>
      <c r="G6868" s="25">
        <v>5.503E-5</v>
      </c>
      <c r="H6868" s="25">
        <v>4.1990000000000003E-5</v>
      </c>
      <c r="I6868" s="9">
        <v>1.1082E-4</v>
      </c>
      <c r="J6868" s="9">
        <v>9.9539999999999999E-5</v>
      </c>
      <c r="K6868" s="9">
        <v>3.18E-5</v>
      </c>
      <c r="L6868" s="9">
        <v>8.6570000000000006E-5</v>
      </c>
      <c r="M6868" s="9">
        <v>8.7369999999999999E-5</v>
      </c>
      <c r="N6868" s="9">
        <v>9.0539999999999997E-5</v>
      </c>
      <c r="O6868" s="9">
        <v>7.9179999999999997E-5</v>
      </c>
      <c r="P6868" s="9">
        <v>6.8789999999999997E-5</v>
      </c>
      <c r="Q6868" s="9">
        <v>5.8879999999999999E-5</v>
      </c>
      <c r="R6868" s="10">
        <v>2.0993741421003416E-5</v>
      </c>
      <c r="S6868" s="10">
        <v>1.3456864920265908E-4</v>
      </c>
      <c r="T6868" s="10">
        <v>0</v>
      </c>
      <c r="U6868" s="10">
        <v>6.9510000000000004E-5</v>
      </c>
      <c r="V6868" s="25"/>
      <c r="W6868" s="25"/>
      <c r="X6868" s="25"/>
      <c r="Y6868" s="25"/>
      <c r="Z6868" s="25"/>
      <c r="AA6868" s="25"/>
    </row>
    <row r="6869" spans="1:27" x14ac:dyDescent="0.35">
      <c r="A6869" s="5">
        <v>6865</v>
      </c>
      <c r="B6869" s="5">
        <v>287</v>
      </c>
      <c r="C6869" s="5">
        <v>10</v>
      </c>
      <c r="D6869" s="25">
        <v>1.1416E-4</v>
      </c>
      <c r="E6869" s="25">
        <v>1.1115E-4</v>
      </c>
      <c r="F6869" s="25">
        <v>9.6100000000000005E-5</v>
      </c>
      <c r="G6869" s="25">
        <v>5.711E-5</v>
      </c>
      <c r="H6869" s="25">
        <v>1.5109999999999999E-5</v>
      </c>
      <c r="I6869" s="9">
        <v>1.0423E-4</v>
      </c>
      <c r="J6869" s="9">
        <v>9.391E-5</v>
      </c>
      <c r="K6869" s="9">
        <v>3.392E-5</v>
      </c>
      <c r="L6869" s="9">
        <v>8.0580000000000004E-5</v>
      </c>
      <c r="M6869" s="9">
        <v>7.8250000000000005E-5</v>
      </c>
      <c r="N6869" s="9">
        <v>8.1180000000000005E-5</v>
      </c>
      <c r="O6869" s="9">
        <v>6.8609999999999995E-5</v>
      </c>
      <c r="P6869" s="9">
        <v>6.109E-5</v>
      </c>
      <c r="Q6869" s="9">
        <v>5.3879999999999999E-5</v>
      </c>
      <c r="R6869" s="10">
        <v>1.9465568723813219E-5</v>
      </c>
      <c r="S6869" s="10">
        <v>1.3309624286120112E-4</v>
      </c>
      <c r="T6869" s="10">
        <v>0</v>
      </c>
      <c r="U6869" s="10">
        <v>6.9250000000000003E-5</v>
      </c>
      <c r="V6869" s="25"/>
      <c r="W6869" s="25"/>
      <c r="X6869" s="25"/>
      <c r="Y6869" s="25"/>
      <c r="Z6869" s="25"/>
      <c r="AA6869" s="25"/>
    </row>
    <row r="6870" spans="1:27" x14ac:dyDescent="0.35">
      <c r="A6870" s="5">
        <v>6866</v>
      </c>
      <c r="B6870" s="5">
        <v>287</v>
      </c>
      <c r="C6870" s="5">
        <v>10</v>
      </c>
      <c r="D6870" s="25">
        <v>1.1415000000000001E-4</v>
      </c>
      <c r="E6870" s="25">
        <v>1.1730000000000001E-4</v>
      </c>
      <c r="F6870" s="25">
        <v>8.5539999999999998E-5</v>
      </c>
      <c r="G6870" s="25">
        <v>5.4209999999999998E-5</v>
      </c>
      <c r="H6870" s="25">
        <v>1.5279999999999999E-5</v>
      </c>
      <c r="I6870" s="9">
        <v>1.0077999999999999E-4</v>
      </c>
      <c r="J6870" s="9">
        <v>9.1390000000000004E-5</v>
      </c>
      <c r="K6870" s="9">
        <v>2.12E-5</v>
      </c>
      <c r="L6870" s="9">
        <v>7.1400000000000001E-5</v>
      </c>
      <c r="M6870" s="9">
        <v>6.9930000000000003E-5</v>
      </c>
      <c r="N6870" s="9">
        <v>7.2180000000000003E-5</v>
      </c>
      <c r="O6870" s="9">
        <v>3.4879999999999998E-5</v>
      </c>
      <c r="P6870" s="9">
        <v>4.5500000000000001E-5</v>
      </c>
      <c r="Q6870" s="9">
        <v>5.5770000000000003E-5</v>
      </c>
      <c r="R6870" s="10">
        <v>2.0693438290607817E-5</v>
      </c>
      <c r="S6870" s="10">
        <v>1.422114145672202E-4</v>
      </c>
      <c r="T6870" s="10">
        <v>0</v>
      </c>
      <c r="U6870" s="10">
        <v>6.9250000000000003E-5</v>
      </c>
      <c r="V6870" s="25"/>
      <c r="W6870" s="25"/>
      <c r="X6870" s="25"/>
      <c r="Y6870" s="25"/>
      <c r="Z6870" s="25"/>
      <c r="AA6870" s="25"/>
    </row>
    <row r="6871" spans="1:27" x14ac:dyDescent="0.35">
      <c r="A6871" s="5">
        <v>6867</v>
      </c>
      <c r="B6871" s="5">
        <v>287</v>
      </c>
      <c r="C6871" s="5">
        <v>10</v>
      </c>
      <c r="D6871" s="25">
        <v>1.1416E-4</v>
      </c>
      <c r="E6871" s="25">
        <v>1.1705999999999999E-4</v>
      </c>
      <c r="F6871" s="25">
        <v>9.6669999999999994E-5</v>
      </c>
      <c r="G6871" s="25">
        <v>6.0600000000000003E-5</v>
      </c>
      <c r="H6871" s="25">
        <v>1.5119999999999999E-5</v>
      </c>
      <c r="I6871" s="9">
        <v>9.9889999999999994E-5</v>
      </c>
      <c r="J6871" s="9">
        <v>9.0810000000000006E-5</v>
      </c>
      <c r="K6871" s="9">
        <v>2.756E-5</v>
      </c>
      <c r="L6871" s="9">
        <v>4.316E-5</v>
      </c>
      <c r="M6871" s="9">
        <v>5.9169999999999998E-5</v>
      </c>
      <c r="N6871" s="9">
        <v>6.5530000000000004E-5</v>
      </c>
      <c r="O6871" s="9">
        <v>2.1820000000000001E-5</v>
      </c>
      <c r="P6871" s="9">
        <v>4.1829999999999998E-5</v>
      </c>
      <c r="Q6871" s="9">
        <v>6.1190000000000002E-5</v>
      </c>
      <c r="R6871" s="10">
        <v>2.3836684797582386E-5</v>
      </c>
      <c r="S6871" s="10">
        <v>1.51240133795309E-4</v>
      </c>
      <c r="T6871" s="10">
        <v>0</v>
      </c>
      <c r="U6871" s="10">
        <v>6.9250000000000003E-5</v>
      </c>
      <c r="V6871" s="25"/>
      <c r="W6871" s="25"/>
      <c r="X6871" s="25"/>
      <c r="Y6871" s="25"/>
      <c r="Z6871" s="25"/>
      <c r="AA6871" s="25"/>
    </row>
    <row r="6872" spans="1:27" x14ac:dyDescent="0.35">
      <c r="A6872" s="5">
        <v>6868</v>
      </c>
      <c r="B6872" s="5">
        <v>287</v>
      </c>
      <c r="C6872" s="5">
        <v>10</v>
      </c>
      <c r="D6872" s="25">
        <v>1.1415000000000001E-4</v>
      </c>
      <c r="E6872" s="25">
        <v>1.1258E-4</v>
      </c>
      <c r="F6872" s="25">
        <v>1.0341E-4</v>
      </c>
      <c r="G6872" s="25">
        <v>5.4950000000000001E-5</v>
      </c>
      <c r="H6872" s="25">
        <v>1.5800000000000001E-5</v>
      </c>
      <c r="I6872" s="9">
        <v>1.0101E-4</v>
      </c>
      <c r="J6872" s="9">
        <v>9.1199999999999994E-5</v>
      </c>
      <c r="K6872" s="9">
        <v>2.5429999999999999E-5</v>
      </c>
      <c r="L6872" s="9">
        <v>2.726E-5</v>
      </c>
      <c r="M6872" s="9">
        <v>5.0340000000000003E-5</v>
      </c>
      <c r="N6872" s="9">
        <v>6.1859999999999994E-5</v>
      </c>
      <c r="O6872" s="9">
        <v>2.1350000000000001E-5</v>
      </c>
      <c r="P6872" s="9">
        <v>5.1140000000000002E-5</v>
      </c>
      <c r="Q6872" s="9">
        <v>8.0110000000000004E-5</v>
      </c>
      <c r="R6872" s="10">
        <v>2.5497839051043637E-5</v>
      </c>
      <c r="S6872" s="10">
        <v>1.6438424986400435E-4</v>
      </c>
      <c r="T6872" s="10">
        <v>0</v>
      </c>
      <c r="U6872" s="10">
        <v>6.9250000000000003E-5</v>
      </c>
      <c r="V6872" s="25"/>
      <c r="W6872" s="25"/>
      <c r="X6872" s="25"/>
      <c r="Y6872" s="25"/>
      <c r="Z6872" s="25"/>
      <c r="AA6872" s="25"/>
    </row>
    <row r="6873" spans="1:27" x14ac:dyDescent="0.35">
      <c r="A6873" s="5">
        <v>6869</v>
      </c>
      <c r="B6873" s="5">
        <v>287</v>
      </c>
      <c r="C6873" s="5">
        <v>10</v>
      </c>
      <c r="D6873" s="25">
        <v>1.1416E-4</v>
      </c>
      <c r="E6873" s="25">
        <v>1.0928E-4</v>
      </c>
      <c r="F6873" s="25">
        <v>8.8629999999999997E-5</v>
      </c>
      <c r="G6873" s="25">
        <v>5.9570000000000001E-5</v>
      </c>
      <c r="H6873" s="25">
        <v>1.592E-5</v>
      </c>
      <c r="I6873" s="9">
        <v>1.0648E-4</v>
      </c>
      <c r="J6873" s="9">
        <v>9.3659999999999994E-5</v>
      </c>
      <c r="K6873" s="9">
        <v>2.7549999999999999E-5</v>
      </c>
      <c r="L6873" s="9">
        <v>2.304E-5</v>
      </c>
      <c r="M6873" s="9">
        <v>4.8569999999999997E-5</v>
      </c>
      <c r="N6873" s="9">
        <v>6.4319999999999994E-5</v>
      </c>
      <c r="O6873" s="9">
        <v>2.3249999999999999E-5</v>
      </c>
      <c r="P6873" s="9">
        <v>5.8749999999999998E-5</v>
      </c>
      <c r="Q6873" s="9">
        <v>9.3369999999999995E-5</v>
      </c>
      <c r="R6873" s="10">
        <v>2.6252912612756919E-5</v>
      </c>
      <c r="S6873" s="10">
        <v>1.7117400572186188E-4</v>
      </c>
      <c r="T6873" s="10">
        <v>0</v>
      </c>
      <c r="U6873" s="10">
        <v>6.9250000000000003E-5</v>
      </c>
      <c r="V6873" s="25"/>
      <c r="W6873" s="25"/>
      <c r="X6873" s="25"/>
      <c r="Y6873" s="25"/>
      <c r="Z6873" s="25"/>
      <c r="AA6873" s="25"/>
    </row>
    <row r="6874" spans="1:27" x14ac:dyDescent="0.35">
      <c r="A6874" s="5">
        <v>6870</v>
      </c>
      <c r="B6874" s="5">
        <v>287</v>
      </c>
      <c r="C6874" s="5">
        <v>10</v>
      </c>
      <c r="D6874" s="25">
        <v>1.1415000000000001E-4</v>
      </c>
      <c r="E6874" s="25">
        <v>1.1045E-4</v>
      </c>
      <c r="F6874" s="25">
        <v>1.0588E-4</v>
      </c>
      <c r="G6874" s="25">
        <v>1.0564E-4</v>
      </c>
      <c r="H6874" s="25">
        <v>2.8430000000000001E-5</v>
      </c>
      <c r="I6874" s="9">
        <v>1.1935E-4</v>
      </c>
      <c r="J6874" s="9">
        <v>1.0343E-4</v>
      </c>
      <c r="K6874" s="9">
        <v>2.12E-5</v>
      </c>
      <c r="L6874" s="9">
        <v>2.3119999999999999E-5</v>
      </c>
      <c r="M6874" s="9">
        <v>5.2139999999999999E-5</v>
      </c>
      <c r="N6874" s="9">
        <v>7.0809999999999995E-5</v>
      </c>
      <c r="O6874" s="9">
        <v>2.9410000000000001E-5</v>
      </c>
      <c r="P6874" s="9">
        <v>6.8239999999999997E-5</v>
      </c>
      <c r="Q6874" s="9">
        <v>1.0620000000000001E-4</v>
      </c>
      <c r="R6874" s="10">
        <v>2.7500754111385158E-5</v>
      </c>
      <c r="S6874" s="10">
        <v>1.765088294563238E-4</v>
      </c>
      <c r="T6874" s="10">
        <v>0</v>
      </c>
      <c r="U6874" s="10">
        <v>6.9250000000000003E-5</v>
      </c>
      <c r="V6874" s="25"/>
      <c r="W6874" s="25"/>
      <c r="X6874" s="25"/>
      <c r="Y6874" s="25"/>
      <c r="Z6874" s="25"/>
      <c r="AA6874" s="25"/>
    </row>
    <row r="6875" spans="1:27" x14ac:dyDescent="0.35">
      <c r="A6875" s="5">
        <v>6871</v>
      </c>
      <c r="B6875" s="5">
        <v>287</v>
      </c>
      <c r="C6875" s="5">
        <v>10</v>
      </c>
      <c r="D6875" s="25">
        <v>1.1416E-4</v>
      </c>
      <c r="E6875" s="25">
        <v>1.1171999999999999E-4</v>
      </c>
      <c r="F6875" s="25">
        <v>8.5900000000000001E-5</v>
      </c>
      <c r="G6875" s="25">
        <v>1.0458E-4</v>
      </c>
      <c r="H6875" s="25">
        <v>2.794E-5</v>
      </c>
      <c r="I6875" s="9">
        <v>1.3079000000000001E-4</v>
      </c>
      <c r="J6875" s="9">
        <v>1.211E-4</v>
      </c>
      <c r="K6875" s="9">
        <v>1.272E-5</v>
      </c>
      <c r="L6875" s="9">
        <v>2.7929999999999999E-5</v>
      </c>
      <c r="M6875" s="9">
        <v>5.8990000000000003E-5</v>
      </c>
      <c r="N6875" s="9">
        <v>8.0350000000000001E-5</v>
      </c>
      <c r="O6875" s="9">
        <v>4.5920000000000001E-5</v>
      </c>
      <c r="P6875" s="9">
        <v>7.9170000000000003E-5</v>
      </c>
      <c r="Q6875" s="9">
        <v>1.1183000000000001E-4</v>
      </c>
      <c r="R6875" s="10">
        <v>3.1096177823005529E-5</v>
      </c>
      <c r="S6875" s="10">
        <v>1.7530044608987227E-4</v>
      </c>
      <c r="T6875" s="10">
        <v>0</v>
      </c>
      <c r="U6875" s="10">
        <v>6.9250000000000003E-5</v>
      </c>
      <c r="V6875" s="25"/>
      <c r="W6875" s="25"/>
      <c r="X6875" s="25"/>
      <c r="Y6875" s="25"/>
      <c r="Z6875" s="25"/>
      <c r="AA6875" s="25"/>
    </row>
    <row r="6876" spans="1:27" x14ac:dyDescent="0.35">
      <c r="A6876" s="5">
        <v>6872</v>
      </c>
      <c r="B6876" s="5">
        <v>287</v>
      </c>
      <c r="C6876" s="5">
        <v>10</v>
      </c>
      <c r="D6876" s="25">
        <v>1.1415000000000001E-4</v>
      </c>
      <c r="E6876" s="25">
        <v>1.1728E-4</v>
      </c>
      <c r="F6876" s="25">
        <v>1.0106E-4</v>
      </c>
      <c r="G6876" s="25">
        <v>1.5652999999999999E-4</v>
      </c>
      <c r="H6876" s="25">
        <v>4.057E-5</v>
      </c>
      <c r="I6876" s="9">
        <v>1.3213999999999999E-4</v>
      </c>
      <c r="J6876" s="9">
        <v>1.3250999999999999E-4</v>
      </c>
      <c r="K6876" s="9">
        <v>4.2400000000000001E-6</v>
      </c>
      <c r="L6876" s="9">
        <v>4.1820000000000003E-5</v>
      </c>
      <c r="M6876" s="9">
        <v>6.7979999999999996E-5</v>
      </c>
      <c r="N6876" s="9">
        <v>9.0359999999999995E-5</v>
      </c>
      <c r="O6876" s="9">
        <v>6.8769999999999994E-5</v>
      </c>
      <c r="P6876" s="9">
        <v>1.0341E-4</v>
      </c>
      <c r="Q6876" s="9">
        <v>1.3768999999999999E-4</v>
      </c>
      <c r="R6876" s="10">
        <v>4.0185658868485489E-5</v>
      </c>
      <c r="S6876" s="10">
        <v>1.7519539903568409E-4</v>
      </c>
      <c r="T6876" s="10">
        <v>1.2090126573953086E-4</v>
      </c>
      <c r="U6876" s="10">
        <v>6.9250000000000003E-5</v>
      </c>
      <c r="V6876" s="25"/>
      <c r="W6876" s="25"/>
      <c r="X6876" s="25"/>
      <c r="Y6876" s="25"/>
      <c r="Z6876" s="25"/>
      <c r="AA6876" s="25"/>
    </row>
    <row r="6877" spans="1:27" x14ac:dyDescent="0.35">
      <c r="A6877" s="5">
        <v>6873</v>
      </c>
      <c r="B6877" s="5">
        <v>287</v>
      </c>
      <c r="C6877" s="5">
        <v>10</v>
      </c>
      <c r="D6877" s="25">
        <v>1.1416E-4</v>
      </c>
      <c r="E6877" s="25">
        <v>1.0873E-4</v>
      </c>
      <c r="F6877" s="25">
        <v>1.0177E-4</v>
      </c>
      <c r="G6877" s="25">
        <v>1.5788999999999999E-4</v>
      </c>
      <c r="H6877" s="25">
        <v>4.2620000000000002E-5</v>
      </c>
      <c r="I6877" s="9">
        <v>1.3337000000000001E-4</v>
      </c>
      <c r="J6877" s="9">
        <v>1.3679999999999999E-4</v>
      </c>
      <c r="K6877" s="9">
        <v>0</v>
      </c>
      <c r="L6877" s="9">
        <v>6.2459999999999995E-5</v>
      </c>
      <c r="M6877" s="9">
        <v>8.297E-5</v>
      </c>
      <c r="N6877" s="9">
        <v>1.0438999999999999E-4</v>
      </c>
      <c r="O6877" s="9">
        <v>9.9549999999999994E-5</v>
      </c>
      <c r="P6877" s="9">
        <v>1.3789E-4</v>
      </c>
      <c r="Q6877" s="9">
        <v>1.7616999999999999E-4</v>
      </c>
      <c r="R6877" s="10">
        <v>4.8244338356840939E-5</v>
      </c>
      <c r="S6877" s="10">
        <v>1.7671612362496334E-4</v>
      </c>
      <c r="T6877" s="10">
        <v>2.9330222853442682E-5</v>
      </c>
      <c r="U6877" s="10">
        <v>6.9250000000000003E-5</v>
      </c>
      <c r="V6877" s="25"/>
      <c r="W6877" s="25"/>
      <c r="X6877" s="25"/>
      <c r="Y6877" s="25"/>
      <c r="Z6877" s="25"/>
      <c r="AA6877" s="25"/>
    </row>
    <row r="6878" spans="1:27" x14ac:dyDescent="0.35">
      <c r="A6878" s="5">
        <v>6874</v>
      </c>
      <c r="B6878" s="5">
        <v>287</v>
      </c>
      <c r="C6878" s="5">
        <v>10</v>
      </c>
      <c r="D6878" s="25">
        <v>1.1415000000000001E-4</v>
      </c>
      <c r="E6878" s="25">
        <v>1.1717E-4</v>
      </c>
      <c r="F6878" s="25">
        <v>8.8280000000000002E-5</v>
      </c>
      <c r="G6878" s="25">
        <v>1.5990000000000001E-4</v>
      </c>
      <c r="H6878" s="25">
        <v>4.0299999999999997E-5</v>
      </c>
      <c r="I6878" s="9">
        <v>1.3236000000000001E-4</v>
      </c>
      <c r="J6878" s="9">
        <v>1.3622999999999999E-4</v>
      </c>
      <c r="K6878" s="9">
        <v>0</v>
      </c>
      <c r="L6878" s="9">
        <v>9.0840000000000004E-5</v>
      </c>
      <c r="M6878" s="9">
        <v>1.0654000000000001E-4</v>
      </c>
      <c r="N6878" s="9">
        <v>1.2432E-4</v>
      </c>
      <c r="O6878" s="9">
        <v>1.2748999999999999E-4</v>
      </c>
      <c r="P6878" s="9">
        <v>1.5364999999999999E-4</v>
      </c>
      <c r="Q6878" s="9">
        <v>1.8029E-4</v>
      </c>
      <c r="R6878" s="10">
        <v>6.2335836929623781E-5</v>
      </c>
      <c r="S6878" s="10">
        <v>1.751165540986004E-4</v>
      </c>
      <c r="T6878" s="10">
        <v>4.9285294924977886E-5</v>
      </c>
      <c r="U6878" s="10">
        <v>6.9250000000000003E-5</v>
      </c>
      <c r="V6878" s="25"/>
      <c r="W6878" s="25"/>
      <c r="X6878" s="25"/>
      <c r="Y6878" s="25"/>
      <c r="Z6878" s="25"/>
      <c r="AA6878" s="25"/>
    </row>
    <row r="6879" spans="1:27" x14ac:dyDescent="0.35">
      <c r="A6879" s="5">
        <v>6875</v>
      </c>
      <c r="B6879" s="5">
        <v>287</v>
      </c>
      <c r="C6879" s="5">
        <v>10</v>
      </c>
      <c r="D6879" s="25">
        <v>1.1416E-4</v>
      </c>
      <c r="E6879" s="25">
        <v>1.1108E-4</v>
      </c>
      <c r="F6879" s="25">
        <v>9.8209999999999997E-5</v>
      </c>
      <c r="G6879" s="25">
        <v>1.6446000000000001E-4</v>
      </c>
      <c r="H6879" s="25">
        <v>4.2150000000000001E-5</v>
      </c>
      <c r="I6879" s="9">
        <v>1.326E-4</v>
      </c>
      <c r="J6879" s="9">
        <v>1.3449999999999999E-4</v>
      </c>
      <c r="K6879" s="9">
        <v>0</v>
      </c>
      <c r="L6879" s="9">
        <v>1.1873E-4</v>
      </c>
      <c r="M6879" s="9">
        <v>1.2943000000000001E-4</v>
      </c>
      <c r="N6879" s="9">
        <v>1.4207999999999999E-4</v>
      </c>
      <c r="O6879" s="9">
        <v>1.3742E-4</v>
      </c>
      <c r="P6879" s="9">
        <v>1.5834000000000001E-4</v>
      </c>
      <c r="Q6879" s="9">
        <v>1.7992999999999999E-4</v>
      </c>
      <c r="R6879" s="10">
        <v>7.7414937196417072E-5</v>
      </c>
      <c r="S6879" s="10">
        <v>1.7089481585776377E-4</v>
      </c>
      <c r="T6879" s="10">
        <v>1.5622140393417415E-4</v>
      </c>
      <c r="U6879" s="10">
        <v>6.9250000000000003E-5</v>
      </c>
      <c r="V6879" s="25"/>
      <c r="W6879" s="25"/>
      <c r="X6879" s="25"/>
      <c r="Y6879" s="25"/>
      <c r="Z6879" s="25"/>
      <c r="AA6879" s="25"/>
    </row>
    <row r="6880" spans="1:27" x14ac:dyDescent="0.35">
      <c r="A6880" s="5">
        <v>6876</v>
      </c>
      <c r="B6880" s="5">
        <v>287</v>
      </c>
      <c r="C6880" s="5">
        <v>10</v>
      </c>
      <c r="D6880" s="25">
        <v>1.1415000000000001E-4</v>
      </c>
      <c r="E6880" s="25">
        <v>1.0900000000000001E-4</v>
      </c>
      <c r="F6880" s="25">
        <v>8.7949999999999996E-5</v>
      </c>
      <c r="G6880" s="25">
        <v>1.6358E-4</v>
      </c>
      <c r="H6880" s="25">
        <v>4.1060000000000003E-5</v>
      </c>
      <c r="I6880" s="9">
        <v>1.2820999999999999E-4</v>
      </c>
      <c r="J6880" s="9">
        <v>1.3386E-4</v>
      </c>
      <c r="K6880" s="9">
        <v>0</v>
      </c>
      <c r="L6880" s="9">
        <v>1.3265999999999999E-4</v>
      </c>
      <c r="M6880" s="9">
        <v>1.4524000000000001E-4</v>
      </c>
      <c r="N6880" s="9">
        <v>1.5634000000000001E-4</v>
      </c>
      <c r="O6880" s="9">
        <v>1.3710999999999999E-4</v>
      </c>
      <c r="P6880" s="9">
        <v>1.5441000000000001E-4</v>
      </c>
      <c r="Q6880" s="9">
        <v>1.7243E-4</v>
      </c>
      <c r="R6880" s="10">
        <v>9.1486954577860142E-5</v>
      </c>
      <c r="S6880" s="10">
        <v>1.7546941176870223E-4</v>
      </c>
      <c r="T6880" s="10">
        <v>1.8173369208005272E-4</v>
      </c>
      <c r="U6880" s="10">
        <v>6.9250000000000003E-5</v>
      </c>
      <c r="V6880" s="25"/>
      <c r="W6880" s="25"/>
      <c r="X6880" s="25"/>
      <c r="Y6880" s="25"/>
      <c r="Z6880" s="25"/>
      <c r="AA6880" s="25"/>
    </row>
    <row r="6881" spans="1:27" x14ac:dyDescent="0.35">
      <c r="A6881" s="5">
        <v>6877</v>
      </c>
      <c r="B6881" s="5">
        <v>287</v>
      </c>
      <c r="C6881" s="5">
        <v>10</v>
      </c>
      <c r="D6881" s="25">
        <v>1.1416E-4</v>
      </c>
      <c r="E6881" s="25">
        <v>1.1457E-4</v>
      </c>
      <c r="F6881" s="25">
        <v>9.5820000000000001E-5</v>
      </c>
      <c r="G6881" s="25">
        <v>1.5663999999999999E-4</v>
      </c>
      <c r="H6881" s="25">
        <v>4.248E-5</v>
      </c>
      <c r="I6881" s="9">
        <v>1.2745000000000001E-4</v>
      </c>
      <c r="J6881" s="9">
        <v>1.3399000000000001E-4</v>
      </c>
      <c r="K6881" s="9">
        <v>0</v>
      </c>
      <c r="L6881" s="9">
        <v>1.3592000000000001E-4</v>
      </c>
      <c r="M6881" s="9">
        <v>1.5196E-4</v>
      </c>
      <c r="N6881" s="9">
        <v>1.6551000000000001E-4</v>
      </c>
      <c r="O6881" s="9">
        <v>1.2928000000000001E-4</v>
      </c>
      <c r="P6881" s="9">
        <v>1.4747E-4</v>
      </c>
      <c r="Q6881" s="9">
        <v>1.6626E-4</v>
      </c>
      <c r="R6881" s="10">
        <v>9.322825111037381E-5</v>
      </c>
      <c r="S6881" s="10">
        <v>1.7605837914593393E-4</v>
      </c>
      <c r="T6881" s="10">
        <v>8.3256429522948517E-5</v>
      </c>
      <c r="U6881" s="10">
        <v>6.9250000000000003E-5</v>
      </c>
      <c r="V6881" s="25"/>
      <c r="W6881" s="25"/>
      <c r="X6881" s="25"/>
      <c r="Y6881" s="25"/>
      <c r="Z6881" s="25"/>
      <c r="AA6881" s="25"/>
    </row>
    <row r="6882" spans="1:27" x14ac:dyDescent="0.35">
      <c r="A6882" s="5">
        <v>6878</v>
      </c>
      <c r="B6882" s="5">
        <v>287</v>
      </c>
      <c r="C6882" s="5">
        <v>10</v>
      </c>
      <c r="D6882" s="25">
        <v>1.1415000000000001E-4</v>
      </c>
      <c r="E6882" s="25">
        <v>1.1772E-4</v>
      </c>
      <c r="F6882" s="25">
        <v>9.2620000000000004E-5</v>
      </c>
      <c r="G6882" s="25">
        <v>1.6395E-4</v>
      </c>
      <c r="H6882" s="25">
        <v>4.21E-5</v>
      </c>
      <c r="I6882" s="9">
        <v>1.2515000000000001E-4</v>
      </c>
      <c r="J6882" s="9">
        <v>1.3369E-4</v>
      </c>
      <c r="K6882" s="9">
        <v>0</v>
      </c>
      <c r="L6882" s="9">
        <v>1.3082999999999999E-4</v>
      </c>
      <c r="M6882" s="9">
        <v>1.5159E-4</v>
      </c>
      <c r="N6882" s="9">
        <v>1.6964000000000001E-4</v>
      </c>
      <c r="O6882" s="9">
        <v>1.114E-4</v>
      </c>
      <c r="P6882" s="9">
        <v>1.3506999999999999E-4</v>
      </c>
      <c r="Q6882" s="9">
        <v>1.5906000000000001E-4</v>
      </c>
      <c r="R6882" s="10">
        <v>8.5923060548427163E-5</v>
      </c>
      <c r="S6882" s="10">
        <v>1.674868882607667E-4</v>
      </c>
      <c r="T6882" s="10">
        <v>1.5374398852393255E-4</v>
      </c>
      <c r="U6882" s="10">
        <v>6.9250000000000003E-5</v>
      </c>
      <c r="V6882" s="25"/>
      <c r="W6882" s="25"/>
      <c r="X6882" s="25"/>
      <c r="Y6882" s="25"/>
      <c r="Z6882" s="25"/>
      <c r="AA6882" s="25"/>
    </row>
    <row r="6883" spans="1:27" x14ac:dyDescent="0.35">
      <c r="A6883" s="5">
        <v>6879</v>
      </c>
      <c r="B6883" s="5">
        <v>287</v>
      </c>
      <c r="C6883" s="5">
        <v>10</v>
      </c>
      <c r="D6883" s="25">
        <v>1.1416E-4</v>
      </c>
      <c r="E6883" s="25">
        <v>1.1747999999999999E-4</v>
      </c>
      <c r="F6883" s="25">
        <v>9.3159999999999996E-5</v>
      </c>
      <c r="G6883" s="25">
        <v>1.6704E-4</v>
      </c>
      <c r="H6883" s="25">
        <v>4.3099999999999997E-5</v>
      </c>
      <c r="I6883" s="9">
        <v>1.2475999999999999E-4</v>
      </c>
      <c r="J6883" s="9">
        <v>1.3245999999999999E-4</v>
      </c>
      <c r="K6883" s="9">
        <v>0</v>
      </c>
      <c r="L6883" s="9">
        <v>1.1589E-4</v>
      </c>
      <c r="M6883" s="9">
        <v>1.4527999999999999E-4</v>
      </c>
      <c r="N6883" s="9">
        <v>1.6891000000000001E-4</v>
      </c>
      <c r="O6883" s="9">
        <v>1.2631E-4</v>
      </c>
      <c r="P6883" s="9">
        <v>1.3849000000000001E-4</v>
      </c>
      <c r="Q6883" s="9">
        <v>1.5134999999999999E-4</v>
      </c>
      <c r="R6883" s="10">
        <v>8.0762371961686316E-5</v>
      </c>
      <c r="S6883" s="10">
        <v>1.5868625127600167E-4</v>
      </c>
      <c r="T6883" s="10">
        <v>6.4828531334438968E-5</v>
      </c>
      <c r="U6883" s="10">
        <v>6.9250000000000003E-5</v>
      </c>
      <c r="V6883" s="25"/>
      <c r="W6883" s="25"/>
      <c r="X6883" s="25"/>
      <c r="Y6883" s="25"/>
      <c r="Z6883" s="25"/>
      <c r="AA6883" s="25"/>
    </row>
    <row r="6884" spans="1:27" x14ac:dyDescent="0.35">
      <c r="A6884" s="5">
        <v>6880</v>
      </c>
      <c r="B6884" s="5">
        <v>287</v>
      </c>
      <c r="C6884" s="5">
        <v>10</v>
      </c>
      <c r="D6884" s="25">
        <v>1.1415000000000001E-4</v>
      </c>
      <c r="E6884" s="25">
        <v>1.1352E-4</v>
      </c>
      <c r="F6884" s="25">
        <v>9.9770000000000002E-5</v>
      </c>
      <c r="G6884" s="25">
        <v>1.6480999999999999E-4</v>
      </c>
      <c r="H6884" s="25">
        <v>4.1990000000000003E-5</v>
      </c>
      <c r="I6884" s="9">
        <v>1.2521E-4</v>
      </c>
      <c r="J6884" s="9">
        <v>1.3244999999999999E-4</v>
      </c>
      <c r="K6884" s="9">
        <v>0</v>
      </c>
      <c r="L6884" s="9">
        <v>1.2443999999999999E-4</v>
      </c>
      <c r="M6884" s="9">
        <v>1.4108999999999999E-4</v>
      </c>
      <c r="N6884" s="9">
        <v>1.6495E-4</v>
      </c>
      <c r="O6884" s="9">
        <v>1.3391E-4</v>
      </c>
      <c r="P6884" s="9">
        <v>1.2113E-4</v>
      </c>
      <c r="Q6884" s="9">
        <v>1.0950000000000001E-4</v>
      </c>
      <c r="R6884" s="10">
        <v>7.7636678409010677E-5</v>
      </c>
      <c r="S6884" s="10">
        <v>1.520144370193629E-4</v>
      </c>
      <c r="T6884" s="10">
        <v>1.1079646521351113E-4</v>
      </c>
      <c r="U6884" s="10">
        <v>6.9250000000000003E-5</v>
      </c>
      <c r="V6884" s="25"/>
      <c r="W6884" s="25"/>
      <c r="X6884" s="25"/>
      <c r="Y6884" s="25"/>
      <c r="Z6884" s="25"/>
      <c r="AA6884" s="25"/>
    </row>
    <row r="6885" spans="1:27" x14ac:dyDescent="0.35">
      <c r="A6885" s="5">
        <v>6881</v>
      </c>
      <c r="B6885" s="5">
        <v>287</v>
      </c>
      <c r="C6885" s="5">
        <v>10</v>
      </c>
      <c r="D6885" s="25">
        <v>1.1416E-4</v>
      </c>
      <c r="E6885" s="25">
        <v>1.1332000000000001E-4</v>
      </c>
      <c r="F6885" s="25">
        <v>9.577E-5</v>
      </c>
      <c r="G6885" s="25">
        <v>1.639E-4</v>
      </c>
      <c r="H6885" s="25">
        <v>4.1100000000000003E-5</v>
      </c>
      <c r="I6885" s="9">
        <v>1.2760000000000001E-4</v>
      </c>
      <c r="J6885" s="9">
        <v>1.3412E-4</v>
      </c>
      <c r="K6885" s="9">
        <v>0</v>
      </c>
      <c r="L6885" s="9">
        <v>1.3155999999999999E-4</v>
      </c>
      <c r="M6885" s="9">
        <v>1.3299000000000001E-4</v>
      </c>
      <c r="N6885" s="9">
        <v>1.5134999999999999E-4</v>
      </c>
      <c r="O6885" s="9">
        <v>1.3985000000000001E-4</v>
      </c>
      <c r="P6885" s="9">
        <v>1.2265999999999999E-4</v>
      </c>
      <c r="Q6885" s="9">
        <v>1.0675000000000001E-4</v>
      </c>
      <c r="R6885" s="10">
        <v>8.0607828966147512E-5</v>
      </c>
      <c r="S6885" s="10">
        <v>1.4537763959060013E-4</v>
      </c>
      <c r="T6885" s="10">
        <v>5.9067692075692201E-5</v>
      </c>
      <c r="U6885" s="10">
        <v>6.9250000000000003E-5</v>
      </c>
      <c r="V6885" s="25"/>
      <c r="W6885" s="25"/>
      <c r="X6885" s="25"/>
      <c r="Y6885" s="25"/>
      <c r="Z6885" s="25"/>
      <c r="AA6885" s="25"/>
    </row>
    <row r="6886" spans="1:27" x14ac:dyDescent="0.35">
      <c r="A6886" s="5">
        <v>6882</v>
      </c>
      <c r="B6886" s="5">
        <v>287</v>
      </c>
      <c r="C6886" s="5">
        <v>10</v>
      </c>
      <c r="D6886" s="25">
        <v>1.1415000000000001E-4</v>
      </c>
      <c r="E6886" s="25">
        <v>1.1524E-4</v>
      </c>
      <c r="F6886" s="25">
        <v>1.0106E-4</v>
      </c>
      <c r="G6886" s="25">
        <v>1.6027000000000001E-4</v>
      </c>
      <c r="H6886" s="25">
        <v>4.2389999999999999E-5</v>
      </c>
      <c r="I6886" s="9">
        <v>1.2986000000000001E-4</v>
      </c>
      <c r="J6886" s="9">
        <v>1.3348E-4</v>
      </c>
      <c r="K6886" s="9">
        <v>1.484E-5</v>
      </c>
      <c r="L6886" s="9">
        <v>1.3771000000000001E-4</v>
      </c>
      <c r="M6886" s="9">
        <v>1.2721999999999999E-4</v>
      </c>
      <c r="N6886" s="9">
        <v>1.3818000000000001E-4</v>
      </c>
      <c r="O6886" s="9">
        <v>1.4159E-4</v>
      </c>
      <c r="P6886" s="9">
        <v>1.2928000000000001E-4</v>
      </c>
      <c r="Q6886" s="9">
        <v>1.1819000000000001E-4</v>
      </c>
      <c r="R6886" s="10">
        <v>8.6097330930083588E-5</v>
      </c>
      <c r="S6886" s="10">
        <v>1.4294373922158282E-4</v>
      </c>
      <c r="T6886" s="10">
        <v>0</v>
      </c>
      <c r="U6886" s="10">
        <v>6.9250000000000003E-5</v>
      </c>
      <c r="V6886" s="25"/>
      <c r="W6886" s="25"/>
      <c r="X6886" s="25"/>
      <c r="Y6886" s="25"/>
      <c r="Z6886" s="25"/>
      <c r="AA6886" s="25"/>
    </row>
    <row r="6887" spans="1:27" x14ac:dyDescent="0.35">
      <c r="A6887" s="5">
        <v>6883</v>
      </c>
      <c r="B6887" s="5">
        <v>287</v>
      </c>
      <c r="C6887" s="5">
        <v>10</v>
      </c>
      <c r="D6887" s="25">
        <v>1.1416E-4</v>
      </c>
      <c r="E6887" s="25">
        <v>1.1144E-4</v>
      </c>
      <c r="F6887" s="25">
        <v>1.0289E-4</v>
      </c>
      <c r="G6887" s="25">
        <v>1.0582999999999999E-4</v>
      </c>
      <c r="H6887" s="25">
        <v>2.6869999999999999E-5</v>
      </c>
      <c r="I6887" s="9">
        <v>1.3329999999999999E-4</v>
      </c>
      <c r="J6887" s="9">
        <v>1.3719000000000001E-4</v>
      </c>
      <c r="K6887" s="9">
        <v>1.484E-5</v>
      </c>
      <c r="L6887" s="9">
        <v>1.4064000000000001E-4</v>
      </c>
      <c r="M6887" s="9">
        <v>1.2663999999999999E-4</v>
      </c>
      <c r="N6887" s="9">
        <v>1.2946999999999999E-4</v>
      </c>
      <c r="O6887" s="9">
        <v>1.4076E-4</v>
      </c>
      <c r="P6887" s="9">
        <v>1.2292999999999999E-4</v>
      </c>
      <c r="Q6887" s="9">
        <v>1.064E-4</v>
      </c>
      <c r="R6887" s="10">
        <v>8.0730613747839939E-5</v>
      </c>
      <c r="S6887" s="10">
        <v>1.5077582711775208E-4</v>
      </c>
      <c r="T6887" s="10">
        <v>0</v>
      </c>
      <c r="U6887" s="10">
        <v>6.9250000000000003E-5</v>
      </c>
      <c r="V6887" s="25"/>
      <c r="W6887" s="25"/>
      <c r="X6887" s="25"/>
      <c r="Y6887" s="25"/>
      <c r="Z6887" s="25"/>
      <c r="AA6887" s="25"/>
    </row>
    <row r="6888" spans="1:27" x14ac:dyDescent="0.35">
      <c r="A6888" s="5">
        <v>6884</v>
      </c>
      <c r="B6888" s="5">
        <v>287</v>
      </c>
      <c r="C6888" s="5">
        <v>10</v>
      </c>
      <c r="D6888" s="25">
        <v>1.1415000000000001E-4</v>
      </c>
      <c r="E6888" s="25">
        <v>1.0925E-4</v>
      </c>
      <c r="F6888" s="25">
        <v>9.9560000000000002E-5</v>
      </c>
      <c r="G6888" s="25">
        <v>1.1491E-4</v>
      </c>
      <c r="H6888" s="25">
        <v>2.866E-5</v>
      </c>
      <c r="I6888" s="9">
        <v>1.2863999999999999E-4</v>
      </c>
      <c r="J6888" s="9">
        <v>1.3495E-4</v>
      </c>
      <c r="K6888" s="9">
        <v>3.6040000000000001E-5</v>
      </c>
      <c r="L6888" s="9">
        <v>1.407E-4</v>
      </c>
      <c r="M6888" s="9">
        <v>1.2542E-4</v>
      </c>
      <c r="N6888" s="9">
        <v>1.2045E-4</v>
      </c>
      <c r="O6888" s="9">
        <v>1.45E-4</v>
      </c>
      <c r="P6888" s="9">
        <v>1.2306E-4</v>
      </c>
      <c r="Q6888" s="9">
        <v>1.0253E-4</v>
      </c>
      <c r="R6888" s="10">
        <v>7.4851454694832694E-5</v>
      </c>
      <c r="S6888" s="10">
        <v>1.6119445300746067E-4</v>
      </c>
      <c r="T6888" s="10">
        <v>0</v>
      </c>
      <c r="U6888" s="10">
        <v>6.9250000000000003E-5</v>
      </c>
      <c r="V6888" s="25"/>
      <c r="W6888" s="25"/>
      <c r="X6888" s="25"/>
      <c r="Y6888" s="25"/>
      <c r="Z6888" s="25"/>
      <c r="AA6888" s="25"/>
    </row>
    <row r="6889" spans="1:27" x14ac:dyDescent="0.35">
      <c r="A6889" s="5">
        <v>6885</v>
      </c>
      <c r="B6889" s="5">
        <v>287</v>
      </c>
      <c r="C6889" s="5">
        <v>10</v>
      </c>
      <c r="D6889" s="25">
        <v>1.1416E-4</v>
      </c>
      <c r="E6889" s="25">
        <v>1.0943E-4</v>
      </c>
      <c r="F6889" s="25">
        <v>9.9970000000000007E-5</v>
      </c>
      <c r="G6889" s="25">
        <v>5.2200000000000002E-5</v>
      </c>
      <c r="H6889" s="25">
        <v>1.433E-5</v>
      </c>
      <c r="I6889" s="9">
        <v>1.2181E-4</v>
      </c>
      <c r="J6889" s="9">
        <v>1.2647E-4</v>
      </c>
      <c r="K6889" s="9">
        <v>5.0869999999999999E-5</v>
      </c>
      <c r="L6889" s="9">
        <v>1.4409000000000001E-4</v>
      </c>
      <c r="M6889" s="9">
        <v>1.2426000000000001E-4</v>
      </c>
      <c r="N6889" s="9">
        <v>1.1309E-4</v>
      </c>
      <c r="O6889" s="9">
        <v>8.4450000000000006E-5</v>
      </c>
      <c r="P6889" s="9">
        <v>8.6089999999999997E-5</v>
      </c>
      <c r="Q6889" s="9">
        <v>8.8079999999999997E-5</v>
      </c>
      <c r="R6889" s="10">
        <v>7.0202438486877345E-5</v>
      </c>
      <c r="S6889" s="10">
        <v>1.5974626310228613E-4</v>
      </c>
      <c r="T6889" s="10">
        <v>0</v>
      </c>
      <c r="U6889" s="10">
        <v>6.9250000000000003E-5</v>
      </c>
      <c r="V6889" s="25"/>
      <c r="W6889" s="25"/>
      <c r="X6889" s="25"/>
      <c r="Y6889" s="25"/>
      <c r="Z6889" s="25"/>
      <c r="AA6889" s="25"/>
    </row>
    <row r="6890" spans="1:27" x14ac:dyDescent="0.35">
      <c r="A6890" s="5">
        <v>6886</v>
      </c>
      <c r="B6890" s="5">
        <v>287</v>
      </c>
      <c r="C6890" s="5">
        <v>10</v>
      </c>
      <c r="D6890" s="25">
        <v>1.1415000000000001E-4</v>
      </c>
      <c r="E6890" s="25">
        <v>1.1325E-4</v>
      </c>
      <c r="F6890" s="25">
        <v>8.7360000000000004E-5</v>
      </c>
      <c r="G6890" s="25">
        <v>5.9249999999999997E-5</v>
      </c>
      <c r="H6890" s="25">
        <v>1.3499999999999999E-5</v>
      </c>
      <c r="I6890" s="9">
        <v>1.2013E-4</v>
      </c>
      <c r="J6890" s="9">
        <v>1.1718999999999999E-4</v>
      </c>
      <c r="K6890" s="9">
        <v>6.1470000000000006E-5</v>
      </c>
      <c r="L6890" s="9">
        <v>9.7490000000000003E-5</v>
      </c>
      <c r="M6890" s="9">
        <v>1.1019E-4</v>
      </c>
      <c r="N6890" s="9">
        <v>1.0555E-4</v>
      </c>
      <c r="O6890" s="9">
        <v>8.7620000000000005E-5</v>
      </c>
      <c r="P6890" s="9">
        <v>8.7860000000000002E-5</v>
      </c>
      <c r="Q6890" s="9">
        <v>8.8510000000000005E-5</v>
      </c>
      <c r="R6890" s="10">
        <v>7.1796352798497639E-5</v>
      </c>
      <c r="S6890" s="10">
        <v>1.5221699143480808E-4</v>
      </c>
      <c r="T6890" s="10">
        <v>0</v>
      </c>
      <c r="U6890" s="10">
        <v>6.9250000000000003E-5</v>
      </c>
      <c r="V6890" s="25"/>
      <c r="W6890" s="25"/>
      <c r="X6890" s="25"/>
      <c r="Y6890" s="25"/>
      <c r="Z6890" s="25"/>
      <c r="AA6890" s="25"/>
    </row>
    <row r="6891" spans="1:27" x14ac:dyDescent="0.35">
      <c r="A6891" s="5">
        <v>6887</v>
      </c>
      <c r="B6891" s="5">
        <v>287</v>
      </c>
      <c r="C6891" s="5">
        <v>10</v>
      </c>
      <c r="D6891" s="25">
        <v>1.1416E-4</v>
      </c>
      <c r="E6891" s="25">
        <v>1.0828999999999999E-4</v>
      </c>
      <c r="F6891" s="25">
        <v>9.8330000000000002E-5</v>
      </c>
      <c r="G6891" s="25">
        <v>5.609E-5</v>
      </c>
      <c r="H6891" s="25">
        <v>1.469E-5</v>
      </c>
      <c r="I6891" s="9">
        <v>1.1687E-4</v>
      </c>
      <c r="J6891" s="9">
        <v>1.0916000000000001E-4</v>
      </c>
      <c r="K6891" s="9">
        <v>7.4179999999999998E-5</v>
      </c>
      <c r="L6891" s="9">
        <v>9.1069999999999994E-5</v>
      </c>
      <c r="M6891" s="9">
        <v>9.836E-5</v>
      </c>
      <c r="N6891" s="9">
        <v>9.9859999999999996E-5</v>
      </c>
      <c r="O6891" s="9">
        <v>8.386E-5</v>
      </c>
      <c r="P6891" s="9">
        <v>7.4800000000000002E-5</v>
      </c>
      <c r="Q6891" s="9">
        <v>6.6260000000000006E-5</v>
      </c>
      <c r="R6891" s="10">
        <v>7.3239001928492977E-5</v>
      </c>
      <c r="S6891" s="10">
        <v>1.3366832184858029E-4</v>
      </c>
      <c r="T6891" s="10">
        <v>0</v>
      </c>
      <c r="U6891" s="10">
        <v>6.9250000000000003E-5</v>
      </c>
      <c r="V6891" s="25"/>
      <c r="W6891" s="25"/>
      <c r="X6891" s="25"/>
      <c r="Y6891" s="25"/>
      <c r="Z6891" s="25"/>
      <c r="AA6891" s="25"/>
    </row>
    <row r="6892" spans="1:27" x14ac:dyDescent="0.35">
      <c r="A6892" s="5">
        <v>6888</v>
      </c>
      <c r="B6892" s="5">
        <v>287</v>
      </c>
      <c r="C6892" s="5">
        <v>10</v>
      </c>
      <c r="D6892" s="25">
        <v>1.1415000000000001E-4</v>
      </c>
      <c r="E6892" s="25">
        <v>1.1281999999999999E-4</v>
      </c>
      <c r="F6892" s="25">
        <v>8.9930000000000001E-5</v>
      </c>
      <c r="G6892" s="25">
        <v>6.279E-5</v>
      </c>
      <c r="H6892" s="25">
        <v>1.437E-5</v>
      </c>
      <c r="I6892" s="9">
        <v>1.0946E-4</v>
      </c>
      <c r="J6892" s="9">
        <v>1.0124E-4</v>
      </c>
      <c r="K6892" s="9">
        <v>7.8419999999999998E-5</v>
      </c>
      <c r="L6892" s="9">
        <v>8.5680000000000006E-5</v>
      </c>
      <c r="M6892" s="9">
        <v>8.7109999999999998E-5</v>
      </c>
      <c r="N6892" s="9">
        <v>9.0459999999999998E-5</v>
      </c>
      <c r="O6892" s="9">
        <v>7.941E-5</v>
      </c>
      <c r="P6892" s="9">
        <v>6.8990000000000002E-5</v>
      </c>
      <c r="Q6892" s="9">
        <v>5.906E-5</v>
      </c>
      <c r="R6892" s="10">
        <v>6.9200724368027232E-5</v>
      </c>
      <c r="S6892" s="10">
        <v>1.4091307103450065E-4</v>
      </c>
      <c r="T6892" s="10">
        <v>0</v>
      </c>
      <c r="U6892" s="10">
        <v>6.9250000000000003E-5</v>
      </c>
      <c r="V6892" s="25"/>
      <c r="W6892" s="25"/>
      <c r="X6892" s="25"/>
      <c r="Y6892" s="25"/>
      <c r="Z6892" s="25"/>
      <c r="AA6892" s="25"/>
    </row>
    <row r="6893" spans="1:27" x14ac:dyDescent="0.35">
      <c r="A6893" s="5">
        <v>6889</v>
      </c>
      <c r="B6893" s="5">
        <v>288</v>
      </c>
      <c r="C6893" s="5">
        <v>10</v>
      </c>
      <c r="D6893" s="25">
        <v>1.1416E-4</v>
      </c>
      <c r="E6893" s="25">
        <v>1.1361E-4</v>
      </c>
      <c r="F6893" s="25">
        <v>1.0671999999999999E-4</v>
      </c>
      <c r="G6893" s="25">
        <v>6.1130000000000006E-5</v>
      </c>
      <c r="H6893" s="25">
        <v>7.4439999999999999E-5</v>
      </c>
      <c r="I6893" s="9">
        <v>1.0383E-4</v>
      </c>
      <c r="J6893" s="9">
        <v>9.5130000000000006E-5</v>
      </c>
      <c r="K6893" s="9">
        <v>9.3250000000000003E-5</v>
      </c>
      <c r="L6893" s="9">
        <v>8.0589999999999999E-5</v>
      </c>
      <c r="M6893" s="9">
        <v>7.8020000000000002E-5</v>
      </c>
      <c r="N6893" s="9">
        <v>8.1119999999999996E-5</v>
      </c>
      <c r="O6893" s="9">
        <v>5.4339999999999998E-5</v>
      </c>
      <c r="P6893" s="9">
        <v>5.376E-5</v>
      </c>
      <c r="Q6893" s="9">
        <v>5.3340000000000001E-5</v>
      </c>
      <c r="R6893" s="10">
        <v>5.2266584929834038E-5</v>
      </c>
      <c r="S6893" s="10">
        <v>1.1710440155601895E-4</v>
      </c>
      <c r="T6893" s="10">
        <v>0</v>
      </c>
      <c r="U6893" s="10">
        <v>6.9079999999999996E-5</v>
      </c>
      <c r="V6893" s="25"/>
      <c r="W6893" s="25"/>
      <c r="X6893" s="25"/>
      <c r="Y6893" s="25"/>
      <c r="Z6893" s="25"/>
      <c r="AA6893" s="25"/>
    </row>
    <row r="6894" spans="1:27" x14ac:dyDescent="0.35">
      <c r="A6894" s="5">
        <v>6890</v>
      </c>
      <c r="B6894" s="5">
        <v>288</v>
      </c>
      <c r="C6894" s="5">
        <v>10</v>
      </c>
      <c r="D6894" s="25">
        <v>1.1415000000000001E-4</v>
      </c>
      <c r="E6894" s="25">
        <v>1.1605E-4</v>
      </c>
      <c r="F6894" s="25">
        <v>1.0801E-4</v>
      </c>
      <c r="G6894" s="25">
        <v>5.8230000000000003E-5</v>
      </c>
      <c r="H6894" s="25">
        <v>7.5749999999999998E-5</v>
      </c>
      <c r="I6894" s="9">
        <v>9.9959999999999998E-5</v>
      </c>
      <c r="J6894" s="9">
        <v>9.179E-5</v>
      </c>
      <c r="K6894" s="9">
        <v>9.9610000000000003E-5</v>
      </c>
      <c r="L6894" s="9">
        <v>6.0239999999999999E-5</v>
      </c>
      <c r="M6894" s="9">
        <v>6.7180000000000004E-5</v>
      </c>
      <c r="N6894" s="9">
        <v>7.1979999999999999E-5</v>
      </c>
      <c r="O6894" s="9">
        <v>1.872E-5</v>
      </c>
      <c r="P6894" s="9">
        <v>3.7660000000000002E-5</v>
      </c>
      <c r="Q6894" s="9">
        <v>5.605E-5</v>
      </c>
      <c r="R6894" s="10">
        <v>4.277151104122804E-5</v>
      </c>
      <c r="S6894" s="10">
        <v>1.0004874668520117E-4</v>
      </c>
      <c r="T6894" s="10">
        <v>0</v>
      </c>
      <c r="U6894" s="10">
        <v>6.9079999999999996E-5</v>
      </c>
      <c r="V6894" s="25"/>
      <c r="W6894" s="25"/>
      <c r="X6894" s="25"/>
      <c r="Y6894" s="25"/>
      <c r="Z6894" s="25"/>
      <c r="AA6894" s="25"/>
    </row>
    <row r="6895" spans="1:27" x14ac:dyDescent="0.35">
      <c r="A6895" s="5">
        <v>6891</v>
      </c>
      <c r="B6895" s="5">
        <v>288</v>
      </c>
      <c r="C6895" s="5">
        <v>10</v>
      </c>
      <c r="D6895" s="25">
        <v>1.1416E-4</v>
      </c>
      <c r="E6895" s="25">
        <v>1.1230000000000001E-4</v>
      </c>
      <c r="F6895" s="25">
        <v>1.0959E-4</v>
      </c>
      <c r="G6895" s="25">
        <v>6.3449999999999997E-5</v>
      </c>
      <c r="H6895" s="25">
        <v>6.6160000000000004E-5</v>
      </c>
      <c r="I6895" s="9">
        <v>9.8789999999999994E-5</v>
      </c>
      <c r="J6895" s="9">
        <v>9.0909999999999995E-5</v>
      </c>
      <c r="K6895" s="9">
        <v>1.1232E-4</v>
      </c>
      <c r="L6895" s="9">
        <v>2.8399999999999999E-5</v>
      </c>
      <c r="M6895" s="9">
        <v>5.3890000000000001E-5</v>
      </c>
      <c r="N6895" s="9">
        <v>6.5400000000000004E-5</v>
      </c>
      <c r="O6895" s="9">
        <v>1.3210000000000001E-5</v>
      </c>
      <c r="P6895" s="9">
        <v>3.7599999999999999E-5</v>
      </c>
      <c r="Q6895" s="9">
        <v>6.1290000000000004E-5</v>
      </c>
      <c r="R6895" s="10">
        <v>4.9140258959758836E-5</v>
      </c>
      <c r="S6895" s="10">
        <v>9.2380570837376479E-5</v>
      </c>
      <c r="T6895" s="10">
        <v>0</v>
      </c>
      <c r="U6895" s="10">
        <v>6.9079999999999996E-5</v>
      </c>
      <c r="V6895" s="25"/>
      <c r="W6895" s="25"/>
      <c r="X6895" s="25"/>
      <c r="Y6895" s="25"/>
      <c r="Z6895" s="25"/>
      <c r="AA6895" s="25"/>
    </row>
    <row r="6896" spans="1:27" x14ac:dyDescent="0.35">
      <c r="A6896" s="5">
        <v>6892</v>
      </c>
      <c r="B6896" s="5">
        <v>288</v>
      </c>
      <c r="C6896" s="5">
        <v>10</v>
      </c>
      <c r="D6896" s="25">
        <v>1.1415000000000001E-4</v>
      </c>
      <c r="E6896" s="25">
        <v>1.0963000000000001E-4</v>
      </c>
      <c r="F6896" s="25">
        <v>1.1991E-4</v>
      </c>
      <c r="G6896" s="25">
        <v>6.2199999999999994E-5</v>
      </c>
      <c r="H6896" s="25">
        <v>6.7710000000000001E-5</v>
      </c>
      <c r="I6896" s="9">
        <v>9.8950000000000006E-5</v>
      </c>
      <c r="J6896" s="9">
        <v>9.1769999999999997E-5</v>
      </c>
      <c r="K6896" s="9">
        <v>1.1869E-4</v>
      </c>
      <c r="L6896" s="9">
        <v>1.7410000000000001E-5</v>
      </c>
      <c r="M6896" s="9">
        <v>4.4820000000000001E-5</v>
      </c>
      <c r="N6896" s="9">
        <v>6.177E-5</v>
      </c>
      <c r="O6896" s="9">
        <v>1.3210000000000001E-5</v>
      </c>
      <c r="P6896" s="9">
        <v>4.6999999999999997E-5</v>
      </c>
      <c r="Q6896" s="9">
        <v>7.9939999999999997E-5</v>
      </c>
      <c r="R6896" s="10">
        <v>4.9646846762108719E-5</v>
      </c>
      <c r="S6896" s="10">
        <v>8.0816194250506461E-5</v>
      </c>
      <c r="T6896" s="10">
        <v>0</v>
      </c>
      <c r="U6896" s="10">
        <v>6.9079999999999996E-5</v>
      </c>
      <c r="V6896" s="25"/>
      <c r="W6896" s="25"/>
      <c r="X6896" s="25"/>
      <c r="Y6896" s="25"/>
      <c r="Z6896" s="25"/>
      <c r="AA6896" s="25"/>
    </row>
    <row r="6897" spans="1:27" x14ac:dyDescent="0.35">
      <c r="A6897" s="5">
        <v>6893</v>
      </c>
      <c r="B6897" s="5">
        <v>288</v>
      </c>
      <c r="C6897" s="5">
        <v>10</v>
      </c>
      <c r="D6897" s="25">
        <v>1.1416E-4</v>
      </c>
      <c r="E6897" s="25">
        <v>1.0883999999999999E-4</v>
      </c>
      <c r="F6897" s="25">
        <v>1.2684999999999999E-4</v>
      </c>
      <c r="G6897" s="25">
        <v>5.9809999999999998E-5</v>
      </c>
      <c r="H6897" s="25">
        <v>7.3070000000000003E-5</v>
      </c>
      <c r="I6897" s="9">
        <v>1.0420999999999999E-4</v>
      </c>
      <c r="J6897" s="9">
        <v>9.4959999999999999E-5</v>
      </c>
      <c r="K6897" s="9">
        <v>1.2504000000000001E-4</v>
      </c>
      <c r="L6897" s="9">
        <v>1.431E-5</v>
      </c>
      <c r="M6897" s="9">
        <v>4.3600000000000003E-5</v>
      </c>
      <c r="N6897" s="9">
        <v>6.4239999999999995E-5</v>
      </c>
      <c r="O6897" s="9">
        <v>1.8790000000000001E-5</v>
      </c>
      <c r="P6897" s="9">
        <v>5.6719999999999999E-5</v>
      </c>
      <c r="Q6897" s="9">
        <v>9.3800000000000003E-5</v>
      </c>
      <c r="R6897" s="10">
        <v>4.9023775545908087E-5</v>
      </c>
      <c r="S6897" s="10">
        <v>7.2531640780674453E-5</v>
      </c>
      <c r="T6897" s="10">
        <v>0</v>
      </c>
      <c r="U6897" s="10">
        <v>6.9079999999999996E-5</v>
      </c>
      <c r="V6897" s="25"/>
      <c r="W6897" s="25"/>
      <c r="X6897" s="25"/>
      <c r="Y6897" s="25"/>
      <c r="Z6897" s="25"/>
      <c r="AA6897" s="25"/>
    </row>
    <row r="6898" spans="1:27" x14ac:dyDescent="0.35">
      <c r="A6898" s="5">
        <v>6894</v>
      </c>
      <c r="B6898" s="5">
        <v>288</v>
      </c>
      <c r="C6898" s="5">
        <v>10</v>
      </c>
      <c r="D6898" s="25">
        <v>1.1415000000000001E-4</v>
      </c>
      <c r="E6898" s="25">
        <v>1.1029E-4</v>
      </c>
      <c r="F6898" s="25">
        <v>1.1631E-4</v>
      </c>
      <c r="G6898" s="25">
        <v>1.1245E-4</v>
      </c>
      <c r="H6898" s="25">
        <v>1.2662E-4</v>
      </c>
      <c r="I6898" s="9">
        <v>1.1746E-4</v>
      </c>
      <c r="J6898" s="9">
        <v>1.0395000000000001E-4</v>
      </c>
      <c r="K6898" s="9">
        <v>1.314E-4</v>
      </c>
      <c r="L6898" s="9">
        <v>1.7669999999999999E-5</v>
      </c>
      <c r="M6898" s="9">
        <v>4.8390000000000003E-5</v>
      </c>
      <c r="N6898" s="9">
        <v>7.0850000000000001E-5</v>
      </c>
      <c r="O6898" s="9">
        <v>4.6350000000000002E-5</v>
      </c>
      <c r="P6898" s="9">
        <v>7.7000000000000001E-5</v>
      </c>
      <c r="Q6898" s="9">
        <v>1.0721999999999999E-4</v>
      </c>
      <c r="R6898" s="10">
        <v>4.9649032660221951E-5</v>
      </c>
      <c r="S6898" s="10">
        <v>7.1406245363164072E-5</v>
      </c>
      <c r="T6898" s="10">
        <v>0</v>
      </c>
      <c r="U6898" s="10">
        <v>6.9079999999999996E-5</v>
      </c>
      <c r="V6898" s="25"/>
      <c r="W6898" s="25"/>
      <c r="X6898" s="25"/>
      <c r="Y6898" s="25"/>
      <c r="Z6898" s="25"/>
      <c r="AA6898" s="25"/>
    </row>
    <row r="6899" spans="1:27" x14ac:dyDescent="0.35">
      <c r="A6899" s="5">
        <v>6895</v>
      </c>
      <c r="B6899" s="5">
        <v>288</v>
      </c>
      <c r="C6899" s="5">
        <v>10</v>
      </c>
      <c r="D6899" s="25">
        <v>1.1416E-4</v>
      </c>
      <c r="E6899" s="25">
        <v>1.1824000000000001E-4</v>
      </c>
      <c r="F6899" s="25">
        <v>1.2202E-4</v>
      </c>
      <c r="G6899" s="25">
        <v>1.0590999999999999E-4</v>
      </c>
      <c r="H6899" s="25">
        <v>1.3229999999999999E-4</v>
      </c>
      <c r="I6899" s="9">
        <v>1.3145E-4</v>
      </c>
      <c r="J6899" s="9">
        <v>1.2092E-4</v>
      </c>
      <c r="K6899" s="9">
        <v>1.1656E-4</v>
      </c>
      <c r="L6899" s="9">
        <v>3.9900000000000001E-5</v>
      </c>
      <c r="M6899" s="9">
        <v>6.0040000000000001E-5</v>
      </c>
      <c r="N6899" s="9">
        <v>8.064E-5</v>
      </c>
      <c r="O6899" s="9">
        <v>1.2442E-4</v>
      </c>
      <c r="P6899" s="9">
        <v>1.1839E-4</v>
      </c>
      <c r="Q6899" s="9">
        <v>1.1341E-4</v>
      </c>
      <c r="R6899" s="10">
        <v>4.939698071327935E-5</v>
      </c>
      <c r="S6899" s="10">
        <v>7.3944038792674431E-5</v>
      </c>
      <c r="T6899" s="10">
        <v>0</v>
      </c>
      <c r="U6899" s="10">
        <v>6.9079999999999996E-5</v>
      </c>
      <c r="V6899" s="25"/>
      <c r="W6899" s="25"/>
      <c r="X6899" s="25"/>
      <c r="Y6899" s="25"/>
      <c r="Z6899" s="25"/>
      <c r="AA6899" s="25"/>
    </row>
    <row r="6900" spans="1:27" x14ac:dyDescent="0.35">
      <c r="A6900" s="5">
        <v>6896</v>
      </c>
      <c r="B6900" s="5">
        <v>288</v>
      </c>
      <c r="C6900" s="5">
        <v>10</v>
      </c>
      <c r="D6900" s="25">
        <v>1.1415000000000001E-4</v>
      </c>
      <c r="E6900" s="25">
        <v>1.0929000000000001E-4</v>
      </c>
      <c r="F6900" s="25">
        <v>1.1506999999999999E-4</v>
      </c>
      <c r="G6900" s="25">
        <v>1.5772E-4</v>
      </c>
      <c r="H6900" s="25">
        <v>1.9116000000000001E-4</v>
      </c>
      <c r="I6900" s="9">
        <v>1.3213E-4</v>
      </c>
      <c r="J6900" s="9">
        <v>1.3333999999999999E-4</v>
      </c>
      <c r="K6900" s="9">
        <v>8.2659999999999998E-5</v>
      </c>
      <c r="L6900" s="9">
        <v>1.052E-4</v>
      </c>
      <c r="M6900" s="9">
        <v>8.407E-5</v>
      </c>
      <c r="N6900" s="9">
        <v>9.0989999999999994E-5</v>
      </c>
      <c r="O6900" s="9">
        <v>2.1939E-4</v>
      </c>
      <c r="P6900" s="9">
        <v>1.7651E-4</v>
      </c>
      <c r="Q6900" s="9">
        <v>1.3636E-4</v>
      </c>
      <c r="R6900" s="10">
        <v>4.0833677094938643E-5</v>
      </c>
      <c r="S6900" s="10">
        <v>8.010080917311833E-5</v>
      </c>
      <c r="T6900" s="10">
        <v>2.2933061143435223E-5</v>
      </c>
      <c r="U6900" s="10">
        <v>6.9079999999999996E-5</v>
      </c>
      <c r="V6900" s="25"/>
      <c r="W6900" s="25"/>
      <c r="X6900" s="25"/>
      <c r="Y6900" s="25"/>
      <c r="Z6900" s="25"/>
      <c r="AA6900" s="25"/>
    </row>
    <row r="6901" spans="1:27" x14ac:dyDescent="0.35">
      <c r="A6901" s="5">
        <v>6897</v>
      </c>
      <c r="B6901" s="5">
        <v>288</v>
      </c>
      <c r="C6901" s="5">
        <v>10</v>
      </c>
      <c r="D6901" s="25">
        <v>1.1416E-4</v>
      </c>
      <c r="E6901" s="25">
        <v>1.0888E-4</v>
      </c>
      <c r="F6901" s="25">
        <v>1.1982E-4</v>
      </c>
      <c r="G6901" s="25">
        <v>1.5777E-4</v>
      </c>
      <c r="H6901" s="25">
        <v>2.0169E-4</v>
      </c>
      <c r="I6901" s="9">
        <v>1.3439999999999999E-4</v>
      </c>
      <c r="J6901" s="9">
        <v>1.3766000000000001E-4</v>
      </c>
      <c r="K6901" s="9">
        <v>1.696E-5</v>
      </c>
      <c r="L6901" s="9">
        <v>1.9248E-4</v>
      </c>
      <c r="M6901" s="9">
        <v>1.2357000000000001E-4</v>
      </c>
      <c r="N6901" s="9">
        <v>1.0467999999999999E-4</v>
      </c>
      <c r="O6901" s="9">
        <v>2.1112E-4</v>
      </c>
      <c r="P6901" s="9">
        <v>1.9265999999999999E-4</v>
      </c>
      <c r="Q6901" s="9">
        <v>1.7644000000000001E-4</v>
      </c>
      <c r="R6901" s="10">
        <v>3.3203880691988636E-5</v>
      </c>
      <c r="S6901" s="10">
        <v>8.7956071172147639E-5</v>
      </c>
      <c r="T6901" s="10">
        <v>8.8516695120036866E-5</v>
      </c>
      <c r="U6901" s="10">
        <v>6.9079999999999996E-5</v>
      </c>
      <c r="V6901" s="25"/>
      <c r="W6901" s="25"/>
      <c r="X6901" s="25"/>
      <c r="Y6901" s="25"/>
      <c r="Z6901" s="25"/>
      <c r="AA6901" s="25"/>
    </row>
    <row r="6902" spans="1:27" x14ac:dyDescent="0.35">
      <c r="A6902" s="5">
        <v>6898</v>
      </c>
      <c r="B6902" s="5">
        <v>288</v>
      </c>
      <c r="C6902" s="5">
        <v>10</v>
      </c>
      <c r="D6902" s="25">
        <v>1.1415000000000001E-4</v>
      </c>
      <c r="E6902" s="25">
        <v>1.1728E-4</v>
      </c>
      <c r="F6902" s="25">
        <v>1.1425E-4</v>
      </c>
      <c r="G6902" s="25">
        <v>1.6464E-4</v>
      </c>
      <c r="H6902" s="25">
        <v>1.9358E-4</v>
      </c>
      <c r="I6902" s="9">
        <v>1.3391E-4</v>
      </c>
      <c r="J6902" s="9">
        <v>1.3687000000000001E-4</v>
      </c>
      <c r="K6902" s="9">
        <v>0</v>
      </c>
      <c r="L6902" s="9">
        <v>2.0473E-4</v>
      </c>
      <c r="M6902" s="9">
        <v>1.5843000000000001E-4</v>
      </c>
      <c r="N6902" s="9">
        <v>1.2460999999999999E-4</v>
      </c>
      <c r="O6902" s="9">
        <v>1.674E-4</v>
      </c>
      <c r="P6902" s="9">
        <v>1.7406E-4</v>
      </c>
      <c r="Q6902" s="9">
        <v>1.8206E-4</v>
      </c>
      <c r="R6902" s="10">
        <v>2.8140005908955723E-5</v>
      </c>
      <c r="S6902" s="10">
        <v>9.4031469553469493E-5</v>
      </c>
      <c r="T6902" s="10">
        <v>3.0170168489106792E-5</v>
      </c>
      <c r="U6902" s="10">
        <v>6.9079999999999996E-5</v>
      </c>
      <c r="V6902" s="25"/>
      <c r="W6902" s="25"/>
      <c r="X6902" s="25"/>
      <c r="Y6902" s="25"/>
      <c r="Z6902" s="25"/>
      <c r="AA6902" s="25"/>
    </row>
    <row r="6903" spans="1:27" x14ac:dyDescent="0.35">
      <c r="A6903" s="5">
        <v>6899</v>
      </c>
      <c r="B6903" s="5">
        <v>288</v>
      </c>
      <c r="C6903" s="5">
        <v>10</v>
      </c>
      <c r="D6903" s="25">
        <v>1.1416E-4</v>
      </c>
      <c r="E6903" s="25">
        <v>1.1749E-4</v>
      </c>
      <c r="F6903" s="25">
        <v>1.1519E-4</v>
      </c>
      <c r="G6903" s="25">
        <v>1.6395E-4</v>
      </c>
      <c r="H6903" s="25">
        <v>1.9545000000000001E-4</v>
      </c>
      <c r="I6903" s="9">
        <v>1.3543999999999999E-4</v>
      </c>
      <c r="J6903" s="9">
        <v>1.3462000000000001E-4</v>
      </c>
      <c r="K6903" s="9">
        <v>0</v>
      </c>
      <c r="L6903" s="9">
        <v>1.7569999999999999E-4</v>
      </c>
      <c r="M6903" s="9">
        <v>1.7212E-4</v>
      </c>
      <c r="N6903" s="9">
        <v>1.4265999999999999E-4</v>
      </c>
      <c r="O6903" s="9">
        <v>1.6663E-4</v>
      </c>
      <c r="P6903" s="9">
        <v>1.7191999999999999E-4</v>
      </c>
      <c r="Q6903" s="9">
        <v>1.7856E-4</v>
      </c>
      <c r="R6903" s="10">
        <v>2.9942272312151668E-5</v>
      </c>
      <c r="S6903" s="10">
        <v>9.5545110732111923E-5</v>
      </c>
      <c r="T6903" s="10">
        <v>5.0914280400205246E-5</v>
      </c>
      <c r="U6903" s="10">
        <v>6.9079999999999996E-5</v>
      </c>
      <c r="V6903" s="25"/>
      <c r="W6903" s="25"/>
      <c r="X6903" s="25"/>
      <c r="Y6903" s="25"/>
      <c r="Z6903" s="25"/>
      <c r="AA6903" s="25"/>
    </row>
    <row r="6904" spans="1:27" x14ac:dyDescent="0.35">
      <c r="A6904" s="5">
        <v>6900</v>
      </c>
      <c r="B6904" s="5">
        <v>288</v>
      </c>
      <c r="C6904" s="5">
        <v>10</v>
      </c>
      <c r="D6904" s="25">
        <v>1.1415000000000001E-4</v>
      </c>
      <c r="E6904" s="25">
        <v>1.1165E-4</v>
      </c>
      <c r="F6904" s="25">
        <v>1.1252999999999999E-4</v>
      </c>
      <c r="G6904" s="25">
        <v>1.5943000000000001E-4</v>
      </c>
      <c r="H6904" s="25">
        <v>2.0015000000000001E-4</v>
      </c>
      <c r="I6904" s="9">
        <v>1.3315000000000001E-4</v>
      </c>
      <c r="J6904" s="9">
        <v>1.3208E-4</v>
      </c>
      <c r="K6904" s="9">
        <v>0</v>
      </c>
      <c r="L6904" s="9">
        <v>1.7003E-4</v>
      </c>
      <c r="M6904" s="9">
        <v>1.7437999999999999E-4</v>
      </c>
      <c r="N6904" s="9">
        <v>1.5651E-4</v>
      </c>
      <c r="O6904" s="9">
        <v>1.7087E-4</v>
      </c>
      <c r="P6904" s="9">
        <v>1.7207999999999999E-4</v>
      </c>
      <c r="Q6904" s="9">
        <v>1.7475999999999999E-4</v>
      </c>
      <c r="R6904" s="10">
        <v>3.0936711227190677E-5</v>
      </c>
      <c r="S6904" s="10">
        <v>9.2147479340022492E-5</v>
      </c>
      <c r="T6904" s="10">
        <v>4.5365548625212036E-5</v>
      </c>
      <c r="U6904" s="10">
        <v>6.9079999999999996E-5</v>
      </c>
      <c r="V6904" s="25"/>
      <c r="W6904" s="25"/>
      <c r="X6904" s="25"/>
      <c r="Y6904" s="25"/>
      <c r="Z6904" s="25"/>
      <c r="AA6904" s="25"/>
    </row>
    <row r="6905" spans="1:27" x14ac:dyDescent="0.35">
      <c r="A6905" s="5">
        <v>6901</v>
      </c>
      <c r="B6905" s="5">
        <v>288</v>
      </c>
      <c r="C6905" s="5">
        <v>10</v>
      </c>
      <c r="D6905" s="25">
        <v>1.1416E-4</v>
      </c>
      <c r="E6905" s="25">
        <v>1.1059E-4</v>
      </c>
      <c r="F6905" s="25">
        <v>1.1043E-4</v>
      </c>
      <c r="G6905" s="25">
        <v>1.6212E-4</v>
      </c>
      <c r="H6905" s="25">
        <v>1.9563E-4</v>
      </c>
      <c r="I6905" s="9">
        <v>1.3129999999999999E-4</v>
      </c>
      <c r="J6905" s="9">
        <v>1.3051999999999999E-4</v>
      </c>
      <c r="K6905" s="9">
        <v>0</v>
      </c>
      <c r="L6905" s="9">
        <v>1.7087E-4</v>
      </c>
      <c r="M6905" s="9">
        <v>1.7364E-4</v>
      </c>
      <c r="N6905" s="9">
        <v>1.6609E-4</v>
      </c>
      <c r="O6905" s="9">
        <v>1.6153000000000001E-4</v>
      </c>
      <c r="P6905" s="9">
        <v>1.6357000000000001E-4</v>
      </c>
      <c r="Q6905" s="9">
        <v>1.6695999999999999E-4</v>
      </c>
      <c r="R6905" s="10">
        <v>3.2613889816357892E-5</v>
      </c>
      <c r="S6905" s="10">
        <v>1.000261631181068E-4</v>
      </c>
      <c r="T6905" s="10">
        <v>5.2331158391679043E-5</v>
      </c>
      <c r="U6905" s="10">
        <v>6.9079999999999996E-5</v>
      </c>
      <c r="V6905" s="25"/>
      <c r="W6905" s="25"/>
      <c r="X6905" s="25"/>
      <c r="Y6905" s="25"/>
      <c r="Z6905" s="25"/>
      <c r="AA6905" s="25"/>
    </row>
    <row r="6906" spans="1:27" x14ac:dyDescent="0.35">
      <c r="A6906" s="5">
        <v>6902</v>
      </c>
      <c r="B6906" s="5">
        <v>288</v>
      </c>
      <c r="C6906" s="5">
        <v>10</v>
      </c>
      <c r="D6906" s="25">
        <v>1.1415000000000001E-4</v>
      </c>
      <c r="E6906" s="25">
        <v>1.1347E-4</v>
      </c>
      <c r="F6906" s="25">
        <v>1.1072E-4</v>
      </c>
      <c r="G6906" s="25">
        <v>1.6148000000000001E-4</v>
      </c>
      <c r="H6906" s="25">
        <v>1.9482000000000001E-4</v>
      </c>
      <c r="I6906" s="9">
        <v>1.2930999999999999E-4</v>
      </c>
      <c r="J6906" s="9">
        <v>1.3035999999999999E-4</v>
      </c>
      <c r="K6906" s="9">
        <v>0</v>
      </c>
      <c r="L6906" s="9">
        <v>1.6330000000000001E-4</v>
      </c>
      <c r="M6906" s="9">
        <v>1.6980000000000001E-4</v>
      </c>
      <c r="N6906" s="9">
        <v>1.7032000000000001E-4</v>
      </c>
      <c r="O6906" s="9">
        <v>1.7856E-4</v>
      </c>
      <c r="P6906" s="9">
        <v>1.6880000000000001E-4</v>
      </c>
      <c r="Q6906" s="9">
        <v>1.6077999999999999E-4</v>
      </c>
      <c r="R6906" s="10">
        <v>3.8518245366126024E-5</v>
      </c>
      <c r="S6906" s="10">
        <v>1.0936804684664192E-4</v>
      </c>
      <c r="T6906" s="10">
        <v>7.6087196572078105E-5</v>
      </c>
      <c r="U6906" s="10">
        <v>6.9079999999999996E-5</v>
      </c>
      <c r="V6906" s="25"/>
      <c r="W6906" s="25"/>
      <c r="X6906" s="25"/>
      <c r="Y6906" s="25"/>
      <c r="Z6906" s="25"/>
      <c r="AA6906" s="25"/>
    </row>
    <row r="6907" spans="1:27" x14ac:dyDescent="0.35">
      <c r="A6907" s="5">
        <v>6903</v>
      </c>
      <c r="B6907" s="5">
        <v>288</v>
      </c>
      <c r="C6907" s="5">
        <v>10</v>
      </c>
      <c r="D6907" s="25">
        <v>1.1416E-4</v>
      </c>
      <c r="E6907" s="25">
        <v>1.1807999999999999E-4</v>
      </c>
      <c r="F6907" s="25">
        <v>1.2105E-4</v>
      </c>
      <c r="G6907" s="25">
        <v>1.5954000000000001E-4</v>
      </c>
      <c r="H6907" s="25">
        <v>1.9263E-4</v>
      </c>
      <c r="I6907" s="9">
        <v>1.2724000000000001E-4</v>
      </c>
      <c r="J6907" s="9">
        <v>1.2962E-4</v>
      </c>
      <c r="K6907" s="9">
        <v>0</v>
      </c>
      <c r="L6907" s="9">
        <v>1.7537999999999999E-4</v>
      </c>
      <c r="M6907" s="9">
        <v>1.6834E-4</v>
      </c>
      <c r="N6907" s="9">
        <v>1.6986E-4</v>
      </c>
      <c r="O6907" s="9">
        <v>1.8338E-4</v>
      </c>
      <c r="P6907" s="9">
        <v>1.6682000000000001E-4</v>
      </c>
      <c r="Q6907" s="9">
        <v>1.5216000000000001E-4</v>
      </c>
      <c r="R6907" s="10">
        <v>4.5710057285189133E-5</v>
      </c>
      <c r="S6907" s="10">
        <v>1.2088687748105122E-4</v>
      </c>
      <c r="T6907" s="10">
        <v>7.1403863330799422E-5</v>
      </c>
      <c r="U6907" s="10">
        <v>6.9079999999999996E-5</v>
      </c>
      <c r="V6907" s="25"/>
      <c r="W6907" s="25"/>
      <c r="X6907" s="25"/>
      <c r="Y6907" s="25"/>
      <c r="Z6907" s="25"/>
      <c r="AA6907" s="25"/>
    </row>
    <row r="6908" spans="1:27" x14ac:dyDescent="0.35">
      <c r="A6908" s="5">
        <v>6904</v>
      </c>
      <c r="B6908" s="5">
        <v>288</v>
      </c>
      <c r="C6908" s="5">
        <v>10</v>
      </c>
      <c r="D6908" s="25">
        <v>1.1415000000000001E-4</v>
      </c>
      <c r="E6908" s="25">
        <v>1.0865E-4</v>
      </c>
      <c r="F6908" s="25">
        <v>1.1081E-4</v>
      </c>
      <c r="G6908" s="25">
        <v>1.6618000000000001E-4</v>
      </c>
      <c r="H6908" s="25">
        <v>1.9992E-4</v>
      </c>
      <c r="I6908" s="9">
        <v>1.2542E-4</v>
      </c>
      <c r="J6908" s="9">
        <v>1.2999999999999999E-4</v>
      </c>
      <c r="K6908" s="9">
        <v>0</v>
      </c>
      <c r="L6908" s="9">
        <v>1.8131000000000001E-4</v>
      </c>
      <c r="M6908" s="9">
        <v>1.6750000000000001E-4</v>
      </c>
      <c r="N6908" s="9">
        <v>1.6593000000000001E-4</v>
      </c>
      <c r="O6908" s="9">
        <v>1.9681000000000001E-4</v>
      </c>
      <c r="P6908" s="9">
        <v>1.518E-4</v>
      </c>
      <c r="Q6908" s="9">
        <v>1.0929000000000001E-4</v>
      </c>
      <c r="R6908" s="10">
        <v>5.069999121273524E-5</v>
      </c>
      <c r="S6908" s="10">
        <v>1.4052948033176329E-4</v>
      </c>
      <c r="T6908" s="10">
        <v>4.3210536590275842E-5</v>
      </c>
      <c r="U6908" s="10">
        <v>6.9079999999999996E-5</v>
      </c>
      <c r="V6908" s="25"/>
      <c r="W6908" s="25"/>
      <c r="X6908" s="25"/>
      <c r="Y6908" s="25"/>
      <c r="Z6908" s="25"/>
      <c r="AA6908" s="25"/>
    </row>
    <row r="6909" spans="1:27" x14ac:dyDescent="0.35">
      <c r="A6909" s="5">
        <v>6905</v>
      </c>
      <c r="B6909" s="5">
        <v>288</v>
      </c>
      <c r="C6909" s="5">
        <v>10</v>
      </c>
      <c r="D6909" s="25">
        <v>1.1416E-4</v>
      </c>
      <c r="E6909" s="25">
        <v>1.1472E-4</v>
      </c>
      <c r="F6909" s="25">
        <v>1.1785E-4</v>
      </c>
      <c r="G6909" s="25">
        <v>1.6051999999999999E-4</v>
      </c>
      <c r="H6909" s="25">
        <v>1.9327999999999999E-4</v>
      </c>
      <c r="I6909" s="9">
        <v>1.2734000000000001E-4</v>
      </c>
      <c r="J6909" s="9">
        <v>1.3255999999999999E-4</v>
      </c>
      <c r="K6909" s="9">
        <v>0</v>
      </c>
      <c r="L6909" s="9">
        <v>1.9317999999999999E-4</v>
      </c>
      <c r="M6909" s="9">
        <v>1.6174000000000001E-4</v>
      </c>
      <c r="N6909" s="9">
        <v>1.5217E-4</v>
      </c>
      <c r="O6909" s="9">
        <v>2.1289E-4</v>
      </c>
      <c r="P6909" s="9">
        <v>1.5825E-4</v>
      </c>
      <c r="Q6909" s="9">
        <v>1.0645E-4</v>
      </c>
      <c r="R6909" s="10">
        <v>4.760706628339346E-5</v>
      </c>
      <c r="S6909" s="10">
        <v>1.6245497073106839E-4</v>
      </c>
      <c r="T6909" s="10">
        <v>3.9655615162566129E-5</v>
      </c>
      <c r="U6909" s="10">
        <v>6.9079999999999996E-5</v>
      </c>
      <c r="V6909" s="25"/>
      <c r="W6909" s="25"/>
      <c r="X6909" s="25"/>
      <c r="Y6909" s="25"/>
      <c r="Z6909" s="25"/>
      <c r="AA6909" s="25"/>
    </row>
    <row r="6910" spans="1:27" x14ac:dyDescent="0.35">
      <c r="A6910" s="5">
        <v>6906</v>
      </c>
      <c r="B6910" s="5">
        <v>288</v>
      </c>
      <c r="C6910" s="5">
        <v>10</v>
      </c>
      <c r="D6910" s="25">
        <v>1.1415000000000001E-4</v>
      </c>
      <c r="E6910" s="25">
        <v>1.1608999999999999E-4</v>
      </c>
      <c r="F6910" s="25">
        <v>1.0944E-4</v>
      </c>
      <c r="G6910" s="25">
        <v>1.6474999999999999E-4</v>
      </c>
      <c r="H6910" s="25">
        <v>1.8902E-4</v>
      </c>
      <c r="I6910" s="9">
        <v>1.2907000000000001E-4</v>
      </c>
      <c r="J6910" s="9">
        <v>1.3242000000000001E-4</v>
      </c>
      <c r="K6910" s="9">
        <v>1.9069999999999999E-5</v>
      </c>
      <c r="L6910" s="9">
        <v>2.0832000000000001E-4</v>
      </c>
      <c r="M6910" s="9">
        <v>1.5888999999999999E-4</v>
      </c>
      <c r="N6910" s="9">
        <v>1.3870000000000001E-4</v>
      </c>
      <c r="O6910" s="9">
        <v>2.0717000000000001E-4</v>
      </c>
      <c r="P6910" s="9">
        <v>1.6153000000000001E-4</v>
      </c>
      <c r="Q6910" s="9">
        <v>1.1852E-4</v>
      </c>
      <c r="R6910" s="10">
        <v>4.9997512436523989E-5</v>
      </c>
      <c r="S6910" s="10">
        <v>1.723084707380243E-4</v>
      </c>
      <c r="T6910" s="10">
        <v>0</v>
      </c>
      <c r="U6910" s="10">
        <v>6.9079999999999996E-5</v>
      </c>
      <c r="V6910" s="25"/>
      <c r="W6910" s="25"/>
      <c r="X6910" s="25"/>
      <c r="Y6910" s="25"/>
      <c r="Z6910" s="25"/>
      <c r="AA6910" s="25"/>
    </row>
    <row r="6911" spans="1:27" x14ac:dyDescent="0.35">
      <c r="A6911" s="5">
        <v>6907</v>
      </c>
      <c r="B6911" s="5">
        <v>288</v>
      </c>
      <c r="C6911" s="5">
        <v>10</v>
      </c>
      <c r="D6911" s="25">
        <v>1.1416E-4</v>
      </c>
      <c r="E6911" s="25">
        <v>1.0946E-4</v>
      </c>
      <c r="F6911" s="25">
        <v>1.1731999999999999E-4</v>
      </c>
      <c r="G6911" s="25">
        <v>1.1311000000000001E-4</v>
      </c>
      <c r="H6911" s="25">
        <v>1.3599E-4</v>
      </c>
      <c r="I6911" s="9">
        <v>1.2924E-4</v>
      </c>
      <c r="J6911" s="9">
        <v>1.3410000000000001E-4</v>
      </c>
      <c r="K6911" s="9">
        <v>2.756E-5</v>
      </c>
      <c r="L6911" s="9">
        <v>2.0704E-4</v>
      </c>
      <c r="M6911" s="9">
        <v>1.5925999999999999E-4</v>
      </c>
      <c r="N6911" s="9">
        <v>1.2988E-4</v>
      </c>
      <c r="O6911" s="9">
        <v>1.6480999999999999E-4</v>
      </c>
      <c r="P6911" s="9">
        <v>1.3506E-4</v>
      </c>
      <c r="Q6911" s="9">
        <v>1.072E-4</v>
      </c>
      <c r="R6911" s="10">
        <v>5.4330196249773095E-5</v>
      </c>
      <c r="S6911" s="10">
        <v>1.754921103717399E-4</v>
      </c>
      <c r="T6911" s="10">
        <v>0</v>
      </c>
      <c r="U6911" s="10">
        <v>6.9079999999999996E-5</v>
      </c>
      <c r="V6911" s="25"/>
      <c r="W6911" s="25"/>
      <c r="X6911" s="25"/>
      <c r="Y6911" s="25"/>
      <c r="Z6911" s="25"/>
      <c r="AA6911" s="25"/>
    </row>
    <row r="6912" spans="1:27" x14ac:dyDescent="0.35">
      <c r="A6912" s="5">
        <v>6908</v>
      </c>
      <c r="B6912" s="5">
        <v>288</v>
      </c>
      <c r="C6912" s="5">
        <v>10</v>
      </c>
      <c r="D6912" s="25">
        <v>1.1415000000000001E-4</v>
      </c>
      <c r="E6912" s="25">
        <v>1.1775E-4</v>
      </c>
      <c r="F6912" s="25">
        <v>1.1784E-4</v>
      </c>
      <c r="G6912" s="25">
        <v>1.1167000000000001E-4</v>
      </c>
      <c r="H6912" s="25">
        <v>1.3676000000000001E-4</v>
      </c>
      <c r="I6912" s="9">
        <v>1.2306E-4</v>
      </c>
      <c r="J6912" s="9">
        <v>1.3059000000000001E-4</v>
      </c>
      <c r="K6912" s="9">
        <v>4.6629999999999999E-5</v>
      </c>
      <c r="L6912" s="9">
        <v>1.7421E-4</v>
      </c>
      <c r="M6912" s="9">
        <v>1.5082999999999999E-4</v>
      </c>
      <c r="N6912" s="9">
        <v>1.2085E-4</v>
      </c>
      <c r="O6912" s="9">
        <v>1.2936999999999999E-4</v>
      </c>
      <c r="P6912" s="9">
        <v>1.1514E-4</v>
      </c>
      <c r="Q6912" s="9">
        <v>1.0213999999999999E-4</v>
      </c>
      <c r="R6912" s="10">
        <v>5.8397223886019346E-5</v>
      </c>
      <c r="S6912" s="10">
        <v>1.8072500460171375E-4</v>
      </c>
      <c r="T6912" s="10">
        <v>0</v>
      </c>
      <c r="U6912" s="10">
        <v>6.9079999999999996E-5</v>
      </c>
      <c r="V6912" s="25"/>
      <c r="W6912" s="25"/>
      <c r="X6912" s="25"/>
      <c r="Y6912" s="25"/>
      <c r="Z6912" s="25"/>
      <c r="AA6912" s="25"/>
    </row>
    <row r="6913" spans="1:27" x14ac:dyDescent="0.35">
      <c r="A6913" s="5">
        <v>6909</v>
      </c>
      <c r="B6913" s="5">
        <v>288</v>
      </c>
      <c r="C6913" s="5">
        <v>10</v>
      </c>
      <c r="D6913" s="25">
        <v>1.1416E-4</v>
      </c>
      <c r="E6913" s="25">
        <v>1.1681E-4</v>
      </c>
      <c r="F6913" s="25">
        <v>1.1929E-4</v>
      </c>
      <c r="G6913" s="25">
        <v>5.931E-5</v>
      </c>
      <c r="H6913" s="25">
        <v>6.9280000000000001E-5</v>
      </c>
      <c r="I6913" s="9">
        <v>1.1882E-4</v>
      </c>
      <c r="J6913" s="9">
        <v>1.2261999999999999E-4</v>
      </c>
      <c r="K6913" s="9">
        <v>6.7830000000000006E-5</v>
      </c>
      <c r="L6913" s="9">
        <v>1.4024999999999999E-4</v>
      </c>
      <c r="M6913" s="9">
        <v>1.3558999999999999E-4</v>
      </c>
      <c r="N6913" s="9">
        <v>1.1327E-4</v>
      </c>
      <c r="O6913" s="9">
        <v>8.4930000000000002E-5</v>
      </c>
      <c r="P6913" s="9">
        <v>8.6450000000000001E-5</v>
      </c>
      <c r="Q6913" s="9">
        <v>8.8460000000000003E-5</v>
      </c>
      <c r="R6913" s="10">
        <v>5.8572884514799032E-5</v>
      </c>
      <c r="S6913" s="10">
        <v>1.8273560071900086E-4</v>
      </c>
      <c r="T6913" s="10">
        <v>0</v>
      </c>
      <c r="U6913" s="10">
        <v>6.9079999999999996E-5</v>
      </c>
      <c r="V6913" s="25"/>
      <c r="W6913" s="25"/>
      <c r="X6913" s="25"/>
      <c r="Y6913" s="25"/>
      <c r="Z6913" s="25"/>
      <c r="AA6913" s="25"/>
    </row>
    <row r="6914" spans="1:27" x14ac:dyDescent="0.35">
      <c r="A6914" s="5">
        <v>6910</v>
      </c>
      <c r="B6914" s="5">
        <v>288</v>
      </c>
      <c r="C6914" s="5">
        <v>10</v>
      </c>
      <c r="D6914" s="25">
        <v>1.1415000000000001E-4</v>
      </c>
      <c r="E6914" s="25">
        <v>1.0781E-4</v>
      </c>
      <c r="F6914" s="25">
        <v>1.0983E-4</v>
      </c>
      <c r="G6914" s="25">
        <v>6.313E-5</v>
      </c>
      <c r="H6914" s="25">
        <v>6.3570000000000003E-5</v>
      </c>
      <c r="I6914" s="9">
        <v>1.1801E-4</v>
      </c>
      <c r="J6914" s="9">
        <v>1.1437E-4</v>
      </c>
      <c r="K6914" s="9">
        <v>7.6290000000000003E-5</v>
      </c>
      <c r="L6914" s="9">
        <v>9.8029999999999995E-5</v>
      </c>
      <c r="M6914" s="9">
        <v>1.1396999999999999E-4</v>
      </c>
      <c r="N6914" s="9">
        <v>1.0574E-4</v>
      </c>
      <c r="O6914" s="9">
        <v>8.7449999999999998E-5</v>
      </c>
      <c r="P6914" s="9">
        <v>8.7570000000000004E-5</v>
      </c>
      <c r="Q6914" s="9">
        <v>8.8220000000000006E-5</v>
      </c>
      <c r="R6914" s="10">
        <v>5.3476995849331323E-5</v>
      </c>
      <c r="S6914" s="10">
        <v>1.8404011305491087E-4</v>
      </c>
      <c r="T6914" s="10">
        <v>0</v>
      </c>
      <c r="U6914" s="10">
        <v>6.9079999999999996E-5</v>
      </c>
      <c r="V6914" s="25"/>
      <c r="W6914" s="25"/>
      <c r="X6914" s="25"/>
      <c r="Y6914" s="25"/>
      <c r="Z6914" s="25"/>
      <c r="AA6914" s="25"/>
    </row>
    <row r="6915" spans="1:27" x14ac:dyDescent="0.35">
      <c r="A6915" s="5">
        <v>6911</v>
      </c>
      <c r="B6915" s="5">
        <v>288</v>
      </c>
      <c r="C6915" s="5">
        <v>10</v>
      </c>
      <c r="D6915" s="25">
        <v>1.1416E-4</v>
      </c>
      <c r="E6915" s="25">
        <v>1.1453E-4</v>
      </c>
      <c r="F6915" s="25">
        <v>1.0922E-4</v>
      </c>
      <c r="G6915" s="25">
        <v>5.4119999999999997E-5</v>
      </c>
      <c r="H6915" s="25">
        <v>6.8689999999999995E-5</v>
      </c>
      <c r="I6915" s="9">
        <v>1.1639E-4</v>
      </c>
      <c r="J6915" s="9">
        <v>1.0789999999999999E-4</v>
      </c>
      <c r="K6915" s="9">
        <v>8.6890000000000003E-5</v>
      </c>
      <c r="L6915" s="9">
        <v>9.0710000000000004E-5</v>
      </c>
      <c r="M6915" s="9">
        <v>9.9160000000000006E-5</v>
      </c>
      <c r="N6915" s="9">
        <v>9.9950000000000004E-5</v>
      </c>
      <c r="O6915" s="9">
        <v>7.7910000000000005E-5</v>
      </c>
      <c r="P6915" s="9">
        <v>7.2150000000000005E-5</v>
      </c>
      <c r="Q6915" s="9">
        <v>6.69E-5</v>
      </c>
      <c r="R6915" s="10">
        <v>4.7519908895725924E-5</v>
      </c>
      <c r="S6915" s="10">
        <v>1.8028059621855586E-4</v>
      </c>
      <c r="T6915" s="10">
        <v>0</v>
      </c>
      <c r="U6915" s="10">
        <v>6.9079999999999996E-5</v>
      </c>
      <c r="V6915" s="25"/>
      <c r="W6915" s="25"/>
      <c r="X6915" s="25"/>
      <c r="Y6915" s="25"/>
      <c r="Z6915" s="25"/>
      <c r="AA6915" s="25"/>
    </row>
    <row r="6916" spans="1:27" x14ac:dyDescent="0.35">
      <c r="A6916" s="5">
        <v>6912</v>
      </c>
      <c r="B6916" s="5">
        <v>288</v>
      </c>
      <c r="C6916" s="5">
        <v>10</v>
      </c>
      <c r="D6916" s="25">
        <v>1.1415000000000001E-4</v>
      </c>
      <c r="E6916" s="25">
        <v>1.0859E-4</v>
      </c>
      <c r="F6916" s="25">
        <v>1.1938999999999999E-4</v>
      </c>
      <c r="G6916" s="25">
        <v>5.3999999999999998E-5</v>
      </c>
      <c r="H6916" s="25">
        <v>6.7440000000000005E-5</v>
      </c>
      <c r="I6916" s="9">
        <v>1.0975E-4</v>
      </c>
      <c r="J6916" s="9">
        <v>1.0137999999999999E-4</v>
      </c>
      <c r="K6916" s="9">
        <v>9.9610000000000003E-5</v>
      </c>
      <c r="L6916" s="9">
        <v>8.072E-5</v>
      </c>
      <c r="M6916" s="9">
        <v>8.6180000000000005E-5</v>
      </c>
      <c r="N6916" s="9">
        <v>9.0649999999999994E-5</v>
      </c>
      <c r="O6916" s="9">
        <v>6.2949999999999999E-5</v>
      </c>
      <c r="P6916" s="9">
        <v>6.0850000000000002E-5</v>
      </c>
      <c r="Q6916" s="9">
        <v>5.9030000000000002E-5</v>
      </c>
      <c r="R6916" s="10">
        <v>4.3394462761425416E-5</v>
      </c>
      <c r="S6916" s="10">
        <v>1.8294141612256969E-4</v>
      </c>
      <c r="T6916" s="10">
        <v>0</v>
      </c>
      <c r="U6916" s="10">
        <v>6.9079999999999996E-5</v>
      </c>
      <c r="V6916" s="25"/>
      <c r="W6916" s="25"/>
      <c r="X6916" s="25"/>
      <c r="Y6916" s="25"/>
      <c r="Z6916" s="25"/>
      <c r="AA6916" s="25"/>
    </row>
    <row r="6917" spans="1:27" x14ac:dyDescent="0.35">
      <c r="A6917" s="5">
        <v>6913</v>
      </c>
      <c r="B6917" s="5">
        <v>289</v>
      </c>
      <c r="C6917" s="5">
        <v>10</v>
      </c>
      <c r="D6917" s="25">
        <v>1.1416E-4</v>
      </c>
      <c r="E6917" s="25">
        <v>1.1655E-4</v>
      </c>
      <c r="F6917" s="25">
        <v>1.1754E-4</v>
      </c>
      <c r="G6917" s="25">
        <v>5.7040000000000003E-5</v>
      </c>
      <c r="H6917" s="25">
        <v>6.2840000000000001E-5</v>
      </c>
      <c r="I6917" s="9">
        <v>1.0251000000000001E-4</v>
      </c>
      <c r="J6917" s="9">
        <v>9.4969999999999994E-5</v>
      </c>
      <c r="K6917" s="9">
        <v>1.0385E-4</v>
      </c>
      <c r="L6917" s="9">
        <v>6.6859999999999993E-5</v>
      </c>
      <c r="M6917" s="9">
        <v>7.4079999999999995E-5</v>
      </c>
      <c r="N6917" s="9">
        <v>8.1260000000000005E-5</v>
      </c>
      <c r="O6917" s="9">
        <v>5.4079999999999997E-5</v>
      </c>
      <c r="P6917" s="9">
        <v>5.3499999999999999E-5</v>
      </c>
      <c r="Q6917" s="9">
        <v>5.308E-5</v>
      </c>
      <c r="R6917" s="10">
        <v>3.6902313600214041E-5</v>
      </c>
      <c r="S6917" s="10">
        <v>1.8332562471657542E-4</v>
      </c>
      <c r="T6917" s="10">
        <v>0</v>
      </c>
      <c r="U6917" s="10">
        <v>6.8899999999999994E-5</v>
      </c>
      <c r="V6917" s="25"/>
      <c r="W6917" s="25"/>
      <c r="X6917" s="25"/>
      <c r="Y6917" s="25"/>
      <c r="Z6917" s="25"/>
      <c r="AA6917" s="25"/>
    </row>
    <row r="6918" spans="1:27" x14ac:dyDescent="0.35">
      <c r="A6918" s="5">
        <v>6914</v>
      </c>
      <c r="B6918" s="5">
        <v>289</v>
      </c>
      <c r="C6918" s="5">
        <v>10</v>
      </c>
      <c r="D6918" s="25">
        <v>1.1415000000000001E-4</v>
      </c>
      <c r="E6918" s="25">
        <v>1.1797E-4</v>
      </c>
      <c r="F6918" s="25">
        <v>1.2875000000000001E-4</v>
      </c>
      <c r="G6918" s="25">
        <v>5.3980000000000002E-5</v>
      </c>
      <c r="H6918" s="25">
        <v>7.3720000000000006E-5</v>
      </c>
      <c r="I6918" s="9">
        <v>9.7650000000000002E-5</v>
      </c>
      <c r="J6918" s="9">
        <v>9.1940000000000004E-5</v>
      </c>
      <c r="K6918" s="9">
        <v>1.2292E-4</v>
      </c>
      <c r="L6918" s="9">
        <v>5.7269999999999999E-5</v>
      </c>
      <c r="M6918" s="9">
        <v>6.3800000000000006E-5</v>
      </c>
      <c r="N6918" s="9">
        <v>7.2039999999999995E-5</v>
      </c>
      <c r="O6918" s="9">
        <v>1.8839999999999999E-5</v>
      </c>
      <c r="P6918" s="9">
        <v>3.79E-5</v>
      </c>
      <c r="Q6918" s="9">
        <v>5.6409999999999997E-5</v>
      </c>
      <c r="R6918" s="10">
        <v>3.9643928440934261E-5</v>
      </c>
      <c r="S6918" s="10">
        <v>1.8165985600588507E-4</v>
      </c>
      <c r="T6918" s="10">
        <v>0</v>
      </c>
      <c r="U6918" s="10">
        <v>6.8899999999999994E-5</v>
      </c>
      <c r="V6918" s="25"/>
      <c r="W6918" s="25"/>
      <c r="X6918" s="25"/>
      <c r="Y6918" s="25"/>
      <c r="Z6918" s="25"/>
      <c r="AA6918" s="25"/>
    </row>
    <row r="6919" spans="1:27" x14ac:dyDescent="0.35">
      <c r="A6919" s="5">
        <v>6915</v>
      </c>
      <c r="B6919" s="5">
        <v>289</v>
      </c>
      <c r="C6919" s="5">
        <v>10</v>
      </c>
      <c r="D6919" s="25">
        <v>1.1416E-4</v>
      </c>
      <c r="E6919" s="25">
        <v>1.1929E-4</v>
      </c>
      <c r="F6919" s="25">
        <v>1.2873999999999999E-4</v>
      </c>
      <c r="G6919" s="25">
        <v>5.384E-5</v>
      </c>
      <c r="H6919" s="25">
        <v>6.5480000000000003E-5</v>
      </c>
      <c r="I6919" s="9">
        <v>9.5340000000000005E-5</v>
      </c>
      <c r="J6919" s="9">
        <v>9.0719999999999999E-5</v>
      </c>
      <c r="K6919" s="9">
        <v>1.4198999999999999E-4</v>
      </c>
      <c r="L6919" s="9">
        <v>2.7509999999999999E-5</v>
      </c>
      <c r="M6919" s="9">
        <v>5.2129999999999997E-5</v>
      </c>
      <c r="N6919" s="9">
        <v>6.5510000000000001E-5</v>
      </c>
      <c r="O6919" s="9">
        <v>1.3349999999999999E-5</v>
      </c>
      <c r="P6919" s="9">
        <v>3.799E-5</v>
      </c>
      <c r="Q6919" s="9">
        <v>6.1929999999999998E-5</v>
      </c>
      <c r="R6919" s="10">
        <v>4.9070471944291816E-5</v>
      </c>
      <c r="S6919" s="10">
        <v>1.8168571052118278E-4</v>
      </c>
      <c r="T6919" s="10">
        <v>0</v>
      </c>
      <c r="U6919" s="10">
        <v>6.8899999999999994E-5</v>
      </c>
      <c r="V6919" s="25"/>
      <c r="W6919" s="25"/>
      <c r="X6919" s="25"/>
      <c r="Y6919" s="25"/>
      <c r="Z6919" s="25"/>
      <c r="AA6919" s="25"/>
    </row>
    <row r="6920" spans="1:27" x14ac:dyDescent="0.35">
      <c r="A6920" s="5">
        <v>6916</v>
      </c>
      <c r="B6920" s="5">
        <v>289</v>
      </c>
      <c r="C6920" s="5">
        <v>10</v>
      </c>
      <c r="D6920" s="25">
        <v>1.1415000000000001E-4</v>
      </c>
      <c r="E6920" s="25">
        <v>1.1878E-4</v>
      </c>
      <c r="F6920" s="25">
        <v>1.1442000000000001E-4</v>
      </c>
      <c r="G6920" s="25">
        <v>5.5399999999999998E-5</v>
      </c>
      <c r="H6920" s="25">
        <v>6.5539999999999999E-5</v>
      </c>
      <c r="I6920" s="9">
        <v>9.5320000000000002E-5</v>
      </c>
      <c r="J6920" s="9">
        <v>8.9989999999999997E-5</v>
      </c>
      <c r="K6920" s="9">
        <v>1.4836E-4</v>
      </c>
      <c r="L6920" s="9">
        <v>1.7200000000000001E-5</v>
      </c>
      <c r="M6920" s="9">
        <v>4.426E-5</v>
      </c>
      <c r="N6920" s="9">
        <v>6.2000000000000003E-5</v>
      </c>
      <c r="O6920" s="9">
        <v>1.3159999999999999E-5</v>
      </c>
      <c r="P6920" s="9">
        <v>4.6829999999999997E-5</v>
      </c>
      <c r="Q6920" s="9">
        <v>7.9660000000000006E-5</v>
      </c>
      <c r="R6920" s="10">
        <v>5.0785011904902095E-5</v>
      </c>
      <c r="S6920" s="10">
        <v>1.8029712064206012E-4</v>
      </c>
      <c r="T6920" s="10">
        <v>0</v>
      </c>
      <c r="U6920" s="10">
        <v>6.8899999999999994E-5</v>
      </c>
      <c r="V6920" s="25"/>
      <c r="W6920" s="25"/>
      <c r="X6920" s="25"/>
      <c r="Y6920" s="25"/>
      <c r="Z6920" s="25"/>
      <c r="AA6920" s="25"/>
    </row>
    <row r="6921" spans="1:27" x14ac:dyDescent="0.35">
      <c r="A6921" s="5">
        <v>6917</v>
      </c>
      <c r="B6921" s="5">
        <v>289</v>
      </c>
      <c r="C6921" s="5">
        <v>10</v>
      </c>
      <c r="D6921" s="25">
        <v>1.1416E-4</v>
      </c>
      <c r="E6921" s="25">
        <v>1.1665E-4</v>
      </c>
      <c r="F6921" s="25">
        <v>1.2313E-4</v>
      </c>
      <c r="G6921" s="25">
        <v>5.647E-5</v>
      </c>
      <c r="H6921" s="25">
        <v>7.1580000000000002E-5</v>
      </c>
      <c r="I6921" s="9">
        <v>9.6260000000000003E-5</v>
      </c>
      <c r="J6921" s="9">
        <v>9.0619999999999996E-5</v>
      </c>
      <c r="K6921" s="9">
        <v>1.5046999999999999E-4</v>
      </c>
      <c r="L6921" s="9">
        <v>1.429E-5</v>
      </c>
      <c r="M6921" s="9">
        <v>4.3430000000000003E-5</v>
      </c>
      <c r="N6921" s="9">
        <v>6.4369999999999995E-5</v>
      </c>
      <c r="O6921" s="9">
        <v>1.8680000000000001E-5</v>
      </c>
      <c r="P6921" s="9">
        <v>5.6379999999999999E-5</v>
      </c>
      <c r="Q6921" s="9">
        <v>9.323E-5</v>
      </c>
      <c r="R6921" s="10">
        <v>5.0116783901840873E-5</v>
      </c>
      <c r="S6921" s="10">
        <v>1.7939060134435509E-4</v>
      </c>
      <c r="T6921" s="10">
        <v>0</v>
      </c>
      <c r="U6921" s="10">
        <v>6.8899999999999994E-5</v>
      </c>
      <c r="V6921" s="25"/>
      <c r="W6921" s="25"/>
      <c r="X6921" s="25"/>
      <c r="Y6921" s="25"/>
      <c r="Z6921" s="25"/>
      <c r="AA6921" s="25"/>
    </row>
    <row r="6922" spans="1:27" x14ac:dyDescent="0.35">
      <c r="A6922" s="5">
        <v>6918</v>
      </c>
      <c r="B6922" s="5">
        <v>289</v>
      </c>
      <c r="C6922" s="5">
        <v>10</v>
      </c>
      <c r="D6922" s="25">
        <v>1.1415000000000001E-4</v>
      </c>
      <c r="E6922" s="25">
        <v>1.1434000000000001E-4</v>
      </c>
      <c r="F6922" s="25">
        <v>1.2867E-4</v>
      </c>
      <c r="G6922" s="25">
        <v>1.0449E-4</v>
      </c>
      <c r="H6922" s="25">
        <v>1.3467000000000001E-4</v>
      </c>
      <c r="I6922" s="9">
        <v>1.0021E-4</v>
      </c>
      <c r="J6922" s="9">
        <v>9.3540000000000002E-5</v>
      </c>
      <c r="K6922" s="9">
        <v>1.6107E-4</v>
      </c>
      <c r="L6922" s="9">
        <v>1.7589999999999999E-5</v>
      </c>
      <c r="M6922" s="9">
        <v>4.8220000000000002E-5</v>
      </c>
      <c r="N6922" s="9">
        <v>7.0829999999999998E-5</v>
      </c>
      <c r="O6922" s="9">
        <v>4.6579999999999998E-5</v>
      </c>
      <c r="P6922" s="9">
        <v>7.7379999999999994E-5</v>
      </c>
      <c r="Q6922" s="9">
        <v>1.0774E-4</v>
      </c>
      <c r="R6922" s="10">
        <v>4.315323878033969E-5</v>
      </c>
      <c r="S6922" s="10">
        <v>1.7480106453043179E-4</v>
      </c>
      <c r="T6922" s="10">
        <v>0</v>
      </c>
      <c r="U6922" s="10">
        <v>6.8899999999999994E-5</v>
      </c>
      <c r="V6922" s="25"/>
      <c r="W6922" s="25"/>
      <c r="X6922" s="25"/>
      <c r="Y6922" s="25"/>
      <c r="Z6922" s="25"/>
      <c r="AA6922" s="25"/>
    </row>
    <row r="6923" spans="1:27" x14ac:dyDescent="0.35">
      <c r="A6923" s="5">
        <v>6919</v>
      </c>
      <c r="B6923" s="5">
        <v>289</v>
      </c>
      <c r="C6923" s="5">
        <v>10</v>
      </c>
      <c r="D6923" s="25">
        <v>1.1416E-4</v>
      </c>
      <c r="E6923" s="25">
        <v>1.1296E-4</v>
      </c>
      <c r="F6923" s="25">
        <v>1.1916E-4</v>
      </c>
      <c r="G6923" s="25">
        <v>1.1205999999999999E-4</v>
      </c>
      <c r="H6923" s="25">
        <v>1.3467000000000001E-4</v>
      </c>
      <c r="I6923" s="9">
        <v>1.054E-4</v>
      </c>
      <c r="J6923" s="9">
        <v>1.0046E-4</v>
      </c>
      <c r="K6923" s="9">
        <v>1.5046999999999999E-4</v>
      </c>
      <c r="L6923" s="9">
        <v>4.0059999999999999E-5</v>
      </c>
      <c r="M6923" s="9">
        <v>6.0069999999999999E-5</v>
      </c>
      <c r="N6923" s="9">
        <v>8.072E-5</v>
      </c>
      <c r="O6923" s="9">
        <v>1.236E-4</v>
      </c>
      <c r="P6923" s="9">
        <v>1.1760999999999999E-4</v>
      </c>
      <c r="Q6923" s="9">
        <v>1.1267E-4</v>
      </c>
      <c r="R6923" s="10">
        <v>3.1675421456725379E-5</v>
      </c>
      <c r="S6923" s="10">
        <v>1.6939230912853384E-4</v>
      </c>
      <c r="T6923" s="10">
        <v>0</v>
      </c>
      <c r="U6923" s="10">
        <v>6.8899999999999994E-5</v>
      </c>
      <c r="V6923" s="25"/>
      <c r="W6923" s="25"/>
      <c r="X6923" s="25"/>
      <c r="Y6923" s="25"/>
      <c r="Z6923" s="25"/>
      <c r="AA6923" s="25"/>
    </row>
    <row r="6924" spans="1:27" x14ac:dyDescent="0.35">
      <c r="A6924" s="5">
        <v>6920</v>
      </c>
      <c r="B6924" s="5">
        <v>289</v>
      </c>
      <c r="C6924" s="5">
        <v>10</v>
      </c>
      <c r="D6924" s="25">
        <v>1.1415000000000001E-4</v>
      </c>
      <c r="E6924" s="25">
        <v>1.1003E-4</v>
      </c>
      <c r="F6924" s="25">
        <v>1.2087E-4</v>
      </c>
      <c r="G6924" s="25">
        <v>1.6411999999999999E-4</v>
      </c>
      <c r="H6924" s="25">
        <v>1.9384E-4</v>
      </c>
      <c r="I6924" s="9">
        <v>1.1228E-4</v>
      </c>
      <c r="J6924" s="9">
        <v>1.0815E-4</v>
      </c>
      <c r="K6924" s="9">
        <v>1.1656E-4</v>
      </c>
      <c r="L6924" s="9">
        <v>1.0459E-4</v>
      </c>
      <c r="M6924" s="9">
        <v>8.3850000000000005E-5</v>
      </c>
      <c r="N6924" s="9">
        <v>9.0870000000000002E-5</v>
      </c>
      <c r="O6924" s="9">
        <v>2.1871999999999999E-4</v>
      </c>
      <c r="P6924" s="9">
        <v>1.7597000000000001E-4</v>
      </c>
      <c r="Q6924" s="9">
        <v>1.3594E-4</v>
      </c>
      <c r="R6924" s="10">
        <v>2.4046369530323011E-5</v>
      </c>
      <c r="S6924" s="10">
        <v>1.6257822835317887E-4</v>
      </c>
      <c r="T6924" s="10">
        <v>6.9698519161420772E-5</v>
      </c>
      <c r="U6924" s="10">
        <v>6.8899999999999994E-5</v>
      </c>
      <c r="V6924" s="25"/>
      <c r="W6924" s="25"/>
      <c r="X6924" s="25"/>
      <c r="Y6924" s="25"/>
      <c r="Z6924" s="25"/>
      <c r="AA6924" s="25"/>
    </row>
    <row r="6925" spans="1:27" x14ac:dyDescent="0.35">
      <c r="A6925" s="5">
        <v>6921</v>
      </c>
      <c r="B6925" s="5">
        <v>289</v>
      </c>
      <c r="C6925" s="5">
        <v>10</v>
      </c>
      <c r="D6925" s="25">
        <v>1.1416E-4</v>
      </c>
      <c r="E6925" s="25">
        <v>1.1763E-4</v>
      </c>
      <c r="F6925" s="25">
        <v>1.2226000000000001E-4</v>
      </c>
      <c r="G6925" s="25">
        <v>1.6369999999999999E-4</v>
      </c>
      <c r="H6925" s="25">
        <v>1.9073000000000001E-4</v>
      </c>
      <c r="I6925" s="9">
        <v>1.1814E-4</v>
      </c>
      <c r="J6925" s="9">
        <v>1.1568E-4</v>
      </c>
      <c r="K6925" s="9">
        <v>7.4179999999999998E-5</v>
      </c>
      <c r="L6925" s="9">
        <v>1.9184000000000001E-4</v>
      </c>
      <c r="M6925" s="9">
        <v>1.2316000000000001E-4</v>
      </c>
      <c r="N6925" s="9">
        <v>1.0445E-4</v>
      </c>
      <c r="O6925" s="9">
        <v>2.1034E-4</v>
      </c>
      <c r="P6925" s="9">
        <v>1.9195E-4</v>
      </c>
      <c r="Q6925" s="9">
        <v>1.7579E-4</v>
      </c>
      <c r="R6925" s="10">
        <v>1.5488094662098365E-5</v>
      </c>
      <c r="S6925" s="10">
        <v>1.5857052490999174E-4</v>
      </c>
      <c r="T6925" s="10">
        <v>8.106748029061174E-5</v>
      </c>
      <c r="U6925" s="10">
        <v>6.8899999999999994E-5</v>
      </c>
      <c r="V6925" s="25"/>
      <c r="W6925" s="25"/>
      <c r="X6925" s="25"/>
      <c r="Y6925" s="25"/>
      <c r="Z6925" s="25"/>
      <c r="AA6925" s="25"/>
    </row>
    <row r="6926" spans="1:27" x14ac:dyDescent="0.35">
      <c r="A6926" s="5">
        <v>6922</v>
      </c>
      <c r="B6926" s="5">
        <v>289</v>
      </c>
      <c r="C6926" s="5">
        <v>10</v>
      </c>
      <c r="D6926" s="25">
        <v>1.1415000000000001E-4</v>
      </c>
      <c r="E6926" s="25">
        <v>1.0917E-4</v>
      </c>
      <c r="F6926" s="25">
        <v>1.1642999999999999E-4</v>
      </c>
      <c r="G6926" s="25">
        <v>1.6642E-4</v>
      </c>
      <c r="H6926" s="25">
        <v>1.9561000000000001E-4</v>
      </c>
      <c r="I6926" s="9">
        <v>1.2021E-4</v>
      </c>
      <c r="J6926" s="9">
        <v>1.2037E-4</v>
      </c>
      <c r="K6926" s="9">
        <v>3.1789999999999999E-5</v>
      </c>
      <c r="L6926" s="9">
        <v>2.0398000000000001E-4</v>
      </c>
      <c r="M6926" s="9">
        <v>1.5787E-4</v>
      </c>
      <c r="N6926" s="9">
        <v>1.2425000000000001E-4</v>
      </c>
      <c r="O6926" s="9">
        <v>1.6579999999999999E-4</v>
      </c>
      <c r="P6926" s="9">
        <v>1.7238999999999999E-4</v>
      </c>
      <c r="Q6926" s="9">
        <v>1.8032000000000001E-4</v>
      </c>
      <c r="R6926" s="10">
        <v>6.7911372153756338E-6</v>
      </c>
      <c r="S6926" s="10">
        <v>1.5658258556490876E-4</v>
      </c>
      <c r="T6926" s="10">
        <v>5.3841363676004413E-5</v>
      </c>
      <c r="U6926" s="10">
        <v>6.8899999999999994E-5</v>
      </c>
      <c r="V6926" s="25"/>
      <c r="W6926" s="25"/>
      <c r="X6926" s="25"/>
      <c r="Y6926" s="25"/>
      <c r="Z6926" s="25"/>
      <c r="AA6926" s="25"/>
    </row>
    <row r="6927" spans="1:27" x14ac:dyDescent="0.35">
      <c r="A6927" s="5">
        <v>6923</v>
      </c>
      <c r="B6927" s="5">
        <v>289</v>
      </c>
      <c r="C6927" s="5">
        <v>10</v>
      </c>
      <c r="D6927" s="25">
        <v>1.1416E-4</v>
      </c>
      <c r="E6927" s="25">
        <v>1.1938E-4</v>
      </c>
      <c r="F6927" s="25">
        <v>1.2295000000000001E-4</v>
      </c>
      <c r="G6927" s="25">
        <v>1.6097999999999999E-4</v>
      </c>
      <c r="H6927" s="25">
        <v>1.9587000000000001E-4</v>
      </c>
      <c r="I6927" s="9">
        <v>1.2139E-4</v>
      </c>
      <c r="J6927" s="9">
        <v>1.2149E-4</v>
      </c>
      <c r="K6927" s="9">
        <v>4.2400000000000001E-6</v>
      </c>
      <c r="L6927" s="9">
        <v>1.7427999999999999E-4</v>
      </c>
      <c r="M6927" s="9">
        <v>1.7113E-4</v>
      </c>
      <c r="N6927" s="9">
        <v>1.4197E-4</v>
      </c>
      <c r="O6927" s="9">
        <v>1.6582000000000001E-4</v>
      </c>
      <c r="P6927" s="9">
        <v>1.7108E-4</v>
      </c>
      <c r="Q6927" s="9">
        <v>1.7768999999999999E-4</v>
      </c>
      <c r="R6927" s="10">
        <v>2.8603779548526403E-6</v>
      </c>
      <c r="S6927" s="10">
        <v>1.4911643409940028E-4</v>
      </c>
      <c r="T6927" s="10">
        <v>1.9768417485832066E-5</v>
      </c>
      <c r="U6927" s="10">
        <v>6.8899999999999994E-5</v>
      </c>
      <c r="V6927" s="25"/>
      <c r="W6927" s="25"/>
      <c r="X6927" s="25"/>
      <c r="Y6927" s="25"/>
      <c r="Z6927" s="25"/>
      <c r="AA6927" s="25"/>
    </row>
    <row r="6928" spans="1:27" x14ac:dyDescent="0.35">
      <c r="A6928" s="5">
        <v>6924</v>
      </c>
      <c r="B6928" s="5">
        <v>289</v>
      </c>
      <c r="C6928" s="5">
        <v>10</v>
      </c>
      <c r="D6928" s="25">
        <v>1.1415000000000001E-4</v>
      </c>
      <c r="E6928" s="25">
        <v>1.1339E-4</v>
      </c>
      <c r="F6928" s="25">
        <v>1.1317E-4</v>
      </c>
      <c r="G6928" s="25">
        <v>1.5729000000000001E-4</v>
      </c>
      <c r="H6928" s="25">
        <v>1.9991E-4</v>
      </c>
      <c r="I6928" s="9">
        <v>1.1825E-4</v>
      </c>
      <c r="J6928" s="9">
        <v>1.2147E-4</v>
      </c>
      <c r="K6928" s="9">
        <v>0</v>
      </c>
      <c r="L6928" s="9">
        <v>1.6909999999999999E-4</v>
      </c>
      <c r="M6928" s="9">
        <v>1.7333E-4</v>
      </c>
      <c r="N6928" s="9">
        <v>1.5569E-4</v>
      </c>
      <c r="O6928" s="9">
        <v>1.6881E-4</v>
      </c>
      <c r="P6928" s="9">
        <v>1.7000000000000001E-4</v>
      </c>
      <c r="Q6928" s="9">
        <v>1.7265E-4</v>
      </c>
      <c r="R6928" s="10">
        <v>1.3514541984359858E-6</v>
      </c>
      <c r="S6928" s="10">
        <v>1.3467493902361293E-4</v>
      </c>
      <c r="T6928" s="10">
        <v>2.9236895560591112E-5</v>
      </c>
      <c r="U6928" s="10">
        <v>6.8899999999999994E-5</v>
      </c>
      <c r="V6928" s="25"/>
      <c r="W6928" s="25"/>
      <c r="X6928" s="25"/>
      <c r="Y6928" s="25"/>
      <c r="Z6928" s="25"/>
      <c r="AA6928" s="25"/>
    </row>
    <row r="6929" spans="1:27" x14ac:dyDescent="0.35">
      <c r="A6929" s="5">
        <v>6925</v>
      </c>
      <c r="B6929" s="5">
        <v>289</v>
      </c>
      <c r="C6929" s="5">
        <v>10</v>
      </c>
      <c r="D6929" s="25">
        <v>1.1416E-4</v>
      </c>
      <c r="E6929" s="25">
        <v>1.1273999999999999E-4</v>
      </c>
      <c r="F6929" s="25">
        <v>1.2375999999999999E-4</v>
      </c>
      <c r="G6929" s="25">
        <v>1.5777E-4</v>
      </c>
      <c r="H6929" s="25">
        <v>1.9887E-4</v>
      </c>
      <c r="I6929" s="9">
        <v>1.1524E-4</v>
      </c>
      <c r="J6929" s="9">
        <v>1.1836999999999999E-4</v>
      </c>
      <c r="K6929" s="9">
        <v>0</v>
      </c>
      <c r="L6929" s="9">
        <v>1.6903999999999999E-4</v>
      </c>
      <c r="M6929" s="9">
        <v>1.7222E-4</v>
      </c>
      <c r="N6929" s="9">
        <v>1.6492000000000001E-4</v>
      </c>
      <c r="O6929" s="9">
        <v>1.6131000000000001E-4</v>
      </c>
      <c r="P6929" s="9">
        <v>1.6335000000000001E-4</v>
      </c>
      <c r="Q6929" s="9">
        <v>1.6673E-4</v>
      </c>
      <c r="R6929" s="10">
        <v>7.8296771506212822E-7</v>
      </c>
      <c r="S6929" s="10">
        <v>1.3039467243350434E-4</v>
      </c>
      <c r="T6929" s="10">
        <v>6.2469896115099349E-5</v>
      </c>
      <c r="U6929" s="10">
        <v>6.8899999999999994E-5</v>
      </c>
      <c r="V6929" s="25"/>
      <c r="W6929" s="25"/>
      <c r="X6929" s="25"/>
      <c r="Y6929" s="25"/>
      <c r="Z6929" s="25"/>
      <c r="AA6929" s="25"/>
    </row>
    <row r="6930" spans="1:27" x14ac:dyDescent="0.35">
      <c r="A6930" s="5">
        <v>6926</v>
      </c>
      <c r="B6930" s="5">
        <v>289</v>
      </c>
      <c r="C6930" s="5">
        <v>10</v>
      </c>
      <c r="D6930" s="25">
        <v>1.1415000000000001E-4</v>
      </c>
      <c r="E6930" s="25">
        <v>1.1786E-4</v>
      </c>
      <c r="F6930" s="25">
        <v>1.2494000000000001E-4</v>
      </c>
      <c r="G6930" s="25">
        <v>1.6467000000000001E-4</v>
      </c>
      <c r="H6930" s="25">
        <v>1.8836999999999999E-4</v>
      </c>
      <c r="I6930" s="9">
        <v>1.1201000000000001E-4</v>
      </c>
      <c r="J6930" s="9">
        <v>1.1622E-4</v>
      </c>
      <c r="K6930" s="9">
        <v>0</v>
      </c>
      <c r="L6930" s="9">
        <v>1.6275E-4</v>
      </c>
      <c r="M6930" s="9">
        <v>1.6872E-4</v>
      </c>
      <c r="N6930" s="9">
        <v>1.6925999999999999E-4</v>
      </c>
      <c r="O6930" s="9">
        <v>1.7731999999999999E-4</v>
      </c>
      <c r="P6930" s="9">
        <v>1.6762999999999999E-4</v>
      </c>
      <c r="Q6930" s="9">
        <v>1.5966E-4</v>
      </c>
      <c r="R6930" s="10">
        <v>1.0875501919518179E-6</v>
      </c>
      <c r="S6930" s="10">
        <v>1.3634670952302749E-4</v>
      </c>
      <c r="T6930" s="10">
        <v>6.6440548210966051E-5</v>
      </c>
      <c r="U6930" s="10">
        <v>6.8899999999999994E-5</v>
      </c>
      <c r="V6930" s="25"/>
      <c r="W6930" s="25"/>
      <c r="X6930" s="25"/>
      <c r="Y6930" s="25"/>
      <c r="Z6930" s="25"/>
      <c r="AA6930" s="25"/>
    </row>
    <row r="6931" spans="1:27" x14ac:dyDescent="0.35">
      <c r="A6931" s="5">
        <v>6927</v>
      </c>
      <c r="B6931" s="5">
        <v>289</v>
      </c>
      <c r="C6931" s="5">
        <v>10</v>
      </c>
      <c r="D6931" s="25">
        <v>1.1416E-4</v>
      </c>
      <c r="E6931" s="25">
        <v>1.1345000000000001E-4</v>
      </c>
      <c r="F6931" s="25">
        <v>1.1668E-4</v>
      </c>
      <c r="G6931" s="25">
        <v>1.6443E-4</v>
      </c>
      <c r="H6931" s="25">
        <v>1.9185E-4</v>
      </c>
      <c r="I6931" s="9">
        <v>1.1024E-4</v>
      </c>
      <c r="J6931" s="9">
        <v>1.1347E-4</v>
      </c>
      <c r="K6931" s="9">
        <v>0</v>
      </c>
      <c r="L6931" s="9">
        <v>1.7426E-4</v>
      </c>
      <c r="M6931" s="9">
        <v>1.6733000000000001E-4</v>
      </c>
      <c r="N6931" s="9">
        <v>1.6876E-4</v>
      </c>
      <c r="O6931" s="9">
        <v>1.8369999999999999E-4</v>
      </c>
      <c r="P6931" s="9">
        <v>1.6712000000000001E-4</v>
      </c>
      <c r="Q6931" s="9">
        <v>1.5243E-4</v>
      </c>
      <c r="R6931" s="10">
        <v>3.6828947102348475E-6</v>
      </c>
      <c r="S6931" s="10">
        <v>1.480147252974755E-4</v>
      </c>
      <c r="T6931" s="10">
        <v>3.5235295201141876E-5</v>
      </c>
      <c r="U6931" s="10">
        <v>6.8899999999999994E-5</v>
      </c>
      <c r="V6931" s="25"/>
      <c r="W6931" s="25"/>
      <c r="X6931" s="25"/>
      <c r="Y6931" s="25"/>
      <c r="Z6931" s="25"/>
      <c r="AA6931" s="25"/>
    </row>
    <row r="6932" spans="1:27" x14ac:dyDescent="0.35">
      <c r="A6932" s="5">
        <v>6928</v>
      </c>
      <c r="B6932" s="5">
        <v>289</v>
      </c>
      <c r="C6932" s="5">
        <v>10</v>
      </c>
      <c r="D6932" s="25">
        <v>1.1415000000000001E-4</v>
      </c>
      <c r="E6932" s="25">
        <v>1.1586000000000001E-4</v>
      </c>
      <c r="F6932" s="25">
        <v>1.3201E-4</v>
      </c>
      <c r="G6932" s="25">
        <v>1.5728000000000001E-4</v>
      </c>
      <c r="H6932" s="25">
        <v>1.8804E-4</v>
      </c>
      <c r="I6932" s="9">
        <v>1.0921000000000001E-4</v>
      </c>
      <c r="J6932" s="9">
        <v>1.1249E-4</v>
      </c>
      <c r="K6932" s="9">
        <v>0</v>
      </c>
      <c r="L6932" s="9">
        <v>1.8132000000000001E-4</v>
      </c>
      <c r="M6932" s="9">
        <v>1.6697000000000001E-4</v>
      </c>
      <c r="N6932" s="9">
        <v>1.6514000000000001E-4</v>
      </c>
      <c r="O6932" s="9">
        <v>1.9903E-4</v>
      </c>
      <c r="P6932" s="9">
        <v>1.5352000000000001E-4</v>
      </c>
      <c r="Q6932" s="9">
        <v>1.1053E-4</v>
      </c>
      <c r="R6932" s="10">
        <v>7.8886859582513397E-6</v>
      </c>
      <c r="S6932" s="10">
        <v>1.5687108358137353E-4</v>
      </c>
      <c r="T6932" s="10">
        <v>6.0730614748320137E-5</v>
      </c>
      <c r="U6932" s="10">
        <v>6.8899999999999994E-5</v>
      </c>
      <c r="V6932" s="25"/>
      <c r="W6932" s="25"/>
      <c r="X6932" s="25"/>
      <c r="Y6932" s="25"/>
      <c r="Z6932" s="25"/>
      <c r="AA6932" s="25"/>
    </row>
    <row r="6933" spans="1:27" x14ac:dyDescent="0.35">
      <c r="A6933" s="5">
        <v>6929</v>
      </c>
      <c r="B6933" s="5">
        <v>289</v>
      </c>
      <c r="C6933" s="5">
        <v>10</v>
      </c>
      <c r="D6933" s="25">
        <v>1.1416E-4</v>
      </c>
      <c r="E6933" s="25">
        <v>1.1314E-4</v>
      </c>
      <c r="F6933" s="25">
        <v>1.1820999999999999E-4</v>
      </c>
      <c r="G6933" s="25">
        <v>1.6004999999999999E-4</v>
      </c>
      <c r="H6933" s="25">
        <v>1.9453E-4</v>
      </c>
      <c r="I6933" s="9">
        <v>1.111E-4</v>
      </c>
      <c r="J6933" s="9">
        <v>1.1511E-4</v>
      </c>
      <c r="K6933" s="9">
        <v>3.392E-5</v>
      </c>
      <c r="L6933" s="9">
        <v>1.9489E-4</v>
      </c>
      <c r="M6933" s="9">
        <v>1.6213999999999999E-4</v>
      </c>
      <c r="N6933" s="9">
        <v>1.5189000000000001E-4</v>
      </c>
      <c r="O6933" s="9">
        <v>2.1273E-4</v>
      </c>
      <c r="P6933" s="9">
        <v>1.5813000000000001E-4</v>
      </c>
      <c r="Q6933" s="9">
        <v>1.0636E-4</v>
      </c>
      <c r="R6933" s="10">
        <v>1.3559484031413173E-5</v>
      </c>
      <c r="S6933" s="10">
        <v>1.6258142487207423E-4</v>
      </c>
      <c r="T6933" s="10">
        <v>3.1391907595527313E-6</v>
      </c>
      <c r="U6933" s="10">
        <v>6.8899999999999994E-5</v>
      </c>
      <c r="V6933" s="25"/>
      <c r="W6933" s="25"/>
      <c r="X6933" s="25"/>
      <c r="Y6933" s="25"/>
      <c r="Z6933" s="25"/>
      <c r="AA6933" s="25"/>
    </row>
    <row r="6934" spans="1:27" x14ac:dyDescent="0.35">
      <c r="A6934" s="5">
        <v>6930</v>
      </c>
      <c r="B6934" s="5">
        <v>289</v>
      </c>
      <c r="C6934" s="5">
        <v>10</v>
      </c>
      <c r="D6934" s="25">
        <v>1.1415000000000001E-4</v>
      </c>
      <c r="E6934" s="25">
        <v>1.1791E-4</v>
      </c>
      <c r="F6934" s="25">
        <v>1.1932E-4</v>
      </c>
      <c r="G6934" s="25">
        <v>1.6636E-4</v>
      </c>
      <c r="H6934" s="25">
        <v>2.0086E-4</v>
      </c>
      <c r="I6934" s="9">
        <v>1.1526E-4</v>
      </c>
      <c r="J6934" s="9">
        <v>1.1769000000000001E-4</v>
      </c>
      <c r="K6934" s="9">
        <v>6.5699999999999998E-5</v>
      </c>
      <c r="L6934" s="9">
        <v>2.0850999999999999E-4</v>
      </c>
      <c r="M6934" s="9">
        <v>1.5935E-4</v>
      </c>
      <c r="N6934" s="9">
        <v>1.3862E-4</v>
      </c>
      <c r="O6934" s="9">
        <v>2.0776E-4</v>
      </c>
      <c r="P6934" s="9">
        <v>1.6199000000000001E-4</v>
      </c>
      <c r="Q6934" s="9">
        <v>1.1885E-4</v>
      </c>
      <c r="R6934" s="10">
        <v>2.2069025349780528E-5</v>
      </c>
      <c r="S6934" s="10">
        <v>1.6810545828213356E-4</v>
      </c>
      <c r="T6934" s="10">
        <v>0</v>
      </c>
      <c r="U6934" s="10">
        <v>6.8899999999999994E-5</v>
      </c>
      <c r="V6934" s="25"/>
      <c r="W6934" s="25"/>
      <c r="X6934" s="25"/>
      <c r="Y6934" s="25"/>
      <c r="Z6934" s="25"/>
      <c r="AA6934" s="25"/>
    </row>
    <row r="6935" spans="1:27" x14ac:dyDescent="0.35">
      <c r="A6935" s="5">
        <v>6931</v>
      </c>
      <c r="B6935" s="5">
        <v>289</v>
      </c>
      <c r="C6935" s="5">
        <v>10</v>
      </c>
      <c r="D6935" s="25">
        <v>1.1416E-4</v>
      </c>
      <c r="E6935" s="25">
        <v>1.1511E-4</v>
      </c>
      <c r="F6935" s="25">
        <v>1.1317E-4</v>
      </c>
      <c r="G6935" s="25">
        <v>1.1399E-4</v>
      </c>
      <c r="H6935" s="25">
        <v>1.3313999999999999E-4</v>
      </c>
      <c r="I6935" s="9">
        <v>1.2125000000000001E-4</v>
      </c>
      <c r="J6935" s="9">
        <v>1.2128E-4</v>
      </c>
      <c r="K6935" s="9">
        <v>7.6299999999999998E-5</v>
      </c>
      <c r="L6935" s="9">
        <v>2.0759000000000001E-4</v>
      </c>
      <c r="M6935" s="9">
        <v>1.5970000000000001E-4</v>
      </c>
      <c r="N6935" s="9">
        <v>1.2998999999999999E-4</v>
      </c>
      <c r="O6935" s="9">
        <v>1.6394000000000001E-4</v>
      </c>
      <c r="P6935" s="9">
        <v>1.3435000000000001E-4</v>
      </c>
      <c r="Q6935" s="9">
        <v>1.0664E-4</v>
      </c>
      <c r="R6935" s="10">
        <v>2.5025557726330365E-5</v>
      </c>
      <c r="S6935" s="10">
        <v>1.7560509221767657E-4</v>
      </c>
      <c r="T6935" s="10">
        <v>0</v>
      </c>
      <c r="U6935" s="10">
        <v>6.8899999999999994E-5</v>
      </c>
      <c r="V6935" s="25"/>
      <c r="W6935" s="25"/>
      <c r="X6935" s="25"/>
      <c r="Y6935" s="25"/>
      <c r="Z6935" s="25"/>
      <c r="AA6935" s="25"/>
    </row>
    <row r="6936" spans="1:27" x14ac:dyDescent="0.35">
      <c r="A6936" s="5">
        <v>6932</v>
      </c>
      <c r="B6936" s="5">
        <v>289</v>
      </c>
      <c r="C6936" s="5">
        <v>10</v>
      </c>
      <c r="D6936" s="25">
        <v>1.1415000000000001E-4</v>
      </c>
      <c r="E6936" s="25">
        <v>1.1119E-4</v>
      </c>
      <c r="F6936" s="25">
        <v>1.2258000000000001E-4</v>
      </c>
      <c r="G6936" s="25">
        <v>1.1079E-4</v>
      </c>
      <c r="H6936" s="25">
        <v>1.3524000000000001E-4</v>
      </c>
      <c r="I6936" s="9">
        <v>1.1597E-4</v>
      </c>
      <c r="J6936" s="9">
        <v>1.1847E-4</v>
      </c>
      <c r="K6936" s="9">
        <v>8.9010000000000003E-5</v>
      </c>
      <c r="L6936" s="9">
        <v>1.7365999999999999E-4</v>
      </c>
      <c r="M6936" s="9">
        <v>1.5084000000000001E-4</v>
      </c>
      <c r="N6936" s="9">
        <v>1.2091000000000001E-4</v>
      </c>
      <c r="O6936" s="9">
        <v>1.2861E-4</v>
      </c>
      <c r="P6936" s="9">
        <v>1.1446E-4</v>
      </c>
      <c r="Q6936" s="9">
        <v>1.0153999999999999E-4</v>
      </c>
      <c r="R6936" s="10">
        <v>2.5093884292136165E-5</v>
      </c>
      <c r="S6936" s="10">
        <v>1.8117486249465643E-4</v>
      </c>
      <c r="T6936" s="10">
        <v>0</v>
      </c>
      <c r="U6936" s="10">
        <v>6.8899999999999994E-5</v>
      </c>
      <c r="V6936" s="25"/>
      <c r="W6936" s="25"/>
      <c r="X6936" s="25"/>
      <c r="Y6936" s="25"/>
      <c r="Z6936" s="25"/>
      <c r="AA6936" s="25"/>
    </row>
    <row r="6937" spans="1:27" x14ac:dyDescent="0.35">
      <c r="A6937" s="5">
        <v>6933</v>
      </c>
      <c r="B6937" s="5">
        <v>289</v>
      </c>
      <c r="C6937" s="5">
        <v>10</v>
      </c>
      <c r="D6937" s="25">
        <v>1.1416E-4</v>
      </c>
      <c r="E6937" s="25">
        <v>1.1472E-4</v>
      </c>
      <c r="F6937" s="25">
        <v>1.2799999999999999E-4</v>
      </c>
      <c r="G6937" s="25">
        <v>5.7259999999999997E-5</v>
      </c>
      <c r="H6937" s="25">
        <v>6.6370000000000003E-5</v>
      </c>
      <c r="I6937" s="9">
        <v>1.1093E-4</v>
      </c>
      <c r="J6937" s="9">
        <v>1.1292E-4</v>
      </c>
      <c r="K6937" s="9">
        <v>1.0809E-4</v>
      </c>
      <c r="L6937" s="9">
        <v>1.3955E-4</v>
      </c>
      <c r="M6937" s="9">
        <v>1.3525000000000001E-4</v>
      </c>
      <c r="N6937" s="9">
        <v>1.132E-4</v>
      </c>
      <c r="O6937" s="9">
        <v>8.4320000000000006E-5</v>
      </c>
      <c r="P6937" s="9">
        <v>8.5840000000000005E-5</v>
      </c>
      <c r="Q6937" s="9">
        <v>8.7830000000000004E-5</v>
      </c>
      <c r="R6937" s="10">
        <v>2.5264965565659289E-5</v>
      </c>
      <c r="S6937" s="10">
        <v>1.8075366812918004E-4</v>
      </c>
      <c r="T6937" s="10">
        <v>0</v>
      </c>
      <c r="U6937" s="10">
        <v>6.8899999999999994E-5</v>
      </c>
      <c r="V6937" s="25"/>
      <c r="W6937" s="25"/>
      <c r="X6937" s="25"/>
      <c r="Y6937" s="25"/>
      <c r="Z6937" s="25"/>
      <c r="AA6937" s="25"/>
    </row>
    <row r="6938" spans="1:27" x14ac:dyDescent="0.35">
      <c r="A6938" s="5">
        <v>6934</v>
      </c>
      <c r="B6938" s="5">
        <v>289</v>
      </c>
      <c r="C6938" s="5">
        <v>10</v>
      </c>
      <c r="D6938" s="25">
        <v>1.1415000000000001E-4</v>
      </c>
      <c r="E6938" s="25">
        <v>1.0972999999999999E-4</v>
      </c>
      <c r="F6938" s="25">
        <v>1.2184999999999999E-4</v>
      </c>
      <c r="G6938" s="25">
        <v>5.9740000000000001E-5</v>
      </c>
      <c r="H6938" s="25">
        <v>7.3280000000000003E-5</v>
      </c>
      <c r="I6938" s="9">
        <v>1.0909E-4</v>
      </c>
      <c r="J6938" s="9">
        <v>1.0713999999999999E-4</v>
      </c>
      <c r="K6938" s="9">
        <v>1.2928000000000001E-4</v>
      </c>
      <c r="L6938" s="9">
        <v>9.7419999999999999E-5</v>
      </c>
      <c r="M6938" s="9">
        <v>1.1344E-4</v>
      </c>
      <c r="N6938" s="9">
        <v>1.0548999999999999E-4</v>
      </c>
      <c r="O6938" s="9">
        <v>8.708E-5</v>
      </c>
      <c r="P6938" s="9">
        <v>8.7200000000000005E-5</v>
      </c>
      <c r="Q6938" s="9">
        <v>8.7849999999999994E-5</v>
      </c>
      <c r="R6938" s="10">
        <v>2.3457167266197925E-5</v>
      </c>
      <c r="S6938" s="10">
        <v>1.8079989396524234E-4</v>
      </c>
      <c r="T6938" s="10">
        <v>0</v>
      </c>
      <c r="U6938" s="10">
        <v>6.8899999999999994E-5</v>
      </c>
      <c r="V6938" s="25"/>
      <c r="W6938" s="25"/>
      <c r="X6938" s="25"/>
      <c r="Y6938" s="25"/>
      <c r="Z6938" s="25"/>
      <c r="AA6938" s="25"/>
    </row>
    <row r="6939" spans="1:27" x14ac:dyDescent="0.35">
      <c r="A6939" s="5">
        <v>6935</v>
      </c>
      <c r="B6939" s="5">
        <v>289</v>
      </c>
      <c r="C6939" s="5">
        <v>10</v>
      </c>
      <c r="D6939" s="25">
        <v>1.1416E-4</v>
      </c>
      <c r="E6939" s="25">
        <v>1.1389E-4</v>
      </c>
      <c r="F6939" s="25">
        <v>1.2223E-4</v>
      </c>
      <c r="G6939" s="25">
        <v>5.537E-5</v>
      </c>
      <c r="H6939" s="25">
        <v>7.0599999999999995E-5</v>
      </c>
      <c r="I6939" s="9">
        <v>1.0692999999999999E-4</v>
      </c>
      <c r="J6939" s="9">
        <v>1.0179999999999999E-4</v>
      </c>
      <c r="K6939" s="9">
        <v>1.5046999999999999E-4</v>
      </c>
      <c r="L6939" s="9">
        <v>9.0279999999999996E-5</v>
      </c>
      <c r="M6939" s="9">
        <v>9.8659999999999994E-5</v>
      </c>
      <c r="N6939" s="9">
        <v>9.9610000000000003E-5</v>
      </c>
      <c r="O6939" s="9">
        <v>7.8510000000000006E-5</v>
      </c>
      <c r="P6939" s="9">
        <v>7.2700000000000005E-5</v>
      </c>
      <c r="Q6939" s="9">
        <v>6.7409999999999993E-5</v>
      </c>
      <c r="R6939" s="10">
        <v>1.9427139930531049E-5</v>
      </c>
      <c r="S6939" s="10">
        <v>1.8049417548107193E-4</v>
      </c>
      <c r="T6939" s="10">
        <v>0</v>
      </c>
      <c r="U6939" s="10">
        <v>6.8899999999999994E-5</v>
      </c>
      <c r="V6939" s="25"/>
      <c r="W6939" s="25"/>
      <c r="X6939" s="25"/>
      <c r="Y6939" s="25"/>
      <c r="Z6939" s="25"/>
      <c r="AA6939" s="25"/>
    </row>
    <row r="6940" spans="1:27" x14ac:dyDescent="0.35">
      <c r="A6940" s="5">
        <v>6936</v>
      </c>
      <c r="B6940" s="5">
        <v>289</v>
      </c>
      <c r="C6940" s="5">
        <v>10</v>
      </c>
      <c r="D6940" s="25">
        <v>1.1415000000000001E-4</v>
      </c>
      <c r="E6940" s="25">
        <v>1.1587E-4</v>
      </c>
      <c r="F6940" s="25">
        <v>1.1625000000000001E-4</v>
      </c>
      <c r="G6940" s="25">
        <v>5.8279999999999998E-5</v>
      </c>
      <c r="H6940" s="25">
        <v>6.7609999999999998E-5</v>
      </c>
      <c r="I6940" s="9">
        <v>1.0001999999999999E-4</v>
      </c>
      <c r="J6940" s="9">
        <v>9.5420000000000005E-5</v>
      </c>
      <c r="K6940" s="9">
        <v>1.7166999999999999E-4</v>
      </c>
      <c r="L6940" s="9">
        <v>8.1089999999999998E-5</v>
      </c>
      <c r="M6940" s="9">
        <v>8.6069999999999994E-5</v>
      </c>
      <c r="N6940" s="9">
        <v>9.0439999999999995E-5</v>
      </c>
      <c r="O6940" s="9">
        <v>6.3399999999999996E-5</v>
      </c>
      <c r="P6940" s="9">
        <v>6.1279999999999996E-5</v>
      </c>
      <c r="Q6940" s="9">
        <v>5.9450000000000002E-5</v>
      </c>
      <c r="R6940" s="10">
        <v>1.3906599454892184E-5</v>
      </c>
      <c r="S6940" s="10">
        <v>1.7789135794133234E-4</v>
      </c>
      <c r="T6940" s="10">
        <v>0</v>
      </c>
      <c r="U6940" s="10">
        <v>6.8899999999999994E-5</v>
      </c>
      <c r="V6940" s="25"/>
      <c r="W6940" s="25"/>
      <c r="X6940" s="25"/>
      <c r="Y6940" s="25"/>
      <c r="Z6940" s="25"/>
      <c r="AA6940" s="25"/>
    </row>
    <row r="6941" spans="1:27" x14ac:dyDescent="0.35">
      <c r="A6941" s="5">
        <v>6937</v>
      </c>
      <c r="B6941" s="5">
        <v>290</v>
      </c>
      <c r="C6941" s="5">
        <v>10</v>
      </c>
      <c r="D6941" s="25">
        <v>1.1416E-4</v>
      </c>
      <c r="E6941" s="25">
        <v>1.1785E-4</v>
      </c>
      <c r="F6941" s="25">
        <v>1.2441000000000001E-4</v>
      </c>
      <c r="G6941" s="25">
        <v>5.8459999999999999E-5</v>
      </c>
      <c r="H6941" s="25">
        <v>6.8479999999999995E-5</v>
      </c>
      <c r="I6941" s="9">
        <v>9.4809999999999995E-5</v>
      </c>
      <c r="J6941" s="9">
        <v>9.0400000000000002E-5</v>
      </c>
      <c r="K6941" s="9">
        <v>1.8650000000000001E-4</v>
      </c>
      <c r="L6941" s="9">
        <v>6.7269999999999998E-5</v>
      </c>
      <c r="M6941" s="9">
        <v>7.4270000000000006E-5</v>
      </c>
      <c r="N6941" s="9">
        <v>8.119E-5</v>
      </c>
      <c r="O6941" s="9">
        <v>5.4150000000000002E-5</v>
      </c>
      <c r="P6941" s="9">
        <v>5.3569999999999997E-5</v>
      </c>
      <c r="Q6941" s="9">
        <v>5.3149999999999998E-5</v>
      </c>
      <c r="R6941" s="10">
        <v>1.2417708976945756E-5</v>
      </c>
      <c r="S6941" s="10">
        <v>1.7597210754857201E-4</v>
      </c>
      <c r="T6941" s="10">
        <v>0</v>
      </c>
      <c r="U6941" s="10">
        <v>6.9430000000000004E-5</v>
      </c>
      <c r="V6941" s="25"/>
      <c r="W6941" s="25"/>
      <c r="X6941" s="25"/>
      <c r="Y6941" s="25"/>
      <c r="Z6941" s="25"/>
      <c r="AA6941" s="25"/>
    </row>
    <row r="6942" spans="1:27" x14ac:dyDescent="0.35">
      <c r="A6942" s="5">
        <v>6938</v>
      </c>
      <c r="B6942" s="5">
        <v>290</v>
      </c>
      <c r="C6942" s="5">
        <v>10</v>
      </c>
      <c r="D6942" s="25">
        <v>1.1415000000000001E-4</v>
      </c>
      <c r="E6942" s="25">
        <v>1.1658E-4</v>
      </c>
      <c r="F6942" s="25">
        <v>1.3095000000000001E-4</v>
      </c>
      <c r="G6942" s="25">
        <v>5.9360000000000001E-5</v>
      </c>
      <c r="H6942" s="25">
        <v>7.6779999999999993E-5</v>
      </c>
      <c r="I6942" s="9">
        <v>9.0740000000000002E-5</v>
      </c>
      <c r="J6942" s="9">
        <v>8.755E-5</v>
      </c>
      <c r="K6942" s="9">
        <v>1.9285999999999999E-4</v>
      </c>
      <c r="L6942" s="9">
        <v>5.7410000000000001E-5</v>
      </c>
      <c r="M6942" s="9">
        <v>6.402E-5</v>
      </c>
      <c r="N6942" s="9">
        <v>7.2059999999999998E-5</v>
      </c>
      <c r="O6942" s="9">
        <v>1.8749999999999998E-5</v>
      </c>
      <c r="P6942" s="9">
        <v>3.773E-5</v>
      </c>
      <c r="Q6942" s="9">
        <v>5.6159999999999998E-5</v>
      </c>
      <c r="R6942" s="10">
        <v>1.165729457489121E-5</v>
      </c>
      <c r="S6942" s="10">
        <v>1.7486815992908403E-4</v>
      </c>
      <c r="T6942" s="10">
        <v>0</v>
      </c>
      <c r="U6942" s="10">
        <v>6.9430000000000004E-5</v>
      </c>
      <c r="V6942" s="25"/>
      <c r="W6942" s="25"/>
      <c r="X6942" s="25"/>
      <c r="Y6942" s="25"/>
      <c r="Z6942" s="25"/>
      <c r="AA6942" s="25"/>
    </row>
    <row r="6943" spans="1:27" x14ac:dyDescent="0.35">
      <c r="A6943" s="5">
        <v>6939</v>
      </c>
      <c r="B6943" s="5">
        <v>290</v>
      </c>
      <c r="C6943" s="5">
        <v>10</v>
      </c>
      <c r="D6943" s="25">
        <v>1.1416E-4</v>
      </c>
      <c r="E6943" s="25">
        <v>1.1474E-4</v>
      </c>
      <c r="F6943" s="25">
        <v>1.3036999999999999E-4</v>
      </c>
      <c r="G6943" s="25">
        <v>5.9639999999999998E-5</v>
      </c>
      <c r="H6943" s="25">
        <v>7.4129999999999997E-5</v>
      </c>
      <c r="I6943" s="9">
        <v>8.9209999999999995E-5</v>
      </c>
      <c r="J6943" s="9">
        <v>8.6299999999999997E-5</v>
      </c>
      <c r="K6943" s="9">
        <v>1.9922000000000001E-4</v>
      </c>
      <c r="L6943" s="9">
        <v>2.7489999999999999E-5</v>
      </c>
      <c r="M6943" s="9">
        <v>5.2200000000000002E-5</v>
      </c>
      <c r="N6943" s="9">
        <v>6.5519999999999996E-5</v>
      </c>
      <c r="O6943" s="9">
        <v>1.3339999999999999E-5</v>
      </c>
      <c r="P6943" s="9">
        <v>3.7979999999999999E-5</v>
      </c>
      <c r="Q6943" s="9">
        <v>6.1909999999999995E-5</v>
      </c>
      <c r="R6943" s="10">
        <v>1.1766412502952414E-5</v>
      </c>
      <c r="S6943" s="10">
        <v>1.7173687874335163E-4</v>
      </c>
      <c r="T6943" s="10">
        <v>0</v>
      </c>
      <c r="U6943" s="10">
        <v>6.9430000000000004E-5</v>
      </c>
      <c r="V6943" s="25"/>
      <c r="W6943" s="25"/>
      <c r="X6943" s="25"/>
      <c r="Y6943" s="25"/>
      <c r="Z6943" s="25"/>
      <c r="AA6943" s="25"/>
    </row>
    <row r="6944" spans="1:27" x14ac:dyDescent="0.35">
      <c r="A6944" s="5">
        <v>6940</v>
      </c>
      <c r="B6944" s="5">
        <v>290</v>
      </c>
      <c r="C6944" s="5">
        <v>10</v>
      </c>
      <c r="D6944" s="25">
        <v>1.1415000000000001E-4</v>
      </c>
      <c r="E6944" s="25">
        <v>1.1491E-4</v>
      </c>
      <c r="F6944" s="25">
        <v>1.1983E-4</v>
      </c>
      <c r="G6944" s="25">
        <v>6.0460000000000001E-5</v>
      </c>
      <c r="H6944" s="25">
        <v>7.4839999999999995E-5</v>
      </c>
      <c r="I6944" s="9">
        <v>8.8880000000000003E-5</v>
      </c>
      <c r="J6944" s="9">
        <v>8.585E-5</v>
      </c>
      <c r="K6944" s="9">
        <v>2.0557999999999999E-4</v>
      </c>
      <c r="L6944" s="9">
        <v>1.719E-5</v>
      </c>
      <c r="M6944" s="9">
        <v>4.426E-5</v>
      </c>
      <c r="N6944" s="9">
        <v>6.2030000000000001E-5</v>
      </c>
      <c r="O6944" s="9">
        <v>1.3380000000000001E-5</v>
      </c>
      <c r="P6944" s="9">
        <v>4.7620000000000001E-5</v>
      </c>
      <c r="Q6944" s="9">
        <v>8.1000000000000004E-5</v>
      </c>
      <c r="R6944" s="10">
        <v>1.1518247987281454E-5</v>
      </c>
      <c r="S6944" s="10">
        <v>1.6636587424957835E-4</v>
      </c>
      <c r="T6944" s="10">
        <v>0</v>
      </c>
      <c r="U6944" s="10">
        <v>6.9430000000000004E-5</v>
      </c>
      <c r="V6944" s="25"/>
      <c r="W6944" s="25"/>
      <c r="X6944" s="25"/>
      <c r="Y6944" s="25"/>
      <c r="Z6944" s="25"/>
      <c r="AA6944" s="25"/>
    </row>
    <row r="6945" spans="1:27" x14ac:dyDescent="0.35">
      <c r="A6945" s="5">
        <v>6941</v>
      </c>
      <c r="B6945" s="5">
        <v>290</v>
      </c>
      <c r="C6945" s="5">
        <v>10</v>
      </c>
      <c r="D6945" s="25">
        <v>1.1416E-4</v>
      </c>
      <c r="E6945" s="25">
        <v>1.105E-4</v>
      </c>
      <c r="F6945" s="25">
        <v>1.3349999999999999E-4</v>
      </c>
      <c r="G6945" s="25">
        <v>6.2529999999999999E-5</v>
      </c>
      <c r="H6945" s="25">
        <v>7.6169999999999997E-5</v>
      </c>
      <c r="I6945" s="9">
        <v>8.9710000000000007E-5</v>
      </c>
      <c r="J6945" s="9">
        <v>8.5890000000000006E-5</v>
      </c>
      <c r="K6945" s="9">
        <v>2.1193000000000001E-4</v>
      </c>
      <c r="L6945" s="9">
        <v>1.446E-5</v>
      </c>
      <c r="M6945" s="9">
        <v>4.3699999999999998E-5</v>
      </c>
      <c r="N6945" s="9">
        <v>6.4690000000000006E-5</v>
      </c>
      <c r="O6945" s="9">
        <v>1.861E-5</v>
      </c>
      <c r="P6945" s="9">
        <v>5.6159999999999998E-5</v>
      </c>
      <c r="Q6945" s="9">
        <v>9.2860000000000002E-5</v>
      </c>
      <c r="R6945" s="10">
        <v>9.968361771394656E-6</v>
      </c>
      <c r="S6945" s="10">
        <v>1.6252624607500453E-4</v>
      </c>
      <c r="T6945" s="10">
        <v>0</v>
      </c>
      <c r="U6945" s="10">
        <v>6.9430000000000004E-5</v>
      </c>
      <c r="V6945" s="25"/>
      <c r="W6945" s="25"/>
      <c r="X6945" s="25"/>
      <c r="Y6945" s="25"/>
      <c r="Z6945" s="25"/>
      <c r="AA6945" s="25"/>
    </row>
    <row r="6946" spans="1:27" x14ac:dyDescent="0.35">
      <c r="A6946" s="5">
        <v>6942</v>
      </c>
      <c r="B6946" s="5">
        <v>290</v>
      </c>
      <c r="C6946" s="5">
        <v>10</v>
      </c>
      <c r="D6946" s="25">
        <v>1.1415000000000001E-4</v>
      </c>
      <c r="E6946" s="25">
        <v>1.1396999999999999E-4</v>
      </c>
      <c r="F6946" s="25">
        <v>1.2685999999999999E-4</v>
      </c>
      <c r="G6946" s="25">
        <v>1.0872E-4</v>
      </c>
      <c r="H6946" s="25">
        <v>1.371E-4</v>
      </c>
      <c r="I6946" s="9">
        <v>9.2750000000000005E-5</v>
      </c>
      <c r="J6946" s="9">
        <v>8.7490000000000004E-5</v>
      </c>
      <c r="K6946" s="9">
        <v>2.2253E-4</v>
      </c>
      <c r="L6946" s="9">
        <v>1.7560000000000001E-5</v>
      </c>
      <c r="M6946" s="9">
        <v>4.8390000000000003E-5</v>
      </c>
      <c r="N6946" s="9">
        <v>7.1030000000000003E-5</v>
      </c>
      <c r="O6946" s="9">
        <v>4.5899999999999998E-5</v>
      </c>
      <c r="P6946" s="9">
        <v>7.6249999999999997E-5</v>
      </c>
      <c r="Q6946" s="9">
        <v>1.0616999999999999E-4</v>
      </c>
      <c r="R6946" s="10">
        <v>8.2205096828738556E-6</v>
      </c>
      <c r="S6946" s="10">
        <v>1.6449137524373572E-4</v>
      </c>
      <c r="T6946" s="10">
        <v>0</v>
      </c>
      <c r="U6946" s="10">
        <v>6.9430000000000004E-5</v>
      </c>
      <c r="V6946" s="25"/>
      <c r="W6946" s="25"/>
      <c r="X6946" s="25"/>
      <c r="Y6946" s="25"/>
      <c r="Z6946" s="25"/>
      <c r="AA6946" s="25"/>
    </row>
    <row r="6947" spans="1:27" x14ac:dyDescent="0.35">
      <c r="A6947" s="5">
        <v>6943</v>
      </c>
      <c r="B6947" s="5">
        <v>290</v>
      </c>
      <c r="C6947" s="5">
        <v>10</v>
      </c>
      <c r="D6947" s="25">
        <v>1.1416E-4</v>
      </c>
      <c r="E6947" s="25">
        <v>1.1625000000000001E-4</v>
      </c>
      <c r="F6947" s="25">
        <v>1.3321000000000001E-4</v>
      </c>
      <c r="G6947" s="25">
        <v>1.0828999999999999E-4</v>
      </c>
      <c r="H6947" s="25">
        <v>1.3854000000000001E-4</v>
      </c>
      <c r="I6947" s="9">
        <v>9.6440000000000005E-5</v>
      </c>
      <c r="J6947" s="9">
        <v>9.1710000000000001E-5</v>
      </c>
      <c r="K6947" s="9">
        <v>2.0557999999999999E-4</v>
      </c>
      <c r="L6947" s="9">
        <v>3.9530000000000003E-5</v>
      </c>
      <c r="M6947" s="9">
        <v>5.9740000000000001E-5</v>
      </c>
      <c r="N6947" s="9">
        <v>8.0539999999999998E-5</v>
      </c>
      <c r="O6947" s="9">
        <v>1.2237000000000001E-4</v>
      </c>
      <c r="P6947" s="9">
        <v>1.1644E-4</v>
      </c>
      <c r="Q6947" s="9">
        <v>1.1154000000000001E-4</v>
      </c>
      <c r="R6947" s="10">
        <v>7.4407826916517342E-6</v>
      </c>
      <c r="S6947" s="10">
        <v>1.6759642477275538E-4</v>
      </c>
      <c r="T6947" s="10">
        <v>0</v>
      </c>
      <c r="U6947" s="10">
        <v>6.9430000000000004E-5</v>
      </c>
      <c r="V6947" s="25"/>
      <c r="W6947" s="25"/>
      <c r="X6947" s="25"/>
      <c r="Y6947" s="25"/>
      <c r="Z6947" s="25"/>
      <c r="AA6947" s="25"/>
    </row>
    <row r="6948" spans="1:27" x14ac:dyDescent="0.35">
      <c r="A6948" s="5">
        <v>6944</v>
      </c>
      <c r="B6948" s="5">
        <v>290</v>
      </c>
      <c r="C6948" s="5">
        <v>10</v>
      </c>
      <c r="D6948" s="25">
        <v>1.1415000000000001E-4</v>
      </c>
      <c r="E6948" s="25">
        <v>1.0923E-4</v>
      </c>
      <c r="F6948" s="25">
        <v>1.282E-4</v>
      </c>
      <c r="G6948" s="25">
        <v>1.6692000000000001E-4</v>
      </c>
      <c r="H6948" s="25">
        <v>2.0011000000000001E-4</v>
      </c>
      <c r="I6948" s="9">
        <v>9.8880000000000002E-5</v>
      </c>
      <c r="J6948" s="9">
        <v>9.5699999999999995E-5</v>
      </c>
      <c r="K6948" s="9">
        <v>1.6531E-4</v>
      </c>
      <c r="L6948" s="9">
        <v>1.0353000000000001E-4</v>
      </c>
      <c r="M6948" s="9">
        <v>8.3079999999999997E-5</v>
      </c>
      <c r="N6948" s="9">
        <v>9.043E-5</v>
      </c>
      <c r="O6948" s="9">
        <v>2.1804999999999999E-4</v>
      </c>
      <c r="P6948" s="9">
        <v>1.7542999999999999E-4</v>
      </c>
      <c r="Q6948" s="9">
        <v>1.3552E-4</v>
      </c>
      <c r="R6948" s="10">
        <v>7.0500877998543801E-6</v>
      </c>
      <c r="S6948" s="10">
        <v>1.61730503168692E-4</v>
      </c>
      <c r="T6948" s="10">
        <v>1.6264401854223206E-5</v>
      </c>
      <c r="U6948" s="10">
        <v>6.9430000000000004E-5</v>
      </c>
      <c r="V6948" s="25"/>
      <c r="W6948" s="25"/>
      <c r="X6948" s="25"/>
      <c r="Y6948" s="25"/>
      <c r="Z6948" s="25"/>
      <c r="AA6948" s="25"/>
    </row>
    <row r="6949" spans="1:27" x14ac:dyDescent="0.35">
      <c r="A6949" s="5">
        <v>6945</v>
      </c>
      <c r="B6949" s="5">
        <v>290</v>
      </c>
      <c r="C6949" s="5">
        <v>10</v>
      </c>
      <c r="D6949" s="25">
        <v>1.1416E-4</v>
      </c>
      <c r="E6949" s="25">
        <v>1.093E-4</v>
      </c>
      <c r="F6949" s="25">
        <v>1.1989000000000001E-4</v>
      </c>
      <c r="G6949" s="25">
        <v>1.6037000000000001E-4</v>
      </c>
      <c r="H6949" s="25">
        <v>1.9977999999999999E-4</v>
      </c>
      <c r="I6949" s="9">
        <v>1.0295E-4</v>
      </c>
      <c r="J6949" s="9">
        <v>1.0094000000000001E-4</v>
      </c>
      <c r="K6949" s="9">
        <v>1.1868E-4</v>
      </c>
      <c r="L6949" s="9">
        <v>1.9110000000000001E-4</v>
      </c>
      <c r="M6949" s="9">
        <v>1.2237000000000001E-4</v>
      </c>
      <c r="N6949" s="9">
        <v>1.0391999999999999E-4</v>
      </c>
      <c r="O6949" s="9">
        <v>2.1109000000000001E-4</v>
      </c>
      <c r="P6949" s="9">
        <v>1.9263E-4</v>
      </c>
      <c r="Q6949" s="9">
        <v>1.7641999999999999E-4</v>
      </c>
      <c r="R6949" s="10">
        <v>7.8244613257844902E-6</v>
      </c>
      <c r="S6949" s="10">
        <v>1.4900774597688976E-4</v>
      </c>
      <c r="T6949" s="10">
        <v>5.141485406186365E-5</v>
      </c>
      <c r="U6949" s="10">
        <v>6.9430000000000004E-5</v>
      </c>
      <c r="V6949" s="25"/>
      <c r="W6949" s="25"/>
      <c r="X6949" s="25"/>
      <c r="Y6949" s="25"/>
      <c r="Z6949" s="25"/>
      <c r="AA6949" s="25"/>
    </row>
    <row r="6950" spans="1:27" x14ac:dyDescent="0.35">
      <c r="A6950" s="5">
        <v>6946</v>
      </c>
      <c r="B6950" s="5">
        <v>290</v>
      </c>
      <c r="C6950" s="5">
        <v>10</v>
      </c>
      <c r="D6950" s="25">
        <v>1.1415000000000001E-4</v>
      </c>
      <c r="E6950" s="25">
        <v>1.1564E-4</v>
      </c>
      <c r="F6950" s="25">
        <v>1.3503000000000001E-4</v>
      </c>
      <c r="G6950" s="25">
        <v>1.5728000000000001E-4</v>
      </c>
      <c r="H6950" s="25">
        <v>1.9379E-4</v>
      </c>
      <c r="I6950" s="9">
        <v>1.0729E-4</v>
      </c>
      <c r="J6950" s="9">
        <v>1.0232E-4</v>
      </c>
      <c r="K6950" s="9">
        <v>9.1130000000000003E-5</v>
      </c>
      <c r="L6950" s="9">
        <v>2.0440000000000001E-4</v>
      </c>
      <c r="M6950" s="9">
        <v>1.5762999999999999E-4</v>
      </c>
      <c r="N6950" s="9">
        <v>1.2388000000000001E-4</v>
      </c>
      <c r="O6950" s="9">
        <v>1.6867E-4</v>
      </c>
      <c r="P6950" s="9">
        <v>1.7537999999999999E-4</v>
      </c>
      <c r="Q6950" s="9">
        <v>1.8344999999999999E-4</v>
      </c>
      <c r="R6950" s="10">
        <v>1.014089381666951E-5</v>
      </c>
      <c r="S6950" s="10">
        <v>1.2909861802562017E-4</v>
      </c>
      <c r="T6950" s="10">
        <v>2.7701237378215315E-5</v>
      </c>
      <c r="U6950" s="10">
        <v>6.9430000000000004E-5</v>
      </c>
      <c r="V6950" s="25"/>
      <c r="W6950" s="25"/>
      <c r="X6950" s="25"/>
      <c r="Y6950" s="25"/>
      <c r="Z6950" s="25"/>
      <c r="AA6950" s="25"/>
    </row>
    <row r="6951" spans="1:27" x14ac:dyDescent="0.35">
      <c r="A6951" s="5">
        <v>6947</v>
      </c>
      <c r="B6951" s="5">
        <v>290</v>
      </c>
      <c r="C6951" s="5">
        <v>10</v>
      </c>
      <c r="D6951" s="25">
        <v>1.1416E-4</v>
      </c>
      <c r="E6951" s="25">
        <v>1.1675000000000001E-4</v>
      </c>
      <c r="F6951" s="25">
        <v>1.2716E-4</v>
      </c>
      <c r="G6951" s="25">
        <v>1.6427999999999999E-4</v>
      </c>
      <c r="H6951" s="25">
        <v>1.9552E-4</v>
      </c>
      <c r="I6951" s="9">
        <v>1.0867E-4</v>
      </c>
      <c r="J6951" s="9">
        <v>1.0165E-4</v>
      </c>
      <c r="K6951" s="9">
        <v>6.9939999999999998E-5</v>
      </c>
      <c r="L6951" s="9">
        <v>1.7657999999999999E-4</v>
      </c>
      <c r="M6951" s="9">
        <v>1.7220000000000001E-4</v>
      </c>
      <c r="N6951" s="9">
        <v>1.4236000000000001E-4</v>
      </c>
      <c r="O6951" s="9">
        <v>1.6668E-4</v>
      </c>
      <c r="P6951" s="9">
        <v>1.7197E-4</v>
      </c>
      <c r="Q6951" s="9">
        <v>1.7861999999999999E-4</v>
      </c>
      <c r="R6951" s="10">
        <v>9.8242863469884175E-6</v>
      </c>
      <c r="S6951" s="10">
        <v>1.1393080932353853E-4</v>
      </c>
      <c r="T6951" s="10">
        <v>6.704293346482616E-5</v>
      </c>
      <c r="U6951" s="10">
        <v>6.9430000000000004E-5</v>
      </c>
      <c r="V6951" s="25"/>
      <c r="W6951" s="25"/>
      <c r="X6951" s="25"/>
      <c r="Y6951" s="25"/>
      <c r="Z6951" s="25"/>
      <c r="AA6951" s="25"/>
    </row>
    <row r="6952" spans="1:27" x14ac:dyDescent="0.35">
      <c r="A6952" s="5">
        <v>6948</v>
      </c>
      <c r="B6952" s="5">
        <v>290</v>
      </c>
      <c r="C6952" s="5">
        <v>10</v>
      </c>
      <c r="D6952" s="25">
        <v>1.1415000000000001E-4</v>
      </c>
      <c r="E6952" s="25">
        <v>1.1682E-4</v>
      </c>
      <c r="F6952" s="25">
        <v>1.2507999999999999E-4</v>
      </c>
      <c r="G6952" s="25">
        <v>1.6144E-4</v>
      </c>
      <c r="H6952" s="25">
        <v>1.9518000000000001E-4</v>
      </c>
      <c r="I6952" s="9">
        <v>1.0839E-4</v>
      </c>
      <c r="J6952" s="9">
        <v>1.008E-4</v>
      </c>
      <c r="K6952" s="9">
        <v>4.4509999999999999E-5</v>
      </c>
      <c r="L6952" s="9">
        <v>1.7023E-4</v>
      </c>
      <c r="M6952" s="9">
        <v>1.7468E-4</v>
      </c>
      <c r="N6952" s="9">
        <v>1.5637E-4</v>
      </c>
      <c r="O6952" s="9">
        <v>1.706E-4</v>
      </c>
      <c r="P6952" s="9">
        <v>1.7181E-4</v>
      </c>
      <c r="Q6952" s="9">
        <v>1.7448999999999999E-4</v>
      </c>
      <c r="R6952" s="10">
        <v>4.5879875947901086E-6</v>
      </c>
      <c r="S6952" s="10">
        <v>9.2837828361505318E-5</v>
      </c>
      <c r="T6952" s="10">
        <v>5.6683603958302159E-5</v>
      </c>
      <c r="U6952" s="10">
        <v>6.9430000000000004E-5</v>
      </c>
      <c r="V6952" s="25"/>
      <c r="W6952" s="25"/>
      <c r="X6952" s="25"/>
      <c r="Y6952" s="25"/>
      <c r="Z6952" s="25"/>
      <c r="AA6952" s="25"/>
    </row>
    <row r="6953" spans="1:27" x14ac:dyDescent="0.35">
      <c r="A6953" s="5">
        <v>6949</v>
      </c>
      <c r="B6953" s="5">
        <v>290</v>
      </c>
      <c r="C6953" s="5">
        <v>10</v>
      </c>
      <c r="D6953" s="25">
        <v>1.1416E-4</v>
      </c>
      <c r="E6953" s="25">
        <v>1.1919E-4</v>
      </c>
      <c r="F6953" s="25">
        <v>1.2406E-4</v>
      </c>
      <c r="G6953" s="25">
        <v>1.5951999999999999E-4</v>
      </c>
      <c r="H6953" s="25">
        <v>2.0163000000000001E-4</v>
      </c>
      <c r="I6953" s="9">
        <v>1.0522E-4</v>
      </c>
      <c r="J6953" s="9">
        <v>9.9539999999999999E-5</v>
      </c>
      <c r="K6953" s="9">
        <v>4.0269999999999999E-5</v>
      </c>
      <c r="L6953" s="9">
        <v>1.7072999999999999E-4</v>
      </c>
      <c r="M6953" s="9">
        <v>1.7375999999999999E-4</v>
      </c>
      <c r="N6953" s="9">
        <v>1.6605E-4</v>
      </c>
      <c r="O6953" s="9">
        <v>1.6040999999999999E-4</v>
      </c>
      <c r="P6953" s="9">
        <v>1.6244E-4</v>
      </c>
      <c r="Q6953" s="9">
        <v>1.6579999999999999E-4</v>
      </c>
      <c r="R6953" s="10">
        <v>2.7111270379992959E-6</v>
      </c>
      <c r="S6953" s="10">
        <v>7.4115285432166744E-5</v>
      </c>
      <c r="T6953" s="10">
        <v>6.0594865958717856E-5</v>
      </c>
      <c r="U6953" s="10">
        <v>6.9430000000000004E-5</v>
      </c>
      <c r="V6953" s="25"/>
      <c r="W6953" s="25"/>
      <c r="X6953" s="25"/>
      <c r="Y6953" s="25"/>
      <c r="Z6953" s="25"/>
      <c r="AA6953" s="25"/>
    </row>
    <row r="6954" spans="1:27" x14ac:dyDescent="0.35">
      <c r="A6954" s="5">
        <v>6950</v>
      </c>
      <c r="B6954" s="5">
        <v>290</v>
      </c>
      <c r="C6954" s="5">
        <v>10</v>
      </c>
      <c r="D6954" s="25">
        <v>1.1415000000000001E-4</v>
      </c>
      <c r="E6954" s="25">
        <v>1.1912E-4</v>
      </c>
      <c r="F6954" s="25">
        <v>1.1936E-4</v>
      </c>
      <c r="G6954" s="25">
        <v>1.5690999999999999E-4</v>
      </c>
      <c r="H6954" s="25">
        <v>2.0121000000000001E-4</v>
      </c>
      <c r="I6954" s="9">
        <v>1.0145E-4</v>
      </c>
      <c r="J6954" s="9">
        <v>9.8109999999999994E-5</v>
      </c>
      <c r="K6954" s="9">
        <v>3.3909999999999999E-5</v>
      </c>
      <c r="L6954" s="9">
        <v>1.6242000000000001E-4</v>
      </c>
      <c r="M6954" s="9">
        <v>1.6940999999999999E-4</v>
      </c>
      <c r="N6954" s="9">
        <v>1.7012E-4</v>
      </c>
      <c r="O6954" s="9">
        <v>1.7798E-4</v>
      </c>
      <c r="P6954" s="9">
        <v>1.6825999999999999E-4</v>
      </c>
      <c r="Q6954" s="9">
        <v>1.6025999999999999E-4</v>
      </c>
      <c r="R6954" s="10">
        <v>2.5401780679648341E-6</v>
      </c>
      <c r="S6954" s="10">
        <v>6.1526751023988449E-5</v>
      </c>
      <c r="T6954" s="10">
        <v>3.5676478767349281E-5</v>
      </c>
      <c r="U6954" s="10">
        <v>6.9430000000000004E-5</v>
      </c>
      <c r="V6954" s="25"/>
      <c r="W6954" s="25"/>
      <c r="X6954" s="25"/>
      <c r="Y6954" s="25"/>
      <c r="Z6954" s="25"/>
      <c r="AA6954" s="25"/>
    </row>
    <row r="6955" spans="1:27" x14ac:dyDescent="0.35">
      <c r="A6955" s="5">
        <v>6951</v>
      </c>
      <c r="B6955" s="5">
        <v>290</v>
      </c>
      <c r="C6955" s="5">
        <v>10</v>
      </c>
      <c r="D6955" s="25">
        <v>1.1416E-4</v>
      </c>
      <c r="E6955" s="25">
        <v>1.1694E-4</v>
      </c>
      <c r="F6955" s="25">
        <v>1.3673E-4</v>
      </c>
      <c r="G6955" s="25">
        <v>1.5880000000000001E-4</v>
      </c>
      <c r="H6955" s="25">
        <v>1.9479E-4</v>
      </c>
      <c r="I6955" s="9">
        <v>9.8350000000000005E-5</v>
      </c>
      <c r="J6955" s="9">
        <v>9.7769999999999994E-5</v>
      </c>
      <c r="K6955" s="9">
        <v>4.0269999999999999E-5</v>
      </c>
      <c r="L6955" s="9">
        <v>1.7474999999999999E-4</v>
      </c>
      <c r="M6955" s="9">
        <v>1.6777E-4</v>
      </c>
      <c r="N6955" s="9">
        <v>1.6959000000000001E-4</v>
      </c>
      <c r="O6955" s="9">
        <v>1.8531999999999999E-4</v>
      </c>
      <c r="P6955" s="9">
        <v>1.6859000000000001E-4</v>
      </c>
      <c r="Q6955" s="9">
        <v>1.5377000000000001E-4</v>
      </c>
      <c r="R6955" s="10">
        <v>1.7090992914449675E-6</v>
      </c>
      <c r="S6955" s="10">
        <v>5.6401594918201647E-5</v>
      </c>
      <c r="T6955" s="10">
        <v>6.4904890028590257E-5</v>
      </c>
      <c r="U6955" s="10">
        <v>6.9430000000000004E-5</v>
      </c>
      <c r="V6955" s="25"/>
      <c r="W6955" s="25"/>
      <c r="X6955" s="25"/>
      <c r="Y6955" s="25"/>
      <c r="Z6955" s="25"/>
      <c r="AA6955" s="25"/>
    </row>
    <row r="6956" spans="1:27" x14ac:dyDescent="0.35">
      <c r="A6956" s="5">
        <v>6952</v>
      </c>
      <c r="B6956" s="5">
        <v>290</v>
      </c>
      <c r="C6956" s="5">
        <v>10</v>
      </c>
      <c r="D6956" s="25">
        <v>1.1415000000000001E-4</v>
      </c>
      <c r="E6956" s="25">
        <v>1.0967E-4</v>
      </c>
      <c r="F6956" s="25">
        <v>1.2370999999999999E-4</v>
      </c>
      <c r="G6956" s="25">
        <v>1.6317999999999999E-4</v>
      </c>
      <c r="H6956" s="25">
        <v>2.0128E-4</v>
      </c>
      <c r="I6956" s="9">
        <v>9.8770000000000005E-5</v>
      </c>
      <c r="J6956" s="9">
        <v>1.005E-4</v>
      </c>
      <c r="K6956" s="9">
        <v>6.9950000000000006E-5</v>
      </c>
      <c r="L6956" s="9">
        <v>1.8268000000000001E-4</v>
      </c>
      <c r="M6956" s="9">
        <v>1.6773999999999999E-4</v>
      </c>
      <c r="N6956" s="9">
        <v>1.6599E-4</v>
      </c>
      <c r="O6956" s="9">
        <v>1.9808E-4</v>
      </c>
      <c r="P6956" s="9">
        <v>1.5278000000000001E-4</v>
      </c>
      <c r="Q6956" s="9">
        <v>1.1E-4</v>
      </c>
      <c r="R6956" s="10">
        <v>1.8368146572206053E-6</v>
      </c>
      <c r="S6956" s="10">
        <v>4.9077335344613939E-5</v>
      </c>
      <c r="T6956" s="10">
        <v>5.7879890166672252E-5</v>
      </c>
      <c r="U6956" s="10">
        <v>6.9430000000000004E-5</v>
      </c>
      <c r="V6956" s="25"/>
      <c r="W6956" s="25"/>
      <c r="X6956" s="25"/>
      <c r="Y6956" s="25"/>
      <c r="Z6956" s="25"/>
      <c r="AA6956" s="25"/>
    </row>
    <row r="6957" spans="1:27" x14ac:dyDescent="0.35">
      <c r="A6957" s="5">
        <v>6953</v>
      </c>
      <c r="B6957" s="5">
        <v>290</v>
      </c>
      <c r="C6957" s="5">
        <v>10</v>
      </c>
      <c r="D6957" s="25">
        <v>1.1416E-4</v>
      </c>
      <c r="E6957" s="25">
        <v>1.1912E-4</v>
      </c>
      <c r="F6957" s="25">
        <v>1.3564E-4</v>
      </c>
      <c r="G6957" s="25">
        <v>1.5757E-4</v>
      </c>
      <c r="H6957" s="25">
        <v>1.9560000000000001E-4</v>
      </c>
      <c r="I6957" s="9">
        <v>1.0203E-4</v>
      </c>
      <c r="J6957" s="9">
        <v>1.0765E-4</v>
      </c>
      <c r="K6957" s="9">
        <v>9.9610000000000003E-5</v>
      </c>
      <c r="L6957" s="9">
        <v>1.9441E-4</v>
      </c>
      <c r="M6957" s="9">
        <v>1.6247000000000001E-4</v>
      </c>
      <c r="N6957" s="9">
        <v>1.5239E-4</v>
      </c>
      <c r="O6957" s="9">
        <v>2.1609E-4</v>
      </c>
      <c r="P6957" s="9">
        <v>1.6063000000000001E-4</v>
      </c>
      <c r="Q6957" s="9">
        <v>1.0805E-4</v>
      </c>
      <c r="R6957" s="10">
        <v>5.887420683453495E-6</v>
      </c>
      <c r="S6957" s="10">
        <v>4.1502482764744925E-5</v>
      </c>
      <c r="T6957" s="10">
        <v>2.2025241112969973E-5</v>
      </c>
      <c r="U6957" s="10">
        <v>6.9430000000000004E-5</v>
      </c>
      <c r="V6957" s="25"/>
      <c r="W6957" s="25"/>
      <c r="X6957" s="25"/>
      <c r="Y6957" s="25"/>
      <c r="Z6957" s="25"/>
      <c r="AA6957" s="25"/>
    </row>
    <row r="6958" spans="1:27" x14ac:dyDescent="0.35">
      <c r="A6958" s="5">
        <v>6954</v>
      </c>
      <c r="B6958" s="5">
        <v>290</v>
      </c>
      <c r="C6958" s="5">
        <v>10</v>
      </c>
      <c r="D6958" s="25">
        <v>1.1415000000000001E-4</v>
      </c>
      <c r="E6958" s="25">
        <v>1.1616E-4</v>
      </c>
      <c r="F6958" s="25">
        <v>1.1841E-4</v>
      </c>
      <c r="G6958" s="25">
        <v>1.5632999999999999E-4</v>
      </c>
      <c r="H6958" s="25">
        <v>1.9802E-4</v>
      </c>
      <c r="I6958" s="9">
        <v>1.0882000000000001E-4</v>
      </c>
      <c r="J6958" s="9">
        <v>1.1346E-4</v>
      </c>
      <c r="K6958" s="9">
        <v>1.1869E-4</v>
      </c>
      <c r="L6958" s="9">
        <v>2.1109000000000001E-4</v>
      </c>
      <c r="M6958" s="9">
        <v>1.6033E-4</v>
      </c>
      <c r="N6958" s="9">
        <v>1.3929E-4</v>
      </c>
      <c r="O6958" s="9">
        <v>2.0474999999999999E-4</v>
      </c>
      <c r="P6958" s="9">
        <v>1.5964000000000001E-4</v>
      </c>
      <c r="Q6958" s="9">
        <v>1.1713E-4</v>
      </c>
      <c r="R6958" s="10">
        <v>1.0239389768377534E-5</v>
      </c>
      <c r="S6958" s="10">
        <v>4.0990785577902844E-5</v>
      </c>
      <c r="T6958" s="10">
        <v>0</v>
      </c>
      <c r="U6958" s="10">
        <v>6.9430000000000004E-5</v>
      </c>
      <c r="V6958" s="25"/>
      <c r="W6958" s="25"/>
      <c r="X6958" s="25"/>
      <c r="Y6958" s="25"/>
      <c r="Z6958" s="25"/>
      <c r="AA6958" s="25"/>
    </row>
    <row r="6959" spans="1:27" x14ac:dyDescent="0.35">
      <c r="A6959" s="5">
        <v>6955</v>
      </c>
      <c r="B6959" s="5">
        <v>290</v>
      </c>
      <c r="C6959" s="5">
        <v>10</v>
      </c>
      <c r="D6959" s="25">
        <v>1.1416E-4</v>
      </c>
      <c r="E6959" s="25">
        <v>1.0865E-4</v>
      </c>
      <c r="F6959" s="25">
        <v>1.3014999999999999E-4</v>
      </c>
      <c r="G6959" s="25">
        <v>1.064E-4</v>
      </c>
      <c r="H6959" s="25">
        <v>1.3725E-4</v>
      </c>
      <c r="I6959" s="9">
        <v>1.1778E-4</v>
      </c>
      <c r="J6959" s="9">
        <v>1.1924E-4</v>
      </c>
      <c r="K6959" s="9">
        <v>1.1445E-4</v>
      </c>
      <c r="L6959" s="9">
        <v>2.0573E-4</v>
      </c>
      <c r="M6959" s="9">
        <v>1.5966999999999999E-4</v>
      </c>
      <c r="N6959" s="9">
        <v>1.3015999999999999E-4</v>
      </c>
      <c r="O6959" s="9">
        <v>1.6624000000000001E-4</v>
      </c>
      <c r="P6959" s="9">
        <v>1.3624000000000001E-4</v>
      </c>
      <c r="Q6959" s="9">
        <v>1.0813E-4</v>
      </c>
      <c r="R6959" s="10">
        <v>1.3285904736235964E-5</v>
      </c>
      <c r="S6959" s="10">
        <v>3.8128540798120205E-5</v>
      </c>
      <c r="T6959" s="10">
        <v>0</v>
      </c>
      <c r="U6959" s="10">
        <v>6.9430000000000004E-5</v>
      </c>
      <c r="V6959" s="25"/>
      <c r="W6959" s="25"/>
      <c r="X6959" s="25"/>
      <c r="Y6959" s="25"/>
      <c r="Z6959" s="25"/>
      <c r="AA6959" s="25"/>
    </row>
    <row r="6960" spans="1:27" x14ac:dyDescent="0.35">
      <c r="A6960" s="5">
        <v>6956</v>
      </c>
      <c r="B6960" s="5">
        <v>290</v>
      </c>
      <c r="C6960" s="5">
        <v>10</v>
      </c>
      <c r="D6960" s="25">
        <v>1.1415000000000001E-4</v>
      </c>
      <c r="E6960" s="25">
        <v>1.1582999999999999E-4</v>
      </c>
      <c r="F6960" s="25">
        <v>1.3025999999999999E-4</v>
      </c>
      <c r="G6960" s="25">
        <v>1.0717000000000001E-4</v>
      </c>
      <c r="H6960" s="25">
        <v>1.27E-4</v>
      </c>
      <c r="I6960" s="9">
        <v>1.1493999999999999E-4</v>
      </c>
      <c r="J6960" s="9">
        <v>1.1788E-4</v>
      </c>
      <c r="K6960" s="9">
        <v>1.1445E-4</v>
      </c>
      <c r="L6960" s="9">
        <v>1.7515E-4</v>
      </c>
      <c r="M6960" s="9">
        <v>1.5121000000000001E-4</v>
      </c>
      <c r="N6960" s="9">
        <v>1.2129999999999999E-4</v>
      </c>
      <c r="O6960" s="9">
        <v>1.2795999999999999E-4</v>
      </c>
      <c r="P6960" s="9">
        <v>1.1388E-4</v>
      </c>
      <c r="Q6960" s="9">
        <v>1.0102000000000001E-4</v>
      </c>
      <c r="R6960" s="10">
        <v>1.5409896818221686E-5</v>
      </c>
      <c r="S6960" s="10">
        <v>3.3113734321737185E-5</v>
      </c>
      <c r="T6960" s="10">
        <v>0</v>
      </c>
      <c r="U6960" s="10">
        <v>6.9430000000000004E-5</v>
      </c>
      <c r="V6960" s="25"/>
      <c r="W6960" s="25"/>
      <c r="X6960" s="25"/>
      <c r="Y6960" s="25"/>
      <c r="Z6960" s="25"/>
      <c r="AA6960" s="25"/>
    </row>
    <row r="6961" spans="1:27" x14ac:dyDescent="0.35">
      <c r="A6961" s="5">
        <v>6957</v>
      </c>
      <c r="B6961" s="5">
        <v>290</v>
      </c>
      <c r="C6961" s="5">
        <v>10</v>
      </c>
      <c r="D6961" s="25">
        <v>1.1416E-4</v>
      </c>
      <c r="E6961" s="25">
        <v>1.1001999999999999E-4</v>
      </c>
      <c r="F6961" s="25">
        <v>1.2845000000000001E-4</v>
      </c>
      <c r="G6961" s="25">
        <v>5.9589999999999997E-5</v>
      </c>
      <c r="H6961" s="25">
        <v>7.5950000000000003E-5</v>
      </c>
      <c r="I6961" s="9">
        <v>1.0919E-4</v>
      </c>
      <c r="J6961" s="9">
        <v>1.1245E-4</v>
      </c>
      <c r="K6961" s="9">
        <v>1.2504000000000001E-4</v>
      </c>
      <c r="L6961" s="9">
        <v>1.393E-4</v>
      </c>
      <c r="M6961" s="9">
        <v>1.3541000000000001E-4</v>
      </c>
      <c r="N6961" s="9">
        <v>1.1336999999999999E-4</v>
      </c>
      <c r="O6961" s="9">
        <v>8.53E-5</v>
      </c>
      <c r="P6961" s="9">
        <v>8.6829999999999994E-5</v>
      </c>
      <c r="Q6961" s="9">
        <v>8.8839999999999996E-5</v>
      </c>
      <c r="R6961" s="10">
        <v>1.4942082961391893E-5</v>
      </c>
      <c r="S6961" s="10">
        <v>3.0444872229438658E-5</v>
      </c>
      <c r="T6961" s="10">
        <v>0</v>
      </c>
      <c r="U6961" s="10">
        <v>6.9430000000000004E-5</v>
      </c>
      <c r="V6961" s="25"/>
      <c r="W6961" s="25"/>
      <c r="X6961" s="25"/>
      <c r="Y6961" s="25"/>
      <c r="Z6961" s="25"/>
      <c r="AA6961" s="25"/>
    </row>
    <row r="6962" spans="1:27" x14ac:dyDescent="0.35">
      <c r="A6962" s="5">
        <v>6958</v>
      </c>
      <c r="B6962" s="5">
        <v>290</v>
      </c>
      <c r="C6962" s="5">
        <v>10</v>
      </c>
      <c r="D6962" s="25">
        <v>1.1415000000000001E-4</v>
      </c>
      <c r="E6962" s="25">
        <v>1.1332000000000001E-4</v>
      </c>
      <c r="F6962" s="25">
        <v>1.3650000000000001E-4</v>
      </c>
      <c r="G6962" s="25">
        <v>6.2970000000000002E-5</v>
      </c>
      <c r="H6962" s="25">
        <v>6.3219999999999994E-5</v>
      </c>
      <c r="I6962" s="9">
        <v>1.0787E-4</v>
      </c>
      <c r="J6962" s="9">
        <v>1.0755999999999999E-4</v>
      </c>
      <c r="K6962" s="9">
        <v>1.4411E-4</v>
      </c>
      <c r="L6962" s="9">
        <v>9.8140000000000006E-5</v>
      </c>
      <c r="M6962" s="9">
        <v>1.1383999999999999E-4</v>
      </c>
      <c r="N6962" s="9">
        <v>1.0582999999999999E-4</v>
      </c>
      <c r="O6962" s="9">
        <v>8.7880000000000006E-5</v>
      </c>
      <c r="P6962" s="9">
        <v>8.7999999999999998E-5</v>
      </c>
      <c r="Q6962" s="9">
        <v>8.865E-5</v>
      </c>
      <c r="R6962" s="10">
        <v>1.2573630465803951E-5</v>
      </c>
      <c r="S6962" s="10">
        <v>2.6924513901333775E-5</v>
      </c>
      <c r="T6962" s="10">
        <v>0</v>
      </c>
      <c r="U6962" s="10">
        <v>6.9430000000000004E-5</v>
      </c>
      <c r="V6962" s="25"/>
      <c r="W6962" s="25"/>
      <c r="X6962" s="25"/>
      <c r="Y6962" s="25"/>
      <c r="Z6962" s="25"/>
      <c r="AA6962" s="25"/>
    </row>
    <row r="6963" spans="1:27" x14ac:dyDescent="0.35">
      <c r="A6963" s="5">
        <v>6959</v>
      </c>
      <c r="B6963" s="5">
        <v>290</v>
      </c>
      <c r="C6963" s="5">
        <v>10</v>
      </c>
      <c r="D6963" s="25">
        <v>1.1416E-4</v>
      </c>
      <c r="E6963" s="25">
        <v>1.1237E-4</v>
      </c>
      <c r="F6963" s="25">
        <v>1.2443999999999999E-4</v>
      </c>
      <c r="G6963" s="25">
        <v>5.5800000000000001E-5</v>
      </c>
      <c r="H6963" s="25">
        <v>6.5969999999999993E-5</v>
      </c>
      <c r="I6963" s="9">
        <v>1.0482E-4</v>
      </c>
      <c r="J6963" s="9">
        <v>1.0049E-4</v>
      </c>
      <c r="K6963" s="9">
        <v>1.6107E-4</v>
      </c>
      <c r="L6963" s="9">
        <v>9.1059999999999999E-5</v>
      </c>
      <c r="M6963" s="9">
        <v>9.9270000000000003E-5</v>
      </c>
      <c r="N6963" s="9">
        <v>1.0003E-4</v>
      </c>
      <c r="O6963" s="9">
        <v>7.7550000000000001E-5</v>
      </c>
      <c r="P6963" s="9">
        <v>7.182E-5</v>
      </c>
      <c r="Q6963" s="9">
        <v>6.6589999999999998E-5</v>
      </c>
      <c r="R6963" s="10">
        <v>1.0464636695496405E-5</v>
      </c>
      <c r="S6963" s="10">
        <v>2.5509372310341373E-5</v>
      </c>
      <c r="T6963" s="10">
        <v>0</v>
      </c>
      <c r="U6963" s="10">
        <v>6.9430000000000004E-5</v>
      </c>
      <c r="V6963" s="25"/>
      <c r="W6963" s="25"/>
      <c r="X6963" s="25"/>
      <c r="Y6963" s="25"/>
      <c r="Z6963" s="25"/>
      <c r="AA6963" s="25"/>
    </row>
    <row r="6964" spans="1:27" x14ac:dyDescent="0.35">
      <c r="A6964" s="5">
        <v>6960</v>
      </c>
      <c r="B6964" s="5">
        <v>290</v>
      </c>
      <c r="C6964" s="5">
        <v>10</v>
      </c>
      <c r="D6964" s="25">
        <v>1.1415000000000001E-4</v>
      </c>
      <c r="E6964" s="25">
        <v>1.1820999999999999E-4</v>
      </c>
      <c r="F6964" s="25">
        <v>1.3044E-4</v>
      </c>
      <c r="G6964" s="25">
        <v>5.4880000000000003E-5</v>
      </c>
      <c r="H6964" s="25">
        <v>7.3360000000000002E-5</v>
      </c>
      <c r="I6964" s="9">
        <v>9.8400000000000007E-5</v>
      </c>
      <c r="J6964" s="9">
        <v>9.4400000000000004E-5</v>
      </c>
      <c r="K6964" s="9">
        <v>1.7378000000000001E-4</v>
      </c>
      <c r="L6964" s="9">
        <v>8.0489999999999997E-5</v>
      </c>
      <c r="M6964" s="9">
        <v>8.619E-5</v>
      </c>
      <c r="N6964" s="9">
        <v>9.0649999999999994E-5</v>
      </c>
      <c r="O6964" s="9">
        <v>6.2799999999999995E-5</v>
      </c>
      <c r="P6964" s="9">
        <v>6.071E-5</v>
      </c>
      <c r="Q6964" s="9">
        <v>5.889E-5</v>
      </c>
      <c r="R6964" s="10">
        <v>9.2665503322861787E-6</v>
      </c>
      <c r="S6964" s="10">
        <v>1.7779913744797681E-5</v>
      </c>
      <c r="T6964" s="10">
        <v>0</v>
      </c>
      <c r="U6964" s="10">
        <v>6.9430000000000004E-5</v>
      </c>
      <c r="V6964" s="25"/>
      <c r="W6964" s="25"/>
      <c r="X6964" s="25"/>
      <c r="Y6964" s="25"/>
      <c r="Z6964" s="25"/>
      <c r="AA6964" s="25"/>
    </row>
    <row r="6965" spans="1:27" x14ac:dyDescent="0.35">
      <c r="A6965" s="5">
        <v>6961</v>
      </c>
      <c r="B6965" s="5">
        <v>291</v>
      </c>
      <c r="C6965" s="5">
        <v>10</v>
      </c>
      <c r="D6965" s="25">
        <v>1.1416E-4</v>
      </c>
      <c r="E6965" s="25">
        <v>1.1212E-4</v>
      </c>
      <c r="F6965" s="25">
        <v>9.8930000000000003E-5</v>
      </c>
      <c r="G6965" s="25">
        <v>5.3669999999999999E-5</v>
      </c>
      <c r="H6965" s="25">
        <v>7.1769999999999999E-5</v>
      </c>
      <c r="I6965" s="9">
        <v>9.344E-5</v>
      </c>
      <c r="J6965" s="9">
        <v>9.0909999999999995E-5</v>
      </c>
      <c r="K6965" s="9">
        <v>1.8226000000000001E-4</v>
      </c>
      <c r="L6965" s="9">
        <v>6.6719999999999998E-5</v>
      </c>
      <c r="M6965" s="9">
        <v>7.3999999999999996E-5</v>
      </c>
      <c r="N6965" s="9">
        <v>8.1199999999999995E-5</v>
      </c>
      <c r="O6965" s="9">
        <v>5.4150000000000002E-5</v>
      </c>
      <c r="P6965" s="9">
        <v>5.3569999999999997E-5</v>
      </c>
      <c r="Q6965" s="9">
        <v>5.3149999999999998E-5</v>
      </c>
      <c r="R6965" s="10">
        <v>3.681734174993077E-6</v>
      </c>
      <c r="S6965" s="10">
        <v>1.4640202768783198E-5</v>
      </c>
      <c r="T6965" s="10">
        <v>0</v>
      </c>
      <c r="U6965" s="10">
        <v>6.9599999999999998E-5</v>
      </c>
      <c r="V6965" s="25"/>
      <c r="W6965" s="25"/>
      <c r="X6965" s="25"/>
      <c r="Y6965" s="25"/>
      <c r="Z6965" s="25"/>
      <c r="AA6965" s="25"/>
    </row>
    <row r="6966" spans="1:27" x14ac:dyDescent="0.35">
      <c r="A6966" s="5">
        <v>6962</v>
      </c>
      <c r="B6966" s="5">
        <v>291</v>
      </c>
      <c r="C6966" s="5">
        <v>10</v>
      </c>
      <c r="D6966" s="25">
        <v>1.1415000000000001E-4</v>
      </c>
      <c r="E6966" s="25">
        <v>1.1364E-4</v>
      </c>
      <c r="F6966" s="25">
        <v>1.0041E-4</v>
      </c>
      <c r="G6966" s="25">
        <v>6.1270000000000001E-5</v>
      </c>
      <c r="H6966" s="25">
        <v>6.3940000000000001E-5</v>
      </c>
      <c r="I6966" s="9">
        <v>9.0649999999999994E-5</v>
      </c>
      <c r="J6966" s="9">
        <v>8.9469999999999995E-5</v>
      </c>
      <c r="K6966" s="9">
        <v>1.9074000000000001E-4</v>
      </c>
      <c r="L6966" s="9">
        <v>5.7290000000000002E-5</v>
      </c>
      <c r="M6966" s="9">
        <v>6.3750000000000005E-5</v>
      </c>
      <c r="N6966" s="9">
        <v>7.203E-5</v>
      </c>
      <c r="O6966" s="9">
        <v>1.872E-5</v>
      </c>
      <c r="P6966" s="9">
        <v>3.7669999999999997E-5</v>
      </c>
      <c r="Q6966" s="9">
        <v>5.6060000000000002E-5</v>
      </c>
      <c r="R6966" s="10">
        <v>2.0231428827906719E-6</v>
      </c>
      <c r="S6966" s="10">
        <v>1.3962648149276222E-5</v>
      </c>
      <c r="T6966" s="10">
        <v>0</v>
      </c>
      <c r="U6966" s="10">
        <v>6.9599999999999998E-5</v>
      </c>
      <c r="V6966" s="25"/>
      <c r="W6966" s="25"/>
      <c r="X6966" s="25"/>
      <c r="Y6966" s="25"/>
      <c r="Z6966" s="25"/>
      <c r="AA6966" s="25"/>
    </row>
    <row r="6967" spans="1:27" x14ac:dyDescent="0.35">
      <c r="A6967" s="5">
        <v>6963</v>
      </c>
      <c r="B6967" s="5">
        <v>291</v>
      </c>
      <c r="C6967" s="5">
        <v>10</v>
      </c>
      <c r="D6967" s="25">
        <v>1.1416E-4</v>
      </c>
      <c r="E6967" s="25">
        <v>1.1797E-4</v>
      </c>
      <c r="F6967" s="25">
        <v>1.0381E-4</v>
      </c>
      <c r="G6967" s="25">
        <v>5.9540000000000003E-5</v>
      </c>
      <c r="H6967" s="25">
        <v>7.3559999999999994E-5</v>
      </c>
      <c r="I6967" s="9">
        <v>8.9209999999999995E-5</v>
      </c>
      <c r="J6967" s="9">
        <v>8.9060000000000005E-5</v>
      </c>
      <c r="K6967" s="9">
        <v>1.9498000000000001E-4</v>
      </c>
      <c r="L6967" s="9">
        <v>2.7419999999999998E-5</v>
      </c>
      <c r="M6967" s="9">
        <v>5.2030000000000002E-5</v>
      </c>
      <c r="N6967" s="9">
        <v>6.5419999999999994E-5</v>
      </c>
      <c r="O6967" s="9">
        <v>1.324E-5</v>
      </c>
      <c r="P6967" s="9">
        <v>3.7700000000000002E-5</v>
      </c>
      <c r="Q6967" s="9">
        <v>6.1439999999999995E-5</v>
      </c>
      <c r="R6967" s="10">
        <v>2.5557656777230367E-6</v>
      </c>
      <c r="S6967" s="10">
        <v>1.5372536150828105E-5</v>
      </c>
      <c r="T6967" s="10">
        <v>0</v>
      </c>
      <c r="U6967" s="10">
        <v>6.9599999999999998E-5</v>
      </c>
      <c r="V6967" s="25"/>
      <c r="W6967" s="25"/>
      <c r="X6967" s="25"/>
      <c r="Y6967" s="25"/>
      <c r="Z6967" s="25"/>
      <c r="AA6967" s="25"/>
    </row>
    <row r="6968" spans="1:27" x14ac:dyDescent="0.35">
      <c r="A6968" s="5">
        <v>6964</v>
      </c>
      <c r="B6968" s="5">
        <v>291</v>
      </c>
      <c r="C6968" s="5">
        <v>10</v>
      </c>
      <c r="D6968" s="25">
        <v>1.1415000000000001E-4</v>
      </c>
      <c r="E6968" s="25">
        <v>1.1653E-4</v>
      </c>
      <c r="F6968" s="25">
        <v>1.0683000000000001E-4</v>
      </c>
      <c r="G6968" s="25">
        <v>5.8950000000000003E-5</v>
      </c>
      <c r="H6968" s="25">
        <v>7.4099999999999999E-5</v>
      </c>
      <c r="I6968" s="9">
        <v>9.0729999999999994E-5</v>
      </c>
      <c r="J6968" s="9">
        <v>8.9400000000000005E-5</v>
      </c>
      <c r="K6968" s="9">
        <v>1.9285999999999999E-4</v>
      </c>
      <c r="L6968" s="9">
        <v>1.7099999999999999E-5</v>
      </c>
      <c r="M6968" s="9">
        <v>4.4070000000000003E-5</v>
      </c>
      <c r="N6968" s="9">
        <v>6.1799999999999998E-5</v>
      </c>
      <c r="O6968" s="9">
        <v>1.3149999999999999E-5</v>
      </c>
      <c r="P6968" s="9">
        <v>4.6799999999999999E-5</v>
      </c>
      <c r="Q6968" s="9">
        <v>7.9610000000000005E-5</v>
      </c>
      <c r="R6968" s="10">
        <v>3.8394376683537429E-6</v>
      </c>
      <c r="S6968" s="10">
        <v>1.7201074759135158E-5</v>
      </c>
      <c r="T6968" s="10">
        <v>0</v>
      </c>
      <c r="U6968" s="10">
        <v>6.9599999999999998E-5</v>
      </c>
      <c r="V6968" s="25"/>
      <c r="W6968" s="25"/>
      <c r="X6968" s="25"/>
      <c r="Y6968" s="25"/>
      <c r="Z6968" s="25"/>
      <c r="AA6968" s="25"/>
    </row>
    <row r="6969" spans="1:27" x14ac:dyDescent="0.35">
      <c r="A6969" s="5">
        <v>6965</v>
      </c>
      <c r="B6969" s="5">
        <v>291</v>
      </c>
      <c r="C6969" s="5">
        <v>10</v>
      </c>
      <c r="D6969" s="25">
        <v>1.1416E-4</v>
      </c>
      <c r="E6969" s="25">
        <v>1.0898E-4</v>
      </c>
      <c r="F6969" s="25">
        <v>9.6869999999999999E-5</v>
      </c>
      <c r="G6969" s="25">
        <v>6.2840000000000001E-5</v>
      </c>
      <c r="H6969" s="25">
        <v>6.7710000000000001E-5</v>
      </c>
      <c r="I6969" s="9">
        <v>9.7769999999999994E-5</v>
      </c>
      <c r="J6969" s="9">
        <v>9.2070000000000004E-5</v>
      </c>
      <c r="K6969" s="9">
        <v>1.9498000000000001E-4</v>
      </c>
      <c r="L6969" s="9">
        <v>1.4260000000000001E-5</v>
      </c>
      <c r="M6969" s="9">
        <v>4.3269999999999997E-5</v>
      </c>
      <c r="N6969" s="9">
        <v>6.4179999999999999E-5</v>
      </c>
      <c r="O6969" s="9">
        <v>1.8700000000000001E-5</v>
      </c>
      <c r="P6969" s="9">
        <v>5.6440000000000002E-5</v>
      </c>
      <c r="Q6969" s="9">
        <v>9.3319999999999994E-5</v>
      </c>
      <c r="R6969" s="10">
        <v>5.0729320399569956E-6</v>
      </c>
      <c r="S6969" s="10">
        <v>1.8363073337681278E-5</v>
      </c>
      <c r="T6969" s="10">
        <v>0</v>
      </c>
      <c r="U6969" s="10">
        <v>6.9599999999999998E-5</v>
      </c>
      <c r="V6969" s="25"/>
      <c r="W6969" s="25"/>
      <c r="X6969" s="25"/>
      <c r="Y6969" s="25"/>
      <c r="Z6969" s="25"/>
      <c r="AA6969" s="25"/>
    </row>
    <row r="6970" spans="1:27" x14ac:dyDescent="0.35">
      <c r="A6970" s="5">
        <v>6966</v>
      </c>
      <c r="B6970" s="5">
        <v>291</v>
      </c>
      <c r="C6970" s="5">
        <v>10</v>
      </c>
      <c r="D6970" s="25">
        <v>1.1415000000000001E-4</v>
      </c>
      <c r="E6970" s="25">
        <v>1.1423E-4</v>
      </c>
      <c r="F6970" s="25">
        <v>9.6810000000000003E-5</v>
      </c>
      <c r="G6970" s="25">
        <v>1.1241E-4</v>
      </c>
      <c r="H6970" s="25">
        <v>1.3548999999999999E-4</v>
      </c>
      <c r="I6970" s="9">
        <v>1.1234999999999999E-4</v>
      </c>
      <c r="J6970" s="9">
        <v>1.0116E-4</v>
      </c>
      <c r="K6970" s="9">
        <v>2.0346000000000001E-4</v>
      </c>
      <c r="L6970" s="9">
        <v>1.7589999999999999E-5</v>
      </c>
      <c r="M6970" s="9">
        <v>4.8149999999999998E-5</v>
      </c>
      <c r="N6970" s="9">
        <v>7.0690000000000003E-5</v>
      </c>
      <c r="O6970" s="9">
        <v>4.6190000000000003E-5</v>
      </c>
      <c r="P6970" s="9">
        <v>7.6730000000000006E-5</v>
      </c>
      <c r="Q6970" s="9">
        <v>1.0685E-4</v>
      </c>
      <c r="R6970" s="10">
        <v>7.2762949544606388E-6</v>
      </c>
      <c r="S6970" s="10">
        <v>2.6810629953163373E-5</v>
      </c>
      <c r="T6970" s="10">
        <v>0</v>
      </c>
      <c r="U6970" s="10">
        <v>6.9599999999999998E-5</v>
      </c>
      <c r="V6970" s="25"/>
      <c r="W6970" s="25"/>
      <c r="X6970" s="25"/>
      <c r="Y6970" s="25"/>
      <c r="Z6970" s="25"/>
      <c r="AA6970" s="25"/>
    </row>
    <row r="6971" spans="1:27" x14ac:dyDescent="0.35">
      <c r="A6971" s="5">
        <v>6967</v>
      </c>
      <c r="B6971" s="5">
        <v>291</v>
      </c>
      <c r="C6971" s="5">
        <v>10</v>
      </c>
      <c r="D6971" s="25">
        <v>1.1416E-4</v>
      </c>
      <c r="E6971" s="25">
        <v>1.1758E-4</v>
      </c>
      <c r="F6971" s="25">
        <v>9.1520000000000005E-5</v>
      </c>
      <c r="G6971" s="25">
        <v>1.1137E-4</v>
      </c>
      <c r="H6971" s="25">
        <v>1.2758999999999999E-4</v>
      </c>
      <c r="I6971" s="9">
        <v>1.2642E-4</v>
      </c>
      <c r="J6971" s="9">
        <v>1.1768E-4</v>
      </c>
      <c r="K6971" s="9">
        <v>1.8226000000000001E-4</v>
      </c>
      <c r="L6971" s="9">
        <v>3.9759999999999999E-5</v>
      </c>
      <c r="M6971" s="9">
        <v>5.982E-5</v>
      </c>
      <c r="N6971" s="9">
        <v>8.0409999999999998E-5</v>
      </c>
      <c r="O6971" s="9">
        <v>1.2402E-4</v>
      </c>
      <c r="P6971" s="9">
        <v>1.1801E-4</v>
      </c>
      <c r="Q6971" s="9">
        <v>1.1305E-4</v>
      </c>
      <c r="R6971" s="10">
        <v>9.7505104996955235E-6</v>
      </c>
      <c r="S6971" s="10">
        <v>4.3033170057603558E-5</v>
      </c>
      <c r="T6971" s="10">
        <v>0</v>
      </c>
      <c r="U6971" s="10">
        <v>6.9599999999999998E-5</v>
      </c>
      <c r="V6971" s="25"/>
      <c r="W6971" s="25"/>
      <c r="X6971" s="25"/>
      <c r="Y6971" s="25"/>
      <c r="Z6971" s="25"/>
      <c r="AA6971" s="25"/>
    </row>
    <row r="6972" spans="1:27" x14ac:dyDescent="0.35">
      <c r="A6972" s="5">
        <v>6968</v>
      </c>
      <c r="B6972" s="5">
        <v>291</v>
      </c>
      <c r="C6972" s="5">
        <v>10</v>
      </c>
      <c r="D6972" s="25">
        <v>1.1415000000000001E-4</v>
      </c>
      <c r="E6972" s="25">
        <v>1.1438E-4</v>
      </c>
      <c r="F6972" s="25">
        <v>9.823E-5</v>
      </c>
      <c r="G6972" s="25">
        <v>1.6551000000000001E-4</v>
      </c>
      <c r="H6972" s="25">
        <v>1.9861999999999999E-4</v>
      </c>
      <c r="I6972" s="9">
        <v>1.2915999999999999E-4</v>
      </c>
      <c r="J6972" s="9">
        <v>1.2978999999999999E-4</v>
      </c>
      <c r="K6972" s="9">
        <v>1.5046999999999999E-4</v>
      </c>
      <c r="L6972" s="9">
        <v>1.0486E-4</v>
      </c>
      <c r="M6972" s="9">
        <v>8.3780000000000001E-5</v>
      </c>
      <c r="N6972" s="9">
        <v>9.0699999999999996E-5</v>
      </c>
      <c r="O6972" s="9">
        <v>2.1850999999999999E-4</v>
      </c>
      <c r="P6972" s="9">
        <v>1.7581000000000001E-4</v>
      </c>
      <c r="Q6972" s="9">
        <v>1.3580999999999999E-4</v>
      </c>
      <c r="R6972" s="10">
        <v>1.0745951093719492E-5</v>
      </c>
      <c r="S6972" s="10">
        <v>5.7686028510351492E-5</v>
      </c>
      <c r="T6972" s="10">
        <v>5.4367390235713247E-5</v>
      </c>
      <c r="U6972" s="10">
        <v>6.9599999999999998E-5</v>
      </c>
      <c r="V6972" s="25"/>
      <c r="W6972" s="25"/>
      <c r="X6972" s="25"/>
      <c r="Y6972" s="25"/>
      <c r="Z6972" s="25"/>
      <c r="AA6972" s="25"/>
    </row>
    <row r="6973" spans="1:27" x14ac:dyDescent="0.35">
      <c r="A6973" s="5">
        <v>6969</v>
      </c>
      <c r="B6973" s="5">
        <v>291</v>
      </c>
      <c r="C6973" s="5">
        <v>10</v>
      </c>
      <c r="D6973" s="25">
        <v>1.1416E-4</v>
      </c>
      <c r="E6973" s="25">
        <v>1.1569E-4</v>
      </c>
      <c r="F6973" s="25">
        <v>8.7379999999999993E-5</v>
      </c>
      <c r="G6973" s="25">
        <v>1.6687000000000001E-4</v>
      </c>
      <c r="H6973" s="25">
        <v>1.95E-4</v>
      </c>
      <c r="I6973" s="9">
        <v>1.3003E-4</v>
      </c>
      <c r="J6973" s="9">
        <v>1.3402999999999999E-4</v>
      </c>
      <c r="K6973" s="9">
        <v>9.9610000000000003E-5</v>
      </c>
      <c r="L6973" s="9">
        <v>1.9173000000000001E-4</v>
      </c>
      <c r="M6973" s="9">
        <v>1.2311000000000001E-4</v>
      </c>
      <c r="N6973" s="9">
        <v>1.043E-4</v>
      </c>
      <c r="O6973" s="9">
        <v>2.097E-4</v>
      </c>
      <c r="P6973" s="9">
        <v>1.9137000000000001E-4</v>
      </c>
      <c r="Q6973" s="9">
        <v>1.7526E-4</v>
      </c>
      <c r="R6973" s="10">
        <v>1.0684847488157444E-5</v>
      </c>
      <c r="S6973" s="10">
        <v>6.3165644210542979E-5</v>
      </c>
      <c r="T6973" s="10">
        <v>2.0541337156630048E-4</v>
      </c>
      <c r="U6973" s="10">
        <v>6.9599999999999998E-5</v>
      </c>
      <c r="V6973" s="25"/>
      <c r="W6973" s="25"/>
      <c r="X6973" s="25"/>
      <c r="Y6973" s="25"/>
      <c r="Z6973" s="25"/>
      <c r="AA6973" s="25"/>
    </row>
    <row r="6974" spans="1:27" x14ac:dyDescent="0.35">
      <c r="A6974" s="5">
        <v>6970</v>
      </c>
      <c r="B6974" s="5">
        <v>291</v>
      </c>
      <c r="C6974" s="5">
        <v>10</v>
      </c>
      <c r="D6974" s="25">
        <v>1.1415000000000001E-4</v>
      </c>
      <c r="E6974" s="25">
        <v>1.083E-4</v>
      </c>
      <c r="F6974" s="25">
        <v>1.0501999999999999E-4</v>
      </c>
      <c r="G6974" s="25">
        <v>1.5721999999999999E-4</v>
      </c>
      <c r="H6974" s="25">
        <v>1.9021000000000001E-4</v>
      </c>
      <c r="I6974" s="9">
        <v>1.3085000000000001E-4</v>
      </c>
      <c r="J6974" s="9">
        <v>1.3416E-4</v>
      </c>
      <c r="K6974" s="9">
        <v>8.6899999999999998E-5</v>
      </c>
      <c r="L6974" s="9">
        <v>2.0347E-4</v>
      </c>
      <c r="M6974" s="9">
        <v>1.5762999999999999E-4</v>
      </c>
      <c r="N6974" s="9">
        <v>1.2402999999999999E-4</v>
      </c>
      <c r="O6974" s="9">
        <v>1.6590999999999999E-4</v>
      </c>
      <c r="P6974" s="9">
        <v>1.7250999999999999E-4</v>
      </c>
      <c r="Q6974" s="9">
        <v>1.8045E-4</v>
      </c>
      <c r="R6974" s="10">
        <v>9.4387735274709634E-6</v>
      </c>
      <c r="S6974" s="10">
        <v>6.3539817868425006E-5</v>
      </c>
      <c r="T6974" s="10">
        <v>1.975993318648192E-5</v>
      </c>
      <c r="U6974" s="10">
        <v>6.9599999999999998E-5</v>
      </c>
      <c r="V6974" s="25"/>
      <c r="W6974" s="25"/>
      <c r="X6974" s="25"/>
      <c r="Y6974" s="25"/>
      <c r="Z6974" s="25"/>
      <c r="AA6974" s="25"/>
    </row>
    <row r="6975" spans="1:27" x14ac:dyDescent="0.35">
      <c r="A6975" s="5">
        <v>6971</v>
      </c>
      <c r="B6975" s="5">
        <v>291</v>
      </c>
      <c r="C6975" s="5">
        <v>10</v>
      </c>
      <c r="D6975" s="25">
        <v>1.1416E-4</v>
      </c>
      <c r="E6975" s="25">
        <v>1.1264000000000001E-4</v>
      </c>
      <c r="F6975" s="25">
        <v>1.097E-4</v>
      </c>
      <c r="G6975" s="25">
        <v>1.6697000000000001E-4</v>
      </c>
      <c r="H6975" s="25">
        <v>1.9681000000000001E-4</v>
      </c>
      <c r="I6975" s="9">
        <v>1.3249E-4</v>
      </c>
      <c r="J6975" s="9">
        <v>1.3441000000000001E-4</v>
      </c>
      <c r="K6975" s="9">
        <v>6.5710000000000006E-5</v>
      </c>
      <c r="L6975" s="9">
        <v>1.7427E-4</v>
      </c>
      <c r="M6975" s="9">
        <v>1.7097E-4</v>
      </c>
      <c r="N6975" s="9">
        <v>1.4181999999999999E-4</v>
      </c>
      <c r="O6975" s="9">
        <v>1.6754000000000001E-4</v>
      </c>
      <c r="P6975" s="9">
        <v>1.7285E-4</v>
      </c>
      <c r="Q6975" s="9">
        <v>1.7953000000000001E-4</v>
      </c>
      <c r="R6975" s="10">
        <v>1.0022261824598042E-5</v>
      </c>
      <c r="S6975" s="10">
        <v>6.4666691403621402E-5</v>
      </c>
      <c r="T6975" s="10">
        <v>9.7247039151333528E-5</v>
      </c>
      <c r="U6975" s="10">
        <v>6.9599999999999998E-5</v>
      </c>
      <c r="V6975" s="25"/>
      <c r="W6975" s="25"/>
      <c r="X6975" s="25"/>
      <c r="Y6975" s="25"/>
      <c r="Z6975" s="25"/>
      <c r="AA6975" s="25"/>
    </row>
    <row r="6976" spans="1:27" x14ac:dyDescent="0.35">
      <c r="A6976" s="5">
        <v>6972</v>
      </c>
      <c r="B6976" s="5">
        <v>291</v>
      </c>
      <c r="C6976" s="5">
        <v>10</v>
      </c>
      <c r="D6976" s="25">
        <v>1.1415000000000001E-4</v>
      </c>
      <c r="E6976" s="25">
        <v>1.1626E-4</v>
      </c>
      <c r="F6976" s="25">
        <v>9.4920000000000006E-5</v>
      </c>
      <c r="G6976" s="25">
        <v>1.6449999999999999E-4</v>
      </c>
      <c r="H6976" s="25">
        <v>1.9378E-4</v>
      </c>
      <c r="I6976" s="9">
        <v>1.3014999999999999E-4</v>
      </c>
      <c r="J6976" s="9">
        <v>1.3278000000000001E-4</v>
      </c>
      <c r="K6976" s="9">
        <v>4.8739999999999998E-5</v>
      </c>
      <c r="L6976" s="9">
        <v>1.7042000000000001E-4</v>
      </c>
      <c r="M6976" s="9">
        <v>1.7389E-4</v>
      </c>
      <c r="N6976" s="9">
        <v>1.5599E-4</v>
      </c>
      <c r="O6976" s="9">
        <v>1.7121000000000001E-4</v>
      </c>
      <c r="P6976" s="9">
        <v>1.7242000000000001E-4</v>
      </c>
      <c r="Q6976" s="9">
        <v>1.7511E-4</v>
      </c>
      <c r="R6976" s="10">
        <v>9.1427619139616316E-6</v>
      </c>
      <c r="S6976" s="10">
        <v>5.7347956080492911E-5</v>
      </c>
      <c r="T6976" s="10">
        <v>8.7354346109067354E-5</v>
      </c>
      <c r="U6976" s="10">
        <v>6.9599999999999998E-5</v>
      </c>
      <c r="V6976" s="25"/>
      <c r="W6976" s="25"/>
      <c r="X6976" s="25"/>
      <c r="Y6976" s="25"/>
      <c r="Z6976" s="25"/>
      <c r="AA6976" s="25"/>
    </row>
    <row r="6977" spans="1:27" x14ac:dyDescent="0.35">
      <c r="A6977" s="5">
        <v>6973</v>
      </c>
      <c r="B6977" s="5">
        <v>291</v>
      </c>
      <c r="C6977" s="5">
        <v>10</v>
      </c>
      <c r="D6977" s="25">
        <v>1.1416E-4</v>
      </c>
      <c r="E6977" s="25">
        <v>1.1302E-4</v>
      </c>
      <c r="F6977" s="25">
        <v>1.0662000000000001E-4</v>
      </c>
      <c r="G6977" s="25">
        <v>1.6567E-4</v>
      </c>
      <c r="H6977" s="25">
        <v>1.9862999999999999E-4</v>
      </c>
      <c r="I6977" s="9">
        <v>1.2889999999999999E-4</v>
      </c>
      <c r="J6977" s="9">
        <v>1.3161999999999999E-4</v>
      </c>
      <c r="K6977" s="9">
        <v>3.3909999999999999E-5</v>
      </c>
      <c r="L6977" s="9">
        <v>1.7116000000000001E-4</v>
      </c>
      <c r="M6977" s="9">
        <v>1.7365999999999999E-4</v>
      </c>
      <c r="N6977" s="9">
        <v>1.6577000000000001E-4</v>
      </c>
      <c r="O6977" s="9">
        <v>1.6338999999999999E-4</v>
      </c>
      <c r="P6977" s="9">
        <v>1.6545000000000001E-4</v>
      </c>
      <c r="Q6977" s="9">
        <v>1.6888E-4</v>
      </c>
      <c r="R6977" s="10">
        <v>1.0419900414146205E-5</v>
      </c>
      <c r="S6977" s="10">
        <v>5.4749209938851988E-5</v>
      </c>
      <c r="T6977" s="10">
        <v>7.6715034723988631E-5</v>
      </c>
      <c r="U6977" s="10">
        <v>6.9599999999999998E-5</v>
      </c>
      <c r="V6977" s="25"/>
      <c r="W6977" s="25"/>
      <c r="X6977" s="25"/>
      <c r="Y6977" s="25"/>
      <c r="Z6977" s="25"/>
      <c r="AA6977" s="25"/>
    </row>
    <row r="6978" spans="1:27" x14ac:dyDescent="0.35">
      <c r="A6978" s="5">
        <v>6974</v>
      </c>
      <c r="B6978" s="5">
        <v>291</v>
      </c>
      <c r="C6978" s="5">
        <v>10</v>
      </c>
      <c r="D6978" s="25">
        <v>1.1415000000000001E-4</v>
      </c>
      <c r="E6978" s="25">
        <v>1.1809E-4</v>
      </c>
      <c r="F6978" s="25">
        <v>8.9010000000000003E-5</v>
      </c>
      <c r="G6978" s="25">
        <v>1.5763999999999999E-4</v>
      </c>
      <c r="H6978" s="25">
        <v>1.894E-4</v>
      </c>
      <c r="I6978" s="9">
        <v>1.2724000000000001E-4</v>
      </c>
      <c r="J6978" s="9">
        <v>1.3116000000000001E-4</v>
      </c>
      <c r="K6978" s="9">
        <v>2.3309999999999999E-5</v>
      </c>
      <c r="L6978" s="9">
        <v>1.6482000000000001E-4</v>
      </c>
      <c r="M6978" s="9">
        <v>1.706E-4</v>
      </c>
      <c r="N6978" s="9">
        <v>1.7055E-4</v>
      </c>
      <c r="O6978" s="9">
        <v>1.7898E-4</v>
      </c>
      <c r="P6978" s="9">
        <v>1.6919999999999999E-4</v>
      </c>
      <c r="Q6978" s="9">
        <v>1.6116000000000001E-4</v>
      </c>
      <c r="R6978" s="10">
        <v>1.639116417331001E-5</v>
      </c>
      <c r="S6978" s="10">
        <v>5.4702202303021488E-5</v>
      </c>
      <c r="T6978" s="10">
        <v>6.7916816297890846E-5</v>
      </c>
      <c r="U6978" s="10">
        <v>6.9599999999999998E-5</v>
      </c>
      <c r="V6978" s="25"/>
      <c r="W6978" s="25"/>
      <c r="X6978" s="25"/>
      <c r="Y6978" s="25"/>
      <c r="Z6978" s="25"/>
      <c r="AA6978" s="25"/>
    </row>
    <row r="6979" spans="1:27" x14ac:dyDescent="0.35">
      <c r="A6979" s="5">
        <v>6975</v>
      </c>
      <c r="B6979" s="5">
        <v>291</v>
      </c>
      <c r="C6979" s="5">
        <v>10</v>
      </c>
      <c r="D6979" s="25">
        <v>1.1416E-4</v>
      </c>
      <c r="E6979" s="25">
        <v>1.1607000000000001E-4</v>
      </c>
      <c r="F6979" s="25">
        <v>9.8809999999999998E-5</v>
      </c>
      <c r="G6979" s="25">
        <v>1.6524000000000001E-4</v>
      </c>
      <c r="H6979" s="25">
        <v>1.9167000000000001E-4</v>
      </c>
      <c r="I6979" s="9">
        <v>1.2616E-4</v>
      </c>
      <c r="J6979" s="9">
        <v>1.304E-4</v>
      </c>
      <c r="K6979" s="9">
        <v>2.7549999999999999E-5</v>
      </c>
      <c r="L6979" s="9">
        <v>1.7602000000000001E-4</v>
      </c>
      <c r="M6979" s="9">
        <v>1.6919E-4</v>
      </c>
      <c r="N6979" s="9">
        <v>1.7029E-4</v>
      </c>
      <c r="O6979" s="9">
        <v>1.8247000000000001E-4</v>
      </c>
      <c r="P6979" s="9">
        <v>1.66E-4</v>
      </c>
      <c r="Q6979" s="9">
        <v>1.5142000000000001E-4</v>
      </c>
      <c r="R6979" s="10">
        <v>2.0689877379675011E-5</v>
      </c>
      <c r="S6979" s="10">
        <v>5.374380138715558E-5</v>
      </c>
      <c r="T6979" s="10">
        <v>3.1688858072782301E-5</v>
      </c>
      <c r="U6979" s="10">
        <v>6.9599999999999998E-5</v>
      </c>
      <c r="V6979" s="25"/>
      <c r="W6979" s="25"/>
      <c r="X6979" s="25"/>
      <c r="Y6979" s="25"/>
      <c r="Z6979" s="25"/>
      <c r="AA6979" s="25"/>
    </row>
    <row r="6980" spans="1:27" x14ac:dyDescent="0.35">
      <c r="A6980" s="5">
        <v>6976</v>
      </c>
      <c r="B6980" s="5">
        <v>291</v>
      </c>
      <c r="C6980" s="5">
        <v>10</v>
      </c>
      <c r="D6980" s="25">
        <v>1.1415000000000001E-4</v>
      </c>
      <c r="E6980" s="25">
        <v>1.1438E-4</v>
      </c>
      <c r="F6980" s="25">
        <v>1.0093E-4</v>
      </c>
      <c r="G6980" s="25">
        <v>1.5719E-4</v>
      </c>
      <c r="H6980" s="25">
        <v>1.9484999999999999E-4</v>
      </c>
      <c r="I6980" s="9">
        <v>1.2510000000000001E-4</v>
      </c>
      <c r="J6980" s="9">
        <v>1.3100000000000001E-4</v>
      </c>
      <c r="K6980" s="9">
        <v>4.8749999999999999E-5</v>
      </c>
      <c r="L6980" s="9">
        <v>1.8076999999999999E-4</v>
      </c>
      <c r="M6980" s="9">
        <v>1.6773999999999999E-4</v>
      </c>
      <c r="N6980" s="9">
        <v>1.6625E-4</v>
      </c>
      <c r="O6980" s="9">
        <v>1.9660000000000001E-4</v>
      </c>
      <c r="P6980" s="9">
        <v>1.5164000000000001E-4</v>
      </c>
      <c r="Q6980" s="9">
        <v>1.0917999999999999E-4</v>
      </c>
      <c r="R6980" s="10">
        <v>2.0938551445406616E-5</v>
      </c>
      <c r="S6980" s="10">
        <v>5.0312904169160857E-5</v>
      </c>
      <c r="T6980" s="10">
        <v>3.7271527045176073E-5</v>
      </c>
      <c r="U6980" s="10">
        <v>6.9599999999999998E-5</v>
      </c>
      <c r="V6980" s="25"/>
      <c r="W6980" s="25"/>
      <c r="X6980" s="25"/>
      <c r="Y6980" s="25"/>
      <c r="Z6980" s="25"/>
      <c r="AA6980" s="25"/>
    </row>
    <row r="6981" spans="1:27" x14ac:dyDescent="0.35">
      <c r="A6981" s="5">
        <v>6977</v>
      </c>
      <c r="B6981" s="5">
        <v>291</v>
      </c>
      <c r="C6981" s="5">
        <v>10</v>
      </c>
      <c r="D6981" s="25">
        <v>1.1416E-4</v>
      </c>
      <c r="E6981" s="25">
        <v>1.1598E-4</v>
      </c>
      <c r="F6981" s="25">
        <v>1.0709000000000001E-4</v>
      </c>
      <c r="G6981" s="25">
        <v>1.6660000000000001E-4</v>
      </c>
      <c r="H6981" s="25">
        <v>2.0081E-4</v>
      </c>
      <c r="I6981" s="9">
        <v>1.2522E-4</v>
      </c>
      <c r="J6981" s="9">
        <v>1.3264E-4</v>
      </c>
      <c r="K6981" s="9">
        <v>7.8410000000000003E-5</v>
      </c>
      <c r="L6981" s="9">
        <v>1.9294000000000001E-4</v>
      </c>
      <c r="M6981" s="9">
        <v>1.6165999999999999E-4</v>
      </c>
      <c r="N6981" s="9">
        <v>1.5241000000000001E-4</v>
      </c>
      <c r="O6981" s="9">
        <v>2.1288000000000001E-4</v>
      </c>
      <c r="P6981" s="9">
        <v>1.5824E-4</v>
      </c>
      <c r="Q6981" s="9">
        <v>1.0644E-4</v>
      </c>
      <c r="R6981" s="10">
        <v>1.74267922890274E-5</v>
      </c>
      <c r="S6981" s="10">
        <v>4.8306842415527006E-5</v>
      </c>
      <c r="T6981" s="10">
        <v>1.5823218288015794E-5</v>
      </c>
      <c r="U6981" s="10">
        <v>6.9599999999999998E-5</v>
      </c>
      <c r="V6981" s="25"/>
      <c r="W6981" s="25"/>
      <c r="X6981" s="25"/>
      <c r="Y6981" s="25"/>
      <c r="Z6981" s="25"/>
      <c r="AA6981" s="25"/>
    </row>
    <row r="6982" spans="1:27" x14ac:dyDescent="0.35">
      <c r="A6982" s="5">
        <v>6978</v>
      </c>
      <c r="B6982" s="5">
        <v>291</v>
      </c>
      <c r="C6982" s="5">
        <v>10</v>
      </c>
      <c r="D6982" s="25">
        <v>1.1415000000000001E-4</v>
      </c>
      <c r="E6982" s="25">
        <v>1.1068E-4</v>
      </c>
      <c r="F6982" s="25">
        <v>8.9250000000000001E-5</v>
      </c>
      <c r="G6982" s="25">
        <v>1.5631999999999999E-4</v>
      </c>
      <c r="H6982" s="25">
        <v>1.8869000000000001E-4</v>
      </c>
      <c r="I6982" s="9">
        <v>1.2803000000000001E-4</v>
      </c>
      <c r="J6982" s="9">
        <v>1.3155999999999999E-4</v>
      </c>
      <c r="K6982" s="9">
        <v>1.0173E-4</v>
      </c>
      <c r="L6982" s="9">
        <v>2.0824E-4</v>
      </c>
      <c r="M6982" s="9">
        <v>1.5877E-4</v>
      </c>
      <c r="N6982" s="9">
        <v>1.3886000000000001E-4</v>
      </c>
      <c r="O6982" s="9">
        <v>2.0589999999999999E-4</v>
      </c>
      <c r="P6982" s="9">
        <v>1.6054E-4</v>
      </c>
      <c r="Q6982" s="9">
        <v>1.1779E-4</v>
      </c>
      <c r="R6982" s="10">
        <v>1.5627589986457409E-5</v>
      </c>
      <c r="S6982" s="10">
        <v>5.1795590163815401E-5</v>
      </c>
      <c r="T6982" s="10">
        <v>0</v>
      </c>
      <c r="U6982" s="10">
        <v>6.9599999999999998E-5</v>
      </c>
      <c r="V6982" s="25"/>
      <c r="W6982" s="25"/>
      <c r="X6982" s="25"/>
      <c r="Y6982" s="25"/>
      <c r="Z6982" s="25"/>
      <c r="AA6982" s="25"/>
    </row>
    <row r="6983" spans="1:27" x14ac:dyDescent="0.35">
      <c r="A6983" s="5">
        <v>6979</v>
      </c>
      <c r="B6983" s="5">
        <v>291</v>
      </c>
      <c r="C6983" s="5">
        <v>10</v>
      </c>
      <c r="D6983" s="25">
        <v>1.1416E-4</v>
      </c>
      <c r="E6983" s="25">
        <v>1.1686E-4</v>
      </c>
      <c r="F6983" s="25">
        <v>9.1570000000000006E-5</v>
      </c>
      <c r="G6983" s="25">
        <v>1.1043E-4</v>
      </c>
      <c r="H6983" s="25">
        <v>1.3585999999999999E-4</v>
      </c>
      <c r="I6983" s="9">
        <v>1.3282999999999999E-4</v>
      </c>
      <c r="J6983" s="9">
        <v>1.3574999999999999E-4</v>
      </c>
      <c r="K6983" s="9">
        <v>9.7499999999999998E-5</v>
      </c>
      <c r="L6983" s="9">
        <v>2.0600999999999999E-4</v>
      </c>
      <c r="M6983" s="9">
        <v>1.5883999999999999E-4</v>
      </c>
      <c r="N6983" s="9">
        <v>1.2976E-4</v>
      </c>
      <c r="O6983" s="9">
        <v>1.6603000000000001E-4</v>
      </c>
      <c r="P6983" s="9">
        <v>1.3605999999999999E-4</v>
      </c>
      <c r="Q6983" s="9">
        <v>1.0799E-4</v>
      </c>
      <c r="R6983" s="10">
        <v>1.8393169118233698E-5</v>
      </c>
      <c r="S6983" s="10">
        <v>6.1050363176031329E-5</v>
      </c>
      <c r="T6983" s="10">
        <v>0</v>
      </c>
      <c r="U6983" s="10">
        <v>6.9599999999999998E-5</v>
      </c>
      <c r="V6983" s="25"/>
      <c r="W6983" s="25"/>
      <c r="X6983" s="25"/>
      <c r="Y6983" s="25"/>
      <c r="Z6983" s="25"/>
      <c r="AA6983" s="25"/>
    </row>
    <row r="6984" spans="1:27" x14ac:dyDescent="0.35">
      <c r="A6984" s="5">
        <v>6980</v>
      </c>
      <c r="B6984" s="5">
        <v>291</v>
      </c>
      <c r="C6984" s="5">
        <v>10</v>
      </c>
      <c r="D6984" s="25">
        <v>1.1415000000000001E-4</v>
      </c>
      <c r="E6984" s="25">
        <v>1.1048E-4</v>
      </c>
      <c r="F6984" s="25">
        <v>9.1260000000000004E-5</v>
      </c>
      <c r="G6984" s="25">
        <v>1.0809E-4</v>
      </c>
      <c r="H6984" s="25">
        <v>1.3638999999999999E-4</v>
      </c>
      <c r="I6984" s="9">
        <v>1.2714000000000001E-4</v>
      </c>
      <c r="J6984" s="9">
        <v>1.326E-4</v>
      </c>
      <c r="K6984" s="9">
        <v>1.1021E-4</v>
      </c>
      <c r="L6984" s="9">
        <v>1.7495999999999999E-4</v>
      </c>
      <c r="M6984" s="9">
        <v>1.5082999999999999E-4</v>
      </c>
      <c r="N6984" s="9">
        <v>1.2084E-4</v>
      </c>
      <c r="O6984" s="9">
        <v>1.2772E-4</v>
      </c>
      <c r="P6984" s="9">
        <v>1.1366000000000001E-4</v>
      </c>
      <c r="Q6984" s="9">
        <v>1.0083E-4</v>
      </c>
      <c r="R6984" s="10">
        <v>2.3163565578942138E-5</v>
      </c>
      <c r="S6984" s="10">
        <v>7.2913938250810756E-5</v>
      </c>
      <c r="T6984" s="10">
        <v>0</v>
      </c>
      <c r="U6984" s="10">
        <v>6.9599999999999998E-5</v>
      </c>
      <c r="V6984" s="25"/>
      <c r="W6984" s="25"/>
      <c r="X6984" s="25"/>
      <c r="Y6984" s="25"/>
      <c r="Z6984" s="25"/>
      <c r="AA6984" s="25"/>
    </row>
    <row r="6985" spans="1:27" x14ac:dyDescent="0.35">
      <c r="A6985" s="5">
        <v>6981</v>
      </c>
      <c r="B6985" s="5">
        <v>291</v>
      </c>
      <c r="C6985" s="5">
        <v>10</v>
      </c>
      <c r="D6985" s="25">
        <v>1.1416E-4</v>
      </c>
      <c r="E6985" s="25">
        <v>1.1315E-4</v>
      </c>
      <c r="F6985" s="25">
        <v>8.8670000000000003E-5</v>
      </c>
      <c r="G6985" s="25">
        <v>5.8539999999999999E-5</v>
      </c>
      <c r="H6985" s="25">
        <v>6.9919999999999995E-5</v>
      </c>
      <c r="I6985" s="9">
        <v>1.1913000000000001E-4</v>
      </c>
      <c r="J6985" s="9">
        <v>1.2519000000000001E-4</v>
      </c>
      <c r="K6985" s="9">
        <v>1.1869E-4</v>
      </c>
      <c r="L6985" s="9">
        <v>1.3907000000000001E-4</v>
      </c>
      <c r="M6985" s="9">
        <v>1.3519000000000001E-4</v>
      </c>
      <c r="N6985" s="9">
        <v>1.1298000000000001E-4</v>
      </c>
      <c r="O6985" s="9">
        <v>8.5370000000000004E-5</v>
      </c>
      <c r="P6985" s="9">
        <v>8.6910000000000006E-5</v>
      </c>
      <c r="Q6985" s="9">
        <v>8.8919999999999996E-5</v>
      </c>
      <c r="R6985" s="10">
        <v>2.8192267613329843E-5</v>
      </c>
      <c r="S6985" s="10">
        <v>8.5164196931890337E-5</v>
      </c>
      <c r="T6985" s="10">
        <v>0</v>
      </c>
      <c r="U6985" s="10">
        <v>6.9599999999999998E-5</v>
      </c>
      <c r="V6985" s="25"/>
      <c r="W6985" s="25"/>
      <c r="X6985" s="25"/>
      <c r="Y6985" s="25"/>
      <c r="Z6985" s="25"/>
      <c r="AA6985" s="25"/>
    </row>
    <row r="6986" spans="1:27" x14ac:dyDescent="0.35">
      <c r="A6986" s="5">
        <v>6982</v>
      </c>
      <c r="B6986" s="5">
        <v>291</v>
      </c>
      <c r="C6986" s="5">
        <v>10</v>
      </c>
      <c r="D6986" s="25">
        <v>1.1415000000000001E-4</v>
      </c>
      <c r="E6986" s="25">
        <v>1.1576E-4</v>
      </c>
      <c r="F6986" s="25">
        <v>9.5050000000000006E-5</v>
      </c>
      <c r="G6986" s="25">
        <v>5.923E-5</v>
      </c>
      <c r="H6986" s="25">
        <v>7.1810000000000005E-5</v>
      </c>
      <c r="I6986" s="9">
        <v>1.1708E-4</v>
      </c>
      <c r="J6986" s="9">
        <v>1.1649E-4</v>
      </c>
      <c r="K6986" s="9">
        <v>1.208E-4</v>
      </c>
      <c r="L6986" s="9">
        <v>9.8170000000000004E-5</v>
      </c>
      <c r="M6986" s="9">
        <v>1.1375E-4</v>
      </c>
      <c r="N6986" s="9">
        <v>1.0558E-4</v>
      </c>
      <c r="O6986" s="9">
        <v>8.7739999999999997E-5</v>
      </c>
      <c r="P6986" s="9">
        <v>8.7860000000000002E-5</v>
      </c>
      <c r="Q6986" s="9">
        <v>8.8510000000000005E-5</v>
      </c>
      <c r="R6986" s="10">
        <v>3.1725589507061844E-5</v>
      </c>
      <c r="S6986" s="10">
        <v>9.1054991551621977E-5</v>
      </c>
      <c r="T6986" s="10">
        <v>0</v>
      </c>
      <c r="U6986" s="10">
        <v>6.9599999999999998E-5</v>
      </c>
      <c r="V6986" s="25"/>
      <c r="W6986" s="25"/>
      <c r="X6986" s="25"/>
      <c r="Y6986" s="25"/>
      <c r="Z6986" s="25"/>
      <c r="AA6986" s="25"/>
    </row>
    <row r="6987" spans="1:27" x14ac:dyDescent="0.35">
      <c r="A6987" s="5">
        <v>6983</v>
      </c>
      <c r="B6987" s="5">
        <v>291</v>
      </c>
      <c r="C6987" s="5">
        <v>10</v>
      </c>
      <c r="D6987" s="25">
        <v>1.1416E-4</v>
      </c>
      <c r="E6987" s="25">
        <v>1.1509E-4</v>
      </c>
      <c r="F6987" s="25">
        <v>1.0429000000000001E-4</v>
      </c>
      <c r="G6987" s="25">
        <v>5.8319999999999997E-5</v>
      </c>
      <c r="H6987" s="25">
        <v>7.347E-5</v>
      </c>
      <c r="I6987" s="9">
        <v>1.1383999999999999E-4</v>
      </c>
      <c r="J6987" s="9">
        <v>1.0832000000000001E-4</v>
      </c>
      <c r="K6987" s="9">
        <v>1.3352000000000001E-4</v>
      </c>
      <c r="L6987" s="9">
        <v>9.0950000000000002E-5</v>
      </c>
      <c r="M6987" s="9">
        <v>9.9190000000000004E-5</v>
      </c>
      <c r="N6987" s="9">
        <v>9.9889999999999994E-5</v>
      </c>
      <c r="O6987" s="9">
        <v>7.8709999999999997E-5</v>
      </c>
      <c r="P6987" s="9">
        <v>7.2890000000000002E-5</v>
      </c>
      <c r="Q6987" s="9">
        <v>6.7589999999999995E-5</v>
      </c>
      <c r="R6987" s="10">
        <v>3.0407753203503391E-5</v>
      </c>
      <c r="S6987" s="10">
        <v>8.6467472254534006E-5</v>
      </c>
      <c r="T6987" s="10">
        <v>0</v>
      </c>
      <c r="U6987" s="10">
        <v>6.9599999999999998E-5</v>
      </c>
      <c r="V6987" s="25"/>
      <c r="W6987" s="25"/>
      <c r="X6987" s="25"/>
      <c r="Y6987" s="25"/>
      <c r="Z6987" s="25"/>
      <c r="AA6987" s="25"/>
    </row>
    <row r="6988" spans="1:27" x14ac:dyDescent="0.35">
      <c r="A6988" s="5">
        <v>6984</v>
      </c>
      <c r="B6988" s="5">
        <v>291</v>
      </c>
      <c r="C6988" s="5">
        <v>10</v>
      </c>
      <c r="D6988" s="25">
        <v>1.1415000000000001E-4</v>
      </c>
      <c r="E6988" s="25">
        <v>1.0895000000000001E-4</v>
      </c>
      <c r="F6988" s="25">
        <v>9.3770000000000005E-5</v>
      </c>
      <c r="G6988" s="25">
        <v>6.0319999999999998E-5</v>
      </c>
      <c r="H6988" s="25">
        <v>6.3410000000000004E-5</v>
      </c>
      <c r="I6988" s="9">
        <v>1.0559E-4</v>
      </c>
      <c r="J6988" s="9">
        <v>1.0059E-4</v>
      </c>
      <c r="K6988" s="9">
        <v>1.5046999999999999E-4</v>
      </c>
      <c r="L6988" s="9">
        <v>8.1379999999999997E-5</v>
      </c>
      <c r="M6988" s="9">
        <v>8.653E-5</v>
      </c>
      <c r="N6988" s="9">
        <v>9.0790000000000003E-5</v>
      </c>
      <c r="O6988" s="9">
        <v>6.2550000000000003E-5</v>
      </c>
      <c r="P6988" s="9">
        <v>6.0460000000000001E-5</v>
      </c>
      <c r="Q6988" s="9">
        <v>5.8659999999999997E-5</v>
      </c>
      <c r="R6988" s="10">
        <v>2.2198753847878062E-5</v>
      </c>
      <c r="S6988" s="10">
        <v>6.8296446615008768E-5</v>
      </c>
      <c r="T6988" s="10">
        <v>0</v>
      </c>
      <c r="U6988" s="10">
        <v>6.9599999999999998E-5</v>
      </c>
      <c r="V6988" s="25"/>
      <c r="W6988" s="25"/>
      <c r="X6988" s="25"/>
      <c r="Y6988" s="25"/>
      <c r="Z6988" s="25"/>
      <c r="AA6988" s="25"/>
    </row>
    <row r="6989" spans="1:27" x14ac:dyDescent="0.35">
      <c r="A6989" s="5">
        <v>6985</v>
      </c>
      <c r="B6989" s="5">
        <v>292</v>
      </c>
      <c r="C6989" s="5">
        <v>10</v>
      </c>
      <c r="D6989" s="25">
        <v>1.1416E-4</v>
      </c>
      <c r="E6989" s="25">
        <v>1.1259E-4</v>
      </c>
      <c r="F6989" s="25">
        <v>1.2674E-4</v>
      </c>
      <c r="G6989" s="25">
        <v>5.7450000000000001E-5</v>
      </c>
      <c r="H6989" s="25">
        <v>7.1829999999999995E-5</v>
      </c>
      <c r="I6989" s="9">
        <v>9.8809999999999998E-5</v>
      </c>
      <c r="J6989" s="9">
        <v>9.5119999999999997E-5</v>
      </c>
      <c r="K6989" s="9">
        <v>1.4200000000000001E-4</v>
      </c>
      <c r="L6989" s="9">
        <v>6.669E-5</v>
      </c>
      <c r="M6989" s="9">
        <v>7.4239999999999994E-5</v>
      </c>
      <c r="N6989" s="9">
        <v>8.1320000000000001E-5</v>
      </c>
      <c r="O6989" s="9">
        <v>5.4169999999999998E-5</v>
      </c>
      <c r="P6989" s="9">
        <v>5.359E-5</v>
      </c>
      <c r="Q6989" s="9">
        <v>5.3170000000000001E-5</v>
      </c>
      <c r="R6989" s="10">
        <v>2.1720550175810026E-5</v>
      </c>
      <c r="S6989" s="10">
        <v>5.9760415903294352E-5</v>
      </c>
      <c r="T6989" s="10">
        <v>0</v>
      </c>
      <c r="U6989" s="10">
        <v>6.9079999999999996E-5</v>
      </c>
      <c r="V6989" s="25"/>
      <c r="W6989" s="25"/>
      <c r="X6989" s="25"/>
      <c r="Y6989" s="25"/>
      <c r="Z6989" s="25"/>
      <c r="AA6989" s="25"/>
    </row>
    <row r="6990" spans="1:27" x14ac:dyDescent="0.35">
      <c r="A6990" s="5">
        <v>6986</v>
      </c>
      <c r="B6990" s="5">
        <v>292</v>
      </c>
      <c r="C6990" s="5">
        <v>10</v>
      </c>
      <c r="D6990" s="25">
        <v>1.1415000000000001E-4</v>
      </c>
      <c r="E6990" s="25">
        <v>1.0967E-4</v>
      </c>
      <c r="F6990" s="25">
        <v>1.2404000000000001E-4</v>
      </c>
      <c r="G6990" s="25">
        <v>5.8980000000000001E-5</v>
      </c>
      <c r="H6990" s="25">
        <v>6.5079999999999994E-5</v>
      </c>
      <c r="I6990" s="9">
        <v>9.6189999999999999E-5</v>
      </c>
      <c r="J6990" s="9">
        <v>9.2659999999999997E-5</v>
      </c>
      <c r="K6990" s="9">
        <v>1.5259E-4</v>
      </c>
      <c r="L6990" s="9">
        <v>5.732E-5</v>
      </c>
      <c r="M6990" s="9">
        <v>6.3869999999999997E-5</v>
      </c>
      <c r="N6990" s="9">
        <v>7.216E-5</v>
      </c>
      <c r="O6990" s="9">
        <v>1.8749999999999998E-5</v>
      </c>
      <c r="P6990" s="9">
        <v>3.7719999999999998E-5</v>
      </c>
      <c r="Q6990" s="9">
        <v>5.6140000000000001E-5</v>
      </c>
      <c r="R6990" s="10">
        <v>2.7411797278358434E-5</v>
      </c>
      <c r="S6990" s="10">
        <v>5.5369221697816556E-5</v>
      </c>
      <c r="T6990" s="10">
        <v>0</v>
      </c>
      <c r="U6990" s="10">
        <v>6.9079999999999996E-5</v>
      </c>
      <c r="V6990" s="25"/>
      <c r="W6990" s="25"/>
      <c r="X6990" s="25"/>
      <c r="Y6990" s="25"/>
      <c r="Z6990" s="25"/>
      <c r="AA6990" s="25"/>
    </row>
    <row r="6991" spans="1:27" x14ac:dyDescent="0.35">
      <c r="A6991" s="5">
        <v>6987</v>
      </c>
      <c r="B6991" s="5">
        <v>292</v>
      </c>
      <c r="C6991" s="5">
        <v>10</v>
      </c>
      <c r="D6991" s="25">
        <v>1.1416E-4</v>
      </c>
      <c r="E6991" s="25">
        <v>1.1184E-4</v>
      </c>
      <c r="F6991" s="25">
        <v>1.3161999999999999E-4</v>
      </c>
      <c r="G6991" s="25">
        <v>5.9240000000000002E-5</v>
      </c>
      <c r="H6991" s="25">
        <v>7.4369999999999994E-5</v>
      </c>
      <c r="I6991" s="9">
        <v>9.4809999999999995E-5</v>
      </c>
      <c r="J6991" s="9">
        <v>9.1829999999999993E-5</v>
      </c>
      <c r="K6991" s="9">
        <v>1.4836E-4</v>
      </c>
      <c r="L6991" s="9">
        <v>2.745E-5</v>
      </c>
      <c r="M6991" s="9">
        <v>5.2089999999999998E-5</v>
      </c>
      <c r="N6991" s="9">
        <v>6.5539999999999999E-5</v>
      </c>
      <c r="O6991" s="9">
        <v>1.3159999999999999E-5</v>
      </c>
      <c r="P6991" s="9">
        <v>3.7450000000000002E-5</v>
      </c>
      <c r="Q6991" s="9">
        <v>6.1050000000000007E-5</v>
      </c>
      <c r="R6991" s="10">
        <v>3.318203666110931E-5</v>
      </c>
      <c r="S6991" s="10">
        <v>5.4428855055700196E-5</v>
      </c>
      <c r="T6991" s="10">
        <v>0</v>
      </c>
      <c r="U6991" s="10">
        <v>6.9079999999999996E-5</v>
      </c>
      <c r="V6991" s="25"/>
      <c r="W6991" s="25"/>
      <c r="X6991" s="25"/>
      <c r="Y6991" s="25"/>
      <c r="Z6991" s="25"/>
      <c r="AA6991" s="25"/>
    </row>
    <row r="6992" spans="1:27" x14ac:dyDescent="0.35">
      <c r="A6992" s="5">
        <v>6988</v>
      </c>
      <c r="B6992" s="5">
        <v>292</v>
      </c>
      <c r="C6992" s="5">
        <v>10</v>
      </c>
      <c r="D6992" s="25">
        <v>1.1415000000000001E-4</v>
      </c>
      <c r="E6992" s="25">
        <v>1.089E-4</v>
      </c>
      <c r="F6992" s="25">
        <v>1.2913000000000001E-4</v>
      </c>
      <c r="G6992" s="25">
        <v>5.7410000000000001E-5</v>
      </c>
      <c r="H6992" s="25">
        <v>6.8209999999999999E-5</v>
      </c>
      <c r="I6992" s="9">
        <v>9.679E-5</v>
      </c>
      <c r="J6992" s="9">
        <v>9.1860000000000005E-5</v>
      </c>
      <c r="K6992" s="9">
        <v>1.4835E-4</v>
      </c>
      <c r="L6992" s="9">
        <v>1.7030000000000001E-5</v>
      </c>
      <c r="M6992" s="9">
        <v>4.4020000000000002E-5</v>
      </c>
      <c r="N6992" s="9">
        <v>6.1799999999999998E-5</v>
      </c>
      <c r="O6992" s="9">
        <v>1.326E-5</v>
      </c>
      <c r="P6992" s="9">
        <v>4.7200000000000002E-5</v>
      </c>
      <c r="Q6992" s="9">
        <v>8.0279999999999997E-5</v>
      </c>
      <c r="R6992" s="10">
        <v>3.7169730897114888E-5</v>
      </c>
      <c r="S6992" s="10">
        <v>5.5171122304281819E-5</v>
      </c>
      <c r="T6992" s="10">
        <v>0</v>
      </c>
      <c r="U6992" s="10">
        <v>6.9079999999999996E-5</v>
      </c>
      <c r="V6992" s="25"/>
      <c r="W6992" s="25"/>
      <c r="X6992" s="25"/>
      <c r="Y6992" s="25"/>
      <c r="Z6992" s="25"/>
      <c r="AA6992" s="25"/>
    </row>
    <row r="6993" spans="1:27" x14ac:dyDescent="0.35">
      <c r="A6993" s="5">
        <v>6989</v>
      </c>
      <c r="B6993" s="5">
        <v>292</v>
      </c>
      <c r="C6993" s="5">
        <v>10</v>
      </c>
      <c r="D6993" s="25">
        <v>1.1416E-4</v>
      </c>
      <c r="E6993" s="25">
        <v>1.048E-4</v>
      </c>
      <c r="F6993" s="25">
        <v>1.1498E-4</v>
      </c>
      <c r="G6993" s="25">
        <v>5.9209999999999997E-5</v>
      </c>
      <c r="H6993" s="25">
        <v>6.5759999999999994E-5</v>
      </c>
      <c r="I6993" s="9">
        <v>1.0305E-4</v>
      </c>
      <c r="J6993" s="9">
        <v>9.4209999999999994E-5</v>
      </c>
      <c r="K6993" s="9">
        <v>1.4412E-4</v>
      </c>
      <c r="L6993" s="9">
        <v>1.434E-5</v>
      </c>
      <c r="M6993" s="9">
        <v>4.3350000000000003E-5</v>
      </c>
      <c r="N6993" s="9">
        <v>6.4289999999999996E-5</v>
      </c>
      <c r="O6993" s="9">
        <v>1.8689999999999999E-5</v>
      </c>
      <c r="P6993" s="9">
        <v>5.6419999999999999E-5</v>
      </c>
      <c r="Q6993" s="9">
        <v>9.3289999999999996E-5</v>
      </c>
      <c r="R6993" s="10">
        <v>3.6463026884511022E-5</v>
      </c>
      <c r="S6993" s="10">
        <v>5.4508391117708357E-5</v>
      </c>
      <c r="T6993" s="10">
        <v>0</v>
      </c>
      <c r="U6993" s="10">
        <v>6.9079999999999996E-5</v>
      </c>
      <c r="V6993" s="25"/>
      <c r="W6993" s="25"/>
      <c r="X6993" s="25"/>
      <c r="Y6993" s="25"/>
      <c r="Z6993" s="25"/>
      <c r="AA6993" s="25"/>
    </row>
    <row r="6994" spans="1:27" x14ac:dyDescent="0.35">
      <c r="A6994" s="5">
        <v>6990</v>
      </c>
      <c r="B6994" s="5">
        <v>292</v>
      </c>
      <c r="C6994" s="5">
        <v>10</v>
      </c>
      <c r="D6994" s="25">
        <v>1.1415000000000001E-4</v>
      </c>
      <c r="E6994" s="25">
        <v>1.1008E-4</v>
      </c>
      <c r="F6994" s="25">
        <v>1.2889999999999999E-4</v>
      </c>
      <c r="G6994" s="25">
        <v>1.1386E-4</v>
      </c>
      <c r="H6994" s="25">
        <v>1.3135999999999999E-4</v>
      </c>
      <c r="I6994" s="9">
        <v>1.1621E-4</v>
      </c>
      <c r="J6994" s="9">
        <v>1.0313E-4</v>
      </c>
      <c r="K6994" s="9">
        <v>1.4200000000000001E-4</v>
      </c>
      <c r="L6994" s="9">
        <v>1.7600000000000001E-5</v>
      </c>
      <c r="M6994" s="9">
        <v>4.8229999999999997E-5</v>
      </c>
      <c r="N6994" s="9">
        <v>7.0779999999999997E-5</v>
      </c>
      <c r="O6994" s="9">
        <v>4.6659999999999997E-5</v>
      </c>
      <c r="P6994" s="9">
        <v>7.75E-5</v>
      </c>
      <c r="Q6994" s="9">
        <v>1.0792E-4</v>
      </c>
      <c r="R6994" s="10">
        <v>3.5211939009875741E-5</v>
      </c>
      <c r="S6994" s="10">
        <v>5.5653609867323164E-5</v>
      </c>
      <c r="T6994" s="10">
        <v>0</v>
      </c>
      <c r="U6994" s="10">
        <v>6.9079999999999996E-5</v>
      </c>
      <c r="V6994" s="25"/>
      <c r="W6994" s="25"/>
      <c r="X6994" s="25"/>
      <c r="Y6994" s="25"/>
      <c r="Z6994" s="25"/>
      <c r="AA6994" s="25"/>
    </row>
    <row r="6995" spans="1:27" x14ac:dyDescent="0.35">
      <c r="A6995" s="5">
        <v>6991</v>
      </c>
      <c r="B6995" s="5">
        <v>292</v>
      </c>
      <c r="C6995" s="5">
        <v>10</v>
      </c>
      <c r="D6995" s="25">
        <v>1.1416E-4</v>
      </c>
      <c r="E6995" s="25">
        <v>1.0608E-4</v>
      </c>
      <c r="F6995" s="25">
        <v>1.271E-4</v>
      </c>
      <c r="G6995" s="25">
        <v>1.0734E-4</v>
      </c>
      <c r="H6995" s="25">
        <v>1.3059000000000001E-4</v>
      </c>
      <c r="I6995" s="9">
        <v>1.2901000000000001E-4</v>
      </c>
      <c r="J6995" s="9">
        <v>1.1933E-4</v>
      </c>
      <c r="K6995" s="9">
        <v>1.2505E-4</v>
      </c>
      <c r="L6995" s="9">
        <v>4.0120000000000002E-5</v>
      </c>
      <c r="M6995" s="9">
        <v>6.0149999999999998E-5</v>
      </c>
      <c r="N6995" s="9">
        <v>8.072E-5</v>
      </c>
      <c r="O6995" s="9">
        <v>1.2397999999999999E-4</v>
      </c>
      <c r="P6995" s="9">
        <v>1.1797E-4</v>
      </c>
      <c r="Q6995" s="9">
        <v>1.1301E-4</v>
      </c>
      <c r="R6995" s="10">
        <v>3.171735894298892E-5</v>
      </c>
      <c r="S6995" s="10">
        <v>5.5790757111660047E-5</v>
      </c>
      <c r="T6995" s="10">
        <v>0</v>
      </c>
      <c r="U6995" s="10">
        <v>6.9079999999999996E-5</v>
      </c>
      <c r="V6995" s="25"/>
      <c r="W6995" s="25"/>
      <c r="X6995" s="25"/>
      <c r="Y6995" s="25"/>
      <c r="Z6995" s="25"/>
      <c r="AA6995" s="25"/>
    </row>
    <row r="6996" spans="1:27" x14ac:dyDescent="0.35">
      <c r="A6996" s="5">
        <v>6992</v>
      </c>
      <c r="B6996" s="5">
        <v>292</v>
      </c>
      <c r="C6996" s="5">
        <v>10</v>
      </c>
      <c r="D6996" s="25">
        <v>1.1415000000000001E-4</v>
      </c>
      <c r="E6996" s="25">
        <v>1.1456E-4</v>
      </c>
      <c r="F6996" s="25">
        <v>1.3376999999999999E-4</v>
      </c>
      <c r="G6996" s="25">
        <v>1.617E-4</v>
      </c>
      <c r="H6996" s="25">
        <v>1.9298000000000001E-4</v>
      </c>
      <c r="I6996" s="9">
        <v>1.3034E-4</v>
      </c>
      <c r="J6996" s="9">
        <v>1.3165E-4</v>
      </c>
      <c r="K6996" s="9">
        <v>1.1233E-4</v>
      </c>
      <c r="L6996" s="9">
        <v>1.049E-4</v>
      </c>
      <c r="M6996" s="9">
        <v>8.4040000000000002E-5</v>
      </c>
      <c r="N6996" s="9">
        <v>9.0970000000000005E-5</v>
      </c>
      <c r="O6996" s="9">
        <v>2.2085E-4</v>
      </c>
      <c r="P6996" s="9">
        <v>1.7768999999999999E-4</v>
      </c>
      <c r="Q6996" s="9">
        <v>1.3726E-4</v>
      </c>
      <c r="R6996" s="10">
        <v>2.7782394094843608E-5</v>
      </c>
      <c r="S6996" s="10">
        <v>6.073680605115375E-5</v>
      </c>
      <c r="T6996" s="10">
        <v>3.0178652788456931E-5</v>
      </c>
      <c r="U6996" s="10">
        <v>6.9079999999999996E-5</v>
      </c>
      <c r="V6996" s="25"/>
      <c r="W6996" s="25"/>
      <c r="X6996" s="25"/>
      <c r="Y6996" s="25"/>
      <c r="Z6996" s="25"/>
      <c r="AA6996" s="25"/>
    </row>
    <row r="6997" spans="1:27" x14ac:dyDescent="0.35">
      <c r="A6997" s="5">
        <v>6993</v>
      </c>
      <c r="B6997" s="5">
        <v>292</v>
      </c>
      <c r="C6997" s="5">
        <v>10</v>
      </c>
      <c r="D6997" s="25">
        <v>1.1416E-4</v>
      </c>
      <c r="E6997" s="25">
        <v>1.0774E-4</v>
      </c>
      <c r="F6997" s="25">
        <v>1.2704E-4</v>
      </c>
      <c r="G6997" s="25">
        <v>1.6673999999999999E-4</v>
      </c>
      <c r="H6997" s="25">
        <v>1.9473E-4</v>
      </c>
      <c r="I6997" s="9">
        <v>1.3085000000000001E-4</v>
      </c>
      <c r="J6997" s="9">
        <v>1.3522999999999999E-4</v>
      </c>
      <c r="K6997" s="9">
        <v>1.208E-4</v>
      </c>
      <c r="L6997" s="9">
        <v>1.9357000000000001E-4</v>
      </c>
      <c r="M6997" s="9">
        <v>1.2392999999999999E-4</v>
      </c>
      <c r="N6997" s="9">
        <v>1.0487E-4</v>
      </c>
      <c r="O6997" s="9">
        <v>2.1066999999999999E-4</v>
      </c>
      <c r="P6997" s="9">
        <v>1.9225000000000001E-4</v>
      </c>
      <c r="Q6997" s="9">
        <v>1.7605999999999999E-4</v>
      </c>
      <c r="R6997" s="10">
        <v>1.987462869492554E-5</v>
      </c>
      <c r="S6997" s="10">
        <v>6.121518934253868E-5</v>
      </c>
      <c r="T6997" s="10">
        <v>5.4935838292172801E-5</v>
      </c>
      <c r="U6997" s="10">
        <v>6.9079999999999996E-5</v>
      </c>
      <c r="V6997" s="25"/>
      <c r="W6997" s="25"/>
      <c r="X6997" s="25"/>
      <c r="Y6997" s="25"/>
      <c r="Z6997" s="25"/>
      <c r="AA6997" s="25"/>
    </row>
    <row r="6998" spans="1:27" x14ac:dyDescent="0.35">
      <c r="A6998" s="5">
        <v>6994</v>
      </c>
      <c r="B6998" s="5">
        <v>292</v>
      </c>
      <c r="C6998" s="5">
        <v>10</v>
      </c>
      <c r="D6998" s="25">
        <v>1.1415000000000001E-4</v>
      </c>
      <c r="E6998" s="25">
        <v>1.0772000000000001E-4</v>
      </c>
      <c r="F6998" s="25">
        <v>1.3092E-4</v>
      </c>
      <c r="G6998" s="25">
        <v>1.5616999999999999E-4</v>
      </c>
      <c r="H6998" s="25">
        <v>1.9097E-4</v>
      </c>
      <c r="I6998" s="9">
        <v>1.3176999999999999E-4</v>
      </c>
      <c r="J6998" s="9">
        <v>1.3517999999999999E-4</v>
      </c>
      <c r="K6998" s="9">
        <v>1.2928000000000001E-4</v>
      </c>
      <c r="L6998" s="9">
        <v>2.0458E-4</v>
      </c>
      <c r="M6998" s="9">
        <v>1.5862E-4</v>
      </c>
      <c r="N6998" s="9">
        <v>1.247E-4</v>
      </c>
      <c r="O6998" s="9">
        <v>1.6692000000000001E-4</v>
      </c>
      <c r="P6998" s="9">
        <v>1.7354999999999999E-4</v>
      </c>
      <c r="Q6998" s="9">
        <v>1.8153000000000001E-4</v>
      </c>
      <c r="R6998" s="10">
        <v>1.295955004065655E-5</v>
      </c>
      <c r="S6998" s="10">
        <v>5.7496932013769811E-5</v>
      </c>
      <c r="T6998" s="10">
        <v>2.8710869000882278E-5</v>
      </c>
      <c r="U6998" s="10">
        <v>6.9079999999999996E-5</v>
      </c>
      <c r="V6998" s="25"/>
      <c r="W6998" s="25"/>
      <c r="X6998" s="25"/>
      <c r="Y6998" s="25"/>
      <c r="Z6998" s="25"/>
      <c r="AA6998" s="25"/>
    </row>
    <row r="6999" spans="1:27" x14ac:dyDescent="0.35">
      <c r="A6999" s="5">
        <v>6995</v>
      </c>
      <c r="B6999" s="5">
        <v>292</v>
      </c>
      <c r="C6999" s="5">
        <v>10</v>
      </c>
      <c r="D6999" s="25">
        <v>1.1416E-4</v>
      </c>
      <c r="E6999" s="25">
        <v>1.1183000000000001E-4</v>
      </c>
      <c r="F6999" s="25">
        <v>1.2746E-4</v>
      </c>
      <c r="G6999" s="25">
        <v>1.6089000000000001E-4</v>
      </c>
      <c r="H6999" s="25">
        <v>1.9869000000000001E-4</v>
      </c>
      <c r="I6999" s="9">
        <v>1.3255999999999999E-4</v>
      </c>
      <c r="J6999" s="9">
        <v>1.3530000000000001E-4</v>
      </c>
      <c r="K6999" s="9">
        <v>1.2504000000000001E-4</v>
      </c>
      <c r="L6999" s="9">
        <v>1.7532E-4</v>
      </c>
      <c r="M6999" s="9">
        <v>1.7201E-4</v>
      </c>
      <c r="N6999" s="9">
        <v>1.4264E-4</v>
      </c>
      <c r="O6999" s="9">
        <v>1.6626E-4</v>
      </c>
      <c r="P6999" s="9">
        <v>1.7154E-4</v>
      </c>
      <c r="Q6999" s="9">
        <v>1.7815999999999999E-4</v>
      </c>
      <c r="R6999" s="10">
        <v>6.6587038365339207E-6</v>
      </c>
      <c r="S6999" s="10">
        <v>5.1043138481622395E-5</v>
      </c>
      <c r="T6999" s="10">
        <v>4.8224757506210066E-5</v>
      </c>
      <c r="U6999" s="10">
        <v>6.9079999999999996E-5</v>
      </c>
      <c r="V6999" s="25"/>
      <c r="W6999" s="25"/>
      <c r="X6999" s="25"/>
      <c r="Y6999" s="25"/>
      <c r="Z6999" s="25"/>
      <c r="AA6999" s="25"/>
    </row>
    <row r="7000" spans="1:27" x14ac:dyDescent="0.35">
      <c r="A7000" s="5">
        <v>6996</v>
      </c>
      <c r="B7000" s="5">
        <v>292</v>
      </c>
      <c r="C7000" s="5">
        <v>10</v>
      </c>
      <c r="D7000" s="25">
        <v>1.1415000000000001E-4</v>
      </c>
      <c r="E7000" s="25">
        <v>1.1202E-4</v>
      </c>
      <c r="F7000" s="25">
        <v>1.1564E-4</v>
      </c>
      <c r="G7000" s="25">
        <v>1.5694999999999999E-4</v>
      </c>
      <c r="H7000" s="25">
        <v>1.9602000000000001E-4</v>
      </c>
      <c r="I7000" s="9">
        <v>1.2955E-4</v>
      </c>
      <c r="J7000" s="9">
        <v>1.3595E-4</v>
      </c>
      <c r="K7000" s="9">
        <v>1.0808E-4</v>
      </c>
      <c r="L7000" s="9">
        <v>1.6966999999999999E-4</v>
      </c>
      <c r="M7000" s="9">
        <v>1.7407999999999999E-4</v>
      </c>
      <c r="N7000" s="9">
        <v>1.5637E-4</v>
      </c>
      <c r="O7000" s="9">
        <v>1.7017000000000001E-4</v>
      </c>
      <c r="P7000" s="9">
        <v>1.7137000000000001E-4</v>
      </c>
      <c r="Q7000" s="9">
        <v>1.7404000000000001E-4</v>
      </c>
      <c r="R7000" s="10">
        <v>1.4194036502805524E-5</v>
      </c>
      <c r="S7000" s="10">
        <v>4.7830384870459492E-5</v>
      </c>
      <c r="T7000" s="10">
        <v>4.9658604096384147E-5</v>
      </c>
      <c r="U7000" s="10">
        <v>6.9079999999999996E-5</v>
      </c>
      <c r="V7000" s="25"/>
      <c r="W7000" s="25"/>
      <c r="X7000" s="25"/>
      <c r="Y7000" s="25"/>
      <c r="Z7000" s="25"/>
      <c r="AA7000" s="25"/>
    </row>
    <row r="7001" spans="1:27" x14ac:dyDescent="0.35">
      <c r="A7001" s="5">
        <v>6997</v>
      </c>
      <c r="B7001" s="5">
        <v>292</v>
      </c>
      <c r="C7001" s="5">
        <v>10</v>
      </c>
      <c r="D7001" s="25">
        <v>1.1416E-4</v>
      </c>
      <c r="E7001" s="25">
        <v>1.1120000000000001E-4</v>
      </c>
      <c r="F7001" s="25">
        <v>1.2531E-4</v>
      </c>
      <c r="G7001" s="25">
        <v>1.618E-4</v>
      </c>
      <c r="H7001" s="25">
        <v>1.9739000000000001E-4</v>
      </c>
      <c r="I7001" s="9">
        <v>1.3027000000000001E-4</v>
      </c>
      <c r="J7001" s="9">
        <v>1.3669999999999999E-4</v>
      </c>
      <c r="K7001" s="9">
        <v>9.5370000000000003E-5</v>
      </c>
      <c r="L7001" s="9">
        <v>1.7023E-4</v>
      </c>
      <c r="M7001" s="9">
        <v>1.7317E-4</v>
      </c>
      <c r="N7001" s="9">
        <v>1.6579E-4</v>
      </c>
      <c r="O7001" s="9">
        <v>1.6243E-4</v>
      </c>
      <c r="P7001" s="9">
        <v>1.6448E-4</v>
      </c>
      <c r="Q7001" s="9">
        <v>1.6788999999999999E-4</v>
      </c>
      <c r="R7001" s="10">
        <v>1.0127074978488135E-5</v>
      </c>
      <c r="S7001" s="10">
        <v>4.3506011802363638E-5</v>
      </c>
      <c r="T7001" s="10">
        <v>4.1165820446891493E-5</v>
      </c>
      <c r="U7001" s="10">
        <v>6.9079999999999996E-5</v>
      </c>
      <c r="V7001" s="25"/>
      <c r="W7001" s="25"/>
      <c r="X7001" s="25"/>
      <c r="Y7001" s="25"/>
      <c r="Z7001" s="25"/>
      <c r="AA7001" s="25"/>
    </row>
    <row r="7002" spans="1:27" x14ac:dyDescent="0.35">
      <c r="A7002" s="5">
        <v>6998</v>
      </c>
      <c r="B7002" s="5">
        <v>292</v>
      </c>
      <c r="C7002" s="5">
        <v>10</v>
      </c>
      <c r="D7002" s="25">
        <v>1.1415000000000001E-4</v>
      </c>
      <c r="E7002" s="25">
        <v>1.1215E-4</v>
      </c>
      <c r="F7002" s="25">
        <v>1.1683E-4</v>
      </c>
      <c r="G7002" s="25">
        <v>1.5906000000000001E-4</v>
      </c>
      <c r="H7002" s="25">
        <v>1.9050999999999999E-4</v>
      </c>
      <c r="I7002" s="9">
        <v>1.3001000000000001E-4</v>
      </c>
      <c r="J7002" s="9">
        <v>1.3783E-4</v>
      </c>
      <c r="K7002" s="9">
        <v>7.2059999999999998E-5</v>
      </c>
      <c r="L7002" s="9">
        <v>1.6386999999999999E-4</v>
      </c>
      <c r="M7002" s="9">
        <v>1.6979000000000001E-4</v>
      </c>
      <c r="N7002" s="9">
        <v>1.7021000000000001E-4</v>
      </c>
      <c r="O7002" s="9">
        <v>1.7902E-4</v>
      </c>
      <c r="P7002" s="9">
        <v>1.6924E-4</v>
      </c>
      <c r="Q7002" s="9">
        <v>1.6119999999999999E-4</v>
      </c>
      <c r="R7002" s="10">
        <v>1.0160107516533629E-5</v>
      </c>
      <c r="S7002" s="10">
        <v>3.7562999081397457E-5</v>
      </c>
      <c r="T7002" s="10">
        <v>5.7854437268621823E-5</v>
      </c>
      <c r="U7002" s="10">
        <v>6.9079999999999996E-5</v>
      </c>
      <c r="V7002" s="25"/>
      <c r="W7002" s="25"/>
      <c r="X7002" s="25"/>
      <c r="Y7002" s="25"/>
      <c r="Z7002" s="25"/>
      <c r="AA7002" s="25"/>
    </row>
    <row r="7003" spans="1:27" x14ac:dyDescent="0.35">
      <c r="A7003" s="5">
        <v>6999</v>
      </c>
      <c r="B7003" s="5">
        <v>292</v>
      </c>
      <c r="C7003" s="5">
        <v>10</v>
      </c>
      <c r="D7003" s="25">
        <v>1.1416E-4</v>
      </c>
      <c r="E7003" s="25">
        <v>1.1233E-4</v>
      </c>
      <c r="F7003" s="25">
        <v>1.1510000000000001E-4</v>
      </c>
      <c r="G7003" s="25">
        <v>1.6516999999999999E-4</v>
      </c>
      <c r="H7003" s="25">
        <v>2.0060999999999999E-4</v>
      </c>
      <c r="I7003" s="9">
        <v>1.3012000000000001E-4</v>
      </c>
      <c r="J7003" s="9">
        <v>1.3757E-4</v>
      </c>
      <c r="K7003" s="9">
        <v>5.5109999999999999E-5</v>
      </c>
      <c r="L7003" s="9">
        <v>1.7584E-4</v>
      </c>
      <c r="M7003" s="9">
        <v>1.6861999999999999E-4</v>
      </c>
      <c r="N7003" s="9">
        <v>1.6988999999999999E-4</v>
      </c>
      <c r="O7003" s="9">
        <v>1.8257000000000001E-4</v>
      </c>
      <c r="P7003" s="9">
        <v>1.6609E-4</v>
      </c>
      <c r="Q7003" s="9">
        <v>1.515E-4</v>
      </c>
      <c r="R7003" s="10">
        <v>8.6731467120422424E-6</v>
      </c>
      <c r="S7003" s="10">
        <v>3.2522309815700423E-5</v>
      </c>
      <c r="T7003" s="10">
        <v>3.4318990871326483E-5</v>
      </c>
      <c r="U7003" s="10">
        <v>6.9079999999999996E-5</v>
      </c>
      <c r="V7003" s="25"/>
      <c r="W7003" s="25"/>
      <c r="X7003" s="25"/>
      <c r="Y7003" s="25"/>
      <c r="Z7003" s="25"/>
      <c r="AA7003" s="25"/>
    </row>
    <row r="7004" spans="1:27" x14ac:dyDescent="0.35">
      <c r="A7004" s="5">
        <v>7000</v>
      </c>
      <c r="B7004" s="5">
        <v>292</v>
      </c>
      <c r="C7004" s="5">
        <v>10</v>
      </c>
      <c r="D7004" s="25">
        <v>1.1415000000000001E-4</v>
      </c>
      <c r="E7004" s="25">
        <v>1.0776E-4</v>
      </c>
      <c r="F7004" s="25">
        <v>1.119E-4</v>
      </c>
      <c r="G7004" s="25">
        <v>1.6451000000000001E-4</v>
      </c>
      <c r="H7004" s="25">
        <v>1.9091999999999999E-4</v>
      </c>
      <c r="I7004" s="9">
        <v>1.3007000000000001E-4</v>
      </c>
      <c r="J7004" s="9">
        <v>1.3862999999999999E-4</v>
      </c>
      <c r="K7004" s="9">
        <v>5.7229999999999999E-5</v>
      </c>
      <c r="L7004" s="9">
        <v>1.8077999999999999E-4</v>
      </c>
      <c r="M7004" s="9">
        <v>1.6749000000000001E-4</v>
      </c>
      <c r="N7004" s="9">
        <v>1.6584999999999999E-4</v>
      </c>
      <c r="O7004" s="9">
        <v>1.9667999999999999E-4</v>
      </c>
      <c r="P7004" s="9">
        <v>1.517E-4</v>
      </c>
      <c r="Q7004" s="9">
        <v>1.0922E-4</v>
      </c>
      <c r="R7004" s="10">
        <v>9.6151935275902479E-6</v>
      </c>
      <c r="S7004" s="10">
        <v>3.1449803908345996E-5</v>
      </c>
      <c r="T7004" s="10">
        <v>4.9964038872989278E-5</v>
      </c>
      <c r="U7004" s="10">
        <v>6.9079999999999996E-5</v>
      </c>
      <c r="V7004" s="25"/>
      <c r="W7004" s="25"/>
      <c r="X7004" s="25"/>
      <c r="Y7004" s="25"/>
      <c r="Z7004" s="25"/>
      <c r="AA7004" s="25"/>
    </row>
    <row r="7005" spans="1:27" x14ac:dyDescent="0.35">
      <c r="A7005" s="5">
        <v>7001</v>
      </c>
      <c r="B7005" s="5">
        <v>292</v>
      </c>
      <c r="C7005" s="5">
        <v>10</v>
      </c>
      <c r="D7005" s="25">
        <v>1.1416E-4</v>
      </c>
      <c r="E7005" s="25">
        <v>1.1058E-4</v>
      </c>
      <c r="F7005" s="25">
        <v>1.2855000000000001E-4</v>
      </c>
      <c r="G7005" s="25">
        <v>1.6574999999999999E-4</v>
      </c>
      <c r="H7005" s="25">
        <v>1.9290999999999999E-4</v>
      </c>
      <c r="I7005" s="9">
        <v>1.3239E-4</v>
      </c>
      <c r="J7005" s="9">
        <v>1.3871000000000001E-4</v>
      </c>
      <c r="K7005" s="9">
        <v>7.8410000000000003E-5</v>
      </c>
      <c r="L7005" s="9">
        <v>1.9299000000000001E-4</v>
      </c>
      <c r="M7005" s="9">
        <v>1.6159E-4</v>
      </c>
      <c r="N7005" s="9">
        <v>1.5211000000000001E-4</v>
      </c>
      <c r="O7005" s="9">
        <v>2.1406999999999999E-4</v>
      </c>
      <c r="P7005" s="9">
        <v>1.5913E-4</v>
      </c>
      <c r="Q7005" s="9">
        <v>1.0704000000000001E-4</v>
      </c>
      <c r="R7005" s="10">
        <v>9.8807891797200002E-6</v>
      </c>
      <c r="S7005" s="10">
        <v>3.2270403285484388E-5</v>
      </c>
      <c r="T7005" s="10">
        <v>6.7280493846630152E-6</v>
      </c>
      <c r="U7005" s="10">
        <v>6.9079999999999996E-5</v>
      </c>
      <c r="V7005" s="25"/>
      <c r="W7005" s="25"/>
      <c r="X7005" s="25"/>
      <c r="Y7005" s="25"/>
      <c r="Z7005" s="25"/>
      <c r="AA7005" s="25"/>
    </row>
    <row r="7006" spans="1:27" x14ac:dyDescent="0.35">
      <c r="A7006" s="5">
        <v>7002</v>
      </c>
      <c r="B7006" s="5">
        <v>292</v>
      </c>
      <c r="C7006" s="5">
        <v>10</v>
      </c>
      <c r="D7006" s="25">
        <v>1.1415000000000001E-4</v>
      </c>
      <c r="E7006" s="25">
        <v>1.1115E-4</v>
      </c>
      <c r="F7006" s="25">
        <v>1.1432E-4</v>
      </c>
      <c r="G7006" s="25">
        <v>1.5803E-4</v>
      </c>
      <c r="H7006" s="25">
        <v>1.9199000000000001E-4</v>
      </c>
      <c r="I7006" s="9">
        <v>1.3396E-4</v>
      </c>
      <c r="J7006" s="9">
        <v>1.3594E-4</v>
      </c>
      <c r="K7006" s="9">
        <v>9.5370000000000003E-5</v>
      </c>
      <c r="L7006" s="9">
        <v>2.0918999999999999E-4</v>
      </c>
      <c r="M7006" s="9">
        <v>1.5909E-4</v>
      </c>
      <c r="N7006" s="9">
        <v>1.3881000000000001E-4</v>
      </c>
      <c r="O7006" s="9">
        <v>2.0673999999999999E-4</v>
      </c>
      <c r="P7006" s="9">
        <v>1.6118999999999999E-4</v>
      </c>
      <c r="Q7006" s="9">
        <v>1.1827E-4</v>
      </c>
      <c r="R7006" s="10">
        <v>1.0053356343956399E-5</v>
      </c>
      <c r="S7006" s="10">
        <v>3.2624862455360646E-5</v>
      </c>
      <c r="T7006" s="10">
        <v>0</v>
      </c>
      <c r="U7006" s="10">
        <v>6.9079999999999996E-5</v>
      </c>
      <c r="V7006" s="25"/>
      <c r="W7006" s="25"/>
      <c r="X7006" s="25"/>
      <c r="Y7006" s="25"/>
      <c r="Z7006" s="25"/>
      <c r="AA7006" s="25"/>
    </row>
    <row r="7007" spans="1:27" x14ac:dyDescent="0.35">
      <c r="A7007" s="5">
        <v>7003</v>
      </c>
      <c r="B7007" s="5">
        <v>292</v>
      </c>
      <c r="C7007" s="5">
        <v>10</v>
      </c>
      <c r="D7007" s="25">
        <v>1.1416E-4</v>
      </c>
      <c r="E7007" s="25">
        <v>1.0654000000000001E-4</v>
      </c>
      <c r="F7007" s="25">
        <v>1.1542E-4</v>
      </c>
      <c r="G7007" s="25">
        <v>1.0645999999999999E-4</v>
      </c>
      <c r="H7007" s="25">
        <v>1.3637E-4</v>
      </c>
      <c r="I7007" s="9">
        <v>1.3667E-4</v>
      </c>
      <c r="J7007" s="9">
        <v>1.3812000000000001E-4</v>
      </c>
      <c r="K7007" s="9">
        <v>9.9610000000000003E-5</v>
      </c>
      <c r="L7007" s="9">
        <v>2.0685000000000001E-4</v>
      </c>
      <c r="M7007" s="9">
        <v>1.5936999999999999E-4</v>
      </c>
      <c r="N7007" s="9">
        <v>1.2991000000000001E-4</v>
      </c>
      <c r="O7007" s="9">
        <v>1.6337E-4</v>
      </c>
      <c r="P7007" s="9">
        <v>1.3388000000000001E-4</v>
      </c>
      <c r="Q7007" s="9">
        <v>1.0627E-4</v>
      </c>
      <c r="R7007" s="10">
        <v>1.2540962948095635E-5</v>
      </c>
      <c r="S7007" s="10">
        <v>3.3413269335082469E-5</v>
      </c>
      <c r="T7007" s="10">
        <v>0</v>
      </c>
      <c r="U7007" s="10">
        <v>6.9079999999999996E-5</v>
      </c>
      <c r="V7007" s="25"/>
      <c r="W7007" s="25"/>
      <c r="X7007" s="25"/>
      <c r="Y7007" s="25"/>
      <c r="Z7007" s="25"/>
      <c r="AA7007" s="25"/>
    </row>
    <row r="7008" spans="1:27" x14ac:dyDescent="0.35">
      <c r="A7008" s="5">
        <v>7004</v>
      </c>
      <c r="B7008" s="5">
        <v>292</v>
      </c>
      <c r="C7008" s="5">
        <v>10</v>
      </c>
      <c r="D7008" s="25">
        <v>1.1415000000000001E-4</v>
      </c>
      <c r="E7008" s="25">
        <v>1.1273E-4</v>
      </c>
      <c r="F7008" s="25">
        <v>1.3022000000000001E-4</v>
      </c>
      <c r="G7008" s="25">
        <v>1.1427E-4</v>
      </c>
      <c r="H7008" s="25">
        <v>1.3174000000000001E-4</v>
      </c>
      <c r="I7008" s="9">
        <v>1.2931999999999999E-4</v>
      </c>
      <c r="J7008" s="9">
        <v>1.3422E-4</v>
      </c>
      <c r="K7008" s="9">
        <v>1.0596E-4</v>
      </c>
      <c r="L7008" s="9">
        <v>1.7307999999999999E-4</v>
      </c>
      <c r="M7008" s="9">
        <v>1.5044E-4</v>
      </c>
      <c r="N7008" s="9">
        <v>1.2065000000000001E-4</v>
      </c>
      <c r="O7008" s="9">
        <v>1.2776000000000001E-4</v>
      </c>
      <c r="P7008" s="9">
        <v>1.137E-4</v>
      </c>
      <c r="Q7008" s="9">
        <v>1.0086000000000001E-4</v>
      </c>
      <c r="R7008" s="10">
        <v>1.2791556329554002E-5</v>
      </c>
      <c r="S7008" s="10">
        <v>3.4272340620625523E-5</v>
      </c>
      <c r="T7008" s="10">
        <v>0</v>
      </c>
      <c r="U7008" s="10">
        <v>6.9079999999999996E-5</v>
      </c>
      <c r="V7008" s="25"/>
      <c r="W7008" s="25"/>
      <c r="X7008" s="25"/>
      <c r="Y7008" s="25"/>
      <c r="Z7008" s="25"/>
      <c r="AA7008" s="25"/>
    </row>
    <row r="7009" spans="1:27" x14ac:dyDescent="0.35">
      <c r="A7009" s="5">
        <v>7005</v>
      </c>
      <c r="B7009" s="5">
        <v>292</v>
      </c>
      <c r="C7009" s="5">
        <v>10</v>
      </c>
      <c r="D7009" s="25">
        <v>1.1416E-4</v>
      </c>
      <c r="E7009" s="25">
        <v>1.0567E-4</v>
      </c>
      <c r="F7009" s="25">
        <v>1.1428E-4</v>
      </c>
      <c r="G7009" s="25">
        <v>5.7790000000000001E-5</v>
      </c>
      <c r="H7009" s="25">
        <v>7.3159999999999997E-5</v>
      </c>
      <c r="I7009" s="9">
        <v>1.2173E-4</v>
      </c>
      <c r="J7009" s="9">
        <v>1.2674999999999999E-4</v>
      </c>
      <c r="K7009" s="9">
        <v>9.9610000000000003E-5</v>
      </c>
      <c r="L7009" s="9">
        <v>1.3877E-4</v>
      </c>
      <c r="M7009" s="9">
        <v>1.3468E-4</v>
      </c>
      <c r="N7009" s="9">
        <v>1.1281E-4</v>
      </c>
      <c r="O7009" s="9">
        <v>8.4909999999999998E-5</v>
      </c>
      <c r="P7009" s="9">
        <v>8.6429999999999997E-5</v>
      </c>
      <c r="Q7009" s="9">
        <v>8.8430000000000005E-5</v>
      </c>
      <c r="R7009" s="10">
        <v>1.3770074265968514E-5</v>
      </c>
      <c r="S7009" s="10">
        <v>3.5781996336199418E-5</v>
      </c>
      <c r="T7009" s="10">
        <v>0</v>
      </c>
      <c r="U7009" s="10">
        <v>6.9079999999999996E-5</v>
      </c>
      <c r="V7009" s="25"/>
      <c r="W7009" s="25"/>
      <c r="X7009" s="25"/>
      <c r="Y7009" s="25"/>
      <c r="Z7009" s="25"/>
      <c r="AA7009" s="25"/>
    </row>
    <row r="7010" spans="1:27" x14ac:dyDescent="0.35">
      <c r="A7010" s="5">
        <v>7006</v>
      </c>
      <c r="B7010" s="5">
        <v>292</v>
      </c>
      <c r="C7010" s="5">
        <v>10</v>
      </c>
      <c r="D7010" s="25">
        <v>1.1415000000000001E-4</v>
      </c>
      <c r="E7010" s="25">
        <v>1.1031000000000001E-4</v>
      </c>
      <c r="F7010" s="25">
        <v>1.2323E-4</v>
      </c>
      <c r="G7010" s="25">
        <v>5.8950000000000003E-5</v>
      </c>
      <c r="H7010" s="25">
        <v>6.3949999999999996E-5</v>
      </c>
      <c r="I7010" s="9">
        <v>1.2025E-4</v>
      </c>
      <c r="J7010" s="9">
        <v>1.1791E-4</v>
      </c>
      <c r="K7010" s="9">
        <v>9.9610000000000003E-5</v>
      </c>
      <c r="L7010" s="9">
        <v>9.7700000000000003E-5</v>
      </c>
      <c r="M7010" s="9">
        <v>1.1326E-4</v>
      </c>
      <c r="N7010" s="9">
        <v>1.053E-4</v>
      </c>
      <c r="O7010" s="9">
        <v>8.7940000000000002E-5</v>
      </c>
      <c r="P7010" s="9">
        <v>8.8059999999999994E-5</v>
      </c>
      <c r="Q7010" s="9">
        <v>8.8709999999999996E-5</v>
      </c>
      <c r="R7010" s="10">
        <v>1.4275693339292868E-5</v>
      </c>
      <c r="S7010" s="10">
        <v>3.1876547668811619E-5</v>
      </c>
      <c r="T7010" s="10">
        <v>0</v>
      </c>
      <c r="U7010" s="10">
        <v>6.9079999999999996E-5</v>
      </c>
      <c r="V7010" s="25"/>
      <c r="W7010" s="25"/>
      <c r="X7010" s="25"/>
      <c r="Y7010" s="25"/>
      <c r="Z7010" s="25"/>
      <c r="AA7010" s="25"/>
    </row>
    <row r="7011" spans="1:27" x14ac:dyDescent="0.35">
      <c r="A7011" s="5">
        <v>7007</v>
      </c>
      <c r="B7011" s="5">
        <v>292</v>
      </c>
      <c r="C7011" s="5">
        <v>10</v>
      </c>
      <c r="D7011" s="25">
        <v>1.1416E-4</v>
      </c>
      <c r="E7011" s="25">
        <v>1.143E-4</v>
      </c>
      <c r="F7011" s="25">
        <v>1.2872E-4</v>
      </c>
      <c r="G7011" s="25">
        <v>5.2099999999999999E-5</v>
      </c>
      <c r="H7011" s="25">
        <v>7.0790000000000005E-5</v>
      </c>
      <c r="I7011" s="9">
        <v>1.1607000000000001E-4</v>
      </c>
      <c r="J7011" s="9">
        <v>1.0963000000000001E-4</v>
      </c>
      <c r="K7011" s="9">
        <v>1.0385E-4</v>
      </c>
      <c r="L7011" s="9">
        <v>9.098E-5</v>
      </c>
      <c r="M7011" s="9">
        <v>9.8960000000000001E-5</v>
      </c>
      <c r="N7011" s="9">
        <v>9.9660000000000005E-5</v>
      </c>
      <c r="O7011" s="9">
        <v>7.8189999999999995E-5</v>
      </c>
      <c r="P7011" s="9">
        <v>7.2410000000000006E-5</v>
      </c>
      <c r="Q7011" s="9">
        <v>6.7139999999999998E-5</v>
      </c>
      <c r="R7011" s="10">
        <v>1.2370329961545151E-5</v>
      </c>
      <c r="S7011" s="10">
        <v>2.7235638734512021E-5</v>
      </c>
      <c r="T7011" s="10">
        <v>0</v>
      </c>
      <c r="U7011" s="10">
        <v>6.9079999999999996E-5</v>
      </c>
      <c r="V7011" s="25"/>
      <c r="W7011" s="25"/>
      <c r="X7011" s="25"/>
      <c r="Y7011" s="25"/>
      <c r="Z7011" s="25"/>
      <c r="AA7011" s="25"/>
    </row>
    <row r="7012" spans="1:27" x14ac:dyDescent="0.35">
      <c r="A7012" s="5">
        <v>7008</v>
      </c>
      <c r="B7012" s="5">
        <v>292</v>
      </c>
      <c r="C7012" s="5">
        <v>10</v>
      </c>
      <c r="D7012" s="25">
        <v>1.1415000000000001E-4</v>
      </c>
      <c r="E7012" s="25">
        <v>1.0821E-4</v>
      </c>
      <c r="F7012" s="25">
        <v>1.1459999999999999E-4</v>
      </c>
      <c r="G7012" s="25">
        <v>5.9929999999999997E-5</v>
      </c>
      <c r="H7012" s="25">
        <v>7.0850000000000001E-5</v>
      </c>
      <c r="I7012" s="9">
        <v>1.0828999999999999E-4</v>
      </c>
      <c r="J7012" s="9">
        <v>1.02E-4</v>
      </c>
      <c r="K7012" s="9">
        <v>9.1130000000000003E-5</v>
      </c>
      <c r="L7012" s="9">
        <v>8.0980000000000001E-5</v>
      </c>
      <c r="M7012" s="9">
        <v>8.6269999999999999E-5</v>
      </c>
      <c r="N7012" s="9">
        <v>9.0489999999999996E-5</v>
      </c>
      <c r="O7012" s="9">
        <v>6.2970000000000002E-5</v>
      </c>
      <c r="P7012" s="9">
        <v>6.088E-5</v>
      </c>
      <c r="Q7012" s="9">
        <v>5.9049999999999999E-5</v>
      </c>
      <c r="R7012" s="10">
        <v>1.1705062729026738E-5</v>
      </c>
      <c r="S7012" s="10">
        <v>3.0908444856389454E-5</v>
      </c>
      <c r="T7012" s="10">
        <v>0</v>
      </c>
      <c r="U7012" s="10">
        <v>6.9079999999999996E-5</v>
      </c>
      <c r="V7012" s="25"/>
      <c r="W7012" s="25"/>
      <c r="X7012" s="25"/>
      <c r="Y7012" s="25"/>
      <c r="Z7012" s="25"/>
      <c r="AA7012" s="25"/>
    </row>
    <row r="7013" spans="1:27" x14ac:dyDescent="0.35">
      <c r="A7013" s="5">
        <v>7009</v>
      </c>
      <c r="B7013" s="5">
        <v>293</v>
      </c>
      <c r="C7013" s="5">
        <v>10</v>
      </c>
      <c r="D7013" s="25">
        <v>1.1416E-4</v>
      </c>
      <c r="E7013" s="25">
        <v>1.1079E-4</v>
      </c>
      <c r="F7013" s="25">
        <v>1.2935E-4</v>
      </c>
      <c r="G7013" s="25">
        <v>6.0059999999999998E-5</v>
      </c>
      <c r="H7013" s="25">
        <v>4.2230000000000001E-5</v>
      </c>
      <c r="I7013" s="9">
        <v>1.026E-4</v>
      </c>
      <c r="J7013" s="9">
        <v>9.6160000000000001E-5</v>
      </c>
      <c r="K7013" s="9">
        <v>7.6299999999999998E-5</v>
      </c>
      <c r="L7013" s="9">
        <v>6.6940000000000006E-5</v>
      </c>
      <c r="M7013" s="9">
        <v>7.4209999999999996E-5</v>
      </c>
      <c r="N7013" s="9">
        <v>8.119E-5</v>
      </c>
      <c r="O7013" s="9">
        <v>6.7630000000000001E-5</v>
      </c>
      <c r="P7013" s="9">
        <v>6.0210000000000001E-5</v>
      </c>
      <c r="Q7013" s="9">
        <v>5.3100000000000003E-5</v>
      </c>
      <c r="R7013" s="10">
        <v>1.0494913114401782E-5</v>
      </c>
      <c r="S7013" s="10">
        <v>3.6056909395546519E-5</v>
      </c>
      <c r="T7013" s="10">
        <v>0</v>
      </c>
      <c r="U7013" s="10">
        <v>6.8730000000000001E-5</v>
      </c>
      <c r="V7013" s="25"/>
      <c r="W7013" s="25"/>
      <c r="X7013" s="25"/>
      <c r="Y7013" s="25"/>
      <c r="Z7013" s="25"/>
      <c r="AA7013" s="25"/>
    </row>
    <row r="7014" spans="1:27" x14ac:dyDescent="0.35">
      <c r="A7014" s="5">
        <v>7010</v>
      </c>
      <c r="B7014" s="5">
        <v>293</v>
      </c>
      <c r="C7014" s="5">
        <v>10</v>
      </c>
      <c r="D7014" s="25">
        <v>1.1415000000000001E-4</v>
      </c>
      <c r="E7014" s="25">
        <v>1.0759E-4</v>
      </c>
      <c r="F7014" s="25">
        <v>1.3171E-4</v>
      </c>
      <c r="G7014" s="25">
        <v>5.3489999999999998E-5</v>
      </c>
      <c r="H7014" s="25">
        <v>4.4919999999999997E-5</v>
      </c>
      <c r="I7014" s="9">
        <v>9.8690000000000005E-5</v>
      </c>
      <c r="J7014" s="9">
        <v>9.3720000000000004E-5</v>
      </c>
      <c r="K7014" s="9">
        <v>6.7819999999999998E-5</v>
      </c>
      <c r="L7014" s="9">
        <v>6.7860000000000004E-5</v>
      </c>
      <c r="M7014" s="9">
        <v>6.6299999999999999E-5</v>
      </c>
      <c r="N7014" s="9">
        <v>7.2070000000000006E-5</v>
      </c>
      <c r="O7014" s="9">
        <v>3.519E-5</v>
      </c>
      <c r="P7014" s="9">
        <v>4.5909999999999999E-5</v>
      </c>
      <c r="Q7014" s="9">
        <v>5.6270000000000002E-5</v>
      </c>
      <c r="R7014" s="10">
        <v>1.4043513098654572E-5</v>
      </c>
      <c r="S7014" s="10">
        <v>3.3181686651922692E-5</v>
      </c>
      <c r="T7014" s="10">
        <v>0</v>
      </c>
      <c r="U7014" s="10">
        <v>6.8730000000000001E-5</v>
      </c>
      <c r="V7014" s="25"/>
      <c r="W7014" s="25"/>
      <c r="X7014" s="25"/>
      <c r="Y7014" s="25"/>
      <c r="Z7014" s="25"/>
      <c r="AA7014" s="25"/>
    </row>
    <row r="7015" spans="1:27" x14ac:dyDescent="0.35">
      <c r="A7015" s="5">
        <v>7011</v>
      </c>
      <c r="B7015" s="5">
        <v>293</v>
      </c>
      <c r="C7015" s="5">
        <v>10</v>
      </c>
      <c r="D7015" s="25">
        <v>1.1416E-4</v>
      </c>
      <c r="E7015" s="25">
        <v>1.0864E-4</v>
      </c>
      <c r="F7015" s="25">
        <v>1.3516E-4</v>
      </c>
      <c r="G7015" s="25">
        <v>5.8990000000000003E-5</v>
      </c>
      <c r="H7015" s="25">
        <v>4.295E-5</v>
      </c>
      <c r="I7015" s="9">
        <v>9.7739999999999996E-5</v>
      </c>
      <c r="J7015" s="9">
        <v>9.2819999999999996E-5</v>
      </c>
      <c r="K7015" s="9">
        <v>6.9939999999999998E-5</v>
      </c>
      <c r="L7015" s="9">
        <v>4.231E-5</v>
      </c>
      <c r="M7015" s="9">
        <v>5.7259999999999997E-5</v>
      </c>
      <c r="N7015" s="9">
        <v>6.5530000000000004E-5</v>
      </c>
      <c r="O7015" s="9">
        <v>2.213E-5</v>
      </c>
      <c r="P7015" s="9">
        <v>4.2429999999999999E-5</v>
      </c>
      <c r="Q7015" s="9">
        <v>6.2069999999999994E-5</v>
      </c>
      <c r="R7015" s="10">
        <v>2.0937148583155151E-5</v>
      </c>
      <c r="S7015" s="10">
        <v>2.7433801831054878E-5</v>
      </c>
      <c r="T7015" s="10">
        <v>0</v>
      </c>
      <c r="U7015" s="10">
        <v>6.8730000000000001E-5</v>
      </c>
      <c r="V7015" s="25"/>
      <c r="W7015" s="25"/>
      <c r="X7015" s="25"/>
      <c r="Y7015" s="25"/>
      <c r="Z7015" s="25"/>
      <c r="AA7015" s="25"/>
    </row>
    <row r="7016" spans="1:27" x14ac:dyDescent="0.35">
      <c r="A7016" s="5">
        <v>7012</v>
      </c>
      <c r="B7016" s="5">
        <v>293</v>
      </c>
      <c r="C7016" s="5">
        <v>10</v>
      </c>
      <c r="D7016" s="25">
        <v>1.1415000000000001E-4</v>
      </c>
      <c r="E7016" s="25">
        <v>1.1293E-4</v>
      </c>
      <c r="F7016" s="25">
        <v>1.2784999999999999E-4</v>
      </c>
      <c r="G7016" s="25">
        <v>5.8180000000000002E-5</v>
      </c>
      <c r="H7016" s="25">
        <v>4.566E-5</v>
      </c>
      <c r="I7016" s="9">
        <v>9.9209999999999994E-5</v>
      </c>
      <c r="J7016" s="9">
        <v>9.3049999999999998E-5</v>
      </c>
      <c r="K7016" s="9">
        <v>6.1459999999999998E-5</v>
      </c>
      <c r="L7016" s="9">
        <v>2.7180000000000001E-5</v>
      </c>
      <c r="M7016" s="9">
        <v>4.9790000000000003E-5</v>
      </c>
      <c r="N7016" s="9">
        <v>6.2050000000000004E-5</v>
      </c>
      <c r="O7016" s="9">
        <v>2.12E-5</v>
      </c>
      <c r="P7016" s="9">
        <v>5.0779999999999998E-5</v>
      </c>
      <c r="Q7016" s="9">
        <v>7.9549999999999996E-5</v>
      </c>
      <c r="R7016" s="10">
        <v>2.4813259610352402E-5</v>
      </c>
      <c r="S7016" s="10">
        <v>3.0143788722588088E-5</v>
      </c>
      <c r="T7016" s="10">
        <v>0</v>
      </c>
      <c r="U7016" s="10">
        <v>6.8730000000000001E-5</v>
      </c>
      <c r="V7016" s="25"/>
      <c r="W7016" s="25"/>
      <c r="X7016" s="25"/>
      <c r="Y7016" s="25"/>
      <c r="Z7016" s="25"/>
      <c r="AA7016" s="25"/>
    </row>
    <row r="7017" spans="1:27" x14ac:dyDescent="0.35">
      <c r="A7017" s="5">
        <v>7013</v>
      </c>
      <c r="B7017" s="5">
        <v>293</v>
      </c>
      <c r="C7017" s="5">
        <v>10</v>
      </c>
      <c r="D7017" s="25">
        <v>1.1416E-4</v>
      </c>
      <c r="E7017" s="25">
        <v>1.0554E-4</v>
      </c>
      <c r="F7017" s="25">
        <v>1.4389000000000001E-4</v>
      </c>
      <c r="G7017" s="25">
        <v>6.2810000000000003E-5</v>
      </c>
      <c r="H7017" s="25">
        <v>4.2389999999999999E-5</v>
      </c>
      <c r="I7017" s="9">
        <v>1.0517E-4</v>
      </c>
      <c r="J7017" s="9">
        <v>9.5030000000000003E-5</v>
      </c>
      <c r="K7017" s="9">
        <v>5.9349999999999999E-5</v>
      </c>
      <c r="L7017" s="9">
        <v>2.2969999999999999E-5</v>
      </c>
      <c r="M7017" s="9">
        <v>4.8369999999999999E-5</v>
      </c>
      <c r="N7017" s="9">
        <v>6.4380000000000004E-5</v>
      </c>
      <c r="O7017" s="9">
        <v>2.3439999999999999E-5</v>
      </c>
      <c r="P7017" s="9">
        <v>5.9249999999999997E-5</v>
      </c>
      <c r="Q7017" s="9">
        <v>9.4160000000000006E-5</v>
      </c>
      <c r="R7017" s="10">
        <v>2.4040424898853671E-5</v>
      </c>
      <c r="S7017" s="10">
        <v>3.1647321193356868E-5</v>
      </c>
      <c r="T7017" s="10">
        <v>0</v>
      </c>
      <c r="U7017" s="10">
        <v>6.8730000000000001E-5</v>
      </c>
      <c r="V7017" s="25"/>
      <c r="W7017" s="25"/>
      <c r="X7017" s="25"/>
      <c r="Y7017" s="25"/>
      <c r="Z7017" s="25"/>
      <c r="AA7017" s="25"/>
    </row>
    <row r="7018" spans="1:27" x14ac:dyDescent="0.35">
      <c r="A7018" s="5">
        <v>7014</v>
      </c>
      <c r="B7018" s="5">
        <v>293</v>
      </c>
      <c r="C7018" s="5">
        <v>10</v>
      </c>
      <c r="D7018" s="25">
        <v>1.1415000000000001E-4</v>
      </c>
      <c r="E7018" s="25">
        <v>1.0543E-4</v>
      </c>
      <c r="F7018" s="25">
        <v>1.4187999999999999E-4</v>
      </c>
      <c r="G7018" s="25">
        <v>1.1448E-4</v>
      </c>
      <c r="H7018" s="25">
        <v>8.2340000000000001E-5</v>
      </c>
      <c r="I7018" s="9">
        <v>1.1736E-4</v>
      </c>
      <c r="J7018" s="9">
        <v>1.0378999999999999E-4</v>
      </c>
      <c r="K7018" s="9">
        <v>4.8749999999999999E-5</v>
      </c>
      <c r="L7018" s="9">
        <v>2.3280000000000001E-5</v>
      </c>
      <c r="M7018" s="9">
        <v>5.2240000000000001E-5</v>
      </c>
      <c r="N7018" s="9">
        <v>7.1030000000000003E-5</v>
      </c>
      <c r="O7018" s="9">
        <v>2.9920000000000002E-5</v>
      </c>
      <c r="P7018" s="9">
        <v>6.9410000000000001E-5</v>
      </c>
      <c r="Q7018" s="9">
        <v>1.0802999999999999E-4</v>
      </c>
      <c r="R7018" s="10">
        <v>2.4296701411312464E-5</v>
      </c>
      <c r="S7018" s="10">
        <v>4.037552166846236E-5</v>
      </c>
      <c r="T7018" s="10">
        <v>0</v>
      </c>
      <c r="U7018" s="10">
        <v>6.8730000000000001E-5</v>
      </c>
      <c r="V7018" s="25"/>
      <c r="W7018" s="25"/>
      <c r="X7018" s="25"/>
      <c r="Y7018" s="25"/>
      <c r="Z7018" s="25"/>
      <c r="AA7018" s="25"/>
    </row>
    <row r="7019" spans="1:27" x14ac:dyDescent="0.35">
      <c r="A7019" s="5">
        <v>7015</v>
      </c>
      <c r="B7019" s="5">
        <v>293</v>
      </c>
      <c r="C7019" s="5">
        <v>10</v>
      </c>
      <c r="D7019" s="25">
        <v>1.1416E-4</v>
      </c>
      <c r="E7019" s="25">
        <v>1.1093E-4</v>
      </c>
      <c r="F7019" s="25">
        <v>1.428E-4</v>
      </c>
      <c r="G7019" s="25">
        <v>1.1169E-4</v>
      </c>
      <c r="H7019" s="25">
        <v>8.4770000000000003E-5</v>
      </c>
      <c r="I7019" s="9">
        <v>1.3051999999999999E-4</v>
      </c>
      <c r="J7019" s="9">
        <v>1.1972999999999999E-4</v>
      </c>
      <c r="K7019" s="9">
        <v>5.2989999999999999E-5</v>
      </c>
      <c r="L7019" s="9">
        <v>2.836E-5</v>
      </c>
      <c r="M7019" s="9">
        <v>5.9559999999999999E-5</v>
      </c>
      <c r="N7019" s="9">
        <v>8.0970000000000006E-5</v>
      </c>
      <c r="O7019" s="9">
        <v>4.6480000000000002E-5</v>
      </c>
      <c r="P7019" s="9">
        <v>8.0129999999999993E-5</v>
      </c>
      <c r="Q7019" s="9">
        <v>1.1318E-4</v>
      </c>
      <c r="R7019" s="10">
        <v>2.4616731240843467E-5</v>
      </c>
      <c r="S7019" s="10">
        <v>4.0981424676767533E-5</v>
      </c>
      <c r="T7019" s="10">
        <v>0</v>
      </c>
      <c r="U7019" s="10">
        <v>6.8730000000000001E-5</v>
      </c>
      <c r="V7019" s="25"/>
      <c r="W7019" s="25"/>
      <c r="X7019" s="25"/>
      <c r="Y7019" s="25"/>
      <c r="Z7019" s="25"/>
      <c r="AA7019" s="25"/>
    </row>
    <row r="7020" spans="1:27" x14ac:dyDescent="0.35">
      <c r="A7020" s="5">
        <v>7016</v>
      </c>
      <c r="B7020" s="5">
        <v>293</v>
      </c>
      <c r="C7020" s="5">
        <v>10</v>
      </c>
      <c r="D7020" s="25">
        <v>1.1415000000000001E-4</v>
      </c>
      <c r="E7020" s="25">
        <v>1.0969E-4</v>
      </c>
      <c r="F7020" s="25">
        <v>1.3747E-4</v>
      </c>
      <c r="G7020" s="25">
        <v>1.6718000000000001E-4</v>
      </c>
      <c r="H7020" s="25">
        <v>1.1757E-4</v>
      </c>
      <c r="I7020" s="9">
        <v>1.3254E-4</v>
      </c>
      <c r="J7020" s="9">
        <v>1.3378000000000001E-4</v>
      </c>
      <c r="K7020" s="9">
        <v>2.12E-5</v>
      </c>
      <c r="L7020" s="9">
        <v>4.2339999999999998E-5</v>
      </c>
      <c r="M7020" s="9">
        <v>6.8800000000000005E-5</v>
      </c>
      <c r="N7020" s="9">
        <v>9.1210000000000003E-5</v>
      </c>
      <c r="O7020" s="9">
        <v>6.8300000000000007E-5</v>
      </c>
      <c r="P7020" s="9">
        <v>1.027E-4</v>
      </c>
      <c r="Q7020" s="9">
        <v>1.3674999999999999E-4</v>
      </c>
      <c r="R7020" s="10">
        <v>3.0256725677113726E-5</v>
      </c>
      <c r="S7020" s="10">
        <v>4.3469062909212724E-5</v>
      </c>
      <c r="T7020" s="10">
        <v>5.2602655970883598E-6</v>
      </c>
      <c r="U7020" s="10">
        <v>6.8730000000000001E-5</v>
      </c>
      <c r="V7020" s="25"/>
      <c r="W7020" s="25"/>
      <c r="X7020" s="25"/>
      <c r="Y7020" s="25"/>
      <c r="Z7020" s="25"/>
      <c r="AA7020" s="25"/>
    </row>
    <row r="7021" spans="1:27" x14ac:dyDescent="0.35">
      <c r="A7021" s="5">
        <v>7017</v>
      </c>
      <c r="B7021" s="5">
        <v>293</v>
      </c>
      <c r="C7021" s="5">
        <v>10</v>
      </c>
      <c r="D7021" s="25">
        <v>1.1416E-4</v>
      </c>
      <c r="E7021" s="25">
        <v>1.0969E-4</v>
      </c>
      <c r="F7021" s="25">
        <v>1.2889999999999999E-4</v>
      </c>
      <c r="G7021" s="25">
        <v>1.6106000000000001E-4</v>
      </c>
      <c r="H7021" s="25">
        <v>1.2021E-4</v>
      </c>
      <c r="I7021" s="9">
        <v>1.339E-4</v>
      </c>
      <c r="J7021" s="9">
        <v>1.3823000000000001E-4</v>
      </c>
      <c r="K7021" s="9">
        <v>2.968E-5</v>
      </c>
      <c r="L7021" s="9">
        <v>6.2210000000000002E-5</v>
      </c>
      <c r="M7021" s="9">
        <v>8.3289999999999997E-5</v>
      </c>
      <c r="N7021" s="9">
        <v>1.0493E-4</v>
      </c>
      <c r="O7021" s="9">
        <v>9.9560000000000002E-5</v>
      </c>
      <c r="P7021" s="9">
        <v>1.3791000000000001E-4</v>
      </c>
      <c r="Q7021" s="9">
        <v>1.7621E-4</v>
      </c>
      <c r="R7021" s="10">
        <v>3.7048634427376351E-5</v>
      </c>
      <c r="S7021" s="10">
        <v>4.4572854905007259E-5</v>
      </c>
      <c r="T7021" s="10">
        <v>4.159003541439862E-5</v>
      </c>
      <c r="U7021" s="10">
        <v>6.8730000000000001E-5</v>
      </c>
      <c r="V7021" s="25"/>
      <c r="W7021" s="25"/>
      <c r="X7021" s="25"/>
      <c r="Y7021" s="25"/>
      <c r="Z7021" s="25"/>
      <c r="AA7021" s="25"/>
    </row>
    <row r="7022" spans="1:27" x14ac:dyDescent="0.35">
      <c r="A7022" s="5">
        <v>7018</v>
      </c>
      <c r="B7022" s="5">
        <v>293</v>
      </c>
      <c r="C7022" s="5">
        <v>10</v>
      </c>
      <c r="D7022" s="25">
        <v>1.1415000000000001E-4</v>
      </c>
      <c r="E7022" s="25">
        <v>1.1268E-4</v>
      </c>
      <c r="F7022" s="25">
        <v>1.4593000000000001E-4</v>
      </c>
      <c r="G7022" s="25">
        <v>1.6140999999999999E-4</v>
      </c>
      <c r="H7022" s="25">
        <v>1.2032E-4</v>
      </c>
      <c r="I7022" s="9">
        <v>1.3579E-4</v>
      </c>
      <c r="J7022" s="9">
        <v>1.4001000000000001E-4</v>
      </c>
      <c r="K7022" s="9">
        <v>2.1299999999999999E-6</v>
      </c>
      <c r="L7022" s="9">
        <v>9.0829999999999996E-5</v>
      </c>
      <c r="M7022" s="9">
        <v>1.066E-4</v>
      </c>
      <c r="N7022" s="9">
        <v>1.2477000000000001E-4</v>
      </c>
      <c r="O7022" s="9">
        <v>1.2894E-4</v>
      </c>
      <c r="P7022" s="9">
        <v>1.5540000000000001E-4</v>
      </c>
      <c r="Q7022" s="9">
        <v>1.8233E-4</v>
      </c>
      <c r="R7022" s="10">
        <v>4.5440154348346501E-5</v>
      </c>
      <c r="S7022" s="10">
        <v>3.8556147242977659E-5</v>
      </c>
      <c r="T7022" s="10">
        <v>4.1454286624796339E-5</v>
      </c>
      <c r="U7022" s="10">
        <v>6.8730000000000001E-5</v>
      </c>
      <c r="V7022" s="25"/>
      <c r="W7022" s="25"/>
      <c r="X7022" s="25"/>
      <c r="Y7022" s="25"/>
      <c r="Z7022" s="25"/>
      <c r="AA7022" s="25"/>
    </row>
    <row r="7023" spans="1:27" x14ac:dyDescent="0.35">
      <c r="A7023" s="5">
        <v>7019</v>
      </c>
      <c r="B7023" s="5">
        <v>293</v>
      </c>
      <c r="C7023" s="5">
        <v>10</v>
      </c>
      <c r="D7023" s="25">
        <v>1.1416E-4</v>
      </c>
      <c r="E7023" s="25">
        <v>1.0662000000000001E-4</v>
      </c>
      <c r="F7023" s="25">
        <v>1.4103E-4</v>
      </c>
      <c r="G7023" s="25">
        <v>1.6602000000000001E-4</v>
      </c>
      <c r="H7023" s="25">
        <v>1.195E-4</v>
      </c>
      <c r="I7023" s="9">
        <v>1.3862999999999999E-4</v>
      </c>
      <c r="J7023" s="9">
        <v>1.3981E-4</v>
      </c>
      <c r="K7023" s="9">
        <v>2.12E-6</v>
      </c>
      <c r="L7023" s="9">
        <v>1.1985E-4</v>
      </c>
      <c r="M7023" s="9">
        <v>1.3004999999999999E-4</v>
      </c>
      <c r="N7023" s="9">
        <v>1.4283000000000001E-4</v>
      </c>
      <c r="O7023" s="9">
        <v>1.3605E-4</v>
      </c>
      <c r="P7023" s="9">
        <v>1.5676000000000001E-4</v>
      </c>
      <c r="Q7023" s="9">
        <v>1.7813E-4</v>
      </c>
      <c r="R7023" s="10">
        <v>4.0881990811221497E-5</v>
      </c>
      <c r="S7023" s="10">
        <v>2.7908936684175107E-5</v>
      </c>
      <c r="T7023" s="10">
        <v>5.12451680748608E-5</v>
      </c>
      <c r="U7023" s="10">
        <v>6.8730000000000001E-5</v>
      </c>
      <c r="V7023" s="25"/>
      <c r="W7023" s="25"/>
      <c r="X7023" s="25"/>
      <c r="Y7023" s="25"/>
      <c r="Z7023" s="25"/>
      <c r="AA7023" s="25"/>
    </row>
    <row r="7024" spans="1:27" x14ac:dyDescent="0.35">
      <c r="A7024" s="5">
        <v>7020</v>
      </c>
      <c r="B7024" s="5">
        <v>293</v>
      </c>
      <c r="C7024" s="5">
        <v>10</v>
      </c>
      <c r="D7024" s="25">
        <v>1.1415000000000001E-4</v>
      </c>
      <c r="E7024" s="25">
        <v>1.0518000000000001E-4</v>
      </c>
      <c r="F7024" s="25">
        <v>1.2919E-4</v>
      </c>
      <c r="G7024" s="25">
        <v>1.6568E-4</v>
      </c>
      <c r="H7024" s="25">
        <v>1.2087999999999999E-4</v>
      </c>
      <c r="I7024" s="9">
        <v>1.3683E-4</v>
      </c>
      <c r="J7024" s="9">
        <v>1.3708000000000001E-4</v>
      </c>
      <c r="K7024" s="9">
        <v>6.3600000000000001E-6</v>
      </c>
      <c r="L7024" s="9">
        <v>1.3180000000000001E-4</v>
      </c>
      <c r="M7024" s="9">
        <v>1.4522999999999999E-4</v>
      </c>
      <c r="N7024" s="9">
        <v>1.5652E-4</v>
      </c>
      <c r="O7024" s="9">
        <v>1.3970000000000001E-4</v>
      </c>
      <c r="P7024" s="9">
        <v>1.5733000000000001E-4</v>
      </c>
      <c r="Q7024" s="9">
        <v>1.7568999999999999E-4</v>
      </c>
      <c r="R7024" s="10">
        <v>2.7838297336360703E-5</v>
      </c>
      <c r="S7024" s="10">
        <v>2.2311184080293377E-5</v>
      </c>
      <c r="T7024" s="10">
        <v>7.0657244987986886E-5</v>
      </c>
      <c r="U7024" s="10">
        <v>6.8730000000000001E-5</v>
      </c>
      <c r="V7024" s="25"/>
      <c r="W7024" s="25"/>
      <c r="X7024" s="25"/>
      <c r="Y7024" s="25"/>
      <c r="Z7024" s="25"/>
      <c r="AA7024" s="25"/>
    </row>
    <row r="7025" spans="1:27" x14ac:dyDescent="0.35">
      <c r="A7025" s="5">
        <v>7021</v>
      </c>
      <c r="B7025" s="5">
        <v>293</v>
      </c>
      <c r="C7025" s="5">
        <v>10</v>
      </c>
      <c r="D7025" s="25">
        <v>1.1416E-4</v>
      </c>
      <c r="E7025" s="25">
        <v>1.1033E-4</v>
      </c>
      <c r="F7025" s="25">
        <v>1.2564E-4</v>
      </c>
      <c r="G7025" s="25">
        <v>1.6123999999999999E-4</v>
      </c>
      <c r="H7025" s="25">
        <v>1.1947000000000001E-4</v>
      </c>
      <c r="I7025" s="9">
        <v>1.3626999999999999E-4</v>
      </c>
      <c r="J7025" s="9">
        <v>1.3493000000000001E-4</v>
      </c>
      <c r="K7025" s="9">
        <v>0</v>
      </c>
      <c r="L7025" s="9">
        <v>1.3781000000000001E-4</v>
      </c>
      <c r="M7025" s="9">
        <v>1.5281E-4</v>
      </c>
      <c r="N7025" s="9">
        <v>1.6627999999999999E-4</v>
      </c>
      <c r="O7025" s="9">
        <v>1.2993999999999999E-4</v>
      </c>
      <c r="P7025" s="9">
        <v>1.4821999999999999E-4</v>
      </c>
      <c r="Q7025" s="9">
        <v>1.6710999999999999E-4</v>
      </c>
      <c r="R7025" s="10">
        <v>2.7033809246482603E-5</v>
      </c>
      <c r="S7025" s="10">
        <v>2.5569365278984528E-5</v>
      </c>
      <c r="T7025" s="10">
        <v>2.3332671642826934E-4</v>
      </c>
      <c r="U7025" s="10">
        <v>6.8730000000000001E-5</v>
      </c>
      <c r="V7025" s="25"/>
      <c r="W7025" s="25"/>
      <c r="X7025" s="25"/>
      <c r="Y7025" s="25"/>
      <c r="Z7025" s="25"/>
      <c r="AA7025" s="25"/>
    </row>
    <row r="7026" spans="1:27" x14ac:dyDescent="0.35">
      <c r="A7026" s="5">
        <v>7022</v>
      </c>
      <c r="B7026" s="5">
        <v>293</v>
      </c>
      <c r="C7026" s="5">
        <v>10</v>
      </c>
      <c r="D7026" s="25">
        <v>1.1415000000000001E-4</v>
      </c>
      <c r="E7026" s="25">
        <v>1.1246E-4</v>
      </c>
      <c r="F7026" s="25">
        <v>1.2992E-4</v>
      </c>
      <c r="G7026" s="25">
        <v>1.6048000000000001E-4</v>
      </c>
      <c r="H7026" s="25">
        <v>1.167E-4</v>
      </c>
      <c r="I7026" s="9">
        <v>1.3442E-4</v>
      </c>
      <c r="J7026" s="9">
        <v>1.3376999999999999E-4</v>
      </c>
      <c r="K7026" s="9">
        <v>0</v>
      </c>
      <c r="L7026" s="9">
        <v>1.3169000000000001E-4</v>
      </c>
      <c r="M7026" s="9">
        <v>1.5265999999999999E-4</v>
      </c>
      <c r="N7026" s="9">
        <v>1.705E-4</v>
      </c>
      <c r="O7026" s="9">
        <v>1.1289E-4</v>
      </c>
      <c r="P7026" s="9">
        <v>1.3688E-4</v>
      </c>
      <c r="Q7026" s="9">
        <v>1.6119999999999999E-4</v>
      </c>
      <c r="R7026" s="10">
        <v>4.2651059072085082E-5</v>
      </c>
      <c r="S7026" s="10">
        <v>2.2528880099033211E-5</v>
      </c>
      <c r="T7026" s="10">
        <v>1.7065319712876656E-4</v>
      </c>
      <c r="U7026" s="10">
        <v>6.8730000000000001E-5</v>
      </c>
      <c r="V7026" s="25"/>
      <c r="W7026" s="25"/>
      <c r="X7026" s="25"/>
      <c r="Y7026" s="25"/>
      <c r="Z7026" s="25"/>
      <c r="AA7026" s="25"/>
    </row>
    <row r="7027" spans="1:27" x14ac:dyDescent="0.35">
      <c r="A7027" s="5">
        <v>7023</v>
      </c>
      <c r="B7027" s="5">
        <v>293</v>
      </c>
      <c r="C7027" s="5">
        <v>10</v>
      </c>
      <c r="D7027" s="25">
        <v>1.1416E-4</v>
      </c>
      <c r="E7027" s="25">
        <v>1.07E-4</v>
      </c>
      <c r="F7027" s="25">
        <v>1.4134999999999999E-4</v>
      </c>
      <c r="G7027" s="25">
        <v>1.6155E-4</v>
      </c>
      <c r="H7027" s="25">
        <v>1.2328E-4</v>
      </c>
      <c r="I7027" s="9">
        <v>1.3517999999999999E-4</v>
      </c>
      <c r="J7027" s="9">
        <v>1.3328999999999999E-4</v>
      </c>
      <c r="K7027" s="9">
        <v>0</v>
      </c>
      <c r="L7027" s="9">
        <v>1.1725E-4</v>
      </c>
      <c r="M7027" s="9">
        <v>1.4666000000000001E-4</v>
      </c>
      <c r="N7027" s="9">
        <v>1.7012E-4</v>
      </c>
      <c r="O7027" s="9">
        <v>1.2763E-4</v>
      </c>
      <c r="P7027" s="9">
        <v>1.3993E-4</v>
      </c>
      <c r="Q7027" s="9">
        <v>1.5291999999999999E-4</v>
      </c>
      <c r="R7027" s="10">
        <v>6.51540578547832E-5</v>
      </c>
      <c r="S7027" s="10">
        <v>1.9422069575638282E-5</v>
      </c>
      <c r="T7027" s="10">
        <v>1.0783544474031138E-4</v>
      </c>
      <c r="U7027" s="10">
        <v>6.8730000000000001E-5</v>
      </c>
      <c r="V7027" s="25"/>
      <c r="W7027" s="25"/>
      <c r="X7027" s="25"/>
      <c r="Y7027" s="25"/>
      <c r="Z7027" s="25"/>
      <c r="AA7027" s="25"/>
    </row>
    <row r="7028" spans="1:27" x14ac:dyDescent="0.35">
      <c r="A7028" s="5">
        <v>7024</v>
      </c>
      <c r="B7028" s="5">
        <v>293</v>
      </c>
      <c r="C7028" s="5">
        <v>10</v>
      </c>
      <c r="D7028" s="25">
        <v>1.1415000000000001E-4</v>
      </c>
      <c r="E7028" s="25">
        <v>1.1144E-4</v>
      </c>
      <c r="F7028" s="25">
        <v>1.4694E-4</v>
      </c>
      <c r="G7028" s="25">
        <v>1.6464E-4</v>
      </c>
      <c r="H7028" s="25">
        <v>1.1807999999999999E-4</v>
      </c>
      <c r="I7028" s="9">
        <v>1.339E-4</v>
      </c>
      <c r="J7028" s="9">
        <v>1.3315000000000001E-4</v>
      </c>
      <c r="K7028" s="9">
        <v>2.12E-5</v>
      </c>
      <c r="L7028" s="9">
        <v>1.2577000000000001E-4</v>
      </c>
      <c r="M7028" s="9">
        <v>1.4255E-4</v>
      </c>
      <c r="N7028" s="9">
        <v>1.6631999999999999E-4</v>
      </c>
      <c r="O7028" s="9">
        <v>1.3495E-4</v>
      </c>
      <c r="P7028" s="9">
        <v>1.2207E-4</v>
      </c>
      <c r="Q7028" s="9">
        <v>1.1035E-4</v>
      </c>
      <c r="R7028" s="10">
        <v>6.8222862389907477E-5</v>
      </c>
      <c r="S7028" s="10">
        <v>2.0941115684010783E-5</v>
      </c>
      <c r="T7028" s="10">
        <v>3.5549214277097145E-6</v>
      </c>
      <c r="U7028" s="10">
        <v>6.8730000000000001E-5</v>
      </c>
      <c r="V7028" s="25"/>
      <c r="W7028" s="25"/>
      <c r="X7028" s="25"/>
      <c r="Y7028" s="25"/>
      <c r="Z7028" s="25"/>
      <c r="AA7028" s="25"/>
    </row>
    <row r="7029" spans="1:27" x14ac:dyDescent="0.35">
      <c r="A7029" s="5">
        <v>7025</v>
      </c>
      <c r="B7029" s="5">
        <v>293</v>
      </c>
      <c r="C7029" s="5">
        <v>10</v>
      </c>
      <c r="D7029" s="25">
        <v>1.1416E-4</v>
      </c>
      <c r="E7029" s="25">
        <v>1.0863E-4</v>
      </c>
      <c r="F7029" s="25">
        <v>1.4616E-4</v>
      </c>
      <c r="G7029" s="25">
        <v>1.5681000000000001E-4</v>
      </c>
      <c r="H7029" s="25">
        <v>1.1947000000000001E-4</v>
      </c>
      <c r="I7029" s="9">
        <v>1.3464E-4</v>
      </c>
      <c r="J7029" s="9">
        <v>1.3493000000000001E-4</v>
      </c>
      <c r="K7029" s="9">
        <v>6.9939999999999998E-5</v>
      </c>
      <c r="L7029" s="9">
        <v>1.3265E-4</v>
      </c>
      <c r="M7029" s="9">
        <v>1.3428E-4</v>
      </c>
      <c r="N7029" s="9">
        <v>1.5275999999999999E-4</v>
      </c>
      <c r="O7029" s="9">
        <v>1.3938000000000001E-4</v>
      </c>
      <c r="P7029" s="9">
        <v>1.2224E-4</v>
      </c>
      <c r="Q7029" s="9">
        <v>1.0639E-4</v>
      </c>
      <c r="R7029" s="10">
        <v>5.9841780615228902E-5</v>
      </c>
      <c r="S7029" s="10">
        <v>2.5307792743290371E-5</v>
      </c>
      <c r="T7029" s="10">
        <v>8.7897341267476466E-6</v>
      </c>
      <c r="U7029" s="10">
        <v>6.8730000000000001E-5</v>
      </c>
      <c r="V7029" s="25"/>
      <c r="W7029" s="25"/>
      <c r="X7029" s="25"/>
      <c r="Y7029" s="25"/>
      <c r="Z7029" s="25"/>
      <c r="AA7029" s="25"/>
    </row>
    <row r="7030" spans="1:27" x14ac:dyDescent="0.35">
      <c r="A7030" s="5">
        <v>7026</v>
      </c>
      <c r="B7030" s="5">
        <v>293</v>
      </c>
      <c r="C7030" s="5">
        <v>10</v>
      </c>
      <c r="D7030" s="25">
        <v>1.1415000000000001E-4</v>
      </c>
      <c r="E7030" s="25">
        <v>1.1150999999999999E-4</v>
      </c>
      <c r="F7030" s="25">
        <v>1.3106000000000001E-4</v>
      </c>
      <c r="G7030" s="25">
        <v>1.6248E-4</v>
      </c>
      <c r="H7030" s="25">
        <v>1.1535E-4</v>
      </c>
      <c r="I7030" s="9">
        <v>1.3721999999999999E-4</v>
      </c>
      <c r="J7030" s="9">
        <v>1.3365999999999999E-4</v>
      </c>
      <c r="K7030" s="9">
        <v>1.0809E-4</v>
      </c>
      <c r="L7030" s="9">
        <v>1.3760000000000001E-4</v>
      </c>
      <c r="M7030" s="9">
        <v>1.2784999999999999E-4</v>
      </c>
      <c r="N7030" s="9">
        <v>1.3918000000000001E-4</v>
      </c>
      <c r="O7030" s="9">
        <v>1.4165E-4</v>
      </c>
      <c r="P7030" s="9">
        <v>1.2933000000000001E-4</v>
      </c>
      <c r="Q7030" s="9">
        <v>1.1824000000000001E-4</v>
      </c>
      <c r="R7030" s="10">
        <v>5.4765981277015571E-5</v>
      </c>
      <c r="S7030" s="10">
        <v>2.0901555928480949E-5</v>
      </c>
      <c r="T7030" s="10">
        <v>0</v>
      </c>
      <c r="U7030" s="10">
        <v>6.8730000000000001E-5</v>
      </c>
      <c r="V7030" s="25"/>
      <c r="W7030" s="25"/>
      <c r="X7030" s="25"/>
      <c r="Y7030" s="25"/>
      <c r="Z7030" s="25"/>
      <c r="AA7030" s="25"/>
    </row>
    <row r="7031" spans="1:27" x14ac:dyDescent="0.35">
      <c r="A7031" s="5">
        <v>7027</v>
      </c>
      <c r="B7031" s="5">
        <v>293</v>
      </c>
      <c r="C7031" s="5">
        <v>10</v>
      </c>
      <c r="D7031" s="25">
        <v>1.1416E-4</v>
      </c>
      <c r="E7031" s="25">
        <v>1.0483E-4</v>
      </c>
      <c r="F7031" s="25">
        <v>1.4320000000000001E-4</v>
      </c>
      <c r="G7031" s="25">
        <v>1.0707E-4</v>
      </c>
      <c r="H7031" s="25">
        <v>8.4569999999999998E-5</v>
      </c>
      <c r="I7031" s="9">
        <v>1.3757999999999999E-4</v>
      </c>
      <c r="J7031" s="9">
        <v>1.3723000000000001E-4</v>
      </c>
      <c r="K7031" s="9">
        <v>1.2292E-4</v>
      </c>
      <c r="L7031" s="9">
        <v>1.4069000000000001E-4</v>
      </c>
      <c r="M7031" s="9">
        <v>1.2688E-4</v>
      </c>
      <c r="N7031" s="9">
        <v>1.3020999999999999E-4</v>
      </c>
      <c r="O7031" s="9">
        <v>1.404E-4</v>
      </c>
      <c r="P7031" s="9">
        <v>1.2260999999999999E-4</v>
      </c>
      <c r="Q7031" s="9">
        <v>1.0613E-4</v>
      </c>
      <c r="R7031" s="10">
        <v>5.419657115002843E-5</v>
      </c>
      <c r="S7031" s="10">
        <v>1.2123212226473502E-5</v>
      </c>
      <c r="T7031" s="10">
        <v>0</v>
      </c>
      <c r="U7031" s="10">
        <v>6.8730000000000001E-5</v>
      </c>
      <c r="V7031" s="25"/>
      <c r="W7031" s="25"/>
      <c r="X7031" s="25"/>
      <c r="Y7031" s="25"/>
      <c r="Z7031" s="25"/>
      <c r="AA7031" s="25"/>
    </row>
    <row r="7032" spans="1:27" x14ac:dyDescent="0.35">
      <c r="A7032" s="5">
        <v>7028</v>
      </c>
      <c r="B7032" s="5">
        <v>293</v>
      </c>
      <c r="C7032" s="5">
        <v>10</v>
      </c>
      <c r="D7032" s="25">
        <v>1.1415000000000001E-4</v>
      </c>
      <c r="E7032" s="25">
        <v>1.1196000000000001E-4</v>
      </c>
      <c r="F7032" s="25">
        <v>1.4002E-4</v>
      </c>
      <c r="G7032" s="25">
        <v>1.0741E-4</v>
      </c>
      <c r="H7032" s="25">
        <v>8.0560000000000001E-5</v>
      </c>
      <c r="I7032" s="9">
        <v>1.2931999999999999E-4</v>
      </c>
      <c r="J7032" s="9">
        <v>1.3391999999999999E-4</v>
      </c>
      <c r="K7032" s="9">
        <v>1.5259E-4</v>
      </c>
      <c r="L7032" s="9">
        <v>1.4043000000000001E-4</v>
      </c>
      <c r="M7032" s="9">
        <v>1.2538E-4</v>
      </c>
      <c r="N7032" s="9">
        <v>1.2084E-4</v>
      </c>
      <c r="O7032" s="9">
        <v>1.4297999999999999E-4</v>
      </c>
      <c r="P7032" s="9">
        <v>1.2134E-4</v>
      </c>
      <c r="Q7032" s="9">
        <v>1.011E-4</v>
      </c>
      <c r="R7032" s="10">
        <v>3.6951094354467042E-5</v>
      </c>
      <c r="S7032" s="10">
        <v>9.0664520164015401E-6</v>
      </c>
      <c r="T7032" s="10">
        <v>0</v>
      </c>
      <c r="U7032" s="10">
        <v>6.8730000000000001E-5</v>
      </c>
      <c r="V7032" s="25"/>
      <c r="W7032" s="25"/>
      <c r="X7032" s="25"/>
      <c r="Y7032" s="25"/>
      <c r="Z7032" s="25"/>
      <c r="AA7032" s="25"/>
    </row>
    <row r="7033" spans="1:27" x14ac:dyDescent="0.35">
      <c r="A7033" s="5">
        <v>7029</v>
      </c>
      <c r="B7033" s="5">
        <v>293</v>
      </c>
      <c r="C7033" s="5">
        <v>10</v>
      </c>
      <c r="D7033" s="25">
        <v>1.1416E-4</v>
      </c>
      <c r="E7033" s="25">
        <v>1.1166E-4</v>
      </c>
      <c r="F7033" s="25">
        <v>1.4641E-4</v>
      </c>
      <c r="G7033" s="25">
        <v>5.9889999999999997E-5</v>
      </c>
      <c r="H7033" s="25">
        <v>3.8399999999999998E-5</v>
      </c>
      <c r="I7033" s="9">
        <v>1.2244E-4</v>
      </c>
      <c r="J7033" s="9">
        <v>1.2713000000000001E-4</v>
      </c>
      <c r="K7033" s="9">
        <v>1.2505E-4</v>
      </c>
      <c r="L7033" s="9">
        <v>1.4244999999999999E-4</v>
      </c>
      <c r="M7033" s="9">
        <v>1.2355999999999999E-4</v>
      </c>
      <c r="N7033" s="9">
        <v>1.1294E-4</v>
      </c>
      <c r="O7033" s="9">
        <v>8.5019999999999996E-5</v>
      </c>
      <c r="P7033" s="9">
        <v>8.6669999999999995E-5</v>
      </c>
      <c r="Q7033" s="9">
        <v>8.8679999999999998E-5</v>
      </c>
      <c r="R7033" s="10">
        <v>1.9868242671444107E-5</v>
      </c>
      <c r="S7033" s="10">
        <v>5.6953065397229837E-6</v>
      </c>
      <c r="T7033" s="10">
        <v>0</v>
      </c>
      <c r="U7033" s="10">
        <v>6.8730000000000001E-5</v>
      </c>
      <c r="V7033" s="25"/>
      <c r="W7033" s="25"/>
      <c r="X7033" s="25"/>
      <c r="Y7033" s="25"/>
      <c r="Z7033" s="25"/>
      <c r="AA7033" s="25"/>
    </row>
    <row r="7034" spans="1:27" x14ac:dyDescent="0.35">
      <c r="A7034" s="5">
        <v>7030</v>
      </c>
      <c r="B7034" s="5">
        <v>293</v>
      </c>
      <c r="C7034" s="5">
        <v>10</v>
      </c>
      <c r="D7034" s="25">
        <v>1.1415000000000001E-4</v>
      </c>
      <c r="E7034" s="25">
        <v>1.1217000000000001E-4</v>
      </c>
      <c r="F7034" s="25">
        <v>1.4708000000000001E-4</v>
      </c>
      <c r="G7034" s="25">
        <v>5.5500000000000001E-5</v>
      </c>
      <c r="H7034" s="25">
        <v>4.2400000000000001E-5</v>
      </c>
      <c r="I7034" s="9">
        <v>1.2121E-4</v>
      </c>
      <c r="J7034" s="9">
        <v>1.1889E-4</v>
      </c>
      <c r="K7034" s="9">
        <v>1.5683E-4</v>
      </c>
      <c r="L7034" s="9">
        <v>9.7609999999999995E-5</v>
      </c>
      <c r="M7034" s="9">
        <v>1.0977E-4</v>
      </c>
      <c r="N7034" s="9">
        <v>1.0541E-4</v>
      </c>
      <c r="O7034" s="9">
        <v>8.6760000000000003E-5</v>
      </c>
      <c r="P7034" s="9">
        <v>8.7000000000000001E-5</v>
      </c>
      <c r="Q7034" s="9">
        <v>8.7639999999999994E-5</v>
      </c>
      <c r="R7034" s="10">
        <v>7.647136505186818E-6</v>
      </c>
      <c r="S7034" s="10">
        <v>1.3660186171853761E-5</v>
      </c>
      <c r="T7034" s="10">
        <v>0</v>
      </c>
      <c r="U7034" s="10">
        <v>6.8730000000000001E-5</v>
      </c>
      <c r="V7034" s="25"/>
      <c r="W7034" s="25"/>
      <c r="X7034" s="25"/>
      <c r="Y7034" s="25"/>
      <c r="Z7034" s="25"/>
      <c r="AA7034" s="25"/>
    </row>
    <row r="7035" spans="1:27" x14ac:dyDescent="0.35">
      <c r="A7035" s="5">
        <v>7031</v>
      </c>
      <c r="B7035" s="5">
        <v>293</v>
      </c>
      <c r="C7035" s="5">
        <v>10</v>
      </c>
      <c r="D7035" s="25">
        <v>1.1416E-4</v>
      </c>
      <c r="E7035" s="25">
        <v>1.0611999999999999E-4</v>
      </c>
      <c r="F7035" s="25">
        <v>1.4008E-4</v>
      </c>
      <c r="G7035" s="25">
        <v>5.533E-5</v>
      </c>
      <c r="H7035" s="25">
        <v>4.4409999999999997E-5</v>
      </c>
      <c r="I7035" s="9">
        <v>1.1817E-4</v>
      </c>
      <c r="J7035" s="9">
        <v>1.1089E-4</v>
      </c>
      <c r="K7035" s="9">
        <v>1.3988E-4</v>
      </c>
      <c r="L7035" s="9">
        <v>9.0379999999999999E-5</v>
      </c>
      <c r="M7035" s="9">
        <v>9.789E-5</v>
      </c>
      <c r="N7035" s="9">
        <v>9.9500000000000006E-5</v>
      </c>
      <c r="O7035" s="9">
        <v>8.4519999999999997E-5</v>
      </c>
      <c r="P7035" s="9">
        <v>7.5389999999999995E-5</v>
      </c>
      <c r="Q7035" s="9">
        <v>6.6790000000000003E-5</v>
      </c>
      <c r="R7035" s="10">
        <v>2.1438871880399461E-6</v>
      </c>
      <c r="S7035" s="10">
        <v>1.4657891139086118E-5</v>
      </c>
      <c r="T7035" s="10">
        <v>0</v>
      </c>
      <c r="U7035" s="10">
        <v>6.8730000000000001E-5</v>
      </c>
      <c r="V7035" s="25"/>
      <c r="W7035" s="25"/>
      <c r="X7035" s="25"/>
      <c r="Y7035" s="25"/>
      <c r="Z7035" s="25"/>
      <c r="AA7035" s="25"/>
    </row>
    <row r="7036" spans="1:27" x14ac:dyDescent="0.35">
      <c r="A7036" s="5">
        <v>7032</v>
      </c>
      <c r="B7036" s="5">
        <v>293</v>
      </c>
      <c r="C7036" s="5">
        <v>10</v>
      </c>
      <c r="D7036" s="25">
        <v>1.1415000000000001E-4</v>
      </c>
      <c r="E7036" s="25">
        <v>1.132E-4</v>
      </c>
      <c r="F7036" s="25">
        <v>1.4098E-4</v>
      </c>
      <c r="G7036" s="25">
        <v>5.2710000000000002E-5</v>
      </c>
      <c r="H7036" s="25">
        <v>4.1860000000000002E-5</v>
      </c>
      <c r="I7036" s="9">
        <v>1.0993999999999999E-4</v>
      </c>
      <c r="J7036" s="9">
        <v>1.0307E-4</v>
      </c>
      <c r="K7036" s="9">
        <v>1.5259E-4</v>
      </c>
      <c r="L7036" s="9">
        <v>8.6050000000000005E-5</v>
      </c>
      <c r="M7036" s="9">
        <v>8.7000000000000001E-5</v>
      </c>
      <c r="N7036" s="9">
        <v>9.0249999999999998E-5</v>
      </c>
      <c r="O7036" s="9">
        <v>7.9309999999999998E-5</v>
      </c>
      <c r="P7036" s="9">
        <v>6.8910000000000003E-5</v>
      </c>
      <c r="Q7036" s="9">
        <v>5.8980000000000001E-5</v>
      </c>
      <c r="R7036" s="10">
        <v>1.4340245972581286E-6</v>
      </c>
      <c r="S7036" s="10">
        <v>2.0192355227747637E-5</v>
      </c>
      <c r="T7036" s="10">
        <v>0</v>
      </c>
      <c r="U7036" s="10">
        <v>6.8730000000000001E-5</v>
      </c>
      <c r="V7036" s="25"/>
      <c r="W7036" s="25"/>
      <c r="X7036" s="25"/>
      <c r="Y7036" s="25"/>
      <c r="Z7036" s="25"/>
      <c r="AA7036" s="25"/>
    </row>
    <row r="7037" spans="1:27" x14ac:dyDescent="0.35">
      <c r="A7037" s="5">
        <v>7033</v>
      </c>
      <c r="B7037" s="5">
        <v>294</v>
      </c>
      <c r="C7037" s="5">
        <v>10</v>
      </c>
      <c r="D7037" s="25">
        <v>1.1416E-4</v>
      </c>
      <c r="E7037" s="25">
        <v>1.206E-4</v>
      </c>
      <c r="F7037" s="25">
        <v>1.1513E-4</v>
      </c>
      <c r="G7037" s="25">
        <v>5.7720000000000003E-5</v>
      </c>
      <c r="H7037" s="25">
        <v>1.377E-5</v>
      </c>
      <c r="I7037" s="9">
        <v>1.0425999999999999E-4</v>
      </c>
      <c r="J7037" s="9">
        <v>9.7330000000000005E-5</v>
      </c>
      <c r="K7037" s="9">
        <v>1.6107E-4</v>
      </c>
      <c r="L7037" s="9">
        <v>8.0580000000000004E-5</v>
      </c>
      <c r="M7037" s="9">
        <v>7.8020000000000002E-5</v>
      </c>
      <c r="N7037" s="9">
        <v>8.0950000000000003E-5</v>
      </c>
      <c r="O7037" s="9">
        <v>6.7990000000000005E-5</v>
      </c>
      <c r="P7037" s="9">
        <v>6.054E-5</v>
      </c>
      <c r="Q7037" s="9">
        <v>5.3390000000000002E-5</v>
      </c>
      <c r="R7037" s="10">
        <v>9.5224032798619054E-6</v>
      </c>
      <c r="S7037" s="10">
        <v>3.0103536304688037E-5</v>
      </c>
      <c r="T7037" s="10">
        <v>0</v>
      </c>
      <c r="U7037" s="10">
        <v>6.8990000000000002E-5</v>
      </c>
      <c r="V7037" s="25"/>
      <c r="W7037" s="25"/>
      <c r="X7037" s="25"/>
      <c r="Y7037" s="25"/>
      <c r="Z7037" s="25"/>
      <c r="AA7037" s="25"/>
    </row>
    <row r="7038" spans="1:27" x14ac:dyDescent="0.35">
      <c r="A7038" s="5">
        <v>7034</v>
      </c>
      <c r="B7038" s="5">
        <v>294</v>
      </c>
      <c r="C7038" s="5">
        <v>10</v>
      </c>
      <c r="D7038" s="25">
        <v>1.1415000000000001E-4</v>
      </c>
      <c r="E7038" s="25">
        <v>1.1111E-4</v>
      </c>
      <c r="F7038" s="25">
        <v>1.2027999999999999E-4</v>
      </c>
      <c r="G7038" s="25">
        <v>5.4979999999999999E-5</v>
      </c>
      <c r="H7038" s="25">
        <v>1.433E-5</v>
      </c>
      <c r="I7038" s="9">
        <v>1.0048E-4</v>
      </c>
      <c r="J7038" s="9">
        <v>9.4229999999999997E-5</v>
      </c>
      <c r="K7038" s="9">
        <v>1.7802000000000001E-4</v>
      </c>
      <c r="L7038" s="9">
        <v>7.0889999999999994E-5</v>
      </c>
      <c r="M7038" s="9">
        <v>6.9629999999999996E-5</v>
      </c>
      <c r="N7038" s="9">
        <v>7.1920000000000003E-5</v>
      </c>
      <c r="O7038" s="9">
        <v>3.4980000000000001E-5</v>
      </c>
      <c r="P7038" s="9">
        <v>4.5630000000000002E-5</v>
      </c>
      <c r="Q7038" s="9">
        <v>5.592E-5</v>
      </c>
      <c r="R7038" s="10">
        <v>1.5909614584131375E-5</v>
      </c>
      <c r="S7038" s="10">
        <v>4.4957247441504417E-5</v>
      </c>
      <c r="T7038" s="10">
        <v>0</v>
      </c>
      <c r="U7038" s="10">
        <v>6.8990000000000002E-5</v>
      </c>
      <c r="V7038" s="25"/>
      <c r="W7038" s="25"/>
      <c r="X7038" s="25"/>
      <c r="Y7038" s="25"/>
      <c r="Z7038" s="25"/>
      <c r="AA7038" s="25"/>
    </row>
    <row r="7039" spans="1:27" x14ac:dyDescent="0.35">
      <c r="A7039" s="5">
        <v>7035</v>
      </c>
      <c r="B7039" s="5">
        <v>294</v>
      </c>
      <c r="C7039" s="5">
        <v>10</v>
      </c>
      <c r="D7039" s="25">
        <v>1.1416E-4</v>
      </c>
      <c r="E7039" s="25">
        <v>1.1742E-4</v>
      </c>
      <c r="F7039" s="25">
        <v>1.1911E-4</v>
      </c>
      <c r="G7039" s="25">
        <v>6.0470000000000002E-5</v>
      </c>
      <c r="H7039" s="25">
        <v>1.348E-5</v>
      </c>
      <c r="I7039" s="9">
        <v>9.8869999999999994E-5</v>
      </c>
      <c r="J7039" s="9">
        <v>9.3259999999999998E-5</v>
      </c>
      <c r="K7039" s="9">
        <v>1.5894999999999999E-4</v>
      </c>
      <c r="L7039" s="9">
        <v>4.3139999999999997E-5</v>
      </c>
      <c r="M7039" s="9">
        <v>5.8999999999999998E-5</v>
      </c>
      <c r="N7039" s="9">
        <v>6.5339999999999994E-5</v>
      </c>
      <c r="O7039" s="9">
        <v>2.179E-5</v>
      </c>
      <c r="P7039" s="9">
        <v>4.1789999999999998E-5</v>
      </c>
      <c r="Q7039" s="9">
        <v>6.1119999999999998E-5</v>
      </c>
      <c r="R7039" s="10">
        <v>2.7183628981374465E-5</v>
      </c>
      <c r="S7039" s="10">
        <v>7.145074135016614E-5</v>
      </c>
      <c r="T7039" s="10">
        <v>0</v>
      </c>
      <c r="U7039" s="10">
        <v>6.8990000000000002E-5</v>
      </c>
      <c r="V7039" s="25"/>
      <c r="W7039" s="25"/>
      <c r="X7039" s="25"/>
      <c r="Y7039" s="25"/>
      <c r="Z7039" s="25"/>
      <c r="AA7039" s="25"/>
    </row>
    <row r="7040" spans="1:27" x14ac:dyDescent="0.35">
      <c r="A7040" s="5">
        <v>7036</v>
      </c>
      <c r="B7040" s="5">
        <v>294</v>
      </c>
      <c r="C7040" s="5">
        <v>10</v>
      </c>
      <c r="D7040" s="25">
        <v>1.1415000000000001E-4</v>
      </c>
      <c r="E7040" s="25">
        <v>1.2005E-4</v>
      </c>
      <c r="F7040" s="25">
        <v>1.1514E-4</v>
      </c>
      <c r="G7040" s="25">
        <v>5.2760000000000003E-5</v>
      </c>
      <c r="H7040" s="25">
        <v>1.435E-5</v>
      </c>
      <c r="I7040" s="9">
        <v>1.0032E-4</v>
      </c>
      <c r="J7040" s="9">
        <v>9.3490000000000001E-5</v>
      </c>
      <c r="K7040" s="9">
        <v>1.5259E-4</v>
      </c>
      <c r="L7040" s="9">
        <v>2.7229999999999998E-5</v>
      </c>
      <c r="M7040" s="9">
        <v>5.0250000000000002E-5</v>
      </c>
      <c r="N7040" s="9">
        <v>6.1719999999999999E-5</v>
      </c>
      <c r="O7040" s="9">
        <v>2.1399999999999998E-5</v>
      </c>
      <c r="P7040" s="9">
        <v>5.126E-5</v>
      </c>
      <c r="Q7040" s="9">
        <v>8.0309999999999995E-5</v>
      </c>
      <c r="R7040" s="10">
        <v>4.4513172675459515E-5</v>
      </c>
      <c r="S7040" s="10">
        <v>8.9001193162894992E-5</v>
      </c>
      <c r="T7040" s="10">
        <v>0</v>
      </c>
      <c r="U7040" s="10">
        <v>6.8990000000000002E-5</v>
      </c>
      <c r="V7040" s="25"/>
      <c r="W7040" s="25"/>
      <c r="X7040" s="25"/>
      <c r="Y7040" s="25"/>
      <c r="Z7040" s="25"/>
      <c r="AA7040" s="25"/>
    </row>
    <row r="7041" spans="1:27" x14ac:dyDescent="0.35">
      <c r="A7041" s="5">
        <v>7037</v>
      </c>
      <c r="B7041" s="5">
        <v>294</v>
      </c>
      <c r="C7041" s="5">
        <v>10</v>
      </c>
      <c r="D7041" s="25">
        <v>1.1416E-4</v>
      </c>
      <c r="E7041" s="25">
        <v>1.1047E-4</v>
      </c>
      <c r="F7041" s="25">
        <v>1.1663999999999999E-4</v>
      </c>
      <c r="G7041" s="25">
        <v>5.8109999999999998E-5</v>
      </c>
      <c r="H7041" s="25">
        <v>1.501E-5</v>
      </c>
      <c r="I7041" s="9">
        <v>1.0569E-4</v>
      </c>
      <c r="J7041" s="9">
        <v>9.5669999999999997E-5</v>
      </c>
      <c r="K7041" s="9">
        <v>1.4412E-4</v>
      </c>
      <c r="L7041" s="9">
        <v>2.3070000000000001E-5</v>
      </c>
      <c r="M7041" s="9">
        <v>4.8579999999999999E-5</v>
      </c>
      <c r="N7041" s="9">
        <v>6.4270000000000006E-5</v>
      </c>
      <c r="O7041" s="9">
        <v>2.3370000000000002E-5</v>
      </c>
      <c r="P7041" s="9">
        <v>5.906E-5</v>
      </c>
      <c r="Q7041" s="9">
        <v>9.3859999999999999E-5</v>
      </c>
      <c r="R7041" s="10">
        <v>5.8331572562908511E-5</v>
      </c>
      <c r="S7041" s="10">
        <v>1.1002198421284643E-4</v>
      </c>
      <c r="T7041" s="10">
        <v>0</v>
      </c>
      <c r="U7041" s="10">
        <v>6.8990000000000002E-5</v>
      </c>
      <c r="V7041" s="25"/>
      <c r="W7041" s="25"/>
      <c r="X7041" s="25"/>
      <c r="Y7041" s="25"/>
      <c r="Z7041" s="25"/>
      <c r="AA7041" s="25"/>
    </row>
    <row r="7042" spans="1:27" x14ac:dyDescent="0.35">
      <c r="A7042" s="5">
        <v>7038</v>
      </c>
      <c r="B7042" s="5">
        <v>294</v>
      </c>
      <c r="C7042" s="5">
        <v>10</v>
      </c>
      <c r="D7042" s="25">
        <v>1.1415000000000001E-4</v>
      </c>
      <c r="E7042" s="25">
        <v>1.1906E-4</v>
      </c>
      <c r="F7042" s="25">
        <v>1.3316000000000001E-4</v>
      </c>
      <c r="G7042" s="25">
        <v>1.139E-4</v>
      </c>
      <c r="H7042" s="25">
        <v>2.5870000000000001E-5</v>
      </c>
      <c r="I7042" s="9">
        <v>1.2022E-4</v>
      </c>
      <c r="J7042" s="9">
        <v>1.0445E-4</v>
      </c>
      <c r="K7042" s="9">
        <v>1.3352000000000001E-4</v>
      </c>
      <c r="L7042" s="9">
        <v>2.323E-5</v>
      </c>
      <c r="M7042" s="9">
        <v>5.2269999999999999E-5</v>
      </c>
      <c r="N7042" s="9">
        <v>7.0900000000000002E-5</v>
      </c>
      <c r="O7042" s="9">
        <v>2.9499999999999999E-5</v>
      </c>
      <c r="P7042" s="9">
        <v>6.8429999999999994E-5</v>
      </c>
      <c r="Q7042" s="9">
        <v>1.065E-4</v>
      </c>
      <c r="R7042" s="10">
        <v>7.261110066871364E-5</v>
      </c>
      <c r="S7042" s="10">
        <v>1.3363455814551401E-4</v>
      </c>
      <c r="T7042" s="10">
        <v>0</v>
      </c>
      <c r="U7042" s="10">
        <v>6.8990000000000002E-5</v>
      </c>
      <c r="V7042" s="25"/>
      <c r="W7042" s="25"/>
      <c r="X7042" s="25"/>
      <c r="Y7042" s="25"/>
      <c r="Z7042" s="25"/>
      <c r="AA7042" s="25"/>
    </row>
    <row r="7043" spans="1:27" x14ac:dyDescent="0.35">
      <c r="A7043" s="5">
        <v>7039</v>
      </c>
      <c r="B7043" s="5">
        <v>294</v>
      </c>
      <c r="C7043" s="5">
        <v>10</v>
      </c>
      <c r="D7043" s="25">
        <v>1.1416E-4</v>
      </c>
      <c r="E7043" s="25">
        <v>1.2004E-4</v>
      </c>
      <c r="F7043" s="25">
        <v>1.2813000000000001E-4</v>
      </c>
      <c r="G7043" s="25">
        <v>1.071E-4</v>
      </c>
      <c r="H7043" s="25">
        <v>2.8019999999999999E-5</v>
      </c>
      <c r="I7043" s="9">
        <v>1.3428999999999999E-4</v>
      </c>
      <c r="J7043" s="9">
        <v>1.2073E-4</v>
      </c>
      <c r="K7043" s="9">
        <v>1.208E-4</v>
      </c>
      <c r="L7043" s="9">
        <v>2.8019999999999999E-5</v>
      </c>
      <c r="M7043" s="9">
        <v>5.9179999999999999E-5</v>
      </c>
      <c r="N7043" s="9">
        <v>8.0530000000000003E-5</v>
      </c>
      <c r="O7043" s="9">
        <v>4.6109999999999997E-5</v>
      </c>
      <c r="P7043" s="9">
        <v>7.949E-5</v>
      </c>
      <c r="Q7043" s="9">
        <v>1.1228E-4</v>
      </c>
      <c r="R7043" s="10">
        <v>8.719863483157491E-5</v>
      </c>
      <c r="S7043" s="10">
        <v>1.6619481424729051E-4</v>
      </c>
      <c r="T7043" s="10">
        <v>0</v>
      </c>
      <c r="U7043" s="10">
        <v>6.8990000000000002E-5</v>
      </c>
      <c r="V7043" s="25"/>
      <c r="W7043" s="25"/>
      <c r="X7043" s="25"/>
      <c r="Y7043" s="25"/>
      <c r="Z7043" s="25"/>
      <c r="AA7043" s="25"/>
    </row>
    <row r="7044" spans="1:27" x14ac:dyDescent="0.35">
      <c r="A7044" s="5">
        <v>7040</v>
      </c>
      <c r="B7044" s="5">
        <v>294</v>
      </c>
      <c r="C7044" s="5">
        <v>10</v>
      </c>
      <c r="D7044" s="25">
        <v>1.1415000000000001E-4</v>
      </c>
      <c r="E7044" s="25">
        <v>1.1911E-4</v>
      </c>
      <c r="F7044" s="25">
        <v>1.143E-4</v>
      </c>
      <c r="G7044" s="25">
        <v>1.571E-4</v>
      </c>
      <c r="H7044" s="25">
        <v>3.9140000000000001E-5</v>
      </c>
      <c r="I7044" s="9">
        <v>1.3456000000000001E-4</v>
      </c>
      <c r="J7044" s="9">
        <v>1.3336000000000001E-4</v>
      </c>
      <c r="K7044" s="9">
        <v>9.9610000000000003E-5</v>
      </c>
      <c r="L7044" s="9">
        <v>4.1980000000000001E-5</v>
      </c>
      <c r="M7044" s="9">
        <v>6.8230000000000002E-5</v>
      </c>
      <c r="N7044" s="9">
        <v>9.0630000000000005E-5</v>
      </c>
      <c r="O7044" s="9">
        <v>6.8549999999999999E-5</v>
      </c>
      <c r="P7044" s="9">
        <v>1.0308E-4</v>
      </c>
      <c r="Q7044" s="9">
        <v>1.3726E-4</v>
      </c>
      <c r="R7044" s="10">
        <v>1.0236760982919354E-4</v>
      </c>
      <c r="S7044" s="10">
        <v>1.7929741703343204E-4</v>
      </c>
      <c r="T7044" s="10">
        <v>1.6934661502884466E-5</v>
      </c>
      <c r="U7044" s="10">
        <v>6.8990000000000002E-5</v>
      </c>
      <c r="V7044" s="25"/>
      <c r="W7044" s="25"/>
      <c r="X7044" s="25"/>
      <c r="Y7044" s="25"/>
      <c r="Z7044" s="25"/>
      <c r="AA7044" s="25"/>
    </row>
    <row r="7045" spans="1:27" x14ac:dyDescent="0.35">
      <c r="A7045" s="5">
        <v>7041</v>
      </c>
      <c r="B7045" s="5">
        <v>294</v>
      </c>
      <c r="C7045" s="5">
        <v>10</v>
      </c>
      <c r="D7045" s="25">
        <v>1.1416E-4</v>
      </c>
      <c r="E7045" s="25">
        <v>1.1692E-4</v>
      </c>
      <c r="F7045" s="25">
        <v>1.1464E-4</v>
      </c>
      <c r="G7045" s="25">
        <v>1.5735E-4</v>
      </c>
      <c r="H7045" s="25">
        <v>4.1170000000000001E-5</v>
      </c>
      <c r="I7045" s="9">
        <v>1.3516E-4</v>
      </c>
      <c r="J7045" s="9">
        <v>1.3791000000000001E-4</v>
      </c>
      <c r="K7045" s="9">
        <v>8.2659999999999998E-5</v>
      </c>
      <c r="L7045" s="9">
        <v>6.2329999999999994E-5</v>
      </c>
      <c r="M7045" s="9">
        <v>8.3020000000000001E-5</v>
      </c>
      <c r="N7045" s="9">
        <v>1.0454E-4</v>
      </c>
      <c r="O7045" s="9">
        <v>9.9679999999999994E-5</v>
      </c>
      <c r="P7045" s="9">
        <v>1.3807000000000001E-4</v>
      </c>
      <c r="Q7045" s="9">
        <v>1.7641E-4</v>
      </c>
      <c r="R7045" s="10">
        <v>1.1776807523796727E-4</v>
      </c>
      <c r="S7045" s="10">
        <v>1.8375030378823558E-4</v>
      </c>
      <c r="T7045" s="10">
        <v>6.812892378164441E-5</v>
      </c>
      <c r="U7045" s="10">
        <v>6.8990000000000002E-5</v>
      </c>
      <c r="V7045" s="25"/>
      <c r="W7045" s="25"/>
      <c r="X7045" s="25"/>
      <c r="Y7045" s="25"/>
      <c r="Z7045" s="25"/>
      <c r="AA7045" s="25"/>
    </row>
    <row r="7046" spans="1:27" x14ac:dyDescent="0.35">
      <c r="A7046" s="5">
        <v>7042</v>
      </c>
      <c r="B7046" s="5">
        <v>294</v>
      </c>
      <c r="C7046" s="5">
        <v>10</v>
      </c>
      <c r="D7046" s="25">
        <v>1.1415000000000001E-4</v>
      </c>
      <c r="E7046" s="25">
        <v>1.1378E-4</v>
      </c>
      <c r="F7046" s="25">
        <v>1.176E-4</v>
      </c>
      <c r="G7046" s="25">
        <v>1.6704E-4</v>
      </c>
      <c r="H7046" s="25">
        <v>4.1230000000000003E-5</v>
      </c>
      <c r="I7046" s="9">
        <v>1.3631E-4</v>
      </c>
      <c r="J7046" s="9">
        <v>1.3913E-4</v>
      </c>
      <c r="K7046" s="9">
        <v>5.7229999999999999E-5</v>
      </c>
      <c r="L7046" s="9">
        <v>9.0929999999999998E-5</v>
      </c>
      <c r="M7046" s="9">
        <v>1.0658E-4</v>
      </c>
      <c r="N7046" s="9">
        <v>1.2448E-4</v>
      </c>
      <c r="O7046" s="9">
        <v>1.2765000000000001E-4</v>
      </c>
      <c r="P7046" s="9">
        <v>1.5385E-4</v>
      </c>
      <c r="Q7046" s="9">
        <v>1.8050999999999999E-4</v>
      </c>
      <c r="R7046" s="10">
        <v>1.3110425952833385E-4</v>
      </c>
      <c r="S7046" s="10">
        <v>1.8521493762007794E-4</v>
      </c>
      <c r="T7046" s="10">
        <v>4.1013103058588927E-5</v>
      </c>
      <c r="U7046" s="10">
        <v>6.8990000000000002E-5</v>
      </c>
      <c r="V7046" s="25"/>
      <c r="W7046" s="25"/>
      <c r="X7046" s="25"/>
      <c r="Y7046" s="25"/>
      <c r="Z7046" s="25"/>
      <c r="AA7046" s="25"/>
    </row>
    <row r="7047" spans="1:27" x14ac:dyDescent="0.35">
      <c r="A7047" s="5">
        <v>7043</v>
      </c>
      <c r="B7047" s="5">
        <v>294</v>
      </c>
      <c r="C7047" s="5">
        <v>10</v>
      </c>
      <c r="D7047" s="25">
        <v>1.1416E-4</v>
      </c>
      <c r="E7047" s="25">
        <v>1.1129E-4</v>
      </c>
      <c r="F7047" s="25">
        <v>1.2384000000000001E-4</v>
      </c>
      <c r="G7047" s="25">
        <v>1.5820999999999999E-4</v>
      </c>
      <c r="H7047" s="25">
        <v>4.0979999999999997E-5</v>
      </c>
      <c r="I7047" s="9">
        <v>1.3802000000000001E-4</v>
      </c>
      <c r="J7047" s="9">
        <v>1.3935999999999999E-4</v>
      </c>
      <c r="K7047" s="9">
        <v>2.756E-5</v>
      </c>
      <c r="L7047" s="9">
        <v>1.1887000000000001E-4</v>
      </c>
      <c r="M7047" s="9">
        <v>1.2952999999999999E-4</v>
      </c>
      <c r="N7047" s="9">
        <v>1.4223E-4</v>
      </c>
      <c r="O7047" s="9">
        <v>1.3732999999999999E-4</v>
      </c>
      <c r="P7047" s="9">
        <v>1.5825E-4</v>
      </c>
      <c r="Q7047" s="9">
        <v>1.7982E-4</v>
      </c>
      <c r="R7047" s="10">
        <v>1.3572692838272301E-4</v>
      </c>
      <c r="S7047" s="10">
        <v>1.8709183587595858E-4</v>
      </c>
      <c r="T7047" s="10">
        <v>6.7305946744680584E-5</v>
      </c>
      <c r="U7047" s="10">
        <v>6.8990000000000002E-5</v>
      </c>
      <c r="V7047" s="25"/>
      <c r="W7047" s="25"/>
      <c r="X7047" s="25"/>
      <c r="Y7047" s="25"/>
      <c r="Z7047" s="25"/>
      <c r="AA7047" s="25"/>
    </row>
    <row r="7048" spans="1:27" x14ac:dyDescent="0.35">
      <c r="A7048" s="5">
        <v>7044</v>
      </c>
      <c r="B7048" s="5">
        <v>294</v>
      </c>
      <c r="C7048" s="5">
        <v>10</v>
      </c>
      <c r="D7048" s="25">
        <v>1.1415000000000001E-4</v>
      </c>
      <c r="E7048" s="25">
        <v>1.2019E-4</v>
      </c>
      <c r="F7048" s="25">
        <v>1.1413000000000001E-4</v>
      </c>
      <c r="G7048" s="25">
        <v>1.5778999999999999E-4</v>
      </c>
      <c r="H7048" s="25">
        <v>4.0370000000000001E-5</v>
      </c>
      <c r="I7048" s="9">
        <v>1.3485999999999999E-4</v>
      </c>
      <c r="J7048" s="9">
        <v>1.3820999999999999E-4</v>
      </c>
      <c r="K7048" s="9">
        <v>1.06E-5</v>
      </c>
      <c r="L7048" s="9">
        <v>1.3261999999999999E-4</v>
      </c>
      <c r="M7048" s="9">
        <v>1.4529000000000001E-4</v>
      </c>
      <c r="N7048" s="9">
        <v>1.5642999999999999E-4</v>
      </c>
      <c r="O7048" s="9">
        <v>1.3888999999999999E-4</v>
      </c>
      <c r="P7048" s="9">
        <v>1.5642E-4</v>
      </c>
      <c r="Q7048" s="9">
        <v>1.7467000000000001E-4</v>
      </c>
      <c r="R7048" s="10">
        <v>1.3321666828681455E-4</v>
      </c>
      <c r="S7048" s="10">
        <v>1.869432584007016E-4</v>
      </c>
      <c r="T7048" s="10">
        <v>1.5191137986430179E-4</v>
      </c>
      <c r="U7048" s="10">
        <v>6.8990000000000002E-5</v>
      </c>
      <c r="V7048" s="25"/>
      <c r="W7048" s="25"/>
      <c r="X7048" s="25"/>
      <c r="Y7048" s="25"/>
      <c r="Z7048" s="25"/>
      <c r="AA7048" s="25"/>
    </row>
    <row r="7049" spans="1:27" x14ac:dyDescent="0.35">
      <c r="A7049" s="5">
        <v>7045</v>
      </c>
      <c r="B7049" s="5">
        <v>294</v>
      </c>
      <c r="C7049" s="5">
        <v>10</v>
      </c>
      <c r="D7049" s="25">
        <v>1.1416E-4</v>
      </c>
      <c r="E7049" s="25">
        <v>1.2205999999999999E-4</v>
      </c>
      <c r="F7049" s="25">
        <v>1.2022E-4</v>
      </c>
      <c r="G7049" s="25">
        <v>1.5668999999999999E-4</v>
      </c>
      <c r="H7049" s="25">
        <v>4.0339999999999997E-5</v>
      </c>
      <c r="I7049" s="9">
        <v>1.3402999999999999E-4</v>
      </c>
      <c r="J7049" s="9">
        <v>1.3763E-4</v>
      </c>
      <c r="K7049" s="9">
        <v>0</v>
      </c>
      <c r="L7049" s="9">
        <v>1.3731E-4</v>
      </c>
      <c r="M7049" s="9">
        <v>1.527E-4</v>
      </c>
      <c r="N7049" s="9">
        <v>1.6605E-4</v>
      </c>
      <c r="O7049" s="9">
        <v>1.2946E-4</v>
      </c>
      <c r="P7049" s="9">
        <v>1.4766000000000001E-4</v>
      </c>
      <c r="Q7049" s="9">
        <v>1.6647999999999999E-4</v>
      </c>
      <c r="R7049" s="10">
        <v>1.5357086429786213E-4</v>
      </c>
      <c r="S7049" s="10">
        <v>1.8884060305360205E-4</v>
      </c>
      <c r="T7049" s="10">
        <v>2.212281055549661E-4</v>
      </c>
      <c r="U7049" s="10">
        <v>6.8990000000000002E-5</v>
      </c>
      <c r="V7049" s="25"/>
      <c r="W7049" s="25"/>
      <c r="X7049" s="25"/>
      <c r="Y7049" s="25"/>
      <c r="Z7049" s="25"/>
      <c r="AA7049" s="25"/>
    </row>
    <row r="7050" spans="1:27" x14ac:dyDescent="0.35">
      <c r="A7050" s="5">
        <v>7046</v>
      </c>
      <c r="B7050" s="5">
        <v>294</v>
      </c>
      <c r="C7050" s="5">
        <v>10</v>
      </c>
      <c r="D7050" s="25">
        <v>1.1415000000000001E-4</v>
      </c>
      <c r="E7050" s="25">
        <v>1.1233E-4</v>
      </c>
      <c r="F7050" s="25">
        <v>1.3200000000000001E-4</v>
      </c>
      <c r="G7050" s="25">
        <v>1.6473E-4</v>
      </c>
      <c r="H7050" s="25">
        <v>4.1230000000000003E-5</v>
      </c>
      <c r="I7050" s="9">
        <v>1.3238E-4</v>
      </c>
      <c r="J7050" s="9">
        <v>1.3704E-4</v>
      </c>
      <c r="K7050" s="9">
        <v>0</v>
      </c>
      <c r="L7050" s="9">
        <v>1.3123E-4</v>
      </c>
      <c r="M7050" s="9">
        <v>1.5232000000000001E-4</v>
      </c>
      <c r="N7050" s="9">
        <v>1.7019E-4</v>
      </c>
      <c r="O7050" s="9">
        <v>1.1184E-4</v>
      </c>
      <c r="P7050" s="9">
        <v>1.3561000000000001E-4</v>
      </c>
      <c r="Q7050" s="9">
        <v>1.5969000000000001E-4</v>
      </c>
      <c r="R7050" s="10">
        <v>1.6172438335985243E-4</v>
      </c>
      <c r="S7050" s="10">
        <v>1.8952477523139966E-4</v>
      </c>
      <c r="T7050" s="10">
        <v>1.2718813155798646E-4</v>
      </c>
      <c r="U7050" s="10">
        <v>6.8990000000000002E-5</v>
      </c>
      <c r="V7050" s="25"/>
      <c r="W7050" s="25"/>
      <c r="X7050" s="25"/>
      <c r="Y7050" s="25"/>
      <c r="Z7050" s="25"/>
      <c r="AA7050" s="25"/>
    </row>
    <row r="7051" spans="1:27" x14ac:dyDescent="0.35">
      <c r="A7051" s="5">
        <v>7047</v>
      </c>
      <c r="B7051" s="5">
        <v>294</v>
      </c>
      <c r="C7051" s="5">
        <v>10</v>
      </c>
      <c r="D7051" s="25">
        <v>1.1416E-4</v>
      </c>
      <c r="E7051" s="25">
        <v>1.1385E-4</v>
      </c>
      <c r="F7051" s="25">
        <v>1.1613E-4</v>
      </c>
      <c r="G7051" s="25">
        <v>1.6378000000000001E-4</v>
      </c>
      <c r="H7051" s="25">
        <v>4.083E-5</v>
      </c>
      <c r="I7051" s="9">
        <v>1.3093999999999999E-4</v>
      </c>
      <c r="J7051" s="9">
        <v>1.3684E-4</v>
      </c>
      <c r="K7051" s="9">
        <v>0</v>
      </c>
      <c r="L7051" s="9">
        <v>1.1635E-4</v>
      </c>
      <c r="M7051" s="9">
        <v>1.4592000000000001E-4</v>
      </c>
      <c r="N7051" s="9">
        <v>1.6954000000000001E-4</v>
      </c>
      <c r="O7051" s="9">
        <v>1.2636E-4</v>
      </c>
      <c r="P7051" s="9">
        <v>1.3854000000000001E-4</v>
      </c>
      <c r="Q7051" s="9">
        <v>1.5139999999999999E-4</v>
      </c>
      <c r="R7051" s="10">
        <v>1.7317903870648106E-4</v>
      </c>
      <c r="S7051" s="10">
        <v>1.8834416319484727E-4</v>
      </c>
      <c r="T7051" s="10">
        <v>6.8264672571246684E-5</v>
      </c>
      <c r="U7051" s="10">
        <v>6.8990000000000002E-5</v>
      </c>
      <c r="V7051" s="25"/>
      <c r="W7051" s="25"/>
      <c r="X7051" s="25"/>
      <c r="Y7051" s="25"/>
      <c r="Z7051" s="25"/>
      <c r="AA7051" s="25"/>
    </row>
    <row r="7052" spans="1:27" x14ac:dyDescent="0.35">
      <c r="A7052" s="5">
        <v>7048</v>
      </c>
      <c r="B7052" s="5">
        <v>294</v>
      </c>
      <c r="C7052" s="5">
        <v>10</v>
      </c>
      <c r="D7052" s="25">
        <v>1.1415000000000001E-4</v>
      </c>
      <c r="E7052" s="25">
        <v>1.1267E-4</v>
      </c>
      <c r="F7052" s="25">
        <v>1.2233E-4</v>
      </c>
      <c r="G7052" s="25">
        <v>1.6181E-4</v>
      </c>
      <c r="H7052" s="25">
        <v>4.0779999999999999E-5</v>
      </c>
      <c r="I7052" s="9">
        <v>1.3009E-4</v>
      </c>
      <c r="J7052" s="9">
        <v>1.3609000000000001E-4</v>
      </c>
      <c r="K7052" s="9">
        <v>0</v>
      </c>
      <c r="L7052" s="9">
        <v>1.2459E-4</v>
      </c>
      <c r="M7052" s="9">
        <v>1.4148000000000001E-4</v>
      </c>
      <c r="N7052" s="9">
        <v>1.6550000000000001E-4</v>
      </c>
      <c r="O7052" s="9">
        <v>1.3381999999999999E-4</v>
      </c>
      <c r="P7052" s="9">
        <v>1.2105E-4</v>
      </c>
      <c r="Q7052" s="9">
        <v>1.0942000000000001E-4</v>
      </c>
      <c r="R7052" s="10">
        <v>1.6969514126193705E-4</v>
      </c>
      <c r="S7052" s="10">
        <v>1.8406126106565061E-4</v>
      </c>
      <c r="T7052" s="10">
        <v>1.4626932079645698E-5</v>
      </c>
      <c r="U7052" s="10">
        <v>6.8990000000000002E-5</v>
      </c>
      <c r="V7052" s="25"/>
      <c r="W7052" s="25"/>
      <c r="X7052" s="25"/>
      <c r="Y7052" s="25"/>
      <c r="Z7052" s="25"/>
      <c r="AA7052" s="25"/>
    </row>
    <row r="7053" spans="1:27" x14ac:dyDescent="0.35">
      <c r="A7053" s="5">
        <v>7049</v>
      </c>
      <c r="B7053" s="5">
        <v>294</v>
      </c>
      <c r="C7053" s="5">
        <v>10</v>
      </c>
      <c r="D7053" s="25">
        <v>1.1416E-4</v>
      </c>
      <c r="E7053" s="25">
        <v>1.2126E-4</v>
      </c>
      <c r="F7053" s="25">
        <v>1.1543E-4</v>
      </c>
      <c r="G7053" s="25">
        <v>1.6609E-4</v>
      </c>
      <c r="H7053" s="25">
        <v>4.0160000000000002E-5</v>
      </c>
      <c r="I7053" s="9">
        <v>1.3285E-4</v>
      </c>
      <c r="J7053" s="9">
        <v>1.3744000000000001E-4</v>
      </c>
      <c r="K7053" s="9">
        <v>0</v>
      </c>
      <c r="L7053" s="9">
        <v>1.3151999999999999E-4</v>
      </c>
      <c r="M7053" s="9">
        <v>1.3315000000000001E-4</v>
      </c>
      <c r="N7053" s="9">
        <v>1.5176999999999999E-4</v>
      </c>
      <c r="O7053" s="9">
        <v>1.3914E-4</v>
      </c>
      <c r="P7053" s="9">
        <v>1.2203E-4</v>
      </c>
      <c r="Q7053" s="9">
        <v>1.0621E-4</v>
      </c>
      <c r="R7053" s="10">
        <v>1.7346740285639409E-4</v>
      </c>
      <c r="S7053" s="10">
        <v>1.6544324732698087E-4</v>
      </c>
      <c r="T7053" s="10">
        <v>8.0685686819855333E-6</v>
      </c>
      <c r="U7053" s="10">
        <v>6.8990000000000002E-5</v>
      </c>
      <c r="V7053" s="25"/>
      <c r="W7053" s="25"/>
      <c r="X7053" s="25"/>
      <c r="Y7053" s="25"/>
      <c r="Z7053" s="25"/>
      <c r="AA7053" s="25"/>
    </row>
    <row r="7054" spans="1:27" x14ac:dyDescent="0.35">
      <c r="A7054" s="5">
        <v>7050</v>
      </c>
      <c r="B7054" s="5">
        <v>294</v>
      </c>
      <c r="C7054" s="5">
        <v>10</v>
      </c>
      <c r="D7054" s="25">
        <v>1.1415000000000001E-4</v>
      </c>
      <c r="E7054" s="25">
        <v>1.2187E-4</v>
      </c>
      <c r="F7054" s="25">
        <v>1.2865000000000001E-4</v>
      </c>
      <c r="G7054" s="25">
        <v>1.6412999999999999E-4</v>
      </c>
      <c r="H7054" s="25">
        <v>3.9730000000000001E-5</v>
      </c>
      <c r="I7054" s="9">
        <v>1.3605E-4</v>
      </c>
      <c r="J7054" s="9">
        <v>1.3698000000000001E-4</v>
      </c>
      <c r="K7054" s="9">
        <v>0</v>
      </c>
      <c r="L7054" s="9">
        <v>1.3715999999999999E-4</v>
      </c>
      <c r="M7054" s="9">
        <v>1.2704E-4</v>
      </c>
      <c r="N7054" s="9">
        <v>1.3831999999999999E-4</v>
      </c>
      <c r="O7054" s="9">
        <v>1.3997E-4</v>
      </c>
      <c r="P7054" s="9">
        <v>1.2779999999999999E-4</v>
      </c>
      <c r="Q7054" s="9">
        <v>1.1683E-4</v>
      </c>
      <c r="R7054" s="10">
        <v>1.8109308344050451E-4</v>
      </c>
      <c r="S7054" s="10">
        <v>1.3961349995458868E-4</v>
      </c>
      <c r="T7054" s="10">
        <v>0</v>
      </c>
      <c r="U7054" s="10">
        <v>6.8990000000000002E-5</v>
      </c>
      <c r="V7054" s="25"/>
      <c r="W7054" s="25"/>
      <c r="X7054" s="25"/>
      <c r="Y7054" s="25"/>
      <c r="Z7054" s="25"/>
      <c r="AA7054" s="25"/>
    </row>
    <row r="7055" spans="1:27" x14ac:dyDescent="0.35">
      <c r="A7055" s="5">
        <v>7051</v>
      </c>
      <c r="B7055" s="5">
        <v>294</v>
      </c>
      <c r="C7055" s="5">
        <v>10</v>
      </c>
      <c r="D7055" s="25">
        <v>1.1416E-4</v>
      </c>
      <c r="E7055" s="25">
        <v>1.2154000000000001E-4</v>
      </c>
      <c r="F7055" s="25">
        <v>1.3087999999999999E-4</v>
      </c>
      <c r="G7055" s="25">
        <v>1.0649000000000001E-4</v>
      </c>
      <c r="H7055" s="25">
        <v>2.779E-5</v>
      </c>
      <c r="I7055" s="9">
        <v>1.3735E-4</v>
      </c>
      <c r="J7055" s="9">
        <v>1.3967E-4</v>
      </c>
      <c r="K7055" s="9">
        <v>4.2400000000000001E-6</v>
      </c>
      <c r="L7055" s="9">
        <v>1.3925999999999999E-4</v>
      </c>
      <c r="M7055" s="9">
        <v>1.2590999999999999E-4</v>
      </c>
      <c r="N7055" s="9">
        <v>1.2920999999999999E-4</v>
      </c>
      <c r="O7055" s="9">
        <v>1.4266999999999999E-4</v>
      </c>
      <c r="P7055" s="9">
        <v>1.2459E-4</v>
      </c>
      <c r="Q7055" s="9">
        <v>1.0784E-4</v>
      </c>
      <c r="R7055" s="10">
        <v>1.8745022109448232E-4</v>
      </c>
      <c r="S7055" s="10">
        <v>1.2115542171522175E-4</v>
      </c>
      <c r="T7055" s="10">
        <v>0</v>
      </c>
      <c r="U7055" s="10">
        <v>6.8990000000000002E-5</v>
      </c>
      <c r="V7055" s="25"/>
      <c r="W7055" s="25"/>
      <c r="X7055" s="25"/>
      <c r="Y7055" s="25"/>
      <c r="Z7055" s="25"/>
      <c r="AA7055" s="25"/>
    </row>
    <row r="7056" spans="1:27" x14ac:dyDescent="0.35">
      <c r="A7056" s="5">
        <v>7052</v>
      </c>
      <c r="B7056" s="5">
        <v>294</v>
      </c>
      <c r="C7056" s="5">
        <v>10</v>
      </c>
      <c r="D7056" s="25">
        <v>1.1415000000000001E-4</v>
      </c>
      <c r="E7056" s="25">
        <v>1.1472999999999999E-4</v>
      </c>
      <c r="F7056" s="25">
        <v>1.1788E-4</v>
      </c>
      <c r="G7056" s="25">
        <v>1.0634E-4</v>
      </c>
      <c r="H7056" s="25">
        <v>2.5709999999999999E-5</v>
      </c>
      <c r="I7056" s="9">
        <v>1.3197E-4</v>
      </c>
      <c r="J7056" s="9">
        <v>1.3564999999999999E-4</v>
      </c>
      <c r="K7056" s="9">
        <v>4.6629999999999999E-5</v>
      </c>
      <c r="L7056" s="9">
        <v>1.4191E-4</v>
      </c>
      <c r="M7056" s="9">
        <v>1.2541000000000001E-4</v>
      </c>
      <c r="N7056" s="9">
        <v>1.2044000000000001E-4</v>
      </c>
      <c r="O7056" s="9">
        <v>1.4433E-4</v>
      </c>
      <c r="P7056" s="9">
        <v>1.2249E-4</v>
      </c>
      <c r="Q7056" s="9">
        <v>1.0205E-4</v>
      </c>
      <c r="R7056" s="10">
        <v>1.9261086067967403E-4</v>
      </c>
      <c r="S7056" s="10">
        <v>1.076510652657093E-4</v>
      </c>
      <c r="T7056" s="10">
        <v>0</v>
      </c>
      <c r="U7056" s="10">
        <v>6.8990000000000002E-5</v>
      </c>
      <c r="V7056" s="25"/>
      <c r="W7056" s="25"/>
      <c r="X7056" s="25"/>
      <c r="Y7056" s="25"/>
      <c r="Z7056" s="25"/>
      <c r="AA7056" s="25"/>
    </row>
    <row r="7057" spans="1:27" x14ac:dyDescent="0.35">
      <c r="A7057" s="5">
        <v>7053</v>
      </c>
      <c r="B7057" s="5">
        <v>294</v>
      </c>
      <c r="C7057" s="5">
        <v>10</v>
      </c>
      <c r="D7057" s="25">
        <v>1.1416E-4</v>
      </c>
      <c r="E7057" s="25">
        <v>1.1846E-4</v>
      </c>
      <c r="F7057" s="25">
        <v>1.3083999999999999E-4</v>
      </c>
      <c r="G7057" s="25">
        <v>5.8489999999999997E-5</v>
      </c>
      <c r="H7057" s="25">
        <v>1.437E-5</v>
      </c>
      <c r="I7057" s="9">
        <v>1.2285E-4</v>
      </c>
      <c r="J7057" s="9">
        <v>1.2792000000000001E-4</v>
      </c>
      <c r="K7057" s="9">
        <v>5.7229999999999999E-5</v>
      </c>
      <c r="L7057" s="9">
        <v>1.4375999999999999E-4</v>
      </c>
      <c r="M7057" s="9">
        <v>1.2427E-4</v>
      </c>
      <c r="N7057" s="9">
        <v>1.1296E-4</v>
      </c>
      <c r="O7057" s="9">
        <v>8.5039999999999999E-5</v>
      </c>
      <c r="P7057" s="9">
        <v>8.6700000000000007E-5</v>
      </c>
      <c r="Q7057" s="9">
        <v>8.8700000000000001E-5</v>
      </c>
      <c r="R7057" s="10">
        <v>1.9237283223617343E-4</v>
      </c>
      <c r="S7057" s="10">
        <v>9.1567949270033265E-5</v>
      </c>
      <c r="T7057" s="10">
        <v>0</v>
      </c>
      <c r="U7057" s="10">
        <v>6.8990000000000002E-5</v>
      </c>
      <c r="V7057" s="25"/>
      <c r="W7057" s="25"/>
      <c r="X7057" s="25"/>
      <c r="Y7057" s="25"/>
      <c r="Z7057" s="25"/>
      <c r="AA7057" s="25"/>
    </row>
    <row r="7058" spans="1:27" x14ac:dyDescent="0.35">
      <c r="A7058" s="5">
        <v>7054</v>
      </c>
      <c r="B7058" s="5">
        <v>294</v>
      </c>
      <c r="C7058" s="5">
        <v>10</v>
      </c>
      <c r="D7058" s="25">
        <v>1.1415000000000001E-4</v>
      </c>
      <c r="E7058" s="25">
        <v>1.1493E-4</v>
      </c>
      <c r="F7058" s="25">
        <v>1.2750000000000001E-4</v>
      </c>
      <c r="G7058" s="25">
        <v>6.109E-5</v>
      </c>
      <c r="H7058" s="25">
        <v>1.309E-5</v>
      </c>
      <c r="I7058" s="9">
        <v>1.2191E-4</v>
      </c>
      <c r="J7058" s="9">
        <v>1.1924E-4</v>
      </c>
      <c r="K7058" s="9">
        <v>5.9339999999999998E-5</v>
      </c>
      <c r="L7058" s="9">
        <v>9.7919999999999998E-5</v>
      </c>
      <c r="M7058" s="9">
        <v>1.104E-4</v>
      </c>
      <c r="N7058" s="9">
        <v>1.0558E-4</v>
      </c>
      <c r="O7058" s="9">
        <v>8.7609999999999996E-5</v>
      </c>
      <c r="P7058" s="9">
        <v>8.7860000000000002E-5</v>
      </c>
      <c r="Q7058" s="9">
        <v>8.8510000000000005E-5</v>
      </c>
      <c r="R7058" s="10">
        <v>1.8808744981479124E-4</v>
      </c>
      <c r="S7058" s="10">
        <v>7.4851842181895421E-5</v>
      </c>
      <c r="T7058" s="10">
        <v>0</v>
      </c>
      <c r="U7058" s="10">
        <v>6.8990000000000002E-5</v>
      </c>
      <c r="V7058" s="25"/>
      <c r="W7058" s="25"/>
      <c r="X7058" s="25"/>
      <c r="Y7058" s="25"/>
      <c r="Z7058" s="25"/>
      <c r="AA7058" s="25"/>
    </row>
    <row r="7059" spans="1:27" x14ac:dyDescent="0.35">
      <c r="A7059" s="5">
        <v>7055</v>
      </c>
      <c r="B7059" s="5">
        <v>294</v>
      </c>
      <c r="C7059" s="5">
        <v>10</v>
      </c>
      <c r="D7059" s="25">
        <v>1.1416E-4</v>
      </c>
      <c r="E7059" s="25">
        <v>1.1655E-4</v>
      </c>
      <c r="F7059" s="25">
        <v>1.2674999999999999E-4</v>
      </c>
      <c r="G7059" s="25">
        <v>5.681E-5</v>
      </c>
      <c r="H7059" s="25">
        <v>1.397E-5</v>
      </c>
      <c r="I7059" s="9">
        <v>1.1949E-4</v>
      </c>
      <c r="J7059" s="9">
        <v>1.1105E-4</v>
      </c>
      <c r="K7059" s="9">
        <v>5.2989999999999999E-5</v>
      </c>
      <c r="L7059" s="9">
        <v>9.1160000000000001E-5</v>
      </c>
      <c r="M7059" s="9">
        <v>9.8529999999999993E-5</v>
      </c>
      <c r="N7059" s="9">
        <v>9.993E-5</v>
      </c>
      <c r="O7059" s="9">
        <v>8.5169999999999999E-5</v>
      </c>
      <c r="P7059" s="9">
        <v>7.5970000000000006E-5</v>
      </c>
      <c r="Q7059" s="9">
        <v>6.7299999999999996E-5</v>
      </c>
      <c r="R7059" s="10">
        <v>1.8043391055268498E-4</v>
      </c>
      <c r="S7059" s="10">
        <v>6.8074284936955201E-5</v>
      </c>
      <c r="T7059" s="10">
        <v>0</v>
      </c>
      <c r="U7059" s="10">
        <v>6.8990000000000002E-5</v>
      </c>
      <c r="V7059" s="25"/>
      <c r="W7059" s="25"/>
      <c r="X7059" s="25"/>
      <c r="Y7059" s="25"/>
      <c r="Z7059" s="25"/>
      <c r="AA7059" s="25"/>
    </row>
    <row r="7060" spans="1:27" x14ac:dyDescent="0.35">
      <c r="A7060" s="5">
        <v>7056</v>
      </c>
      <c r="B7060" s="5">
        <v>294</v>
      </c>
      <c r="C7060" s="5">
        <v>10</v>
      </c>
      <c r="D7060" s="25">
        <v>1.1415000000000001E-4</v>
      </c>
      <c r="E7060" s="25">
        <v>1.2205E-4</v>
      </c>
      <c r="F7060" s="25">
        <v>1.2763E-4</v>
      </c>
      <c r="G7060" s="25">
        <v>5.7469999999999997E-5</v>
      </c>
      <c r="H7060" s="25">
        <v>1.4620000000000001E-5</v>
      </c>
      <c r="I7060" s="9">
        <v>1.1058E-4</v>
      </c>
      <c r="J7060" s="9">
        <v>1.0292E-4</v>
      </c>
      <c r="K7060" s="9">
        <v>5.7229999999999999E-5</v>
      </c>
      <c r="L7060" s="9">
        <v>8.6710000000000002E-5</v>
      </c>
      <c r="M7060" s="9">
        <v>8.763E-5</v>
      </c>
      <c r="N7060" s="9">
        <v>9.0810000000000006E-5</v>
      </c>
      <c r="O7060" s="9">
        <v>7.9720000000000002E-5</v>
      </c>
      <c r="P7060" s="9">
        <v>6.9259999999999998E-5</v>
      </c>
      <c r="Q7060" s="9">
        <v>5.9290000000000003E-5</v>
      </c>
      <c r="R7060" s="10">
        <v>1.5903355382557968E-4</v>
      </c>
      <c r="S7060" s="10">
        <v>7.5753182866307401E-5</v>
      </c>
      <c r="T7060" s="10">
        <v>0</v>
      </c>
      <c r="U7060" s="10">
        <v>6.8990000000000002E-5</v>
      </c>
      <c r="V7060" s="25"/>
      <c r="W7060" s="25"/>
      <c r="X7060" s="25"/>
      <c r="Y7060" s="25"/>
      <c r="Z7060" s="25"/>
      <c r="AA7060" s="25"/>
    </row>
    <row r="7061" spans="1:27" x14ac:dyDescent="0.35">
      <c r="A7061" s="5">
        <v>7057</v>
      </c>
      <c r="B7061" s="5">
        <v>295</v>
      </c>
      <c r="C7061" s="5">
        <v>10</v>
      </c>
      <c r="D7061" s="25">
        <v>1.1416E-4</v>
      </c>
      <c r="E7061" s="25">
        <v>1.2099000000000001E-4</v>
      </c>
      <c r="F7061" s="25">
        <v>1.1489000000000001E-4</v>
      </c>
      <c r="G7061" s="25">
        <v>5.2129999999999997E-5</v>
      </c>
      <c r="H7061" s="25">
        <v>7.0980000000000001E-5</v>
      </c>
      <c r="I7061" s="9">
        <v>1.0454E-4</v>
      </c>
      <c r="J7061" s="9">
        <v>9.7059999999999996E-5</v>
      </c>
      <c r="K7061" s="9">
        <v>6.9939999999999998E-5</v>
      </c>
      <c r="L7061" s="9">
        <v>8.1039999999999997E-5</v>
      </c>
      <c r="M7061" s="9">
        <v>7.8549999999999998E-5</v>
      </c>
      <c r="N7061" s="9">
        <v>8.1470000000000004E-5</v>
      </c>
      <c r="O7061" s="9">
        <v>5.4669999999999997E-5</v>
      </c>
      <c r="P7061" s="9">
        <v>5.4079999999999997E-5</v>
      </c>
      <c r="Q7061" s="9">
        <v>5.3659999999999998E-5</v>
      </c>
      <c r="R7061" s="10">
        <v>1.5412523169028248E-4</v>
      </c>
      <c r="S7061" s="10">
        <v>8.4489174815324147E-5</v>
      </c>
      <c r="T7061" s="10">
        <v>0</v>
      </c>
      <c r="U7061" s="10">
        <v>6.9250000000000003E-5</v>
      </c>
      <c r="V7061" s="25"/>
      <c r="W7061" s="25"/>
      <c r="X7061" s="25"/>
      <c r="Y7061" s="25"/>
      <c r="Z7061" s="25"/>
      <c r="AA7061" s="25"/>
    </row>
    <row r="7062" spans="1:27" x14ac:dyDescent="0.35">
      <c r="A7062" s="5">
        <v>7058</v>
      </c>
      <c r="B7062" s="5">
        <v>295</v>
      </c>
      <c r="C7062" s="5">
        <v>10</v>
      </c>
      <c r="D7062" s="25">
        <v>1.1415000000000001E-4</v>
      </c>
      <c r="E7062" s="25">
        <v>1.1828999999999999E-4</v>
      </c>
      <c r="F7062" s="25">
        <v>1.2968999999999999E-4</v>
      </c>
      <c r="G7062" s="25">
        <v>5.9939999999999999E-5</v>
      </c>
      <c r="H7062" s="25">
        <v>6.6290000000000004E-5</v>
      </c>
      <c r="I7062" s="9">
        <v>9.9870000000000004E-5</v>
      </c>
      <c r="J7062" s="9">
        <v>9.4400000000000004E-5</v>
      </c>
      <c r="K7062" s="9">
        <v>6.3579999999999998E-5</v>
      </c>
      <c r="L7062" s="9">
        <v>6.0609999999999997E-5</v>
      </c>
      <c r="M7062" s="9">
        <v>6.7620000000000006E-5</v>
      </c>
      <c r="N7062" s="9">
        <v>7.237E-5</v>
      </c>
      <c r="O7062" s="9">
        <v>1.8700000000000001E-5</v>
      </c>
      <c r="P7062" s="9">
        <v>3.7639999999999999E-5</v>
      </c>
      <c r="Q7062" s="9">
        <v>5.6010000000000001E-5</v>
      </c>
      <c r="R7062" s="10">
        <v>1.449019699888838E-4</v>
      </c>
      <c r="S7062" s="10">
        <v>1.0192917422794198E-4</v>
      </c>
      <c r="T7062" s="10">
        <v>0</v>
      </c>
      <c r="U7062" s="10">
        <v>6.9250000000000003E-5</v>
      </c>
      <c r="V7062" s="25"/>
      <c r="W7062" s="25"/>
      <c r="X7062" s="25"/>
      <c r="Y7062" s="25"/>
      <c r="Z7062" s="25"/>
      <c r="AA7062" s="25"/>
    </row>
    <row r="7063" spans="1:27" x14ac:dyDescent="0.35">
      <c r="A7063" s="5">
        <v>7059</v>
      </c>
      <c r="B7063" s="5">
        <v>295</v>
      </c>
      <c r="C7063" s="5">
        <v>10</v>
      </c>
      <c r="D7063" s="25">
        <v>1.1416E-4</v>
      </c>
      <c r="E7063" s="25">
        <v>1.1226E-4</v>
      </c>
      <c r="F7063" s="25">
        <v>1.3517999999999999E-4</v>
      </c>
      <c r="G7063" s="25">
        <v>6.05E-5</v>
      </c>
      <c r="H7063" s="25">
        <v>6.4549999999999997E-5</v>
      </c>
      <c r="I7063" s="9">
        <v>9.9619999999999998E-5</v>
      </c>
      <c r="J7063" s="9">
        <v>9.3490000000000001E-5</v>
      </c>
      <c r="K7063" s="9">
        <v>6.7819999999999998E-5</v>
      </c>
      <c r="L7063" s="9">
        <v>2.8479999999999998E-5</v>
      </c>
      <c r="M7063" s="9">
        <v>5.414E-5</v>
      </c>
      <c r="N7063" s="9">
        <v>6.5710000000000006E-5</v>
      </c>
      <c r="O7063" s="9">
        <v>1.3380000000000001E-5</v>
      </c>
      <c r="P7063" s="9">
        <v>3.8090000000000003E-5</v>
      </c>
      <c r="Q7063" s="9">
        <v>6.2080000000000002E-5</v>
      </c>
      <c r="R7063" s="10">
        <v>1.4031297056041166E-4</v>
      </c>
      <c r="S7063" s="10">
        <v>1.296137341543382E-4</v>
      </c>
      <c r="T7063" s="10">
        <v>0</v>
      </c>
      <c r="U7063" s="10">
        <v>6.9250000000000003E-5</v>
      </c>
      <c r="V7063" s="25"/>
      <c r="W7063" s="25"/>
      <c r="X7063" s="25"/>
      <c r="Y7063" s="25"/>
      <c r="Z7063" s="25"/>
      <c r="AA7063" s="25"/>
    </row>
    <row r="7064" spans="1:27" x14ac:dyDescent="0.35">
      <c r="A7064" s="5">
        <v>7060</v>
      </c>
      <c r="B7064" s="5">
        <v>295</v>
      </c>
      <c r="C7064" s="5">
        <v>10</v>
      </c>
      <c r="D7064" s="25">
        <v>1.1415000000000001E-4</v>
      </c>
      <c r="E7064" s="25">
        <v>1.1595E-4</v>
      </c>
      <c r="F7064" s="25">
        <v>1.1912E-4</v>
      </c>
      <c r="G7064" s="25">
        <v>6.3419999999999999E-5</v>
      </c>
      <c r="H7064" s="25">
        <v>6.5649999999999997E-5</v>
      </c>
      <c r="I7064" s="9">
        <v>1.0182E-4</v>
      </c>
      <c r="J7064" s="9">
        <v>9.3449999999999995E-5</v>
      </c>
      <c r="K7064" s="9">
        <v>6.7819999999999998E-5</v>
      </c>
      <c r="L7064" s="9">
        <v>1.7569999999999999E-5</v>
      </c>
      <c r="M7064" s="9">
        <v>4.511E-5</v>
      </c>
      <c r="N7064" s="9">
        <v>6.2169999999999996E-5</v>
      </c>
      <c r="O7064" s="9">
        <v>1.328E-5</v>
      </c>
      <c r="P7064" s="9">
        <v>4.7280000000000001E-5</v>
      </c>
      <c r="Q7064" s="9">
        <v>8.0409999999999998E-5</v>
      </c>
      <c r="R7064" s="10">
        <v>1.3778646193954235E-4</v>
      </c>
      <c r="S7064" s="10">
        <v>1.5473459741979884E-4</v>
      </c>
      <c r="T7064" s="10">
        <v>0</v>
      </c>
      <c r="U7064" s="10">
        <v>6.9250000000000003E-5</v>
      </c>
      <c r="V7064" s="25"/>
      <c r="W7064" s="25"/>
      <c r="X7064" s="25"/>
      <c r="Y7064" s="25"/>
      <c r="Z7064" s="25"/>
      <c r="AA7064" s="25"/>
    </row>
    <row r="7065" spans="1:27" x14ac:dyDescent="0.35">
      <c r="A7065" s="5">
        <v>7061</v>
      </c>
      <c r="B7065" s="5">
        <v>295</v>
      </c>
      <c r="C7065" s="5">
        <v>10</v>
      </c>
      <c r="D7065" s="25">
        <v>1.1416E-4</v>
      </c>
      <c r="E7065" s="25">
        <v>1.1485999999999999E-4</v>
      </c>
      <c r="F7065" s="25">
        <v>1.3354E-4</v>
      </c>
      <c r="G7065" s="25">
        <v>5.3109999999999998E-5</v>
      </c>
      <c r="H7065" s="25">
        <v>7.3990000000000001E-5</v>
      </c>
      <c r="I7065" s="9">
        <v>1.0663E-4</v>
      </c>
      <c r="J7065" s="9">
        <v>9.5740000000000002E-5</v>
      </c>
      <c r="K7065" s="9">
        <v>6.9950000000000006E-5</v>
      </c>
      <c r="L7065" s="9">
        <v>1.4399999999999999E-5</v>
      </c>
      <c r="M7065" s="9">
        <v>4.3900000000000003E-5</v>
      </c>
      <c r="N7065" s="9">
        <v>6.4649999999999999E-5</v>
      </c>
      <c r="O7065" s="9">
        <v>1.872E-5</v>
      </c>
      <c r="P7065" s="9">
        <v>5.6520000000000001E-5</v>
      </c>
      <c r="Q7065" s="9">
        <v>9.3460000000000003E-5</v>
      </c>
      <c r="R7065" s="10">
        <v>1.4514751268567423E-4</v>
      </c>
      <c r="S7065" s="10">
        <v>1.7229612953503648E-4</v>
      </c>
      <c r="T7065" s="10">
        <v>0</v>
      </c>
      <c r="U7065" s="10">
        <v>6.9250000000000003E-5</v>
      </c>
      <c r="V7065" s="25"/>
      <c r="W7065" s="25"/>
      <c r="X7065" s="25"/>
      <c r="Y7065" s="25"/>
      <c r="Z7065" s="25"/>
      <c r="AA7065" s="25"/>
    </row>
    <row r="7066" spans="1:27" x14ac:dyDescent="0.35">
      <c r="A7066" s="5">
        <v>7062</v>
      </c>
      <c r="B7066" s="5">
        <v>295</v>
      </c>
      <c r="C7066" s="5">
        <v>10</v>
      </c>
      <c r="D7066" s="25">
        <v>1.1415000000000001E-4</v>
      </c>
      <c r="E7066" s="25">
        <v>1.1933E-4</v>
      </c>
      <c r="F7066" s="25">
        <v>1.148E-4</v>
      </c>
      <c r="G7066" s="25">
        <v>1.0804E-4</v>
      </c>
      <c r="H7066" s="25">
        <v>1.3925E-4</v>
      </c>
      <c r="I7066" s="9">
        <v>1.203E-4</v>
      </c>
      <c r="J7066" s="9">
        <v>1.0437000000000001E-4</v>
      </c>
      <c r="K7066" s="9">
        <v>6.9939999999999998E-5</v>
      </c>
      <c r="L7066" s="9">
        <v>1.7640000000000001E-5</v>
      </c>
      <c r="M7066" s="9">
        <v>4.8510000000000001E-5</v>
      </c>
      <c r="N7066" s="9">
        <v>7.1099999999999994E-5</v>
      </c>
      <c r="O7066" s="9">
        <v>4.634E-5</v>
      </c>
      <c r="P7066" s="9">
        <v>7.6979999999999998E-5</v>
      </c>
      <c r="Q7066" s="9">
        <v>1.0719E-4</v>
      </c>
      <c r="R7066" s="10">
        <v>1.553365891494621E-4</v>
      </c>
      <c r="S7066" s="10">
        <v>1.7700828200215712E-4</v>
      </c>
      <c r="T7066" s="10">
        <v>0</v>
      </c>
      <c r="U7066" s="10">
        <v>6.9250000000000003E-5</v>
      </c>
      <c r="V7066" s="25"/>
      <c r="W7066" s="25"/>
      <c r="X7066" s="25"/>
      <c r="Y7066" s="25"/>
      <c r="Z7066" s="25"/>
      <c r="AA7066" s="25"/>
    </row>
    <row r="7067" spans="1:27" x14ac:dyDescent="0.35">
      <c r="A7067" s="5">
        <v>7063</v>
      </c>
      <c r="B7067" s="5">
        <v>295</v>
      </c>
      <c r="C7067" s="5">
        <v>10</v>
      </c>
      <c r="D7067" s="25">
        <v>1.1416E-4</v>
      </c>
      <c r="E7067" s="25">
        <v>1.1072E-4</v>
      </c>
      <c r="F7067" s="25">
        <v>1.3097E-4</v>
      </c>
      <c r="G7067" s="25">
        <v>1.1063E-4</v>
      </c>
      <c r="H7067" s="25">
        <v>1.2653E-4</v>
      </c>
      <c r="I7067" s="9">
        <v>1.3320000000000001E-4</v>
      </c>
      <c r="J7067" s="9">
        <v>1.2008E-4</v>
      </c>
      <c r="K7067" s="9">
        <v>7.4179999999999998E-5</v>
      </c>
      <c r="L7067" s="9">
        <v>3.9889999999999999E-5</v>
      </c>
      <c r="M7067" s="9">
        <v>6.0059999999999998E-5</v>
      </c>
      <c r="N7067" s="9">
        <v>8.0809999999999994E-5</v>
      </c>
      <c r="O7067" s="9">
        <v>1.2227000000000001E-4</v>
      </c>
      <c r="P7067" s="9">
        <v>1.1635E-4</v>
      </c>
      <c r="Q7067" s="9">
        <v>1.1145E-4</v>
      </c>
      <c r="R7067" s="10">
        <v>1.6567830100482056E-4</v>
      </c>
      <c r="S7067" s="10">
        <v>1.8059281386801742E-4</v>
      </c>
      <c r="T7067" s="10">
        <v>0</v>
      </c>
      <c r="U7067" s="10">
        <v>6.9250000000000003E-5</v>
      </c>
      <c r="V7067" s="25"/>
      <c r="W7067" s="25"/>
      <c r="X7067" s="25"/>
      <c r="Y7067" s="25"/>
      <c r="Z7067" s="25"/>
      <c r="AA7067" s="25"/>
    </row>
    <row r="7068" spans="1:27" x14ac:dyDescent="0.35">
      <c r="A7068" s="5">
        <v>7064</v>
      </c>
      <c r="B7068" s="5">
        <v>295</v>
      </c>
      <c r="C7068" s="5">
        <v>10</v>
      </c>
      <c r="D7068" s="25">
        <v>1.1415000000000001E-4</v>
      </c>
      <c r="E7068" s="25">
        <v>1.1739E-4</v>
      </c>
      <c r="F7068" s="25">
        <v>1.1803000000000001E-4</v>
      </c>
      <c r="G7068" s="25">
        <v>1.6576000000000001E-4</v>
      </c>
      <c r="H7068" s="25">
        <v>1.9335000000000001E-4</v>
      </c>
      <c r="I7068" s="9">
        <v>1.3488000000000001E-4</v>
      </c>
      <c r="J7068" s="9">
        <v>1.3318999999999999E-4</v>
      </c>
      <c r="K7068" s="9">
        <v>5.7229999999999999E-5</v>
      </c>
      <c r="L7068" s="9">
        <v>1.0352E-4</v>
      </c>
      <c r="M7068" s="9">
        <v>8.3330000000000003E-5</v>
      </c>
      <c r="N7068" s="9">
        <v>9.0669999999999998E-5</v>
      </c>
      <c r="O7068" s="9">
        <v>2.2069E-4</v>
      </c>
      <c r="P7068" s="9">
        <v>1.7756E-4</v>
      </c>
      <c r="Q7068" s="9">
        <v>1.3716999999999999E-4</v>
      </c>
      <c r="R7068" s="10">
        <v>1.6714874038588242E-4</v>
      </c>
      <c r="S7068" s="10">
        <v>1.8066181041481694E-4</v>
      </c>
      <c r="T7068" s="10">
        <v>1.9513888505327788E-5</v>
      </c>
      <c r="U7068" s="10">
        <v>6.9250000000000003E-5</v>
      </c>
      <c r="V7068" s="25"/>
      <c r="W7068" s="25"/>
      <c r="X7068" s="25"/>
      <c r="Y7068" s="25"/>
      <c r="Z7068" s="25"/>
      <c r="AA7068" s="25"/>
    </row>
    <row r="7069" spans="1:27" x14ac:dyDescent="0.35">
      <c r="A7069" s="5">
        <v>7065</v>
      </c>
      <c r="B7069" s="5">
        <v>295</v>
      </c>
      <c r="C7069" s="5">
        <v>10</v>
      </c>
      <c r="D7069" s="25">
        <v>1.1416E-4</v>
      </c>
      <c r="E7069" s="25">
        <v>1.1059E-4</v>
      </c>
      <c r="F7069" s="25">
        <v>1.1484000000000001E-4</v>
      </c>
      <c r="G7069" s="25">
        <v>1.6484E-4</v>
      </c>
      <c r="H7069" s="25">
        <v>1.9230000000000001E-4</v>
      </c>
      <c r="I7069" s="9">
        <v>1.3569999999999999E-4</v>
      </c>
      <c r="J7069" s="9">
        <v>1.3797000000000001E-4</v>
      </c>
      <c r="K7069" s="9">
        <v>4.6629999999999999E-5</v>
      </c>
      <c r="L7069" s="9">
        <v>1.9317E-4</v>
      </c>
      <c r="M7069" s="9">
        <v>1.2326000000000001E-4</v>
      </c>
      <c r="N7069" s="9">
        <v>1.0449E-4</v>
      </c>
      <c r="O7069" s="9">
        <v>2.0964000000000001E-4</v>
      </c>
      <c r="P7069" s="9">
        <v>1.9131000000000001E-4</v>
      </c>
      <c r="Q7069" s="9">
        <v>1.752E-4</v>
      </c>
      <c r="R7069" s="10">
        <v>1.6796072068571768E-4</v>
      </c>
      <c r="S7069" s="10">
        <v>1.7880274563678562E-4</v>
      </c>
      <c r="T7069" s="10">
        <v>8.5962921015643974E-5</v>
      </c>
      <c r="U7069" s="10">
        <v>6.9250000000000003E-5</v>
      </c>
      <c r="V7069" s="25"/>
      <c r="W7069" s="25"/>
      <c r="X7069" s="25"/>
      <c r="Y7069" s="25"/>
      <c r="Z7069" s="25"/>
      <c r="AA7069" s="25"/>
    </row>
    <row r="7070" spans="1:27" x14ac:dyDescent="0.35">
      <c r="A7070" s="5">
        <v>7066</v>
      </c>
      <c r="B7070" s="5">
        <v>295</v>
      </c>
      <c r="C7070" s="5">
        <v>10</v>
      </c>
      <c r="D7070" s="25">
        <v>1.1415000000000001E-4</v>
      </c>
      <c r="E7070" s="25">
        <v>1.1288E-4</v>
      </c>
      <c r="F7070" s="25">
        <v>1.1771E-4</v>
      </c>
      <c r="G7070" s="25">
        <v>1.6513000000000001E-4</v>
      </c>
      <c r="H7070" s="25">
        <v>1.9975E-4</v>
      </c>
      <c r="I7070" s="9">
        <v>1.3574E-4</v>
      </c>
      <c r="J7070" s="9">
        <v>1.3847999999999999E-4</v>
      </c>
      <c r="K7070" s="9">
        <v>4.0269999999999999E-5</v>
      </c>
      <c r="L7070" s="9">
        <v>2.0366000000000001E-4</v>
      </c>
      <c r="M7070" s="9">
        <v>1.5789999999999999E-4</v>
      </c>
      <c r="N7070" s="9">
        <v>1.2413999999999999E-4</v>
      </c>
      <c r="O7070" s="9">
        <v>1.6574E-4</v>
      </c>
      <c r="P7070" s="9">
        <v>1.7233999999999999E-4</v>
      </c>
      <c r="Q7070" s="9">
        <v>1.8026000000000001E-4</v>
      </c>
      <c r="R7070" s="10">
        <v>1.6190100785467719E-4</v>
      </c>
      <c r="S7070" s="10">
        <v>1.8099215535488509E-4</v>
      </c>
      <c r="T7070" s="10">
        <v>1.587412408411665E-5</v>
      </c>
      <c r="U7070" s="10">
        <v>6.9250000000000003E-5</v>
      </c>
      <c r="V7070" s="25"/>
      <c r="W7070" s="25"/>
      <c r="X7070" s="25"/>
      <c r="Y7070" s="25"/>
      <c r="Z7070" s="25"/>
      <c r="AA7070" s="25"/>
    </row>
    <row r="7071" spans="1:27" x14ac:dyDescent="0.35">
      <c r="A7071" s="5">
        <v>7067</v>
      </c>
      <c r="B7071" s="5">
        <v>295</v>
      </c>
      <c r="C7071" s="5">
        <v>10</v>
      </c>
      <c r="D7071" s="25">
        <v>1.1416E-4</v>
      </c>
      <c r="E7071" s="25">
        <v>1.1529E-4</v>
      </c>
      <c r="F7071" s="25">
        <v>1.26E-4</v>
      </c>
      <c r="G7071" s="25">
        <v>1.6038000000000001E-4</v>
      </c>
      <c r="H7071" s="25">
        <v>1.9814E-4</v>
      </c>
      <c r="I7071" s="9">
        <v>1.3694999999999999E-4</v>
      </c>
      <c r="J7071" s="9">
        <v>1.3802000000000001E-4</v>
      </c>
      <c r="K7071" s="9">
        <v>3.8149999999999999E-5</v>
      </c>
      <c r="L7071" s="9">
        <v>1.7421E-4</v>
      </c>
      <c r="M7071" s="9">
        <v>1.7108999999999999E-4</v>
      </c>
      <c r="N7071" s="9">
        <v>1.4185000000000001E-4</v>
      </c>
      <c r="O7071" s="9">
        <v>1.6881E-4</v>
      </c>
      <c r="P7071" s="9">
        <v>1.7416999999999999E-4</v>
      </c>
      <c r="Q7071" s="9">
        <v>1.8090000000000001E-4</v>
      </c>
      <c r="R7071" s="10">
        <v>1.5135891255518421E-4</v>
      </c>
      <c r="S7071" s="10">
        <v>1.8298631938215202E-4</v>
      </c>
      <c r="T7071" s="10">
        <v>5.0227052152843701E-5</v>
      </c>
      <c r="U7071" s="10">
        <v>6.9250000000000003E-5</v>
      </c>
      <c r="V7071" s="25"/>
      <c r="W7071" s="25"/>
      <c r="X7071" s="25"/>
      <c r="Y7071" s="25"/>
      <c r="Z7071" s="25"/>
      <c r="AA7071" s="25"/>
    </row>
    <row r="7072" spans="1:27" x14ac:dyDescent="0.35">
      <c r="A7072" s="5">
        <v>7068</v>
      </c>
      <c r="B7072" s="5">
        <v>295</v>
      </c>
      <c r="C7072" s="5">
        <v>10</v>
      </c>
      <c r="D7072" s="25">
        <v>1.1415000000000001E-4</v>
      </c>
      <c r="E7072" s="25">
        <v>1.1173E-4</v>
      </c>
      <c r="F7072" s="25">
        <v>1.2363000000000001E-4</v>
      </c>
      <c r="G7072" s="25">
        <v>1.6085000000000001E-4</v>
      </c>
      <c r="H7072" s="25">
        <v>2.0008999999999999E-4</v>
      </c>
      <c r="I7072" s="9">
        <v>1.3365999999999999E-4</v>
      </c>
      <c r="J7072" s="9">
        <v>1.3558999999999999E-4</v>
      </c>
      <c r="K7072" s="9">
        <v>2.332E-5</v>
      </c>
      <c r="L7072" s="9">
        <v>1.7143E-4</v>
      </c>
      <c r="M7072" s="9">
        <v>1.7437999999999999E-4</v>
      </c>
      <c r="N7072" s="9">
        <v>1.563E-4</v>
      </c>
      <c r="O7072" s="9">
        <v>1.7137000000000001E-4</v>
      </c>
      <c r="P7072" s="9">
        <v>1.7259E-4</v>
      </c>
      <c r="Q7072" s="9">
        <v>1.7527999999999999E-4</v>
      </c>
      <c r="R7072" s="10">
        <v>1.2644159945265522E-4</v>
      </c>
      <c r="S7072" s="10">
        <v>1.8522032216423682E-4</v>
      </c>
      <c r="T7072" s="10">
        <v>1.0251578904777203E-4</v>
      </c>
      <c r="U7072" s="10">
        <v>6.9250000000000003E-5</v>
      </c>
      <c r="V7072" s="25"/>
      <c r="W7072" s="25"/>
      <c r="X7072" s="25"/>
      <c r="Y7072" s="25"/>
      <c r="Z7072" s="25"/>
      <c r="AA7072" s="25"/>
    </row>
    <row r="7073" spans="1:27" x14ac:dyDescent="0.35">
      <c r="A7073" s="5">
        <v>7069</v>
      </c>
      <c r="B7073" s="5">
        <v>295</v>
      </c>
      <c r="C7073" s="5">
        <v>10</v>
      </c>
      <c r="D7073" s="25">
        <v>1.1416E-4</v>
      </c>
      <c r="E7073" s="25">
        <v>1.1966E-4</v>
      </c>
      <c r="F7073" s="25">
        <v>1.3359E-4</v>
      </c>
      <c r="G7073" s="25">
        <v>1.6593000000000001E-4</v>
      </c>
      <c r="H7073" s="25">
        <v>1.9567E-4</v>
      </c>
      <c r="I7073" s="9">
        <v>1.3216000000000001E-4</v>
      </c>
      <c r="J7073" s="9">
        <v>1.3316000000000001E-4</v>
      </c>
      <c r="K7073" s="9">
        <v>2.7549999999999999E-5</v>
      </c>
      <c r="L7073" s="9">
        <v>1.7147000000000001E-4</v>
      </c>
      <c r="M7073" s="9">
        <v>1.7415E-4</v>
      </c>
      <c r="N7073" s="9">
        <v>1.6613000000000001E-4</v>
      </c>
      <c r="O7073" s="9">
        <v>1.6330000000000001E-4</v>
      </c>
      <c r="P7073" s="9">
        <v>1.6536E-4</v>
      </c>
      <c r="Q7073" s="9">
        <v>1.6878999999999999E-4</v>
      </c>
      <c r="R7073" s="10">
        <v>1.4638814995997302E-4</v>
      </c>
      <c r="S7073" s="10">
        <v>1.854766875162298E-4</v>
      </c>
      <c r="T7073" s="10">
        <v>4.9174999033426027E-5</v>
      </c>
      <c r="U7073" s="10">
        <v>6.9250000000000003E-5</v>
      </c>
      <c r="V7073" s="25"/>
      <c r="W7073" s="25"/>
      <c r="X7073" s="25"/>
      <c r="Y7073" s="25"/>
      <c r="Z7073" s="25"/>
      <c r="AA7073" s="25"/>
    </row>
    <row r="7074" spans="1:27" x14ac:dyDescent="0.35">
      <c r="A7074" s="5">
        <v>7070</v>
      </c>
      <c r="B7074" s="5">
        <v>295</v>
      </c>
      <c r="C7074" s="5">
        <v>10</v>
      </c>
      <c r="D7074" s="25">
        <v>1.1415000000000001E-4</v>
      </c>
      <c r="E7074" s="25">
        <v>1.1231E-4</v>
      </c>
      <c r="F7074" s="25">
        <v>1.2228E-4</v>
      </c>
      <c r="G7074" s="25">
        <v>1.6631999999999999E-4</v>
      </c>
      <c r="H7074" s="25">
        <v>1.9927000000000001E-4</v>
      </c>
      <c r="I7074" s="9">
        <v>1.2868999999999999E-4</v>
      </c>
      <c r="J7074" s="9">
        <v>1.3239999999999999E-4</v>
      </c>
      <c r="K7074" s="9">
        <v>8.4800000000000001E-6</v>
      </c>
      <c r="L7074" s="9">
        <v>1.6484E-4</v>
      </c>
      <c r="M7074" s="9">
        <v>1.7087999999999999E-4</v>
      </c>
      <c r="N7074" s="9">
        <v>1.7081999999999999E-4</v>
      </c>
      <c r="O7074" s="9">
        <v>1.7940999999999999E-4</v>
      </c>
      <c r="P7074" s="9">
        <v>1.6961E-4</v>
      </c>
      <c r="Q7074" s="9">
        <v>1.6155E-4</v>
      </c>
      <c r="R7074" s="10">
        <v>1.5039143144718781E-4</v>
      </c>
      <c r="S7074" s="10">
        <v>1.8343877920819177E-4</v>
      </c>
      <c r="T7074" s="10">
        <v>6.2919563980656893E-5</v>
      </c>
      <c r="U7074" s="10">
        <v>6.9250000000000003E-5</v>
      </c>
      <c r="V7074" s="25"/>
      <c r="W7074" s="25"/>
      <c r="X7074" s="25"/>
      <c r="Y7074" s="25"/>
      <c r="Z7074" s="25"/>
      <c r="AA7074" s="25"/>
    </row>
    <row r="7075" spans="1:27" x14ac:dyDescent="0.35">
      <c r="A7075" s="5">
        <v>7071</v>
      </c>
      <c r="B7075" s="5">
        <v>295</v>
      </c>
      <c r="C7075" s="5">
        <v>10</v>
      </c>
      <c r="D7075" s="25">
        <v>1.1416E-4</v>
      </c>
      <c r="E7075" s="25">
        <v>1.1744E-4</v>
      </c>
      <c r="F7075" s="25">
        <v>1.1404E-4</v>
      </c>
      <c r="G7075" s="25">
        <v>1.5975000000000001E-4</v>
      </c>
      <c r="H7075" s="25">
        <v>1.9044E-4</v>
      </c>
      <c r="I7075" s="9">
        <v>1.2719000000000001E-4</v>
      </c>
      <c r="J7075" s="9">
        <v>1.3154E-4</v>
      </c>
      <c r="K7075" s="9">
        <v>1.696E-5</v>
      </c>
      <c r="L7075" s="9">
        <v>1.7637999999999999E-4</v>
      </c>
      <c r="M7075" s="9">
        <v>1.6944E-4</v>
      </c>
      <c r="N7075" s="9">
        <v>1.706E-4</v>
      </c>
      <c r="O7075" s="9">
        <v>1.8215000000000001E-4</v>
      </c>
      <c r="P7075" s="9">
        <v>1.6571000000000001E-4</v>
      </c>
      <c r="Q7075" s="9">
        <v>1.5114999999999999E-4</v>
      </c>
      <c r="R7075" s="10">
        <v>1.5046764961471797E-4</v>
      </c>
      <c r="S7075" s="10">
        <v>1.8461476054953025E-4</v>
      </c>
      <c r="T7075" s="10">
        <v>2.6157094896489379E-5</v>
      </c>
      <c r="U7075" s="10">
        <v>6.9250000000000003E-5</v>
      </c>
      <c r="V7075" s="25"/>
      <c r="W7075" s="25"/>
      <c r="X7075" s="25"/>
      <c r="Y7075" s="25"/>
      <c r="Z7075" s="25"/>
      <c r="AA7075" s="25"/>
    </row>
    <row r="7076" spans="1:27" x14ac:dyDescent="0.35">
      <c r="A7076" s="5">
        <v>7072</v>
      </c>
      <c r="B7076" s="5">
        <v>295</v>
      </c>
      <c r="C7076" s="5">
        <v>10</v>
      </c>
      <c r="D7076" s="25">
        <v>1.1415000000000001E-4</v>
      </c>
      <c r="E7076" s="25">
        <v>1.1276E-4</v>
      </c>
      <c r="F7076" s="25">
        <v>1.2453E-4</v>
      </c>
      <c r="G7076" s="25">
        <v>1.5955E-4</v>
      </c>
      <c r="H7076" s="25">
        <v>1.9035999999999999E-4</v>
      </c>
      <c r="I7076" s="9">
        <v>1.2663999999999999E-4</v>
      </c>
      <c r="J7076" s="9">
        <v>1.3159000000000001E-4</v>
      </c>
      <c r="K7076" s="9">
        <v>2.332E-5</v>
      </c>
      <c r="L7076" s="9">
        <v>1.8058000000000001E-4</v>
      </c>
      <c r="M7076" s="9">
        <v>1.6780000000000001E-4</v>
      </c>
      <c r="N7076" s="9">
        <v>1.6644000000000001E-4</v>
      </c>
      <c r="O7076" s="9">
        <v>1.9829E-4</v>
      </c>
      <c r="P7076" s="9">
        <v>1.5294000000000001E-4</v>
      </c>
      <c r="Q7076" s="9">
        <v>1.1011E-4</v>
      </c>
      <c r="R7076" s="10">
        <v>1.5337184529827118E-4</v>
      </c>
      <c r="S7076" s="10">
        <v>1.8457708448802818E-4</v>
      </c>
      <c r="T7076" s="10">
        <v>2.9669594827448382E-5</v>
      </c>
      <c r="U7076" s="10">
        <v>6.9250000000000003E-5</v>
      </c>
      <c r="V7076" s="25"/>
      <c r="W7076" s="25"/>
      <c r="X7076" s="25"/>
      <c r="Y7076" s="25"/>
      <c r="Z7076" s="25"/>
      <c r="AA7076" s="25"/>
    </row>
    <row r="7077" spans="1:27" x14ac:dyDescent="0.35">
      <c r="A7077" s="5">
        <v>7073</v>
      </c>
      <c r="B7077" s="5">
        <v>295</v>
      </c>
      <c r="C7077" s="5">
        <v>10</v>
      </c>
      <c r="D7077" s="25">
        <v>1.1416E-4</v>
      </c>
      <c r="E7077" s="25">
        <v>1.1493E-4</v>
      </c>
      <c r="F7077" s="25">
        <v>1.3464E-4</v>
      </c>
      <c r="G7077" s="25">
        <v>1.5733000000000001E-4</v>
      </c>
      <c r="H7077" s="25">
        <v>2.0186E-4</v>
      </c>
      <c r="I7077" s="9">
        <v>1.2773E-4</v>
      </c>
      <c r="J7077" s="9">
        <v>1.3410000000000001E-4</v>
      </c>
      <c r="K7077" s="9">
        <v>3.6029999999999999E-5</v>
      </c>
      <c r="L7077" s="9">
        <v>1.9422999999999999E-4</v>
      </c>
      <c r="M7077" s="9">
        <v>1.6212E-4</v>
      </c>
      <c r="N7077" s="9">
        <v>1.5270999999999999E-4</v>
      </c>
      <c r="O7077" s="9">
        <v>2.1252E-4</v>
      </c>
      <c r="P7077" s="9">
        <v>1.5797000000000001E-4</v>
      </c>
      <c r="Q7077" s="9">
        <v>1.0626E-4</v>
      </c>
      <c r="R7077" s="10">
        <v>1.5916756812018562E-4</v>
      </c>
      <c r="S7077" s="10">
        <v>1.8375777889397557E-4</v>
      </c>
      <c r="T7077" s="10">
        <v>1.1368961129190972E-6</v>
      </c>
      <c r="U7077" s="10">
        <v>6.9250000000000003E-5</v>
      </c>
      <c r="V7077" s="25"/>
      <c r="W7077" s="25"/>
      <c r="X7077" s="25"/>
      <c r="Y7077" s="25"/>
      <c r="Z7077" s="25"/>
      <c r="AA7077" s="25"/>
    </row>
    <row r="7078" spans="1:27" x14ac:dyDescent="0.35">
      <c r="A7078" s="5">
        <v>7074</v>
      </c>
      <c r="B7078" s="5">
        <v>295</v>
      </c>
      <c r="C7078" s="5">
        <v>10</v>
      </c>
      <c r="D7078" s="25">
        <v>1.1415000000000001E-4</v>
      </c>
      <c r="E7078" s="25">
        <v>1.1463000000000001E-4</v>
      </c>
      <c r="F7078" s="25">
        <v>1.2517E-4</v>
      </c>
      <c r="G7078" s="25">
        <v>1.6263000000000001E-4</v>
      </c>
      <c r="H7078" s="25">
        <v>1.9856999999999999E-4</v>
      </c>
      <c r="I7078" s="9">
        <v>1.3108999999999999E-4</v>
      </c>
      <c r="J7078" s="9">
        <v>1.3410000000000001E-4</v>
      </c>
      <c r="K7078" s="9">
        <v>5.0869999999999999E-5</v>
      </c>
      <c r="L7078" s="9">
        <v>2.0819999999999999E-4</v>
      </c>
      <c r="M7078" s="9">
        <v>1.5908E-4</v>
      </c>
      <c r="N7078" s="9">
        <v>1.3907000000000001E-4</v>
      </c>
      <c r="O7078" s="9">
        <v>2.0614E-4</v>
      </c>
      <c r="P7078" s="9">
        <v>1.6072999999999999E-4</v>
      </c>
      <c r="Q7078" s="9">
        <v>1.1792E-4</v>
      </c>
      <c r="R7078" s="10">
        <v>1.6026489068092552E-4</v>
      </c>
      <c r="S7078" s="10">
        <v>1.8194884716538155E-4</v>
      </c>
      <c r="T7078" s="10">
        <v>0</v>
      </c>
      <c r="U7078" s="10">
        <v>6.9250000000000003E-5</v>
      </c>
      <c r="V7078" s="25"/>
      <c r="W7078" s="25"/>
      <c r="X7078" s="25"/>
      <c r="Y7078" s="25"/>
      <c r="Z7078" s="25"/>
      <c r="AA7078" s="25"/>
    </row>
    <row r="7079" spans="1:27" x14ac:dyDescent="0.35">
      <c r="A7079" s="5">
        <v>7075</v>
      </c>
      <c r="B7079" s="5">
        <v>295</v>
      </c>
      <c r="C7079" s="5">
        <v>10</v>
      </c>
      <c r="D7079" s="25">
        <v>1.1416E-4</v>
      </c>
      <c r="E7079" s="25">
        <v>1.1319000000000001E-4</v>
      </c>
      <c r="F7079" s="25">
        <v>1.1834E-4</v>
      </c>
      <c r="G7079" s="25">
        <v>1.1129999999999999E-4</v>
      </c>
      <c r="H7079" s="25">
        <v>1.3195000000000001E-4</v>
      </c>
      <c r="I7079" s="9">
        <v>1.3323E-4</v>
      </c>
      <c r="J7079" s="9">
        <v>1.3642E-4</v>
      </c>
      <c r="K7079" s="9">
        <v>7.2059999999999998E-5</v>
      </c>
      <c r="L7079" s="9">
        <v>2.0621999999999999E-4</v>
      </c>
      <c r="M7079" s="9">
        <v>1.5904999999999999E-4</v>
      </c>
      <c r="N7079" s="9">
        <v>1.2993999999999999E-4</v>
      </c>
      <c r="O7079" s="9">
        <v>1.6346000000000001E-4</v>
      </c>
      <c r="P7079" s="9">
        <v>1.3396E-4</v>
      </c>
      <c r="Q7079" s="9">
        <v>1.0632E-4</v>
      </c>
      <c r="R7079" s="10">
        <v>1.5488328623023298E-4</v>
      </c>
      <c r="S7079" s="10">
        <v>1.7865425372172073E-4</v>
      </c>
      <c r="T7079" s="10">
        <v>0</v>
      </c>
      <c r="U7079" s="10">
        <v>6.9250000000000003E-5</v>
      </c>
      <c r="V7079" s="25"/>
      <c r="W7079" s="25"/>
      <c r="X7079" s="25"/>
      <c r="Y7079" s="25"/>
      <c r="Z7079" s="25"/>
      <c r="AA7079" s="25"/>
    </row>
    <row r="7080" spans="1:27" x14ac:dyDescent="0.35">
      <c r="A7080" s="5">
        <v>7076</v>
      </c>
      <c r="B7080" s="5">
        <v>295</v>
      </c>
      <c r="C7080" s="5">
        <v>10</v>
      </c>
      <c r="D7080" s="25">
        <v>1.1415000000000001E-4</v>
      </c>
      <c r="E7080" s="25">
        <v>1.1102E-4</v>
      </c>
      <c r="F7080" s="25">
        <v>1.2061999999999999E-4</v>
      </c>
      <c r="G7080" s="25">
        <v>1.1297E-4</v>
      </c>
      <c r="H7080" s="25">
        <v>1.3394000000000001E-4</v>
      </c>
      <c r="I7080" s="9">
        <v>1.2766000000000001E-4</v>
      </c>
      <c r="J7080" s="9">
        <v>1.3148000000000001E-4</v>
      </c>
      <c r="K7080" s="9">
        <v>7.8419999999999998E-5</v>
      </c>
      <c r="L7080" s="9">
        <v>1.7301E-4</v>
      </c>
      <c r="M7080" s="9">
        <v>1.5018E-4</v>
      </c>
      <c r="N7080" s="9">
        <v>1.2061E-4</v>
      </c>
      <c r="O7080" s="9">
        <v>1.2808000000000001E-4</v>
      </c>
      <c r="P7080" s="9">
        <v>1.1399E-4</v>
      </c>
      <c r="Q7080" s="9">
        <v>1.0111999999999999E-4</v>
      </c>
      <c r="R7080" s="10">
        <v>1.3929160001842296E-4</v>
      </c>
      <c r="S7080" s="10">
        <v>1.7471922548548696E-4</v>
      </c>
      <c r="T7080" s="10">
        <v>0</v>
      </c>
      <c r="U7080" s="10">
        <v>6.9250000000000003E-5</v>
      </c>
      <c r="V7080" s="25"/>
      <c r="W7080" s="25"/>
      <c r="X7080" s="25"/>
      <c r="Y7080" s="25"/>
      <c r="Z7080" s="25"/>
      <c r="AA7080" s="25"/>
    </row>
    <row r="7081" spans="1:27" x14ac:dyDescent="0.35">
      <c r="A7081" s="5">
        <v>7077</v>
      </c>
      <c r="B7081" s="5">
        <v>295</v>
      </c>
      <c r="C7081" s="5">
        <v>10</v>
      </c>
      <c r="D7081" s="25">
        <v>1.1416E-4</v>
      </c>
      <c r="E7081" s="25">
        <v>1.1338E-4</v>
      </c>
      <c r="F7081" s="25">
        <v>1.1658999999999999E-4</v>
      </c>
      <c r="G7081" s="25">
        <v>5.9419999999999997E-5</v>
      </c>
      <c r="H7081" s="25">
        <v>7.0909999999999997E-5</v>
      </c>
      <c r="I7081" s="9">
        <v>1.2059E-4</v>
      </c>
      <c r="J7081" s="9">
        <v>1.2371999999999999E-4</v>
      </c>
      <c r="K7081" s="9">
        <v>8.4779999999999998E-5</v>
      </c>
      <c r="L7081" s="9">
        <v>1.3898E-4</v>
      </c>
      <c r="M7081" s="9">
        <v>1.3465999999999999E-4</v>
      </c>
      <c r="N7081" s="9">
        <v>1.128E-4</v>
      </c>
      <c r="O7081" s="9">
        <v>8.4289999999999994E-5</v>
      </c>
      <c r="P7081" s="9">
        <v>8.5799999999999998E-5</v>
      </c>
      <c r="Q7081" s="9">
        <v>8.7789999999999998E-5</v>
      </c>
      <c r="R7081" s="10">
        <v>1.2095261178607088E-4</v>
      </c>
      <c r="S7081" s="10">
        <v>1.6797674649780318E-4</v>
      </c>
      <c r="T7081" s="10">
        <v>0</v>
      </c>
      <c r="U7081" s="10">
        <v>6.9250000000000003E-5</v>
      </c>
      <c r="V7081" s="25"/>
      <c r="W7081" s="25"/>
      <c r="X7081" s="25"/>
      <c r="Y7081" s="25"/>
      <c r="Z7081" s="25"/>
      <c r="AA7081" s="25"/>
    </row>
    <row r="7082" spans="1:27" x14ac:dyDescent="0.35">
      <c r="A7082" s="5">
        <v>7078</v>
      </c>
      <c r="B7082" s="5">
        <v>295</v>
      </c>
      <c r="C7082" s="5">
        <v>10</v>
      </c>
      <c r="D7082" s="25">
        <v>1.1415000000000001E-4</v>
      </c>
      <c r="E7082" s="25">
        <v>1.1089E-4</v>
      </c>
      <c r="F7082" s="25">
        <v>1.1394E-4</v>
      </c>
      <c r="G7082" s="25">
        <v>5.393E-5</v>
      </c>
      <c r="H7082" s="25">
        <v>7.4010000000000005E-5</v>
      </c>
      <c r="I7082" s="9">
        <v>1.2014E-4</v>
      </c>
      <c r="J7082" s="9">
        <v>1.1571E-4</v>
      </c>
      <c r="K7082" s="9">
        <v>8.0539999999999998E-5</v>
      </c>
      <c r="L7082" s="9">
        <v>9.7250000000000006E-5</v>
      </c>
      <c r="M7082" s="9">
        <v>1.1307999999999999E-4</v>
      </c>
      <c r="N7082" s="9">
        <v>1.0512E-4</v>
      </c>
      <c r="O7082" s="9">
        <v>8.6890000000000003E-5</v>
      </c>
      <c r="P7082" s="9">
        <v>8.7009999999999995E-5</v>
      </c>
      <c r="Q7082" s="9">
        <v>8.7650000000000003E-5</v>
      </c>
      <c r="R7082" s="10">
        <v>1.1474931964226302E-4</v>
      </c>
      <c r="S7082" s="10">
        <v>1.5957378342731592E-4</v>
      </c>
      <c r="T7082" s="10">
        <v>0</v>
      </c>
      <c r="U7082" s="10">
        <v>6.9250000000000003E-5</v>
      </c>
      <c r="V7082" s="25"/>
      <c r="W7082" s="25"/>
      <c r="X7082" s="25"/>
      <c r="Y7082" s="25"/>
      <c r="Z7082" s="25"/>
      <c r="AA7082" s="25"/>
    </row>
    <row r="7083" spans="1:27" x14ac:dyDescent="0.35">
      <c r="A7083" s="5">
        <v>7079</v>
      </c>
      <c r="B7083" s="5">
        <v>295</v>
      </c>
      <c r="C7083" s="5">
        <v>10</v>
      </c>
      <c r="D7083" s="25">
        <v>1.1416E-4</v>
      </c>
      <c r="E7083" s="25">
        <v>1.1768E-4</v>
      </c>
      <c r="F7083" s="25">
        <v>1.2755000000000001E-4</v>
      </c>
      <c r="G7083" s="25">
        <v>5.4639999999999999E-5</v>
      </c>
      <c r="H7083" s="25">
        <v>7.1340000000000005E-5</v>
      </c>
      <c r="I7083" s="9">
        <v>1.1827E-4</v>
      </c>
      <c r="J7083" s="9">
        <v>1.0938E-4</v>
      </c>
      <c r="K7083" s="9">
        <v>7.4179999999999998E-5</v>
      </c>
      <c r="L7083" s="9">
        <v>9.009E-5</v>
      </c>
      <c r="M7083" s="9">
        <v>9.8410000000000001E-5</v>
      </c>
      <c r="N7083" s="9">
        <v>9.9279999999999998E-5</v>
      </c>
      <c r="O7083" s="9">
        <v>7.7340000000000002E-5</v>
      </c>
      <c r="P7083" s="9">
        <v>7.1619999999999995E-5</v>
      </c>
      <c r="Q7083" s="9">
        <v>6.6409999999999996E-5</v>
      </c>
      <c r="R7083" s="10">
        <v>1.009103641994436E-4</v>
      </c>
      <c r="S7083" s="10">
        <v>1.3767636539987414E-4</v>
      </c>
      <c r="T7083" s="10">
        <v>0</v>
      </c>
      <c r="U7083" s="10">
        <v>6.9250000000000003E-5</v>
      </c>
      <c r="V7083" s="25"/>
      <c r="W7083" s="25"/>
      <c r="X7083" s="25"/>
      <c r="Y7083" s="25"/>
      <c r="Z7083" s="25"/>
      <c r="AA7083" s="25"/>
    </row>
    <row r="7084" spans="1:27" x14ac:dyDescent="0.35">
      <c r="A7084" s="5">
        <v>7080</v>
      </c>
      <c r="B7084" s="5">
        <v>295</v>
      </c>
      <c r="C7084" s="5">
        <v>10</v>
      </c>
      <c r="D7084" s="25">
        <v>1.1415000000000001E-4</v>
      </c>
      <c r="E7084" s="25">
        <v>1.1656E-4</v>
      </c>
      <c r="F7084" s="25">
        <v>1.1843E-4</v>
      </c>
      <c r="G7084" s="25">
        <v>6.1920000000000003E-5</v>
      </c>
      <c r="H7084" s="25">
        <v>7.4049999999999997E-5</v>
      </c>
      <c r="I7084" s="9">
        <v>1.106E-4</v>
      </c>
      <c r="J7084" s="9">
        <v>1.0219E-4</v>
      </c>
      <c r="K7084" s="9">
        <v>6.9939999999999998E-5</v>
      </c>
      <c r="L7084" s="9">
        <v>8.0129999999999993E-5</v>
      </c>
      <c r="M7084" s="9">
        <v>8.5539999999999998E-5</v>
      </c>
      <c r="N7084" s="9">
        <v>9.0000000000000006E-5</v>
      </c>
      <c r="O7084" s="9">
        <v>6.334E-5</v>
      </c>
      <c r="P7084" s="9">
        <v>6.1229999999999995E-5</v>
      </c>
      <c r="Q7084" s="9">
        <v>5.94E-5</v>
      </c>
      <c r="R7084" s="10">
        <v>8.7679104333463525E-5</v>
      </c>
      <c r="S7084" s="10">
        <v>1.1305627523717203E-4</v>
      </c>
      <c r="T7084" s="10">
        <v>0</v>
      </c>
      <c r="U7084" s="10">
        <v>6.9250000000000003E-5</v>
      </c>
      <c r="V7084" s="25"/>
      <c r="W7084" s="25"/>
      <c r="X7084" s="25"/>
      <c r="Y7084" s="25"/>
      <c r="Z7084" s="25"/>
      <c r="AA7084" s="25"/>
    </row>
    <row r="7085" spans="1:27" x14ac:dyDescent="0.35">
      <c r="A7085" s="5">
        <v>7081</v>
      </c>
      <c r="B7085" s="5">
        <v>296</v>
      </c>
      <c r="C7085" s="5">
        <v>10</v>
      </c>
      <c r="D7085" s="25">
        <v>1.1416E-4</v>
      </c>
      <c r="E7085" s="25">
        <v>1.1218999999999999E-4</v>
      </c>
      <c r="F7085" s="25">
        <v>9.8999999999999994E-5</v>
      </c>
      <c r="G7085" s="25">
        <v>6.2230000000000006E-5</v>
      </c>
      <c r="H7085" s="25">
        <v>6.8750000000000004E-5</v>
      </c>
      <c r="I7085" s="9">
        <v>1.0329E-4</v>
      </c>
      <c r="J7085" s="9">
        <v>9.5970000000000004E-5</v>
      </c>
      <c r="K7085" s="9">
        <v>7.2059999999999998E-5</v>
      </c>
      <c r="L7085" s="9">
        <v>6.7039999999999995E-5</v>
      </c>
      <c r="M7085" s="9">
        <v>7.3830000000000003E-5</v>
      </c>
      <c r="N7085" s="9">
        <v>8.0829999999999997E-5</v>
      </c>
      <c r="O7085" s="9">
        <v>5.431E-5</v>
      </c>
      <c r="P7085" s="9">
        <v>5.3730000000000002E-5</v>
      </c>
      <c r="Q7085" s="9">
        <v>5.3310000000000003E-5</v>
      </c>
      <c r="R7085" s="10">
        <v>7.1093973222264881E-5</v>
      </c>
      <c r="S7085" s="10">
        <v>1.0141936504540898E-4</v>
      </c>
      <c r="T7085" s="10">
        <v>0</v>
      </c>
      <c r="U7085" s="10">
        <v>6.9950000000000006E-5</v>
      </c>
      <c r="V7085" s="25"/>
      <c r="W7085" s="25"/>
      <c r="X7085" s="25"/>
      <c r="Y7085" s="25"/>
      <c r="Z7085" s="25"/>
      <c r="AA7085" s="25"/>
    </row>
    <row r="7086" spans="1:27" x14ac:dyDescent="0.35">
      <c r="A7086" s="5">
        <v>7082</v>
      </c>
      <c r="B7086" s="5">
        <v>296</v>
      </c>
      <c r="C7086" s="5">
        <v>10</v>
      </c>
      <c r="D7086" s="25">
        <v>1.1415000000000001E-4</v>
      </c>
      <c r="E7086" s="25">
        <v>1.0669E-4</v>
      </c>
      <c r="F7086" s="25">
        <v>1.0755999999999999E-4</v>
      </c>
      <c r="G7086" s="25">
        <v>5.2450000000000001E-5</v>
      </c>
      <c r="H7086" s="25">
        <v>7.0729999999999995E-5</v>
      </c>
      <c r="I7086" s="9">
        <v>9.8770000000000005E-5</v>
      </c>
      <c r="J7086" s="9">
        <v>9.2260000000000001E-5</v>
      </c>
      <c r="K7086" s="9">
        <v>9.1139999999999998E-5</v>
      </c>
      <c r="L7086" s="9">
        <v>5.7469999999999997E-5</v>
      </c>
      <c r="M7086" s="9">
        <v>6.3830000000000004E-5</v>
      </c>
      <c r="N7086" s="9">
        <v>7.1810000000000005E-5</v>
      </c>
      <c r="O7086" s="9">
        <v>1.8749999999999998E-5</v>
      </c>
      <c r="P7086" s="9">
        <v>3.7740000000000001E-5</v>
      </c>
      <c r="Q7086" s="9">
        <v>5.6159999999999998E-5</v>
      </c>
      <c r="R7086" s="10">
        <v>6.5396279852031721E-5</v>
      </c>
      <c r="S7086" s="10">
        <v>7.94283224351197E-5</v>
      </c>
      <c r="T7086" s="10">
        <v>0</v>
      </c>
      <c r="U7086" s="10">
        <v>6.9950000000000006E-5</v>
      </c>
      <c r="V7086" s="25"/>
      <c r="W7086" s="25"/>
      <c r="X7086" s="25"/>
      <c r="Y7086" s="25"/>
      <c r="Z7086" s="25"/>
      <c r="AA7086" s="25"/>
    </row>
    <row r="7087" spans="1:27" x14ac:dyDescent="0.35">
      <c r="A7087" s="5">
        <v>7083</v>
      </c>
      <c r="B7087" s="5">
        <v>296</v>
      </c>
      <c r="C7087" s="5">
        <v>10</v>
      </c>
      <c r="D7087" s="25">
        <v>1.1416E-4</v>
      </c>
      <c r="E7087" s="25">
        <v>1.0685E-4</v>
      </c>
      <c r="F7087" s="25">
        <v>9.2700000000000004E-5</v>
      </c>
      <c r="G7087" s="25">
        <v>5.9179999999999999E-5</v>
      </c>
      <c r="H7087" s="25">
        <v>6.8020000000000003E-5</v>
      </c>
      <c r="I7087" s="9">
        <v>9.7150000000000003E-5</v>
      </c>
      <c r="J7087" s="9">
        <v>9.0790000000000003E-5</v>
      </c>
      <c r="K7087" s="9">
        <v>7.8419999999999998E-5</v>
      </c>
      <c r="L7087" s="9">
        <v>2.7489999999999999E-5</v>
      </c>
      <c r="M7087" s="9">
        <v>5.215E-5</v>
      </c>
      <c r="N7087" s="9">
        <v>6.5339999999999994E-5</v>
      </c>
      <c r="O7087" s="9">
        <v>1.327E-5</v>
      </c>
      <c r="P7087" s="9">
        <v>3.7780000000000001E-5</v>
      </c>
      <c r="Q7087" s="9">
        <v>6.1569999999999995E-5</v>
      </c>
      <c r="R7087" s="10">
        <v>7.1140142428969429E-5</v>
      </c>
      <c r="S7087" s="10">
        <v>6.237057179606464E-5</v>
      </c>
      <c r="T7087" s="10">
        <v>0</v>
      </c>
      <c r="U7087" s="10">
        <v>6.9950000000000006E-5</v>
      </c>
      <c r="V7087" s="25"/>
      <c r="W7087" s="25"/>
      <c r="X7087" s="25"/>
      <c r="Y7087" s="25"/>
      <c r="Z7087" s="25"/>
      <c r="AA7087" s="25"/>
    </row>
    <row r="7088" spans="1:27" x14ac:dyDescent="0.35">
      <c r="A7088" s="5">
        <v>7084</v>
      </c>
      <c r="B7088" s="5">
        <v>296</v>
      </c>
      <c r="C7088" s="5">
        <v>10</v>
      </c>
      <c r="D7088" s="25">
        <v>1.1415000000000001E-4</v>
      </c>
      <c r="E7088" s="25">
        <v>1.1451E-4</v>
      </c>
      <c r="F7088" s="25">
        <v>1.0807E-4</v>
      </c>
      <c r="G7088" s="25">
        <v>5.2179999999999998E-5</v>
      </c>
      <c r="H7088" s="25">
        <v>7.0300000000000001E-5</v>
      </c>
      <c r="I7088" s="9">
        <v>9.6260000000000003E-5</v>
      </c>
      <c r="J7088" s="9">
        <v>9.0350000000000001E-5</v>
      </c>
      <c r="K7088" s="9">
        <v>9.1130000000000003E-5</v>
      </c>
      <c r="L7088" s="9">
        <v>1.715E-5</v>
      </c>
      <c r="M7088" s="9">
        <v>4.4180000000000001E-5</v>
      </c>
      <c r="N7088" s="9">
        <v>6.1849999999999999E-5</v>
      </c>
      <c r="O7088" s="9">
        <v>1.322E-5</v>
      </c>
      <c r="P7088" s="9">
        <v>4.7049999999999998E-5</v>
      </c>
      <c r="Q7088" s="9">
        <v>8.0030000000000005E-5</v>
      </c>
      <c r="R7088" s="10">
        <v>7.2378309513228582E-5</v>
      </c>
      <c r="S7088" s="10">
        <v>5.5072740837712374E-5</v>
      </c>
      <c r="T7088" s="10">
        <v>0</v>
      </c>
      <c r="U7088" s="10">
        <v>6.9950000000000006E-5</v>
      </c>
      <c r="V7088" s="25"/>
      <c r="W7088" s="25"/>
      <c r="X7088" s="25"/>
      <c r="Y7088" s="25"/>
      <c r="Z7088" s="25"/>
      <c r="AA7088" s="25"/>
    </row>
    <row r="7089" spans="1:27" x14ac:dyDescent="0.35">
      <c r="A7089" s="5">
        <v>7085</v>
      </c>
      <c r="B7089" s="5">
        <v>296</v>
      </c>
      <c r="C7089" s="5">
        <v>10</v>
      </c>
      <c r="D7089" s="25">
        <v>1.1416E-4</v>
      </c>
      <c r="E7089" s="25">
        <v>1.0781999999999999E-4</v>
      </c>
      <c r="F7089" s="25">
        <v>1.0775E-4</v>
      </c>
      <c r="G7089" s="25">
        <v>5.7349999999999998E-5</v>
      </c>
      <c r="H7089" s="25">
        <v>6.3200000000000005E-5</v>
      </c>
      <c r="I7089" s="9">
        <v>9.7440000000000002E-5</v>
      </c>
      <c r="J7089" s="9">
        <v>9.1000000000000003E-5</v>
      </c>
      <c r="K7089" s="9">
        <v>1.0173E-4</v>
      </c>
      <c r="L7089" s="9">
        <v>1.433E-5</v>
      </c>
      <c r="M7089" s="9">
        <v>4.3430000000000003E-5</v>
      </c>
      <c r="N7089" s="9">
        <v>6.436E-5</v>
      </c>
      <c r="O7089" s="9">
        <v>1.8790000000000001E-5</v>
      </c>
      <c r="P7089" s="9">
        <v>5.6719999999999999E-5</v>
      </c>
      <c r="Q7089" s="9">
        <v>9.378E-5</v>
      </c>
      <c r="R7089" s="10">
        <v>6.5121798017528349E-5</v>
      </c>
      <c r="S7089" s="10">
        <v>4.6763603610430342E-5</v>
      </c>
      <c r="T7089" s="10">
        <v>0</v>
      </c>
      <c r="U7089" s="10">
        <v>6.9950000000000006E-5</v>
      </c>
      <c r="V7089" s="25"/>
      <c r="W7089" s="25"/>
      <c r="X7089" s="25"/>
      <c r="Y7089" s="25"/>
      <c r="Z7089" s="25"/>
      <c r="AA7089" s="25"/>
    </row>
    <row r="7090" spans="1:27" x14ac:dyDescent="0.35">
      <c r="A7090" s="5">
        <v>7086</v>
      </c>
      <c r="B7090" s="5">
        <v>296</v>
      </c>
      <c r="C7090" s="5">
        <v>10</v>
      </c>
      <c r="D7090" s="25">
        <v>1.1415000000000001E-4</v>
      </c>
      <c r="E7090" s="25">
        <v>1.1505E-4</v>
      </c>
      <c r="F7090" s="25">
        <v>9.2449999999999997E-5</v>
      </c>
      <c r="G7090" s="25">
        <v>1.0433999999999999E-4</v>
      </c>
      <c r="H7090" s="25">
        <v>1.2941999999999999E-4</v>
      </c>
      <c r="I7090" s="9">
        <v>1.0192E-4</v>
      </c>
      <c r="J7090" s="9">
        <v>9.3720000000000004E-5</v>
      </c>
      <c r="K7090" s="9">
        <v>8.6890000000000003E-5</v>
      </c>
      <c r="L7090" s="9">
        <v>1.768E-5</v>
      </c>
      <c r="M7090" s="9">
        <v>4.8369999999999999E-5</v>
      </c>
      <c r="N7090" s="9">
        <v>7.0950000000000003E-5</v>
      </c>
      <c r="O7090" s="9">
        <v>4.6279999999999997E-5</v>
      </c>
      <c r="P7090" s="9">
        <v>7.6879999999999996E-5</v>
      </c>
      <c r="Q7090" s="9">
        <v>1.0705E-4</v>
      </c>
      <c r="R7090" s="10">
        <v>5.8078341591874729E-5</v>
      </c>
      <c r="S7090" s="10">
        <v>3.787055409314449E-5</v>
      </c>
      <c r="T7090" s="10">
        <v>0</v>
      </c>
      <c r="U7090" s="10">
        <v>6.9950000000000006E-5</v>
      </c>
      <c r="V7090" s="25"/>
      <c r="W7090" s="25"/>
      <c r="X7090" s="25"/>
      <c r="Y7090" s="25"/>
      <c r="Z7090" s="25"/>
      <c r="AA7090" s="25"/>
    </row>
    <row r="7091" spans="1:27" x14ac:dyDescent="0.35">
      <c r="A7091" s="5">
        <v>7087</v>
      </c>
      <c r="B7091" s="5">
        <v>296</v>
      </c>
      <c r="C7091" s="5">
        <v>10</v>
      </c>
      <c r="D7091" s="25">
        <v>1.1416E-4</v>
      </c>
      <c r="E7091" s="25">
        <v>1.0985E-4</v>
      </c>
      <c r="F7091" s="25">
        <v>1.0342E-4</v>
      </c>
      <c r="G7091" s="25">
        <v>1.1480999999999999E-4</v>
      </c>
      <c r="H7091" s="25">
        <v>1.3409000000000001E-4</v>
      </c>
      <c r="I7091" s="9">
        <v>1.0649000000000001E-4</v>
      </c>
      <c r="J7091" s="9">
        <v>1.0058E-4</v>
      </c>
      <c r="K7091" s="9">
        <v>7.8419999999999998E-5</v>
      </c>
      <c r="L7091" s="9">
        <v>3.9839999999999998E-5</v>
      </c>
      <c r="M7091" s="9">
        <v>6.0019999999999998E-5</v>
      </c>
      <c r="N7091" s="9">
        <v>8.0690000000000002E-5</v>
      </c>
      <c r="O7091" s="9">
        <v>1.2214999999999999E-4</v>
      </c>
      <c r="P7091" s="9">
        <v>1.1623E-4</v>
      </c>
      <c r="Q7091" s="9">
        <v>1.1134E-4</v>
      </c>
      <c r="R7091" s="10">
        <v>4.5372689575431287E-5</v>
      </c>
      <c r="S7091" s="10">
        <v>2.8191649107075593E-5</v>
      </c>
      <c r="T7091" s="10">
        <v>0</v>
      </c>
      <c r="U7091" s="10">
        <v>6.9950000000000006E-5</v>
      </c>
      <c r="V7091" s="25"/>
      <c r="W7091" s="25"/>
      <c r="X7091" s="25"/>
      <c r="Y7091" s="25"/>
      <c r="Z7091" s="25"/>
      <c r="AA7091" s="25"/>
    </row>
    <row r="7092" spans="1:27" x14ac:dyDescent="0.35">
      <c r="A7092" s="5">
        <v>7088</v>
      </c>
      <c r="B7092" s="5">
        <v>296</v>
      </c>
      <c r="C7092" s="5">
        <v>10</v>
      </c>
      <c r="D7092" s="25">
        <v>1.1415000000000001E-4</v>
      </c>
      <c r="E7092" s="25">
        <v>1.1771E-4</v>
      </c>
      <c r="F7092" s="25">
        <v>9.4909999999999998E-5</v>
      </c>
      <c r="G7092" s="25">
        <v>1.5658999999999999E-4</v>
      </c>
      <c r="H7092" s="25">
        <v>1.8766E-4</v>
      </c>
      <c r="I7092" s="9">
        <v>1.1242E-4</v>
      </c>
      <c r="J7092" s="9">
        <v>1.0844E-4</v>
      </c>
      <c r="K7092" s="9">
        <v>6.7819999999999998E-5</v>
      </c>
      <c r="L7092" s="9">
        <v>1.0342E-4</v>
      </c>
      <c r="M7092" s="9">
        <v>8.3259999999999999E-5</v>
      </c>
      <c r="N7092" s="9">
        <v>9.0550000000000005E-5</v>
      </c>
      <c r="O7092" s="9">
        <v>2.2104000000000001E-4</v>
      </c>
      <c r="P7092" s="9">
        <v>1.7783999999999999E-4</v>
      </c>
      <c r="Q7092" s="9">
        <v>1.3737999999999999E-4</v>
      </c>
      <c r="R7092" s="10">
        <v>3.4021213367475575E-5</v>
      </c>
      <c r="S7092" s="10">
        <v>2.2307000681953522E-5</v>
      </c>
      <c r="T7092" s="10">
        <v>4.9819805784036858E-5</v>
      </c>
      <c r="U7092" s="10">
        <v>6.9950000000000006E-5</v>
      </c>
      <c r="V7092" s="25"/>
      <c r="W7092" s="25"/>
      <c r="X7092" s="25"/>
      <c r="Y7092" s="25"/>
      <c r="Z7092" s="25"/>
      <c r="AA7092" s="25"/>
    </row>
    <row r="7093" spans="1:27" x14ac:dyDescent="0.35">
      <c r="A7093" s="5">
        <v>7089</v>
      </c>
      <c r="B7093" s="5">
        <v>296</v>
      </c>
      <c r="C7093" s="5">
        <v>10</v>
      </c>
      <c r="D7093" s="25">
        <v>1.1416E-4</v>
      </c>
      <c r="E7093" s="25">
        <v>1.08E-4</v>
      </c>
      <c r="F7093" s="25">
        <v>9.9920000000000006E-5</v>
      </c>
      <c r="G7093" s="25">
        <v>1.6325000000000001E-4</v>
      </c>
      <c r="H7093" s="25">
        <v>1.9766E-4</v>
      </c>
      <c r="I7093" s="9">
        <v>1.1813E-4</v>
      </c>
      <c r="J7093" s="9">
        <v>1.1589E-4</v>
      </c>
      <c r="K7093" s="9">
        <v>4.8749999999999999E-5</v>
      </c>
      <c r="L7093" s="9">
        <v>1.9342E-4</v>
      </c>
      <c r="M7093" s="9">
        <v>1.2331000000000001E-4</v>
      </c>
      <c r="N7093" s="9">
        <v>1.0446999999999999E-4</v>
      </c>
      <c r="O7093" s="9">
        <v>2.1295E-4</v>
      </c>
      <c r="P7093" s="9">
        <v>1.9432999999999999E-4</v>
      </c>
      <c r="Q7093" s="9">
        <v>1.7797000000000001E-4</v>
      </c>
      <c r="R7093" s="10">
        <v>3.5657417332878366E-5</v>
      </c>
      <c r="S7093" s="10">
        <v>2.449578332057947E-5</v>
      </c>
      <c r="T7093" s="10">
        <v>9.4319955875534368E-5</v>
      </c>
      <c r="U7093" s="10">
        <v>6.9950000000000006E-5</v>
      </c>
      <c r="V7093" s="25"/>
      <c r="W7093" s="25"/>
      <c r="X7093" s="25"/>
      <c r="Y7093" s="25"/>
      <c r="Z7093" s="25"/>
      <c r="AA7093" s="25"/>
    </row>
    <row r="7094" spans="1:27" x14ac:dyDescent="0.35">
      <c r="A7094" s="5">
        <v>7090</v>
      </c>
      <c r="B7094" s="5">
        <v>296</v>
      </c>
      <c r="C7094" s="5">
        <v>10</v>
      </c>
      <c r="D7094" s="25">
        <v>1.1415000000000001E-4</v>
      </c>
      <c r="E7094" s="25">
        <v>1.1709000000000001E-4</v>
      </c>
      <c r="F7094" s="25">
        <v>9.781E-5</v>
      </c>
      <c r="G7094" s="25">
        <v>1.6270999999999999E-4</v>
      </c>
      <c r="H7094" s="25">
        <v>1.9336000000000001E-4</v>
      </c>
      <c r="I7094" s="9">
        <v>1.2113E-4</v>
      </c>
      <c r="J7094" s="9">
        <v>1.1974E-4</v>
      </c>
      <c r="K7094" s="9">
        <v>3.6029999999999999E-5</v>
      </c>
      <c r="L7094" s="9">
        <v>2.0629000000000001E-4</v>
      </c>
      <c r="M7094" s="9">
        <v>1.5904999999999999E-4</v>
      </c>
      <c r="N7094" s="9">
        <v>1.2475E-4</v>
      </c>
      <c r="O7094" s="9">
        <v>1.6746999999999999E-4</v>
      </c>
      <c r="P7094" s="9">
        <v>1.7412999999999999E-4</v>
      </c>
      <c r="Q7094" s="9">
        <v>1.8213999999999999E-4</v>
      </c>
      <c r="R7094" s="10">
        <v>5.0947621462700235E-5</v>
      </c>
      <c r="S7094" s="10">
        <v>3.7065027491302602E-5</v>
      </c>
      <c r="T7094" s="10">
        <v>7.8259177205714563E-5</v>
      </c>
      <c r="U7094" s="10">
        <v>6.9950000000000006E-5</v>
      </c>
      <c r="V7094" s="25"/>
      <c r="W7094" s="25"/>
      <c r="X7094" s="25"/>
      <c r="Y7094" s="25"/>
      <c r="Z7094" s="25"/>
      <c r="AA7094" s="25"/>
    </row>
    <row r="7095" spans="1:27" x14ac:dyDescent="0.35">
      <c r="A7095" s="5">
        <v>7091</v>
      </c>
      <c r="B7095" s="5">
        <v>296</v>
      </c>
      <c r="C7095" s="5">
        <v>10</v>
      </c>
      <c r="D7095" s="25">
        <v>1.1416E-4</v>
      </c>
      <c r="E7095" s="25">
        <v>1.1302999999999999E-4</v>
      </c>
      <c r="F7095" s="25">
        <v>9.7899999999999994E-5</v>
      </c>
      <c r="G7095" s="25">
        <v>1.6134E-4</v>
      </c>
      <c r="H7095" s="25">
        <v>1.9724E-4</v>
      </c>
      <c r="I7095" s="9">
        <v>1.2332000000000001E-4</v>
      </c>
      <c r="J7095" s="9">
        <v>1.2015000000000001E-4</v>
      </c>
      <c r="K7095" s="9">
        <v>5.9349999999999999E-5</v>
      </c>
      <c r="L7095" s="9">
        <v>1.7607000000000001E-4</v>
      </c>
      <c r="M7095" s="9">
        <v>1.7278000000000001E-4</v>
      </c>
      <c r="N7095" s="9">
        <v>1.4285E-4</v>
      </c>
      <c r="O7095" s="9">
        <v>1.6684E-4</v>
      </c>
      <c r="P7095" s="9">
        <v>1.7212999999999999E-4</v>
      </c>
      <c r="Q7095" s="9">
        <v>1.7877999999999999E-4</v>
      </c>
      <c r="R7095" s="10">
        <v>5.9031356948064278E-5</v>
      </c>
      <c r="S7095" s="10">
        <v>4.9113277579267537E-5</v>
      </c>
      <c r="T7095" s="10">
        <v>1.2683179098528049E-4</v>
      </c>
      <c r="U7095" s="10">
        <v>6.9950000000000006E-5</v>
      </c>
      <c r="V7095" s="25"/>
      <c r="W7095" s="25"/>
      <c r="X7095" s="25"/>
      <c r="Y7095" s="25"/>
      <c r="Z7095" s="25"/>
      <c r="AA7095" s="25"/>
    </row>
    <row r="7096" spans="1:27" x14ac:dyDescent="0.35">
      <c r="A7096" s="5">
        <v>7092</v>
      </c>
      <c r="B7096" s="5">
        <v>296</v>
      </c>
      <c r="C7096" s="5">
        <v>10</v>
      </c>
      <c r="D7096" s="25">
        <v>1.1415000000000001E-4</v>
      </c>
      <c r="E7096" s="25">
        <v>1.1773E-4</v>
      </c>
      <c r="F7096" s="25">
        <v>9.3430000000000005E-5</v>
      </c>
      <c r="G7096" s="25">
        <v>1.6153000000000001E-4</v>
      </c>
      <c r="H7096" s="25">
        <v>1.9888999999999999E-4</v>
      </c>
      <c r="I7096" s="9">
        <v>1.2255999999999999E-4</v>
      </c>
      <c r="J7096" s="9">
        <v>1.1836E-4</v>
      </c>
      <c r="K7096" s="9">
        <v>6.1470000000000006E-5</v>
      </c>
      <c r="L7096" s="9">
        <v>1.7033E-4</v>
      </c>
      <c r="M7096" s="9">
        <v>1.7484E-4</v>
      </c>
      <c r="N7096" s="9">
        <v>1.5678E-4</v>
      </c>
      <c r="O7096" s="9">
        <v>1.6897E-4</v>
      </c>
      <c r="P7096" s="9">
        <v>1.7017000000000001E-4</v>
      </c>
      <c r="Q7096" s="9">
        <v>1.7281999999999999E-4</v>
      </c>
      <c r="R7096" s="10">
        <v>2.3785078010211779E-5</v>
      </c>
      <c r="S7096" s="10">
        <v>6.3283865328158707E-5</v>
      </c>
      <c r="T7096" s="10">
        <v>1.6666557643419961E-4</v>
      </c>
      <c r="U7096" s="10">
        <v>6.9950000000000006E-5</v>
      </c>
      <c r="V7096" s="25"/>
      <c r="W7096" s="25"/>
      <c r="X7096" s="25"/>
      <c r="Y7096" s="25"/>
      <c r="Z7096" s="25"/>
      <c r="AA7096" s="25"/>
    </row>
    <row r="7097" spans="1:27" x14ac:dyDescent="0.35">
      <c r="A7097" s="5">
        <v>7093</v>
      </c>
      <c r="B7097" s="5">
        <v>296</v>
      </c>
      <c r="C7097" s="5">
        <v>10</v>
      </c>
      <c r="D7097" s="25">
        <v>1.1416E-4</v>
      </c>
      <c r="E7097" s="25">
        <v>1.1641000000000001E-4</v>
      </c>
      <c r="F7097" s="25">
        <v>1.089E-4</v>
      </c>
      <c r="G7097" s="25">
        <v>1.6432999999999999E-4</v>
      </c>
      <c r="H7097" s="25">
        <v>1.9972999999999999E-4</v>
      </c>
      <c r="I7097" s="9">
        <v>1.2079E-4</v>
      </c>
      <c r="J7097" s="9">
        <v>1.1462E-4</v>
      </c>
      <c r="K7097" s="9">
        <v>4.4509999999999999E-5</v>
      </c>
      <c r="L7097" s="9">
        <v>1.6945999999999999E-4</v>
      </c>
      <c r="M7097" s="9">
        <v>1.7318999999999999E-4</v>
      </c>
      <c r="N7097" s="9">
        <v>1.6595999999999999E-4</v>
      </c>
      <c r="O7097" s="9">
        <v>1.6208999999999999E-4</v>
      </c>
      <c r="P7097" s="9">
        <v>1.6412999999999999E-4</v>
      </c>
      <c r="Q7097" s="9">
        <v>1.6752999999999999E-4</v>
      </c>
      <c r="R7097" s="10">
        <v>3.3885784597366323E-5</v>
      </c>
      <c r="S7097" s="10">
        <v>7.0299929480434635E-5</v>
      </c>
      <c r="T7097" s="10">
        <v>1.9363716406830265E-4</v>
      </c>
      <c r="U7097" s="10">
        <v>6.9950000000000006E-5</v>
      </c>
      <c r="V7097" s="25"/>
      <c r="W7097" s="25"/>
      <c r="X7097" s="25"/>
      <c r="Y7097" s="25"/>
      <c r="Z7097" s="25"/>
      <c r="AA7097" s="25"/>
    </row>
    <row r="7098" spans="1:27" x14ac:dyDescent="0.35">
      <c r="A7098" s="5">
        <v>7094</v>
      </c>
      <c r="B7098" s="5">
        <v>296</v>
      </c>
      <c r="C7098" s="5">
        <v>10</v>
      </c>
      <c r="D7098" s="25">
        <v>1.1415000000000001E-4</v>
      </c>
      <c r="E7098" s="25">
        <v>1.0967E-4</v>
      </c>
      <c r="F7098" s="25">
        <v>9.1420000000000002E-5</v>
      </c>
      <c r="G7098" s="25">
        <v>1.6556000000000001E-4</v>
      </c>
      <c r="H7098" s="25">
        <v>1.9741999999999999E-4</v>
      </c>
      <c r="I7098" s="9">
        <v>1.1574E-4</v>
      </c>
      <c r="J7098" s="9">
        <v>1.1196000000000001E-4</v>
      </c>
      <c r="K7098" s="9">
        <v>3.6029999999999999E-5</v>
      </c>
      <c r="L7098" s="9">
        <v>1.6347000000000001E-4</v>
      </c>
      <c r="M7098" s="9">
        <v>1.6949000000000001E-4</v>
      </c>
      <c r="N7098" s="9">
        <v>1.7027000000000001E-4</v>
      </c>
      <c r="O7098" s="9">
        <v>1.7793999999999999E-4</v>
      </c>
      <c r="P7098" s="9">
        <v>1.6820999999999999E-4</v>
      </c>
      <c r="Q7098" s="9">
        <v>1.6022000000000001E-4</v>
      </c>
      <c r="R7098" s="10">
        <v>3.9832880685211092E-5</v>
      </c>
      <c r="S7098" s="10">
        <v>7.430477023785528E-5</v>
      </c>
      <c r="T7098" s="10">
        <v>1.8087677784568831E-4</v>
      </c>
      <c r="U7098" s="10">
        <v>6.9950000000000006E-5</v>
      </c>
      <c r="V7098" s="25"/>
      <c r="W7098" s="25"/>
      <c r="X7098" s="25"/>
      <c r="Y7098" s="25"/>
      <c r="Z7098" s="25"/>
      <c r="AA7098" s="25"/>
    </row>
    <row r="7099" spans="1:27" x14ac:dyDescent="0.35">
      <c r="A7099" s="5">
        <v>7095</v>
      </c>
      <c r="B7099" s="5">
        <v>296</v>
      </c>
      <c r="C7099" s="5">
        <v>10</v>
      </c>
      <c r="D7099" s="25">
        <v>1.1416E-4</v>
      </c>
      <c r="E7099" s="25">
        <v>1.1001999999999999E-4</v>
      </c>
      <c r="F7099" s="25">
        <v>1.0932E-4</v>
      </c>
      <c r="G7099" s="25">
        <v>1.6509000000000001E-4</v>
      </c>
      <c r="H7099" s="25">
        <v>1.9631E-4</v>
      </c>
      <c r="I7099" s="9">
        <v>1.1483E-4</v>
      </c>
      <c r="J7099" s="9">
        <v>1.1089E-4</v>
      </c>
      <c r="K7099" s="9">
        <v>1.0597E-4</v>
      </c>
      <c r="L7099" s="9">
        <v>1.7489E-4</v>
      </c>
      <c r="M7099" s="9">
        <v>1.6799E-4</v>
      </c>
      <c r="N7099" s="9">
        <v>1.6964000000000001E-4</v>
      </c>
      <c r="O7099" s="9">
        <v>1.8385E-4</v>
      </c>
      <c r="P7099" s="9">
        <v>1.6725999999999999E-4</v>
      </c>
      <c r="Q7099" s="9">
        <v>1.5255999999999999E-4</v>
      </c>
      <c r="R7099" s="10">
        <v>4.1064314528890765E-5</v>
      </c>
      <c r="S7099" s="10">
        <v>8.1236108512697044E-5</v>
      </c>
      <c r="T7099" s="10">
        <v>1.7212098091634123E-4</v>
      </c>
      <c r="U7099" s="10">
        <v>6.9950000000000006E-5</v>
      </c>
      <c r="V7099" s="25"/>
      <c r="W7099" s="25"/>
      <c r="X7099" s="25"/>
      <c r="Y7099" s="25"/>
      <c r="Z7099" s="25"/>
      <c r="AA7099" s="25"/>
    </row>
    <row r="7100" spans="1:27" x14ac:dyDescent="0.35">
      <c r="A7100" s="5">
        <v>7096</v>
      </c>
      <c r="B7100" s="5">
        <v>296</v>
      </c>
      <c r="C7100" s="5">
        <v>10</v>
      </c>
      <c r="D7100" s="25">
        <v>1.1415000000000001E-4</v>
      </c>
      <c r="E7100" s="25">
        <v>1.0971E-4</v>
      </c>
      <c r="F7100" s="25">
        <v>8.9469999999999995E-5</v>
      </c>
      <c r="G7100" s="25">
        <v>1.6045E-4</v>
      </c>
      <c r="H7100" s="25">
        <v>1.9919999999999999E-4</v>
      </c>
      <c r="I7100" s="9">
        <v>1.1367E-4</v>
      </c>
      <c r="J7100" s="9">
        <v>1.1213E-4</v>
      </c>
      <c r="K7100" s="9">
        <v>1.1868E-4</v>
      </c>
      <c r="L7100" s="9">
        <v>1.8158000000000001E-4</v>
      </c>
      <c r="M7100" s="9">
        <v>1.6742999999999999E-4</v>
      </c>
      <c r="N7100" s="9">
        <v>1.6579E-4</v>
      </c>
      <c r="O7100" s="9">
        <v>1.9855E-4</v>
      </c>
      <c r="P7100" s="9">
        <v>1.5313999999999999E-4</v>
      </c>
      <c r="Q7100" s="9">
        <v>1.1026E-4</v>
      </c>
      <c r="R7100" s="10">
        <v>3.4467407752538975E-5</v>
      </c>
      <c r="S7100" s="10">
        <v>9.0818912864630685E-5</v>
      </c>
      <c r="T7100" s="10">
        <v>5.8541665515983374E-5</v>
      </c>
      <c r="U7100" s="10">
        <v>6.9950000000000006E-5</v>
      </c>
      <c r="V7100" s="25"/>
      <c r="W7100" s="25"/>
      <c r="X7100" s="25"/>
      <c r="Y7100" s="25"/>
      <c r="Z7100" s="25"/>
      <c r="AA7100" s="25"/>
    </row>
    <row r="7101" spans="1:27" x14ac:dyDescent="0.35">
      <c r="A7101" s="5">
        <v>7097</v>
      </c>
      <c r="B7101" s="5">
        <v>296</v>
      </c>
      <c r="C7101" s="5">
        <v>10</v>
      </c>
      <c r="D7101" s="25">
        <v>1.1416E-4</v>
      </c>
      <c r="E7101" s="25">
        <v>1.1059E-4</v>
      </c>
      <c r="F7101" s="25">
        <v>9.1899999999999998E-5</v>
      </c>
      <c r="G7101" s="25">
        <v>1.5847999999999999E-4</v>
      </c>
      <c r="H7101" s="25">
        <v>1.9296999999999999E-4</v>
      </c>
      <c r="I7101" s="9">
        <v>1.1455000000000001E-4</v>
      </c>
      <c r="J7101" s="9">
        <v>1.1648E-4</v>
      </c>
      <c r="K7101" s="9">
        <v>1.314E-4</v>
      </c>
      <c r="L7101" s="9">
        <v>1.9458E-4</v>
      </c>
      <c r="M7101" s="9">
        <v>1.6223999999999999E-4</v>
      </c>
      <c r="N7101" s="9">
        <v>1.5224999999999999E-4</v>
      </c>
      <c r="O7101" s="9">
        <v>2.1243E-4</v>
      </c>
      <c r="P7101" s="9">
        <v>1.5791000000000001E-4</v>
      </c>
      <c r="Q7101" s="9">
        <v>1.0621E-4</v>
      </c>
      <c r="R7101" s="10">
        <v>3.0276354769592497E-5</v>
      </c>
      <c r="S7101" s="10">
        <v>1.0752268559533412E-4</v>
      </c>
      <c r="T7101" s="10">
        <v>0</v>
      </c>
      <c r="U7101" s="10">
        <v>6.9950000000000006E-5</v>
      </c>
      <c r="V7101" s="25"/>
      <c r="W7101" s="25"/>
      <c r="X7101" s="25"/>
      <c r="Y7101" s="25"/>
      <c r="Z7101" s="25"/>
      <c r="AA7101" s="25"/>
    </row>
    <row r="7102" spans="1:27" x14ac:dyDescent="0.35">
      <c r="A7102" s="5">
        <v>7098</v>
      </c>
      <c r="B7102" s="5">
        <v>296</v>
      </c>
      <c r="C7102" s="5">
        <v>10</v>
      </c>
      <c r="D7102" s="25">
        <v>1.1415000000000001E-4</v>
      </c>
      <c r="E7102" s="25">
        <v>1.1065000000000001E-4</v>
      </c>
      <c r="F7102" s="25">
        <v>1.0279E-4</v>
      </c>
      <c r="G7102" s="25">
        <v>1.6725E-4</v>
      </c>
      <c r="H7102" s="25">
        <v>1.9417999999999999E-4</v>
      </c>
      <c r="I7102" s="9">
        <v>1.2006999999999999E-4</v>
      </c>
      <c r="J7102" s="9">
        <v>1.1962E-4</v>
      </c>
      <c r="K7102" s="9">
        <v>1.3987E-4</v>
      </c>
      <c r="L7102" s="9">
        <v>2.0823E-4</v>
      </c>
      <c r="M7102" s="9">
        <v>1.5924E-4</v>
      </c>
      <c r="N7102" s="9">
        <v>1.3880000000000001E-4</v>
      </c>
      <c r="O7102" s="9">
        <v>2.0473999999999999E-4</v>
      </c>
      <c r="P7102" s="9">
        <v>1.5962999999999999E-4</v>
      </c>
      <c r="Q7102" s="9">
        <v>1.1712E-4</v>
      </c>
      <c r="R7102" s="10">
        <v>3.1068014152972246E-5</v>
      </c>
      <c r="S7102" s="10">
        <v>1.1822569870474859E-4</v>
      </c>
      <c r="T7102" s="10">
        <v>0</v>
      </c>
      <c r="U7102" s="10">
        <v>6.9950000000000006E-5</v>
      </c>
      <c r="V7102" s="25"/>
      <c r="W7102" s="25"/>
      <c r="X7102" s="25"/>
      <c r="Y7102" s="25"/>
      <c r="Z7102" s="25"/>
      <c r="AA7102" s="25"/>
    </row>
    <row r="7103" spans="1:27" x14ac:dyDescent="0.35">
      <c r="A7103" s="5">
        <v>7099</v>
      </c>
      <c r="B7103" s="5">
        <v>296</v>
      </c>
      <c r="C7103" s="5">
        <v>10</v>
      </c>
      <c r="D7103" s="25">
        <v>1.1416E-4</v>
      </c>
      <c r="E7103" s="25">
        <v>1.1128000000000001E-4</v>
      </c>
      <c r="F7103" s="25">
        <v>1.0355E-4</v>
      </c>
      <c r="G7103" s="25">
        <v>1.0541E-4</v>
      </c>
      <c r="H7103" s="25">
        <v>1.2741E-4</v>
      </c>
      <c r="I7103" s="9">
        <v>1.2364E-4</v>
      </c>
      <c r="J7103" s="9">
        <v>1.2345999999999999E-4</v>
      </c>
      <c r="K7103" s="9">
        <v>1.3776000000000001E-4</v>
      </c>
      <c r="L7103" s="9">
        <v>2.0515999999999999E-4</v>
      </c>
      <c r="M7103" s="9">
        <v>1.5873999999999999E-4</v>
      </c>
      <c r="N7103" s="9">
        <v>1.2967999999999999E-4</v>
      </c>
      <c r="O7103" s="9">
        <v>1.6411999999999999E-4</v>
      </c>
      <c r="P7103" s="9">
        <v>1.3449999999999999E-4</v>
      </c>
      <c r="Q7103" s="9">
        <v>1.0675000000000001E-4</v>
      </c>
      <c r="R7103" s="10">
        <v>3.500337328288374E-5</v>
      </c>
      <c r="S7103" s="10">
        <v>1.2534450801680855E-4</v>
      </c>
      <c r="T7103" s="10">
        <v>0</v>
      </c>
      <c r="U7103" s="10">
        <v>6.9950000000000006E-5</v>
      </c>
      <c r="V7103" s="25"/>
      <c r="W7103" s="25"/>
      <c r="X7103" s="25"/>
      <c r="Y7103" s="25"/>
      <c r="Z7103" s="25"/>
      <c r="AA7103" s="25"/>
    </row>
    <row r="7104" spans="1:27" x14ac:dyDescent="0.35">
      <c r="A7104" s="5">
        <v>7100</v>
      </c>
      <c r="B7104" s="5">
        <v>296</v>
      </c>
      <c r="C7104" s="5">
        <v>10</v>
      </c>
      <c r="D7104" s="25">
        <v>1.1415000000000001E-4</v>
      </c>
      <c r="E7104" s="25">
        <v>1.0799E-4</v>
      </c>
      <c r="F7104" s="25">
        <v>1.0904E-4</v>
      </c>
      <c r="G7104" s="25">
        <v>1.0484000000000001E-4</v>
      </c>
      <c r="H7104" s="25">
        <v>1.3311E-4</v>
      </c>
      <c r="I7104" s="9">
        <v>1.1786999999999999E-4</v>
      </c>
      <c r="J7104" s="9">
        <v>1.1985E-4</v>
      </c>
      <c r="K7104" s="9">
        <v>1.3352000000000001E-4</v>
      </c>
      <c r="L7104" s="9">
        <v>1.7332E-4</v>
      </c>
      <c r="M7104" s="9">
        <v>1.5004999999999999E-4</v>
      </c>
      <c r="N7104" s="9">
        <v>1.2058E-4</v>
      </c>
      <c r="O7104" s="9">
        <v>1.2929E-4</v>
      </c>
      <c r="P7104" s="9">
        <v>1.1506E-4</v>
      </c>
      <c r="Q7104" s="9">
        <v>1.0207E-4</v>
      </c>
      <c r="R7104" s="10">
        <v>3.9527271493116071E-5</v>
      </c>
      <c r="S7104" s="10">
        <v>1.3057013724842312E-4</v>
      </c>
      <c r="T7104" s="10">
        <v>0</v>
      </c>
      <c r="U7104" s="10">
        <v>6.9950000000000006E-5</v>
      </c>
      <c r="V7104" s="25"/>
      <c r="W7104" s="25"/>
      <c r="X7104" s="25"/>
      <c r="Y7104" s="25"/>
      <c r="Z7104" s="25"/>
      <c r="AA7104" s="25"/>
    </row>
    <row r="7105" spans="1:27" x14ac:dyDescent="0.35">
      <c r="A7105" s="5">
        <v>7101</v>
      </c>
      <c r="B7105" s="5">
        <v>296</v>
      </c>
      <c r="C7105" s="5">
        <v>10</v>
      </c>
      <c r="D7105" s="25">
        <v>1.1416E-4</v>
      </c>
      <c r="E7105" s="25">
        <v>1.1218E-4</v>
      </c>
      <c r="F7105" s="25">
        <v>9.2960000000000004E-5</v>
      </c>
      <c r="G7105" s="25">
        <v>6.2150000000000006E-5</v>
      </c>
      <c r="H7105" s="25">
        <v>6.8250000000000006E-5</v>
      </c>
      <c r="I7105" s="9">
        <v>1.1232E-4</v>
      </c>
      <c r="J7105" s="9">
        <v>1.1412E-4</v>
      </c>
      <c r="K7105" s="9">
        <v>1.1656E-4</v>
      </c>
      <c r="L7105" s="9">
        <v>1.3994999999999999E-4</v>
      </c>
      <c r="M7105" s="9">
        <v>1.3504000000000001E-4</v>
      </c>
      <c r="N7105" s="9">
        <v>1.1299E-4</v>
      </c>
      <c r="O7105" s="9">
        <v>8.488E-5</v>
      </c>
      <c r="P7105" s="9">
        <v>8.6399999999999999E-5</v>
      </c>
      <c r="Q7105" s="9">
        <v>8.8399999999999994E-5</v>
      </c>
      <c r="R7105" s="10">
        <v>4.627978428602719E-5</v>
      </c>
      <c r="S7105" s="10">
        <v>1.3033200063726033E-4</v>
      </c>
      <c r="T7105" s="10">
        <v>0</v>
      </c>
      <c r="U7105" s="10">
        <v>6.9950000000000006E-5</v>
      </c>
      <c r="V7105" s="25"/>
      <c r="W7105" s="25"/>
      <c r="X7105" s="25"/>
      <c r="Y7105" s="25"/>
      <c r="Z7105" s="25"/>
      <c r="AA7105" s="25"/>
    </row>
    <row r="7106" spans="1:27" x14ac:dyDescent="0.35">
      <c r="A7106" s="5">
        <v>7102</v>
      </c>
      <c r="B7106" s="5">
        <v>296</v>
      </c>
      <c r="C7106" s="5">
        <v>10</v>
      </c>
      <c r="D7106" s="25">
        <v>1.1415000000000001E-4</v>
      </c>
      <c r="E7106" s="25">
        <v>1.127E-4</v>
      </c>
      <c r="F7106" s="25">
        <v>9.7869999999999996E-5</v>
      </c>
      <c r="G7106" s="25">
        <v>5.2139999999999999E-5</v>
      </c>
      <c r="H7106" s="25">
        <v>6.9889999999999997E-5</v>
      </c>
      <c r="I7106" s="9">
        <v>1.1221E-4</v>
      </c>
      <c r="J7106" s="9">
        <v>1.0903E-4</v>
      </c>
      <c r="K7106" s="9">
        <v>1.0809E-4</v>
      </c>
      <c r="L7106" s="9">
        <v>9.7899999999999994E-5</v>
      </c>
      <c r="M7106" s="9">
        <v>1.1367E-4</v>
      </c>
      <c r="N7106" s="9">
        <v>1.0545E-4</v>
      </c>
      <c r="O7106" s="9">
        <v>8.7180000000000002E-5</v>
      </c>
      <c r="P7106" s="9">
        <v>8.7299999999999994E-5</v>
      </c>
      <c r="Q7106" s="9">
        <v>8.7940000000000002E-5</v>
      </c>
      <c r="R7106" s="10">
        <v>5.2125814606671268E-5</v>
      </c>
      <c r="S7106" s="10">
        <v>1.311664737617872E-4</v>
      </c>
      <c r="T7106" s="10">
        <v>0</v>
      </c>
      <c r="U7106" s="10">
        <v>6.9950000000000006E-5</v>
      </c>
      <c r="V7106" s="25"/>
      <c r="W7106" s="25"/>
      <c r="X7106" s="25"/>
      <c r="Y7106" s="25"/>
      <c r="Z7106" s="25"/>
      <c r="AA7106" s="25"/>
    </row>
    <row r="7107" spans="1:27" x14ac:dyDescent="0.35">
      <c r="A7107" s="5">
        <v>7103</v>
      </c>
      <c r="B7107" s="5">
        <v>296</v>
      </c>
      <c r="C7107" s="5">
        <v>10</v>
      </c>
      <c r="D7107" s="25">
        <v>1.1416E-4</v>
      </c>
      <c r="E7107" s="25">
        <v>1.1492E-4</v>
      </c>
      <c r="F7107" s="25">
        <v>9.4740000000000004E-5</v>
      </c>
      <c r="G7107" s="25">
        <v>6.2949999999999999E-5</v>
      </c>
      <c r="H7107" s="25">
        <v>6.7260000000000003E-5</v>
      </c>
      <c r="I7107" s="9">
        <v>1.1135E-4</v>
      </c>
      <c r="J7107" s="9">
        <v>1.0321E-4</v>
      </c>
      <c r="K7107" s="9">
        <v>1.2292E-4</v>
      </c>
      <c r="L7107" s="9">
        <v>9.0480000000000001E-5</v>
      </c>
      <c r="M7107" s="9">
        <v>9.8930000000000003E-5</v>
      </c>
      <c r="N7107" s="9">
        <v>9.9649999999999996E-5</v>
      </c>
      <c r="O7107" s="9">
        <v>7.8670000000000004E-5</v>
      </c>
      <c r="P7107" s="9">
        <v>7.2860000000000004E-5</v>
      </c>
      <c r="Q7107" s="9">
        <v>6.7559999999999997E-5</v>
      </c>
      <c r="R7107" s="10">
        <v>6.0197688892199612E-5</v>
      </c>
      <c r="S7107" s="10">
        <v>1.3736126733760254E-4</v>
      </c>
      <c r="T7107" s="10">
        <v>0</v>
      </c>
      <c r="U7107" s="10">
        <v>6.9950000000000006E-5</v>
      </c>
      <c r="V7107" s="25"/>
      <c r="W7107" s="25"/>
      <c r="X7107" s="25"/>
      <c r="Y7107" s="25"/>
      <c r="Z7107" s="25"/>
      <c r="AA7107" s="25"/>
    </row>
    <row r="7108" spans="1:27" x14ac:dyDescent="0.35">
      <c r="A7108" s="5">
        <v>7104</v>
      </c>
      <c r="B7108" s="5">
        <v>296</v>
      </c>
      <c r="C7108" s="5">
        <v>10</v>
      </c>
      <c r="D7108" s="25">
        <v>1.1415000000000001E-4</v>
      </c>
      <c r="E7108" s="25">
        <v>1.1637999999999999E-4</v>
      </c>
      <c r="F7108" s="25">
        <v>1.0855E-4</v>
      </c>
      <c r="G7108" s="25">
        <v>5.2200000000000002E-5</v>
      </c>
      <c r="H7108" s="25">
        <v>6.3540000000000005E-5</v>
      </c>
      <c r="I7108" s="9">
        <v>1.0558E-4</v>
      </c>
      <c r="J7108" s="9">
        <v>9.7E-5</v>
      </c>
      <c r="K7108" s="9">
        <v>1.1233E-4</v>
      </c>
      <c r="L7108" s="9">
        <v>8.1269999999999999E-5</v>
      </c>
      <c r="M7108" s="9">
        <v>8.6290000000000002E-5</v>
      </c>
      <c r="N7108" s="9">
        <v>9.0580000000000004E-5</v>
      </c>
      <c r="O7108" s="9">
        <v>6.3050000000000001E-5</v>
      </c>
      <c r="P7108" s="9">
        <v>6.0949999999999998E-5</v>
      </c>
      <c r="Q7108" s="9">
        <v>5.9129999999999998E-5</v>
      </c>
      <c r="R7108" s="10">
        <v>7.6862247829662551E-5</v>
      </c>
      <c r="S7108" s="10">
        <v>1.497487306045798E-4</v>
      </c>
      <c r="T7108" s="10">
        <v>0</v>
      </c>
      <c r="U7108" s="10">
        <v>6.9950000000000006E-5</v>
      </c>
      <c r="V7108" s="25"/>
      <c r="W7108" s="25"/>
      <c r="X7108" s="25"/>
      <c r="Y7108" s="25"/>
      <c r="Z7108" s="25"/>
      <c r="AA7108" s="25"/>
    </row>
    <row r="7109" spans="1:27" x14ac:dyDescent="0.35">
      <c r="A7109" s="5">
        <v>7105</v>
      </c>
      <c r="B7109" s="5">
        <v>297</v>
      </c>
      <c r="C7109" s="5">
        <v>10</v>
      </c>
      <c r="D7109" s="25">
        <v>1.1416E-4</v>
      </c>
      <c r="E7109" s="25">
        <v>1.1156E-4</v>
      </c>
      <c r="F7109" s="25">
        <v>1.2337000000000001E-4</v>
      </c>
      <c r="G7109" s="25">
        <v>6.1489999999999996E-5</v>
      </c>
      <c r="H7109" s="25">
        <v>6.6390000000000006E-5</v>
      </c>
      <c r="I7109" s="9">
        <v>9.9939999999999995E-5</v>
      </c>
      <c r="J7109" s="9">
        <v>9.1849999999999996E-5</v>
      </c>
      <c r="K7109" s="9">
        <v>1.1232E-4</v>
      </c>
      <c r="L7109" s="9">
        <v>6.7039999999999995E-5</v>
      </c>
      <c r="M7109" s="9">
        <v>7.428E-5</v>
      </c>
      <c r="N7109" s="9">
        <v>8.1279999999999994E-5</v>
      </c>
      <c r="O7109" s="9">
        <v>5.4889999999999998E-5</v>
      </c>
      <c r="P7109" s="9">
        <v>5.4299999999999998E-5</v>
      </c>
      <c r="Q7109" s="9">
        <v>5.3869999999999998E-5</v>
      </c>
      <c r="R7109" s="10">
        <v>8.3186260818785812E-5</v>
      </c>
      <c r="S7109" s="10">
        <v>1.5086571820726476E-4</v>
      </c>
      <c r="T7109" s="10">
        <v>0</v>
      </c>
      <c r="U7109" s="10">
        <v>7.0640000000000001E-5</v>
      </c>
      <c r="V7109" s="25"/>
      <c r="W7109" s="25"/>
      <c r="X7109" s="25"/>
      <c r="Y7109" s="25"/>
      <c r="Z7109" s="25"/>
      <c r="AA7109" s="25"/>
    </row>
    <row r="7110" spans="1:27" x14ac:dyDescent="0.35">
      <c r="A7110" s="5">
        <v>7106</v>
      </c>
      <c r="B7110" s="5">
        <v>297</v>
      </c>
      <c r="C7110" s="5">
        <v>10</v>
      </c>
      <c r="D7110" s="25">
        <v>1.1415000000000001E-4</v>
      </c>
      <c r="E7110" s="25">
        <v>1.1361E-4</v>
      </c>
      <c r="F7110" s="25">
        <v>1.2193000000000001E-4</v>
      </c>
      <c r="G7110" s="25">
        <v>5.3380000000000001E-5</v>
      </c>
      <c r="H7110" s="25">
        <v>7.1439999999999994E-5</v>
      </c>
      <c r="I7110" s="9">
        <v>9.5849999999999999E-5</v>
      </c>
      <c r="J7110" s="9">
        <v>8.886E-5</v>
      </c>
      <c r="K7110" s="9">
        <v>1.102E-4</v>
      </c>
      <c r="L7110" s="9">
        <v>5.7949999999999999E-5</v>
      </c>
      <c r="M7110" s="9">
        <v>6.423E-5</v>
      </c>
      <c r="N7110" s="9">
        <v>7.2280000000000006E-5</v>
      </c>
      <c r="O7110" s="9">
        <v>1.8669999999999999E-5</v>
      </c>
      <c r="P7110" s="9">
        <v>3.756E-5</v>
      </c>
      <c r="Q7110" s="9">
        <v>5.5899999999999997E-5</v>
      </c>
      <c r="R7110" s="10">
        <v>8.7503482751242036E-5</v>
      </c>
      <c r="S7110" s="10">
        <v>1.5270258016923853E-4</v>
      </c>
      <c r="T7110" s="10">
        <v>0</v>
      </c>
      <c r="U7110" s="10">
        <v>7.0640000000000001E-5</v>
      </c>
      <c r="V7110" s="25"/>
      <c r="W7110" s="25"/>
      <c r="X7110" s="25"/>
      <c r="Y7110" s="25"/>
      <c r="Z7110" s="25"/>
      <c r="AA7110" s="25"/>
    </row>
    <row r="7111" spans="1:27" x14ac:dyDescent="0.35">
      <c r="A7111" s="5">
        <v>7107</v>
      </c>
      <c r="B7111" s="5">
        <v>297</v>
      </c>
      <c r="C7111" s="5">
        <v>10</v>
      </c>
      <c r="D7111" s="25">
        <v>1.1416E-4</v>
      </c>
      <c r="E7111" s="25">
        <v>1.0851E-4</v>
      </c>
      <c r="F7111" s="25">
        <v>1.1666E-4</v>
      </c>
      <c r="G7111" s="25">
        <v>5.8140000000000002E-5</v>
      </c>
      <c r="H7111" s="25">
        <v>6.3750000000000005E-5</v>
      </c>
      <c r="I7111" s="9">
        <v>9.378E-5</v>
      </c>
      <c r="J7111" s="9">
        <v>8.7620000000000005E-5</v>
      </c>
      <c r="K7111" s="9">
        <v>1.0385E-4</v>
      </c>
      <c r="L7111" s="9">
        <v>2.7520000000000001E-5</v>
      </c>
      <c r="M7111" s="9">
        <v>5.2330000000000002E-5</v>
      </c>
      <c r="N7111" s="9">
        <v>6.5640000000000002E-5</v>
      </c>
      <c r="O7111" s="9">
        <v>1.3360000000000001E-5</v>
      </c>
      <c r="P7111" s="9">
        <v>3.803E-5</v>
      </c>
      <c r="Q7111" s="9">
        <v>6.1989999999999994E-5</v>
      </c>
      <c r="R7111" s="10">
        <v>8.4115073610680434E-5</v>
      </c>
      <c r="S7111" s="10">
        <v>1.5063475925257056E-4</v>
      </c>
      <c r="T7111" s="10">
        <v>0</v>
      </c>
      <c r="U7111" s="10">
        <v>7.0640000000000001E-5</v>
      </c>
      <c r="V7111" s="25"/>
      <c r="W7111" s="25"/>
      <c r="X7111" s="25"/>
      <c r="Y7111" s="25"/>
      <c r="Z7111" s="25"/>
      <c r="AA7111" s="25"/>
    </row>
    <row r="7112" spans="1:27" x14ac:dyDescent="0.35">
      <c r="A7112" s="5">
        <v>7108</v>
      </c>
      <c r="B7112" s="5">
        <v>297</v>
      </c>
      <c r="C7112" s="5">
        <v>10</v>
      </c>
      <c r="D7112" s="25">
        <v>1.1415000000000001E-4</v>
      </c>
      <c r="E7112" s="25">
        <v>1.0988E-4</v>
      </c>
      <c r="F7112" s="25">
        <v>1.2805999999999999E-4</v>
      </c>
      <c r="G7112" s="25">
        <v>6.1149999999999996E-5</v>
      </c>
      <c r="H7112" s="25">
        <v>6.4549999999999997E-5</v>
      </c>
      <c r="I7112" s="9">
        <v>9.3839999999999996E-5</v>
      </c>
      <c r="J7112" s="9">
        <v>8.7360000000000004E-5</v>
      </c>
      <c r="K7112" s="9">
        <v>9.5370000000000003E-5</v>
      </c>
      <c r="L7112" s="9">
        <v>1.7229999999999999E-5</v>
      </c>
      <c r="M7112" s="9">
        <v>4.4339999999999999E-5</v>
      </c>
      <c r="N7112" s="9">
        <v>6.2130000000000003E-5</v>
      </c>
      <c r="O7112" s="9">
        <v>1.3349999999999999E-5</v>
      </c>
      <c r="P7112" s="9">
        <v>4.7519999999999999E-5</v>
      </c>
      <c r="Q7112" s="9">
        <v>8.0829999999999997E-5</v>
      </c>
      <c r="R7112" s="10">
        <v>8.0919704971033727E-5</v>
      </c>
      <c r="S7112" s="10">
        <v>1.4467505334784058E-4</v>
      </c>
      <c r="T7112" s="10">
        <v>0</v>
      </c>
      <c r="U7112" s="10">
        <v>7.0640000000000001E-5</v>
      </c>
      <c r="V7112" s="25"/>
      <c r="W7112" s="25"/>
      <c r="X7112" s="25"/>
      <c r="Y7112" s="25"/>
      <c r="Z7112" s="25"/>
      <c r="AA7112" s="25"/>
    </row>
    <row r="7113" spans="1:27" x14ac:dyDescent="0.35">
      <c r="A7113" s="5">
        <v>7109</v>
      </c>
      <c r="B7113" s="5">
        <v>297</v>
      </c>
      <c r="C7113" s="5">
        <v>10</v>
      </c>
      <c r="D7113" s="25">
        <v>1.1416E-4</v>
      </c>
      <c r="E7113" s="25">
        <v>1.0649000000000001E-4</v>
      </c>
      <c r="F7113" s="25">
        <v>1.3792000000000001E-4</v>
      </c>
      <c r="G7113" s="25">
        <v>6.2630000000000002E-5</v>
      </c>
      <c r="H7113" s="25">
        <v>7.462E-5</v>
      </c>
      <c r="I7113" s="9">
        <v>9.4510000000000001E-5</v>
      </c>
      <c r="J7113" s="9">
        <v>8.7399999999999997E-5</v>
      </c>
      <c r="K7113" s="9">
        <v>9.9610000000000003E-5</v>
      </c>
      <c r="L7113" s="9">
        <v>1.4450000000000001E-5</v>
      </c>
      <c r="M7113" s="9">
        <v>4.3699999999999998E-5</v>
      </c>
      <c r="N7113" s="9">
        <v>6.4709999999999995E-5</v>
      </c>
      <c r="O7113" s="9">
        <v>1.8729999999999999E-5</v>
      </c>
      <c r="P7113" s="9">
        <v>5.6520000000000001E-5</v>
      </c>
      <c r="Q7113" s="9">
        <v>9.3460000000000003E-5</v>
      </c>
      <c r="R7113" s="10">
        <v>8.3252857654626675E-5</v>
      </c>
      <c r="S7113" s="10">
        <v>1.4434753779673685E-4</v>
      </c>
      <c r="T7113" s="10">
        <v>0</v>
      </c>
      <c r="U7113" s="10">
        <v>7.0640000000000001E-5</v>
      </c>
      <c r="V7113" s="25"/>
      <c r="W7113" s="25"/>
      <c r="X7113" s="25"/>
      <c r="Y7113" s="25"/>
      <c r="Z7113" s="25"/>
      <c r="AA7113" s="25"/>
    </row>
    <row r="7114" spans="1:27" x14ac:dyDescent="0.35">
      <c r="A7114" s="5">
        <v>7110</v>
      </c>
      <c r="B7114" s="5">
        <v>297</v>
      </c>
      <c r="C7114" s="5">
        <v>10</v>
      </c>
      <c r="D7114" s="25">
        <v>1.1415000000000001E-4</v>
      </c>
      <c r="E7114" s="25">
        <v>1.1389E-4</v>
      </c>
      <c r="F7114" s="25">
        <v>1.2947999999999999E-4</v>
      </c>
      <c r="G7114" s="25">
        <v>1.0963000000000001E-4</v>
      </c>
      <c r="H7114" s="25">
        <v>1.2807000000000001E-4</v>
      </c>
      <c r="I7114" s="9">
        <v>9.6929999999999995E-5</v>
      </c>
      <c r="J7114" s="9">
        <v>8.8809999999999998E-5</v>
      </c>
      <c r="K7114" s="9">
        <v>8.6890000000000003E-5</v>
      </c>
      <c r="L7114" s="9">
        <v>1.7649999999999999E-5</v>
      </c>
      <c r="M7114" s="9">
        <v>4.85E-5</v>
      </c>
      <c r="N7114" s="9">
        <v>7.1180000000000006E-5</v>
      </c>
      <c r="O7114" s="9">
        <v>4.5930000000000002E-5</v>
      </c>
      <c r="P7114" s="9">
        <v>7.6299999999999998E-5</v>
      </c>
      <c r="Q7114" s="9">
        <v>1.0624999999999999E-4</v>
      </c>
      <c r="R7114" s="10">
        <v>8.9342944405641566E-5</v>
      </c>
      <c r="S7114" s="10">
        <v>1.521279085180733E-4</v>
      </c>
      <c r="T7114" s="10">
        <v>0</v>
      </c>
      <c r="U7114" s="10">
        <v>7.0640000000000001E-5</v>
      </c>
      <c r="V7114" s="25"/>
      <c r="W7114" s="25"/>
      <c r="X7114" s="25"/>
      <c r="Y7114" s="25"/>
      <c r="Z7114" s="25"/>
      <c r="AA7114" s="25"/>
    </row>
    <row r="7115" spans="1:27" x14ac:dyDescent="0.35">
      <c r="A7115" s="5">
        <v>7111</v>
      </c>
      <c r="B7115" s="5">
        <v>297</v>
      </c>
      <c r="C7115" s="5">
        <v>10</v>
      </c>
      <c r="D7115" s="25">
        <v>1.1416E-4</v>
      </c>
      <c r="E7115" s="25">
        <v>1.1404E-4</v>
      </c>
      <c r="F7115" s="25">
        <v>1.3495E-4</v>
      </c>
      <c r="G7115" s="25">
        <v>1.0818E-4</v>
      </c>
      <c r="H7115" s="25">
        <v>1.3193999999999999E-4</v>
      </c>
      <c r="I7115" s="9">
        <v>9.9879999999999999E-5</v>
      </c>
      <c r="J7115" s="9">
        <v>9.289E-5</v>
      </c>
      <c r="K7115" s="9">
        <v>8.2650000000000003E-5</v>
      </c>
      <c r="L7115" s="9">
        <v>3.9570000000000002E-5</v>
      </c>
      <c r="M7115" s="9">
        <v>5.9859999999999999E-5</v>
      </c>
      <c r="N7115" s="9">
        <v>8.0669999999999998E-5</v>
      </c>
      <c r="O7115" s="9">
        <v>1.2449E-4</v>
      </c>
      <c r="P7115" s="9">
        <v>1.1846E-4</v>
      </c>
      <c r="Q7115" s="9">
        <v>1.1348E-4</v>
      </c>
      <c r="R7115" s="10">
        <v>9.711997332843577E-5</v>
      </c>
      <c r="S7115" s="10">
        <v>1.5562464031590919E-4</v>
      </c>
      <c r="T7115" s="10">
        <v>0</v>
      </c>
      <c r="U7115" s="10">
        <v>7.0640000000000001E-5</v>
      </c>
      <c r="V7115" s="25"/>
      <c r="W7115" s="25"/>
      <c r="X7115" s="25"/>
      <c r="Y7115" s="25"/>
      <c r="Z7115" s="25"/>
      <c r="AA7115" s="25"/>
    </row>
    <row r="7116" spans="1:27" x14ac:dyDescent="0.35">
      <c r="A7116" s="5">
        <v>7112</v>
      </c>
      <c r="B7116" s="5">
        <v>297</v>
      </c>
      <c r="C7116" s="5">
        <v>10</v>
      </c>
      <c r="D7116" s="25">
        <v>1.1415000000000001E-4</v>
      </c>
      <c r="E7116" s="25">
        <v>1.0886E-4</v>
      </c>
      <c r="F7116" s="25">
        <v>1.18E-4</v>
      </c>
      <c r="G7116" s="25">
        <v>1.6639000000000001E-4</v>
      </c>
      <c r="H7116" s="25">
        <v>1.9042000000000001E-4</v>
      </c>
      <c r="I7116" s="9">
        <v>1.0467E-4</v>
      </c>
      <c r="J7116" s="9">
        <v>9.8049999999999998E-5</v>
      </c>
      <c r="K7116" s="9">
        <v>8.0530000000000003E-5</v>
      </c>
      <c r="L7116" s="9">
        <v>1.052E-4</v>
      </c>
      <c r="M7116" s="9">
        <v>8.3880000000000003E-5</v>
      </c>
      <c r="N7116" s="9">
        <v>9.0970000000000005E-5</v>
      </c>
      <c r="O7116" s="9">
        <v>2.1856999999999999E-4</v>
      </c>
      <c r="P7116" s="9">
        <v>1.7584999999999999E-4</v>
      </c>
      <c r="Q7116" s="9">
        <v>1.3585E-4</v>
      </c>
      <c r="R7116" s="10">
        <v>9.8200110390699974E-5</v>
      </c>
      <c r="S7116" s="10">
        <v>1.5596745467171214E-4</v>
      </c>
      <c r="T7116" s="10">
        <v>2.619951639324009E-5</v>
      </c>
      <c r="U7116" s="10">
        <v>7.0640000000000001E-5</v>
      </c>
      <c r="V7116" s="25"/>
      <c r="W7116" s="25"/>
      <c r="X7116" s="25"/>
      <c r="Y7116" s="25"/>
      <c r="Z7116" s="25"/>
      <c r="AA7116" s="25"/>
    </row>
    <row r="7117" spans="1:27" x14ac:dyDescent="0.35">
      <c r="A7117" s="5">
        <v>7113</v>
      </c>
      <c r="B7117" s="5">
        <v>297</v>
      </c>
      <c r="C7117" s="5">
        <v>10</v>
      </c>
      <c r="D7117" s="25">
        <v>1.1416E-4</v>
      </c>
      <c r="E7117" s="25">
        <v>1.1006999999999999E-4</v>
      </c>
      <c r="F7117" s="25">
        <v>1.2349E-4</v>
      </c>
      <c r="G7117" s="25">
        <v>1.6719E-4</v>
      </c>
      <c r="H7117" s="25">
        <v>1.9547999999999999E-4</v>
      </c>
      <c r="I7117" s="9">
        <v>1.1098E-4</v>
      </c>
      <c r="J7117" s="9">
        <v>1.0317E-4</v>
      </c>
      <c r="K7117" s="9">
        <v>7.8419999999999998E-5</v>
      </c>
      <c r="L7117" s="9">
        <v>1.9183000000000001E-4</v>
      </c>
      <c r="M7117" s="9">
        <v>1.2322E-4</v>
      </c>
      <c r="N7117" s="9">
        <v>1.0449E-4</v>
      </c>
      <c r="O7117" s="9">
        <v>2.1008999999999999E-4</v>
      </c>
      <c r="P7117" s="9">
        <v>1.9171999999999999E-4</v>
      </c>
      <c r="Q7117" s="9">
        <v>1.7558E-4</v>
      </c>
      <c r="R7117" s="10">
        <v>1.0126338496298381E-4</v>
      </c>
      <c r="S7117" s="10">
        <v>1.6330205471455934E-4</v>
      </c>
      <c r="T7117" s="10">
        <v>4.0784026976135079E-5</v>
      </c>
      <c r="U7117" s="10">
        <v>7.0640000000000001E-5</v>
      </c>
      <c r="V7117" s="25"/>
      <c r="W7117" s="25"/>
      <c r="X7117" s="25"/>
      <c r="Y7117" s="25"/>
      <c r="Z7117" s="25"/>
      <c r="AA7117" s="25"/>
    </row>
    <row r="7118" spans="1:27" x14ac:dyDescent="0.35">
      <c r="A7118" s="5">
        <v>7114</v>
      </c>
      <c r="B7118" s="5">
        <v>297</v>
      </c>
      <c r="C7118" s="5">
        <v>10</v>
      </c>
      <c r="D7118" s="25">
        <v>1.1415000000000001E-4</v>
      </c>
      <c r="E7118" s="25">
        <v>1.0458E-4</v>
      </c>
      <c r="F7118" s="25">
        <v>1.3719000000000001E-4</v>
      </c>
      <c r="G7118" s="25">
        <v>1.6143E-4</v>
      </c>
      <c r="H7118" s="25">
        <v>1.8749000000000001E-4</v>
      </c>
      <c r="I7118" s="9">
        <v>1.1417E-4</v>
      </c>
      <c r="J7118" s="9">
        <v>1.0694E-4</v>
      </c>
      <c r="K7118" s="9">
        <v>7.6299999999999998E-5</v>
      </c>
      <c r="L7118" s="9">
        <v>2.0379999999999999E-4</v>
      </c>
      <c r="M7118" s="9">
        <v>1.5783E-4</v>
      </c>
      <c r="N7118" s="9">
        <v>1.2420000000000001E-4</v>
      </c>
      <c r="O7118" s="9">
        <v>1.6897E-4</v>
      </c>
      <c r="P7118" s="9">
        <v>1.7568999999999999E-4</v>
      </c>
      <c r="Q7118" s="9">
        <v>1.8377000000000001E-4</v>
      </c>
      <c r="R7118" s="10">
        <v>1.0045345621395508E-4</v>
      </c>
      <c r="S7118" s="10">
        <v>1.711621096540766E-4</v>
      </c>
      <c r="T7118" s="10">
        <v>1.1150914635892312E-4</v>
      </c>
      <c r="U7118" s="10">
        <v>7.0640000000000001E-5</v>
      </c>
      <c r="V7118" s="25"/>
      <c r="W7118" s="25"/>
      <c r="X7118" s="25"/>
      <c r="Y7118" s="25"/>
      <c r="Z7118" s="25"/>
      <c r="AA7118" s="25"/>
    </row>
    <row r="7119" spans="1:27" x14ac:dyDescent="0.35">
      <c r="A7119" s="5">
        <v>7115</v>
      </c>
      <c r="B7119" s="5">
        <v>297</v>
      </c>
      <c r="C7119" s="5">
        <v>10</v>
      </c>
      <c r="D7119" s="25">
        <v>1.1416E-4</v>
      </c>
      <c r="E7119" s="25">
        <v>1.0904E-4</v>
      </c>
      <c r="F7119" s="25">
        <v>1.3139E-4</v>
      </c>
      <c r="G7119" s="25">
        <v>1.6515E-4</v>
      </c>
      <c r="H7119" s="25">
        <v>1.8662E-4</v>
      </c>
      <c r="I7119" s="9">
        <v>1.1692E-4</v>
      </c>
      <c r="J7119" s="9">
        <v>1.076E-4</v>
      </c>
      <c r="K7119" s="9">
        <v>7.2059999999999998E-5</v>
      </c>
      <c r="L7119" s="9">
        <v>1.7673E-4</v>
      </c>
      <c r="M7119" s="9">
        <v>1.7226000000000001E-4</v>
      </c>
      <c r="N7119" s="9">
        <v>1.4266999999999999E-4</v>
      </c>
      <c r="O7119" s="9">
        <v>1.6788E-4</v>
      </c>
      <c r="P7119" s="9">
        <v>1.7320000000000001E-4</v>
      </c>
      <c r="Q7119" s="9">
        <v>1.7990000000000001E-4</v>
      </c>
      <c r="R7119" s="10">
        <v>9.4047917071715865E-5</v>
      </c>
      <c r="S7119" s="10">
        <v>1.7860946268336545E-4</v>
      </c>
      <c r="T7119" s="10">
        <v>1.5602626504912089E-4</v>
      </c>
      <c r="U7119" s="10">
        <v>7.0640000000000001E-5</v>
      </c>
      <c r="V7119" s="25"/>
      <c r="W7119" s="25"/>
      <c r="X7119" s="25"/>
      <c r="Y7119" s="25"/>
      <c r="Z7119" s="25"/>
      <c r="AA7119" s="25"/>
    </row>
    <row r="7120" spans="1:27" x14ac:dyDescent="0.35">
      <c r="A7120" s="5">
        <v>7116</v>
      </c>
      <c r="B7120" s="5">
        <v>297</v>
      </c>
      <c r="C7120" s="5">
        <v>10</v>
      </c>
      <c r="D7120" s="25">
        <v>1.1415000000000001E-4</v>
      </c>
      <c r="E7120" s="25">
        <v>1.1414E-4</v>
      </c>
      <c r="F7120" s="25">
        <v>1.225E-4</v>
      </c>
      <c r="G7120" s="25">
        <v>1.6611999999999999E-4</v>
      </c>
      <c r="H7120" s="25">
        <v>1.9586000000000001E-4</v>
      </c>
      <c r="I7120" s="9">
        <v>1.1745E-4</v>
      </c>
      <c r="J7120" s="9">
        <v>1.0708E-4</v>
      </c>
      <c r="K7120" s="9">
        <v>5.7229999999999999E-5</v>
      </c>
      <c r="L7120" s="9">
        <v>1.7117E-4</v>
      </c>
      <c r="M7120" s="9">
        <v>1.7514000000000001E-4</v>
      </c>
      <c r="N7120" s="9">
        <v>1.5687000000000001E-4</v>
      </c>
      <c r="O7120" s="9">
        <v>1.693E-4</v>
      </c>
      <c r="P7120" s="9">
        <v>1.705E-4</v>
      </c>
      <c r="Q7120" s="9">
        <v>1.7316E-4</v>
      </c>
      <c r="R7120" s="10">
        <v>6.3004775694353444E-5</v>
      </c>
      <c r="S7120" s="10">
        <v>1.831521900796422E-4</v>
      </c>
      <c r="T7120" s="10">
        <v>2.3132442178163572E-4</v>
      </c>
      <c r="U7120" s="10">
        <v>7.0640000000000001E-5</v>
      </c>
      <c r="V7120" s="25"/>
      <c r="W7120" s="25"/>
      <c r="X7120" s="25"/>
      <c r="Y7120" s="25"/>
      <c r="Z7120" s="25"/>
      <c r="AA7120" s="25"/>
    </row>
    <row r="7121" spans="1:27" x14ac:dyDescent="0.35">
      <c r="A7121" s="5">
        <v>7117</v>
      </c>
      <c r="B7121" s="5">
        <v>297</v>
      </c>
      <c r="C7121" s="5">
        <v>10</v>
      </c>
      <c r="D7121" s="25">
        <v>1.1416E-4</v>
      </c>
      <c r="E7121" s="25">
        <v>1.0639E-4</v>
      </c>
      <c r="F7121" s="25">
        <v>1.2663999999999999E-4</v>
      </c>
      <c r="G7121" s="25">
        <v>1.6647E-4</v>
      </c>
      <c r="H7121" s="25">
        <v>1.9079000000000001E-4</v>
      </c>
      <c r="I7121" s="9">
        <v>1.1464999999999999E-4</v>
      </c>
      <c r="J7121" s="9">
        <v>1.0464E-4</v>
      </c>
      <c r="K7121" s="9">
        <v>3.18E-5</v>
      </c>
      <c r="L7121" s="9">
        <v>1.6988999999999999E-4</v>
      </c>
      <c r="M7121" s="9">
        <v>1.7372000000000001E-4</v>
      </c>
      <c r="N7121" s="9">
        <v>1.6610999999999999E-4</v>
      </c>
      <c r="O7121" s="9">
        <v>1.6233999999999999E-4</v>
      </c>
      <c r="P7121" s="9">
        <v>1.6438999999999999E-4</v>
      </c>
      <c r="Q7121" s="9">
        <v>1.6778999999999999E-4</v>
      </c>
      <c r="R7121" s="10">
        <v>5.8880163262059998E-5</v>
      </c>
      <c r="S7121" s="10">
        <v>1.8412585857297413E-4</v>
      </c>
      <c r="T7121" s="10">
        <v>1.6123562485010837E-4</v>
      </c>
      <c r="U7121" s="10">
        <v>7.0640000000000001E-5</v>
      </c>
      <c r="V7121" s="25"/>
      <c r="W7121" s="25"/>
      <c r="X7121" s="25"/>
      <c r="Y7121" s="25"/>
      <c r="Z7121" s="25"/>
      <c r="AA7121" s="25"/>
    </row>
    <row r="7122" spans="1:27" x14ac:dyDescent="0.35">
      <c r="A7122" s="5">
        <v>7118</v>
      </c>
      <c r="B7122" s="5">
        <v>297</v>
      </c>
      <c r="C7122" s="5">
        <v>10</v>
      </c>
      <c r="D7122" s="25">
        <v>1.1415000000000001E-4</v>
      </c>
      <c r="E7122" s="25">
        <v>1.1055E-4</v>
      </c>
      <c r="F7122" s="25">
        <v>1.2823000000000001E-4</v>
      </c>
      <c r="G7122" s="25">
        <v>1.6039E-4</v>
      </c>
      <c r="H7122" s="25">
        <v>1.9953000000000001E-4</v>
      </c>
      <c r="I7122" s="9">
        <v>1.1121E-4</v>
      </c>
      <c r="J7122" s="9">
        <v>1.0281E-4</v>
      </c>
      <c r="K7122" s="9">
        <v>2.12E-5</v>
      </c>
      <c r="L7122" s="9">
        <v>1.6379E-4</v>
      </c>
      <c r="M7122" s="9">
        <v>1.6992E-4</v>
      </c>
      <c r="N7122" s="9">
        <v>1.7055E-4</v>
      </c>
      <c r="O7122" s="9">
        <v>1.7919999999999999E-4</v>
      </c>
      <c r="P7122" s="9">
        <v>1.6940999999999999E-4</v>
      </c>
      <c r="Q7122" s="9">
        <v>1.6134999999999999E-4</v>
      </c>
      <c r="R7122" s="10">
        <v>5.973497153044547E-5</v>
      </c>
      <c r="S7122" s="10">
        <v>1.837161425741668E-4</v>
      </c>
      <c r="T7122" s="10">
        <v>1.805374058716826E-4</v>
      </c>
      <c r="U7122" s="10">
        <v>7.0640000000000001E-5</v>
      </c>
      <c r="V7122" s="25"/>
      <c r="W7122" s="25"/>
      <c r="X7122" s="25"/>
      <c r="Y7122" s="25"/>
      <c r="Z7122" s="25"/>
      <c r="AA7122" s="25"/>
    </row>
    <row r="7123" spans="1:27" x14ac:dyDescent="0.35">
      <c r="A7123" s="5">
        <v>7119</v>
      </c>
      <c r="B7123" s="5">
        <v>297</v>
      </c>
      <c r="C7123" s="5">
        <v>10</v>
      </c>
      <c r="D7123" s="25">
        <v>1.1416E-4</v>
      </c>
      <c r="E7123" s="25">
        <v>1.0992E-4</v>
      </c>
      <c r="F7123" s="25">
        <v>1.3752999999999999E-4</v>
      </c>
      <c r="G7123" s="25">
        <v>1.5813000000000001E-4</v>
      </c>
      <c r="H7123" s="25">
        <v>1.884E-4</v>
      </c>
      <c r="I7123" s="9">
        <v>1.0901E-4</v>
      </c>
      <c r="J7123" s="9">
        <v>1.0208999999999999E-4</v>
      </c>
      <c r="K7123" s="9">
        <v>1.696E-5</v>
      </c>
      <c r="L7123" s="9">
        <v>1.7594999999999999E-4</v>
      </c>
      <c r="M7123" s="9">
        <v>1.6867999999999999E-4</v>
      </c>
      <c r="N7123" s="9">
        <v>1.7022000000000001E-4</v>
      </c>
      <c r="O7123" s="9">
        <v>1.8232E-4</v>
      </c>
      <c r="P7123" s="9">
        <v>1.6585999999999999E-4</v>
      </c>
      <c r="Q7123" s="9">
        <v>1.5129E-4</v>
      </c>
      <c r="R7123" s="10">
        <v>6.0656592941987817E-5</v>
      </c>
      <c r="S7123" s="10">
        <v>1.8297886884427374E-4</v>
      </c>
      <c r="T7123" s="10">
        <v>1.3087031747594831E-4</v>
      </c>
      <c r="U7123" s="10">
        <v>7.0640000000000001E-5</v>
      </c>
      <c r="V7123" s="25"/>
      <c r="W7123" s="25"/>
      <c r="X7123" s="25"/>
      <c r="Y7123" s="25"/>
      <c r="Z7123" s="25"/>
      <c r="AA7123" s="25"/>
    </row>
    <row r="7124" spans="1:27" x14ac:dyDescent="0.35">
      <c r="A7124" s="5">
        <v>7120</v>
      </c>
      <c r="B7124" s="5">
        <v>297</v>
      </c>
      <c r="C7124" s="5">
        <v>10</v>
      </c>
      <c r="D7124" s="25">
        <v>1.1415000000000001E-4</v>
      </c>
      <c r="E7124" s="25">
        <v>1.0753E-4</v>
      </c>
      <c r="F7124" s="25">
        <v>1.2929E-4</v>
      </c>
      <c r="G7124" s="25">
        <v>1.5856E-4</v>
      </c>
      <c r="H7124" s="25">
        <v>1.9676000000000001E-4</v>
      </c>
      <c r="I7124" s="9">
        <v>1.0889E-4</v>
      </c>
      <c r="J7124" s="9">
        <v>1.0339E-4</v>
      </c>
      <c r="K7124" s="9">
        <v>1.272E-5</v>
      </c>
      <c r="L7124" s="9">
        <v>1.8059E-4</v>
      </c>
      <c r="M7124" s="9">
        <v>1.6744000000000001E-4</v>
      </c>
      <c r="N7124" s="9">
        <v>1.6599E-4</v>
      </c>
      <c r="O7124" s="9">
        <v>1.9819999999999999E-4</v>
      </c>
      <c r="P7124" s="9">
        <v>1.5288000000000001E-4</v>
      </c>
      <c r="Q7124" s="9">
        <v>1.1006E-4</v>
      </c>
      <c r="R7124" s="10">
        <v>5.7063732518432954E-5</v>
      </c>
      <c r="S7124" s="10">
        <v>1.8196126757844057E-4</v>
      </c>
      <c r="T7124" s="10">
        <v>1.1247635648483934E-4</v>
      </c>
      <c r="U7124" s="10">
        <v>7.0640000000000001E-5</v>
      </c>
      <c r="V7124" s="25"/>
      <c r="W7124" s="25"/>
      <c r="X7124" s="25"/>
      <c r="Y7124" s="25"/>
      <c r="Z7124" s="25"/>
      <c r="AA7124" s="25"/>
    </row>
    <row r="7125" spans="1:27" x14ac:dyDescent="0.35">
      <c r="A7125" s="5">
        <v>7121</v>
      </c>
      <c r="B7125" s="5">
        <v>297</v>
      </c>
      <c r="C7125" s="5">
        <v>10</v>
      </c>
      <c r="D7125" s="25">
        <v>1.1416E-4</v>
      </c>
      <c r="E7125" s="25">
        <v>1.08E-4</v>
      </c>
      <c r="F7125" s="25">
        <v>1.2892000000000001E-4</v>
      </c>
      <c r="G7125" s="25">
        <v>1.5783E-4</v>
      </c>
      <c r="H7125" s="25">
        <v>1.9076E-4</v>
      </c>
      <c r="I7125" s="9">
        <v>1.1255E-4</v>
      </c>
      <c r="J7125" s="9">
        <v>1.1077E-4</v>
      </c>
      <c r="K7125" s="9">
        <v>8.4800000000000001E-6</v>
      </c>
      <c r="L7125" s="9">
        <v>1.9415E-4</v>
      </c>
      <c r="M7125" s="9">
        <v>1.6196E-4</v>
      </c>
      <c r="N7125" s="9">
        <v>1.5233E-4</v>
      </c>
      <c r="O7125" s="9">
        <v>2.1301999999999999E-4</v>
      </c>
      <c r="P7125" s="9">
        <v>1.5835E-4</v>
      </c>
      <c r="Q7125" s="9">
        <v>1.0650999999999999E-4</v>
      </c>
      <c r="R7125" s="10">
        <v>5.685714327949994E-5</v>
      </c>
      <c r="S7125" s="10">
        <v>1.8154446069883461E-4</v>
      </c>
      <c r="T7125" s="10">
        <v>0</v>
      </c>
      <c r="U7125" s="10">
        <v>7.0640000000000001E-5</v>
      </c>
      <c r="V7125" s="25"/>
      <c r="W7125" s="25"/>
      <c r="X7125" s="25"/>
      <c r="Y7125" s="25"/>
      <c r="Z7125" s="25"/>
      <c r="AA7125" s="25"/>
    </row>
    <row r="7126" spans="1:27" x14ac:dyDescent="0.35">
      <c r="A7126" s="5">
        <v>7122</v>
      </c>
      <c r="B7126" s="5">
        <v>297</v>
      </c>
      <c r="C7126" s="5">
        <v>10</v>
      </c>
      <c r="D7126" s="25">
        <v>1.1415000000000001E-4</v>
      </c>
      <c r="E7126" s="25">
        <v>1.0485E-4</v>
      </c>
      <c r="F7126" s="25">
        <v>1.1790000000000001E-4</v>
      </c>
      <c r="G7126" s="25">
        <v>1.6393000000000001E-4</v>
      </c>
      <c r="H7126" s="25">
        <v>1.9490999999999999E-4</v>
      </c>
      <c r="I7126" s="9">
        <v>1.2032999999999999E-4</v>
      </c>
      <c r="J7126" s="9">
        <v>1.1772E-4</v>
      </c>
      <c r="K7126" s="9">
        <v>4.2400000000000001E-6</v>
      </c>
      <c r="L7126" s="9">
        <v>2.0859000000000001E-4</v>
      </c>
      <c r="M7126" s="9">
        <v>1.5915999999999999E-4</v>
      </c>
      <c r="N7126" s="9">
        <v>1.3887E-4</v>
      </c>
      <c r="O7126" s="9">
        <v>2.0539000000000001E-4</v>
      </c>
      <c r="P7126" s="9">
        <v>1.6013999999999999E-4</v>
      </c>
      <c r="Q7126" s="9">
        <v>1.1749E-4</v>
      </c>
      <c r="R7126" s="10">
        <v>6.315691429977569E-5</v>
      </c>
      <c r="S7126" s="10">
        <v>1.8278965141481948E-4</v>
      </c>
      <c r="T7126" s="10">
        <v>0</v>
      </c>
      <c r="U7126" s="10">
        <v>7.0640000000000001E-5</v>
      </c>
      <c r="V7126" s="25"/>
      <c r="W7126" s="25"/>
      <c r="X7126" s="25"/>
      <c r="Y7126" s="25"/>
      <c r="Z7126" s="25"/>
      <c r="AA7126" s="25"/>
    </row>
    <row r="7127" spans="1:27" x14ac:dyDescent="0.35">
      <c r="A7127" s="5">
        <v>7123</v>
      </c>
      <c r="B7127" s="5">
        <v>297</v>
      </c>
      <c r="C7127" s="5">
        <v>10</v>
      </c>
      <c r="D7127" s="25">
        <v>1.1416E-4</v>
      </c>
      <c r="E7127" s="25">
        <v>1.0896E-4</v>
      </c>
      <c r="F7127" s="25">
        <v>1.2197E-4</v>
      </c>
      <c r="G7127" s="25">
        <v>1.0522999999999999E-4</v>
      </c>
      <c r="H7127" s="25">
        <v>1.2776000000000001E-4</v>
      </c>
      <c r="I7127" s="9">
        <v>1.2472000000000001E-4</v>
      </c>
      <c r="J7127" s="9">
        <v>1.2214999999999999E-4</v>
      </c>
      <c r="K7127" s="9">
        <v>0</v>
      </c>
      <c r="L7127" s="9">
        <v>2.0571000000000001E-4</v>
      </c>
      <c r="M7127" s="9">
        <v>1.5894999999999999E-4</v>
      </c>
      <c r="N7127" s="9">
        <v>1.2976E-4</v>
      </c>
      <c r="O7127" s="9">
        <v>1.6328E-4</v>
      </c>
      <c r="P7127" s="9">
        <v>1.3380999999999999E-4</v>
      </c>
      <c r="Q7127" s="9">
        <v>1.0620000000000001E-4</v>
      </c>
      <c r="R7127" s="10">
        <v>7.7793945886476992E-5</v>
      </c>
      <c r="S7127" s="10">
        <v>1.8266022644242017E-4</v>
      </c>
      <c r="T7127" s="10">
        <v>0</v>
      </c>
      <c r="U7127" s="10">
        <v>7.0640000000000001E-5</v>
      </c>
      <c r="V7127" s="25"/>
      <c r="W7127" s="25"/>
      <c r="X7127" s="25"/>
      <c r="Y7127" s="25"/>
      <c r="Z7127" s="25"/>
      <c r="AA7127" s="25"/>
    </row>
    <row r="7128" spans="1:27" x14ac:dyDescent="0.35">
      <c r="A7128" s="5">
        <v>7124</v>
      </c>
      <c r="B7128" s="5">
        <v>297</v>
      </c>
      <c r="C7128" s="5">
        <v>10</v>
      </c>
      <c r="D7128" s="25">
        <v>1.1415000000000001E-4</v>
      </c>
      <c r="E7128" s="25">
        <v>1.0666E-4</v>
      </c>
      <c r="F7128" s="25">
        <v>1.1968000000000001E-4</v>
      </c>
      <c r="G7128" s="25">
        <v>1.0862E-4</v>
      </c>
      <c r="H7128" s="25">
        <v>1.3532999999999999E-4</v>
      </c>
      <c r="I7128" s="9">
        <v>1.2095E-4</v>
      </c>
      <c r="J7128" s="9">
        <v>1.1995E-4</v>
      </c>
      <c r="K7128" s="9">
        <v>0</v>
      </c>
      <c r="L7128" s="9">
        <v>1.7278000000000001E-4</v>
      </c>
      <c r="M7128" s="9">
        <v>1.4999999999999999E-4</v>
      </c>
      <c r="N7128" s="9">
        <v>1.2048999999999999E-4</v>
      </c>
      <c r="O7128" s="9">
        <v>1.2946999999999999E-4</v>
      </c>
      <c r="P7128" s="9">
        <v>1.1522E-4</v>
      </c>
      <c r="Q7128" s="9">
        <v>1.0221E-4</v>
      </c>
      <c r="R7128" s="10">
        <v>9.2139924067724405E-5</v>
      </c>
      <c r="S7128" s="10">
        <v>1.8175618357139462E-4</v>
      </c>
      <c r="T7128" s="10">
        <v>0</v>
      </c>
      <c r="U7128" s="10">
        <v>7.0640000000000001E-5</v>
      </c>
      <c r="V7128" s="25"/>
      <c r="W7128" s="25"/>
      <c r="X7128" s="25"/>
      <c r="Y7128" s="25"/>
      <c r="Z7128" s="25"/>
      <c r="AA7128" s="25"/>
    </row>
    <row r="7129" spans="1:27" x14ac:dyDescent="0.35">
      <c r="A7129" s="5">
        <v>7125</v>
      </c>
      <c r="B7129" s="5">
        <v>297</v>
      </c>
      <c r="C7129" s="5">
        <v>10</v>
      </c>
      <c r="D7129" s="25">
        <v>1.1416E-4</v>
      </c>
      <c r="E7129" s="25">
        <v>1.1493999999999999E-4</v>
      </c>
      <c r="F7129" s="25">
        <v>1.3365E-4</v>
      </c>
      <c r="G7129" s="25">
        <v>5.4240000000000002E-5</v>
      </c>
      <c r="H7129" s="25">
        <v>7.1370000000000003E-5</v>
      </c>
      <c r="I7129" s="9">
        <v>1.1485999999999999E-4</v>
      </c>
      <c r="J7129" s="9">
        <v>1.1416E-4</v>
      </c>
      <c r="K7129" s="9">
        <v>0</v>
      </c>
      <c r="L7129" s="9">
        <v>1.4001000000000001E-4</v>
      </c>
      <c r="M7129" s="9">
        <v>1.3498000000000001E-4</v>
      </c>
      <c r="N7129" s="9">
        <v>1.1296E-4</v>
      </c>
      <c r="O7129" s="9">
        <v>8.496E-5</v>
      </c>
      <c r="P7129" s="9">
        <v>8.6489999999999994E-5</v>
      </c>
      <c r="Q7129" s="9">
        <v>8.8490000000000001E-5</v>
      </c>
      <c r="R7129" s="10">
        <v>9.4901072047890662E-5</v>
      </c>
      <c r="S7129" s="10">
        <v>1.7913332756990671E-4</v>
      </c>
      <c r="T7129" s="10">
        <v>0</v>
      </c>
      <c r="U7129" s="10">
        <v>7.0640000000000001E-5</v>
      </c>
      <c r="V7129" s="25"/>
      <c r="W7129" s="25"/>
      <c r="X7129" s="25"/>
      <c r="Y7129" s="25"/>
      <c r="Z7129" s="25"/>
      <c r="AA7129" s="25"/>
    </row>
    <row r="7130" spans="1:27" x14ac:dyDescent="0.35">
      <c r="A7130" s="5">
        <v>7126</v>
      </c>
      <c r="B7130" s="5">
        <v>297</v>
      </c>
      <c r="C7130" s="5">
        <v>10</v>
      </c>
      <c r="D7130" s="25">
        <v>1.1415000000000001E-4</v>
      </c>
      <c r="E7130" s="25">
        <v>1.1239E-4</v>
      </c>
      <c r="F7130" s="25">
        <v>1.2912000000000001E-4</v>
      </c>
      <c r="G7130" s="25">
        <v>5.5850000000000002E-5</v>
      </c>
      <c r="H7130" s="25">
        <v>6.5629999999999993E-5</v>
      </c>
      <c r="I7130" s="9">
        <v>1.1328E-4</v>
      </c>
      <c r="J7130" s="9">
        <v>1.0844999999999999E-4</v>
      </c>
      <c r="K7130" s="9">
        <v>0</v>
      </c>
      <c r="L7130" s="9">
        <v>9.7960000000000004E-5</v>
      </c>
      <c r="M7130" s="9">
        <v>1.1367E-4</v>
      </c>
      <c r="N7130" s="9">
        <v>1.0545E-4</v>
      </c>
      <c r="O7130" s="9">
        <v>8.6760000000000003E-5</v>
      </c>
      <c r="P7130" s="9">
        <v>8.6879999999999995E-5</v>
      </c>
      <c r="Q7130" s="9">
        <v>8.7520000000000002E-5</v>
      </c>
      <c r="R7130" s="10">
        <v>9.832765548320631E-5</v>
      </c>
      <c r="S7130" s="10">
        <v>1.6733385166436764E-4</v>
      </c>
      <c r="T7130" s="10">
        <v>0</v>
      </c>
      <c r="U7130" s="10">
        <v>7.0640000000000001E-5</v>
      </c>
      <c r="V7130" s="25"/>
      <c r="W7130" s="25"/>
      <c r="X7130" s="25"/>
      <c r="Y7130" s="25"/>
      <c r="Z7130" s="25"/>
      <c r="AA7130" s="25"/>
    </row>
    <row r="7131" spans="1:27" x14ac:dyDescent="0.35">
      <c r="A7131" s="5">
        <v>7127</v>
      </c>
      <c r="B7131" s="5">
        <v>297</v>
      </c>
      <c r="C7131" s="5">
        <v>10</v>
      </c>
      <c r="D7131" s="25">
        <v>1.1416E-4</v>
      </c>
      <c r="E7131" s="25">
        <v>1.1503E-4</v>
      </c>
      <c r="F7131" s="25">
        <v>1.1964999999999999E-4</v>
      </c>
      <c r="G7131" s="25">
        <v>5.7689999999999998E-5</v>
      </c>
      <c r="H7131" s="25">
        <v>6.7260000000000003E-5</v>
      </c>
      <c r="I7131" s="9">
        <v>1.1163999999999999E-4</v>
      </c>
      <c r="J7131" s="9">
        <v>1.0128000000000001E-4</v>
      </c>
      <c r="K7131" s="9">
        <v>2.1299999999999999E-6</v>
      </c>
      <c r="L7131" s="9">
        <v>9.0160000000000004E-5</v>
      </c>
      <c r="M7131" s="9">
        <v>9.8800000000000003E-5</v>
      </c>
      <c r="N7131" s="9">
        <v>9.9560000000000002E-5</v>
      </c>
      <c r="O7131" s="9">
        <v>7.8490000000000002E-5</v>
      </c>
      <c r="P7131" s="9">
        <v>7.2689999999999997E-5</v>
      </c>
      <c r="Q7131" s="9">
        <v>6.7399999999999998E-5</v>
      </c>
      <c r="R7131" s="10">
        <v>1.028215899934781E-4</v>
      </c>
      <c r="S7131" s="10">
        <v>1.3009486399696569E-4</v>
      </c>
      <c r="T7131" s="10">
        <v>0</v>
      </c>
      <c r="U7131" s="10">
        <v>7.0640000000000001E-5</v>
      </c>
      <c r="V7131" s="25"/>
      <c r="W7131" s="25"/>
      <c r="X7131" s="25"/>
      <c r="Y7131" s="25"/>
      <c r="Z7131" s="25"/>
      <c r="AA7131" s="25"/>
    </row>
    <row r="7132" spans="1:27" x14ac:dyDescent="0.35">
      <c r="A7132" s="5">
        <v>7128</v>
      </c>
      <c r="B7132" s="5">
        <v>297</v>
      </c>
      <c r="C7132" s="5">
        <v>10</v>
      </c>
      <c r="D7132" s="25">
        <v>1.1415000000000001E-4</v>
      </c>
      <c r="E7132" s="25">
        <v>1.1429000000000001E-4</v>
      </c>
      <c r="F7132" s="25">
        <v>1.2443999999999999E-4</v>
      </c>
      <c r="G7132" s="25">
        <v>5.2849999999999997E-5</v>
      </c>
      <c r="H7132" s="25">
        <v>6.4820000000000006E-5</v>
      </c>
      <c r="I7132" s="9">
        <v>1.0482E-4</v>
      </c>
      <c r="J7132" s="9">
        <v>9.4549999999999994E-5</v>
      </c>
      <c r="K7132" s="9">
        <v>1.061E-5</v>
      </c>
      <c r="L7132" s="9">
        <v>8.1080000000000003E-5</v>
      </c>
      <c r="M7132" s="9">
        <v>8.6100000000000006E-5</v>
      </c>
      <c r="N7132" s="9">
        <v>9.0470000000000006E-5</v>
      </c>
      <c r="O7132" s="9">
        <v>6.2949999999999999E-5</v>
      </c>
      <c r="P7132" s="9">
        <v>6.0850000000000002E-5</v>
      </c>
      <c r="Q7132" s="9">
        <v>5.9030000000000002E-5</v>
      </c>
      <c r="R7132" s="10">
        <v>1.171278903999335E-4</v>
      </c>
      <c r="S7132" s="10">
        <v>1.1881109217719002E-4</v>
      </c>
      <c r="T7132" s="10">
        <v>0</v>
      </c>
      <c r="U7132" s="10">
        <v>7.0640000000000001E-5</v>
      </c>
      <c r="V7132" s="25"/>
      <c r="W7132" s="25"/>
      <c r="X7132" s="25"/>
      <c r="Y7132" s="25"/>
      <c r="Z7132" s="25"/>
      <c r="AA7132" s="25"/>
    </row>
    <row r="7133" spans="1:27" x14ac:dyDescent="0.35">
      <c r="A7133" s="5">
        <v>7129</v>
      </c>
      <c r="B7133" s="5">
        <v>298</v>
      </c>
      <c r="C7133" s="5">
        <v>10</v>
      </c>
      <c r="D7133" s="25">
        <v>1.1416E-4</v>
      </c>
      <c r="E7133" s="25">
        <v>1.1449E-4</v>
      </c>
      <c r="F7133" s="25">
        <v>1.0962E-4</v>
      </c>
      <c r="G7133" s="25">
        <v>6.2340000000000003E-5</v>
      </c>
      <c r="H7133" s="25">
        <v>7.0610000000000003E-5</v>
      </c>
      <c r="I7133" s="9">
        <v>9.9400000000000004E-5</v>
      </c>
      <c r="J7133" s="9">
        <v>9.0690000000000001E-5</v>
      </c>
      <c r="K7133" s="9">
        <v>1.484E-5</v>
      </c>
      <c r="L7133" s="9">
        <v>6.6909999999999995E-5</v>
      </c>
      <c r="M7133" s="9">
        <v>7.4109999999999993E-5</v>
      </c>
      <c r="N7133" s="9">
        <v>8.1160000000000002E-5</v>
      </c>
      <c r="O7133" s="9">
        <v>5.3999999999999998E-5</v>
      </c>
      <c r="P7133" s="9">
        <v>5.3430000000000002E-5</v>
      </c>
      <c r="Q7133" s="9">
        <v>5.3010000000000002E-5</v>
      </c>
      <c r="R7133" s="10">
        <v>9.8577303864740473E-5</v>
      </c>
      <c r="S7133" s="10">
        <v>1.0983574963033793E-4</v>
      </c>
      <c r="T7133" s="10">
        <v>0</v>
      </c>
      <c r="U7133" s="10">
        <v>7.0989999999999996E-5</v>
      </c>
      <c r="V7133" s="25"/>
      <c r="W7133" s="25"/>
      <c r="X7133" s="25"/>
      <c r="Y7133" s="25"/>
      <c r="Z7133" s="25"/>
      <c r="AA7133" s="25"/>
    </row>
    <row r="7134" spans="1:27" x14ac:dyDescent="0.35">
      <c r="A7134" s="5">
        <v>7130</v>
      </c>
      <c r="B7134" s="5">
        <v>298</v>
      </c>
      <c r="C7134" s="5">
        <v>10</v>
      </c>
      <c r="D7134" s="25">
        <v>1.1415000000000001E-4</v>
      </c>
      <c r="E7134" s="25">
        <v>1.2205999999999999E-4</v>
      </c>
      <c r="F7134" s="25">
        <v>1.0174E-4</v>
      </c>
      <c r="G7134" s="25">
        <v>5.6150000000000003E-5</v>
      </c>
      <c r="H7134" s="25">
        <v>7.3150000000000003E-5</v>
      </c>
      <c r="I7134" s="9">
        <v>9.6509999999999996E-5</v>
      </c>
      <c r="J7134" s="9">
        <v>8.9320000000000005E-5</v>
      </c>
      <c r="K7134" s="9">
        <v>1.484E-5</v>
      </c>
      <c r="L7134" s="9">
        <v>5.7219999999999998E-5</v>
      </c>
      <c r="M7134" s="9">
        <v>6.3819999999999995E-5</v>
      </c>
      <c r="N7134" s="9">
        <v>7.1979999999999999E-5</v>
      </c>
      <c r="O7134" s="9">
        <v>1.8640000000000001E-5</v>
      </c>
      <c r="P7134" s="9">
        <v>3.7509999999999998E-5</v>
      </c>
      <c r="Q7134" s="9">
        <v>5.5829999999999999E-5</v>
      </c>
      <c r="R7134" s="10">
        <v>7.9938863020194458E-5</v>
      </c>
      <c r="S7134" s="10">
        <v>1.2126913104086362E-4</v>
      </c>
      <c r="T7134" s="10">
        <v>0</v>
      </c>
      <c r="U7134" s="10">
        <v>7.0989999999999996E-5</v>
      </c>
      <c r="V7134" s="25"/>
      <c r="W7134" s="25"/>
      <c r="X7134" s="25"/>
      <c r="Y7134" s="25"/>
      <c r="Z7134" s="25"/>
      <c r="AA7134" s="25"/>
    </row>
    <row r="7135" spans="1:27" x14ac:dyDescent="0.35">
      <c r="A7135" s="5">
        <v>7131</v>
      </c>
      <c r="B7135" s="5">
        <v>298</v>
      </c>
      <c r="C7135" s="5">
        <v>10</v>
      </c>
      <c r="D7135" s="25">
        <v>1.1416E-4</v>
      </c>
      <c r="E7135" s="25">
        <v>1.1911E-4</v>
      </c>
      <c r="F7135" s="25">
        <v>1.0398E-4</v>
      </c>
      <c r="G7135" s="25">
        <v>5.8149999999999997E-5</v>
      </c>
      <c r="H7135" s="25">
        <v>7.0679999999999994E-5</v>
      </c>
      <c r="I7135" s="9">
        <v>9.603E-5</v>
      </c>
      <c r="J7135" s="9">
        <v>8.8910000000000001E-5</v>
      </c>
      <c r="K7135" s="9">
        <v>1.908E-5</v>
      </c>
      <c r="L7135" s="9">
        <v>2.7359999999999999E-5</v>
      </c>
      <c r="M7135" s="9">
        <v>5.198E-5</v>
      </c>
      <c r="N7135" s="9">
        <v>6.5350000000000003E-5</v>
      </c>
      <c r="O7135" s="9">
        <v>1.3149999999999999E-5</v>
      </c>
      <c r="P7135" s="9">
        <v>3.7440000000000001E-5</v>
      </c>
      <c r="Q7135" s="9">
        <v>6.1029999999999997E-5</v>
      </c>
      <c r="R7135" s="10">
        <v>6.6859615428875577E-5</v>
      </c>
      <c r="S7135" s="10">
        <v>1.4227047150735855E-4</v>
      </c>
      <c r="T7135" s="10">
        <v>0</v>
      </c>
      <c r="U7135" s="10">
        <v>7.0989999999999996E-5</v>
      </c>
      <c r="V7135" s="25"/>
      <c r="W7135" s="25"/>
      <c r="X7135" s="25"/>
      <c r="Y7135" s="25"/>
      <c r="Z7135" s="25"/>
      <c r="AA7135" s="25"/>
    </row>
    <row r="7136" spans="1:27" x14ac:dyDescent="0.35">
      <c r="A7136" s="5">
        <v>7132</v>
      </c>
      <c r="B7136" s="5">
        <v>298</v>
      </c>
      <c r="C7136" s="5">
        <v>10</v>
      </c>
      <c r="D7136" s="25">
        <v>1.1415000000000001E-4</v>
      </c>
      <c r="E7136" s="25">
        <v>1.2208999999999999E-4</v>
      </c>
      <c r="F7136" s="25">
        <v>1.1082E-4</v>
      </c>
      <c r="G7136" s="25">
        <v>5.2290000000000002E-5</v>
      </c>
      <c r="H7136" s="25">
        <v>6.7180000000000004E-5</v>
      </c>
      <c r="I7136" s="9">
        <v>9.7070000000000004E-5</v>
      </c>
      <c r="J7136" s="9">
        <v>8.9610000000000004E-5</v>
      </c>
      <c r="K7136" s="9">
        <v>1.9069999999999999E-5</v>
      </c>
      <c r="L7136" s="9">
        <v>1.7010000000000001E-5</v>
      </c>
      <c r="M7136" s="9">
        <v>4.3930000000000001E-5</v>
      </c>
      <c r="N7136" s="9">
        <v>6.1680000000000006E-5</v>
      </c>
      <c r="O7136" s="9">
        <v>1.3179999999999999E-5</v>
      </c>
      <c r="P7136" s="9">
        <v>4.6919999999999998E-5</v>
      </c>
      <c r="Q7136" s="9">
        <v>7.9800000000000002E-5</v>
      </c>
      <c r="R7136" s="10">
        <v>5.938466888887403E-5</v>
      </c>
      <c r="S7136" s="10">
        <v>1.5967908731058837E-4</v>
      </c>
      <c r="T7136" s="10">
        <v>0</v>
      </c>
      <c r="U7136" s="10">
        <v>7.0989999999999996E-5</v>
      </c>
      <c r="V7136" s="25"/>
      <c r="W7136" s="25"/>
      <c r="X7136" s="25"/>
      <c r="Y7136" s="25"/>
      <c r="Z7136" s="25"/>
      <c r="AA7136" s="25"/>
    </row>
    <row r="7137" spans="1:27" x14ac:dyDescent="0.35">
      <c r="A7137" s="5">
        <v>7133</v>
      </c>
      <c r="B7137" s="5">
        <v>298</v>
      </c>
      <c r="C7137" s="5">
        <v>10</v>
      </c>
      <c r="D7137" s="25">
        <v>1.1416E-4</v>
      </c>
      <c r="E7137" s="25">
        <v>1.2269000000000001E-4</v>
      </c>
      <c r="F7137" s="25">
        <v>1.1917E-4</v>
      </c>
      <c r="G7137" s="25">
        <v>5.4209999999999998E-5</v>
      </c>
      <c r="H7137" s="25">
        <v>7.1899999999999999E-5</v>
      </c>
      <c r="I7137" s="9">
        <v>1.0348000000000001E-4</v>
      </c>
      <c r="J7137" s="9">
        <v>9.2620000000000004E-5</v>
      </c>
      <c r="K7137" s="9">
        <v>1.6949999999999999E-5</v>
      </c>
      <c r="L7137" s="9">
        <v>1.4270000000000001E-5</v>
      </c>
      <c r="M7137" s="9">
        <v>4.32E-5</v>
      </c>
      <c r="N7137" s="9">
        <v>6.41E-5</v>
      </c>
      <c r="O7137" s="9">
        <v>1.8640000000000001E-5</v>
      </c>
      <c r="P7137" s="9">
        <v>5.626E-5</v>
      </c>
      <c r="Q7137" s="9">
        <v>9.3040000000000004E-5</v>
      </c>
      <c r="R7137" s="10">
        <v>7.764624583458726E-5</v>
      </c>
      <c r="S7137" s="10">
        <v>1.6077599661900728E-4</v>
      </c>
      <c r="T7137" s="10">
        <v>0</v>
      </c>
      <c r="U7137" s="10">
        <v>7.0989999999999996E-5</v>
      </c>
      <c r="V7137" s="25"/>
      <c r="W7137" s="25"/>
      <c r="X7137" s="25"/>
      <c r="Y7137" s="25"/>
      <c r="Z7137" s="25"/>
      <c r="AA7137" s="25"/>
    </row>
    <row r="7138" spans="1:27" x14ac:dyDescent="0.35">
      <c r="A7138" s="5">
        <v>7134</v>
      </c>
      <c r="B7138" s="5">
        <v>298</v>
      </c>
      <c r="C7138" s="5">
        <v>10</v>
      </c>
      <c r="D7138" s="25">
        <v>1.1415000000000001E-4</v>
      </c>
      <c r="E7138" s="25">
        <v>1.128E-4</v>
      </c>
      <c r="F7138" s="25">
        <v>9.9959999999999998E-5</v>
      </c>
      <c r="G7138" s="25">
        <v>1.0943E-4</v>
      </c>
      <c r="H7138" s="25">
        <v>1.3799999999999999E-4</v>
      </c>
      <c r="I7138" s="9">
        <v>1.182E-4</v>
      </c>
      <c r="J7138" s="9">
        <v>1.0242E-4</v>
      </c>
      <c r="K7138" s="9">
        <v>1.484E-5</v>
      </c>
      <c r="L7138" s="9">
        <v>1.755E-5</v>
      </c>
      <c r="M7138" s="9">
        <v>4.8059999999999997E-5</v>
      </c>
      <c r="N7138" s="9">
        <v>7.0549999999999994E-5</v>
      </c>
      <c r="O7138" s="9">
        <v>4.6669999999999999E-5</v>
      </c>
      <c r="P7138" s="9">
        <v>7.7529999999999998E-5</v>
      </c>
      <c r="Q7138" s="9">
        <v>1.0796E-4</v>
      </c>
      <c r="R7138" s="10">
        <v>9.2941009526112528E-5</v>
      </c>
      <c r="S7138" s="10">
        <v>1.422758966640618E-4</v>
      </c>
      <c r="T7138" s="10">
        <v>0</v>
      </c>
      <c r="U7138" s="10">
        <v>7.0989999999999996E-5</v>
      </c>
      <c r="V7138" s="25"/>
      <c r="W7138" s="25"/>
      <c r="X7138" s="25"/>
      <c r="Y7138" s="25"/>
      <c r="Z7138" s="25"/>
      <c r="AA7138" s="25"/>
    </row>
    <row r="7139" spans="1:27" x14ac:dyDescent="0.35">
      <c r="A7139" s="5">
        <v>7135</v>
      </c>
      <c r="B7139" s="5">
        <v>298</v>
      </c>
      <c r="C7139" s="5">
        <v>10</v>
      </c>
      <c r="D7139" s="25">
        <v>1.1416E-4</v>
      </c>
      <c r="E7139" s="25">
        <v>1.2286E-4</v>
      </c>
      <c r="F7139" s="25">
        <v>1.0103E-4</v>
      </c>
      <c r="G7139" s="25">
        <v>1.1121E-4</v>
      </c>
      <c r="H7139" s="25">
        <v>1.3174000000000001E-4</v>
      </c>
      <c r="I7139" s="9">
        <v>1.3221000000000001E-4</v>
      </c>
      <c r="J7139" s="9">
        <v>1.2015000000000001E-4</v>
      </c>
      <c r="K7139" s="9">
        <v>2.332E-5</v>
      </c>
      <c r="L7139" s="9">
        <v>4.0120000000000002E-5</v>
      </c>
      <c r="M7139" s="9">
        <v>6.0050000000000003E-5</v>
      </c>
      <c r="N7139" s="9">
        <v>8.0539999999999998E-5</v>
      </c>
      <c r="O7139" s="9">
        <v>1.2290000000000001E-4</v>
      </c>
      <c r="P7139" s="9">
        <v>1.1694E-4</v>
      </c>
      <c r="Q7139" s="9">
        <v>1.1202E-4</v>
      </c>
      <c r="R7139" s="10">
        <v>7.8512332834004047E-5</v>
      </c>
      <c r="S7139" s="10">
        <v>1.2526664049775335E-4</v>
      </c>
      <c r="T7139" s="10">
        <v>0</v>
      </c>
      <c r="U7139" s="10">
        <v>7.0989999999999996E-5</v>
      </c>
      <c r="V7139" s="25"/>
      <c r="W7139" s="25"/>
      <c r="X7139" s="25"/>
      <c r="Y7139" s="25"/>
      <c r="Z7139" s="25"/>
      <c r="AA7139" s="25"/>
    </row>
    <row r="7140" spans="1:27" x14ac:dyDescent="0.35">
      <c r="A7140" s="5">
        <v>7136</v>
      </c>
      <c r="B7140" s="5">
        <v>298</v>
      </c>
      <c r="C7140" s="5">
        <v>10</v>
      </c>
      <c r="D7140" s="25">
        <v>1.1415000000000001E-4</v>
      </c>
      <c r="E7140" s="25">
        <v>1.1347E-4</v>
      </c>
      <c r="F7140" s="25">
        <v>1.0649000000000001E-4</v>
      </c>
      <c r="G7140" s="25">
        <v>1.6356000000000001E-4</v>
      </c>
      <c r="H7140" s="25">
        <v>1.8817000000000001E-4</v>
      </c>
      <c r="I7140" s="9">
        <v>1.3608000000000001E-4</v>
      </c>
      <c r="J7140" s="9">
        <v>1.3479E-4</v>
      </c>
      <c r="K7140" s="9">
        <v>2.332E-5</v>
      </c>
      <c r="L7140" s="9">
        <v>1.0406E-4</v>
      </c>
      <c r="M7140" s="9">
        <v>8.3629999999999997E-5</v>
      </c>
      <c r="N7140" s="9">
        <v>9.0619999999999996E-5</v>
      </c>
      <c r="O7140" s="9">
        <v>2.1803999999999999E-4</v>
      </c>
      <c r="P7140" s="9">
        <v>1.7542999999999999E-4</v>
      </c>
      <c r="Q7140" s="9">
        <v>1.3552E-4</v>
      </c>
      <c r="R7140" s="10">
        <v>6.549734810739557E-5</v>
      </c>
      <c r="S7140" s="10">
        <v>1.2470601636481365E-4</v>
      </c>
      <c r="T7140" s="10">
        <v>9.5779255363758872E-5</v>
      </c>
      <c r="U7140" s="10">
        <v>7.0989999999999996E-5</v>
      </c>
      <c r="V7140" s="25"/>
      <c r="W7140" s="25"/>
      <c r="X7140" s="25"/>
      <c r="Y7140" s="25"/>
      <c r="Z7140" s="25"/>
      <c r="AA7140" s="25"/>
    </row>
    <row r="7141" spans="1:27" x14ac:dyDescent="0.35">
      <c r="A7141" s="5">
        <v>7137</v>
      </c>
      <c r="B7141" s="5">
        <v>298</v>
      </c>
      <c r="C7141" s="5">
        <v>10</v>
      </c>
      <c r="D7141" s="25">
        <v>1.1416E-4</v>
      </c>
      <c r="E7141" s="25">
        <v>1.2321000000000001E-4</v>
      </c>
      <c r="F7141" s="25">
        <v>1.1199E-4</v>
      </c>
      <c r="G7141" s="25">
        <v>1.6695999999999999E-4</v>
      </c>
      <c r="H7141" s="25">
        <v>1.9855E-4</v>
      </c>
      <c r="I7141" s="9">
        <v>1.3825999999999999E-4</v>
      </c>
      <c r="J7141" s="9">
        <v>1.3941E-4</v>
      </c>
      <c r="K7141" s="9">
        <v>1.696E-5</v>
      </c>
      <c r="L7141" s="9">
        <v>1.9121000000000001E-4</v>
      </c>
      <c r="M7141" s="9">
        <v>1.2276E-4</v>
      </c>
      <c r="N7141" s="9">
        <v>1.0418E-4</v>
      </c>
      <c r="O7141" s="9">
        <v>2.1216E-4</v>
      </c>
      <c r="P7141" s="9">
        <v>1.9361000000000001E-4</v>
      </c>
      <c r="Q7141" s="9">
        <v>1.7730999999999999E-4</v>
      </c>
      <c r="R7141" s="10">
        <v>7.8786533274020971E-5</v>
      </c>
      <c r="S7141" s="10">
        <v>1.0989842624341598E-4</v>
      </c>
      <c r="T7141" s="10">
        <v>2.7059824347344544E-4</v>
      </c>
      <c r="U7141" s="10">
        <v>7.0989999999999996E-5</v>
      </c>
      <c r="V7141" s="25"/>
      <c r="W7141" s="25"/>
      <c r="X7141" s="25"/>
      <c r="Y7141" s="25"/>
      <c r="Z7141" s="25"/>
      <c r="AA7141" s="25"/>
    </row>
    <row r="7142" spans="1:27" x14ac:dyDescent="0.35">
      <c r="A7142" s="5">
        <v>7138</v>
      </c>
      <c r="B7142" s="5">
        <v>298</v>
      </c>
      <c r="C7142" s="5">
        <v>10</v>
      </c>
      <c r="D7142" s="25">
        <v>1.1415000000000001E-4</v>
      </c>
      <c r="E7142" s="25">
        <v>1.1728E-4</v>
      </c>
      <c r="F7142" s="25">
        <v>1.0796E-4</v>
      </c>
      <c r="G7142" s="25">
        <v>1.5684E-4</v>
      </c>
      <c r="H7142" s="25">
        <v>1.8757999999999999E-4</v>
      </c>
      <c r="I7142" s="9">
        <v>1.3959000000000001E-4</v>
      </c>
      <c r="J7142" s="9">
        <v>1.4022000000000001E-4</v>
      </c>
      <c r="K7142" s="9">
        <v>2.756E-5</v>
      </c>
      <c r="L7142" s="9">
        <v>2.0526999999999999E-4</v>
      </c>
      <c r="M7142" s="9">
        <v>1.5817000000000001E-4</v>
      </c>
      <c r="N7142" s="9">
        <v>1.2437E-4</v>
      </c>
      <c r="O7142" s="9">
        <v>1.6647999999999999E-4</v>
      </c>
      <c r="P7142" s="9">
        <v>1.7311E-4</v>
      </c>
      <c r="Q7142" s="9">
        <v>1.8106E-4</v>
      </c>
      <c r="R7142" s="10">
        <v>7.0247662926562786E-5</v>
      </c>
      <c r="S7142" s="10">
        <v>9.1038094399914973E-5</v>
      </c>
      <c r="T7142" s="10">
        <v>4.4667290788695307E-4</v>
      </c>
      <c r="U7142" s="10">
        <v>7.0989999999999996E-5</v>
      </c>
      <c r="V7142" s="25"/>
      <c r="W7142" s="25"/>
      <c r="X7142" s="25"/>
      <c r="Y7142" s="25"/>
      <c r="Z7142" s="25"/>
      <c r="AA7142" s="25"/>
    </row>
    <row r="7143" spans="1:27" x14ac:dyDescent="0.35">
      <c r="A7143" s="5">
        <v>7139</v>
      </c>
      <c r="B7143" s="5">
        <v>298</v>
      </c>
      <c r="C7143" s="5">
        <v>10</v>
      </c>
      <c r="D7143" s="25">
        <v>1.1416E-4</v>
      </c>
      <c r="E7143" s="25">
        <v>1.1425E-4</v>
      </c>
      <c r="F7143" s="25">
        <v>1.0090999999999999E-4</v>
      </c>
      <c r="G7143" s="25">
        <v>1.5826999999999999E-4</v>
      </c>
      <c r="H7143" s="25">
        <v>1.9626999999999999E-4</v>
      </c>
      <c r="I7143" s="9">
        <v>1.4158000000000001E-4</v>
      </c>
      <c r="J7143" s="9">
        <v>1.4121000000000001E-4</v>
      </c>
      <c r="K7143" s="9">
        <v>2.7549999999999999E-5</v>
      </c>
      <c r="L7143" s="9">
        <v>1.7504E-4</v>
      </c>
      <c r="M7143" s="9">
        <v>1.7178000000000001E-4</v>
      </c>
      <c r="N7143" s="9">
        <v>1.4228E-4</v>
      </c>
      <c r="O7143" s="9">
        <v>1.6836999999999999E-4</v>
      </c>
      <c r="P7143" s="9">
        <v>1.7370999999999999E-4</v>
      </c>
      <c r="Q7143" s="9">
        <v>1.8043000000000001E-4</v>
      </c>
      <c r="R7143" s="10">
        <v>4.4084279797703168E-5</v>
      </c>
      <c r="S7143" s="10">
        <v>7.8150230709676842E-5</v>
      </c>
      <c r="T7143" s="10">
        <v>4.1506040850832203E-4</v>
      </c>
      <c r="U7143" s="10">
        <v>7.0989999999999996E-5</v>
      </c>
      <c r="V7143" s="25"/>
      <c r="W7143" s="25"/>
      <c r="X7143" s="25"/>
      <c r="Y7143" s="25"/>
      <c r="Z7143" s="25"/>
      <c r="AA7143" s="25"/>
    </row>
    <row r="7144" spans="1:27" x14ac:dyDescent="0.35">
      <c r="A7144" s="5">
        <v>7140</v>
      </c>
      <c r="B7144" s="5">
        <v>298</v>
      </c>
      <c r="C7144" s="5">
        <v>10</v>
      </c>
      <c r="D7144" s="25">
        <v>1.1415000000000001E-4</v>
      </c>
      <c r="E7144" s="25">
        <v>1.1847E-4</v>
      </c>
      <c r="F7144" s="25">
        <v>1.1414E-4</v>
      </c>
      <c r="G7144" s="25">
        <v>1.6342E-4</v>
      </c>
      <c r="H7144" s="25">
        <v>1.9306E-4</v>
      </c>
      <c r="I7144" s="9">
        <v>1.3825E-4</v>
      </c>
      <c r="J7144" s="9">
        <v>1.3964000000000001E-4</v>
      </c>
      <c r="K7144" s="9">
        <v>0</v>
      </c>
      <c r="L7144" s="9">
        <v>1.7127000000000001E-4</v>
      </c>
      <c r="M7144" s="9">
        <v>1.7475999999999999E-4</v>
      </c>
      <c r="N7144" s="9">
        <v>1.5660000000000001E-4</v>
      </c>
      <c r="O7144" s="9">
        <v>1.6991E-4</v>
      </c>
      <c r="P7144" s="9">
        <v>1.7112E-4</v>
      </c>
      <c r="Q7144" s="9">
        <v>1.7378000000000001E-4</v>
      </c>
      <c r="R7144" s="10">
        <v>1.9534129887017543E-5</v>
      </c>
      <c r="S7144" s="10">
        <v>8.3849949978058799E-5</v>
      </c>
      <c r="T7144" s="10">
        <v>4.4949817957055048E-4</v>
      </c>
      <c r="U7144" s="10">
        <v>7.0989999999999996E-5</v>
      </c>
      <c r="V7144" s="25"/>
      <c r="W7144" s="25"/>
      <c r="X7144" s="25"/>
      <c r="Y7144" s="25"/>
      <c r="Z7144" s="25"/>
      <c r="AA7144" s="25"/>
    </row>
    <row r="7145" spans="1:27" x14ac:dyDescent="0.35">
      <c r="A7145" s="5">
        <v>7141</v>
      </c>
      <c r="B7145" s="5">
        <v>298</v>
      </c>
      <c r="C7145" s="5">
        <v>10</v>
      </c>
      <c r="D7145" s="25">
        <v>1.1416E-4</v>
      </c>
      <c r="E7145" s="25">
        <v>1.2009E-4</v>
      </c>
      <c r="F7145" s="25">
        <v>1.1476000000000001E-4</v>
      </c>
      <c r="G7145" s="25">
        <v>1.6668999999999999E-4</v>
      </c>
      <c r="H7145" s="25">
        <v>1.8724E-4</v>
      </c>
      <c r="I7145" s="9">
        <v>1.3758999999999999E-4</v>
      </c>
      <c r="J7145" s="9">
        <v>1.3783E-4</v>
      </c>
      <c r="K7145" s="9">
        <v>0</v>
      </c>
      <c r="L7145" s="9">
        <v>1.7034999999999999E-4</v>
      </c>
      <c r="M7145" s="9">
        <v>1.7374E-4</v>
      </c>
      <c r="N7145" s="9">
        <v>1.6605E-4</v>
      </c>
      <c r="O7145" s="9">
        <v>1.6227E-4</v>
      </c>
      <c r="P7145" s="9">
        <v>1.6432E-4</v>
      </c>
      <c r="Q7145" s="9">
        <v>1.6772E-4</v>
      </c>
      <c r="R7145" s="10">
        <v>1.9614389189724484E-5</v>
      </c>
      <c r="S7145" s="10">
        <v>7.2292343832998252E-5</v>
      </c>
      <c r="T7145" s="10">
        <v>5.0790409629693158E-4</v>
      </c>
      <c r="U7145" s="10">
        <v>7.0989999999999996E-5</v>
      </c>
      <c r="V7145" s="25"/>
      <c r="W7145" s="25"/>
      <c r="X7145" s="25"/>
      <c r="Y7145" s="25"/>
      <c r="Z7145" s="25"/>
      <c r="AA7145" s="25"/>
    </row>
    <row r="7146" spans="1:27" x14ac:dyDescent="0.35">
      <c r="A7146" s="5">
        <v>7142</v>
      </c>
      <c r="B7146" s="5">
        <v>298</v>
      </c>
      <c r="C7146" s="5">
        <v>10</v>
      </c>
      <c r="D7146" s="25">
        <v>1.1415000000000001E-4</v>
      </c>
      <c r="E7146" s="25">
        <v>1.2059E-4</v>
      </c>
      <c r="F7146" s="25">
        <v>1.1937E-4</v>
      </c>
      <c r="G7146" s="25">
        <v>1.6117E-4</v>
      </c>
      <c r="H7146" s="25">
        <v>1.9584999999999999E-4</v>
      </c>
      <c r="I7146" s="9">
        <v>1.3574E-4</v>
      </c>
      <c r="J7146" s="9">
        <v>1.3810999999999999E-4</v>
      </c>
      <c r="K7146" s="9">
        <v>0</v>
      </c>
      <c r="L7146" s="9">
        <v>1.638E-4</v>
      </c>
      <c r="M7146" s="9">
        <v>1.7003999999999999E-4</v>
      </c>
      <c r="N7146" s="9">
        <v>1.7049E-4</v>
      </c>
      <c r="O7146" s="9">
        <v>1.7668999999999999E-4</v>
      </c>
      <c r="P7146" s="9">
        <v>1.6704E-4</v>
      </c>
      <c r="Q7146" s="9">
        <v>1.5909999999999999E-4</v>
      </c>
      <c r="R7146" s="10">
        <v>2.0544600244057209E-5</v>
      </c>
      <c r="S7146" s="10">
        <v>5.6611818071715245E-5</v>
      </c>
      <c r="T7146" s="10">
        <v>3.8309156855698503E-4</v>
      </c>
      <c r="U7146" s="10">
        <v>7.0989999999999996E-5</v>
      </c>
      <c r="V7146" s="25"/>
      <c r="W7146" s="25"/>
      <c r="X7146" s="25"/>
      <c r="Y7146" s="25"/>
      <c r="Z7146" s="25"/>
      <c r="AA7146" s="25"/>
    </row>
    <row r="7147" spans="1:27" x14ac:dyDescent="0.35">
      <c r="A7147" s="5">
        <v>7143</v>
      </c>
      <c r="B7147" s="5">
        <v>298</v>
      </c>
      <c r="C7147" s="5">
        <v>10</v>
      </c>
      <c r="D7147" s="25">
        <v>1.1416E-4</v>
      </c>
      <c r="E7147" s="25">
        <v>1.2446000000000001E-4</v>
      </c>
      <c r="F7147" s="25">
        <v>1.1454E-4</v>
      </c>
      <c r="G7147" s="25">
        <v>1.6731999999999999E-4</v>
      </c>
      <c r="H7147" s="25">
        <v>1.9694999999999999E-4</v>
      </c>
      <c r="I7147" s="9">
        <v>1.3578E-4</v>
      </c>
      <c r="J7147" s="9">
        <v>1.3747E-4</v>
      </c>
      <c r="K7147" s="9">
        <v>0</v>
      </c>
      <c r="L7147" s="9">
        <v>1.7401999999999999E-4</v>
      </c>
      <c r="M7147" s="9">
        <v>1.6789999999999999E-4</v>
      </c>
      <c r="N7147" s="9">
        <v>1.6966E-4</v>
      </c>
      <c r="O7147" s="9">
        <v>1.8348999999999999E-4</v>
      </c>
      <c r="P7147" s="9">
        <v>1.6693E-4</v>
      </c>
      <c r="Q7147" s="9">
        <v>1.5226000000000001E-4</v>
      </c>
      <c r="R7147" s="10">
        <v>1.1804384155723199E-5</v>
      </c>
      <c r="S7147" s="10">
        <v>5.2541968450333556E-5</v>
      </c>
      <c r="T7147" s="10">
        <v>2.8546273593489511E-4</v>
      </c>
      <c r="U7147" s="10">
        <v>7.0989999999999996E-5</v>
      </c>
      <c r="V7147" s="25"/>
      <c r="W7147" s="25"/>
      <c r="X7147" s="25"/>
      <c r="Y7147" s="25"/>
      <c r="Z7147" s="25"/>
      <c r="AA7147" s="25"/>
    </row>
    <row r="7148" spans="1:27" x14ac:dyDescent="0.35">
      <c r="A7148" s="5">
        <v>7144</v>
      </c>
      <c r="B7148" s="5">
        <v>298</v>
      </c>
      <c r="C7148" s="5">
        <v>10</v>
      </c>
      <c r="D7148" s="25">
        <v>1.1415000000000001E-4</v>
      </c>
      <c r="E7148" s="25">
        <v>1.1824000000000001E-4</v>
      </c>
      <c r="F7148" s="25">
        <v>1.0662000000000001E-4</v>
      </c>
      <c r="G7148" s="25">
        <v>1.6663E-4</v>
      </c>
      <c r="H7148" s="25">
        <v>1.9603000000000001E-4</v>
      </c>
      <c r="I7148" s="9">
        <v>1.3543E-4</v>
      </c>
      <c r="J7148" s="9">
        <v>1.3731E-4</v>
      </c>
      <c r="K7148" s="9">
        <v>0</v>
      </c>
      <c r="L7148" s="9">
        <v>1.8113999999999999E-4</v>
      </c>
      <c r="M7148" s="9">
        <v>1.6707000000000001E-4</v>
      </c>
      <c r="N7148" s="9">
        <v>1.6577000000000001E-4</v>
      </c>
      <c r="O7148" s="9">
        <v>1.9665000000000001E-4</v>
      </c>
      <c r="P7148" s="9">
        <v>1.5168000000000001E-4</v>
      </c>
      <c r="Q7148" s="9">
        <v>1.092E-4</v>
      </c>
      <c r="R7148" s="10">
        <v>6.2178256830216325E-6</v>
      </c>
      <c r="S7148" s="10">
        <v>3.5657702419890666E-5</v>
      </c>
      <c r="T7148" s="10">
        <v>1.0466231678335809E-4</v>
      </c>
      <c r="U7148" s="10">
        <v>7.0989999999999996E-5</v>
      </c>
      <c r="V7148" s="25"/>
      <c r="W7148" s="25"/>
      <c r="X7148" s="25"/>
      <c r="Y7148" s="25"/>
      <c r="Z7148" s="25"/>
      <c r="AA7148" s="25"/>
    </row>
    <row r="7149" spans="1:27" x14ac:dyDescent="0.35">
      <c r="A7149" s="5">
        <v>7145</v>
      </c>
      <c r="B7149" s="5">
        <v>298</v>
      </c>
      <c r="C7149" s="5">
        <v>10</v>
      </c>
      <c r="D7149" s="25">
        <v>1.1416E-4</v>
      </c>
      <c r="E7149" s="25">
        <v>1.1696000000000001E-4</v>
      </c>
      <c r="F7149" s="25">
        <v>1.1606E-4</v>
      </c>
      <c r="G7149" s="25">
        <v>1.5784999999999999E-4</v>
      </c>
      <c r="H7149" s="25">
        <v>1.9563E-4</v>
      </c>
      <c r="I7149" s="9">
        <v>1.3671000000000001E-4</v>
      </c>
      <c r="J7149" s="9">
        <v>1.3910999999999999E-4</v>
      </c>
      <c r="K7149" s="9">
        <v>0</v>
      </c>
      <c r="L7149" s="9">
        <v>1.9299000000000001E-4</v>
      </c>
      <c r="M7149" s="9">
        <v>1.6144E-4</v>
      </c>
      <c r="N7149" s="9">
        <v>1.5195000000000001E-4</v>
      </c>
      <c r="O7149" s="9">
        <v>2.1369999999999999E-4</v>
      </c>
      <c r="P7149" s="9">
        <v>1.5886000000000001E-4</v>
      </c>
      <c r="Q7149" s="9">
        <v>1.0685E-4</v>
      </c>
      <c r="R7149" s="10">
        <v>3.4637558285633019E-6</v>
      </c>
      <c r="S7149" s="10">
        <v>2.5767176879193725E-5</v>
      </c>
      <c r="T7149" s="10">
        <v>0</v>
      </c>
      <c r="U7149" s="10">
        <v>7.0989999999999996E-5</v>
      </c>
      <c r="V7149" s="25"/>
      <c r="W7149" s="25"/>
      <c r="X7149" s="25"/>
      <c r="Y7149" s="25"/>
      <c r="Z7149" s="25"/>
      <c r="AA7149" s="25"/>
    </row>
    <row r="7150" spans="1:27" x14ac:dyDescent="0.35">
      <c r="A7150" s="5">
        <v>7146</v>
      </c>
      <c r="B7150" s="5">
        <v>298</v>
      </c>
      <c r="C7150" s="5">
        <v>10</v>
      </c>
      <c r="D7150" s="25">
        <v>1.1415000000000001E-4</v>
      </c>
      <c r="E7150" s="25">
        <v>1.1618E-4</v>
      </c>
      <c r="F7150" s="25">
        <v>1.2056E-4</v>
      </c>
      <c r="G7150" s="25">
        <v>1.6608000000000001E-4</v>
      </c>
      <c r="H7150" s="25">
        <v>1.9391999999999999E-4</v>
      </c>
      <c r="I7150" s="9">
        <v>1.4103E-4</v>
      </c>
      <c r="J7150" s="9">
        <v>1.3935999999999999E-4</v>
      </c>
      <c r="K7150" s="9">
        <v>8.4800000000000001E-6</v>
      </c>
      <c r="L7150" s="9">
        <v>2.0890000000000001E-4</v>
      </c>
      <c r="M7150" s="9">
        <v>1.5896000000000001E-4</v>
      </c>
      <c r="N7150" s="9">
        <v>1.3860000000000001E-4</v>
      </c>
      <c r="O7150" s="9">
        <v>2.0623000000000001E-4</v>
      </c>
      <c r="P7150" s="9">
        <v>1.6080000000000001E-4</v>
      </c>
      <c r="Q7150" s="9">
        <v>1.1798000000000001E-4</v>
      </c>
      <c r="R7150" s="10">
        <v>1.5861555997266822E-6</v>
      </c>
      <c r="S7150" s="10">
        <v>1.9031380384042777E-5</v>
      </c>
      <c r="T7150" s="10">
        <v>0</v>
      </c>
      <c r="U7150" s="10">
        <v>7.0989999999999996E-5</v>
      </c>
      <c r="V7150" s="25"/>
      <c r="W7150" s="25"/>
      <c r="X7150" s="25"/>
      <c r="Y7150" s="25"/>
      <c r="Z7150" s="25"/>
      <c r="AA7150" s="25"/>
    </row>
    <row r="7151" spans="1:27" x14ac:dyDescent="0.35">
      <c r="A7151" s="5">
        <v>7147</v>
      </c>
      <c r="B7151" s="5">
        <v>298</v>
      </c>
      <c r="C7151" s="5">
        <v>10</v>
      </c>
      <c r="D7151" s="25">
        <v>1.1416E-4</v>
      </c>
      <c r="E7151" s="25">
        <v>1.1544000000000001E-4</v>
      </c>
      <c r="F7151" s="25">
        <v>1.0436E-4</v>
      </c>
      <c r="G7151" s="25">
        <v>1.1226E-4</v>
      </c>
      <c r="H7151" s="25">
        <v>1.3077E-4</v>
      </c>
      <c r="I7151" s="9">
        <v>1.3982E-4</v>
      </c>
      <c r="J7151" s="9">
        <v>1.4056999999999999E-4</v>
      </c>
      <c r="K7151" s="9">
        <v>2.12E-5</v>
      </c>
      <c r="L7151" s="9">
        <v>2.0641999999999999E-4</v>
      </c>
      <c r="M7151" s="9">
        <v>1.5914E-4</v>
      </c>
      <c r="N7151" s="9">
        <v>1.2967999999999999E-4</v>
      </c>
      <c r="O7151" s="9">
        <v>1.6532E-4</v>
      </c>
      <c r="P7151" s="9">
        <v>1.3548E-4</v>
      </c>
      <c r="Q7151" s="9">
        <v>1.0753E-4</v>
      </c>
      <c r="R7151" s="10">
        <v>2.7788595405823105E-6</v>
      </c>
      <c r="S7151" s="10">
        <v>1.0641944615722209E-5</v>
      </c>
      <c r="T7151" s="10">
        <v>0</v>
      </c>
      <c r="U7151" s="10">
        <v>7.0989999999999996E-5</v>
      </c>
      <c r="V7151" s="25"/>
      <c r="W7151" s="25"/>
      <c r="X7151" s="25"/>
      <c r="Y7151" s="25"/>
      <c r="Z7151" s="25"/>
      <c r="AA7151" s="25"/>
    </row>
    <row r="7152" spans="1:27" x14ac:dyDescent="0.35">
      <c r="A7152" s="5">
        <v>7148</v>
      </c>
      <c r="B7152" s="5">
        <v>298</v>
      </c>
      <c r="C7152" s="5">
        <v>10</v>
      </c>
      <c r="D7152" s="25">
        <v>1.1415000000000001E-4</v>
      </c>
      <c r="E7152" s="25">
        <v>1.1639E-4</v>
      </c>
      <c r="F7152" s="25">
        <v>1.1987E-4</v>
      </c>
      <c r="G7152" s="25">
        <v>1.0474E-4</v>
      </c>
      <c r="H7152" s="25">
        <v>1.3563E-4</v>
      </c>
      <c r="I7152" s="9">
        <v>1.3212E-4</v>
      </c>
      <c r="J7152" s="9">
        <v>1.3526E-4</v>
      </c>
      <c r="K7152" s="9">
        <v>1.06E-5</v>
      </c>
      <c r="L7152" s="9">
        <v>1.7450000000000001E-4</v>
      </c>
      <c r="M7152" s="9">
        <v>1.5082999999999999E-4</v>
      </c>
      <c r="N7152" s="9">
        <v>1.2079E-4</v>
      </c>
      <c r="O7152" s="9">
        <v>1.2763999999999999E-4</v>
      </c>
      <c r="P7152" s="9">
        <v>1.136E-4</v>
      </c>
      <c r="Q7152" s="9">
        <v>1.0077E-4</v>
      </c>
      <c r="R7152" s="10">
        <v>9.2838287168742739E-6</v>
      </c>
      <c r="S7152" s="10">
        <v>1.0475899605710011E-5</v>
      </c>
      <c r="T7152" s="10">
        <v>0</v>
      </c>
      <c r="U7152" s="10">
        <v>7.0989999999999996E-5</v>
      </c>
      <c r="V7152" s="25"/>
      <c r="W7152" s="25"/>
      <c r="X7152" s="25"/>
      <c r="Y7152" s="25"/>
      <c r="Z7152" s="25"/>
      <c r="AA7152" s="25"/>
    </row>
    <row r="7153" spans="1:27" x14ac:dyDescent="0.35">
      <c r="A7153" s="5">
        <v>7149</v>
      </c>
      <c r="B7153" s="5">
        <v>298</v>
      </c>
      <c r="C7153" s="5">
        <v>10</v>
      </c>
      <c r="D7153" s="25">
        <v>1.1416E-4</v>
      </c>
      <c r="E7153" s="25">
        <v>1.1576E-4</v>
      </c>
      <c r="F7153" s="25">
        <v>1.0124E-4</v>
      </c>
      <c r="G7153" s="25">
        <v>6.3440000000000002E-5</v>
      </c>
      <c r="H7153" s="25">
        <v>7.3430000000000007E-5</v>
      </c>
      <c r="I7153" s="9">
        <v>1.2494000000000001E-4</v>
      </c>
      <c r="J7153" s="9">
        <v>1.2669999999999999E-4</v>
      </c>
      <c r="K7153" s="9">
        <v>1.696E-5</v>
      </c>
      <c r="L7153" s="9">
        <v>1.3893999999999999E-4</v>
      </c>
      <c r="M7153" s="9">
        <v>1.3507999999999999E-4</v>
      </c>
      <c r="N7153" s="9">
        <v>1.1294999999999999E-4</v>
      </c>
      <c r="O7153" s="9">
        <v>8.4309999999999997E-5</v>
      </c>
      <c r="P7153" s="9">
        <v>8.5829999999999996E-5</v>
      </c>
      <c r="Q7153" s="9">
        <v>8.7819999999999996E-5</v>
      </c>
      <c r="R7153" s="10">
        <v>2.1264392499890105E-5</v>
      </c>
      <c r="S7153" s="10">
        <v>1.6627833987786002E-5</v>
      </c>
      <c r="T7153" s="10">
        <v>0</v>
      </c>
      <c r="U7153" s="10">
        <v>7.0989999999999996E-5</v>
      </c>
      <c r="V7153" s="25"/>
      <c r="W7153" s="25"/>
      <c r="X7153" s="25"/>
      <c r="Y7153" s="25"/>
      <c r="Z7153" s="25"/>
      <c r="AA7153" s="25"/>
    </row>
    <row r="7154" spans="1:27" x14ac:dyDescent="0.35">
      <c r="A7154" s="5">
        <v>7150</v>
      </c>
      <c r="B7154" s="5">
        <v>298</v>
      </c>
      <c r="C7154" s="5">
        <v>10</v>
      </c>
      <c r="D7154" s="25">
        <v>1.1415000000000001E-4</v>
      </c>
      <c r="E7154" s="25">
        <v>1.1993E-4</v>
      </c>
      <c r="F7154" s="25">
        <v>1.1588E-4</v>
      </c>
      <c r="G7154" s="25">
        <v>5.6289999999999998E-5</v>
      </c>
      <c r="H7154" s="25">
        <v>6.6950000000000001E-5</v>
      </c>
      <c r="I7154" s="9">
        <v>1.2415000000000001E-4</v>
      </c>
      <c r="J7154" s="9">
        <v>1.1768E-4</v>
      </c>
      <c r="K7154" s="9">
        <v>2.332E-5</v>
      </c>
      <c r="L7154" s="9">
        <v>9.7299999999999993E-5</v>
      </c>
      <c r="M7154" s="9">
        <v>1.1327E-4</v>
      </c>
      <c r="N7154" s="9">
        <v>1.0532E-4</v>
      </c>
      <c r="O7154" s="9">
        <v>8.8389999999999999E-5</v>
      </c>
      <c r="P7154" s="9">
        <v>8.852E-5</v>
      </c>
      <c r="Q7154" s="9">
        <v>8.9170000000000002E-5</v>
      </c>
      <c r="R7154" s="10">
        <v>3.7580137633141391E-5</v>
      </c>
      <c r="S7154" s="10">
        <v>2.1486688647925662E-5</v>
      </c>
      <c r="T7154" s="10">
        <v>0</v>
      </c>
      <c r="U7154" s="10">
        <v>7.0989999999999996E-5</v>
      </c>
      <c r="V7154" s="25"/>
      <c r="W7154" s="25"/>
      <c r="X7154" s="25"/>
      <c r="Y7154" s="25"/>
      <c r="Z7154" s="25"/>
      <c r="AA7154" s="25"/>
    </row>
    <row r="7155" spans="1:27" x14ac:dyDescent="0.35">
      <c r="A7155" s="5">
        <v>7151</v>
      </c>
      <c r="B7155" s="5">
        <v>298</v>
      </c>
      <c r="C7155" s="5">
        <v>10</v>
      </c>
      <c r="D7155" s="25">
        <v>1.1416E-4</v>
      </c>
      <c r="E7155" s="25">
        <v>1.1904999999999999E-4</v>
      </c>
      <c r="F7155" s="25">
        <v>1.1118E-4</v>
      </c>
      <c r="G7155" s="25">
        <v>5.52E-5</v>
      </c>
      <c r="H7155" s="25">
        <v>7.0599999999999995E-5</v>
      </c>
      <c r="I7155" s="9">
        <v>1.2162E-4</v>
      </c>
      <c r="J7155" s="9">
        <v>1.0903E-4</v>
      </c>
      <c r="K7155" s="9">
        <v>2.3309999999999999E-5</v>
      </c>
      <c r="L7155" s="9">
        <v>9.1279999999999993E-5</v>
      </c>
      <c r="M7155" s="9">
        <v>9.9019999999999997E-5</v>
      </c>
      <c r="N7155" s="9">
        <v>9.9779999999999997E-5</v>
      </c>
      <c r="O7155" s="9">
        <v>7.7260000000000002E-5</v>
      </c>
      <c r="P7155" s="9">
        <v>7.1550000000000004E-5</v>
      </c>
      <c r="Q7155" s="9">
        <v>6.6340000000000005E-5</v>
      </c>
      <c r="R7155" s="10">
        <v>4.4759698295916854E-5</v>
      </c>
      <c r="S7155" s="10">
        <v>3.0627397784446702E-5</v>
      </c>
      <c r="T7155" s="10">
        <v>0</v>
      </c>
      <c r="U7155" s="10">
        <v>7.0989999999999996E-5</v>
      </c>
      <c r="V7155" s="25"/>
      <c r="W7155" s="25"/>
      <c r="X7155" s="25"/>
      <c r="Y7155" s="25"/>
      <c r="Z7155" s="25"/>
      <c r="AA7155" s="25"/>
    </row>
    <row r="7156" spans="1:27" x14ac:dyDescent="0.35">
      <c r="A7156" s="5">
        <v>7152</v>
      </c>
      <c r="B7156" s="5">
        <v>298</v>
      </c>
      <c r="C7156" s="5">
        <v>10</v>
      </c>
      <c r="D7156" s="25">
        <v>1.1415000000000001E-4</v>
      </c>
      <c r="E7156" s="25">
        <v>1.2162E-4</v>
      </c>
      <c r="F7156" s="25">
        <v>1.0259000000000001E-4</v>
      </c>
      <c r="G7156" s="25">
        <v>5.359E-5</v>
      </c>
      <c r="H7156" s="25">
        <v>7.224E-5</v>
      </c>
      <c r="I7156" s="9">
        <v>1.1372E-4</v>
      </c>
      <c r="J7156" s="9">
        <v>1.0103E-4</v>
      </c>
      <c r="K7156" s="9">
        <v>3.1789999999999999E-5</v>
      </c>
      <c r="L7156" s="9">
        <v>8.0290000000000005E-5</v>
      </c>
      <c r="M7156" s="9">
        <v>8.6039999999999996E-5</v>
      </c>
      <c r="N7156" s="9">
        <v>9.0409999999999997E-5</v>
      </c>
      <c r="O7156" s="9">
        <v>6.2799999999999995E-5</v>
      </c>
      <c r="P7156" s="9">
        <v>6.071E-5</v>
      </c>
      <c r="Q7156" s="9">
        <v>5.889E-5</v>
      </c>
      <c r="R7156" s="10">
        <v>4.6060999673754369E-5</v>
      </c>
      <c r="S7156" s="10">
        <v>3.848896704526996E-5</v>
      </c>
      <c r="T7156" s="10">
        <v>0</v>
      </c>
      <c r="U7156" s="10">
        <v>7.0989999999999996E-5</v>
      </c>
      <c r="V7156" s="25"/>
      <c r="W7156" s="25"/>
      <c r="X7156" s="25"/>
      <c r="Y7156" s="25"/>
      <c r="Z7156" s="25"/>
      <c r="AA7156" s="25"/>
    </row>
    <row r="7157" spans="1:27" x14ac:dyDescent="0.35">
      <c r="A7157" s="5">
        <v>7153</v>
      </c>
      <c r="B7157" s="5">
        <v>299</v>
      </c>
      <c r="C7157" s="5">
        <v>10</v>
      </c>
      <c r="D7157" s="25">
        <v>1.1416E-4</v>
      </c>
      <c r="E7157" s="25">
        <v>1.1616999999999999E-4</v>
      </c>
      <c r="F7157" s="25">
        <v>1.2739000000000001E-4</v>
      </c>
      <c r="G7157" s="25">
        <v>5.2939999999999998E-5</v>
      </c>
      <c r="H7157" s="25">
        <v>7.2830000000000006E-5</v>
      </c>
      <c r="I7157" s="9">
        <v>1.0781E-4</v>
      </c>
      <c r="J7157" s="9">
        <v>9.5420000000000005E-5</v>
      </c>
      <c r="K7157" s="9">
        <v>3.8149999999999999E-5</v>
      </c>
      <c r="L7157" s="9">
        <v>6.6680000000000005E-5</v>
      </c>
      <c r="M7157" s="9">
        <v>7.3910000000000002E-5</v>
      </c>
      <c r="N7157" s="9">
        <v>8.1030000000000002E-5</v>
      </c>
      <c r="O7157" s="9">
        <v>5.4639999999999999E-5</v>
      </c>
      <c r="P7157" s="9">
        <v>5.4060000000000001E-5</v>
      </c>
      <c r="Q7157" s="9">
        <v>5.363E-5</v>
      </c>
      <c r="R7157" s="10">
        <v>4.1533129001940969E-5</v>
      </c>
      <c r="S7157" s="10">
        <v>4.3849680464444123E-5</v>
      </c>
      <c r="T7157" s="10">
        <v>0</v>
      </c>
      <c r="U7157" s="10">
        <v>7.2979999999999996E-5</v>
      </c>
      <c r="V7157" s="25"/>
      <c r="W7157" s="25"/>
      <c r="X7157" s="25"/>
      <c r="Y7157" s="25"/>
      <c r="Z7157" s="25"/>
      <c r="AA7157" s="25"/>
    </row>
    <row r="7158" spans="1:27" x14ac:dyDescent="0.35">
      <c r="A7158" s="5">
        <v>7154</v>
      </c>
      <c r="B7158" s="5">
        <v>299</v>
      </c>
      <c r="C7158" s="5">
        <v>10</v>
      </c>
      <c r="D7158" s="25">
        <v>1.1415000000000001E-4</v>
      </c>
      <c r="E7158" s="25">
        <v>1.1573E-4</v>
      </c>
      <c r="F7158" s="25">
        <v>1.3872E-4</v>
      </c>
      <c r="G7158" s="25">
        <v>5.9719999999999997E-5</v>
      </c>
      <c r="H7158" s="25">
        <v>7.2659999999999999E-5</v>
      </c>
      <c r="I7158" s="9">
        <v>1.0370999999999999E-4</v>
      </c>
      <c r="J7158" s="9">
        <v>9.2979999999999994E-5</v>
      </c>
      <c r="K7158" s="9">
        <v>4.4499999999999997E-5</v>
      </c>
      <c r="L7158" s="9">
        <v>5.7670000000000002E-5</v>
      </c>
      <c r="M7158" s="9">
        <v>6.3880000000000005E-5</v>
      </c>
      <c r="N7158" s="9">
        <v>7.203E-5</v>
      </c>
      <c r="O7158" s="9">
        <v>1.893E-5</v>
      </c>
      <c r="P7158" s="9">
        <v>3.8099999999999998E-5</v>
      </c>
      <c r="Q7158" s="9">
        <v>5.6700000000000003E-5</v>
      </c>
      <c r="R7158" s="10">
        <v>6.1118049170549461E-5</v>
      </c>
      <c r="S7158" s="10">
        <v>4.803532837310314E-5</v>
      </c>
      <c r="T7158" s="10">
        <v>0</v>
      </c>
      <c r="U7158" s="10">
        <v>7.2979999999999996E-5</v>
      </c>
      <c r="V7158" s="25"/>
      <c r="W7158" s="25"/>
      <c r="X7158" s="25"/>
      <c r="Y7158" s="25"/>
      <c r="Z7158" s="25"/>
      <c r="AA7158" s="25"/>
    </row>
    <row r="7159" spans="1:27" x14ac:dyDescent="0.35">
      <c r="A7159" s="5">
        <v>7155</v>
      </c>
      <c r="B7159" s="5">
        <v>299</v>
      </c>
      <c r="C7159" s="5">
        <v>10</v>
      </c>
      <c r="D7159" s="25">
        <v>1.1416E-4</v>
      </c>
      <c r="E7159" s="25">
        <v>1.1805E-4</v>
      </c>
      <c r="F7159" s="25">
        <v>1.3295000000000001E-4</v>
      </c>
      <c r="G7159" s="25">
        <v>5.7089999999999997E-5</v>
      </c>
      <c r="H7159" s="25">
        <v>6.7860000000000004E-5</v>
      </c>
      <c r="I7159" s="9">
        <v>1.0156E-4</v>
      </c>
      <c r="J7159" s="9">
        <v>9.2460000000000006E-5</v>
      </c>
      <c r="K7159" s="9">
        <v>5.2989999999999999E-5</v>
      </c>
      <c r="L7159" s="9">
        <v>2.7650000000000001E-5</v>
      </c>
      <c r="M7159" s="9">
        <v>5.2330000000000002E-5</v>
      </c>
      <c r="N7159" s="9">
        <v>6.5610000000000004E-5</v>
      </c>
      <c r="O7159" s="9">
        <v>1.3159999999999999E-5</v>
      </c>
      <c r="P7159" s="9">
        <v>3.7459999999999997E-5</v>
      </c>
      <c r="Q7159" s="9">
        <v>6.1050000000000007E-5</v>
      </c>
      <c r="R7159" s="10">
        <v>1.001979878089558E-4</v>
      </c>
      <c r="S7159" s="10">
        <v>4.9936149575417208E-5</v>
      </c>
      <c r="T7159" s="10">
        <v>0</v>
      </c>
      <c r="U7159" s="10">
        <v>7.2979999999999996E-5</v>
      </c>
      <c r="V7159" s="25"/>
      <c r="W7159" s="25"/>
      <c r="X7159" s="25"/>
      <c r="Y7159" s="25"/>
      <c r="Z7159" s="25"/>
      <c r="AA7159" s="25"/>
    </row>
    <row r="7160" spans="1:27" x14ac:dyDescent="0.35">
      <c r="A7160" s="5">
        <v>7156</v>
      </c>
      <c r="B7160" s="5">
        <v>299</v>
      </c>
      <c r="C7160" s="5">
        <v>10</v>
      </c>
      <c r="D7160" s="25">
        <v>1.1415000000000001E-4</v>
      </c>
      <c r="E7160" s="25">
        <v>1.1932E-4</v>
      </c>
      <c r="F7160" s="25">
        <v>1.2732999999999999E-4</v>
      </c>
      <c r="G7160" s="25">
        <v>5.4629999999999997E-5</v>
      </c>
      <c r="H7160" s="25">
        <v>7.1660000000000002E-5</v>
      </c>
      <c r="I7160" s="9">
        <v>1.0340000000000001E-4</v>
      </c>
      <c r="J7160" s="9">
        <v>9.2600000000000001E-5</v>
      </c>
      <c r="K7160" s="9">
        <v>5.2979999999999998E-5</v>
      </c>
      <c r="L7160" s="9">
        <v>1.7090000000000001E-5</v>
      </c>
      <c r="M7160" s="9">
        <v>4.422E-5</v>
      </c>
      <c r="N7160" s="9">
        <v>6.1909999999999995E-5</v>
      </c>
      <c r="O7160" s="9">
        <v>1.34E-5</v>
      </c>
      <c r="P7160" s="9">
        <v>4.7679999999999998E-5</v>
      </c>
      <c r="Q7160" s="9">
        <v>8.1089999999999998E-5</v>
      </c>
      <c r="R7160" s="10">
        <v>1.1620445487073095E-4</v>
      </c>
      <c r="S7160" s="10">
        <v>4.9841743068236356E-5</v>
      </c>
      <c r="T7160" s="10">
        <v>0</v>
      </c>
      <c r="U7160" s="10">
        <v>7.2979999999999996E-5</v>
      </c>
      <c r="V7160" s="25"/>
      <c r="W7160" s="25"/>
      <c r="X7160" s="25"/>
      <c r="Y7160" s="25"/>
      <c r="Z7160" s="25"/>
      <c r="AA7160" s="25"/>
    </row>
    <row r="7161" spans="1:27" x14ac:dyDescent="0.35">
      <c r="A7161" s="5">
        <v>7157</v>
      </c>
      <c r="B7161" s="5">
        <v>299</v>
      </c>
      <c r="C7161" s="5">
        <v>10</v>
      </c>
      <c r="D7161" s="25">
        <v>1.1416E-4</v>
      </c>
      <c r="E7161" s="25">
        <v>1.1723E-4</v>
      </c>
      <c r="F7161" s="25">
        <v>1.3454E-4</v>
      </c>
      <c r="G7161" s="25">
        <v>6.2329999999999994E-5</v>
      </c>
      <c r="H7161" s="25">
        <v>7.4239999999999994E-5</v>
      </c>
      <c r="I7161" s="9">
        <v>1.0971E-4</v>
      </c>
      <c r="J7161" s="9">
        <v>9.5179999999999993E-5</v>
      </c>
      <c r="K7161" s="9">
        <v>7.4179999999999998E-5</v>
      </c>
      <c r="L7161" s="9">
        <v>1.446E-5</v>
      </c>
      <c r="M7161" s="9">
        <v>4.3630000000000001E-5</v>
      </c>
      <c r="N7161" s="9">
        <v>6.4620000000000001E-5</v>
      </c>
      <c r="O7161" s="9">
        <v>1.8689999999999999E-5</v>
      </c>
      <c r="P7161" s="9">
        <v>5.6400000000000002E-5</v>
      </c>
      <c r="Q7161" s="9">
        <v>9.3259999999999998E-5</v>
      </c>
      <c r="R7161" s="10">
        <v>1.2221250441295565E-4</v>
      </c>
      <c r="S7161" s="10">
        <v>5.0286563989480422E-5</v>
      </c>
      <c r="T7161" s="10">
        <v>0</v>
      </c>
      <c r="U7161" s="10">
        <v>7.2979999999999996E-5</v>
      </c>
      <c r="V7161" s="25"/>
      <c r="W7161" s="25"/>
      <c r="X7161" s="25"/>
      <c r="Y7161" s="25"/>
      <c r="Z7161" s="25"/>
      <c r="AA7161" s="25"/>
    </row>
    <row r="7162" spans="1:27" x14ac:dyDescent="0.35">
      <c r="A7162" s="5">
        <v>7158</v>
      </c>
      <c r="B7162" s="5">
        <v>299</v>
      </c>
      <c r="C7162" s="5">
        <v>10</v>
      </c>
      <c r="D7162" s="25">
        <v>1.1415000000000001E-4</v>
      </c>
      <c r="E7162" s="25">
        <v>1.1518000000000001E-4</v>
      </c>
      <c r="F7162" s="25">
        <v>1.2498000000000001E-4</v>
      </c>
      <c r="G7162" s="25">
        <v>1.0478E-4</v>
      </c>
      <c r="H7162" s="25">
        <v>1.2878999999999999E-4</v>
      </c>
      <c r="I7162" s="9">
        <v>1.2271999999999999E-4</v>
      </c>
      <c r="J7162" s="9">
        <v>1.0438999999999999E-4</v>
      </c>
      <c r="K7162" s="9">
        <v>5.5099999999999998E-5</v>
      </c>
      <c r="L7162" s="9">
        <v>1.7620000000000001E-5</v>
      </c>
      <c r="M7162" s="9">
        <v>4.8430000000000002E-5</v>
      </c>
      <c r="N7162" s="9">
        <v>7.1069999999999995E-5</v>
      </c>
      <c r="O7162" s="9">
        <v>4.5949999999999999E-5</v>
      </c>
      <c r="P7162" s="9">
        <v>7.6320000000000001E-5</v>
      </c>
      <c r="Q7162" s="9">
        <v>1.0628000000000001E-4</v>
      </c>
      <c r="R7162" s="10">
        <v>1.2481242164789425E-4</v>
      </c>
      <c r="S7162" s="10">
        <v>5.1624258855461784E-5</v>
      </c>
      <c r="T7162" s="10">
        <v>0</v>
      </c>
      <c r="U7162" s="10">
        <v>7.2979999999999996E-5</v>
      </c>
      <c r="V7162" s="25"/>
      <c r="W7162" s="25"/>
      <c r="X7162" s="25"/>
      <c r="Y7162" s="25"/>
      <c r="Z7162" s="25"/>
      <c r="AA7162" s="25"/>
    </row>
    <row r="7163" spans="1:27" x14ac:dyDescent="0.35">
      <c r="A7163" s="5">
        <v>7159</v>
      </c>
      <c r="B7163" s="5">
        <v>299</v>
      </c>
      <c r="C7163" s="5">
        <v>10</v>
      </c>
      <c r="D7163" s="25">
        <v>1.1416E-4</v>
      </c>
      <c r="E7163" s="25">
        <v>1.2360999999999999E-4</v>
      </c>
      <c r="F7163" s="25">
        <v>1.2572000000000001E-4</v>
      </c>
      <c r="G7163" s="25">
        <v>1.1047E-4</v>
      </c>
      <c r="H7163" s="25">
        <v>1.2980000000000001E-4</v>
      </c>
      <c r="I7163" s="9">
        <v>1.3493000000000001E-4</v>
      </c>
      <c r="J7163" s="9">
        <v>1.2226000000000001E-4</v>
      </c>
      <c r="K7163" s="9">
        <v>5.2979999999999998E-5</v>
      </c>
      <c r="L7163" s="9">
        <v>3.9570000000000002E-5</v>
      </c>
      <c r="M7163" s="9">
        <v>5.9830000000000001E-5</v>
      </c>
      <c r="N7163" s="9">
        <v>8.0589999999999999E-5</v>
      </c>
      <c r="O7163" s="9">
        <v>1.228E-4</v>
      </c>
      <c r="P7163" s="9">
        <v>1.1684999999999999E-4</v>
      </c>
      <c r="Q7163" s="9">
        <v>1.1192999999999999E-4</v>
      </c>
      <c r="R7163" s="10">
        <v>1.2749975441633948E-4</v>
      </c>
      <c r="S7163" s="10">
        <v>6.1468132111906255E-5</v>
      </c>
      <c r="T7163" s="10">
        <v>0</v>
      </c>
      <c r="U7163" s="10">
        <v>7.2979999999999996E-5</v>
      </c>
      <c r="V7163" s="25"/>
      <c r="W7163" s="25"/>
      <c r="X7163" s="25"/>
      <c r="Y7163" s="25"/>
      <c r="Z7163" s="25"/>
      <c r="AA7163" s="25"/>
    </row>
    <row r="7164" spans="1:27" x14ac:dyDescent="0.35">
      <c r="A7164" s="5">
        <v>7160</v>
      </c>
      <c r="B7164" s="5">
        <v>299</v>
      </c>
      <c r="C7164" s="5">
        <v>10</v>
      </c>
      <c r="D7164" s="25">
        <v>1.1415000000000001E-4</v>
      </c>
      <c r="E7164" s="25">
        <v>1.2008E-4</v>
      </c>
      <c r="F7164" s="25">
        <v>1.2936999999999999E-4</v>
      </c>
      <c r="G7164" s="25">
        <v>1.6616999999999999E-4</v>
      </c>
      <c r="H7164" s="25">
        <v>1.9348999999999999E-4</v>
      </c>
      <c r="I7164" s="9">
        <v>1.3724000000000001E-4</v>
      </c>
      <c r="J7164" s="9">
        <v>1.3645000000000001E-4</v>
      </c>
      <c r="K7164" s="9">
        <v>3.3909999999999999E-5</v>
      </c>
      <c r="L7164" s="9">
        <v>1.0387000000000001E-4</v>
      </c>
      <c r="M7164" s="9">
        <v>8.3289999999999997E-5</v>
      </c>
      <c r="N7164" s="9">
        <v>9.056E-5</v>
      </c>
      <c r="O7164" s="9">
        <v>2.1976999999999999E-4</v>
      </c>
      <c r="P7164" s="9">
        <v>1.7682E-4</v>
      </c>
      <c r="Q7164" s="9">
        <v>1.3658999999999999E-4</v>
      </c>
      <c r="R7164" s="10">
        <v>1.2639055085134117E-4</v>
      </c>
      <c r="S7164" s="10">
        <v>7.5628479340745605E-5</v>
      </c>
      <c r="T7164" s="10">
        <v>8.8660928208989293E-6</v>
      </c>
      <c r="U7164" s="10">
        <v>7.2979999999999996E-5</v>
      </c>
      <c r="V7164" s="25"/>
      <c r="W7164" s="25"/>
      <c r="X7164" s="25"/>
      <c r="Y7164" s="25"/>
      <c r="Z7164" s="25"/>
      <c r="AA7164" s="25"/>
    </row>
    <row r="7165" spans="1:27" x14ac:dyDescent="0.35">
      <c r="A7165" s="5">
        <v>7161</v>
      </c>
      <c r="B7165" s="5">
        <v>299</v>
      </c>
      <c r="C7165" s="5">
        <v>10</v>
      </c>
      <c r="D7165" s="25">
        <v>1.1416E-4</v>
      </c>
      <c r="E7165" s="25">
        <v>1.21E-4</v>
      </c>
      <c r="F7165" s="25">
        <v>1.2277999999999999E-4</v>
      </c>
      <c r="G7165" s="25">
        <v>1.6093999999999999E-4</v>
      </c>
      <c r="H7165" s="25">
        <v>1.9773999999999999E-4</v>
      </c>
      <c r="I7165" s="9">
        <v>1.3838000000000001E-4</v>
      </c>
      <c r="J7165" s="9">
        <v>1.3961999999999999E-4</v>
      </c>
      <c r="K7165" s="9">
        <v>0</v>
      </c>
      <c r="L7165" s="9">
        <v>1.9251000000000001E-4</v>
      </c>
      <c r="M7165" s="9">
        <v>1.2302999999999999E-4</v>
      </c>
      <c r="N7165" s="9">
        <v>1.043E-4</v>
      </c>
      <c r="O7165" s="9">
        <v>2.1164999999999999E-4</v>
      </c>
      <c r="P7165" s="9">
        <v>1.9314000000000001E-4</v>
      </c>
      <c r="Q7165" s="9">
        <v>1.7688E-4</v>
      </c>
      <c r="R7165" s="10">
        <v>1.3791755388133117E-4</v>
      </c>
      <c r="S7165" s="10">
        <v>9.2012357893705963E-5</v>
      </c>
      <c r="T7165" s="10">
        <v>2.4000386001683154E-4</v>
      </c>
      <c r="U7165" s="10">
        <v>7.2979999999999996E-5</v>
      </c>
      <c r="V7165" s="25"/>
      <c r="W7165" s="25"/>
      <c r="X7165" s="25"/>
      <c r="Y7165" s="25"/>
      <c r="Z7165" s="25"/>
      <c r="AA7165" s="25"/>
    </row>
    <row r="7166" spans="1:27" x14ac:dyDescent="0.35">
      <c r="A7166" s="5">
        <v>7162</v>
      </c>
      <c r="B7166" s="5">
        <v>299</v>
      </c>
      <c r="C7166" s="5">
        <v>10</v>
      </c>
      <c r="D7166" s="25">
        <v>1.1415000000000001E-4</v>
      </c>
      <c r="E7166" s="25">
        <v>1.1427E-4</v>
      </c>
      <c r="F7166" s="25">
        <v>1.2992E-4</v>
      </c>
      <c r="G7166" s="25">
        <v>1.6698E-4</v>
      </c>
      <c r="H7166" s="25">
        <v>1.9390999999999999E-4</v>
      </c>
      <c r="I7166" s="9">
        <v>1.3868999999999999E-4</v>
      </c>
      <c r="J7166" s="9">
        <v>1.4121000000000001E-4</v>
      </c>
      <c r="K7166" s="9">
        <v>0</v>
      </c>
      <c r="L7166" s="9">
        <v>2.0510999999999999E-4</v>
      </c>
      <c r="M7166" s="9">
        <v>1.5835999999999999E-4</v>
      </c>
      <c r="N7166" s="9">
        <v>1.2433E-4</v>
      </c>
      <c r="O7166" s="9">
        <v>1.6866E-4</v>
      </c>
      <c r="P7166" s="9">
        <v>1.7536E-4</v>
      </c>
      <c r="Q7166" s="9">
        <v>1.8343E-4</v>
      </c>
      <c r="R7166" s="10">
        <v>1.4317013493787259E-4</v>
      </c>
      <c r="S7166" s="10">
        <v>1.0416534755418285E-4</v>
      </c>
      <c r="T7166" s="10">
        <v>3.8651922549444261E-4</v>
      </c>
      <c r="U7166" s="10">
        <v>7.2979999999999996E-5</v>
      </c>
      <c r="V7166" s="25"/>
      <c r="W7166" s="25"/>
      <c r="X7166" s="25"/>
      <c r="Y7166" s="25"/>
      <c r="Z7166" s="25"/>
      <c r="AA7166" s="25"/>
    </row>
    <row r="7167" spans="1:27" x14ac:dyDescent="0.35">
      <c r="A7167" s="5">
        <v>7163</v>
      </c>
      <c r="B7167" s="5">
        <v>299</v>
      </c>
      <c r="C7167" s="5">
        <v>10</v>
      </c>
      <c r="D7167" s="25">
        <v>1.1416E-4</v>
      </c>
      <c r="E7167" s="25">
        <v>1.1958E-4</v>
      </c>
      <c r="F7167" s="25">
        <v>1.383E-4</v>
      </c>
      <c r="G7167" s="25">
        <v>1.6666000000000001E-4</v>
      </c>
      <c r="H7167" s="25">
        <v>1.9629000000000001E-4</v>
      </c>
      <c r="I7167" s="9">
        <v>1.4006000000000001E-4</v>
      </c>
      <c r="J7167" s="9">
        <v>1.4080000000000001E-4</v>
      </c>
      <c r="K7167" s="9">
        <v>0</v>
      </c>
      <c r="L7167" s="9">
        <v>1.7673999999999999E-4</v>
      </c>
      <c r="M7167" s="9">
        <v>1.7265999999999999E-4</v>
      </c>
      <c r="N7167" s="9">
        <v>1.4275E-4</v>
      </c>
      <c r="O7167" s="9">
        <v>1.6698E-4</v>
      </c>
      <c r="P7167" s="9">
        <v>1.7228E-4</v>
      </c>
      <c r="Q7167" s="9">
        <v>1.7893999999999999E-4</v>
      </c>
      <c r="R7167" s="10">
        <v>1.1883726233002589E-4</v>
      </c>
      <c r="S7167" s="10">
        <v>1.1296963227449949E-4</v>
      </c>
      <c r="T7167" s="10">
        <v>5.2624715149193974E-4</v>
      </c>
      <c r="U7167" s="10">
        <v>7.2979999999999996E-5</v>
      </c>
      <c r="V7167" s="25"/>
      <c r="W7167" s="25"/>
      <c r="X7167" s="25"/>
      <c r="Y7167" s="25"/>
      <c r="Z7167" s="25"/>
      <c r="AA7167" s="25"/>
    </row>
    <row r="7168" spans="1:27" x14ac:dyDescent="0.35">
      <c r="A7168" s="5">
        <v>7164</v>
      </c>
      <c r="B7168" s="5">
        <v>299</v>
      </c>
      <c r="C7168" s="5">
        <v>10</v>
      </c>
      <c r="D7168" s="25">
        <v>1.1415000000000001E-4</v>
      </c>
      <c r="E7168" s="25">
        <v>1.1972999999999999E-4</v>
      </c>
      <c r="F7168" s="25">
        <v>1.1765E-4</v>
      </c>
      <c r="G7168" s="25">
        <v>1.6508000000000001E-4</v>
      </c>
      <c r="H7168" s="25">
        <v>2.0121000000000001E-4</v>
      </c>
      <c r="I7168" s="9">
        <v>1.3538999999999999E-4</v>
      </c>
      <c r="J7168" s="9">
        <v>1.3892E-4</v>
      </c>
      <c r="K7168" s="9">
        <v>0</v>
      </c>
      <c r="L7168" s="9">
        <v>1.7051999999999999E-4</v>
      </c>
      <c r="M7168" s="9">
        <v>1.75E-4</v>
      </c>
      <c r="N7168" s="9">
        <v>1.5677000000000001E-4</v>
      </c>
      <c r="O7168" s="9">
        <v>1.6878999999999999E-4</v>
      </c>
      <c r="P7168" s="9">
        <v>1.6998999999999999E-4</v>
      </c>
      <c r="Q7168" s="9">
        <v>1.7264E-4</v>
      </c>
      <c r="R7168" s="10">
        <v>7.324442181628556E-5</v>
      </c>
      <c r="S7168" s="10">
        <v>1.0484583909884985E-4</v>
      </c>
      <c r="T7168" s="10">
        <v>5.6010799019835843E-4</v>
      </c>
      <c r="U7168" s="10">
        <v>7.2979999999999996E-5</v>
      </c>
      <c r="V7168" s="25"/>
      <c r="W7168" s="25"/>
      <c r="X7168" s="25"/>
      <c r="Y7168" s="25"/>
      <c r="Z7168" s="25"/>
      <c r="AA7168" s="25"/>
    </row>
    <row r="7169" spans="1:27" x14ac:dyDescent="0.35">
      <c r="A7169" s="5">
        <v>7165</v>
      </c>
      <c r="B7169" s="5">
        <v>299</v>
      </c>
      <c r="C7169" s="5">
        <v>10</v>
      </c>
      <c r="D7169" s="25">
        <v>1.1416E-4</v>
      </c>
      <c r="E7169" s="25">
        <v>1.1794999999999999E-4</v>
      </c>
      <c r="F7169" s="25">
        <v>1.2941E-4</v>
      </c>
      <c r="G7169" s="25">
        <v>1.6305000000000001E-4</v>
      </c>
      <c r="H7169" s="25">
        <v>1.9661E-4</v>
      </c>
      <c r="I7169" s="9">
        <v>1.3592000000000001E-4</v>
      </c>
      <c r="J7169" s="9">
        <v>1.3815999999999999E-4</v>
      </c>
      <c r="K7169" s="9">
        <v>0</v>
      </c>
      <c r="L7169" s="9">
        <v>1.6937000000000001E-4</v>
      </c>
      <c r="M7169" s="9">
        <v>1.7328999999999999E-4</v>
      </c>
      <c r="N7169" s="9">
        <v>1.6594E-4</v>
      </c>
      <c r="O7169" s="9">
        <v>1.6333E-4</v>
      </c>
      <c r="P7169" s="9">
        <v>1.6538999999999999E-4</v>
      </c>
      <c r="Q7169" s="9">
        <v>1.6882E-4</v>
      </c>
      <c r="R7169" s="10">
        <v>5.6832239549168764E-5</v>
      </c>
      <c r="S7169" s="10">
        <v>9.9836522590110045E-5</v>
      </c>
      <c r="T7169" s="10">
        <v>5.484251099932123E-4</v>
      </c>
      <c r="U7169" s="10">
        <v>7.2979999999999996E-5</v>
      </c>
      <c r="V7169" s="25"/>
      <c r="W7169" s="25"/>
      <c r="X7169" s="25"/>
      <c r="Y7169" s="25"/>
      <c r="Z7169" s="25"/>
      <c r="AA7169" s="25"/>
    </row>
    <row r="7170" spans="1:27" x14ac:dyDescent="0.35">
      <c r="A7170" s="5">
        <v>7166</v>
      </c>
      <c r="B7170" s="5">
        <v>299</v>
      </c>
      <c r="C7170" s="5">
        <v>10</v>
      </c>
      <c r="D7170" s="25">
        <v>1.1415000000000001E-4</v>
      </c>
      <c r="E7170" s="25">
        <v>1.1619E-4</v>
      </c>
      <c r="F7170" s="25">
        <v>1.3934E-4</v>
      </c>
      <c r="G7170" s="25">
        <v>1.6243E-4</v>
      </c>
      <c r="H7170" s="25">
        <v>1.9919E-4</v>
      </c>
      <c r="I7170" s="9">
        <v>1.3185000000000001E-4</v>
      </c>
      <c r="J7170" s="9">
        <v>1.3783999999999999E-4</v>
      </c>
      <c r="K7170" s="9">
        <v>0</v>
      </c>
      <c r="L7170" s="9">
        <v>1.6443999999999999E-4</v>
      </c>
      <c r="M7170" s="9">
        <v>1.6996000000000001E-4</v>
      </c>
      <c r="N7170" s="9">
        <v>1.7058000000000001E-4</v>
      </c>
      <c r="O7170" s="9">
        <v>1.7928E-4</v>
      </c>
      <c r="P7170" s="9">
        <v>1.6949000000000001E-4</v>
      </c>
      <c r="Q7170" s="9">
        <v>1.6143E-4</v>
      </c>
      <c r="R7170" s="10">
        <v>6.1919182637247883E-5</v>
      </c>
      <c r="S7170" s="10">
        <v>9.6816736406085229E-5</v>
      </c>
      <c r="T7170" s="10">
        <v>4.8872109546625937E-4</v>
      </c>
      <c r="U7170" s="10">
        <v>7.2979999999999996E-5</v>
      </c>
      <c r="V7170" s="25"/>
      <c r="W7170" s="25"/>
      <c r="X7170" s="25"/>
      <c r="Y7170" s="25"/>
      <c r="Z7170" s="25"/>
      <c r="AA7170" s="25"/>
    </row>
    <row r="7171" spans="1:27" x14ac:dyDescent="0.35">
      <c r="A7171" s="5">
        <v>7167</v>
      </c>
      <c r="B7171" s="5">
        <v>299</v>
      </c>
      <c r="C7171" s="5">
        <v>10</v>
      </c>
      <c r="D7171" s="25">
        <v>1.1416E-4</v>
      </c>
      <c r="E7171" s="25">
        <v>1.1601E-4</v>
      </c>
      <c r="F7171" s="25">
        <v>1.3652E-4</v>
      </c>
      <c r="G7171" s="25">
        <v>1.5993999999999999E-4</v>
      </c>
      <c r="H7171" s="25">
        <v>1.9154E-4</v>
      </c>
      <c r="I7171" s="9">
        <v>1.3226000000000001E-4</v>
      </c>
      <c r="J7171" s="9">
        <v>1.3704E-4</v>
      </c>
      <c r="K7171" s="9">
        <v>0</v>
      </c>
      <c r="L7171" s="9">
        <v>1.7611999999999999E-4</v>
      </c>
      <c r="M7171" s="9">
        <v>1.6887E-4</v>
      </c>
      <c r="N7171" s="9">
        <v>1.7024E-4</v>
      </c>
      <c r="O7171" s="9">
        <v>1.8467000000000001E-4</v>
      </c>
      <c r="P7171" s="9">
        <v>1.6799999999999999E-4</v>
      </c>
      <c r="Q7171" s="9">
        <v>1.5323999999999999E-4</v>
      </c>
      <c r="R7171" s="10">
        <v>6.7533262521009195E-5</v>
      </c>
      <c r="S7171" s="10">
        <v>9.4061638398050277E-5</v>
      </c>
      <c r="T7171" s="10">
        <v>2.5446110610947439E-4</v>
      </c>
      <c r="U7171" s="10">
        <v>7.2979999999999996E-5</v>
      </c>
      <c r="V7171" s="25"/>
      <c r="W7171" s="25"/>
      <c r="X7171" s="25"/>
      <c r="Y7171" s="25"/>
      <c r="Z7171" s="25"/>
      <c r="AA7171" s="25"/>
    </row>
    <row r="7172" spans="1:27" x14ac:dyDescent="0.35">
      <c r="A7172" s="5">
        <v>7168</v>
      </c>
      <c r="B7172" s="5">
        <v>299</v>
      </c>
      <c r="C7172" s="5">
        <v>10</v>
      </c>
      <c r="D7172" s="25">
        <v>1.1415000000000001E-4</v>
      </c>
      <c r="E7172" s="25">
        <v>1.1441E-4</v>
      </c>
      <c r="F7172" s="25">
        <v>1.3650000000000001E-4</v>
      </c>
      <c r="G7172" s="25">
        <v>1.5841999999999999E-4</v>
      </c>
      <c r="H7172" s="25">
        <v>1.9571000000000001E-4</v>
      </c>
      <c r="I7172" s="9">
        <v>1.3218999999999999E-4</v>
      </c>
      <c r="J7172" s="9">
        <v>1.3737999999999999E-4</v>
      </c>
      <c r="K7172" s="9">
        <v>0</v>
      </c>
      <c r="L7172" s="9">
        <v>1.8248E-4</v>
      </c>
      <c r="M7172" s="9">
        <v>1.6835999999999999E-4</v>
      </c>
      <c r="N7172" s="9">
        <v>1.6646E-4</v>
      </c>
      <c r="O7172" s="9">
        <v>1.9916000000000001E-4</v>
      </c>
      <c r="P7172" s="9">
        <v>1.5360999999999999E-4</v>
      </c>
      <c r="Q7172" s="9">
        <v>1.106E-4</v>
      </c>
      <c r="R7172" s="10">
        <v>8.765788900051752E-5</v>
      </c>
      <c r="S7172" s="10">
        <v>9.6221773223335212E-5</v>
      </c>
      <c r="T7172" s="10">
        <v>1.4121267838377205E-4</v>
      </c>
      <c r="U7172" s="10">
        <v>7.2979999999999996E-5</v>
      </c>
      <c r="V7172" s="25"/>
      <c r="W7172" s="25"/>
      <c r="X7172" s="25"/>
      <c r="Y7172" s="25"/>
      <c r="Z7172" s="25"/>
      <c r="AA7172" s="25"/>
    </row>
    <row r="7173" spans="1:27" x14ac:dyDescent="0.35">
      <c r="A7173" s="5">
        <v>7169</v>
      </c>
      <c r="B7173" s="5">
        <v>299</v>
      </c>
      <c r="C7173" s="5">
        <v>10</v>
      </c>
      <c r="D7173" s="25">
        <v>1.1416E-4</v>
      </c>
      <c r="E7173" s="25">
        <v>1.153E-4</v>
      </c>
      <c r="F7173" s="25">
        <v>1.2459999999999999E-4</v>
      </c>
      <c r="G7173" s="25">
        <v>1.6606999999999999E-4</v>
      </c>
      <c r="H7173" s="25">
        <v>1.9132E-4</v>
      </c>
      <c r="I7173" s="9">
        <v>1.3369E-4</v>
      </c>
      <c r="J7173" s="9">
        <v>1.3962999999999999E-4</v>
      </c>
      <c r="K7173" s="9">
        <v>3.3909999999999999E-5</v>
      </c>
      <c r="L7173" s="9">
        <v>1.9527999999999999E-4</v>
      </c>
      <c r="M7173" s="9">
        <v>1.63E-4</v>
      </c>
      <c r="N7173" s="9">
        <v>1.5291999999999999E-4</v>
      </c>
      <c r="O7173" s="9">
        <v>2.1279E-4</v>
      </c>
      <c r="P7173" s="9">
        <v>1.5818000000000001E-4</v>
      </c>
      <c r="Q7173" s="9">
        <v>1.064E-4</v>
      </c>
      <c r="R7173" s="10">
        <v>1.1348959098764459E-4</v>
      </c>
      <c r="S7173" s="10">
        <v>1.0350059061877704E-4</v>
      </c>
      <c r="T7173" s="10">
        <v>0</v>
      </c>
      <c r="U7173" s="10">
        <v>7.2979999999999996E-5</v>
      </c>
      <c r="V7173" s="25"/>
      <c r="W7173" s="25"/>
      <c r="X7173" s="25"/>
      <c r="Y7173" s="25"/>
      <c r="Z7173" s="25"/>
      <c r="AA7173" s="25"/>
    </row>
    <row r="7174" spans="1:27" x14ac:dyDescent="0.35">
      <c r="A7174" s="5">
        <v>7170</v>
      </c>
      <c r="B7174" s="5">
        <v>299</v>
      </c>
      <c r="C7174" s="5">
        <v>10</v>
      </c>
      <c r="D7174" s="25">
        <v>1.1415000000000001E-4</v>
      </c>
      <c r="E7174" s="25">
        <v>1.208E-4</v>
      </c>
      <c r="F7174" s="25">
        <v>1.3022000000000001E-4</v>
      </c>
      <c r="G7174" s="25">
        <v>1.5614000000000001E-4</v>
      </c>
      <c r="H7174" s="25">
        <v>1.916E-4</v>
      </c>
      <c r="I7174" s="9">
        <v>1.3861E-4</v>
      </c>
      <c r="J7174" s="9">
        <v>1.3986000000000001E-4</v>
      </c>
      <c r="K7174" s="9">
        <v>3.3909999999999999E-5</v>
      </c>
      <c r="L7174" s="9">
        <v>2.0866999999999999E-4</v>
      </c>
      <c r="M7174" s="9">
        <v>1.5977999999999999E-4</v>
      </c>
      <c r="N7174" s="9">
        <v>1.394E-4</v>
      </c>
      <c r="O7174" s="9">
        <v>2.0481000000000001E-4</v>
      </c>
      <c r="P7174" s="9">
        <v>1.5969000000000001E-4</v>
      </c>
      <c r="Q7174" s="9">
        <v>1.1716E-4</v>
      </c>
      <c r="R7174" s="10">
        <v>1.4452139590648855E-4</v>
      </c>
      <c r="S7174" s="10">
        <v>1.2360425644342764E-4</v>
      </c>
      <c r="T7174" s="10">
        <v>0</v>
      </c>
      <c r="U7174" s="10">
        <v>7.2979999999999996E-5</v>
      </c>
      <c r="V7174" s="25"/>
      <c r="W7174" s="25"/>
      <c r="X7174" s="25"/>
      <c r="Y7174" s="25"/>
      <c r="Z7174" s="25"/>
      <c r="AA7174" s="25"/>
    </row>
    <row r="7175" spans="1:27" x14ac:dyDescent="0.35">
      <c r="A7175" s="5">
        <v>7171</v>
      </c>
      <c r="B7175" s="5">
        <v>299</v>
      </c>
      <c r="C7175" s="5">
        <v>10</v>
      </c>
      <c r="D7175" s="25">
        <v>1.1416E-4</v>
      </c>
      <c r="E7175" s="25">
        <v>1.1915E-4</v>
      </c>
      <c r="F7175" s="25">
        <v>1.3239999999999999E-4</v>
      </c>
      <c r="G7175" s="25">
        <v>1.0438999999999999E-4</v>
      </c>
      <c r="H7175" s="25">
        <v>1.3554999999999999E-4</v>
      </c>
      <c r="I7175" s="9">
        <v>1.4001000000000001E-4</v>
      </c>
      <c r="J7175" s="9">
        <v>1.4086E-4</v>
      </c>
      <c r="K7175" s="9">
        <v>4.2389999999999999E-5</v>
      </c>
      <c r="L7175" s="9">
        <v>2.0532999999999999E-4</v>
      </c>
      <c r="M7175" s="9">
        <v>1.5904999999999999E-4</v>
      </c>
      <c r="N7175" s="9">
        <v>1.3012000000000001E-4</v>
      </c>
      <c r="O7175" s="9">
        <v>1.6332E-4</v>
      </c>
      <c r="P7175" s="9">
        <v>1.3384000000000001E-4</v>
      </c>
      <c r="Q7175" s="9">
        <v>1.0623E-4</v>
      </c>
      <c r="R7175" s="10">
        <v>1.707274215753444E-4</v>
      </c>
      <c r="S7175" s="10">
        <v>1.4559733382366982E-4</v>
      </c>
      <c r="T7175" s="10">
        <v>0</v>
      </c>
      <c r="U7175" s="10">
        <v>7.2979999999999996E-5</v>
      </c>
      <c r="V7175" s="25"/>
      <c r="W7175" s="25"/>
      <c r="X7175" s="25"/>
      <c r="Y7175" s="25"/>
      <c r="Z7175" s="25"/>
      <c r="AA7175" s="25"/>
    </row>
    <row r="7176" spans="1:27" x14ac:dyDescent="0.35">
      <c r="A7176" s="5">
        <v>7172</v>
      </c>
      <c r="B7176" s="5">
        <v>299</v>
      </c>
      <c r="C7176" s="5">
        <v>10</v>
      </c>
      <c r="D7176" s="25">
        <v>1.1415000000000001E-4</v>
      </c>
      <c r="E7176" s="25">
        <v>1.1525E-4</v>
      </c>
      <c r="F7176" s="25">
        <v>1.3286999999999999E-4</v>
      </c>
      <c r="G7176" s="25">
        <v>1.1173E-4</v>
      </c>
      <c r="H7176" s="25">
        <v>1.3861E-4</v>
      </c>
      <c r="I7176" s="9">
        <v>1.3379E-4</v>
      </c>
      <c r="J7176" s="9">
        <v>1.3569E-4</v>
      </c>
      <c r="K7176" s="9">
        <v>4.4509999999999999E-5</v>
      </c>
      <c r="L7176" s="9">
        <v>1.7274E-4</v>
      </c>
      <c r="M7176" s="9">
        <v>1.4996000000000001E-4</v>
      </c>
      <c r="N7176" s="9">
        <v>1.2074999999999999E-4</v>
      </c>
      <c r="O7176" s="9">
        <v>1.2935999999999999E-4</v>
      </c>
      <c r="P7176" s="9">
        <v>1.1513E-4</v>
      </c>
      <c r="Q7176" s="9">
        <v>1.0213E-4</v>
      </c>
      <c r="R7176" s="10">
        <v>1.8597559024080996E-4</v>
      </c>
      <c r="S7176" s="10">
        <v>1.5923223034617766E-4</v>
      </c>
      <c r="T7176" s="10">
        <v>0</v>
      </c>
      <c r="U7176" s="10">
        <v>7.2979999999999996E-5</v>
      </c>
      <c r="V7176" s="25"/>
      <c r="W7176" s="25"/>
      <c r="X7176" s="25"/>
      <c r="Y7176" s="25"/>
      <c r="Z7176" s="25"/>
      <c r="AA7176" s="25"/>
    </row>
    <row r="7177" spans="1:27" x14ac:dyDescent="0.35">
      <c r="A7177" s="5">
        <v>7173</v>
      </c>
      <c r="B7177" s="5">
        <v>299</v>
      </c>
      <c r="C7177" s="5">
        <v>10</v>
      </c>
      <c r="D7177" s="25">
        <v>1.1416E-4</v>
      </c>
      <c r="E7177" s="25">
        <v>1.2313E-4</v>
      </c>
      <c r="F7177" s="25">
        <v>1.2601999999999999E-4</v>
      </c>
      <c r="G7177" s="25">
        <v>6.0609999999999997E-5</v>
      </c>
      <c r="H7177" s="25">
        <v>7.2329999999999994E-5</v>
      </c>
      <c r="I7177" s="9">
        <v>1.2621999999999999E-4</v>
      </c>
      <c r="J7177" s="9">
        <v>1.2769999999999999E-4</v>
      </c>
      <c r="K7177" s="9">
        <v>6.7819999999999998E-5</v>
      </c>
      <c r="L7177" s="9">
        <v>1.3988999999999999E-4</v>
      </c>
      <c r="M7177" s="9">
        <v>1.349E-4</v>
      </c>
      <c r="N7177" s="9">
        <v>1.1306000000000001E-4</v>
      </c>
      <c r="O7177" s="9">
        <v>8.4900000000000004E-5</v>
      </c>
      <c r="P7177" s="9">
        <v>8.6429999999999997E-5</v>
      </c>
      <c r="Q7177" s="9">
        <v>8.8430000000000005E-5</v>
      </c>
      <c r="R7177" s="10">
        <v>1.8519215650112124E-4</v>
      </c>
      <c r="S7177" s="10">
        <v>1.6691798724112087E-4</v>
      </c>
      <c r="T7177" s="10">
        <v>0</v>
      </c>
      <c r="U7177" s="10">
        <v>7.2979999999999996E-5</v>
      </c>
      <c r="V7177" s="25"/>
      <c r="W7177" s="25"/>
      <c r="X7177" s="25"/>
      <c r="Y7177" s="25"/>
      <c r="Z7177" s="25"/>
      <c r="AA7177" s="25"/>
    </row>
    <row r="7178" spans="1:27" x14ac:dyDescent="0.35">
      <c r="A7178" s="5">
        <v>7174</v>
      </c>
      <c r="B7178" s="5">
        <v>299</v>
      </c>
      <c r="C7178" s="5">
        <v>10</v>
      </c>
      <c r="D7178" s="25">
        <v>1.1415000000000001E-4</v>
      </c>
      <c r="E7178" s="25">
        <v>1.1403E-4</v>
      </c>
      <c r="F7178" s="25">
        <v>1.3867E-4</v>
      </c>
      <c r="G7178" s="25">
        <v>5.3440000000000003E-5</v>
      </c>
      <c r="H7178" s="25">
        <v>7.6589999999999997E-5</v>
      </c>
      <c r="I7178" s="9">
        <v>1.2502999999999999E-4</v>
      </c>
      <c r="J7178" s="9">
        <v>1.1875E-4</v>
      </c>
      <c r="K7178" s="9">
        <v>3.3909999999999999E-5</v>
      </c>
      <c r="L7178" s="9">
        <v>9.789E-5</v>
      </c>
      <c r="M7178" s="9">
        <v>1.1359E-4</v>
      </c>
      <c r="N7178" s="9">
        <v>1.0545E-4</v>
      </c>
      <c r="O7178" s="9">
        <v>8.8059999999999994E-5</v>
      </c>
      <c r="P7178" s="9">
        <v>8.8179999999999999E-5</v>
      </c>
      <c r="Q7178" s="9">
        <v>8.8830000000000002E-5</v>
      </c>
      <c r="R7178" s="10">
        <v>1.7923414194506812E-4</v>
      </c>
      <c r="S7178" s="10">
        <v>1.6995324742243904E-4</v>
      </c>
      <c r="T7178" s="10">
        <v>0</v>
      </c>
      <c r="U7178" s="10">
        <v>7.2979999999999996E-5</v>
      </c>
      <c r="V7178" s="25"/>
      <c r="W7178" s="25"/>
      <c r="X7178" s="25"/>
      <c r="Y7178" s="25"/>
      <c r="Z7178" s="25"/>
      <c r="AA7178" s="25"/>
    </row>
    <row r="7179" spans="1:27" x14ac:dyDescent="0.35">
      <c r="A7179" s="5">
        <v>7175</v>
      </c>
      <c r="B7179" s="5">
        <v>299</v>
      </c>
      <c r="C7179" s="5">
        <v>10</v>
      </c>
      <c r="D7179" s="25">
        <v>1.1416E-4</v>
      </c>
      <c r="E7179" s="25">
        <v>1.122E-4</v>
      </c>
      <c r="F7179" s="25">
        <v>1.3129E-4</v>
      </c>
      <c r="G7179" s="25">
        <v>5.7469999999999997E-5</v>
      </c>
      <c r="H7179" s="25">
        <v>6.4140000000000006E-5</v>
      </c>
      <c r="I7179" s="9">
        <v>1.2195E-4</v>
      </c>
      <c r="J7179" s="9">
        <v>1.1042E-4</v>
      </c>
      <c r="K7179" s="9">
        <v>2.332E-5</v>
      </c>
      <c r="L7179" s="9">
        <v>9.1150000000000007E-5</v>
      </c>
      <c r="M7179" s="9">
        <v>9.9220000000000002E-5</v>
      </c>
      <c r="N7179" s="9">
        <v>9.9809999999999995E-5</v>
      </c>
      <c r="O7179" s="9">
        <v>7.8689999999999994E-5</v>
      </c>
      <c r="P7179" s="9">
        <v>7.2879999999999993E-5</v>
      </c>
      <c r="Q7179" s="9">
        <v>6.7570000000000005E-5</v>
      </c>
      <c r="R7179" s="10">
        <v>1.6863889003260153E-4</v>
      </c>
      <c r="S7179" s="10">
        <v>1.6498115730649302E-4</v>
      </c>
      <c r="T7179" s="10">
        <v>0</v>
      </c>
      <c r="U7179" s="10">
        <v>7.2979999999999996E-5</v>
      </c>
      <c r="V7179" s="25"/>
      <c r="W7179" s="25"/>
      <c r="X7179" s="25"/>
      <c r="Y7179" s="25"/>
      <c r="Z7179" s="25"/>
      <c r="AA7179" s="25"/>
    </row>
    <row r="7180" spans="1:27" x14ac:dyDescent="0.35">
      <c r="A7180" s="5">
        <v>7176</v>
      </c>
      <c r="B7180" s="5">
        <v>299</v>
      </c>
      <c r="C7180" s="5">
        <v>10</v>
      </c>
      <c r="D7180" s="25">
        <v>1.1415000000000001E-4</v>
      </c>
      <c r="E7180" s="25">
        <v>1.1626E-4</v>
      </c>
      <c r="F7180" s="25">
        <v>1.1777000000000001E-4</v>
      </c>
      <c r="G7180" s="25">
        <v>5.9009999999999999E-5</v>
      </c>
      <c r="H7180" s="25">
        <v>6.4960000000000001E-5</v>
      </c>
      <c r="I7180" s="9">
        <v>1.1406E-4</v>
      </c>
      <c r="J7180" s="9">
        <v>1.0192999999999999E-4</v>
      </c>
      <c r="K7180" s="9">
        <v>3.3909999999999999E-5</v>
      </c>
      <c r="L7180" s="9">
        <v>8.1420000000000003E-5</v>
      </c>
      <c r="M7180" s="9">
        <v>8.6580000000000001E-5</v>
      </c>
      <c r="N7180" s="9">
        <v>9.0740000000000002E-5</v>
      </c>
      <c r="O7180" s="9">
        <v>6.2959999999999994E-5</v>
      </c>
      <c r="P7180" s="9">
        <v>6.0859999999999997E-5</v>
      </c>
      <c r="Q7180" s="9">
        <v>5.9039999999999997E-5</v>
      </c>
      <c r="R7180" s="10">
        <v>1.5236504956714505E-4</v>
      </c>
      <c r="S7180" s="10">
        <v>1.5489517022461731E-4</v>
      </c>
      <c r="T7180" s="10">
        <v>0</v>
      </c>
      <c r="U7180" s="10">
        <v>7.2979999999999996E-5</v>
      </c>
      <c r="V7180" s="25"/>
      <c r="W7180" s="25"/>
      <c r="X7180" s="25"/>
      <c r="Y7180" s="25"/>
      <c r="Z7180" s="25"/>
      <c r="AA7180" s="25"/>
    </row>
    <row r="7181" spans="1:27" x14ac:dyDescent="0.35">
      <c r="A7181" s="5">
        <v>7177</v>
      </c>
      <c r="B7181" s="5">
        <v>300</v>
      </c>
      <c r="C7181" s="5">
        <v>10</v>
      </c>
      <c r="D7181" s="25">
        <v>1.1416E-4</v>
      </c>
      <c r="E7181" s="25">
        <v>1.2018E-4</v>
      </c>
      <c r="F7181" s="25">
        <v>1.147E-4</v>
      </c>
      <c r="G7181" s="25">
        <v>5.855E-5</v>
      </c>
      <c r="H7181" s="25">
        <v>4.4029999999999997E-5</v>
      </c>
      <c r="I7181" s="9">
        <v>1.0679999999999999E-4</v>
      </c>
      <c r="J7181" s="9">
        <v>9.6589999999999995E-5</v>
      </c>
      <c r="K7181" s="9">
        <v>3.1789999999999999E-5</v>
      </c>
      <c r="L7181" s="9">
        <v>6.7020000000000005E-5</v>
      </c>
      <c r="M7181" s="9">
        <v>7.4419999999999996E-5</v>
      </c>
      <c r="N7181" s="9">
        <v>8.1409999999999995E-5</v>
      </c>
      <c r="O7181" s="9">
        <v>6.8659999999999997E-5</v>
      </c>
      <c r="P7181" s="9">
        <v>6.1130000000000006E-5</v>
      </c>
      <c r="Q7181" s="9">
        <v>5.3909999999999997E-5</v>
      </c>
      <c r="R7181" s="10">
        <v>1.3424023658984658E-4</v>
      </c>
      <c r="S7181" s="10">
        <v>1.3837872271715542E-4</v>
      </c>
      <c r="T7181" s="10">
        <v>0</v>
      </c>
      <c r="U7181" s="10">
        <v>7.4629999999999995E-5</v>
      </c>
      <c r="V7181" s="25"/>
      <c r="W7181" s="25"/>
      <c r="X7181" s="25"/>
      <c r="Y7181" s="25"/>
      <c r="Z7181" s="25"/>
      <c r="AA7181" s="25"/>
    </row>
    <row r="7182" spans="1:27" x14ac:dyDescent="0.35">
      <c r="A7182" s="5">
        <v>7178</v>
      </c>
      <c r="B7182" s="5">
        <v>300</v>
      </c>
      <c r="C7182" s="5">
        <v>10</v>
      </c>
      <c r="D7182" s="25">
        <v>1.1415000000000001E-4</v>
      </c>
      <c r="E7182" s="25">
        <v>1.1478E-4</v>
      </c>
      <c r="F7182" s="25">
        <v>9.5589999999999998E-5</v>
      </c>
      <c r="G7182" s="25">
        <v>6.0380000000000001E-5</v>
      </c>
      <c r="H7182" s="25">
        <v>3.7639999999999999E-5</v>
      </c>
      <c r="I7182" s="9">
        <v>1.0283E-4</v>
      </c>
      <c r="J7182" s="9">
        <v>9.365E-5</v>
      </c>
      <c r="K7182" s="9">
        <v>3.392E-5</v>
      </c>
      <c r="L7182" s="9">
        <v>6.8689999999999995E-5</v>
      </c>
      <c r="M7182" s="9">
        <v>6.6740000000000001E-5</v>
      </c>
      <c r="N7182" s="9">
        <v>7.2410000000000006E-5</v>
      </c>
      <c r="O7182" s="9">
        <v>3.489E-5</v>
      </c>
      <c r="P7182" s="9">
        <v>4.5510000000000003E-5</v>
      </c>
      <c r="Q7182" s="9">
        <v>5.5779999999999998E-5</v>
      </c>
      <c r="R7182" s="10">
        <v>1.3294661699425077E-4</v>
      </c>
      <c r="S7182" s="10">
        <v>1.2734981664146183E-4</v>
      </c>
      <c r="T7182" s="10">
        <v>0</v>
      </c>
      <c r="U7182" s="10">
        <v>7.4629999999999995E-5</v>
      </c>
      <c r="V7182" s="25"/>
      <c r="W7182" s="25"/>
      <c r="X7182" s="25"/>
      <c r="Y7182" s="25"/>
      <c r="Z7182" s="25"/>
      <c r="AA7182" s="25"/>
    </row>
    <row r="7183" spans="1:27" x14ac:dyDescent="0.35">
      <c r="A7183" s="5">
        <v>7179</v>
      </c>
      <c r="B7183" s="5">
        <v>300</v>
      </c>
      <c r="C7183" s="5">
        <v>10</v>
      </c>
      <c r="D7183" s="25">
        <v>1.1416E-4</v>
      </c>
      <c r="E7183" s="25">
        <v>1.1771E-4</v>
      </c>
      <c r="F7183" s="25">
        <v>1.1648E-4</v>
      </c>
      <c r="G7183" s="25">
        <v>5.7309999999999998E-5</v>
      </c>
      <c r="H7183" s="25">
        <v>4.3909999999999998E-5</v>
      </c>
      <c r="I7183" s="9">
        <v>1.0234E-4</v>
      </c>
      <c r="J7183" s="9">
        <v>9.2490000000000004E-5</v>
      </c>
      <c r="K7183" s="9">
        <v>3.8149999999999999E-5</v>
      </c>
      <c r="L7183" s="9">
        <v>4.2230000000000001E-5</v>
      </c>
      <c r="M7183" s="9">
        <v>5.7460000000000002E-5</v>
      </c>
      <c r="N7183" s="9">
        <v>6.5710000000000006E-5</v>
      </c>
      <c r="O7183" s="9">
        <v>2.1849999999999999E-5</v>
      </c>
      <c r="P7183" s="9">
        <v>4.189E-5</v>
      </c>
      <c r="Q7183" s="9">
        <v>6.1270000000000001E-5</v>
      </c>
      <c r="R7183" s="10">
        <v>1.2563273864109101E-4</v>
      </c>
      <c r="S7183" s="10">
        <v>1.206668669133927E-4</v>
      </c>
      <c r="T7183" s="10">
        <v>0</v>
      </c>
      <c r="U7183" s="10">
        <v>7.4629999999999995E-5</v>
      </c>
      <c r="V7183" s="25"/>
      <c r="W7183" s="25"/>
      <c r="X7183" s="25"/>
      <c r="Y7183" s="25"/>
      <c r="Z7183" s="25"/>
      <c r="AA7183" s="25"/>
    </row>
    <row r="7184" spans="1:27" x14ac:dyDescent="0.35">
      <c r="A7184" s="5">
        <v>7180</v>
      </c>
      <c r="B7184" s="5">
        <v>300</v>
      </c>
      <c r="C7184" s="5">
        <v>10</v>
      </c>
      <c r="D7184" s="25">
        <v>1.1415000000000001E-4</v>
      </c>
      <c r="E7184" s="25">
        <v>1.2222000000000001E-4</v>
      </c>
      <c r="F7184" s="25">
        <v>1.0731E-4</v>
      </c>
      <c r="G7184" s="25">
        <v>6.0000000000000002E-5</v>
      </c>
      <c r="H7184" s="25">
        <v>4.4790000000000003E-5</v>
      </c>
      <c r="I7184" s="9">
        <v>1.0444E-4</v>
      </c>
      <c r="J7184" s="9">
        <v>9.2479999999999995E-5</v>
      </c>
      <c r="K7184" s="9">
        <v>3.6029999999999999E-5</v>
      </c>
      <c r="L7184" s="9">
        <v>2.6970000000000001E-5</v>
      </c>
      <c r="M7184" s="9">
        <v>4.9650000000000001E-5</v>
      </c>
      <c r="N7184" s="9">
        <v>6.2000000000000003E-5</v>
      </c>
      <c r="O7184" s="9">
        <v>2.1319999999999999E-5</v>
      </c>
      <c r="P7184" s="9">
        <v>5.1079999999999999E-5</v>
      </c>
      <c r="Q7184" s="9">
        <v>8.0019999999999996E-5</v>
      </c>
      <c r="R7184" s="10">
        <v>1.1724488669855185E-4</v>
      </c>
      <c r="S7184" s="10">
        <v>1.1925598937908389E-4</v>
      </c>
      <c r="T7184" s="10">
        <v>0</v>
      </c>
      <c r="U7184" s="10">
        <v>7.4629999999999995E-5</v>
      </c>
      <c r="V7184" s="25"/>
      <c r="W7184" s="25"/>
      <c r="X7184" s="25"/>
      <c r="Y7184" s="25"/>
      <c r="Z7184" s="25"/>
      <c r="AA7184" s="25"/>
    </row>
    <row r="7185" spans="1:27" x14ac:dyDescent="0.35">
      <c r="A7185" s="5">
        <v>7181</v>
      </c>
      <c r="B7185" s="5">
        <v>300</v>
      </c>
      <c r="C7185" s="5">
        <v>10</v>
      </c>
      <c r="D7185" s="25">
        <v>1.1416E-4</v>
      </c>
      <c r="E7185" s="25">
        <v>1.1423E-4</v>
      </c>
      <c r="F7185" s="25">
        <v>1.0818E-4</v>
      </c>
      <c r="G7185" s="25">
        <v>5.6709999999999997E-5</v>
      </c>
      <c r="H7185" s="25">
        <v>4.1440000000000003E-5</v>
      </c>
      <c r="I7185" s="9">
        <v>1.1018000000000001E-4</v>
      </c>
      <c r="J7185" s="9">
        <v>9.5000000000000005E-5</v>
      </c>
      <c r="K7185" s="9">
        <v>3.8149999999999999E-5</v>
      </c>
      <c r="L7185" s="9">
        <v>2.3030000000000001E-5</v>
      </c>
      <c r="M7185" s="9">
        <v>4.8300000000000002E-5</v>
      </c>
      <c r="N7185" s="9">
        <v>6.4380000000000004E-5</v>
      </c>
      <c r="O7185" s="9">
        <v>2.3289999999999999E-5</v>
      </c>
      <c r="P7185" s="9">
        <v>5.8869999999999997E-5</v>
      </c>
      <c r="Q7185" s="9">
        <v>9.3560000000000005E-5</v>
      </c>
      <c r="R7185" s="10">
        <v>1.1064701789086057E-4</v>
      </c>
      <c r="S7185" s="10">
        <v>1.1377159559915506E-4</v>
      </c>
      <c r="T7185" s="10">
        <v>0</v>
      </c>
      <c r="U7185" s="10">
        <v>7.4629999999999995E-5</v>
      </c>
      <c r="V7185" s="25"/>
      <c r="W7185" s="25"/>
      <c r="X7185" s="25"/>
      <c r="Y7185" s="25"/>
      <c r="Z7185" s="25"/>
      <c r="AA7185" s="25"/>
    </row>
    <row r="7186" spans="1:27" x14ac:dyDescent="0.35">
      <c r="A7186" s="5">
        <v>7182</v>
      </c>
      <c r="B7186" s="5">
        <v>300</v>
      </c>
      <c r="C7186" s="5">
        <v>10</v>
      </c>
      <c r="D7186" s="25">
        <v>1.1415000000000001E-4</v>
      </c>
      <c r="E7186" s="25">
        <v>1.1967E-4</v>
      </c>
      <c r="F7186" s="25">
        <v>1.1540999999999999E-4</v>
      </c>
      <c r="G7186" s="25">
        <v>1.0785000000000001E-4</v>
      </c>
      <c r="H7186" s="25">
        <v>7.6879999999999996E-5</v>
      </c>
      <c r="I7186" s="9">
        <v>1.2307999999999999E-4</v>
      </c>
      <c r="J7186" s="9">
        <v>1.0479E-4</v>
      </c>
      <c r="K7186" s="9">
        <v>4.4509999999999999E-5</v>
      </c>
      <c r="L7186" s="9">
        <v>2.3159999999999998E-5</v>
      </c>
      <c r="M7186" s="9">
        <v>5.2089999999999998E-5</v>
      </c>
      <c r="N7186" s="9">
        <v>7.0879999999999999E-5</v>
      </c>
      <c r="O7186" s="9">
        <v>2.9600000000000001E-5</v>
      </c>
      <c r="P7186" s="9">
        <v>6.8670000000000005E-5</v>
      </c>
      <c r="Q7186" s="9">
        <v>1.0687E-4</v>
      </c>
      <c r="R7186" s="10">
        <v>1.0710478465504836E-4</v>
      </c>
      <c r="S7186" s="10">
        <v>1.0579944705022198E-4</v>
      </c>
      <c r="T7186" s="10">
        <v>0</v>
      </c>
      <c r="U7186" s="10">
        <v>7.4629999999999995E-5</v>
      </c>
      <c r="V7186" s="25"/>
      <c r="W7186" s="25"/>
      <c r="X7186" s="25"/>
      <c r="Y7186" s="25"/>
      <c r="Z7186" s="25"/>
      <c r="AA7186" s="25"/>
    </row>
    <row r="7187" spans="1:27" x14ac:dyDescent="0.35">
      <c r="A7187" s="5">
        <v>7183</v>
      </c>
      <c r="B7187" s="5">
        <v>300</v>
      </c>
      <c r="C7187" s="5">
        <v>10</v>
      </c>
      <c r="D7187" s="25">
        <v>1.1416E-4</v>
      </c>
      <c r="E7187" s="25">
        <v>1.1582E-4</v>
      </c>
      <c r="F7187" s="25">
        <v>9.9840000000000006E-5</v>
      </c>
      <c r="G7187" s="25">
        <v>1.0849999999999999E-4</v>
      </c>
      <c r="H7187" s="25">
        <v>7.572E-5</v>
      </c>
      <c r="I7187" s="9">
        <v>1.36E-4</v>
      </c>
      <c r="J7187" s="9">
        <v>1.2162E-4</v>
      </c>
      <c r="K7187" s="9">
        <v>3.6029999999999999E-5</v>
      </c>
      <c r="L7187" s="9">
        <v>2.8079999999999999E-5</v>
      </c>
      <c r="M7187" s="9">
        <v>5.9179999999999999E-5</v>
      </c>
      <c r="N7187" s="9">
        <v>8.0539999999999998E-5</v>
      </c>
      <c r="O7187" s="9">
        <v>4.5989999999999998E-5</v>
      </c>
      <c r="P7187" s="9">
        <v>7.9300000000000003E-5</v>
      </c>
      <c r="Q7187" s="9">
        <v>1.1201000000000001E-4</v>
      </c>
      <c r="R7187" s="10">
        <v>1.0465317172988989E-4</v>
      </c>
      <c r="S7187" s="10">
        <v>9.9823114516154951E-5</v>
      </c>
      <c r="T7187" s="10">
        <v>0</v>
      </c>
      <c r="U7187" s="10">
        <v>7.4629999999999995E-5</v>
      </c>
      <c r="V7187" s="25"/>
      <c r="W7187" s="25"/>
      <c r="X7187" s="25"/>
      <c r="Y7187" s="25"/>
      <c r="Z7187" s="25"/>
      <c r="AA7187" s="25"/>
    </row>
    <row r="7188" spans="1:27" x14ac:dyDescent="0.35">
      <c r="A7188" s="5">
        <v>7184</v>
      </c>
      <c r="B7188" s="5">
        <v>300</v>
      </c>
      <c r="C7188" s="5">
        <v>10</v>
      </c>
      <c r="D7188" s="25">
        <v>1.1415000000000001E-4</v>
      </c>
      <c r="E7188" s="25">
        <v>1.1394E-4</v>
      </c>
      <c r="F7188" s="25">
        <v>9.9759999999999994E-5</v>
      </c>
      <c r="G7188" s="25">
        <v>1.6499E-4</v>
      </c>
      <c r="H7188" s="25">
        <v>1.1417E-4</v>
      </c>
      <c r="I7188" s="9">
        <v>1.3901000000000001E-4</v>
      </c>
      <c r="J7188" s="9">
        <v>1.3522E-4</v>
      </c>
      <c r="K7188" s="9">
        <v>1.272E-5</v>
      </c>
      <c r="L7188" s="9">
        <v>4.1909999999999997E-5</v>
      </c>
      <c r="M7188" s="9">
        <v>6.8189999999999996E-5</v>
      </c>
      <c r="N7188" s="9">
        <v>9.0569999999999995E-5</v>
      </c>
      <c r="O7188" s="9">
        <v>6.8369999999999998E-5</v>
      </c>
      <c r="P7188" s="9">
        <v>1.0281E-4</v>
      </c>
      <c r="Q7188" s="9">
        <v>1.3689E-4</v>
      </c>
      <c r="R7188" s="10">
        <v>1.0162936094991235E-4</v>
      </c>
      <c r="S7188" s="10">
        <v>9.362998757572219E-5</v>
      </c>
      <c r="T7188" s="10">
        <v>8.6022311111094973E-5</v>
      </c>
      <c r="U7188" s="10">
        <v>7.4629999999999995E-5</v>
      </c>
      <c r="V7188" s="25"/>
      <c r="W7188" s="25"/>
      <c r="X7188" s="25"/>
      <c r="Y7188" s="25"/>
      <c r="Z7188" s="25"/>
      <c r="AA7188" s="25"/>
    </row>
    <row r="7189" spans="1:27" x14ac:dyDescent="0.35">
      <c r="A7189" s="5">
        <v>7185</v>
      </c>
      <c r="B7189" s="5">
        <v>300</v>
      </c>
      <c r="C7189" s="5">
        <v>10</v>
      </c>
      <c r="D7189" s="25">
        <v>1.1416E-4</v>
      </c>
      <c r="E7189" s="25">
        <v>1.2469E-4</v>
      </c>
      <c r="F7189" s="25">
        <v>1.0124999999999999E-4</v>
      </c>
      <c r="G7189" s="25">
        <v>1.5616999999999999E-4</v>
      </c>
      <c r="H7189" s="25">
        <v>1.137E-4</v>
      </c>
      <c r="I7189" s="9">
        <v>1.3936999999999999E-4</v>
      </c>
      <c r="J7189" s="9">
        <v>1.3856E-4</v>
      </c>
      <c r="K7189" s="9">
        <v>0</v>
      </c>
      <c r="L7189" s="9">
        <v>6.2169999999999996E-5</v>
      </c>
      <c r="M7189" s="9">
        <v>8.2890000000000001E-5</v>
      </c>
      <c r="N7189" s="9">
        <v>1.044E-4</v>
      </c>
      <c r="O7189" s="9">
        <v>9.9900000000000002E-5</v>
      </c>
      <c r="P7189" s="9">
        <v>1.3838000000000001E-4</v>
      </c>
      <c r="Q7189" s="9">
        <v>1.7679999999999999E-4</v>
      </c>
      <c r="R7189" s="10">
        <v>9.9995147119923253E-5</v>
      </c>
      <c r="S7189" s="10">
        <v>9.4966929919523788E-5</v>
      </c>
      <c r="T7189" s="10">
        <v>3.1212888879239304E-4</v>
      </c>
      <c r="U7189" s="10">
        <v>7.4629999999999995E-5</v>
      </c>
      <c r="V7189" s="25"/>
      <c r="W7189" s="25"/>
      <c r="X7189" s="25"/>
      <c r="Y7189" s="25"/>
      <c r="Z7189" s="25"/>
      <c r="AA7189" s="25"/>
    </row>
    <row r="7190" spans="1:27" x14ac:dyDescent="0.35">
      <c r="A7190" s="5">
        <v>7186</v>
      </c>
      <c r="B7190" s="5">
        <v>300</v>
      </c>
      <c r="C7190" s="5">
        <v>10</v>
      </c>
      <c r="D7190" s="25">
        <v>1.1415000000000001E-4</v>
      </c>
      <c r="E7190" s="25">
        <v>1.1556E-4</v>
      </c>
      <c r="F7190" s="25">
        <v>1.0068000000000001E-4</v>
      </c>
      <c r="G7190" s="25">
        <v>1.5697000000000001E-4</v>
      </c>
      <c r="H7190" s="25">
        <v>1.193E-4</v>
      </c>
      <c r="I7190" s="9">
        <v>1.3731E-4</v>
      </c>
      <c r="J7190" s="9">
        <v>1.3877E-4</v>
      </c>
      <c r="K7190" s="9">
        <v>0</v>
      </c>
      <c r="L7190" s="9">
        <v>9.1069999999999994E-5</v>
      </c>
      <c r="M7190" s="9">
        <v>1.0658E-4</v>
      </c>
      <c r="N7190" s="9">
        <v>1.2444999999999999E-4</v>
      </c>
      <c r="O7190" s="9">
        <v>1.2807000000000001E-4</v>
      </c>
      <c r="P7190" s="9">
        <v>1.5435000000000001E-4</v>
      </c>
      <c r="Q7190" s="9">
        <v>1.8110000000000001E-4</v>
      </c>
      <c r="R7190" s="10">
        <v>8.9155108483695588E-5</v>
      </c>
      <c r="S7190" s="10">
        <v>9.9434746506145918E-5</v>
      </c>
      <c r="T7190" s="10">
        <v>4.5123746093732981E-4</v>
      </c>
      <c r="U7190" s="10">
        <v>7.4629999999999995E-5</v>
      </c>
      <c r="V7190" s="25"/>
      <c r="W7190" s="25"/>
      <c r="X7190" s="25"/>
      <c r="Y7190" s="25"/>
      <c r="Z7190" s="25"/>
      <c r="AA7190" s="25"/>
    </row>
    <row r="7191" spans="1:27" x14ac:dyDescent="0.35">
      <c r="A7191" s="5">
        <v>7187</v>
      </c>
      <c r="B7191" s="5">
        <v>300</v>
      </c>
      <c r="C7191" s="5">
        <v>10</v>
      </c>
      <c r="D7191" s="25">
        <v>1.1416E-4</v>
      </c>
      <c r="E7191" s="25">
        <v>1.1456E-4</v>
      </c>
      <c r="F7191" s="25">
        <v>1.0298000000000001E-4</v>
      </c>
      <c r="G7191" s="25">
        <v>1.6623000000000001E-4</v>
      </c>
      <c r="H7191" s="25">
        <v>1.141E-4</v>
      </c>
      <c r="I7191" s="9">
        <v>1.3629000000000001E-4</v>
      </c>
      <c r="J7191" s="9">
        <v>1.3779999999999999E-4</v>
      </c>
      <c r="K7191" s="9">
        <v>0</v>
      </c>
      <c r="L7191" s="9">
        <v>1.1921000000000001E-4</v>
      </c>
      <c r="M7191" s="9">
        <v>1.2976E-4</v>
      </c>
      <c r="N7191" s="9">
        <v>1.4234999999999999E-4</v>
      </c>
      <c r="O7191" s="9">
        <v>1.3773E-4</v>
      </c>
      <c r="P7191" s="9">
        <v>1.5870000000000001E-4</v>
      </c>
      <c r="Q7191" s="9">
        <v>1.8034E-4</v>
      </c>
      <c r="R7191" s="10">
        <v>6.8083724429975079E-5</v>
      </c>
      <c r="S7191" s="10">
        <v>1.0515549715745582E-4</v>
      </c>
      <c r="T7191" s="10">
        <v>5.4872206047046736E-4</v>
      </c>
      <c r="U7191" s="10">
        <v>7.4629999999999995E-5</v>
      </c>
      <c r="V7191" s="25"/>
      <c r="W7191" s="25"/>
      <c r="X7191" s="25"/>
      <c r="Y7191" s="25"/>
      <c r="Z7191" s="25"/>
      <c r="AA7191" s="25"/>
    </row>
    <row r="7192" spans="1:27" x14ac:dyDescent="0.35">
      <c r="A7192" s="5">
        <v>7188</v>
      </c>
      <c r="B7192" s="5">
        <v>300</v>
      </c>
      <c r="C7192" s="5">
        <v>10</v>
      </c>
      <c r="D7192" s="25">
        <v>1.1415000000000001E-4</v>
      </c>
      <c r="E7192" s="25">
        <v>1.1938E-4</v>
      </c>
      <c r="F7192" s="25">
        <v>9.9539999999999999E-5</v>
      </c>
      <c r="G7192" s="25">
        <v>1.6699E-4</v>
      </c>
      <c r="H7192" s="25">
        <v>1.1525E-4</v>
      </c>
      <c r="I7192" s="9">
        <v>1.3119999999999999E-4</v>
      </c>
      <c r="J7192" s="9">
        <v>1.3605E-4</v>
      </c>
      <c r="K7192" s="9">
        <v>0</v>
      </c>
      <c r="L7192" s="9">
        <v>1.3300000000000001E-4</v>
      </c>
      <c r="M7192" s="9">
        <v>1.4564999999999999E-4</v>
      </c>
      <c r="N7192" s="9">
        <v>1.5666000000000001E-4</v>
      </c>
      <c r="O7192" s="9">
        <v>1.371E-4</v>
      </c>
      <c r="P7192" s="9">
        <v>1.5441000000000001E-4</v>
      </c>
      <c r="Q7192" s="9">
        <v>1.7243E-4</v>
      </c>
      <c r="R7192" s="10">
        <v>3.858669286725003E-5</v>
      </c>
      <c r="S7192" s="10">
        <v>9.7568720947808124E-5</v>
      </c>
      <c r="T7192" s="10">
        <v>5.8239624459118292E-4</v>
      </c>
      <c r="U7192" s="10">
        <v>7.4629999999999995E-5</v>
      </c>
      <c r="V7192" s="25"/>
      <c r="W7192" s="25"/>
      <c r="X7192" s="25"/>
      <c r="Y7192" s="25"/>
      <c r="Z7192" s="25"/>
      <c r="AA7192" s="25"/>
    </row>
    <row r="7193" spans="1:27" x14ac:dyDescent="0.35">
      <c r="A7193" s="5">
        <v>7189</v>
      </c>
      <c r="B7193" s="5">
        <v>300</v>
      </c>
      <c r="C7193" s="5">
        <v>10</v>
      </c>
      <c r="D7193" s="25">
        <v>1.1416E-4</v>
      </c>
      <c r="E7193" s="25">
        <v>1.1976000000000001E-4</v>
      </c>
      <c r="F7193" s="25">
        <v>1.0938E-4</v>
      </c>
      <c r="G7193" s="25">
        <v>1.6676000000000001E-4</v>
      </c>
      <c r="H7193" s="25">
        <v>1.1723E-4</v>
      </c>
      <c r="I7193" s="9">
        <v>1.3066E-4</v>
      </c>
      <c r="J7193" s="9">
        <v>1.3554999999999999E-4</v>
      </c>
      <c r="K7193" s="9">
        <v>0</v>
      </c>
      <c r="L7193" s="9">
        <v>1.36E-4</v>
      </c>
      <c r="M7193" s="9">
        <v>1.5223E-4</v>
      </c>
      <c r="N7193" s="9">
        <v>1.6579E-4</v>
      </c>
      <c r="O7193" s="9">
        <v>1.3124E-4</v>
      </c>
      <c r="P7193" s="9">
        <v>1.4970000000000001E-4</v>
      </c>
      <c r="Q7193" s="9">
        <v>1.6877E-4</v>
      </c>
      <c r="R7193" s="10">
        <v>3.4460799407839328E-5</v>
      </c>
      <c r="S7193" s="10">
        <v>9.9975760346031204E-5</v>
      </c>
      <c r="T7193" s="10">
        <v>5.7396285103714128E-4</v>
      </c>
      <c r="U7193" s="10">
        <v>7.4629999999999995E-5</v>
      </c>
      <c r="V7193" s="25"/>
      <c r="W7193" s="25"/>
      <c r="X7193" s="25"/>
      <c r="Y7193" s="25"/>
      <c r="Z7193" s="25"/>
      <c r="AA7193" s="25"/>
    </row>
    <row r="7194" spans="1:27" x14ac:dyDescent="0.35">
      <c r="A7194" s="5">
        <v>7190</v>
      </c>
      <c r="B7194" s="5">
        <v>300</v>
      </c>
      <c r="C7194" s="5">
        <v>10</v>
      </c>
      <c r="D7194" s="25">
        <v>1.1415000000000001E-4</v>
      </c>
      <c r="E7194" s="25">
        <v>1.2292E-4</v>
      </c>
      <c r="F7194" s="25">
        <v>1.1287E-4</v>
      </c>
      <c r="G7194" s="25">
        <v>1.6665000000000001E-4</v>
      </c>
      <c r="H7194" s="25">
        <v>1.2048999999999999E-4</v>
      </c>
      <c r="I7194" s="9">
        <v>1.2868999999999999E-4</v>
      </c>
      <c r="J7194" s="9">
        <v>1.3527999999999999E-4</v>
      </c>
      <c r="K7194" s="9">
        <v>0</v>
      </c>
      <c r="L7194" s="9">
        <v>1.3238E-4</v>
      </c>
      <c r="M7194" s="9">
        <v>1.5253E-4</v>
      </c>
      <c r="N7194" s="9">
        <v>1.7044E-4</v>
      </c>
      <c r="O7194" s="9">
        <v>1.1191E-4</v>
      </c>
      <c r="P7194" s="9">
        <v>1.3569E-4</v>
      </c>
      <c r="Q7194" s="9">
        <v>1.5979000000000001E-4</v>
      </c>
      <c r="R7194" s="10">
        <v>3.2338887828080355E-5</v>
      </c>
      <c r="S7194" s="10">
        <v>1.0007524487947074E-4</v>
      </c>
      <c r="T7194" s="10">
        <v>4.8115310044593229E-4</v>
      </c>
      <c r="U7194" s="10">
        <v>7.4629999999999995E-5</v>
      </c>
      <c r="V7194" s="25"/>
      <c r="W7194" s="25"/>
      <c r="X7194" s="25"/>
      <c r="Y7194" s="25"/>
      <c r="Z7194" s="25"/>
      <c r="AA7194" s="25"/>
    </row>
    <row r="7195" spans="1:27" x14ac:dyDescent="0.35">
      <c r="A7195" s="5">
        <v>7191</v>
      </c>
      <c r="B7195" s="5">
        <v>300</v>
      </c>
      <c r="C7195" s="5">
        <v>10</v>
      </c>
      <c r="D7195" s="25">
        <v>1.1416E-4</v>
      </c>
      <c r="E7195" s="25">
        <v>1.132E-4</v>
      </c>
      <c r="F7195" s="25">
        <v>1.0708E-4</v>
      </c>
      <c r="G7195" s="25">
        <v>1.6153000000000001E-4</v>
      </c>
      <c r="H7195" s="25">
        <v>1.1907E-4</v>
      </c>
      <c r="I7195" s="9">
        <v>1.2852999999999999E-4</v>
      </c>
      <c r="J7195" s="9">
        <v>1.3531E-4</v>
      </c>
      <c r="K7195" s="9">
        <v>0</v>
      </c>
      <c r="L7195" s="9">
        <v>1.1658E-4</v>
      </c>
      <c r="M7195" s="9">
        <v>1.4630000000000001E-4</v>
      </c>
      <c r="N7195" s="9">
        <v>1.6977999999999999E-4</v>
      </c>
      <c r="O7195" s="9">
        <v>1.281E-4</v>
      </c>
      <c r="P7195" s="9">
        <v>1.4045999999999999E-4</v>
      </c>
      <c r="Q7195" s="9">
        <v>1.5349E-4</v>
      </c>
      <c r="R7195" s="10">
        <v>3.3936988445694348E-5</v>
      </c>
      <c r="S7195" s="10">
        <v>1.0121079790530703E-4</v>
      </c>
      <c r="T7195" s="10">
        <v>3.4369048237492317E-4</v>
      </c>
      <c r="U7195" s="10">
        <v>7.4629999999999995E-5</v>
      </c>
      <c r="V7195" s="25"/>
      <c r="W7195" s="25"/>
      <c r="X7195" s="25"/>
      <c r="Y7195" s="25"/>
      <c r="Z7195" s="25"/>
      <c r="AA7195" s="25"/>
    </row>
    <row r="7196" spans="1:27" x14ac:dyDescent="0.35">
      <c r="A7196" s="5">
        <v>7192</v>
      </c>
      <c r="B7196" s="5">
        <v>300</v>
      </c>
      <c r="C7196" s="5">
        <v>10</v>
      </c>
      <c r="D7196" s="25">
        <v>1.1415000000000001E-4</v>
      </c>
      <c r="E7196" s="25">
        <v>1.2197999999999999E-4</v>
      </c>
      <c r="F7196" s="25">
        <v>9.5879999999999997E-5</v>
      </c>
      <c r="G7196" s="25">
        <v>1.5611999999999999E-4</v>
      </c>
      <c r="H7196" s="25">
        <v>1.1588E-4</v>
      </c>
      <c r="I7196" s="9">
        <v>1.2819E-4</v>
      </c>
      <c r="J7196" s="9">
        <v>1.3549999999999999E-4</v>
      </c>
      <c r="K7196" s="9">
        <v>0</v>
      </c>
      <c r="L7196" s="9">
        <v>1.2600999999999999E-4</v>
      </c>
      <c r="M7196" s="9">
        <v>1.4244E-4</v>
      </c>
      <c r="N7196" s="9">
        <v>1.6615999999999999E-4</v>
      </c>
      <c r="O7196" s="9">
        <v>1.3542E-4</v>
      </c>
      <c r="P7196" s="9">
        <v>1.225E-4</v>
      </c>
      <c r="Q7196" s="9">
        <v>1.1073000000000001E-4</v>
      </c>
      <c r="R7196" s="10">
        <v>3.8259173188493427E-5</v>
      </c>
      <c r="S7196" s="10">
        <v>1.0490138189275508E-4</v>
      </c>
      <c r="T7196" s="10">
        <v>1.7425054005322703E-4</v>
      </c>
      <c r="U7196" s="10">
        <v>7.4629999999999995E-5</v>
      </c>
      <c r="V7196" s="25"/>
      <c r="W7196" s="25"/>
      <c r="X7196" s="25"/>
      <c r="Y7196" s="25"/>
      <c r="Z7196" s="25"/>
      <c r="AA7196" s="25"/>
    </row>
    <row r="7197" spans="1:27" x14ac:dyDescent="0.35">
      <c r="A7197" s="5">
        <v>7193</v>
      </c>
      <c r="B7197" s="5">
        <v>300</v>
      </c>
      <c r="C7197" s="5">
        <v>10</v>
      </c>
      <c r="D7197" s="25">
        <v>1.1416E-4</v>
      </c>
      <c r="E7197" s="25">
        <v>1.2168E-4</v>
      </c>
      <c r="F7197" s="25">
        <v>9.6429999999999997E-5</v>
      </c>
      <c r="G7197" s="25">
        <v>1.5966E-4</v>
      </c>
      <c r="H7197" s="25">
        <v>1.2035E-4</v>
      </c>
      <c r="I7197" s="9">
        <v>1.3018E-4</v>
      </c>
      <c r="J7197" s="9">
        <v>1.3814E-4</v>
      </c>
      <c r="K7197" s="9">
        <v>0</v>
      </c>
      <c r="L7197" s="9">
        <v>1.3307E-4</v>
      </c>
      <c r="M7197" s="9">
        <v>1.3443E-4</v>
      </c>
      <c r="N7197" s="9">
        <v>1.5266999999999999E-4</v>
      </c>
      <c r="O7197" s="9">
        <v>1.4160999999999999E-4</v>
      </c>
      <c r="P7197" s="9">
        <v>1.2420000000000001E-4</v>
      </c>
      <c r="Q7197" s="9">
        <v>1.0809E-4</v>
      </c>
      <c r="R7197" s="10">
        <v>5.6249808040234648E-5</v>
      </c>
      <c r="S7197" s="10">
        <v>1.0944459630666379E-4</v>
      </c>
      <c r="T7197" s="10">
        <v>0</v>
      </c>
      <c r="U7197" s="10">
        <v>7.4629999999999995E-5</v>
      </c>
      <c r="V7197" s="25"/>
      <c r="W7197" s="25"/>
      <c r="X7197" s="25"/>
      <c r="Y7197" s="25"/>
      <c r="Z7197" s="25"/>
      <c r="AA7197" s="25"/>
    </row>
    <row r="7198" spans="1:27" x14ac:dyDescent="0.35">
      <c r="A7198" s="5">
        <v>7194</v>
      </c>
      <c r="B7198" s="5">
        <v>300</v>
      </c>
      <c r="C7198" s="5">
        <v>10</v>
      </c>
      <c r="D7198" s="25">
        <v>1.1415000000000001E-4</v>
      </c>
      <c r="E7198" s="25">
        <v>1.2211000000000001E-4</v>
      </c>
      <c r="F7198" s="25">
        <v>1.1037E-4</v>
      </c>
      <c r="G7198" s="25">
        <v>1.6380999999999999E-4</v>
      </c>
      <c r="H7198" s="25">
        <v>1.2048999999999999E-4</v>
      </c>
      <c r="I7198" s="9">
        <v>1.3622999999999999E-4</v>
      </c>
      <c r="J7198" s="9">
        <v>1.3784999999999999E-4</v>
      </c>
      <c r="K7198" s="9">
        <v>0</v>
      </c>
      <c r="L7198" s="9">
        <v>1.3941E-4</v>
      </c>
      <c r="M7198" s="9">
        <v>1.2871000000000001E-4</v>
      </c>
      <c r="N7198" s="9">
        <v>1.3957999999999999E-4</v>
      </c>
      <c r="O7198" s="9">
        <v>1.4155999999999999E-4</v>
      </c>
      <c r="P7198" s="9">
        <v>1.2925E-4</v>
      </c>
      <c r="Q7198" s="9">
        <v>1.1817E-4</v>
      </c>
      <c r="R7198" s="10">
        <v>9.035628747628407E-5</v>
      </c>
      <c r="S7198" s="10">
        <v>1.1215261651553302E-4</v>
      </c>
      <c r="T7198" s="10">
        <v>0</v>
      </c>
      <c r="U7198" s="10">
        <v>7.4629999999999995E-5</v>
      </c>
      <c r="V7198" s="25"/>
      <c r="W7198" s="25"/>
      <c r="X7198" s="25"/>
      <c r="Y7198" s="25"/>
      <c r="Z7198" s="25"/>
      <c r="AA7198" s="25"/>
    </row>
    <row r="7199" spans="1:27" x14ac:dyDescent="0.35">
      <c r="A7199" s="5">
        <v>7195</v>
      </c>
      <c r="B7199" s="5">
        <v>300</v>
      </c>
      <c r="C7199" s="5">
        <v>10</v>
      </c>
      <c r="D7199" s="25">
        <v>1.1416E-4</v>
      </c>
      <c r="E7199" s="25">
        <v>1.1692E-4</v>
      </c>
      <c r="F7199" s="25">
        <v>1.1191E-4</v>
      </c>
      <c r="G7199" s="25">
        <v>1.1518000000000001E-4</v>
      </c>
      <c r="H7199" s="25">
        <v>7.8479999999999994E-5</v>
      </c>
      <c r="I7199" s="9">
        <v>1.3763E-4</v>
      </c>
      <c r="J7199" s="9">
        <v>1.4009E-4</v>
      </c>
      <c r="K7199" s="9">
        <v>0</v>
      </c>
      <c r="L7199" s="9">
        <v>1.4098999999999999E-4</v>
      </c>
      <c r="M7199" s="9">
        <v>1.2758999999999999E-4</v>
      </c>
      <c r="N7199" s="9">
        <v>1.3056999999999999E-4</v>
      </c>
      <c r="O7199" s="9">
        <v>1.4082999999999999E-4</v>
      </c>
      <c r="P7199" s="9">
        <v>1.2299000000000001E-4</v>
      </c>
      <c r="Q7199" s="9">
        <v>1.0645E-4</v>
      </c>
      <c r="R7199" s="10">
        <v>1.1709436327856772E-4</v>
      </c>
      <c r="S7199" s="10">
        <v>1.1320529068370296E-4</v>
      </c>
      <c r="T7199" s="10">
        <v>0</v>
      </c>
      <c r="U7199" s="10">
        <v>7.4629999999999995E-5</v>
      </c>
      <c r="V7199" s="25"/>
      <c r="W7199" s="25"/>
      <c r="X7199" s="25"/>
      <c r="Y7199" s="25"/>
      <c r="Z7199" s="25"/>
      <c r="AA7199" s="25"/>
    </row>
    <row r="7200" spans="1:27" x14ac:dyDescent="0.35">
      <c r="A7200" s="5">
        <v>7196</v>
      </c>
      <c r="B7200" s="5">
        <v>300</v>
      </c>
      <c r="C7200" s="5">
        <v>10</v>
      </c>
      <c r="D7200" s="25">
        <v>1.1415000000000001E-4</v>
      </c>
      <c r="E7200" s="25">
        <v>1.2391E-4</v>
      </c>
      <c r="F7200" s="25">
        <v>1.0508E-4</v>
      </c>
      <c r="G7200" s="25">
        <v>1.0828999999999999E-4</v>
      </c>
      <c r="H7200" s="25">
        <v>7.7789999999999999E-5</v>
      </c>
      <c r="I7200" s="9">
        <v>1.3150999999999999E-4</v>
      </c>
      <c r="J7200" s="9">
        <v>1.3532E-4</v>
      </c>
      <c r="K7200" s="9">
        <v>0</v>
      </c>
      <c r="L7200" s="9">
        <v>1.4087E-4</v>
      </c>
      <c r="M7200" s="9">
        <v>1.259E-4</v>
      </c>
      <c r="N7200" s="9">
        <v>1.2128E-4</v>
      </c>
      <c r="O7200" s="9">
        <v>1.4328999999999999E-4</v>
      </c>
      <c r="P7200" s="9">
        <v>1.2161E-4</v>
      </c>
      <c r="Q7200" s="9">
        <v>1.0132E-4</v>
      </c>
      <c r="R7200" s="10">
        <v>1.263780039196311E-4</v>
      </c>
      <c r="S7200" s="10">
        <v>1.1730261779976371E-4</v>
      </c>
      <c r="T7200" s="10">
        <v>0</v>
      </c>
      <c r="U7200" s="10">
        <v>7.4629999999999995E-5</v>
      </c>
      <c r="V7200" s="25"/>
      <c r="W7200" s="25"/>
      <c r="X7200" s="25"/>
      <c r="Y7200" s="25"/>
      <c r="Z7200" s="25"/>
      <c r="AA7200" s="25"/>
    </row>
    <row r="7201" spans="1:27" x14ac:dyDescent="0.35">
      <c r="A7201" s="5">
        <v>7197</v>
      </c>
      <c r="B7201" s="5">
        <v>300</v>
      </c>
      <c r="C7201" s="5">
        <v>10</v>
      </c>
      <c r="D7201" s="25">
        <v>1.1416E-4</v>
      </c>
      <c r="E7201" s="25">
        <v>1.2277999999999999E-4</v>
      </c>
      <c r="F7201" s="25">
        <v>1.0606E-4</v>
      </c>
      <c r="G7201" s="25">
        <v>6.3460000000000006E-5</v>
      </c>
      <c r="H7201" s="25">
        <v>4.1879999999999999E-5</v>
      </c>
      <c r="I7201" s="9">
        <v>1.2433999999999999E-4</v>
      </c>
      <c r="J7201" s="9">
        <v>1.2799E-4</v>
      </c>
      <c r="K7201" s="9">
        <v>0</v>
      </c>
      <c r="L7201" s="9">
        <v>1.428E-4</v>
      </c>
      <c r="M7201" s="9">
        <v>1.2394000000000001E-4</v>
      </c>
      <c r="N7201" s="9">
        <v>1.1336999999999999E-4</v>
      </c>
      <c r="O7201" s="9">
        <v>8.4580000000000007E-5</v>
      </c>
      <c r="P7201" s="9">
        <v>8.6230000000000006E-5</v>
      </c>
      <c r="Q7201" s="9">
        <v>8.8220000000000006E-5</v>
      </c>
      <c r="R7201" s="10">
        <v>1.1710628977956429E-4</v>
      </c>
      <c r="S7201" s="10">
        <v>1.1356912869469884E-4</v>
      </c>
      <c r="T7201" s="10">
        <v>0</v>
      </c>
      <c r="U7201" s="10">
        <v>7.4629999999999995E-5</v>
      </c>
      <c r="V7201" s="25"/>
      <c r="W7201" s="25"/>
      <c r="X7201" s="25"/>
      <c r="Y7201" s="25"/>
      <c r="Z7201" s="25"/>
      <c r="AA7201" s="25"/>
    </row>
    <row r="7202" spans="1:27" x14ac:dyDescent="0.35">
      <c r="A7202" s="5">
        <v>7198</v>
      </c>
      <c r="B7202" s="5">
        <v>300</v>
      </c>
      <c r="C7202" s="5">
        <v>10</v>
      </c>
      <c r="D7202" s="25">
        <v>1.1415000000000001E-4</v>
      </c>
      <c r="E7202" s="25">
        <v>1.1323E-4</v>
      </c>
      <c r="F7202" s="25">
        <v>1.1574999999999999E-4</v>
      </c>
      <c r="G7202" s="25">
        <v>6.2130000000000003E-5</v>
      </c>
      <c r="H7202" s="25">
        <v>4.1869999999999997E-5</v>
      </c>
      <c r="I7202" s="9">
        <v>1.2355999999999999E-4</v>
      </c>
      <c r="J7202" s="9">
        <v>1.1887000000000001E-4</v>
      </c>
      <c r="K7202" s="9">
        <v>0</v>
      </c>
      <c r="L7202" s="9">
        <v>9.734E-5</v>
      </c>
      <c r="M7202" s="9">
        <v>1.0983E-4</v>
      </c>
      <c r="N7202" s="9">
        <v>1.0564E-4</v>
      </c>
      <c r="O7202" s="9">
        <v>8.6860000000000005E-5</v>
      </c>
      <c r="P7202" s="9">
        <v>8.7100000000000003E-5</v>
      </c>
      <c r="Q7202" s="9">
        <v>8.7739999999999997E-5</v>
      </c>
      <c r="R7202" s="10">
        <v>1.0612278765074229E-4</v>
      </c>
      <c r="S7202" s="10">
        <v>1.0715508977825419E-4</v>
      </c>
      <c r="T7202" s="10">
        <v>0</v>
      </c>
      <c r="U7202" s="10">
        <v>7.4629999999999995E-5</v>
      </c>
      <c r="V7202" s="25"/>
      <c r="W7202" s="25"/>
      <c r="X7202" s="25"/>
      <c r="Y7202" s="25"/>
      <c r="Z7202" s="25"/>
      <c r="AA7202" s="25"/>
    </row>
    <row r="7203" spans="1:27" x14ac:dyDescent="0.35">
      <c r="A7203" s="5">
        <v>7199</v>
      </c>
      <c r="B7203" s="5">
        <v>300</v>
      </c>
      <c r="C7203" s="5">
        <v>10</v>
      </c>
      <c r="D7203" s="25">
        <v>1.1416E-4</v>
      </c>
      <c r="E7203" s="25">
        <v>1.2430000000000001E-4</v>
      </c>
      <c r="F7203" s="25">
        <v>1.0136000000000001E-4</v>
      </c>
      <c r="G7203" s="25">
        <v>5.4379999999999998E-5</v>
      </c>
      <c r="H7203" s="25">
        <v>4.4799999999999998E-5</v>
      </c>
      <c r="I7203" s="9">
        <v>1.1998999999999999E-4</v>
      </c>
      <c r="J7203" s="9">
        <v>1.1065000000000001E-4</v>
      </c>
      <c r="K7203" s="9">
        <v>0</v>
      </c>
      <c r="L7203" s="9">
        <v>9.0420000000000005E-5</v>
      </c>
      <c r="M7203" s="9">
        <v>9.7880000000000005E-5</v>
      </c>
      <c r="N7203" s="9">
        <v>9.9640000000000001E-5</v>
      </c>
      <c r="O7203" s="9">
        <v>8.5130000000000007E-5</v>
      </c>
      <c r="P7203" s="9">
        <v>7.5939999999999995E-5</v>
      </c>
      <c r="Q7203" s="9">
        <v>6.7269999999999998E-5</v>
      </c>
      <c r="R7203" s="10">
        <v>9.8039927793204244E-5</v>
      </c>
      <c r="S7203" s="10">
        <v>9.5993705394284339E-5</v>
      </c>
      <c r="T7203" s="10">
        <v>0</v>
      </c>
      <c r="U7203" s="10">
        <v>7.4629999999999995E-5</v>
      </c>
      <c r="V7203" s="25"/>
      <c r="W7203" s="25"/>
      <c r="X7203" s="25"/>
      <c r="Y7203" s="25"/>
      <c r="Z7203" s="25"/>
      <c r="AA7203" s="25"/>
    </row>
    <row r="7204" spans="1:27" x14ac:dyDescent="0.35">
      <c r="A7204" s="5">
        <v>7200</v>
      </c>
      <c r="B7204" s="5">
        <v>300</v>
      </c>
      <c r="C7204" s="5">
        <v>10</v>
      </c>
      <c r="D7204" s="25">
        <v>1.1415000000000001E-4</v>
      </c>
      <c r="E7204" s="25">
        <v>1.2208999999999999E-4</v>
      </c>
      <c r="F7204" s="25">
        <v>1.0670000000000001E-4</v>
      </c>
      <c r="G7204" s="25">
        <v>5.9190000000000001E-5</v>
      </c>
      <c r="H7204" s="25">
        <v>4.0089999999999997E-5</v>
      </c>
      <c r="I7204" s="9">
        <v>1.1179999999999999E-4</v>
      </c>
      <c r="J7204" s="9">
        <v>1.0267E-4</v>
      </c>
      <c r="K7204" s="9">
        <v>1.272E-5</v>
      </c>
      <c r="L7204" s="9">
        <v>8.653E-5</v>
      </c>
      <c r="M7204" s="9">
        <v>8.7169999999999994E-5</v>
      </c>
      <c r="N7204" s="9">
        <v>9.0409999999999997E-5</v>
      </c>
      <c r="O7204" s="9">
        <v>7.8949999999999995E-5</v>
      </c>
      <c r="P7204" s="9">
        <v>6.86E-5</v>
      </c>
      <c r="Q7204" s="9">
        <v>5.872E-5</v>
      </c>
      <c r="R7204" s="10">
        <v>8.0056518860163677E-5</v>
      </c>
      <c r="S7204" s="10">
        <v>9.7489531457526019E-5</v>
      </c>
      <c r="T7204" s="10">
        <v>0</v>
      </c>
      <c r="U7204" s="10">
        <v>7.4629999999999995E-5</v>
      </c>
      <c r="V7204" s="25"/>
      <c r="W7204" s="25"/>
      <c r="X7204" s="25"/>
      <c r="Y7204" s="25"/>
      <c r="Z7204" s="25"/>
      <c r="AA7204" s="25"/>
    </row>
    <row r="7205" spans="1:27" x14ac:dyDescent="0.35">
      <c r="A7205" s="5">
        <v>7201</v>
      </c>
      <c r="B7205" s="5">
        <v>301</v>
      </c>
      <c r="C7205" s="5">
        <v>10</v>
      </c>
      <c r="D7205" s="25">
        <v>1.1416E-4</v>
      </c>
      <c r="E7205" s="25">
        <v>1.2231000000000001E-4</v>
      </c>
      <c r="F7205" s="25">
        <v>1.3396999999999999E-4</v>
      </c>
      <c r="G7205" s="25">
        <v>6.0949999999999998E-5</v>
      </c>
      <c r="H7205" s="25">
        <v>1.3890000000000001E-5</v>
      </c>
      <c r="I7205" s="9">
        <v>1.0474E-4</v>
      </c>
      <c r="J7205" s="9">
        <v>9.692E-5</v>
      </c>
      <c r="K7205" s="9">
        <v>1.272E-5</v>
      </c>
      <c r="L7205" s="9">
        <v>8.0389999999999994E-5</v>
      </c>
      <c r="M7205" s="9">
        <v>7.8079999999999998E-5</v>
      </c>
      <c r="N7205" s="9">
        <v>8.1000000000000004E-5</v>
      </c>
      <c r="O7205" s="9">
        <v>6.7929999999999995E-5</v>
      </c>
      <c r="P7205" s="9">
        <v>6.0479999999999997E-5</v>
      </c>
      <c r="Q7205" s="9">
        <v>5.3340000000000001E-5</v>
      </c>
      <c r="R7205" s="10">
        <v>6.4133771466649871E-5</v>
      </c>
      <c r="S7205" s="10">
        <v>8.7016590222433937E-5</v>
      </c>
      <c r="T7205" s="10">
        <v>0</v>
      </c>
      <c r="U7205" s="10">
        <v>7.7579999999999999E-5</v>
      </c>
      <c r="V7205" s="25"/>
      <c r="W7205" s="25"/>
      <c r="X7205" s="25"/>
      <c r="Y7205" s="25"/>
      <c r="Z7205" s="25"/>
      <c r="AA7205" s="25"/>
    </row>
    <row r="7206" spans="1:27" x14ac:dyDescent="0.35">
      <c r="A7206" s="5">
        <v>7202</v>
      </c>
      <c r="B7206" s="5">
        <v>301</v>
      </c>
      <c r="C7206" s="5">
        <v>10</v>
      </c>
      <c r="D7206" s="25">
        <v>1.1415000000000001E-4</v>
      </c>
      <c r="E7206" s="25">
        <v>1.2166E-4</v>
      </c>
      <c r="F7206" s="25">
        <v>1.4044E-4</v>
      </c>
      <c r="G7206" s="25">
        <v>6.1119999999999998E-5</v>
      </c>
      <c r="H7206" s="25">
        <v>1.5690000000000001E-5</v>
      </c>
      <c r="I7206" s="9">
        <v>1.0064E-4</v>
      </c>
      <c r="J7206" s="9">
        <v>9.4350000000000003E-5</v>
      </c>
      <c r="K7206" s="9">
        <v>1.908E-5</v>
      </c>
      <c r="L7206" s="9">
        <v>7.0820000000000003E-5</v>
      </c>
      <c r="M7206" s="9">
        <v>6.9610000000000006E-5</v>
      </c>
      <c r="N7206" s="9">
        <v>7.1929999999999997E-5</v>
      </c>
      <c r="O7206" s="9">
        <v>3.4950000000000002E-5</v>
      </c>
      <c r="P7206" s="9">
        <v>4.5599999999999997E-5</v>
      </c>
      <c r="Q7206" s="9">
        <v>5.588E-5</v>
      </c>
      <c r="R7206" s="10">
        <v>6.2000216665483395E-5</v>
      </c>
      <c r="S7206" s="10">
        <v>7.7594712953169866E-5</v>
      </c>
      <c r="T7206" s="10">
        <v>0</v>
      </c>
      <c r="U7206" s="10">
        <v>7.7579999999999999E-5</v>
      </c>
      <c r="V7206" s="25"/>
      <c r="W7206" s="25"/>
      <c r="X7206" s="25"/>
      <c r="Y7206" s="25"/>
      <c r="Z7206" s="25"/>
      <c r="AA7206" s="25"/>
    </row>
    <row r="7207" spans="1:27" x14ac:dyDescent="0.35">
      <c r="A7207" s="5">
        <v>7203</v>
      </c>
      <c r="B7207" s="5">
        <v>301</v>
      </c>
      <c r="C7207" s="5">
        <v>10</v>
      </c>
      <c r="D7207" s="25">
        <v>1.1416E-4</v>
      </c>
      <c r="E7207" s="25">
        <v>1.1769000000000001E-4</v>
      </c>
      <c r="F7207" s="25">
        <v>1.2935999999999999E-4</v>
      </c>
      <c r="G7207" s="25">
        <v>5.8189999999999997E-5</v>
      </c>
      <c r="H7207" s="25">
        <v>1.416E-5</v>
      </c>
      <c r="I7207" s="9">
        <v>9.9560000000000002E-5</v>
      </c>
      <c r="J7207" s="9">
        <v>9.357E-5</v>
      </c>
      <c r="K7207" s="9">
        <v>2.544E-5</v>
      </c>
      <c r="L7207" s="9">
        <v>4.3099999999999997E-5</v>
      </c>
      <c r="M7207" s="9">
        <v>5.8959999999999998E-5</v>
      </c>
      <c r="N7207" s="9">
        <v>6.5339999999999994E-5</v>
      </c>
      <c r="O7207" s="9">
        <v>2.175E-5</v>
      </c>
      <c r="P7207" s="9">
        <v>4.1699999999999997E-5</v>
      </c>
      <c r="Q7207" s="9">
        <v>6.0999999999999999E-5</v>
      </c>
      <c r="R7207" s="10">
        <v>6.670963953398469E-5</v>
      </c>
      <c r="S7207" s="10">
        <v>8.0437342487556547E-5</v>
      </c>
      <c r="T7207" s="10">
        <v>0</v>
      </c>
      <c r="U7207" s="10">
        <v>7.7579999999999999E-5</v>
      </c>
      <c r="V7207" s="25"/>
      <c r="W7207" s="25"/>
      <c r="X7207" s="25"/>
      <c r="Y7207" s="25"/>
      <c r="Z7207" s="25"/>
      <c r="AA7207" s="25"/>
    </row>
    <row r="7208" spans="1:27" x14ac:dyDescent="0.35">
      <c r="A7208" s="5">
        <v>7204</v>
      </c>
      <c r="B7208" s="5">
        <v>301</v>
      </c>
      <c r="C7208" s="5">
        <v>10</v>
      </c>
      <c r="D7208" s="25">
        <v>1.1415000000000001E-4</v>
      </c>
      <c r="E7208" s="25">
        <v>1.1476000000000001E-4</v>
      </c>
      <c r="F7208" s="25">
        <v>1.327E-4</v>
      </c>
      <c r="G7208" s="25">
        <v>6.0359999999999998E-5</v>
      </c>
      <c r="H7208" s="25">
        <v>1.4769999999999999E-5</v>
      </c>
      <c r="I7208" s="9">
        <v>1.0113E-4</v>
      </c>
      <c r="J7208" s="9">
        <v>9.3319999999999994E-5</v>
      </c>
      <c r="K7208" s="9">
        <v>2.756E-5</v>
      </c>
      <c r="L7208" s="9">
        <v>2.7180000000000001E-5</v>
      </c>
      <c r="M7208" s="9">
        <v>5.0189999999999999E-5</v>
      </c>
      <c r="N7208" s="9">
        <v>6.1680000000000006E-5</v>
      </c>
      <c r="O7208" s="9">
        <v>2.128E-5</v>
      </c>
      <c r="P7208" s="9">
        <v>5.0980000000000003E-5</v>
      </c>
      <c r="Q7208" s="9">
        <v>7.9859999999999998E-5</v>
      </c>
      <c r="R7208" s="10">
        <v>6.6954157972857909E-5</v>
      </c>
      <c r="S7208" s="10">
        <v>8.7211318499427518E-5</v>
      </c>
      <c r="T7208" s="10">
        <v>0</v>
      </c>
      <c r="U7208" s="10">
        <v>7.7579999999999999E-5</v>
      </c>
      <c r="V7208" s="25"/>
      <c r="W7208" s="25"/>
      <c r="X7208" s="25"/>
      <c r="Y7208" s="25"/>
      <c r="Z7208" s="25"/>
      <c r="AA7208" s="25"/>
    </row>
    <row r="7209" spans="1:27" x14ac:dyDescent="0.35">
      <c r="A7209" s="5">
        <v>7205</v>
      </c>
      <c r="B7209" s="5">
        <v>301</v>
      </c>
      <c r="C7209" s="5">
        <v>10</v>
      </c>
      <c r="D7209" s="25">
        <v>1.1416E-4</v>
      </c>
      <c r="E7209" s="25">
        <v>1.1097E-4</v>
      </c>
      <c r="F7209" s="25">
        <v>1.2719000000000001E-4</v>
      </c>
      <c r="G7209" s="25">
        <v>6.071E-5</v>
      </c>
      <c r="H7209" s="25">
        <v>1.323E-5</v>
      </c>
      <c r="I7209" s="9">
        <v>1.0658E-4</v>
      </c>
      <c r="J7209" s="9">
        <v>9.5710000000000004E-5</v>
      </c>
      <c r="K7209" s="9">
        <v>3.3909999999999999E-5</v>
      </c>
      <c r="L7209" s="9">
        <v>2.2969999999999999E-5</v>
      </c>
      <c r="M7209" s="9">
        <v>4.8439999999999997E-5</v>
      </c>
      <c r="N7209" s="9">
        <v>6.4129999999999998E-5</v>
      </c>
      <c r="O7209" s="9">
        <v>2.3419999999999999E-5</v>
      </c>
      <c r="P7209" s="9">
        <v>5.9200000000000002E-5</v>
      </c>
      <c r="Q7209" s="9">
        <v>9.4079999999999994E-5</v>
      </c>
      <c r="R7209" s="10">
        <v>6.8219486999268961E-5</v>
      </c>
      <c r="S7209" s="10">
        <v>9.2176351912374343E-5</v>
      </c>
      <c r="T7209" s="10">
        <v>0</v>
      </c>
      <c r="U7209" s="10">
        <v>7.7579999999999999E-5</v>
      </c>
      <c r="V7209" s="25"/>
      <c r="W7209" s="25"/>
      <c r="X7209" s="25"/>
      <c r="Y7209" s="25"/>
      <c r="Z7209" s="25"/>
      <c r="AA7209" s="25"/>
    </row>
    <row r="7210" spans="1:27" x14ac:dyDescent="0.35">
      <c r="A7210" s="5">
        <v>7206</v>
      </c>
      <c r="B7210" s="5">
        <v>301</v>
      </c>
      <c r="C7210" s="5">
        <v>10</v>
      </c>
      <c r="D7210" s="25">
        <v>1.1415000000000001E-4</v>
      </c>
      <c r="E7210" s="25">
        <v>1.1213E-4</v>
      </c>
      <c r="F7210" s="25">
        <v>1.2181E-4</v>
      </c>
      <c r="G7210" s="25">
        <v>1.15E-4</v>
      </c>
      <c r="H7210" s="25">
        <v>2.6610000000000001E-5</v>
      </c>
      <c r="I7210" s="9">
        <v>1.2026E-4</v>
      </c>
      <c r="J7210" s="9">
        <v>1.0472E-4</v>
      </c>
      <c r="K7210" s="9">
        <v>3.3909999999999999E-5</v>
      </c>
      <c r="L7210" s="9">
        <v>2.3249999999999999E-5</v>
      </c>
      <c r="M7210" s="9">
        <v>5.2210000000000003E-5</v>
      </c>
      <c r="N7210" s="9">
        <v>7.0820000000000003E-5</v>
      </c>
      <c r="O7210" s="9">
        <v>2.9459999999999999E-5</v>
      </c>
      <c r="P7210" s="9">
        <v>6.8349999999999994E-5</v>
      </c>
      <c r="Q7210" s="9">
        <v>1.0637999999999999E-4</v>
      </c>
      <c r="R7210" s="10">
        <v>6.9979919105280384E-5</v>
      </c>
      <c r="S7210" s="10">
        <v>9.6261239434168393E-5</v>
      </c>
      <c r="T7210" s="10">
        <v>0</v>
      </c>
      <c r="U7210" s="10">
        <v>7.7579999999999999E-5</v>
      </c>
      <c r="V7210" s="25"/>
      <c r="W7210" s="25"/>
      <c r="X7210" s="25"/>
      <c r="Y7210" s="25"/>
      <c r="Z7210" s="25"/>
      <c r="AA7210" s="25"/>
    </row>
    <row r="7211" spans="1:27" x14ac:dyDescent="0.35">
      <c r="A7211" s="5">
        <v>7207</v>
      </c>
      <c r="B7211" s="5">
        <v>301</v>
      </c>
      <c r="C7211" s="5">
        <v>10</v>
      </c>
      <c r="D7211" s="25">
        <v>1.1416E-4</v>
      </c>
      <c r="E7211" s="25">
        <v>1.1846E-4</v>
      </c>
      <c r="F7211" s="25">
        <v>1.3887E-4</v>
      </c>
      <c r="G7211" s="25">
        <v>1.131E-4</v>
      </c>
      <c r="H7211" s="25">
        <v>2.6129999999999999E-5</v>
      </c>
      <c r="I7211" s="9">
        <v>1.3321000000000001E-4</v>
      </c>
      <c r="J7211" s="9">
        <v>1.2173E-4</v>
      </c>
      <c r="K7211" s="9">
        <v>2.544E-5</v>
      </c>
      <c r="L7211" s="9">
        <v>2.7990000000000001E-5</v>
      </c>
      <c r="M7211" s="9">
        <v>5.914E-5</v>
      </c>
      <c r="N7211" s="9">
        <v>8.0430000000000001E-5</v>
      </c>
      <c r="O7211" s="9">
        <v>4.5710000000000001E-5</v>
      </c>
      <c r="P7211" s="9">
        <v>7.8800000000000004E-5</v>
      </c>
      <c r="Q7211" s="9">
        <v>1.1131E-4</v>
      </c>
      <c r="R7211" s="10">
        <v>7.13964093293849E-5</v>
      </c>
      <c r="S7211" s="10">
        <v>1.0482336859709646E-4</v>
      </c>
      <c r="T7211" s="10">
        <v>0</v>
      </c>
      <c r="U7211" s="10">
        <v>7.7579999999999999E-5</v>
      </c>
      <c r="V7211" s="25"/>
      <c r="W7211" s="25"/>
      <c r="X7211" s="25"/>
      <c r="Y7211" s="25"/>
      <c r="Z7211" s="25"/>
      <c r="AA7211" s="25"/>
    </row>
    <row r="7212" spans="1:27" x14ac:dyDescent="0.35">
      <c r="A7212" s="5">
        <v>7208</v>
      </c>
      <c r="B7212" s="5">
        <v>301</v>
      </c>
      <c r="C7212" s="5">
        <v>10</v>
      </c>
      <c r="D7212" s="25">
        <v>1.1415000000000001E-4</v>
      </c>
      <c r="E7212" s="25">
        <v>1.189E-4</v>
      </c>
      <c r="F7212" s="25">
        <v>1.3948000000000001E-4</v>
      </c>
      <c r="G7212" s="25">
        <v>1.6305000000000001E-4</v>
      </c>
      <c r="H7212" s="25">
        <v>4.0170000000000003E-5</v>
      </c>
      <c r="I7212" s="9">
        <v>1.3689E-4</v>
      </c>
      <c r="J7212" s="9">
        <v>1.3524000000000001E-4</v>
      </c>
      <c r="K7212" s="9">
        <v>4.2400000000000001E-6</v>
      </c>
      <c r="L7212" s="9">
        <v>4.1669999999999999E-5</v>
      </c>
      <c r="M7212" s="9">
        <v>6.7960000000000007E-5</v>
      </c>
      <c r="N7212" s="9">
        <v>9.0340000000000006E-5</v>
      </c>
      <c r="O7212" s="9">
        <v>6.8380000000000006E-5</v>
      </c>
      <c r="P7212" s="9">
        <v>1.0281999999999999E-4</v>
      </c>
      <c r="Q7212" s="9">
        <v>1.3690999999999999E-4</v>
      </c>
      <c r="R7212" s="10">
        <v>7.4196972957796489E-5</v>
      </c>
      <c r="S7212" s="10">
        <v>1.1045124280991968E-4</v>
      </c>
      <c r="T7212" s="10">
        <v>1.9386624015075652E-5</v>
      </c>
      <c r="U7212" s="10">
        <v>7.7579999999999999E-5</v>
      </c>
      <c r="V7212" s="25"/>
      <c r="W7212" s="25"/>
      <c r="X7212" s="25"/>
      <c r="Y7212" s="25"/>
      <c r="Z7212" s="25"/>
      <c r="AA7212" s="25"/>
    </row>
    <row r="7213" spans="1:27" x14ac:dyDescent="0.35">
      <c r="A7213" s="5">
        <v>7209</v>
      </c>
      <c r="B7213" s="5">
        <v>301</v>
      </c>
      <c r="C7213" s="5">
        <v>10</v>
      </c>
      <c r="D7213" s="25">
        <v>1.1416E-4</v>
      </c>
      <c r="E7213" s="25">
        <v>1.1898E-4</v>
      </c>
      <c r="F7213" s="25">
        <v>1.359E-4</v>
      </c>
      <c r="G7213" s="25">
        <v>1.5648999999999999E-4</v>
      </c>
      <c r="H7213" s="25">
        <v>3.9100000000000002E-5</v>
      </c>
      <c r="I7213" s="9">
        <v>1.3736999999999999E-4</v>
      </c>
      <c r="J7213" s="9">
        <v>1.3946999999999999E-4</v>
      </c>
      <c r="K7213" s="9">
        <v>0</v>
      </c>
      <c r="L7213" s="9">
        <v>6.2130000000000003E-5</v>
      </c>
      <c r="M7213" s="9">
        <v>8.2689999999999996E-5</v>
      </c>
      <c r="N7213" s="9">
        <v>1.0420999999999999E-4</v>
      </c>
      <c r="O7213" s="9">
        <v>9.8989999999999999E-5</v>
      </c>
      <c r="P7213" s="9">
        <v>1.3710999999999999E-4</v>
      </c>
      <c r="Q7213" s="9">
        <v>1.7518000000000001E-4</v>
      </c>
      <c r="R7213" s="10">
        <v>7.779059336764812E-5</v>
      </c>
      <c r="S7213" s="10">
        <v>1.2127984045191104E-4</v>
      </c>
      <c r="T7213" s="10">
        <v>6.7246556649229599E-5</v>
      </c>
      <c r="U7213" s="10">
        <v>7.7579999999999999E-5</v>
      </c>
      <c r="V7213" s="25"/>
      <c r="W7213" s="25"/>
      <c r="X7213" s="25"/>
      <c r="Y7213" s="25"/>
      <c r="Z7213" s="25"/>
      <c r="AA7213" s="25"/>
    </row>
    <row r="7214" spans="1:27" x14ac:dyDescent="0.35">
      <c r="A7214" s="5">
        <v>7210</v>
      </c>
      <c r="B7214" s="5">
        <v>301</v>
      </c>
      <c r="C7214" s="5">
        <v>10</v>
      </c>
      <c r="D7214" s="25">
        <v>1.1415000000000001E-4</v>
      </c>
      <c r="E7214" s="25">
        <v>1.2087E-4</v>
      </c>
      <c r="F7214" s="25">
        <v>1.2339E-4</v>
      </c>
      <c r="G7214" s="25">
        <v>1.6102999999999999E-4</v>
      </c>
      <c r="H7214" s="25">
        <v>4.1499999999999999E-5</v>
      </c>
      <c r="I7214" s="9">
        <v>1.3750000000000001E-4</v>
      </c>
      <c r="J7214" s="9">
        <v>1.4035999999999999E-4</v>
      </c>
      <c r="K7214" s="9">
        <v>0</v>
      </c>
      <c r="L7214" s="9">
        <v>9.0340000000000006E-5</v>
      </c>
      <c r="M7214" s="9">
        <v>1.0602E-4</v>
      </c>
      <c r="N7214" s="9">
        <v>1.2392999999999999E-4</v>
      </c>
      <c r="O7214" s="9">
        <v>1.281E-4</v>
      </c>
      <c r="P7214" s="9">
        <v>1.5438999999999999E-4</v>
      </c>
      <c r="Q7214" s="9">
        <v>1.8115000000000001E-4</v>
      </c>
      <c r="R7214" s="10">
        <v>7.2584279091050178E-5</v>
      </c>
      <c r="S7214" s="10">
        <v>1.3304702344452414E-4</v>
      </c>
      <c r="T7214" s="10">
        <v>1.6639407885499506E-4</v>
      </c>
      <c r="U7214" s="10">
        <v>7.7579999999999999E-5</v>
      </c>
      <c r="V7214" s="25"/>
      <c r="W7214" s="25"/>
      <c r="X7214" s="25"/>
      <c r="Y7214" s="25"/>
      <c r="Z7214" s="25"/>
      <c r="AA7214" s="25"/>
    </row>
    <row r="7215" spans="1:27" x14ac:dyDescent="0.35">
      <c r="A7215" s="5">
        <v>7211</v>
      </c>
      <c r="B7215" s="5">
        <v>301</v>
      </c>
      <c r="C7215" s="5">
        <v>10</v>
      </c>
      <c r="D7215" s="25">
        <v>1.1416E-4</v>
      </c>
      <c r="E7215" s="25">
        <v>1.1793E-4</v>
      </c>
      <c r="F7215" s="25">
        <v>1.3736999999999999E-4</v>
      </c>
      <c r="G7215" s="25">
        <v>1.6139E-4</v>
      </c>
      <c r="H7215" s="25">
        <v>3.9520000000000001E-5</v>
      </c>
      <c r="I7215" s="9">
        <v>1.3836E-4</v>
      </c>
      <c r="J7215" s="9">
        <v>1.4024E-4</v>
      </c>
      <c r="K7215" s="9">
        <v>0</v>
      </c>
      <c r="L7215" s="9">
        <v>1.1909999999999999E-4</v>
      </c>
      <c r="M7215" s="9">
        <v>1.2930999999999999E-4</v>
      </c>
      <c r="N7215" s="9">
        <v>1.4187999999999999E-4</v>
      </c>
      <c r="O7215" s="9">
        <v>1.3816999999999999E-4</v>
      </c>
      <c r="P7215" s="9">
        <v>1.5922000000000001E-4</v>
      </c>
      <c r="Q7215" s="9">
        <v>1.8092E-4</v>
      </c>
      <c r="R7215" s="10">
        <v>6.4348232799325649E-5</v>
      </c>
      <c r="S7215" s="10">
        <v>1.4616953987288232E-4</v>
      </c>
      <c r="T7215" s="10">
        <v>1.7408085406622417E-4</v>
      </c>
      <c r="U7215" s="10">
        <v>7.7579999999999999E-5</v>
      </c>
      <c r="V7215" s="25"/>
      <c r="W7215" s="25"/>
      <c r="X7215" s="25"/>
      <c r="Y7215" s="25"/>
      <c r="Z7215" s="25"/>
      <c r="AA7215" s="25"/>
    </row>
    <row r="7216" spans="1:27" x14ac:dyDescent="0.35">
      <c r="A7216" s="5">
        <v>7212</v>
      </c>
      <c r="B7216" s="5">
        <v>301</v>
      </c>
      <c r="C7216" s="5">
        <v>10</v>
      </c>
      <c r="D7216" s="25">
        <v>1.1415000000000001E-4</v>
      </c>
      <c r="E7216" s="25">
        <v>1.1542E-4</v>
      </c>
      <c r="F7216" s="25">
        <v>1.3281E-4</v>
      </c>
      <c r="G7216" s="25">
        <v>1.571E-4</v>
      </c>
      <c r="H7216" s="25">
        <v>4.0290000000000002E-5</v>
      </c>
      <c r="I7216" s="9">
        <v>1.3443999999999999E-4</v>
      </c>
      <c r="J7216" s="9">
        <v>1.3883E-4</v>
      </c>
      <c r="K7216" s="9">
        <v>0</v>
      </c>
      <c r="L7216" s="9">
        <v>1.3331000000000001E-4</v>
      </c>
      <c r="M7216" s="9">
        <v>1.4558999999999999E-4</v>
      </c>
      <c r="N7216" s="9">
        <v>1.5640000000000001E-4</v>
      </c>
      <c r="O7216" s="9">
        <v>1.3763E-4</v>
      </c>
      <c r="P7216" s="9">
        <v>1.55E-4</v>
      </c>
      <c r="Q7216" s="9">
        <v>1.7309000000000001E-4</v>
      </c>
      <c r="R7216" s="10">
        <v>6.2199086514009205E-5</v>
      </c>
      <c r="S7216" s="10">
        <v>1.5852580506072104E-4</v>
      </c>
      <c r="T7216" s="10">
        <v>2.9952970425743144E-4</v>
      </c>
      <c r="U7216" s="10">
        <v>7.7579999999999999E-5</v>
      </c>
      <c r="V7216" s="25"/>
      <c r="W7216" s="25"/>
      <c r="X7216" s="25"/>
      <c r="Y7216" s="25"/>
      <c r="Z7216" s="25"/>
      <c r="AA7216" s="25"/>
    </row>
    <row r="7217" spans="1:27" x14ac:dyDescent="0.35">
      <c r="A7217" s="5">
        <v>7213</v>
      </c>
      <c r="B7217" s="5">
        <v>301</v>
      </c>
      <c r="C7217" s="5">
        <v>10</v>
      </c>
      <c r="D7217" s="25">
        <v>1.1416E-4</v>
      </c>
      <c r="E7217" s="25">
        <v>1.1744E-4</v>
      </c>
      <c r="F7217" s="25">
        <v>1.3289000000000001E-4</v>
      </c>
      <c r="G7217" s="25">
        <v>1.5792000000000001E-4</v>
      </c>
      <c r="H7217" s="25">
        <v>4.0779999999999999E-5</v>
      </c>
      <c r="I7217" s="9">
        <v>1.337E-4</v>
      </c>
      <c r="J7217" s="9">
        <v>1.3726E-4</v>
      </c>
      <c r="K7217" s="9">
        <v>0</v>
      </c>
      <c r="L7217" s="9">
        <v>1.3646E-4</v>
      </c>
      <c r="M7217" s="9">
        <v>1.5252000000000001E-4</v>
      </c>
      <c r="N7217" s="9">
        <v>1.6576000000000001E-4</v>
      </c>
      <c r="O7217" s="9">
        <v>1.3124999999999999E-4</v>
      </c>
      <c r="P7217" s="9">
        <v>1.4971E-4</v>
      </c>
      <c r="Q7217" s="9">
        <v>1.6878999999999999E-4</v>
      </c>
      <c r="R7217" s="10">
        <v>4.7467389996589755E-5</v>
      </c>
      <c r="S7217" s="10">
        <v>1.4596903990320679E-4</v>
      </c>
      <c r="T7217" s="10">
        <v>6.1638434778785384E-5</v>
      </c>
      <c r="U7217" s="10">
        <v>7.7579999999999999E-5</v>
      </c>
      <c r="V7217" s="25"/>
      <c r="W7217" s="25"/>
      <c r="X7217" s="25"/>
      <c r="Y7217" s="25"/>
      <c r="Z7217" s="25"/>
      <c r="AA7217" s="25"/>
    </row>
    <row r="7218" spans="1:27" x14ac:dyDescent="0.35">
      <c r="A7218" s="5">
        <v>7214</v>
      </c>
      <c r="B7218" s="5">
        <v>301</v>
      </c>
      <c r="C7218" s="5">
        <v>10</v>
      </c>
      <c r="D7218" s="25">
        <v>1.1415000000000001E-4</v>
      </c>
      <c r="E7218" s="25">
        <v>1.1801E-4</v>
      </c>
      <c r="F7218" s="25">
        <v>1.2818000000000001E-4</v>
      </c>
      <c r="G7218" s="25">
        <v>1.6458999999999999E-4</v>
      </c>
      <c r="H7218" s="25">
        <v>4.1480000000000003E-5</v>
      </c>
      <c r="I7218" s="9">
        <v>1.3130999999999999E-4</v>
      </c>
      <c r="J7218" s="9">
        <v>1.3668999999999999E-4</v>
      </c>
      <c r="K7218" s="9">
        <v>0</v>
      </c>
      <c r="L7218" s="9">
        <v>1.3249E-4</v>
      </c>
      <c r="M7218" s="9">
        <v>1.5279000000000001E-4</v>
      </c>
      <c r="N7218" s="9">
        <v>1.7048000000000001E-4</v>
      </c>
      <c r="O7218" s="9">
        <v>1.1264000000000001E-4</v>
      </c>
      <c r="P7218" s="9">
        <v>1.3657E-4</v>
      </c>
      <c r="Q7218" s="9">
        <v>1.6082999999999999E-4</v>
      </c>
      <c r="R7218" s="10">
        <v>4.8426577113416558E-5</v>
      </c>
      <c r="S7218" s="10">
        <v>1.3310394532751874E-4</v>
      </c>
      <c r="T7218" s="10">
        <v>4.7876901232854221E-5</v>
      </c>
      <c r="U7218" s="10">
        <v>7.7579999999999999E-5</v>
      </c>
      <c r="V7218" s="25"/>
      <c r="W7218" s="25"/>
      <c r="X7218" s="25"/>
      <c r="Y7218" s="25"/>
      <c r="Z7218" s="25"/>
      <c r="AA7218" s="25"/>
    </row>
    <row r="7219" spans="1:27" x14ac:dyDescent="0.35">
      <c r="A7219" s="5">
        <v>7215</v>
      </c>
      <c r="B7219" s="5">
        <v>301</v>
      </c>
      <c r="C7219" s="5">
        <v>10</v>
      </c>
      <c r="D7219" s="25">
        <v>1.1416E-4</v>
      </c>
      <c r="E7219" s="25">
        <v>1.1694E-4</v>
      </c>
      <c r="F7219" s="25">
        <v>1.4039E-4</v>
      </c>
      <c r="G7219" s="25">
        <v>1.5951999999999999E-4</v>
      </c>
      <c r="H7219" s="25">
        <v>3.9010000000000001E-5</v>
      </c>
      <c r="I7219" s="9">
        <v>1.3098E-4</v>
      </c>
      <c r="J7219" s="9">
        <v>1.3563E-4</v>
      </c>
      <c r="K7219" s="9">
        <v>0</v>
      </c>
      <c r="L7219" s="9">
        <v>1.1718999999999999E-4</v>
      </c>
      <c r="M7219" s="9">
        <v>1.4676000000000001E-4</v>
      </c>
      <c r="N7219" s="9">
        <v>1.7013E-4</v>
      </c>
      <c r="O7219" s="9">
        <v>1.2752999999999999E-4</v>
      </c>
      <c r="P7219" s="9">
        <v>1.3982999999999999E-4</v>
      </c>
      <c r="Q7219" s="9">
        <v>1.5281E-4</v>
      </c>
      <c r="R7219" s="10">
        <v>4.8158646171189895E-5</v>
      </c>
      <c r="S7219" s="10">
        <v>1.3804357238424286E-4</v>
      </c>
      <c r="T7219" s="10">
        <v>3.2079135842888861E-5</v>
      </c>
      <c r="U7219" s="10">
        <v>7.7579999999999999E-5</v>
      </c>
      <c r="V7219" s="25"/>
      <c r="W7219" s="25"/>
      <c r="X7219" s="25"/>
      <c r="Y7219" s="25"/>
      <c r="Z7219" s="25"/>
      <c r="AA7219" s="25"/>
    </row>
    <row r="7220" spans="1:27" x14ac:dyDescent="0.35">
      <c r="A7220" s="5">
        <v>7216</v>
      </c>
      <c r="B7220" s="5">
        <v>301</v>
      </c>
      <c r="C7220" s="5">
        <v>10</v>
      </c>
      <c r="D7220" s="25">
        <v>1.1415000000000001E-4</v>
      </c>
      <c r="E7220" s="25">
        <v>1.1844E-4</v>
      </c>
      <c r="F7220" s="25">
        <v>1.214E-4</v>
      </c>
      <c r="G7220" s="25">
        <v>1.5830999999999999E-4</v>
      </c>
      <c r="H7220" s="25">
        <v>4.0080000000000003E-5</v>
      </c>
      <c r="I7220" s="9">
        <v>1.3001000000000001E-4</v>
      </c>
      <c r="J7220" s="9">
        <v>1.3621E-4</v>
      </c>
      <c r="K7220" s="9">
        <v>0</v>
      </c>
      <c r="L7220" s="9">
        <v>1.2569E-4</v>
      </c>
      <c r="M7220" s="9">
        <v>1.4258000000000001E-4</v>
      </c>
      <c r="N7220" s="9">
        <v>1.6636E-4</v>
      </c>
      <c r="O7220" s="9">
        <v>1.3358000000000001E-4</v>
      </c>
      <c r="P7220" s="9">
        <v>1.2082999999999999E-4</v>
      </c>
      <c r="Q7220" s="9">
        <v>1.0922E-4</v>
      </c>
      <c r="R7220" s="10">
        <v>4.1632489554871031E-5</v>
      </c>
      <c r="S7220" s="10">
        <v>1.3660370624211392E-4</v>
      </c>
      <c r="T7220" s="10">
        <v>2.0599878822146031E-5</v>
      </c>
      <c r="U7220" s="10">
        <v>7.7579999999999999E-5</v>
      </c>
      <c r="V7220" s="25"/>
      <c r="W7220" s="25"/>
      <c r="X7220" s="25"/>
      <c r="Y7220" s="25"/>
      <c r="Z7220" s="25"/>
      <c r="AA7220" s="25"/>
    </row>
    <row r="7221" spans="1:27" x14ac:dyDescent="0.35">
      <c r="A7221" s="5">
        <v>7217</v>
      </c>
      <c r="B7221" s="5">
        <v>301</v>
      </c>
      <c r="C7221" s="5">
        <v>10</v>
      </c>
      <c r="D7221" s="25">
        <v>1.1416E-4</v>
      </c>
      <c r="E7221" s="25">
        <v>1.2053E-4</v>
      </c>
      <c r="F7221" s="25">
        <v>1.3952999999999999E-4</v>
      </c>
      <c r="G7221" s="25">
        <v>1.6107E-4</v>
      </c>
      <c r="H7221" s="25">
        <v>4.1130000000000001E-5</v>
      </c>
      <c r="I7221" s="9">
        <v>1.3214999999999999E-4</v>
      </c>
      <c r="J7221" s="9">
        <v>1.3846999999999999E-4</v>
      </c>
      <c r="K7221" s="9">
        <v>0</v>
      </c>
      <c r="L7221" s="9">
        <v>1.3158000000000001E-4</v>
      </c>
      <c r="M7221" s="9">
        <v>1.3380999999999999E-4</v>
      </c>
      <c r="N7221" s="9">
        <v>1.5249999999999999E-4</v>
      </c>
      <c r="O7221" s="9">
        <v>1.3994999999999999E-4</v>
      </c>
      <c r="P7221" s="9">
        <v>1.2274000000000001E-4</v>
      </c>
      <c r="Q7221" s="9">
        <v>1.0682E-4</v>
      </c>
      <c r="R7221" s="10">
        <v>4.332133963266873E-5</v>
      </c>
      <c r="S7221" s="10">
        <v>1.3784464097439214E-4</v>
      </c>
      <c r="T7221" s="10">
        <v>0</v>
      </c>
      <c r="U7221" s="10">
        <v>7.7579999999999999E-5</v>
      </c>
      <c r="V7221" s="25"/>
      <c r="W7221" s="25"/>
      <c r="X7221" s="25"/>
      <c r="Y7221" s="25"/>
      <c r="Z7221" s="25"/>
      <c r="AA7221" s="25"/>
    </row>
    <row r="7222" spans="1:27" x14ac:dyDescent="0.35">
      <c r="A7222" s="5">
        <v>7218</v>
      </c>
      <c r="B7222" s="5">
        <v>301</v>
      </c>
      <c r="C7222" s="5">
        <v>10</v>
      </c>
      <c r="D7222" s="25">
        <v>1.1415000000000001E-4</v>
      </c>
      <c r="E7222" s="25">
        <v>1.176E-4</v>
      </c>
      <c r="F7222" s="25">
        <v>1.3619000000000001E-4</v>
      </c>
      <c r="G7222" s="25">
        <v>1.6182999999999999E-4</v>
      </c>
      <c r="H7222" s="25">
        <v>4.0949999999999999E-5</v>
      </c>
      <c r="I7222" s="9">
        <v>1.3692000000000001E-4</v>
      </c>
      <c r="J7222" s="9">
        <v>1.3935999999999999E-4</v>
      </c>
      <c r="K7222" s="9">
        <v>0</v>
      </c>
      <c r="L7222" s="9">
        <v>1.3782000000000001E-4</v>
      </c>
      <c r="M7222" s="9">
        <v>1.2760000000000001E-4</v>
      </c>
      <c r="N7222" s="9">
        <v>1.3908E-4</v>
      </c>
      <c r="O7222" s="9">
        <v>1.4148000000000001E-4</v>
      </c>
      <c r="P7222" s="9">
        <v>1.2917000000000001E-4</v>
      </c>
      <c r="Q7222" s="9">
        <v>1.1809E-4</v>
      </c>
      <c r="R7222" s="10">
        <v>4.7349677690377967E-5</v>
      </c>
      <c r="S7222" s="10">
        <v>1.3369266639983018E-4</v>
      </c>
      <c r="T7222" s="10">
        <v>0</v>
      </c>
      <c r="U7222" s="10">
        <v>7.7579999999999999E-5</v>
      </c>
      <c r="V7222" s="25"/>
      <c r="W7222" s="25"/>
      <c r="X7222" s="25"/>
      <c r="Y7222" s="25"/>
      <c r="Z7222" s="25"/>
      <c r="AA7222" s="25"/>
    </row>
    <row r="7223" spans="1:27" x14ac:dyDescent="0.35">
      <c r="A7223" s="5">
        <v>7219</v>
      </c>
      <c r="B7223" s="5">
        <v>301</v>
      </c>
      <c r="C7223" s="5">
        <v>10</v>
      </c>
      <c r="D7223" s="25">
        <v>1.1416E-4</v>
      </c>
      <c r="E7223" s="25">
        <v>1.1364E-4</v>
      </c>
      <c r="F7223" s="25">
        <v>1.3184000000000001E-4</v>
      </c>
      <c r="G7223" s="25">
        <v>1.1466E-4</v>
      </c>
      <c r="H7223" s="25">
        <v>2.7180000000000001E-5</v>
      </c>
      <c r="I7223" s="9">
        <v>1.3765000000000001E-4</v>
      </c>
      <c r="J7223" s="9">
        <v>1.4103999999999999E-4</v>
      </c>
      <c r="K7223" s="9">
        <v>0</v>
      </c>
      <c r="L7223" s="9">
        <v>1.4056999999999999E-4</v>
      </c>
      <c r="M7223" s="9">
        <v>1.2674999999999999E-4</v>
      </c>
      <c r="N7223" s="9">
        <v>1.3004E-4</v>
      </c>
      <c r="O7223" s="9">
        <v>1.4093999999999999E-4</v>
      </c>
      <c r="P7223" s="9">
        <v>1.2307999999999999E-4</v>
      </c>
      <c r="Q7223" s="9">
        <v>1.0653E-4</v>
      </c>
      <c r="R7223" s="10">
        <v>4.945133213190348E-5</v>
      </c>
      <c r="S7223" s="10">
        <v>1.2714051535860638E-4</v>
      </c>
      <c r="T7223" s="10">
        <v>0</v>
      </c>
      <c r="U7223" s="10">
        <v>7.7579999999999999E-5</v>
      </c>
      <c r="V7223" s="25"/>
      <c r="W7223" s="25"/>
      <c r="X7223" s="25"/>
      <c r="Y7223" s="25"/>
      <c r="Z7223" s="25"/>
      <c r="AA7223" s="25"/>
    </row>
    <row r="7224" spans="1:27" x14ac:dyDescent="0.35">
      <c r="A7224" s="5">
        <v>7220</v>
      </c>
      <c r="B7224" s="5">
        <v>301</v>
      </c>
      <c r="C7224" s="5">
        <v>10</v>
      </c>
      <c r="D7224" s="25">
        <v>1.1415000000000001E-4</v>
      </c>
      <c r="E7224" s="25">
        <v>1.1319000000000001E-4</v>
      </c>
      <c r="F7224" s="25">
        <v>1.1937E-4</v>
      </c>
      <c r="G7224" s="25">
        <v>1.1383999999999999E-4</v>
      </c>
      <c r="H7224" s="25">
        <v>2.618E-5</v>
      </c>
      <c r="I7224" s="9">
        <v>1.3011000000000001E-4</v>
      </c>
      <c r="J7224" s="9">
        <v>1.3624000000000001E-4</v>
      </c>
      <c r="K7224" s="9">
        <v>0</v>
      </c>
      <c r="L7224" s="9">
        <v>1.4082E-4</v>
      </c>
      <c r="M7224" s="9">
        <v>1.2548E-4</v>
      </c>
      <c r="N7224" s="9">
        <v>1.2079E-4</v>
      </c>
      <c r="O7224" s="9">
        <v>1.449E-4</v>
      </c>
      <c r="P7224" s="9">
        <v>1.2297999999999999E-4</v>
      </c>
      <c r="Q7224" s="9">
        <v>1.0246E-4</v>
      </c>
      <c r="R7224" s="10">
        <v>4.8706603869242755E-5</v>
      </c>
      <c r="S7224" s="10">
        <v>1.2161790970521332E-4</v>
      </c>
      <c r="T7224" s="10">
        <v>0</v>
      </c>
      <c r="U7224" s="10">
        <v>7.7579999999999999E-5</v>
      </c>
      <c r="V7224" s="25"/>
      <c r="W7224" s="25"/>
      <c r="X7224" s="25"/>
      <c r="Y7224" s="25"/>
      <c r="Z7224" s="25"/>
      <c r="AA7224" s="25"/>
    </row>
    <row r="7225" spans="1:27" x14ac:dyDescent="0.35">
      <c r="A7225" s="5">
        <v>7221</v>
      </c>
      <c r="B7225" s="5">
        <v>301</v>
      </c>
      <c r="C7225" s="5">
        <v>10</v>
      </c>
      <c r="D7225" s="25">
        <v>1.1416E-4</v>
      </c>
      <c r="E7225" s="25">
        <v>1.1111E-4</v>
      </c>
      <c r="F7225" s="25">
        <v>1.2094E-4</v>
      </c>
      <c r="G7225" s="25">
        <v>5.2490000000000001E-5</v>
      </c>
      <c r="H7225" s="25">
        <v>1.4800000000000001E-5</v>
      </c>
      <c r="I7225" s="9">
        <v>1.2294000000000001E-4</v>
      </c>
      <c r="J7225" s="9">
        <v>1.2828000000000001E-4</v>
      </c>
      <c r="K7225" s="9">
        <v>0</v>
      </c>
      <c r="L7225" s="9">
        <v>1.4404000000000001E-4</v>
      </c>
      <c r="M7225" s="9">
        <v>1.2427E-4</v>
      </c>
      <c r="N7225" s="9">
        <v>1.1323E-4</v>
      </c>
      <c r="O7225" s="9">
        <v>8.4870000000000006E-5</v>
      </c>
      <c r="P7225" s="9">
        <v>8.6520000000000005E-5</v>
      </c>
      <c r="Q7225" s="9">
        <v>8.852E-5</v>
      </c>
      <c r="R7225" s="10">
        <v>5.0830975157272151E-5</v>
      </c>
      <c r="S7225" s="10">
        <v>1.1024025983722323E-4</v>
      </c>
      <c r="T7225" s="10">
        <v>0</v>
      </c>
      <c r="U7225" s="10">
        <v>7.7579999999999999E-5</v>
      </c>
      <c r="V7225" s="25"/>
      <c r="W7225" s="25"/>
      <c r="X7225" s="25"/>
      <c r="Y7225" s="25"/>
      <c r="Z7225" s="25"/>
      <c r="AA7225" s="25"/>
    </row>
    <row r="7226" spans="1:27" x14ac:dyDescent="0.35">
      <c r="A7226" s="5">
        <v>7222</v>
      </c>
      <c r="B7226" s="5">
        <v>301</v>
      </c>
      <c r="C7226" s="5">
        <v>10</v>
      </c>
      <c r="D7226" s="25">
        <v>1.1415000000000001E-4</v>
      </c>
      <c r="E7226" s="25">
        <v>1.1911E-4</v>
      </c>
      <c r="F7226" s="25">
        <v>1.3281999999999999E-4</v>
      </c>
      <c r="G7226" s="25">
        <v>6.1179999999999994E-5</v>
      </c>
      <c r="H7226" s="25">
        <v>1.5480000000000001E-5</v>
      </c>
      <c r="I7226" s="9">
        <v>1.2208E-4</v>
      </c>
      <c r="J7226" s="9">
        <v>1.1862999999999999E-4</v>
      </c>
      <c r="K7226" s="9">
        <v>0</v>
      </c>
      <c r="L7226" s="9">
        <v>9.781E-5</v>
      </c>
      <c r="M7226" s="9">
        <v>1.1034E-4</v>
      </c>
      <c r="N7226" s="9">
        <v>1.0569E-4</v>
      </c>
      <c r="O7226" s="9">
        <v>8.7830000000000004E-5</v>
      </c>
      <c r="P7226" s="9">
        <v>8.8070000000000002E-5</v>
      </c>
      <c r="Q7226" s="9">
        <v>8.8720000000000004E-5</v>
      </c>
      <c r="R7226" s="10">
        <v>4.5626686932377497E-5</v>
      </c>
      <c r="S7226" s="10">
        <v>9.6157887221042478E-5</v>
      </c>
      <c r="T7226" s="10">
        <v>0</v>
      </c>
      <c r="U7226" s="10">
        <v>7.7579999999999999E-5</v>
      </c>
      <c r="V7226" s="25"/>
      <c r="W7226" s="25"/>
      <c r="X7226" s="25"/>
      <c r="Y7226" s="25"/>
      <c r="Z7226" s="25"/>
      <c r="AA7226" s="25"/>
    </row>
    <row r="7227" spans="1:27" x14ac:dyDescent="0.35">
      <c r="A7227" s="5">
        <v>7223</v>
      </c>
      <c r="B7227" s="5">
        <v>301</v>
      </c>
      <c r="C7227" s="5">
        <v>10</v>
      </c>
      <c r="D7227" s="25">
        <v>1.1416E-4</v>
      </c>
      <c r="E7227" s="25">
        <v>1.1218E-4</v>
      </c>
      <c r="F7227" s="25">
        <v>1.1979E-4</v>
      </c>
      <c r="G7227" s="25">
        <v>5.3300000000000001E-5</v>
      </c>
      <c r="H7227" s="25">
        <v>1.4440000000000001E-5</v>
      </c>
      <c r="I7227" s="9">
        <v>1.1854999999999999E-4</v>
      </c>
      <c r="J7227" s="9">
        <v>1.1033E-4</v>
      </c>
      <c r="K7227" s="9">
        <v>0</v>
      </c>
      <c r="L7227" s="9">
        <v>9.1299999999999997E-5</v>
      </c>
      <c r="M7227" s="9">
        <v>9.857E-5</v>
      </c>
      <c r="N7227" s="9">
        <v>1.0001E-4</v>
      </c>
      <c r="O7227" s="9">
        <v>8.3949999999999994E-5</v>
      </c>
      <c r="P7227" s="9">
        <v>7.4889999999999996E-5</v>
      </c>
      <c r="Q7227" s="9">
        <v>6.6340000000000005E-5</v>
      </c>
      <c r="R7227" s="10">
        <v>4.2610607858012867E-5</v>
      </c>
      <c r="S7227" s="10">
        <v>8.3027141073409861E-5</v>
      </c>
      <c r="T7227" s="10">
        <v>0</v>
      </c>
      <c r="U7227" s="10">
        <v>7.7579999999999999E-5</v>
      </c>
      <c r="V7227" s="25"/>
      <c r="W7227" s="25"/>
      <c r="X7227" s="25"/>
      <c r="Y7227" s="25"/>
      <c r="Z7227" s="25"/>
      <c r="AA7227" s="25"/>
    </row>
    <row r="7228" spans="1:27" x14ac:dyDescent="0.35">
      <c r="A7228" s="5">
        <v>7224</v>
      </c>
      <c r="B7228" s="5">
        <v>301</v>
      </c>
      <c r="C7228" s="5">
        <v>10</v>
      </c>
      <c r="D7228" s="25">
        <v>1.1415000000000001E-4</v>
      </c>
      <c r="E7228" s="25">
        <v>1.1595999999999999E-4</v>
      </c>
      <c r="F7228" s="25">
        <v>1.2106E-4</v>
      </c>
      <c r="G7228" s="25">
        <v>6.2890000000000003E-5</v>
      </c>
      <c r="H7228" s="25">
        <v>1.537E-5</v>
      </c>
      <c r="I7228" s="9">
        <v>1.1074E-4</v>
      </c>
      <c r="J7228" s="9">
        <v>1.0254E-4</v>
      </c>
      <c r="K7228" s="9">
        <v>6.3600000000000001E-6</v>
      </c>
      <c r="L7228" s="9">
        <v>8.5799999999999998E-5</v>
      </c>
      <c r="M7228" s="9">
        <v>8.7280000000000005E-5</v>
      </c>
      <c r="N7228" s="9">
        <v>9.0610000000000002E-5</v>
      </c>
      <c r="O7228" s="9">
        <v>7.8540000000000004E-5</v>
      </c>
      <c r="P7228" s="9">
        <v>6.8239999999999997E-5</v>
      </c>
      <c r="Q7228" s="9">
        <v>5.8409999999999998E-5</v>
      </c>
      <c r="R7228" s="10">
        <v>4.9906577487922939E-5</v>
      </c>
      <c r="S7228" s="10">
        <v>7.2367200480882323E-5</v>
      </c>
      <c r="T7228" s="10">
        <v>0</v>
      </c>
      <c r="U7228" s="10">
        <v>7.7579999999999999E-5</v>
      </c>
      <c r="V7228" s="25"/>
      <c r="W7228" s="25"/>
      <c r="X7228" s="25"/>
      <c r="Y7228" s="25"/>
      <c r="Z7228" s="25"/>
      <c r="AA7228" s="25"/>
    </row>
    <row r="7229" spans="1:27" x14ac:dyDescent="0.35">
      <c r="A7229" s="5">
        <v>7225</v>
      </c>
      <c r="B7229" s="5">
        <v>302</v>
      </c>
      <c r="C7229" s="5">
        <v>10</v>
      </c>
      <c r="D7229" s="25">
        <v>1.1416E-4</v>
      </c>
      <c r="E7229" s="25">
        <v>1.1404E-4</v>
      </c>
      <c r="F7229" s="25">
        <v>1.1859E-4</v>
      </c>
      <c r="G7229" s="25">
        <v>5.3000000000000001E-5</v>
      </c>
      <c r="H7229" s="25">
        <v>7.4800000000000002E-5</v>
      </c>
      <c r="I7229" s="9">
        <v>1.0348000000000001E-4</v>
      </c>
      <c r="J7229" s="9">
        <v>9.7180000000000001E-5</v>
      </c>
      <c r="K7229" s="9">
        <v>0</v>
      </c>
      <c r="L7229" s="9">
        <v>7.9939999999999997E-5</v>
      </c>
      <c r="M7229" s="9">
        <v>7.7849999999999995E-5</v>
      </c>
      <c r="N7229" s="9">
        <v>8.1100000000000006E-5</v>
      </c>
      <c r="O7229" s="9">
        <v>5.4469999999999999E-5</v>
      </c>
      <c r="P7229" s="9">
        <v>5.3890000000000001E-5</v>
      </c>
      <c r="Q7229" s="9">
        <v>5.346E-5</v>
      </c>
      <c r="R7229" s="10">
        <v>3.9246194724969022E-5</v>
      </c>
      <c r="S7229" s="10">
        <v>6.0900611376352488E-5</v>
      </c>
      <c r="T7229" s="10">
        <v>0</v>
      </c>
      <c r="U7229" s="10">
        <v>7.8360000000000002E-5</v>
      </c>
      <c r="V7229" s="25"/>
      <c r="W7229" s="25"/>
      <c r="X7229" s="25"/>
      <c r="Y7229" s="25"/>
      <c r="Z7229" s="25"/>
      <c r="AA7229" s="25"/>
    </row>
    <row r="7230" spans="1:27" x14ac:dyDescent="0.35">
      <c r="A7230" s="5">
        <v>7226</v>
      </c>
      <c r="B7230" s="5">
        <v>302</v>
      </c>
      <c r="C7230" s="5">
        <v>10</v>
      </c>
      <c r="D7230" s="25">
        <v>1.1415000000000001E-4</v>
      </c>
      <c r="E7230" s="25">
        <v>1.0849999999999999E-4</v>
      </c>
      <c r="F7230" s="25">
        <v>1.2454999999999999E-4</v>
      </c>
      <c r="G7230" s="25">
        <v>5.7290000000000002E-5</v>
      </c>
      <c r="H7230" s="25">
        <v>6.5019999999999998E-5</v>
      </c>
      <c r="I7230" s="9">
        <v>9.9199999999999999E-5</v>
      </c>
      <c r="J7230" s="9">
        <v>9.4549999999999994E-5</v>
      </c>
      <c r="K7230" s="9">
        <v>1.06E-5</v>
      </c>
      <c r="L7230" s="9">
        <v>6.0220000000000003E-5</v>
      </c>
      <c r="M7230" s="9">
        <v>6.7020000000000005E-5</v>
      </c>
      <c r="N7230" s="9">
        <v>7.1970000000000004E-5</v>
      </c>
      <c r="O7230" s="9">
        <v>1.863E-5</v>
      </c>
      <c r="P7230" s="9">
        <v>3.748E-5</v>
      </c>
      <c r="Q7230" s="9">
        <v>5.5779999999999998E-5</v>
      </c>
      <c r="R7230" s="10">
        <v>3.2998765873436473E-5</v>
      </c>
      <c r="S7230" s="10">
        <v>4.9890611048175537E-5</v>
      </c>
      <c r="T7230" s="10">
        <v>0</v>
      </c>
      <c r="U7230" s="10">
        <v>7.8360000000000002E-5</v>
      </c>
      <c r="V7230" s="25"/>
      <c r="W7230" s="25"/>
      <c r="X7230" s="25"/>
      <c r="Y7230" s="25"/>
      <c r="Z7230" s="25"/>
      <c r="AA7230" s="25"/>
    </row>
    <row r="7231" spans="1:27" x14ac:dyDescent="0.35">
      <c r="A7231" s="5">
        <v>7227</v>
      </c>
      <c r="B7231" s="5">
        <v>302</v>
      </c>
      <c r="C7231" s="5">
        <v>10</v>
      </c>
      <c r="D7231" s="25">
        <v>1.1416E-4</v>
      </c>
      <c r="E7231" s="25">
        <v>1.1629E-4</v>
      </c>
      <c r="F7231" s="25">
        <v>1.0956E-4</v>
      </c>
      <c r="G7231" s="25">
        <v>5.6339999999999999E-5</v>
      </c>
      <c r="H7231" s="25">
        <v>6.4989999999999999E-5</v>
      </c>
      <c r="I7231" s="9">
        <v>9.8099999999999999E-5</v>
      </c>
      <c r="J7231" s="9">
        <v>9.3289999999999996E-5</v>
      </c>
      <c r="K7231" s="9">
        <v>1.061E-5</v>
      </c>
      <c r="L7231" s="9">
        <v>2.83E-5</v>
      </c>
      <c r="M7231" s="9">
        <v>5.3739999999999997E-5</v>
      </c>
      <c r="N7231" s="9">
        <v>6.5309999999999996E-5</v>
      </c>
      <c r="O7231" s="9">
        <v>1.328E-5</v>
      </c>
      <c r="P7231" s="9">
        <v>3.7799999999999997E-5</v>
      </c>
      <c r="Q7231" s="9">
        <v>6.1610000000000001E-5</v>
      </c>
      <c r="R7231" s="10">
        <v>2.885474673109517E-5</v>
      </c>
      <c r="S7231" s="10">
        <v>4.3104463862188812E-5</v>
      </c>
      <c r="T7231" s="10">
        <v>0</v>
      </c>
      <c r="U7231" s="10">
        <v>7.8360000000000002E-5</v>
      </c>
      <c r="V7231" s="25"/>
      <c r="W7231" s="25"/>
      <c r="X7231" s="25"/>
      <c r="Y7231" s="25"/>
      <c r="Z7231" s="25"/>
      <c r="AA7231" s="25"/>
    </row>
    <row r="7232" spans="1:27" x14ac:dyDescent="0.35">
      <c r="A7232" s="5">
        <v>7228</v>
      </c>
      <c r="B7232" s="5">
        <v>302</v>
      </c>
      <c r="C7232" s="5">
        <v>10</v>
      </c>
      <c r="D7232" s="25">
        <v>1.1415000000000001E-4</v>
      </c>
      <c r="E7232" s="25">
        <v>1.1548999999999999E-4</v>
      </c>
      <c r="F7232" s="25">
        <v>1.0916000000000001E-4</v>
      </c>
      <c r="G7232" s="25">
        <v>5.7979999999999997E-5</v>
      </c>
      <c r="H7232" s="25">
        <v>7.148E-5</v>
      </c>
      <c r="I7232" s="9">
        <v>9.9630000000000007E-5</v>
      </c>
      <c r="J7232" s="9">
        <v>9.3250000000000003E-5</v>
      </c>
      <c r="K7232" s="9">
        <v>1.272E-5</v>
      </c>
      <c r="L7232" s="9">
        <v>1.7439999999999999E-5</v>
      </c>
      <c r="M7232" s="9">
        <v>4.4799999999999998E-5</v>
      </c>
      <c r="N7232" s="9">
        <v>6.1729999999999993E-5</v>
      </c>
      <c r="O7232" s="9">
        <v>1.3210000000000001E-5</v>
      </c>
      <c r="P7232" s="9">
        <v>4.6999999999999997E-5</v>
      </c>
      <c r="Q7232" s="9">
        <v>7.9939999999999997E-5</v>
      </c>
      <c r="R7232" s="10">
        <v>2.4350010000771291E-5</v>
      </c>
      <c r="S7232" s="10">
        <v>3.3260587556496807E-5</v>
      </c>
      <c r="T7232" s="10">
        <v>0</v>
      </c>
      <c r="U7232" s="10">
        <v>7.8360000000000002E-5</v>
      </c>
      <c r="V7232" s="25"/>
      <c r="W7232" s="25"/>
      <c r="X7232" s="25"/>
      <c r="Y7232" s="25"/>
      <c r="Z7232" s="25"/>
      <c r="AA7232" s="25"/>
    </row>
    <row r="7233" spans="1:27" x14ac:dyDescent="0.35">
      <c r="A7233" s="5">
        <v>7229</v>
      </c>
      <c r="B7233" s="5">
        <v>302</v>
      </c>
      <c r="C7233" s="5">
        <v>10</v>
      </c>
      <c r="D7233" s="25">
        <v>1.1416E-4</v>
      </c>
      <c r="E7233" s="25">
        <v>1.1492E-4</v>
      </c>
      <c r="F7233" s="25">
        <v>1.2952999999999999E-4</v>
      </c>
      <c r="G7233" s="25">
        <v>5.7949999999999999E-5</v>
      </c>
      <c r="H7233" s="25">
        <v>7.6320000000000001E-5</v>
      </c>
      <c r="I7233" s="9">
        <v>1.0479E-4</v>
      </c>
      <c r="J7233" s="9">
        <v>9.5509999999999999E-5</v>
      </c>
      <c r="K7233" s="9">
        <v>1.272E-5</v>
      </c>
      <c r="L7233" s="9">
        <v>1.431E-5</v>
      </c>
      <c r="M7233" s="9">
        <v>4.3619999999999999E-5</v>
      </c>
      <c r="N7233" s="9">
        <v>6.4209999999999997E-5</v>
      </c>
      <c r="O7233" s="9">
        <v>1.8620000000000001E-5</v>
      </c>
      <c r="P7233" s="9">
        <v>5.6190000000000002E-5</v>
      </c>
      <c r="Q7233" s="9">
        <v>9.2910000000000003E-5</v>
      </c>
      <c r="R7233" s="10">
        <v>2.0248346187211733E-5</v>
      </c>
      <c r="S7233" s="10">
        <v>2.4552259029290653E-5</v>
      </c>
      <c r="T7233" s="10">
        <v>0</v>
      </c>
      <c r="U7233" s="10">
        <v>7.8360000000000002E-5</v>
      </c>
      <c r="V7233" s="25"/>
      <c r="W7233" s="25"/>
      <c r="X7233" s="25"/>
      <c r="Y7233" s="25"/>
      <c r="Z7233" s="25"/>
      <c r="AA7233" s="25"/>
    </row>
    <row r="7234" spans="1:27" x14ac:dyDescent="0.35">
      <c r="A7234" s="5">
        <v>7230</v>
      </c>
      <c r="B7234" s="5">
        <v>302</v>
      </c>
      <c r="C7234" s="5">
        <v>10</v>
      </c>
      <c r="D7234" s="25">
        <v>1.1415000000000001E-4</v>
      </c>
      <c r="E7234" s="25">
        <v>1.0681E-4</v>
      </c>
      <c r="F7234" s="25">
        <v>1.2235999999999999E-4</v>
      </c>
      <c r="G7234" s="25">
        <v>1.0560000000000001E-4</v>
      </c>
      <c r="H7234" s="25">
        <v>1.3757E-4</v>
      </c>
      <c r="I7234" s="9">
        <v>1.1909999999999999E-4</v>
      </c>
      <c r="J7234" s="9">
        <v>1.0441E-4</v>
      </c>
      <c r="K7234" s="9">
        <v>2.544E-5</v>
      </c>
      <c r="L7234" s="9">
        <v>1.7540000000000001E-5</v>
      </c>
      <c r="M7234" s="9">
        <v>4.8220000000000002E-5</v>
      </c>
      <c r="N7234" s="9">
        <v>7.0660000000000004E-5</v>
      </c>
      <c r="O7234" s="9">
        <v>4.6520000000000002E-5</v>
      </c>
      <c r="P7234" s="9">
        <v>7.7280000000000005E-5</v>
      </c>
      <c r="Q7234" s="9">
        <v>1.0760999999999999E-4</v>
      </c>
      <c r="R7234" s="10">
        <v>2.1186506385764104E-5</v>
      </c>
      <c r="S7234" s="10">
        <v>1.8487671647064284E-5</v>
      </c>
      <c r="T7234" s="10">
        <v>0</v>
      </c>
      <c r="U7234" s="10">
        <v>7.8360000000000002E-5</v>
      </c>
      <c r="V7234" s="25"/>
      <c r="W7234" s="25"/>
      <c r="X7234" s="25"/>
      <c r="Y7234" s="25"/>
      <c r="Z7234" s="25"/>
      <c r="AA7234" s="25"/>
    </row>
    <row r="7235" spans="1:27" x14ac:dyDescent="0.35">
      <c r="A7235" s="5">
        <v>7231</v>
      </c>
      <c r="B7235" s="5">
        <v>302</v>
      </c>
      <c r="C7235" s="5">
        <v>10</v>
      </c>
      <c r="D7235" s="25">
        <v>1.1416E-4</v>
      </c>
      <c r="E7235" s="25">
        <v>1.0692999999999999E-4</v>
      </c>
      <c r="F7235" s="25">
        <v>1.2480999999999999E-4</v>
      </c>
      <c r="G7235" s="25">
        <v>1.0763E-4</v>
      </c>
      <c r="H7235" s="25">
        <v>1.3881000000000001E-4</v>
      </c>
      <c r="I7235" s="9">
        <v>1.3072999999999999E-4</v>
      </c>
      <c r="J7235" s="9">
        <v>1.2133000000000001E-4</v>
      </c>
      <c r="K7235" s="9">
        <v>2.9669999999999999E-5</v>
      </c>
      <c r="L7235" s="9">
        <v>4.0000000000000003E-5</v>
      </c>
      <c r="M7235" s="9">
        <v>5.9979999999999998E-5</v>
      </c>
      <c r="N7235" s="9">
        <v>8.0550000000000006E-5</v>
      </c>
      <c r="O7235" s="9">
        <v>1.2348E-4</v>
      </c>
      <c r="P7235" s="9">
        <v>1.175E-4</v>
      </c>
      <c r="Q7235" s="9">
        <v>1.1256000000000001E-4</v>
      </c>
      <c r="R7235" s="10">
        <v>2.7089542861117022E-5</v>
      </c>
      <c r="S7235" s="10">
        <v>1.7763331307769226E-5</v>
      </c>
      <c r="T7235" s="10">
        <v>0</v>
      </c>
      <c r="U7235" s="10">
        <v>7.8360000000000002E-5</v>
      </c>
      <c r="V7235" s="25"/>
      <c r="W7235" s="25"/>
      <c r="X7235" s="25"/>
      <c r="Y7235" s="25"/>
      <c r="Z7235" s="25"/>
      <c r="AA7235" s="25"/>
    </row>
    <row r="7236" spans="1:27" x14ac:dyDescent="0.35">
      <c r="A7236" s="5">
        <v>7232</v>
      </c>
      <c r="B7236" s="5">
        <v>302</v>
      </c>
      <c r="C7236" s="5">
        <v>10</v>
      </c>
      <c r="D7236" s="25">
        <v>1.1415000000000001E-4</v>
      </c>
      <c r="E7236" s="25">
        <v>1.0887000000000001E-4</v>
      </c>
      <c r="F7236" s="25">
        <v>1.215E-4</v>
      </c>
      <c r="G7236" s="25">
        <v>1.6269E-4</v>
      </c>
      <c r="H7236" s="25">
        <v>1.9687E-4</v>
      </c>
      <c r="I7236" s="9">
        <v>1.3619000000000001E-4</v>
      </c>
      <c r="J7236" s="9">
        <v>1.3559999999999999E-4</v>
      </c>
      <c r="K7236" s="9">
        <v>1.484E-5</v>
      </c>
      <c r="L7236" s="9">
        <v>1.0449E-4</v>
      </c>
      <c r="M7236" s="9">
        <v>8.3750000000000003E-5</v>
      </c>
      <c r="N7236" s="9">
        <v>9.0729999999999994E-5</v>
      </c>
      <c r="O7236" s="9">
        <v>2.1748000000000001E-4</v>
      </c>
      <c r="P7236" s="9">
        <v>1.7496999999999999E-4</v>
      </c>
      <c r="Q7236" s="9">
        <v>1.3517E-4</v>
      </c>
      <c r="R7236" s="10">
        <v>3.2396137385471434E-5</v>
      </c>
      <c r="S7236" s="10">
        <v>1.8097985298010098E-5</v>
      </c>
      <c r="T7236" s="10">
        <v>9.6305281923467705E-5</v>
      </c>
      <c r="U7236" s="10">
        <v>7.8360000000000002E-5</v>
      </c>
      <c r="V7236" s="25"/>
      <c r="W7236" s="25"/>
      <c r="X7236" s="25"/>
      <c r="Y7236" s="25"/>
      <c r="Z7236" s="25"/>
      <c r="AA7236" s="25"/>
    </row>
    <row r="7237" spans="1:27" x14ac:dyDescent="0.35">
      <c r="A7237" s="5">
        <v>7233</v>
      </c>
      <c r="B7237" s="5">
        <v>302</v>
      </c>
      <c r="C7237" s="5">
        <v>10</v>
      </c>
      <c r="D7237" s="25">
        <v>1.1416E-4</v>
      </c>
      <c r="E7237" s="25">
        <v>1.0878E-4</v>
      </c>
      <c r="F7237" s="25">
        <v>1.2477000000000001E-4</v>
      </c>
      <c r="G7237" s="25">
        <v>1.6642999999999999E-4</v>
      </c>
      <c r="H7237" s="25">
        <v>1.9625999999999999E-4</v>
      </c>
      <c r="I7237" s="9">
        <v>1.3642E-4</v>
      </c>
      <c r="J7237" s="9">
        <v>1.4066E-4</v>
      </c>
      <c r="K7237" s="9">
        <v>0</v>
      </c>
      <c r="L7237" s="9">
        <v>1.9085E-4</v>
      </c>
      <c r="M7237" s="9">
        <v>1.2273000000000001E-4</v>
      </c>
      <c r="N7237" s="9">
        <v>1.0418E-4</v>
      </c>
      <c r="O7237" s="9">
        <v>2.1023E-4</v>
      </c>
      <c r="P7237" s="9">
        <v>1.9185E-4</v>
      </c>
      <c r="Q7237" s="9">
        <v>1.7569999999999999E-4</v>
      </c>
      <c r="R7237" s="10">
        <v>3.8818377982984281E-5</v>
      </c>
      <c r="S7237" s="10">
        <v>2.6533080624806627E-5</v>
      </c>
      <c r="T7237" s="10">
        <v>7.3618265461186614E-5</v>
      </c>
      <c r="U7237" s="10">
        <v>7.8360000000000002E-5</v>
      </c>
      <c r="V7237" s="25"/>
      <c r="W7237" s="25"/>
      <c r="X7237" s="25"/>
      <c r="Y7237" s="25"/>
      <c r="Z7237" s="25"/>
      <c r="AA7237" s="25"/>
    </row>
    <row r="7238" spans="1:27" x14ac:dyDescent="0.35">
      <c r="A7238" s="5">
        <v>7234</v>
      </c>
      <c r="B7238" s="5">
        <v>302</v>
      </c>
      <c r="C7238" s="5">
        <v>10</v>
      </c>
      <c r="D7238" s="25">
        <v>1.1415000000000001E-4</v>
      </c>
      <c r="E7238" s="25">
        <v>1.1035E-4</v>
      </c>
      <c r="F7238" s="25">
        <v>1.2301E-4</v>
      </c>
      <c r="G7238" s="25">
        <v>1.6603000000000001E-4</v>
      </c>
      <c r="H7238" s="25">
        <v>2.0034E-4</v>
      </c>
      <c r="I7238" s="9">
        <v>1.3617999999999999E-4</v>
      </c>
      <c r="J7238" s="9">
        <v>1.4216000000000001E-4</v>
      </c>
      <c r="K7238" s="9">
        <v>0</v>
      </c>
      <c r="L7238" s="9">
        <v>2.0371000000000001E-4</v>
      </c>
      <c r="M7238" s="9">
        <v>1.5746999999999999E-4</v>
      </c>
      <c r="N7238" s="9">
        <v>1.2399000000000001E-4</v>
      </c>
      <c r="O7238" s="9">
        <v>1.6791000000000001E-4</v>
      </c>
      <c r="P7238" s="9">
        <v>1.7458999999999999E-4</v>
      </c>
      <c r="Q7238" s="9">
        <v>1.8260999999999999E-4</v>
      </c>
      <c r="R7238" s="10">
        <v>4.3734930007382403E-5</v>
      </c>
      <c r="S7238" s="10">
        <v>4.3497400066151797E-5</v>
      </c>
      <c r="T7238" s="10">
        <v>1.6551171172258023E-4</v>
      </c>
      <c r="U7238" s="10">
        <v>7.8360000000000002E-5</v>
      </c>
      <c r="V7238" s="25"/>
      <c r="W7238" s="25"/>
      <c r="X7238" s="25"/>
      <c r="Y7238" s="25"/>
      <c r="Z7238" s="25"/>
      <c r="AA7238" s="25"/>
    </row>
    <row r="7239" spans="1:27" x14ac:dyDescent="0.35">
      <c r="A7239" s="5">
        <v>7235</v>
      </c>
      <c r="B7239" s="5">
        <v>302</v>
      </c>
      <c r="C7239" s="5">
        <v>10</v>
      </c>
      <c r="D7239" s="25">
        <v>1.1416E-4</v>
      </c>
      <c r="E7239" s="25">
        <v>1.1608999999999999E-4</v>
      </c>
      <c r="F7239" s="25">
        <v>1.0903E-4</v>
      </c>
      <c r="G7239" s="25">
        <v>1.6118E-4</v>
      </c>
      <c r="H7239" s="25">
        <v>1.8995000000000001E-4</v>
      </c>
      <c r="I7239" s="9">
        <v>1.3564E-4</v>
      </c>
      <c r="J7239" s="9">
        <v>1.4273000000000001E-4</v>
      </c>
      <c r="K7239" s="9">
        <v>0</v>
      </c>
      <c r="L7239" s="9">
        <v>1.7584999999999999E-4</v>
      </c>
      <c r="M7239" s="9">
        <v>1.7169E-4</v>
      </c>
      <c r="N7239" s="9">
        <v>1.4227E-4</v>
      </c>
      <c r="O7239" s="9">
        <v>1.6791000000000001E-4</v>
      </c>
      <c r="P7239" s="9">
        <v>1.7322999999999999E-4</v>
      </c>
      <c r="Q7239" s="9">
        <v>1.7992999999999999E-4</v>
      </c>
      <c r="R7239" s="10">
        <v>4.413493283855676E-5</v>
      </c>
      <c r="S7239" s="10">
        <v>6.0487792866610988E-5</v>
      </c>
      <c r="T7239" s="10">
        <v>5.2533933146147447E-4</v>
      </c>
      <c r="U7239" s="10">
        <v>7.8360000000000002E-5</v>
      </c>
      <c r="V7239" s="25"/>
      <c r="W7239" s="25"/>
      <c r="X7239" s="25"/>
      <c r="Y7239" s="25"/>
      <c r="Z7239" s="25"/>
      <c r="AA7239" s="25"/>
    </row>
    <row r="7240" spans="1:27" x14ac:dyDescent="0.35">
      <c r="A7240" s="5">
        <v>7236</v>
      </c>
      <c r="B7240" s="5">
        <v>302</v>
      </c>
      <c r="C7240" s="5">
        <v>10</v>
      </c>
      <c r="D7240" s="25">
        <v>1.1415000000000001E-4</v>
      </c>
      <c r="E7240" s="25">
        <v>1.1289E-4</v>
      </c>
      <c r="F7240" s="25">
        <v>1.2998999999999999E-4</v>
      </c>
      <c r="G7240" s="25">
        <v>1.5637E-4</v>
      </c>
      <c r="H7240" s="25">
        <v>2.0112E-4</v>
      </c>
      <c r="I7240" s="9">
        <v>1.3282999999999999E-4</v>
      </c>
      <c r="J7240" s="9">
        <v>1.4143000000000001E-4</v>
      </c>
      <c r="K7240" s="9">
        <v>0</v>
      </c>
      <c r="L7240" s="9">
        <v>1.7102E-4</v>
      </c>
      <c r="M7240" s="9">
        <v>1.7473E-4</v>
      </c>
      <c r="N7240" s="9">
        <v>1.5648999999999999E-4</v>
      </c>
      <c r="O7240" s="9">
        <v>1.7103999999999999E-4</v>
      </c>
      <c r="P7240" s="9">
        <v>1.7226000000000001E-4</v>
      </c>
      <c r="Q7240" s="9">
        <v>1.7494E-4</v>
      </c>
      <c r="R7240" s="10">
        <v>3.4502654974494524E-5</v>
      </c>
      <c r="S7240" s="10">
        <v>6.2735443880401214E-5</v>
      </c>
      <c r="T7240" s="10">
        <v>5.3709857036077203E-4</v>
      </c>
      <c r="U7240" s="10">
        <v>7.8360000000000002E-5</v>
      </c>
      <c r="V7240" s="25"/>
      <c r="W7240" s="25"/>
      <c r="X7240" s="25"/>
      <c r="Y7240" s="25"/>
      <c r="Z7240" s="25"/>
      <c r="AA7240" s="25"/>
    </row>
    <row r="7241" spans="1:27" x14ac:dyDescent="0.35">
      <c r="A7241" s="5">
        <v>7237</v>
      </c>
      <c r="B7241" s="5">
        <v>302</v>
      </c>
      <c r="C7241" s="5">
        <v>10</v>
      </c>
      <c r="D7241" s="25">
        <v>1.1416E-4</v>
      </c>
      <c r="E7241" s="25">
        <v>1.1679E-4</v>
      </c>
      <c r="F7241" s="25">
        <v>1.2077E-4</v>
      </c>
      <c r="G7241" s="25">
        <v>1.5841E-4</v>
      </c>
      <c r="H7241" s="25">
        <v>1.9442999999999999E-4</v>
      </c>
      <c r="I7241" s="9">
        <v>1.3297999999999999E-4</v>
      </c>
      <c r="J7241" s="9">
        <v>1.4061E-4</v>
      </c>
      <c r="K7241" s="9">
        <v>0</v>
      </c>
      <c r="L7241" s="9">
        <v>1.7119999999999999E-4</v>
      </c>
      <c r="M7241" s="9">
        <v>1.7411999999999999E-4</v>
      </c>
      <c r="N7241" s="9">
        <v>1.6621E-4</v>
      </c>
      <c r="O7241" s="9">
        <v>1.6279000000000001E-4</v>
      </c>
      <c r="P7241" s="9">
        <v>1.6485E-4</v>
      </c>
      <c r="Q7241" s="9">
        <v>1.6825999999999999E-4</v>
      </c>
      <c r="R7241" s="10">
        <v>3.803851879379873E-5</v>
      </c>
      <c r="S7241" s="10">
        <v>7.328624629262955E-5</v>
      </c>
      <c r="T7241" s="10">
        <v>2.150769885261128E-4</v>
      </c>
      <c r="U7241" s="10">
        <v>7.8360000000000002E-5</v>
      </c>
      <c r="V7241" s="25"/>
      <c r="W7241" s="25"/>
      <c r="X7241" s="25"/>
      <c r="Y7241" s="25"/>
      <c r="Z7241" s="25"/>
      <c r="AA7241" s="25"/>
    </row>
    <row r="7242" spans="1:27" x14ac:dyDescent="0.35">
      <c r="A7242" s="5">
        <v>7238</v>
      </c>
      <c r="B7242" s="5">
        <v>302</v>
      </c>
      <c r="C7242" s="5">
        <v>10</v>
      </c>
      <c r="D7242" s="25">
        <v>1.1415000000000001E-4</v>
      </c>
      <c r="E7242" s="25">
        <v>1.1669E-4</v>
      </c>
      <c r="F7242" s="25">
        <v>1.2331000000000001E-4</v>
      </c>
      <c r="G7242" s="25">
        <v>1.6276999999999999E-4</v>
      </c>
      <c r="H7242" s="25">
        <v>1.9128E-4</v>
      </c>
      <c r="I7242" s="9">
        <v>1.3107E-4</v>
      </c>
      <c r="J7242" s="9">
        <v>1.3982999999999999E-4</v>
      </c>
      <c r="K7242" s="9">
        <v>0</v>
      </c>
      <c r="L7242" s="9">
        <v>1.6438999999999999E-4</v>
      </c>
      <c r="M7242" s="9">
        <v>1.7058000000000001E-4</v>
      </c>
      <c r="N7242" s="9">
        <v>1.7081E-4</v>
      </c>
      <c r="O7242" s="9">
        <v>1.7775000000000001E-4</v>
      </c>
      <c r="P7242" s="9">
        <v>1.6804E-4</v>
      </c>
      <c r="Q7242" s="9">
        <v>1.6004999999999999E-4</v>
      </c>
      <c r="R7242" s="10">
        <v>4.2309648658290076E-5</v>
      </c>
      <c r="S7242" s="10">
        <v>8.4043804307686027E-5</v>
      </c>
      <c r="T7242" s="10">
        <v>2.9095207761443731E-4</v>
      </c>
      <c r="U7242" s="10">
        <v>7.8360000000000002E-5</v>
      </c>
      <c r="V7242" s="25"/>
      <c r="W7242" s="25"/>
      <c r="X7242" s="25"/>
      <c r="Y7242" s="25"/>
      <c r="Z7242" s="25"/>
      <c r="AA7242" s="25"/>
    </row>
    <row r="7243" spans="1:27" x14ac:dyDescent="0.35">
      <c r="A7243" s="5">
        <v>7239</v>
      </c>
      <c r="B7243" s="5">
        <v>302</v>
      </c>
      <c r="C7243" s="5">
        <v>10</v>
      </c>
      <c r="D7243" s="25">
        <v>1.1416E-4</v>
      </c>
      <c r="E7243" s="25">
        <v>1.1661E-4</v>
      </c>
      <c r="F7243" s="25">
        <v>1.1078000000000001E-4</v>
      </c>
      <c r="G7243" s="25">
        <v>1.6437999999999999E-4</v>
      </c>
      <c r="H7243" s="25">
        <v>1.9932000000000001E-4</v>
      </c>
      <c r="I7243" s="9">
        <v>1.2872E-4</v>
      </c>
      <c r="J7243" s="9">
        <v>1.3829000000000001E-4</v>
      </c>
      <c r="K7243" s="9">
        <v>0</v>
      </c>
      <c r="L7243" s="9">
        <v>1.7498000000000001E-4</v>
      </c>
      <c r="M7243" s="9">
        <v>1.6864000000000001E-4</v>
      </c>
      <c r="N7243" s="9">
        <v>1.7021000000000001E-4</v>
      </c>
      <c r="O7243" s="9">
        <v>1.8437999999999999E-4</v>
      </c>
      <c r="P7243" s="9">
        <v>1.6772999999999999E-4</v>
      </c>
      <c r="Q7243" s="9">
        <v>1.5300000000000001E-4</v>
      </c>
      <c r="R7243" s="10">
        <v>4.5183500013921432E-5</v>
      </c>
      <c r="S7243" s="10">
        <v>9.3020186217430406E-5</v>
      </c>
      <c r="T7243" s="10">
        <v>2.3145168627188785E-4</v>
      </c>
      <c r="U7243" s="10">
        <v>7.8360000000000002E-5</v>
      </c>
      <c r="V7243" s="25"/>
      <c r="W7243" s="25"/>
      <c r="X7243" s="25"/>
      <c r="Y7243" s="25"/>
      <c r="Z7243" s="25"/>
      <c r="AA7243" s="25"/>
    </row>
    <row r="7244" spans="1:27" x14ac:dyDescent="0.35">
      <c r="A7244" s="5">
        <v>7240</v>
      </c>
      <c r="B7244" s="5">
        <v>302</v>
      </c>
      <c r="C7244" s="5">
        <v>10</v>
      </c>
      <c r="D7244" s="25">
        <v>1.1415000000000001E-4</v>
      </c>
      <c r="E7244" s="25">
        <v>1.0658E-4</v>
      </c>
      <c r="F7244" s="25">
        <v>1.2641E-4</v>
      </c>
      <c r="G7244" s="25">
        <v>1.6348E-4</v>
      </c>
      <c r="H7244" s="25">
        <v>2.0115000000000001E-4</v>
      </c>
      <c r="I7244" s="9">
        <v>1.2794999999999999E-4</v>
      </c>
      <c r="J7244" s="9">
        <v>1.3739000000000001E-4</v>
      </c>
      <c r="K7244" s="9">
        <v>0</v>
      </c>
      <c r="L7244" s="9">
        <v>1.8204000000000001E-4</v>
      </c>
      <c r="M7244" s="9">
        <v>1.6788E-4</v>
      </c>
      <c r="N7244" s="9">
        <v>1.6640000000000001E-4</v>
      </c>
      <c r="O7244" s="9">
        <v>1.9806000000000001E-4</v>
      </c>
      <c r="P7244" s="9">
        <v>1.5275999999999999E-4</v>
      </c>
      <c r="Q7244" s="9">
        <v>1.0998E-4</v>
      </c>
      <c r="R7244" s="10">
        <v>4.1737972050285062E-5</v>
      </c>
      <c r="S7244" s="10">
        <v>1.0335846405585446E-4</v>
      </c>
      <c r="T7244" s="10">
        <v>1.648075148765184E-4</v>
      </c>
      <c r="U7244" s="10">
        <v>7.8360000000000002E-5</v>
      </c>
      <c r="V7244" s="25"/>
      <c r="W7244" s="25"/>
      <c r="X7244" s="25"/>
      <c r="Y7244" s="25"/>
      <c r="Z7244" s="25"/>
      <c r="AA7244" s="25"/>
    </row>
    <row r="7245" spans="1:27" x14ac:dyDescent="0.35">
      <c r="A7245" s="5">
        <v>7241</v>
      </c>
      <c r="B7245" s="5">
        <v>302</v>
      </c>
      <c r="C7245" s="5">
        <v>10</v>
      </c>
      <c r="D7245" s="25">
        <v>1.1416E-4</v>
      </c>
      <c r="E7245" s="25">
        <v>1.0842E-4</v>
      </c>
      <c r="F7245" s="25">
        <v>1.3039E-4</v>
      </c>
      <c r="G7245" s="25">
        <v>1.6369E-4</v>
      </c>
      <c r="H7245" s="25">
        <v>1.8921000000000001E-4</v>
      </c>
      <c r="I7245" s="9">
        <v>1.2883E-4</v>
      </c>
      <c r="J7245" s="9">
        <v>1.3795999999999999E-4</v>
      </c>
      <c r="K7245" s="9">
        <v>0</v>
      </c>
      <c r="L7245" s="9">
        <v>1.9427999999999999E-4</v>
      </c>
      <c r="M7245" s="9">
        <v>1.6236000000000001E-4</v>
      </c>
      <c r="N7245" s="9">
        <v>1.5268000000000001E-4</v>
      </c>
      <c r="O7245" s="9">
        <v>2.1348E-4</v>
      </c>
      <c r="P7245" s="9">
        <v>1.5868999999999999E-4</v>
      </c>
      <c r="Q7245" s="9">
        <v>1.0674E-4</v>
      </c>
      <c r="R7245" s="10">
        <v>3.4822408564490365E-5</v>
      </c>
      <c r="S7245" s="10">
        <v>1.1668392598969864E-4</v>
      </c>
      <c r="T7245" s="10">
        <v>0</v>
      </c>
      <c r="U7245" s="10">
        <v>7.8360000000000002E-5</v>
      </c>
      <c r="V7245" s="25"/>
      <c r="W7245" s="25"/>
      <c r="X7245" s="25"/>
      <c r="Y7245" s="25"/>
      <c r="Z7245" s="25"/>
      <c r="AA7245" s="25"/>
    </row>
    <row r="7246" spans="1:27" x14ac:dyDescent="0.35">
      <c r="A7246" s="5">
        <v>7242</v>
      </c>
      <c r="B7246" s="5">
        <v>302</v>
      </c>
      <c r="C7246" s="5">
        <v>10</v>
      </c>
      <c r="D7246" s="25">
        <v>1.1415000000000001E-4</v>
      </c>
      <c r="E7246" s="25">
        <v>1.1521E-4</v>
      </c>
      <c r="F7246" s="25">
        <v>1.2939000000000001E-4</v>
      </c>
      <c r="G7246" s="25">
        <v>1.5946999999999999E-4</v>
      </c>
      <c r="H7246" s="25">
        <v>1.9809999999999999E-4</v>
      </c>
      <c r="I7246" s="9">
        <v>1.3196E-4</v>
      </c>
      <c r="J7246" s="9">
        <v>1.3818000000000001E-4</v>
      </c>
      <c r="K7246" s="9">
        <v>0</v>
      </c>
      <c r="L7246" s="9">
        <v>2.0900000000000001E-4</v>
      </c>
      <c r="M7246" s="9">
        <v>1.5951999999999999E-4</v>
      </c>
      <c r="N7246" s="9">
        <v>1.3917000000000001E-4</v>
      </c>
      <c r="O7246" s="9">
        <v>2.0756999999999999E-4</v>
      </c>
      <c r="P7246" s="9">
        <v>1.6184000000000001E-4</v>
      </c>
      <c r="Q7246" s="9">
        <v>1.1874E-4</v>
      </c>
      <c r="R7246" s="10">
        <v>3.4323215736333857E-5</v>
      </c>
      <c r="S7246" s="10">
        <v>1.270777103759674E-4</v>
      </c>
      <c r="T7246" s="10">
        <v>0</v>
      </c>
      <c r="U7246" s="10">
        <v>7.8360000000000002E-5</v>
      </c>
      <c r="V7246" s="25"/>
      <c r="W7246" s="25"/>
      <c r="X7246" s="25"/>
      <c r="Y7246" s="25"/>
      <c r="Z7246" s="25"/>
      <c r="AA7246" s="25"/>
    </row>
    <row r="7247" spans="1:27" x14ac:dyDescent="0.35">
      <c r="A7247" s="5">
        <v>7243</v>
      </c>
      <c r="B7247" s="5">
        <v>302</v>
      </c>
      <c r="C7247" s="5">
        <v>10</v>
      </c>
      <c r="D7247" s="25">
        <v>1.1416E-4</v>
      </c>
      <c r="E7247" s="25">
        <v>1.0979E-4</v>
      </c>
      <c r="F7247" s="25">
        <v>1.1296E-4</v>
      </c>
      <c r="G7247" s="25">
        <v>1.1001E-4</v>
      </c>
      <c r="H7247" s="25">
        <v>1.3458E-4</v>
      </c>
      <c r="I7247" s="9">
        <v>1.3080000000000001E-4</v>
      </c>
      <c r="J7247" s="9">
        <v>1.3760000000000001E-4</v>
      </c>
      <c r="K7247" s="9">
        <v>0</v>
      </c>
      <c r="L7247" s="9">
        <v>2.0751999999999999E-4</v>
      </c>
      <c r="M7247" s="9">
        <v>1.5976E-4</v>
      </c>
      <c r="N7247" s="9">
        <v>1.3025999999999999E-4</v>
      </c>
      <c r="O7247" s="9">
        <v>1.6430000000000001E-4</v>
      </c>
      <c r="P7247" s="9">
        <v>1.3464E-4</v>
      </c>
      <c r="Q7247" s="9">
        <v>1.0687E-4</v>
      </c>
      <c r="R7247" s="10">
        <v>4.825258532700522E-5</v>
      </c>
      <c r="S7247" s="10">
        <v>1.3691953415428409E-4</v>
      </c>
      <c r="T7247" s="10">
        <v>0</v>
      </c>
      <c r="U7247" s="10">
        <v>7.8360000000000002E-5</v>
      </c>
      <c r="V7247" s="25"/>
      <c r="W7247" s="25"/>
      <c r="X7247" s="25"/>
      <c r="Y7247" s="25"/>
      <c r="Z7247" s="25"/>
      <c r="AA7247" s="25"/>
    </row>
    <row r="7248" spans="1:27" x14ac:dyDescent="0.35">
      <c r="A7248" s="5">
        <v>7244</v>
      </c>
      <c r="B7248" s="5">
        <v>302</v>
      </c>
      <c r="C7248" s="5">
        <v>10</v>
      </c>
      <c r="D7248" s="25">
        <v>1.1415000000000001E-4</v>
      </c>
      <c r="E7248" s="25">
        <v>1.0603999999999999E-4</v>
      </c>
      <c r="F7248" s="25">
        <v>1.304E-4</v>
      </c>
      <c r="G7248" s="25">
        <v>1.1348E-4</v>
      </c>
      <c r="H7248" s="25">
        <v>1.3139E-4</v>
      </c>
      <c r="I7248" s="9">
        <v>1.2392999999999999E-4</v>
      </c>
      <c r="J7248" s="9">
        <v>1.3242000000000001E-4</v>
      </c>
      <c r="K7248" s="9">
        <v>0</v>
      </c>
      <c r="L7248" s="9">
        <v>1.7391999999999999E-4</v>
      </c>
      <c r="M7248" s="9">
        <v>1.5096E-4</v>
      </c>
      <c r="N7248" s="9">
        <v>1.2108E-4</v>
      </c>
      <c r="O7248" s="9">
        <v>1.2926999999999999E-4</v>
      </c>
      <c r="P7248" s="9">
        <v>1.1504E-4</v>
      </c>
      <c r="Q7248" s="9">
        <v>1.0205E-4</v>
      </c>
      <c r="R7248" s="10">
        <v>6.3711832356419439E-5</v>
      </c>
      <c r="S7248" s="10">
        <v>1.419004862592366E-4</v>
      </c>
      <c r="T7248" s="10">
        <v>0</v>
      </c>
      <c r="U7248" s="10">
        <v>7.8360000000000002E-5</v>
      </c>
      <c r="V7248" s="25"/>
      <c r="W7248" s="25"/>
      <c r="X7248" s="25"/>
      <c r="Y7248" s="25"/>
      <c r="Z7248" s="25"/>
      <c r="AA7248" s="25"/>
    </row>
    <row r="7249" spans="1:27" x14ac:dyDescent="0.35">
      <c r="A7249" s="5">
        <v>7245</v>
      </c>
      <c r="B7249" s="5">
        <v>302</v>
      </c>
      <c r="C7249" s="5">
        <v>10</v>
      </c>
      <c r="D7249" s="25">
        <v>1.1416E-4</v>
      </c>
      <c r="E7249" s="25">
        <v>1.1045E-4</v>
      </c>
      <c r="F7249" s="25">
        <v>1.2119E-4</v>
      </c>
      <c r="G7249" s="25">
        <v>5.4469999999999999E-5</v>
      </c>
      <c r="H7249" s="25">
        <v>7.0409999999999998E-5</v>
      </c>
      <c r="I7249" s="9">
        <v>1.1765E-4</v>
      </c>
      <c r="J7249" s="9">
        <v>1.2459999999999999E-4</v>
      </c>
      <c r="K7249" s="9">
        <v>0</v>
      </c>
      <c r="L7249" s="9">
        <v>1.4012000000000001E-4</v>
      </c>
      <c r="M7249" s="9">
        <v>1.3554999999999999E-4</v>
      </c>
      <c r="N7249" s="9">
        <v>1.1340000000000001E-4</v>
      </c>
      <c r="O7249" s="9">
        <v>8.5340000000000006E-5</v>
      </c>
      <c r="P7249" s="9">
        <v>8.687E-5</v>
      </c>
      <c r="Q7249" s="9">
        <v>8.8880000000000003E-5</v>
      </c>
      <c r="R7249" s="10">
        <v>7.7226811628505759E-5</v>
      </c>
      <c r="S7249" s="10">
        <v>1.4068089115460911E-4</v>
      </c>
      <c r="T7249" s="10">
        <v>0</v>
      </c>
      <c r="U7249" s="10">
        <v>7.8360000000000002E-5</v>
      </c>
      <c r="V7249" s="25"/>
      <c r="W7249" s="25"/>
      <c r="X7249" s="25"/>
      <c r="Y7249" s="25"/>
      <c r="Z7249" s="25"/>
      <c r="AA7249" s="25"/>
    </row>
    <row r="7250" spans="1:27" x14ac:dyDescent="0.35">
      <c r="A7250" s="5">
        <v>7246</v>
      </c>
      <c r="B7250" s="5">
        <v>302</v>
      </c>
      <c r="C7250" s="5">
        <v>10</v>
      </c>
      <c r="D7250" s="25">
        <v>1.1415000000000001E-4</v>
      </c>
      <c r="E7250" s="25">
        <v>1.1474E-4</v>
      </c>
      <c r="F7250" s="25">
        <v>1.2928000000000001E-4</v>
      </c>
      <c r="G7250" s="25">
        <v>5.397E-5</v>
      </c>
      <c r="H7250" s="25">
        <v>6.7799999999999995E-5</v>
      </c>
      <c r="I7250" s="9">
        <v>1.1825E-4</v>
      </c>
      <c r="J7250" s="9">
        <v>1.1671E-4</v>
      </c>
      <c r="K7250" s="9">
        <v>0</v>
      </c>
      <c r="L7250" s="9">
        <v>9.8319999999999994E-5</v>
      </c>
      <c r="M7250" s="9">
        <v>1.1406E-4</v>
      </c>
      <c r="N7250" s="9">
        <v>1.0589E-4</v>
      </c>
      <c r="O7250" s="9">
        <v>8.8109999999999995E-5</v>
      </c>
      <c r="P7250" s="9">
        <v>8.8230000000000001E-5</v>
      </c>
      <c r="Q7250" s="9">
        <v>8.8880000000000003E-5</v>
      </c>
      <c r="R7250" s="10">
        <v>8.4289639325028578E-5</v>
      </c>
      <c r="S7250" s="10">
        <v>1.4309088440897527E-4</v>
      </c>
      <c r="T7250" s="10">
        <v>0</v>
      </c>
      <c r="U7250" s="10">
        <v>7.8360000000000002E-5</v>
      </c>
      <c r="V7250" s="25"/>
      <c r="W7250" s="25"/>
      <c r="X7250" s="25"/>
      <c r="Y7250" s="25"/>
      <c r="Z7250" s="25"/>
      <c r="AA7250" s="25"/>
    </row>
    <row r="7251" spans="1:27" x14ac:dyDescent="0.35">
      <c r="A7251" s="5">
        <v>7247</v>
      </c>
      <c r="B7251" s="5">
        <v>302</v>
      </c>
      <c r="C7251" s="5">
        <v>10</v>
      </c>
      <c r="D7251" s="25">
        <v>1.1416E-4</v>
      </c>
      <c r="E7251" s="25">
        <v>1.0840000000000001E-4</v>
      </c>
      <c r="F7251" s="25">
        <v>1.1181E-4</v>
      </c>
      <c r="G7251" s="25">
        <v>5.7219999999999998E-5</v>
      </c>
      <c r="H7251" s="25">
        <v>7.347E-5</v>
      </c>
      <c r="I7251" s="9">
        <v>1.1654000000000001E-4</v>
      </c>
      <c r="J7251" s="9">
        <v>1.1008E-4</v>
      </c>
      <c r="K7251" s="9">
        <v>0</v>
      </c>
      <c r="L7251" s="9">
        <v>9.1269999999999999E-5</v>
      </c>
      <c r="M7251" s="9">
        <v>9.9500000000000006E-5</v>
      </c>
      <c r="N7251" s="9">
        <v>1.0019E-4</v>
      </c>
      <c r="O7251" s="9">
        <v>7.8239999999999996E-5</v>
      </c>
      <c r="P7251" s="9">
        <v>7.2459999999999994E-5</v>
      </c>
      <c r="Q7251" s="9">
        <v>6.7189999999999999E-5</v>
      </c>
      <c r="R7251" s="10">
        <v>8.3379898710711633E-5</v>
      </c>
      <c r="S7251" s="10">
        <v>1.4825643427468044E-4</v>
      </c>
      <c r="T7251" s="10">
        <v>0</v>
      </c>
      <c r="U7251" s="10">
        <v>7.8360000000000002E-5</v>
      </c>
      <c r="V7251" s="25"/>
      <c r="W7251" s="25"/>
      <c r="X7251" s="25"/>
      <c r="Y7251" s="25"/>
      <c r="Z7251" s="25"/>
      <c r="AA7251" s="25"/>
    </row>
    <row r="7252" spans="1:27" x14ac:dyDescent="0.35">
      <c r="A7252" s="5">
        <v>7248</v>
      </c>
      <c r="B7252" s="5">
        <v>302</v>
      </c>
      <c r="C7252" s="5">
        <v>10</v>
      </c>
      <c r="D7252" s="25">
        <v>1.1415000000000001E-4</v>
      </c>
      <c r="E7252" s="25">
        <v>1.1495E-4</v>
      </c>
      <c r="F7252" s="25">
        <v>1.2223E-4</v>
      </c>
      <c r="G7252" s="25">
        <v>6.2490000000000006E-5</v>
      </c>
      <c r="H7252" s="25">
        <v>6.5959999999999999E-5</v>
      </c>
      <c r="I7252" s="9">
        <v>1.0793000000000001E-4</v>
      </c>
      <c r="J7252" s="9">
        <v>1.0295E-4</v>
      </c>
      <c r="K7252" s="9">
        <v>0</v>
      </c>
      <c r="L7252" s="9">
        <v>8.1100000000000006E-5</v>
      </c>
      <c r="M7252" s="9">
        <v>8.6570000000000006E-5</v>
      </c>
      <c r="N7252" s="9">
        <v>9.0909999999999995E-5</v>
      </c>
      <c r="O7252" s="9">
        <v>6.2520000000000004E-5</v>
      </c>
      <c r="P7252" s="9">
        <v>6.0439999999999997E-5</v>
      </c>
      <c r="Q7252" s="9">
        <v>5.8629999999999999E-5</v>
      </c>
      <c r="R7252" s="10">
        <v>1.0918857968964813E-4</v>
      </c>
      <c r="S7252" s="10">
        <v>1.5434779339318279E-4</v>
      </c>
      <c r="T7252" s="10">
        <v>0</v>
      </c>
      <c r="U7252" s="10">
        <v>7.8360000000000002E-5</v>
      </c>
      <c r="V7252" s="25"/>
      <c r="W7252" s="25"/>
      <c r="X7252" s="25"/>
      <c r="Y7252" s="25"/>
      <c r="Z7252" s="25"/>
      <c r="AA7252" s="25"/>
    </row>
    <row r="7253" spans="1:27" x14ac:dyDescent="0.35">
      <c r="A7253" s="5">
        <v>7249</v>
      </c>
      <c r="B7253" s="5">
        <v>303</v>
      </c>
      <c r="C7253" s="5">
        <v>10</v>
      </c>
      <c r="D7253" s="25">
        <v>1.1416E-4</v>
      </c>
      <c r="E7253" s="25">
        <v>1.0953E-4</v>
      </c>
      <c r="F7253" s="25">
        <v>1.1366000000000001E-4</v>
      </c>
      <c r="G7253" s="25">
        <v>6.0420000000000001E-5</v>
      </c>
      <c r="H7253" s="25">
        <v>7.0649999999999996E-5</v>
      </c>
      <c r="I7253" s="9">
        <v>1.0035E-4</v>
      </c>
      <c r="J7253" s="9">
        <v>9.6840000000000001E-5</v>
      </c>
      <c r="K7253" s="9">
        <v>0</v>
      </c>
      <c r="L7253" s="9">
        <v>6.6619999999999996E-5</v>
      </c>
      <c r="M7253" s="9">
        <v>7.4179999999999998E-5</v>
      </c>
      <c r="N7253" s="9">
        <v>8.1409999999999995E-5</v>
      </c>
      <c r="O7253" s="9">
        <v>5.4620000000000002E-5</v>
      </c>
      <c r="P7253" s="9">
        <v>5.4039999999999998E-5</v>
      </c>
      <c r="Q7253" s="9">
        <v>5.3609999999999997E-5</v>
      </c>
      <c r="R7253" s="10">
        <v>9.1057261542223675E-5</v>
      </c>
      <c r="S7253" s="10">
        <v>1.539399280685077E-4</v>
      </c>
      <c r="T7253" s="10">
        <v>0</v>
      </c>
      <c r="U7253" s="10">
        <v>7.7059999999999997E-5</v>
      </c>
      <c r="V7253" s="25"/>
      <c r="W7253" s="25"/>
      <c r="X7253" s="25"/>
      <c r="Y7253" s="25"/>
      <c r="Z7253" s="25"/>
      <c r="AA7253" s="25"/>
    </row>
    <row r="7254" spans="1:27" x14ac:dyDescent="0.35">
      <c r="A7254" s="5">
        <v>7250</v>
      </c>
      <c r="B7254" s="5">
        <v>303</v>
      </c>
      <c r="C7254" s="5">
        <v>10</v>
      </c>
      <c r="D7254" s="25">
        <v>1.1415000000000001E-4</v>
      </c>
      <c r="E7254" s="25">
        <v>1.1396999999999999E-4</v>
      </c>
      <c r="F7254" s="25">
        <v>1.1366000000000001E-4</v>
      </c>
      <c r="G7254" s="25">
        <v>5.715E-5</v>
      </c>
      <c r="H7254" s="25">
        <v>7.1400000000000001E-5</v>
      </c>
      <c r="I7254" s="9">
        <v>9.5920000000000003E-5</v>
      </c>
      <c r="J7254" s="9">
        <v>9.3490000000000001E-5</v>
      </c>
      <c r="K7254" s="9">
        <v>0</v>
      </c>
      <c r="L7254" s="9">
        <v>5.766E-5</v>
      </c>
      <c r="M7254" s="9">
        <v>6.3979999999999994E-5</v>
      </c>
      <c r="N7254" s="9">
        <v>7.2280000000000006E-5</v>
      </c>
      <c r="O7254" s="9">
        <v>1.859E-5</v>
      </c>
      <c r="P7254" s="9">
        <v>3.7400000000000001E-5</v>
      </c>
      <c r="Q7254" s="9">
        <v>5.5670000000000001E-5</v>
      </c>
      <c r="R7254" s="10">
        <v>8.8274733480628192E-5</v>
      </c>
      <c r="S7254" s="10">
        <v>1.5733297954236171E-4</v>
      </c>
      <c r="T7254" s="10">
        <v>0</v>
      </c>
      <c r="U7254" s="10">
        <v>7.7059999999999997E-5</v>
      </c>
      <c r="V7254" s="25"/>
      <c r="W7254" s="25"/>
      <c r="X7254" s="25"/>
      <c r="Y7254" s="25"/>
      <c r="Z7254" s="25"/>
      <c r="AA7254" s="25"/>
    </row>
    <row r="7255" spans="1:27" x14ac:dyDescent="0.35">
      <c r="A7255" s="5">
        <v>7251</v>
      </c>
      <c r="B7255" s="5">
        <v>303</v>
      </c>
      <c r="C7255" s="5">
        <v>10</v>
      </c>
      <c r="D7255" s="25">
        <v>1.1416E-4</v>
      </c>
      <c r="E7255" s="25">
        <v>1.0414E-4</v>
      </c>
      <c r="F7255" s="25">
        <v>1.0976000000000001E-4</v>
      </c>
      <c r="G7255" s="25">
        <v>5.7030000000000001E-5</v>
      </c>
      <c r="H7255" s="25">
        <v>6.9519999999999998E-5</v>
      </c>
      <c r="I7255" s="9">
        <v>9.4110000000000005E-5</v>
      </c>
      <c r="J7255" s="9">
        <v>9.2009999999999995E-5</v>
      </c>
      <c r="K7255" s="9">
        <v>1.06E-5</v>
      </c>
      <c r="L7255" s="9">
        <v>2.7379999999999999E-5</v>
      </c>
      <c r="M7255" s="9">
        <v>5.2089999999999998E-5</v>
      </c>
      <c r="N7255" s="9">
        <v>6.5519999999999996E-5</v>
      </c>
      <c r="O7255" s="9">
        <v>1.326E-5</v>
      </c>
      <c r="P7255" s="9">
        <v>3.7740000000000001E-5</v>
      </c>
      <c r="Q7255" s="9">
        <v>6.1509999999999999E-5</v>
      </c>
      <c r="R7255" s="10">
        <v>9.735089659115357E-5</v>
      </c>
      <c r="S7255" s="10">
        <v>1.5386362890082162E-4</v>
      </c>
      <c r="T7255" s="10">
        <v>0</v>
      </c>
      <c r="U7255" s="10">
        <v>7.7059999999999997E-5</v>
      </c>
      <c r="V7255" s="25"/>
      <c r="W7255" s="25"/>
      <c r="X7255" s="25"/>
      <c r="Y7255" s="25"/>
      <c r="Z7255" s="25"/>
      <c r="AA7255" s="25"/>
    </row>
    <row r="7256" spans="1:27" x14ac:dyDescent="0.35">
      <c r="A7256" s="5">
        <v>7252</v>
      </c>
      <c r="B7256" s="5">
        <v>303</v>
      </c>
      <c r="C7256" s="5">
        <v>10</v>
      </c>
      <c r="D7256" s="25">
        <v>1.1415000000000001E-4</v>
      </c>
      <c r="E7256" s="25">
        <v>1.1112000000000001E-4</v>
      </c>
      <c r="F7256" s="25">
        <v>1.2371999999999999E-4</v>
      </c>
      <c r="G7256" s="25">
        <v>5.5059999999999998E-5</v>
      </c>
      <c r="H7256" s="25">
        <v>7.1970000000000004E-5</v>
      </c>
      <c r="I7256" s="9">
        <v>9.2990000000000002E-5</v>
      </c>
      <c r="J7256" s="9">
        <v>9.1189999999999999E-5</v>
      </c>
      <c r="K7256" s="9">
        <v>2.332E-5</v>
      </c>
      <c r="L7256" s="9">
        <v>1.7110000000000001E-5</v>
      </c>
      <c r="M7256" s="9">
        <v>4.409E-5</v>
      </c>
      <c r="N7256" s="9">
        <v>6.1870000000000002E-5</v>
      </c>
      <c r="O7256" s="9">
        <v>1.322E-5</v>
      </c>
      <c r="P7256" s="9">
        <v>4.7030000000000002E-5</v>
      </c>
      <c r="Q7256" s="9">
        <v>8.0000000000000007E-5</v>
      </c>
      <c r="R7256" s="10">
        <v>1.0967852366256501E-4</v>
      </c>
      <c r="S7256" s="10">
        <v>1.486210148214482E-4</v>
      </c>
      <c r="T7256" s="10">
        <v>0</v>
      </c>
      <c r="U7256" s="10">
        <v>7.7059999999999997E-5</v>
      </c>
      <c r="V7256" s="25"/>
      <c r="W7256" s="25"/>
      <c r="X7256" s="25"/>
      <c r="Y7256" s="25"/>
      <c r="Z7256" s="25"/>
      <c r="AA7256" s="25"/>
    </row>
    <row r="7257" spans="1:27" x14ac:dyDescent="0.35">
      <c r="A7257" s="5">
        <v>7253</v>
      </c>
      <c r="B7257" s="5">
        <v>303</v>
      </c>
      <c r="C7257" s="5">
        <v>10</v>
      </c>
      <c r="D7257" s="25">
        <v>1.1416E-4</v>
      </c>
      <c r="E7257" s="25">
        <v>1.0645999999999999E-4</v>
      </c>
      <c r="F7257" s="25">
        <v>1.1553E-4</v>
      </c>
      <c r="G7257" s="25">
        <v>6.279E-5</v>
      </c>
      <c r="H7257" s="25">
        <v>6.4900000000000005E-5</v>
      </c>
      <c r="I7257" s="9">
        <v>9.3770000000000005E-5</v>
      </c>
      <c r="J7257" s="9">
        <v>9.1600000000000004E-5</v>
      </c>
      <c r="K7257" s="9">
        <v>6.3600000000000001E-6</v>
      </c>
      <c r="L7257" s="9">
        <v>1.432E-5</v>
      </c>
      <c r="M7257" s="9">
        <v>4.3350000000000003E-5</v>
      </c>
      <c r="N7257" s="9">
        <v>6.4289999999999996E-5</v>
      </c>
      <c r="O7257" s="9">
        <v>1.8839999999999999E-5</v>
      </c>
      <c r="P7257" s="9">
        <v>5.6879999999999998E-5</v>
      </c>
      <c r="Q7257" s="9">
        <v>9.4049999999999996E-5</v>
      </c>
      <c r="R7257" s="10">
        <v>1.1977582081983952E-4</v>
      </c>
      <c r="S7257" s="10">
        <v>1.5309893500283208E-4</v>
      </c>
      <c r="T7257" s="10">
        <v>0</v>
      </c>
      <c r="U7257" s="10">
        <v>7.7059999999999997E-5</v>
      </c>
      <c r="V7257" s="25"/>
      <c r="W7257" s="25"/>
      <c r="X7257" s="25"/>
      <c r="Y7257" s="25"/>
      <c r="Z7257" s="25"/>
      <c r="AA7257" s="25"/>
    </row>
    <row r="7258" spans="1:27" x14ac:dyDescent="0.35">
      <c r="A7258" s="5">
        <v>7254</v>
      </c>
      <c r="B7258" s="5">
        <v>303</v>
      </c>
      <c r="C7258" s="5">
        <v>10</v>
      </c>
      <c r="D7258" s="25">
        <v>1.1415000000000001E-4</v>
      </c>
      <c r="E7258" s="25">
        <v>1.1335E-4</v>
      </c>
      <c r="F7258" s="25">
        <v>1.2527999999999999E-4</v>
      </c>
      <c r="G7258" s="25">
        <v>1.1291E-4</v>
      </c>
      <c r="H7258" s="25">
        <v>1.3438E-4</v>
      </c>
      <c r="I7258" s="9">
        <v>9.8330000000000002E-5</v>
      </c>
      <c r="J7258" s="9">
        <v>9.4220000000000003E-5</v>
      </c>
      <c r="K7258" s="9">
        <v>1.484E-5</v>
      </c>
      <c r="L7258" s="9">
        <v>1.772E-5</v>
      </c>
      <c r="M7258" s="9">
        <v>4.8390000000000003E-5</v>
      </c>
      <c r="N7258" s="9">
        <v>7.0939999999999995E-5</v>
      </c>
      <c r="O7258" s="9">
        <v>4.621E-5</v>
      </c>
      <c r="P7258" s="9">
        <v>7.6769999999999999E-5</v>
      </c>
      <c r="Q7258" s="9">
        <v>1.0689E-4</v>
      </c>
      <c r="R7258" s="10">
        <v>1.2627236957765605E-4</v>
      </c>
      <c r="S7258" s="10">
        <v>1.6630320925110629E-4</v>
      </c>
      <c r="T7258" s="10">
        <v>0</v>
      </c>
      <c r="U7258" s="10">
        <v>7.7059999999999997E-5</v>
      </c>
      <c r="V7258" s="25"/>
      <c r="W7258" s="25"/>
      <c r="X7258" s="25"/>
      <c r="Y7258" s="25"/>
      <c r="Z7258" s="25"/>
      <c r="AA7258" s="25"/>
    </row>
    <row r="7259" spans="1:27" x14ac:dyDescent="0.35">
      <c r="A7259" s="5">
        <v>7255</v>
      </c>
      <c r="B7259" s="5">
        <v>303</v>
      </c>
      <c r="C7259" s="5">
        <v>10</v>
      </c>
      <c r="D7259" s="25">
        <v>1.1416E-4</v>
      </c>
      <c r="E7259" s="25">
        <v>1.1459999999999999E-4</v>
      </c>
      <c r="F7259" s="25">
        <v>1.2341000000000001E-4</v>
      </c>
      <c r="G7259" s="25">
        <v>1.1156E-4</v>
      </c>
      <c r="H7259" s="25">
        <v>1.2774999999999999E-4</v>
      </c>
      <c r="I7259" s="9">
        <v>1.0409E-4</v>
      </c>
      <c r="J7259" s="9">
        <v>1.0145999999999999E-4</v>
      </c>
      <c r="K7259" s="9">
        <v>1.696E-5</v>
      </c>
      <c r="L7259" s="9">
        <v>3.9799999999999998E-5</v>
      </c>
      <c r="M7259" s="9">
        <v>6.0019999999999998E-5</v>
      </c>
      <c r="N7259" s="9">
        <v>8.064E-5</v>
      </c>
      <c r="O7259" s="9">
        <v>1.2242000000000001E-4</v>
      </c>
      <c r="P7259" s="9">
        <v>1.1649E-4</v>
      </c>
      <c r="Q7259" s="9">
        <v>1.1158999999999999E-4</v>
      </c>
      <c r="R7259" s="10">
        <v>1.4211337132506789E-4</v>
      </c>
      <c r="S7259" s="10">
        <v>1.7392009282874552E-4</v>
      </c>
      <c r="T7259" s="10">
        <v>0</v>
      </c>
      <c r="U7259" s="10">
        <v>7.7059999999999997E-5</v>
      </c>
      <c r="V7259" s="25"/>
      <c r="W7259" s="25"/>
      <c r="X7259" s="25"/>
      <c r="Y7259" s="25"/>
      <c r="Z7259" s="25"/>
      <c r="AA7259" s="25"/>
    </row>
    <row r="7260" spans="1:27" x14ac:dyDescent="0.35">
      <c r="A7260" s="5">
        <v>7256</v>
      </c>
      <c r="B7260" s="5">
        <v>303</v>
      </c>
      <c r="C7260" s="5">
        <v>10</v>
      </c>
      <c r="D7260" s="25">
        <v>1.1415000000000001E-4</v>
      </c>
      <c r="E7260" s="25">
        <v>1.133E-4</v>
      </c>
      <c r="F7260" s="25">
        <v>1.0828E-4</v>
      </c>
      <c r="G7260" s="25">
        <v>1.6008E-4</v>
      </c>
      <c r="H7260" s="25">
        <v>1.9165999999999999E-4</v>
      </c>
      <c r="I7260" s="9">
        <v>1.1055E-4</v>
      </c>
      <c r="J7260" s="9">
        <v>1.1011E-4</v>
      </c>
      <c r="K7260" s="9">
        <v>0</v>
      </c>
      <c r="L7260" s="9">
        <v>1.0362E-4</v>
      </c>
      <c r="M7260" s="9">
        <v>8.3339999999999998E-5</v>
      </c>
      <c r="N7260" s="9">
        <v>9.0580000000000004E-5</v>
      </c>
      <c r="O7260" s="9">
        <v>2.1926000000000001E-4</v>
      </c>
      <c r="P7260" s="9">
        <v>1.7641E-4</v>
      </c>
      <c r="Q7260" s="9">
        <v>1.3627999999999999E-4</v>
      </c>
      <c r="R7260" s="10">
        <v>1.5159298040033774E-4</v>
      </c>
      <c r="S7260" s="10">
        <v>1.7903969437747973E-4</v>
      </c>
      <c r="T7260" s="10">
        <v>3.5184389405041016E-5</v>
      </c>
      <c r="U7260" s="10">
        <v>7.7059999999999997E-5</v>
      </c>
      <c r="V7260" s="25"/>
      <c r="W7260" s="25"/>
      <c r="X7260" s="25"/>
      <c r="Y7260" s="25"/>
      <c r="Z7260" s="25"/>
      <c r="AA7260" s="25"/>
    </row>
    <row r="7261" spans="1:27" x14ac:dyDescent="0.35">
      <c r="A7261" s="5">
        <v>7257</v>
      </c>
      <c r="B7261" s="5">
        <v>303</v>
      </c>
      <c r="C7261" s="5">
        <v>10</v>
      </c>
      <c r="D7261" s="25">
        <v>1.1416E-4</v>
      </c>
      <c r="E7261" s="25">
        <v>1.1067E-4</v>
      </c>
      <c r="F7261" s="25">
        <v>1.0789999999999999E-4</v>
      </c>
      <c r="G7261" s="25">
        <v>1.5650000000000001E-4</v>
      </c>
      <c r="H7261" s="25">
        <v>1.9225000000000001E-4</v>
      </c>
      <c r="I7261" s="9">
        <v>1.1467E-4</v>
      </c>
      <c r="J7261" s="9">
        <v>1.165E-4</v>
      </c>
      <c r="K7261" s="9">
        <v>0</v>
      </c>
      <c r="L7261" s="9">
        <v>1.9207E-4</v>
      </c>
      <c r="M7261" s="9">
        <v>1.2286999999999999E-4</v>
      </c>
      <c r="N7261" s="9">
        <v>1.0427E-4</v>
      </c>
      <c r="O7261" s="9">
        <v>2.1149E-4</v>
      </c>
      <c r="P7261" s="9">
        <v>1.93E-4</v>
      </c>
      <c r="Q7261" s="9">
        <v>1.7674999999999999E-4</v>
      </c>
      <c r="R7261" s="10">
        <v>1.6401397513659814E-4</v>
      </c>
      <c r="S7261" s="10">
        <v>1.8640186642135338E-4</v>
      </c>
      <c r="T7261" s="10">
        <v>1.9905863135304372E-4</v>
      </c>
      <c r="U7261" s="10">
        <v>7.7059999999999997E-5</v>
      </c>
      <c r="V7261" s="25"/>
      <c r="W7261" s="25"/>
      <c r="X7261" s="25"/>
      <c r="Y7261" s="25"/>
      <c r="Z7261" s="25"/>
      <c r="AA7261" s="25"/>
    </row>
    <row r="7262" spans="1:27" x14ac:dyDescent="0.35">
      <c r="A7262" s="5">
        <v>7258</v>
      </c>
      <c r="B7262" s="5">
        <v>303</v>
      </c>
      <c r="C7262" s="5">
        <v>10</v>
      </c>
      <c r="D7262" s="25">
        <v>1.1415000000000001E-4</v>
      </c>
      <c r="E7262" s="25">
        <v>1.0941E-4</v>
      </c>
      <c r="F7262" s="25">
        <v>1.2622999999999999E-4</v>
      </c>
      <c r="G7262" s="25">
        <v>1.5997E-4</v>
      </c>
      <c r="H7262" s="25">
        <v>1.9149E-4</v>
      </c>
      <c r="I7262" s="9">
        <v>1.1652E-4</v>
      </c>
      <c r="J7262" s="9">
        <v>1.189E-4</v>
      </c>
      <c r="K7262" s="9">
        <v>0</v>
      </c>
      <c r="L7262" s="9">
        <v>2.0489999999999999E-4</v>
      </c>
      <c r="M7262" s="9">
        <v>1.5814E-4</v>
      </c>
      <c r="N7262" s="9">
        <v>1.2430000000000001E-4</v>
      </c>
      <c r="O7262" s="9">
        <v>1.6860000000000001E-4</v>
      </c>
      <c r="P7262" s="9">
        <v>1.7530000000000001E-4</v>
      </c>
      <c r="Q7262" s="9">
        <v>1.8336000000000001E-4</v>
      </c>
      <c r="R7262" s="10">
        <v>1.7680534030348137E-4</v>
      </c>
      <c r="S7262" s="10">
        <v>1.8858184021248683E-4</v>
      </c>
      <c r="T7262" s="10">
        <v>2.8575120211279996E-4</v>
      </c>
      <c r="U7262" s="10">
        <v>7.7059999999999997E-5</v>
      </c>
      <c r="V7262" s="25"/>
      <c r="W7262" s="25"/>
      <c r="X7262" s="25"/>
      <c r="Y7262" s="25"/>
      <c r="Z7262" s="25"/>
      <c r="AA7262" s="25"/>
    </row>
    <row r="7263" spans="1:27" x14ac:dyDescent="0.35">
      <c r="A7263" s="5">
        <v>7259</v>
      </c>
      <c r="B7263" s="5">
        <v>303</v>
      </c>
      <c r="C7263" s="5">
        <v>10</v>
      </c>
      <c r="D7263" s="25">
        <v>1.1416E-4</v>
      </c>
      <c r="E7263" s="25">
        <v>1.0991E-4</v>
      </c>
      <c r="F7263" s="25">
        <v>1.1966E-4</v>
      </c>
      <c r="G7263" s="25">
        <v>1.585E-4</v>
      </c>
      <c r="H7263" s="25">
        <v>1.9215000000000001E-4</v>
      </c>
      <c r="I7263" s="9">
        <v>1.1758E-4</v>
      </c>
      <c r="J7263" s="9">
        <v>1.1745E-4</v>
      </c>
      <c r="K7263" s="9">
        <v>0</v>
      </c>
      <c r="L7263" s="9">
        <v>1.7663999999999999E-4</v>
      </c>
      <c r="M7263" s="9">
        <v>1.7250999999999999E-4</v>
      </c>
      <c r="N7263" s="9">
        <v>1.4269E-4</v>
      </c>
      <c r="O7263" s="9">
        <v>1.6712000000000001E-4</v>
      </c>
      <c r="P7263" s="9">
        <v>1.7242000000000001E-4</v>
      </c>
      <c r="Q7263" s="9">
        <v>1.7908E-4</v>
      </c>
      <c r="R7263" s="10">
        <v>1.7398893438531917E-4</v>
      </c>
      <c r="S7263" s="10">
        <v>1.8937212650332522E-4</v>
      </c>
      <c r="T7263" s="10">
        <v>3.5268383968607426E-4</v>
      </c>
      <c r="U7263" s="10">
        <v>7.7059999999999997E-5</v>
      </c>
      <c r="V7263" s="25"/>
      <c r="W7263" s="25"/>
      <c r="X7263" s="25"/>
      <c r="Y7263" s="25"/>
      <c r="Z7263" s="25"/>
      <c r="AA7263" s="25"/>
    </row>
    <row r="7264" spans="1:27" x14ac:dyDescent="0.35">
      <c r="A7264" s="5">
        <v>7260</v>
      </c>
      <c r="B7264" s="5">
        <v>303</v>
      </c>
      <c r="C7264" s="5">
        <v>10</v>
      </c>
      <c r="D7264" s="25">
        <v>1.1415000000000001E-4</v>
      </c>
      <c r="E7264" s="25">
        <v>1.1027E-4</v>
      </c>
      <c r="F7264" s="25">
        <v>1.0849E-4</v>
      </c>
      <c r="G7264" s="25">
        <v>1.5647E-4</v>
      </c>
      <c r="H7264" s="25">
        <v>1.9011000000000001E-4</v>
      </c>
      <c r="I7264" s="9">
        <v>1.1620000000000001E-4</v>
      </c>
      <c r="J7264" s="9">
        <v>1.1545E-4</v>
      </c>
      <c r="K7264" s="9">
        <v>0</v>
      </c>
      <c r="L7264" s="9">
        <v>1.706E-4</v>
      </c>
      <c r="M7264" s="9">
        <v>1.7495999999999999E-4</v>
      </c>
      <c r="N7264" s="9">
        <v>1.5672E-4</v>
      </c>
      <c r="O7264" s="9">
        <v>1.6935999999999999E-4</v>
      </c>
      <c r="P7264" s="9">
        <v>1.7055999999999999E-4</v>
      </c>
      <c r="Q7264" s="9">
        <v>1.7322E-4</v>
      </c>
      <c r="R7264" s="10">
        <v>9.714646149406915E-5</v>
      </c>
      <c r="S7264" s="10">
        <v>1.8936729682761115E-4</v>
      </c>
      <c r="T7264" s="10">
        <v>4.7299120447109519E-4</v>
      </c>
      <c r="U7264" s="10">
        <v>7.7059999999999997E-5</v>
      </c>
      <c r="V7264" s="25"/>
      <c r="W7264" s="25"/>
      <c r="X7264" s="25"/>
      <c r="Y7264" s="25"/>
      <c r="Z7264" s="25"/>
      <c r="AA7264" s="25"/>
    </row>
    <row r="7265" spans="1:27" x14ac:dyDescent="0.35">
      <c r="A7265" s="5">
        <v>7261</v>
      </c>
      <c r="B7265" s="5">
        <v>303</v>
      </c>
      <c r="C7265" s="5">
        <v>10</v>
      </c>
      <c r="D7265" s="25">
        <v>1.1416E-4</v>
      </c>
      <c r="E7265" s="25">
        <v>1.1383E-4</v>
      </c>
      <c r="F7265" s="25">
        <v>1.2364E-4</v>
      </c>
      <c r="G7265" s="25">
        <v>1.6626999999999999E-4</v>
      </c>
      <c r="H7265" s="25">
        <v>2.0023999999999999E-4</v>
      </c>
      <c r="I7265" s="9">
        <v>1.1355E-4</v>
      </c>
      <c r="J7265" s="9">
        <v>1.1318E-4</v>
      </c>
      <c r="K7265" s="9">
        <v>0</v>
      </c>
      <c r="L7265" s="9">
        <v>1.6982999999999999E-4</v>
      </c>
      <c r="M7265" s="9">
        <v>1.7349999999999999E-4</v>
      </c>
      <c r="N7265" s="9">
        <v>1.6603000000000001E-4</v>
      </c>
      <c r="O7265" s="9">
        <v>1.6118999999999999E-4</v>
      </c>
      <c r="P7265" s="9">
        <v>1.6322999999999999E-4</v>
      </c>
      <c r="Q7265" s="9">
        <v>1.6661000000000001E-4</v>
      </c>
      <c r="R7265" s="10">
        <v>5.8976766627497858E-5</v>
      </c>
      <c r="S7265" s="10">
        <v>1.8770667216711821E-4</v>
      </c>
      <c r="T7265" s="10">
        <v>3.4818716103049874E-4</v>
      </c>
      <c r="U7265" s="10">
        <v>7.7059999999999997E-5</v>
      </c>
      <c r="V7265" s="25"/>
      <c r="W7265" s="25"/>
      <c r="X7265" s="25"/>
      <c r="Y7265" s="25"/>
      <c r="Z7265" s="25"/>
      <c r="AA7265" s="25"/>
    </row>
    <row r="7266" spans="1:27" x14ac:dyDescent="0.35">
      <c r="A7266" s="5">
        <v>7262</v>
      </c>
      <c r="B7266" s="5">
        <v>303</v>
      </c>
      <c r="C7266" s="5">
        <v>10</v>
      </c>
      <c r="D7266" s="25">
        <v>1.1415000000000001E-4</v>
      </c>
      <c r="E7266" s="25">
        <v>1.0964E-4</v>
      </c>
      <c r="F7266" s="25">
        <v>1.1847E-4</v>
      </c>
      <c r="G7266" s="25">
        <v>1.5935999999999999E-4</v>
      </c>
      <c r="H7266" s="25">
        <v>1.9741E-4</v>
      </c>
      <c r="I7266" s="9">
        <v>1.1095E-4</v>
      </c>
      <c r="J7266" s="9">
        <v>1.1086000000000001E-4</v>
      </c>
      <c r="K7266" s="9">
        <v>0</v>
      </c>
      <c r="L7266" s="9">
        <v>1.6286E-4</v>
      </c>
      <c r="M7266" s="9">
        <v>1.6938000000000001E-4</v>
      </c>
      <c r="N7266" s="9">
        <v>1.7019999999999999E-4</v>
      </c>
      <c r="O7266" s="9">
        <v>1.7665000000000001E-4</v>
      </c>
      <c r="P7266" s="9">
        <v>1.6699999999999999E-4</v>
      </c>
      <c r="Q7266" s="9">
        <v>1.5906000000000001E-4</v>
      </c>
      <c r="R7266" s="10">
        <v>3.8556172139194929E-5</v>
      </c>
      <c r="S7266" s="10">
        <v>1.8326092403509942E-4</v>
      </c>
      <c r="T7266" s="10">
        <v>2.067793437616734E-4</v>
      </c>
      <c r="U7266" s="10">
        <v>7.7059999999999997E-5</v>
      </c>
      <c r="V7266" s="25"/>
      <c r="W7266" s="25"/>
      <c r="X7266" s="25"/>
      <c r="Y7266" s="25"/>
      <c r="Z7266" s="25"/>
      <c r="AA7266" s="25"/>
    </row>
    <row r="7267" spans="1:27" x14ac:dyDescent="0.35">
      <c r="A7267" s="5">
        <v>7263</v>
      </c>
      <c r="B7267" s="5">
        <v>303</v>
      </c>
      <c r="C7267" s="5">
        <v>10</v>
      </c>
      <c r="D7267" s="25">
        <v>1.1416E-4</v>
      </c>
      <c r="E7267" s="25">
        <v>1.0827000000000001E-4</v>
      </c>
      <c r="F7267" s="25">
        <v>1.2302E-4</v>
      </c>
      <c r="G7267" s="25">
        <v>1.5988999999999999E-4</v>
      </c>
      <c r="H7267" s="25">
        <v>1.9110000000000001E-4</v>
      </c>
      <c r="I7267" s="9">
        <v>1.0849999999999999E-4</v>
      </c>
      <c r="J7267" s="9">
        <v>1.093E-4</v>
      </c>
      <c r="K7267" s="9">
        <v>0</v>
      </c>
      <c r="L7267" s="9">
        <v>1.7378000000000001E-4</v>
      </c>
      <c r="M7267" s="9">
        <v>1.6736999999999999E-4</v>
      </c>
      <c r="N7267" s="9">
        <v>1.6935999999999999E-4</v>
      </c>
      <c r="O7267" s="9">
        <v>1.8374999999999999E-4</v>
      </c>
      <c r="P7267" s="9">
        <v>1.6715999999999999E-4</v>
      </c>
      <c r="Q7267" s="9">
        <v>1.5247000000000001E-4</v>
      </c>
      <c r="R7267" s="10">
        <v>3.9516471860725683E-5</v>
      </c>
      <c r="S7267" s="10">
        <v>1.8201093899973084E-4</v>
      </c>
      <c r="T7267" s="10">
        <v>2.5972137170656275E-4</v>
      </c>
      <c r="U7267" s="10">
        <v>7.7059999999999997E-5</v>
      </c>
      <c r="V7267" s="25"/>
      <c r="W7267" s="25"/>
      <c r="X7267" s="25"/>
      <c r="Y7267" s="25"/>
      <c r="Z7267" s="25"/>
      <c r="AA7267" s="25"/>
    </row>
    <row r="7268" spans="1:27" x14ac:dyDescent="0.35">
      <c r="A7268" s="5">
        <v>7264</v>
      </c>
      <c r="B7268" s="5">
        <v>303</v>
      </c>
      <c r="C7268" s="5">
        <v>10</v>
      </c>
      <c r="D7268" s="25">
        <v>1.1415000000000001E-4</v>
      </c>
      <c r="E7268" s="25">
        <v>1.103E-4</v>
      </c>
      <c r="F7268" s="25">
        <v>1.0975E-4</v>
      </c>
      <c r="G7268" s="25">
        <v>1.5801000000000001E-4</v>
      </c>
      <c r="H7268" s="25">
        <v>1.995E-4</v>
      </c>
      <c r="I7268" s="9">
        <v>1.0831E-4</v>
      </c>
      <c r="J7268" s="9">
        <v>1.1082E-4</v>
      </c>
      <c r="K7268" s="9">
        <v>0</v>
      </c>
      <c r="L7268" s="9">
        <v>1.8127E-4</v>
      </c>
      <c r="M7268" s="9">
        <v>1.6687000000000001E-4</v>
      </c>
      <c r="N7268" s="9">
        <v>1.6547E-4</v>
      </c>
      <c r="O7268" s="9">
        <v>1.9951999999999999E-4</v>
      </c>
      <c r="P7268" s="9">
        <v>1.5389000000000001E-4</v>
      </c>
      <c r="Q7268" s="9">
        <v>1.108E-4</v>
      </c>
      <c r="R7268" s="10">
        <v>5.6352281270468476E-5</v>
      </c>
      <c r="S7268" s="10">
        <v>1.8331282653335647E-4</v>
      </c>
      <c r="T7268" s="10">
        <v>1.9588550339609044E-4</v>
      </c>
      <c r="U7268" s="10">
        <v>7.7059999999999997E-5</v>
      </c>
      <c r="V7268" s="25"/>
      <c r="W7268" s="25"/>
      <c r="X7268" s="25"/>
      <c r="Y7268" s="25"/>
      <c r="Z7268" s="25"/>
      <c r="AA7268" s="25"/>
    </row>
    <row r="7269" spans="1:27" x14ac:dyDescent="0.35">
      <c r="A7269" s="5">
        <v>7265</v>
      </c>
      <c r="B7269" s="5">
        <v>303</v>
      </c>
      <c r="C7269" s="5">
        <v>10</v>
      </c>
      <c r="D7269" s="25">
        <v>1.1416E-4</v>
      </c>
      <c r="E7269" s="25">
        <v>1.0864E-4</v>
      </c>
      <c r="F7269" s="25">
        <v>1.2505E-4</v>
      </c>
      <c r="G7269" s="25">
        <v>1.5922000000000001E-4</v>
      </c>
      <c r="H7269" s="25">
        <v>1.8861E-4</v>
      </c>
      <c r="I7269" s="9">
        <v>1.1088E-4</v>
      </c>
      <c r="J7269" s="9">
        <v>1.1601E-4</v>
      </c>
      <c r="K7269" s="9">
        <v>0</v>
      </c>
      <c r="L7269" s="9">
        <v>1.9524000000000001E-4</v>
      </c>
      <c r="M7269" s="9">
        <v>1.6218999999999999E-4</v>
      </c>
      <c r="N7269" s="9">
        <v>1.5207E-4</v>
      </c>
      <c r="O7269" s="9">
        <v>2.1201999999999999E-4</v>
      </c>
      <c r="P7269" s="9">
        <v>1.5760000000000001E-4</v>
      </c>
      <c r="Q7269" s="9">
        <v>1.0601E-4</v>
      </c>
      <c r="R7269" s="10">
        <v>1.0475978535328602E-4</v>
      </c>
      <c r="S7269" s="10">
        <v>1.8348416442115907E-4</v>
      </c>
      <c r="T7269" s="10">
        <v>0</v>
      </c>
      <c r="U7269" s="10">
        <v>7.7059999999999997E-5</v>
      </c>
      <c r="V7269" s="25"/>
      <c r="W7269" s="25"/>
      <c r="X7269" s="25"/>
      <c r="Y7269" s="25"/>
      <c r="Z7269" s="25"/>
      <c r="AA7269" s="25"/>
    </row>
    <row r="7270" spans="1:27" x14ac:dyDescent="0.35">
      <c r="A7270" s="5">
        <v>7266</v>
      </c>
      <c r="B7270" s="5">
        <v>303</v>
      </c>
      <c r="C7270" s="5">
        <v>10</v>
      </c>
      <c r="D7270" s="25">
        <v>1.1415000000000001E-4</v>
      </c>
      <c r="E7270" s="25">
        <v>1.0868E-4</v>
      </c>
      <c r="F7270" s="25">
        <v>1.1836E-4</v>
      </c>
      <c r="G7270" s="25">
        <v>1.6442E-4</v>
      </c>
      <c r="H7270" s="25">
        <v>1.9965E-4</v>
      </c>
      <c r="I7270" s="9">
        <v>1.1751E-4</v>
      </c>
      <c r="J7270" s="9">
        <v>1.2056E-4</v>
      </c>
      <c r="K7270" s="9">
        <v>0</v>
      </c>
      <c r="L7270" s="9">
        <v>2.0802E-4</v>
      </c>
      <c r="M7270" s="9">
        <v>1.5924E-4</v>
      </c>
      <c r="N7270" s="9">
        <v>1.3860000000000001E-4</v>
      </c>
      <c r="O7270" s="9">
        <v>2.0599999999999999E-4</v>
      </c>
      <c r="P7270" s="9">
        <v>1.6061999999999999E-4</v>
      </c>
      <c r="Q7270" s="9">
        <v>1.1784E-4</v>
      </c>
      <c r="R7270" s="10">
        <v>1.5737690189175912E-4</v>
      </c>
      <c r="S7270" s="10">
        <v>1.8483021640537778E-4</v>
      </c>
      <c r="T7270" s="10">
        <v>0</v>
      </c>
      <c r="U7270" s="10">
        <v>7.7059999999999997E-5</v>
      </c>
      <c r="V7270" s="25"/>
      <c r="W7270" s="25"/>
      <c r="X7270" s="25"/>
      <c r="Y7270" s="25"/>
      <c r="Z7270" s="25"/>
      <c r="AA7270" s="25"/>
    </row>
    <row r="7271" spans="1:27" x14ac:dyDescent="0.35">
      <c r="A7271" s="5">
        <v>7267</v>
      </c>
      <c r="B7271" s="5">
        <v>303</v>
      </c>
      <c r="C7271" s="5">
        <v>10</v>
      </c>
      <c r="D7271" s="25">
        <v>1.1416E-4</v>
      </c>
      <c r="E7271" s="25">
        <v>1.0885E-4</v>
      </c>
      <c r="F7271" s="25">
        <v>1.2878999999999999E-4</v>
      </c>
      <c r="G7271" s="25">
        <v>1.1273999999999999E-4</v>
      </c>
      <c r="H7271" s="25">
        <v>1.2616E-4</v>
      </c>
      <c r="I7271" s="9">
        <v>1.2076E-4</v>
      </c>
      <c r="J7271" s="9">
        <v>1.2386E-4</v>
      </c>
      <c r="K7271" s="9">
        <v>0</v>
      </c>
      <c r="L7271" s="9">
        <v>2.0614E-4</v>
      </c>
      <c r="M7271" s="9">
        <v>1.5909E-4</v>
      </c>
      <c r="N7271" s="9">
        <v>1.2971E-4</v>
      </c>
      <c r="O7271" s="9">
        <v>1.6592000000000001E-4</v>
      </c>
      <c r="P7271" s="9">
        <v>1.3596999999999999E-4</v>
      </c>
      <c r="Q7271" s="9">
        <v>1.0792E-4</v>
      </c>
      <c r="R7271" s="10">
        <v>1.876079463910396E-4</v>
      </c>
      <c r="S7271" s="10">
        <v>1.8870295232393768E-4</v>
      </c>
      <c r="T7271" s="10">
        <v>0</v>
      </c>
      <c r="U7271" s="10">
        <v>7.7059999999999997E-5</v>
      </c>
      <c r="V7271" s="25"/>
      <c r="W7271" s="25"/>
      <c r="X7271" s="25"/>
      <c r="Y7271" s="25"/>
      <c r="Z7271" s="25"/>
      <c r="AA7271" s="25"/>
    </row>
    <row r="7272" spans="1:27" x14ac:dyDescent="0.35">
      <c r="A7272" s="5">
        <v>7268</v>
      </c>
      <c r="B7272" s="5">
        <v>303</v>
      </c>
      <c r="C7272" s="5">
        <v>10</v>
      </c>
      <c r="D7272" s="25">
        <v>1.1415000000000001E-4</v>
      </c>
      <c r="E7272" s="25">
        <v>1.0514E-4</v>
      </c>
      <c r="F7272" s="25">
        <v>1.1908000000000001E-4</v>
      </c>
      <c r="G7272" s="25">
        <v>1.0652E-4</v>
      </c>
      <c r="H7272" s="25">
        <v>1.3103999999999999E-4</v>
      </c>
      <c r="I7272" s="9">
        <v>1.1511E-4</v>
      </c>
      <c r="J7272" s="9">
        <v>1.1951E-4</v>
      </c>
      <c r="K7272" s="9">
        <v>0</v>
      </c>
      <c r="L7272" s="9">
        <v>1.7490999999999999E-4</v>
      </c>
      <c r="M7272" s="9">
        <v>1.5090000000000001E-4</v>
      </c>
      <c r="N7272" s="9">
        <v>1.2093E-4</v>
      </c>
      <c r="O7272" s="9">
        <v>1.2945E-4</v>
      </c>
      <c r="P7272" s="9">
        <v>1.1521E-4</v>
      </c>
      <c r="Q7272" s="9">
        <v>1.022E-4</v>
      </c>
      <c r="R7272" s="10">
        <v>2.0027920006975925E-4</v>
      </c>
      <c r="S7272" s="10">
        <v>1.8997964558991923E-4</v>
      </c>
      <c r="T7272" s="10">
        <v>0</v>
      </c>
      <c r="U7272" s="10">
        <v>7.7059999999999997E-5</v>
      </c>
      <c r="V7272" s="25"/>
      <c r="W7272" s="25"/>
      <c r="X7272" s="25"/>
      <c r="Y7272" s="25"/>
      <c r="Z7272" s="25"/>
      <c r="AA7272" s="25"/>
    </row>
    <row r="7273" spans="1:27" x14ac:dyDescent="0.35">
      <c r="A7273" s="5">
        <v>7269</v>
      </c>
      <c r="B7273" s="5">
        <v>303</v>
      </c>
      <c r="C7273" s="5">
        <v>10</v>
      </c>
      <c r="D7273" s="25">
        <v>1.1416E-4</v>
      </c>
      <c r="E7273" s="25">
        <v>1.0797E-4</v>
      </c>
      <c r="F7273" s="25">
        <v>1.1299E-4</v>
      </c>
      <c r="G7273" s="25">
        <v>5.664E-5</v>
      </c>
      <c r="H7273" s="25">
        <v>6.6270000000000001E-5</v>
      </c>
      <c r="I7273" s="9">
        <v>1.0924E-4</v>
      </c>
      <c r="J7273" s="9">
        <v>1.1366000000000001E-4</v>
      </c>
      <c r="K7273" s="9">
        <v>0</v>
      </c>
      <c r="L7273" s="9">
        <v>1.404E-4</v>
      </c>
      <c r="M7273" s="9">
        <v>1.3575999999999999E-4</v>
      </c>
      <c r="N7273" s="9">
        <v>1.1338E-4</v>
      </c>
      <c r="O7273" s="9">
        <v>8.4969999999999995E-5</v>
      </c>
      <c r="P7273" s="9">
        <v>8.6500000000000002E-5</v>
      </c>
      <c r="Q7273" s="9">
        <v>8.8499999999999996E-5</v>
      </c>
      <c r="R7273" s="10">
        <v>2.0218228021872401E-4</v>
      </c>
      <c r="S7273" s="10">
        <v>1.9005366887212059E-4</v>
      </c>
      <c r="T7273" s="10">
        <v>0</v>
      </c>
      <c r="U7273" s="10">
        <v>7.7059999999999997E-5</v>
      </c>
      <c r="V7273" s="25"/>
      <c r="W7273" s="25"/>
      <c r="X7273" s="25"/>
      <c r="Y7273" s="25"/>
      <c r="Z7273" s="25"/>
      <c r="AA7273" s="25"/>
    </row>
    <row r="7274" spans="1:27" x14ac:dyDescent="0.35">
      <c r="A7274" s="5">
        <v>7270</v>
      </c>
      <c r="B7274" s="5">
        <v>303</v>
      </c>
      <c r="C7274" s="5">
        <v>10</v>
      </c>
      <c r="D7274" s="25">
        <v>1.1415000000000001E-4</v>
      </c>
      <c r="E7274" s="25">
        <v>1.1069999999999999E-4</v>
      </c>
      <c r="F7274" s="25">
        <v>1.1510000000000001E-4</v>
      </c>
      <c r="G7274" s="25">
        <v>5.5770000000000003E-5</v>
      </c>
      <c r="H7274" s="25">
        <v>6.4389999999999998E-5</v>
      </c>
      <c r="I7274" s="9">
        <v>1.0911E-4</v>
      </c>
      <c r="J7274" s="9">
        <v>1.0849E-4</v>
      </c>
      <c r="K7274" s="9">
        <v>0</v>
      </c>
      <c r="L7274" s="9">
        <v>9.8109999999999994E-5</v>
      </c>
      <c r="M7274" s="9">
        <v>1.1411E-4</v>
      </c>
      <c r="N7274" s="9">
        <v>1.0582999999999999E-4</v>
      </c>
      <c r="O7274" s="9">
        <v>8.7670000000000006E-5</v>
      </c>
      <c r="P7274" s="9">
        <v>8.7789999999999998E-5</v>
      </c>
      <c r="Q7274" s="9">
        <v>8.844E-5</v>
      </c>
      <c r="R7274" s="10">
        <v>1.9915178358062875E-4</v>
      </c>
      <c r="S7274" s="10">
        <v>1.8944312493538546E-4</v>
      </c>
      <c r="T7274" s="10">
        <v>0</v>
      </c>
      <c r="U7274" s="10">
        <v>7.7059999999999997E-5</v>
      </c>
      <c r="V7274" s="25"/>
      <c r="W7274" s="25"/>
      <c r="X7274" s="25"/>
      <c r="Y7274" s="25"/>
      <c r="Z7274" s="25"/>
      <c r="AA7274" s="25"/>
    </row>
    <row r="7275" spans="1:27" x14ac:dyDescent="0.35">
      <c r="A7275" s="5">
        <v>7271</v>
      </c>
      <c r="B7275" s="5">
        <v>303</v>
      </c>
      <c r="C7275" s="5">
        <v>10</v>
      </c>
      <c r="D7275" s="25">
        <v>1.1416E-4</v>
      </c>
      <c r="E7275" s="25">
        <v>1.137E-4</v>
      </c>
      <c r="F7275" s="25">
        <v>1.2490999999999999E-4</v>
      </c>
      <c r="G7275" s="25">
        <v>6.3200000000000005E-5</v>
      </c>
      <c r="H7275" s="25">
        <v>6.6779999999999994E-5</v>
      </c>
      <c r="I7275" s="9">
        <v>1.0855E-4</v>
      </c>
      <c r="J7275" s="9">
        <v>1.0285000000000001E-4</v>
      </c>
      <c r="K7275" s="9">
        <v>0</v>
      </c>
      <c r="L7275" s="9">
        <v>9.0920000000000004E-5</v>
      </c>
      <c r="M7275" s="9">
        <v>9.9309999999999996E-5</v>
      </c>
      <c r="N7275" s="9">
        <v>1.0008E-4</v>
      </c>
      <c r="O7275" s="9">
        <v>7.7600000000000002E-5</v>
      </c>
      <c r="P7275" s="9">
        <v>7.1860000000000007E-5</v>
      </c>
      <c r="Q7275" s="9">
        <v>6.6630000000000004E-5</v>
      </c>
      <c r="R7275" s="10">
        <v>1.954977534817791E-4</v>
      </c>
      <c r="S7275" s="10">
        <v>1.8576276905328285E-4</v>
      </c>
      <c r="T7275" s="10">
        <v>0</v>
      </c>
      <c r="U7275" s="10">
        <v>7.7059999999999997E-5</v>
      </c>
      <c r="V7275" s="25"/>
      <c r="W7275" s="25"/>
      <c r="X7275" s="25"/>
      <c r="Y7275" s="25"/>
      <c r="Z7275" s="25"/>
      <c r="AA7275" s="25"/>
    </row>
    <row r="7276" spans="1:27" x14ac:dyDescent="0.35">
      <c r="A7276" s="5">
        <v>7272</v>
      </c>
      <c r="B7276" s="5">
        <v>303</v>
      </c>
      <c r="C7276" s="5">
        <v>10</v>
      </c>
      <c r="D7276" s="25">
        <v>1.1415000000000001E-4</v>
      </c>
      <c r="E7276" s="25">
        <v>1.1195E-4</v>
      </c>
      <c r="F7276" s="25">
        <v>1.1365E-4</v>
      </c>
      <c r="G7276" s="25">
        <v>5.8669999999999999E-5</v>
      </c>
      <c r="H7276" s="25">
        <v>6.4079999999999996E-5</v>
      </c>
      <c r="I7276" s="9">
        <v>1.0230000000000001E-4</v>
      </c>
      <c r="J7276" s="9">
        <v>9.6799999999999995E-5</v>
      </c>
      <c r="K7276" s="9">
        <v>6.37E-6</v>
      </c>
      <c r="L7276" s="9">
        <v>8.051E-5</v>
      </c>
      <c r="M7276" s="9">
        <v>8.6180000000000005E-5</v>
      </c>
      <c r="N7276" s="9">
        <v>9.0710000000000004E-5</v>
      </c>
      <c r="O7276" s="9">
        <v>6.2890000000000003E-5</v>
      </c>
      <c r="P7276" s="9">
        <v>6.0789999999999999E-5</v>
      </c>
      <c r="Q7276" s="9">
        <v>5.8980000000000001E-5</v>
      </c>
      <c r="R7276" s="10">
        <v>1.9656399640251076E-4</v>
      </c>
      <c r="S7276" s="10">
        <v>1.7873900181198101E-4</v>
      </c>
      <c r="T7276" s="10">
        <v>0</v>
      </c>
      <c r="U7276" s="10">
        <v>7.7059999999999997E-5</v>
      </c>
      <c r="V7276" s="25"/>
      <c r="W7276" s="25"/>
      <c r="X7276" s="25"/>
      <c r="Y7276" s="25"/>
      <c r="Z7276" s="25"/>
      <c r="AA7276" s="25"/>
    </row>
    <row r="7277" spans="1:27" x14ac:dyDescent="0.35">
      <c r="A7277" s="5">
        <v>7273</v>
      </c>
      <c r="B7277" s="5">
        <v>304</v>
      </c>
      <c r="C7277" s="5">
        <v>10</v>
      </c>
      <c r="D7277" s="25">
        <v>1.1416E-4</v>
      </c>
      <c r="E7277" s="25">
        <v>1.1552000000000001E-4</v>
      </c>
      <c r="F7277" s="25">
        <v>1.2704E-4</v>
      </c>
      <c r="G7277" s="25">
        <v>6.067E-5</v>
      </c>
      <c r="H7277" s="25">
        <v>6.4449999999999994E-5</v>
      </c>
      <c r="I7277" s="9">
        <v>9.5940000000000006E-5</v>
      </c>
      <c r="J7277" s="9">
        <v>9.2040000000000006E-5</v>
      </c>
      <c r="K7277" s="9">
        <v>8.4800000000000001E-6</v>
      </c>
      <c r="L7277" s="9">
        <v>6.6779999999999994E-5</v>
      </c>
      <c r="M7277" s="9">
        <v>7.4019999999999999E-5</v>
      </c>
      <c r="N7277" s="9">
        <v>8.1269999999999999E-5</v>
      </c>
      <c r="O7277" s="9">
        <v>5.4429999999999999E-5</v>
      </c>
      <c r="P7277" s="9">
        <v>5.3850000000000001E-5</v>
      </c>
      <c r="Q7277" s="9">
        <v>5.3430000000000002E-5</v>
      </c>
      <c r="R7277" s="10">
        <v>1.8188987574384332E-4</v>
      </c>
      <c r="S7277" s="10">
        <v>1.5777292396744881E-4</v>
      </c>
      <c r="T7277" s="10">
        <v>0</v>
      </c>
      <c r="U7277" s="10">
        <v>7.5149999999999997E-5</v>
      </c>
      <c r="V7277" s="25"/>
      <c r="W7277" s="25"/>
      <c r="X7277" s="25"/>
      <c r="Y7277" s="25"/>
      <c r="Z7277" s="25"/>
      <c r="AA7277" s="25"/>
    </row>
    <row r="7278" spans="1:27" x14ac:dyDescent="0.35">
      <c r="A7278" s="5">
        <v>7274</v>
      </c>
      <c r="B7278" s="5">
        <v>304</v>
      </c>
      <c r="C7278" s="5">
        <v>10</v>
      </c>
      <c r="D7278" s="25">
        <v>1.1415000000000001E-4</v>
      </c>
      <c r="E7278" s="25">
        <v>1.1006E-4</v>
      </c>
      <c r="F7278" s="25">
        <v>1.2286999999999999E-4</v>
      </c>
      <c r="G7278" s="25">
        <v>5.6039999999999999E-5</v>
      </c>
      <c r="H7278" s="25">
        <v>7.0279999999999998E-5</v>
      </c>
      <c r="I7278" s="9">
        <v>9.132E-5</v>
      </c>
      <c r="J7278" s="9">
        <v>8.7369999999999999E-5</v>
      </c>
      <c r="K7278" s="9">
        <v>1.484E-5</v>
      </c>
      <c r="L7278" s="9">
        <v>5.7519999999999998E-5</v>
      </c>
      <c r="M7278" s="9">
        <v>6.3869999999999997E-5</v>
      </c>
      <c r="N7278" s="9">
        <v>7.2119999999999994E-5</v>
      </c>
      <c r="O7278" s="9">
        <v>1.8830000000000001E-5</v>
      </c>
      <c r="P7278" s="9">
        <v>3.7880000000000003E-5</v>
      </c>
      <c r="Q7278" s="9">
        <v>5.6379999999999999E-5</v>
      </c>
      <c r="R7278" s="10">
        <v>1.7875198828662118E-4</v>
      </c>
      <c r="S7278" s="10">
        <v>1.2775462431496661E-4</v>
      </c>
      <c r="T7278" s="10">
        <v>0</v>
      </c>
      <c r="U7278" s="10">
        <v>7.5149999999999997E-5</v>
      </c>
      <c r="V7278" s="25"/>
      <c r="W7278" s="25"/>
      <c r="X7278" s="25"/>
      <c r="Y7278" s="25"/>
      <c r="Z7278" s="25"/>
      <c r="AA7278" s="25"/>
    </row>
    <row r="7279" spans="1:27" x14ac:dyDescent="0.35">
      <c r="A7279" s="5">
        <v>7275</v>
      </c>
      <c r="B7279" s="5">
        <v>304</v>
      </c>
      <c r="C7279" s="5">
        <v>10</v>
      </c>
      <c r="D7279" s="25">
        <v>1.1416E-4</v>
      </c>
      <c r="E7279" s="25">
        <v>1.104E-4</v>
      </c>
      <c r="F7279" s="25">
        <v>1.0891E-4</v>
      </c>
      <c r="G7279" s="25">
        <v>6.0420000000000001E-5</v>
      </c>
      <c r="H7279" s="25">
        <v>6.949E-5</v>
      </c>
      <c r="I7279" s="9">
        <v>8.8640000000000005E-5</v>
      </c>
      <c r="J7279" s="9">
        <v>8.9229999999999998E-5</v>
      </c>
      <c r="K7279" s="9">
        <v>1.908E-5</v>
      </c>
      <c r="L7279" s="9">
        <v>2.7549999999999999E-5</v>
      </c>
      <c r="M7279" s="9">
        <v>5.2210000000000003E-5</v>
      </c>
      <c r="N7279" s="9">
        <v>6.5560000000000002E-5</v>
      </c>
      <c r="O7279" s="9">
        <v>1.3339999999999999E-5</v>
      </c>
      <c r="P7279" s="9">
        <v>3.799E-5</v>
      </c>
      <c r="Q7279" s="9">
        <v>6.1920000000000003E-5</v>
      </c>
      <c r="R7279" s="10">
        <v>1.7986049331865725E-4</v>
      </c>
      <c r="S7279" s="10">
        <v>1.1343257590801401E-4</v>
      </c>
      <c r="T7279" s="10">
        <v>0</v>
      </c>
      <c r="U7279" s="10">
        <v>7.5149999999999997E-5</v>
      </c>
      <c r="V7279" s="25"/>
      <c r="W7279" s="25"/>
      <c r="X7279" s="25"/>
      <c r="Y7279" s="25"/>
      <c r="Z7279" s="25"/>
      <c r="AA7279" s="25"/>
    </row>
    <row r="7280" spans="1:27" x14ac:dyDescent="0.35">
      <c r="A7280" s="5">
        <v>7276</v>
      </c>
      <c r="B7280" s="5">
        <v>304</v>
      </c>
      <c r="C7280" s="5">
        <v>10</v>
      </c>
      <c r="D7280" s="25">
        <v>1.1415000000000001E-4</v>
      </c>
      <c r="E7280" s="25">
        <v>1.1786999999999999E-4</v>
      </c>
      <c r="F7280" s="25">
        <v>1.2411E-4</v>
      </c>
      <c r="G7280" s="25">
        <v>5.482E-5</v>
      </c>
      <c r="H7280" s="25">
        <v>6.3280000000000004E-5</v>
      </c>
      <c r="I7280" s="9">
        <v>8.878E-5</v>
      </c>
      <c r="J7280" s="9">
        <v>8.6470000000000004E-5</v>
      </c>
      <c r="K7280" s="9">
        <v>3.6029999999999999E-5</v>
      </c>
      <c r="L7280" s="9">
        <v>1.721E-5</v>
      </c>
      <c r="M7280" s="9">
        <v>4.4310000000000001E-5</v>
      </c>
      <c r="N7280" s="9">
        <v>6.2030000000000001E-5</v>
      </c>
      <c r="O7280" s="9">
        <v>1.3179999999999999E-5</v>
      </c>
      <c r="P7280" s="9">
        <v>4.6910000000000003E-5</v>
      </c>
      <c r="Q7280" s="9">
        <v>7.9779999999999998E-5</v>
      </c>
      <c r="R7280" s="10">
        <v>1.7367906418188001E-4</v>
      </c>
      <c r="S7280" s="10">
        <v>1.203775941846465E-4</v>
      </c>
      <c r="T7280" s="10">
        <v>0</v>
      </c>
      <c r="U7280" s="10">
        <v>7.5149999999999997E-5</v>
      </c>
      <c r="V7280" s="25"/>
      <c r="W7280" s="25"/>
      <c r="X7280" s="25"/>
      <c r="Y7280" s="25"/>
      <c r="Z7280" s="25"/>
      <c r="AA7280" s="25"/>
    </row>
    <row r="7281" spans="1:27" x14ac:dyDescent="0.35">
      <c r="A7281" s="5">
        <v>7277</v>
      </c>
      <c r="B7281" s="5">
        <v>304</v>
      </c>
      <c r="C7281" s="5">
        <v>10</v>
      </c>
      <c r="D7281" s="25">
        <v>1.1416E-4</v>
      </c>
      <c r="E7281" s="25">
        <v>1.1736E-4</v>
      </c>
      <c r="F7281" s="25">
        <v>1.2261999999999999E-4</v>
      </c>
      <c r="G7281" s="25">
        <v>5.6759999999999999E-5</v>
      </c>
      <c r="H7281" s="25">
        <v>6.7199999999999994E-5</v>
      </c>
      <c r="I7281" s="9">
        <v>8.9950000000000004E-5</v>
      </c>
      <c r="J7281" s="9">
        <v>8.6450000000000001E-5</v>
      </c>
      <c r="K7281" s="9">
        <v>5.0869999999999999E-5</v>
      </c>
      <c r="L7281" s="9">
        <v>1.431E-5</v>
      </c>
      <c r="M7281" s="9">
        <v>4.3470000000000002E-5</v>
      </c>
      <c r="N7281" s="9">
        <v>6.4430000000000005E-5</v>
      </c>
      <c r="O7281" s="9">
        <v>1.8620000000000001E-5</v>
      </c>
      <c r="P7281" s="9">
        <v>5.6199999999999997E-5</v>
      </c>
      <c r="Q7281" s="9">
        <v>9.2930000000000006E-5</v>
      </c>
      <c r="R7281" s="10">
        <v>1.7406289557201615E-4</v>
      </c>
      <c r="S7281" s="10">
        <v>1.4653408692382971E-4</v>
      </c>
      <c r="T7281" s="10">
        <v>0</v>
      </c>
      <c r="U7281" s="10">
        <v>7.5149999999999997E-5</v>
      </c>
      <c r="V7281" s="25"/>
      <c r="W7281" s="25"/>
      <c r="X7281" s="25"/>
      <c r="Y7281" s="25"/>
      <c r="Z7281" s="25"/>
      <c r="AA7281" s="25"/>
    </row>
    <row r="7282" spans="1:27" x14ac:dyDescent="0.35">
      <c r="A7282" s="5">
        <v>7278</v>
      </c>
      <c r="B7282" s="5">
        <v>304</v>
      </c>
      <c r="C7282" s="5">
        <v>10</v>
      </c>
      <c r="D7282" s="25">
        <v>1.1415000000000001E-4</v>
      </c>
      <c r="E7282" s="25">
        <v>1.0916000000000001E-4</v>
      </c>
      <c r="F7282" s="25">
        <v>1.1776E-4</v>
      </c>
      <c r="G7282" s="25">
        <v>1.1413000000000001E-4</v>
      </c>
      <c r="H7282" s="25">
        <v>1.2841E-4</v>
      </c>
      <c r="I7282" s="9">
        <v>9.0699999999999996E-5</v>
      </c>
      <c r="J7282" s="9">
        <v>8.7089999999999995E-5</v>
      </c>
      <c r="K7282" s="9">
        <v>4.6629999999999999E-5</v>
      </c>
      <c r="L7282" s="9">
        <v>1.7540000000000001E-5</v>
      </c>
      <c r="M7282" s="9">
        <v>4.8180000000000003E-5</v>
      </c>
      <c r="N7282" s="9">
        <v>7.0820000000000003E-5</v>
      </c>
      <c r="O7282" s="9">
        <v>4.583E-5</v>
      </c>
      <c r="P7282" s="9">
        <v>7.6139999999999999E-5</v>
      </c>
      <c r="Q7282" s="9">
        <v>1.0602E-4</v>
      </c>
      <c r="R7282" s="10">
        <v>1.7857098314146057E-4</v>
      </c>
      <c r="S7282" s="10">
        <v>1.6370871049761635E-4</v>
      </c>
      <c r="T7282" s="10">
        <v>0</v>
      </c>
      <c r="U7282" s="10">
        <v>7.5149999999999997E-5</v>
      </c>
      <c r="V7282" s="25"/>
      <c r="W7282" s="25"/>
      <c r="X7282" s="25"/>
      <c r="Y7282" s="25"/>
      <c r="Z7282" s="25"/>
      <c r="AA7282" s="25"/>
    </row>
    <row r="7283" spans="1:27" x14ac:dyDescent="0.35">
      <c r="A7283" s="5">
        <v>7279</v>
      </c>
      <c r="B7283" s="5">
        <v>304</v>
      </c>
      <c r="C7283" s="5">
        <v>10</v>
      </c>
      <c r="D7283" s="25">
        <v>1.1416E-4</v>
      </c>
      <c r="E7283" s="25">
        <v>1.1582E-4</v>
      </c>
      <c r="F7283" s="25">
        <v>1.0553E-4</v>
      </c>
      <c r="G7283" s="25">
        <v>1.0715E-4</v>
      </c>
      <c r="H7283" s="25">
        <v>1.372E-4</v>
      </c>
      <c r="I7283" s="9">
        <v>9.3830000000000001E-5</v>
      </c>
      <c r="J7283" s="9">
        <v>8.9779999999999998E-5</v>
      </c>
      <c r="K7283" s="9">
        <v>4.4509999999999999E-5</v>
      </c>
      <c r="L7283" s="9">
        <v>3.947E-5</v>
      </c>
      <c r="M7283" s="9">
        <v>5.9580000000000002E-5</v>
      </c>
      <c r="N7283" s="9">
        <v>8.0309999999999995E-5</v>
      </c>
      <c r="O7283" s="9">
        <v>1.2397999999999999E-4</v>
      </c>
      <c r="P7283" s="9">
        <v>1.1797E-4</v>
      </c>
      <c r="Q7283" s="9">
        <v>1.1301E-4</v>
      </c>
      <c r="R7283" s="10">
        <v>1.8178173358316852E-4</v>
      </c>
      <c r="S7283" s="10">
        <v>1.7053172907702217E-4</v>
      </c>
      <c r="T7283" s="10">
        <v>0</v>
      </c>
      <c r="U7283" s="10">
        <v>7.5149999999999997E-5</v>
      </c>
      <c r="V7283" s="25"/>
      <c r="W7283" s="25"/>
      <c r="X7283" s="25"/>
      <c r="Y7283" s="25"/>
      <c r="Z7283" s="25"/>
      <c r="AA7283" s="25"/>
    </row>
    <row r="7284" spans="1:27" x14ac:dyDescent="0.35">
      <c r="A7284" s="5">
        <v>7280</v>
      </c>
      <c r="B7284" s="5">
        <v>304</v>
      </c>
      <c r="C7284" s="5">
        <v>10</v>
      </c>
      <c r="D7284" s="25">
        <v>1.1415000000000001E-4</v>
      </c>
      <c r="E7284" s="25">
        <v>1.1056999999999999E-4</v>
      </c>
      <c r="F7284" s="25">
        <v>1.1323E-4</v>
      </c>
      <c r="G7284" s="25">
        <v>1.6440000000000001E-4</v>
      </c>
      <c r="H7284" s="25">
        <v>1.9065999999999999E-4</v>
      </c>
      <c r="I7284" s="9">
        <v>9.713E-5</v>
      </c>
      <c r="J7284" s="9">
        <v>9.3469999999999998E-5</v>
      </c>
      <c r="K7284" s="9">
        <v>3.6040000000000001E-5</v>
      </c>
      <c r="L7284" s="9">
        <v>1.0477E-4</v>
      </c>
      <c r="M7284" s="9">
        <v>8.3540000000000003E-5</v>
      </c>
      <c r="N7284" s="9">
        <v>9.0550000000000005E-5</v>
      </c>
      <c r="O7284" s="9">
        <v>2.1879000000000001E-4</v>
      </c>
      <c r="P7284" s="9">
        <v>1.7603000000000001E-4</v>
      </c>
      <c r="Q7284" s="9">
        <v>1.3598000000000001E-4</v>
      </c>
      <c r="R7284" s="10">
        <v>1.8257140149717527E-4</v>
      </c>
      <c r="S7284" s="10">
        <v>1.723534694615829E-4</v>
      </c>
      <c r="T7284" s="10">
        <v>5.1151840782009233E-5</v>
      </c>
      <c r="U7284" s="10">
        <v>7.5149999999999997E-5</v>
      </c>
      <c r="V7284" s="25"/>
      <c r="W7284" s="25"/>
      <c r="X7284" s="25"/>
      <c r="Y7284" s="25"/>
      <c r="Z7284" s="25"/>
      <c r="AA7284" s="25"/>
    </row>
    <row r="7285" spans="1:27" x14ac:dyDescent="0.35">
      <c r="A7285" s="5">
        <v>7281</v>
      </c>
      <c r="B7285" s="5">
        <v>304</v>
      </c>
      <c r="C7285" s="5">
        <v>10</v>
      </c>
      <c r="D7285" s="25">
        <v>1.1416E-4</v>
      </c>
      <c r="E7285" s="25">
        <v>1.1558E-4</v>
      </c>
      <c r="F7285" s="25">
        <v>1.0997000000000001E-4</v>
      </c>
      <c r="G7285" s="25">
        <v>1.5794999999999999E-4</v>
      </c>
      <c r="H7285" s="25">
        <v>2.0321E-4</v>
      </c>
      <c r="I7285" s="9">
        <v>1.0128000000000001E-4</v>
      </c>
      <c r="J7285" s="9">
        <v>9.8950000000000006E-5</v>
      </c>
      <c r="K7285" s="9">
        <v>0</v>
      </c>
      <c r="L7285" s="9">
        <v>1.9191999999999999E-4</v>
      </c>
      <c r="M7285" s="9">
        <v>1.2305000000000001E-4</v>
      </c>
      <c r="N7285" s="9">
        <v>1.0418E-4</v>
      </c>
      <c r="O7285" s="9">
        <v>2.1003999999999999E-4</v>
      </c>
      <c r="P7285" s="9">
        <v>1.9167000000000001E-4</v>
      </c>
      <c r="Q7285" s="9">
        <v>1.7553999999999999E-4</v>
      </c>
      <c r="R7285" s="10">
        <v>1.8620558994725901E-4</v>
      </c>
      <c r="S7285" s="10">
        <v>1.7395126311234351E-4</v>
      </c>
      <c r="T7285" s="10">
        <v>2.6678879306523144E-4</v>
      </c>
      <c r="U7285" s="10">
        <v>7.5149999999999997E-5</v>
      </c>
      <c r="V7285" s="25"/>
      <c r="W7285" s="25"/>
      <c r="X7285" s="25"/>
      <c r="Y7285" s="25"/>
      <c r="Z7285" s="25"/>
      <c r="AA7285" s="25"/>
    </row>
    <row r="7286" spans="1:27" x14ac:dyDescent="0.35">
      <c r="A7286" s="5">
        <v>7282</v>
      </c>
      <c r="B7286" s="5">
        <v>304</v>
      </c>
      <c r="C7286" s="5">
        <v>10</v>
      </c>
      <c r="D7286" s="25">
        <v>1.1415000000000001E-4</v>
      </c>
      <c r="E7286" s="25">
        <v>1.137E-4</v>
      </c>
      <c r="F7286" s="25">
        <v>1.2269000000000001E-4</v>
      </c>
      <c r="G7286" s="25">
        <v>1.6344999999999999E-4</v>
      </c>
      <c r="H7286" s="25">
        <v>1.9819E-4</v>
      </c>
      <c r="I7286" s="9">
        <v>1.0435E-4</v>
      </c>
      <c r="J7286" s="9">
        <v>1.0372E-4</v>
      </c>
      <c r="K7286" s="9">
        <v>0</v>
      </c>
      <c r="L7286" s="9">
        <v>2.0375999999999999E-4</v>
      </c>
      <c r="M7286" s="9">
        <v>1.5775000000000001E-4</v>
      </c>
      <c r="N7286" s="9">
        <v>1.2396999999999999E-4</v>
      </c>
      <c r="O7286" s="9">
        <v>1.6604E-4</v>
      </c>
      <c r="P7286" s="9">
        <v>1.7264E-4</v>
      </c>
      <c r="Q7286" s="9">
        <v>1.8058000000000001E-4</v>
      </c>
      <c r="R7286" s="10">
        <v>1.8367762917728765E-4</v>
      </c>
      <c r="S7286" s="10">
        <v>1.7554869339649572E-4</v>
      </c>
      <c r="T7286" s="10">
        <v>4.1954860286454746E-4</v>
      </c>
      <c r="U7286" s="10">
        <v>7.5149999999999997E-5</v>
      </c>
      <c r="V7286" s="25"/>
      <c r="W7286" s="25"/>
      <c r="X7286" s="25"/>
      <c r="Y7286" s="25"/>
      <c r="Z7286" s="25"/>
      <c r="AA7286" s="25"/>
    </row>
    <row r="7287" spans="1:27" x14ac:dyDescent="0.35">
      <c r="A7287" s="5">
        <v>7283</v>
      </c>
      <c r="B7287" s="5">
        <v>304</v>
      </c>
      <c r="C7287" s="5">
        <v>10</v>
      </c>
      <c r="D7287" s="25">
        <v>1.1416E-4</v>
      </c>
      <c r="E7287" s="25">
        <v>1.0804E-4</v>
      </c>
      <c r="F7287" s="25">
        <v>1.0882000000000001E-4</v>
      </c>
      <c r="G7287" s="25">
        <v>1.5719E-4</v>
      </c>
      <c r="H7287" s="25">
        <v>1.9364999999999999E-4</v>
      </c>
      <c r="I7287" s="9">
        <v>1.0525E-4</v>
      </c>
      <c r="J7287" s="9">
        <v>1.0620000000000001E-4</v>
      </c>
      <c r="K7287" s="9">
        <v>0</v>
      </c>
      <c r="L7287" s="9">
        <v>1.7443999999999999E-4</v>
      </c>
      <c r="M7287" s="9">
        <v>1.7113E-4</v>
      </c>
      <c r="N7287" s="9">
        <v>1.4181999999999999E-4</v>
      </c>
      <c r="O7287" s="9">
        <v>1.6744000000000001E-4</v>
      </c>
      <c r="P7287" s="9">
        <v>1.7275E-4</v>
      </c>
      <c r="Q7287" s="9">
        <v>1.7942000000000001E-4</v>
      </c>
      <c r="R7287" s="10">
        <v>1.5638009327472002E-4</v>
      </c>
      <c r="S7287" s="10">
        <v>1.7624230088562166E-4</v>
      </c>
      <c r="T7287" s="10">
        <v>5.1545512271855846E-4</v>
      </c>
      <c r="U7287" s="10">
        <v>7.5149999999999997E-5</v>
      </c>
      <c r="V7287" s="25"/>
      <c r="W7287" s="25"/>
      <c r="X7287" s="25"/>
      <c r="Y7287" s="25"/>
      <c r="Z7287" s="25"/>
      <c r="AA7287" s="25"/>
    </row>
    <row r="7288" spans="1:27" x14ac:dyDescent="0.35">
      <c r="A7288" s="5">
        <v>7284</v>
      </c>
      <c r="B7288" s="5">
        <v>304</v>
      </c>
      <c r="C7288" s="5">
        <v>10</v>
      </c>
      <c r="D7288" s="25">
        <v>1.1415000000000001E-4</v>
      </c>
      <c r="E7288" s="25">
        <v>1.1681E-4</v>
      </c>
      <c r="F7288" s="25">
        <v>1.1632E-4</v>
      </c>
      <c r="G7288" s="25">
        <v>1.6555000000000001E-4</v>
      </c>
      <c r="H7288" s="25">
        <v>2.0175999999999999E-4</v>
      </c>
      <c r="I7288" s="9">
        <v>1.0668E-4</v>
      </c>
      <c r="J7288" s="9">
        <v>1.0713E-4</v>
      </c>
      <c r="K7288" s="9">
        <v>0</v>
      </c>
      <c r="L7288" s="9">
        <v>1.7039E-4</v>
      </c>
      <c r="M7288" s="9">
        <v>1.7395999999999999E-4</v>
      </c>
      <c r="N7288" s="9">
        <v>1.5600999999999999E-4</v>
      </c>
      <c r="O7288" s="9">
        <v>1.6918E-4</v>
      </c>
      <c r="P7288" s="9">
        <v>1.7038000000000001E-4</v>
      </c>
      <c r="Q7288" s="9">
        <v>1.7304000000000001E-4</v>
      </c>
      <c r="R7288" s="10">
        <v>7.4483534302525087E-5</v>
      </c>
      <c r="S7288" s="10">
        <v>1.687492222708732E-4</v>
      </c>
      <c r="T7288" s="10">
        <v>4.8559887330540695E-4</v>
      </c>
      <c r="U7288" s="10">
        <v>7.5149999999999997E-5</v>
      </c>
      <c r="V7288" s="25"/>
      <c r="W7288" s="25"/>
      <c r="X7288" s="25"/>
      <c r="Y7288" s="25"/>
      <c r="Z7288" s="25"/>
      <c r="AA7288" s="25"/>
    </row>
    <row r="7289" spans="1:27" x14ac:dyDescent="0.35">
      <c r="A7289" s="5">
        <v>7285</v>
      </c>
      <c r="B7289" s="5">
        <v>304</v>
      </c>
      <c r="C7289" s="5">
        <v>10</v>
      </c>
      <c r="D7289" s="25">
        <v>1.1416E-4</v>
      </c>
      <c r="E7289" s="25">
        <v>1.0743000000000001E-4</v>
      </c>
      <c r="F7289" s="25">
        <v>1.1760999999999999E-4</v>
      </c>
      <c r="G7289" s="25">
        <v>1.5700999999999999E-4</v>
      </c>
      <c r="H7289" s="25">
        <v>1.9812000000000001E-4</v>
      </c>
      <c r="I7289" s="9">
        <v>1.0586000000000001E-4</v>
      </c>
      <c r="J7289" s="9">
        <v>1.0808E-4</v>
      </c>
      <c r="K7289" s="9">
        <v>0</v>
      </c>
      <c r="L7289" s="9">
        <v>1.6958000000000001E-4</v>
      </c>
      <c r="M7289" s="9">
        <v>1.7294000000000001E-4</v>
      </c>
      <c r="N7289" s="9">
        <v>1.6535000000000001E-4</v>
      </c>
      <c r="O7289" s="9">
        <v>1.6138E-4</v>
      </c>
      <c r="P7289" s="9">
        <v>1.6342E-4</v>
      </c>
      <c r="Q7289" s="9">
        <v>1.6681000000000001E-4</v>
      </c>
      <c r="R7289" s="10">
        <v>5.4880740605000798E-5</v>
      </c>
      <c r="S7289" s="10">
        <v>1.6478019475826448E-4</v>
      </c>
      <c r="T7289" s="10">
        <v>5.0642782821000681E-4</v>
      </c>
      <c r="U7289" s="10">
        <v>7.5149999999999997E-5</v>
      </c>
      <c r="V7289" s="25"/>
      <c r="W7289" s="25"/>
      <c r="X7289" s="25"/>
      <c r="Y7289" s="25"/>
      <c r="Z7289" s="25"/>
      <c r="AA7289" s="25"/>
    </row>
    <row r="7290" spans="1:27" x14ac:dyDescent="0.35">
      <c r="A7290" s="5">
        <v>7286</v>
      </c>
      <c r="B7290" s="5">
        <v>304</v>
      </c>
      <c r="C7290" s="5">
        <v>10</v>
      </c>
      <c r="D7290" s="25">
        <v>1.1415000000000001E-4</v>
      </c>
      <c r="E7290" s="25">
        <v>1.147E-4</v>
      </c>
      <c r="F7290" s="25">
        <v>1.2018E-4</v>
      </c>
      <c r="G7290" s="25">
        <v>1.5912000000000001E-4</v>
      </c>
      <c r="H7290" s="25">
        <v>1.9614E-4</v>
      </c>
      <c r="I7290" s="9">
        <v>1.0206E-4</v>
      </c>
      <c r="J7290" s="9">
        <v>1.0726E-4</v>
      </c>
      <c r="K7290" s="9">
        <v>0</v>
      </c>
      <c r="L7290" s="9">
        <v>1.6295E-4</v>
      </c>
      <c r="M7290" s="9">
        <v>1.6919999999999999E-4</v>
      </c>
      <c r="N7290" s="9">
        <v>1.6969000000000001E-4</v>
      </c>
      <c r="O7290" s="9">
        <v>1.7930999999999999E-4</v>
      </c>
      <c r="P7290" s="9">
        <v>1.6950999999999999E-4</v>
      </c>
      <c r="Q7290" s="9">
        <v>1.6144999999999999E-4</v>
      </c>
      <c r="R7290" s="10">
        <v>5.3405430892653394E-5</v>
      </c>
      <c r="S7290" s="10">
        <v>1.5351416721524981E-4</v>
      </c>
      <c r="T7290" s="10">
        <v>4.2481735276098597E-4</v>
      </c>
      <c r="U7290" s="10">
        <v>7.5149999999999997E-5</v>
      </c>
      <c r="V7290" s="25"/>
      <c r="W7290" s="25"/>
      <c r="X7290" s="25"/>
      <c r="Y7290" s="25"/>
      <c r="Z7290" s="25"/>
      <c r="AA7290" s="25"/>
    </row>
    <row r="7291" spans="1:27" x14ac:dyDescent="0.35">
      <c r="A7291" s="5">
        <v>7287</v>
      </c>
      <c r="B7291" s="5">
        <v>304</v>
      </c>
      <c r="C7291" s="5">
        <v>10</v>
      </c>
      <c r="D7291" s="25">
        <v>1.1416E-4</v>
      </c>
      <c r="E7291" s="25">
        <v>1.12E-4</v>
      </c>
      <c r="F7291" s="25">
        <v>1.0632999999999999E-4</v>
      </c>
      <c r="G7291" s="25">
        <v>1.5814E-4</v>
      </c>
      <c r="H7291" s="25">
        <v>1.9120000000000001E-4</v>
      </c>
      <c r="I7291" s="9">
        <v>9.8659999999999994E-5</v>
      </c>
      <c r="J7291" s="9">
        <v>1.0605E-4</v>
      </c>
      <c r="K7291" s="9">
        <v>0</v>
      </c>
      <c r="L7291" s="9">
        <v>1.7587000000000001E-4</v>
      </c>
      <c r="M7291" s="9">
        <v>1.6824E-4</v>
      </c>
      <c r="N7291" s="9">
        <v>1.6955E-4</v>
      </c>
      <c r="O7291" s="9">
        <v>1.8569999999999999E-4</v>
      </c>
      <c r="P7291" s="9">
        <v>1.6893999999999999E-4</v>
      </c>
      <c r="Q7291" s="9">
        <v>1.5409000000000001E-4</v>
      </c>
      <c r="R7291" s="10">
        <v>5.8444827514949398E-5</v>
      </c>
      <c r="S7291" s="10">
        <v>1.3142337836220859E-4</v>
      </c>
      <c r="T7291" s="10">
        <v>3.2399842358324241E-4</v>
      </c>
      <c r="U7291" s="10">
        <v>7.5149999999999997E-5</v>
      </c>
      <c r="V7291" s="25"/>
      <c r="W7291" s="25"/>
      <c r="X7291" s="25"/>
      <c r="Y7291" s="25"/>
      <c r="Z7291" s="25"/>
      <c r="AA7291" s="25"/>
    </row>
    <row r="7292" spans="1:27" x14ac:dyDescent="0.35">
      <c r="A7292" s="5">
        <v>7288</v>
      </c>
      <c r="B7292" s="5">
        <v>304</v>
      </c>
      <c r="C7292" s="5">
        <v>10</v>
      </c>
      <c r="D7292" s="25">
        <v>1.1415000000000001E-4</v>
      </c>
      <c r="E7292" s="25">
        <v>1.1603E-4</v>
      </c>
      <c r="F7292" s="25">
        <v>1.0669E-4</v>
      </c>
      <c r="G7292" s="25">
        <v>1.6547999999999999E-4</v>
      </c>
      <c r="H7292" s="25">
        <v>1.9828000000000001E-4</v>
      </c>
      <c r="I7292" s="9">
        <v>9.9190000000000004E-5</v>
      </c>
      <c r="J7292" s="9">
        <v>1.0622E-4</v>
      </c>
      <c r="K7292" s="9">
        <v>0</v>
      </c>
      <c r="L7292" s="9">
        <v>1.8319000000000001E-4</v>
      </c>
      <c r="M7292" s="9">
        <v>1.6834E-4</v>
      </c>
      <c r="N7292" s="9">
        <v>1.6618000000000001E-4</v>
      </c>
      <c r="O7292" s="9">
        <v>1.9670000000000001E-4</v>
      </c>
      <c r="P7292" s="9">
        <v>1.5171999999999999E-4</v>
      </c>
      <c r="Q7292" s="9">
        <v>1.0923E-4</v>
      </c>
      <c r="R7292" s="10">
        <v>7.5615909723436244E-5</v>
      </c>
      <c r="S7292" s="10">
        <v>1.026828149995791E-4</v>
      </c>
      <c r="T7292" s="10">
        <v>1.4538695366404217E-4</v>
      </c>
      <c r="U7292" s="10">
        <v>7.5149999999999997E-5</v>
      </c>
      <c r="V7292" s="25"/>
      <c r="W7292" s="25"/>
      <c r="X7292" s="25"/>
      <c r="Y7292" s="25"/>
      <c r="Z7292" s="25"/>
      <c r="AA7292" s="25"/>
    </row>
    <row r="7293" spans="1:27" x14ac:dyDescent="0.35">
      <c r="A7293" s="5">
        <v>7289</v>
      </c>
      <c r="B7293" s="5">
        <v>304</v>
      </c>
      <c r="C7293" s="5">
        <v>10</v>
      </c>
      <c r="D7293" s="25">
        <v>1.1416E-4</v>
      </c>
      <c r="E7293" s="25">
        <v>1.1611E-4</v>
      </c>
      <c r="F7293" s="25">
        <v>1.0868E-4</v>
      </c>
      <c r="G7293" s="25">
        <v>1.6470999999999999E-4</v>
      </c>
      <c r="H7293" s="25">
        <v>2.0123E-4</v>
      </c>
      <c r="I7293" s="9">
        <v>1.0151E-4</v>
      </c>
      <c r="J7293" s="9">
        <v>1.0897E-4</v>
      </c>
      <c r="K7293" s="9">
        <v>0</v>
      </c>
      <c r="L7293" s="9">
        <v>1.9347E-4</v>
      </c>
      <c r="M7293" s="9">
        <v>1.6249E-4</v>
      </c>
      <c r="N7293" s="9">
        <v>1.5245999999999999E-4</v>
      </c>
      <c r="O7293" s="9">
        <v>2.1374999999999999E-4</v>
      </c>
      <c r="P7293" s="9">
        <v>1.5888999999999999E-4</v>
      </c>
      <c r="Q7293" s="9">
        <v>1.0687E-4</v>
      </c>
      <c r="R7293" s="10">
        <v>1.0999469512387577E-4</v>
      </c>
      <c r="S7293" s="10">
        <v>7.925717064664348E-5</v>
      </c>
      <c r="T7293" s="10">
        <v>0</v>
      </c>
      <c r="U7293" s="10">
        <v>7.5149999999999997E-5</v>
      </c>
      <c r="V7293" s="25"/>
      <c r="W7293" s="25"/>
      <c r="X7293" s="25"/>
      <c r="Y7293" s="25"/>
      <c r="Z7293" s="25"/>
      <c r="AA7293" s="25"/>
    </row>
    <row r="7294" spans="1:27" x14ac:dyDescent="0.35">
      <c r="A7294" s="5">
        <v>7290</v>
      </c>
      <c r="B7294" s="5">
        <v>304</v>
      </c>
      <c r="C7294" s="5">
        <v>10</v>
      </c>
      <c r="D7294" s="25">
        <v>1.1415000000000001E-4</v>
      </c>
      <c r="E7294" s="25">
        <v>1.1139E-4</v>
      </c>
      <c r="F7294" s="25">
        <v>1.1137E-4</v>
      </c>
      <c r="G7294" s="25">
        <v>1.661E-4</v>
      </c>
      <c r="H7294" s="25">
        <v>1.9236000000000001E-4</v>
      </c>
      <c r="I7294" s="9">
        <v>1.1008E-4</v>
      </c>
      <c r="J7294" s="9">
        <v>1.1893E-4</v>
      </c>
      <c r="K7294" s="9">
        <v>0</v>
      </c>
      <c r="L7294" s="9">
        <v>2.0909999999999999E-4</v>
      </c>
      <c r="M7294" s="9">
        <v>1.5953000000000001E-4</v>
      </c>
      <c r="N7294" s="9">
        <v>1.3914999999999999E-4</v>
      </c>
      <c r="O7294" s="9">
        <v>2.0516999999999999E-4</v>
      </c>
      <c r="P7294" s="9">
        <v>1.5997E-4</v>
      </c>
      <c r="Q7294" s="9">
        <v>1.1737E-4</v>
      </c>
      <c r="R7294" s="10">
        <v>1.3733843861382761E-4</v>
      </c>
      <c r="S7294" s="10">
        <v>6.6132369311398028E-5</v>
      </c>
      <c r="T7294" s="10">
        <v>0</v>
      </c>
      <c r="U7294" s="10">
        <v>7.5149999999999997E-5</v>
      </c>
      <c r="V7294" s="25"/>
      <c r="W7294" s="25"/>
      <c r="X7294" s="25"/>
      <c r="Y7294" s="25"/>
      <c r="Z7294" s="25"/>
      <c r="AA7294" s="25"/>
    </row>
    <row r="7295" spans="1:27" x14ac:dyDescent="0.35">
      <c r="A7295" s="5">
        <v>7291</v>
      </c>
      <c r="B7295" s="5">
        <v>304</v>
      </c>
      <c r="C7295" s="5">
        <v>10</v>
      </c>
      <c r="D7295" s="25">
        <v>1.1416E-4</v>
      </c>
      <c r="E7295" s="25">
        <v>1.1746E-4</v>
      </c>
      <c r="F7295" s="25">
        <v>1.1956E-4</v>
      </c>
      <c r="G7295" s="25">
        <v>1.044E-4</v>
      </c>
      <c r="H7295" s="25">
        <v>1.3605E-4</v>
      </c>
      <c r="I7295" s="9">
        <v>1.1687E-4</v>
      </c>
      <c r="J7295" s="9">
        <v>1.2570999999999999E-4</v>
      </c>
      <c r="K7295" s="9">
        <v>0</v>
      </c>
      <c r="L7295" s="9">
        <v>2.0563999999999999E-4</v>
      </c>
      <c r="M7295" s="9">
        <v>1.5908E-4</v>
      </c>
      <c r="N7295" s="9">
        <v>1.3004E-4</v>
      </c>
      <c r="O7295" s="9">
        <v>1.6615E-4</v>
      </c>
      <c r="P7295" s="9">
        <v>1.3616E-4</v>
      </c>
      <c r="Q7295" s="9">
        <v>1.0807E-4</v>
      </c>
      <c r="R7295" s="10">
        <v>1.4378884264504754E-4</v>
      </c>
      <c r="S7295" s="10">
        <v>6.6277978319167433E-5</v>
      </c>
      <c r="T7295" s="10">
        <v>0</v>
      </c>
      <c r="U7295" s="10">
        <v>7.5149999999999997E-5</v>
      </c>
      <c r="V7295" s="25"/>
      <c r="W7295" s="25"/>
      <c r="X7295" s="25"/>
      <c r="Y7295" s="25"/>
      <c r="Z7295" s="25"/>
      <c r="AA7295" s="25"/>
    </row>
    <row r="7296" spans="1:27" x14ac:dyDescent="0.35">
      <c r="A7296" s="5">
        <v>7292</v>
      </c>
      <c r="B7296" s="5">
        <v>304</v>
      </c>
      <c r="C7296" s="5">
        <v>10</v>
      </c>
      <c r="D7296" s="25">
        <v>1.1415000000000001E-4</v>
      </c>
      <c r="E7296" s="25">
        <v>1.1620000000000001E-4</v>
      </c>
      <c r="F7296" s="25">
        <v>1.0797E-4</v>
      </c>
      <c r="G7296" s="25">
        <v>1.0459999999999999E-4</v>
      </c>
      <c r="H7296" s="25">
        <v>1.3201E-4</v>
      </c>
      <c r="I7296" s="9">
        <v>1.1477E-4</v>
      </c>
      <c r="J7296" s="9">
        <v>1.2258000000000001E-4</v>
      </c>
      <c r="K7296" s="9">
        <v>0</v>
      </c>
      <c r="L7296" s="9">
        <v>1.75E-4</v>
      </c>
      <c r="M7296" s="9">
        <v>1.5090000000000001E-4</v>
      </c>
      <c r="N7296" s="9">
        <v>1.2112000000000001E-4</v>
      </c>
      <c r="O7296" s="9">
        <v>1.2798E-4</v>
      </c>
      <c r="P7296" s="9">
        <v>1.139E-4</v>
      </c>
      <c r="Q7296" s="9">
        <v>1.0103999999999999E-4</v>
      </c>
      <c r="R7296" s="10">
        <v>1.4521642181766293E-4</v>
      </c>
      <c r="S7296" s="10">
        <v>6.8160267804191879E-5</v>
      </c>
      <c r="T7296" s="10">
        <v>0</v>
      </c>
      <c r="U7296" s="10">
        <v>7.5149999999999997E-5</v>
      </c>
      <c r="V7296" s="25"/>
      <c r="W7296" s="25"/>
      <c r="X7296" s="25"/>
      <c r="Y7296" s="25"/>
      <c r="Z7296" s="25"/>
      <c r="AA7296" s="25"/>
    </row>
    <row r="7297" spans="1:27" x14ac:dyDescent="0.35">
      <c r="A7297" s="5">
        <v>7293</v>
      </c>
      <c r="B7297" s="5">
        <v>304</v>
      </c>
      <c r="C7297" s="5">
        <v>10</v>
      </c>
      <c r="D7297" s="25">
        <v>1.1416E-4</v>
      </c>
      <c r="E7297" s="25">
        <v>1.1684E-4</v>
      </c>
      <c r="F7297" s="25">
        <v>1.1622E-4</v>
      </c>
      <c r="G7297" s="25">
        <v>6.1439999999999995E-5</v>
      </c>
      <c r="H7297" s="25">
        <v>7.3189999999999996E-5</v>
      </c>
      <c r="I7297" s="9">
        <v>1.1178E-4</v>
      </c>
      <c r="J7297" s="9">
        <v>1.1883999999999999E-4</v>
      </c>
      <c r="K7297" s="9">
        <v>0</v>
      </c>
      <c r="L7297" s="9">
        <v>1.3928000000000001E-4</v>
      </c>
      <c r="M7297" s="9">
        <v>1.3527999999999999E-4</v>
      </c>
      <c r="N7297" s="9">
        <v>1.1319000000000001E-4</v>
      </c>
      <c r="O7297" s="9">
        <v>8.5439999999999995E-5</v>
      </c>
      <c r="P7297" s="9">
        <v>8.6979999999999997E-5</v>
      </c>
      <c r="Q7297" s="9">
        <v>8.899E-5</v>
      </c>
      <c r="R7297" s="10">
        <v>1.4036190804528188E-4</v>
      </c>
      <c r="S7297" s="10">
        <v>6.4783663036021113E-5</v>
      </c>
      <c r="T7297" s="10">
        <v>0</v>
      </c>
      <c r="U7297" s="10">
        <v>7.5149999999999997E-5</v>
      </c>
      <c r="V7297" s="25"/>
      <c r="W7297" s="25"/>
      <c r="X7297" s="25"/>
      <c r="Y7297" s="25"/>
      <c r="Z7297" s="25"/>
      <c r="AA7297" s="25"/>
    </row>
    <row r="7298" spans="1:27" x14ac:dyDescent="0.35">
      <c r="A7298" s="5">
        <v>7294</v>
      </c>
      <c r="B7298" s="5">
        <v>304</v>
      </c>
      <c r="C7298" s="5">
        <v>10</v>
      </c>
      <c r="D7298" s="25">
        <v>1.1415000000000001E-4</v>
      </c>
      <c r="E7298" s="25">
        <v>1.1539E-4</v>
      </c>
      <c r="F7298" s="25">
        <v>1.1053E-4</v>
      </c>
      <c r="G7298" s="25">
        <v>5.3140000000000003E-5</v>
      </c>
      <c r="H7298" s="25">
        <v>6.9389999999999998E-5</v>
      </c>
      <c r="I7298" s="9">
        <v>1.0721E-4</v>
      </c>
      <c r="J7298" s="9">
        <v>1.127E-4</v>
      </c>
      <c r="K7298" s="9">
        <v>0</v>
      </c>
      <c r="L7298" s="9">
        <v>9.8250000000000003E-5</v>
      </c>
      <c r="M7298" s="9">
        <v>1.1385E-4</v>
      </c>
      <c r="N7298" s="9">
        <v>1.0573000000000001E-4</v>
      </c>
      <c r="O7298" s="9">
        <v>8.6749999999999994E-5</v>
      </c>
      <c r="P7298" s="9">
        <v>8.687E-5</v>
      </c>
      <c r="Q7298" s="9">
        <v>8.7509999999999994E-5</v>
      </c>
      <c r="R7298" s="10">
        <v>1.2933926946279877E-4</v>
      </c>
      <c r="S7298" s="10">
        <v>6.1733652231255455E-5</v>
      </c>
      <c r="T7298" s="10">
        <v>0</v>
      </c>
      <c r="U7298" s="10">
        <v>7.5149999999999997E-5</v>
      </c>
      <c r="V7298" s="25"/>
      <c r="W7298" s="25"/>
      <c r="X7298" s="25"/>
      <c r="Y7298" s="25"/>
      <c r="Z7298" s="25"/>
      <c r="AA7298" s="25"/>
    </row>
    <row r="7299" spans="1:27" x14ac:dyDescent="0.35">
      <c r="A7299" s="5">
        <v>7295</v>
      </c>
      <c r="B7299" s="5">
        <v>304</v>
      </c>
      <c r="C7299" s="5">
        <v>10</v>
      </c>
      <c r="D7299" s="25">
        <v>1.1416E-4</v>
      </c>
      <c r="E7299" s="25">
        <v>1.1635E-4</v>
      </c>
      <c r="F7299" s="25">
        <v>1.1081E-4</v>
      </c>
      <c r="G7299" s="25">
        <v>5.2790000000000001E-5</v>
      </c>
      <c r="H7299" s="25">
        <v>6.9960000000000001E-5</v>
      </c>
      <c r="I7299" s="9">
        <v>1.0652E-4</v>
      </c>
      <c r="J7299" s="9">
        <v>1.0729E-4</v>
      </c>
      <c r="K7299" s="9">
        <v>1.908E-5</v>
      </c>
      <c r="L7299" s="9">
        <v>9.0199999999999997E-5</v>
      </c>
      <c r="M7299" s="9">
        <v>9.8900000000000005E-5</v>
      </c>
      <c r="N7299" s="9">
        <v>9.9740000000000004E-5</v>
      </c>
      <c r="O7299" s="9">
        <v>7.7849999999999995E-5</v>
      </c>
      <c r="P7299" s="9">
        <v>7.2100000000000004E-5</v>
      </c>
      <c r="Q7299" s="9">
        <v>6.6849999999999999E-5</v>
      </c>
      <c r="R7299" s="10">
        <v>1.1430587835764432E-4</v>
      </c>
      <c r="S7299" s="10">
        <v>4.8005976422391019E-5</v>
      </c>
      <c r="T7299" s="10">
        <v>0</v>
      </c>
      <c r="U7299" s="10">
        <v>7.5149999999999997E-5</v>
      </c>
      <c r="V7299" s="25"/>
      <c r="W7299" s="25"/>
      <c r="X7299" s="25"/>
      <c r="Y7299" s="25"/>
      <c r="Z7299" s="25"/>
      <c r="AA7299" s="25"/>
    </row>
    <row r="7300" spans="1:27" x14ac:dyDescent="0.35">
      <c r="A7300" s="5">
        <v>7296</v>
      </c>
      <c r="B7300" s="5">
        <v>304</v>
      </c>
      <c r="C7300" s="5">
        <v>10</v>
      </c>
      <c r="D7300" s="25">
        <v>1.1415000000000001E-4</v>
      </c>
      <c r="E7300" s="25">
        <v>1.1730000000000001E-4</v>
      </c>
      <c r="F7300" s="25">
        <v>1.0980999999999999E-4</v>
      </c>
      <c r="G7300" s="25">
        <v>5.8820000000000003E-5</v>
      </c>
      <c r="H7300" s="25">
        <v>7.7239999999999999E-5</v>
      </c>
      <c r="I7300" s="9">
        <v>1.0531000000000001E-4</v>
      </c>
      <c r="J7300" s="9">
        <v>9.9720000000000001E-5</v>
      </c>
      <c r="K7300" s="9">
        <v>1.696E-5</v>
      </c>
      <c r="L7300" s="9">
        <v>8.0569999999999996E-5</v>
      </c>
      <c r="M7300" s="9">
        <v>8.5939999999999994E-5</v>
      </c>
      <c r="N7300" s="9">
        <v>9.0470000000000006E-5</v>
      </c>
      <c r="O7300" s="9">
        <v>6.2920000000000001E-5</v>
      </c>
      <c r="P7300" s="9">
        <v>6.0819999999999997E-5</v>
      </c>
      <c r="Q7300" s="9">
        <v>5.8999999999999998E-5</v>
      </c>
      <c r="R7300" s="10">
        <v>8.0885267885471641E-5</v>
      </c>
      <c r="S7300" s="10">
        <v>2.9679317935927407E-5</v>
      </c>
      <c r="T7300" s="10">
        <v>0</v>
      </c>
      <c r="U7300" s="10">
        <v>7.5149999999999997E-5</v>
      </c>
      <c r="V7300" s="25"/>
      <c r="W7300" s="25"/>
      <c r="X7300" s="25"/>
      <c r="Y7300" s="25"/>
      <c r="Z7300" s="25"/>
      <c r="AA7300" s="25"/>
    </row>
    <row r="7301" spans="1:27" x14ac:dyDescent="0.35">
      <c r="A7301" s="5">
        <v>7297</v>
      </c>
      <c r="B7301" s="5">
        <v>305</v>
      </c>
      <c r="C7301" s="5">
        <v>11</v>
      </c>
      <c r="D7301" s="25">
        <v>1.1416E-4</v>
      </c>
      <c r="E7301" s="25">
        <v>1.1597E-4</v>
      </c>
      <c r="F7301" s="25">
        <v>1.2793E-4</v>
      </c>
      <c r="G7301" s="25">
        <v>5.4119999999999997E-5</v>
      </c>
      <c r="H7301" s="25">
        <v>6.6439999999999994E-5</v>
      </c>
      <c r="I7301" s="9">
        <v>9.8010000000000005E-5</v>
      </c>
      <c r="J7301" s="9">
        <v>9.365E-5</v>
      </c>
      <c r="K7301" s="9">
        <v>1.696E-5</v>
      </c>
      <c r="L7301" s="9">
        <v>6.6799999999999997E-5</v>
      </c>
      <c r="M7301" s="9">
        <v>7.3930000000000005E-5</v>
      </c>
      <c r="N7301" s="9">
        <v>8.1080000000000003E-5</v>
      </c>
      <c r="O7301" s="9">
        <v>5.4549999999999998E-5</v>
      </c>
      <c r="P7301" s="9">
        <v>5.3959999999999998E-5</v>
      </c>
      <c r="Q7301" s="9">
        <v>5.3539999999999999E-5</v>
      </c>
      <c r="R7301" s="10">
        <v>6.9173504335163716E-5</v>
      </c>
      <c r="S7301" s="10">
        <v>2.4902919081737592E-5</v>
      </c>
      <c r="T7301" s="10">
        <v>0</v>
      </c>
      <c r="U7301" s="10">
        <v>7.4720000000000003E-5</v>
      </c>
      <c r="V7301" s="25"/>
      <c r="W7301" s="25"/>
      <c r="X7301" s="25"/>
      <c r="Y7301" s="25"/>
      <c r="Z7301" s="25"/>
      <c r="AA7301" s="25"/>
    </row>
    <row r="7302" spans="1:27" x14ac:dyDescent="0.35">
      <c r="A7302" s="5">
        <v>7298</v>
      </c>
      <c r="B7302" s="5">
        <v>305</v>
      </c>
      <c r="C7302" s="5">
        <v>11</v>
      </c>
      <c r="D7302" s="25">
        <v>1.1415000000000001E-4</v>
      </c>
      <c r="E7302" s="25">
        <v>1.15E-4</v>
      </c>
      <c r="F7302" s="25">
        <v>1.3232000000000001E-4</v>
      </c>
      <c r="G7302" s="25">
        <v>6.0749999999999999E-5</v>
      </c>
      <c r="H7302" s="25">
        <v>6.8819999999999995E-5</v>
      </c>
      <c r="I7302" s="9">
        <v>9.3209999999999997E-5</v>
      </c>
      <c r="J7302" s="9">
        <v>9.0270000000000001E-5</v>
      </c>
      <c r="K7302" s="9">
        <v>2.1189999999999999E-5</v>
      </c>
      <c r="L7302" s="9">
        <v>5.7609999999999999E-5</v>
      </c>
      <c r="M7302" s="9">
        <v>6.389E-5</v>
      </c>
      <c r="N7302" s="9">
        <v>7.203E-5</v>
      </c>
      <c r="O7302" s="9">
        <v>1.8649999999999999E-5</v>
      </c>
      <c r="P7302" s="9">
        <v>3.782E-5</v>
      </c>
      <c r="Q7302" s="9">
        <v>5.6289999999999998E-5</v>
      </c>
      <c r="R7302" s="10">
        <v>5.9479896090677955E-5</v>
      </c>
      <c r="S7302" s="10">
        <v>2.7002340227391792E-5</v>
      </c>
      <c r="T7302" s="10">
        <v>0</v>
      </c>
      <c r="U7302" s="10">
        <v>7.4720000000000003E-5</v>
      </c>
      <c r="V7302" s="25"/>
      <c r="W7302" s="25"/>
      <c r="X7302" s="25"/>
      <c r="Y7302" s="25"/>
      <c r="Z7302" s="25"/>
      <c r="AA7302" s="25"/>
    </row>
    <row r="7303" spans="1:27" x14ac:dyDescent="0.35">
      <c r="A7303" s="5">
        <v>7299</v>
      </c>
      <c r="B7303" s="5">
        <v>305</v>
      </c>
      <c r="C7303" s="5">
        <v>11</v>
      </c>
      <c r="D7303" s="25">
        <v>1.1416E-4</v>
      </c>
      <c r="E7303" s="25">
        <v>1.0971E-4</v>
      </c>
      <c r="F7303" s="25">
        <v>1.3111000000000001E-4</v>
      </c>
      <c r="G7303" s="25">
        <v>5.5649999999999997E-5</v>
      </c>
      <c r="H7303" s="25">
        <v>6.3050000000000001E-5</v>
      </c>
      <c r="I7303" s="9">
        <v>8.9400000000000005E-5</v>
      </c>
      <c r="J7303" s="9">
        <v>8.8889999999999998E-5</v>
      </c>
      <c r="K7303" s="9">
        <v>2.3309999999999999E-5</v>
      </c>
      <c r="L7303" s="9">
        <v>2.7440000000000002E-5</v>
      </c>
      <c r="M7303" s="9">
        <v>5.2219999999999998E-5</v>
      </c>
      <c r="N7303" s="9">
        <v>6.5489999999999998E-5</v>
      </c>
      <c r="O7303" s="9">
        <v>1.306E-5</v>
      </c>
      <c r="P7303" s="9">
        <v>3.7639999999999999E-5</v>
      </c>
      <c r="Q7303" s="9">
        <v>6.1359999999999995E-5</v>
      </c>
      <c r="R7303" s="10">
        <v>4.5357674224951124E-5</v>
      </c>
      <c r="S7303" s="10">
        <v>2.3116719173358053E-5</v>
      </c>
      <c r="T7303" s="10">
        <v>0</v>
      </c>
      <c r="U7303" s="10">
        <v>7.4720000000000003E-5</v>
      </c>
      <c r="V7303" s="25"/>
      <c r="W7303" s="25"/>
      <c r="X7303" s="25"/>
      <c r="Y7303" s="25"/>
      <c r="Z7303" s="25"/>
      <c r="AA7303" s="25"/>
    </row>
    <row r="7304" spans="1:27" x14ac:dyDescent="0.35">
      <c r="A7304" s="5">
        <v>7300</v>
      </c>
      <c r="B7304" s="5">
        <v>305</v>
      </c>
      <c r="C7304" s="5">
        <v>11</v>
      </c>
      <c r="D7304" s="25">
        <v>1.1415000000000001E-4</v>
      </c>
      <c r="E7304" s="25">
        <v>1.1343E-4</v>
      </c>
      <c r="F7304" s="25">
        <v>1.1807999999999999E-4</v>
      </c>
      <c r="G7304" s="25">
        <v>6.2199999999999994E-5</v>
      </c>
      <c r="H7304" s="25">
        <v>6.5320000000000005E-5</v>
      </c>
      <c r="I7304" s="9">
        <v>8.9170000000000002E-5</v>
      </c>
      <c r="J7304" s="9">
        <v>8.8360000000000001E-5</v>
      </c>
      <c r="K7304" s="9">
        <v>2.968E-5</v>
      </c>
      <c r="L7304" s="9">
        <v>1.6969999999999998E-5</v>
      </c>
      <c r="M7304" s="9">
        <v>4.4180000000000001E-5</v>
      </c>
      <c r="N7304" s="9">
        <v>6.1890000000000005E-5</v>
      </c>
      <c r="O7304" s="9">
        <v>1.305E-5</v>
      </c>
      <c r="P7304" s="9">
        <v>4.6999999999999997E-5</v>
      </c>
      <c r="Q7304" s="9">
        <v>7.9939999999999997E-5</v>
      </c>
      <c r="R7304" s="10">
        <v>3.6609157314713544E-5</v>
      </c>
      <c r="S7304" s="10">
        <v>1.7133627639021932E-5</v>
      </c>
      <c r="T7304" s="10">
        <v>0</v>
      </c>
      <c r="U7304" s="10">
        <v>7.4720000000000003E-5</v>
      </c>
      <c r="V7304" s="25"/>
      <c r="W7304" s="25"/>
      <c r="X7304" s="25"/>
      <c r="Y7304" s="25"/>
      <c r="Z7304" s="25"/>
      <c r="AA7304" s="25"/>
    </row>
    <row r="7305" spans="1:27" x14ac:dyDescent="0.35">
      <c r="A7305" s="5">
        <v>7301</v>
      </c>
      <c r="B7305" s="5">
        <v>305</v>
      </c>
      <c r="C7305" s="5">
        <v>11</v>
      </c>
      <c r="D7305" s="25">
        <v>1.1416E-4</v>
      </c>
      <c r="E7305" s="25">
        <v>1.1162000000000001E-4</v>
      </c>
      <c r="F7305" s="25">
        <v>1.2047E-4</v>
      </c>
      <c r="G7305" s="25">
        <v>5.2920000000000002E-5</v>
      </c>
      <c r="H7305" s="25">
        <v>6.3289999999999999E-5</v>
      </c>
      <c r="I7305" s="9">
        <v>9.1279999999999993E-5</v>
      </c>
      <c r="J7305" s="9">
        <v>8.9489999999999999E-5</v>
      </c>
      <c r="K7305" s="9">
        <v>3.3909999999999999E-5</v>
      </c>
      <c r="L7305" s="9">
        <v>1.416E-5</v>
      </c>
      <c r="M7305" s="9">
        <v>4.3390000000000003E-5</v>
      </c>
      <c r="N7305" s="9">
        <v>6.4339999999999997E-5</v>
      </c>
      <c r="O7305" s="9">
        <v>1.8499999999999999E-5</v>
      </c>
      <c r="P7305" s="9">
        <v>5.6280000000000003E-5</v>
      </c>
      <c r="Q7305" s="9">
        <v>9.3059999999999993E-5</v>
      </c>
      <c r="R7305" s="10">
        <v>2.7228576080196178E-5</v>
      </c>
      <c r="S7305" s="10">
        <v>9.84586784808711E-6</v>
      </c>
      <c r="T7305" s="10">
        <v>0</v>
      </c>
      <c r="U7305" s="10">
        <v>7.4720000000000003E-5</v>
      </c>
      <c r="V7305" s="25"/>
      <c r="W7305" s="25"/>
      <c r="X7305" s="25"/>
      <c r="Y7305" s="25"/>
      <c r="Z7305" s="25"/>
      <c r="AA7305" s="25"/>
    </row>
    <row r="7306" spans="1:27" x14ac:dyDescent="0.35">
      <c r="A7306" s="5">
        <v>7302</v>
      </c>
      <c r="B7306" s="5">
        <v>305</v>
      </c>
      <c r="C7306" s="5">
        <v>11</v>
      </c>
      <c r="D7306" s="25">
        <v>1.1415000000000001E-4</v>
      </c>
      <c r="E7306" s="25">
        <v>1.1332000000000001E-4</v>
      </c>
      <c r="F7306" s="25">
        <v>1.1451E-4</v>
      </c>
      <c r="G7306" s="25">
        <v>1.1009E-4</v>
      </c>
      <c r="H7306" s="25">
        <v>1.2928000000000001E-4</v>
      </c>
      <c r="I7306" s="9">
        <v>9.5179999999999993E-5</v>
      </c>
      <c r="J7306" s="9">
        <v>9.3029999999999995E-5</v>
      </c>
      <c r="K7306" s="9">
        <v>4.0269999999999999E-5</v>
      </c>
      <c r="L7306" s="9">
        <v>1.7419999999999999E-5</v>
      </c>
      <c r="M7306" s="9">
        <v>4.8180000000000003E-5</v>
      </c>
      <c r="N7306" s="9">
        <v>7.0770000000000002E-5</v>
      </c>
      <c r="O7306" s="9">
        <v>4.6270000000000003E-5</v>
      </c>
      <c r="P7306" s="9">
        <v>7.6909999999999994E-5</v>
      </c>
      <c r="Q7306" s="9">
        <v>1.071E-4</v>
      </c>
      <c r="R7306" s="10">
        <v>1.881253040919838E-5</v>
      </c>
      <c r="S7306" s="10">
        <v>5.2678225659142173E-6</v>
      </c>
      <c r="T7306" s="10">
        <v>0</v>
      </c>
      <c r="U7306" s="10">
        <v>7.4720000000000003E-5</v>
      </c>
      <c r="V7306" s="25"/>
      <c r="W7306" s="25"/>
      <c r="X7306" s="25"/>
      <c r="Y7306" s="25"/>
      <c r="Z7306" s="25"/>
      <c r="AA7306" s="25"/>
    </row>
    <row r="7307" spans="1:27" x14ac:dyDescent="0.35">
      <c r="A7307" s="5">
        <v>7303</v>
      </c>
      <c r="B7307" s="5">
        <v>305</v>
      </c>
      <c r="C7307" s="5">
        <v>11</v>
      </c>
      <c r="D7307" s="25">
        <v>1.1416E-4</v>
      </c>
      <c r="E7307" s="25">
        <v>1.1107000000000001E-4</v>
      </c>
      <c r="F7307" s="25">
        <v>1.3352000000000001E-4</v>
      </c>
      <c r="G7307" s="25">
        <v>1.0959E-4</v>
      </c>
      <c r="H7307" s="25">
        <v>1.2535000000000001E-4</v>
      </c>
      <c r="I7307" s="9">
        <v>1.0378999999999999E-4</v>
      </c>
      <c r="J7307" s="9">
        <v>1.037E-4</v>
      </c>
      <c r="K7307" s="9">
        <v>4.0280000000000001E-5</v>
      </c>
      <c r="L7307" s="9">
        <v>3.9780000000000002E-5</v>
      </c>
      <c r="M7307" s="9">
        <v>5.9880000000000003E-5</v>
      </c>
      <c r="N7307" s="9">
        <v>8.0519999999999995E-5</v>
      </c>
      <c r="O7307" s="9">
        <v>1.2443E-4</v>
      </c>
      <c r="P7307" s="9">
        <v>1.1815E-4</v>
      </c>
      <c r="Q7307" s="9">
        <v>1.1317E-4</v>
      </c>
      <c r="R7307" s="10">
        <v>1.2648877373949761E-5</v>
      </c>
      <c r="S7307" s="10">
        <v>1.5452665081455655E-6</v>
      </c>
      <c r="T7307" s="10">
        <v>0</v>
      </c>
      <c r="U7307" s="10">
        <v>7.4720000000000003E-5</v>
      </c>
      <c r="V7307" s="25"/>
      <c r="W7307" s="25"/>
      <c r="X7307" s="25"/>
      <c r="Y7307" s="25"/>
      <c r="Z7307" s="25"/>
      <c r="AA7307" s="25"/>
    </row>
    <row r="7308" spans="1:27" x14ac:dyDescent="0.35">
      <c r="A7308" s="5">
        <v>7304</v>
      </c>
      <c r="B7308" s="5">
        <v>305</v>
      </c>
      <c r="C7308" s="5">
        <v>11</v>
      </c>
      <c r="D7308" s="25">
        <v>1.1415000000000001E-4</v>
      </c>
      <c r="E7308" s="25">
        <v>1.1754E-4</v>
      </c>
      <c r="F7308" s="25">
        <v>1.1647E-4</v>
      </c>
      <c r="G7308" s="25">
        <v>1.5981E-4</v>
      </c>
      <c r="H7308" s="25">
        <v>1.9118E-4</v>
      </c>
      <c r="I7308" s="9">
        <v>1.0988E-4</v>
      </c>
      <c r="J7308" s="9">
        <v>1.2070000000000001E-4</v>
      </c>
      <c r="K7308" s="9">
        <v>3.8149999999999999E-5</v>
      </c>
      <c r="L7308" s="9">
        <v>1.0518000000000001E-4</v>
      </c>
      <c r="M7308" s="9">
        <v>8.3869999999999995E-5</v>
      </c>
      <c r="N7308" s="9">
        <v>9.0799999999999998E-5</v>
      </c>
      <c r="O7308" s="9">
        <v>2.2132E-4</v>
      </c>
      <c r="P7308" s="9">
        <v>1.7754000000000001E-4</v>
      </c>
      <c r="Q7308" s="9">
        <v>1.3715E-4</v>
      </c>
      <c r="R7308" s="10">
        <v>1.2171790097257567E-5</v>
      </c>
      <c r="S7308" s="10">
        <v>4.1456173160839053E-7</v>
      </c>
      <c r="T7308" s="10">
        <v>3.0238042883907929E-5</v>
      </c>
      <c r="U7308" s="10">
        <v>7.4720000000000003E-5</v>
      </c>
      <c r="V7308" s="25"/>
      <c r="W7308" s="25"/>
      <c r="X7308" s="25"/>
      <c r="Y7308" s="25"/>
      <c r="Z7308" s="25"/>
      <c r="AA7308" s="25"/>
    </row>
    <row r="7309" spans="1:27" x14ac:dyDescent="0.35">
      <c r="A7309" s="5">
        <v>7305</v>
      </c>
      <c r="B7309" s="5">
        <v>305</v>
      </c>
      <c r="C7309" s="5">
        <v>11</v>
      </c>
      <c r="D7309" s="25">
        <v>1.1416E-4</v>
      </c>
      <c r="E7309" s="25">
        <v>1.1249E-4</v>
      </c>
      <c r="F7309" s="25">
        <v>1.1942000000000001E-4</v>
      </c>
      <c r="G7309" s="25">
        <v>1.5692000000000001E-4</v>
      </c>
      <c r="H7309" s="25">
        <v>1.9699999999999999E-4</v>
      </c>
      <c r="I7309" s="9">
        <v>1.1307E-4</v>
      </c>
      <c r="J7309" s="9">
        <v>1.3164000000000001E-4</v>
      </c>
      <c r="K7309" s="9">
        <v>1.696E-5</v>
      </c>
      <c r="L7309" s="9">
        <v>1.9398000000000001E-4</v>
      </c>
      <c r="M7309" s="9">
        <v>1.238E-4</v>
      </c>
      <c r="N7309" s="9">
        <v>1.0467999999999999E-4</v>
      </c>
      <c r="O7309" s="9">
        <v>2.1006E-4</v>
      </c>
      <c r="P7309" s="9">
        <v>1.9112999999999999E-4</v>
      </c>
      <c r="Q7309" s="9">
        <v>1.7504E-4</v>
      </c>
      <c r="R7309" s="10">
        <v>1.9253789535137058E-5</v>
      </c>
      <c r="S7309" s="10">
        <v>2.7762060908889209E-7</v>
      </c>
      <c r="T7309" s="10">
        <v>1.8254818481766639E-4</v>
      </c>
      <c r="U7309" s="10">
        <v>7.4720000000000003E-5</v>
      </c>
      <c r="V7309" s="25"/>
      <c r="W7309" s="25"/>
      <c r="X7309" s="25"/>
      <c r="Y7309" s="25"/>
      <c r="Z7309" s="25"/>
      <c r="AA7309" s="25"/>
    </row>
    <row r="7310" spans="1:27" x14ac:dyDescent="0.35">
      <c r="A7310" s="5">
        <v>7306</v>
      </c>
      <c r="B7310" s="5">
        <v>305</v>
      </c>
      <c r="C7310" s="5">
        <v>11</v>
      </c>
      <c r="D7310" s="25">
        <v>1.1415000000000001E-4</v>
      </c>
      <c r="E7310" s="25">
        <v>1.0831E-4</v>
      </c>
      <c r="F7310" s="25">
        <v>1.2611E-4</v>
      </c>
      <c r="G7310" s="25">
        <v>1.6453999999999999E-4</v>
      </c>
      <c r="H7310" s="25">
        <v>1.8911000000000001E-4</v>
      </c>
      <c r="I7310" s="9">
        <v>1.1475E-4</v>
      </c>
      <c r="J7310" s="9">
        <v>1.3511999999999999E-4</v>
      </c>
      <c r="K7310" s="9">
        <v>0</v>
      </c>
      <c r="L7310" s="9">
        <v>2.0419000000000001E-4</v>
      </c>
      <c r="M7310" s="9">
        <v>1.5815E-4</v>
      </c>
      <c r="N7310" s="9">
        <v>1.2432E-4</v>
      </c>
      <c r="O7310" s="9">
        <v>1.6834E-4</v>
      </c>
      <c r="P7310" s="9">
        <v>1.7456000000000001E-4</v>
      </c>
      <c r="Q7310" s="9">
        <v>1.8259E-4</v>
      </c>
      <c r="R7310" s="10">
        <v>2.8860874059082062E-5</v>
      </c>
      <c r="S7310" s="10">
        <v>7.9874481877902406E-7</v>
      </c>
      <c r="T7310" s="10">
        <v>3.8967538485269569E-4</v>
      </c>
      <c r="U7310" s="10">
        <v>7.4720000000000003E-5</v>
      </c>
      <c r="V7310" s="25"/>
      <c r="W7310" s="25"/>
      <c r="X7310" s="25"/>
      <c r="Y7310" s="25"/>
      <c r="Z7310" s="25"/>
      <c r="AA7310" s="25"/>
    </row>
    <row r="7311" spans="1:27" x14ac:dyDescent="0.35">
      <c r="A7311" s="5">
        <v>7307</v>
      </c>
      <c r="B7311" s="5">
        <v>305</v>
      </c>
      <c r="C7311" s="5">
        <v>11</v>
      </c>
      <c r="D7311" s="25">
        <v>1.1416E-4</v>
      </c>
      <c r="E7311" s="25">
        <v>1.0874000000000001E-4</v>
      </c>
      <c r="F7311" s="25">
        <v>1.2352000000000001E-4</v>
      </c>
      <c r="G7311" s="25">
        <v>1.651E-4</v>
      </c>
      <c r="H7311" s="25">
        <v>1.9301E-4</v>
      </c>
      <c r="I7311" s="9">
        <v>1.1498E-4</v>
      </c>
      <c r="J7311" s="9">
        <v>1.3378000000000001E-4</v>
      </c>
      <c r="K7311" s="9">
        <v>0</v>
      </c>
      <c r="L7311" s="9">
        <v>1.7636999999999999E-4</v>
      </c>
      <c r="M7311" s="9">
        <v>1.7197E-4</v>
      </c>
      <c r="N7311" s="9">
        <v>1.4254E-4</v>
      </c>
      <c r="O7311" s="9">
        <v>1.6935E-4</v>
      </c>
      <c r="P7311" s="9">
        <v>1.7426E-4</v>
      </c>
      <c r="Q7311" s="9">
        <v>1.8098999999999999E-4</v>
      </c>
      <c r="R7311" s="10">
        <v>2.9028060609439031E-5</v>
      </c>
      <c r="S7311" s="10">
        <v>2.8675888758051009E-6</v>
      </c>
      <c r="T7311" s="10">
        <v>5.6412106379097587E-4</v>
      </c>
      <c r="U7311" s="10">
        <v>7.4720000000000003E-5</v>
      </c>
      <c r="V7311" s="25"/>
      <c r="W7311" s="25"/>
      <c r="X7311" s="25"/>
      <c r="Y7311" s="25"/>
      <c r="Z7311" s="25"/>
      <c r="AA7311" s="25"/>
    </row>
    <row r="7312" spans="1:27" x14ac:dyDescent="0.35">
      <c r="A7312" s="5">
        <v>7308</v>
      </c>
      <c r="B7312" s="5">
        <v>305</v>
      </c>
      <c r="C7312" s="5">
        <v>11</v>
      </c>
      <c r="D7312" s="25">
        <v>1.1415000000000001E-4</v>
      </c>
      <c r="E7312" s="25">
        <v>1.1381E-4</v>
      </c>
      <c r="F7312" s="25">
        <v>1.2061E-4</v>
      </c>
      <c r="G7312" s="25">
        <v>1.6563999999999999E-4</v>
      </c>
      <c r="H7312" s="25">
        <v>1.9204000000000001E-4</v>
      </c>
      <c r="I7312" s="9">
        <v>1.1511E-4</v>
      </c>
      <c r="J7312" s="9">
        <v>1.3185000000000001E-4</v>
      </c>
      <c r="K7312" s="9">
        <v>6.3600000000000001E-6</v>
      </c>
      <c r="L7312" s="9">
        <v>1.7228E-4</v>
      </c>
      <c r="M7312" s="9">
        <v>1.7516999999999999E-4</v>
      </c>
      <c r="N7312" s="9">
        <v>1.5695999999999999E-4</v>
      </c>
      <c r="O7312" s="9">
        <v>1.6975000000000001E-4</v>
      </c>
      <c r="P7312" s="9">
        <v>1.7049E-4</v>
      </c>
      <c r="Q7312" s="9">
        <v>1.7315000000000001E-4</v>
      </c>
      <c r="R7312" s="10">
        <v>1.6140883967873734E-5</v>
      </c>
      <c r="S7312" s="10">
        <v>4.0305088492806186E-6</v>
      </c>
      <c r="T7312" s="10">
        <v>5.7883283886412307E-4</v>
      </c>
      <c r="U7312" s="10">
        <v>7.4720000000000003E-5</v>
      </c>
      <c r="V7312" s="25"/>
      <c r="W7312" s="25"/>
      <c r="X7312" s="25"/>
      <c r="Y7312" s="25"/>
      <c r="Z7312" s="25"/>
      <c r="AA7312" s="25"/>
    </row>
    <row r="7313" spans="1:27" x14ac:dyDescent="0.35">
      <c r="A7313" s="5">
        <v>7309</v>
      </c>
      <c r="B7313" s="5">
        <v>305</v>
      </c>
      <c r="C7313" s="5">
        <v>11</v>
      </c>
      <c r="D7313" s="25">
        <v>1.1416E-4</v>
      </c>
      <c r="E7313" s="25">
        <v>1.1626E-4</v>
      </c>
      <c r="F7313" s="25">
        <v>1.27E-4</v>
      </c>
      <c r="G7313" s="25">
        <v>1.6231000000000001E-4</v>
      </c>
      <c r="H7313" s="25">
        <v>1.9655000000000001E-4</v>
      </c>
      <c r="I7313" s="9">
        <v>1.1388E-4</v>
      </c>
      <c r="J7313" s="9">
        <v>1.2997E-4</v>
      </c>
      <c r="K7313" s="9">
        <v>0</v>
      </c>
      <c r="L7313" s="9">
        <v>1.7042000000000001E-4</v>
      </c>
      <c r="M7313" s="9">
        <v>1.7385E-4</v>
      </c>
      <c r="N7313" s="9">
        <v>1.6619000000000001E-4</v>
      </c>
      <c r="O7313" s="9">
        <v>1.6291E-4</v>
      </c>
      <c r="P7313" s="9">
        <v>1.6453E-4</v>
      </c>
      <c r="Q7313" s="9">
        <v>1.6793999999999999E-4</v>
      </c>
      <c r="R7313" s="10">
        <v>3.1100425496707226E-6</v>
      </c>
      <c r="S7313" s="10">
        <v>8.8248347129676321E-6</v>
      </c>
      <c r="T7313" s="10">
        <v>5.4591375738557014E-4</v>
      </c>
      <c r="U7313" s="10">
        <v>7.4720000000000003E-5</v>
      </c>
      <c r="V7313" s="25"/>
      <c r="W7313" s="25"/>
      <c r="X7313" s="25"/>
      <c r="Y7313" s="25"/>
      <c r="Z7313" s="25"/>
      <c r="AA7313" s="25"/>
    </row>
    <row r="7314" spans="1:27" x14ac:dyDescent="0.35">
      <c r="A7314" s="5">
        <v>7310</v>
      </c>
      <c r="B7314" s="5">
        <v>305</v>
      </c>
      <c r="C7314" s="5">
        <v>11</v>
      </c>
      <c r="D7314" s="25">
        <v>1.1415000000000001E-4</v>
      </c>
      <c r="E7314" s="25">
        <v>1.1039000000000001E-4</v>
      </c>
      <c r="F7314" s="25">
        <v>1.1853000000000001E-4</v>
      </c>
      <c r="G7314" s="25">
        <v>1.6006000000000001E-4</v>
      </c>
      <c r="H7314" s="25">
        <v>1.9432999999999999E-4</v>
      </c>
      <c r="I7314" s="9">
        <v>1.1224E-4</v>
      </c>
      <c r="J7314" s="9">
        <v>1.2988999999999999E-4</v>
      </c>
      <c r="K7314" s="9">
        <v>1.06E-5</v>
      </c>
      <c r="L7314" s="9">
        <v>1.6436000000000001E-4</v>
      </c>
      <c r="M7314" s="9">
        <v>1.7008E-4</v>
      </c>
      <c r="N7314" s="9">
        <v>1.7060999999999999E-4</v>
      </c>
      <c r="O7314" s="9">
        <v>1.7969000000000001E-4</v>
      </c>
      <c r="P7314" s="9">
        <v>1.6940999999999999E-4</v>
      </c>
      <c r="Q7314" s="9">
        <v>1.6134999999999999E-4</v>
      </c>
      <c r="R7314" s="10">
        <v>1.3181629951809856E-6</v>
      </c>
      <c r="S7314" s="10">
        <v>1.2945856066707684E-5</v>
      </c>
      <c r="T7314" s="10">
        <v>5.0460370384972618E-4</v>
      </c>
      <c r="U7314" s="10">
        <v>7.4720000000000003E-5</v>
      </c>
      <c r="V7314" s="25"/>
      <c r="W7314" s="25"/>
      <c r="X7314" s="25"/>
      <c r="Y7314" s="25"/>
      <c r="Z7314" s="25"/>
      <c r="AA7314" s="25"/>
    </row>
    <row r="7315" spans="1:27" x14ac:dyDescent="0.35">
      <c r="A7315" s="5">
        <v>7311</v>
      </c>
      <c r="B7315" s="5">
        <v>305</v>
      </c>
      <c r="C7315" s="5">
        <v>11</v>
      </c>
      <c r="D7315" s="25">
        <v>1.1416E-4</v>
      </c>
      <c r="E7315" s="25">
        <v>1.1123E-4</v>
      </c>
      <c r="F7315" s="25">
        <v>1.3331000000000001E-4</v>
      </c>
      <c r="G7315" s="25">
        <v>1.6448E-4</v>
      </c>
      <c r="H7315" s="25">
        <v>1.9657E-4</v>
      </c>
      <c r="I7315" s="9">
        <v>1.1032E-4</v>
      </c>
      <c r="J7315" s="9">
        <v>1.3059000000000001E-4</v>
      </c>
      <c r="K7315" s="9">
        <v>2.756E-5</v>
      </c>
      <c r="L7315" s="9">
        <v>1.7647E-4</v>
      </c>
      <c r="M7315" s="9">
        <v>1.6876E-4</v>
      </c>
      <c r="N7315" s="9">
        <v>1.7028E-4</v>
      </c>
      <c r="O7315" s="9">
        <v>1.8425000000000001E-4</v>
      </c>
      <c r="P7315" s="9">
        <v>1.6715E-4</v>
      </c>
      <c r="Q7315" s="9">
        <v>1.5245999999999999E-4</v>
      </c>
      <c r="R7315" s="10">
        <v>4.2726731672781893E-7</v>
      </c>
      <c r="S7315" s="10">
        <v>1.500827916042788E-5</v>
      </c>
      <c r="T7315" s="10">
        <v>3.807244490382953E-4</v>
      </c>
      <c r="U7315" s="10">
        <v>7.4720000000000003E-5</v>
      </c>
      <c r="V7315" s="25"/>
      <c r="W7315" s="25"/>
      <c r="X7315" s="25"/>
      <c r="Y7315" s="25"/>
      <c r="Z7315" s="25"/>
      <c r="AA7315" s="25"/>
    </row>
    <row r="7316" spans="1:27" x14ac:dyDescent="0.35">
      <c r="A7316" s="5">
        <v>7312</v>
      </c>
      <c r="B7316" s="5">
        <v>305</v>
      </c>
      <c r="C7316" s="5">
        <v>11</v>
      </c>
      <c r="D7316" s="25">
        <v>1.1415000000000001E-4</v>
      </c>
      <c r="E7316" s="25">
        <v>1.0724E-4</v>
      </c>
      <c r="F7316" s="25">
        <v>1.2421000000000001E-4</v>
      </c>
      <c r="G7316" s="25">
        <v>1.6729000000000001E-4</v>
      </c>
      <c r="H7316" s="25">
        <v>1.9394E-4</v>
      </c>
      <c r="I7316" s="9">
        <v>1.1006999999999999E-4</v>
      </c>
      <c r="J7316" s="9">
        <v>1.3150999999999999E-4</v>
      </c>
      <c r="K7316" s="9">
        <v>4.4509999999999999E-5</v>
      </c>
      <c r="L7316" s="9">
        <v>1.8221000000000001E-4</v>
      </c>
      <c r="M7316" s="9">
        <v>1.6794999999999999E-4</v>
      </c>
      <c r="N7316" s="9">
        <v>1.6634000000000001E-4</v>
      </c>
      <c r="O7316" s="9">
        <v>1.9675000000000001E-4</v>
      </c>
      <c r="P7316" s="9">
        <v>1.5132000000000001E-4</v>
      </c>
      <c r="Q7316" s="9">
        <v>1.0894E-4</v>
      </c>
      <c r="R7316" s="10">
        <v>3.8466426195117592E-7</v>
      </c>
      <c r="S7316" s="10">
        <v>1.3875622818035691E-5</v>
      </c>
      <c r="T7316" s="10">
        <v>1.6122714055075824E-4</v>
      </c>
      <c r="U7316" s="10">
        <v>7.4720000000000003E-5</v>
      </c>
      <c r="V7316" s="25"/>
      <c r="W7316" s="25"/>
      <c r="X7316" s="25"/>
      <c r="Y7316" s="25"/>
      <c r="Z7316" s="25"/>
      <c r="AA7316" s="25"/>
    </row>
    <row r="7317" spans="1:27" x14ac:dyDescent="0.35">
      <c r="A7317" s="5">
        <v>7313</v>
      </c>
      <c r="B7317" s="5">
        <v>305</v>
      </c>
      <c r="C7317" s="5">
        <v>11</v>
      </c>
      <c r="D7317" s="25">
        <v>1.1416E-4</v>
      </c>
      <c r="E7317" s="25">
        <v>1.1544000000000001E-4</v>
      </c>
      <c r="F7317" s="25">
        <v>1.1849999999999999E-4</v>
      </c>
      <c r="G7317" s="25">
        <v>1.6341000000000001E-4</v>
      </c>
      <c r="H7317" s="25">
        <v>1.9525E-4</v>
      </c>
      <c r="I7317" s="9">
        <v>1.1233E-4</v>
      </c>
      <c r="J7317" s="9">
        <v>1.3474E-4</v>
      </c>
      <c r="K7317" s="9">
        <v>7.4179999999999998E-5</v>
      </c>
      <c r="L7317" s="9">
        <v>1.9333999999999999E-4</v>
      </c>
      <c r="M7317" s="9">
        <v>1.6184000000000001E-4</v>
      </c>
      <c r="N7317" s="9">
        <v>1.5238E-4</v>
      </c>
      <c r="O7317" s="9">
        <v>2.1618000000000001E-4</v>
      </c>
      <c r="P7317" s="9">
        <v>1.6022000000000001E-4</v>
      </c>
      <c r="Q7317" s="9">
        <v>1.0777000000000001E-4</v>
      </c>
      <c r="R7317" s="10">
        <v>8.5694971473141795E-7</v>
      </c>
      <c r="S7317" s="10">
        <v>1.1323160004994387E-5</v>
      </c>
      <c r="T7317" s="10">
        <v>0</v>
      </c>
      <c r="U7317" s="10">
        <v>7.4720000000000003E-5</v>
      </c>
      <c r="V7317" s="25"/>
      <c r="W7317" s="25"/>
      <c r="X7317" s="25"/>
      <c r="Y7317" s="25"/>
      <c r="Z7317" s="25"/>
      <c r="AA7317" s="25"/>
    </row>
    <row r="7318" spans="1:27" x14ac:dyDescent="0.35">
      <c r="A7318" s="5">
        <v>7314</v>
      </c>
      <c r="B7318" s="5">
        <v>305</v>
      </c>
      <c r="C7318" s="5">
        <v>11</v>
      </c>
      <c r="D7318" s="25">
        <v>1.1415000000000001E-4</v>
      </c>
      <c r="E7318" s="25">
        <v>1.0734999999999999E-4</v>
      </c>
      <c r="F7318" s="25">
        <v>1.1202E-4</v>
      </c>
      <c r="G7318" s="25">
        <v>1.6336000000000001E-4</v>
      </c>
      <c r="H7318" s="25">
        <v>1.9561000000000001E-4</v>
      </c>
      <c r="I7318" s="9">
        <v>1.2195E-4</v>
      </c>
      <c r="J7318" s="9">
        <v>1.4166E-4</v>
      </c>
      <c r="K7318" s="9">
        <v>9.3250000000000003E-5</v>
      </c>
      <c r="L7318" s="9">
        <v>2.1094000000000001E-4</v>
      </c>
      <c r="M7318" s="9">
        <v>1.5956999999999999E-4</v>
      </c>
      <c r="N7318" s="9">
        <v>1.3917000000000001E-4</v>
      </c>
      <c r="O7318" s="9">
        <v>2.0688999999999999E-4</v>
      </c>
      <c r="P7318" s="9">
        <v>1.6085000000000001E-4</v>
      </c>
      <c r="Q7318" s="9">
        <v>1.1801E-4</v>
      </c>
      <c r="R7318" s="10">
        <v>2.3471813984669678E-6</v>
      </c>
      <c r="S7318" s="10">
        <v>7.1058284912207807E-6</v>
      </c>
      <c r="T7318" s="10">
        <v>0</v>
      </c>
      <c r="U7318" s="10">
        <v>7.4720000000000003E-5</v>
      </c>
      <c r="V7318" s="25"/>
      <c r="W7318" s="25"/>
      <c r="X7318" s="25"/>
      <c r="Y7318" s="25"/>
      <c r="Z7318" s="25"/>
      <c r="AA7318" s="25"/>
    </row>
    <row r="7319" spans="1:27" x14ac:dyDescent="0.35">
      <c r="A7319" s="5">
        <v>7315</v>
      </c>
      <c r="B7319" s="5">
        <v>305</v>
      </c>
      <c r="C7319" s="5">
        <v>11</v>
      </c>
      <c r="D7319" s="25">
        <v>1.1416E-4</v>
      </c>
      <c r="E7319" s="25">
        <v>1.0967E-4</v>
      </c>
      <c r="F7319" s="25">
        <v>1.1769000000000001E-4</v>
      </c>
      <c r="G7319" s="25">
        <v>1.1378E-4</v>
      </c>
      <c r="H7319" s="25">
        <v>1.3726999999999999E-4</v>
      </c>
      <c r="I7319" s="9">
        <v>1.2744000000000001E-4</v>
      </c>
      <c r="J7319" s="9">
        <v>1.4452000000000001E-4</v>
      </c>
      <c r="K7319" s="9">
        <v>1.1021E-4</v>
      </c>
      <c r="L7319" s="9">
        <v>2.0733000000000001E-4</v>
      </c>
      <c r="M7319" s="9">
        <v>1.5962999999999999E-4</v>
      </c>
      <c r="N7319" s="9">
        <v>1.3013E-4</v>
      </c>
      <c r="O7319" s="9">
        <v>1.6467000000000001E-4</v>
      </c>
      <c r="P7319" s="9">
        <v>1.3459E-4</v>
      </c>
      <c r="Q7319" s="9">
        <v>1.0683000000000001E-4</v>
      </c>
      <c r="R7319" s="10">
        <v>5.135094291351505E-6</v>
      </c>
      <c r="S7319" s="10">
        <v>4.4074448737841246E-6</v>
      </c>
      <c r="T7319" s="10">
        <v>0</v>
      </c>
      <c r="U7319" s="10">
        <v>7.4720000000000003E-5</v>
      </c>
      <c r="V7319" s="25"/>
      <c r="W7319" s="25"/>
      <c r="X7319" s="25"/>
      <c r="Y7319" s="25"/>
      <c r="Z7319" s="25"/>
      <c r="AA7319" s="25"/>
    </row>
    <row r="7320" spans="1:27" x14ac:dyDescent="0.35">
      <c r="A7320" s="5">
        <v>7316</v>
      </c>
      <c r="B7320" s="5">
        <v>305</v>
      </c>
      <c r="C7320" s="5">
        <v>11</v>
      </c>
      <c r="D7320" s="25">
        <v>1.1415000000000001E-4</v>
      </c>
      <c r="E7320" s="25">
        <v>1.1171999999999999E-4</v>
      </c>
      <c r="F7320" s="25">
        <v>1.1822E-4</v>
      </c>
      <c r="G7320" s="25">
        <v>1.0435E-4</v>
      </c>
      <c r="H7320" s="25">
        <v>1.2772E-4</v>
      </c>
      <c r="I7320" s="9">
        <v>1.214E-4</v>
      </c>
      <c r="J7320" s="9">
        <v>1.3991000000000001E-4</v>
      </c>
      <c r="K7320" s="9">
        <v>1.2928000000000001E-4</v>
      </c>
      <c r="L7320" s="9">
        <v>1.7422E-4</v>
      </c>
      <c r="M7320" s="9">
        <v>1.5079000000000001E-4</v>
      </c>
      <c r="N7320" s="9">
        <v>1.2094E-4</v>
      </c>
      <c r="O7320" s="9">
        <v>1.2871000000000001E-4</v>
      </c>
      <c r="P7320" s="9">
        <v>1.1428E-4</v>
      </c>
      <c r="Q7320" s="9">
        <v>1.0137999999999999E-4</v>
      </c>
      <c r="R7320" s="10">
        <v>8.476793580560391E-6</v>
      </c>
      <c r="S7320" s="10">
        <v>2.361667676696291E-6</v>
      </c>
      <c r="T7320" s="10">
        <v>0</v>
      </c>
      <c r="U7320" s="10">
        <v>7.4720000000000003E-5</v>
      </c>
      <c r="V7320" s="25"/>
      <c r="W7320" s="25"/>
      <c r="X7320" s="25"/>
      <c r="Y7320" s="25"/>
      <c r="Z7320" s="25"/>
      <c r="AA7320" s="25"/>
    </row>
    <row r="7321" spans="1:27" x14ac:dyDescent="0.35">
      <c r="A7321" s="5">
        <v>7317</v>
      </c>
      <c r="B7321" s="5">
        <v>305</v>
      </c>
      <c r="C7321" s="5">
        <v>11</v>
      </c>
      <c r="D7321" s="25">
        <v>1.1416E-4</v>
      </c>
      <c r="E7321" s="25">
        <v>1.1728E-4</v>
      </c>
      <c r="F7321" s="25">
        <v>1.2108999999999999E-4</v>
      </c>
      <c r="G7321" s="25">
        <v>5.8839999999999999E-5</v>
      </c>
      <c r="H7321" s="25">
        <v>6.8940000000000001E-5</v>
      </c>
      <c r="I7321" s="9">
        <v>1.1545E-4</v>
      </c>
      <c r="J7321" s="9">
        <v>1.3396E-4</v>
      </c>
      <c r="K7321" s="9">
        <v>1.4412E-4</v>
      </c>
      <c r="L7321" s="9">
        <v>1.3976E-4</v>
      </c>
      <c r="M7321" s="9">
        <v>1.3515000000000001E-4</v>
      </c>
      <c r="N7321" s="9">
        <v>1.1314E-4</v>
      </c>
      <c r="O7321" s="9">
        <v>8.4359999999999999E-5</v>
      </c>
      <c r="P7321" s="9">
        <v>8.5749999999999997E-5</v>
      </c>
      <c r="Q7321" s="9">
        <v>8.7739999999999997E-5</v>
      </c>
      <c r="R7321" s="10">
        <v>8.8245961690614041E-6</v>
      </c>
      <c r="S7321" s="10">
        <v>3.0022965446282839E-6</v>
      </c>
      <c r="T7321" s="10">
        <v>0</v>
      </c>
      <c r="U7321" s="10">
        <v>7.4720000000000003E-5</v>
      </c>
      <c r="V7321" s="25"/>
      <c r="W7321" s="25"/>
      <c r="X7321" s="25"/>
      <c r="Y7321" s="25"/>
      <c r="Z7321" s="25"/>
      <c r="AA7321" s="25"/>
    </row>
    <row r="7322" spans="1:27" x14ac:dyDescent="0.35">
      <c r="A7322" s="5">
        <v>7318</v>
      </c>
      <c r="B7322" s="5">
        <v>305</v>
      </c>
      <c r="C7322" s="5">
        <v>11</v>
      </c>
      <c r="D7322" s="25">
        <v>1.1415000000000001E-4</v>
      </c>
      <c r="E7322" s="25">
        <v>1.1040999999999999E-4</v>
      </c>
      <c r="F7322" s="25">
        <v>1.1977999999999999E-4</v>
      </c>
      <c r="G7322" s="25">
        <v>5.5609999999999998E-5</v>
      </c>
      <c r="H7322" s="25">
        <v>7.4930000000000003E-5</v>
      </c>
      <c r="I7322" s="9">
        <v>1.1031000000000001E-4</v>
      </c>
      <c r="J7322" s="9">
        <v>1.2566000000000001E-4</v>
      </c>
      <c r="K7322" s="9">
        <v>1.6107E-4</v>
      </c>
      <c r="L7322" s="9">
        <v>9.7479999999999995E-5</v>
      </c>
      <c r="M7322" s="9">
        <v>1.1335E-4</v>
      </c>
      <c r="N7322" s="9">
        <v>1.0543E-4</v>
      </c>
      <c r="O7322" s="9">
        <v>8.7540000000000006E-5</v>
      </c>
      <c r="P7322" s="9">
        <v>8.7529999999999997E-5</v>
      </c>
      <c r="Q7322" s="9">
        <v>8.8179999999999999E-5</v>
      </c>
      <c r="R7322" s="10">
        <v>8.937466203391075E-6</v>
      </c>
      <c r="S7322" s="10">
        <v>6.0693168517931895E-6</v>
      </c>
      <c r="T7322" s="10">
        <v>0</v>
      </c>
      <c r="U7322" s="10">
        <v>7.4720000000000003E-5</v>
      </c>
      <c r="V7322" s="25"/>
      <c r="W7322" s="25"/>
      <c r="X7322" s="25"/>
      <c r="Y7322" s="25"/>
      <c r="Z7322" s="25"/>
      <c r="AA7322" s="25"/>
    </row>
    <row r="7323" spans="1:27" x14ac:dyDescent="0.35">
      <c r="A7323" s="5">
        <v>7319</v>
      </c>
      <c r="B7323" s="5">
        <v>305</v>
      </c>
      <c r="C7323" s="5">
        <v>11</v>
      </c>
      <c r="D7323" s="25">
        <v>1.1416E-4</v>
      </c>
      <c r="E7323" s="25">
        <v>1.098E-4</v>
      </c>
      <c r="F7323" s="25">
        <v>1.2537E-4</v>
      </c>
      <c r="G7323" s="25">
        <v>5.2519999999999999E-5</v>
      </c>
      <c r="H7323" s="25">
        <v>7.2910000000000005E-5</v>
      </c>
      <c r="I7323" s="9">
        <v>1.1233E-4</v>
      </c>
      <c r="J7323" s="9">
        <v>1.1674E-4</v>
      </c>
      <c r="K7323" s="9">
        <v>1.8227E-4</v>
      </c>
      <c r="L7323" s="9">
        <v>9.0669999999999998E-5</v>
      </c>
      <c r="M7323" s="9">
        <v>9.8720000000000003E-5</v>
      </c>
      <c r="N7323" s="9">
        <v>9.9599999999999995E-5</v>
      </c>
      <c r="O7323" s="9">
        <v>7.7579999999999999E-5</v>
      </c>
      <c r="P7323" s="9">
        <v>7.1760000000000004E-5</v>
      </c>
      <c r="Q7323" s="9">
        <v>6.6539999999999997E-5</v>
      </c>
      <c r="R7323" s="10">
        <v>1.0292777322810509E-5</v>
      </c>
      <c r="S7323" s="10">
        <v>6.8902848285876727E-6</v>
      </c>
      <c r="T7323" s="10">
        <v>0</v>
      </c>
      <c r="U7323" s="10">
        <v>7.4720000000000003E-5</v>
      </c>
      <c r="V7323" s="25"/>
      <c r="W7323" s="25"/>
      <c r="X7323" s="25"/>
      <c r="Y7323" s="25"/>
      <c r="Z7323" s="25"/>
      <c r="AA7323" s="25"/>
    </row>
    <row r="7324" spans="1:27" x14ac:dyDescent="0.35">
      <c r="A7324" s="5">
        <v>7320</v>
      </c>
      <c r="B7324" s="5">
        <v>305</v>
      </c>
      <c r="C7324" s="5">
        <v>11</v>
      </c>
      <c r="D7324" s="25">
        <v>1.1415000000000001E-4</v>
      </c>
      <c r="E7324" s="25">
        <v>1.108E-4</v>
      </c>
      <c r="F7324" s="25">
        <v>1.1977999999999999E-4</v>
      </c>
      <c r="G7324" s="25">
        <v>6.2680000000000003E-5</v>
      </c>
      <c r="H7324" s="25">
        <v>6.8520000000000001E-5</v>
      </c>
      <c r="I7324" s="9">
        <v>1.1E-4</v>
      </c>
      <c r="J7324" s="9">
        <v>1.0792E-4</v>
      </c>
      <c r="K7324" s="9">
        <v>1.7166999999999999E-4</v>
      </c>
      <c r="L7324" s="9">
        <v>8.0439999999999996E-5</v>
      </c>
      <c r="M7324" s="9">
        <v>8.5799999999999998E-5</v>
      </c>
      <c r="N7324" s="9">
        <v>9.0270000000000001E-5</v>
      </c>
      <c r="O7324" s="9">
        <v>6.3410000000000004E-5</v>
      </c>
      <c r="P7324" s="9">
        <v>6.1270000000000001E-5</v>
      </c>
      <c r="Q7324" s="9">
        <v>5.9429999999999999E-5</v>
      </c>
      <c r="R7324" s="10">
        <v>9.1076443054002018E-6</v>
      </c>
      <c r="S7324" s="10">
        <v>4.8470316637926828E-6</v>
      </c>
      <c r="T7324" s="10">
        <v>0</v>
      </c>
      <c r="U7324" s="10">
        <v>7.4720000000000003E-5</v>
      </c>
      <c r="V7324" s="25"/>
      <c r="W7324" s="25"/>
      <c r="X7324" s="25"/>
      <c r="Y7324" s="25"/>
      <c r="Z7324" s="25"/>
      <c r="AA7324" s="25"/>
    </row>
    <row r="7325" spans="1:27" x14ac:dyDescent="0.35">
      <c r="A7325" s="5">
        <v>7321</v>
      </c>
      <c r="B7325" s="5">
        <v>306</v>
      </c>
      <c r="C7325" s="5">
        <v>11</v>
      </c>
      <c r="D7325" s="25">
        <v>1.1416E-4</v>
      </c>
      <c r="E7325" s="25">
        <v>1.1155E-4</v>
      </c>
      <c r="F7325" s="25">
        <v>1.0736E-4</v>
      </c>
      <c r="G7325" s="25">
        <v>5.5949999999999998E-5</v>
      </c>
      <c r="H7325" s="25">
        <v>6.6950000000000001E-5</v>
      </c>
      <c r="I7325" s="9">
        <v>1.0255999999999999E-4</v>
      </c>
      <c r="J7325" s="9">
        <v>1.0028E-4</v>
      </c>
      <c r="K7325" s="9">
        <v>1.5894999999999999E-4</v>
      </c>
      <c r="L7325" s="9">
        <v>6.7160000000000001E-5</v>
      </c>
      <c r="M7325" s="9">
        <v>7.3999999999999996E-5</v>
      </c>
      <c r="N7325" s="9">
        <v>8.1030000000000002E-5</v>
      </c>
      <c r="O7325" s="9">
        <v>5.4419999999999997E-5</v>
      </c>
      <c r="P7325" s="9">
        <v>5.384E-5</v>
      </c>
      <c r="Q7325" s="9">
        <v>5.3409999999999999E-5</v>
      </c>
      <c r="R7325" s="10">
        <v>5.7602395526238133E-6</v>
      </c>
      <c r="S7325" s="10">
        <v>6.2037288428940346E-6</v>
      </c>
      <c r="T7325" s="10">
        <v>0</v>
      </c>
      <c r="U7325" s="10">
        <v>7.7319999999999998E-5</v>
      </c>
      <c r="V7325" s="25"/>
      <c r="W7325" s="25"/>
      <c r="X7325" s="25"/>
      <c r="Y7325" s="25"/>
      <c r="Z7325" s="25"/>
      <c r="AA7325" s="25"/>
    </row>
    <row r="7326" spans="1:27" x14ac:dyDescent="0.35">
      <c r="A7326" s="5">
        <v>7322</v>
      </c>
      <c r="B7326" s="5">
        <v>306</v>
      </c>
      <c r="C7326" s="5">
        <v>11</v>
      </c>
      <c r="D7326" s="25">
        <v>1.1415000000000001E-4</v>
      </c>
      <c r="E7326" s="25">
        <v>1.1626E-4</v>
      </c>
      <c r="F7326" s="25">
        <v>9.7269999999999995E-5</v>
      </c>
      <c r="G7326" s="25">
        <v>6.0959999999999999E-5</v>
      </c>
      <c r="H7326" s="25">
        <v>6.5809999999999995E-5</v>
      </c>
      <c r="I7326" s="9">
        <v>9.6760000000000002E-5</v>
      </c>
      <c r="J7326" s="9">
        <v>9.6280000000000007E-5</v>
      </c>
      <c r="K7326" s="9">
        <v>1.4412E-4</v>
      </c>
      <c r="L7326" s="9">
        <v>5.7590000000000003E-5</v>
      </c>
      <c r="M7326" s="9">
        <v>6.3949999999999996E-5</v>
      </c>
      <c r="N7326" s="9">
        <v>7.1979999999999999E-5</v>
      </c>
      <c r="O7326" s="9">
        <v>1.8499999999999999E-5</v>
      </c>
      <c r="P7326" s="9">
        <v>3.752E-5</v>
      </c>
      <c r="Q7326" s="9">
        <v>5.5829999999999999E-5</v>
      </c>
      <c r="R7326" s="10">
        <v>4.4110074363093009E-6</v>
      </c>
      <c r="S7326" s="10">
        <v>1.0765227634404579E-5</v>
      </c>
      <c r="T7326" s="10">
        <v>0</v>
      </c>
      <c r="U7326" s="10">
        <v>7.7319999999999998E-5</v>
      </c>
      <c r="V7326" s="25"/>
      <c r="W7326" s="25"/>
      <c r="X7326" s="25"/>
      <c r="Y7326" s="25"/>
      <c r="Z7326" s="25"/>
      <c r="AA7326" s="25"/>
    </row>
    <row r="7327" spans="1:27" x14ac:dyDescent="0.35">
      <c r="A7327" s="5">
        <v>7323</v>
      </c>
      <c r="B7327" s="5">
        <v>306</v>
      </c>
      <c r="C7327" s="5">
        <v>11</v>
      </c>
      <c r="D7327" s="25">
        <v>1.1416E-4</v>
      </c>
      <c r="E7327" s="25">
        <v>1.1218E-4</v>
      </c>
      <c r="F7327" s="25">
        <v>1.0407E-4</v>
      </c>
      <c r="G7327" s="25">
        <v>6.2269999999999998E-5</v>
      </c>
      <c r="H7327" s="25">
        <v>7.2899999999999997E-5</v>
      </c>
      <c r="I7327" s="9">
        <v>9.2419999999999999E-5</v>
      </c>
      <c r="J7327" s="9">
        <v>9.3820000000000006E-5</v>
      </c>
      <c r="K7327" s="9">
        <v>1.3988E-4</v>
      </c>
      <c r="L7327" s="9">
        <v>2.7319999999999999E-5</v>
      </c>
      <c r="M7327" s="9">
        <v>5.2139999999999999E-5</v>
      </c>
      <c r="N7327" s="9">
        <v>6.5400000000000004E-5</v>
      </c>
      <c r="O7327" s="9">
        <v>1.307E-5</v>
      </c>
      <c r="P7327" s="9">
        <v>3.7679999999999998E-5</v>
      </c>
      <c r="Q7327" s="9">
        <v>6.1409999999999996E-5</v>
      </c>
      <c r="R7327" s="10">
        <v>6.6531358501858519E-6</v>
      </c>
      <c r="S7327" s="10">
        <v>1.5835541397105478E-5</v>
      </c>
      <c r="T7327" s="10">
        <v>0</v>
      </c>
      <c r="U7327" s="10">
        <v>7.7319999999999998E-5</v>
      </c>
      <c r="V7327" s="25"/>
      <c r="W7327" s="25"/>
      <c r="X7327" s="25"/>
      <c r="Y7327" s="25"/>
      <c r="Z7327" s="25"/>
      <c r="AA7327" s="25"/>
    </row>
    <row r="7328" spans="1:27" x14ac:dyDescent="0.35">
      <c r="A7328" s="5">
        <v>7324</v>
      </c>
      <c r="B7328" s="5">
        <v>306</v>
      </c>
      <c r="C7328" s="5">
        <v>11</v>
      </c>
      <c r="D7328" s="25">
        <v>1.1415000000000001E-4</v>
      </c>
      <c r="E7328" s="25">
        <v>1.141E-4</v>
      </c>
      <c r="F7328" s="25">
        <v>1.0056999999999999E-4</v>
      </c>
      <c r="G7328" s="25">
        <v>6.1470000000000006E-5</v>
      </c>
      <c r="H7328" s="25">
        <v>7.449E-5</v>
      </c>
      <c r="I7328" s="9">
        <v>9.1130000000000003E-5</v>
      </c>
      <c r="J7328" s="9">
        <v>9.3120000000000003E-5</v>
      </c>
      <c r="K7328" s="9">
        <v>1.2928000000000001E-4</v>
      </c>
      <c r="L7328" s="9">
        <v>1.696E-5</v>
      </c>
      <c r="M7328" s="9">
        <v>4.4100000000000001E-5</v>
      </c>
      <c r="N7328" s="9">
        <v>6.1820000000000001E-5</v>
      </c>
      <c r="O7328" s="9">
        <v>1.2989999999999999E-5</v>
      </c>
      <c r="P7328" s="9">
        <v>4.6789999999999998E-5</v>
      </c>
      <c r="Q7328" s="9">
        <v>7.9579999999999994E-5</v>
      </c>
      <c r="R7328" s="10">
        <v>1.1735992201427813E-5</v>
      </c>
      <c r="S7328" s="10">
        <v>1.8193359461544128E-5</v>
      </c>
      <c r="T7328" s="10">
        <v>0</v>
      </c>
      <c r="U7328" s="10">
        <v>7.7319999999999998E-5</v>
      </c>
      <c r="V7328" s="25"/>
      <c r="W7328" s="25"/>
      <c r="X7328" s="25"/>
      <c r="Y7328" s="25"/>
      <c r="Z7328" s="25"/>
      <c r="AA7328" s="25"/>
    </row>
    <row r="7329" spans="1:27" x14ac:dyDescent="0.35">
      <c r="A7329" s="5">
        <v>7325</v>
      </c>
      <c r="B7329" s="5">
        <v>306</v>
      </c>
      <c r="C7329" s="5">
        <v>11</v>
      </c>
      <c r="D7329" s="25">
        <v>1.1416E-4</v>
      </c>
      <c r="E7329" s="25">
        <v>1.1348E-4</v>
      </c>
      <c r="F7329" s="25">
        <v>9.5240000000000003E-5</v>
      </c>
      <c r="G7329" s="25">
        <v>5.2939999999999998E-5</v>
      </c>
      <c r="H7329" s="25">
        <v>7.1089999999999999E-5</v>
      </c>
      <c r="I7329" s="9">
        <v>9.145E-5</v>
      </c>
      <c r="J7329" s="9">
        <v>9.4019999999999998E-5</v>
      </c>
      <c r="K7329" s="9">
        <v>1.2928000000000001E-4</v>
      </c>
      <c r="L7329" s="9">
        <v>1.4100000000000001E-5</v>
      </c>
      <c r="M7329" s="9">
        <v>4.3269999999999997E-5</v>
      </c>
      <c r="N7329" s="9">
        <v>6.4209999999999997E-5</v>
      </c>
      <c r="O7329" s="9">
        <v>1.8559999999999998E-5</v>
      </c>
      <c r="P7329" s="9">
        <v>5.6440000000000002E-5</v>
      </c>
      <c r="Q7329" s="9">
        <v>9.3319999999999994E-5</v>
      </c>
      <c r="R7329" s="10">
        <v>2.0918795324885477E-5</v>
      </c>
      <c r="S7329" s="10">
        <v>1.9609846843008588E-5</v>
      </c>
      <c r="T7329" s="10">
        <v>0</v>
      </c>
      <c r="U7329" s="10">
        <v>7.7319999999999998E-5</v>
      </c>
      <c r="V7329" s="25"/>
      <c r="W7329" s="25"/>
      <c r="X7329" s="25"/>
      <c r="Y7329" s="25"/>
      <c r="Z7329" s="25"/>
      <c r="AA7329" s="25"/>
    </row>
    <row r="7330" spans="1:27" x14ac:dyDescent="0.35">
      <c r="A7330" s="5">
        <v>7326</v>
      </c>
      <c r="B7330" s="5">
        <v>306</v>
      </c>
      <c r="C7330" s="5">
        <v>11</v>
      </c>
      <c r="D7330" s="25">
        <v>1.1415000000000001E-4</v>
      </c>
      <c r="E7330" s="25">
        <v>1.0823E-4</v>
      </c>
      <c r="F7330" s="25">
        <v>9.5400000000000001E-5</v>
      </c>
      <c r="G7330" s="25">
        <v>1.0907E-4</v>
      </c>
      <c r="H7330" s="25">
        <v>1.3496999999999999E-4</v>
      </c>
      <c r="I7330" s="9">
        <v>9.3590000000000003E-5</v>
      </c>
      <c r="J7330" s="9">
        <v>9.7659999999999997E-5</v>
      </c>
      <c r="K7330" s="9">
        <v>1.2716E-4</v>
      </c>
      <c r="L7330" s="9">
        <v>1.7450000000000001E-5</v>
      </c>
      <c r="M7330" s="9">
        <v>4.8140000000000003E-5</v>
      </c>
      <c r="N7330" s="9">
        <v>7.0699999999999997E-5</v>
      </c>
      <c r="O7330" s="9">
        <v>4.587E-5</v>
      </c>
      <c r="P7330" s="9">
        <v>7.6249999999999997E-5</v>
      </c>
      <c r="Q7330" s="9">
        <v>1.0616999999999999E-4</v>
      </c>
      <c r="R7330" s="10">
        <v>3.3014842435276465E-5</v>
      </c>
      <c r="S7330" s="10">
        <v>1.7884580013172765E-5</v>
      </c>
      <c r="T7330" s="10">
        <v>0</v>
      </c>
      <c r="U7330" s="10">
        <v>7.7319999999999998E-5</v>
      </c>
      <c r="V7330" s="25"/>
      <c r="W7330" s="25"/>
      <c r="X7330" s="25"/>
      <c r="Y7330" s="25"/>
      <c r="Z7330" s="25"/>
      <c r="AA7330" s="25"/>
    </row>
    <row r="7331" spans="1:27" x14ac:dyDescent="0.35">
      <c r="A7331" s="5">
        <v>7327</v>
      </c>
      <c r="B7331" s="5">
        <v>306</v>
      </c>
      <c r="C7331" s="5">
        <v>11</v>
      </c>
      <c r="D7331" s="25">
        <v>1.1416E-4</v>
      </c>
      <c r="E7331" s="25">
        <v>1.0615000000000001E-4</v>
      </c>
      <c r="F7331" s="25">
        <v>8.797E-5</v>
      </c>
      <c r="G7331" s="25">
        <v>1.0616E-4</v>
      </c>
      <c r="H7331" s="25">
        <v>1.3397999999999999E-4</v>
      </c>
      <c r="I7331" s="9">
        <v>9.7250000000000006E-5</v>
      </c>
      <c r="J7331" s="9">
        <v>1.1038E-4</v>
      </c>
      <c r="K7331" s="9">
        <v>1.1657E-4</v>
      </c>
      <c r="L7331" s="9">
        <v>3.947E-5</v>
      </c>
      <c r="M7331" s="9">
        <v>5.9639999999999998E-5</v>
      </c>
      <c r="N7331" s="9">
        <v>8.0249999999999999E-5</v>
      </c>
      <c r="O7331" s="9">
        <v>1.2353E-4</v>
      </c>
      <c r="P7331" s="9">
        <v>1.1729E-4</v>
      </c>
      <c r="Q7331" s="9">
        <v>1.1236E-4</v>
      </c>
      <c r="R7331" s="10">
        <v>4.5870234177058319E-5</v>
      </c>
      <c r="S7331" s="10">
        <v>1.5411853789086121E-5</v>
      </c>
      <c r="T7331" s="10">
        <v>0</v>
      </c>
      <c r="U7331" s="10">
        <v>7.7319999999999998E-5</v>
      </c>
      <c r="V7331" s="25"/>
      <c r="W7331" s="25"/>
      <c r="X7331" s="25"/>
      <c r="Y7331" s="25"/>
      <c r="Z7331" s="25"/>
      <c r="AA7331" s="25"/>
    </row>
    <row r="7332" spans="1:27" x14ac:dyDescent="0.35">
      <c r="A7332" s="5">
        <v>7328</v>
      </c>
      <c r="B7332" s="5">
        <v>306</v>
      </c>
      <c r="C7332" s="5">
        <v>11</v>
      </c>
      <c r="D7332" s="25">
        <v>1.1415000000000001E-4</v>
      </c>
      <c r="E7332" s="25">
        <v>1.125E-4</v>
      </c>
      <c r="F7332" s="25">
        <v>9.1500000000000001E-5</v>
      </c>
      <c r="G7332" s="25">
        <v>1.5673E-4</v>
      </c>
      <c r="H7332" s="25">
        <v>1.9352E-4</v>
      </c>
      <c r="I7332" s="9">
        <v>9.8560000000000005E-5</v>
      </c>
      <c r="J7332" s="9">
        <v>1.2658999999999999E-4</v>
      </c>
      <c r="K7332" s="9">
        <v>9.9610000000000003E-5</v>
      </c>
      <c r="L7332" s="9">
        <v>1.0442000000000001E-4</v>
      </c>
      <c r="M7332" s="9">
        <v>8.3360000000000001E-5</v>
      </c>
      <c r="N7332" s="9">
        <v>9.0389999999999993E-5</v>
      </c>
      <c r="O7332" s="9">
        <v>2.2236000000000001E-4</v>
      </c>
      <c r="P7332" s="9">
        <v>1.7836999999999999E-4</v>
      </c>
      <c r="Q7332" s="9">
        <v>1.3779999999999999E-4</v>
      </c>
      <c r="R7332" s="10">
        <v>5.182344550008119E-5</v>
      </c>
      <c r="S7332" s="10">
        <v>1.2291257847568483E-5</v>
      </c>
      <c r="T7332" s="10">
        <v>2.2670047863580803E-5</v>
      </c>
      <c r="U7332" s="10">
        <v>7.7319999999999998E-5</v>
      </c>
      <c r="V7332" s="25"/>
      <c r="W7332" s="25"/>
      <c r="X7332" s="25"/>
      <c r="Y7332" s="25"/>
      <c r="Z7332" s="25"/>
      <c r="AA7332" s="25"/>
    </row>
    <row r="7333" spans="1:27" x14ac:dyDescent="0.35">
      <c r="A7333" s="5">
        <v>7329</v>
      </c>
      <c r="B7333" s="5">
        <v>306</v>
      </c>
      <c r="C7333" s="5">
        <v>11</v>
      </c>
      <c r="D7333" s="25">
        <v>1.1416E-4</v>
      </c>
      <c r="E7333" s="25">
        <v>1.1099000000000001E-4</v>
      </c>
      <c r="F7333" s="25">
        <v>9.6559999999999997E-5</v>
      </c>
      <c r="G7333" s="25">
        <v>1.5621E-4</v>
      </c>
      <c r="H7333" s="25">
        <v>1.9689999999999999E-4</v>
      </c>
      <c r="I7333" s="9">
        <v>1.0077999999999999E-4</v>
      </c>
      <c r="J7333" s="9">
        <v>1.3443999999999999E-4</v>
      </c>
      <c r="K7333" s="9">
        <v>8.2650000000000003E-5</v>
      </c>
      <c r="L7333" s="9">
        <v>1.9463999999999999E-4</v>
      </c>
      <c r="M7333" s="9">
        <v>1.237E-4</v>
      </c>
      <c r="N7333" s="9">
        <v>1.0446E-4</v>
      </c>
      <c r="O7333" s="9">
        <v>2.1408000000000001E-4</v>
      </c>
      <c r="P7333" s="9">
        <v>1.9479E-4</v>
      </c>
      <c r="Q7333" s="9">
        <v>1.7839E-4</v>
      </c>
      <c r="R7333" s="10">
        <v>5.0956697882574265E-5</v>
      </c>
      <c r="S7333" s="10">
        <v>9.695262367737131E-6</v>
      </c>
      <c r="T7333" s="10">
        <v>2.2273831083929147E-4</v>
      </c>
      <c r="U7333" s="10">
        <v>7.7319999999999998E-5</v>
      </c>
      <c r="V7333" s="25"/>
      <c r="W7333" s="25"/>
      <c r="X7333" s="25"/>
      <c r="Y7333" s="25"/>
      <c r="Z7333" s="25"/>
      <c r="AA7333" s="25"/>
    </row>
    <row r="7334" spans="1:27" x14ac:dyDescent="0.35">
      <c r="A7334" s="5">
        <v>7330</v>
      </c>
      <c r="B7334" s="5">
        <v>306</v>
      </c>
      <c r="C7334" s="5">
        <v>11</v>
      </c>
      <c r="D7334" s="25">
        <v>1.1415000000000001E-4</v>
      </c>
      <c r="E7334" s="25">
        <v>1.0585E-4</v>
      </c>
      <c r="F7334" s="25">
        <v>9.4840000000000007E-5</v>
      </c>
      <c r="G7334" s="25">
        <v>1.5791000000000001E-4</v>
      </c>
      <c r="H7334" s="25">
        <v>1.9720999999999999E-4</v>
      </c>
      <c r="I7334" s="9">
        <v>1.032E-4</v>
      </c>
      <c r="J7334" s="9">
        <v>1.3804E-4</v>
      </c>
      <c r="K7334" s="9">
        <v>7.4179999999999998E-5</v>
      </c>
      <c r="L7334" s="9">
        <v>2.0743000000000001E-4</v>
      </c>
      <c r="M7334" s="9">
        <v>1.5953000000000001E-4</v>
      </c>
      <c r="N7334" s="9">
        <v>1.2489000000000001E-4</v>
      </c>
      <c r="O7334" s="9">
        <v>1.6848000000000001E-4</v>
      </c>
      <c r="P7334" s="9">
        <v>1.7472000000000001E-4</v>
      </c>
      <c r="Q7334" s="9">
        <v>1.8275E-4</v>
      </c>
      <c r="R7334" s="10">
        <v>4.4939120955073612E-5</v>
      </c>
      <c r="S7334" s="10">
        <v>9.8136890758171031E-6</v>
      </c>
      <c r="T7334" s="10">
        <v>4.4657109629475135E-4</v>
      </c>
      <c r="U7334" s="10">
        <v>7.7319999999999998E-5</v>
      </c>
      <c r="V7334" s="25"/>
      <c r="W7334" s="25"/>
      <c r="X7334" s="25"/>
      <c r="Y7334" s="25"/>
      <c r="Z7334" s="25"/>
      <c r="AA7334" s="25"/>
    </row>
    <row r="7335" spans="1:27" x14ac:dyDescent="0.35">
      <c r="A7335" s="5">
        <v>7331</v>
      </c>
      <c r="B7335" s="5">
        <v>306</v>
      </c>
      <c r="C7335" s="5">
        <v>11</v>
      </c>
      <c r="D7335" s="25">
        <v>1.1416E-4</v>
      </c>
      <c r="E7335" s="25">
        <v>1.1013E-4</v>
      </c>
      <c r="F7335" s="25">
        <v>1.0611999999999999E-4</v>
      </c>
      <c r="G7335" s="25">
        <v>1.5702000000000001E-4</v>
      </c>
      <c r="H7335" s="25">
        <v>1.9102E-4</v>
      </c>
      <c r="I7335" s="9">
        <v>1.033E-4</v>
      </c>
      <c r="J7335" s="9">
        <v>1.3783E-4</v>
      </c>
      <c r="K7335" s="9">
        <v>5.5099999999999998E-5</v>
      </c>
      <c r="L7335" s="9">
        <v>1.7712000000000001E-4</v>
      </c>
      <c r="M7335" s="9">
        <v>1.7330000000000001E-4</v>
      </c>
      <c r="N7335" s="9">
        <v>1.4317E-4</v>
      </c>
      <c r="O7335" s="9">
        <v>1.6861E-4</v>
      </c>
      <c r="P7335" s="9">
        <v>1.7348999999999999E-4</v>
      </c>
      <c r="Q7335" s="9">
        <v>1.8019999999999999E-4</v>
      </c>
      <c r="R7335" s="10">
        <v>3.1905488234276454E-5</v>
      </c>
      <c r="S7335" s="10">
        <v>1.1396949492024891E-5</v>
      </c>
      <c r="T7335" s="10">
        <v>5.2359156579534515E-4</v>
      </c>
      <c r="U7335" s="10">
        <v>7.7319999999999998E-5</v>
      </c>
      <c r="V7335" s="25"/>
      <c r="W7335" s="25"/>
      <c r="X7335" s="25"/>
      <c r="Y7335" s="25"/>
      <c r="Z7335" s="25"/>
      <c r="AA7335" s="25"/>
    </row>
    <row r="7336" spans="1:27" x14ac:dyDescent="0.35">
      <c r="A7336" s="5">
        <v>7332</v>
      </c>
      <c r="B7336" s="5">
        <v>306</v>
      </c>
      <c r="C7336" s="5">
        <v>11</v>
      </c>
      <c r="D7336" s="25">
        <v>1.1415000000000001E-4</v>
      </c>
      <c r="E7336" s="25">
        <v>1.1047E-4</v>
      </c>
      <c r="F7336" s="25">
        <v>1.0343E-4</v>
      </c>
      <c r="G7336" s="25">
        <v>1.6131000000000001E-4</v>
      </c>
      <c r="H7336" s="25">
        <v>1.9415E-4</v>
      </c>
      <c r="I7336" s="9">
        <v>1.0401E-4</v>
      </c>
      <c r="J7336" s="9">
        <v>1.3823000000000001E-4</v>
      </c>
      <c r="K7336" s="9">
        <v>3.18E-5</v>
      </c>
      <c r="L7336" s="9">
        <v>1.7194000000000001E-4</v>
      </c>
      <c r="M7336" s="9">
        <v>1.7568E-4</v>
      </c>
      <c r="N7336" s="9">
        <v>1.5741E-4</v>
      </c>
      <c r="O7336" s="9">
        <v>1.7026000000000001E-4</v>
      </c>
      <c r="P7336" s="9">
        <v>1.7101E-4</v>
      </c>
      <c r="Q7336" s="9">
        <v>1.7367000000000001E-4</v>
      </c>
      <c r="R7336" s="10">
        <v>2.7394085889131465E-5</v>
      </c>
      <c r="S7336" s="10">
        <v>1.7701673910723767E-5</v>
      </c>
      <c r="T7336" s="10">
        <v>5.7806076762326013E-4</v>
      </c>
      <c r="U7336" s="10">
        <v>7.7319999999999998E-5</v>
      </c>
      <c r="V7336" s="25"/>
      <c r="W7336" s="25"/>
      <c r="X7336" s="25"/>
      <c r="Y7336" s="25"/>
      <c r="Z7336" s="25"/>
      <c r="AA7336" s="25"/>
    </row>
    <row r="7337" spans="1:27" x14ac:dyDescent="0.35">
      <c r="A7337" s="5">
        <v>7333</v>
      </c>
      <c r="B7337" s="5">
        <v>306</v>
      </c>
      <c r="C7337" s="5">
        <v>11</v>
      </c>
      <c r="D7337" s="25">
        <v>1.1416E-4</v>
      </c>
      <c r="E7337" s="25">
        <v>1.1370999999999999E-4</v>
      </c>
      <c r="F7337" s="25">
        <v>9.3739999999999994E-5</v>
      </c>
      <c r="G7337" s="25">
        <v>1.6223999999999999E-4</v>
      </c>
      <c r="H7337" s="25">
        <v>1.9055E-4</v>
      </c>
      <c r="I7337" s="9">
        <v>1.0449E-4</v>
      </c>
      <c r="J7337" s="9">
        <v>1.3763E-4</v>
      </c>
      <c r="K7337" s="9">
        <v>2.12E-6</v>
      </c>
      <c r="L7337" s="9">
        <v>1.708E-4</v>
      </c>
      <c r="M7337" s="9">
        <v>1.7411999999999999E-4</v>
      </c>
      <c r="N7337" s="9">
        <v>1.6671000000000001E-4</v>
      </c>
      <c r="O7337" s="9">
        <v>1.6368E-4</v>
      </c>
      <c r="P7337" s="9">
        <v>1.6532E-4</v>
      </c>
      <c r="Q7337" s="9">
        <v>1.6873999999999999E-4</v>
      </c>
      <c r="R7337" s="10">
        <v>1.5737951268322128E-5</v>
      </c>
      <c r="S7337" s="10">
        <v>1.998005316224602E-5</v>
      </c>
      <c r="T7337" s="10">
        <v>4.7286393998084307E-4</v>
      </c>
      <c r="U7337" s="10">
        <v>7.7319999999999998E-5</v>
      </c>
      <c r="V7337" s="25"/>
      <c r="W7337" s="25"/>
      <c r="X7337" s="25"/>
      <c r="Y7337" s="25"/>
      <c r="Z7337" s="25"/>
      <c r="AA7337" s="25"/>
    </row>
    <row r="7338" spans="1:27" x14ac:dyDescent="0.35">
      <c r="A7338" s="5">
        <v>7334</v>
      </c>
      <c r="B7338" s="5">
        <v>306</v>
      </c>
      <c r="C7338" s="5">
        <v>11</v>
      </c>
      <c r="D7338" s="25">
        <v>1.1415000000000001E-4</v>
      </c>
      <c r="E7338" s="25">
        <v>1.0661E-4</v>
      </c>
      <c r="F7338" s="25">
        <v>9.6470000000000003E-5</v>
      </c>
      <c r="G7338" s="25">
        <v>1.5613000000000001E-4</v>
      </c>
      <c r="H7338" s="25">
        <v>1.9406999999999999E-4</v>
      </c>
      <c r="I7338" s="9">
        <v>1.0308E-4</v>
      </c>
      <c r="J7338" s="9">
        <v>1.3913E-4</v>
      </c>
      <c r="K7338" s="9">
        <v>0</v>
      </c>
      <c r="L7338" s="9">
        <v>1.6500999999999999E-4</v>
      </c>
      <c r="M7338" s="9">
        <v>1.7051999999999999E-4</v>
      </c>
      <c r="N7338" s="9">
        <v>1.7118E-4</v>
      </c>
      <c r="O7338" s="9">
        <v>1.7967999999999999E-4</v>
      </c>
      <c r="P7338" s="9">
        <v>1.6939E-4</v>
      </c>
      <c r="Q7338" s="9">
        <v>1.6134E-4</v>
      </c>
      <c r="R7338" s="10">
        <v>1.0552104103226861E-5</v>
      </c>
      <c r="S7338" s="10">
        <v>1.961840715456022E-5</v>
      </c>
      <c r="T7338" s="10">
        <v>4.8094099296217875E-4</v>
      </c>
      <c r="U7338" s="10">
        <v>7.7319999999999998E-5</v>
      </c>
      <c r="V7338" s="25"/>
      <c r="W7338" s="25"/>
      <c r="X7338" s="25"/>
      <c r="Y7338" s="25"/>
      <c r="Z7338" s="25"/>
      <c r="AA7338" s="25"/>
    </row>
    <row r="7339" spans="1:27" x14ac:dyDescent="0.35">
      <c r="A7339" s="5">
        <v>7335</v>
      </c>
      <c r="B7339" s="5">
        <v>306</v>
      </c>
      <c r="C7339" s="5">
        <v>11</v>
      </c>
      <c r="D7339" s="25">
        <v>1.1416E-4</v>
      </c>
      <c r="E7339" s="25">
        <v>1.0736E-4</v>
      </c>
      <c r="F7339" s="25">
        <v>8.9499999999999994E-5</v>
      </c>
      <c r="G7339" s="25">
        <v>1.6132000000000001E-4</v>
      </c>
      <c r="H7339" s="25">
        <v>1.9924E-4</v>
      </c>
      <c r="I7339" s="9">
        <v>1.0128000000000001E-4</v>
      </c>
      <c r="J7339" s="9">
        <v>1.3923000000000001E-4</v>
      </c>
      <c r="K7339" s="9">
        <v>4.2400000000000001E-6</v>
      </c>
      <c r="L7339" s="9">
        <v>1.7658999999999999E-4</v>
      </c>
      <c r="M7339" s="9">
        <v>1.6909999999999999E-4</v>
      </c>
      <c r="N7339" s="9">
        <v>1.7065E-4</v>
      </c>
      <c r="O7339" s="9">
        <v>1.84E-4</v>
      </c>
      <c r="P7339" s="9">
        <v>1.6692000000000001E-4</v>
      </c>
      <c r="Q7339" s="9">
        <v>1.5226000000000001E-4</v>
      </c>
      <c r="R7339" s="10">
        <v>9.361413245019715E-6</v>
      </c>
      <c r="S7339" s="10">
        <v>1.8941407397285869E-5</v>
      </c>
      <c r="T7339" s="10">
        <v>3.7294434653421463E-4</v>
      </c>
      <c r="U7339" s="10">
        <v>7.7319999999999998E-5</v>
      </c>
      <c r="V7339" s="25"/>
      <c r="W7339" s="25"/>
      <c r="X7339" s="25"/>
      <c r="Y7339" s="25"/>
      <c r="Z7339" s="25"/>
      <c r="AA7339" s="25"/>
    </row>
    <row r="7340" spans="1:27" x14ac:dyDescent="0.35">
      <c r="A7340" s="5">
        <v>7336</v>
      </c>
      <c r="B7340" s="5">
        <v>306</v>
      </c>
      <c r="C7340" s="5">
        <v>11</v>
      </c>
      <c r="D7340" s="25">
        <v>1.1415000000000001E-4</v>
      </c>
      <c r="E7340" s="25">
        <v>1.0673E-4</v>
      </c>
      <c r="F7340" s="25">
        <v>9.6500000000000001E-5</v>
      </c>
      <c r="G7340" s="25">
        <v>1.5896000000000001E-4</v>
      </c>
      <c r="H7340" s="25">
        <v>1.9515999999999999E-4</v>
      </c>
      <c r="I7340" s="9">
        <v>1.0179999999999999E-4</v>
      </c>
      <c r="J7340" s="9">
        <v>1.4004999999999999E-4</v>
      </c>
      <c r="K7340" s="9">
        <v>6.3600000000000001E-6</v>
      </c>
      <c r="L7340" s="9">
        <v>1.8206E-4</v>
      </c>
      <c r="M7340" s="9">
        <v>1.6803E-4</v>
      </c>
      <c r="N7340" s="9">
        <v>1.6653999999999999E-4</v>
      </c>
      <c r="O7340" s="9">
        <v>1.996E-4</v>
      </c>
      <c r="P7340" s="9">
        <v>1.5351000000000001E-4</v>
      </c>
      <c r="Q7340" s="9">
        <v>1.1052000000000001E-4</v>
      </c>
      <c r="R7340" s="10">
        <v>1.4180548332711728E-5</v>
      </c>
      <c r="S7340" s="10">
        <v>2.0966205459695581E-5</v>
      </c>
      <c r="T7340" s="10">
        <v>1.5189441126560148E-4</v>
      </c>
      <c r="U7340" s="10">
        <v>7.7319999999999998E-5</v>
      </c>
      <c r="V7340" s="25"/>
      <c r="W7340" s="25"/>
      <c r="X7340" s="25"/>
      <c r="Y7340" s="25"/>
      <c r="Z7340" s="25"/>
      <c r="AA7340" s="25"/>
    </row>
    <row r="7341" spans="1:27" x14ac:dyDescent="0.35">
      <c r="A7341" s="5">
        <v>7337</v>
      </c>
      <c r="B7341" s="5">
        <v>306</v>
      </c>
      <c r="C7341" s="5">
        <v>11</v>
      </c>
      <c r="D7341" s="25">
        <v>1.1416E-4</v>
      </c>
      <c r="E7341" s="25">
        <v>1.1399E-4</v>
      </c>
      <c r="F7341" s="25">
        <v>1.0739E-4</v>
      </c>
      <c r="G7341" s="25">
        <v>1.6024E-4</v>
      </c>
      <c r="H7341" s="25">
        <v>2.0068000000000001E-4</v>
      </c>
      <c r="I7341" s="9">
        <v>1.0403000000000001E-4</v>
      </c>
      <c r="J7341" s="9">
        <v>1.4243E-4</v>
      </c>
      <c r="K7341" s="9">
        <v>0</v>
      </c>
      <c r="L7341" s="9">
        <v>1.9555000000000001E-4</v>
      </c>
      <c r="M7341" s="9">
        <v>1.6262000000000001E-4</v>
      </c>
      <c r="N7341" s="9">
        <v>1.5286E-4</v>
      </c>
      <c r="O7341" s="9">
        <v>2.1555000000000001E-4</v>
      </c>
      <c r="P7341" s="9">
        <v>1.5976E-4</v>
      </c>
      <c r="Q7341" s="9">
        <v>1.0746E-4</v>
      </c>
      <c r="R7341" s="10">
        <v>2.5256759228588385E-5</v>
      </c>
      <c r="S7341" s="10">
        <v>2.2318408323674072E-5</v>
      </c>
      <c r="T7341" s="10">
        <v>0</v>
      </c>
      <c r="U7341" s="10">
        <v>7.7319999999999998E-5</v>
      </c>
      <c r="V7341" s="25"/>
      <c r="W7341" s="25"/>
      <c r="X7341" s="25"/>
      <c r="Y7341" s="25"/>
      <c r="Z7341" s="25"/>
      <c r="AA7341" s="25"/>
    </row>
    <row r="7342" spans="1:27" x14ac:dyDescent="0.35">
      <c r="A7342" s="5">
        <v>7338</v>
      </c>
      <c r="B7342" s="5">
        <v>306</v>
      </c>
      <c r="C7342" s="5">
        <v>11</v>
      </c>
      <c r="D7342" s="25">
        <v>1.1415000000000001E-4</v>
      </c>
      <c r="E7342" s="25">
        <v>1.1097E-4</v>
      </c>
      <c r="F7342" s="25">
        <v>1.0165E-4</v>
      </c>
      <c r="G7342" s="25">
        <v>1.6075E-4</v>
      </c>
      <c r="H7342" s="25">
        <v>1.9602000000000001E-4</v>
      </c>
      <c r="I7342" s="9">
        <v>1.1334E-4</v>
      </c>
      <c r="J7342" s="9">
        <v>1.4875000000000001E-4</v>
      </c>
      <c r="K7342" s="9">
        <v>0</v>
      </c>
      <c r="L7342" s="9">
        <v>2.1086E-4</v>
      </c>
      <c r="M7342" s="9">
        <v>1.6011000000000001E-4</v>
      </c>
      <c r="N7342" s="9">
        <v>1.395E-4</v>
      </c>
      <c r="O7342" s="9">
        <v>2.0600999999999999E-4</v>
      </c>
      <c r="P7342" s="9">
        <v>1.6016000000000001E-4</v>
      </c>
      <c r="Q7342" s="9">
        <v>1.1751E-4</v>
      </c>
      <c r="R7342" s="10">
        <v>4.5915226615936082E-5</v>
      </c>
      <c r="S7342" s="10">
        <v>2.4238269327450848E-5</v>
      </c>
      <c r="T7342" s="10">
        <v>0</v>
      </c>
      <c r="U7342" s="10">
        <v>7.7319999999999998E-5</v>
      </c>
      <c r="V7342" s="25"/>
      <c r="W7342" s="25"/>
      <c r="X7342" s="25"/>
      <c r="Y7342" s="25"/>
      <c r="Z7342" s="25"/>
      <c r="AA7342" s="25"/>
    </row>
    <row r="7343" spans="1:27" x14ac:dyDescent="0.35">
      <c r="A7343" s="5">
        <v>7339</v>
      </c>
      <c r="B7343" s="5">
        <v>306</v>
      </c>
      <c r="C7343" s="5">
        <v>11</v>
      </c>
      <c r="D7343" s="25">
        <v>1.1416E-4</v>
      </c>
      <c r="E7343" s="25">
        <v>1.1199E-4</v>
      </c>
      <c r="F7343" s="25">
        <v>1.0891E-4</v>
      </c>
      <c r="G7343" s="25">
        <v>1.1545E-4</v>
      </c>
      <c r="H7343" s="25">
        <v>1.3646E-4</v>
      </c>
      <c r="I7343" s="9">
        <v>1.1777000000000001E-4</v>
      </c>
      <c r="J7343" s="9">
        <v>1.4453E-4</v>
      </c>
      <c r="K7343" s="9">
        <v>0</v>
      </c>
      <c r="L7343" s="9">
        <v>2.0667999999999999E-4</v>
      </c>
      <c r="M7343" s="9">
        <v>1.5962999999999999E-4</v>
      </c>
      <c r="N7343" s="9">
        <v>1.3028000000000001E-4</v>
      </c>
      <c r="O7343" s="9">
        <v>1.6639000000000001E-4</v>
      </c>
      <c r="P7343" s="9">
        <v>1.3599E-4</v>
      </c>
      <c r="Q7343" s="9">
        <v>1.0794E-4</v>
      </c>
      <c r="R7343" s="10">
        <v>6.3863678205550295E-5</v>
      </c>
      <c r="S7343" s="10">
        <v>2.5979416831064687E-5</v>
      </c>
      <c r="T7343" s="10">
        <v>0</v>
      </c>
      <c r="U7343" s="10">
        <v>7.7319999999999998E-5</v>
      </c>
      <c r="V7343" s="25"/>
      <c r="W7343" s="25"/>
      <c r="X7343" s="25"/>
      <c r="Y7343" s="25"/>
      <c r="Z7343" s="25"/>
      <c r="AA7343" s="25"/>
    </row>
    <row r="7344" spans="1:27" x14ac:dyDescent="0.35">
      <c r="A7344" s="5">
        <v>7340</v>
      </c>
      <c r="B7344" s="5">
        <v>306</v>
      </c>
      <c r="C7344" s="5">
        <v>11</v>
      </c>
      <c r="D7344" s="25">
        <v>1.1415000000000001E-4</v>
      </c>
      <c r="E7344" s="25">
        <v>1.0889E-4</v>
      </c>
      <c r="F7344" s="25">
        <v>9.8610000000000006E-5</v>
      </c>
      <c r="G7344" s="25">
        <v>1.0558E-4</v>
      </c>
      <c r="H7344" s="25">
        <v>1.4004999999999999E-4</v>
      </c>
      <c r="I7344" s="9">
        <v>1.1509E-4</v>
      </c>
      <c r="J7344" s="9">
        <v>1.3936999999999999E-4</v>
      </c>
      <c r="K7344" s="9">
        <v>0</v>
      </c>
      <c r="L7344" s="9">
        <v>1.7545000000000001E-4</v>
      </c>
      <c r="M7344" s="9">
        <v>1.5114999999999999E-4</v>
      </c>
      <c r="N7344" s="9">
        <v>1.2127E-4</v>
      </c>
      <c r="O7344" s="9">
        <v>1.2962999999999999E-4</v>
      </c>
      <c r="P7344" s="9">
        <v>1.1510000000000001E-4</v>
      </c>
      <c r="Q7344" s="9">
        <v>1.0211E-4</v>
      </c>
      <c r="R7344" s="10">
        <v>6.7275265444056637E-5</v>
      </c>
      <c r="S7344" s="10">
        <v>3.1025418305355762E-5</v>
      </c>
      <c r="T7344" s="10">
        <v>0</v>
      </c>
      <c r="U7344" s="10">
        <v>7.7319999999999998E-5</v>
      </c>
      <c r="V7344" s="25"/>
      <c r="W7344" s="25"/>
      <c r="X7344" s="25"/>
      <c r="Y7344" s="25"/>
      <c r="Z7344" s="25"/>
      <c r="AA7344" s="25"/>
    </row>
    <row r="7345" spans="1:27" x14ac:dyDescent="0.35">
      <c r="A7345" s="5">
        <v>7341</v>
      </c>
      <c r="B7345" s="5">
        <v>306</v>
      </c>
      <c r="C7345" s="5">
        <v>11</v>
      </c>
      <c r="D7345" s="25">
        <v>1.1416E-4</v>
      </c>
      <c r="E7345" s="25">
        <v>1.0786E-4</v>
      </c>
      <c r="F7345" s="25">
        <v>1.0158E-4</v>
      </c>
      <c r="G7345" s="25">
        <v>5.6419999999999999E-5</v>
      </c>
      <c r="H7345" s="25">
        <v>7.2219999999999996E-5</v>
      </c>
      <c r="I7345" s="9">
        <v>1.1107000000000001E-4</v>
      </c>
      <c r="J7345" s="9">
        <v>1.3271999999999999E-4</v>
      </c>
      <c r="K7345" s="9">
        <v>0</v>
      </c>
      <c r="L7345" s="9">
        <v>1.4067999999999999E-4</v>
      </c>
      <c r="M7345" s="9">
        <v>1.3579999999999999E-4</v>
      </c>
      <c r="N7345" s="9">
        <v>1.1357999999999999E-4</v>
      </c>
      <c r="O7345" s="9">
        <v>8.4289999999999994E-5</v>
      </c>
      <c r="P7345" s="9">
        <v>8.5680000000000006E-5</v>
      </c>
      <c r="Q7345" s="9">
        <v>8.7670000000000006E-5</v>
      </c>
      <c r="R7345" s="10">
        <v>6.5399453315544528E-5</v>
      </c>
      <c r="S7345" s="10">
        <v>3.6110803975069439E-5</v>
      </c>
      <c r="T7345" s="10">
        <v>0</v>
      </c>
      <c r="U7345" s="10">
        <v>7.7319999999999998E-5</v>
      </c>
      <c r="V7345" s="25"/>
      <c r="W7345" s="25"/>
      <c r="X7345" s="25"/>
      <c r="Y7345" s="25"/>
      <c r="Z7345" s="25"/>
      <c r="AA7345" s="25"/>
    </row>
    <row r="7346" spans="1:27" x14ac:dyDescent="0.35">
      <c r="A7346" s="5">
        <v>7342</v>
      </c>
      <c r="B7346" s="5">
        <v>306</v>
      </c>
      <c r="C7346" s="5">
        <v>11</v>
      </c>
      <c r="D7346" s="25">
        <v>1.1415000000000001E-4</v>
      </c>
      <c r="E7346" s="25">
        <v>1.0978E-4</v>
      </c>
      <c r="F7346" s="25">
        <v>1.0763E-4</v>
      </c>
      <c r="G7346" s="25">
        <v>5.5800000000000001E-5</v>
      </c>
      <c r="H7346" s="25">
        <v>6.8759999999999999E-5</v>
      </c>
      <c r="I7346" s="9">
        <v>1.076E-4</v>
      </c>
      <c r="J7346" s="9">
        <v>1.2512999999999999E-4</v>
      </c>
      <c r="K7346" s="9">
        <v>6.3600000000000001E-6</v>
      </c>
      <c r="L7346" s="9">
        <v>9.7629999999999999E-5</v>
      </c>
      <c r="M7346" s="9">
        <v>1.1381E-4</v>
      </c>
      <c r="N7346" s="9">
        <v>1.0575E-4</v>
      </c>
      <c r="O7346" s="9">
        <v>8.8300000000000005E-5</v>
      </c>
      <c r="P7346" s="9">
        <v>8.8289999999999997E-5</v>
      </c>
      <c r="Q7346" s="9">
        <v>8.8949999999999994E-5</v>
      </c>
      <c r="R7346" s="10">
        <v>6.7411501988047466E-5</v>
      </c>
      <c r="S7346" s="10">
        <v>3.9558646541229994E-5</v>
      </c>
      <c r="T7346" s="10">
        <v>0</v>
      </c>
      <c r="U7346" s="10">
        <v>7.7319999999999998E-5</v>
      </c>
      <c r="V7346" s="25"/>
      <c r="W7346" s="25"/>
      <c r="X7346" s="25"/>
      <c r="Y7346" s="25"/>
      <c r="Z7346" s="25"/>
      <c r="AA7346" s="25"/>
    </row>
    <row r="7347" spans="1:27" x14ac:dyDescent="0.35">
      <c r="A7347" s="5">
        <v>7343</v>
      </c>
      <c r="B7347" s="5">
        <v>306</v>
      </c>
      <c r="C7347" s="5">
        <v>11</v>
      </c>
      <c r="D7347" s="25">
        <v>1.1416E-4</v>
      </c>
      <c r="E7347" s="25">
        <v>1.1035999999999999E-4</v>
      </c>
      <c r="F7347" s="25">
        <v>9.87E-5</v>
      </c>
      <c r="G7347" s="25">
        <v>5.6379999999999999E-5</v>
      </c>
      <c r="H7347" s="25">
        <v>6.8750000000000004E-5</v>
      </c>
      <c r="I7347" s="9">
        <v>1.1010000000000001E-4</v>
      </c>
      <c r="J7347" s="9">
        <v>1.1557000000000001E-4</v>
      </c>
      <c r="K7347" s="9">
        <v>8.4800000000000001E-6</v>
      </c>
      <c r="L7347" s="9">
        <v>9.1329999999999995E-5</v>
      </c>
      <c r="M7347" s="9">
        <v>9.9209999999999994E-5</v>
      </c>
      <c r="N7347" s="9">
        <v>1.0003E-4</v>
      </c>
      <c r="O7347" s="9">
        <v>7.7910000000000005E-5</v>
      </c>
      <c r="P7347" s="9">
        <v>7.2059999999999998E-5</v>
      </c>
      <c r="Q7347" s="9">
        <v>6.6820000000000001E-5</v>
      </c>
      <c r="R7347" s="10">
        <v>7.4394826859876514E-5</v>
      </c>
      <c r="S7347" s="10">
        <v>4.2534709751853335E-5</v>
      </c>
      <c r="T7347" s="10">
        <v>0</v>
      </c>
      <c r="U7347" s="10">
        <v>7.7319999999999998E-5</v>
      </c>
      <c r="V7347" s="25"/>
      <c r="W7347" s="25"/>
      <c r="X7347" s="25"/>
      <c r="Y7347" s="25"/>
      <c r="Z7347" s="25"/>
      <c r="AA7347" s="25"/>
    </row>
    <row r="7348" spans="1:27" x14ac:dyDescent="0.35">
      <c r="A7348" s="5">
        <v>7344</v>
      </c>
      <c r="B7348" s="5">
        <v>306</v>
      </c>
      <c r="C7348" s="5">
        <v>11</v>
      </c>
      <c r="D7348" s="25">
        <v>1.1415000000000001E-4</v>
      </c>
      <c r="E7348" s="25">
        <v>1.1588E-4</v>
      </c>
      <c r="F7348" s="25">
        <v>9.3059999999999993E-5</v>
      </c>
      <c r="G7348" s="25">
        <v>6.1760000000000005E-5</v>
      </c>
      <c r="H7348" s="25">
        <v>6.5400000000000004E-5</v>
      </c>
      <c r="I7348" s="9">
        <v>1.0821E-4</v>
      </c>
      <c r="J7348" s="9">
        <v>1.0781999999999999E-4</v>
      </c>
      <c r="K7348" s="9">
        <v>6.3600000000000001E-6</v>
      </c>
      <c r="L7348" s="9">
        <v>8.0820000000000002E-5</v>
      </c>
      <c r="M7348" s="9">
        <v>8.6249999999999996E-5</v>
      </c>
      <c r="N7348" s="9">
        <v>9.0699999999999996E-5</v>
      </c>
      <c r="O7348" s="9">
        <v>6.2520000000000004E-5</v>
      </c>
      <c r="P7348" s="9">
        <v>6.0399999999999998E-5</v>
      </c>
      <c r="Q7348" s="9">
        <v>5.859E-5</v>
      </c>
      <c r="R7348" s="10">
        <v>5.4075973377144613E-5</v>
      </c>
      <c r="S7348" s="10">
        <v>4.5725021977433701E-5</v>
      </c>
      <c r="T7348" s="10">
        <v>0</v>
      </c>
      <c r="U7348" s="10">
        <v>7.7319999999999998E-5</v>
      </c>
      <c r="V7348" s="25"/>
      <c r="W7348" s="25"/>
      <c r="X7348" s="25"/>
      <c r="Y7348" s="25"/>
      <c r="Z7348" s="25"/>
      <c r="AA7348" s="25"/>
    </row>
    <row r="7349" spans="1:27" x14ac:dyDescent="0.35">
      <c r="A7349" s="5">
        <v>7345</v>
      </c>
      <c r="B7349" s="5">
        <v>307</v>
      </c>
      <c r="C7349" s="5">
        <v>11</v>
      </c>
      <c r="D7349" s="25">
        <v>1.1416E-4</v>
      </c>
      <c r="E7349" s="25">
        <v>1.1026E-4</v>
      </c>
      <c r="F7349" s="25">
        <v>1.4038000000000001E-4</v>
      </c>
      <c r="G7349" s="25">
        <v>5.914E-5</v>
      </c>
      <c r="H7349" s="25">
        <v>4.0049999999999998E-5</v>
      </c>
      <c r="I7349" s="9">
        <v>1.0012E-4</v>
      </c>
      <c r="J7349" s="9">
        <v>1.0118E-4</v>
      </c>
      <c r="K7349" s="9">
        <v>4.2400000000000001E-6</v>
      </c>
      <c r="L7349" s="9">
        <v>6.6550000000000005E-5</v>
      </c>
      <c r="M7349" s="9">
        <v>7.3969999999999998E-5</v>
      </c>
      <c r="N7349" s="9">
        <v>8.1180000000000005E-5</v>
      </c>
      <c r="O7349" s="9">
        <v>6.8410000000000004E-5</v>
      </c>
      <c r="P7349" s="9">
        <v>6.0909999999999998E-5</v>
      </c>
      <c r="Q7349" s="9">
        <v>5.3720000000000001E-5</v>
      </c>
      <c r="R7349" s="10">
        <v>5.7030746498307865E-5</v>
      </c>
      <c r="S7349" s="10">
        <v>4.3237199496781636E-5</v>
      </c>
      <c r="T7349" s="10">
        <v>0</v>
      </c>
      <c r="U7349" s="10">
        <v>8.3049999999999999E-5</v>
      </c>
      <c r="V7349" s="25"/>
      <c r="W7349" s="25"/>
      <c r="X7349" s="25"/>
      <c r="Y7349" s="25"/>
      <c r="Z7349" s="25"/>
      <c r="AA7349" s="25"/>
    </row>
    <row r="7350" spans="1:27" x14ac:dyDescent="0.35">
      <c r="A7350" s="5">
        <v>7346</v>
      </c>
      <c r="B7350" s="5">
        <v>307</v>
      </c>
      <c r="C7350" s="5">
        <v>11</v>
      </c>
      <c r="D7350" s="25">
        <v>1.1415000000000001E-4</v>
      </c>
      <c r="E7350" s="25">
        <v>1.1145E-4</v>
      </c>
      <c r="F7350" s="25">
        <v>1.2941E-4</v>
      </c>
      <c r="G7350" s="25">
        <v>5.7250000000000002E-5</v>
      </c>
      <c r="H7350" s="25">
        <v>4.0960000000000001E-5</v>
      </c>
      <c r="I7350" s="9">
        <v>9.4759999999999994E-5</v>
      </c>
      <c r="J7350" s="9">
        <v>9.6570000000000005E-5</v>
      </c>
      <c r="K7350" s="9">
        <v>0</v>
      </c>
      <c r="L7350" s="9">
        <v>6.8399999999999996E-5</v>
      </c>
      <c r="M7350" s="9">
        <v>6.6340000000000005E-5</v>
      </c>
      <c r="N7350" s="9">
        <v>7.2109999999999999E-5</v>
      </c>
      <c r="O7350" s="9">
        <v>3.4969999999999999E-5</v>
      </c>
      <c r="P7350" s="9">
        <v>4.579E-5</v>
      </c>
      <c r="Q7350" s="9">
        <v>5.6119999999999998E-5</v>
      </c>
      <c r="R7350" s="10">
        <v>5.560107014840992E-5</v>
      </c>
      <c r="S7350" s="10">
        <v>4.0294922435125758E-5</v>
      </c>
      <c r="T7350" s="10">
        <v>0</v>
      </c>
      <c r="U7350" s="10">
        <v>8.3049999999999999E-5</v>
      </c>
      <c r="V7350" s="25"/>
      <c r="W7350" s="25"/>
      <c r="X7350" s="25"/>
      <c r="Y7350" s="25"/>
      <c r="Z7350" s="25"/>
      <c r="AA7350" s="25"/>
    </row>
    <row r="7351" spans="1:27" x14ac:dyDescent="0.35">
      <c r="A7351" s="5">
        <v>7347</v>
      </c>
      <c r="B7351" s="5">
        <v>307</v>
      </c>
      <c r="C7351" s="5">
        <v>11</v>
      </c>
      <c r="D7351" s="25">
        <v>1.1416E-4</v>
      </c>
      <c r="E7351" s="25">
        <v>1.1262E-4</v>
      </c>
      <c r="F7351" s="25">
        <v>1.4212E-4</v>
      </c>
      <c r="G7351" s="25">
        <v>5.7009999999999998E-5</v>
      </c>
      <c r="H7351" s="25">
        <v>4.4379999999999999E-5</v>
      </c>
      <c r="I7351" s="9">
        <v>9.166E-5</v>
      </c>
      <c r="J7351" s="9">
        <v>9.4199999999999999E-5</v>
      </c>
      <c r="K7351" s="9">
        <v>1.484E-5</v>
      </c>
      <c r="L7351" s="9">
        <v>4.2219999999999999E-5</v>
      </c>
      <c r="M7351" s="9">
        <v>5.7330000000000002E-5</v>
      </c>
      <c r="N7351" s="9">
        <v>6.5530000000000004E-5</v>
      </c>
      <c r="O7351" s="9">
        <v>2.173E-5</v>
      </c>
      <c r="P7351" s="9">
        <v>4.2020000000000001E-5</v>
      </c>
      <c r="Q7351" s="9">
        <v>6.1470000000000006E-5</v>
      </c>
      <c r="R7351" s="10">
        <v>4.7494765108001385E-5</v>
      </c>
      <c r="S7351" s="10">
        <v>3.2743218283558866E-5</v>
      </c>
      <c r="T7351" s="10">
        <v>0</v>
      </c>
      <c r="U7351" s="10">
        <v>8.3049999999999999E-5</v>
      </c>
      <c r="V7351" s="25"/>
      <c r="W7351" s="25"/>
      <c r="X7351" s="25"/>
      <c r="Y7351" s="25"/>
      <c r="Z7351" s="25"/>
      <c r="AA7351" s="25"/>
    </row>
    <row r="7352" spans="1:27" x14ac:dyDescent="0.35">
      <c r="A7352" s="5">
        <v>7348</v>
      </c>
      <c r="B7352" s="5">
        <v>307</v>
      </c>
      <c r="C7352" s="5">
        <v>11</v>
      </c>
      <c r="D7352" s="25">
        <v>1.1415000000000001E-4</v>
      </c>
      <c r="E7352" s="25">
        <v>1.1705999999999999E-4</v>
      </c>
      <c r="F7352" s="25">
        <v>1.417E-4</v>
      </c>
      <c r="G7352" s="25">
        <v>6.0139999999999997E-5</v>
      </c>
      <c r="H7352" s="25">
        <v>4.0880000000000002E-5</v>
      </c>
      <c r="I7352" s="9">
        <v>9.1020000000000006E-5</v>
      </c>
      <c r="J7352" s="9">
        <v>9.2960000000000004E-5</v>
      </c>
      <c r="K7352" s="9">
        <v>2.7549999999999999E-5</v>
      </c>
      <c r="L7352" s="9">
        <v>2.6869999999999999E-5</v>
      </c>
      <c r="M7352" s="9">
        <v>4.969E-5</v>
      </c>
      <c r="N7352" s="9">
        <v>6.19E-5</v>
      </c>
      <c r="O7352" s="9">
        <v>2.1299999999999999E-5</v>
      </c>
      <c r="P7352" s="9">
        <v>5.147E-5</v>
      </c>
      <c r="Q7352" s="9">
        <v>8.0630000000000006E-5</v>
      </c>
      <c r="R7352" s="10">
        <v>4.2838981480857788E-5</v>
      </c>
      <c r="S7352" s="10">
        <v>2.9307906972401461E-5</v>
      </c>
      <c r="T7352" s="10">
        <v>0</v>
      </c>
      <c r="U7352" s="10">
        <v>8.3049999999999999E-5</v>
      </c>
      <c r="V7352" s="25"/>
      <c r="W7352" s="25"/>
      <c r="X7352" s="25"/>
      <c r="Y7352" s="25"/>
      <c r="Z7352" s="25"/>
      <c r="AA7352" s="25"/>
    </row>
    <row r="7353" spans="1:27" x14ac:dyDescent="0.35">
      <c r="A7353" s="5">
        <v>7349</v>
      </c>
      <c r="B7353" s="5">
        <v>307</v>
      </c>
      <c r="C7353" s="5">
        <v>11</v>
      </c>
      <c r="D7353" s="25">
        <v>1.1416E-4</v>
      </c>
      <c r="E7353" s="25">
        <v>1.1276E-4</v>
      </c>
      <c r="F7353" s="25">
        <v>1.4248E-4</v>
      </c>
      <c r="G7353" s="25">
        <v>5.3350000000000003E-5</v>
      </c>
      <c r="H7353" s="25">
        <v>4.2509999999999998E-5</v>
      </c>
      <c r="I7353" s="9">
        <v>9.3399999999999993E-5</v>
      </c>
      <c r="J7353" s="9">
        <v>9.3789999999999995E-5</v>
      </c>
      <c r="K7353" s="9">
        <v>2.544E-5</v>
      </c>
      <c r="L7353" s="9">
        <v>2.2989999999999998E-5</v>
      </c>
      <c r="M7353" s="9">
        <v>4.85E-5</v>
      </c>
      <c r="N7353" s="9">
        <v>6.4490000000000001E-5</v>
      </c>
      <c r="O7353" s="9">
        <v>2.334E-5</v>
      </c>
      <c r="P7353" s="9">
        <v>5.944E-5</v>
      </c>
      <c r="Q7353" s="9">
        <v>9.4469999999999995E-5</v>
      </c>
      <c r="R7353" s="10">
        <v>4.8590795281001631E-5</v>
      </c>
      <c r="S7353" s="10">
        <v>2.728914119179376E-5</v>
      </c>
      <c r="T7353" s="10">
        <v>0</v>
      </c>
      <c r="U7353" s="10">
        <v>8.3049999999999999E-5</v>
      </c>
      <c r="V7353" s="25"/>
      <c r="W7353" s="25"/>
      <c r="X7353" s="25"/>
      <c r="Y7353" s="25"/>
      <c r="Z7353" s="25"/>
      <c r="AA7353" s="25"/>
    </row>
    <row r="7354" spans="1:27" x14ac:dyDescent="0.35">
      <c r="A7354" s="5">
        <v>7350</v>
      </c>
      <c r="B7354" s="5">
        <v>307</v>
      </c>
      <c r="C7354" s="5">
        <v>11</v>
      </c>
      <c r="D7354" s="25">
        <v>1.1415000000000001E-4</v>
      </c>
      <c r="E7354" s="25">
        <v>1.1584E-4</v>
      </c>
      <c r="F7354" s="25">
        <v>1.3218E-4</v>
      </c>
      <c r="G7354" s="25">
        <v>1.0932E-4</v>
      </c>
      <c r="H7354" s="25">
        <v>7.6940000000000005E-5</v>
      </c>
      <c r="I7354" s="9">
        <v>1.0001999999999999E-4</v>
      </c>
      <c r="J7354" s="9">
        <v>9.7650000000000002E-5</v>
      </c>
      <c r="K7354" s="9">
        <v>2.12E-5</v>
      </c>
      <c r="L7354" s="9">
        <v>2.319E-5</v>
      </c>
      <c r="M7354" s="9">
        <v>5.2460000000000003E-5</v>
      </c>
      <c r="N7354" s="9">
        <v>7.1229999999999994E-5</v>
      </c>
      <c r="O7354" s="9">
        <v>2.9329999999999999E-5</v>
      </c>
      <c r="P7354" s="9">
        <v>6.8390000000000001E-5</v>
      </c>
      <c r="Q7354" s="9">
        <v>1.0643E-4</v>
      </c>
      <c r="R7354" s="10">
        <v>6.3533344216873066E-5</v>
      </c>
      <c r="S7354" s="10">
        <v>2.9592020484297314E-5</v>
      </c>
      <c r="T7354" s="10">
        <v>0</v>
      </c>
      <c r="U7354" s="10">
        <v>8.3049999999999999E-5</v>
      </c>
      <c r="V7354" s="25"/>
      <c r="W7354" s="25"/>
      <c r="X7354" s="25"/>
      <c r="Y7354" s="25"/>
      <c r="Z7354" s="25"/>
      <c r="AA7354" s="25"/>
    </row>
    <row r="7355" spans="1:27" x14ac:dyDescent="0.35">
      <c r="A7355" s="5">
        <v>7351</v>
      </c>
      <c r="B7355" s="5">
        <v>307</v>
      </c>
      <c r="C7355" s="5">
        <v>11</v>
      </c>
      <c r="D7355" s="25">
        <v>1.1416E-4</v>
      </c>
      <c r="E7355" s="25">
        <v>1.1169E-4</v>
      </c>
      <c r="F7355" s="25">
        <v>1.2475999999999999E-4</v>
      </c>
      <c r="G7355" s="25">
        <v>1.0847E-4</v>
      </c>
      <c r="H7355" s="25">
        <v>7.9469999999999996E-5</v>
      </c>
      <c r="I7355" s="9">
        <v>1.1247999999999999E-4</v>
      </c>
      <c r="J7355" s="9">
        <v>1.0978E-4</v>
      </c>
      <c r="K7355" s="9">
        <v>1.908E-5</v>
      </c>
      <c r="L7355" s="9">
        <v>2.7880000000000001E-5</v>
      </c>
      <c r="M7355" s="9">
        <v>5.9360000000000001E-5</v>
      </c>
      <c r="N7355" s="9">
        <v>8.0790000000000004E-5</v>
      </c>
      <c r="O7355" s="9">
        <v>4.6360000000000003E-5</v>
      </c>
      <c r="P7355" s="9">
        <v>8.0080000000000006E-5</v>
      </c>
      <c r="Q7355" s="9">
        <v>1.1312E-4</v>
      </c>
      <c r="R7355" s="10">
        <v>7.6630183318278204E-5</v>
      </c>
      <c r="S7355" s="10">
        <v>3.9194271364188286E-5</v>
      </c>
      <c r="T7355" s="10">
        <v>0</v>
      </c>
      <c r="U7355" s="10">
        <v>8.3049999999999999E-5</v>
      </c>
      <c r="V7355" s="25"/>
      <c r="W7355" s="25"/>
      <c r="X7355" s="25"/>
      <c r="Y7355" s="25"/>
      <c r="Z7355" s="25"/>
      <c r="AA7355" s="25"/>
    </row>
    <row r="7356" spans="1:27" x14ac:dyDescent="0.35">
      <c r="A7356" s="5">
        <v>7352</v>
      </c>
      <c r="B7356" s="5">
        <v>307</v>
      </c>
      <c r="C7356" s="5">
        <v>11</v>
      </c>
      <c r="D7356" s="25">
        <v>1.1415000000000001E-4</v>
      </c>
      <c r="E7356" s="25">
        <v>1.137E-4</v>
      </c>
      <c r="F7356" s="25">
        <v>1.3721E-4</v>
      </c>
      <c r="G7356" s="25">
        <v>1.6531E-4</v>
      </c>
      <c r="H7356" s="25">
        <v>1.1565000000000001E-4</v>
      </c>
      <c r="I7356" s="9">
        <v>1.199E-4</v>
      </c>
      <c r="J7356" s="9">
        <v>1.2721999999999999E-4</v>
      </c>
      <c r="K7356" s="9">
        <v>2.1299999999999999E-6</v>
      </c>
      <c r="L7356" s="9">
        <v>4.2160000000000003E-5</v>
      </c>
      <c r="M7356" s="9">
        <v>6.8529999999999996E-5</v>
      </c>
      <c r="N7356" s="9">
        <v>9.1030000000000001E-5</v>
      </c>
      <c r="O7356" s="9">
        <v>6.7570000000000005E-5</v>
      </c>
      <c r="P7356" s="9">
        <v>1.0161E-4</v>
      </c>
      <c r="Q7356" s="9">
        <v>1.3530000000000001E-4</v>
      </c>
      <c r="R7356" s="10">
        <v>7.8702478952454499E-5</v>
      </c>
      <c r="S7356" s="10">
        <v>4.5602964386913996E-5</v>
      </c>
      <c r="T7356" s="10">
        <v>2.2856702449283941E-5</v>
      </c>
      <c r="U7356" s="10">
        <v>8.3049999999999999E-5</v>
      </c>
      <c r="V7356" s="25"/>
      <c r="W7356" s="25"/>
      <c r="X7356" s="25"/>
      <c r="Y7356" s="25"/>
      <c r="Z7356" s="25"/>
      <c r="AA7356" s="25"/>
    </row>
    <row r="7357" spans="1:27" x14ac:dyDescent="0.35">
      <c r="A7357" s="5">
        <v>7353</v>
      </c>
      <c r="B7357" s="5">
        <v>307</v>
      </c>
      <c r="C7357" s="5">
        <v>11</v>
      </c>
      <c r="D7357" s="25">
        <v>1.1416E-4</v>
      </c>
      <c r="E7357" s="25">
        <v>1.1676E-4</v>
      </c>
      <c r="F7357" s="25">
        <v>1.2547E-4</v>
      </c>
      <c r="G7357" s="25">
        <v>1.6208999999999999E-4</v>
      </c>
      <c r="H7357" s="25">
        <v>1.1492E-4</v>
      </c>
      <c r="I7357" s="9">
        <v>1.2489000000000001E-4</v>
      </c>
      <c r="J7357" s="9">
        <v>1.3621E-4</v>
      </c>
      <c r="K7357" s="9">
        <v>0</v>
      </c>
      <c r="L7357" s="9">
        <v>6.1589999999999998E-5</v>
      </c>
      <c r="M7357" s="9">
        <v>8.2719999999999994E-5</v>
      </c>
      <c r="N7357" s="9">
        <v>1.0444E-4</v>
      </c>
      <c r="O7357" s="9">
        <v>9.9920000000000006E-5</v>
      </c>
      <c r="P7357" s="9">
        <v>1.3823000000000001E-4</v>
      </c>
      <c r="Q7357" s="9">
        <v>1.7661E-4</v>
      </c>
      <c r="R7357" s="10">
        <v>8.2660552333256969E-5</v>
      </c>
      <c r="S7357" s="10">
        <v>4.8108307645711248E-5</v>
      </c>
      <c r="T7357" s="10">
        <v>2.3096808120892976E-4</v>
      </c>
      <c r="U7357" s="10">
        <v>8.3049999999999999E-5</v>
      </c>
      <c r="V7357" s="25"/>
      <c r="W7357" s="25"/>
      <c r="X7357" s="25"/>
      <c r="Y7357" s="25"/>
      <c r="Z7357" s="25"/>
      <c r="AA7357" s="25"/>
    </row>
    <row r="7358" spans="1:27" x14ac:dyDescent="0.35">
      <c r="A7358" s="5">
        <v>7354</v>
      </c>
      <c r="B7358" s="5">
        <v>307</v>
      </c>
      <c r="C7358" s="5">
        <v>11</v>
      </c>
      <c r="D7358" s="25">
        <v>1.1415000000000001E-4</v>
      </c>
      <c r="E7358" s="25">
        <v>1.1163999999999999E-4</v>
      </c>
      <c r="F7358" s="25">
        <v>1.2766000000000001E-4</v>
      </c>
      <c r="G7358" s="25">
        <v>1.6571000000000001E-4</v>
      </c>
      <c r="H7358" s="25">
        <v>1.177E-4</v>
      </c>
      <c r="I7358" s="9">
        <v>1.2824000000000001E-4</v>
      </c>
      <c r="J7358" s="9">
        <v>1.3836999999999999E-4</v>
      </c>
      <c r="K7358" s="9">
        <v>0</v>
      </c>
      <c r="L7358" s="9">
        <v>9.098E-5</v>
      </c>
      <c r="M7358" s="9">
        <v>1.0628000000000001E-4</v>
      </c>
      <c r="N7358" s="9">
        <v>1.2437E-4</v>
      </c>
      <c r="O7358" s="9">
        <v>1.2936999999999999E-4</v>
      </c>
      <c r="P7358" s="9">
        <v>1.5563E-4</v>
      </c>
      <c r="Q7358" s="9">
        <v>1.8259999999999999E-4</v>
      </c>
      <c r="R7358" s="10">
        <v>8.3104980232976246E-5</v>
      </c>
      <c r="S7358" s="10">
        <v>4.560444415640374E-5</v>
      </c>
      <c r="T7358" s="10">
        <v>4.5396940532807566E-4</v>
      </c>
      <c r="U7358" s="10">
        <v>8.3049999999999999E-5</v>
      </c>
      <c r="V7358" s="25"/>
      <c r="W7358" s="25"/>
      <c r="X7358" s="25"/>
      <c r="Y7358" s="25"/>
      <c r="Z7358" s="25"/>
      <c r="AA7358" s="25"/>
    </row>
    <row r="7359" spans="1:27" x14ac:dyDescent="0.35">
      <c r="A7359" s="5">
        <v>7355</v>
      </c>
      <c r="B7359" s="5">
        <v>307</v>
      </c>
      <c r="C7359" s="5">
        <v>11</v>
      </c>
      <c r="D7359" s="25">
        <v>1.1416E-4</v>
      </c>
      <c r="E7359" s="25">
        <v>1.1747E-4</v>
      </c>
      <c r="F7359" s="25">
        <v>1.2630000000000001E-4</v>
      </c>
      <c r="G7359" s="25">
        <v>1.6762E-4</v>
      </c>
      <c r="H7359" s="25">
        <v>1.1697E-4</v>
      </c>
      <c r="I7359" s="9">
        <v>1.2870000000000001E-4</v>
      </c>
      <c r="J7359" s="9">
        <v>1.3724000000000001E-4</v>
      </c>
      <c r="K7359" s="9">
        <v>0</v>
      </c>
      <c r="L7359" s="9">
        <v>1.2019999999999999E-4</v>
      </c>
      <c r="M7359" s="9">
        <v>1.2999999999999999E-4</v>
      </c>
      <c r="N7359" s="9">
        <v>1.4254E-4</v>
      </c>
      <c r="O7359" s="9">
        <v>1.3643999999999999E-4</v>
      </c>
      <c r="P7359" s="9">
        <v>1.5689999999999999E-4</v>
      </c>
      <c r="Q7359" s="9">
        <v>1.7829E-4</v>
      </c>
      <c r="R7359" s="10">
        <v>7.1538017390553101E-5</v>
      </c>
      <c r="S7359" s="10">
        <v>4.3813278719650071E-5</v>
      </c>
      <c r="T7359" s="10">
        <v>5.1152689211944244E-4</v>
      </c>
      <c r="U7359" s="10">
        <v>8.3049999999999999E-5</v>
      </c>
      <c r="V7359" s="25"/>
      <c r="W7359" s="25"/>
      <c r="X7359" s="25"/>
      <c r="Y7359" s="25"/>
      <c r="Z7359" s="25"/>
      <c r="AA7359" s="25"/>
    </row>
    <row r="7360" spans="1:27" x14ac:dyDescent="0.35">
      <c r="A7360" s="5">
        <v>7356</v>
      </c>
      <c r="B7360" s="5">
        <v>307</v>
      </c>
      <c r="C7360" s="5">
        <v>11</v>
      </c>
      <c r="D7360" s="25">
        <v>1.1415000000000001E-4</v>
      </c>
      <c r="E7360" s="25">
        <v>1.1001999999999999E-4</v>
      </c>
      <c r="F7360" s="25">
        <v>1.2839000000000001E-4</v>
      </c>
      <c r="G7360" s="25">
        <v>1.5692000000000001E-4</v>
      </c>
      <c r="H7360" s="25">
        <v>1.1509E-4</v>
      </c>
      <c r="I7360" s="9">
        <v>1.2986000000000001E-4</v>
      </c>
      <c r="J7360" s="9">
        <v>1.3609000000000001E-4</v>
      </c>
      <c r="K7360" s="9">
        <v>0</v>
      </c>
      <c r="L7360" s="9">
        <v>1.3217E-4</v>
      </c>
      <c r="M7360" s="9">
        <v>1.4532E-4</v>
      </c>
      <c r="N7360" s="9">
        <v>1.5637E-4</v>
      </c>
      <c r="O7360" s="9">
        <v>1.373E-4</v>
      </c>
      <c r="P7360" s="9">
        <v>1.5432E-4</v>
      </c>
      <c r="Q7360" s="9">
        <v>1.7233E-4</v>
      </c>
      <c r="R7360" s="10">
        <v>5.1309294390914701E-5</v>
      </c>
      <c r="S7360" s="10">
        <v>4.4059791579538279E-5</v>
      </c>
      <c r="T7360" s="10">
        <v>5.4984198798468616E-4</v>
      </c>
      <c r="U7360" s="10">
        <v>8.3049999999999999E-5</v>
      </c>
      <c r="V7360" s="25"/>
      <c r="W7360" s="25"/>
      <c r="X7360" s="25"/>
      <c r="Y7360" s="25"/>
      <c r="Z7360" s="25"/>
      <c r="AA7360" s="25"/>
    </row>
    <row r="7361" spans="1:27" x14ac:dyDescent="0.35">
      <c r="A7361" s="5">
        <v>7357</v>
      </c>
      <c r="B7361" s="5">
        <v>307</v>
      </c>
      <c r="C7361" s="5">
        <v>11</v>
      </c>
      <c r="D7361" s="25">
        <v>1.1416E-4</v>
      </c>
      <c r="E7361" s="25">
        <v>1.1304E-4</v>
      </c>
      <c r="F7361" s="25">
        <v>1.3584E-4</v>
      </c>
      <c r="G7361" s="25">
        <v>1.5763999999999999E-4</v>
      </c>
      <c r="H7361" s="25">
        <v>1.175E-4</v>
      </c>
      <c r="I7361" s="9">
        <v>1.2684E-4</v>
      </c>
      <c r="J7361" s="9">
        <v>1.3457000000000001E-4</v>
      </c>
      <c r="K7361" s="9">
        <v>0</v>
      </c>
      <c r="L7361" s="9">
        <v>1.3603000000000001E-4</v>
      </c>
      <c r="M7361" s="9">
        <v>1.5181E-4</v>
      </c>
      <c r="N7361" s="9">
        <v>1.6547E-4</v>
      </c>
      <c r="O7361" s="9">
        <v>1.2985000000000001E-4</v>
      </c>
      <c r="P7361" s="9">
        <v>1.4783E-4</v>
      </c>
      <c r="Q7361" s="9">
        <v>1.6667E-4</v>
      </c>
      <c r="R7361" s="10">
        <v>3.5368249410801064E-5</v>
      </c>
      <c r="S7361" s="10">
        <v>4.3713876715027493E-5</v>
      </c>
      <c r="T7361" s="10">
        <v>5.7168905881130317E-4</v>
      </c>
      <c r="U7361" s="10">
        <v>8.3049999999999999E-5</v>
      </c>
      <c r="V7361" s="25"/>
      <c r="W7361" s="25"/>
      <c r="X7361" s="25"/>
      <c r="Y7361" s="25"/>
      <c r="Z7361" s="25"/>
      <c r="AA7361" s="25"/>
    </row>
    <row r="7362" spans="1:27" x14ac:dyDescent="0.35">
      <c r="A7362" s="5">
        <v>7358</v>
      </c>
      <c r="B7362" s="5">
        <v>307</v>
      </c>
      <c r="C7362" s="5">
        <v>11</v>
      </c>
      <c r="D7362" s="25">
        <v>1.1415000000000001E-4</v>
      </c>
      <c r="E7362" s="25">
        <v>1.0959E-4</v>
      </c>
      <c r="F7362" s="25">
        <v>1.2485999999999999E-4</v>
      </c>
      <c r="G7362" s="25">
        <v>1.6579999999999999E-4</v>
      </c>
      <c r="H7362" s="25">
        <v>1.1675000000000001E-4</v>
      </c>
      <c r="I7362" s="9">
        <v>1.2669999999999999E-4</v>
      </c>
      <c r="J7362" s="9">
        <v>1.3569999999999999E-4</v>
      </c>
      <c r="K7362" s="9">
        <v>0</v>
      </c>
      <c r="L7362" s="9">
        <v>1.3129E-4</v>
      </c>
      <c r="M7362" s="9">
        <v>1.5156999999999999E-4</v>
      </c>
      <c r="N7362" s="9">
        <v>1.6971999999999999E-4</v>
      </c>
      <c r="O7362" s="9">
        <v>1.1244E-4</v>
      </c>
      <c r="P7362" s="9">
        <v>1.3611999999999999E-4</v>
      </c>
      <c r="Q7362" s="9">
        <v>1.6029999999999999E-4</v>
      </c>
      <c r="R7362" s="10">
        <v>2.7365371517874387E-5</v>
      </c>
      <c r="S7362" s="10">
        <v>4.337640905527829E-5</v>
      </c>
      <c r="T7362" s="10">
        <v>4.4398338499295788E-4</v>
      </c>
      <c r="U7362" s="10">
        <v>8.3049999999999999E-5</v>
      </c>
      <c r="V7362" s="25"/>
      <c r="W7362" s="25"/>
      <c r="X7362" s="25"/>
      <c r="Y7362" s="25"/>
      <c r="Z7362" s="25"/>
      <c r="AA7362" s="25"/>
    </row>
    <row r="7363" spans="1:27" x14ac:dyDescent="0.35">
      <c r="A7363" s="5">
        <v>7359</v>
      </c>
      <c r="B7363" s="5">
        <v>307</v>
      </c>
      <c r="C7363" s="5">
        <v>11</v>
      </c>
      <c r="D7363" s="25">
        <v>1.1416E-4</v>
      </c>
      <c r="E7363" s="25">
        <v>1.1189E-4</v>
      </c>
      <c r="F7363" s="25">
        <v>1.2559E-4</v>
      </c>
      <c r="G7363" s="25">
        <v>1.5966E-4</v>
      </c>
      <c r="H7363" s="25">
        <v>1.1601E-4</v>
      </c>
      <c r="I7363" s="9">
        <v>1.2598000000000001E-4</v>
      </c>
      <c r="J7363" s="9">
        <v>1.3611999999999999E-4</v>
      </c>
      <c r="K7363" s="9">
        <v>0</v>
      </c>
      <c r="L7363" s="9">
        <v>1.1678E-4</v>
      </c>
      <c r="M7363" s="9">
        <v>1.4571000000000001E-4</v>
      </c>
      <c r="N7363" s="9">
        <v>1.6924E-4</v>
      </c>
      <c r="O7363" s="9">
        <v>1.2805999999999999E-4</v>
      </c>
      <c r="P7363" s="9">
        <v>1.4014999999999999E-4</v>
      </c>
      <c r="Q7363" s="9">
        <v>1.5315000000000001E-4</v>
      </c>
      <c r="R7363" s="10">
        <v>1.8111310099913074E-5</v>
      </c>
      <c r="S7363" s="10">
        <v>4.0315855737820586E-5</v>
      </c>
      <c r="T7363" s="10">
        <v>3.1735521719208085E-4</v>
      </c>
      <c r="U7363" s="10">
        <v>8.3049999999999999E-5</v>
      </c>
      <c r="V7363" s="25"/>
      <c r="W7363" s="25"/>
      <c r="X7363" s="25"/>
      <c r="Y7363" s="25"/>
      <c r="Z7363" s="25"/>
      <c r="AA7363" s="25"/>
    </row>
    <row r="7364" spans="1:27" x14ac:dyDescent="0.35">
      <c r="A7364" s="5">
        <v>7360</v>
      </c>
      <c r="B7364" s="5">
        <v>307</v>
      </c>
      <c r="C7364" s="5">
        <v>11</v>
      </c>
      <c r="D7364" s="25">
        <v>1.1415000000000001E-4</v>
      </c>
      <c r="E7364" s="25">
        <v>1.16E-4</v>
      </c>
      <c r="F7364" s="25">
        <v>1.348E-4</v>
      </c>
      <c r="G7364" s="25">
        <v>1.5760000000000001E-4</v>
      </c>
      <c r="H7364" s="25">
        <v>1.1801E-4</v>
      </c>
      <c r="I7364" s="9">
        <v>1.2641E-4</v>
      </c>
      <c r="J7364" s="9">
        <v>1.3751E-4</v>
      </c>
      <c r="K7364" s="9">
        <v>0</v>
      </c>
      <c r="L7364" s="9">
        <v>1.2599E-4</v>
      </c>
      <c r="M7364" s="9">
        <v>1.4207E-4</v>
      </c>
      <c r="N7364" s="9">
        <v>1.6559999999999999E-4</v>
      </c>
      <c r="O7364" s="9">
        <v>1.3512999999999999E-4</v>
      </c>
      <c r="P7364" s="9">
        <v>1.2199E-4</v>
      </c>
      <c r="Q7364" s="9">
        <v>1.1027E-4</v>
      </c>
      <c r="R7364" s="10">
        <v>1.8482295830256742E-5</v>
      </c>
      <c r="S7364" s="10">
        <v>3.7776942928376424E-5</v>
      </c>
      <c r="T7364" s="10">
        <v>1.4592994882245129E-4</v>
      </c>
      <c r="U7364" s="10">
        <v>8.3049999999999999E-5</v>
      </c>
      <c r="V7364" s="25"/>
      <c r="W7364" s="25"/>
      <c r="X7364" s="25"/>
      <c r="Y7364" s="25"/>
      <c r="Z7364" s="25"/>
      <c r="AA7364" s="25"/>
    </row>
    <row r="7365" spans="1:27" x14ac:dyDescent="0.35">
      <c r="A7365" s="5">
        <v>7361</v>
      </c>
      <c r="B7365" s="5">
        <v>307</v>
      </c>
      <c r="C7365" s="5">
        <v>11</v>
      </c>
      <c r="D7365" s="25">
        <v>1.1416E-4</v>
      </c>
      <c r="E7365" s="25">
        <v>1.1402E-4</v>
      </c>
      <c r="F7365" s="25">
        <v>1.3247000000000001E-4</v>
      </c>
      <c r="G7365" s="25">
        <v>1.6752999999999999E-4</v>
      </c>
      <c r="H7365" s="25">
        <v>1.1870999999999999E-4</v>
      </c>
      <c r="I7365" s="9">
        <v>1.2758999999999999E-4</v>
      </c>
      <c r="J7365" s="9">
        <v>1.3980000000000001E-4</v>
      </c>
      <c r="K7365" s="9">
        <v>0</v>
      </c>
      <c r="L7365" s="9">
        <v>1.3282999999999999E-4</v>
      </c>
      <c r="M7365" s="9">
        <v>1.3405000000000001E-4</v>
      </c>
      <c r="N7365" s="9">
        <v>1.5217E-4</v>
      </c>
      <c r="O7365" s="9">
        <v>1.4001000000000001E-4</v>
      </c>
      <c r="P7365" s="9">
        <v>1.2255E-4</v>
      </c>
      <c r="Q7365" s="9">
        <v>1.0665E-4</v>
      </c>
      <c r="R7365" s="10">
        <v>2.7570954125440546E-5</v>
      </c>
      <c r="S7365" s="10">
        <v>4.2035649958134405E-5</v>
      </c>
      <c r="T7365" s="10">
        <v>0</v>
      </c>
      <c r="U7365" s="10">
        <v>8.3049999999999999E-5</v>
      </c>
      <c r="V7365" s="25"/>
      <c r="W7365" s="25"/>
      <c r="X7365" s="25"/>
      <c r="Y7365" s="25"/>
      <c r="Z7365" s="25"/>
      <c r="AA7365" s="25"/>
    </row>
    <row r="7366" spans="1:27" x14ac:dyDescent="0.35">
      <c r="A7366" s="5">
        <v>7362</v>
      </c>
      <c r="B7366" s="5">
        <v>307</v>
      </c>
      <c r="C7366" s="5">
        <v>11</v>
      </c>
      <c r="D7366" s="25">
        <v>1.1415000000000001E-4</v>
      </c>
      <c r="E7366" s="25">
        <v>1.102E-4</v>
      </c>
      <c r="F7366" s="25">
        <v>1.3641E-4</v>
      </c>
      <c r="G7366" s="25">
        <v>1.6114999999999999E-4</v>
      </c>
      <c r="H7366" s="25">
        <v>1.1352E-4</v>
      </c>
      <c r="I7366" s="9">
        <v>1.3540000000000001E-4</v>
      </c>
      <c r="J7366" s="9">
        <v>1.4842999999999999E-4</v>
      </c>
      <c r="K7366" s="9">
        <v>0</v>
      </c>
      <c r="L7366" s="9">
        <v>1.3813000000000001E-4</v>
      </c>
      <c r="M7366" s="9">
        <v>1.2787000000000001E-4</v>
      </c>
      <c r="N7366" s="9">
        <v>1.3888E-4</v>
      </c>
      <c r="O7366" s="9">
        <v>1.4077E-4</v>
      </c>
      <c r="P7366" s="9">
        <v>1.2826E-4</v>
      </c>
      <c r="Q7366" s="9">
        <v>1.1726E-4</v>
      </c>
      <c r="R7366" s="10">
        <v>3.1222963787382849E-5</v>
      </c>
      <c r="S7366" s="10">
        <v>4.8962914875889317E-5</v>
      </c>
      <c r="T7366" s="10">
        <v>0</v>
      </c>
      <c r="U7366" s="10">
        <v>8.3049999999999999E-5</v>
      </c>
      <c r="V7366" s="25"/>
      <c r="W7366" s="25"/>
      <c r="X7366" s="25"/>
      <c r="Y7366" s="25"/>
      <c r="Z7366" s="25"/>
      <c r="AA7366" s="25"/>
    </row>
    <row r="7367" spans="1:27" x14ac:dyDescent="0.35">
      <c r="A7367" s="5">
        <v>7363</v>
      </c>
      <c r="B7367" s="5">
        <v>307</v>
      </c>
      <c r="C7367" s="5">
        <v>11</v>
      </c>
      <c r="D7367" s="25">
        <v>1.1416E-4</v>
      </c>
      <c r="E7367" s="25">
        <v>1.1811000000000001E-4</v>
      </c>
      <c r="F7367" s="25">
        <v>1.2819E-4</v>
      </c>
      <c r="G7367" s="25">
        <v>1.0843E-4</v>
      </c>
      <c r="H7367" s="25">
        <v>8.0129999999999993E-5</v>
      </c>
      <c r="I7367" s="9">
        <v>1.3927000000000001E-4</v>
      </c>
      <c r="J7367" s="9">
        <v>1.4517999999999999E-4</v>
      </c>
      <c r="K7367" s="9">
        <v>0</v>
      </c>
      <c r="L7367" s="9">
        <v>1.4012000000000001E-4</v>
      </c>
      <c r="M7367" s="9">
        <v>1.2657E-4</v>
      </c>
      <c r="N7367" s="9">
        <v>1.2983999999999999E-4</v>
      </c>
      <c r="O7367" s="9">
        <v>1.4228E-4</v>
      </c>
      <c r="P7367" s="9">
        <v>1.2400000000000001E-4</v>
      </c>
      <c r="Q7367" s="9">
        <v>1.0733E-4</v>
      </c>
      <c r="R7367" s="10">
        <v>3.328445073724841E-5</v>
      </c>
      <c r="S7367" s="10">
        <v>5.2015216971200605E-5</v>
      </c>
      <c r="T7367" s="10">
        <v>0</v>
      </c>
      <c r="U7367" s="10">
        <v>8.3049999999999999E-5</v>
      </c>
      <c r="V7367" s="25"/>
      <c r="W7367" s="25"/>
      <c r="X7367" s="25"/>
      <c r="Y7367" s="25"/>
      <c r="Z7367" s="25"/>
      <c r="AA7367" s="25"/>
    </row>
    <row r="7368" spans="1:27" x14ac:dyDescent="0.35">
      <c r="A7368" s="5">
        <v>7364</v>
      </c>
      <c r="B7368" s="5">
        <v>307</v>
      </c>
      <c r="C7368" s="5">
        <v>11</v>
      </c>
      <c r="D7368" s="25">
        <v>1.1415000000000001E-4</v>
      </c>
      <c r="E7368" s="25">
        <v>1.1908000000000001E-4</v>
      </c>
      <c r="F7368" s="25">
        <v>1.3331000000000001E-4</v>
      </c>
      <c r="G7368" s="25">
        <v>1.0739999999999999E-4</v>
      </c>
      <c r="H7368" s="25">
        <v>7.5140000000000002E-5</v>
      </c>
      <c r="I7368" s="9">
        <v>1.3386E-4</v>
      </c>
      <c r="J7368" s="9">
        <v>1.3987E-4</v>
      </c>
      <c r="K7368" s="9">
        <v>0</v>
      </c>
      <c r="L7368" s="9">
        <v>1.418E-4</v>
      </c>
      <c r="M7368" s="9">
        <v>1.2557000000000001E-4</v>
      </c>
      <c r="N7368" s="9">
        <v>1.2086E-4</v>
      </c>
      <c r="O7368" s="9">
        <v>1.4360999999999999E-4</v>
      </c>
      <c r="P7368" s="9">
        <v>1.2162E-4</v>
      </c>
      <c r="Q7368" s="9">
        <v>1.0132999999999999E-4</v>
      </c>
      <c r="R7368" s="10">
        <v>4.2715444205691239E-5</v>
      </c>
      <c r="S7368" s="10">
        <v>6.1415848891985779E-5</v>
      </c>
      <c r="T7368" s="10">
        <v>0</v>
      </c>
      <c r="U7368" s="10">
        <v>8.3049999999999999E-5</v>
      </c>
      <c r="V7368" s="25"/>
      <c r="W7368" s="25"/>
      <c r="X7368" s="25"/>
      <c r="Y7368" s="25"/>
      <c r="Z7368" s="25"/>
      <c r="AA7368" s="25"/>
    </row>
    <row r="7369" spans="1:27" x14ac:dyDescent="0.35">
      <c r="A7369" s="5">
        <v>7365</v>
      </c>
      <c r="B7369" s="5">
        <v>307</v>
      </c>
      <c r="C7369" s="5">
        <v>11</v>
      </c>
      <c r="D7369" s="25">
        <v>1.1416E-4</v>
      </c>
      <c r="E7369" s="25">
        <v>1.0951E-4</v>
      </c>
      <c r="F7369" s="25">
        <v>1.3113E-4</v>
      </c>
      <c r="G7369" s="25">
        <v>5.3850000000000001E-5</v>
      </c>
      <c r="H7369" s="25">
        <v>3.9780000000000002E-5</v>
      </c>
      <c r="I7369" s="9">
        <v>1.2718000000000001E-4</v>
      </c>
      <c r="J7369" s="9">
        <v>1.3281E-4</v>
      </c>
      <c r="K7369" s="9">
        <v>0</v>
      </c>
      <c r="L7369" s="9">
        <v>1.4318999999999999E-4</v>
      </c>
      <c r="M7369" s="9">
        <v>1.2394000000000001E-4</v>
      </c>
      <c r="N7369" s="9">
        <v>1.1307E-4</v>
      </c>
      <c r="O7369" s="9">
        <v>8.4339999999999995E-5</v>
      </c>
      <c r="P7369" s="9">
        <v>8.5909999999999996E-5</v>
      </c>
      <c r="Q7369" s="9">
        <v>8.7899999999999995E-5</v>
      </c>
      <c r="R7369" s="10">
        <v>5.58167792929275E-5</v>
      </c>
      <c r="S7369" s="10">
        <v>6.7662048367370795E-5</v>
      </c>
      <c r="T7369" s="10">
        <v>0</v>
      </c>
      <c r="U7369" s="10">
        <v>8.3049999999999999E-5</v>
      </c>
      <c r="V7369" s="25"/>
      <c r="W7369" s="25"/>
      <c r="X7369" s="25"/>
      <c r="Y7369" s="25"/>
      <c r="Z7369" s="25"/>
      <c r="AA7369" s="25"/>
    </row>
    <row r="7370" spans="1:27" x14ac:dyDescent="0.35">
      <c r="A7370" s="5">
        <v>7366</v>
      </c>
      <c r="B7370" s="5">
        <v>307</v>
      </c>
      <c r="C7370" s="5">
        <v>11</v>
      </c>
      <c r="D7370" s="25">
        <v>1.1415000000000001E-4</v>
      </c>
      <c r="E7370" s="25">
        <v>1.1917E-4</v>
      </c>
      <c r="F7370" s="25">
        <v>1.3075000000000001E-4</v>
      </c>
      <c r="G7370" s="25">
        <v>5.3749999999999999E-5</v>
      </c>
      <c r="H7370" s="25">
        <v>4.2870000000000001E-5</v>
      </c>
      <c r="I7370" s="9">
        <v>1.2042E-4</v>
      </c>
      <c r="J7370" s="9">
        <v>1.2542E-4</v>
      </c>
      <c r="K7370" s="9">
        <v>0</v>
      </c>
      <c r="L7370" s="9">
        <v>9.7260000000000001E-5</v>
      </c>
      <c r="M7370" s="9">
        <v>1.0978E-4</v>
      </c>
      <c r="N7370" s="9">
        <v>1.0538E-4</v>
      </c>
      <c r="O7370" s="9">
        <v>8.7600000000000002E-5</v>
      </c>
      <c r="P7370" s="9">
        <v>8.7769999999999995E-5</v>
      </c>
      <c r="Q7370" s="9">
        <v>8.8419999999999997E-5</v>
      </c>
      <c r="R7370" s="10">
        <v>6.8157794539619297E-5</v>
      </c>
      <c r="S7370" s="10">
        <v>7.2574349041037826E-5</v>
      </c>
      <c r="T7370" s="10">
        <v>0</v>
      </c>
      <c r="U7370" s="10">
        <v>8.3049999999999999E-5</v>
      </c>
      <c r="V7370" s="25"/>
      <c r="W7370" s="25"/>
      <c r="X7370" s="25"/>
      <c r="Y7370" s="25"/>
      <c r="Z7370" s="25"/>
      <c r="AA7370" s="25"/>
    </row>
    <row r="7371" spans="1:27" x14ac:dyDescent="0.35">
      <c r="A7371" s="5">
        <v>7367</v>
      </c>
      <c r="B7371" s="5">
        <v>307</v>
      </c>
      <c r="C7371" s="5">
        <v>11</v>
      </c>
      <c r="D7371" s="25">
        <v>1.1416E-4</v>
      </c>
      <c r="E7371" s="25">
        <v>1.1194E-4</v>
      </c>
      <c r="F7371" s="25">
        <v>1.3929E-4</v>
      </c>
      <c r="G7371" s="25">
        <v>5.3999999999999998E-5</v>
      </c>
      <c r="H7371" s="25">
        <v>4.3000000000000002E-5</v>
      </c>
      <c r="I7371" s="9">
        <v>1.2116E-4</v>
      </c>
      <c r="J7371" s="9">
        <v>1.1607000000000001E-4</v>
      </c>
      <c r="K7371" s="9">
        <v>0</v>
      </c>
      <c r="L7371" s="9">
        <v>9.1009999999999998E-5</v>
      </c>
      <c r="M7371" s="9">
        <v>9.8049999999999998E-5</v>
      </c>
      <c r="N7371" s="9">
        <v>9.9649999999999996E-5</v>
      </c>
      <c r="O7371" s="9">
        <v>8.5359999999999996E-5</v>
      </c>
      <c r="P7371" s="9">
        <v>7.6080000000000003E-5</v>
      </c>
      <c r="Q7371" s="9">
        <v>6.7399999999999998E-5</v>
      </c>
      <c r="R7371" s="10">
        <v>8.3755745185331261E-5</v>
      </c>
      <c r="S7371" s="10">
        <v>8.1996633402416121E-5</v>
      </c>
      <c r="T7371" s="10">
        <v>0</v>
      </c>
      <c r="U7371" s="10">
        <v>8.3049999999999999E-5</v>
      </c>
      <c r="V7371" s="25"/>
      <c r="W7371" s="25"/>
      <c r="X7371" s="25"/>
      <c r="Y7371" s="25"/>
      <c r="Z7371" s="25"/>
      <c r="AA7371" s="25"/>
    </row>
    <row r="7372" spans="1:27" x14ac:dyDescent="0.35">
      <c r="A7372" s="5">
        <v>7368</v>
      </c>
      <c r="B7372" s="5">
        <v>307</v>
      </c>
      <c r="C7372" s="5">
        <v>11</v>
      </c>
      <c r="D7372" s="25">
        <v>1.1415000000000001E-4</v>
      </c>
      <c r="E7372" s="25">
        <v>1.1362E-4</v>
      </c>
      <c r="F7372" s="25">
        <v>1.4155999999999999E-4</v>
      </c>
      <c r="G7372" s="25">
        <v>5.2590000000000003E-5</v>
      </c>
      <c r="H7372" s="25">
        <v>3.8279999999999999E-5</v>
      </c>
      <c r="I7372" s="9">
        <v>1.1790000000000001E-4</v>
      </c>
      <c r="J7372" s="9">
        <v>1.0789999999999999E-4</v>
      </c>
      <c r="K7372" s="9">
        <v>1.272E-5</v>
      </c>
      <c r="L7372" s="9">
        <v>8.6810000000000004E-5</v>
      </c>
      <c r="M7372" s="9">
        <v>8.7410000000000005E-5</v>
      </c>
      <c r="N7372" s="9">
        <v>9.0530000000000002E-5</v>
      </c>
      <c r="O7372" s="9">
        <v>7.8850000000000006E-5</v>
      </c>
      <c r="P7372" s="9">
        <v>6.847E-5</v>
      </c>
      <c r="Q7372" s="9">
        <v>5.8610000000000003E-5</v>
      </c>
      <c r="R7372" s="10">
        <v>7.7578179291132554E-5</v>
      </c>
      <c r="S7372" s="10">
        <v>6.983268556913528E-5</v>
      </c>
      <c r="T7372" s="10">
        <v>0</v>
      </c>
      <c r="U7372" s="10">
        <v>8.3049999999999999E-5</v>
      </c>
      <c r="V7372" s="25"/>
      <c r="W7372" s="25"/>
      <c r="X7372" s="25"/>
      <c r="Y7372" s="25"/>
      <c r="Z7372" s="25"/>
      <c r="AA7372" s="25"/>
    </row>
    <row r="7373" spans="1:27" x14ac:dyDescent="0.35">
      <c r="A7373" s="5">
        <v>7369</v>
      </c>
      <c r="B7373" s="5">
        <v>308</v>
      </c>
      <c r="C7373" s="5">
        <v>11</v>
      </c>
      <c r="D7373" s="25">
        <v>1.1416E-4</v>
      </c>
      <c r="E7373" s="25">
        <v>1.2065000000000001E-4</v>
      </c>
      <c r="F7373" s="25">
        <v>1.1412E-4</v>
      </c>
      <c r="G7373" s="25">
        <v>6.3009999999999995E-5</v>
      </c>
      <c r="H7373" s="25">
        <v>1.362E-5</v>
      </c>
      <c r="I7373" s="9">
        <v>1.0936E-4</v>
      </c>
      <c r="J7373" s="9">
        <v>1.0049E-4</v>
      </c>
      <c r="K7373" s="9">
        <v>2.968E-5</v>
      </c>
      <c r="L7373" s="9">
        <v>8.038E-5</v>
      </c>
      <c r="M7373" s="9">
        <v>7.8189999999999995E-5</v>
      </c>
      <c r="N7373" s="9">
        <v>8.1100000000000006E-5</v>
      </c>
      <c r="O7373" s="9">
        <v>6.8479999999999995E-5</v>
      </c>
      <c r="P7373" s="9">
        <v>6.0970000000000001E-5</v>
      </c>
      <c r="Q7373" s="9">
        <v>5.3770000000000002E-5</v>
      </c>
      <c r="R7373" s="10">
        <v>1.0180161916728127E-4</v>
      </c>
      <c r="S7373" s="10">
        <v>8.1293028847769343E-5</v>
      </c>
      <c r="T7373" s="10">
        <v>0</v>
      </c>
      <c r="U7373" s="10">
        <v>8.7819999999999996E-5</v>
      </c>
      <c r="V7373" s="25"/>
      <c r="W7373" s="25"/>
      <c r="X7373" s="25"/>
      <c r="Y7373" s="25"/>
      <c r="Z7373" s="25"/>
      <c r="AA7373" s="25"/>
    </row>
    <row r="7374" spans="1:27" x14ac:dyDescent="0.35">
      <c r="A7374" s="5">
        <v>7370</v>
      </c>
      <c r="B7374" s="5">
        <v>308</v>
      </c>
      <c r="C7374" s="5">
        <v>11</v>
      </c>
      <c r="D7374" s="25">
        <v>1.1415000000000001E-4</v>
      </c>
      <c r="E7374" s="25">
        <v>1.2025E-4</v>
      </c>
      <c r="F7374" s="25">
        <v>1.0783E-4</v>
      </c>
      <c r="G7374" s="25">
        <v>5.5829999999999999E-5</v>
      </c>
      <c r="H7374" s="25">
        <v>1.411E-5</v>
      </c>
      <c r="I7374" s="9">
        <v>1.0302E-4</v>
      </c>
      <c r="J7374" s="9">
        <v>9.6089999999999996E-5</v>
      </c>
      <c r="K7374" s="9">
        <v>1.908E-5</v>
      </c>
      <c r="L7374" s="9">
        <v>7.1260000000000006E-5</v>
      </c>
      <c r="M7374" s="9">
        <v>6.9820000000000006E-5</v>
      </c>
      <c r="N7374" s="9">
        <v>7.2109999999999999E-5</v>
      </c>
      <c r="O7374" s="9">
        <v>3.4770000000000001E-5</v>
      </c>
      <c r="P7374" s="9">
        <v>4.5529999999999999E-5</v>
      </c>
      <c r="Q7374" s="9">
        <v>5.5810000000000003E-5</v>
      </c>
      <c r="R7374" s="10">
        <v>1.1397069688324318E-4</v>
      </c>
      <c r="S7374" s="10">
        <v>9.2316166673939273E-5</v>
      </c>
      <c r="T7374" s="10">
        <v>0</v>
      </c>
      <c r="U7374" s="10">
        <v>8.7819999999999996E-5</v>
      </c>
      <c r="V7374" s="25"/>
      <c r="W7374" s="25"/>
      <c r="X7374" s="25"/>
      <c r="Y7374" s="25"/>
      <c r="Z7374" s="25"/>
      <c r="AA7374" s="25"/>
    </row>
    <row r="7375" spans="1:27" x14ac:dyDescent="0.35">
      <c r="A7375" s="5">
        <v>7371</v>
      </c>
      <c r="B7375" s="5">
        <v>308</v>
      </c>
      <c r="C7375" s="5">
        <v>11</v>
      </c>
      <c r="D7375" s="25">
        <v>1.1416E-4</v>
      </c>
      <c r="E7375" s="25">
        <v>1.1755E-4</v>
      </c>
      <c r="F7375" s="25">
        <v>1.0983E-4</v>
      </c>
      <c r="G7375" s="25">
        <v>5.6589999999999999E-5</v>
      </c>
      <c r="H7375" s="25">
        <v>1.342E-5</v>
      </c>
      <c r="I7375" s="9">
        <v>1.0017E-4</v>
      </c>
      <c r="J7375" s="9">
        <v>9.4010000000000003E-5</v>
      </c>
      <c r="K7375" s="9">
        <v>2.9669999999999999E-5</v>
      </c>
      <c r="L7375" s="9">
        <v>4.3050000000000003E-5</v>
      </c>
      <c r="M7375" s="9">
        <v>5.91E-5</v>
      </c>
      <c r="N7375" s="9">
        <v>6.5489999999999998E-5</v>
      </c>
      <c r="O7375" s="9">
        <v>2.194E-5</v>
      </c>
      <c r="P7375" s="9">
        <v>4.2429999999999999E-5</v>
      </c>
      <c r="Q7375" s="9">
        <v>6.2069999999999994E-5</v>
      </c>
      <c r="R7375" s="10">
        <v>1.1377799686029668E-4</v>
      </c>
      <c r="S7375" s="10">
        <v>9.3405992449022639E-5</v>
      </c>
      <c r="T7375" s="10">
        <v>0</v>
      </c>
      <c r="U7375" s="10">
        <v>8.7819999999999996E-5</v>
      </c>
      <c r="V7375" s="25"/>
      <c r="W7375" s="25"/>
      <c r="X7375" s="25"/>
      <c r="Y7375" s="25"/>
      <c r="Z7375" s="25"/>
      <c r="AA7375" s="25"/>
    </row>
    <row r="7376" spans="1:27" x14ac:dyDescent="0.35">
      <c r="A7376" s="5">
        <v>7372</v>
      </c>
      <c r="B7376" s="5">
        <v>308</v>
      </c>
      <c r="C7376" s="5">
        <v>11</v>
      </c>
      <c r="D7376" s="25">
        <v>1.1415000000000001E-4</v>
      </c>
      <c r="E7376" s="25">
        <v>1.2057000000000001E-4</v>
      </c>
      <c r="F7376" s="25">
        <v>1.1294999999999999E-4</v>
      </c>
      <c r="G7376" s="25">
        <v>5.2490000000000001E-5</v>
      </c>
      <c r="H7376" s="25">
        <v>1.4919999999999999E-5</v>
      </c>
      <c r="I7376" s="9">
        <v>9.8800000000000003E-5</v>
      </c>
      <c r="J7376" s="9">
        <v>9.3159999999999996E-5</v>
      </c>
      <c r="K7376" s="9">
        <v>2.5429999999999999E-5</v>
      </c>
      <c r="L7376" s="9">
        <v>2.7330000000000001E-5</v>
      </c>
      <c r="M7376" s="9">
        <v>5.0519999999999997E-5</v>
      </c>
      <c r="N7376" s="9">
        <v>6.2009999999999998E-5</v>
      </c>
      <c r="O7376" s="9">
        <v>2.139E-5</v>
      </c>
      <c r="P7376" s="9">
        <v>5.168E-5</v>
      </c>
      <c r="Q7376" s="9">
        <v>8.0959999999999997E-5</v>
      </c>
      <c r="R7376" s="10">
        <v>1.2075274109362704E-4</v>
      </c>
      <c r="S7376" s="10">
        <v>9.1422676709092848E-5</v>
      </c>
      <c r="T7376" s="10">
        <v>0</v>
      </c>
      <c r="U7376" s="10">
        <v>8.7819999999999996E-5</v>
      </c>
      <c r="V7376" s="25"/>
      <c r="W7376" s="25"/>
      <c r="X7376" s="25"/>
      <c r="Y7376" s="25"/>
      <c r="Z7376" s="25"/>
      <c r="AA7376" s="25"/>
    </row>
    <row r="7377" spans="1:27" x14ac:dyDescent="0.35">
      <c r="A7377" s="5">
        <v>7373</v>
      </c>
      <c r="B7377" s="5">
        <v>308</v>
      </c>
      <c r="C7377" s="5">
        <v>11</v>
      </c>
      <c r="D7377" s="25">
        <v>1.1416E-4</v>
      </c>
      <c r="E7377" s="25">
        <v>1.2331000000000001E-4</v>
      </c>
      <c r="F7377" s="25">
        <v>1.2515000000000001E-4</v>
      </c>
      <c r="G7377" s="25">
        <v>5.4849999999999998E-5</v>
      </c>
      <c r="H7377" s="25">
        <v>1.47E-5</v>
      </c>
      <c r="I7377" s="9">
        <v>1.008E-4</v>
      </c>
      <c r="J7377" s="9">
        <v>9.3770000000000005E-5</v>
      </c>
      <c r="K7377" s="9">
        <v>2.756E-5</v>
      </c>
      <c r="L7377" s="9">
        <v>2.3079999999999999E-5</v>
      </c>
      <c r="M7377" s="9">
        <v>4.8949999999999997E-5</v>
      </c>
      <c r="N7377" s="9">
        <v>6.4659999999999994E-5</v>
      </c>
      <c r="O7377" s="9">
        <v>2.321E-5</v>
      </c>
      <c r="P7377" s="9">
        <v>5.9110000000000002E-5</v>
      </c>
      <c r="Q7377" s="9">
        <v>9.3939999999999998E-5</v>
      </c>
      <c r="R7377" s="10">
        <v>1.3094867694139433E-4</v>
      </c>
      <c r="S7377" s="10">
        <v>8.1919395670902671E-5</v>
      </c>
      <c r="T7377" s="10">
        <v>0</v>
      </c>
      <c r="U7377" s="10">
        <v>8.7819999999999996E-5</v>
      </c>
      <c r="V7377" s="25"/>
      <c r="W7377" s="25"/>
      <c r="X7377" s="25"/>
      <c r="Y7377" s="25"/>
      <c r="Z7377" s="25"/>
      <c r="AA7377" s="25"/>
    </row>
    <row r="7378" spans="1:27" x14ac:dyDescent="0.35">
      <c r="A7378" s="5">
        <v>7374</v>
      </c>
      <c r="B7378" s="5">
        <v>308</v>
      </c>
      <c r="C7378" s="5">
        <v>11</v>
      </c>
      <c r="D7378" s="25">
        <v>1.1415000000000001E-4</v>
      </c>
      <c r="E7378" s="25">
        <v>1.2265999999999999E-4</v>
      </c>
      <c r="F7378" s="25">
        <v>1.1289E-4</v>
      </c>
      <c r="G7378" s="25">
        <v>1.1198E-4</v>
      </c>
      <c r="H7378" s="25">
        <v>2.7500000000000001E-5</v>
      </c>
      <c r="I7378" s="9">
        <v>1.0627E-4</v>
      </c>
      <c r="J7378" s="9">
        <v>9.7769999999999994E-5</v>
      </c>
      <c r="K7378" s="9">
        <v>3.1789999999999999E-5</v>
      </c>
      <c r="L7378" s="9">
        <v>2.3110000000000001E-5</v>
      </c>
      <c r="M7378" s="9">
        <v>5.2549999999999997E-5</v>
      </c>
      <c r="N7378" s="9">
        <v>7.127E-5</v>
      </c>
      <c r="O7378" s="9">
        <v>2.97E-5</v>
      </c>
      <c r="P7378" s="9">
        <v>6.9250000000000003E-5</v>
      </c>
      <c r="Q7378" s="9">
        <v>1.0778E-4</v>
      </c>
      <c r="R7378" s="10">
        <v>1.3653022093838057E-4</v>
      </c>
      <c r="S7378" s="10">
        <v>6.6515884251520607E-5</v>
      </c>
      <c r="T7378" s="10">
        <v>0</v>
      </c>
      <c r="U7378" s="10">
        <v>8.7819999999999996E-5</v>
      </c>
      <c r="V7378" s="25"/>
      <c r="W7378" s="25"/>
      <c r="X7378" s="25"/>
      <c r="Y7378" s="25"/>
      <c r="Z7378" s="25"/>
      <c r="AA7378" s="25"/>
    </row>
    <row r="7379" spans="1:27" x14ac:dyDescent="0.35">
      <c r="A7379" s="5">
        <v>7375</v>
      </c>
      <c r="B7379" s="5">
        <v>308</v>
      </c>
      <c r="C7379" s="5">
        <v>11</v>
      </c>
      <c r="D7379" s="25">
        <v>1.1416E-4</v>
      </c>
      <c r="E7379" s="25">
        <v>1.1424E-4</v>
      </c>
      <c r="F7379" s="25">
        <v>1.2208999999999999E-4</v>
      </c>
      <c r="G7379" s="25">
        <v>1.1124999999999999E-4</v>
      </c>
      <c r="H7379" s="25">
        <v>2.849E-5</v>
      </c>
      <c r="I7379" s="9">
        <v>1.1797E-4</v>
      </c>
      <c r="J7379" s="9">
        <v>1.1059E-4</v>
      </c>
      <c r="K7379" s="9">
        <v>3.3909999999999999E-5</v>
      </c>
      <c r="L7379" s="9">
        <v>2.815E-5</v>
      </c>
      <c r="M7379" s="9">
        <v>5.9630000000000003E-5</v>
      </c>
      <c r="N7379" s="9">
        <v>8.1110000000000001E-5</v>
      </c>
      <c r="O7379" s="9">
        <v>4.5970000000000002E-5</v>
      </c>
      <c r="P7379" s="9">
        <v>7.941E-5</v>
      </c>
      <c r="Q7379" s="9">
        <v>1.1216E-4</v>
      </c>
      <c r="R7379" s="10">
        <v>1.3970833501216593E-4</v>
      </c>
      <c r="S7379" s="10">
        <v>5.261784741959786E-5</v>
      </c>
      <c r="T7379" s="10">
        <v>0</v>
      </c>
      <c r="U7379" s="10">
        <v>8.7819999999999996E-5</v>
      </c>
      <c r="V7379" s="25"/>
      <c r="W7379" s="25"/>
      <c r="X7379" s="25"/>
      <c r="Y7379" s="25"/>
      <c r="Z7379" s="25"/>
      <c r="AA7379" s="25"/>
    </row>
    <row r="7380" spans="1:27" x14ac:dyDescent="0.35">
      <c r="A7380" s="5">
        <v>7376</v>
      </c>
      <c r="B7380" s="5">
        <v>308</v>
      </c>
      <c r="C7380" s="5">
        <v>11</v>
      </c>
      <c r="D7380" s="25">
        <v>1.1415000000000001E-4</v>
      </c>
      <c r="E7380" s="25">
        <v>1.1956E-4</v>
      </c>
      <c r="F7380" s="25">
        <v>1.2955E-4</v>
      </c>
      <c r="G7380" s="25">
        <v>1.6165E-4</v>
      </c>
      <c r="H7380" s="25">
        <v>4.0380000000000003E-5</v>
      </c>
      <c r="I7380" s="9">
        <v>1.2664999999999999E-4</v>
      </c>
      <c r="J7380" s="9">
        <v>1.2784999999999999E-4</v>
      </c>
      <c r="K7380" s="9">
        <v>3.6029999999999999E-5</v>
      </c>
      <c r="L7380" s="9">
        <v>4.1900000000000002E-5</v>
      </c>
      <c r="M7380" s="9">
        <v>6.8529999999999996E-5</v>
      </c>
      <c r="N7380" s="9">
        <v>9.111E-5</v>
      </c>
      <c r="O7380" s="9">
        <v>6.7570000000000005E-5</v>
      </c>
      <c r="P7380" s="9">
        <v>1.0161E-4</v>
      </c>
      <c r="Q7380" s="9">
        <v>1.3530000000000001E-4</v>
      </c>
      <c r="R7380" s="10">
        <v>1.3972507336372031E-4</v>
      </c>
      <c r="S7380" s="10">
        <v>3.7614141526378855E-5</v>
      </c>
      <c r="T7380" s="10">
        <v>4.1657909809199759E-6</v>
      </c>
      <c r="U7380" s="10">
        <v>8.7819999999999996E-5</v>
      </c>
      <c r="V7380" s="25"/>
      <c r="W7380" s="25"/>
      <c r="X7380" s="25"/>
      <c r="Y7380" s="25"/>
      <c r="Z7380" s="25"/>
      <c r="AA7380" s="25"/>
    </row>
    <row r="7381" spans="1:27" x14ac:dyDescent="0.35">
      <c r="A7381" s="5">
        <v>7377</v>
      </c>
      <c r="B7381" s="5">
        <v>308</v>
      </c>
      <c r="C7381" s="5">
        <v>11</v>
      </c>
      <c r="D7381" s="25">
        <v>1.1416E-4</v>
      </c>
      <c r="E7381" s="25">
        <v>1.1251000000000001E-4</v>
      </c>
      <c r="F7381" s="25">
        <v>1.2240999999999999E-4</v>
      </c>
      <c r="G7381" s="25">
        <v>1.6123999999999999E-4</v>
      </c>
      <c r="H7381" s="25">
        <v>3.9730000000000001E-5</v>
      </c>
      <c r="I7381" s="9">
        <v>1.3061999999999999E-4</v>
      </c>
      <c r="J7381" s="9">
        <v>1.3584E-4</v>
      </c>
      <c r="K7381" s="9">
        <v>2.332E-5</v>
      </c>
      <c r="L7381" s="9">
        <v>6.1550000000000005E-5</v>
      </c>
      <c r="M7381" s="9">
        <v>8.2639999999999995E-5</v>
      </c>
      <c r="N7381" s="9">
        <v>1.0448E-4</v>
      </c>
      <c r="O7381" s="9">
        <v>9.9759999999999994E-5</v>
      </c>
      <c r="P7381" s="9">
        <v>1.3800999999999999E-4</v>
      </c>
      <c r="Q7381" s="9">
        <v>1.7632999999999999E-4</v>
      </c>
      <c r="R7381" s="10">
        <v>1.505129098271238E-4</v>
      </c>
      <c r="S7381" s="10">
        <v>3.5968794726648346E-5</v>
      </c>
      <c r="T7381" s="10">
        <v>5.1024576291757097E-5</v>
      </c>
      <c r="U7381" s="10">
        <v>8.7819999999999996E-5</v>
      </c>
      <c r="V7381" s="25"/>
      <c r="W7381" s="25"/>
      <c r="X7381" s="25"/>
      <c r="Y7381" s="25"/>
      <c r="Z7381" s="25"/>
      <c r="AA7381" s="25"/>
    </row>
    <row r="7382" spans="1:27" x14ac:dyDescent="0.35">
      <c r="A7382" s="5">
        <v>7378</v>
      </c>
      <c r="B7382" s="5">
        <v>308</v>
      </c>
      <c r="C7382" s="5">
        <v>11</v>
      </c>
      <c r="D7382" s="25">
        <v>1.1415000000000001E-4</v>
      </c>
      <c r="E7382" s="25">
        <v>1.1599000000000001E-4</v>
      </c>
      <c r="F7382" s="25">
        <v>1.2579E-4</v>
      </c>
      <c r="G7382" s="25">
        <v>1.6363E-4</v>
      </c>
      <c r="H7382" s="25">
        <v>4.0779999999999999E-5</v>
      </c>
      <c r="I7382" s="9">
        <v>1.3418999999999999E-4</v>
      </c>
      <c r="J7382" s="9">
        <v>1.3905999999999999E-4</v>
      </c>
      <c r="K7382" s="9">
        <v>0</v>
      </c>
      <c r="L7382" s="9">
        <v>9.0840000000000004E-5</v>
      </c>
      <c r="M7382" s="9">
        <v>1.0613E-4</v>
      </c>
      <c r="N7382" s="9">
        <v>1.2431000000000001E-4</v>
      </c>
      <c r="O7382" s="9">
        <v>1.2959000000000001E-4</v>
      </c>
      <c r="P7382" s="9">
        <v>1.5589999999999999E-4</v>
      </c>
      <c r="Q7382" s="9">
        <v>1.8291999999999999E-4</v>
      </c>
      <c r="R7382" s="10">
        <v>1.6270823582877707E-4</v>
      </c>
      <c r="S7382" s="10">
        <v>4.5707272040204221E-5</v>
      </c>
      <c r="T7382" s="10">
        <v>8.0541453730902907E-5</v>
      </c>
      <c r="U7382" s="10">
        <v>8.7819999999999996E-5</v>
      </c>
      <c r="V7382" s="25"/>
      <c r="W7382" s="25"/>
      <c r="X7382" s="25"/>
      <c r="Y7382" s="25"/>
      <c r="Z7382" s="25"/>
      <c r="AA7382" s="25"/>
    </row>
    <row r="7383" spans="1:27" x14ac:dyDescent="0.35">
      <c r="A7383" s="5">
        <v>7379</v>
      </c>
      <c r="B7383" s="5">
        <v>308</v>
      </c>
      <c r="C7383" s="5">
        <v>11</v>
      </c>
      <c r="D7383" s="25">
        <v>1.1416E-4</v>
      </c>
      <c r="E7383" s="25">
        <v>1.2019999999999999E-4</v>
      </c>
      <c r="F7383" s="25">
        <v>1.1836999999999999E-4</v>
      </c>
      <c r="G7383" s="25">
        <v>1.5956E-4</v>
      </c>
      <c r="H7383" s="25">
        <v>4.1470000000000001E-5</v>
      </c>
      <c r="I7383" s="9">
        <v>1.3355999999999999E-4</v>
      </c>
      <c r="J7383" s="9">
        <v>1.3855000000000001E-4</v>
      </c>
      <c r="K7383" s="9">
        <v>1.696E-5</v>
      </c>
      <c r="L7383" s="9">
        <v>1.2034E-4</v>
      </c>
      <c r="M7383" s="9">
        <v>1.2998999999999999E-4</v>
      </c>
      <c r="N7383" s="9">
        <v>1.4254E-4</v>
      </c>
      <c r="O7383" s="9">
        <v>1.3716999999999999E-4</v>
      </c>
      <c r="P7383" s="9">
        <v>1.5775000000000001E-4</v>
      </c>
      <c r="Q7383" s="9">
        <v>1.7924999999999999E-4</v>
      </c>
      <c r="R7383" s="10">
        <v>1.6065957103147323E-4</v>
      </c>
      <c r="S7383" s="10">
        <v>6.3205657549076714E-5</v>
      </c>
      <c r="T7383" s="10">
        <v>2.9601720432647239E-4</v>
      </c>
      <c r="U7383" s="10">
        <v>8.7819999999999996E-5</v>
      </c>
      <c r="V7383" s="25"/>
      <c r="W7383" s="25"/>
      <c r="X7383" s="25"/>
      <c r="Y7383" s="25"/>
      <c r="Z7383" s="25"/>
      <c r="AA7383" s="25"/>
    </row>
    <row r="7384" spans="1:27" x14ac:dyDescent="0.35">
      <c r="A7384" s="5">
        <v>7380</v>
      </c>
      <c r="B7384" s="5">
        <v>308</v>
      </c>
      <c r="C7384" s="5">
        <v>11</v>
      </c>
      <c r="D7384" s="25">
        <v>1.1415000000000001E-4</v>
      </c>
      <c r="E7384" s="25">
        <v>1.1762E-4</v>
      </c>
      <c r="F7384" s="25">
        <v>1.1386E-4</v>
      </c>
      <c r="G7384" s="25">
        <v>1.5878999999999999E-4</v>
      </c>
      <c r="H7384" s="25">
        <v>4.0080000000000003E-5</v>
      </c>
      <c r="I7384" s="9">
        <v>1.3322E-4</v>
      </c>
      <c r="J7384" s="9">
        <v>1.3807000000000001E-4</v>
      </c>
      <c r="K7384" s="9">
        <v>2.5429999999999999E-5</v>
      </c>
      <c r="L7384" s="9">
        <v>1.3276999999999999E-4</v>
      </c>
      <c r="M7384" s="9">
        <v>1.4566000000000001E-4</v>
      </c>
      <c r="N7384" s="9">
        <v>1.5655000000000001E-4</v>
      </c>
      <c r="O7384" s="9">
        <v>1.3735E-4</v>
      </c>
      <c r="P7384" s="9">
        <v>1.5437E-4</v>
      </c>
      <c r="Q7384" s="9">
        <v>1.7238999999999999E-4</v>
      </c>
      <c r="R7384" s="10">
        <v>1.0661827147508288E-4</v>
      </c>
      <c r="S7384" s="10">
        <v>8.4752643478332417E-5</v>
      </c>
      <c r="T7384" s="10">
        <v>1.2407439369648416E-4</v>
      </c>
      <c r="U7384" s="10">
        <v>8.7819999999999996E-5</v>
      </c>
      <c r="V7384" s="25"/>
      <c r="W7384" s="25"/>
      <c r="X7384" s="25"/>
      <c r="Y7384" s="25"/>
      <c r="Z7384" s="25"/>
      <c r="AA7384" s="25"/>
    </row>
    <row r="7385" spans="1:27" x14ac:dyDescent="0.35">
      <c r="A7385" s="5">
        <v>7381</v>
      </c>
      <c r="B7385" s="5">
        <v>308</v>
      </c>
      <c r="C7385" s="5">
        <v>11</v>
      </c>
      <c r="D7385" s="25">
        <v>1.1416E-4</v>
      </c>
      <c r="E7385" s="25">
        <v>1.1708E-4</v>
      </c>
      <c r="F7385" s="25">
        <v>1.1462E-4</v>
      </c>
      <c r="G7385" s="25">
        <v>1.6145999999999999E-4</v>
      </c>
      <c r="H7385" s="25">
        <v>4.1310000000000003E-5</v>
      </c>
      <c r="I7385" s="9">
        <v>1.3093999999999999E-4</v>
      </c>
      <c r="J7385" s="9">
        <v>1.3704E-4</v>
      </c>
      <c r="K7385" s="9">
        <v>3.1789999999999999E-5</v>
      </c>
      <c r="L7385" s="9">
        <v>1.3617999999999999E-4</v>
      </c>
      <c r="M7385" s="9">
        <v>1.5213E-4</v>
      </c>
      <c r="N7385" s="9">
        <v>1.6567E-4</v>
      </c>
      <c r="O7385" s="9">
        <v>1.3002000000000001E-4</v>
      </c>
      <c r="P7385" s="9">
        <v>1.4803E-4</v>
      </c>
      <c r="Q7385" s="9">
        <v>1.6689E-4</v>
      </c>
      <c r="R7385" s="10">
        <v>1.0417097201277381E-4</v>
      </c>
      <c r="S7385" s="10">
        <v>9.895585718119445E-5</v>
      </c>
      <c r="T7385" s="10">
        <v>3.3877807305119071E-5</v>
      </c>
      <c r="U7385" s="10">
        <v>8.7819999999999996E-5</v>
      </c>
      <c r="V7385" s="25"/>
      <c r="W7385" s="25"/>
      <c r="X7385" s="25"/>
      <c r="Y7385" s="25"/>
      <c r="Z7385" s="25"/>
      <c r="AA7385" s="25"/>
    </row>
    <row r="7386" spans="1:27" x14ac:dyDescent="0.35">
      <c r="A7386" s="5">
        <v>7382</v>
      </c>
      <c r="B7386" s="5">
        <v>308</v>
      </c>
      <c r="C7386" s="5">
        <v>11</v>
      </c>
      <c r="D7386" s="25">
        <v>1.1415000000000001E-4</v>
      </c>
      <c r="E7386" s="25">
        <v>1.1411E-4</v>
      </c>
      <c r="F7386" s="25">
        <v>1.2611999999999999E-4</v>
      </c>
      <c r="G7386" s="25">
        <v>1.6506E-4</v>
      </c>
      <c r="H7386" s="25">
        <v>4.0250000000000003E-5</v>
      </c>
      <c r="I7386" s="9">
        <v>1.3086E-4</v>
      </c>
      <c r="J7386" s="9">
        <v>1.3851E-4</v>
      </c>
      <c r="K7386" s="9">
        <v>3.392E-5</v>
      </c>
      <c r="L7386" s="9">
        <v>1.3147000000000001E-4</v>
      </c>
      <c r="M7386" s="9">
        <v>1.5182999999999999E-4</v>
      </c>
      <c r="N7386" s="9">
        <v>1.6996000000000001E-4</v>
      </c>
      <c r="O7386" s="9">
        <v>1.1221E-4</v>
      </c>
      <c r="P7386" s="9">
        <v>1.3584E-4</v>
      </c>
      <c r="Q7386" s="9">
        <v>1.5997E-4</v>
      </c>
      <c r="R7386" s="10">
        <v>1.1010790114257676E-4</v>
      </c>
      <c r="S7386" s="10">
        <v>1.129351339441035E-4</v>
      </c>
      <c r="T7386" s="10">
        <v>7.6833814914890628E-5</v>
      </c>
      <c r="U7386" s="10">
        <v>8.7819999999999996E-5</v>
      </c>
      <c r="V7386" s="25"/>
      <c r="W7386" s="25"/>
      <c r="X7386" s="25"/>
      <c r="Y7386" s="25"/>
      <c r="Z7386" s="25"/>
      <c r="AA7386" s="25"/>
    </row>
    <row r="7387" spans="1:27" x14ac:dyDescent="0.35">
      <c r="A7387" s="5">
        <v>7383</v>
      </c>
      <c r="B7387" s="5">
        <v>308</v>
      </c>
      <c r="C7387" s="5">
        <v>11</v>
      </c>
      <c r="D7387" s="25">
        <v>1.1416E-4</v>
      </c>
      <c r="E7387" s="25">
        <v>1.2341000000000001E-4</v>
      </c>
      <c r="F7387" s="25">
        <v>1.3027000000000001E-4</v>
      </c>
      <c r="G7387" s="25">
        <v>1.6004999999999999E-4</v>
      </c>
      <c r="H7387" s="25">
        <v>3.9589999999999999E-5</v>
      </c>
      <c r="I7387" s="9">
        <v>1.3111000000000001E-4</v>
      </c>
      <c r="J7387" s="9">
        <v>1.3935999999999999E-4</v>
      </c>
      <c r="K7387" s="9">
        <v>2.756E-5</v>
      </c>
      <c r="L7387" s="9">
        <v>1.1663999999999999E-4</v>
      </c>
      <c r="M7387" s="9">
        <v>1.4575999999999999E-4</v>
      </c>
      <c r="N7387" s="9">
        <v>1.6938000000000001E-4</v>
      </c>
      <c r="O7387" s="9">
        <v>1.2799999999999999E-4</v>
      </c>
      <c r="P7387" s="9">
        <v>1.4009E-4</v>
      </c>
      <c r="Q7387" s="9">
        <v>1.5309000000000001E-4</v>
      </c>
      <c r="R7387" s="10">
        <v>1.1131210902299829E-4</v>
      </c>
      <c r="S7387" s="10">
        <v>1.1358426142632787E-4</v>
      </c>
      <c r="T7387" s="10">
        <v>6.2020228249541791E-6</v>
      </c>
      <c r="U7387" s="10">
        <v>8.7819999999999996E-5</v>
      </c>
      <c r="V7387" s="25"/>
      <c r="W7387" s="25"/>
      <c r="X7387" s="25"/>
      <c r="Y7387" s="25"/>
      <c r="Z7387" s="25"/>
      <c r="AA7387" s="25"/>
    </row>
    <row r="7388" spans="1:27" x14ac:dyDescent="0.35">
      <c r="A7388" s="5">
        <v>7384</v>
      </c>
      <c r="B7388" s="5">
        <v>308</v>
      </c>
      <c r="C7388" s="5">
        <v>11</v>
      </c>
      <c r="D7388" s="25">
        <v>1.1415000000000001E-4</v>
      </c>
      <c r="E7388" s="25">
        <v>1.183E-4</v>
      </c>
      <c r="F7388" s="25">
        <v>1.1259E-4</v>
      </c>
      <c r="G7388" s="25">
        <v>1.5946999999999999E-4</v>
      </c>
      <c r="H7388" s="25">
        <v>4.1459999999999999E-5</v>
      </c>
      <c r="I7388" s="9">
        <v>1.3051E-4</v>
      </c>
      <c r="J7388" s="9">
        <v>1.3971E-4</v>
      </c>
      <c r="K7388" s="9">
        <v>5.7219999999999998E-5</v>
      </c>
      <c r="L7388" s="9">
        <v>1.2591999999999999E-4</v>
      </c>
      <c r="M7388" s="9">
        <v>1.4202999999999999E-4</v>
      </c>
      <c r="N7388" s="9">
        <v>1.6568999999999999E-4</v>
      </c>
      <c r="O7388" s="9">
        <v>1.3543999999999999E-4</v>
      </c>
      <c r="P7388" s="9">
        <v>1.2227000000000001E-4</v>
      </c>
      <c r="Q7388" s="9">
        <v>1.1053E-4</v>
      </c>
      <c r="R7388" s="10">
        <v>1.1259158987780174E-4</v>
      </c>
      <c r="S7388" s="10">
        <v>1.11256290642859E-4</v>
      </c>
      <c r="T7388" s="10">
        <v>4.5475844516763888E-6</v>
      </c>
      <c r="U7388" s="10">
        <v>8.7819999999999996E-5</v>
      </c>
      <c r="V7388" s="25"/>
      <c r="W7388" s="25"/>
      <c r="X7388" s="25"/>
      <c r="Y7388" s="25"/>
      <c r="Z7388" s="25"/>
      <c r="AA7388" s="25"/>
    </row>
    <row r="7389" spans="1:27" x14ac:dyDescent="0.35">
      <c r="A7389" s="5">
        <v>7385</v>
      </c>
      <c r="B7389" s="5">
        <v>308</v>
      </c>
      <c r="C7389" s="5">
        <v>11</v>
      </c>
      <c r="D7389" s="25">
        <v>1.1416E-4</v>
      </c>
      <c r="E7389" s="25">
        <v>1.1367E-4</v>
      </c>
      <c r="F7389" s="25">
        <v>1.1874E-4</v>
      </c>
      <c r="G7389" s="25">
        <v>1.5647999999999999E-4</v>
      </c>
      <c r="H7389" s="25">
        <v>4.1539999999999999E-5</v>
      </c>
      <c r="I7389" s="9">
        <v>1.304E-4</v>
      </c>
      <c r="J7389" s="9">
        <v>1.4171E-4</v>
      </c>
      <c r="K7389" s="9">
        <v>7.8419999999999998E-5</v>
      </c>
      <c r="L7389" s="9">
        <v>1.3305000000000001E-4</v>
      </c>
      <c r="M7389" s="9">
        <v>1.3411E-4</v>
      </c>
      <c r="N7389" s="9">
        <v>1.5224999999999999E-4</v>
      </c>
      <c r="O7389" s="9">
        <v>1.3929E-4</v>
      </c>
      <c r="P7389" s="9">
        <v>1.2191E-4</v>
      </c>
      <c r="Q7389" s="9">
        <v>1.061E-4</v>
      </c>
      <c r="R7389" s="10">
        <v>1.1738581582455649E-4</v>
      </c>
      <c r="S7389" s="10">
        <v>1.1179088348596628E-4</v>
      </c>
      <c r="T7389" s="10">
        <v>0</v>
      </c>
      <c r="U7389" s="10">
        <v>8.7819999999999996E-5</v>
      </c>
      <c r="V7389" s="25"/>
      <c r="W7389" s="25"/>
      <c r="X7389" s="25"/>
      <c r="Y7389" s="25"/>
      <c r="Z7389" s="25"/>
      <c r="AA7389" s="25"/>
    </row>
    <row r="7390" spans="1:27" x14ac:dyDescent="0.35">
      <c r="A7390" s="5">
        <v>7386</v>
      </c>
      <c r="B7390" s="5">
        <v>308</v>
      </c>
      <c r="C7390" s="5">
        <v>11</v>
      </c>
      <c r="D7390" s="25">
        <v>1.1415000000000001E-4</v>
      </c>
      <c r="E7390" s="25">
        <v>1.1614E-4</v>
      </c>
      <c r="F7390" s="25">
        <v>1.0946E-4</v>
      </c>
      <c r="G7390" s="25">
        <v>1.5953000000000001E-4</v>
      </c>
      <c r="H7390" s="25">
        <v>4.1489999999999997E-5</v>
      </c>
      <c r="I7390" s="9">
        <v>1.3781000000000001E-4</v>
      </c>
      <c r="J7390" s="9">
        <v>1.4882E-4</v>
      </c>
      <c r="K7390" s="9">
        <v>7.6299999999999998E-5</v>
      </c>
      <c r="L7390" s="9">
        <v>1.3760000000000001E-4</v>
      </c>
      <c r="M7390" s="9">
        <v>1.2771000000000001E-4</v>
      </c>
      <c r="N7390" s="9">
        <v>1.3881000000000001E-4</v>
      </c>
      <c r="O7390" s="9">
        <v>1.4161999999999999E-4</v>
      </c>
      <c r="P7390" s="9">
        <v>1.2904E-4</v>
      </c>
      <c r="Q7390" s="9">
        <v>1.1797E-4</v>
      </c>
      <c r="R7390" s="10">
        <v>1.2679698033182099E-4</v>
      </c>
      <c r="S7390" s="10">
        <v>1.1791266142817013E-4</v>
      </c>
      <c r="T7390" s="10">
        <v>0</v>
      </c>
      <c r="U7390" s="10">
        <v>8.7819999999999996E-5</v>
      </c>
      <c r="V7390" s="25"/>
      <c r="W7390" s="25"/>
      <c r="X7390" s="25"/>
      <c r="Y7390" s="25"/>
      <c r="Z7390" s="25"/>
      <c r="AA7390" s="25"/>
    </row>
    <row r="7391" spans="1:27" x14ac:dyDescent="0.35">
      <c r="A7391" s="5">
        <v>7387</v>
      </c>
      <c r="B7391" s="5">
        <v>308</v>
      </c>
      <c r="C7391" s="5">
        <v>11</v>
      </c>
      <c r="D7391" s="25">
        <v>1.1416E-4</v>
      </c>
      <c r="E7391" s="25">
        <v>1.153E-4</v>
      </c>
      <c r="F7391" s="25">
        <v>1.2615E-4</v>
      </c>
      <c r="G7391" s="25">
        <v>1.0853000000000001E-4</v>
      </c>
      <c r="H7391" s="25">
        <v>2.6869999999999999E-5</v>
      </c>
      <c r="I7391" s="9">
        <v>1.407E-4</v>
      </c>
      <c r="J7391" s="9">
        <v>1.4605999999999999E-4</v>
      </c>
      <c r="K7391" s="9">
        <v>9.5379999999999998E-5</v>
      </c>
      <c r="L7391" s="9">
        <v>1.4069000000000001E-4</v>
      </c>
      <c r="M7391" s="9">
        <v>1.2668E-4</v>
      </c>
      <c r="N7391" s="9">
        <v>1.2990000000000001E-4</v>
      </c>
      <c r="O7391" s="9">
        <v>1.4296E-4</v>
      </c>
      <c r="P7391" s="9">
        <v>1.2459E-4</v>
      </c>
      <c r="Q7391" s="9">
        <v>1.0784E-4</v>
      </c>
      <c r="R7391" s="10">
        <v>1.459022774035587E-4</v>
      </c>
      <c r="S7391" s="10">
        <v>1.2192367270882582E-4</v>
      </c>
      <c r="T7391" s="10">
        <v>0</v>
      </c>
      <c r="U7391" s="10">
        <v>8.7819999999999996E-5</v>
      </c>
      <c r="V7391" s="25"/>
      <c r="W7391" s="25"/>
      <c r="X7391" s="25"/>
      <c r="Y7391" s="25"/>
      <c r="Z7391" s="25"/>
      <c r="AA7391" s="25"/>
    </row>
    <row r="7392" spans="1:27" x14ac:dyDescent="0.35">
      <c r="A7392" s="5">
        <v>7388</v>
      </c>
      <c r="B7392" s="5">
        <v>308</v>
      </c>
      <c r="C7392" s="5">
        <v>11</v>
      </c>
      <c r="D7392" s="25">
        <v>1.1415000000000001E-4</v>
      </c>
      <c r="E7392" s="25">
        <v>1.2136E-4</v>
      </c>
      <c r="F7392" s="25">
        <v>1.2234E-4</v>
      </c>
      <c r="G7392" s="25">
        <v>1.1073000000000001E-4</v>
      </c>
      <c r="H7392" s="25">
        <v>2.7010000000000001E-5</v>
      </c>
      <c r="I7392" s="9">
        <v>1.3524000000000001E-4</v>
      </c>
      <c r="J7392" s="9">
        <v>1.4147000000000001E-4</v>
      </c>
      <c r="K7392" s="9">
        <v>1.0808E-4</v>
      </c>
      <c r="L7392" s="9">
        <v>1.4243E-4</v>
      </c>
      <c r="M7392" s="9">
        <v>1.2594E-4</v>
      </c>
      <c r="N7392" s="9">
        <v>1.2104000000000001E-4</v>
      </c>
      <c r="O7392" s="9">
        <v>1.4535000000000001E-4</v>
      </c>
      <c r="P7392" s="9">
        <v>1.2310000000000001E-4</v>
      </c>
      <c r="Q7392" s="9">
        <v>1.0255999999999999E-4</v>
      </c>
      <c r="R7392" s="10">
        <v>1.5815891150211783E-4</v>
      </c>
      <c r="S7392" s="10">
        <v>1.2546543674061295E-4</v>
      </c>
      <c r="T7392" s="10">
        <v>0</v>
      </c>
      <c r="U7392" s="10">
        <v>8.7819999999999996E-5</v>
      </c>
      <c r="V7392" s="25"/>
      <c r="W7392" s="25"/>
      <c r="X7392" s="25"/>
      <c r="Y7392" s="25"/>
      <c r="Z7392" s="25"/>
      <c r="AA7392" s="25"/>
    </row>
    <row r="7393" spans="1:27" x14ac:dyDescent="0.35">
      <c r="A7393" s="5">
        <v>7389</v>
      </c>
      <c r="B7393" s="5">
        <v>308</v>
      </c>
      <c r="C7393" s="5">
        <v>11</v>
      </c>
      <c r="D7393" s="25">
        <v>1.1416E-4</v>
      </c>
      <c r="E7393" s="25">
        <v>1.1563E-4</v>
      </c>
      <c r="F7393" s="25">
        <v>1.1048E-4</v>
      </c>
      <c r="G7393" s="25">
        <v>5.8279999999999998E-5</v>
      </c>
      <c r="H7393" s="25">
        <v>1.464E-5</v>
      </c>
      <c r="I7393" s="9">
        <v>1.2778999999999999E-4</v>
      </c>
      <c r="J7393" s="9">
        <v>1.3551000000000001E-4</v>
      </c>
      <c r="K7393" s="9">
        <v>1.2504000000000001E-4</v>
      </c>
      <c r="L7393" s="9">
        <v>1.4469E-4</v>
      </c>
      <c r="M7393" s="9">
        <v>1.2477000000000001E-4</v>
      </c>
      <c r="N7393" s="9">
        <v>1.1352E-4</v>
      </c>
      <c r="O7393" s="9">
        <v>8.496E-5</v>
      </c>
      <c r="P7393" s="9">
        <v>8.6539999999999995E-5</v>
      </c>
      <c r="Q7393" s="9">
        <v>8.8540000000000003E-5</v>
      </c>
      <c r="R7393" s="10">
        <v>1.5360295590585217E-4</v>
      </c>
      <c r="S7393" s="10">
        <v>1.2484688894899077E-4</v>
      </c>
      <c r="T7393" s="10">
        <v>0</v>
      </c>
      <c r="U7393" s="10">
        <v>8.7819999999999996E-5</v>
      </c>
      <c r="V7393" s="25"/>
      <c r="W7393" s="25"/>
      <c r="X7393" s="25"/>
      <c r="Y7393" s="25"/>
      <c r="Z7393" s="25"/>
      <c r="AA7393" s="25"/>
    </row>
    <row r="7394" spans="1:27" x14ac:dyDescent="0.35">
      <c r="A7394" s="5">
        <v>7390</v>
      </c>
      <c r="B7394" s="5">
        <v>308</v>
      </c>
      <c r="C7394" s="5">
        <v>11</v>
      </c>
      <c r="D7394" s="25">
        <v>1.1415000000000001E-4</v>
      </c>
      <c r="E7394" s="25">
        <v>1.1784E-4</v>
      </c>
      <c r="F7394" s="25">
        <v>1.1056999999999999E-4</v>
      </c>
      <c r="G7394" s="25">
        <v>5.4089999999999999E-5</v>
      </c>
      <c r="H7394" s="25">
        <v>1.3679999999999999E-5</v>
      </c>
      <c r="I7394" s="9">
        <v>1.2163E-4</v>
      </c>
      <c r="J7394" s="9">
        <v>1.2666000000000001E-4</v>
      </c>
      <c r="K7394" s="9">
        <v>1.2716E-4</v>
      </c>
      <c r="L7394" s="9">
        <v>9.8049999999999998E-5</v>
      </c>
      <c r="M7394" s="9">
        <v>1.1065000000000001E-4</v>
      </c>
      <c r="N7394" s="9">
        <v>1.0594000000000001E-4</v>
      </c>
      <c r="O7394" s="9">
        <v>8.8369999999999996E-5</v>
      </c>
      <c r="P7394" s="9">
        <v>8.8540000000000003E-5</v>
      </c>
      <c r="Q7394" s="9">
        <v>8.92E-5</v>
      </c>
      <c r="R7394" s="10">
        <v>1.4861409645356157E-4</v>
      </c>
      <c r="S7394" s="10">
        <v>1.235447010167864E-4</v>
      </c>
      <c r="T7394" s="10">
        <v>0</v>
      </c>
      <c r="U7394" s="10">
        <v>8.7819999999999996E-5</v>
      </c>
      <c r="V7394" s="25"/>
      <c r="W7394" s="25"/>
      <c r="X7394" s="25"/>
      <c r="Y7394" s="25"/>
      <c r="Z7394" s="25"/>
      <c r="AA7394" s="25"/>
    </row>
    <row r="7395" spans="1:27" x14ac:dyDescent="0.35">
      <c r="A7395" s="5">
        <v>7391</v>
      </c>
      <c r="B7395" s="5">
        <v>308</v>
      </c>
      <c r="C7395" s="5">
        <v>11</v>
      </c>
      <c r="D7395" s="25">
        <v>1.1416E-4</v>
      </c>
      <c r="E7395" s="25">
        <v>1.227E-4</v>
      </c>
      <c r="F7395" s="25">
        <v>1.2640000000000001E-4</v>
      </c>
      <c r="G7395" s="25">
        <v>5.2120000000000002E-5</v>
      </c>
      <c r="H7395" s="25">
        <v>1.326E-5</v>
      </c>
      <c r="I7395" s="9">
        <v>1.2258000000000001E-4</v>
      </c>
      <c r="J7395" s="9">
        <v>1.1711E-4</v>
      </c>
      <c r="K7395" s="9">
        <v>1.2716E-4</v>
      </c>
      <c r="L7395" s="9">
        <v>9.1799999999999995E-5</v>
      </c>
      <c r="M7395" s="9">
        <v>9.8880000000000002E-5</v>
      </c>
      <c r="N7395" s="9">
        <v>1.0033E-4</v>
      </c>
      <c r="O7395" s="9">
        <v>8.5190000000000003E-5</v>
      </c>
      <c r="P7395" s="9">
        <v>7.593E-5</v>
      </c>
      <c r="Q7395" s="9">
        <v>6.7260000000000003E-5</v>
      </c>
      <c r="R7395" s="10">
        <v>1.4030934842358857E-4</v>
      </c>
      <c r="S7395" s="10">
        <v>1.2525412495779329E-4</v>
      </c>
      <c r="T7395" s="10">
        <v>0</v>
      </c>
      <c r="U7395" s="10">
        <v>8.7819999999999996E-5</v>
      </c>
      <c r="V7395" s="25"/>
      <c r="W7395" s="25"/>
      <c r="X7395" s="25"/>
      <c r="Y7395" s="25"/>
      <c r="Z7395" s="25"/>
      <c r="AA7395" s="25"/>
    </row>
    <row r="7396" spans="1:27" x14ac:dyDescent="0.35">
      <c r="A7396" s="5">
        <v>7392</v>
      </c>
      <c r="B7396" s="5">
        <v>308</v>
      </c>
      <c r="C7396" s="5">
        <v>11</v>
      </c>
      <c r="D7396" s="25">
        <v>1.1415000000000001E-4</v>
      </c>
      <c r="E7396" s="25">
        <v>1.1211E-4</v>
      </c>
      <c r="F7396" s="25">
        <v>1.1169E-4</v>
      </c>
      <c r="G7396" s="25">
        <v>6.0940000000000003E-5</v>
      </c>
      <c r="H7396" s="25">
        <v>1.5840000000000001E-5</v>
      </c>
      <c r="I7396" s="9">
        <v>1.2095E-4</v>
      </c>
      <c r="J7396" s="9">
        <v>1.0909E-4</v>
      </c>
      <c r="K7396" s="9">
        <v>1.3352000000000001E-4</v>
      </c>
      <c r="L7396" s="9">
        <v>8.6860000000000005E-5</v>
      </c>
      <c r="M7396" s="9">
        <v>8.7869999999999997E-5</v>
      </c>
      <c r="N7396" s="9">
        <v>9.1069999999999994E-5</v>
      </c>
      <c r="O7396" s="9">
        <v>7.873E-5</v>
      </c>
      <c r="P7396" s="9">
        <v>6.8360000000000003E-5</v>
      </c>
      <c r="Q7396" s="9">
        <v>5.8510000000000001E-5</v>
      </c>
      <c r="R7396" s="10">
        <v>1.319476127019502E-4</v>
      </c>
      <c r="S7396" s="10">
        <v>1.4060415997900803E-4</v>
      </c>
      <c r="T7396" s="10">
        <v>0</v>
      </c>
      <c r="U7396" s="10">
        <v>8.7819999999999996E-5</v>
      </c>
      <c r="V7396" s="25"/>
      <c r="W7396" s="25"/>
      <c r="X7396" s="25"/>
      <c r="Y7396" s="25"/>
      <c r="Z7396" s="25"/>
      <c r="AA7396" s="25"/>
    </row>
    <row r="7397" spans="1:27" x14ac:dyDescent="0.35">
      <c r="A7397" s="5">
        <v>7393</v>
      </c>
      <c r="B7397" s="5">
        <v>309</v>
      </c>
      <c r="C7397" s="5">
        <v>11</v>
      </c>
      <c r="D7397" s="25">
        <v>1.1416E-4</v>
      </c>
      <c r="E7397" s="25">
        <v>1.0826E-4</v>
      </c>
      <c r="F7397" s="25">
        <v>1.0713999999999999E-4</v>
      </c>
      <c r="G7397" s="25">
        <v>5.452E-5</v>
      </c>
      <c r="H7397" s="25">
        <v>6.4919999999999995E-5</v>
      </c>
      <c r="I7397" s="9">
        <v>1.1198E-4</v>
      </c>
      <c r="J7397" s="9">
        <v>1.0181E-4</v>
      </c>
      <c r="K7397" s="9">
        <v>1.3987E-4</v>
      </c>
      <c r="L7397" s="9">
        <v>8.03E-5</v>
      </c>
      <c r="M7397" s="9">
        <v>7.8349999999999994E-5</v>
      </c>
      <c r="N7397" s="9">
        <v>8.1489999999999994E-5</v>
      </c>
      <c r="O7397" s="9">
        <v>5.4030000000000003E-5</v>
      </c>
      <c r="P7397" s="9">
        <v>5.346E-5</v>
      </c>
      <c r="Q7397" s="9">
        <v>5.304E-5</v>
      </c>
      <c r="R7397" s="10">
        <v>1.4504853437607651E-4</v>
      </c>
      <c r="S7397" s="10">
        <v>1.3124576447855307E-4</v>
      </c>
      <c r="T7397" s="10">
        <v>0</v>
      </c>
      <c r="U7397" s="10">
        <v>9.5719999999999998E-5</v>
      </c>
      <c r="V7397" s="25"/>
      <c r="W7397" s="25"/>
      <c r="X7397" s="25"/>
      <c r="Y7397" s="25"/>
      <c r="Z7397" s="25"/>
      <c r="AA7397" s="25"/>
    </row>
    <row r="7398" spans="1:27" x14ac:dyDescent="0.35">
      <c r="A7398" s="5">
        <v>7394</v>
      </c>
      <c r="B7398" s="5">
        <v>309</v>
      </c>
      <c r="C7398" s="5">
        <v>11</v>
      </c>
      <c r="D7398" s="25">
        <v>1.1415000000000001E-4</v>
      </c>
      <c r="E7398" s="25">
        <v>1.1122E-4</v>
      </c>
      <c r="F7398" s="25">
        <v>1.1233E-4</v>
      </c>
      <c r="G7398" s="25">
        <v>6.0149999999999998E-5</v>
      </c>
      <c r="H7398" s="25">
        <v>7.1099999999999994E-5</v>
      </c>
      <c r="I7398" s="9">
        <v>1.0606E-4</v>
      </c>
      <c r="J7398" s="9">
        <v>9.7209999999999999E-5</v>
      </c>
      <c r="K7398" s="9">
        <v>1.4836E-4</v>
      </c>
      <c r="L7398" s="9">
        <v>5.9979999999999998E-5</v>
      </c>
      <c r="M7398" s="9">
        <v>6.7139999999999998E-5</v>
      </c>
      <c r="N7398" s="9">
        <v>7.2200000000000007E-5</v>
      </c>
      <c r="O7398" s="9">
        <v>1.8519999999999999E-5</v>
      </c>
      <c r="P7398" s="9">
        <v>3.756E-5</v>
      </c>
      <c r="Q7398" s="9">
        <v>5.5899999999999997E-5</v>
      </c>
      <c r="R7398" s="10">
        <v>1.3876509565803681E-4</v>
      </c>
      <c r="S7398" s="10">
        <v>1.1677630906736409E-4</v>
      </c>
      <c r="T7398" s="10">
        <v>0</v>
      </c>
      <c r="U7398" s="10">
        <v>9.5719999999999998E-5</v>
      </c>
      <c r="V7398" s="25"/>
      <c r="W7398" s="25"/>
      <c r="X7398" s="25"/>
      <c r="Y7398" s="25"/>
      <c r="Z7398" s="25"/>
      <c r="AA7398" s="25"/>
    </row>
    <row r="7399" spans="1:27" x14ac:dyDescent="0.35">
      <c r="A7399" s="5">
        <v>7395</v>
      </c>
      <c r="B7399" s="5">
        <v>309</v>
      </c>
      <c r="C7399" s="5">
        <v>11</v>
      </c>
      <c r="D7399" s="25">
        <v>1.1416E-4</v>
      </c>
      <c r="E7399" s="25">
        <v>1.1089E-4</v>
      </c>
      <c r="F7399" s="25">
        <v>1.1459E-4</v>
      </c>
      <c r="G7399" s="25">
        <v>5.5430000000000003E-5</v>
      </c>
      <c r="H7399" s="25">
        <v>6.6519999999999993E-5</v>
      </c>
      <c r="I7399" s="9">
        <v>1.0170000000000001E-4</v>
      </c>
      <c r="J7399" s="9">
        <v>9.4820000000000004E-5</v>
      </c>
      <c r="K7399" s="9">
        <v>1.5683E-4</v>
      </c>
      <c r="L7399" s="9">
        <v>2.8189999999999999E-5</v>
      </c>
      <c r="M7399" s="9">
        <v>5.3749999999999999E-5</v>
      </c>
      <c r="N7399" s="9">
        <v>6.5489999999999998E-5</v>
      </c>
      <c r="O7399" s="9">
        <v>1.324E-5</v>
      </c>
      <c r="P7399" s="9">
        <v>3.8149999999999999E-5</v>
      </c>
      <c r="Q7399" s="9">
        <v>6.2180000000000004E-5</v>
      </c>
      <c r="R7399" s="10">
        <v>1.2975830723146726E-4</v>
      </c>
      <c r="S7399" s="10">
        <v>1.1455299761688973E-4</v>
      </c>
      <c r="T7399" s="10">
        <v>0</v>
      </c>
      <c r="U7399" s="10">
        <v>9.5719999999999998E-5</v>
      </c>
      <c r="V7399" s="25"/>
      <c r="W7399" s="25"/>
      <c r="X7399" s="25"/>
      <c r="Y7399" s="25"/>
      <c r="Z7399" s="25"/>
      <c r="AA7399" s="25"/>
    </row>
    <row r="7400" spans="1:27" x14ac:dyDescent="0.35">
      <c r="A7400" s="5">
        <v>7396</v>
      </c>
      <c r="B7400" s="5">
        <v>309</v>
      </c>
      <c r="C7400" s="5">
        <v>11</v>
      </c>
      <c r="D7400" s="25">
        <v>1.1415000000000001E-4</v>
      </c>
      <c r="E7400" s="25">
        <v>1.1245E-4</v>
      </c>
      <c r="F7400" s="25">
        <v>1.1919E-4</v>
      </c>
      <c r="G7400" s="25">
        <v>6.1950000000000001E-5</v>
      </c>
      <c r="H7400" s="25">
        <v>6.2529999999999999E-5</v>
      </c>
      <c r="I7400" s="9">
        <v>1.0117E-4</v>
      </c>
      <c r="J7400" s="9">
        <v>9.3659999999999994E-5</v>
      </c>
      <c r="K7400" s="9">
        <v>1.5046999999999999E-4</v>
      </c>
      <c r="L7400" s="9">
        <v>1.738E-5</v>
      </c>
      <c r="M7400" s="9">
        <v>4.4919999999999997E-5</v>
      </c>
      <c r="N7400" s="9">
        <v>6.1959999999999996E-5</v>
      </c>
      <c r="O7400" s="9">
        <v>1.305E-5</v>
      </c>
      <c r="P7400" s="9">
        <v>4.7009999999999999E-5</v>
      </c>
      <c r="Q7400" s="9">
        <v>7.996E-5</v>
      </c>
      <c r="R7400" s="10">
        <v>1.3062013290273029E-4</v>
      </c>
      <c r="S7400" s="10">
        <v>1.1200654588080644E-4</v>
      </c>
      <c r="T7400" s="10">
        <v>0</v>
      </c>
      <c r="U7400" s="10">
        <v>9.5719999999999998E-5</v>
      </c>
      <c r="V7400" s="25"/>
      <c r="W7400" s="25"/>
      <c r="X7400" s="25"/>
      <c r="Y7400" s="25"/>
      <c r="Z7400" s="25"/>
      <c r="AA7400" s="25"/>
    </row>
    <row r="7401" spans="1:27" x14ac:dyDescent="0.35">
      <c r="A7401" s="5">
        <v>7397</v>
      </c>
      <c r="B7401" s="5">
        <v>309</v>
      </c>
      <c r="C7401" s="5">
        <v>11</v>
      </c>
      <c r="D7401" s="25">
        <v>1.1416E-4</v>
      </c>
      <c r="E7401" s="25">
        <v>1.1798000000000001E-4</v>
      </c>
      <c r="F7401" s="25">
        <v>1.2300000000000001E-4</v>
      </c>
      <c r="G7401" s="25">
        <v>5.291E-5</v>
      </c>
      <c r="H7401" s="25">
        <v>6.7390000000000004E-5</v>
      </c>
      <c r="I7401" s="9">
        <v>1.0232E-4</v>
      </c>
      <c r="J7401" s="9">
        <v>9.4500000000000007E-5</v>
      </c>
      <c r="K7401" s="9">
        <v>1.5472000000000001E-4</v>
      </c>
      <c r="L7401" s="9">
        <v>1.417E-5</v>
      </c>
      <c r="M7401" s="9">
        <v>4.3739999999999998E-5</v>
      </c>
      <c r="N7401" s="9">
        <v>6.4369999999999995E-5</v>
      </c>
      <c r="O7401" s="9">
        <v>1.8689999999999999E-5</v>
      </c>
      <c r="P7401" s="9">
        <v>5.6839999999999998E-5</v>
      </c>
      <c r="Q7401" s="9">
        <v>9.399E-5</v>
      </c>
      <c r="R7401" s="10">
        <v>1.3031663971468189E-4</v>
      </c>
      <c r="S7401" s="10">
        <v>1.12718244116091E-4</v>
      </c>
      <c r="T7401" s="10">
        <v>0</v>
      </c>
      <c r="U7401" s="10">
        <v>9.5719999999999998E-5</v>
      </c>
      <c r="V7401" s="25"/>
      <c r="W7401" s="25"/>
      <c r="X7401" s="25"/>
      <c r="Y7401" s="25"/>
      <c r="Z7401" s="25"/>
      <c r="AA7401" s="25"/>
    </row>
    <row r="7402" spans="1:27" x14ac:dyDescent="0.35">
      <c r="A7402" s="5">
        <v>7398</v>
      </c>
      <c r="B7402" s="5">
        <v>309</v>
      </c>
      <c r="C7402" s="5">
        <v>11</v>
      </c>
      <c r="D7402" s="25">
        <v>1.1415000000000001E-4</v>
      </c>
      <c r="E7402" s="25">
        <v>1.1741E-4</v>
      </c>
      <c r="F7402" s="25">
        <v>1.2181E-4</v>
      </c>
      <c r="G7402" s="25">
        <v>1.0543999999999999E-4</v>
      </c>
      <c r="H7402" s="25">
        <v>1.3867999999999999E-4</v>
      </c>
      <c r="I7402" s="9">
        <v>1.0765E-4</v>
      </c>
      <c r="J7402" s="9">
        <v>9.8400000000000007E-5</v>
      </c>
      <c r="K7402" s="9">
        <v>1.7378000000000001E-4</v>
      </c>
      <c r="L7402" s="9">
        <v>1.7569999999999999E-5</v>
      </c>
      <c r="M7402" s="9">
        <v>4.8520000000000003E-5</v>
      </c>
      <c r="N7402" s="9">
        <v>7.1009999999999999E-5</v>
      </c>
      <c r="O7402" s="9">
        <v>4.6449999999999997E-5</v>
      </c>
      <c r="P7402" s="9">
        <v>7.7219999999999996E-5</v>
      </c>
      <c r="Q7402" s="9">
        <v>1.0752E-4</v>
      </c>
      <c r="R7402" s="10">
        <v>1.3846780484549692E-4</v>
      </c>
      <c r="S7402" s="10">
        <v>1.2151279785469542E-4</v>
      </c>
      <c r="T7402" s="10">
        <v>0</v>
      </c>
      <c r="U7402" s="10">
        <v>9.5719999999999998E-5</v>
      </c>
      <c r="V7402" s="25"/>
      <c r="W7402" s="25"/>
      <c r="X7402" s="25"/>
      <c r="Y7402" s="25"/>
      <c r="Z7402" s="25"/>
      <c r="AA7402" s="25"/>
    </row>
    <row r="7403" spans="1:27" x14ac:dyDescent="0.35">
      <c r="A7403" s="5">
        <v>7399</v>
      </c>
      <c r="B7403" s="5">
        <v>309</v>
      </c>
      <c r="C7403" s="5">
        <v>11</v>
      </c>
      <c r="D7403" s="25">
        <v>1.1416E-4</v>
      </c>
      <c r="E7403" s="25">
        <v>1.175E-4</v>
      </c>
      <c r="F7403" s="25">
        <v>1.1459E-4</v>
      </c>
      <c r="G7403" s="25">
        <v>1.092E-4</v>
      </c>
      <c r="H7403" s="25">
        <v>1.2601999999999999E-4</v>
      </c>
      <c r="I7403" s="9">
        <v>1.1836E-4</v>
      </c>
      <c r="J7403" s="9">
        <v>1.1103999999999999E-4</v>
      </c>
      <c r="K7403" s="9">
        <v>1.7803E-4</v>
      </c>
      <c r="L7403" s="9">
        <v>3.9950000000000002E-5</v>
      </c>
      <c r="M7403" s="9">
        <v>6.02E-5</v>
      </c>
      <c r="N7403" s="9">
        <v>8.085E-5</v>
      </c>
      <c r="O7403" s="9">
        <v>1.2396E-4</v>
      </c>
      <c r="P7403" s="9">
        <v>1.177E-4</v>
      </c>
      <c r="Q7403" s="9">
        <v>1.1275E-4</v>
      </c>
      <c r="R7403" s="10">
        <v>1.421490391354187E-4</v>
      </c>
      <c r="S7403" s="10">
        <v>1.285378977170414E-4</v>
      </c>
      <c r="T7403" s="10">
        <v>0</v>
      </c>
      <c r="U7403" s="10">
        <v>9.5719999999999998E-5</v>
      </c>
      <c r="V7403" s="25"/>
      <c r="W7403" s="25"/>
      <c r="X7403" s="25"/>
      <c r="Y7403" s="25"/>
      <c r="Z7403" s="25"/>
      <c r="AA7403" s="25"/>
    </row>
    <row r="7404" spans="1:27" x14ac:dyDescent="0.35">
      <c r="A7404" s="5">
        <v>7400</v>
      </c>
      <c r="B7404" s="5">
        <v>309</v>
      </c>
      <c r="C7404" s="5">
        <v>11</v>
      </c>
      <c r="D7404" s="25">
        <v>1.1415000000000001E-4</v>
      </c>
      <c r="E7404" s="25">
        <v>1.1079E-4</v>
      </c>
      <c r="F7404" s="25">
        <v>1.0247E-4</v>
      </c>
      <c r="G7404" s="25">
        <v>1.6693E-4</v>
      </c>
      <c r="H7404" s="25">
        <v>1.9933E-4</v>
      </c>
      <c r="I7404" s="9">
        <v>1.2709E-4</v>
      </c>
      <c r="J7404" s="9">
        <v>1.2898E-4</v>
      </c>
      <c r="K7404" s="9">
        <v>1.4200000000000001E-4</v>
      </c>
      <c r="L7404" s="9">
        <v>1.0485E-4</v>
      </c>
      <c r="M7404" s="9">
        <v>8.3930000000000004E-5</v>
      </c>
      <c r="N7404" s="9">
        <v>9.1030000000000001E-5</v>
      </c>
      <c r="O7404" s="9">
        <v>2.1876E-4</v>
      </c>
      <c r="P7404" s="9">
        <v>1.7547999999999999E-4</v>
      </c>
      <c r="Q7404" s="9">
        <v>1.3556000000000001E-4</v>
      </c>
      <c r="R7404" s="10">
        <v>1.4208817786837694E-4</v>
      </c>
      <c r="S7404" s="10">
        <v>1.3040255148490679E-4</v>
      </c>
      <c r="T7404" s="10">
        <v>6.6601749898618755E-6</v>
      </c>
      <c r="U7404" s="10">
        <v>9.5719999999999998E-5</v>
      </c>
      <c r="V7404" s="25"/>
      <c r="W7404" s="25"/>
      <c r="X7404" s="25"/>
      <c r="Y7404" s="25"/>
      <c r="Z7404" s="25"/>
      <c r="AA7404" s="25"/>
    </row>
    <row r="7405" spans="1:27" x14ac:dyDescent="0.35">
      <c r="A7405" s="5">
        <v>7401</v>
      </c>
      <c r="B7405" s="5">
        <v>309</v>
      </c>
      <c r="C7405" s="5">
        <v>11</v>
      </c>
      <c r="D7405" s="25">
        <v>1.1416E-4</v>
      </c>
      <c r="E7405" s="25">
        <v>1.144E-4</v>
      </c>
      <c r="F7405" s="25">
        <v>1.2104000000000001E-4</v>
      </c>
      <c r="G7405" s="25">
        <v>1.6752E-4</v>
      </c>
      <c r="H7405" s="25">
        <v>1.884E-4</v>
      </c>
      <c r="I7405" s="9">
        <v>1.3287999999999999E-4</v>
      </c>
      <c r="J7405" s="9">
        <v>1.3907000000000001E-4</v>
      </c>
      <c r="K7405" s="9">
        <v>1.1656E-4</v>
      </c>
      <c r="L7405" s="9">
        <v>1.9191999999999999E-4</v>
      </c>
      <c r="M7405" s="9">
        <v>1.2302E-4</v>
      </c>
      <c r="N7405" s="9">
        <v>1.0450000000000001E-4</v>
      </c>
      <c r="O7405" s="9">
        <v>2.1162000000000001E-4</v>
      </c>
      <c r="P7405" s="9">
        <v>1.9254999999999999E-4</v>
      </c>
      <c r="Q7405" s="9">
        <v>1.7634000000000001E-4</v>
      </c>
      <c r="R7405" s="10">
        <v>1.4570666544628095E-4</v>
      </c>
      <c r="S7405" s="10">
        <v>1.2356437560443097E-4</v>
      </c>
      <c r="T7405" s="10">
        <v>5.8100481949775955E-5</v>
      </c>
      <c r="U7405" s="10">
        <v>9.5719999999999998E-5</v>
      </c>
      <c r="V7405" s="25"/>
      <c r="W7405" s="25"/>
      <c r="X7405" s="25"/>
      <c r="Y7405" s="25"/>
      <c r="Z7405" s="25"/>
      <c r="AA7405" s="25"/>
    </row>
    <row r="7406" spans="1:27" x14ac:dyDescent="0.35">
      <c r="A7406" s="5">
        <v>7402</v>
      </c>
      <c r="B7406" s="5">
        <v>309</v>
      </c>
      <c r="C7406" s="5">
        <v>11</v>
      </c>
      <c r="D7406" s="25">
        <v>1.1415000000000001E-4</v>
      </c>
      <c r="E7406" s="25">
        <v>1.147E-4</v>
      </c>
      <c r="F7406" s="25">
        <v>1.1444E-4</v>
      </c>
      <c r="G7406" s="25">
        <v>1.6427E-4</v>
      </c>
      <c r="H7406" s="25">
        <v>1.9084000000000001E-4</v>
      </c>
      <c r="I7406" s="9">
        <v>1.3580999999999999E-4</v>
      </c>
      <c r="J7406" s="9">
        <v>1.439E-4</v>
      </c>
      <c r="K7406" s="9">
        <v>9.1139999999999998E-5</v>
      </c>
      <c r="L7406" s="9">
        <v>2.0500999999999999E-4</v>
      </c>
      <c r="M7406" s="9">
        <v>1.5794E-4</v>
      </c>
      <c r="N7406" s="9">
        <v>1.2438999999999999E-4</v>
      </c>
      <c r="O7406" s="9">
        <v>1.6824E-4</v>
      </c>
      <c r="P7406" s="9">
        <v>1.7447E-4</v>
      </c>
      <c r="Q7406" s="9">
        <v>1.8249E-4</v>
      </c>
      <c r="R7406" s="10">
        <v>1.4855388123590638E-4</v>
      </c>
      <c r="S7406" s="10">
        <v>1.2472286101072356E-4</v>
      </c>
      <c r="T7406" s="10">
        <v>1.3235506986222326E-5</v>
      </c>
      <c r="U7406" s="10">
        <v>9.5719999999999998E-5</v>
      </c>
      <c r="V7406" s="25"/>
      <c r="W7406" s="25"/>
      <c r="X7406" s="25"/>
      <c r="Y7406" s="25"/>
      <c r="Z7406" s="25"/>
      <c r="AA7406" s="25"/>
    </row>
    <row r="7407" spans="1:27" x14ac:dyDescent="0.35">
      <c r="A7407" s="5">
        <v>7403</v>
      </c>
      <c r="B7407" s="5">
        <v>309</v>
      </c>
      <c r="C7407" s="5">
        <v>11</v>
      </c>
      <c r="D7407" s="25">
        <v>1.1416E-4</v>
      </c>
      <c r="E7407" s="25">
        <v>1.1644E-4</v>
      </c>
      <c r="F7407" s="25">
        <v>1.0629E-4</v>
      </c>
      <c r="G7407" s="25">
        <v>1.5902000000000001E-4</v>
      </c>
      <c r="H7407" s="25">
        <v>1.9741E-4</v>
      </c>
      <c r="I7407" s="9">
        <v>1.3427E-4</v>
      </c>
      <c r="J7407" s="9">
        <v>1.4372000000000001E-4</v>
      </c>
      <c r="K7407" s="9">
        <v>8.0539999999999998E-5</v>
      </c>
      <c r="L7407" s="9">
        <v>1.7639000000000001E-4</v>
      </c>
      <c r="M7407" s="9">
        <v>1.7199000000000001E-4</v>
      </c>
      <c r="N7407" s="9">
        <v>1.4254E-4</v>
      </c>
      <c r="O7407" s="9">
        <v>1.6778999999999999E-4</v>
      </c>
      <c r="P7407" s="9">
        <v>1.7265E-4</v>
      </c>
      <c r="Q7407" s="9">
        <v>1.7932000000000001E-4</v>
      </c>
      <c r="R7407" s="10">
        <v>1.4289203729331087E-4</v>
      </c>
      <c r="S7407" s="10">
        <v>1.2176115973724821E-4</v>
      </c>
      <c r="T7407" s="10">
        <v>2.8464824319728142E-5</v>
      </c>
      <c r="U7407" s="10">
        <v>9.5719999999999998E-5</v>
      </c>
      <c r="V7407" s="25"/>
      <c r="W7407" s="25"/>
      <c r="X7407" s="25"/>
      <c r="Y7407" s="25"/>
      <c r="Z7407" s="25"/>
      <c r="AA7407" s="25"/>
    </row>
    <row r="7408" spans="1:27" x14ac:dyDescent="0.35">
      <c r="A7408" s="5">
        <v>7404</v>
      </c>
      <c r="B7408" s="5">
        <v>309</v>
      </c>
      <c r="C7408" s="5">
        <v>11</v>
      </c>
      <c r="D7408" s="25">
        <v>1.1415000000000001E-4</v>
      </c>
      <c r="E7408" s="25">
        <v>1.136E-4</v>
      </c>
      <c r="F7408" s="25">
        <v>1.1822E-4</v>
      </c>
      <c r="G7408" s="25">
        <v>1.6577000000000001E-4</v>
      </c>
      <c r="H7408" s="25">
        <v>1.8869000000000001E-4</v>
      </c>
      <c r="I7408" s="9">
        <v>1.3627999999999999E-4</v>
      </c>
      <c r="J7408" s="9">
        <v>1.428E-4</v>
      </c>
      <c r="K7408" s="9">
        <v>8.0530000000000003E-5</v>
      </c>
      <c r="L7408" s="9">
        <v>1.7107E-4</v>
      </c>
      <c r="M7408" s="9">
        <v>1.7464999999999999E-4</v>
      </c>
      <c r="N7408" s="9">
        <v>1.5657E-4</v>
      </c>
      <c r="O7408" s="9">
        <v>1.6927000000000001E-4</v>
      </c>
      <c r="P7408" s="9">
        <v>1.7001000000000001E-4</v>
      </c>
      <c r="Q7408" s="9">
        <v>1.7265999999999999E-4</v>
      </c>
      <c r="R7408" s="10">
        <v>1.0468712256714759E-4</v>
      </c>
      <c r="S7408" s="10">
        <v>1.3207181659711639E-4</v>
      </c>
      <c r="T7408" s="10">
        <v>7.7868899435608018E-5</v>
      </c>
      <c r="U7408" s="10">
        <v>9.5719999999999998E-5</v>
      </c>
      <c r="V7408" s="25"/>
      <c r="W7408" s="25"/>
      <c r="X7408" s="25"/>
      <c r="Y7408" s="25"/>
      <c r="Z7408" s="25"/>
      <c r="AA7408" s="25"/>
    </row>
    <row r="7409" spans="1:27" x14ac:dyDescent="0.35">
      <c r="A7409" s="5">
        <v>7405</v>
      </c>
      <c r="B7409" s="5">
        <v>309</v>
      </c>
      <c r="C7409" s="5">
        <v>11</v>
      </c>
      <c r="D7409" s="25">
        <v>1.1416E-4</v>
      </c>
      <c r="E7409" s="25">
        <v>1.1881E-4</v>
      </c>
      <c r="F7409" s="25">
        <v>1.1237E-4</v>
      </c>
      <c r="G7409" s="25">
        <v>1.6446000000000001E-4</v>
      </c>
      <c r="H7409" s="25">
        <v>1.9100000000000001E-4</v>
      </c>
      <c r="I7409" s="9">
        <v>1.3488000000000001E-4</v>
      </c>
      <c r="J7409" s="9">
        <v>1.4009E-4</v>
      </c>
      <c r="K7409" s="9">
        <v>9.5370000000000003E-5</v>
      </c>
      <c r="L7409" s="9">
        <v>1.6983999999999999E-4</v>
      </c>
      <c r="M7409" s="9">
        <v>1.7317E-4</v>
      </c>
      <c r="N7409" s="9">
        <v>1.6573E-4</v>
      </c>
      <c r="O7409" s="9">
        <v>1.6249999999999999E-4</v>
      </c>
      <c r="P7409" s="9">
        <v>1.6411999999999999E-4</v>
      </c>
      <c r="Q7409" s="9">
        <v>1.6752E-4</v>
      </c>
      <c r="R7409" s="10">
        <v>1.1821364994370069E-4</v>
      </c>
      <c r="S7409" s="10">
        <v>1.3505948445039767E-4</v>
      </c>
      <c r="T7409" s="10">
        <v>1.2366714732767731E-4</v>
      </c>
      <c r="U7409" s="10">
        <v>9.5719999999999998E-5</v>
      </c>
      <c r="V7409" s="25"/>
      <c r="W7409" s="25"/>
      <c r="X7409" s="25"/>
      <c r="Y7409" s="25"/>
      <c r="Z7409" s="25"/>
      <c r="AA7409" s="25"/>
    </row>
    <row r="7410" spans="1:27" x14ac:dyDescent="0.35">
      <c r="A7410" s="5">
        <v>7406</v>
      </c>
      <c r="B7410" s="5">
        <v>309</v>
      </c>
      <c r="C7410" s="5">
        <v>11</v>
      </c>
      <c r="D7410" s="25">
        <v>1.1415000000000001E-4</v>
      </c>
      <c r="E7410" s="25">
        <v>1.1627E-4</v>
      </c>
      <c r="F7410" s="25">
        <v>1.1926000000000001E-4</v>
      </c>
      <c r="G7410" s="25">
        <v>1.6485E-4</v>
      </c>
      <c r="H7410" s="25">
        <v>1.9665000000000001E-4</v>
      </c>
      <c r="I7410" s="9">
        <v>1.3375E-4</v>
      </c>
      <c r="J7410" s="9">
        <v>1.3941999999999999E-4</v>
      </c>
      <c r="K7410" s="9">
        <v>5.9339999999999998E-5</v>
      </c>
      <c r="L7410" s="9">
        <v>1.639E-4</v>
      </c>
      <c r="M7410" s="9">
        <v>1.6948000000000001E-4</v>
      </c>
      <c r="N7410" s="9">
        <v>1.7013999999999999E-4</v>
      </c>
      <c r="O7410" s="9">
        <v>1.7849000000000001E-4</v>
      </c>
      <c r="P7410" s="9">
        <v>1.6827000000000001E-4</v>
      </c>
      <c r="Q7410" s="9">
        <v>1.6027000000000001E-4</v>
      </c>
      <c r="R7410" s="10">
        <v>1.2429238166345496E-4</v>
      </c>
      <c r="S7410" s="10">
        <v>1.291797717459392E-4</v>
      </c>
      <c r="T7410" s="10">
        <v>1.3652934514249337E-4</v>
      </c>
      <c r="U7410" s="10">
        <v>9.5719999999999998E-5</v>
      </c>
      <c r="V7410" s="25"/>
      <c r="W7410" s="25"/>
      <c r="X7410" s="25"/>
      <c r="Y7410" s="25"/>
      <c r="Z7410" s="25"/>
      <c r="AA7410" s="25"/>
    </row>
    <row r="7411" spans="1:27" x14ac:dyDescent="0.35">
      <c r="A7411" s="5">
        <v>7407</v>
      </c>
      <c r="B7411" s="5">
        <v>309</v>
      </c>
      <c r="C7411" s="5">
        <v>11</v>
      </c>
      <c r="D7411" s="25">
        <v>1.1416E-4</v>
      </c>
      <c r="E7411" s="25">
        <v>1.0942000000000001E-4</v>
      </c>
      <c r="F7411" s="25">
        <v>1.2344999999999999E-4</v>
      </c>
      <c r="G7411" s="25">
        <v>1.5629000000000001E-4</v>
      </c>
      <c r="H7411" s="25">
        <v>1.9102999999999999E-4</v>
      </c>
      <c r="I7411" s="9">
        <v>1.3270999999999999E-4</v>
      </c>
      <c r="J7411" s="9">
        <v>1.3896000000000001E-4</v>
      </c>
      <c r="K7411" s="9">
        <v>7.8419999999999998E-5</v>
      </c>
      <c r="L7411" s="9">
        <v>1.7541E-4</v>
      </c>
      <c r="M7411" s="9">
        <v>1.6801000000000001E-4</v>
      </c>
      <c r="N7411" s="9">
        <v>1.6961E-4</v>
      </c>
      <c r="O7411" s="9">
        <v>1.8424000000000001E-4</v>
      </c>
      <c r="P7411" s="9">
        <v>1.6714E-4</v>
      </c>
      <c r="Q7411" s="9">
        <v>1.5244999999999999E-4</v>
      </c>
      <c r="R7411" s="10">
        <v>1.1854879367144846E-4</v>
      </c>
      <c r="S7411" s="10">
        <v>1.298782985480173E-4</v>
      </c>
      <c r="T7411" s="10">
        <v>1.4135691147272448E-4</v>
      </c>
      <c r="U7411" s="10">
        <v>9.5719999999999998E-5</v>
      </c>
      <c r="V7411" s="25"/>
      <c r="W7411" s="25"/>
      <c r="X7411" s="25"/>
      <c r="Y7411" s="25"/>
      <c r="Z7411" s="25"/>
      <c r="AA7411" s="25"/>
    </row>
    <row r="7412" spans="1:27" x14ac:dyDescent="0.35">
      <c r="A7412" s="5">
        <v>7408</v>
      </c>
      <c r="B7412" s="5">
        <v>309</v>
      </c>
      <c r="C7412" s="5">
        <v>11</v>
      </c>
      <c r="D7412" s="25">
        <v>1.1415000000000001E-4</v>
      </c>
      <c r="E7412" s="25">
        <v>1.1081E-4</v>
      </c>
      <c r="F7412" s="25">
        <v>1.0685E-4</v>
      </c>
      <c r="G7412" s="25">
        <v>1.5962999999999999E-4</v>
      </c>
      <c r="H7412" s="25">
        <v>1.9563999999999999E-4</v>
      </c>
      <c r="I7412" s="9">
        <v>1.3252000000000001E-4</v>
      </c>
      <c r="J7412" s="9">
        <v>1.3824E-4</v>
      </c>
      <c r="K7412" s="9">
        <v>1.0809E-4</v>
      </c>
      <c r="L7412" s="9">
        <v>1.8199000000000001E-4</v>
      </c>
      <c r="M7412" s="9">
        <v>1.6741E-4</v>
      </c>
      <c r="N7412" s="9">
        <v>1.6577000000000001E-4</v>
      </c>
      <c r="O7412" s="9">
        <v>1.9694999999999999E-4</v>
      </c>
      <c r="P7412" s="9">
        <v>1.5148000000000001E-4</v>
      </c>
      <c r="Q7412" s="9">
        <v>1.0906E-4</v>
      </c>
      <c r="R7412" s="10">
        <v>1.1816671311570115E-4</v>
      </c>
      <c r="S7412" s="10">
        <v>1.370365018912926E-4</v>
      </c>
      <c r="T7412" s="10">
        <v>9.0366272378367957E-5</v>
      </c>
      <c r="U7412" s="10">
        <v>9.5719999999999998E-5</v>
      </c>
      <c r="V7412" s="25"/>
      <c r="W7412" s="25"/>
      <c r="X7412" s="25"/>
      <c r="Y7412" s="25"/>
      <c r="Z7412" s="25"/>
      <c r="AA7412" s="25"/>
    </row>
    <row r="7413" spans="1:27" x14ac:dyDescent="0.35">
      <c r="A7413" s="5">
        <v>7409</v>
      </c>
      <c r="B7413" s="5">
        <v>309</v>
      </c>
      <c r="C7413" s="5">
        <v>11</v>
      </c>
      <c r="D7413" s="25">
        <v>1.1416E-4</v>
      </c>
      <c r="E7413" s="25">
        <v>1.1165E-4</v>
      </c>
      <c r="F7413" s="25">
        <v>1.0614E-4</v>
      </c>
      <c r="G7413" s="25">
        <v>1.6207E-4</v>
      </c>
      <c r="H7413" s="25">
        <v>1.9374999999999999E-4</v>
      </c>
      <c r="I7413" s="9">
        <v>1.3213999999999999E-4</v>
      </c>
      <c r="J7413" s="9">
        <v>1.3948000000000001E-4</v>
      </c>
      <c r="K7413" s="9">
        <v>1.3988E-4</v>
      </c>
      <c r="L7413" s="9">
        <v>1.9343E-4</v>
      </c>
      <c r="M7413" s="9">
        <v>1.6161999999999999E-4</v>
      </c>
      <c r="N7413" s="9">
        <v>1.5197999999999999E-4</v>
      </c>
      <c r="O7413" s="9">
        <v>2.1462E-4</v>
      </c>
      <c r="P7413" s="9">
        <v>1.5907000000000001E-4</v>
      </c>
      <c r="Q7413" s="9">
        <v>1.07E-4</v>
      </c>
      <c r="R7413" s="10">
        <v>1.3829968020293023E-4</v>
      </c>
      <c r="S7413" s="10">
        <v>1.5762618151173759E-4</v>
      </c>
      <c r="T7413" s="10">
        <v>0</v>
      </c>
      <c r="U7413" s="10">
        <v>9.5719999999999998E-5</v>
      </c>
      <c r="V7413" s="25"/>
      <c r="W7413" s="25"/>
      <c r="X7413" s="25"/>
      <c r="Y7413" s="25"/>
      <c r="Z7413" s="25"/>
      <c r="AA7413" s="25"/>
    </row>
    <row r="7414" spans="1:27" x14ac:dyDescent="0.35">
      <c r="A7414" s="5">
        <v>7410</v>
      </c>
      <c r="B7414" s="5">
        <v>309</v>
      </c>
      <c r="C7414" s="5">
        <v>11</v>
      </c>
      <c r="D7414" s="25">
        <v>1.1415000000000001E-4</v>
      </c>
      <c r="E7414" s="25">
        <v>1.1708E-4</v>
      </c>
      <c r="F7414" s="25">
        <v>1.1488E-4</v>
      </c>
      <c r="G7414" s="25">
        <v>1.6474999999999999E-4</v>
      </c>
      <c r="H7414" s="25">
        <v>1.9519000000000001E-4</v>
      </c>
      <c r="I7414" s="9">
        <v>1.3799E-4</v>
      </c>
      <c r="J7414" s="9">
        <v>1.4746E-4</v>
      </c>
      <c r="K7414" s="9">
        <v>1.5259E-4</v>
      </c>
      <c r="L7414" s="9">
        <v>2.0973000000000001E-4</v>
      </c>
      <c r="M7414" s="9">
        <v>1.5909E-4</v>
      </c>
      <c r="N7414" s="9">
        <v>1.3872E-4</v>
      </c>
      <c r="O7414" s="9">
        <v>2.0639000000000001E-4</v>
      </c>
      <c r="P7414" s="9">
        <v>1.6045E-4</v>
      </c>
      <c r="Q7414" s="9">
        <v>1.1772E-4</v>
      </c>
      <c r="R7414" s="10">
        <v>1.6535475656843487E-4</v>
      </c>
      <c r="S7414" s="10">
        <v>1.5710611949434631E-4</v>
      </c>
      <c r="T7414" s="10">
        <v>0</v>
      </c>
      <c r="U7414" s="10">
        <v>9.5719999999999998E-5</v>
      </c>
      <c r="V7414" s="25"/>
      <c r="W7414" s="25"/>
      <c r="X7414" s="25"/>
      <c r="Y7414" s="25"/>
      <c r="Z7414" s="25"/>
      <c r="AA7414" s="25"/>
    </row>
    <row r="7415" spans="1:27" x14ac:dyDescent="0.35">
      <c r="A7415" s="5">
        <v>7411</v>
      </c>
      <c r="B7415" s="5">
        <v>309</v>
      </c>
      <c r="C7415" s="5">
        <v>11</v>
      </c>
      <c r="D7415" s="25">
        <v>1.1416E-4</v>
      </c>
      <c r="E7415" s="25">
        <v>1.1137999999999999E-4</v>
      </c>
      <c r="F7415" s="25">
        <v>1.1153E-4</v>
      </c>
      <c r="G7415" s="25">
        <v>1.1198E-4</v>
      </c>
      <c r="H7415" s="25">
        <v>1.3168000000000001E-4</v>
      </c>
      <c r="I7415" s="9">
        <v>1.381E-4</v>
      </c>
      <c r="J7415" s="9">
        <v>1.4355999999999999E-4</v>
      </c>
      <c r="K7415" s="9">
        <v>1.5470999999999999E-4</v>
      </c>
      <c r="L7415" s="9">
        <v>2.0671E-4</v>
      </c>
      <c r="M7415" s="9">
        <v>1.5909999999999999E-4</v>
      </c>
      <c r="N7415" s="9">
        <v>1.2973999999999999E-4</v>
      </c>
      <c r="O7415" s="9">
        <v>1.6412999999999999E-4</v>
      </c>
      <c r="P7415" s="9">
        <v>1.3415000000000001E-4</v>
      </c>
      <c r="Q7415" s="9">
        <v>1.0647E-4</v>
      </c>
      <c r="R7415" s="10">
        <v>1.9079721699845085E-4</v>
      </c>
      <c r="S7415" s="10">
        <v>1.7206438407257581E-4</v>
      </c>
      <c r="T7415" s="10">
        <v>0</v>
      </c>
      <c r="U7415" s="10">
        <v>9.5719999999999998E-5</v>
      </c>
      <c r="V7415" s="25"/>
      <c r="W7415" s="25"/>
      <c r="X7415" s="25"/>
      <c r="Y7415" s="25"/>
      <c r="Z7415" s="25"/>
      <c r="AA7415" s="25"/>
    </row>
    <row r="7416" spans="1:27" x14ac:dyDescent="0.35">
      <c r="A7416" s="5">
        <v>7412</v>
      </c>
      <c r="B7416" s="5">
        <v>309</v>
      </c>
      <c r="C7416" s="5">
        <v>11</v>
      </c>
      <c r="D7416" s="25">
        <v>1.1415000000000001E-4</v>
      </c>
      <c r="E7416" s="25">
        <v>1.1283E-4</v>
      </c>
      <c r="F7416" s="25">
        <v>1.014E-4</v>
      </c>
      <c r="G7416" s="25">
        <v>1.0565000000000001E-4</v>
      </c>
      <c r="H7416" s="25">
        <v>1.3435000000000001E-4</v>
      </c>
      <c r="I7416" s="9">
        <v>1.3205000000000001E-4</v>
      </c>
      <c r="J7416" s="9">
        <v>1.3809E-4</v>
      </c>
      <c r="K7416" s="9">
        <v>1.5259E-4</v>
      </c>
      <c r="L7416" s="9">
        <v>1.7364999999999999E-4</v>
      </c>
      <c r="M7416" s="9">
        <v>1.5028E-4</v>
      </c>
      <c r="N7416" s="9">
        <v>1.2059E-4</v>
      </c>
      <c r="O7416" s="9">
        <v>1.3029E-4</v>
      </c>
      <c r="P7416" s="9">
        <v>1.1569E-4</v>
      </c>
      <c r="Q7416" s="9">
        <v>1.0263E-4</v>
      </c>
      <c r="R7416" s="10">
        <v>1.9826526736693053E-4</v>
      </c>
      <c r="S7416" s="10">
        <v>1.8253547794201517E-4</v>
      </c>
      <c r="T7416" s="10">
        <v>0</v>
      </c>
      <c r="U7416" s="10">
        <v>9.5719999999999998E-5</v>
      </c>
      <c r="V7416" s="25"/>
      <c r="W7416" s="25"/>
      <c r="X7416" s="25"/>
      <c r="Y7416" s="25"/>
      <c r="Z7416" s="25"/>
      <c r="AA7416" s="25"/>
    </row>
    <row r="7417" spans="1:27" x14ac:dyDescent="0.35">
      <c r="A7417" s="5">
        <v>7413</v>
      </c>
      <c r="B7417" s="5">
        <v>309</v>
      </c>
      <c r="C7417" s="5">
        <v>11</v>
      </c>
      <c r="D7417" s="25">
        <v>1.1416E-4</v>
      </c>
      <c r="E7417" s="25">
        <v>1.1331E-4</v>
      </c>
      <c r="F7417" s="25">
        <v>1.2032999999999999E-4</v>
      </c>
      <c r="G7417" s="25">
        <v>5.6749999999999997E-5</v>
      </c>
      <c r="H7417" s="25">
        <v>6.7570000000000005E-5</v>
      </c>
      <c r="I7417" s="9">
        <v>1.2548999999999999E-4</v>
      </c>
      <c r="J7417" s="9">
        <v>1.3041999999999999E-4</v>
      </c>
      <c r="K7417" s="9">
        <v>1.5048000000000001E-4</v>
      </c>
      <c r="L7417" s="9">
        <v>1.4085000000000001E-4</v>
      </c>
      <c r="M7417" s="9">
        <v>1.3533999999999999E-4</v>
      </c>
      <c r="N7417" s="9">
        <v>1.1314E-4</v>
      </c>
      <c r="O7417" s="9">
        <v>8.5589999999999999E-5</v>
      </c>
      <c r="P7417" s="9">
        <v>8.7000000000000001E-5</v>
      </c>
      <c r="Q7417" s="9">
        <v>8.9019999999999998E-5</v>
      </c>
      <c r="R7417" s="10">
        <v>2.0031401090751336E-4</v>
      </c>
      <c r="S7417" s="10">
        <v>1.8523097617404938E-4</v>
      </c>
      <c r="T7417" s="10">
        <v>0</v>
      </c>
      <c r="U7417" s="10">
        <v>9.5719999999999998E-5</v>
      </c>
      <c r="V7417" s="25"/>
      <c r="W7417" s="25"/>
      <c r="X7417" s="25"/>
      <c r="Y7417" s="25"/>
      <c r="Z7417" s="25"/>
      <c r="AA7417" s="25"/>
    </row>
    <row r="7418" spans="1:27" x14ac:dyDescent="0.35">
      <c r="A7418" s="5">
        <v>7414</v>
      </c>
      <c r="B7418" s="5">
        <v>309</v>
      </c>
      <c r="C7418" s="5">
        <v>11</v>
      </c>
      <c r="D7418" s="25">
        <v>1.1415000000000001E-4</v>
      </c>
      <c r="E7418" s="25">
        <v>1.0844E-4</v>
      </c>
      <c r="F7418" s="25">
        <v>1.0163E-4</v>
      </c>
      <c r="G7418" s="25">
        <v>5.4950000000000001E-5</v>
      </c>
      <c r="H7418" s="25">
        <v>6.745E-5</v>
      </c>
      <c r="I7418" s="9">
        <v>1.1985E-4</v>
      </c>
      <c r="J7418" s="9">
        <v>1.2253000000000001E-4</v>
      </c>
      <c r="K7418" s="9">
        <v>1.3988E-4</v>
      </c>
      <c r="L7418" s="9">
        <v>9.8640000000000004E-5</v>
      </c>
      <c r="M7418" s="9">
        <v>1.1411E-4</v>
      </c>
      <c r="N7418" s="9">
        <v>1.0576E-4</v>
      </c>
      <c r="O7418" s="9">
        <v>8.852E-5</v>
      </c>
      <c r="P7418" s="9">
        <v>8.8510000000000005E-5</v>
      </c>
      <c r="Q7418" s="9">
        <v>8.9170000000000002E-5</v>
      </c>
      <c r="R7418" s="10">
        <v>1.9969991457980028E-4</v>
      </c>
      <c r="S7418" s="10">
        <v>1.8607246065884016E-4</v>
      </c>
      <c r="T7418" s="10">
        <v>0</v>
      </c>
      <c r="U7418" s="10">
        <v>9.5719999999999998E-5</v>
      </c>
      <c r="V7418" s="25"/>
      <c r="W7418" s="25"/>
      <c r="X7418" s="25"/>
      <c r="Y7418" s="25"/>
      <c r="Z7418" s="25"/>
      <c r="AA7418" s="25"/>
    </row>
    <row r="7419" spans="1:27" x14ac:dyDescent="0.35">
      <c r="A7419" s="5">
        <v>7415</v>
      </c>
      <c r="B7419" s="5">
        <v>309</v>
      </c>
      <c r="C7419" s="5">
        <v>11</v>
      </c>
      <c r="D7419" s="25">
        <v>1.1416E-4</v>
      </c>
      <c r="E7419" s="25">
        <v>1.1639E-4</v>
      </c>
      <c r="F7419" s="25">
        <v>1.131E-4</v>
      </c>
      <c r="G7419" s="25">
        <v>5.7979999999999997E-5</v>
      </c>
      <c r="H7419" s="25">
        <v>7.1039999999999997E-5</v>
      </c>
      <c r="I7419" s="9">
        <v>1.2027E-4</v>
      </c>
      <c r="J7419" s="9">
        <v>1.1445E-4</v>
      </c>
      <c r="K7419" s="9">
        <v>1.2504000000000001E-4</v>
      </c>
      <c r="L7419" s="9">
        <v>9.1680000000000003E-5</v>
      </c>
      <c r="M7419" s="9">
        <v>9.9690000000000003E-5</v>
      </c>
      <c r="N7419" s="9">
        <v>1.0019E-4</v>
      </c>
      <c r="O7419" s="9">
        <v>7.7360000000000005E-5</v>
      </c>
      <c r="P7419" s="9">
        <v>7.1559999999999999E-5</v>
      </c>
      <c r="Q7419" s="9">
        <v>6.635E-5</v>
      </c>
      <c r="R7419" s="10">
        <v>1.9801608572756588E-4</v>
      </c>
      <c r="S7419" s="10">
        <v>1.800854375453765E-4</v>
      </c>
      <c r="T7419" s="10">
        <v>0</v>
      </c>
      <c r="U7419" s="10">
        <v>9.5719999999999998E-5</v>
      </c>
      <c r="V7419" s="25"/>
      <c r="W7419" s="25"/>
      <c r="X7419" s="25"/>
      <c r="Y7419" s="25"/>
      <c r="Z7419" s="25"/>
      <c r="AA7419" s="25"/>
    </row>
    <row r="7420" spans="1:27" x14ac:dyDescent="0.35">
      <c r="A7420" s="5">
        <v>7416</v>
      </c>
      <c r="B7420" s="5">
        <v>309</v>
      </c>
      <c r="C7420" s="5">
        <v>11</v>
      </c>
      <c r="D7420" s="25">
        <v>1.1415000000000001E-4</v>
      </c>
      <c r="E7420" s="25">
        <v>1.1514999999999999E-4</v>
      </c>
      <c r="F7420" s="25">
        <v>1.0697E-4</v>
      </c>
      <c r="G7420" s="25">
        <v>5.605E-5</v>
      </c>
      <c r="H7420" s="25">
        <v>6.3899999999999995E-5</v>
      </c>
      <c r="I7420" s="9">
        <v>1.1942000000000001E-4</v>
      </c>
      <c r="J7420" s="9">
        <v>1.0815999999999999E-4</v>
      </c>
      <c r="K7420" s="9">
        <v>1.1868E-4</v>
      </c>
      <c r="L7420" s="9">
        <v>8.051E-5</v>
      </c>
      <c r="M7420" s="9">
        <v>8.6390000000000005E-5</v>
      </c>
      <c r="N7420" s="9">
        <v>9.0799999999999998E-5</v>
      </c>
      <c r="O7420" s="9">
        <v>6.2689999999999998E-5</v>
      </c>
      <c r="P7420" s="9">
        <v>6.0569999999999998E-5</v>
      </c>
      <c r="Q7420" s="9">
        <v>5.8749999999999998E-5</v>
      </c>
      <c r="R7420" s="10">
        <v>1.9524607139638042E-4</v>
      </c>
      <c r="S7420" s="10">
        <v>1.7208826597152419E-4</v>
      </c>
      <c r="T7420" s="10">
        <v>0</v>
      </c>
      <c r="U7420" s="10">
        <v>9.5719999999999998E-5</v>
      </c>
      <c r="V7420" s="25"/>
      <c r="W7420" s="25"/>
      <c r="X7420" s="25"/>
      <c r="Y7420" s="25"/>
      <c r="Z7420" s="25"/>
      <c r="AA7420" s="25"/>
    </row>
    <row r="7421" spans="1:27" x14ac:dyDescent="0.35">
      <c r="A7421" s="5">
        <v>7417</v>
      </c>
      <c r="B7421" s="5">
        <v>310</v>
      </c>
      <c r="C7421" s="5">
        <v>11</v>
      </c>
      <c r="D7421" s="25">
        <v>1.1416E-4</v>
      </c>
      <c r="E7421" s="25">
        <v>1.1167000000000001E-4</v>
      </c>
      <c r="F7421" s="25">
        <v>1.0815999999999999E-4</v>
      </c>
      <c r="G7421" s="25">
        <v>5.3239999999999998E-5</v>
      </c>
      <c r="H7421" s="25">
        <v>6.7349999999999997E-5</v>
      </c>
      <c r="I7421" s="9">
        <v>1.1043E-4</v>
      </c>
      <c r="J7421" s="9">
        <v>1.0163E-4</v>
      </c>
      <c r="K7421" s="9">
        <v>1.1445E-4</v>
      </c>
      <c r="L7421" s="9">
        <v>6.6639999999999999E-5</v>
      </c>
      <c r="M7421" s="9">
        <v>7.4010000000000005E-5</v>
      </c>
      <c r="N7421" s="9">
        <v>8.1349999999999999E-5</v>
      </c>
      <c r="O7421" s="9">
        <v>5.4799999999999997E-5</v>
      </c>
      <c r="P7421" s="9">
        <v>5.4209999999999998E-5</v>
      </c>
      <c r="Q7421" s="9">
        <v>5.3779999999999997E-5</v>
      </c>
      <c r="R7421" s="10">
        <v>1.9669653802523149E-4</v>
      </c>
      <c r="S7421" s="10">
        <v>1.6902206135557818E-4</v>
      </c>
      <c r="T7421" s="10">
        <v>0</v>
      </c>
      <c r="U7421" s="10">
        <v>9.7540000000000005E-5</v>
      </c>
      <c r="V7421" s="25"/>
      <c r="W7421" s="25"/>
      <c r="X7421" s="25"/>
      <c r="Y7421" s="25"/>
      <c r="Z7421" s="25"/>
      <c r="AA7421" s="25"/>
    </row>
    <row r="7422" spans="1:27" x14ac:dyDescent="0.35">
      <c r="A7422" s="5">
        <v>7418</v>
      </c>
      <c r="B7422" s="5">
        <v>310</v>
      </c>
      <c r="C7422" s="5">
        <v>11</v>
      </c>
      <c r="D7422" s="25">
        <v>1.1415000000000001E-4</v>
      </c>
      <c r="E7422" s="25">
        <v>1.1402E-4</v>
      </c>
      <c r="F7422" s="25">
        <v>1.0584E-4</v>
      </c>
      <c r="G7422" s="25">
        <v>5.2599999999999998E-5</v>
      </c>
      <c r="H7422" s="25">
        <v>6.3479999999999995E-5</v>
      </c>
      <c r="I7422" s="9">
        <v>1.0493999999999999E-4</v>
      </c>
      <c r="J7422" s="9">
        <v>9.6479999999999998E-5</v>
      </c>
      <c r="K7422" s="9">
        <v>1.1868E-4</v>
      </c>
      <c r="L7422" s="9">
        <v>5.7779999999999999E-5</v>
      </c>
      <c r="M7422" s="9">
        <v>6.3949999999999996E-5</v>
      </c>
      <c r="N7422" s="9">
        <v>7.2260000000000003E-5</v>
      </c>
      <c r="O7422" s="9">
        <v>1.8749999999999998E-5</v>
      </c>
      <c r="P7422" s="9">
        <v>3.8019999999999999E-5</v>
      </c>
      <c r="Q7422" s="9">
        <v>5.6589999999999999E-5</v>
      </c>
      <c r="R7422" s="10">
        <v>2.0222099652713197E-4</v>
      </c>
      <c r="S7422" s="10">
        <v>1.5185907289229055E-4</v>
      </c>
      <c r="T7422" s="10">
        <v>0</v>
      </c>
      <c r="U7422" s="10">
        <v>9.7540000000000005E-5</v>
      </c>
      <c r="V7422" s="25"/>
      <c r="W7422" s="25"/>
      <c r="X7422" s="25"/>
      <c r="Y7422" s="25"/>
      <c r="Z7422" s="25"/>
      <c r="AA7422" s="25"/>
    </row>
    <row r="7423" spans="1:27" x14ac:dyDescent="0.35">
      <c r="A7423" s="5">
        <v>7419</v>
      </c>
      <c r="B7423" s="5">
        <v>310</v>
      </c>
      <c r="C7423" s="5">
        <v>11</v>
      </c>
      <c r="D7423" s="25">
        <v>1.1416E-4</v>
      </c>
      <c r="E7423" s="25">
        <v>1.1634E-4</v>
      </c>
      <c r="F7423" s="25">
        <v>1.0781E-4</v>
      </c>
      <c r="G7423" s="25">
        <v>5.605E-5</v>
      </c>
      <c r="H7423" s="25">
        <v>6.6589999999999998E-5</v>
      </c>
      <c r="I7423" s="9">
        <v>9.98E-5</v>
      </c>
      <c r="J7423" s="9">
        <v>9.3670000000000003E-5</v>
      </c>
      <c r="K7423" s="9">
        <v>1.1869E-4</v>
      </c>
      <c r="L7423" s="9">
        <v>2.7529999999999999E-5</v>
      </c>
      <c r="M7423" s="9">
        <v>5.2330000000000002E-5</v>
      </c>
      <c r="N7423" s="9">
        <v>6.5710000000000006E-5</v>
      </c>
      <c r="O7423" s="9">
        <v>1.314E-5</v>
      </c>
      <c r="P7423" s="9">
        <v>3.7870000000000002E-5</v>
      </c>
      <c r="Q7423" s="9">
        <v>6.1719999999999999E-5</v>
      </c>
      <c r="R7423" s="10">
        <v>2.0725150018206025E-4</v>
      </c>
      <c r="S7423" s="10">
        <v>1.4836487960005556E-4</v>
      </c>
      <c r="T7423" s="10">
        <v>0</v>
      </c>
      <c r="U7423" s="10">
        <v>9.7540000000000005E-5</v>
      </c>
      <c r="V7423" s="25"/>
      <c r="W7423" s="25"/>
      <c r="X7423" s="25"/>
      <c r="Y7423" s="25"/>
      <c r="Z7423" s="25"/>
      <c r="AA7423" s="25"/>
    </row>
    <row r="7424" spans="1:27" x14ac:dyDescent="0.35">
      <c r="A7424" s="5">
        <v>7420</v>
      </c>
      <c r="B7424" s="5">
        <v>310</v>
      </c>
      <c r="C7424" s="5">
        <v>11</v>
      </c>
      <c r="D7424" s="25">
        <v>1.1415000000000001E-4</v>
      </c>
      <c r="E7424" s="25">
        <v>1.1338E-4</v>
      </c>
      <c r="F7424" s="25">
        <v>1.1806E-4</v>
      </c>
      <c r="G7424" s="25">
        <v>6.033E-5</v>
      </c>
      <c r="H7424" s="25">
        <v>6.8830000000000003E-5</v>
      </c>
      <c r="I7424" s="9">
        <v>9.6470000000000003E-5</v>
      </c>
      <c r="J7424" s="9">
        <v>9.2490000000000004E-5</v>
      </c>
      <c r="K7424" s="9">
        <v>1.2292E-4</v>
      </c>
      <c r="L7424" s="9">
        <v>1.7050000000000001E-5</v>
      </c>
      <c r="M7424" s="9">
        <v>4.4360000000000002E-5</v>
      </c>
      <c r="N7424" s="9">
        <v>6.2089999999999997E-5</v>
      </c>
      <c r="O7424" s="9">
        <v>1.3159999999999999E-5</v>
      </c>
      <c r="P7424" s="9">
        <v>4.7410000000000002E-5</v>
      </c>
      <c r="Q7424" s="9">
        <v>8.064E-5</v>
      </c>
      <c r="R7424" s="10">
        <v>2.0914704958809149E-4</v>
      </c>
      <c r="S7424" s="10">
        <v>1.4379806478005729E-4</v>
      </c>
      <c r="T7424" s="10">
        <v>0</v>
      </c>
      <c r="U7424" s="10">
        <v>9.7540000000000005E-5</v>
      </c>
      <c r="V7424" s="25"/>
      <c r="W7424" s="25"/>
      <c r="X7424" s="25"/>
      <c r="Y7424" s="25"/>
      <c r="Z7424" s="25"/>
      <c r="AA7424" s="25"/>
    </row>
    <row r="7425" spans="1:27" x14ac:dyDescent="0.35">
      <c r="A7425" s="5">
        <v>7421</v>
      </c>
      <c r="B7425" s="5">
        <v>310</v>
      </c>
      <c r="C7425" s="5">
        <v>11</v>
      </c>
      <c r="D7425" s="25">
        <v>1.1416E-4</v>
      </c>
      <c r="E7425" s="25">
        <v>1.1647E-4</v>
      </c>
      <c r="F7425" s="25">
        <v>1.0802999999999999E-4</v>
      </c>
      <c r="G7425" s="25">
        <v>5.7299999999999997E-5</v>
      </c>
      <c r="H7425" s="25">
        <v>6.4319999999999994E-5</v>
      </c>
      <c r="I7425" s="9">
        <v>9.7139999999999995E-5</v>
      </c>
      <c r="J7425" s="9">
        <v>9.2E-5</v>
      </c>
      <c r="K7425" s="9">
        <v>1.3564E-4</v>
      </c>
      <c r="L7425" s="9">
        <v>1.4270000000000001E-5</v>
      </c>
      <c r="M7425" s="9">
        <v>4.3659999999999999E-5</v>
      </c>
      <c r="N7425" s="9">
        <v>6.4649999999999999E-5</v>
      </c>
      <c r="O7425" s="9">
        <v>1.8649999999999999E-5</v>
      </c>
      <c r="P7425" s="9">
        <v>5.6730000000000001E-5</v>
      </c>
      <c r="Q7425" s="9">
        <v>9.3809999999999998E-5</v>
      </c>
      <c r="R7425" s="10">
        <v>2.0778688912893094E-4</v>
      </c>
      <c r="S7425" s="10">
        <v>1.3907815750086622E-4</v>
      </c>
      <c r="T7425" s="10">
        <v>0</v>
      </c>
      <c r="U7425" s="10">
        <v>9.7540000000000005E-5</v>
      </c>
      <c r="V7425" s="25"/>
      <c r="W7425" s="25"/>
      <c r="X7425" s="25"/>
      <c r="Y7425" s="25"/>
      <c r="Z7425" s="25"/>
      <c r="AA7425" s="25"/>
    </row>
    <row r="7426" spans="1:27" x14ac:dyDescent="0.35">
      <c r="A7426" s="5">
        <v>7422</v>
      </c>
      <c r="B7426" s="5">
        <v>310</v>
      </c>
      <c r="C7426" s="5">
        <v>11</v>
      </c>
      <c r="D7426" s="25">
        <v>1.1415000000000001E-4</v>
      </c>
      <c r="E7426" s="25">
        <v>1.2135E-4</v>
      </c>
      <c r="F7426" s="25">
        <v>1.2747E-4</v>
      </c>
      <c r="G7426" s="25">
        <v>1.136E-4</v>
      </c>
      <c r="H7426" s="25">
        <v>1.3613000000000001E-4</v>
      </c>
      <c r="I7426" s="9">
        <v>9.8220000000000005E-5</v>
      </c>
      <c r="J7426" s="9">
        <v>9.2990000000000002E-5</v>
      </c>
      <c r="K7426" s="9">
        <v>1.3988E-4</v>
      </c>
      <c r="L7426" s="9">
        <v>1.7560000000000001E-5</v>
      </c>
      <c r="M7426" s="9">
        <v>4.8539999999999999E-5</v>
      </c>
      <c r="N7426" s="9">
        <v>7.1219999999999999E-5</v>
      </c>
      <c r="O7426" s="9">
        <v>4.5850000000000003E-5</v>
      </c>
      <c r="P7426" s="9">
        <v>7.6219999999999999E-5</v>
      </c>
      <c r="Q7426" s="9">
        <v>1.0614E-4</v>
      </c>
      <c r="R7426" s="10">
        <v>2.0718142743355992E-4</v>
      </c>
      <c r="S7426" s="10">
        <v>1.3208980024067267E-4</v>
      </c>
      <c r="T7426" s="10">
        <v>0</v>
      </c>
      <c r="U7426" s="10">
        <v>9.7540000000000005E-5</v>
      </c>
      <c r="V7426" s="25"/>
      <c r="W7426" s="25"/>
      <c r="X7426" s="25"/>
      <c r="Y7426" s="25"/>
      <c r="Z7426" s="25"/>
      <c r="AA7426" s="25"/>
    </row>
    <row r="7427" spans="1:27" x14ac:dyDescent="0.35">
      <c r="A7427" s="5">
        <v>7423</v>
      </c>
      <c r="B7427" s="5">
        <v>310</v>
      </c>
      <c r="C7427" s="5">
        <v>11</v>
      </c>
      <c r="D7427" s="25">
        <v>1.1416E-4</v>
      </c>
      <c r="E7427" s="25">
        <v>1.184E-4</v>
      </c>
      <c r="F7427" s="25">
        <v>1.0883999999999999E-4</v>
      </c>
      <c r="G7427" s="25">
        <v>1.0582E-4</v>
      </c>
      <c r="H7427" s="25">
        <v>1.3862999999999999E-4</v>
      </c>
      <c r="I7427" s="9">
        <v>1.0229E-4</v>
      </c>
      <c r="J7427" s="9">
        <v>9.6959999999999993E-5</v>
      </c>
      <c r="K7427" s="9">
        <v>1.3776000000000001E-4</v>
      </c>
      <c r="L7427" s="9">
        <v>3.9480000000000001E-5</v>
      </c>
      <c r="M7427" s="9">
        <v>5.9880000000000003E-5</v>
      </c>
      <c r="N7427" s="9">
        <v>8.0690000000000002E-5</v>
      </c>
      <c r="O7427" s="9">
        <v>1.225E-4</v>
      </c>
      <c r="P7427" s="9">
        <v>1.1631E-4</v>
      </c>
      <c r="Q7427" s="9">
        <v>1.1141000000000001E-4</v>
      </c>
      <c r="R7427" s="10">
        <v>2.0274612563815416E-4</v>
      </c>
      <c r="S7427" s="10">
        <v>1.082878239650347E-4</v>
      </c>
      <c r="T7427" s="10">
        <v>0</v>
      </c>
      <c r="U7427" s="10">
        <v>9.7540000000000005E-5</v>
      </c>
      <c r="V7427" s="25"/>
      <c r="W7427" s="25"/>
      <c r="X7427" s="25"/>
      <c r="Y7427" s="25"/>
      <c r="Z7427" s="25"/>
      <c r="AA7427" s="25"/>
    </row>
    <row r="7428" spans="1:27" x14ac:dyDescent="0.35">
      <c r="A7428" s="5">
        <v>7424</v>
      </c>
      <c r="B7428" s="5">
        <v>310</v>
      </c>
      <c r="C7428" s="5">
        <v>11</v>
      </c>
      <c r="D7428" s="25">
        <v>1.1415000000000001E-4</v>
      </c>
      <c r="E7428" s="25">
        <v>1.2174E-4</v>
      </c>
      <c r="F7428" s="25">
        <v>1.0870999999999999E-4</v>
      </c>
      <c r="G7428" s="25">
        <v>1.6157000000000001E-4</v>
      </c>
      <c r="H7428" s="25">
        <v>1.9399E-4</v>
      </c>
      <c r="I7428" s="9">
        <v>1.0595E-4</v>
      </c>
      <c r="J7428" s="9">
        <v>1.0483E-4</v>
      </c>
      <c r="K7428" s="9">
        <v>1.208E-4</v>
      </c>
      <c r="L7428" s="9">
        <v>1.0362E-4</v>
      </c>
      <c r="M7428" s="9">
        <v>8.3109999999999995E-5</v>
      </c>
      <c r="N7428" s="9">
        <v>9.0530000000000002E-5</v>
      </c>
      <c r="O7428" s="9">
        <v>2.1981E-4</v>
      </c>
      <c r="P7428" s="9">
        <v>1.7631999999999999E-4</v>
      </c>
      <c r="Q7428" s="9">
        <v>1.3621E-4</v>
      </c>
      <c r="R7428" s="10">
        <v>1.9538780427262611E-4</v>
      </c>
      <c r="S7428" s="10">
        <v>9.2281089899341016E-5</v>
      </c>
      <c r="T7428" s="10">
        <v>0</v>
      </c>
      <c r="U7428" s="10">
        <v>9.7540000000000005E-5</v>
      </c>
      <c r="V7428" s="25"/>
      <c r="W7428" s="25"/>
      <c r="X7428" s="25"/>
      <c r="Y7428" s="25"/>
      <c r="Z7428" s="25"/>
      <c r="AA7428" s="25"/>
    </row>
    <row r="7429" spans="1:27" x14ac:dyDescent="0.35">
      <c r="A7429" s="5">
        <v>7425</v>
      </c>
      <c r="B7429" s="5">
        <v>310</v>
      </c>
      <c r="C7429" s="5">
        <v>11</v>
      </c>
      <c r="D7429" s="25">
        <v>1.1416E-4</v>
      </c>
      <c r="E7429" s="25">
        <v>1.1569999999999999E-4</v>
      </c>
      <c r="F7429" s="25">
        <v>1.1281999999999999E-4</v>
      </c>
      <c r="G7429" s="25">
        <v>1.6448E-4</v>
      </c>
      <c r="H7429" s="25">
        <v>1.9384E-4</v>
      </c>
      <c r="I7429" s="9">
        <v>1.1056E-4</v>
      </c>
      <c r="J7429" s="9">
        <v>1.1318E-4</v>
      </c>
      <c r="K7429" s="9">
        <v>8.2659999999999998E-5</v>
      </c>
      <c r="L7429" s="9">
        <v>1.9249E-4</v>
      </c>
      <c r="M7429" s="9">
        <v>1.2268000000000001E-4</v>
      </c>
      <c r="N7429" s="9">
        <v>1.0415E-4</v>
      </c>
      <c r="O7429" s="9">
        <v>2.1384E-4</v>
      </c>
      <c r="P7429" s="9">
        <v>1.9457E-4</v>
      </c>
      <c r="Q7429" s="9">
        <v>1.7819E-4</v>
      </c>
      <c r="R7429" s="10">
        <v>1.9379811144644427E-4</v>
      </c>
      <c r="S7429" s="10">
        <v>9.4255131438782409E-5</v>
      </c>
      <c r="T7429" s="10">
        <v>2.1855555125967126E-5</v>
      </c>
      <c r="U7429" s="10">
        <v>9.7540000000000005E-5</v>
      </c>
      <c r="V7429" s="25"/>
      <c r="W7429" s="25"/>
      <c r="X7429" s="25"/>
      <c r="Y7429" s="25"/>
      <c r="Z7429" s="25"/>
      <c r="AA7429" s="25"/>
    </row>
    <row r="7430" spans="1:27" x14ac:dyDescent="0.35">
      <c r="A7430" s="5">
        <v>7426</v>
      </c>
      <c r="B7430" s="5">
        <v>310</v>
      </c>
      <c r="C7430" s="5">
        <v>11</v>
      </c>
      <c r="D7430" s="25">
        <v>1.1415000000000001E-4</v>
      </c>
      <c r="E7430" s="25">
        <v>1.1419E-4</v>
      </c>
      <c r="F7430" s="25">
        <v>1.0766E-4</v>
      </c>
      <c r="G7430" s="25">
        <v>1.6114999999999999E-4</v>
      </c>
      <c r="H7430" s="25">
        <v>1.8929999999999999E-4</v>
      </c>
      <c r="I7430" s="9">
        <v>1.1666E-4</v>
      </c>
      <c r="J7430" s="9">
        <v>1.1987E-4</v>
      </c>
      <c r="K7430" s="9">
        <v>5.9349999999999999E-5</v>
      </c>
      <c r="L7430" s="9">
        <v>2.0681000000000001E-4</v>
      </c>
      <c r="M7430" s="9">
        <v>1.5860000000000001E-4</v>
      </c>
      <c r="N7430" s="9">
        <v>1.2447000000000001E-4</v>
      </c>
      <c r="O7430" s="9">
        <v>1.6776000000000001E-4</v>
      </c>
      <c r="P7430" s="9">
        <v>1.7396999999999999E-4</v>
      </c>
      <c r="Q7430" s="9">
        <v>1.8196E-4</v>
      </c>
      <c r="R7430" s="10">
        <v>1.868597593767277E-4</v>
      </c>
      <c r="S7430" s="10">
        <v>9.0302350137727342E-5</v>
      </c>
      <c r="T7430" s="10">
        <v>1.5662016600363086E-5</v>
      </c>
      <c r="U7430" s="10">
        <v>9.7540000000000005E-5</v>
      </c>
      <c r="V7430" s="25"/>
      <c r="W7430" s="25"/>
      <c r="X7430" s="25"/>
      <c r="Y7430" s="25"/>
      <c r="Z7430" s="25"/>
      <c r="AA7430" s="25"/>
    </row>
    <row r="7431" spans="1:27" x14ac:dyDescent="0.35">
      <c r="A7431" s="5">
        <v>7427</v>
      </c>
      <c r="B7431" s="5">
        <v>310</v>
      </c>
      <c r="C7431" s="5">
        <v>11</v>
      </c>
      <c r="D7431" s="25">
        <v>1.1416E-4</v>
      </c>
      <c r="E7431" s="25">
        <v>1.203E-4</v>
      </c>
      <c r="F7431" s="25">
        <v>1.1543E-4</v>
      </c>
      <c r="G7431" s="25">
        <v>1.5726E-4</v>
      </c>
      <c r="H7431" s="25">
        <v>1.9812000000000001E-4</v>
      </c>
      <c r="I7431" s="9">
        <v>1.1899E-4</v>
      </c>
      <c r="J7431" s="9">
        <v>1.2095E-4</v>
      </c>
      <c r="K7431" s="9">
        <v>3.18E-5</v>
      </c>
      <c r="L7431" s="9">
        <v>1.7636999999999999E-4</v>
      </c>
      <c r="M7431" s="9">
        <v>1.7249999999999999E-4</v>
      </c>
      <c r="N7431" s="9">
        <v>1.4255999999999999E-4</v>
      </c>
      <c r="O7431" s="9">
        <v>1.6615E-4</v>
      </c>
      <c r="P7431" s="9">
        <v>1.7096E-4</v>
      </c>
      <c r="Q7431" s="9">
        <v>1.7757E-4</v>
      </c>
      <c r="R7431" s="10">
        <v>1.7995383113447358E-4</v>
      </c>
      <c r="S7431" s="10">
        <v>1.0129462139696081E-4</v>
      </c>
      <c r="T7431" s="10">
        <v>1.3445069180170846E-4</v>
      </c>
      <c r="U7431" s="10">
        <v>9.7540000000000005E-5</v>
      </c>
      <c r="V7431" s="25"/>
      <c r="W7431" s="25"/>
      <c r="X7431" s="25"/>
      <c r="Y7431" s="25"/>
      <c r="Z7431" s="25"/>
      <c r="AA7431" s="25"/>
    </row>
    <row r="7432" spans="1:27" x14ac:dyDescent="0.35">
      <c r="A7432" s="5">
        <v>7428</v>
      </c>
      <c r="B7432" s="5">
        <v>310</v>
      </c>
      <c r="C7432" s="5">
        <v>11</v>
      </c>
      <c r="D7432" s="25">
        <v>1.1415000000000001E-4</v>
      </c>
      <c r="E7432" s="25">
        <v>1.136E-4</v>
      </c>
      <c r="F7432" s="25">
        <v>1.1578000000000001E-4</v>
      </c>
      <c r="G7432" s="25">
        <v>1.5652999999999999E-4</v>
      </c>
      <c r="H7432" s="25">
        <v>1.9500999999999999E-4</v>
      </c>
      <c r="I7432" s="9">
        <v>1.215E-4</v>
      </c>
      <c r="J7432" s="9">
        <v>1.2042E-4</v>
      </c>
      <c r="K7432" s="9">
        <v>2.332E-5</v>
      </c>
      <c r="L7432" s="9">
        <v>1.6985000000000001E-4</v>
      </c>
      <c r="M7432" s="9">
        <v>1.7427999999999999E-4</v>
      </c>
      <c r="N7432" s="9">
        <v>1.5629000000000001E-4</v>
      </c>
      <c r="O7432" s="9">
        <v>1.7118999999999999E-4</v>
      </c>
      <c r="P7432" s="9">
        <v>1.7194000000000001E-4</v>
      </c>
      <c r="Q7432" s="9">
        <v>1.7462000000000001E-4</v>
      </c>
      <c r="R7432" s="10">
        <v>1.5800431472722098E-4</v>
      </c>
      <c r="S7432" s="10">
        <v>1.1741313775883785E-4</v>
      </c>
      <c r="T7432" s="10">
        <v>3.177370106628373E-5</v>
      </c>
      <c r="U7432" s="10">
        <v>9.7540000000000005E-5</v>
      </c>
      <c r="V7432" s="25"/>
      <c r="W7432" s="25"/>
      <c r="X7432" s="25"/>
      <c r="Y7432" s="25"/>
      <c r="Z7432" s="25"/>
      <c r="AA7432" s="25"/>
    </row>
    <row r="7433" spans="1:27" x14ac:dyDescent="0.35">
      <c r="A7433" s="5">
        <v>7429</v>
      </c>
      <c r="B7433" s="5">
        <v>310</v>
      </c>
      <c r="C7433" s="5">
        <v>11</v>
      </c>
      <c r="D7433" s="25">
        <v>1.1416E-4</v>
      </c>
      <c r="E7433" s="25">
        <v>1.1925E-4</v>
      </c>
      <c r="F7433" s="25">
        <v>1.171E-4</v>
      </c>
      <c r="G7433" s="25">
        <v>1.6328999999999999E-4</v>
      </c>
      <c r="H7433" s="25">
        <v>1.9709999999999999E-4</v>
      </c>
      <c r="I7433" s="9">
        <v>1.1953E-4</v>
      </c>
      <c r="J7433" s="9">
        <v>1.2045E-4</v>
      </c>
      <c r="K7433" s="9">
        <v>2.5429999999999999E-5</v>
      </c>
      <c r="L7433" s="9">
        <v>1.7112E-4</v>
      </c>
      <c r="M7433" s="9">
        <v>1.7338999999999999E-4</v>
      </c>
      <c r="N7433" s="9">
        <v>1.6594E-4</v>
      </c>
      <c r="O7433" s="9">
        <v>1.6307E-4</v>
      </c>
      <c r="P7433" s="9">
        <v>1.6469999999999999E-4</v>
      </c>
      <c r="Q7433" s="9">
        <v>1.6810999999999999E-4</v>
      </c>
      <c r="R7433" s="10">
        <v>1.7081755456556852E-4</v>
      </c>
      <c r="S7433" s="10">
        <v>1.2550051174576527E-4</v>
      </c>
      <c r="T7433" s="10">
        <v>1.7376693499026889E-4</v>
      </c>
      <c r="U7433" s="10">
        <v>9.7540000000000005E-5</v>
      </c>
      <c r="V7433" s="25"/>
      <c r="W7433" s="25"/>
      <c r="X7433" s="25"/>
      <c r="Y7433" s="25"/>
      <c r="Z7433" s="25"/>
      <c r="AA7433" s="25"/>
    </row>
    <row r="7434" spans="1:27" x14ac:dyDescent="0.35">
      <c r="A7434" s="5">
        <v>7430</v>
      </c>
      <c r="B7434" s="5">
        <v>310</v>
      </c>
      <c r="C7434" s="5">
        <v>11</v>
      </c>
      <c r="D7434" s="25">
        <v>1.1415000000000001E-4</v>
      </c>
      <c r="E7434" s="25">
        <v>1.1631E-4</v>
      </c>
      <c r="F7434" s="25">
        <v>1.1574999999999999E-4</v>
      </c>
      <c r="G7434" s="25">
        <v>1.6577000000000001E-4</v>
      </c>
      <c r="H7434" s="25">
        <v>1.9441E-4</v>
      </c>
      <c r="I7434" s="9">
        <v>1.1504E-4</v>
      </c>
      <c r="J7434" s="9">
        <v>1.1938E-4</v>
      </c>
      <c r="K7434" s="9">
        <v>1.06E-5</v>
      </c>
      <c r="L7434" s="9">
        <v>1.6453999999999999E-4</v>
      </c>
      <c r="M7434" s="9">
        <v>1.7003E-4</v>
      </c>
      <c r="N7434" s="9">
        <v>1.7047000000000001E-4</v>
      </c>
      <c r="O7434" s="9">
        <v>1.8001000000000001E-4</v>
      </c>
      <c r="P7434" s="9">
        <v>1.6971E-4</v>
      </c>
      <c r="Q7434" s="9">
        <v>1.6164E-4</v>
      </c>
      <c r="R7434" s="10">
        <v>1.8154495318893038E-4</v>
      </c>
      <c r="S7434" s="10">
        <v>1.4851962913242707E-4</v>
      </c>
      <c r="T7434" s="10">
        <v>2.1024093789653155E-5</v>
      </c>
      <c r="U7434" s="10">
        <v>9.7540000000000005E-5</v>
      </c>
      <c r="V7434" s="25"/>
      <c r="W7434" s="25"/>
      <c r="X7434" s="25"/>
      <c r="Y7434" s="25"/>
      <c r="Z7434" s="25"/>
      <c r="AA7434" s="25"/>
    </row>
    <row r="7435" spans="1:27" x14ac:dyDescent="0.35">
      <c r="A7435" s="5">
        <v>7431</v>
      </c>
      <c r="B7435" s="5">
        <v>310</v>
      </c>
      <c r="C7435" s="5">
        <v>11</v>
      </c>
      <c r="D7435" s="25">
        <v>1.1416E-4</v>
      </c>
      <c r="E7435" s="25">
        <v>1.2142E-4</v>
      </c>
      <c r="F7435" s="25">
        <v>1.2365999999999999E-4</v>
      </c>
      <c r="G7435" s="25">
        <v>1.6470999999999999E-4</v>
      </c>
      <c r="H7435" s="25">
        <v>1.9195E-4</v>
      </c>
      <c r="I7435" s="9">
        <v>1.1341E-4</v>
      </c>
      <c r="J7435" s="9">
        <v>1.198E-4</v>
      </c>
      <c r="K7435" s="9">
        <v>2.756E-5</v>
      </c>
      <c r="L7435" s="9">
        <v>1.7674999999999999E-4</v>
      </c>
      <c r="M7435" s="9">
        <v>1.6894999999999999E-4</v>
      </c>
      <c r="N7435" s="9">
        <v>1.7018E-4</v>
      </c>
      <c r="O7435" s="9">
        <v>1.8508000000000001E-4</v>
      </c>
      <c r="P7435" s="9">
        <v>1.6791000000000001E-4</v>
      </c>
      <c r="Q7435" s="9">
        <v>1.5315000000000001E-4</v>
      </c>
      <c r="R7435" s="10">
        <v>1.7841369417715948E-4</v>
      </c>
      <c r="S7435" s="10">
        <v>1.7442285933627394E-4</v>
      </c>
      <c r="T7435" s="10">
        <v>2.9190231914165329E-4</v>
      </c>
      <c r="U7435" s="10">
        <v>9.7540000000000005E-5</v>
      </c>
      <c r="V7435" s="25"/>
      <c r="W7435" s="25"/>
      <c r="X7435" s="25"/>
      <c r="Y7435" s="25"/>
      <c r="Z7435" s="25"/>
      <c r="AA7435" s="25"/>
    </row>
    <row r="7436" spans="1:27" x14ac:dyDescent="0.35">
      <c r="A7436" s="5">
        <v>7432</v>
      </c>
      <c r="B7436" s="5">
        <v>310</v>
      </c>
      <c r="C7436" s="5">
        <v>11</v>
      </c>
      <c r="D7436" s="25">
        <v>1.1415000000000001E-4</v>
      </c>
      <c r="E7436" s="25">
        <v>1.1725E-4</v>
      </c>
      <c r="F7436" s="25">
        <v>1.1048E-4</v>
      </c>
      <c r="G7436" s="25">
        <v>1.5857999999999999E-4</v>
      </c>
      <c r="H7436" s="25">
        <v>1.9877999999999999E-4</v>
      </c>
      <c r="I7436" s="9">
        <v>1.1540999999999999E-4</v>
      </c>
      <c r="J7436" s="9">
        <v>1.1982E-4</v>
      </c>
      <c r="K7436" s="9">
        <v>4.8749999999999999E-5</v>
      </c>
      <c r="L7436" s="9">
        <v>1.8294000000000001E-4</v>
      </c>
      <c r="M7436" s="9">
        <v>1.6836999999999999E-4</v>
      </c>
      <c r="N7436" s="9">
        <v>1.6645000000000001E-4</v>
      </c>
      <c r="O7436" s="9">
        <v>1.9635E-4</v>
      </c>
      <c r="P7436" s="9">
        <v>1.5101000000000001E-4</v>
      </c>
      <c r="Q7436" s="9">
        <v>1.0872E-4</v>
      </c>
      <c r="R7436" s="10">
        <v>1.5817432359142698E-4</v>
      </c>
      <c r="S7436" s="10">
        <v>1.7947766439169334E-4</v>
      </c>
      <c r="T7436" s="10">
        <v>6.0340336978213584E-5</v>
      </c>
      <c r="U7436" s="10">
        <v>9.7540000000000005E-5</v>
      </c>
      <c r="V7436" s="25"/>
      <c r="W7436" s="25"/>
      <c r="X7436" s="25"/>
      <c r="Y7436" s="25"/>
      <c r="Z7436" s="25"/>
      <c r="AA7436" s="25"/>
    </row>
    <row r="7437" spans="1:27" x14ac:dyDescent="0.35">
      <c r="A7437" s="5">
        <v>7433</v>
      </c>
      <c r="B7437" s="5">
        <v>310</v>
      </c>
      <c r="C7437" s="5">
        <v>11</v>
      </c>
      <c r="D7437" s="25">
        <v>1.1416E-4</v>
      </c>
      <c r="E7437" s="25">
        <v>1.2134E-4</v>
      </c>
      <c r="F7437" s="25">
        <v>1.2400000000000001E-4</v>
      </c>
      <c r="G7437" s="25">
        <v>1.5615E-4</v>
      </c>
      <c r="H7437" s="25">
        <v>1.8751E-4</v>
      </c>
      <c r="I7437" s="9">
        <v>1.1663E-4</v>
      </c>
      <c r="J7437" s="9">
        <v>1.2202E-4</v>
      </c>
      <c r="K7437" s="9">
        <v>5.7219999999999998E-5</v>
      </c>
      <c r="L7437" s="9">
        <v>1.9317999999999999E-4</v>
      </c>
      <c r="M7437" s="9">
        <v>1.6206E-4</v>
      </c>
      <c r="N7437" s="9">
        <v>1.5254E-4</v>
      </c>
      <c r="O7437" s="9">
        <v>2.1442E-4</v>
      </c>
      <c r="P7437" s="9">
        <v>1.5892E-4</v>
      </c>
      <c r="Q7437" s="9">
        <v>1.0689E-4</v>
      </c>
      <c r="R7437" s="10">
        <v>1.5953836709588337E-4</v>
      </c>
      <c r="S7437" s="10">
        <v>1.844230876843428E-4</v>
      </c>
      <c r="T7437" s="10">
        <v>0</v>
      </c>
      <c r="U7437" s="10">
        <v>9.7540000000000005E-5</v>
      </c>
      <c r="V7437" s="25"/>
      <c r="W7437" s="25"/>
      <c r="X7437" s="25"/>
      <c r="Y7437" s="25"/>
      <c r="Z7437" s="25"/>
      <c r="AA7437" s="25"/>
    </row>
    <row r="7438" spans="1:27" x14ac:dyDescent="0.35">
      <c r="A7438" s="5">
        <v>7434</v>
      </c>
      <c r="B7438" s="5">
        <v>310</v>
      </c>
      <c r="C7438" s="5">
        <v>11</v>
      </c>
      <c r="D7438" s="25">
        <v>1.1415000000000001E-4</v>
      </c>
      <c r="E7438" s="25">
        <v>1.2161E-4</v>
      </c>
      <c r="F7438" s="25">
        <v>1.1988E-4</v>
      </c>
      <c r="G7438" s="25">
        <v>1.5815999999999999E-4</v>
      </c>
      <c r="H7438" s="25">
        <v>1.8840999999999999E-4</v>
      </c>
      <c r="I7438" s="9">
        <v>1.2486999999999999E-4</v>
      </c>
      <c r="J7438" s="9">
        <v>1.3071E-4</v>
      </c>
      <c r="K7438" s="9">
        <v>5.9339999999999998E-5</v>
      </c>
      <c r="L7438" s="9">
        <v>2.0955E-4</v>
      </c>
      <c r="M7438" s="9">
        <v>1.5918E-4</v>
      </c>
      <c r="N7438" s="9">
        <v>1.3910999999999999E-4</v>
      </c>
      <c r="O7438" s="9">
        <v>2.0581000000000001E-4</v>
      </c>
      <c r="P7438" s="9">
        <v>1.6000000000000001E-4</v>
      </c>
      <c r="Q7438" s="9">
        <v>1.1739E-4</v>
      </c>
      <c r="R7438" s="10">
        <v>1.8094867084513671E-4</v>
      </c>
      <c r="S7438" s="10">
        <v>1.8466643470382456E-4</v>
      </c>
      <c r="T7438" s="10">
        <v>0</v>
      </c>
      <c r="U7438" s="10">
        <v>9.7540000000000005E-5</v>
      </c>
      <c r="V7438" s="25"/>
      <c r="W7438" s="25"/>
      <c r="X7438" s="25"/>
      <c r="Y7438" s="25"/>
      <c r="Z7438" s="25"/>
      <c r="AA7438" s="25"/>
    </row>
    <row r="7439" spans="1:27" x14ac:dyDescent="0.35">
      <c r="A7439" s="5">
        <v>7435</v>
      </c>
      <c r="B7439" s="5">
        <v>310</v>
      </c>
      <c r="C7439" s="5">
        <v>11</v>
      </c>
      <c r="D7439" s="25">
        <v>1.1416E-4</v>
      </c>
      <c r="E7439" s="25">
        <v>1.1697E-4</v>
      </c>
      <c r="F7439" s="25">
        <v>1.2658999999999999E-4</v>
      </c>
      <c r="G7439" s="25">
        <v>1.0642E-4</v>
      </c>
      <c r="H7439" s="25">
        <v>1.3672000000000001E-4</v>
      </c>
      <c r="I7439" s="9">
        <v>1.2765000000000001E-4</v>
      </c>
      <c r="J7439" s="9">
        <v>1.2977E-4</v>
      </c>
      <c r="K7439" s="9">
        <v>6.3590000000000006E-5</v>
      </c>
      <c r="L7439" s="9">
        <v>2.0620999999999999E-4</v>
      </c>
      <c r="M7439" s="9">
        <v>1.5891000000000001E-4</v>
      </c>
      <c r="N7439" s="9">
        <v>1.2993E-4</v>
      </c>
      <c r="O7439" s="9">
        <v>1.6589E-4</v>
      </c>
      <c r="P7439" s="9">
        <v>1.3558999999999999E-4</v>
      </c>
      <c r="Q7439" s="9">
        <v>1.0762E-4</v>
      </c>
      <c r="R7439" s="10">
        <v>1.997283780628311E-4</v>
      </c>
      <c r="S7439" s="10">
        <v>1.8961811860709483E-4</v>
      </c>
      <c r="T7439" s="10">
        <v>0</v>
      </c>
      <c r="U7439" s="10">
        <v>9.7540000000000005E-5</v>
      </c>
      <c r="V7439" s="25"/>
      <c r="W7439" s="25"/>
      <c r="X7439" s="25"/>
      <c r="Y7439" s="25"/>
      <c r="Z7439" s="25"/>
      <c r="AA7439" s="25"/>
    </row>
    <row r="7440" spans="1:27" x14ac:dyDescent="0.35">
      <c r="A7440" s="5">
        <v>7436</v>
      </c>
      <c r="B7440" s="5">
        <v>310</v>
      </c>
      <c r="C7440" s="5">
        <v>11</v>
      </c>
      <c r="D7440" s="25">
        <v>1.1415000000000001E-4</v>
      </c>
      <c r="E7440" s="25">
        <v>1.1365E-4</v>
      </c>
      <c r="F7440" s="25">
        <v>1.2784999999999999E-4</v>
      </c>
      <c r="G7440" s="25">
        <v>1.0922E-4</v>
      </c>
      <c r="H7440" s="25">
        <v>1.3422E-4</v>
      </c>
      <c r="I7440" s="9">
        <v>1.2276E-4</v>
      </c>
      <c r="J7440" s="9">
        <v>1.2501E-4</v>
      </c>
      <c r="K7440" s="9">
        <v>6.3590000000000006E-5</v>
      </c>
      <c r="L7440" s="9">
        <v>1.7490999999999999E-4</v>
      </c>
      <c r="M7440" s="9">
        <v>1.5061999999999999E-4</v>
      </c>
      <c r="N7440" s="9">
        <v>1.209E-4</v>
      </c>
      <c r="O7440" s="9">
        <v>1.2877E-4</v>
      </c>
      <c r="P7440" s="9">
        <v>1.1434000000000001E-4</v>
      </c>
      <c r="Q7440" s="9">
        <v>1.0143E-4</v>
      </c>
      <c r="R7440" s="10">
        <v>2.1008373980753456E-4</v>
      </c>
      <c r="S7440" s="10">
        <v>1.9024364151478285E-4</v>
      </c>
      <c r="T7440" s="10">
        <v>0</v>
      </c>
      <c r="U7440" s="10">
        <v>9.7540000000000005E-5</v>
      </c>
      <c r="V7440" s="25"/>
      <c r="W7440" s="25"/>
      <c r="X7440" s="25"/>
      <c r="Y7440" s="25"/>
      <c r="Z7440" s="25"/>
      <c r="AA7440" s="25"/>
    </row>
    <row r="7441" spans="1:27" x14ac:dyDescent="0.35">
      <c r="A7441" s="5">
        <v>7437</v>
      </c>
      <c r="B7441" s="5">
        <v>310</v>
      </c>
      <c r="C7441" s="5">
        <v>11</v>
      </c>
      <c r="D7441" s="25">
        <v>1.1416E-4</v>
      </c>
      <c r="E7441" s="25">
        <v>1.2183E-4</v>
      </c>
      <c r="F7441" s="25">
        <v>1.0676E-4</v>
      </c>
      <c r="G7441" s="25">
        <v>6.0239999999999999E-5</v>
      </c>
      <c r="H7441" s="25">
        <v>7.5560000000000002E-5</v>
      </c>
      <c r="I7441" s="9">
        <v>1.1730000000000001E-4</v>
      </c>
      <c r="J7441" s="9">
        <v>1.1963E-4</v>
      </c>
      <c r="K7441" s="9">
        <v>6.1459999999999998E-5</v>
      </c>
      <c r="L7441" s="9">
        <v>1.3991000000000001E-4</v>
      </c>
      <c r="M7441" s="9">
        <v>1.3522999999999999E-4</v>
      </c>
      <c r="N7441" s="9">
        <v>1.1309E-4</v>
      </c>
      <c r="O7441" s="9">
        <v>8.5030000000000004E-5</v>
      </c>
      <c r="P7441" s="9">
        <v>8.6440000000000006E-5</v>
      </c>
      <c r="Q7441" s="9">
        <v>8.844E-5</v>
      </c>
      <c r="R7441" s="10">
        <v>2.1203449700760331E-4</v>
      </c>
      <c r="S7441" s="10">
        <v>1.902101850965941E-4</v>
      </c>
      <c r="T7441" s="10">
        <v>0</v>
      </c>
      <c r="U7441" s="10">
        <v>9.7540000000000005E-5</v>
      </c>
      <c r="V7441" s="25"/>
      <c r="W7441" s="25"/>
      <c r="X7441" s="25"/>
      <c r="Y7441" s="25"/>
      <c r="Z7441" s="25"/>
      <c r="AA7441" s="25"/>
    </row>
    <row r="7442" spans="1:27" x14ac:dyDescent="0.35">
      <c r="A7442" s="5">
        <v>7438</v>
      </c>
      <c r="B7442" s="5">
        <v>310</v>
      </c>
      <c r="C7442" s="5">
        <v>11</v>
      </c>
      <c r="D7442" s="25">
        <v>1.1415000000000001E-4</v>
      </c>
      <c r="E7442" s="25">
        <v>1.176E-4</v>
      </c>
      <c r="F7442" s="25">
        <v>1.27E-4</v>
      </c>
      <c r="G7442" s="25">
        <v>6.3200000000000005E-5</v>
      </c>
      <c r="H7442" s="25">
        <v>7.483E-5</v>
      </c>
      <c r="I7442" s="9">
        <v>1.119E-4</v>
      </c>
      <c r="J7442" s="9">
        <v>1.1315999999999999E-4</v>
      </c>
      <c r="K7442" s="9">
        <v>6.3590000000000006E-5</v>
      </c>
      <c r="L7442" s="9">
        <v>9.8049999999999998E-5</v>
      </c>
      <c r="M7442" s="9">
        <v>1.1369E-4</v>
      </c>
      <c r="N7442" s="9">
        <v>1.0555E-4</v>
      </c>
      <c r="O7442" s="9">
        <v>8.8380000000000004E-5</v>
      </c>
      <c r="P7442" s="9">
        <v>8.8369999999999996E-5</v>
      </c>
      <c r="Q7442" s="9">
        <v>8.9019999999999998E-5</v>
      </c>
      <c r="R7442" s="10">
        <v>2.1222809231030373E-4</v>
      </c>
      <c r="S7442" s="10">
        <v>1.8936700505630628E-4</v>
      </c>
      <c r="T7442" s="10">
        <v>0</v>
      </c>
      <c r="U7442" s="10">
        <v>9.7540000000000005E-5</v>
      </c>
      <c r="V7442" s="25"/>
      <c r="W7442" s="25"/>
      <c r="X7442" s="25"/>
      <c r="Y7442" s="25"/>
      <c r="Z7442" s="25"/>
      <c r="AA7442" s="25"/>
    </row>
    <row r="7443" spans="1:27" x14ac:dyDescent="0.35">
      <c r="A7443" s="5">
        <v>7439</v>
      </c>
      <c r="B7443" s="5">
        <v>310</v>
      </c>
      <c r="C7443" s="5">
        <v>11</v>
      </c>
      <c r="D7443" s="25">
        <v>1.1416E-4</v>
      </c>
      <c r="E7443" s="25">
        <v>1.216E-4</v>
      </c>
      <c r="F7443" s="25">
        <v>1.2196E-4</v>
      </c>
      <c r="G7443" s="25">
        <v>5.872E-5</v>
      </c>
      <c r="H7443" s="25">
        <v>6.5060000000000004E-5</v>
      </c>
      <c r="I7443" s="9">
        <v>1.1204E-4</v>
      </c>
      <c r="J7443" s="9">
        <v>1.083E-4</v>
      </c>
      <c r="K7443" s="9">
        <v>8.0539999999999998E-5</v>
      </c>
      <c r="L7443" s="9">
        <v>9.1440000000000005E-5</v>
      </c>
      <c r="M7443" s="9">
        <v>9.9300000000000001E-5</v>
      </c>
      <c r="N7443" s="9">
        <v>9.9939999999999995E-5</v>
      </c>
      <c r="O7443" s="9">
        <v>7.7919999999999999E-5</v>
      </c>
      <c r="P7443" s="9">
        <v>7.2070000000000006E-5</v>
      </c>
      <c r="Q7443" s="9">
        <v>6.6829999999999995E-5</v>
      </c>
      <c r="R7443" s="10">
        <v>2.1235500473526815E-4</v>
      </c>
      <c r="S7443" s="10">
        <v>1.9000786374260883E-4</v>
      </c>
      <c r="T7443" s="10">
        <v>0</v>
      </c>
      <c r="U7443" s="10">
        <v>9.7540000000000005E-5</v>
      </c>
      <c r="V7443" s="25"/>
      <c r="W7443" s="25"/>
      <c r="X7443" s="25"/>
      <c r="Y7443" s="25"/>
      <c r="Z7443" s="25"/>
      <c r="AA7443" s="25"/>
    </row>
    <row r="7444" spans="1:27" x14ac:dyDescent="0.35">
      <c r="A7444" s="5">
        <v>7440</v>
      </c>
      <c r="B7444" s="5">
        <v>310</v>
      </c>
      <c r="C7444" s="5">
        <v>11</v>
      </c>
      <c r="D7444" s="25">
        <v>1.1415000000000001E-4</v>
      </c>
      <c r="E7444" s="25">
        <v>1.1265E-4</v>
      </c>
      <c r="F7444" s="25">
        <v>1.1266E-4</v>
      </c>
      <c r="G7444" s="25">
        <v>6.1550000000000005E-5</v>
      </c>
      <c r="H7444" s="25">
        <v>6.5729999999999996E-5</v>
      </c>
      <c r="I7444" s="9">
        <v>1.1107000000000001E-4</v>
      </c>
      <c r="J7444" s="9">
        <v>1.0247999999999999E-4</v>
      </c>
      <c r="K7444" s="9">
        <v>9.5379999999999998E-5</v>
      </c>
      <c r="L7444" s="9">
        <v>8.0859999999999995E-5</v>
      </c>
      <c r="M7444" s="9">
        <v>8.6340000000000003E-5</v>
      </c>
      <c r="N7444" s="9">
        <v>9.0680000000000006E-5</v>
      </c>
      <c r="O7444" s="9">
        <v>6.2399999999999999E-5</v>
      </c>
      <c r="P7444" s="9">
        <v>6.029E-5</v>
      </c>
      <c r="Q7444" s="9">
        <v>5.8489999999999997E-5</v>
      </c>
      <c r="R7444" s="10">
        <v>2.1136138683083746E-4</v>
      </c>
      <c r="S7444" s="10">
        <v>1.8979025577087544E-4</v>
      </c>
      <c r="T7444" s="10">
        <v>0</v>
      </c>
      <c r="U7444" s="10">
        <v>9.7540000000000005E-5</v>
      </c>
      <c r="V7444" s="25"/>
      <c r="W7444" s="25"/>
      <c r="X7444" s="25"/>
      <c r="Y7444" s="25"/>
      <c r="Z7444" s="25"/>
      <c r="AA7444" s="25"/>
    </row>
    <row r="7445" spans="1:27" x14ac:dyDescent="0.35">
      <c r="A7445" s="5">
        <v>7441</v>
      </c>
      <c r="B7445" s="5">
        <v>311</v>
      </c>
      <c r="C7445" s="5">
        <v>11</v>
      </c>
      <c r="D7445" s="25">
        <v>1.1416E-4</v>
      </c>
      <c r="E7445" s="25">
        <v>1.2005E-4</v>
      </c>
      <c r="F7445" s="25">
        <v>1.0255E-4</v>
      </c>
      <c r="G7445" s="25">
        <v>5.486E-5</v>
      </c>
      <c r="H7445" s="25">
        <v>6.8460000000000005E-5</v>
      </c>
      <c r="I7445" s="9">
        <v>1.0522E-4</v>
      </c>
      <c r="J7445" s="9">
        <v>9.7029999999999998E-5</v>
      </c>
      <c r="K7445" s="9">
        <v>9.5370000000000003E-5</v>
      </c>
      <c r="L7445" s="9">
        <v>6.648E-5</v>
      </c>
      <c r="M7445" s="9">
        <v>7.3980000000000007E-5</v>
      </c>
      <c r="N7445" s="9">
        <v>8.1180000000000005E-5</v>
      </c>
      <c r="O7445" s="9">
        <v>5.4400000000000001E-5</v>
      </c>
      <c r="P7445" s="9">
        <v>5.3820000000000003E-5</v>
      </c>
      <c r="Q7445" s="9">
        <v>5.3399999999999997E-5</v>
      </c>
      <c r="R7445" s="10">
        <v>2.1128119706364739E-4</v>
      </c>
      <c r="S7445" s="10">
        <v>1.8998803185359603E-4</v>
      </c>
      <c r="T7445" s="10">
        <v>0</v>
      </c>
      <c r="U7445" s="10">
        <v>9.8060000000000006E-5</v>
      </c>
      <c r="V7445" s="25"/>
      <c r="W7445" s="25"/>
      <c r="X7445" s="25"/>
      <c r="Y7445" s="25"/>
      <c r="Z7445" s="25"/>
      <c r="AA7445" s="25"/>
    </row>
    <row r="7446" spans="1:27" x14ac:dyDescent="0.35">
      <c r="A7446" s="5">
        <v>7442</v>
      </c>
      <c r="B7446" s="5">
        <v>311</v>
      </c>
      <c r="C7446" s="5">
        <v>11</v>
      </c>
      <c r="D7446" s="25">
        <v>1.1415000000000001E-4</v>
      </c>
      <c r="E7446" s="25">
        <v>1.1098E-4</v>
      </c>
      <c r="F7446" s="25">
        <v>1.0195E-4</v>
      </c>
      <c r="G7446" s="25">
        <v>5.3180000000000002E-5</v>
      </c>
      <c r="H7446" s="25">
        <v>6.9380000000000003E-5</v>
      </c>
      <c r="I7446" s="9">
        <v>9.9510000000000001E-5</v>
      </c>
      <c r="J7446" s="9">
        <v>9.2910000000000003E-5</v>
      </c>
      <c r="K7446" s="9">
        <v>9.5370000000000003E-5</v>
      </c>
      <c r="L7446" s="9">
        <v>5.7460000000000002E-5</v>
      </c>
      <c r="M7446" s="9">
        <v>6.3769999999999994E-5</v>
      </c>
      <c r="N7446" s="9">
        <v>7.2070000000000006E-5</v>
      </c>
      <c r="O7446" s="9">
        <v>1.8749999999999998E-5</v>
      </c>
      <c r="P7446" s="9">
        <v>3.8009999999999997E-5</v>
      </c>
      <c r="Q7446" s="9">
        <v>5.6570000000000002E-5</v>
      </c>
      <c r="R7446" s="10">
        <v>2.1088466168615747E-4</v>
      </c>
      <c r="S7446" s="10">
        <v>1.8982032422365017E-4</v>
      </c>
      <c r="T7446" s="10">
        <v>0</v>
      </c>
      <c r="U7446" s="10">
        <v>9.8060000000000006E-5</v>
      </c>
      <c r="V7446" s="25"/>
      <c r="W7446" s="25"/>
      <c r="X7446" s="25"/>
      <c r="Y7446" s="25"/>
      <c r="Z7446" s="25"/>
      <c r="AA7446" s="25"/>
    </row>
    <row r="7447" spans="1:27" x14ac:dyDescent="0.35">
      <c r="A7447" s="5">
        <v>7443</v>
      </c>
      <c r="B7447" s="5">
        <v>311</v>
      </c>
      <c r="C7447" s="5">
        <v>11</v>
      </c>
      <c r="D7447" s="25">
        <v>1.1416E-4</v>
      </c>
      <c r="E7447" s="25">
        <v>1.1525E-4</v>
      </c>
      <c r="F7447" s="25">
        <v>1.1598E-4</v>
      </c>
      <c r="G7447" s="25">
        <v>6.0949999999999998E-5</v>
      </c>
      <c r="H7447" s="25">
        <v>7.3769999999999993E-5</v>
      </c>
      <c r="I7447" s="9">
        <v>9.5779999999999994E-5</v>
      </c>
      <c r="J7447" s="9">
        <v>9.0320000000000003E-5</v>
      </c>
      <c r="K7447" s="9">
        <v>9.3250000000000003E-5</v>
      </c>
      <c r="L7447" s="9">
        <v>2.7460000000000001E-5</v>
      </c>
      <c r="M7447" s="9">
        <v>5.2179999999999998E-5</v>
      </c>
      <c r="N7447" s="9">
        <v>6.5569999999999997E-5</v>
      </c>
      <c r="O7447" s="9">
        <v>1.323E-5</v>
      </c>
      <c r="P7447" s="9">
        <v>3.8120000000000001E-5</v>
      </c>
      <c r="Q7447" s="9">
        <v>6.2139999999999998E-5</v>
      </c>
      <c r="R7447" s="10">
        <v>2.0757863959960154E-4</v>
      </c>
      <c r="S7447" s="10">
        <v>1.8766200693131352E-4</v>
      </c>
      <c r="T7447" s="10">
        <v>0</v>
      </c>
      <c r="U7447" s="10">
        <v>9.8060000000000006E-5</v>
      </c>
      <c r="V7447" s="25"/>
      <c r="W7447" s="25"/>
      <c r="X7447" s="25"/>
      <c r="Y7447" s="25"/>
      <c r="Z7447" s="25"/>
      <c r="AA7447" s="25"/>
    </row>
    <row r="7448" spans="1:27" x14ac:dyDescent="0.35">
      <c r="A7448" s="5">
        <v>7444</v>
      </c>
      <c r="B7448" s="5">
        <v>311</v>
      </c>
      <c r="C7448" s="5">
        <v>11</v>
      </c>
      <c r="D7448" s="25">
        <v>1.1415000000000001E-4</v>
      </c>
      <c r="E7448" s="25">
        <v>1.2087999999999999E-4</v>
      </c>
      <c r="F7448" s="25">
        <v>1.2052E-4</v>
      </c>
      <c r="G7448" s="25">
        <v>5.8019999999999997E-5</v>
      </c>
      <c r="H7448" s="25">
        <v>7.5870000000000004E-5</v>
      </c>
      <c r="I7448" s="9">
        <v>9.3700000000000001E-5</v>
      </c>
      <c r="J7448" s="9">
        <v>8.8560000000000006E-5</v>
      </c>
      <c r="K7448" s="9">
        <v>8.9019999999999998E-5</v>
      </c>
      <c r="L7448" s="9">
        <v>1.7099999999999999E-5</v>
      </c>
      <c r="M7448" s="9">
        <v>4.4360000000000002E-5</v>
      </c>
      <c r="N7448" s="9">
        <v>6.2080000000000002E-5</v>
      </c>
      <c r="O7448" s="9">
        <v>1.308E-5</v>
      </c>
      <c r="P7448" s="9">
        <v>4.7120000000000003E-5</v>
      </c>
      <c r="Q7448" s="9">
        <v>8.0149999999999997E-5</v>
      </c>
      <c r="R7448" s="10">
        <v>1.9783723001039105E-4</v>
      </c>
      <c r="S7448" s="10">
        <v>1.8316925815155304E-4</v>
      </c>
      <c r="T7448" s="10">
        <v>0</v>
      </c>
      <c r="U7448" s="10">
        <v>9.8060000000000006E-5</v>
      </c>
      <c r="V7448" s="25"/>
      <c r="W7448" s="25"/>
      <c r="X7448" s="25"/>
      <c r="Y7448" s="25"/>
      <c r="Z7448" s="25"/>
      <c r="AA7448" s="25"/>
    </row>
    <row r="7449" spans="1:27" x14ac:dyDescent="0.35">
      <c r="A7449" s="5">
        <v>7445</v>
      </c>
      <c r="B7449" s="5">
        <v>311</v>
      </c>
      <c r="C7449" s="5">
        <v>11</v>
      </c>
      <c r="D7449" s="25">
        <v>1.1416E-4</v>
      </c>
      <c r="E7449" s="25">
        <v>1.1111E-4</v>
      </c>
      <c r="F7449" s="25">
        <v>1.0848E-4</v>
      </c>
      <c r="G7449" s="25">
        <v>5.5090000000000003E-5</v>
      </c>
      <c r="H7449" s="25">
        <v>6.4319999999999994E-5</v>
      </c>
      <c r="I7449" s="9">
        <v>9.2509999999999993E-5</v>
      </c>
      <c r="J7449" s="9">
        <v>8.7990000000000003E-5</v>
      </c>
      <c r="K7449" s="9">
        <v>9.7499999999999998E-5</v>
      </c>
      <c r="L7449" s="9">
        <v>1.4209999999999999E-5</v>
      </c>
      <c r="M7449" s="9">
        <v>4.3600000000000003E-5</v>
      </c>
      <c r="N7449" s="9">
        <v>6.4560000000000005E-5</v>
      </c>
      <c r="O7449" s="9">
        <v>1.861E-5</v>
      </c>
      <c r="P7449" s="9">
        <v>5.6589999999999999E-5</v>
      </c>
      <c r="Q7449" s="9">
        <v>9.3579999999999995E-5</v>
      </c>
      <c r="R7449" s="10">
        <v>1.6950233541976534E-4</v>
      </c>
      <c r="S7449" s="10">
        <v>1.6018913353598805E-4</v>
      </c>
      <c r="T7449" s="10">
        <v>0</v>
      </c>
      <c r="U7449" s="10">
        <v>9.8060000000000006E-5</v>
      </c>
      <c r="V7449" s="25"/>
      <c r="W7449" s="25"/>
      <c r="X7449" s="25"/>
      <c r="Y7449" s="25"/>
      <c r="Z7449" s="25"/>
      <c r="AA7449" s="25"/>
    </row>
    <row r="7450" spans="1:27" x14ac:dyDescent="0.35">
      <c r="A7450" s="5">
        <v>7446</v>
      </c>
      <c r="B7450" s="5">
        <v>311</v>
      </c>
      <c r="C7450" s="5">
        <v>11</v>
      </c>
      <c r="D7450" s="25">
        <v>1.1415000000000001E-4</v>
      </c>
      <c r="E7450" s="25">
        <v>1.1658999999999999E-4</v>
      </c>
      <c r="F7450" s="25">
        <v>1.0709000000000001E-4</v>
      </c>
      <c r="G7450" s="25">
        <v>1.1094000000000001E-4</v>
      </c>
      <c r="H7450" s="25">
        <v>1.2736E-4</v>
      </c>
      <c r="I7450" s="9">
        <v>9.2470000000000001E-5</v>
      </c>
      <c r="J7450" s="9">
        <v>8.9060000000000005E-5</v>
      </c>
      <c r="K7450" s="9">
        <v>9.7490000000000003E-5</v>
      </c>
      <c r="L7450" s="9">
        <v>1.751E-5</v>
      </c>
      <c r="M7450" s="9">
        <v>4.8430000000000002E-5</v>
      </c>
      <c r="N7450" s="9">
        <v>7.1089999999999999E-5</v>
      </c>
      <c r="O7450" s="9">
        <v>4.6079999999999999E-5</v>
      </c>
      <c r="P7450" s="9">
        <v>7.661E-5</v>
      </c>
      <c r="Q7450" s="9">
        <v>1.0668E-4</v>
      </c>
      <c r="R7450" s="10">
        <v>1.5030881971003372E-4</v>
      </c>
      <c r="S7450" s="10">
        <v>1.4023409446832291E-4</v>
      </c>
      <c r="T7450" s="10">
        <v>0</v>
      </c>
      <c r="U7450" s="10">
        <v>9.8060000000000006E-5</v>
      </c>
      <c r="V7450" s="25"/>
      <c r="W7450" s="25"/>
      <c r="X7450" s="25"/>
      <c r="Y7450" s="25"/>
      <c r="Z7450" s="25"/>
      <c r="AA7450" s="25"/>
    </row>
    <row r="7451" spans="1:27" x14ac:dyDescent="0.35">
      <c r="A7451" s="5">
        <v>7447</v>
      </c>
      <c r="B7451" s="5">
        <v>311</v>
      </c>
      <c r="C7451" s="5">
        <v>11</v>
      </c>
      <c r="D7451" s="25">
        <v>1.1416E-4</v>
      </c>
      <c r="E7451" s="25">
        <v>1.1746E-4</v>
      </c>
      <c r="F7451" s="25">
        <v>1.1368E-4</v>
      </c>
      <c r="G7451" s="25">
        <v>1.1539E-4</v>
      </c>
      <c r="H7451" s="25">
        <v>1.2809E-4</v>
      </c>
      <c r="I7451" s="9">
        <v>9.5660000000000002E-5</v>
      </c>
      <c r="J7451" s="9">
        <v>9.1409999999999994E-5</v>
      </c>
      <c r="K7451" s="9">
        <v>8.9010000000000003E-5</v>
      </c>
      <c r="L7451" s="9">
        <v>3.9660000000000003E-5</v>
      </c>
      <c r="M7451" s="9">
        <v>5.9939999999999999E-5</v>
      </c>
      <c r="N7451" s="9">
        <v>8.0710000000000005E-5</v>
      </c>
      <c r="O7451" s="9">
        <v>1.2359E-4</v>
      </c>
      <c r="P7451" s="9">
        <v>1.1734E-4</v>
      </c>
      <c r="Q7451" s="9">
        <v>1.1239999999999999E-4</v>
      </c>
      <c r="R7451" s="10">
        <v>1.3625810037949193E-4</v>
      </c>
      <c r="S7451" s="10">
        <v>1.0893789120567208E-4</v>
      </c>
      <c r="T7451" s="10">
        <v>0</v>
      </c>
      <c r="U7451" s="10">
        <v>9.8060000000000006E-5</v>
      </c>
      <c r="V7451" s="25"/>
      <c r="W7451" s="25"/>
      <c r="X7451" s="25"/>
      <c r="Y7451" s="25"/>
      <c r="Z7451" s="25"/>
      <c r="AA7451" s="25"/>
    </row>
    <row r="7452" spans="1:27" x14ac:dyDescent="0.35">
      <c r="A7452" s="5">
        <v>7448</v>
      </c>
      <c r="B7452" s="5">
        <v>311</v>
      </c>
      <c r="C7452" s="5">
        <v>11</v>
      </c>
      <c r="D7452" s="25">
        <v>1.1415000000000001E-4</v>
      </c>
      <c r="E7452" s="25">
        <v>1.1762E-4</v>
      </c>
      <c r="F7452" s="25">
        <v>1.143E-4</v>
      </c>
      <c r="G7452" s="25">
        <v>1.5936999999999999E-4</v>
      </c>
      <c r="H7452" s="25">
        <v>1.9741E-4</v>
      </c>
      <c r="I7452" s="9">
        <v>9.6979999999999996E-5</v>
      </c>
      <c r="J7452" s="9">
        <v>9.5260000000000006E-5</v>
      </c>
      <c r="K7452" s="9">
        <v>8.4779999999999998E-5</v>
      </c>
      <c r="L7452" s="9">
        <v>1.0450000000000001E-4</v>
      </c>
      <c r="M7452" s="9">
        <v>8.3570000000000001E-5</v>
      </c>
      <c r="N7452" s="9">
        <v>9.077E-5</v>
      </c>
      <c r="O7452" s="9">
        <v>2.1859000000000001E-4</v>
      </c>
      <c r="P7452" s="9">
        <v>1.7535000000000001E-4</v>
      </c>
      <c r="Q7452" s="9">
        <v>1.3546000000000001E-4</v>
      </c>
      <c r="R7452" s="10">
        <v>1.0713313236263236E-4</v>
      </c>
      <c r="S7452" s="10">
        <v>7.6984832561493942E-5</v>
      </c>
      <c r="T7452" s="10">
        <v>5.794776456147339E-6</v>
      </c>
      <c r="U7452" s="10">
        <v>9.8060000000000006E-5</v>
      </c>
      <c r="V7452" s="25"/>
      <c r="W7452" s="25"/>
      <c r="X7452" s="25"/>
      <c r="Y7452" s="25"/>
      <c r="Z7452" s="25"/>
      <c r="AA7452" s="25"/>
    </row>
    <row r="7453" spans="1:27" x14ac:dyDescent="0.35">
      <c r="A7453" s="5">
        <v>7449</v>
      </c>
      <c r="B7453" s="5">
        <v>311</v>
      </c>
      <c r="C7453" s="5">
        <v>11</v>
      </c>
      <c r="D7453" s="25">
        <v>1.1416E-4</v>
      </c>
      <c r="E7453" s="25">
        <v>1.1461E-4</v>
      </c>
      <c r="F7453" s="25">
        <v>1.1666E-4</v>
      </c>
      <c r="G7453" s="25">
        <v>1.5660000000000001E-4</v>
      </c>
      <c r="H7453" s="25">
        <v>1.9809999999999999E-4</v>
      </c>
      <c r="I7453" s="9">
        <v>1.0111999999999999E-4</v>
      </c>
      <c r="J7453" s="9">
        <v>1.01E-4</v>
      </c>
      <c r="K7453" s="9">
        <v>8.2659999999999998E-5</v>
      </c>
      <c r="L7453" s="9">
        <v>1.9171999999999999E-4</v>
      </c>
      <c r="M7453" s="9">
        <v>1.2273000000000001E-4</v>
      </c>
      <c r="N7453" s="9">
        <v>1.0422E-4</v>
      </c>
      <c r="O7453" s="9">
        <v>2.1068000000000001E-4</v>
      </c>
      <c r="P7453" s="9">
        <v>1.9169E-4</v>
      </c>
      <c r="Q7453" s="9">
        <v>1.7556000000000001E-4</v>
      </c>
      <c r="R7453" s="10">
        <v>1.0777057987507583E-4</v>
      </c>
      <c r="S7453" s="10">
        <v>1.0084555694820896E-4</v>
      </c>
      <c r="T7453" s="10">
        <v>7.8751266568022842E-5</v>
      </c>
      <c r="U7453" s="10">
        <v>9.8060000000000006E-5</v>
      </c>
      <c r="V7453" s="25"/>
      <c r="W7453" s="25"/>
      <c r="X7453" s="25"/>
      <c r="Y7453" s="25"/>
      <c r="Z7453" s="25"/>
      <c r="AA7453" s="25"/>
    </row>
    <row r="7454" spans="1:27" x14ac:dyDescent="0.35">
      <c r="A7454" s="5">
        <v>7450</v>
      </c>
      <c r="B7454" s="5">
        <v>311</v>
      </c>
      <c r="C7454" s="5">
        <v>11</v>
      </c>
      <c r="D7454" s="25">
        <v>1.1415000000000001E-4</v>
      </c>
      <c r="E7454" s="25">
        <v>1.1197E-4</v>
      </c>
      <c r="F7454" s="25">
        <v>1.1785E-4</v>
      </c>
      <c r="G7454" s="25">
        <v>1.593E-4</v>
      </c>
      <c r="H7454" s="25">
        <v>1.9956999999999999E-4</v>
      </c>
      <c r="I7454" s="9">
        <v>1.0715E-4</v>
      </c>
      <c r="J7454" s="9">
        <v>1.072E-4</v>
      </c>
      <c r="K7454" s="9">
        <v>7.8419999999999998E-5</v>
      </c>
      <c r="L7454" s="9">
        <v>2.0421999999999999E-4</v>
      </c>
      <c r="M7454" s="9">
        <v>1.5746999999999999E-4</v>
      </c>
      <c r="N7454" s="9">
        <v>1.2396E-4</v>
      </c>
      <c r="O7454" s="9">
        <v>1.6751E-4</v>
      </c>
      <c r="P7454" s="9">
        <v>1.7369999999999999E-4</v>
      </c>
      <c r="Q7454" s="9">
        <v>1.8169E-4</v>
      </c>
      <c r="R7454" s="10">
        <v>1.2547584758787676E-4</v>
      </c>
      <c r="S7454" s="10">
        <v>1.3626115174459341E-4</v>
      </c>
      <c r="T7454" s="10">
        <v>6.3191061559861469E-5</v>
      </c>
      <c r="U7454" s="10">
        <v>9.8060000000000006E-5</v>
      </c>
      <c r="V7454" s="25"/>
      <c r="W7454" s="25"/>
      <c r="X7454" s="25"/>
      <c r="Y7454" s="25"/>
      <c r="Z7454" s="25"/>
      <c r="AA7454" s="25"/>
    </row>
    <row r="7455" spans="1:27" x14ac:dyDescent="0.35">
      <c r="A7455" s="5">
        <v>7451</v>
      </c>
      <c r="B7455" s="5">
        <v>311</v>
      </c>
      <c r="C7455" s="5">
        <v>11</v>
      </c>
      <c r="D7455" s="25">
        <v>1.1416E-4</v>
      </c>
      <c r="E7455" s="25">
        <v>1.2066E-4</v>
      </c>
      <c r="F7455" s="25">
        <v>1.0822E-4</v>
      </c>
      <c r="G7455" s="25">
        <v>1.5841999999999999E-4</v>
      </c>
      <c r="H7455" s="25">
        <v>1.928E-4</v>
      </c>
      <c r="I7455" s="9">
        <v>1.1098E-4</v>
      </c>
      <c r="J7455" s="9">
        <v>1.1010000000000001E-4</v>
      </c>
      <c r="K7455" s="9">
        <v>6.9939999999999998E-5</v>
      </c>
      <c r="L7455" s="9">
        <v>1.7566000000000001E-4</v>
      </c>
      <c r="M7455" s="9">
        <v>1.7136000000000001E-4</v>
      </c>
      <c r="N7455" s="9">
        <v>1.4200000000000001E-4</v>
      </c>
      <c r="O7455" s="9">
        <v>1.6940999999999999E-4</v>
      </c>
      <c r="P7455" s="9">
        <v>1.7432E-4</v>
      </c>
      <c r="Q7455" s="9">
        <v>1.8105000000000001E-4</v>
      </c>
      <c r="R7455" s="10">
        <v>1.5837337933452054E-4</v>
      </c>
      <c r="S7455" s="10">
        <v>1.6335104550025618E-4</v>
      </c>
      <c r="T7455" s="10">
        <v>1.7965503873926779E-4</v>
      </c>
      <c r="U7455" s="10">
        <v>9.8060000000000006E-5</v>
      </c>
      <c r="V7455" s="25"/>
      <c r="W7455" s="25"/>
      <c r="X7455" s="25"/>
      <c r="Y7455" s="25"/>
      <c r="Z7455" s="25"/>
      <c r="AA7455" s="25"/>
    </row>
    <row r="7456" spans="1:27" x14ac:dyDescent="0.35">
      <c r="A7456" s="5">
        <v>7452</v>
      </c>
      <c r="B7456" s="5">
        <v>311</v>
      </c>
      <c r="C7456" s="5">
        <v>11</v>
      </c>
      <c r="D7456" s="25">
        <v>1.1415000000000001E-4</v>
      </c>
      <c r="E7456" s="25">
        <v>1.1904E-4</v>
      </c>
      <c r="F7456" s="25">
        <v>1.1496E-4</v>
      </c>
      <c r="G7456" s="25">
        <v>1.5904E-4</v>
      </c>
      <c r="H7456" s="25">
        <v>1.8911000000000001E-4</v>
      </c>
      <c r="I7456" s="9">
        <v>1.1442000000000001E-4</v>
      </c>
      <c r="J7456" s="9">
        <v>1.1184999999999999E-4</v>
      </c>
      <c r="K7456" s="9">
        <v>5.2989999999999999E-5</v>
      </c>
      <c r="L7456" s="9">
        <v>1.7217E-4</v>
      </c>
      <c r="M7456" s="9">
        <v>1.7480999999999999E-4</v>
      </c>
      <c r="N7456" s="9">
        <v>1.5651E-4</v>
      </c>
      <c r="O7456" s="9">
        <v>1.7049E-4</v>
      </c>
      <c r="P7456" s="9">
        <v>1.7123999999999999E-4</v>
      </c>
      <c r="Q7456" s="9">
        <v>1.739E-4</v>
      </c>
      <c r="R7456" s="10">
        <v>1.8284965779342765E-4</v>
      </c>
      <c r="S7456" s="10">
        <v>1.8334769997901945E-4</v>
      </c>
      <c r="T7456" s="10">
        <v>4.111491465079064E-5</v>
      </c>
      <c r="U7456" s="10">
        <v>9.8060000000000006E-5</v>
      </c>
      <c r="V7456" s="25"/>
      <c r="W7456" s="25"/>
      <c r="X7456" s="25"/>
      <c r="Y7456" s="25"/>
      <c r="Z7456" s="25"/>
      <c r="AA7456" s="25"/>
    </row>
    <row r="7457" spans="1:27" x14ac:dyDescent="0.35">
      <c r="A7457" s="5">
        <v>7453</v>
      </c>
      <c r="B7457" s="5">
        <v>311</v>
      </c>
      <c r="C7457" s="5">
        <v>11</v>
      </c>
      <c r="D7457" s="25">
        <v>1.1416E-4</v>
      </c>
      <c r="E7457" s="25">
        <v>1.127E-4</v>
      </c>
      <c r="F7457" s="25">
        <v>1.194E-4</v>
      </c>
      <c r="G7457" s="25">
        <v>1.6728000000000001E-4</v>
      </c>
      <c r="H7457" s="25">
        <v>1.9668999999999999E-4</v>
      </c>
      <c r="I7457" s="9">
        <v>1.1663E-4</v>
      </c>
      <c r="J7457" s="9">
        <v>1.1435E-4</v>
      </c>
      <c r="K7457" s="9">
        <v>3.6040000000000001E-5</v>
      </c>
      <c r="L7457" s="9">
        <v>1.7097999999999999E-4</v>
      </c>
      <c r="M7457" s="9">
        <v>1.7394E-4</v>
      </c>
      <c r="N7457" s="9">
        <v>1.6603000000000001E-4</v>
      </c>
      <c r="O7457" s="9">
        <v>1.6200000000000001E-4</v>
      </c>
      <c r="P7457" s="9">
        <v>1.6360999999999999E-4</v>
      </c>
      <c r="Q7457" s="9">
        <v>1.6699999999999999E-4</v>
      </c>
      <c r="R7457" s="10">
        <v>2.0457267235248993E-4</v>
      </c>
      <c r="S7457" s="10">
        <v>1.872783430464052E-4</v>
      </c>
      <c r="T7457" s="10">
        <v>6.7535022827134425E-5</v>
      </c>
      <c r="U7457" s="10">
        <v>9.8060000000000006E-5</v>
      </c>
      <c r="V7457" s="25"/>
      <c r="W7457" s="25"/>
      <c r="X7457" s="25"/>
      <c r="Y7457" s="25"/>
      <c r="Z7457" s="25"/>
      <c r="AA7457" s="25"/>
    </row>
    <row r="7458" spans="1:27" x14ac:dyDescent="0.35">
      <c r="A7458" s="5">
        <v>7454</v>
      </c>
      <c r="B7458" s="5">
        <v>311</v>
      </c>
      <c r="C7458" s="5">
        <v>11</v>
      </c>
      <c r="D7458" s="25">
        <v>1.1415000000000001E-4</v>
      </c>
      <c r="E7458" s="25">
        <v>1.1998999999999999E-4</v>
      </c>
      <c r="F7458" s="25">
        <v>1.0980999999999999E-4</v>
      </c>
      <c r="G7458" s="25">
        <v>1.6705999999999999E-4</v>
      </c>
      <c r="H7458" s="25">
        <v>2.0010000000000001E-4</v>
      </c>
      <c r="I7458" s="9">
        <v>1.15E-4</v>
      </c>
      <c r="J7458" s="9">
        <v>1.1407E-4</v>
      </c>
      <c r="K7458" s="9">
        <v>1.484E-5</v>
      </c>
      <c r="L7458" s="9">
        <v>1.6375E-4</v>
      </c>
      <c r="M7458" s="9">
        <v>1.6992999999999999E-4</v>
      </c>
      <c r="N7458" s="9">
        <v>1.7035999999999999E-4</v>
      </c>
      <c r="O7458" s="9">
        <v>1.7986E-4</v>
      </c>
      <c r="P7458" s="9">
        <v>1.6956999999999999E-4</v>
      </c>
      <c r="Q7458" s="9">
        <v>1.6150999999999999E-4</v>
      </c>
      <c r="R7458" s="10">
        <v>2.0699383064451017E-4</v>
      </c>
      <c r="S7458" s="10">
        <v>1.9028585870529852E-4</v>
      </c>
      <c r="T7458" s="10">
        <v>2.3827306294940242E-4</v>
      </c>
      <c r="U7458" s="10">
        <v>9.8060000000000006E-5</v>
      </c>
      <c r="V7458" s="25"/>
      <c r="W7458" s="25"/>
      <c r="X7458" s="25"/>
      <c r="Y7458" s="25"/>
      <c r="Z7458" s="25"/>
      <c r="AA7458" s="25"/>
    </row>
    <row r="7459" spans="1:27" x14ac:dyDescent="0.35">
      <c r="A7459" s="5">
        <v>7455</v>
      </c>
      <c r="B7459" s="5">
        <v>311</v>
      </c>
      <c r="C7459" s="5">
        <v>11</v>
      </c>
      <c r="D7459" s="25">
        <v>1.1416E-4</v>
      </c>
      <c r="E7459" s="25">
        <v>1.1417E-4</v>
      </c>
      <c r="F7459" s="25">
        <v>1.1975E-4</v>
      </c>
      <c r="G7459" s="25">
        <v>1.6092E-4</v>
      </c>
      <c r="H7459" s="25">
        <v>1.9670000000000001E-4</v>
      </c>
      <c r="I7459" s="9">
        <v>1.1378E-4</v>
      </c>
      <c r="J7459" s="9">
        <v>1.138E-4</v>
      </c>
      <c r="K7459" s="9">
        <v>2.9669999999999999E-5</v>
      </c>
      <c r="L7459" s="9">
        <v>1.7651E-4</v>
      </c>
      <c r="M7459" s="9">
        <v>1.6865000000000001E-4</v>
      </c>
      <c r="N7459" s="9">
        <v>1.7013999999999999E-4</v>
      </c>
      <c r="O7459" s="9">
        <v>1.8469999999999999E-4</v>
      </c>
      <c r="P7459" s="9">
        <v>1.6756E-4</v>
      </c>
      <c r="Q7459" s="9">
        <v>1.5283000000000001E-4</v>
      </c>
      <c r="R7459" s="10">
        <v>2.0918300924227775E-4</v>
      </c>
      <c r="S7459" s="10">
        <v>1.9009270008694371E-4</v>
      </c>
      <c r="T7459" s="10">
        <v>1.5176714677534933E-4</v>
      </c>
      <c r="U7459" s="10">
        <v>9.8060000000000006E-5</v>
      </c>
      <c r="V7459" s="25"/>
      <c r="W7459" s="25"/>
      <c r="X7459" s="25"/>
      <c r="Y7459" s="25"/>
      <c r="Z7459" s="25"/>
      <c r="AA7459" s="25"/>
    </row>
    <row r="7460" spans="1:27" x14ac:dyDescent="0.35">
      <c r="A7460" s="5">
        <v>7456</v>
      </c>
      <c r="B7460" s="5">
        <v>311</v>
      </c>
      <c r="C7460" s="5">
        <v>11</v>
      </c>
      <c r="D7460" s="25">
        <v>1.1415000000000001E-4</v>
      </c>
      <c r="E7460" s="25">
        <v>1.1376E-4</v>
      </c>
      <c r="F7460" s="25">
        <v>9.9779999999999997E-5</v>
      </c>
      <c r="G7460" s="25">
        <v>1.6763999999999999E-4</v>
      </c>
      <c r="H7460" s="25">
        <v>1.9426E-4</v>
      </c>
      <c r="I7460" s="9">
        <v>1.1286E-4</v>
      </c>
      <c r="J7460" s="9">
        <v>1.1368E-4</v>
      </c>
      <c r="K7460" s="9">
        <v>7.2059999999999998E-5</v>
      </c>
      <c r="L7460" s="9">
        <v>1.8254999999999999E-4</v>
      </c>
      <c r="M7460" s="9">
        <v>1.6803E-4</v>
      </c>
      <c r="N7460" s="9">
        <v>1.6634000000000001E-4</v>
      </c>
      <c r="O7460" s="9">
        <v>1.9835999999999999E-4</v>
      </c>
      <c r="P7460" s="9">
        <v>1.5255999999999999E-4</v>
      </c>
      <c r="Q7460" s="9">
        <v>1.0984000000000001E-4</v>
      </c>
      <c r="R7460" s="10">
        <v>2.1123796727424827E-4</v>
      </c>
      <c r="S7460" s="10">
        <v>1.8932434952895471E-4</v>
      </c>
      <c r="T7460" s="10">
        <v>1.5712922396463939E-5</v>
      </c>
      <c r="U7460" s="10">
        <v>9.8060000000000006E-5</v>
      </c>
      <c r="V7460" s="25"/>
      <c r="W7460" s="25"/>
      <c r="X7460" s="25"/>
      <c r="Y7460" s="25"/>
      <c r="Z7460" s="25"/>
      <c r="AA7460" s="25"/>
    </row>
    <row r="7461" spans="1:27" x14ac:dyDescent="0.35">
      <c r="A7461" s="5">
        <v>7457</v>
      </c>
      <c r="B7461" s="5">
        <v>311</v>
      </c>
      <c r="C7461" s="5">
        <v>11</v>
      </c>
      <c r="D7461" s="25">
        <v>1.1416E-4</v>
      </c>
      <c r="E7461" s="25">
        <v>1.1257E-4</v>
      </c>
      <c r="F7461" s="25">
        <v>1.1133000000000001E-4</v>
      </c>
      <c r="G7461" s="25">
        <v>1.6579E-4</v>
      </c>
      <c r="H7461" s="25">
        <v>1.9780000000000001E-4</v>
      </c>
      <c r="I7461" s="9">
        <v>1.1469E-4</v>
      </c>
      <c r="J7461" s="9">
        <v>1.1689E-4</v>
      </c>
      <c r="K7461" s="9">
        <v>9.1130000000000003E-5</v>
      </c>
      <c r="L7461" s="9">
        <v>1.9466000000000001E-4</v>
      </c>
      <c r="M7461" s="9">
        <v>1.6239999999999999E-4</v>
      </c>
      <c r="N7461" s="9">
        <v>1.526E-4</v>
      </c>
      <c r="O7461" s="9">
        <v>2.143E-4</v>
      </c>
      <c r="P7461" s="9">
        <v>1.5883E-4</v>
      </c>
      <c r="Q7461" s="9">
        <v>1.0683000000000001E-4</v>
      </c>
      <c r="R7461" s="10">
        <v>2.1203517931470733E-4</v>
      </c>
      <c r="S7461" s="10">
        <v>1.8793062088616423E-4</v>
      </c>
      <c r="T7461" s="10">
        <v>0</v>
      </c>
      <c r="U7461" s="10">
        <v>9.8060000000000006E-5</v>
      </c>
      <c r="V7461" s="25"/>
      <c r="W7461" s="25"/>
      <c r="X7461" s="25"/>
      <c r="Y7461" s="25"/>
      <c r="Z7461" s="25"/>
      <c r="AA7461" s="25"/>
    </row>
    <row r="7462" spans="1:27" x14ac:dyDescent="0.35">
      <c r="A7462" s="5">
        <v>7458</v>
      </c>
      <c r="B7462" s="5">
        <v>311</v>
      </c>
      <c r="C7462" s="5">
        <v>11</v>
      </c>
      <c r="D7462" s="25">
        <v>1.1415000000000001E-4</v>
      </c>
      <c r="E7462" s="25">
        <v>1.1573E-4</v>
      </c>
      <c r="F7462" s="25">
        <v>1.1620000000000001E-4</v>
      </c>
      <c r="G7462" s="25">
        <v>1.5783E-4</v>
      </c>
      <c r="H7462" s="25">
        <v>1.9369999999999999E-4</v>
      </c>
      <c r="I7462" s="9">
        <v>1.2171999999999999E-4</v>
      </c>
      <c r="J7462" s="9">
        <v>1.2808000000000001E-4</v>
      </c>
      <c r="K7462" s="9">
        <v>8.0539999999999998E-5</v>
      </c>
      <c r="L7462" s="9">
        <v>2.0974000000000001E-4</v>
      </c>
      <c r="M7462" s="9">
        <v>1.5955E-4</v>
      </c>
      <c r="N7462" s="9">
        <v>1.3917000000000001E-4</v>
      </c>
      <c r="O7462" s="9">
        <v>2.0495999999999999E-4</v>
      </c>
      <c r="P7462" s="9">
        <v>1.5934E-4</v>
      </c>
      <c r="Q7462" s="9">
        <v>1.169E-4</v>
      </c>
      <c r="R7462" s="10">
        <v>2.1241260711109532E-4</v>
      </c>
      <c r="S7462" s="10">
        <v>1.8666373446923258E-4</v>
      </c>
      <c r="T7462" s="10">
        <v>0</v>
      </c>
      <c r="U7462" s="10">
        <v>9.8060000000000006E-5</v>
      </c>
      <c r="V7462" s="25"/>
      <c r="W7462" s="25"/>
      <c r="X7462" s="25"/>
      <c r="Y7462" s="25"/>
      <c r="Z7462" s="25"/>
      <c r="AA7462" s="25"/>
    </row>
    <row r="7463" spans="1:27" x14ac:dyDescent="0.35">
      <c r="A7463" s="5">
        <v>7459</v>
      </c>
      <c r="B7463" s="5">
        <v>311</v>
      </c>
      <c r="C7463" s="5">
        <v>11</v>
      </c>
      <c r="D7463" s="25">
        <v>1.1416E-4</v>
      </c>
      <c r="E7463" s="25">
        <v>1.0993E-4</v>
      </c>
      <c r="F7463" s="25">
        <v>1.1068E-4</v>
      </c>
      <c r="G7463" s="25">
        <v>1.0709000000000001E-4</v>
      </c>
      <c r="H7463" s="25">
        <v>1.3653999999999999E-4</v>
      </c>
      <c r="I7463" s="9">
        <v>1.2656000000000001E-4</v>
      </c>
      <c r="J7463" s="9">
        <v>1.2793E-4</v>
      </c>
      <c r="K7463" s="9">
        <v>8.2659999999999998E-5</v>
      </c>
      <c r="L7463" s="9">
        <v>2.0562E-4</v>
      </c>
      <c r="M7463" s="9">
        <v>1.5888999999999999E-4</v>
      </c>
      <c r="N7463" s="9">
        <v>1.2991000000000001E-4</v>
      </c>
      <c r="O7463" s="9">
        <v>1.6598000000000001E-4</v>
      </c>
      <c r="P7463" s="9">
        <v>1.3566000000000001E-4</v>
      </c>
      <c r="Q7463" s="9">
        <v>1.0768E-4</v>
      </c>
      <c r="R7463" s="10">
        <v>2.124487176844964E-4</v>
      </c>
      <c r="S7463" s="10">
        <v>1.8687764116477948E-4</v>
      </c>
      <c r="T7463" s="10">
        <v>0</v>
      </c>
      <c r="U7463" s="10">
        <v>9.8060000000000006E-5</v>
      </c>
      <c r="V7463" s="25"/>
      <c r="W7463" s="25"/>
      <c r="X7463" s="25"/>
      <c r="Y7463" s="25"/>
      <c r="Z7463" s="25"/>
      <c r="AA7463" s="25"/>
    </row>
    <row r="7464" spans="1:27" x14ac:dyDescent="0.35">
      <c r="A7464" s="5">
        <v>7460</v>
      </c>
      <c r="B7464" s="5">
        <v>311</v>
      </c>
      <c r="C7464" s="5">
        <v>11</v>
      </c>
      <c r="D7464" s="25">
        <v>1.1415000000000001E-4</v>
      </c>
      <c r="E7464" s="25">
        <v>1.1472999999999999E-4</v>
      </c>
      <c r="F7464" s="25">
        <v>1.069E-4</v>
      </c>
      <c r="G7464" s="25">
        <v>1.1247999999999999E-4</v>
      </c>
      <c r="H7464" s="25">
        <v>1.2867E-4</v>
      </c>
      <c r="I7464" s="9">
        <v>1.2496999999999999E-4</v>
      </c>
      <c r="J7464" s="9">
        <v>1.2464E-4</v>
      </c>
      <c r="K7464" s="9">
        <v>8.6899999999999998E-5</v>
      </c>
      <c r="L7464" s="9">
        <v>1.7489E-4</v>
      </c>
      <c r="M7464" s="9">
        <v>1.5051999999999999E-4</v>
      </c>
      <c r="N7464" s="9">
        <v>1.2089E-4</v>
      </c>
      <c r="O7464" s="9">
        <v>1.2883E-4</v>
      </c>
      <c r="P7464" s="9">
        <v>1.1438999999999999E-4</v>
      </c>
      <c r="Q7464" s="9">
        <v>1.0148E-4</v>
      </c>
      <c r="R7464" s="10">
        <v>2.1244936787709023E-4</v>
      </c>
      <c r="S7464" s="10">
        <v>1.9003099439663998E-4</v>
      </c>
      <c r="T7464" s="10">
        <v>0</v>
      </c>
      <c r="U7464" s="10">
        <v>9.8060000000000006E-5</v>
      </c>
      <c r="V7464" s="25"/>
      <c r="W7464" s="25"/>
      <c r="X7464" s="25"/>
      <c r="Y7464" s="25"/>
      <c r="Z7464" s="25"/>
      <c r="AA7464" s="25"/>
    </row>
    <row r="7465" spans="1:27" x14ac:dyDescent="0.35">
      <c r="A7465" s="5">
        <v>7461</v>
      </c>
      <c r="B7465" s="5">
        <v>311</v>
      </c>
      <c r="C7465" s="5">
        <v>11</v>
      </c>
      <c r="D7465" s="25">
        <v>1.1416E-4</v>
      </c>
      <c r="E7465" s="25">
        <v>1.1399E-4</v>
      </c>
      <c r="F7465" s="25">
        <v>1.0436E-4</v>
      </c>
      <c r="G7465" s="25">
        <v>5.6849999999999999E-5</v>
      </c>
      <c r="H7465" s="25">
        <v>7.3419999999999998E-5</v>
      </c>
      <c r="I7465" s="9">
        <v>1.2012E-4</v>
      </c>
      <c r="J7465" s="9">
        <v>1.2051E-4</v>
      </c>
      <c r="K7465" s="9">
        <v>1.0173E-4</v>
      </c>
      <c r="L7465" s="9">
        <v>1.3992E-4</v>
      </c>
      <c r="M7465" s="9">
        <v>1.3517999999999999E-4</v>
      </c>
      <c r="N7465" s="9">
        <v>1.1311000000000001E-4</v>
      </c>
      <c r="O7465" s="9">
        <v>8.5190000000000003E-5</v>
      </c>
      <c r="P7465" s="9">
        <v>8.6589999999999996E-5</v>
      </c>
      <c r="Q7465" s="9">
        <v>8.8599999999999999E-5</v>
      </c>
      <c r="R7465" s="10">
        <v>2.1244936787709023E-4</v>
      </c>
      <c r="S7465" s="10">
        <v>1.9028861340670392E-4</v>
      </c>
      <c r="T7465" s="10">
        <v>0</v>
      </c>
      <c r="U7465" s="10">
        <v>9.8060000000000006E-5</v>
      </c>
      <c r="V7465" s="25"/>
      <c r="W7465" s="25"/>
      <c r="X7465" s="25"/>
      <c r="Y7465" s="25"/>
      <c r="Z7465" s="25"/>
      <c r="AA7465" s="25"/>
    </row>
    <row r="7466" spans="1:27" x14ac:dyDescent="0.35">
      <c r="A7466" s="5">
        <v>7462</v>
      </c>
      <c r="B7466" s="5">
        <v>311</v>
      </c>
      <c r="C7466" s="5">
        <v>11</v>
      </c>
      <c r="D7466" s="25">
        <v>1.1415000000000001E-4</v>
      </c>
      <c r="E7466" s="25">
        <v>1.1075E-4</v>
      </c>
      <c r="F7466" s="25">
        <v>1.1547E-4</v>
      </c>
      <c r="G7466" s="25">
        <v>5.4950000000000001E-5</v>
      </c>
      <c r="H7466" s="25">
        <v>6.9129999999999997E-5</v>
      </c>
      <c r="I7466" s="9">
        <v>1.1508E-4</v>
      </c>
      <c r="J7466" s="9">
        <v>1.149E-4</v>
      </c>
      <c r="K7466" s="9">
        <v>1.0809E-4</v>
      </c>
      <c r="L7466" s="9">
        <v>9.8170000000000004E-5</v>
      </c>
      <c r="M7466" s="9">
        <v>1.1374000000000001E-4</v>
      </c>
      <c r="N7466" s="9">
        <v>1.0558E-4</v>
      </c>
      <c r="O7466" s="9">
        <v>8.7189999999999997E-5</v>
      </c>
      <c r="P7466" s="9">
        <v>8.7180000000000002E-5</v>
      </c>
      <c r="Q7466" s="9">
        <v>8.7830000000000004E-5</v>
      </c>
      <c r="R7466" s="10">
        <v>2.1244936787709023E-4</v>
      </c>
      <c r="S7466" s="10">
        <v>1.9029020759484994E-4</v>
      </c>
      <c r="T7466" s="10">
        <v>0</v>
      </c>
      <c r="U7466" s="10">
        <v>9.8060000000000006E-5</v>
      </c>
      <c r="V7466" s="25"/>
      <c r="W7466" s="25"/>
      <c r="X7466" s="25"/>
      <c r="Y7466" s="25"/>
      <c r="Z7466" s="25"/>
      <c r="AA7466" s="25"/>
    </row>
    <row r="7467" spans="1:27" x14ac:dyDescent="0.35">
      <c r="A7467" s="5">
        <v>7463</v>
      </c>
      <c r="B7467" s="5">
        <v>311</v>
      </c>
      <c r="C7467" s="5">
        <v>11</v>
      </c>
      <c r="D7467" s="25">
        <v>1.1416E-4</v>
      </c>
      <c r="E7467" s="25">
        <v>1.2101E-4</v>
      </c>
      <c r="F7467" s="25">
        <v>1.2003E-4</v>
      </c>
      <c r="G7467" s="25">
        <v>5.2899999999999998E-5</v>
      </c>
      <c r="H7467" s="25">
        <v>7.1450000000000002E-5</v>
      </c>
      <c r="I7467" s="9">
        <v>1.1435E-4</v>
      </c>
      <c r="J7467" s="9">
        <v>1.0864E-4</v>
      </c>
      <c r="K7467" s="9">
        <v>1.314E-4</v>
      </c>
      <c r="L7467" s="9">
        <v>9.0550000000000005E-5</v>
      </c>
      <c r="M7467" s="9">
        <v>9.8919999999999995E-5</v>
      </c>
      <c r="N7467" s="9">
        <v>9.9699999999999998E-5</v>
      </c>
      <c r="O7467" s="9">
        <v>7.8540000000000004E-5</v>
      </c>
      <c r="P7467" s="9">
        <v>7.2639999999999996E-5</v>
      </c>
      <c r="Q7467" s="9">
        <v>6.7360000000000006E-5</v>
      </c>
      <c r="R7467" s="10">
        <v>2.1244746910549389E-4</v>
      </c>
      <c r="S7467" s="10">
        <v>1.9028991311003575E-4</v>
      </c>
      <c r="T7467" s="10">
        <v>0</v>
      </c>
      <c r="U7467" s="10">
        <v>9.8060000000000006E-5</v>
      </c>
      <c r="V7467" s="25"/>
      <c r="W7467" s="25"/>
      <c r="X7467" s="25"/>
      <c r="Y7467" s="25"/>
      <c r="Z7467" s="25"/>
      <c r="AA7467" s="25"/>
    </row>
    <row r="7468" spans="1:27" x14ac:dyDescent="0.35">
      <c r="A7468" s="5">
        <v>7464</v>
      </c>
      <c r="B7468" s="5">
        <v>311</v>
      </c>
      <c r="C7468" s="5">
        <v>11</v>
      </c>
      <c r="D7468" s="25">
        <v>1.1415000000000001E-4</v>
      </c>
      <c r="E7468" s="25">
        <v>1.1988E-4</v>
      </c>
      <c r="F7468" s="25">
        <v>1.1862999999999999E-4</v>
      </c>
      <c r="G7468" s="25">
        <v>5.6759999999999999E-5</v>
      </c>
      <c r="H7468" s="25">
        <v>6.4109999999999994E-5</v>
      </c>
      <c r="I7468" s="9">
        <v>1.1262E-4</v>
      </c>
      <c r="J7468" s="9">
        <v>1.0095E-4</v>
      </c>
      <c r="K7468" s="9">
        <v>1.3988E-4</v>
      </c>
      <c r="L7468" s="9">
        <v>8.1169999999999997E-5</v>
      </c>
      <c r="M7468" s="9">
        <v>8.619E-5</v>
      </c>
      <c r="N7468" s="9">
        <v>9.0569999999999995E-5</v>
      </c>
      <c r="O7468" s="9">
        <v>6.2899999999999997E-5</v>
      </c>
      <c r="P7468" s="9">
        <v>6.0779999999999997E-5</v>
      </c>
      <c r="Q7468" s="9">
        <v>5.8959999999999998E-5</v>
      </c>
      <c r="R7468" s="10">
        <v>2.1198392208099205E-4</v>
      </c>
      <c r="S7468" s="10">
        <v>1.9016314648545178E-4</v>
      </c>
      <c r="T7468" s="10">
        <v>0</v>
      </c>
      <c r="U7468" s="10">
        <v>9.8060000000000006E-5</v>
      </c>
      <c r="V7468" s="25"/>
      <c r="W7468" s="25"/>
      <c r="X7468" s="25"/>
      <c r="Y7468" s="25"/>
      <c r="Z7468" s="25"/>
      <c r="AA7468" s="25"/>
    </row>
    <row r="7469" spans="1:27" x14ac:dyDescent="0.35">
      <c r="A7469" s="5">
        <v>7465</v>
      </c>
      <c r="B7469" s="5">
        <v>312</v>
      </c>
      <c r="C7469" s="5">
        <v>11</v>
      </c>
      <c r="D7469" s="25">
        <v>1.1416E-4</v>
      </c>
      <c r="E7469" s="25">
        <v>1.2055E-4</v>
      </c>
      <c r="F7469" s="25">
        <v>1.4302999999999999E-4</v>
      </c>
      <c r="G7469" s="25">
        <v>5.5449999999999999E-5</v>
      </c>
      <c r="H7469" s="25">
        <v>6.6589999999999998E-5</v>
      </c>
      <c r="I7469" s="9">
        <v>1.0483E-4</v>
      </c>
      <c r="J7469" s="9">
        <v>9.5820000000000001E-5</v>
      </c>
      <c r="K7469" s="9">
        <v>1.4200000000000001E-4</v>
      </c>
      <c r="L7469" s="9">
        <v>6.6909999999999995E-5</v>
      </c>
      <c r="M7469" s="9">
        <v>7.4129999999999997E-5</v>
      </c>
      <c r="N7469" s="9">
        <v>8.119E-5</v>
      </c>
      <c r="O7469" s="9">
        <v>5.4839999999999997E-5</v>
      </c>
      <c r="P7469" s="9">
        <v>5.4259999999999999E-5</v>
      </c>
      <c r="Q7469" s="9">
        <v>5.3829999999999998E-5</v>
      </c>
      <c r="R7469" s="10">
        <v>2.1195381206136381E-4</v>
      </c>
      <c r="S7469" s="10">
        <v>1.8980665885060205E-4</v>
      </c>
      <c r="T7469" s="10">
        <v>0</v>
      </c>
      <c r="U7469" s="10">
        <v>9.9970000000000007E-5</v>
      </c>
      <c r="V7469" s="25"/>
      <c r="W7469" s="25"/>
      <c r="X7469" s="25"/>
      <c r="Y7469" s="25"/>
      <c r="Z7469" s="25"/>
      <c r="AA7469" s="25"/>
    </row>
    <row r="7470" spans="1:27" x14ac:dyDescent="0.35">
      <c r="A7470" s="5">
        <v>7466</v>
      </c>
      <c r="B7470" s="5">
        <v>312</v>
      </c>
      <c r="C7470" s="5">
        <v>11</v>
      </c>
      <c r="D7470" s="25">
        <v>1.1415000000000001E-4</v>
      </c>
      <c r="E7470" s="25">
        <v>1.1577E-4</v>
      </c>
      <c r="F7470" s="25">
        <v>1.2630000000000001E-4</v>
      </c>
      <c r="G7470" s="25">
        <v>5.6190000000000002E-5</v>
      </c>
      <c r="H7470" s="25">
        <v>7.6219999999999999E-5</v>
      </c>
      <c r="I7470" s="9">
        <v>1.0077E-4</v>
      </c>
      <c r="J7470" s="9">
        <v>9.2810000000000001E-5</v>
      </c>
      <c r="K7470" s="9">
        <v>1.2292E-4</v>
      </c>
      <c r="L7470" s="9">
        <v>5.7880000000000001E-5</v>
      </c>
      <c r="M7470" s="9">
        <v>6.4109999999999994E-5</v>
      </c>
      <c r="N7470" s="9">
        <v>7.2189999999999998E-5</v>
      </c>
      <c r="O7470" s="9">
        <v>1.8640000000000001E-5</v>
      </c>
      <c r="P7470" s="9">
        <v>3.7780000000000001E-5</v>
      </c>
      <c r="Q7470" s="9">
        <v>5.6230000000000002E-5</v>
      </c>
      <c r="R7470" s="10">
        <v>2.1127812738429389E-4</v>
      </c>
      <c r="S7470" s="10">
        <v>1.8779629373305134E-4</v>
      </c>
      <c r="T7470" s="10">
        <v>0</v>
      </c>
      <c r="U7470" s="10">
        <v>9.9970000000000007E-5</v>
      </c>
      <c r="V7470" s="25"/>
      <c r="W7470" s="25"/>
      <c r="X7470" s="25"/>
      <c r="Y7470" s="25"/>
      <c r="Z7470" s="25"/>
      <c r="AA7470" s="25"/>
    </row>
    <row r="7471" spans="1:27" x14ac:dyDescent="0.35">
      <c r="A7471" s="5">
        <v>7467</v>
      </c>
      <c r="B7471" s="5">
        <v>312</v>
      </c>
      <c r="C7471" s="5">
        <v>11</v>
      </c>
      <c r="D7471" s="25">
        <v>1.1416E-4</v>
      </c>
      <c r="E7471" s="25">
        <v>1.1877E-4</v>
      </c>
      <c r="F7471" s="25">
        <v>1.3668999999999999E-4</v>
      </c>
      <c r="G7471" s="25">
        <v>5.8149999999999997E-5</v>
      </c>
      <c r="H7471" s="25">
        <v>7.6089999999999998E-5</v>
      </c>
      <c r="I7471" s="9">
        <v>9.7390000000000001E-5</v>
      </c>
      <c r="J7471" s="9">
        <v>9.1819999999999998E-5</v>
      </c>
      <c r="K7471" s="9">
        <v>1.3776000000000001E-4</v>
      </c>
      <c r="L7471" s="9">
        <v>2.7480000000000001E-5</v>
      </c>
      <c r="M7471" s="9">
        <v>5.2349999999999999E-5</v>
      </c>
      <c r="N7471" s="9">
        <v>6.5629999999999993E-5</v>
      </c>
      <c r="O7471" s="9">
        <v>1.3190000000000001E-5</v>
      </c>
      <c r="P7471" s="9">
        <v>3.803E-5</v>
      </c>
      <c r="Q7471" s="9">
        <v>6.1989999999999994E-5</v>
      </c>
      <c r="R7471" s="10">
        <v>2.0490937714988139E-4</v>
      </c>
      <c r="S7471" s="10">
        <v>1.7775723718392865E-4</v>
      </c>
      <c r="T7471" s="10">
        <v>0</v>
      </c>
      <c r="U7471" s="10">
        <v>9.9970000000000007E-5</v>
      </c>
      <c r="V7471" s="25"/>
      <c r="W7471" s="25"/>
      <c r="X7471" s="25"/>
      <c r="Y7471" s="25"/>
      <c r="Z7471" s="25"/>
      <c r="AA7471" s="25"/>
    </row>
    <row r="7472" spans="1:27" x14ac:dyDescent="0.35">
      <c r="A7472" s="5">
        <v>7468</v>
      </c>
      <c r="B7472" s="5">
        <v>312</v>
      </c>
      <c r="C7472" s="5">
        <v>11</v>
      </c>
      <c r="D7472" s="25">
        <v>1.1415000000000001E-4</v>
      </c>
      <c r="E7472" s="25">
        <v>1.2051E-4</v>
      </c>
      <c r="F7472" s="25">
        <v>1.3473000000000001E-4</v>
      </c>
      <c r="G7472" s="25">
        <v>5.3229999999999997E-5</v>
      </c>
      <c r="H7472" s="25">
        <v>6.5519999999999996E-5</v>
      </c>
      <c r="I7472" s="9">
        <v>9.6849999999999996E-5</v>
      </c>
      <c r="J7472" s="9">
        <v>9.1429999999999997E-5</v>
      </c>
      <c r="K7472" s="9">
        <v>1.3988E-4</v>
      </c>
      <c r="L7472" s="9">
        <v>1.7090000000000001E-5</v>
      </c>
      <c r="M7472" s="9">
        <v>4.4379999999999999E-5</v>
      </c>
      <c r="N7472" s="9">
        <v>6.2130000000000003E-5</v>
      </c>
      <c r="O7472" s="9">
        <v>1.312E-5</v>
      </c>
      <c r="P7472" s="9">
        <v>4.7290000000000003E-5</v>
      </c>
      <c r="Q7472" s="9">
        <v>8.0420000000000006E-5</v>
      </c>
      <c r="R7472" s="10">
        <v>1.8622195689293791E-4</v>
      </c>
      <c r="S7472" s="10">
        <v>1.5919929674844817E-4</v>
      </c>
      <c r="T7472" s="10">
        <v>0</v>
      </c>
      <c r="U7472" s="10">
        <v>9.9970000000000007E-5</v>
      </c>
      <c r="V7472" s="25"/>
      <c r="W7472" s="25"/>
      <c r="X7472" s="25"/>
      <c r="Y7472" s="25"/>
      <c r="Z7472" s="25"/>
      <c r="AA7472" s="25"/>
    </row>
    <row r="7473" spans="1:27" x14ac:dyDescent="0.35">
      <c r="A7473" s="5">
        <v>7469</v>
      </c>
      <c r="B7473" s="5">
        <v>312</v>
      </c>
      <c r="C7473" s="5">
        <v>11</v>
      </c>
      <c r="D7473" s="25">
        <v>1.1416E-4</v>
      </c>
      <c r="E7473" s="25">
        <v>1.1531000000000001E-4</v>
      </c>
      <c r="F7473" s="25">
        <v>1.3611999999999999E-4</v>
      </c>
      <c r="G7473" s="25">
        <v>5.9120000000000003E-5</v>
      </c>
      <c r="H7473" s="25">
        <v>7.3499999999999998E-5</v>
      </c>
      <c r="I7473" s="9">
        <v>9.8610000000000006E-5</v>
      </c>
      <c r="J7473" s="9">
        <v>9.2600000000000001E-5</v>
      </c>
      <c r="K7473" s="9">
        <v>1.208E-4</v>
      </c>
      <c r="L7473" s="9">
        <v>1.4239999999999999E-5</v>
      </c>
      <c r="M7473" s="9">
        <v>4.3640000000000002E-5</v>
      </c>
      <c r="N7473" s="9">
        <v>6.4640000000000005E-5</v>
      </c>
      <c r="O7473" s="9">
        <v>1.8709999999999999E-5</v>
      </c>
      <c r="P7473" s="9">
        <v>5.6889999999999999E-5</v>
      </c>
      <c r="Q7473" s="9">
        <v>9.4069999999999999E-5</v>
      </c>
      <c r="R7473" s="10">
        <v>1.6261840114460238E-4</v>
      </c>
      <c r="S7473" s="10">
        <v>1.2920133390375554E-4</v>
      </c>
      <c r="T7473" s="10">
        <v>0</v>
      </c>
      <c r="U7473" s="10">
        <v>9.9970000000000007E-5</v>
      </c>
      <c r="V7473" s="25"/>
      <c r="W7473" s="25"/>
      <c r="X7473" s="25"/>
      <c r="Y7473" s="25"/>
      <c r="Z7473" s="25"/>
      <c r="AA7473" s="25"/>
    </row>
    <row r="7474" spans="1:27" x14ac:dyDescent="0.35">
      <c r="A7474" s="5">
        <v>7470</v>
      </c>
      <c r="B7474" s="5">
        <v>312</v>
      </c>
      <c r="C7474" s="5">
        <v>11</v>
      </c>
      <c r="D7474" s="25">
        <v>1.1415000000000001E-4</v>
      </c>
      <c r="E7474" s="25">
        <v>1.1845000000000001E-4</v>
      </c>
      <c r="F7474" s="25">
        <v>1.3417999999999999E-4</v>
      </c>
      <c r="G7474" s="25">
        <v>1.0857E-4</v>
      </c>
      <c r="H7474" s="25">
        <v>1.3349999999999999E-4</v>
      </c>
      <c r="I7474" s="9">
        <v>1.0471000000000001E-4</v>
      </c>
      <c r="J7474" s="9">
        <v>9.7390000000000001E-5</v>
      </c>
      <c r="K7474" s="9">
        <v>1.1868E-4</v>
      </c>
      <c r="L7474" s="9">
        <v>1.7589999999999999E-5</v>
      </c>
      <c r="M7474" s="9">
        <v>4.8569999999999997E-5</v>
      </c>
      <c r="N7474" s="9">
        <v>7.1260000000000006E-5</v>
      </c>
      <c r="O7474" s="9">
        <v>4.6529999999999997E-5</v>
      </c>
      <c r="P7474" s="9">
        <v>7.7349999999999996E-5</v>
      </c>
      <c r="Q7474" s="9">
        <v>1.0771E-4</v>
      </c>
      <c r="R7474" s="10">
        <v>1.2821791500398271E-4</v>
      </c>
      <c r="S7474" s="10">
        <v>8.118123892512424E-5</v>
      </c>
      <c r="T7474" s="10">
        <v>0</v>
      </c>
      <c r="U7474" s="10">
        <v>9.9970000000000007E-5</v>
      </c>
      <c r="V7474" s="25"/>
      <c r="W7474" s="25"/>
      <c r="X7474" s="25"/>
      <c r="Y7474" s="25"/>
      <c r="Z7474" s="25"/>
      <c r="AA7474" s="25"/>
    </row>
    <row r="7475" spans="1:27" x14ac:dyDescent="0.35">
      <c r="A7475" s="5">
        <v>7471</v>
      </c>
      <c r="B7475" s="5">
        <v>312</v>
      </c>
      <c r="C7475" s="5">
        <v>11</v>
      </c>
      <c r="D7475" s="25">
        <v>1.1416E-4</v>
      </c>
      <c r="E7475" s="25">
        <v>1.2098E-4</v>
      </c>
      <c r="F7475" s="25">
        <v>1.4119999999999999E-4</v>
      </c>
      <c r="G7475" s="25">
        <v>1.0999E-4</v>
      </c>
      <c r="H7475" s="25">
        <v>1.3062999999999999E-4</v>
      </c>
      <c r="I7475" s="9">
        <v>1.2009E-4</v>
      </c>
      <c r="J7475" s="9">
        <v>1.1033E-4</v>
      </c>
      <c r="K7475" s="9">
        <v>1.0809E-4</v>
      </c>
      <c r="L7475" s="9">
        <v>4.002E-5</v>
      </c>
      <c r="M7475" s="9">
        <v>6.0319999999999998E-5</v>
      </c>
      <c r="N7475" s="9">
        <v>8.1069999999999995E-5</v>
      </c>
      <c r="O7475" s="9">
        <v>1.2276E-4</v>
      </c>
      <c r="P7475" s="9">
        <v>1.1655E-4</v>
      </c>
      <c r="Q7475" s="9">
        <v>1.1165E-4</v>
      </c>
      <c r="R7475" s="10">
        <v>6.7943629657565748E-5</v>
      </c>
      <c r="S7475" s="10">
        <v>4.4294634048021117E-5</v>
      </c>
      <c r="T7475" s="10">
        <v>0</v>
      </c>
      <c r="U7475" s="10">
        <v>9.9970000000000007E-5</v>
      </c>
      <c r="V7475" s="25"/>
      <c r="W7475" s="25"/>
      <c r="X7475" s="25"/>
      <c r="Y7475" s="25"/>
      <c r="Z7475" s="25"/>
      <c r="AA7475" s="25"/>
    </row>
    <row r="7476" spans="1:27" x14ac:dyDescent="0.35">
      <c r="A7476" s="5">
        <v>7472</v>
      </c>
      <c r="B7476" s="5">
        <v>312</v>
      </c>
      <c r="C7476" s="5">
        <v>11</v>
      </c>
      <c r="D7476" s="25">
        <v>1.1415000000000001E-4</v>
      </c>
      <c r="E7476" s="25">
        <v>1.2307999999999999E-4</v>
      </c>
      <c r="F7476" s="25">
        <v>1.359E-4</v>
      </c>
      <c r="G7476" s="25">
        <v>1.5789999999999999E-4</v>
      </c>
      <c r="H7476" s="25">
        <v>1.8802000000000001E-4</v>
      </c>
      <c r="I7476" s="9">
        <v>1.3158000000000001E-4</v>
      </c>
      <c r="J7476" s="9">
        <v>1.2846E-4</v>
      </c>
      <c r="K7476" s="9">
        <v>9.9610000000000003E-5</v>
      </c>
      <c r="L7476" s="9">
        <v>1.0393E-4</v>
      </c>
      <c r="M7476" s="9">
        <v>8.3599999999999999E-5</v>
      </c>
      <c r="N7476" s="9">
        <v>9.0939999999999993E-5</v>
      </c>
      <c r="O7476" s="9">
        <v>2.1918E-4</v>
      </c>
      <c r="P7476" s="9">
        <v>1.7582000000000001E-4</v>
      </c>
      <c r="Q7476" s="9">
        <v>1.3582000000000001E-4</v>
      </c>
      <c r="R7476" s="10">
        <v>2.8340789677148297E-5</v>
      </c>
      <c r="S7476" s="10">
        <v>2.8563001067727298E-5</v>
      </c>
      <c r="T7476" s="10">
        <v>0</v>
      </c>
      <c r="U7476" s="10">
        <v>9.9970000000000007E-5</v>
      </c>
      <c r="V7476" s="25"/>
      <c r="W7476" s="25"/>
      <c r="X7476" s="25"/>
      <c r="Y7476" s="25"/>
      <c r="Z7476" s="25"/>
      <c r="AA7476" s="25"/>
    </row>
    <row r="7477" spans="1:27" x14ac:dyDescent="0.35">
      <c r="A7477" s="5">
        <v>7473</v>
      </c>
      <c r="B7477" s="5">
        <v>312</v>
      </c>
      <c r="C7477" s="5">
        <v>11</v>
      </c>
      <c r="D7477" s="25">
        <v>1.1416E-4</v>
      </c>
      <c r="E7477" s="25">
        <v>1.2123E-4</v>
      </c>
      <c r="F7477" s="25">
        <v>1.3228E-4</v>
      </c>
      <c r="G7477" s="25">
        <v>1.5710999999999999E-4</v>
      </c>
      <c r="H7477" s="25">
        <v>2.0034E-4</v>
      </c>
      <c r="I7477" s="9">
        <v>1.3527999999999999E-4</v>
      </c>
      <c r="J7477" s="9">
        <v>1.3857999999999999E-4</v>
      </c>
      <c r="K7477" s="9">
        <v>7.8419999999999998E-5</v>
      </c>
      <c r="L7477" s="9">
        <v>1.9207999999999999E-4</v>
      </c>
      <c r="M7477" s="9">
        <v>1.2281E-4</v>
      </c>
      <c r="N7477" s="9">
        <v>1.0444E-4</v>
      </c>
      <c r="O7477" s="9">
        <v>2.1042000000000001E-4</v>
      </c>
      <c r="P7477" s="9">
        <v>1.9144999999999999E-4</v>
      </c>
      <c r="Q7477" s="9">
        <v>1.7534000000000001E-4</v>
      </c>
      <c r="R7477" s="10">
        <v>1.7279513015304295E-5</v>
      </c>
      <c r="S7477" s="10">
        <v>2.5126307814794148E-5</v>
      </c>
      <c r="T7477" s="10">
        <v>7.6002353578576664E-5</v>
      </c>
      <c r="U7477" s="10">
        <v>9.9970000000000007E-5</v>
      </c>
      <c r="V7477" s="25"/>
      <c r="W7477" s="25"/>
      <c r="X7477" s="25"/>
      <c r="Y7477" s="25"/>
      <c r="Z7477" s="25"/>
      <c r="AA7477" s="25"/>
    </row>
    <row r="7478" spans="1:27" x14ac:dyDescent="0.35">
      <c r="A7478" s="5">
        <v>7474</v>
      </c>
      <c r="B7478" s="5">
        <v>312</v>
      </c>
      <c r="C7478" s="5">
        <v>11</v>
      </c>
      <c r="D7478" s="25">
        <v>1.1415000000000001E-4</v>
      </c>
      <c r="E7478" s="25">
        <v>1.1471E-4</v>
      </c>
      <c r="F7478" s="25">
        <v>1.403E-4</v>
      </c>
      <c r="G7478" s="25">
        <v>1.6102999999999999E-4</v>
      </c>
      <c r="H7478" s="25">
        <v>1.9175999999999999E-4</v>
      </c>
      <c r="I7478" s="9">
        <v>1.3760000000000001E-4</v>
      </c>
      <c r="J7478" s="9">
        <v>1.4334999999999999E-4</v>
      </c>
      <c r="K7478" s="9">
        <v>5.2989999999999999E-5</v>
      </c>
      <c r="L7478" s="9">
        <v>2.0406999999999999E-4</v>
      </c>
      <c r="M7478" s="9">
        <v>1.5746E-4</v>
      </c>
      <c r="N7478" s="9">
        <v>1.2407999999999999E-4</v>
      </c>
      <c r="O7478" s="9">
        <v>1.6616999999999999E-4</v>
      </c>
      <c r="P7478" s="9">
        <v>1.7232E-4</v>
      </c>
      <c r="Q7478" s="9">
        <v>1.8024E-4</v>
      </c>
      <c r="R7478" s="10">
        <v>2.4364038629417881E-5</v>
      </c>
      <c r="S7478" s="10">
        <v>4.0796491627642629E-5</v>
      </c>
      <c r="T7478" s="10">
        <v>1.6004782294108842E-4</v>
      </c>
      <c r="U7478" s="10">
        <v>9.9970000000000007E-5</v>
      </c>
      <c r="V7478" s="25"/>
      <c r="W7478" s="25"/>
      <c r="X7478" s="25"/>
      <c r="Y7478" s="25"/>
      <c r="Z7478" s="25"/>
      <c r="AA7478" s="25"/>
    </row>
    <row r="7479" spans="1:27" x14ac:dyDescent="0.35">
      <c r="A7479" s="5">
        <v>7475</v>
      </c>
      <c r="B7479" s="5">
        <v>312</v>
      </c>
      <c r="C7479" s="5">
        <v>11</v>
      </c>
      <c r="D7479" s="25">
        <v>1.1416E-4</v>
      </c>
      <c r="E7479" s="25">
        <v>1.2121999999999999E-4</v>
      </c>
      <c r="F7479" s="25">
        <v>1.3154E-4</v>
      </c>
      <c r="G7479" s="25">
        <v>1.6421E-4</v>
      </c>
      <c r="H7479" s="25">
        <v>1.9071E-4</v>
      </c>
      <c r="I7479" s="9">
        <v>1.3616999999999999E-4</v>
      </c>
      <c r="J7479" s="9">
        <v>1.4443999999999999E-4</v>
      </c>
      <c r="K7479" s="9">
        <v>8.49E-6</v>
      </c>
      <c r="L7479" s="9">
        <v>1.7458999999999999E-4</v>
      </c>
      <c r="M7479" s="9">
        <v>1.7082999999999999E-4</v>
      </c>
      <c r="N7479" s="9">
        <v>1.4175E-4</v>
      </c>
      <c r="O7479" s="9">
        <v>1.6845E-4</v>
      </c>
      <c r="P7479" s="9">
        <v>1.7333E-4</v>
      </c>
      <c r="Q7479" s="9">
        <v>1.8003E-4</v>
      </c>
      <c r="R7479" s="10">
        <v>5.9299531242822284E-5</v>
      </c>
      <c r="S7479" s="10">
        <v>6.2341464598745372E-5</v>
      </c>
      <c r="T7479" s="10">
        <v>1.5017209849752254E-4</v>
      </c>
      <c r="U7479" s="10">
        <v>9.9970000000000007E-5</v>
      </c>
      <c r="V7479" s="25"/>
      <c r="W7479" s="25"/>
      <c r="X7479" s="25"/>
      <c r="Y7479" s="25"/>
      <c r="Z7479" s="25"/>
      <c r="AA7479" s="25"/>
    </row>
    <row r="7480" spans="1:27" x14ac:dyDescent="0.35">
      <c r="A7480" s="5">
        <v>7476</v>
      </c>
      <c r="B7480" s="5">
        <v>312</v>
      </c>
      <c r="C7480" s="5">
        <v>11</v>
      </c>
      <c r="D7480" s="25">
        <v>1.1415000000000001E-4</v>
      </c>
      <c r="E7480" s="25">
        <v>1.1852E-4</v>
      </c>
      <c r="F7480" s="25">
        <v>1.2705999999999999E-4</v>
      </c>
      <c r="G7480" s="25">
        <v>1.563E-4</v>
      </c>
      <c r="H7480" s="25">
        <v>1.9337E-4</v>
      </c>
      <c r="I7480" s="9">
        <v>1.3763999999999999E-4</v>
      </c>
      <c r="J7480" s="9">
        <v>1.4499000000000001E-4</v>
      </c>
      <c r="K7480" s="9">
        <v>0</v>
      </c>
      <c r="L7480" s="9">
        <v>1.7122E-4</v>
      </c>
      <c r="M7480" s="9">
        <v>1.7398000000000001E-4</v>
      </c>
      <c r="N7480" s="9">
        <v>1.5599E-4</v>
      </c>
      <c r="O7480" s="9">
        <v>1.7204000000000001E-4</v>
      </c>
      <c r="P7480" s="9">
        <v>1.728E-4</v>
      </c>
      <c r="Q7480" s="9">
        <v>1.7548999999999999E-4</v>
      </c>
      <c r="R7480" s="10">
        <v>8.5188339957360045E-5</v>
      </c>
      <c r="S7480" s="10">
        <v>1.2701246577771655E-4</v>
      </c>
      <c r="T7480" s="10">
        <v>4.0196913461105214E-4</v>
      </c>
      <c r="U7480" s="10">
        <v>9.9970000000000007E-5</v>
      </c>
      <c r="V7480" s="25"/>
      <c r="W7480" s="25"/>
      <c r="X7480" s="25"/>
      <c r="Y7480" s="25"/>
      <c r="Z7480" s="25"/>
      <c r="AA7480" s="25"/>
    </row>
    <row r="7481" spans="1:27" x14ac:dyDescent="0.35">
      <c r="A7481" s="5">
        <v>7477</v>
      </c>
      <c r="B7481" s="5">
        <v>312</v>
      </c>
      <c r="C7481" s="5">
        <v>11</v>
      </c>
      <c r="D7481" s="25">
        <v>1.1416E-4</v>
      </c>
      <c r="E7481" s="25">
        <v>1.1904E-4</v>
      </c>
      <c r="F7481" s="25">
        <v>1.2516E-4</v>
      </c>
      <c r="G7481" s="25">
        <v>1.6406E-4</v>
      </c>
      <c r="H7481" s="25">
        <v>1.9511999999999999E-4</v>
      </c>
      <c r="I7481" s="9">
        <v>1.3641E-4</v>
      </c>
      <c r="J7481" s="9">
        <v>1.4370999999999999E-4</v>
      </c>
      <c r="K7481" s="9">
        <v>0</v>
      </c>
      <c r="L7481" s="9">
        <v>1.7197999999999999E-4</v>
      </c>
      <c r="M7481" s="9">
        <v>1.739E-4</v>
      </c>
      <c r="N7481" s="9">
        <v>1.6588E-4</v>
      </c>
      <c r="O7481" s="9">
        <v>1.6105000000000001E-4</v>
      </c>
      <c r="P7481" s="9">
        <v>1.6265E-4</v>
      </c>
      <c r="Q7481" s="9">
        <v>1.6602000000000001E-4</v>
      </c>
      <c r="R7481" s="10">
        <v>1.284386509652535E-4</v>
      </c>
      <c r="S7481" s="10">
        <v>1.6691542690406265E-4</v>
      </c>
      <c r="T7481" s="10">
        <v>2.6130793568503939E-4</v>
      </c>
      <c r="U7481" s="10">
        <v>9.9970000000000007E-5</v>
      </c>
      <c r="V7481" s="25"/>
      <c r="W7481" s="25"/>
      <c r="X7481" s="25"/>
      <c r="Y7481" s="25"/>
      <c r="Z7481" s="25"/>
      <c r="AA7481" s="25"/>
    </row>
    <row r="7482" spans="1:27" x14ac:dyDescent="0.35">
      <c r="A7482" s="5">
        <v>7478</v>
      </c>
      <c r="B7482" s="5">
        <v>312</v>
      </c>
      <c r="C7482" s="5">
        <v>11</v>
      </c>
      <c r="D7482" s="25">
        <v>1.1415000000000001E-4</v>
      </c>
      <c r="E7482" s="25">
        <v>1.1958E-4</v>
      </c>
      <c r="F7482" s="25">
        <v>1.4333E-4</v>
      </c>
      <c r="G7482" s="25">
        <v>1.6406E-4</v>
      </c>
      <c r="H7482" s="25">
        <v>1.9497000000000001E-4</v>
      </c>
      <c r="I7482" s="9">
        <v>1.3741E-4</v>
      </c>
      <c r="J7482" s="9">
        <v>1.4469999999999999E-4</v>
      </c>
      <c r="K7482" s="9">
        <v>0</v>
      </c>
      <c r="L7482" s="9">
        <v>1.6317E-4</v>
      </c>
      <c r="M7482" s="9">
        <v>1.6980000000000001E-4</v>
      </c>
      <c r="N7482" s="9">
        <v>1.7003999999999999E-4</v>
      </c>
      <c r="O7482" s="9">
        <v>1.7859000000000001E-4</v>
      </c>
      <c r="P7482" s="9">
        <v>1.6836999999999999E-4</v>
      </c>
      <c r="Q7482" s="9">
        <v>1.6035999999999999E-4</v>
      </c>
      <c r="R7482" s="10">
        <v>1.2568805502230691E-4</v>
      </c>
      <c r="S7482" s="10">
        <v>1.86747504775468E-4</v>
      </c>
      <c r="T7482" s="10">
        <v>1.8575524997202026E-4</v>
      </c>
      <c r="U7482" s="10">
        <v>9.9970000000000007E-5</v>
      </c>
      <c r="V7482" s="25"/>
      <c r="W7482" s="25"/>
      <c r="X7482" s="25"/>
      <c r="Y7482" s="25"/>
      <c r="Z7482" s="25"/>
      <c r="AA7482" s="25"/>
    </row>
    <row r="7483" spans="1:27" x14ac:dyDescent="0.35">
      <c r="A7483" s="5">
        <v>7479</v>
      </c>
      <c r="B7483" s="5">
        <v>312</v>
      </c>
      <c r="C7483" s="5">
        <v>11</v>
      </c>
      <c r="D7483" s="25">
        <v>1.1416E-4</v>
      </c>
      <c r="E7483" s="25">
        <v>1.1615E-4</v>
      </c>
      <c r="F7483" s="25">
        <v>1.3927000000000001E-4</v>
      </c>
      <c r="G7483" s="25">
        <v>1.6715999999999999E-4</v>
      </c>
      <c r="H7483" s="25">
        <v>1.8993999999999999E-4</v>
      </c>
      <c r="I7483" s="9">
        <v>1.3711999999999999E-4</v>
      </c>
      <c r="J7483" s="9">
        <v>1.4347000000000001E-4</v>
      </c>
      <c r="K7483" s="9">
        <v>0</v>
      </c>
      <c r="L7483" s="9">
        <v>1.7542999999999999E-4</v>
      </c>
      <c r="M7483" s="9">
        <v>1.6807000000000001E-4</v>
      </c>
      <c r="N7483" s="9">
        <v>1.6962999999999999E-4</v>
      </c>
      <c r="O7483" s="9">
        <v>1.8588E-4</v>
      </c>
      <c r="P7483" s="9">
        <v>1.6862999999999999E-4</v>
      </c>
      <c r="Q7483" s="9">
        <v>1.5381999999999999E-4</v>
      </c>
      <c r="R7483" s="10">
        <v>1.1307475966747326E-4</v>
      </c>
      <c r="S7483" s="10">
        <v>1.8893280908633561E-4</v>
      </c>
      <c r="T7483" s="10">
        <v>1.5252224941751205E-4</v>
      </c>
      <c r="U7483" s="10">
        <v>9.9970000000000007E-5</v>
      </c>
      <c r="V7483" s="25"/>
      <c r="W7483" s="25"/>
      <c r="X7483" s="25"/>
      <c r="Y7483" s="25"/>
      <c r="Z7483" s="25"/>
      <c r="AA7483" s="25"/>
    </row>
    <row r="7484" spans="1:27" x14ac:dyDescent="0.35">
      <c r="A7484" s="5">
        <v>7480</v>
      </c>
      <c r="B7484" s="5">
        <v>312</v>
      </c>
      <c r="C7484" s="5">
        <v>11</v>
      </c>
      <c r="D7484" s="25">
        <v>1.1415000000000001E-4</v>
      </c>
      <c r="E7484" s="25">
        <v>1.2035E-4</v>
      </c>
      <c r="F7484" s="25">
        <v>1.2826999999999999E-4</v>
      </c>
      <c r="G7484" s="25">
        <v>1.6310000000000001E-4</v>
      </c>
      <c r="H7484" s="25">
        <v>1.9602000000000001E-4</v>
      </c>
      <c r="I7484" s="9">
        <v>1.3831999999999999E-4</v>
      </c>
      <c r="J7484" s="9">
        <v>1.4326000000000001E-4</v>
      </c>
      <c r="K7484" s="9">
        <v>1.272E-5</v>
      </c>
      <c r="L7484" s="9">
        <v>1.8327E-4</v>
      </c>
      <c r="M7484" s="9">
        <v>1.6792000000000001E-4</v>
      </c>
      <c r="N7484" s="9">
        <v>1.6616999999999999E-4</v>
      </c>
      <c r="O7484" s="9">
        <v>1.9662999999999999E-4</v>
      </c>
      <c r="P7484" s="9">
        <v>1.5123E-4</v>
      </c>
      <c r="Q7484" s="9">
        <v>1.0888E-4</v>
      </c>
      <c r="R7484" s="10">
        <v>1.2653522655046753E-4</v>
      </c>
      <c r="S7484" s="10">
        <v>1.8949040584659348E-4</v>
      </c>
      <c r="T7484" s="10">
        <v>2.3509993499244917E-5</v>
      </c>
      <c r="U7484" s="10">
        <v>9.9970000000000007E-5</v>
      </c>
      <c r="V7484" s="25"/>
      <c r="W7484" s="25"/>
      <c r="X7484" s="25"/>
      <c r="Y7484" s="25"/>
      <c r="Z7484" s="25"/>
      <c r="AA7484" s="25"/>
    </row>
    <row r="7485" spans="1:27" x14ac:dyDescent="0.35">
      <c r="A7485" s="5">
        <v>7481</v>
      </c>
      <c r="B7485" s="5">
        <v>312</v>
      </c>
      <c r="C7485" s="5">
        <v>11</v>
      </c>
      <c r="D7485" s="25">
        <v>1.1416E-4</v>
      </c>
      <c r="E7485" s="25">
        <v>1.1334E-4</v>
      </c>
      <c r="F7485" s="25">
        <v>1.3506999999999999E-4</v>
      </c>
      <c r="G7485" s="25">
        <v>1.6310000000000001E-4</v>
      </c>
      <c r="H7485" s="25">
        <v>1.9813E-4</v>
      </c>
      <c r="I7485" s="9">
        <v>1.3792000000000001E-4</v>
      </c>
      <c r="J7485" s="9">
        <v>1.4578E-4</v>
      </c>
      <c r="K7485" s="9">
        <v>2.544E-5</v>
      </c>
      <c r="L7485" s="9">
        <v>1.9341000000000001E-4</v>
      </c>
      <c r="M7485" s="9">
        <v>1.6201E-4</v>
      </c>
      <c r="N7485" s="9">
        <v>1.5231000000000001E-4</v>
      </c>
      <c r="O7485" s="9">
        <v>2.1509E-4</v>
      </c>
      <c r="P7485" s="9">
        <v>1.5941999999999999E-4</v>
      </c>
      <c r="Q7485" s="9">
        <v>1.0723E-4</v>
      </c>
      <c r="R7485" s="10">
        <v>1.5170339718626128E-4</v>
      </c>
      <c r="S7485" s="10">
        <v>1.9012711526276819E-4</v>
      </c>
      <c r="T7485" s="10">
        <v>0</v>
      </c>
      <c r="U7485" s="10">
        <v>9.9970000000000007E-5</v>
      </c>
      <c r="V7485" s="25"/>
      <c r="W7485" s="25"/>
      <c r="X7485" s="25"/>
      <c r="Y7485" s="25"/>
      <c r="Z7485" s="25"/>
      <c r="AA7485" s="25"/>
    </row>
    <row r="7486" spans="1:27" x14ac:dyDescent="0.35">
      <c r="A7486" s="5">
        <v>7482</v>
      </c>
      <c r="B7486" s="5">
        <v>312</v>
      </c>
      <c r="C7486" s="5">
        <v>11</v>
      </c>
      <c r="D7486" s="25">
        <v>1.1415000000000001E-4</v>
      </c>
      <c r="E7486" s="25">
        <v>1.2157E-4</v>
      </c>
      <c r="F7486" s="25">
        <v>1.2877E-4</v>
      </c>
      <c r="G7486" s="25">
        <v>1.6232E-4</v>
      </c>
      <c r="H7486" s="25">
        <v>1.8896000000000001E-4</v>
      </c>
      <c r="I7486" s="9">
        <v>1.4543999999999999E-4</v>
      </c>
      <c r="J7486" s="9">
        <v>1.5244E-4</v>
      </c>
      <c r="K7486" s="9">
        <v>4.2389999999999999E-5</v>
      </c>
      <c r="L7486" s="9">
        <v>2.1013E-4</v>
      </c>
      <c r="M7486" s="9">
        <v>1.5940999999999999E-4</v>
      </c>
      <c r="N7486" s="9">
        <v>1.3899E-4</v>
      </c>
      <c r="O7486" s="9">
        <v>2.0469999999999999E-4</v>
      </c>
      <c r="P7486" s="9">
        <v>1.5914E-4</v>
      </c>
      <c r="Q7486" s="9">
        <v>1.1676E-4</v>
      </c>
      <c r="R7486" s="10">
        <v>1.8874688694405271E-4</v>
      </c>
      <c r="S7486" s="10">
        <v>1.9029014337068964E-4</v>
      </c>
      <c r="T7486" s="10">
        <v>0</v>
      </c>
      <c r="U7486" s="10">
        <v>9.9970000000000007E-5</v>
      </c>
      <c r="V7486" s="25"/>
      <c r="W7486" s="25"/>
      <c r="X7486" s="25"/>
      <c r="Y7486" s="25"/>
      <c r="Z7486" s="25"/>
      <c r="AA7486" s="25"/>
    </row>
    <row r="7487" spans="1:27" x14ac:dyDescent="0.35">
      <c r="A7487" s="5">
        <v>7483</v>
      </c>
      <c r="B7487" s="5">
        <v>312</v>
      </c>
      <c r="C7487" s="5">
        <v>11</v>
      </c>
      <c r="D7487" s="25">
        <v>1.1416E-4</v>
      </c>
      <c r="E7487" s="25">
        <v>1.2173E-4</v>
      </c>
      <c r="F7487" s="25">
        <v>1.4339999999999999E-4</v>
      </c>
      <c r="G7487" s="25">
        <v>1.0658E-4</v>
      </c>
      <c r="H7487" s="25">
        <v>1.3211000000000001E-4</v>
      </c>
      <c r="I7487" s="9">
        <v>1.4427999999999999E-4</v>
      </c>
      <c r="J7487" s="9">
        <v>1.4755000000000001E-4</v>
      </c>
      <c r="K7487" s="9">
        <v>5.5109999999999999E-5</v>
      </c>
      <c r="L7487" s="9">
        <v>2.0547999999999999E-4</v>
      </c>
      <c r="M7487" s="9">
        <v>1.5880000000000001E-4</v>
      </c>
      <c r="N7487" s="9">
        <v>1.2977E-4</v>
      </c>
      <c r="O7487" s="9">
        <v>1.6581000000000001E-4</v>
      </c>
      <c r="P7487" s="9">
        <v>1.3552E-4</v>
      </c>
      <c r="Q7487" s="9">
        <v>1.0755999999999999E-4</v>
      </c>
      <c r="R7487" s="10">
        <v>2.0728371501684581E-4</v>
      </c>
      <c r="S7487" s="10">
        <v>1.9029020759484994E-4</v>
      </c>
      <c r="T7487" s="10">
        <v>0</v>
      </c>
      <c r="U7487" s="10">
        <v>9.9970000000000007E-5</v>
      </c>
      <c r="V7487" s="25"/>
      <c r="W7487" s="25"/>
      <c r="X7487" s="25"/>
      <c r="Y7487" s="25"/>
      <c r="Z7487" s="25"/>
      <c r="AA7487" s="25"/>
    </row>
    <row r="7488" spans="1:27" x14ac:dyDescent="0.35">
      <c r="A7488" s="5">
        <v>7484</v>
      </c>
      <c r="B7488" s="5">
        <v>312</v>
      </c>
      <c r="C7488" s="5">
        <v>11</v>
      </c>
      <c r="D7488" s="25">
        <v>1.1415000000000001E-4</v>
      </c>
      <c r="E7488" s="25">
        <v>1.1400000000000001E-4</v>
      </c>
      <c r="F7488" s="25">
        <v>1.2322E-4</v>
      </c>
      <c r="G7488" s="25">
        <v>1.1234999999999999E-4</v>
      </c>
      <c r="H7488" s="25">
        <v>1.3909999999999999E-4</v>
      </c>
      <c r="I7488" s="9">
        <v>1.3814E-4</v>
      </c>
      <c r="J7488" s="9">
        <v>1.4257000000000001E-4</v>
      </c>
      <c r="K7488" s="9">
        <v>6.9950000000000006E-5</v>
      </c>
      <c r="L7488" s="9">
        <v>1.7472000000000001E-4</v>
      </c>
      <c r="M7488" s="9">
        <v>1.5043000000000001E-4</v>
      </c>
      <c r="N7488" s="9">
        <v>1.2079E-4</v>
      </c>
      <c r="O7488" s="9">
        <v>1.3003E-4</v>
      </c>
      <c r="P7488" s="9">
        <v>1.1546E-4</v>
      </c>
      <c r="Q7488" s="9">
        <v>1.0242999999999999E-4</v>
      </c>
      <c r="R7488" s="10">
        <v>2.1071424737539646E-4</v>
      </c>
      <c r="S7488" s="10">
        <v>1.9028927554763555E-4</v>
      </c>
      <c r="T7488" s="10">
        <v>0</v>
      </c>
      <c r="U7488" s="10">
        <v>9.9970000000000007E-5</v>
      </c>
      <c r="V7488" s="25"/>
      <c r="W7488" s="25"/>
      <c r="X7488" s="25"/>
      <c r="Y7488" s="25"/>
      <c r="Z7488" s="25"/>
      <c r="AA7488" s="25"/>
    </row>
    <row r="7489" spans="1:27" x14ac:dyDescent="0.35">
      <c r="A7489" s="5">
        <v>7485</v>
      </c>
      <c r="B7489" s="5">
        <v>312</v>
      </c>
      <c r="C7489" s="5">
        <v>11</v>
      </c>
      <c r="D7489" s="25">
        <v>1.1416E-4</v>
      </c>
      <c r="E7489" s="25">
        <v>1.2045E-4</v>
      </c>
      <c r="F7489" s="25">
        <v>1.403E-4</v>
      </c>
      <c r="G7489" s="25">
        <v>5.3449999999999998E-5</v>
      </c>
      <c r="H7489" s="25">
        <v>7.0359999999999997E-5</v>
      </c>
      <c r="I7489" s="9">
        <v>1.329E-4</v>
      </c>
      <c r="J7489" s="9">
        <v>1.3538999999999999E-4</v>
      </c>
      <c r="K7489" s="9">
        <v>8.9019999999999998E-5</v>
      </c>
      <c r="L7489" s="9">
        <v>1.4083999999999999E-4</v>
      </c>
      <c r="M7489" s="9">
        <v>1.3549999999999999E-4</v>
      </c>
      <c r="N7489" s="9">
        <v>1.1323E-4</v>
      </c>
      <c r="O7489" s="9">
        <v>8.4140000000000004E-5</v>
      </c>
      <c r="P7489" s="9">
        <v>8.5530000000000003E-5</v>
      </c>
      <c r="Q7489" s="9">
        <v>8.7509999999999994E-5</v>
      </c>
      <c r="R7489" s="10">
        <v>2.1177017091199564E-4</v>
      </c>
      <c r="S7489" s="10">
        <v>1.9027464831190906E-4</v>
      </c>
      <c r="T7489" s="10">
        <v>0</v>
      </c>
      <c r="U7489" s="10">
        <v>9.9970000000000007E-5</v>
      </c>
      <c r="V7489" s="25"/>
      <c r="W7489" s="25"/>
      <c r="X7489" s="25"/>
      <c r="Y7489" s="25"/>
      <c r="Z7489" s="25"/>
      <c r="AA7489" s="25"/>
    </row>
    <row r="7490" spans="1:27" x14ac:dyDescent="0.35">
      <c r="A7490" s="5">
        <v>7486</v>
      </c>
      <c r="B7490" s="5">
        <v>312</v>
      </c>
      <c r="C7490" s="5">
        <v>11</v>
      </c>
      <c r="D7490" s="25">
        <v>1.1415000000000001E-4</v>
      </c>
      <c r="E7490" s="25">
        <v>1.1307999999999999E-4</v>
      </c>
      <c r="F7490" s="25">
        <v>1.3405000000000001E-4</v>
      </c>
      <c r="G7490" s="25">
        <v>6.2089999999999997E-5</v>
      </c>
      <c r="H7490" s="25">
        <v>7.161E-5</v>
      </c>
      <c r="I7490" s="9">
        <v>1.2637E-4</v>
      </c>
      <c r="J7490" s="9">
        <v>1.2739000000000001E-4</v>
      </c>
      <c r="K7490" s="9">
        <v>9.9610000000000003E-5</v>
      </c>
      <c r="L7490" s="9">
        <v>9.7520000000000001E-5</v>
      </c>
      <c r="M7490" s="9">
        <v>1.1367E-4</v>
      </c>
      <c r="N7490" s="9">
        <v>1.055E-4</v>
      </c>
      <c r="O7490" s="9">
        <v>8.7100000000000003E-5</v>
      </c>
      <c r="P7490" s="9">
        <v>8.7089999999999995E-5</v>
      </c>
      <c r="Q7490" s="9">
        <v>8.7730000000000002E-5</v>
      </c>
      <c r="R7490" s="10">
        <v>2.121996473474542E-4</v>
      </c>
      <c r="S7490" s="10">
        <v>1.9028374601552157E-4</v>
      </c>
      <c r="T7490" s="10">
        <v>0</v>
      </c>
      <c r="U7490" s="10">
        <v>9.9970000000000007E-5</v>
      </c>
      <c r="V7490" s="25"/>
      <c r="W7490" s="25"/>
      <c r="X7490" s="25"/>
      <c r="Y7490" s="25"/>
      <c r="Z7490" s="25"/>
      <c r="AA7490" s="25"/>
    </row>
    <row r="7491" spans="1:27" x14ac:dyDescent="0.35">
      <c r="A7491" s="5">
        <v>7487</v>
      </c>
      <c r="B7491" s="5">
        <v>312</v>
      </c>
      <c r="C7491" s="5">
        <v>11</v>
      </c>
      <c r="D7491" s="25">
        <v>1.1416E-4</v>
      </c>
      <c r="E7491" s="25">
        <v>1.1365E-4</v>
      </c>
      <c r="F7491" s="25">
        <v>1.4037000000000001E-4</v>
      </c>
      <c r="G7491" s="25">
        <v>6.0130000000000002E-5</v>
      </c>
      <c r="H7491" s="25">
        <v>7.5190000000000003E-5</v>
      </c>
      <c r="I7491" s="9">
        <v>1.2666000000000001E-4</v>
      </c>
      <c r="J7491" s="9">
        <v>1.1811000000000001E-4</v>
      </c>
      <c r="K7491" s="9">
        <v>1.2504000000000001E-4</v>
      </c>
      <c r="L7491" s="9">
        <v>9.0370000000000004E-5</v>
      </c>
      <c r="M7491" s="9">
        <v>9.8720000000000003E-5</v>
      </c>
      <c r="N7491" s="9">
        <v>9.9599999999999995E-5</v>
      </c>
      <c r="O7491" s="9">
        <v>7.7280000000000005E-5</v>
      </c>
      <c r="P7491" s="9">
        <v>7.148E-5</v>
      </c>
      <c r="Q7491" s="9">
        <v>6.6279999999999996E-5</v>
      </c>
      <c r="R7491" s="10">
        <v>2.12390196681082E-4</v>
      </c>
      <c r="S7491" s="10">
        <v>1.9028586113651951E-4</v>
      </c>
      <c r="T7491" s="10">
        <v>0</v>
      </c>
      <c r="U7491" s="10">
        <v>9.9970000000000007E-5</v>
      </c>
      <c r="V7491" s="25"/>
      <c r="W7491" s="25"/>
      <c r="X7491" s="25"/>
      <c r="Y7491" s="25"/>
      <c r="Z7491" s="25"/>
      <c r="AA7491" s="25"/>
    </row>
    <row r="7492" spans="1:27" x14ac:dyDescent="0.35">
      <c r="A7492" s="5">
        <v>7488</v>
      </c>
      <c r="B7492" s="5">
        <v>312</v>
      </c>
      <c r="C7492" s="5">
        <v>11</v>
      </c>
      <c r="D7492" s="25">
        <v>1.1415000000000001E-4</v>
      </c>
      <c r="E7492" s="25">
        <v>1.1524E-4</v>
      </c>
      <c r="F7492" s="25">
        <v>1.2261999999999999E-4</v>
      </c>
      <c r="G7492" s="25">
        <v>6.3460000000000006E-5</v>
      </c>
      <c r="H7492" s="25">
        <v>7.4229999999999999E-5</v>
      </c>
      <c r="I7492" s="9">
        <v>1.2509000000000001E-4</v>
      </c>
      <c r="J7492" s="9">
        <v>1.0945E-4</v>
      </c>
      <c r="K7492" s="9">
        <v>1.3564E-4</v>
      </c>
      <c r="L7492" s="9">
        <v>8.0149999999999997E-5</v>
      </c>
      <c r="M7492" s="9">
        <v>8.5619999999999997E-5</v>
      </c>
      <c r="N7492" s="9">
        <v>9.0240000000000003E-5</v>
      </c>
      <c r="O7492" s="9">
        <v>6.2619999999999993E-5</v>
      </c>
      <c r="P7492" s="9">
        <v>6.05E-5</v>
      </c>
      <c r="Q7492" s="9">
        <v>5.8690000000000002E-5</v>
      </c>
      <c r="R7492" s="10">
        <v>2.1240004468546357E-4</v>
      </c>
      <c r="S7492" s="10">
        <v>1.9029010573272918E-4</v>
      </c>
      <c r="T7492" s="10">
        <v>0</v>
      </c>
      <c r="U7492" s="10">
        <v>9.9970000000000007E-5</v>
      </c>
      <c r="V7492" s="25"/>
      <c r="W7492" s="25"/>
      <c r="X7492" s="25"/>
      <c r="Y7492" s="25"/>
      <c r="Z7492" s="25"/>
      <c r="AA7492" s="25"/>
    </row>
    <row r="7493" spans="1:27" x14ac:dyDescent="0.35">
      <c r="A7493" s="5">
        <v>7489</v>
      </c>
      <c r="B7493" s="5">
        <v>313</v>
      </c>
      <c r="C7493" s="5">
        <v>11</v>
      </c>
      <c r="D7493" s="25">
        <v>1.1416E-4</v>
      </c>
      <c r="E7493" s="25">
        <v>1.2081E-4</v>
      </c>
      <c r="F7493" s="25">
        <v>1.0605E-4</v>
      </c>
      <c r="G7493" s="25">
        <v>5.3069999999999998E-5</v>
      </c>
      <c r="H7493" s="25">
        <v>7.0850000000000001E-5</v>
      </c>
      <c r="I7493" s="9">
        <v>1.1769000000000001E-4</v>
      </c>
      <c r="J7493" s="9">
        <v>1.0305E-4</v>
      </c>
      <c r="K7493" s="9">
        <v>1.4624000000000001E-4</v>
      </c>
      <c r="L7493" s="9">
        <v>6.6470000000000006E-5</v>
      </c>
      <c r="M7493" s="9">
        <v>7.3579999999999997E-5</v>
      </c>
      <c r="N7493" s="9">
        <v>8.0820000000000002E-5</v>
      </c>
      <c r="O7493" s="9">
        <v>5.4190000000000001E-5</v>
      </c>
      <c r="P7493" s="9">
        <v>5.3609999999999997E-5</v>
      </c>
      <c r="Q7493" s="9">
        <v>5.3189999999999997E-5</v>
      </c>
      <c r="R7493" s="10">
        <v>2.1241257383733392E-4</v>
      </c>
      <c r="S7493" s="10">
        <v>1.9029020759484994E-4</v>
      </c>
      <c r="T7493" s="10">
        <v>0</v>
      </c>
      <c r="U7493" s="10">
        <v>1.024E-4</v>
      </c>
      <c r="V7493" s="25"/>
      <c r="W7493" s="25"/>
      <c r="X7493" s="25"/>
      <c r="Y7493" s="25"/>
      <c r="Z7493" s="25"/>
      <c r="AA7493" s="25"/>
    </row>
    <row r="7494" spans="1:27" x14ac:dyDescent="0.35">
      <c r="A7494" s="5">
        <v>7490</v>
      </c>
      <c r="B7494" s="5">
        <v>313</v>
      </c>
      <c r="C7494" s="5">
        <v>11</v>
      </c>
      <c r="D7494" s="25">
        <v>1.1415000000000001E-4</v>
      </c>
      <c r="E7494" s="25">
        <v>1.1955000000000001E-4</v>
      </c>
      <c r="F7494" s="25">
        <v>1.0997000000000001E-4</v>
      </c>
      <c r="G7494" s="25">
        <v>5.588E-5</v>
      </c>
      <c r="H7494" s="25">
        <v>7.4350000000000005E-5</v>
      </c>
      <c r="I7494" s="9">
        <v>1.1218E-4</v>
      </c>
      <c r="J7494" s="9">
        <v>9.891E-5</v>
      </c>
      <c r="K7494" s="9">
        <v>1.5046999999999999E-4</v>
      </c>
      <c r="L7494" s="9">
        <v>5.7259999999999997E-5</v>
      </c>
      <c r="M7494" s="9">
        <v>6.3529999999999997E-5</v>
      </c>
      <c r="N7494" s="9">
        <v>7.1699999999999995E-5</v>
      </c>
      <c r="O7494" s="9">
        <v>1.855E-5</v>
      </c>
      <c r="P7494" s="9">
        <v>3.7610000000000001E-5</v>
      </c>
      <c r="Q7494" s="9">
        <v>5.5980000000000003E-5</v>
      </c>
      <c r="R7494" s="10">
        <v>2.1241420844473583E-4</v>
      </c>
      <c r="S7494" s="10">
        <v>1.9029020759484994E-4</v>
      </c>
      <c r="T7494" s="10">
        <v>0</v>
      </c>
      <c r="U7494" s="10">
        <v>1.024E-4</v>
      </c>
      <c r="V7494" s="25"/>
      <c r="W7494" s="25"/>
      <c r="X7494" s="25"/>
      <c r="Y7494" s="25"/>
      <c r="Z7494" s="25"/>
      <c r="AA7494" s="25"/>
    </row>
    <row r="7495" spans="1:27" x14ac:dyDescent="0.35">
      <c r="A7495" s="5">
        <v>7491</v>
      </c>
      <c r="B7495" s="5">
        <v>313</v>
      </c>
      <c r="C7495" s="5">
        <v>11</v>
      </c>
      <c r="D7495" s="25">
        <v>1.1416E-4</v>
      </c>
      <c r="E7495" s="25">
        <v>1.1187E-4</v>
      </c>
      <c r="F7495" s="25">
        <v>1.1302E-4</v>
      </c>
      <c r="G7495" s="25">
        <v>5.4589999999999997E-5</v>
      </c>
      <c r="H7495" s="25">
        <v>7.4300000000000004E-5</v>
      </c>
      <c r="I7495" s="9">
        <v>1.0702E-4</v>
      </c>
      <c r="J7495" s="9">
        <v>9.7289999999999999E-5</v>
      </c>
      <c r="K7495" s="9">
        <v>1.5259E-4</v>
      </c>
      <c r="L7495" s="9">
        <v>2.7270000000000001E-5</v>
      </c>
      <c r="M7495" s="9">
        <v>5.1910000000000003E-5</v>
      </c>
      <c r="N7495" s="9">
        <v>6.5170000000000001E-5</v>
      </c>
      <c r="O7495" s="9">
        <v>1.322E-5</v>
      </c>
      <c r="P7495" s="9">
        <v>3.8099999999999998E-5</v>
      </c>
      <c r="Q7495" s="9">
        <v>6.2100000000000005E-5</v>
      </c>
      <c r="R7495" s="10">
        <v>2.122916086097757E-4</v>
      </c>
      <c r="S7495" s="10">
        <v>1.9028796020378809E-4</v>
      </c>
      <c r="T7495" s="10">
        <v>0</v>
      </c>
      <c r="U7495" s="10">
        <v>1.024E-4</v>
      </c>
      <c r="V7495" s="25"/>
      <c r="W7495" s="25"/>
      <c r="X7495" s="25"/>
      <c r="Y7495" s="25"/>
      <c r="Z7495" s="25"/>
      <c r="AA7495" s="25"/>
    </row>
    <row r="7496" spans="1:27" x14ac:dyDescent="0.35">
      <c r="A7496" s="5">
        <v>7492</v>
      </c>
      <c r="B7496" s="5">
        <v>313</v>
      </c>
      <c r="C7496" s="5">
        <v>11</v>
      </c>
      <c r="D7496" s="25">
        <v>1.1415000000000001E-4</v>
      </c>
      <c r="E7496" s="25">
        <v>1.1591000000000001E-4</v>
      </c>
      <c r="F7496" s="25">
        <v>9.9699999999999998E-5</v>
      </c>
      <c r="G7496" s="25">
        <v>6.1169999999999999E-5</v>
      </c>
      <c r="H7496" s="25">
        <v>7.6139999999999999E-5</v>
      </c>
      <c r="I7496" s="9">
        <v>1.0631E-4</v>
      </c>
      <c r="J7496" s="9">
        <v>9.6260000000000003E-5</v>
      </c>
      <c r="K7496" s="9">
        <v>1.3352000000000001E-4</v>
      </c>
      <c r="L7496" s="9">
        <v>1.7050000000000001E-5</v>
      </c>
      <c r="M7496" s="9">
        <v>4.4169999999999999E-5</v>
      </c>
      <c r="N7496" s="9">
        <v>6.1779999999999995E-5</v>
      </c>
      <c r="O7496" s="9">
        <v>1.3010000000000001E-5</v>
      </c>
      <c r="P7496" s="9">
        <v>4.689E-5</v>
      </c>
      <c r="Q7496" s="9">
        <v>7.975E-5</v>
      </c>
      <c r="R7496" s="10">
        <v>2.1241639820918738E-4</v>
      </c>
      <c r="S7496" s="10">
        <v>1.8982163255504888E-4</v>
      </c>
      <c r="T7496" s="10">
        <v>0</v>
      </c>
      <c r="U7496" s="10">
        <v>1.024E-4</v>
      </c>
      <c r="V7496" s="25"/>
      <c r="W7496" s="25"/>
      <c r="X7496" s="25"/>
      <c r="Y7496" s="25"/>
      <c r="Z7496" s="25"/>
      <c r="AA7496" s="25"/>
    </row>
    <row r="7497" spans="1:27" x14ac:dyDescent="0.35">
      <c r="A7497" s="5">
        <v>7493</v>
      </c>
      <c r="B7497" s="5">
        <v>313</v>
      </c>
      <c r="C7497" s="5">
        <v>11</v>
      </c>
      <c r="D7497" s="25">
        <v>1.1416E-4</v>
      </c>
      <c r="E7497" s="25">
        <v>1.1777000000000001E-4</v>
      </c>
      <c r="F7497" s="25">
        <v>1.0056E-4</v>
      </c>
      <c r="G7497" s="25">
        <v>5.435E-5</v>
      </c>
      <c r="H7497" s="25">
        <v>6.6929999999999998E-5</v>
      </c>
      <c r="I7497" s="9">
        <v>1.0777000000000001E-4</v>
      </c>
      <c r="J7497" s="9">
        <v>9.6739999999999999E-5</v>
      </c>
      <c r="K7497" s="9">
        <v>1.2928000000000001E-4</v>
      </c>
      <c r="L7497" s="9">
        <v>1.414E-5</v>
      </c>
      <c r="M7497" s="9">
        <v>4.3420000000000001E-5</v>
      </c>
      <c r="N7497" s="9">
        <v>6.4259999999999998E-5</v>
      </c>
      <c r="O7497" s="9">
        <v>1.8559999999999998E-5</v>
      </c>
      <c r="P7497" s="9">
        <v>5.6450000000000003E-5</v>
      </c>
      <c r="Q7497" s="9">
        <v>9.3350000000000006E-5</v>
      </c>
      <c r="R7497" s="10">
        <v>2.122879002630715E-4</v>
      </c>
      <c r="S7497" s="10">
        <v>1.8689850071090992E-4</v>
      </c>
      <c r="T7497" s="10">
        <v>0</v>
      </c>
      <c r="U7497" s="10">
        <v>1.024E-4</v>
      </c>
      <c r="V7497" s="25"/>
      <c r="W7497" s="25"/>
      <c r="X7497" s="25"/>
      <c r="Y7497" s="25"/>
      <c r="Z7497" s="25"/>
      <c r="AA7497" s="25"/>
    </row>
    <row r="7498" spans="1:27" x14ac:dyDescent="0.35">
      <c r="A7498" s="5">
        <v>7494</v>
      </c>
      <c r="B7498" s="5">
        <v>313</v>
      </c>
      <c r="C7498" s="5">
        <v>11</v>
      </c>
      <c r="D7498" s="25">
        <v>1.1415000000000001E-4</v>
      </c>
      <c r="E7498" s="25">
        <v>1.1752999999999999E-4</v>
      </c>
      <c r="F7498" s="25">
        <v>9.8770000000000005E-5</v>
      </c>
      <c r="G7498" s="25">
        <v>1.0644E-4</v>
      </c>
      <c r="H7498" s="25">
        <v>1.2653999999999999E-4</v>
      </c>
      <c r="I7498" s="9">
        <v>1.1230000000000001E-4</v>
      </c>
      <c r="J7498" s="9">
        <v>1.0094000000000001E-4</v>
      </c>
      <c r="K7498" s="9">
        <v>1.4200000000000001E-4</v>
      </c>
      <c r="L7498" s="9">
        <v>1.7459999999999999E-5</v>
      </c>
      <c r="M7498" s="9">
        <v>4.8260000000000002E-5</v>
      </c>
      <c r="N7498" s="9">
        <v>7.0809999999999995E-5</v>
      </c>
      <c r="O7498" s="9">
        <v>4.6199999999999998E-5</v>
      </c>
      <c r="P7498" s="9">
        <v>7.6790000000000002E-5</v>
      </c>
      <c r="Q7498" s="9">
        <v>1.0692999999999999E-4</v>
      </c>
      <c r="R7498" s="10">
        <v>2.0925799124695943E-4</v>
      </c>
      <c r="S7498" s="10">
        <v>1.7975248169281358E-4</v>
      </c>
      <c r="T7498" s="10">
        <v>0</v>
      </c>
      <c r="U7498" s="10">
        <v>1.024E-4</v>
      </c>
      <c r="V7498" s="25"/>
      <c r="W7498" s="25"/>
      <c r="X7498" s="25"/>
      <c r="Y7498" s="25"/>
      <c r="Z7498" s="25"/>
      <c r="AA7498" s="25"/>
    </row>
    <row r="7499" spans="1:27" x14ac:dyDescent="0.35">
      <c r="A7499" s="5">
        <v>7495</v>
      </c>
      <c r="B7499" s="5">
        <v>313</v>
      </c>
      <c r="C7499" s="5">
        <v>11</v>
      </c>
      <c r="D7499" s="25">
        <v>1.1416E-4</v>
      </c>
      <c r="E7499" s="25">
        <v>1.2222000000000001E-4</v>
      </c>
      <c r="F7499" s="25">
        <v>1.0212E-4</v>
      </c>
      <c r="G7499" s="25">
        <v>1.1143E-4</v>
      </c>
      <c r="H7499" s="25">
        <v>1.2981000000000001E-4</v>
      </c>
      <c r="I7499" s="9">
        <v>1.2583000000000001E-4</v>
      </c>
      <c r="J7499" s="9">
        <v>1.1343E-4</v>
      </c>
      <c r="K7499" s="9">
        <v>1.5259E-4</v>
      </c>
      <c r="L7499" s="9">
        <v>3.9730000000000001E-5</v>
      </c>
      <c r="M7499" s="9">
        <v>5.9899999999999999E-5</v>
      </c>
      <c r="N7499" s="9">
        <v>8.0550000000000006E-5</v>
      </c>
      <c r="O7499" s="9">
        <v>1.2430000000000001E-4</v>
      </c>
      <c r="P7499" s="9">
        <v>1.1802E-4</v>
      </c>
      <c r="Q7499" s="9">
        <v>1.1306000000000001E-4</v>
      </c>
      <c r="R7499" s="10">
        <v>1.9664562637590778E-4</v>
      </c>
      <c r="S7499" s="10">
        <v>1.6996812265362678E-4</v>
      </c>
      <c r="T7499" s="10">
        <v>0</v>
      </c>
      <c r="U7499" s="10">
        <v>1.024E-4</v>
      </c>
      <c r="V7499" s="25"/>
      <c r="W7499" s="25"/>
      <c r="X7499" s="25"/>
      <c r="Y7499" s="25"/>
      <c r="Z7499" s="25"/>
      <c r="AA7499" s="25"/>
    </row>
    <row r="7500" spans="1:27" x14ac:dyDescent="0.35">
      <c r="A7500" s="5">
        <v>7496</v>
      </c>
      <c r="B7500" s="5">
        <v>313</v>
      </c>
      <c r="C7500" s="5">
        <v>11</v>
      </c>
      <c r="D7500" s="25">
        <v>1.1415000000000001E-4</v>
      </c>
      <c r="E7500" s="25">
        <v>1.1731E-4</v>
      </c>
      <c r="F7500" s="25">
        <v>1.0786E-4</v>
      </c>
      <c r="G7500" s="25">
        <v>1.6698E-4</v>
      </c>
      <c r="H7500" s="25">
        <v>1.9591000000000001E-4</v>
      </c>
      <c r="I7500" s="9">
        <v>1.3655000000000001E-4</v>
      </c>
      <c r="J7500" s="9">
        <v>1.3176E-4</v>
      </c>
      <c r="K7500" s="9">
        <v>1.2716E-4</v>
      </c>
      <c r="L7500" s="9">
        <v>1.0507E-4</v>
      </c>
      <c r="M7500" s="9">
        <v>8.3830000000000002E-5</v>
      </c>
      <c r="N7500" s="9">
        <v>9.0820000000000001E-5</v>
      </c>
      <c r="O7500" s="9">
        <v>2.2159E-4</v>
      </c>
      <c r="P7500" s="9">
        <v>1.7775000000000001E-4</v>
      </c>
      <c r="Q7500" s="9">
        <v>1.3731999999999999E-4</v>
      </c>
      <c r="R7500" s="10">
        <v>1.7824922434045963E-4</v>
      </c>
      <c r="S7500" s="10">
        <v>1.8723558711256061E-4</v>
      </c>
      <c r="T7500" s="10">
        <v>0</v>
      </c>
      <c r="U7500" s="10">
        <v>1.024E-4</v>
      </c>
      <c r="V7500" s="25"/>
      <c r="W7500" s="25"/>
      <c r="X7500" s="25"/>
      <c r="Y7500" s="25"/>
      <c r="Z7500" s="25"/>
      <c r="AA7500" s="25"/>
    </row>
    <row r="7501" spans="1:27" x14ac:dyDescent="0.35">
      <c r="A7501" s="5">
        <v>7497</v>
      </c>
      <c r="B7501" s="5">
        <v>313</v>
      </c>
      <c r="C7501" s="5">
        <v>11</v>
      </c>
      <c r="D7501" s="25">
        <v>1.1416E-4</v>
      </c>
      <c r="E7501" s="25">
        <v>1.2103E-4</v>
      </c>
      <c r="F7501" s="25">
        <v>9.7310000000000002E-5</v>
      </c>
      <c r="G7501" s="25">
        <v>1.6516999999999999E-4</v>
      </c>
      <c r="H7501" s="25">
        <v>1.9971999999999999E-4</v>
      </c>
      <c r="I7501" s="9">
        <v>1.3705E-4</v>
      </c>
      <c r="J7501" s="9">
        <v>1.3952999999999999E-4</v>
      </c>
      <c r="K7501" s="9">
        <v>9.5370000000000003E-5</v>
      </c>
      <c r="L7501" s="9">
        <v>1.9416999999999999E-4</v>
      </c>
      <c r="M7501" s="9">
        <v>1.2383000000000001E-4</v>
      </c>
      <c r="N7501" s="9">
        <v>1.0471000000000001E-4</v>
      </c>
      <c r="O7501" s="9">
        <v>2.129E-4</v>
      </c>
      <c r="P7501" s="9">
        <v>1.9370999999999999E-4</v>
      </c>
      <c r="Q7501" s="9">
        <v>1.7741E-4</v>
      </c>
      <c r="R7501" s="10">
        <v>1.9995272267621484E-4</v>
      </c>
      <c r="S7501" s="10">
        <v>1.8984308754024874E-4</v>
      </c>
      <c r="T7501" s="10">
        <v>1.28231700378054E-4</v>
      </c>
      <c r="U7501" s="10">
        <v>1.024E-4</v>
      </c>
      <c r="V7501" s="25"/>
      <c r="W7501" s="25"/>
      <c r="X7501" s="25"/>
      <c r="Y7501" s="25"/>
      <c r="Z7501" s="25"/>
      <c r="AA7501" s="25"/>
    </row>
    <row r="7502" spans="1:27" x14ac:dyDescent="0.35">
      <c r="A7502" s="5">
        <v>7498</v>
      </c>
      <c r="B7502" s="5">
        <v>313</v>
      </c>
      <c r="C7502" s="5">
        <v>11</v>
      </c>
      <c r="D7502" s="25">
        <v>1.1415000000000001E-4</v>
      </c>
      <c r="E7502" s="25">
        <v>1.1981000000000001E-4</v>
      </c>
      <c r="F7502" s="25">
        <v>9.9900000000000002E-5</v>
      </c>
      <c r="G7502" s="25">
        <v>1.6173000000000001E-4</v>
      </c>
      <c r="H7502" s="25">
        <v>1.9591000000000001E-4</v>
      </c>
      <c r="I7502" s="9">
        <v>1.3924E-4</v>
      </c>
      <c r="J7502" s="9">
        <v>1.4312999999999999E-4</v>
      </c>
      <c r="K7502" s="9">
        <v>8.2659999999999998E-5</v>
      </c>
      <c r="L7502" s="9">
        <v>2.0644000000000001E-4</v>
      </c>
      <c r="M7502" s="9">
        <v>1.5913E-4</v>
      </c>
      <c r="N7502" s="9">
        <v>1.2486999999999999E-4</v>
      </c>
      <c r="O7502" s="9">
        <v>1.6813E-4</v>
      </c>
      <c r="P7502" s="9">
        <v>1.7436E-4</v>
      </c>
      <c r="Q7502" s="9">
        <v>1.8237E-4</v>
      </c>
      <c r="R7502" s="10">
        <v>2.0579062797448924E-4</v>
      </c>
      <c r="S7502" s="10">
        <v>1.9027598205392394E-4</v>
      </c>
      <c r="T7502" s="10">
        <v>4.9505886708081581E-5</v>
      </c>
      <c r="U7502" s="10">
        <v>1.024E-4</v>
      </c>
      <c r="V7502" s="25"/>
      <c r="W7502" s="25"/>
      <c r="X7502" s="25"/>
      <c r="Y7502" s="25"/>
      <c r="Z7502" s="25"/>
      <c r="AA7502" s="25"/>
    </row>
    <row r="7503" spans="1:27" x14ac:dyDescent="0.35">
      <c r="A7503" s="5">
        <v>7499</v>
      </c>
      <c r="B7503" s="5">
        <v>313</v>
      </c>
      <c r="C7503" s="5">
        <v>11</v>
      </c>
      <c r="D7503" s="25">
        <v>1.1416E-4</v>
      </c>
      <c r="E7503" s="25">
        <v>1.2264E-4</v>
      </c>
      <c r="F7503" s="25">
        <v>9.6769999999999997E-5</v>
      </c>
      <c r="G7503" s="25">
        <v>1.6626E-4</v>
      </c>
      <c r="H7503" s="25">
        <v>1.9609E-4</v>
      </c>
      <c r="I7503" s="9">
        <v>1.3814E-4</v>
      </c>
      <c r="J7503" s="9">
        <v>1.4273000000000001E-4</v>
      </c>
      <c r="K7503" s="9">
        <v>8.4779999999999998E-5</v>
      </c>
      <c r="L7503" s="9">
        <v>1.7663999999999999E-4</v>
      </c>
      <c r="M7503" s="9">
        <v>1.7278000000000001E-4</v>
      </c>
      <c r="N7503" s="9">
        <v>1.4300000000000001E-4</v>
      </c>
      <c r="O7503" s="9">
        <v>1.6867E-4</v>
      </c>
      <c r="P7503" s="9">
        <v>1.7356000000000001E-4</v>
      </c>
      <c r="Q7503" s="9">
        <v>1.8026000000000001E-4</v>
      </c>
      <c r="R7503" s="10">
        <v>2.1187565894461888E-4</v>
      </c>
      <c r="S7503" s="10">
        <v>1.9029017560937196E-4</v>
      </c>
      <c r="T7503" s="10">
        <v>7.1217208745096288E-5</v>
      </c>
      <c r="U7503" s="10">
        <v>1.024E-4</v>
      </c>
      <c r="V7503" s="25"/>
      <c r="W7503" s="25"/>
      <c r="X7503" s="25"/>
      <c r="Y7503" s="25"/>
      <c r="Z7503" s="25"/>
      <c r="AA7503" s="25"/>
    </row>
    <row r="7504" spans="1:27" x14ac:dyDescent="0.35">
      <c r="A7504" s="5">
        <v>7500</v>
      </c>
      <c r="B7504" s="5">
        <v>313</v>
      </c>
      <c r="C7504" s="5">
        <v>11</v>
      </c>
      <c r="D7504" s="25">
        <v>1.1415000000000001E-4</v>
      </c>
      <c r="E7504" s="25">
        <v>1.1432E-4</v>
      </c>
      <c r="F7504" s="25">
        <v>9.7380000000000006E-5</v>
      </c>
      <c r="G7504" s="25">
        <v>1.5967999999999999E-4</v>
      </c>
      <c r="H7504" s="25">
        <v>1.896E-4</v>
      </c>
      <c r="I7504" s="9">
        <v>1.3935E-4</v>
      </c>
      <c r="J7504" s="9">
        <v>1.4213999999999999E-4</v>
      </c>
      <c r="K7504" s="9">
        <v>7.4179999999999998E-5</v>
      </c>
      <c r="L7504" s="9">
        <v>1.7186E-4</v>
      </c>
      <c r="M7504" s="9">
        <v>1.7535000000000001E-4</v>
      </c>
      <c r="N7504" s="9">
        <v>1.5720999999999999E-4</v>
      </c>
      <c r="O7504" s="9">
        <v>1.6903E-4</v>
      </c>
      <c r="P7504" s="9">
        <v>1.6977E-4</v>
      </c>
      <c r="Q7504" s="9">
        <v>1.7242000000000001E-4</v>
      </c>
      <c r="R7504" s="10">
        <v>2.1125250284045503E-4</v>
      </c>
      <c r="S7504" s="10">
        <v>1.9029020759484994E-4</v>
      </c>
      <c r="T7504" s="10">
        <v>8.7719170981123484E-5</v>
      </c>
      <c r="U7504" s="10">
        <v>1.024E-4</v>
      </c>
      <c r="V7504" s="25"/>
      <c r="W7504" s="25"/>
      <c r="X7504" s="25"/>
      <c r="Y7504" s="25"/>
      <c r="Z7504" s="25"/>
      <c r="AA7504" s="25"/>
    </row>
    <row r="7505" spans="1:27" x14ac:dyDescent="0.35">
      <c r="A7505" s="5">
        <v>7501</v>
      </c>
      <c r="B7505" s="5">
        <v>313</v>
      </c>
      <c r="C7505" s="5">
        <v>11</v>
      </c>
      <c r="D7505" s="25">
        <v>1.1416E-4</v>
      </c>
      <c r="E7505" s="25">
        <v>1.137E-4</v>
      </c>
      <c r="F7505" s="25">
        <v>1.116E-4</v>
      </c>
      <c r="G7505" s="25">
        <v>1.6003E-4</v>
      </c>
      <c r="H7505" s="25">
        <v>1.9393000000000001E-4</v>
      </c>
      <c r="I7505" s="9">
        <v>1.359E-4</v>
      </c>
      <c r="J7505" s="9">
        <v>1.4083999999999999E-4</v>
      </c>
      <c r="K7505" s="9">
        <v>7.4179999999999998E-5</v>
      </c>
      <c r="L7505" s="9">
        <v>1.6981E-4</v>
      </c>
      <c r="M7505" s="9">
        <v>1.7353E-4</v>
      </c>
      <c r="N7505" s="9">
        <v>1.6623000000000001E-4</v>
      </c>
      <c r="O7505" s="9">
        <v>1.6174000000000001E-4</v>
      </c>
      <c r="P7505" s="9">
        <v>1.6335000000000001E-4</v>
      </c>
      <c r="Q7505" s="9">
        <v>1.6673999999999999E-4</v>
      </c>
      <c r="R7505" s="10">
        <v>2.1233467739278325E-4</v>
      </c>
      <c r="S7505" s="10">
        <v>1.9028779557743109E-4</v>
      </c>
      <c r="T7505" s="10">
        <v>1.1971346383051092E-4</v>
      </c>
      <c r="U7505" s="10">
        <v>1.024E-4</v>
      </c>
      <c r="V7505" s="25"/>
      <c r="W7505" s="25"/>
      <c r="X7505" s="25"/>
      <c r="Y7505" s="25"/>
      <c r="Z7505" s="25"/>
      <c r="AA7505" s="25"/>
    </row>
    <row r="7506" spans="1:27" x14ac:dyDescent="0.35">
      <c r="A7506" s="5">
        <v>7502</v>
      </c>
      <c r="B7506" s="5">
        <v>313</v>
      </c>
      <c r="C7506" s="5">
        <v>11</v>
      </c>
      <c r="D7506" s="25">
        <v>1.1415000000000001E-4</v>
      </c>
      <c r="E7506" s="25">
        <v>1.2305000000000001E-4</v>
      </c>
      <c r="F7506" s="25">
        <v>1.1055E-4</v>
      </c>
      <c r="G7506" s="25">
        <v>1.5855E-4</v>
      </c>
      <c r="H7506" s="25">
        <v>1.8911000000000001E-4</v>
      </c>
      <c r="I7506" s="9">
        <v>1.3608000000000001E-4</v>
      </c>
      <c r="J7506" s="9">
        <v>1.4139999999999999E-4</v>
      </c>
      <c r="K7506" s="9">
        <v>7.8419999999999998E-5</v>
      </c>
      <c r="L7506" s="9">
        <v>1.6331000000000001E-4</v>
      </c>
      <c r="M7506" s="9">
        <v>1.6935E-4</v>
      </c>
      <c r="N7506" s="9">
        <v>1.7030999999999999E-4</v>
      </c>
      <c r="O7506" s="9">
        <v>1.8045999999999999E-4</v>
      </c>
      <c r="P7506" s="9">
        <v>1.7013999999999999E-4</v>
      </c>
      <c r="Q7506" s="9">
        <v>1.6205000000000001E-4</v>
      </c>
      <c r="R7506" s="10">
        <v>2.124240852602517E-4</v>
      </c>
      <c r="S7506" s="10">
        <v>1.9027331348368058E-4</v>
      </c>
      <c r="T7506" s="10">
        <v>1.6060778669819785E-4</v>
      </c>
      <c r="U7506" s="10">
        <v>1.024E-4</v>
      </c>
      <c r="V7506" s="25"/>
      <c r="W7506" s="25"/>
      <c r="X7506" s="25"/>
      <c r="Y7506" s="25"/>
      <c r="Z7506" s="25"/>
      <c r="AA7506" s="25"/>
    </row>
    <row r="7507" spans="1:27" x14ac:dyDescent="0.35">
      <c r="A7507" s="5">
        <v>7503</v>
      </c>
      <c r="B7507" s="5">
        <v>313</v>
      </c>
      <c r="C7507" s="5">
        <v>11</v>
      </c>
      <c r="D7507" s="25">
        <v>1.1416E-4</v>
      </c>
      <c r="E7507" s="25">
        <v>1.1677E-4</v>
      </c>
      <c r="F7507" s="25">
        <v>1.1745E-4</v>
      </c>
      <c r="G7507" s="25">
        <v>1.6218999999999999E-4</v>
      </c>
      <c r="H7507" s="25">
        <v>1.9357000000000001E-4</v>
      </c>
      <c r="I7507" s="9">
        <v>1.3643999999999999E-4</v>
      </c>
      <c r="J7507" s="9">
        <v>1.4179000000000001E-4</v>
      </c>
      <c r="K7507" s="9">
        <v>8.2650000000000003E-5</v>
      </c>
      <c r="L7507" s="9">
        <v>1.7684999999999999E-4</v>
      </c>
      <c r="M7507" s="9">
        <v>1.6846E-4</v>
      </c>
      <c r="N7507" s="9">
        <v>1.7005000000000001E-4</v>
      </c>
      <c r="O7507" s="9">
        <v>1.8584999999999999E-4</v>
      </c>
      <c r="P7507" s="9">
        <v>1.6861E-4</v>
      </c>
      <c r="Q7507" s="9">
        <v>1.5379E-4</v>
      </c>
      <c r="R7507" s="10">
        <v>2.12328626427037E-4</v>
      </c>
      <c r="S7507" s="10">
        <v>1.9019684416479208E-4</v>
      </c>
      <c r="T7507" s="10">
        <v>3.4361412368077197E-5</v>
      </c>
      <c r="U7507" s="10">
        <v>1.024E-4</v>
      </c>
      <c r="V7507" s="25"/>
      <c r="W7507" s="25"/>
      <c r="X7507" s="25"/>
      <c r="Y7507" s="25"/>
      <c r="Z7507" s="25"/>
      <c r="AA7507" s="25"/>
    </row>
    <row r="7508" spans="1:27" x14ac:dyDescent="0.35">
      <c r="A7508" s="5">
        <v>7504</v>
      </c>
      <c r="B7508" s="5">
        <v>313</v>
      </c>
      <c r="C7508" s="5">
        <v>11</v>
      </c>
      <c r="D7508" s="25">
        <v>1.1415000000000001E-4</v>
      </c>
      <c r="E7508" s="25">
        <v>1.1711E-4</v>
      </c>
      <c r="F7508" s="25">
        <v>1.0296E-4</v>
      </c>
      <c r="G7508" s="25">
        <v>1.5961999999999999E-4</v>
      </c>
      <c r="H7508" s="25">
        <v>1.9799999999999999E-4</v>
      </c>
      <c r="I7508" s="9">
        <v>1.3637999999999999E-4</v>
      </c>
      <c r="J7508" s="9">
        <v>1.4238E-4</v>
      </c>
      <c r="K7508" s="9">
        <v>9.5379999999999998E-5</v>
      </c>
      <c r="L7508" s="9">
        <v>1.8349999999999999E-4</v>
      </c>
      <c r="M7508" s="9">
        <v>1.6841E-4</v>
      </c>
      <c r="N7508" s="9">
        <v>1.6640000000000001E-4</v>
      </c>
      <c r="O7508" s="9">
        <v>1.9990000000000001E-4</v>
      </c>
      <c r="P7508" s="9">
        <v>1.5375E-4</v>
      </c>
      <c r="Q7508" s="9">
        <v>1.1069E-4</v>
      </c>
      <c r="R7508" s="10">
        <v>2.1239583498588638E-4</v>
      </c>
      <c r="S7508" s="10">
        <v>1.902072461612055E-4</v>
      </c>
      <c r="T7508" s="10">
        <v>5.1050029189807527E-5</v>
      </c>
      <c r="U7508" s="10">
        <v>1.024E-4</v>
      </c>
      <c r="V7508" s="25"/>
      <c r="W7508" s="25"/>
      <c r="X7508" s="25"/>
      <c r="Y7508" s="25"/>
      <c r="Z7508" s="25"/>
      <c r="AA7508" s="25"/>
    </row>
    <row r="7509" spans="1:27" x14ac:dyDescent="0.35">
      <c r="A7509" s="5">
        <v>7505</v>
      </c>
      <c r="B7509" s="5">
        <v>313</v>
      </c>
      <c r="C7509" s="5">
        <v>11</v>
      </c>
      <c r="D7509" s="25">
        <v>1.1416E-4</v>
      </c>
      <c r="E7509" s="25">
        <v>1.1963E-4</v>
      </c>
      <c r="F7509" s="25">
        <v>9.6739999999999999E-5</v>
      </c>
      <c r="G7509" s="25">
        <v>1.5802000000000001E-4</v>
      </c>
      <c r="H7509" s="25">
        <v>2.0008999999999999E-4</v>
      </c>
      <c r="I7509" s="9">
        <v>1.3695999999999999E-4</v>
      </c>
      <c r="J7509" s="9">
        <v>1.4553E-4</v>
      </c>
      <c r="K7509" s="9">
        <v>1.1445E-4</v>
      </c>
      <c r="L7509" s="9">
        <v>1.9605999999999999E-4</v>
      </c>
      <c r="M7509" s="9">
        <v>1.6321E-4</v>
      </c>
      <c r="N7509" s="9">
        <v>1.5286999999999999E-4</v>
      </c>
      <c r="O7509" s="9">
        <v>2.1461000000000001E-4</v>
      </c>
      <c r="P7509" s="9">
        <v>1.5906000000000001E-4</v>
      </c>
      <c r="Q7509" s="9">
        <v>1.0699E-4</v>
      </c>
      <c r="R7509" s="10">
        <v>2.1238156777557478E-4</v>
      </c>
      <c r="S7509" s="10">
        <v>1.9028199443001673E-4</v>
      </c>
      <c r="T7509" s="10">
        <v>0</v>
      </c>
      <c r="U7509" s="10">
        <v>1.024E-4</v>
      </c>
      <c r="V7509" s="25"/>
      <c r="W7509" s="25"/>
      <c r="X7509" s="25"/>
      <c r="Y7509" s="25"/>
      <c r="Z7509" s="25"/>
      <c r="AA7509" s="25"/>
    </row>
    <row r="7510" spans="1:27" x14ac:dyDescent="0.35">
      <c r="A7510" s="5">
        <v>7506</v>
      </c>
      <c r="B7510" s="5">
        <v>313</v>
      </c>
      <c r="C7510" s="5">
        <v>11</v>
      </c>
      <c r="D7510" s="25">
        <v>1.1415000000000001E-4</v>
      </c>
      <c r="E7510" s="25">
        <v>1.2023000000000001E-4</v>
      </c>
      <c r="F7510" s="25">
        <v>1.1737E-4</v>
      </c>
      <c r="G7510" s="25">
        <v>1.6330000000000001E-4</v>
      </c>
      <c r="H7510" s="25">
        <v>1.9128E-4</v>
      </c>
      <c r="I7510" s="9">
        <v>1.4474999999999999E-4</v>
      </c>
      <c r="J7510" s="9">
        <v>1.5347000000000001E-4</v>
      </c>
      <c r="K7510" s="9">
        <v>1.314E-4</v>
      </c>
      <c r="L7510" s="9">
        <v>2.1028E-4</v>
      </c>
      <c r="M7510" s="9">
        <v>1.6024E-4</v>
      </c>
      <c r="N7510" s="9">
        <v>1.3951E-4</v>
      </c>
      <c r="O7510" s="9">
        <v>2.0708E-4</v>
      </c>
      <c r="P7510" s="9">
        <v>1.6098999999999999E-4</v>
      </c>
      <c r="Q7510" s="9">
        <v>1.1811000000000001E-4</v>
      </c>
      <c r="R7510" s="10">
        <v>2.1243777526744106E-4</v>
      </c>
      <c r="S7510" s="10">
        <v>1.902897673884308E-4</v>
      </c>
      <c r="T7510" s="10">
        <v>0</v>
      </c>
      <c r="U7510" s="10">
        <v>1.024E-4</v>
      </c>
      <c r="V7510" s="25"/>
      <c r="W7510" s="25"/>
      <c r="X7510" s="25"/>
      <c r="Y7510" s="25"/>
      <c r="Z7510" s="25"/>
      <c r="AA7510" s="25"/>
    </row>
    <row r="7511" spans="1:27" x14ac:dyDescent="0.35">
      <c r="A7511" s="5">
        <v>7507</v>
      </c>
      <c r="B7511" s="5">
        <v>313</v>
      </c>
      <c r="C7511" s="5">
        <v>11</v>
      </c>
      <c r="D7511" s="25">
        <v>1.1416E-4</v>
      </c>
      <c r="E7511" s="25">
        <v>1.1968000000000001E-4</v>
      </c>
      <c r="F7511" s="25">
        <v>1.0098E-4</v>
      </c>
      <c r="G7511" s="25">
        <v>1.0972E-4</v>
      </c>
      <c r="H7511" s="25">
        <v>1.3286999999999999E-4</v>
      </c>
      <c r="I7511" s="9">
        <v>1.4478000000000001E-4</v>
      </c>
      <c r="J7511" s="9">
        <v>1.4841E-4</v>
      </c>
      <c r="K7511" s="9">
        <v>1.6318999999999999E-4</v>
      </c>
      <c r="L7511" s="9">
        <v>2.0741999999999999E-4</v>
      </c>
      <c r="M7511" s="9">
        <v>1.5987999999999999E-4</v>
      </c>
      <c r="N7511" s="9">
        <v>1.3051999999999999E-4</v>
      </c>
      <c r="O7511" s="9">
        <v>1.6668999999999999E-4</v>
      </c>
      <c r="P7511" s="9">
        <v>1.3624000000000001E-4</v>
      </c>
      <c r="Q7511" s="9">
        <v>1.0814E-4</v>
      </c>
      <c r="R7511" s="10">
        <v>2.1244734000767172E-4</v>
      </c>
      <c r="S7511" s="10">
        <v>1.9029016200772738E-4</v>
      </c>
      <c r="T7511" s="10">
        <v>0</v>
      </c>
      <c r="U7511" s="10">
        <v>1.024E-4</v>
      </c>
      <c r="V7511" s="25"/>
      <c r="W7511" s="25"/>
      <c r="X7511" s="25"/>
      <c r="Y7511" s="25"/>
      <c r="Z7511" s="25"/>
      <c r="AA7511" s="25"/>
    </row>
    <row r="7512" spans="1:27" x14ac:dyDescent="0.35">
      <c r="A7512" s="5">
        <v>7508</v>
      </c>
      <c r="B7512" s="5">
        <v>313</v>
      </c>
      <c r="C7512" s="5">
        <v>11</v>
      </c>
      <c r="D7512" s="25">
        <v>1.1415000000000001E-4</v>
      </c>
      <c r="E7512" s="25">
        <v>1.1588E-4</v>
      </c>
      <c r="F7512" s="25">
        <v>9.624E-5</v>
      </c>
      <c r="G7512" s="25">
        <v>1.13E-4</v>
      </c>
      <c r="H7512" s="25">
        <v>1.2778E-4</v>
      </c>
      <c r="I7512" s="9">
        <v>1.3993999999999999E-4</v>
      </c>
      <c r="J7512" s="9">
        <v>1.4385999999999999E-4</v>
      </c>
      <c r="K7512" s="9">
        <v>1.9498000000000001E-4</v>
      </c>
      <c r="L7512" s="9">
        <v>1.7581000000000001E-4</v>
      </c>
      <c r="M7512" s="9">
        <v>1.5144999999999999E-4</v>
      </c>
      <c r="N7512" s="9">
        <v>1.2154000000000001E-4</v>
      </c>
      <c r="O7512" s="9">
        <v>1.2824000000000001E-4</v>
      </c>
      <c r="P7512" s="9">
        <v>1.1387000000000001E-4</v>
      </c>
      <c r="Q7512" s="9">
        <v>1.0101E-4</v>
      </c>
      <c r="R7512" s="10">
        <v>2.1244918211898878E-4</v>
      </c>
      <c r="S7512" s="10">
        <v>1.9029016513382713E-4</v>
      </c>
      <c r="T7512" s="10">
        <v>0</v>
      </c>
      <c r="U7512" s="10">
        <v>1.024E-4</v>
      </c>
      <c r="V7512" s="25"/>
      <c r="W7512" s="25"/>
      <c r="X7512" s="25"/>
      <c r="Y7512" s="25"/>
      <c r="Z7512" s="25"/>
      <c r="AA7512" s="25"/>
    </row>
    <row r="7513" spans="1:27" x14ac:dyDescent="0.35">
      <c r="A7513" s="5">
        <v>7509</v>
      </c>
      <c r="B7513" s="5">
        <v>313</v>
      </c>
      <c r="C7513" s="5">
        <v>11</v>
      </c>
      <c r="D7513" s="25">
        <v>1.1416E-4</v>
      </c>
      <c r="E7513" s="25">
        <v>1.1217000000000001E-4</v>
      </c>
      <c r="F7513" s="25">
        <v>1.1756000000000001E-4</v>
      </c>
      <c r="G7513" s="25">
        <v>5.2930000000000003E-5</v>
      </c>
      <c r="H7513" s="25">
        <v>6.8510000000000006E-5</v>
      </c>
      <c r="I7513" s="9">
        <v>1.3483000000000001E-4</v>
      </c>
      <c r="J7513" s="9">
        <v>1.3715E-4</v>
      </c>
      <c r="K7513" s="9">
        <v>2.2041000000000001E-4</v>
      </c>
      <c r="L7513" s="9">
        <v>1.3967999999999999E-4</v>
      </c>
      <c r="M7513" s="9">
        <v>1.3556000000000001E-4</v>
      </c>
      <c r="N7513" s="9">
        <v>1.1353000000000001E-4</v>
      </c>
      <c r="O7513" s="9">
        <v>8.4740000000000005E-5</v>
      </c>
      <c r="P7513" s="9">
        <v>8.6139999999999999E-5</v>
      </c>
      <c r="Q7513" s="9">
        <v>8.8129999999999998E-5</v>
      </c>
      <c r="R7513" s="10">
        <v>2.1244936787709023E-4</v>
      </c>
      <c r="S7513" s="10">
        <v>1.9028910133513972E-4</v>
      </c>
      <c r="T7513" s="10">
        <v>0</v>
      </c>
      <c r="U7513" s="10">
        <v>1.024E-4</v>
      </c>
      <c r="V7513" s="25"/>
      <c r="W7513" s="25"/>
      <c r="X7513" s="25"/>
      <c r="Y7513" s="25"/>
      <c r="Z7513" s="25"/>
      <c r="AA7513" s="25"/>
    </row>
    <row r="7514" spans="1:27" x14ac:dyDescent="0.35">
      <c r="A7514" s="5">
        <v>7510</v>
      </c>
      <c r="B7514" s="5">
        <v>313</v>
      </c>
      <c r="C7514" s="5">
        <v>11</v>
      </c>
      <c r="D7514" s="25">
        <v>1.1415000000000001E-4</v>
      </c>
      <c r="E7514" s="25">
        <v>1.1359E-4</v>
      </c>
      <c r="F7514" s="25">
        <v>1.1678E-4</v>
      </c>
      <c r="G7514" s="25">
        <v>5.6480000000000001E-5</v>
      </c>
      <c r="H7514" s="25">
        <v>7.2520000000000004E-5</v>
      </c>
      <c r="I7514" s="9">
        <v>1.2836E-4</v>
      </c>
      <c r="J7514" s="9">
        <v>1.2923000000000001E-4</v>
      </c>
      <c r="K7514" s="9">
        <v>2.1618000000000001E-4</v>
      </c>
      <c r="L7514" s="9">
        <v>9.781E-5</v>
      </c>
      <c r="M7514" s="9">
        <v>1.1366000000000001E-4</v>
      </c>
      <c r="N7514" s="9">
        <v>1.0576E-4</v>
      </c>
      <c r="O7514" s="9">
        <v>8.7479999999999996E-5</v>
      </c>
      <c r="P7514" s="9">
        <v>8.7470000000000001E-5</v>
      </c>
      <c r="Q7514" s="9">
        <v>8.8120000000000003E-5</v>
      </c>
      <c r="R7514" s="10">
        <v>2.1244936787709023E-4</v>
      </c>
      <c r="S7514" s="10">
        <v>1.9028999484806529E-4</v>
      </c>
      <c r="T7514" s="10">
        <v>0</v>
      </c>
      <c r="U7514" s="10">
        <v>1.024E-4</v>
      </c>
      <c r="V7514" s="25"/>
      <c r="W7514" s="25"/>
      <c r="X7514" s="25"/>
      <c r="Y7514" s="25"/>
      <c r="Z7514" s="25"/>
      <c r="AA7514" s="25"/>
    </row>
    <row r="7515" spans="1:27" x14ac:dyDescent="0.35">
      <c r="A7515" s="5">
        <v>7511</v>
      </c>
      <c r="B7515" s="5">
        <v>313</v>
      </c>
      <c r="C7515" s="5">
        <v>11</v>
      </c>
      <c r="D7515" s="25">
        <v>1.1416E-4</v>
      </c>
      <c r="E7515" s="25">
        <v>1.1369E-4</v>
      </c>
      <c r="F7515" s="25">
        <v>1.0245E-4</v>
      </c>
      <c r="G7515" s="25">
        <v>5.66E-5</v>
      </c>
      <c r="H7515" s="25">
        <v>7.1769999999999999E-5</v>
      </c>
      <c r="I7515" s="9">
        <v>1.2863999999999999E-4</v>
      </c>
      <c r="J7515" s="9">
        <v>1.1956E-4</v>
      </c>
      <c r="K7515" s="9">
        <v>2.2889000000000001E-4</v>
      </c>
      <c r="L7515" s="9">
        <v>9.0690000000000001E-5</v>
      </c>
      <c r="M7515" s="9">
        <v>9.8869999999999994E-5</v>
      </c>
      <c r="N7515" s="9">
        <v>9.9840000000000006E-5</v>
      </c>
      <c r="O7515" s="9">
        <v>7.7520000000000003E-5</v>
      </c>
      <c r="P7515" s="9">
        <v>7.1699999999999995E-5</v>
      </c>
      <c r="Q7515" s="9">
        <v>6.6489999999999995E-5</v>
      </c>
      <c r="R7515" s="10">
        <v>2.1244936787709023E-4</v>
      </c>
      <c r="S7515" s="10">
        <v>1.9028877433738451E-4</v>
      </c>
      <c r="T7515" s="10">
        <v>0</v>
      </c>
      <c r="U7515" s="10">
        <v>1.024E-4</v>
      </c>
      <c r="V7515" s="25"/>
      <c r="W7515" s="25"/>
      <c r="X7515" s="25"/>
      <c r="Y7515" s="25"/>
      <c r="Z7515" s="25"/>
      <c r="AA7515" s="25"/>
    </row>
    <row r="7516" spans="1:27" x14ac:dyDescent="0.35">
      <c r="A7516" s="5">
        <v>7512</v>
      </c>
      <c r="B7516" s="5">
        <v>313</v>
      </c>
      <c r="C7516" s="5">
        <v>11</v>
      </c>
      <c r="D7516" s="25">
        <v>1.1415000000000001E-4</v>
      </c>
      <c r="E7516" s="25">
        <v>1.1246E-4</v>
      </c>
      <c r="F7516" s="25">
        <v>9.925E-5</v>
      </c>
      <c r="G7516" s="25">
        <v>6.3109999999999997E-5</v>
      </c>
      <c r="H7516" s="25">
        <v>6.7139999999999998E-5</v>
      </c>
      <c r="I7516" s="9">
        <v>1.2606999999999999E-4</v>
      </c>
      <c r="J7516" s="9">
        <v>1.1118E-4</v>
      </c>
      <c r="K7516" s="9">
        <v>2.5431999999999999E-4</v>
      </c>
      <c r="L7516" s="9">
        <v>8.0389999999999994E-5</v>
      </c>
      <c r="M7516" s="9">
        <v>8.585E-5</v>
      </c>
      <c r="N7516" s="9">
        <v>9.0420000000000005E-5</v>
      </c>
      <c r="O7516" s="9">
        <v>6.2949999999999999E-5</v>
      </c>
      <c r="P7516" s="9">
        <v>6.0819999999999997E-5</v>
      </c>
      <c r="Q7516" s="9">
        <v>5.8999999999999998E-5</v>
      </c>
      <c r="R7516" s="10">
        <v>2.1244926129161272E-4</v>
      </c>
      <c r="S7516" s="10">
        <v>1.9012673300312287E-4</v>
      </c>
      <c r="T7516" s="10">
        <v>0</v>
      </c>
      <c r="U7516" s="10">
        <v>1.024E-4</v>
      </c>
      <c r="V7516" s="25"/>
      <c r="W7516" s="25"/>
      <c r="X7516" s="25"/>
      <c r="Y7516" s="25"/>
      <c r="Z7516" s="25"/>
      <c r="AA7516" s="25"/>
    </row>
    <row r="7517" spans="1:27" x14ac:dyDescent="0.35">
      <c r="A7517" s="5">
        <v>7513</v>
      </c>
      <c r="B7517" s="5">
        <v>314</v>
      </c>
      <c r="C7517" s="5">
        <v>11</v>
      </c>
      <c r="D7517" s="25">
        <v>1.1416E-4</v>
      </c>
      <c r="E7517" s="25">
        <v>1.0932E-4</v>
      </c>
      <c r="F7517" s="25">
        <v>1.0925E-4</v>
      </c>
      <c r="G7517" s="25">
        <v>5.6660000000000003E-5</v>
      </c>
      <c r="H7517" s="25">
        <v>4.057E-5</v>
      </c>
      <c r="I7517" s="9">
        <v>1.1862E-4</v>
      </c>
      <c r="J7517" s="9">
        <v>1.0422E-4</v>
      </c>
      <c r="K7517" s="9">
        <v>2.6703000000000002E-4</v>
      </c>
      <c r="L7517" s="9">
        <v>6.6799999999999997E-5</v>
      </c>
      <c r="M7517" s="9">
        <v>7.3850000000000006E-5</v>
      </c>
      <c r="N7517" s="9">
        <v>8.1009999999999999E-5</v>
      </c>
      <c r="O7517" s="9">
        <v>6.8570000000000002E-5</v>
      </c>
      <c r="P7517" s="9">
        <v>6.1060000000000002E-5</v>
      </c>
      <c r="Q7517" s="9">
        <v>5.384E-5</v>
      </c>
      <c r="R7517" s="10">
        <v>2.1244936787709023E-4</v>
      </c>
      <c r="S7517" s="10">
        <v>1.8877723977065041E-4</v>
      </c>
      <c r="T7517" s="10">
        <v>0</v>
      </c>
      <c r="U7517" s="10">
        <v>1.0318E-4</v>
      </c>
      <c r="V7517" s="25"/>
      <c r="W7517" s="25"/>
      <c r="X7517" s="25"/>
      <c r="Y7517" s="25"/>
      <c r="Z7517" s="25"/>
      <c r="AA7517" s="25"/>
    </row>
    <row r="7518" spans="1:27" x14ac:dyDescent="0.35">
      <c r="A7518" s="5">
        <v>7514</v>
      </c>
      <c r="B7518" s="5">
        <v>314</v>
      </c>
      <c r="C7518" s="5">
        <v>11</v>
      </c>
      <c r="D7518" s="25">
        <v>1.1415000000000001E-4</v>
      </c>
      <c r="E7518" s="25">
        <v>1.1414E-4</v>
      </c>
      <c r="F7518" s="25">
        <v>1.2255999999999999E-4</v>
      </c>
      <c r="G7518" s="25">
        <v>6.0970000000000001E-5</v>
      </c>
      <c r="H7518" s="25">
        <v>4.0240000000000001E-5</v>
      </c>
      <c r="I7518" s="9">
        <v>1.1377E-4</v>
      </c>
      <c r="J7518" s="9">
        <v>9.9729999999999996E-5</v>
      </c>
      <c r="K7518" s="9">
        <v>2.6067000000000001E-4</v>
      </c>
      <c r="L7518" s="9">
        <v>6.8559999999999994E-5</v>
      </c>
      <c r="M7518" s="9">
        <v>6.6390000000000006E-5</v>
      </c>
      <c r="N7518" s="9">
        <v>7.203E-5</v>
      </c>
      <c r="O7518" s="9">
        <v>3.5150000000000001E-5</v>
      </c>
      <c r="P7518" s="9">
        <v>4.6020000000000003E-5</v>
      </c>
      <c r="Q7518" s="9">
        <v>5.6400000000000002E-5</v>
      </c>
      <c r="R7518" s="10">
        <v>2.1244936787709023E-4</v>
      </c>
      <c r="S7518" s="10">
        <v>1.8895682478026611E-4</v>
      </c>
      <c r="T7518" s="10">
        <v>0</v>
      </c>
      <c r="U7518" s="10">
        <v>1.0318E-4</v>
      </c>
      <c r="V7518" s="25"/>
      <c r="W7518" s="25"/>
      <c r="X7518" s="25"/>
      <c r="Y7518" s="25"/>
      <c r="Z7518" s="25"/>
      <c r="AA7518" s="25"/>
    </row>
    <row r="7519" spans="1:27" x14ac:dyDescent="0.35">
      <c r="A7519" s="5">
        <v>7515</v>
      </c>
      <c r="B7519" s="5">
        <v>314</v>
      </c>
      <c r="C7519" s="5">
        <v>11</v>
      </c>
      <c r="D7519" s="25">
        <v>1.1416E-4</v>
      </c>
      <c r="E7519" s="25">
        <v>1.1328999999999999E-4</v>
      </c>
      <c r="F7519" s="25">
        <v>1.1492E-4</v>
      </c>
      <c r="G7519" s="25">
        <v>5.9030000000000002E-5</v>
      </c>
      <c r="H7519" s="25">
        <v>4.0880000000000002E-5</v>
      </c>
      <c r="I7519" s="9">
        <v>1.0903E-4</v>
      </c>
      <c r="J7519" s="9">
        <v>9.7089999999999994E-5</v>
      </c>
      <c r="K7519" s="9">
        <v>2.7763000000000001E-4</v>
      </c>
      <c r="L7519" s="9">
        <v>4.2400000000000001E-5</v>
      </c>
      <c r="M7519" s="9">
        <v>5.749E-5</v>
      </c>
      <c r="N7519" s="9">
        <v>6.5539999999999999E-5</v>
      </c>
      <c r="O7519" s="9">
        <v>2.1759999999999998E-5</v>
      </c>
      <c r="P7519" s="9">
        <v>4.2079999999999997E-5</v>
      </c>
      <c r="Q7519" s="9">
        <v>6.156E-5</v>
      </c>
      <c r="R7519" s="10">
        <v>2.1244936787709023E-4</v>
      </c>
      <c r="S7519" s="10">
        <v>1.8934158451235051E-4</v>
      </c>
      <c r="T7519" s="10">
        <v>0</v>
      </c>
      <c r="U7519" s="10">
        <v>1.0318E-4</v>
      </c>
      <c r="V7519" s="25"/>
      <c r="W7519" s="25"/>
      <c r="X7519" s="25"/>
      <c r="Y7519" s="25"/>
      <c r="Z7519" s="25"/>
      <c r="AA7519" s="25"/>
    </row>
    <row r="7520" spans="1:27" x14ac:dyDescent="0.35">
      <c r="A7520" s="5">
        <v>7516</v>
      </c>
      <c r="B7520" s="5">
        <v>314</v>
      </c>
      <c r="C7520" s="5">
        <v>11</v>
      </c>
      <c r="D7520" s="25">
        <v>1.1415000000000001E-4</v>
      </c>
      <c r="E7520" s="25">
        <v>1.1471E-4</v>
      </c>
      <c r="F7520" s="25">
        <v>1.0194E-4</v>
      </c>
      <c r="G7520" s="25">
        <v>5.4870000000000002E-5</v>
      </c>
      <c r="H7520" s="25">
        <v>4.2089999999999999E-5</v>
      </c>
      <c r="I7520" s="9">
        <v>1.0679E-4</v>
      </c>
      <c r="J7520" s="9">
        <v>9.5929999999999998E-5</v>
      </c>
      <c r="K7520" s="9">
        <v>2.6279999999999999E-4</v>
      </c>
      <c r="L7520" s="9">
        <v>2.694E-5</v>
      </c>
      <c r="M7520" s="9">
        <v>4.9830000000000002E-5</v>
      </c>
      <c r="N7520" s="9">
        <v>6.198E-5</v>
      </c>
      <c r="O7520" s="9">
        <v>2.105E-5</v>
      </c>
      <c r="P7520" s="9">
        <v>5.0850000000000003E-5</v>
      </c>
      <c r="Q7520" s="9">
        <v>7.9670000000000001E-5</v>
      </c>
      <c r="R7520" s="10">
        <v>2.1244936787709023E-4</v>
      </c>
      <c r="S7520" s="10">
        <v>1.8994541507429252E-4</v>
      </c>
      <c r="T7520" s="10">
        <v>0</v>
      </c>
      <c r="U7520" s="10">
        <v>1.0318E-4</v>
      </c>
      <c r="V7520" s="25"/>
      <c r="W7520" s="25"/>
      <c r="X7520" s="25"/>
      <c r="Y7520" s="25"/>
      <c r="Z7520" s="25"/>
      <c r="AA7520" s="25"/>
    </row>
    <row r="7521" spans="1:27" x14ac:dyDescent="0.35">
      <c r="A7521" s="5">
        <v>7517</v>
      </c>
      <c r="B7521" s="5">
        <v>314</v>
      </c>
      <c r="C7521" s="5">
        <v>11</v>
      </c>
      <c r="D7521" s="25">
        <v>1.1416E-4</v>
      </c>
      <c r="E7521" s="25">
        <v>1.0848E-4</v>
      </c>
      <c r="F7521" s="25">
        <v>1.2019E-4</v>
      </c>
      <c r="G7521" s="25">
        <v>5.821E-5</v>
      </c>
      <c r="H7521" s="25">
        <v>3.994E-5</v>
      </c>
      <c r="I7521" s="9">
        <v>1.0768E-4</v>
      </c>
      <c r="J7521" s="9">
        <v>9.658E-5</v>
      </c>
      <c r="K7521" s="9">
        <v>2.2889000000000001E-4</v>
      </c>
      <c r="L7521" s="9">
        <v>2.281E-5</v>
      </c>
      <c r="M7521" s="9">
        <v>4.8369999999999999E-5</v>
      </c>
      <c r="N7521" s="9">
        <v>6.4380000000000004E-5</v>
      </c>
      <c r="O7521" s="9">
        <v>2.3059999999999999E-5</v>
      </c>
      <c r="P7521" s="9">
        <v>5.8730000000000002E-5</v>
      </c>
      <c r="Q7521" s="9">
        <v>9.3339999999999997E-5</v>
      </c>
      <c r="R7521" s="10">
        <v>2.1244936787709023E-4</v>
      </c>
      <c r="S7521" s="10">
        <v>1.9016283992344353E-4</v>
      </c>
      <c r="T7521" s="10">
        <v>0</v>
      </c>
      <c r="U7521" s="10">
        <v>1.0318E-4</v>
      </c>
      <c r="V7521" s="25"/>
      <c r="W7521" s="25"/>
      <c r="X7521" s="25"/>
      <c r="Y7521" s="25"/>
      <c r="Z7521" s="25"/>
      <c r="AA7521" s="25"/>
    </row>
    <row r="7522" spans="1:27" x14ac:dyDescent="0.35">
      <c r="A7522" s="5">
        <v>7518</v>
      </c>
      <c r="B7522" s="5">
        <v>314</v>
      </c>
      <c r="C7522" s="5">
        <v>11</v>
      </c>
      <c r="D7522" s="25">
        <v>1.1415000000000001E-4</v>
      </c>
      <c r="E7522" s="25">
        <v>1.0985E-4</v>
      </c>
      <c r="F7522" s="25">
        <v>1.0902E-4</v>
      </c>
      <c r="G7522" s="25">
        <v>1.0988E-4</v>
      </c>
      <c r="H7522" s="25">
        <v>8.2620000000000005E-5</v>
      </c>
      <c r="I7522" s="9">
        <v>1.1351E-4</v>
      </c>
      <c r="J7522" s="9">
        <v>1.0058E-4</v>
      </c>
      <c r="K7522" s="9">
        <v>2.2677E-4</v>
      </c>
      <c r="L7522" s="9">
        <v>2.2940000000000001E-5</v>
      </c>
      <c r="M7522" s="9">
        <v>5.2040000000000003E-5</v>
      </c>
      <c r="N7522" s="9">
        <v>7.0859999999999996E-5</v>
      </c>
      <c r="O7522" s="9">
        <v>2.938E-5</v>
      </c>
      <c r="P7522" s="9">
        <v>6.8510000000000006E-5</v>
      </c>
      <c r="Q7522" s="9">
        <v>1.0662000000000001E-4</v>
      </c>
      <c r="R7522" s="10">
        <v>2.1244906680654697E-4</v>
      </c>
      <c r="S7522" s="10">
        <v>1.9018074158006344E-4</v>
      </c>
      <c r="T7522" s="10">
        <v>0</v>
      </c>
      <c r="U7522" s="10">
        <v>1.0318E-4</v>
      </c>
      <c r="V7522" s="25"/>
      <c r="W7522" s="25"/>
      <c r="X7522" s="25"/>
      <c r="Y7522" s="25"/>
      <c r="Z7522" s="25"/>
      <c r="AA7522" s="25"/>
    </row>
    <row r="7523" spans="1:27" x14ac:dyDescent="0.35">
      <c r="A7523" s="5">
        <v>7519</v>
      </c>
      <c r="B7523" s="5">
        <v>314</v>
      </c>
      <c r="C7523" s="5">
        <v>11</v>
      </c>
      <c r="D7523" s="25">
        <v>1.1416E-4</v>
      </c>
      <c r="E7523" s="25">
        <v>1.114E-4</v>
      </c>
      <c r="F7523" s="25">
        <v>1.1251000000000001E-4</v>
      </c>
      <c r="G7523" s="25">
        <v>1.052E-4</v>
      </c>
      <c r="H7523" s="25">
        <v>7.9120000000000001E-5</v>
      </c>
      <c r="I7523" s="9">
        <v>1.2541000000000001E-4</v>
      </c>
      <c r="J7523" s="9">
        <v>1.1340000000000001E-4</v>
      </c>
      <c r="K7523" s="9">
        <v>2.0345000000000001E-4</v>
      </c>
      <c r="L7523" s="9">
        <v>2.7860000000000001E-5</v>
      </c>
      <c r="M7523" s="9">
        <v>5.906E-5</v>
      </c>
      <c r="N7523" s="9">
        <v>8.0480000000000002E-5</v>
      </c>
      <c r="O7523" s="9">
        <v>4.6409999999999998E-5</v>
      </c>
      <c r="P7523" s="9">
        <v>8.017E-5</v>
      </c>
      <c r="Q7523" s="9">
        <v>1.1323999999999999E-4</v>
      </c>
      <c r="R7523" s="10">
        <v>2.124473466028544E-4</v>
      </c>
      <c r="S7523" s="10">
        <v>1.9025268524844571E-4</v>
      </c>
      <c r="T7523" s="10">
        <v>0</v>
      </c>
      <c r="U7523" s="10">
        <v>1.0318E-4</v>
      </c>
      <c r="V7523" s="25"/>
      <c r="W7523" s="25"/>
      <c r="X7523" s="25"/>
      <c r="Y7523" s="25"/>
      <c r="Z7523" s="25"/>
      <c r="AA7523" s="25"/>
    </row>
    <row r="7524" spans="1:27" x14ac:dyDescent="0.35">
      <c r="A7524" s="5">
        <v>7520</v>
      </c>
      <c r="B7524" s="5">
        <v>314</v>
      </c>
      <c r="C7524" s="5">
        <v>11</v>
      </c>
      <c r="D7524" s="25">
        <v>1.1415000000000001E-4</v>
      </c>
      <c r="E7524" s="25">
        <v>1.1451E-4</v>
      </c>
      <c r="F7524" s="25">
        <v>1.1396999999999999E-4</v>
      </c>
      <c r="G7524" s="25">
        <v>1.6348999999999999E-4</v>
      </c>
      <c r="H7524" s="25">
        <v>1.1687E-4</v>
      </c>
      <c r="I7524" s="9">
        <v>1.3699E-4</v>
      </c>
      <c r="J7524" s="9">
        <v>1.3191E-4</v>
      </c>
      <c r="K7524" s="9">
        <v>1.8013999999999999E-4</v>
      </c>
      <c r="L7524" s="9">
        <v>4.2179999999999999E-5</v>
      </c>
      <c r="M7524" s="9">
        <v>6.8419999999999999E-5</v>
      </c>
      <c r="N7524" s="9">
        <v>9.0760000000000005E-5</v>
      </c>
      <c r="O7524" s="9">
        <v>6.8200000000000004E-5</v>
      </c>
      <c r="P7524" s="9">
        <v>1.0255E-4</v>
      </c>
      <c r="Q7524" s="9">
        <v>1.3655000000000001E-4</v>
      </c>
      <c r="R7524" s="10">
        <v>2.1244822132965646E-4</v>
      </c>
      <c r="S7524" s="10">
        <v>1.9028620815667786E-4</v>
      </c>
      <c r="T7524" s="10">
        <v>0</v>
      </c>
      <c r="U7524" s="10">
        <v>1.0318E-4</v>
      </c>
      <c r="V7524" s="25"/>
      <c r="W7524" s="25"/>
      <c r="X7524" s="25"/>
      <c r="Y7524" s="25"/>
      <c r="Z7524" s="25"/>
      <c r="AA7524" s="25"/>
    </row>
    <row r="7525" spans="1:27" x14ac:dyDescent="0.35">
      <c r="A7525" s="5">
        <v>7521</v>
      </c>
      <c r="B7525" s="5">
        <v>314</v>
      </c>
      <c r="C7525" s="5">
        <v>11</v>
      </c>
      <c r="D7525" s="25">
        <v>1.1416E-4</v>
      </c>
      <c r="E7525" s="25">
        <v>1.0522E-4</v>
      </c>
      <c r="F7525" s="25">
        <v>1.2196E-4</v>
      </c>
      <c r="G7525" s="25">
        <v>1.6588E-4</v>
      </c>
      <c r="H7525" s="25">
        <v>1.1729E-4</v>
      </c>
      <c r="I7525" s="9">
        <v>1.3793E-4</v>
      </c>
      <c r="J7525" s="9">
        <v>1.4149E-4</v>
      </c>
      <c r="K7525" s="9">
        <v>1.2292E-4</v>
      </c>
      <c r="L7525" s="9">
        <v>6.2089999999999997E-5</v>
      </c>
      <c r="M7525" s="9">
        <v>8.3040000000000005E-5</v>
      </c>
      <c r="N7525" s="9">
        <v>1.0450000000000001E-4</v>
      </c>
      <c r="O7525" s="9">
        <v>9.9419999999999993E-5</v>
      </c>
      <c r="P7525" s="9">
        <v>1.3753999999999999E-4</v>
      </c>
      <c r="Q7525" s="9">
        <v>1.7573E-4</v>
      </c>
      <c r="R7525" s="10">
        <v>2.1244851425457968E-4</v>
      </c>
      <c r="S7525" s="10">
        <v>1.9028831322397474E-4</v>
      </c>
      <c r="T7525" s="10">
        <v>2.1889492323367695E-5</v>
      </c>
      <c r="U7525" s="10">
        <v>1.0318E-4</v>
      </c>
      <c r="V7525" s="25"/>
      <c r="W7525" s="25"/>
      <c r="X7525" s="25"/>
      <c r="Y7525" s="25"/>
      <c r="Z7525" s="25"/>
      <c r="AA7525" s="25"/>
    </row>
    <row r="7526" spans="1:27" x14ac:dyDescent="0.35">
      <c r="A7526" s="5">
        <v>7522</v>
      </c>
      <c r="B7526" s="5">
        <v>314</v>
      </c>
      <c r="C7526" s="5">
        <v>11</v>
      </c>
      <c r="D7526" s="25">
        <v>1.1415000000000001E-4</v>
      </c>
      <c r="E7526" s="25">
        <v>1.0768999999999999E-4</v>
      </c>
      <c r="F7526" s="25">
        <v>1.0759E-4</v>
      </c>
      <c r="G7526" s="25">
        <v>1.6084000000000001E-4</v>
      </c>
      <c r="H7526" s="25">
        <v>1.1819000000000001E-4</v>
      </c>
      <c r="I7526" s="9">
        <v>1.4082E-4</v>
      </c>
      <c r="J7526" s="9">
        <v>1.4631999999999999E-4</v>
      </c>
      <c r="K7526" s="9">
        <v>1.0597E-4</v>
      </c>
      <c r="L7526" s="9">
        <v>9.0690000000000001E-5</v>
      </c>
      <c r="M7526" s="9">
        <v>1.0634E-4</v>
      </c>
      <c r="N7526" s="9">
        <v>1.2430000000000001E-4</v>
      </c>
      <c r="O7526" s="9">
        <v>1.2789999999999999E-4</v>
      </c>
      <c r="P7526" s="9">
        <v>1.5385999999999999E-4</v>
      </c>
      <c r="Q7526" s="9">
        <v>1.8053000000000001E-4</v>
      </c>
      <c r="R7526" s="10">
        <v>2.1244871484822243E-4</v>
      </c>
      <c r="S7526" s="10">
        <v>1.9029013763694142E-4</v>
      </c>
      <c r="T7526" s="10">
        <v>1.5017209849752255E-5</v>
      </c>
      <c r="U7526" s="10">
        <v>1.0318E-4</v>
      </c>
      <c r="V7526" s="25"/>
      <c r="W7526" s="25"/>
      <c r="X7526" s="25"/>
      <c r="Y7526" s="25"/>
      <c r="Z7526" s="25"/>
      <c r="AA7526" s="25"/>
    </row>
    <row r="7527" spans="1:27" x14ac:dyDescent="0.35">
      <c r="A7527" s="5">
        <v>7523</v>
      </c>
      <c r="B7527" s="5">
        <v>314</v>
      </c>
      <c r="C7527" s="5">
        <v>11</v>
      </c>
      <c r="D7527" s="25">
        <v>1.1416E-4</v>
      </c>
      <c r="E7527" s="25">
        <v>1.1525E-4</v>
      </c>
      <c r="F7527" s="25">
        <v>1.1073000000000001E-4</v>
      </c>
      <c r="G7527" s="25">
        <v>1.5712000000000001E-4</v>
      </c>
      <c r="H7527" s="25">
        <v>1.1663999999999999E-4</v>
      </c>
      <c r="I7527" s="9">
        <v>1.4202E-4</v>
      </c>
      <c r="J7527" s="9">
        <v>1.4750000000000001E-4</v>
      </c>
      <c r="K7527" s="9">
        <v>6.9939999999999998E-5</v>
      </c>
      <c r="L7527" s="9">
        <v>1.1901E-4</v>
      </c>
      <c r="M7527" s="9">
        <v>1.2931999999999999E-4</v>
      </c>
      <c r="N7527" s="9">
        <v>1.4207999999999999E-4</v>
      </c>
      <c r="O7527" s="9">
        <v>1.3789999999999999E-4</v>
      </c>
      <c r="P7527" s="9">
        <v>1.5859000000000001E-4</v>
      </c>
      <c r="Q7527" s="9">
        <v>1.8019999999999999E-4</v>
      </c>
      <c r="R7527" s="10">
        <v>2.1244808623608935E-4</v>
      </c>
      <c r="S7527" s="10">
        <v>1.9029020759484994E-4</v>
      </c>
      <c r="T7527" s="10">
        <v>1.1097463549986411E-5</v>
      </c>
      <c r="U7527" s="10">
        <v>1.0318E-4</v>
      </c>
      <c r="V7527" s="25"/>
      <c r="W7527" s="25"/>
      <c r="X7527" s="25"/>
      <c r="Y7527" s="25"/>
      <c r="Z7527" s="25"/>
      <c r="AA7527" s="25"/>
    </row>
    <row r="7528" spans="1:27" x14ac:dyDescent="0.35">
      <c r="A7528" s="5">
        <v>7524</v>
      </c>
      <c r="B7528" s="5">
        <v>314</v>
      </c>
      <c r="C7528" s="5">
        <v>11</v>
      </c>
      <c r="D7528" s="25">
        <v>1.1415000000000001E-4</v>
      </c>
      <c r="E7528" s="25">
        <v>1.1034E-4</v>
      </c>
      <c r="F7528" s="25">
        <v>1.1472999999999999E-4</v>
      </c>
      <c r="G7528" s="25">
        <v>1.6145999999999999E-4</v>
      </c>
      <c r="H7528" s="25">
        <v>1.2015000000000001E-4</v>
      </c>
      <c r="I7528" s="9">
        <v>1.4441000000000001E-4</v>
      </c>
      <c r="J7528" s="9">
        <v>1.4710999999999999E-4</v>
      </c>
      <c r="K7528" s="9">
        <v>8.0530000000000003E-5</v>
      </c>
      <c r="L7528" s="9">
        <v>1.3307999999999999E-4</v>
      </c>
      <c r="M7528" s="9">
        <v>1.4529000000000001E-4</v>
      </c>
      <c r="N7528" s="9">
        <v>1.5637999999999999E-4</v>
      </c>
      <c r="O7528" s="9">
        <v>1.3945E-4</v>
      </c>
      <c r="P7528" s="9">
        <v>1.5673E-4</v>
      </c>
      <c r="Q7528" s="9">
        <v>1.7501999999999999E-4</v>
      </c>
      <c r="R7528" s="10">
        <v>2.1168882432709237E-4</v>
      </c>
      <c r="S7528" s="10">
        <v>1.9029020759484994E-4</v>
      </c>
      <c r="T7528" s="10">
        <v>2.0430192835143177E-5</v>
      </c>
      <c r="U7528" s="10">
        <v>1.0318E-4</v>
      </c>
      <c r="V7528" s="25"/>
      <c r="W7528" s="25"/>
      <c r="X7528" s="25"/>
      <c r="Y7528" s="25"/>
      <c r="Z7528" s="25"/>
      <c r="AA7528" s="25"/>
    </row>
    <row r="7529" spans="1:27" x14ac:dyDescent="0.35">
      <c r="A7529" s="5">
        <v>7525</v>
      </c>
      <c r="B7529" s="5">
        <v>314</v>
      </c>
      <c r="C7529" s="5">
        <v>11</v>
      </c>
      <c r="D7529" s="25">
        <v>1.1416E-4</v>
      </c>
      <c r="E7529" s="25">
        <v>1.0655E-4</v>
      </c>
      <c r="F7529" s="25">
        <v>1.0184E-4</v>
      </c>
      <c r="G7529" s="25">
        <v>1.6087E-4</v>
      </c>
      <c r="H7529" s="25">
        <v>1.1762E-4</v>
      </c>
      <c r="I7529" s="9">
        <v>1.4388000000000001E-4</v>
      </c>
      <c r="J7529" s="9">
        <v>1.4618000000000001E-4</v>
      </c>
      <c r="K7529" s="9">
        <v>8.0539999999999998E-5</v>
      </c>
      <c r="L7529" s="9">
        <v>1.3783999999999999E-4</v>
      </c>
      <c r="M7529" s="9">
        <v>1.5286999999999999E-4</v>
      </c>
      <c r="N7529" s="9">
        <v>1.6608000000000001E-4</v>
      </c>
      <c r="O7529" s="9">
        <v>1.3104999999999999E-4</v>
      </c>
      <c r="P7529" s="9">
        <v>1.4919999999999999E-4</v>
      </c>
      <c r="Q7529" s="9">
        <v>1.6820999999999999E-4</v>
      </c>
      <c r="R7529" s="10">
        <v>2.1206842894710642E-4</v>
      </c>
      <c r="S7529" s="10">
        <v>1.9029020759484994E-4</v>
      </c>
      <c r="T7529" s="10">
        <v>2.1100452483804438E-5</v>
      </c>
      <c r="U7529" s="10">
        <v>1.0318E-4</v>
      </c>
      <c r="V7529" s="25"/>
      <c r="W7529" s="25"/>
      <c r="X7529" s="25"/>
      <c r="Y7529" s="25"/>
      <c r="Z7529" s="25"/>
      <c r="AA7529" s="25"/>
    </row>
    <row r="7530" spans="1:27" x14ac:dyDescent="0.35">
      <c r="A7530" s="5">
        <v>7526</v>
      </c>
      <c r="B7530" s="5">
        <v>314</v>
      </c>
      <c r="C7530" s="5">
        <v>11</v>
      </c>
      <c r="D7530" s="25">
        <v>1.1415000000000001E-4</v>
      </c>
      <c r="E7530" s="25">
        <v>1.0467999999999999E-4</v>
      </c>
      <c r="F7530" s="25">
        <v>1.1815E-4</v>
      </c>
      <c r="G7530" s="25">
        <v>1.5862E-4</v>
      </c>
      <c r="H7530" s="25">
        <v>1.1646000000000001E-4</v>
      </c>
      <c r="I7530" s="9">
        <v>1.4438E-4</v>
      </c>
      <c r="J7530" s="9">
        <v>1.4715999999999999E-4</v>
      </c>
      <c r="K7530" s="9">
        <v>1.0597E-4</v>
      </c>
      <c r="L7530" s="9">
        <v>1.3259E-4</v>
      </c>
      <c r="M7530" s="9">
        <v>1.5302999999999999E-4</v>
      </c>
      <c r="N7530" s="9">
        <v>1.7063000000000001E-4</v>
      </c>
      <c r="O7530" s="9">
        <v>1.1205E-4</v>
      </c>
      <c r="P7530" s="9">
        <v>1.3564999999999999E-4</v>
      </c>
      <c r="Q7530" s="9">
        <v>1.5974000000000001E-4</v>
      </c>
      <c r="R7530" s="10">
        <v>2.1237187824846244E-4</v>
      </c>
      <c r="S7530" s="10">
        <v>1.9029020759484994E-4</v>
      </c>
      <c r="T7530" s="10">
        <v>1.4966304053651399E-5</v>
      </c>
      <c r="U7530" s="10">
        <v>1.0318E-4</v>
      </c>
      <c r="V7530" s="25"/>
      <c r="W7530" s="25"/>
      <c r="X7530" s="25"/>
      <c r="Y7530" s="25"/>
      <c r="Z7530" s="25"/>
      <c r="AA7530" s="25"/>
    </row>
    <row r="7531" spans="1:27" x14ac:dyDescent="0.35">
      <c r="A7531" s="5">
        <v>7527</v>
      </c>
      <c r="B7531" s="5">
        <v>314</v>
      </c>
      <c r="C7531" s="5">
        <v>11</v>
      </c>
      <c r="D7531" s="25">
        <v>1.1416E-4</v>
      </c>
      <c r="E7531" s="25">
        <v>1.1315E-4</v>
      </c>
      <c r="F7531" s="25">
        <v>1.0253E-4</v>
      </c>
      <c r="G7531" s="25">
        <v>1.6194000000000001E-4</v>
      </c>
      <c r="H7531" s="25">
        <v>1.1930999999999999E-4</v>
      </c>
      <c r="I7531" s="9">
        <v>1.4311E-4</v>
      </c>
      <c r="J7531" s="9">
        <v>1.4723000000000001E-4</v>
      </c>
      <c r="K7531" s="9">
        <v>1.0173E-4</v>
      </c>
      <c r="L7531" s="9">
        <v>1.1679E-4</v>
      </c>
      <c r="M7531" s="9">
        <v>1.4652999999999999E-4</v>
      </c>
      <c r="N7531" s="9">
        <v>1.6998999999999999E-4</v>
      </c>
      <c r="O7531" s="9">
        <v>1.2685999999999999E-4</v>
      </c>
      <c r="P7531" s="9">
        <v>1.3883999999999999E-4</v>
      </c>
      <c r="Q7531" s="9">
        <v>1.5171999999999999E-4</v>
      </c>
      <c r="R7531" s="10">
        <v>2.1236326764764799E-4</v>
      </c>
      <c r="S7531" s="10">
        <v>1.9029020759484994E-4</v>
      </c>
      <c r="T7531" s="10">
        <v>4.0045892932672675E-6</v>
      </c>
      <c r="U7531" s="10">
        <v>1.0318E-4</v>
      </c>
      <c r="V7531" s="25"/>
      <c r="W7531" s="25"/>
      <c r="X7531" s="25"/>
      <c r="Y7531" s="25"/>
      <c r="Z7531" s="25"/>
      <c r="AA7531" s="25"/>
    </row>
    <row r="7532" spans="1:27" x14ac:dyDescent="0.35">
      <c r="A7532" s="5">
        <v>7528</v>
      </c>
      <c r="B7532" s="5">
        <v>314</v>
      </c>
      <c r="C7532" s="5">
        <v>11</v>
      </c>
      <c r="D7532" s="25">
        <v>1.1415000000000001E-4</v>
      </c>
      <c r="E7532" s="25">
        <v>1.1277000000000001E-4</v>
      </c>
      <c r="F7532" s="25">
        <v>1.2004E-4</v>
      </c>
      <c r="G7532" s="25">
        <v>1.6404000000000001E-4</v>
      </c>
      <c r="H7532" s="25">
        <v>1.1517E-4</v>
      </c>
      <c r="I7532" s="9">
        <v>1.4373000000000001E-4</v>
      </c>
      <c r="J7532" s="9">
        <v>1.4702000000000001E-4</v>
      </c>
      <c r="K7532" s="9">
        <v>1.0173E-4</v>
      </c>
      <c r="L7532" s="9">
        <v>1.2510000000000001E-4</v>
      </c>
      <c r="M7532" s="9">
        <v>1.4192999999999999E-4</v>
      </c>
      <c r="N7532" s="9">
        <v>1.6598000000000001E-4</v>
      </c>
      <c r="O7532" s="9">
        <v>1.3360999999999999E-4</v>
      </c>
      <c r="P7532" s="9">
        <v>1.2063E-4</v>
      </c>
      <c r="Q7532" s="9">
        <v>1.0904E-4</v>
      </c>
      <c r="R7532" s="10">
        <v>2.1233601000849187E-4</v>
      </c>
      <c r="S7532" s="10">
        <v>1.9029020759484994E-4</v>
      </c>
      <c r="T7532" s="10">
        <v>2.9779890719000233E-6</v>
      </c>
      <c r="U7532" s="10">
        <v>1.0318E-4</v>
      </c>
      <c r="V7532" s="25"/>
      <c r="W7532" s="25"/>
      <c r="X7532" s="25"/>
      <c r="Y7532" s="25"/>
      <c r="Z7532" s="25"/>
      <c r="AA7532" s="25"/>
    </row>
    <row r="7533" spans="1:27" x14ac:dyDescent="0.35">
      <c r="A7533" s="5">
        <v>7529</v>
      </c>
      <c r="B7533" s="5">
        <v>314</v>
      </c>
      <c r="C7533" s="5">
        <v>11</v>
      </c>
      <c r="D7533" s="25">
        <v>1.1416E-4</v>
      </c>
      <c r="E7533" s="25">
        <v>1.155E-4</v>
      </c>
      <c r="F7533" s="25">
        <v>1.0641000000000001E-4</v>
      </c>
      <c r="G7533" s="25">
        <v>1.6107E-4</v>
      </c>
      <c r="H7533" s="25">
        <v>1.1859E-4</v>
      </c>
      <c r="I7533" s="9">
        <v>1.4360999999999999E-4</v>
      </c>
      <c r="J7533" s="9">
        <v>1.4957999999999999E-4</v>
      </c>
      <c r="K7533" s="9">
        <v>1.0809E-4</v>
      </c>
      <c r="L7533" s="9">
        <v>1.3147000000000001E-4</v>
      </c>
      <c r="M7533" s="9">
        <v>1.3323999999999999E-4</v>
      </c>
      <c r="N7533" s="9">
        <v>1.5210000000000001E-4</v>
      </c>
      <c r="O7533" s="9">
        <v>1.3966E-4</v>
      </c>
      <c r="P7533" s="9">
        <v>1.2224E-4</v>
      </c>
      <c r="Q7533" s="9">
        <v>1.0639E-4</v>
      </c>
      <c r="R7533" s="10">
        <v>2.1222026757617795E-4</v>
      </c>
      <c r="S7533" s="10">
        <v>1.9029020759484994E-4</v>
      </c>
      <c r="T7533" s="10">
        <v>0</v>
      </c>
      <c r="U7533" s="10">
        <v>1.0318E-4</v>
      </c>
      <c r="V7533" s="25"/>
      <c r="W7533" s="25"/>
      <c r="X7533" s="25"/>
      <c r="Y7533" s="25"/>
      <c r="Z7533" s="25"/>
      <c r="AA7533" s="25"/>
    </row>
    <row r="7534" spans="1:27" x14ac:dyDescent="0.35">
      <c r="A7534" s="5">
        <v>7530</v>
      </c>
      <c r="B7534" s="5">
        <v>314</v>
      </c>
      <c r="C7534" s="5">
        <v>11</v>
      </c>
      <c r="D7534" s="25">
        <v>1.1415000000000001E-4</v>
      </c>
      <c r="E7534" s="25">
        <v>1.1463000000000001E-4</v>
      </c>
      <c r="F7534" s="25">
        <v>1.2248000000000001E-4</v>
      </c>
      <c r="G7534" s="25">
        <v>1.6095000000000001E-4</v>
      </c>
      <c r="H7534" s="25">
        <v>1.1438999999999999E-4</v>
      </c>
      <c r="I7534" s="9">
        <v>1.4897000000000001E-4</v>
      </c>
      <c r="J7534" s="9">
        <v>1.5546000000000001E-4</v>
      </c>
      <c r="K7534" s="9">
        <v>1.0173E-4</v>
      </c>
      <c r="L7534" s="9">
        <v>1.3756E-4</v>
      </c>
      <c r="M7534" s="9">
        <v>1.2709E-4</v>
      </c>
      <c r="N7534" s="9">
        <v>1.3859000000000001E-4</v>
      </c>
      <c r="O7534" s="9">
        <v>1.4205000000000001E-4</v>
      </c>
      <c r="P7534" s="9">
        <v>1.2943000000000001E-4</v>
      </c>
      <c r="Q7534" s="9">
        <v>1.1833E-4</v>
      </c>
      <c r="R7534" s="10">
        <v>2.1225020779433708E-4</v>
      </c>
      <c r="S7534" s="10">
        <v>1.9029020759484994E-4</v>
      </c>
      <c r="T7534" s="10">
        <v>0</v>
      </c>
      <c r="U7534" s="10">
        <v>1.0318E-4</v>
      </c>
      <c r="V7534" s="25"/>
      <c r="W7534" s="25"/>
      <c r="X7534" s="25"/>
      <c r="Y7534" s="25"/>
      <c r="Z7534" s="25"/>
      <c r="AA7534" s="25"/>
    </row>
    <row r="7535" spans="1:27" x14ac:dyDescent="0.35">
      <c r="A7535" s="5">
        <v>7531</v>
      </c>
      <c r="B7535" s="5">
        <v>314</v>
      </c>
      <c r="C7535" s="5">
        <v>11</v>
      </c>
      <c r="D7535" s="25">
        <v>1.1416E-4</v>
      </c>
      <c r="E7535" s="25">
        <v>1.0607000000000001E-4</v>
      </c>
      <c r="F7535" s="25">
        <v>1.1523000000000001E-4</v>
      </c>
      <c r="G7535" s="25">
        <v>1.0504E-4</v>
      </c>
      <c r="H7535" s="25">
        <v>7.9019999999999999E-5</v>
      </c>
      <c r="I7535" s="9">
        <v>1.4943000000000001E-4</v>
      </c>
      <c r="J7535" s="9">
        <v>1.4904999999999999E-4</v>
      </c>
      <c r="K7535" s="9">
        <v>1.0173E-4</v>
      </c>
      <c r="L7535" s="9">
        <v>1.4097E-4</v>
      </c>
      <c r="M7535" s="9">
        <v>1.2652E-4</v>
      </c>
      <c r="N7535" s="9">
        <v>1.2967999999999999E-4</v>
      </c>
      <c r="O7535" s="9">
        <v>1.4117000000000001E-4</v>
      </c>
      <c r="P7535" s="9">
        <v>1.2302999999999999E-4</v>
      </c>
      <c r="Q7535" s="9">
        <v>1.0649000000000001E-4</v>
      </c>
      <c r="R7535" s="10">
        <v>2.1229075027693098E-4</v>
      </c>
      <c r="S7535" s="10">
        <v>1.9029020759484994E-4</v>
      </c>
      <c r="T7535" s="10">
        <v>0</v>
      </c>
      <c r="U7535" s="10">
        <v>1.0318E-4</v>
      </c>
      <c r="V7535" s="25"/>
      <c r="W7535" s="25"/>
      <c r="X7535" s="25"/>
      <c r="Y7535" s="25"/>
      <c r="Z7535" s="25"/>
      <c r="AA7535" s="25"/>
    </row>
    <row r="7536" spans="1:27" x14ac:dyDescent="0.35">
      <c r="A7536" s="5">
        <v>7532</v>
      </c>
      <c r="B7536" s="5">
        <v>314</v>
      </c>
      <c r="C7536" s="5">
        <v>11</v>
      </c>
      <c r="D7536" s="25">
        <v>1.1415000000000001E-4</v>
      </c>
      <c r="E7536" s="25">
        <v>1.1072E-4</v>
      </c>
      <c r="F7536" s="25">
        <v>1.1576E-4</v>
      </c>
      <c r="G7536" s="25">
        <v>1.0588E-4</v>
      </c>
      <c r="H7536" s="25">
        <v>7.4659999999999993E-5</v>
      </c>
      <c r="I7536" s="9">
        <v>1.4327E-4</v>
      </c>
      <c r="J7536" s="9">
        <v>1.4394000000000001E-4</v>
      </c>
      <c r="K7536" s="9">
        <v>9.9610000000000003E-5</v>
      </c>
      <c r="L7536" s="9">
        <v>1.4108E-4</v>
      </c>
      <c r="M7536" s="9">
        <v>1.2540000000000001E-4</v>
      </c>
      <c r="N7536" s="9">
        <v>1.2053E-4</v>
      </c>
      <c r="O7536" s="9">
        <v>1.4541000000000001E-4</v>
      </c>
      <c r="P7536" s="9">
        <v>1.2315000000000001E-4</v>
      </c>
      <c r="Q7536" s="9">
        <v>1.0261E-4</v>
      </c>
      <c r="R7536" s="10">
        <v>2.1231243412079864E-4</v>
      </c>
      <c r="S7536" s="10">
        <v>1.9029020759484994E-4</v>
      </c>
      <c r="T7536" s="10">
        <v>0</v>
      </c>
      <c r="U7536" s="10">
        <v>1.0318E-4</v>
      </c>
      <c r="V7536" s="25"/>
      <c r="W7536" s="25"/>
      <c r="X7536" s="25"/>
      <c r="Y7536" s="25"/>
      <c r="Z7536" s="25"/>
      <c r="AA7536" s="25"/>
    </row>
    <row r="7537" spans="1:27" x14ac:dyDescent="0.35">
      <c r="A7537" s="5">
        <v>7533</v>
      </c>
      <c r="B7537" s="5">
        <v>314</v>
      </c>
      <c r="C7537" s="5">
        <v>11</v>
      </c>
      <c r="D7537" s="25">
        <v>1.1416E-4</v>
      </c>
      <c r="E7537" s="25">
        <v>1.1025E-4</v>
      </c>
      <c r="F7537" s="25">
        <v>1.214E-4</v>
      </c>
      <c r="G7537" s="25">
        <v>6.1130000000000006E-5</v>
      </c>
      <c r="H7537" s="25">
        <v>4.2849999999999998E-5</v>
      </c>
      <c r="I7537" s="9">
        <v>1.3708000000000001E-4</v>
      </c>
      <c r="J7537" s="9">
        <v>1.3700999999999999E-4</v>
      </c>
      <c r="K7537" s="9">
        <v>9.5370000000000003E-5</v>
      </c>
      <c r="L7537" s="9">
        <v>1.4448999999999999E-4</v>
      </c>
      <c r="M7537" s="9">
        <v>1.2431000000000001E-4</v>
      </c>
      <c r="N7537" s="9">
        <v>1.131E-4</v>
      </c>
      <c r="O7537" s="9">
        <v>8.4900000000000004E-5</v>
      </c>
      <c r="P7537" s="9">
        <v>8.6479999999999999E-5</v>
      </c>
      <c r="Q7537" s="9">
        <v>8.8480000000000007E-5</v>
      </c>
      <c r="R7537" s="10">
        <v>2.1230048347899323E-4</v>
      </c>
      <c r="S7537" s="10">
        <v>1.9029020759484994E-4</v>
      </c>
      <c r="T7537" s="10">
        <v>0</v>
      </c>
      <c r="U7537" s="10">
        <v>1.0318E-4</v>
      </c>
      <c r="V7537" s="25"/>
      <c r="W7537" s="25"/>
      <c r="X7537" s="25"/>
      <c r="Y7537" s="25"/>
      <c r="Z7537" s="25"/>
      <c r="AA7537" s="25"/>
    </row>
    <row r="7538" spans="1:27" x14ac:dyDescent="0.35">
      <c r="A7538" s="5">
        <v>7534</v>
      </c>
      <c r="B7538" s="5">
        <v>314</v>
      </c>
      <c r="C7538" s="5">
        <v>11</v>
      </c>
      <c r="D7538" s="25">
        <v>1.1415000000000001E-4</v>
      </c>
      <c r="E7538" s="25">
        <v>1.1478E-4</v>
      </c>
      <c r="F7538" s="25">
        <v>1.1374000000000001E-4</v>
      </c>
      <c r="G7538" s="25">
        <v>5.9570000000000001E-5</v>
      </c>
      <c r="H7538" s="25">
        <v>4.4400000000000002E-5</v>
      </c>
      <c r="I7538" s="9">
        <v>1.2982E-4</v>
      </c>
      <c r="J7538" s="9">
        <v>1.2862999999999999E-4</v>
      </c>
      <c r="K7538" s="9">
        <v>9.1130000000000003E-5</v>
      </c>
      <c r="L7538" s="9">
        <v>9.7930000000000006E-5</v>
      </c>
      <c r="M7538" s="9">
        <v>1.1038E-4</v>
      </c>
      <c r="N7538" s="9">
        <v>1.0564E-4</v>
      </c>
      <c r="O7538" s="9">
        <v>8.7039999999999993E-5</v>
      </c>
      <c r="P7538" s="9">
        <v>8.7200000000000005E-5</v>
      </c>
      <c r="Q7538" s="9">
        <v>8.7849999999999994E-5</v>
      </c>
      <c r="R7538" s="10">
        <v>2.1222304589280257E-4</v>
      </c>
      <c r="S7538" s="10">
        <v>1.9029020759484994E-4</v>
      </c>
      <c r="T7538" s="10">
        <v>0</v>
      </c>
      <c r="U7538" s="10">
        <v>1.0318E-4</v>
      </c>
      <c r="V7538" s="25"/>
      <c r="W7538" s="25"/>
      <c r="X7538" s="25"/>
      <c r="Y7538" s="25"/>
      <c r="Z7538" s="25"/>
      <c r="AA7538" s="25"/>
    </row>
    <row r="7539" spans="1:27" x14ac:dyDescent="0.35">
      <c r="A7539" s="5">
        <v>7535</v>
      </c>
      <c r="B7539" s="5">
        <v>314</v>
      </c>
      <c r="C7539" s="5">
        <v>11</v>
      </c>
      <c r="D7539" s="25">
        <v>1.1416E-4</v>
      </c>
      <c r="E7539" s="25">
        <v>1.0847E-4</v>
      </c>
      <c r="F7539" s="25">
        <v>1.0514999999999999E-4</v>
      </c>
      <c r="G7539" s="25">
        <v>5.8789999999999998E-5</v>
      </c>
      <c r="H7539" s="25">
        <v>4.1409999999999998E-5</v>
      </c>
      <c r="I7539" s="9">
        <v>1.2977999999999999E-4</v>
      </c>
      <c r="J7539" s="9">
        <v>1.1896E-4</v>
      </c>
      <c r="K7539" s="9">
        <v>8.6890000000000003E-5</v>
      </c>
      <c r="L7539" s="9">
        <v>9.0719999999999999E-5</v>
      </c>
      <c r="M7539" s="9">
        <v>9.8280000000000001E-5</v>
      </c>
      <c r="N7539" s="9">
        <v>9.9809999999999995E-5</v>
      </c>
      <c r="O7539" s="9">
        <v>8.5569999999999996E-5</v>
      </c>
      <c r="P7539" s="9">
        <v>7.627E-5</v>
      </c>
      <c r="Q7539" s="9">
        <v>6.7559999999999997E-5</v>
      </c>
      <c r="R7539" s="10">
        <v>2.1174912147347221E-4</v>
      </c>
      <c r="S7539" s="10">
        <v>1.9029020759484994E-4</v>
      </c>
      <c r="T7539" s="10">
        <v>0</v>
      </c>
      <c r="U7539" s="10">
        <v>1.0318E-4</v>
      </c>
      <c r="V7539" s="25"/>
      <c r="W7539" s="25"/>
      <c r="X7539" s="25"/>
      <c r="Y7539" s="25"/>
      <c r="Z7539" s="25"/>
      <c r="AA7539" s="25"/>
    </row>
    <row r="7540" spans="1:27" x14ac:dyDescent="0.35">
      <c r="A7540" s="5">
        <v>7536</v>
      </c>
      <c r="B7540" s="5">
        <v>314</v>
      </c>
      <c r="C7540" s="5">
        <v>11</v>
      </c>
      <c r="D7540" s="25">
        <v>1.1415000000000001E-4</v>
      </c>
      <c r="E7540" s="25">
        <v>1.1367E-4</v>
      </c>
      <c r="F7540" s="25">
        <v>1.0817E-4</v>
      </c>
      <c r="G7540" s="25">
        <v>6.1760000000000005E-5</v>
      </c>
      <c r="H7540" s="25">
        <v>3.8680000000000002E-5</v>
      </c>
      <c r="I7540" s="9">
        <v>1.2679999999999999E-4</v>
      </c>
      <c r="J7540" s="9">
        <v>1.1032E-4</v>
      </c>
      <c r="K7540" s="9">
        <v>8.9019999999999998E-5</v>
      </c>
      <c r="L7540" s="9">
        <v>8.6949999999999999E-5</v>
      </c>
      <c r="M7540" s="9">
        <v>8.7499999999999999E-5</v>
      </c>
      <c r="N7540" s="9">
        <v>9.0699999999999996E-5</v>
      </c>
      <c r="O7540" s="9">
        <v>7.9569999999999999E-5</v>
      </c>
      <c r="P7540" s="9">
        <v>6.9090000000000004E-5</v>
      </c>
      <c r="Q7540" s="9">
        <v>5.914E-5</v>
      </c>
      <c r="R7540" s="10">
        <v>2.0866735504534742E-4</v>
      </c>
      <c r="S7540" s="10">
        <v>1.9029020759484994E-4</v>
      </c>
      <c r="T7540" s="10">
        <v>0</v>
      </c>
      <c r="U7540" s="10">
        <v>1.0318E-4</v>
      </c>
      <c r="V7540" s="25"/>
      <c r="W7540" s="25"/>
      <c r="X7540" s="25"/>
      <c r="Y7540" s="25"/>
      <c r="Z7540" s="25"/>
      <c r="AA7540" s="25"/>
    </row>
    <row r="7541" spans="1:27" x14ac:dyDescent="0.35">
      <c r="A7541" s="5">
        <v>7537</v>
      </c>
      <c r="B7541" s="5">
        <v>315</v>
      </c>
      <c r="C7541" s="5">
        <v>11</v>
      </c>
      <c r="D7541" s="25">
        <v>1.1416E-4</v>
      </c>
      <c r="E7541" s="25">
        <v>1.1914E-4</v>
      </c>
      <c r="F7541" s="25">
        <v>1.0666E-4</v>
      </c>
      <c r="G7541" s="25">
        <v>6.037E-5</v>
      </c>
      <c r="H7541" s="25">
        <v>1.4039999999999999E-5</v>
      </c>
      <c r="I7541" s="9">
        <v>1.194E-4</v>
      </c>
      <c r="J7541" s="9">
        <v>1.0367E-4</v>
      </c>
      <c r="K7541" s="9">
        <v>9.1139999999999998E-5</v>
      </c>
      <c r="L7541" s="9">
        <v>8.0950000000000003E-5</v>
      </c>
      <c r="M7541" s="9">
        <v>7.8449999999999996E-5</v>
      </c>
      <c r="N7541" s="9">
        <v>8.1359999999999994E-5</v>
      </c>
      <c r="O7541" s="9">
        <v>6.7860000000000004E-5</v>
      </c>
      <c r="P7541" s="9">
        <v>6.0420000000000001E-5</v>
      </c>
      <c r="Q7541" s="9">
        <v>5.3279999999999998E-5</v>
      </c>
      <c r="R7541" s="10">
        <v>2.0947836043573568E-4</v>
      </c>
      <c r="S7541" s="10">
        <v>1.9029020594757591E-4</v>
      </c>
      <c r="T7541" s="10">
        <v>0</v>
      </c>
      <c r="U7541" s="10">
        <v>1.0336E-4</v>
      </c>
      <c r="V7541" s="25"/>
      <c r="W7541" s="25"/>
      <c r="X7541" s="25"/>
      <c r="Y7541" s="25"/>
      <c r="Z7541" s="25"/>
      <c r="AA7541" s="25"/>
    </row>
    <row r="7542" spans="1:27" x14ac:dyDescent="0.35">
      <c r="A7542" s="5">
        <v>7538</v>
      </c>
      <c r="B7542" s="5">
        <v>315</v>
      </c>
      <c r="C7542" s="5">
        <v>11</v>
      </c>
      <c r="D7542" s="25">
        <v>1.1415000000000001E-4</v>
      </c>
      <c r="E7542" s="25">
        <v>1.2294000000000001E-4</v>
      </c>
      <c r="F7542" s="25">
        <v>9.9049999999999995E-5</v>
      </c>
      <c r="G7542" s="25">
        <v>6.1509999999999999E-5</v>
      </c>
      <c r="H7542" s="25">
        <v>1.428E-5</v>
      </c>
      <c r="I7542" s="9">
        <v>1.1382E-4</v>
      </c>
      <c r="J7542" s="9">
        <v>9.9010000000000002E-5</v>
      </c>
      <c r="K7542" s="9">
        <v>8.9010000000000003E-5</v>
      </c>
      <c r="L7542" s="9">
        <v>7.0879999999999999E-5</v>
      </c>
      <c r="M7542" s="9">
        <v>6.9839999999999995E-5</v>
      </c>
      <c r="N7542" s="9">
        <v>7.2189999999999998E-5</v>
      </c>
      <c r="O7542" s="9">
        <v>3.5160000000000002E-5</v>
      </c>
      <c r="P7542" s="9">
        <v>4.604E-5</v>
      </c>
      <c r="Q7542" s="9">
        <v>5.643E-5</v>
      </c>
      <c r="R7542" s="10">
        <v>2.0910783319888959E-4</v>
      </c>
      <c r="S7542" s="10">
        <v>1.9029017106104659E-4</v>
      </c>
      <c r="T7542" s="10">
        <v>0</v>
      </c>
      <c r="U7542" s="10">
        <v>1.0336E-4</v>
      </c>
      <c r="V7542" s="25"/>
      <c r="W7542" s="25"/>
      <c r="X7542" s="25"/>
      <c r="Y7542" s="25"/>
      <c r="Z7542" s="25"/>
      <c r="AA7542" s="25"/>
    </row>
    <row r="7543" spans="1:27" x14ac:dyDescent="0.35">
      <c r="A7543" s="5">
        <v>7539</v>
      </c>
      <c r="B7543" s="5">
        <v>315</v>
      </c>
      <c r="C7543" s="5">
        <v>11</v>
      </c>
      <c r="D7543" s="25">
        <v>1.1416E-4</v>
      </c>
      <c r="E7543" s="25">
        <v>1.2366999999999999E-4</v>
      </c>
      <c r="F7543" s="25">
        <v>1.005E-4</v>
      </c>
      <c r="G7543" s="25">
        <v>6.1680000000000006E-5</v>
      </c>
      <c r="H7543" s="25">
        <v>1.3380000000000001E-5</v>
      </c>
      <c r="I7543" s="9">
        <v>1.1004E-4</v>
      </c>
      <c r="J7543" s="9">
        <v>9.6730000000000004E-5</v>
      </c>
      <c r="K7543" s="9">
        <v>8.4779999999999998E-5</v>
      </c>
      <c r="L7543" s="9">
        <v>4.3290000000000001E-5</v>
      </c>
      <c r="M7543" s="9">
        <v>5.9219999999999999E-5</v>
      </c>
      <c r="N7543" s="9">
        <v>6.5640000000000002E-5</v>
      </c>
      <c r="O7543" s="9">
        <v>2.1690000000000001E-5</v>
      </c>
      <c r="P7543" s="9">
        <v>4.1940000000000002E-5</v>
      </c>
      <c r="Q7543" s="9">
        <v>6.135E-5</v>
      </c>
      <c r="R7543" s="10">
        <v>2.0864198761991006E-4</v>
      </c>
      <c r="S7543" s="10">
        <v>1.9029016921826041E-4</v>
      </c>
      <c r="T7543" s="10">
        <v>0</v>
      </c>
      <c r="U7543" s="10">
        <v>1.0336E-4</v>
      </c>
      <c r="V7543" s="25"/>
      <c r="W7543" s="25"/>
      <c r="X7543" s="25"/>
      <c r="Y7543" s="25"/>
      <c r="Z7543" s="25"/>
      <c r="AA7543" s="25"/>
    </row>
    <row r="7544" spans="1:27" x14ac:dyDescent="0.35">
      <c r="A7544" s="5">
        <v>7540</v>
      </c>
      <c r="B7544" s="5">
        <v>315</v>
      </c>
      <c r="C7544" s="5">
        <v>11</v>
      </c>
      <c r="D7544" s="25">
        <v>1.1415000000000001E-4</v>
      </c>
      <c r="E7544" s="25">
        <v>1.1602E-4</v>
      </c>
      <c r="F7544" s="25">
        <v>1.0731E-4</v>
      </c>
      <c r="G7544" s="25">
        <v>5.2880000000000002E-5</v>
      </c>
      <c r="H7544" s="25">
        <v>1.455E-5</v>
      </c>
      <c r="I7544" s="9">
        <v>1.0734E-4</v>
      </c>
      <c r="J7544" s="9">
        <v>9.5569999999999995E-5</v>
      </c>
      <c r="K7544" s="9">
        <v>8.0539999999999998E-5</v>
      </c>
      <c r="L7544" s="9">
        <v>2.7180000000000001E-5</v>
      </c>
      <c r="M7544" s="9">
        <v>5.0460000000000001E-5</v>
      </c>
      <c r="N7544" s="9">
        <v>6.1989999999999994E-5</v>
      </c>
      <c r="O7544" s="9">
        <v>2.1379999999999999E-5</v>
      </c>
      <c r="P7544" s="9">
        <v>5.1650000000000002E-5</v>
      </c>
      <c r="Q7544" s="9">
        <v>8.0920000000000005E-5</v>
      </c>
      <c r="R7544" s="10">
        <v>2.0770790110692452E-4</v>
      </c>
      <c r="S7544" s="10">
        <v>1.9028760116891272E-4</v>
      </c>
      <c r="T7544" s="10">
        <v>0</v>
      </c>
      <c r="U7544" s="10">
        <v>1.0336E-4</v>
      </c>
      <c r="V7544" s="25"/>
      <c r="W7544" s="25"/>
      <c r="X7544" s="25"/>
      <c r="Y7544" s="25"/>
      <c r="Z7544" s="25"/>
      <c r="AA7544" s="25"/>
    </row>
    <row r="7545" spans="1:27" x14ac:dyDescent="0.35">
      <c r="A7545" s="5">
        <v>7541</v>
      </c>
      <c r="B7545" s="5">
        <v>315</v>
      </c>
      <c r="C7545" s="5">
        <v>11</v>
      </c>
      <c r="D7545" s="25">
        <v>1.1416E-4</v>
      </c>
      <c r="E7545" s="25">
        <v>1.2214999999999999E-4</v>
      </c>
      <c r="F7545" s="25">
        <v>1.1791E-4</v>
      </c>
      <c r="G7545" s="25">
        <v>5.4110000000000002E-5</v>
      </c>
      <c r="H7545" s="25">
        <v>1.365E-5</v>
      </c>
      <c r="I7545" s="9">
        <v>1.0794E-4</v>
      </c>
      <c r="J7545" s="9">
        <v>9.6000000000000002E-5</v>
      </c>
      <c r="K7545" s="9">
        <v>7.8419999999999998E-5</v>
      </c>
      <c r="L7545" s="9">
        <v>2.304E-5</v>
      </c>
      <c r="M7545" s="9">
        <v>4.8850000000000002E-5</v>
      </c>
      <c r="N7545" s="9">
        <v>6.4599999999999998E-5</v>
      </c>
      <c r="O7545" s="9">
        <v>2.3289999999999999E-5</v>
      </c>
      <c r="P7545" s="9">
        <v>5.9320000000000001E-5</v>
      </c>
      <c r="Q7545" s="9">
        <v>9.4270000000000004E-5</v>
      </c>
      <c r="R7545" s="10">
        <v>2.0738756320909523E-4</v>
      </c>
      <c r="S7545" s="10">
        <v>1.9025471398098447E-4</v>
      </c>
      <c r="T7545" s="10">
        <v>0</v>
      </c>
      <c r="U7545" s="10">
        <v>1.0336E-4</v>
      </c>
      <c r="V7545" s="25"/>
      <c r="W7545" s="25"/>
      <c r="X7545" s="25"/>
      <c r="Y7545" s="25"/>
      <c r="Z7545" s="25"/>
      <c r="AA7545" s="25"/>
    </row>
    <row r="7546" spans="1:27" x14ac:dyDescent="0.35">
      <c r="A7546" s="5">
        <v>7542</v>
      </c>
      <c r="B7546" s="5">
        <v>315</v>
      </c>
      <c r="C7546" s="5">
        <v>11</v>
      </c>
      <c r="D7546" s="25">
        <v>1.1415000000000001E-4</v>
      </c>
      <c r="E7546" s="25">
        <v>1.1593E-4</v>
      </c>
      <c r="F7546" s="25">
        <v>1.0171E-4</v>
      </c>
      <c r="G7546" s="25">
        <v>1.0971E-4</v>
      </c>
      <c r="H7546" s="25">
        <v>2.5579999999999999E-5</v>
      </c>
      <c r="I7546" s="9">
        <v>1.1321E-4</v>
      </c>
      <c r="J7546" s="9">
        <v>9.9989999999999996E-5</v>
      </c>
      <c r="K7546" s="9">
        <v>6.7819999999999998E-5</v>
      </c>
      <c r="L7546" s="9">
        <v>2.3159999999999998E-5</v>
      </c>
      <c r="M7546" s="9">
        <v>5.2559999999999998E-5</v>
      </c>
      <c r="N7546" s="9">
        <v>7.1260000000000006E-5</v>
      </c>
      <c r="O7546" s="9">
        <v>2.97E-5</v>
      </c>
      <c r="P7546" s="9">
        <v>6.9270000000000006E-5</v>
      </c>
      <c r="Q7546" s="9">
        <v>1.078E-4</v>
      </c>
      <c r="R7546" s="10">
        <v>2.0642361420738473E-4</v>
      </c>
      <c r="S7546" s="10">
        <v>1.8995819174319584E-4</v>
      </c>
      <c r="T7546" s="10">
        <v>0</v>
      </c>
      <c r="U7546" s="10">
        <v>1.0336E-4</v>
      </c>
      <c r="V7546" s="25"/>
      <c r="W7546" s="25"/>
      <c r="X7546" s="25"/>
      <c r="Y7546" s="25"/>
      <c r="Z7546" s="25"/>
      <c r="AA7546" s="25"/>
    </row>
    <row r="7547" spans="1:27" x14ac:dyDescent="0.35">
      <c r="A7547" s="5">
        <v>7543</v>
      </c>
      <c r="B7547" s="5">
        <v>315</v>
      </c>
      <c r="C7547" s="5">
        <v>11</v>
      </c>
      <c r="D7547" s="25">
        <v>1.1416E-4</v>
      </c>
      <c r="E7547" s="25">
        <v>1.1394E-4</v>
      </c>
      <c r="F7547" s="25">
        <v>1.1717E-4</v>
      </c>
      <c r="G7547" s="25">
        <v>1.1377E-4</v>
      </c>
      <c r="H7547" s="25">
        <v>2.7120000000000001E-5</v>
      </c>
      <c r="I7547" s="9">
        <v>1.2653999999999999E-4</v>
      </c>
      <c r="J7547" s="9">
        <v>1.1267E-4</v>
      </c>
      <c r="K7547" s="9">
        <v>6.1459999999999998E-5</v>
      </c>
      <c r="L7547" s="9">
        <v>2.817E-5</v>
      </c>
      <c r="M7547" s="9">
        <v>5.9670000000000003E-5</v>
      </c>
      <c r="N7547" s="9">
        <v>8.1119999999999996E-5</v>
      </c>
      <c r="O7547" s="9">
        <v>4.5909999999999999E-5</v>
      </c>
      <c r="P7547" s="9">
        <v>7.9289999999999995E-5</v>
      </c>
      <c r="Q7547" s="9">
        <v>1.1201000000000001E-4</v>
      </c>
      <c r="R7547" s="10">
        <v>2.0623922467419897E-4</v>
      </c>
      <c r="S7547" s="10">
        <v>1.8943244314864629E-4</v>
      </c>
      <c r="T7547" s="10">
        <v>0</v>
      </c>
      <c r="U7547" s="10">
        <v>1.0336E-4</v>
      </c>
      <c r="V7547" s="25"/>
      <c r="W7547" s="25"/>
      <c r="X7547" s="25"/>
      <c r="Y7547" s="25"/>
      <c r="Z7547" s="25"/>
      <c r="AA7547" s="25"/>
    </row>
    <row r="7548" spans="1:27" x14ac:dyDescent="0.35">
      <c r="A7548" s="5">
        <v>7544</v>
      </c>
      <c r="B7548" s="5">
        <v>315</v>
      </c>
      <c r="C7548" s="5">
        <v>11</v>
      </c>
      <c r="D7548" s="25">
        <v>1.1415000000000001E-4</v>
      </c>
      <c r="E7548" s="25">
        <v>1.1649E-4</v>
      </c>
      <c r="F7548" s="25">
        <v>1.1398E-4</v>
      </c>
      <c r="G7548" s="25">
        <v>1.6164E-4</v>
      </c>
      <c r="H7548" s="25">
        <v>4.0339999999999997E-5</v>
      </c>
      <c r="I7548" s="9">
        <v>1.3713000000000001E-4</v>
      </c>
      <c r="J7548" s="9">
        <v>1.3040999999999999E-4</v>
      </c>
      <c r="K7548" s="9">
        <v>5.2989999999999999E-5</v>
      </c>
      <c r="L7548" s="9">
        <v>4.1850000000000001E-5</v>
      </c>
      <c r="M7548" s="9">
        <v>6.8529999999999996E-5</v>
      </c>
      <c r="N7548" s="9">
        <v>9.1080000000000002E-5</v>
      </c>
      <c r="O7548" s="9">
        <v>6.8739999999999996E-5</v>
      </c>
      <c r="P7548" s="9">
        <v>1.0336999999999999E-4</v>
      </c>
      <c r="Q7548" s="9">
        <v>1.3763999999999999E-4</v>
      </c>
      <c r="R7548" s="10">
        <v>2.0573632626164721E-4</v>
      </c>
      <c r="S7548" s="10">
        <v>1.8882442845514984E-4</v>
      </c>
      <c r="T7548" s="10">
        <v>0</v>
      </c>
      <c r="U7548" s="10">
        <v>1.0336E-4</v>
      </c>
      <c r="V7548" s="25"/>
      <c r="W7548" s="25"/>
      <c r="X7548" s="25"/>
      <c r="Y7548" s="25"/>
      <c r="Z7548" s="25"/>
      <c r="AA7548" s="25"/>
    </row>
    <row r="7549" spans="1:27" x14ac:dyDescent="0.35">
      <c r="A7549" s="5">
        <v>7545</v>
      </c>
      <c r="B7549" s="5">
        <v>315</v>
      </c>
      <c r="C7549" s="5">
        <v>11</v>
      </c>
      <c r="D7549" s="25">
        <v>1.1416E-4</v>
      </c>
      <c r="E7549" s="25">
        <v>1.2227000000000001E-4</v>
      </c>
      <c r="F7549" s="25">
        <v>1.0443E-4</v>
      </c>
      <c r="G7549" s="25">
        <v>1.5752999999999999E-4</v>
      </c>
      <c r="H7549" s="25">
        <v>4.1029999999999998E-5</v>
      </c>
      <c r="I7549" s="9">
        <v>1.3742E-4</v>
      </c>
      <c r="J7549" s="9">
        <v>1.4066E-4</v>
      </c>
      <c r="K7549" s="9">
        <v>4.6629999999999999E-5</v>
      </c>
      <c r="L7549" s="9">
        <v>6.245E-5</v>
      </c>
      <c r="M7549" s="9">
        <v>8.3250000000000004E-5</v>
      </c>
      <c r="N7549" s="9">
        <v>1.0498E-4</v>
      </c>
      <c r="O7549" s="9">
        <v>9.9240000000000005E-5</v>
      </c>
      <c r="P7549" s="9">
        <v>1.3729000000000001E-4</v>
      </c>
      <c r="Q7549" s="9">
        <v>1.7542E-4</v>
      </c>
      <c r="R7549" s="10">
        <v>2.0665499818159439E-4</v>
      </c>
      <c r="S7549" s="10">
        <v>1.8958695377191274E-4</v>
      </c>
      <c r="T7549" s="10">
        <v>1.9344202518324938E-5</v>
      </c>
      <c r="U7549" s="10">
        <v>1.0336E-4</v>
      </c>
      <c r="V7549" s="25"/>
      <c r="W7549" s="25"/>
      <c r="X7549" s="25"/>
      <c r="Y7549" s="25"/>
      <c r="Z7549" s="25"/>
      <c r="AA7549" s="25"/>
    </row>
    <row r="7550" spans="1:27" x14ac:dyDescent="0.35">
      <c r="A7550" s="5">
        <v>7546</v>
      </c>
      <c r="B7550" s="5">
        <v>315</v>
      </c>
      <c r="C7550" s="5">
        <v>11</v>
      </c>
      <c r="D7550" s="25">
        <v>1.1415000000000001E-4</v>
      </c>
      <c r="E7550" s="25">
        <v>1.1929E-4</v>
      </c>
      <c r="F7550" s="25">
        <v>1.0051E-4</v>
      </c>
      <c r="G7550" s="25">
        <v>1.6317E-4</v>
      </c>
      <c r="H7550" s="25">
        <v>4.0949999999999999E-5</v>
      </c>
      <c r="I7550" s="9">
        <v>1.3876000000000001E-4</v>
      </c>
      <c r="J7550" s="9">
        <v>1.4498000000000001E-4</v>
      </c>
      <c r="K7550" s="9">
        <v>4.2389999999999999E-5</v>
      </c>
      <c r="L7550" s="9">
        <v>9.0610000000000002E-5</v>
      </c>
      <c r="M7550" s="9">
        <v>1.0644E-4</v>
      </c>
      <c r="N7550" s="9">
        <v>1.2459999999999999E-4</v>
      </c>
      <c r="O7550" s="9">
        <v>1.2929E-4</v>
      </c>
      <c r="P7550" s="9">
        <v>1.5553999999999999E-4</v>
      </c>
      <c r="Q7550" s="9">
        <v>1.8249E-4</v>
      </c>
      <c r="R7550" s="10">
        <v>2.0572297427795441E-4</v>
      </c>
      <c r="S7550" s="10">
        <v>1.8995766359417105E-4</v>
      </c>
      <c r="T7550" s="10">
        <v>2.1047849827833558E-4</v>
      </c>
      <c r="U7550" s="10">
        <v>1.0336E-4</v>
      </c>
      <c r="V7550" s="25"/>
      <c r="W7550" s="25"/>
      <c r="X7550" s="25"/>
      <c r="Y7550" s="25"/>
      <c r="Z7550" s="25"/>
      <c r="AA7550" s="25"/>
    </row>
    <row r="7551" spans="1:27" x14ac:dyDescent="0.35">
      <c r="A7551" s="5">
        <v>7547</v>
      </c>
      <c r="B7551" s="5">
        <v>315</v>
      </c>
      <c r="C7551" s="5">
        <v>11</v>
      </c>
      <c r="D7551" s="25">
        <v>1.1416E-4</v>
      </c>
      <c r="E7551" s="25">
        <v>1.1404999999999999E-4</v>
      </c>
      <c r="F7551" s="25">
        <v>1.1223E-4</v>
      </c>
      <c r="G7551" s="25">
        <v>1.6720999999999999E-4</v>
      </c>
      <c r="H7551" s="25">
        <v>4.0049999999999998E-5</v>
      </c>
      <c r="I7551" s="9">
        <v>1.3813000000000001E-4</v>
      </c>
      <c r="J7551" s="9">
        <v>1.4574999999999999E-4</v>
      </c>
      <c r="K7551" s="9">
        <v>3.392E-5</v>
      </c>
      <c r="L7551" s="9">
        <v>1.2009E-4</v>
      </c>
      <c r="M7551" s="9">
        <v>1.2994999999999999E-4</v>
      </c>
      <c r="N7551" s="9">
        <v>1.4269E-4</v>
      </c>
      <c r="O7551" s="9">
        <v>1.3836999999999999E-4</v>
      </c>
      <c r="P7551" s="9">
        <v>1.5913E-4</v>
      </c>
      <c r="Q7551" s="9">
        <v>1.8081999999999999E-4</v>
      </c>
      <c r="R7551" s="10">
        <v>2.0677402272299738E-4</v>
      </c>
      <c r="S7551" s="10">
        <v>1.901109498907987E-4</v>
      </c>
      <c r="T7551" s="10">
        <v>4.9599214000933148E-5</v>
      </c>
      <c r="U7551" s="10">
        <v>1.0336E-4</v>
      </c>
      <c r="V7551" s="25"/>
      <c r="W7551" s="25"/>
      <c r="X7551" s="25"/>
      <c r="Y7551" s="25"/>
      <c r="Z7551" s="25"/>
      <c r="AA7551" s="25"/>
    </row>
    <row r="7552" spans="1:27" x14ac:dyDescent="0.35">
      <c r="A7552" s="5">
        <v>7548</v>
      </c>
      <c r="B7552" s="5">
        <v>315</v>
      </c>
      <c r="C7552" s="5">
        <v>11</v>
      </c>
      <c r="D7552" s="25">
        <v>1.1415000000000001E-4</v>
      </c>
      <c r="E7552" s="25">
        <v>1.1875E-4</v>
      </c>
      <c r="F7552" s="25">
        <v>1.016E-4</v>
      </c>
      <c r="G7552" s="25">
        <v>1.5834000000000001E-4</v>
      </c>
      <c r="H7552" s="25">
        <v>4.087E-5</v>
      </c>
      <c r="I7552" s="9">
        <v>1.3878E-4</v>
      </c>
      <c r="J7552" s="9">
        <v>1.4538999999999999E-4</v>
      </c>
      <c r="K7552" s="9">
        <v>1.484E-5</v>
      </c>
      <c r="L7552" s="9">
        <v>1.3365999999999999E-4</v>
      </c>
      <c r="M7552" s="9">
        <v>1.4604E-4</v>
      </c>
      <c r="N7552" s="9">
        <v>1.5699999999999999E-4</v>
      </c>
      <c r="O7552" s="9">
        <v>1.3756E-4</v>
      </c>
      <c r="P7552" s="9">
        <v>1.5461000000000001E-4</v>
      </c>
      <c r="Q7552" s="9">
        <v>1.7265E-4</v>
      </c>
      <c r="R7552" s="10">
        <v>1.8990983746829305E-4</v>
      </c>
      <c r="S7552" s="10">
        <v>1.89590603935855E-4</v>
      </c>
      <c r="T7552" s="10">
        <v>4.4152293818141651E-5</v>
      </c>
      <c r="U7552" s="10">
        <v>1.0336E-4</v>
      </c>
      <c r="V7552" s="25"/>
      <c r="W7552" s="25"/>
      <c r="X7552" s="25"/>
      <c r="Y7552" s="25"/>
      <c r="Z7552" s="25"/>
      <c r="AA7552" s="25"/>
    </row>
    <row r="7553" spans="1:27" x14ac:dyDescent="0.35">
      <c r="A7553" s="5">
        <v>7549</v>
      </c>
      <c r="B7553" s="5">
        <v>315</v>
      </c>
      <c r="C7553" s="5">
        <v>11</v>
      </c>
      <c r="D7553" s="25">
        <v>1.1416E-4</v>
      </c>
      <c r="E7553" s="25">
        <v>1.2416E-4</v>
      </c>
      <c r="F7553" s="25">
        <v>1.0032E-4</v>
      </c>
      <c r="G7553" s="25">
        <v>1.6089000000000001E-4</v>
      </c>
      <c r="H7553" s="25">
        <v>3.93E-5</v>
      </c>
      <c r="I7553" s="9">
        <v>1.3676000000000001E-4</v>
      </c>
      <c r="J7553" s="9">
        <v>1.4295000000000001E-4</v>
      </c>
      <c r="K7553" s="9">
        <v>2.9669999999999999E-5</v>
      </c>
      <c r="L7553" s="9">
        <v>1.3650000000000001E-4</v>
      </c>
      <c r="M7553" s="9">
        <v>1.526E-4</v>
      </c>
      <c r="N7553" s="9">
        <v>1.6610999999999999E-4</v>
      </c>
      <c r="O7553" s="9">
        <v>1.3077999999999999E-4</v>
      </c>
      <c r="P7553" s="9">
        <v>1.4888999999999999E-4</v>
      </c>
      <c r="Q7553" s="9">
        <v>1.6786000000000001E-4</v>
      </c>
      <c r="R7553" s="10">
        <v>1.9398909087912333E-4</v>
      </c>
      <c r="S7553" s="10">
        <v>1.9013797128498086E-4</v>
      </c>
      <c r="T7553" s="10">
        <v>6.5693929868153515E-5</v>
      </c>
      <c r="U7553" s="10">
        <v>1.0336E-4</v>
      </c>
      <c r="V7553" s="25"/>
      <c r="W7553" s="25"/>
      <c r="X7553" s="25"/>
      <c r="Y7553" s="25"/>
      <c r="Z7553" s="25"/>
      <c r="AA7553" s="25"/>
    </row>
    <row r="7554" spans="1:27" x14ac:dyDescent="0.35">
      <c r="A7554" s="5">
        <v>7550</v>
      </c>
      <c r="B7554" s="5">
        <v>315</v>
      </c>
      <c r="C7554" s="5">
        <v>11</v>
      </c>
      <c r="D7554" s="25">
        <v>1.1415000000000001E-4</v>
      </c>
      <c r="E7554" s="25">
        <v>1.237E-4</v>
      </c>
      <c r="F7554" s="25">
        <v>1.1158E-4</v>
      </c>
      <c r="G7554" s="25">
        <v>1.5961E-4</v>
      </c>
      <c r="H7554" s="25">
        <v>4.0840000000000002E-5</v>
      </c>
      <c r="I7554" s="9">
        <v>1.3740000000000001E-4</v>
      </c>
      <c r="J7554" s="9">
        <v>1.4362000000000001E-4</v>
      </c>
      <c r="K7554" s="9">
        <v>3.8149999999999999E-5</v>
      </c>
      <c r="L7554" s="9">
        <v>1.3213999999999999E-4</v>
      </c>
      <c r="M7554" s="9">
        <v>1.5244999999999999E-4</v>
      </c>
      <c r="N7554" s="9">
        <v>1.7049E-4</v>
      </c>
      <c r="O7554" s="9">
        <v>1.1184999999999999E-4</v>
      </c>
      <c r="P7554" s="9">
        <v>1.3540000000000001E-4</v>
      </c>
      <c r="Q7554" s="9">
        <v>1.5945E-4</v>
      </c>
      <c r="R7554" s="10">
        <v>1.9930901888434014E-4</v>
      </c>
      <c r="S7554" s="10">
        <v>1.9022773369969432E-4</v>
      </c>
      <c r="T7554" s="10">
        <v>6.8646466042003105E-5</v>
      </c>
      <c r="U7554" s="10">
        <v>1.0336E-4</v>
      </c>
      <c r="V7554" s="25"/>
      <c r="W7554" s="25"/>
      <c r="X7554" s="25"/>
      <c r="Y7554" s="25"/>
      <c r="Z7554" s="25"/>
      <c r="AA7554" s="25"/>
    </row>
    <row r="7555" spans="1:27" x14ac:dyDescent="0.35">
      <c r="A7555" s="5">
        <v>7551</v>
      </c>
      <c r="B7555" s="5">
        <v>315</v>
      </c>
      <c r="C7555" s="5">
        <v>11</v>
      </c>
      <c r="D7555" s="25">
        <v>1.1416E-4</v>
      </c>
      <c r="E7555" s="25">
        <v>1.1341E-4</v>
      </c>
      <c r="F7555" s="25">
        <v>1.1613E-4</v>
      </c>
      <c r="G7555" s="25">
        <v>1.6053000000000001E-4</v>
      </c>
      <c r="H7555" s="25">
        <v>4.104E-5</v>
      </c>
      <c r="I7555" s="9">
        <v>1.3672000000000001E-4</v>
      </c>
      <c r="J7555" s="9">
        <v>1.4388000000000001E-4</v>
      </c>
      <c r="K7555" s="9">
        <v>4.6629999999999999E-5</v>
      </c>
      <c r="L7555" s="9">
        <v>1.165E-4</v>
      </c>
      <c r="M7555" s="9">
        <v>1.4601999999999999E-4</v>
      </c>
      <c r="N7555" s="9">
        <v>1.6974000000000001E-4</v>
      </c>
      <c r="O7555" s="9">
        <v>1.2831E-4</v>
      </c>
      <c r="P7555" s="9">
        <v>1.4041999999999999E-4</v>
      </c>
      <c r="Q7555" s="9">
        <v>1.5344999999999999E-4</v>
      </c>
      <c r="R7555" s="10">
        <v>1.9871309936363141E-4</v>
      </c>
      <c r="S7555" s="10">
        <v>1.902553792950033E-4</v>
      </c>
      <c r="T7555" s="10">
        <v>1.5085084244553396E-5</v>
      </c>
      <c r="U7555" s="10">
        <v>1.0336E-4</v>
      </c>
      <c r="V7555" s="25"/>
      <c r="W7555" s="25"/>
      <c r="X7555" s="25"/>
      <c r="Y7555" s="25"/>
      <c r="Z7555" s="25"/>
      <c r="AA7555" s="25"/>
    </row>
    <row r="7556" spans="1:27" x14ac:dyDescent="0.35">
      <c r="A7556" s="5">
        <v>7552</v>
      </c>
      <c r="B7556" s="5">
        <v>315</v>
      </c>
      <c r="C7556" s="5">
        <v>11</v>
      </c>
      <c r="D7556" s="25">
        <v>1.1415000000000001E-4</v>
      </c>
      <c r="E7556" s="25">
        <v>1.1608E-4</v>
      </c>
      <c r="F7556" s="25">
        <v>1.0157000000000001E-4</v>
      </c>
      <c r="G7556" s="25">
        <v>1.5681000000000001E-4</v>
      </c>
      <c r="H7556" s="25">
        <v>3.9560000000000001E-5</v>
      </c>
      <c r="I7556" s="9">
        <v>1.3616E-4</v>
      </c>
      <c r="J7556" s="9">
        <v>1.4407999999999999E-4</v>
      </c>
      <c r="K7556" s="9">
        <v>5.7229999999999999E-5</v>
      </c>
      <c r="L7556" s="9">
        <v>1.2615E-4</v>
      </c>
      <c r="M7556" s="9">
        <v>1.4222E-4</v>
      </c>
      <c r="N7556" s="9">
        <v>1.6605E-4</v>
      </c>
      <c r="O7556" s="9">
        <v>1.35E-4</v>
      </c>
      <c r="P7556" s="9">
        <v>1.2187E-4</v>
      </c>
      <c r="Q7556" s="9">
        <v>1.1017E-4</v>
      </c>
      <c r="R7556" s="10">
        <v>2.006024373470533E-4</v>
      </c>
      <c r="S7556" s="10">
        <v>1.9026652284551227E-4</v>
      </c>
      <c r="T7556" s="10">
        <v>2.180464932986627E-5</v>
      </c>
      <c r="U7556" s="10">
        <v>1.0336E-4</v>
      </c>
      <c r="V7556" s="25"/>
      <c r="W7556" s="25"/>
      <c r="X7556" s="25"/>
      <c r="Y7556" s="25"/>
      <c r="Z7556" s="25"/>
      <c r="AA7556" s="25"/>
    </row>
    <row r="7557" spans="1:27" x14ac:dyDescent="0.35">
      <c r="A7557" s="5">
        <v>7553</v>
      </c>
      <c r="B7557" s="5">
        <v>315</v>
      </c>
      <c r="C7557" s="5">
        <v>11</v>
      </c>
      <c r="D7557" s="25">
        <v>1.1416E-4</v>
      </c>
      <c r="E7557" s="25">
        <v>1.1529E-4</v>
      </c>
      <c r="F7557" s="25">
        <v>1.0378999999999999E-4</v>
      </c>
      <c r="G7557" s="25">
        <v>1.6250999999999999E-4</v>
      </c>
      <c r="H7557" s="25">
        <v>3.9990000000000002E-5</v>
      </c>
      <c r="I7557" s="9">
        <v>1.3608000000000001E-4</v>
      </c>
      <c r="J7557" s="9">
        <v>1.4742999999999999E-4</v>
      </c>
      <c r="K7557" s="9">
        <v>5.9339999999999998E-5</v>
      </c>
      <c r="L7557" s="9">
        <v>1.3275E-4</v>
      </c>
      <c r="M7557" s="9">
        <v>1.3407999999999999E-4</v>
      </c>
      <c r="N7557" s="9">
        <v>1.5241000000000001E-4</v>
      </c>
      <c r="O7557" s="9">
        <v>1.4096000000000001E-4</v>
      </c>
      <c r="P7557" s="9">
        <v>1.2338E-4</v>
      </c>
      <c r="Q7557" s="9">
        <v>1.0737E-4</v>
      </c>
      <c r="R7557" s="10">
        <v>1.9866380342453579E-4</v>
      </c>
      <c r="S7557" s="10">
        <v>1.9025902589886817E-4</v>
      </c>
      <c r="T7557" s="10">
        <v>0</v>
      </c>
      <c r="U7557" s="10">
        <v>1.0336E-4</v>
      </c>
      <c r="V7557" s="25"/>
      <c r="W7557" s="25"/>
      <c r="X7557" s="25"/>
      <c r="Y7557" s="25"/>
      <c r="Z7557" s="25"/>
      <c r="AA7557" s="25"/>
    </row>
    <row r="7558" spans="1:27" x14ac:dyDescent="0.35">
      <c r="A7558" s="5">
        <v>7554</v>
      </c>
      <c r="B7558" s="5">
        <v>315</v>
      </c>
      <c r="C7558" s="5">
        <v>11</v>
      </c>
      <c r="D7558" s="25">
        <v>1.1415000000000001E-4</v>
      </c>
      <c r="E7558" s="25">
        <v>1.2022E-4</v>
      </c>
      <c r="F7558" s="25">
        <v>1.0425999999999999E-4</v>
      </c>
      <c r="G7558" s="25">
        <v>1.5613000000000001E-4</v>
      </c>
      <c r="H7558" s="25">
        <v>3.854E-5</v>
      </c>
      <c r="I7558" s="9">
        <v>1.4254E-4</v>
      </c>
      <c r="J7558" s="9">
        <v>1.5325000000000001E-4</v>
      </c>
      <c r="K7558" s="9">
        <v>6.5699999999999998E-5</v>
      </c>
      <c r="L7558" s="9">
        <v>1.3884999999999999E-4</v>
      </c>
      <c r="M7558" s="9">
        <v>1.2815999999999999E-4</v>
      </c>
      <c r="N7558" s="9">
        <v>1.3918000000000001E-4</v>
      </c>
      <c r="O7558" s="9">
        <v>1.4074000000000001E-4</v>
      </c>
      <c r="P7558" s="9">
        <v>1.2824000000000001E-4</v>
      </c>
      <c r="Q7558" s="9">
        <v>1.1724E-4</v>
      </c>
      <c r="R7558" s="10">
        <v>2.0082388027988255E-4</v>
      </c>
      <c r="S7558" s="10">
        <v>1.9027412679090773E-4</v>
      </c>
      <c r="T7558" s="10">
        <v>0</v>
      </c>
      <c r="U7558" s="10">
        <v>1.0336E-4</v>
      </c>
      <c r="V7558" s="25"/>
      <c r="W7558" s="25"/>
      <c r="X7558" s="25"/>
      <c r="Y7558" s="25"/>
      <c r="Z7558" s="25"/>
      <c r="AA7558" s="25"/>
    </row>
    <row r="7559" spans="1:27" x14ac:dyDescent="0.35">
      <c r="A7559" s="5">
        <v>7555</v>
      </c>
      <c r="B7559" s="5">
        <v>315</v>
      </c>
      <c r="C7559" s="5">
        <v>11</v>
      </c>
      <c r="D7559" s="25">
        <v>1.1416E-4</v>
      </c>
      <c r="E7559" s="25">
        <v>1.1339E-4</v>
      </c>
      <c r="F7559" s="25">
        <v>1.0247999999999999E-4</v>
      </c>
      <c r="G7559" s="25">
        <v>1.061E-4</v>
      </c>
      <c r="H7559" s="25">
        <v>2.6239999999999999E-5</v>
      </c>
      <c r="I7559" s="9">
        <v>1.4369E-4</v>
      </c>
      <c r="J7559" s="9">
        <v>1.4857E-4</v>
      </c>
      <c r="K7559" s="9">
        <v>7.2059999999999998E-5</v>
      </c>
      <c r="L7559" s="9">
        <v>1.4024E-4</v>
      </c>
      <c r="M7559" s="9">
        <v>1.2682000000000001E-4</v>
      </c>
      <c r="N7559" s="9">
        <v>1.3002000000000001E-4</v>
      </c>
      <c r="O7559" s="9">
        <v>1.4197E-4</v>
      </c>
      <c r="P7559" s="9">
        <v>1.2373000000000001E-4</v>
      </c>
      <c r="Q7559" s="9">
        <v>1.0709000000000001E-4</v>
      </c>
      <c r="R7559" s="10">
        <v>2.0319508354747239E-4</v>
      </c>
      <c r="S7559" s="10">
        <v>1.9028479306979341E-4</v>
      </c>
      <c r="T7559" s="10">
        <v>0</v>
      </c>
      <c r="U7559" s="10">
        <v>1.0336E-4</v>
      </c>
      <c r="V7559" s="25"/>
      <c r="W7559" s="25"/>
      <c r="X7559" s="25"/>
      <c r="Y7559" s="25"/>
      <c r="Z7559" s="25"/>
      <c r="AA7559" s="25"/>
    </row>
    <row r="7560" spans="1:27" x14ac:dyDescent="0.35">
      <c r="A7560" s="5">
        <v>7556</v>
      </c>
      <c r="B7560" s="5">
        <v>315</v>
      </c>
      <c r="C7560" s="5">
        <v>11</v>
      </c>
      <c r="D7560" s="25">
        <v>1.1415000000000001E-4</v>
      </c>
      <c r="E7560" s="25">
        <v>1.2240999999999999E-4</v>
      </c>
      <c r="F7560" s="25">
        <v>1.092E-4</v>
      </c>
      <c r="G7560" s="25">
        <v>1.0868E-4</v>
      </c>
      <c r="H7560" s="25">
        <v>2.7520000000000001E-5</v>
      </c>
      <c r="I7560" s="9">
        <v>1.3789999999999999E-4</v>
      </c>
      <c r="J7560" s="9">
        <v>1.4425000000000001E-4</v>
      </c>
      <c r="K7560" s="9">
        <v>7.2059999999999998E-5</v>
      </c>
      <c r="L7560" s="9">
        <v>1.416E-4</v>
      </c>
      <c r="M7560" s="9">
        <v>1.2562000000000001E-4</v>
      </c>
      <c r="N7560" s="9">
        <v>1.2095E-4</v>
      </c>
      <c r="O7560" s="9">
        <v>1.4375E-4</v>
      </c>
      <c r="P7560" s="9">
        <v>1.2175E-4</v>
      </c>
      <c r="Q7560" s="9">
        <v>1.0144E-4</v>
      </c>
      <c r="R7560" s="10">
        <v>2.0408950254731452E-4</v>
      </c>
      <c r="S7560" s="10">
        <v>1.9026972742452336E-4</v>
      </c>
      <c r="T7560" s="10">
        <v>0</v>
      </c>
      <c r="U7560" s="10">
        <v>1.0336E-4</v>
      </c>
      <c r="V7560" s="25"/>
      <c r="W7560" s="25"/>
      <c r="X7560" s="25"/>
      <c r="Y7560" s="25"/>
      <c r="Z7560" s="25"/>
      <c r="AA7560" s="25"/>
    </row>
    <row r="7561" spans="1:27" x14ac:dyDescent="0.35">
      <c r="A7561" s="5">
        <v>7557</v>
      </c>
      <c r="B7561" s="5">
        <v>315</v>
      </c>
      <c r="C7561" s="5">
        <v>11</v>
      </c>
      <c r="D7561" s="25">
        <v>1.1416E-4</v>
      </c>
      <c r="E7561" s="25">
        <v>1.144E-4</v>
      </c>
      <c r="F7561" s="25">
        <v>9.8070000000000001E-5</v>
      </c>
      <c r="G7561" s="25">
        <v>6.2420000000000002E-5</v>
      </c>
      <c r="H7561" s="25">
        <v>1.385E-5</v>
      </c>
      <c r="I7561" s="9">
        <v>1.3134999999999999E-4</v>
      </c>
      <c r="J7561" s="9">
        <v>1.3773E-4</v>
      </c>
      <c r="K7561" s="9">
        <v>6.9939999999999998E-5</v>
      </c>
      <c r="L7561" s="9">
        <v>1.4328E-4</v>
      </c>
      <c r="M7561" s="9">
        <v>1.2395E-4</v>
      </c>
      <c r="N7561" s="9">
        <v>1.1315E-4</v>
      </c>
      <c r="O7561" s="9">
        <v>8.488E-5</v>
      </c>
      <c r="P7561" s="9">
        <v>8.6470000000000004E-5</v>
      </c>
      <c r="Q7561" s="9">
        <v>8.8469999999999998E-5</v>
      </c>
      <c r="R7561" s="10">
        <v>2.0415007630458096E-4</v>
      </c>
      <c r="S7561" s="10">
        <v>1.902707821149946E-4</v>
      </c>
      <c r="T7561" s="10">
        <v>0</v>
      </c>
      <c r="U7561" s="10">
        <v>1.0336E-4</v>
      </c>
      <c r="V7561" s="25"/>
      <c r="W7561" s="25"/>
      <c r="X7561" s="25"/>
      <c r="Y7561" s="25"/>
      <c r="Z7561" s="25"/>
      <c r="AA7561" s="25"/>
    </row>
    <row r="7562" spans="1:27" x14ac:dyDescent="0.35">
      <c r="A7562" s="5">
        <v>7558</v>
      </c>
      <c r="B7562" s="5">
        <v>315</v>
      </c>
      <c r="C7562" s="5">
        <v>11</v>
      </c>
      <c r="D7562" s="25">
        <v>1.1415000000000001E-4</v>
      </c>
      <c r="E7562" s="25">
        <v>1.1406E-4</v>
      </c>
      <c r="F7562" s="25">
        <v>1.0961E-4</v>
      </c>
      <c r="G7562" s="25">
        <v>6.1409999999999996E-5</v>
      </c>
      <c r="H7562" s="25">
        <v>1.5150000000000001E-5</v>
      </c>
      <c r="I7562" s="9">
        <v>1.2517E-4</v>
      </c>
      <c r="J7562" s="9">
        <v>1.2873999999999999E-4</v>
      </c>
      <c r="K7562" s="9">
        <v>7.6299999999999998E-5</v>
      </c>
      <c r="L7562" s="9">
        <v>9.7689999999999995E-5</v>
      </c>
      <c r="M7562" s="9">
        <v>1.0999E-4</v>
      </c>
      <c r="N7562" s="9">
        <v>1.0556E-4</v>
      </c>
      <c r="O7562" s="9">
        <v>8.7579999999999998E-5</v>
      </c>
      <c r="P7562" s="9">
        <v>8.7750000000000005E-5</v>
      </c>
      <c r="Q7562" s="9">
        <v>8.8399999999999994E-5</v>
      </c>
      <c r="R7562" s="10">
        <v>2.0327760326797686E-4</v>
      </c>
      <c r="S7562" s="10">
        <v>1.9026737415117726E-4</v>
      </c>
      <c r="T7562" s="10">
        <v>0</v>
      </c>
      <c r="U7562" s="10">
        <v>1.0336E-4</v>
      </c>
      <c r="V7562" s="25"/>
      <c r="W7562" s="25"/>
      <c r="X7562" s="25"/>
      <c r="Y7562" s="25"/>
      <c r="Z7562" s="25"/>
      <c r="AA7562" s="25"/>
    </row>
    <row r="7563" spans="1:27" x14ac:dyDescent="0.35">
      <c r="A7563" s="5">
        <v>7559</v>
      </c>
      <c r="B7563" s="5">
        <v>315</v>
      </c>
      <c r="C7563" s="5">
        <v>11</v>
      </c>
      <c r="D7563" s="25">
        <v>1.1416E-4</v>
      </c>
      <c r="E7563" s="25">
        <v>1.2397999999999999E-4</v>
      </c>
      <c r="F7563" s="25">
        <v>1.0739E-4</v>
      </c>
      <c r="G7563" s="25">
        <v>5.3650000000000003E-5</v>
      </c>
      <c r="H7563" s="25">
        <v>1.3519999999999999E-5</v>
      </c>
      <c r="I7563" s="9">
        <v>1.2578000000000001E-4</v>
      </c>
      <c r="J7563" s="9">
        <v>1.1904E-4</v>
      </c>
      <c r="K7563" s="9">
        <v>8.0539999999999998E-5</v>
      </c>
      <c r="L7563" s="9">
        <v>9.1069999999999994E-5</v>
      </c>
      <c r="M7563" s="9">
        <v>9.8239999999999995E-5</v>
      </c>
      <c r="N7563" s="9">
        <v>9.9779999999999997E-5</v>
      </c>
      <c r="O7563" s="9">
        <v>8.5169999999999999E-5</v>
      </c>
      <c r="P7563" s="9">
        <v>7.5920000000000005E-5</v>
      </c>
      <c r="Q7563" s="9">
        <v>6.7249999999999995E-5</v>
      </c>
      <c r="R7563" s="10">
        <v>2.057169680108462E-4</v>
      </c>
      <c r="S7563" s="10">
        <v>1.9028628278432974E-4</v>
      </c>
      <c r="T7563" s="10">
        <v>0</v>
      </c>
      <c r="U7563" s="10">
        <v>1.0336E-4</v>
      </c>
      <c r="V7563" s="25"/>
      <c r="W7563" s="25"/>
      <c r="X7563" s="25"/>
      <c r="Y7563" s="25"/>
      <c r="Z7563" s="25"/>
      <c r="AA7563" s="25"/>
    </row>
    <row r="7564" spans="1:27" x14ac:dyDescent="0.35">
      <c r="A7564" s="5">
        <v>7560</v>
      </c>
      <c r="B7564" s="5">
        <v>315</v>
      </c>
      <c r="C7564" s="5">
        <v>11</v>
      </c>
      <c r="D7564" s="25">
        <v>1.1415000000000001E-4</v>
      </c>
      <c r="E7564" s="25">
        <v>1.2118E-4</v>
      </c>
      <c r="F7564" s="25">
        <v>1.1242E-4</v>
      </c>
      <c r="G7564" s="25">
        <v>5.8459999999999999E-5</v>
      </c>
      <c r="H7564" s="25">
        <v>1.366E-5</v>
      </c>
      <c r="I7564" s="9">
        <v>1.2486999999999999E-4</v>
      </c>
      <c r="J7564" s="9">
        <v>1.1078000000000001E-4</v>
      </c>
      <c r="K7564" s="9">
        <v>8.6899999999999998E-5</v>
      </c>
      <c r="L7564" s="9">
        <v>8.6689999999999998E-5</v>
      </c>
      <c r="M7564" s="9">
        <v>8.7449999999999998E-5</v>
      </c>
      <c r="N7564" s="9">
        <v>9.0610000000000002E-5</v>
      </c>
      <c r="O7564" s="9">
        <v>7.9809999999999997E-5</v>
      </c>
      <c r="P7564" s="9">
        <v>6.9300000000000004E-5</v>
      </c>
      <c r="Q7564" s="9">
        <v>5.9320000000000001E-5</v>
      </c>
      <c r="R7564" s="10">
        <v>2.066176976493385E-4</v>
      </c>
      <c r="S7564" s="10">
        <v>1.9028767537126778E-4</v>
      </c>
      <c r="T7564" s="10">
        <v>0</v>
      </c>
      <c r="U7564" s="10">
        <v>1.0336E-4</v>
      </c>
      <c r="V7564" s="25"/>
      <c r="W7564" s="25"/>
      <c r="X7564" s="25"/>
      <c r="Y7564" s="25"/>
      <c r="Z7564" s="25"/>
      <c r="AA7564" s="25"/>
    </row>
    <row r="7565" spans="1:27" x14ac:dyDescent="0.35">
      <c r="A7565" s="5">
        <v>7561</v>
      </c>
      <c r="B7565" s="5">
        <v>316</v>
      </c>
      <c r="C7565" s="5">
        <v>11</v>
      </c>
      <c r="D7565" s="25">
        <v>1.1416E-4</v>
      </c>
      <c r="E7565" s="25">
        <v>1.0739999999999999E-4</v>
      </c>
      <c r="F7565" s="25">
        <v>1.0832000000000001E-4</v>
      </c>
      <c r="G7565" s="25">
        <v>5.9559999999999999E-5</v>
      </c>
      <c r="H7565" s="25">
        <v>6.8899999999999994E-5</v>
      </c>
      <c r="I7565" s="9">
        <v>1.1781999999999999E-4</v>
      </c>
      <c r="J7565" s="9">
        <v>1.0399E-4</v>
      </c>
      <c r="K7565" s="9">
        <v>9.3259999999999998E-5</v>
      </c>
      <c r="L7565" s="9">
        <v>8.1100000000000006E-5</v>
      </c>
      <c r="M7565" s="9">
        <v>7.8479999999999994E-5</v>
      </c>
      <c r="N7565" s="9">
        <v>8.1310000000000006E-5</v>
      </c>
      <c r="O7565" s="9">
        <v>5.4039999999999998E-5</v>
      </c>
      <c r="P7565" s="9">
        <v>5.3470000000000001E-5</v>
      </c>
      <c r="Q7565" s="9">
        <v>5.3050000000000002E-5</v>
      </c>
      <c r="R7565" s="10">
        <v>2.0671652637146271E-4</v>
      </c>
      <c r="S7565" s="10">
        <v>1.9028547729196525E-4</v>
      </c>
      <c r="T7565" s="10">
        <v>0</v>
      </c>
      <c r="U7565" s="10">
        <v>1.031E-4</v>
      </c>
      <c r="V7565" s="25"/>
      <c r="W7565" s="25"/>
      <c r="X7565" s="25"/>
      <c r="Y7565" s="25"/>
      <c r="Z7565" s="25"/>
      <c r="AA7565" s="25"/>
    </row>
    <row r="7566" spans="1:27" x14ac:dyDescent="0.35">
      <c r="A7566" s="5">
        <v>7562</v>
      </c>
      <c r="B7566" s="5">
        <v>316</v>
      </c>
      <c r="C7566" s="5">
        <v>11</v>
      </c>
      <c r="D7566" s="25">
        <v>1.1415000000000001E-4</v>
      </c>
      <c r="E7566" s="25">
        <v>1.061E-4</v>
      </c>
      <c r="F7566" s="25">
        <v>1.1811000000000001E-4</v>
      </c>
      <c r="G7566" s="25">
        <v>5.4599999999999999E-5</v>
      </c>
      <c r="H7566" s="25">
        <v>6.9599999999999998E-5</v>
      </c>
      <c r="I7566" s="9">
        <v>1.1168E-4</v>
      </c>
      <c r="J7566" s="9">
        <v>9.9409999999999999E-5</v>
      </c>
      <c r="K7566" s="9">
        <v>9.3259999999999998E-5</v>
      </c>
      <c r="L7566" s="9">
        <v>6.0139999999999997E-5</v>
      </c>
      <c r="M7566" s="9">
        <v>6.737E-5</v>
      </c>
      <c r="N7566" s="9">
        <v>7.2139999999999997E-5</v>
      </c>
      <c r="O7566" s="9">
        <v>1.8700000000000001E-5</v>
      </c>
      <c r="P7566" s="9">
        <v>3.7920000000000003E-5</v>
      </c>
      <c r="Q7566" s="9">
        <v>5.6440000000000002E-5</v>
      </c>
      <c r="R7566" s="10">
        <v>2.0577563189107804E-4</v>
      </c>
      <c r="S7566" s="10">
        <v>1.902743194712535E-4</v>
      </c>
      <c r="T7566" s="10">
        <v>0</v>
      </c>
      <c r="U7566" s="10">
        <v>1.031E-4</v>
      </c>
      <c r="V7566" s="25"/>
      <c r="W7566" s="25"/>
      <c r="X7566" s="25"/>
      <c r="Y7566" s="25"/>
      <c r="Z7566" s="25"/>
      <c r="AA7566" s="25"/>
    </row>
    <row r="7567" spans="1:27" x14ac:dyDescent="0.35">
      <c r="A7567" s="5">
        <v>7563</v>
      </c>
      <c r="B7567" s="5">
        <v>316</v>
      </c>
      <c r="C7567" s="5">
        <v>11</v>
      </c>
      <c r="D7567" s="25">
        <v>1.1416E-4</v>
      </c>
      <c r="E7567" s="25">
        <v>1.1368E-4</v>
      </c>
      <c r="F7567" s="25">
        <v>1.0386E-4</v>
      </c>
      <c r="G7567" s="25">
        <v>5.7949999999999999E-5</v>
      </c>
      <c r="H7567" s="25">
        <v>7.0179999999999996E-5</v>
      </c>
      <c r="I7567" s="9">
        <v>1.0624999999999999E-4</v>
      </c>
      <c r="J7567" s="9">
        <v>9.7159999999999998E-5</v>
      </c>
      <c r="K7567" s="9">
        <v>1.1233E-4</v>
      </c>
      <c r="L7567" s="9">
        <v>2.8390000000000001E-5</v>
      </c>
      <c r="M7567" s="9">
        <v>5.4030000000000003E-5</v>
      </c>
      <c r="N7567" s="9">
        <v>6.5619999999999999E-5</v>
      </c>
      <c r="O7567" s="9">
        <v>1.2989999999999999E-5</v>
      </c>
      <c r="P7567" s="9">
        <v>3.7459999999999997E-5</v>
      </c>
      <c r="Q7567" s="9">
        <v>6.1050000000000007E-5</v>
      </c>
      <c r="R7567" s="10">
        <v>2.0315124851845321E-4</v>
      </c>
      <c r="S7567" s="10">
        <v>1.9018512640302837E-4</v>
      </c>
      <c r="T7567" s="10">
        <v>0</v>
      </c>
      <c r="U7567" s="10">
        <v>1.031E-4</v>
      </c>
      <c r="V7567" s="25"/>
      <c r="W7567" s="25"/>
      <c r="X7567" s="25"/>
      <c r="Y7567" s="25"/>
      <c r="Z7567" s="25"/>
      <c r="AA7567" s="25"/>
    </row>
    <row r="7568" spans="1:27" x14ac:dyDescent="0.35">
      <c r="A7568" s="5">
        <v>7564</v>
      </c>
      <c r="B7568" s="5">
        <v>316</v>
      </c>
      <c r="C7568" s="5">
        <v>11</v>
      </c>
      <c r="D7568" s="25">
        <v>1.1415000000000001E-4</v>
      </c>
      <c r="E7568" s="25">
        <v>1.0891999999999999E-4</v>
      </c>
      <c r="F7568" s="25">
        <v>1.0863E-4</v>
      </c>
      <c r="G7568" s="25">
        <v>6.033E-5</v>
      </c>
      <c r="H7568" s="25">
        <v>7.2940000000000003E-5</v>
      </c>
      <c r="I7568" s="9">
        <v>1.0286E-4</v>
      </c>
      <c r="J7568" s="9">
        <v>9.6059999999999998E-5</v>
      </c>
      <c r="K7568" s="9">
        <v>1.1868E-4</v>
      </c>
      <c r="L7568" s="9">
        <v>1.7240000000000001E-5</v>
      </c>
      <c r="M7568" s="9">
        <v>4.4860000000000001E-5</v>
      </c>
      <c r="N7568" s="9">
        <v>6.1890000000000005E-5</v>
      </c>
      <c r="O7568" s="9">
        <v>1.307E-5</v>
      </c>
      <c r="P7568" s="9">
        <v>4.7089999999999998E-5</v>
      </c>
      <c r="Q7568" s="9">
        <v>8.0090000000000001E-5</v>
      </c>
      <c r="R7568" s="10">
        <v>2.0141180805287263E-4</v>
      </c>
      <c r="S7568" s="10">
        <v>1.9010871659613435E-4</v>
      </c>
      <c r="T7568" s="10">
        <v>0</v>
      </c>
      <c r="U7568" s="10">
        <v>1.031E-4</v>
      </c>
      <c r="V7568" s="25"/>
      <c r="W7568" s="25"/>
      <c r="X7568" s="25"/>
      <c r="Y7568" s="25"/>
      <c r="Z7568" s="25"/>
      <c r="AA7568" s="25"/>
    </row>
    <row r="7569" spans="1:27" x14ac:dyDescent="0.35">
      <c r="A7569" s="5">
        <v>7565</v>
      </c>
      <c r="B7569" s="5">
        <v>316</v>
      </c>
      <c r="C7569" s="5">
        <v>11</v>
      </c>
      <c r="D7569" s="25">
        <v>1.1416E-4</v>
      </c>
      <c r="E7569" s="25">
        <v>1.0788E-4</v>
      </c>
      <c r="F7569" s="25">
        <v>1.0603E-4</v>
      </c>
      <c r="G7569" s="25">
        <v>6.3120000000000006E-5</v>
      </c>
      <c r="H7569" s="25">
        <v>6.5549999999999994E-5</v>
      </c>
      <c r="I7569" s="9">
        <v>1.02E-4</v>
      </c>
      <c r="J7569" s="9">
        <v>9.6669999999999994E-5</v>
      </c>
      <c r="K7569" s="9">
        <v>1.1868E-4</v>
      </c>
      <c r="L7569" s="9">
        <v>1.416E-5</v>
      </c>
      <c r="M7569" s="9">
        <v>4.3630000000000001E-5</v>
      </c>
      <c r="N7569" s="9">
        <v>6.4339999999999997E-5</v>
      </c>
      <c r="O7569" s="9">
        <v>1.878E-5</v>
      </c>
      <c r="P7569" s="9">
        <v>5.711E-5</v>
      </c>
      <c r="Q7569" s="9">
        <v>9.4430000000000002E-5</v>
      </c>
      <c r="R7569" s="10">
        <v>2.0095276238914721E-4</v>
      </c>
      <c r="S7569" s="10">
        <v>1.8858175017436799E-4</v>
      </c>
      <c r="T7569" s="10">
        <v>0</v>
      </c>
      <c r="U7569" s="10">
        <v>1.031E-4</v>
      </c>
      <c r="V7569" s="25"/>
      <c r="W7569" s="25"/>
      <c r="X7569" s="25"/>
      <c r="Y7569" s="25"/>
      <c r="Z7569" s="25"/>
      <c r="AA7569" s="25"/>
    </row>
    <row r="7570" spans="1:27" x14ac:dyDescent="0.35">
      <c r="A7570" s="5">
        <v>7566</v>
      </c>
      <c r="B7570" s="5">
        <v>316</v>
      </c>
      <c r="C7570" s="5">
        <v>11</v>
      </c>
      <c r="D7570" s="25">
        <v>1.1415000000000001E-4</v>
      </c>
      <c r="E7570" s="25">
        <v>1.1088E-4</v>
      </c>
      <c r="F7570" s="25">
        <v>1.0442000000000001E-4</v>
      </c>
      <c r="G7570" s="25">
        <v>1.1087E-4</v>
      </c>
      <c r="H7570" s="25">
        <v>1.2637E-4</v>
      </c>
      <c r="I7570" s="9">
        <v>1.0228E-4</v>
      </c>
      <c r="J7570" s="9">
        <v>1.0094000000000001E-4</v>
      </c>
      <c r="K7570" s="9">
        <v>1.2292999999999999E-4</v>
      </c>
      <c r="L7570" s="9">
        <v>1.7629999999999999E-5</v>
      </c>
      <c r="M7570" s="9">
        <v>4.8550000000000001E-5</v>
      </c>
      <c r="N7570" s="9">
        <v>7.1050000000000006E-5</v>
      </c>
      <c r="O7570" s="9">
        <v>4.613E-5</v>
      </c>
      <c r="P7570" s="9">
        <v>7.6689999999999999E-5</v>
      </c>
      <c r="Q7570" s="9">
        <v>1.0679E-4</v>
      </c>
      <c r="R7570" s="10">
        <v>1.8823997984815336E-4</v>
      </c>
      <c r="S7570" s="10">
        <v>1.8619870825413668E-4</v>
      </c>
      <c r="T7570" s="10">
        <v>0</v>
      </c>
      <c r="U7570" s="10">
        <v>1.031E-4</v>
      </c>
      <c r="V7570" s="25"/>
      <c r="W7570" s="25"/>
      <c r="X7570" s="25"/>
      <c r="Y7570" s="25"/>
      <c r="Z7570" s="25"/>
      <c r="AA7570" s="25"/>
    </row>
    <row r="7571" spans="1:27" x14ac:dyDescent="0.35">
      <c r="A7571" s="5">
        <v>7567</v>
      </c>
      <c r="B7571" s="5">
        <v>316</v>
      </c>
      <c r="C7571" s="5">
        <v>11</v>
      </c>
      <c r="D7571" s="25">
        <v>1.1416E-4</v>
      </c>
      <c r="E7571" s="25">
        <v>1.0907E-4</v>
      </c>
      <c r="F7571" s="25">
        <v>1.2302999999999999E-4</v>
      </c>
      <c r="G7571" s="25">
        <v>1.0566E-4</v>
      </c>
      <c r="H7571" s="25">
        <v>1.2962999999999999E-4</v>
      </c>
      <c r="I7571" s="9">
        <v>1.0594000000000001E-4</v>
      </c>
      <c r="J7571" s="9">
        <v>1.1315E-4</v>
      </c>
      <c r="K7571" s="9">
        <v>1.2716E-4</v>
      </c>
      <c r="L7571" s="9">
        <v>3.9709999999999998E-5</v>
      </c>
      <c r="M7571" s="9">
        <v>6.0069999999999999E-5</v>
      </c>
      <c r="N7571" s="9">
        <v>8.072E-5</v>
      </c>
      <c r="O7571" s="9">
        <v>1.2389000000000001E-4</v>
      </c>
      <c r="P7571" s="9">
        <v>1.1763E-4</v>
      </c>
      <c r="Q7571" s="9">
        <v>1.1268E-4</v>
      </c>
      <c r="R7571" s="10">
        <v>1.8223431504870306E-4</v>
      </c>
      <c r="S7571" s="10">
        <v>1.8363402953239257E-4</v>
      </c>
      <c r="T7571" s="10">
        <v>0</v>
      </c>
      <c r="U7571" s="10">
        <v>1.031E-4</v>
      </c>
      <c r="V7571" s="25"/>
      <c r="W7571" s="25"/>
      <c r="X7571" s="25"/>
      <c r="Y7571" s="25"/>
      <c r="Z7571" s="25"/>
      <c r="AA7571" s="25"/>
    </row>
    <row r="7572" spans="1:27" x14ac:dyDescent="0.35">
      <c r="A7572" s="5">
        <v>7568</v>
      </c>
      <c r="B7572" s="5">
        <v>316</v>
      </c>
      <c r="C7572" s="5">
        <v>11</v>
      </c>
      <c r="D7572" s="25">
        <v>1.1415000000000001E-4</v>
      </c>
      <c r="E7572" s="25">
        <v>1.1242E-4</v>
      </c>
      <c r="F7572" s="25">
        <v>1.1569999999999999E-4</v>
      </c>
      <c r="G7572" s="25">
        <v>1.6200000000000001E-4</v>
      </c>
      <c r="H7572" s="25">
        <v>1.9173000000000001E-4</v>
      </c>
      <c r="I7572" s="9">
        <v>1.0691E-4</v>
      </c>
      <c r="J7572" s="9">
        <v>1.3082E-4</v>
      </c>
      <c r="K7572" s="9">
        <v>1.2292E-4</v>
      </c>
      <c r="L7572" s="9">
        <v>1.0476000000000001E-4</v>
      </c>
      <c r="M7572" s="9">
        <v>8.3780000000000001E-5</v>
      </c>
      <c r="N7572" s="9">
        <v>9.0870000000000002E-5</v>
      </c>
      <c r="O7572" s="9">
        <v>2.1934999999999999E-4</v>
      </c>
      <c r="P7572" s="9">
        <v>1.7595999999999999E-4</v>
      </c>
      <c r="Q7572" s="9">
        <v>1.3593000000000001E-4</v>
      </c>
      <c r="R7572" s="10">
        <v>1.8264184193513697E-4</v>
      </c>
      <c r="S7572" s="10">
        <v>1.8027906507424584E-4</v>
      </c>
      <c r="T7572" s="10">
        <v>0</v>
      </c>
      <c r="U7572" s="10">
        <v>1.031E-4</v>
      </c>
      <c r="V7572" s="25"/>
      <c r="W7572" s="25"/>
      <c r="X7572" s="25"/>
      <c r="Y7572" s="25"/>
      <c r="Z7572" s="25"/>
      <c r="AA7572" s="25"/>
    </row>
    <row r="7573" spans="1:27" x14ac:dyDescent="0.35">
      <c r="A7573" s="5">
        <v>7569</v>
      </c>
      <c r="B7573" s="5">
        <v>316</v>
      </c>
      <c r="C7573" s="5">
        <v>11</v>
      </c>
      <c r="D7573" s="25">
        <v>1.1416E-4</v>
      </c>
      <c r="E7573" s="25">
        <v>1.0488E-4</v>
      </c>
      <c r="F7573" s="25">
        <v>1.0333E-4</v>
      </c>
      <c r="G7573" s="25">
        <v>1.6228999999999999E-4</v>
      </c>
      <c r="H7573" s="25">
        <v>1.9872999999999999E-4</v>
      </c>
      <c r="I7573" s="9">
        <v>1.0925999999999999E-4</v>
      </c>
      <c r="J7573" s="9">
        <v>1.4022000000000001E-4</v>
      </c>
      <c r="K7573" s="9">
        <v>1.1869E-4</v>
      </c>
      <c r="L7573" s="9">
        <v>1.9236000000000001E-4</v>
      </c>
      <c r="M7573" s="9">
        <v>1.2308999999999999E-4</v>
      </c>
      <c r="N7573" s="9">
        <v>1.0446E-4</v>
      </c>
      <c r="O7573" s="9">
        <v>2.1295E-4</v>
      </c>
      <c r="P7573" s="9">
        <v>1.9375999999999999E-4</v>
      </c>
      <c r="Q7573" s="9">
        <v>1.7745E-4</v>
      </c>
      <c r="R7573" s="10">
        <v>1.7939514214063219E-4</v>
      </c>
      <c r="S7573" s="10">
        <v>1.776930549993233E-4</v>
      </c>
      <c r="T7573" s="10">
        <v>5.8142903446526676E-5</v>
      </c>
      <c r="U7573" s="10">
        <v>1.031E-4</v>
      </c>
      <c r="V7573" s="25"/>
      <c r="W7573" s="25"/>
      <c r="X7573" s="25"/>
      <c r="Y7573" s="25"/>
      <c r="Z7573" s="25"/>
      <c r="AA7573" s="25"/>
    </row>
    <row r="7574" spans="1:27" x14ac:dyDescent="0.35">
      <c r="A7574" s="5">
        <v>7570</v>
      </c>
      <c r="B7574" s="5">
        <v>316</v>
      </c>
      <c r="C7574" s="5">
        <v>11</v>
      </c>
      <c r="D7574" s="25">
        <v>1.1415000000000001E-4</v>
      </c>
      <c r="E7574" s="25">
        <v>1.0794999999999999E-4</v>
      </c>
      <c r="F7574" s="25">
        <v>1.1444E-4</v>
      </c>
      <c r="G7574" s="25">
        <v>1.6642E-4</v>
      </c>
      <c r="H7574" s="25">
        <v>2.0028999999999999E-4</v>
      </c>
      <c r="I7574" s="9">
        <v>1.1349E-4</v>
      </c>
      <c r="J7574" s="9">
        <v>1.4389000000000001E-4</v>
      </c>
      <c r="K7574" s="9">
        <v>1.1657E-4</v>
      </c>
      <c r="L7574" s="9">
        <v>2.0612000000000001E-4</v>
      </c>
      <c r="M7574" s="9">
        <v>1.5849000000000001E-4</v>
      </c>
      <c r="N7574" s="9">
        <v>1.2460999999999999E-4</v>
      </c>
      <c r="O7574" s="9">
        <v>1.6689999999999999E-4</v>
      </c>
      <c r="P7574" s="9">
        <v>1.7307999999999999E-4</v>
      </c>
      <c r="Q7574" s="9">
        <v>1.8103999999999999E-4</v>
      </c>
      <c r="R7574" s="10">
        <v>1.6614083314372917E-4</v>
      </c>
      <c r="S7574" s="10">
        <v>1.7201337774292323E-4</v>
      </c>
      <c r="T7574" s="10">
        <v>1.5653532301012943E-4</v>
      </c>
      <c r="U7574" s="10">
        <v>1.031E-4</v>
      </c>
      <c r="V7574" s="25"/>
      <c r="W7574" s="25"/>
      <c r="X7574" s="25"/>
      <c r="Y7574" s="25"/>
      <c r="Z7574" s="25"/>
      <c r="AA7574" s="25"/>
    </row>
    <row r="7575" spans="1:27" x14ac:dyDescent="0.35">
      <c r="A7575" s="5">
        <v>7571</v>
      </c>
      <c r="B7575" s="5">
        <v>316</v>
      </c>
      <c r="C7575" s="5">
        <v>11</v>
      </c>
      <c r="D7575" s="25">
        <v>1.1416E-4</v>
      </c>
      <c r="E7575" s="25">
        <v>1.0395000000000001E-4</v>
      </c>
      <c r="F7575" s="25">
        <v>1.0198E-4</v>
      </c>
      <c r="G7575" s="25">
        <v>1.6019999999999999E-4</v>
      </c>
      <c r="H7575" s="25">
        <v>1.9120000000000001E-4</v>
      </c>
      <c r="I7575" s="9">
        <v>1.1705E-4</v>
      </c>
      <c r="J7575" s="9">
        <v>1.4286E-4</v>
      </c>
      <c r="K7575" s="9">
        <v>1.1444E-4</v>
      </c>
      <c r="L7575" s="9">
        <v>1.7557E-4</v>
      </c>
      <c r="M7575" s="9">
        <v>1.7196E-4</v>
      </c>
      <c r="N7575" s="9">
        <v>1.4244E-4</v>
      </c>
      <c r="O7575" s="9">
        <v>1.6871E-4</v>
      </c>
      <c r="P7575" s="9">
        <v>1.7359999999999999E-4</v>
      </c>
      <c r="Q7575" s="9">
        <v>1.8031000000000001E-4</v>
      </c>
      <c r="R7575" s="10">
        <v>1.3514290192446278E-4</v>
      </c>
      <c r="S7575" s="10">
        <v>1.6791170520919239E-4</v>
      </c>
      <c r="T7575" s="10">
        <v>2.9124902809169232E-4</v>
      </c>
      <c r="U7575" s="10">
        <v>1.031E-4</v>
      </c>
      <c r="V7575" s="25"/>
      <c r="W7575" s="25"/>
      <c r="X7575" s="25"/>
      <c r="Y7575" s="25"/>
      <c r="Z7575" s="25"/>
      <c r="AA7575" s="25"/>
    </row>
    <row r="7576" spans="1:27" x14ac:dyDescent="0.35">
      <c r="A7576" s="5">
        <v>7572</v>
      </c>
      <c r="B7576" s="5">
        <v>316</v>
      </c>
      <c r="C7576" s="5">
        <v>11</v>
      </c>
      <c r="D7576" s="25">
        <v>1.1415000000000001E-4</v>
      </c>
      <c r="E7576" s="25">
        <v>1.0682E-4</v>
      </c>
      <c r="F7576" s="25">
        <v>1.1409E-4</v>
      </c>
      <c r="G7576" s="25">
        <v>1.6515E-4</v>
      </c>
      <c r="H7576" s="25">
        <v>1.8950999999999999E-4</v>
      </c>
      <c r="I7576" s="9">
        <v>1.2006999999999999E-4</v>
      </c>
      <c r="J7576" s="9">
        <v>1.4134999999999999E-4</v>
      </c>
      <c r="K7576" s="9">
        <v>1.0808E-4</v>
      </c>
      <c r="L7576" s="9">
        <v>1.7165999999999999E-4</v>
      </c>
      <c r="M7576" s="9">
        <v>1.7479999999999999E-4</v>
      </c>
      <c r="N7576" s="9">
        <v>1.5671000000000001E-4</v>
      </c>
      <c r="O7576" s="9">
        <v>1.7150999999999999E-4</v>
      </c>
      <c r="P7576" s="9">
        <v>1.7226000000000001E-4</v>
      </c>
      <c r="Q7576" s="9">
        <v>1.7495E-4</v>
      </c>
      <c r="R7576" s="10">
        <v>9.2311248357866463E-5</v>
      </c>
      <c r="S7576" s="10">
        <v>1.3823846275688912E-4</v>
      </c>
      <c r="T7576" s="10">
        <v>8.5996858213044556E-5</v>
      </c>
      <c r="U7576" s="10">
        <v>1.031E-4</v>
      </c>
      <c r="V7576" s="25"/>
      <c r="W7576" s="25"/>
      <c r="X7576" s="25"/>
      <c r="Y7576" s="25"/>
      <c r="Z7576" s="25"/>
      <c r="AA7576" s="25"/>
    </row>
    <row r="7577" spans="1:27" x14ac:dyDescent="0.35">
      <c r="A7577" s="5">
        <v>7573</v>
      </c>
      <c r="B7577" s="5">
        <v>316</v>
      </c>
      <c r="C7577" s="5">
        <v>11</v>
      </c>
      <c r="D7577" s="25">
        <v>1.1416E-4</v>
      </c>
      <c r="E7577" s="25">
        <v>1.1446999999999999E-4</v>
      </c>
      <c r="F7577" s="25">
        <v>1.1237E-4</v>
      </c>
      <c r="G7577" s="25">
        <v>1.6184000000000001E-4</v>
      </c>
      <c r="H7577" s="25">
        <v>1.9283000000000001E-4</v>
      </c>
      <c r="I7577" s="9">
        <v>1.2149E-4</v>
      </c>
      <c r="J7577" s="9">
        <v>1.3862E-4</v>
      </c>
      <c r="K7577" s="9">
        <v>9.5370000000000003E-5</v>
      </c>
      <c r="L7577" s="9">
        <v>1.7169E-4</v>
      </c>
      <c r="M7577" s="9">
        <v>1.7414000000000001E-4</v>
      </c>
      <c r="N7577" s="9">
        <v>1.6636E-4</v>
      </c>
      <c r="O7577" s="9">
        <v>1.6121000000000001E-4</v>
      </c>
      <c r="P7577" s="9">
        <v>1.6281999999999999E-4</v>
      </c>
      <c r="Q7577" s="9">
        <v>1.662E-4</v>
      </c>
      <c r="R7577" s="10">
        <v>8.8329600684659119E-5</v>
      </c>
      <c r="S7577" s="10">
        <v>1.129207648768928E-4</v>
      </c>
      <c r="T7577" s="10">
        <v>1.342216157192546E-4</v>
      </c>
      <c r="U7577" s="10">
        <v>1.031E-4</v>
      </c>
      <c r="V7577" s="25"/>
      <c r="W7577" s="25"/>
      <c r="X7577" s="25"/>
      <c r="Y7577" s="25"/>
      <c r="Z7577" s="25"/>
      <c r="AA7577" s="25"/>
    </row>
    <row r="7578" spans="1:27" x14ac:dyDescent="0.35">
      <c r="A7578" s="5">
        <v>7574</v>
      </c>
      <c r="B7578" s="5">
        <v>316</v>
      </c>
      <c r="C7578" s="5">
        <v>11</v>
      </c>
      <c r="D7578" s="25">
        <v>1.1415000000000001E-4</v>
      </c>
      <c r="E7578" s="25">
        <v>1.1133000000000001E-4</v>
      </c>
      <c r="F7578" s="25">
        <v>1.1721E-4</v>
      </c>
      <c r="G7578" s="25">
        <v>1.6110000000000001E-4</v>
      </c>
      <c r="H7578" s="25">
        <v>1.9180999999999999E-4</v>
      </c>
      <c r="I7578" s="9">
        <v>1.176E-4</v>
      </c>
      <c r="J7578" s="9">
        <v>1.3807000000000001E-4</v>
      </c>
      <c r="K7578" s="9">
        <v>9.9610000000000003E-5</v>
      </c>
      <c r="L7578" s="9">
        <v>1.6325000000000001E-4</v>
      </c>
      <c r="M7578" s="9">
        <v>1.6986E-4</v>
      </c>
      <c r="N7578" s="9">
        <v>1.7042000000000001E-4</v>
      </c>
      <c r="O7578" s="9">
        <v>1.8008E-4</v>
      </c>
      <c r="P7578" s="9">
        <v>1.6977E-4</v>
      </c>
      <c r="Q7578" s="9">
        <v>1.617E-4</v>
      </c>
      <c r="R7578" s="10">
        <v>7.3778091119468129E-5</v>
      </c>
      <c r="S7578" s="10">
        <v>1.1207631237164724E-4</v>
      </c>
      <c r="T7578" s="10">
        <v>3.3206699226522794E-4</v>
      </c>
      <c r="U7578" s="10">
        <v>1.031E-4</v>
      </c>
      <c r="V7578" s="25"/>
      <c r="W7578" s="25"/>
      <c r="X7578" s="25"/>
      <c r="Y7578" s="25"/>
      <c r="Z7578" s="25"/>
      <c r="AA7578" s="25"/>
    </row>
    <row r="7579" spans="1:27" x14ac:dyDescent="0.35">
      <c r="A7579" s="5">
        <v>7575</v>
      </c>
      <c r="B7579" s="5">
        <v>316</v>
      </c>
      <c r="C7579" s="5">
        <v>11</v>
      </c>
      <c r="D7579" s="25">
        <v>1.1416E-4</v>
      </c>
      <c r="E7579" s="25">
        <v>1.0402E-4</v>
      </c>
      <c r="F7579" s="25">
        <v>1.1744E-4</v>
      </c>
      <c r="G7579" s="25">
        <v>1.6567E-4</v>
      </c>
      <c r="H7579" s="25">
        <v>1.9052000000000001E-4</v>
      </c>
      <c r="I7579" s="9">
        <v>1.1510000000000001E-4</v>
      </c>
      <c r="J7579" s="9">
        <v>1.3803E-4</v>
      </c>
      <c r="K7579" s="9">
        <v>1.0597E-4</v>
      </c>
      <c r="L7579" s="9">
        <v>1.7660000000000001E-4</v>
      </c>
      <c r="M7579" s="9">
        <v>1.6860000000000001E-4</v>
      </c>
      <c r="N7579" s="9">
        <v>1.7013999999999999E-4</v>
      </c>
      <c r="O7579" s="9">
        <v>1.8421E-4</v>
      </c>
      <c r="P7579" s="9">
        <v>1.6712000000000001E-4</v>
      </c>
      <c r="Q7579" s="9">
        <v>1.5243E-4</v>
      </c>
      <c r="R7579" s="10">
        <v>7.0930486971755726E-5</v>
      </c>
      <c r="S7579" s="10">
        <v>1.2871010773263854E-4</v>
      </c>
      <c r="T7579" s="10">
        <v>3.0071750616645135E-4</v>
      </c>
      <c r="U7579" s="10">
        <v>1.031E-4</v>
      </c>
      <c r="V7579" s="25"/>
      <c r="W7579" s="25"/>
      <c r="X7579" s="25"/>
      <c r="Y7579" s="25"/>
      <c r="Z7579" s="25"/>
      <c r="AA7579" s="25"/>
    </row>
    <row r="7580" spans="1:27" x14ac:dyDescent="0.35">
      <c r="A7580" s="5">
        <v>7576</v>
      </c>
      <c r="B7580" s="5">
        <v>316</v>
      </c>
      <c r="C7580" s="5">
        <v>11</v>
      </c>
      <c r="D7580" s="25">
        <v>1.1415000000000001E-4</v>
      </c>
      <c r="E7580" s="25">
        <v>1.0791E-4</v>
      </c>
      <c r="F7580" s="25">
        <v>1.1523000000000001E-4</v>
      </c>
      <c r="G7580" s="25">
        <v>1.6068000000000001E-4</v>
      </c>
      <c r="H7580" s="25">
        <v>1.9389E-4</v>
      </c>
      <c r="I7580" s="9">
        <v>1.1352E-4</v>
      </c>
      <c r="J7580" s="9">
        <v>1.3881000000000001E-4</v>
      </c>
      <c r="K7580" s="9">
        <v>1.208E-4</v>
      </c>
      <c r="L7580" s="9">
        <v>1.8218999999999999E-4</v>
      </c>
      <c r="M7580" s="9">
        <v>1.6783999999999999E-4</v>
      </c>
      <c r="N7580" s="9">
        <v>1.6624000000000001E-4</v>
      </c>
      <c r="O7580" s="9">
        <v>1.9635E-4</v>
      </c>
      <c r="P7580" s="9">
        <v>1.5101000000000001E-4</v>
      </c>
      <c r="Q7580" s="9">
        <v>1.0872E-4</v>
      </c>
      <c r="R7580" s="10">
        <v>8.2232557980055004E-5</v>
      </c>
      <c r="S7580" s="10">
        <v>1.539615597786991E-4</v>
      </c>
      <c r="T7580" s="10">
        <v>1.0999045677524757E-4</v>
      </c>
      <c r="U7580" s="10">
        <v>1.031E-4</v>
      </c>
      <c r="V7580" s="25"/>
      <c r="W7580" s="25"/>
      <c r="X7580" s="25"/>
      <c r="Y7580" s="25"/>
      <c r="Z7580" s="25"/>
      <c r="AA7580" s="25"/>
    </row>
    <row r="7581" spans="1:27" x14ac:dyDescent="0.35">
      <c r="A7581" s="5">
        <v>7577</v>
      </c>
      <c r="B7581" s="5">
        <v>316</v>
      </c>
      <c r="C7581" s="5">
        <v>11</v>
      </c>
      <c r="D7581" s="25">
        <v>1.1416E-4</v>
      </c>
      <c r="E7581" s="25">
        <v>1.0768E-4</v>
      </c>
      <c r="F7581" s="25">
        <v>1.1881E-4</v>
      </c>
      <c r="G7581" s="25">
        <v>1.6101000000000001E-4</v>
      </c>
      <c r="H7581" s="25">
        <v>1.9452E-4</v>
      </c>
      <c r="I7581" s="9">
        <v>1.1558E-4</v>
      </c>
      <c r="J7581" s="9">
        <v>1.4158000000000001E-4</v>
      </c>
      <c r="K7581" s="9">
        <v>1.2716E-4</v>
      </c>
      <c r="L7581" s="9">
        <v>1.9301E-4</v>
      </c>
      <c r="M7581" s="9">
        <v>1.617E-4</v>
      </c>
      <c r="N7581" s="9">
        <v>1.5226000000000001E-4</v>
      </c>
      <c r="O7581" s="9">
        <v>2.1545000000000001E-4</v>
      </c>
      <c r="P7581" s="9">
        <v>1.5967999999999999E-4</v>
      </c>
      <c r="Q7581" s="9">
        <v>1.0741E-4</v>
      </c>
      <c r="R7581" s="10">
        <v>8.4299700719508527E-5</v>
      </c>
      <c r="S7581" s="10">
        <v>1.7132582065021887E-4</v>
      </c>
      <c r="T7581" s="10">
        <v>0</v>
      </c>
      <c r="U7581" s="10">
        <v>1.031E-4</v>
      </c>
      <c r="V7581" s="25"/>
      <c r="W7581" s="25"/>
      <c r="X7581" s="25"/>
      <c r="Y7581" s="25"/>
      <c r="Z7581" s="25"/>
      <c r="AA7581" s="25"/>
    </row>
    <row r="7582" spans="1:27" x14ac:dyDescent="0.35">
      <c r="A7582" s="5">
        <v>7578</v>
      </c>
      <c r="B7582" s="5">
        <v>316</v>
      </c>
      <c r="C7582" s="5">
        <v>11</v>
      </c>
      <c r="D7582" s="25">
        <v>1.1415000000000001E-4</v>
      </c>
      <c r="E7582" s="25">
        <v>1.0565000000000001E-4</v>
      </c>
      <c r="F7582" s="25">
        <v>1.1992E-4</v>
      </c>
      <c r="G7582" s="25">
        <v>1.5996000000000001E-4</v>
      </c>
      <c r="H7582" s="25">
        <v>1.9971999999999999E-4</v>
      </c>
      <c r="I7582" s="9">
        <v>1.2409000000000001E-4</v>
      </c>
      <c r="J7582" s="9">
        <v>1.5011000000000001E-4</v>
      </c>
      <c r="K7582" s="9">
        <v>1.2928000000000001E-4</v>
      </c>
      <c r="L7582" s="9">
        <v>2.1032000000000001E-4</v>
      </c>
      <c r="M7582" s="9">
        <v>1.5925999999999999E-4</v>
      </c>
      <c r="N7582" s="9">
        <v>1.3896000000000001E-4</v>
      </c>
      <c r="O7582" s="9">
        <v>2.0500999999999999E-4</v>
      </c>
      <c r="P7582" s="9">
        <v>1.5938000000000001E-4</v>
      </c>
      <c r="Q7582" s="9">
        <v>1.1692999999999999E-4</v>
      </c>
      <c r="R7582" s="10">
        <v>1.0810397760230483E-4</v>
      </c>
      <c r="S7582" s="10">
        <v>1.8439658604047269E-4</v>
      </c>
      <c r="T7582" s="10">
        <v>0</v>
      </c>
      <c r="U7582" s="10">
        <v>1.031E-4</v>
      </c>
      <c r="V7582" s="25"/>
      <c r="W7582" s="25"/>
      <c r="X7582" s="25"/>
      <c r="Y7582" s="25"/>
      <c r="Z7582" s="25"/>
      <c r="AA7582" s="25"/>
    </row>
    <row r="7583" spans="1:27" x14ac:dyDescent="0.35">
      <c r="A7583" s="5">
        <v>7579</v>
      </c>
      <c r="B7583" s="5">
        <v>316</v>
      </c>
      <c r="C7583" s="5">
        <v>11</v>
      </c>
      <c r="D7583" s="25">
        <v>1.1416E-4</v>
      </c>
      <c r="E7583" s="25">
        <v>1.1131E-4</v>
      </c>
      <c r="F7583" s="25">
        <v>1.1013E-4</v>
      </c>
      <c r="G7583" s="25">
        <v>1.0577E-4</v>
      </c>
      <c r="H7583" s="25">
        <v>1.3525000000000001E-4</v>
      </c>
      <c r="I7583" s="9">
        <v>1.2713000000000001E-4</v>
      </c>
      <c r="J7583" s="9">
        <v>1.4568E-4</v>
      </c>
      <c r="K7583" s="9">
        <v>1.2716E-4</v>
      </c>
      <c r="L7583" s="9">
        <v>2.0573E-4</v>
      </c>
      <c r="M7583" s="9">
        <v>1.5886000000000001E-4</v>
      </c>
      <c r="N7583" s="9">
        <v>1.2976E-4</v>
      </c>
      <c r="O7583" s="9">
        <v>1.6358E-4</v>
      </c>
      <c r="P7583" s="9">
        <v>1.337E-4</v>
      </c>
      <c r="Q7583" s="9">
        <v>1.0611999999999999E-4</v>
      </c>
      <c r="R7583" s="10">
        <v>1.4407874776773872E-4</v>
      </c>
      <c r="S7583" s="10">
        <v>1.8982754983516817E-4</v>
      </c>
      <c r="T7583" s="10">
        <v>0</v>
      </c>
      <c r="U7583" s="10">
        <v>1.031E-4</v>
      </c>
      <c r="V7583" s="25"/>
      <c r="W7583" s="25"/>
      <c r="X7583" s="25"/>
      <c r="Y7583" s="25"/>
      <c r="Z7583" s="25"/>
      <c r="AA7583" s="25"/>
    </row>
    <row r="7584" spans="1:27" x14ac:dyDescent="0.35">
      <c r="A7584" s="5">
        <v>7580</v>
      </c>
      <c r="B7584" s="5">
        <v>316</v>
      </c>
      <c r="C7584" s="5">
        <v>11</v>
      </c>
      <c r="D7584" s="25">
        <v>1.1415000000000001E-4</v>
      </c>
      <c r="E7584" s="25">
        <v>1.0467999999999999E-4</v>
      </c>
      <c r="F7584" s="25">
        <v>1.1192E-4</v>
      </c>
      <c r="G7584" s="25">
        <v>1.1548E-4</v>
      </c>
      <c r="H7584" s="25">
        <v>1.3872999999999999E-4</v>
      </c>
      <c r="I7584" s="9">
        <v>1.2455999999999999E-4</v>
      </c>
      <c r="J7584" s="9">
        <v>1.4007000000000001E-4</v>
      </c>
      <c r="K7584" s="9">
        <v>1.2716E-4</v>
      </c>
      <c r="L7584" s="9">
        <v>1.7304000000000001E-4</v>
      </c>
      <c r="M7584" s="9">
        <v>1.4986000000000001E-4</v>
      </c>
      <c r="N7584" s="9">
        <v>1.2043E-4</v>
      </c>
      <c r="O7584" s="9">
        <v>1.2956E-4</v>
      </c>
      <c r="P7584" s="9">
        <v>1.1504E-4</v>
      </c>
      <c r="Q7584" s="9">
        <v>1.0205E-4</v>
      </c>
      <c r="R7584" s="10">
        <v>1.7075147284021749E-4</v>
      </c>
      <c r="S7584" s="10">
        <v>1.9025082540079479E-4</v>
      </c>
      <c r="T7584" s="10">
        <v>0</v>
      </c>
      <c r="U7584" s="10">
        <v>1.031E-4</v>
      </c>
      <c r="V7584" s="25"/>
      <c r="W7584" s="25"/>
      <c r="X7584" s="25"/>
      <c r="Y7584" s="25"/>
      <c r="Z7584" s="25"/>
      <c r="AA7584" s="25"/>
    </row>
    <row r="7585" spans="1:27" x14ac:dyDescent="0.35">
      <c r="A7585" s="5">
        <v>7581</v>
      </c>
      <c r="B7585" s="5">
        <v>316</v>
      </c>
      <c r="C7585" s="5">
        <v>11</v>
      </c>
      <c r="D7585" s="25">
        <v>1.1416E-4</v>
      </c>
      <c r="E7585" s="25">
        <v>1.1093E-4</v>
      </c>
      <c r="F7585" s="25">
        <v>1.0608E-4</v>
      </c>
      <c r="G7585" s="25">
        <v>5.4830000000000002E-5</v>
      </c>
      <c r="H7585" s="25">
        <v>7.2860000000000004E-5</v>
      </c>
      <c r="I7585" s="9">
        <v>1.2108999999999999E-4</v>
      </c>
      <c r="J7585" s="9">
        <v>1.3349E-4</v>
      </c>
      <c r="K7585" s="9">
        <v>1.3987E-4</v>
      </c>
      <c r="L7585" s="9">
        <v>1.4014999999999999E-4</v>
      </c>
      <c r="M7585" s="9">
        <v>1.3479E-4</v>
      </c>
      <c r="N7585" s="9">
        <v>1.1285000000000001E-4</v>
      </c>
      <c r="O7585" s="9">
        <v>8.5229999999999995E-5</v>
      </c>
      <c r="P7585" s="9">
        <v>8.6639999999999997E-5</v>
      </c>
      <c r="Q7585" s="9">
        <v>8.8640000000000005E-5</v>
      </c>
      <c r="R7585" s="10">
        <v>1.8074787807631197E-4</v>
      </c>
      <c r="S7585" s="10">
        <v>1.9028629653594021E-4</v>
      </c>
      <c r="T7585" s="10">
        <v>0</v>
      </c>
      <c r="U7585" s="10">
        <v>1.031E-4</v>
      </c>
      <c r="V7585" s="25"/>
      <c r="W7585" s="25"/>
      <c r="X7585" s="25"/>
      <c r="Y7585" s="25"/>
      <c r="Z7585" s="25"/>
      <c r="AA7585" s="25"/>
    </row>
    <row r="7586" spans="1:27" x14ac:dyDescent="0.35">
      <c r="A7586" s="5">
        <v>7582</v>
      </c>
      <c r="B7586" s="5">
        <v>316</v>
      </c>
      <c r="C7586" s="5">
        <v>11</v>
      </c>
      <c r="D7586" s="25">
        <v>1.1415000000000001E-4</v>
      </c>
      <c r="E7586" s="25">
        <v>1.0665E-4</v>
      </c>
      <c r="F7586" s="25">
        <v>1.0925E-4</v>
      </c>
      <c r="G7586" s="25">
        <v>6.2420000000000002E-5</v>
      </c>
      <c r="H7586" s="25">
        <v>7.0080000000000007E-5</v>
      </c>
      <c r="I7586" s="9">
        <v>1.1723E-4</v>
      </c>
      <c r="J7586" s="9">
        <v>1.2548E-4</v>
      </c>
      <c r="K7586" s="9">
        <v>1.5894999999999999E-4</v>
      </c>
      <c r="L7586" s="9">
        <v>9.8189999999999993E-5</v>
      </c>
      <c r="M7586" s="9">
        <v>1.1361E-4</v>
      </c>
      <c r="N7586" s="9">
        <v>1.0541E-4</v>
      </c>
      <c r="O7586" s="9">
        <v>8.7319999999999997E-5</v>
      </c>
      <c r="P7586" s="9">
        <v>8.7310000000000003E-5</v>
      </c>
      <c r="Q7586" s="9">
        <v>8.7960000000000005E-5</v>
      </c>
      <c r="R7586" s="10">
        <v>1.8609244200962799E-4</v>
      </c>
      <c r="S7586" s="10">
        <v>1.9029018402964696E-4</v>
      </c>
      <c r="T7586" s="10">
        <v>0</v>
      </c>
      <c r="U7586" s="10">
        <v>1.031E-4</v>
      </c>
      <c r="V7586" s="25"/>
      <c r="W7586" s="25"/>
      <c r="X7586" s="25"/>
      <c r="Y7586" s="25"/>
      <c r="Z7586" s="25"/>
      <c r="AA7586" s="25"/>
    </row>
    <row r="7587" spans="1:27" x14ac:dyDescent="0.35">
      <c r="A7587" s="5">
        <v>7583</v>
      </c>
      <c r="B7587" s="5">
        <v>316</v>
      </c>
      <c r="C7587" s="5">
        <v>11</v>
      </c>
      <c r="D7587" s="25">
        <v>1.1416E-4</v>
      </c>
      <c r="E7587" s="25">
        <v>1.1216E-4</v>
      </c>
      <c r="F7587" s="25">
        <v>1.2255E-4</v>
      </c>
      <c r="G7587" s="25">
        <v>5.4679999999999998E-5</v>
      </c>
      <c r="H7587" s="25">
        <v>6.826E-5</v>
      </c>
      <c r="I7587" s="9">
        <v>1.2034E-4</v>
      </c>
      <c r="J7587" s="9">
        <v>1.1714000000000001E-4</v>
      </c>
      <c r="K7587" s="9">
        <v>1.4411E-4</v>
      </c>
      <c r="L7587" s="9">
        <v>9.0649999999999994E-5</v>
      </c>
      <c r="M7587" s="9">
        <v>9.8950000000000006E-5</v>
      </c>
      <c r="N7587" s="9">
        <v>9.9599999999999995E-5</v>
      </c>
      <c r="O7587" s="9">
        <v>7.8609999999999994E-5</v>
      </c>
      <c r="P7587" s="9">
        <v>7.271E-5</v>
      </c>
      <c r="Q7587" s="9">
        <v>6.7420000000000002E-5</v>
      </c>
      <c r="R7587" s="10">
        <v>1.9208353653851748E-4</v>
      </c>
      <c r="S7587" s="10">
        <v>1.902902055624744E-4</v>
      </c>
      <c r="T7587" s="10">
        <v>0</v>
      </c>
      <c r="U7587" s="10">
        <v>1.031E-4</v>
      </c>
      <c r="V7587" s="25"/>
      <c r="W7587" s="25"/>
      <c r="X7587" s="25"/>
      <c r="Y7587" s="25"/>
      <c r="Z7587" s="25"/>
      <c r="AA7587" s="25"/>
    </row>
    <row r="7588" spans="1:27" x14ac:dyDescent="0.35">
      <c r="A7588" s="5">
        <v>7584</v>
      </c>
      <c r="B7588" s="5">
        <v>316</v>
      </c>
      <c r="C7588" s="5">
        <v>11</v>
      </c>
      <c r="D7588" s="25">
        <v>1.1415000000000001E-4</v>
      </c>
      <c r="E7588" s="25">
        <v>1.1403E-4</v>
      </c>
      <c r="F7588" s="25">
        <v>1.0655E-4</v>
      </c>
      <c r="G7588" s="25">
        <v>5.7679999999999997E-5</v>
      </c>
      <c r="H7588" s="25">
        <v>7.347E-5</v>
      </c>
      <c r="I7588" s="9">
        <v>1.2052E-4</v>
      </c>
      <c r="J7588" s="9">
        <v>1.1088E-4</v>
      </c>
      <c r="K7588" s="9">
        <v>1.5259E-4</v>
      </c>
      <c r="L7588" s="9">
        <v>8.1260000000000005E-5</v>
      </c>
      <c r="M7588" s="9">
        <v>8.6260000000000004E-5</v>
      </c>
      <c r="N7588" s="9">
        <v>9.0530000000000002E-5</v>
      </c>
      <c r="O7588" s="9">
        <v>6.2689999999999998E-5</v>
      </c>
      <c r="P7588" s="9">
        <v>6.0569999999999998E-5</v>
      </c>
      <c r="Q7588" s="9">
        <v>5.876E-5</v>
      </c>
      <c r="R7588" s="10">
        <v>1.9998460036843048E-4</v>
      </c>
      <c r="S7588" s="10">
        <v>1.9029020759484994E-4</v>
      </c>
      <c r="T7588" s="10">
        <v>0</v>
      </c>
      <c r="U7588" s="10">
        <v>1.031E-4</v>
      </c>
      <c r="V7588" s="25"/>
      <c r="W7588" s="25"/>
      <c r="X7588" s="25"/>
      <c r="Y7588" s="25"/>
      <c r="Z7588" s="25"/>
      <c r="AA7588" s="25"/>
    </row>
    <row r="7589" spans="1:27" x14ac:dyDescent="0.35">
      <c r="A7589" s="5">
        <v>7585</v>
      </c>
      <c r="B7589" s="5">
        <v>317</v>
      </c>
      <c r="C7589" s="5">
        <v>11</v>
      </c>
      <c r="D7589" s="25">
        <v>1.1416E-4</v>
      </c>
      <c r="E7589" s="25">
        <v>1.1622E-4</v>
      </c>
      <c r="F7589" s="25">
        <v>1.1285000000000001E-4</v>
      </c>
      <c r="G7589" s="25">
        <v>5.4580000000000003E-5</v>
      </c>
      <c r="H7589" s="25">
        <v>6.7780000000000005E-5</v>
      </c>
      <c r="I7589" s="9">
        <v>1.1516E-4</v>
      </c>
      <c r="J7589" s="9">
        <v>1.0449E-4</v>
      </c>
      <c r="K7589" s="9">
        <v>1.4835E-4</v>
      </c>
      <c r="L7589" s="9">
        <v>6.6760000000000005E-5</v>
      </c>
      <c r="M7589" s="9">
        <v>7.4109999999999993E-5</v>
      </c>
      <c r="N7589" s="9">
        <v>8.1180000000000005E-5</v>
      </c>
      <c r="O7589" s="9">
        <v>5.4079999999999997E-5</v>
      </c>
      <c r="P7589" s="9">
        <v>5.3510000000000001E-5</v>
      </c>
      <c r="Q7589" s="9">
        <v>5.3090000000000002E-5</v>
      </c>
      <c r="R7589" s="10">
        <v>2.0368507014961688E-4</v>
      </c>
      <c r="S7589" s="10">
        <v>1.9029020759484994E-4</v>
      </c>
      <c r="T7589" s="10">
        <v>0</v>
      </c>
      <c r="U7589" s="10">
        <v>1.0187999999999999E-4</v>
      </c>
      <c r="V7589" s="25"/>
      <c r="W7589" s="25"/>
      <c r="X7589" s="25"/>
      <c r="Y7589" s="25"/>
      <c r="Z7589" s="25"/>
      <c r="AA7589" s="25"/>
    </row>
    <row r="7590" spans="1:27" x14ac:dyDescent="0.35">
      <c r="A7590" s="5">
        <v>7586</v>
      </c>
      <c r="B7590" s="5">
        <v>317</v>
      </c>
      <c r="C7590" s="5">
        <v>11</v>
      </c>
      <c r="D7590" s="25">
        <v>1.1415000000000001E-4</v>
      </c>
      <c r="E7590" s="25">
        <v>1.1512E-4</v>
      </c>
      <c r="F7590" s="25">
        <v>1.2119E-4</v>
      </c>
      <c r="G7590" s="25">
        <v>5.3919999999999999E-5</v>
      </c>
      <c r="H7590" s="25">
        <v>6.6610000000000001E-5</v>
      </c>
      <c r="I7590" s="9">
        <v>1.0909E-4</v>
      </c>
      <c r="J7590" s="9">
        <v>9.9099999999999996E-5</v>
      </c>
      <c r="K7590" s="9">
        <v>1.5470999999999999E-4</v>
      </c>
      <c r="L7590" s="9">
        <v>5.7269999999999999E-5</v>
      </c>
      <c r="M7590" s="9">
        <v>6.3800000000000006E-5</v>
      </c>
      <c r="N7590" s="9">
        <v>7.2009999999999997E-5</v>
      </c>
      <c r="O7590" s="9">
        <v>1.8729999999999999E-5</v>
      </c>
      <c r="P7590" s="9">
        <v>3.7979999999999999E-5</v>
      </c>
      <c r="Q7590" s="9">
        <v>5.6520000000000001E-5</v>
      </c>
      <c r="R7590" s="10">
        <v>2.0397890618153338E-4</v>
      </c>
      <c r="S7590" s="10">
        <v>1.9029020759484994E-4</v>
      </c>
      <c r="T7590" s="10">
        <v>0</v>
      </c>
      <c r="U7590" s="10">
        <v>1.0187999999999999E-4</v>
      </c>
      <c r="V7590" s="25"/>
      <c r="W7590" s="25"/>
      <c r="X7590" s="25"/>
      <c r="Y7590" s="25"/>
      <c r="Z7590" s="25"/>
      <c r="AA7590" s="25"/>
    </row>
    <row r="7591" spans="1:27" x14ac:dyDescent="0.35">
      <c r="A7591" s="5">
        <v>7587</v>
      </c>
      <c r="B7591" s="5">
        <v>317</v>
      </c>
      <c r="C7591" s="5">
        <v>11</v>
      </c>
      <c r="D7591" s="25">
        <v>1.1416E-4</v>
      </c>
      <c r="E7591" s="25">
        <v>1.1574999999999999E-4</v>
      </c>
      <c r="F7591" s="25">
        <v>1.1619E-4</v>
      </c>
      <c r="G7591" s="25">
        <v>5.3059999999999997E-5</v>
      </c>
      <c r="H7591" s="25">
        <v>6.4649999999999999E-5</v>
      </c>
      <c r="I7591" s="9">
        <v>1.0513E-4</v>
      </c>
      <c r="J7591" s="9">
        <v>9.5669999999999997E-5</v>
      </c>
      <c r="K7591" s="9">
        <v>1.6531E-4</v>
      </c>
      <c r="L7591" s="9">
        <v>2.743E-5</v>
      </c>
      <c r="M7591" s="9">
        <v>5.2139999999999999E-5</v>
      </c>
      <c r="N7591" s="9">
        <v>6.5530000000000004E-5</v>
      </c>
      <c r="O7591" s="9">
        <v>1.3020000000000001E-5</v>
      </c>
      <c r="P7591" s="9">
        <v>3.7540000000000003E-5</v>
      </c>
      <c r="Q7591" s="9">
        <v>6.1179999999999994E-5</v>
      </c>
      <c r="R7591" s="10">
        <v>2.0483295978936412E-4</v>
      </c>
      <c r="S7591" s="10">
        <v>1.9029020759484994E-4</v>
      </c>
      <c r="T7591" s="10">
        <v>0</v>
      </c>
      <c r="U7591" s="10">
        <v>1.0187999999999999E-4</v>
      </c>
      <c r="V7591" s="25"/>
      <c r="W7591" s="25"/>
      <c r="X7591" s="25"/>
      <c r="Y7591" s="25"/>
      <c r="Z7591" s="25"/>
      <c r="AA7591" s="25"/>
    </row>
    <row r="7592" spans="1:27" x14ac:dyDescent="0.35">
      <c r="A7592" s="5">
        <v>7588</v>
      </c>
      <c r="B7592" s="5">
        <v>317</v>
      </c>
      <c r="C7592" s="5">
        <v>11</v>
      </c>
      <c r="D7592" s="25">
        <v>1.1415000000000001E-4</v>
      </c>
      <c r="E7592" s="25">
        <v>1.0969E-4</v>
      </c>
      <c r="F7592" s="25">
        <v>1.2757999999999999E-4</v>
      </c>
      <c r="G7592" s="25">
        <v>5.978E-5</v>
      </c>
      <c r="H7592" s="25">
        <v>7.2269999999999998E-5</v>
      </c>
      <c r="I7592" s="9">
        <v>1.0242999999999999E-4</v>
      </c>
      <c r="J7592" s="9">
        <v>9.3930000000000004E-5</v>
      </c>
      <c r="K7592" s="9">
        <v>1.7803E-4</v>
      </c>
      <c r="L7592" s="9">
        <v>1.6929999999999999E-5</v>
      </c>
      <c r="M7592" s="9">
        <v>4.4110000000000003E-5</v>
      </c>
      <c r="N7592" s="9">
        <v>6.1859999999999994E-5</v>
      </c>
      <c r="O7592" s="9">
        <v>1.3040000000000001E-5</v>
      </c>
      <c r="P7592" s="9">
        <v>4.6999999999999997E-5</v>
      </c>
      <c r="Q7592" s="9">
        <v>7.9930000000000002E-5</v>
      </c>
      <c r="R7592" s="10">
        <v>2.0846590222692112E-4</v>
      </c>
      <c r="S7592" s="10">
        <v>1.9029020759484994E-4</v>
      </c>
      <c r="T7592" s="10">
        <v>0</v>
      </c>
      <c r="U7592" s="10">
        <v>1.0187999999999999E-4</v>
      </c>
      <c r="V7592" s="25"/>
      <c r="W7592" s="25"/>
      <c r="X7592" s="25"/>
      <c r="Y7592" s="25"/>
      <c r="Z7592" s="25"/>
      <c r="AA7592" s="25"/>
    </row>
    <row r="7593" spans="1:27" x14ac:dyDescent="0.35">
      <c r="A7593" s="5">
        <v>7589</v>
      </c>
      <c r="B7593" s="5">
        <v>317</v>
      </c>
      <c r="C7593" s="5">
        <v>11</v>
      </c>
      <c r="D7593" s="25">
        <v>1.1416E-4</v>
      </c>
      <c r="E7593" s="25">
        <v>1.1675000000000001E-4</v>
      </c>
      <c r="F7593" s="25">
        <v>1.1506999999999999E-4</v>
      </c>
      <c r="G7593" s="25">
        <v>6.2580000000000001E-5</v>
      </c>
      <c r="H7593" s="25">
        <v>6.9070000000000001E-5</v>
      </c>
      <c r="I7593" s="9">
        <v>1.0064E-4</v>
      </c>
      <c r="J7593" s="9">
        <v>9.3419999999999997E-5</v>
      </c>
      <c r="K7593" s="9">
        <v>1.9285999999999999E-4</v>
      </c>
      <c r="L7593" s="9">
        <v>1.415E-5</v>
      </c>
      <c r="M7593" s="9">
        <v>4.3350000000000003E-5</v>
      </c>
      <c r="N7593" s="9">
        <v>6.4289999999999996E-5</v>
      </c>
      <c r="O7593" s="9">
        <v>1.8689999999999999E-5</v>
      </c>
      <c r="P7593" s="9">
        <v>5.6860000000000001E-5</v>
      </c>
      <c r="Q7593" s="9">
        <v>9.4019999999999998E-5</v>
      </c>
      <c r="R7593" s="10">
        <v>2.1127161343525527E-4</v>
      </c>
      <c r="S7593" s="10">
        <v>1.9029020759484994E-4</v>
      </c>
      <c r="T7593" s="10">
        <v>0</v>
      </c>
      <c r="U7593" s="10">
        <v>1.0187999999999999E-4</v>
      </c>
      <c r="V7593" s="25"/>
      <c r="W7593" s="25"/>
      <c r="X7593" s="25"/>
      <c r="Y7593" s="25"/>
      <c r="Z7593" s="25"/>
      <c r="AA7593" s="25"/>
    </row>
    <row r="7594" spans="1:27" x14ac:dyDescent="0.35">
      <c r="A7594" s="5">
        <v>7590</v>
      </c>
      <c r="B7594" s="5">
        <v>317</v>
      </c>
      <c r="C7594" s="5">
        <v>11</v>
      </c>
      <c r="D7594" s="25">
        <v>1.1415000000000001E-4</v>
      </c>
      <c r="E7594" s="25">
        <v>1.1745E-4</v>
      </c>
      <c r="F7594" s="25">
        <v>1.1882E-4</v>
      </c>
      <c r="G7594" s="25">
        <v>1.0412999999999999E-4</v>
      </c>
      <c r="H7594" s="25">
        <v>1.272E-4</v>
      </c>
      <c r="I7594" s="9">
        <v>1.0203E-4</v>
      </c>
      <c r="J7594" s="9">
        <v>9.4930000000000001E-5</v>
      </c>
      <c r="K7594" s="9">
        <v>2.0557999999999999E-4</v>
      </c>
      <c r="L7594" s="9">
        <v>1.7560000000000001E-5</v>
      </c>
      <c r="M7594" s="9">
        <v>4.8359999999999998E-5</v>
      </c>
      <c r="N7594" s="9">
        <v>7.093E-5</v>
      </c>
      <c r="O7594" s="9">
        <v>4.5920000000000001E-5</v>
      </c>
      <c r="P7594" s="9">
        <v>7.6329999999999996E-5</v>
      </c>
      <c r="Q7594" s="9">
        <v>1.0628000000000001E-4</v>
      </c>
      <c r="R7594" s="10">
        <v>2.1168806325309688E-4</v>
      </c>
      <c r="S7594" s="10">
        <v>1.9029020759484994E-4</v>
      </c>
      <c r="T7594" s="10">
        <v>0</v>
      </c>
      <c r="U7594" s="10">
        <v>1.0187999999999999E-4</v>
      </c>
      <c r="V7594" s="25"/>
      <c r="W7594" s="25"/>
      <c r="X7594" s="25"/>
      <c r="Y7594" s="25"/>
      <c r="Z7594" s="25"/>
      <c r="AA7594" s="25"/>
    </row>
    <row r="7595" spans="1:27" x14ac:dyDescent="0.35">
      <c r="A7595" s="5">
        <v>7591</v>
      </c>
      <c r="B7595" s="5">
        <v>317</v>
      </c>
      <c r="C7595" s="5">
        <v>11</v>
      </c>
      <c r="D7595" s="25">
        <v>1.1416E-4</v>
      </c>
      <c r="E7595" s="25">
        <v>1.1620000000000001E-4</v>
      </c>
      <c r="F7595" s="25">
        <v>1.1997000000000001E-4</v>
      </c>
      <c r="G7595" s="25">
        <v>1.0885E-4</v>
      </c>
      <c r="H7595" s="25">
        <v>1.3317E-4</v>
      </c>
      <c r="I7595" s="9">
        <v>1.0641000000000001E-4</v>
      </c>
      <c r="J7595" s="9">
        <v>9.993E-5</v>
      </c>
      <c r="K7595" s="9">
        <v>2.0769000000000001E-4</v>
      </c>
      <c r="L7595" s="9">
        <v>3.9530000000000003E-5</v>
      </c>
      <c r="M7595" s="9">
        <v>5.9849999999999998E-5</v>
      </c>
      <c r="N7595" s="9">
        <v>8.051E-5</v>
      </c>
      <c r="O7595" s="9">
        <v>1.2462000000000001E-4</v>
      </c>
      <c r="P7595" s="9">
        <v>1.1832000000000001E-4</v>
      </c>
      <c r="Q7595" s="9">
        <v>1.1334E-4</v>
      </c>
      <c r="R7595" s="10">
        <v>2.1212716746068312E-4</v>
      </c>
      <c r="S7595" s="10">
        <v>1.9029020759484994E-4</v>
      </c>
      <c r="T7595" s="10">
        <v>0</v>
      </c>
      <c r="U7595" s="10">
        <v>1.0187999999999999E-4</v>
      </c>
      <c r="V7595" s="25"/>
      <c r="W7595" s="25"/>
      <c r="X7595" s="25"/>
      <c r="Y7595" s="25"/>
      <c r="Z7595" s="25"/>
      <c r="AA7595" s="25"/>
    </row>
    <row r="7596" spans="1:27" x14ac:dyDescent="0.35">
      <c r="A7596" s="5">
        <v>7592</v>
      </c>
      <c r="B7596" s="5">
        <v>317</v>
      </c>
      <c r="C7596" s="5">
        <v>11</v>
      </c>
      <c r="D7596" s="25">
        <v>1.1415000000000001E-4</v>
      </c>
      <c r="E7596" s="25">
        <v>1.1648E-4</v>
      </c>
      <c r="F7596" s="25">
        <v>1.3119999999999999E-4</v>
      </c>
      <c r="G7596" s="25">
        <v>1.6029E-4</v>
      </c>
      <c r="H7596" s="25">
        <v>1.9101E-4</v>
      </c>
      <c r="I7596" s="9">
        <v>1.0950000000000001E-4</v>
      </c>
      <c r="J7596" s="9">
        <v>1.0787E-4</v>
      </c>
      <c r="K7596" s="9">
        <v>2.1617000000000001E-4</v>
      </c>
      <c r="L7596" s="9">
        <v>1.0527999999999999E-4</v>
      </c>
      <c r="M7596" s="9">
        <v>8.3850000000000005E-5</v>
      </c>
      <c r="N7596" s="9">
        <v>9.0820000000000001E-5</v>
      </c>
      <c r="O7596" s="9">
        <v>2.2012E-4</v>
      </c>
      <c r="P7596" s="9">
        <v>1.7657E-4</v>
      </c>
      <c r="Q7596" s="9">
        <v>1.3640000000000001E-4</v>
      </c>
      <c r="R7596" s="10">
        <v>2.1234807492223186E-4</v>
      </c>
      <c r="S7596" s="10">
        <v>1.9029020759484994E-4</v>
      </c>
      <c r="T7596" s="10">
        <v>0</v>
      </c>
      <c r="U7596" s="10">
        <v>1.0187999999999999E-4</v>
      </c>
      <c r="V7596" s="25"/>
      <c r="W7596" s="25"/>
      <c r="X7596" s="25"/>
      <c r="Y7596" s="25"/>
      <c r="Z7596" s="25"/>
      <c r="AA7596" s="25"/>
    </row>
    <row r="7597" spans="1:27" x14ac:dyDescent="0.35">
      <c r="A7597" s="5">
        <v>7593</v>
      </c>
      <c r="B7597" s="5">
        <v>317</v>
      </c>
      <c r="C7597" s="5">
        <v>11</v>
      </c>
      <c r="D7597" s="25">
        <v>1.1416E-4</v>
      </c>
      <c r="E7597" s="25">
        <v>1.1139E-4</v>
      </c>
      <c r="F7597" s="25">
        <v>1.1699E-4</v>
      </c>
      <c r="G7597" s="25">
        <v>1.5951999999999999E-4</v>
      </c>
      <c r="H7597" s="25">
        <v>1.9824E-4</v>
      </c>
      <c r="I7597" s="9">
        <v>1.1375E-4</v>
      </c>
      <c r="J7597" s="9">
        <v>1.156E-4</v>
      </c>
      <c r="K7597" s="9">
        <v>1.6530000000000001E-4</v>
      </c>
      <c r="L7597" s="9">
        <v>1.9305E-4</v>
      </c>
      <c r="M7597" s="9">
        <v>1.2344999999999999E-4</v>
      </c>
      <c r="N7597" s="9">
        <v>1.0454E-4</v>
      </c>
      <c r="O7597" s="9">
        <v>2.1123E-4</v>
      </c>
      <c r="P7597" s="9">
        <v>1.9218999999999999E-4</v>
      </c>
      <c r="Q7597" s="9">
        <v>1.7600999999999999E-4</v>
      </c>
      <c r="R7597" s="10">
        <v>2.1243269953685618E-4</v>
      </c>
      <c r="S7597" s="10">
        <v>1.9029020759484994E-4</v>
      </c>
      <c r="T7597" s="10">
        <v>2.3196922853224659E-4</v>
      </c>
      <c r="U7597" s="10">
        <v>1.0187999999999999E-4</v>
      </c>
      <c r="V7597" s="25"/>
      <c r="W7597" s="25"/>
      <c r="X7597" s="25"/>
      <c r="Y7597" s="25"/>
      <c r="Z7597" s="25"/>
      <c r="AA7597" s="25"/>
    </row>
    <row r="7598" spans="1:27" x14ac:dyDescent="0.35">
      <c r="A7598" s="5">
        <v>7594</v>
      </c>
      <c r="B7598" s="5">
        <v>317</v>
      </c>
      <c r="C7598" s="5">
        <v>11</v>
      </c>
      <c r="D7598" s="25">
        <v>1.1415000000000001E-4</v>
      </c>
      <c r="E7598" s="25">
        <v>1.1958E-4</v>
      </c>
      <c r="F7598" s="25">
        <v>1.225E-4</v>
      </c>
      <c r="G7598" s="25">
        <v>1.5998E-4</v>
      </c>
      <c r="H7598" s="25">
        <v>1.8891000000000001E-4</v>
      </c>
      <c r="I7598" s="9">
        <v>1.2036000000000001E-4</v>
      </c>
      <c r="J7598" s="9">
        <v>1.2313999999999999E-4</v>
      </c>
      <c r="K7598" s="9">
        <v>9.3250000000000003E-5</v>
      </c>
      <c r="L7598" s="9">
        <v>2.0493E-4</v>
      </c>
      <c r="M7598" s="9">
        <v>1.5822000000000001E-4</v>
      </c>
      <c r="N7598" s="9">
        <v>1.2438999999999999E-4</v>
      </c>
      <c r="O7598" s="9">
        <v>1.6770000000000001E-4</v>
      </c>
      <c r="P7598" s="9">
        <v>1.7390999999999999E-4</v>
      </c>
      <c r="Q7598" s="9">
        <v>1.8191E-4</v>
      </c>
      <c r="R7598" s="10">
        <v>2.1239056313356006E-4</v>
      </c>
      <c r="S7598" s="10">
        <v>1.9028715854765455E-4</v>
      </c>
      <c r="T7598" s="10">
        <v>2.4282913170042895E-4</v>
      </c>
      <c r="U7598" s="10">
        <v>1.0187999999999999E-4</v>
      </c>
      <c r="V7598" s="25"/>
      <c r="W7598" s="25"/>
      <c r="X7598" s="25"/>
      <c r="Y7598" s="25"/>
      <c r="Z7598" s="25"/>
      <c r="AA7598" s="25"/>
    </row>
    <row r="7599" spans="1:27" x14ac:dyDescent="0.35">
      <c r="A7599" s="5">
        <v>7595</v>
      </c>
      <c r="B7599" s="5">
        <v>317</v>
      </c>
      <c r="C7599" s="5">
        <v>11</v>
      </c>
      <c r="D7599" s="25">
        <v>1.1416E-4</v>
      </c>
      <c r="E7599" s="25">
        <v>1.0951E-4</v>
      </c>
      <c r="F7599" s="25">
        <v>1.3247000000000001E-4</v>
      </c>
      <c r="G7599" s="25">
        <v>1.5966E-4</v>
      </c>
      <c r="H7599" s="25">
        <v>1.8912000000000001E-4</v>
      </c>
      <c r="I7599" s="9">
        <v>1.2386E-4</v>
      </c>
      <c r="J7599" s="9">
        <v>1.2502999999999999E-4</v>
      </c>
      <c r="K7599" s="9">
        <v>7.8419999999999998E-5</v>
      </c>
      <c r="L7599" s="9">
        <v>1.7599E-4</v>
      </c>
      <c r="M7599" s="9">
        <v>1.719E-4</v>
      </c>
      <c r="N7599" s="9">
        <v>1.4244E-4</v>
      </c>
      <c r="O7599" s="9">
        <v>1.6657E-4</v>
      </c>
      <c r="P7599" s="9">
        <v>1.7139E-4</v>
      </c>
      <c r="Q7599" s="9">
        <v>1.7802000000000001E-4</v>
      </c>
      <c r="R7599" s="10">
        <v>2.1223782913684007E-4</v>
      </c>
      <c r="S7599" s="10">
        <v>1.9027907278278014E-4</v>
      </c>
      <c r="T7599" s="10">
        <v>5.0149845028757401E-4</v>
      </c>
      <c r="U7599" s="10">
        <v>1.0187999999999999E-4</v>
      </c>
      <c r="V7599" s="25"/>
      <c r="W7599" s="25"/>
      <c r="X7599" s="25"/>
      <c r="Y7599" s="25"/>
      <c r="Z7599" s="25"/>
      <c r="AA7599" s="25"/>
    </row>
    <row r="7600" spans="1:27" x14ac:dyDescent="0.35">
      <c r="A7600" s="5">
        <v>7596</v>
      </c>
      <c r="B7600" s="5">
        <v>317</v>
      </c>
      <c r="C7600" s="5">
        <v>11</v>
      </c>
      <c r="D7600" s="25">
        <v>1.1415000000000001E-4</v>
      </c>
      <c r="E7600" s="25">
        <v>1.1208E-4</v>
      </c>
      <c r="F7600" s="25">
        <v>1.262E-4</v>
      </c>
      <c r="G7600" s="25">
        <v>1.6728000000000001E-4</v>
      </c>
      <c r="H7600" s="25">
        <v>1.9113999999999999E-4</v>
      </c>
      <c r="I7600" s="9">
        <v>1.2522E-4</v>
      </c>
      <c r="J7600" s="9">
        <v>1.2527E-4</v>
      </c>
      <c r="K7600" s="9">
        <v>5.9349999999999999E-5</v>
      </c>
      <c r="L7600" s="9">
        <v>1.7003999999999999E-4</v>
      </c>
      <c r="M7600" s="9">
        <v>1.7405E-4</v>
      </c>
      <c r="N7600" s="9">
        <v>1.5622999999999999E-4</v>
      </c>
      <c r="O7600" s="9">
        <v>1.6964000000000001E-4</v>
      </c>
      <c r="P7600" s="9">
        <v>1.7039E-4</v>
      </c>
      <c r="Q7600" s="9">
        <v>1.7304000000000001E-4</v>
      </c>
      <c r="R7600" s="10">
        <v>2.031713438200942E-4</v>
      </c>
      <c r="S7600" s="10">
        <v>1.9028975789501696E-4</v>
      </c>
      <c r="T7600" s="10">
        <v>5.5438108813701229E-4</v>
      </c>
      <c r="U7600" s="10">
        <v>1.0187999999999999E-4</v>
      </c>
      <c r="V7600" s="25"/>
      <c r="W7600" s="25"/>
      <c r="X7600" s="25"/>
      <c r="Y7600" s="25"/>
      <c r="Z7600" s="25"/>
      <c r="AA7600" s="25"/>
    </row>
    <row r="7601" spans="1:27" x14ac:dyDescent="0.35">
      <c r="A7601" s="5">
        <v>7597</v>
      </c>
      <c r="B7601" s="5">
        <v>317</v>
      </c>
      <c r="C7601" s="5">
        <v>11</v>
      </c>
      <c r="D7601" s="25">
        <v>1.1416E-4</v>
      </c>
      <c r="E7601" s="25">
        <v>1.1416E-4</v>
      </c>
      <c r="F7601" s="25">
        <v>1.3185000000000001E-4</v>
      </c>
      <c r="G7601" s="25">
        <v>1.6470999999999999E-4</v>
      </c>
      <c r="H7601" s="25">
        <v>1.9944E-4</v>
      </c>
      <c r="I7601" s="9">
        <v>1.2553E-4</v>
      </c>
      <c r="J7601" s="9">
        <v>1.2490999999999999E-4</v>
      </c>
      <c r="K7601" s="9">
        <v>3.8149999999999999E-5</v>
      </c>
      <c r="L7601" s="9">
        <v>1.6992E-4</v>
      </c>
      <c r="M7601" s="9">
        <v>1.728E-4</v>
      </c>
      <c r="N7601" s="9">
        <v>1.6547E-4</v>
      </c>
      <c r="O7601" s="9">
        <v>1.6311E-4</v>
      </c>
      <c r="P7601" s="9">
        <v>1.6473E-4</v>
      </c>
      <c r="Q7601" s="9">
        <v>1.6814999999999999E-4</v>
      </c>
      <c r="R7601" s="10">
        <v>2.0780732440306871E-4</v>
      </c>
      <c r="S7601" s="10">
        <v>1.9029009840677971E-4</v>
      </c>
      <c r="T7601" s="10">
        <v>4.8737209186958678E-4</v>
      </c>
      <c r="U7601" s="10">
        <v>1.0187999999999999E-4</v>
      </c>
      <c r="V7601" s="25"/>
      <c r="W7601" s="25"/>
      <c r="X7601" s="25"/>
      <c r="Y7601" s="25"/>
      <c r="Z7601" s="25"/>
      <c r="AA7601" s="25"/>
    </row>
    <row r="7602" spans="1:27" x14ac:dyDescent="0.35">
      <c r="A7602" s="5">
        <v>7598</v>
      </c>
      <c r="B7602" s="5">
        <v>317</v>
      </c>
      <c r="C7602" s="5">
        <v>11</v>
      </c>
      <c r="D7602" s="25">
        <v>1.1415000000000001E-4</v>
      </c>
      <c r="E7602" s="25">
        <v>1.1197E-4</v>
      </c>
      <c r="F7602" s="25">
        <v>1.3362000000000001E-4</v>
      </c>
      <c r="G7602" s="25">
        <v>1.662E-4</v>
      </c>
      <c r="H7602" s="25">
        <v>1.8772999999999999E-4</v>
      </c>
      <c r="I7602" s="9">
        <v>1.2358000000000001E-4</v>
      </c>
      <c r="J7602" s="9">
        <v>1.2323E-4</v>
      </c>
      <c r="K7602" s="9">
        <v>4.6629999999999999E-5</v>
      </c>
      <c r="L7602" s="9">
        <v>1.6435000000000001E-4</v>
      </c>
      <c r="M7602" s="9">
        <v>1.6954000000000001E-4</v>
      </c>
      <c r="N7602" s="9">
        <v>1.7003E-4</v>
      </c>
      <c r="O7602" s="9">
        <v>1.7976E-4</v>
      </c>
      <c r="P7602" s="9">
        <v>1.6946999999999999E-4</v>
      </c>
      <c r="Q7602" s="9">
        <v>1.6140999999999999E-4</v>
      </c>
      <c r="R7602" s="10">
        <v>2.0971657395830659E-4</v>
      </c>
      <c r="S7602" s="10">
        <v>1.9028893641286342E-4</v>
      </c>
      <c r="T7602" s="10">
        <v>3.930351673953521E-4</v>
      </c>
      <c r="U7602" s="10">
        <v>1.0187999999999999E-4</v>
      </c>
      <c r="V7602" s="25"/>
      <c r="W7602" s="25"/>
      <c r="X7602" s="25"/>
      <c r="Y7602" s="25"/>
      <c r="Z7602" s="25"/>
      <c r="AA7602" s="25"/>
    </row>
    <row r="7603" spans="1:27" x14ac:dyDescent="0.35">
      <c r="A7603" s="5">
        <v>7599</v>
      </c>
      <c r="B7603" s="5">
        <v>317</v>
      </c>
      <c r="C7603" s="5">
        <v>11</v>
      </c>
      <c r="D7603" s="25">
        <v>1.1416E-4</v>
      </c>
      <c r="E7603" s="25">
        <v>1.1026E-4</v>
      </c>
      <c r="F7603" s="25">
        <v>1.3212E-4</v>
      </c>
      <c r="G7603" s="25">
        <v>1.6683E-4</v>
      </c>
      <c r="H7603" s="25">
        <v>1.9468E-4</v>
      </c>
      <c r="I7603" s="9">
        <v>1.2051E-4</v>
      </c>
      <c r="J7603" s="9">
        <v>1.2234E-4</v>
      </c>
      <c r="K7603" s="9">
        <v>9.1130000000000003E-5</v>
      </c>
      <c r="L7603" s="9">
        <v>1.7649000000000001E-4</v>
      </c>
      <c r="M7603" s="9">
        <v>1.6860000000000001E-4</v>
      </c>
      <c r="N7603" s="9">
        <v>1.6980000000000001E-4</v>
      </c>
      <c r="O7603" s="9">
        <v>1.8374E-4</v>
      </c>
      <c r="P7603" s="9">
        <v>1.6668999999999999E-4</v>
      </c>
      <c r="Q7603" s="9">
        <v>1.5203999999999999E-4</v>
      </c>
      <c r="R7603" s="10">
        <v>2.0846901740794943E-4</v>
      </c>
      <c r="S7603" s="10">
        <v>1.9025132116121777E-4</v>
      </c>
      <c r="T7603" s="10">
        <v>2.8845769360549546E-4</v>
      </c>
      <c r="U7603" s="10">
        <v>1.0187999999999999E-4</v>
      </c>
      <c r="V7603" s="25"/>
      <c r="W7603" s="25"/>
      <c r="X7603" s="25"/>
      <c r="Y7603" s="25"/>
      <c r="Z7603" s="25"/>
      <c r="AA7603" s="25"/>
    </row>
    <row r="7604" spans="1:27" x14ac:dyDescent="0.35">
      <c r="A7604" s="5">
        <v>7600</v>
      </c>
      <c r="B7604" s="5">
        <v>317</v>
      </c>
      <c r="C7604" s="5">
        <v>11</v>
      </c>
      <c r="D7604" s="25">
        <v>1.1415000000000001E-4</v>
      </c>
      <c r="E7604" s="25">
        <v>1.189E-4</v>
      </c>
      <c r="F7604" s="25">
        <v>1.2545000000000001E-4</v>
      </c>
      <c r="G7604" s="25">
        <v>1.6086E-4</v>
      </c>
      <c r="H7604" s="25">
        <v>1.9797E-4</v>
      </c>
      <c r="I7604" s="9">
        <v>1.2115E-4</v>
      </c>
      <c r="J7604" s="9">
        <v>1.2268000000000001E-4</v>
      </c>
      <c r="K7604" s="9">
        <v>1.4198999999999999E-4</v>
      </c>
      <c r="L7604" s="9">
        <v>1.8183000000000001E-4</v>
      </c>
      <c r="M7604" s="9">
        <v>1.6775000000000001E-4</v>
      </c>
      <c r="N7604" s="9">
        <v>1.6589999999999999E-4</v>
      </c>
      <c r="O7604" s="9">
        <v>1.9756999999999999E-4</v>
      </c>
      <c r="P7604" s="9">
        <v>1.5195000000000001E-4</v>
      </c>
      <c r="Q7604" s="9">
        <v>1.094E-4</v>
      </c>
      <c r="R7604" s="10">
        <v>2.0902119762359646E-4</v>
      </c>
      <c r="S7604" s="10">
        <v>1.901660759179625E-4</v>
      </c>
      <c r="T7604" s="10">
        <v>4.708786139329097E-5</v>
      </c>
      <c r="U7604" s="10">
        <v>1.0187999999999999E-4</v>
      </c>
      <c r="V7604" s="25"/>
      <c r="W7604" s="25"/>
      <c r="X7604" s="25"/>
      <c r="Y7604" s="25"/>
      <c r="Z7604" s="25"/>
      <c r="AA7604" s="25"/>
    </row>
    <row r="7605" spans="1:27" x14ac:dyDescent="0.35">
      <c r="A7605" s="5">
        <v>7601</v>
      </c>
      <c r="B7605" s="5">
        <v>317</v>
      </c>
      <c r="C7605" s="5">
        <v>11</v>
      </c>
      <c r="D7605" s="25">
        <v>1.1416E-4</v>
      </c>
      <c r="E7605" s="25">
        <v>1.1606E-4</v>
      </c>
      <c r="F7605" s="25">
        <v>1.3311E-4</v>
      </c>
      <c r="G7605" s="25">
        <v>1.6113E-4</v>
      </c>
      <c r="H7605" s="25">
        <v>1.8794999999999999E-4</v>
      </c>
      <c r="I7605" s="9">
        <v>1.2179E-4</v>
      </c>
      <c r="J7605" s="9">
        <v>1.2627E-4</v>
      </c>
      <c r="K7605" s="9">
        <v>1.8861999999999999E-4</v>
      </c>
      <c r="L7605" s="9">
        <v>1.9390999999999999E-4</v>
      </c>
      <c r="M7605" s="9">
        <v>1.6191E-4</v>
      </c>
      <c r="N7605" s="9">
        <v>1.5223E-4</v>
      </c>
      <c r="O7605" s="9">
        <v>2.1534000000000001E-4</v>
      </c>
      <c r="P7605" s="9">
        <v>1.596E-4</v>
      </c>
      <c r="Q7605" s="9">
        <v>1.0736E-4</v>
      </c>
      <c r="R7605" s="10">
        <v>2.1227612704510741E-4</v>
      </c>
      <c r="S7605" s="10">
        <v>1.9025563112968325E-4</v>
      </c>
      <c r="T7605" s="10">
        <v>0</v>
      </c>
      <c r="U7605" s="10">
        <v>1.0187999999999999E-4</v>
      </c>
      <c r="V7605" s="25"/>
      <c r="W7605" s="25"/>
      <c r="X7605" s="25"/>
      <c r="Y7605" s="25"/>
      <c r="Z7605" s="25"/>
      <c r="AA7605" s="25"/>
    </row>
    <row r="7606" spans="1:27" x14ac:dyDescent="0.35">
      <c r="A7606" s="5">
        <v>7602</v>
      </c>
      <c r="B7606" s="5">
        <v>317</v>
      </c>
      <c r="C7606" s="5">
        <v>11</v>
      </c>
      <c r="D7606" s="25">
        <v>1.1415000000000001E-4</v>
      </c>
      <c r="E7606" s="25">
        <v>1.1416E-4</v>
      </c>
      <c r="F7606" s="25">
        <v>1.2300000000000001E-4</v>
      </c>
      <c r="G7606" s="25">
        <v>1.6024999999999999E-4</v>
      </c>
      <c r="H7606" s="25">
        <v>1.9246000000000001E-4</v>
      </c>
      <c r="I7606" s="9">
        <v>1.3108E-4</v>
      </c>
      <c r="J7606" s="9">
        <v>1.3512999999999999E-4</v>
      </c>
      <c r="K7606" s="9">
        <v>2.1194000000000001E-4</v>
      </c>
      <c r="L7606" s="9">
        <v>2.1039E-4</v>
      </c>
      <c r="M7606" s="9">
        <v>1.5948000000000001E-4</v>
      </c>
      <c r="N7606" s="9">
        <v>1.3903E-4</v>
      </c>
      <c r="O7606" s="9">
        <v>2.0551E-4</v>
      </c>
      <c r="P7606" s="9">
        <v>1.5977E-4</v>
      </c>
      <c r="Q7606" s="9">
        <v>1.1722000000000001E-4</v>
      </c>
      <c r="R7606" s="10">
        <v>2.12448368646661E-4</v>
      </c>
      <c r="S7606" s="10">
        <v>1.9027890559114471E-4</v>
      </c>
      <c r="T7606" s="10">
        <v>0</v>
      </c>
      <c r="U7606" s="10">
        <v>1.0187999999999999E-4</v>
      </c>
      <c r="V7606" s="25"/>
      <c r="W7606" s="25"/>
      <c r="X7606" s="25"/>
      <c r="Y7606" s="25"/>
      <c r="Z7606" s="25"/>
      <c r="AA7606" s="25"/>
    </row>
    <row r="7607" spans="1:27" x14ac:dyDescent="0.35">
      <c r="A7607" s="5">
        <v>7603</v>
      </c>
      <c r="B7607" s="5">
        <v>317</v>
      </c>
      <c r="C7607" s="5">
        <v>11</v>
      </c>
      <c r="D7607" s="25">
        <v>1.1416E-4</v>
      </c>
      <c r="E7607" s="25">
        <v>1.1131E-4</v>
      </c>
      <c r="F7607" s="25">
        <v>1.1877E-4</v>
      </c>
      <c r="G7607" s="25">
        <v>1.1183000000000001E-4</v>
      </c>
      <c r="H7607" s="25">
        <v>1.26E-4</v>
      </c>
      <c r="I7607" s="9">
        <v>1.3240999999999999E-4</v>
      </c>
      <c r="J7607" s="9">
        <v>1.325E-4</v>
      </c>
      <c r="K7607" s="9">
        <v>2.0981999999999999E-4</v>
      </c>
      <c r="L7607" s="9">
        <v>2.0615999999999999E-4</v>
      </c>
      <c r="M7607" s="9">
        <v>1.5912000000000001E-4</v>
      </c>
      <c r="N7607" s="9">
        <v>1.2988E-4</v>
      </c>
      <c r="O7607" s="9">
        <v>1.6375999999999999E-4</v>
      </c>
      <c r="P7607" s="9">
        <v>1.3385E-4</v>
      </c>
      <c r="Q7607" s="9">
        <v>1.0624E-4</v>
      </c>
      <c r="R7607" s="10">
        <v>2.1243887388548119E-4</v>
      </c>
      <c r="S7607" s="10">
        <v>1.9028727246712956E-4</v>
      </c>
      <c r="T7607" s="10">
        <v>0</v>
      </c>
      <c r="U7607" s="10">
        <v>1.0187999999999999E-4</v>
      </c>
      <c r="V7607" s="25"/>
      <c r="W7607" s="25"/>
      <c r="X7607" s="25"/>
      <c r="Y7607" s="25"/>
      <c r="Z7607" s="25"/>
      <c r="AA7607" s="25"/>
    </row>
    <row r="7608" spans="1:27" x14ac:dyDescent="0.35">
      <c r="A7608" s="5">
        <v>7604</v>
      </c>
      <c r="B7608" s="5">
        <v>317</v>
      </c>
      <c r="C7608" s="5">
        <v>11</v>
      </c>
      <c r="D7608" s="25">
        <v>1.1415000000000001E-4</v>
      </c>
      <c r="E7608" s="25">
        <v>1.1513E-4</v>
      </c>
      <c r="F7608" s="25">
        <v>1.3342000000000001E-4</v>
      </c>
      <c r="G7608" s="25">
        <v>1.0450000000000001E-4</v>
      </c>
      <c r="H7608" s="25">
        <v>1.2564E-4</v>
      </c>
      <c r="I7608" s="9">
        <v>1.2757E-4</v>
      </c>
      <c r="J7608" s="9">
        <v>1.2794999999999999E-4</v>
      </c>
      <c r="K7608" s="9">
        <v>2.4583999999999999E-4</v>
      </c>
      <c r="L7608" s="9">
        <v>1.7327999999999999E-4</v>
      </c>
      <c r="M7608" s="9">
        <v>1.5008999999999999E-4</v>
      </c>
      <c r="N7608" s="9">
        <v>1.206E-4</v>
      </c>
      <c r="O7608" s="9">
        <v>1.2909E-4</v>
      </c>
      <c r="P7608" s="9">
        <v>1.1462E-4</v>
      </c>
      <c r="Q7608" s="9">
        <v>1.0168E-4</v>
      </c>
      <c r="R7608" s="10">
        <v>2.1243170400860539E-4</v>
      </c>
      <c r="S7608" s="10">
        <v>1.9028473699064167E-4</v>
      </c>
      <c r="T7608" s="10">
        <v>0</v>
      </c>
      <c r="U7608" s="10">
        <v>1.0187999999999999E-4</v>
      </c>
      <c r="V7608" s="25"/>
      <c r="W7608" s="25"/>
      <c r="X7608" s="25"/>
      <c r="Y7608" s="25"/>
      <c r="Z7608" s="25"/>
      <c r="AA7608" s="25"/>
    </row>
    <row r="7609" spans="1:27" x14ac:dyDescent="0.35">
      <c r="A7609" s="5">
        <v>7605</v>
      </c>
      <c r="B7609" s="5">
        <v>317</v>
      </c>
      <c r="C7609" s="5">
        <v>11</v>
      </c>
      <c r="D7609" s="25">
        <v>1.1416E-4</v>
      </c>
      <c r="E7609" s="25">
        <v>1.0998E-4</v>
      </c>
      <c r="F7609" s="25">
        <v>1.2750000000000001E-4</v>
      </c>
      <c r="G7609" s="25">
        <v>6.3460000000000006E-5</v>
      </c>
      <c r="H7609" s="25">
        <v>7.2780000000000005E-5</v>
      </c>
      <c r="I7609" s="9">
        <v>1.2125000000000001E-4</v>
      </c>
      <c r="J7609" s="9">
        <v>1.2253000000000001E-4</v>
      </c>
      <c r="K7609" s="9">
        <v>2.3525E-4</v>
      </c>
      <c r="L7609" s="9">
        <v>1.3983999999999999E-4</v>
      </c>
      <c r="M7609" s="9">
        <v>1.3479E-4</v>
      </c>
      <c r="N7609" s="9">
        <v>1.1290000000000001E-4</v>
      </c>
      <c r="O7609" s="9">
        <v>8.5649999999999995E-5</v>
      </c>
      <c r="P7609" s="9">
        <v>8.7059999999999997E-5</v>
      </c>
      <c r="Q7609" s="9">
        <v>8.9079999999999994E-5</v>
      </c>
      <c r="R7609" s="10">
        <v>2.1244713449627671E-4</v>
      </c>
      <c r="S7609" s="10">
        <v>1.9028958647851406E-4</v>
      </c>
      <c r="T7609" s="10">
        <v>0</v>
      </c>
      <c r="U7609" s="10">
        <v>1.0187999999999999E-4</v>
      </c>
      <c r="V7609" s="25"/>
      <c r="W7609" s="25"/>
      <c r="X7609" s="25"/>
      <c r="Y7609" s="25"/>
      <c r="Z7609" s="25"/>
      <c r="AA7609" s="25"/>
    </row>
    <row r="7610" spans="1:27" x14ac:dyDescent="0.35">
      <c r="A7610" s="5">
        <v>7606</v>
      </c>
      <c r="B7610" s="5">
        <v>317</v>
      </c>
      <c r="C7610" s="5">
        <v>11</v>
      </c>
      <c r="D7610" s="25">
        <v>1.1415000000000001E-4</v>
      </c>
      <c r="E7610" s="25">
        <v>1.2012E-4</v>
      </c>
      <c r="F7610" s="25">
        <v>1.2695E-4</v>
      </c>
      <c r="G7610" s="25">
        <v>5.304E-5</v>
      </c>
      <c r="H7610" s="25">
        <v>7.2979999999999996E-5</v>
      </c>
      <c r="I7610" s="9">
        <v>1.1615E-4</v>
      </c>
      <c r="J7610" s="9">
        <v>1.1578000000000001E-4</v>
      </c>
      <c r="K7610" s="9">
        <v>2.2465000000000001E-4</v>
      </c>
      <c r="L7610" s="9">
        <v>9.8469999999999997E-5</v>
      </c>
      <c r="M7610" s="9">
        <v>1.1369E-4</v>
      </c>
      <c r="N7610" s="9">
        <v>1.0551E-4</v>
      </c>
      <c r="O7610" s="9">
        <v>8.8189999999999994E-5</v>
      </c>
      <c r="P7610" s="9">
        <v>8.8179999999999999E-5</v>
      </c>
      <c r="Q7610" s="9">
        <v>8.8839999999999996E-5</v>
      </c>
      <c r="R7610" s="10">
        <v>2.1244932830132986E-4</v>
      </c>
      <c r="S7610" s="10">
        <v>1.9028950021212843E-4</v>
      </c>
      <c r="T7610" s="10">
        <v>0</v>
      </c>
      <c r="U7610" s="10">
        <v>1.0187999999999999E-4</v>
      </c>
      <c r="V7610" s="25"/>
      <c r="W7610" s="25"/>
      <c r="X7610" s="25"/>
      <c r="Y7610" s="25"/>
      <c r="Z7610" s="25"/>
      <c r="AA7610" s="25"/>
    </row>
    <row r="7611" spans="1:27" x14ac:dyDescent="0.35">
      <c r="A7611" s="5">
        <v>7607</v>
      </c>
      <c r="B7611" s="5">
        <v>317</v>
      </c>
      <c r="C7611" s="5">
        <v>11</v>
      </c>
      <c r="D7611" s="25">
        <v>1.1416E-4</v>
      </c>
      <c r="E7611" s="25">
        <v>1.1379000000000001E-4</v>
      </c>
      <c r="F7611" s="25">
        <v>1.1236E-4</v>
      </c>
      <c r="G7611" s="25">
        <v>5.8850000000000001E-5</v>
      </c>
      <c r="H7611" s="25">
        <v>6.9880000000000002E-5</v>
      </c>
      <c r="I7611" s="9">
        <v>1.1752E-4</v>
      </c>
      <c r="J7611" s="9">
        <v>1.1054E-4</v>
      </c>
      <c r="K7611" s="9">
        <v>2.3737000000000001E-4</v>
      </c>
      <c r="L7611" s="9">
        <v>9.1370000000000001E-5</v>
      </c>
      <c r="M7611" s="9">
        <v>9.9350000000000003E-5</v>
      </c>
      <c r="N7611" s="9">
        <v>9.9879999999999999E-5</v>
      </c>
      <c r="O7611" s="9">
        <v>7.7299999999999995E-5</v>
      </c>
      <c r="P7611" s="9">
        <v>7.1500000000000003E-5</v>
      </c>
      <c r="Q7611" s="9">
        <v>6.6299999999999999E-5</v>
      </c>
      <c r="R7611" s="10">
        <v>2.1244901777617674E-4</v>
      </c>
      <c r="S7611" s="10">
        <v>1.9027883437008677E-4</v>
      </c>
      <c r="T7611" s="10">
        <v>0</v>
      </c>
      <c r="U7611" s="10">
        <v>1.0187999999999999E-4</v>
      </c>
      <c r="V7611" s="25"/>
      <c r="W7611" s="25"/>
      <c r="X7611" s="25"/>
      <c r="Y7611" s="25"/>
      <c r="Z7611" s="25"/>
      <c r="AA7611" s="25"/>
    </row>
    <row r="7612" spans="1:27" x14ac:dyDescent="0.35">
      <c r="A7612" s="5">
        <v>7608</v>
      </c>
      <c r="B7612" s="5">
        <v>317</v>
      </c>
      <c r="C7612" s="5">
        <v>11</v>
      </c>
      <c r="D7612" s="25">
        <v>1.1415000000000001E-4</v>
      </c>
      <c r="E7612" s="25">
        <v>1.1453E-4</v>
      </c>
      <c r="F7612" s="25">
        <v>1.2501E-4</v>
      </c>
      <c r="G7612" s="25">
        <v>5.3430000000000002E-5</v>
      </c>
      <c r="H7612" s="25">
        <v>6.5439999999999997E-5</v>
      </c>
      <c r="I7612" s="9">
        <v>1.1723E-4</v>
      </c>
      <c r="J7612" s="9">
        <v>1.0438999999999999E-4</v>
      </c>
      <c r="K7612" s="9">
        <v>2.7763000000000001E-4</v>
      </c>
      <c r="L7612" s="9">
        <v>8.0389999999999994E-5</v>
      </c>
      <c r="M7612" s="9">
        <v>8.6160000000000002E-5</v>
      </c>
      <c r="N7612" s="9">
        <v>9.0530000000000002E-5</v>
      </c>
      <c r="O7612" s="9">
        <v>6.3460000000000006E-5</v>
      </c>
      <c r="P7612" s="9">
        <v>6.1309999999999994E-5</v>
      </c>
      <c r="Q7612" s="9">
        <v>5.9469999999999998E-5</v>
      </c>
      <c r="R7612" s="10">
        <v>2.124468146307572E-4</v>
      </c>
      <c r="S7612" s="10">
        <v>1.9021974965890837E-4</v>
      </c>
      <c r="T7612" s="10">
        <v>0</v>
      </c>
      <c r="U7612" s="10">
        <v>1.0187999999999999E-4</v>
      </c>
      <c r="V7612" s="25"/>
      <c r="W7612" s="25"/>
      <c r="X7612" s="25"/>
      <c r="Y7612" s="25"/>
      <c r="Z7612" s="25"/>
      <c r="AA7612" s="25"/>
    </row>
    <row r="7613" spans="1:27" x14ac:dyDescent="0.35">
      <c r="A7613" s="5">
        <v>7609</v>
      </c>
      <c r="B7613" s="5">
        <v>318</v>
      </c>
      <c r="C7613" s="5">
        <v>11</v>
      </c>
      <c r="D7613" s="25">
        <v>1.1416E-4</v>
      </c>
      <c r="E7613" s="25">
        <v>1.1169E-4</v>
      </c>
      <c r="F7613" s="25">
        <v>1.1805E-4</v>
      </c>
      <c r="G7613" s="25">
        <v>6.0760000000000001E-5</v>
      </c>
      <c r="H7613" s="25">
        <v>7.1089999999999999E-5</v>
      </c>
      <c r="I7613" s="9">
        <v>1.111E-4</v>
      </c>
      <c r="J7613" s="9">
        <v>9.9270000000000003E-5</v>
      </c>
      <c r="K7613" s="9">
        <v>2.6915000000000001E-4</v>
      </c>
      <c r="L7613" s="9">
        <v>6.7210000000000002E-5</v>
      </c>
      <c r="M7613" s="9">
        <v>7.4159999999999995E-5</v>
      </c>
      <c r="N7613" s="9">
        <v>8.1299999999999997E-5</v>
      </c>
      <c r="O7613" s="9">
        <v>5.4870000000000002E-5</v>
      </c>
      <c r="P7613" s="9">
        <v>5.4289999999999997E-5</v>
      </c>
      <c r="Q7613" s="9">
        <v>5.3860000000000003E-5</v>
      </c>
      <c r="R7613" s="10">
        <v>2.124490877698676E-4</v>
      </c>
      <c r="S7613" s="10">
        <v>1.8934801237366748E-4</v>
      </c>
      <c r="T7613" s="10">
        <v>0</v>
      </c>
      <c r="U7613" s="10">
        <v>1.0084E-4</v>
      </c>
      <c r="V7613" s="25"/>
      <c r="W7613" s="25"/>
      <c r="X7613" s="25"/>
      <c r="Y7613" s="25"/>
      <c r="Z7613" s="25"/>
      <c r="AA7613" s="25"/>
    </row>
    <row r="7614" spans="1:27" x14ac:dyDescent="0.35">
      <c r="A7614" s="5">
        <v>7610</v>
      </c>
      <c r="B7614" s="5">
        <v>318</v>
      </c>
      <c r="C7614" s="5">
        <v>11</v>
      </c>
      <c r="D7614" s="25">
        <v>1.1415000000000001E-4</v>
      </c>
      <c r="E7614" s="25">
        <v>1.1717E-4</v>
      </c>
      <c r="F7614" s="25">
        <v>1.1956E-4</v>
      </c>
      <c r="G7614" s="25">
        <v>6.2219999999999997E-5</v>
      </c>
      <c r="H7614" s="25">
        <v>7.1970000000000004E-5</v>
      </c>
      <c r="I7614" s="9">
        <v>1.0569E-4</v>
      </c>
      <c r="J7614" s="9">
        <v>9.4980000000000002E-5</v>
      </c>
      <c r="K7614" s="9">
        <v>2.8611000000000001E-4</v>
      </c>
      <c r="L7614" s="9">
        <v>5.7949999999999999E-5</v>
      </c>
      <c r="M7614" s="9">
        <v>6.4170000000000004E-5</v>
      </c>
      <c r="N7614" s="9">
        <v>7.2299999999999996E-5</v>
      </c>
      <c r="O7614" s="9">
        <v>1.872E-5</v>
      </c>
      <c r="P7614" s="9">
        <v>3.7950000000000001E-5</v>
      </c>
      <c r="Q7614" s="9">
        <v>5.6480000000000001E-5</v>
      </c>
      <c r="R7614" s="10">
        <v>2.1244051361845177E-4</v>
      </c>
      <c r="S7614" s="10">
        <v>1.89442290388281E-4</v>
      </c>
      <c r="T7614" s="10">
        <v>0</v>
      </c>
      <c r="U7614" s="10">
        <v>1.0084E-4</v>
      </c>
      <c r="V7614" s="25"/>
      <c r="W7614" s="25"/>
      <c r="X7614" s="25"/>
      <c r="Y7614" s="25"/>
      <c r="Z7614" s="25"/>
      <c r="AA7614" s="25"/>
    </row>
    <row r="7615" spans="1:27" x14ac:dyDescent="0.35">
      <c r="A7615" s="5">
        <v>7611</v>
      </c>
      <c r="B7615" s="5">
        <v>318</v>
      </c>
      <c r="C7615" s="5">
        <v>11</v>
      </c>
      <c r="D7615" s="25">
        <v>1.1416E-4</v>
      </c>
      <c r="E7615" s="25">
        <v>1.1769000000000001E-4</v>
      </c>
      <c r="F7615" s="25">
        <v>1.1147E-4</v>
      </c>
      <c r="G7615" s="25">
        <v>5.8869999999999997E-5</v>
      </c>
      <c r="H7615" s="25">
        <v>7.5850000000000001E-5</v>
      </c>
      <c r="I7615" s="9">
        <v>1.0102000000000001E-4</v>
      </c>
      <c r="J7615" s="9">
        <v>9.1890000000000003E-5</v>
      </c>
      <c r="K7615" s="9">
        <v>2.9459000000000001E-4</v>
      </c>
      <c r="L7615" s="9">
        <v>2.7549999999999999E-5</v>
      </c>
      <c r="M7615" s="9">
        <v>5.2460000000000003E-5</v>
      </c>
      <c r="N7615" s="9">
        <v>6.5759999999999994E-5</v>
      </c>
      <c r="O7615" s="9">
        <v>1.2989999999999999E-5</v>
      </c>
      <c r="P7615" s="9">
        <v>3.7429999999999999E-5</v>
      </c>
      <c r="Q7615" s="9">
        <v>6.1020000000000002E-5</v>
      </c>
      <c r="R7615" s="10">
        <v>2.1244382518639701E-4</v>
      </c>
      <c r="S7615" s="10">
        <v>1.8967779580699432E-4</v>
      </c>
      <c r="T7615" s="10">
        <v>0</v>
      </c>
      <c r="U7615" s="10">
        <v>1.0084E-4</v>
      </c>
      <c r="V7615" s="25"/>
      <c r="W7615" s="25"/>
      <c r="X7615" s="25"/>
      <c r="Y7615" s="25"/>
      <c r="Z7615" s="25"/>
      <c r="AA7615" s="25"/>
    </row>
    <row r="7616" spans="1:27" x14ac:dyDescent="0.35">
      <c r="A7616" s="5">
        <v>7612</v>
      </c>
      <c r="B7616" s="5">
        <v>318</v>
      </c>
      <c r="C7616" s="5">
        <v>11</v>
      </c>
      <c r="D7616" s="25">
        <v>1.1415000000000001E-4</v>
      </c>
      <c r="E7616" s="25">
        <v>1.0778E-4</v>
      </c>
      <c r="F7616" s="25">
        <v>1.0827000000000001E-4</v>
      </c>
      <c r="G7616" s="25">
        <v>5.5149999999999999E-5</v>
      </c>
      <c r="H7616" s="25">
        <v>6.9200000000000002E-5</v>
      </c>
      <c r="I7616" s="9">
        <v>9.8170000000000004E-5</v>
      </c>
      <c r="J7616" s="9">
        <v>9.0660000000000003E-5</v>
      </c>
      <c r="K7616" s="9">
        <v>3.1154000000000002E-4</v>
      </c>
      <c r="L7616" s="9">
        <v>1.6949999999999999E-5</v>
      </c>
      <c r="M7616" s="9">
        <v>4.4249999999999998E-5</v>
      </c>
      <c r="N7616" s="9">
        <v>6.2009999999999998E-5</v>
      </c>
      <c r="O7616" s="9">
        <v>1.3040000000000001E-5</v>
      </c>
      <c r="P7616" s="9">
        <v>4.6999999999999997E-5</v>
      </c>
      <c r="Q7616" s="9">
        <v>7.9930000000000002E-5</v>
      </c>
      <c r="R7616" s="10">
        <v>2.1244886618635518E-4</v>
      </c>
      <c r="S7616" s="10">
        <v>1.9012238724242319E-4</v>
      </c>
      <c r="T7616" s="10">
        <v>0</v>
      </c>
      <c r="U7616" s="10">
        <v>1.0084E-4</v>
      </c>
      <c r="V7616" s="25"/>
      <c r="W7616" s="25"/>
      <c r="X7616" s="25"/>
      <c r="Y7616" s="25"/>
      <c r="Z7616" s="25"/>
      <c r="AA7616" s="25"/>
    </row>
    <row r="7617" spans="1:27" x14ac:dyDescent="0.35">
      <c r="A7617" s="5">
        <v>7613</v>
      </c>
      <c r="B7617" s="5">
        <v>318</v>
      </c>
      <c r="C7617" s="5">
        <v>11</v>
      </c>
      <c r="D7617" s="25">
        <v>1.1416E-4</v>
      </c>
      <c r="E7617" s="25">
        <v>1.1207E-4</v>
      </c>
      <c r="F7617" s="25">
        <v>1.1938E-4</v>
      </c>
      <c r="G7617" s="25">
        <v>6.3360000000000003E-5</v>
      </c>
      <c r="H7617" s="25">
        <v>6.4469999999999998E-5</v>
      </c>
      <c r="I7617" s="9">
        <v>9.6910000000000006E-5</v>
      </c>
      <c r="J7617" s="9">
        <v>8.9959999999999999E-5</v>
      </c>
      <c r="K7617" s="9">
        <v>3.1366E-4</v>
      </c>
      <c r="L7617" s="9">
        <v>1.416E-5</v>
      </c>
      <c r="M7617" s="9">
        <v>4.3380000000000001E-5</v>
      </c>
      <c r="N7617" s="9">
        <v>6.4419999999999996E-5</v>
      </c>
      <c r="O7617" s="9">
        <v>1.861E-5</v>
      </c>
      <c r="P7617" s="9">
        <v>5.6610000000000002E-5</v>
      </c>
      <c r="Q7617" s="9">
        <v>9.3610000000000007E-5</v>
      </c>
      <c r="R7617" s="10">
        <v>2.1244899253071122E-4</v>
      </c>
      <c r="S7617" s="10">
        <v>1.9028892771391745E-4</v>
      </c>
      <c r="T7617" s="10">
        <v>0</v>
      </c>
      <c r="U7617" s="10">
        <v>1.0084E-4</v>
      </c>
      <c r="V7617" s="25"/>
      <c r="W7617" s="25"/>
      <c r="X7617" s="25"/>
      <c r="Y7617" s="25"/>
      <c r="Z7617" s="25"/>
      <c r="AA7617" s="25"/>
    </row>
    <row r="7618" spans="1:27" x14ac:dyDescent="0.35">
      <c r="A7618" s="5">
        <v>7614</v>
      </c>
      <c r="B7618" s="5">
        <v>318</v>
      </c>
      <c r="C7618" s="5">
        <v>11</v>
      </c>
      <c r="D7618" s="25">
        <v>1.1415000000000001E-4</v>
      </c>
      <c r="E7618" s="25">
        <v>1.1058E-4</v>
      </c>
      <c r="F7618" s="25">
        <v>1.1540999999999999E-4</v>
      </c>
      <c r="G7618" s="25">
        <v>1.0661E-4</v>
      </c>
      <c r="H7618" s="25">
        <v>1.3447000000000001E-4</v>
      </c>
      <c r="I7618" s="9">
        <v>9.7620000000000004E-5</v>
      </c>
      <c r="J7618" s="9">
        <v>9.1030000000000001E-5</v>
      </c>
      <c r="K7618" s="9">
        <v>3.2213000000000001E-4</v>
      </c>
      <c r="L7618" s="9">
        <v>1.7499999999999998E-5</v>
      </c>
      <c r="M7618" s="9">
        <v>4.8279999999999999E-5</v>
      </c>
      <c r="N7618" s="9">
        <v>7.0920000000000005E-5</v>
      </c>
      <c r="O7618" s="9">
        <v>4.6489999999999997E-5</v>
      </c>
      <c r="P7618" s="9">
        <v>7.7280000000000005E-5</v>
      </c>
      <c r="Q7618" s="9">
        <v>1.0762E-4</v>
      </c>
      <c r="R7618" s="10">
        <v>2.1244929781863206E-4</v>
      </c>
      <c r="S7618" s="10">
        <v>1.9029013910987634E-4</v>
      </c>
      <c r="T7618" s="10">
        <v>0</v>
      </c>
      <c r="U7618" s="10">
        <v>1.0084E-4</v>
      </c>
      <c r="V7618" s="25"/>
      <c r="W7618" s="25"/>
      <c r="X7618" s="25"/>
      <c r="Y7618" s="25"/>
      <c r="Z7618" s="25"/>
      <c r="AA7618" s="25"/>
    </row>
    <row r="7619" spans="1:27" x14ac:dyDescent="0.35">
      <c r="A7619" s="5">
        <v>7615</v>
      </c>
      <c r="B7619" s="5">
        <v>318</v>
      </c>
      <c r="C7619" s="5">
        <v>11</v>
      </c>
      <c r="D7619" s="25">
        <v>1.1416E-4</v>
      </c>
      <c r="E7619" s="25">
        <v>1.1438999999999999E-4</v>
      </c>
      <c r="F7619" s="25">
        <v>1.1226E-4</v>
      </c>
      <c r="G7619" s="25">
        <v>1.1188000000000001E-4</v>
      </c>
      <c r="H7619" s="25">
        <v>1.2627999999999999E-4</v>
      </c>
      <c r="I7619" s="9">
        <v>9.993E-5</v>
      </c>
      <c r="J7619" s="9">
        <v>9.3709999999999996E-5</v>
      </c>
      <c r="K7619" s="9">
        <v>3.2001000000000002E-4</v>
      </c>
      <c r="L7619" s="9">
        <v>3.9969999999999998E-5</v>
      </c>
      <c r="M7619" s="9">
        <v>6.0109999999999999E-5</v>
      </c>
      <c r="N7619" s="9">
        <v>8.0740000000000003E-5</v>
      </c>
      <c r="O7619" s="9">
        <v>1.2349E-4</v>
      </c>
      <c r="P7619" s="9">
        <v>1.1725E-4</v>
      </c>
      <c r="Q7619" s="9">
        <v>1.1232E-4</v>
      </c>
      <c r="R7619" s="10">
        <v>2.124488932723454E-4</v>
      </c>
      <c r="S7619" s="10">
        <v>1.9029020759484994E-4</v>
      </c>
      <c r="T7619" s="10">
        <v>0</v>
      </c>
      <c r="U7619" s="10">
        <v>1.0084E-4</v>
      </c>
      <c r="V7619" s="25"/>
      <c r="W7619" s="25"/>
      <c r="X7619" s="25"/>
      <c r="Y7619" s="25"/>
      <c r="Z7619" s="25"/>
      <c r="AA7619" s="25"/>
    </row>
    <row r="7620" spans="1:27" x14ac:dyDescent="0.35">
      <c r="A7620" s="5">
        <v>7616</v>
      </c>
      <c r="B7620" s="5">
        <v>318</v>
      </c>
      <c r="C7620" s="5">
        <v>11</v>
      </c>
      <c r="D7620" s="25">
        <v>1.1415000000000001E-4</v>
      </c>
      <c r="E7620" s="25">
        <v>1.1321E-4</v>
      </c>
      <c r="F7620" s="25">
        <v>1.0751000000000001E-4</v>
      </c>
      <c r="G7620" s="25">
        <v>1.5651E-4</v>
      </c>
      <c r="H7620" s="25">
        <v>1.9755E-4</v>
      </c>
      <c r="I7620" s="9">
        <v>1.0173E-4</v>
      </c>
      <c r="J7620" s="9">
        <v>9.7689999999999995E-5</v>
      </c>
      <c r="K7620" s="9">
        <v>3.0306000000000002E-4</v>
      </c>
      <c r="L7620" s="9">
        <v>1.0449E-4</v>
      </c>
      <c r="M7620" s="9">
        <v>8.373E-5</v>
      </c>
      <c r="N7620" s="9">
        <v>9.0810000000000006E-5</v>
      </c>
      <c r="O7620" s="9">
        <v>2.2154E-4</v>
      </c>
      <c r="P7620" s="9">
        <v>1.7772E-4</v>
      </c>
      <c r="Q7620" s="9">
        <v>1.3729000000000001E-4</v>
      </c>
      <c r="R7620" s="10">
        <v>2.1244905489421973E-4</v>
      </c>
      <c r="S7620" s="10">
        <v>1.9029017254862789E-4</v>
      </c>
      <c r="T7620" s="10">
        <v>0</v>
      </c>
      <c r="U7620" s="10">
        <v>1.0084E-4</v>
      </c>
      <c r="V7620" s="25"/>
      <c r="W7620" s="25"/>
      <c r="X7620" s="25"/>
      <c r="Y7620" s="25"/>
      <c r="Z7620" s="25"/>
      <c r="AA7620" s="25"/>
    </row>
    <row r="7621" spans="1:27" x14ac:dyDescent="0.35">
      <c r="A7621" s="5">
        <v>7617</v>
      </c>
      <c r="B7621" s="5">
        <v>318</v>
      </c>
      <c r="C7621" s="5">
        <v>11</v>
      </c>
      <c r="D7621" s="25">
        <v>1.1416E-4</v>
      </c>
      <c r="E7621" s="25">
        <v>1.1594E-4</v>
      </c>
      <c r="F7621" s="25">
        <v>1.1861E-4</v>
      </c>
      <c r="G7621" s="25">
        <v>1.5721999999999999E-4</v>
      </c>
      <c r="H7621" s="25">
        <v>1.9154E-4</v>
      </c>
      <c r="I7621" s="9">
        <v>1.0524E-4</v>
      </c>
      <c r="J7621" s="9">
        <v>1.0284E-4</v>
      </c>
      <c r="K7621" s="9">
        <v>2.3948E-4</v>
      </c>
      <c r="L7621" s="9">
        <v>1.9403000000000001E-4</v>
      </c>
      <c r="M7621" s="9">
        <v>1.2366999999999999E-4</v>
      </c>
      <c r="N7621" s="9">
        <v>1.047E-4</v>
      </c>
      <c r="O7621" s="9">
        <v>2.1185999999999999E-4</v>
      </c>
      <c r="P7621" s="9">
        <v>1.9277000000000001E-4</v>
      </c>
      <c r="Q7621" s="9">
        <v>1.7653999999999999E-4</v>
      </c>
      <c r="R7621" s="10">
        <v>2.1244271377031954E-4</v>
      </c>
      <c r="S7621" s="10">
        <v>1.9029020759484994E-4</v>
      </c>
      <c r="T7621" s="10">
        <v>6.5643024072052655E-5</v>
      </c>
      <c r="U7621" s="10">
        <v>1.0084E-4</v>
      </c>
      <c r="V7621" s="25"/>
      <c r="W7621" s="25"/>
      <c r="X7621" s="25"/>
      <c r="Y7621" s="25"/>
      <c r="Z7621" s="25"/>
      <c r="AA7621" s="25"/>
    </row>
    <row r="7622" spans="1:27" x14ac:dyDescent="0.35">
      <c r="A7622" s="5">
        <v>7618</v>
      </c>
      <c r="B7622" s="5">
        <v>318</v>
      </c>
      <c r="C7622" s="5">
        <v>11</v>
      </c>
      <c r="D7622" s="25">
        <v>1.1415000000000001E-4</v>
      </c>
      <c r="E7622" s="25">
        <v>1.1506E-4</v>
      </c>
      <c r="F7622" s="25">
        <v>1.1663E-4</v>
      </c>
      <c r="G7622" s="25">
        <v>1.5911000000000001E-4</v>
      </c>
      <c r="H7622" s="25">
        <v>1.9212E-4</v>
      </c>
      <c r="I7622" s="9">
        <v>1.1047E-4</v>
      </c>
      <c r="J7622" s="9">
        <v>1.1006E-4</v>
      </c>
      <c r="K7622" s="9">
        <v>1.6531E-4</v>
      </c>
      <c r="L7622" s="9">
        <v>2.0558999999999999E-4</v>
      </c>
      <c r="M7622" s="9">
        <v>1.5867E-4</v>
      </c>
      <c r="N7622" s="9">
        <v>1.2464999999999999E-4</v>
      </c>
      <c r="O7622" s="9">
        <v>1.672E-4</v>
      </c>
      <c r="P7622" s="9">
        <v>1.7338999999999999E-4</v>
      </c>
      <c r="Q7622" s="9">
        <v>1.8136000000000001E-4</v>
      </c>
      <c r="R7622" s="10">
        <v>2.1239585661862647E-4</v>
      </c>
      <c r="S7622" s="10">
        <v>1.9029020759484994E-4</v>
      </c>
      <c r="T7622" s="10">
        <v>8.5063585284528872E-5</v>
      </c>
      <c r="U7622" s="10">
        <v>1.0084E-4</v>
      </c>
      <c r="V7622" s="25"/>
      <c r="W7622" s="25"/>
      <c r="X7622" s="25"/>
      <c r="Y7622" s="25"/>
      <c r="Z7622" s="25"/>
      <c r="AA7622" s="25"/>
    </row>
    <row r="7623" spans="1:27" x14ac:dyDescent="0.35">
      <c r="A7623" s="5">
        <v>7619</v>
      </c>
      <c r="B7623" s="5">
        <v>318</v>
      </c>
      <c r="C7623" s="5">
        <v>11</v>
      </c>
      <c r="D7623" s="25">
        <v>1.1416E-4</v>
      </c>
      <c r="E7623" s="25">
        <v>1.1012E-4</v>
      </c>
      <c r="F7623" s="25">
        <v>1.2747999999999999E-4</v>
      </c>
      <c r="G7623" s="25">
        <v>1.6196E-4</v>
      </c>
      <c r="H7623" s="25">
        <v>1.9441E-4</v>
      </c>
      <c r="I7623" s="9">
        <v>1.1612000000000001E-4</v>
      </c>
      <c r="J7623" s="9">
        <v>1.1495E-4</v>
      </c>
      <c r="K7623" s="9">
        <v>1.0808E-4</v>
      </c>
      <c r="L7623" s="9">
        <v>1.7573999999999999E-4</v>
      </c>
      <c r="M7623" s="9">
        <v>1.7206E-4</v>
      </c>
      <c r="N7623" s="9">
        <v>1.4257000000000001E-4</v>
      </c>
      <c r="O7623" s="9">
        <v>1.6692000000000001E-4</v>
      </c>
      <c r="P7623" s="9">
        <v>1.7175E-4</v>
      </c>
      <c r="Q7623" s="9">
        <v>1.7839E-4</v>
      </c>
      <c r="R7623" s="10">
        <v>2.1216016811809646E-4</v>
      </c>
      <c r="S7623" s="10">
        <v>1.9029020759484994E-4</v>
      </c>
      <c r="T7623" s="10">
        <v>1.2141032370053941E-4</v>
      </c>
      <c r="U7623" s="10">
        <v>1.0084E-4</v>
      </c>
      <c r="V7623" s="25"/>
      <c r="W7623" s="25"/>
      <c r="X7623" s="25"/>
      <c r="Y7623" s="25"/>
      <c r="Z7623" s="25"/>
      <c r="AA7623" s="25"/>
    </row>
    <row r="7624" spans="1:27" x14ac:dyDescent="0.35">
      <c r="A7624" s="5">
        <v>7620</v>
      </c>
      <c r="B7624" s="5">
        <v>318</v>
      </c>
      <c r="C7624" s="5">
        <v>11</v>
      </c>
      <c r="D7624" s="25">
        <v>1.1415000000000001E-4</v>
      </c>
      <c r="E7624" s="25">
        <v>1.0906E-4</v>
      </c>
      <c r="F7624" s="25">
        <v>1.1839E-4</v>
      </c>
      <c r="G7624" s="25">
        <v>1.6485999999999999E-4</v>
      </c>
      <c r="H7624" s="25">
        <v>1.9398000000000001E-4</v>
      </c>
      <c r="I7624" s="9">
        <v>1.2131E-4</v>
      </c>
      <c r="J7624" s="9">
        <v>1.18E-4</v>
      </c>
      <c r="K7624" s="9">
        <v>9.5370000000000003E-5</v>
      </c>
      <c r="L7624" s="9">
        <v>1.7029999999999999E-4</v>
      </c>
      <c r="M7624" s="9">
        <v>1.7417999999999999E-4</v>
      </c>
      <c r="N7624" s="9">
        <v>1.5637999999999999E-4</v>
      </c>
      <c r="O7624" s="9">
        <v>1.7166999999999999E-4</v>
      </c>
      <c r="P7624" s="9">
        <v>1.7243E-4</v>
      </c>
      <c r="Q7624" s="9">
        <v>1.7511E-4</v>
      </c>
      <c r="R7624" s="10">
        <v>2.0943365444884066E-4</v>
      </c>
      <c r="S7624" s="10">
        <v>1.9028812120609149E-4</v>
      </c>
      <c r="T7624" s="10">
        <v>1.1384232868021229E-4</v>
      </c>
      <c r="U7624" s="10">
        <v>1.0084E-4</v>
      </c>
      <c r="V7624" s="25"/>
      <c r="W7624" s="25"/>
      <c r="X7624" s="25"/>
      <c r="Y7624" s="25"/>
      <c r="Z7624" s="25"/>
      <c r="AA7624" s="25"/>
    </row>
    <row r="7625" spans="1:27" x14ac:dyDescent="0.35">
      <c r="A7625" s="5">
        <v>7621</v>
      </c>
      <c r="B7625" s="5">
        <v>318</v>
      </c>
      <c r="C7625" s="5">
        <v>11</v>
      </c>
      <c r="D7625" s="25">
        <v>1.1416E-4</v>
      </c>
      <c r="E7625" s="25">
        <v>1.0878E-4</v>
      </c>
      <c r="F7625" s="25">
        <v>1.2015000000000001E-4</v>
      </c>
      <c r="G7625" s="25">
        <v>1.6561000000000001E-4</v>
      </c>
      <c r="H7625" s="25">
        <v>1.9468E-4</v>
      </c>
      <c r="I7625" s="9">
        <v>1.2311000000000001E-4</v>
      </c>
      <c r="J7625" s="9">
        <v>1.2006E-4</v>
      </c>
      <c r="K7625" s="9">
        <v>9.1139999999999998E-5</v>
      </c>
      <c r="L7625" s="9">
        <v>1.7154E-4</v>
      </c>
      <c r="M7625" s="9">
        <v>1.7362000000000001E-4</v>
      </c>
      <c r="N7625" s="9">
        <v>1.6606999999999999E-4</v>
      </c>
      <c r="O7625" s="9">
        <v>1.6239E-4</v>
      </c>
      <c r="P7625" s="9">
        <v>1.6401E-4</v>
      </c>
      <c r="Q7625" s="9">
        <v>1.6741E-4</v>
      </c>
      <c r="R7625" s="10">
        <v>2.0972865681980968E-4</v>
      </c>
      <c r="S7625" s="10">
        <v>1.9027527594711911E-4</v>
      </c>
      <c r="T7625" s="10">
        <v>9.7917298799994788E-5</v>
      </c>
      <c r="U7625" s="10">
        <v>1.0084E-4</v>
      </c>
      <c r="V7625" s="25"/>
      <c r="W7625" s="25"/>
      <c r="X7625" s="25"/>
      <c r="Y7625" s="25"/>
      <c r="Z7625" s="25"/>
      <c r="AA7625" s="25"/>
    </row>
    <row r="7626" spans="1:27" x14ac:dyDescent="0.35">
      <c r="A7626" s="5">
        <v>7622</v>
      </c>
      <c r="B7626" s="5">
        <v>318</v>
      </c>
      <c r="C7626" s="5">
        <v>11</v>
      </c>
      <c r="D7626" s="25">
        <v>1.1415000000000001E-4</v>
      </c>
      <c r="E7626" s="25">
        <v>1.0893E-4</v>
      </c>
      <c r="F7626" s="25">
        <v>1.0674E-4</v>
      </c>
      <c r="G7626" s="25">
        <v>1.6495999999999999E-4</v>
      </c>
      <c r="H7626" s="25">
        <v>1.9659000000000001E-4</v>
      </c>
      <c r="I7626" s="9">
        <v>1.2002000000000001E-4</v>
      </c>
      <c r="J7626" s="9">
        <v>1.1958E-4</v>
      </c>
      <c r="K7626" s="9">
        <v>1.0385E-4</v>
      </c>
      <c r="L7626" s="9">
        <v>1.6411E-4</v>
      </c>
      <c r="M7626" s="9">
        <v>1.7001000000000001E-4</v>
      </c>
      <c r="N7626" s="9">
        <v>1.7038000000000001E-4</v>
      </c>
      <c r="O7626" s="9">
        <v>1.7927000000000001E-4</v>
      </c>
      <c r="P7626" s="9">
        <v>1.6901000000000001E-4</v>
      </c>
      <c r="Q7626" s="9">
        <v>1.6097999999999999E-4</v>
      </c>
      <c r="R7626" s="10">
        <v>2.1102956254309468E-4</v>
      </c>
      <c r="S7626" s="10">
        <v>1.9011810199425749E-4</v>
      </c>
      <c r="T7626" s="10">
        <v>2.7315201757783836E-4</v>
      </c>
      <c r="U7626" s="10">
        <v>1.0084E-4</v>
      </c>
      <c r="V7626" s="25"/>
      <c r="W7626" s="25"/>
      <c r="X7626" s="25"/>
      <c r="Y7626" s="25"/>
      <c r="Z7626" s="25"/>
      <c r="AA7626" s="25"/>
    </row>
    <row r="7627" spans="1:27" x14ac:dyDescent="0.35">
      <c r="A7627" s="5">
        <v>7623</v>
      </c>
      <c r="B7627" s="5">
        <v>318</v>
      </c>
      <c r="C7627" s="5">
        <v>11</v>
      </c>
      <c r="D7627" s="25">
        <v>1.1416E-4</v>
      </c>
      <c r="E7627" s="25">
        <v>1.1772E-4</v>
      </c>
      <c r="F7627" s="25">
        <v>1.1173E-4</v>
      </c>
      <c r="G7627" s="25">
        <v>1.5985000000000001E-4</v>
      </c>
      <c r="H7627" s="25">
        <v>1.8882999999999999E-4</v>
      </c>
      <c r="I7627" s="9">
        <v>1.1658E-4</v>
      </c>
      <c r="J7627" s="9">
        <v>1.1836999999999999E-4</v>
      </c>
      <c r="K7627" s="9">
        <v>1.1444E-4</v>
      </c>
      <c r="L7627" s="9">
        <v>1.7610999999999999E-4</v>
      </c>
      <c r="M7627" s="9">
        <v>1.6860000000000001E-4</v>
      </c>
      <c r="N7627" s="9">
        <v>1.6998E-4</v>
      </c>
      <c r="O7627" s="9">
        <v>1.8315000000000001E-4</v>
      </c>
      <c r="P7627" s="9">
        <v>1.6615999999999999E-4</v>
      </c>
      <c r="Q7627" s="9">
        <v>1.5155999999999999E-4</v>
      </c>
      <c r="R7627" s="10">
        <v>2.113251211922046E-4</v>
      </c>
      <c r="S7627" s="10">
        <v>1.9010568800456701E-4</v>
      </c>
      <c r="T7627" s="10">
        <v>8.8660928208989293E-5</v>
      </c>
      <c r="U7627" s="10">
        <v>1.0084E-4</v>
      </c>
      <c r="V7627" s="25"/>
      <c r="W7627" s="25"/>
      <c r="X7627" s="25"/>
      <c r="Y7627" s="25"/>
      <c r="Z7627" s="25"/>
      <c r="AA7627" s="25"/>
    </row>
    <row r="7628" spans="1:27" x14ac:dyDescent="0.35">
      <c r="A7628" s="5">
        <v>7624</v>
      </c>
      <c r="B7628" s="5">
        <v>318</v>
      </c>
      <c r="C7628" s="5">
        <v>11</v>
      </c>
      <c r="D7628" s="25">
        <v>1.1415000000000001E-4</v>
      </c>
      <c r="E7628" s="25">
        <v>1.1301E-4</v>
      </c>
      <c r="F7628" s="25">
        <v>1.2558E-4</v>
      </c>
      <c r="G7628" s="25">
        <v>1.5625E-4</v>
      </c>
      <c r="H7628" s="25">
        <v>1.9987999999999999E-4</v>
      </c>
      <c r="I7628" s="9">
        <v>1.1632E-4</v>
      </c>
      <c r="J7628" s="9">
        <v>1.1765E-4</v>
      </c>
      <c r="K7628" s="9">
        <v>1.5048000000000001E-4</v>
      </c>
      <c r="L7628" s="9">
        <v>1.8129999999999999E-4</v>
      </c>
      <c r="M7628" s="9">
        <v>1.6742999999999999E-4</v>
      </c>
      <c r="N7628" s="9">
        <v>1.6593000000000001E-4</v>
      </c>
      <c r="O7628" s="9">
        <v>1.974E-4</v>
      </c>
      <c r="P7628" s="9">
        <v>1.5182999999999999E-4</v>
      </c>
      <c r="Q7628" s="9">
        <v>1.0931E-4</v>
      </c>
      <c r="R7628" s="10">
        <v>2.0827692306477156E-4</v>
      </c>
      <c r="S7628" s="10">
        <v>1.9027084761881111E-4</v>
      </c>
      <c r="T7628" s="10">
        <v>1.6790428413932039E-5</v>
      </c>
      <c r="U7628" s="10">
        <v>1.0084E-4</v>
      </c>
      <c r="V7628" s="25"/>
      <c r="W7628" s="25"/>
      <c r="X7628" s="25"/>
      <c r="Y7628" s="25"/>
      <c r="Z7628" s="25"/>
      <c r="AA7628" s="25"/>
    </row>
    <row r="7629" spans="1:27" x14ac:dyDescent="0.35">
      <c r="A7629" s="5">
        <v>7625</v>
      </c>
      <c r="B7629" s="5">
        <v>318</v>
      </c>
      <c r="C7629" s="5">
        <v>11</v>
      </c>
      <c r="D7629" s="25">
        <v>1.1416E-4</v>
      </c>
      <c r="E7629" s="25">
        <v>1.1042E-4</v>
      </c>
      <c r="F7629" s="25">
        <v>1.1315E-4</v>
      </c>
      <c r="G7629" s="25">
        <v>1.6048000000000001E-4</v>
      </c>
      <c r="H7629" s="25">
        <v>1.9385E-4</v>
      </c>
      <c r="I7629" s="9">
        <v>1.1765999999999999E-4</v>
      </c>
      <c r="J7629" s="9">
        <v>1.2099000000000001E-4</v>
      </c>
      <c r="K7629" s="9">
        <v>1.7803E-4</v>
      </c>
      <c r="L7629" s="9">
        <v>1.9366000000000001E-4</v>
      </c>
      <c r="M7629" s="9">
        <v>1.6160999999999999E-4</v>
      </c>
      <c r="N7629" s="9">
        <v>1.5217E-4</v>
      </c>
      <c r="O7629" s="9">
        <v>2.1426999999999999E-4</v>
      </c>
      <c r="P7629" s="9">
        <v>1.5881000000000001E-4</v>
      </c>
      <c r="Q7629" s="9">
        <v>1.0682E-4</v>
      </c>
      <c r="R7629" s="10">
        <v>2.0399322087821171E-4</v>
      </c>
      <c r="S7629" s="10">
        <v>1.9017814328665098E-4</v>
      </c>
      <c r="T7629" s="10">
        <v>0</v>
      </c>
      <c r="U7629" s="10">
        <v>1.0084E-4</v>
      </c>
      <c r="V7629" s="25"/>
      <c r="W7629" s="25"/>
      <c r="X7629" s="25"/>
      <c r="Y7629" s="25"/>
      <c r="Z7629" s="25"/>
      <c r="AA7629" s="25"/>
    </row>
    <row r="7630" spans="1:27" x14ac:dyDescent="0.35">
      <c r="A7630" s="5">
        <v>7626</v>
      </c>
      <c r="B7630" s="5">
        <v>318</v>
      </c>
      <c r="C7630" s="5">
        <v>11</v>
      </c>
      <c r="D7630" s="25">
        <v>1.1415000000000001E-4</v>
      </c>
      <c r="E7630" s="25">
        <v>1.0840000000000001E-4</v>
      </c>
      <c r="F7630" s="25">
        <v>1.2375999999999999E-4</v>
      </c>
      <c r="G7630" s="25">
        <v>1.5972E-4</v>
      </c>
      <c r="H7630" s="25">
        <v>1.8794999999999999E-4</v>
      </c>
      <c r="I7630" s="9">
        <v>1.2530000000000001E-4</v>
      </c>
      <c r="J7630" s="9">
        <v>1.3119999999999999E-4</v>
      </c>
      <c r="K7630" s="9">
        <v>1.6955E-4</v>
      </c>
      <c r="L7630" s="9">
        <v>2.0949E-4</v>
      </c>
      <c r="M7630" s="9">
        <v>1.5901000000000001E-4</v>
      </c>
      <c r="N7630" s="9">
        <v>1.3877E-4</v>
      </c>
      <c r="O7630" s="9">
        <v>2.0508000000000001E-4</v>
      </c>
      <c r="P7630" s="9">
        <v>1.5944E-4</v>
      </c>
      <c r="Q7630" s="9">
        <v>1.1697999999999999E-4</v>
      </c>
      <c r="R7630" s="10">
        <v>2.0649228348547952E-4</v>
      </c>
      <c r="S7630" s="10">
        <v>1.901804149507892E-4</v>
      </c>
      <c r="T7630" s="10">
        <v>0</v>
      </c>
      <c r="U7630" s="10">
        <v>1.0084E-4</v>
      </c>
      <c r="V7630" s="25"/>
      <c r="W7630" s="25"/>
      <c r="X7630" s="25"/>
      <c r="Y7630" s="25"/>
      <c r="Z7630" s="25"/>
      <c r="AA7630" s="25"/>
    </row>
    <row r="7631" spans="1:27" x14ac:dyDescent="0.35">
      <c r="A7631" s="5">
        <v>7627</v>
      </c>
      <c r="B7631" s="5">
        <v>318</v>
      </c>
      <c r="C7631" s="5">
        <v>11</v>
      </c>
      <c r="D7631" s="25">
        <v>1.1416E-4</v>
      </c>
      <c r="E7631" s="25">
        <v>1.1475E-4</v>
      </c>
      <c r="F7631" s="25">
        <v>1.2084E-4</v>
      </c>
      <c r="G7631" s="25">
        <v>1.0603E-4</v>
      </c>
      <c r="H7631" s="25">
        <v>1.3474E-4</v>
      </c>
      <c r="I7631" s="9">
        <v>1.2915E-4</v>
      </c>
      <c r="J7631" s="9">
        <v>1.3011000000000001E-4</v>
      </c>
      <c r="K7631" s="9">
        <v>1.8013999999999999E-4</v>
      </c>
      <c r="L7631" s="9">
        <v>2.0563999999999999E-4</v>
      </c>
      <c r="M7631" s="9">
        <v>1.5865000000000001E-4</v>
      </c>
      <c r="N7631" s="9">
        <v>1.2957999999999999E-4</v>
      </c>
      <c r="O7631" s="9">
        <v>1.6588E-4</v>
      </c>
      <c r="P7631" s="9">
        <v>1.3558E-4</v>
      </c>
      <c r="Q7631" s="9">
        <v>1.0760999999999999E-4</v>
      </c>
      <c r="R7631" s="10">
        <v>2.0812747096478316E-4</v>
      </c>
      <c r="S7631" s="10">
        <v>1.9013222489311463E-4</v>
      </c>
      <c r="T7631" s="10">
        <v>0</v>
      </c>
      <c r="U7631" s="10">
        <v>1.0084E-4</v>
      </c>
      <c r="V7631" s="25"/>
      <c r="W7631" s="25"/>
      <c r="X7631" s="25"/>
      <c r="Y7631" s="25"/>
      <c r="Z7631" s="25"/>
      <c r="AA7631" s="25"/>
    </row>
    <row r="7632" spans="1:27" x14ac:dyDescent="0.35">
      <c r="A7632" s="5">
        <v>7628</v>
      </c>
      <c r="B7632" s="5">
        <v>318</v>
      </c>
      <c r="C7632" s="5">
        <v>11</v>
      </c>
      <c r="D7632" s="25">
        <v>1.1415000000000001E-4</v>
      </c>
      <c r="E7632" s="25">
        <v>1.1626E-4</v>
      </c>
      <c r="F7632" s="25">
        <v>1.2324999999999999E-4</v>
      </c>
      <c r="G7632" s="25">
        <v>1.0420999999999999E-4</v>
      </c>
      <c r="H7632" s="25">
        <v>1.3134999999999999E-4</v>
      </c>
      <c r="I7632" s="9">
        <v>1.2731999999999999E-4</v>
      </c>
      <c r="J7632" s="9">
        <v>1.2656000000000001E-4</v>
      </c>
      <c r="K7632" s="9">
        <v>1.8861999999999999E-4</v>
      </c>
      <c r="L7632" s="9">
        <v>1.7480999999999999E-4</v>
      </c>
      <c r="M7632" s="9">
        <v>1.5042000000000001E-4</v>
      </c>
      <c r="N7632" s="9">
        <v>1.2064E-4</v>
      </c>
      <c r="O7632" s="9">
        <v>1.2946999999999999E-4</v>
      </c>
      <c r="P7632" s="9">
        <v>1.1496E-4</v>
      </c>
      <c r="Q7632" s="9">
        <v>1.0198E-4</v>
      </c>
      <c r="R7632" s="10">
        <v>2.0770958976112496E-4</v>
      </c>
      <c r="S7632" s="10">
        <v>1.8753953453258434E-4</v>
      </c>
      <c r="T7632" s="10">
        <v>0</v>
      </c>
      <c r="U7632" s="10">
        <v>1.0084E-4</v>
      </c>
      <c r="V7632" s="25"/>
      <c r="W7632" s="25"/>
      <c r="X7632" s="25"/>
      <c r="Y7632" s="25"/>
      <c r="Z7632" s="25"/>
      <c r="AA7632" s="25"/>
    </row>
    <row r="7633" spans="1:27" x14ac:dyDescent="0.35">
      <c r="A7633" s="5">
        <v>7629</v>
      </c>
      <c r="B7633" s="5">
        <v>318</v>
      </c>
      <c r="C7633" s="5">
        <v>11</v>
      </c>
      <c r="D7633" s="25">
        <v>1.1416E-4</v>
      </c>
      <c r="E7633" s="25">
        <v>1.1668E-4</v>
      </c>
      <c r="F7633" s="25">
        <v>1.2726E-4</v>
      </c>
      <c r="G7633" s="25">
        <v>5.9729999999999999E-5</v>
      </c>
      <c r="H7633" s="25">
        <v>6.4789999999999995E-5</v>
      </c>
      <c r="I7633" s="9">
        <v>1.2294000000000001E-4</v>
      </c>
      <c r="J7633" s="9">
        <v>1.2226000000000001E-4</v>
      </c>
      <c r="K7633" s="9">
        <v>1.8861999999999999E-4</v>
      </c>
      <c r="L7633" s="9">
        <v>1.4040999999999999E-4</v>
      </c>
      <c r="M7633" s="9">
        <v>1.3533999999999999E-4</v>
      </c>
      <c r="N7633" s="9">
        <v>1.1307E-4</v>
      </c>
      <c r="O7633" s="9">
        <v>8.5000000000000006E-5</v>
      </c>
      <c r="P7633" s="9">
        <v>8.6409999999999994E-5</v>
      </c>
      <c r="Q7633" s="9">
        <v>8.8399999999999994E-5</v>
      </c>
      <c r="R7633" s="10">
        <v>2.0896644830432193E-4</v>
      </c>
      <c r="S7633" s="10">
        <v>1.6489596896247601E-4</v>
      </c>
      <c r="T7633" s="10">
        <v>0</v>
      </c>
      <c r="U7633" s="10">
        <v>1.0084E-4</v>
      </c>
      <c r="V7633" s="25"/>
      <c r="W7633" s="25"/>
      <c r="X7633" s="25"/>
      <c r="Y7633" s="25"/>
      <c r="Z7633" s="25"/>
      <c r="AA7633" s="25"/>
    </row>
    <row r="7634" spans="1:27" x14ac:dyDescent="0.35">
      <c r="A7634" s="5">
        <v>7630</v>
      </c>
      <c r="B7634" s="5">
        <v>318</v>
      </c>
      <c r="C7634" s="5">
        <v>11</v>
      </c>
      <c r="D7634" s="25">
        <v>1.1415000000000001E-4</v>
      </c>
      <c r="E7634" s="25">
        <v>1.182E-4</v>
      </c>
      <c r="F7634" s="25">
        <v>1.1835E-4</v>
      </c>
      <c r="G7634" s="25">
        <v>6.3219999999999994E-5</v>
      </c>
      <c r="H7634" s="25">
        <v>6.9540000000000002E-5</v>
      </c>
      <c r="I7634" s="9">
        <v>1.1687E-4</v>
      </c>
      <c r="J7634" s="9">
        <v>1.169E-4</v>
      </c>
      <c r="K7634" s="9">
        <v>2.0557E-4</v>
      </c>
      <c r="L7634" s="9">
        <v>9.8120000000000002E-5</v>
      </c>
      <c r="M7634" s="9">
        <v>1.1383999999999999E-4</v>
      </c>
      <c r="N7634" s="9">
        <v>1.0556E-4</v>
      </c>
      <c r="O7634" s="9">
        <v>8.7250000000000007E-5</v>
      </c>
      <c r="P7634" s="9">
        <v>8.7239999999999998E-5</v>
      </c>
      <c r="Q7634" s="9">
        <v>8.7880000000000006E-5</v>
      </c>
      <c r="R7634" s="10">
        <v>2.1007991366306061E-4</v>
      </c>
      <c r="S7634" s="10">
        <v>1.3294650232414227E-4</v>
      </c>
      <c r="T7634" s="10">
        <v>0</v>
      </c>
      <c r="U7634" s="10">
        <v>1.0084E-4</v>
      </c>
      <c r="V7634" s="25"/>
      <c r="W7634" s="25"/>
      <c r="X7634" s="25"/>
      <c r="Y7634" s="25"/>
      <c r="Z7634" s="25"/>
      <c r="AA7634" s="25"/>
    </row>
    <row r="7635" spans="1:27" x14ac:dyDescent="0.35">
      <c r="A7635" s="5">
        <v>7631</v>
      </c>
      <c r="B7635" s="5">
        <v>318</v>
      </c>
      <c r="C7635" s="5">
        <v>11</v>
      </c>
      <c r="D7635" s="25">
        <v>1.1416E-4</v>
      </c>
      <c r="E7635" s="25">
        <v>1.121E-4</v>
      </c>
      <c r="F7635" s="25">
        <v>1.0724E-4</v>
      </c>
      <c r="G7635" s="25">
        <v>6.2600000000000004E-5</v>
      </c>
      <c r="H7635" s="25">
        <v>6.4140000000000006E-5</v>
      </c>
      <c r="I7635" s="9">
        <v>1.1754E-4</v>
      </c>
      <c r="J7635" s="9">
        <v>1.1056E-4</v>
      </c>
      <c r="K7635" s="9">
        <v>2.0346000000000001E-4</v>
      </c>
      <c r="L7635" s="9">
        <v>9.0589999999999998E-5</v>
      </c>
      <c r="M7635" s="9">
        <v>9.8980000000000004E-5</v>
      </c>
      <c r="N7635" s="9">
        <v>9.9740000000000004E-5</v>
      </c>
      <c r="O7635" s="9">
        <v>7.8300000000000006E-5</v>
      </c>
      <c r="P7635" s="9">
        <v>7.2429999999999996E-5</v>
      </c>
      <c r="Q7635" s="9">
        <v>6.7160000000000001E-5</v>
      </c>
      <c r="R7635" s="10">
        <v>2.1110426169869916E-4</v>
      </c>
      <c r="S7635" s="10">
        <v>1.1172402987089489E-4</v>
      </c>
      <c r="T7635" s="10">
        <v>0</v>
      </c>
      <c r="U7635" s="10">
        <v>1.0084E-4</v>
      </c>
      <c r="V7635" s="25"/>
      <c r="W7635" s="25"/>
      <c r="X7635" s="25"/>
      <c r="Y7635" s="25"/>
      <c r="Z7635" s="25"/>
      <c r="AA7635" s="25"/>
    </row>
    <row r="7636" spans="1:27" x14ac:dyDescent="0.35">
      <c r="A7636" s="5">
        <v>7632</v>
      </c>
      <c r="B7636" s="5">
        <v>318</v>
      </c>
      <c r="C7636" s="5">
        <v>11</v>
      </c>
      <c r="D7636" s="25">
        <v>1.1415000000000001E-4</v>
      </c>
      <c r="E7636" s="25">
        <v>1.1092E-4</v>
      </c>
      <c r="F7636" s="25">
        <v>1.1954E-4</v>
      </c>
      <c r="G7636" s="25">
        <v>5.7380000000000003E-5</v>
      </c>
      <c r="H7636" s="25">
        <v>6.8319999999999996E-5</v>
      </c>
      <c r="I7636" s="9">
        <v>1.1587E-4</v>
      </c>
      <c r="J7636" s="9">
        <v>1.0304E-4</v>
      </c>
      <c r="K7636" s="9">
        <v>1.9074000000000001E-4</v>
      </c>
      <c r="L7636" s="9">
        <v>8.1000000000000004E-5</v>
      </c>
      <c r="M7636" s="9">
        <v>8.6139999999999999E-5</v>
      </c>
      <c r="N7636" s="9">
        <v>9.0569999999999995E-5</v>
      </c>
      <c r="O7636" s="9">
        <v>6.2440000000000005E-5</v>
      </c>
      <c r="P7636" s="9">
        <v>6.0319999999999998E-5</v>
      </c>
      <c r="Q7636" s="9">
        <v>5.8520000000000002E-5</v>
      </c>
      <c r="R7636" s="10">
        <v>2.1139128103023075E-4</v>
      </c>
      <c r="S7636" s="10">
        <v>1.0341360437074879E-4</v>
      </c>
      <c r="T7636" s="10">
        <v>0</v>
      </c>
      <c r="U7636" s="10">
        <v>1.0084E-4</v>
      </c>
      <c r="V7636" s="25"/>
      <c r="W7636" s="25"/>
      <c r="X7636" s="25"/>
      <c r="Y7636" s="25"/>
      <c r="Z7636" s="25"/>
      <c r="AA7636" s="25"/>
    </row>
    <row r="7637" spans="1:27" x14ac:dyDescent="0.35">
      <c r="A7637" s="5">
        <v>7633</v>
      </c>
      <c r="B7637" s="5">
        <v>319</v>
      </c>
      <c r="C7637" s="5">
        <v>11</v>
      </c>
      <c r="D7637" s="25">
        <v>1.1416E-4</v>
      </c>
      <c r="E7637" s="25">
        <v>1.2404000000000001E-4</v>
      </c>
      <c r="F7637" s="25">
        <v>1.0425999999999999E-4</v>
      </c>
      <c r="G7637" s="25">
        <v>5.9190000000000001E-5</v>
      </c>
      <c r="H7637" s="25">
        <v>6.4010000000000005E-5</v>
      </c>
      <c r="I7637" s="9">
        <v>1.1016E-4</v>
      </c>
      <c r="J7637" s="9">
        <v>9.8040000000000003E-5</v>
      </c>
      <c r="K7637" s="9">
        <v>1.9498000000000001E-4</v>
      </c>
      <c r="L7637" s="9">
        <v>6.6509999999999998E-5</v>
      </c>
      <c r="M7637" s="9">
        <v>7.3910000000000002E-5</v>
      </c>
      <c r="N7637" s="9">
        <v>8.1089999999999998E-5</v>
      </c>
      <c r="O7637" s="9">
        <v>5.4540000000000003E-5</v>
      </c>
      <c r="P7637" s="9">
        <v>5.3959999999999998E-5</v>
      </c>
      <c r="Q7637" s="9">
        <v>5.3529999999999997E-5</v>
      </c>
      <c r="R7637" s="10">
        <v>2.1074036055981061E-4</v>
      </c>
      <c r="S7637" s="10">
        <v>1.0102770527597706E-4</v>
      </c>
      <c r="T7637" s="10">
        <v>0</v>
      </c>
      <c r="U7637" s="10">
        <v>1.0162000000000001E-4</v>
      </c>
      <c r="V7637" s="25"/>
      <c r="W7637" s="25"/>
      <c r="X7637" s="25"/>
      <c r="Y7637" s="25"/>
      <c r="Z7637" s="25"/>
      <c r="AA7637" s="25"/>
    </row>
    <row r="7638" spans="1:27" x14ac:dyDescent="0.35">
      <c r="A7638" s="5">
        <v>7634</v>
      </c>
      <c r="B7638" s="5">
        <v>319</v>
      </c>
      <c r="C7638" s="5">
        <v>11</v>
      </c>
      <c r="D7638" s="25">
        <v>1.1415000000000001E-4</v>
      </c>
      <c r="E7638" s="25">
        <v>1.2369E-4</v>
      </c>
      <c r="F7638" s="25">
        <v>1.1001E-4</v>
      </c>
      <c r="G7638" s="25">
        <v>6.2830000000000007E-5</v>
      </c>
      <c r="H7638" s="25">
        <v>7.5469999999999994E-5</v>
      </c>
      <c r="I7638" s="9">
        <v>1.0457E-4</v>
      </c>
      <c r="J7638" s="9">
        <v>9.4439999999999997E-5</v>
      </c>
      <c r="K7638" s="9">
        <v>1.9709E-4</v>
      </c>
      <c r="L7638" s="9">
        <v>5.7569999999999999E-5</v>
      </c>
      <c r="M7638" s="9">
        <v>6.3810000000000001E-5</v>
      </c>
      <c r="N7638" s="9">
        <v>7.2009999999999997E-5</v>
      </c>
      <c r="O7638" s="9">
        <v>1.8519999999999999E-5</v>
      </c>
      <c r="P7638" s="9">
        <v>3.7549999999999998E-5</v>
      </c>
      <c r="Q7638" s="9">
        <v>5.588E-5</v>
      </c>
      <c r="R7638" s="10">
        <v>2.0864123172316721E-4</v>
      </c>
      <c r="S7638" s="10">
        <v>9.2143940125759226E-5</v>
      </c>
      <c r="T7638" s="10">
        <v>0</v>
      </c>
      <c r="U7638" s="10">
        <v>1.0162000000000001E-4</v>
      </c>
      <c r="V7638" s="25"/>
      <c r="W7638" s="25"/>
      <c r="X7638" s="25"/>
      <c r="Y7638" s="25"/>
      <c r="Z7638" s="25"/>
      <c r="AA7638" s="25"/>
    </row>
    <row r="7639" spans="1:27" x14ac:dyDescent="0.35">
      <c r="A7639" s="5">
        <v>7635</v>
      </c>
      <c r="B7639" s="5">
        <v>319</v>
      </c>
      <c r="C7639" s="5">
        <v>11</v>
      </c>
      <c r="D7639" s="25">
        <v>1.1416E-4</v>
      </c>
      <c r="E7639" s="25">
        <v>1.2237000000000001E-4</v>
      </c>
      <c r="F7639" s="25">
        <v>1.0292E-4</v>
      </c>
      <c r="G7639" s="25">
        <v>5.7370000000000001E-5</v>
      </c>
      <c r="H7639" s="25">
        <v>7.1199999999999996E-5</v>
      </c>
      <c r="I7639" s="9">
        <v>1.0192E-4</v>
      </c>
      <c r="J7639" s="9">
        <v>9.3399999999999993E-5</v>
      </c>
      <c r="K7639" s="9">
        <v>2.0133E-4</v>
      </c>
      <c r="L7639" s="9">
        <v>2.7310000000000001E-5</v>
      </c>
      <c r="M7639" s="9">
        <v>5.206E-5</v>
      </c>
      <c r="N7639" s="9">
        <v>6.5389999999999996E-5</v>
      </c>
      <c r="O7639" s="9">
        <v>1.323E-5</v>
      </c>
      <c r="P7639" s="9">
        <v>3.8139999999999997E-5</v>
      </c>
      <c r="Q7639" s="9">
        <v>6.2160000000000001E-5</v>
      </c>
      <c r="R7639" s="10">
        <v>2.0871525652610748E-4</v>
      </c>
      <c r="S7639" s="10">
        <v>9.0937910819335142E-5</v>
      </c>
      <c r="T7639" s="10">
        <v>0</v>
      </c>
      <c r="U7639" s="10">
        <v>1.0162000000000001E-4</v>
      </c>
      <c r="V7639" s="25"/>
      <c r="W7639" s="25"/>
      <c r="X7639" s="25"/>
      <c r="Y7639" s="25"/>
      <c r="Z7639" s="25"/>
      <c r="AA7639" s="25"/>
    </row>
    <row r="7640" spans="1:27" x14ac:dyDescent="0.35">
      <c r="A7640" s="5">
        <v>7636</v>
      </c>
      <c r="B7640" s="5">
        <v>319</v>
      </c>
      <c r="C7640" s="5">
        <v>11</v>
      </c>
      <c r="D7640" s="25">
        <v>1.1415000000000001E-4</v>
      </c>
      <c r="E7640" s="25">
        <v>1.1472E-4</v>
      </c>
      <c r="F7640" s="25">
        <v>9.9129999999999994E-5</v>
      </c>
      <c r="G7640" s="25">
        <v>5.9960000000000002E-5</v>
      </c>
      <c r="H7640" s="25">
        <v>6.9419999999999996E-5</v>
      </c>
      <c r="I7640" s="9">
        <v>9.9879999999999999E-5</v>
      </c>
      <c r="J7640" s="9">
        <v>9.3319999999999994E-5</v>
      </c>
      <c r="K7640" s="9">
        <v>1.9074000000000001E-4</v>
      </c>
      <c r="L7640" s="9">
        <v>1.7070000000000001E-5</v>
      </c>
      <c r="M7640" s="9">
        <v>4.4240000000000003E-5</v>
      </c>
      <c r="N7640" s="9">
        <v>6.1950000000000001E-5</v>
      </c>
      <c r="O7640" s="9">
        <v>1.3030000000000001E-5</v>
      </c>
      <c r="P7640" s="9">
        <v>4.6950000000000003E-5</v>
      </c>
      <c r="Q7640" s="9">
        <v>7.9859999999999998E-5</v>
      </c>
      <c r="R7640" s="10">
        <v>2.115927074188628E-4</v>
      </c>
      <c r="S7640" s="10">
        <v>1.0021621386775618E-4</v>
      </c>
      <c r="T7640" s="10">
        <v>0</v>
      </c>
      <c r="U7640" s="10">
        <v>1.0162000000000001E-4</v>
      </c>
      <c r="V7640" s="25"/>
      <c r="W7640" s="25"/>
      <c r="X7640" s="25"/>
      <c r="Y7640" s="25"/>
      <c r="Z7640" s="25"/>
      <c r="AA7640" s="25"/>
    </row>
    <row r="7641" spans="1:27" x14ac:dyDescent="0.35">
      <c r="A7641" s="5">
        <v>7637</v>
      </c>
      <c r="B7641" s="5">
        <v>319</v>
      </c>
      <c r="C7641" s="5">
        <v>11</v>
      </c>
      <c r="D7641" s="25">
        <v>1.1416E-4</v>
      </c>
      <c r="E7641" s="25">
        <v>1.1293E-4</v>
      </c>
      <c r="F7641" s="25">
        <v>1.1054E-4</v>
      </c>
      <c r="G7641" s="25">
        <v>6.1950000000000001E-5</v>
      </c>
      <c r="H7641" s="25">
        <v>7.004E-5</v>
      </c>
      <c r="I7641" s="9">
        <v>1.0156E-4</v>
      </c>
      <c r="J7641" s="9">
        <v>9.4430000000000002E-5</v>
      </c>
      <c r="K7641" s="9">
        <v>1.7802000000000001E-4</v>
      </c>
      <c r="L7641" s="9">
        <v>1.417E-5</v>
      </c>
      <c r="M7641" s="9">
        <v>4.3470000000000002E-5</v>
      </c>
      <c r="N7641" s="9">
        <v>6.4380000000000004E-5</v>
      </c>
      <c r="O7641" s="9">
        <v>1.8459999999999999E-5</v>
      </c>
      <c r="P7641" s="9">
        <v>5.613E-5</v>
      </c>
      <c r="Q7641" s="9">
        <v>9.2819999999999996E-5</v>
      </c>
      <c r="R7641" s="10">
        <v>2.1244901582286382E-4</v>
      </c>
      <c r="S7641" s="10">
        <v>1.189275663181598E-4</v>
      </c>
      <c r="T7641" s="10">
        <v>0</v>
      </c>
      <c r="U7641" s="10">
        <v>1.0162000000000001E-4</v>
      </c>
      <c r="V7641" s="25"/>
      <c r="W7641" s="25"/>
      <c r="X7641" s="25"/>
      <c r="Y7641" s="25"/>
      <c r="Z7641" s="25"/>
      <c r="AA7641" s="25"/>
    </row>
    <row r="7642" spans="1:27" x14ac:dyDescent="0.35">
      <c r="A7642" s="5">
        <v>7638</v>
      </c>
      <c r="B7642" s="5">
        <v>319</v>
      </c>
      <c r="C7642" s="5">
        <v>11</v>
      </c>
      <c r="D7642" s="25">
        <v>1.1415000000000001E-4</v>
      </c>
      <c r="E7642" s="25">
        <v>1.1834E-4</v>
      </c>
      <c r="F7642" s="25">
        <v>1.064E-4</v>
      </c>
      <c r="G7642" s="25">
        <v>1.1076E-4</v>
      </c>
      <c r="H7642" s="25">
        <v>1.2784999999999999E-4</v>
      </c>
      <c r="I7642" s="9">
        <v>1.0915E-4</v>
      </c>
      <c r="J7642" s="9">
        <v>9.9450000000000005E-5</v>
      </c>
      <c r="K7642" s="9">
        <v>1.7378000000000001E-4</v>
      </c>
      <c r="L7642" s="9">
        <v>1.738E-5</v>
      </c>
      <c r="M7642" s="9">
        <v>4.8180000000000003E-5</v>
      </c>
      <c r="N7642" s="9">
        <v>7.0770000000000002E-5</v>
      </c>
      <c r="O7642" s="9">
        <v>4.5920000000000001E-5</v>
      </c>
      <c r="P7642" s="9">
        <v>7.6340000000000004E-5</v>
      </c>
      <c r="Q7642" s="9">
        <v>1.063E-4</v>
      </c>
      <c r="R7642" s="10">
        <v>2.1244936787709023E-4</v>
      </c>
      <c r="S7642" s="10">
        <v>1.2475526308863515E-4</v>
      </c>
      <c r="T7642" s="10">
        <v>0</v>
      </c>
      <c r="U7642" s="10">
        <v>1.0162000000000001E-4</v>
      </c>
      <c r="V7642" s="25"/>
      <c r="W7642" s="25"/>
      <c r="X7642" s="25"/>
      <c r="Y7642" s="25"/>
      <c r="Z7642" s="25"/>
      <c r="AA7642" s="25"/>
    </row>
    <row r="7643" spans="1:27" x14ac:dyDescent="0.35">
      <c r="A7643" s="5">
        <v>7639</v>
      </c>
      <c r="B7643" s="5">
        <v>319</v>
      </c>
      <c r="C7643" s="5">
        <v>11</v>
      </c>
      <c r="D7643" s="25">
        <v>1.1416E-4</v>
      </c>
      <c r="E7643" s="25">
        <v>1.136E-4</v>
      </c>
      <c r="F7643" s="25">
        <v>1.0165E-4</v>
      </c>
      <c r="G7643" s="25">
        <v>1.1414E-4</v>
      </c>
      <c r="H7643" s="25">
        <v>1.2666000000000001E-4</v>
      </c>
      <c r="I7643" s="9">
        <v>1.2406E-4</v>
      </c>
      <c r="J7643" s="9">
        <v>1.1290000000000001E-4</v>
      </c>
      <c r="K7643" s="9">
        <v>1.6107E-4</v>
      </c>
      <c r="L7643" s="9">
        <v>3.9499999999999998E-5</v>
      </c>
      <c r="M7643" s="9">
        <v>5.965E-5</v>
      </c>
      <c r="N7643" s="9">
        <v>8.0340000000000007E-5</v>
      </c>
      <c r="O7643" s="9">
        <v>1.2448E-4</v>
      </c>
      <c r="P7643" s="9">
        <v>1.1819000000000001E-4</v>
      </c>
      <c r="Q7643" s="9">
        <v>1.1322E-4</v>
      </c>
      <c r="R7643" s="10">
        <v>2.1244936787709023E-4</v>
      </c>
      <c r="S7643" s="10">
        <v>1.2972064569449695E-4</v>
      </c>
      <c r="T7643" s="10">
        <v>0</v>
      </c>
      <c r="U7643" s="10">
        <v>1.0162000000000001E-4</v>
      </c>
      <c r="V7643" s="25"/>
      <c r="W7643" s="25"/>
      <c r="X7643" s="25"/>
      <c r="Y7643" s="25"/>
      <c r="Z7643" s="25"/>
      <c r="AA7643" s="25"/>
    </row>
    <row r="7644" spans="1:27" x14ac:dyDescent="0.35">
      <c r="A7644" s="5">
        <v>7640</v>
      </c>
      <c r="B7644" s="5">
        <v>319</v>
      </c>
      <c r="C7644" s="5">
        <v>11</v>
      </c>
      <c r="D7644" s="25">
        <v>1.1415000000000001E-4</v>
      </c>
      <c r="E7644" s="25">
        <v>1.1728E-4</v>
      </c>
      <c r="F7644" s="25">
        <v>9.9199999999999999E-5</v>
      </c>
      <c r="G7644" s="25">
        <v>1.5782E-4</v>
      </c>
      <c r="H7644" s="25">
        <v>2.0134999999999999E-4</v>
      </c>
      <c r="I7644" s="9">
        <v>1.3511E-4</v>
      </c>
      <c r="J7644" s="9">
        <v>1.3097E-4</v>
      </c>
      <c r="K7644" s="9">
        <v>1.4835E-4</v>
      </c>
      <c r="L7644" s="9">
        <v>1.0517E-4</v>
      </c>
      <c r="M7644" s="9">
        <v>8.3679999999999998E-5</v>
      </c>
      <c r="N7644" s="9">
        <v>9.0649999999999994E-5</v>
      </c>
      <c r="O7644" s="9">
        <v>2.2049E-4</v>
      </c>
      <c r="P7644" s="9">
        <v>1.7687000000000001E-4</v>
      </c>
      <c r="Q7644" s="9">
        <v>1.3663E-4</v>
      </c>
      <c r="R7644" s="10">
        <v>2.1244936787709023E-4</v>
      </c>
      <c r="S7644" s="10">
        <v>1.3074707421229791E-4</v>
      </c>
      <c r="T7644" s="10">
        <v>0</v>
      </c>
      <c r="U7644" s="10">
        <v>1.0162000000000001E-4</v>
      </c>
      <c r="V7644" s="25"/>
      <c r="W7644" s="25"/>
      <c r="X7644" s="25"/>
      <c r="Y7644" s="25"/>
      <c r="Z7644" s="25"/>
      <c r="AA7644" s="25"/>
    </row>
    <row r="7645" spans="1:27" x14ac:dyDescent="0.35">
      <c r="A7645" s="5">
        <v>7641</v>
      </c>
      <c r="B7645" s="5">
        <v>319</v>
      </c>
      <c r="C7645" s="5">
        <v>11</v>
      </c>
      <c r="D7645" s="25">
        <v>1.1416E-4</v>
      </c>
      <c r="E7645" s="25">
        <v>1.2002000000000001E-4</v>
      </c>
      <c r="F7645" s="25">
        <v>1.0037E-4</v>
      </c>
      <c r="G7645" s="25">
        <v>1.6604E-4</v>
      </c>
      <c r="H7645" s="25">
        <v>1.9408000000000001E-4</v>
      </c>
      <c r="I7645" s="9">
        <v>1.3795999999999999E-4</v>
      </c>
      <c r="J7645" s="9">
        <v>1.4056E-4</v>
      </c>
      <c r="K7645" s="9">
        <v>1.3988E-4</v>
      </c>
      <c r="L7645" s="9">
        <v>1.9332E-4</v>
      </c>
      <c r="M7645" s="9">
        <v>1.2345999999999999E-4</v>
      </c>
      <c r="N7645" s="9">
        <v>1.0441E-4</v>
      </c>
      <c r="O7645" s="9">
        <v>2.1123E-4</v>
      </c>
      <c r="P7645" s="9">
        <v>1.9218999999999999E-4</v>
      </c>
      <c r="Q7645" s="9">
        <v>1.7600999999999999E-4</v>
      </c>
      <c r="R7645" s="10">
        <v>2.1244936787709023E-4</v>
      </c>
      <c r="S7645" s="10">
        <v>1.2924740305973536E-4</v>
      </c>
      <c r="T7645" s="10">
        <v>9.9096616409664594E-6</v>
      </c>
      <c r="U7645" s="10">
        <v>1.0162000000000001E-4</v>
      </c>
      <c r="V7645" s="25"/>
      <c r="W7645" s="25"/>
      <c r="X7645" s="25"/>
      <c r="Y7645" s="25"/>
      <c r="Z7645" s="25"/>
      <c r="AA7645" s="25"/>
    </row>
    <row r="7646" spans="1:27" x14ac:dyDescent="0.35">
      <c r="A7646" s="5">
        <v>7642</v>
      </c>
      <c r="B7646" s="5">
        <v>319</v>
      </c>
      <c r="C7646" s="5">
        <v>11</v>
      </c>
      <c r="D7646" s="25">
        <v>1.1415000000000001E-4</v>
      </c>
      <c r="E7646" s="25">
        <v>1.1424E-4</v>
      </c>
      <c r="F7646" s="25">
        <v>1.0644E-4</v>
      </c>
      <c r="G7646" s="25">
        <v>1.6108999999999999E-4</v>
      </c>
      <c r="H7646" s="25">
        <v>1.9940999999999999E-4</v>
      </c>
      <c r="I7646" s="9">
        <v>1.4113999999999999E-4</v>
      </c>
      <c r="J7646" s="9">
        <v>1.4525000000000001E-4</v>
      </c>
      <c r="K7646" s="9">
        <v>1.2928000000000001E-4</v>
      </c>
      <c r="L7646" s="9">
        <v>2.0497000000000001E-4</v>
      </c>
      <c r="M7646" s="9">
        <v>1.5826999999999999E-4</v>
      </c>
      <c r="N7646" s="9">
        <v>1.2428999999999999E-4</v>
      </c>
      <c r="O7646" s="9">
        <v>1.6684999999999999E-4</v>
      </c>
      <c r="P7646" s="9">
        <v>1.7301999999999999E-4</v>
      </c>
      <c r="Q7646" s="9">
        <v>1.8097999999999999E-4</v>
      </c>
      <c r="R7646" s="10">
        <v>2.1244936787709023E-4</v>
      </c>
      <c r="S7646" s="10">
        <v>1.2866432156287508E-4</v>
      </c>
      <c r="T7646" s="10">
        <v>2.4112378753105033E-5</v>
      </c>
      <c r="U7646" s="10">
        <v>1.0162000000000001E-4</v>
      </c>
      <c r="V7646" s="25"/>
      <c r="W7646" s="25"/>
      <c r="X7646" s="25"/>
      <c r="Y7646" s="25"/>
      <c r="Z7646" s="25"/>
      <c r="AA7646" s="25"/>
    </row>
    <row r="7647" spans="1:27" x14ac:dyDescent="0.35">
      <c r="A7647" s="5">
        <v>7643</v>
      </c>
      <c r="B7647" s="5">
        <v>319</v>
      </c>
      <c r="C7647" s="5">
        <v>11</v>
      </c>
      <c r="D7647" s="25">
        <v>1.1416E-4</v>
      </c>
      <c r="E7647" s="25">
        <v>1.1711E-4</v>
      </c>
      <c r="F7647" s="25">
        <v>1.0301E-4</v>
      </c>
      <c r="G7647" s="25">
        <v>1.6255999999999999E-4</v>
      </c>
      <c r="H7647" s="25">
        <v>1.9186E-4</v>
      </c>
      <c r="I7647" s="9">
        <v>1.4097E-4</v>
      </c>
      <c r="J7647" s="9">
        <v>1.4626999999999999E-4</v>
      </c>
      <c r="K7647" s="9">
        <v>1.2716E-4</v>
      </c>
      <c r="L7647" s="9">
        <v>1.7534000000000001E-4</v>
      </c>
      <c r="M7647" s="9">
        <v>1.7161999999999999E-4</v>
      </c>
      <c r="N7647" s="9">
        <v>1.4219999999999999E-4</v>
      </c>
      <c r="O7647" s="9">
        <v>1.6652999999999999E-4</v>
      </c>
      <c r="P7647" s="9">
        <v>1.7136000000000001E-4</v>
      </c>
      <c r="Q7647" s="9">
        <v>1.7798E-4</v>
      </c>
      <c r="R7647" s="10">
        <v>2.1244936787709023E-4</v>
      </c>
      <c r="S7647" s="10">
        <v>1.2990773678608322E-4</v>
      </c>
      <c r="T7647" s="10">
        <v>1.0529015493526863E-5</v>
      </c>
      <c r="U7647" s="10">
        <v>1.0162000000000001E-4</v>
      </c>
      <c r="V7647" s="25"/>
      <c r="W7647" s="25"/>
      <c r="X7647" s="25"/>
      <c r="Y7647" s="25"/>
      <c r="Z7647" s="25"/>
      <c r="AA7647" s="25"/>
    </row>
    <row r="7648" spans="1:27" x14ac:dyDescent="0.35">
      <c r="A7648" s="5">
        <v>7644</v>
      </c>
      <c r="B7648" s="5">
        <v>319</v>
      </c>
      <c r="C7648" s="5">
        <v>11</v>
      </c>
      <c r="D7648" s="25">
        <v>1.1415000000000001E-4</v>
      </c>
      <c r="E7648" s="25">
        <v>1.1665E-4</v>
      </c>
      <c r="F7648" s="25">
        <v>1.0273E-4</v>
      </c>
      <c r="G7648" s="25">
        <v>1.6534000000000001E-4</v>
      </c>
      <c r="H7648" s="25">
        <v>2.0113999999999999E-4</v>
      </c>
      <c r="I7648" s="9">
        <v>1.4082999999999999E-4</v>
      </c>
      <c r="J7648" s="9">
        <v>1.4651000000000001E-4</v>
      </c>
      <c r="K7648" s="9">
        <v>1.0597E-4</v>
      </c>
      <c r="L7648" s="9">
        <v>1.6990000000000001E-4</v>
      </c>
      <c r="M7648" s="9">
        <v>1.7375999999999999E-4</v>
      </c>
      <c r="N7648" s="9">
        <v>1.5600999999999999E-4</v>
      </c>
      <c r="O7648" s="9">
        <v>1.7211E-4</v>
      </c>
      <c r="P7648" s="9">
        <v>1.7285999999999999E-4</v>
      </c>
      <c r="Q7648" s="9">
        <v>1.7555000000000001E-4</v>
      </c>
      <c r="R7648" s="10">
        <v>2.1244936787709023E-4</v>
      </c>
      <c r="S7648" s="10">
        <v>1.3160971412184381E-4</v>
      </c>
      <c r="T7648" s="10">
        <v>3.061983635466435E-5</v>
      </c>
      <c r="U7648" s="10">
        <v>1.0162000000000001E-4</v>
      </c>
      <c r="V7648" s="25"/>
      <c r="W7648" s="25"/>
      <c r="X7648" s="25"/>
      <c r="Y7648" s="25"/>
      <c r="Z7648" s="25"/>
      <c r="AA7648" s="25"/>
    </row>
    <row r="7649" spans="1:27" x14ac:dyDescent="0.35">
      <c r="A7649" s="5">
        <v>7645</v>
      </c>
      <c r="B7649" s="5">
        <v>319</v>
      </c>
      <c r="C7649" s="5">
        <v>11</v>
      </c>
      <c r="D7649" s="25">
        <v>1.1416E-4</v>
      </c>
      <c r="E7649" s="25">
        <v>1.1642E-4</v>
      </c>
      <c r="F7649" s="25">
        <v>9.8750000000000002E-5</v>
      </c>
      <c r="G7649" s="25">
        <v>1.5886000000000001E-4</v>
      </c>
      <c r="H7649" s="25">
        <v>1.9731999999999999E-4</v>
      </c>
      <c r="I7649" s="9">
        <v>1.3943000000000001E-4</v>
      </c>
      <c r="J7649" s="9">
        <v>1.4532E-4</v>
      </c>
      <c r="K7649" s="9">
        <v>9.7490000000000003E-5</v>
      </c>
      <c r="L7649" s="9">
        <v>1.7179000000000001E-4</v>
      </c>
      <c r="M7649" s="9">
        <v>1.7352000000000001E-4</v>
      </c>
      <c r="N7649" s="9">
        <v>1.6584999999999999E-4</v>
      </c>
      <c r="O7649" s="9">
        <v>1.6346000000000001E-4</v>
      </c>
      <c r="P7649" s="9">
        <v>1.6509000000000001E-4</v>
      </c>
      <c r="Q7649" s="9">
        <v>1.6851E-4</v>
      </c>
      <c r="R7649" s="10">
        <v>2.1244936787709023E-4</v>
      </c>
      <c r="S7649" s="10">
        <v>1.2908536835958145E-4</v>
      </c>
      <c r="T7649" s="10">
        <v>1.8495772583310686E-5</v>
      </c>
      <c r="U7649" s="10">
        <v>1.0162000000000001E-4</v>
      </c>
      <c r="V7649" s="25"/>
      <c r="W7649" s="25"/>
      <c r="X7649" s="25"/>
      <c r="Y7649" s="25"/>
      <c r="Z7649" s="25"/>
      <c r="AA7649" s="25"/>
    </row>
    <row r="7650" spans="1:27" x14ac:dyDescent="0.35">
      <c r="A7650" s="5">
        <v>7646</v>
      </c>
      <c r="B7650" s="5">
        <v>319</v>
      </c>
      <c r="C7650" s="5">
        <v>11</v>
      </c>
      <c r="D7650" s="25">
        <v>1.1415000000000001E-4</v>
      </c>
      <c r="E7650" s="25">
        <v>1.1784E-4</v>
      </c>
      <c r="F7650" s="25">
        <v>1.0093E-4</v>
      </c>
      <c r="G7650" s="25">
        <v>1.5948000000000001E-4</v>
      </c>
      <c r="H7650" s="25">
        <v>1.9935999999999999E-4</v>
      </c>
      <c r="I7650" s="9">
        <v>1.3986000000000001E-4</v>
      </c>
      <c r="J7650" s="9">
        <v>1.4611999999999999E-4</v>
      </c>
      <c r="K7650" s="9">
        <v>9.1139999999999998E-5</v>
      </c>
      <c r="L7650" s="9">
        <v>1.6498000000000001E-4</v>
      </c>
      <c r="M7650" s="9">
        <v>1.7040999999999999E-4</v>
      </c>
      <c r="N7650" s="9">
        <v>1.7049E-4</v>
      </c>
      <c r="O7650" s="9">
        <v>1.7802000000000001E-4</v>
      </c>
      <c r="P7650" s="9">
        <v>1.6783999999999999E-4</v>
      </c>
      <c r="Q7650" s="9">
        <v>1.5986E-4</v>
      </c>
      <c r="R7650" s="10">
        <v>2.1244936787709023E-4</v>
      </c>
      <c r="S7650" s="10">
        <v>1.2639671469929389E-4</v>
      </c>
      <c r="T7650" s="10">
        <v>1.4440277493942564E-5</v>
      </c>
      <c r="U7650" s="10">
        <v>1.0162000000000001E-4</v>
      </c>
      <c r="V7650" s="25"/>
      <c r="W7650" s="25"/>
      <c r="X7650" s="25"/>
      <c r="Y7650" s="25"/>
      <c r="Z7650" s="25"/>
      <c r="AA7650" s="25"/>
    </row>
    <row r="7651" spans="1:27" x14ac:dyDescent="0.35">
      <c r="A7651" s="5">
        <v>7647</v>
      </c>
      <c r="B7651" s="5">
        <v>319</v>
      </c>
      <c r="C7651" s="5">
        <v>11</v>
      </c>
      <c r="D7651" s="25">
        <v>1.1416E-4</v>
      </c>
      <c r="E7651" s="25">
        <v>1.2218999999999999E-4</v>
      </c>
      <c r="F7651" s="25">
        <v>1.0916000000000001E-4</v>
      </c>
      <c r="G7651" s="25">
        <v>1.6736E-4</v>
      </c>
      <c r="H7651" s="25">
        <v>2.0286999999999999E-4</v>
      </c>
      <c r="I7651" s="9">
        <v>1.3839000000000001E-4</v>
      </c>
      <c r="J7651" s="9">
        <v>1.4584999999999999E-4</v>
      </c>
      <c r="K7651" s="9">
        <v>9.5370000000000003E-5</v>
      </c>
      <c r="L7651" s="9">
        <v>1.7531E-4</v>
      </c>
      <c r="M7651" s="9">
        <v>1.6856999999999999E-4</v>
      </c>
      <c r="N7651" s="9">
        <v>1.6990000000000001E-4</v>
      </c>
      <c r="O7651" s="9">
        <v>1.8305E-4</v>
      </c>
      <c r="P7651" s="9">
        <v>1.6606999999999999E-4</v>
      </c>
      <c r="Q7651" s="9">
        <v>1.5147000000000001E-4</v>
      </c>
      <c r="R7651" s="10">
        <v>2.1244936787709023E-4</v>
      </c>
      <c r="S7651" s="10">
        <v>1.2609304317289069E-4</v>
      </c>
      <c r="T7651" s="10">
        <v>3.0119262693005932E-6</v>
      </c>
      <c r="U7651" s="10">
        <v>1.0162000000000001E-4</v>
      </c>
      <c r="V7651" s="25"/>
      <c r="W7651" s="25"/>
      <c r="X7651" s="25"/>
      <c r="Y7651" s="25"/>
      <c r="Z7651" s="25"/>
      <c r="AA7651" s="25"/>
    </row>
    <row r="7652" spans="1:27" x14ac:dyDescent="0.35">
      <c r="A7652" s="5">
        <v>7648</v>
      </c>
      <c r="B7652" s="5">
        <v>319</v>
      </c>
      <c r="C7652" s="5">
        <v>11</v>
      </c>
      <c r="D7652" s="25">
        <v>1.1415000000000001E-4</v>
      </c>
      <c r="E7652" s="25">
        <v>1.2076E-4</v>
      </c>
      <c r="F7652" s="25">
        <v>1.132E-4</v>
      </c>
      <c r="G7652" s="25">
        <v>1.6016000000000001E-4</v>
      </c>
      <c r="H7652" s="25">
        <v>1.9527999999999999E-4</v>
      </c>
      <c r="I7652" s="9">
        <v>1.3899E-4</v>
      </c>
      <c r="J7652" s="9">
        <v>1.472E-4</v>
      </c>
      <c r="K7652" s="9">
        <v>1.1657E-4</v>
      </c>
      <c r="L7652" s="9">
        <v>1.8110000000000001E-4</v>
      </c>
      <c r="M7652" s="9">
        <v>1.6724E-4</v>
      </c>
      <c r="N7652" s="9">
        <v>1.6585999999999999E-4</v>
      </c>
      <c r="O7652" s="9">
        <v>1.9849000000000001E-4</v>
      </c>
      <c r="P7652" s="9">
        <v>1.5265999999999999E-4</v>
      </c>
      <c r="Q7652" s="9">
        <v>1.0991E-4</v>
      </c>
      <c r="R7652" s="10">
        <v>2.1244936787709023E-4</v>
      </c>
      <c r="S7652" s="10">
        <v>1.2732396179013965E-4</v>
      </c>
      <c r="T7652" s="10">
        <v>5.5716393832385913E-5</v>
      </c>
      <c r="U7652" s="10">
        <v>1.0162000000000001E-4</v>
      </c>
      <c r="V7652" s="25"/>
      <c r="W7652" s="25"/>
      <c r="X7652" s="25"/>
      <c r="Y7652" s="25"/>
      <c r="Z7652" s="25"/>
      <c r="AA7652" s="25"/>
    </row>
    <row r="7653" spans="1:27" x14ac:dyDescent="0.35">
      <c r="A7653" s="5">
        <v>7649</v>
      </c>
      <c r="B7653" s="5">
        <v>319</v>
      </c>
      <c r="C7653" s="5">
        <v>11</v>
      </c>
      <c r="D7653" s="25">
        <v>1.1416E-4</v>
      </c>
      <c r="E7653" s="25">
        <v>1.2017E-4</v>
      </c>
      <c r="F7653" s="25">
        <v>1.1394E-4</v>
      </c>
      <c r="G7653" s="25">
        <v>1.6604E-4</v>
      </c>
      <c r="H7653" s="25">
        <v>2.0049999999999999E-4</v>
      </c>
      <c r="I7653" s="9">
        <v>1.4028000000000001E-4</v>
      </c>
      <c r="J7653" s="9">
        <v>1.5011000000000001E-4</v>
      </c>
      <c r="K7653" s="9">
        <v>1.3987E-4</v>
      </c>
      <c r="L7653" s="9">
        <v>1.9445000000000001E-4</v>
      </c>
      <c r="M7653" s="9">
        <v>1.6175E-4</v>
      </c>
      <c r="N7653" s="9">
        <v>1.5226000000000001E-4</v>
      </c>
      <c r="O7653" s="9">
        <v>2.1623000000000001E-4</v>
      </c>
      <c r="P7653" s="9">
        <v>1.6025999999999999E-4</v>
      </c>
      <c r="Q7653" s="9">
        <v>1.078E-4</v>
      </c>
      <c r="R7653" s="10">
        <v>2.1244936787709023E-4</v>
      </c>
      <c r="S7653" s="10">
        <v>1.2738606428306734E-4</v>
      </c>
      <c r="T7653" s="10">
        <v>0</v>
      </c>
      <c r="U7653" s="10">
        <v>1.0162000000000001E-4</v>
      </c>
      <c r="V7653" s="25"/>
      <c r="W7653" s="25"/>
      <c r="X7653" s="25"/>
      <c r="Y7653" s="25"/>
      <c r="Z7653" s="25"/>
      <c r="AA7653" s="25"/>
    </row>
    <row r="7654" spans="1:27" x14ac:dyDescent="0.35">
      <c r="A7654" s="5">
        <v>7650</v>
      </c>
      <c r="B7654" s="5">
        <v>319</v>
      </c>
      <c r="C7654" s="5">
        <v>11</v>
      </c>
      <c r="D7654" s="25">
        <v>1.1415000000000001E-4</v>
      </c>
      <c r="E7654" s="25">
        <v>1.1943E-4</v>
      </c>
      <c r="F7654" s="25">
        <v>1.1402E-4</v>
      </c>
      <c r="G7654" s="25">
        <v>1.5819E-4</v>
      </c>
      <c r="H7654" s="25">
        <v>1.9616999999999999E-4</v>
      </c>
      <c r="I7654" s="9">
        <v>1.4818000000000001E-4</v>
      </c>
      <c r="J7654" s="9">
        <v>1.5517999999999999E-4</v>
      </c>
      <c r="K7654" s="9">
        <v>1.5470999999999999E-4</v>
      </c>
      <c r="L7654" s="9">
        <v>2.1115000000000001E-4</v>
      </c>
      <c r="M7654" s="9">
        <v>1.5972999999999999E-4</v>
      </c>
      <c r="N7654" s="9">
        <v>1.3905999999999999E-4</v>
      </c>
      <c r="O7654" s="9">
        <v>2.0699E-4</v>
      </c>
      <c r="P7654" s="9">
        <v>1.6092E-4</v>
      </c>
      <c r="Q7654" s="9">
        <v>1.1806E-4</v>
      </c>
      <c r="R7654" s="10">
        <v>2.1244936787709023E-4</v>
      </c>
      <c r="S7654" s="10">
        <v>1.2653759512343041E-4</v>
      </c>
      <c r="T7654" s="10">
        <v>0</v>
      </c>
      <c r="U7654" s="10">
        <v>1.0162000000000001E-4</v>
      </c>
      <c r="V7654" s="25"/>
      <c r="W7654" s="25"/>
      <c r="X7654" s="25"/>
      <c r="Y7654" s="25"/>
      <c r="Z7654" s="25"/>
      <c r="AA7654" s="25"/>
    </row>
    <row r="7655" spans="1:27" x14ac:dyDescent="0.35">
      <c r="A7655" s="5">
        <v>7651</v>
      </c>
      <c r="B7655" s="5">
        <v>319</v>
      </c>
      <c r="C7655" s="5">
        <v>11</v>
      </c>
      <c r="D7655" s="25">
        <v>1.1416E-4</v>
      </c>
      <c r="E7655" s="25">
        <v>1.2118E-4</v>
      </c>
      <c r="F7655" s="25">
        <v>1.0364E-4</v>
      </c>
      <c r="G7655" s="25">
        <v>1.116E-4</v>
      </c>
      <c r="H7655" s="25">
        <v>1.3669999999999999E-4</v>
      </c>
      <c r="I7655" s="9">
        <v>1.4578E-4</v>
      </c>
      <c r="J7655" s="9">
        <v>1.4876000000000001E-4</v>
      </c>
      <c r="K7655" s="9">
        <v>1.4836E-4</v>
      </c>
      <c r="L7655" s="9">
        <v>2.0746999999999999E-4</v>
      </c>
      <c r="M7655" s="9">
        <v>1.5979000000000001E-4</v>
      </c>
      <c r="N7655" s="9">
        <v>1.3007000000000001E-4</v>
      </c>
      <c r="O7655" s="9">
        <v>1.6574E-4</v>
      </c>
      <c r="P7655" s="9">
        <v>1.3547E-4</v>
      </c>
      <c r="Q7655" s="9">
        <v>1.0752E-4</v>
      </c>
      <c r="R7655" s="10">
        <v>2.1244936787709023E-4</v>
      </c>
      <c r="S7655" s="10">
        <v>1.2653292788091216E-4</v>
      </c>
      <c r="T7655" s="10">
        <v>0</v>
      </c>
      <c r="U7655" s="10">
        <v>1.0162000000000001E-4</v>
      </c>
      <c r="V7655" s="25"/>
      <c r="W7655" s="25"/>
      <c r="X7655" s="25"/>
      <c r="Y7655" s="25"/>
      <c r="Z7655" s="25"/>
      <c r="AA7655" s="25"/>
    </row>
    <row r="7656" spans="1:27" x14ac:dyDescent="0.35">
      <c r="A7656" s="5">
        <v>7652</v>
      </c>
      <c r="B7656" s="5">
        <v>319</v>
      </c>
      <c r="C7656" s="5">
        <v>11</v>
      </c>
      <c r="D7656" s="25">
        <v>1.1415000000000001E-4</v>
      </c>
      <c r="E7656" s="25">
        <v>1.1488E-4</v>
      </c>
      <c r="F7656" s="25">
        <v>1.1482E-4</v>
      </c>
      <c r="G7656" s="25">
        <v>1.1045E-4</v>
      </c>
      <c r="H7656" s="25">
        <v>1.3594E-4</v>
      </c>
      <c r="I7656" s="9">
        <v>1.4081E-4</v>
      </c>
      <c r="J7656" s="9">
        <v>1.4431000000000001E-4</v>
      </c>
      <c r="K7656" s="9">
        <v>1.5470999999999999E-4</v>
      </c>
      <c r="L7656" s="9">
        <v>1.7511E-4</v>
      </c>
      <c r="M7656" s="9">
        <v>1.5118999999999999E-4</v>
      </c>
      <c r="N7656" s="9">
        <v>1.2108999999999999E-4</v>
      </c>
      <c r="O7656" s="9">
        <v>1.2891000000000001E-4</v>
      </c>
      <c r="P7656" s="9">
        <v>1.1446999999999999E-4</v>
      </c>
      <c r="Q7656" s="9">
        <v>1.0153999999999999E-4</v>
      </c>
      <c r="R7656" s="10">
        <v>2.1244924384332926E-4</v>
      </c>
      <c r="S7656" s="10">
        <v>1.3089543279416356E-4</v>
      </c>
      <c r="T7656" s="10">
        <v>0</v>
      </c>
      <c r="U7656" s="10">
        <v>1.0162000000000001E-4</v>
      </c>
      <c r="V7656" s="25"/>
      <c r="W7656" s="25"/>
      <c r="X7656" s="25"/>
      <c r="Y7656" s="25"/>
      <c r="Z7656" s="25"/>
      <c r="AA7656" s="25"/>
    </row>
    <row r="7657" spans="1:27" x14ac:dyDescent="0.35">
      <c r="A7657" s="5">
        <v>7653</v>
      </c>
      <c r="B7657" s="5">
        <v>319</v>
      </c>
      <c r="C7657" s="5">
        <v>11</v>
      </c>
      <c r="D7657" s="25">
        <v>1.1416E-4</v>
      </c>
      <c r="E7657" s="25">
        <v>1.1769000000000001E-4</v>
      </c>
      <c r="F7657" s="25">
        <v>1.1112000000000001E-4</v>
      </c>
      <c r="G7657" s="25">
        <v>6.3189999999999996E-5</v>
      </c>
      <c r="H7657" s="25">
        <v>7.5350000000000002E-5</v>
      </c>
      <c r="I7657" s="9">
        <v>1.3468E-4</v>
      </c>
      <c r="J7657" s="9">
        <v>1.3719000000000001E-4</v>
      </c>
      <c r="K7657" s="9">
        <v>1.6107E-4</v>
      </c>
      <c r="L7657" s="9">
        <v>1.4008E-4</v>
      </c>
      <c r="M7657" s="9">
        <v>1.3554999999999999E-4</v>
      </c>
      <c r="N7657" s="9">
        <v>1.1336E-4</v>
      </c>
      <c r="O7657" s="9">
        <v>8.5400000000000002E-5</v>
      </c>
      <c r="P7657" s="9">
        <v>8.6810000000000004E-5</v>
      </c>
      <c r="Q7657" s="9">
        <v>8.8819999999999993E-5</v>
      </c>
      <c r="R7657" s="10">
        <v>2.1244768147781891E-4</v>
      </c>
      <c r="S7657" s="10">
        <v>1.459537460414147E-4</v>
      </c>
      <c r="T7657" s="10">
        <v>0</v>
      </c>
      <c r="U7657" s="10">
        <v>1.0162000000000001E-4</v>
      </c>
      <c r="V7657" s="25"/>
      <c r="W7657" s="25"/>
      <c r="X7657" s="25"/>
      <c r="Y7657" s="25"/>
      <c r="Z7657" s="25"/>
      <c r="AA7657" s="25"/>
    </row>
    <row r="7658" spans="1:27" x14ac:dyDescent="0.35">
      <c r="A7658" s="5">
        <v>7654</v>
      </c>
      <c r="B7658" s="5">
        <v>319</v>
      </c>
      <c r="C7658" s="5">
        <v>11</v>
      </c>
      <c r="D7658" s="25">
        <v>1.1415000000000001E-4</v>
      </c>
      <c r="E7658" s="25">
        <v>1.1502000000000001E-4</v>
      </c>
      <c r="F7658" s="25">
        <v>1.1717E-4</v>
      </c>
      <c r="G7658" s="25">
        <v>5.5279999999999999E-5</v>
      </c>
      <c r="H7658" s="25">
        <v>7.3009999999999994E-5</v>
      </c>
      <c r="I7658" s="9">
        <v>1.2793E-4</v>
      </c>
      <c r="J7658" s="9">
        <v>1.2877E-4</v>
      </c>
      <c r="K7658" s="9">
        <v>1.6742999999999999E-4</v>
      </c>
      <c r="L7658" s="9">
        <v>9.8369999999999995E-5</v>
      </c>
      <c r="M7658" s="9">
        <v>1.1396999999999999E-4</v>
      </c>
      <c r="N7658" s="9">
        <v>1.0586000000000001E-4</v>
      </c>
      <c r="O7658" s="9">
        <v>8.7280000000000005E-5</v>
      </c>
      <c r="P7658" s="9">
        <v>8.7269999999999996E-5</v>
      </c>
      <c r="Q7658" s="9">
        <v>8.7910000000000004E-5</v>
      </c>
      <c r="R7658" s="10">
        <v>2.1244102086088995E-4</v>
      </c>
      <c r="S7658" s="10">
        <v>1.6695195187357875E-4</v>
      </c>
      <c r="T7658" s="10">
        <v>0</v>
      </c>
      <c r="U7658" s="10">
        <v>1.0162000000000001E-4</v>
      </c>
      <c r="V7658" s="25"/>
      <c r="W7658" s="25"/>
      <c r="X7658" s="25"/>
      <c r="Y7658" s="25"/>
      <c r="Z7658" s="25"/>
      <c r="AA7658" s="25"/>
    </row>
    <row r="7659" spans="1:27" x14ac:dyDescent="0.35">
      <c r="A7659" s="5">
        <v>7655</v>
      </c>
      <c r="B7659" s="5">
        <v>319</v>
      </c>
      <c r="C7659" s="5">
        <v>11</v>
      </c>
      <c r="D7659" s="25">
        <v>1.1416E-4</v>
      </c>
      <c r="E7659" s="25">
        <v>1.2219999999999999E-4</v>
      </c>
      <c r="F7659" s="25">
        <v>1.0359E-4</v>
      </c>
      <c r="G7659" s="25">
        <v>5.6010000000000001E-5</v>
      </c>
      <c r="H7659" s="25">
        <v>6.6849999999999999E-5</v>
      </c>
      <c r="I7659" s="9">
        <v>1.2808000000000001E-4</v>
      </c>
      <c r="J7659" s="9">
        <v>1.1908000000000001E-4</v>
      </c>
      <c r="K7659" s="9">
        <v>1.7378000000000001E-4</v>
      </c>
      <c r="L7659" s="9">
        <v>9.0649999999999994E-5</v>
      </c>
      <c r="M7659" s="9">
        <v>9.9079999999999993E-5</v>
      </c>
      <c r="N7659" s="9">
        <v>9.9939999999999995E-5</v>
      </c>
      <c r="O7659" s="9">
        <v>7.7849999999999995E-5</v>
      </c>
      <c r="P7659" s="9">
        <v>7.2009999999999997E-5</v>
      </c>
      <c r="Q7659" s="9">
        <v>6.6769999999999999E-5</v>
      </c>
      <c r="R7659" s="10">
        <v>2.1240367992428138E-4</v>
      </c>
      <c r="S7659" s="10">
        <v>1.8748218169217646E-4</v>
      </c>
      <c r="T7659" s="10">
        <v>0</v>
      </c>
      <c r="U7659" s="10">
        <v>1.0162000000000001E-4</v>
      </c>
      <c r="V7659" s="25"/>
      <c r="W7659" s="25"/>
      <c r="X7659" s="25"/>
      <c r="Y7659" s="25"/>
      <c r="Z7659" s="25"/>
      <c r="AA7659" s="25"/>
    </row>
    <row r="7660" spans="1:27" x14ac:dyDescent="0.35">
      <c r="A7660" s="5">
        <v>7656</v>
      </c>
      <c r="B7660" s="5">
        <v>319</v>
      </c>
      <c r="C7660" s="5">
        <v>11</v>
      </c>
      <c r="D7660" s="25">
        <v>1.1415000000000001E-4</v>
      </c>
      <c r="E7660" s="25">
        <v>1.1756000000000001E-4</v>
      </c>
      <c r="F7660" s="25">
        <v>1.0849E-4</v>
      </c>
      <c r="G7660" s="25">
        <v>6.2279999999999993E-5</v>
      </c>
      <c r="H7660" s="25">
        <v>7.436E-5</v>
      </c>
      <c r="I7660" s="9">
        <v>1.2579999999999999E-4</v>
      </c>
      <c r="J7660" s="9">
        <v>1.1095E-4</v>
      </c>
      <c r="K7660" s="9">
        <v>1.6955E-4</v>
      </c>
      <c r="L7660" s="9">
        <v>8.0660000000000004E-5</v>
      </c>
      <c r="M7660" s="9">
        <v>8.6050000000000005E-5</v>
      </c>
      <c r="N7660" s="9">
        <v>9.0589999999999998E-5</v>
      </c>
      <c r="O7660" s="9">
        <v>6.2279999999999993E-5</v>
      </c>
      <c r="P7660" s="9">
        <v>6.0170000000000002E-5</v>
      </c>
      <c r="Q7660" s="9">
        <v>5.8369999999999998E-5</v>
      </c>
      <c r="R7660" s="10">
        <v>2.0980149193128904E-4</v>
      </c>
      <c r="S7660" s="10">
        <v>1.9028886333973953E-4</v>
      </c>
      <c r="T7660" s="10">
        <v>0</v>
      </c>
      <c r="U7660" s="10">
        <v>1.0162000000000001E-4</v>
      </c>
      <c r="V7660" s="25"/>
      <c r="W7660" s="25"/>
      <c r="X7660" s="25"/>
      <c r="Y7660" s="25"/>
      <c r="Z7660" s="25"/>
      <c r="AA7660" s="25"/>
    </row>
    <row r="7661" spans="1:27" x14ac:dyDescent="0.35">
      <c r="A7661" s="5">
        <v>7657</v>
      </c>
      <c r="B7661" s="5">
        <v>320</v>
      </c>
      <c r="C7661" s="5">
        <v>11</v>
      </c>
      <c r="D7661" s="25">
        <v>1.1416E-4</v>
      </c>
      <c r="E7661" s="25">
        <v>1.2358000000000001E-4</v>
      </c>
      <c r="F7661" s="25">
        <v>1.142E-4</v>
      </c>
      <c r="G7661" s="25">
        <v>5.893E-5</v>
      </c>
      <c r="H7661" s="25">
        <v>6.7979999999999996E-5</v>
      </c>
      <c r="I7661" s="9">
        <v>1.1754E-4</v>
      </c>
      <c r="J7661" s="9">
        <v>1.0369000000000001E-4</v>
      </c>
      <c r="K7661" s="9">
        <v>1.8226000000000001E-4</v>
      </c>
      <c r="L7661" s="9">
        <v>6.6329999999999997E-5</v>
      </c>
      <c r="M7661" s="9">
        <v>7.3739999999999995E-5</v>
      </c>
      <c r="N7661" s="9">
        <v>8.1030000000000002E-5</v>
      </c>
      <c r="O7661" s="9">
        <v>5.4880000000000003E-5</v>
      </c>
      <c r="P7661" s="9">
        <v>5.4289999999999997E-5</v>
      </c>
      <c r="Q7661" s="9">
        <v>5.3869999999999998E-5</v>
      </c>
      <c r="R7661" s="10">
        <v>2.1015102317183118E-4</v>
      </c>
      <c r="S7661" s="10">
        <v>1.9029020272855426E-4</v>
      </c>
      <c r="T7661" s="10">
        <v>0</v>
      </c>
      <c r="U7661" s="10">
        <v>1.0318E-4</v>
      </c>
      <c r="V7661" s="25"/>
      <c r="W7661" s="25"/>
      <c r="X7661" s="25"/>
      <c r="Y7661" s="25"/>
      <c r="Z7661" s="25"/>
      <c r="AA7661" s="25"/>
    </row>
    <row r="7662" spans="1:27" x14ac:dyDescent="0.35">
      <c r="A7662" s="5">
        <v>7658</v>
      </c>
      <c r="B7662" s="5">
        <v>320</v>
      </c>
      <c r="C7662" s="5">
        <v>11</v>
      </c>
      <c r="D7662" s="25">
        <v>1.1415000000000001E-4</v>
      </c>
      <c r="E7662" s="25">
        <v>1.2064E-4</v>
      </c>
      <c r="F7662" s="25">
        <v>1.0713999999999999E-4</v>
      </c>
      <c r="G7662" s="25">
        <v>6.2780000000000005E-5</v>
      </c>
      <c r="H7662" s="25">
        <v>7.3150000000000003E-5</v>
      </c>
      <c r="I7662" s="9">
        <v>1.1136E-4</v>
      </c>
      <c r="J7662" s="9">
        <v>9.8419999999999996E-5</v>
      </c>
      <c r="K7662" s="9">
        <v>1.7803E-4</v>
      </c>
      <c r="L7662" s="9">
        <v>5.7790000000000001E-5</v>
      </c>
      <c r="M7662" s="9">
        <v>6.3810000000000001E-5</v>
      </c>
      <c r="N7662" s="9">
        <v>7.2020000000000005E-5</v>
      </c>
      <c r="O7662" s="9">
        <v>1.8689999999999999E-5</v>
      </c>
      <c r="P7662" s="9">
        <v>3.79E-5</v>
      </c>
      <c r="Q7662" s="9">
        <v>5.6409999999999997E-5</v>
      </c>
      <c r="R7662" s="10">
        <v>2.1005862340553566E-4</v>
      </c>
      <c r="S7662" s="10">
        <v>1.9029020759484994E-4</v>
      </c>
      <c r="T7662" s="10">
        <v>0</v>
      </c>
      <c r="U7662" s="10">
        <v>1.0318E-4</v>
      </c>
      <c r="V7662" s="25"/>
      <c r="W7662" s="25"/>
      <c r="X7662" s="25"/>
      <c r="Y7662" s="25"/>
      <c r="Z7662" s="25"/>
      <c r="AA7662" s="25"/>
    </row>
    <row r="7663" spans="1:27" x14ac:dyDescent="0.35">
      <c r="A7663" s="5">
        <v>7659</v>
      </c>
      <c r="B7663" s="5">
        <v>320</v>
      </c>
      <c r="C7663" s="5">
        <v>11</v>
      </c>
      <c r="D7663" s="25">
        <v>1.1416E-4</v>
      </c>
      <c r="E7663" s="25">
        <v>1.2144E-4</v>
      </c>
      <c r="F7663" s="25">
        <v>1.0802E-4</v>
      </c>
      <c r="G7663" s="25">
        <v>5.2970000000000003E-5</v>
      </c>
      <c r="H7663" s="25">
        <v>6.7150000000000006E-5</v>
      </c>
      <c r="I7663" s="9">
        <v>1.0807E-4</v>
      </c>
      <c r="J7663" s="9">
        <v>9.6199999999999994E-5</v>
      </c>
      <c r="K7663" s="9">
        <v>2.1405E-4</v>
      </c>
      <c r="L7663" s="9">
        <v>2.7480000000000001E-5</v>
      </c>
      <c r="M7663" s="9">
        <v>5.2240000000000001E-5</v>
      </c>
      <c r="N7663" s="9">
        <v>6.5500000000000006E-5</v>
      </c>
      <c r="O7663" s="9">
        <v>1.307E-5</v>
      </c>
      <c r="P7663" s="9">
        <v>3.7660000000000002E-5</v>
      </c>
      <c r="Q7663" s="9">
        <v>6.1389999999999993E-5</v>
      </c>
      <c r="R7663" s="10">
        <v>2.1041828585952169E-4</v>
      </c>
      <c r="S7663" s="10">
        <v>1.9029020759484994E-4</v>
      </c>
      <c r="T7663" s="10">
        <v>0</v>
      </c>
      <c r="U7663" s="10">
        <v>1.0318E-4</v>
      </c>
      <c r="V7663" s="25"/>
      <c r="W7663" s="25"/>
      <c r="X7663" s="25"/>
      <c r="Y7663" s="25"/>
      <c r="Z7663" s="25"/>
      <c r="AA7663" s="25"/>
    </row>
    <row r="7664" spans="1:27" x14ac:dyDescent="0.35">
      <c r="A7664" s="5">
        <v>7660</v>
      </c>
      <c r="B7664" s="5">
        <v>320</v>
      </c>
      <c r="C7664" s="5">
        <v>11</v>
      </c>
      <c r="D7664" s="25">
        <v>1.1415000000000001E-4</v>
      </c>
      <c r="E7664" s="25">
        <v>1.2307E-4</v>
      </c>
      <c r="F7664" s="25">
        <v>1.0835E-4</v>
      </c>
      <c r="G7664" s="25">
        <v>6.0220000000000003E-5</v>
      </c>
      <c r="H7664" s="25">
        <v>6.4150000000000001E-5</v>
      </c>
      <c r="I7664" s="9">
        <v>1.05E-4</v>
      </c>
      <c r="J7664" s="9">
        <v>9.5429999999999999E-5</v>
      </c>
      <c r="K7664" s="9">
        <v>1.9285999999999999E-4</v>
      </c>
      <c r="L7664" s="9">
        <v>1.6990000000000002E-5</v>
      </c>
      <c r="M7664" s="9">
        <v>4.4230000000000002E-5</v>
      </c>
      <c r="N7664" s="9">
        <v>6.1890000000000005E-5</v>
      </c>
      <c r="O7664" s="9">
        <v>1.3030000000000001E-5</v>
      </c>
      <c r="P7664" s="9">
        <v>4.6940000000000001E-5</v>
      </c>
      <c r="Q7664" s="9">
        <v>7.9839999999999995E-5</v>
      </c>
      <c r="R7664" s="10">
        <v>2.1164238922154676E-4</v>
      </c>
      <c r="S7664" s="10">
        <v>1.9029020759484994E-4</v>
      </c>
      <c r="T7664" s="10">
        <v>0</v>
      </c>
      <c r="U7664" s="10">
        <v>1.0318E-4</v>
      </c>
      <c r="V7664" s="25"/>
      <c r="W7664" s="25"/>
      <c r="X7664" s="25"/>
      <c r="Y7664" s="25"/>
      <c r="Z7664" s="25"/>
      <c r="AA7664" s="25"/>
    </row>
    <row r="7665" spans="1:27" x14ac:dyDescent="0.35">
      <c r="A7665" s="5">
        <v>7661</v>
      </c>
      <c r="B7665" s="5">
        <v>320</v>
      </c>
      <c r="C7665" s="5">
        <v>11</v>
      </c>
      <c r="D7665" s="25">
        <v>1.1416E-4</v>
      </c>
      <c r="E7665" s="25">
        <v>1.2354E-4</v>
      </c>
      <c r="F7665" s="25">
        <v>1.159E-4</v>
      </c>
      <c r="G7665" s="25">
        <v>5.291E-5</v>
      </c>
      <c r="H7665" s="25">
        <v>6.6760000000000005E-5</v>
      </c>
      <c r="I7665" s="9">
        <v>1.0552000000000001E-4</v>
      </c>
      <c r="J7665" s="9">
        <v>9.6169999999999996E-5</v>
      </c>
      <c r="K7665" s="9">
        <v>2.2677E-4</v>
      </c>
      <c r="L7665" s="9">
        <v>1.415E-5</v>
      </c>
      <c r="M7665" s="9">
        <v>4.3399999999999998E-5</v>
      </c>
      <c r="N7665" s="9">
        <v>6.4330000000000002E-5</v>
      </c>
      <c r="O7665" s="9">
        <v>1.8729999999999999E-5</v>
      </c>
      <c r="P7665" s="9">
        <v>5.6969999999999998E-5</v>
      </c>
      <c r="Q7665" s="9">
        <v>9.4209999999999994E-5</v>
      </c>
      <c r="R7665" s="10">
        <v>2.1218501353584241E-4</v>
      </c>
      <c r="S7665" s="10">
        <v>1.9029020759484994E-4</v>
      </c>
      <c r="T7665" s="10">
        <v>0</v>
      </c>
      <c r="U7665" s="10">
        <v>1.0318E-4</v>
      </c>
      <c r="V7665" s="25"/>
      <c r="W7665" s="25"/>
      <c r="X7665" s="25"/>
      <c r="Y7665" s="25"/>
      <c r="Z7665" s="25"/>
      <c r="AA7665" s="25"/>
    </row>
    <row r="7666" spans="1:27" x14ac:dyDescent="0.35">
      <c r="A7666" s="5">
        <v>7662</v>
      </c>
      <c r="B7666" s="5">
        <v>320</v>
      </c>
      <c r="C7666" s="5">
        <v>11</v>
      </c>
      <c r="D7666" s="25">
        <v>1.1415000000000001E-4</v>
      </c>
      <c r="E7666" s="25">
        <v>1.2255E-4</v>
      </c>
      <c r="F7666" s="25">
        <v>1.0134E-4</v>
      </c>
      <c r="G7666" s="25">
        <v>1.0679999999999999E-4</v>
      </c>
      <c r="H7666" s="25">
        <v>1.3077E-4</v>
      </c>
      <c r="I7666" s="9">
        <v>1.1121E-4</v>
      </c>
      <c r="J7666" s="9">
        <v>1.0014999999999999E-4</v>
      </c>
      <c r="K7666" s="9">
        <v>1.9709E-4</v>
      </c>
      <c r="L7666" s="9">
        <v>1.7589999999999999E-5</v>
      </c>
      <c r="M7666" s="9">
        <v>4.8420000000000001E-5</v>
      </c>
      <c r="N7666" s="9">
        <v>7.1030000000000003E-5</v>
      </c>
      <c r="O7666" s="9">
        <v>4.6659999999999997E-5</v>
      </c>
      <c r="P7666" s="9">
        <v>7.7570000000000004E-5</v>
      </c>
      <c r="Q7666" s="9">
        <v>1.0801E-4</v>
      </c>
      <c r="R7666" s="10">
        <v>2.1228555541245365E-4</v>
      </c>
      <c r="S7666" s="10">
        <v>1.9029020759484994E-4</v>
      </c>
      <c r="T7666" s="10">
        <v>0</v>
      </c>
      <c r="U7666" s="10">
        <v>1.0318E-4</v>
      </c>
      <c r="V7666" s="25"/>
      <c r="W7666" s="25"/>
      <c r="X7666" s="25"/>
      <c r="Y7666" s="25"/>
      <c r="Z7666" s="25"/>
      <c r="AA7666" s="25"/>
    </row>
    <row r="7667" spans="1:27" x14ac:dyDescent="0.35">
      <c r="A7667" s="5">
        <v>7663</v>
      </c>
      <c r="B7667" s="5">
        <v>320</v>
      </c>
      <c r="C7667" s="5">
        <v>11</v>
      </c>
      <c r="D7667" s="25">
        <v>1.1416E-4</v>
      </c>
      <c r="E7667" s="25">
        <v>1.2401E-4</v>
      </c>
      <c r="F7667" s="25">
        <v>1.155E-4</v>
      </c>
      <c r="G7667" s="25">
        <v>1.1065000000000001E-4</v>
      </c>
      <c r="H7667" s="25">
        <v>1.2956999999999999E-4</v>
      </c>
      <c r="I7667" s="9">
        <v>1.2517999999999999E-4</v>
      </c>
      <c r="J7667" s="9">
        <v>1.1317E-4</v>
      </c>
      <c r="K7667" s="9">
        <v>1.7589999999999999E-4</v>
      </c>
      <c r="L7667" s="9">
        <v>4.0120000000000002E-5</v>
      </c>
      <c r="M7667" s="9">
        <v>6.0340000000000002E-5</v>
      </c>
      <c r="N7667" s="9">
        <v>8.0959999999999997E-5</v>
      </c>
      <c r="O7667" s="9">
        <v>1.2401E-4</v>
      </c>
      <c r="P7667" s="9">
        <v>1.1773999999999999E-4</v>
      </c>
      <c r="Q7667" s="9">
        <v>1.1279E-4</v>
      </c>
      <c r="R7667" s="10">
        <v>2.12220228086759E-4</v>
      </c>
      <c r="S7667" s="10">
        <v>1.9028957150730498E-4</v>
      </c>
      <c r="T7667" s="10">
        <v>0</v>
      </c>
      <c r="U7667" s="10">
        <v>1.0318E-4</v>
      </c>
      <c r="V7667" s="25"/>
      <c r="W7667" s="25"/>
      <c r="X7667" s="25"/>
      <c r="Y7667" s="25"/>
      <c r="Z7667" s="25"/>
      <c r="AA7667" s="25"/>
    </row>
    <row r="7668" spans="1:27" x14ac:dyDescent="0.35">
      <c r="A7668" s="5">
        <v>7664</v>
      </c>
      <c r="B7668" s="5">
        <v>320</v>
      </c>
      <c r="C7668" s="5">
        <v>11</v>
      </c>
      <c r="D7668" s="25">
        <v>1.1415000000000001E-4</v>
      </c>
      <c r="E7668" s="25">
        <v>1.1612000000000001E-4</v>
      </c>
      <c r="F7668" s="25">
        <v>9.8170000000000004E-5</v>
      </c>
      <c r="G7668" s="25">
        <v>1.6446000000000001E-4</v>
      </c>
      <c r="H7668" s="25">
        <v>1.8719E-4</v>
      </c>
      <c r="I7668" s="9">
        <v>1.3638999999999999E-4</v>
      </c>
      <c r="J7668" s="9">
        <v>1.3177999999999999E-4</v>
      </c>
      <c r="K7668" s="9">
        <v>1.8013999999999999E-4</v>
      </c>
      <c r="L7668" s="9">
        <v>1.0493E-4</v>
      </c>
      <c r="M7668" s="9">
        <v>8.407E-5</v>
      </c>
      <c r="N7668" s="9">
        <v>9.1119999999999995E-5</v>
      </c>
      <c r="O7668" s="9">
        <v>2.1991E-4</v>
      </c>
      <c r="P7668" s="9">
        <v>1.7641E-4</v>
      </c>
      <c r="Q7668" s="9">
        <v>1.3626999999999999E-4</v>
      </c>
      <c r="R7668" s="10">
        <v>2.1230785318912819E-4</v>
      </c>
      <c r="S7668" s="10">
        <v>1.9028434497722225E-4</v>
      </c>
      <c r="T7668" s="10">
        <v>0</v>
      </c>
      <c r="U7668" s="10">
        <v>1.0318E-4</v>
      </c>
      <c r="V7668" s="25"/>
      <c r="W7668" s="25"/>
      <c r="X7668" s="25"/>
      <c r="Y7668" s="25"/>
      <c r="Z7668" s="25"/>
      <c r="AA7668" s="25"/>
    </row>
    <row r="7669" spans="1:27" x14ac:dyDescent="0.35">
      <c r="A7669" s="5">
        <v>7665</v>
      </c>
      <c r="B7669" s="5">
        <v>320</v>
      </c>
      <c r="C7669" s="5">
        <v>11</v>
      </c>
      <c r="D7669" s="25">
        <v>1.1416E-4</v>
      </c>
      <c r="E7669" s="25">
        <v>1.2167000000000001E-4</v>
      </c>
      <c r="F7669" s="25">
        <v>1.0224E-4</v>
      </c>
      <c r="G7669" s="25">
        <v>1.6459999999999999E-4</v>
      </c>
      <c r="H7669" s="25">
        <v>1.9277000000000001E-4</v>
      </c>
      <c r="I7669" s="9">
        <v>1.3834000000000001E-4</v>
      </c>
      <c r="J7669" s="9">
        <v>1.4086E-4</v>
      </c>
      <c r="K7669" s="9">
        <v>1.9285999999999999E-4</v>
      </c>
      <c r="L7669" s="9">
        <v>1.9284E-4</v>
      </c>
      <c r="M7669" s="9">
        <v>1.2344E-4</v>
      </c>
      <c r="N7669" s="9">
        <v>1.0476000000000001E-4</v>
      </c>
      <c r="O7669" s="9">
        <v>2.1102E-4</v>
      </c>
      <c r="P7669" s="9">
        <v>1.92E-4</v>
      </c>
      <c r="Q7669" s="9">
        <v>1.7584E-4</v>
      </c>
      <c r="R7669" s="10">
        <v>2.1239335091701079E-4</v>
      </c>
      <c r="S7669" s="10">
        <v>1.9029011256656151E-4</v>
      </c>
      <c r="T7669" s="10">
        <v>1.1623490109695249E-6</v>
      </c>
      <c r="U7669" s="10">
        <v>1.0318E-4</v>
      </c>
      <c r="V7669" s="25"/>
      <c r="W7669" s="25"/>
      <c r="X7669" s="25"/>
      <c r="Y7669" s="25"/>
      <c r="Z7669" s="25"/>
      <c r="AA7669" s="25"/>
    </row>
    <row r="7670" spans="1:27" x14ac:dyDescent="0.35">
      <c r="A7670" s="5">
        <v>7666</v>
      </c>
      <c r="B7670" s="5">
        <v>320</v>
      </c>
      <c r="C7670" s="5">
        <v>11</v>
      </c>
      <c r="D7670" s="25">
        <v>1.1415000000000001E-4</v>
      </c>
      <c r="E7670" s="25">
        <v>1.1964999999999999E-4</v>
      </c>
      <c r="F7670" s="25">
        <v>1.0847E-4</v>
      </c>
      <c r="G7670" s="25">
        <v>1.6564999999999999E-4</v>
      </c>
      <c r="H7670" s="25">
        <v>1.9443999999999999E-4</v>
      </c>
      <c r="I7670" s="9">
        <v>1.4105000000000001E-4</v>
      </c>
      <c r="J7670" s="9">
        <v>1.4558999999999999E-4</v>
      </c>
      <c r="K7670" s="9">
        <v>1.7802000000000001E-4</v>
      </c>
      <c r="L7670" s="9">
        <v>2.0472000000000001E-4</v>
      </c>
      <c r="M7670" s="9">
        <v>1.5809E-4</v>
      </c>
      <c r="N7670" s="9">
        <v>1.2452000000000001E-4</v>
      </c>
      <c r="O7670" s="9">
        <v>1.6634000000000001E-4</v>
      </c>
      <c r="P7670" s="9">
        <v>1.7249999999999999E-4</v>
      </c>
      <c r="Q7670" s="9">
        <v>1.8043000000000001E-4</v>
      </c>
      <c r="R7670" s="10">
        <v>2.1238465788843549E-4</v>
      </c>
      <c r="S7670" s="10">
        <v>1.9029020759484994E-4</v>
      </c>
      <c r="T7670" s="10">
        <v>4.5416454421312896E-5</v>
      </c>
      <c r="U7670" s="10">
        <v>1.0318E-4</v>
      </c>
      <c r="V7670" s="25"/>
      <c r="W7670" s="25"/>
      <c r="X7670" s="25"/>
      <c r="Y7670" s="25"/>
      <c r="Z7670" s="25"/>
      <c r="AA7670" s="25"/>
    </row>
    <row r="7671" spans="1:27" x14ac:dyDescent="0.35">
      <c r="A7671" s="5">
        <v>7667</v>
      </c>
      <c r="B7671" s="5">
        <v>320</v>
      </c>
      <c r="C7671" s="5">
        <v>11</v>
      </c>
      <c r="D7671" s="25">
        <v>1.1416E-4</v>
      </c>
      <c r="E7671" s="25">
        <v>1.1438999999999999E-4</v>
      </c>
      <c r="F7671" s="25">
        <v>1.0811000000000001E-4</v>
      </c>
      <c r="G7671" s="25">
        <v>1.6021000000000001E-4</v>
      </c>
      <c r="H7671" s="25">
        <v>1.9913999999999999E-4</v>
      </c>
      <c r="I7671" s="9">
        <v>1.4118999999999999E-4</v>
      </c>
      <c r="J7671" s="9">
        <v>1.4713000000000001E-4</v>
      </c>
      <c r="K7671" s="9">
        <v>1.8227E-4</v>
      </c>
      <c r="L7671" s="9">
        <v>1.7488000000000001E-4</v>
      </c>
      <c r="M7671" s="9">
        <v>1.7128999999999999E-4</v>
      </c>
      <c r="N7671" s="9">
        <v>1.4218E-4</v>
      </c>
      <c r="O7671" s="9">
        <v>1.6833000000000001E-4</v>
      </c>
      <c r="P7671" s="9">
        <v>1.7321E-4</v>
      </c>
      <c r="Q7671" s="9">
        <v>1.7990000000000001E-4</v>
      </c>
      <c r="R7671" s="10">
        <v>2.1223160893410868E-4</v>
      </c>
      <c r="S7671" s="10">
        <v>1.9029020759484994E-4</v>
      </c>
      <c r="T7671" s="10">
        <v>3.085739673646833E-5</v>
      </c>
      <c r="U7671" s="10">
        <v>1.0318E-4</v>
      </c>
      <c r="V7671" s="25"/>
      <c r="W7671" s="25"/>
      <c r="X7671" s="25"/>
      <c r="Y7671" s="25"/>
      <c r="Z7671" s="25"/>
      <c r="AA7671" s="25"/>
    </row>
    <row r="7672" spans="1:27" x14ac:dyDescent="0.35">
      <c r="A7672" s="5">
        <v>7668</v>
      </c>
      <c r="B7672" s="5">
        <v>320</v>
      </c>
      <c r="C7672" s="5">
        <v>11</v>
      </c>
      <c r="D7672" s="25">
        <v>1.1415000000000001E-4</v>
      </c>
      <c r="E7672" s="25">
        <v>1.2359E-4</v>
      </c>
      <c r="F7672" s="25">
        <v>9.789E-5</v>
      </c>
      <c r="G7672" s="25">
        <v>1.5868999999999999E-4</v>
      </c>
      <c r="H7672" s="25">
        <v>1.8943000000000001E-4</v>
      </c>
      <c r="I7672" s="9">
        <v>1.4255999999999999E-4</v>
      </c>
      <c r="J7672" s="9">
        <v>1.4750000000000001E-4</v>
      </c>
      <c r="K7672" s="9">
        <v>1.9074000000000001E-4</v>
      </c>
      <c r="L7672" s="9">
        <v>1.7119999999999999E-4</v>
      </c>
      <c r="M7672" s="9">
        <v>1.7417999999999999E-4</v>
      </c>
      <c r="N7672" s="9">
        <v>1.5631999999999999E-4</v>
      </c>
      <c r="O7672" s="9">
        <v>1.7152000000000001E-4</v>
      </c>
      <c r="P7672" s="9">
        <v>1.7227E-4</v>
      </c>
      <c r="Q7672" s="9">
        <v>1.7495E-4</v>
      </c>
      <c r="R7672" s="10">
        <v>2.1133305159305699E-4</v>
      </c>
      <c r="S7672" s="10">
        <v>1.9029020759484994E-4</v>
      </c>
      <c r="T7672" s="10">
        <v>5.4316484439612387E-5</v>
      </c>
      <c r="U7672" s="10">
        <v>1.0318E-4</v>
      </c>
      <c r="V7672" s="25"/>
      <c r="W7672" s="25"/>
      <c r="X7672" s="25"/>
      <c r="Y7672" s="25"/>
      <c r="Z7672" s="25"/>
      <c r="AA7672" s="25"/>
    </row>
    <row r="7673" spans="1:27" x14ac:dyDescent="0.35">
      <c r="A7673" s="5">
        <v>7669</v>
      </c>
      <c r="B7673" s="5">
        <v>320</v>
      </c>
      <c r="C7673" s="5">
        <v>11</v>
      </c>
      <c r="D7673" s="25">
        <v>1.1416E-4</v>
      </c>
      <c r="E7673" s="25">
        <v>1.2142E-4</v>
      </c>
      <c r="F7673" s="25">
        <v>1.0035E-4</v>
      </c>
      <c r="G7673" s="25">
        <v>1.6138E-4</v>
      </c>
      <c r="H7673" s="25">
        <v>1.9974000000000001E-4</v>
      </c>
      <c r="I7673" s="9">
        <v>1.4076E-4</v>
      </c>
      <c r="J7673" s="9">
        <v>1.4601999999999999E-4</v>
      </c>
      <c r="K7673" s="9">
        <v>1.9498000000000001E-4</v>
      </c>
      <c r="L7673" s="9">
        <v>1.7157000000000001E-4</v>
      </c>
      <c r="M7673" s="9">
        <v>1.7378000000000001E-4</v>
      </c>
      <c r="N7673" s="9">
        <v>1.6599E-4</v>
      </c>
      <c r="O7673" s="9">
        <v>1.6369E-4</v>
      </c>
      <c r="P7673" s="9">
        <v>1.6532E-4</v>
      </c>
      <c r="Q7673" s="9">
        <v>1.6875000000000001E-4</v>
      </c>
      <c r="R7673" s="10">
        <v>2.1234024242940464E-4</v>
      </c>
      <c r="S7673" s="10">
        <v>1.9029020035829083E-4</v>
      </c>
      <c r="T7673" s="10">
        <v>6.7492601330383718E-5</v>
      </c>
      <c r="U7673" s="10">
        <v>1.0318E-4</v>
      </c>
      <c r="V7673" s="25"/>
      <c r="W7673" s="25"/>
      <c r="X7673" s="25"/>
      <c r="Y7673" s="25"/>
      <c r="Z7673" s="25"/>
      <c r="AA7673" s="25"/>
    </row>
    <row r="7674" spans="1:27" x14ac:dyDescent="0.35">
      <c r="A7674" s="5">
        <v>7670</v>
      </c>
      <c r="B7674" s="5">
        <v>320</v>
      </c>
      <c r="C7674" s="5">
        <v>11</v>
      </c>
      <c r="D7674" s="25">
        <v>1.1415000000000001E-4</v>
      </c>
      <c r="E7674" s="25">
        <v>1.2420000000000001E-4</v>
      </c>
      <c r="F7674" s="25">
        <v>9.4419999999999994E-5</v>
      </c>
      <c r="G7674" s="25">
        <v>1.5791000000000001E-4</v>
      </c>
      <c r="H7674" s="25">
        <v>1.9252000000000001E-4</v>
      </c>
      <c r="I7674" s="9">
        <v>1.4077E-4</v>
      </c>
      <c r="J7674" s="9">
        <v>1.4648999999999999E-4</v>
      </c>
      <c r="K7674" s="9">
        <v>1.8226000000000001E-4</v>
      </c>
      <c r="L7674" s="9">
        <v>1.6515E-4</v>
      </c>
      <c r="M7674" s="9">
        <v>1.706E-4</v>
      </c>
      <c r="N7674" s="9">
        <v>1.7066E-4</v>
      </c>
      <c r="O7674" s="9">
        <v>1.7746E-4</v>
      </c>
      <c r="P7674" s="9">
        <v>1.6731E-4</v>
      </c>
      <c r="Q7674" s="9">
        <v>1.5935E-4</v>
      </c>
      <c r="R7674" s="10">
        <v>2.1242507953777212E-4</v>
      </c>
      <c r="S7674" s="10">
        <v>1.9022990297296518E-4</v>
      </c>
      <c r="T7674" s="10">
        <v>5.5852142621988187E-5</v>
      </c>
      <c r="U7674" s="10">
        <v>1.0318E-4</v>
      </c>
      <c r="V7674" s="25"/>
      <c r="W7674" s="25"/>
      <c r="X7674" s="25"/>
      <c r="Y7674" s="25"/>
      <c r="Z7674" s="25"/>
      <c r="AA7674" s="25"/>
    </row>
    <row r="7675" spans="1:27" x14ac:dyDescent="0.35">
      <c r="A7675" s="5">
        <v>7671</v>
      </c>
      <c r="B7675" s="5">
        <v>320</v>
      </c>
      <c r="C7675" s="5">
        <v>11</v>
      </c>
      <c r="D7675" s="25">
        <v>1.1416E-4</v>
      </c>
      <c r="E7675" s="25">
        <v>1.2189E-4</v>
      </c>
      <c r="F7675" s="25">
        <v>1.1113E-4</v>
      </c>
      <c r="G7675" s="25">
        <v>1.6689999999999999E-4</v>
      </c>
      <c r="H7675" s="25">
        <v>1.9963000000000001E-4</v>
      </c>
      <c r="I7675" s="9">
        <v>1.3969000000000001E-4</v>
      </c>
      <c r="J7675" s="9">
        <v>1.4571000000000001E-4</v>
      </c>
      <c r="K7675" s="9">
        <v>1.8013999999999999E-4</v>
      </c>
      <c r="L7675" s="9">
        <v>1.7492000000000001E-4</v>
      </c>
      <c r="M7675" s="9">
        <v>1.6846999999999999E-4</v>
      </c>
      <c r="N7675" s="9">
        <v>1.6993999999999999E-4</v>
      </c>
      <c r="O7675" s="9">
        <v>1.8511999999999999E-4</v>
      </c>
      <c r="P7675" s="9">
        <v>1.6793999999999999E-4</v>
      </c>
      <c r="Q7675" s="9">
        <v>1.5317999999999999E-4</v>
      </c>
      <c r="R7675" s="10">
        <v>2.1238092144394829E-4</v>
      </c>
      <c r="S7675" s="10">
        <v>1.8909787608995579E-4</v>
      </c>
      <c r="T7675" s="10">
        <v>8.7048911332462217E-6</v>
      </c>
      <c r="U7675" s="10">
        <v>1.0318E-4</v>
      </c>
      <c r="V7675" s="25"/>
      <c r="W7675" s="25"/>
      <c r="X7675" s="25"/>
      <c r="Y7675" s="25"/>
      <c r="Z7675" s="25"/>
      <c r="AA7675" s="25"/>
    </row>
    <row r="7676" spans="1:27" x14ac:dyDescent="0.35">
      <c r="A7676" s="5">
        <v>7672</v>
      </c>
      <c r="B7676" s="5">
        <v>320</v>
      </c>
      <c r="C7676" s="5">
        <v>11</v>
      </c>
      <c r="D7676" s="25">
        <v>1.1415000000000001E-4</v>
      </c>
      <c r="E7676" s="25">
        <v>1.1866000000000001E-4</v>
      </c>
      <c r="F7676" s="25">
        <v>9.5489999999999995E-5</v>
      </c>
      <c r="G7676" s="25">
        <v>1.6375E-4</v>
      </c>
      <c r="H7676" s="25">
        <v>1.8913E-4</v>
      </c>
      <c r="I7676" s="9">
        <v>1.3952999999999999E-4</v>
      </c>
      <c r="J7676" s="9">
        <v>1.4574E-4</v>
      </c>
      <c r="K7676" s="9">
        <v>2.0557999999999999E-4</v>
      </c>
      <c r="L7676" s="9">
        <v>1.8263E-4</v>
      </c>
      <c r="M7676" s="9">
        <v>1.6778E-4</v>
      </c>
      <c r="N7676" s="9">
        <v>1.6626999999999999E-4</v>
      </c>
      <c r="O7676" s="9">
        <v>1.983E-4</v>
      </c>
      <c r="P7676" s="9">
        <v>1.5250999999999999E-4</v>
      </c>
      <c r="Q7676" s="9">
        <v>1.098E-4</v>
      </c>
      <c r="R7676" s="10">
        <v>2.1206691892861713E-4</v>
      </c>
      <c r="S7676" s="10">
        <v>1.8641571277647028E-4</v>
      </c>
      <c r="T7676" s="10">
        <v>1.0503562595476435E-5</v>
      </c>
      <c r="U7676" s="10">
        <v>1.0318E-4</v>
      </c>
      <c r="V7676" s="25"/>
      <c r="W7676" s="25"/>
      <c r="X7676" s="25"/>
      <c r="Y7676" s="25"/>
      <c r="Z7676" s="25"/>
      <c r="AA7676" s="25"/>
    </row>
    <row r="7677" spans="1:27" x14ac:dyDescent="0.35">
      <c r="A7677" s="5">
        <v>7673</v>
      </c>
      <c r="B7677" s="5">
        <v>320</v>
      </c>
      <c r="C7677" s="5">
        <v>11</v>
      </c>
      <c r="D7677" s="25">
        <v>1.1416E-4</v>
      </c>
      <c r="E7677" s="25">
        <v>1.1966E-4</v>
      </c>
      <c r="F7677" s="25">
        <v>1.1383E-4</v>
      </c>
      <c r="G7677" s="25">
        <v>1.6562E-4</v>
      </c>
      <c r="H7677" s="25">
        <v>1.9896000000000001E-4</v>
      </c>
      <c r="I7677" s="9">
        <v>1.3969000000000001E-4</v>
      </c>
      <c r="J7677" s="9">
        <v>1.4728000000000001E-4</v>
      </c>
      <c r="K7677" s="9">
        <v>2.1405999999999999E-4</v>
      </c>
      <c r="L7677" s="9">
        <v>1.9458999999999999E-4</v>
      </c>
      <c r="M7677" s="9">
        <v>1.6223999999999999E-4</v>
      </c>
      <c r="N7677" s="9">
        <v>1.5255999999999999E-4</v>
      </c>
      <c r="O7677" s="9">
        <v>2.1312999999999999E-4</v>
      </c>
      <c r="P7677" s="9">
        <v>1.5796000000000001E-4</v>
      </c>
      <c r="Q7677" s="9">
        <v>1.0624999999999999E-4</v>
      </c>
      <c r="R7677" s="10">
        <v>2.092825479397342E-4</v>
      </c>
      <c r="S7677" s="10">
        <v>1.825467524327662E-4</v>
      </c>
      <c r="T7677" s="10">
        <v>0</v>
      </c>
      <c r="U7677" s="10">
        <v>1.0318E-4</v>
      </c>
      <c r="V7677" s="25"/>
      <c r="W7677" s="25"/>
      <c r="X7677" s="25"/>
      <c r="Y7677" s="25"/>
      <c r="Z7677" s="25"/>
      <c r="AA7677" s="25"/>
    </row>
    <row r="7678" spans="1:27" x14ac:dyDescent="0.35">
      <c r="A7678" s="5">
        <v>7674</v>
      </c>
      <c r="B7678" s="5">
        <v>320</v>
      </c>
      <c r="C7678" s="5">
        <v>11</v>
      </c>
      <c r="D7678" s="25">
        <v>1.1415000000000001E-4</v>
      </c>
      <c r="E7678" s="25">
        <v>1.1625000000000001E-4</v>
      </c>
      <c r="F7678" s="25">
        <v>1.1309E-4</v>
      </c>
      <c r="G7678" s="25">
        <v>1.6040999999999999E-4</v>
      </c>
      <c r="H7678" s="25">
        <v>1.9034E-4</v>
      </c>
      <c r="I7678" s="9">
        <v>1.4652E-4</v>
      </c>
      <c r="J7678" s="9">
        <v>1.5174000000000001E-4</v>
      </c>
      <c r="K7678" s="9">
        <v>2.1405E-4</v>
      </c>
      <c r="L7678" s="9">
        <v>2.0879000000000001E-4</v>
      </c>
      <c r="M7678" s="9">
        <v>1.5917000000000001E-4</v>
      </c>
      <c r="N7678" s="9">
        <v>1.3898E-4</v>
      </c>
      <c r="O7678" s="9">
        <v>2.0685000000000001E-4</v>
      </c>
      <c r="P7678" s="9">
        <v>1.6081E-4</v>
      </c>
      <c r="Q7678" s="9">
        <v>1.1799E-4</v>
      </c>
      <c r="R7678" s="10">
        <v>2.0312131584089118E-4</v>
      </c>
      <c r="S7678" s="10">
        <v>1.7536503792042803E-4</v>
      </c>
      <c r="T7678" s="10">
        <v>0</v>
      </c>
      <c r="U7678" s="10">
        <v>1.0318E-4</v>
      </c>
      <c r="V7678" s="25"/>
      <c r="W7678" s="25"/>
      <c r="X7678" s="25"/>
      <c r="Y7678" s="25"/>
      <c r="Z7678" s="25"/>
      <c r="AA7678" s="25"/>
    </row>
    <row r="7679" spans="1:27" x14ac:dyDescent="0.35">
      <c r="A7679" s="5">
        <v>7675</v>
      </c>
      <c r="B7679" s="5">
        <v>320</v>
      </c>
      <c r="C7679" s="5">
        <v>11</v>
      </c>
      <c r="D7679" s="25">
        <v>1.1416E-4</v>
      </c>
      <c r="E7679" s="25">
        <v>1.1341E-4</v>
      </c>
      <c r="F7679" s="25">
        <v>1.0854E-4</v>
      </c>
      <c r="G7679" s="25">
        <v>1.111E-4</v>
      </c>
      <c r="H7679" s="25">
        <v>1.3564E-4</v>
      </c>
      <c r="I7679" s="9">
        <v>1.4643999999999999E-4</v>
      </c>
      <c r="J7679" s="9">
        <v>1.4631999999999999E-4</v>
      </c>
      <c r="K7679" s="9">
        <v>2.2253E-4</v>
      </c>
      <c r="L7679" s="9">
        <v>2.0693E-4</v>
      </c>
      <c r="M7679" s="9">
        <v>1.5911000000000001E-4</v>
      </c>
      <c r="N7679" s="9">
        <v>1.2993999999999999E-4</v>
      </c>
      <c r="O7679" s="9">
        <v>1.6577000000000001E-4</v>
      </c>
      <c r="P7679" s="9">
        <v>1.3548999999999999E-4</v>
      </c>
      <c r="Q7679" s="9">
        <v>1.0754E-4</v>
      </c>
      <c r="R7679" s="10">
        <v>1.9453490505871447E-4</v>
      </c>
      <c r="S7679" s="10">
        <v>1.7365470837598561E-4</v>
      </c>
      <c r="T7679" s="10">
        <v>0</v>
      </c>
      <c r="U7679" s="10">
        <v>1.0318E-4</v>
      </c>
      <c r="V7679" s="25"/>
      <c r="W7679" s="25"/>
      <c r="X7679" s="25"/>
      <c r="Y7679" s="25"/>
      <c r="Z7679" s="25"/>
      <c r="AA7679" s="25"/>
    </row>
    <row r="7680" spans="1:27" x14ac:dyDescent="0.35">
      <c r="A7680" s="5">
        <v>7676</v>
      </c>
      <c r="B7680" s="5">
        <v>320</v>
      </c>
      <c r="C7680" s="5">
        <v>11</v>
      </c>
      <c r="D7680" s="25">
        <v>1.1415000000000001E-4</v>
      </c>
      <c r="E7680" s="25">
        <v>1.2344999999999999E-4</v>
      </c>
      <c r="F7680" s="25">
        <v>9.9950000000000004E-5</v>
      </c>
      <c r="G7680" s="25">
        <v>1.0498E-4</v>
      </c>
      <c r="H7680" s="25">
        <v>1.2587000000000001E-4</v>
      </c>
      <c r="I7680" s="9">
        <v>1.3902000000000001E-4</v>
      </c>
      <c r="J7680" s="9">
        <v>1.4169000000000001E-4</v>
      </c>
      <c r="K7680" s="9">
        <v>2.0769000000000001E-4</v>
      </c>
      <c r="L7680" s="9">
        <v>1.7495E-4</v>
      </c>
      <c r="M7680" s="9">
        <v>1.5076999999999999E-4</v>
      </c>
      <c r="N7680" s="9">
        <v>1.2095E-4</v>
      </c>
      <c r="O7680" s="9">
        <v>1.2926999999999999E-4</v>
      </c>
      <c r="P7680" s="9">
        <v>1.1478E-4</v>
      </c>
      <c r="Q7680" s="9">
        <v>1.0182E-4</v>
      </c>
      <c r="R7680" s="10">
        <v>1.8747700293800818E-4</v>
      </c>
      <c r="S7680" s="10">
        <v>1.7943337768331629E-4</v>
      </c>
      <c r="T7680" s="10">
        <v>0</v>
      </c>
      <c r="U7680" s="10">
        <v>1.0318E-4</v>
      </c>
      <c r="V7680" s="25"/>
      <c r="W7680" s="25"/>
      <c r="X7680" s="25"/>
      <c r="Y7680" s="25"/>
      <c r="Z7680" s="25"/>
      <c r="AA7680" s="25"/>
    </row>
    <row r="7681" spans="1:27" x14ac:dyDescent="0.35">
      <c r="A7681" s="5">
        <v>7677</v>
      </c>
      <c r="B7681" s="5">
        <v>320</v>
      </c>
      <c r="C7681" s="5">
        <v>11</v>
      </c>
      <c r="D7681" s="25">
        <v>1.1416E-4</v>
      </c>
      <c r="E7681" s="25">
        <v>1.1444E-4</v>
      </c>
      <c r="F7681" s="25">
        <v>1.0451E-4</v>
      </c>
      <c r="G7681" s="25">
        <v>5.8499999999999999E-5</v>
      </c>
      <c r="H7681" s="25">
        <v>6.2429999999999997E-5</v>
      </c>
      <c r="I7681" s="9">
        <v>1.3281E-4</v>
      </c>
      <c r="J7681" s="9">
        <v>1.3505E-4</v>
      </c>
      <c r="K7681" s="9">
        <v>2.3948E-4</v>
      </c>
      <c r="L7681" s="9">
        <v>1.403E-4</v>
      </c>
      <c r="M7681" s="9">
        <v>1.3548E-4</v>
      </c>
      <c r="N7681" s="9">
        <v>1.1323999999999999E-4</v>
      </c>
      <c r="O7681" s="9">
        <v>8.4320000000000006E-5</v>
      </c>
      <c r="P7681" s="9">
        <v>8.5710000000000004E-5</v>
      </c>
      <c r="Q7681" s="9">
        <v>8.7700000000000004E-5</v>
      </c>
      <c r="R7681" s="10">
        <v>1.9017153430458109E-4</v>
      </c>
      <c r="S7681" s="10">
        <v>1.8165117841756055E-4</v>
      </c>
      <c r="T7681" s="10">
        <v>0</v>
      </c>
      <c r="U7681" s="10">
        <v>1.0318E-4</v>
      </c>
      <c r="V7681" s="25"/>
      <c r="W7681" s="25"/>
      <c r="X7681" s="25"/>
      <c r="Y7681" s="25"/>
      <c r="Z7681" s="25"/>
      <c r="AA7681" s="25"/>
    </row>
    <row r="7682" spans="1:27" x14ac:dyDescent="0.35">
      <c r="A7682" s="5">
        <v>7678</v>
      </c>
      <c r="B7682" s="5">
        <v>320</v>
      </c>
      <c r="C7682" s="5">
        <v>11</v>
      </c>
      <c r="D7682" s="25">
        <v>1.1415000000000001E-4</v>
      </c>
      <c r="E7682" s="25">
        <v>1.1400000000000001E-4</v>
      </c>
      <c r="F7682" s="25">
        <v>9.4920000000000006E-5</v>
      </c>
      <c r="G7682" s="25">
        <v>5.418E-5</v>
      </c>
      <c r="H7682" s="25">
        <v>7.5259999999999994E-5</v>
      </c>
      <c r="I7682" s="9">
        <v>1.2546000000000001E-4</v>
      </c>
      <c r="J7682" s="9">
        <v>1.2732999999999999E-4</v>
      </c>
      <c r="K7682" s="9">
        <v>2.0981E-4</v>
      </c>
      <c r="L7682" s="9">
        <v>9.7579999999999997E-5</v>
      </c>
      <c r="M7682" s="9">
        <v>1.1361E-4</v>
      </c>
      <c r="N7682" s="9">
        <v>1.0551E-4</v>
      </c>
      <c r="O7682" s="9">
        <v>8.7750000000000005E-5</v>
      </c>
      <c r="P7682" s="9">
        <v>8.7739999999999997E-5</v>
      </c>
      <c r="Q7682" s="9">
        <v>8.8389999999999999E-5</v>
      </c>
      <c r="R7682" s="10">
        <v>1.9161423983581085E-4</v>
      </c>
      <c r="S7682" s="10">
        <v>1.8372085090053356E-4</v>
      </c>
      <c r="T7682" s="10">
        <v>0</v>
      </c>
      <c r="U7682" s="10">
        <v>1.0318E-4</v>
      </c>
      <c r="V7682" s="25"/>
      <c r="W7682" s="25"/>
      <c r="X7682" s="25"/>
      <c r="Y7682" s="25"/>
      <c r="Z7682" s="25"/>
      <c r="AA7682" s="25"/>
    </row>
    <row r="7683" spans="1:27" x14ac:dyDescent="0.35">
      <c r="A7683" s="5">
        <v>7679</v>
      </c>
      <c r="B7683" s="5">
        <v>320</v>
      </c>
      <c r="C7683" s="5">
        <v>11</v>
      </c>
      <c r="D7683" s="25">
        <v>1.1416E-4</v>
      </c>
      <c r="E7683" s="25">
        <v>1.1365E-4</v>
      </c>
      <c r="F7683" s="25">
        <v>1.125E-4</v>
      </c>
      <c r="G7683" s="25">
        <v>5.3180000000000002E-5</v>
      </c>
      <c r="H7683" s="25">
        <v>6.5850000000000001E-5</v>
      </c>
      <c r="I7683" s="9">
        <v>1.2598000000000001E-4</v>
      </c>
      <c r="J7683" s="9">
        <v>1.1771E-4</v>
      </c>
      <c r="K7683" s="9">
        <v>2.2677E-4</v>
      </c>
      <c r="L7683" s="9">
        <v>9.0870000000000002E-5</v>
      </c>
      <c r="M7683" s="9">
        <v>9.8919999999999995E-5</v>
      </c>
      <c r="N7683" s="9">
        <v>9.9770000000000002E-5</v>
      </c>
      <c r="O7683" s="9">
        <v>7.7990000000000004E-5</v>
      </c>
      <c r="P7683" s="9">
        <v>7.2139999999999997E-5</v>
      </c>
      <c r="Q7683" s="9">
        <v>6.6890000000000005E-5</v>
      </c>
      <c r="R7683" s="10">
        <v>1.8606931678311032E-4</v>
      </c>
      <c r="S7683" s="10">
        <v>1.8489120450657104E-4</v>
      </c>
      <c r="T7683" s="10">
        <v>0</v>
      </c>
      <c r="U7683" s="10">
        <v>1.0318E-4</v>
      </c>
      <c r="V7683" s="25"/>
      <c r="W7683" s="25"/>
      <c r="X7683" s="25"/>
      <c r="Y7683" s="25"/>
      <c r="Z7683" s="25"/>
      <c r="AA7683" s="25"/>
    </row>
    <row r="7684" spans="1:27" x14ac:dyDescent="0.35">
      <c r="A7684" s="5">
        <v>7680</v>
      </c>
      <c r="B7684" s="5">
        <v>320</v>
      </c>
      <c r="C7684" s="5">
        <v>11</v>
      </c>
      <c r="D7684" s="25">
        <v>1.1415000000000001E-4</v>
      </c>
      <c r="E7684" s="25">
        <v>1.1676E-4</v>
      </c>
      <c r="F7684" s="25">
        <v>9.5950000000000001E-5</v>
      </c>
      <c r="G7684" s="25">
        <v>5.5229999999999998E-5</v>
      </c>
      <c r="H7684" s="25">
        <v>7.0970000000000007E-5</v>
      </c>
      <c r="I7684" s="9">
        <v>1.2357000000000001E-4</v>
      </c>
      <c r="J7684" s="9">
        <v>1.0976000000000001E-4</v>
      </c>
      <c r="K7684" s="9">
        <v>2.2041000000000001E-4</v>
      </c>
      <c r="L7684" s="9">
        <v>8.0799999999999999E-5</v>
      </c>
      <c r="M7684" s="9">
        <v>8.6069999999999994E-5</v>
      </c>
      <c r="N7684" s="9">
        <v>9.0500000000000004E-5</v>
      </c>
      <c r="O7684" s="9">
        <v>6.2230000000000006E-5</v>
      </c>
      <c r="P7684" s="9">
        <v>6.012E-5</v>
      </c>
      <c r="Q7684" s="9">
        <v>5.8319999999999997E-5</v>
      </c>
      <c r="R7684" s="10">
        <v>1.9141917767593667E-4</v>
      </c>
      <c r="S7684" s="10">
        <v>1.8615906526087573E-4</v>
      </c>
      <c r="T7684" s="10">
        <v>0</v>
      </c>
      <c r="U7684" s="10">
        <v>1.0318E-4</v>
      </c>
      <c r="V7684" s="25"/>
      <c r="W7684" s="25"/>
      <c r="X7684" s="25"/>
      <c r="Y7684" s="25"/>
      <c r="Z7684" s="25"/>
      <c r="AA7684" s="25"/>
    </row>
    <row r="7685" spans="1:27" x14ac:dyDescent="0.35">
      <c r="A7685" s="5">
        <v>7681</v>
      </c>
      <c r="B7685" s="5">
        <v>321</v>
      </c>
      <c r="C7685" s="5">
        <v>11</v>
      </c>
      <c r="D7685" s="25">
        <v>1.1416E-4</v>
      </c>
      <c r="E7685" s="25">
        <v>1.1443E-4</v>
      </c>
      <c r="F7685" s="25">
        <v>1.1881E-4</v>
      </c>
      <c r="G7685" s="25">
        <v>5.6249999999999998E-5</v>
      </c>
      <c r="H7685" s="25">
        <v>4.1390000000000002E-5</v>
      </c>
      <c r="I7685" s="9">
        <v>1.1441E-4</v>
      </c>
      <c r="J7685" s="9">
        <v>1.0291E-4</v>
      </c>
      <c r="K7685" s="9">
        <v>2.3525E-4</v>
      </c>
      <c r="L7685" s="9">
        <v>6.6309999999999994E-5</v>
      </c>
      <c r="M7685" s="9">
        <v>7.3780000000000002E-5</v>
      </c>
      <c r="N7685" s="9">
        <v>8.0980000000000001E-5</v>
      </c>
      <c r="O7685" s="9">
        <v>6.8079999999999999E-5</v>
      </c>
      <c r="P7685" s="9">
        <v>6.0619999999999999E-5</v>
      </c>
      <c r="Q7685" s="9">
        <v>5.346E-5</v>
      </c>
      <c r="R7685" s="10">
        <v>1.9052382855224562E-4</v>
      </c>
      <c r="S7685" s="10">
        <v>1.8173966773381173E-4</v>
      </c>
      <c r="T7685" s="10">
        <v>0</v>
      </c>
      <c r="U7685" s="10">
        <v>1.0353000000000001E-4</v>
      </c>
      <c r="V7685" s="25"/>
      <c r="W7685" s="25"/>
      <c r="X7685" s="25"/>
      <c r="Y7685" s="25"/>
      <c r="Z7685" s="25"/>
      <c r="AA7685" s="25"/>
    </row>
    <row r="7686" spans="1:27" x14ac:dyDescent="0.35">
      <c r="A7686" s="5">
        <v>7682</v>
      </c>
      <c r="B7686" s="5">
        <v>321</v>
      </c>
      <c r="C7686" s="5">
        <v>11</v>
      </c>
      <c r="D7686" s="25">
        <v>1.1415000000000001E-4</v>
      </c>
      <c r="E7686" s="25">
        <v>1.1847E-4</v>
      </c>
      <c r="F7686" s="25">
        <v>1.1156E-4</v>
      </c>
      <c r="G7686" s="25">
        <v>5.6690000000000001E-5</v>
      </c>
      <c r="H7686" s="25">
        <v>4.3099999999999997E-5</v>
      </c>
      <c r="I7686" s="9">
        <v>1.0823999999999999E-4</v>
      </c>
      <c r="J7686" s="9">
        <v>9.8029999999999995E-5</v>
      </c>
      <c r="K7686" s="9">
        <v>2.3737000000000001E-4</v>
      </c>
      <c r="L7686" s="9">
        <v>6.8089999999999994E-5</v>
      </c>
      <c r="M7686" s="9">
        <v>6.6110000000000002E-5</v>
      </c>
      <c r="N7686" s="9">
        <v>7.1899999999999999E-5</v>
      </c>
      <c r="O7686" s="9">
        <v>3.4709999999999998E-5</v>
      </c>
      <c r="P7686" s="9">
        <v>4.545E-5</v>
      </c>
      <c r="Q7686" s="9">
        <v>5.571E-5</v>
      </c>
      <c r="R7686" s="10">
        <v>1.7807386372859982E-4</v>
      </c>
      <c r="S7686" s="10">
        <v>1.8500746382869011E-4</v>
      </c>
      <c r="T7686" s="10">
        <v>0</v>
      </c>
      <c r="U7686" s="10">
        <v>1.0353000000000001E-4</v>
      </c>
      <c r="V7686" s="25"/>
      <c r="W7686" s="25"/>
      <c r="X7686" s="25"/>
      <c r="Y7686" s="25"/>
      <c r="Z7686" s="25"/>
      <c r="AA7686" s="25"/>
    </row>
    <row r="7687" spans="1:27" x14ac:dyDescent="0.35">
      <c r="A7687" s="5">
        <v>7683</v>
      </c>
      <c r="B7687" s="5">
        <v>321</v>
      </c>
      <c r="C7687" s="5">
        <v>11</v>
      </c>
      <c r="D7687" s="25">
        <v>1.1416E-4</v>
      </c>
      <c r="E7687" s="25">
        <v>1.1951E-4</v>
      </c>
      <c r="F7687" s="25">
        <v>1.1081E-4</v>
      </c>
      <c r="G7687" s="25">
        <v>5.5619999999999999E-5</v>
      </c>
      <c r="H7687" s="25">
        <v>4.6910000000000003E-5</v>
      </c>
      <c r="I7687" s="9">
        <v>1.0469E-4</v>
      </c>
      <c r="J7687" s="9">
        <v>9.5439999999999994E-5</v>
      </c>
      <c r="K7687" s="9">
        <v>2.3313000000000001E-4</v>
      </c>
      <c r="L7687" s="9">
        <v>4.1959999999999998E-5</v>
      </c>
      <c r="M7687" s="9">
        <v>5.7049999999999998E-5</v>
      </c>
      <c r="N7687" s="9">
        <v>6.5270000000000004E-5</v>
      </c>
      <c r="O7687" s="9">
        <v>2.1569999999999998E-5</v>
      </c>
      <c r="P7687" s="9">
        <v>4.1709999999999999E-5</v>
      </c>
      <c r="Q7687" s="9">
        <v>6.101E-5</v>
      </c>
      <c r="R7687" s="10">
        <v>1.7011944399001507E-4</v>
      </c>
      <c r="S7687" s="10">
        <v>1.8640901154858512E-4</v>
      </c>
      <c r="T7687" s="10">
        <v>0</v>
      </c>
      <c r="U7687" s="10">
        <v>1.0353000000000001E-4</v>
      </c>
      <c r="V7687" s="25"/>
      <c r="W7687" s="25"/>
      <c r="X7687" s="25"/>
      <c r="Y7687" s="25"/>
      <c r="Z7687" s="25"/>
      <c r="AA7687" s="25"/>
    </row>
    <row r="7688" spans="1:27" x14ac:dyDescent="0.35">
      <c r="A7688" s="5">
        <v>7684</v>
      </c>
      <c r="B7688" s="5">
        <v>321</v>
      </c>
      <c r="C7688" s="5">
        <v>11</v>
      </c>
      <c r="D7688" s="25">
        <v>1.1415000000000001E-4</v>
      </c>
      <c r="E7688" s="25">
        <v>1.1241E-4</v>
      </c>
      <c r="F7688" s="25">
        <v>1.2657E-4</v>
      </c>
      <c r="G7688" s="25">
        <v>5.5789999999999999E-5</v>
      </c>
      <c r="H7688" s="25">
        <v>3.9560000000000001E-5</v>
      </c>
      <c r="I7688" s="9">
        <v>1.0198E-4</v>
      </c>
      <c r="J7688" s="9">
        <v>9.4539999999999999E-5</v>
      </c>
      <c r="K7688" s="9">
        <v>2.4795999999999998E-4</v>
      </c>
      <c r="L7688" s="9">
        <v>2.6679999999999999E-5</v>
      </c>
      <c r="M7688" s="9">
        <v>4.9379999999999998E-5</v>
      </c>
      <c r="N7688" s="9">
        <v>6.1589999999999998E-5</v>
      </c>
      <c r="O7688" s="9">
        <v>2.1420000000000002E-5</v>
      </c>
      <c r="P7688" s="9">
        <v>5.1770000000000001E-5</v>
      </c>
      <c r="Q7688" s="9">
        <v>8.1089999999999998E-5</v>
      </c>
      <c r="R7688" s="10">
        <v>1.6648764252492229E-4</v>
      </c>
      <c r="S7688" s="10">
        <v>1.8707061699917648E-4</v>
      </c>
      <c r="T7688" s="10">
        <v>0</v>
      </c>
      <c r="U7688" s="10">
        <v>1.0353000000000001E-4</v>
      </c>
      <c r="V7688" s="25"/>
      <c r="W7688" s="25"/>
      <c r="X7688" s="25"/>
      <c r="Y7688" s="25"/>
      <c r="Z7688" s="25"/>
      <c r="AA7688" s="25"/>
    </row>
    <row r="7689" spans="1:27" x14ac:dyDescent="0.35">
      <c r="A7689" s="5">
        <v>7685</v>
      </c>
      <c r="B7689" s="5">
        <v>321</v>
      </c>
      <c r="C7689" s="5">
        <v>11</v>
      </c>
      <c r="D7689" s="25">
        <v>1.1416E-4</v>
      </c>
      <c r="E7689" s="25">
        <v>1.136E-4</v>
      </c>
      <c r="F7689" s="25">
        <v>1.1328E-4</v>
      </c>
      <c r="G7689" s="25">
        <v>5.5949999999999998E-5</v>
      </c>
      <c r="H7689" s="25">
        <v>4.1390000000000002E-5</v>
      </c>
      <c r="I7689" s="9">
        <v>1.0241E-4</v>
      </c>
      <c r="J7689" s="9">
        <v>9.5299999999999999E-5</v>
      </c>
      <c r="K7689" s="9">
        <v>2.5008000000000002E-4</v>
      </c>
      <c r="L7689" s="9">
        <v>2.304E-5</v>
      </c>
      <c r="M7689" s="9">
        <v>4.8409999999999999E-5</v>
      </c>
      <c r="N7689" s="9">
        <v>6.4330000000000002E-5</v>
      </c>
      <c r="O7689" s="9">
        <v>2.3220000000000001E-5</v>
      </c>
      <c r="P7689" s="9">
        <v>5.9129999999999998E-5</v>
      </c>
      <c r="Q7689" s="9">
        <v>9.3969999999999996E-5</v>
      </c>
      <c r="R7689" s="10">
        <v>1.6929447728382662E-4</v>
      </c>
      <c r="S7689" s="10">
        <v>1.8594229779604152E-4</v>
      </c>
      <c r="T7689" s="10">
        <v>0</v>
      </c>
      <c r="U7689" s="10">
        <v>1.0353000000000001E-4</v>
      </c>
      <c r="V7689" s="25"/>
      <c r="W7689" s="25"/>
      <c r="X7689" s="25"/>
      <c r="Y7689" s="25"/>
      <c r="Z7689" s="25"/>
      <c r="AA7689" s="25"/>
    </row>
    <row r="7690" spans="1:27" x14ac:dyDescent="0.35">
      <c r="A7690" s="5">
        <v>7686</v>
      </c>
      <c r="B7690" s="5">
        <v>321</v>
      </c>
      <c r="C7690" s="5">
        <v>11</v>
      </c>
      <c r="D7690" s="25">
        <v>1.1415000000000001E-4</v>
      </c>
      <c r="E7690" s="25">
        <v>1.1899E-4</v>
      </c>
      <c r="F7690" s="25">
        <v>1.0859E-4</v>
      </c>
      <c r="G7690" s="25">
        <v>1.1089E-4</v>
      </c>
      <c r="H7690" s="25">
        <v>8.5199999999999997E-5</v>
      </c>
      <c r="I7690" s="9">
        <v>1.0849999999999999E-4</v>
      </c>
      <c r="J7690" s="9">
        <v>9.9740000000000004E-5</v>
      </c>
      <c r="K7690" s="9">
        <v>2.6490999999999998E-4</v>
      </c>
      <c r="L7690" s="9">
        <v>2.3099999999999999E-5</v>
      </c>
      <c r="M7690" s="9">
        <v>5.2349999999999999E-5</v>
      </c>
      <c r="N7690" s="9">
        <v>7.1009999999999999E-5</v>
      </c>
      <c r="O7690" s="9">
        <v>2.953E-5</v>
      </c>
      <c r="P7690" s="9">
        <v>6.8860000000000001E-5</v>
      </c>
      <c r="Q7690" s="9">
        <v>1.0717000000000001E-4</v>
      </c>
      <c r="R7690" s="10">
        <v>1.7485665770602217E-4</v>
      </c>
      <c r="S7690" s="10">
        <v>1.8166732783235915E-4</v>
      </c>
      <c r="T7690" s="10">
        <v>0</v>
      </c>
      <c r="U7690" s="10">
        <v>1.0353000000000001E-4</v>
      </c>
      <c r="V7690" s="25"/>
      <c r="W7690" s="25"/>
      <c r="X7690" s="25"/>
      <c r="Y7690" s="25"/>
      <c r="Z7690" s="25"/>
      <c r="AA7690" s="25"/>
    </row>
    <row r="7691" spans="1:27" x14ac:dyDescent="0.35">
      <c r="A7691" s="5">
        <v>7687</v>
      </c>
      <c r="B7691" s="5">
        <v>321</v>
      </c>
      <c r="C7691" s="5">
        <v>11</v>
      </c>
      <c r="D7691" s="25">
        <v>1.1416E-4</v>
      </c>
      <c r="E7691" s="25">
        <v>1.0923E-4</v>
      </c>
      <c r="F7691" s="25">
        <v>1.2013E-4</v>
      </c>
      <c r="G7691" s="25">
        <v>1.0673E-4</v>
      </c>
      <c r="H7691" s="25">
        <v>8.4029999999999993E-5</v>
      </c>
      <c r="I7691" s="9">
        <v>1.2242000000000001E-4</v>
      </c>
      <c r="J7691" s="9">
        <v>1.1192999999999999E-4</v>
      </c>
      <c r="K7691" s="9">
        <v>2.4795999999999998E-4</v>
      </c>
      <c r="L7691" s="9">
        <v>2.8019999999999999E-5</v>
      </c>
      <c r="M7691" s="9">
        <v>5.9450000000000002E-5</v>
      </c>
      <c r="N7691" s="9">
        <v>8.0790000000000004E-5</v>
      </c>
      <c r="O7691" s="9">
        <v>4.5639999999999997E-5</v>
      </c>
      <c r="P7691" s="9">
        <v>7.8839999999999997E-5</v>
      </c>
      <c r="Q7691" s="9">
        <v>1.1137E-4</v>
      </c>
      <c r="R7691" s="10">
        <v>1.7254959057578571E-4</v>
      </c>
      <c r="S7691" s="10">
        <v>1.6755217421286203E-4</v>
      </c>
      <c r="T7691" s="10">
        <v>0</v>
      </c>
      <c r="U7691" s="10">
        <v>1.0353000000000001E-4</v>
      </c>
      <c r="V7691" s="25"/>
      <c r="W7691" s="25"/>
      <c r="X7691" s="25"/>
      <c r="Y7691" s="25"/>
      <c r="Z7691" s="25"/>
      <c r="AA7691" s="25"/>
    </row>
    <row r="7692" spans="1:27" x14ac:dyDescent="0.35">
      <c r="A7692" s="5">
        <v>7688</v>
      </c>
      <c r="B7692" s="5">
        <v>321</v>
      </c>
      <c r="C7692" s="5">
        <v>11</v>
      </c>
      <c r="D7692" s="25">
        <v>1.1415000000000001E-4</v>
      </c>
      <c r="E7692" s="25">
        <v>1.1718999999999999E-4</v>
      </c>
      <c r="F7692" s="25">
        <v>1.2397999999999999E-4</v>
      </c>
      <c r="G7692" s="25">
        <v>1.6567E-4</v>
      </c>
      <c r="H7692" s="25">
        <v>1.1896999999999999E-4</v>
      </c>
      <c r="I7692" s="9">
        <v>1.3520000000000001E-4</v>
      </c>
      <c r="J7692" s="9">
        <v>1.3082E-4</v>
      </c>
      <c r="K7692" s="9">
        <v>2.4583999999999999E-4</v>
      </c>
      <c r="L7692" s="9">
        <v>4.1619999999999998E-5</v>
      </c>
      <c r="M7692" s="9">
        <v>6.8189999999999996E-5</v>
      </c>
      <c r="N7692" s="9">
        <v>9.0690000000000001E-5</v>
      </c>
      <c r="O7692" s="9">
        <v>6.8620000000000004E-5</v>
      </c>
      <c r="P7692" s="9">
        <v>1.0318E-4</v>
      </c>
      <c r="Q7692" s="9">
        <v>1.3739000000000001E-4</v>
      </c>
      <c r="R7692" s="10">
        <v>1.6274679217467283E-4</v>
      </c>
      <c r="S7692" s="10">
        <v>1.5678116468294706E-4</v>
      </c>
      <c r="T7692" s="10">
        <v>0</v>
      </c>
      <c r="U7692" s="10">
        <v>1.0353000000000001E-4</v>
      </c>
      <c r="V7692" s="25"/>
      <c r="W7692" s="25"/>
      <c r="X7692" s="25"/>
      <c r="Y7692" s="25"/>
      <c r="Z7692" s="25"/>
      <c r="AA7692" s="25"/>
    </row>
    <row r="7693" spans="1:27" x14ac:dyDescent="0.35">
      <c r="A7693" s="5">
        <v>7689</v>
      </c>
      <c r="B7693" s="5">
        <v>321</v>
      </c>
      <c r="C7693" s="5">
        <v>11</v>
      </c>
      <c r="D7693" s="25">
        <v>1.1416E-4</v>
      </c>
      <c r="E7693" s="25">
        <v>1.1423E-4</v>
      </c>
      <c r="F7693" s="25">
        <v>1.1974E-4</v>
      </c>
      <c r="G7693" s="25">
        <v>1.6232E-4</v>
      </c>
      <c r="H7693" s="25">
        <v>1.2260999999999999E-4</v>
      </c>
      <c r="I7693" s="9">
        <v>1.3787000000000001E-4</v>
      </c>
      <c r="J7693" s="9">
        <v>1.4148000000000001E-4</v>
      </c>
      <c r="K7693" s="9">
        <v>1.9709999999999999E-4</v>
      </c>
      <c r="L7693" s="9">
        <v>6.2310000000000005E-5</v>
      </c>
      <c r="M7693" s="9">
        <v>8.2949999999999997E-5</v>
      </c>
      <c r="N7693" s="9">
        <v>1.0461E-4</v>
      </c>
      <c r="O7693" s="9">
        <v>1.0014999999999999E-4</v>
      </c>
      <c r="P7693" s="9">
        <v>1.3855000000000001E-4</v>
      </c>
      <c r="Q7693" s="9">
        <v>1.7702000000000001E-4</v>
      </c>
      <c r="R7693" s="10">
        <v>1.5296415127137209E-4</v>
      </c>
      <c r="S7693" s="10">
        <v>1.5590683225247932E-4</v>
      </c>
      <c r="T7693" s="10">
        <v>5.8422885325081377E-5</v>
      </c>
      <c r="U7693" s="10">
        <v>1.0353000000000001E-4</v>
      </c>
      <c r="V7693" s="25"/>
      <c r="W7693" s="25"/>
      <c r="X7693" s="25"/>
      <c r="Y7693" s="25"/>
      <c r="Z7693" s="25"/>
      <c r="AA7693" s="25"/>
    </row>
    <row r="7694" spans="1:27" x14ac:dyDescent="0.35">
      <c r="A7694" s="5">
        <v>7690</v>
      </c>
      <c r="B7694" s="5">
        <v>321</v>
      </c>
      <c r="C7694" s="5">
        <v>11</v>
      </c>
      <c r="D7694" s="25">
        <v>1.1415000000000001E-4</v>
      </c>
      <c r="E7694" s="25">
        <v>1.1407E-4</v>
      </c>
      <c r="F7694" s="25">
        <v>1.1042E-4</v>
      </c>
      <c r="G7694" s="25">
        <v>1.5771000000000001E-4</v>
      </c>
      <c r="H7694" s="25">
        <v>1.1733E-4</v>
      </c>
      <c r="I7694" s="9">
        <v>1.4174000000000001E-4</v>
      </c>
      <c r="J7694" s="9">
        <v>1.4548E-4</v>
      </c>
      <c r="K7694" s="9">
        <v>1.9074000000000001E-4</v>
      </c>
      <c r="L7694" s="9">
        <v>9.1279999999999993E-5</v>
      </c>
      <c r="M7694" s="9">
        <v>1.0671E-4</v>
      </c>
      <c r="N7694" s="9">
        <v>1.2463E-4</v>
      </c>
      <c r="O7694" s="9">
        <v>1.2924E-4</v>
      </c>
      <c r="P7694" s="9">
        <v>1.5548E-4</v>
      </c>
      <c r="Q7694" s="9">
        <v>1.8242000000000001E-4</v>
      </c>
      <c r="R7694" s="10">
        <v>1.5126955929360141E-4</v>
      </c>
      <c r="S7694" s="10">
        <v>1.5889698868242475E-4</v>
      </c>
      <c r="T7694" s="10">
        <v>1.9199969429372515E-5</v>
      </c>
      <c r="U7694" s="10">
        <v>1.0353000000000001E-4</v>
      </c>
      <c r="V7694" s="25"/>
      <c r="W7694" s="25"/>
      <c r="X7694" s="25"/>
      <c r="Y7694" s="25"/>
      <c r="Z7694" s="25"/>
      <c r="AA7694" s="25"/>
    </row>
    <row r="7695" spans="1:27" x14ac:dyDescent="0.35">
      <c r="A7695" s="5">
        <v>7691</v>
      </c>
      <c r="B7695" s="5">
        <v>321</v>
      </c>
      <c r="C7695" s="5">
        <v>11</v>
      </c>
      <c r="D7695" s="25">
        <v>1.1416E-4</v>
      </c>
      <c r="E7695" s="25">
        <v>1.1888E-4</v>
      </c>
      <c r="F7695" s="25">
        <v>1.1807E-4</v>
      </c>
      <c r="G7695" s="25">
        <v>1.5867999999999999E-4</v>
      </c>
      <c r="H7695" s="25">
        <v>1.1882E-4</v>
      </c>
      <c r="I7695" s="9">
        <v>1.4206000000000001E-4</v>
      </c>
      <c r="J7695" s="9">
        <v>1.4584999999999999E-4</v>
      </c>
      <c r="K7695" s="9">
        <v>2.0133E-4</v>
      </c>
      <c r="L7695" s="9">
        <v>1.2018E-4</v>
      </c>
      <c r="M7695" s="9">
        <v>1.3025999999999999E-4</v>
      </c>
      <c r="N7695" s="9">
        <v>1.4276999999999999E-4</v>
      </c>
      <c r="O7695" s="9">
        <v>1.3836E-4</v>
      </c>
      <c r="P7695" s="9">
        <v>1.5911000000000001E-4</v>
      </c>
      <c r="Q7695" s="9">
        <v>1.808E-4</v>
      </c>
      <c r="R7695" s="10">
        <v>1.572347524879257E-4</v>
      </c>
      <c r="S7695" s="10">
        <v>1.5532615734997171E-4</v>
      </c>
      <c r="T7695" s="10">
        <v>5.4791605203220374E-5</v>
      </c>
      <c r="U7695" s="10">
        <v>1.0353000000000001E-4</v>
      </c>
      <c r="V7695" s="25"/>
      <c r="W7695" s="25"/>
      <c r="X7695" s="25"/>
      <c r="Y7695" s="25"/>
      <c r="Z7695" s="25"/>
      <c r="AA7695" s="25"/>
    </row>
    <row r="7696" spans="1:27" x14ac:dyDescent="0.35">
      <c r="A7696" s="5">
        <v>7692</v>
      </c>
      <c r="B7696" s="5">
        <v>321</v>
      </c>
      <c r="C7696" s="5">
        <v>11</v>
      </c>
      <c r="D7696" s="25">
        <v>1.1415000000000001E-4</v>
      </c>
      <c r="E7696" s="25">
        <v>1.1183000000000001E-4</v>
      </c>
      <c r="F7696" s="25">
        <v>1.0899E-4</v>
      </c>
      <c r="G7696" s="25">
        <v>1.6374E-4</v>
      </c>
      <c r="H7696" s="25">
        <v>1.2189E-4</v>
      </c>
      <c r="I7696" s="9">
        <v>1.4363000000000001E-4</v>
      </c>
      <c r="J7696" s="9">
        <v>1.4463E-4</v>
      </c>
      <c r="K7696" s="9">
        <v>1.7166999999999999E-4</v>
      </c>
      <c r="L7696" s="9">
        <v>1.3369E-4</v>
      </c>
      <c r="M7696" s="9">
        <v>1.4621999999999999E-4</v>
      </c>
      <c r="N7696" s="9">
        <v>1.5713000000000001E-4</v>
      </c>
      <c r="O7696" s="9">
        <v>1.3993999999999999E-4</v>
      </c>
      <c r="P7696" s="9">
        <v>1.5729000000000001E-4</v>
      </c>
      <c r="Q7696" s="9">
        <v>1.7563999999999999E-4</v>
      </c>
      <c r="R7696" s="10">
        <v>1.669151630399296E-4</v>
      </c>
      <c r="S7696" s="10">
        <v>1.5268258580332624E-4</v>
      </c>
      <c r="T7696" s="10">
        <v>1.1985769691946334E-4</v>
      </c>
      <c r="U7696" s="10">
        <v>1.0353000000000001E-4</v>
      </c>
      <c r="V7696" s="25"/>
      <c r="W7696" s="25"/>
      <c r="X7696" s="25"/>
      <c r="Y7696" s="25"/>
      <c r="Z7696" s="25"/>
      <c r="AA7696" s="25"/>
    </row>
    <row r="7697" spans="1:27" x14ac:dyDescent="0.35">
      <c r="A7697" s="5">
        <v>7693</v>
      </c>
      <c r="B7697" s="5">
        <v>321</v>
      </c>
      <c r="C7697" s="5">
        <v>11</v>
      </c>
      <c r="D7697" s="25">
        <v>1.1416E-4</v>
      </c>
      <c r="E7697" s="25">
        <v>1.1321E-4</v>
      </c>
      <c r="F7697" s="25">
        <v>1.2244999999999999E-4</v>
      </c>
      <c r="G7697" s="25">
        <v>1.6249E-4</v>
      </c>
      <c r="H7697" s="25">
        <v>1.1595E-4</v>
      </c>
      <c r="I7697" s="9">
        <v>1.4145E-4</v>
      </c>
      <c r="J7697" s="9">
        <v>1.4203999999999999E-4</v>
      </c>
      <c r="K7697" s="9">
        <v>1.8013999999999999E-4</v>
      </c>
      <c r="L7697" s="9">
        <v>1.3836999999999999E-4</v>
      </c>
      <c r="M7697" s="9">
        <v>1.5364E-4</v>
      </c>
      <c r="N7697" s="9">
        <v>1.6692000000000001E-4</v>
      </c>
      <c r="O7697" s="9">
        <v>1.3092E-4</v>
      </c>
      <c r="P7697" s="9">
        <v>1.4906000000000001E-4</v>
      </c>
      <c r="Q7697" s="9">
        <v>1.6804999999999999E-4</v>
      </c>
      <c r="R7697" s="10">
        <v>1.7702830630002373E-4</v>
      </c>
      <c r="S7697" s="10">
        <v>1.5793117980954254E-4</v>
      </c>
      <c r="T7697" s="10">
        <v>1.9870229078033779E-5</v>
      </c>
      <c r="U7697" s="10">
        <v>1.0353000000000001E-4</v>
      </c>
      <c r="V7697" s="25"/>
      <c r="W7697" s="25"/>
      <c r="X7697" s="25"/>
      <c r="Y7697" s="25"/>
      <c r="Z7697" s="25"/>
      <c r="AA7697" s="25"/>
    </row>
    <row r="7698" spans="1:27" x14ac:dyDescent="0.35">
      <c r="A7698" s="5">
        <v>7694</v>
      </c>
      <c r="B7698" s="5">
        <v>321</v>
      </c>
      <c r="C7698" s="5">
        <v>11</v>
      </c>
      <c r="D7698" s="25">
        <v>1.1415000000000001E-4</v>
      </c>
      <c r="E7698" s="25">
        <v>1.1178E-4</v>
      </c>
      <c r="F7698" s="25">
        <v>1.2013E-4</v>
      </c>
      <c r="G7698" s="25">
        <v>1.6736999999999999E-4</v>
      </c>
      <c r="H7698" s="25">
        <v>1.2213E-4</v>
      </c>
      <c r="I7698" s="9">
        <v>1.4044E-4</v>
      </c>
      <c r="J7698" s="9">
        <v>1.4175E-4</v>
      </c>
      <c r="K7698" s="9">
        <v>2.0981999999999999E-4</v>
      </c>
      <c r="L7698" s="9">
        <v>1.3260999999999999E-4</v>
      </c>
      <c r="M7698" s="9">
        <v>1.5342E-4</v>
      </c>
      <c r="N7698" s="9">
        <v>1.7128999999999999E-4</v>
      </c>
      <c r="O7698" s="9">
        <v>1.1205E-4</v>
      </c>
      <c r="P7698" s="9">
        <v>1.3564999999999999E-4</v>
      </c>
      <c r="Q7698" s="9">
        <v>1.5975000000000001E-4</v>
      </c>
      <c r="R7698" s="10">
        <v>1.8739771550877022E-4</v>
      </c>
      <c r="S7698" s="10">
        <v>1.5609074595020463E-4</v>
      </c>
      <c r="T7698" s="10">
        <v>4.7817511137403222E-5</v>
      </c>
      <c r="U7698" s="10">
        <v>1.0353000000000001E-4</v>
      </c>
      <c r="V7698" s="25"/>
      <c r="W7698" s="25"/>
      <c r="X7698" s="25"/>
      <c r="Y7698" s="25"/>
      <c r="Z7698" s="25"/>
      <c r="AA7698" s="25"/>
    </row>
    <row r="7699" spans="1:27" x14ac:dyDescent="0.35">
      <c r="A7699" s="5">
        <v>7695</v>
      </c>
      <c r="B7699" s="5">
        <v>321</v>
      </c>
      <c r="C7699" s="5">
        <v>11</v>
      </c>
      <c r="D7699" s="25">
        <v>1.1416E-4</v>
      </c>
      <c r="E7699" s="25">
        <v>1.0946999999999999E-4</v>
      </c>
      <c r="F7699" s="25">
        <v>1.1964999999999999E-4</v>
      </c>
      <c r="G7699" s="25">
        <v>1.5998E-4</v>
      </c>
      <c r="H7699" s="25">
        <v>1.2263000000000001E-4</v>
      </c>
      <c r="I7699" s="9">
        <v>1.3786000000000001E-4</v>
      </c>
      <c r="J7699" s="9">
        <v>1.4211000000000001E-4</v>
      </c>
      <c r="K7699" s="9">
        <v>2.0981E-4</v>
      </c>
      <c r="L7699" s="9">
        <v>1.1680000000000001E-4</v>
      </c>
      <c r="M7699" s="9">
        <v>1.4668999999999999E-4</v>
      </c>
      <c r="N7699" s="9">
        <v>1.7048000000000001E-4</v>
      </c>
      <c r="O7699" s="9">
        <v>1.2831999999999999E-4</v>
      </c>
      <c r="P7699" s="9">
        <v>1.4044E-4</v>
      </c>
      <c r="Q7699" s="9">
        <v>1.5347000000000001E-4</v>
      </c>
      <c r="R7699" s="10">
        <v>1.8495272073427139E-4</v>
      </c>
      <c r="S7699" s="10">
        <v>1.5909632285032412E-4</v>
      </c>
      <c r="T7699" s="10">
        <v>3.9070198507406283E-5</v>
      </c>
      <c r="U7699" s="10">
        <v>1.0353000000000001E-4</v>
      </c>
      <c r="V7699" s="25"/>
      <c r="W7699" s="25"/>
      <c r="X7699" s="25"/>
      <c r="Y7699" s="25"/>
      <c r="Z7699" s="25"/>
      <c r="AA7699" s="25"/>
    </row>
    <row r="7700" spans="1:27" x14ac:dyDescent="0.35">
      <c r="A7700" s="5">
        <v>7696</v>
      </c>
      <c r="B7700" s="5">
        <v>321</v>
      </c>
      <c r="C7700" s="5">
        <v>11</v>
      </c>
      <c r="D7700" s="25">
        <v>1.1415000000000001E-4</v>
      </c>
      <c r="E7700" s="25">
        <v>1.1628E-4</v>
      </c>
      <c r="F7700" s="25">
        <v>1.1797E-4</v>
      </c>
      <c r="G7700" s="25">
        <v>1.6292999999999999E-4</v>
      </c>
      <c r="H7700" s="25">
        <v>1.211E-4</v>
      </c>
      <c r="I7700" s="9">
        <v>1.3731E-4</v>
      </c>
      <c r="J7700" s="9">
        <v>1.4306E-4</v>
      </c>
      <c r="K7700" s="9">
        <v>2.3949E-4</v>
      </c>
      <c r="L7700" s="9">
        <v>1.2624000000000001E-4</v>
      </c>
      <c r="M7700" s="9">
        <v>1.4255E-4</v>
      </c>
      <c r="N7700" s="9">
        <v>1.6667E-4</v>
      </c>
      <c r="O7700" s="9">
        <v>1.3570999999999999E-4</v>
      </c>
      <c r="P7700" s="9">
        <v>1.2252000000000001E-4</v>
      </c>
      <c r="Q7700" s="9">
        <v>1.1075E-4</v>
      </c>
      <c r="R7700" s="10">
        <v>2.0006296673010602E-4</v>
      </c>
      <c r="S7700" s="10">
        <v>1.7343803846094733E-4</v>
      </c>
      <c r="T7700" s="10">
        <v>8.6964068338960795E-6</v>
      </c>
      <c r="U7700" s="10">
        <v>1.0353000000000001E-4</v>
      </c>
      <c r="V7700" s="25"/>
      <c r="W7700" s="25"/>
      <c r="X7700" s="25"/>
      <c r="Y7700" s="25"/>
      <c r="Z7700" s="25"/>
      <c r="AA7700" s="25"/>
    </row>
    <row r="7701" spans="1:27" x14ac:dyDescent="0.35">
      <c r="A7701" s="5">
        <v>7697</v>
      </c>
      <c r="B7701" s="5">
        <v>321</v>
      </c>
      <c r="C7701" s="5">
        <v>11</v>
      </c>
      <c r="D7701" s="25">
        <v>1.1416E-4</v>
      </c>
      <c r="E7701" s="25">
        <v>1.0941E-4</v>
      </c>
      <c r="F7701" s="25">
        <v>1.2645000000000001E-4</v>
      </c>
      <c r="G7701" s="25">
        <v>1.6739000000000001E-4</v>
      </c>
      <c r="H7701" s="25">
        <v>1.2321000000000001E-4</v>
      </c>
      <c r="I7701" s="9">
        <v>1.3767E-4</v>
      </c>
      <c r="J7701" s="9">
        <v>1.4531E-4</v>
      </c>
      <c r="K7701" s="9">
        <v>2.5008000000000002E-4</v>
      </c>
      <c r="L7701" s="9">
        <v>1.3332E-4</v>
      </c>
      <c r="M7701" s="9">
        <v>1.3446000000000001E-4</v>
      </c>
      <c r="N7701" s="9">
        <v>1.5300000000000001E-4</v>
      </c>
      <c r="O7701" s="9">
        <v>1.4051999999999999E-4</v>
      </c>
      <c r="P7701" s="9">
        <v>1.2299000000000001E-4</v>
      </c>
      <c r="Q7701" s="9">
        <v>1.0704000000000001E-4</v>
      </c>
      <c r="R7701" s="10">
        <v>2.0989473978305322E-4</v>
      </c>
      <c r="S7701" s="10">
        <v>1.7647847819111937E-4</v>
      </c>
      <c r="T7701" s="10">
        <v>0</v>
      </c>
      <c r="U7701" s="10">
        <v>1.0353000000000001E-4</v>
      </c>
      <c r="V7701" s="25"/>
      <c r="W7701" s="25"/>
      <c r="X7701" s="25"/>
      <c r="Y7701" s="25"/>
      <c r="Z7701" s="25"/>
      <c r="AA7701" s="25"/>
    </row>
    <row r="7702" spans="1:27" x14ac:dyDescent="0.35">
      <c r="A7702" s="5">
        <v>7698</v>
      </c>
      <c r="B7702" s="5">
        <v>321</v>
      </c>
      <c r="C7702" s="5">
        <v>11</v>
      </c>
      <c r="D7702" s="25">
        <v>1.1415000000000001E-4</v>
      </c>
      <c r="E7702" s="25">
        <v>1.18E-4</v>
      </c>
      <c r="F7702" s="25">
        <v>1.2514000000000001E-4</v>
      </c>
      <c r="G7702" s="25">
        <v>1.6707000000000001E-4</v>
      </c>
      <c r="H7702" s="25">
        <v>1.1574999999999999E-4</v>
      </c>
      <c r="I7702" s="9">
        <v>1.4517999999999999E-4</v>
      </c>
      <c r="J7702" s="9">
        <v>1.5281999999999999E-4</v>
      </c>
      <c r="K7702" s="9">
        <v>2.4583999999999999E-4</v>
      </c>
      <c r="L7702" s="9">
        <v>1.3862E-4</v>
      </c>
      <c r="M7702" s="9">
        <v>1.2829000000000001E-4</v>
      </c>
      <c r="N7702" s="9">
        <v>1.3948000000000001E-4</v>
      </c>
      <c r="O7702" s="9">
        <v>1.4247000000000001E-4</v>
      </c>
      <c r="P7702" s="9">
        <v>1.2981000000000001E-4</v>
      </c>
      <c r="Q7702" s="9">
        <v>1.1868E-4</v>
      </c>
      <c r="R7702" s="10">
        <v>2.1206237000856475E-4</v>
      </c>
      <c r="S7702" s="10">
        <v>1.656773992168572E-4</v>
      </c>
      <c r="T7702" s="10">
        <v>0</v>
      </c>
      <c r="U7702" s="10">
        <v>1.0353000000000001E-4</v>
      </c>
      <c r="V7702" s="25"/>
      <c r="W7702" s="25"/>
      <c r="X7702" s="25"/>
      <c r="Y7702" s="25"/>
      <c r="Z7702" s="25"/>
      <c r="AA7702" s="25"/>
    </row>
    <row r="7703" spans="1:27" x14ac:dyDescent="0.35">
      <c r="A7703" s="5">
        <v>7699</v>
      </c>
      <c r="B7703" s="5">
        <v>321</v>
      </c>
      <c r="C7703" s="5">
        <v>11</v>
      </c>
      <c r="D7703" s="25">
        <v>1.1416E-4</v>
      </c>
      <c r="E7703" s="25">
        <v>1.1721E-4</v>
      </c>
      <c r="F7703" s="25">
        <v>1.2766000000000001E-4</v>
      </c>
      <c r="G7703" s="25">
        <v>1.1069999999999999E-4</v>
      </c>
      <c r="H7703" s="25">
        <v>8.1920000000000002E-5</v>
      </c>
      <c r="I7703" s="9">
        <v>1.4464999999999999E-4</v>
      </c>
      <c r="J7703" s="9">
        <v>1.4693E-4</v>
      </c>
      <c r="K7703" s="9">
        <v>2.2465000000000001E-4</v>
      </c>
      <c r="L7703" s="9">
        <v>1.4155999999999999E-4</v>
      </c>
      <c r="M7703" s="9">
        <v>1.2739000000000001E-4</v>
      </c>
      <c r="N7703" s="9">
        <v>1.3051E-4</v>
      </c>
      <c r="O7703" s="9">
        <v>1.4169000000000001E-4</v>
      </c>
      <c r="P7703" s="9">
        <v>1.2349E-4</v>
      </c>
      <c r="Q7703" s="9">
        <v>1.0688000000000001E-4</v>
      </c>
      <c r="R7703" s="10">
        <v>2.1240230078667721E-4</v>
      </c>
      <c r="S7703" s="10">
        <v>1.6526865644767391E-4</v>
      </c>
      <c r="T7703" s="10">
        <v>0</v>
      </c>
      <c r="U7703" s="10">
        <v>1.0353000000000001E-4</v>
      </c>
      <c r="V7703" s="25"/>
      <c r="W7703" s="25"/>
      <c r="X7703" s="25"/>
      <c r="Y7703" s="25"/>
      <c r="Z7703" s="25"/>
      <c r="AA7703" s="25"/>
    </row>
    <row r="7704" spans="1:27" x14ac:dyDescent="0.35">
      <c r="A7704" s="5">
        <v>7700</v>
      </c>
      <c r="B7704" s="5">
        <v>321</v>
      </c>
      <c r="C7704" s="5">
        <v>11</v>
      </c>
      <c r="D7704" s="25">
        <v>1.1415000000000001E-4</v>
      </c>
      <c r="E7704" s="25">
        <v>1.1119E-4</v>
      </c>
      <c r="F7704" s="25">
        <v>1.1208E-4</v>
      </c>
      <c r="G7704" s="25">
        <v>1.0749E-4</v>
      </c>
      <c r="H7704" s="25">
        <v>8.3620000000000002E-5</v>
      </c>
      <c r="I7704" s="9">
        <v>1.3939000000000001E-4</v>
      </c>
      <c r="J7704" s="9">
        <v>1.4223999999999999E-4</v>
      </c>
      <c r="K7704" s="9">
        <v>2.4583999999999999E-4</v>
      </c>
      <c r="L7704" s="9">
        <v>1.4163000000000001E-4</v>
      </c>
      <c r="M7704" s="9">
        <v>1.2603000000000001E-4</v>
      </c>
      <c r="N7704" s="9">
        <v>1.2129E-4</v>
      </c>
      <c r="O7704" s="9">
        <v>1.4516999999999999E-4</v>
      </c>
      <c r="P7704" s="9">
        <v>1.2294000000000001E-4</v>
      </c>
      <c r="Q7704" s="9">
        <v>1.0242999999999999E-4</v>
      </c>
      <c r="R7704" s="10">
        <v>2.1244598881759941E-4</v>
      </c>
      <c r="S7704" s="10">
        <v>1.8188004241950119E-4</v>
      </c>
      <c r="T7704" s="10">
        <v>0</v>
      </c>
      <c r="U7704" s="10">
        <v>1.0353000000000001E-4</v>
      </c>
      <c r="V7704" s="25"/>
      <c r="W7704" s="25"/>
      <c r="X7704" s="25"/>
      <c r="Y7704" s="25"/>
      <c r="Z7704" s="25"/>
      <c r="AA7704" s="25"/>
    </row>
    <row r="7705" spans="1:27" x14ac:dyDescent="0.35">
      <c r="A7705" s="5">
        <v>7701</v>
      </c>
      <c r="B7705" s="5">
        <v>321</v>
      </c>
      <c r="C7705" s="5">
        <v>11</v>
      </c>
      <c r="D7705" s="25">
        <v>1.1416E-4</v>
      </c>
      <c r="E7705" s="25">
        <v>1.1438E-4</v>
      </c>
      <c r="F7705" s="25">
        <v>1.3069000000000001E-4</v>
      </c>
      <c r="G7705" s="25">
        <v>5.3850000000000001E-5</v>
      </c>
      <c r="H7705" s="25">
        <v>4.354E-5</v>
      </c>
      <c r="I7705" s="9">
        <v>1.3302E-4</v>
      </c>
      <c r="J7705" s="9">
        <v>1.3558E-4</v>
      </c>
      <c r="K7705" s="9">
        <v>2.7338999999999998E-4</v>
      </c>
      <c r="L7705" s="9">
        <v>1.4442E-4</v>
      </c>
      <c r="M7705" s="9">
        <v>1.2459E-4</v>
      </c>
      <c r="N7705" s="9">
        <v>1.1362999999999999E-4</v>
      </c>
      <c r="O7705" s="9">
        <v>8.5010000000000001E-5</v>
      </c>
      <c r="P7705" s="9">
        <v>8.6589999999999996E-5</v>
      </c>
      <c r="Q7705" s="9">
        <v>8.8599999999999999E-5</v>
      </c>
      <c r="R7705" s="10">
        <v>2.1244936787709023E-4</v>
      </c>
      <c r="S7705" s="10">
        <v>1.8665789178646814E-4</v>
      </c>
      <c r="T7705" s="10">
        <v>0</v>
      </c>
      <c r="U7705" s="10">
        <v>1.0353000000000001E-4</v>
      </c>
      <c r="V7705" s="25"/>
      <c r="W7705" s="25"/>
      <c r="X7705" s="25"/>
      <c r="Y7705" s="25"/>
      <c r="Z7705" s="25"/>
      <c r="AA7705" s="25"/>
    </row>
    <row r="7706" spans="1:27" x14ac:dyDescent="0.35">
      <c r="A7706" s="5">
        <v>7702</v>
      </c>
      <c r="B7706" s="5">
        <v>321</v>
      </c>
      <c r="C7706" s="5">
        <v>11</v>
      </c>
      <c r="D7706" s="25">
        <v>1.1415000000000001E-4</v>
      </c>
      <c r="E7706" s="25">
        <v>1.1959E-4</v>
      </c>
      <c r="F7706" s="25">
        <v>1.2469E-4</v>
      </c>
      <c r="G7706" s="25">
        <v>6.1309999999999994E-5</v>
      </c>
      <c r="H7706" s="25">
        <v>4.0200000000000001E-5</v>
      </c>
      <c r="I7706" s="9">
        <v>1.2574999999999999E-4</v>
      </c>
      <c r="J7706" s="9">
        <v>1.2719000000000001E-4</v>
      </c>
      <c r="K7706" s="9">
        <v>2.7551000000000002E-4</v>
      </c>
      <c r="L7706" s="9">
        <v>9.802E-5</v>
      </c>
      <c r="M7706" s="9">
        <v>1.1051E-4</v>
      </c>
      <c r="N7706" s="9">
        <v>1.0599000000000001E-4</v>
      </c>
      <c r="O7706" s="9">
        <v>8.6970000000000002E-5</v>
      </c>
      <c r="P7706" s="9">
        <v>8.7139999999999996E-5</v>
      </c>
      <c r="Q7706" s="9">
        <v>8.7789999999999998E-5</v>
      </c>
      <c r="R7706" s="10">
        <v>2.1244936787709023E-4</v>
      </c>
      <c r="S7706" s="10">
        <v>1.8318411970828536E-4</v>
      </c>
      <c r="T7706" s="10">
        <v>0</v>
      </c>
      <c r="U7706" s="10">
        <v>1.0353000000000001E-4</v>
      </c>
      <c r="V7706" s="25"/>
      <c r="W7706" s="25"/>
      <c r="X7706" s="25"/>
      <c r="Y7706" s="25"/>
      <c r="Z7706" s="25"/>
      <c r="AA7706" s="25"/>
    </row>
    <row r="7707" spans="1:27" x14ac:dyDescent="0.35">
      <c r="A7707" s="5">
        <v>7703</v>
      </c>
      <c r="B7707" s="5">
        <v>321</v>
      </c>
      <c r="C7707" s="5">
        <v>11</v>
      </c>
      <c r="D7707" s="25">
        <v>1.1416E-4</v>
      </c>
      <c r="E7707" s="25">
        <v>1.1807E-4</v>
      </c>
      <c r="F7707" s="25">
        <v>1.2136E-4</v>
      </c>
      <c r="G7707" s="25">
        <v>5.4490000000000002E-5</v>
      </c>
      <c r="H7707" s="25">
        <v>4.4169999999999999E-5</v>
      </c>
      <c r="I7707" s="9">
        <v>1.2599E-4</v>
      </c>
      <c r="J7707" s="9">
        <v>1.1824000000000001E-4</v>
      </c>
      <c r="K7707" s="9">
        <v>2.5431999999999999E-4</v>
      </c>
      <c r="L7707" s="9">
        <v>9.0680000000000006E-5</v>
      </c>
      <c r="M7707" s="9">
        <v>9.8309999999999999E-5</v>
      </c>
      <c r="N7707" s="9">
        <v>1E-4</v>
      </c>
      <c r="O7707" s="9">
        <v>8.5210000000000006E-5</v>
      </c>
      <c r="P7707" s="9">
        <v>7.5950000000000003E-5</v>
      </c>
      <c r="Q7707" s="9">
        <v>6.7280000000000006E-5</v>
      </c>
      <c r="R7707" s="10">
        <v>2.1244936787709023E-4</v>
      </c>
      <c r="S7707" s="10">
        <v>1.8009461494705142E-4</v>
      </c>
      <c r="T7707" s="10">
        <v>0</v>
      </c>
      <c r="U7707" s="10">
        <v>1.0353000000000001E-4</v>
      </c>
      <c r="V7707" s="25"/>
      <c r="W7707" s="25"/>
      <c r="X7707" s="25"/>
      <c r="Y7707" s="25"/>
      <c r="Z7707" s="25"/>
      <c r="AA7707" s="25"/>
    </row>
    <row r="7708" spans="1:27" x14ac:dyDescent="0.35">
      <c r="A7708" s="5">
        <v>7704</v>
      </c>
      <c r="B7708" s="5">
        <v>321</v>
      </c>
      <c r="C7708" s="5">
        <v>11</v>
      </c>
      <c r="D7708" s="25">
        <v>1.1415000000000001E-4</v>
      </c>
      <c r="E7708" s="25">
        <v>1.1205999999999999E-4</v>
      </c>
      <c r="F7708" s="25">
        <v>1.0872E-4</v>
      </c>
      <c r="G7708" s="25">
        <v>5.5080000000000001E-5</v>
      </c>
      <c r="H7708" s="25">
        <v>4.3739999999999998E-5</v>
      </c>
      <c r="I7708" s="9">
        <v>1.2401E-4</v>
      </c>
      <c r="J7708" s="9">
        <v>1.1031000000000001E-4</v>
      </c>
      <c r="K7708" s="9">
        <v>2.6915000000000001E-4</v>
      </c>
      <c r="L7708" s="9">
        <v>8.666E-5</v>
      </c>
      <c r="M7708" s="9">
        <v>8.7390000000000002E-5</v>
      </c>
      <c r="N7708" s="9">
        <v>9.0729999999999994E-5</v>
      </c>
      <c r="O7708" s="9">
        <v>7.9120000000000001E-5</v>
      </c>
      <c r="P7708" s="9">
        <v>6.8700000000000003E-5</v>
      </c>
      <c r="Q7708" s="9">
        <v>5.8810000000000001E-5</v>
      </c>
      <c r="R7708" s="10">
        <v>2.1244936787709023E-4</v>
      </c>
      <c r="S7708" s="10">
        <v>1.7909433792738145E-4</v>
      </c>
      <c r="T7708" s="10">
        <v>0</v>
      </c>
      <c r="U7708" s="10">
        <v>1.0353000000000001E-4</v>
      </c>
      <c r="V7708" s="25"/>
      <c r="W7708" s="25"/>
      <c r="X7708" s="25"/>
      <c r="Y7708" s="25"/>
      <c r="Z7708" s="25"/>
      <c r="AA7708" s="25"/>
    </row>
    <row r="7709" spans="1:27" x14ac:dyDescent="0.35">
      <c r="A7709" s="5">
        <v>7705</v>
      </c>
      <c r="B7709" s="5">
        <v>322</v>
      </c>
      <c r="C7709" s="5">
        <v>11</v>
      </c>
      <c r="D7709" s="25">
        <v>1.1416E-4</v>
      </c>
      <c r="E7709" s="25">
        <v>1.0616E-4</v>
      </c>
      <c r="F7709" s="25">
        <v>1.1268E-4</v>
      </c>
      <c r="G7709" s="25">
        <v>5.728E-5</v>
      </c>
      <c r="H7709" s="25">
        <v>1.543E-5</v>
      </c>
      <c r="I7709" s="9">
        <v>1.1464999999999999E-4</v>
      </c>
      <c r="J7709" s="9">
        <v>1.0377E-4</v>
      </c>
      <c r="K7709" s="9">
        <v>2.6704000000000002E-4</v>
      </c>
      <c r="L7709" s="9">
        <v>8.0539999999999998E-5</v>
      </c>
      <c r="M7709" s="9">
        <v>7.8200000000000003E-5</v>
      </c>
      <c r="N7709" s="9">
        <v>8.1260000000000005E-5</v>
      </c>
      <c r="O7709" s="9">
        <v>6.7819999999999998E-5</v>
      </c>
      <c r="P7709" s="9">
        <v>6.0380000000000001E-5</v>
      </c>
      <c r="Q7709" s="9">
        <v>5.325E-5</v>
      </c>
      <c r="R7709" s="10">
        <v>2.1244936787709023E-4</v>
      </c>
      <c r="S7709" s="10">
        <v>1.7914110948721379E-4</v>
      </c>
      <c r="T7709" s="10">
        <v>0</v>
      </c>
      <c r="U7709" s="10">
        <v>1.0396E-4</v>
      </c>
      <c r="V7709" s="25"/>
      <c r="W7709" s="25"/>
      <c r="X7709" s="25"/>
      <c r="Y7709" s="25"/>
      <c r="Z7709" s="25"/>
      <c r="AA7709" s="25"/>
    </row>
    <row r="7710" spans="1:27" x14ac:dyDescent="0.35">
      <c r="A7710" s="5">
        <v>7706</v>
      </c>
      <c r="B7710" s="5">
        <v>322</v>
      </c>
      <c r="C7710" s="5">
        <v>11</v>
      </c>
      <c r="D7710" s="25">
        <v>1.1415000000000001E-4</v>
      </c>
      <c r="E7710" s="25">
        <v>1.1339E-4</v>
      </c>
      <c r="F7710" s="25">
        <v>1.121E-4</v>
      </c>
      <c r="G7710" s="25">
        <v>6.2630000000000002E-5</v>
      </c>
      <c r="H7710" s="25">
        <v>1.535E-5</v>
      </c>
      <c r="I7710" s="9">
        <v>1.0799E-4</v>
      </c>
      <c r="J7710" s="9">
        <v>9.9400000000000004E-5</v>
      </c>
      <c r="K7710" s="9">
        <v>2.6703000000000002E-4</v>
      </c>
      <c r="L7710" s="9">
        <v>7.0770000000000002E-5</v>
      </c>
      <c r="M7710" s="9">
        <v>6.9640000000000004E-5</v>
      </c>
      <c r="N7710" s="9">
        <v>7.2059999999999998E-5</v>
      </c>
      <c r="O7710" s="9">
        <v>3.4740000000000003E-5</v>
      </c>
      <c r="P7710" s="9">
        <v>4.549E-5</v>
      </c>
      <c r="Q7710" s="9">
        <v>5.5760000000000001E-5</v>
      </c>
      <c r="R7710" s="10">
        <v>2.1244936787709023E-4</v>
      </c>
      <c r="S7710" s="10">
        <v>1.8447227393554458E-4</v>
      </c>
      <c r="T7710" s="10">
        <v>0</v>
      </c>
      <c r="U7710" s="10">
        <v>1.0396E-4</v>
      </c>
      <c r="V7710" s="25"/>
      <c r="W7710" s="25"/>
      <c r="X7710" s="25"/>
      <c r="Y7710" s="25"/>
      <c r="Z7710" s="25"/>
      <c r="AA7710" s="25"/>
    </row>
    <row r="7711" spans="1:27" x14ac:dyDescent="0.35">
      <c r="A7711" s="5">
        <v>7707</v>
      </c>
      <c r="B7711" s="5">
        <v>322</v>
      </c>
      <c r="C7711" s="5">
        <v>11</v>
      </c>
      <c r="D7711" s="25">
        <v>1.1416E-4</v>
      </c>
      <c r="E7711" s="25">
        <v>1.0766E-4</v>
      </c>
      <c r="F7711" s="25">
        <v>1.2329999999999999E-4</v>
      </c>
      <c r="G7711" s="25">
        <v>6.266E-5</v>
      </c>
      <c r="H7711" s="25">
        <v>1.3699999999999999E-5</v>
      </c>
      <c r="I7711" s="9">
        <v>1.0412999999999999E-4</v>
      </c>
      <c r="J7711" s="9">
        <v>9.7180000000000001E-5</v>
      </c>
      <c r="K7711" s="9">
        <v>2.7551000000000002E-4</v>
      </c>
      <c r="L7711" s="9">
        <v>4.2929999999999997E-5</v>
      </c>
      <c r="M7711" s="9">
        <v>5.8909999999999997E-5</v>
      </c>
      <c r="N7711" s="9">
        <v>6.5380000000000001E-5</v>
      </c>
      <c r="O7711" s="9">
        <v>2.1950000000000002E-5</v>
      </c>
      <c r="P7711" s="9">
        <v>4.244E-5</v>
      </c>
      <c r="Q7711" s="9">
        <v>6.2069999999999994E-5</v>
      </c>
      <c r="R7711" s="10">
        <v>2.1244936787709023E-4</v>
      </c>
      <c r="S7711" s="10">
        <v>1.7996149822398959E-4</v>
      </c>
      <c r="T7711" s="10">
        <v>0</v>
      </c>
      <c r="U7711" s="10">
        <v>1.0396E-4</v>
      </c>
      <c r="V7711" s="25"/>
      <c r="W7711" s="25"/>
      <c r="X7711" s="25"/>
      <c r="Y7711" s="25"/>
      <c r="Z7711" s="25"/>
      <c r="AA7711" s="25"/>
    </row>
    <row r="7712" spans="1:27" x14ac:dyDescent="0.35">
      <c r="A7712" s="5">
        <v>7708</v>
      </c>
      <c r="B7712" s="5">
        <v>322</v>
      </c>
      <c r="C7712" s="5">
        <v>11</v>
      </c>
      <c r="D7712" s="25">
        <v>1.1415000000000001E-4</v>
      </c>
      <c r="E7712" s="25">
        <v>1.1010000000000001E-4</v>
      </c>
      <c r="F7712" s="25">
        <v>1.0310999999999999E-4</v>
      </c>
      <c r="G7712" s="25">
        <v>5.7500000000000002E-5</v>
      </c>
      <c r="H7712" s="25">
        <v>1.4749999999999999E-5</v>
      </c>
      <c r="I7712" s="9">
        <v>1.0267E-4</v>
      </c>
      <c r="J7712" s="9">
        <v>9.6119999999999995E-5</v>
      </c>
      <c r="K7712" s="9">
        <v>2.6915000000000001E-4</v>
      </c>
      <c r="L7712" s="9">
        <v>2.73E-5</v>
      </c>
      <c r="M7712" s="9">
        <v>5.041E-5</v>
      </c>
      <c r="N7712" s="9">
        <v>6.1909999999999995E-5</v>
      </c>
      <c r="O7712" s="9">
        <v>2.12E-5</v>
      </c>
      <c r="P7712" s="9">
        <v>5.1230000000000002E-5</v>
      </c>
      <c r="Q7712" s="9">
        <v>8.0249999999999999E-5</v>
      </c>
      <c r="R7712" s="10">
        <v>2.1244936787709023E-4</v>
      </c>
      <c r="S7712" s="10">
        <v>1.8166160200609169E-4</v>
      </c>
      <c r="T7712" s="10">
        <v>0</v>
      </c>
      <c r="U7712" s="10">
        <v>1.0396E-4</v>
      </c>
      <c r="V7712" s="25"/>
      <c r="W7712" s="25"/>
      <c r="X7712" s="25"/>
      <c r="Y7712" s="25"/>
      <c r="Z7712" s="25"/>
      <c r="AA7712" s="25"/>
    </row>
    <row r="7713" spans="1:27" x14ac:dyDescent="0.35">
      <c r="A7713" s="5">
        <v>7709</v>
      </c>
      <c r="B7713" s="5">
        <v>322</v>
      </c>
      <c r="C7713" s="5">
        <v>11</v>
      </c>
      <c r="D7713" s="25">
        <v>1.1416E-4</v>
      </c>
      <c r="E7713" s="25">
        <v>1.1469E-4</v>
      </c>
      <c r="F7713" s="25">
        <v>1.0649000000000001E-4</v>
      </c>
      <c r="G7713" s="25">
        <v>5.3860000000000003E-5</v>
      </c>
      <c r="H7713" s="25">
        <v>1.5420000000000001E-5</v>
      </c>
      <c r="I7713" s="9">
        <v>1.0487E-4</v>
      </c>
      <c r="J7713" s="9">
        <v>9.6189999999999999E-5</v>
      </c>
      <c r="K7713" s="9">
        <v>2.8823E-4</v>
      </c>
      <c r="L7713" s="9">
        <v>2.2920000000000001E-5</v>
      </c>
      <c r="M7713" s="9">
        <v>4.8739999999999998E-5</v>
      </c>
      <c r="N7713" s="9">
        <v>6.4419999999999996E-5</v>
      </c>
      <c r="O7713" s="9">
        <v>2.3289999999999999E-5</v>
      </c>
      <c r="P7713" s="9">
        <v>5.9320000000000001E-5</v>
      </c>
      <c r="Q7713" s="9">
        <v>9.4270000000000004E-5</v>
      </c>
      <c r="R7713" s="10">
        <v>2.1244936787709023E-4</v>
      </c>
      <c r="S7713" s="10">
        <v>1.9026242653627097E-4</v>
      </c>
      <c r="T7713" s="10">
        <v>0</v>
      </c>
      <c r="U7713" s="10">
        <v>1.0396E-4</v>
      </c>
      <c r="V7713" s="25"/>
      <c r="W7713" s="25"/>
      <c r="X7713" s="25"/>
      <c r="Y7713" s="25"/>
      <c r="Z7713" s="25"/>
      <c r="AA7713" s="25"/>
    </row>
    <row r="7714" spans="1:27" x14ac:dyDescent="0.35">
      <c r="A7714" s="5">
        <v>7710</v>
      </c>
      <c r="B7714" s="5">
        <v>322</v>
      </c>
      <c r="C7714" s="5">
        <v>11</v>
      </c>
      <c r="D7714" s="25">
        <v>1.1415000000000001E-4</v>
      </c>
      <c r="E7714" s="25">
        <v>1.0702E-4</v>
      </c>
      <c r="F7714" s="25">
        <v>1.145E-4</v>
      </c>
      <c r="G7714" s="25">
        <v>1.0522999999999999E-4</v>
      </c>
      <c r="H7714" s="25">
        <v>2.8200000000000001E-5</v>
      </c>
      <c r="I7714" s="9">
        <v>1.1111E-4</v>
      </c>
      <c r="J7714" s="9">
        <v>1.0026000000000001E-4</v>
      </c>
      <c r="K7714" s="9">
        <v>2.9458000000000002E-4</v>
      </c>
      <c r="L7714" s="9">
        <v>2.3139999999999999E-5</v>
      </c>
      <c r="M7714" s="9">
        <v>5.2460000000000003E-5</v>
      </c>
      <c r="N7714" s="9">
        <v>7.1119999999999997E-5</v>
      </c>
      <c r="O7714" s="9">
        <v>2.968E-5</v>
      </c>
      <c r="P7714" s="9">
        <v>6.9209999999999996E-5</v>
      </c>
      <c r="Q7714" s="9">
        <v>1.0772000000000001E-4</v>
      </c>
      <c r="R7714" s="10">
        <v>2.1244936787709023E-4</v>
      </c>
      <c r="S7714" s="10">
        <v>1.9029016825653649E-4</v>
      </c>
      <c r="T7714" s="10">
        <v>0</v>
      </c>
      <c r="U7714" s="10">
        <v>1.0396E-4</v>
      </c>
      <c r="V7714" s="25"/>
      <c r="W7714" s="25"/>
      <c r="X7714" s="25"/>
      <c r="Y7714" s="25"/>
      <c r="Z7714" s="25"/>
      <c r="AA7714" s="25"/>
    </row>
    <row r="7715" spans="1:27" x14ac:dyDescent="0.35">
      <c r="A7715" s="5">
        <v>7711</v>
      </c>
      <c r="B7715" s="5">
        <v>322</v>
      </c>
      <c r="C7715" s="5">
        <v>11</v>
      </c>
      <c r="D7715" s="25">
        <v>1.1416E-4</v>
      </c>
      <c r="E7715" s="25">
        <v>1.1586000000000001E-4</v>
      </c>
      <c r="F7715" s="25">
        <v>1.1181E-4</v>
      </c>
      <c r="G7715" s="25">
        <v>1.1307999999999999E-4</v>
      </c>
      <c r="H7715" s="25">
        <v>2.8719999999999999E-5</v>
      </c>
      <c r="I7715" s="9">
        <v>1.2425000000000001E-4</v>
      </c>
      <c r="J7715" s="9">
        <v>1.1266E-4</v>
      </c>
      <c r="K7715" s="9">
        <v>3.0518E-4</v>
      </c>
      <c r="L7715" s="9">
        <v>2.8140000000000002E-5</v>
      </c>
      <c r="M7715" s="9">
        <v>5.9589999999999997E-5</v>
      </c>
      <c r="N7715" s="9">
        <v>8.1000000000000004E-5</v>
      </c>
      <c r="O7715" s="9">
        <v>4.6010000000000002E-5</v>
      </c>
      <c r="P7715" s="9">
        <v>7.9469999999999996E-5</v>
      </c>
      <c r="Q7715" s="9">
        <v>1.1225E-4</v>
      </c>
      <c r="R7715" s="10">
        <v>2.1244936787709023E-4</v>
      </c>
      <c r="S7715" s="10">
        <v>1.90289141838025E-4</v>
      </c>
      <c r="T7715" s="10">
        <v>0</v>
      </c>
      <c r="U7715" s="10">
        <v>1.0396E-4</v>
      </c>
      <c r="V7715" s="25"/>
      <c r="W7715" s="25"/>
      <c r="X7715" s="25"/>
      <c r="Y7715" s="25"/>
      <c r="Z7715" s="25"/>
      <c r="AA7715" s="25"/>
    </row>
    <row r="7716" spans="1:27" x14ac:dyDescent="0.35">
      <c r="A7716" s="5">
        <v>7712</v>
      </c>
      <c r="B7716" s="5">
        <v>322</v>
      </c>
      <c r="C7716" s="5">
        <v>11</v>
      </c>
      <c r="D7716" s="25">
        <v>1.1415000000000001E-4</v>
      </c>
      <c r="E7716" s="25">
        <v>1.1544000000000001E-4</v>
      </c>
      <c r="F7716" s="25">
        <v>1.0538E-4</v>
      </c>
      <c r="G7716" s="25">
        <v>1.6757999999999999E-4</v>
      </c>
      <c r="H7716" s="25">
        <v>4.3529999999999998E-5</v>
      </c>
      <c r="I7716" s="9">
        <v>1.3541000000000001E-4</v>
      </c>
      <c r="J7716" s="9">
        <v>1.3108999999999999E-4</v>
      </c>
      <c r="K7716" s="9">
        <v>2.8611000000000001E-4</v>
      </c>
      <c r="L7716" s="9">
        <v>4.193E-5</v>
      </c>
      <c r="M7716" s="9">
        <v>6.8549999999999999E-5</v>
      </c>
      <c r="N7716" s="9">
        <v>9.1050000000000004E-5</v>
      </c>
      <c r="O7716" s="9">
        <v>6.8020000000000003E-5</v>
      </c>
      <c r="P7716" s="9">
        <v>1.0229E-4</v>
      </c>
      <c r="Q7716" s="9">
        <v>1.362E-4</v>
      </c>
      <c r="R7716" s="10">
        <v>2.1241362722255414E-4</v>
      </c>
      <c r="S7716" s="10">
        <v>1.9016830776849567E-4</v>
      </c>
      <c r="T7716" s="10">
        <v>0</v>
      </c>
      <c r="U7716" s="10">
        <v>1.0396E-4</v>
      </c>
      <c r="V7716" s="25"/>
      <c r="W7716" s="25"/>
      <c r="X7716" s="25"/>
      <c r="Y7716" s="25"/>
      <c r="Z7716" s="25"/>
      <c r="AA7716" s="25"/>
    </row>
    <row r="7717" spans="1:27" x14ac:dyDescent="0.35">
      <c r="A7717" s="5">
        <v>7713</v>
      </c>
      <c r="B7717" s="5">
        <v>322</v>
      </c>
      <c r="C7717" s="5">
        <v>11</v>
      </c>
      <c r="D7717" s="25">
        <v>1.1416E-4</v>
      </c>
      <c r="E7717" s="25">
        <v>1.1616E-4</v>
      </c>
      <c r="F7717" s="25">
        <v>1.0185E-4</v>
      </c>
      <c r="G7717" s="25">
        <v>1.617E-4</v>
      </c>
      <c r="H7717" s="25">
        <v>4.3170000000000002E-5</v>
      </c>
      <c r="I7717" s="9">
        <v>1.3714E-4</v>
      </c>
      <c r="J7717" s="9">
        <v>1.3956999999999999E-4</v>
      </c>
      <c r="K7717" s="9">
        <v>2.3524E-4</v>
      </c>
      <c r="L7717" s="9">
        <v>6.1909999999999995E-5</v>
      </c>
      <c r="M7717" s="9">
        <v>8.2899999999999996E-5</v>
      </c>
      <c r="N7717" s="9">
        <v>1.0465E-4</v>
      </c>
      <c r="O7717" s="9">
        <v>9.9190000000000004E-5</v>
      </c>
      <c r="P7717" s="9">
        <v>1.3721999999999999E-4</v>
      </c>
      <c r="Q7717" s="9">
        <v>1.7532E-4</v>
      </c>
      <c r="R7717" s="10">
        <v>2.115209186919752E-4</v>
      </c>
      <c r="S7717" s="10">
        <v>1.9018341587692558E-4</v>
      </c>
      <c r="T7717" s="10">
        <v>1.0347451487433813E-4</v>
      </c>
      <c r="U7717" s="10">
        <v>1.0396E-4</v>
      </c>
      <c r="V7717" s="25"/>
      <c r="W7717" s="25"/>
      <c r="X7717" s="25"/>
      <c r="Y7717" s="25"/>
      <c r="Z7717" s="25"/>
      <c r="AA7717" s="25"/>
    </row>
    <row r="7718" spans="1:27" x14ac:dyDescent="0.35">
      <c r="A7718" s="5">
        <v>7714</v>
      </c>
      <c r="B7718" s="5">
        <v>322</v>
      </c>
      <c r="C7718" s="5">
        <v>11</v>
      </c>
      <c r="D7718" s="25">
        <v>1.1415000000000001E-4</v>
      </c>
      <c r="E7718" s="25">
        <v>1.1417E-4</v>
      </c>
      <c r="F7718" s="25">
        <v>1.0264000000000001E-4</v>
      </c>
      <c r="G7718" s="25">
        <v>1.5865000000000001E-4</v>
      </c>
      <c r="H7718" s="25">
        <v>4.1430000000000001E-5</v>
      </c>
      <c r="I7718" s="9">
        <v>1.3836999999999999E-4</v>
      </c>
      <c r="J7718" s="9">
        <v>1.4333E-4</v>
      </c>
      <c r="K7718" s="9">
        <v>1.7803E-4</v>
      </c>
      <c r="L7718" s="9">
        <v>9.0459999999999998E-5</v>
      </c>
      <c r="M7718" s="9">
        <v>1.0608E-4</v>
      </c>
      <c r="N7718" s="9">
        <v>1.2428E-4</v>
      </c>
      <c r="O7718" s="9">
        <v>1.2774999999999999E-4</v>
      </c>
      <c r="P7718" s="9">
        <v>1.5368000000000001E-4</v>
      </c>
      <c r="Q7718" s="9">
        <v>1.8031000000000001E-4</v>
      </c>
      <c r="R7718" s="10">
        <v>2.096997822100197E-4</v>
      </c>
      <c r="S7718" s="10">
        <v>1.9027070745472542E-4</v>
      </c>
      <c r="T7718" s="10">
        <v>3.7165473303299294E-4</v>
      </c>
      <c r="U7718" s="10">
        <v>1.0396E-4</v>
      </c>
      <c r="V7718" s="25"/>
      <c r="W7718" s="25"/>
      <c r="X7718" s="25"/>
      <c r="Y7718" s="25"/>
      <c r="Z7718" s="25"/>
      <c r="AA7718" s="25"/>
    </row>
    <row r="7719" spans="1:27" x14ac:dyDescent="0.35">
      <c r="A7719" s="5">
        <v>7715</v>
      </c>
      <c r="B7719" s="5">
        <v>322</v>
      </c>
      <c r="C7719" s="5">
        <v>11</v>
      </c>
      <c r="D7719" s="25">
        <v>1.1416E-4</v>
      </c>
      <c r="E7719" s="25">
        <v>1.1131E-4</v>
      </c>
      <c r="F7719" s="25">
        <v>1.1234999999999999E-4</v>
      </c>
      <c r="G7719" s="25">
        <v>1.6642E-4</v>
      </c>
      <c r="H7719" s="25">
        <v>4.1359999999999997E-5</v>
      </c>
      <c r="I7719" s="9">
        <v>1.3789E-4</v>
      </c>
      <c r="J7719" s="9">
        <v>1.4381999999999999E-4</v>
      </c>
      <c r="K7719" s="9">
        <v>1.5259E-4</v>
      </c>
      <c r="L7719" s="9">
        <v>1.1883999999999999E-4</v>
      </c>
      <c r="M7719" s="9">
        <v>1.2907000000000001E-4</v>
      </c>
      <c r="N7719" s="9">
        <v>1.4192999999999999E-4</v>
      </c>
      <c r="O7719" s="9">
        <v>1.3604000000000001E-4</v>
      </c>
      <c r="P7719" s="9">
        <v>1.5645000000000001E-4</v>
      </c>
      <c r="Q7719" s="9">
        <v>1.7777E-4</v>
      </c>
      <c r="R7719" s="10">
        <v>2.094746118962233E-4</v>
      </c>
      <c r="S7719" s="10">
        <v>1.9025847279675016E-4</v>
      </c>
      <c r="T7719" s="10">
        <v>1.5839338456781065E-4</v>
      </c>
      <c r="U7719" s="10">
        <v>1.0396E-4</v>
      </c>
      <c r="V7719" s="25"/>
      <c r="W7719" s="25"/>
      <c r="X7719" s="25"/>
      <c r="Y7719" s="25"/>
      <c r="Z7719" s="25"/>
      <c r="AA7719" s="25"/>
    </row>
    <row r="7720" spans="1:27" x14ac:dyDescent="0.35">
      <c r="A7720" s="5">
        <v>7716</v>
      </c>
      <c r="B7720" s="5">
        <v>322</v>
      </c>
      <c r="C7720" s="5">
        <v>11</v>
      </c>
      <c r="D7720" s="25">
        <v>1.1415000000000001E-4</v>
      </c>
      <c r="E7720" s="25">
        <v>1.0969E-4</v>
      </c>
      <c r="F7720" s="25">
        <v>1.1542E-4</v>
      </c>
      <c r="G7720" s="25">
        <v>1.6509000000000001E-4</v>
      </c>
      <c r="H7720" s="25">
        <v>4.3430000000000003E-5</v>
      </c>
      <c r="I7720" s="9">
        <v>1.3934E-4</v>
      </c>
      <c r="J7720" s="9">
        <v>1.429E-4</v>
      </c>
      <c r="K7720" s="9">
        <v>1.314E-4</v>
      </c>
      <c r="L7720" s="9">
        <v>1.3159000000000001E-4</v>
      </c>
      <c r="M7720" s="9">
        <v>1.4437E-4</v>
      </c>
      <c r="N7720" s="9">
        <v>1.5563999999999999E-4</v>
      </c>
      <c r="O7720" s="9">
        <v>1.3923000000000001E-4</v>
      </c>
      <c r="P7720" s="9">
        <v>1.5648999999999999E-4</v>
      </c>
      <c r="Q7720" s="9">
        <v>1.7474999999999999E-4</v>
      </c>
      <c r="R7720" s="10">
        <v>1.9393323354480573E-4</v>
      </c>
      <c r="S7720" s="10">
        <v>1.90162524784541E-4</v>
      </c>
      <c r="T7720" s="10">
        <v>4.2977218358146923E-4</v>
      </c>
      <c r="U7720" s="10">
        <v>1.0396E-4</v>
      </c>
      <c r="V7720" s="25"/>
      <c r="W7720" s="25"/>
      <c r="X7720" s="25"/>
      <c r="Y7720" s="25"/>
      <c r="Z7720" s="25"/>
      <c r="AA7720" s="25"/>
    </row>
    <row r="7721" spans="1:27" x14ac:dyDescent="0.35">
      <c r="A7721" s="5">
        <v>7717</v>
      </c>
      <c r="B7721" s="5">
        <v>322</v>
      </c>
      <c r="C7721" s="5">
        <v>11</v>
      </c>
      <c r="D7721" s="25">
        <v>1.1416E-4</v>
      </c>
      <c r="E7721" s="25">
        <v>1.0834E-4</v>
      </c>
      <c r="F7721" s="25">
        <v>1.1042E-4</v>
      </c>
      <c r="G7721" s="25">
        <v>1.6375E-4</v>
      </c>
      <c r="H7721" s="25">
        <v>4.265E-5</v>
      </c>
      <c r="I7721" s="9">
        <v>1.3596999999999999E-4</v>
      </c>
      <c r="J7721" s="9">
        <v>1.4074000000000001E-4</v>
      </c>
      <c r="K7721" s="9">
        <v>1.526E-4</v>
      </c>
      <c r="L7721" s="9">
        <v>1.3737999999999999E-4</v>
      </c>
      <c r="M7721" s="9">
        <v>1.5200000000000001E-4</v>
      </c>
      <c r="N7721" s="9">
        <v>1.6534000000000001E-4</v>
      </c>
      <c r="O7721" s="9">
        <v>1.3045E-4</v>
      </c>
      <c r="P7721" s="9">
        <v>1.4851999999999999E-4</v>
      </c>
      <c r="Q7721" s="9">
        <v>1.6745E-4</v>
      </c>
      <c r="R7721" s="10">
        <v>2.0462281973094719E-4</v>
      </c>
      <c r="S7721" s="10">
        <v>1.8999662706350355E-4</v>
      </c>
      <c r="T7721" s="10">
        <v>2.2737922258381947E-5</v>
      </c>
      <c r="U7721" s="10">
        <v>1.0396E-4</v>
      </c>
      <c r="V7721" s="25"/>
      <c r="W7721" s="25"/>
      <c r="X7721" s="25"/>
      <c r="Y7721" s="25"/>
      <c r="Z7721" s="25"/>
      <c r="AA7721" s="25"/>
    </row>
    <row r="7722" spans="1:27" x14ac:dyDescent="0.35">
      <c r="A7722" s="5">
        <v>7718</v>
      </c>
      <c r="B7722" s="5">
        <v>322</v>
      </c>
      <c r="C7722" s="5">
        <v>11</v>
      </c>
      <c r="D7722" s="25">
        <v>1.1415000000000001E-4</v>
      </c>
      <c r="E7722" s="25">
        <v>1.1107000000000001E-4</v>
      </c>
      <c r="F7722" s="25">
        <v>1.1625000000000001E-4</v>
      </c>
      <c r="G7722" s="25">
        <v>1.5644000000000001E-4</v>
      </c>
      <c r="H7722" s="25">
        <v>4.0970000000000002E-5</v>
      </c>
      <c r="I7722" s="9">
        <v>1.3671000000000001E-4</v>
      </c>
      <c r="J7722" s="9">
        <v>1.4186E-4</v>
      </c>
      <c r="K7722" s="9">
        <v>1.5894999999999999E-4</v>
      </c>
      <c r="L7722" s="9">
        <v>1.3198999999999999E-4</v>
      </c>
      <c r="M7722" s="9">
        <v>1.5227E-4</v>
      </c>
      <c r="N7722" s="9">
        <v>1.6982E-4</v>
      </c>
      <c r="O7722" s="9">
        <v>1.1335E-4</v>
      </c>
      <c r="P7722" s="9">
        <v>1.3723000000000001E-4</v>
      </c>
      <c r="Q7722" s="9">
        <v>1.616E-4</v>
      </c>
      <c r="R7722" s="10">
        <v>2.1047290300549551E-4</v>
      </c>
      <c r="S7722" s="10">
        <v>1.9029018097094076E-4</v>
      </c>
      <c r="T7722" s="10">
        <v>1.3997397067865122E-4</v>
      </c>
      <c r="U7722" s="10">
        <v>1.0396E-4</v>
      </c>
      <c r="V7722" s="25"/>
      <c r="W7722" s="25"/>
      <c r="X7722" s="25"/>
      <c r="Y7722" s="25"/>
      <c r="Z7722" s="25"/>
      <c r="AA7722" s="25"/>
    </row>
    <row r="7723" spans="1:27" x14ac:dyDescent="0.35">
      <c r="A7723" s="5">
        <v>7719</v>
      </c>
      <c r="B7723" s="5">
        <v>322</v>
      </c>
      <c r="C7723" s="5">
        <v>11</v>
      </c>
      <c r="D7723" s="25">
        <v>1.1416E-4</v>
      </c>
      <c r="E7723" s="25">
        <v>1.0914E-4</v>
      </c>
      <c r="F7723" s="25">
        <v>1.1434000000000001E-4</v>
      </c>
      <c r="G7723" s="25">
        <v>1.6054E-4</v>
      </c>
      <c r="H7723" s="25">
        <v>4.2339999999999998E-5</v>
      </c>
      <c r="I7723" s="9">
        <v>1.3496999999999999E-4</v>
      </c>
      <c r="J7723" s="9">
        <v>1.4249E-4</v>
      </c>
      <c r="K7723" s="9">
        <v>1.8227E-4</v>
      </c>
      <c r="L7723" s="9">
        <v>1.1767E-4</v>
      </c>
      <c r="M7723" s="9">
        <v>1.4663999999999999E-4</v>
      </c>
      <c r="N7723" s="9">
        <v>1.6972999999999999E-4</v>
      </c>
      <c r="O7723" s="9">
        <v>1.2799999999999999E-4</v>
      </c>
      <c r="P7723" s="9">
        <v>1.4008E-4</v>
      </c>
      <c r="Q7723" s="9">
        <v>1.5307999999999999E-4</v>
      </c>
      <c r="R7723" s="10">
        <v>2.1218530933049122E-4</v>
      </c>
      <c r="S7723" s="10">
        <v>1.9028854724162194E-4</v>
      </c>
      <c r="T7723" s="10">
        <v>2.1038517098548399E-4</v>
      </c>
      <c r="U7723" s="10">
        <v>1.0396E-4</v>
      </c>
      <c r="V7723" s="25"/>
      <c r="W7723" s="25"/>
      <c r="X7723" s="25"/>
      <c r="Y7723" s="25"/>
      <c r="Z7723" s="25"/>
      <c r="AA7723" s="25"/>
    </row>
    <row r="7724" spans="1:27" x14ac:dyDescent="0.35">
      <c r="A7724" s="5">
        <v>7720</v>
      </c>
      <c r="B7724" s="5">
        <v>322</v>
      </c>
      <c r="C7724" s="5">
        <v>11</v>
      </c>
      <c r="D7724" s="25">
        <v>1.1415000000000001E-4</v>
      </c>
      <c r="E7724" s="25">
        <v>1.0865E-4</v>
      </c>
      <c r="F7724" s="25">
        <v>1.0938999999999999E-4</v>
      </c>
      <c r="G7724" s="25">
        <v>1.5880000000000001E-4</v>
      </c>
      <c r="H7724" s="25">
        <v>4.1199999999999999E-5</v>
      </c>
      <c r="I7724" s="9">
        <v>1.3593000000000001E-4</v>
      </c>
      <c r="J7724" s="9">
        <v>1.4333999999999999E-4</v>
      </c>
      <c r="K7724" s="9">
        <v>2.4159999999999999E-4</v>
      </c>
      <c r="L7724" s="9">
        <v>1.2615E-4</v>
      </c>
      <c r="M7724" s="9">
        <v>1.4268000000000001E-4</v>
      </c>
      <c r="N7724" s="9">
        <v>1.6615999999999999E-4</v>
      </c>
      <c r="O7724" s="9">
        <v>1.3383000000000001E-4</v>
      </c>
      <c r="P7724" s="9">
        <v>1.2082E-4</v>
      </c>
      <c r="Q7724" s="9">
        <v>1.0922E-4</v>
      </c>
      <c r="R7724" s="10">
        <v>2.1244701297777136E-4</v>
      </c>
      <c r="S7724" s="10">
        <v>1.9028444408365579E-4</v>
      </c>
      <c r="T7724" s="10">
        <v>3.4234147877825061E-5</v>
      </c>
      <c r="U7724" s="10">
        <v>1.0396E-4</v>
      </c>
      <c r="V7724" s="25"/>
      <c r="W7724" s="25"/>
      <c r="X7724" s="25"/>
      <c r="Y7724" s="25"/>
      <c r="Z7724" s="25"/>
      <c r="AA7724" s="25"/>
    </row>
    <row r="7725" spans="1:27" x14ac:dyDescent="0.35">
      <c r="A7725" s="5">
        <v>7721</v>
      </c>
      <c r="B7725" s="5">
        <v>322</v>
      </c>
      <c r="C7725" s="5">
        <v>11</v>
      </c>
      <c r="D7725" s="25">
        <v>1.1416E-4</v>
      </c>
      <c r="E7725" s="25">
        <v>1.0798000000000001E-4</v>
      </c>
      <c r="F7725" s="25">
        <v>1.0384E-4</v>
      </c>
      <c r="G7725" s="25">
        <v>1.5787E-4</v>
      </c>
      <c r="H7725" s="25">
        <v>4.0970000000000002E-5</v>
      </c>
      <c r="I7725" s="9">
        <v>1.3757E-4</v>
      </c>
      <c r="J7725" s="9">
        <v>1.4762999999999999E-4</v>
      </c>
      <c r="K7725" s="9">
        <v>2.5856000000000002E-4</v>
      </c>
      <c r="L7725" s="9">
        <v>1.3187E-4</v>
      </c>
      <c r="M7725" s="9">
        <v>1.3394000000000001E-4</v>
      </c>
      <c r="N7725" s="9">
        <v>1.5247000000000001E-4</v>
      </c>
      <c r="O7725" s="9">
        <v>1.4004999999999999E-4</v>
      </c>
      <c r="P7725" s="9">
        <v>1.2258000000000001E-4</v>
      </c>
      <c r="Q7725" s="9">
        <v>1.0668E-4</v>
      </c>
      <c r="R7725" s="10">
        <v>2.1244936787709023E-4</v>
      </c>
      <c r="S7725" s="10">
        <v>1.8991124184389413E-4</v>
      </c>
      <c r="T7725" s="10">
        <v>0</v>
      </c>
      <c r="U7725" s="10">
        <v>1.0396E-4</v>
      </c>
      <c r="V7725" s="25"/>
      <c r="W7725" s="25"/>
      <c r="X7725" s="25"/>
      <c r="Y7725" s="25"/>
      <c r="Z7725" s="25"/>
      <c r="AA7725" s="25"/>
    </row>
    <row r="7726" spans="1:27" x14ac:dyDescent="0.35">
      <c r="A7726" s="5">
        <v>7722</v>
      </c>
      <c r="B7726" s="5">
        <v>322</v>
      </c>
      <c r="C7726" s="5">
        <v>11</v>
      </c>
      <c r="D7726" s="25">
        <v>1.1415000000000001E-4</v>
      </c>
      <c r="E7726" s="25">
        <v>1.1272E-4</v>
      </c>
      <c r="F7726" s="25">
        <v>1.008E-4</v>
      </c>
      <c r="G7726" s="25">
        <v>1.6253E-4</v>
      </c>
      <c r="H7726" s="25">
        <v>4.0790000000000001E-5</v>
      </c>
      <c r="I7726" s="9">
        <v>1.4438E-4</v>
      </c>
      <c r="J7726" s="9">
        <v>1.5351000000000001E-4</v>
      </c>
      <c r="K7726" s="9">
        <v>2.6703000000000002E-4</v>
      </c>
      <c r="L7726" s="9">
        <v>1.3798E-4</v>
      </c>
      <c r="M7726" s="9">
        <v>1.2762E-4</v>
      </c>
      <c r="N7726" s="9">
        <v>1.3905999999999999E-4</v>
      </c>
      <c r="O7726" s="9">
        <v>1.4029E-4</v>
      </c>
      <c r="P7726" s="9">
        <v>1.2782000000000001E-4</v>
      </c>
      <c r="Q7726" s="9">
        <v>1.1686E-4</v>
      </c>
      <c r="R7726" s="10">
        <v>2.1244936787709023E-4</v>
      </c>
      <c r="S7726" s="10">
        <v>1.8704332822004038E-4</v>
      </c>
      <c r="T7726" s="10">
        <v>0</v>
      </c>
      <c r="U7726" s="10">
        <v>1.0396E-4</v>
      </c>
      <c r="V7726" s="25"/>
      <c r="W7726" s="25"/>
      <c r="X7726" s="25"/>
      <c r="Y7726" s="25"/>
      <c r="Z7726" s="25"/>
      <c r="AA7726" s="25"/>
    </row>
    <row r="7727" spans="1:27" x14ac:dyDescent="0.35">
      <c r="A7727" s="5">
        <v>7723</v>
      </c>
      <c r="B7727" s="5">
        <v>322</v>
      </c>
      <c r="C7727" s="5">
        <v>11</v>
      </c>
      <c r="D7727" s="25">
        <v>1.1416E-4</v>
      </c>
      <c r="E7727" s="25">
        <v>1.0980999999999999E-4</v>
      </c>
      <c r="F7727" s="25">
        <v>1.0342E-4</v>
      </c>
      <c r="G7727" s="25">
        <v>1.0599000000000001E-4</v>
      </c>
      <c r="H7727" s="25">
        <v>3.008E-5</v>
      </c>
      <c r="I7727" s="9">
        <v>1.4378000000000001E-4</v>
      </c>
      <c r="J7727" s="9">
        <v>1.4802000000000001E-4</v>
      </c>
      <c r="K7727" s="9">
        <v>2.8399000000000002E-4</v>
      </c>
      <c r="L7727" s="9">
        <v>1.3967999999999999E-4</v>
      </c>
      <c r="M7727" s="9">
        <v>1.2622999999999999E-4</v>
      </c>
      <c r="N7727" s="9">
        <v>1.2982E-4</v>
      </c>
      <c r="O7727" s="9">
        <v>1.4299000000000001E-4</v>
      </c>
      <c r="P7727" s="9">
        <v>1.2460999999999999E-4</v>
      </c>
      <c r="Q7727" s="9">
        <v>1.0786E-4</v>
      </c>
      <c r="R7727" s="10">
        <v>2.1244936787709023E-4</v>
      </c>
      <c r="S7727" s="10">
        <v>1.8411418487693533E-4</v>
      </c>
      <c r="T7727" s="10">
        <v>0</v>
      </c>
      <c r="U7727" s="10">
        <v>1.0396E-4</v>
      </c>
      <c r="V7727" s="25"/>
      <c r="W7727" s="25"/>
      <c r="X7727" s="25"/>
      <c r="Y7727" s="25"/>
      <c r="Z7727" s="25"/>
      <c r="AA7727" s="25"/>
    </row>
    <row r="7728" spans="1:27" x14ac:dyDescent="0.35">
      <c r="A7728" s="5">
        <v>7724</v>
      </c>
      <c r="B7728" s="5">
        <v>322</v>
      </c>
      <c r="C7728" s="5">
        <v>11</v>
      </c>
      <c r="D7728" s="25">
        <v>1.1415000000000001E-4</v>
      </c>
      <c r="E7728" s="25">
        <v>1.0902E-4</v>
      </c>
      <c r="F7728" s="25">
        <v>1.1747999999999999E-4</v>
      </c>
      <c r="G7728" s="25">
        <v>1.0560000000000001E-4</v>
      </c>
      <c r="H7728" s="25">
        <v>2.722E-5</v>
      </c>
      <c r="I7728" s="9">
        <v>1.3795999999999999E-4</v>
      </c>
      <c r="J7728" s="9">
        <v>1.4328999999999999E-4</v>
      </c>
      <c r="K7728" s="9">
        <v>3.0306000000000002E-4</v>
      </c>
      <c r="L7728" s="9">
        <v>1.4224999999999999E-4</v>
      </c>
      <c r="M7728" s="9">
        <v>1.2557000000000001E-4</v>
      </c>
      <c r="N7728" s="9">
        <v>1.2085E-4</v>
      </c>
      <c r="O7728" s="9">
        <v>1.4462000000000001E-4</v>
      </c>
      <c r="P7728" s="9">
        <v>1.2248000000000001E-4</v>
      </c>
      <c r="Q7728" s="9">
        <v>1.0205E-4</v>
      </c>
      <c r="R7728" s="10">
        <v>2.1244936787709023E-4</v>
      </c>
      <c r="S7728" s="10">
        <v>1.7926825014467882E-4</v>
      </c>
      <c r="T7728" s="10">
        <v>0</v>
      </c>
      <c r="U7728" s="10">
        <v>1.0396E-4</v>
      </c>
      <c r="V7728" s="25"/>
      <c r="W7728" s="25"/>
      <c r="X7728" s="25"/>
      <c r="Y7728" s="25"/>
      <c r="Z7728" s="25"/>
      <c r="AA7728" s="25"/>
    </row>
    <row r="7729" spans="1:27" x14ac:dyDescent="0.35">
      <c r="A7729" s="5">
        <v>7725</v>
      </c>
      <c r="B7729" s="5">
        <v>322</v>
      </c>
      <c r="C7729" s="5">
        <v>11</v>
      </c>
      <c r="D7729" s="25">
        <v>1.1416E-4</v>
      </c>
      <c r="E7729" s="25">
        <v>1.156E-4</v>
      </c>
      <c r="F7729" s="25">
        <v>1.0534E-4</v>
      </c>
      <c r="G7729" s="25">
        <v>6.2490000000000006E-5</v>
      </c>
      <c r="H7729" s="25">
        <v>1.5500000000000001E-5</v>
      </c>
      <c r="I7729" s="9">
        <v>1.3091000000000001E-4</v>
      </c>
      <c r="J7729" s="9">
        <v>1.3671000000000001E-4</v>
      </c>
      <c r="K7729" s="9">
        <v>3.2637999999999998E-4</v>
      </c>
      <c r="L7729" s="9">
        <v>1.4406999999999999E-4</v>
      </c>
      <c r="M7729" s="9">
        <v>1.2433E-4</v>
      </c>
      <c r="N7729" s="9">
        <v>1.1319000000000001E-4</v>
      </c>
      <c r="O7729" s="9">
        <v>8.42E-5</v>
      </c>
      <c r="P7729" s="9">
        <v>8.5779999999999995E-5</v>
      </c>
      <c r="Q7729" s="9">
        <v>8.776E-5</v>
      </c>
      <c r="R7729" s="10">
        <v>2.1244936787709023E-4</v>
      </c>
      <c r="S7729" s="10">
        <v>1.8351837372339327E-4</v>
      </c>
      <c r="T7729" s="10">
        <v>0</v>
      </c>
      <c r="U7729" s="10">
        <v>1.0396E-4</v>
      </c>
      <c r="V7729" s="25"/>
      <c r="W7729" s="25"/>
      <c r="X7729" s="25"/>
      <c r="Y7729" s="25"/>
      <c r="Z7729" s="25"/>
      <c r="AA7729" s="25"/>
    </row>
    <row r="7730" spans="1:27" x14ac:dyDescent="0.35">
      <c r="A7730" s="5">
        <v>7726</v>
      </c>
      <c r="B7730" s="5">
        <v>322</v>
      </c>
      <c r="C7730" s="5">
        <v>11</v>
      </c>
      <c r="D7730" s="25">
        <v>1.1415000000000001E-4</v>
      </c>
      <c r="E7730" s="25">
        <v>1.1258E-4</v>
      </c>
      <c r="F7730" s="25">
        <v>1.2057000000000001E-4</v>
      </c>
      <c r="G7730" s="25">
        <v>6.0890000000000001E-5</v>
      </c>
      <c r="H7730" s="25">
        <v>1.4630000000000001E-5</v>
      </c>
      <c r="I7730" s="9">
        <v>1.2522E-4</v>
      </c>
      <c r="J7730" s="9">
        <v>1.2820999999999999E-4</v>
      </c>
      <c r="K7730" s="9">
        <v>3.3697000000000002E-4</v>
      </c>
      <c r="L7730" s="9">
        <v>9.7330000000000005E-5</v>
      </c>
      <c r="M7730" s="9">
        <v>1.1009E-4</v>
      </c>
      <c r="N7730" s="9">
        <v>1.0548999999999999E-4</v>
      </c>
      <c r="O7730" s="9">
        <v>8.7029999999999999E-5</v>
      </c>
      <c r="P7730" s="9">
        <v>8.7189999999999997E-5</v>
      </c>
      <c r="Q7730" s="9">
        <v>8.7839999999999999E-5</v>
      </c>
      <c r="R7730" s="10">
        <v>2.1244936787709023E-4</v>
      </c>
      <c r="S7730" s="10">
        <v>1.8943173656180736E-4</v>
      </c>
      <c r="T7730" s="10">
        <v>0</v>
      </c>
      <c r="U7730" s="10">
        <v>1.0396E-4</v>
      </c>
      <c r="V7730" s="25"/>
      <c r="W7730" s="25"/>
      <c r="X7730" s="25"/>
      <c r="Y7730" s="25"/>
      <c r="Z7730" s="25"/>
      <c r="AA7730" s="25"/>
    </row>
    <row r="7731" spans="1:27" x14ac:dyDescent="0.35">
      <c r="A7731" s="5">
        <v>7727</v>
      </c>
      <c r="B7731" s="5">
        <v>322</v>
      </c>
      <c r="C7731" s="5">
        <v>11</v>
      </c>
      <c r="D7731" s="25">
        <v>1.1416E-4</v>
      </c>
      <c r="E7731" s="25">
        <v>1.1506999999999999E-4</v>
      </c>
      <c r="F7731" s="25">
        <v>1.195E-4</v>
      </c>
      <c r="G7731" s="25">
        <v>6.2349999999999998E-5</v>
      </c>
      <c r="H7731" s="25">
        <v>1.6399999999999999E-5</v>
      </c>
      <c r="I7731" s="9">
        <v>1.2574E-4</v>
      </c>
      <c r="J7731" s="9">
        <v>1.1892000000000001E-4</v>
      </c>
      <c r="K7731" s="9">
        <v>3.4968999999999999E-4</v>
      </c>
      <c r="L7731" s="9">
        <v>9.0600000000000007E-5</v>
      </c>
      <c r="M7731" s="9">
        <v>9.7999999999999997E-5</v>
      </c>
      <c r="N7731" s="9">
        <v>9.9630000000000007E-5</v>
      </c>
      <c r="O7731" s="9">
        <v>8.4839999999999994E-5</v>
      </c>
      <c r="P7731" s="9">
        <v>7.5619999999999998E-5</v>
      </c>
      <c r="Q7731" s="9">
        <v>6.6989999999999994E-5</v>
      </c>
      <c r="R7731" s="10">
        <v>2.1244936787709023E-4</v>
      </c>
      <c r="S7731" s="10">
        <v>1.9027817647178971E-4</v>
      </c>
      <c r="T7731" s="10">
        <v>0</v>
      </c>
      <c r="U7731" s="10">
        <v>1.0396E-4</v>
      </c>
      <c r="V7731" s="25"/>
      <c r="W7731" s="25"/>
      <c r="X7731" s="25"/>
      <c r="Y7731" s="25"/>
      <c r="Z7731" s="25"/>
      <c r="AA7731" s="25"/>
    </row>
    <row r="7732" spans="1:27" x14ac:dyDescent="0.35">
      <c r="A7732" s="5">
        <v>7728</v>
      </c>
      <c r="B7732" s="5">
        <v>322</v>
      </c>
      <c r="C7732" s="5">
        <v>11</v>
      </c>
      <c r="D7732" s="25">
        <v>1.1415000000000001E-4</v>
      </c>
      <c r="E7732" s="25">
        <v>1.1374000000000001E-4</v>
      </c>
      <c r="F7732" s="25">
        <v>1.0993999999999999E-4</v>
      </c>
      <c r="G7732" s="25">
        <v>6.245E-5</v>
      </c>
      <c r="H7732" s="25">
        <v>1.605E-5</v>
      </c>
      <c r="I7732" s="9">
        <v>1.2355999999999999E-4</v>
      </c>
      <c r="J7732" s="9">
        <v>1.1139E-4</v>
      </c>
      <c r="K7732" s="9">
        <v>3.4968E-4</v>
      </c>
      <c r="L7732" s="9">
        <v>8.6329999999999995E-5</v>
      </c>
      <c r="M7732" s="9">
        <v>8.7109999999999998E-5</v>
      </c>
      <c r="N7732" s="9">
        <v>9.043E-5</v>
      </c>
      <c r="O7732" s="9">
        <v>7.9090000000000003E-5</v>
      </c>
      <c r="P7732" s="9">
        <v>6.868E-5</v>
      </c>
      <c r="Q7732" s="9">
        <v>5.8789999999999998E-5</v>
      </c>
      <c r="R7732" s="10">
        <v>2.1244936787709023E-4</v>
      </c>
      <c r="S7732" s="10">
        <v>1.9013551271480957E-4</v>
      </c>
      <c r="T7732" s="10">
        <v>0</v>
      </c>
      <c r="U7732" s="10">
        <v>1.0396E-4</v>
      </c>
      <c r="V7732" s="25"/>
      <c r="W7732" s="25"/>
      <c r="X7732" s="25"/>
      <c r="Y7732" s="25"/>
      <c r="Z7732" s="25"/>
      <c r="AA7732" s="25"/>
    </row>
    <row r="7733" spans="1:27" x14ac:dyDescent="0.35">
      <c r="A7733" s="5">
        <v>7729</v>
      </c>
      <c r="B7733" s="5">
        <v>323</v>
      </c>
      <c r="C7733" s="5">
        <v>11</v>
      </c>
      <c r="D7733" s="25">
        <v>1.1416E-4</v>
      </c>
      <c r="E7733" s="25">
        <v>1.0493999999999999E-4</v>
      </c>
      <c r="F7733" s="25">
        <v>1.4506999999999999E-4</v>
      </c>
      <c r="G7733" s="25">
        <v>5.9070000000000002E-5</v>
      </c>
      <c r="H7733" s="25">
        <v>6.6699999999999995E-5</v>
      </c>
      <c r="I7733" s="9">
        <v>1.1594E-4</v>
      </c>
      <c r="J7733" s="9">
        <v>1.0423E-4</v>
      </c>
      <c r="K7733" s="9">
        <v>3.4544000000000003E-4</v>
      </c>
      <c r="L7733" s="9">
        <v>8.0450000000000004E-5</v>
      </c>
      <c r="M7733" s="9">
        <v>7.8029999999999997E-5</v>
      </c>
      <c r="N7733" s="9">
        <v>8.1019999999999993E-5</v>
      </c>
      <c r="O7733" s="9">
        <v>5.5000000000000002E-5</v>
      </c>
      <c r="P7733" s="9">
        <v>5.4410000000000003E-5</v>
      </c>
      <c r="Q7733" s="9">
        <v>5.3980000000000002E-5</v>
      </c>
      <c r="R7733" s="10">
        <v>2.1244936787709023E-4</v>
      </c>
      <c r="S7733" s="10">
        <v>1.8969800174330098E-4</v>
      </c>
      <c r="T7733" s="10">
        <v>0</v>
      </c>
      <c r="U7733" s="10">
        <v>1.0292E-4</v>
      </c>
      <c r="V7733" s="25"/>
      <c r="W7733" s="25"/>
      <c r="X7733" s="25"/>
      <c r="Y7733" s="25"/>
      <c r="Z7733" s="25"/>
      <c r="AA7733" s="25"/>
    </row>
    <row r="7734" spans="1:27" x14ac:dyDescent="0.35">
      <c r="A7734" s="5">
        <v>7730</v>
      </c>
      <c r="B7734" s="5">
        <v>323</v>
      </c>
      <c r="C7734" s="5">
        <v>11</v>
      </c>
      <c r="D7734" s="25">
        <v>1.1415000000000001E-4</v>
      </c>
      <c r="E7734" s="25">
        <v>1.0466E-4</v>
      </c>
      <c r="F7734" s="25">
        <v>1.2907000000000001E-4</v>
      </c>
      <c r="G7734" s="25">
        <v>5.6560000000000001E-5</v>
      </c>
      <c r="H7734" s="25">
        <v>7.2089999999999996E-5</v>
      </c>
      <c r="I7734" s="9">
        <v>1.0975E-4</v>
      </c>
      <c r="J7734" s="9">
        <v>9.9519999999999996E-5</v>
      </c>
      <c r="K7734" s="9">
        <v>3.6240000000000003E-4</v>
      </c>
      <c r="L7734" s="9">
        <v>6.0749999999999999E-5</v>
      </c>
      <c r="M7734" s="9">
        <v>6.7390000000000004E-5</v>
      </c>
      <c r="N7734" s="9">
        <v>7.2059999999999998E-5</v>
      </c>
      <c r="O7734" s="9">
        <v>1.861E-5</v>
      </c>
      <c r="P7734" s="9">
        <v>3.773E-5</v>
      </c>
      <c r="Q7734" s="9">
        <v>5.6150000000000003E-5</v>
      </c>
      <c r="R7734" s="10">
        <v>2.1244936787709023E-4</v>
      </c>
      <c r="S7734" s="10">
        <v>1.8885568124632517E-4</v>
      </c>
      <c r="T7734" s="10">
        <v>0</v>
      </c>
      <c r="U7734" s="10">
        <v>1.0292E-4</v>
      </c>
      <c r="V7734" s="25"/>
      <c r="W7734" s="25"/>
      <c r="X7734" s="25"/>
      <c r="Y7734" s="25"/>
      <c r="Z7734" s="25"/>
      <c r="AA7734" s="25"/>
    </row>
    <row r="7735" spans="1:27" x14ac:dyDescent="0.35">
      <c r="A7735" s="5">
        <v>7731</v>
      </c>
      <c r="B7735" s="5">
        <v>323</v>
      </c>
      <c r="C7735" s="5">
        <v>11</v>
      </c>
      <c r="D7735" s="25">
        <v>1.1416E-4</v>
      </c>
      <c r="E7735" s="25">
        <v>1.1174E-4</v>
      </c>
      <c r="F7735" s="25">
        <v>1.4072999999999999E-4</v>
      </c>
      <c r="G7735" s="25">
        <v>5.4700000000000001E-5</v>
      </c>
      <c r="H7735" s="25">
        <v>6.8559999999999994E-5</v>
      </c>
      <c r="I7735" s="9">
        <v>1.0619E-4</v>
      </c>
      <c r="J7735" s="9">
        <v>9.7009999999999994E-5</v>
      </c>
      <c r="K7735" s="9">
        <v>3.6664E-4</v>
      </c>
      <c r="L7735" s="9">
        <v>2.8419999999999999E-5</v>
      </c>
      <c r="M7735" s="9">
        <v>5.4110000000000002E-5</v>
      </c>
      <c r="N7735" s="9">
        <v>6.5519999999999996E-5</v>
      </c>
      <c r="O7735" s="9">
        <v>1.2999999999999999E-5</v>
      </c>
      <c r="P7735" s="9">
        <v>3.7469999999999999E-5</v>
      </c>
      <c r="Q7735" s="9">
        <v>6.1069999999999996E-5</v>
      </c>
      <c r="R7735" s="10">
        <v>2.1244936787709023E-4</v>
      </c>
      <c r="S7735" s="10">
        <v>1.8657212101848977E-4</v>
      </c>
      <c r="T7735" s="10">
        <v>0</v>
      </c>
      <c r="U7735" s="10">
        <v>1.0292E-4</v>
      </c>
      <c r="V7735" s="25"/>
      <c r="W7735" s="25"/>
      <c r="X7735" s="25"/>
      <c r="Y7735" s="25"/>
      <c r="Z7735" s="25"/>
      <c r="AA7735" s="25"/>
    </row>
    <row r="7736" spans="1:27" x14ac:dyDescent="0.35">
      <c r="A7736" s="5">
        <v>7732</v>
      </c>
      <c r="B7736" s="5">
        <v>323</v>
      </c>
      <c r="C7736" s="5">
        <v>11</v>
      </c>
      <c r="D7736" s="25">
        <v>1.1415000000000001E-4</v>
      </c>
      <c r="E7736" s="25">
        <v>1.0848E-4</v>
      </c>
      <c r="F7736" s="25">
        <v>1.2784E-4</v>
      </c>
      <c r="G7736" s="25">
        <v>6.1870000000000002E-5</v>
      </c>
      <c r="H7736" s="25">
        <v>7.2009999999999997E-5</v>
      </c>
      <c r="I7736" s="9">
        <v>1.037E-4</v>
      </c>
      <c r="J7736" s="9">
        <v>9.611E-5</v>
      </c>
      <c r="K7736" s="9">
        <v>3.6240000000000003E-4</v>
      </c>
      <c r="L7736" s="9">
        <v>1.7260000000000001E-5</v>
      </c>
      <c r="M7736" s="9">
        <v>4.4910000000000002E-5</v>
      </c>
      <c r="N7736" s="9">
        <v>6.1849999999999999E-5</v>
      </c>
      <c r="O7736" s="9">
        <v>1.322E-5</v>
      </c>
      <c r="P7736" s="9">
        <v>4.7620000000000001E-5</v>
      </c>
      <c r="Q7736" s="9">
        <v>8.0989999999999995E-5</v>
      </c>
      <c r="R7736" s="10">
        <v>2.1244936787709023E-4</v>
      </c>
      <c r="S7736" s="10">
        <v>1.8157422689338049E-4</v>
      </c>
      <c r="T7736" s="10">
        <v>0</v>
      </c>
      <c r="U7736" s="10">
        <v>1.0292E-4</v>
      </c>
      <c r="V7736" s="25"/>
      <c r="W7736" s="25"/>
      <c r="X7736" s="25"/>
      <c r="Y7736" s="25"/>
      <c r="Z7736" s="25"/>
      <c r="AA7736" s="25"/>
    </row>
    <row r="7737" spans="1:27" x14ac:dyDescent="0.35">
      <c r="A7737" s="5">
        <v>7733</v>
      </c>
      <c r="B7737" s="5">
        <v>323</v>
      </c>
      <c r="C7737" s="5">
        <v>11</v>
      </c>
      <c r="D7737" s="25">
        <v>1.1416E-4</v>
      </c>
      <c r="E7737" s="25">
        <v>1.0967E-4</v>
      </c>
      <c r="F7737" s="25">
        <v>1.4213999999999999E-4</v>
      </c>
      <c r="G7737" s="25">
        <v>5.9009999999999999E-5</v>
      </c>
      <c r="H7737" s="25">
        <v>6.3219999999999994E-5</v>
      </c>
      <c r="I7737" s="9">
        <v>1.0624999999999999E-4</v>
      </c>
      <c r="J7737" s="9">
        <v>9.7009999999999994E-5</v>
      </c>
      <c r="K7737" s="9">
        <v>3.6452000000000001E-4</v>
      </c>
      <c r="L7737" s="9">
        <v>1.429E-5</v>
      </c>
      <c r="M7737" s="9">
        <v>4.3850000000000002E-5</v>
      </c>
      <c r="N7737" s="9">
        <v>6.4529999999999994E-5</v>
      </c>
      <c r="O7737" s="9">
        <v>1.8580000000000002E-5</v>
      </c>
      <c r="P7737" s="9">
        <v>5.6509999999999999E-5</v>
      </c>
      <c r="Q7737" s="9">
        <v>9.344E-5</v>
      </c>
      <c r="R7737" s="10">
        <v>2.1244936787709023E-4</v>
      </c>
      <c r="S7737" s="10">
        <v>1.7955084906138579E-4</v>
      </c>
      <c r="T7737" s="10">
        <v>0</v>
      </c>
      <c r="U7737" s="10">
        <v>1.0292E-4</v>
      </c>
      <c r="V7737" s="25"/>
      <c r="W7737" s="25"/>
      <c r="X7737" s="25"/>
      <c r="Y7737" s="25"/>
      <c r="Z7737" s="25"/>
      <c r="AA7737" s="25"/>
    </row>
    <row r="7738" spans="1:27" x14ac:dyDescent="0.35">
      <c r="A7738" s="5">
        <v>7734</v>
      </c>
      <c r="B7738" s="5">
        <v>323</v>
      </c>
      <c r="C7738" s="5">
        <v>11</v>
      </c>
      <c r="D7738" s="25">
        <v>1.1415000000000001E-4</v>
      </c>
      <c r="E7738" s="25">
        <v>1.0908000000000001E-4</v>
      </c>
      <c r="F7738" s="25">
        <v>1.3401E-4</v>
      </c>
      <c r="G7738" s="25">
        <v>1.0599000000000001E-4</v>
      </c>
      <c r="H7738" s="25">
        <v>1.3762E-4</v>
      </c>
      <c r="I7738" s="9">
        <v>1.1149E-4</v>
      </c>
      <c r="J7738" s="9">
        <v>1.0155E-4</v>
      </c>
      <c r="K7738" s="9">
        <v>3.6027999999999999E-4</v>
      </c>
      <c r="L7738" s="9">
        <v>1.7499999999999998E-5</v>
      </c>
      <c r="M7738" s="9">
        <v>4.8510000000000001E-5</v>
      </c>
      <c r="N7738" s="9">
        <v>7.1050000000000006E-5</v>
      </c>
      <c r="O7738" s="9">
        <v>4.6159999999999999E-5</v>
      </c>
      <c r="P7738" s="9">
        <v>7.6730000000000006E-5</v>
      </c>
      <c r="Q7738" s="9">
        <v>1.0684E-4</v>
      </c>
      <c r="R7738" s="10">
        <v>2.1244936787709023E-4</v>
      </c>
      <c r="S7738" s="10">
        <v>1.7300300866485841E-4</v>
      </c>
      <c r="T7738" s="10">
        <v>0</v>
      </c>
      <c r="U7738" s="10">
        <v>1.0292E-4</v>
      </c>
      <c r="V7738" s="25"/>
      <c r="W7738" s="25"/>
      <c r="X7738" s="25"/>
      <c r="Y7738" s="25"/>
      <c r="Z7738" s="25"/>
      <c r="AA7738" s="25"/>
    </row>
    <row r="7739" spans="1:27" x14ac:dyDescent="0.35">
      <c r="A7739" s="5">
        <v>7735</v>
      </c>
      <c r="B7739" s="5">
        <v>323</v>
      </c>
      <c r="C7739" s="5">
        <v>11</v>
      </c>
      <c r="D7739" s="25">
        <v>1.1416E-4</v>
      </c>
      <c r="E7739" s="25">
        <v>1.1268E-4</v>
      </c>
      <c r="F7739" s="25">
        <v>1.4138000000000001E-4</v>
      </c>
      <c r="G7739" s="25">
        <v>1.1243000000000001E-4</v>
      </c>
      <c r="H7739" s="25">
        <v>1.3653E-4</v>
      </c>
      <c r="I7739" s="9">
        <v>1.248E-4</v>
      </c>
      <c r="J7739" s="9">
        <v>1.1349E-4</v>
      </c>
      <c r="K7739" s="9">
        <v>3.7299000000000002E-4</v>
      </c>
      <c r="L7739" s="9">
        <v>3.9709999999999998E-5</v>
      </c>
      <c r="M7739" s="9">
        <v>5.999E-5</v>
      </c>
      <c r="N7739" s="9">
        <v>8.0699999999999996E-5</v>
      </c>
      <c r="O7739" s="9">
        <v>1.2412999999999999E-4</v>
      </c>
      <c r="P7739" s="9">
        <v>1.1786E-4</v>
      </c>
      <c r="Q7739" s="9">
        <v>1.1290000000000001E-4</v>
      </c>
      <c r="R7739" s="10">
        <v>2.1244936787709023E-4</v>
      </c>
      <c r="S7739" s="10">
        <v>1.7673008455381322E-4</v>
      </c>
      <c r="T7739" s="10">
        <v>0</v>
      </c>
      <c r="U7739" s="10">
        <v>1.0292E-4</v>
      </c>
      <c r="V7739" s="25"/>
      <c r="W7739" s="25"/>
      <c r="X7739" s="25"/>
      <c r="Y7739" s="25"/>
      <c r="Z7739" s="25"/>
      <c r="AA7739" s="25"/>
    </row>
    <row r="7740" spans="1:27" x14ac:dyDescent="0.35">
      <c r="A7740" s="5">
        <v>7736</v>
      </c>
      <c r="B7740" s="5">
        <v>323</v>
      </c>
      <c r="C7740" s="5">
        <v>11</v>
      </c>
      <c r="D7740" s="25">
        <v>1.1415000000000001E-4</v>
      </c>
      <c r="E7740" s="25">
        <v>1.0777000000000001E-4</v>
      </c>
      <c r="F7740" s="25">
        <v>1.3506E-4</v>
      </c>
      <c r="G7740" s="25">
        <v>1.5928000000000001E-4</v>
      </c>
      <c r="H7740" s="25">
        <v>1.9252000000000001E-4</v>
      </c>
      <c r="I7740" s="9">
        <v>1.3587000000000001E-4</v>
      </c>
      <c r="J7740" s="9">
        <v>1.3187E-4</v>
      </c>
      <c r="K7740" s="9">
        <v>3.4968E-4</v>
      </c>
      <c r="L7740" s="9">
        <v>1.0493999999999999E-4</v>
      </c>
      <c r="M7740" s="9">
        <v>8.3800000000000004E-5</v>
      </c>
      <c r="N7740" s="9">
        <v>9.0890000000000006E-5</v>
      </c>
      <c r="O7740" s="9">
        <v>2.2220000000000001E-4</v>
      </c>
      <c r="P7740" s="9">
        <v>1.7824E-4</v>
      </c>
      <c r="Q7740" s="9">
        <v>1.3768999999999999E-4</v>
      </c>
      <c r="R7740" s="10">
        <v>2.1244936787709023E-4</v>
      </c>
      <c r="S7740" s="10">
        <v>1.8416064288269616E-4</v>
      </c>
      <c r="T7740" s="10">
        <v>0</v>
      </c>
      <c r="U7740" s="10">
        <v>1.0292E-4</v>
      </c>
      <c r="V7740" s="25"/>
      <c r="W7740" s="25"/>
      <c r="X7740" s="25"/>
      <c r="Y7740" s="25"/>
      <c r="Z7740" s="25"/>
      <c r="AA7740" s="25"/>
    </row>
    <row r="7741" spans="1:27" x14ac:dyDescent="0.35">
      <c r="A7741" s="5">
        <v>7737</v>
      </c>
      <c r="B7741" s="5">
        <v>323</v>
      </c>
      <c r="C7741" s="5">
        <v>11</v>
      </c>
      <c r="D7741" s="25">
        <v>1.1416E-4</v>
      </c>
      <c r="E7741" s="25">
        <v>1.0781E-4</v>
      </c>
      <c r="F7741" s="25">
        <v>1.4543999999999999E-4</v>
      </c>
      <c r="G7741" s="25">
        <v>1.6395E-4</v>
      </c>
      <c r="H7741" s="25">
        <v>1.9295E-4</v>
      </c>
      <c r="I7741" s="9">
        <v>1.373E-4</v>
      </c>
      <c r="J7741" s="9">
        <v>1.4202E-4</v>
      </c>
      <c r="K7741" s="9">
        <v>3.0518E-4</v>
      </c>
      <c r="L7741" s="9">
        <v>1.9462E-4</v>
      </c>
      <c r="M7741" s="9">
        <v>1.2396E-4</v>
      </c>
      <c r="N7741" s="9">
        <v>1.0486E-4</v>
      </c>
      <c r="O7741" s="9">
        <v>2.0995000000000001E-4</v>
      </c>
      <c r="P7741" s="9">
        <v>1.9102999999999999E-4</v>
      </c>
      <c r="Q7741" s="9">
        <v>1.7495E-4</v>
      </c>
      <c r="R7741" s="10">
        <v>2.1244936787709023E-4</v>
      </c>
      <c r="S7741" s="10">
        <v>1.8950584863154174E-4</v>
      </c>
      <c r="T7741" s="10">
        <v>2.5206853369273418E-5</v>
      </c>
      <c r="U7741" s="10">
        <v>1.0292E-4</v>
      </c>
      <c r="V7741" s="25"/>
      <c r="W7741" s="25"/>
      <c r="X7741" s="25"/>
      <c r="Y7741" s="25"/>
      <c r="Z7741" s="25"/>
      <c r="AA7741" s="25"/>
    </row>
    <row r="7742" spans="1:27" x14ac:dyDescent="0.35">
      <c r="A7742" s="5">
        <v>7738</v>
      </c>
      <c r="B7742" s="5">
        <v>323</v>
      </c>
      <c r="C7742" s="5">
        <v>11</v>
      </c>
      <c r="D7742" s="25">
        <v>1.1415000000000001E-4</v>
      </c>
      <c r="E7742" s="25">
        <v>1.0558E-4</v>
      </c>
      <c r="F7742" s="25">
        <v>1.4548E-4</v>
      </c>
      <c r="G7742" s="25">
        <v>1.5749000000000001E-4</v>
      </c>
      <c r="H7742" s="25">
        <v>1.8762E-4</v>
      </c>
      <c r="I7742" s="9">
        <v>1.3949000000000001E-4</v>
      </c>
      <c r="J7742" s="9">
        <v>1.4637999999999999E-4</v>
      </c>
      <c r="K7742" s="9">
        <v>2.0769000000000001E-4</v>
      </c>
      <c r="L7742" s="9">
        <v>2.0421999999999999E-4</v>
      </c>
      <c r="M7742" s="9">
        <v>1.5829E-4</v>
      </c>
      <c r="N7742" s="9">
        <v>1.2442E-4</v>
      </c>
      <c r="O7742" s="9">
        <v>1.6703000000000001E-4</v>
      </c>
      <c r="P7742" s="9">
        <v>1.7321E-4</v>
      </c>
      <c r="Q7742" s="9">
        <v>1.8117E-4</v>
      </c>
      <c r="R7742" s="10">
        <v>2.1244936787709023E-4</v>
      </c>
      <c r="S7742" s="10">
        <v>1.9008294270683967E-4</v>
      </c>
      <c r="T7742" s="10">
        <v>1.1017711136095072E-4</v>
      </c>
      <c r="U7742" s="10">
        <v>1.0292E-4</v>
      </c>
      <c r="V7742" s="25"/>
      <c r="W7742" s="25"/>
      <c r="X7742" s="25"/>
      <c r="Y7742" s="25"/>
      <c r="Z7742" s="25"/>
      <c r="AA7742" s="25"/>
    </row>
    <row r="7743" spans="1:27" x14ac:dyDescent="0.35">
      <c r="A7743" s="5">
        <v>7739</v>
      </c>
      <c r="B7743" s="5">
        <v>323</v>
      </c>
      <c r="C7743" s="5">
        <v>11</v>
      </c>
      <c r="D7743" s="25">
        <v>1.1416E-4</v>
      </c>
      <c r="E7743" s="25">
        <v>1.0717000000000001E-4</v>
      </c>
      <c r="F7743" s="25">
        <v>1.3134E-4</v>
      </c>
      <c r="G7743" s="25">
        <v>1.5930999999999999E-4</v>
      </c>
      <c r="H7743" s="25">
        <v>1.9143E-4</v>
      </c>
      <c r="I7743" s="9">
        <v>1.3967E-4</v>
      </c>
      <c r="J7743" s="9">
        <v>1.4647999999999999E-4</v>
      </c>
      <c r="K7743" s="9">
        <v>1.6531E-4</v>
      </c>
      <c r="L7743" s="9">
        <v>1.7537E-4</v>
      </c>
      <c r="M7743" s="9">
        <v>1.7155999999999999E-4</v>
      </c>
      <c r="N7743" s="9">
        <v>1.4228999999999999E-4</v>
      </c>
      <c r="O7743" s="9">
        <v>1.6861E-4</v>
      </c>
      <c r="P7743" s="9">
        <v>1.7348999999999999E-4</v>
      </c>
      <c r="Q7743" s="9">
        <v>1.8019999999999999E-4</v>
      </c>
      <c r="R7743" s="10">
        <v>2.1244936787709023E-4</v>
      </c>
      <c r="S7743" s="10">
        <v>1.9026702249541987E-4</v>
      </c>
      <c r="T7743" s="10">
        <v>5.9152535069193629E-5</v>
      </c>
      <c r="U7743" s="10">
        <v>1.0292E-4</v>
      </c>
      <c r="V7743" s="25"/>
      <c r="W7743" s="25"/>
      <c r="X7743" s="25"/>
      <c r="Y7743" s="25"/>
      <c r="Z7743" s="25"/>
      <c r="AA7743" s="25"/>
    </row>
    <row r="7744" spans="1:27" x14ac:dyDescent="0.35">
      <c r="A7744" s="5">
        <v>7740</v>
      </c>
      <c r="B7744" s="5">
        <v>323</v>
      </c>
      <c r="C7744" s="5">
        <v>11</v>
      </c>
      <c r="D7744" s="25">
        <v>1.1415000000000001E-4</v>
      </c>
      <c r="E7744" s="25">
        <v>1.1137999999999999E-4</v>
      </c>
      <c r="F7744" s="25">
        <v>1.4557E-4</v>
      </c>
      <c r="G7744" s="25">
        <v>1.6436000000000001E-4</v>
      </c>
      <c r="H7744" s="25">
        <v>1.9579999999999999E-4</v>
      </c>
      <c r="I7744" s="9">
        <v>1.4003E-4</v>
      </c>
      <c r="J7744" s="9">
        <v>1.4511E-4</v>
      </c>
      <c r="K7744" s="9">
        <v>1.4624000000000001E-4</v>
      </c>
      <c r="L7744" s="9">
        <v>1.7150999999999999E-4</v>
      </c>
      <c r="M7744" s="9">
        <v>1.7447E-4</v>
      </c>
      <c r="N7744" s="9">
        <v>1.5652999999999999E-4</v>
      </c>
      <c r="O7744" s="9">
        <v>1.7096E-4</v>
      </c>
      <c r="P7744" s="9">
        <v>1.7170999999999999E-4</v>
      </c>
      <c r="Q7744" s="9">
        <v>1.7438999999999999E-4</v>
      </c>
      <c r="R7744" s="10">
        <v>2.1243701820562055E-4</v>
      </c>
      <c r="S7744" s="10">
        <v>1.9028572350451563E-4</v>
      </c>
      <c r="T7744" s="10">
        <v>5.5181882973326927E-5</v>
      </c>
      <c r="U7744" s="10">
        <v>1.0292E-4</v>
      </c>
      <c r="V7744" s="25"/>
      <c r="W7744" s="25"/>
      <c r="X7744" s="25"/>
      <c r="Y7744" s="25"/>
      <c r="Z7744" s="25"/>
      <c r="AA7744" s="25"/>
    </row>
    <row r="7745" spans="1:27" x14ac:dyDescent="0.35">
      <c r="A7745" s="5">
        <v>7741</v>
      </c>
      <c r="B7745" s="5">
        <v>323</v>
      </c>
      <c r="C7745" s="5">
        <v>11</v>
      </c>
      <c r="D7745" s="25">
        <v>1.1416E-4</v>
      </c>
      <c r="E7745" s="25">
        <v>1.1395000000000001E-4</v>
      </c>
      <c r="F7745" s="25">
        <v>1.4448E-4</v>
      </c>
      <c r="G7745" s="25">
        <v>1.5885000000000001E-4</v>
      </c>
      <c r="H7745" s="25">
        <v>1.9688E-4</v>
      </c>
      <c r="I7745" s="9">
        <v>1.3655000000000001E-4</v>
      </c>
      <c r="J7745" s="9">
        <v>1.4318999999999999E-4</v>
      </c>
      <c r="K7745" s="9">
        <v>1.314E-4</v>
      </c>
      <c r="L7745" s="9">
        <v>1.7118999999999999E-4</v>
      </c>
      <c r="M7745" s="9">
        <v>1.7379E-4</v>
      </c>
      <c r="N7745" s="9">
        <v>1.6605999999999999E-4</v>
      </c>
      <c r="O7745" s="9">
        <v>1.6231000000000001E-4</v>
      </c>
      <c r="P7745" s="9">
        <v>1.6393000000000001E-4</v>
      </c>
      <c r="Q7745" s="9">
        <v>1.6733000000000001E-4</v>
      </c>
      <c r="R7745" s="10">
        <v>2.1242943207238759E-4</v>
      </c>
      <c r="S7745" s="10">
        <v>1.9017643518823743E-4</v>
      </c>
      <c r="T7745" s="10">
        <v>4.7486623462747668E-5</v>
      </c>
      <c r="U7745" s="10">
        <v>1.0292E-4</v>
      </c>
      <c r="V7745" s="25"/>
      <c r="W7745" s="25"/>
      <c r="X7745" s="25"/>
      <c r="Y7745" s="25"/>
      <c r="Z7745" s="25"/>
      <c r="AA7745" s="25"/>
    </row>
    <row r="7746" spans="1:27" x14ac:dyDescent="0.35">
      <c r="A7746" s="5">
        <v>7742</v>
      </c>
      <c r="B7746" s="5">
        <v>323</v>
      </c>
      <c r="C7746" s="5">
        <v>11</v>
      </c>
      <c r="D7746" s="25">
        <v>1.1415000000000001E-4</v>
      </c>
      <c r="E7746" s="25">
        <v>1.098E-4</v>
      </c>
      <c r="F7746" s="25">
        <v>1.405E-4</v>
      </c>
      <c r="G7746" s="25">
        <v>1.6284000000000001E-4</v>
      </c>
      <c r="H7746" s="25">
        <v>1.9019999999999999E-4</v>
      </c>
      <c r="I7746" s="9">
        <v>1.3553999999999999E-4</v>
      </c>
      <c r="J7746" s="9">
        <v>1.4296999999999999E-4</v>
      </c>
      <c r="K7746" s="9">
        <v>1.3564E-4</v>
      </c>
      <c r="L7746" s="9">
        <v>1.6401999999999999E-4</v>
      </c>
      <c r="M7746" s="9">
        <v>1.7001000000000001E-4</v>
      </c>
      <c r="N7746" s="9">
        <v>1.7037000000000001E-4</v>
      </c>
      <c r="O7746" s="9">
        <v>1.7950999999999999E-4</v>
      </c>
      <c r="P7746" s="9">
        <v>1.6923E-4</v>
      </c>
      <c r="Q7746" s="9">
        <v>1.6118999999999999E-4</v>
      </c>
      <c r="R7746" s="10">
        <v>2.1226751533062106E-4</v>
      </c>
      <c r="S7746" s="10">
        <v>1.9027138448519417E-4</v>
      </c>
      <c r="T7746" s="10">
        <v>3.1629467977331303E-5</v>
      </c>
      <c r="U7746" s="10">
        <v>1.0292E-4</v>
      </c>
      <c r="V7746" s="25"/>
      <c r="W7746" s="25"/>
      <c r="X7746" s="25"/>
      <c r="Y7746" s="25"/>
      <c r="Z7746" s="25"/>
      <c r="AA7746" s="25"/>
    </row>
    <row r="7747" spans="1:27" x14ac:dyDescent="0.35">
      <c r="A7747" s="5">
        <v>7743</v>
      </c>
      <c r="B7747" s="5">
        <v>323</v>
      </c>
      <c r="C7747" s="5">
        <v>11</v>
      </c>
      <c r="D7747" s="25">
        <v>1.1416E-4</v>
      </c>
      <c r="E7747" s="25">
        <v>1.1322E-4</v>
      </c>
      <c r="F7747" s="25">
        <v>1.4677000000000001E-4</v>
      </c>
      <c r="G7747" s="25">
        <v>1.6288000000000001E-4</v>
      </c>
      <c r="H7747" s="25">
        <v>1.9396999999999999E-4</v>
      </c>
      <c r="I7747" s="9">
        <v>1.3532E-4</v>
      </c>
      <c r="J7747" s="9">
        <v>1.4286999999999999E-4</v>
      </c>
      <c r="K7747" s="9">
        <v>1.4411E-4</v>
      </c>
      <c r="L7747" s="9">
        <v>1.7628000000000001E-4</v>
      </c>
      <c r="M7747" s="9">
        <v>1.6862999999999999E-4</v>
      </c>
      <c r="N7747" s="9">
        <v>1.7006000000000001E-4</v>
      </c>
      <c r="O7747" s="9">
        <v>1.8557E-4</v>
      </c>
      <c r="P7747" s="9">
        <v>1.6835E-4</v>
      </c>
      <c r="Q7747" s="9">
        <v>1.5354999999999999E-4</v>
      </c>
      <c r="R7747" s="10">
        <v>2.1148815532812801E-4</v>
      </c>
      <c r="S7747" s="10">
        <v>1.9027285406883669E-4</v>
      </c>
      <c r="T7747" s="10">
        <v>1.5305676027657102E-5</v>
      </c>
      <c r="U7747" s="10">
        <v>1.0292E-4</v>
      </c>
      <c r="V7747" s="25"/>
      <c r="W7747" s="25"/>
      <c r="X7747" s="25"/>
      <c r="Y7747" s="25"/>
      <c r="Z7747" s="25"/>
      <c r="AA7747" s="25"/>
    </row>
    <row r="7748" spans="1:27" x14ac:dyDescent="0.35">
      <c r="A7748" s="5">
        <v>7744</v>
      </c>
      <c r="B7748" s="5">
        <v>323</v>
      </c>
      <c r="C7748" s="5">
        <v>11</v>
      </c>
      <c r="D7748" s="25">
        <v>1.1415000000000001E-4</v>
      </c>
      <c r="E7748" s="25">
        <v>1.1052000000000001E-4</v>
      </c>
      <c r="F7748" s="25">
        <v>1.3977E-4</v>
      </c>
      <c r="G7748" s="25">
        <v>1.6076E-4</v>
      </c>
      <c r="H7748" s="25">
        <v>1.9349999999999999E-4</v>
      </c>
      <c r="I7748" s="9">
        <v>1.3637E-4</v>
      </c>
      <c r="J7748" s="9">
        <v>1.4375E-4</v>
      </c>
      <c r="K7748" s="9">
        <v>1.8013999999999999E-4</v>
      </c>
      <c r="L7748" s="9">
        <v>1.8320000000000001E-4</v>
      </c>
      <c r="M7748" s="9">
        <v>1.6827000000000001E-4</v>
      </c>
      <c r="N7748" s="9">
        <v>1.6644000000000001E-4</v>
      </c>
      <c r="O7748" s="9">
        <v>1.9887E-4</v>
      </c>
      <c r="P7748" s="9">
        <v>1.5295E-4</v>
      </c>
      <c r="Q7748" s="9">
        <v>1.1012E-4</v>
      </c>
      <c r="R7748" s="10">
        <v>2.0665017161243274E-4</v>
      </c>
      <c r="S7748" s="10">
        <v>1.8941257366676583E-4</v>
      </c>
      <c r="T7748" s="10">
        <v>7.958272790433682E-6</v>
      </c>
      <c r="U7748" s="10">
        <v>1.0292E-4</v>
      </c>
      <c r="V7748" s="25"/>
      <c r="W7748" s="25"/>
      <c r="X7748" s="25"/>
      <c r="Y7748" s="25"/>
      <c r="Z7748" s="25"/>
      <c r="AA7748" s="25"/>
    </row>
    <row r="7749" spans="1:27" x14ac:dyDescent="0.35">
      <c r="A7749" s="5">
        <v>7745</v>
      </c>
      <c r="B7749" s="5">
        <v>323</v>
      </c>
      <c r="C7749" s="5">
        <v>11</v>
      </c>
      <c r="D7749" s="25">
        <v>1.1416E-4</v>
      </c>
      <c r="E7749" s="25">
        <v>1.0705999999999999E-4</v>
      </c>
      <c r="F7749" s="25">
        <v>1.3496E-4</v>
      </c>
      <c r="G7749" s="25">
        <v>1.6676000000000001E-4</v>
      </c>
      <c r="H7749" s="25">
        <v>1.9714E-4</v>
      </c>
      <c r="I7749" s="9">
        <v>1.3866E-4</v>
      </c>
      <c r="J7749" s="9">
        <v>1.4639000000000001E-4</v>
      </c>
      <c r="K7749" s="9">
        <v>2.0981E-4</v>
      </c>
      <c r="L7749" s="9">
        <v>1.9516999999999999E-4</v>
      </c>
      <c r="M7749" s="9">
        <v>1.6276999999999999E-4</v>
      </c>
      <c r="N7749" s="9">
        <v>1.5279000000000001E-4</v>
      </c>
      <c r="O7749" s="9">
        <v>2.1633000000000001E-4</v>
      </c>
      <c r="P7749" s="9">
        <v>1.6034E-4</v>
      </c>
      <c r="Q7749" s="9">
        <v>1.0785000000000001E-4</v>
      </c>
      <c r="R7749" s="10">
        <v>1.919207477493393E-4</v>
      </c>
      <c r="S7749" s="10">
        <v>1.8668950386143204E-4</v>
      </c>
      <c r="T7749" s="10">
        <v>0</v>
      </c>
      <c r="U7749" s="10">
        <v>1.0292E-4</v>
      </c>
      <c r="V7749" s="25"/>
      <c r="W7749" s="25"/>
      <c r="X7749" s="25"/>
      <c r="Y7749" s="25"/>
      <c r="Z7749" s="25"/>
      <c r="AA7749" s="25"/>
    </row>
    <row r="7750" spans="1:27" x14ac:dyDescent="0.35">
      <c r="A7750" s="5">
        <v>7746</v>
      </c>
      <c r="B7750" s="5">
        <v>323</v>
      </c>
      <c r="C7750" s="5">
        <v>11</v>
      </c>
      <c r="D7750" s="25">
        <v>1.1415000000000001E-4</v>
      </c>
      <c r="E7750" s="25">
        <v>1.072E-4</v>
      </c>
      <c r="F7750" s="25">
        <v>1.4650000000000001E-4</v>
      </c>
      <c r="G7750" s="25">
        <v>1.5626E-4</v>
      </c>
      <c r="H7750" s="25">
        <v>1.9626999999999999E-4</v>
      </c>
      <c r="I7750" s="9">
        <v>1.4362000000000001E-4</v>
      </c>
      <c r="J7750" s="9">
        <v>1.5239999999999999E-4</v>
      </c>
      <c r="K7750" s="9">
        <v>2.1617000000000001E-4</v>
      </c>
      <c r="L7750" s="9">
        <v>2.1143999999999999E-4</v>
      </c>
      <c r="M7750" s="9">
        <v>1.6034999999999999E-4</v>
      </c>
      <c r="N7750" s="9">
        <v>1.3957999999999999E-4</v>
      </c>
      <c r="O7750" s="9">
        <v>2.0751E-4</v>
      </c>
      <c r="P7750" s="9">
        <v>1.6132000000000001E-4</v>
      </c>
      <c r="Q7750" s="9">
        <v>1.1836E-4</v>
      </c>
      <c r="R7750" s="10">
        <v>1.6902283246141649E-4</v>
      </c>
      <c r="S7750" s="10">
        <v>1.8446292192532399E-4</v>
      </c>
      <c r="T7750" s="10">
        <v>0</v>
      </c>
      <c r="U7750" s="10">
        <v>1.0292E-4</v>
      </c>
      <c r="V7750" s="25"/>
      <c r="W7750" s="25"/>
      <c r="X7750" s="25"/>
      <c r="Y7750" s="25"/>
      <c r="Z7750" s="25"/>
      <c r="AA7750" s="25"/>
    </row>
    <row r="7751" spans="1:27" x14ac:dyDescent="0.35">
      <c r="A7751" s="5">
        <v>7747</v>
      </c>
      <c r="B7751" s="5">
        <v>323</v>
      </c>
      <c r="C7751" s="5">
        <v>11</v>
      </c>
      <c r="D7751" s="25">
        <v>1.1416E-4</v>
      </c>
      <c r="E7751" s="25">
        <v>1.1406E-4</v>
      </c>
      <c r="F7751" s="25">
        <v>1.2841999999999999E-4</v>
      </c>
      <c r="G7751" s="25">
        <v>1.0938E-4</v>
      </c>
      <c r="H7751" s="25">
        <v>1.3543E-4</v>
      </c>
      <c r="I7751" s="9">
        <v>1.4145999999999999E-4</v>
      </c>
      <c r="J7751" s="9">
        <v>1.4621E-4</v>
      </c>
      <c r="K7751" s="9">
        <v>2.0769000000000001E-4</v>
      </c>
      <c r="L7751" s="9">
        <v>2.0796000000000001E-4</v>
      </c>
      <c r="M7751" s="9">
        <v>1.6023E-4</v>
      </c>
      <c r="N7751" s="9">
        <v>1.3059000000000001E-4</v>
      </c>
      <c r="O7751" s="9">
        <v>1.6406999999999999E-4</v>
      </c>
      <c r="P7751" s="9">
        <v>1.3410000000000001E-4</v>
      </c>
      <c r="Q7751" s="9">
        <v>1.0644E-4</v>
      </c>
      <c r="R7751" s="10">
        <v>1.5253452958992965E-4</v>
      </c>
      <c r="S7751" s="10">
        <v>1.843784623474391E-4</v>
      </c>
      <c r="T7751" s="10">
        <v>0</v>
      </c>
      <c r="U7751" s="10">
        <v>1.0292E-4</v>
      </c>
      <c r="V7751" s="25"/>
      <c r="W7751" s="25"/>
      <c r="X7751" s="25"/>
      <c r="Y7751" s="25"/>
      <c r="Z7751" s="25"/>
      <c r="AA7751" s="25"/>
    </row>
    <row r="7752" spans="1:27" x14ac:dyDescent="0.35">
      <c r="A7752" s="5">
        <v>7748</v>
      </c>
      <c r="B7752" s="5">
        <v>323</v>
      </c>
      <c r="C7752" s="5">
        <v>11</v>
      </c>
      <c r="D7752" s="25">
        <v>1.1415000000000001E-4</v>
      </c>
      <c r="E7752" s="25">
        <v>1.1387000000000001E-4</v>
      </c>
      <c r="F7752" s="25">
        <v>1.3549999999999999E-4</v>
      </c>
      <c r="G7752" s="25">
        <v>1.1224E-4</v>
      </c>
      <c r="H7752" s="25">
        <v>1.3418999999999999E-4</v>
      </c>
      <c r="I7752" s="9">
        <v>1.3422999999999999E-4</v>
      </c>
      <c r="J7752" s="9">
        <v>1.4046999999999999E-4</v>
      </c>
      <c r="K7752" s="9">
        <v>1.8650000000000001E-4</v>
      </c>
      <c r="L7752" s="9">
        <v>1.739E-4</v>
      </c>
      <c r="M7752" s="9">
        <v>1.5096E-4</v>
      </c>
      <c r="N7752" s="9">
        <v>1.2124E-4</v>
      </c>
      <c r="O7752" s="9">
        <v>1.3036999999999999E-4</v>
      </c>
      <c r="P7752" s="9">
        <v>1.1576E-4</v>
      </c>
      <c r="Q7752" s="9">
        <v>1.0268999999999999E-4</v>
      </c>
      <c r="R7752" s="10">
        <v>1.4769708403170035E-4</v>
      </c>
      <c r="S7752" s="10">
        <v>1.8779568575152169E-4</v>
      </c>
      <c r="T7752" s="10">
        <v>0</v>
      </c>
      <c r="U7752" s="10">
        <v>1.0292E-4</v>
      </c>
      <c r="V7752" s="25"/>
      <c r="W7752" s="25"/>
      <c r="X7752" s="25"/>
      <c r="Y7752" s="25"/>
      <c r="Z7752" s="25"/>
      <c r="AA7752" s="25"/>
    </row>
    <row r="7753" spans="1:27" x14ac:dyDescent="0.35">
      <c r="A7753" s="5">
        <v>7749</v>
      </c>
      <c r="B7753" s="5">
        <v>323</v>
      </c>
      <c r="C7753" s="5">
        <v>11</v>
      </c>
      <c r="D7753" s="25">
        <v>1.1416E-4</v>
      </c>
      <c r="E7753" s="25">
        <v>1.1433E-4</v>
      </c>
      <c r="F7753" s="25">
        <v>1.4711999999999999E-4</v>
      </c>
      <c r="G7753" s="25">
        <v>5.4110000000000002E-5</v>
      </c>
      <c r="H7753" s="25">
        <v>6.9969999999999996E-5</v>
      </c>
      <c r="I7753" s="9">
        <v>1.2908E-4</v>
      </c>
      <c r="J7753" s="9">
        <v>1.3291999999999999E-4</v>
      </c>
      <c r="K7753" s="9">
        <v>2.1193000000000001E-4</v>
      </c>
      <c r="L7753" s="9">
        <v>1.4100000000000001E-4</v>
      </c>
      <c r="M7753" s="9">
        <v>1.3568E-4</v>
      </c>
      <c r="N7753" s="9">
        <v>1.1362E-4</v>
      </c>
      <c r="O7753" s="9">
        <v>8.4820000000000004E-5</v>
      </c>
      <c r="P7753" s="9">
        <v>8.6230000000000006E-5</v>
      </c>
      <c r="Q7753" s="9">
        <v>8.8220000000000006E-5</v>
      </c>
      <c r="R7753" s="10">
        <v>1.60532315965319E-4</v>
      </c>
      <c r="S7753" s="10">
        <v>1.8961266321939978E-4</v>
      </c>
      <c r="T7753" s="10">
        <v>0</v>
      </c>
      <c r="U7753" s="10">
        <v>1.0292E-4</v>
      </c>
      <c r="V7753" s="25"/>
      <c r="W7753" s="25"/>
      <c r="X7753" s="25"/>
      <c r="Y7753" s="25"/>
      <c r="Z7753" s="25"/>
      <c r="AA7753" s="25"/>
    </row>
    <row r="7754" spans="1:27" x14ac:dyDescent="0.35">
      <c r="A7754" s="5">
        <v>7750</v>
      </c>
      <c r="B7754" s="5">
        <v>323</v>
      </c>
      <c r="C7754" s="5">
        <v>11</v>
      </c>
      <c r="D7754" s="25">
        <v>1.1415000000000001E-4</v>
      </c>
      <c r="E7754" s="25">
        <v>1.1136E-4</v>
      </c>
      <c r="F7754" s="25">
        <v>1.3784999999999999E-4</v>
      </c>
      <c r="G7754" s="25">
        <v>5.7450000000000001E-5</v>
      </c>
      <c r="H7754" s="25">
        <v>7.1559999999999999E-5</v>
      </c>
      <c r="I7754" s="9">
        <v>1.2358000000000001E-4</v>
      </c>
      <c r="J7754" s="9">
        <v>1.2491999999999999E-4</v>
      </c>
      <c r="K7754" s="9">
        <v>2.2253E-4</v>
      </c>
      <c r="L7754" s="9">
        <v>9.8070000000000001E-5</v>
      </c>
      <c r="M7754" s="9">
        <v>1.1396999999999999E-4</v>
      </c>
      <c r="N7754" s="9">
        <v>1.059E-4</v>
      </c>
      <c r="O7754" s="9">
        <v>8.81E-5</v>
      </c>
      <c r="P7754" s="9">
        <v>8.8090000000000005E-5</v>
      </c>
      <c r="Q7754" s="9">
        <v>8.8750000000000002E-5</v>
      </c>
      <c r="R7754" s="10">
        <v>1.8194864135135557E-4</v>
      </c>
      <c r="S7754" s="10">
        <v>1.9009891718477291E-4</v>
      </c>
      <c r="T7754" s="10">
        <v>0</v>
      </c>
      <c r="U7754" s="10">
        <v>1.0292E-4</v>
      </c>
      <c r="V7754" s="25"/>
      <c r="W7754" s="25"/>
      <c r="X7754" s="25"/>
      <c r="Y7754" s="25"/>
      <c r="Z7754" s="25"/>
      <c r="AA7754" s="25"/>
    </row>
    <row r="7755" spans="1:27" x14ac:dyDescent="0.35">
      <c r="A7755" s="5">
        <v>7751</v>
      </c>
      <c r="B7755" s="5">
        <v>323</v>
      </c>
      <c r="C7755" s="5">
        <v>11</v>
      </c>
      <c r="D7755" s="25">
        <v>1.1416E-4</v>
      </c>
      <c r="E7755" s="25">
        <v>1.1205E-4</v>
      </c>
      <c r="F7755" s="25">
        <v>1.3369E-4</v>
      </c>
      <c r="G7755" s="25">
        <v>5.5569999999999998E-5</v>
      </c>
      <c r="H7755" s="25">
        <v>6.232E-5</v>
      </c>
      <c r="I7755" s="9">
        <v>1.2409000000000001E-4</v>
      </c>
      <c r="J7755" s="9">
        <v>1.167E-4</v>
      </c>
      <c r="K7755" s="9">
        <v>2.1405E-4</v>
      </c>
      <c r="L7755" s="9">
        <v>9.1240000000000001E-5</v>
      </c>
      <c r="M7755" s="9">
        <v>9.9329999999999999E-5</v>
      </c>
      <c r="N7755" s="9">
        <v>1.0011E-4</v>
      </c>
      <c r="O7755" s="9">
        <v>7.8560000000000007E-5</v>
      </c>
      <c r="P7755" s="9">
        <v>7.2669999999999994E-5</v>
      </c>
      <c r="Q7755" s="9">
        <v>6.7379999999999995E-5</v>
      </c>
      <c r="R7755" s="10">
        <v>1.9426762557366525E-4</v>
      </c>
      <c r="S7755" s="10">
        <v>1.9012369326045945E-4</v>
      </c>
      <c r="T7755" s="10">
        <v>0</v>
      </c>
      <c r="U7755" s="10">
        <v>1.0292E-4</v>
      </c>
      <c r="V7755" s="25"/>
      <c r="W7755" s="25"/>
      <c r="X7755" s="25"/>
      <c r="Y7755" s="25"/>
      <c r="Z7755" s="25"/>
      <c r="AA7755" s="25"/>
    </row>
    <row r="7756" spans="1:27" x14ac:dyDescent="0.35">
      <c r="A7756" s="5">
        <v>7752</v>
      </c>
      <c r="B7756" s="5">
        <v>323</v>
      </c>
      <c r="C7756" s="5">
        <v>11</v>
      </c>
      <c r="D7756" s="25">
        <v>1.1415000000000001E-4</v>
      </c>
      <c r="E7756" s="25">
        <v>1.1475E-4</v>
      </c>
      <c r="F7756" s="25">
        <v>1.3740000000000001E-4</v>
      </c>
      <c r="G7756" s="25">
        <v>5.2280000000000001E-5</v>
      </c>
      <c r="H7756" s="25">
        <v>6.4200000000000002E-5</v>
      </c>
      <c r="I7756" s="9">
        <v>1.2437E-4</v>
      </c>
      <c r="J7756" s="9">
        <v>1.1027E-4</v>
      </c>
      <c r="K7756" s="9">
        <v>2.3525E-4</v>
      </c>
      <c r="L7756" s="9">
        <v>8.1340000000000004E-5</v>
      </c>
      <c r="M7756" s="9">
        <v>8.6509999999999997E-5</v>
      </c>
      <c r="N7756" s="9">
        <v>9.0859999999999994E-5</v>
      </c>
      <c r="O7756" s="9">
        <v>6.2509999999999996E-5</v>
      </c>
      <c r="P7756" s="9">
        <v>6.0390000000000003E-5</v>
      </c>
      <c r="Q7756" s="9">
        <v>5.859E-5</v>
      </c>
      <c r="R7756" s="10">
        <v>1.9136621177467754E-4</v>
      </c>
      <c r="S7756" s="10">
        <v>1.9022411997283967E-4</v>
      </c>
      <c r="T7756" s="10">
        <v>0</v>
      </c>
      <c r="U7756" s="10">
        <v>1.0292E-4</v>
      </c>
      <c r="V7756" s="25"/>
      <c r="W7756" s="25"/>
      <c r="X7756" s="25"/>
      <c r="Y7756" s="25"/>
      <c r="Z7756" s="25"/>
      <c r="AA7756" s="25"/>
    </row>
    <row r="7757" spans="1:27" x14ac:dyDescent="0.35">
      <c r="A7757" s="5">
        <v>7753</v>
      </c>
      <c r="B7757" s="5">
        <v>324</v>
      </c>
      <c r="C7757" s="5">
        <v>11</v>
      </c>
      <c r="D7757" s="25">
        <v>1.1416E-4</v>
      </c>
      <c r="E7757" s="25">
        <v>1.0476000000000001E-4</v>
      </c>
      <c r="F7757" s="25">
        <v>1.1129E-4</v>
      </c>
      <c r="G7757" s="25">
        <v>5.397E-5</v>
      </c>
      <c r="H7757" s="25">
        <v>7.0170000000000001E-5</v>
      </c>
      <c r="I7757" s="9">
        <v>1.1586000000000001E-4</v>
      </c>
      <c r="J7757" s="9">
        <v>1.0373E-4</v>
      </c>
      <c r="K7757" s="9">
        <v>2.4159999999999999E-4</v>
      </c>
      <c r="L7757" s="9">
        <v>6.6639999999999999E-5</v>
      </c>
      <c r="M7757" s="9">
        <v>7.4170000000000003E-5</v>
      </c>
      <c r="N7757" s="9">
        <v>8.1359999999999994E-5</v>
      </c>
      <c r="O7757" s="9">
        <v>5.4219999999999999E-5</v>
      </c>
      <c r="P7757" s="9">
        <v>5.3640000000000001E-5</v>
      </c>
      <c r="Q7757" s="9">
        <v>5.3220000000000002E-5</v>
      </c>
      <c r="R7757" s="10">
        <v>1.8833533758860595E-4</v>
      </c>
      <c r="S7757" s="10">
        <v>1.9025605683071855E-4</v>
      </c>
      <c r="T7757" s="10">
        <v>0</v>
      </c>
      <c r="U7757" s="10">
        <v>1.0579E-4</v>
      </c>
      <c r="V7757" s="25"/>
      <c r="W7757" s="25"/>
      <c r="X7757" s="25"/>
      <c r="Y7757" s="25"/>
      <c r="Z7757" s="25"/>
      <c r="AA7757" s="25"/>
    </row>
    <row r="7758" spans="1:27" x14ac:dyDescent="0.35">
      <c r="A7758" s="5">
        <v>7754</v>
      </c>
      <c r="B7758" s="5">
        <v>324</v>
      </c>
      <c r="C7758" s="5">
        <v>11</v>
      </c>
      <c r="D7758" s="25">
        <v>1.1415000000000001E-4</v>
      </c>
      <c r="E7758" s="25">
        <v>1.138E-4</v>
      </c>
      <c r="F7758" s="25">
        <v>1.0628000000000001E-4</v>
      </c>
      <c r="G7758" s="25">
        <v>5.9840000000000003E-5</v>
      </c>
      <c r="H7758" s="25">
        <v>7.5870000000000004E-5</v>
      </c>
      <c r="I7758" s="9">
        <v>1.1011E-4</v>
      </c>
      <c r="J7758" s="9">
        <v>9.8079999999999996E-5</v>
      </c>
      <c r="K7758" s="9">
        <v>2.3948E-4</v>
      </c>
      <c r="L7758" s="9">
        <v>5.736E-5</v>
      </c>
      <c r="M7758" s="9">
        <v>6.3839999999999999E-5</v>
      </c>
      <c r="N7758" s="9">
        <v>7.2139999999999997E-5</v>
      </c>
      <c r="O7758" s="9">
        <v>1.8580000000000002E-5</v>
      </c>
      <c r="P7758" s="9">
        <v>3.7669999999999997E-5</v>
      </c>
      <c r="Q7758" s="9">
        <v>5.605E-5</v>
      </c>
      <c r="R7758" s="10">
        <v>1.9316815156517986E-4</v>
      </c>
      <c r="S7758" s="10">
        <v>1.9027092912904267E-4</v>
      </c>
      <c r="T7758" s="10">
        <v>0</v>
      </c>
      <c r="U7758" s="10">
        <v>1.0579E-4</v>
      </c>
      <c r="V7758" s="25"/>
      <c r="W7758" s="25"/>
      <c r="X7758" s="25"/>
      <c r="Y7758" s="25"/>
      <c r="Z7758" s="25"/>
      <c r="AA7758" s="25"/>
    </row>
    <row r="7759" spans="1:27" x14ac:dyDescent="0.35">
      <c r="A7759" s="5">
        <v>7755</v>
      </c>
      <c r="B7759" s="5">
        <v>324</v>
      </c>
      <c r="C7759" s="5">
        <v>11</v>
      </c>
      <c r="D7759" s="25">
        <v>1.1416E-4</v>
      </c>
      <c r="E7759" s="25">
        <v>1.0607000000000001E-4</v>
      </c>
      <c r="F7759" s="25">
        <v>9.9690000000000003E-5</v>
      </c>
      <c r="G7759" s="25">
        <v>5.8680000000000001E-5</v>
      </c>
      <c r="H7759" s="25">
        <v>6.8860000000000001E-5</v>
      </c>
      <c r="I7759" s="9">
        <v>1.054E-4</v>
      </c>
      <c r="J7759" s="9">
        <v>9.5149999999999995E-5</v>
      </c>
      <c r="K7759" s="9">
        <v>2.2889000000000001E-4</v>
      </c>
      <c r="L7759" s="9">
        <v>2.7319999999999999E-5</v>
      </c>
      <c r="M7759" s="9">
        <v>5.206E-5</v>
      </c>
      <c r="N7759" s="9">
        <v>6.5510000000000001E-5</v>
      </c>
      <c r="O7759" s="9">
        <v>1.3210000000000001E-5</v>
      </c>
      <c r="P7759" s="9">
        <v>3.8090000000000003E-5</v>
      </c>
      <c r="Q7759" s="9">
        <v>6.2089999999999997E-5</v>
      </c>
      <c r="R7759" s="10">
        <v>2.0077678964443581E-4</v>
      </c>
      <c r="S7759" s="10">
        <v>1.9026851801442785E-4</v>
      </c>
      <c r="T7759" s="10">
        <v>0</v>
      </c>
      <c r="U7759" s="10">
        <v>1.0579E-4</v>
      </c>
      <c r="V7759" s="25"/>
      <c r="W7759" s="25"/>
      <c r="X7759" s="25"/>
      <c r="Y7759" s="25"/>
      <c r="Z7759" s="25"/>
      <c r="AA7759" s="25"/>
    </row>
    <row r="7760" spans="1:27" x14ac:dyDescent="0.35">
      <c r="A7760" s="5">
        <v>7756</v>
      </c>
      <c r="B7760" s="5">
        <v>324</v>
      </c>
      <c r="C7760" s="5">
        <v>11</v>
      </c>
      <c r="D7760" s="25">
        <v>1.1415000000000001E-4</v>
      </c>
      <c r="E7760" s="25">
        <v>1.1195E-4</v>
      </c>
      <c r="F7760" s="25">
        <v>9.6160000000000001E-5</v>
      </c>
      <c r="G7760" s="25">
        <v>6.347E-5</v>
      </c>
      <c r="H7760" s="25">
        <v>7.4229999999999999E-5</v>
      </c>
      <c r="I7760" s="9">
        <v>1.0280000000000001E-4</v>
      </c>
      <c r="J7760" s="9">
        <v>9.3519999999999999E-5</v>
      </c>
      <c r="K7760" s="9">
        <v>2.3311999999999999E-4</v>
      </c>
      <c r="L7760" s="9">
        <v>1.7059999999999999E-5</v>
      </c>
      <c r="M7760" s="9">
        <v>4.4230000000000002E-5</v>
      </c>
      <c r="N7760" s="9">
        <v>6.2000000000000003E-5</v>
      </c>
      <c r="O7760" s="9">
        <v>1.314E-5</v>
      </c>
      <c r="P7760" s="9">
        <v>4.7349999999999999E-5</v>
      </c>
      <c r="Q7760" s="9">
        <v>8.0539999999999998E-5</v>
      </c>
      <c r="R7760" s="10">
        <v>1.9994127657296917E-4</v>
      </c>
      <c r="S7760" s="10">
        <v>1.9020053476842709E-4</v>
      </c>
      <c r="T7760" s="10">
        <v>0</v>
      </c>
      <c r="U7760" s="10">
        <v>1.0579E-4</v>
      </c>
      <c r="V7760" s="25"/>
      <c r="W7760" s="25"/>
      <c r="X7760" s="25"/>
      <c r="Y7760" s="25"/>
      <c r="Z7760" s="25"/>
      <c r="AA7760" s="25"/>
    </row>
    <row r="7761" spans="1:27" x14ac:dyDescent="0.35">
      <c r="A7761" s="5">
        <v>7757</v>
      </c>
      <c r="B7761" s="5">
        <v>324</v>
      </c>
      <c r="C7761" s="5">
        <v>11</v>
      </c>
      <c r="D7761" s="25">
        <v>1.1416E-4</v>
      </c>
      <c r="E7761" s="25">
        <v>1.1148E-4</v>
      </c>
      <c r="F7761" s="25">
        <v>1.0868E-4</v>
      </c>
      <c r="G7761" s="25">
        <v>5.5210000000000002E-5</v>
      </c>
      <c r="H7761" s="25">
        <v>6.8419999999999999E-5</v>
      </c>
      <c r="I7761" s="9">
        <v>1.0137E-4</v>
      </c>
      <c r="J7761" s="9">
        <v>9.289E-5</v>
      </c>
      <c r="K7761" s="9">
        <v>2.2463999999999999E-4</v>
      </c>
      <c r="L7761" s="9">
        <v>1.4250000000000001E-5</v>
      </c>
      <c r="M7761" s="9">
        <v>4.3600000000000003E-5</v>
      </c>
      <c r="N7761" s="9">
        <v>6.4540000000000002E-5</v>
      </c>
      <c r="O7761" s="9">
        <v>1.8479999999999999E-5</v>
      </c>
      <c r="P7761" s="9">
        <v>5.6190000000000002E-5</v>
      </c>
      <c r="Q7761" s="9">
        <v>9.2919999999999998E-5</v>
      </c>
      <c r="R7761" s="10">
        <v>1.9424761686031946E-4</v>
      </c>
      <c r="S7761" s="10">
        <v>1.8955487452425757E-4</v>
      </c>
      <c r="T7761" s="10">
        <v>0</v>
      </c>
      <c r="U7761" s="10">
        <v>1.0579E-4</v>
      </c>
      <c r="V7761" s="25"/>
      <c r="W7761" s="25"/>
      <c r="X7761" s="25"/>
      <c r="Y7761" s="25"/>
      <c r="Z7761" s="25"/>
      <c r="AA7761" s="25"/>
    </row>
    <row r="7762" spans="1:27" x14ac:dyDescent="0.35">
      <c r="A7762" s="5">
        <v>7758</v>
      </c>
      <c r="B7762" s="5">
        <v>324</v>
      </c>
      <c r="C7762" s="5">
        <v>11</v>
      </c>
      <c r="D7762" s="25">
        <v>1.1415000000000001E-4</v>
      </c>
      <c r="E7762" s="25">
        <v>1.1006E-4</v>
      </c>
      <c r="F7762" s="25">
        <v>1.0237E-4</v>
      </c>
      <c r="G7762" s="25">
        <v>1.0781E-4</v>
      </c>
      <c r="H7762" s="25">
        <v>1.2578000000000001E-4</v>
      </c>
      <c r="I7762" s="9">
        <v>1.0304E-4</v>
      </c>
      <c r="J7762" s="9">
        <v>9.4400000000000004E-5</v>
      </c>
      <c r="K7762" s="9">
        <v>2.4161000000000001E-4</v>
      </c>
      <c r="L7762" s="9">
        <v>1.7419999999999999E-5</v>
      </c>
      <c r="M7762" s="9">
        <v>4.8319999999999998E-5</v>
      </c>
      <c r="N7762" s="9">
        <v>7.093E-5</v>
      </c>
      <c r="O7762" s="9">
        <v>4.6459999999999999E-5</v>
      </c>
      <c r="P7762" s="9">
        <v>7.7219999999999996E-5</v>
      </c>
      <c r="Q7762" s="9">
        <v>1.0753E-4</v>
      </c>
      <c r="R7762" s="10">
        <v>1.9696788487255098E-4</v>
      </c>
      <c r="S7762" s="10">
        <v>1.8602092451000551E-4</v>
      </c>
      <c r="T7762" s="10">
        <v>0</v>
      </c>
      <c r="U7762" s="10">
        <v>1.0579E-4</v>
      </c>
      <c r="V7762" s="25"/>
      <c r="W7762" s="25"/>
      <c r="X7762" s="25"/>
      <c r="Y7762" s="25"/>
      <c r="Z7762" s="25"/>
      <c r="AA7762" s="25"/>
    </row>
    <row r="7763" spans="1:27" x14ac:dyDescent="0.35">
      <c r="A7763" s="5">
        <v>7759</v>
      </c>
      <c r="B7763" s="5">
        <v>324</v>
      </c>
      <c r="C7763" s="5">
        <v>11</v>
      </c>
      <c r="D7763" s="25">
        <v>1.1416E-4</v>
      </c>
      <c r="E7763" s="25">
        <v>1.1094000000000001E-4</v>
      </c>
      <c r="F7763" s="25">
        <v>1.1213999999999999E-4</v>
      </c>
      <c r="G7763" s="25">
        <v>1.0753E-4</v>
      </c>
      <c r="H7763" s="25">
        <v>1.3574999999999999E-4</v>
      </c>
      <c r="I7763" s="9">
        <v>1.0696000000000001E-4</v>
      </c>
      <c r="J7763" s="9">
        <v>9.9690000000000003E-5</v>
      </c>
      <c r="K7763" s="9">
        <v>2.3948E-4</v>
      </c>
      <c r="L7763" s="9">
        <v>3.9929999999999999E-5</v>
      </c>
      <c r="M7763" s="9">
        <v>6.0050000000000003E-5</v>
      </c>
      <c r="N7763" s="9">
        <v>8.0760000000000006E-5</v>
      </c>
      <c r="O7763" s="9">
        <v>1.2422E-4</v>
      </c>
      <c r="P7763" s="9">
        <v>1.1794E-4</v>
      </c>
      <c r="Q7763" s="9">
        <v>1.1298000000000001E-4</v>
      </c>
      <c r="R7763" s="10">
        <v>1.9535073346575846E-4</v>
      </c>
      <c r="S7763" s="10">
        <v>1.8047667782831016E-4</v>
      </c>
      <c r="T7763" s="10">
        <v>0</v>
      </c>
      <c r="U7763" s="10">
        <v>1.0579E-4</v>
      </c>
      <c r="V7763" s="25"/>
      <c r="W7763" s="25"/>
      <c r="X7763" s="25"/>
      <c r="Y7763" s="25"/>
      <c r="Z7763" s="25"/>
      <c r="AA7763" s="25"/>
    </row>
    <row r="7764" spans="1:27" x14ac:dyDescent="0.35">
      <c r="A7764" s="5">
        <v>7760</v>
      </c>
      <c r="B7764" s="5">
        <v>324</v>
      </c>
      <c r="C7764" s="5">
        <v>11</v>
      </c>
      <c r="D7764" s="25">
        <v>1.1415000000000001E-4</v>
      </c>
      <c r="E7764" s="25">
        <v>1.1043E-4</v>
      </c>
      <c r="F7764" s="25">
        <v>1.1294999999999999E-4</v>
      </c>
      <c r="G7764" s="25">
        <v>1.5666000000000001E-4</v>
      </c>
      <c r="H7764" s="25">
        <v>1.9555000000000001E-4</v>
      </c>
      <c r="I7764" s="9">
        <v>1.102E-4</v>
      </c>
      <c r="J7764" s="9">
        <v>1.0734999999999999E-4</v>
      </c>
      <c r="K7764" s="9">
        <v>2.1617000000000001E-4</v>
      </c>
      <c r="L7764" s="9">
        <v>1.0504E-4</v>
      </c>
      <c r="M7764" s="9">
        <v>8.3930000000000004E-5</v>
      </c>
      <c r="N7764" s="9">
        <v>9.0970000000000005E-5</v>
      </c>
      <c r="O7764" s="9">
        <v>2.2167000000000001E-4</v>
      </c>
      <c r="P7764" s="9">
        <v>1.7782E-4</v>
      </c>
      <c r="Q7764" s="9">
        <v>1.3736E-4</v>
      </c>
      <c r="R7764" s="10">
        <v>1.9286681775183942E-4</v>
      </c>
      <c r="S7764" s="10">
        <v>1.7395758026902614E-4</v>
      </c>
      <c r="T7764" s="10">
        <v>0</v>
      </c>
      <c r="U7764" s="10">
        <v>1.0579E-4</v>
      </c>
      <c r="V7764" s="25"/>
      <c r="W7764" s="25"/>
      <c r="X7764" s="25"/>
      <c r="Y7764" s="25"/>
      <c r="Z7764" s="25"/>
      <c r="AA7764" s="25"/>
    </row>
    <row r="7765" spans="1:27" x14ac:dyDescent="0.35">
      <c r="A7765" s="5">
        <v>7761</v>
      </c>
      <c r="B7765" s="5">
        <v>324</v>
      </c>
      <c r="C7765" s="5">
        <v>11</v>
      </c>
      <c r="D7765" s="25">
        <v>1.1416E-4</v>
      </c>
      <c r="E7765" s="25">
        <v>1.0878999999999999E-4</v>
      </c>
      <c r="F7765" s="25">
        <v>9.7860000000000002E-5</v>
      </c>
      <c r="G7765" s="25">
        <v>1.5762E-4</v>
      </c>
      <c r="H7765" s="25">
        <v>1.9225000000000001E-4</v>
      </c>
      <c r="I7765" s="9">
        <v>1.1464E-4</v>
      </c>
      <c r="J7765" s="9">
        <v>1.1504E-4</v>
      </c>
      <c r="K7765" s="9">
        <v>2.0769000000000001E-4</v>
      </c>
      <c r="L7765" s="9">
        <v>1.9422999999999999E-4</v>
      </c>
      <c r="M7765" s="9">
        <v>1.239E-4</v>
      </c>
      <c r="N7765" s="9">
        <v>1.0485E-4</v>
      </c>
      <c r="O7765" s="9">
        <v>2.1246000000000001E-4</v>
      </c>
      <c r="P7765" s="9">
        <v>1.9332E-4</v>
      </c>
      <c r="Q7765" s="9">
        <v>1.7704E-4</v>
      </c>
      <c r="R7765" s="10">
        <v>1.8333473504546669E-4</v>
      </c>
      <c r="S7765" s="10">
        <v>1.6012166658622962E-4</v>
      </c>
      <c r="T7765" s="10">
        <v>1.3523973164127171E-5</v>
      </c>
      <c r="U7765" s="10">
        <v>1.0579E-4</v>
      </c>
      <c r="V7765" s="25"/>
      <c r="W7765" s="25"/>
      <c r="X7765" s="25"/>
      <c r="Y7765" s="25"/>
      <c r="Z7765" s="25"/>
      <c r="AA7765" s="25"/>
    </row>
    <row r="7766" spans="1:27" x14ac:dyDescent="0.35">
      <c r="A7766" s="5">
        <v>7762</v>
      </c>
      <c r="B7766" s="5">
        <v>324</v>
      </c>
      <c r="C7766" s="5">
        <v>11</v>
      </c>
      <c r="D7766" s="25">
        <v>1.1415000000000001E-4</v>
      </c>
      <c r="E7766" s="25">
        <v>1.0675000000000001E-4</v>
      </c>
      <c r="F7766" s="25">
        <v>9.6219999999999997E-5</v>
      </c>
      <c r="G7766" s="25">
        <v>1.6381999999999999E-4</v>
      </c>
      <c r="H7766" s="25">
        <v>1.9242E-4</v>
      </c>
      <c r="I7766" s="9">
        <v>1.1972999999999999E-4</v>
      </c>
      <c r="J7766" s="9">
        <v>1.2302999999999999E-4</v>
      </c>
      <c r="K7766" s="9">
        <v>1.8437999999999999E-4</v>
      </c>
      <c r="L7766" s="9">
        <v>2.0610999999999999E-4</v>
      </c>
      <c r="M7766" s="9">
        <v>1.5902000000000001E-4</v>
      </c>
      <c r="N7766" s="9">
        <v>1.2486999999999999E-4</v>
      </c>
      <c r="O7766" s="9">
        <v>1.6714E-4</v>
      </c>
      <c r="P7766" s="9">
        <v>1.7333E-4</v>
      </c>
      <c r="Q7766" s="9">
        <v>1.8129999999999999E-4</v>
      </c>
      <c r="R7766" s="10">
        <v>1.7190186625014637E-4</v>
      </c>
      <c r="S7766" s="10">
        <v>1.439904762158665E-4</v>
      </c>
      <c r="T7766" s="10">
        <v>7.6205976762980089E-5</v>
      </c>
      <c r="U7766" s="10">
        <v>1.0579E-4</v>
      </c>
      <c r="V7766" s="25"/>
      <c r="W7766" s="25"/>
      <c r="X7766" s="25"/>
      <c r="Y7766" s="25"/>
      <c r="Z7766" s="25"/>
      <c r="AA7766" s="25"/>
    </row>
    <row r="7767" spans="1:27" x14ac:dyDescent="0.35">
      <c r="A7767" s="5">
        <v>7763</v>
      </c>
      <c r="B7767" s="5">
        <v>324</v>
      </c>
      <c r="C7767" s="5">
        <v>11</v>
      </c>
      <c r="D7767" s="25">
        <v>1.1416E-4</v>
      </c>
      <c r="E7767" s="25">
        <v>1.078E-4</v>
      </c>
      <c r="F7767" s="25">
        <v>9.3930000000000004E-5</v>
      </c>
      <c r="G7767" s="25">
        <v>1.6232E-4</v>
      </c>
      <c r="H7767" s="25">
        <v>1.9730999999999999E-4</v>
      </c>
      <c r="I7767" s="9">
        <v>1.2235999999999999E-4</v>
      </c>
      <c r="J7767" s="9">
        <v>1.2543E-4</v>
      </c>
      <c r="K7767" s="9">
        <v>1.5683E-4</v>
      </c>
      <c r="L7767" s="9">
        <v>1.7581000000000001E-4</v>
      </c>
      <c r="M7767" s="9">
        <v>1.7228999999999999E-4</v>
      </c>
      <c r="N7767" s="9">
        <v>1.4276E-4</v>
      </c>
      <c r="O7767" s="9">
        <v>1.6734000000000001E-4</v>
      </c>
      <c r="P7767" s="9">
        <v>1.7217999999999999E-4</v>
      </c>
      <c r="Q7767" s="9">
        <v>1.7883999999999999E-4</v>
      </c>
      <c r="R7767" s="10">
        <v>1.6542120888351973E-4</v>
      </c>
      <c r="S7767" s="10">
        <v>1.3232548731111399E-4</v>
      </c>
      <c r="T7767" s="10">
        <v>1.6776853534971814E-4</v>
      </c>
      <c r="U7767" s="10">
        <v>1.0579E-4</v>
      </c>
      <c r="V7767" s="25"/>
      <c r="W7767" s="25"/>
      <c r="X7767" s="25"/>
      <c r="Y7767" s="25"/>
      <c r="Z7767" s="25"/>
      <c r="AA7767" s="25"/>
    </row>
    <row r="7768" spans="1:27" x14ac:dyDescent="0.35">
      <c r="A7768" s="5">
        <v>7764</v>
      </c>
      <c r="B7768" s="5">
        <v>324</v>
      </c>
      <c r="C7768" s="5">
        <v>11</v>
      </c>
      <c r="D7768" s="25">
        <v>1.1415000000000001E-4</v>
      </c>
      <c r="E7768" s="25">
        <v>1.1064E-4</v>
      </c>
      <c r="F7768" s="25">
        <v>1.0634E-4</v>
      </c>
      <c r="G7768" s="25">
        <v>1.6658999999999999E-4</v>
      </c>
      <c r="H7768" s="25">
        <v>1.8882E-4</v>
      </c>
      <c r="I7768" s="9">
        <v>1.2350999999999999E-4</v>
      </c>
      <c r="J7768" s="9">
        <v>1.2451000000000001E-4</v>
      </c>
      <c r="K7768" s="9">
        <v>1.526E-4</v>
      </c>
      <c r="L7768" s="9">
        <v>1.7065E-4</v>
      </c>
      <c r="M7768" s="9">
        <v>1.7445000000000001E-4</v>
      </c>
      <c r="N7768" s="9">
        <v>1.5663999999999999E-4</v>
      </c>
      <c r="O7768" s="9">
        <v>1.7179000000000001E-4</v>
      </c>
      <c r="P7768" s="9">
        <v>1.7254E-4</v>
      </c>
      <c r="Q7768" s="9">
        <v>1.7522999999999999E-4</v>
      </c>
      <c r="R7768" s="10">
        <v>1.2862931492489335E-4</v>
      </c>
      <c r="S7768" s="10">
        <v>1.3009100325719325E-4</v>
      </c>
      <c r="T7768" s="10">
        <v>7.677442481943963E-5</v>
      </c>
      <c r="U7768" s="10">
        <v>1.0579E-4</v>
      </c>
      <c r="V7768" s="25"/>
      <c r="W7768" s="25"/>
      <c r="X7768" s="25"/>
      <c r="Y7768" s="25"/>
      <c r="Z7768" s="25"/>
      <c r="AA7768" s="25"/>
    </row>
    <row r="7769" spans="1:27" x14ac:dyDescent="0.35">
      <c r="A7769" s="5">
        <v>7765</v>
      </c>
      <c r="B7769" s="5">
        <v>324</v>
      </c>
      <c r="C7769" s="5">
        <v>11</v>
      </c>
      <c r="D7769" s="25">
        <v>1.1416E-4</v>
      </c>
      <c r="E7769" s="25">
        <v>1.125E-4</v>
      </c>
      <c r="F7769" s="25">
        <v>9.7800000000000006E-5</v>
      </c>
      <c r="G7769" s="25">
        <v>1.6359999999999999E-4</v>
      </c>
      <c r="H7769" s="25">
        <v>1.8916000000000001E-4</v>
      </c>
      <c r="I7769" s="9">
        <v>1.2401E-4</v>
      </c>
      <c r="J7769" s="9">
        <v>1.2301E-4</v>
      </c>
      <c r="K7769" s="9">
        <v>1.5470999999999999E-4</v>
      </c>
      <c r="L7769" s="9">
        <v>1.717E-4</v>
      </c>
      <c r="M7769" s="9">
        <v>1.7385E-4</v>
      </c>
      <c r="N7769" s="9">
        <v>1.663E-4</v>
      </c>
      <c r="O7769" s="9">
        <v>1.6389E-4</v>
      </c>
      <c r="P7769" s="9">
        <v>1.6552E-4</v>
      </c>
      <c r="Q7769" s="9">
        <v>1.6894999999999999E-4</v>
      </c>
      <c r="R7769" s="10">
        <v>1.5038914758044121E-4</v>
      </c>
      <c r="S7769" s="10">
        <v>1.2539707331736766E-4</v>
      </c>
      <c r="T7769" s="10">
        <v>6.3233483056612176E-5</v>
      </c>
      <c r="U7769" s="10">
        <v>1.0579E-4</v>
      </c>
      <c r="V7769" s="25"/>
      <c r="W7769" s="25"/>
      <c r="X7769" s="25"/>
      <c r="Y7769" s="25"/>
      <c r="Z7769" s="25"/>
      <c r="AA7769" s="25"/>
    </row>
    <row r="7770" spans="1:27" x14ac:dyDescent="0.35">
      <c r="A7770" s="5">
        <v>7766</v>
      </c>
      <c r="B7770" s="5">
        <v>324</v>
      </c>
      <c r="C7770" s="5">
        <v>11</v>
      </c>
      <c r="D7770" s="25">
        <v>1.1415000000000001E-4</v>
      </c>
      <c r="E7770" s="25">
        <v>1.0306000000000001E-4</v>
      </c>
      <c r="F7770" s="25">
        <v>1.0463000000000001E-4</v>
      </c>
      <c r="G7770" s="25">
        <v>1.5777E-4</v>
      </c>
      <c r="H7770" s="25">
        <v>2.0028999999999999E-4</v>
      </c>
      <c r="I7770" s="9">
        <v>1.2271999999999999E-4</v>
      </c>
      <c r="J7770" s="9">
        <v>1.2242000000000001E-4</v>
      </c>
      <c r="K7770" s="9">
        <v>1.5894999999999999E-4</v>
      </c>
      <c r="L7770" s="9">
        <v>1.6531E-4</v>
      </c>
      <c r="M7770" s="9">
        <v>1.7069000000000001E-4</v>
      </c>
      <c r="N7770" s="9">
        <v>1.7091E-4</v>
      </c>
      <c r="O7770" s="9">
        <v>1.8035999999999999E-4</v>
      </c>
      <c r="P7770" s="9">
        <v>1.7003999999999999E-4</v>
      </c>
      <c r="Q7770" s="9">
        <v>1.6195000000000001E-4</v>
      </c>
      <c r="R7770" s="10">
        <v>1.4340501107997815E-4</v>
      </c>
      <c r="S7770" s="10">
        <v>1.249757914192072E-4</v>
      </c>
      <c r="T7770" s="10">
        <v>2.038607447852244E-4</v>
      </c>
      <c r="U7770" s="10">
        <v>1.0579E-4</v>
      </c>
      <c r="V7770" s="25"/>
      <c r="W7770" s="25"/>
      <c r="X7770" s="25"/>
      <c r="Y7770" s="25"/>
      <c r="Z7770" s="25"/>
      <c r="AA7770" s="25"/>
    </row>
    <row r="7771" spans="1:27" x14ac:dyDescent="0.35">
      <c r="A7771" s="5">
        <v>7767</v>
      </c>
      <c r="B7771" s="5">
        <v>324</v>
      </c>
      <c r="C7771" s="5">
        <v>11</v>
      </c>
      <c r="D7771" s="25">
        <v>1.1416E-4</v>
      </c>
      <c r="E7771" s="25">
        <v>1.0855E-4</v>
      </c>
      <c r="F7771" s="25">
        <v>1.0931E-4</v>
      </c>
      <c r="G7771" s="25">
        <v>1.6389E-4</v>
      </c>
      <c r="H7771" s="25">
        <v>1.9033E-4</v>
      </c>
      <c r="I7771" s="9">
        <v>1.1985E-4</v>
      </c>
      <c r="J7771" s="9">
        <v>1.2197E-4</v>
      </c>
      <c r="K7771" s="9">
        <v>1.6742999999999999E-4</v>
      </c>
      <c r="L7771" s="9">
        <v>1.772E-4</v>
      </c>
      <c r="M7771" s="9">
        <v>1.6953000000000001E-4</v>
      </c>
      <c r="N7771" s="9">
        <v>1.7065E-4</v>
      </c>
      <c r="O7771" s="9">
        <v>1.8525E-4</v>
      </c>
      <c r="P7771" s="9">
        <v>1.6804999999999999E-4</v>
      </c>
      <c r="Q7771" s="9">
        <v>1.5328999999999999E-4</v>
      </c>
      <c r="R7771" s="10">
        <v>1.625383986591843E-4</v>
      </c>
      <c r="S7771" s="10">
        <v>1.2772242525191092E-4</v>
      </c>
      <c r="T7771" s="10">
        <v>1.851613490175103E-4</v>
      </c>
      <c r="U7771" s="10">
        <v>1.0579E-4</v>
      </c>
      <c r="V7771" s="25"/>
      <c r="W7771" s="25"/>
      <c r="X7771" s="25"/>
      <c r="Y7771" s="25"/>
      <c r="Z7771" s="25"/>
      <c r="AA7771" s="25"/>
    </row>
    <row r="7772" spans="1:27" x14ac:dyDescent="0.35">
      <c r="A7772" s="5">
        <v>7768</v>
      </c>
      <c r="B7772" s="5">
        <v>324</v>
      </c>
      <c r="C7772" s="5">
        <v>11</v>
      </c>
      <c r="D7772" s="25">
        <v>1.1415000000000001E-4</v>
      </c>
      <c r="E7772" s="25">
        <v>1.1157E-4</v>
      </c>
      <c r="F7772" s="25">
        <v>9.7709999999999998E-5</v>
      </c>
      <c r="G7772" s="25">
        <v>1.6468E-4</v>
      </c>
      <c r="H7772" s="25">
        <v>1.9493000000000001E-4</v>
      </c>
      <c r="I7772" s="9">
        <v>1.2056E-4</v>
      </c>
      <c r="J7772" s="9">
        <v>1.2163E-4</v>
      </c>
      <c r="K7772" s="9">
        <v>1.7589999999999999E-4</v>
      </c>
      <c r="L7772" s="9">
        <v>1.8317999999999999E-4</v>
      </c>
      <c r="M7772" s="9">
        <v>1.6876E-4</v>
      </c>
      <c r="N7772" s="9">
        <v>1.6689E-4</v>
      </c>
      <c r="O7772" s="9">
        <v>1.9934E-4</v>
      </c>
      <c r="P7772" s="9">
        <v>1.5331000000000001E-4</v>
      </c>
      <c r="Q7772" s="9">
        <v>1.1038E-4</v>
      </c>
      <c r="R7772" s="10">
        <v>1.6429604126864229E-4</v>
      </c>
      <c r="S7772" s="10">
        <v>1.2940400203760108E-4</v>
      </c>
      <c r="T7772" s="10">
        <v>8.4045469362511774E-5</v>
      </c>
      <c r="U7772" s="10">
        <v>1.0579E-4</v>
      </c>
      <c r="V7772" s="25"/>
      <c r="W7772" s="25"/>
      <c r="X7772" s="25"/>
      <c r="Y7772" s="25"/>
      <c r="Z7772" s="25"/>
      <c r="AA7772" s="25"/>
    </row>
    <row r="7773" spans="1:27" x14ac:dyDescent="0.35">
      <c r="A7773" s="5">
        <v>7769</v>
      </c>
      <c r="B7773" s="5">
        <v>324</v>
      </c>
      <c r="C7773" s="5">
        <v>11</v>
      </c>
      <c r="D7773" s="25">
        <v>1.1416E-4</v>
      </c>
      <c r="E7773" s="25">
        <v>1.0741E-4</v>
      </c>
      <c r="F7773" s="25">
        <v>1.1399E-4</v>
      </c>
      <c r="G7773" s="25">
        <v>1.6373000000000001E-4</v>
      </c>
      <c r="H7773" s="25">
        <v>1.9881E-4</v>
      </c>
      <c r="I7773" s="9">
        <v>1.2234E-4</v>
      </c>
      <c r="J7773" s="9">
        <v>1.2587000000000001E-4</v>
      </c>
      <c r="K7773" s="9">
        <v>1.7166999999999999E-4</v>
      </c>
      <c r="L7773" s="9">
        <v>1.9557E-4</v>
      </c>
      <c r="M7773" s="9">
        <v>1.6310000000000001E-4</v>
      </c>
      <c r="N7773" s="9">
        <v>1.5323999999999999E-4</v>
      </c>
      <c r="O7773" s="9">
        <v>2.1405E-4</v>
      </c>
      <c r="P7773" s="9">
        <v>1.5864000000000001E-4</v>
      </c>
      <c r="Q7773" s="9">
        <v>1.0671E-4</v>
      </c>
      <c r="R7773" s="10">
        <v>1.5933040338928363E-4</v>
      </c>
      <c r="S7773" s="10">
        <v>1.303712382696343E-4</v>
      </c>
      <c r="T7773" s="10">
        <v>0</v>
      </c>
      <c r="U7773" s="10">
        <v>1.0579E-4</v>
      </c>
      <c r="V7773" s="25"/>
      <c r="W7773" s="25"/>
      <c r="X7773" s="25"/>
      <c r="Y7773" s="25"/>
      <c r="Z7773" s="25"/>
      <c r="AA7773" s="25"/>
    </row>
    <row r="7774" spans="1:27" x14ac:dyDescent="0.35">
      <c r="A7774" s="5">
        <v>7770</v>
      </c>
      <c r="B7774" s="5">
        <v>324</v>
      </c>
      <c r="C7774" s="5">
        <v>11</v>
      </c>
      <c r="D7774" s="25">
        <v>1.1415000000000001E-4</v>
      </c>
      <c r="E7774" s="25">
        <v>1.1325E-4</v>
      </c>
      <c r="F7774" s="25">
        <v>1.0537E-4</v>
      </c>
      <c r="G7774" s="25">
        <v>1.6421E-4</v>
      </c>
      <c r="H7774" s="25">
        <v>1.9869000000000001E-4</v>
      </c>
      <c r="I7774" s="9">
        <v>1.3065E-4</v>
      </c>
      <c r="J7774" s="9">
        <v>1.3472000000000001E-4</v>
      </c>
      <c r="K7774" s="9">
        <v>1.6955E-4</v>
      </c>
      <c r="L7774" s="9">
        <v>2.0973000000000001E-4</v>
      </c>
      <c r="M7774" s="9">
        <v>1.5993E-4</v>
      </c>
      <c r="N7774" s="9">
        <v>1.3966E-4</v>
      </c>
      <c r="O7774" s="9">
        <v>2.0646E-4</v>
      </c>
      <c r="P7774" s="9">
        <v>1.6050999999999999E-4</v>
      </c>
      <c r="Q7774" s="9">
        <v>1.1776E-4</v>
      </c>
      <c r="R7774" s="10">
        <v>1.7255021720200488E-4</v>
      </c>
      <c r="S7774" s="10">
        <v>1.3230763367515658E-4</v>
      </c>
      <c r="T7774" s="10">
        <v>0</v>
      </c>
      <c r="U7774" s="10">
        <v>1.0579E-4</v>
      </c>
      <c r="V7774" s="25"/>
      <c r="W7774" s="25"/>
      <c r="X7774" s="25"/>
      <c r="Y7774" s="25"/>
      <c r="Z7774" s="25"/>
      <c r="AA7774" s="25"/>
    </row>
    <row r="7775" spans="1:27" x14ac:dyDescent="0.35">
      <c r="A7775" s="5">
        <v>7771</v>
      </c>
      <c r="B7775" s="5">
        <v>324</v>
      </c>
      <c r="C7775" s="5">
        <v>11</v>
      </c>
      <c r="D7775" s="25">
        <v>1.1416E-4</v>
      </c>
      <c r="E7775" s="25">
        <v>1.0679999999999999E-4</v>
      </c>
      <c r="F7775" s="25">
        <v>9.6180000000000004E-5</v>
      </c>
      <c r="G7775" s="25">
        <v>1.15E-4</v>
      </c>
      <c r="H7775" s="25">
        <v>1.3231000000000001E-4</v>
      </c>
      <c r="I7775" s="9">
        <v>1.3161E-4</v>
      </c>
      <c r="J7775" s="9">
        <v>1.3148000000000001E-4</v>
      </c>
      <c r="K7775" s="9">
        <v>1.8650000000000001E-4</v>
      </c>
      <c r="L7775" s="9">
        <v>2.0682E-4</v>
      </c>
      <c r="M7775" s="9">
        <v>1.5946999999999999E-4</v>
      </c>
      <c r="N7775" s="9">
        <v>1.3043000000000001E-4</v>
      </c>
      <c r="O7775" s="9">
        <v>1.6467000000000001E-4</v>
      </c>
      <c r="P7775" s="9">
        <v>1.3459E-4</v>
      </c>
      <c r="Q7775" s="9">
        <v>1.0682E-4</v>
      </c>
      <c r="R7775" s="10">
        <v>1.7213480262408661E-4</v>
      </c>
      <c r="S7775" s="10">
        <v>1.3154673465400692E-4</v>
      </c>
      <c r="T7775" s="10">
        <v>0</v>
      </c>
      <c r="U7775" s="10">
        <v>1.0579E-4</v>
      </c>
      <c r="V7775" s="25"/>
      <c r="W7775" s="25"/>
      <c r="X7775" s="25"/>
      <c r="Y7775" s="25"/>
      <c r="Z7775" s="25"/>
      <c r="AA7775" s="25"/>
    </row>
    <row r="7776" spans="1:27" x14ac:dyDescent="0.35">
      <c r="A7776" s="5">
        <v>7772</v>
      </c>
      <c r="B7776" s="5">
        <v>324</v>
      </c>
      <c r="C7776" s="5">
        <v>11</v>
      </c>
      <c r="D7776" s="25">
        <v>1.1415000000000001E-4</v>
      </c>
      <c r="E7776" s="25">
        <v>1.0977E-4</v>
      </c>
      <c r="F7776" s="25">
        <v>1.0585E-4</v>
      </c>
      <c r="G7776" s="25">
        <v>1.0471000000000001E-4</v>
      </c>
      <c r="H7776" s="25">
        <v>1.2977999999999999E-4</v>
      </c>
      <c r="I7776" s="9">
        <v>1.2604000000000001E-4</v>
      </c>
      <c r="J7776" s="9">
        <v>1.2648999999999999E-4</v>
      </c>
      <c r="K7776" s="9">
        <v>1.9709999999999999E-4</v>
      </c>
      <c r="L7776" s="9">
        <v>1.741E-4</v>
      </c>
      <c r="M7776" s="9">
        <v>1.5056999999999999E-4</v>
      </c>
      <c r="N7776" s="9">
        <v>1.211E-4</v>
      </c>
      <c r="O7776" s="9">
        <v>1.2831999999999999E-4</v>
      </c>
      <c r="P7776" s="9">
        <v>1.1394E-4</v>
      </c>
      <c r="Q7776" s="9">
        <v>1.0107000000000001E-4</v>
      </c>
      <c r="R7776" s="10">
        <v>1.7513233662086092E-4</v>
      </c>
      <c r="S7776" s="10">
        <v>1.2596023366295156E-4</v>
      </c>
      <c r="T7776" s="10">
        <v>0</v>
      </c>
      <c r="U7776" s="10">
        <v>1.0579E-4</v>
      </c>
      <c r="V7776" s="25"/>
      <c r="W7776" s="25"/>
      <c r="X7776" s="25"/>
      <c r="Y7776" s="25"/>
      <c r="Z7776" s="25"/>
      <c r="AA7776" s="25"/>
    </row>
    <row r="7777" spans="1:27" x14ac:dyDescent="0.35">
      <c r="A7777" s="5">
        <v>7773</v>
      </c>
      <c r="B7777" s="5">
        <v>324</v>
      </c>
      <c r="C7777" s="5">
        <v>11</v>
      </c>
      <c r="D7777" s="25">
        <v>1.1416E-4</v>
      </c>
      <c r="E7777" s="25">
        <v>1.0733E-4</v>
      </c>
      <c r="F7777" s="25">
        <v>1.0744E-4</v>
      </c>
      <c r="G7777" s="25">
        <v>6.0970000000000001E-5</v>
      </c>
      <c r="H7777" s="25">
        <v>6.2739999999999999E-5</v>
      </c>
      <c r="I7777" s="9">
        <v>1.2058E-4</v>
      </c>
      <c r="J7777" s="9">
        <v>1.2102E-4</v>
      </c>
      <c r="K7777" s="9">
        <v>2.2677E-4</v>
      </c>
      <c r="L7777" s="9">
        <v>1.3939000000000001E-4</v>
      </c>
      <c r="M7777" s="9">
        <v>1.349E-4</v>
      </c>
      <c r="N7777" s="9">
        <v>1.1311000000000001E-4</v>
      </c>
      <c r="O7777" s="9">
        <v>8.4809999999999996E-5</v>
      </c>
      <c r="P7777" s="9">
        <v>8.6210000000000003E-5</v>
      </c>
      <c r="Q7777" s="9">
        <v>8.8200000000000003E-5</v>
      </c>
      <c r="R7777" s="10">
        <v>1.800836046967823E-4</v>
      </c>
      <c r="S7777" s="10">
        <v>1.1609971461640235E-4</v>
      </c>
      <c r="T7777" s="10">
        <v>0</v>
      </c>
      <c r="U7777" s="10">
        <v>1.0579E-4</v>
      </c>
      <c r="V7777" s="25"/>
      <c r="W7777" s="25"/>
      <c r="X7777" s="25"/>
      <c r="Y7777" s="25"/>
      <c r="Z7777" s="25"/>
      <c r="AA7777" s="25"/>
    </row>
    <row r="7778" spans="1:27" x14ac:dyDescent="0.35">
      <c r="A7778" s="5">
        <v>7774</v>
      </c>
      <c r="B7778" s="5">
        <v>324</v>
      </c>
      <c r="C7778" s="5">
        <v>11</v>
      </c>
      <c r="D7778" s="25">
        <v>1.1415000000000001E-4</v>
      </c>
      <c r="E7778" s="25">
        <v>1.1038E-4</v>
      </c>
      <c r="F7778" s="25">
        <v>9.9829999999999998E-5</v>
      </c>
      <c r="G7778" s="25">
        <v>5.6490000000000003E-5</v>
      </c>
      <c r="H7778" s="25">
        <v>7.3360000000000002E-5</v>
      </c>
      <c r="I7778" s="9">
        <v>1.1567E-4</v>
      </c>
      <c r="J7778" s="9">
        <v>1.1527999999999999E-4</v>
      </c>
      <c r="K7778" s="9">
        <v>2.4159999999999999E-4</v>
      </c>
      <c r="L7778" s="9">
        <v>9.7759999999999999E-5</v>
      </c>
      <c r="M7778" s="9">
        <v>1.1334E-4</v>
      </c>
      <c r="N7778" s="9">
        <v>1.0541E-4</v>
      </c>
      <c r="O7778" s="9">
        <v>8.7449999999999998E-5</v>
      </c>
      <c r="P7778" s="9">
        <v>8.7440000000000003E-5</v>
      </c>
      <c r="Q7778" s="9">
        <v>8.8079999999999997E-5</v>
      </c>
      <c r="R7778" s="10">
        <v>1.7730510611847522E-4</v>
      </c>
      <c r="S7778" s="10">
        <v>1.0117277518138698E-4</v>
      </c>
      <c r="T7778" s="10">
        <v>0</v>
      </c>
      <c r="U7778" s="10">
        <v>1.0579E-4</v>
      </c>
      <c r="V7778" s="25"/>
      <c r="W7778" s="25"/>
      <c r="X7778" s="25"/>
      <c r="Y7778" s="25"/>
      <c r="Z7778" s="25"/>
      <c r="AA7778" s="25"/>
    </row>
    <row r="7779" spans="1:27" x14ac:dyDescent="0.35">
      <c r="A7779" s="5">
        <v>7775</v>
      </c>
      <c r="B7779" s="5">
        <v>324</v>
      </c>
      <c r="C7779" s="5">
        <v>11</v>
      </c>
      <c r="D7779" s="25">
        <v>1.1416E-4</v>
      </c>
      <c r="E7779" s="25">
        <v>1.0831E-4</v>
      </c>
      <c r="F7779" s="25">
        <v>1.1263E-4</v>
      </c>
      <c r="G7779" s="25">
        <v>6.2600000000000004E-5</v>
      </c>
      <c r="H7779" s="25">
        <v>7.2200000000000007E-5</v>
      </c>
      <c r="I7779" s="9">
        <v>1.1546E-4</v>
      </c>
      <c r="J7779" s="9">
        <v>1.0978E-4</v>
      </c>
      <c r="K7779" s="9">
        <v>2.2889000000000001E-4</v>
      </c>
      <c r="L7779" s="9">
        <v>9.064E-5</v>
      </c>
      <c r="M7779" s="9">
        <v>9.8740000000000007E-5</v>
      </c>
      <c r="N7779" s="9">
        <v>9.9569999999999997E-5</v>
      </c>
      <c r="O7779" s="9">
        <v>7.7760000000000001E-5</v>
      </c>
      <c r="P7779" s="9">
        <v>7.1929999999999997E-5</v>
      </c>
      <c r="Q7779" s="9">
        <v>6.6699999999999995E-5</v>
      </c>
      <c r="R7779" s="10">
        <v>1.7656144338055598E-4</v>
      </c>
      <c r="S7779" s="10">
        <v>8.1613020557563091E-5</v>
      </c>
      <c r="T7779" s="10">
        <v>0</v>
      </c>
      <c r="U7779" s="10">
        <v>1.0579E-4</v>
      </c>
      <c r="V7779" s="25"/>
      <c r="W7779" s="25"/>
      <c r="X7779" s="25"/>
      <c r="Y7779" s="25"/>
      <c r="Z7779" s="25"/>
      <c r="AA7779" s="25"/>
    </row>
    <row r="7780" spans="1:27" x14ac:dyDescent="0.35">
      <c r="A7780" s="5">
        <v>7776</v>
      </c>
      <c r="B7780" s="5">
        <v>324</v>
      </c>
      <c r="C7780" s="5">
        <v>11</v>
      </c>
      <c r="D7780" s="25">
        <v>1.1415000000000001E-4</v>
      </c>
      <c r="E7780" s="25">
        <v>1.038E-4</v>
      </c>
      <c r="F7780" s="25">
        <v>1.0883999999999999E-4</v>
      </c>
      <c r="G7780" s="25">
        <v>6.3360000000000003E-5</v>
      </c>
      <c r="H7780" s="25">
        <v>6.3869999999999997E-5</v>
      </c>
      <c r="I7780" s="9">
        <v>1.1607000000000001E-4</v>
      </c>
      <c r="J7780" s="9">
        <v>1.0386E-4</v>
      </c>
      <c r="K7780" s="9">
        <v>2.2887999999999999E-4</v>
      </c>
      <c r="L7780" s="9">
        <v>8.0580000000000004E-5</v>
      </c>
      <c r="M7780" s="9">
        <v>8.5890000000000006E-5</v>
      </c>
      <c r="N7780" s="9">
        <v>9.0290000000000005E-5</v>
      </c>
      <c r="O7780" s="9">
        <v>6.3050000000000001E-5</v>
      </c>
      <c r="P7780" s="9">
        <v>6.0909999999999998E-5</v>
      </c>
      <c r="Q7780" s="9">
        <v>5.9089999999999998E-5</v>
      </c>
      <c r="R7780" s="10">
        <v>1.8164647593933332E-4</v>
      </c>
      <c r="S7780" s="10">
        <v>7.8675394922580628E-5</v>
      </c>
      <c r="T7780" s="10">
        <v>0</v>
      </c>
      <c r="U7780" s="10">
        <v>1.0579E-4</v>
      </c>
      <c r="V7780" s="25"/>
      <c r="W7780" s="25"/>
      <c r="X7780" s="25"/>
      <c r="Y7780" s="25"/>
      <c r="Z7780" s="25"/>
      <c r="AA7780" s="25"/>
    </row>
    <row r="7781" spans="1:27" x14ac:dyDescent="0.35">
      <c r="A7781" s="5">
        <v>7777</v>
      </c>
      <c r="B7781" s="5">
        <v>325</v>
      </c>
      <c r="C7781" s="5">
        <v>11</v>
      </c>
      <c r="D7781" s="25">
        <v>1.1416E-4</v>
      </c>
      <c r="E7781" s="25">
        <v>1.1388E-4</v>
      </c>
      <c r="F7781" s="25">
        <v>1.4037000000000001E-4</v>
      </c>
      <c r="G7781" s="25">
        <v>5.236E-5</v>
      </c>
      <c r="H7781" s="25">
        <v>6.7899999999999997E-5</v>
      </c>
      <c r="I7781" s="9">
        <v>1.0962E-4</v>
      </c>
      <c r="J7781" s="9">
        <v>9.8510000000000004E-5</v>
      </c>
      <c r="K7781" s="9">
        <v>2.2465000000000001E-4</v>
      </c>
      <c r="L7781" s="9">
        <v>6.6909999999999995E-5</v>
      </c>
      <c r="M7781" s="9">
        <v>7.394E-5</v>
      </c>
      <c r="N7781" s="9">
        <v>8.0989999999999995E-5</v>
      </c>
      <c r="O7781" s="9">
        <v>5.4249999999999997E-5</v>
      </c>
      <c r="P7781" s="9">
        <v>5.3669999999999999E-5</v>
      </c>
      <c r="Q7781" s="9">
        <v>5.325E-5</v>
      </c>
      <c r="R7781" s="10">
        <v>1.7327982421138535E-4</v>
      </c>
      <c r="S7781" s="10">
        <v>7.8206948726480612E-5</v>
      </c>
      <c r="T7781" s="10">
        <v>0</v>
      </c>
      <c r="U7781" s="10">
        <v>1.083E-4</v>
      </c>
      <c r="V7781" s="25"/>
      <c r="W7781" s="25"/>
      <c r="X7781" s="25"/>
      <c r="Y7781" s="25"/>
      <c r="Z7781" s="25"/>
      <c r="AA7781" s="25"/>
    </row>
    <row r="7782" spans="1:27" x14ac:dyDescent="0.35">
      <c r="A7782" s="5">
        <v>7778</v>
      </c>
      <c r="B7782" s="5">
        <v>325</v>
      </c>
      <c r="C7782" s="5">
        <v>11</v>
      </c>
      <c r="D7782" s="25">
        <v>1.1415000000000001E-4</v>
      </c>
      <c r="E7782" s="25">
        <v>1.2480999999999999E-4</v>
      </c>
      <c r="F7782" s="25">
        <v>1.3857999999999999E-4</v>
      </c>
      <c r="G7782" s="25">
        <v>5.3709999999999999E-5</v>
      </c>
      <c r="H7782" s="25">
        <v>7.4789999999999994E-5</v>
      </c>
      <c r="I7782" s="9">
        <v>1.0346E-4</v>
      </c>
      <c r="J7782" s="9">
        <v>9.4259999999999995E-5</v>
      </c>
      <c r="K7782" s="9">
        <v>2.5643999999999998E-4</v>
      </c>
      <c r="L7782" s="9">
        <v>5.7410000000000001E-5</v>
      </c>
      <c r="M7782" s="9">
        <v>6.3810000000000001E-5</v>
      </c>
      <c r="N7782" s="9">
        <v>7.1920000000000003E-5</v>
      </c>
      <c r="O7782" s="9">
        <v>1.8770000000000002E-5</v>
      </c>
      <c r="P7782" s="9">
        <v>3.8059999999999998E-5</v>
      </c>
      <c r="Q7782" s="9">
        <v>5.664E-5</v>
      </c>
      <c r="R7782" s="10">
        <v>1.6934543006031708E-4</v>
      </c>
      <c r="S7782" s="10">
        <v>7.8164395807913943E-5</v>
      </c>
      <c r="T7782" s="10">
        <v>0</v>
      </c>
      <c r="U7782" s="10">
        <v>1.083E-4</v>
      </c>
      <c r="V7782" s="25"/>
      <c r="W7782" s="25"/>
      <c r="X7782" s="25"/>
      <c r="Y7782" s="25"/>
      <c r="Z7782" s="25"/>
      <c r="AA7782" s="25"/>
    </row>
    <row r="7783" spans="1:27" x14ac:dyDescent="0.35">
      <c r="A7783" s="5">
        <v>7779</v>
      </c>
      <c r="B7783" s="5">
        <v>325</v>
      </c>
      <c r="C7783" s="5">
        <v>11</v>
      </c>
      <c r="D7783" s="25">
        <v>1.1416E-4</v>
      </c>
      <c r="E7783" s="25">
        <v>1.1647E-4</v>
      </c>
      <c r="F7783" s="25">
        <v>1.3076E-4</v>
      </c>
      <c r="G7783" s="25">
        <v>6.198E-5</v>
      </c>
      <c r="H7783" s="25">
        <v>6.6279999999999996E-5</v>
      </c>
      <c r="I7783" s="9">
        <v>9.9469999999999995E-5</v>
      </c>
      <c r="J7783" s="9">
        <v>9.1279999999999993E-5</v>
      </c>
      <c r="K7783" s="9">
        <v>2.5431E-4</v>
      </c>
      <c r="L7783" s="9">
        <v>2.7489999999999999E-5</v>
      </c>
      <c r="M7783" s="9">
        <v>5.223E-5</v>
      </c>
      <c r="N7783" s="9">
        <v>6.5510000000000001E-5</v>
      </c>
      <c r="O7783" s="9">
        <v>1.3040000000000001E-5</v>
      </c>
      <c r="P7783" s="9">
        <v>3.7580000000000003E-5</v>
      </c>
      <c r="Q7783" s="9">
        <v>6.1249999999999998E-5</v>
      </c>
      <c r="R7783" s="10">
        <v>1.7383231370176174E-4</v>
      </c>
      <c r="S7783" s="10">
        <v>6.8371735921492961E-5</v>
      </c>
      <c r="T7783" s="10">
        <v>0</v>
      </c>
      <c r="U7783" s="10">
        <v>1.083E-4</v>
      </c>
      <c r="V7783" s="25"/>
      <c r="W7783" s="25"/>
      <c r="X7783" s="25"/>
      <c r="Y7783" s="25"/>
      <c r="Z7783" s="25"/>
      <c r="AA7783" s="25"/>
    </row>
    <row r="7784" spans="1:27" x14ac:dyDescent="0.35">
      <c r="A7784" s="5">
        <v>7780</v>
      </c>
      <c r="B7784" s="5">
        <v>325</v>
      </c>
      <c r="C7784" s="5">
        <v>11</v>
      </c>
      <c r="D7784" s="25">
        <v>1.1415000000000001E-4</v>
      </c>
      <c r="E7784" s="25">
        <v>1.1785E-4</v>
      </c>
      <c r="F7784" s="25">
        <v>1.2573E-4</v>
      </c>
      <c r="G7784" s="25">
        <v>5.2040000000000003E-5</v>
      </c>
      <c r="H7784" s="25">
        <v>6.7899999999999997E-5</v>
      </c>
      <c r="I7784" s="9">
        <v>9.6630000000000001E-5</v>
      </c>
      <c r="J7784" s="9">
        <v>8.9770000000000003E-5</v>
      </c>
      <c r="K7784" s="9">
        <v>2.4583999999999999E-4</v>
      </c>
      <c r="L7784" s="9">
        <v>1.696E-5</v>
      </c>
      <c r="M7784" s="9">
        <v>4.4190000000000002E-5</v>
      </c>
      <c r="N7784" s="9">
        <v>6.1890000000000005E-5</v>
      </c>
      <c r="O7784" s="9">
        <v>1.3169999999999999E-5</v>
      </c>
      <c r="P7784" s="9">
        <v>4.7460000000000003E-5</v>
      </c>
      <c r="Q7784" s="9">
        <v>8.072E-5</v>
      </c>
      <c r="R7784" s="10">
        <v>1.7510314744039525E-4</v>
      </c>
      <c r="S7784" s="10">
        <v>6.2596350955463348E-5</v>
      </c>
      <c r="T7784" s="10">
        <v>0</v>
      </c>
      <c r="U7784" s="10">
        <v>1.083E-4</v>
      </c>
      <c r="V7784" s="25"/>
      <c r="W7784" s="25"/>
      <c r="X7784" s="25"/>
      <c r="Y7784" s="25"/>
      <c r="Z7784" s="25"/>
      <c r="AA7784" s="25"/>
    </row>
    <row r="7785" spans="1:27" x14ac:dyDescent="0.35">
      <c r="A7785" s="5">
        <v>7781</v>
      </c>
      <c r="B7785" s="5">
        <v>325</v>
      </c>
      <c r="C7785" s="5">
        <v>11</v>
      </c>
      <c r="D7785" s="25">
        <v>1.1416E-4</v>
      </c>
      <c r="E7785" s="25">
        <v>1.2113E-4</v>
      </c>
      <c r="F7785" s="25">
        <v>1.2522E-4</v>
      </c>
      <c r="G7785" s="25">
        <v>5.626E-5</v>
      </c>
      <c r="H7785" s="25">
        <v>7.0279999999999998E-5</v>
      </c>
      <c r="I7785" s="9">
        <v>9.6409999999999993E-5</v>
      </c>
      <c r="J7785" s="9">
        <v>8.9049999999999996E-5</v>
      </c>
      <c r="K7785" s="9">
        <v>2.2465000000000001E-4</v>
      </c>
      <c r="L7785" s="9">
        <v>1.4250000000000001E-5</v>
      </c>
      <c r="M7785" s="9">
        <v>4.3560000000000003E-5</v>
      </c>
      <c r="N7785" s="9">
        <v>6.4519999999999999E-5</v>
      </c>
      <c r="O7785" s="9">
        <v>1.8640000000000001E-5</v>
      </c>
      <c r="P7785" s="9">
        <v>5.6690000000000001E-5</v>
      </c>
      <c r="Q7785" s="9">
        <v>9.3729999999999999E-5</v>
      </c>
      <c r="R7785" s="10">
        <v>1.7321379283596311E-4</v>
      </c>
      <c r="S7785" s="10">
        <v>6.5828678168637546E-5</v>
      </c>
      <c r="T7785" s="10">
        <v>0</v>
      </c>
      <c r="U7785" s="10">
        <v>1.083E-4</v>
      </c>
      <c r="V7785" s="25"/>
      <c r="W7785" s="25"/>
      <c r="X7785" s="25"/>
      <c r="Y7785" s="25"/>
      <c r="Z7785" s="25"/>
      <c r="AA7785" s="25"/>
    </row>
    <row r="7786" spans="1:27" x14ac:dyDescent="0.35">
      <c r="A7786" s="5">
        <v>7782</v>
      </c>
      <c r="B7786" s="5">
        <v>325</v>
      </c>
      <c r="C7786" s="5">
        <v>11</v>
      </c>
      <c r="D7786" s="25">
        <v>1.1415000000000001E-4</v>
      </c>
      <c r="E7786" s="25">
        <v>1.2386E-4</v>
      </c>
      <c r="F7786" s="25">
        <v>1.4108999999999999E-4</v>
      </c>
      <c r="G7786" s="25">
        <v>1.1459999999999999E-4</v>
      </c>
      <c r="H7786" s="25">
        <v>1.3432E-4</v>
      </c>
      <c r="I7786" s="9">
        <v>9.5979999999999999E-5</v>
      </c>
      <c r="J7786" s="9">
        <v>9.0000000000000006E-5</v>
      </c>
      <c r="K7786" s="9">
        <v>1.9921000000000001E-4</v>
      </c>
      <c r="L7786" s="9">
        <v>1.7540000000000001E-5</v>
      </c>
      <c r="M7786" s="9">
        <v>4.8470000000000002E-5</v>
      </c>
      <c r="N7786" s="9">
        <v>7.1089999999999999E-5</v>
      </c>
      <c r="O7786" s="9">
        <v>4.6300000000000001E-5</v>
      </c>
      <c r="P7786" s="9">
        <v>7.6970000000000003E-5</v>
      </c>
      <c r="Q7786" s="9">
        <v>1.0718E-4</v>
      </c>
      <c r="R7786" s="10">
        <v>1.6794984691595555E-4</v>
      </c>
      <c r="S7786" s="10">
        <v>7.9593502234316833E-5</v>
      </c>
      <c r="T7786" s="10">
        <v>0</v>
      </c>
      <c r="U7786" s="10">
        <v>1.083E-4</v>
      </c>
      <c r="V7786" s="25"/>
      <c r="W7786" s="25"/>
      <c r="X7786" s="25"/>
      <c r="Y7786" s="25"/>
      <c r="Z7786" s="25"/>
      <c r="AA7786" s="25"/>
    </row>
    <row r="7787" spans="1:27" x14ac:dyDescent="0.35">
      <c r="A7787" s="5">
        <v>7783</v>
      </c>
      <c r="B7787" s="5">
        <v>325</v>
      </c>
      <c r="C7787" s="5">
        <v>11</v>
      </c>
      <c r="D7787" s="25">
        <v>1.1416E-4</v>
      </c>
      <c r="E7787" s="25">
        <v>1.2483000000000001E-4</v>
      </c>
      <c r="F7787" s="25">
        <v>1.1901E-4</v>
      </c>
      <c r="G7787" s="25">
        <v>1.0745E-4</v>
      </c>
      <c r="H7787" s="25">
        <v>1.3254E-4</v>
      </c>
      <c r="I7787" s="9">
        <v>9.8960000000000001E-5</v>
      </c>
      <c r="J7787" s="9">
        <v>9.2880000000000005E-5</v>
      </c>
      <c r="K7787" s="9">
        <v>1.5894999999999999E-4</v>
      </c>
      <c r="L7787" s="9">
        <v>3.9830000000000003E-5</v>
      </c>
      <c r="M7787" s="9">
        <v>6.012E-5</v>
      </c>
      <c r="N7787" s="9">
        <v>8.0829999999999997E-5</v>
      </c>
      <c r="O7787" s="9">
        <v>1.2472000000000001E-4</v>
      </c>
      <c r="P7787" s="9">
        <v>1.1841999999999999E-4</v>
      </c>
      <c r="Q7787" s="9">
        <v>1.1344E-4</v>
      </c>
      <c r="R7787" s="10">
        <v>1.5563954430823488E-4</v>
      </c>
      <c r="S7787" s="10">
        <v>9.7070238097183575E-5</v>
      </c>
      <c r="T7787" s="10">
        <v>0</v>
      </c>
      <c r="U7787" s="10">
        <v>1.083E-4</v>
      </c>
      <c r="V7787" s="25"/>
      <c r="W7787" s="25"/>
      <c r="X7787" s="25"/>
      <c r="Y7787" s="25"/>
      <c r="Z7787" s="25"/>
      <c r="AA7787" s="25"/>
    </row>
    <row r="7788" spans="1:27" x14ac:dyDescent="0.35">
      <c r="A7788" s="5">
        <v>7784</v>
      </c>
      <c r="B7788" s="5">
        <v>325</v>
      </c>
      <c r="C7788" s="5">
        <v>11</v>
      </c>
      <c r="D7788" s="25">
        <v>1.1415000000000001E-4</v>
      </c>
      <c r="E7788" s="25">
        <v>1.1929E-4</v>
      </c>
      <c r="F7788" s="25">
        <v>1.2465999999999999E-4</v>
      </c>
      <c r="G7788" s="25">
        <v>1.6595E-4</v>
      </c>
      <c r="H7788" s="25">
        <v>1.9352E-4</v>
      </c>
      <c r="I7788" s="9">
        <v>1.0069999999999999E-4</v>
      </c>
      <c r="J7788" s="9">
        <v>9.7930000000000006E-5</v>
      </c>
      <c r="K7788" s="9">
        <v>1.4622999999999999E-4</v>
      </c>
      <c r="L7788" s="9">
        <v>1.0542E-4</v>
      </c>
      <c r="M7788" s="9">
        <v>8.4110000000000006E-5</v>
      </c>
      <c r="N7788" s="9">
        <v>9.1130000000000003E-5</v>
      </c>
      <c r="O7788" s="9">
        <v>2.1855999999999999E-4</v>
      </c>
      <c r="P7788" s="9">
        <v>1.7532999999999999E-4</v>
      </c>
      <c r="Q7788" s="9">
        <v>1.3543999999999999E-4</v>
      </c>
      <c r="R7788" s="10">
        <v>1.5412141976635116E-4</v>
      </c>
      <c r="S7788" s="10">
        <v>1.1774037574959655E-4</v>
      </c>
      <c r="T7788" s="10">
        <v>0</v>
      </c>
      <c r="U7788" s="10">
        <v>1.083E-4</v>
      </c>
      <c r="V7788" s="25"/>
      <c r="W7788" s="25"/>
      <c r="X7788" s="25"/>
      <c r="Y7788" s="25"/>
      <c r="Z7788" s="25"/>
      <c r="AA7788" s="25"/>
    </row>
    <row r="7789" spans="1:27" x14ac:dyDescent="0.35">
      <c r="A7789" s="5">
        <v>7785</v>
      </c>
      <c r="B7789" s="5">
        <v>325</v>
      </c>
      <c r="C7789" s="5">
        <v>11</v>
      </c>
      <c r="D7789" s="25">
        <v>1.1416E-4</v>
      </c>
      <c r="E7789" s="25">
        <v>1.1613E-4</v>
      </c>
      <c r="F7789" s="25">
        <v>1.3543E-4</v>
      </c>
      <c r="G7789" s="25">
        <v>1.6632999999999999E-4</v>
      </c>
      <c r="H7789" s="25">
        <v>1.9467E-4</v>
      </c>
      <c r="I7789" s="9">
        <v>1.0436E-4</v>
      </c>
      <c r="J7789" s="9">
        <v>1.0408000000000001E-4</v>
      </c>
      <c r="K7789" s="9">
        <v>1.314E-4</v>
      </c>
      <c r="L7789" s="9">
        <v>1.9188000000000001E-4</v>
      </c>
      <c r="M7789" s="9">
        <v>1.2315000000000001E-4</v>
      </c>
      <c r="N7789" s="9">
        <v>1.0457E-4</v>
      </c>
      <c r="O7789" s="9">
        <v>2.1141000000000001E-4</v>
      </c>
      <c r="P7789" s="9">
        <v>1.9236000000000001E-4</v>
      </c>
      <c r="Q7789" s="9">
        <v>1.7616999999999999E-4</v>
      </c>
      <c r="R7789" s="10">
        <v>1.500921791943837E-4</v>
      </c>
      <c r="S7789" s="10">
        <v>1.4276162679134369E-4</v>
      </c>
      <c r="T7789" s="10">
        <v>1.0858206308312394E-4</v>
      </c>
      <c r="U7789" s="10">
        <v>1.083E-4</v>
      </c>
      <c r="V7789" s="25"/>
      <c r="W7789" s="25"/>
      <c r="X7789" s="25"/>
      <c r="Y7789" s="25"/>
      <c r="Z7789" s="25"/>
      <c r="AA7789" s="25"/>
    </row>
    <row r="7790" spans="1:27" x14ac:dyDescent="0.35">
      <c r="A7790" s="5">
        <v>7786</v>
      </c>
      <c r="B7790" s="5">
        <v>325</v>
      </c>
      <c r="C7790" s="5">
        <v>11</v>
      </c>
      <c r="D7790" s="25">
        <v>1.1415000000000001E-4</v>
      </c>
      <c r="E7790" s="25">
        <v>1.1794E-4</v>
      </c>
      <c r="F7790" s="25">
        <v>1.2189E-4</v>
      </c>
      <c r="G7790" s="25">
        <v>1.5767999999999999E-4</v>
      </c>
      <c r="H7790" s="25">
        <v>1.9615999999999999E-4</v>
      </c>
      <c r="I7790" s="9">
        <v>1.1115E-4</v>
      </c>
      <c r="J7790" s="9">
        <v>1.1094000000000001E-4</v>
      </c>
      <c r="K7790" s="9">
        <v>1.0385E-4</v>
      </c>
      <c r="L7790" s="9">
        <v>2.0484999999999999E-4</v>
      </c>
      <c r="M7790" s="9">
        <v>1.5794E-4</v>
      </c>
      <c r="N7790" s="9">
        <v>1.2439999999999999E-4</v>
      </c>
      <c r="O7790" s="9">
        <v>1.6866E-4</v>
      </c>
      <c r="P7790" s="9">
        <v>1.7490999999999999E-4</v>
      </c>
      <c r="Q7790" s="9">
        <v>1.8295E-4</v>
      </c>
      <c r="R7790" s="10">
        <v>1.400251957823803E-4</v>
      </c>
      <c r="S7790" s="10">
        <v>1.6361958188058418E-4</v>
      </c>
      <c r="T7790" s="10">
        <v>9.4727202244341204E-5</v>
      </c>
      <c r="U7790" s="10">
        <v>1.083E-4</v>
      </c>
      <c r="V7790" s="25"/>
      <c r="W7790" s="25"/>
      <c r="X7790" s="25"/>
      <c r="Y7790" s="25"/>
      <c r="Z7790" s="25"/>
      <c r="AA7790" s="25"/>
    </row>
    <row r="7791" spans="1:27" x14ac:dyDescent="0.35">
      <c r="A7791" s="5">
        <v>7787</v>
      </c>
      <c r="B7791" s="5">
        <v>325</v>
      </c>
      <c r="C7791" s="5">
        <v>11</v>
      </c>
      <c r="D7791" s="25">
        <v>1.1416E-4</v>
      </c>
      <c r="E7791" s="25">
        <v>1.2273000000000001E-4</v>
      </c>
      <c r="F7791" s="25">
        <v>1.3206000000000001E-4</v>
      </c>
      <c r="G7791" s="25">
        <v>1.5898E-4</v>
      </c>
      <c r="H7791" s="25">
        <v>1.9312999999999999E-4</v>
      </c>
      <c r="I7791" s="9">
        <v>1.1579E-4</v>
      </c>
      <c r="J7791" s="9">
        <v>1.1559E-4</v>
      </c>
      <c r="K7791" s="9">
        <v>9.1130000000000003E-5</v>
      </c>
      <c r="L7791" s="9">
        <v>1.7668999999999999E-4</v>
      </c>
      <c r="M7791" s="9">
        <v>1.7211E-4</v>
      </c>
      <c r="N7791" s="9">
        <v>1.4265E-4</v>
      </c>
      <c r="O7791" s="9">
        <v>1.6724E-4</v>
      </c>
      <c r="P7791" s="9">
        <v>1.7207999999999999E-4</v>
      </c>
      <c r="Q7791" s="9">
        <v>1.7872999999999999E-4</v>
      </c>
      <c r="R7791" s="10">
        <v>1.2361168693378357E-4</v>
      </c>
      <c r="S7791" s="10">
        <v>1.772406361543968E-4</v>
      </c>
      <c r="T7791" s="10">
        <v>3.9579256468414839E-5</v>
      </c>
      <c r="U7791" s="10">
        <v>1.083E-4</v>
      </c>
      <c r="V7791" s="25"/>
      <c r="W7791" s="25"/>
      <c r="X7791" s="25"/>
      <c r="Y7791" s="25"/>
      <c r="Z7791" s="25"/>
      <c r="AA7791" s="25"/>
    </row>
    <row r="7792" spans="1:27" x14ac:dyDescent="0.35">
      <c r="A7792" s="5">
        <v>7788</v>
      </c>
      <c r="B7792" s="5">
        <v>325</v>
      </c>
      <c r="C7792" s="5">
        <v>11</v>
      </c>
      <c r="D7792" s="25">
        <v>1.1415000000000001E-4</v>
      </c>
      <c r="E7792" s="25">
        <v>1.2402999999999999E-4</v>
      </c>
      <c r="F7792" s="25">
        <v>1.394E-4</v>
      </c>
      <c r="G7792" s="25">
        <v>1.6181E-4</v>
      </c>
      <c r="H7792" s="25">
        <v>1.9372000000000001E-4</v>
      </c>
      <c r="I7792" s="9">
        <v>1.1936E-4</v>
      </c>
      <c r="J7792" s="9">
        <v>1.1913000000000001E-4</v>
      </c>
      <c r="K7792" s="9">
        <v>9.1130000000000003E-5</v>
      </c>
      <c r="L7792" s="9">
        <v>1.7069000000000001E-4</v>
      </c>
      <c r="M7792" s="9">
        <v>1.7456000000000001E-4</v>
      </c>
      <c r="N7792" s="9">
        <v>1.5653999999999999E-4</v>
      </c>
      <c r="O7792" s="9">
        <v>1.7194000000000001E-4</v>
      </c>
      <c r="P7792" s="9">
        <v>1.7269E-4</v>
      </c>
      <c r="Q7792" s="9">
        <v>1.7537999999999999E-4</v>
      </c>
      <c r="R7792" s="10">
        <v>8.7014878701304011E-5</v>
      </c>
      <c r="S7792" s="10">
        <v>1.8729879123764614E-4</v>
      </c>
      <c r="T7792" s="10">
        <v>5.4214672847410681E-5</v>
      </c>
      <c r="U7792" s="10">
        <v>1.083E-4</v>
      </c>
      <c r="V7792" s="25"/>
      <c r="W7792" s="25"/>
      <c r="X7792" s="25"/>
      <c r="Y7792" s="25"/>
      <c r="Z7792" s="25"/>
      <c r="AA7792" s="25"/>
    </row>
    <row r="7793" spans="1:27" x14ac:dyDescent="0.35">
      <c r="A7793" s="5">
        <v>7789</v>
      </c>
      <c r="B7793" s="5">
        <v>325</v>
      </c>
      <c r="C7793" s="5">
        <v>11</v>
      </c>
      <c r="D7793" s="25">
        <v>1.1416E-4</v>
      </c>
      <c r="E7793" s="25">
        <v>1.2420000000000001E-4</v>
      </c>
      <c r="F7793" s="25">
        <v>1.2903E-4</v>
      </c>
      <c r="G7793" s="25">
        <v>1.6440000000000001E-4</v>
      </c>
      <c r="H7793" s="25">
        <v>1.9527999999999999E-4</v>
      </c>
      <c r="I7793" s="9">
        <v>1.2019E-4</v>
      </c>
      <c r="J7793" s="9">
        <v>1.2040999999999999E-4</v>
      </c>
      <c r="K7793" s="9">
        <v>8.2659999999999998E-5</v>
      </c>
      <c r="L7793" s="9">
        <v>1.7186E-4</v>
      </c>
      <c r="M7793" s="9">
        <v>1.7401999999999999E-4</v>
      </c>
      <c r="N7793" s="9">
        <v>1.6627999999999999E-4</v>
      </c>
      <c r="O7793" s="9">
        <v>1.6182999999999999E-4</v>
      </c>
      <c r="P7793" s="9">
        <v>1.6343999999999999E-4</v>
      </c>
      <c r="Q7793" s="9">
        <v>1.6683E-4</v>
      </c>
      <c r="R7793" s="10">
        <v>7.6867887973116459E-5</v>
      </c>
      <c r="S7793" s="10">
        <v>1.8918445441499683E-4</v>
      </c>
      <c r="T7793" s="10">
        <v>1.4386826408036666E-4</v>
      </c>
      <c r="U7793" s="10">
        <v>1.083E-4</v>
      </c>
      <c r="V7793" s="25"/>
      <c r="W7793" s="25"/>
      <c r="X7793" s="25"/>
      <c r="Y7793" s="25"/>
      <c r="Z7793" s="25"/>
      <c r="AA7793" s="25"/>
    </row>
    <row r="7794" spans="1:27" x14ac:dyDescent="0.35">
      <c r="A7794" s="5">
        <v>7790</v>
      </c>
      <c r="B7794" s="5">
        <v>325</v>
      </c>
      <c r="C7794" s="5">
        <v>11</v>
      </c>
      <c r="D7794" s="25">
        <v>1.1415000000000001E-4</v>
      </c>
      <c r="E7794" s="25">
        <v>1.2258000000000001E-4</v>
      </c>
      <c r="F7794" s="25">
        <v>1.3077999999999999E-4</v>
      </c>
      <c r="G7794" s="25">
        <v>1.6168000000000001E-4</v>
      </c>
      <c r="H7794" s="25">
        <v>1.9792E-4</v>
      </c>
      <c r="I7794" s="9">
        <v>1.1738E-4</v>
      </c>
      <c r="J7794" s="9">
        <v>1.199E-4</v>
      </c>
      <c r="K7794" s="9">
        <v>9.5379999999999998E-5</v>
      </c>
      <c r="L7794" s="9">
        <v>1.6375E-4</v>
      </c>
      <c r="M7794" s="9">
        <v>1.7003999999999999E-4</v>
      </c>
      <c r="N7794" s="9">
        <v>1.705E-4</v>
      </c>
      <c r="O7794" s="9">
        <v>1.7786000000000001E-4</v>
      </c>
      <c r="P7794" s="9">
        <v>1.6767999999999999E-4</v>
      </c>
      <c r="Q7794" s="9">
        <v>1.5970000000000001E-4</v>
      </c>
      <c r="R7794" s="10">
        <v>7.6598340817212371E-5</v>
      </c>
      <c r="S7794" s="10">
        <v>1.8988987537215589E-4</v>
      </c>
      <c r="T7794" s="10">
        <v>3.4573519851830754E-5</v>
      </c>
      <c r="U7794" s="10">
        <v>1.083E-4</v>
      </c>
      <c r="V7794" s="25"/>
      <c r="W7794" s="25"/>
      <c r="X7794" s="25"/>
      <c r="Y7794" s="25"/>
      <c r="Z7794" s="25"/>
      <c r="AA7794" s="25"/>
    </row>
    <row r="7795" spans="1:27" x14ac:dyDescent="0.35">
      <c r="A7795" s="5">
        <v>7791</v>
      </c>
      <c r="B7795" s="5">
        <v>325</v>
      </c>
      <c r="C7795" s="5">
        <v>11</v>
      </c>
      <c r="D7795" s="25">
        <v>1.1416E-4</v>
      </c>
      <c r="E7795" s="25">
        <v>1.1552000000000001E-4</v>
      </c>
      <c r="F7795" s="25">
        <v>1.2320000000000001E-4</v>
      </c>
      <c r="G7795" s="25">
        <v>1.6436000000000001E-4</v>
      </c>
      <c r="H7795" s="25">
        <v>1.9552999999999999E-4</v>
      </c>
      <c r="I7795" s="9">
        <v>1.1328999999999999E-4</v>
      </c>
      <c r="J7795" s="9">
        <v>1.186E-4</v>
      </c>
      <c r="K7795" s="9">
        <v>1.3988E-4</v>
      </c>
      <c r="L7795" s="9">
        <v>1.7494E-4</v>
      </c>
      <c r="M7795" s="9">
        <v>1.6804999999999999E-4</v>
      </c>
      <c r="N7795" s="9">
        <v>1.6981E-4</v>
      </c>
      <c r="O7795" s="9">
        <v>1.8521E-4</v>
      </c>
      <c r="P7795" s="9">
        <v>1.6802000000000001E-4</v>
      </c>
      <c r="Q7795" s="9">
        <v>1.5326000000000001E-4</v>
      </c>
      <c r="R7795" s="10">
        <v>9.9968336152156311E-5</v>
      </c>
      <c r="S7795" s="10">
        <v>1.8978888477360692E-4</v>
      </c>
      <c r="T7795" s="10">
        <v>7.3338283582631913E-5</v>
      </c>
      <c r="U7795" s="10">
        <v>1.083E-4</v>
      </c>
      <c r="V7795" s="25"/>
      <c r="W7795" s="25"/>
      <c r="X7795" s="25"/>
      <c r="Y7795" s="25"/>
      <c r="Z7795" s="25"/>
      <c r="AA7795" s="25"/>
    </row>
    <row r="7796" spans="1:27" x14ac:dyDescent="0.35">
      <c r="A7796" s="5">
        <v>7792</v>
      </c>
      <c r="B7796" s="5">
        <v>325</v>
      </c>
      <c r="C7796" s="5">
        <v>11</v>
      </c>
      <c r="D7796" s="25">
        <v>1.1415000000000001E-4</v>
      </c>
      <c r="E7796" s="25">
        <v>1.1838E-4</v>
      </c>
      <c r="F7796" s="25">
        <v>1.1966E-4</v>
      </c>
      <c r="G7796" s="25">
        <v>1.5754000000000001E-4</v>
      </c>
      <c r="H7796" s="25">
        <v>1.9718000000000001E-4</v>
      </c>
      <c r="I7796" s="9">
        <v>1.1266E-4</v>
      </c>
      <c r="J7796" s="9">
        <v>1.1814E-4</v>
      </c>
      <c r="K7796" s="9">
        <v>1.6107E-4</v>
      </c>
      <c r="L7796" s="9">
        <v>1.8267000000000001E-4</v>
      </c>
      <c r="M7796" s="9">
        <v>1.6760000000000001E-4</v>
      </c>
      <c r="N7796" s="9">
        <v>1.6608000000000001E-4</v>
      </c>
      <c r="O7796" s="9">
        <v>1.9867999999999999E-4</v>
      </c>
      <c r="P7796" s="9">
        <v>1.5281E-4</v>
      </c>
      <c r="Q7796" s="9">
        <v>1.1001999999999999E-4</v>
      </c>
      <c r="R7796" s="10">
        <v>1.2518163510140401E-4</v>
      </c>
      <c r="S7796" s="10">
        <v>1.8982212374518123E-4</v>
      </c>
      <c r="T7796" s="10">
        <v>2.6386170978943225E-6</v>
      </c>
      <c r="U7796" s="10">
        <v>1.083E-4</v>
      </c>
      <c r="V7796" s="25"/>
      <c r="W7796" s="25"/>
      <c r="X7796" s="25"/>
      <c r="Y7796" s="25"/>
      <c r="Z7796" s="25"/>
      <c r="AA7796" s="25"/>
    </row>
    <row r="7797" spans="1:27" x14ac:dyDescent="0.35">
      <c r="A7797" s="5">
        <v>7793</v>
      </c>
      <c r="B7797" s="5">
        <v>325</v>
      </c>
      <c r="C7797" s="5">
        <v>11</v>
      </c>
      <c r="D7797" s="25">
        <v>1.1416E-4</v>
      </c>
      <c r="E7797" s="25">
        <v>1.1464999999999999E-4</v>
      </c>
      <c r="F7797" s="25">
        <v>1.2970000000000001E-4</v>
      </c>
      <c r="G7797" s="25">
        <v>1.6394000000000001E-4</v>
      </c>
      <c r="H7797" s="25">
        <v>1.9283000000000001E-4</v>
      </c>
      <c r="I7797" s="9">
        <v>1.1354E-4</v>
      </c>
      <c r="J7797" s="9">
        <v>1.2139E-4</v>
      </c>
      <c r="K7797" s="9">
        <v>1.7803E-4</v>
      </c>
      <c r="L7797" s="9">
        <v>1.9488E-4</v>
      </c>
      <c r="M7797" s="9">
        <v>1.6228999999999999E-4</v>
      </c>
      <c r="N7797" s="9">
        <v>1.5244E-4</v>
      </c>
      <c r="O7797" s="9">
        <v>2.1463999999999999E-4</v>
      </c>
      <c r="P7797" s="9">
        <v>1.5908E-4</v>
      </c>
      <c r="Q7797" s="9">
        <v>1.07E-4</v>
      </c>
      <c r="R7797" s="10">
        <v>1.3753808759298783E-4</v>
      </c>
      <c r="S7797" s="10">
        <v>1.9003889441404162E-4</v>
      </c>
      <c r="T7797" s="10">
        <v>0</v>
      </c>
      <c r="U7797" s="10">
        <v>1.083E-4</v>
      </c>
      <c r="V7797" s="25"/>
      <c r="W7797" s="25"/>
      <c r="X7797" s="25"/>
      <c r="Y7797" s="25"/>
      <c r="Z7797" s="25"/>
      <c r="AA7797" s="25"/>
    </row>
    <row r="7798" spans="1:27" x14ac:dyDescent="0.35">
      <c r="A7798" s="5">
        <v>7794</v>
      </c>
      <c r="B7798" s="5">
        <v>325</v>
      </c>
      <c r="C7798" s="5">
        <v>11</v>
      </c>
      <c r="D7798" s="25">
        <v>1.1415000000000001E-4</v>
      </c>
      <c r="E7798" s="25">
        <v>1.1697999999999999E-4</v>
      </c>
      <c r="F7798" s="25">
        <v>1.3358000000000001E-4</v>
      </c>
      <c r="G7798" s="25">
        <v>1.6145999999999999E-4</v>
      </c>
      <c r="H7798" s="25">
        <v>1.8797E-4</v>
      </c>
      <c r="I7798" s="9">
        <v>1.2381E-4</v>
      </c>
      <c r="J7798" s="9">
        <v>1.3119E-4</v>
      </c>
      <c r="K7798" s="9">
        <v>1.9074000000000001E-4</v>
      </c>
      <c r="L7798" s="9">
        <v>2.1003999999999999E-4</v>
      </c>
      <c r="M7798" s="9">
        <v>1.5966E-4</v>
      </c>
      <c r="N7798" s="9">
        <v>1.3904999999999999E-4</v>
      </c>
      <c r="O7798" s="9">
        <v>2.0835E-4</v>
      </c>
      <c r="P7798" s="9">
        <v>1.6197999999999999E-4</v>
      </c>
      <c r="Q7798" s="9">
        <v>1.1883999999999999E-4</v>
      </c>
      <c r="R7798" s="10">
        <v>1.4974434919045308E-4</v>
      </c>
      <c r="S7798" s="10">
        <v>1.9014387652529569E-4</v>
      </c>
      <c r="T7798" s="10">
        <v>0</v>
      </c>
      <c r="U7798" s="10">
        <v>1.083E-4</v>
      </c>
      <c r="V7798" s="25"/>
      <c r="W7798" s="25"/>
      <c r="X7798" s="25"/>
      <c r="Y7798" s="25"/>
      <c r="Z7798" s="25"/>
      <c r="AA7798" s="25"/>
    </row>
    <row r="7799" spans="1:27" x14ac:dyDescent="0.35">
      <c r="A7799" s="5">
        <v>7795</v>
      </c>
      <c r="B7799" s="5">
        <v>325</v>
      </c>
      <c r="C7799" s="5">
        <v>11</v>
      </c>
      <c r="D7799" s="25">
        <v>1.1416E-4</v>
      </c>
      <c r="E7799" s="25">
        <v>1.1790000000000001E-4</v>
      </c>
      <c r="F7799" s="25">
        <v>1.3503000000000001E-4</v>
      </c>
      <c r="G7799" s="25">
        <v>1.1464E-4</v>
      </c>
      <c r="H7799" s="25">
        <v>1.303E-4</v>
      </c>
      <c r="I7799" s="9">
        <v>1.2627999999999999E-4</v>
      </c>
      <c r="J7799" s="9">
        <v>1.2917000000000001E-4</v>
      </c>
      <c r="K7799" s="9">
        <v>2.0133E-4</v>
      </c>
      <c r="L7799" s="9">
        <v>2.0835E-4</v>
      </c>
      <c r="M7799" s="9">
        <v>1.5995000000000001E-4</v>
      </c>
      <c r="N7799" s="9">
        <v>1.3025999999999999E-4</v>
      </c>
      <c r="O7799" s="9">
        <v>1.6405E-4</v>
      </c>
      <c r="P7799" s="9">
        <v>1.3409000000000001E-4</v>
      </c>
      <c r="Q7799" s="9">
        <v>1.0643E-4</v>
      </c>
      <c r="R7799" s="10">
        <v>1.520129145297515E-4</v>
      </c>
      <c r="S7799" s="10">
        <v>1.9007430886482674E-4</v>
      </c>
      <c r="T7799" s="10">
        <v>0</v>
      </c>
      <c r="U7799" s="10">
        <v>1.083E-4</v>
      </c>
      <c r="V7799" s="25"/>
      <c r="W7799" s="25"/>
      <c r="X7799" s="25"/>
      <c r="Y7799" s="25"/>
      <c r="Z7799" s="25"/>
      <c r="AA7799" s="25"/>
    </row>
    <row r="7800" spans="1:27" x14ac:dyDescent="0.35">
      <c r="A7800" s="5">
        <v>7796</v>
      </c>
      <c r="B7800" s="5">
        <v>325</v>
      </c>
      <c r="C7800" s="5">
        <v>11</v>
      </c>
      <c r="D7800" s="25">
        <v>1.1415000000000001E-4</v>
      </c>
      <c r="E7800" s="25">
        <v>1.1582E-4</v>
      </c>
      <c r="F7800" s="25">
        <v>1.3486999999999999E-4</v>
      </c>
      <c r="G7800" s="25">
        <v>1.1445E-4</v>
      </c>
      <c r="H7800" s="25">
        <v>1.2735000000000001E-4</v>
      </c>
      <c r="I7800" s="9">
        <v>1.2315000000000001E-4</v>
      </c>
      <c r="J7800" s="9">
        <v>1.2566000000000001E-4</v>
      </c>
      <c r="K7800" s="9">
        <v>2.1617000000000001E-4</v>
      </c>
      <c r="L7800" s="9">
        <v>1.7391999999999999E-4</v>
      </c>
      <c r="M7800" s="9">
        <v>1.5088999999999999E-4</v>
      </c>
      <c r="N7800" s="9">
        <v>1.2103E-4</v>
      </c>
      <c r="O7800" s="9">
        <v>1.2894999999999999E-4</v>
      </c>
      <c r="P7800" s="9">
        <v>1.145E-4</v>
      </c>
      <c r="Q7800" s="9">
        <v>1.0157000000000001E-4</v>
      </c>
      <c r="R7800" s="10">
        <v>1.5436921246481781E-4</v>
      </c>
      <c r="S7800" s="10">
        <v>1.9017879069413494E-4</v>
      </c>
      <c r="T7800" s="10">
        <v>0</v>
      </c>
      <c r="U7800" s="10">
        <v>1.083E-4</v>
      </c>
      <c r="V7800" s="25"/>
      <c r="W7800" s="25"/>
      <c r="X7800" s="25"/>
      <c r="Y7800" s="25"/>
      <c r="Z7800" s="25"/>
      <c r="AA7800" s="25"/>
    </row>
    <row r="7801" spans="1:27" x14ac:dyDescent="0.35">
      <c r="A7801" s="5">
        <v>7797</v>
      </c>
      <c r="B7801" s="5">
        <v>325</v>
      </c>
      <c r="C7801" s="5">
        <v>11</v>
      </c>
      <c r="D7801" s="25">
        <v>1.1416E-4</v>
      </c>
      <c r="E7801" s="25">
        <v>1.2422999999999999E-4</v>
      </c>
      <c r="F7801" s="25">
        <v>1.21E-4</v>
      </c>
      <c r="G7801" s="25">
        <v>5.4070000000000002E-5</v>
      </c>
      <c r="H7801" s="25">
        <v>6.2409999999999994E-5</v>
      </c>
      <c r="I7801" s="9">
        <v>1.1938E-4</v>
      </c>
      <c r="J7801" s="9">
        <v>1.2085E-4</v>
      </c>
      <c r="K7801" s="9">
        <v>2.2677E-4</v>
      </c>
      <c r="L7801" s="9">
        <v>1.3990000000000001E-4</v>
      </c>
      <c r="M7801" s="9">
        <v>1.3522999999999999E-4</v>
      </c>
      <c r="N7801" s="9">
        <v>1.1325E-4</v>
      </c>
      <c r="O7801" s="9">
        <v>8.4850000000000002E-5</v>
      </c>
      <c r="P7801" s="9">
        <v>8.6249999999999996E-5</v>
      </c>
      <c r="Q7801" s="9">
        <v>8.8239999999999995E-5</v>
      </c>
      <c r="R7801" s="10">
        <v>1.6574572632817951E-4</v>
      </c>
      <c r="S7801" s="10">
        <v>1.8974008437699303E-4</v>
      </c>
      <c r="T7801" s="10">
        <v>0</v>
      </c>
      <c r="U7801" s="10">
        <v>1.083E-4</v>
      </c>
      <c r="V7801" s="25"/>
      <c r="W7801" s="25"/>
      <c r="X7801" s="25"/>
      <c r="Y7801" s="25"/>
      <c r="Z7801" s="25"/>
      <c r="AA7801" s="25"/>
    </row>
    <row r="7802" spans="1:27" x14ac:dyDescent="0.35">
      <c r="A7802" s="5">
        <v>7798</v>
      </c>
      <c r="B7802" s="5">
        <v>325</v>
      </c>
      <c r="C7802" s="5">
        <v>11</v>
      </c>
      <c r="D7802" s="25">
        <v>1.1415000000000001E-4</v>
      </c>
      <c r="E7802" s="25">
        <v>1.156E-4</v>
      </c>
      <c r="F7802" s="25">
        <v>1.3732999999999999E-4</v>
      </c>
      <c r="G7802" s="25">
        <v>5.6860000000000001E-5</v>
      </c>
      <c r="H7802" s="25">
        <v>6.2669999999999995E-5</v>
      </c>
      <c r="I7802" s="9">
        <v>1.1504E-4</v>
      </c>
      <c r="J7802" s="9">
        <v>1.1514E-4</v>
      </c>
      <c r="K7802" s="9">
        <v>2.4159999999999999E-4</v>
      </c>
      <c r="L7802" s="9">
        <v>9.789E-5</v>
      </c>
      <c r="M7802" s="9">
        <v>1.1357E-4</v>
      </c>
      <c r="N7802" s="9">
        <v>1.0562E-4</v>
      </c>
      <c r="O7802" s="9">
        <v>8.8259999999999999E-5</v>
      </c>
      <c r="P7802" s="9">
        <v>8.8250000000000004E-5</v>
      </c>
      <c r="Q7802" s="9">
        <v>8.8910000000000001E-5</v>
      </c>
      <c r="R7802" s="10">
        <v>1.6569519683988168E-4</v>
      </c>
      <c r="S7802" s="10">
        <v>1.8887762741215245E-4</v>
      </c>
      <c r="T7802" s="10">
        <v>0</v>
      </c>
      <c r="U7802" s="10">
        <v>1.083E-4</v>
      </c>
      <c r="V7802" s="25"/>
      <c r="W7802" s="25"/>
      <c r="X7802" s="25"/>
      <c r="Y7802" s="25"/>
      <c r="Z7802" s="25"/>
      <c r="AA7802" s="25"/>
    </row>
    <row r="7803" spans="1:27" x14ac:dyDescent="0.35">
      <c r="A7803" s="5">
        <v>7799</v>
      </c>
      <c r="B7803" s="5">
        <v>325</v>
      </c>
      <c r="C7803" s="5">
        <v>11</v>
      </c>
      <c r="D7803" s="25">
        <v>1.1416E-4</v>
      </c>
      <c r="E7803" s="25">
        <v>1.1433E-4</v>
      </c>
      <c r="F7803" s="25">
        <v>1.1964999999999999E-4</v>
      </c>
      <c r="G7803" s="25">
        <v>5.4950000000000001E-5</v>
      </c>
      <c r="H7803" s="25">
        <v>7.0110000000000005E-5</v>
      </c>
      <c r="I7803" s="9">
        <v>1.1513E-4</v>
      </c>
      <c r="J7803" s="9">
        <v>1.087E-4</v>
      </c>
      <c r="K7803" s="9">
        <v>2.5008000000000002E-4</v>
      </c>
      <c r="L7803" s="9">
        <v>9.1299999999999997E-5</v>
      </c>
      <c r="M7803" s="9">
        <v>9.9160000000000006E-5</v>
      </c>
      <c r="N7803" s="9">
        <v>9.993E-5</v>
      </c>
      <c r="O7803" s="9">
        <v>7.8709999999999997E-5</v>
      </c>
      <c r="P7803" s="9">
        <v>7.2799999999999994E-5</v>
      </c>
      <c r="Q7803" s="9">
        <v>6.7509999999999996E-5</v>
      </c>
      <c r="R7803" s="10">
        <v>1.4972124527998571E-4</v>
      </c>
      <c r="S7803" s="10">
        <v>1.8729786873547408E-4</v>
      </c>
      <c r="T7803" s="10">
        <v>0</v>
      </c>
      <c r="U7803" s="10">
        <v>1.083E-4</v>
      </c>
      <c r="V7803" s="25"/>
      <c r="W7803" s="25"/>
      <c r="X7803" s="25"/>
      <c r="Y7803" s="25"/>
      <c r="Z7803" s="25"/>
      <c r="AA7803" s="25"/>
    </row>
    <row r="7804" spans="1:27" x14ac:dyDescent="0.35">
      <c r="A7804" s="5">
        <v>7800</v>
      </c>
      <c r="B7804" s="5">
        <v>325</v>
      </c>
      <c r="C7804" s="5">
        <v>11</v>
      </c>
      <c r="D7804" s="25">
        <v>1.1415000000000001E-4</v>
      </c>
      <c r="E7804" s="25">
        <v>1.1930999999999999E-4</v>
      </c>
      <c r="F7804" s="25">
        <v>1.3127000000000001E-4</v>
      </c>
      <c r="G7804" s="25">
        <v>6.2570000000000006E-5</v>
      </c>
      <c r="H7804" s="25">
        <v>7.038E-5</v>
      </c>
      <c r="I7804" s="9">
        <v>1.1387000000000001E-4</v>
      </c>
      <c r="J7804" s="9">
        <v>1.0114E-4</v>
      </c>
      <c r="K7804" s="9">
        <v>2.5008000000000002E-4</v>
      </c>
      <c r="L7804" s="9">
        <v>8.1450000000000001E-5</v>
      </c>
      <c r="M7804" s="9">
        <v>8.6520000000000005E-5</v>
      </c>
      <c r="N7804" s="9">
        <v>9.0749999999999997E-5</v>
      </c>
      <c r="O7804" s="9">
        <v>6.2529999999999999E-5</v>
      </c>
      <c r="P7804" s="9">
        <v>6.0420000000000001E-5</v>
      </c>
      <c r="Q7804" s="9">
        <v>5.8610000000000003E-5</v>
      </c>
      <c r="R7804" s="10">
        <v>1.0313460247524674E-4</v>
      </c>
      <c r="S7804" s="10">
        <v>1.8001832330755504E-4</v>
      </c>
      <c r="T7804" s="10">
        <v>0</v>
      </c>
      <c r="U7804" s="10">
        <v>1.083E-4</v>
      </c>
      <c r="V7804" s="25"/>
      <c r="W7804" s="25"/>
      <c r="X7804" s="25"/>
      <c r="Y7804" s="25"/>
      <c r="Z7804" s="25"/>
      <c r="AA7804" s="25"/>
    </row>
    <row r="7805" spans="1:27" x14ac:dyDescent="0.35">
      <c r="A7805" s="5">
        <v>7801</v>
      </c>
      <c r="B7805" s="5">
        <v>326</v>
      </c>
      <c r="C7805" s="5">
        <v>11</v>
      </c>
      <c r="D7805" s="25">
        <v>1.1416E-4</v>
      </c>
      <c r="E7805" s="25">
        <v>1.1417E-4</v>
      </c>
      <c r="F7805" s="25">
        <v>9.3319999999999994E-5</v>
      </c>
      <c r="G7805" s="25">
        <v>5.3779999999999997E-5</v>
      </c>
      <c r="H7805" s="25">
        <v>7.0889999999999994E-5</v>
      </c>
      <c r="I7805" s="9">
        <v>1.0594000000000001E-4</v>
      </c>
      <c r="J7805" s="9">
        <v>9.6150000000000006E-5</v>
      </c>
      <c r="K7805" s="9">
        <v>2.6703000000000002E-4</v>
      </c>
      <c r="L7805" s="9">
        <v>6.669E-5</v>
      </c>
      <c r="M7805" s="9">
        <v>7.4220000000000004E-5</v>
      </c>
      <c r="N7805" s="9">
        <v>8.1290000000000003E-5</v>
      </c>
      <c r="O7805" s="9">
        <v>5.4219999999999999E-5</v>
      </c>
      <c r="P7805" s="9">
        <v>5.3640000000000001E-5</v>
      </c>
      <c r="Q7805" s="9">
        <v>5.3220000000000002E-5</v>
      </c>
      <c r="R7805" s="10">
        <v>1.0807360858616369E-4</v>
      </c>
      <c r="S7805" s="10">
        <v>1.779466929767086E-4</v>
      </c>
      <c r="T7805" s="10">
        <v>0</v>
      </c>
      <c r="U7805" s="10">
        <v>1.0925999999999999E-4</v>
      </c>
      <c r="V7805" s="25"/>
      <c r="W7805" s="25"/>
      <c r="X7805" s="25"/>
      <c r="Y7805" s="25"/>
      <c r="Z7805" s="25"/>
      <c r="AA7805" s="25"/>
    </row>
    <row r="7806" spans="1:27" x14ac:dyDescent="0.35">
      <c r="A7806" s="5">
        <v>7802</v>
      </c>
      <c r="B7806" s="5">
        <v>326</v>
      </c>
      <c r="C7806" s="5">
        <v>11</v>
      </c>
      <c r="D7806" s="25">
        <v>1.1415000000000001E-4</v>
      </c>
      <c r="E7806" s="25">
        <v>1.0925E-4</v>
      </c>
      <c r="F7806" s="25">
        <v>1.0683000000000001E-4</v>
      </c>
      <c r="G7806" s="25">
        <v>5.4400000000000001E-5</v>
      </c>
      <c r="H7806" s="25">
        <v>7.6619999999999995E-5</v>
      </c>
      <c r="I7806" s="9">
        <v>1.0052000000000001E-4</v>
      </c>
      <c r="J7806" s="9">
        <v>9.2830000000000004E-5</v>
      </c>
      <c r="K7806" s="9">
        <v>2.8397999999999997E-4</v>
      </c>
      <c r="L7806" s="9">
        <v>5.7370000000000001E-5</v>
      </c>
      <c r="M7806" s="9">
        <v>6.3869999999999997E-5</v>
      </c>
      <c r="N7806" s="9">
        <v>7.2130000000000002E-5</v>
      </c>
      <c r="O7806" s="9">
        <v>1.8810000000000001E-5</v>
      </c>
      <c r="P7806" s="9">
        <v>3.8149999999999999E-5</v>
      </c>
      <c r="Q7806" s="9">
        <v>5.677E-5</v>
      </c>
      <c r="R7806" s="10">
        <v>1.2213684870716285E-4</v>
      </c>
      <c r="S7806" s="10">
        <v>1.8216647856525149E-4</v>
      </c>
      <c r="T7806" s="10">
        <v>0</v>
      </c>
      <c r="U7806" s="10">
        <v>1.0925999999999999E-4</v>
      </c>
      <c r="V7806" s="25"/>
      <c r="W7806" s="25"/>
      <c r="X7806" s="25"/>
      <c r="Y7806" s="25"/>
      <c r="Z7806" s="25"/>
      <c r="AA7806" s="25"/>
    </row>
    <row r="7807" spans="1:27" x14ac:dyDescent="0.35">
      <c r="A7807" s="5">
        <v>7803</v>
      </c>
      <c r="B7807" s="5">
        <v>326</v>
      </c>
      <c r="C7807" s="5">
        <v>11</v>
      </c>
      <c r="D7807" s="25">
        <v>1.1416E-4</v>
      </c>
      <c r="E7807" s="25">
        <v>1.0605E-4</v>
      </c>
      <c r="F7807" s="25">
        <v>1.0949E-4</v>
      </c>
      <c r="G7807" s="25">
        <v>6.0059999999999998E-5</v>
      </c>
      <c r="H7807" s="25">
        <v>7.6110000000000001E-5</v>
      </c>
      <c r="I7807" s="9">
        <v>9.6669999999999994E-5</v>
      </c>
      <c r="J7807" s="9">
        <v>9.1349999999999998E-5</v>
      </c>
      <c r="K7807" s="9">
        <v>3.0729999999999999E-4</v>
      </c>
      <c r="L7807" s="9">
        <v>2.7509999999999999E-5</v>
      </c>
      <c r="M7807" s="9">
        <v>5.2250000000000003E-5</v>
      </c>
      <c r="N7807" s="9">
        <v>6.5679999999999995E-5</v>
      </c>
      <c r="O7807" s="9">
        <v>1.311E-5</v>
      </c>
      <c r="P7807" s="9">
        <v>3.7790000000000002E-5</v>
      </c>
      <c r="Q7807" s="9">
        <v>6.1600000000000007E-5</v>
      </c>
      <c r="R7807" s="10">
        <v>1.0665792885552702E-4</v>
      </c>
      <c r="S7807" s="10">
        <v>1.8434605863571762E-4</v>
      </c>
      <c r="T7807" s="10">
        <v>0</v>
      </c>
      <c r="U7807" s="10">
        <v>1.0925999999999999E-4</v>
      </c>
      <c r="V7807" s="25"/>
      <c r="W7807" s="25"/>
      <c r="X7807" s="25"/>
      <c r="Y7807" s="25"/>
      <c r="Z7807" s="25"/>
      <c r="AA7807" s="25"/>
    </row>
    <row r="7808" spans="1:27" x14ac:dyDescent="0.35">
      <c r="A7808" s="5">
        <v>7804</v>
      </c>
      <c r="B7808" s="5">
        <v>326</v>
      </c>
      <c r="C7808" s="5">
        <v>11</v>
      </c>
      <c r="D7808" s="25">
        <v>1.1415000000000001E-4</v>
      </c>
      <c r="E7808" s="25">
        <v>1.093E-4</v>
      </c>
      <c r="F7808" s="25">
        <v>1.0375E-4</v>
      </c>
      <c r="G7808" s="25">
        <v>5.5489999999999999E-5</v>
      </c>
      <c r="H7808" s="25">
        <v>7.0710000000000006E-5</v>
      </c>
      <c r="I7808" s="9">
        <v>9.5140000000000001E-5</v>
      </c>
      <c r="J7808" s="9">
        <v>9.0710000000000004E-5</v>
      </c>
      <c r="K7808" s="9">
        <v>3.1366E-4</v>
      </c>
      <c r="L7808" s="9">
        <v>1.7010000000000001E-5</v>
      </c>
      <c r="M7808" s="9">
        <v>4.4289999999999998E-5</v>
      </c>
      <c r="N7808" s="9">
        <v>6.2059999999999999E-5</v>
      </c>
      <c r="O7808" s="9">
        <v>1.2979999999999999E-5</v>
      </c>
      <c r="P7808" s="9">
        <v>4.6770000000000001E-5</v>
      </c>
      <c r="Q7808" s="9">
        <v>7.9549999999999996E-5</v>
      </c>
      <c r="R7808" s="10">
        <v>1.0210080265054546E-4</v>
      </c>
      <c r="S7808" s="10">
        <v>1.8516575122468624E-4</v>
      </c>
      <c r="T7808" s="10">
        <v>0</v>
      </c>
      <c r="U7808" s="10">
        <v>1.0925999999999999E-4</v>
      </c>
      <c r="V7808" s="25"/>
      <c r="W7808" s="25"/>
      <c r="X7808" s="25"/>
      <c r="Y7808" s="25"/>
      <c r="Z7808" s="25"/>
      <c r="AA7808" s="25"/>
    </row>
    <row r="7809" spans="1:27" x14ac:dyDescent="0.35">
      <c r="A7809" s="5">
        <v>7805</v>
      </c>
      <c r="B7809" s="5">
        <v>326</v>
      </c>
      <c r="C7809" s="5">
        <v>11</v>
      </c>
      <c r="D7809" s="25">
        <v>1.1416E-4</v>
      </c>
      <c r="E7809" s="25">
        <v>1.0950000000000001E-4</v>
      </c>
      <c r="F7809" s="25">
        <v>1.0567E-4</v>
      </c>
      <c r="G7809" s="25">
        <v>5.6900000000000001E-5</v>
      </c>
      <c r="H7809" s="25">
        <v>6.3609999999999996E-5</v>
      </c>
      <c r="I7809" s="9">
        <v>9.5719999999999998E-5</v>
      </c>
      <c r="J7809" s="9">
        <v>9.2120000000000006E-5</v>
      </c>
      <c r="K7809" s="9">
        <v>3.2636999999999998E-4</v>
      </c>
      <c r="L7809" s="9">
        <v>1.412E-5</v>
      </c>
      <c r="M7809" s="9">
        <v>4.3390000000000003E-5</v>
      </c>
      <c r="N7809" s="9">
        <v>6.4369999999999995E-5</v>
      </c>
      <c r="O7809" s="9">
        <v>1.8810000000000001E-5</v>
      </c>
      <c r="P7809" s="9">
        <v>5.7219999999999998E-5</v>
      </c>
      <c r="Q7809" s="9">
        <v>9.4619999999999999E-5</v>
      </c>
      <c r="R7809" s="10">
        <v>9.8929330879129448E-5</v>
      </c>
      <c r="S7809" s="10">
        <v>1.8537525005995971E-4</v>
      </c>
      <c r="T7809" s="10">
        <v>0</v>
      </c>
      <c r="U7809" s="10">
        <v>1.0925999999999999E-4</v>
      </c>
      <c r="V7809" s="25"/>
      <c r="W7809" s="25"/>
      <c r="X7809" s="25"/>
      <c r="Y7809" s="25"/>
      <c r="Z7809" s="25"/>
      <c r="AA7809" s="25"/>
    </row>
    <row r="7810" spans="1:27" x14ac:dyDescent="0.35">
      <c r="A7810" s="5">
        <v>7806</v>
      </c>
      <c r="B7810" s="5">
        <v>326</v>
      </c>
      <c r="C7810" s="5">
        <v>11</v>
      </c>
      <c r="D7810" s="25">
        <v>1.1415000000000001E-4</v>
      </c>
      <c r="E7810" s="25">
        <v>1.0695E-4</v>
      </c>
      <c r="F7810" s="25">
        <v>1.043E-4</v>
      </c>
      <c r="G7810" s="25">
        <v>1.1273999999999999E-4</v>
      </c>
      <c r="H7810" s="25">
        <v>1.3526E-4</v>
      </c>
      <c r="I7810" s="9">
        <v>1.0331E-4</v>
      </c>
      <c r="J7810" s="9">
        <v>9.7139999999999995E-5</v>
      </c>
      <c r="K7810" s="9">
        <v>3.2850000000000002E-4</v>
      </c>
      <c r="L7810" s="9">
        <v>1.7649999999999999E-5</v>
      </c>
      <c r="M7810" s="9">
        <v>4.8479999999999997E-5</v>
      </c>
      <c r="N7810" s="9">
        <v>7.1119999999999997E-5</v>
      </c>
      <c r="O7810" s="9">
        <v>4.6400000000000003E-5</v>
      </c>
      <c r="P7810" s="9">
        <v>7.7130000000000002E-5</v>
      </c>
      <c r="Q7810" s="9">
        <v>1.0739999999999999E-4</v>
      </c>
      <c r="R7810" s="10">
        <v>9.9599044293485485E-5</v>
      </c>
      <c r="S7810" s="10">
        <v>1.8602721515154405E-4</v>
      </c>
      <c r="T7810" s="10">
        <v>0</v>
      </c>
      <c r="U7810" s="10">
        <v>1.0925999999999999E-4</v>
      </c>
      <c r="V7810" s="25"/>
      <c r="W7810" s="25"/>
      <c r="X7810" s="25"/>
      <c r="Y7810" s="25"/>
      <c r="Z7810" s="25"/>
      <c r="AA7810" s="25"/>
    </row>
    <row r="7811" spans="1:27" x14ac:dyDescent="0.35">
      <c r="A7811" s="5">
        <v>7807</v>
      </c>
      <c r="B7811" s="5">
        <v>326</v>
      </c>
      <c r="C7811" s="5">
        <v>11</v>
      </c>
      <c r="D7811" s="25">
        <v>1.1416E-4</v>
      </c>
      <c r="E7811" s="25">
        <v>1.1252E-4</v>
      </c>
      <c r="F7811" s="25">
        <v>1.0577E-4</v>
      </c>
      <c r="G7811" s="25">
        <v>1.0955000000000001E-4</v>
      </c>
      <c r="H7811" s="25">
        <v>1.3501999999999999E-4</v>
      </c>
      <c r="I7811" s="9">
        <v>1.1934000000000001E-4</v>
      </c>
      <c r="J7811" s="9">
        <v>1.0974E-4</v>
      </c>
      <c r="K7811" s="9">
        <v>3.3272999999999999E-4</v>
      </c>
      <c r="L7811" s="9">
        <v>3.9919999999999997E-5</v>
      </c>
      <c r="M7811" s="9">
        <v>6.0239999999999999E-5</v>
      </c>
      <c r="N7811" s="9">
        <v>8.0909999999999996E-5</v>
      </c>
      <c r="O7811" s="9">
        <v>1.2336000000000001E-4</v>
      </c>
      <c r="P7811" s="9">
        <v>1.1712E-4</v>
      </c>
      <c r="Q7811" s="9">
        <v>1.122E-4</v>
      </c>
      <c r="R7811" s="10">
        <v>1.0302025272886144E-4</v>
      </c>
      <c r="S7811" s="10">
        <v>1.8531232482601838E-4</v>
      </c>
      <c r="T7811" s="10">
        <v>0</v>
      </c>
      <c r="U7811" s="10">
        <v>1.0925999999999999E-4</v>
      </c>
      <c r="V7811" s="25"/>
      <c r="W7811" s="25"/>
      <c r="X7811" s="25"/>
      <c r="Y7811" s="25"/>
      <c r="Z7811" s="25"/>
      <c r="AA7811" s="25"/>
    </row>
    <row r="7812" spans="1:27" x14ac:dyDescent="0.35">
      <c r="A7812" s="5">
        <v>7808</v>
      </c>
      <c r="B7812" s="5">
        <v>326</v>
      </c>
      <c r="C7812" s="5">
        <v>11</v>
      </c>
      <c r="D7812" s="25">
        <v>1.1415000000000001E-4</v>
      </c>
      <c r="E7812" s="25">
        <v>1.0449E-4</v>
      </c>
      <c r="F7812" s="25">
        <v>1.0417E-4</v>
      </c>
      <c r="G7812" s="25">
        <v>1.6238E-4</v>
      </c>
      <c r="H7812" s="25">
        <v>1.928E-4</v>
      </c>
      <c r="I7812" s="9">
        <v>1.3177999999999999E-4</v>
      </c>
      <c r="J7812" s="9">
        <v>1.2888999999999999E-4</v>
      </c>
      <c r="K7812" s="9">
        <v>3.1788999999999998E-4</v>
      </c>
      <c r="L7812" s="9">
        <v>1.0438E-4</v>
      </c>
      <c r="M7812" s="9">
        <v>8.3739999999999994E-5</v>
      </c>
      <c r="N7812" s="9">
        <v>9.0920000000000004E-5</v>
      </c>
      <c r="O7812" s="9">
        <v>2.1866E-4</v>
      </c>
      <c r="P7812" s="9">
        <v>1.7540000000000001E-4</v>
      </c>
      <c r="Q7812" s="9">
        <v>1.3549999999999999E-4</v>
      </c>
      <c r="R7812" s="10">
        <v>1.0688672042632124E-4</v>
      </c>
      <c r="S7812" s="10">
        <v>1.8315997985971202E-4</v>
      </c>
      <c r="T7812" s="10">
        <v>0</v>
      </c>
      <c r="U7812" s="10">
        <v>1.0925999999999999E-4</v>
      </c>
      <c r="V7812" s="25"/>
      <c r="W7812" s="25"/>
      <c r="X7812" s="25"/>
      <c r="Y7812" s="25"/>
      <c r="Z7812" s="25"/>
      <c r="AA7812" s="25"/>
    </row>
    <row r="7813" spans="1:27" x14ac:dyDescent="0.35">
      <c r="A7813" s="5">
        <v>7809</v>
      </c>
      <c r="B7813" s="5">
        <v>326</v>
      </c>
      <c r="C7813" s="5">
        <v>11</v>
      </c>
      <c r="D7813" s="25">
        <v>1.1416E-4</v>
      </c>
      <c r="E7813" s="25">
        <v>1.1212E-4</v>
      </c>
      <c r="F7813" s="25">
        <v>1.1090999999999999E-4</v>
      </c>
      <c r="G7813" s="25">
        <v>1.6442E-4</v>
      </c>
      <c r="H7813" s="25">
        <v>1.9673999999999999E-4</v>
      </c>
      <c r="I7813" s="9">
        <v>1.3462000000000001E-4</v>
      </c>
      <c r="J7813" s="9">
        <v>1.3897000000000001E-4</v>
      </c>
      <c r="K7813" s="9">
        <v>2.967E-4</v>
      </c>
      <c r="L7813" s="9">
        <v>1.9175999999999999E-4</v>
      </c>
      <c r="M7813" s="9">
        <v>1.2281E-4</v>
      </c>
      <c r="N7813" s="9">
        <v>1.0438999999999999E-4</v>
      </c>
      <c r="O7813" s="9">
        <v>2.1256000000000001E-4</v>
      </c>
      <c r="P7813" s="9">
        <v>1.9340000000000001E-4</v>
      </c>
      <c r="Q7813" s="9">
        <v>1.7712000000000001E-4</v>
      </c>
      <c r="R7813" s="10">
        <v>1.0685596801671863E-4</v>
      </c>
      <c r="S7813" s="10">
        <v>1.811120895370824E-4</v>
      </c>
      <c r="T7813" s="10">
        <v>9.7925783099344927E-5</v>
      </c>
      <c r="U7813" s="10">
        <v>1.0925999999999999E-4</v>
      </c>
      <c r="V7813" s="25"/>
      <c r="W7813" s="25"/>
      <c r="X7813" s="25"/>
      <c r="Y7813" s="25"/>
      <c r="Z7813" s="25"/>
      <c r="AA7813" s="25"/>
    </row>
    <row r="7814" spans="1:27" x14ac:dyDescent="0.35">
      <c r="A7814" s="5">
        <v>7810</v>
      </c>
      <c r="B7814" s="5">
        <v>326</v>
      </c>
      <c r="C7814" s="5">
        <v>11</v>
      </c>
      <c r="D7814" s="25">
        <v>1.1415000000000001E-4</v>
      </c>
      <c r="E7814" s="25">
        <v>1.0637999999999999E-4</v>
      </c>
      <c r="F7814" s="25">
        <v>9.6890000000000002E-5</v>
      </c>
      <c r="G7814" s="25">
        <v>1.5746E-4</v>
      </c>
      <c r="H7814" s="25">
        <v>1.9974000000000001E-4</v>
      </c>
      <c r="I7814" s="9">
        <v>1.3569999999999999E-4</v>
      </c>
      <c r="J7814" s="9">
        <v>1.4276E-4</v>
      </c>
      <c r="K7814" s="9">
        <v>2.5856000000000002E-4</v>
      </c>
      <c r="L7814" s="9">
        <v>2.0568999999999999E-4</v>
      </c>
      <c r="M7814" s="9">
        <v>1.5812000000000001E-4</v>
      </c>
      <c r="N7814" s="9">
        <v>1.2446000000000001E-4</v>
      </c>
      <c r="O7814" s="9">
        <v>1.6767E-4</v>
      </c>
      <c r="P7814" s="9">
        <v>1.7386999999999999E-4</v>
      </c>
      <c r="Q7814" s="9">
        <v>1.8186999999999999E-4</v>
      </c>
      <c r="R7814" s="10">
        <v>1.1031176531944163E-4</v>
      </c>
      <c r="S7814" s="10">
        <v>1.8010526651483511E-4</v>
      </c>
      <c r="T7814" s="10">
        <v>1.4139084867012503E-4</v>
      </c>
      <c r="U7814" s="10">
        <v>1.0925999999999999E-4</v>
      </c>
      <c r="V7814" s="25"/>
      <c r="W7814" s="25"/>
      <c r="X7814" s="25"/>
      <c r="Y7814" s="25"/>
      <c r="Z7814" s="25"/>
      <c r="AA7814" s="25"/>
    </row>
    <row r="7815" spans="1:27" x14ac:dyDescent="0.35">
      <c r="A7815" s="5">
        <v>7811</v>
      </c>
      <c r="B7815" s="5">
        <v>326</v>
      </c>
      <c r="C7815" s="5">
        <v>11</v>
      </c>
      <c r="D7815" s="25">
        <v>1.1416E-4</v>
      </c>
      <c r="E7815" s="25">
        <v>1.1229E-4</v>
      </c>
      <c r="F7815" s="25">
        <v>9.5760000000000005E-5</v>
      </c>
      <c r="G7815" s="25">
        <v>1.6223E-4</v>
      </c>
      <c r="H7815" s="25">
        <v>1.9838000000000001E-4</v>
      </c>
      <c r="I7815" s="9">
        <v>1.3574E-4</v>
      </c>
      <c r="J7815" s="9">
        <v>1.4323E-4</v>
      </c>
      <c r="K7815" s="9">
        <v>2.3525E-4</v>
      </c>
      <c r="L7815" s="9">
        <v>1.7605999999999999E-4</v>
      </c>
      <c r="M7815" s="9">
        <v>1.7200000000000001E-4</v>
      </c>
      <c r="N7815" s="9">
        <v>1.4247000000000001E-4</v>
      </c>
      <c r="O7815" s="9">
        <v>1.6695999999999999E-4</v>
      </c>
      <c r="P7815" s="9">
        <v>1.7179000000000001E-4</v>
      </c>
      <c r="Q7815" s="9">
        <v>1.7843000000000001E-4</v>
      </c>
      <c r="R7815" s="10">
        <v>1.0954588793693601E-4</v>
      </c>
      <c r="S7815" s="10">
        <v>1.7713537309370462E-4</v>
      </c>
      <c r="T7815" s="10">
        <v>3.4100944378027818E-4</v>
      </c>
      <c r="U7815" s="10">
        <v>1.0925999999999999E-4</v>
      </c>
      <c r="V7815" s="25"/>
      <c r="W7815" s="25"/>
      <c r="X7815" s="25"/>
      <c r="Y7815" s="25"/>
      <c r="Z7815" s="25"/>
      <c r="AA7815" s="25"/>
    </row>
    <row r="7816" spans="1:27" x14ac:dyDescent="0.35">
      <c r="A7816" s="5">
        <v>7812</v>
      </c>
      <c r="B7816" s="5">
        <v>326</v>
      </c>
      <c r="C7816" s="5">
        <v>11</v>
      </c>
      <c r="D7816" s="25">
        <v>1.1415000000000001E-4</v>
      </c>
      <c r="E7816" s="25">
        <v>1.0686E-4</v>
      </c>
      <c r="F7816" s="25">
        <v>9.692E-5</v>
      </c>
      <c r="G7816" s="25">
        <v>1.5613000000000001E-4</v>
      </c>
      <c r="H7816" s="25">
        <v>2.0164E-4</v>
      </c>
      <c r="I7816" s="9">
        <v>1.3792000000000001E-4</v>
      </c>
      <c r="J7816" s="9">
        <v>1.4396999999999999E-4</v>
      </c>
      <c r="K7816" s="9">
        <v>2.3311999999999999E-4</v>
      </c>
      <c r="L7816" s="9">
        <v>1.7038000000000001E-4</v>
      </c>
      <c r="M7816" s="9">
        <v>1.7429000000000001E-4</v>
      </c>
      <c r="N7816" s="9">
        <v>1.5631999999999999E-4</v>
      </c>
      <c r="O7816" s="9">
        <v>1.6909E-4</v>
      </c>
      <c r="P7816" s="9">
        <v>1.6982999999999999E-4</v>
      </c>
      <c r="Q7816" s="9">
        <v>1.7248E-4</v>
      </c>
      <c r="R7816" s="10">
        <v>8.6813648965419649E-5</v>
      </c>
      <c r="S7816" s="10">
        <v>1.6360051665527552E-4</v>
      </c>
      <c r="T7816" s="10">
        <v>2.5508894426138495E-4</v>
      </c>
      <c r="U7816" s="10">
        <v>1.0925999999999999E-4</v>
      </c>
      <c r="V7816" s="25"/>
      <c r="W7816" s="25"/>
      <c r="X7816" s="25"/>
      <c r="Y7816" s="25"/>
      <c r="Z7816" s="25"/>
      <c r="AA7816" s="25"/>
    </row>
    <row r="7817" spans="1:27" x14ac:dyDescent="0.35">
      <c r="A7817" s="5">
        <v>7813</v>
      </c>
      <c r="B7817" s="5">
        <v>326</v>
      </c>
      <c r="C7817" s="5">
        <v>11</v>
      </c>
      <c r="D7817" s="25">
        <v>1.1416E-4</v>
      </c>
      <c r="E7817" s="25">
        <v>1.1063E-4</v>
      </c>
      <c r="F7817" s="25">
        <v>1.0743000000000001E-4</v>
      </c>
      <c r="G7817" s="25">
        <v>1.6102999999999999E-4</v>
      </c>
      <c r="H7817" s="25">
        <v>1.9284E-4</v>
      </c>
      <c r="I7817" s="9">
        <v>1.3496E-4</v>
      </c>
      <c r="J7817" s="9">
        <v>1.4265E-4</v>
      </c>
      <c r="K7817" s="9">
        <v>2.2465000000000001E-4</v>
      </c>
      <c r="L7817" s="9">
        <v>1.6956999999999999E-4</v>
      </c>
      <c r="M7817" s="9">
        <v>1.7276999999999999E-4</v>
      </c>
      <c r="N7817" s="9">
        <v>1.6547E-4</v>
      </c>
      <c r="O7817" s="9">
        <v>1.6123999999999999E-4</v>
      </c>
      <c r="P7817" s="9">
        <v>1.6285E-4</v>
      </c>
      <c r="Q7817" s="9">
        <v>1.6621999999999999E-4</v>
      </c>
      <c r="R7817" s="10">
        <v>8.7468822104616164E-5</v>
      </c>
      <c r="S7817" s="10">
        <v>1.7158893638109278E-4</v>
      </c>
      <c r="T7817" s="10">
        <v>1.7349543741106434E-4</v>
      </c>
      <c r="U7817" s="10">
        <v>1.0925999999999999E-4</v>
      </c>
      <c r="V7817" s="25"/>
      <c r="W7817" s="25"/>
      <c r="X7817" s="25"/>
      <c r="Y7817" s="25"/>
      <c r="Z7817" s="25"/>
      <c r="AA7817" s="25"/>
    </row>
    <row r="7818" spans="1:27" x14ac:dyDescent="0.35">
      <c r="A7818" s="5">
        <v>7814</v>
      </c>
      <c r="B7818" s="5">
        <v>326</v>
      </c>
      <c r="C7818" s="5">
        <v>11</v>
      </c>
      <c r="D7818" s="25">
        <v>1.1415000000000001E-4</v>
      </c>
      <c r="E7818" s="25">
        <v>1.0721E-4</v>
      </c>
      <c r="F7818" s="25">
        <v>9.8179999999999999E-5</v>
      </c>
      <c r="G7818" s="25">
        <v>1.6318999999999999E-4</v>
      </c>
      <c r="H7818" s="25">
        <v>1.8891000000000001E-4</v>
      </c>
      <c r="I7818" s="9">
        <v>1.3495E-4</v>
      </c>
      <c r="J7818" s="9">
        <v>1.4321000000000001E-4</v>
      </c>
      <c r="K7818" s="9">
        <v>2.2253E-4</v>
      </c>
      <c r="L7818" s="9">
        <v>1.6283000000000001E-4</v>
      </c>
      <c r="M7818" s="9">
        <v>1.6877999999999999E-4</v>
      </c>
      <c r="N7818" s="9">
        <v>1.6961E-4</v>
      </c>
      <c r="O7818" s="9">
        <v>1.7987999999999999E-4</v>
      </c>
      <c r="P7818" s="9">
        <v>1.6958000000000001E-4</v>
      </c>
      <c r="Q7818" s="9">
        <v>1.6152000000000001E-4</v>
      </c>
      <c r="R7818" s="10">
        <v>9.0775878597593453E-5</v>
      </c>
      <c r="S7818" s="10">
        <v>1.7825593265611829E-4</v>
      </c>
      <c r="T7818" s="10">
        <v>9.7272492049383958E-5</v>
      </c>
      <c r="U7818" s="10">
        <v>1.0925999999999999E-4</v>
      </c>
      <c r="V7818" s="25"/>
      <c r="W7818" s="25"/>
      <c r="X7818" s="25"/>
      <c r="Y7818" s="25"/>
      <c r="Z7818" s="25"/>
      <c r="AA7818" s="25"/>
    </row>
    <row r="7819" spans="1:27" x14ac:dyDescent="0.35">
      <c r="A7819" s="5">
        <v>7815</v>
      </c>
      <c r="B7819" s="5">
        <v>326</v>
      </c>
      <c r="C7819" s="5">
        <v>11</v>
      </c>
      <c r="D7819" s="25">
        <v>1.1416E-4</v>
      </c>
      <c r="E7819" s="25">
        <v>1.0517E-4</v>
      </c>
      <c r="F7819" s="25">
        <v>9.8900000000000005E-5</v>
      </c>
      <c r="G7819" s="25">
        <v>1.5728000000000001E-4</v>
      </c>
      <c r="H7819" s="25">
        <v>1.9568999999999999E-4</v>
      </c>
      <c r="I7819" s="9">
        <v>1.3328999999999999E-4</v>
      </c>
      <c r="J7819" s="9">
        <v>1.4268000000000001E-4</v>
      </c>
      <c r="K7819" s="9">
        <v>2.2253E-4</v>
      </c>
      <c r="L7819" s="9">
        <v>1.7628000000000001E-4</v>
      </c>
      <c r="M7819" s="9">
        <v>1.6794999999999999E-4</v>
      </c>
      <c r="N7819" s="9">
        <v>1.694E-4</v>
      </c>
      <c r="O7819" s="9">
        <v>1.8526E-4</v>
      </c>
      <c r="P7819" s="9">
        <v>1.6807000000000001E-4</v>
      </c>
      <c r="Q7819" s="9">
        <v>1.5330000000000001E-4</v>
      </c>
      <c r="R7819" s="10">
        <v>8.3961109160308767E-5</v>
      </c>
      <c r="S7819" s="10">
        <v>1.7996082764990516E-4</v>
      </c>
      <c r="T7819" s="10">
        <v>1.348918753679159E-4</v>
      </c>
      <c r="U7819" s="10">
        <v>1.0925999999999999E-4</v>
      </c>
      <c r="V7819" s="25"/>
      <c r="W7819" s="25"/>
      <c r="X7819" s="25"/>
      <c r="Y7819" s="25"/>
      <c r="Z7819" s="25"/>
      <c r="AA7819" s="25"/>
    </row>
    <row r="7820" spans="1:27" x14ac:dyDescent="0.35">
      <c r="A7820" s="5">
        <v>7816</v>
      </c>
      <c r="B7820" s="5">
        <v>326</v>
      </c>
      <c r="C7820" s="5">
        <v>11</v>
      </c>
      <c r="D7820" s="25">
        <v>1.1415000000000001E-4</v>
      </c>
      <c r="E7820" s="25">
        <v>1.0603999999999999E-4</v>
      </c>
      <c r="F7820" s="25">
        <v>9.5890000000000005E-5</v>
      </c>
      <c r="G7820" s="25">
        <v>1.6526999999999999E-4</v>
      </c>
      <c r="H7820" s="25">
        <v>1.9457E-4</v>
      </c>
      <c r="I7820" s="9">
        <v>1.3367000000000001E-4</v>
      </c>
      <c r="J7820" s="9">
        <v>1.4222E-4</v>
      </c>
      <c r="K7820" s="9">
        <v>2.3101E-4</v>
      </c>
      <c r="L7820" s="9">
        <v>1.8293000000000001E-4</v>
      </c>
      <c r="M7820" s="9">
        <v>1.6788999999999999E-4</v>
      </c>
      <c r="N7820" s="9">
        <v>1.6582000000000001E-4</v>
      </c>
      <c r="O7820" s="9">
        <v>1.9820999999999999E-4</v>
      </c>
      <c r="P7820" s="9">
        <v>1.5244999999999999E-4</v>
      </c>
      <c r="Q7820" s="9">
        <v>1.0976000000000001E-4</v>
      </c>
      <c r="R7820" s="10">
        <v>1.0474502515450294E-4</v>
      </c>
      <c r="S7820" s="10">
        <v>1.8429137529854037E-4</v>
      </c>
      <c r="T7820" s="10">
        <v>7.9421526216684102E-5</v>
      </c>
      <c r="U7820" s="10">
        <v>1.0925999999999999E-4</v>
      </c>
      <c r="V7820" s="25"/>
      <c r="W7820" s="25"/>
      <c r="X7820" s="25"/>
      <c r="Y7820" s="25"/>
      <c r="Z7820" s="25"/>
      <c r="AA7820" s="25"/>
    </row>
    <row r="7821" spans="1:27" x14ac:dyDescent="0.35">
      <c r="A7821" s="5">
        <v>7817</v>
      </c>
      <c r="B7821" s="5">
        <v>326</v>
      </c>
      <c r="C7821" s="5">
        <v>11</v>
      </c>
      <c r="D7821" s="25">
        <v>1.1416E-4</v>
      </c>
      <c r="E7821" s="25">
        <v>1.1403E-4</v>
      </c>
      <c r="F7821" s="25">
        <v>1.1503E-4</v>
      </c>
      <c r="G7821" s="25">
        <v>1.6658999999999999E-4</v>
      </c>
      <c r="H7821" s="25">
        <v>2.0210000000000001E-4</v>
      </c>
      <c r="I7821" s="9">
        <v>1.3578E-4</v>
      </c>
      <c r="J7821" s="9">
        <v>1.4548E-4</v>
      </c>
      <c r="K7821" s="9">
        <v>2.3101E-4</v>
      </c>
      <c r="L7821" s="9">
        <v>1.9461000000000001E-4</v>
      </c>
      <c r="M7821" s="9">
        <v>1.6239999999999999E-4</v>
      </c>
      <c r="N7821" s="9">
        <v>1.5224999999999999E-4</v>
      </c>
      <c r="O7821" s="9">
        <v>2.1397000000000001E-4</v>
      </c>
      <c r="P7821" s="9">
        <v>1.5859000000000001E-4</v>
      </c>
      <c r="Q7821" s="9">
        <v>1.0666999999999999E-4</v>
      </c>
      <c r="R7821" s="10">
        <v>1.2244209199913187E-4</v>
      </c>
      <c r="S7821" s="10">
        <v>1.8531643549377577E-4</v>
      </c>
      <c r="T7821" s="10">
        <v>0</v>
      </c>
      <c r="U7821" s="10">
        <v>1.0925999999999999E-4</v>
      </c>
      <c r="V7821" s="25"/>
      <c r="W7821" s="25"/>
      <c r="X7821" s="25"/>
      <c r="Y7821" s="25"/>
      <c r="Z7821" s="25"/>
      <c r="AA7821" s="25"/>
    </row>
    <row r="7822" spans="1:27" x14ac:dyDescent="0.35">
      <c r="A7822" s="5">
        <v>7818</v>
      </c>
      <c r="B7822" s="5">
        <v>326</v>
      </c>
      <c r="C7822" s="5">
        <v>11</v>
      </c>
      <c r="D7822" s="25">
        <v>1.1415000000000001E-4</v>
      </c>
      <c r="E7822" s="25">
        <v>1.1315999999999999E-4</v>
      </c>
      <c r="F7822" s="25">
        <v>1.0052000000000001E-4</v>
      </c>
      <c r="G7822" s="25">
        <v>1.6441000000000001E-4</v>
      </c>
      <c r="H7822" s="25">
        <v>1.963E-4</v>
      </c>
      <c r="I7822" s="9">
        <v>1.4402999999999999E-4</v>
      </c>
      <c r="J7822" s="9">
        <v>1.5223999999999999E-4</v>
      </c>
      <c r="K7822" s="9">
        <v>2.3735999999999999E-4</v>
      </c>
      <c r="L7822" s="9">
        <v>2.0949E-4</v>
      </c>
      <c r="M7822" s="9">
        <v>1.5948000000000001E-4</v>
      </c>
      <c r="N7822" s="9">
        <v>1.3894999999999999E-4</v>
      </c>
      <c r="O7822" s="9">
        <v>2.0568999999999999E-4</v>
      </c>
      <c r="P7822" s="9">
        <v>1.5991000000000001E-4</v>
      </c>
      <c r="Q7822" s="9">
        <v>1.1733E-4</v>
      </c>
      <c r="R7822" s="10">
        <v>1.3574707064143663E-4</v>
      </c>
      <c r="S7822" s="10">
        <v>1.8548948917246696E-4</v>
      </c>
      <c r="T7822" s="10">
        <v>0</v>
      </c>
      <c r="U7822" s="10">
        <v>1.0925999999999999E-4</v>
      </c>
      <c r="V7822" s="25"/>
      <c r="W7822" s="25"/>
      <c r="X7822" s="25"/>
      <c r="Y7822" s="25"/>
      <c r="Z7822" s="25"/>
      <c r="AA7822" s="25"/>
    </row>
    <row r="7823" spans="1:27" x14ac:dyDescent="0.35">
      <c r="A7823" s="5">
        <v>7819</v>
      </c>
      <c r="B7823" s="5">
        <v>326</v>
      </c>
      <c r="C7823" s="5">
        <v>11</v>
      </c>
      <c r="D7823" s="25">
        <v>1.1416E-4</v>
      </c>
      <c r="E7823" s="25">
        <v>1.1203E-4</v>
      </c>
      <c r="F7823" s="25">
        <v>9.7819999999999995E-5</v>
      </c>
      <c r="G7823" s="25">
        <v>1.1038E-4</v>
      </c>
      <c r="H7823" s="25">
        <v>1.2962E-4</v>
      </c>
      <c r="I7823" s="9">
        <v>1.4310000000000001E-4</v>
      </c>
      <c r="J7823" s="9">
        <v>1.4658999999999999E-4</v>
      </c>
      <c r="K7823" s="9">
        <v>2.3949E-4</v>
      </c>
      <c r="L7823" s="9">
        <v>2.0615E-4</v>
      </c>
      <c r="M7823" s="9">
        <v>1.5903E-4</v>
      </c>
      <c r="N7823" s="9">
        <v>1.2991000000000001E-4</v>
      </c>
      <c r="O7823" s="9">
        <v>1.6391999999999999E-4</v>
      </c>
      <c r="P7823" s="9">
        <v>1.3397999999999999E-4</v>
      </c>
      <c r="Q7823" s="9">
        <v>1.0634E-4</v>
      </c>
      <c r="R7823" s="10">
        <v>1.4382781399443917E-4</v>
      </c>
      <c r="S7823" s="10">
        <v>1.8619726124787303E-4</v>
      </c>
      <c r="T7823" s="10">
        <v>0</v>
      </c>
      <c r="U7823" s="10">
        <v>1.0925999999999999E-4</v>
      </c>
      <c r="V7823" s="25"/>
      <c r="W7823" s="25"/>
      <c r="X7823" s="25"/>
      <c r="Y7823" s="25"/>
      <c r="Z7823" s="25"/>
      <c r="AA7823" s="25"/>
    </row>
    <row r="7824" spans="1:27" x14ac:dyDescent="0.35">
      <c r="A7824" s="5">
        <v>7820</v>
      </c>
      <c r="B7824" s="5">
        <v>326</v>
      </c>
      <c r="C7824" s="5">
        <v>11</v>
      </c>
      <c r="D7824" s="25">
        <v>1.1415000000000001E-4</v>
      </c>
      <c r="E7824" s="25">
        <v>1.1229E-4</v>
      </c>
      <c r="F7824" s="25">
        <v>1.1302999999999999E-4</v>
      </c>
      <c r="G7824" s="25">
        <v>1.0915E-4</v>
      </c>
      <c r="H7824" s="25">
        <v>1.3299000000000001E-4</v>
      </c>
      <c r="I7824" s="9">
        <v>1.3702000000000001E-4</v>
      </c>
      <c r="J7824" s="9">
        <v>1.4150999999999999E-4</v>
      </c>
      <c r="K7824" s="9">
        <v>2.4795999999999998E-4</v>
      </c>
      <c r="L7824" s="9">
        <v>1.7338E-4</v>
      </c>
      <c r="M7824" s="9">
        <v>1.5007E-4</v>
      </c>
      <c r="N7824" s="9">
        <v>1.2066E-4</v>
      </c>
      <c r="O7824" s="9">
        <v>1.2844000000000001E-4</v>
      </c>
      <c r="P7824" s="9">
        <v>1.1404999999999999E-4</v>
      </c>
      <c r="Q7824" s="9">
        <v>1.0117E-4</v>
      </c>
      <c r="R7824" s="10">
        <v>1.4645684628158623E-4</v>
      </c>
      <c r="S7824" s="10">
        <v>1.8400117689896506E-4</v>
      </c>
      <c r="T7824" s="10">
        <v>0</v>
      </c>
      <c r="U7824" s="10">
        <v>1.0925999999999999E-4</v>
      </c>
      <c r="V7824" s="25"/>
      <c r="W7824" s="25"/>
      <c r="X7824" s="25"/>
      <c r="Y7824" s="25"/>
      <c r="Z7824" s="25"/>
      <c r="AA7824" s="25"/>
    </row>
    <row r="7825" spans="1:27" x14ac:dyDescent="0.35">
      <c r="A7825" s="5">
        <v>7821</v>
      </c>
      <c r="B7825" s="5">
        <v>326</v>
      </c>
      <c r="C7825" s="5">
        <v>11</v>
      </c>
      <c r="D7825" s="25">
        <v>1.1416E-4</v>
      </c>
      <c r="E7825" s="25">
        <v>1.0417E-4</v>
      </c>
      <c r="F7825" s="25">
        <v>9.6959999999999993E-5</v>
      </c>
      <c r="G7825" s="25">
        <v>5.6910000000000002E-5</v>
      </c>
      <c r="H7825" s="25">
        <v>7.0199999999999999E-5</v>
      </c>
      <c r="I7825" s="9">
        <v>1.3107E-4</v>
      </c>
      <c r="J7825" s="9">
        <v>1.3447000000000001E-4</v>
      </c>
      <c r="K7825" s="9">
        <v>2.5008000000000002E-4</v>
      </c>
      <c r="L7825" s="9">
        <v>1.3934E-4</v>
      </c>
      <c r="M7825" s="9">
        <v>1.3459999999999999E-4</v>
      </c>
      <c r="N7825" s="9">
        <v>1.1283E-4</v>
      </c>
      <c r="O7825" s="9">
        <v>8.4660000000000006E-5</v>
      </c>
      <c r="P7825" s="9">
        <v>8.6059999999999999E-5</v>
      </c>
      <c r="Q7825" s="9">
        <v>8.8049999999999999E-5</v>
      </c>
      <c r="R7825" s="10">
        <v>1.4556448885573374E-4</v>
      </c>
      <c r="S7825" s="10">
        <v>1.7793802167877785E-4</v>
      </c>
      <c r="T7825" s="10">
        <v>0</v>
      </c>
      <c r="U7825" s="10">
        <v>1.0925999999999999E-4</v>
      </c>
      <c r="V7825" s="25"/>
      <c r="W7825" s="25"/>
      <c r="X7825" s="25"/>
      <c r="Y7825" s="25"/>
      <c r="Z7825" s="25"/>
      <c r="AA7825" s="25"/>
    </row>
    <row r="7826" spans="1:27" x14ac:dyDescent="0.35">
      <c r="A7826" s="5">
        <v>7822</v>
      </c>
      <c r="B7826" s="5">
        <v>326</v>
      </c>
      <c r="C7826" s="5">
        <v>11</v>
      </c>
      <c r="D7826" s="25">
        <v>1.1415000000000001E-4</v>
      </c>
      <c r="E7826" s="25">
        <v>1.0744E-4</v>
      </c>
      <c r="F7826" s="25">
        <v>1.1263E-4</v>
      </c>
      <c r="G7826" s="25">
        <v>6.232E-5</v>
      </c>
      <c r="H7826" s="25">
        <v>7.4040000000000003E-5</v>
      </c>
      <c r="I7826" s="9">
        <v>1.2363000000000001E-4</v>
      </c>
      <c r="J7826" s="9">
        <v>1.2587000000000001E-4</v>
      </c>
      <c r="K7826" s="9">
        <v>2.4583999999999999E-4</v>
      </c>
      <c r="L7826" s="9">
        <v>9.7609999999999995E-5</v>
      </c>
      <c r="M7826" s="9">
        <v>1.1315E-4</v>
      </c>
      <c r="N7826" s="9">
        <v>1.0519E-4</v>
      </c>
      <c r="O7826" s="9">
        <v>8.7239999999999998E-5</v>
      </c>
      <c r="P7826" s="9">
        <v>8.7230000000000003E-5</v>
      </c>
      <c r="Q7826" s="9">
        <v>8.7869999999999997E-5</v>
      </c>
      <c r="R7826" s="10">
        <v>1.5419818696229E-4</v>
      </c>
      <c r="S7826" s="10">
        <v>1.6860646293991358E-4</v>
      </c>
      <c r="T7826" s="10">
        <v>0</v>
      </c>
      <c r="U7826" s="10">
        <v>1.0925999999999999E-4</v>
      </c>
      <c r="V7826" s="25"/>
      <c r="W7826" s="25"/>
      <c r="X7826" s="25"/>
      <c r="Y7826" s="25"/>
      <c r="Z7826" s="25"/>
      <c r="AA7826" s="25"/>
    </row>
    <row r="7827" spans="1:27" x14ac:dyDescent="0.35">
      <c r="A7827" s="5">
        <v>7823</v>
      </c>
      <c r="B7827" s="5">
        <v>326</v>
      </c>
      <c r="C7827" s="5">
        <v>11</v>
      </c>
      <c r="D7827" s="25">
        <v>1.1416E-4</v>
      </c>
      <c r="E7827" s="25">
        <v>1.1082E-4</v>
      </c>
      <c r="F7827" s="25">
        <v>1.0416000000000001E-4</v>
      </c>
      <c r="G7827" s="25">
        <v>5.2649999999999999E-5</v>
      </c>
      <c r="H7827" s="25">
        <v>6.881E-5</v>
      </c>
      <c r="I7827" s="9">
        <v>1.2254E-4</v>
      </c>
      <c r="J7827" s="9">
        <v>1.1681E-4</v>
      </c>
      <c r="K7827" s="9">
        <v>2.4795999999999998E-4</v>
      </c>
      <c r="L7827" s="9">
        <v>9.0439999999999995E-5</v>
      </c>
      <c r="M7827" s="9">
        <v>9.857E-5</v>
      </c>
      <c r="N7827" s="9">
        <v>9.9359999999999997E-5</v>
      </c>
      <c r="O7827" s="9">
        <v>7.7600000000000002E-5</v>
      </c>
      <c r="P7827" s="9">
        <v>7.1779999999999994E-5</v>
      </c>
      <c r="Q7827" s="9">
        <v>6.656E-5</v>
      </c>
      <c r="R7827" s="10">
        <v>1.6519625843028251E-4</v>
      </c>
      <c r="S7827" s="10">
        <v>1.5351373840688078E-4</v>
      </c>
      <c r="T7827" s="10">
        <v>0</v>
      </c>
      <c r="U7827" s="10">
        <v>1.0925999999999999E-4</v>
      </c>
      <c r="V7827" s="25"/>
      <c r="W7827" s="25"/>
      <c r="X7827" s="25"/>
      <c r="Y7827" s="25"/>
      <c r="Z7827" s="25"/>
      <c r="AA7827" s="25"/>
    </row>
    <row r="7828" spans="1:27" x14ac:dyDescent="0.35">
      <c r="A7828" s="5">
        <v>7824</v>
      </c>
      <c r="B7828" s="5">
        <v>326</v>
      </c>
      <c r="C7828" s="5">
        <v>11</v>
      </c>
      <c r="D7828" s="25">
        <v>1.1415000000000001E-4</v>
      </c>
      <c r="E7828" s="25">
        <v>1.1236E-4</v>
      </c>
      <c r="F7828" s="25">
        <v>1.153E-4</v>
      </c>
      <c r="G7828" s="25">
        <v>5.9049999999999999E-5</v>
      </c>
      <c r="H7828" s="25">
        <v>6.4939999999999998E-5</v>
      </c>
      <c r="I7828" s="9">
        <v>1.2058E-4</v>
      </c>
      <c r="J7828" s="9">
        <v>1.0865E-4</v>
      </c>
      <c r="K7828" s="9">
        <v>2.522E-4</v>
      </c>
      <c r="L7828" s="9">
        <v>8.0420000000000006E-5</v>
      </c>
      <c r="M7828" s="9">
        <v>8.5719999999999999E-5</v>
      </c>
      <c r="N7828" s="9">
        <v>9.0110000000000003E-5</v>
      </c>
      <c r="O7828" s="9">
        <v>6.2329999999999994E-5</v>
      </c>
      <c r="P7828" s="9">
        <v>6.0220000000000003E-5</v>
      </c>
      <c r="Q7828" s="9">
        <v>5.842E-5</v>
      </c>
      <c r="R7828" s="10">
        <v>1.7478039085904427E-4</v>
      </c>
      <c r="S7828" s="10">
        <v>1.1531023957799638E-4</v>
      </c>
      <c r="T7828" s="10">
        <v>0</v>
      </c>
      <c r="U7828" s="10">
        <v>1.0925999999999999E-4</v>
      </c>
      <c r="V7828" s="25"/>
      <c r="W7828" s="25"/>
      <c r="X7828" s="25"/>
      <c r="Y7828" s="25"/>
      <c r="Z7828" s="25"/>
      <c r="AA7828" s="25"/>
    </row>
    <row r="7829" spans="1:27" x14ac:dyDescent="0.35">
      <c r="A7829" s="5">
        <v>7825</v>
      </c>
      <c r="B7829" s="5">
        <v>327</v>
      </c>
      <c r="C7829" s="5">
        <v>11</v>
      </c>
      <c r="D7829" s="25">
        <v>1.1416E-4</v>
      </c>
      <c r="E7829" s="25">
        <v>1.1217000000000001E-4</v>
      </c>
      <c r="F7829" s="25">
        <v>9.9469999999999995E-5</v>
      </c>
      <c r="G7829" s="25">
        <v>5.2120000000000002E-5</v>
      </c>
      <c r="H7829" s="25">
        <v>7.5859999999999995E-5</v>
      </c>
      <c r="I7829" s="9">
        <v>1.1213E-4</v>
      </c>
      <c r="J7829" s="9">
        <v>1.0211E-4</v>
      </c>
      <c r="K7829" s="9">
        <v>2.5431999999999999E-4</v>
      </c>
      <c r="L7829" s="9">
        <v>6.6309999999999994E-5</v>
      </c>
      <c r="M7829" s="9">
        <v>7.3590000000000005E-5</v>
      </c>
      <c r="N7829" s="9">
        <v>8.072E-5</v>
      </c>
      <c r="O7829" s="9">
        <v>5.4070000000000002E-5</v>
      </c>
      <c r="P7829" s="9">
        <v>5.3489999999999998E-5</v>
      </c>
      <c r="Q7829" s="9">
        <v>5.3069999999999998E-5</v>
      </c>
      <c r="R7829" s="10">
        <v>1.6840248558336167E-4</v>
      </c>
      <c r="S7829" s="10">
        <v>9.7404077921947924E-5</v>
      </c>
      <c r="T7829" s="10">
        <v>0</v>
      </c>
      <c r="U7829" s="10">
        <v>1.0917E-4</v>
      </c>
      <c r="V7829" s="25"/>
      <c r="W7829" s="25"/>
      <c r="X7829" s="25"/>
      <c r="Y7829" s="25"/>
      <c r="Z7829" s="25"/>
      <c r="AA7829" s="25"/>
    </row>
    <row r="7830" spans="1:27" x14ac:dyDescent="0.35">
      <c r="A7830" s="5">
        <v>7826</v>
      </c>
      <c r="B7830" s="5">
        <v>327</v>
      </c>
      <c r="C7830" s="5">
        <v>11</v>
      </c>
      <c r="D7830" s="25">
        <v>1.1415000000000001E-4</v>
      </c>
      <c r="E7830" s="25">
        <v>1.1629E-4</v>
      </c>
      <c r="F7830" s="25">
        <v>9.9980000000000002E-5</v>
      </c>
      <c r="G7830" s="25">
        <v>6.1589999999999998E-5</v>
      </c>
      <c r="H7830" s="25">
        <v>6.525E-5</v>
      </c>
      <c r="I7830" s="9">
        <v>1.0597E-4</v>
      </c>
      <c r="J7830" s="9">
        <v>9.7549999999999999E-5</v>
      </c>
      <c r="K7830" s="9">
        <v>2.5431999999999999E-4</v>
      </c>
      <c r="L7830" s="9">
        <v>5.715E-5</v>
      </c>
      <c r="M7830" s="9">
        <v>6.347E-5</v>
      </c>
      <c r="N7830" s="9">
        <v>7.1649999999999993E-5</v>
      </c>
      <c r="O7830" s="9">
        <v>1.8749999999999998E-5</v>
      </c>
      <c r="P7830" s="9">
        <v>3.8009999999999997E-5</v>
      </c>
      <c r="Q7830" s="9">
        <v>5.6560000000000001E-5</v>
      </c>
      <c r="R7830" s="10">
        <v>1.5249680263342564E-4</v>
      </c>
      <c r="S7830" s="10">
        <v>7.7676881019419765E-5</v>
      </c>
      <c r="T7830" s="10">
        <v>0</v>
      </c>
      <c r="U7830" s="10">
        <v>1.0917E-4</v>
      </c>
      <c r="V7830" s="25"/>
      <c r="W7830" s="25"/>
      <c r="X7830" s="25"/>
      <c r="Y7830" s="25"/>
      <c r="Z7830" s="25"/>
      <c r="AA7830" s="25"/>
    </row>
    <row r="7831" spans="1:27" x14ac:dyDescent="0.35">
      <c r="A7831" s="5">
        <v>7827</v>
      </c>
      <c r="B7831" s="5">
        <v>327</v>
      </c>
      <c r="C7831" s="5">
        <v>11</v>
      </c>
      <c r="D7831" s="25">
        <v>1.1416E-4</v>
      </c>
      <c r="E7831" s="25">
        <v>1.1226999999999999E-4</v>
      </c>
      <c r="F7831" s="25">
        <v>9.2180000000000002E-5</v>
      </c>
      <c r="G7831" s="25">
        <v>5.5779999999999998E-5</v>
      </c>
      <c r="H7831" s="25">
        <v>7.3330000000000004E-5</v>
      </c>
      <c r="I7831" s="9">
        <v>1.0187E-4</v>
      </c>
      <c r="J7831" s="9">
        <v>9.5309999999999994E-5</v>
      </c>
      <c r="K7831" s="9">
        <v>2.4795999999999998E-4</v>
      </c>
      <c r="L7831" s="9">
        <v>2.7399999999999999E-5</v>
      </c>
      <c r="M7831" s="9">
        <v>5.1999999999999997E-5</v>
      </c>
      <c r="N7831" s="9">
        <v>6.5259999999999995E-5</v>
      </c>
      <c r="O7831" s="9">
        <v>1.2979999999999999E-5</v>
      </c>
      <c r="P7831" s="9">
        <v>3.7410000000000003E-5</v>
      </c>
      <c r="Q7831" s="9">
        <v>6.0980000000000002E-5</v>
      </c>
      <c r="R7831" s="10">
        <v>1.4014150838923684E-4</v>
      </c>
      <c r="S7831" s="10">
        <v>5.6008247193695339E-5</v>
      </c>
      <c r="T7831" s="10">
        <v>0</v>
      </c>
      <c r="U7831" s="10">
        <v>1.0917E-4</v>
      </c>
      <c r="V7831" s="25"/>
      <c r="W7831" s="25"/>
      <c r="X7831" s="25"/>
      <c r="Y7831" s="25"/>
      <c r="Z7831" s="25"/>
      <c r="AA7831" s="25"/>
    </row>
    <row r="7832" spans="1:27" x14ac:dyDescent="0.35">
      <c r="A7832" s="5">
        <v>7828</v>
      </c>
      <c r="B7832" s="5">
        <v>327</v>
      </c>
      <c r="C7832" s="5">
        <v>11</v>
      </c>
      <c r="D7832" s="25">
        <v>1.1415000000000001E-4</v>
      </c>
      <c r="E7832" s="25">
        <v>1.1186E-4</v>
      </c>
      <c r="F7832" s="25">
        <v>1.0141000000000001E-4</v>
      </c>
      <c r="G7832" s="25">
        <v>5.3990000000000003E-5</v>
      </c>
      <c r="H7832" s="25">
        <v>7.5679999999999994E-5</v>
      </c>
      <c r="I7832" s="9">
        <v>1.0012E-4</v>
      </c>
      <c r="J7832" s="9">
        <v>9.4350000000000003E-5</v>
      </c>
      <c r="K7832" s="9">
        <v>2.4583999999999999E-4</v>
      </c>
      <c r="L7832" s="9">
        <v>1.6889999999999999E-5</v>
      </c>
      <c r="M7832" s="9">
        <v>4.4020000000000002E-5</v>
      </c>
      <c r="N7832" s="9">
        <v>6.1639999999999999E-5</v>
      </c>
      <c r="O7832" s="9">
        <v>1.3190000000000001E-5</v>
      </c>
      <c r="P7832" s="9">
        <v>4.7509999999999997E-5</v>
      </c>
      <c r="Q7832" s="9">
        <v>8.0809999999999994E-5</v>
      </c>
      <c r="R7832" s="10">
        <v>1.3133463663614881E-4</v>
      </c>
      <c r="S7832" s="10">
        <v>3.549723013329943E-5</v>
      </c>
      <c r="T7832" s="10">
        <v>0</v>
      </c>
      <c r="U7832" s="10">
        <v>1.0917E-4</v>
      </c>
      <c r="V7832" s="25"/>
      <c r="W7832" s="25"/>
      <c r="X7832" s="25"/>
      <c r="Y7832" s="25"/>
      <c r="Z7832" s="25"/>
      <c r="AA7832" s="25"/>
    </row>
    <row r="7833" spans="1:27" x14ac:dyDescent="0.35">
      <c r="A7833" s="5">
        <v>7829</v>
      </c>
      <c r="B7833" s="5">
        <v>327</v>
      </c>
      <c r="C7833" s="5">
        <v>11</v>
      </c>
      <c r="D7833" s="25">
        <v>1.1416E-4</v>
      </c>
      <c r="E7833" s="25">
        <v>1.1063E-4</v>
      </c>
      <c r="F7833" s="25">
        <v>9.9389999999999995E-5</v>
      </c>
      <c r="G7833" s="25">
        <v>6.2440000000000005E-5</v>
      </c>
      <c r="H7833" s="25">
        <v>6.9109999999999994E-5</v>
      </c>
      <c r="I7833" s="9">
        <v>1.0192999999999999E-4</v>
      </c>
      <c r="J7833" s="9">
        <v>9.4790000000000006E-5</v>
      </c>
      <c r="K7833" s="9">
        <v>2.4159999999999999E-4</v>
      </c>
      <c r="L7833" s="9">
        <v>1.4250000000000001E-5</v>
      </c>
      <c r="M7833" s="9">
        <v>4.3479999999999997E-5</v>
      </c>
      <c r="N7833" s="9">
        <v>6.4339999999999997E-5</v>
      </c>
      <c r="O7833" s="9">
        <v>1.859E-5</v>
      </c>
      <c r="P7833" s="9">
        <v>5.6530000000000003E-5</v>
      </c>
      <c r="Q7833" s="9">
        <v>9.3469999999999998E-5</v>
      </c>
      <c r="R7833" s="10">
        <v>1.1724697856764403E-4</v>
      </c>
      <c r="S7833" s="10">
        <v>2.2583399729348756E-5</v>
      </c>
      <c r="T7833" s="10">
        <v>0</v>
      </c>
      <c r="U7833" s="10">
        <v>1.0917E-4</v>
      </c>
      <c r="V7833" s="25"/>
      <c r="W7833" s="25"/>
      <c r="X7833" s="25"/>
      <c r="Y7833" s="25"/>
      <c r="Z7833" s="25"/>
      <c r="AA7833" s="25"/>
    </row>
    <row r="7834" spans="1:27" x14ac:dyDescent="0.35">
      <c r="A7834" s="5">
        <v>7830</v>
      </c>
      <c r="B7834" s="5">
        <v>327</v>
      </c>
      <c r="C7834" s="5">
        <v>11</v>
      </c>
      <c r="D7834" s="25">
        <v>1.1415000000000001E-4</v>
      </c>
      <c r="E7834" s="25">
        <v>1.1648E-4</v>
      </c>
      <c r="F7834" s="25">
        <v>9.4690000000000003E-5</v>
      </c>
      <c r="G7834" s="25">
        <v>1.1501E-4</v>
      </c>
      <c r="H7834" s="25">
        <v>1.3360999999999999E-4</v>
      </c>
      <c r="I7834" s="9">
        <v>1.0895000000000001E-4</v>
      </c>
      <c r="J7834" s="9">
        <v>9.8889999999999997E-5</v>
      </c>
      <c r="K7834" s="9">
        <v>2.4159999999999999E-4</v>
      </c>
      <c r="L7834" s="9">
        <v>1.7499999999999998E-5</v>
      </c>
      <c r="M7834" s="9">
        <v>4.8390000000000003E-5</v>
      </c>
      <c r="N7834" s="9">
        <v>7.0920000000000005E-5</v>
      </c>
      <c r="O7834" s="9">
        <v>4.6220000000000001E-5</v>
      </c>
      <c r="P7834" s="9">
        <v>7.6840000000000003E-5</v>
      </c>
      <c r="Q7834" s="9">
        <v>1.0699E-4</v>
      </c>
      <c r="R7834" s="10">
        <v>9.9850005221440875E-5</v>
      </c>
      <c r="S7834" s="10">
        <v>1.7293065800047891E-5</v>
      </c>
      <c r="T7834" s="10">
        <v>0</v>
      </c>
      <c r="U7834" s="10">
        <v>1.0917E-4</v>
      </c>
      <c r="V7834" s="25"/>
      <c r="W7834" s="25"/>
      <c r="X7834" s="25"/>
      <c r="Y7834" s="25"/>
      <c r="Z7834" s="25"/>
      <c r="AA7834" s="25"/>
    </row>
    <row r="7835" spans="1:27" x14ac:dyDescent="0.35">
      <c r="A7835" s="5">
        <v>7831</v>
      </c>
      <c r="B7835" s="5">
        <v>327</v>
      </c>
      <c r="C7835" s="5">
        <v>11</v>
      </c>
      <c r="D7835" s="25">
        <v>1.1416E-4</v>
      </c>
      <c r="E7835" s="25">
        <v>1.1372E-4</v>
      </c>
      <c r="F7835" s="25">
        <v>9.6639999999999996E-5</v>
      </c>
      <c r="G7835" s="25">
        <v>1.0731E-4</v>
      </c>
      <c r="H7835" s="25">
        <v>1.3328E-4</v>
      </c>
      <c r="I7835" s="9">
        <v>1.2276E-4</v>
      </c>
      <c r="J7835" s="9">
        <v>1.1157E-4</v>
      </c>
      <c r="K7835" s="9">
        <v>2.522E-4</v>
      </c>
      <c r="L7835" s="9">
        <v>3.9759999999999999E-5</v>
      </c>
      <c r="M7835" s="9">
        <v>6.0010000000000003E-5</v>
      </c>
      <c r="N7835" s="9">
        <v>8.0669999999999998E-5</v>
      </c>
      <c r="O7835" s="9">
        <v>1.2248000000000001E-4</v>
      </c>
      <c r="P7835" s="9">
        <v>1.1629E-4</v>
      </c>
      <c r="Q7835" s="9">
        <v>1.114E-4</v>
      </c>
      <c r="R7835" s="10">
        <v>7.3544113924635065E-5</v>
      </c>
      <c r="S7835" s="10">
        <v>1.6909387458276011E-5</v>
      </c>
      <c r="T7835" s="10">
        <v>0</v>
      </c>
      <c r="U7835" s="10">
        <v>1.0917E-4</v>
      </c>
      <c r="V7835" s="25"/>
      <c r="W7835" s="25"/>
      <c r="X7835" s="25"/>
      <c r="Y7835" s="25"/>
      <c r="Z7835" s="25"/>
      <c r="AA7835" s="25"/>
    </row>
    <row r="7836" spans="1:27" x14ac:dyDescent="0.35">
      <c r="A7836" s="5">
        <v>7832</v>
      </c>
      <c r="B7836" s="5">
        <v>327</v>
      </c>
      <c r="C7836" s="5">
        <v>11</v>
      </c>
      <c r="D7836" s="25">
        <v>1.1415000000000001E-4</v>
      </c>
      <c r="E7836" s="25">
        <v>1.1735000000000001E-4</v>
      </c>
      <c r="F7836" s="25">
        <v>1.0972E-4</v>
      </c>
      <c r="G7836" s="25">
        <v>1.6626E-4</v>
      </c>
      <c r="H7836" s="25">
        <v>1.9940999999999999E-4</v>
      </c>
      <c r="I7836" s="9">
        <v>1.3396E-4</v>
      </c>
      <c r="J7836" s="9">
        <v>1.3074000000000001E-4</v>
      </c>
      <c r="K7836" s="9">
        <v>2.5856000000000002E-4</v>
      </c>
      <c r="L7836" s="9">
        <v>1.0365999999999999E-4</v>
      </c>
      <c r="M7836" s="9">
        <v>8.3259999999999999E-5</v>
      </c>
      <c r="N7836" s="9">
        <v>9.0550000000000005E-5</v>
      </c>
      <c r="O7836" s="9">
        <v>2.2044999999999999E-4</v>
      </c>
      <c r="P7836" s="9">
        <v>1.7683999999999999E-4</v>
      </c>
      <c r="Q7836" s="9">
        <v>1.3661000000000001E-4</v>
      </c>
      <c r="R7836" s="10">
        <v>4.9429761973989646E-5</v>
      </c>
      <c r="S7836" s="10">
        <v>1.9446185975805963E-5</v>
      </c>
      <c r="T7836" s="10">
        <v>0</v>
      </c>
      <c r="U7836" s="10">
        <v>1.0917E-4</v>
      </c>
      <c r="V7836" s="25"/>
      <c r="W7836" s="25"/>
      <c r="X7836" s="25"/>
      <c r="Y7836" s="25"/>
      <c r="Z7836" s="25"/>
      <c r="AA7836" s="25"/>
    </row>
    <row r="7837" spans="1:27" x14ac:dyDescent="0.35">
      <c r="A7837" s="5">
        <v>7833</v>
      </c>
      <c r="B7837" s="5">
        <v>327</v>
      </c>
      <c r="C7837" s="5">
        <v>11</v>
      </c>
      <c r="D7837" s="25">
        <v>1.1416E-4</v>
      </c>
      <c r="E7837" s="25">
        <v>1.1400000000000001E-4</v>
      </c>
      <c r="F7837" s="25">
        <v>1.1341999999999999E-4</v>
      </c>
      <c r="G7837" s="25">
        <v>1.5671000000000001E-4</v>
      </c>
      <c r="H7837" s="25">
        <v>1.8950999999999999E-4</v>
      </c>
      <c r="I7837" s="9">
        <v>1.3524000000000001E-4</v>
      </c>
      <c r="J7837" s="9">
        <v>1.394E-4</v>
      </c>
      <c r="K7837" s="9">
        <v>2.5856000000000002E-4</v>
      </c>
      <c r="L7837" s="9">
        <v>1.93E-4</v>
      </c>
      <c r="M7837" s="9">
        <v>1.2296E-4</v>
      </c>
      <c r="N7837" s="9">
        <v>1.0432E-4</v>
      </c>
      <c r="O7837" s="9">
        <v>2.128E-4</v>
      </c>
      <c r="P7837" s="9">
        <v>1.9362000000000001E-4</v>
      </c>
      <c r="Q7837" s="9">
        <v>1.7731999999999999E-4</v>
      </c>
      <c r="R7837" s="10">
        <v>3.0188781454756722E-5</v>
      </c>
      <c r="S7837" s="10">
        <v>2.2888572112586542E-5</v>
      </c>
      <c r="T7837" s="10">
        <v>1.1585310762619607E-4</v>
      </c>
      <c r="U7837" s="10">
        <v>1.0917E-4</v>
      </c>
      <c r="V7837" s="25"/>
      <c r="W7837" s="25"/>
      <c r="X7837" s="25"/>
      <c r="Y7837" s="25"/>
      <c r="Z7837" s="25"/>
      <c r="AA7837" s="25"/>
    </row>
    <row r="7838" spans="1:27" x14ac:dyDescent="0.35">
      <c r="A7838" s="5">
        <v>7834</v>
      </c>
      <c r="B7838" s="5">
        <v>327</v>
      </c>
      <c r="C7838" s="5">
        <v>11</v>
      </c>
      <c r="D7838" s="25">
        <v>1.1415000000000001E-4</v>
      </c>
      <c r="E7838" s="25">
        <v>1.1747999999999999E-4</v>
      </c>
      <c r="F7838" s="25">
        <v>1.0333E-4</v>
      </c>
      <c r="G7838" s="25">
        <v>1.5640000000000001E-4</v>
      </c>
      <c r="H7838" s="25">
        <v>1.9547999999999999E-4</v>
      </c>
      <c r="I7838" s="9">
        <v>1.3603000000000001E-4</v>
      </c>
      <c r="J7838" s="9">
        <v>1.4185000000000001E-4</v>
      </c>
      <c r="K7838" s="9">
        <v>2.4372E-4</v>
      </c>
      <c r="L7838" s="9">
        <v>2.061E-4</v>
      </c>
      <c r="M7838" s="9">
        <v>1.5846999999999999E-4</v>
      </c>
      <c r="N7838" s="9">
        <v>1.2443999999999999E-4</v>
      </c>
      <c r="O7838" s="9">
        <v>1.6803E-4</v>
      </c>
      <c r="P7838" s="9">
        <v>1.7424000000000001E-4</v>
      </c>
      <c r="Q7838" s="9">
        <v>1.8226000000000001E-4</v>
      </c>
      <c r="R7838" s="10">
        <v>1.3839020101511331E-5</v>
      </c>
      <c r="S7838" s="10">
        <v>2.8894016714981096E-5</v>
      </c>
      <c r="T7838" s="10">
        <v>3.5478794592490965E-4</v>
      </c>
      <c r="U7838" s="10">
        <v>1.0917E-4</v>
      </c>
      <c r="V7838" s="25"/>
      <c r="W7838" s="25"/>
      <c r="X7838" s="25"/>
      <c r="Y7838" s="25"/>
      <c r="Z7838" s="25"/>
      <c r="AA7838" s="25"/>
    </row>
    <row r="7839" spans="1:27" x14ac:dyDescent="0.35">
      <c r="A7839" s="5">
        <v>7835</v>
      </c>
      <c r="B7839" s="5">
        <v>327</v>
      </c>
      <c r="C7839" s="5">
        <v>11</v>
      </c>
      <c r="D7839" s="25">
        <v>1.1416E-4</v>
      </c>
      <c r="E7839" s="25">
        <v>1.2034E-4</v>
      </c>
      <c r="F7839" s="25">
        <v>9.2319999999999997E-5</v>
      </c>
      <c r="G7839" s="25">
        <v>1.6430000000000001E-4</v>
      </c>
      <c r="H7839" s="25">
        <v>1.8804E-4</v>
      </c>
      <c r="I7839" s="9">
        <v>1.3459E-4</v>
      </c>
      <c r="J7839" s="9">
        <v>1.4092999999999999E-4</v>
      </c>
      <c r="K7839" s="9">
        <v>2.3948E-4</v>
      </c>
      <c r="L7839" s="9">
        <v>1.7645000000000001E-4</v>
      </c>
      <c r="M7839" s="9">
        <v>1.7238999999999999E-4</v>
      </c>
      <c r="N7839" s="9">
        <v>1.4259E-4</v>
      </c>
      <c r="O7839" s="9">
        <v>1.6880000000000001E-4</v>
      </c>
      <c r="P7839" s="9">
        <v>1.7369E-4</v>
      </c>
      <c r="Q7839" s="9">
        <v>1.8039999999999999E-4</v>
      </c>
      <c r="R7839" s="10">
        <v>2.8118409611561714E-6</v>
      </c>
      <c r="S7839" s="10">
        <v>4.1948311376392436E-5</v>
      </c>
      <c r="T7839" s="10">
        <v>4.1805536617892238E-4</v>
      </c>
      <c r="U7839" s="10">
        <v>1.0917E-4</v>
      </c>
      <c r="V7839" s="25"/>
      <c r="W7839" s="25"/>
      <c r="X7839" s="25"/>
      <c r="Y7839" s="25"/>
      <c r="Z7839" s="25"/>
      <c r="AA7839" s="25"/>
    </row>
    <row r="7840" spans="1:27" x14ac:dyDescent="0.35">
      <c r="A7840" s="5">
        <v>7836</v>
      </c>
      <c r="B7840" s="5">
        <v>327</v>
      </c>
      <c r="C7840" s="5">
        <v>11</v>
      </c>
      <c r="D7840" s="25">
        <v>1.1415000000000001E-4</v>
      </c>
      <c r="E7840" s="25">
        <v>1.1032E-4</v>
      </c>
      <c r="F7840" s="25">
        <v>9.8839999999999996E-5</v>
      </c>
      <c r="G7840" s="25">
        <v>1.5779999999999999E-4</v>
      </c>
      <c r="H7840" s="25">
        <v>1.9317999999999999E-4</v>
      </c>
      <c r="I7840" s="9">
        <v>1.3521E-4</v>
      </c>
      <c r="J7840" s="9">
        <v>1.3967E-4</v>
      </c>
      <c r="K7840" s="9">
        <v>2.3101E-4</v>
      </c>
      <c r="L7840" s="9">
        <v>1.7191999999999999E-4</v>
      </c>
      <c r="M7840" s="9">
        <v>1.7521999999999999E-4</v>
      </c>
      <c r="N7840" s="9">
        <v>1.5690999999999999E-4</v>
      </c>
      <c r="O7840" s="9">
        <v>1.7195000000000001E-4</v>
      </c>
      <c r="P7840" s="9">
        <v>1.727E-4</v>
      </c>
      <c r="Q7840" s="9">
        <v>1.7539000000000001E-4</v>
      </c>
      <c r="R7840" s="10">
        <v>1.0740113739539686E-6</v>
      </c>
      <c r="S7840" s="10">
        <v>6.1840615355215965E-5</v>
      </c>
      <c r="T7840" s="10">
        <v>3.0390760272210493E-4</v>
      </c>
      <c r="U7840" s="10">
        <v>1.0917E-4</v>
      </c>
      <c r="V7840" s="25"/>
      <c r="W7840" s="25"/>
      <c r="X7840" s="25"/>
      <c r="Y7840" s="25"/>
      <c r="Z7840" s="25"/>
      <c r="AA7840" s="25"/>
    </row>
    <row r="7841" spans="1:27" x14ac:dyDescent="0.35">
      <c r="A7841" s="5">
        <v>7837</v>
      </c>
      <c r="B7841" s="5">
        <v>327</v>
      </c>
      <c r="C7841" s="5">
        <v>11</v>
      </c>
      <c r="D7841" s="25">
        <v>1.1416E-4</v>
      </c>
      <c r="E7841" s="25">
        <v>1.1229E-4</v>
      </c>
      <c r="F7841" s="25">
        <v>9.9660000000000005E-5</v>
      </c>
      <c r="G7841" s="25">
        <v>1.6606999999999999E-4</v>
      </c>
      <c r="H7841" s="25">
        <v>1.9107E-4</v>
      </c>
      <c r="I7841" s="9">
        <v>1.3181E-4</v>
      </c>
      <c r="J7841" s="9">
        <v>1.3719000000000001E-4</v>
      </c>
      <c r="K7841" s="9">
        <v>2.2677E-4</v>
      </c>
      <c r="L7841" s="9">
        <v>1.7210000000000001E-4</v>
      </c>
      <c r="M7841" s="9">
        <v>1.7456000000000001E-4</v>
      </c>
      <c r="N7841" s="9">
        <v>1.6668999999999999E-4</v>
      </c>
      <c r="O7841" s="9">
        <v>1.6135999999999999E-4</v>
      </c>
      <c r="P7841" s="9">
        <v>1.6296E-4</v>
      </c>
      <c r="Q7841" s="9">
        <v>1.6634000000000001E-4</v>
      </c>
      <c r="R7841" s="10">
        <v>1.0011524892806711E-5</v>
      </c>
      <c r="S7841" s="10">
        <v>9.2440472578503866E-5</v>
      </c>
      <c r="T7841" s="10">
        <v>2.5659066524636018E-4</v>
      </c>
      <c r="U7841" s="10">
        <v>1.0917E-4</v>
      </c>
      <c r="V7841" s="25"/>
      <c r="W7841" s="25"/>
      <c r="X7841" s="25"/>
      <c r="Y7841" s="25"/>
      <c r="Z7841" s="25"/>
      <c r="AA7841" s="25"/>
    </row>
    <row r="7842" spans="1:27" x14ac:dyDescent="0.35">
      <c r="A7842" s="5">
        <v>7838</v>
      </c>
      <c r="B7842" s="5">
        <v>327</v>
      </c>
      <c r="C7842" s="5">
        <v>11</v>
      </c>
      <c r="D7842" s="25">
        <v>1.1415000000000001E-4</v>
      </c>
      <c r="E7842" s="25">
        <v>1.1791E-4</v>
      </c>
      <c r="F7842" s="25">
        <v>9.5080000000000004E-5</v>
      </c>
      <c r="G7842" s="25">
        <v>1.6689999999999999E-4</v>
      </c>
      <c r="H7842" s="25">
        <v>2.0065999999999999E-4</v>
      </c>
      <c r="I7842" s="9">
        <v>1.2993E-4</v>
      </c>
      <c r="J7842" s="9">
        <v>1.3831E-4</v>
      </c>
      <c r="K7842" s="9">
        <v>2.2676E-4</v>
      </c>
      <c r="L7842" s="9">
        <v>1.6344999999999999E-4</v>
      </c>
      <c r="M7842" s="9">
        <v>1.7018E-4</v>
      </c>
      <c r="N7842" s="9">
        <v>1.7075E-4</v>
      </c>
      <c r="O7842" s="9">
        <v>1.7996E-4</v>
      </c>
      <c r="P7842" s="9">
        <v>1.6966E-4</v>
      </c>
      <c r="Q7842" s="9">
        <v>1.616E-4</v>
      </c>
      <c r="R7842" s="10">
        <v>1.7757795563799371E-5</v>
      </c>
      <c r="S7842" s="10">
        <v>1.1909976318464953E-4</v>
      </c>
      <c r="T7842" s="10">
        <v>1.7923082377176066E-4</v>
      </c>
      <c r="U7842" s="10">
        <v>1.0917E-4</v>
      </c>
      <c r="V7842" s="25"/>
      <c r="W7842" s="25"/>
      <c r="X7842" s="25"/>
      <c r="Y7842" s="25"/>
      <c r="Z7842" s="25"/>
      <c r="AA7842" s="25"/>
    </row>
    <row r="7843" spans="1:27" x14ac:dyDescent="0.35">
      <c r="A7843" s="5">
        <v>7839</v>
      </c>
      <c r="B7843" s="5">
        <v>327</v>
      </c>
      <c r="C7843" s="5">
        <v>11</v>
      </c>
      <c r="D7843" s="25">
        <v>1.1416E-4</v>
      </c>
      <c r="E7843" s="25">
        <v>1.1290000000000001E-4</v>
      </c>
      <c r="F7843" s="25">
        <v>1.0747E-4</v>
      </c>
      <c r="G7843" s="25">
        <v>1.5834000000000001E-4</v>
      </c>
      <c r="H7843" s="25">
        <v>1.8776E-4</v>
      </c>
      <c r="I7843" s="9">
        <v>1.3145999999999999E-4</v>
      </c>
      <c r="J7843" s="9">
        <v>1.3870000000000001E-4</v>
      </c>
      <c r="K7843" s="9">
        <v>2.2465000000000001E-4</v>
      </c>
      <c r="L7843" s="9">
        <v>1.7655000000000001E-4</v>
      </c>
      <c r="M7843" s="9">
        <v>1.6872999999999999E-4</v>
      </c>
      <c r="N7843" s="9">
        <v>1.7039E-4</v>
      </c>
      <c r="O7843" s="9">
        <v>1.8358E-4</v>
      </c>
      <c r="P7843" s="9">
        <v>1.6655000000000001E-4</v>
      </c>
      <c r="Q7843" s="9">
        <v>1.5191E-4</v>
      </c>
      <c r="R7843" s="10">
        <v>2.9924384534989161E-5</v>
      </c>
      <c r="S7843" s="10">
        <v>1.3650285750749165E-4</v>
      </c>
      <c r="T7843" s="10">
        <v>2.1448308757160284E-4</v>
      </c>
      <c r="U7843" s="10">
        <v>1.0917E-4</v>
      </c>
      <c r="V7843" s="25"/>
      <c r="W7843" s="25"/>
      <c r="X7843" s="25"/>
      <c r="Y7843" s="25"/>
      <c r="Z7843" s="25"/>
      <c r="AA7843" s="25"/>
    </row>
    <row r="7844" spans="1:27" x14ac:dyDescent="0.35">
      <c r="A7844" s="5">
        <v>7840</v>
      </c>
      <c r="B7844" s="5">
        <v>327</v>
      </c>
      <c r="C7844" s="5">
        <v>11</v>
      </c>
      <c r="D7844" s="25">
        <v>1.1415000000000001E-4</v>
      </c>
      <c r="E7844" s="25">
        <v>1.1296E-4</v>
      </c>
      <c r="F7844" s="25">
        <v>9.6869999999999999E-5</v>
      </c>
      <c r="G7844" s="25">
        <v>1.6678E-4</v>
      </c>
      <c r="H7844" s="25">
        <v>1.9773999999999999E-4</v>
      </c>
      <c r="I7844" s="9">
        <v>1.3421E-4</v>
      </c>
      <c r="J7844" s="9">
        <v>1.4044E-4</v>
      </c>
      <c r="K7844" s="9">
        <v>2.2676E-4</v>
      </c>
      <c r="L7844" s="9">
        <v>1.8169E-4</v>
      </c>
      <c r="M7844" s="9">
        <v>1.6767999999999999E-4</v>
      </c>
      <c r="N7844" s="9">
        <v>1.6629000000000001E-4</v>
      </c>
      <c r="O7844" s="9">
        <v>1.9657999999999999E-4</v>
      </c>
      <c r="P7844" s="9">
        <v>1.5118999999999999E-4</v>
      </c>
      <c r="Q7844" s="9">
        <v>1.0885E-4</v>
      </c>
      <c r="R7844" s="10">
        <v>5.5433394380409937E-5</v>
      </c>
      <c r="S7844" s="10">
        <v>1.4916881530987246E-4</v>
      </c>
      <c r="T7844" s="10">
        <v>2.0056883663736909E-5</v>
      </c>
      <c r="U7844" s="10">
        <v>1.0917E-4</v>
      </c>
      <c r="V7844" s="25"/>
      <c r="W7844" s="25"/>
      <c r="X7844" s="25"/>
      <c r="Y7844" s="25"/>
      <c r="Z7844" s="25"/>
      <c r="AA7844" s="25"/>
    </row>
    <row r="7845" spans="1:27" x14ac:dyDescent="0.35">
      <c r="A7845" s="5">
        <v>7841</v>
      </c>
      <c r="B7845" s="5">
        <v>327</v>
      </c>
      <c r="C7845" s="5">
        <v>11</v>
      </c>
      <c r="D7845" s="25">
        <v>1.1416E-4</v>
      </c>
      <c r="E7845" s="25">
        <v>1.1339E-4</v>
      </c>
      <c r="F7845" s="25">
        <v>1.1243000000000001E-4</v>
      </c>
      <c r="G7845" s="25">
        <v>1.6118E-4</v>
      </c>
      <c r="H7845" s="25">
        <v>1.9548999999999999E-4</v>
      </c>
      <c r="I7845" s="9">
        <v>1.3632999999999999E-4</v>
      </c>
      <c r="J7845" s="9">
        <v>1.4503000000000001E-4</v>
      </c>
      <c r="K7845" s="9">
        <v>2.2253E-4</v>
      </c>
      <c r="L7845" s="9">
        <v>1.9309000000000001E-4</v>
      </c>
      <c r="M7845" s="9">
        <v>1.6158000000000001E-4</v>
      </c>
      <c r="N7845" s="9">
        <v>1.5228E-4</v>
      </c>
      <c r="O7845" s="9">
        <v>2.1462E-4</v>
      </c>
      <c r="P7845" s="9">
        <v>1.5907000000000001E-4</v>
      </c>
      <c r="Q7845" s="9">
        <v>1.07E-4</v>
      </c>
      <c r="R7845" s="10">
        <v>9.4669641577140493E-5</v>
      </c>
      <c r="S7845" s="10">
        <v>1.6234517086528261E-4</v>
      </c>
      <c r="T7845" s="10">
        <v>0</v>
      </c>
      <c r="U7845" s="10">
        <v>1.0917E-4</v>
      </c>
      <c r="V7845" s="25"/>
      <c r="W7845" s="25"/>
      <c r="X7845" s="25"/>
      <c r="Y7845" s="25"/>
      <c r="Z7845" s="25"/>
      <c r="AA7845" s="25"/>
    </row>
    <row r="7846" spans="1:27" x14ac:dyDescent="0.35">
      <c r="A7846" s="5">
        <v>7842</v>
      </c>
      <c r="B7846" s="5">
        <v>327</v>
      </c>
      <c r="C7846" s="5">
        <v>11</v>
      </c>
      <c r="D7846" s="25">
        <v>1.1415000000000001E-4</v>
      </c>
      <c r="E7846" s="25">
        <v>1.1031000000000001E-4</v>
      </c>
      <c r="F7846" s="25">
        <v>1.0921000000000001E-4</v>
      </c>
      <c r="G7846" s="25">
        <v>1.6389E-4</v>
      </c>
      <c r="H7846" s="25">
        <v>1.9918E-4</v>
      </c>
      <c r="I7846" s="9">
        <v>1.4498000000000001E-4</v>
      </c>
      <c r="J7846" s="9">
        <v>1.5220000000000001E-4</v>
      </c>
      <c r="K7846" s="9">
        <v>2.2041000000000001E-4</v>
      </c>
      <c r="L7846" s="9">
        <v>2.0966999999999999E-4</v>
      </c>
      <c r="M7846" s="9">
        <v>1.5898999999999999E-4</v>
      </c>
      <c r="N7846" s="9">
        <v>1.3883999999999999E-4</v>
      </c>
      <c r="O7846" s="9">
        <v>2.0636999999999999E-4</v>
      </c>
      <c r="P7846" s="9">
        <v>1.6044E-4</v>
      </c>
      <c r="Q7846" s="9">
        <v>1.1771E-4</v>
      </c>
      <c r="R7846" s="10">
        <v>1.3908891413119768E-4</v>
      </c>
      <c r="S7846" s="10">
        <v>1.7476293301556018E-4</v>
      </c>
      <c r="T7846" s="10">
        <v>0</v>
      </c>
      <c r="U7846" s="10">
        <v>1.0917E-4</v>
      </c>
      <c r="V7846" s="25"/>
      <c r="W7846" s="25"/>
      <c r="X7846" s="25"/>
      <c r="Y7846" s="25"/>
      <c r="Z7846" s="25"/>
      <c r="AA7846" s="25"/>
    </row>
    <row r="7847" spans="1:27" x14ac:dyDescent="0.35">
      <c r="A7847" s="5">
        <v>7843</v>
      </c>
      <c r="B7847" s="5">
        <v>327</v>
      </c>
      <c r="C7847" s="5">
        <v>11</v>
      </c>
      <c r="D7847" s="25">
        <v>1.1416E-4</v>
      </c>
      <c r="E7847" s="25">
        <v>1.1313E-4</v>
      </c>
      <c r="F7847" s="25">
        <v>9.7600000000000001E-5</v>
      </c>
      <c r="G7847" s="25">
        <v>1.1176E-4</v>
      </c>
      <c r="H7847" s="25">
        <v>1.3425000000000001E-4</v>
      </c>
      <c r="I7847" s="9">
        <v>1.4423999999999999E-4</v>
      </c>
      <c r="J7847" s="9">
        <v>1.459E-4</v>
      </c>
      <c r="K7847" s="9">
        <v>2.2465000000000001E-4</v>
      </c>
      <c r="L7847" s="9">
        <v>2.0666E-4</v>
      </c>
      <c r="M7847" s="9">
        <v>1.5902000000000001E-4</v>
      </c>
      <c r="N7847" s="9">
        <v>1.2978999999999999E-4</v>
      </c>
      <c r="O7847" s="9">
        <v>1.6420000000000001E-4</v>
      </c>
      <c r="P7847" s="9">
        <v>1.3420000000000001E-4</v>
      </c>
      <c r="Q7847" s="9">
        <v>1.0652E-4</v>
      </c>
      <c r="R7847" s="10">
        <v>1.6564195542830977E-4</v>
      </c>
      <c r="S7847" s="10">
        <v>1.8094973567166808E-4</v>
      </c>
      <c r="T7847" s="10">
        <v>0</v>
      </c>
      <c r="U7847" s="10">
        <v>1.0917E-4</v>
      </c>
      <c r="V7847" s="25"/>
      <c r="W7847" s="25"/>
      <c r="X7847" s="25"/>
      <c r="Y7847" s="25"/>
      <c r="Z7847" s="25"/>
      <c r="AA7847" s="25"/>
    </row>
    <row r="7848" spans="1:27" x14ac:dyDescent="0.35">
      <c r="A7848" s="5">
        <v>7844</v>
      </c>
      <c r="B7848" s="5">
        <v>327</v>
      </c>
      <c r="C7848" s="5">
        <v>11</v>
      </c>
      <c r="D7848" s="25">
        <v>1.1415000000000001E-4</v>
      </c>
      <c r="E7848" s="25">
        <v>1.1626E-4</v>
      </c>
      <c r="F7848" s="25">
        <v>9.9669999999999999E-5</v>
      </c>
      <c r="G7848" s="25">
        <v>1.0645E-4</v>
      </c>
      <c r="H7848" s="25">
        <v>1.3336000000000001E-4</v>
      </c>
      <c r="I7848" s="9">
        <v>1.3818000000000001E-4</v>
      </c>
      <c r="J7848" s="9">
        <v>1.4124E-4</v>
      </c>
      <c r="K7848" s="9">
        <v>2.2253E-4</v>
      </c>
      <c r="L7848" s="9">
        <v>1.7369E-4</v>
      </c>
      <c r="M7848" s="9">
        <v>1.5027000000000001E-4</v>
      </c>
      <c r="N7848" s="9">
        <v>1.2057000000000001E-4</v>
      </c>
      <c r="O7848" s="9">
        <v>1.3028000000000001E-4</v>
      </c>
      <c r="P7848" s="9">
        <v>1.1568E-4</v>
      </c>
      <c r="Q7848" s="9">
        <v>1.0262E-4</v>
      </c>
      <c r="R7848" s="10">
        <v>1.8297704068877447E-4</v>
      </c>
      <c r="S7848" s="10">
        <v>1.8524497995429161E-4</v>
      </c>
      <c r="T7848" s="10">
        <v>0</v>
      </c>
      <c r="U7848" s="10">
        <v>1.0917E-4</v>
      </c>
      <c r="V7848" s="25"/>
      <c r="W7848" s="25"/>
      <c r="X7848" s="25"/>
      <c r="Y7848" s="25"/>
      <c r="Z7848" s="25"/>
      <c r="AA7848" s="25"/>
    </row>
    <row r="7849" spans="1:27" x14ac:dyDescent="0.35">
      <c r="A7849" s="5">
        <v>7845</v>
      </c>
      <c r="B7849" s="5">
        <v>327</v>
      </c>
      <c r="C7849" s="5">
        <v>11</v>
      </c>
      <c r="D7849" s="25">
        <v>1.1416E-4</v>
      </c>
      <c r="E7849" s="25">
        <v>1.1021E-4</v>
      </c>
      <c r="F7849" s="25">
        <v>9.132E-5</v>
      </c>
      <c r="G7849" s="25">
        <v>5.8220000000000002E-5</v>
      </c>
      <c r="H7849" s="25">
        <v>7.1899999999999999E-5</v>
      </c>
      <c r="I7849" s="9">
        <v>1.3135999999999999E-4</v>
      </c>
      <c r="J7849" s="9">
        <v>1.35E-4</v>
      </c>
      <c r="K7849" s="9">
        <v>2.2465000000000001E-4</v>
      </c>
      <c r="L7849" s="9">
        <v>1.4086E-4</v>
      </c>
      <c r="M7849" s="9">
        <v>1.3533999999999999E-4</v>
      </c>
      <c r="N7849" s="9">
        <v>1.1312E-4</v>
      </c>
      <c r="O7849" s="9">
        <v>8.4889999999999995E-5</v>
      </c>
      <c r="P7849" s="9">
        <v>8.6290000000000002E-5</v>
      </c>
      <c r="Q7849" s="9">
        <v>8.8289999999999997E-5</v>
      </c>
      <c r="R7849" s="10">
        <v>1.9689741371940034E-4</v>
      </c>
      <c r="S7849" s="10">
        <v>1.8825533840270486E-4</v>
      </c>
      <c r="T7849" s="10">
        <v>0</v>
      </c>
      <c r="U7849" s="10">
        <v>1.0917E-4</v>
      </c>
      <c r="V7849" s="25"/>
      <c r="W7849" s="25"/>
      <c r="X7849" s="25"/>
      <c r="Y7849" s="25"/>
      <c r="Z7849" s="25"/>
      <c r="AA7849" s="25"/>
    </row>
    <row r="7850" spans="1:27" x14ac:dyDescent="0.35">
      <c r="A7850" s="5">
        <v>7846</v>
      </c>
      <c r="B7850" s="5">
        <v>327</v>
      </c>
      <c r="C7850" s="5">
        <v>11</v>
      </c>
      <c r="D7850" s="25">
        <v>1.1415000000000001E-4</v>
      </c>
      <c r="E7850" s="25">
        <v>1.1383999999999999E-4</v>
      </c>
      <c r="F7850" s="25">
        <v>1.1084E-4</v>
      </c>
      <c r="G7850" s="25">
        <v>5.4669999999999997E-5</v>
      </c>
      <c r="H7850" s="25">
        <v>7.6050000000000005E-5</v>
      </c>
      <c r="I7850" s="9">
        <v>1.2495E-4</v>
      </c>
      <c r="J7850" s="9">
        <v>1.2698000000000001E-4</v>
      </c>
      <c r="K7850" s="9">
        <v>2.2041000000000001E-4</v>
      </c>
      <c r="L7850" s="9">
        <v>9.8099999999999999E-5</v>
      </c>
      <c r="M7850" s="9">
        <v>1.1386E-4</v>
      </c>
      <c r="N7850" s="9">
        <v>1.0559E-4</v>
      </c>
      <c r="O7850" s="9">
        <v>8.7940000000000002E-5</v>
      </c>
      <c r="P7850" s="9">
        <v>8.7929999999999993E-5</v>
      </c>
      <c r="Q7850" s="9">
        <v>8.8579999999999996E-5</v>
      </c>
      <c r="R7850" s="10">
        <v>2.0410903702294074E-4</v>
      </c>
      <c r="S7850" s="10">
        <v>1.8969530339836303E-4</v>
      </c>
      <c r="T7850" s="10">
        <v>0</v>
      </c>
      <c r="U7850" s="10">
        <v>1.0917E-4</v>
      </c>
      <c r="V7850" s="25"/>
      <c r="W7850" s="25"/>
      <c r="X7850" s="25"/>
      <c r="Y7850" s="25"/>
      <c r="Z7850" s="25"/>
      <c r="AA7850" s="25"/>
    </row>
    <row r="7851" spans="1:27" x14ac:dyDescent="0.35">
      <c r="A7851" s="5">
        <v>7847</v>
      </c>
      <c r="B7851" s="5">
        <v>327</v>
      </c>
      <c r="C7851" s="5">
        <v>11</v>
      </c>
      <c r="D7851" s="25">
        <v>1.1416E-4</v>
      </c>
      <c r="E7851" s="25">
        <v>1.1189E-4</v>
      </c>
      <c r="F7851" s="25">
        <v>9.3529999999999994E-5</v>
      </c>
      <c r="G7851" s="25">
        <v>5.533E-5</v>
      </c>
      <c r="H7851" s="25">
        <v>6.6199999999999996E-5</v>
      </c>
      <c r="I7851" s="9">
        <v>1.2452000000000001E-4</v>
      </c>
      <c r="J7851" s="9">
        <v>1.1726E-4</v>
      </c>
      <c r="K7851" s="9">
        <v>2.2253E-4</v>
      </c>
      <c r="L7851" s="9">
        <v>9.1119999999999995E-5</v>
      </c>
      <c r="M7851" s="9">
        <v>9.925E-5</v>
      </c>
      <c r="N7851" s="9">
        <v>9.9900000000000002E-5</v>
      </c>
      <c r="O7851" s="9">
        <v>7.7960000000000006E-5</v>
      </c>
      <c r="P7851" s="9">
        <v>7.2109999999999999E-5</v>
      </c>
      <c r="Q7851" s="9">
        <v>6.6859999999999993E-5</v>
      </c>
      <c r="R7851" s="10">
        <v>2.0669818446288207E-4</v>
      </c>
      <c r="S7851" s="10">
        <v>1.9025147785432716E-4</v>
      </c>
      <c r="T7851" s="10">
        <v>0</v>
      </c>
      <c r="U7851" s="10">
        <v>1.0917E-4</v>
      </c>
      <c r="V7851" s="25"/>
      <c r="W7851" s="25"/>
      <c r="X7851" s="25"/>
      <c r="Y7851" s="25"/>
      <c r="Z7851" s="25"/>
      <c r="AA7851" s="25"/>
    </row>
    <row r="7852" spans="1:27" x14ac:dyDescent="0.35">
      <c r="A7852" s="5">
        <v>7848</v>
      </c>
      <c r="B7852" s="5">
        <v>327</v>
      </c>
      <c r="C7852" s="5">
        <v>11</v>
      </c>
      <c r="D7852" s="25">
        <v>1.1415000000000001E-4</v>
      </c>
      <c r="E7852" s="25">
        <v>1.1781E-4</v>
      </c>
      <c r="F7852" s="25">
        <v>9.6890000000000002E-5</v>
      </c>
      <c r="G7852" s="25">
        <v>6.054E-5</v>
      </c>
      <c r="H7852" s="25">
        <v>7.1740000000000001E-5</v>
      </c>
      <c r="I7852" s="9">
        <v>1.2213999999999999E-4</v>
      </c>
      <c r="J7852" s="9">
        <v>1.0927E-4</v>
      </c>
      <c r="K7852" s="9">
        <v>2.2041000000000001E-4</v>
      </c>
      <c r="L7852" s="9">
        <v>8.085E-5</v>
      </c>
      <c r="M7852" s="9">
        <v>8.6260000000000004E-5</v>
      </c>
      <c r="N7852" s="9">
        <v>9.0649999999999994E-5</v>
      </c>
      <c r="O7852" s="9">
        <v>6.3189999999999996E-5</v>
      </c>
      <c r="P7852" s="9">
        <v>6.1050000000000007E-5</v>
      </c>
      <c r="Q7852" s="9">
        <v>5.9219999999999999E-5</v>
      </c>
      <c r="R7852" s="10">
        <v>2.0839187129654462E-4</v>
      </c>
      <c r="S7852" s="10">
        <v>1.9026585080812158E-4</v>
      </c>
      <c r="T7852" s="10">
        <v>0</v>
      </c>
      <c r="U7852" s="10">
        <v>1.0917E-4</v>
      </c>
      <c r="V7852" s="25"/>
      <c r="W7852" s="25"/>
      <c r="X7852" s="25"/>
      <c r="Y7852" s="25"/>
      <c r="Z7852" s="25"/>
      <c r="AA7852" s="25"/>
    </row>
    <row r="7853" spans="1:27" x14ac:dyDescent="0.35">
      <c r="A7853" s="5">
        <v>7849</v>
      </c>
      <c r="B7853" s="5">
        <v>328</v>
      </c>
      <c r="C7853" s="5">
        <v>11</v>
      </c>
      <c r="D7853" s="25">
        <v>1.1416E-4</v>
      </c>
      <c r="E7853" s="25">
        <v>1.0726999999999999E-4</v>
      </c>
      <c r="F7853" s="25">
        <v>1.183E-4</v>
      </c>
      <c r="G7853" s="25">
        <v>5.8319999999999997E-5</v>
      </c>
      <c r="H7853" s="25">
        <v>4.6109999999999997E-5</v>
      </c>
      <c r="I7853" s="9">
        <v>1.1468000000000001E-4</v>
      </c>
      <c r="J7853" s="9">
        <v>1.0268E-4</v>
      </c>
      <c r="K7853" s="9">
        <v>2.2253E-4</v>
      </c>
      <c r="L7853" s="9">
        <v>6.7070000000000007E-5</v>
      </c>
      <c r="M7853" s="9">
        <v>7.4200000000000001E-5</v>
      </c>
      <c r="N7853" s="9">
        <v>8.1329999999999996E-5</v>
      </c>
      <c r="O7853" s="9">
        <v>6.8860000000000001E-5</v>
      </c>
      <c r="P7853" s="9">
        <v>6.1309999999999994E-5</v>
      </c>
      <c r="Q7853" s="9">
        <v>5.4070000000000002E-5</v>
      </c>
      <c r="R7853" s="10">
        <v>2.1047621824470269E-4</v>
      </c>
      <c r="S7853" s="10">
        <v>1.9029020759484994E-4</v>
      </c>
      <c r="T7853" s="10">
        <v>0</v>
      </c>
      <c r="U7853" s="10">
        <v>1.077E-4</v>
      </c>
      <c r="V7853" s="25"/>
      <c r="W7853" s="25"/>
      <c r="X7853" s="25"/>
      <c r="Y7853" s="25"/>
      <c r="Z7853" s="25"/>
      <c r="AA7853" s="25"/>
    </row>
    <row r="7854" spans="1:27" x14ac:dyDescent="0.35">
      <c r="A7854" s="5">
        <v>7850</v>
      </c>
      <c r="B7854" s="5">
        <v>328</v>
      </c>
      <c r="C7854" s="5">
        <v>11</v>
      </c>
      <c r="D7854" s="25">
        <v>1.1415000000000001E-4</v>
      </c>
      <c r="E7854" s="25">
        <v>1.0603E-4</v>
      </c>
      <c r="F7854" s="25">
        <v>1.0582E-4</v>
      </c>
      <c r="G7854" s="25">
        <v>5.6740000000000002E-5</v>
      </c>
      <c r="H7854" s="25">
        <v>3.9360000000000003E-5</v>
      </c>
      <c r="I7854" s="9">
        <v>1.0883999999999999E-4</v>
      </c>
      <c r="J7854" s="9">
        <v>9.8060000000000006E-5</v>
      </c>
      <c r="K7854" s="9">
        <v>2.2041000000000001E-4</v>
      </c>
      <c r="L7854" s="9">
        <v>6.8839999999999998E-5</v>
      </c>
      <c r="M7854" s="9">
        <v>6.6699999999999995E-5</v>
      </c>
      <c r="N7854" s="9">
        <v>7.2329999999999994E-5</v>
      </c>
      <c r="O7854" s="9">
        <v>3.5169999999999997E-5</v>
      </c>
      <c r="P7854" s="9">
        <v>4.6060000000000003E-5</v>
      </c>
      <c r="Q7854" s="9">
        <v>5.6450000000000003E-5</v>
      </c>
      <c r="R7854" s="10">
        <v>2.1128901293823759E-4</v>
      </c>
      <c r="S7854" s="10">
        <v>1.9029020759484994E-4</v>
      </c>
      <c r="T7854" s="10">
        <v>0</v>
      </c>
      <c r="U7854" s="10">
        <v>1.077E-4</v>
      </c>
      <c r="V7854" s="25"/>
      <c r="W7854" s="25"/>
      <c r="X7854" s="25"/>
      <c r="Y7854" s="25"/>
      <c r="Z7854" s="25"/>
      <c r="AA7854" s="25"/>
    </row>
    <row r="7855" spans="1:27" x14ac:dyDescent="0.35">
      <c r="A7855" s="5">
        <v>7851</v>
      </c>
      <c r="B7855" s="5">
        <v>328</v>
      </c>
      <c r="C7855" s="5">
        <v>11</v>
      </c>
      <c r="D7855" s="25">
        <v>1.1416E-4</v>
      </c>
      <c r="E7855" s="25">
        <v>1.0828E-4</v>
      </c>
      <c r="F7855" s="25">
        <v>1.1839E-4</v>
      </c>
      <c r="G7855" s="25">
        <v>5.9070000000000002E-5</v>
      </c>
      <c r="H7855" s="25">
        <v>4.6109999999999997E-5</v>
      </c>
      <c r="I7855" s="9">
        <v>1.0416000000000001E-4</v>
      </c>
      <c r="J7855" s="9">
        <v>9.6039999999999995E-5</v>
      </c>
      <c r="K7855" s="9">
        <v>2.2041000000000001E-4</v>
      </c>
      <c r="L7855" s="9">
        <v>4.248E-5</v>
      </c>
      <c r="M7855" s="9">
        <v>5.7679999999999997E-5</v>
      </c>
      <c r="N7855" s="9">
        <v>6.5790000000000005E-5</v>
      </c>
      <c r="O7855" s="9">
        <v>2.175E-5</v>
      </c>
      <c r="P7855" s="9">
        <v>4.2049999999999999E-5</v>
      </c>
      <c r="Q7855" s="9">
        <v>6.1509999999999999E-5</v>
      </c>
      <c r="R7855" s="10">
        <v>2.1180944488445908E-4</v>
      </c>
      <c r="S7855" s="10">
        <v>1.9029020759484994E-4</v>
      </c>
      <c r="T7855" s="10">
        <v>0</v>
      </c>
      <c r="U7855" s="10">
        <v>1.077E-4</v>
      </c>
      <c r="V7855" s="25"/>
      <c r="W7855" s="25"/>
      <c r="X7855" s="25"/>
      <c r="Y7855" s="25"/>
      <c r="Z7855" s="25"/>
      <c r="AA7855" s="25"/>
    </row>
    <row r="7856" spans="1:27" x14ac:dyDescent="0.35">
      <c r="A7856" s="5">
        <v>7852</v>
      </c>
      <c r="B7856" s="5">
        <v>328</v>
      </c>
      <c r="C7856" s="5">
        <v>11</v>
      </c>
      <c r="D7856" s="25">
        <v>1.1415000000000001E-4</v>
      </c>
      <c r="E7856" s="25">
        <v>1.1297E-4</v>
      </c>
      <c r="F7856" s="25">
        <v>1.043E-4</v>
      </c>
      <c r="G7856" s="25">
        <v>5.5949999999999998E-5</v>
      </c>
      <c r="H7856" s="25">
        <v>4.1879999999999999E-5</v>
      </c>
      <c r="I7856" s="9">
        <v>1.0245E-4</v>
      </c>
      <c r="J7856" s="9">
        <v>9.5019999999999995E-5</v>
      </c>
      <c r="K7856" s="9">
        <v>2.2041000000000001E-4</v>
      </c>
      <c r="L7856" s="9">
        <v>2.694E-5</v>
      </c>
      <c r="M7856" s="9">
        <v>4.9910000000000002E-5</v>
      </c>
      <c r="N7856" s="9">
        <v>6.2150000000000006E-5</v>
      </c>
      <c r="O7856" s="9">
        <v>2.1039999999999998E-5</v>
      </c>
      <c r="P7856" s="9">
        <v>5.0850000000000003E-5</v>
      </c>
      <c r="Q7856" s="9">
        <v>7.9649999999999998E-5</v>
      </c>
      <c r="R7856" s="10">
        <v>2.1216183630806367E-4</v>
      </c>
      <c r="S7856" s="10">
        <v>1.9029020759484994E-4</v>
      </c>
      <c r="T7856" s="10">
        <v>0</v>
      </c>
      <c r="U7856" s="10">
        <v>1.077E-4</v>
      </c>
      <c r="V7856" s="25"/>
      <c r="W7856" s="25"/>
      <c r="X7856" s="25"/>
      <c r="Y7856" s="25"/>
      <c r="Z7856" s="25"/>
      <c r="AA7856" s="25"/>
    </row>
    <row r="7857" spans="1:27" x14ac:dyDescent="0.35">
      <c r="A7857" s="5">
        <v>7853</v>
      </c>
      <c r="B7857" s="5">
        <v>328</v>
      </c>
      <c r="C7857" s="5">
        <v>11</v>
      </c>
      <c r="D7857" s="25">
        <v>1.1416E-4</v>
      </c>
      <c r="E7857" s="25">
        <v>1.0872E-4</v>
      </c>
      <c r="F7857" s="25">
        <v>1.0636E-4</v>
      </c>
      <c r="G7857" s="25">
        <v>5.2660000000000001E-5</v>
      </c>
      <c r="H7857" s="25">
        <v>4.2540000000000003E-5</v>
      </c>
      <c r="I7857" s="9">
        <v>1.0374000000000001E-4</v>
      </c>
      <c r="J7857" s="9">
        <v>9.5779999999999994E-5</v>
      </c>
      <c r="K7857" s="9">
        <v>2.2889000000000001E-4</v>
      </c>
      <c r="L7857" s="9">
        <v>2.281E-5</v>
      </c>
      <c r="M7857" s="9">
        <v>4.8390000000000003E-5</v>
      </c>
      <c r="N7857" s="9">
        <v>6.4469999999999998E-5</v>
      </c>
      <c r="O7857" s="9">
        <v>2.332E-5</v>
      </c>
      <c r="P7857" s="9">
        <v>5.9389999999999999E-5</v>
      </c>
      <c r="Q7857" s="9">
        <v>9.4389999999999996E-5</v>
      </c>
      <c r="R7857" s="10">
        <v>2.1218509141983415E-4</v>
      </c>
      <c r="S7857" s="10">
        <v>1.9029020759484994E-4</v>
      </c>
      <c r="T7857" s="10">
        <v>0</v>
      </c>
      <c r="U7857" s="10">
        <v>1.077E-4</v>
      </c>
      <c r="V7857" s="25"/>
      <c r="W7857" s="25"/>
      <c r="X7857" s="25"/>
      <c r="Y7857" s="25"/>
      <c r="Z7857" s="25"/>
      <c r="AA7857" s="25"/>
    </row>
    <row r="7858" spans="1:27" x14ac:dyDescent="0.35">
      <c r="A7858" s="5">
        <v>7854</v>
      </c>
      <c r="B7858" s="5">
        <v>328</v>
      </c>
      <c r="C7858" s="5">
        <v>11</v>
      </c>
      <c r="D7858" s="25">
        <v>1.1415000000000001E-4</v>
      </c>
      <c r="E7858" s="25">
        <v>1.1069999999999999E-4</v>
      </c>
      <c r="F7858" s="25">
        <v>1.0487E-4</v>
      </c>
      <c r="G7858" s="25">
        <v>1.0763E-4</v>
      </c>
      <c r="H7858" s="25">
        <v>7.7949999999999997E-5</v>
      </c>
      <c r="I7858" s="9">
        <v>1.0909E-4</v>
      </c>
      <c r="J7858" s="9">
        <v>9.9859999999999996E-5</v>
      </c>
      <c r="K7858" s="9">
        <v>2.3524E-4</v>
      </c>
      <c r="L7858" s="9">
        <v>2.3139999999999999E-5</v>
      </c>
      <c r="M7858" s="9">
        <v>5.2280000000000001E-5</v>
      </c>
      <c r="N7858" s="9">
        <v>7.114E-5</v>
      </c>
      <c r="O7858" s="9">
        <v>2.9620000000000001E-5</v>
      </c>
      <c r="P7858" s="9">
        <v>6.9060000000000006E-5</v>
      </c>
      <c r="Q7858" s="9">
        <v>1.0749E-4</v>
      </c>
      <c r="R7858" s="10">
        <v>2.1222219449420617E-4</v>
      </c>
      <c r="S7858" s="10">
        <v>1.9029020759484994E-4</v>
      </c>
      <c r="T7858" s="10">
        <v>0</v>
      </c>
      <c r="U7858" s="10">
        <v>1.077E-4</v>
      </c>
      <c r="V7858" s="25"/>
      <c r="W7858" s="25"/>
      <c r="X7858" s="25"/>
      <c r="Y7858" s="25"/>
      <c r="Z7858" s="25"/>
      <c r="AA7858" s="25"/>
    </row>
    <row r="7859" spans="1:27" x14ac:dyDescent="0.35">
      <c r="A7859" s="5">
        <v>7855</v>
      </c>
      <c r="B7859" s="5">
        <v>328</v>
      </c>
      <c r="C7859" s="5">
        <v>11</v>
      </c>
      <c r="D7859" s="25">
        <v>1.1416E-4</v>
      </c>
      <c r="E7859" s="25">
        <v>1.136E-4</v>
      </c>
      <c r="F7859" s="25">
        <v>1.1204E-4</v>
      </c>
      <c r="G7859" s="25">
        <v>1.1482E-4</v>
      </c>
      <c r="H7859" s="25">
        <v>7.8469999999999999E-5</v>
      </c>
      <c r="I7859" s="9">
        <v>1.2286999999999999E-4</v>
      </c>
      <c r="J7859" s="9">
        <v>1.1191E-4</v>
      </c>
      <c r="K7859" s="9">
        <v>2.3949E-4</v>
      </c>
      <c r="L7859" s="9">
        <v>2.809E-5</v>
      </c>
      <c r="M7859" s="9">
        <v>5.948E-5</v>
      </c>
      <c r="N7859" s="9">
        <v>8.0909999999999996E-5</v>
      </c>
      <c r="O7859" s="9">
        <v>4.5939999999999997E-5</v>
      </c>
      <c r="P7859" s="9">
        <v>7.9350000000000004E-5</v>
      </c>
      <c r="Q7859" s="9">
        <v>1.1209000000000001E-4</v>
      </c>
      <c r="R7859" s="10">
        <v>2.1229690365945255E-4</v>
      </c>
      <c r="S7859" s="10">
        <v>1.9029018449256795E-4</v>
      </c>
      <c r="T7859" s="10">
        <v>0</v>
      </c>
      <c r="U7859" s="10">
        <v>1.077E-4</v>
      </c>
      <c r="V7859" s="25"/>
      <c r="W7859" s="25"/>
      <c r="X7859" s="25"/>
      <c r="Y7859" s="25"/>
      <c r="Z7859" s="25"/>
      <c r="AA7859" s="25"/>
    </row>
    <row r="7860" spans="1:27" x14ac:dyDescent="0.35">
      <c r="A7860" s="5">
        <v>7856</v>
      </c>
      <c r="B7860" s="5">
        <v>328</v>
      </c>
      <c r="C7860" s="5">
        <v>11</v>
      </c>
      <c r="D7860" s="25">
        <v>1.1415000000000001E-4</v>
      </c>
      <c r="E7860" s="25">
        <v>1.1040999999999999E-4</v>
      </c>
      <c r="F7860" s="25">
        <v>1.0725E-4</v>
      </c>
      <c r="G7860" s="25">
        <v>1.6367000000000001E-4</v>
      </c>
      <c r="H7860" s="25">
        <v>1.2046E-4</v>
      </c>
      <c r="I7860" s="9">
        <v>1.3417E-4</v>
      </c>
      <c r="J7860" s="9">
        <v>1.3022000000000001E-4</v>
      </c>
      <c r="K7860" s="9">
        <v>2.4159999999999999E-4</v>
      </c>
      <c r="L7860" s="9">
        <v>4.1860000000000002E-5</v>
      </c>
      <c r="M7860" s="9">
        <v>6.8429999999999994E-5</v>
      </c>
      <c r="N7860" s="9">
        <v>9.0890000000000006E-5</v>
      </c>
      <c r="O7860" s="9">
        <v>6.7600000000000003E-5</v>
      </c>
      <c r="P7860" s="9">
        <v>1.0166E-4</v>
      </c>
      <c r="Q7860" s="9">
        <v>1.3536000000000001E-4</v>
      </c>
      <c r="R7860" s="10">
        <v>2.1239876963813185E-4</v>
      </c>
      <c r="S7860" s="10">
        <v>1.9009940689483081E-4</v>
      </c>
      <c r="T7860" s="10">
        <v>0</v>
      </c>
      <c r="U7860" s="10">
        <v>1.077E-4</v>
      </c>
      <c r="V7860" s="25"/>
      <c r="W7860" s="25"/>
      <c r="X7860" s="25"/>
      <c r="Y7860" s="25"/>
      <c r="Z7860" s="25"/>
      <c r="AA7860" s="25"/>
    </row>
    <row r="7861" spans="1:27" x14ac:dyDescent="0.35">
      <c r="A7861" s="5">
        <v>7857</v>
      </c>
      <c r="B7861" s="5">
        <v>328</v>
      </c>
      <c r="C7861" s="5">
        <v>11</v>
      </c>
      <c r="D7861" s="25">
        <v>1.1416E-4</v>
      </c>
      <c r="E7861" s="25">
        <v>1.1409E-4</v>
      </c>
      <c r="F7861" s="25">
        <v>1.2208E-4</v>
      </c>
      <c r="G7861" s="25">
        <v>1.6237000000000001E-4</v>
      </c>
      <c r="H7861" s="25">
        <v>1.1688000000000001E-4</v>
      </c>
      <c r="I7861" s="9">
        <v>1.3747999999999999E-4</v>
      </c>
      <c r="J7861" s="9">
        <v>1.4062999999999999E-4</v>
      </c>
      <c r="K7861" s="9">
        <v>2.3735999999999999E-4</v>
      </c>
      <c r="L7861" s="9">
        <v>6.1569999999999995E-5</v>
      </c>
      <c r="M7861" s="9">
        <v>8.2600000000000002E-5</v>
      </c>
      <c r="N7861" s="9">
        <v>1.0433E-4</v>
      </c>
      <c r="O7861" s="9">
        <v>9.8999999999999994E-5</v>
      </c>
      <c r="P7861" s="9">
        <v>1.3695999999999999E-4</v>
      </c>
      <c r="Q7861" s="9">
        <v>1.7499E-4</v>
      </c>
      <c r="R7861" s="10">
        <v>2.1243976899989472E-4</v>
      </c>
      <c r="S7861" s="10">
        <v>1.8264059663031641E-4</v>
      </c>
      <c r="T7861" s="10">
        <v>3.5031672016738451E-5</v>
      </c>
      <c r="U7861" s="10">
        <v>1.077E-4</v>
      </c>
      <c r="V7861" s="25"/>
      <c r="W7861" s="25"/>
      <c r="X7861" s="25"/>
      <c r="Y7861" s="25"/>
      <c r="Z7861" s="25"/>
      <c r="AA7861" s="25"/>
    </row>
    <row r="7862" spans="1:27" x14ac:dyDescent="0.35">
      <c r="A7862" s="5">
        <v>7858</v>
      </c>
      <c r="B7862" s="5">
        <v>328</v>
      </c>
      <c r="C7862" s="5">
        <v>11</v>
      </c>
      <c r="D7862" s="25">
        <v>1.1415000000000001E-4</v>
      </c>
      <c r="E7862" s="25">
        <v>1.1168E-4</v>
      </c>
      <c r="F7862" s="25">
        <v>1.1743000000000001E-4</v>
      </c>
      <c r="G7862" s="25">
        <v>1.6080000000000001E-4</v>
      </c>
      <c r="H7862" s="25">
        <v>1.2308999999999999E-4</v>
      </c>
      <c r="I7862" s="9">
        <v>1.3857E-4</v>
      </c>
      <c r="J7862" s="9">
        <v>1.4452000000000001E-4</v>
      </c>
      <c r="K7862" s="9">
        <v>2.3948E-4</v>
      </c>
      <c r="L7862" s="9">
        <v>9.0249999999999998E-5</v>
      </c>
      <c r="M7862" s="9">
        <v>1.0574E-4</v>
      </c>
      <c r="N7862" s="9">
        <v>1.2392999999999999E-4</v>
      </c>
      <c r="O7862" s="9">
        <v>1.2799999999999999E-4</v>
      </c>
      <c r="P7862" s="9">
        <v>1.5398000000000001E-4</v>
      </c>
      <c r="Q7862" s="9">
        <v>1.8066999999999999E-4</v>
      </c>
      <c r="R7862" s="10">
        <v>2.1244734269455667E-4</v>
      </c>
      <c r="S7862" s="10">
        <v>1.7272618084294134E-4</v>
      </c>
      <c r="T7862" s="10">
        <v>4.3269926685726835E-6</v>
      </c>
      <c r="U7862" s="10">
        <v>1.077E-4</v>
      </c>
      <c r="V7862" s="25"/>
      <c r="W7862" s="25"/>
      <c r="X7862" s="25"/>
      <c r="Y7862" s="25"/>
      <c r="Z7862" s="25"/>
      <c r="AA7862" s="25"/>
    </row>
    <row r="7863" spans="1:27" x14ac:dyDescent="0.35">
      <c r="A7863" s="5">
        <v>7859</v>
      </c>
      <c r="B7863" s="5">
        <v>328</v>
      </c>
      <c r="C7863" s="5">
        <v>11</v>
      </c>
      <c r="D7863" s="25">
        <v>1.1416E-4</v>
      </c>
      <c r="E7863" s="25">
        <v>1.0975E-4</v>
      </c>
      <c r="F7863" s="25">
        <v>1.087E-4</v>
      </c>
      <c r="G7863" s="25">
        <v>1.6489E-4</v>
      </c>
      <c r="H7863" s="25">
        <v>1.1844E-4</v>
      </c>
      <c r="I7863" s="9">
        <v>1.3844000000000001E-4</v>
      </c>
      <c r="J7863" s="9">
        <v>1.4478000000000001E-4</v>
      </c>
      <c r="K7863" s="9">
        <v>2.2465000000000001E-4</v>
      </c>
      <c r="L7863" s="9">
        <v>1.1899E-4</v>
      </c>
      <c r="M7863" s="9">
        <v>1.2896000000000001E-4</v>
      </c>
      <c r="N7863" s="9">
        <v>1.4171E-4</v>
      </c>
      <c r="O7863" s="9">
        <v>1.3723000000000001E-4</v>
      </c>
      <c r="P7863" s="9">
        <v>1.5781000000000001E-4</v>
      </c>
      <c r="Q7863" s="9">
        <v>1.7932000000000001E-4</v>
      </c>
      <c r="R7863" s="10">
        <v>2.1244891959952368E-4</v>
      </c>
      <c r="S7863" s="10">
        <v>1.6928495893295495E-4</v>
      </c>
      <c r="T7863" s="10">
        <v>8.8075511553829461E-5</v>
      </c>
      <c r="U7863" s="10">
        <v>1.077E-4</v>
      </c>
      <c r="V7863" s="25"/>
      <c r="W7863" s="25"/>
      <c r="X7863" s="25"/>
      <c r="Y7863" s="25"/>
      <c r="Z7863" s="25"/>
      <c r="AA7863" s="25"/>
    </row>
    <row r="7864" spans="1:27" x14ac:dyDescent="0.35">
      <c r="A7864" s="5">
        <v>7860</v>
      </c>
      <c r="B7864" s="5">
        <v>328</v>
      </c>
      <c r="C7864" s="5">
        <v>11</v>
      </c>
      <c r="D7864" s="25">
        <v>1.1415000000000001E-4</v>
      </c>
      <c r="E7864" s="25">
        <v>1.145E-4</v>
      </c>
      <c r="F7864" s="25">
        <v>1.0831E-4</v>
      </c>
      <c r="G7864" s="25">
        <v>1.6049E-4</v>
      </c>
      <c r="H7864" s="25">
        <v>1.1764000000000001E-4</v>
      </c>
      <c r="I7864" s="9">
        <v>1.3863999999999999E-4</v>
      </c>
      <c r="J7864" s="9">
        <v>1.4454E-4</v>
      </c>
      <c r="K7864" s="9">
        <v>2.1194000000000001E-4</v>
      </c>
      <c r="L7864" s="9">
        <v>1.3254E-4</v>
      </c>
      <c r="M7864" s="9">
        <v>1.4485E-4</v>
      </c>
      <c r="N7864" s="9">
        <v>1.5582000000000001E-4</v>
      </c>
      <c r="O7864" s="9">
        <v>1.3851E-4</v>
      </c>
      <c r="P7864" s="9">
        <v>1.5568E-4</v>
      </c>
      <c r="Q7864" s="9">
        <v>1.7384E-4</v>
      </c>
      <c r="R7864" s="10">
        <v>2.1242257782997132E-4</v>
      </c>
      <c r="S7864" s="10">
        <v>1.6243294872406213E-4</v>
      </c>
      <c r="T7864" s="10">
        <v>5.6038797207691321E-5</v>
      </c>
      <c r="U7864" s="10">
        <v>1.077E-4</v>
      </c>
      <c r="V7864" s="25"/>
      <c r="W7864" s="25"/>
      <c r="X7864" s="25"/>
      <c r="Y7864" s="25"/>
      <c r="Z7864" s="25"/>
      <c r="AA7864" s="25"/>
    </row>
    <row r="7865" spans="1:27" x14ac:dyDescent="0.35">
      <c r="A7865" s="5">
        <v>7861</v>
      </c>
      <c r="B7865" s="5">
        <v>328</v>
      </c>
      <c r="C7865" s="5">
        <v>11</v>
      </c>
      <c r="D7865" s="25">
        <v>1.1416E-4</v>
      </c>
      <c r="E7865" s="25">
        <v>1.0984000000000001E-4</v>
      </c>
      <c r="F7865" s="25">
        <v>1.2084E-4</v>
      </c>
      <c r="G7865" s="25">
        <v>1.6720999999999999E-4</v>
      </c>
      <c r="H7865" s="25">
        <v>1.2106E-4</v>
      </c>
      <c r="I7865" s="9">
        <v>1.3650000000000001E-4</v>
      </c>
      <c r="J7865" s="9">
        <v>1.426E-4</v>
      </c>
      <c r="K7865" s="9">
        <v>2.0770000000000001E-4</v>
      </c>
      <c r="L7865" s="9">
        <v>1.37E-4</v>
      </c>
      <c r="M7865" s="9">
        <v>1.5218E-4</v>
      </c>
      <c r="N7865" s="9">
        <v>1.6536E-4</v>
      </c>
      <c r="O7865" s="9">
        <v>1.2977999999999999E-4</v>
      </c>
      <c r="P7865" s="9">
        <v>1.4776000000000001E-4</v>
      </c>
      <c r="Q7865" s="9">
        <v>1.6657999999999999E-4</v>
      </c>
      <c r="R7865" s="10">
        <v>2.1244817999406659E-4</v>
      </c>
      <c r="S7865" s="10">
        <v>1.6481451307898847E-4</v>
      </c>
      <c r="T7865" s="10">
        <v>2.8464824319728142E-5</v>
      </c>
      <c r="U7865" s="10">
        <v>1.077E-4</v>
      </c>
      <c r="V7865" s="25"/>
      <c r="W7865" s="25"/>
      <c r="X7865" s="25"/>
      <c r="Y7865" s="25"/>
      <c r="Z7865" s="25"/>
      <c r="AA7865" s="25"/>
    </row>
    <row r="7866" spans="1:27" x14ac:dyDescent="0.35">
      <c r="A7866" s="5">
        <v>7862</v>
      </c>
      <c r="B7866" s="5">
        <v>328</v>
      </c>
      <c r="C7866" s="5">
        <v>11</v>
      </c>
      <c r="D7866" s="25">
        <v>1.1415000000000001E-4</v>
      </c>
      <c r="E7866" s="25">
        <v>1.1472E-4</v>
      </c>
      <c r="F7866" s="25">
        <v>1.1988E-4</v>
      </c>
      <c r="G7866" s="25">
        <v>1.5783999999999999E-4</v>
      </c>
      <c r="H7866" s="25">
        <v>1.1603E-4</v>
      </c>
      <c r="I7866" s="9">
        <v>1.3622999999999999E-4</v>
      </c>
      <c r="J7866" s="9">
        <v>1.4332E-4</v>
      </c>
      <c r="K7866" s="9">
        <v>2.0557E-4</v>
      </c>
      <c r="L7866" s="9">
        <v>1.3143000000000001E-4</v>
      </c>
      <c r="M7866" s="9">
        <v>1.5199000000000001E-4</v>
      </c>
      <c r="N7866" s="9">
        <v>1.6969000000000001E-4</v>
      </c>
      <c r="O7866" s="9">
        <v>1.1173E-4</v>
      </c>
      <c r="P7866" s="9">
        <v>1.3526E-4</v>
      </c>
      <c r="Q7866" s="9">
        <v>1.5928000000000001E-4</v>
      </c>
      <c r="R7866" s="10">
        <v>2.1244858015588114E-4</v>
      </c>
      <c r="S7866" s="10">
        <v>1.6091817011187033E-4</v>
      </c>
      <c r="T7866" s="10">
        <v>6.6856278879123028E-6</v>
      </c>
      <c r="U7866" s="10">
        <v>1.077E-4</v>
      </c>
      <c r="V7866" s="25"/>
      <c r="W7866" s="25"/>
      <c r="X7866" s="25"/>
      <c r="Y7866" s="25"/>
      <c r="Z7866" s="25"/>
      <c r="AA7866" s="25"/>
    </row>
    <row r="7867" spans="1:27" x14ac:dyDescent="0.35">
      <c r="A7867" s="5">
        <v>7863</v>
      </c>
      <c r="B7867" s="5">
        <v>328</v>
      </c>
      <c r="C7867" s="5">
        <v>11</v>
      </c>
      <c r="D7867" s="25">
        <v>1.1416E-4</v>
      </c>
      <c r="E7867" s="25">
        <v>1.0983E-4</v>
      </c>
      <c r="F7867" s="25">
        <v>1.2176E-4</v>
      </c>
      <c r="G7867" s="25">
        <v>1.5788999999999999E-4</v>
      </c>
      <c r="H7867" s="25">
        <v>1.1752999999999999E-4</v>
      </c>
      <c r="I7867" s="9">
        <v>1.3417E-4</v>
      </c>
      <c r="J7867" s="9">
        <v>1.4313999999999999E-4</v>
      </c>
      <c r="K7867" s="9">
        <v>2.1193000000000001E-4</v>
      </c>
      <c r="L7867" s="9">
        <v>1.1628E-4</v>
      </c>
      <c r="M7867" s="9">
        <v>1.4563999999999999E-4</v>
      </c>
      <c r="N7867" s="9">
        <v>1.6911000000000001E-4</v>
      </c>
      <c r="O7867" s="9">
        <v>1.2777E-4</v>
      </c>
      <c r="P7867" s="9">
        <v>1.3982999999999999E-4</v>
      </c>
      <c r="Q7867" s="9">
        <v>1.5281E-4</v>
      </c>
      <c r="R7867" s="10">
        <v>2.1244751723342259E-4</v>
      </c>
      <c r="S7867" s="10">
        <v>1.5035759090203829E-4</v>
      </c>
      <c r="T7867" s="10">
        <v>1.9522372804677933E-5</v>
      </c>
      <c r="U7867" s="10">
        <v>1.077E-4</v>
      </c>
      <c r="V7867" s="25"/>
      <c r="W7867" s="25"/>
      <c r="X7867" s="25"/>
      <c r="Y7867" s="25"/>
      <c r="Z7867" s="25"/>
      <c r="AA7867" s="25"/>
    </row>
    <row r="7868" spans="1:27" x14ac:dyDescent="0.35">
      <c r="A7868" s="5">
        <v>7864</v>
      </c>
      <c r="B7868" s="5">
        <v>328</v>
      </c>
      <c r="C7868" s="5">
        <v>11</v>
      </c>
      <c r="D7868" s="25">
        <v>1.1415000000000001E-4</v>
      </c>
      <c r="E7868" s="25">
        <v>1.0517E-4</v>
      </c>
      <c r="F7868" s="25">
        <v>1.2407E-4</v>
      </c>
      <c r="G7868" s="25">
        <v>1.6552E-4</v>
      </c>
      <c r="H7868" s="25">
        <v>1.1642E-4</v>
      </c>
      <c r="I7868" s="9">
        <v>1.3463E-4</v>
      </c>
      <c r="J7868" s="9">
        <v>1.427E-4</v>
      </c>
      <c r="K7868" s="9">
        <v>2.1618000000000001E-4</v>
      </c>
      <c r="L7868" s="9">
        <v>1.2568E-4</v>
      </c>
      <c r="M7868" s="9">
        <v>1.4177999999999999E-4</v>
      </c>
      <c r="N7868" s="9">
        <v>1.6548999999999999E-4</v>
      </c>
      <c r="O7868" s="9">
        <v>1.3566000000000001E-4</v>
      </c>
      <c r="P7868" s="9">
        <v>1.2247000000000001E-4</v>
      </c>
      <c r="Q7868" s="9">
        <v>1.1071E-4</v>
      </c>
      <c r="R7868" s="10">
        <v>2.1163587359635709E-4</v>
      </c>
      <c r="S7868" s="10">
        <v>1.3567935354560435E-4</v>
      </c>
      <c r="T7868" s="10">
        <v>4.1573066815698333E-7</v>
      </c>
      <c r="U7868" s="10">
        <v>1.077E-4</v>
      </c>
      <c r="V7868" s="25"/>
      <c r="W7868" s="25"/>
      <c r="X7868" s="25"/>
      <c r="Y7868" s="25"/>
      <c r="Z7868" s="25"/>
      <c r="AA7868" s="25"/>
    </row>
    <row r="7869" spans="1:27" x14ac:dyDescent="0.35">
      <c r="A7869" s="5">
        <v>7865</v>
      </c>
      <c r="B7869" s="5">
        <v>328</v>
      </c>
      <c r="C7869" s="5">
        <v>11</v>
      </c>
      <c r="D7869" s="25">
        <v>1.1416E-4</v>
      </c>
      <c r="E7869" s="25">
        <v>1.1035999999999999E-4</v>
      </c>
      <c r="F7869" s="25">
        <v>1.043E-4</v>
      </c>
      <c r="G7869" s="25">
        <v>1.6616999999999999E-4</v>
      </c>
      <c r="H7869" s="25">
        <v>1.2132E-4</v>
      </c>
      <c r="I7869" s="9">
        <v>1.3556000000000001E-4</v>
      </c>
      <c r="J7869" s="9">
        <v>1.4548999999999999E-4</v>
      </c>
      <c r="K7869" s="9">
        <v>2.1405E-4</v>
      </c>
      <c r="L7869" s="9">
        <v>1.3316000000000001E-4</v>
      </c>
      <c r="M7869" s="9">
        <v>1.34E-4</v>
      </c>
      <c r="N7869" s="9">
        <v>1.5215000000000001E-4</v>
      </c>
      <c r="O7869" s="9">
        <v>1.3948000000000001E-4</v>
      </c>
      <c r="P7869" s="9">
        <v>1.2208999999999999E-4</v>
      </c>
      <c r="Q7869" s="9">
        <v>1.0624999999999999E-4</v>
      </c>
      <c r="R7869" s="10">
        <v>2.0891639855423691E-4</v>
      </c>
      <c r="S7869" s="10">
        <v>1.2457776211003454E-4</v>
      </c>
      <c r="T7869" s="10">
        <v>0</v>
      </c>
      <c r="U7869" s="10">
        <v>1.077E-4</v>
      </c>
      <c r="V7869" s="25"/>
      <c r="W7869" s="25"/>
      <c r="X7869" s="25"/>
      <c r="Y7869" s="25"/>
      <c r="Z7869" s="25"/>
      <c r="AA7869" s="25"/>
    </row>
    <row r="7870" spans="1:27" x14ac:dyDescent="0.35">
      <c r="A7870" s="5">
        <v>7866</v>
      </c>
      <c r="B7870" s="5">
        <v>328</v>
      </c>
      <c r="C7870" s="5">
        <v>11</v>
      </c>
      <c r="D7870" s="25">
        <v>1.1415000000000001E-4</v>
      </c>
      <c r="E7870" s="25">
        <v>1.08E-4</v>
      </c>
      <c r="F7870" s="25">
        <v>1.1593E-4</v>
      </c>
      <c r="G7870" s="25">
        <v>1.5975000000000001E-4</v>
      </c>
      <c r="H7870" s="25">
        <v>1.1603E-4</v>
      </c>
      <c r="I7870" s="9">
        <v>1.4414000000000001E-4</v>
      </c>
      <c r="J7870" s="9">
        <v>1.5343E-4</v>
      </c>
      <c r="K7870" s="9">
        <v>1.9709999999999999E-4</v>
      </c>
      <c r="L7870" s="9">
        <v>1.3777E-4</v>
      </c>
      <c r="M7870" s="9">
        <v>1.2773999999999999E-4</v>
      </c>
      <c r="N7870" s="9">
        <v>1.3875000000000001E-4</v>
      </c>
      <c r="O7870" s="9">
        <v>1.4276999999999999E-4</v>
      </c>
      <c r="P7870" s="9">
        <v>1.3009E-4</v>
      </c>
      <c r="Q7870" s="9">
        <v>1.1893E-4</v>
      </c>
      <c r="R7870" s="10">
        <v>2.0084682076415005E-4</v>
      </c>
      <c r="S7870" s="10">
        <v>1.2592437341100025E-4</v>
      </c>
      <c r="T7870" s="10">
        <v>0</v>
      </c>
      <c r="U7870" s="10">
        <v>1.077E-4</v>
      </c>
      <c r="V7870" s="25"/>
      <c r="W7870" s="25"/>
      <c r="X7870" s="25"/>
      <c r="Y7870" s="25"/>
      <c r="Z7870" s="25"/>
      <c r="AA7870" s="25"/>
    </row>
    <row r="7871" spans="1:27" x14ac:dyDescent="0.35">
      <c r="A7871" s="5">
        <v>7867</v>
      </c>
      <c r="B7871" s="5">
        <v>328</v>
      </c>
      <c r="C7871" s="5">
        <v>11</v>
      </c>
      <c r="D7871" s="25">
        <v>1.1416E-4</v>
      </c>
      <c r="E7871" s="25">
        <v>1.0527999999999999E-4</v>
      </c>
      <c r="F7871" s="25">
        <v>1.1561E-4</v>
      </c>
      <c r="G7871" s="25">
        <v>1.0726E-4</v>
      </c>
      <c r="H7871" s="25">
        <v>7.7070000000000006E-5</v>
      </c>
      <c r="I7871" s="9">
        <v>1.4367000000000001E-4</v>
      </c>
      <c r="J7871" s="9">
        <v>1.4652E-4</v>
      </c>
      <c r="K7871" s="9">
        <v>2.1193000000000001E-4</v>
      </c>
      <c r="L7871" s="9">
        <v>1.4161999999999999E-4</v>
      </c>
      <c r="M7871" s="9">
        <v>1.2710999999999999E-4</v>
      </c>
      <c r="N7871" s="9">
        <v>1.3008E-4</v>
      </c>
      <c r="O7871" s="9">
        <v>1.4328E-4</v>
      </c>
      <c r="P7871" s="9">
        <v>1.2486999999999999E-4</v>
      </c>
      <c r="Q7871" s="9">
        <v>1.0808E-4</v>
      </c>
      <c r="R7871" s="10">
        <v>1.9129932640234254E-4</v>
      </c>
      <c r="S7871" s="10">
        <v>1.2476635619885351E-4</v>
      </c>
      <c r="T7871" s="10">
        <v>0</v>
      </c>
      <c r="U7871" s="10">
        <v>1.077E-4</v>
      </c>
      <c r="V7871" s="25"/>
      <c r="W7871" s="25"/>
      <c r="X7871" s="25"/>
      <c r="Y7871" s="25"/>
      <c r="Z7871" s="25"/>
      <c r="AA7871" s="25"/>
    </row>
    <row r="7872" spans="1:27" x14ac:dyDescent="0.35">
      <c r="A7872" s="5">
        <v>7868</v>
      </c>
      <c r="B7872" s="5">
        <v>328</v>
      </c>
      <c r="C7872" s="5">
        <v>11</v>
      </c>
      <c r="D7872" s="25">
        <v>1.1415000000000001E-4</v>
      </c>
      <c r="E7872" s="25">
        <v>1.1417999999999999E-4</v>
      </c>
      <c r="F7872" s="25">
        <v>1.1679E-4</v>
      </c>
      <c r="G7872" s="25">
        <v>1.1009E-4</v>
      </c>
      <c r="H7872" s="25">
        <v>8.4560000000000004E-5</v>
      </c>
      <c r="I7872" s="9">
        <v>1.3772E-4</v>
      </c>
      <c r="J7872" s="9">
        <v>1.4133E-4</v>
      </c>
      <c r="K7872" s="9">
        <v>2.2252E-4</v>
      </c>
      <c r="L7872" s="9">
        <v>1.4286E-4</v>
      </c>
      <c r="M7872" s="9">
        <v>1.2642E-4</v>
      </c>
      <c r="N7872" s="9">
        <v>1.2128E-4</v>
      </c>
      <c r="O7872" s="9">
        <v>1.4553999999999999E-4</v>
      </c>
      <c r="P7872" s="9">
        <v>1.2326000000000001E-4</v>
      </c>
      <c r="Q7872" s="9">
        <v>1.027E-4</v>
      </c>
      <c r="R7872" s="10">
        <v>1.8228502233914344E-4</v>
      </c>
      <c r="S7872" s="10">
        <v>1.2112715886254696E-4</v>
      </c>
      <c r="T7872" s="10">
        <v>0</v>
      </c>
      <c r="U7872" s="10">
        <v>1.077E-4</v>
      </c>
      <c r="V7872" s="25"/>
      <c r="W7872" s="25"/>
      <c r="X7872" s="25"/>
      <c r="Y7872" s="25"/>
      <c r="Z7872" s="25"/>
      <c r="AA7872" s="25"/>
    </row>
    <row r="7873" spans="1:27" x14ac:dyDescent="0.35">
      <c r="A7873" s="5">
        <v>7869</v>
      </c>
      <c r="B7873" s="5">
        <v>328</v>
      </c>
      <c r="C7873" s="5">
        <v>11</v>
      </c>
      <c r="D7873" s="25">
        <v>1.1416E-4</v>
      </c>
      <c r="E7873" s="25">
        <v>1.1173E-4</v>
      </c>
      <c r="F7873" s="25">
        <v>1.2538E-4</v>
      </c>
      <c r="G7873" s="25">
        <v>5.4230000000000001E-5</v>
      </c>
      <c r="H7873" s="25">
        <v>4.2599999999999999E-5</v>
      </c>
      <c r="I7873" s="9">
        <v>1.3097E-4</v>
      </c>
      <c r="J7873" s="9">
        <v>1.3480999999999999E-4</v>
      </c>
      <c r="K7873" s="9">
        <v>2.4161000000000001E-4</v>
      </c>
      <c r="L7873" s="9">
        <v>1.4494E-4</v>
      </c>
      <c r="M7873" s="9">
        <v>1.2514000000000001E-4</v>
      </c>
      <c r="N7873" s="9">
        <v>1.1379000000000001E-4</v>
      </c>
      <c r="O7873" s="9">
        <v>8.5220000000000001E-5</v>
      </c>
      <c r="P7873" s="9">
        <v>8.6810000000000004E-5</v>
      </c>
      <c r="Q7873" s="9">
        <v>8.8819999999999993E-5</v>
      </c>
      <c r="R7873" s="10">
        <v>1.7956751399508865E-4</v>
      </c>
      <c r="S7873" s="10">
        <v>1.1464454643648292E-4</v>
      </c>
      <c r="T7873" s="10">
        <v>0</v>
      </c>
      <c r="U7873" s="10">
        <v>1.077E-4</v>
      </c>
      <c r="V7873" s="25"/>
      <c r="W7873" s="25"/>
      <c r="X7873" s="25"/>
      <c r="Y7873" s="25"/>
      <c r="Z7873" s="25"/>
      <c r="AA7873" s="25"/>
    </row>
    <row r="7874" spans="1:27" x14ac:dyDescent="0.35">
      <c r="A7874" s="5">
        <v>7870</v>
      </c>
      <c r="B7874" s="5">
        <v>328</v>
      </c>
      <c r="C7874" s="5">
        <v>11</v>
      </c>
      <c r="D7874" s="25">
        <v>1.1415000000000001E-4</v>
      </c>
      <c r="E7874" s="25">
        <v>1.1141000000000001E-4</v>
      </c>
      <c r="F7874" s="25">
        <v>1.0867E-4</v>
      </c>
      <c r="G7874" s="25">
        <v>6.0460000000000001E-5</v>
      </c>
      <c r="H7874" s="25">
        <v>4.1820000000000003E-5</v>
      </c>
      <c r="I7874" s="9">
        <v>1.2443E-4</v>
      </c>
      <c r="J7874" s="9">
        <v>1.2726E-4</v>
      </c>
      <c r="K7874" s="9">
        <v>2.4372E-4</v>
      </c>
      <c r="L7874" s="9">
        <v>9.8319999999999994E-5</v>
      </c>
      <c r="M7874" s="9">
        <v>1.1095E-4</v>
      </c>
      <c r="N7874" s="9">
        <v>1.0624E-4</v>
      </c>
      <c r="O7874" s="9">
        <v>8.7130000000000001E-5</v>
      </c>
      <c r="P7874" s="9">
        <v>8.7299999999999994E-5</v>
      </c>
      <c r="Q7874" s="9">
        <v>8.7940000000000002E-5</v>
      </c>
      <c r="R7874" s="10">
        <v>1.7480977739879134E-4</v>
      </c>
      <c r="S7874" s="10">
        <v>1.0348018775880964E-4</v>
      </c>
      <c r="T7874" s="10">
        <v>0</v>
      </c>
      <c r="U7874" s="10">
        <v>1.077E-4</v>
      </c>
      <c r="V7874" s="25"/>
      <c r="W7874" s="25"/>
      <c r="X7874" s="25"/>
      <c r="Y7874" s="25"/>
      <c r="Z7874" s="25"/>
      <c r="AA7874" s="25"/>
    </row>
    <row r="7875" spans="1:27" x14ac:dyDescent="0.35">
      <c r="A7875" s="5">
        <v>7871</v>
      </c>
      <c r="B7875" s="5">
        <v>328</v>
      </c>
      <c r="C7875" s="5">
        <v>11</v>
      </c>
      <c r="D7875" s="25">
        <v>1.1416E-4</v>
      </c>
      <c r="E7875" s="25">
        <v>1.0534E-4</v>
      </c>
      <c r="F7875" s="25">
        <v>1.0943E-4</v>
      </c>
      <c r="G7875" s="25">
        <v>6.3070000000000004E-5</v>
      </c>
      <c r="H7875" s="25">
        <v>4.5389999999999997E-5</v>
      </c>
      <c r="I7875" s="9">
        <v>1.2475999999999999E-4</v>
      </c>
      <c r="J7875" s="9">
        <v>1.1793E-4</v>
      </c>
      <c r="K7875" s="9">
        <v>2.6491999999999998E-4</v>
      </c>
      <c r="L7875" s="9">
        <v>9.0890000000000006E-5</v>
      </c>
      <c r="M7875" s="9">
        <v>9.8610000000000006E-5</v>
      </c>
      <c r="N7875" s="9">
        <v>1.003E-4</v>
      </c>
      <c r="O7875" s="9">
        <v>8.5309999999999995E-5</v>
      </c>
      <c r="P7875" s="9">
        <v>7.6039999999999997E-5</v>
      </c>
      <c r="Q7875" s="9">
        <v>6.7360000000000006E-5</v>
      </c>
      <c r="R7875" s="10">
        <v>1.6313568363001774E-4</v>
      </c>
      <c r="S7875" s="10">
        <v>9.322915675026454E-5</v>
      </c>
      <c r="T7875" s="10">
        <v>0</v>
      </c>
      <c r="U7875" s="10">
        <v>1.077E-4</v>
      </c>
      <c r="V7875" s="25"/>
      <c r="W7875" s="25"/>
      <c r="X7875" s="25"/>
      <c r="Y7875" s="25"/>
      <c r="Z7875" s="25"/>
      <c r="AA7875" s="25"/>
    </row>
    <row r="7876" spans="1:27" x14ac:dyDescent="0.35">
      <c r="A7876" s="5">
        <v>7872</v>
      </c>
      <c r="B7876" s="5">
        <v>328</v>
      </c>
      <c r="C7876" s="5">
        <v>11</v>
      </c>
      <c r="D7876" s="25">
        <v>1.1415000000000001E-4</v>
      </c>
      <c r="E7876" s="25">
        <v>1.0535E-4</v>
      </c>
      <c r="F7876" s="25">
        <v>1.1267E-4</v>
      </c>
      <c r="G7876" s="25">
        <v>6.122E-5</v>
      </c>
      <c r="H7876" s="25">
        <v>4.6140000000000002E-5</v>
      </c>
      <c r="I7876" s="9">
        <v>1.2184999999999999E-4</v>
      </c>
      <c r="J7876" s="9">
        <v>1.0953E-4</v>
      </c>
      <c r="K7876" s="9">
        <v>2.5431999999999999E-4</v>
      </c>
      <c r="L7876" s="9">
        <v>8.6780000000000006E-5</v>
      </c>
      <c r="M7876" s="9">
        <v>8.7579999999999998E-5</v>
      </c>
      <c r="N7876" s="9">
        <v>9.0989999999999994E-5</v>
      </c>
      <c r="O7876" s="9">
        <v>7.975E-5</v>
      </c>
      <c r="P7876" s="9">
        <v>6.9250000000000003E-5</v>
      </c>
      <c r="Q7876" s="9">
        <v>5.9280000000000002E-5</v>
      </c>
      <c r="R7876" s="10">
        <v>1.3150013892397931E-4</v>
      </c>
      <c r="S7876" s="10">
        <v>8.0565964313753671E-5</v>
      </c>
      <c r="T7876" s="10">
        <v>0</v>
      </c>
      <c r="U7876" s="10">
        <v>1.077E-4</v>
      </c>
      <c r="V7876" s="25"/>
      <c r="W7876" s="25"/>
      <c r="X7876" s="25"/>
      <c r="Y7876" s="25"/>
      <c r="Z7876" s="25"/>
      <c r="AA7876" s="25"/>
    </row>
    <row r="7877" spans="1:27" x14ac:dyDescent="0.35">
      <c r="A7877" s="5">
        <v>7873</v>
      </c>
      <c r="B7877" s="5">
        <v>329</v>
      </c>
      <c r="C7877" s="5">
        <v>11</v>
      </c>
      <c r="D7877" s="25">
        <v>1.1416E-4</v>
      </c>
      <c r="E7877" s="25">
        <v>1.132E-4</v>
      </c>
      <c r="F7877" s="25">
        <v>9.3659999999999994E-5</v>
      </c>
      <c r="G7877" s="25">
        <v>5.3539999999999999E-5</v>
      </c>
      <c r="H7877" s="25">
        <v>1.4579999999999999E-5</v>
      </c>
      <c r="I7877" s="9">
        <v>1.1339E-4</v>
      </c>
      <c r="J7877" s="9">
        <v>1.0281E-4</v>
      </c>
      <c r="K7877" s="9">
        <v>2.6490999999999998E-4</v>
      </c>
      <c r="L7877" s="9">
        <v>8.106E-5</v>
      </c>
      <c r="M7877" s="9">
        <v>7.8499999999999997E-5</v>
      </c>
      <c r="N7877" s="9">
        <v>8.1550000000000004E-5</v>
      </c>
      <c r="O7877" s="9">
        <v>6.8230000000000002E-5</v>
      </c>
      <c r="P7877" s="9">
        <v>6.0749999999999999E-5</v>
      </c>
      <c r="Q7877" s="9">
        <v>5.3579999999999999E-5</v>
      </c>
      <c r="R7877" s="10">
        <v>1.3078308999067665E-4</v>
      </c>
      <c r="S7877" s="10">
        <v>7.2839383557006711E-5</v>
      </c>
      <c r="T7877" s="10">
        <v>0</v>
      </c>
      <c r="U7877" s="10">
        <v>1.0813E-4</v>
      </c>
      <c r="V7877" s="25"/>
      <c r="W7877" s="25"/>
      <c r="X7877" s="25"/>
      <c r="Y7877" s="25"/>
      <c r="Z7877" s="25"/>
      <c r="AA7877" s="25"/>
    </row>
    <row r="7878" spans="1:27" x14ac:dyDescent="0.35">
      <c r="A7878" s="5">
        <v>7874</v>
      </c>
      <c r="B7878" s="5">
        <v>329</v>
      </c>
      <c r="C7878" s="5">
        <v>11</v>
      </c>
      <c r="D7878" s="25">
        <v>1.1415000000000001E-4</v>
      </c>
      <c r="E7878" s="25">
        <v>1.0403000000000001E-4</v>
      </c>
      <c r="F7878" s="25">
        <v>1.0771E-4</v>
      </c>
      <c r="G7878" s="25">
        <v>5.8780000000000003E-5</v>
      </c>
      <c r="H7878" s="25">
        <v>1.508E-5</v>
      </c>
      <c r="I7878" s="9">
        <v>1.0613E-4</v>
      </c>
      <c r="J7878" s="9">
        <v>9.8350000000000005E-5</v>
      </c>
      <c r="K7878" s="9">
        <v>2.2677E-4</v>
      </c>
      <c r="L7878" s="9">
        <v>7.1190000000000001E-5</v>
      </c>
      <c r="M7878" s="9">
        <v>6.9989999999999999E-5</v>
      </c>
      <c r="N7878" s="9">
        <v>7.2360000000000005E-5</v>
      </c>
      <c r="O7878" s="9">
        <v>3.5309999999999999E-5</v>
      </c>
      <c r="P7878" s="9">
        <v>4.6239999999999998E-5</v>
      </c>
      <c r="Q7878" s="9">
        <v>5.6669999999999998E-5</v>
      </c>
      <c r="R7878" s="10">
        <v>1.2364577917712047E-4</v>
      </c>
      <c r="S7878" s="10">
        <v>6.9598924560459842E-5</v>
      </c>
      <c r="T7878" s="10">
        <v>0</v>
      </c>
      <c r="U7878" s="10">
        <v>1.0813E-4</v>
      </c>
      <c r="V7878" s="25"/>
      <c r="W7878" s="25"/>
      <c r="X7878" s="25"/>
      <c r="Y7878" s="25"/>
      <c r="Z7878" s="25"/>
      <c r="AA7878" s="25"/>
    </row>
    <row r="7879" spans="1:27" x14ac:dyDescent="0.35">
      <c r="A7879" s="5">
        <v>7875</v>
      </c>
      <c r="B7879" s="5">
        <v>329</v>
      </c>
      <c r="C7879" s="5">
        <v>11</v>
      </c>
      <c r="D7879" s="25">
        <v>1.1416E-4</v>
      </c>
      <c r="E7879" s="25">
        <v>1.083E-4</v>
      </c>
      <c r="F7879" s="25">
        <v>9.3389999999999999E-5</v>
      </c>
      <c r="G7879" s="25">
        <v>5.7859999999999998E-5</v>
      </c>
      <c r="H7879" s="25">
        <v>1.489E-5</v>
      </c>
      <c r="I7879" s="9">
        <v>1.0114E-4</v>
      </c>
      <c r="J7879" s="9">
        <v>9.5829999999999996E-5</v>
      </c>
      <c r="K7879" s="9">
        <v>2.2465000000000001E-4</v>
      </c>
      <c r="L7879" s="9">
        <v>4.3470000000000002E-5</v>
      </c>
      <c r="M7879" s="9">
        <v>5.9419999999999997E-5</v>
      </c>
      <c r="N7879" s="9">
        <v>6.58E-5</v>
      </c>
      <c r="O7879" s="9">
        <v>2.1590000000000002E-5</v>
      </c>
      <c r="P7879" s="9">
        <v>4.1739999999999997E-5</v>
      </c>
      <c r="Q7879" s="9">
        <v>6.1050000000000007E-5</v>
      </c>
      <c r="R7879" s="10">
        <v>1.141899229296219E-4</v>
      </c>
      <c r="S7879" s="10">
        <v>7.8799739944605238E-5</v>
      </c>
      <c r="T7879" s="10">
        <v>0</v>
      </c>
      <c r="U7879" s="10">
        <v>1.0813E-4</v>
      </c>
      <c r="V7879" s="25"/>
      <c r="W7879" s="25"/>
      <c r="X7879" s="25"/>
      <c r="Y7879" s="25"/>
      <c r="Z7879" s="25"/>
      <c r="AA7879" s="25"/>
    </row>
    <row r="7880" spans="1:27" x14ac:dyDescent="0.35">
      <c r="A7880" s="5">
        <v>7876</v>
      </c>
      <c r="B7880" s="5">
        <v>329</v>
      </c>
      <c r="C7880" s="5">
        <v>11</v>
      </c>
      <c r="D7880" s="25">
        <v>1.1415000000000001E-4</v>
      </c>
      <c r="E7880" s="25">
        <v>1.1086000000000001E-4</v>
      </c>
      <c r="F7880" s="25">
        <v>8.666E-5</v>
      </c>
      <c r="G7880" s="25">
        <v>5.5399999999999998E-5</v>
      </c>
      <c r="H7880" s="25">
        <v>1.3920000000000001E-5</v>
      </c>
      <c r="I7880" s="9">
        <v>9.9749999999999999E-5</v>
      </c>
      <c r="J7880" s="9">
        <v>9.5080000000000004E-5</v>
      </c>
      <c r="K7880" s="9">
        <v>2.3524E-4</v>
      </c>
      <c r="L7880" s="9">
        <v>2.7140000000000001E-5</v>
      </c>
      <c r="M7880" s="9">
        <v>5.0519999999999997E-5</v>
      </c>
      <c r="N7880" s="9">
        <v>6.2050000000000004E-5</v>
      </c>
      <c r="O7880" s="9">
        <v>2.1189999999999999E-5</v>
      </c>
      <c r="P7880" s="9">
        <v>5.1209999999999999E-5</v>
      </c>
      <c r="Q7880" s="9">
        <v>8.0220000000000001E-5</v>
      </c>
      <c r="R7880" s="10">
        <v>1.0711554759488642E-4</v>
      </c>
      <c r="S7880" s="10">
        <v>8.9941633192165555E-5</v>
      </c>
      <c r="T7880" s="10">
        <v>0</v>
      </c>
      <c r="U7880" s="10">
        <v>1.0813E-4</v>
      </c>
      <c r="V7880" s="25"/>
      <c r="W7880" s="25"/>
      <c r="X7880" s="25"/>
      <c r="Y7880" s="25"/>
      <c r="Z7880" s="25"/>
      <c r="AA7880" s="25"/>
    </row>
    <row r="7881" spans="1:27" x14ac:dyDescent="0.35">
      <c r="A7881" s="5">
        <v>7877</v>
      </c>
      <c r="B7881" s="5">
        <v>329</v>
      </c>
      <c r="C7881" s="5">
        <v>11</v>
      </c>
      <c r="D7881" s="25">
        <v>1.1416E-4</v>
      </c>
      <c r="E7881" s="25">
        <v>1.0702E-4</v>
      </c>
      <c r="F7881" s="25">
        <v>9.5820000000000001E-5</v>
      </c>
      <c r="G7881" s="25">
        <v>6.0439999999999997E-5</v>
      </c>
      <c r="H7881" s="25">
        <v>1.607E-5</v>
      </c>
      <c r="I7881" s="9">
        <v>1.0064999999999999E-4</v>
      </c>
      <c r="J7881" s="9">
        <v>9.556E-5</v>
      </c>
      <c r="K7881" s="9">
        <v>2.3101E-4</v>
      </c>
      <c r="L7881" s="9">
        <v>2.2900000000000001E-5</v>
      </c>
      <c r="M7881" s="9">
        <v>4.8690000000000003E-5</v>
      </c>
      <c r="N7881" s="9">
        <v>6.4490000000000001E-5</v>
      </c>
      <c r="O7881" s="9">
        <v>2.3370000000000002E-5</v>
      </c>
      <c r="P7881" s="9">
        <v>5.9519999999999999E-5</v>
      </c>
      <c r="Q7881" s="9">
        <v>9.4580000000000006E-5</v>
      </c>
      <c r="R7881" s="10">
        <v>1.0461995974679519E-4</v>
      </c>
      <c r="S7881" s="10">
        <v>9.2088276744604111E-5</v>
      </c>
      <c r="T7881" s="10">
        <v>0</v>
      </c>
      <c r="U7881" s="10">
        <v>1.0813E-4</v>
      </c>
      <c r="V7881" s="25"/>
      <c r="W7881" s="25"/>
      <c r="X7881" s="25"/>
      <c r="Y7881" s="25"/>
      <c r="Z7881" s="25"/>
      <c r="AA7881" s="25"/>
    </row>
    <row r="7882" spans="1:27" x14ac:dyDescent="0.35">
      <c r="A7882" s="5">
        <v>7878</v>
      </c>
      <c r="B7882" s="5">
        <v>329</v>
      </c>
      <c r="C7882" s="5">
        <v>11</v>
      </c>
      <c r="D7882" s="25">
        <v>1.1415000000000001E-4</v>
      </c>
      <c r="E7882" s="25">
        <v>1.0632999999999999E-4</v>
      </c>
      <c r="F7882" s="25">
        <v>8.5179999999999994E-5</v>
      </c>
      <c r="G7882" s="25">
        <v>1.1273999999999999E-4</v>
      </c>
      <c r="H7882" s="25">
        <v>2.9030000000000002E-5</v>
      </c>
      <c r="I7882" s="9">
        <v>1.0758E-4</v>
      </c>
      <c r="J7882" s="9">
        <v>9.9640000000000001E-5</v>
      </c>
      <c r="K7882" s="9">
        <v>2.4795999999999998E-4</v>
      </c>
      <c r="L7882" s="9">
        <v>2.319E-5</v>
      </c>
      <c r="M7882" s="9">
        <v>5.2469999999999997E-5</v>
      </c>
      <c r="N7882" s="9">
        <v>7.1210000000000004E-5</v>
      </c>
      <c r="O7882" s="9">
        <v>2.9560000000000002E-5</v>
      </c>
      <c r="P7882" s="9">
        <v>6.8919999999999997E-5</v>
      </c>
      <c r="Q7882" s="9">
        <v>1.0726E-4</v>
      </c>
      <c r="R7882" s="10">
        <v>1.0652457870382485E-4</v>
      </c>
      <c r="S7882" s="10">
        <v>1.0217797795419491E-4</v>
      </c>
      <c r="T7882" s="10">
        <v>0</v>
      </c>
      <c r="U7882" s="10">
        <v>1.0813E-4</v>
      </c>
      <c r="V7882" s="25"/>
      <c r="W7882" s="25"/>
      <c r="X7882" s="25"/>
      <c r="Y7882" s="25"/>
      <c r="Z7882" s="25"/>
      <c r="AA7882" s="25"/>
    </row>
    <row r="7883" spans="1:27" x14ac:dyDescent="0.35">
      <c r="A7883" s="5">
        <v>7879</v>
      </c>
      <c r="B7883" s="5">
        <v>329</v>
      </c>
      <c r="C7883" s="5">
        <v>11</v>
      </c>
      <c r="D7883" s="25">
        <v>1.1416E-4</v>
      </c>
      <c r="E7883" s="25">
        <v>1.0566E-4</v>
      </c>
      <c r="F7883" s="25">
        <v>9.3350000000000006E-5</v>
      </c>
      <c r="G7883" s="25">
        <v>1.1046E-4</v>
      </c>
      <c r="H7883" s="25">
        <v>2.8949999999999999E-5</v>
      </c>
      <c r="I7883" s="9">
        <v>1.2161E-4</v>
      </c>
      <c r="J7883" s="9">
        <v>1.1216E-4</v>
      </c>
      <c r="K7883" s="9">
        <v>2.4583999999999999E-4</v>
      </c>
      <c r="L7883" s="9">
        <v>2.8050000000000001E-5</v>
      </c>
      <c r="M7883" s="9">
        <v>5.9509999999999998E-5</v>
      </c>
      <c r="N7883" s="9">
        <v>8.0939999999999994E-5</v>
      </c>
      <c r="O7883" s="9">
        <v>4.617E-5</v>
      </c>
      <c r="P7883" s="9">
        <v>7.9759999999999995E-5</v>
      </c>
      <c r="Q7883" s="9">
        <v>1.1266E-4</v>
      </c>
      <c r="R7883" s="10">
        <v>1.1559717653896556E-4</v>
      </c>
      <c r="S7883" s="10">
        <v>1.143021402461816E-4</v>
      </c>
      <c r="T7883" s="10">
        <v>0</v>
      </c>
      <c r="U7883" s="10">
        <v>1.0813E-4</v>
      </c>
      <c r="V7883" s="25"/>
      <c r="W7883" s="25"/>
      <c r="X7883" s="25"/>
      <c r="Y7883" s="25"/>
      <c r="Z7883" s="25"/>
      <c r="AA7883" s="25"/>
    </row>
    <row r="7884" spans="1:27" x14ac:dyDescent="0.35">
      <c r="A7884" s="5">
        <v>7880</v>
      </c>
      <c r="B7884" s="5">
        <v>329</v>
      </c>
      <c r="C7884" s="5">
        <v>11</v>
      </c>
      <c r="D7884" s="25">
        <v>1.1415000000000001E-4</v>
      </c>
      <c r="E7884" s="25">
        <v>1.1315E-4</v>
      </c>
      <c r="F7884" s="25">
        <v>1.0734E-4</v>
      </c>
      <c r="G7884" s="25">
        <v>1.5686000000000001E-4</v>
      </c>
      <c r="H7884" s="25">
        <v>4.2110000000000002E-5</v>
      </c>
      <c r="I7884" s="9">
        <v>1.3357000000000001E-4</v>
      </c>
      <c r="J7884" s="9">
        <v>1.3093999999999999E-4</v>
      </c>
      <c r="K7884" s="9">
        <v>2.3524E-4</v>
      </c>
      <c r="L7884" s="9">
        <v>4.2039999999999997E-5</v>
      </c>
      <c r="M7884" s="9">
        <v>6.8579999999999997E-5</v>
      </c>
      <c r="N7884" s="9">
        <v>9.1039999999999996E-5</v>
      </c>
      <c r="O7884" s="9">
        <v>6.7869999999999999E-5</v>
      </c>
      <c r="P7884" s="9">
        <v>1.0206E-4</v>
      </c>
      <c r="Q7884" s="9">
        <v>1.359E-4</v>
      </c>
      <c r="R7884" s="10">
        <v>1.1805275877765158E-4</v>
      </c>
      <c r="S7884" s="10">
        <v>1.3326432961076993E-4</v>
      </c>
      <c r="T7884" s="10">
        <v>0</v>
      </c>
      <c r="U7884" s="10">
        <v>1.0813E-4</v>
      </c>
      <c r="V7884" s="25"/>
      <c r="W7884" s="25"/>
      <c r="X7884" s="25"/>
      <c r="Y7884" s="25"/>
      <c r="Z7884" s="25"/>
      <c r="AA7884" s="25"/>
    </row>
    <row r="7885" spans="1:27" x14ac:dyDescent="0.35">
      <c r="A7885" s="5">
        <v>7881</v>
      </c>
      <c r="B7885" s="5">
        <v>329</v>
      </c>
      <c r="C7885" s="5">
        <v>11</v>
      </c>
      <c r="D7885" s="25">
        <v>1.1416E-4</v>
      </c>
      <c r="E7885" s="25">
        <v>1.0548999999999999E-4</v>
      </c>
      <c r="F7885" s="25">
        <v>8.844E-5</v>
      </c>
      <c r="G7885" s="25">
        <v>1.5609E-4</v>
      </c>
      <c r="H7885" s="25">
        <v>4.1050000000000002E-5</v>
      </c>
      <c r="I7885" s="9">
        <v>1.3566000000000001E-4</v>
      </c>
      <c r="J7885" s="9">
        <v>1.4067999999999999E-4</v>
      </c>
      <c r="K7885" s="9">
        <v>2.4583999999999999E-4</v>
      </c>
      <c r="L7885" s="9">
        <v>6.1810000000000006E-5</v>
      </c>
      <c r="M7885" s="9">
        <v>8.2869999999999998E-5</v>
      </c>
      <c r="N7885" s="9">
        <v>1.0459E-4</v>
      </c>
      <c r="O7885" s="9">
        <v>1.0082E-4</v>
      </c>
      <c r="P7885" s="9">
        <v>1.3948000000000001E-4</v>
      </c>
      <c r="Q7885" s="9">
        <v>1.7820999999999999E-4</v>
      </c>
      <c r="R7885" s="10">
        <v>1.0767402735044825E-4</v>
      </c>
      <c r="S7885" s="10">
        <v>1.4049253270737494E-4</v>
      </c>
      <c r="T7885" s="10">
        <v>3.2910597179202818E-5</v>
      </c>
      <c r="U7885" s="10">
        <v>1.0813E-4</v>
      </c>
      <c r="V7885" s="25"/>
      <c r="W7885" s="25"/>
      <c r="X7885" s="25"/>
      <c r="Y7885" s="25"/>
      <c r="Z7885" s="25"/>
      <c r="AA7885" s="25"/>
    </row>
    <row r="7886" spans="1:27" x14ac:dyDescent="0.35">
      <c r="A7886" s="5">
        <v>7882</v>
      </c>
      <c r="B7886" s="5">
        <v>329</v>
      </c>
      <c r="C7886" s="5">
        <v>11</v>
      </c>
      <c r="D7886" s="25">
        <v>1.1415000000000001E-4</v>
      </c>
      <c r="E7886" s="25">
        <v>1.1181E-4</v>
      </c>
      <c r="F7886" s="25">
        <v>1.0175000000000001E-4</v>
      </c>
      <c r="G7886" s="25">
        <v>1.5756E-4</v>
      </c>
      <c r="H7886" s="25">
        <v>4.002E-5</v>
      </c>
      <c r="I7886" s="9">
        <v>1.3626E-4</v>
      </c>
      <c r="J7886" s="9">
        <v>1.4323E-4</v>
      </c>
      <c r="K7886" s="9">
        <v>2.5008000000000002E-4</v>
      </c>
      <c r="L7886" s="9">
        <v>9.1719999999999996E-5</v>
      </c>
      <c r="M7886" s="9">
        <v>1.0686E-4</v>
      </c>
      <c r="N7886" s="9">
        <v>1.2486999999999999E-4</v>
      </c>
      <c r="O7886" s="9">
        <v>1.2836999999999999E-4</v>
      </c>
      <c r="P7886" s="9">
        <v>1.5442E-4</v>
      </c>
      <c r="Q7886" s="9">
        <v>1.8118999999999999E-4</v>
      </c>
      <c r="R7886" s="10">
        <v>1.0299893428227473E-4</v>
      </c>
      <c r="S7886" s="10">
        <v>1.4492275646616775E-4</v>
      </c>
      <c r="T7886" s="10">
        <v>2.807454654962159E-5</v>
      </c>
      <c r="U7886" s="10">
        <v>1.0813E-4</v>
      </c>
      <c r="V7886" s="25"/>
      <c r="W7886" s="25"/>
      <c r="X7886" s="25"/>
      <c r="Y7886" s="25"/>
      <c r="Z7886" s="25"/>
      <c r="AA7886" s="25"/>
    </row>
    <row r="7887" spans="1:27" x14ac:dyDescent="0.35">
      <c r="A7887" s="5">
        <v>7883</v>
      </c>
      <c r="B7887" s="5">
        <v>329</v>
      </c>
      <c r="C7887" s="5">
        <v>11</v>
      </c>
      <c r="D7887" s="25">
        <v>1.1416E-4</v>
      </c>
      <c r="E7887" s="25">
        <v>1.0411E-4</v>
      </c>
      <c r="F7887" s="25">
        <v>9.6710000000000001E-5</v>
      </c>
      <c r="G7887" s="25">
        <v>1.6420000000000001E-4</v>
      </c>
      <c r="H7887" s="25">
        <v>4.0210000000000003E-5</v>
      </c>
      <c r="I7887" s="9">
        <v>1.3495E-4</v>
      </c>
      <c r="J7887" s="9">
        <v>1.4296E-4</v>
      </c>
      <c r="K7887" s="9">
        <v>2.7974E-4</v>
      </c>
      <c r="L7887" s="9">
        <v>1.1957E-4</v>
      </c>
      <c r="M7887" s="9">
        <v>1.3004999999999999E-4</v>
      </c>
      <c r="N7887" s="9">
        <v>1.4269E-4</v>
      </c>
      <c r="O7887" s="9">
        <v>1.3645000000000001E-4</v>
      </c>
      <c r="P7887" s="9">
        <v>1.5692000000000001E-4</v>
      </c>
      <c r="Q7887" s="9">
        <v>1.7830999999999999E-4</v>
      </c>
      <c r="R7887" s="10">
        <v>9.3468218439402275E-5</v>
      </c>
      <c r="S7887" s="10">
        <v>1.39179261759905E-4</v>
      </c>
      <c r="T7887" s="10">
        <v>9.1638917280889326E-5</v>
      </c>
      <c r="U7887" s="10">
        <v>1.0813E-4</v>
      </c>
      <c r="V7887" s="25"/>
      <c r="W7887" s="25"/>
      <c r="X7887" s="25"/>
      <c r="Y7887" s="25"/>
      <c r="Z7887" s="25"/>
      <c r="AA7887" s="25"/>
    </row>
    <row r="7888" spans="1:27" x14ac:dyDescent="0.35">
      <c r="A7888" s="5">
        <v>7884</v>
      </c>
      <c r="B7888" s="5">
        <v>329</v>
      </c>
      <c r="C7888" s="5">
        <v>11</v>
      </c>
      <c r="D7888" s="25">
        <v>1.1415000000000001E-4</v>
      </c>
      <c r="E7888" s="25">
        <v>1.1056999999999999E-4</v>
      </c>
      <c r="F7888" s="25">
        <v>1.0709000000000001E-4</v>
      </c>
      <c r="G7888" s="25">
        <v>1.585E-4</v>
      </c>
      <c r="H7888" s="25">
        <v>4.261E-5</v>
      </c>
      <c r="I7888" s="9">
        <v>1.3475E-4</v>
      </c>
      <c r="J7888" s="9">
        <v>1.415E-4</v>
      </c>
      <c r="K7888" s="9">
        <v>2.6279999999999999E-4</v>
      </c>
      <c r="L7888" s="9">
        <v>1.3208999999999999E-4</v>
      </c>
      <c r="M7888" s="9">
        <v>1.4520000000000001E-4</v>
      </c>
      <c r="N7888" s="9">
        <v>1.5647999999999999E-4</v>
      </c>
      <c r="O7888" s="9">
        <v>1.3773E-4</v>
      </c>
      <c r="P7888" s="9">
        <v>1.548E-4</v>
      </c>
      <c r="Q7888" s="9">
        <v>1.7286999999999999E-4</v>
      </c>
      <c r="R7888" s="10">
        <v>8.7026814657522502E-5</v>
      </c>
      <c r="S7888" s="10">
        <v>1.3373807889915452E-4</v>
      </c>
      <c r="T7888" s="10">
        <v>4.8102583595568016E-4</v>
      </c>
      <c r="U7888" s="10">
        <v>1.0813E-4</v>
      </c>
      <c r="V7888" s="25"/>
      <c r="W7888" s="25"/>
      <c r="X7888" s="25"/>
      <c r="Y7888" s="25"/>
      <c r="Z7888" s="25"/>
      <c r="AA7888" s="25"/>
    </row>
    <row r="7889" spans="1:27" x14ac:dyDescent="0.35">
      <c r="A7889" s="5">
        <v>7885</v>
      </c>
      <c r="B7889" s="5">
        <v>329</v>
      </c>
      <c r="C7889" s="5">
        <v>11</v>
      </c>
      <c r="D7889" s="25">
        <v>1.1416E-4</v>
      </c>
      <c r="E7889" s="25">
        <v>1.0815E-4</v>
      </c>
      <c r="F7889" s="25">
        <v>9.268E-5</v>
      </c>
      <c r="G7889" s="25">
        <v>1.5985000000000001E-4</v>
      </c>
      <c r="H7889" s="25">
        <v>4.1999999999999998E-5</v>
      </c>
      <c r="I7889" s="9">
        <v>1.3108E-4</v>
      </c>
      <c r="J7889" s="9">
        <v>1.3866E-4</v>
      </c>
      <c r="K7889" s="9">
        <v>2.7763000000000001E-4</v>
      </c>
      <c r="L7889" s="9">
        <v>1.3632999999999999E-4</v>
      </c>
      <c r="M7889" s="9">
        <v>1.5186999999999999E-4</v>
      </c>
      <c r="N7889" s="9">
        <v>1.6564999999999999E-4</v>
      </c>
      <c r="O7889" s="9">
        <v>1.3019E-4</v>
      </c>
      <c r="P7889" s="9">
        <v>1.4823000000000001E-4</v>
      </c>
      <c r="Q7889" s="9">
        <v>1.6710999999999999E-4</v>
      </c>
      <c r="R7889" s="10">
        <v>9.1942439945417426E-5</v>
      </c>
      <c r="S7889" s="10">
        <v>1.404957483317042E-4</v>
      </c>
      <c r="T7889" s="10">
        <v>2.261914206747995E-5</v>
      </c>
      <c r="U7889" s="10">
        <v>1.0813E-4</v>
      </c>
      <c r="V7889" s="25"/>
      <c r="W7889" s="25"/>
      <c r="X7889" s="25"/>
      <c r="Y7889" s="25"/>
      <c r="Z7889" s="25"/>
      <c r="AA7889" s="25"/>
    </row>
    <row r="7890" spans="1:27" x14ac:dyDescent="0.35">
      <c r="A7890" s="5">
        <v>7886</v>
      </c>
      <c r="B7890" s="5">
        <v>329</v>
      </c>
      <c r="C7890" s="5">
        <v>11</v>
      </c>
      <c r="D7890" s="25">
        <v>1.1415000000000001E-4</v>
      </c>
      <c r="E7890" s="25">
        <v>1.0598E-4</v>
      </c>
      <c r="F7890" s="25">
        <v>8.8170000000000005E-5</v>
      </c>
      <c r="G7890" s="25">
        <v>1.5720999999999999E-4</v>
      </c>
      <c r="H7890" s="25">
        <v>4.0809999999999997E-5</v>
      </c>
      <c r="I7890" s="9">
        <v>1.3129E-4</v>
      </c>
      <c r="J7890" s="9">
        <v>1.3893E-4</v>
      </c>
      <c r="K7890" s="9">
        <v>2.6915000000000001E-4</v>
      </c>
      <c r="L7890" s="9">
        <v>1.316E-4</v>
      </c>
      <c r="M7890" s="9">
        <v>1.5181999999999999E-4</v>
      </c>
      <c r="N7890" s="9">
        <v>1.6992999999999999E-4</v>
      </c>
      <c r="O7890" s="9">
        <v>1.1271E-4</v>
      </c>
      <c r="P7890" s="9">
        <v>1.3643999999999999E-4</v>
      </c>
      <c r="Q7890" s="9">
        <v>1.6068000000000001E-4</v>
      </c>
      <c r="R7890" s="10">
        <v>8.1397482432980954E-5</v>
      </c>
      <c r="S7890" s="10">
        <v>1.6206683973747635E-4</v>
      </c>
      <c r="T7890" s="10">
        <v>2.3408181907043204E-5</v>
      </c>
      <c r="U7890" s="10">
        <v>1.0813E-4</v>
      </c>
      <c r="V7890" s="25"/>
      <c r="W7890" s="25"/>
      <c r="X7890" s="25"/>
      <c r="Y7890" s="25"/>
      <c r="Z7890" s="25"/>
      <c r="AA7890" s="25"/>
    </row>
    <row r="7891" spans="1:27" x14ac:dyDescent="0.35">
      <c r="A7891" s="5">
        <v>7887</v>
      </c>
      <c r="B7891" s="5">
        <v>329</v>
      </c>
      <c r="C7891" s="5">
        <v>11</v>
      </c>
      <c r="D7891" s="25">
        <v>1.1416E-4</v>
      </c>
      <c r="E7891" s="25">
        <v>1.1396E-4</v>
      </c>
      <c r="F7891" s="25">
        <v>1.0170000000000001E-4</v>
      </c>
      <c r="G7891" s="25">
        <v>1.5758999999999999E-4</v>
      </c>
      <c r="H7891" s="25">
        <v>4.2370000000000003E-5</v>
      </c>
      <c r="I7891" s="9">
        <v>1.316E-4</v>
      </c>
      <c r="J7891" s="9">
        <v>1.3951E-4</v>
      </c>
      <c r="K7891" s="9">
        <v>2.9881999999999999E-4</v>
      </c>
      <c r="L7891" s="9">
        <v>1.1705999999999999E-4</v>
      </c>
      <c r="M7891" s="9">
        <v>1.4603000000000001E-4</v>
      </c>
      <c r="N7891" s="9">
        <v>1.6945999999999999E-4</v>
      </c>
      <c r="O7891" s="9">
        <v>1.2659999999999999E-4</v>
      </c>
      <c r="P7891" s="9">
        <v>1.3855000000000001E-4</v>
      </c>
      <c r="Q7891" s="9">
        <v>1.5139999999999999E-4</v>
      </c>
      <c r="R7891" s="10">
        <v>8.9288877940202338E-5</v>
      </c>
      <c r="S7891" s="10">
        <v>1.7143585070537949E-4</v>
      </c>
      <c r="T7891" s="10">
        <v>6.6983543369375176E-5</v>
      </c>
      <c r="U7891" s="10">
        <v>1.0813E-4</v>
      </c>
      <c r="V7891" s="25"/>
      <c r="W7891" s="25"/>
      <c r="X7891" s="25"/>
      <c r="Y7891" s="25"/>
      <c r="Z7891" s="25"/>
      <c r="AA7891" s="25"/>
    </row>
    <row r="7892" spans="1:27" x14ac:dyDescent="0.35">
      <c r="A7892" s="5">
        <v>7888</v>
      </c>
      <c r="B7892" s="5">
        <v>329</v>
      </c>
      <c r="C7892" s="5">
        <v>11</v>
      </c>
      <c r="D7892" s="25">
        <v>1.1415000000000001E-4</v>
      </c>
      <c r="E7892" s="25">
        <v>1.0965E-4</v>
      </c>
      <c r="F7892" s="25">
        <v>1.0581000000000001E-4</v>
      </c>
      <c r="G7892" s="25">
        <v>1.5941999999999999E-4</v>
      </c>
      <c r="H7892" s="25">
        <v>4.2769999999999999E-5</v>
      </c>
      <c r="I7892" s="9">
        <v>1.3311E-4</v>
      </c>
      <c r="J7892" s="9">
        <v>1.4113999999999999E-4</v>
      </c>
      <c r="K7892" s="9">
        <v>2.9247000000000002E-4</v>
      </c>
      <c r="L7892" s="9">
        <v>1.2491999999999999E-4</v>
      </c>
      <c r="M7892" s="9">
        <v>1.417E-4</v>
      </c>
      <c r="N7892" s="9">
        <v>1.6543999999999999E-4</v>
      </c>
      <c r="O7892" s="9">
        <v>1.3359E-4</v>
      </c>
      <c r="P7892" s="9">
        <v>1.206E-4</v>
      </c>
      <c r="Q7892" s="9">
        <v>1.0902E-4</v>
      </c>
      <c r="R7892" s="10">
        <v>1.0457526538493214E-4</v>
      </c>
      <c r="S7892" s="10">
        <v>1.7884050730418766E-4</v>
      </c>
      <c r="T7892" s="10">
        <v>0</v>
      </c>
      <c r="U7892" s="10">
        <v>1.0813E-4</v>
      </c>
      <c r="V7892" s="25"/>
      <c r="W7892" s="25"/>
      <c r="X7892" s="25"/>
      <c r="Y7892" s="25"/>
      <c r="Z7892" s="25"/>
      <c r="AA7892" s="25"/>
    </row>
    <row r="7893" spans="1:27" x14ac:dyDescent="0.35">
      <c r="A7893" s="5">
        <v>7889</v>
      </c>
      <c r="B7893" s="5">
        <v>329</v>
      </c>
      <c r="C7893" s="5">
        <v>11</v>
      </c>
      <c r="D7893" s="25">
        <v>1.1416E-4</v>
      </c>
      <c r="E7893" s="25">
        <v>1.0793000000000001E-4</v>
      </c>
      <c r="F7893" s="25">
        <v>8.6609999999999999E-5</v>
      </c>
      <c r="G7893" s="25">
        <v>1.593E-4</v>
      </c>
      <c r="H7893" s="25">
        <v>4.083E-5</v>
      </c>
      <c r="I7893" s="9">
        <v>1.3530000000000001E-4</v>
      </c>
      <c r="J7893" s="9">
        <v>1.4551000000000001E-4</v>
      </c>
      <c r="K7893" s="9">
        <v>3.0093999999999997E-4</v>
      </c>
      <c r="L7893" s="9">
        <v>1.3143000000000001E-4</v>
      </c>
      <c r="M7893" s="9">
        <v>1.3312999999999999E-4</v>
      </c>
      <c r="N7893" s="9">
        <v>1.5171E-4</v>
      </c>
      <c r="O7893" s="9">
        <v>1.4002E-4</v>
      </c>
      <c r="P7893" s="9">
        <v>1.2255E-4</v>
      </c>
      <c r="Q7893" s="9">
        <v>1.0666E-4</v>
      </c>
      <c r="R7893" s="10">
        <v>1.0227364356336647E-4</v>
      </c>
      <c r="S7893" s="10">
        <v>1.8473657020536598E-4</v>
      </c>
      <c r="T7893" s="10">
        <v>0</v>
      </c>
      <c r="U7893" s="10">
        <v>1.0813E-4</v>
      </c>
      <c r="V7893" s="25"/>
      <c r="W7893" s="25"/>
      <c r="X7893" s="25"/>
      <c r="Y7893" s="25"/>
      <c r="Z7893" s="25"/>
      <c r="AA7893" s="25"/>
    </row>
    <row r="7894" spans="1:27" x14ac:dyDescent="0.35">
      <c r="A7894" s="5">
        <v>7890</v>
      </c>
      <c r="B7894" s="5">
        <v>329</v>
      </c>
      <c r="C7894" s="5">
        <v>11</v>
      </c>
      <c r="D7894" s="25">
        <v>1.1415000000000001E-4</v>
      </c>
      <c r="E7894" s="25">
        <v>1.0655E-4</v>
      </c>
      <c r="F7894" s="25">
        <v>9.0870000000000002E-5</v>
      </c>
      <c r="G7894" s="25">
        <v>1.5645000000000001E-4</v>
      </c>
      <c r="H7894" s="25">
        <v>4.1980000000000001E-5</v>
      </c>
      <c r="I7894" s="9">
        <v>1.4428999999999999E-4</v>
      </c>
      <c r="J7894" s="9">
        <v>1.5333999999999999E-4</v>
      </c>
      <c r="K7894" s="9">
        <v>2.8186999999999998E-4</v>
      </c>
      <c r="L7894" s="9">
        <v>1.3783999999999999E-4</v>
      </c>
      <c r="M7894" s="9">
        <v>1.2715E-4</v>
      </c>
      <c r="N7894" s="9">
        <v>1.3841999999999999E-4</v>
      </c>
      <c r="O7894" s="9">
        <v>1.4098999999999999E-4</v>
      </c>
      <c r="P7894" s="9">
        <v>1.2846999999999999E-4</v>
      </c>
      <c r="Q7894" s="9">
        <v>1.1745E-4</v>
      </c>
      <c r="R7894" s="10">
        <v>1.0022343219145264E-4</v>
      </c>
      <c r="S7894" s="10">
        <v>1.8611064133789386E-4</v>
      </c>
      <c r="T7894" s="10">
        <v>0</v>
      </c>
      <c r="U7894" s="10">
        <v>1.0813E-4</v>
      </c>
      <c r="V7894" s="25"/>
      <c r="W7894" s="25"/>
      <c r="X7894" s="25"/>
      <c r="Y7894" s="25"/>
      <c r="Z7894" s="25"/>
      <c r="AA7894" s="25"/>
    </row>
    <row r="7895" spans="1:27" x14ac:dyDescent="0.35">
      <c r="A7895" s="5">
        <v>7891</v>
      </c>
      <c r="B7895" s="5">
        <v>329</v>
      </c>
      <c r="C7895" s="5">
        <v>11</v>
      </c>
      <c r="D7895" s="25">
        <v>1.1416E-4</v>
      </c>
      <c r="E7895" s="25">
        <v>1.1099000000000001E-4</v>
      </c>
      <c r="F7895" s="25">
        <v>9.3529999999999994E-5</v>
      </c>
      <c r="G7895" s="25">
        <v>1.1459999999999999E-4</v>
      </c>
      <c r="H7895" s="25">
        <v>2.6910000000000002E-5</v>
      </c>
      <c r="I7895" s="9">
        <v>1.4406E-4</v>
      </c>
      <c r="J7895" s="9">
        <v>1.4857E-4</v>
      </c>
      <c r="K7895" s="9">
        <v>2.8399000000000002E-4</v>
      </c>
      <c r="L7895" s="9">
        <v>1.4019E-4</v>
      </c>
      <c r="M7895" s="9">
        <v>1.2626E-4</v>
      </c>
      <c r="N7895" s="9">
        <v>1.2945E-4</v>
      </c>
      <c r="O7895" s="9">
        <v>1.4285E-4</v>
      </c>
      <c r="P7895" s="9">
        <v>1.2449E-4</v>
      </c>
      <c r="Q7895" s="9">
        <v>1.0775E-4</v>
      </c>
      <c r="R7895" s="10">
        <v>1.0243914642734222E-4</v>
      </c>
      <c r="S7895" s="10">
        <v>1.8666081678105569E-4</v>
      </c>
      <c r="T7895" s="10">
        <v>0</v>
      </c>
      <c r="U7895" s="10">
        <v>1.0813E-4</v>
      </c>
      <c r="V7895" s="25"/>
      <c r="W7895" s="25"/>
      <c r="X7895" s="25"/>
      <c r="Y7895" s="25"/>
      <c r="Z7895" s="25"/>
      <c r="AA7895" s="25"/>
    </row>
    <row r="7896" spans="1:27" x14ac:dyDescent="0.35">
      <c r="A7896" s="5">
        <v>7892</v>
      </c>
      <c r="B7896" s="5">
        <v>329</v>
      </c>
      <c r="C7896" s="5">
        <v>11</v>
      </c>
      <c r="D7896" s="25">
        <v>1.1415000000000001E-4</v>
      </c>
      <c r="E7896" s="25">
        <v>1.0486E-4</v>
      </c>
      <c r="F7896" s="25">
        <v>1.0007E-4</v>
      </c>
      <c r="G7896" s="25">
        <v>1.0679E-4</v>
      </c>
      <c r="H7896" s="25">
        <v>2.756E-5</v>
      </c>
      <c r="I7896" s="9">
        <v>1.3741E-4</v>
      </c>
      <c r="J7896" s="9">
        <v>1.4397999999999999E-4</v>
      </c>
      <c r="K7896" s="9">
        <v>2.9033999999999999E-4</v>
      </c>
      <c r="L7896" s="9">
        <v>1.4223999999999999E-4</v>
      </c>
      <c r="M7896" s="9">
        <v>1.2566000000000001E-4</v>
      </c>
      <c r="N7896" s="9">
        <v>1.2063E-4</v>
      </c>
      <c r="O7896" s="9">
        <v>1.4286999999999999E-4</v>
      </c>
      <c r="P7896" s="9">
        <v>1.21E-4</v>
      </c>
      <c r="Q7896" s="9">
        <v>1.0082E-4</v>
      </c>
      <c r="R7896" s="10">
        <v>1.0118668639832956E-4</v>
      </c>
      <c r="S7896" s="10">
        <v>1.8843369297981901E-4</v>
      </c>
      <c r="T7896" s="10">
        <v>0</v>
      </c>
      <c r="U7896" s="10">
        <v>1.0813E-4</v>
      </c>
      <c r="V7896" s="25"/>
      <c r="W7896" s="25"/>
      <c r="X7896" s="25"/>
      <c r="Y7896" s="25"/>
      <c r="Z7896" s="25"/>
      <c r="AA7896" s="25"/>
    </row>
    <row r="7897" spans="1:27" x14ac:dyDescent="0.35">
      <c r="A7897" s="5">
        <v>7893</v>
      </c>
      <c r="B7897" s="5">
        <v>329</v>
      </c>
      <c r="C7897" s="5">
        <v>11</v>
      </c>
      <c r="D7897" s="25">
        <v>1.1416E-4</v>
      </c>
      <c r="E7897" s="25">
        <v>1.0916000000000001E-4</v>
      </c>
      <c r="F7897" s="25">
        <v>9.3590000000000003E-5</v>
      </c>
      <c r="G7897" s="25">
        <v>5.5899999999999997E-5</v>
      </c>
      <c r="H7897" s="25">
        <v>1.5440000000000001E-5</v>
      </c>
      <c r="I7897" s="9">
        <v>1.3081E-4</v>
      </c>
      <c r="J7897" s="9">
        <v>1.3768E-4</v>
      </c>
      <c r="K7897" s="9">
        <v>2.9458000000000002E-4</v>
      </c>
      <c r="L7897" s="9">
        <v>1.4271999999999999E-4</v>
      </c>
      <c r="M7897" s="9">
        <v>1.2386E-4</v>
      </c>
      <c r="N7897" s="9">
        <v>1.1285000000000001E-4</v>
      </c>
      <c r="O7897" s="9">
        <v>8.3919999999999996E-5</v>
      </c>
      <c r="P7897" s="9">
        <v>8.5489999999999996E-5</v>
      </c>
      <c r="Q7897" s="9">
        <v>8.7470000000000001E-5</v>
      </c>
      <c r="R7897" s="10">
        <v>1.1210985417119483E-4</v>
      </c>
      <c r="S7897" s="10">
        <v>1.8888573880124885E-4</v>
      </c>
      <c r="T7897" s="10">
        <v>0</v>
      </c>
      <c r="U7897" s="10">
        <v>1.0813E-4</v>
      </c>
      <c r="V7897" s="25"/>
      <c r="W7897" s="25"/>
      <c r="X7897" s="25"/>
      <c r="Y7897" s="25"/>
      <c r="Z7897" s="25"/>
      <c r="AA7897" s="25"/>
    </row>
    <row r="7898" spans="1:27" x14ac:dyDescent="0.35">
      <c r="A7898" s="5">
        <v>7894</v>
      </c>
      <c r="B7898" s="5">
        <v>329</v>
      </c>
      <c r="C7898" s="5">
        <v>11</v>
      </c>
      <c r="D7898" s="25">
        <v>1.1415000000000001E-4</v>
      </c>
      <c r="E7898" s="25">
        <v>1.0721999999999999E-4</v>
      </c>
      <c r="F7898" s="25">
        <v>1.0634E-4</v>
      </c>
      <c r="G7898" s="25">
        <v>5.2490000000000001E-5</v>
      </c>
      <c r="H7898" s="25">
        <v>1.365E-5</v>
      </c>
      <c r="I7898" s="9">
        <v>1.2374E-4</v>
      </c>
      <c r="J7898" s="9">
        <v>1.2873999999999999E-4</v>
      </c>
      <c r="K7898" s="9">
        <v>2.8186999999999998E-4</v>
      </c>
      <c r="L7898" s="9">
        <v>9.6849999999999996E-5</v>
      </c>
      <c r="M7898" s="9">
        <v>1.0951999999999999E-4</v>
      </c>
      <c r="N7898" s="9">
        <v>1.0517E-4</v>
      </c>
      <c r="O7898" s="9">
        <v>8.6829999999999994E-5</v>
      </c>
      <c r="P7898" s="9">
        <v>8.7000000000000001E-5</v>
      </c>
      <c r="Q7898" s="9">
        <v>8.7639999999999994E-5</v>
      </c>
      <c r="R7898" s="10">
        <v>1.3429756223157254E-4</v>
      </c>
      <c r="S7898" s="10">
        <v>1.8734421205959356E-4</v>
      </c>
      <c r="T7898" s="10">
        <v>0</v>
      </c>
      <c r="U7898" s="10">
        <v>1.0813E-4</v>
      </c>
      <c r="V7898" s="25"/>
      <c r="W7898" s="25"/>
      <c r="X7898" s="25"/>
      <c r="Y7898" s="25"/>
      <c r="Z7898" s="25"/>
      <c r="AA7898" s="25"/>
    </row>
    <row r="7899" spans="1:27" x14ac:dyDescent="0.35">
      <c r="A7899" s="5">
        <v>7895</v>
      </c>
      <c r="B7899" s="5">
        <v>329</v>
      </c>
      <c r="C7899" s="5">
        <v>11</v>
      </c>
      <c r="D7899" s="25">
        <v>1.1416E-4</v>
      </c>
      <c r="E7899" s="25">
        <v>1.0383E-4</v>
      </c>
      <c r="F7899" s="25">
        <v>8.7860000000000002E-5</v>
      </c>
      <c r="G7899" s="25">
        <v>6.1589999999999998E-5</v>
      </c>
      <c r="H7899" s="25">
        <v>1.56E-5</v>
      </c>
      <c r="I7899" s="9">
        <v>1.2444999999999999E-4</v>
      </c>
      <c r="J7899" s="9">
        <v>1.1911E-4</v>
      </c>
      <c r="K7899" s="9">
        <v>2.8186999999999998E-4</v>
      </c>
      <c r="L7899" s="9">
        <v>9.0320000000000003E-5</v>
      </c>
      <c r="M7899" s="9">
        <v>9.7559999999999994E-5</v>
      </c>
      <c r="N7899" s="9">
        <v>9.9320000000000005E-5</v>
      </c>
      <c r="O7899" s="9">
        <v>8.4400000000000005E-5</v>
      </c>
      <c r="P7899" s="9">
        <v>7.5220000000000001E-5</v>
      </c>
      <c r="Q7899" s="9">
        <v>6.6639999999999999E-5</v>
      </c>
      <c r="R7899" s="10">
        <v>1.4373643496499013E-4</v>
      </c>
      <c r="S7899" s="10">
        <v>1.8391566544179394E-4</v>
      </c>
      <c r="T7899" s="10">
        <v>0</v>
      </c>
      <c r="U7899" s="10">
        <v>1.0813E-4</v>
      </c>
      <c r="V7899" s="25"/>
      <c r="W7899" s="25"/>
      <c r="X7899" s="25"/>
      <c r="Y7899" s="25"/>
      <c r="Z7899" s="25"/>
      <c r="AA7899" s="25"/>
    </row>
    <row r="7900" spans="1:27" x14ac:dyDescent="0.35">
      <c r="A7900" s="5">
        <v>7896</v>
      </c>
      <c r="B7900" s="5">
        <v>329</v>
      </c>
      <c r="C7900" s="5">
        <v>11</v>
      </c>
      <c r="D7900" s="25">
        <v>1.1415000000000001E-4</v>
      </c>
      <c r="E7900" s="25">
        <v>1.0843E-4</v>
      </c>
      <c r="F7900" s="25">
        <v>9.7899999999999994E-5</v>
      </c>
      <c r="G7900" s="25">
        <v>5.8990000000000003E-5</v>
      </c>
      <c r="H7900" s="25">
        <v>1.5489999999999999E-5</v>
      </c>
      <c r="I7900" s="9">
        <v>1.2299000000000001E-4</v>
      </c>
      <c r="J7900" s="9">
        <v>1.109E-4</v>
      </c>
      <c r="K7900" s="9">
        <v>2.8610000000000002E-4</v>
      </c>
      <c r="L7900" s="9">
        <v>8.5909999999999996E-5</v>
      </c>
      <c r="M7900" s="9">
        <v>8.6730000000000005E-5</v>
      </c>
      <c r="N7900" s="9">
        <v>9.0080000000000005E-5</v>
      </c>
      <c r="O7900" s="9">
        <v>7.9380000000000002E-5</v>
      </c>
      <c r="P7900" s="9">
        <v>6.8930000000000006E-5</v>
      </c>
      <c r="Q7900" s="9">
        <v>5.8999999999999998E-5</v>
      </c>
      <c r="R7900" s="10">
        <v>1.462819387850419E-4</v>
      </c>
      <c r="S7900" s="10">
        <v>1.8022498980961989E-4</v>
      </c>
      <c r="T7900" s="10">
        <v>0</v>
      </c>
      <c r="U7900" s="10">
        <v>1.0813E-4</v>
      </c>
      <c r="V7900" s="25"/>
      <c r="W7900" s="25"/>
      <c r="X7900" s="25"/>
      <c r="Y7900" s="25"/>
      <c r="Z7900" s="25"/>
      <c r="AA7900" s="25"/>
    </row>
    <row r="7901" spans="1:27" x14ac:dyDescent="0.35">
      <c r="A7901" s="5">
        <v>7897</v>
      </c>
      <c r="B7901" s="5">
        <v>330</v>
      </c>
      <c r="C7901" s="5">
        <v>11</v>
      </c>
      <c r="D7901" s="25">
        <v>1.1416E-4</v>
      </c>
      <c r="E7901" s="25">
        <v>1.0498E-4</v>
      </c>
      <c r="F7901" s="25">
        <v>1.1092E-4</v>
      </c>
      <c r="G7901" s="25">
        <v>6.0340000000000002E-5</v>
      </c>
      <c r="H7901" s="25">
        <v>6.4430000000000005E-5</v>
      </c>
      <c r="I7901" s="9">
        <v>1.147E-4</v>
      </c>
      <c r="J7901" s="9">
        <v>1.0477E-4</v>
      </c>
      <c r="K7901" s="9">
        <v>2.8399000000000002E-4</v>
      </c>
      <c r="L7901" s="9">
        <v>8.0589999999999999E-5</v>
      </c>
      <c r="M7901" s="9">
        <v>7.7880000000000007E-5</v>
      </c>
      <c r="N7901" s="9">
        <v>8.0770000000000001E-5</v>
      </c>
      <c r="O7901" s="9">
        <v>5.4880000000000003E-5</v>
      </c>
      <c r="P7901" s="9">
        <v>5.4289999999999997E-5</v>
      </c>
      <c r="Q7901" s="9">
        <v>5.3860000000000003E-5</v>
      </c>
      <c r="R7901" s="10">
        <v>1.3352475957990355E-4</v>
      </c>
      <c r="S7901" s="10">
        <v>1.7840120458026572E-4</v>
      </c>
      <c r="T7901" s="10">
        <v>0</v>
      </c>
      <c r="U7901" s="10">
        <v>1.0900000000000001E-4</v>
      </c>
      <c r="V7901" s="25"/>
      <c r="W7901" s="25"/>
      <c r="X7901" s="25"/>
      <c r="Y7901" s="25"/>
      <c r="Z7901" s="25"/>
      <c r="AA7901" s="25"/>
    </row>
    <row r="7902" spans="1:27" x14ac:dyDescent="0.35">
      <c r="A7902" s="5">
        <v>7898</v>
      </c>
      <c r="B7902" s="5">
        <v>330</v>
      </c>
      <c r="C7902" s="5">
        <v>11</v>
      </c>
      <c r="D7902" s="25">
        <v>1.1415000000000001E-4</v>
      </c>
      <c r="E7902" s="25">
        <v>1.1047E-4</v>
      </c>
      <c r="F7902" s="25">
        <v>1.0233E-4</v>
      </c>
      <c r="G7902" s="25">
        <v>5.9190000000000001E-5</v>
      </c>
      <c r="H7902" s="25">
        <v>7.4839999999999995E-5</v>
      </c>
      <c r="I7902" s="9">
        <v>1.0868E-4</v>
      </c>
      <c r="J7902" s="9">
        <v>9.9779999999999997E-5</v>
      </c>
      <c r="K7902" s="9">
        <v>2.7763000000000001E-4</v>
      </c>
      <c r="L7902" s="9">
        <v>6.067E-5</v>
      </c>
      <c r="M7902" s="9">
        <v>6.7319999999999999E-5</v>
      </c>
      <c r="N7902" s="9">
        <v>7.1879999999999996E-5</v>
      </c>
      <c r="O7902" s="9">
        <v>1.8600000000000001E-5</v>
      </c>
      <c r="P7902" s="9">
        <v>3.7710000000000003E-5</v>
      </c>
      <c r="Q7902" s="9">
        <v>5.6119999999999998E-5</v>
      </c>
      <c r="R7902" s="10">
        <v>1.2450497407607016E-4</v>
      </c>
      <c r="S7902" s="10">
        <v>1.7353239315307675E-4</v>
      </c>
      <c r="T7902" s="10">
        <v>0</v>
      </c>
      <c r="U7902" s="10">
        <v>1.0900000000000001E-4</v>
      </c>
      <c r="V7902" s="25"/>
      <c r="W7902" s="25"/>
      <c r="X7902" s="25"/>
      <c r="Y7902" s="25"/>
      <c r="Z7902" s="25"/>
      <c r="AA7902" s="25"/>
    </row>
    <row r="7903" spans="1:27" x14ac:dyDescent="0.35">
      <c r="A7903" s="5">
        <v>7899</v>
      </c>
      <c r="B7903" s="5">
        <v>330</v>
      </c>
      <c r="C7903" s="5">
        <v>11</v>
      </c>
      <c r="D7903" s="25">
        <v>1.1416E-4</v>
      </c>
      <c r="E7903" s="25">
        <v>1.1362999999999999E-4</v>
      </c>
      <c r="F7903" s="25">
        <v>1.1874E-4</v>
      </c>
      <c r="G7903" s="25">
        <v>5.7960000000000001E-5</v>
      </c>
      <c r="H7903" s="25">
        <v>7.5549999999999993E-5</v>
      </c>
      <c r="I7903" s="9">
        <v>1.0378999999999999E-4</v>
      </c>
      <c r="J7903" s="9">
        <v>9.7120000000000005E-5</v>
      </c>
      <c r="K7903" s="9">
        <v>2.967E-4</v>
      </c>
      <c r="L7903" s="9">
        <v>2.8390000000000001E-5</v>
      </c>
      <c r="M7903" s="9">
        <v>5.4070000000000002E-5</v>
      </c>
      <c r="N7903" s="9">
        <v>6.5400000000000004E-5</v>
      </c>
      <c r="O7903" s="9">
        <v>1.3169999999999999E-5</v>
      </c>
      <c r="P7903" s="9">
        <v>3.7960000000000002E-5</v>
      </c>
      <c r="Q7903" s="9">
        <v>6.1879999999999997E-5</v>
      </c>
      <c r="R7903" s="10">
        <v>1.2061198996349753E-4</v>
      </c>
      <c r="S7903" s="10">
        <v>1.6538335765533199E-4</v>
      </c>
      <c r="T7903" s="10">
        <v>0</v>
      </c>
      <c r="U7903" s="10">
        <v>1.0900000000000001E-4</v>
      </c>
      <c r="V7903" s="25"/>
      <c r="W7903" s="25"/>
      <c r="X7903" s="25"/>
      <c r="Y7903" s="25"/>
      <c r="Z7903" s="25"/>
      <c r="AA7903" s="25"/>
    </row>
    <row r="7904" spans="1:27" x14ac:dyDescent="0.35">
      <c r="A7904" s="5">
        <v>7900</v>
      </c>
      <c r="B7904" s="5">
        <v>330</v>
      </c>
      <c r="C7904" s="5">
        <v>11</v>
      </c>
      <c r="D7904" s="25">
        <v>1.1415000000000001E-4</v>
      </c>
      <c r="E7904" s="25">
        <v>1.1264000000000001E-4</v>
      </c>
      <c r="F7904" s="25">
        <v>1.1461E-4</v>
      </c>
      <c r="G7904" s="25">
        <v>6.1240000000000003E-5</v>
      </c>
      <c r="H7904" s="25">
        <v>6.9529999999999993E-5</v>
      </c>
      <c r="I7904" s="9">
        <v>1.0237E-4</v>
      </c>
      <c r="J7904" s="9">
        <v>9.6119999999999995E-5</v>
      </c>
      <c r="K7904" s="9">
        <v>2.7763000000000001E-4</v>
      </c>
      <c r="L7904" s="9">
        <v>1.7390000000000001E-5</v>
      </c>
      <c r="M7904" s="9">
        <v>4.507E-5</v>
      </c>
      <c r="N7904" s="9">
        <v>6.1959999999999996E-5</v>
      </c>
      <c r="O7904" s="9">
        <v>1.323E-5</v>
      </c>
      <c r="P7904" s="9">
        <v>4.7670000000000003E-5</v>
      </c>
      <c r="Q7904" s="9">
        <v>8.1089999999999998E-5</v>
      </c>
      <c r="R7904" s="10">
        <v>1.0979272361587861E-4</v>
      </c>
      <c r="S7904" s="10">
        <v>1.6301255464745256E-4</v>
      </c>
      <c r="T7904" s="10">
        <v>0</v>
      </c>
      <c r="U7904" s="10">
        <v>1.0900000000000001E-4</v>
      </c>
      <c r="V7904" s="25"/>
      <c r="W7904" s="25"/>
      <c r="X7904" s="25"/>
      <c r="Y7904" s="25"/>
      <c r="Z7904" s="25"/>
      <c r="AA7904" s="25"/>
    </row>
    <row r="7905" spans="1:27" x14ac:dyDescent="0.35">
      <c r="A7905" s="5">
        <v>7901</v>
      </c>
      <c r="B7905" s="5">
        <v>330</v>
      </c>
      <c r="C7905" s="5">
        <v>11</v>
      </c>
      <c r="D7905" s="25">
        <v>1.1416E-4</v>
      </c>
      <c r="E7905" s="25">
        <v>1.0844999999999999E-4</v>
      </c>
      <c r="F7905" s="25">
        <v>1.0401E-4</v>
      </c>
      <c r="G7905" s="25">
        <v>6.135E-5</v>
      </c>
      <c r="H7905" s="25">
        <v>7.3990000000000001E-5</v>
      </c>
      <c r="I7905" s="9">
        <v>1.0393E-4</v>
      </c>
      <c r="J7905" s="9">
        <v>9.6739999999999999E-5</v>
      </c>
      <c r="K7905" s="9">
        <v>2.7763000000000001E-4</v>
      </c>
      <c r="L7905" s="9">
        <v>1.432E-5</v>
      </c>
      <c r="M7905" s="9">
        <v>4.4020000000000002E-5</v>
      </c>
      <c r="N7905" s="9">
        <v>6.4700000000000001E-5</v>
      </c>
      <c r="O7905" s="9">
        <v>1.8499999999999999E-5</v>
      </c>
      <c r="P7905" s="9">
        <v>5.626E-5</v>
      </c>
      <c r="Q7905" s="9">
        <v>9.3040000000000004E-5</v>
      </c>
      <c r="R7905" s="10">
        <v>9.614172495080334E-5</v>
      </c>
      <c r="S7905" s="10">
        <v>1.5006335586308474E-4</v>
      </c>
      <c r="T7905" s="10">
        <v>0</v>
      </c>
      <c r="U7905" s="10">
        <v>1.0900000000000001E-4</v>
      </c>
      <c r="V7905" s="25"/>
      <c r="W7905" s="25"/>
      <c r="X7905" s="25"/>
      <c r="Y7905" s="25"/>
      <c r="Z7905" s="25"/>
      <c r="AA7905" s="25"/>
    </row>
    <row r="7906" spans="1:27" x14ac:dyDescent="0.35">
      <c r="A7906" s="5">
        <v>7902</v>
      </c>
      <c r="B7906" s="5">
        <v>330</v>
      </c>
      <c r="C7906" s="5">
        <v>11</v>
      </c>
      <c r="D7906" s="25">
        <v>1.1415000000000001E-4</v>
      </c>
      <c r="E7906" s="25">
        <v>1.0668E-4</v>
      </c>
      <c r="F7906" s="25">
        <v>1.1777000000000001E-4</v>
      </c>
      <c r="G7906" s="25">
        <v>1.0956E-4</v>
      </c>
      <c r="H7906" s="25">
        <v>1.3705E-4</v>
      </c>
      <c r="I7906" s="9">
        <v>1.0987E-4</v>
      </c>
      <c r="J7906" s="9">
        <v>1.0119E-4</v>
      </c>
      <c r="K7906" s="9">
        <v>2.7975E-4</v>
      </c>
      <c r="L7906" s="9">
        <v>1.7439999999999999E-5</v>
      </c>
      <c r="M7906" s="9">
        <v>4.8539999999999999E-5</v>
      </c>
      <c r="N7906" s="9">
        <v>7.1110000000000002E-5</v>
      </c>
      <c r="O7906" s="9">
        <v>4.6279999999999997E-5</v>
      </c>
      <c r="P7906" s="9">
        <v>7.6929999999999997E-5</v>
      </c>
      <c r="Q7906" s="9">
        <v>1.0712E-4</v>
      </c>
      <c r="R7906" s="10">
        <v>8.72712287500833E-5</v>
      </c>
      <c r="S7906" s="10">
        <v>1.3185760846519081E-4</v>
      </c>
      <c r="T7906" s="10">
        <v>0</v>
      </c>
      <c r="U7906" s="10">
        <v>1.0900000000000001E-4</v>
      </c>
      <c r="V7906" s="25"/>
      <c r="W7906" s="25"/>
      <c r="X7906" s="25"/>
      <c r="Y7906" s="25"/>
      <c r="Z7906" s="25"/>
      <c r="AA7906" s="25"/>
    </row>
    <row r="7907" spans="1:27" x14ac:dyDescent="0.35">
      <c r="A7907" s="5">
        <v>7903</v>
      </c>
      <c r="B7907" s="5">
        <v>330</v>
      </c>
      <c r="C7907" s="5">
        <v>11</v>
      </c>
      <c r="D7907" s="25">
        <v>1.1416E-4</v>
      </c>
      <c r="E7907" s="25">
        <v>1.1033E-4</v>
      </c>
      <c r="F7907" s="25">
        <v>1.0621E-4</v>
      </c>
      <c r="G7907" s="25">
        <v>1.1202E-4</v>
      </c>
      <c r="H7907" s="25">
        <v>1.3540000000000001E-4</v>
      </c>
      <c r="I7907" s="9">
        <v>1.2339999999999999E-4</v>
      </c>
      <c r="J7907" s="9">
        <v>1.1293E-4</v>
      </c>
      <c r="K7907" s="9">
        <v>2.7975E-4</v>
      </c>
      <c r="L7907" s="9">
        <v>3.9799999999999998E-5</v>
      </c>
      <c r="M7907" s="9">
        <v>6.003E-5</v>
      </c>
      <c r="N7907" s="9">
        <v>8.0809999999999994E-5</v>
      </c>
      <c r="O7907" s="9">
        <v>1.2348E-4</v>
      </c>
      <c r="P7907" s="9">
        <v>1.1724E-4</v>
      </c>
      <c r="Q7907" s="9">
        <v>1.1231E-4</v>
      </c>
      <c r="R7907" s="10">
        <v>8.2658928792487087E-5</v>
      </c>
      <c r="S7907" s="10">
        <v>1.1076056180142495E-4</v>
      </c>
      <c r="T7907" s="10">
        <v>0</v>
      </c>
      <c r="U7907" s="10">
        <v>1.0900000000000001E-4</v>
      </c>
      <c r="V7907" s="25"/>
      <c r="W7907" s="25"/>
      <c r="X7907" s="25"/>
      <c r="Y7907" s="25"/>
      <c r="Z7907" s="25"/>
      <c r="AA7907" s="25"/>
    </row>
    <row r="7908" spans="1:27" x14ac:dyDescent="0.35">
      <c r="A7908" s="5">
        <v>7904</v>
      </c>
      <c r="B7908" s="5">
        <v>330</v>
      </c>
      <c r="C7908" s="5">
        <v>11</v>
      </c>
      <c r="D7908" s="25">
        <v>1.1415000000000001E-4</v>
      </c>
      <c r="E7908" s="25">
        <v>1.0985E-4</v>
      </c>
      <c r="F7908" s="25">
        <v>1.0302E-4</v>
      </c>
      <c r="G7908" s="25">
        <v>1.5959000000000001E-4</v>
      </c>
      <c r="H7908" s="25">
        <v>1.9134999999999999E-4</v>
      </c>
      <c r="I7908" s="9">
        <v>1.3664999999999999E-4</v>
      </c>
      <c r="J7908" s="9">
        <v>1.3190000000000001E-4</v>
      </c>
      <c r="K7908" s="9">
        <v>2.7127E-4</v>
      </c>
      <c r="L7908" s="9">
        <v>1.0445E-4</v>
      </c>
      <c r="M7908" s="9">
        <v>8.3609999999999994E-5</v>
      </c>
      <c r="N7908" s="9">
        <v>9.0849999999999999E-5</v>
      </c>
      <c r="O7908" s="9">
        <v>2.2131000000000001E-4</v>
      </c>
      <c r="P7908" s="9">
        <v>1.7752999999999999E-4</v>
      </c>
      <c r="Q7908" s="9">
        <v>1.3714E-4</v>
      </c>
      <c r="R7908" s="10">
        <v>7.4703486928554341E-5</v>
      </c>
      <c r="S7908" s="10">
        <v>9.0290793848109025E-5</v>
      </c>
      <c r="T7908" s="10">
        <v>0</v>
      </c>
      <c r="U7908" s="10">
        <v>1.0900000000000001E-4</v>
      </c>
      <c r="V7908" s="25"/>
      <c r="W7908" s="25"/>
      <c r="X7908" s="25"/>
      <c r="Y7908" s="25"/>
      <c r="Z7908" s="25"/>
      <c r="AA7908" s="25"/>
    </row>
    <row r="7909" spans="1:27" x14ac:dyDescent="0.35">
      <c r="A7909" s="5">
        <v>7905</v>
      </c>
      <c r="B7909" s="5">
        <v>330</v>
      </c>
      <c r="C7909" s="5">
        <v>11</v>
      </c>
      <c r="D7909" s="25">
        <v>1.1416E-4</v>
      </c>
      <c r="E7909" s="25">
        <v>1.0451E-4</v>
      </c>
      <c r="F7909" s="25">
        <v>9.9209999999999994E-5</v>
      </c>
      <c r="G7909" s="25">
        <v>1.6181999999999999E-4</v>
      </c>
      <c r="H7909" s="25">
        <v>1.9673999999999999E-4</v>
      </c>
      <c r="I7909" s="9">
        <v>1.3814E-4</v>
      </c>
      <c r="J7909" s="9">
        <v>1.4135999999999999E-4</v>
      </c>
      <c r="K7909" s="9">
        <v>2.6491999999999998E-4</v>
      </c>
      <c r="L7909" s="9">
        <v>1.9383000000000001E-4</v>
      </c>
      <c r="M7909" s="9">
        <v>1.2353E-4</v>
      </c>
      <c r="N7909" s="9">
        <v>1.0466E-4</v>
      </c>
      <c r="O7909" s="9">
        <v>2.1309000000000001E-4</v>
      </c>
      <c r="P7909" s="9">
        <v>1.9389E-4</v>
      </c>
      <c r="Q7909" s="9">
        <v>1.7757E-4</v>
      </c>
      <c r="R7909" s="10">
        <v>6.2960445165533918E-5</v>
      </c>
      <c r="S7909" s="10">
        <v>6.5488552483402567E-5</v>
      </c>
      <c r="T7909" s="10">
        <v>1.0466231678335809E-4</v>
      </c>
      <c r="U7909" s="10">
        <v>1.0900000000000001E-4</v>
      </c>
      <c r="V7909" s="25"/>
      <c r="W7909" s="25"/>
      <c r="X7909" s="25"/>
      <c r="Y7909" s="25"/>
      <c r="Z7909" s="25"/>
      <c r="AA7909" s="25"/>
    </row>
    <row r="7910" spans="1:27" x14ac:dyDescent="0.35">
      <c r="A7910" s="5">
        <v>7906</v>
      </c>
      <c r="B7910" s="5">
        <v>330</v>
      </c>
      <c r="C7910" s="5">
        <v>11</v>
      </c>
      <c r="D7910" s="25">
        <v>1.1415000000000001E-4</v>
      </c>
      <c r="E7910" s="25">
        <v>1.1305E-4</v>
      </c>
      <c r="F7910" s="25">
        <v>1.1577E-4</v>
      </c>
      <c r="G7910" s="25">
        <v>1.6008E-4</v>
      </c>
      <c r="H7910" s="25">
        <v>1.9772E-4</v>
      </c>
      <c r="I7910" s="9">
        <v>1.3807000000000001E-4</v>
      </c>
      <c r="J7910" s="9">
        <v>1.4414000000000001E-4</v>
      </c>
      <c r="K7910" s="9">
        <v>2.5643999999999998E-4</v>
      </c>
      <c r="L7910" s="9">
        <v>2.0651E-4</v>
      </c>
      <c r="M7910" s="9">
        <v>1.5898E-4</v>
      </c>
      <c r="N7910" s="9">
        <v>1.2479E-4</v>
      </c>
      <c r="O7910" s="9">
        <v>1.6736E-4</v>
      </c>
      <c r="P7910" s="9">
        <v>1.7354999999999999E-4</v>
      </c>
      <c r="Q7910" s="9">
        <v>1.8153000000000001E-4</v>
      </c>
      <c r="R7910" s="10">
        <v>4.8769458561972899E-5</v>
      </c>
      <c r="S7910" s="10">
        <v>4.3549978815210151E-5</v>
      </c>
      <c r="T7910" s="10">
        <v>3.4024585683876534E-4</v>
      </c>
      <c r="U7910" s="10">
        <v>1.0900000000000001E-4</v>
      </c>
      <c r="V7910" s="25"/>
      <c r="W7910" s="25"/>
      <c r="X7910" s="25"/>
      <c r="Y7910" s="25"/>
      <c r="Z7910" s="25"/>
      <c r="AA7910" s="25"/>
    </row>
    <row r="7911" spans="1:27" x14ac:dyDescent="0.35">
      <c r="A7911" s="5">
        <v>7907</v>
      </c>
      <c r="B7911" s="5">
        <v>330</v>
      </c>
      <c r="C7911" s="5">
        <v>11</v>
      </c>
      <c r="D7911" s="25">
        <v>1.1416E-4</v>
      </c>
      <c r="E7911" s="25">
        <v>1.1228E-4</v>
      </c>
      <c r="F7911" s="25">
        <v>1.1134E-4</v>
      </c>
      <c r="G7911" s="25">
        <v>1.6265999999999999E-4</v>
      </c>
      <c r="H7911" s="25">
        <v>1.8785000000000001E-4</v>
      </c>
      <c r="I7911" s="9">
        <v>1.3685999999999999E-4</v>
      </c>
      <c r="J7911" s="9">
        <v>1.4312E-4</v>
      </c>
      <c r="K7911" s="9">
        <v>2.6490999999999998E-4</v>
      </c>
      <c r="L7911" s="9">
        <v>1.7604E-4</v>
      </c>
      <c r="M7911" s="9">
        <v>1.7244E-4</v>
      </c>
      <c r="N7911" s="9">
        <v>1.4274000000000001E-4</v>
      </c>
      <c r="O7911" s="9">
        <v>1.6784999999999999E-4</v>
      </c>
      <c r="P7911" s="9">
        <v>1.7270999999999999E-4</v>
      </c>
      <c r="Q7911" s="9">
        <v>1.7939E-4</v>
      </c>
      <c r="R7911" s="10">
        <v>3.3999569738842243E-5</v>
      </c>
      <c r="S7911" s="10">
        <v>2.9757076680194454E-5</v>
      </c>
      <c r="T7911" s="10">
        <v>4.5043993679841636E-4</v>
      </c>
      <c r="U7911" s="10">
        <v>1.0900000000000001E-4</v>
      </c>
      <c r="V7911" s="25"/>
      <c r="W7911" s="25"/>
      <c r="X7911" s="25"/>
      <c r="Y7911" s="25"/>
      <c r="Z7911" s="25"/>
      <c r="AA7911" s="25"/>
    </row>
    <row r="7912" spans="1:27" x14ac:dyDescent="0.35">
      <c r="A7912" s="5">
        <v>7908</v>
      </c>
      <c r="B7912" s="5">
        <v>330</v>
      </c>
      <c r="C7912" s="5">
        <v>11</v>
      </c>
      <c r="D7912" s="25">
        <v>1.1415000000000001E-4</v>
      </c>
      <c r="E7912" s="25">
        <v>1.0728E-4</v>
      </c>
      <c r="F7912" s="25">
        <v>1.1112000000000001E-4</v>
      </c>
      <c r="G7912" s="25">
        <v>1.5966E-4</v>
      </c>
      <c r="H7912" s="25">
        <v>1.8903999999999999E-4</v>
      </c>
      <c r="I7912" s="9">
        <v>1.3538999999999999E-4</v>
      </c>
      <c r="J7912" s="9">
        <v>1.4105000000000001E-4</v>
      </c>
      <c r="K7912" s="9">
        <v>2.6915000000000001E-4</v>
      </c>
      <c r="L7912" s="9">
        <v>1.7111000000000001E-4</v>
      </c>
      <c r="M7912" s="9">
        <v>1.7478E-4</v>
      </c>
      <c r="N7912" s="9">
        <v>1.5677000000000001E-4</v>
      </c>
      <c r="O7912" s="9">
        <v>1.7035999999999999E-4</v>
      </c>
      <c r="P7912" s="9">
        <v>1.7111000000000001E-4</v>
      </c>
      <c r="Q7912" s="9">
        <v>1.7378000000000001E-4</v>
      </c>
      <c r="R7912" s="10">
        <v>2.6040405691699779E-5</v>
      </c>
      <c r="S7912" s="10">
        <v>2.451064237165326E-5</v>
      </c>
      <c r="T7912" s="10">
        <v>4.7465412714372309E-4</v>
      </c>
      <c r="U7912" s="10">
        <v>1.0900000000000001E-4</v>
      </c>
      <c r="V7912" s="25"/>
      <c r="W7912" s="25"/>
      <c r="X7912" s="25"/>
      <c r="Y7912" s="25"/>
      <c r="Z7912" s="25"/>
      <c r="AA7912" s="25"/>
    </row>
    <row r="7913" spans="1:27" x14ac:dyDescent="0.35">
      <c r="A7913" s="5">
        <v>7909</v>
      </c>
      <c r="B7913" s="5">
        <v>330</v>
      </c>
      <c r="C7913" s="5">
        <v>11</v>
      </c>
      <c r="D7913" s="25">
        <v>1.1416E-4</v>
      </c>
      <c r="E7913" s="25">
        <v>1.1283E-4</v>
      </c>
      <c r="F7913" s="25">
        <v>1.1379000000000001E-4</v>
      </c>
      <c r="G7913" s="25">
        <v>1.5694E-4</v>
      </c>
      <c r="H7913" s="25">
        <v>1.9060999999999999E-4</v>
      </c>
      <c r="I7913" s="9">
        <v>1.3072E-4</v>
      </c>
      <c r="J7913" s="9">
        <v>1.3797000000000001E-4</v>
      </c>
      <c r="K7913" s="9">
        <v>2.7127E-4</v>
      </c>
      <c r="L7913" s="9">
        <v>1.7069000000000001E-4</v>
      </c>
      <c r="M7913" s="9">
        <v>1.7358E-4</v>
      </c>
      <c r="N7913" s="9">
        <v>1.6614000000000001E-4</v>
      </c>
      <c r="O7913" s="9">
        <v>1.6113E-4</v>
      </c>
      <c r="P7913" s="9">
        <v>1.6273000000000001E-4</v>
      </c>
      <c r="Q7913" s="9">
        <v>1.6610999999999999E-4</v>
      </c>
      <c r="R7913" s="10">
        <v>1.2767936160749427E-5</v>
      </c>
      <c r="S7913" s="10">
        <v>2.49063443420601E-5</v>
      </c>
      <c r="T7913" s="10">
        <v>4.6043444143288424E-4</v>
      </c>
      <c r="U7913" s="10">
        <v>1.0900000000000001E-4</v>
      </c>
      <c r="V7913" s="25"/>
      <c r="W7913" s="25"/>
      <c r="X7913" s="25"/>
      <c r="Y7913" s="25"/>
      <c r="Z7913" s="25"/>
      <c r="AA7913" s="25"/>
    </row>
    <row r="7914" spans="1:27" x14ac:dyDescent="0.35">
      <c r="A7914" s="5">
        <v>7910</v>
      </c>
      <c r="B7914" s="5">
        <v>330</v>
      </c>
      <c r="C7914" s="5">
        <v>11</v>
      </c>
      <c r="D7914" s="25">
        <v>1.1415000000000001E-4</v>
      </c>
      <c r="E7914" s="25">
        <v>1.1222000000000001E-4</v>
      </c>
      <c r="F7914" s="25">
        <v>1.126E-4</v>
      </c>
      <c r="G7914" s="25">
        <v>1.6436000000000001E-4</v>
      </c>
      <c r="H7914" s="25">
        <v>1.9515E-4</v>
      </c>
      <c r="I7914" s="9">
        <v>1.2988999999999999E-4</v>
      </c>
      <c r="J7914" s="9">
        <v>1.3745000000000001E-4</v>
      </c>
      <c r="K7914" s="9">
        <v>2.6491999999999998E-4</v>
      </c>
      <c r="L7914" s="9">
        <v>1.6296999999999999E-4</v>
      </c>
      <c r="M7914" s="9">
        <v>1.6934E-4</v>
      </c>
      <c r="N7914" s="9">
        <v>1.7013999999999999E-4</v>
      </c>
      <c r="O7914" s="9">
        <v>1.8019999999999999E-4</v>
      </c>
      <c r="P7914" s="9">
        <v>1.6988999999999999E-4</v>
      </c>
      <c r="Q7914" s="9">
        <v>1.6181E-4</v>
      </c>
      <c r="R7914" s="10">
        <v>1.2363513270763589E-5</v>
      </c>
      <c r="S7914" s="10">
        <v>2.7456377578278125E-5</v>
      </c>
      <c r="T7914" s="10">
        <v>3.8450844654845884E-4</v>
      </c>
      <c r="U7914" s="10">
        <v>1.0900000000000001E-4</v>
      </c>
      <c r="V7914" s="25"/>
      <c r="W7914" s="25"/>
      <c r="X7914" s="25"/>
      <c r="Y7914" s="25"/>
      <c r="Z7914" s="25"/>
      <c r="AA7914" s="25"/>
    </row>
    <row r="7915" spans="1:27" x14ac:dyDescent="0.35">
      <c r="A7915" s="5">
        <v>7911</v>
      </c>
      <c r="B7915" s="5">
        <v>330</v>
      </c>
      <c r="C7915" s="5">
        <v>11</v>
      </c>
      <c r="D7915" s="25">
        <v>1.1416E-4</v>
      </c>
      <c r="E7915" s="25">
        <v>1.1012E-4</v>
      </c>
      <c r="F7915" s="25">
        <v>1.1577E-4</v>
      </c>
      <c r="G7915" s="25">
        <v>1.5954000000000001E-4</v>
      </c>
      <c r="H7915" s="25">
        <v>1.9134999999999999E-4</v>
      </c>
      <c r="I7915" s="9">
        <v>1.2887E-4</v>
      </c>
      <c r="J7915" s="9">
        <v>1.3792000000000001E-4</v>
      </c>
      <c r="K7915" s="9">
        <v>2.6915000000000001E-4</v>
      </c>
      <c r="L7915" s="9">
        <v>1.7660000000000001E-4</v>
      </c>
      <c r="M7915" s="9">
        <v>1.6833000000000001E-4</v>
      </c>
      <c r="N7915" s="9">
        <v>1.6987E-4</v>
      </c>
      <c r="O7915" s="9">
        <v>1.8258E-4</v>
      </c>
      <c r="P7915" s="9">
        <v>1.6563E-4</v>
      </c>
      <c r="Q7915" s="9">
        <v>1.5108E-4</v>
      </c>
      <c r="R7915" s="10">
        <v>1.0938915077576003E-5</v>
      </c>
      <c r="S7915" s="10">
        <v>3.2100953045237998E-5</v>
      </c>
      <c r="T7915" s="10">
        <v>2.0309715784371155E-4</v>
      </c>
      <c r="U7915" s="10">
        <v>1.0900000000000001E-4</v>
      </c>
      <c r="V7915" s="25"/>
      <c r="W7915" s="25"/>
      <c r="X7915" s="25"/>
      <c r="Y7915" s="25"/>
      <c r="Z7915" s="25"/>
      <c r="AA7915" s="25"/>
    </row>
    <row r="7916" spans="1:27" x14ac:dyDescent="0.35">
      <c r="A7916" s="5">
        <v>7912</v>
      </c>
      <c r="B7916" s="5">
        <v>330</v>
      </c>
      <c r="C7916" s="5">
        <v>11</v>
      </c>
      <c r="D7916" s="25">
        <v>1.1415000000000001E-4</v>
      </c>
      <c r="E7916" s="25">
        <v>1.0961E-4</v>
      </c>
      <c r="F7916" s="25">
        <v>9.8830000000000001E-5</v>
      </c>
      <c r="G7916" s="25">
        <v>1.6176E-4</v>
      </c>
      <c r="H7916" s="25">
        <v>1.9404000000000001E-4</v>
      </c>
      <c r="I7916" s="9">
        <v>1.2909E-4</v>
      </c>
      <c r="J7916" s="9">
        <v>1.3880000000000001E-4</v>
      </c>
      <c r="K7916" s="9">
        <v>2.8185999999999999E-4</v>
      </c>
      <c r="L7916" s="9">
        <v>1.8090000000000001E-4</v>
      </c>
      <c r="M7916" s="9">
        <v>1.6721999999999999E-4</v>
      </c>
      <c r="N7916" s="9">
        <v>1.6569999999999999E-4</v>
      </c>
      <c r="O7916" s="9">
        <v>1.9766E-4</v>
      </c>
      <c r="P7916" s="9">
        <v>1.5202E-4</v>
      </c>
      <c r="Q7916" s="9">
        <v>1.0945E-4</v>
      </c>
      <c r="R7916" s="10">
        <v>9.852185348261231E-6</v>
      </c>
      <c r="S7916" s="10">
        <v>3.2894808371643502E-5</v>
      </c>
      <c r="T7916" s="10">
        <v>2.6216484991940378E-6</v>
      </c>
      <c r="U7916" s="10">
        <v>1.0900000000000001E-4</v>
      </c>
      <c r="V7916" s="25"/>
      <c r="W7916" s="25"/>
      <c r="X7916" s="25"/>
      <c r="Y7916" s="25"/>
      <c r="Z7916" s="25"/>
      <c r="AA7916" s="25"/>
    </row>
    <row r="7917" spans="1:27" x14ac:dyDescent="0.35">
      <c r="A7917" s="5">
        <v>7913</v>
      </c>
      <c r="B7917" s="5">
        <v>330</v>
      </c>
      <c r="C7917" s="5">
        <v>11</v>
      </c>
      <c r="D7917" s="25">
        <v>1.1416E-4</v>
      </c>
      <c r="E7917" s="25">
        <v>1.1314E-4</v>
      </c>
      <c r="F7917" s="25">
        <v>1.0151E-4</v>
      </c>
      <c r="G7917" s="25">
        <v>1.6442E-4</v>
      </c>
      <c r="H7917" s="25">
        <v>1.93E-4</v>
      </c>
      <c r="I7917" s="9">
        <v>1.3192E-4</v>
      </c>
      <c r="J7917" s="9">
        <v>1.4202999999999999E-4</v>
      </c>
      <c r="K7917" s="9">
        <v>2.8610000000000002E-4</v>
      </c>
      <c r="L7917" s="9">
        <v>1.9379999999999999E-4</v>
      </c>
      <c r="M7917" s="9">
        <v>1.6155E-4</v>
      </c>
      <c r="N7917" s="9">
        <v>1.5196E-4</v>
      </c>
      <c r="O7917" s="9">
        <v>2.1592000000000001E-4</v>
      </c>
      <c r="P7917" s="9">
        <v>1.6003E-4</v>
      </c>
      <c r="Q7917" s="9">
        <v>1.0764000000000001E-4</v>
      </c>
      <c r="R7917" s="10">
        <v>1.55112564839711E-5</v>
      </c>
      <c r="S7917" s="10">
        <v>3.7546662669028621E-5</v>
      </c>
      <c r="T7917" s="10">
        <v>0</v>
      </c>
      <c r="U7917" s="10">
        <v>1.0900000000000001E-4</v>
      </c>
      <c r="V7917" s="25"/>
      <c r="W7917" s="25"/>
      <c r="X7917" s="25"/>
      <c r="Y7917" s="25"/>
      <c r="Z7917" s="25"/>
      <c r="AA7917" s="25"/>
    </row>
    <row r="7918" spans="1:27" x14ac:dyDescent="0.35">
      <c r="A7918" s="5">
        <v>7914</v>
      </c>
      <c r="B7918" s="5">
        <v>330</v>
      </c>
      <c r="C7918" s="5">
        <v>11</v>
      </c>
      <c r="D7918" s="25">
        <v>1.1415000000000001E-4</v>
      </c>
      <c r="E7918" s="25">
        <v>1.0469E-4</v>
      </c>
      <c r="F7918" s="25">
        <v>1.0281E-4</v>
      </c>
      <c r="G7918" s="25">
        <v>1.5635000000000001E-4</v>
      </c>
      <c r="H7918" s="25">
        <v>1.9370999999999999E-4</v>
      </c>
      <c r="I7918" s="9">
        <v>1.4118E-4</v>
      </c>
      <c r="J7918" s="9">
        <v>1.5118E-4</v>
      </c>
      <c r="K7918" s="9">
        <v>2.9245999999999997E-4</v>
      </c>
      <c r="L7918" s="9">
        <v>2.108E-4</v>
      </c>
      <c r="M7918" s="9">
        <v>1.5943000000000001E-4</v>
      </c>
      <c r="N7918" s="9">
        <v>1.3882E-4</v>
      </c>
      <c r="O7918" s="9">
        <v>2.0623000000000001E-4</v>
      </c>
      <c r="P7918" s="9">
        <v>1.6033E-4</v>
      </c>
      <c r="Q7918" s="9">
        <v>1.1763E-4</v>
      </c>
      <c r="R7918" s="10">
        <v>1.395208231545235E-5</v>
      </c>
      <c r="S7918" s="10">
        <v>4.8236517522845118E-5</v>
      </c>
      <c r="T7918" s="10">
        <v>0</v>
      </c>
      <c r="U7918" s="10">
        <v>1.0900000000000001E-4</v>
      </c>
      <c r="V7918" s="25"/>
      <c r="W7918" s="25"/>
      <c r="X7918" s="25"/>
      <c r="Y7918" s="25"/>
      <c r="Z7918" s="25"/>
      <c r="AA7918" s="25"/>
    </row>
    <row r="7919" spans="1:27" x14ac:dyDescent="0.35">
      <c r="A7919" s="5">
        <v>7915</v>
      </c>
      <c r="B7919" s="5">
        <v>330</v>
      </c>
      <c r="C7919" s="5">
        <v>11</v>
      </c>
      <c r="D7919" s="25">
        <v>1.1416E-4</v>
      </c>
      <c r="E7919" s="25">
        <v>1.0561E-4</v>
      </c>
      <c r="F7919" s="25">
        <v>1.1277000000000001E-4</v>
      </c>
      <c r="G7919" s="25">
        <v>1.1424E-4</v>
      </c>
      <c r="H7919" s="25">
        <v>1.2949000000000001E-4</v>
      </c>
      <c r="I7919" s="9">
        <v>1.3814E-4</v>
      </c>
      <c r="J7919" s="9">
        <v>1.4569E-4</v>
      </c>
      <c r="K7919" s="9">
        <v>2.9459000000000001E-4</v>
      </c>
      <c r="L7919" s="9">
        <v>2.0678E-4</v>
      </c>
      <c r="M7919" s="9">
        <v>1.5939E-4</v>
      </c>
      <c r="N7919" s="9">
        <v>1.2983999999999999E-4</v>
      </c>
      <c r="O7919" s="9">
        <v>1.64E-4</v>
      </c>
      <c r="P7919" s="9">
        <v>1.3404000000000001E-4</v>
      </c>
      <c r="Q7919" s="9">
        <v>1.0639E-4</v>
      </c>
      <c r="R7919" s="10">
        <v>1.196596677591845E-5</v>
      </c>
      <c r="S7919" s="10">
        <v>6.3855716662992193E-5</v>
      </c>
      <c r="T7919" s="10">
        <v>0</v>
      </c>
      <c r="U7919" s="10">
        <v>1.0900000000000001E-4</v>
      </c>
      <c r="V7919" s="25"/>
      <c r="W7919" s="25"/>
      <c r="X7919" s="25"/>
      <c r="Y7919" s="25"/>
      <c r="Z7919" s="25"/>
      <c r="AA7919" s="25"/>
    </row>
    <row r="7920" spans="1:27" x14ac:dyDescent="0.35">
      <c r="A7920" s="5">
        <v>7916</v>
      </c>
      <c r="B7920" s="5">
        <v>330</v>
      </c>
      <c r="C7920" s="5">
        <v>11</v>
      </c>
      <c r="D7920" s="25">
        <v>1.1415000000000001E-4</v>
      </c>
      <c r="E7920" s="25">
        <v>1.0804E-4</v>
      </c>
      <c r="F7920" s="25">
        <v>1.1483E-4</v>
      </c>
      <c r="G7920" s="25">
        <v>1.1162000000000001E-4</v>
      </c>
      <c r="H7920" s="25">
        <v>1.3184000000000001E-4</v>
      </c>
      <c r="I7920" s="9">
        <v>1.3191E-4</v>
      </c>
      <c r="J7920" s="9">
        <v>1.4023E-4</v>
      </c>
      <c r="K7920" s="9">
        <v>2.8822E-4</v>
      </c>
      <c r="L7920" s="9">
        <v>1.7359999999999999E-4</v>
      </c>
      <c r="M7920" s="9">
        <v>1.504E-4</v>
      </c>
      <c r="N7920" s="9">
        <v>1.2063E-4</v>
      </c>
      <c r="O7920" s="9">
        <v>1.2852999999999999E-4</v>
      </c>
      <c r="P7920" s="9">
        <v>1.1413000000000001E-4</v>
      </c>
      <c r="Q7920" s="9">
        <v>1.0124E-4</v>
      </c>
      <c r="R7920" s="10">
        <v>1.7303702573732997E-5</v>
      </c>
      <c r="S7920" s="10">
        <v>7.6875252874332298E-5</v>
      </c>
      <c r="T7920" s="10">
        <v>0</v>
      </c>
      <c r="U7920" s="10">
        <v>1.0900000000000001E-4</v>
      </c>
      <c r="V7920" s="25"/>
      <c r="W7920" s="25"/>
      <c r="X7920" s="25"/>
      <c r="Y7920" s="25"/>
      <c r="Z7920" s="25"/>
      <c r="AA7920" s="25"/>
    </row>
    <row r="7921" spans="1:27" x14ac:dyDescent="0.35">
      <c r="A7921" s="5">
        <v>7917</v>
      </c>
      <c r="B7921" s="5">
        <v>330</v>
      </c>
      <c r="C7921" s="5">
        <v>11</v>
      </c>
      <c r="D7921" s="25">
        <v>1.1416E-4</v>
      </c>
      <c r="E7921" s="25">
        <v>1.0535999999999999E-4</v>
      </c>
      <c r="F7921" s="25">
        <v>1.0174E-4</v>
      </c>
      <c r="G7921" s="25">
        <v>5.2779999999999999E-5</v>
      </c>
      <c r="H7921" s="25">
        <v>6.4629999999999996E-5</v>
      </c>
      <c r="I7921" s="9">
        <v>1.2725E-4</v>
      </c>
      <c r="J7921" s="9">
        <v>1.3349E-4</v>
      </c>
      <c r="K7921" s="9">
        <v>2.8399000000000002E-4</v>
      </c>
      <c r="L7921" s="9">
        <v>1.3948000000000001E-4</v>
      </c>
      <c r="M7921" s="9">
        <v>1.348E-4</v>
      </c>
      <c r="N7921" s="9">
        <v>1.1290000000000001E-4</v>
      </c>
      <c r="O7921" s="9">
        <v>8.5370000000000004E-5</v>
      </c>
      <c r="P7921" s="9">
        <v>8.6780000000000006E-5</v>
      </c>
      <c r="Q7921" s="9">
        <v>8.8789999999999995E-5</v>
      </c>
      <c r="R7921" s="10">
        <v>2.5300766045713518E-5</v>
      </c>
      <c r="S7921" s="10">
        <v>9.1401661846653777E-5</v>
      </c>
      <c r="T7921" s="10">
        <v>0</v>
      </c>
      <c r="U7921" s="10">
        <v>1.0900000000000001E-4</v>
      </c>
      <c r="V7921" s="25"/>
      <c r="W7921" s="25"/>
      <c r="X7921" s="25"/>
      <c r="Y7921" s="25"/>
      <c r="Z7921" s="25"/>
      <c r="AA7921" s="25"/>
    </row>
    <row r="7922" spans="1:27" x14ac:dyDescent="0.35">
      <c r="A7922" s="5">
        <v>7918</v>
      </c>
      <c r="B7922" s="5">
        <v>330</v>
      </c>
      <c r="C7922" s="5">
        <v>11</v>
      </c>
      <c r="D7922" s="25">
        <v>1.1415000000000001E-4</v>
      </c>
      <c r="E7922" s="25">
        <v>1.0611999999999999E-4</v>
      </c>
      <c r="F7922" s="25">
        <v>1.0454999999999999E-4</v>
      </c>
      <c r="G7922" s="25">
        <v>6.3579999999999998E-5</v>
      </c>
      <c r="H7922" s="25">
        <v>6.2199999999999994E-5</v>
      </c>
      <c r="I7922" s="9">
        <v>1.2153E-4</v>
      </c>
      <c r="J7922" s="9">
        <v>1.2549999999999999E-4</v>
      </c>
      <c r="K7922" s="9">
        <v>2.8611000000000001E-4</v>
      </c>
      <c r="L7922" s="9">
        <v>9.8200000000000002E-5</v>
      </c>
      <c r="M7922" s="9">
        <v>1.1352E-4</v>
      </c>
      <c r="N7922" s="9">
        <v>1.0547E-4</v>
      </c>
      <c r="O7922" s="9">
        <v>8.8020000000000001E-5</v>
      </c>
      <c r="P7922" s="9">
        <v>8.8010000000000006E-5</v>
      </c>
      <c r="Q7922" s="9">
        <v>8.8670000000000003E-5</v>
      </c>
      <c r="R7922" s="10">
        <v>3.8355880799578267E-5</v>
      </c>
      <c r="S7922" s="10">
        <v>1.0453629410877651E-4</v>
      </c>
      <c r="T7922" s="10">
        <v>0</v>
      </c>
      <c r="U7922" s="10">
        <v>1.0900000000000001E-4</v>
      </c>
      <c r="V7922" s="25"/>
      <c r="W7922" s="25"/>
      <c r="X7922" s="25"/>
      <c r="Y7922" s="25"/>
      <c r="Z7922" s="25"/>
      <c r="AA7922" s="25"/>
    </row>
    <row r="7923" spans="1:27" x14ac:dyDescent="0.35">
      <c r="A7923" s="5">
        <v>7919</v>
      </c>
      <c r="B7923" s="5">
        <v>330</v>
      </c>
      <c r="C7923" s="5">
        <v>11</v>
      </c>
      <c r="D7923" s="25">
        <v>1.1416E-4</v>
      </c>
      <c r="E7923" s="25">
        <v>1.0815999999999999E-4</v>
      </c>
      <c r="F7923" s="25">
        <v>1.0569E-4</v>
      </c>
      <c r="G7923" s="25">
        <v>5.8520000000000002E-5</v>
      </c>
      <c r="H7923" s="25">
        <v>7.0320000000000004E-5</v>
      </c>
      <c r="I7923" s="9">
        <v>1.2342000000000001E-4</v>
      </c>
      <c r="J7923" s="9">
        <v>1.171E-4</v>
      </c>
      <c r="K7923" s="9">
        <v>2.8611000000000001E-4</v>
      </c>
      <c r="L7923" s="9">
        <v>9.1169999999999996E-5</v>
      </c>
      <c r="M7923" s="9">
        <v>9.9140000000000003E-5</v>
      </c>
      <c r="N7923" s="9">
        <v>9.9779999999999997E-5</v>
      </c>
      <c r="O7923" s="9">
        <v>7.8310000000000001E-5</v>
      </c>
      <c r="P7923" s="9">
        <v>7.2440000000000004E-5</v>
      </c>
      <c r="Q7923" s="9">
        <v>6.7160000000000001E-5</v>
      </c>
      <c r="R7923" s="10">
        <v>5.8778066437034692E-5</v>
      </c>
      <c r="S7923" s="10">
        <v>1.1729144264511328E-4</v>
      </c>
      <c r="T7923" s="10">
        <v>0</v>
      </c>
      <c r="U7923" s="10">
        <v>1.0900000000000001E-4</v>
      </c>
      <c r="V7923" s="25"/>
      <c r="W7923" s="25"/>
      <c r="X7923" s="25"/>
      <c r="Y7923" s="25"/>
      <c r="Z7923" s="25"/>
      <c r="AA7923" s="25"/>
    </row>
    <row r="7924" spans="1:27" x14ac:dyDescent="0.35">
      <c r="A7924" s="5">
        <v>7920</v>
      </c>
      <c r="B7924" s="5">
        <v>330</v>
      </c>
      <c r="C7924" s="5">
        <v>11</v>
      </c>
      <c r="D7924" s="25">
        <v>1.1415000000000001E-4</v>
      </c>
      <c r="E7924" s="25">
        <v>1.0607000000000001E-4</v>
      </c>
      <c r="F7924" s="25">
        <v>1.0458E-4</v>
      </c>
      <c r="G7924" s="25">
        <v>5.5989999999999998E-5</v>
      </c>
      <c r="H7924" s="25">
        <v>6.6810000000000006E-5</v>
      </c>
      <c r="I7924" s="9">
        <v>1.2360999999999999E-4</v>
      </c>
      <c r="J7924" s="9">
        <v>1.1077E-4</v>
      </c>
      <c r="K7924" s="9">
        <v>2.8822E-4</v>
      </c>
      <c r="L7924" s="9">
        <v>8.1130000000000004E-5</v>
      </c>
      <c r="M7924" s="9">
        <v>8.6370000000000001E-5</v>
      </c>
      <c r="N7924" s="9">
        <v>9.0610000000000002E-5</v>
      </c>
      <c r="O7924" s="9">
        <v>6.2490000000000006E-5</v>
      </c>
      <c r="P7924" s="9">
        <v>6.037E-5</v>
      </c>
      <c r="Q7924" s="9">
        <v>5.8570000000000003E-5</v>
      </c>
      <c r="R7924" s="10">
        <v>9.5969643669589744E-5</v>
      </c>
      <c r="S7924" s="10">
        <v>1.5190765079572073E-4</v>
      </c>
      <c r="T7924" s="10">
        <v>0</v>
      </c>
      <c r="U7924" s="10">
        <v>1.0900000000000001E-4</v>
      </c>
      <c r="V7924" s="25"/>
      <c r="W7924" s="25"/>
      <c r="X7924" s="25"/>
      <c r="Y7924" s="25"/>
      <c r="Z7924" s="25"/>
      <c r="AA7924" s="25"/>
    </row>
    <row r="7925" spans="1:27" x14ac:dyDescent="0.35">
      <c r="A7925" s="5">
        <v>7921</v>
      </c>
      <c r="B7925" s="5">
        <v>331</v>
      </c>
      <c r="C7925" s="5">
        <v>11</v>
      </c>
      <c r="D7925" s="25">
        <v>1.1416E-4</v>
      </c>
      <c r="E7925" s="25">
        <v>1.1558E-4</v>
      </c>
      <c r="F7925" s="25">
        <v>1.0585E-4</v>
      </c>
      <c r="G7925" s="25">
        <v>6.0649999999999997E-5</v>
      </c>
      <c r="H7925" s="25">
        <v>6.8219999999999994E-5</v>
      </c>
      <c r="I7925" s="9">
        <v>1.1663999999999999E-4</v>
      </c>
      <c r="J7925" s="9">
        <v>1.0462E-4</v>
      </c>
      <c r="K7925" s="9">
        <v>2.9033999999999999E-4</v>
      </c>
      <c r="L7925" s="9">
        <v>6.6589999999999998E-5</v>
      </c>
      <c r="M7925" s="9">
        <v>7.4070000000000001E-5</v>
      </c>
      <c r="N7925" s="9">
        <v>8.1180000000000005E-5</v>
      </c>
      <c r="O7925" s="9">
        <v>5.4610000000000001E-5</v>
      </c>
      <c r="P7925" s="9">
        <v>5.4030000000000003E-5</v>
      </c>
      <c r="Q7925" s="9">
        <v>5.3609999999999997E-5</v>
      </c>
      <c r="R7925" s="10">
        <v>1.1970461609116321E-4</v>
      </c>
      <c r="S7925" s="10">
        <v>1.6179893388046238E-4</v>
      </c>
      <c r="T7925" s="10">
        <v>0</v>
      </c>
      <c r="U7925" s="10">
        <v>1.1021E-4</v>
      </c>
      <c r="V7925" s="25"/>
      <c r="W7925" s="25"/>
      <c r="X7925" s="25"/>
      <c r="Y7925" s="25"/>
      <c r="Z7925" s="25"/>
      <c r="AA7925" s="25"/>
    </row>
    <row r="7926" spans="1:27" x14ac:dyDescent="0.35">
      <c r="A7926" s="5">
        <v>7922</v>
      </c>
      <c r="B7926" s="5">
        <v>331</v>
      </c>
      <c r="C7926" s="5">
        <v>11</v>
      </c>
      <c r="D7926" s="25">
        <v>1.1415000000000001E-4</v>
      </c>
      <c r="E7926" s="25">
        <v>1.1430999999999999E-4</v>
      </c>
      <c r="F7926" s="25">
        <v>1.0134E-4</v>
      </c>
      <c r="G7926" s="25">
        <v>5.4979999999999999E-5</v>
      </c>
      <c r="H7926" s="25">
        <v>7.5710000000000005E-5</v>
      </c>
      <c r="I7926" s="9">
        <v>1.0978E-4</v>
      </c>
      <c r="J7926" s="9">
        <v>9.9619999999999998E-5</v>
      </c>
      <c r="K7926" s="9">
        <v>3.1365000000000001E-4</v>
      </c>
      <c r="L7926" s="9">
        <v>5.7649999999999999E-5</v>
      </c>
      <c r="M7926" s="9">
        <v>6.3919999999999998E-5</v>
      </c>
      <c r="N7926" s="9">
        <v>7.2139999999999997E-5</v>
      </c>
      <c r="O7926" s="9">
        <v>1.8559999999999998E-5</v>
      </c>
      <c r="P7926" s="9">
        <v>3.7629999999999997E-5</v>
      </c>
      <c r="Q7926" s="9">
        <v>5.5999999999999999E-5</v>
      </c>
      <c r="R7926" s="10">
        <v>1.4035236593059068E-4</v>
      </c>
      <c r="S7926" s="10">
        <v>1.7046547026813359E-4</v>
      </c>
      <c r="T7926" s="10">
        <v>0</v>
      </c>
      <c r="U7926" s="10">
        <v>1.1021E-4</v>
      </c>
      <c r="V7926" s="25"/>
      <c r="W7926" s="25"/>
      <c r="X7926" s="25"/>
      <c r="Y7926" s="25"/>
      <c r="Z7926" s="25"/>
      <c r="AA7926" s="25"/>
    </row>
    <row r="7927" spans="1:27" x14ac:dyDescent="0.35">
      <c r="A7927" s="5">
        <v>7923</v>
      </c>
      <c r="B7927" s="5">
        <v>331</v>
      </c>
      <c r="C7927" s="5">
        <v>11</v>
      </c>
      <c r="D7927" s="25">
        <v>1.1416E-4</v>
      </c>
      <c r="E7927" s="25">
        <v>1.1468000000000001E-4</v>
      </c>
      <c r="F7927" s="25">
        <v>9.9309999999999996E-5</v>
      </c>
      <c r="G7927" s="25">
        <v>5.6450000000000003E-5</v>
      </c>
      <c r="H7927" s="25">
        <v>7.4270000000000006E-5</v>
      </c>
      <c r="I7927" s="9">
        <v>1.0457E-4</v>
      </c>
      <c r="J7927" s="9">
        <v>9.6650000000000005E-5</v>
      </c>
      <c r="K7927" s="9">
        <v>3.1153000000000002E-4</v>
      </c>
      <c r="L7927" s="9">
        <v>2.7359999999999999E-5</v>
      </c>
      <c r="M7927" s="9">
        <v>5.215E-5</v>
      </c>
      <c r="N7927" s="9">
        <v>6.5519999999999996E-5</v>
      </c>
      <c r="O7927" s="9">
        <v>1.305E-5</v>
      </c>
      <c r="P7927" s="9">
        <v>3.7599999999999999E-5</v>
      </c>
      <c r="Q7927" s="9">
        <v>6.1290000000000004E-5</v>
      </c>
      <c r="R7927" s="10">
        <v>1.5693838270013492E-4</v>
      </c>
      <c r="S7927" s="10">
        <v>1.7623465950619355E-4</v>
      </c>
      <c r="T7927" s="10">
        <v>0</v>
      </c>
      <c r="U7927" s="10">
        <v>1.1021E-4</v>
      </c>
      <c r="V7927" s="25"/>
      <c r="W7927" s="25"/>
      <c r="X7927" s="25"/>
      <c r="Y7927" s="25"/>
      <c r="Z7927" s="25"/>
      <c r="AA7927" s="25"/>
    </row>
    <row r="7928" spans="1:27" x14ac:dyDescent="0.35">
      <c r="A7928" s="5">
        <v>7924</v>
      </c>
      <c r="B7928" s="5">
        <v>331</v>
      </c>
      <c r="C7928" s="5">
        <v>11</v>
      </c>
      <c r="D7928" s="25">
        <v>1.1415000000000001E-4</v>
      </c>
      <c r="E7928" s="25">
        <v>1.2219999999999999E-4</v>
      </c>
      <c r="F7928" s="25">
        <v>9.7330000000000005E-5</v>
      </c>
      <c r="G7928" s="25">
        <v>6.2520000000000004E-5</v>
      </c>
      <c r="H7928" s="25">
        <v>7.0840000000000006E-5</v>
      </c>
      <c r="I7928" s="9">
        <v>1.024E-4</v>
      </c>
      <c r="J7928" s="9">
        <v>9.5019999999999995E-5</v>
      </c>
      <c r="K7928" s="9">
        <v>3.1154000000000002E-4</v>
      </c>
      <c r="L7928" s="9">
        <v>1.694E-5</v>
      </c>
      <c r="M7928" s="9">
        <v>4.4100000000000001E-5</v>
      </c>
      <c r="N7928" s="9">
        <v>6.1849999999999999E-5</v>
      </c>
      <c r="O7928" s="9">
        <v>1.3030000000000001E-5</v>
      </c>
      <c r="P7928" s="9">
        <v>4.6940000000000001E-5</v>
      </c>
      <c r="Q7928" s="9">
        <v>7.9839999999999995E-5</v>
      </c>
      <c r="R7928" s="10">
        <v>1.669844439806316E-4</v>
      </c>
      <c r="S7928" s="10">
        <v>1.7977951934755956E-4</v>
      </c>
      <c r="T7928" s="10">
        <v>0</v>
      </c>
      <c r="U7928" s="10">
        <v>1.1021E-4</v>
      </c>
      <c r="V7928" s="25"/>
      <c r="W7928" s="25"/>
      <c r="X7928" s="25"/>
      <c r="Y7928" s="25"/>
      <c r="Z7928" s="25"/>
      <c r="AA7928" s="25"/>
    </row>
    <row r="7929" spans="1:27" x14ac:dyDescent="0.35">
      <c r="A7929" s="5">
        <v>7925</v>
      </c>
      <c r="B7929" s="5">
        <v>331</v>
      </c>
      <c r="C7929" s="5">
        <v>11</v>
      </c>
      <c r="D7929" s="25">
        <v>1.1416E-4</v>
      </c>
      <c r="E7929" s="25">
        <v>1.1621E-4</v>
      </c>
      <c r="F7929" s="25">
        <v>9.9920000000000006E-5</v>
      </c>
      <c r="G7929" s="25">
        <v>5.2439999999999999E-5</v>
      </c>
      <c r="H7929" s="25">
        <v>7.3139999999999994E-5</v>
      </c>
      <c r="I7929" s="9">
        <v>1.0134E-4</v>
      </c>
      <c r="J7929" s="9">
        <v>9.4779999999999997E-5</v>
      </c>
      <c r="K7929" s="9">
        <v>3.1154000000000002E-4</v>
      </c>
      <c r="L7929" s="9">
        <v>1.414E-5</v>
      </c>
      <c r="M7929" s="9">
        <v>4.3319999999999999E-5</v>
      </c>
      <c r="N7929" s="9">
        <v>6.4259999999999998E-5</v>
      </c>
      <c r="O7929" s="9">
        <v>1.8790000000000001E-5</v>
      </c>
      <c r="P7929" s="9">
        <v>5.7129999999999997E-5</v>
      </c>
      <c r="Q7929" s="9">
        <v>9.4469999999999995E-5</v>
      </c>
      <c r="R7929" s="10">
        <v>1.7025063459692185E-4</v>
      </c>
      <c r="S7929" s="10">
        <v>1.8023576227233607E-4</v>
      </c>
      <c r="T7929" s="10">
        <v>0</v>
      </c>
      <c r="U7929" s="10">
        <v>1.1021E-4</v>
      </c>
      <c r="V7929" s="25"/>
      <c r="W7929" s="25"/>
      <c r="X7929" s="25"/>
      <c r="Y7929" s="25"/>
      <c r="Z7929" s="25"/>
      <c r="AA7929" s="25"/>
    </row>
    <row r="7930" spans="1:27" x14ac:dyDescent="0.35">
      <c r="A7930" s="5">
        <v>7926</v>
      </c>
      <c r="B7930" s="5">
        <v>331</v>
      </c>
      <c r="C7930" s="5">
        <v>11</v>
      </c>
      <c r="D7930" s="25">
        <v>1.1415000000000001E-4</v>
      </c>
      <c r="E7930" s="25">
        <v>1.2113E-4</v>
      </c>
      <c r="F7930" s="25">
        <v>1.0664E-4</v>
      </c>
      <c r="G7930" s="25">
        <v>1.1543E-4</v>
      </c>
      <c r="H7930" s="25">
        <v>1.3119999999999999E-4</v>
      </c>
      <c r="I7930" s="9">
        <v>1.0153E-4</v>
      </c>
      <c r="J7930" s="9">
        <v>9.6230000000000005E-5</v>
      </c>
      <c r="K7930" s="9">
        <v>3.0941999999999998E-4</v>
      </c>
      <c r="L7930" s="9">
        <v>1.7629999999999999E-5</v>
      </c>
      <c r="M7930" s="9">
        <v>4.8439999999999997E-5</v>
      </c>
      <c r="N7930" s="9">
        <v>7.1000000000000005E-5</v>
      </c>
      <c r="O7930" s="9">
        <v>4.6449999999999997E-5</v>
      </c>
      <c r="P7930" s="9">
        <v>7.7219999999999996E-5</v>
      </c>
      <c r="Q7930" s="9">
        <v>1.0753E-4</v>
      </c>
      <c r="R7930" s="10">
        <v>1.7052121318981208E-4</v>
      </c>
      <c r="S7930" s="10">
        <v>1.79270686058647E-4</v>
      </c>
      <c r="T7930" s="10">
        <v>0</v>
      </c>
      <c r="U7930" s="10">
        <v>1.1021E-4</v>
      </c>
      <c r="V7930" s="25"/>
      <c r="W7930" s="25"/>
      <c r="X7930" s="25"/>
      <c r="Y7930" s="25"/>
      <c r="Z7930" s="25"/>
      <c r="AA7930" s="25"/>
    </row>
    <row r="7931" spans="1:27" x14ac:dyDescent="0.35">
      <c r="A7931" s="5">
        <v>7927</v>
      </c>
      <c r="B7931" s="5">
        <v>331</v>
      </c>
      <c r="C7931" s="5">
        <v>11</v>
      </c>
      <c r="D7931" s="25">
        <v>1.1416E-4</v>
      </c>
      <c r="E7931" s="25">
        <v>1.1264000000000001E-4</v>
      </c>
      <c r="F7931" s="25">
        <v>1.0771E-4</v>
      </c>
      <c r="G7931" s="25">
        <v>1.1246E-4</v>
      </c>
      <c r="H7931" s="25">
        <v>1.3092E-4</v>
      </c>
      <c r="I7931" s="9">
        <v>1.0524E-4</v>
      </c>
      <c r="J7931" s="9">
        <v>1.0063E-4</v>
      </c>
      <c r="K7931" s="9">
        <v>3.0729999999999999E-4</v>
      </c>
      <c r="L7931" s="9">
        <v>3.9959999999999997E-5</v>
      </c>
      <c r="M7931" s="9">
        <v>6.0250000000000001E-5</v>
      </c>
      <c r="N7931" s="9">
        <v>8.0840000000000005E-5</v>
      </c>
      <c r="O7931" s="9">
        <v>1.2315000000000001E-4</v>
      </c>
      <c r="P7931" s="9">
        <v>1.1692E-4</v>
      </c>
      <c r="Q7931" s="9">
        <v>1.12E-4</v>
      </c>
      <c r="R7931" s="10">
        <v>1.7047756833115572E-4</v>
      </c>
      <c r="S7931" s="10">
        <v>1.8137777470006138E-4</v>
      </c>
      <c r="T7931" s="10">
        <v>0</v>
      </c>
      <c r="U7931" s="10">
        <v>1.1021E-4</v>
      </c>
      <c r="V7931" s="25"/>
      <c r="W7931" s="25"/>
      <c r="X7931" s="25"/>
      <c r="Y7931" s="25"/>
      <c r="Z7931" s="25"/>
      <c r="AA7931" s="25"/>
    </row>
    <row r="7932" spans="1:27" x14ac:dyDescent="0.35">
      <c r="A7932" s="5">
        <v>7928</v>
      </c>
      <c r="B7932" s="5">
        <v>331</v>
      </c>
      <c r="C7932" s="5">
        <v>11</v>
      </c>
      <c r="D7932" s="25">
        <v>1.1415000000000001E-4</v>
      </c>
      <c r="E7932" s="25">
        <v>1.226E-4</v>
      </c>
      <c r="F7932" s="25">
        <v>1.0971E-4</v>
      </c>
      <c r="G7932" s="25">
        <v>1.5883999999999999E-4</v>
      </c>
      <c r="H7932" s="25">
        <v>1.8946999999999999E-4</v>
      </c>
      <c r="I7932" s="9">
        <v>1.1106E-4</v>
      </c>
      <c r="J7932" s="9">
        <v>1.0925999999999999E-4</v>
      </c>
      <c r="K7932" s="9">
        <v>3.0729999999999999E-4</v>
      </c>
      <c r="L7932" s="9">
        <v>1.0422E-4</v>
      </c>
      <c r="M7932" s="9">
        <v>8.3689999999999993E-5</v>
      </c>
      <c r="N7932" s="9">
        <v>9.0859999999999994E-5</v>
      </c>
      <c r="O7932" s="9">
        <v>2.2233999999999999E-4</v>
      </c>
      <c r="P7932" s="9">
        <v>1.7835E-4</v>
      </c>
      <c r="Q7932" s="9">
        <v>1.3778E-4</v>
      </c>
      <c r="R7932" s="10">
        <v>1.7383462218811658E-4</v>
      </c>
      <c r="S7932" s="10">
        <v>1.8324186097902077E-4</v>
      </c>
      <c r="T7932" s="10">
        <v>0</v>
      </c>
      <c r="U7932" s="10">
        <v>1.1021E-4</v>
      </c>
      <c r="V7932" s="25"/>
      <c r="W7932" s="25"/>
      <c r="X7932" s="25"/>
      <c r="Y7932" s="25"/>
      <c r="Z7932" s="25"/>
      <c r="AA7932" s="25"/>
    </row>
    <row r="7933" spans="1:27" x14ac:dyDescent="0.35">
      <c r="A7933" s="5">
        <v>7929</v>
      </c>
      <c r="B7933" s="5">
        <v>331</v>
      </c>
      <c r="C7933" s="5">
        <v>11</v>
      </c>
      <c r="D7933" s="25">
        <v>1.1416E-4</v>
      </c>
      <c r="E7933" s="25">
        <v>1.1493999999999999E-4</v>
      </c>
      <c r="F7933" s="25">
        <v>9.9259999999999995E-5</v>
      </c>
      <c r="G7933" s="25">
        <v>1.6126000000000001E-4</v>
      </c>
      <c r="H7933" s="25">
        <v>1.9149999999999999E-4</v>
      </c>
      <c r="I7933" s="9">
        <v>1.1619E-4</v>
      </c>
      <c r="J7933" s="9">
        <v>1.1733E-4</v>
      </c>
      <c r="K7933" s="9">
        <v>3.0518E-4</v>
      </c>
      <c r="L7933" s="9">
        <v>1.9458999999999999E-4</v>
      </c>
      <c r="M7933" s="9">
        <v>1.2381999999999999E-4</v>
      </c>
      <c r="N7933" s="9">
        <v>1.0485E-4</v>
      </c>
      <c r="O7933" s="9">
        <v>2.1002999999999999E-4</v>
      </c>
      <c r="P7933" s="9">
        <v>1.9110000000000001E-4</v>
      </c>
      <c r="Q7933" s="9">
        <v>1.7501999999999999E-4</v>
      </c>
      <c r="R7933" s="10">
        <v>1.8049168008846451E-4</v>
      </c>
      <c r="S7933" s="10">
        <v>1.8519744820863544E-4</v>
      </c>
      <c r="T7933" s="10">
        <v>2.0260506848140328E-5</v>
      </c>
      <c r="U7933" s="10">
        <v>1.1021E-4</v>
      </c>
      <c r="V7933" s="25"/>
      <c r="W7933" s="25"/>
      <c r="X7933" s="25"/>
      <c r="Y7933" s="25"/>
      <c r="Z7933" s="25"/>
      <c r="AA7933" s="25"/>
    </row>
    <row r="7934" spans="1:27" x14ac:dyDescent="0.35">
      <c r="A7934" s="5">
        <v>7930</v>
      </c>
      <c r="B7934" s="5">
        <v>331</v>
      </c>
      <c r="C7934" s="5">
        <v>11</v>
      </c>
      <c r="D7934" s="25">
        <v>1.1415000000000001E-4</v>
      </c>
      <c r="E7934" s="25">
        <v>1.1453E-4</v>
      </c>
      <c r="F7934" s="25">
        <v>9.4859999999999996E-5</v>
      </c>
      <c r="G7934" s="25">
        <v>1.6378000000000001E-4</v>
      </c>
      <c r="H7934" s="25">
        <v>2.0015000000000001E-4</v>
      </c>
      <c r="I7934" s="9">
        <v>1.2305000000000001E-4</v>
      </c>
      <c r="J7934" s="9">
        <v>1.2454999999999999E-4</v>
      </c>
      <c r="K7934" s="9">
        <v>2.967E-4</v>
      </c>
      <c r="L7934" s="9">
        <v>2.0426E-4</v>
      </c>
      <c r="M7934" s="9">
        <v>1.5823000000000001E-4</v>
      </c>
      <c r="N7934" s="9">
        <v>1.2444999999999999E-4</v>
      </c>
      <c r="O7934" s="9">
        <v>1.6668E-4</v>
      </c>
      <c r="P7934" s="9">
        <v>1.7284000000000001E-4</v>
      </c>
      <c r="Q7934" s="9">
        <v>1.8079000000000001E-4</v>
      </c>
      <c r="R7934" s="10">
        <v>1.8986365230384133E-4</v>
      </c>
      <c r="S7934" s="10">
        <v>1.8804466763320355E-4</v>
      </c>
      <c r="T7934" s="10">
        <v>2.8346044128826145E-5</v>
      </c>
      <c r="U7934" s="10">
        <v>1.1021E-4</v>
      </c>
      <c r="V7934" s="25"/>
      <c r="W7934" s="25"/>
      <c r="X7934" s="25"/>
      <c r="Y7934" s="25"/>
      <c r="Z7934" s="25"/>
      <c r="AA7934" s="25"/>
    </row>
    <row r="7935" spans="1:27" x14ac:dyDescent="0.35">
      <c r="A7935" s="5">
        <v>7931</v>
      </c>
      <c r="B7935" s="5">
        <v>331</v>
      </c>
      <c r="C7935" s="5">
        <v>11</v>
      </c>
      <c r="D7935" s="25">
        <v>1.1416E-4</v>
      </c>
      <c r="E7935" s="25">
        <v>1.1453E-4</v>
      </c>
      <c r="F7935" s="25">
        <v>1.0205E-4</v>
      </c>
      <c r="G7935" s="25">
        <v>1.5987E-4</v>
      </c>
      <c r="H7935" s="25">
        <v>1.9684999999999999E-4</v>
      </c>
      <c r="I7935" s="9">
        <v>1.2637E-4</v>
      </c>
      <c r="J7935" s="9">
        <v>1.2732999999999999E-4</v>
      </c>
      <c r="K7935" s="9">
        <v>2.9033999999999999E-4</v>
      </c>
      <c r="L7935" s="9">
        <v>1.7509000000000001E-4</v>
      </c>
      <c r="M7935" s="9">
        <v>1.7142000000000001E-4</v>
      </c>
      <c r="N7935" s="9">
        <v>1.4221000000000001E-4</v>
      </c>
      <c r="O7935" s="9">
        <v>1.6788E-4</v>
      </c>
      <c r="P7935" s="9">
        <v>1.7274E-4</v>
      </c>
      <c r="Q7935" s="9">
        <v>1.7940999999999999E-4</v>
      </c>
      <c r="R7935" s="10">
        <v>1.9969513703131317E-4</v>
      </c>
      <c r="S7935" s="10">
        <v>1.8963387127505417E-4</v>
      </c>
      <c r="T7935" s="10">
        <v>5.5852142621988187E-5</v>
      </c>
      <c r="U7935" s="10">
        <v>1.1021E-4</v>
      </c>
      <c r="V7935" s="25"/>
      <c r="W7935" s="25"/>
      <c r="X7935" s="25"/>
      <c r="Y7935" s="25"/>
      <c r="Z7935" s="25"/>
      <c r="AA7935" s="25"/>
    </row>
    <row r="7936" spans="1:27" x14ac:dyDescent="0.35">
      <c r="A7936" s="5">
        <v>7932</v>
      </c>
      <c r="B7936" s="5">
        <v>331</v>
      </c>
      <c r="C7936" s="5">
        <v>11</v>
      </c>
      <c r="D7936" s="25">
        <v>1.1415000000000001E-4</v>
      </c>
      <c r="E7936" s="25">
        <v>1.1287E-4</v>
      </c>
      <c r="F7936" s="25">
        <v>9.4710000000000006E-5</v>
      </c>
      <c r="G7936" s="25">
        <v>1.6019999999999999E-4</v>
      </c>
      <c r="H7936" s="25">
        <v>1.9636999999999999E-4</v>
      </c>
      <c r="I7936" s="9">
        <v>1.2867E-4</v>
      </c>
      <c r="J7936" s="9">
        <v>1.2641E-4</v>
      </c>
      <c r="K7936" s="9">
        <v>2.8186999999999998E-4</v>
      </c>
      <c r="L7936" s="9">
        <v>1.7089000000000001E-4</v>
      </c>
      <c r="M7936" s="9">
        <v>1.7407999999999999E-4</v>
      </c>
      <c r="N7936" s="9">
        <v>1.5626E-4</v>
      </c>
      <c r="O7936" s="9">
        <v>1.6917000000000001E-4</v>
      </c>
      <c r="P7936" s="9">
        <v>1.6991E-4</v>
      </c>
      <c r="Q7936" s="9">
        <v>1.7255999999999999E-4</v>
      </c>
      <c r="R7936" s="10">
        <v>1.885348817691061E-4</v>
      </c>
      <c r="S7936" s="10">
        <v>1.8960975082455163E-4</v>
      </c>
      <c r="T7936" s="10">
        <v>6.5133966111044099E-5</v>
      </c>
      <c r="U7936" s="10">
        <v>1.1021E-4</v>
      </c>
      <c r="V7936" s="25"/>
      <c r="W7936" s="25"/>
      <c r="X7936" s="25"/>
      <c r="Y7936" s="25"/>
      <c r="Z7936" s="25"/>
      <c r="AA7936" s="25"/>
    </row>
    <row r="7937" spans="1:27" x14ac:dyDescent="0.35">
      <c r="A7937" s="5">
        <v>7933</v>
      </c>
      <c r="B7937" s="5">
        <v>331</v>
      </c>
      <c r="C7937" s="5">
        <v>11</v>
      </c>
      <c r="D7937" s="25">
        <v>1.1416E-4</v>
      </c>
      <c r="E7937" s="25">
        <v>1.1909E-4</v>
      </c>
      <c r="F7937" s="25">
        <v>9.5979999999999999E-5</v>
      </c>
      <c r="G7937" s="25">
        <v>1.5687000000000001E-4</v>
      </c>
      <c r="H7937" s="25">
        <v>1.9131000000000001E-4</v>
      </c>
      <c r="I7937" s="9">
        <v>1.2813000000000001E-4</v>
      </c>
      <c r="J7937" s="9">
        <v>1.2512999999999999E-4</v>
      </c>
      <c r="K7937" s="9">
        <v>2.7975E-4</v>
      </c>
      <c r="L7937" s="9">
        <v>1.6966999999999999E-4</v>
      </c>
      <c r="M7937" s="9">
        <v>1.7281999999999999E-4</v>
      </c>
      <c r="N7937" s="9">
        <v>1.6542E-4</v>
      </c>
      <c r="O7937" s="9">
        <v>1.6380999999999999E-4</v>
      </c>
      <c r="P7937" s="9">
        <v>1.6543999999999999E-4</v>
      </c>
      <c r="Q7937" s="9">
        <v>1.6887E-4</v>
      </c>
      <c r="R7937" s="10">
        <v>1.8635187588425008E-4</v>
      </c>
      <c r="S7937" s="10">
        <v>1.900750828405112E-4</v>
      </c>
      <c r="T7937" s="10">
        <v>8.0278440451048497E-5</v>
      </c>
      <c r="U7937" s="10">
        <v>1.1021E-4</v>
      </c>
      <c r="V7937" s="25"/>
      <c r="W7937" s="25"/>
      <c r="X7937" s="25"/>
      <c r="Y7937" s="25"/>
      <c r="Z7937" s="25"/>
      <c r="AA7937" s="25"/>
    </row>
    <row r="7938" spans="1:27" x14ac:dyDescent="0.35">
      <c r="A7938" s="5">
        <v>7934</v>
      </c>
      <c r="B7938" s="5">
        <v>331</v>
      </c>
      <c r="C7938" s="5">
        <v>11</v>
      </c>
      <c r="D7938" s="25">
        <v>1.1415000000000001E-4</v>
      </c>
      <c r="E7938" s="25">
        <v>1.203E-4</v>
      </c>
      <c r="F7938" s="25">
        <v>1.0493999999999999E-4</v>
      </c>
      <c r="G7938" s="25">
        <v>1.6114999999999999E-4</v>
      </c>
      <c r="H7938" s="25">
        <v>1.9211E-4</v>
      </c>
      <c r="I7938" s="9">
        <v>1.259E-4</v>
      </c>
      <c r="J7938" s="9">
        <v>1.2400000000000001E-4</v>
      </c>
      <c r="K7938" s="9">
        <v>2.7551000000000002E-4</v>
      </c>
      <c r="L7938" s="9">
        <v>1.6487000000000001E-4</v>
      </c>
      <c r="M7938" s="9">
        <v>1.6979000000000001E-4</v>
      </c>
      <c r="N7938" s="9">
        <v>1.7011000000000001E-4</v>
      </c>
      <c r="O7938" s="9">
        <v>1.7907E-4</v>
      </c>
      <c r="P7938" s="9">
        <v>1.6882E-4</v>
      </c>
      <c r="Q7938" s="9">
        <v>1.6080000000000001E-4</v>
      </c>
      <c r="R7938" s="10">
        <v>1.8308143830349105E-4</v>
      </c>
      <c r="S7938" s="10">
        <v>1.9027042010392656E-4</v>
      </c>
      <c r="T7938" s="10">
        <v>3.0993145526070611E-5</v>
      </c>
      <c r="U7938" s="10">
        <v>1.1021E-4</v>
      </c>
      <c r="V7938" s="25"/>
      <c r="W7938" s="25"/>
      <c r="X7938" s="25"/>
      <c r="Y7938" s="25"/>
      <c r="Z7938" s="25"/>
      <c r="AA7938" s="25"/>
    </row>
    <row r="7939" spans="1:27" x14ac:dyDescent="0.35">
      <c r="A7939" s="5">
        <v>7935</v>
      </c>
      <c r="B7939" s="5">
        <v>331</v>
      </c>
      <c r="C7939" s="5">
        <v>11</v>
      </c>
      <c r="D7939" s="25">
        <v>1.1416E-4</v>
      </c>
      <c r="E7939" s="25">
        <v>1.138E-4</v>
      </c>
      <c r="F7939" s="25">
        <v>9.3659999999999994E-5</v>
      </c>
      <c r="G7939" s="25">
        <v>1.5757E-4</v>
      </c>
      <c r="H7939" s="25">
        <v>2.0237E-4</v>
      </c>
      <c r="I7939" s="9">
        <v>1.2247000000000001E-4</v>
      </c>
      <c r="J7939" s="9">
        <v>1.237E-4</v>
      </c>
      <c r="K7939" s="9">
        <v>2.7338999999999998E-4</v>
      </c>
      <c r="L7939" s="9">
        <v>1.7605999999999999E-4</v>
      </c>
      <c r="M7939" s="9">
        <v>1.6856999999999999E-4</v>
      </c>
      <c r="N7939" s="9">
        <v>1.6977999999999999E-4</v>
      </c>
      <c r="O7939" s="9">
        <v>1.8458E-4</v>
      </c>
      <c r="P7939" s="9">
        <v>1.6746E-4</v>
      </c>
      <c r="Q7939" s="9">
        <v>1.5274E-4</v>
      </c>
      <c r="R7939" s="10">
        <v>1.8673753516869243E-4</v>
      </c>
      <c r="S7939" s="10">
        <v>1.9029009550891384E-4</v>
      </c>
      <c r="T7939" s="10">
        <v>1.7791575737248857E-5</v>
      </c>
      <c r="U7939" s="10">
        <v>1.1021E-4</v>
      </c>
      <c r="V7939" s="25"/>
      <c r="W7939" s="25"/>
      <c r="X7939" s="25"/>
      <c r="Y7939" s="25"/>
      <c r="Z7939" s="25"/>
      <c r="AA7939" s="25"/>
    </row>
    <row r="7940" spans="1:27" x14ac:dyDescent="0.35">
      <c r="A7940" s="5">
        <v>7936</v>
      </c>
      <c r="B7940" s="5">
        <v>331</v>
      </c>
      <c r="C7940" s="5">
        <v>11</v>
      </c>
      <c r="D7940" s="25">
        <v>1.1415000000000001E-4</v>
      </c>
      <c r="E7940" s="25">
        <v>1.2306E-4</v>
      </c>
      <c r="F7940" s="25">
        <v>1.0090999999999999E-4</v>
      </c>
      <c r="G7940" s="25">
        <v>1.6111000000000001E-4</v>
      </c>
      <c r="H7940" s="25">
        <v>2.0106E-4</v>
      </c>
      <c r="I7940" s="9">
        <v>1.2153E-4</v>
      </c>
      <c r="J7940" s="9">
        <v>1.2401E-4</v>
      </c>
      <c r="K7940" s="9">
        <v>2.7975E-4</v>
      </c>
      <c r="L7940" s="9">
        <v>1.8241000000000001E-4</v>
      </c>
      <c r="M7940" s="9">
        <v>1.6793E-4</v>
      </c>
      <c r="N7940" s="9">
        <v>1.6606999999999999E-4</v>
      </c>
      <c r="O7940" s="9">
        <v>1.9714E-4</v>
      </c>
      <c r="P7940" s="9">
        <v>1.5161999999999999E-4</v>
      </c>
      <c r="Q7940" s="9">
        <v>1.0916000000000001E-4</v>
      </c>
      <c r="R7940" s="10">
        <v>2.0122888421464428E-4</v>
      </c>
      <c r="S7940" s="10">
        <v>1.9029019367819975E-4</v>
      </c>
      <c r="T7940" s="10">
        <v>0</v>
      </c>
      <c r="U7940" s="10">
        <v>1.1021E-4</v>
      </c>
      <c r="V7940" s="25"/>
      <c r="W7940" s="25"/>
      <c r="X7940" s="25"/>
      <c r="Y7940" s="25"/>
      <c r="Z7940" s="25"/>
      <c r="AA7940" s="25"/>
    </row>
    <row r="7941" spans="1:27" x14ac:dyDescent="0.35">
      <c r="A7941" s="5">
        <v>7937</v>
      </c>
      <c r="B7941" s="5">
        <v>331</v>
      </c>
      <c r="C7941" s="5">
        <v>11</v>
      </c>
      <c r="D7941" s="25">
        <v>1.1416E-4</v>
      </c>
      <c r="E7941" s="25">
        <v>1.1883E-4</v>
      </c>
      <c r="F7941" s="25">
        <v>9.0690000000000001E-5</v>
      </c>
      <c r="G7941" s="25">
        <v>1.6165999999999999E-4</v>
      </c>
      <c r="H7941" s="25">
        <v>1.9027000000000001E-4</v>
      </c>
      <c r="I7941" s="9">
        <v>1.2222000000000001E-4</v>
      </c>
      <c r="J7941" s="9">
        <v>1.2846999999999999E-4</v>
      </c>
      <c r="K7941" s="9">
        <v>2.8397999999999997E-4</v>
      </c>
      <c r="L7941" s="9">
        <v>1.9368E-4</v>
      </c>
      <c r="M7941" s="9">
        <v>1.6197999999999999E-4</v>
      </c>
      <c r="N7941" s="9">
        <v>1.5231000000000001E-4</v>
      </c>
      <c r="O7941" s="9">
        <v>2.1416E-4</v>
      </c>
      <c r="P7941" s="9">
        <v>1.5872999999999999E-4</v>
      </c>
      <c r="Q7941" s="9">
        <v>1.0676E-4</v>
      </c>
      <c r="R7941" s="10">
        <v>2.0538177175861841E-4</v>
      </c>
      <c r="S7941" s="10">
        <v>1.9029020759484994E-4</v>
      </c>
      <c r="T7941" s="10">
        <v>0</v>
      </c>
      <c r="U7941" s="10">
        <v>1.1021E-4</v>
      </c>
      <c r="V7941" s="25"/>
      <c r="W7941" s="25"/>
      <c r="X7941" s="25"/>
      <c r="Y7941" s="25"/>
      <c r="Z7941" s="25"/>
      <c r="AA7941" s="25"/>
    </row>
    <row r="7942" spans="1:27" x14ac:dyDescent="0.35">
      <c r="A7942" s="5">
        <v>7938</v>
      </c>
      <c r="B7942" s="5">
        <v>331</v>
      </c>
      <c r="C7942" s="5">
        <v>11</v>
      </c>
      <c r="D7942" s="25">
        <v>1.1415000000000001E-4</v>
      </c>
      <c r="E7942" s="25">
        <v>1.1699E-4</v>
      </c>
      <c r="F7942" s="25">
        <v>9.611E-5</v>
      </c>
      <c r="G7942" s="25">
        <v>1.6364999999999999E-4</v>
      </c>
      <c r="H7942" s="25">
        <v>1.9039999999999999E-4</v>
      </c>
      <c r="I7942" s="9">
        <v>1.3056E-4</v>
      </c>
      <c r="J7942" s="9">
        <v>1.3683E-4</v>
      </c>
      <c r="K7942" s="9">
        <v>2.8399000000000002E-4</v>
      </c>
      <c r="L7942" s="9">
        <v>2.0943000000000001E-4</v>
      </c>
      <c r="M7942" s="9">
        <v>1.5915999999999999E-4</v>
      </c>
      <c r="N7942" s="9">
        <v>1.3897000000000001E-4</v>
      </c>
      <c r="O7942" s="9">
        <v>2.0474999999999999E-4</v>
      </c>
      <c r="P7942" s="9">
        <v>1.5918E-4</v>
      </c>
      <c r="Q7942" s="9">
        <v>1.1678E-4</v>
      </c>
      <c r="R7942" s="10">
        <v>2.0813692718160557E-4</v>
      </c>
      <c r="S7942" s="10">
        <v>1.9029020759484994E-4</v>
      </c>
      <c r="T7942" s="10">
        <v>0</v>
      </c>
      <c r="U7942" s="10">
        <v>1.1021E-4</v>
      </c>
      <c r="V7942" s="25"/>
      <c r="W7942" s="25"/>
      <c r="X7942" s="25"/>
      <c r="Y7942" s="25"/>
      <c r="Z7942" s="25"/>
      <c r="AA7942" s="25"/>
    </row>
    <row r="7943" spans="1:27" x14ac:dyDescent="0.35">
      <c r="A7943" s="5">
        <v>7939</v>
      </c>
      <c r="B7943" s="5">
        <v>331</v>
      </c>
      <c r="C7943" s="5">
        <v>11</v>
      </c>
      <c r="D7943" s="25">
        <v>1.1416E-4</v>
      </c>
      <c r="E7943" s="25">
        <v>1.1387000000000001E-4</v>
      </c>
      <c r="F7943" s="25">
        <v>9.9850000000000001E-5</v>
      </c>
      <c r="G7943" s="25">
        <v>1.0425999999999999E-4</v>
      </c>
      <c r="H7943" s="25">
        <v>1.3772E-4</v>
      </c>
      <c r="I7943" s="9">
        <v>1.3159000000000001E-4</v>
      </c>
      <c r="J7943" s="9">
        <v>1.3386E-4</v>
      </c>
      <c r="K7943" s="9">
        <v>2.8822E-4</v>
      </c>
      <c r="L7943" s="9">
        <v>2.0536999999999999E-4</v>
      </c>
      <c r="M7943" s="9">
        <v>1.5861E-4</v>
      </c>
      <c r="N7943" s="9">
        <v>1.2968999999999999E-4</v>
      </c>
      <c r="O7943" s="9">
        <v>1.6619000000000001E-4</v>
      </c>
      <c r="P7943" s="9">
        <v>1.3583000000000001E-4</v>
      </c>
      <c r="Q7943" s="9">
        <v>1.0781E-4</v>
      </c>
      <c r="R7943" s="10">
        <v>2.0981625495888334E-4</v>
      </c>
      <c r="S7943" s="10">
        <v>1.9029020759484994E-4</v>
      </c>
      <c r="T7943" s="10">
        <v>0</v>
      </c>
      <c r="U7943" s="10">
        <v>1.1021E-4</v>
      </c>
      <c r="V7943" s="25"/>
      <c r="W7943" s="25"/>
      <c r="X7943" s="25"/>
      <c r="Y7943" s="25"/>
      <c r="Z7943" s="25"/>
      <c r="AA7943" s="25"/>
    </row>
    <row r="7944" spans="1:27" x14ac:dyDescent="0.35">
      <c r="A7944" s="5">
        <v>7940</v>
      </c>
      <c r="B7944" s="5">
        <v>331</v>
      </c>
      <c r="C7944" s="5">
        <v>11</v>
      </c>
      <c r="D7944" s="25">
        <v>1.1415000000000001E-4</v>
      </c>
      <c r="E7944" s="25">
        <v>1.1626E-4</v>
      </c>
      <c r="F7944" s="25">
        <v>1.0487E-4</v>
      </c>
      <c r="G7944" s="25">
        <v>1.1242E-4</v>
      </c>
      <c r="H7944" s="25">
        <v>1.3726E-4</v>
      </c>
      <c r="I7944" s="9">
        <v>1.2622999999999999E-4</v>
      </c>
      <c r="J7944" s="9">
        <v>1.2888E-4</v>
      </c>
      <c r="K7944" s="9">
        <v>2.8822E-4</v>
      </c>
      <c r="L7944" s="9">
        <v>1.7499E-4</v>
      </c>
      <c r="M7944" s="9">
        <v>1.5043000000000001E-4</v>
      </c>
      <c r="N7944" s="9">
        <v>1.2076E-4</v>
      </c>
      <c r="O7944" s="9">
        <v>1.2847999999999999E-4</v>
      </c>
      <c r="P7944" s="9">
        <v>1.1408000000000001E-4</v>
      </c>
      <c r="Q7944" s="9">
        <v>1.0119999999999999E-4</v>
      </c>
      <c r="R7944" s="10">
        <v>2.1108618926008274E-4</v>
      </c>
      <c r="S7944" s="10">
        <v>1.9029020759484994E-4</v>
      </c>
      <c r="T7944" s="10">
        <v>0</v>
      </c>
      <c r="U7944" s="10">
        <v>1.1021E-4</v>
      </c>
      <c r="V7944" s="25"/>
      <c r="W7944" s="25"/>
      <c r="X7944" s="25"/>
      <c r="Y7944" s="25"/>
      <c r="Z7944" s="25"/>
      <c r="AA7944" s="25"/>
    </row>
    <row r="7945" spans="1:27" x14ac:dyDescent="0.35">
      <c r="A7945" s="5">
        <v>7941</v>
      </c>
      <c r="B7945" s="5">
        <v>331</v>
      </c>
      <c r="C7945" s="5">
        <v>11</v>
      </c>
      <c r="D7945" s="25">
        <v>1.1416E-4</v>
      </c>
      <c r="E7945" s="25">
        <v>1.1564E-4</v>
      </c>
      <c r="F7945" s="25">
        <v>8.9049999999999996E-5</v>
      </c>
      <c r="G7945" s="25">
        <v>6.1130000000000006E-5</v>
      </c>
      <c r="H7945" s="25">
        <v>6.8659999999999997E-5</v>
      </c>
      <c r="I7945" s="9">
        <v>1.2103E-4</v>
      </c>
      <c r="J7945" s="9">
        <v>1.2303999999999999E-4</v>
      </c>
      <c r="K7945" s="9">
        <v>2.9247000000000002E-4</v>
      </c>
      <c r="L7945" s="9">
        <v>1.3966E-4</v>
      </c>
      <c r="M7945" s="9">
        <v>1.3506E-4</v>
      </c>
      <c r="N7945" s="9">
        <v>1.1294999999999999E-4</v>
      </c>
      <c r="O7945" s="9">
        <v>8.5450000000000003E-5</v>
      </c>
      <c r="P7945" s="9">
        <v>8.687E-5</v>
      </c>
      <c r="Q7945" s="9">
        <v>8.8880000000000003E-5</v>
      </c>
      <c r="R7945" s="10">
        <v>2.1183147032261413E-4</v>
      </c>
      <c r="S7945" s="10">
        <v>1.9029020759484994E-4</v>
      </c>
      <c r="T7945" s="10">
        <v>0</v>
      </c>
      <c r="U7945" s="10">
        <v>1.1021E-4</v>
      </c>
      <c r="V7945" s="25"/>
      <c r="W7945" s="25"/>
      <c r="X7945" s="25"/>
      <c r="Y7945" s="25"/>
      <c r="Z7945" s="25"/>
      <c r="AA7945" s="25"/>
    </row>
    <row r="7946" spans="1:27" x14ac:dyDescent="0.35">
      <c r="A7946" s="5">
        <v>7942</v>
      </c>
      <c r="B7946" s="5">
        <v>331</v>
      </c>
      <c r="C7946" s="5">
        <v>11</v>
      </c>
      <c r="D7946" s="25">
        <v>1.1415000000000001E-4</v>
      </c>
      <c r="E7946" s="25">
        <v>1.1993999999999999E-4</v>
      </c>
      <c r="F7946" s="25">
        <v>1.0284E-4</v>
      </c>
      <c r="G7946" s="25">
        <v>6.3079999999999999E-5</v>
      </c>
      <c r="H7946" s="25">
        <v>6.5920000000000006E-5</v>
      </c>
      <c r="I7946" s="9">
        <v>1.1581E-4</v>
      </c>
      <c r="J7946" s="9">
        <v>1.1726E-4</v>
      </c>
      <c r="K7946" s="9">
        <v>2.9671E-4</v>
      </c>
      <c r="L7946" s="9">
        <v>9.8330000000000002E-5</v>
      </c>
      <c r="M7946" s="9">
        <v>1.1374000000000001E-4</v>
      </c>
      <c r="N7946" s="9">
        <v>1.0553E-4</v>
      </c>
      <c r="O7946" s="9">
        <v>8.7650000000000003E-5</v>
      </c>
      <c r="P7946" s="9">
        <v>8.7639999999999994E-5</v>
      </c>
      <c r="Q7946" s="9">
        <v>8.8289999999999997E-5</v>
      </c>
      <c r="R7946" s="10">
        <v>2.1225789464992024E-4</v>
      </c>
      <c r="S7946" s="10">
        <v>1.9029020759484994E-4</v>
      </c>
      <c r="T7946" s="10">
        <v>0</v>
      </c>
      <c r="U7946" s="10">
        <v>1.1021E-4</v>
      </c>
      <c r="V7946" s="25"/>
      <c r="W7946" s="25"/>
      <c r="X7946" s="25"/>
      <c r="Y7946" s="25"/>
      <c r="Z7946" s="25"/>
      <c r="AA7946" s="25"/>
    </row>
    <row r="7947" spans="1:27" x14ac:dyDescent="0.35">
      <c r="A7947" s="5">
        <v>7943</v>
      </c>
      <c r="B7947" s="5">
        <v>331</v>
      </c>
      <c r="C7947" s="5">
        <v>11</v>
      </c>
      <c r="D7947" s="25">
        <v>1.1416E-4</v>
      </c>
      <c r="E7947" s="25">
        <v>1.1893E-4</v>
      </c>
      <c r="F7947" s="25">
        <v>9.7449999999999997E-5</v>
      </c>
      <c r="G7947" s="25">
        <v>6.2609999999999999E-5</v>
      </c>
      <c r="H7947" s="25">
        <v>7.0049999999999995E-5</v>
      </c>
      <c r="I7947" s="9">
        <v>1.1654000000000001E-4</v>
      </c>
      <c r="J7947" s="9">
        <v>1.1168E-4</v>
      </c>
      <c r="K7947" s="9">
        <v>2.9882999999999998E-4</v>
      </c>
      <c r="L7947" s="9">
        <v>9.0939999999999993E-5</v>
      </c>
      <c r="M7947" s="9">
        <v>9.912E-5</v>
      </c>
      <c r="N7947" s="9">
        <v>9.9790000000000005E-5</v>
      </c>
      <c r="O7947" s="9">
        <v>7.8310000000000001E-5</v>
      </c>
      <c r="P7947" s="9">
        <v>7.2429999999999996E-5</v>
      </c>
      <c r="Q7947" s="9">
        <v>6.7160000000000001E-5</v>
      </c>
      <c r="R7947" s="10">
        <v>2.1236170388388151E-4</v>
      </c>
      <c r="S7947" s="10">
        <v>1.9029020759484994E-4</v>
      </c>
      <c r="T7947" s="10">
        <v>0</v>
      </c>
      <c r="U7947" s="10">
        <v>1.1021E-4</v>
      </c>
      <c r="V7947" s="25"/>
      <c r="W7947" s="25"/>
      <c r="X7947" s="25"/>
      <c r="Y7947" s="25"/>
      <c r="Z7947" s="25"/>
      <c r="AA7947" s="25"/>
    </row>
    <row r="7948" spans="1:27" x14ac:dyDescent="0.35">
      <c r="A7948" s="5">
        <v>7944</v>
      </c>
      <c r="B7948" s="5">
        <v>331</v>
      </c>
      <c r="C7948" s="5">
        <v>11</v>
      </c>
      <c r="D7948" s="25">
        <v>1.1415000000000001E-4</v>
      </c>
      <c r="E7948" s="25">
        <v>1.1158E-4</v>
      </c>
      <c r="F7948" s="25">
        <v>1.0289E-4</v>
      </c>
      <c r="G7948" s="25">
        <v>5.6870000000000003E-5</v>
      </c>
      <c r="H7948" s="25">
        <v>7.4870000000000007E-5</v>
      </c>
      <c r="I7948" s="9">
        <v>1.1781999999999999E-4</v>
      </c>
      <c r="J7948" s="9">
        <v>1.0554E-4</v>
      </c>
      <c r="K7948" s="9">
        <v>3.1365000000000001E-4</v>
      </c>
      <c r="L7948" s="9">
        <v>8.1069999999999995E-5</v>
      </c>
      <c r="M7948" s="9">
        <v>8.6299999999999997E-5</v>
      </c>
      <c r="N7948" s="9">
        <v>9.0630000000000005E-5</v>
      </c>
      <c r="O7948" s="9">
        <v>6.2260000000000004E-5</v>
      </c>
      <c r="P7948" s="9">
        <v>6.0149999999999998E-5</v>
      </c>
      <c r="Q7948" s="9">
        <v>5.8359999999999997E-5</v>
      </c>
      <c r="R7948" s="10">
        <v>2.1234345972475987E-4</v>
      </c>
      <c r="S7948" s="10">
        <v>1.9029020759484994E-4</v>
      </c>
      <c r="T7948" s="10">
        <v>0</v>
      </c>
      <c r="U7948" s="10">
        <v>1.1021E-4</v>
      </c>
      <c r="V7948" s="25"/>
      <c r="W7948" s="25"/>
      <c r="X7948" s="25"/>
      <c r="Y7948" s="25"/>
      <c r="Z7948" s="25"/>
      <c r="AA7948" s="25"/>
    </row>
    <row r="7949" spans="1:27" x14ac:dyDescent="0.35">
      <c r="A7949" s="5">
        <v>7945</v>
      </c>
      <c r="B7949" s="5">
        <v>332</v>
      </c>
      <c r="C7949" s="5">
        <v>11</v>
      </c>
      <c r="D7949" s="25">
        <v>1.1416E-4</v>
      </c>
      <c r="E7949" s="25">
        <v>1.1844E-4</v>
      </c>
      <c r="F7949" s="25">
        <v>1.0466E-4</v>
      </c>
      <c r="G7949" s="25">
        <v>5.329E-5</v>
      </c>
      <c r="H7949" s="25">
        <v>7.1310000000000007E-5</v>
      </c>
      <c r="I7949" s="9">
        <v>1.1257E-4</v>
      </c>
      <c r="J7949" s="9">
        <v>1.002E-4</v>
      </c>
      <c r="K7949" s="9">
        <v>3.4545000000000002E-4</v>
      </c>
      <c r="L7949" s="9">
        <v>6.6400000000000001E-5</v>
      </c>
      <c r="M7949" s="9">
        <v>7.394E-5</v>
      </c>
      <c r="N7949" s="9">
        <v>8.1119999999999996E-5</v>
      </c>
      <c r="O7949" s="9">
        <v>5.4419999999999997E-5</v>
      </c>
      <c r="P7949" s="9">
        <v>5.384E-5</v>
      </c>
      <c r="Q7949" s="9">
        <v>5.342E-5</v>
      </c>
      <c r="R7949" s="10">
        <v>2.1239211303881257E-4</v>
      </c>
      <c r="S7949" s="10">
        <v>1.9020720115305452E-4</v>
      </c>
      <c r="T7949" s="10">
        <v>0</v>
      </c>
      <c r="U7949" s="10">
        <v>1.1230000000000001E-4</v>
      </c>
      <c r="V7949" s="25"/>
      <c r="W7949" s="25"/>
      <c r="X7949" s="25"/>
      <c r="Y7949" s="25"/>
      <c r="Z7949" s="25"/>
      <c r="AA7949" s="25"/>
    </row>
    <row r="7950" spans="1:27" x14ac:dyDescent="0.35">
      <c r="A7950" s="5">
        <v>7946</v>
      </c>
      <c r="B7950" s="5">
        <v>332</v>
      </c>
      <c r="C7950" s="5">
        <v>11</v>
      </c>
      <c r="D7950" s="25">
        <v>1.1415000000000001E-4</v>
      </c>
      <c r="E7950" s="25">
        <v>1.1302999999999999E-4</v>
      </c>
      <c r="F7950" s="25">
        <v>1.1034E-4</v>
      </c>
      <c r="G7950" s="25">
        <v>5.4299999999999998E-5</v>
      </c>
      <c r="H7950" s="25">
        <v>6.5389999999999996E-5</v>
      </c>
      <c r="I7950" s="9">
        <v>1.0670000000000001E-4</v>
      </c>
      <c r="J7950" s="9">
        <v>9.6059999999999998E-5</v>
      </c>
      <c r="K7950" s="9">
        <v>3.6240000000000003E-4</v>
      </c>
      <c r="L7950" s="9">
        <v>5.7460000000000002E-5</v>
      </c>
      <c r="M7950" s="9">
        <v>6.3750000000000005E-5</v>
      </c>
      <c r="N7950" s="9">
        <v>7.203E-5</v>
      </c>
      <c r="O7950" s="9">
        <v>1.8490000000000001E-5</v>
      </c>
      <c r="P7950" s="9">
        <v>3.7499999999999997E-5</v>
      </c>
      <c r="Q7950" s="9">
        <v>5.5810000000000003E-5</v>
      </c>
      <c r="R7950" s="10">
        <v>2.123739959516487E-4</v>
      </c>
      <c r="S7950" s="10">
        <v>1.9028776938198277E-4</v>
      </c>
      <c r="T7950" s="10">
        <v>0</v>
      </c>
      <c r="U7950" s="10">
        <v>1.1230000000000001E-4</v>
      </c>
      <c r="V7950" s="25"/>
      <c r="W7950" s="25"/>
      <c r="X7950" s="25"/>
      <c r="Y7950" s="25"/>
      <c r="Z7950" s="25"/>
      <c r="AA7950" s="25"/>
    </row>
    <row r="7951" spans="1:27" x14ac:dyDescent="0.35">
      <c r="A7951" s="5">
        <v>7947</v>
      </c>
      <c r="B7951" s="5">
        <v>332</v>
      </c>
      <c r="C7951" s="5">
        <v>11</v>
      </c>
      <c r="D7951" s="25">
        <v>1.1416E-4</v>
      </c>
      <c r="E7951" s="25">
        <v>1.1471E-4</v>
      </c>
      <c r="F7951" s="25">
        <v>1.2061E-4</v>
      </c>
      <c r="G7951" s="25">
        <v>5.9500000000000003E-5</v>
      </c>
      <c r="H7951" s="25">
        <v>7.3079999999999998E-5</v>
      </c>
      <c r="I7951" s="9">
        <v>1.0086000000000001E-4</v>
      </c>
      <c r="J7951" s="9">
        <v>9.3090000000000005E-5</v>
      </c>
      <c r="K7951" s="9">
        <v>3.4756000000000001E-4</v>
      </c>
      <c r="L7951" s="9">
        <v>2.7270000000000001E-5</v>
      </c>
      <c r="M7951" s="9">
        <v>5.1990000000000002E-5</v>
      </c>
      <c r="N7951" s="9">
        <v>6.5370000000000006E-5</v>
      </c>
      <c r="O7951" s="9">
        <v>1.305E-5</v>
      </c>
      <c r="P7951" s="9">
        <v>3.7610000000000001E-5</v>
      </c>
      <c r="Q7951" s="9">
        <v>6.1299999999999999E-5</v>
      </c>
      <c r="R7951" s="10">
        <v>2.1234760137519662E-4</v>
      </c>
      <c r="S7951" s="10">
        <v>1.9016564841295062E-4</v>
      </c>
      <c r="T7951" s="10">
        <v>0</v>
      </c>
      <c r="U7951" s="10">
        <v>1.1230000000000001E-4</v>
      </c>
      <c r="V7951" s="25"/>
      <c r="W7951" s="25"/>
      <c r="X7951" s="25"/>
      <c r="Y7951" s="25"/>
      <c r="Z7951" s="25"/>
      <c r="AA7951" s="25"/>
    </row>
    <row r="7952" spans="1:27" x14ac:dyDescent="0.35">
      <c r="A7952" s="5">
        <v>7948</v>
      </c>
      <c r="B7952" s="5">
        <v>332</v>
      </c>
      <c r="C7952" s="5">
        <v>11</v>
      </c>
      <c r="D7952" s="25">
        <v>1.1415000000000001E-4</v>
      </c>
      <c r="E7952" s="25">
        <v>1.0949E-4</v>
      </c>
      <c r="F7952" s="25">
        <v>1.102E-4</v>
      </c>
      <c r="G7952" s="25">
        <v>5.7469999999999997E-5</v>
      </c>
      <c r="H7952" s="25">
        <v>7.6959999999999995E-5</v>
      </c>
      <c r="I7952" s="9">
        <v>9.8950000000000006E-5</v>
      </c>
      <c r="J7952" s="9">
        <v>9.1379999999999996E-5</v>
      </c>
      <c r="K7952" s="9">
        <v>3.3697000000000002E-4</v>
      </c>
      <c r="L7952" s="9">
        <v>1.6920000000000001E-5</v>
      </c>
      <c r="M7952" s="9">
        <v>4.3999999999999999E-5</v>
      </c>
      <c r="N7952" s="9">
        <v>6.1729999999999993E-5</v>
      </c>
      <c r="O7952" s="9">
        <v>1.3010000000000001E-5</v>
      </c>
      <c r="P7952" s="9">
        <v>4.689E-5</v>
      </c>
      <c r="Q7952" s="9">
        <v>7.975E-5</v>
      </c>
      <c r="R7952" s="10">
        <v>2.1199386770493769E-4</v>
      </c>
      <c r="S7952" s="10">
        <v>1.9009712073767723E-4</v>
      </c>
      <c r="T7952" s="10">
        <v>0</v>
      </c>
      <c r="U7952" s="10">
        <v>1.1230000000000001E-4</v>
      </c>
      <c r="V7952" s="25"/>
      <c r="W7952" s="25"/>
      <c r="X7952" s="25"/>
      <c r="Y7952" s="25"/>
      <c r="Z7952" s="25"/>
      <c r="AA7952" s="25"/>
    </row>
    <row r="7953" spans="1:27" x14ac:dyDescent="0.35">
      <c r="A7953" s="5">
        <v>7949</v>
      </c>
      <c r="B7953" s="5">
        <v>332</v>
      </c>
      <c r="C7953" s="5">
        <v>11</v>
      </c>
      <c r="D7953" s="25">
        <v>1.1416E-4</v>
      </c>
      <c r="E7953" s="25">
        <v>1.0870999999999999E-4</v>
      </c>
      <c r="F7953" s="25">
        <v>1.1116999999999999E-4</v>
      </c>
      <c r="G7953" s="25">
        <v>5.3029999999999999E-5</v>
      </c>
      <c r="H7953" s="25">
        <v>6.8449999999999997E-5</v>
      </c>
      <c r="I7953" s="9">
        <v>9.7930000000000006E-5</v>
      </c>
      <c r="J7953" s="9">
        <v>9.0799999999999998E-5</v>
      </c>
      <c r="K7953" s="9">
        <v>3.2849000000000002E-4</v>
      </c>
      <c r="L7953" s="9">
        <v>1.412E-5</v>
      </c>
      <c r="M7953" s="9">
        <v>4.3250000000000001E-5</v>
      </c>
      <c r="N7953" s="9">
        <v>6.4140000000000006E-5</v>
      </c>
      <c r="O7953" s="9">
        <v>1.878E-5</v>
      </c>
      <c r="P7953" s="9">
        <v>5.711E-5</v>
      </c>
      <c r="Q7953" s="9">
        <v>9.4430000000000002E-5</v>
      </c>
      <c r="R7953" s="10">
        <v>2.113774311982968E-4</v>
      </c>
      <c r="S7953" s="10">
        <v>1.9026490977137143E-4</v>
      </c>
      <c r="T7953" s="10">
        <v>0</v>
      </c>
      <c r="U7953" s="10">
        <v>1.1230000000000001E-4</v>
      </c>
      <c r="V7953" s="25"/>
      <c r="W7953" s="25"/>
      <c r="X7953" s="25"/>
      <c r="Y7953" s="25"/>
      <c r="Z7953" s="25"/>
      <c r="AA7953" s="25"/>
    </row>
    <row r="7954" spans="1:27" x14ac:dyDescent="0.35">
      <c r="A7954" s="5">
        <v>7950</v>
      </c>
      <c r="B7954" s="5">
        <v>332</v>
      </c>
      <c r="C7954" s="5">
        <v>11</v>
      </c>
      <c r="D7954" s="25">
        <v>1.1415000000000001E-4</v>
      </c>
      <c r="E7954" s="25">
        <v>1.1252999999999999E-4</v>
      </c>
      <c r="F7954" s="25">
        <v>1.2111E-4</v>
      </c>
      <c r="G7954" s="25">
        <v>1.1209000000000001E-4</v>
      </c>
      <c r="H7954" s="25">
        <v>1.3258000000000001E-4</v>
      </c>
      <c r="I7954" s="9">
        <v>9.878E-5</v>
      </c>
      <c r="J7954" s="9">
        <v>9.1559999999999998E-5</v>
      </c>
      <c r="K7954" s="9">
        <v>3.1577999999999999E-4</v>
      </c>
      <c r="L7954" s="9">
        <v>1.7620000000000001E-5</v>
      </c>
      <c r="M7954" s="9">
        <v>4.8399999999999997E-5</v>
      </c>
      <c r="N7954" s="9">
        <v>7.0909999999999997E-5</v>
      </c>
      <c r="O7954" s="9">
        <v>4.5890000000000003E-5</v>
      </c>
      <c r="P7954" s="9">
        <v>7.6279999999999995E-5</v>
      </c>
      <c r="Q7954" s="9">
        <v>1.0621E-4</v>
      </c>
      <c r="R7954" s="10">
        <v>2.1133767140390662E-4</v>
      </c>
      <c r="S7954" s="10">
        <v>1.9029019056953739E-4</v>
      </c>
      <c r="T7954" s="10">
        <v>0</v>
      </c>
      <c r="U7954" s="10">
        <v>1.1230000000000001E-4</v>
      </c>
      <c r="V7954" s="25"/>
      <c r="W7954" s="25"/>
      <c r="X7954" s="25"/>
      <c r="Y7954" s="25"/>
      <c r="Z7954" s="25"/>
      <c r="AA7954" s="25"/>
    </row>
    <row r="7955" spans="1:27" x14ac:dyDescent="0.35">
      <c r="A7955" s="5">
        <v>7951</v>
      </c>
      <c r="B7955" s="5">
        <v>332</v>
      </c>
      <c r="C7955" s="5">
        <v>11</v>
      </c>
      <c r="D7955" s="25">
        <v>1.1416E-4</v>
      </c>
      <c r="E7955" s="25">
        <v>1.1768E-4</v>
      </c>
      <c r="F7955" s="25">
        <v>1.0053E-4</v>
      </c>
      <c r="G7955" s="25">
        <v>1.1493999999999999E-4</v>
      </c>
      <c r="H7955" s="25">
        <v>1.3171E-4</v>
      </c>
      <c r="I7955" s="9">
        <v>1.0055E-4</v>
      </c>
      <c r="J7955" s="9">
        <v>9.3700000000000001E-5</v>
      </c>
      <c r="K7955" s="9">
        <v>3.0306000000000002E-4</v>
      </c>
      <c r="L7955" s="9">
        <v>3.9520000000000001E-5</v>
      </c>
      <c r="M7955" s="9">
        <v>5.9889999999999997E-5</v>
      </c>
      <c r="N7955" s="9">
        <v>8.0480000000000002E-5</v>
      </c>
      <c r="O7955" s="9">
        <v>1.2423999999999999E-4</v>
      </c>
      <c r="P7955" s="9">
        <v>1.1796E-4</v>
      </c>
      <c r="Q7955" s="9">
        <v>1.13E-4</v>
      </c>
      <c r="R7955" s="10">
        <v>2.1215087859286481E-4</v>
      </c>
      <c r="S7955" s="10">
        <v>1.9029020759484994E-4</v>
      </c>
      <c r="T7955" s="10">
        <v>0</v>
      </c>
      <c r="U7955" s="10">
        <v>1.1230000000000001E-4</v>
      </c>
      <c r="V7955" s="25"/>
      <c r="W7955" s="25"/>
      <c r="X7955" s="25"/>
      <c r="Y7955" s="25"/>
      <c r="Z7955" s="25"/>
      <c r="AA7955" s="25"/>
    </row>
    <row r="7956" spans="1:27" x14ac:dyDescent="0.35">
      <c r="A7956" s="5">
        <v>7952</v>
      </c>
      <c r="B7956" s="5">
        <v>332</v>
      </c>
      <c r="C7956" s="5">
        <v>11</v>
      </c>
      <c r="D7956" s="25">
        <v>1.1415000000000001E-4</v>
      </c>
      <c r="E7956" s="25">
        <v>1.1213E-4</v>
      </c>
      <c r="F7956" s="25">
        <v>1.1666E-4</v>
      </c>
      <c r="G7956" s="25">
        <v>1.6033E-4</v>
      </c>
      <c r="H7956" s="25">
        <v>1.9536999999999999E-4</v>
      </c>
      <c r="I7956" s="9">
        <v>1.0286E-4</v>
      </c>
      <c r="J7956" s="9">
        <v>9.7769999999999994E-5</v>
      </c>
      <c r="K7956" s="9">
        <v>2.8611000000000001E-4</v>
      </c>
      <c r="L7956" s="9">
        <v>1.0499E-4</v>
      </c>
      <c r="M7956" s="9">
        <v>8.3739999999999994E-5</v>
      </c>
      <c r="N7956" s="9">
        <v>9.0760000000000005E-5</v>
      </c>
      <c r="O7956" s="9">
        <v>2.2165999999999999E-4</v>
      </c>
      <c r="P7956" s="9">
        <v>1.7781000000000001E-4</v>
      </c>
      <c r="Q7956" s="9">
        <v>1.3736E-4</v>
      </c>
      <c r="R7956" s="10">
        <v>2.1106254232624932E-4</v>
      </c>
      <c r="S7956" s="10">
        <v>1.9029020759484994E-4</v>
      </c>
      <c r="T7956" s="10">
        <v>0</v>
      </c>
      <c r="U7956" s="10">
        <v>1.1230000000000001E-4</v>
      </c>
      <c r="V7956" s="25"/>
      <c r="W7956" s="25"/>
      <c r="X7956" s="25"/>
      <c r="Y7956" s="25"/>
      <c r="Z7956" s="25"/>
      <c r="AA7956" s="25"/>
    </row>
    <row r="7957" spans="1:27" x14ac:dyDescent="0.35">
      <c r="A7957" s="5">
        <v>7953</v>
      </c>
      <c r="B7957" s="5">
        <v>332</v>
      </c>
      <c r="C7957" s="5">
        <v>11</v>
      </c>
      <c r="D7957" s="25">
        <v>1.1416E-4</v>
      </c>
      <c r="E7957" s="25">
        <v>1.0969E-4</v>
      </c>
      <c r="F7957" s="25">
        <v>1.1647E-4</v>
      </c>
      <c r="G7957" s="25">
        <v>1.6306E-4</v>
      </c>
      <c r="H7957" s="25">
        <v>1.9829E-4</v>
      </c>
      <c r="I7957" s="9">
        <v>1.0691E-4</v>
      </c>
      <c r="J7957" s="9">
        <v>1.0378999999999999E-4</v>
      </c>
      <c r="K7957" s="9">
        <v>2.7551000000000002E-4</v>
      </c>
      <c r="L7957" s="9">
        <v>1.942E-4</v>
      </c>
      <c r="M7957" s="9">
        <v>1.2378000000000001E-4</v>
      </c>
      <c r="N7957" s="9">
        <v>1.0469E-4</v>
      </c>
      <c r="O7957" s="9">
        <v>2.1196999999999999E-4</v>
      </c>
      <c r="P7957" s="9">
        <v>1.9286999999999999E-4</v>
      </c>
      <c r="Q7957" s="9">
        <v>1.7662999999999999E-4</v>
      </c>
      <c r="R7957" s="10">
        <v>2.0913601983479368E-4</v>
      </c>
      <c r="S7957" s="10">
        <v>1.9028927797769496E-4</v>
      </c>
      <c r="T7957" s="10">
        <v>8.3604285796304368E-5</v>
      </c>
      <c r="U7957" s="10">
        <v>1.1230000000000001E-4</v>
      </c>
      <c r="V7957" s="25"/>
      <c r="W7957" s="25"/>
      <c r="X7957" s="25"/>
      <c r="Y7957" s="25"/>
      <c r="Z7957" s="25"/>
      <c r="AA7957" s="25"/>
    </row>
    <row r="7958" spans="1:27" x14ac:dyDescent="0.35">
      <c r="A7958" s="5">
        <v>7954</v>
      </c>
      <c r="B7958" s="5">
        <v>332</v>
      </c>
      <c r="C7958" s="5">
        <v>11</v>
      </c>
      <c r="D7958" s="25">
        <v>1.1415000000000001E-4</v>
      </c>
      <c r="E7958" s="25">
        <v>1.1322E-4</v>
      </c>
      <c r="F7958" s="25">
        <v>9.9090000000000002E-5</v>
      </c>
      <c r="G7958" s="25">
        <v>1.5699999999999999E-4</v>
      </c>
      <c r="H7958" s="25">
        <v>1.9416999999999999E-4</v>
      </c>
      <c r="I7958" s="9">
        <v>1.1369E-4</v>
      </c>
      <c r="J7958" s="9">
        <v>1.0986E-4</v>
      </c>
      <c r="K7958" s="9">
        <v>2.5431E-4</v>
      </c>
      <c r="L7958" s="9">
        <v>2.0572E-4</v>
      </c>
      <c r="M7958" s="9">
        <v>1.5881000000000001E-4</v>
      </c>
      <c r="N7958" s="9">
        <v>1.2468000000000001E-4</v>
      </c>
      <c r="O7958" s="9">
        <v>1.6934E-4</v>
      </c>
      <c r="P7958" s="9">
        <v>1.7561000000000001E-4</v>
      </c>
      <c r="Q7958" s="9">
        <v>1.8368E-4</v>
      </c>
      <c r="R7958" s="10">
        <v>2.081913182646101E-4</v>
      </c>
      <c r="S7958" s="10">
        <v>1.902379687236652E-4</v>
      </c>
      <c r="T7958" s="10">
        <v>3.2676430517138887E-4</v>
      </c>
      <c r="U7958" s="10">
        <v>1.1230000000000001E-4</v>
      </c>
      <c r="V7958" s="25"/>
      <c r="W7958" s="25"/>
      <c r="X7958" s="25"/>
      <c r="Y7958" s="25"/>
      <c r="Z7958" s="25"/>
      <c r="AA7958" s="25"/>
    </row>
    <row r="7959" spans="1:27" x14ac:dyDescent="0.35">
      <c r="A7959" s="5">
        <v>7955</v>
      </c>
      <c r="B7959" s="5">
        <v>332</v>
      </c>
      <c r="C7959" s="5">
        <v>11</v>
      </c>
      <c r="D7959" s="25">
        <v>1.1416E-4</v>
      </c>
      <c r="E7959" s="25">
        <v>1.1107000000000001E-4</v>
      </c>
      <c r="F7959" s="25">
        <v>1.058E-4</v>
      </c>
      <c r="G7959" s="25">
        <v>1.6610999999999999E-4</v>
      </c>
      <c r="H7959" s="25">
        <v>1.9331E-4</v>
      </c>
      <c r="I7959" s="9">
        <v>1.184E-4</v>
      </c>
      <c r="J7959" s="9">
        <v>1.1361E-4</v>
      </c>
      <c r="K7959" s="9">
        <v>2.4159999999999999E-4</v>
      </c>
      <c r="L7959" s="9">
        <v>1.7745E-4</v>
      </c>
      <c r="M7959" s="9">
        <v>1.7294000000000001E-4</v>
      </c>
      <c r="N7959" s="9">
        <v>1.4310000000000001E-4</v>
      </c>
      <c r="O7959" s="9">
        <v>1.6798E-4</v>
      </c>
      <c r="P7959" s="9">
        <v>1.7284000000000001E-4</v>
      </c>
      <c r="Q7959" s="9">
        <v>1.7951999999999999E-4</v>
      </c>
      <c r="R7959" s="10">
        <v>2.036589454838378E-4</v>
      </c>
      <c r="S7959" s="10">
        <v>1.9004207785731044E-4</v>
      </c>
      <c r="T7959" s="10">
        <v>4.4743649482846591E-4</v>
      </c>
      <c r="U7959" s="10">
        <v>1.1230000000000001E-4</v>
      </c>
      <c r="V7959" s="25"/>
      <c r="W7959" s="25"/>
      <c r="X7959" s="25"/>
      <c r="Y7959" s="25"/>
      <c r="Z7959" s="25"/>
      <c r="AA7959" s="25"/>
    </row>
    <row r="7960" spans="1:27" x14ac:dyDescent="0.35">
      <c r="A7960" s="5">
        <v>7956</v>
      </c>
      <c r="B7960" s="5">
        <v>332</v>
      </c>
      <c r="C7960" s="5">
        <v>11</v>
      </c>
      <c r="D7960" s="25">
        <v>1.1415000000000001E-4</v>
      </c>
      <c r="E7960" s="25">
        <v>1.1601E-4</v>
      </c>
      <c r="F7960" s="25">
        <v>1.0514E-4</v>
      </c>
      <c r="G7960" s="25">
        <v>1.6515E-4</v>
      </c>
      <c r="H7960" s="25">
        <v>1.9717000000000001E-4</v>
      </c>
      <c r="I7960" s="9">
        <v>1.2171E-4</v>
      </c>
      <c r="J7960" s="9">
        <v>1.1505E-4</v>
      </c>
      <c r="K7960" s="9">
        <v>2.1193000000000001E-4</v>
      </c>
      <c r="L7960" s="9">
        <v>1.7145999999999999E-4</v>
      </c>
      <c r="M7960" s="9">
        <v>1.7534000000000001E-4</v>
      </c>
      <c r="N7960" s="9">
        <v>1.5716999999999999E-4</v>
      </c>
      <c r="O7960" s="9">
        <v>1.7072999999999999E-4</v>
      </c>
      <c r="P7960" s="9">
        <v>1.7148E-4</v>
      </c>
      <c r="Q7960" s="9">
        <v>1.7416E-4</v>
      </c>
      <c r="R7960" s="10">
        <v>1.7868539528829845E-4</v>
      </c>
      <c r="S7960" s="10">
        <v>1.8852637384121878E-4</v>
      </c>
      <c r="T7960" s="10">
        <v>4.2944129590681367E-4</v>
      </c>
      <c r="U7960" s="10">
        <v>1.1230000000000001E-4</v>
      </c>
      <c r="V7960" s="25"/>
      <c r="W7960" s="25"/>
      <c r="X7960" s="25"/>
      <c r="Y7960" s="25"/>
      <c r="Z7960" s="25"/>
      <c r="AA7960" s="25"/>
    </row>
    <row r="7961" spans="1:27" x14ac:dyDescent="0.35">
      <c r="A7961" s="5">
        <v>7957</v>
      </c>
      <c r="B7961" s="5">
        <v>332</v>
      </c>
      <c r="C7961" s="5">
        <v>11</v>
      </c>
      <c r="D7961" s="25">
        <v>1.1416E-4</v>
      </c>
      <c r="E7961" s="25">
        <v>1.1701000000000001E-4</v>
      </c>
      <c r="F7961" s="25">
        <v>1.2068E-4</v>
      </c>
      <c r="G7961" s="25">
        <v>1.5877E-4</v>
      </c>
      <c r="H7961" s="25">
        <v>1.9196E-4</v>
      </c>
      <c r="I7961" s="9">
        <v>1.2291E-4</v>
      </c>
      <c r="J7961" s="9">
        <v>1.1542E-4</v>
      </c>
      <c r="K7961" s="9">
        <v>1.9922000000000001E-4</v>
      </c>
      <c r="L7961" s="9">
        <v>1.7108E-4</v>
      </c>
      <c r="M7961" s="9">
        <v>1.7407999999999999E-4</v>
      </c>
      <c r="N7961" s="9">
        <v>1.6657E-4</v>
      </c>
      <c r="O7961" s="9">
        <v>1.6286999999999999E-4</v>
      </c>
      <c r="P7961" s="9">
        <v>1.6449999999999999E-4</v>
      </c>
      <c r="Q7961" s="9">
        <v>1.6791000000000001E-4</v>
      </c>
      <c r="R7961" s="10">
        <v>1.8803792947354279E-4</v>
      </c>
      <c r="S7961" s="10">
        <v>1.8906858034343189E-4</v>
      </c>
      <c r="T7961" s="10">
        <v>3.4580307291310871E-4</v>
      </c>
      <c r="U7961" s="10">
        <v>1.1230000000000001E-4</v>
      </c>
      <c r="V7961" s="25"/>
      <c r="W7961" s="25"/>
      <c r="X7961" s="25"/>
      <c r="Y7961" s="25"/>
      <c r="Z7961" s="25"/>
      <c r="AA7961" s="25"/>
    </row>
    <row r="7962" spans="1:27" x14ac:dyDescent="0.35">
      <c r="A7962" s="5">
        <v>7958</v>
      </c>
      <c r="B7962" s="5">
        <v>332</v>
      </c>
      <c r="C7962" s="5">
        <v>11</v>
      </c>
      <c r="D7962" s="25">
        <v>1.1415000000000001E-4</v>
      </c>
      <c r="E7962" s="25">
        <v>1.0788E-4</v>
      </c>
      <c r="F7962" s="25">
        <v>1.098E-4</v>
      </c>
      <c r="G7962" s="25">
        <v>1.6581000000000001E-4</v>
      </c>
      <c r="H7962" s="25">
        <v>2.0129999999999999E-4</v>
      </c>
      <c r="I7962" s="9">
        <v>1.1851E-4</v>
      </c>
      <c r="J7962" s="9">
        <v>1.1498E-4</v>
      </c>
      <c r="K7962" s="9">
        <v>2.0133E-4</v>
      </c>
      <c r="L7962" s="9">
        <v>1.6443999999999999E-4</v>
      </c>
      <c r="M7962" s="9">
        <v>1.7026000000000001E-4</v>
      </c>
      <c r="N7962" s="9">
        <v>1.7090000000000001E-4</v>
      </c>
      <c r="O7962" s="9">
        <v>1.7988999999999999E-4</v>
      </c>
      <c r="P7962" s="9">
        <v>1.6959000000000001E-4</v>
      </c>
      <c r="Q7962" s="9">
        <v>1.6153000000000001E-4</v>
      </c>
      <c r="R7962" s="10">
        <v>2.0108207078644235E-4</v>
      </c>
      <c r="S7962" s="10">
        <v>1.8996636447830492E-4</v>
      </c>
      <c r="T7962" s="10">
        <v>3.9849905617684385E-4</v>
      </c>
      <c r="U7962" s="10">
        <v>1.1230000000000001E-4</v>
      </c>
      <c r="V7962" s="25"/>
      <c r="W7962" s="25"/>
      <c r="X7962" s="25"/>
      <c r="Y7962" s="25"/>
      <c r="Z7962" s="25"/>
      <c r="AA7962" s="25"/>
    </row>
    <row r="7963" spans="1:27" x14ac:dyDescent="0.35">
      <c r="A7963" s="5">
        <v>7959</v>
      </c>
      <c r="B7963" s="5">
        <v>332</v>
      </c>
      <c r="C7963" s="5">
        <v>11</v>
      </c>
      <c r="D7963" s="25">
        <v>1.1416E-4</v>
      </c>
      <c r="E7963" s="25">
        <v>1.1404999999999999E-4</v>
      </c>
      <c r="F7963" s="25">
        <v>1.1537E-4</v>
      </c>
      <c r="G7963" s="25">
        <v>1.5919E-4</v>
      </c>
      <c r="H7963" s="25">
        <v>2.0288000000000001E-4</v>
      </c>
      <c r="I7963" s="9">
        <v>1.1396999999999999E-4</v>
      </c>
      <c r="J7963" s="9">
        <v>1.1501E-4</v>
      </c>
      <c r="K7963" s="9">
        <v>2.2041000000000001E-4</v>
      </c>
      <c r="L7963" s="9">
        <v>1.7663999999999999E-4</v>
      </c>
      <c r="M7963" s="9">
        <v>1.6893999999999999E-4</v>
      </c>
      <c r="N7963" s="9">
        <v>1.705E-4</v>
      </c>
      <c r="O7963" s="9">
        <v>1.8615999999999999E-4</v>
      </c>
      <c r="P7963" s="9">
        <v>1.6888E-4</v>
      </c>
      <c r="Q7963" s="9">
        <v>1.5404000000000001E-4</v>
      </c>
      <c r="R7963" s="10">
        <v>2.0171278586794239E-4</v>
      </c>
      <c r="S7963" s="10">
        <v>1.902282083852603E-4</v>
      </c>
      <c r="T7963" s="10">
        <v>7.8929436854375837E-5</v>
      </c>
      <c r="U7963" s="10">
        <v>1.1230000000000001E-4</v>
      </c>
      <c r="V7963" s="25"/>
      <c r="W7963" s="25"/>
      <c r="X7963" s="25"/>
      <c r="Y7963" s="25"/>
      <c r="Z7963" s="25"/>
      <c r="AA7963" s="25"/>
    </row>
    <row r="7964" spans="1:27" x14ac:dyDescent="0.35">
      <c r="A7964" s="5">
        <v>7960</v>
      </c>
      <c r="B7964" s="5">
        <v>332</v>
      </c>
      <c r="C7964" s="5">
        <v>11</v>
      </c>
      <c r="D7964" s="25">
        <v>1.1415000000000001E-4</v>
      </c>
      <c r="E7964" s="25">
        <v>1.0942000000000001E-4</v>
      </c>
      <c r="F7964" s="25">
        <v>1.026E-4</v>
      </c>
      <c r="G7964" s="25">
        <v>1.663E-4</v>
      </c>
      <c r="H7964" s="25">
        <v>2.0023E-4</v>
      </c>
      <c r="I7964" s="9">
        <v>1.1334E-4</v>
      </c>
      <c r="J7964" s="9">
        <v>1.1513E-4</v>
      </c>
      <c r="K7964" s="9">
        <v>2.4583999999999999E-4</v>
      </c>
      <c r="L7964" s="9">
        <v>1.8374E-4</v>
      </c>
      <c r="M7964" s="9">
        <v>1.6867999999999999E-4</v>
      </c>
      <c r="N7964" s="9">
        <v>1.6681000000000001E-4</v>
      </c>
      <c r="O7964" s="9">
        <v>1.9652999999999999E-4</v>
      </c>
      <c r="P7964" s="9">
        <v>1.5114999999999999E-4</v>
      </c>
      <c r="Q7964" s="9">
        <v>1.0882000000000001E-4</v>
      </c>
      <c r="R7964" s="10">
        <v>2.0416091099303984E-4</v>
      </c>
      <c r="S7964" s="10">
        <v>1.9029018548950776E-4</v>
      </c>
      <c r="T7964" s="10">
        <v>0</v>
      </c>
      <c r="U7964" s="10">
        <v>1.1230000000000001E-4</v>
      </c>
      <c r="V7964" s="25"/>
      <c r="W7964" s="25"/>
      <c r="X7964" s="25"/>
      <c r="Y7964" s="25"/>
      <c r="Z7964" s="25"/>
      <c r="AA7964" s="25"/>
    </row>
    <row r="7965" spans="1:27" x14ac:dyDescent="0.35">
      <c r="A7965" s="5">
        <v>7961</v>
      </c>
      <c r="B7965" s="5">
        <v>332</v>
      </c>
      <c r="C7965" s="5">
        <v>11</v>
      </c>
      <c r="D7965" s="25">
        <v>1.1416E-4</v>
      </c>
      <c r="E7965" s="25">
        <v>1.1425999999999999E-4</v>
      </c>
      <c r="F7965" s="25">
        <v>1.0285000000000001E-4</v>
      </c>
      <c r="G7965" s="25">
        <v>1.6176999999999999E-4</v>
      </c>
      <c r="H7965" s="25">
        <v>1.9829E-4</v>
      </c>
      <c r="I7965" s="9">
        <v>1.1671E-4</v>
      </c>
      <c r="J7965" s="9">
        <v>1.1988E-4</v>
      </c>
      <c r="K7965" s="9">
        <v>2.3948E-4</v>
      </c>
      <c r="L7965" s="9">
        <v>1.9347E-4</v>
      </c>
      <c r="M7965" s="9">
        <v>1.6239999999999999E-4</v>
      </c>
      <c r="N7965" s="9">
        <v>1.5279000000000001E-4</v>
      </c>
      <c r="O7965" s="9">
        <v>2.1623000000000001E-4</v>
      </c>
      <c r="P7965" s="9">
        <v>1.6025999999999999E-4</v>
      </c>
      <c r="Q7965" s="9">
        <v>1.078E-4</v>
      </c>
      <c r="R7965" s="10">
        <v>2.090973014510971E-4</v>
      </c>
      <c r="S7965" s="10">
        <v>1.9029020759484994E-4</v>
      </c>
      <c r="T7965" s="10">
        <v>0</v>
      </c>
      <c r="U7965" s="10">
        <v>1.1230000000000001E-4</v>
      </c>
      <c r="V7965" s="25"/>
      <c r="W7965" s="25"/>
      <c r="X7965" s="25"/>
      <c r="Y7965" s="25"/>
      <c r="Z7965" s="25"/>
      <c r="AA7965" s="25"/>
    </row>
    <row r="7966" spans="1:27" x14ac:dyDescent="0.35">
      <c r="A7966" s="5">
        <v>7962</v>
      </c>
      <c r="B7966" s="5">
        <v>332</v>
      </c>
      <c r="C7966" s="5">
        <v>11</v>
      </c>
      <c r="D7966" s="25">
        <v>1.1415000000000001E-4</v>
      </c>
      <c r="E7966" s="25">
        <v>1.092E-4</v>
      </c>
      <c r="F7966" s="25">
        <v>1.1883E-4</v>
      </c>
      <c r="G7966" s="25">
        <v>1.5758999999999999E-4</v>
      </c>
      <c r="H7966" s="25">
        <v>1.9670000000000001E-4</v>
      </c>
      <c r="I7966" s="9">
        <v>1.2584E-4</v>
      </c>
      <c r="J7966" s="9">
        <v>1.3066E-4</v>
      </c>
      <c r="K7966" s="9">
        <v>2.6703000000000002E-4</v>
      </c>
      <c r="L7966" s="9">
        <v>2.1105000000000001E-4</v>
      </c>
      <c r="M7966" s="9">
        <v>1.5987999999999999E-4</v>
      </c>
      <c r="N7966" s="9">
        <v>1.395E-4</v>
      </c>
      <c r="O7966" s="9">
        <v>2.0607000000000001E-4</v>
      </c>
      <c r="P7966" s="9">
        <v>1.6021000000000001E-4</v>
      </c>
      <c r="Q7966" s="9">
        <v>1.1754E-4</v>
      </c>
      <c r="R7966" s="10">
        <v>2.1177309282236016E-4</v>
      </c>
      <c r="S7966" s="10">
        <v>1.9029000798884943E-4</v>
      </c>
      <c r="T7966" s="10">
        <v>0</v>
      </c>
      <c r="U7966" s="10">
        <v>1.1230000000000001E-4</v>
      </c>
      <c r="V7966" s="25"/>
      <c r="W7966" s="25"/>
      <c r="X7966" s="25"/>
      <c r="Y7966" s="25"/>
      <c r="Z7966" s="25"/>
      <c r="AA7966" s="25"/>
    </row>
    <row r="7967" spans="1:27" x14ac:dyDescent="0.35">
      <c r="A7967" s="5">
        <v>7963</v>
      </c>
      <c r="B7967" s="5">
        <v>332</v>
      </c>
      <c r="C7967" s="5">
        <v>11</v>
      </c>
      <c r="D7967" s="25">
        <v>1.1416E-4</v>
      </c>
      <c r="E7967" s="25">
        <v>1.1275E-4</v>
      </c>
      <c r="F7967" s="25">
        <v>1.0161E-4</v>
      </c>
      <c r="G7967" s="25">
        <v>1.0407E-4</v>
      </c>
      <c r="H7967" s="25">
        <v>1.2657E-4</v>
      </c>
      <c r="I7967" s="9">
        <v>1.2894E-4</v>
      </c>
      <c r="J7967" s="9">
        <v>1.2888E-4</v>
      </c>
      <c r="K7967" s="9">
        <v>2.4583999999999999E-4</v>
      </c>
      <c r="L7967" s="9">
        <v>2.0672E-4</v>
      </c>
      <c r="M7967" s="9">
        <v>1.5951999999999999E-4</v>
      </c>
      <c r="N7967" s="9">
        <v>1.303E-4</v>
      </c>
      <c r="O7967" s="9">
        <v>1.6552E-4</v>
      </c>
      <c r="P7967" s="9">
        <v>1.3528999999999999E-4</v>
      </c>
      <c r="Q7967" s="9">
        <v>1.0738000000000001E-4</v>
      </c>
      <c r="R7967" s="10">
        <v>2.1240015127142728E-4</v>
      </c>
      <c r="S7967" s="10">
        <v>1.9024210788027432E-4</v>
      </c>
      <c r="T7967" s="10">
        <v>0</v>
      </c>
      <c r="U7967" s="10">
        <v>1.1230000000000001E-4</v>
      </c>
      <c r="V7967" s="25"/>
      <c r="W7967" s="25"/>
      <c r="X7967" s="25"/>
      <c r="Y7967" s="25"/>
      <c r="Z7967" s="25"/>
      <c r="AA7967" s="25"/>
    </row>
    <row r="7968" spans="1:27" x14ac:dyDescent="0.35">
      <c r="A7968" s="5">
        <v>7964</v>
      </c>
      <c r="B7968" s="5">
        <v>332</v>
      </c>
      <c r="C7968" s="5">
        <v>11</v>
      </c>
      <c r="D7968" s="25">
        <v>1.1415000000000001E-4</v>
      </c>
      <c r="E7968" s="25">
        <v>1.0755999999999999E-4</v>
      </c>
      <c r="F7968" s="25">
        <v>1.2099000000000001E-4</v>
      </c>
      <c r="G7968" s="25">
        <v>1.1134E-4</v>
      </c>
      <c r="H7968" s="25">
        <v>1.2731E-4</v>
      </c>
      <c r="I7968" s="9">
        <v>1.2673E-4</v>
      </c>
      <c r="J7968" s="9">
        <v>1.2579999999999999E-4</v>
      </c>
      <c r="K7968" s="9">
        <v>2.7127E-4</v>
      </c>
      <c r="L7968" s="9">
        <v>1.7475999999999999E-4</v>
      </c>
      <c r="M7968" s="9">
        <v>1.5087999999999999E-4</v>
      </c>
      <c r="N7968" s="9">
        <v>1.2116E-4</v>
      </c>
      <c r="O7968" s="9">
        <v>1.2836E-4</v>
      </c>
      <c r="P7968" s="9">
        <v>1.1396999999999999E-4</v>
      </c>
      <c r="Q7968" s="9">
        <v>1.0111E-4</v>
      </c>
      <c r="R7968" s="10">
        <v>2.1244806847813322E-4</v>
      </c>
      <c r="S7968" s="10">
        <v>1.8982605882856377E-4</v>
      </c>
      <c r="T7968" s="10">
        <v>0</v>
      </c>
      <c r="U7968" s="10">
        <v>1.1230000000000001E-4</v>
      </c>
      <c r="V7968" s="25"/>
      <c r="W7968" s="25"/>
      <c r="X7968" s="25"/>
      <c r="Y7968" s="25"/>
      <c r="Z7968" s="25"/>
      <c r="AA7968" s="25"/>
    </row>
    <row r="7969" spans="1:27" x14ac:dyDescent="0.35">
      <c r="A7969" s="5">
        <v>7965</v>
      </c>
      <c r="B7969" s="5">
        <v>332</v>
      </c>
      <c r="C7969" s="5">
        <v>11</v>
      </c>
      <c r="D7969" s="25">
        <v>1.1416E-4</v>
      </c>
      <c r="E7969" s="25">
        <v>1.1592E-4</v>
      </c>
      <c r="F7969" s="25">
        <v>1.1408000000000001E-4</v>
      </c>
      <c r="G7969" s="25">
        <v>6.1279999999999996E-5</v>
      </c>
      <c r="H7969" s="25">
        <v>6.9989999999999999E-5</v>
      </c>
      <c r="I7969" s="9">
        <v>1.2234E-4</v>
      </c>
      <c r="J7969" s="9">
        <v>1.2180000000000001E-4</v>
      </c>
      <c r="K7969" s="9">
        <v>2.7338999999999998E-4</v>
      </c>
      <c r="L7969" s="9">
        <v>1.3956999999999999E-4</v>
      </c>
      <c r="M7969" s="9">
        <v>1.3516E-4</v>
      </c>
      <c r="N7969" s="9">
        <v>1.132E-4</v>
      </c>
      <c r="O7969" s="9">
        <v>8.4460000000000001E-5</v>
      </c>
      <c r="P7969" s="9">
        <v>8.5859999999999994E-5</v>
      </c>
      <c r="Q7969" s="9">
        <v>8.7839999999999999E-5</v>
      </c>
      <c r="R7969" s="10">
        <v>2.1244936787709023E-4</v>
      </c>
      <c r="S7969" s="10">
        <v>1.890234241295771E-4</v>
      </c>
      <c r="T7969" s="10">
        <v>0</v>
      </c>
      <c r="U7969" s="10">
        <v>1.1230000000000001E-4</v>
      </c>
      <c r="V7969" s="25"/>
      <c r="W7969" s="25"/>
      <c r="X7969" s="25"/>
      <c r="Y7969" s="25"/>
      <c r="Z7969" s="25"/>
      <c r="AA7969" s="25"/>
    </row>
    <row r="7970" spans="1:27" x14ac:dyDescent="0.35">
      <c r="A7970" s="5">
        <v>7966</v>
      </c>
      <c r="B7970" s="5">
        <v>332</v>
      </c>
      <c r="C7970" s="5">
        <v>11</v>
      </c>
      <c r="D7970" s="25">
        <v>1.1415000000000001E-4</v>
      </c>
      <c r="E7970" s="25">
        <v>1.1815E-4</v>
      </c>
      <c r="F7970" s="25">
        <v>1.1338E-4</v>
      </c>
      <c r="G7970" s="25">
        <v>6.2509999999999996E-5</v>
      </c>
      <c r="H7970" s="25">
        <v>6.3730000000000001E-5</v>
      </c>
      <c r="I7970" s="9">
        <v>1.1704E-4</v>
      </c>
      <c r="J7970" s="9">
        <v>1.1607000000000001E-4</v>
      </c>
      <c r="K7970" s="9">
        <v>2.7763000000000001E-4</v>
      </c>
      <c r="L7970" s="9">
        <v>9.7529999999999996E-5</v>
      </c>
      <c r="M7970" s="9">
        <v>1.1336E-4</v>
      </c>
      <c r="N7970" s="9">
        <v>1.0547E-4</v>
      </c>
      <c r="O7970" s="9">
        <v>8.6970000000000002E-5</v>
      </c>
      <c r="P7970" s="9">
        <v>8.6959999999999994E-5</v>
      </c>
      <c r="Q7970" s="9">
        <v>8.7609999999999996E-5</v>
      </c>
      <c r="R7970" s="10">
        <v>2.1244936787709023E-4</v>
      </c>
      <c r="S7970" s="10">
        <v>1.9017396434787412E-4</v>
      </c>
      <c r="T7970" s="10">
        <v>0</v>
      </c>
      <c r="U7970" s="10">
        <v>1.1230000000000001E-4</v>
      </c>
      <c r="V7970" s="25"/>
      <c r="W7970" s="25"/>
      <c r="X7970" s="25"/>
      <c r="Y7970" s="25"/>
      <c r="Z7970" s="25"/>
      <c r="AA7970" s="25"/>
    </row>
    <row r="7971" spans="1:27" x14ac:dyDescent="0.35">
      <c r="A7971" s="5">
        <v>7967</v>
      </c>
      <c r="B7971" s="5">
        <v>332</v>
      </c>
      <c r="C7971" s="5">
        <v>11</v>
      </c>
      <c r="D7971" s="25">
        <v>1.1416E-4</v>
      </c>
      <c r="E7971" s="25">
        <v>1.1124E-4</v>
      </c>
      <c r="F7971" s="25">
        <v>1.1627E-4</v>
      </c>
      <c r="G7971" s="25">
        <v>6.3319999999999997E-5</v>
      </c>
      <c r="H7971" s="25">
        <v>6.4649999999999999E-5</v>
      </c>
      <c r="I7971" s="9">
        <v>1.1728E-4</v>
      </c>
      <c r="J7971" s="9">
        <v>1.0955000000000001E-4</v>
      </c>
      <c r="K7971" s="9">
        <v>2.5642999999999998E-4</v>
      </c>
      <c r="L7971" s="9">
        <v>9.0229999999999995E-5</v>
      </c>
      <c r="M7971" s="9">
        <v>9.8529999999999993E-5</v>
      </c>
      <c r="N7971" s="9">
        <v>9.9489999999999998E-5</v>
      </c>
      <c r="O7971" s="9">
        <v>7.7949999999999997E-5</v>
      </c>
      <c r="P7971" s="9">
        <v>7.2100000000000004E-5</v>
      </c>
      <c r="Q7971" s="9">
        <v>6.6849999999999999E-5</v>
      </c>
      <c r="R7971" s="10">
        <v>2.1244936787709023E-4</v>
      </c>
      <c r="S7971" s="10">
        <v>1.9027687321797952E-4</v>
      </c>
      <c r="T7971" s="10">
        <v>0</v>
      </c>
      <c r="U7971" s="10">
        <v>1.1230000000000001E-4</v>
      </c>
      <c r="V7971" s="25"/>
      <c r="W7971" s="25"/>
      <c r="X7971" s="25"/>
      <c r="Y7971" s="25"/>
      <c r="Z7971" s="25"/>
      <c r="AA7971" s="25"/>
    </row>
    <row r="7972" spans="1:27" x14ac:dyDescent="0.35">
      <c r="A7972" s="5">
        <v>7968</v>
      </c>
      <c r="B7972" s="5">
        <v>332</v>
      </c>
      <c r="C7972" s="5">
        <v>11</v>
      </c>
      <c r="D7972" s="25">
        <v>1.1415000000000001E-4</v>
      </c>
      <c r="E7972" s="25">
        <v>1.1812E-4</v>
      </c>
      <c r="F7972" s="25">
        <v>1.1095E-4</v>
      </c>
      <c r="G7972" s="25">
        <v>5.2549999999999997E-5</v>
      </c>
      <c r="H7972" s="25">
        <v>7.0809999999999995E-5</v>
      </c>
      <c r="I7972" s="9">
        <v>1.1686E-4</v>
      </c>
      <c r="J7972" s="9">
        <v>1.0216E-4</v>
      </c>
      <c r="K7972" s="9">
        <v>2.5856000000000002E-4</v>
      </c>
      <c r="L7972" s="9">
        <v>8.064E-5</v>
      </c>
      <c r="M7972" s="9">
        <v>8.5740000000000002E-5</v>
      </c>
      <c r="N7972" s="9">
        <v>9.0229999999999995E-5</v>
      </c>
      <c r="O7972" s="9">
        <v>6.3150000000000004E-5</v>
      </c>
      <c r="P7972" s="9">
        <v>6.101E-5</v>
      </c>
      <c r="Q7972" s="9">
        <v>5.9190000000000001E-5</v>
      </c>
      <c r="R7972" s="10">
        <v>2.1244936787709023E-4</v>
      </c>
      <c r="S7972" s="10">
        <v>1.9022334324439964E-4</v>
      </c>
      <c r="T7972" s="10">
        <v>0</v>
      </c>
      <c r="U7972" s="10">
        <v>1.1230000000000001E-4</v>
      </c>
      <c r="V7972" s="25"/>
      <c r="W7972" s="25"/>
      <c r="X7972" s="25"/>
      <c r="Y7972" s="25"/>
      <c r="Z7972" s="25"/>
      <c r="AA7972" s="25"/>
    </row>
    <row r="7973" spans="1:27" x14ac:dyDescent="0.35">
      <c r="A7973" s="5">
        <v>7969</v>
      </c>
      <c r="B7973" s="5">
        <v>333</v>
      </c>
      <c r="C7973" s="5">
        <v>11</v>
      </c>
      <c r="D7973" s="25">
        <v>1.1416E-4</v>
      </c>
      <c r="E7973" s="25">
        <v>1.1239E-4</v>
      </c>
      <c r="F7973" s="25">
        <v>1.2465999999999999E-4</v>
      </c>
      <c r="G7973" s="25">
        <v>5.9620000000000002E-5</v>
      </c>
      <c r="H7973" s="25">
        <v>6.6630000000000004E-5</v>
      </c>
      <c r="I7973" s="9">
        <v>1.1009E-4</v>
      </c>
      <c r="J7973" s="9">
        <v>9.7349999999999995E-5</v>
      </c>
      <c r="K7973" s="9">
        <v>2.6279E-4</v>
      </c>
      <c r="L7973" s="9">
        <v>6.6979999999999999E-5</v>
      </c>
      <c r="M7973" s="9">
        <v>7.3919999999999997E-5</v>
      </c>
      <c r="N7973" s="9">
        <v>8.0939999999999994E-5</v>
      </c>
      <c r="O7973" s="9">
        <v>5.4389999999999999E-5</v>
      </c>
      <c r="P7973" s="9">
        <v>5.3810000000000001E-5</v>
      </c>
      <c r="Q7973" s="9">
        <v>5.3380000000000001E-5</v>
      </c>
      <c r="R7973" s="10">
        <v>2.1244936787709023E-4</v>
      </c>
      <c r="S7973" s="10">
        <v>1.9028844496535654E-4</v>
      </c>
      <c r="T7973" s="10">
        <v>0</v>
      </c>
      <c r="U7973" s="10">
        <v>1.149E-4</v>
      </c>
      <c r="V7973" s="25"/>
      <c r="W7973" s="25"/>
      <c r="X7973" s="25"/>
      <c r="Y7973" s="25"/>
      <c r="Z7973" s="25"/>
      <c r="AA7973" s="25"/>
    </row>
    <row r="7974" spans="1:27" x14ac:dyDescent="0.35">
      <c r="A7974" s="5">
        <v>7970</v>
      </c>
      <c r="B7974" s="5">
        <v>333</v>
      </c>
      <c r="C7974" s="5">
        <v>11</v>
      </c>
      <c r="D7974" s="25">
        <v>1.1415000000000001E-4</v>
      </c>
      <c r="E7974" s="25">
        <v>1.1790000000000001E-4</v>
      </c>
      <c r="F7974" s="25">
        <v>1.1796E-4</v>
      </c>
      <c r="G7974" s="25">
        <v>5.2349999999999999E-5</v>
      </c>
      <c r="H7974" s="25">
        <v>7.517E-5</v>
      </c>
      <c r="I7974" s="9">
        <v>1.0508E-4</v>
      </c>
      <c r="J7974" s="9">
        <v>9.4400000000000004E-5</v>
      </c>
      <c r="K7974" s="9">
        <v>2.5856000000000002E-4</v>
      </c>
      <c r="L7974" s="9">
        <v>5.753E-5</v>
      </c>
      <c r="M7974" s="9">
        <v>6.3880000000000005E-5</v>
      </c>
      <c r="N7974" s="9">
        <v>7.1899999999999999E-5</v>
      </c>
      <c r="O7974" s="9">
        <v>1.8680000000000001E-5</v>
      </c>
      <c r="P7974" s="9">
        <v>3.7880000000000003E-5</v>
      </c>
      <c r="Q7974" s="9">
        <v>5.6379999999999999E-5</v>
      </c>
      <c r="R7974" s="10">
        <v>2.1244936787709023E-4</v>
      </c>
      <c r="S7974" s="10">
        <v>1.9028737199542687E-4</v>
      </c>
      <c r="T7974" s="10">
        <v>0</v>
      </c>
      <c r="U7974" s="10">
        <v>1.149E-4</v>
      </c>
      <c r="V7974" s="25"/>
      <c r="W7974" s="25"/>
      <c r="X7974" s="25"/>
      <c r="Y7974" s="25"/>
      <c r="Z7974" s="25"/>
      <c r="AA7974" s="25"/>
    </row>
    <row r="7975" spans="1:27" x14ac:dyDescent="0.35">
      <c r="A7975" s="5">
        <v>7971</v>
      </c>
      <c r="B7975" s="5">
        <v>333</v>
      </c>
      <c r="C7975" s="5">
        <v>11</v>
      </c>
      <c r="D7975" s="25">
        <v>1.1416E-4</v>
      </c>
      <c r="E7975" s="25">
        <v>1.2006999999999999E-4</v>
      </c>
      <c r="F7975" s="25">
        <v>1.1969E-4</v>
      </c>
      <c r="G7975" s="25">
        <v>6.1749999999999997E-5</v>
      </c>
      <c r="H7975" s="25">
        <v>6.9770000000000005E-5</v>
      </c>
      <c r="I7975" s="9">
        <v>1.01E-4</v>
      </c>
      <c r="J7975" s="9">
        <v>9.31E-5</v>
      </c>
      <c r="K7975" s="9">
        <v>2.6490999999999998E-4</v>
      </c>
      <c r="L7975" s="9">
        <v>2.745E-5</v>
      </c>
      <c r="M7975" s="9">
        <v>5.2219999999999998E-5</v>
      </c>
      <c r="N7975" s="9">
        <v>6.5450000000000005E-5</v>
      </c>
      <c r="O7975" s="9">
        <v>1.322E-5</v>
      </c>
      <c r="P7975" s="9">
        <v>3.8109999999999999E-5</v>
      </c>
      <c r="Q7975" s="9">
        <v>6.2119999999999995E-5</v>
      </c>
      <c r="R7975" s="10">
        <v>2.1244936787709023E-4</v>
      </c>
      <c r="S7975" s="10">
        <v>1.9027937567110155E-4</v>
      </c>
      <c r="T7975" s="10">
        <v>0</v>
      </c>
      <c r="U7975" s="10">
        <v>1.149E-4</v>
      </c>
      <c r="V7975" s="25"/>
      <c r="W7975" s="25"/>
      <c r="X7975" s="25"/>
      <c r="Y7975" s="25"/>
      <c r="Z7975" s="25"/>
      <c r="AA7975" s="25"/>
    </row>
    <row r="7976" spans="1:27" x14ac:dyDescent="0.35">
      <c r="A7976" s="5">
        <v>7972</v>
      </c>
      <c r="B7976" s="5">
        <v>333</v>
      </c>
      <c r="C7976" s="5">
        <v>11</v>
      </c>
      <c r="D7976" s="25">
        <v>1.1415000000000001E-4</v>
      </c>
      <c r="E7976" s="25">
        <v>1.1551E-4</v>
      </c>
      <c r="F7976" s="25">
        <v>1.1813E-4</v>
      </c>
      <c r="G7976" s="25">
        <v>6.3390000000000001E-5</v>
      </c>
      <c r="H7976" s="25">
        <v>6.5779999999999997E-5</v>
      </c>
      <c r="I7976" s="9">
        <v>1.0035E-4</v>
      </c>
      <c r="J7976" s="9">
        <v>9.3010000000000006E-5</v>
      </c>
      <c r="K7976" s="9">
        <v>2.8185999999999999E-4</v>
      </c>
      <c r="L7976" s="9">
        <v>1.7099999999999999E-5</v>
      </c>
      <c r="M7976" s="9">
        <v>4.4360000000000002E-5</v>
      </c>
      <c r="N7976" s="9">
        <v>6.2039999999999996E-5</v>
      </c>
      <c r="O7976" s="9">
        <v>1.3169999999999999E-5</v>
      </c>
      <c r="P7976" s="9">
        <v>4.7460000000000003E-5</v>
      </c>
      <c r="Q7976" s="9">
        <v>8.072E-5</v>
      </c>
      <c r="R7976" s="10">
        <v>2.1244929543295739E-4</v>
      </c>
      <c r="S7976" s="10">
        <v>1.9029020517917305E-4</v>
      </c>
      <c r="T7976" s="10">
        <v>0</v>
      </c>
      <c r="U7976" s="10">
        <v>1.149E-4</v>
      </c>
      <c r="V7976" s="25"/>
      <c r="W7976" s="25"/>
      <c r="X7976" s="25"/>
      <c r="Y7976" s="25"/>
      <c r="Z7976" s="25"/>
      <c r="AA7976" s="25"/>
    </row>
    <row r="7977" spans="1:27" x14ac:dyDescent="0.35">
      <c r="A7977" s="5">
        <v>7973</v>
      </c>
      <c r="B7977" s="5">
        <v>333</v>
      </c>
      <c r="C7977" s="5">
        <v>11</v>
      </c>
      <c r="D7977" s="25">
        <v>1.1416E-4</v>
      </c>
      <c r="E7977" s="25">
        <v>1.1148E-4</v>
      </c>
      <c r="F7977" s="25">
        <v>1.2835E-4</v>
      </c>
      <c r="G7977" s="25">
        <v>5.3010000000000002E-5</v>
      </c>
      <c r="H7977" s="25">
        <v>6.6260000000000006E-5</v>
      </c>
      <c r="I7977" s="9">
        <v>1.0195E-4</v>
      </c>
      <c r="J7977" s="9">
        <v>9.4160000000000006E-5</v>
      </c>
      <c r="K7977" s="9">
        <v>2.9033999999999999E-4</v>
      </c>
      <c r="L7977" s="9">
        <v>1.428E-5</v>
      </c>
      <c r="M7977" s="9">
        <v>4.3720000000000002E-5</v>
      </c>
      <c r="N7977" s="9">
        <v>6.4679999999999997E-5</v>
      </c>
      <c r="O7977" s="9">
        <v>1.878E-5</v>
      </c>
      <c r="P7977" s="9">
        <v>5.7129999999999997E-5</v>
      </c>
      <c r="Q7977" s="9">
        <v>9.446E-5</v>
      </c>
      <c r="R7977" s="10">
        <v>2.1244568119459277E-4</v>
      </c>
      <c r="S7977" s="10">
        <v>1.9029020759484994E-4</v>
      </c>
      <c r="T7977" s="10">
        <v>0</v>
      </c>
      <c r="U7977" s="10">
        <v>1.149E-4</v>
      </c>
      <c r="V7977" s="25"/>
      <c r="W7977" s="25"/>
      <c r="X7977" s="25"/>
      <c r="Y7977" s="25"/>
      <c r="Z7977" s="25"/>
      <c r="AA7977" s="25"/>
    </row>
    <row r="7978" spans="1:27" x14ac:dyDescent="0.35">
      <c r="A7978" s="5">
        <v>7974</v>
      </c>
      <c r="B7978" s="5">
        <v>333</v>
      </c>
      <c r="C7978" s="5">
        <v>11</v>
      </c>
      <c r="D7978" s="25">
        <v>1.1415000000000001E-4</v>
      </c>
      <c r="E7978" s="25">
        <v>1.1294E-4</v>
      </c>
      <c r="F7978" s="25">
        <v>1.3076E-4</v>
      </c>
      <c r="G7978" s="25">
        <v>1.1203E-4</v>
      </c>
      <c r="H7978" s="25">
        <v>1.3332E-4</v>
      </c>
      <c r="I7978" s="9">
        <v>1.091E-4</v>
      </c>
      <c r="J7978" s="9">
        <v>9.9099999999999996E-5</v>
      </c>
      <c r="K7978" s="9">
        <v>2.9245999999999997E-4</v>
      </c>
      <c r="L7978" s="9">
        <v>1.766E-5</v>
      </c>
      <c r="M7978" s="9">
        <v>4.8720000000000001E-5</v>
      </c>
      <c r="N7978" s="9">
        <v>7.1400000000000001E-5</v>
      </c>
      <c r="O7978" s="9">
        <v>4.6279999999999997E-5</v>
      </c>
      <c r="P7978" s="9">
        <v>7.6940000000000005E-5</v>
      </c>
      <c r="Q7978" s="9">
        <v>1.0713E-4</v>
      </c>
      <c r="R7978" s="10">
        <v>2.1244563875927016E-4</v>
      </c>
      <c r="S7978" s="10">
        <v>1.9028839803491996E-4</v>
      </c>
      <c r="T7978" s="10">
        <v>0</v>
      </c>
      <c r="U7978" s="10">
        <v>1.149E-4</v>
      </c>
      <c r="V7978" s="25"/>
      <c r="W7978" s="25"/>
      <c r="X7978" s="25"/>
      <c r="Y7978" s="25"/>
      <c r="Z7978" s="25"/>
      <c r="AA7978" s="25"/>
    </row>
    <row r="7979" spans="1:27" x14ac:dyDescent="0.35">
      <c r="A7979" s="5">
        <v>7975</v>
      </c>
      <c r="B7979" s="5">
        <v>333</v>
      </c>
      <c r="C7979" s="5">
        <v>11</v>
      </c>
      <c r="D7979" s="25">
        <v>1.1416E-4</v>
      </c>
      <c r="E7979" s="25">
        <v>1.116E-4</v>
      </c>
      <c r="F7979" s="25">
        <v>1.1463000000000001E-4</v>
      </c>
      <c r="G7979" s="25">
        <v>1.1512E-4</v>
      </c>
      <c r="H7979" s="25">
        <v>1.2578000000000001E-4</v>
      </c>
      <c r="I7979" s="9">
        <v>1.2406E-4</v>
      </c>
      <c r="J7979" s="9">
        <v>1.1233E-4</v>
      </c>
      <c r="K7979" s="9">
        <v>2.8186999999999998E-4</v>
      </c>
      <c r="L7979" s="9">
        <v>3.9839999999999998E-5</v>
      </c>
      <c r="M7979" s="9">
        <v>6.029E-5</v>
      </c>
      <c r="N7979" s="9">
        <v>8.1100000000000006E-5</v>
      </c>
      <c r="O7979" s="9">
        <v>1.2333E-4</v>
      </c>
      <c r="P7979" s="9">
        <v>1.171E-4</v>
      </c>
      <c r="Q7979" s="9">
        <v>1.1217000000000001E-4</v>
      </c>
      <c r="R7979" s="10">
        <v>2.1243980974193928E-4</v>
      </c>
      <c r="S7979" s="10">
        <v>1.9029004736453585E-4</v>
      </c>
      <c r="T7979" s="10">
        <v>0</v>
      </c>
      <c r="U7979" s="10">
        <v>1.149E-4</v>
      </c>
      <c r="V7979" s="25"/>
      <c r="W7979" s="25"/>
      <c r="X7979" s="25"/>
      <c r="Y7979" s="25"/>
      <c r="Z7979" s="25"/>
      <c r="AA7979" s="25"/>
    </row>
    <row r="7980" spans="1:27" x14ac:dyDescent="0.35">
      <c r="A7980" s="5">
        <v>7976</v>
      </c>
      <c r="B7980" s="5">
        <v>333</v>
      </c>
      <c r="C7980" s="5">
        <v>11</v>
      </c>
      <c r="D7980" s="25">
        <v>1.1415000000000001E-4</v>
      </c>
      <c r="E7980" s="25">
        <v>1.1046E-4</v>
      </c>
      <c r="F7980" s="25">
        <v>1.2275E-4</v>
      </c>
      <c r="G7980" s="25">
        <v>1.6631999999999999E-4</v>
      </c>
      <c r="H7980" s="25">
        <v>1.9427999999999999E-4</v>
      </c>
      <c r="I7980" s="9">
        <v>1.3653999999999999E-4</v>
      </c>
      <c r="J7980" s="9">
        <v>1.3233E-4</v>
      </c>
      <c r="K7980" s="9">
        <v>3.0518E-4</v>
      </c>
      <c r="L7980" s="9">
        <v>1.0433999999999999E-4</v>
      </c>
      <c r="M7980" s="9">
        <v>8.3720000000000005E-5</v>
      </c>
      <c r="N7980" s="9">
        <v>9.1069999999999994E-5</v>
      </c>
      <c r="O7980" s="9">
        <v>2.2133999999999999E-4</v>
      </c>
      <c r="P7980" s="9">
        <v>1.7755000000000001E-4</v>
      </c>
      <c r="Q7980" s="9">
        <v>1.3715999999999999E-4</v>
      </c>
      <c r="R7980" s="10">
        <v>2.1242074793499833E-4</v>
      </c>
      <c r="S7980" s="10">
        <v>1.9029020759484994E-4</v>
      </c>
      <c r="T7980" s="10">
        <v>0</v>
      </c>
      <c r="U7980" s="10">
        <v>1.149E-4</v>
      </c>
      <c r="V7980" s="25"/>
      <c r="W7980" s="25"/>
      <c r="X7980" s="25"/>
      <c r="Y7980" s="25"/>
      <c r="Z7980" s="25"/>
      <c r="AA7980" s="25"/>
    </row>
    <row r="7981" spans="1:27" x14ac:dyDescent="0.35">
      <c r="A7981" s="5">
        <v>7977</v>
      </c>
      <c r="B7981" s="5">
        <v>333</v>
      </c>
      <c r="C7981" s="5">
        <v>11</v>
      </c>
      <c r="D7981" s="25">
        <v>1.1416E-4</v>
      </c>
      <c r="E7981" s="25">
        <v>1.1546E-4</v>
      </c>
      <c r="F7981" s="25">
        <v>1.3265E-4</v>
      </c>
      <c r="G7981" s="25">
        <v>1.6483000000000001E-4</v>
      </c>
      <c r="H7981" s="25">
        <v>1.9855E-4</v>
      </c>
      <c r="I7981" s="9">
        <v>1.3771000000000001E-4</v>
      </c>
      <c r="J7981" s="9">
        <v>1.4192E-4</v>
      </c>
      <c r="K7981" s="9">
        <v>3.0306000000000002E-4</v>
      </c>
      <c r="L7981" s="9">
        <v>1.9383000000000001E-4</v>
      </c>
      <c r="M7981" s="9">
        <v>1.2354999999999999E-4</v>
      </c>
      <c r="N7981" s="9">
        <v>1.0484000000000001E-4</v>
      </c>
      <c r="O7981" s="9">
        <v>2.1395E-4</v>
      </c>
      <c r="P7981" s="9">
        <v>1.9467E-4</v>
      </c>
      <c r="Q7981" s="9">
        <v>1.7828000000000001E-4</v>
      </c>
      <c r="R7981" s="10">
        <v>2.1242367302538572E-4</v>
      </c>
      <c r="S7981" s="10">
        <v>1.9029020759484994E-4</v>
      </c>
      <c r="T7981" s="10">
        <v>2.0175663854638906E-5</v>
      </c>
      <c r="U7981" s="10">
        <v>1.149E-4</v>
      </c>
      <c r="V7981" s="25"/>
      <c r="W7981" s="25"/>
      <c r="X7981" s="25"/>
      <c r="Y7981" s="25"/>
      <c r="Z7981" s="25"/>
      <c r="AA7981" s="25"/>
    </row>
    <row r="7982" spans="1:27" x14ac:dyDescent="0.35">
      <c r="A7982" s="5">
        <v>7978</v>
      </c>
      <c r="B7982" s="5">
        <v>333</v>
      </c>
      <c r="C7982" s="5">
        <v>11</v>
      </c>
      <c r="D7982" s="25">
        <v>1.1415000000000001E-4</v>
      </c>
      <c r="E7982" s="25">
        <v>1.1705999999999999E-4</v>
      </c>
      <c r="F7982" s="25">
        <v>1.1537E-4</v>
      </c>
      <c r="G7982" s="25">
        <v>1.6190000000000001E-4</v>
      </c>
      <c r="H7982" s="25">
        <v>1.9885000000000001E-4</v>
      </c>
      <c r="I7982" s="9">
        <v>1.3852999999999999E-4</v>
      </c>
      <c r="J7982" s="9">
        <v>1.4368000000000001E-4</v>
      </c>
      <c r="K7982" s="9">
        <v>2.4795999999999998E-4</v>
      </c>
      <c r="L7982" s="9">
        <v>2.0717000000000001E-4</v>
      </c>
      <c r="M7982" s="9">
        <v>1.5925999999999999E-4</v>
      </c>
      <c r="N7982" s="9">
        <v>1.2507999999999999E-4</v>
      </c>
      <c r="O7982" s="9">
        <v>1.6923E-4</v>
      </c>
      <c r="P7982" s="9">
        <v>1.7548999999999999E-4</v>
      </c>
      <c r="Q7982" s="9">
        <v>1.8356000000000001E-4</v>
      </c>
      <c r="R7982" s="10">
        <v>2.124391209786354E-4</v>
      </c>
      <c r="S7982" s="10">
        <v>1.9029020759484994E-4</v>
      </c>
      <c r="T7982" s="10">
        <v>7.151415922235128E-5</v>
      </c>
      <c r="U7982" s="10">
        <v>1.149E-4</v>
      </c>
      <c r="V7982" s="25"/>
      <c r="W7982" s="25"/>
      <c r="X7982" s="25"/>
      <c r="Y7982" s="25"/>
      <c r="Z7982" s="25"/>
      <c r="AA7982" s="25"/>
    </row>
    <row r="7983" spans="1:27" x14ac:dyDescent="0.35">
      <c r="A7983" s="5">
        <v>7979</v>
      </c>
      <c r="B7983" s="5">
        <v>333</v>
      </c>
      <c r="C7983" s="5">
        <v>11</v>
      </c>
      <c r="D7983" s="25">
        <v>1.1416E-4</v>
      </c>
      <c r="E7983" s="25">
        <v>1.1074E-4</v>
      </c>
      <c r="F7983" s="25">
        <v>1.211E-4</v>
      </c>
      <c r="G7983" s="25">
        <v>1.6012000000000001E-4</v>
      </c>
      <c r="H7983" s="25">
        <v>1.9298000000000001E-4</v>
      </c>
      <c r="I7983" s="9">
        <v>1.3673E-4</v>
      </c>
      <c r="J7983" s="9">
        <v>1.4202E-4</v>
      </c>
      <c r="K7983" s="9">
        <v>2.0557E-4</v>
      </c>
      <c r="L7983" s="9">
        <v>1.7762999999999999E-4</v>
      </c>
      <c r="M7983" s="9">
        <v>1.7340000000000001E-4</v>
      </c>
      <c r="N7983" s="9">
        <v>1.4339999999999999E-4</v>
      </c>
      <c r="O7983" s="9">
        <v>1.6736E-4</v>
      </c>
      <c r="P7983" s="9">
        <v>1.7220000000000001E-4</v>
      </c>
      <c r="Q7983" s="9">
        <v>1.7886000000000001E-4</v>
      </c>
      <c r="R7983" s="10">
        <v>2.1244390915126925E-4</v>
      </c>
      <c r="S7983" s="10">
        <v>1.9029020759484994E-4</v>
      </c>
      <c r="T7983" s="10">
        <v>7.2481369348267532E-5</v>
      </c>
      <c r="U7983" s="10">
        <v>1.149E-4</v>
      </c>
      <c r="V7983" s="25"/>
      <c r="W7983" s="25"/>
      <c r="X7983" s="25"/>
      <c r="Y7983" s="25"/>
      <c r="Z7983" s="25"/>
      <c r="AA7983" s="25"/>
    </row>
    <row r="7984" spans="1:27" x14ac:dyDescent="0.35">
      <c r="A7984" s="5">
        <v>7980</v>
      </c>
      <c r="B7984" s="5">
        <v>333</v>
      </c>
      <c r="C7984" s="5">
        <v>11</v>
      </c>
      <c r="D7984" s="25">
        <v>1.1415000000000001E-4</v>
      </c>
      <c r="E7984" s="25">
        <v>1.1128000000000001E-4</v>
      </c>
      <c r="F7984" s="25">
        <v>1.2176999999999999E-4</v>
      </c>
      <c r="G7984" s="25">
        <v>1.6383000000000001E-4</v>
      </c>
      <c r="H7984" s="25">
        <v>1.9642999999999999E-4</v>
      </c>
      <c r="I7984" s="9">
        <v>1.3582000000000001E-4</v>
      </c>
      <c r="J7984" s="9">
        <v>1.4055E-4</v>
      </c>
      <c r="K7984" s="9">
        <v>2.0133999999999999E-4</v>
      </c>
      <c r="L7984" s="9">
        <v>1.7105000000000001E-4</v>
      </c>
      <c r="M7984" s="9">
        <v>1.7537999999999999E-4</v>
      </c>
      <c r="N7984" s="9">
        <v>1.5724000000000001E-4</v>
      </c>
      <c r="O7984" s="9">
        <v>1.7003E-4</v>
      </c>
      <c r="P7984" s="9">
        <v>1.7077999999999999E-4</v>
      </c>
      <c r="Q7984" s="9">
        <v>1.7343999999999999E-4</v>
      </c>
      <c r="R7984" s="10">
        <v>2.1243564630883785E-4</v>
      </c>
      <c r="S7984" s="10">
        <v>1.9029020759484994E-4</v>
      </c>
      <c r="T7984" s="10">
        <v>2.3136684327838642E-5</v>
      </c>
      <c r="U7984" s="10">
        <v>1.149E-4</v>
      </c>
      <c r="V7984" s="25"/>
      <c r="W7984" s="25"/>
      <c r="X7984" s="25"/>
      <c r="Y7984" s="25"/>
      <c r="Z7984" s="25"/>
      <c r="AA7984" s="25"/>
    </row>
    <row r="7985" spans="1:27" x14ac:dyDescent="0.35">
      <c r="A7985" s="5">
        <v>7981</v>
      </c>
      <c r="B7985" s="5">
        <v>333</v>
      </c>
      <c r="C7985" s="5">
        <v>11</v>
      </c>
      <c r="D7985" s="25">
        <v>1.1416E-4</v>
      </c>
      <c r="E7985" s="25">
        <v>1.2074E-4</v>
      </c>
      <c r="F7985" s="25">
        <v>1.3091000000000001E-4</v>
      </c>
      <c r="G7985" s="25">
        <v>1.5882E-4</v>
      </c>
      <c r="H7985" s="25">
        <v>1.9666E-4</v>
      </c>
      <c r="I7985" s="9">
        <v>1.3239999999999999E-4</v>
      </c>
      <c r="J7985" s="9">
        <v>1.3808000000000001E-4</v>
      </c>
      <c r="K7985" s="9">
        <v>1.9073000000000001E-4</v>
      </c>
      <c r="L7985" s="9">
        <v>1.7047000000000001E-4</v>
      </c>
      <c r="M7985" s="9">
        <v>1.7372000000000001E-4</v>
      </c>
      <c r="N7985" s="9">
        <v>1.6647E-4</v>
      </c>
      <c r="O7985" s="9">
        <v>1.6246000000000001E-4</v>
      </c>
      <c r="P7985" s="9">
        <v>1.6407999999999999E-4</v>
      </c>
      <c r="Q7985" s="9">
        <v>1.6747999999999999E-4</v>
      </c>
      <c r="R7985" s="10">
        <v>2.1244784495322855E-4</v>
      </c>
      <c r="S7985" s="10">
        <v>1.9028998196038717E-4</v>
      </c>
      <c r="T7985" s="10">
        <v>3.9604709366465269E-5</v>
      </c>
      <c r="U7985" s="10">
        <v>1.149E-4</v>
      </c>
      <c r="V7985" s="25"/>
      <c r="W7985" s="25"/>
      <c r="X7985" s="25"/>
      <c r="Y7985" s="25"/>
      <c r="Z7985" s="25"/>
      <c r="AA7985" s="25"/>
    </row>
    <row r="7986" spans="1:27" x14ac:dyDescent="0.35">
      <c r="A7986" s="5">
        <v>7982</v>
      </c>
      <c r="B7986" s="5">
        <v>333</v>
      </c>
      <c r="C7986" s="5">
        <v>11</v>
      </c>
      <c r="D7986" s="25">
        <v>1.1415000000000001E-4</v>
      </c>
      <c r="E7986" s="25">
        <v>1.1559E-4</v>
      </c>
      <c r="F7986" s="25">
        <v>1.1284E-4</v>
      </c>
      <c r="G7986" s="25">
        <v>1.673E-4</v>
      </c>
      <c r="H7986" s="25">
        <v>1.9701000000000001E-4</v>
      </c>
      <c r="I7986" s="9">
        <v>1.3217E-4</v>
      </c>
      <c r="J7986" s="9">
        <v>1.3849000000000001E-4</v>
      </c>
      <c r="K7986" s="9">
        <v>1.9922000000000001E-4</v>
      </c>
      <c r="L7986" s="9">
        <v>1.6398000000000001E-4</v>
      </c>
      <c r="M7986" s="9">
        <v>1.6980000000000001E-4</v>
      </c>
      <c r="N7986" s="9">
        <v>1.7068000000000001E-4</v>
      </c>
      <c r="O7986" s="9">
        <v>1.7897E-4</v>
      </c>
      <c r="P7986" s="9">
        <v>1.6872999999999999E-4</v>
      </c>
      <c r="Q7986" s="9">
        <v>1.6071E-4</v>
      </c>
      <c r="R7986" s="10">
        <v>2.1244919736785188E-4</v>
      </c>
      <c r="S7986" s="10">
        <v>1.9020834445210988E-4</v>
      </c>
      <c r="T7986" s="10">
        <v>4.6926659705638266E-5</v>
      </c>
      <c r="U7986" s="10">
        <v>1.149E-4</v>
      </c>
      <c r="V7986" s="25"/>
      <c r="W7986" s="25"/>
      <c r="X7986" s="25"/>
      <c r="Y7986" s="25"/>
      <c r="Z7986" s="25"/>
      <c r="AA7986" s="25"/>
    </row>
    <row r="7987" spans="1:27" x14ac:dyDescent="0.35">
      <c r="A7987" s="5">
        <v>7983</v>
      </c>
      <c r="B7987" s="5">
        <v>333</v>
      </c>
      <c r="C7987" s="5">
        <v>11</v>
      </c>
      <c r="D7987" s="25">
        <v>1.1416E-4</v>
      </c>
      <c r="E7987" s="25">
        <v>1.1379000000000001E-4</v>
      </c>
      <c r="F7987" s="25">
        <v>1.1302999999999999E-4</v>
      </c>
      <c r="G7987" s="25">
        <v>1.6588E-4</v>
      </c>
      <c r="H7987" s="25">
        <v>1.8752999999999999E-4</v>
      </c>
      <c r="I7987" s="9">
        <v>1.3161999999999999E-4</v>
      </c>
      <c r="J7987" s="9">
        <v>1.3929E-4</v>
      </c>
      <c r="K7987" s="9">
        <v>2.0557E-4</v>
      </c>
      <c r="L7987" s="9">
        <v>1.7582000000000001E-4</v>
      </c>
      <c r="M7987" s="9">
        <v>1.6833000000000001E-4</v>
      </c>
      <c r="N7987" s="9">
        <v>1.7006000000000001E-4</v>
      </c>
      <c r="O7987" s="9">
        <v>1.8458E-4</v>
      </c>
      <c r="P7987" s="9">
        <v>1.6745E-4</v>
      </c>
      <c r="Q7987" s="9">
        <v>1.5274E-4</v>
      </c>
      <c r="R7987" s="10">
        <v>2.1244936787709023E-4</v>
      </c>
      <c r="S7987" s="10">
        <v>1.7812886970288111E-4</v>
      </c>
      <c r="T7987" s="10">
        <v>1.9547825702728357E-5</v>
      </c>
      <c r="U7987" s="10">
        <v>1.149E-4</v>
      </c>
      <c r="V7987" s="25"/>
      <c r="W7987" s="25"/>
      <c r="X7987" s="25"/>
      <c r="Y7987" s="25"/>
      <c r="Z7987" s="25"/>
      <c r="AA7987" s="25"/>
    </row>
    <row r="7988" spans="1:27" x14ac:dyDescent="0.35">
      <c r="A7988" s="5">
        <v>7984</v>
      </c>
      <c r="B7988" s="5">
        <v>333</v>
      </c>
      <c r="C7988" s="5">
        <v>11</v>
      </c>
      <c r="D7988" s="25">
        <v>1.1415000000000001E-4</v>
      </c>
      <c r="E7988" s="25">
        <v>1.0971E-4</v>
      </c>
      <c r="F7988" s="25">
        <v>1.2909999999999999E-4</v>
      </c>
      <c r="G7988" s="25">
        <v>1.6265999999999999E-4</v>
      </c>
      <c r="H7988" s="25">
        <v>1.9430000000000001E-4</v>
      </c>
      <c r="I7988" s="9">
        <v>1.3412E-4</v>
      </c>
      <c r="J7988" s="9">
        <v>1.4140999999999999E-4</v>
      </c>
      <c r="K7988" s="9">
        <v>2.31E-4</v>
      </c>
      <c r="L7988" s="9">
        <v>1.8233999999999999E-4</v>
      </c>
      <c r="M7988" s="9">
        <v>1.6772E-4</v>
      </c>
      <c r="N7988" s="9">
        <v>1.6611999999999999E-4</v>
      </c>
      <c r="O7988" s="9">
        <v>1.9934999999999999E-4</v>
      </c>
      <c r="P7988" s="9">
        <v>1.5332E-4</v>
      </c>
      <c r="Q7988" s="9">
        <v>1.1038E-4</v>
      </c>
      <c r="R7988" s="10">
        <v>2.1244936787709023E-4</v>
      </c>
      <c r="S7988" s="10">
        <v>1.6711858013935922E-4</v>
      </c>
      <c r="T7988" s="10">
        <v>0</v>
      </c>
      <c r="U7988" s="10">
        <v>1.149E-4</v>
      </c>
      <c r="V7988" s="25"/>
      <c r="W7988" s="25"/>
      <c r="X7988" s="25"/>
      <c r="Y7988" s="25"/>
      <c r="Z7988" s="25"/>
      <c r="AA7988" s="25"/>
    </row>
    <row r="7989" spans="1:27" x14ac:dyDescent="0.35">
      <c r="A7989" s="5">
        <v>7985</v>
      </c>
      <c r="B7989" s="5">
        <v>333</v>
      </c>
      <c r="C7989" s="5">
        <v>11</v>
      </c>
      <c r="D7989" s="25">
        <v>1.1416E-4</v>
      </c>
      <c r="E7989" s="25">
        <v>1.0998E-4</v>
      </c>
      <c r="F7989" s="25">
        <v>1.3276E-4</v>
      </c>
      <c r="G7989" s="25">
        <v>1.6744000000000001E-4</v>
      </c>
      <c r="H7989" s="25">
        <v>1.9992999999999999E-4</v>
      </c>
      <c r="I7989" s="9">
        <v>1.3757999999999999E-4</v>
      </c>
      <c r="J7989" s="9">
        <v>1.4615E-4</v>
      </c>
      <c r="K7989" s="9">
        <v>2.5855000000000002E-4</v>
      </c>
      <c r="L7989" s="9">
        <v>1.9536999999999999E-4</v>
      </c>
      <c r="M7989" s="9">
        <v>1.6248E-4</v>
      </c>
      <c r="N7989" s="9">
        <v>1.5252000000000001E-4</v>
      </c>
      <c r="O7989" s="9">
        <v>2.1597000000000001E-4</v>
      </c>
      <c r="P7989" s="9">
        <v>1.6007E-4</v>
      </c>
      <c r="Q7989" s="9">
        <v>1.0767E-4</v>
      </c>
      <c r="R7989" s="10">
        <v>2.1244936787709023E-4</v>
      </c>
      <c r="S7989" s="10">
        <v>1.4997236708659491E-4</v>
      </c>
      <c r="T7989" s="10">
        <v>0</v>
      </c>
      <c r="U7989" s="10">
        <v>1.149E-4</v>
      </c>
      <c r="V7989" s="25"/>
      <c r="W7989" s="25"/>
      <c r="X7989" s="25"/>
      <c r="Y7989" s="25"/>
      <c r="Z7989" s="25"/>
      <c r="AA7989" s="25"/>
    </row>
    <row r="7990" spans="1:27" x14ac:dyDescent="0.35">
      <c r="A7990" s="5">
        <v>7986</v>
      </c>
      <c r="B7990" s="5">
        <v>333</v>
      </c>
      <c r="C7990" s="5">
        <v>11</v>
      </c>
      <c r="D7990" s="25">
        <v>1.1415000000000001E-4</v>
      </c>
      <c r="E7990" s="25">
        <v>1.1938999999999999E-4</v>
      </c>
      <c r="F7990" s="25">
        <v>1.3077E-4</v>
      </c>
      <c r="G7990" s="25">
        <v>1.5872E-4</v>
      </c>
      <c r="H7990" s="25">
        <v>1.8922000000000001E-4</v>
      </c>
      <c r="I7990" s="9">
        <v>1.4783999999999999E-4</v>
      </c>
      <c r="J7990" s="9">
        <v>1.5536E-4</v>
      </c>
      <c r="K7990" s="9">
        <v>2.522E-4</v>
      </c>
      <c r="L7990" s="9">
        <v>2.1117E-4</v>
      </c>
      <c r="M7990" s="9">
        <v>1.6016000000000001E-4</v>
      </c>
      <c r="N7990" s="9">
        <v>1.3930999999999999E-4</v>
      </c>
      <c r="O7990" s="9">
        <v>2.0835E-4</v>
      </c>
      <c r="P7990" s="9">
        <v>1.6197999999999999E-4</v>
      </c>
      <c r="Q7990" s="9">
        <v>1.1883999999999999E-4</v>
      </c>
      <c r="R7990" s="10">
        <v>2.1244936787709023E-4</v>
      </c>
      <c r="S7990" s="10">
        <v>1.0108063728103289E-4</v>
      </c>
      <c r="T7990" s="10">
        <v>0</v>
      </c>
      <c r="U7990" s="10">
        <v>1.149E-4</v>
      </c>
      <c r="V7990" s="25"/>
      <c r="W7990" s="25"/>
      <c r="X7990" s="25"/>
      <c r="Y7990" s="25"/>
      <c r="Z7990" s="25"/>
      <c r="AA7990" s="25"/>
    </row>
    <row r="7991" spans="1:27" x14ac:dyDescent="0.35">
      <c r="A7991" s="5">
        <v>7987</v>
      </c>
      <c r="B7991" s="5">
        <v>333</v>
      </c>
      <c r="C7991" s="5">
        <v>11</v>
      </c>
      <c r="D7991" s="25">
        <v>1.1416E-4</v>
      </c>
      <c r="E7991" s="25">
        <v>1.1914E-4</v>
      </c>
      <c r="F7991" s="25">
        <v>1.2102E-4</v>
      </c>
      <c r="G7991" s="25">
        <v>1.0438999999999999E-4</v>
      </c>
      <c r="H7991" s="25">
        <v>1.3661000000000001E-4</v>
      </c>
      <c r="I7991" s="9">
        <v>1.4842999999999999E-4</v>
      </c>
      <c r="J7991" s="9">
        <v>1.4977999999999999E-4</v>
      </c>
      <c r="K7991" s="9">
        <v>2.6490999999999998E-4</v>
      </c>
      <c r="L7991" s="9">
        <v>2.0856999999999999E-4</v>
      </c>
      <c r="M7991" s="9">
        <v>1.6035999999999999E-4</v>
      </c>
      <c r="N7991" s="9">
        <v>1.3049000000000001E-4</v>
      </c>
      <c r="O7991" s="9">
        <v>1.6440000000000001E-4</v>
      </c>
      <c r="P7991" s="9">
        <v>1.3437E-4</v>
      </c>
      <c r="Q7991" s="9">
        <v>1.0665E-4</v>
      </c>
      <c r="R7991" s="10">
        <v>2.1244936787709023E-4</v>
      </c>
      <c r="S7991" s="10">
        <v>1.1679977056062697E-4</v>
      </c>
      <c r="T7991" s="10">
        <v>0</v>
      </c>
      <c r="U7991" s="10">
        <v>1.149E-4</v>
      </c>
      <c r="V7991" s="25"/>
      <c r="W7991" s="25"/>
      <c r="X7991" s="25"/>
      <c r="Y7991" s="25"/>
      <c r="Z7991" s="25"/>
      <c r="AA7991" s="25"/>
    </row>
    <row r="7992" spans="1:27" x14ac:dyDescent="0.35">
      <c r="A7992" s="5">
        <v>7988</v>
      </c>
      <c r="B7992" s="5">
        <v>333</v>
      </c>
      <c r="C7992" s="5">
        <v>11</v>
      </c>
      <c r="D7992" s="25">
        <v>1.1415000000000001E-4</v>
      </c>
      <c r="E7992" s="25">
        <v>1.12E-4</v>
      </c>
      <c r="F7992" s="25">
        <v>1.295E-4</v>
      </c>
      <c r="G7992" s="25">
        <v>1.0665E-4</v>
      </c>
      <c r="H7992" s="25">
        <v>1.2835E-4</v>
      </c>
      <c r="I7992" s="9">
        <v>1.4245999999999999E-4</v>
      </c>
      <c r="J7992" s="9">
        <v>1.4525000000000001E-4</v>
      </c>
      <c r="K7992" s="9">
        <v>2.6703000000000002E-4</v>
      </c>
      <c r="L7992" s="9">
        <v>1.7427E-4</v>
      </c>
      <c r="M7992" s="9">
        <v>1.5122000000000001E-4</v>
      </c>
      <c r="N7992" s="9">
        <v>1.2127E-4</v>
      </c>
      <c r="O7992" s="9">
        <v>1.2981000000000001E-4</v>
      </c>
      <c r="P7992" s="9">
        <v>1.1527E-4</v>
      </c>
      <c r="Q7992" s="9">
        <v>1.0225000000000001E-4</v>
      </c>
      <c r="R7992" s="10">
        <v>2.1244936787709023E-4</v>
      </c>
      <c r="S7992" s="10">
        <v>1.8406679163728595E-4</v>
      </c>
      <c r="T7992" s="10">
        <v>0</v>
      </c>
      <c r="U7992" s="10">
        <v>1.149E-4</v>
      </c>
      <c r="V7992" s="25"/>
      <c r="W7992" s="25"/>
      <c r="X7992" s="25"/>
      <c r="Y7992" s="25"/>
      <c r="Z7992" s="25"/>
      <c r="AA7992" s="25"/>
    </row>
    <row r="7993" spans="1:27" x14ac:dyDescent="0.35">
      <c r="A7993" s="5">
        <v>7989</v>
      </c>
      <c r="B7993" s="5">
        <v>333</v>
      </c>
      <c r="C7993" s="5">
        <v>11</v>
      </c>
      <c r="D7993" s="25">
        <v>1.1416E-4</v>
      </c>
      <c r="E7993" s="25">
        <v>1.1268999999999999E-4</v>
      </c>
      <c r="F7993" s="25">
        <v>1.2515000000000001E-4</v>
      </c>
      <c r="G7993" s="25">
        <v>5.6020000000000002E-5</v>
      </c>
      <c r="H7993" s="25">
        <v>6.3360000000000003E-5</v>
      </c>
      <c r="I7993" s="9">
        <v>1.3636E-4</v>
      </c>
      <c r="J7993" s="9">
        <v>1.3825E-4</v>
      </c>
      <c r="K7993" s="9">
        <v>2.3735999999999999E-4</v>
      </c>
      <c r="L7993" s="9">
        <v>1.4065E-4</v>
      </c>
      <c r="M7993" s="9">
        <v>1.3569E-4</v>
      </c>
      <c r="N7993" s="9">
        <v>1.136E-4</v>
      </c>
      <c r="O7993" s="9">
        <v>8.5649999999999995E-5</v>
      </c>
      <c r="P7993" s="9">
        <v>8.7059999999999997E-5</v>
      </c>
      <c r="Q7993" s="9">
        <v>8.9079999999999994E-5</v>
      </c>
      <c r="R7993" s="10">
        <v>2.1244936787709023E-4</v>
      </c>
      <c r="S7993" s="10">
        <v>1.8987347817737548E-4</v>
      </c>
      <c r="T7993" s="10">
        <v>0</v>
      </c>
      <c r="U7993" s="10">
        <v>1.149E-4</v>
      </c>
      <c r="V7993" s="25"/>
      <c r="W7993" s="25"/>
      <c r="X7993" s="25"/>
      <c r="Y7993" s="25"/>
      <c r="Z7993" s="25"/>
      <c r="AA7993" s="25"/>
    </row>
    <row r="7994" spans="1:27" x14ac:dyDescent="0.35">
      <c r="A7994" s="5">
        <v>7990</v>
      </c>
      <c r="B7994" s="5">
        <v>333</v>
      </c>
      <c r="C7994" s="5">
        <v>11</v>
      </c>
      <c r="D7994" s="25">
        <v>1.1415000000000001E-4</v>
      </c>
      <c r="E7994" s="25">
        <v>1.1667000000000001E-4</v>
      </c>
      <c r="F7994" s="25">
        <v>1.1148E-4</v>
      </c>
      <c r="G7994" s="25">
        <v>5.3059999999999997E-5</v>
      </c>
      <c r="H7994" s="25">
        <v>6.6370000000000003E-5</v>
      </c>
      <c r="I7994" s="9">
        <v>1.294E-4</v>
      </c>
      <c r="J7994" s="9">
        <v>1.2987E-4</v>
      </c>
      <c r="K7994" s="9">
        <v>2.4583999999999999E-4</v>
      </c>
      <c r="L7994" s="9">
        <v>9.8659999999999994E-5</v>
      </c>
      <c r="M7994" s="9">
        <v>1.142E-4</v>
      </c>
      <c r="N7994" s="9">
        <v>1.0608E-4</v>
      </c>
      <c r="O7994" s="9">
        <v>8.6949999999999999E-5</v>
      </c>
      <c r="P7994" s="9">
        <v>8.6940000000000004E-5</v>
      </c>
      <c r="Q7994" s="9">
        <v>8.7579999999999998E-5</v>
      </c>
      <c r="R7994" s="10">
        <v>2.1244936787709023E-4</v>
      </c>
      <c r="S7994" s="10">
        <v>1.889668382300254E-4</v>
      </c>
      <c r="T7994" s="10">
        <v>0</v>
      </c>
      <c r="U7994" s="10">
        <v>1.149E-4</v>
      </c>
      <c r="V7994" s="25"/>
      <c r="W7994" s="25"/>
      <c r="X7994" s="25"/>
      <c r="Y7994" s="25"/>
      <c r="Z7994" s="25"/>
      <c r="AA7994" s="25"/>
    </row>
    <row r="7995" spans="1:27" x14ac:dyDescent="0.35">
      <c r="A7995" s="5">
        <v>7991</v>
      </c>
      <c r="B7995" s="5">
        <v>333</v>
      </c>
      <c r="C7995" s="5">
        <v>11</v>
      </c>
      <c r="D7995" s="25">
        <v>1.1416E-4</v>
      </c>
      <c r="E7995" s="25">
        <v>1.1489000000000001E-4</v>
      </c>
      <c r="F7995" s="25">
        <v>1.1985E-4</v>
      </c>
      <c r="G7995" s="25">
        <v>5.3329999999999999E-5</v>
      </c>
      <c r="H7995" s="25">
        <v>7.5359999999999997E-5</v>
      </c>
      <c r="I7995" s="9">
        <v>1.2956E-4</v>
      </c>
      <c r="J7995" s="9">
        <v>1.2018E-4</v>
      </c>
      <c r="K7995" s="9">
        <v>2.6915000000000001E-4</v>
      </c>
      <c r="L7995" s="9">
        <v>9.0439999999999995E-5</v>
      </c>
      <c r="M7995" s="9">
        <v>9.9140000000000003E-5</v>
      </c>
      <c r="N7995" s="9">
        <v>1.0003E-4</v>
      </c>
      <c r="O7995" s="9">
        <v>7.8659999999999996E-5</v>
      </c>
      <c r="P7995" s="9">
        <v>7.2760000000000001E-5</v>
      </c>
      <c r="Q7995" s="9">
        <v>6.7459999999999994E-5</v>
      </c>
      <c r="R7995" s="10">
        <v>2.1244936787709023E-4</v>
      </c>
      <c r="S7995" s="10">
        <v>1.8690978020183179E-4</v>
      </c>
      <c r="T7995" s="10">
        <v>0</v>
      </c>
      <c r="U7995" s="10">
        <v>1.149E-4</v>
      </c>
      <c r="V7995" s="25"/>
      <c r="W7995" s="25"/>
      <c r="X7995" s="25"/>
      <c r="Y7995" s="25"/>
      <c r="Z7995" s="25"/>
      <c r="AA7995" s="25"/>
    </row>
    <row r="7996" spans="1:27" x14ac:dyDescent="0.35">
      <c r="A7996" s="5">
        <v>7992</v>
      </c>
      <c r="B7996" s="5">
        <v>333</v>
      </c>
      <c r="C7996" s="5">
        <v>11</v>
      </c>
      <c r="D7996" s="25">
        <v>1.1415000000000001E-4</v>
      </c>
      <c r="E7996" s="25">
        <v>1.1539E-4</v>
      </c>
      <c r="F7996" s="25">
        <v>1.2449E-4</v>
      </c>
      <c r="G7996" s="25">
        <v>6.1959999999999996E-5</v>
      </c>
      <c r="H7996" s="25">
        <v>7.1080000000000004E-5</v>
      </c>
      <c r="I7996" s="9">
        <v>1.295E-4</v>
      </c>
      <c r="J7996" s="9">
        <v>1.1152E-4</v>
      </c>
      <c r="K7996" s="9">
        <v>2.6915000000000001E-4</v>
      </c>
      <c r="L7996" s="9">
        <v>8.1279999999999994E-5</v>
      </c>
      <c r="M7996" s="9">
        <v>8.6299999999999997E-5</v>
      </c>
      <c r="N7996" s="9">
        <v>9.0779999999999995E-5</v>
      </c>
      <c r="O7996" s="9">
        <v>6.2710000000000001E-5</v>
      </c>
      <c r="P7996" s="9">
        <v>6.0590000000000001E-5</v>
      </c>
      <c r="Q7996" s="9">
        <v>5.8770000000000001E-5</v>
      </c>
      <c r="R7996" s="10">
        <v>2.1244936787709023E-4</v>
      </c>
      <c r="S7996" s="10">
        <v>1.867048722055311E-4</v>
      </c>
      <c r="T7996" s="10">
        <v>0</v>
      </c>
      <c r="U7996" s="10">
        <v>1.149E-4</v>
      </c>
      <c r="V7996" s="25"/>
      <c r="W7996" s="25"/>
      <c r="X7996" s="25"/>
      <c r="Y7996" s="25"/>
      <c r="Z7996" s="25"/>
      <c r="AA7996" s="25"/>
    </row>
    <row r="7997" spans="1:27" x14ac:dyDescent="0.35">
      <c r="A7997" s="5">
        <v>7993</v>
      </c>
      <c r="B7997" s="5">
        <v>334</v>
      </c>
      <c r="C7997" s="5">
        <v>11</v>
      </c>
      <c r="D7997" s="25">
        <v>1.1416E-4</v>
      </c>
      <c r="E7997" s="25">
        <v>1.1474E-4</v>
      </c>
      <c r="F7997" s="25">
        <v>1.2066999999999999E-4</v>
      </c>
      <c r="G7997" s="25">
        <v>6.3260000000000001E-5</v>
      </c>
      <c r="H7997" s="25">
        <v>6.9330000000000002E-5</v>
      </c>
      <c r="I7997" s="9">
        <v>1.2320000000000001E-4</v>
      </c>
      <c r="J7997" s="9">
        <v>1.0505000000000001E-4</v>
      </c>
      <c r="K7997" s="9">
        <v>2.7127E-4</v>
      </c>
      <c r="L7997" s="9">
        <v>6.6769999999999999E-5</v>
      </c>
      <c r="M7997" s="9">
        <v>7.4109999999999993E-5</v>
      </c>
      <c r="N7997" s="9">
        <v>8.1299999999999997E-5</v>
      </c>
      <c r="O7997" s="9">
        <v>5.4049999999999999E-5</v>
      </c>
      <c r="P7997" s="9">
        <v>5.3470000000000001E-5</v>
      </c>
      <c r="Q7997" s="9">
        <v>5.3050000000000002E-5</v>
      </c>
      <c r="R7997" s="10">
        <v>2.1244936787709023E-4</v>
      </c>
      <c r="S7997" s="10">
        <v>1.86728316499672E-4</v>
      </c>
      <c r="T7997" s="10">
        <v>0</v>
      </c>
      <c r="U7997" s="10">
        <v>1.2401E-4</v>
      </c>
      <c r="V7997" s="25"/>
      <c r="W7997" s="25"/>
      <c r="X7997" s="25"/>
      <c r="Y7997" s="25"/>
      <c r="Z7997" s="25"/>
      <c r="AA7997" s="25"/>
    </row>
    <row r="7998" spans="1:27" x14ac:dyDescent="0.35">
      <c r="A7998" s="5">
        <v>7994</v>
      </c>
      <c r="B7998" s="5">
        <v>334</v>
      </c>
      <c r="C7998" s="5">
        <v>11</v>
      </c>
      <c r="D7998" s="25">
        <v>1.1415000000000001E-4</v>
      </c>
      <c r="E7998" s="25">
        <v>1.1551E-4</v>
      </c>
      <c r="F7998" s="25">
        <v>1.1414E-4</v>
      </c>
      <c r="G7998" s="25">
        <v>5.6629999999999998E-5</v>
      </c>
      <c r="H7998" s="25">
        <v>7.1849999999999998E-5</v>
      </c>
      <c r="I7998" s="9">
        <v>1.1718E-4</v>
      </c>
      <c r="J7998" s="9">
        <v>1.0058E-4</v>
      </c>
      <c r="K7998" s="9">
        <v>2.6279E-4</v>
      </c>
      <c r="L7998" s="9">
        <v>5.7240000000000001E-5</v>
      </c>
      <c r="M7998" s="9">
        <v>6.3789999999999997E-5</v>
      </c>
      <c r="N7998" s="9">
        <v>7.2059999999999998E-5</v>
      </c>
      <c r="O7998" s="9">
        <v>1.8600000000000001E-5</v>
      </c>
      <c r="P7998" s="9">
        <v>3.7719999999999998E-5</v>
      </c>
      <c r="Q7998" s="9">
        <v>5.613E-5</v>
      </c>
      <c r="R7998" s="10">
        <v>2.1244936787709023E-4</v>
      </c>
      <c r="S7998" s="10">
        <v>1.8858993194215303E-4</v>
      </c>
      <c r="T7998" s="10">
        <v>0</v>
      </c>
      <c r="U7998" s="10">
        <v>1.2401E-4</v>
      </c>
      <c r="V7998" s="25"/>
      <c r="W7998" s="25"/>
      <c r="X7998" s="25"/>
      <c r="Y7998" s="25"/>
      <c r="Z7998" s="25"/>
      <c r="AA7998" s="25"/>
    </row>
    <row r="7999" spans="1:27" x14ac:dyDescent="0.35">
      <c r="A7999" s="5">
        <v>7995</v>
      </c>
      <c r="B7999" s="5">
        <v>334</v>
      </c>
      <c r="C7999" s="5">
        <v>11</v>
      </c>
      <c r="D7999" s="25">
        <v>1.1416E-4</v>
      </c>
      <c r="E7999" s="25">
        <v>1.1226999999999999E-4</v>
      </c>
      <c r="F7999" s="25">
        <v>1.1767E-4</v>
      </c>
      <c r="G7999" s="25">
        <v>5.2809999999999998E-5</v>
      </c>
      <c r="H7999" s="25">
        <v>6.8170000000000006E-5</v>
      </c>
      <c r="I7999" s="9">
        <v>1.1345000000000001E-4</v>
      </c>
      <c r="J7999" s="9">
        <v>9.8170000000000004E-5</v>
      </c>
      <c r="K7999" s="9">
        <v>2.7975E-4</v>
      </c>
      <c r="L7999" s="9">
        <v>2.7330000000000001E-5</v>
      </c>
      <c r="M7999" s="9">
        <v>5.2030000000000002E-5</v>
      </c>
      <c r="N7999" s="9">
        <v>6.5439999999999997E-5</v>
      </c>
      <c r="O7999" s="9">
        <v>1.308E-5</v>
      </c>
      <c r="P7999" s="9">
        <v>3.7700000000000002E-5</v>
      </c>
      <c r="Q7999" s="9">
        <v>6.1450000000000003E-5</v>
      </c>
      <c r="R7999" s="10">
        <v>2.1244936787709023E-4</v>
      </c>
      <c r="S7999" s="10">
        <v>1.8891692584571088E-4</v>
      </c>
      <c r="T7999" s="10">
        <v>0</v>
      </c>
      <c r="U7999" s="10">
        <v>1.2401E-4</v>
      </c>
      <c r="V7999" s="25"/>
      <c r="W7999" s="25"/>
      <c r="X7999" s="25"/>
      <c r="Y7999" s="25"/>
      <c r="Z7999" s="25"/>
      <c r="AA7999" s="25"/>
    </row>
    <row r="8000" spans="1:27" x14ac:dyDescent="0.35">
      <c r="A8000" s="5">
        <v>7996</v>
      </c>
      <c r="B8000" s="5">
        <v>334</v>
      </c>
      <c r="C8000" s="5">
        <v>11</v>
      </c>
      <c r="D8000" s="25">
        <v>1.1415000000000001E-4</v>
      </c>
      <c r="E8000" s="25">
        <v>1.1474E-4</v>
      </c>
      <c r="F8000" s="25">
        <v>1.1909E-4</v>
      </c>
      <c r="G8000" s="25">
        <v>6.0139999999999997E-5</v>
      </c>
      <c r="H8000" s="25">
        <v>7.2379999999999995E-5</v>
      </c>
      <c r="I8000" s="9">
        <v>1.1187E-4</v>
      </c>
      <c r="J8000" s="9">
        <v>9.7720000000000006E-5</v>
      </c>
      <c r="K8000" s="9">
        <v>3.0306000000000002E-4</v>
      </c>
      <c r="L8000" s="9">
        <v>1.6949999999999999E-5</v>
      </c>
      <c r="M8000" s="9">
        <v>4.4079999999999998E-5</v>
      </c>
      <c r="N8000" s="9">
        <v>6.1840000000000004E-5</v>
      </c>
      <c r="O8000" s="9">
        <v>1.2979999999999999E-5</v>
      </c>
      <c r="P8000" s="9">
        <v>4.676E-5</v>
      </c>
      <c r="Q8000" s="9">
        <v>7.9519999999999998E-5</v>
      </c>
      <c r="R8000" s="10">
        <v>2.1244849136582575E-4</v>
      </c>
      <c r="S8000" s="10">
        <v>1.8958256000402491E-4</v>
      </c>
      <c r="T8000" s="10">
        <v>0</v>
      </c>
      <c r="U8000" s="10">
        <v>1.2401E-4</v>
      </c>
      <c r="V8000" s="25"/>
      <c r="W8000" s="25"/>
      <c r="X8000" s="25"/>
      <c r="Y8000" s="25"/>
      <c r="Z8000" s="25"/>
      <c r="AA8000" s="25"/>
    </row>
    <row r="8001" spans="1:27" x14ac:dyDescent="0.35">
      <c r="A8001" s="5">
        <v>7997</v>
      </c>
      <c r="B8001" s="5">
        <v>334</v>
      </c>
      <c r="C8001" s="5">
        <v>11</v>
      </c>
      <c r="D8001" s="25">
        <v>1.1416E-4</v>
      </c>
      <c r="E8001" s="25">
        <v>1.0817E-4</v>
      </c>
      <c r="F8001" s="25">
        <v>1.1760999999999999E-4</v>
      </c>
      <c r="G8001" s="25">
        <v>5.592E-5</v>
      </c>
      <c r="H8001" s="25">
        <v>7.5850000000000001E-5</v>
      </c>
      <c r="I8001" s="9">
        <v>1.1294999999999999E-4</v>
      </c>
      <c r="J8001" s="9">
        <v>9.8830000000000001E-5</v>
      </c>
      <c r="K8001" s="9">
        <v>3.0518E-4</v>
      </c>
      <c r="L8001" s="9">
        <v>1.4090000000000001E-5</v>
      </c>
      <c r="M8001" s="9">
        <v>4.3260000000000003E-5</v>
      </c>
      <c r="N8001" s="9">
        <v>6.4170000000000004E-5</v>
      </c>
      <c r="O8001" s="9">
        <v>1.863E-5</v>
      </c>
      <c r="P8001" s="9">
        <v>5.6650000000000001E-5</v>
      </c>
      <c r="Q8001" s="9">
        <v>9.3670000000000003E-5</v>
      </c>
      <c r="R8001" s="10">
        <v>2.1243356881575157E-4</v>
      </c>
      <c r="S8001" s="10">
        <v>1.900005544258491E-4</v>
      </c>
      <c r="T8001" s="10">
        <v>0</v>
      </c>
      <c r="U8001" s="10">
        <v>1.2401E-4</v>
      </c>
      <c r="V8001" s="25"/>
      <c r="W8001" s="25"/>
      <c r="X8001" s="25"/>
      <c r="Y8001" s="25"/>
      <c r="Z8001" s="25"/>
      <c r="AA8001" s="25"/>
    </row>
    <row r="8002" spans="1:27" x14ac:dyDescent="0.35">
      <c r="A8002" s="5">
        <v>7998</v>
      </c>
      <c r="B8002" s="5">
        <v>334</v>
      </c>
      <c r="C8002" s="5">
        <v>11</v>
      </c>
      <c r="D8002" s="25">
        <v>1.1415000000000001E-4</v>
      </c>
      <c r="E8002" s="25">
        <v>1.1326E-4</v>
      </c>
      <c r="F8002" s="25">
        <v>1.0252E-4</v>
      </c>
      <c r="G8002" s="25">
        <v>1.1281E-4</v>
      </c>
      <c r="H8002" s="25">
        <v>1.3258000000000001E-4</v>
      </c>
      <c r="I8002" s="9">
        <v>1.1874E-4</v>
      </c>
      <c r="J8002" s="9">
        <v>1.0318E-4</v>
      </c>
      <c r="K8002" s="9">
        <v>2.9245999999999997E-4</v>
      </c>
      <c r="L8002" s="9">
        <v>1.7499999999999998E-5</v>
      </c>
      <c r="M8002" s="9">
        <v>4.8210000000000001E-5</v>
      </c>
      <c r="N8002" s="9">
        <v>7.0759999999999993E-5</v>
      </c>
      <c r="O8002" s="9">
        <v>4.6650000000000002E-5</v>
      </c>
      <c r="P8002" s="9">
        <v>7.7550000000000001E-5</v>
      </c>
      <c r="Q8002" s="9">
        <v>1.0799E-4</v>
      </c>
      <c r="R8002" s="10">
        <v>2.1243127923699153E-4</v>
      </c>
      <c r="S8002" s="10">
        <v>1.8993793622416424E-4</v>
      </c>
      <c r="T8002" s="10">
        <v>0</v>
      </c>
      <c r="U8002" s="10">
        <v>1.2401E-4</v>
      </c>
      <c r="V8002" s="25"/>
      <c r="W8002" s="25"/>
      <c r="X8002" s="25"/>
      <c r="Y8002" s="25"/>
      <c r="Z8002" s="25"/>
      <c r="AA8002" s="25"/>
    </row>
    <row r="8003" spans="1:27" x14ac:dyDescent="0.35">
      <c r="A8003" s="5">
        <v>7999</v>
      </c>
      <c r="B8003" s="5">
        <v>334</v>
      </c>
      <c r="C8003" s="5">
        <v>11</v>
      </c>
      <c r="D8003" s="25">
        <v>1.1416E-4</v>
      </c>
      <c r="E8003" s="25">
        <v>1.1499E-4</v>
      </c>
      <c r="F8003" s="25">
        <v>1.2199E-4</v>
      </c>
      <c r="G8003" s="25">
        <v>1.0454999999999999E-4</v>
      </c>
      <c r="H8003" s="25">
        <v>1.3569999999999999E-4</v>
      </c>
      <c r="I8003" s="9">
        <v>1.3155999999999999E-4</v>
      </c>
      <c r="J8003" s="9">
        <v>1.1637999999999999E-4</v>
      </c>
      <c r="K8003" s="9">
        <v>2.7127E-4</v>
      </c>
      <c r="L8003" s="9">
        <v>4.0089999999999997E-5</v>
      </c>
      <c r="M8003" s="9">
        <v>6.0180000000000003E-5</v>
      </c>
      <c r="N8003" s="9">
        <v>8.0729999999999994E-5</v>
      </c>
      <c r="O8003" s="9">
        <v>1.2244E-4</v>
      </c>
      <c r="P8003" s="9">
        <v>1.1625000000000001E-4</v>
      </c>
      <c r="Q8003" s="9">
        <v>1.1136E-4</v>
      </c>
      <c r="R8003" s="10">
        <v>2.1235441095758778E-4</v>
      </c>
      <c r="S8003" s="10">
        <v>1.9016112320320556E-4</v>
      </c>
      <c r="T8003" s="10">
        <v>0</v>
      </c>
      <c r="U8003" s="10">
        <v>1.2401E-4</v>
      </c>
      <c r="V8003" s="25"/>
      <c r="W8003" s="25"/>
      <c r="X8003" s="25"/>
      <c r="Y8003" s="25"/>
      <c r="Z8003" s="25"/>
      <c r="AA8003" s="25"/>
    </row>
    <row r="8004" spans="1:27" x14ac:dyDescent="0.35">
      <c r="A8004" s="5">
        <v>8000</v>
      </c>
      <c r="B8004" s="5">
        <v>334</v>
      </c>
      <c r="C8004" s="5">
        <v>11</v>
      </c>
      <c r="D8004" s="25">
        <v>1.1415000000000001E-4</v>
      </c>
      <c r="E8004" s="25">
        <v>1.1294E-4</v>
      </c>
      <c r="F8004" s="25">
        <v>1.1349E-4</v>
      </c>
      <c r="G8004" s="25">
        <v>1.5687000000000001E-4</v>
      </c>
      <c r="H8004" s="25">
        <v>2.0066999999999999E-4</v>
      </c>
      <c r="I8004" s="9">
        <v>1.4386999999999999E-4</v>
      </c>
      <c r="J8004" s="9">
        <v>1.3569E-4</v>
      </c>
      <c r="K8004" s="9">
        <v>2.6703000000000002E-4</v>
      </c>
      <c r="L8004" s="9">
        <v>1.0369000000000001E-4</v>
      </c>
      <c r="M8004" s="9">
        <v>8.3449999999999996E-5</v>
      </c>
      <c r="N8004" s="9">
        <v>9.0619999999999996E-5</v>
      </c>
      <c r="O8004" s="9">
        <v>2.1931000000000001E-4</v>
      </c>
      <c r="P8004" s="9">
        <v>1.7592000000000001E-4</v>
      </c>
      <c r="Q8004" s="9">
        <v>1.359E-4</v>
      </c>
      <c r="R8004" s="10">
        <v>2.1129765910959957E-4</v>
      </c>
      <c r="S8004" s="10">
        <v>1.8948320717605E-4</v>
      </c>
      <c r="T8004" s="10">
        <v>0</v>
      </c>
      <c r="U8004" s="10">
        <v>1.2401E-4</v>
      </c>
      <c r="V8004" s="25"/>
      <c r="W8004" s="25"/>
      <c r="X8004" s="25"/>
      <c r="Y8004" s="25"/>
      <c r="Z8004" s="25"/>
      <c r="AA8004" s="25"/>
    </row>
    <row r="8005" spans="1:27" x14ac:dyDescent="0.35">
      <c r="A8005" s="5">
        <v>8001</v>
      </c>
      <c r="B8005" s="5">
        <v>334</v>
      </c>
      <c r="C8005" s="5">
        <v>11</v>
      </c>
      <c r="D8005" s="25">
        <v>1.1416E-4</v>
      </c>
      <c r="E8005" s="25">
        <v>1.1477E-4</v>
      </c>
      <c r="F8005" s="25">
        <v>1.0937E-4</v>
      </c>
      <c r="G8005" s="25">
        <v>1.6118E-4</v>
      </c>
      <c r="H8005" s="25">
        <v>1.8872999999999999E-4</v>
      </c>
      <c r="I8005" s="9">
        <v>1.459E-4</v>
      </c>
      <c r="J8005" s="9">
        <v>1.4484E-4</v>
      </c>
      <c r="K8005" s="9">
        <v>2.6490999999999998E-4</v>
      </c>
      <c r="L8005" s="9">
        <v>1.9212999999999999E-4</v>
      </c>
      <c r="M8005" s="9">
        <v>1.2274000000000001E-4</v>
      </c>
      <c r="N8005" s="9">
        <v>1.0423E-4</v>
      </c>
      <c r="O8005" s="9">
        <v>2.1262000000000001E-4</v>
      </c>
      <c r="P8005" s="9">
        <v>1.9346000000000001E-4</v>
      </c>
      <c r="Q8005" s="9">
        <v>1.7717000000000001E-4</v>
      </c>
      <c r="R8005" s="10">
        <v>2.0582628773089837E-4</v>
      </c>
      <c r="S8005" s="10">
        <v>1.87376336157066E-4</v>
      </c>
      <c r="T8005" s="10">
        <v>1.9844776179983349E-5</v>
      </c>
      <c r="U8005" s="10">
        <v>1.2401E-4</v>
      </c>
      <c r="V8005" s="25"/>
      <c r="W8005" s="25"/>
      <c r="X8005" s="25"/>
      <c r="Y8005" s="25"/>
      <c r="Z8005" s="25"/>
      <c r="AA8005" s="25"/>
    </row>
    <row r="8006" spans="1:27" x14ac:dyDescent="0.35">
      <c r="A8006" s="5">
        <v>8002</v>
      </c>
      <c r="B8006" s="5">
        <v>334</v>
      </c>
      <c r="C8006" s="5">
        <v>11</v>
      </c>
      <c r="D8006" s="25">
        <v>1.1415000000000001E-4</v>
      </c>
      <c r="E8006" s="25">
        <v>1.0785000000000001E-4</v>
      </c>
      <c r="F8006" s="25">
        <v>1.0577999999999999E-4</v>
      </c>
      <c r="G8006" s="25">
        <v>1.6096E-4</v>
      </c>
      <c r="H8006" s="25">
        <v>2.0230000000000001E-4</v>
      </c>
      <c r="I8006" s="9">
        <v>1.4414000000000001E-4</v>
      </c>
      <c r="J8006" s="9">
        <v>1.4683E-4</v>
      </c>
      <c r="K8006" s="9">
        <v>2.4372E-4</v>
      </c>
      <c r="L8006" s="9">
        <v>2.0578999999999999E-4</v>
      </c>
      <c r="M8006" s="9">
        <v>1.5815999999999999E-4</v>
      </c>
      <c r="N8006" s="9">
        <v>1.2437E-4</v>
      </c>
      <c r="O8006" s="9">
        <v>1.6845E-4</v>
      </c>
      <c r="P8006" s="9">
        <v>1.7468E-4</v>
      </c>
      <c r="Q8006" s="9">
        <v>1.8270999999999999E-4</v>
      </c>
      <c r="R8006" s="10">
        <v>1.9542548250899811E-4</v>
      </c>
      <c r="S8006" s="10">
        <v>1.8300554963852832E-4</v>
      </c>
      <c r="T8006" s="10">
        <v>6.6550844102517895E-5</v>
      </c>
      <c r="U8006" s="10">
        <v>1.2401E-4</v>
      </c>
      <c r="V8006" s="25"/>
      <c r="W8006" s="25"/>
      <c r="X8006" s="25"/>
      <c r="Y8006" s="25"/>
      <c r="Z8006" s="25"/>
      <c r="AA8006" s="25"/>
    </row>
    <row r="8007" spans="1:27" x14ac:dyDescent="0.35">
      <c r="A8007" s="5">
        <v>8003</v>
      </c>
      <c r="B8007" s="5">
        <v>334</v>
      </c>
      <c r="C8007" s="5">
        <v>11</v>
      </c>
      <c r="D8007" s="25">
        <v>1.1416E-4</v>
      </c>
      <c r="E8007" s="25">
        <v>1.0974E-4</v>
      </c>
      <c r="F8007" s="25">
        <v>1.0349999999999999E-4</v>
      </c>
      <c r="G8007" s="25">
        <v>1.6498000000000001E-4</v>
      </c>
      <c r="H8007" s="25">
        <v>1.8872E-4</v>
      </c>
      <c r="I8007" s="9">
        <v>1.4182999999999999E-4</v>
      </c>
      <c r="J8007" s="9">
        <v>1.4563E-4</v>
      </c>
      <c r="K8007" s="9">
        <v>2.3311999999999999E-4</v>
      </c>
      <c r="L8007" s="9">
        <v>1.7670000000000001E-4</v>
      </c>
      <c r="M8007" s="9">
        <v>1.7233999999999999E-4</v>
      </c>
      <c r="N8007" s="9">
        <v>1.4262000000000001E-4</v>
      </c>
      <c r="O8007" s="9">
        <v>1.6652999999999999E-4</v>
      </c>
      <c r="P8007" s="9">
        <v>1.7134999999999999E-4</v>
      </c>
      <c r="Q8007" s="9">
        <v>1.7797000000000001E-4</v>
      </c>
      <c r="R8007" s="10">
        <v>1.8499715965891167E-4</v>
      </c>
      <c r="S8007" s="10">
        <v>1.8126480089720887E-4</v>
      </c>
      <c r="T8007" s="10">
        <v>1.1896684548769838E-4</v>
      </c>
      <c r="U8007" s="10">
        <v>1.2401E-4</v>
      </c>
      <c r="V8007" s="25"/>
      <c r="W8007" s="25"/>
      <c r="X8007" s="25"/>
      <c r="Y8007" s="25"/>
      <c r="Z8007" s="25"/>
      <c r="AA8007" s="25"/>
    </row>
    <row r="8008" spans="1:27" x14ac:dyDescent="0.35">
      <c r="A8008" s="5">
        <v>8004</v>
      </c>
      <c r="B8008" s="5">
        <v>334</v>
      </c>
      <c r="C8008" s="5">
        <v>11</v>
      </c>
      <c r="D8008" s="25">
        <v>1.1415000000000001E-4</v>
      </c>
      <c r="E8008" s="25">
        <v>1.1415E-4</v>
      </c>
      <c r="F8008" s="25">
        <v>1.1213999999999999E-4</v>
      </c>
      <c r="G8008" s="25">
        <v>1.5735E-4</v>
      </c>
      <c r="H8008" s="25">
        <v>2.0175E-4</v>
      </c>
      <c r="I8008" s="9">
        <v>1.4144E-4</v>
      </c>
      <c r="J8008" s="9">
        <v>1.4333E-4</v>
      </c>
      <c r="K8008" s="9">
        <v>2.0981999999999999E-4</v>
      </c>
      <c r="L8008" s="9">
        <v>1.7017000000000001E-4</v>
      </c>
      <c r="M8008" s="9">
        <v>1.7442E-4</v>
      </c>
      <c r="N8008" s="9">
        <v>1.5637999999999999E-4</v>
      </c>
      <c r="O8008" s="9">
        <v>1.7217E-4</v>
      </c>
      <c r="P8008" s="9">
        <v>1.7293000000000001E-4</v>
      </c>
      <c r="Q8008" s="9">
        <v>1.7562E-4</v>
      </c>
      <c r="R8008" s="10">
        <v>1.6461711448985351E-4</v>
      </c>
      <c r="S8008" s="10">
        <v>1.8719823422670454E-4</v>
      </c>
      <c r="T8008" s="10">
        <v>2.4935355790068855E-5</v>
      </c>
      <c r="U8008" s="10">
        <v>1.2401E-4</v>
      </c>
      <c r="V8008" s="25"/>
      <c r="W8008" s="25"/>
      <c r="X8008" s="25"/>
      <c r="Y8008" s="25"/>
      <c r="Z8008" s="25"/>
      <c r="AA8008" s="25"/>
    </row>
    <row r="8009" spans="1:27" x14ac:dyDescent="0.35">
      <c r="A8009" s="5">
        <v>8005</v>
      </c>
      <c r="B8009" s="5">
        <v>334</v>
      </c>
      <c r="C8009" s="5">
        <v>11</v>
      </c>
      <c r="D8009" s="25">
        <v>1.1416E-4</v>
      </c>
      <c r="E8009" s="25">
        <v>1.1368E-4</v>
      </c>
      <c r="F8009" s="25">
        <v>1.0271E-4</v>
      </c>
      <c r="G8009" s="25">
        <v>1.6227E-4</v>
      </c>
      <c r="H8009" s="25">
        <v>2.0017E-4</v>
      </c>
      <c r="I8009" s="9">
        <v>1.3755000000000001E-4</v>
      </c>
      <c r="J8009" s="9">
        <v>1.4058000000000001E-4</v>
      </c>
      <c r="K8009" s="9">
        <v>2.1405E-4</v>
      </c>
      <c r="L8009" s="9">
        <v>1.7195000000000001E-4</v>
      </c>
      <c r="M8009" s="9">
        <v>1.7390999999999999E-4</v>
      </c>
      <c r="N8009" s="9">
        <v>1.6624000000000001E-4</v>
      </c>
      <c r="O8009" s="9">
        <v>1.6385999999999999E-4</v>
      </c>
      <c r="P8009" s="9">
        <v>1.6548999999999999E-4</v>
      </c>
      <c r="Q8009" s="9">
        <v>1.6892E-4</v>
      </c>
      <c r="R8009" s="10">
        <v>1.715483479208198E-4</v>
      </c>
      <c r="S8009" s="10">
        <v>1.8239418591048788E-4</v>
      </c>
      <c r="T8009" s="10">
        <v>3.6126146632906839E-5</v>
      </c>
      <c r="U8009" s="10">
        <v>1.2401E-4</v>
      </c>
      <c r="V8009" s="25"/>
      <c r="W8009" s="25"/>
      <c r="X8009" s="25"/>
      <c r="Y8009" s="25"/>
      <c r="Z8009" s="25"/>
      <c r="AA8009" s="25"/>
    </row>
    <row r="8010" spans="1:27" x14ac:dyDescent="0.35">
      <c r="A8010" s="5">
        <v>8006</v>
      </c>
      <c r="B8010" s="5">
        <v>334</v>
      </c>
      <c r="C8010" s="5">
        <v>11</v>
      </c>
      <c r="D8010" s="25">
        <v>1.1415000000000001E-4</v>
      </c>
      <c r="E8010" s="25">
        <v>1.1383999999999999E-4</v>
      </c>
      <c r="F8010" s="25">
        <v>1.0745E-4</v>
      </c>
      <c r="G8010" s="25">
        <v>1.5793E-4</v>
      </c>
      <c r="H8010" s="25">
        <v>1.9263E-4</v>
      </c>
      <c r="I8010" s="9">
        <v>1.3735E-4</v>
      </c>
      <c r="J8010" s="9">
        <v>1.4059000000000001E-4</v>
      </c>
      <c r="K8010" s="9">
        <v>2.2889000000000001E-4</v>
      </c>
      <c r="L8010" s="9">
        <v>1.6532999999999999E-4</v>
      </c>
      <c r="M8010" s="9">
        <v>1.7074000000000001E-4</v>
      </c>
      <c r="N8010" s="9">
        <v>1.7092999999999999E-4</v>
      </c>
      <c r="O8010" s="9">
        <v>1.7723000000000001E-4</v>
      </c>
      <c r="P8010" s="9">
        <v>1.6708000000000001E-4</v>
      </c>
      <c r="Q8010" s="9">
        <v>1.5914E-4</v>
      </c>
      <c r="R8010" s="10">
        <v>1.8275147076097763E-4</v>
      </c>
      <c r="S8010" s="10">
        <v>1.7689530122249643E-4</v>
      </c>
      <c r="T8010" s="10">
        <v>2.6835838844500778E-5</v>
      </c>
      <c r="U8010" s="10">
        <v>1.2401E-4</v>
      </c>
      <c r="V8010" s="25"/>
      <c r="W8010" s="25"/>
      <c r="X8010" s="25"/>
      <c r="Y8010" s="25"/>
      <c r="Z8010" s="25"/>
      <c r="AA8010" s="25"/>
    </row>
    <row r="8011" spans="1:27" x14ac:dyDescent="0.35">
      <c r="A8011" s="5">
        <v>8007</v>
      </c>
      <c r="B8011" s="5">
        <v>334</v>
      </c>
      <c r="C8011" s="5">
        <v>11</v>
      </c>
      <c r="D8011" s="25">
        <v>1.1416E-4</v>
      </c>
      <c r="E8011" s="25">
        <v>1.1254E-4</v>
      </c>
      <c r="F8011" s="25">
        <v>1.1891E-4</v>
      </c>
      <c r="G8011" s="25">
        <v>1.5624000000000001E-4</v>
      </c>
      <c r="H8011" s="25">
        <v>1.8944E-4</v>
      </c>
      <c r="I8011" s="9">
        <v>1.3655000000000001E-4</v>
      </c>
      <c r="J8011" s="9">
        <v>1.4129E-4</v>
      </c>
      <c r="K8011" s="9">
        <v>2.3948E-4</v>
      </c>
      <c r="L8011" s="9">
        <v>1.7474999999999999E-4</v>
      </c>
      <c r="M8011" s="9">
        <v>1.685E-4</v>
      </c>
      <c r="N8011" s="9">
        <v>1.7007E-4</v>
      </c>
      <c r="O8011" s="9">
        <v>1.8288000000000001E-4</v>
      </c>
      <c r="P8011" s="9">
        <v>1.6590999999999999E-4</v>
      </c>
      <c r="Q8011" s="9">
        <v>1.5133E-4</v>
      </c>
      <c r="R8011" s="10">
        <v>1.822596275138045E-4</v>
      </c>
      <c r="S8011" s="10">
        <v>1.8168941548665914E-4</v>
      </c>
      <c r="T8011" s="10">
        <v>1.813094771125456E-5</v>
      </c>
      <c r="U8011" s="10">
        <v>1.2401E-4</v>
      </c>
      <c r="V8011" s="25"/>
      <c r="W8011" s="25"/>
      <c r="X8011" s="25"/>
      <c r="Y8011" s="25"/>
      <c r="Z8011" s="25"/>
      <c r="AA8011" s="25"/>
    </row>
    <row r="8012" spans="1:27" x14ac:dyDescent="0.35">
      <c r="A8012" s="5">
        <v>8008</v>
      </c>
      <c r="B8012" s="5">
        <v>334</v>
      </c>
      <c r="C8012" s="5">
        <v>11</v>
      </c>
      <c r="D8012" s="25">
        <v>1.1415000000000001E-4</v>
      </c>
      <c r="E8012" s="25">
        <v>1.1218999999999999E-4</v>
      </c>
      <c r="F8012" s="25">
        <v>1.1252E-4</v>
      </c>
      <c r="G8012" s="25">
        <v>1.6028E-4</v>
      </c>
      <c r="H8012" s="25">
        <v>1.9424000000000001E-4</v>
      </c>
      <c r="I8012" s="9">
        <v>1.3876000000000001E-4</v>
      </c>
      <c r="J8012" s="9">
        <v>1.4347000000000001E-4</v>
      </c>
      <c r="K8012" s="9">
        <v>2.3949E-4</v>
      </c>
      <c r="L8012" s="9">
        <v>1.8086999999999999E-4</v>
      </c>
      <c r="M8012" s="9">
        <v>1.6703000000000001E-4</v>
      </c>
      <c r="N8012" s="9">
        <v>1.6589999999999999E-4</v>
      </c>
      <c r="O8012" s="9">
        <v>1.9843000000000001E-4</v>
      </c>
      <c r="P8012" s="9">
        <v>1.5260999999999999E-4</v>
      </c>
      <c r="Q8012" s="9">
        <v>1.0988E-4</v>
      </c>
      <c r="R8012" s="10">
        <v>1.8826723423492992E-4</v>
      </c>
      <c r="S8012" s="10">
        <v>1.8125459443731968E-4</v>
      </c>
      <c r="T8012" s="10">
        <v>0</v>
      </c>
      <c r="U8012" s="10">
        <v>1.2401E-4</v>
      </c>
      <c r="V8012" s="25"/>
      <c r="W8012" s="25"/>
      <c r="X8012" s="25"/>
      <c r="Y8012" s="25"/>
      <c r="Z8012" s="25"/>
      <c r="AA8012" s="25"/>
    </row>
    <row r="8013" spans="1:27" x14ac:dyDescent="0.35">
      <c r="A8013" s="5">
        <v>8009</v>
      </c>
      <c r="B8013" s="5">
        <v>334</v>
      </c>
      <c r="C8013" s="5">
        <v>11</v>
      </c>
      <c r="D8013" s="25">
        <v>1.1416E-4</v>
      </c>
      <c r="E8013" s="25">
        <v>1.0744E-4</v>
      </c>
      <c r="F8013" s="25">
        <v>1.1395000000000001E-4</v>
      </c>
      <c r="G8013" s="25">
        <v>1.6616999999999999E-4</v>
      </c>
      <c r="H8013" s="25">
        <v>1.961E-4</v>
      </c>
      <c r="I8013" s="9">
        <v>1.4312999999999999E-4</v>
      </c>
      <c r="J8013" s="9">
        <v>1.4826999999999999E-4</v>
      </c>
      <c r="K8013" s="9">
        <v>2.4583999999999999E-4</v>
      </c>
      <c r="L8013" s="9">
        <v>1.9435000000000001E-4</v>
      </c>
      <c r="M8013" s="9">
        <v>1.6158000000000001E-4</v>
      </c>
      <c r="N8013" s="9">
        <v>1.5222E-4</v>
      </c>
      <c r="O8013" s="9">
        <v>2.1387000000000001E-4</v>
      </c>
      <c r="P8013" s="9">
        <v>1.5851E-4</v>
      </c>
      <c r="Q8013" s="9">
        <v>1.0662000000000001E-4</v>
      </c>
      <c r="R8013" s="10">
        <v>2.0422246319262078E-4</v>
      </c>
      <c r="S8013" s="10">
        <v>1.4262635801552082E-4</v>
      </c>
      <c r="T8013" s="10">
        <v>0</v>
      </c>
      <c r="U8013" s="10">
        <v>1.2401E-4</v>
      </c>
      <c r="V8013" s="25"/>
      <c r="W8013" s="25"/>
      <c r="X8013" s="25"/>
      <c r="Y8013" s="25"/>
      <c r="Z8013" s="25"/>
      <c r="AA8013" s="25"/>
    </row>
    <row r="8014" spans="1:27" x14ac:dyDescent="0.35">
      <c r="A8014" s="5">
        <v>8010</v>
      </c>
      <c r="B8014" s="5">
        <v>334</v>
      </c>
      <c r="C8014" s="5">
        <v>11</v>
      </c>
      <c r="D8014" s="25">
        <v>1.1415000000000001E-4</v>
      </c>
      <c r="E8014" s="25">
        <v>1.0972E-4</v>
      </c>
      <c r="F8014" s="25">
        <v>1.0114E-4</v>
      </c>
      <c r="G8014" s="25">
        <v>1.5789999999999999E-4</v>
      </c>
      <c r="H8014" s="25">
        <v>1.9589999999999999E-4</v>
      </c>
      <c r="I8014" s="9">
        <v>1.5264E-4</v>
      </c>
      <c r="J8014" s="9">
        <v>1.5663999999999999E-4</v>
      </c>
      <c r="K8014" s="9">
        <v>2.5008000000000002E-4</v>
      </c>
      <c r="L8014" s="9">
        <v>2.0927000000000001E-4</v>
      </c>
      <c r="M8014" s="9">
        <v>1.5901000000000001E-4</v>
      </c>
      <c r="N8014" s="9">
        <v>1.3872E-4</v>
      </c>
      <c r="O8014" s="9">
        <v>2.0823E-4</v>
      </c>
      <c r="P8014" s="9">
        <v>1.6189000000000001E-4</v>
      </c>
      <c r="Q8014" s="9">
        <v>1.1878E-4</v>
      </c>
      <c r="R8014" s="10">
        <v>2.1029850650502779E-4</v>
      </c>
      <c r="S8014" s="10">
        <v>1.1028359785888973E-4</v>
      </c>
      <c r="T8014" s="10">
        <v>0</v>
      </c>
      <c r="U8014" s="10">
        <v>1.2401E-4</v>
      </c>
      <c r="V8014" s="25"/>
      <c r="W8014" s="25"/>
      <c r="X8014" s="25"/>
      <c r="Y8014" s="25"/>
      <c r="Z8014" s="25"/>
      <c r="AA8014" s="25"/>
    </row>
    <row r="8015" spans="1:27" x14ac:dyDescent="0.35">
      <c r="A8015" s="5">
        <v>8011</v>
      </c>
      <c r="B8015" s="5">
        <v>334</v>
      </c>
      <c r="C8015" s="5">
        <v>11</v>
      </c>
      <c r="D8015" s="25">
        <v>1.1416E-4</v>
      </c>
      <c r="E8015" s="25">
        <v>1.1048999999999999E-4</v>
      </c>
      <c r="F8015" s="25">
        <v>1.1548999999999999E-4</v>
      </c>
      <c r="G8015" s="25">
        <v>1.1338E-4</v>
      </c>
      <c r="H8015" s="25">
        <v>1.3545000000000001E-4</v>
      </c>
      <c r="I8015" s="9">
        <v>1.5297999999999999E-4</v>
      </c>
      <c r="J8015" s="9">
        <v>1.5118E-4</v>
      </c>
      <c r="K8015" s="9">
        <v>2.5431E-4</v>
      </c>
      <c r="L8015" s="9">
        <v>2.0808E-4</v>
      </c>
      <c r="M8015" s="9">
        <v>1.5951999999999999E-4</v>
      </c>
      <c r="N8015" s="9">
        <v>1.2988999999999999E-4</v>
      </c>
      <c r="O8015" s="9">
        <v>1.6389E-4</v>
      </c>
      <c r="P8015" s="9">
        <v>1.3395E-4</v>
      </c>
      <c r="Q8015" s="9">
        <v>1.0632E-4</v>
      </c>
      <c r="R8015" s="10">
        <v>2.1244716381484721E-4</v>
      </c>
      <c r="S8015" s="10">
        <v>1.0626858991203805E-4</v>
      </c>
      <c r="T8015" s="10">
        <v>0</v>
      </c>
      <c r="U8015" s="10">
        <v>1.2401E-4</v>
      </c>
      <c r="V8015" s="25"/>
      <c r="W8015" s="25"/>
      <c r="X8015" s="25"/>
      <c r="Y8015" s="25"/>
      <c r="Z8015" s="25"/>
      <c r="AA8015" s="25"/>
    </row>
    <row r="8016" spans="1:27" x14ac:dyDescent="0.35">
      <c r="A8016" s="5">
        <v>8012</v>
      </c>
      <c r="B8016" s="5">
        <v>334</v>
      </c>
      <c r="C8016" s="5">
        <v>11</v>
      </c>
      <c r="D8016" s="25">
        <v>1.1415000000000001E-4</v>
      </c>
      <c r="E8016" s="25">
        <v>1.0589E-4</v>
      </c>
      <c r="F8016" s="25">
        <v>1.1941E-4</v>
      </c>
      <c r="G8016" s="25">
        <v>1.1285000000000001E-4</v>
      </c>
      <c r="H8016" s="25">
        <v>1.273E-4</v>
      </c>
      <c r="I8016" s="9">
        <v>1.4747E-4</v>
      </c>
      <c r="J8016" s="9">
        <v>1.4642E-4</v>
      </c>
      <c r="K8016" s="9">
        <v>2.5008000000000002E-4</v>
      </c>
      <c r="L8016" s="9">
        <v>1.7373000000000001E-4</v>
      </c>
      <c r="M8016" s="9">
        <v>1.5061999999999999E-4</v>
      </c>
      <c r="N8016" s="9">
        <v>1.2070000000000001E-4</v>
      </c>
      <c r="O8016" s="9">
        <v>1.2982E-4</v>
      </c>
      <c r="P8016" s="9">
        <v>1.1527999999999999E-4</v>
      </c>
      <c r="Q8016" s="9">
        <v>1.0226E-4</v>
      </c>
      <c r="R8016" s="10">
        <v>2.1244936787709023E-4</v>
      </c>
      <c r="S8016" s="10">
        <v>1.2902673848470773E-4</v>
      </c>
      <c r="T8016" s="10">
        <v>0</v>
      </c>
      <c r="U8016" s="10">
        <v>1.2401E-4</v>
      </c>
      <c r="V8016" s="25"/>
      <c r="W8016" s="25"/>
      <c r="X8016" s="25"/>
      <c r="Y8016" s="25"/>
      <c r="Z8016" s="25"/>
      <c r="AA8016" s="25"/>
    </row>
    <row r="8017" spans="1:27" x14ac:dyDescent="0.35">
      <c r="A8017" s="5">
        <v>8013</v>
      </c>
      <c r="B8017" s="5">
        <v>334</v>
      </c>
      <c r="C8017" s="5">
        <v>11</v>
      </c>
      <c r="D8017" s="25">
        <v>1.1416E-4</v>
      </c>
      <c r="E8017" s="25">
        <v>1.0686E-4</v>
      </c>
      <c r="F8017" s="25">
        <v>1.2245999999999999E-4</v>
      </c>
      <c r="G8017" s="25">
        <v>5.2639999999999997E-5</v>
      </c>
      <c r="H8017" s="25">
        <v>7.4820000000000005E-5</v>
      </c>
      <c r="I8017" s="9">
        <v>1.4111000000000001E-4</v>
      </c>
      <c r="J8017" s="9">
        <v>1.4013E-4</v>
      </c>
      <c r="K8017" s="9">
        <v>2.522E-4</v>
      </c>
      <c r="L8017" s="9">
        <v>1.4053000000000001E-4</v>
      </c>
      <c r="M8017" s="9">
        <v>1.3537999999999999E-4</v>
      </c>
      <c r="N8017" s="9">
        <v>1.1318E-4</v>
      </c>
      <c r="O8017" s="9">
        <v>8.4300000000000003E-5</v>
      </c>
      <c r="P8017" s="9">
        <v>8.5690000000000001E-5</v>
      </c>
      <c r="Q8017" s="9">
        <v>8.7670000000000006E-5</v>
      </c>
      <c r="R8017" s="10">
        <v>2.1244936787709023E-4</v>
      </c>
      <c r="S8017" s="10">
        <v>1.6112846634999952E-4</v>
      </c>
      <c r="T8017" s="10">
        <v>0</v>
      </c>
      <c r="U8017" s="10">
        <v>1.2401E-4</v>
      </c>
      <c r="V8017" s="25"/>
      <c r="W8017" s="25"/>
      <c r="X8017" s="25"/>
      <c r="Y8017" s="25"/>
      <c r="Z8017" s="25"/>
      <c r="AA8017" s="25"/>
    </row>
    <row r="8018" spans="1:27" x14ac:dyDescent="0.35">
      <c r="A8018" s="5">
        <v>8014</v>
      </c>
      <c r="B8018" s="5">
        <v>334</v>
      </c>
      <c r="C8018" s="5">
        <v>11</v>
      </c>
      <c r="D8018" s="25">
        <v>1.1415000000000001E-4</v>
      </c>
      <c r="E8018" s="25">
        <v>1.0963000000000001E-4</v>
      </c>
      <c r="F8018" s="25">
        <v>1.2029E-4</v>
      </c>
      <c r="G8018" s="25">
        <v>5.732E-5</v>
      </c>
      <c r="H8018" s="25">
        <v>7.4469999999999997E-5</v>
      </c>
      <c r="I8018" s="9">
        <v>1.3411E-4</v>
      </c>
      <c r="J8018" s="9">
        <v>1.3174000000000001E-4</v>
      </c>
      <c r="K8018" s="9">
        <v>2.5642999999999998E-4</v>
      </c>
      <c r="L8018" s="9">
        <v>9.7579999999999997E-5</v>
      </c>
      <c r="M8018" s="9">
        <v>1.1357E-4</v>
      </c>
      <c r="N8018" s="9">
        <v>1.0548999999999999E-4</v>
      </c>
      <c r="O8018" s="9">
        <v>8.8070000000000002E-5</v>
      </c>
      <c r="P8018" s="9">
        <v>8.8059999999999994E-5</v>
      </c>
      <c r="Q8018" s="9">
        <v>8.8709999999999996E-5</v>
      </c>
      <c r="R8018" s="10">
        <v>2.1242583175978965E-4</v>
      </c>
      <c r="S8018" s="10">
        <v>1.8027578998161255E-4</v>
      </c>
      <c r="T8018" s="10">
        <v>0</v>
      </c>
      <c r="U8018" s="10">
        <v>1.2401E-4</v>
      </c>
      <c r="V8018" s="25"/>
      <c r="W8018" s="25"/>
      <c r="X8018" s="25"/>
      <c r="Y8018" s="25"/>
      <c r="Z8018" s="25"/>
      <c r="AA8018" s="25"/>
    </row>
    <row r="8019" spans="1:27" x14ac:dyDescent="0.35">
      <c r="A8019" s="5">
        <v>8015</v>
      </c>
      <c r="B8019" s="5">
        <v>334</v>
      </c>
      <c r="C8019" s="5">
        <v>11</v>
      </c>
      <c r="D8019" s="25">
        <v>1.1416E-4</v>
      </c>
      <c r="E8019" s="25">
        <v>1.0686E-4</v>
      </c>
      <c r="F8019" s="25">
        <v>1.219E-4</v>
      </c>
      <c r="G8019" s="25">
        <v>5.6509999999999999E-5</v>
      </c>
      <c r="H8019" s="25">
        <v>7.4480000000000005E-5</v>
      </c>
      <c r="I8019" s="9">
        <v>1.3470999999999999E-4</v>
      </c>
      <c r="J8019" s="9">
        <v>1.2188000000000001E-4</v>
      </c>
      <c r="K8019" s="9">
        <v>2.6279E-4</v>
      </c>
      <c r="L8019" s="9">
        <v>9.111E-5</v>
      </c>
      <c r="M8019" s="9">
        <v>9.904E-5</v>
      </c>
      <c r="N8019" s="9">
        <v>9.9829999999999998E-5</v>
      </c>
      <c r="O8019" s="9">
        <v>7.7739999999999998E-5</v>
      </c>
      <c r="P8019" s="9">
        <v>7.1909999999999994E-5</v>
      </c>
      <c r="Q8019" s="9">
        <v>6.6669999999999997E-5</v>
      </c>
      <c r="R8019" s="10">
        <v>2.1069186974482428E-4</v>
      </c>
      <c r="S8019" s="10">
        <v>1.8603612259449661E-4</v>
      </c>
      <c r="T8019" s="10">
        <v>0</v>
      </c>
      <c r="U8019" s="10">
        <v>1.2401E-4</v>
      </c>
      <c r="V8019" s="25"/>
      <c r="W8019" s="25"/>
      <c r="X8019" s="25"/>
      <c r="Y8019" s="25"/>
      <c r="Z8019" s="25"/>
      <c r="AA8019" s="25"/>
    </row>
    <row r="8020" spans="1:27" x14ac:dyDescent="0.35">
      <c r="A8020" s="5">
        <v>8016</v>
      </c>
      <c r="B8020" s="5">
        <v>334</v>
      </c>
      <c r="C8020" s="5">
        <v>11</v>
      </c>
      <c r="D8020" s="25">
        <v>1.1415000000000001E-4</v>
      </c>
      <c r="E8020" s="25">
        <v>1.1479E-4</v>
      </c>
      <c r="F8020" s="25">
        <v>1.0561E-4</v>
      </c>
      <c r="G8020" s="25">
        <v>6.1859999999999994E-5</v>
      </c>
      <c r="H8020" s="25">
        <v>6.525E-5</v>
      </c>
      <c r="I8020" s="9">
        <v>1.3334999999999999E-4</v>
      </c>
      <c r="J8020" s="9">
        <v>1.1325E-4</v>
      </c>
      <c r="K8020" s="9">
        <v>2.6704000000000002E-4</v>
      </c>
      <c r="L8020" s="9">
        <v>8.0660000000000004E-5</v>
      </c>
      <c r="M8020" s="9">
        <v>8.6089999999999997E-5</v>
      </c>
      <c r="N8020" s="9">
        <v>9.0500000000000004E-5</v>
      </c>
      <c r="O8020" s="9">
        <v>6.3040000000000006E-5</v>
      </c>
      <c r="P8020" s="9">
        <v>6.0909999999999998E-5</v>
      </c>
      <c r="Q8020" s="9">
        <v>5.9089999999999998E-5</v>
      </c>
      <c r="R8020" s="10">
        <v>2.0705143982798526E-4</v>
      </c>
      <c r="S8020" s="10">
        <v>1.7901306803663012E-4</v>
      </c>
      <c r="T8020" s="10">
        <v>0</v>
      </c>
      <c r="U8020" s="10">
        <v>1.2401E-4</v>
      </c>
      <c r="V8020" s="25"/>
      <c r="W8020" s="25"/>
      <c r="X8020" s="25"/>
      <c r="Y8020" s="25"/>
      <c r="Z8020" s="25"/>
      <c r="AA8020" s="25"/>
    </row>
    <row r="8021" spans="1:27" x14ac:dyDescent="0.35">
      <c r="A8021" s="5">
        <v>8017</v>
      </c>
      <c r="B8021" s="5">
        <v>335</v>
      </c>
      <c r="C8021" s="5">
        <v>12</v>
      </c>
      <c r="D8021" s="25">
        <v>1.1416E-4</v>
      </c>
      <c r="E8021" s="25">
        <v>1.1478E-4</v>
      </c>
      <c r="F8021" s="25">
        <v>1.1936E-4</v>
      </c>
      <c r="G8021" s="25">
        <v>5.2139999999999999E-5</v>
      </c>
      <c r="H8021" s="25">
        <v>4.3659999999999999E-5</v>
      </c>
      <c r="I8021" s="9">
        <v>1.27E-4</v>
      </c>
      <c r="J8021" s="9">
        <v>1.0637999999999999E-4</v>
      </c>
      <c r="K8021" s="9">
        <v>2.7551000000000002E-4</v>
      </c>
      <c r="L8021" s="9">
        <v>6.6929999999999998E-5</v>
      </c>
      <c r="M8021" s="9">
        <v>7.4040000000000003E-5</v>
      </c>
      <c r="N8021" s="9">
        <v>8.1160000000000002E-5</v>
      </c>
      <c r="O8021" s="9">
        <v>6.8230000000000002E-5</v>
      </c>
      <c r="P8021" s="9">
        <v>6.0749999999999999E-5</v>
      </c>
      <c r="Q8021" s="9">
        <v>5.3579999999999999E-5</v>
      </c>
      <c r="R8021" s="10">
        <v>1.8949045389673398E-4</v>
      </c>
      <c r="S8021" s="10">
        <v>1.6781935284630181E-4</v>
      </c>
      <c r="T8021" s="10">
        <v>0</v>
      </c>
      <c r="U8021" s="10">
        <v>1.2818000000000001E-4</v>
      </c>
      <c r="V8021" s="25"/>
      <c r="W8021" s="25"/>
      <c r="X8021" s="25"/>
      <c r="Y8021" s="25"/>
      <c r="Z8021" s="25"/>
      <c r="AA8021" s="25"/>
    </row>
    <row r="8022" spans="1:27" x14ac:dyDescent="0.35">
      <c r="A8022" s="5">
        <v>8018</v>
      </c>
      <c r="B8022" s="5">
        <v>335</v>
      </c>
      <c r="C8022" s="5">
        <v>12</v>
      </c>
      <c r="D8022" s="25">
        <v>1.1415000000000001E-4</v>
      </c>
      <c r="E8022" s="25">
        <v>1.2095999999999999E-4</v>
      </c>
      <c r="F8022" s="25">
        <v>1.0941E-4</v>
      </c>
      <c r="G8022" s="25">
        <v>5.401E-5</v>
      </c>
      <c r="H8022" s="25">
        <v>3.8590000000000002E-5</v>
      </c>
      <c r="I8022" s="9">
        <v>1.2046E-4</v>
      </c>
      <c r="J8022" s="9">
        <v>1.0218E-4</v>
      </c>
      <c r="K8022" s="9">
        <v>2.8399000000000002E-4</v>
      </c>
      <c r="L8022" s="9">
        <v>6.8330000000000005E-5</v>
      </c>
      <c r="M8022" s="9">
        <v>6.6400000000000001E-5</v>
      </c>
      <c r="N8022" s="9">
        <v>7.2089999999999996E-5</v>
      </c>
      <c r="O8022" s="9">
        <v>3.5030000000000002E-5</v>
      </c>
      <c r="P8022" s="9">
        <v>4.613E-5</v>
      </c>
      <c r="Q8022" s="9">
        <v>5.6539999999999997E-5</v>
      </c>
      <c r="R8022" s="10">
        <v>1.6509583312807196E-4</v>
      </c>
      <c r="S8022" s="10">
        <v>1.6604999787225884E-4</v>
      </c>
      <c r="T8022" s="10">
        <v>0</v>
      </c>
      <c r="U8022" s="10">
        <v>1.2818000000000001E-4</v>
      </c>
      <c r="V8022" s="25"/>
      <c r="W8022" s="25"/>
      <c r="X8022" s="25"/>
      <c r="Y8022" s="25"/>
      <c r="Z8022" s="25"/>
      <c r="AA8022" s="25"/>
    </row>
    <row r="8023" spans="1:27" x14ac:dyDescent="0.35">
      <c r="A8023" s="5">
        <v>8019</v>
      </c>
      <c r="B8023" s="5">
        <v>335</v>
      </c>
      <c r="C8023" s="5">
        <v>12</v>
      </c>
      <c r="D8023" s="25">
        <v>1.1416E-4</v>
      </c>
      <c r="E8023" s="25">
        <v>1.2357000000000001E-4</v>
      </c>
      <c r="F8023" s="25">
        <v>1.1389E-4</v>
      </c>
      <c r="G8023" s="25">
        <v>5.8069999999999998E-5</v>
      </c>
      <c r="H8023" s="25">
        <v>4.676E-5</v>
      </c>
      <c r="I8023" s="9">
        <v>1.1601E-4</v>
      </c>
      <c r="J8023" s="9">
        <v>1.0004E-4</v>
      </c>
      <c r="K8023" s="9">
        <v>2.8611000000000001E-4</v>
      </c>
      <c r="L8023" s="9">
        <v>4.227E-5</v>
      </c>
      <c r="M8023" s="9">
        <v>5.7479999999999999E-5</v>
      </c>
      <c r="N8023" s="9">
        <v>6.5619999999999999E-5</v>
      </c>
      <c r="O8023" s="9">
        <v>2.1630000000000001E-5</v>
      </c>
      <c r="P8023" s="9">
        <v>4.2349999999999999E-5</v>
      </c>
      <c r="Q8023" s="9">
        <v>6.1950000000000001E-5</v>
      </c>
      <c r="R8023" s="10">
        <v>1.3664604133306236E-4</v>
      </c>
      <c r="S8023" s="10">
        <v>1.5966339379678681E-4</v>
      </c>
      <c r="T8023" s="10">
        <v>0</v>
      </c>
      <c r="U8023" s="10">
        <v>1.2818000000000001E-4</v>
      </c>
      <c r="V8023" s="25"/>
      <c r="W8023" s="25"/>
      <c r="X8023" s="25"/>
      <c r="Y8023" s="25"/>
      <c r="Z8023" s="25"/>
      <c r="AA8023" s="25"/>
    </row>
    <row r="8024" spans="1:27" x14ac:dyDescent="0.35">
      <c r="A8024" s="5">
        <v>8020</v>
      </c>
      <c r="B8024" s="5">
        <v>335</v>
      </c>
      <c r="C8024" s="5">
        <v>12</v>
      </c>
      <c r="D8024" s="25">
        <v>1.1415000000000001E-4</v>
      </c>
      <c r="E8024" s="25">
        <v>1.149E-4</v>
      </c>
      <c r="F8024" s="25">
        <v>1.1689E-4</v>
      </c>
      <c r="G8024" s="25">
        <v>5.4370000000000003E-5</v>
      </c>
      <c r="H8024" s="25">
        <v>3.9280000000000003E-5</v>
      </c>
      <c r="I8024" s="9">
        <v>1.1446999999999999E-4</v>
      </c>
      <c r="J8024" s="9">
        <v>9.891E-5</v>
      </c>
      <c r="K8024" s="9">
        <v>2.8611000000000001E-4</v>
      </c>
      <c r="L8024" s="9">
        <v>2.6800000000000001E-5</v>
      </c>
      <c r="M8024" s="9">
        <v>4.9920000000000003E-5</v>
      </c>
      <c r="N8024" s="9">
        <v>6.211E-5</v>
      </c>
      <c r="O8024" s="9">
        <v>2.0970000000000001E-5</v>
      </c>
      <c r="P8024" s="9">
        <v>5.1350000000000001E-5</v>
      </c>
      <c r="Q8024" s="9">
        <v>8.0450000000000004E-5</v>
      </c>
      <c r="R8024" s="10">
        <v>1.1366272541968171E-4</v>
      </c>
      <c r="S8024" s="10">
        <v>1.5265805334638275E-4</v>
      </c>
      <c r="T8024" s="10">
        <v>0</v>
      </c>
      <c r="U8024" s="10">
        <v>1.2818000000000001E-4</v>
      </c>
      <c r="V8024" s="25"/>
      <c r="W8024" s="25"/>
      <c r="X8024" s="25"/>
      <c r="Y8024" s="25"/>
      <c r="Z8024" s="25"/>
      <c r="AA8024" s="25"/>
    </row>
    <row r="8025" spans="1:27" x14ac:dyDescent="0.35">
      <c r="A8025" s="5">
        <v>8021</v>
      </c>
      <c r="B8025" s="5">
        <v>335</v>
      </c>
      <c r="C8025" s="5">
        <v>12</v>
      </c>
      <c r="D8025" s="25">
        <v>1.1416E-4</v>
      </c>
      <c r="E8025" s="25">
        <v>1.2066E-4</v>
      </c>
      <c r="F8025" s="25">
        <v>1.087E-4</v>
      </c>
      <c r="G8025" s="25">
        <v>5.9530000000000001E-5</v>
      </c>
      <c r="H8025" s="25">
        <v>4.5739999999999999E-5</v>
      </c>
      <c r="I8025" s="9">
        <v>1.1508E-4</v>
      </c>
      <c r="J8025" s="9">
        <v>9.9500000000000006E-5</v>
      </c>
      <c r="K8025" s="9">
        <v>2.8611000000000001E-4</v>
      </c>
      <c r="L8025" s="9">
        <v>2.2719999999999999E-5</v>
      </c>
      <c r="M8025" s="9">
        <v>4.863E-5</v>
      </c>
      <c r="N8025" s="9">
        <v>6.4649999999999999E-5</v>
      </c>
      <c r="O8025" s="9">
        <v>2.2710000000000001E-5</v>
      </c>
      <c r="P8025" s="9">
        <v>5.8499999999999999E-5</v>
      </c>
      <c r="Q8025" s="9">
        <v>9.2969999999999999E-5</v>
      </c>
      <c r="R8025" s="10">
        <v>8.9943413642957644E-5</v>
      </c>
      <c r="S8025" s="10">
        <v>1.474255738351962E-4</v>
      </c>
      <c r="T8025" s="10">
        <v>0</v>
      </c>
      <c r="U8025" s="10">
        <v>1.2818000000000001E-4</v>
      </c>
      <c r="V8025" s="25"/>
      <c r="W8025" s="25"/>
      <c r="X8025" s="25"/>
      <c r="Y8025" s="25"/>
      <c r="Z8025" s="25"/>
      <c r="AA8025" s="25"/>
    </row>
    <row r="8026" spans="1:27" x14ac:dyDescent="0.35">
      <c r="A8026" s="5">
        <v>8022</v>
      </c>
      <c r="B8026" s="5">
        <v>335</v>
      </c>
      <c r="C8026" s="5">
        <v>12</v>
      </c>
      <c r="D8026" s="25">
        <v>1.1415000000000001E-4</v>
      </c>
      <c r="E8026" s="25">
        <v>1.2064E-4</v>
      </c>
      <c r="F8026" s="25">
        <v>1.1667000000000001E-4</v>
      </c>
      <c r="G8026" s="25">
        <v>1.0730000000000001E-4</v>
      </c>
      <c r="H8026" s="25">
        <v>8.4499999999999994E-5</v>
      </c>
      <c r="I8026" s="9">
        <v>1.2001E-4</v>
      </c>
      <c r="J8026" s="9">
        <v>1.0388E-4</v>
      </c>
      <c r="K8026" s="9">
        <v>3.0306000000000002E-4</v>
      </c>
      <c r="L8026" s="9">
        <v>2.264E-5</v>
      </c>
      <c r="M8026" s="9">
        <v>5.2169999999999997E-5</v>
      </c>
      <c r="N8026" s="9">
        <v>7.1030000000000003E-5</v>
      </c>
      <c r="O8026" s="9">
        <v>2.917E-5</v>
      </c>
      <c r="P8026" s="9">
        <v>6.8549999999999999E-5</v>
      </c>
      <c r="Q8026" s="9">
        <v>1.0668E-4</v>
      </c>
      <c r="R8026" s="10">
        <v>8.1049621382601192E-5</v>
      </c>
      <c r="S8026" s="10">
        <v>1.3867081296309005E-4</v>
      </c>
      <c r="T8026" s="10">
        <v>0</v>
      </c>
      <c r="U8026" s="10">
        <v>1.2818000000000001E-4</v>
      </c>
      <c r="V8026" s="25"/>
      <c r="W8026" s="25"/>
      <c r="X8026" s="25"/>
      <c r="Y8026" s="25"/>
      <c r="Z8026" s="25"/>
      <c r="AA8026" s="25"/>
    </row>
    <row r="8027" spans="1:27" x14ac:dyDescent="0.35">
      <c r="A8027" s="5">
        <v>8023</v>
      </c>
      <c r="B8027" s="5">
        <v>335</v>
      </c>
      <c r="C8027" s="5">
        <v>12</v>
      </c>
      <c r="D8027" s="25">
        <v>1.1416E-4</v>
      </c>
      <c r="E8027" s="25">
        <v>1.2128E-4</v>
      </c>
      <c r="F8027" s="25">
        <v>1.2860000000000001E-4</v>
      </c>
      <c r="G8027" s="25">
        <v>1.1479E-4</v>
      </c>
      <c r="H8027" s="25">
        <v>7.9599999999999997E-5</v>
      </c>
      <c r="I8027" s="9">
        <v>1.3323E-4</v>
      </c>
      <c r="J8027" s="9">
        <v>1.1581E-4</v>
      </c>
      <c r="K8027" s="9">
        <v>3.0729999999999999E-4</v>
      </c>
      <c r="L8027" s="9">
        <v>2.764E-5</v>
      </c>
      <c r="M8027" s="9">
        <v>5.9120000000000003E-5</v>
      </c>
      <c r="N8027" s="9">
        <v>8.0630000000000006E-5</v>
      </c>
      <c r="O8027" s="9">
        <v>4.5590000000000002E-5</v>
      </c>
      <c r="P8027" s="9">
        <v>7.8980000000000006E-5</v>
      </c>
      <c r="Q8027" s="9">
        <v>1.1156E-4</v>
      </c>
      <c r="R8027" s="10">
        <v>6.7843611742208668E-5</v>
      </c>
      <c r="S8027" s="10">
        <v>1.2088999520439593E-4</v>
      </c>
      <c r="T8027" s="10">
        <v>0</v>
      </c>
      <c r="U8027" s="10">
        <v>1.2818000000000001E-4</v>
      </c>
      <c r="V8027" s="25"/>
      <c r="W8027" s="25"/>
      <c r="X8027" s="25"/>
      <c r="Y8027" s="25"/>
      <c r="Z8027" s="25"/>
      <c r="AA8027" s="25"/>
    </row>
    <row r="8028" spans="1:27" x14ac:dyDescent="0.35">
      <c r="A8028" s="5">
        <v>8024</v>
      </c>
      <c r="B8028" s="5">
        <v>335</v>
      </c>
      <c r="C8028" s="5">
        <v>12</v>
      </c>
      <c r="D8028" s="25">
        <v>1.1415000000000001E-4</v>
      </c>
      <c r="E8028" s="25">
        <v>1.2032E-4</v>
      </c>
      <c r="F8028" s="25">
        <v>1.0976000000000001E-4</v>
      </c>
      <c r="G8028" s="25">
        <v>1.5841E-4</v>
      </c>
      <c r="H8028" s="25">
        <v>1.2305000000000001E-4</v>
      </c>
      <c r="I8028" s="9">
        <v>1.4662E-4</v>
      </c>
      <c r="J8028" s="9">
        <v>1.3533999999999999E-4</v>
      </c>
      <c r="K8028" s="9">
        <v>3.0306000000000002E-4</v>
      </c>
      <c r="L8028" s="9">
        <v>4.1489999999999997E-5</v>
      </c>
      <c r="M8028" s="9">
        <v>6.8009999999999994E-5</v>
      </c>
      <c r="N8028" s="9">
        <v>9.0509999999999999E-5</v>
      </c>
      <c r="O8028" s="9">
        <v>6.8590000000000006E-5</v>
      </c>
      <c r="P8028" s="9">
        <v>1.0314000000000001E-4</v>
      </c>
      <c r="Q8028" s="9">
        <v>1.3732999999999999E-4</v>
      </c>
      <c r="R8028" s="10">
        <v>5.1034330154755883E-5</v>
      </c>
      <c r="S8028" s="10">
        <v>1.0280037771419908E-4</v>
      </c>
      <c r="T8028" s="10">
        <v>0</v>
      </c>
      <c r="U8028" s="10">
        <v>1.2818000000000001E-4</v>
      </c>
      <c r="V8028" s="25"/>
      <c r="W8028" s="25"/>
      <c r="X8028" s="25"/>
      <c r="Y8028" s="25"/>
      <c r="Z8028" s="25"/>
      <c r="AA8028" s="25"/>
    </row>
    <row r="8029" spans="1:27" x14ac:dyDescent="0.35">
      <c r="A8029" s="5">
        <v>8025</v>
      </c>
      <c r="B8029" s="5">
        <v>335</v>
      </c>
      <c r="C8029" s="5">
        <v>12</v>
      </c>
      <c r="D8029" s="25">
        <v>1.1416E-4</v>
      </c>
      <c r="E8029" s="25">
        <v>1.1429000000000001E-4</v>
      </c>
      <c r="F8029" s="25">
        <v>1.2396E-4</v>
      </c>
      <c r="G8029" s="25">
        <v>1.5660000000000001E-4</v>
      </c>
      <c r="H8029" s="25">
        <v>1.1916E-4</v>
      </c>
      <c r="I8029" s="9">
        <v>1.4725E-4</v>
      </c>
      <c r="J8029" s="9">
        <v>1.4592000000000001E-4</v>
      </c>
      <c r="K8029" s="9">
        <v>2.9034999999999998E-4</v>
      </c>
      <c r="L8029" s="9">
        <v>6.2249999999999995E-5</v>
      </c>
      <c r="M8029" s="9">
        <v>8.2860000000000003E-5</v>
      </c>
      <c r="N8029" s="9">
        <v>1.0438999999999999E-4</v>
      </c>
      <c r="O8029" s="9">
        <v>9.9939999999999995E-5</v>
      </c>
      <c r="P8029" s="9">
        <v>1.3799E-4</v>
      </c>
      <c r="Q8029" s="9">
        <v>1.7631E-4</v>
      </c>
      <c r="R8029" s="10">
        <v>4.6035907562429426E-5</v>
      </c>
      <c r="S8029" s="10">
        <v>8.2724135731078398E-5</v>
      </c>
      <c r="T8029" s="10">
        <v>2.9991998202753797E-5</v>
      </c>
      <c r="U8029" s="10">
        <v>1.2818000000000001E-4</v>
      </c>
      <c r="V8029" s="25"/>
      <c r="W8029" s="25"/>
      <c r="X8029" s="25"/>
      <c r="Y8029" s="25"/>
      <c r="Z8029" s="25"/>
      <c r="AA8029" s="25"/>
    </row>
    <row r="8030" spans="1:27" x14ac:dyDescent="0.35">
      <c r="A8030" s="5">
        <v>8026</v>
      </c>
      <c r="B8030" s="5">
        <v>335</v>
      </c>
      <c r="C8030" s="5">
        <v>12</v>
      </c>
      <c r="D8030" s="25">
        <v>1.1415000000000001E-4</v>
      </c>
      <c r="E8030" s="25">
        <v>1.1567E-4</v>
      </c>
      <c r="F8030" s="25">
        <v>1.2409000000000001E-4</v>
      </c>
      <c r="G8030" s="25">
        <v>1.6169000000000001E-4</v>
      </c>
      <c r="H8030" s="25">
        <v>1.2214999999999999E-4</v>
      </c>
      <c r="I8030" s="9">
        <v>1.4344999999999999E-4</v>
      </c>
      <c r="J8030" s="9">
        <v>1.4789999999999999E-4</v>
      </c>
      <c r="K8030" s="9">
        <v>2.7551000000000002E-4</v>
      </c>
      <c r="L8030" s="9">
        <v>9.1100000000000005E-5</v>
      </c>
      <c r="M8030" s="9">
        <v>1.0647E-4</v>
      </c>
      <c r="N8030" s="9">
        <v>1.2430000000000001E-4</v>
      </c>
      <c r="O8030" s="9">
        <v>1.3009999999999999E-4</v>
      </c>
      <c r="P8030" s="9">
        <v>1.5606999999999999E-4</v>
      </c>
      <c r="Q8030" s="9">
        <v>1.8312E-4</v>
      </c>
      <c r="R8030" s="10">
        <v>4.0430698802070982E-5</v>
      </c>
      <c r="S8030" s="10">
        <v>6.6804362996771279E-5</v>
      </c>
      <c r="T8030" s="10">
        <v>1.4211201411488716E-5</v>
      </c>
      <c r="U8030" s="10">
        <v>1.2818000000000001E-4</v>
      </c>
      <c r="V8030" s="25"/>
      <c r="W8030" s="25"/>
      <c r="X8030" s="25"/>
      <c r="Y8030" s="25"/>
      <c r="Z8030" s="25"/>
      <c r="AA8030" s="25"/>
    </row>
    <row r="8031" spans="1:27" x14ac:dyDescent="0.35">
      <c r="A8031" s="5">
        <v>8027</v>
      </c>
      <c r="B8031" s="5">
        <v>335</v>
      </c>
      <c r="C8031" s="5">
        <v>12</v>
      </c>
      <c r="D8031" s="25">
        <v>1.1416E-4</v>
      </c>
      <c r="E8031" s="25">
        <v>1.1393E-4</v>
      </c>
      <c r="F8031" s="25">
        <v>1.2066999999999999E-4</v>
      </c>
      <c r="G8031" s="25">
        <v>1.6213999999999999E-4</v>
      </c>
      <c r="H8031" s="25">
        <v>1.2121E-4</v>
      </c>
      <c r="I8031" s="9">
        <v>1.4145999999999999E-4</v>
      </c>
      <c r="J8031" s="9">
        <v>1.4750000000000001E-4</v>
      </c>
      <c r="K8031" s="9">
        <v>2.6490999999999998E-4</v>
      </c>
      <c r="L8031" s="9">
        <v>1.2081E-4</v>
      </c>
      <c r="M8031" s="9">
        <v>1.3028000000000001E-4</v>
      </c>
      <c r="N8031" s="9">
        <v>1.4266999999999999E-4</v>
      </c>
      <c r="O8031" s="9">
        <v>1.3715999999999999E-4</v>
      </c>
      <c r="P8031" s="9">
        <v>1.5726E-4</v>
      </c>
      <c r="Q8031" s="9">
        <v>1.7870000000000001E-4</v>
      </c>
      <c r="R8031" s="10">
        <v>4.0170186327586E-5</v>
      </c>
      <c r="S8031" s="10">
        <v>5.9000839502268643E-5</v>
      </c>
      <c r="T8031" s="10">
        <v>5.0159177758042557E-5</v>
      </c>
      <c r="U8031" s="10">
        <v>1.2818000000000001E-4</v>
      </c>
      <c r="V8031" s="25"/>
      <c r="W8031" s="25"/>
      <c r="X8031" s="25"/>
      <c r="Y8031" s="25"/>
      <c r="Z8031" s="25"/>
      <c r="AA8031" s="25"/>
    </row>
    <row r="8032" spans="1:27" x14ac:dyDescent="0.35">
      <c r="A8032" s="5">
        <v>8028</v>
      </c>
      <c r="B8032" s="5">
        <v>335</v>
      </c>
      <c r="C8032" s="5">
        <v>12</v>
      </c>
      <c r="D8032" s="25">
        <v>1.1415000000000001E-4</v>
      </c>
      <c r="E8032" s="25">
        <v>1.1953E-4</v>
      </c>
      <c r="F8032" s="25">
        <v>1.2261999999999999E-4</v>
      </c>
      <c r="G8032" s="25">
        <v>1.5756E-4</v>
      </c>
      <c r="H8032" s="25">
        <v>1.2078000000000001E-4</v>
      </c>
      <c r="I8032" s="9">
        <v>1.4296999999999999E-4</v>
      </c>
      <c r="J8032" s="9">
        <v>1.4711999999999999E-4</v>
      </c>
      <c r="K8032" s="9">
        <v>2.5643999999999998E-4</v>
      </c>
      <c r="L8032" s="9">
        <v>1.3286E-4</v>
      </c>
      <c r="M8032" s="9">
        <v>1.4563999999999999E-4</v>
      </c>
      <c r="N8032" s="9">
        <v>1.5662E-4</v>
      </c>
      <c r="O8032" s="9">
        <v>1.3767E-4</v>
      </c>
      <c r="P8032" s="9">
        <v>1.5426E-4</v>
      </c>
      <c r="Q8032" s="9">
        <v>1.7227E-4</v>
      </c>
      <c r="R8032" s="10">
        <v>3.8134267016363228E-5</v>
      </c>
      <c r="S8032" s="10">
        <v>5.9201782120958701E-5</v>
      </c>
      <c r="T8032" s="10">
        <v>4.9751931389235714E-5</v>
      </c>
      <c r="U8032" s="10">
        <v>1.2818000000000001E-4</v>
      </c>
      <c r="V8032" s="25"/>
      <c r="W8032" s="25"/>
      <c r="X8032" s="25"/>
      <c r="Y8032" s="25"/>
      <c r="Z8032" s="25"/>
      <c r="AA8032" s="25"/>
    </row>
    <row r="8033" spans="1:27" x14ac:dyDescent="0.35">
      <c r="A8033" s="5">
        <v>8029</v>
      </c>
      <c r="B8033" s="5">
        <v>335</v>
      </c>
      <c r="C8033" s="5">
        <v>12</v>
      </c>
      <c r="D8033" s="25">
        <v>1.1416E-4</v>
      </c>
      <c r="E8033" s="25">
        <v>1.2078000000000001E-4</v>
      </c>
      <c r="F8033" s="25">
        <v>1.22E-4</v>
      </c>
      <c r="G8033" s="25">
        <v>1.5961E-4</v>
      </c>
      <c r="H8033" s="25">
        <v>1.2208999999999999E-4</v>
      </c>
      <c r="I8033" s="9">
        <v>1.3965000000000001E-4</v>
      </c>
      <c r="J8033" s="9">
        <v>1.4575999999999999E-4</v>
      </c>
      <c r="K8033" s="9">
        <v>2.6279999999999999E-4</v>
      </c>
      <c r="L8033" s="9">
        <v>1.3646E-4</v>
      </c>
      <c r="M8033" s="9">
        <v>1.5201E-4</v>
      </c>
      <c r="N8033" s="9">
        <v>1.6573E-4</v>
      </c>
      <c r="O8033" s="9">
        <v>1.3019E-4</v>
      </c>
      <c r="P8033" s="9">
        <v>1.4779999999999999E-4</v>
      </c>
      <c r="Q8033" s="9">
        <v>1.6663E-4</v>
      </c>
      <c r="R8033" s="10">
        <v>5.7712747405411967E-5</v>
      </c>
      <c r="S8033" s="10">
        <v>7.2658011519199109E-5</v>
      </c>
      <c r="T8033" s="10">
        <v>1.0635069235403644E-4</v>
      </c>
      <c r="U8033" s="10">
        <v>1.2818000000000001E-4</v>
      </c>
      <c r="V8033" s="25"/>
      <c r="W8033" s="25"/>
      <c r="X8033" s="25"/>
      <c r="Y8033" s="25"/>
      <c r="Z8033" s="25"/>
      <c r="AA8033" s="25"/>
    </row>
    <row r="8034" spans="1:27" x14ac:dyDescent="0.35">
      <c r="A8034" s="5">
        <v>8030</v>
      </c>
      <c r="B8034" s="5">
        <v>335</v>
      </c>
      <c r="C8034" s="5">
        <v>12</v>
      </c>
      <c r="D8034" s="25">
        <v>1.1415000000000001E-4</v>
      </c>
      <c r="E8034" s="25">
        <v>1.1571E-4</v>
      </c>
      <c r="F8034" s="25">
        <v>1.2506E-4</v>
      </c>
      <c r="G8034" s="25">
        <v>1.6372000000000001E-4</v>
      </c>
      <c r="H8034" s="25">
        <v>1.1599000000000001E-4</v>
      </c>
      <c r="I8034" s="9">
        <v>1.3907000000000001E-4</v>
      </c>
      <c r="J8034" s="9">
        <v>1.4568E-4</v>
      </c>
      <c r="K8034" s="9">
        <v>2.5856000000000002E-4</v>
      </c>
      <c r="L8034" s="9">
        <v>1.3165E-4</v>
      </c>
      <c r="M8034" s="9">
        <v>1.5165E-4</v>
      </c>
      <c r="N8034" s="9">
        <v>1.6990000000000001E-4</v>
      </c>
      <c r="O8034" s="9">
        <v>1.1396999999999999E-4</v>
      </c>
      <c r="P8034" s="9">
        <v>1.3766000000000001E-4</v>
      </c>
      <c r="Q8034" s="9">
        <v>1.6211E-4</v>
      </c>
      <c r="R8034" s="10">
        <v>8.1025018517401782E-5</v>
      </c>
      <c r="S8034" s="10">
        <v>8.5644750685776394E-5</v>
      </c>
      <c r="T8034" s="10">
        <v>3.2087620142238999E-5</v>
      </c>
      <c r="U8034" s="10">
        <v>1.2818000000000001E-4</v>
      </c>
      <c r="V8034" s="25"/>
      <c r="W8034" s="25"/>
      <c r="X8034" s="25"/>
      <c r="Y8034" s="25"/>
      <c r="Z8034" s="25"/>
      <c r="AA8034" s="25"/>
    </row>
    <row r="8035" spans="1:27" x14ac:dyDescent="0.35">
      <c r="A8035" s="5">
        <v>8031</v>
      </c>
      <c r="B8035" s="5">
        <v>335</v>
      </c>
      <c r="C8035" s="5">
        <v>12</v>
      </c>
      <c r="D8035" s="25">
        <v>1.1416E-4</v>
      </c>
      <c r="E8035" s="25">
        <v>1.1611E-4</v>
      </c>
      <c r="F8035" s="25">
        <v>1.1114E-4</v>
      </c>
      <c r="G8035" s="25">
        <v>1.6615999999999999E-4</v>
      </c>
      <c r="H8035" s="25">
        <v>1.2142999999999999E-4</v>
      </c>
      <c r="I8035" s="9">
        <v>1.3765000000000001E-4</v>
      </c>
      <c r="J8035" s="9">
        <v>1.4587000000000001E-4</v>
      </c>
      <c r="K8035" s="9">
        <v>2.6490999999999998E-4</v>
      </c>
      <c r="L8035" s="9">
        <v>1.1805E-4</v>
      </c>
      <c r="M8035" s="9">
        <v>1.4627999999999999E-4</v>
      </c>
      <c r="N8035" s="9">
        <v>1.6977E-4</v>
      </c>
      <c r="O8035" s="9">
        <v>1.2825E-4</v>
      </c>
      <c r="P8035" s="9">
        <v>1.3998E-4</v>
      </c>
      <c r="Q8035" s="9">
        <v>1.5296999999999999E-4</v>
      </c>
      <c r="R8035" s="10">
        <v>1.0104492989516655E-4</v>
      </c>
      <c r="S8035" s="10">
        <v>9.9996974924603554E-5</v>
      </c>
      <c r="T8035" s="10">
        <v>2.7209148015907053E-5</v>
      </c>
      <c r="U8035" s="10">
        <v>1.2818000000000001E-4</v>
      </c>
      <c r="V8035" s="25"/>
      <c r="W8035" s="25"/>
      <c r="X8035" s="25"/>
      <c r="Y8035" s="25"/>
      <c r="Z8035" s="25"/>
      <c r="AA8035" s="25"/>
    </row>
    <row r="8036" spans="1:27" x14ac:dyDescent="0.35">
      <c r="A8036" s="5">
        <v>8032</v>
      </c>
      <c r="B8036" s="5">
        <v>335</v>
      </c>
      <c r="C8036" s="5">
        <v>12</v>
      </c>
      <c r="D8036" s="25">
        <v>1.1415000000000001E-4</v>
      </c>
      <c r="E8036" s="25">
        <v>1.195E-4</v>
      </c>
      <c r="F8036" s="25">
        <v>1.3019E-4</v>
      </c>
      <c r="G8036" s="25">
        <v>1.6231000000000001E-4</v>
      </c>
      <c r="H8036" s="25">
        <v>1.2364E-4</v>
      </c>
      <c r="I8036" s="9">
        <v>1.3910999999999999E-4</v>
      </c>
      <c r="J8036" s="9">
        <v>1.4641E-4</v>
      </c>
      <c r="K8036" s="9">
        <v>2.6916E-4</v>
      </c>
      <c r="L8036" s="9">
        <v>1.2640000000000001E-4</v>
      </c>
      <c r="M8036" s="9">
        <v>1.4252000000000001E-4</v>
      </c>
      <c r="N8036" s="9">
        <v>1.6600999999999999E-4</v>
      </c>
      <c r="O8036" s="9">
        <v>1.3501999999999999E-4</v>
      </c>
      <c r="P8036" s="9">
        <v>1.2154000000000001E-4</v>
      </c>
      <c r="Q8036" s="9">
        <v>1.0986E-4</v>
      </c>
      <c r="R8036" s="10">
        <v>1.2788374015360686E-4</v>
      </c>
      <c r="S8036" s="10">
        <v>1.1874294596460994E-4</v>
      </c>
      <c r="T8036" s="10">
        <v>0</v>
      </c>
      <c r="U8036" s="10">
        <v>1.2818000000000001E-4</v>
      </c>
      <c r="V8036" s="25"/>
      <c r="W8036" s="25"/>
      <c r="X8036" s="25"/>
      <c r="Y8036" s="25"/>
      <c r="Z8036" s="25"/>
      <c r="AA8036" s="25"/>
    </row>
    <row r="8037" spans="1:27" x14ac:dyDescent="0.35">
      <c r="A8037" s="5">
        <v>8033</v>
      </c>
      <c r="B8037" s="5">
        <v>335</v>
      </c>
      <c r="C8037" s="5">
        <v>12</v>
      </c>
      <c r="D8037" s="25">
        <v>1.1416E-4</v>
      </c>
      <c r="E8037" s="25">
        <v>1.2439999999999999E-4</v>
      </c>
      <c r="F8037" s="25">
        <v>1.0825E-4</v>
      </c>
      <c r="G8037" s="25">
        <v>1.5819E-4</v>
      </c>
      <c r="H8037" s="25">
        <v>1.2229E-4</v>
      </c>
      <c r="I8037" s="9">
        <v>1.4200000000000001E-4</v>
      </c>
      <c r="J8037" s="9">
        <v>1.5035E-4</v>
      </c>
      <c r="K8037" s="9">
        <v>2.7975E-4</v>
      </c>
      <c r="L8037" s="9">
        <v>1.3285E-4</v>
      </c>
      <c r="M8037" s="9">
        <v>1.3412E-4</v>
      </c>
      <c r="N8037" s="9">
        <v>1.5239999999999999E-4</v>
      </c>
      <c r="O8037" s="9">
        <v>1.4025999999999999E-4</v>
      </c>
      <c r="P8037" s="9">
        <v>1.2239E-4</v>
      </c>
      <c r="Q8037" s="9">
        <v>1.0652E-4</v>
      </c>
      <c r="R8037" s="10">
        <v>1.6048948946308046E-4</v>
      </c>
      <c r="S8037" s="10">
        <v>1.3716423446319691E-4</v>
      </c>
      <c r="T8037" s="10">
        <v>0</v>
      </c>
      <c r="U8037" s="10">
        <v>1.2818000000000001E-4</v>
      </c>
      <c r="V8037" s="25"/>
      <c r="W8037" s="25"/>
      <c r="X8037" s="25"/>
      <c r="Y8037" s="25"/>
      <c r="Z8037" s="25"/>
      <c r="AA8037" s="25"/>
    </row>
    <row r="8038" spans="1:27" x14ac:dyDescent="0.35">
      <c r="A8038" s="5">
        <v>8034</v>
      </c>
      <c r="B8038" s="5">
        <v>335</v>
      </c>
      <c r="C8038" s="5">
        <v>12</v>
      </c>
      <c r="D8038" s="25">
        <v>1.1415000000000001E-4</v>
      </c>
      <c r="E8038" s="25">
        <v>1.2192E-4</v>
      </c>
      <c r="F8038" s="25">
        <v>1.2559999999999999E-4</v>
      </c>
      <c r="G8038" s="25">
        <v>1.6227E-4</v>
      </c>
      <c r="H8038" s="25">
        <v>1.1603E-4</v>
      </c>
      <c r="I8038" s="9">
        <v>1.5153000000000001E-4</v>
      </c>
      <c r="J8038" s="9">
        <v>1.5731E-4</v>
      </c>
      <c r="K8038" s="9">
        <v>2.7338999999999998E-4</v>
      </c>
      <c r="L8038" s="9">
        <v>1.3835E-4</v>
      </c>
      <c r="M8038" s="9">
        <v>1.2774999999999999E-4</v>
      </c>
      <c r="N8038" s="9">
        <v>1.3903E-4</v>
      </c>
      <c r="O8038" s="9">
        <v>1.4197E-4</v>
      </c>
      <c r="P8038" s="9">
        <v>1.2897000000000001E-4</v>
      </c>
      <c r="Q8038" s="9">
        <v>1.1790000000000001E-4</v>
      </c>
      <c r="R8038" s="10">
        <v>1.8305782214437488E-4</v>
      </c>
      <c r="S8038" s="10">
        <v>1.5146854850786503E-4</v>
      </c>
      <c r="T8038" s="10">
        <v>0</v>
      </c>
      <c r="U8038" s="10">
        <v>1.2818000000000001E-4</v>
      </c>
      <c r="V8038" s="25"/>
      <c r="W8038" s="25"/>
      <c r="X8038" s="25"/>
      <c r="Y8038" s="25"/>
      <c r="Z8038" s="25"/>
      <c r="AA8038" s="25"/>
    </row>
    <row r="8039" spans="1:27" x14ac:dyDescent="0.35">
      <c r="A8039" s="5">
        <v>8035</v>
      </c>
      <c r="B8039" s="5">
        <v>335</v>
      </c>
      <c r="C8039" s="5">
        <v>12</v>
      </c>
      <c r="D8039" s="25">
        <v>1.1416E-4</v>
      </c>
      <c r="E8039" s="25">
        <v>1.2345999999999999E-4</v>
      </c>
      <c r="F8039" s="25">
        <v>1.0784E-4</v>
      </c>
      <c r="G8039" s="25">
        <v>1.1448E-4</v>
      </c>
      <c r="H8039" s="25">
        <v>7.9309999999999998E-5</v>
      </c>
      <c r="I8039" s="9">
        <v>1.5038000000000001E-4</v>
      </c>
      <c r="J8039" s="9">
        <v>1.5048000000000001E-4</v>
      </c>
      <c r="K8039" s="9">
        <v>2.7975E-4</v>
      </c>
      <c r="L8039" s="9">
        <v>1.4108999999999999E-4</v>
      </c>
      <c r="M8039" s="9">
        <v>1.2672000000000001E-4</v>
      </c>
      <c r="N8039" s="9">
        <v>1.3006000000000001E-4</v>
      </c>
      <c r="O8039" s="9">
        <v>1.4129999999999999E-4</v>
      </c>
      <c r="P8039" s="9">
        <v>1.2276999999999999E-4</v>
      </c>
      <c r="Q8039" s="9">
        <v>1.0626E-4</v>
      </c>
      <c r="R8039" s="10">
        <v>2.0122355863954724E-4</v>
      </c>
      <c r="S8039" s="10">
        <v>1.5938136067407795E-4</v>
      </c>
      <c r="T8039" s="10">
        <v>0</v>
      </c>
      <c r="U8039" s="10">
        <v>1.2818000000000001E-4</v>
      </c>
      <c r="V8039" s="25"/>
      <c r="W8039" s="25"/>
      <c r="X8039" s="25"/>
      <c r="Y8039" s="25"/>
      <c r="Z8039" s="25"/>
      <c r="AA8039" s="25"/>
    </row>
    <row r="8040" spans="1:27" x14ac:dyDescent="0.35">
      <c r="A8040" s="5">
        <v>8036</v>
      </c>
      <c r="B8040" s="5">
        <v>335</v>
      </c>
      <c r="C8040" s="5">
        <v>12</v>
      </c>
      <c r="D8040" s="25">
        <v>1.1415000000000001E-4</v>
      </c>
      <c r="E8040" s="25">
        <v>1.2121E-4</v>
      </c>
      <c r="F8040" s="25">
        <v>1.109E-4</v>
      </c>
      <c r="G8040" s="25">
        <v>1.0979E-4</v>
      </c>
      <c r="H8040" s="25">
        <v>8.3200000000000003E-5</v>
      </c>
      <c r="I8040" s="9">
        <v>1.4531E-4</v>
      </c>
      <c r="J8040" s="9">
        <v>1.4505E-4</v>
      </c>
      <c r="K8040" s="9">
        <v>2.8611000000000001E-4</v>
      </c>
      <c r="L8040" s="9">
        <v>1.4123E-4</v>
      </c>
      <c r="M8040" s="9">
        <v>1.2531E-4</v>
      </c>
      <c r="N8040" s="9">
        <v>1.2076E-4</v>
      </c>
      <c r="O8040" s="9">
        <v>1.4327E-4</v>
      </c>
      <c r="P8040" s="9">
        <v>1.2095999999999999E-4</v>
      </c>
      <c r="Q8040" s="9">
        <v>1.0077999999999999E-4</v>
      </c>
      <c r="R8040" s="10">
        <v>2.0973993974642572E-4</v>
      </c>
      <c r="S8040" s="10">
        <v>1.6977262235410467E-4</v>
      </c>
      <c r="T8040" s="10">
        <v>0</v>
      </c>
      <c r="U8040" s="10">
        <v>1.2818000000000001E-4</v>
      </c>
      <c r="V8040" s="25"/>
      <c r="W8040" s="25"/>
      <c r="X8040" s="25"/>
      <c r="Y8040" s="25"/>
      <c r="Z8040" s="25"/>
      <c r="AA8040" s="25"/>
    </row>
    <row r="8041" spans="1:27" x14ac:dyDescent="0.35">
      <c r="A8041" s="5">
        <v>8037</v>
      </c>
      <c r="B8041" s="5">
        <v>335</v>
      </c>
      <c r="C8041" s="5">
        <v>12</v>
      </c>
      <c r="D8041" s="25">
        <v>1.1416E-4</v>
      </c>
      <c r="E8041" s="25">
        <v>1.2327E-4</v>
      </c>
      <c r="F8041" s="25">
        <v>1.1445E-4</v>
      </c>
      <c r="G8041" s="25">
        <v>5.8770000000000001E-5</v>
      </c>
      <c r="H8041" s="25">
        <v>3.9919999999999997E-5</v>
      </c>
      <c r="I8041" s="9">
        <v>1.3888999999999999E-4</v>
      </c>
      <c r="J8041" s="9">
        <v>1.3800999999999999E-4</v>
      </c>
      <c r="K8041" s="9">
        <v>2.8186999999999998E-4</v>
      </c>
      <c r="L8041" s="9">
        <v>1.4285E-4</v>
      </c>
      <c r="M8041" s="9">
        <v>1.2339999999999999E-4</v>
      </c>
      <c r="N8041" s="9">
        <v>1.1281999999999999E-4</v>
      </c>
      <c r="O8041" s="9">
        <v>8.5060000000000002E-5</v>
      </c>
      <c r="P8041" s="9">
        <v>8.6550000000000003E-5</v>
      </c>
      <c r="Q8041" s="9">
        <v>8.8549999999999998E-5</v>
      </c>
      <c r="R8041" s="10">
        <v>2.1235347173486385E-4</v>
      </c>
      <c r="S8041" s="10">
        <v>1.899923519036103E-4</v>
      </c>
      <c r="T8041" s="10">
        <v>0</v>
      </c>
      <c r="U8041" s="10">
        <v>1.2818000000000001E-4</v>
      </c>
      <c r="V8041" s="25"/>
      <c r="W8041" s="25"/>
      <c r="X8041" s="25"/>
      <c r="Y8041" s="25"/>
      <c r="Z8041" s="25"/>
      <c r="AA8041" s="25"/>
    </row>
    <row r="8042" spans="1:27" x14ac:dyDescent="0.35">
      <c r="A8042" s="5">
        <v>8038</v>
      </c>
      <c r="B8042" s="5">
        <v>335</v>
      </c>
      <c r="C8042" s="5">
        <v>12</v>
      </c>
      <c r="D8042" s="25">
        <v>1.1415000000000001E-4</v>
      </c>
      <c r="E8042" s="25">
        <v>1.1874E-4</v>
      </c>
      <c r="F8042" s="25">
        <v>1.114E-4</v>
      </c>
      <c r="G8042" s="25">
        <v>5.3319999999999998E-5</v>
      </c>
      <c r="H8042" s="25">
        <v>3.9520000000000001E-5</v>
      </c>
      <c r="I8042" s="9">
        <v>1.3133E-4</v>
      </c>
      <c r="J8042" s="9">
        <v>1.2968999999999999E-4</v>
      </c>
      <c r="K8042" s="9">
        <v>2.8186999999999998E-4</v>
      </c>
      <c r="L8042" s="9">
        <v>9.7739999999999996E-5</v>
      </c>
      <c r="M8042" s="9">
        <v>1.0959999999999999E-4</v>
      </c>
      <c r="N8042" s="9">
        <v>1.0527999999999999E-4</v>
      </c>
      <c r="O8042" s="9">
        <v>8.6799999999999996E-5</v>
      </c>
      <c r="P8042" s="9">
        <v>8.6849999999999997E-5</v>
      </c>
      <c r="Q8042" s="9">
        <v>8.7490000000000004E-5</v>
      </c>
      <c r="R8042" s="10">
        <v>2.1242228627861516E-4</v>
      </c>
      <c r="S8042" s="10">
        <v>1.9029020759484994E-4</v>
      </c>
      <c r="T8042" s="10">
        <v>0</v>
      </c>
      <c r="U8042" s="10">
        <v>1.2818000000000001E-4</v>
      </c>
      <c r="V8042" s="25"/>
      <c r="W8042" s="25"/>
      <c r="X8042" s="25"/>
      <c r="Y8042" s="25"/>
      <c r="Z8042" s="25"/>
      <c r="AA8042" s="25"/>
    </row>
    <row r="8043" spans="1:27" x14ac:dyDescent="0.35">
      <c r="A8043" s="5">
        <v>8039</v>
      </c>
      <c r="B8043" s="5">
        <v>335</v>
      </c>
      <c r="C8043" s="5">
        <v>12</v>
      </c>
      <c r="D8043" s="25">
        <v>1.1416E-4</v>
      </c>
      <c r="E8043" s="25">
        <v>1.2389000000000001E-4</v>
      </c>
      <c r="F8043" s="25">
        <v>1.2329999999999999E-4</v>
      </c>
      <c r="G8043" s="25">
        <v>6.1600000000000007E-5</v>
      </c>
      <c r="H8043" s="25">
        <v>4.5599999999999997E-5</v>
      </c>
      <c r="I8043" s="9">
        <v>1.3229999999999999E-4</v>
      </c>
      <c r="J8043" s="9">
        <v>1.2003E-4</v>
      </c>
      <c r="K8043" s="9">
        <v>2.9247000000000002E-4</v>
      </c>
      <c r="L8043" s="9">
        <v>9.0450000000000003E-5</v>
      </c>
      <c r="M8043" s="9">
        <v>9.7720000000000006E-5</v>
      </c>
      <c r="N8043" s="9">
        <v>9.9359999999999997E-5</v>
      </c>
      <c r="O8043" s="9">
        <v>8.4060000000000005E-5</v>
      </c>
      <c r="P8043" s="9">
        <v>7.483E-5</v>
      </c>
      <c r="Q8043" s="9">
        <v>6.6290000000000004E-5</v>
      </c>
      <c r="R8043" s="10">
        <v>2.1240339423027793E-4</v>
      </c>
      <c r="S8043" s="10">
        <v>1.9029020759484994E-4</v>
      </c>
      <c r="T8043" s="10">
        <v>0</v>
      </c>
      <c r="U8043" s="10">
        <v>1.2818000000000001E-4</v>
      </c>
      <c r="V8043" s="25"/>
      <c r="W8043" s="25"/>
      <c r="X8043" s="25"/>
      <c r="Y8043" s="25"/>
      <c r="Z8043" s="25"/>
      <c r="AA8043" s="25"/>
    </row>
    <row r="8044" spans="1:27" x14ac:dyDescent="0.35">
      <c r="A8044" s="5">
        <v>8040</v>
      </c>
      <c r="B8044" s="5">
        <v>335</v>
      </c>
      <c r="C8044" s="5">
        <v>12</v>
      </c>
      <c r="D8044" s="25">
        <v>1.1415000000000001E-4</v>
      </c>
      <c r="E8044" s="25">
        <v>1.1736E-4</v>
      </c>
      <c r="F8044" s="25">
        <v>1.2637E-4</v>
      </c>
      <c r="G8044" s="25">
        <v>6.2479999999999998E-5</v>
      </c>
      <c r="H8044" s="25">
        <v>4.3900000000000003E-5</v>
      </c>
      <c r="I8044" s="9">
        <v>1.3057999999999999E-4</v>
      </c>
      <c r="J8044" s="9">
        <v>1.1147E-4</v>
      </c>
      <c r="K8044" s="9">
        <v>2.9458000000000002E-4</v>
      </c>
      <c r="L8044" s="9">
        <v>8.5699999999999996E-5</v>
      </c>
      <c r="M8044" s="9">
        <v>8.6689999999999998E-5</v>
      </c>
      <c r="N8044" s="9">
        <v>9.0030000000000004E-5</v>
      </c>
      <c r="O8044" s="9">
        <v>7.9430000000000004E-5</v>
      </c>
      <c r="P8044" s="9">
        <v>6.8919999999999997E-5</v>
      </c>
      <c r="Q8044" s="9">
        <v>5.8990000000000003E-5</v>
      </c>
      <c r="R8044" s="10">
        <v>2.1228586583521444E-4</v>
      </c>
      <c r="S8044" s="10">
        <v>1.9028868849542874E-4</v>
      </c>
      <c r="T8044" s="10">
        <v>0</v>
      </c>
      <c r="U8044" s="10">
        <v>1.2818000000000001E-4</v>
      </c>
      <c r="V8044" s="25"/>
      <c r="W8044" s="25"/>
      <c r="X8044" s="25"/>
      <c r="Y8044" s="25"/>
      <c r="Z8044" s="25"/>
      <c r="AA8044" s="25"/>
    </row>
    <row r="8045" spans="1:27" x14ac:dyDescent="0.35">
      <c r="A8045" s="5">
        <v>8041</v>
      </c>
      <c r="B8045" s="5">
        <v>336</v>
      </c>
      <c r="C8045" s="5">
        <v>12</v>
      </c>
      <c r="D8045" s="25">
        <v>1.1416E-4</v>
      </c>
      <c r="E8045" s="25">
        <v>1.0436E-4</v>
      </c>
      <c r="F8045" s="25">
        <v>1.1751E-4</v>
      </c>
      <c r="G8045" s="25">
        <v>5.7399999999999999E-5</v>
      </c>
      <c r="H8045" s="25">
        <v>1.451E-5</v>
      </c>
      <c r="I8045" s="9">
        <v>1.2381999999999999E-4</v>
      </c>
      <c r="J8045" s="9">
        <v>1.047E-4</v>
      </c>
      <c r="K8045" s="9">
        <v>2.967E-4</v>
      </c>
      <c r="L8045" s="9">
        <v>8.0610000000000002E-5</v>
      </c>
      <c r="M8045" s="9">
        <v>7.7789999999999999E-5</v>
      </c>
      <c r="N8045" s="9">
        <v>8.0760000000000006E-5</v>
      </c>
      <c r="O8045" s="9">
        <v>6.8109999999999997E-5</v>
      </c>
      <c r="P8045" s="9">
        <v>6.0640000000000002E-5</v>
      </c>
      <c r="Q8045" s="9">
        <v>5.3480000000000003E-5</v>
      </c>
      <c r="R8045" s="10">
        <v>2.121579406480298E-4</v>
      </c>
      <c r="S8045" s="10">
        <v>1.9025986420696063E-4</v>
      </c>
      <c r="T8045" s="10">
        <v>0</v>
      </c>
      <c r="U8045" s="10">
        <v>1.2617999999999999E-4</v>
      </c>
      <c r="V8045" s="25"/>
      <c r="W8045" s="25"/>
      <c r="X8045" s="25"/>
      <c r="Y8045" s="25"/>
      <c r="Z8045" s="25"/>
      <c r="AA8045" s="25"/>
    </row>
    <row r="8046" spans="1:27" x14ac:dyDescent="0.35">
      <c r="A8046" s="5">
        <v>8042</v>
      </c>
      <c r="B8046" s="5">
        <v>336</v>
      </c>
      <c r="C8046" s="5">
        <v>12</v>
      </c>
      <c r="D8046" s="25">
        <v>1.1415000000000001E-4</v>
      </c>
      <c r="E8046" s="25">
        <v>1.0527999999999999E-4</v>
      </c>
      <c r="F8046" s="25">
        <v>1.2291E-4</v>
      </c>
      <c r="G8046" s="25">
        <v>5.77E-5</v>
      </c>
      <c r="H8046" s="25">
        <v>1.5E-5</v>
      </c>
      <c r="I8046" s="9">
        <v>1.1902E-4</v>
      </c>
      <c r="J8046" s="9">
        <v>1.0052000000000001E-4</v>
      </c>
      <c r="K8046" s="9">
        <v>3.0093999999999997E-4</v>
      </c>
      <c r="L8046" s="9">
        <v>7.0980000000000001E-5</v>
      </c>
      <c r="M8046" s="9">
        <v>6.9549999999999996E-5</v>
      </c>
      <c r="N8046" s="9">
        <v>7.1790000000000002E-5</v>
      </c>
      <c r="O8046" s="9">
        <v>3.5040000000000003E-5</v>
      </c>
      <c r="P8046" s="9">
        <v>4.6140000000000002E-5</v>
      </c>
      <c r="Q8046" s="9">
        <v>5.6549999999999999E-5</v>
      </c>
      <c r="R8046" s="10">
        <v>2.1155564564278459E-4</v>
      </c>
      <c r="S8046" s="10">
        <v>1.902470406462534E-4</v>
      </c>
      <c r="T8046" s="10">
        <v>0</v>
      </c>
      <c r="U8046" s="10">
        <v>1.2617999999999999E-4</v>
      </c>
      <c r="V8046" s="25"/>
      <c r="W8046" s="25"/>
      <c r="X8046" s="25"/>
      <c r="Y8046" s="25"/>
      <c r="Z8046" s="25"/>
      <c r="AA8046" s="25"/>
    </row>
    <row r="8047" spans="1:27" x14ac:dyDescent="0.35">
      <c r="A8047" s="5">
        <v>8043</v>
      </c>
      <c r="B8047" s="5">
        <v>336</v>
      </c>
      <c r="C8047" s="5">
        <v>12</v>
      </c>
      <c r="D8047" s="25">
        <v>1.1416E-4</v>
      </c>
      <c r="E8047" s="25">
        <v>1.0586000000000001E-4</v>
      </c>
      <c r="F8047" s="25">
        <v>1.1786E-4</v>
      </c>
      <c r="G8047" s="25">
        <v>5.4190000000000001E-5</v>
      </c>
      <c r="H8047" s="25">
        <v>1.385E-5</v>
      </c>
      <c r="I8047" s="9">
        <v>1.1491E-4</v>
      </c>
      <c r="J8047" s="9">
        <v>9.7700000000000003E-5</v>
      </c>
      <c r="K8047" s="9">
        <v>3.0729999999999999E-4</v>
      </c>
      <c r="L8047" s="9">
        <v>4.32E-5</v>
      </c>
      <c r="M8047" s="9">
        <v>5.9179999999999999E-5</v>
      </c>
      <c r="N8047" s="9">
        <v>6.5389999999999996E-5</v>
      </c>
      <c r="O8047" s="9">
        <v>2.1310000000000001E-5</v>
      </c>
      <c r="P8047" s="9">
        <v>4.1739999999999997E-5</v>
      </c>
      <c r="Q8047" s="9">
        <v>6.1050000000000007E-5</v>
      </c>
      <c r="R8047" s="10">
        <v>2.1091734016007483E-4</v>
      </c>
      <c r="S8047" s="10">
        <v>1.9026718716097242E-4</v>
      </c>
      <c r="T8047" s="10">
        <v>0</v>
      </c>
      <c r="U8047" s="10">
        <v>1.2617999999999999E-4</v>
      </c>
      <c r="V8047" s="25"/>
      <c r="W8047" s="25"/>
      <c r="X8047" s="25"/>
      <c r="Y8047" s="25"/>
      <c r="Z8047" s="25"/>
      <c r="AA8047" s="25"/>
    </row>
    <row r="8048" spans="1:27" x14ac:dyDescent="0.35">
      <c r="A8048" s="5">
        <v>8044</v>
      </c>
      <c r="B8048" s="5">
        <v>336</v>
      </c>
      <c r="C8048" s="5">
        <v>12</v>
      </c>
      <c r="D8048" s="25">
        <v>1.1415000000000001E-4</v>
      </c>
      <c r="E8048" s="25">
        <v>1.15E-4</v>
      </c>
      <c r="F8048" s="25">
        <v>1.0955000000000001E-4</v>
      </c>
      <c r="G8048" s="25">
        <v>5.3699999999999997E-5</v>
      </c>
      <c r="H8048" s="25">
        <v>1.411E-5</v>
      </c>
      <c r="I8048" s="9">
        <v>1.1212E-4</v>
      </c>
      <c r="J8048" s="9">
        <v>9.6869999999999999E-5</v>
      </c>
      <c r="K8048" s="9">
        <v>3.0941999999999998E-4</v>
      </c>
      <c r="L8048" s="9">
        <v>2.6869999999999999E-5</v>
      </c>
      <c r="M8048" s="9">
        <v>5.0399999999999999E-5</v>
      </c>
      <c r="N8048" s="9">
        <v>6.1779999999999995E-5</v>
      </c>
      <c r="O8048" s="9">
        <v>2.0789999999999999E-5</v>
      </c>
      <c r="P8048" s="9">
        <v>5.0909999999999999E-5</v>
      </c>
      <c r="Q8048" s="9">
        <v>7.9759999999999995E-5</v>
      </c>
      <c r="R8048" s="10">
        <v>2.1052413838101164E-4</v>
      </c>
      <c r="S8048" s="10">
        <v>1.9028427376003941E-4</v>
      </c>
      <c r="T8048" s="10">
        <v>0</v>
      </c>
      <c r="U8048" s="10">
        <v>1.2617999999999999E-4</v>
      </c>
      <c r="V8048" s="25"/>
      <c r="W8048" s="25"/>
      <c r="X8048" s="25"/>
      <c r="Y8048" s="25"/>
      <c r="Z8048" s="25"/>
      <c r="AA8048" s="25"/>
    </row>
    <row r="8049" spans="1:27" x14ac:dyDescent="0.35">
      <c r="A8049" s="5">
        <v>8045</v>
      </c>
      <c r="B8049" s="5">
        <v>336</v>
      </c>
      <c r="C8049" s="5">
        <v>12</v>
      </c>
      <c r="D8049" s="25">
        <v>1.1416E-4</v>
      </c>
      <c r="E8049" s="25">
        <v>1.0503E-4</v>
      </c>
      <c r="F8049" s="25">
        <v>1.3153000000000001E-4</v>
      </c>
      <c r="G8049" s="25">
        <v>5.3319999999999998E-5</v>
      </c>
      <c r="H8049" s="25">
        <v>1.419E-5</v>
      </c>
      <c r="I8049" s="9">
        <v>1.1268E-4</v>
      </c>
      <c r="J8049" s="9">
        <v>9.7100000000000002E-5</v>
      </c>
      <c r="K8049" s="9">
        <v>3.0941999999999998E-4</v>
      </c>
      <c r="L8049" s="9">
        <v>2.2529999999999999E-5</v>
      </c>
      <c r="M8049" s="9">
        <v>4.8539999999999999E-5</v>
      </c>
      <c r="N8049" s="9">
        <v>6.4239999999999995E-5</v>
      </c>
      <c r="O8049" s="9">
        <v>2.2840000000000002E-5</v>
      </c>
      <c r="P8049" s="9">
        <v>5.8839999999999999E-5</v>
      </c>
      <c r="Q8049" s="9">
        <v>9.3510000000000004E-5</v>
      </c>
      <c r="R8049" s="10">
        <v>2.1076067916483241E-4</v>
      </c>
      <c r="S8049" s="10">
        <v>1.9028395597309625E-4</v>
      </c>
      <c r="T8049" s="10">
        <v>0</v>
      </c>
      <c r="U8049" s="10">
        <v>1.2617999999999999E-4</v>
      </c>
      <c r="V8049" s="25"/>
      <c r="W8049" s="25"/>
      <c r="X8049" s="25"/>
      <c r="Y8049" s="25"/>
      <c r="Z8049" s="25"/>
      <c r="AA8049" s="25"/>
    </row>
    <row r="8050" spans="1:27" x14ac:dyDescent="0.35">
      <c r="A8050" s="5">
        <v>8046</v>
      </c>
      <c r="B8050" s="5">
        <v>336</v>
      </c>
      <c r="C8050" s="5">
        <v>12</v>
      </c>
      <c r="D8050" s="25">
        <v>1.1415000000000001E-4</v>
      </c>
      <c r="E8050" s="25">
        <v>1.0668E-4</v>
      </c>
      <c r="F8050" s="25">
        <v>1.1058E-4</v>
      </c>
      <c r="G8050" s="25">
        <v>1.1497000000000001E-4</v>
      </c>
      <c r="H8050" s="25">
        <v>2.798E-5</v>
      </c>
      <c r="I8050" s="9">
        <v>1.1777000000000001E-4</v>
      </c>
      <c r="J8050" s="9">
        <v>1.0141000000000001E-4</v>
      </c>
      <c r="K8050" s="9">
        <v>3.0941999999999998E-4</v>
      </c>
      <c r="L8050" s="9">
        <v>2.27E-5</v>
      </c>
      <c r="M8050" s="9">
        <v>5.2110000000000001E-5</v>
      </c>
      <c r="N8050" s="9">
        <v>7.0790000000000005E-5</v>
      </c>
      <c r="O8050" s="9">
        <v>2.9430000000000001E-5</v>
      </c>
      <c r="P8050" s="9">
        <v>6.9170000000000004E-5</v>
      </c>
      <c r="Q8050" s="9">
        <v>1.0764000000000001E-4</v>
      </c>
      <c r="R8050" s="10">
        <v>2.1010206513733808E-4</v>
      </c>
      <c r="S8050" s="10">
        <v>1.9028182341496828E-4</v>
      </c>
      <c r="T8050" s="10">
        <v>0</v>
      </c>
      <c r="U8050" s="10">
        <v>1.2617999999999999E-4</v>
      </c>
      <c r="V8050" s="25"/>
      <c r="W8050" s="25"/>
      <c r="X8050" s="25"/>
      <c r="Y8050" s="25"/>
      <c r="Z8050" s="25"/>
      <c r="AA8050" s="25"/>
    </row>
    <row r="8051" spans="1:27" x14ac:dyDescent="0.35">
      <c r="A8051" s="5">
        <v>8047</v>
      </c>
      <c r="B8051" s="5">
        <v>336</v>
      </c>
      <c r="C8051" s="5">
        <v>12</v>
      </c>
      <c r="D8051" s="25">
        <v>1.1416E-4</v>
      </c>
      <c r="E8051" s="25">
        <v>1.0757E-4</v>
      </c>
      <c r="F8051" s="25">
        <v>1.2369E-4</v>
      </c>
      <c r="G8051" s="25">
        <v>1.0812E-4</v>
      </c>
      <c r="H8051" s="25">
        <v>2.6109999999999999E-5</v>
      </c>
      <c r="I8051" s="9">
        <v>1.3174000000000001E-4</v>
      </c>
      <c r="J8051" s="9">
        <v>1.1389E-4</v>
      </c>
      <c r="K8051" s="9">
        <v>3.0941999999999998E-4</v>
      </c>
      <c r="L8051" s="9">
        <v>2.7849999999999999E-5</v>
      </c>
      <c r="M8051" s="9">
        <v>5.9320000000000001E-5</v>
      </c>
      <c r="N8051" s="9">
        <v>8.0669999999999998E-5</v>
      </c>
      <c r="O8051" s="9">
        <v>4.5519999999999998E-5</v>
      </c>
      <c r="P8051" s="9">
        <v>7.8839999999999997E-5</v>
      </c>
      <c r="Q8051" s="9">
        <v>1.1137E-4</v>
      </c>
      <c r="R8051" s="10">
        <v>2.0897725170202628E-4</v>
      </c>
      <c r="S8051" s="10">
        <v>1.9027048579376937E-4</v>
      </c>
      <c r="T8051" s="10">
        <v>0</v>
      </c>
      <c r="U8051" s="10">
        <v>1.2617999999999999E-4</v>
      </c>
      <c r="V8051" s="25"/>
      <c r="W8051" s="25"/>
      <c r="X8051" s="25"/>
      <c r="Y8051" s="25"/>
      <c r="Z8051" s="25"/>
      <c r="AA8051" s="25"/>
    </row>
    <row r="8052" spans="1:27" x14ac:dyDescent="0.35">
      <c r="A8052" s="5">
        <v>8048</v>
      </c>
      <c r="B8052" s="5">
        <v>336</v>
      </c>
      <c r="C8052" s="5">
        <v>12</v>
      </c>
      <c r="D8052" s="25">
        <v>1.1415000000000001E-4</v>
      </c>
      <c r="E8052" s="25">
        <v>1.1505E-4</v>
      </c>
      <c r="F8052" s="25">
        <v>1.1962E-4</v>
      </c>
      <c r="G8052" s="25">
        <v>1.5749000000000001E-4</v>
      </c>
      <c r="H8052" s="25">
        <v>4.0949999999999999E-5</v>
      </c>
      <c r="I8052" s="9">
        <v>1.4367000000000001E-4</v>
      </c>
      <c r="J8052" s="9">
        <v>1.3378000000000001E-4</v>
      </c>
      <c r="K8052" s="9">
        <v>3.0093999999999997E-4</v>
      </c>
      <c r="L8052" s="9">
        <v>4.1470000000000001E-5</v>
      </c>
      <c r="M8052" s="9">
        <v>6.8170000000000006E-5</v>
      </c>
      <c r="N8052" s="9">
        <v>9.0550000000000005E-5</v>
      </c>
      <c r="O8052" s="9">
        <v>6.847E-5</v>
      </c>
      <c r="P8052" s="9">
        <v>1.0297E-4</v>
      </c>
      <c r="Q8052" s="9">
        <v>1.371E-4</v>
      </c>
      <c r="R8052" s="10">
        <v>2.0859159395557602E-4</v>
      </c>
      <c r="S8052" s="10">
        <v>1.9018522976705927E-4</v>
      </c>
      <c r="T8052" s="10">
        <v>0</v>
      </c>
      <c r="U8052" s="10">
        <v>1.2617999999999999E-4</v>
      </c>
      <c r="V8052" s="25"/>
      <c r="W8052" s="25"/>
      <c r="X8052" s="25"/>
      <c r="Y8052" s="25"/>
      <c r="Z8052" s="25"/>
      <c r="AA8052" s="25"/>
    </row>
    <row r="8053" spans="1:27" x14ac:dyDescent="0.35">
      <c r="A8053" s="5">
        <v>8049</v>
      </c>
      <c r="B8053" s="5">
        <v>336</v>
      </c>
      <c r="C8053" s="5">
        <v>12</v>
      </c>
      <c r="D8053" s="25">
        <v>1.1416E-4</v>
      </c>
      <c r="E8053" s="25">
        <v>1.0801E-4</v>
      </c>
      <c r="F8053" s="25">
        <v>1.2603000000000001E-4</v>
      </c>
      <c r="G8053" s="25">
        <v>1.6705999999999999E-4</v>
      </c>
      <c r="H8053" s="25">
        <v>3.8949999999999998E-5</v>
      </c>
      <c r="I8053" s="9">
        <v>1.4588000000000001E-4</v>
      </c>
      <c r="J8053" s="9">
        <v>1.4337E-4</v>
      </c>
      <c r="K8053" s="9">
        <v>2.8610000000000002E-4</v>
      </c>
      <c r="L8053" s="9">
        <v>6.2160000000000001E-5</v>
      </c>
      <c r="M8053" s="9">
        <v>8.2880000000000006E-5</v>
      </c>
      <c r="N8053" s="9">
        <v>1.0443E-4</v>
      </c>
      <c r="O8053" s="9">
        <v>1.0090999999999999E-4</v>
      </c>
      <c r="P8053" s="9">
        <v>1.3934E-4</v>
      </c>
      <c r="Q8053" s="9">
        <v>1.7804E-4</v>
      </c>
      <c r="R8053" s="10">
        <v>2.0863912746604148E-4</v>
      </c>
      <c r="S8053" s="10">
        <v>1.9019737523631649E-4</v>
      </c>
      <c r="T8053" s="10">
        <v>1.2259812560955937E-5</v>
      </c>
      <c r="U8053" s="10">
        <v>1.2617999999999999E-4</v>
      </c>
      <c r="V8053" s="25"/>
      <c r="W8053" s="25"/>
      <c r="X8053" s="25"/>
      <c r="Y8053" s="25"/>
      <c r="Z8053" s="25"/>
      <c r="AA8053" s="25"/>
    </row>
    <row r="8054" spans="1:27" x14ac:dyDescent="0.35">
      <c r="A8054" s="5">
        <v>8050</v>
      </c>
      <c r="B8054" s="5">
        <v>336</v>
      </c>
      <c r="C8054" s="5">
        <v>12</v>
      </c>
      <c r="D8054" s="25">
        <v>1.1415000000000001E-4</v>
      </c>
      <c r="E8054" s="25">
        <v>1.0692999999999999E-4</v>
      </c>
      <c r="F8054" s="25">
        <v>1.1694E-4</v>
      </c>
      <c r="G8054" s="25">
        <v>1.5908E-4</v>
      </c>
      <c r="H8054" s="25">
        <v>4.1310000000000003E-5</v>
      </c>
      <c r="I8054" s="9">
        <v>1.4666000000000001E-4</v>
      </c>
      <c r="J8054" s="9">
        <v>1.4643999999999999E-4</v>
      </c>
      <c r="K8054" s="9">
        <v>2.7127E-4</v>
      </c>
      <c r="L8054" s="9">
        <v>9.1849999999999996E-5</v>
      </c>
      <c r="M8054" s="9">
        <v>1.0692999999999999E-4</v>
      </c>
      <c r="N8054" s="9">
        <v>1.2475E-4</v>
      </c>
      <c r="O8054" s="9">
        <v>1.2909E-4</v>
      </c>
      <c r="P8054" s="9">
        <v>1.5487000000000001E-4</v>
      </c>
      <c r="Q8054" s="9">
        <v>1.8170999999999999E-4</v>
      </c>
      <c r="R8054" s="10">
        <v>2.0959196066910508E-4</v>
      </c>
      <c r="S8054" s="10">
        <v>1.9028910334176397E-4</v>
      </c>
      <c r="T8054" s="10">
        <v>1.8164884908655129E-5</v>
      </c>
      <c r="U8054" s="10">
        <v>1.2617999999999999E-4</v>
      </c>
      <c r="V8054" s="25"/>
      <c r="W8054" s="25"/>
      <c r="X8054" s="25"/>
      <c r="Y8054" s="25"/>
      <c r="Z8054" s="25"/>
      <c r="AA8054" s="25"/>
    </row>
    <row r="8055" spans="1:27" x14ac:dyDescent="0.35">
      <c r="A8055" s="5">
        <v>8051</v>
      </c>
      <c r="B8055" s="5">
        <v>336</v>
      </c>
      <c r="C8055" s="5">
        <v>12</v>
      </c>
      <c r="D8055" s="25">
        <v>1.1416E-4</v>
      </c>
      <c r="E8055" s="25">
        <v>1.0569999999999999E-4</v>
      </c>
      <c r="F8055" s="25">
        <v>1.2333E-4</v>
      </c>
      <c r="G8055" s="25">
        <v>1.5726999999999999E-4</v>
      </c>
      <c r="H8055" s="25">
        <v>4.0219999999999998E-5</v>
      </c>
      <c r="I8055" s="9">
        <v>1.4635000000000001E-4</v>
      </c>
      <c r="J8055" s="9">
        <v>1.4650000000000001E-4</v>
      </c>
      <c r="K8055" s="9">
        <v>2.5643999999999998E-4</v>
      </c>
      <c r="L8055" s="9">
        <v>1.2016E-4</v>
      </c>
      <c r="M8055" s="9">
        <v>1.3027000000000001E-4</v>
      </c>
      <c r="N8055" s="9">
        <v>1.4276E-4</v>
      </c>
      <c r="O8055" s="9">
        <v>1.3778999999999999E-4</v>
      </c>
      <c r="P8055" s="9">
        <v>1.5799E-4</v>
      </c>
      <c r="Q8055" s="9">
        <v>1.7951999999999999E-4</v>
      </c>
      <c r="R8055" s="10">
        <v>2.1019871147800933E-4</v>
      </c>
      <c r="S8055" s="10">
        <v>1.9029020759484994E-4</v>
      </c>
      <c r="T8055" s="10">
        <v>1.3108242495970187E-4</v>
      </c>
      <c r="U8055" s="10">
        <v>1.2617999999999999E-4</v>
      </c>
      <c r="V8055" s="25"/>
      <c r="W8055" s="25"/>
      <c r="X8055" s="25"/>
      <c r="Y8055" s="25"/>
      <c r="Z8055" s="25"/>
      <c r="AA8055" s="25"/>
    </row>
    <row r="8056" spans="1:27" x14ac:dyDescent="0.35">
      <c r="A8056" s="5">
        <v>8052</v>
      </c>
      <c r="B8056" s="5">
        <v>336</v>
      </c>
      <c r="C8056" s="5">
        <v>12</v>
      </c>
      <c r="D8056" s="25">
        <v>1.1415000000000001E-4</v>
      </c>
      <c r="E8056" s="25">
        <v>1.1506999999999999E-4</v>
      </c>
      <c r="F8056" s="25">
        <v>1.2237000000000001E-4</v>
      </c>
      <c r="G8056" s="25">
        <v>1.6259999999999999E-4</v>
      </c>
      <c r="H8056" s="25">
        <v>3.9520000000000001E-5</v>
      </c>
      <c r="I8056" s="9">
        <v>1.4705999999999999E-4</v>
      </c>
      <c r="J8056" s="9">
        <v>1.4621E-4</v>
      </c>
      <c r="K8056" s="9">
        <v>2.3735999999999999E-4</v>
      </c>
      <c r="L8056" s="9">
        <v>1.3325000000000001E-4</v>
      </c>
      <c r="M8056" s="9">
        <v>1.4574999999999999E-4</v>
      </c>
      <c r="N8056" s="9">
        <v>1.5684E-4</v>
      </c>
      <c r="O8056" s="9">
        <v>1.4040999999999999E-4</v>
      </c>
      <c r="P8056" s="9">
        <v>1.5734000000000001E-4</v>
      </c>
      <c r="Q8056" s="9">
        <v>1.7569999999999999E-4</v>
      </c>
      <c r="R8056" s="10">
        <v>2.0776208046945126E-4</v>
      </c>
      <c r="S8056" s="10">
        <v>1.9029020759484994E-4</v>
      </c>
      <c r="T8056" s="10">
        <v>4.7003018399789542E-5</v>
      </c>
      <c r="U8056" s="10">
        <v>1.2617999999999999E-4</v>
      </c>
      <c r="V8056" s="25"/>
      <c r="W8056" s="25"/>
      <c r="X8056" s="25"/>
      <c r="Y8056" s="25"/>
      <c r="Z8056" s="25"/>
      <c r="AA8056" s="25"/>
    </row>
    <row r="8057" spans="1:27" x14ac:dyDescent="0.35">
      <c r="A8057" s="5">
        <v>8053</v>
      </c>
      <c r="B8057" s="5">
        <v>336</v>
      </c>
      <c r="C8057" s="5">
        <v>12</v>
      </c>
      <c r="D8057" s="25">
        <v>1.1416E-4</v>
      </c>
      <c r="E8057" s="25">
        <v>1.1389E-4</v>
      </c>
      <c r="F8057" s="25">
        <v>1.1734E-4</v>
      </c>
      <c r="G8057" s="25">
        <v>1.6692000000000001E-4</v>
      </c>
      <c r="H8057" s="25">
        <v>4.0299999999999997E-5</v>
      </c>
      <c r="I8057" s="9">
        <v>1.438E-4</v>
      </c>
      <c r="J8057" s="9">
        <v>1.4604E-4</v>
      </c>
      <c r="K8057" s="9">
        <v>2.2465000000000001E-4</v>
      </c>
      <c r="L8057" s="9">
        <v>1.3866E-4</v>
      </c>
      <c r="M8057" s="9">
        <v>1.5322999999999999E-4</v>
      </c>
      <c r="N8057" s="9">
        <v>1.6666000000000001E-4</v>
      </c>
      <c r="O8057" s="9">
        <v>1.3171999999999999E-4</v>
      </c>
      <c r="P8057" s="9">
        <v>1.4954000000000001E-4</v>
      </c>
      <c r="Q8057" s="9">
        <v>1.6860000000000001E-4</v>
      </c>
      <c r="R8057" s="10">
        <v>2.0906718256390297E-4</v>
      </c>
      <c r="S8057" s="10">
        <v>1.9029020759484994E-4</v>
      </c>
      <c r="T8057" s="10">
        <v>7.5739340298722253E-5</v>
      </c>
      <c r="U8057" s="10">
        <v>1.2617999999999999E-4</v>
      </c>
      <c r="V8057" s="25"/>
      <c r="W8057" s="25"/>
      <c r="X8057" s="25"/>
      <c r="Y8057" s="25"/>
      <c r="Z8057" s="25"/>
      <c r="AA8057" s="25"/>
    </row>
    <row r="8058" spans="1:27" x14ac:dyDescent="0.35">
      <c r="A8058" s="5">
        <v>8054</v>
      </c>
      <c r="B8058" s="5">
        <v>336</v>
      </c>
      <c r="C8058" s="5">
        <v>12</v>
      </c>
      <c r="D8058" s="25">
        <v>1.1415000000000001E-4</v>
      </c>
      <c r="E8058" s="25">
        <v>1.0959999999999999E-4</v>
      </c>
      <c r="F8058" s="25">
        <v>1.1818E-4</v>
      </c>
      <c r="G8058" s="25">
        <v>1.6307999999999999E-4</v>
      </c>
      <c r="H8058" s="25">
        <v>4.066E-5</v>
      </c>
      <c r="I8058" s="9">
        <v>1.4444999999999999E-4</v>
      </c>
      <c r="J8058" s="9">
        <v>1.4658E-4</v>
      </c>
      <c r="K8058" s="9">
        <v>2.2253E-4</v>
      </c>
      <c r="L8058" s="9">
        <v>1.3328E-4</v>
      </c>
      <c r="M8058" s="9">
        <v>1.5338E-4</v>
      </c>
      <c r="N8058" s="9">
        <v>1.7118E-4</v>
      </c>
      <c r="O8058" s="9">
        <v>1.1192999999999999E-4</v>
      </c>
      <c r="P8058" s="9">
        <v>1.3519000000000001E-4</v>
      </c>
      <c r="Q8058" s="9">
        <v>1.5919999999999999E-4</v>
      </c>
      <c r="R8058" s="10">
        <v>2.0852974438287342E-4</v>
      </c>
      <c r="S8058" s="10">
        <v>1.9029020759484994E-4</v>
      </c>
      <c r="T8058" s="10">
        <v>7.5374515426666124E-5</v>
      </c>
      <c r="U8058" s="10">
        <v>1.2617999999999999E-4</v>
      </c>
      <c r="V8058" s="25"/>
      <c r="W8058" s="25"/>
      <c r="X8058" s="25"/>
      <c r="Y8058" s="25"/>
      <c r="Z8058" s="25"/>
      <c r="AA8058" s="25"/>
    </row>
    <row r="8059" spans="1:27" x14ac:dyDescent="0.35">
      <c r="A8059" s="5">
        <v>8055</v>
      </c>
      <c r="B8059" s="5">
        <v>336</v>
      </c>
      <c r="C8059" s="5">
        <v>12</v>
      </c>
      <c r="D8059" s="25">
        <v>1.1416E-4</v>
      </c>
      <c r="E8059" s="25">
        <v>1.1213999999999999E-4</v>
      </c>
      <c r="F8059" s="25">
        <v>1.108E-4</v>
      </c>
      <c r="G8059" s="25">
        <v>1.6674999999999999E-4</v>
      </c>
      <c r="H8059" s="25">
        <v>4.002E-5</v>
      </c>
      <c r="I8059" s="9">
        <v>1.4375999999999999E-4</v>
      </c>
      <c r="J8059" s="9">
        <v>1.4655000000000001E-4</v>
      </c>
      <c r="K8059" s="9">
        <v>2.2041000000000001E-4</v>
      </c>
      <c r="L8059" s="9">
        <v>1.1684E-4</v>
      </c>
      <c r="M8059" s="9">
        <v>1.4658999999999999E-4</v>
      </c>
      <c r="N8059" s="9">
        <v>1.7024999999999999E-4</v>
      </c>
      <c r="O8059" s="9">
        <v>1.2824000000000001E-4</v>
      </c>
      <c r="P8059" s="9">
        <v>1.3997E-4</v>
      </c>
      <c r="Q8059" s="9">
        <v>1.5295E-4</v>
      </c>
      <c r="R8059" s="10">
        <v>2.0917981864073721E-4</v>
      </c>
      <c r="S8059" s="10">
        <v>1.9029020759484994E-4</v>
      </c>
      <c r="T8059" s="10">
        <v>2.339121330834292E-5</v>
      </c>
      <c r="U8059" s="10">
        <v>1.2617999999999999E-4</v>
      </c>
      <c r="V8059" s="25"/>
      <c r="W8059" s="25"/>
      <c r="X8059" s="25"/>
      <c r="Y8059" s="25"/>
      <c r="Z8059" s="25"/>
      <c r="AA8059" s="25"/>
    </row>
    <row r="8060" spans="1:27" x14ac:dyDescent="0.35">
      <c r="A8060" s="5">
        <v>8056</v>
      </c>
      <c r="B8060" s="5">
        <v>336</v>
      </c>
      <c r="C8060" s="5">
        <v>12</v>
      </c>
      <c r="D8060" s="25">
        <v>1.1415000000000001E-4</v>
      </c>
      <c r="E8060" s="25">
        <v>1.0689E-4</v>
      </c>
      <c r="F8060" s="25">
        <v>1.1362E-4</v>
      </c>
      <c r="G8060" s="25">
        <v>1.6027000000000001E-4</v>
      </c>
      <c r="H8060" s="25">
        <v>4.0110000000000001E-5</v>
      </c>
      <c r="I8060" s="9">
        <v>1.4385E-4</v>
      </c>
      <c r="J8060" s="9">
        <v>1.4660000000000001E-4</v>
      </c>
      <c r="K8060" s="9">
        <v>2.1405E-4</v>
      </c>
      <c r="L8060" s="9">
        <v>1.2621E-4</v>
      </c>
      <c r="M8060" s="9">
        <v>1.4228999999999999E-4</v>
      </c>
      <c r="N8060" s="9">
        <v>1.6637999999999999E-4</v>
      </c>
      <c r="O8060" s="9">
        <v>1.3448E-4</v>
      </c>
      <c r="P8060" s="9">
        <v>1.2106E-4</v>
      </c>
      <c r="Q8060" s="9">
        <v>1.0943E-4</v>
      </c>
      <c r="R8060" s="10">
        <v>2.0813601715612433E-4</v>
      </c>
      <c r="S8060" s="10">
        <v>1.9029020759484994E-4</v>
      </c>
      <c r="T8060" s="10">
        <v>0</v>
      </c>
      <c r="U8060" s="10">
        <v>1.2617999999999999E-4</v>
      </c>
      <c r="V8060" s="25"/>
      <c r="W8060" s="25"/>
      <c r="X8060" s="25"/>
      <c r="Y8060" s="25"/>
      <c r="Z8060" s="25"/>
      <c r="AA8060" s="25"/>
    </row>
    <row r="8061" spans="1:27" x14ac:dyDescent="0.35">
      <c r="A8061" s="5">
        <v>8057</v>
      </c>
      <c r="B8061" s="5">
        <v>336</v>
      </c>
      <c r="C8061" s="5">
        <v>12</v>
      </c>
      <c r="D8061" s="25">
        <v>1.1416E-4</v>
      </c>
      <c r="E8061" s="25">
        <v>1.1485E-4</v>
      </c>
      <c r="F8061" s="25">
        <v>1.1797E-4</v>
      </c>
      <c r="G8061" s="25">
        <v>1.6344999999999999E-4</v>
      </c>
      <c r="H8061" s="25">
        <v>4.0920000000000001E-5</v>
      </c>
      <c r="I8061" s="9">
        <v>1.4580999999999999E-4</v>
      </c>
      <c r="J8061" s="9">
        <v>1.4999999999999999E-4</v>
      </c>
      <c r="K8061" s="9">
        <v>2.0981999999999999E-4</v>
      </c>
      <c r="L8061" s="9">
        <v>1.3236000000000001E-4</v>
      </c>
      <c r="M8061" s="9">
        <v>1.3371999999999999E-4</v>
      </c>
      <c r="N8061" s="9">
        <v>1.5250999999999999E-4</v>
      </c>
      <c r="O8061" s="9">
        <v>1.4018E-4</v>
      </c>
      <c r="P8061" s="9">
        <v>1.2233E-4</v>
      </c>
      <c r="Q8061" s="9">
        <v>1.0645999999999999E-4</v>
      </c>
      <c r="R8061" s="10">
        <v>2.0832792679523294E-4</v>
      </c>
      <c r="S8061" s="10">
        <v>1.9029020759484994E-4</v>
      </c>
      <c r="T8061" s="10">
        <v>0</v>
      </c>
      <c r="U8061" s="10">
        <v>1.2617999999999999E-4</v>
      </c>
      <c r="V8061" s="25"/>
      <c r="W8061" s="25"/>
      <c r="X8061" s="25"/>
      <c r="Y8061" s="25"/>
      <c r="Z8061" s="25"/>
      <c r="AA8061" s="25"/>
    </row>
    <row r="8062" spans="1:27" x14ac:dyDescent="0.35">
      <c r="A8062" s="5">
        <v>8058</v>
      </c>
      <c r="B8062" s="5">
        <v>336</v>
      </c>
      <c r="C8062" s="5">
        <v>12</v>
      </c>
      <c r="D8062" s="25">
        <v>1.1415000000000001E-4</v>
      </c>
      <c r="E8062" s="25">
        <v>1.0904999999999999E-4</v>
      </c>
      <c r="F8062" s="25">
        <v>1.2930999999999999E-4</v>
      </c>
      <c r="G8062" s="25">
        <v>1.6731999999999999E-4</v>
      </c>
      <c r="H8062" s="25">
        <v>4.0309999999999999E-5</v>
      </c>
      <c r="I8062" s="9">
        <v>1.5076999999999999E-4</v>
      </c>
      <c r="J8062" s="9">
        <v>1.5506E-4</v>
      </c>
      <c r="K8062" s="9">
        <v>1.9709999999999999E-4</v>
      </c>
      <c r="L8062" s="9">
        <v>1.3816999999999999E-4</v>
      </c>
      <c r="M8062" s="9">
        <v>1.2745000000000001E-4</v>
      </c>
      <c r="N8062" s="9">
        <v>1.3891000000000001E-4</v>
      </c>
      <c r="O8062" s="9">
        <v>1.4077E-4</v>
      </c>
      <c r="P8062" s="9">
        <v>1.2788E-4</v>
      </c>
      <c r="Q8062" s="9">
        <v>1.1691E-4</v>
      </c>
      <c r="R8062" s="10">
        <v>2.0863291145142333E-4</v>
      </c>
      <c r="S8062" s="10">
        <v>1.9029020759484994E-4</v>
      </c>
      <c r="T8062" s="10">
        <v>0</v>
      </c>
      <c r="U8062" s="10">
        <v>1.2617999999999999E-4</v>
      </c>
      <c r="V8062" s="25"/>
      <c r="W8062" s="25"/>
      <c r="X8062" s="25"/>
      <c r="Y8062" s="25"/>
      <c r="Z8062" s="25"/>
      <c r="AA8062" s="25"/>
    </row>
    <row r="8063" spans="1:27" x14ac:dyDescent="0.35">
      <c r="A8063" s="5">
        <v>8059</v>
      </c>
      <c r="B8063" s="5">
        <v>336</v>
      </c>
      <c r="C8063" s="5">
        <v>12</v>
      </c>
      <c r="D8063" s="25">
        <v>1.1416E-4</v>
      </c>
      <c r="E8063" s="25">
        <v>1.0648E-4</v>
      </c>
      <c r="F8063" s="25">
        <v>1.2985000000000001E-4</v>
      </c>
      <c r="G8063" s="25">
        <v>1.0747999999999999E-4</v>
      </c>
      <c r="H8063" s="25">
        <v>2.6590000000000001E-5</v>
      </c>
      <c r="I8063" s="9">
        <v>1.4998999999999999E-4</v>
      </c>
      <c r="J8063" s="9">
        <v>1.4961E-4</v>
      </c>
      <c r="K8063" s="9">
        <v>1.9709999999999999E-4</v>
      </c>
      <c r="L8063" s="9">
        <v>1.4012000000000001E-4</v>
      </c>
      <c r="M8063" s="9">
        <v>1.2615E-4</v>
      </c>
      <c r="N8063" s="9">
        <v>1.2962999999999999E-4</v>
      </c>
      <c r="O8063" s="9">
        <v>1.4312999999999999E-4</v>
      </c>
      <c r="P8063" s="9">
        <v>1.2434999999999999E-4</v>
      </c>
      <c r="Q8063" s="9">
        <v>1.0764000000000001E-4</v>
      </c>
      <c r="R8063" s="10">
        <v>2.0946895768010558E-4</v>
      </c>
      <c r="S8063" s="10">
        <v>1.9029020759484994E-4</v>
      </c>
      <c r="T8063" s="10">
        <v>0</v>
      </c>
      <c r="U8063" s="10">
        <v>1.2617999999999999E-4</v>
      </c>
      <c r="V8063" s="25"/>
      <c r="W8063" s="25"/>
      <c r="X8063" s="25"/>
      <c r="Y8063" s="25"/>
      <c r="Z8063" s="25"/>
      <c r="AA8063" s="25"/>
    </row>
    <row r="8064" spans="1:27" x14ac:dyDescent="0.35">
      <c r="A8064" s="5">
        <v>8060</v>
      </c>
      <c r="B8064" s="5">
        <v>336</v>
      </c>
      <c r="C8064" s="5">
        <v>12</v>
      </c>
      <c r="D8064" s="25">
        <v>1.1415000000000001E-4</v>
      </c>
      <c r="E8064" s="25">
        <v>1.0897E-4</v>
      </c>
      <c r="F8064" s="25">
        <v>1.1051E-4</v>
      </c>
      <c r="G8064" s="25">
        <v>1.0438999999999999E-4</v>
      </c>
      <c r="H8064" s="25">
        <v>2.6460000000000001E-5</v>
      </c>
      <c r="I8064" s="9">
        <v>1.4338999999999999E-4</v>
      </c>
      <c r="J8064" s="9">
        <v>1.4469E-4</v>
      </c>
      <c r="K8064" s="9">
        <v>1.8651E-4</v>
      </c>
      <c r="L8064" s="9">
        <v>1.4244999999999999E-4</v>
      </c>
      <c r="M8064" s="9">
        <v>1.2543999999999999E-4</v>
      </c>
      <c r="N8064" s="9">
        <v>1.2069E-4</v>
      </c>
      <c r="O8064" s="9">
        <v>1.4437E-4</v>
      </c>
      <c r="P8064" s="9">
        <v>1.2189E-4</v>
      </c>
      <c r="Q8064" s="9">
        <v>1.0155E-4</v>
      </c>
      <c r="R8064" s="10">
        <v>2.103371676498911E-4</v>
      </c>
      <c r="S8064" s="10">
        <v>1.9029020759484994E-4</v>
      </c>
      <c r="T8064" s="10">
        <v>0</v>
      </c>
      <c r="U8064" s="10">
        <v>1.2617999999999999E-4</v>
      </c>
      <c r="V8064" s="25"/>
      <c r="W8064" s="25"/>
      <c r="X8064" s="25"/>
      <c r="Y8064" s="25"/>
      <c r="Z8064" s="25"/>
      <c r="AA8064" s="25"/>
    </row>
    <row r="8065" spans="1:27" x14ac:dyDescent="0.35">
      <c r="A8065" s="5">
        <v>8061</v>
      </c>
      <c r="B8065" s="5">
        <v>336</v>
      </c>
      <c r="C8065" s="5">
        <v>12</v>
      </c>
      <c r="D8065" s="25">
        <v>1.1416E-4</v>
      </c>
      <c r="E8065" s="25">
        <v>1.1005000000000001E-4</v>
      </c>
      <c r="F8065" s="25">
        <v>1.1977E-4</v>
      </c>
      <c r="G8065" s="25">
        <v>5.2099999999999999E-5</v>
      </c>
      <c r="H8065" s="25">
        <v>1.428E-5</v>
      </c>
      <c r="I8065" s="9">
        <v>1.3604000000000001E-4</v>
      </c>
      <c r="J8065" s="9">
        <v>1.3831E-4</v>
      </c>
      <c r="K8065" s="9">
        <v>2.0346000000000001E-4</v>
      </c>
      <c r="L8065" s="9">
        <v>1.4391999999999999E-4</v>
      </c>
      <c r="M8065" s="9">
        <v>1.2402999999999999E-4</v>
      </c>
      <c r="N8065" s="9">
        <v>1.1296E-4</v>
      </c>
      <c r="O8065" s="9">
        <v>8.4460000000000001E-5</v>
      </c>
      <c r="P8065" s="9">
        <v>8.5939999999999994E-5</v>
      </c>
      <c r="Q8065" s="9">
        <v>8.7919999999999998E-5</v>
      </c>
      <c r="R8065" s="10">
        <v>2.1095798085994213E-4</v>
      </c>
      <c r="S8065" s="10">
        <v>1.9029020759484994E-4</v>
      </c>
      <c r="T8065" s="10">
        <v>0</v>
      </c>
      <c r="U8065" s="10">
        <v>1.2617999999999999E-4</v>
      </c>
      <c r="V8065" s="25"/>
      <c r="W8065" s="25"/>
      <c r="X8065" s="25"/>
      <c r="Y8065" s="25"/>
      <c r="Z8065" s="25"/>
      <c r="AA8065" s="25"/>
    </row>
    <row r="8066" spans="1:27" x14ac:dyDescent="0.35">
      <c r="A8066" s="5">
        <v>8062</v>
      </c>
      <c r="B8066" s="5">
        <v>336</v>
      </c>
      <c r="C8066" s="5">
        <v>12</v>
      </c>
      <c r="D8066" s="25">
        <v>1.1415000000000001E-4</v>
      </c>
      <c r="E8066" s="25">
        <v>1.1192E-4</v>
      </c>
      <c r="F8066" s="25">
        <v>1.1646000000000001E-4</v>
      </c>
      <c r="G8066" s="25">
        <v>6.3059999999999996E-5</v>
      </c>
      <c r="H8066" s="25">
        <v>1.5699999999999999E-5</v>
      </c>
      <c r="I8066" s="9">
        <v>1.2919E-4</v>
      </c>
      <c r="J8066" s="9">
        <v>1.2923000000000001E-4</v>
      </c>
      <c r="K8066" s="9">
        <v>2.0133999999999999E-4</v>
      </c>
      <c r="L8066" s="9">
        <v>9.7510000000000007E-5</v>
      </c>
      <c r="M8066" s="9">
        <v>1.099E-4</v>
      </c>
      <c r="N8066" s="9">
        <v>1.0535E-4</v>
      </c>
      <c r="O8066" s="9">
        <v>8.8029999999999996E-5</v>
      </c>
      <c r="P8066" s="9">
        <v>8.8079999999999997E-5</v>
      </c>
      <c r="Q8066" s="9">
        <v>8.8739999999999994E-5</v>
      </c>
      <c r="R8066" s="10">
        <v>2.1139926663970172E-4</v>
      </c>
      <c r="S8066" s="10">
        <v>1.9029020759484994E-4</v>
      </c>
      <c r="T8066" s="10">
        <v>0</v>
      </c>
      <c r="U8066" s="10">
        <v>1.2617999999999999E-4</v>
      </c>
      <c r="V8066" s="25"/>
      <c r="W8066" s="25"/>
      <c r="X8066" s="25"/>
      <c r="Y8066" s="25"/>
      <c r="Z8066" s="25"/>
      <c r="AA8066" s="25"/>
    </row>
    <row r="8067" spans="1:27" x14ac:dyDescent="0.35">
      <c r="A8067" s="5">
        <v>8063</v>
      </c>
      <c r="B8067" s="5">
        <v>336</v>
      </c>
      <c r="C8067" s="5">
        <v>12</v>
      </c>
      <c r="D8067" s="25">
        <v>1.1416E-4</v>
      </c>
      <c r="E8067" s="25">
        <v>1.1119E-4</v>
      </c>
      <c r="F8067" s="25">
        <v>1.1722000000000001E-4</v>
      </c>
      <c r="G8067" s="25">
        <v>5.8289999999999999E-5</v>
      </c>
      <c r="H8067" s="25">
        <v>1.575E-5</v>
      </c>
      <c r="I8067" s="9">
        <v>1.3041999999999999E-4</v>
      </c>
      <c r="J8067" s="9">
        <v>1.1929E-4</v>
      </c>
      <c r="K8067" s="9">
        <v>1.9285999999999999E-4</v>
      </c>
      <c r="L8067" s="9">
        <v>9.1409999999999994E-5</v>
      </c>
      <c r="M8067" s="9">
        <v>9.8239999999999995E-5</v>
      </c>
      <c r="N8067" s="9">
        <v>9.9729999999999996E-5</v>
      </c>
      <c r="O8067" s="9">
        <v>8.5140000000000001E-5</v>
      </c>
      <c r="P8067" s="9">
        <v>7.5799999999999999E-5</v>
      </c>
      <c r="Q8067" s="9">
        <v>6.7150000000000006E-5</v>
      </c>
      <c r="R8067" s="10">
        <v>2.1151100339665213E-4</v>
      </c>
      <c r="S8067" s="10">
        <v>1.9029020759484994E-4</v>
      </c>
      <c r="T8067" s="10">
        <v>0</v>
      </c>
      <c r="U8067" s="10">
        <v>1.2617999999999999E-4</v>
      </c>
      <c r="V8067" s="25"/>
      <c r="W8067" s="25"/>
      <c r="X8067" s="25"/>
      <c r="Y8067" s="25"/>
      <c r="Z8067" s="25"/>
      <c r="AA8067" s="25"/>
    </row>
    <row r="8068" spans="1:27" x14ac:dyDescent="0.35">
      <c r="A8068" s="5">
        <v>8064</v>
      </c>
      <c r="B8068" s="5">
        <v>336</v>
      </c>
      <c r="C8068" s="5">
        <v>12</v>
      </c>
      <c r="D8068" s="25">
        <v>1.1415000000000001E-4</v>
      </c>
      <c r="E8068" s="25">
        <v>1.1349E-4</v>
      </c>
      <c r="F8068" s="25">
        <v>1.1987E-4</v>
      </c>
      <c r="G8068" s="25">
        <v>6.266E-5</v>
      </c>
      <c r="H8068" s="25">
        <v>1.322E-5</v>
      </c>
      <c r="I8068" s="9">
        <v>1.2877E-4</v>
      </c>
      <c r="J8068" s="9">
        <v>1.1113E-4</v>
      </c>
      <c r="K8068" s="9">
        <v>2.0133999999999999E-4</v>
      </c>
      <c r="L8068" s="9">
        <v>8.6719999999999996E-5</v>
      </c>
      <c r="M8068" s="9">
        <v>8.7440000000000003E-5</v>
      </c>
      <c r="N8068" s="9">
        <v>9.0580000000000004E-5</v>
      </c>
      <c r="O8068" s="9">
        <v>7.9049999999999997E-5</v>
      </c>
      <c r="P8068" s="9">
        <v>6.8590000000000006E-5</v>
      </c>
      <c r="Q8068" s="9">
        <v>5.8709999999999999E-5</v>
      </c>
      <c r="R8068" s="10">
        <v>2.1125169368342388E-4</v>
      </c>
      <c r="S8068" s="10">
        <v>1.9028882407565431E-4</v>
      </c>
      <c r="T8068" s="10">
        <v>0</v>
      </c>
      <c r="U8068" s="10">
        <v>1.2617999999999999E-4</v>
      </c>
      <c r="V8068" s="25"/>
      <c r="W8068" s="25"/>
      <c r="X8068" s="25"/>
      <c r="Y8068" s="25"/>
      <c r="Z8068" s="25"/>
      <c r="AA8068" s="25"/>
    </row>
    <row r="8069" spans="1:27" x14ac:dyDescent="0.35">
      <c r="A8069" s="5">
        <v>8065</v>
      </c>
      <c r="B8069" s="5">
        <v>337</v>
      </c>
      <c r="C8069" s="5">
        <v>12</v>
      </c>
      <c r="D8069" s="25">
        <v>1.1416E-4</v>
      </c>
      <c r="E8069" s="25">
        <v>1.1502000000000001E-4</v>
      </c>
      <c r="F8069" s="25">
        <v>8.7289999999999999E-5</v>
      </c>
      <c r="G8069" s="25">
        <v>5.9070000000000002E-5</v>
      </c>
      <c r="H8069" s="25">
        <v>7.1550000000000004E-5</v>
      </c>
      <c r="I8069" s="9">
        <v>1.2048999999999999E-4</v>
      </c>
      <c r="J8069" s="9">
        <v>1.0452E-4</v>
      </c>
      <c r="K8069" s="9">
        <v>1.9498000000000001E-4</v>
      </c>
      <c r="L8069" s="9">
        <v>8.0519999999999995E-5</v>
      </c>
      <c r="M8069" s="9">
        <v>7.8209999999999998E-5</v>
      </c>
      <c r="N8069" s="9">
        <v>8.1160000000000002E-5</v>
      </c>
      <c r="O8069" s="9">
        <v>5.4370000000000003E-5</v>
      </c>
      <c r="P8069" s="9">
        <v>5.3789999999999998E-5</v>
      </c>
      <c r="Q8069" s="9">
        <v>5.3369999999999999E-5</v>
      </c>
      <c r="R8069" s="10">
        <v>2.0987816850908146E-4</v>
      </c>
      <c r="S8069" s="10">
        <v>1.8966471893959959E-4</v>
      </c>
      <c r="T8069" s="10">
        <v>0</v>
      </c>
      <c r="U8069" s="10">
        <v>1.2228E-4</v>
      </c>
      <c r="V8069" s="25"/>
      <c r="W8069" s="25"/>
      <c r="X8069" s="25"/>
      <c r="Y8069" s="25"/>
      <c r="Z8069" s="25"/>
      <c r="AA8069" s="25"/>
    </row>
    <row r="8070" spans="1:27" x14ac:dyDescent="0.35">
      <c r="A8070" s="5">
        <v>8066</v>
      </c>
      <c r="B8070" s="5">
        <v>337</v>
      </c>
      <c r="C8070" s="5">
        <v>12</v>
      </c>
      <c r="D8070" s="25">
        <v>1.1415000000000001E-4</v>
      </c>
      <c r="E8070" s="25">
        <v>1.1331E-4</v>
      </c>
      <c r="F8070" s="25">
        <v>9.0790000000000003E-5</v>
      </c>
      <c r="G8070" s="25">
        <v>5.7089999999999997E-5</v>
      </c>
      <c r="H8070" s="25">
        <v>6.737E-5</v>
      </c>
      <c r="I8070" s="9">
        <v>1.1468000000000001E-4</v>
      </c>
      <c r="J8070" s="9">
        <v>9.9779999999999997E-5</v>
      </c>
      <c r="K8070" s="9">
        <v>1.9285999999999999E-4</v>
      </c>
      <c r="L8070" s="9">
        <v>6.029E-5</v>
      </c>
      <c r="M8070" s="9">
        <v>6.724E-5</v>
      </c>
      <c r="N8070" s="9">
        <v>7.2070000000000006E-5</v>
      </c>
      <c r="O8070" s="9">
        <v>1.844E-5</v>
      </c>
      <c r="P8070" s="9">
        <v>3.782E-5</v>
      </c>
      <c r="Q8070" s="9">
        <v>5.6280000000000003E-5</v>
      </c>
      <c r="R8070" s="10">
        <v>2.0920400574593205E-4</v>
      </c>
      <c r="S8070" s="10">
        <v>1.777703377977165E-4</v>
      </c>
      <c r="T8070" s="10">
        <v>0</v>
      </c>
      <c r="U8070" s="10">
        <v>1.2228E-4</v>
      </c>
      <c r="V8070" s="25"/>
      <c r="W8070" s="25"/>
      <c r="X8070" s="25"/>
      <c r="Y8070" s="25"/>
      <c r="Z8070" s="25"/>
      <c r="AA8070" s="25"/>
    </row>
    <row r="8071" spans="1:27" x14ac:dyDescent="0.35">
      <c r="A8071" s="5">
        <v>8067</v>
      </c>
      <c r="B8071" s="5">
        <v>337</v>
      </c>
      <c r="C8071" s="5">
        <v>12</v>
      </c>
      <c r="D8071" s="25">
        <v>1.1416E-4</v>
      </c>
      <c r="E8071" s="25">
        <v>1.1099000000000001E-4</v>
      </c>
      <c r="F8071" s="25">
        <v>1.0624E-4</v>
      </c>
      <c r="G8071" s="25">
        <v>5.6029999999999997E-5</v>
      </c>
      <c r="H8071" s="25">
        <v>7.4850000000000003E-5</v>
      </c>
      <c r="I8071" s="9">
        <v>1.1038E-4</v>
      </c>
      <c r="J8071" s="9">
        <v>9.7189999999999996E-5</v>
      </c>
      <c r="K8071" s="9">
        <v>1.9709E-4</v>
      </c>
      <c r="L8071" s="9">
        <v>2.8189999999999999E-5</v>
      </c>
      <c r="M8071" s="9">
        <v>5.3959999999999998E-5</v>
      </c>
      <c r="N8071" s="9">
        <v>6.5530000000000004E-5</v>
      </c>
      <c r="O8071" s="9">
        <v>1.287E-5</v>
      </c>
      <c r="P8071" s="9">
        <v>3.7799999999999997E-5</v>
      </c>
      <c r="Q8071" s="9">
        <v>6.1610000000000001E-5</v>
      </c>
      <c r="R8071" s="10">
        <v>2.0740074462801813E-4</v>
      </c>
      <c r="S8071" s="10">
        <v>1.546634355500268E-4</v>
      </c>
      <c r="T8071" s="10">
        <v>0</v>
      </c>
      <c r="U8071" s="10">
        <v>1.2228E-4</v>
      </c>
      <c r="V8071" s="25"/>
      <c r="W8071" s="25"/>
      <c r="X8071" s="25"/>
      <c r="Y8071" s="25"/>
      <c r="Z8071" s="25"/>
      <c r="AA8071" s="25"/>
    </row>
    <row r="8072" spans="1:27" x14ac:dyDescent="0.35">
      <c r="A8072" s="5">
        <v>8068</v>
      </c>
      <c r="B8072" s="5">
        <v>337</v>
      </c>
      <c r="C8072" s="5">
        <v>12</v>
      </c>
      <c r="D8072" s="25">
        <v>1.1415000000000001E-4</v>
      </c>
      <c r="E8072" s="25">
        <v>1.0798000000000001E-4</v>
      </c>
      <c r="F8072" s="25">
        <v>9.0260000000000007E-5</v>
      </c>
      <c r="G8072" s="25">
        <v>5.7170000000000003E-5</v>
      </c>
      <c r="H8072" s="25">
        <v>7.1210000000000004E-5</v>
      </c>
      <c r="I8072" s="9">
        <v>1.0781E-4</v>
      </c>
      <c r="J8072" s="9">
        <v>9.6290000000000001E-5</v>
      </c>
      <c r="K8072" s="9">
        <v>1.9921000000000001E-4</v>
      </c>
      <c r="L8072" s="9">
        <v>1.7099999999999999E-5</v>
      </c>
      <c r="M8072" s="9">
        <v>4.4950000000000002E-5</v>
      </c>
      <c r="N8072" s="9">
        <v>6.1940000000000007E-5</v>
      </c>
      <c r="O8072" s="9">
        <v>1.294E-5</v>
      </c>
      <c r="P8072" s="9">
        <v>4.7500000000000003E-5</v>
      </c>
      <c r="Q8072" s="9">
        <v>8.0790000000000004E-5</v>
      </c>
      <c r="R8072" s="10">
        <v>2.0634029789595972E-4</v>
      </c>
      <c r="S8072" s="10">
        <v>1.4174312673935401E-4</v>
      </c>
      <c r="T8072" s="10">
        <v>0</v>
      </c>
      <c r="U8072" s="10">
        <v>1.2228E-4</v>
      </c>
      <c r="V8072" s="25"/>
      <c r="W8072" s="25"/>
      <c r="X8072" s="25"/>
      <c r="Y8072" s="25"/>
      <c r="Z8072" s="25"/>
      <c r="AA8072" s="25"/>
    </row>
    <row r="8073" spans="1:27" x14ac:dyDescent="0.35">
      <c r="A8073" s="5">
        <v>8069</v>
      </c>
      <c r="B8073" s="5">
        <v>337</v>
      </c>
      <c r="C8073" s="5">
        <v>12</v>
      </c>
      <c r="D8073" s="25">
        <v>1.1416E-4</v>
      </c>
      <c r="E8073" s="25">
        <v>1.0691E-4</v>
      </c>
      <c r="F8073" s="25">
        <v>8.7839999999999999E-5</v>
      </c>
      <c r="G8073" s="25">
        <v>5.6900000000000001E-5</v>
      </c>
      <c r="H8073" s="25">
        <v>6.7600000000000003E-5</v>
      </c>
      <c r="I8073" s="9">
        <v>1.0832000000000001E-4</v>
      </c>
      <c r="J8073" s="9">
        <v>9.6490000000000006E-5</v>
      </c>
      <c r="K8073" s="9">
        <v>1.9285999999999999E-4</v>
      </c>
      <c r="L8073" s="9">
        <v>1.403E-5</v>
      </c>
      <c r="M8073" s="9">
        <v>4.388E-5</v>
      </c>
      <c r="N8073" s="9">
        <v>6.4560000000000005E-5</v>
      </c>
      <c r="O8073" s="9">
        <v>1.844E-5</v>
      </c>
      <c r="P8073" s="9">
        <v>5.6730000000000001E-5</v>
      </c>
      <c r="Q8073" s="9">
        <v>9.3809999999999998E-5</v>
      </c>
      <c r="R8073" s="10">
        <v>2.0892668208268868E-4</v>
      </c>
      <c r="S8073" s="10">
        <v>1.2923426272903768E-4</v>
      </c>
      <c r="T8073" s="10">
        <v>0</v>
      </c>
      <c r="U8073" s="10">
        <v>1.2228E-4</v>
      </c>
      <c r="V8073" s="25"/>
      <c r="W8073" s="25"/>
      <c r="X8073" s="25"/>
      <c r="Y8073" s="25"/>
      <c r="Z8073" s="25"/>
      <c r="AA8073" s="25"/>
    </row>
    <row r="8074" spans="1:27" x14ac:dyDescent="0.35">
      <c r="A8074" s="5">
        <v>8070</v>
      </c>
      <c r="B8074" s="5">
        <v>337</v>
      </c>
      <c r="C8074" s="5">
        <v>12</v>
      </c>
      <c r="D8074" s="25">
        <v>1.1415000000000001E-4</v>
      </c>
      <c r="E8074" s="25">
        <v>1.1017E-4</v>
      </c>
      <c r="F8074" s="25">
        <v>8.7410000000000005E-5</v>
      </c>
      <c r="G8074" s="25">
        <v>1.0669E-4</v>
      </c>
      <c r="H8074" s="25">
        <v>1.3736999999999999E-4</v>
      </c>
      <c r="I8074" s="9">
        <v>1.1377E-4</v>
      </c>
      <c r="J8074" s="9">
        <v>1.0089E-4</v>
      </c>
      <c r="K8074" s="9">
        <v>1.8226000000000001E-4</v>
      </c>
      <c r="L8074" s="9">
        <v>1.734E-5</v>
      </c>
      <c r="M8074" s="9">
        <v>4.8600000000000002E-5</v>
      </c>
      <c r="N8074" s="9">
        <v>7.114E-5</v>
      </c>
      <c r="O8074" s="9">
        <v>4.5809999999999997E-5</v>
      </c>
      <c r="P8074" s="9">
        <v>7.6240000000000002E-5</v>
      </c>
      <c r="Q8074" s="9">
        <v>1.0616E-4</v>
      </c>
      <c r="R8074" s="10">
        <v>2.0956814624814278E-4</v>
      </c>
      <c r="S8074" s="10">
        <v>1.1346541112056191E-4</v>
      </c>
      <c r="T8074" s="10">
        <v>0</v>
      </c>
      <c r="U8074" s="10">
        <v>1.2228E-4</v>
      </c>
      <c r="V8074" s="25"/>
      <c r="W8074" s="25"/>
      <c r="X8074" s="25"/>
      <c r="Y8074" s="25"/>
      <c r="Z8074" s="25"/>
      <c r="AA8074" s="25"/>
    </row>
    <row r="8075" spans="1:27" x14ac:dyDescent="0.35">
      <c r="A8075" s="5">
        <v>8071</v>
      </c>
      <c r="B8075" s="5">
        <v>337</v>
      </c>
      <c r="C8075" s="5">
        <v>12</v>
      </c>
      <c r="D8075" s="25">
        <v>1.1416E-4</v>
      </c>
      <c r="E8075" s="25">
        <v>1.1468000000000001E-4</v>
      </c>
      <c r="F8075" s="25">
        <v>9.8510000000000004E-5</v>
      </c>
      <c r="G8075" s="25">
        <v>1.1514999999999999E-4</v>
      </c>
      <c r="H8075" s="25">
        <v>1.2903E-4</v>
      </c>
      <c r="I8075" s="9">
        <v>1.2699E-4</v>
      </c>
      <c r="J8075" s="9">
        <v>1.1301E-4</v>
      </c>
      <c r="K8075" s="9">
        <v>1.8013999999999999E-4</v>
      </c>
      <c r="L8075" s="9">
        <v>3.9400000000000002E-5</v>
      </c>
      <c r="M8075" s="9">
        <v>5.9889999999999997E-5</v>
      </c>
      <c r="N8075" s="9">
        <v>8.0649999999999995E-5</v>
      </c>
      <c r="O8075" s="9">
        <v>1.2422E-4</v>
      </c>
      <c r="P8075" s="9">
        <v>1.1756000000000001E-4</v>
      </c>
      <c r="Q8075" s="9">
        <v>1.1260999999999999E-4</v>
      </c>
      <c r="R8075" s="10">
        <v>2.0917843757660862E-4</v>
      </c>
      <c r="S8075" s="10">
        <v>1.0899531871215383E-4</v>
      </c>
      <c r="T8075" s="10">
        <v>0</v>
      </c>
      <c r="U8075" s="10">
        <v>1.2228E-4</v>
      </c>
      <c r="V8075" s="25"/>
      <c r="W8075" s="25"/>
      <c r="X8075" s="25"/>
      <c r="Y8075" s="25"/>
      <c r="Z8075" s="25"/>
      <c r="AA8075" s="25"/>
    </row>
    <row r="8076" spans="1:27" x14ac:dyDescent="0.35">
      <c r="A8076" s="5">
        <v>8072</v>
      </c>
      <c r="B8076" s="5">
        <v>337</v>
      </c>
      <c r="C8076" s="5">
        <v>12</v>
      </c>
      <c r="D8076" s="25">
        <v>1.1415000000000001E-4</v>
      </c>
      <c r="E8076" s="25">
        <v>1.077E-4</v>
      </c>
      <c r="F8076" s="25">
        <v>9.1559999999999998E-5</v>
      </c>
      <c r="G8076" s="25">
        <v>1.6217E-4</v>
      </c>
      <c r="H8076" s="25">
        <v>1.8933000000000001E-4</v>
      </c>
      <c r="I8076" s="9">
        <v>1.3880000000000001E-4</v>
      </c>
      <c r="J8076" s="9">
        <v>1.3200000000000001E-4</v>
      </c>
      <c r="K8076" s="9">
        <v>1.7379E-4</v>
      </c>
      <c r="L8076" s="9">
        <v>1.0495E-4</v>
      </c>
      <c r="M8076" s="9">
        <v>8.3570000000000001E-5</v>
      </c>
      <c r="N8076" s="9">
        <v>9.077E-5</v>
      </c>
      <c r="O8076" s="9">
        <v>2.2252E-4</v>
      </c>
      <c r="P8076" s="9">
        <v>1.7770000000000001E-4</v>
      </c>
      <c r="Q8076" s="9">
        <v>1.3727999999999999E-4</v>
      </c>
      <c r="R8076" s="10">
        <v>2.0955545181316533E-4</v>
      </c>
      <c r="S8076" s="10">
        <v>1.1742661465194178E-4</v>
      </c>
      <c r="T8076" s="10">
        <v>0</v>
      </c>
      <c r="U8076" s="10">
        <v>1.2228E-4</v>
      </c>
      <c r="V8076" s="25"/>
      <c r="W8076" s="25"/>
      <c r="X8076" s="25"/>
      <c r="Y8076" s="25"/>
      <c r="Z8076" s="25"/>
      <c r="AA8076" s="25"/>
    </row>
    <row r="8077" spans="1:27" x14ac:dyDescent="0.35">
      <c r="A8077" s="5">
        <v>8073</v>
      </c>
      <c r="B8077" s="5">
        <v>337</v>
      </c>
      <c r="C8077" s="5">
        <v>12</v>
      </c>
      <c r="D8077" s="25">
        <v>1.1416E-4</v>
      </c>
      <c r="E8077" s="25">
        <v>1.0514999999999999E-4</v>
      </c>
      <c r="F8077" s="25">
        <v>9.8989999999999999E-5</v>
      </c>
      <c r="G8077" s="25">
        <v>1.6189000000000001E-4</v>
      </c>
      <c r="H8077" s="25">
        <v>1.8707000000000001E-4</v>
      </c>
      <c r="I8077" s="9">
        <v>1.4302999999999999E-4</v>
      </c>
      <c r="J8077" s="9">
        <v>1.4239E-4</v>
      </c>
      <c r="K8077" s="9">
        <v>1.6107E-4</v>
      </c>
      <c r="L8077" s="9">
        <v>1.9485999999999999E-4</v>
      </c>
      <c r="M8077" s="9">
        <v>1.2359E-4</v>
      </c>
      <c r="N8077" s="9">
        <v>1.0464E-4</v>
      </c>
      <c r="O8077" s="9">
        <v>2.1159999999999999E-4</v>
      </c>
      <c r="P8077" s="9">
        <v>1.9168000000000001E-4</v>
      </c>
      <c r="Q8077" s="9">
        <v>1.7555000000000001E-4</v>
      </c>
      <c r="R8077" s="10">
        <v>2.0954839145350773E-4</v>
      </c>
      <c r="S8077" s="10">
        <v>1.2099594970861568E-4</v>
      </c>
      <c r="T8077" s="10">
        <v>9.7908814500644643E-6</v>
      </c>
      <c r="U8077" s="10">
        <v>1.2228E-4</v>
      </c>
      <c r="V8077" s="25"/>
      <c r="W8077" s="25"/>
      <c r="X8077" s="25"/>
      <c r="Y8077" s="25"/>
      <c r="Z8077" s="25"/>
      <c r="AA8077" s="25"/>
    </row>
    <row r="8078" spans="1:27" x14ac:dyDescent="0.35">
      <c r="A8078" s="5">
        <v>8074</v>
      </c>
      <c r="B8078" s="5">
        <v>337</v>
      </c>
      <c r="C8078" s="5">
        <v>12</v>
      </c>
      <c r="D8078" s="25">
        <v>1.1415000000000001E-4</v>
      </c>
      <c r="E8078" s="25">
        <v>1.0539000000000001E-4</v>
      </c>
      <c r="F8078" s="25">
        <v>1.0908000000000001E-4</v>
      </c>
      <c r="G8078" s="25">
        <v>1.6079000000000001E-4</v>
      </c>
      <c r="H8078" s="25">
        <v>1.8692000000000001E-4</v>
      </c>
      <c r="I8078" s="9">
        <v>1.4358E-4</v>
      </c>
      <c r="J8078" s="9">
        <v>1.4536E-4</v>
      </c>
      <c r="K8078" s="9">
        <v>1.5259E-4</v>
      </c>
      <c r="L8078" s="9">
        <v>2.0555000000000001E-4</v>
      </c>
      <c r="M8078" s="9">
        <v>1.5825999999999999E-4</v>
      </c>
      <c r="N8078" s="9">
        <v>1.2434999999999999E-4</v>
      </c>
      <c r="O8078" s="9">
        <v>1.6996000000000001E-4</v>
      </c>
      <c r="P8078" s="9">
        <v>1.7555000000000001E-4</v>
      </c>
      <c r="Q8078" s="9">
        <v>1.8362000000000001E-4</v>
      </c>
      <c r="R8078" s="10">
        <v>2.0989404296363484E-4</v>
      </c>
      <c r="S8078" s="10">
        <v>1.228656115537797E-4</v>
      </c>
      <c r="T8078" s="10">
        <v>2.3204558722639786E-5</v>
      </c>
      <c r="U8078" s="10">
        <v>1.2228E-4</v>
      </c>
      <c r="V8078" s="25"/>
      <c r="W8078" s="25"/>
      <c r="X8078" s="25"/>
      <c r="Y8078" s="25"/>
      <c r="Z8078" s="25"/>
      <c r="AA8078" s="25"/>
    </row>
    <row r="8079" spans="1:27" x14ac:dyDescent="0.35">
      <c r="A8079" s="5">
        <v>8075</v>
      </c>
      <c r="B8079" s="5">
        <v>337</v>
      </c>
      <c r="C8079" s="5">
        <v>12</v>
      </c>
      <c r="D8079" s="25">
        <v>1.1416E-4</v>
      </c>
      <c r="E8079" s="25">
        <v>1.0972E-4</v>
      </c>
      <c r="F8079" s="25">
        <v>1.0263E-4</v>
      </c>
      <c r="G8079" s="25">
        <v>1.582E-4</v>
      </c>
      <c r="H8079" s="25">
        <v>1.9981999999999999E-4</v>
      </c>
      <c r="I8079" s="9">
        <v>1.4284000000000001E-4</v>
      </c>
      <c r="J8079" s="9">
        <v>1.4522999999999999E-4</v>
      </c>
      <c r="K8079" s="9">
        <v>1.4836E-4</v>
      </c>
      <c r="L8079" s="9">
        <v>1.7792E-4</v>
      </c>
      <c r="M8079" s="9">
        <v>1.7247000000000001E-4</v>
      </c>
      <c r="N8079" s="9">
        <v>1.4276999999999999E-4</v>
      </c>
      <c r="O8079" s="9">
        <v>1.6977999999999999E-4</v>
      </c>
      <c r="P8079" s="9">
        <v>1.74E-4</v>
      </c>
      <c r="Q8079" s="9">
        <v>1.8073000000000001E-4</v>
      </c>
      <c r="R8079" s="10">
        <v>2.0933619058175038E-4</v>
      </c>
      <c r="S8079" s="10">
        <v>1.2745767444329113E-4</v>
      </c>
      <c r="T8079" s="10">
        <v>8.5945952416943697E-5</v>
      </c>
      <c r="U8079" s="10">
        <v>1.2228E-4</v>
      </c>
      <c r="V8079" s="25"/>
      <c r="W8079" s="25"/>
      <c r="X8079" s="25"/>
      <c r="Y8079" s="25"/>
      <c r="Z8079" s="25"/>
      <c r="AA8079" s="25"/>
    </row>
    <row r="8080" spans="1:27" x14ac:dyDescent="0.35">
      <c r="A8080" s="5">
        <v>8076</v>
      </c>
      <c r="B8080" s="5">
        <v>337</v>
      </c>
      <c r="C8080" s="5">
        <v>12</v>
      </c>
      <c r="D8080" s="25">
        <v>1.1415000000000001E-4</v>
      </c>
      <c r="E8080" s="25">
        <v>1.0650999999999999E-4</v>
      </c>
      <c r="F8080" s="25">
        <v>1.0462E-4</v>
      </c>
      <c r="G8080" s="25">
        <v>1.5786000000000001E-4</v>
      </c>
      <c r="H8080" s="25">
        <v>1.9598E-4</v>
      </c>
      <c r="I8080" s="9">
        <v>1.4311E-4</v>
      </c>
      <c r="J8080" s="9">
        <v>1.4463E-4</v>
      </c>
      <c r="K8080" s="9">
        <v>1.4198999999999999E-4</v>
      </c>
      <c r="L8080" s="9">
        <v>1.7295E-4</v>
      </c>
      <c r="M8080" s="9">
        <v>1.7550000000000001E-4</v>
      </c>
      <c r="N8080" s="9">
        <v>1.5714E-4</v>
      </c>
      <c r="O8080" s="9">
        <v>1.7231000000000001E-4</v>
      </c>
      <c r="P8080" s="9">
        <v>1.7237E-4</v>
      </c>
      <c r="Q8080" s="9">
        <v>1.7505E-4</v>
      </c>
      <c r="R8080" s="10">
        <v>1.8017007435826987E-4</v>
      </c>
      <c r="S8080" s="10">
        <v>1.4268488991332016E-4</v>
      </c>
      <c r="T8080" s="10">
        <v>3.7487028248669692E-4</v>
      </c>
      <c r="U8080" s="10">
        <v>1.2228E-4</v>
      </c>
      <c r="V8080" s="25"/>
      <c r="W8080" s="25"/>
      <c r="X8080" s="25"/>
      <c r="Y8080" s="25"/>
      <c r="Z8080" s="25"/>
      <c r="AA8080" s="25"/>
    </row>
    <row r="8081" spans="1:27" x14ac:dyDescent="0.35">
      <c r="A8081" s="5">
        <v>8077</v>
      </c>
      <c r="B8081" s="5">
        <v>337</v>
      </c>
      <c r="C8081" s="5">
        <v>12</v>
      </c>
      <c r="D8081" s="25">
        <v>1.1416E-4</v>
      </c>
      <c r="E8081" s="25">
        <v>1.0793000000000001E-4</v>
      </c>
      <c r="F8081" s="25">
        <v>8.878E-5</v>
      </c>
      <c r="G8081" s="25">
        <v>1.6321E-4</v>
      </c>
      <c r="H8081" s="25">
        <v>1.9155999999999999E-4</v>
      </c>
      <c r="I8081" s="9">
        <v>1.4028000000000001E-4</v>
      </c>
      <c r="J8081" s="9">
        <v>1.4333999999999999E-4</v>
      </c>
      <c r="K8081" s="9">
        <v>1.4411E-4</v>
      </c>
      <c r="L8081" s="9">
        <v>1.7259999999999999E-4</v>
      </c>
      <c r="M8081" s="9">
        <v>1.7467000000000001E-4</v>
      </c>
      <c r="N8081" s="9">
        <v>1.6678999999999999E-4</v>
      </c>
      <c r="O8081" s="9">
        <v>1.6154E-4</v>
      </c>
      <c r="P8081" s="9">
        <v>1.6250999999999999E-4</v>
      </c>
      <c r="Q8081" s="9">
        <v>1.6587000000000001E-4</v>
      </c>
      <c r="R8081" s="10">
        <v>1.941142277972789E-4</v>
      </c>
      <c r="S8081" s="10">
        <v>1.6399659977247132E-4</v>
      </c>
      <c r="T8081" s="10">
        <v>4.6108773248284526E-4</v>
      </c>
      <c r="U8081" s="10">
        <v>1.2228E-4</v>
      </c>
      <c r="V8081" s="25"/>
      <c r="W8081" s="25"/>
      <c r="X8081" s="25"/>
      <c r="Y8081" s="25"/>
      <c r="Z8081" s="25"/>
      <c r="AA8081" s="25"/>
    </row>
    <row r="8082" spans="1:27" x14ac:dyDescent="0.35">
      <c r="A8082" s="5">
        <v>8078</v>
      </c>
      <c r="B8082" s="5">
        <v>337</v>
      </c>
      <c r="C8082" s="5">
        <v>12</v>
      </c>
      <c r="D8082" s="25">
        <v>1.1415000000000001E-4</v>
      </c>
      <c r="E8082" s="25">
        <v>1.1391E-4</v>
      </c>
      <c r="F8082" s="25">
        <v>9.3549999999999997E-5</v>
      </c>
      <c r="G8082" s="25">
        <v>1.6362000000000001E-4</v>
      </c>
      <c r="H8082" s="25">
        <v>1.8822000000000001E-4</v>
      </c>
      <c r="I8082" s="9">
        <v>1.4023E-4</v>
      </c>
      <c r="J8082" s="9">
        <v>1.4336000000000001E-4</v>
      </c>
      <c r="K8082" s="9">
        <v>1.4622999999999999E-4</v>
      </c>
      <c r="L8082" s="9">
        <v>1.6373000000000001E-4</v>
      </c>
      <c r="M8082" s="9">
        <v>1.7002E-4</v>
      </c>
      <c r="N8082" s="9">
        <v>1.7071E-4</v>
      </c>
      <c r="O8082" s="9">
        <v>1.7820999999999999E-4</v>
      </c>
      <c r="P8082" s="9">
        <v>1.6731999999999999E-4</v>
      </c>
      <c r="Q8082" s="9">
        <v>1.5935999999999999E-4</v>
      </c>
      <c r="R8082" s="10">
        <v>1.9254870665170342E-4</v>
      </c>
      <c r="S8082" s="10">
        <v>1.8108107408933835E-4</v>
      </c>
      <c r="T8082" s="10">
        <v>2.6843474713915909E-4</v>
      </c>
      <c r="U8082" s="10">
        <v>1.2228E-4</v>
      </c>
      <c r="V8082" s="25"/>
      <c r="W8082" s="25"/>
      <c r="X8082" s="25"/>
      <c r="Y8082" s="25"/>
      <c r="Z8082" s="25"/>
      <c r="AA8082" s="25"/>
    </row>
    <row r="8083" spans="1:27" x14ac:dyDescent="0.35">
      <c r="A8083" s="5">
        <v>8079</v>
      </c>
      <c r="B8083" s="5">
        <v>337</v>
      </c>
      <c r="C8083" s="5">
        <v>12</v>
      </c>
      <c r="D8083" s="25">
        <v>1.1416E-4</v>
      </c>
      <c r="E8083" s="25">
        <v>1.1483E-4</v>
      </c>
      <c r="F8083" s="25">
        <v>9.5240000000000003E-5</v>
      </c>
      <c r="G8083" s="25">
        <v>1.5713000000000001E-4</v>
      </c>
      <c r="H8083" s="25">
        <v>1.9474E-4</v>
      </c>
      <c r="I8083" s="9">
        <v>1.3860000000000001E-4</v>
      </c>
      <c r="J8083" s="9">
        <v>1.4245999999999999E-4</v>
      </c>
      <c r="K8083" s="9">
        <v>1.6531E-4</v>
      </c>
      <c r="L8083" s="9">
        <v>1.7524000000000001E-4</v>
      </c>
      <c r="M8083" s="9">
        <v>1.6772E-4</v>
      </c>
      <c r="N8083" s="9">
        <v>1.6987999999999999E-4</v>
      </c>
      <c r="O8083" s="9">
        <v>1.8694999999999999E-4</v>
      </c>
      <c r="P8083" s="9">
        <v>1.6890000000000001E-4</v>
      </c>
      <c r="Q8083" s="9">
        <v>1.5406E-4</v>
      </c>
      <c r="R8083" s="10">
        <v>1.9357436871311995E-4</v>
      </c>
      <c r="S8083" s="10">
        <v>1.8869345273575088E-4</v>
      </c>
      <c r="T8083" s="10">
        <v>1.0443324070090424E-4</v>
      </c>
      <c r="U8083" s="10">
        <v>1.2228E-4</v>
      </c>
      <c r="V8083" s="25"/>
      <c r="W8083" s="25"/>
      <c r="X8083" s="25"/>
      <c r="Y8083" s="25"/>
      <c r="Z8083" s="25"/>
      <c r="AA8083" s="25"/>
    </row>
    <row r="8084" spans="1:27" x14ac:dyDescent="0.35">
      <c r="A8084" s="5">
        <v>8080</v>
      </c>
      <c r="B8084" s="5">
        <v>337</v>
      </c>
      <c r="C8084" s="5">
        <v>12</v>
      </c>
      <c r="D8084" s="25">
        <v>1.1415000000000001E-4</v>
      </c>
      <c r="E8084" s="25">
        <v>1.1378E-4</v>
      </c>
      <c r="F8084" s="25">
        <v>9.7910000000000003E-5</v>
      </c>
      <c r="G8084" s="25">
        <v>1.6562E-4</v>
      </c>
      <c r="H8084" s="25">
        <v>1.9764000000000001E-4</v>
      </c>
      <c r="I8084" s="9">
        <v>1.3742E-4</v>
      </c>
      <c r="J8084" s="9">
        <v>1.4197999999999999E-4</v>
      </c>
      <c r="K8084" s="9">
        <v>1.6107E-4</v>
      </c>
      <c r="L8084" s="9">
        <v>1.8408000000000001E-4</v>
      </c>
      <c r="M8084" s="9">
        <v>1.6766E-4</v>
      </c>
      <c r="N8084" s="9">
        <v>1.6623000000000001E-4</v>
      </c>
      <c r="O8084" s="9">
        <v>1.9756E-4</v>
      </c>
      <c r="P8084" s="9">
        <v>1.5129E-4</v>
      </c>
      <c r="Q8084" s="9">
        <v>1.0893E-4</v>
      </c>
      <c r="R8084" s="10">
        <v>1.9005361525696333E-4</v>
      </c>
      <c r="S8084" s="10">
        <v>1.9016018620337806E-4</v>
      </c>
      <c r="T8084" s="10">
        <v>0</v>
      </c>
      <c r="U8084" s="10">
        <v>1.2228E-4</v>
      </c>
      <c r="V8084" s="25"/>
      <c r="W8084" s="25"/>
      <c r="X8084" s="25"/>
      <c r="Y8084" s="25"/>
      <c r="Z8084" s="25"/>
      <c r="AA8084" s="25"/>
    </row>
    <row r="8085" spans="1:27" x14ac:dyDescent="0.35">
      <c r="A8085" s="5">
        <v>8081</v>
      </c>
      <c r="B8085" s="5">
        <v>337</v>
      </c>
      <c r="C8085" s="5">
        <v>12</v>
      </c>
      <c r="D8085" s="25">
        <v>1.1416E-4</v>
      </c>
      <c r="E8085" s="25">
        <v>1.0835E-4</v>
      </c>
      <c r="F8085" s="25">
        <v>1.0216E-4</v>
      </c>
      <c r="G8085" s="25">
        <v>1.6608000000000001E-4</v>
      </c>
      <c r="H8085" s="25">
        <v>1.8731999999999999E-4</v>
      </c>
      <c r="I8085" s="9">
        <v>1.3884999999999999E-4</v>
      </c>
      <c r="J8085" s="9">
        <v>1.4478000000000001E-4</v>
      </c>
      <c r="K8085" s="9">
        <v>1.5470999999999999E-4</v>
      </c>
      <c r="L8085" s="9">
        <v>1.9427999999999999E-4</v>
      </c>
      <c r="M8085" s="9">
        <v>1.6190000000000001E-4</v>
      </c>
      <c r="N8085" s="9">
        <v>1.5224999999999999E-4</v>
      </c>
      <c r="O8085" s="9">
        <v>2.1692E-4</v>
      </c>
      <c r="P8085" s="9">
        <v>1.6006000000000001E-4</v>
      </c>
      <c r="Q8085" s="9">
        <v>1.0766E-4</v>
      </c>
      <c r="R8085" s="10">
        <v>1.9404087146293429E-4</v>
      </c>
      <c r="S8085" s="10">
        <v>1.9027670608201438E-4</v>
      </c>
      <c r="T8085" s="10">
        <v>0</v>
      </c>
      <c r="U8085" s="10">
        <v>1.2228E-4</v>
      </c>
      <c r="V8085" s="25"/>
      <c r="W8085" s="25"/>
      <c r="X8085" s="25"/>
      <c r="Y8085" s="25"/>
      <c r="Z8085" s="25"/>
      <c r="AA8085" s="25"/>
    </row>
    <row r="8086" spans="1:27" x14ac:dyDescent="0.35">
      <c r="A8086" s="5">
        <v>8082</v>
      </c>
      <c r="B8086" s="5">
        <v>337</v>
      </c>
      <c r="C8086" s="5">
        <v>12</v>
      </c>
      <c r="D8086" s="25">
        <v>1.1415000000000001E-4</v>
      </c>
      <c r="E8086" s="25">
        <v>1.0603E-4</v>
      </c>
      <c r="F8086" s="25">
        <v>1.0956E-4</v>
      </c>
      <c r="G8086" s="25">
        <v>1.6405E-4</v>
      </c>
      <c r="H8086" s="25">
        <v>1.8883999999999999E-4</v>
      </c>
      <c r="I8086" s="9">
        <v>1.4435000000000001E-4</v>
      </c>
      <c r="J8086" s="9">
        <v>1.507E-4</v>
      </c>
      <c r="K8086" s="9">
        <v>1.5684E-4</v>
      </c>
      <c r="L8086" s="9">
        <v>2.1174E-4</v>
      </c>
      <c r="M8086" s="9">
        <v>1.5961999999999999E-4</v>
      </c>
      <c r="N8086" s="9">
        <v>1.3899999999999999E-4</v>
      </c>
      <c r="O8086" s="9">
        <v>2.0583E-4</v>
      </c>
      <c r="P8086" s="9">
        <v>1.5933000000000001E-4</v>
      </c>
      <c r="Q8086" s="9">
        <v>1.1689E-4</v>
      </c>
      <c r="R8086" s="10">
        <v>1.9659145232620256E-4</v>
      </c>
      <c r="S8086" s="10">
        <v>1.9029015331919628E-4</v>
      </c>
      <c r="T8086" s="10">
        <v>0</v>
      </c>
      <c r="U8086" s="10">
        <v>1.2228E-4</v>
      </c>
      <c r="V8086" s="25"/>
      <c r="W8086" s="25"/>
      <c r="X8086" s="25"/>
      <c r="Y8086" s="25"/>
      <c r="Z8086" s="25"/>
      <c r="AA8086" s="25"/>
    </row>
    <row r="8087" spans="1:27" x14ac:dyDescent="0.35">
      <c r="A8087" s="5">
        <v>8083</v>
      </c>
      <c r="B8087" s="5">
        <v>337</v>
      </c>
      <c r="C8087" s="5">
        <v>12</v>
      </c>
      <c r="D8087" s="25">
        <v>1.1416E-4</v>
      </c>
      <c r="E8087" s="25">
        <v>1.0572E-4</v>
      </c>
      <c r="F8087" s="25">
        <v>1.0403000000000001E-4</v>
      </c>
      <c r="G8087" s="25">
        <v>1.0847E-4</v>
      </c>
      <c r="H8087" s="25">
        <v>1.3706999999999999E-4</v>
      </c>
      <c r="I8087" s="9">
        <v>1.4244999999999999E-4</v>
      </c>
      <c r="J8087" s="9">
        <v>1.4532999999999999E-4</v>
      </c>
      <c r="K8087" s="9">
        <v>1.5470999999999999E-4</v>
      </c>
      <c r="L8087" s="9">
        <v>2.0670000000000001E-4</v>
      </c>
      <c r="M8087" s="9">
        <v>1.5908E-4</v>
      </c>
      <c r="N8087" s="9">
        <v>1.2981000000000001E-4</v>
      </c>
      <c r="O8087" s="9">
        <v>1.6646E-4</v>
      </c>
      <c r="P8087" s="9">
        <v>1.3551000000000001E-4</v>
      </c>
      <c r="Q8087" s="9">
        <v>1.0755999999999999E-4</v>
      </c>
      <c r="R8087" s="10">
        <v>1.9920673229445788E-4</v>
      </c>
      <c r="S8087" s="10">
        <v>1.9029020759484994E-4</v>
      </c>
      <c r="T8087" s="10">
        <v>0</v>
      </c>
      <c r="U8087" s="10">
        <v>1.2228E-4</v>
      </c>
      <c r="V8087" s="25"/>
      <c r="W8087" s="25"/>
      <c r="X8087" s="25"/>
      <c r="Y8087" s="25"/>
      <c r="Z8087" s="25"/>
      <c r="AA8087" s="25"/>
    </row>
    <row r="8088" spans="1:27" x14ac:dyDescent="0.35">
      <c r="A8088" s="5">
        <v>8084</v>
      </c>
      <c r="B8088" s="5">
        <v>337</v>
      </c>
      <c r="C8088" s="5">
        <v>12</v>
      </c>
      <c r="D8088" s="25">
        <v>1.1415000000000001E-4</v>
      </c>
      <c r="E8088" s="25">
        <v>1.1559E-4</v>
      </c>
      <c r="F8088" s="25">
        <v>8.8889999999999998E-5</v>
      </c>
      <c r="G8088" s="25">
        <v>1.1249E-4</v>
      </c>
      <c r="H8088" s="25">
        <v>1.3002000000000001E-4</v>
      </c>
      <c r="I8088" s="9">
        <v>1.3606999999999999E-4</v>
      </c>
      <c r="J8088" s="9">
        <v>1.4044E-4</v>
      </c>
      <c r="K8088" s="9">
        <v>1.5046999999999999E-4</v>
      </c>
      <c r="L8088" s="9">
        <v>1.7551000000000001E-4</v>
      </c>
      <c r="M8088" s="9">
        <v>1.5061999999999999E-4</v>
      </c>
      <c r="N8088" s="9">
        <v>1.2087E-4</v>
      </c>
      <c r="O8088" s="9">
        <v>1.294E-4</v>
      </c>
      <c r="P8088" s="9">
        <v>1.1451E-4</v>
      </c>
      <c r="Q8088" s="9">
        <v>1.0158E-4</v>
      </c>
      <c r="R8088" s="10">
        <v>2.0797554448558458E-4</v>
      </c>
      <c r="S8088" s="10">
        <v>1.9029020759484994E-4</v>
      </c>
      <c r="T8088" s="10">
        <v>0</v>
      </c>
      <c r="U8088" s="10">
        <v>1.2228E-4</v>
      </c>
      <c r="V8088" s="25"/>
      <c r="W8088" s="25"/>
      <c r="X8088" s="25"/>
      <c r="Y8088" s="25"/>
      <c r="Z8088" s="25"/>
      <c r="AA8088" s="25"/>
    </row>
    <row r="8089" spans="1:27" x14ac:dyDescent="0.35">
      <c r="A8089" s="5">
        <v>8085</v>
      </c>
      <c r="B8089" s="5">
        <v>337</v>
      </c>
      <c r="C8089" s="5">
        <v>12</v>
      </c>
      <c r="D8089" s="25">
        <v>1.1416E-4</v>
      </c>
      <c r="E8089" s="25">
        <v>1.1441E-4</v>
      </c>
      <c r="F8089" s="25">
        <v>1.094E-4</v>
      </c>
      <c r="G8089" s="25">
        <v>5.3189999999999997E-5</v>
      </c>
      <c r="H8089" s="25">
        <v>6.6890000000000005E-5</v>
      </c>
      <c r="I8089" s="9">
        <v>1.3083999999999999E-4</v>
      </c>
      <c r="J8089" s="9">
        <v>1.3412999999999999E-4</v>
      </c>
      <c r="K8089" s="9">
        <v>1.6107E-4</v>
      </c>
      <c r="L8089" s="9">
        <v>1.4053000000000001E-4</v>
      </c>
      <c r="M8089" s="9">
        <v>1.3525000000000001E-4</v>
      </c>
      <c r="N8089" s="9">
        <v>1.1312E-4</v>
      </c>
      <c r="O8089" s="9">
        <v>8.4560000000000004E-5</v>
      </c>
      <c r="P8089" s="9">
        <v>8.5779999999999995E-5</v>
      </c>
      <c r="Q8089" s="9">
        <v>8.776E-5</v>
      </c>
      <c r="R8089" s="10">
        <v>2.0998528523297563E-4</v>
      </c>
      <c r="S8089" s="10">
        <v>1.9029020759484994E-4</v>
      </c>
      <c r="T8089" s="10">
        <v>0</v>
      </c>
      <c r="U8089" s="10">
        <v>1.2228E-4</v>
      </c>
      <c r="V8089" s="25"/>
      <c r="W8089" s="25"/>
      <c r="X8089" s="25"/>
      <c r="Y8089" s="25"/>
      <c r="Z8089" s="25"/>
      <c r="AA8089" s="25"/>
    </row>
    <row r="8090" spans="1:27" x14ac:dyDescent="0.35">
      <c r="A8090" s="5">
        <v>8086</v>
      </c>
      <c r="B8090" s="5">
        <v>337</v>
      </c>
      <c r="C8090" s="5">
        <v>12</v>
      </c>
      <c r="D8090" s="25">
        <v>1.1415000000000001E-4</v>
      </c>
      <c r="E8090" s="25">
        <v>1.0811000000000001E-4</v>
      </c>
      <c r="F8090" s="25">
        <v>1.0323999999999999E-4</v>
      </c>
      <c r="G8090" s="25">
        <v>5.9700000000000001E-5</v>
      </c>
      <c r="H8090" s="25">
        <v>6.6489999999999995E-5</v>
      </c>
      <c r="I8090" s="9">
        <v>1.2507999999999999E-4</v>
      </c>
      <c r="J8090" s="9">
        <v>1.2582000000000001E-4</v>
      </c>
      <c r="K8090" s="9">
        <v>1.5046999999999999E-4</v>
      </c>
      <c r="L8090" s="9">
        <v>9.781E-5</v>
      </c>
      <c r="M8090" s="9">
        <v>1.1348E-4</v>
      </c>
      <c r="N8090" s="9">
        <v>1.0545E-4</v>
      </c>
      <c r="O8090" s="9">
        <v>8.708E-5</v>
      </c>
      <c r="P8090" s="9">
        <v>8.687E-5</v>
      </c>
      <c r="Q8090" s="9">
        <v>8.7520000000000002E-5</v>
      </c>
      <c r="R8090" s="10">
        <v>2.1121033728115356E-4</v>
      </c>
      <c r="S8090" s="10">
        <v>1.9029020759484994E-4</v>
      </c>
      <c r="T8090" s="10">
        <v>0</v>
      </c>
      <c r="U8090" s="10">
        <v>1.2228E-4</v>
      </c>
      <c r="V8090" s="25"/>
      <c r="W8090" s="25"/>
      <c r="X8090" s="25"/>
      <c r="Y8090" s="25"/>
      <c r="Z8090" s="25"/>
      <c r="AA8090" s="25"/>
    </row>
    <row r="8091" spans="1:27" x14ac:dyDescent="0.35">
      <c r="A8091" s="5">
        <v>8087</v>
      </c>
      <c r="B8091" s="5">
        <v>337</v>
      </c>
      <c r="C8091" s="5">
        <v>12</v>
      </c>
      <c r="D8091" s="25">
        <v>1.1416E-4</v>
      </c>
      <c r="E8091" s="25">
        <v>1.0597E-4</v>
      </c>
      <c r="F8091" s="25">
        <v>1.0226E-4</v>
      </c>
      <c r="G8091" s="25">
        <v>5.6480000000000001E-5</v>
      </c>
      <c r="H8091" s="25">
        <v>6.8889999999999999E-5</v>
      </c>
      <c r="I8091" s="9">
        <v>1.2695E-4</v>
      </c>
      <c r="J8091" s="9">
        <v>1.1779E-4</v>
      </c>
      <c r="K8091" s="9">
        <v>1.3776000000000001E-4</v>
      </c>
      <c r="L8091" s="9">
        <v>9.0400000000000002E-5</v>
      </c>
      <c r="M8091" s="9">
        <v>9.8560000000000005E-5</v>
      </c>
      <c r="N8091" s="9">
        <v>9.9489999999999998E-5</v>
      </c>
      <c r="O8091" s="9">
        <v>7.8490000000000002E-5</v>
      </c>
      <c r="P8091" s="9">
        <v>7.2470000000000002E-5</v>
      </c>
      <c r="Q8091" s="9">
        <v>6.7199999999999994E-5</v>
      </c>
      <c r="R8091" s="10">
        <v>2.1215618937569247E-4</v>
      </c>
      <c r="S8091" s="10">
        <v>1.9029020349194909E-4</v>
      </c>
      <c r="T8091" s="10">
        <v>0</v>
      </c>
      <c r="U8091" s="10">
        <v>1.2228E-4</v>
      </c>
      <c r="V8091" s="25"/>
      <c r="W8091" s="25"/>
      <c r="X8091" s="25"/>
      <c r="Y8091" s="25"/>
      <c r="Z8091" s="25"/>
      <c r="AA8091" s="25"/>
    </row>
    <row r="8092" spans="1:27" x14ac:dyDescent="0.35">
      <c r="A8092" s="5">
        <v>8088</v>
      </c>
      <c r="B8092" s="5">
        <v>337</v>
      </c>
      <c r="C8092" s="5">
        <v>12</v>
      </c>
      <c r="D8092" s="25">
        <v>1.1415000000000001E-4</v>
      </c>
      <c r="E8092" s="25">
        <v>1.1294999999999999E-4</v>
      </c>
      <c r="F8092" s="25">
        <v>1.01E-4</v>
      </c>
      <c r="G8092" s="25">
        <v>5.7099999999999999E-5</v>
      </c>
      <c r="H8092" s="25">
        <v>6.2940000000000004E-5</v>
      </c>
      <c r="I8092" s="9">
        <v>1.2608000000000001E-4</v>
      </c>
      <c r="J8092" s="9">
        <v>1.1129999999999999E-4</v>
      </c>
      <c r="K8092" s="9">
        <v>1.5046999999999999E-4</v>
      </c>
      <c r="L8092" s="9">
        <v>8.1100000000000006E-5</v>
      </c>
      <c r="M8092" s="9">
        <v>8.5870000000000003E-5</v>
      </c>
      <c r="N8092" s="9">
        <v>9.0329999999999997E-5</v>
      </c>
      <c r="O8092" s="9">
        <v>6.2940000000000004E-5</v>
      </c>
      <c r="P8092" s="9">
        <v>6.0760000000000001E-5</v>
      </c>
      <c r="Q8092" s="9">
        <v>5.8940000000000002E-5</v>
      </c>
      <c r="R8092" s="10">
        <v>2.1166190396127501E-4</v>
      </c>
      <c r="S8092" s="10">
        <v>1.9028674592817926E-4</v>
      </c>
      <c r="T8092" s="10">
        <v>0</v>
      </c>
      <c r="U8092" s="10">
        <v>1.2228E-4</v>
      </c>
      <c r="V8092" s="25"/>
      <c r="W8092" s="25"/>
      <c r="X8092" s="25"/>
      <c r="Y8092" s="25"/>
      <c r="Z8092" s="25"/>
      <c r="AA8092" s="25"/>
    </row>
    <row r="8093" spans="1:27" x14ac:dyDescent="0.35">
      <c r="A8093" s="5">
        <v>8089</v>
      </c>
      <c r="B8093" s="5">
        <v>338</v>
      </c>
      <c r="C8093" s="5">
        <v>12</v>
      </c>
      <c r="D8093" s="25">
        <v>1.1416E-4</v>
      </c>
      <c r="E8093" s="25">
        <v>1.1336E-4</v>
      </c>
      <c r="F8093" s="25">
        <v>1.4250999999999999E-4</v>
      </c>
      <c r="G8093" s="25">
        <v>5.5980000000000003E-5</v>
      </c>
      <c r="H8093" s="25">
        <v>7.3189999999999996E-5</v>
      </c>
      <c r="I8093" s="9">
        <v>1.1885E-4</v>
      </c>
      <c r="J8093" s="9">
        <v>1.0467E-4</v>
      </c>
      <c r="K8093" s="9">
        <v>1.5470999999999999E-4</v>
      </c>
      <c r="L8093" s="9">
        <v>6.6909999999999995E-5</v>
      </c>
      <c r="M8093" s="9">
        <v>7.3949999999999995E-5</v>
      </c>
      <c r="N8093" s="9">
        <v>8.0970000000000006E-5</v>
      </c>
      <c r="O8093" s="9">
        <v>5.4020000000000001E-5</v>
      </c>
      <c r="P8093" s="9">
        <v>5.3449999999999998E-5</v>
      </c>
      <c r="Q8093" s="9">
        <v>5.3029999999999999E-5</v>
      </c>
      <c r="R8093" s="10">
        <v>2.123581690548792E-4</v>
      </c>
      <c r="S8093" s="10">
        <v>1.9007269815849717E-4</v>
      </c>
      <c r="T8093" s="10">
        <v>0</v>
      </c>
      <c r="U8093" s="10">
        <v>1.1716E-4</v>
      </c>
      <c r="V8093" s="25"/>
      <c r="W8093" s="25"/>
      <c r="X8093" s="25"/>
      <c r="Y8093" s="25"/>
      <c r="Z8093" s="25"/>
      <c r="AA8093" s="25"/>
    </row>
    <row r="8094" spans="1:27" x14ac:dyDescent="0.35">
      <c r="A8094" s="5">
        <v>8090</v>
      </c>
      <c r="B8094" s="5">
        <v>338</v>
      </c>
      <c r="C8094" s="5">
        <v>12</v>
      </c>
      <c r="D8094" s="25">
        <v>1.1415000000000001E-4</v>
      </c>
      <c r="E8094" s="25">
        <v>1.0914E-4</v>
      </c>
      <c r="F8094" s="25">
        <v>1.2752999999999999E-4</v>
      </c>
      <c r="G8094" s="25">
        <v>5.7599999999999997E-5</v>
      </c>
      <c r="H8094" s="25">
        <v>7.2960000000000006E-5</v>
      </c>
      <c r="I8094" s="9">
        <v>1.1255E-4</v>
      </c>
      <c r="J8094" s="9">
        <v>1.0001999999999999E-4</v>
      </c>
      <c r="K8094" s="9">
        <v>1.5046999999999999E-4</v>
      </c>
      <c r="L8094" s="9">
        <v>5.7240000000000001E-5</v>
      </c>
      <c r="M8094" s="9">
        <v>6.3730000000000001E-5</v>
      </c>
      <c r="N8094" s="9">
        <v>7.1840000000000003E-5</v>
      </c>
      <c r="O8094" s="9">
        <v>1.8280000000000001E-5</v>
      </c>
      <c r="P8094" s="9">
        <v>3.748E-5</v>
      </c>
      <c r="Q8094" s="9">
        <v>5.5779999999999998E-5</v>
      </c>
      <c r="R8094" s="10">
        <v>2.1244154538676207E-4</v>
      </c>
      <c r="S8094" s="10">
        <v>1.8947978420021111E-4</v>
      </c>
      <c r="T8094" s="10">
        <v>0</v>
      </c>
      <c r="U8094" s="10">
        <v>1.1716E-4</v>
      </c>
      <c r="V8094" s="25"/>
      <c r="W8094" s="25"/>
      <c r="X8094" s="25"/>
      <c r="Y8094" s="25"/>
      <c r="Z8094" s="25"/>
      <c r="AA8094" s="25"/>
    </row>
    <row r="8095" spans="1:27" x14ac:dyDescent="0.35">
      <c r="A8095" s="5">
        <v>8091</v>
      </c>
      <c r="B8095" s="5">
        <v>338</v>
      </c>
      <c r="C8095" s="5">
        <v>12</v>
      </c>
      <c r="D8095" s="25">
        <v>1.1416E-4</v>
      </c>
      <c r="E8095" s="25">
        <v>1.1290000000000001E-4</v>
      </c>
      <c r="F8095" s="25">
        <v>1.4014E-4</v>
      </c>
      <c r="G8095" s="25">
        <v>5.7450000000000001E-5</v>
      </c>
      <c r="H8095" s="25">
        <v>6.8319999999999996E-5</v>
      </c>
      <c r="I8095" s="9">
        <v>1.0745E-4</v>
      </c>
      <c r="J8095" s="9">
        <v>9.6949999999999998E-5</v>
      </c>
      <c r="K8095" s="9">
        <v>1.526E-4</v>
      </c>
      <c r="L8095" s="9">
        <v>2.7080000000000002E-5</v>
      </c>
      <c r="M8095" s="9">
        <v>5.1940000000000001E-5</v>
      </c>
      <c r="N8095" s="9">
        <v>6.525E-5</v>
      </c>
      <c r="O8095" s="9">
        <v>1.29E-5</v>
      </c>
      <c r="P8095" s="9">
        <v>3.7910000000000001E-5</v>
      </c>
      <c r="Q8095" s="9">
        <v>6.1790000000000003E-5</v>
      </c>
      <c r="R8095" s="10">
        <v>2.1244920952220322E-4</v>
      </c>
      <c r="S8095" s="10">
        <v>1.8801903877153326E-4</v>
      </c>
      <c r="T8095" s="10">
        <v>0</v>
      </c>
      <c r="U8095" s="10">
        <v>1.1716E-4</v>
      </c>
      <c r="V8095" s="25"/>
      <c r="W8095" s="25"/>
      <c r="X8095" s="25"/>
      <c r="Y8095" s="25"/>
      <c r="Z8095" s="25"/>
      <c r="AA8095" s="25"/>
    </row>
    <row r="8096" spans="1:27" x14ac:dyDescent="0.35">
      <c r="A8096" s="5">
        <v>8092</v>
      </c>
      <c r="B8096" s="5">
        <v>338</v>
      </c>
      <c r="C8096" s="5">
        <v>12</v>
      </c>
      <c r="D8096" s="25">
        <v>1.1415000000000001E-4</v>
      </c>
      <c r="E8096" s="25">
        <v>1.2031000000000001E-4</v>
      </c>
      <c r="F8096" s="25">
        <v>1.3144E-4</v>
      </c>
      <c r="G8096" s="25">
        <v>5.3949999999999997E-5</v>
      </c>
      <c r="H8096" s="25">
        <v>6.4579999999999995E-5</v>
      </c>
      <c r="I8096" s="9">
        <v>1.0531000000000001E-4</v>
      </c>
      <c r="J8096" s="9">
        <v>9.5539999999999997E-5</v>
      </c>
      <c r="K8096" s="9">
        <v>1.5259E-4</v>
      </c>
      <c r="L8096" s="9">
        <v>1.677E-5</v>
      </c>
      <c r="M8096" s="9">
        <v>4.4070000000000003E-5</v>
      </c>
      <c r="N8096" s="9">
        <v>6.1779999999999995E-5</v>
      </c>
      <c r="O8096" s="9">
        <v>1.2969999999999999E-5</v>
      </c>
      <c r="P8096" s="9">
        <v>4.7639999999999998E-5</v>
      </c>
      <c r="Q8096" s="9">
        <v>8.1019999999999993E-5</v>
      </c>
      <c r="R8096" s="10">
        <v>2.1244936787709023E-4</v>
      </c>
      <c r="S8096" s="10">
        <v>1.845692802405398E-4</v>
      </c>
      <c r="T8096" s="10">
        <v>0</v>
      </c>
      <c r="U8096" s="10">
        <v>1.1716E-4</v>
      </c>
      <c r="V8096" s="25"/>
      <c r="W8096" s="25"/>
      <c r="X8096" s="25"/>
      <c r="Y8096" s="25"/>
      <c r="Z8096" s="25"/>
      <c r="AA8096" s="25"/>
    </row>
    <row r="8097" spans="1:27" x14ac:dyDescent="0.35">
      <c r="A8097" s="5">
        <v>8093</v>
      </c>
      <c r="B8097" s="5">
        <v>338</v>
      </c>
      <c r="C8097" s="5">
        <v>12</v>
      </c>
      <c r="D8097" s="25">
        <v>1.1416E-4</v>
      </c>
      <c r="E8097" s="25">
        <v>1.1365E-4</v>
      </c>
      <c r="F8097" s="25">
        <v>1.2883999999999999E-4</v>
      </c>
      <c r="G8097" s="25">
        <v>5.8100000000000003E-5</v>
      </c>
      <c r="H8097" s="25">
        <v>7.3109999999999996E-5</v>
      </c>
      <c r="I8097" s="9">
        <v>1.0476000000000001E-4</v>
      </c>
      <c r="J8097" s="9">
        <v>9.5379999999999998E-5</v>
      </c>
      <c r="K8097" s="9">
        <v>1.7589999999999999E-4</v>
      </c>
      <c r="L8097" s="9">
        <v>1.4049999999999999E-5</v>
      </c>
      <c r="M8097" s="9">
        <v>4.3600000000000003E-5</v>
      </c>
      <c r="N8097" s="9">
        <v>6.4490000000000001E-5</v>
      </c>
      <c r="O8097" s="9">
        <v>1.8389999999999998E-5</v>
      </c>
      <c r="P8097" s="9">
        <v>5.6570000000000002E-5</v>
      </c>
      <c r="Q8097" s="9">
        <v>9.3540000000000002E-5</v>
      </c>
      <c r="R8097" s="10">
        <v>2.1244936787709023E-4</v>
      </c>
      <c r="S8097" s="10">
        <v>1.8951295300062866E-4</v>
      </c>
      <c r="T8097" s="10">
        <v>0</v>
      </c>
      <c r="U8097" s="10">
        <v>1.1716E-4</v>
      </c>
      <c r="V8097" s="25"/>
      <c r="W8097" s="25"/>
      <c r="X8097" s="25"/>
      <c r="Y8097" s="25"/>
      <c r="Z8097" s="25"/>
      <c r="AA8097" s="25"/>
    </row>
    <row r="8098" spans="1:27" x14ac:dyDescent="0.35">
      <c r="A8098" s="5">
        <v>8094</v>
      </c>
      <c r="B8098" s="5">
        <v>338</v>
      </c>
      <c r="C8098" s="5">
        <v>12</v>
      </c>
      <c r="D8098" s="25">
        <v>1.1415000000000001E-4</v>
      </c>
      <c r="E8098" s="25">
        <v>1.1510000000000001E-4</v>
      </c>
      <c r="F8098" s="25">
        <v>1.3001000000000001E-4</v>
      </c>
      <c r="G8098" s="25">
        <v>1.0627E-4</v>
      </c>
      <c r="H8098" s="25">
        <v>1.3079000000000001E-4</v>
      </c>
      <c r="I8098" s="9">
        <v>1.0499E-4</v>
      </c>
      <c r="J8098" s="9">
        <v>9.6760000000000002E-5</v>
      </c>
      <c r="K8098" s="9">
        <v>1.7166999999999999E-4</v>
      </c>
      <c r="L8098" s="9">
        <v>1.73E-5</v>
      </c>
      <c r="M8098" s="9">
        <v>4.85E-5</v>
      </c>
      <c r="N8098" s="9">
        <v>7.1050000000000006E-5</v>
      </c>
      <c r="O8098" s="9">
        <v>4.6159999999999999E-5</v>
      </c>
      <c r="P8098" s="9">
        <v>7.6810000000000005E-5</v>
      </c>
      <c r="Q8098" s="9">
        <v>1.0696000000000001E-4</v>
      </c>
      <c r="R8098" s="10">
        <v>2.1244936787709023E-4</v>
      </c>
      <c r="S8098" s="10">
        <v>1.8978634464206511E-4</v>
      </c>
      <c r="T8098" s="10">
        <v>0</v>
      </c>
      <c r="U8098" s="10">
        <v>1.1716E-4</v>
      </c>
      <c r="V8098" s="25"/>
      <c r="W8098" s="25"/>
      <c r="X8098" s="25"/>
      <c r="Y8098" s="25"/>
      <c r="Z8098" s="25"/>
      <c r="AA8098" s="25"/>
    </row>
    <row r="8099" spans="1:27" x14ac:dyDescent="0.35">
      <c r="A8099" s="5">
        <v>8095</v>
      </c>
      <c r="B8099" s="5">
        <v>338</v>
      </c>
      <c r="C8099" s="5">
        <v>12</v>
      </c>
      <c r="D8099" s="25">
        <v>1.1416E-4</v>
      </c>
      <c r="E8099" s="25">
        <v>1.1404999999999999E-4</v>
      </c>
      <c r="F8099" s="25">
        <v>1.4186E-4</v>
      </c>
      <c r="G8099" s="25">
        <v>1.1287E-4</v>
      </c>
      <c r="H8099" s="25">
        <v>1.2820999999999999E-4</v>
      </c>
      <c r="I8099" s="9">
        <v>1.0917E-4</v>
      </c>
      <c r="J8099" s="9">
        <v>1.0127E-4</v>
      </c>
      <c r="K8099" s="9">
        <v>1.7166999999999999E-4</v>
      </c>
      <c r="L8099" s="9">
        <v>3.9669999999999998E-5</v>
      </c>
      <c r="M8099" s="9">
        <v>6.0059999999999998E-5</v>
      </c>
      <c r="N8099" s="9">
        <v>8.0770000000000001E-5</v>
      </c>
      <c r="O8099" s="9">
        <v>1.2499000000000001E-4</v>
      </c>
      <c r="P8099" s="9">
        <v>1.1828E-4</v>
      </c>
      <c r="Q8099" s="9">
        <v>1.1331E-4</v>
      </c>
      <c r="R8099" s="10">
        <v>2.1244181036590937E-4</v>
      </c>
      <c r="S8099" s="10">
        <v>1.9016685328767532E-4</v>
      </c>
      <c r="T8099" s="10">
        <v>0</v>
      </c>
      <c r="U8099" s="10">
        <v>1.1716E-4</v>
      </c>
      <c r="V8099" s="25"/>
      <c r="W8099" s="25"/>
      <c r="X8099" s="25"/>
      <c r="Y8099" s="25"/>
      <c r="Z8099" s="25"/>
      <c r="AA8099" s="25"/>
    </row>
    <row r="8100" spans="1:27" x14ac:dyDescent="0.35">
      <c r="A8100" s="5">
        <v>8096</v>
      </c>
      <c r="B8100" s="5">
        <v>338</v>
      </c>
      <c r="C8100" s="5">
        <v>12</v>
      </c>
      <c r="D8100" s="25">
        <v>1.1415000000000001E-4</v>
      </c>
      <c r="E8100" s="25">
        <v>1.1415E-4</v>
      </c>
      <c r="F8100" s="25">
        <v>1.2239E-4</v>
      </c>
      <c r="G8100" s="25">
        <v>1.573E-4</v>
      </c>
      <c r="H8100" s="25">
        <v>1.9385E-4</v>
      </c>
      <c r="I8100" s="9">
        <v>1.1341E-4</v>
      </c>
      <c r="J8100" s="9">
        <v>1.0953E-4</v>
      </c>
      <c r="K8100" s="9">
        <v>1.6531E-4</v>
      </c>
      <c r="L8100" s="9">
        <v>1.0560000000000001E-4</v>
      </c>
      <c r="M8100" s="9">
        <v>8.3999999999999995E-5</v>
      </c>
      <c r="N8100" s="9">
        <v>9.1069999999999994E-5</v>
      </c>
      <c r="O8100" s="9">
        <v>2.1917E-4</v>
      </c>
      <c r="P8100" s="9">
        <v>1.7503000000000001E-4</v>
      </c>
      <c r="Q8100" s="9">
        <v>1.3521E-4</v>
      </c>
      <c r="R8100" s="10">
        <v>2.1140105628356665E-4</v>
      </c>
      <c r="S8100" s="10">
        <v>1.8992020269029635E-4</v>
      </c>
      <c r="T8100" s="10">
        <v>0</v>
      </c>
      <c r="U8100" s="10">
        <v>1.1716E-4</v>
      </c>
      <c r="V8100" s="25"/>
      <c r="W8100" s="25"/>
      <c r="X8100" s="25"/>
      <c r="Y8100" s="25"/>
      <c r="Z8100" s="25"/>
      <c r="AA8100" s="25"/>
    </row>
    <row r="8101" spans="1:27" x14ac:dyDescent="0.35">
      <c r="A8101" s="5">
        <v>8097</v>
      </c>
      <c r="B8101" s="5">
        <v>338</v>
      </c>
      <c r="C8101" s="5">
        <v>12</v>
      </c>
      <c r="D8101" s="25">
        <v>1.1416E-4</v>
      </c>
      <c r="E8101" s="25">
        <v>1.0895000000000001E-4</v>
      </c>
      <c r="F8101" s="25">
        <v>1.3276999999999999E-4</v>
      </c>
      <c r="G8101" s="25">
        <v>1.6426E-4</v>
      </c>
      <c r="H8101" s="25">
        <v>1.8667999999999999E-4</v>
      </c>
      <c r="I8101" s="9">
        <v>1.2051E-4</v>
      </c>
      <c r="J8101" s="9">
        <v>1.1873E-4</v>
      </c>
      <c r="K8101" s="9">
        <v>1.6107E-4</v>
      </c>
      <c r="L8101" s="9">
        <v>1.9238E-4</v>
      </c>
      <c r="M8101" s="9">
        <v>1.2297E-4</v>
      </c>
      <c r="N8101" s="9">
        <v>1.0446E-4</v>
      </c>
      <c r="O8101" s="9">
        <v>2.1358E-4</v>
      </c>
      <c r="P8101" s="9">
        <v>1.9348E-4</v>
      </c>
      <c r="Q8101" s="9">
        <v>1.7719E-4</v>
      </c>
      <c r="R8101" s="10">
        <v>2.0901342195001543E-4</v>
      </c>
      <c r="S8101" s="10">
        <v>1.8974053863387067E-4</v>
      </c>
      <c r="T8101" s="10">
        <v>6.1095439620376273E-5</v>
      </c>
      <c r="U8101" s="10">
        <v>1.1716E-4</v>
      </c>
      <c r="V8101" s="25"/>
      <c r="W8101" s="25"/>
      <c r="X8101" s="25"/>
      <c r="Y8101" s="25"/>
      <c r="Z8101" s="25"/>
      <c r="AA8101" s="25"/>
    </row>
    <row r="8102" spans="1:27" x14ac:dyDescent="0.35">
      <c r="A8102" s="5">
        <v>8098</v>
      </c>
      <c r="B8102" s="5">
        <v>338</v>
      </c>
      <c r="C8102" s="5">
        <v>12</v>
      </c>
      <c r="D8102" s="25">
        <v>1.1415000000000001E-4</v>
      </c>
      <c r="E8102" s="25">
        <v>1.1446E-4</v>
      </c>
      <c r="F8102" s="25">
        <v>1.2250999999999999E-4</v>
      </c>
      <c r="G8102" s="25">
        <v>1.673E-4</v>
      </c>
      <c r="H8102" s="25">
        <v>1.9828000000000001E-4</v>
      </c>
      <c r="I8102" s="9">
        <v>1.2591999999999999E-4</v>
      </c>
      <c r="J8102" s="9">
        <v>1.2569999999999999E-4</v>
      </c>
      <c r="K8102" s="9">
        <v>1.4412E-4</v>
      </c>
      <c r="L8102" s="9">
        <v>2.0663999999999999E-4</v>
      </c>
      <c r="M8102" s="9">
        <v>1.5820999999999999E-4</v>
      </c>
      <c r="N8102" s="9">
        <v>1.2452000000000001E-4</v>
      </c>
      <c r="O8102" s="9">
        <v>1.6745E-4</v>
      </c>
      <c r="P8102" s="9">
        <v>1.7295E-4</v>
      </c>
      <c r="Q8102" s="9">
        <v>1.8091E-4</v>
      </c>
      <c r="R8102" s="10">
        <v>2.0765078010335217E-4</v>
      </c>
      <c r="S8102" s="10">
        <v>1.8957590941875893E-4</v>
      </c>
      <c r="T8102" s="10">
        <v>2.0905313598751162E-4</v>
      </c>
      <c r="U8102" s="10">
        <v>1.1716E-4</v>
      </c>
      <c r="V8102" s="25"/>
      <c r="W8102" s="25"/>
      <c r="X8102" s="25"/>
      <c r="Y8102" s="25"/>
      <c r="Z8102" s="25"/>
      <c r="AA8102" s="25"/>
    </row>
    <row r="8103" spans="1:27" x14ac:dyDescent="0.35">
      <c r="A8103" s="5">
        <v>8099</v>
      </c>
      <c r="B8103" s="5">
        <v>338</v>
      </c>
      <c r="C8103" s="5">
        <v>12</v>
      </c>
      <c r="D8103" s="25">
        <v>1.1416E-4</v>
      </c>
      <c r="E8103" s="25">
        <v>1.0962E-4</v>
      </c>
      <c r="F8103" s="25">
        <v>1.3787000000000001E-4</v>
      </c>
      <c r="G8103" s="25">
        <v>1.673E-4</v>
      </c>
      <c r="H8103" s="25">
        <v>1.9311E-4</v>
      </c>
      <c r="I8103" s="9">
        <v>1.2734000000000001E-4</v>
      </c>
      <c r="J8103" s="9">
        <v>1.2777E-4</v>
      </c>
      <c r="K8103" s="9">
        <v>1.3987E-4</v>
      </c>
      <c r="L8103" s="9">
        <v>1.7610999999999999E-4</v>
      </c>
      <c r="M8103" s="9">
        <v>1.717E-4</v>
      </c>
      <c r="N8103" s="9">
        <v>1.4233E-4</v>
      </c>
      <c r="O8103" s="9">
        <v>1.6891000000000001E-4</v>
      </c>
      <c r="P8103" s="9">
        <v>1.7311E-4</v>
      </c>
      <c r="Q8103" s="9">
        <v>1.7980000000000001E-4</v>
      </c>
      <c r="R8103" s="10">
        <v>1.9956202271808842E-4</v>
      </c>
      <c r="S8103" s="10">
        <v>1.9012598735298252E-4</v>
      </c>
      <c r="T8103" s="10">
        <v>4.3431128373379546E-4</v>
      </c>
      <c r="U8103" s="10">
        <v>1.1716E-4</v>
      </c>
      <c r="V8103" s="25"/>
      <c r="W8103" s="25"/>
      <c r="X8103" s="25"/>
      <c r="Y8103" s="25"/>
      <c r="Z8103" s="25"/>
      <c r="AA8103" s="25"/>
    </row>
    <row r="8104" spans="1:27" x14ac:dyDescent="0.35">
      <c r="A8104" s="5">
        <v>8100</v>
      </c>
      <c r="B8104" s="5">
        <v>338</v>
      </c>
      <c r="C8104" s="5">
        <v>12</v>
      </c>
      <c r="D8104" s="25">
        <v>1.1415000000000001E-4</v>
      </c>
      <c r="E8104" s="25">
        <v>1.1734E-4</v>
      </c>
      <c r="F8104" s="25">
        <v>1.4087E-4</v>
      </c>
      <c r="G8104" s="25">
        <v>1.6286999999999999E-4</v>
      </c>
      <c r="H8104" s="25">
        <v>1.8762E-4</v>
      </c>
      <c r="I8104" s="9">
        <v>1.2726999999999999E-4</v>
      </c>
      <c r="J8104" s="9">
        <v>1.2697000000000001E-4</v>
      </c>
      <c r="K8104" s="9">
        <v>1.1021E-4</v>
      </c>
      <c r="L8104" s="9">
        <v>1.7192999999999999E-4</v>
      </c>
      <c r="M8104" s="9">
        <v>1.7448E-4</v>
      </c>
      <c r="N8104" s="9">
        <v>1.5647999999999999E-4</v>
      </c>
      <c r="O8104" s="9">
        <v>1.7007E-4</v>
      </c>
      <c r="P8104" s="9">
        <v>1.7013E-4</v>
      </c>
      <c r="Q8104" s="9">
        <v>1.7278000000000001E-4</v>
      </c>
      <c r="R8104" s="10">
        <v>1.9034188259477465E-4</v>
      </c>
      <c r="S8104" s="10">
        <v>1.9004305702619768E-4</v>
      </c>
      <c r="T8104" s="10">
        <v>4.9224207969656851E-4</v>
      </c>
      <c r="U8104" s="10">
        <v>1.1716E-4</v>
      </c>
      <c r="V8104" s="25"/>
      <c r="W8104" s="25"/>
      <c r="X8104" s="25"/>
      <c r="Y8104" s="25"/>
      <c r="Z8104" s="25"/>
      <c r="AA8104" s="25"/>
    </row>
    <row r="8105" spans="1:27" x14ac:dyDescent="0.35">
      <c r="A8105" s="5">
        <v>8101</v>
      </c>
      <c r="B8105" s="5">
        <v>338</v>
      </c>
      <c r="C8105" s="5">
        <v>12</v>
      </c>
      <c r="D8105" s="25">
        <v>1.1416E-4</v>
      </c>
      <c r="E8105" s="25">
        <v>1.193E-4</v>
      </c>
      <c r="F8105" s="25">
        <v>1.4006000000000001E-4</v>
      </c>
      <c r="G8105" s="25">
        <v>1.5657E-4</v>
      </c>
      <c r="H8105" s="25">
        <v>1.9374999999999999E-4</v>
      </c>
      <c r="I8105" s="9">
        <v>1.2567000000000001E-4</v>
      </c>
      <c r="J8105" s="9">
        <v>1.2464E-4</v>
      </c>
      <c r="K8105" s="9">
        <v>1.2928000000000001E-4</v>
      </c>
      <c r="L8105" s="9">
        <v>1.7063000000000001E-4</v>
      </c>
      <c r="M8105" s="9">
        <v>1.7315000000000001E-4</v>
      </c>
      <c r="N8105" s="9">
        <v>1.6566000000000001E-4</v>
      </c>
      <c r="O8105" s="9">
        <v>1.6419000000000001E-4</v>
      </c>
      <c r="P8105" s="9">
        <v>1.6516999999999999E-4</v>
      </c>
      <c r="Q8105" s="9">
        <v>1.6859000000000001E-4</v>
      </c>
      <c r="R8105" s="10">
        <v>1.9359303583776661E-4</v>
      </c>
      <c r="S8105" s="10">
        <v>1.9020540097306347E-4</v>
      </c>
      <c r="T8105" s="10">
        <v>4.8189123448939472E-4</v>
      </c>
      <c r="U8105" s="10">
        <v>1.1716E-4</v>
      </c>
      <c r="V8105" s="25"/>
      <c r="W8105" s="25"/>
      <c r="X8105" s="25"/>
      <c r="Y8105" s="25"/>
      <c r="Z8105" s="25"/>
      <c r="AA8105" s="25"/>
    </row>
    <row r="8106" spans="1:27" x14ac:dyDescent="0.35">
      <c r="A8106" s="5">
        <v>8102</v>
      </c>
      <c r="B8106" s="5">
        <v>338</v>
      </c>
      <c r="C8106" s="5">
        <v>12</v>
      </c>
      <c r="D8106" s="25">
        <v>1.1415000000000001E-4</v>
      </c>
      <c r="E8106" s="25">
        <v>1.189E-4</v>
      </c>
      <c r="F8106" s="25">
        <v>1.2412E-4</v>
      </c>
      <c r="G8106" s="25">
        <v>1.5877E-4</v>
      </c>
      <c r="H8106" s="25">
        <v>1.8825999999999999E-4</v>
      </c>
      <c r="I8106" s="9">
        <v>1.2163E-4</v>
      </c>
      <c r="J8106" s="9">
        <v>1.2266999999999999E-4</v>
      </c>
      <c r="K8106" s="9">
        <v>1.3776000000000001E-4</v>
      </c>
      <c r="L8106" s="9">
        <v>1.6537E-4</v>
      </c>
      <c r="M8106" s="9">
        <v>1.6988999999999999E-4</v>
      </c>
      <c r="N8106" s="9">
        <v>1.7033E-4</v>
      </c>
      <c r="O8106" s="9">
        <v>1.7987999999999999E-4</v>
      </c>
      <c r="P8106" s="9">
        <v>1.6888999999999999E-4</v>
      </c>
      <c r="Q8106" s="9">
        <v>1.6086E-4</v>
      </c>
      <c r="R8106" s="10">
        <v>1.8973437233296665E-4</v>
      </c>
      <c r="S8106" s="10">
        <v>1.9027940192326237E-4</v>
      </c>
      <c r="T8106" s="10">
        <v>4.0925714775282463E-4</v>
      </c>
      <c r="U8106" s="10">
        <v>1.1716E-4</v>
      </c>
      <c r="V8106" s="25"/>
      <c r="W8106" s="25"/>
      <c r="X8106" s="25"/>
      <c r="Y8106" s="25"/>
      <c r="Z8106" s="25"/>
      <c r="AA8106" s="25"/>
    </row>
    <row r="8107" spans="1:27" x14ac:dyDescent="0.35">
      <c r="A8107" s="5">
        <v>8103</v>
      </c>
      <c r="B8107" s="5">
        <v>338</v>
      </c>
      <c r="C8107" s="5">
        <v>12</v>
      </c>
      <c r="D8107" s="25">
        <v>1.1416E-4</v>
      </c>
      <c r="E8107" s="25">
        <v>1.1605E-4</v>
      </c>
      <c r="F8107" s="25">
        <v>1.2218E-4</v>
      </c>
      <c r="G8107" s="25">
        <v>1.6396E-4</v>
      </c>
      <c r="H8107" s="25">
        <v>1.9431E-4</v>
      </c>
      <c r="I8107" s="9">
        <v>1.1891E-4</v>
      </c>
      <c r="J8107" s="9">
        <v>1.214E-4</v>
      </c>
      <c r="K8107" s="9">
        <v>1.4835E-4</v>
      </c>
      <c r="L8107" s="9">
        <v>1.7682E-4</v>
      </c>
      <c r="M8107" s="9">
        <v>1.6860000000000001E-4</v>
      </c>
      <c r="N8107" s="9">
        <v>1.6992E-4</v>
      </c>
      <c r="O8107" s="9">
        <v>1.8518000000000001E-4</v>
      </c>
      <c r="P8107" s="9">
        <v>1.673E-4</v>
      </c>
      <c r="Q8107" s="9">
        <v>1.526E-4</v>
      </c>
      <c r="R8107" s="10">
        <v>1.9881748268804324E-4</v>
      </c>
      <c r="S8107" s="10">
        <v>1.9029016427277073E-4</v>
      </c>
      <c r="T8107" s="10">
        <v>2.4000386001683154E-4</v>
      </c>
      <c r="U8107" s="10">
        <v>1.1716E-4</v>
      </c>
      <c r="V8107" s="25"/>
      <c r="W8107" s="25"/>
      <c r="X8107" s="25"/>
      <c r="Y8107" s="25"/>
      <c r="Z8107" s="25"/>
      <c r="AA8107" s="25"/>
    </row>
    <row r="8108" spans="1:27" x14ac:dyDescent="0.35">
      <c r="A8108" s="5">
        <v>8104</v>
      </c>
      <c r="B8108" s="5">
        <v>338</v>
      </c>
      <c r="C8108" s="5">
        <v>12</v>
      </c>
      <c r="D8108" s="25">
        <v>1.1415000000000001E-4</v>
      </c>
      <c r="E8108" s="25">
        <v>1.1865E-4</v>
      </c>
      <c r="F8108" s="25">
        <v>1.3341000000000001E-4</v>
      </c>
      <c r="G8108" s="25">
        <v>1.6391999999999999E-4</v>
      </c>
      <c r="H8108" s="25">
        <v>1.9265999999999999E-4</v>
      </c>
      <c r="I8108" s="9">
        <v>1.2099000000000001E-4</v>
      </c>
      <c r="J8108" s="9">
        <v>1.2189E-4</v>
      </c>
      <c r="K8108" s="9">
        <v>1.5259E-4</v>
      </c>
      <c r="L8108" s="9">
        <v>1.8304000000000001E-4</v>
      </c>
      <c r="M8108" s="9">
        <v>1.6788E-4</v>
      </c>
      <c r="N8108" s="9">
        <v>1.6613000000000001E-4</v>
      </c>
      <c r="O8108" s="9">
        <v>1.9950999999999999E-4</v>
      </c>
      <c r="P8108" s="9">
        <v>1.5279000000000001E-4</v>
      </c>
      <c r="Q8108" s="9">
        <v>1.1E-4</v>
      </c>
      <c r="R8108" s="10">
        <v>2.0735559828677859E-4</v>
      </c>
      <c r="S8108" s="10">
        <v>1.9029020759484994E-4</v>
      </c>
      <c r="T8108" s="10">
        <v>0</v>
      </c>
      <c r="U8108" s="10">
        <v>1.1716E-4</v>
      </c>
      <c r="V8108" s="25"/>
      <c r="W8108" s="25"/>
      <c r="X8108" s="25"/>
      <c r="Y8108" s="25"/>
      <c r="Z8108" s="25"/>
      <c r="AA8108" s="25"/>
    </row>
    <row r="8109" spans="1:27" x14ac:dyDescent="0.35">
      <c r="A8109" s="5">
        <v>8105</v>
      </c>
      <c r="B8109" s="5">
        <v>338</v>
      </c>
      <c r="C8109" s="5">
        <v>12</v>
      </c>
      <c r="D8109" s="25">
        <v>1.1416E-4</v>
      </c>
      <c r="E8109" s="25">
        <v>1.1449E-4</v>
      </c>
      <c r="F8109" s="25">
        <v>1.2894999999999999E-4</v>
      </c>
      <c r="G8109" s="25">
        <v>1.6519000000000001E-4</v>
      </c>
      <c r="H8109" s="25">
        <v>1.9798E-4</v>
      </c>
      <c r="I8109" s="9">
        <v>1.248E-4</v>
      </c>
      <c r="J8109" s="9">
        <v>1.2627E-4</v>
      </c>
      <c r="K8109" s="9">
        <v>1.5470999999999999E-4</v>
      </c>
      <c r="L8109" s="9">
        <v>1.9567E-4</v>
      </c>
      <c r="M8109" s="9">
        <v>1.6234999999999999E-4</v>
      </c>
      <c r="N8109" s="9">
        <v>1.5250999999999999E-4</v>
      </c>
      <c r="O8109" s="9">
        <v>2.1598E-4</v>
      </c>
      <c r="P8109" s="9">
        <v>1.5936999999999999E-4</v>
      </c>
      <c r="Q8109" s="9">
        <v>1.072E-4</v>
      </c>
      <c r="R8109" s="10">
        <v>2.1067332794112638E-4</v>
      </c>
      <c r="S8109" s="10">
        <v>1.9029020424206789E-4</v>
      </c>
      <c r="T8109" s="10">
        <v>0</v>
      </c>
      <c r="U8109" s="10">
        <v>1.1716E-4</v>
      </c>
      <c r="V8109" s="25"/>
      <c r="W8109" s="25"/>
      <c r="X8109" s="25"/>
      <c r="Y8109" s="25"/>
      <c r="Z8109" s="25"/>
      <c r="AA8109" s="25"/>
    </row>
    <row r="8110" spans="1:27" x14ac:dyDescent="0.35">
      <c r="A8110" s="5">
        <v>8106</v>
      </c>
      <c r="B8110" s="5">
        <v>338</v>
      </c>
      <c r="C8110" s="5">
        <v>12</v>
      </c>
      <c r="D8110" s="25">
        <v>1.1415000000000001E-4</v>
      </c>
      <c r="E8110" s="25">
        <v>1.1511E-4</v>
      </c>
      <c r="F8110" s="25">
        <v>1.2271999999999999E-4</v>
      </c>
      <c r="G8110" s="25">
        <v>1.5771000000000001E-4</v>
      </c>
      <c r="H8110" s="25">
        <v>1.9954E-4</v>
      </c>
      <c r="I8110" s="9">
        <v>1.3378000000000001E-4</v>
      </c>
      <c r="J8110" s="9">
        <v>1.3493000000000001E-4</v>
      </c>
      <c r="K8110" s="9">
        <v>1.5470999999999999E-4</v>
      </c>
      <c r="L8110" s="9">
        <v>2.1125000000000001E-4</v>
      </c>
      <c r="M8110" s="9">
        <v>1.5975000000000001E-4</v>
      </c>
      <c r="N8110" s="9">
        <v>1.3922000000000001E-4</v>
      </c>
      <c r="O8110" s="9">
        <v>2.0657999999999999E-4</v>
      </c>
      <c r="P8110" s="9">
        <v>1.5991000000000001E-4</v>
      </c>
      <c r="Q8110" s="9">
        <v>1.1731999999999999E-4</v>
      </c>
      <c r="R8110" s="10">
        <v>2.1171350571692389E-4</v>
      </c>
      <c r="S8110" s="10">
        <v>1.902902075430237E-4</v>
      </c>
      <c r="T8110" s="10">
        <v>0</v>
      </c>
      <c r="U8110" s="10">
        <v>1.1716E-4</v>
      </c>
      <c r="V8110" s="25"/>
      <c r="W8110" s="25"/>
      <c r="X8110" s="25"/>
      <c r="Y8110" s="25"/>
      <c r="Z8110" s="25"/>
      <c r="AA8110" s="25"/>
    </row>
    <row r="8111" spans="1:27" x14ac:dyDescent="0.35">
      <c r="A8111" s="5">
        <v>8107</v>
      </c>
      <c r="B8111" s="5">
        <v>338</v>
      </c>
      <c r="C8111" s="5">
        <v>12</v>
      </c>
      <c r="D8111" s="25">
        <v>1.1416E-4</v>
      </c>
      <c r="E8111" s="25">
        <v>1.1349E-4</v>
      </c>
      <c r="F8111" s="25">
        <v>1.4240999999999999E-4</v>
      </c>
      <c r="G8111" s="25">
        <v>1.0891E-4</v>
      </c>
      <c r="H8111" s="25">
        <v>1.2732999999999999E-4</v>
      </c>
      <c r="I8111" s="9">
        <v>1.3494000000000001E-4</v>
      </c>
      <c r="J8111" s="9">
        <v>1.3219999999999999E-4</v>
      </c>
      <c r="K8111" s="9">
        <v>1.5470999999999999E-4</v>
      </c>
      <c r="L8111" s="9">
        <v>2.0720999999999999E-4</v>
      </c>
      <c r="M8111" s="9">
        <v>1.5929E-4</v>
      </c>
      <c r="N8111" s="9">
        <v>1.3004E-4</v>
      </c>
      <c r="O8111" s="9">
        <v>1.6625E-4</v>
      </c>
      <c r="P8111" s="9">
        <v>1.3535000000000001E-4</v>
      </c>
      <c r="Q8111" s="9">
        <v>1.0743000000000001E-4</v>
      </c>
      <c r="R8111" s="10">
        <v>2.1221946608904752E-4</v>
      </c>
      <c r="S8111" s="10">
        <v>1.9029020759484994E-4</v>
      </c>
      <c r="T8111" s="10">
        <v>0</v>
      </c>
      <c r="U8111" s="10">
        <v>1.1716E-4</v>
      </c>
      <c r="V8111" s="25"/>
      <c r="W8111" s="25"/>
      <c r="X8111" s="25"/>
      <c r="Y8111" s="25"/>
      <c r="Z8111" s="25"/>
      <c r="AA8111" s="25"/>
    </row>
    <row r="8112" spans="1:27" x14ac:dyDescent="0.35">
      <c r="A8112" s="5">
        <v>8108</v>
      </c>
      <c r="B8112" s="5">
        <v>338</v>
      </c>
      <c r="C8112" s="5">
        <v>12</v>
      </c>
      <c r="D8112" s="25">
        <v>1.1415000000000001E-4</v>
      </c>
      <c r="E8112" s="25">
        <v>1.1126E-4</v>
      </c>
      <c r="F8112" s="25">
        <v>1.4270999999999999E-4</v>
      </c>
      <c r="G8112" s="25">
        <v>1.0906E-4</v>
      </c>
      <c r="H8112" s="25">
        <v>1.2760000000000001E-4</v>
      </c>
      <c r="I8112" s="9">
        <v>1.3055E-4</v>
      </c>
      <c r="J8112" s="9">
        <v>1.2799999999999999E-4</v>
      </c>
      <c r="K8112" s="9">
        <v>1.526E-4</v>
      </c>
      <c r="L8112" s="9">
        <v>1.7545000000000001E-4</v>
      </c>
      <c r="M8112" s="9">
        <v>1.5071E-4</v>
      </c>
      <c r="N8112" s="9">
        <v>1.2099000000000001E-4</v>
      </c>
      <c r="O8112" s="9">
        <v>1.2978999999999999E-4</v>
      </c>
      <c r="P8112" s="9">
        <v>1.1485E-4</v>
      </c>
      <c r="Q8112" s="9">
        <v>1.0189E-4</v>
      </c>
      <c r="R8112" s="10">
        <v>2.1239534738076897E-4</v>
      </c>
      <c r="S8112" s="10">
        <v>1.9029020759484994E-4</v>
      </c>
      <c r="T8112" s="10">
        <v>0</v>
      </c>
      <c r="U8112" s="10">
        <v>1.1716E-4</v>
      </c>
      <c r="V8112" s="25"/>
      <c r="W8112" s="25"/>
      <c r="X8112" s="25"/>
      <c r="Y8112" s="25"/>
      <c r="Z8112" s="25"/>
      <c r="AA8112" s="25"/>
    </row>
    <row r="8113" spans="1:27" x14ac:dyDescent="0.35">
      <c r="A8113" s="5">
        <v>8109</v>
      </c>
      <c r="B8113" s="5">
        <v>338</v>
      </c>
      <c r="C8113" s="5">
        <v>12</v>
      </c>
      <c r="D8113" s="25">
        <v>1.1416E-4</v>
      </c>
      <c r="E8113" s="25">
        <v>1.1868E-4</v>
      </c>
      <c r="F8113" s="25">
        <v>1.4442E-4</v>
      </c>
      <c r="G8113" s="25">
        <v>5.2729999999999998E-5</v>
      </c>
      <c r="H8113" s="25">
        <v>6.3390000000000001E-5</v>
      </c>
      <c r="I8113" s="9">
        <v>1.2407999999999999E-4</v>
      </c>
      <c r="J8113" s="9">
        <v>1.2300000000000001E-4</v>
      </c>
      <c r="K8113" s="9">
        <v>1.5470999999999999E-4</v>
      </c>
      <c r="L8113" s="9">
        <v>1.4082E-4</v>
      </c>
      <c r="M8113" s="9">
        <v>1.3540000000000001E-4</v>
      </c>
      <c r="N8113" s="9">
        <v>1.1328999999999999E-4</v>
      </c>
      <c r="O8113" s="9">
        <v>8.462E-5</v>
      </c>
      <c r="P8113" s="9">
        <v>8.5840000000000005E-5</v>
      </c>
      <c r="Q8113" s="9">
        <v>8.7819999999999996E-5</v>
      </c>
      <c r="R8113" s="10">
        <v>2.1242519087012754E-4</v>
      </c>
      <c r="S8113" s="10">
        <v>1.9028997206995988E-4</v>
      </c>
      <c r="T8113" s="10">
        <v>0</v>
      </c>
      <c r="U8113" s="10">
        <v>1.1716E-4</v>
      </c>
      <c r="V8113" s="25"/>
      <c r="W8113" s="25"/>
      <c r="X8113" s="25"/>
      <c r="Y8113" s="25"/>
      <c r="Z8113" s="25"/>
      <c r="AA8113" s="25"/>
    </row>
    <row r="8114" spans="1:27" x14ac:dyDescent="0.35">
      <c r="A8114" s="5">
        <v>8110</v>
      </c>
      <c r="B8114" s="5">
        <v>338</v>
      </c>
      <c r="C8114" s="5">
        <v>12</v>
      </c>
      <c r="D8114" s="25">
        <v>1.1415000000000001E-4</v>
      </c>
      <c r="E8114" s="25">
        <v>1.1718999999999999E-4</v>
      </c>
      <c r="F8114" s="25">
        <v>1.2657E-4</v>
      </c>
      <c r="G8114" s="25">
        <v>5.63E-5</v>
      </c>
      <c r="H8114" s="25">
        <v>7.2420000000000001E-5</v>
      </c>
      <c r="I8114" s="9">
        <v>1.188E-4</v>
      </c>
      <c r="J8114" s="9">
        <v>1.1791E-4</v>
      </c>
      <c r="K8114" s="9">
        <v>1.7590999999999999E-4</v>
      </c>
      <c r="L8114" s="9">
        <v>9.7919999999999998E-5</v>
      </c>
      <c r="M8114" s="9">
        <v>1.1362E-4</v>
      </c>
      <c r="N8114" s="9">
        <v>1.0555E-4</v>
      </c>
      <c r="O8114" s="9">
        <v>8.8480000000000007E-5</v>
      </c>
      <c r="P8114" s="9">
        <v>8.8269999999999993E-5</v>
      </c>
      <c r="Q8114" s="9">
        <v>8.8919999999999996E-5</v>
      </c>
      <c r="R8114" s="10">
        <v>2.1243746882426595E-4</v>
      </c>
      <c r="S8114" s="10">
        <v>1.9025486126901693E-4</v>
      </c>
      <c r="T8114" s="10">
        <v>0</v>
      </c>
      <c r="U8114" s="10">
        <v>1.1716E-4</v>
      </c>
      <c r="V8114" s="25"/>
      <c r="W8114" s="25"/>
      <c r="X8114" s="25"/>
      <c r="Y8114" s="25"/>
      <c r="Z8114" s="25"/>
      <c r="AA8114" s="25"/>
    </row>
    <row r="8115" spans="1:27" x14ac:dyDescent="0.35">
      <c r="A8115" s="5">
        <v>8111</v>
      </c>
      <c r="B8115" s="5">
        <v>338</v>
      </c>
      <c r="C8115" s="5">
        <v>12</v>
      </c>
      <c r="D8115" s="25">
        <v>1.1416E-4</v>
      </c>
      <c r="E8115" s="25">
        <v>1.1608E-4</v>
      </c>
      <c r="F8115" s="25">
        <v>1.2635000000000001E-4</v>
      </c>
      <c r="G8115" s="25">
        <v>5.253E-5</v>
      </c>
      <c r="H8115" s="25">
        <v>7.0549999999999994E-5</v>
      </c>
      <c r="I8115" s="9">
        <v>1.2133000000000001E-4</v>
      </c>
      <c r="J8115" s="9">
        <v>1.1284E-4</v>
      </c>
      <c r="K8115" s="9">
        <v>1.7803E-4</v>
      </c>
      <c r="L8115" s="9">
        <v>9.1520000000000005E-5</v>
      </c>
      <c r="M8115" s="9">
        <v>9.9140000000000003E-5</v>
      </c>
      <c r="N8115" s="9">
        <v>9.9889999999999994E-5</v>
      </c>
      <c r="O8115" s="9">
        <v>7.8430000000000006E-5</v>
      </c>
      <c r="P8115" s="9">
        <v>7.2420000000000001E-5</v>
      </c>
      <c r="Q8115" s="9">
        <v>6.7150000000000006E-5</v>
      </c>
      <c r="R8115" s="10">
        <v>2.1244530666786356E-4</v>
      </c>
      <c r="S8115" s="10">
        <v>1.8998395110730106E-4</v>
      </c>
      <c r="T8115" s="10">
        <v>0</v>
      </c>
      <c r="U8115" s="10">
        <v>1.1716E-4</v>
      </c>
      <c r="V8115" s="25"/>
      <c r="W8115" s="25"/>
      <c r="X8115" s="25"/>
      <c r="Y8115" s="25"/>
      <c r="Z8115" s="25"/>
      <c r="AA8115" s="25"/>
    </row>
    <row r="8116" spans="1:27" x14ac:dyDescent="0.35">
      <c r="A8116" s="5">
        <v>8112</v>
      </c>
      <c r="B8116" s="5">
        <v>338</v>
      </c>
      <c r="C8116" s="5">
        <v>12</v>
      </c>
      <c r="D8116" s="25">
        <v>1.1415000000000001E-4</v>
      </c>
      <c r="E8116" s="25">
        <v>1.1992E-4</v>
      </c>
      <c r="F8116" s="25">
        <v>1.3243E-4</v>
      </c>
      <c r="G8116" s="25">
        <v>5.6360000000000002E-5</v>
      </c>
      <c r="H8116" s="25">
        <v>7.4670000000000002E-5</v>
      </c>
      <c r="I8116" s="9">
        <v>1.2323999999999999E-4</v>
      </c>
      <c r="J8116" s="9">
        <v>1.064E-4</v>
      </c>
      <c r="K8116" s="9">
        <v>1.8226000000000001E-4</v>
      </c>
      <c r="L8116" s="9">
        <v>8.1279999999999994E-5</v>
      </c>
      <c r="M8116" s="9">
        <v>8.6360000000000007E-5</v>
      </c>
      <c r="N8116" s="9">
        <v>9.0680000000000006E-5</v>
      </c>
      <c r="O8116" s="9">
        <v>6.2669999999999995E-5</v>
      </c>
      <c r="P8116" s="9">
        <v>6.05E-5</v>
      </c>
      <c r="Q8116" s="9">
        <v>5.8690000000000002E-5</v>
      </c>
      <c r="R8116" s="10">
        <v>2.1244869553866538E-4</v>
      </c>
      <c r="S8116" s="10">
        <v>1.8323317614785397E-4</v>
      </c>
      <c r="T8116" s="10">
        <v>0</v>
      </c>
      <c r="U8116" s="10">
        <v>1.1716E-4</v>
      </c>
      <c r="V8116" s="25"/>
      <c r="W8116" s="25"/>
      <c r="X8116" s="25"/>
      <c r="Y8116" s="25"/>
      <c r="Z8116" s="25"/>
      <c r="AA8116" s="25"/>
    </row>
    <row r="8117" spans="1:27" x14ac:dyDescent="0.35">
      <c r="A8117" s="5">
        <v>8113</v>
      </c>
      <c r="B8117" s="5">
        <v>339</v>
      </c>
      <c r="C8117" s="5">
        <v>12</v>
      </c>
      <c r="D8117" s="25">
        <v>1.1416E-4</v>
      </c>
      <c r="E8117" s="25">
        <v>1.1065000000000001E-4</v>
      </c>
      <c r="F8117" s="25">
        <v>1.0314000000000001E-4</v>
      </c>
      <c r="G8117" s="25">
        <v>5.2960000000000001E-5</v>
      </c>
      <c r="H8117" s="25">
        <v>6.9170000000000004E-5</v>
      </c>
      <c r="I8117" s="9">
        <v>1.1754E-4</v>
      </c>
      <c r="J8117" s="9">
        <v>1.0102000000000001E-4</v>
      </c>
      <c r="K8117" s="9">
        <v>1.8226000000000001E-4</v>
      </c>
      <c r="L8117" s="9">
        <v>6.6760000000000005E-5</v>
      </c>
      <c r="M8117" s="9">
        <v>7.4109999999999993E-5</v>
      </c>
      <c r="N8117" s="9">
        <v>8.1219999999999998E-5</v>
      </c>
      <c r="O8117" s="9">
        <v>5.4160000000000003E-5</v>
      </c>
      <c r="P8117" s="9">
        <v>5.3579999999999999E-5</v>
      </c>
      <c r="Q8117" s="9">
        <v>5.3159999999999999E-5</v>
      </c>
      <c r="R8117" s="10">
        <v>2.1244835258663554E-4</v>
      </c>
      <c r="S8117" s="10">
        <v>1.815059409840831E-4</v>
      </c>
      <c r="T8117" s="10">
        <v>0</v>
      </c>
      <c r="U8117" s="10">
        <v>1.1499E-4</v>
      </c>
      <c r="V8117" s="25"/>
      <c r="W8117" s="25"/>
      <c r="X8117" s="25"/>
      <c r="Y8117" s="25"/>
      <c r="Z8117" s="25"/>
      <c r="AA8117" s="25"/>
    </row>
    <row r="8118" spans="1:27" x14ac:dyDescent="0.35">
      <c r="A8118" s="5">
        <v>8114</v>
      </c>
      <c r="B8118" s="5">
        <v>339</v>
      </c>
      <c r="C8118" s="5">
        <v>12</v>
      </c>
      <c r="D8118" s="25">
        <v>1.1415000000000001E-4</v>
      </c>
      <c r="E8118" s="25">
        <v>1.1287E-4</v>
      </c>
      <c r="F8118" s="25">
        <v>1.1595999999999999E-4</v>
      </c>
      <c r="G8118" s="25">
        <v>6.2470000000000003E-5</v>
      </c>
      <c r="H8118" s="25">
        <v>6.3639999999999994E-5</v>
      </c>
      <c r="I8118" s="9">
        <v>1.1305E-4</v>
      </c>
      <c r="J8118" s="9">
        <v>9.6780000000000005E-5</v>
      </c>
      <c r="K8118" s="9">
        <v>1.8437999999999999E-4</v>
      </c>
      <c r="L8118" s="9">
        <v>5.7330000000000002E-5</v>
      </c>
      <c r="M8118" s="9">
        <v>6.3800000000000006E-5</v>
      </c>
      <c r="N8118" s="9">
        <v>7.2050000000000003E-5</v>
      </c>
      <c r="O8118" s="9">
        <v>1.8280000000000001E-5</v>
      </c>
      <c r="P8118" s="9">
        <v>3.7490000000000002E-5</v>
      </c>
      <c r="Q8118" s="9">
        <v>5.5800000000000001E-5</v>
      </c>
      <c r="R8118" s="10">
        <v>2.1244894253968948E-4</v>
      </c>
      <c r="S8118" s="10">
        <v>1.8167492961023416E-4</v>
      </c>
      <c r="T8118" s="10">
        <v>0</v>
      </c>
      <c r="U8118" s="10">
        <v>1.1499E-4</v>
      </c>
      <c r="V8118" s="25"/>
      <c r="W8118" s="25"/>
      <c r="X8118" s="25"/>
      <c r="Y8118" s="25"/>
      <c r="Z8118" s="25"/>
      <c r="AA8118" s="25"/>
    </row>
    <row r="8119" spans="1:27" x14ac:dyDescent="0.35">
      <c r="A8119" s="5">
        <v>8115</v>
      </c>
      <c r="B8119" s="5">
        <v>339</v>
      </c>
      <c r="C8119" s="5">
        <v>12</v>
      </c>
      <c r="D8119" s="25">
        <v>1.1416E-4</v>
      </c>
      <c r="E8119" s="25">
        <v>1.1179999999999999E-4</v>
      </c>
      <c r="F8119" s="25">
        <v>1.1281E-4</v>
      </c>
      <c r="G8119" s="25">
        <v>5.2580000000000001E-5</v>
      </c>
      <c r="H8119" s="25">
        <v>7.4350000000000005E-5</v>
      </c>
      <c r="I8119" s="9">
        <v>1.0877E-4</v>
      </c>
      <c r="J8119" s="9">
        <v>9.3739999999999994E-5</v>
      </c>
      <c r="K8119" s="9">
        <v>1.9285999999999999E-4</v>
      </c>
      <c r="L8119" s="9">
        <v>2.7080000000000002E-5</v>
      </c>
      <c r="M8119" s="9">
        <v>5.1969999999999999E-5</v>
      </c>
      <c r="N8119" s="9">
        <v>6.5400000000000004E-5</v>
      </c>
      <c r="O8119" s="9">
        <v>1.279E-5</v>
      </c>
      <c r="P8119" s="9">
        <v>3.7580000000000003E-5</v>
      </c>
      <c r="Q8119" s="9">
        <v>6.1249999999999998E-5</v>
      </c>
      <c r="R8119" s="10">
        <v>2.124492652891034E-4</v>
      </c>
      <c r="S8119" s="10">
        <v>1.809332513620777E-4</v>
      </c>
      <c r="T8119" s="10">
        <v>0</v>
      </c>
      <c r="U8119" s="10">
        <v>1.1499E-4</v>
      </c>
      <c r="V8119" s="25"/>
      <c r="W8119" s="25"/>
      <c r="X8119" s="25"/>
      <c r="Y8119" s="25"/>
      <c r="Z8119" s="25"/>
      <c r="AA8119" s="25"/>
    </row>
    <row r="8120" spans="1:27" x14ac:dyDescent="0.35">
      <c r="A8120" s="5">
        <v>8116</v>
      </c>
      <c r="B8120" s="5">
        <v>339</v>
      </c>
      <c r="C8120" s="5">
        <v>12</v>
      </c>
      <c r="D8120" s="25">
        <v>1.1415000000000001E-4</v>
      </c>
      <c r="E8120" s="25">
        <v>1.0642E-4</v>
      </c>
      <c r="F8120" s="25">
        <v>9.815E-5</v>
      </c>
      <c r="G8120" s="25">
        <v>5.329E-5</v>
      </c>
      <c r="H8120" s="25">
        <v>6.8200000000000004E-5</v>
      </c>
      <c r="I8120" s="9">
        <v>1.0512E-4</v>
      </c>
      <c r="J8120" s="9">
        <v>9.2609999999999996E-5</v>
      </c>
      <c r="K8120" s="9">
        <v>2.0769000000000001E-4</v>
      </c>
      <c r="L8120" s="9">
        <v>1.668E-5</v>
      </c>
      <c r="M8120" s="9">
        <v>4.3980000000000002E-5</v>
      </c>
      <c r="N8120" s="9">
        <v>6.1729999999999993E-5</v>
      </c>
      <c r="O8120" s="9">
        <v>1.276E-5</v>
      </c>
      <c r="P8120" s="9">
        <v>4.6839999999999999E-5</v>
      </c>
      <c r="Q8120" s="9">
        <v>7.9670000000000001E-5</v>
      </c>
      <c r="R8120" s="10">
        <v>2.1244930435045049E-4</v>
      </c>
      <c r="S8120" s="10">
        <v>1.8265211272042493E-4</v>
      </c>
      <c r="T8120" s="10">
        <v>0</v>
      </c>
      <c r="U8120" s="10">
        <v>1.1499E-4</v>
      </c>
      <c r="V8120" s="25"/>
      <c r="W8120" s="25"/>
      <c r="X8120" s="25"/>
      <c r="Y8120" s="25"/>
      <c r="Z8120" s="25"/>
      <c r="AA8120" s="25"/>
    </row>
    <row r="8121" spans="1:27" x14ac:dyDescent="0.35">
      <c r="A8121" s="5">
        <v>8117</v>
      </c>
      <c r="B8121" s="5">
        <v>339</v>
      </c>
      <c r="C8121" s="5">
        <v>12</v>
      </c>
      <c r="D8121" s="25">
        <v>1.1416E-4</v>
      </c>
      <c r="E8121" s="25">
        <v>1.0799E-4</v>
      </c>
      <c r="F8121" s="25">
        <v>1.1531000000000001E-4</v>
      </c>
      <c r="G8121" s="25">
        <v>6.1249999999999998E-5</v>
      </c>
      <c r="H8121" s="25">
        <v>7.3029999999999997E-5</v>
      </c>
      <c r="I8121" s="9">
        <v>1.0356E-4</v>
      </c>
      <c r="J8121" s="9">
        <v>9.2260000000000001E-5</v>
      </c>
      <c r="K8121" s="9">
        <v>1.8650000000000001E-4</v>
      </c>
      <c r="L8121" s="9">
        <v>1.3869999999999999E-5</v>
      </c>
      <c r="M8121" s="9">
        <v>4.3210000000000001E-5</v>
      </c>
      <c r="N8121" s="9">
        <v>6.4109999999999994E-5</v>
      </c>
      <c r="O8121" s="9">
        <v>1.8430000000000001E-5</v>
      </c>
      <c r="P8121" s="9">
        <v>5.6709999999999997E-5</v>
      </c>
      <c r="Q8121" s="9">
        <v>9.378E-5</v>
      </c>
      <c r="R8121" s="10">
        <v>2.1244927306434593E-4</v>
      </c>
      <c r="S8121" s="10">
        <v>1.8267547360206599E-4</v>
      </c>
      <c r="T8121" s="10">
        <v>0</v>
      </c>
      <c r="U8121" s="10">
        <v>1.1499E-4</v>
      </c>
      <c r="V8121" s="25"/>
      <c r="W8121" s="25"/>
      <c r="X8121" s="25"/>
      <c r="Y8121" s="25"/>
      <c r="Z8121" s="25"/>
      <c r="AA8121" s="25"/>
    </row>
    <row r="8122" spans="1:27" x14ac:dyDescent="0.35">
      <c r="A8122" s="5">
        <v>8118</v>
      </c>
      <c r="B8122" s="5">
        <v>339</v>
      </c>
      <c r="C8122" s="5">
        <v>12</v>
      </c>
      <c r="D8122" s="25">
        <v>1.1415000000000001E-4</v>
      </c>
      <c r="E8122" s="25">
        <v>1.0739E-4</v>
      </c>
      <c r="F8122" s="25">
        <v>9.6020000000000006E-5</v>
      </c>
      <c r="G8122" s="25">
        <v>1.1132E-4</v>
      </c>
      <c r="H8122" s="25">
        <v>1.3585E-4</v>
      </c>
      <c r="I8122" s="9">
        <v>1.0466E-4</v>
      </c>
      <c r="J8122" s="9">
        <v>9.3289999999999996E-5</v>
      </c>
      <c r="K8122" s="9">
        <v>1.8861999999999999E-4</v>
      </c>
      <c r="L8122" s="9">
        <v>1.73E-5</v>
      </c>
      <c r="M8122" s="9">
        <v>4.8229999999999997E-5</v>
      </c>
      <c r="N8122" s="9">
        <v>7.0729999999999995E-5</v>
      </c>
      <c r="O8122" s="9">
        <v>4.6640000000000001E-5</v>
      </c>
      <c r="P8122" s="9">
        <v>7.7609999999999997E-5</v>
      </c>
      <c r="Q8122" s="9">
        <v>1.0807E-4</v>
      </c>
      <c r="R8122" s="10">
        <v>2.1244936787709023E-4</v>
      </c>
      <c r="S8122" s="10">
        <v>1.8346090114097776E-4</v>
      </c>
      <c r="T8122" s="10">
        <v>0</v>
      </c>
      <c r="U8122" s="10">
        <v>1.1499E-4</v>
      </c>
      <c r="V8122" s="25"/>
      <c r="W8122" s="25"/>
      <c r="X8122" s="25"/>
      <c r="Y8122" s="25"/>
      <c r="Z8122" s="25"/>
      <c r="AA8122" s="25"/>
    </row>
    <row r="8123" spans="1:27" x14ac:dyDescent="0.35">
      <c r="A8123" s="5">
        <v>8119</v>
      </c>
      <c r="B8123" s="5">
        <v>339</v>
      </c>
      <c r="C8123" s="5">
        <v>12</v>
      </c>
      <c r="D8123" s="25">
        <v>1.1416E-4</v>
      </c>
      <c r="E8123" s="25">
        <v>1.0343E-4</v>
      </c>
      <c r="F8123" s="25">
        <v>1.1801E-4</v>
      </c>
      <c r="G8123" s="25">
        <v>1.0834E-4</v>
      </c>
      <c r="H8123" s="25">
        <v>1.359E-4</v>
      </c>
      <c r="I8123" s="9">
        <v>1.0712E-4</v>
      </c>
      <c r="J8123" s="9">
        <v>9.5760000000000005E-5</v>
      </c>
      <c r="K8123" s="9">
        <v>1.8437999999999999E-4</v>
      </c>
      <c r="L8123" s="9">
        <v>4.0040000000000003E-5</v>
      </c>
      <c r="M8123" s="9">
        <v>6.0220000000000003E-5</v>
      </c>
      <c r="N8123" s="9">
        <v>8.072E-5</v>
      </c>
      <c r="O8123" s="9">
        <v>1.2446000000000001E-4</v>
      </c>
      <c r="P8123" s="9">
        <v>1.1778E-4</v>
      </c>
      <c r="Q8123" s="9">
        <v>1.1281999999999999E-4</v>
      </c>
      <c r="R8123" s="10">
        <v>2.1244936787709023E-4</v>
      </c>
      <c r="S8123" s="10">
        <v>1.8320444143943247E-4</v>
      </c>
      <c r="T8123" s="10">
        <v>0</v>
      </c>
      <c r="U8123" s="10">
        <v>1.1499E-4</v>
      </c>
      <c r="V8123" s="25"/>
      <c r="W8123" s="25"/>
      <c r="X8123" s="25"/>
      <c r="Y8123" s="25"/>
      <c r="Z8123" s="25"/>
      <c r="AA8123" s="25"/>
    </row>
    <row r="8124" spans="1:27" x14ac:dyDescent="0.35">
      <c r="A8124" s="5">
        <v>8120</v>
      </c>
      <c r="B8124" s="5">
        <v>339</v>
      </c>
      <c r="C8124" s="5">
        <v>12</v>
      </c>
      <c r="D8124" s="25">
        <v>1.1415000000000001E-4</v>
      </c>
      <c r="E8124" s="25">
        <v>1.1077E-4</v>
      </c>
      <c r="F8124" s="25">
        <v>1.0029E-4</v>
      </c>
      <c r="G8124" s="25">
        <v>1.6226000000000001E-4</v>
      </c>
      <c r="H8124" s="25">
        <v>1.9780000000000001E-4</v>
      </c>
      <c r="I8124" s="9">
        <v>1.0914E-4</v>
      </c>
      <c r="J8124" s="9">
        <v>1.0043E-4</v>
      </c>
      <c r="K8124" s="9">
        <v>1.9285999999999999E-4</v>
      </c>
      <c r="L8124" s="9">
        <v>1.0525E-4</v>
      </c>
      <c r="M8124" s="9">
        <v>8.4040000000000002E-5</v>
      </c>
      <c r="N8124" s="9">
        <v>9.0959999999999996E-5</v>
      </c>
      <c r="O8124" s="9">
        <v>2.1928E-4</v>
      </c>
      <c r="P8124" s="9">
        <v>1.7511999999999999E-4</v>
      </c>
      <c r="Q8124" s="9">
        <v>1.3527999999999999E-4</v>
      </c>
      <c r="R8124" s="10">
        <v>2.1244936787709023E-4</v>
      </c>
      <c r="S8124" s="10">
        <v>1.8375141769414024E-4</v>
      </c>
      <c r="T8124" s="10">
        <v>0</v>
      </c>
      <c r="U8124" s="10">
        <v>1.1499E-4</v>
      </c>
      <c r="V8124" s="25"/>
      <c r="W8124" s="25"/>
      <c r="X8124" s="25"/>
      <c r="Y8124" s="25"/>
      <c r="Z8124" s="25"/>
      <c r="AA8124" s="25"/>
    </row>
    <row r="8125" spans="1:27" x14ac:dyDescent="0.35">
      <c r="A8125" s="5">
        <v>8121</v>
      </c>
      <c r="B8125" s="5">
        <v>339</v>
      </c>
      <c r="C8125" s="5">
        <v>12</v>
      </c>
      <c r="D8125" s="25">
        <v>1.1416E-4</v>
      </c>
      <c r="E8125" s="25">
        <v>1.0441E-4</v>
      </c>
      <c r="F8125" s="25">
        <v>1.1289E-4</v>
      </c>
      <c r="G8125" s="25">
        <v>1.6744000000000001E-4</v>
      </c>
      <c r="H8125" s="25">
        <v>1.8916000000000001E-4</v>
      </c>
      <c r="I8125" s="9">
        <v>1.1361E-4</v>
      </c>
      <c r="J8125" s="9">
        <v>1.0665E-4</v>
      </c>
      <c r="K8125" s="9">
        <v>1.8861999999999999E-4</v>
      </c>
      <c r="L8125" s="9">
        <v>1.9241000000000001E-4</v>
      </c>
      <c r="M8125" s="9">
        <v>1.2297E-4</v>
      </c>
      <c r="N8125" s="9">
        <v>1.0443E-4</v>
      </c>
      <c r="O8125" s="9">
        <v>2.1207999999999999E-4</v>
      </c>
      <c r="P8125" s="9">
        <v>1.9212E-4</v>
      </c>
      <c r="Q8125" s="9">
        <v>1.7594999999999999E-4</v>
      </c>
      <c r="R8125" s="10">
        <v>2.1244936787709023E-4</v>
      </c>
      <c r="S8125" s="10">
        <v>1.8438534108141167E-4</v>
      </c>
      <c r="T8125" s="10">
        <v>2.2627626366830096E-5</v>
      </c>
      <c r="U8125" s="10">
        <v>1.1499E-4</v>
      </c>
      <c r="V8125" s="25"/>
      <c r="W8125" s="25"/>
      <c r="X8125" s="25"/>
      <c r="Y8125" s="25"/>
      <c r="Z8125" s="25"/>
      <c r="AA8125" s="25"/>
    </row>
    <row r="8126" spans="1:27" x14ac:dyDescent="0.35">
      <c r="A8126" s="5">
        <v>8122</v>
      </c>
      <c r="B8126" s="5">
        <v>339</v>
      </c>
      <c r="C8126" s="5">
        <v>12</v>
      </c>
      <c r="D8126" s="25">
        <v>1.1415000000000001E-4</v>
      </c>
      <c r="E8126" s="25">
        <v>1.1255E-4</v>
      </c>
      <c r="F8126" s="25">
        <v>1.1692E-4</v>
      </c>
      <c r="G8126" s="25">
        <v>1.6537E-4</v>
      </c>
      <c r="H8126" s="25">
        <v>1.9814999999999999E-4</v>
      </c>
      <c r="I8126" s="9">
        <v>1.1721E-4</v>
      </c>
      <c r="J8126" s="9">
        <v>1.1251000000000001E-4</v>
      </c>
      <c r="K8126" s="9">
        <v>1.8227E-4</v>
      </c>
      <c r="L8126" s="9">
        <v>2.0547E-4</v>
      </c>
      <c r="M8126" s="9">
        <v>1.5771000000000001E-4</v>
      </c>
      <c r="N8126" s="9">
        <v>1.2427E-4</v>
      </c>
      <c r="O8126" s="9">
        <v>1.6776000000000001E-4</v>
      </c>
      <c r="P8126" s="9">
        <v>1.7327E-4</v>
      </c>
      <c r="Q8126" s="9">
        <v>1.8123999999999999E-4</v>
      </c>
      <c r="R8126" s="10">
        <v>2.1244936787709023E-4</v>
      </c>
      <c r="S8126" s="10">
        <v>1.8325292276102673E-4</v>
      </c>
      <c r="T8126" s="10">
        <v>2.4180253147906174E-5</v>
      </c>
      <c r="U8126" s="10">
        <v>1.1499E-4</v>
      </c>
      <c r="V8126" s="25"/>
      <c r="W8126" s="25"/>
      <c r="X8126" s="25"/>
      <c r="Y8126" s="25"/>
      <c r="Z8126" s="25"/>
      <c r="AA8126" s="25"/>
    </row>
    <row r="8127" spans="1:27" x14ac:dyDescent="0.35">
      <c r="A8127" s="5">
        <v>8123</v>
      </c>
      <c r="B8127" s="5">
        <v>339</v>
      </c>
      <c r="C8127" s="5">
        <v>12</v>
      </c>
      <c r="D8127" s="25">
        <v>1.1416E-4</v>
      </c>
      <c r="E8127" s="25">
        <v>1.0457E-4</v>
      </c>
      <c r="F8127" s="25">
        <v>1.08E-4</v>
      </c>
      <c r="G8127" s="25">
        <v>1.6179000000000001E-4</v>
      </c>
      <c r="H8127" s="25">
        <v>1.9356000000000001E-4</v>
      </c>
      <c r="I8127" s="9">
        <v>1.1919E-4</v>
      </c>
      <c r="J8127" s="9">
        <v>1.1516E-4</v>
      </c>
      <c r="K8127" s="9">
        <v>1.6531E-4</v>
      </c>
      <c r="L8127" s="9">
        <v>1.7610999999999999E-4</v>
      </c>
      <c r="M8127" s="9">
        <v>1.7137000000000001E-4</v>
      </c>
      <c r="N8127" s="9">
        <v>1.4217E-4</v>
      </c>
      <c r="O8127" s="9">
        <v>1.7012E-4</v>
      </c>
      <c r="P8127" s="9">
        <v>1.7435000000000001E-4</v>
      </c>
      <c r="Q8127" s="9">
        <v>1.8108999999999999E-4</v>
      </c>
      <c r="R8127" s="10">
        <v>2.1244936787709023E-4</v>
      </c>
      <c r="S8127" s="10">
        <v>1.8229239804196183E-4</v>
      </c>
      <c r="T8127" s="10">
        <v>1.8555162678761682E-4</v>
      </c>
      <c r="U8127" s="10">
        <v>1.1499E-4</v>
      </c>
      <c r="V8127" s="25"/>
      <c r="W8127" s="25"/>
      <c r="X8127" s="25"/>
      <c r="Y8127" s="25"/>
      <c r="Z8127" s="25"/>
      <c r="AA8127" s="25"/>
    </row>
    <row r="8128" spans="1:27" x14ac:dyDescent="0.35">
      <c r="A8128" s="5">
        <v>8124</v>
      </c>
      <c r="B8128" s="5">
        <v>339</v>
      </c>
      <c r="C8128" s="5">
        <v>12</v>
      </c>
      <c r="D8128" s="25">
        <v>1.1415000000000001E-4</v>
      </c>
      <c r="E8128" s="25">
        <v>1.0561E-4</v>
      </c>
      <c r="F8128" s="25">
        <v>9.8439999999999999E-5</v>
      </c>
      <c r="G8128" s="25">
        <v>1.6325000000000001E-4</v>
      </c>
      <c r="H8128" s="25">
        <v>1.9212999999999999E-4</v>
      </c>
      <c r="I8128" s="9">
        <v>1.2176999999999999E-4</v>
      </c>
      <c r="J8128" s="9">
        <v>1.1568E-4</v>
      </c>
      <c r="K8128" s="9">
        <v>1.6742999999999999E-4</v>
      </c>
      <c r="L8128" s="9">
        <v>1.7285E-4</v>
      </c>
      <c r="M8128" s="9">
        <v>1.7477000000000001E-4</v>
      </c>
      <c r="N8128" s="9">
        <v>1.5661000000000001E-4</v>
      </c>
      <c r="O8128" s="9">
        <v>1.7007E-4</v>
      </c>
      <c r="P8128" s="9">
        <v>1.7013E-4</v>
      </c>
      <c r="Q8128" s="9">
        <v>1.7278000000000001E-4</v>
      </c>
      <c r="R8128" s="10">
        <v>2.1244936787709023E-4</v>
      </c>
      <c r="S8128" s="10">
        <v>1.827337837579081E-4</v>
      </c>
      <c r="T8128" s="10">
        <v>2.5949229562410891E-4</v>
      </c>
      <c r="U8128" s="10">
        <v>1.1499E-4</v>
      </c>
      <c r="V8128" s="25"/>
      <c r="W8128" s="25"/>
      <c r="X8128" s="25"/>
      <c r="Y8128" s="25"/>
      <c r="Z8128" s="25"/>
      <c r="AA8128" s="25"/>
    </row>
    <row r="8129" spans="1:27" x14ac:dyDescent="0.35">
      <c r="A8129" s="5">
        <v>8125</v>
      </c>
      <c r="B8129" s="5">
        <v>339</v>
      </c>
      <c r="C8129" s="5">
        <v>12</v>
      </c>
      <c r="D8129" s="25">
        <v>1.1416E-4</v>
      </c>
      <c r="E8129" s="25">
        <v>1.1161E-4</v>
      </c>
      <c r="F8129" s="25">
        <v>9.9870000000000004E-5</v>
      </c>
      <c r="G8129" s="25">
        <v>1.6359E-4</v>
      </c>
      <c r="H8129" s="25">
        <v>1.9137000000000001E-4</v>
      </c>
      <c r="I8129" s="9">
        <v>1.2165E-4</v>
      </c>
      <c r="J8129" s="9">
        <v>1.1629999999999999E-4</v>
      </c>
      <c r="K8129" s="9">
        <v>1.7166999999999999E-4</v>
      </c>
      <c r="L8129" s="9">
        <v>1.708E-4</v>
      </c>
      <c r="M8129" s="9">
        <v>1.7351000000000001E-4</v>
      </c>
      <c r="N8129" s="9">
        <v>1.6581000000000001E-4</v>
      </c>
      <c r="O8129" s="9">
        <v>1.6169000000000001E-4</v>
      </c>
      <c r="P8129" s="9">
        <v>1.6265999999999999E-4</v>
      </c>
      <c r="Q8129" s="9">
        <v>1.6603000000000001E-4</v>
      </c>
      <c r="R8129" s="10">
        <v>2.1244936787709023E-4</v>
      </c>
      <c r="S8129" s="10">
        <v>1.7894613814933315E-4</v>
      </c>
      <c r="T8129" s="10">
        <v>1.1234060769523707E-4</v>
      </c>
      <c r="U8129" s="10">
        <v>1.1499E-4</v>
      </c>
      <c r="V8129" s="25"/>
      <c r="W8129" s="25"/>
      <c r="X8129" s="25"/>
      <c r="Y8129" s="25"/>
      <c r="Z8129" s="25"/>
      <c r="AA8129" s="25"/>
    </row>
    <row r="8130" spans="1:27" x14ac:dyDescent="0.35">
      <c r="A8130" s="5">
        <v>8126</v>
      </c>
      <c r="B8130" s="5">
        <v>339</v>
      </c>
      <c r="C8130" s="5">
        <v>12</v>
      </c>
      <c r="D8130" s="25">
        <v>1.1415000000000001E-4</v>
      </c>
      <c r="E8130" s="25">
        <v>1.0942000000000001E-4</v>
      </c>
      <c r="F8130" s="25">
        <v>1.0396E-4</v>
      </c>
      <c r="G8130" s="25">
        <v>1.6547999999999999E-4</v>
      </c>
      <c r="H8130" s="25">
        <v>1.8729E-4</v>
      </c>
      <c r="I8130" s="9">
        <v>1.1731999999999999E-4</v>
      </c>
      <c r="J8130" s="9">
        <v>1.1561E-4</v>
      </c>
      <c r="K8130" s="9">
        <v>1.6531E-4</v>
      </c>
      <c r="L8130" s="9">
        <v>1.6348999999999999E-4</v>
      </c>
      <c r="M8130" s="9">
        <v>1.6920999999999999E-4</v>
      </c>
      <c r="N8130" s="9">
        <v>1.6991E-4</v>
      </c>
      <c r="O8130" s="9">
        <v>1.7849000000000001E-4</v>
      </c>
      <c r="P8130" s="9">
        <v>1.6757999999999999E-4</v>
      </c>
      <c r="Q8130" s="9">
        <v>1.5961999999999999E-4</v>
      </c>
      <c r="R8130" s="10">
        <v>2.1244936787709023E-4</v>
      </c>
      <c r="S8130" s="10">
        <v>1.7627230173774408E-4</v>
      </c>
      <c r="T8130" s="10">
        <v>1.7734730931602902E-4</v>
      </c>
      <c r="U8130" s="10">
        <v>1.1499E-4</v>
      </c>
      <c r="V8130" s="25"/>
      <c r="W8130" s="25"/>
      <c r="X8130" s="25"/>
      <c r="Y8130" s="25"/>
      <c r="Z8130" s="25"/>
      <c r="AA8130" s="25"/>
    </row>
    <row r="8131" spans="1:27" x14ac:dyDescent="0.35">
      <c r="A8131" s="5">
        <v>8127</v>
      </c>
      <c r="B8131" s="5">
        <v>339</v>
      </c>
      <c r="C8131" s="5">
        <v>12</v>
      </c>
      <c r="D8131" s="25">
        <v>1.1416E-4</v>
      </c>
      <c r="E8131" s="25">
        <v>1.0432E-4</v>
      </c>
      <c r="F8131" s="25">
        <v>1.0060000000000001E-4</v>
      </c>
      <c r="G8131" s="25">
        <v>1.6122E-4</v>
      </c>
      <c r="H8131" s="25">
        <v>1.9453E-4</v>
      </c>
      <c r="I8131" s="9">
        <v>1.1362999999999999E-4</v>
      </c>
      <c r="J8131" s="9">
        <v>1.1534E-4</v>
      </c>
      <c r="K8131" s="9">
        <v>1.6955E-4</v>
      </c>
      <c r="L8131" s="9">
        <v>1.7537999999999999E-4</v>
      </c>
      <c r="M8131" s="9">
        <v>1.674E-4</v>
      </c>
      <c r="N8131" s="9">
        <v>1.6928000000000001E-4</v>
      </c>
      <c r="O8131" s="9">
        <v>1.8362000000000001E-4</v>
      </c>
      <c r="P8131" s="9">
        <v>1.6589E-4</v>
      </c>
      <c r="Q8131" s="9">
        <v>1.5131000000000001E-4</v>
      </c>
      <c r="R8131" s="10">
        <v>2.1244936787709023E-4</v>
      </c>
      <c r="S8131" s="10">
        <v>1.7550792566266337E-4</v>
      </c>
      <c r="T8131" s="10">
        <v>1.2180060147064596E-4</v>
      </c>
      <c r="U8131" s="10">
        <v>1.1499E-4</v>
      </c>
      <c r="V8131" s="25"/>
      <c r="W8131" s="25"/>
      <c r="X8131" s="25"/>
      <c r="Y8131" s="25"/>
      <c r="Z8131" s="25"/>
      <c r="AA8131" s="25"/>
    </row>
    <row r="8132" spans="1:27" x14ac:dyDescent="0.35">
      <c r="A8132" s="5">
        <v>8128</v>
      </c>
      <c r="B8132" s="5">
        <v>339</v>
      </c>
      <c r="C8132" s="5">
        <v>12</v>
      </c>
      <c r="D8132" s="25">
        <v>1.1415000000000001E-4</v>
      </c>
      <c r="E8132" s="25">
        <v>1.1328999999999999E-4</v>
      </c>
      <c r="F8132" s="25">
        <v>1.1767E-4</v>
      </c>
      <c r="G8132" s="25">
        <v>1.5726E-4</v>
      </c>
      <c r="H8132" s="25">
        <v>1.9487000000000001E-4</v>
      </c>
      <c r="I8132" s="9">
        <v>1.1503E-4</v>
      </c>
      <c r="J8132" s="9">
        <v>1.1691E-4</v>
      </c>
      <c r="K8132" s="9">
        <v>1.7802000000000001E-4</v>
      </c>
      <c r="L8132" s="9">
        <v>1.8149E-4</v>
      </c>
      <c r="M8132" s="9">
        <v>1.6650000000000001E-4</v>
      </c>
      <c r="N8132" s="9">
        <v>1.6524000000000001E-4</v>
      </c>
      <c r="O8132" s="9">
        <v>2.0008999999999999E-4</v>
      </c>
      <c r="P8132" s="9">
        <v>1.5322999999999999E-4</v>
      </c>
      <c r="Q8132" s="9">
        <v>1.1032E-4</v>
      </c>
      <c r="R8132" s="10">
        <v>2.1244936787709023E-4</v>
      </c>
      <c r="S8132" s="10">
        <v>1.7693935610422373E-4</v>
      </c>
      <c r="T8132" s="10">
        <v>0</v>
      </c>
      <c r="U8132" s="10">
        <v>1.1499E-4</v>
      </c>
      <c r="V8132" s="25"/>
      <c r="W8132" s="25"/>
      <c r="X8132" s="25"/>
      <c r="Y8132" s="25"/>
      <c r="Z8132" s="25"/>
      <c r="AA8132" s="25"/>
    </row>
    <row r="8133" spans="1:27" x14ac:dyDescent="0.35">
      <c r="A8133" s="5">
        <v>8129</v>
      </c>
      <c r="B8133" s="5">
        <v>339</v>
      </c>
      <c r="C8133" s="5">
        <v>12</v>
      </c>
      <c r="D8133" s="25">
        <v>1.1416E-4</v>
      </c>
      <c r="E8133" s="25">
        <v>1.1211E-4</v>
      </c>
      <c r="F8133" s="25">
        <v>1.1620000000000001E-4</v>
      </c>
      <c r="G8133" s="25">
        <v>1.6352000000000001E-4</v>
      </c>
      <c r="H8133" s="25">
        <v>1.8671000000000001E-4</v>
      </c>
      <c r="I8133" s="9">
        <v>1.1922E-4</v>
      </c>
      <c r="J8133" s="9">
        <v>1.2239E-4</v>
      </c>
      <c r="K8133" s="9">
        <v>1.8013999999999999E-4</v>
      </c>
      <c r="L8133" s="9">
        <v>1.9577E-4</v>
      </c>
      <c r="M8133" s="9">
        <v>1.6160999999999999E-4</v>
      </c>
      <c r="N8133" s="9">
        <v>1.5174000000000001E-4</v>
      </c>
      <c r="O8133" s="9">
        <v>2.1696000000000001E-4</v>
      </c>
      <c r="P8133" s="9">
        <v>1.6008999999999999E-4</v>
      </c>
      <c r="Q8133" s="9">
        <v>1.0768E-4</v>
      </c>
      <c r="R8133" s="10">
        <v>2.1244936787709023E-4</v>
      </c>
      <c r="S8133" s="10">
        <v>1.7895450566917816E-4</v>
      </c>
      <c r="T8133" s="10">
        <v>0</v>
      </c>
      <c r="U8133" s="10">
        <v>1.1499E-4</v>
      </c>
      <c r="V8133" s="25"/>
      <c r="W8133" s="25"/>
      <c r="X8133" s="25"/>
      <c r="Y8133" s="25"/>
      <c r="Z8133" s="25"/>
      <c r="AA8133" s="25"/>
    </row>
    <row r="8134" spans="1:27" x14ac:dyDescent="0.35">
      <c r="A8134" s="5">
        <v>8130</v>
      </c>
      <c r="B8134" s="5">
        <v>339</v>
      </c>
      <c r="C8134" s="5">
        <v>12</v>
      </c>
      <c r="D8134" s="25">
        <v>1.1415000000000001E-4</v>
      </c>
      <c r="E8134" s="25">
        <v>1.0734E-4</v>
      </c>
      <c r="F8134" s="25">
        <v>1.1429000000000001E-4</v>
      </c>
      <c r="G8134" s="25">
        <v>1.6396E-4</v>
      </c>
      <c r="H8134" s="25">
        <v>1.9521E-4</v>
      </c>
      <c r="I8134" s="9">
        <v>1.2951999999999999E-4</v>
      </c>
      <c r="J8134" s="9">
        <v>1.3296E-4</v>
      </c>
      <c r="K8134" s="9">
        <v>2.0557E-4</v>
      </c>
      <c r="L8134" s="9">
        <v>2.1199000000000001E-4</v>
      </c>
      <c r="M8134" s="9">
        <v>1.5971E-4</v>
      </c>
      <c r="N8134" s="9">
        <v>1.3867999999999999E-4</v>
      </c>
      <c r="O8134" s="9">
        <v>2.0641999999999999E-4</v>
      </c>
      <c r="P8134" s="9">
        <v>1.5977999999999999E-4</v>
      </c>
      <c r="Q8134" s="9">
        <v>1.1723E-4</v>
      </c>
      <c r="R8134" s="10">
        <v>2.1244936787709023E-4</v>
      </c>
      <c r="S8134" s="10">
        <v>1.7937758881288952E-4</v>
      </c>
      <c r="T8134" s="10">
        <v>0</v>
      </c>
      <c r="U8134" s="10">
        <v>1.1499E-4</v>
      </c>
      <c r="V8134" s="25"/>
      <c r="W8134" s="25"/>
      <c r="X8134" s="25"/>
      <c r="Y8134" s="25"/>
      <c r="Z8134" s="25"/>
      <c r="AA8134" s="25"/>
    </row>
    <row r="8135" spans="1:27" x14ac:dyDescent="0.35">
      <c r="A8135" s="5">
        <v>8131</v>
      </c>
      <c r="B8135" s="5">
        <v>339</v>
      </c>
      <c r="C8135" s="5">
        <v>12</v>
      </c>
      <c r="D8135" s="25">
        <v>1.1416E-4</v>
      </c>
      <c r="E8135" s="25">
        <v>1.1273E-4</v>
      </c>
      <c r="F8135" s="25">
        <v>1.1796E-4</v>
      </c>
      <c r="G8135" s="25">
        <v>1.0725E-4</v>
      </c>
      <c r="H8135" s="25">
        <v>1.3531E-4</v>
      </c>
      <c r="I8135" s="9">
        <v>1.3291999999999999E-4</v>
      </c>
      <c r="J8135" s="9">
        <v>1.314E-4</v>
      </c>
      <c r="K8135" s="9">
        <v>2.0345000000000001E-4</v>
      </c>
      <c r="L8135" s="9">
        <v>2.0723000000000001E-4</v>
      </c>
      <c r="M8135" s="9">
        <v>1.5939E-4</v>
      </c>
      <c r="N8135" s="9">
        <v>1.2968999999999999E-4</v>
      </c>
      <c r="O8135" s="9">
        <v>1.6470999999999999E-4</v>
      </c>
      <c r="P8135" s="9">
        <v>1.3409000000000001E-4</v>
      </c>
      <c r="Q8135" s="9">
        <v>1.0643E-4</v>
      </c>
      <c r="R8135" s="10">
        <v>2.1244936787709023E-4</v>
      </c>
      <c r="S8135" s="10">
        <v>1.7649017180208098E-4</v>
      </c>
      <c r="T8135" s="10">
        <v>0</v>
      </c>
      <c r="U8135" s="10">
        <v>1.1499E-4</v>
      </c>
      <c r="V8135" s="25"/>
      <c r="W8135" s="25"/>
      <c r="X8135" s="25"/>
      <c r="Y8135" s="25"/>
      <c r="Z8135" s="25"/>
      <c r="AA8135" s="25"/>
    </row>
    <row r="8136" spans="1:27" x14ac:dyDescent="0.35">
      <c r="A8136" s="5">
        <v>8132</v>
      </c>
      <c r="B8136" s="5">
        <v>339</v>
      </c>
      <c r="C8136" s="5">
        <v>12</v>
      </c>
      <c r="D8136" s="25">
        <v>1.1415000000000001E-4</v>
      </c>
      <c r="E8136" s="25">
        <v>1.1315999999999999E-4</v>
      </c>
      <c r="F8136" s="25">
        <v>9.8510000000000004E-5</v>
      </c>
      <c r="G8136" s="25">
        <v>1.0692E-4</v>
      </c>
      <c r="H8136" s="25">
        <v>1.3385E-4</v>
      </c>
      <c r="I8136" s="9">
        <v>1.3145E-4</v>
      </c>
      <c r="J8136" s="9">
        <v>1.2887E-4</v>
      </c>
      <c r="K8136" s="9">
        <v>1.8651E-4</v>
      </c>
      <c r="L8136" s="9">
        <v>1.7429000000000001E-4</v>
      </c>
      <c r="M8136" s="9">
        <v>1.5033000000000001E-4</v>
      </c>
      <c r="N8136" s="9">
        <v>1.2059E-4</v>
      </c>
      <c r="O8136" s="9">
        <v>1.2967999999999999E-4</v>
      </c>
      <c r="P8136" s="9">
        <v>1.1476000000000001E-4</v>
      </c>
      <c r="Q8136" s="9">
        <v>1.0179999999999999E-4</v>
      </c>
      <c r="R8136" s="10">
        <v>2.1244936787709023E-4</v>
      </c>
      <c r="S8136" s="10">
        <v>1.7614364325592823E-4</v>
      </c>
      <c r="T8136" s="10">
        <v>0</v>
      </c>
      <c r="U8136" s="10">
        <v>1.1499E-4</v>
      </c>
      <c r="V8136" s="25"/>
      <c r="W8136" s="25"/>
      <c r="X8136" s="25"/>
      <c r="Y8136" s="25"/>
      <c r="Z8136" s="25"/>
      <c r="AA8136" s="25"/>
    </row>
    <row r="8137" spans="1:27" x14ac:dyDescent="0.35">
      <c r="A8137" s="5">
        <v>8133</v>
      </c>
      <c r="B8137" s="5">
        <v>339</v>
      </c>
      <c r="C8137" s="5">
        <v>12</v>
      </c>
      <c r="D8137" s="25">
        <v>1.1416E-4</v>
      </c>
      <c r="E8137" s="25">
        <v>1.1011E-4</v>
      </c>
      <c r="F8137" s="25">
        <v>1.1435E-4</v>
      </c>
      <c r="G8137" s="25">
        <v>6.0090000000000002E-5</v>
      </c>
      <c r="H8137" s="25">
        <v>7.2639999999999996E-5</v>
      </c>
      <c r="I8137" s="9">
        <v>1.2794E-4</v>
      </c>
      <c r="J8137" s="9">
        <v>1.2536000000000001E-4</v>
      </c>
      <c r="K8137" s="9">
        <v>1.8861999999999999E-4</v>
      </c>
      <c r="L8137" s="9">
        <v>1.4051999999999999E-4</v>
      </c>
      <c r="M8137" s="9">
        <v>1.3499000000000001E-4</v>
      </c>
      <c r="N8137" s="9">
        <v>1.1302E-4</v>
      </c>
      <c r="O8137" s="9">
        <v>8.4729999999999997E-5</v>
      </c>
      <c r="P8137" s="9">
        <v>8.5950000000000002E-5</v>
      </c>
      <c r="Q8137" s="9">
        <v>8.7929999999999993E-5</v>
      </c>
      <c r="R8137" s="10">
        <v>2.1244936787709023E-4</v>
      </c>
      <c r="S8137" s="10">
        <v>1.7572160011402357E-4</v>
      </c>
      <c r="T8137" s="10">
        <v>0</v>
      </c>
      <c r="U8137" s="10">
        <v>1.1499E-4</v>
      </c>
      <c r="V8137" s="25"/>
      <c r="W8137" s="25"/>
      <c r="X8137" s="25"/>
      <c r="Y8137" s="25"/>
      <c r="Z8137" s="25"/>
      <c r="AA8137" s="25"/>
    </row>
    <row r="8138" spans="1:27" x14ac:dyDescent="0.35">
      <c r="A8138" s="5">
        <v>8134</v>
      </c>
      <c r="B8138" s="5">
        <v>339</v>
      </c>
      <c r="C8138" s="5">
        <v>12</v>
      </c>
      <c r="D8138" s="25">
        <v>1.1415000000000001E-4</v>
      </c>
      <c r="E8138" s="25">
        <v>1.0627E-4</v>
      </c>
      <c r="F8138" s="25">
        <v>1.0522E-4</v>
      </c>
      <c r="G8138" s="25">
        <v>5.7809999999999997E-5</v>
      </c>
      <c r="H8138" s="25">
        <v>6.8659999999999997E-5</v>
      </c>
      <c r="I8138" s="9">
        <v>1.2297E-4</v>
      </c>
      <c r="J8138" s="9">
        <v>1.1993999999999999E-4</v>
      </c>
      <c r="K8138" s="9">
        <v>1.8650000000000001E-4</v>
      </c>
      <c r="L8138" s="9">
        <v>9.7899999999999994E-5</v>
      </c>
      <c r="M8138" s="9">
        <v>1.1341E-4</v>
      </c>
      <c r="N8138" s="9">
        <v>1.0538E-4</v>
      </c>
      <c r="O8138" s="9">
        <v>8.8360000000000001E-5</v>
      </c>
      <c r="P8138" s="9">
        <v>8.8150000000000001E-5</v>
      </c>
      <c r="Q8138" s="9">
        <v>8.8809999999999998E-5</v>
      </c>
      <c r="R8138" s="10">
        <v>2.1244936787709023E-4</v>
      </c>
      <c r="S8138" s="10">
        <v>1.7761163272577677E-4</v>
      </c>
      <c r="T8138" s="10">
        <v>0</v>
      </c>
      <c r="U8138" s="10">
        <v>1.1499E-4</v>
      </c>
      <c r="V8138" s="25"/>
      <c r="W8138" s="25"/>
      <c r="X8138" s="25"/>
      <c r="Y8138" s="25"/>
      <c r="Z8138" s="25"/>
      <c r="AA8138" s="25"/>
    </row>
    <row r="8139" spans="1:27" x14ac:dyDescent="0.35">
      <c r="A8139" s="5">
        <v>8135</v>
      </c>
      <c r="B8139" s="5">
        <v>339</v>
      </c>
      <c r="C8139" s="5">
        <v>12</v>
      </c>
      <c r="D8139" s="25">
        <v>1.1416E-4</v>
      </c>
      <c r="E8139" s="25">
        <v>1.0450000000000001E-4</v>
      </c>
      <c r="F8139" s="25">
        <v>9.611E-5</v>
      </c>
      <c r="G8139" s="25">
        <v>5.9410000000000002E-5</v>
      </c>
      <c r="H8139" s="25">
        <v>7.5300000000000001E-5</v>
      </c>
      <c r="I8139" s="9">
        <v>1.2299000000000001E-4</v>
      </c>
      <c r="J8139" s="9">
        <v>1.1349999999999999E-4</v>
      </c>
      <c r="K8139" s="9">
        <v>1.9285999999999999E-4</v>
      </c>
      <c r="L8139" s="9">
        <v>9.1409999999999994E-5</v>
      </c>
      <c r="M8139" s="9">
        <v>9.9019999999999997E-5</v>
      </c>
      <c r="N8139" s="9">
        <v>9.9729999999999996E-5</v>
      </c>
      <c r="O8139" s="9">
        <v>7.7449999999999999E-5</v>
      </c>
      <c r="P8139" s="9">
        <v>7.1509999999999998E-5</v>
      </c>
      <c r="Q8139" s="9">
        <v>6.6309999999999994E-5</v>
      </c>
      <c r="R8139" s="10">
        <v>2.1244936787709023E-4</v>
      </c>
      <c r="S8139" s="10">
        <v>1.7796169112215668E-4</v>
      </c>
      <c r="T8139" s="10">
        <v>0</v>
      </c>
      <c r="U8139" s="10">
        <v>1.1499E-4</v>
      </c>
      <c r="V8139" s="25"/>
      <c r="W8139" s="25"/>
      <c r="X8139" s="25"/>
      <c r="Y8139" s="25"/>
      <c r="Z8139" s="25"/>
      <c r="AA8139" s="25"/>
    </row>
    <row r="8140" spans="1:27" x14ac:dyDescent="0.35">
      <c r="A8140" s="5">
        <v>8136</v>
      </c>
      <c r="B8140" s="5">
        <v>339</v>
      </c>
      <c r="C8140" s="5">
        <v>12</v>
      </c>
      <c r="D8140" s="25">
        <v>1.1415000000000001E-4</v>
      </c>
      <c r="E8140" s="25">
        <v>1.0911E-4</v>
      </c>
      <c r="F8140" s="25">
        <v>1.1569E-4</v>
      </c>
      <c r="G8140" s="25">
        <v>6.0829999999999999E-5</v>
      </c>
      <c r="H8140" s="25">
        <v>7.551E-5</v>
      </c>
      <c r="I8140" s="9">
        <v>1.2338E-4</v>
      </c>
      <c r="J8140" s="9">
        <v>1.0559E-4</v>
      </c>
      <c r="K8140" s="9">
        <v>2.0770000000000001E-4</v>
      </c>
      <c r="L8140" s="9">
        <v>8.0500000000000005E-5</v>
      </c>
      <c r="M8140" s="9">
        <v>8.5970000000000005E-5</v>
      </c>
      <c r="N8140" s="9">
        <v>9.0370000000000004E-5</v>
      </c>
      <c r="O8140" s="9">
        <v>6.2310000000000005E-5</v>
      </c>
      <c r="P8140" s="9">
        <v>6.0149999999999998E-5</v>
      </c>
      <c r="Q8140" s="9">
        <v>5.8350000000000002E-5</v>
      </c>
      <c r="R8140" s="10">
        <v>2.1244936787709023E-4</v>
      </c>
      <c r="S8140" s="10">
        <v>1.841409472007329E-4</v>
      </c>
      <c r="T8140" s="10">
        <v>0</v>
      </c>
      <c r="U8140" s="10">
        <v>1.1499E-4</v>
      </c>
      <c r="V8140" s="25"/>
      <c r="W8140" s="25"/>
      <c r="X8140" s="25"/>
      <c r="Y8140" s="25"/>
      <c r="Z8140" s="25"/>
      <c r="AA8140" s="25"/>
    </row>
    <row r="8141" spans="1:27" x14ac:dyDescent="0.35">
      <c r="A8141" s="5">
        <v>8137</v>
      </c>
      <c r="B8141" s="5">
        <v>340</v>
      </c>
      <c r="C8141" s="5">
        <v>12</v>
      </c>
      <c r="D8141" s="25">
        <v>1.1416E-4</v>
      </c>
      <c r="E8141" s="25">
        <v>1.0944E-4</v>
      </c>
      <c r="F8141" s="25">
        <v>1.2955E-4</v>
      </c>
      <c r="G8141" s="25">
        <v>5.507E-5</v>
      </c>
      <c r="H8141" s="25">
        <v>6.8990000000000002E-5</v>
      </c>
      <c r="I8141" s="9">
        <v>1.1745E-4</v>
      </c>
      <c r="J8141" s="9">
        <v>1.0019E-4</v>
      </c>
      <c r="K8141" s="9">
        <v>1.9709999999999999E-4</v>
      </c>
      <c r="L8141" s="9">
        <v>6.6329999999999997E-5</v>
      </c>
      <c r="M8141" s="9">
        <v>7.3659999999999996E-5</v>
      </c>
      <c r="N8141" s="9">
        <v>8.0900000000000001E-5</v>
      </c>
      <c r="O8141" s="9">
        <v>5.4110000000000002E-5</v>
      </c>
      <c r="P8141" s="9">
        <v>5.3529999999999997E-5</v>
      </c>
      <c r="Q8141" s="9">
        <v>5.3109999999999998E-5</v>
      </c>
      <c r="R8141" s="10">
        <v>2.1244936787709023E-4</v>
      </c>
      <c r="S8141" s="10">
        <v>1.8342325743958462E-4</v>
      </c>
      <c r="T8141" s="10">
        <v>0</v>
      </c>
      <c r="U8141" s="10">
        <v>1.1472999999999999E-4</v>
      </c>
      <c r="V8141" s="25"/>
      <c r="W8141" s="25"/>
      <c r="X8141" s="25"/>
      <c r="Y8141" s="25"/>
      <c r="Z8141" s="25"/>
      <c r="AA8141" s="25"/>
    </row>
    <row r="8142" spans="1:27" x14ac:dyDescent="0.35">
      <c r="A8142" s="5">
        <v>8138</v>
      </c>
      <c r="B8142" s="5">
        <v>340</v>
      </c>
      <c r="C8142" s="5">
        <v>12</v>
      </c>
      <c r="D8142" s="25">
        <v>1.1415000000000001E-4</v>
      </c>
      <c r="E8142" s="25">
        <v>1.0636E-4</v>
      </c>
      <c r="F8142" s="25">
        <v>1.1951999999999999E-4</v>
      </c>
      <c r="G8142" s="25">
        <v>5.4039999999999998E-5</v>
      </c>
      <c r="H8142" s="25">
        <v>6.5729999999999996E-5</v>
      </c>
      <c r="I8142" s="9">
        <v>1.1289E-4</v>
      </c>
      <c r="J8142" s="9">
        <v>9.7620000000000004E-5</v>
      </c>
      <c r="K8142" s="9">
        <v>1.9285E-4</v>
      </c>
      <c r="L8142" s="9">
        <v>5.719E-5</v>
      </c>
      <c r="M8142" s="9">
        <v>6.3490000000000004E-5</v>
      </c>
      <c r="N8142" s="9">
        <v>7.1769999999999999E-5</v>
      </c>
      <c r="O8142" s="9">
        <v>1.8459999999999999E-5</v>
      </c>
      <c r="P8142" s="9">
        <v>3.7870000000000002E-5</v>
      </c>
      <c r="Q8142" s="9">
        <v>5.6350000000000001E-5</v>
      </c>
      <c r="R8142" s="10">
        <v>2.1244936787709023E-4</v>
      </c>
      <c r="S8142" s="10">
        <v>1.87041928066203E-4</v>
      </c>
      <c r="T8142" s="10">
        <v>0</v>
      </c>
      <c r="U8142" s="10">
        <v>1.1472999999999999E-4</v>
      </c>
      <c r="V8142" s="25"/>
      <c r="W8142" s="25"/>
      <c r="X8142" s="25"/>
      <c r="Y8142" s="25"/>
      <c r="Z8142" s="25"/>
      <c r="AA8142" s="25"/>
    </row>
    <row r="8143" spans="1:27" x14ac:dyDescent="0.35">
      <c r="A8143" s="5">
        <v>8139</v>
      </c>
      <c r="B8143" s="5">
        <v>340</v>
      </c>
      <c r="C8143" s="5">
        <v>12</v>
      </c>
      <c r="D8143" s="25">
        <v>1.1416E-4</v>
      </c>
      <c r="E8143" s="25">
        <v>1.1369E-4</v>
      </c>
      <c r="F8143" s="25">
        <v>1.1946E-4</v>
      </c>
      <c r="G8143" s="25">
        <v>6.0040000000000001E-5</v>
      </c>
      <c r="H8143" s="25">
        <v>7.2249999999999994E-5</v>
      </c>
      <c r="I8143" s="9">
        <v>1.0904999999999999E-4</v>
      </c>
      <c r="J8143" s="9">
        <v>9.6319999999999999E-5</v>
      </c>
      <c r="K8143" s="9">
        <v>2.0557E-4</v>
      </c>
      <c r="L8143" s="9">
        <v>2.7180000000000001E-5</v>
      </c>
      <c r="M8143" s="9">
        <v>5.1950000000000002E-5</v>
      </c>
      <c r="N8143" s="9">
        <v>6.5300000000000002E-5</v>
      </c>
      <c r="O8143" s="9">
        <v>1.2989999999999999E-5</v>
      </c>
      <c r="P8143" s="9">
        <v>3.8149999999999999E-5</v>
      </c>
      <c r="Q8143" s="9">
        <v>6.2169999999999996E-5</v>
      </c>
      <c r="R8143" s="10">
        <v>2.1244936787709023E-4</v>
      </c>
      <c r="S8143" s="10">
        <v>1.8788080198672109E-4</v>
      </c>
      <c r="T8143" s="10">
        <v>0</v>
      </c>
      <c r="U8143" s="10">
        <v>1.1472999999999999E-4</v>
      </c>
      <c r="V8143" s="25"/>
      <c r="W8143" s="25"/>
      <c r="X8143" s="25"/>
      <c r="Y8143" s="25"/>
      <c r="Z8143" s="25"/>
      <c r="AA8143" s="25"/>
    </row>
    <row r="8144" spans="1:27" x14ac:dyDescent="0.35">
      <c r="A8144" s="5">
        <v>8140</v>
      </c>
      <c r="B8144" s="5">
        <v>340</v>
      </c>
      <c r="C8144" s="5">
        <v>12</v>
      </c>
      <c r="D8144" s="25">
        <v>1.1415000000000001E-4</v>
      </c>
      <c r="E8144" s="25">
        <v>1.1226999999999999E-4</v>
      </c>
      <c r="F8144" s="25">
        <v>1.2794E-4</v>
      </c>
      <c r="G8144" s="25">
        <v>5.9929999999999997E-5</v>
      </c>
      <c r="H8144" s="25">
        <v>6.4049999999999998E-5</v>
      </c>
      <c r="I8144" s="9">
        <v>1.0802999999999999E-4</v>
      </c>
      <c r="J8144" s="9">
        <v>9.603E-5</v>
      </c>
      <c r="K8144" s="9">
        <v>2.0981999999999999E-4</v>
      </c>
      <c r="L8144" s="9">
        <v>1.685E-5</v>
      </c>
      <c r="M8144" s="9">
        <v>4.4240000000000003E-5</v>
      </c>
      <c r="N8144" s="9">
        <v>6.1879999999999997E-5</v>
      </c>
      <c r="O8144" s="9">
        <v>1.2799999999999999E-5</v>
      </c>
      <c r="P8144" s="9">
        <v>4.6980000000000001E-5</v>
      </c>
      <c r="Q8144" s="9">
        <v>7.9909999999999999E-5</v>
      </c>
      <c r="R8144" s="10">
        <v>2.1244936787709023E-4</v>
      </c>
      <c r="S8144" s="10">
        <v>1.8734037802602596E-4</v>
      </c>
      <c r="T8144" s="10">
        <v>0</v>
      </c>
      <c r="U8144" s="10">
        <v>1.1472999999999999E-4</v>
      </c>
      <c r="V8144" s="25"/>
      <c r="W8144" s="25"/>
      <c r="X8144" s="25"/>
      <c r="Y8144" s="25"/>
      <c r="Z8144" s="25"/>
      <c r="AA8144" s="25"/>
    </row>
    <row r="8145" spans="1:27" x14ac:dyDescent="0.35">
      <c r="A8145" s="5">
        <v>8141</v>
      </c>
      <c r="B8145" s="5">
        <v>340</v>
      </c>
      <c r="C8145" s="5">
        <v>12</v>
      </c>
      <c r="D8145" s="25">
        <v>1.1416E-4</v>
      </c>
      <c r="E8145" s="25">
        <v>1.0598E-4</v>
      </c>
      <c r="F8145" s="25">
        <v>1.3360999999999999E-4</v>
      </c>
      <c r="G8145" s="25">
        <v>6.2700000000000006E-5</v>
      </c>
      <c r="H8145" s="25">
        <v>7.0080000000000007E-5</v>
      </c>
      <c r="I8145" s="9">
        <v>1.0854E-4</v>
      </c>
      <c r="J8145" s="9">
        <v>9.7280000000000004E-5</v>
      </c>
      <c r="K8145" s="9">
        <v>2.0770000000000001E-4</v>
      </c>
      <c r="L8145" s="9">
        <v>1.393E-5</v>
      </c>
      <c r="M8145" s="9">
        <v>4.35E-5</v>
      </c>
      <c r="N8145" s="9">
        <v>6.4369999999999995E-5</v>
      </c>
      <c r="O8145" s="9">
        <v>1.8459999999999999E-5</v>
      </c>
      <c r="P8145" s="9">
        <v>5.6780000000000002E-5</v>
      </c>
      <c r="Q8145" s="9">
        <v>9.3880000000000002E-5</v>
      </c>
      <c r="R8145" s="10">
        <v>2.1244936787709023E-4</v>
      </c>
      <c r="S8145" s="10">
        <v>1.8872994268852308E-4</v>
      </c>
      <c r="T8145" s="10">
        <v>0</v>
      </c>
      <c r="U8145" s="10">
        <v>1.1472999999999999E-4</v>
      </c>
      <c r="V8145" s="25"/>
      <c r="W8145" s="25"/>
      <c r="X8145" s="25"/>
      <c r="Y8145" s="25"/>
      <c r="Z8145" s="25"/>
      <c r="AA8145" s="25"/>
    </row>
    <row r="8146" spans="1:27" x14ac:dyDescent="0.35">
      <c r="A8146" s="5">
        <v>8142</v>
      </c>
      <c r="B8146" s="5">
        <v>340</v>
      </c>
      <c r="C8146" s="5">
        <v>12</v>
      </c>
      <c r="D8146" s="25">
        <v>1.1415000000000001E-4</v>
      </c>
      <c r="E8146" s="25">
        <v>1.0763E-4</v>
      </c>
      <c r="F8146" s="25">
        <v>1.3156999999999999E-4</v>
      </c>
      <c r="G8146" s="25">
        <v>1.1114E-4</v>
      </c>
      <c r="H8146" s="25">
        <v>1.3778999999999999E-4</v>
      </c>
      <c r="I8146" s="9">
        <v>1.147E-4</v>
      </c>
      <c r="J8146" s="9">
        <v>1.0226E-4</v>
      </c>
      <c r="K8146" s="9">
        <v>1.9922000000000001E-4</v>
      </c>
      <c r="L8146" s="9">
        <v>1.7329999999999998E-5</v>
      </c>
      <c r="M8146" s="9">
        <v>4.8430000000000002E-5</v>
      </c>
      <c r="N8146" s="9">
        <v>7.1019999999999994E-5</v>
      </c>
      <c r="O8146" s="9">
        <v>4.6600000000000001E-5</v>
      </c>
      <c r="P8146" s="9">
        <v>7.7550000000000001E-5</v>
      </c>
      <c r="Q8146" s="9">
        <v>1.0799E-4</v>
      </c>
      <c r="R8146" s="10">
        <v>2.1244936787709023E-4</v>
      </c>
      <c r="S8146" s="10">
        <v>1.8968827443969976E-4</v>
      </c>
      <c r="T8146" s="10">
        <v>0</v>
      </c>
      <c r="U8146" s="10">
        <v>1.1472999999999999E-4</v>
      </c>
      <c r="V8146" s="25"/>
      <c r="W8146" s="25"/>
      <c r="X8146" s="25"/>
      <c r="Y8146" s="25"/>
      <c r="Z8146" s="25"/>
      <c r="AA8146" s="25"/>
    </row>
    <row r="8147" spans="1:27" x14ac:dyDescent="0.35">
      <c r="A8147" s="5">
        <v>8143</v>
      </c>
      <c r="B8147" s="5">
        <v>340</v>
      </c>
      <c r="C8147" s="5">
        <v>12</v>
      </c>
      <c r="D8147" s="25">
        <v>1.1416E-4</v>
      </c>
      <c r="E8147" s="25">
        <v>1.0948E-4</v>
      </c>
      <c r="F8147" s="25">
        <v>1.3101000000000001E-4</v>
      </c>
      <c r="G8147" s="25">
        <v>1.0676E-4</v>
      </c>
      <c r="H8147" s="25">
        <v>1.2774999999999999E-4</v>
      </c>
      <c r="I8147" s="9">
        <v>1.2977E-4</v>
      </c>
      <c r="J8147" s="9">
        <v>1.1543E-4</v>
      </c>
      <c r="K8147" s="9">
        <v>2.0133E-4</v>
      </c>
      <c r="L8147" s="9">
        <v>4.002E-5</v>
      </c>
      <c r="M8147" s="9">
        <v>6.0309999999999997E-5</v>
      </c>
      <c r="N8147" s="9">
        <v>8.0970000000000006E-5</v>
      </c>
      <c r="O8147" s="9">
        <v>1.2495E-4</v>
      </c>
      <c r="P8147" s="9">
        <v>1.1824000000000001E-4</v>
      </c>
      <c r="Q8147" s="9">
        <v>1.1327E-4</v>
      </c>
      <c r="R8147" s="10">
        <v>2.1244936787709023E-4</v>
      </c>
      <c r="S8147" s="10">
        <v>1.8936175330124664E-4</v>
      </c>
      <c r="T8147" s="10">
        <v>0</v>
      </c>
      <c r="U8147" s="10">
        <v>1.1472999999999999E-4</v>
      </c>
      <c r="V8147" s="25"/>
      <c r="W8147" s="25"/>
      <c r="X8147" s="25"/>
      <c r="Y8147" s="25"/>
      <c r="Z8147" s="25"/>
      <c r="AA8147" s="25"/>
    </row>
    <row r="8148" spans="1:27" x14ac:dyDescent="0.35">
      <c r="A8148" s="5">
        <v>8144</v>
      </c>
      <c r="B8148" s="5">
        <v>340</v>
      </c>
      <c r="C8148" s="5">
        <v>12</v>
      </c>
      <c r="D8148" s="25">
        <v>1.1415000000000001E-4</v>
      </c>
      <c r="E8148" s="25">
        <v>1.1485E-4</v>
      </c>
      <c r="F8148" s="25">
        <v>1.3463E-4</v>
      </c>
      <c r="G8148" s="25">
        <v>1.6289000000000001E-4</v>
      </c>
      <c r="H8148" s="25">
        <v>1.9865E-4</v>
      </c>
      <c r="I8148" s="9">
        <v>1.4138000000000001E-4</v>
      </c>
      <c r="J8148" s="9">
        <v>1.3484E-4</v>
      </c>
      <c r="K8148" s="9">
        <v>1.9922000000000001E-4</v>
      </c>
      <c r="L8148" s="9">
        <v>1.0563E-4</v>
      </c>
      <c r="M8148" s="9">
        <v>8.4229999999999998E-5</v>
      </c>
      <c r="N8148" s="9">
        <v>9.1240000000000001E-5</v>
      </c>
      <c r="O8148" s="9">
        <v>2.1979000000000001E-4</v>
      </c>
      <c r="P8148" s="9">
        <v>1.7552E-4</v>
      </c>
      <c r="Q8148" s="9">
        <v>1.3558999999999999E-4</v>
      </c>
      <c r="R8148" s="10">
        <v>2.1244936787709023E-4</v>
      </c>
      <c r="S8148" s="10">
        <v>1.8882680133321827E-4</v>
      </c>
      <c r="T8148" s="10">
        <v>0</v>
      </c>
      <c r="U8148" s="10">
        <v>1.1472999999999999E-4</v>
      </c>
      <c r="V8148" s="25"/>
      <c r="W8148" s="25"/>
      <c r="X8148" s="25"/>
      <c r="Y8148" s="25"/>
      <c r="Z8148" s="25"/>
      <c r="AA8148" s="25"/>
    </row>
    <row r="8149" spans="1:27" x14ac:dyDescent="0.35">
      <c r="A8149" s="5">
        <v>8145</v>
      </c>
      <c r="B8149" s="5">
        <v>340</v>
      </c>
      <c r="C8149" s="5">
        <v>12</v>
      </c>
      <c r="D8149" s="25">
        <v>1.1416E-4</v>
      </c>
      <c r="E8149" s="25">
        <v>1.1336E-4</v>
      </c>
      <c r="F8149" s="25">
        <v>1.3315000000000001E-4</v>
      </c>
      <c r="G8149" s="25">
        <v>1.6144999999999999E-4</v>
      </c>
      <c r="H8149" s="25">
        <v>2.02E-4</v>
      </c>
      <c r="I8149" s="9">
        <v>1.4465999999999999E-4</v>
      </c>
      <c r="J8149" s="9">
        <v>1.4530000000000001E-4</v>
      </c>
      <c r="K8149" s="9">
        <v>1.9285E-4</v>
      </c>
      <c r="L8149" s="9">
        <v>1.9286999999999999E-4</v>
      </c>
      <c r="M8149" s="9">
        <v>1.2328E-4</v>
      </c>
      <c r="N8149" s="9">
        <v>1.047E-4</v>
      </c>
      <c r="O8149" s="9">
        <v>2.1261000000000001E-4</v>
      </c>
      <c r="P8149" s="9">
        <v>1.9259999999999999E-4</v>
      </c>
      <c r="Q8149" s="9">
        <v>1.7639000000000001E-4</v>
      </c>
      <c r="R8149" s="10">
        <v>2.1244936787709023E-4</v>
      </c>
      <c r="S8149" s="10">
        <v>1.8874899843339052E-4</v>
      </c>
      <c r="T8149" s="10">
        <v>1.5568689307511519E-5</v>
      </c>
      <c r="U8149" s="10">
        <v>1.1472999999999999E-4</v>
      </c>
      <c r="V8149" s="25"/>
      <c r="W8149" s="25"/>
      <c r="X8149" s="25"/>
      <c r="Y8149" s="25"/>
      <c r="Z8149" s="25"/>
      <c r="AA8149" s="25"/>
    </row>
    <row r="8150" spans="1:27" x14ac:dyDescent="0.35">
      <c r="A8150" s="5">
        <v>8146</v>
      </c>
      <c r="B8150" s="5">
        <v>340</v>
      </c>
      <c r="C8150" s="5">
        <v>12</v>
      </c>
      <c r="D8150" s="25">
        <v>1.1415000000000001E-4</v>
      </c>
      <c r="E8150" s="25">
        <v>1.0676E-4</v>
      </c>
      <c r="F8150" s="25">
        <v>1.3075000000000001E-4</v>
      </c>
      <c r="G8150" s="25">
        <v>1.5812000000000001E-4</v>
      </c>
      <c r="H8150" s="25">
        <v>1.8914999999999999E-4</v>
      </c>
      <c r="I8150" s="9">
        <v>1.4443E-4</v>
      </c>
      <c r="J8150" s="9">
        <v>1.4772E-4</v>
      </c>
      <c r="K8150" s="9">
        <v>1.9074000000000001E-4</v>
      </c>
      <c r="L8150" s="9">
        <v>2.0598E-4</v>
      </c>
      <c r="M8150" s="9">
        <v>1.5809999999999999E-4</v>
      </c>
      <c r="N8150" s="9">
        <v>1.2457000000000001E-4</v>
      </c>
      <c r="O8150" s="9">
        <v>1.6953000000000001E-4</v>
      </c>
      <c r="P8150" s="9">
        <v>1.751E-4</v>
      </c>
      <c r="Q8150" s="9">
        <v>1.8315000000000001E-4</v>
      </c>
      <c r="R8150" s="10">
        <v>2.1244936787709023E-4</v>
      </c>
      <c r="S8150" s="10">
        <v>1.8754971142335508E-4</v>
      </c>
      <c r="T8150" s="10">
        <v>5.7727172778369687E-5</v>
      </c>
      <c r="U8150" s="10">
        <v>1.1472999999999999E-4</v>
      </c>
      <c r="V8150" s="25"/>
      <c r="W8150" s="25"/>
      <c r="X8150" s="25"/>
      <c r="Y8150" s="25"/>
      <c r="Z8150" s="25"/>
      <c r="AA8150" s="25"/>
    </row>
    <row r="8151" spans="1:27" x14ac:dyDescent="0.35">
      <c r="A8151" s="5">
        <v>8147</v>
      </c>
      <c r="B8151" s="5">
        <v>340</v>
      </c>
      <c r="C8151" s="5">
        <v>12</v>
      </c>
      <c r="D8151" s="25">
        <v>1.1416E-4</v>
      </c>
      <c r="E8151" s="25">
        <v>1.1231E-4</v>
      </c>
      <c r="F8151" s="25">
        <v>1.1627E-4</v>
      </c>
      <c r="G8151" s="25">
        <v>1.5625E-4</v>
      </c>
      <c r="H8151" s="25">
        <v>1.9693E-4</v>
      </c>
      <c r="I8151" s="9">
        <v>1.4138000000000001E-4</v>
      </c>
      <c r="J8151" s="9">
        <v>1.4636E-4</v>
      </c>
      <c r="K8151" s="9">
        <v>1.8226000000000001E-4</v>
      </c>
      <c r="L8151" s="9">
        <v>1.7761E-4</v>
      </c>
      <c r="M8151" s="9">
        <v>1.7229999999999999E-4</v>
      </c>
      <c r="N8151" s="9">
        <v>1.4283000000000001E-4</v>
      </c>
      <c r="O8151" s="9">
        <v>1.6990000000000001E-4</v>
      </c>
      <c r="P8151" s="9">
        <v>1.7412999999999999E-4</v>
      </c>
      <c r="Q8151" s="9">
        <v>1.8086E-4</v>
      </c>
      <c r="R8151" s="10">
        <v>2.1244936787709023E-4</v>
      </c>
      <c r="S8151" s="10">
        <v>1.856184746025894E-4</v>
      </c>
      <c r="T8151" s="10">
        <v>3.8567079555942835E-4</v>
      </c>
      <c r="U8151" s="10">
        <v>1.1472999999999999E-4</v>
      </c>
      <c r="V8151" s="25"/>
      <c r="W8151" s="25"/>
      <c r="X8151" s="25"/>
      <c r="Y8151" s="25"/>
      <c r="Z8151" s="25"/>
      <c r="AA8151" s="25"/>
    </row>
    <row r="8152" spans="1:27" x14ac:dyDescent="0.35">
      <c r="A8152" s="5">
        <v>8148</v>
      </c>
      <c r="B8152" s="5">
        <v>340</v>
      </c>
      <c r="C8152" s="5">
        <v>12</v>
      </c>
      <c r="D8152" s="25">
        <v>1.1415000000000001E-4</v>
      </c>
      <c r="E8152" s="25">
        <v>1.0852E-4</v>
      </c>
      <c r="F8152" s="25">
        <v>1.3495E-4</v>
      </c>
      <c r="G8152" s="25">
        <v>1.6124999999999999E-4</v>
      </c>
      <c r="H8152" s="25">
        <v>1.9794999999999999E-4</v>
      </c>
      <c r="I8152" s="9">
        <v>1.4109999999999999E-4</v>
      </c>
      <c r="J8152" s="9">
        <v>1.4470999999999999E-4</v>
      </c>
      <c r="K8152" s="9">
        <v>1.7803E-4</v>
      </c>
      <c r="L8152" s="9">
        <v>1.7297999999999999E-4</v>
      </c>
      <c r="M8152" s="9">
        <v>1.7542999999999999E-4</v>
      </c>
      <c r="N8152" s="9">
        <v>1.5715E-4</v>
      </c>
      <c r="O8152" s="9">
        <v>1.7101E-4</v>
      </c>
      <c r="P8152" s="9">
        <v>1.7107E-4</v>
      </c>
      <c r="Q8152" s="9">
        <v>1.7373000000000001E-4</v>
      </c>
      <c r="R8152" s="10">
        <v>2.1244936787709023E-4</v>
      </c>
      <c r="S8152" s="10">
        <v>1.8582393879826165E-4</v>
      </c>
      <c r="T8152" s="10">
        <v>4.2446949648763008E-5</v>
      </c>
      <c r="U8152" s="10">
        <v>1.1472999999999999E-4</v>
      </c>
      <c r="V8152" s="25"/>
      <c r="W8152" s="25"/>
      <c r="X8152" s="25"/>
      <c r="Y8152" s="25"/>
      <c r="Z8152" s="25"/>
      <c r="AA8152" s="25"/>
    </row>
    <row r="8153" spans="1:27" x14ac:dyDescent="0.35">
      <c r="A8153" s="5">
        <v>8149</v>
      </c>
      <c r="B8153" s="5">
        <v>340</v>
      </c>
      <c r="C8153" s="5">
        <v>12</v>
      </c>
      <c r="D8153" s="25">
        <v>1.1416E-4</v>
      </c>
      <c r="E8153" s="25">
        <v>1.1304E-4</v>
      </c>
      <c r="F8153" s="25">
        <v>1.3297999999999999E-4</v>
      </c>
      <c r="G8153" s="25">
        <v>1.5787E-4</v>
      </c>
      <c r="H8153" s="25">
        <v>1.9947000000000001E-4</v>
      </c>
      <c r="I8153" s="9">
        <v>1.3808000000000001E-4</v>
      </c>
      <c r="J8153" s="9">
        <v>1.4195000000000001E-4</v>
      </c>
      <c r="K8153" s="9">
        <v>1.7379E-4</v>
      </c>
      <c r="L8153" s="9">
        <v>1.716E-4</v>
      </c>
      <c r="M8153" s="9">
        <v>1.7416999999999999E-4</v>
      </c>
      <c r="N8153" s="9">
        <v>1.6647E-4</v>
      </c>
      <c r="O8153" s="9">
        <v>1.6360999999999999E-4</v>
      </c>
      <c r="P8153" s="9">
        <v>1.6459999999999999E-4</v>
      </c>
      <c r="Q8153" s="9">
        <v>1.6801000000000001E-4</v>
      </c>
      <c r="R8153" s="10">
        <v>2.1244936787709023E-4</v>
      </c>
      <c r="S8153" s="10">
        <v>1.8555914997121035E-4</v>
      </c>
      <c r="T8153" s="10">
        <v>4.5365548625212036E-5</v>
      </c>
      <c r="U8153" s="10">
        <v>1.1472999999999999E-4</v>
      </c>
      <c r="V8153" s="25"/>
      <c r="W8153" s="25"/>
      <c r="X8153" s="25"/>
      <c r="Y8153" s="25"/>
      <c r="Z8153" s="25"/>
      <c r="AA8153" s="25"/>
    </row>
    <row r="8154" spans="1:27" x14ac:dyDescent="0.35">
      <c r="A8154" s="5">
        <v>8150</v>
      </c>
      <c r="B8154" s="5">
        <v>340</v>
      </c>
      <c r="C8154" s="5">
        <v>12</v>
      </c>
      <c r="D8154" s="25">
        <v>1.1415000000000001E-4</v>
      </c>
      <c r="E8154" s="25">
        <v>1.0631E-4</v>
      </c>
      <c r="F8154" s="25">
        <v>1.1747999999999999E-4</v>
      </c>
      <c r="G8154" s="25">
        <v>1.6153000000000001E-4</v>
      </c>
      <c r="H8154" s="25">
        <v>1.9185E-4</v>
      </c>
      <c r="I8154" s="9">
        <v>1.3693000000000001E-4</v>
      </c>
      <c r="J8154" s="9">
        <v>1.4219999999999999E-4</v>
      </c>
      <c r="K8154" s="9">
        <v>1.6742999999999999E-4</v>
      </c>
      <c r="L8154" s="9">
        <v>1.6515E-4</v>
      </c>
      <c r="M8154" s="9">
        <v>1.7033E-4</v>
      </c>
      <c r="N8154" s="9">
        <v>1.7089000000000001E-4</v>
      </c>
      <c r="O8154" s="9">
        <v>1.7813E-4</v>
      </c>
      <c r="P8154" s="9">
        <v>1.6725E-4</v>
      </c>
      <c r="Q8154" s="9">
        <v>1.593E-4</v>
      </c>
      <c r="R8154" s="10">
        <v>2.1244936787709023E-4</v>
      </c>
      <c r="S8154" s="10">
        <v>1.8823189535020277E-4</v>
      </c>
      <c r="T8154" s="10">
        <v>1.260766883431178E-5</v>
      </c>
      <c r="U8154" s="10">
        <v>1.1472999999999999E-4</v>
      </c>
      <c r="V8154" s="25"/>
      <c r="W8154" s="25"/>
      <c r="X8154" s="25"/>
      <c r="Y8154" s="25"/>
      <c r="Z8154" s="25"/>
      <c r="AA8154" s="25"/>
    </row>
    <row r="8155" spans="1:27" x14ac:dyDescent="0.35">
      <c r="A8155" s="5">
        <v>8151</v>
      </c>
      <c r="B8155" s="5">
        <v>340</v>
      </c>
      <c r="C8155" s="5">
        <v>12</v>
      </c>
      <c r="D8155" s="25">
        <v>1.1416E-4</v>
      </c>
      <c r="E8155" s="25">
        <v>1.0574E-4</v>
      </c>
      <c r="F8155" s="25">
        <v>1.2042E-4</v>
      </c>
      <c r="G8155" s="25">
        <v>1.6537E-4</v>
      </c>
      <c r="H8155" s="25">
        <v>1.9233999999999999E-4</v>
      </c>
      <c r="I8155" s="9">
        <v>1.3542E-4</v>
      </c>
      <c r="J8155" s="9">
        <v>1.4228E-4</v>
      </c>
      <c r="K8155" s="9">
        <v>1.7590999999999999E-4</v>
      </c>
      <c r="L8155" s="9">
        <v>1.7543999999999999E-4</v>
      </c>
      <c r="M8155" s="9">
        <v>1.6814E-4</v>
      </c>
      <c r="N8155" s="9">
        <v>1.7003999999999999E-4</v>
      </c>
      <c r="O8155" s="9">
        <v>1.8483E-4</v>
      </c>
      <c r="P8155" s="9">
        <v>1.6699E-4</v>
      </c>
      <c r="Q8155" s="9">
        <v>1.5231000000000001E-4</v>
      </c>
      <c r="R8155" s="10">
        <v>2.1244936787709023E-4</v>
      </c>
      <c r="S8155" s="10">
        <v>1.9015177009396091E-4</v>
      </c>
      <c r="T8155" s="10">
        <v>4.6409117445279566E-6</v>
      </c>
      <c r="U8155" s="10">
        <v>1.1472999999999999E-4</v>
      </c>
      <c r="V8155" s="25"/>
      <c r="W8155" s="25"/>
      <c r="X8155" s="25"/>
      <c r="Y8155" s="25"/>
      <c r="Z8155" s="25"/>
      <c r="AA8155" s="25"/>
    </row>
    <row r="8156" spans="1:27" x14ac:dyDescent="0.35">
      <c r="A8156" s="5">
        <v>8152</v>
      </c>
      <c r="B8156" s="5">
        <v>340</v>
      </c>
      <c r="C8156" s="5">
        <v>12</v>
      </c>
      <c r="D8156" s="25">
        <v>1.1415000000000001E-4</v>
      </c>
      <c r="E8156" s="25">
        <v>1.1040999999999999E-4</v>
      </c>
      <c r="F8156" s="25">
        <v>1.2294000000000001E-4</v>
      </c>
      <c r="G8156" s="25">
        <v>1.5956999999999999E-4</v>
      </c>
      <c r="H8156" s="25">
        <v>1.8963000000000001E-4</v>
      </c>
      <c r="I8156" s="9">
        <v>1.3763999999999999E-4</v>
      </c>
      <c r="J8156" s="9">
        <v>1.4437E-4</v>
      </c>
      <c r="K8156" s="9">
        <v>1.9074000000000001E-4</v>
      </c>
      <c r="L8156" s="9">
        <v>1.8249E-4</v>
      </c>
      <c r="M8156" s="9">
        <v>1.6724E-4</v>
      </c>
      <c r="N8156" s="9">
        <v>1.6602000000000001E-4</v>
      </c>
      <c r="O8156" s="9">
        <v>1.9764000000000001E-4</v>
      </c>
      <c r="P8156" s="9">
        <v>1.5134999999999999E-4</v>
      </c>
      <c r="Q8156" s="9">
        <v>1.0897E-4</v>
      </c>
      <c r="R8156" s="10">
        <v>2.1244936787709023E-4</v>
      </c>
      <c r="S8156" s="10">
        <v>1.9028866718570332E-4</v>
      </c>
      <c r="T8156" s="10">
        <v>0</v>
      </c>
      <c r="U8156" s="10">
        <v>1.1472999999999999E-4</v>
      </c>
      <c r="V8156" s="25"/>
      <c r="W8156" s="25"/>
      <c r="X8156" s="25"/>
      <c r="Y8156" s="25"/>
      <c r="Z8156" s="25"/>
      <c r="AA8156" s="25"/>
    </row>
    <row r="8157" spans="1:27" x14ac:dyDescent="0.35">
      <c r="A8157" s="5">
        <v>8153</v>
      </c>
      <c r="B8157" s="5">
        <v>340</v>
      </c>
      <c r="C8157" s="5">
        <v>12</v>
      </c>
      <c r="D8157" s="25">
        <v>1.1416E-4</v>
      </c>
      <c r="E8157" s="25">
        <v>1.1022E-4</v>
      </c>
      <c r="F8157" s="25">
        <v>1.1759E-4</v>
      </c>
      <c r="G8157" s="25">
        <v>1.6058000000000001E-4</v>
      </c>
      <c r="H8157" s="25">
        <v>1.8942000000000001E-4</v>
      </c>
      <c r="I8157" s="9">
        <v>1.4100000000000001E-4</v>
      </c>
      <c r="J8157" s="9">
        <v>1.4927000000000001E-4</v>
      </c>
      <c r="K8157" s="9">
        <v>1.9921000000000001E-4</v>
      </c>
      <c r="L8157" s="9">
        <v>1.9406E-4</v>
      </c>
      <c r="M8157" s="9">
        <v>1.6140999999999999E-4</v>
      </c>
      <c r="N8157" s="9">
        <v>1.5206E-4</v>
      </c>
      <c r="O8157" s="9">
        <v>2.1452E-4</v>
      </c>
      <c r="P8157" s="9">
        <v>1.5829E-4</v>
      </c>
      <c r="Q8157" s="9">
        <v>1.0647E-4</v>
      </c>
      <c r="R8157" s="10">
        <v>2.1244936787709023E-4</v>
      </c>
      <c r="S8157" s="10">
        <v>1.9028876942599066E-4</v>
      </c>
      <c r="T8157" s="10">
        <v>0</v>
      </c>
      <c r="U8157" s="10">
        <v>1.1472999999999999E-4</v>
      </c>
      <c r="V8157" s="25"/>
      <c r="W8157" s="25"/>
      <c r="X8157" s="25"/>
      <c r="Y8157" s="25"/>
      <c r="Z8157" s="25"/>
      <c r="AA8157" s="25"/>
    </row>
    <row r="8158" spans="1:27" x14ac:dyDescent="0.35">
      <c r="A8158" s="5">
        <v>8154</v>
      </c>
      <c r="B8158" s="5">
        <v>340</v>
      </c>
      <c r="C8158" s="5">
        <v>12</v>
      </c>
      <c r="D8158" s="25">
        <v>1.1415000000000001E-4</v>
      </c>
      <c r="E8158" s="25">
        <v>1.1302999999999999E-4</v>
      </c>
      <c r="F8158" s="25">
        <v>1.3049000000000001E-4</v>
      </c>
      <c r="G8158" s="25">
        <v>1.6546E-4</v>
      </c>
      <c r="H8158" s="25">
        <v>2.0110000000000001E-4</v>
      </c>
      <c r="I8158" s="9">
        <v>1.4992E-4</v>
      </c>
      <c r="J8158" s="9">
        <v>1.5579999999999999E-4</v>
      </c>
      <c r="K8158" s="9">
        <v>2.1405E-4</v>
      </c>
      <c r="L8158" s="9">
        <v>2.0976999999999999E-4</v>
      </c>
      <c r="M8158" s="9">
        <v>1.5868999999999999E-4</v>
      </c>
      <c r="N8158" s="9">
        <v>1.3857999999999999E-4</v>
      </c>
      <c r="O8158" s="9">
        <v>2.0607000000000001E-4</v>
      </c>
      <c r="P8158" s="9">
        <v>1.5951E-4</v>
      </c>
      <c r="Q8158" s="9">
        <v>1.1703E-4</v>
      </c>
      <c r="R8158" s="10">
        <v>2.1244936787709023E-4</v>
      </c>
      <c r="S8158" s="10">
        <v>1.9008993473297952E-4</v>
      </c>
      <c r="T8158" s="10">
        <v>0</v>
      </c>
      <c r="U8158" s="10">
        <v>1.1472999999999999E-4</v>
      </c>
      <c r="V8158" s="25"/>
      <c r="W8158" s="25"/>
      <c r="X8158" s="25"/>
      <c r="Y8158" s="25"/>
      <c r="Z8158" s="25"/>
      <c r="AA8158" s="25"/>
    </row>
    <row r="8159" spans="1:27" x14ac:dyDescent="0.35">
      <c r="A8159" s="5">
        <v>8155</v>
      </c>
      <c r="B8159" s="5">
        <v>340</v>
      </c>
      <c r="C8159" s="5">
        <v>12</v>
      </c>
      <c r="D8159" s="25">
        <v>1.1416E-4</v>
      </c>
      <c r="E8159" s="25">
        <v>1.0972999999999999E-4</v>
      </c>
      <c r="F8159" s="25">
        <v>1.1578000000000001E-4</v>
      </c>
      <c r="G8159" s="25">
        <v>1.0730000000000001E-4</v>
      </c>
      <c r="H8159" s="25">
        <v>1.2704E-4</v>
      </c>
      <c r="I8159" s="9">
        <v>1.5105000000000001E-4</v>
      </c>
      <c r="J8159" s="9">
        <v>1.4972999999999999E-4</v>
      </c>
      <c r="K8159" s="9">
        <v>2.0557999999999999E-4</v>
      </c>
      <c r="L8159" s="9">
        <v>2.0649000000000001E-4</v>
      </c>
      <c r="M8159" s="9">
        <v>1.5844000000000001E-4</v>
      </c>
      <c r="N8159" s="9">
        <v>1.294E-4</v>
      </c>
      <c r="O8159" s="9">
        <v>1.663E-4</v>
      </c>
      <c r="P8159" s="9">
        <v>1.3538999999999999E-4</v>
      </c>
      <c r="Q8159" s="9">
        <v>1.0746E-4</v>
      </c>
      <c r="R8159" s="10">
        <v>2.1244904652615313E-4</v>
      </c>
      <c r="S8159" s="10">
        <v>1.8200594526275298E-4</v>
      </c>
      <c r="T8159" s="10">
        <v>0</v>
      </c>
      <c r="U8159" s="10">
        <v>1.1472999999999999E-4</v>
      </c>
      <c r="V8159" s="25"/>
      <c r="W8159" s="25"/>
      <c r="X8159" s="25"/>
      <c r="Y8159" s="25"/>
      <c r="Z8159" s="25"/>
      <c r="AA8159" s="25"/>
    </row>
    <row r="8160" spans="1:27" x14ac:dyDescent="0.35">
      <c r="A8160" s="5">
        <v>8156</v>
      </c>
      <c r="B8160" s="5">
        <v>340</v>
      </c>
      <c r="C8160" s="5">
        <v>12</v>
      </c>
      <c r="D8160" s="25">
        <v>1.1415000000000001E-4</v>
      </c>
      <c r="E8160" s="25">
        <v>1.0653E-4</v>
      </c>
      <c r="F8160" s="25">
        <v>1.2381999999999999E-4</v>
      </c>
      <c r="G8160" s="25">
        <v>1.0427E-4</v>
      </c>
      <c r="H8160" s="25">
        <v>1.2973999999999999E-4</v>
      </c>
      <c r="I8160" s="9">
        <v>1.4526E-4</v>
      </c>
      <c r="J8160" s="9">
        <v>1.4410000000000001E-4</v>
      </c>
      <c r="K8160" s="9">
        <v>1.9497000000000001E-4</v>
      </c>
      <c r="L8160" s="9">
        <v>1.7530000000000001E-4</v>
      </c>
      <c r="M8160" s="9">
        <v>1.5024E-4</v>
      </c>
      <c r="N8160" s="9">
        <v>1.2048999999999999E-4</v>
      </c>
      <c r="O8160" s="9">
        <v>1.2972E-4</v>
      </c>
      <c r="P8160" s="9">
        <v>1.1479E-4</v>
      </c>
      <c r="Q8160" s="9">
        <v>1.0183000000000001E-4</v>
      </c>
      <c r="R8160" s="10">
        <v>2.1244136666287799E-4</v>
      </c>
      <c r="S8160" s="10">
        <v>1.6117464993331402E-4</v>
      </c>
      <c r="T8160" s="10">
        <v>0</v>
      </c>
      <c r="U8160" s="10">
        <v>1.1472999999999999E-4</v>
      </c>
      <c r="V8160" s="25"/>
      <c r="W8160" s="25"/>
      <c r="X8160" s="25"/>
      <c r="Y8160" s="25"/>
      <c r="Z8160" s="25"/>
      <c r="AA8160" s="25"/>
    </row>
    <row r="8161" spans="1:27" x14ac:dyDescent="0.35">
      <c r="A8161" s="5">
        <v>8157</v>
      </c>
      <c r="B8161" s="5">
        <v>340</v>
      </c>
      <c r="C8161" s="5">
        <v>12</v>
      </c>
      <c r="D8161" s="25">
        <v>1.1416E-4</v>
      </c>
      <c r="E8161" s="25">
        <v>1.0668E-4</v>
      </c>
      <c r="F8161" s="25">
        <v>1.2082999999999999E-4</v>
      </c>
      <c r="G8161" s="25">
        <v>6.1340000000000006E-5</v>
      </c>
      <c r="H8161" s="25">
        <v>6.7490000000000006E-5</v>
      </c>
      <c r="I8161" s="9">
        <v>1.3914999999999999E-4</v>
      </c>
      <c r="J8161" s="9">
        <v>1.3771000000000001E-4</v>
      </c>
      <c r="K8161" s="9">
        <v>2.0133999999999999E-4</v>
      </c>
      <c r="L8161" s="9">
        <v>1.4071999999999999E-4</v>
      </c>
      <c r="M8161" s="9">
        <v>1.3517999999999999E-4</v>
      </c>
      <c r="N8161" s="9">
        <v>1.1291E-4</v>
      </c>
      <c r="O8161" s="9">
        <v>8.5000000000000006E-5</v>
      </c>
      <c r="P8161" s="9">
        <v>8.6219999999999998E-5</v>
      </c>
      <c r="Q8161" s="9">
        <v>8.8220000000000006E-5</v>
      </c>
      <c r="R8161" s="10">
        <v>2.1238114398254248E-4</v>
      </c>
      <c r="S8161" s="10">
        <v>1.2919491428217827E-4</v>
      </c>
      <c r="T8161" s="10">
        <v>0</v>
      </c>
      <c r="U8161" s="10">
        <v>1.1472999999999999E-4</v>
      </c>
      <c r="V8161" s="25"/>
      <c r="W8161" s="25"/>
      <c r="X8161" s="25"/>
      <c r="Y8161" s="25"/>
      <c r="Z8161" s="25"/>
      <c r="AA8161" s="25"/>
    </row>
    <row r="8162" spans="1:27" x14ac:dyDescent="0.35">
      <c r="A8162" s="5">
        <v>8158</v>
      </c>
      <c r="B8162" s="5">
        <v>340</v>
      </c>
      <c r="C8162" s="5">
        <v>12</v>
      </c>
      <c r="D8162" s="25">
        <v>1.1415000000000001E-4</v>
      </c>
      <c r="E8162" s="25">
        <v>1.0636E-4</v>
      </c>
      <c r="F8162" s="25">
        <v>1.1885E-4</v>
      </c>
      <c r="G8162" s="25">
        <v>6.135E-5</v>
      </c>
      <c r="H8162" s="25">
        <v>6.4259999999999998E-5</v>
      </c>
      <c r="I8162" s="9">
        <v>1.3211000000000001E-4</v>
      </c>
      <c r="J8162" s="9">
        <v>1.3081E-4</v>
      </c>
      <c r="K8162" s="9">
        <v>2.0346000000000001E-4</v>
      </c>
      <c r="L8162" s="9">
        <v>9.8189999999999993E-5</v>
      </c>
      <c r="M8162" s="9">
        <v>1.1367E-4</v>
      </c>
      <c r="N8162" s="9">
        <v>1.0541E-4</v>
      </c>
      <c r="O8162" s="9">
        <v>8.7379999999999993E-5</v>
      </c>
      <c r="P8162" s="9">
        <v>8.7169999999999994E-5</v>
      </c>
      <c r="Q8162" s="9">
        <v>8.7819999999999996E-5</v>
      </c>
      <c r="R8162" s="10">
        <v>2.1031431234798867E-4</v>
      </c>
      <c r="S8162" s="10">
        <v>1.0207667692382472E-4</v>
      </c>
      <c r="T8162" s="10">
        <v>0</v>
      </c>
      <c r="U8162" s="10">
        <v>1.1472999999999999E-4</v>
      </c>
      <c r="V8162" s="25"/>
      <c r="W8162" s="25"/>
      <c r="X8162" s="25"/>
      <c r="Y8162" s="25"/>
      <c r="Z8162" s="25"/>
      <c r="AA8162" s="25"/>
    </row>
    <row r="8163" spans="1:27" x14ac:dyDescent="0.35">
      <c r="A8163" s="5">
        <v>8159</v>
      </c>
      <c r="B8163" s="5">
        <v>340</v>
      </c>
      <c r="C8163" s="5">
        <v>12</v>
      </c>
      <c r="D8163" s="25">
        <v>1.1416E-4</v>
      </c>
      <c r="E8163" s="25">
        <v>1.115E-4</v>
      </c>
      <c r="F8163" s="25">
        <v>1.2474E-4</v>
      </c>
      <c r="G8163" s="25">
        <v>6.3380000000000006E-5</v>
      </c>
      <c r="H8163" s="25">
        <v>7.1340000000000005E-5</v>
      </c>
      <c r="I8163" s="9">
        <v>1.3286E-4</v>
      </c>
      <c r="J8163" s="9">
        <v>1.2150999999999999E-4</v>
      </c>
      <c r="K8163" s="9">
        <v>2.0133999999999999E-4</v>
      </c>
      <c r="L8163" s="9">
        <v>9.0719999999999999E-5</v>
      </c>
      <c r="M8163" s="9">
        <v>9.8839999999999996E-5</v>
      </c>
      <c r="N8163" s="9">
        <v>9.9610000000000003E-5</v>
      </c>
      <c r="O8163" s="9">
        <v>7.8590000000000005E-5</v>
      </c>
      <c r="P8163" s="9">
        <v>7.2559999999999996E-5</v>
      </c>
      <c r="Q8163" s="9">
        <v>6.7280000000000006E-5</v>
      </c>
      <c r="R8163" s="10">
        <v>1.9586955807984066E-4</v>
      </c>
      <c r="S8163" s="10">
        <v>8.9850913347553677E-5</v>
      </c>
      <c r="T8163" s="10">
        <v>0</v>
      </c>
      <c r="U8163" s="10">
        <v>1.1472999999999999E-4</v>
      </c>
      <c r="V8163" s="25"/>
      <c r="W8163" s="25"/>
      <c r="X8163" s="25"/>
      <c r="Y8163" s="25"/>
      <c r="Z8163" s="25"/>
      <c r="AA8163" s="25"/>
    </row>
    <row r="8164" spans="1:27" x14ac:dyDescent="0.35">
      <c r="A8164" s="5">
        <v>8160</v>
      </c>
      <c r="B8164" s="5">
        <v>340</v>
      </c>
      <c r="C8164" s="5">
        <v>12</v>
      </c>
      <c r="D8164" s="25">
        <v>1.1415000000000001E-4</v>
      </c>
      <c r="E8164" s="25">
        <v>1.0950000000000001E-4</v>
      </c>
      <c r="F8164" s="25">
        <v>1.3469999999999999E-4</v>
      </c>
      <c r="G8164" s="25">
        <v>5.2049999999999998E-5</v>
      </c>
      <c r="H8164" s="25">
        <v>7.4040000000000003E-5</v>
      </c>
      <c r="I8164" s="9">
        <v>1.3176999999999999E-4</v>
      </c>
      <c r="J8164" s="9">
        <v>1.1339E-4</v>
      </c>
      <c r="K8164" s="9">
        <v>1.9922000000000001E-4</v>
      </c>
      <c r="L8164" s="9">
        <v>8.1249999999999996E-5</v>
      </c>
      <c r="M8164" s="9">
        <v>8.6110000000000001E-5</v>
      </c>
      <c r="N8164" s="9">
        <v>9.0500000000000004E-5</v>
      </c>
      <c r="O8164" s="9">
        <v>6.3159999999999998E-5</v>
      </c>
      <c r="P8164" s="9">
        <v>6.0970000000000001E-5</v>
      </c>
      <c r="Q8164" s="9">
        <v>5.9150000000000001E-5</v>
      </c>
      <c r="R8164" s="10">
        <v>1.6932520111035955E-4</v>
      </c>
      <c r="S8164" s="10">
        <v>7.5421574555385712E-5</v>
      </c>
      <c r="T8164" s="10">
        <v>0</v>
      </c>
      <c r="U8164" s="10">
        <v>1.1472999999999999E-4</v>
      </c>
      <c r="V8164" s="25"/>
      <c r="W8164" s="25"/>
      <c r="X8164" s="25"/>
      <c r="Y8164" s="25"/>
      <c r="Z8164" s="25"/>
      <c r="AA8164" s="25"/>
    </row>
    <row r="8165" spans="1:27" x14ac:dyDescent="0.35">
      <c r="A8165" s="5">
        <v>8161</v>
      </c>
      <c r="B8165" s="5">
        <v>341</v>
      </c>
      <c r="C8165" s="5">
        <v>12</v>
      </c>
      <c r="D8165" s="25">
        <v>1.1416E-4</v>
      </c>
      <c r="E8165" s="25">
        <v>1.1576E-4</v>
      </c>
      <c r="F8165" s="25">
        <v>1.2716E-4</v>
      </c>
      <c r="G8165" s="25">
        <v>5.6230000000000002E-5</v>
      </c>
      <c r="H8165" s="25">
        <v>7.5850000000000001E-5</v>
      </c>
      <c r="I8165" s="9">
        <v>1.239E-4</v>
      </c>
      <c r="J8165" s="9">
        <v>1.0666999999999999E-4</v>
      </c>
      <c r="K8165" s="9">
        <v>2.0770000000000001E-4</v>
      </c>
      <c r="L8165" s="9">
        <v>6.7119999999999994E-5</v>
      </c>
      <c r="M8165" s="9">
        <v>7.415E-5</v>
      </c>
      <c r="N8165" s="9">
        <v>8.1180000000000005E-5</v>
      </c>
      <c r="O8165" s="9">
        <v>5.4320000000000002E-5</v>
      </c>
      <c r="P8165" s="9">
        <v>5.3730000000000002E-5</v>
      </c>
      <c r="Q8165" s="9">
        <v>5.3310000000000003E-5</v>
      </c>
      <c r="R8165" s="10">
        <v>1.4617566809574218E-4</v>
      </c>
      <c r="S8165" s="10">
        <v>6.150597598912215E-5</v>
      </c>
      <c r="T8165" s="10">
        <v>0</v>
      </c>
      <c r="U8165" s="10">
        <v>1.1394E-4</v>
      </c>
      <c r="V8165" s="25"/>
      <c r="W8165" s="25"/>
      <c r="X8165" s="25"/>
      <c r="Y8165" s="25"/>
      <c r="Z8165" s="25"/>
      <c r="AA8165" s="25"/>
    </row>
    <row r="8166" spans="1:27" x14ac:dyDescent="0.35">
      <c r="A8166" s="5">
        <v>8162</v>
      </c>
      <c r="B8166" s="5">
        <v>341</v>
      </c>
      <c r="C8166" s="5">
        <v>12</v>
      </c>
      <c r="D8166" s="25">
        <v>1.1415000000000001E-4</v>
      </c>
      <c r="E8166" s="25">
        <v>1.1137999999999999E-4</v>
      </c>
      <c r="F8166" s="25">
        <v>1.3831999999999999E-4</v>
      </c>
      <c r="G8166" s="25">
        <v>6.0420000000000001E-5</v>
      </c>
      <c r="H8166" s="25">
        <v>7.4740000000000006E-5</v>
      </c>
      <c r="I8166" s="9">
        <v>1.1979E-4</v>
      </c>
      <c r="J8166" s="9">
        <v>1.0283E-4</v>
      </c>
      <c r="K8166" s="9">
        <v>1.9074000000000001E-4</v>
      </c>
      <c r="L8166" s="9">
        <v>5.7519999999999998E-5</v>
      </c>
      <c r="M8166" s="9">
        <v>6.3960000000000004E-5</v>
      </c>
      <c r="N8166" s="9">
        <v>7.2070000000000006E-5</v>
      </c>
      <c r="O8166" s="9">
        <v>1.857E-5</v>
      </c>
      <c r="P8166" s="9">
        <v>3.8080000000000001E-5</v>
      </c>
      <c r="Q8166" s="9">
        <v>5.6669999999999998E-5</v>
      </c>
      <c r="R8166" s="10">
        <v>1.311373879931689E-4</v>
      </c>
      <c r="S8166" s="10">
        <v>5.2402543843302502E-5</v>
      </c>
      <c r="T8166" s="10">
        <v>0</v>
      </c>
      <c r="U8166" s="10">
        <v>1.1394E-4</v>
      </c>
      <c r="V8166" s="25"/>
      <c r="W8166" s="25"/>
      <c r="X8166" s="25"/>
      <c r="Y8166" s="25"/>
      <c r="Z8166" s="25"/>
      <c r="AA8166" s="25"/>
    </row>
    <row r="8167" spans="1:27" x14ac:dyDescent="0.35">
      <c r="A8167" s="5">
        <v>8163</v>
      </c>
      <c r="B8167" s="5">
        <v>341</v>
      </c>
      <c r="C8167" s="5">
        <v>12</v>
      </c>
      <c r="D8167" s="25">
        <v>1.1416E-4</v>
      </c>
      <c r="E8167" s="25">
        <v>1.1288E-4</v>
      </c>
      <c r="F8167" s="25">
        <v>1.2204E-4</v>
      </c>
      <c r="G8167" s="25">
        <v>5.4700000000000001E-5</v>
      </c>
      <c r="H8167" s="25">
        <v>6.5870000000000005E-5</v>
      </c>
      <c r="I8167" s="9">
        <v>1.1553E-4</v>
      </c>
      <c r="J8167" s="9">
        <v>1.0084E-4</v>
      </c>
      <c r="K8167" s="9">
        <v>1.9709999999999999E-4</v>
      </c>
      <c r="L8167" s="9">
        <v>2.7359999999999999E-5</v>
      </c>
      <c r="M8167" s="9">
        <v>5.2309999999999999E-5</v>
      </c>
      <c r="N8167" s="9">
        <v>6.5629999999999993E-5</v>
      </c>
      <c r="O8167" s="9">
        <v>1.292E-5</v>
      </c>
      <c r="P8167" s="9">
        <v>3.7950000000000001E-5</v>
      </c>
      <c r="Q8167" s="9">
        <v>6.1859999999999994E-5</v>
      </c>
      <c r="R8167" s="10">
        <v>1.3279489105471893E-4</v>
      </c>
      <c r="S8167" s="10">
        <v>4.2265531189138671E-5</v>
      </c>
      <c r="T8167" s="10">
        <v>0</v>
      </c>
      <c r="U8167" s="10">
        <v>1.1394E-4</v>
      </c>
      <c r="V8167" s="25"/>
      <c r="W8167" s="25"/>
      <c r="X8167" s="25"/>
      <c r="Y8167" s="25"/>
      <c r="Z8167" s="25"/>
      <c r="AA8167" s="25"/>
    </row>
    <row r="8168" spans="1:27" x14ac:dyDescent="0.35">
      <c r="A8168" s="5">
        <v>8164</v>
      </c>
      <c r="B8168" s="5">
        <v>341</v>
      </c>
      <c r="C8168" s="5">
        <v>12</v>
      </c>
      <c r="D8168" s="25">
        <v>1.1415000000000001E-4</v>
      </c>
      <c r="E8168" s="25">
        <v>1.1839E-4</v>
      </c>
      <c r="F8168" s="25">
        <v>1.3331000000000001E-4</v>
      </c>
      <c r="G8168" s="25">
        <v>6.2509999999999996E-5</v>
      </c>
      <c r="H8168" s="25">
        <v>7.394E-5</v>
      </c>
      <c r="I8168" s="9">
        <v>1.1400000000000001E-4</v>
      </c>
      <c r="J8168" s="9">
        <v>1.0018000000000001E-4</v>
      </c>
      <c r="K8168" s="9">
        <v>1.9709999999999999E-4</v>
      </c>
      <c r="L8168" s="9">
        <v>1.6840000000000001E-5</v>
      </c>
      <c r="M8168" s="9">
        <v>4.4369999999999997E-5</v>
      </c>
      <c r="N8168" s="9">
        <v>6.211E-5</v>
      </c>
      <c r="O8168" s="9">
        <v>1.279E-5</v>
      </c>
      <c r="P8168" s="9">
        <v>4.6950000000000003E-5</v>
      </c>
      <c r="Q8168" s="9">
        <v>7.9850000000000003E-5</v>
      </c>
      <c r="R8168" s="10">
        <v>1.2871565783485742E-4</v>
      </c>
      <c r="S8168" s="10">
        <v>2.7540679211561848E-5</v>
      </c>
      <c r="T8168" s="10">
        <v>0</v>
      </c>
      <c r="U8168" s="10">
        <v>1.1394E-4</v>
      </c>
      <c r="V8168" s="25"/>
      <c r="W8168" s="25"/>
      <c r="X8168" s="25"/>
      <c r="Y8168" s="25"/>
      <c r="Z8168" s="25"/>
      <c r="AA8168" s="25"/>
    </row>
    <row r="8169" spans="1:27" x14ac:dyDescent="0.35">
      <c r="A8169" s="5">
        <v>8165</v>
      </c>
      <c r="B8169" s="5">
        <v>341</v>
      </c>
      <c r="C8169" s="5">
        <v>12</v>
      </c>
      <c r="D8169" s="25">
        <v>1.1416E-4</v>
      </c>
      <c r="E8169" s="25">
        <v>1.1037E-4</v>
      </c>
      <c r="F8169" s="25">
        <v>1.2260999999999999E-4</v>
      </c>
      <c r="G8169" s="25">
        <v>5.681E-5</v>
      </c>
      <c r="H8169" s="25">
        <v>7.0389999999999995E-5</v>
      </c>
      <c r="I8169" s="9">
        <v>1.137E-4</v>
      </c>
      <c r="J8169" s="9">
        <v>1.0094000000000001E-4</v>
      </c>
      <c r="K8169" s="9">
        <v>1.9709999999999999E-4</v>
      </c>
      <c r="L8169" s="9">
        <v>1.393E-5</v>
      </c>
      <c r="M8169" s="9">
        <v>4.3519999999999997E-5</v>
      </c>
      <c r="N8169" s="9">
        <v>6.4510000000000004E-5</v>
      </c>
      <c r="O8169" s="9">
        <v>1.8289999999999999E-5</v>
      </c>
      <c r="P8169" s="9">
        <v>5.6270000000000002E-5</v>
      </c>
      <c r="Q8169" s="9">
        <v>9.3049999999999998E-5</v>
      </c>
      <c r="R8169" s="10">
        <v>1.2860549185021421E-4</v>
      </c>
      <c r="S8169" s="10">
        <v>2.0231277474489423E-5</v>
      </c>
      <c r="T8169" s="10">
        <v>0</v>
      </c>
      <c r="U8169" s="10">
        <v>1.1394E-4</v>
      </c>
      <c r="V8169" s="25"/>
      <c r="W8169" s="25"/>
      <c r="X8169" s="25"/>
      <c r="Y8169" s="25"/>
      <c r="Z8169" s="25"/>
      <c r="AA8169" s="25"/>
    </row>
    <row r="8170" spans="1:27" x14ac:dyDescent="0.35">
      <c r="A8170" s="5">
        <v>8166</v>
      </c>
      <c r="B8170" s="5">
        <v>341</v>
      </c>
      <c r="C8170" s="5">
        <v>12</v>
      </c>
      <c r="D8170" s="25">
        <v>1.1415000000000001E-4</v>
      </c>
      <c r="E8170" s="25">
        <v>1.0875E-4</v>
      </c>
      <c r="F8170" s="25">
        <v>1.3719000000000001E-4</v>
      </c>
      <c r="G8170" s="25">
        <v>1.0815E-4</v>
      </c>
      <c r="H8170" s="25">
        <v>1.359E-4</v>
      </c>
      <c r="I8170" s="9">
        <v>1.1946E-4</v>
      </c>
      <c r="J8170" s="9">
        <v>1.0569999999999999E-4</v>
      </c>
      <c r="K8170" s="9">
        <v>1.9498000000000001E-4</v>
      </c>
      <c r="L8170" s="9">
        <v>1.7200000000000001E-5</v>
      </c>
      <c r="M8170" s="9">
        <v>4.8229999999999997E-5</v>
      </c>
      <c r="N8170" s="9">
        <v>7.0900000000000002E-5</v>
      </c>
      <c r="O8170" s="9">
        <v>4.6459999999999999E-5</v>
      </c>
      <c r="P8170" s="9">
        <v>7.7310000000000004E-5</v>
      </c>
      <c r="Q8170" s="9">
        <v>1.0765E-4</v>
      </c>
      <c r="R8170" s="10">
        <v>1.321107245528337E-4</v>
      </c>
      <c r="S8170" s="10">
        <v>1.769216908355595E-5</v>
      </c>
      <c r="T8170" s="10">
        <v>0</v>
      </c>
      <c r="U8170" s="10">
        <v>1.1394E-4</v>
      </c>
      <c r="V8170" s="25"/>
      <c r="W8170" s="25"/>
      <c r="X8170" s="25"/>
      <c r="Y8170" s="25"/>
      <c r="Z8170" s="25"/>
      <c r="AA8170" s="25"/>
    </row>
    <row r="8171" spans="1:27" x14ac:dyDescent="0.35">
      <c r="A8171" s="5">
        <v>8167</v>
      </c>
      <c r="B8171" s="5">
        <v>341</v>
      </c>
      <c r="C8171" s="5">
        <v>12</v>
      </c>
      <c r="D8171" s="25">
        <v>1.1416E-4</v>
      </c>
      <c r="E8171" s="25">
        <v>1.1582999999999999E-4</v>
      </c>
      <c r="F8171" s="25">
        <v>1.3934E-4</v>
      </c>
      <c r="G8171" s="25">
        <v>1.1272E-4</v>
      </c>
      <c r="H8171" s="25">
        <v>1.2685999999999999E-4</v>
      </c>
      <c r="I8171" s="9">
        <v>1.3218999999999999E-4</v>
      </c>
      <c r="J8171" s="9">
        <v>1.1827E-4</v>
      </c>
      <c r="K8171" s="9">
        <v>1.9074000000000001E-4</v>
      </c>
      <c r="L8171" s="9">
        <v>3.9879999999999998E-5</v>
      </c>
      <c r="M8171" s="9">
        <v>6.0040000000000001E-5</v>
      </c>
      <c r="N8171" s="9">
        <v>8.0740000000000003E-5</v>
      </c>
      <c r="O8171" s="9">
        <v>1.2344E-4</v>
      </c>
      <c r="P8171" s="9">
        <v>1.1682E-4</v>
      </c>
      <c r="Q8171" s="9">
        <v>1.119E-4</v>
      </c>
      <c r="R8171" s="10">
        <v>1.3080323945658209E-4</v>
      </c>
      <c r="S8171" s="10">
        <v>2.0375744637711505E-5</v>
      </c>
      <c r="T8171" s="10">
        <v>0</v>
      </c>
      <c r="U8171" s="10">
        <v>1.1394E-4</v>
      </c>
      <c r="V8171" s="25"/>
      <c r="W8171" s="25"/>
      <c r="X8171" s="25"/>
      <c r="Y8171" s="25"/>
      <c r="Z8171" s="25"/>
      <c r="AA8171" s="25"/>
    </row>
    <row r="8172" spans="1:27" x14ac:dyDescent="0.35">
      <c r="A8172" s="5">
        <v>8168</v>
      </c>
      <c r="B8172" s="5">
        <v>341</v>
      </c>
      <c r="C8172" s="5">
        <v>12</v>
      </c>
      <c r="D8172" s="25">
        <v>1.1415000000000001E-4</v>
      </c>
      <c r="E8172" s="25">
        <v>1.1063E-4</v>
      </c>
      <c r="F8172" s="25">
        <v>1.3477000000000001E-4</v>
      </c>
      <c r="G8172" s="25">
        <v>1.6199000000000001E-4</v>
      </c>
      <c r="H8172" s="25">
        <v>1.9514000000000001E-4</v>
      </c>
      <c r="I8172" s="9">
        <v>1.4381999999999999E-4</v>
      </c>
      <c r="J8172" s="9">
        <v>1.3690999999999999E-4</v>
      </c>
      <c r="K8172" s="9">
        <v>1.9074000000000001E-4</v>
      </c>
      <c r="L8172" s="9">
        <v>1.0443E-4</v>
      </c>
      <c r="M8172" s="9">
        <v>8.3529999999999995E-5</v>
      </c>
      <c r="N8172" s="9">
        <v>9.0699999999999996E-5</v>
      </c>
      <c r="O8172" s="9">
        <v>2.2232999999999999E-4</v>
      </c>
      <c r="P8172" s="9">
        <v>1.7755000000000001E-4</v>
      </c>
      <c r="Q8172" s="9">
        <v>1.3715999999999999E-4</v>
      </c>
      <c r="R8172" s="10">
        <v>1.2568700643489559E-4</v>
      </c>
      <c r="S8172" s="10">
        <v>2.6075205851204182E-5</v>
      </c>
      <c r="T8172" s="10">
        <v>0</v>
      </c>
      <c r="U8172" s="10">
        <v>1.1394E-4</v>
      </c>
      <c r="V8172" s="25"/>
      <c r="W8172" s="25"/>
      <c r="X8172" s="25"/>
      <c r="Y8172" s="25"/>
      <c r="Z8172" s="25"/>
      <c r="AA8172" s="25"/>
    </row>
    <row r="8173" spans="1:27" x14ac:dyDescent="0.35">
      <c r="A8173" s="5">
        <v>8169</v>
      </c>
      <c r="B8173" s="5">
        <v>341</v>
      </c>
      <c r="C8173" s="5">
        <v>12</v>
      </c>
      <c r="D8173" s="25">
        <v>1.1416E-4</v>
      </c>
      <c r="E8173" s="25">
        <v>1.0856E-4</v>
      </c>
      <c r="F8173" s="25">
        <v>1.3036999999999999E-4</v>
      </c>
      <c r="G8173" s="25">
        <v>1.6499E-4</v>
      </c>
      <c r="H8173" s="25">
        <v>1.9147000000000001E-4</v>
      </c>
      <c r="I8173" s="9">
        <v>1.4585999999999999E-4</v>
      </c>
      <c r="J8173" s="9">
        <v>1.4715999999999999E-4</v>
      </c>
      <c r="K8173" s="9">
        <v>1.8861999999999999E-4</v>
      </c>
      <c r="L8173" s="9">
        <v>1.9462E-4</v>
      </c>
      <c r="M8173" s="9">
        <v>1.2344999999999999E-4</v>
      </c>
      <c r="N8173" s="9">
        <v>1.0454999999999999E-4</v>
      </c>
      <c r="O8173" s="9">
        <v>2.1279E-4</v>
      </c>
      <c r="P8173" s="9">
        <v>1.9277000000000001E-4</v>
      </c>
      <c r="Q8173" s="9">
        <v>1.7653999999999999E-4</v>
      </c>
      <c r="R8173" s="10">
        <v>1.2150631042779278E-4</v>
      </c>
      <c r="S8173" s="10">
        <v>3.6915105684714E-5</v>
      </c>
      <c r="T8173" s="10">
        <v>3.9893175544370123E-5</v>
      </c>
      <c r="U8173" s="10">
        <v>1.1394E-4</v>
      </c>
      <c r="V8173" s="25"/>
      <c r="W8173" s="25"/>
      <c r="X8173" s="25"/>
      <c r="Y8173" s="25"/>
      <c r="Z8173" s="25"/>
      <c r="AA8173" s="25"/>
    </row>
    <row r="8174" spans="1:27" x14ac:dyDescent="0.35">
      <c r="A8174" s="5">
        <v>8170</v>
      </c>
      <c r="B8174" s="5">
        <v>341</v>
      </c>
      <c r="C8174" s="5">
        <v>12</v>
      </c>
      <c r="D8174" s="25">
        <v>1.1415000000000001E-4</v>
      </c>
      <c r="E8174" s="25">
        <v>1.1318E-4</v>
      </c>
      <c r="F8174" s="25">
        <v>1.3595999999999999E-4</v>
      </c>
      <c r="G8174" s="25">
        <v>1.6469E-4</v>
      </c>
      <c r="H8174" s="25">
        <v>1.8715999999999999E-4</v>
      </c>
      <c r="I8174" s="9">
        <v>1.4588000000000001E-4</v>
      </c>
      <c r="J8174" s="9">
        <v>1.4965000000000001E-4</v>
      </c>
      <c r="K8174" s="9">
        <v>1.6531E-4</v>
      </c>
      <c r="L8174" s="9">
        <v>2.0642999999999999E-4</v>
      </c>
      <c r="M8174" s="9">
        <v>1.5852999999999999E-4</v>
      </c>
      <c r="N8174" s="9">
        <v>1.2451000000000001E-4</v>
      </c>
      <c r="O8174" s="9">
        <v>1.674E-4</v>
      </c>
      <c r="P8174" s="9">
        <v>1.729E-4</v>
      </c>
      <c r="Q8174" s="9">
        <v>1.8085E-4</v>
      </c>
      <c r="R8174" s="10">
        <v>1.2669645599782431E-4</v>
      </c>
      <c r="S8174" s="10">
        <v>5.9216673238601129E-5</v>
      </c>
      <c r="T8174" s="10">
        <v>2.3815428275850044E-5</v>
      </c>
      <c r="U8174" s="10">
        <v>1.1394E-4</v>
      </c>
      <c r="V8174" s="25"/>
      <c r="W8174" s="25"/>
      <c r="X8174" s="25"/>
      <c r="Y8174" s="25"/>
      <c r="Z8174" s="25"/>
      <c r="AA8174" s="25"/>
    </row>
    <row r="8175" spans="1:27" x14ac:dyDescent="0.35">
      <c r="A8175" s="5">
        <v>8171</v>
      </c>
      <c r="B8175" s="5">
        <v>341</v>
      </c>
      <c r="C8175" s="5">
        <v>12</v>
      </c>
      <c r="D8175" s="25">
        <v>1.1416E-4</v>
      </c>
      <c r="E8175" s="25">
        <v>1.1642E-4</v>
      </c>
      <c r="F8175" s="25">
        <v>1.1987E-4</v>
      </c>
      <c r="G8175" s="25">
        <v>1.6160999999999999E-4</v>
      </c>
      <c r="H8175" s="25">
        <v>1.9883999999999999E-4</v>
      </c>
      <c r="I8175" s="9">
        <v>1.4456000000000001E-4</v>
      </c>
      <c r="J8175" s="9">
        <v>1.4846999999999999E-4</v>
      </c>
      <c r="K8175" s="9">
        <v>1.3988E-4</v>
      </c>
      <c r="L8175" s="9">
        <v>1.7607000000000001E-4</v>
      </c>
      <c r="M8175" s="9">
        <v>1.7181999999999999E-4</v>
      </c>
      <c r="N8175" s="9">
        <v>1.4234E-4</v>
      </c>
      <c r="O8175" s="9">
        <v>1.6780000000000001E-4</v>
      </c>
      <c r="P8175" s="9">
        <v>1.7197E-4</v>
      </c>
      <c r="Q8175" s="9">
        <v>1.7861999999999999E-4</v>
      </c>
      <c r="R8175" s="10">
        <v>1.4157924734369923E-4</v>
      </c>
      <c r="S8175" s="10">
        <v>8.7793586541308908E-5</v>
      </c>
      <c r="T8175" s="10">
        <v>9.860452704735634E-5</v>
      </c>
      <c r="U8175" s="10">
        <v>1.1394E-4</v>
      </c>
      <c r="V8175" s="25"/>
      <c r="W8175" s="25"/>
      <c r="X8175" s="25"/>
      <c r="Y8175" s="25"/>
      <c r="Z8175" s="25"/>
      <c r="AA8175" s="25"/>
    </row>
    <row r="8176" spans="1:27" x14ac:dyDescent="0.35">
      <c r="A8176" s="5">
        <v>8172</v>
      </c>
      <c r="B8176" s="5">
        <v>341</v>
      </c>
      <c r="C8176" s="5">
        <v>12</v>
      </c>
      <c r="D8176" s="25">
        <v>1.1415000000000001E-4</v>
      </c>
      <c r="E8176" s="25">
        <v>1.1412E-4</v>
      </c>
      <c r="F8176" s="25">
        <v>1.1964E-4</v>
      </c>
      <c r="G8176" s="25">
        <v>1.6370999999999999E-4</v>
      </c>
      <c r="H8176" s="25">
        <v>1.9667E-4</v>
      </c>
      <c r="I8176" s="9">
        <v>1.4391E-4</v>
      </c>
      <c r="J8176" s="9">
        <v>1.4621999999999999E-4</v>
      </c>
      <c r="K8176" s="9">
        <v>1.2292999999999999E-4</v>
      </c>
      <c r="L8176" s="9">
        <v>1.7108E-4</v>
      </c>
      <c r="M8176" s="9">
        <v>1.7406999999999999E-4</v>
      </c>
      <c r="N8176" s="9">
        <v>1.5624000000000001E-4</v>
      </c>
      <c r="O8176" s="9">
        <v>1.7254E-4</v>
      </c>
      <c r="P8176" s="9">
        <v>1.7259999999999999E-4</v>
      </c>
      <c r="Q8176" s="9">
        <v>1.7529000000000001E-4</v>
      </c>
      <c r="R8176" s="10">
        <v>1.3298161875754876E-4</v>
      </c>
      <c r="S8176" s="10">
        <v>1.1288060544897621E-4</v>
      </c>
      <c r="T8176" s="10">
        <v>5.8210777841327813E-5</v>
      </c>
      <c r="U8176" s="10">
        <v>1.1394E-4</v>
      </c>
      <c r="V8176" s="25"/>
      <c r="W8176" s="25"/>
      <c r="X8176" s="25"/>
      <c r="Y8176" s="25"/>
      <c r="Z8176" s="25"/>
      <c r="AA8176" s="25"/>
    </row>
    <row r="8177" spans="1:27" x14ac:dyDescent="0.35">
      <c r="A8177" s="5">
        <v>8173</v>
      </c>
      <c r="B8177" s="5">
        <v>341</v>
      </c>
      <c r="C8177" s="5">
        <v>12</v>
      </c>
      <c r="D8177" s="25">
        <v>1.1416E-4</v>
      </c>
      <c r="E8177" s="25">
        <v>1.0922E-4</v>
      </c>
      <c r="F8177" s="25">
        <v>1.3893E-4</v>
      </c>
      <c r="G8177" s="25">
        <v>1.6349999999999999E-4</v>
      </c>
      <c r="H8177" s="25">
        <v>1.9328999999999999E-4</v>
      </c>
      <c r="I8177" s="9">
        <v>1.3823000000000001E-4</v>
      </c>
      <c r="J8177" s="9">
        <v>1.4359999999999999E-4</v>
      </c>
      <c r="K8177" s="9">
        <v>1.4836E-4</v>
      </c>
      <c r="L8177" s="9">
        <v>1.7238E-4</v>
      </c>
      <c r="M8177" s="9">
        <v>1.7364999999999999E-4</v>
      </c>
      <c r="N8177" s="9">
        <v>1.6602000000000001E-4</v>
      </c>
      <c r="O8177" s="9">
        <v>1.6348999999999999E-4</v>
      </c>
      <c r="P8177" s="9">
        <v>1.6447E-4</v>
      </c>
      <c r="Q8177" s="9">
        <v>1.6788E-4</v>
      </c>
      <c r="R8177" s="10">
        <v>1.3807053355074047E-4</v>
      </c>
      <c r="S8177" s="10">
        <v>1.3913857387980793E-4</v>
      </c>
      <c r="T8177" s="10">
        <v>3.1756732467583439E-5</v>
      </c>
      <c r="U8177" s="10">
        <v>1.1394E-4</v>
      </c>
      <c r="V8177" s="25"/>
      <c r="W8177" s="25"/>
      <c r="X8177" s="25"/>
      <c r="Y8177" s="25"/>
      <c r="Z8177" s="25"/>
      <c r="AA8177" s="25"/>
    </row>
    <row r="8178" spans="1:27" x14ac:dyDescent="0.35">
      <c r="A8178" s="5">
        <v>8174</v>
      </c>
      <c r="B8178" s="5">
        <v>341</v>
      </c>
      <c r="C8178" s="5">
        <v>12</v>
      </c>
      <c r="D8178" s="25">
        <v>1.1415000000000001E-4</v>
      </c>
      <c r="E8178" s="25">
        <v>1.0779E-4</v>
      </c>
      <c r="F8178" s="25">
        <v>1.2108E-4</v>
      </c>
      <c r="G8178" s="25">
        <v>1.5881000000000001E-4</v>
      </c>
      <c r="H8178" s="25">
        <v>1.9474999999999999E-4</v>
      </c>
      <c r="I8178" s="9">
        <v>1.3800999999999999E-4</v>
      </c>
      <c r="J8178" s="9">
        <v>1.4348E-4</v>
      </c>
      <c r="K8178" s="9">
        <v>1.3988E-4</v>
      </c>
      <c r="L8178" s="9">
        <v>1.6514000000000001E-4</v>
      </c>
      <c r="M8178" s="9">
        <v>1.7023E-4</v>
      </c>
      <c r="N8178" s="9">
        <v>1.7047000000000001E-4</v>
      </c>
      <c r="O8178" s="9">
        <v>1.8077999999999999E-4</v>
      </c>
      <c r="P8178" s="9">
        <v>1.6974000000000001E-4</v>
      </c>
      <c r="Q8178" s="9">
        <v>1.6166999999999999E-4</v>
      </c>
      <c r="R8178" s="10">
        <v>1.1814944348824679E-4</v>
      </c>
      <c r="S8178" s="10">
        <v>1.5976565553601569E-4</v>
      </c>
      <c r="T8178" s="10">
        <v>9.8078500487647492E-5</v>
      </c>
      <c r="U8178" s="10">
        <v>1.1394E-4</v>
      </c>
      <c r="V8178" s="25"/>
      <c r="W8178" s="25"/>
      <c r="X8178" s="25"/>
      <c r="Y8178" s="25"/>
      <c r="Z8178" s="25"/>
      <c r="AA8178" s="25"/>
    </row>
    <row r="8179" spans="1:27" x14ac:dyDescent="0.35">
      <c r="A8179" s="5">
        <v>8175</v>
      </c>
      <c r="B8179" s="5">
        <v>341</v>
      </c>
      <c r="C8179" s="5">
        <v>12</v>
      </c>
      <c r="D8179" s="25">
        <v>1.1416E-4</v>
      </c>
      <c r="E8179" s="25">
        <v>1.13E-4</v>
      </c>
      <c r="F8179" s="25">
        <v>1.4038000000000001E-4</v>
      </c>
      <c r="G8179" s="25">
        <v>1.6569999999999999E-4</v>
      </c>
      <c r="H8179" s="25">
        <v>1.9179000000000001E-4</v>
      </c>
      <c r="I8179" s="9">
        <v>1.3646E-4</v>
      </c>
      <c r="J8179" s="9">
        <v>1.4396E-4</v>
      </c>
      <c r="K8179" s="9">
        <v>1.5472000000000001E-4</v>
      </c>
      <c r="L8179" s="9">
        <v>1.7751999999999999E-4</v>
      </c>
      <c r="M8179" s="9">
        <v>1.6904999999999999E-4</v>
      </c>
      <c r="N8179" s="9">
        <v>1.7023E-4</v>
      </c>
      <c r="O8179" s="9">
        <v>1.8557E-4</v>
      </c>
      <c r="P8179" s="9">
        <v>1.6765000000000001E-4</v>
      </c>
      <c r="Q8179" s="9">
        <v>1.5291E-4</v>
      </c>
      <c r="R8179" s="10">
        <v>9.6894540955528362E-5</v>
      </c>
      <c r="S8179" s="10">
        <v>1.7165416329161887E-4</v>
      </c>
      <c r="T8179" s="10">
        <v>5.7506580995265984E-5</v>
      </c>
      <c r="U8179" s="10">
        <v>1.1394E-4</v>
      </c>
      <c r="V8179" s="25"/>
      <c r="W8179" s="25"/>
      <c r="X8179" s="25"/>
      <c r="Y8179" s="25"/>
      <c r="Z8179" s="25"/>
      <c r="AA8179" s="25"/>
    </row>
    <row r="8180" spans="1:27" x14ac:dyDescent="0.35">
      <c r="A8180" s="5">
        <v>8176</v>
      </c>
      <c r="B8180" s="5">
        <v>341</v>
      </c>
      <c r="C8180" s="5">
        <v>12</v>
      </c>
      <c r="D8180" s="25">
        <v>1.1415000000000001E-4</v>
      </c>
      <c r="E8180" s="25">
        <v>1.0823E-4</v>
      </c>
      <c r="F8180" s="25">
        <v>1.348E-4</v>
      </c>
      <c r="G8180" s="25">
        <v>1.6651E-4</v>
      </c>
      <c r="H8180" s="25">
        <v>1.9474E-4</v>
      </c>
      <c r="I8180" s="9">
        <v>1.3819E-4</v>
      </c>
      <c r="J8180" s="9">
        <v>1.4571000000000001E-4</v>
      </c>
      <c r="K8180" s="9">
        <v>1.6531E-4</v>
      </c>
      <c r="L8180" s="9">
        <v>1.8348E-4</v>
      </c>
      <c r="M8180" s="9">
        <v>1.6830999999999999E-4</v>
      </c>
      <c r="N8180" s="9">
        <v>1.6648999999999999E-4</v>
      </c>
      <c r="O8180" s="9">
        <v>2.0069E-4</v>
      </c>
      <c r="P8180" s="9">
        <v>1.5369E-4</v>
      </c>
      <c r="Q8180" s="9">
        <v>1.1065000000000001E-4</v>
      </c>
      <c r="R8180" s="10">
        <v>7.9745520965567631E-5</v>
      </c>
      <c r="S8180" s="10">
        <v>1.7037320755045783E-4</v>
      </c>
      <c r="T8180" s="10">
        <v>0</v>
      </c>
      <c r="U8180" s="10">
        <v>1.1394E-4</v>
      </c>
      <c r="V8180" s="25"/>
      <c r="W8180" s="25"/>
      <c r="X8180" s="25"/>
      <c r="Y8180" s="25"/>
      <c r="Z8180" s="25"/>
      <c r="AA8180" s="25"/>
    </row>
    <row r="8181" spans="1:27" x14ac:dyDescent="0.35">
      <c r="A8181" s="5">
        <v>8177</v>
      </c>
      <c r="B8181" s="5">
        <v>341</v>
      </c>
      <c r="C8181" s="5">
        <v>12</v>
      </c>
      <c r="D8181" s="25">
        <v>1.1416E-4</v>
      </c>
      <c r="E8181" s="25">
        <v>1.1462E-4</v>
      </c>
      <c r="F8181" s="25">
        <v>1.2988999999999999E-4</v>
      </c>
      <c r="G8181" s="25">
        <v>1.652E-4</v>
      </c>
      <c r="H8181" s="25">
        <v>1.9728000000000001E-4</v>
      </c>
      <c r="I8181" s="9">
        <v>1.4237000000000001E-4</v>
      </c>
      <c r="J8181" s="9">
        <v>1.5129E-4</v>
      </c>
      <c r="K8181" s="9">
        <v>1.7589999999999999E-4</v>
      </c>
      <c r="L8181" s="9">
        <v>1.9667999999999999E-4</v>
      </c>
      <c r="M8181" s="9">
        <v>1.6296E-4</v>
      </c>
      <c r="N8181" s="9">
        <v>1.5297999999999999E-4</v>
      </c>
      <c r="O8181" s="9">
        <v>2.1656E-4</v>
      </c>
      <c r="P8181" s="9">
        <v>1.5980000000000001E-4</v>
      </c>
      <c r="Q8181" s="9">
        <v>1.0747999999999999E-4</v>
      </c>
      <c r="R8181" s="10">
        <v>8.571835666560705E-5</v>
      </c>
      <c r="S8181" s="10">
        <v>1.6946598629938647E-4</v>
      </c>
      <c r="T8181" s="10">
        <v>0</v>
      </c>
      <c r="U8181" s="10">
        <v>1.1394E-4</v>
      </c>
      <c r="V8181" s="25"/>
      <c r="W8181" s="25"/>
      <c r="X8181" s="25"/>
      <c r="Y8181" s="25"/>
      <c r="Z8181" s="25"/>
      <c r="AA8181" s="25"/>
    </row>
    <row r="8182" spans="1:27" x14ac:dyDescent="0.35">
      <c r="A8182" s="5">
        <v>8178</v>
      </c>
      <c r="B8182" s="5">
        <v>341</v>
      </c>
      <c r="C8182" s="5">
        <v>12</v>
      </c>
      <c r="D8182" s="25">
        <v>1.1415000000000001E-4</v>
      </c>
      <c r="E8182" s="25">
        <v>1.1688000000000001E-4</v>
      </c>
      <c r="F8182" s="25">
        <v>1.3489E-4</v>
      </c>
      <c r="G8182" s="25">
        <v>1.5956E-4</v>
      </c>
      <c r="H8182" s="25">
        <v>1.9541E-4</v>
      </c>
      <c r="I8182" s="9">
        <v>1.5121000000000001E-4</v>
      </c>
      <c r="J8182" s="9">
        <v>1.5835E-4</v>
      </c>
      <c r="K8182" s="9">
        <v>2.0133999999999999E-4</v>
      </c>
      <c r="L8182" s="9">
        <v>2.1191E-4</v>
      </c>
      <c r="M8182" s="9">
        <v>1.6034E-4</v>
      </c>
      <c r="N8182" s="9">
        <v>1.3962999999999999E-4</v>
      </c>
      <c r="O8182" s="9">
        <v>2.0649000000000001E-4</v>
      </c>
      <c r="P8182" s="9">
        <v>1.5983999999999999E-4</v>
      </c>
      <c r="Q8182" s="9">
        <v>1.1726999999999999E-4</v>
      </c>
      <c r="R8182" s="10">
        <v>1.1363048385701306E-4</v>
      </c>
      <c r="S8182" s="10">
        <v>1.6985465707729147E-4</v>
      </c>
      <c r="T8182" s="10">
        <v>0</v>
      </c>
      <c r="U8182" s="10">
        <v>1.1394E-4</v>
      </c>
      <c r="V8182" s="25"/>
      <c r="W8182" s="25"/>
      <c r="X8182" s="25"/>
      <c r="Y8182" s="25"/>
      <c r="Z8182" s="25"/>
      <c r="AA8182" s="25"/>
    </row>
    <row r="8183" spans="1:27" x14ac:dyDescent="0.35">
      <c r="A8183" s="5">
        <v>8179</v>
      </c>
      <c r="B8183" s="5">
        <v>341</v>
      </c>
      <c r="C8183" s="5">
        <v>12</v>
      </c>
      <c r="D8183" s="25">
        <v>1.1416E-4</v>
      </c>
      <c r="E8183" s="25">
        <v>1.1268999999999999E-4</v>
      </c>
      <c r="F8183" s="25">
        <v>1.1894E-4</v>
      </c>
      <c r="G8183" s="25">
        <v>1.0806000000000001E-4</v>
      </c>
      <c r="H8183" s="25">
        <v>1.3504000000000001E-4</v>
      </c>
      <c r="I8183" s="9">
        <v>1.5082999999999999E-4</v>
      </c>
      <c r="J8183" s="9">
        <v>1.5218E-4</v>
      </c>
      <c r="K8183" s="9">
        <v>2.1405E-4</v>
      </c>
      <c r="L8183" s="9">
        <v>2.0729E-4</v>
      </c>
      <c r="M8183" s="9">
        <v>1.5961999999999999E-4</v>
      </c>
      <c r="N8183" s="9">
        <v>1.3038000000000001E-4</v>
      </c>
      <c r="O8183" s="9">
        <v>1.6718000000000001E-4</v>
      </c>
      <c r="P8183" s="9">
        <v>1.361E-4</v>
      </c>
      <c r="Q8183" s="9">
        <v>1.0802E-4</v>
      </c>
      <c r="R8183" s="10">
        <v>1.5364122371775199E-4</v>
      </c>
      <c r="S8183" s="10">
        <v>1.7298229140460215E-4</v>
      </c>
      <c r="T8183" s="10">
        <v>0</v>
      </c>
      <c r="U8183" s="10">
        <v>1.1394E-4</v>
      </c>
      <c r="V8183" s="25"/>
      <c r="W8183" s="25"/>
      <c r="X8183" s="25"/>
      <c r="Y8183" s="25"/>
      <c r="Z8183" s="25"/>
      <c r="AA8183" s="25"/>
    </row>
    <row r="8184" spans="1:27" x14ac:dyDescent="0.35">
      <c r="A8184" s="5">
        <v>8180</v>
      </c>
      <c r="B8184" s="5">
        <v>341</v>
      </c>
      <c r="C8184" s="5">
        <v>12</v>
      </c>
      <c r="D8184" s="25">
        <v>1.1415000000000001E-4</v>
      </c>
      <c r="E8184" s="25">
        <v>1.1095999999999999E-4</v>
      </c>
      <c r="F8184" s="25">
        <v>1.2024E-4</v>
      </c>
      <c r="G8184" s="25">
        <v>1.0485E-4</v>
      </c>
      <c r="H8184" s="25">
        <v>1.2632999999999999E-4</v>
      </c>
      <c r="I8184" s="9">
        <v>1.4498000000000001E-4</v>
      </c>
      <c r="J8184" s="9">
        <v>1.4698000000000001E-4</v>
      </c>
      <c r="K8184" s="9">
        <v>1.9498000000000001E-4</v>
      </c>
      <c r="L8184" s="9">
        <v>1.7621E-4</v>
      </c>
      <c r="M8184" s="9">
        <v>1.5113E-4</v>
      </c>
      <c r="N8184" s="9">
        <v>1.2136E-4</v>
      </c>
      <c r="O8184" s="9">
        <v>1.3082999999999999E-4</v>
      </c>
      <c r="P8184" s="9">
        <v>1.1578000000000001E-4</v>
      </c>
      <c r="Q8184" s="9">
        <v>1.027E-4</v>
      </c>
      <c r="R8184" s="10">
        <v>1.8042665992964503E-4</v>
      </c>
      <c r="S8184" s="10">
        <v>1.7494906155816743E-4</v>
      </c>
      <c r="T8184" s="10">
        <v>0</v>
      </c>
      <c r="U8184" s="10">
        <v>1.1394E-4</v>
      </c>
      <c r="V8184" s="25"/>
      <c r="W8184" s="25"/>
      <c r="X8184" s="25"/>
      <c r="Y8184" s="25"/>
      <c r="Z8184" s="25"/>
      <c r="AA8184" s="25"/>
    </row>
    <row r="8185" spans="1:27" x14ac:dyDescent="0.35">
      <c r="A8185" s="5">
        <v>8181</v>
      </c>
      <c r="B8185" s="5">
        <v>341</v>
      </c>
      <c r="C8185" s="5">
        <v>12</v>
      </c>
      <c r="D8185" s="25">
        <v>1.1416E-4</v>
      </c>
      <c r="E8185" s="25">
        <v>1.1559E-4</v>
      </c>
      <c r="F8185" s="25">
        <v>1.3328E-4</v>
      </c>
      <c r="G8185" s="25">
        <v>5.38E-5</v>
      </c>
      <c r="H8185" s="25">
        <v>6.6630000000000004E-5</v>
      </c>
      <c r="I8185" s="9">
        <v>1.3799999999999999E-4</v>
      </c>
      <c r="J8185" s="9">
        <v>1.4025999999999999E-4</v>
      </c>
      <c r="K8185" s="9">
        <v>1.9709999999999999E-4</v>
      </c>
      <c r="L8185" s="9">
        <v>1.4177999999999999E-4</v>
      </c>
      <c r="M8185" s="9">
        <v>1.3603000000000001E-4</v>
      </c>
      <c r="N8185" s="9">
        <v>1.1374000000000001E-4</v>
      </c>
      <c r="O8185" s="9">
        <v>8.5039999999999999E-5</v>
      </c>
      <c r="P8185" s="9">
        <v>8.6269999999999999E-5</v>
      </c>
      <c r="Q8185" s="9">
        <v>8.8259999999999999E-5</v>
      </c>
      <c r="R8185" s="10">
        <v>1.9423262275676821E-4</v>
      </c>
      <c r="S8185" s="10">
        <v>1.7666318350781292E-4</v>
      </c>
      <c r="T8185" s="10">
        <v>0</v>
      </c>
      <c r="U8185" s="10">
        <v>1.1394E-4</v>
      </c>
      <c r="V8185" s="25"/>
      <c r="W8185" s="25"/>
      <c r="X8185" s="25"/>
      <c r="Y8185" s="25"/>
      <c r="Z8185" s="25"/>
      <c r="AA8185" s="25"/>
    </row>
    <row r="8186" spans="1:27" x14ac:dyDescent="0.35">
      <c r="A8186" s="5">
        <v>8182</v>
      </c>
      <c r="B8186" s="5">
        <v>341</v>
      </c>
      <c r="C8186" s="5">
        <v>12</v>
      </c>
      <c r="D8186" s="25">
        <v>1.1415000000000001E-4</v>
      </c>
      <c r="E8186" s="25">
        <v>1.1401E-4</v>
      </c>
      <c r="F8186" s="25">
        <v>1.3629000000000001E-4</v>
      </c>
      <c r="G8186" s="25">
        <v>6.3269999999999996E-5</v>
      </c>
      <c r="H8186" s="25">
        <v>7.4389999999999998E-5</v>
      </c>
      <c r="I8186" s="9">
        <v>1.3014999999999999E-4</v>
      </c>
      <c r="J8186" s="9">
        <v>1.3236000000000001E-4</v>
      </c>
      <c r="K8186" s="9">
        <v>2.0346000000000001E-4</v>
      </c>
      <c r="L8186" s="9">
        <v>9.8449999999999994E-5</v>
      </c>
      <c r="M8186" s="9">
        <v>1.1424E-4</v>
      </c>
      <c r="N8186" s="9">
        <v>1.0602E-4</v>
      </c>
      <c r="O8186" s="9">
        <v>8.7360000000000004E-5</v>
      </c>
      <c r="P8186" s="9">
        <v>8.7159999999999999E-5</v>
      </c>
      <c r="Q8186" s="9">
        <v>8.7800000000000006E-5</v>
      </c>
      <c r="R8186" s="10">
        <v>2.0102030869961993E-4</v>
      </c>
      <c r="S8186" s="10">
        <v>1.792266995597337E-4</v>
      </c>
      <c r="T8186" s="10">
        <v>0</v>
      </c>
      <c r="U8186" s="10">
        <v>1.1394E-4</v>
      </c>
      <c r="V8186" s="25"/>
      <c r="W8186" s="25"/>
      <c r="X8186" s="25"/>
      <c r="Y8186" s="25"/>
      <c r="Z8186" s="25"/>
      <c r="AA8186" s="25"/>
    </row>
    <row r="8187" spans="1:27" x14ac:dyDescent="0.35">
      <c r="A8187" s="5">
        <v>8183</v>
      </c>
      <c r="B8187" s="5">
        <v>341</v>
      </c>
      <c r="C8187" s="5">
        <v>12</v>
      </c>
      <c r="D8187" s="25">
        <v>1.1416E-4</v>
      </c>
      <c r="E8187" s="25">
        <v>1.1697E-4</v>
      </c>
      <c r="F8187" s="25">
        <v>1.2474E-4</v>
      </c>
      <c r="G8187" s="25">
        <v>5.3090000000000002E-5</v>
      </c>
      <c r="H8187" s="25">
        <v>7.3319999999999996E-5</v>
      </c>
      <c r="I8187" s="9">
        <v>1.3176E-4</v>
      </c>
      <c r="J8187" s="9">
        <v>1.2242000000000001E-4</v>
      </c>
      <c r="K8187" s="9">
        <v>2.3948E-4</v>
      </c>
      <c r="L8187" s="9">
        <v>9.0790000000000003E-5</v>
      </c>
      <c r="M8187" s="9">
        <v>9.912E-5</v>
      </c>
      <c r="N8187" s="9">
        <v>1.0001999999999999E-4</v>
      </c>
      <c r="O8187" s="9">
        <v>7.8419999999999998E-5</v>
      </c>
      <c r="P8187" s="9">
        <v>7.2410000000000006E-5</v>
      </c>
      <c r="Q8187" s="9">
        <v>6.7139999999999998E-5</v>
      </c>
      <c r="R8187" s="10">
        <v>2.0266179244684347E-4</v>
      </c>
      <c r="S8187" s="10">
        <v>1.8307117134896625E-4</v>
      </c>
      <c r="T8187" s="10">
        <v>0</v>
      </c>
      <c r="U8187" s="10">
        <v>1.1394E-4</v>
      </c>
      <c r="V8187" s="25"/>
      <c r="W8187" s="25"/>
      <c r="X8187" s="25"/>
      <c r="Y8187" s="25"/>
      <c r="Z8187" s="25"/>
      <c r="AA8187" s="25"/>
    </row>
    <row r="8188" spans="1:27" x14ac:dyDescent="0.35">
      <c r="A8188" s="5">
        <v>8184</v>
      </c>
      <c r="B8188" s="5">
        <v>341</v>
      </c>
      <c r="C8188" s="5">
        <v>12</v>
      </c>
      <c r="D8188" s="25">
        <v>1.1415000000000001E-4</v>
      </c>
      <c r="E8188" s="25">
        <v>1.1569999999999999E-4</v>
      </c>
      <c r="F8188" s="25">
        <v>1.3857999999999999E-4</v>
      </c>
      <c r="G8188" s="25">
        <v>5.91E-5</v>
      </c>
      <c r="H8188" s="25">
        <v>7.4220000000000004E-5</v>
      </c>
      <c r="I8188" s="9">
        <v>1.3046999999999999E-4</v>
      </c>
      <c r="J8188" s="9">
        <v>1.138E-4</v>
      </c>
      <c r="K8188" s="9">
        <v>2.3737000000000001E-4</v>
      </c>
      <c r="L8188" s="9">
        <v>8.1139999999999999E-5</v>
      </c>
      <c r="M8188" s="9">
        <v>8.6160000000000002E-5</v>
      </c>
      <c r="N8188" s="9">
        <v>9.0740000000000002E-5</v>
      </c>
      <c r="O8188" s="9">
        <v>6.3280000000000004E-5</v>
      </c>
      <c r="P8188" s="9">
        <v>6.109E-5</v>
      </c>
      <c r="Q8188" s="9">
        <v>5.9259999999999998E-5</v>
      </c>
      <c r="R8188" s="10">
        <v>2.0649802472084893E-4</v>
      </c>
      <c r="S8188" s="10">
        <v>1.8958626778383192E-4</v>
      </c>
      <c r="T8188" s="10">
        <v>0</v>
      </c>
      <c r="U8188" s="10">
        <v>1.1394E-4</v>
      </c>
      <c r="V8188" s="25"/>
      <c r="W8188" s="25"/>
      <c r="X8188" s="25"/>
      <c r="Y8188" s="25"/>
      <c r="Z8188" s="25"/>
      <c r="AA8188" s="25"/>
    </row>
    <row r="8189" spans="1:27" x14ac:dyDescent="0.35">
      <c r="A8189" s="5">
        <v>8185</v>
      </c>
      <c r="B8189" s="5">
        <v>342</v>
      </c>
      <c r="C8189" s="5">
        <v>12</v>
      </c>
      <c r="D8189" s="25">
        <v>1.1416E-4</v>
      </c>
      <c r="E8189" s="25">
        <v>1.1811000000000001E-4</v>
      </c>
      <c r="F8189" s="25">
        <v>9.6539999999999994E-5</v>
      </c>
      <c r="G8189" s="25">
        <v>6.3280000000000004E-5</v>
      </c>
      <c r="H8189" s="25">
        <v>3.9820000000000002E-5</v>
      </c>
      <c r="I8189" s="9">
        <v>1.2286E-4</v>
      </c>
      <c r="J8189" s="9">
        <v>1.0658999999999999E-4</v>
      </c>
      <c r="K8189" s="9">
        <v>2.4159999999999999E-4</v>
      </c>
      <c r="L8189" s="9">
        <v>6.7189999999999999E-5</v>
      </c>
      <c r="M8189" s="9">
        <v>7.4179999999999998E-5</v>
      </c>
      <c r="N8189" s="9">
        <v>8.1340000000000004E-5</v>
      </c>
      <c r="O8189" s="9">
        <v>6.8059999999999996E-5</v>
      </c>
      <c r="P8189" s="9">
        <v>6.0590000000000001E-5</v>
      </c>
      <c r="Q8189" s="9">
        <v>5.3440000000000003E-5</v>
      </c>
      <c r="R8189" s="10">
        <v>2.0458206530180316E-4</v>
      </c>
      <c r="S8189" s="10">
        <v>1.9013526360190652E-4</v>
      </c>
      <c r="T8189" s="10">
        <v>0</v>
      </c>
      <c r="U8189" s="10">
        <v>1.1533E-4</v>
      </c>
      <c r="V8189" s="25"/>
      <c r="W8189" s="25"/>
      <c r="X8189" s="25"/>
      <c r="Y8189" s="25"/>
      <c r="Z8189" s="25"/>
      <c r="AA8189" s="25"/>
    </row>
    <row r="8190" spans="1:27" x14ac:dyDescent="0.35">
      <c r="A8190" s="5">
        <v>8186</v>
      </c>
      <c r="B8190" s="5">
        <v>342</v>
      </c>
      <c r="C8190" s="5">
        <v>12</v>
      </c>
      <c r="D8190" s="25">
        <v>1.1415000000000001E-4</v>
      </c>
      <c r="E8190" s="25">
        <v>1.178E-4</v>
      </c>
      <c r="F8190" s="25">
        <v>9.2990000000000002E-5</v>
      </c>
      <c r="G8190" s="25">
        <v>6.0269999999999997E-5</v>
      </c>
      <c r="H8190" s="25">
        <v>4.4780000000000002E-5</v>
      </c>
      <c r="I8190" s="9">
        <v>1.1737E-4</v>
      </c>
      <c r="J8190" s="9">
        <v>1.0204000000000001E-4</v>
      </c>
      <c r="K8190" s="9">
        <v>2.522E-4</v>
      </c>
      <c r="L8190" s="9">
        <v>6.8239999999999997E-5</v>
      </c>
      <c r="M8190" s="9">
        <v>6.6450000000000002E-5</v>
      </c>
      <c r="N8190" s="9">
        <v>7.2169999999999995E-5</v>
      </c>
      <c r="O8190" s="9">
        <v>3.455E-5</v>
      </c>
      <c r="P8190" s="9">
        <v>4.549E-5</v>
      </c>
      <c r="Q8190" s="9">
        <v>5.575E-5</v>
      </c>
      <c r="R8190" s="10">
        <v>2.0396190581823792E-4</v>
      </c>
      <c r="S8190" s="10">
        <v>1.9022124860418812E-4</v>
      </c>
      <c r="T8190" s="10">
        <v>0</v>
      </c>
      <c r="U8190" s="10">
        <v>1.1533E-4</v>
      </c>
      <c r="V8190" s="25"/>
      <c r="W8190" s="25"/>
      <c r="X8190" s="25"/>
      <c r="Y8190" s="25"/>
      <c r="Z8190" s="25"/>
      <c r="AA8190" s="25"/>
    </row>
    <row r="8191" spans="1:27" x14ac:dyDescent="0.35">
      <c r="A8191" s="5">
        <v>8187</v>
      </c>
      <c r="B8191" s="5">
        <v>342</v>
      </c>
      <c r="C8191" s="5">
        <v>12</v>
      </c>
      <c r="D8191" s="25">
        <v>1.1416E-4</v>
      </c>
      <c r="E8191" s="25">
        <v>1.1017E-4</v>
      </c>
      <c r="F8191" s="25">
        <v>8.619E-5</v>
      </c>
      <c r="G8191" s="25">
        <v>5.8E-5</v>
      </c>
      <c r="H8191" s="25">
        <v>4.0460000000000002E-5</v>
      </c>
      <c r="I8191" s="9">
        <v>1.1353000000000001E-4</v>
      </c>
      <c r="J8191" s="9">
        <v>9.9309999999999996E-5</v>
      </c>
      <c r="K8191" s="9">
        <v>2.5856000000000002E-4</v>
      </c>
      <c r="L8191" s="9">
        <v>4.189E-5</v>
      </c>
      <c r="M8191" s="9">
        <v>5.7250000000000002E-5</v>
      </c>
      <c r="N8191" s="9">
        <v>6.5480000000000003E-5</v>
      </c>
      <c r="O8191" s="9">
        <v>2.162E-5</v>
      </c>
      <c r="P8191" s="9">
        <v>4.2339999999999998E-5</v>
      </c>
      <c r="Q8191" s="9">
        <v>6.1940000000000007E-5</v>
      </c>
      <c r="R8191" s="10">
        <v>2.061280979594038E-4</v>
      </c>
      <c r="S8191" s="10">
        <v>1.902653886384305E-4</v>
      </c>
      <c r="T8191" s="10">
        <v>0</v>
      </c>
      <c r="U8191" s="10">
        <v>1.1533E-4</v>
      </c>
      <c r="V8191" s="25"/>
      <c r="W8191" s="25"/>
      <c r="X8191" s="25"/>
      <c r="Y8191" s="25"/>
      <c r="Z8191" s="25"/>
      <c r="AA8191" s="25"/>
    </row>
    <row r="8192" spans="1:27" x14ac:dyDescent="0.35">
      <c r="A8192" s="5">
        <v>8188</v>
      </c>
      <c r="B8192" s="5">
        <v>342</v>
      </c>
      <c r="C8192" s="5">
        <v>12</v>
      </c>
      <c r="D8192" s="25">
        <v>1.1415000000000001E-4</v>
      </c>
      <c r="E8192" s="25">
        <v>1.1268E-4</v>
      </c>
      <c r="F8192" s="25">
        <v>9.3369999999999995E-5</v>
      </c>
      <c r="G8192" s="25">
        <v>6.1110000000000003E-5</v>
      </c>
      <c r="H8192" s="25">
        <v>4.4820000000000001E-5</v>
      </c>
      <c r="I8192" s="9">
        <v>1.114E-4</v>
      </c>
      <c r="J8192" s="9">
        <v>9.8280000000000001E-5</v>
      </c>
      <c r="K8192" s="9">
        <v>2.5856000000000002E-4</v>
      </c>
      <c r="L8192" s="9">
        <v>2.6720000000000002E-5</v>
      </c>
      <c r="M8192" s="9">
        <v>4.9700000000000002E-5</v>
      </c>
      <c r="N8192" s="9">
        <v>6.1970000000000005E-5</v>
      </c>
      <c r="O8192" s="9">
        <v>2.0809999999999999E-5</v>
      </c>
      <c r="P8192" s="9">
        <v>5.096E-5</v>
      </c>
      <c r="Q8192" s="9">
        <v>7.983E-5</v>
      </c>
      <c r="R8192" s="10">
        <v>2.0781054426870839E-4</v>
      </c>
      <c r="S8192" s="10">
        <v>1.9027279652589332E-4</v>
      </c>
      <c r="T8192" s="10">
        <v>0</v>
      </c>
      <c r="U8192" s="10">
        <v>1.1533E-4</v>
      </c>
      <c r="V8192" s="25"/>
      <c r="W8192" s="25"/>
      <c r="X8192" s="25"/>
      <c r="Y8192" s="25"/>
      <c r="Z8192" s="25"/>
      <c r="AA8192" s="25"/>
    </row>
    <row r="8193" spans="1:27" x14ac:dyDescent="0.35">
      <c r="A8193" s="5">
        <v>8189</v>
      </c>
      <c r="B8193" s="5">
        <v>342</v>
      </c>
      <c r="C8193" s="5">
        <v>12</v>
      </c>
      <c r="D8193" s="25">
        <v>1.1416E-4</v>
      </c>
      <c r="E8193" s="25">
        <v>1.1764000000000001E-4</v>
      </c>
      <c r="F8193" s="25">
        <v>1.0587E-4</v>
      </c>
      <c r="G8193" s="25">
        <v>5.9209999999999997E-5</v>
      </c>
      <c r="H8193" s="25">
        <v>4.4849999999999999E-5</v>
      </c>
      <c r="I8193" s="9">
        <v>1.1153E-4</v>
      </c>
      <c r="J8193" s="9">
        <v>9.9099999999999996E-5</v>
      </c>
      <c r="K8193" s="9">
        <v>2.522E-4</v>
      </c>
      <c r="L8193" s="9">
        <v>2.2569999999999999E-5</v>
      </c>
      <c r="M8193" s="9">
        <v>4.8369999999999999E-5</v>
      </c>
      <c r="N8193" s="9">
        <v>6.4369999999999995E-5</v>
      </c>
      <c r="O8193" s="9">
        <v>2.3050000000000001E-5</v>
      </c>
      <c r="P8193" s="9">
        <v>5.9389999999999999E-5</v>
      </c>
      <c r="Q8193" s="9">
        <v>9.4389999999999996E-5</v>
      </c>
      <c r="R8193" s="10">
        <v>2.1051269186254666E-4</v>
      </c>
      <c r="S8193" s="10">
        <v>1.9027713542585763E-4</v>
      </c>
      <c r="T8193" s="10">
        <v>0</v>
      </c>
      <c r="U8193" s="10">
        <v>1.1533E-4</v>
      </c>
      <c r="V8193" s="25"/>
      <c r="W8193" s="25"/>
      <c r="X8193" s="25"/>
      <c r="Y8193" s="25"/>
      <c r="Z8193" s="25"/>
      <c r="AA8193" s="25"/>
    </row>
    <row r="8194" spans="1:27" x14ac:dyDescent="0.35">
      <c r="A8194" s="5">
        <v>8190</v>
      </c>
      <c r="B8194" s="5">
        <v>342</v>
      </c>
      <c r="C8194" s="5">
        <v>12</v>
      </c>
      <c r="D8194" s="25">
        <v>1.1415000000000001E-4</v>
      </c>
      <c r="E8194" s="25">
        <v>1.1161E-4</v>
      </c>
      <c r="F8194" s="25">
        <v>1.0095E-4</v>
      </c>
      <c r="G8194" s="25">
        <v>1.0558E-4</v>
      </c>
      <c r="H8194" s="25">
        <v>7.695E-5</v>
      </c>
      <c r="I8194" s="9">
        <v>1.1799E-4</v>
      </c>
      <c r="J8194" s="9">
        <v>1.0325E-4</v>
      </c>
      <c r="K8194" s="9">
        <v>2.4795999999999998E-4</v>
      </c>
      <c r="L8194" s="9">
        <v>2.2880000000000001E-5</v>
      </c>
      <c r="M8194" s="9">
        <v>5.2309999999999999E-5</v>
      </c>
      <c r="N8194" s="9">
        <v>7.1080000000000004E-5</v>
      </c>
      <c r="O8194" s="9">
        <v>2.9450000000000001E-5</v>
      </c>
      <c r="P8194" s="9">
        <v>6.9209999999999996E-5</v>
      </c>
      <c r="Q8194" s="9">
        <v>1.0771E-4</v>
      </c>
      <c r="R8194" s="10">
        <v>2.1109790199922628E-4</v>
      </c>
      <c r="S8194" s="10">
        <v>1.9028121084126401E-4</v>
      </c>
      <c r="T8194" s="10">
        <v>0</v>
      </c>
      <c r="U8194" s="10">
        <v>1.1533E-4</v>
      </c>
      <c r="V8194" s="25"/>
      <c r="W8194" s="25"/>
      <c r="X8194" s="25"/>
      <c r="Y8194" s="25"/>
      <c r="Z8194" s="25"/>
      <c r="AA8194" s="25"/>
    </row>
    <row r="8195" spans="1:27" x14ac:dyDescent="0.35">
      <c r="A8195" s="5">
        <v>8191</v>
      </c>
      <c r="B8195" s="5">
        <v>342</v>
      </c>
      <c r="C8195" s="5">
        <v>12</v>
      </c>
      <c r="D8195" s="25">
        <v>1.1416E-4</v>
      </c>
      <c r="E8195" s="25">
        <v>1.1642999999999999E-4</v>
      </c>
      <c r="F8195" s="25">
        <v>8.7239999999999998E-5</v>
      </c>
      <c r="G8195" s="25">
        <v>1.1088E-4</v>
      </c>
      <c r="H8195" s="25">
        <v>7.7119999999999993E-5</v>
      </c>
      <c r="I8195" s="9">
        <v>1.3071E-4</v>
      </c>
      <c r="J8195" s="9">
        <v>1.1569E-4</v>
      </c>
      <c r="K8195" s="9">
        <v>2.4583999999999999E-4</v>
      </c>
      <c r="L8195" s="9">
        <v>2.7900000000000001E-5</v>
      </c>
      <c r="M8195" s="9">
        <v>5.9549999999999997E-5</v>
      </c>
      <c r="N8195" s="9">
        <v>8.0939999999999994E-5</v>
      </c>
      <c r="O8195" s="9">
        <v>4.6329999999999999E-5</v>
      </c>
      <c r="P8195" s="9">
        <v>8.0249999999999999E-5</v>
      </c>
      <c r="Q8195" s="9">
        <v>1.1335E-4</v>
      </c>
      <c r="R8195" s="10">
        <v>2.112051997563889E-4</v>
      </c>
      <c r="S8195" s="10">
        <v>1.9029009191463988E-4</v>
      </c>
      <c r="T8195" s="10">
        <v>0</v>
      </c>
      <c r="U8195" s="10">
        <v>1.1533E-4</v>
      </c>
      <c r="V8195" s="25"/>
      <c r="W8195" s="25"/>
      <c r="X8195" s="25"/>
      <c r="Y8195" s="25"/>
      <c r="Z8195" s="25"/>
      <c r="AA8195" s="25"/>
    </row>
    <row r="8196" spans="1:27" x14ac:dyDescent="0.35">
      <c r="A8196" s="5">
        <v>8192</v>
      </c>
      <c r="B8196" s="5">
        <v>342</v>
      </c>
      <c r="C8196" s="5">
        <v>12</v>
      </c>
      <c r="D8196" s="25">
        <v>1.1415000000000001E-4</v>
      </c>
      <c r="E8196" s="25">
        <v>1.1084E-4</v>
      </c>
      <c r="F8196" s="25">
        <v>1.0424E-4</v>
      </c>
      <c r="G8196" s="25">
        <v>1.6632999999999999E-4</v>
      </c>
      <c r="H8196" s="25">
        <v>1.1947000000000001E-4</v>
      </c>
      <c r="I8196" s="9">
        <v>1.4285E-4</v>
      </c>
      <c r="J8196" s="9">
        <v>1.3552E-4</v>
      </c>
      <c r="K8196" s="9">
        <v>2.5219000000000001E-4</v>
      </c>
      <c r="L8196" s="9">
        <v>4.2120000000000003E-5</v>
      </c>
      <c r="M8196" s="9">
        <v>6.881E-5</v>
      </c>
      <c r="N8196" s="9">
        <v>9.1240000000000001E-5</v>
      </c>
      <c r="O8196" s="9">
        <v>6.8789999999999997E-5</v>
      </c>
      <c r="P8196" s="9">
        <v>1.0344E-4</v>
      </c>
      <c r="Q8196" s="9">
        <v>1.3773999999999999E-4</v>
      </c>
      <c r="R8196" s="10">
        <v>2.1098821125590226E-4</v>
      </c>
      <c r="S8196" s="10">
        <v>1.9029017689339541E-4</v>
      </c>
      <c r="T8196" s="10">
        <v>0</v>
      </c>
      <c r="U8196" s="10">
        <v>1.1533E-4</v>
      </c>
      <c r="V8196" s="25"/>
      <c r="W8196" s="25"/>
      <c r="X8196" s="25"/>
      <c r="Y8196" s="25"/>
      <c r="Z8196" s="25"/>
      <c r="AA8196" s="25"/>
    </row>
    <row r="8197" spans="1:27" x14ac:dyDescent="0.35">
      <c r="A8197" s="5">
        <v>8193</v>
      </c>
      <c r="B8197" s="5">
        <v>342</v>
      </c>
      <c r="C8197" s="5">
        <v>12</v>
      </c>
      <c r="D8197" s="25">
        <v>1.1416E-4</v>
      </c>
      <c r="E8197" s="25">
        <v>1.1122E-4</v>
      </c>
      <c r="F8197" s="25">
        <v>1.0018000000000001E-4</v>
      </c>
      <c r="G8197" s="25">
        <v>1.6663E-4</v>
      </c>
      <c r="H8197" s="25">
        <v>1.1606E-4</v>
      </c>
      <c r="I8197" s="9">
        <v>1.4681000000000001E-4</v>
      </c>
      <c r="J8197" s="9">
        <v>1.4719000000000001E-4</v>
      </c>
      <c r="K8197" s="9">
        <v>2.4159999999999999E-4</v>
      </c>
      <c r="L8197" s="9">
        <v>6.2539999999999994E-5</v>
      </c>
      <c r="M8197" s="9">
        <v>8.3570000000000001E-5</v>
      </c>
      <c r="N8197" s="9">
        <v>1.0518000000000001E-4</v>
      </c>
      <c r="O8197" s="9">
        <v>1.0014999999999999E-4</v>
      </c>
      <c r="P8197" s="9">
        <v>1.3828000000000001E-4</v>
      </c>
      <c r="Q8197" s="9">
        <v>1.7668E-4</v>
      </c>
      <c r="R8197" s="10">
        <v>2.1171168878397837E-4</v>
      </c>
      <c r="S8197" s="10">
        <v>1.9029018750799589E-4</v>
      </c>
      <c r="T8197" s="10">
        <v>6.3683150922169734E-5</v>
      </c>
      <c r="U8197" s="10">
        <v>1.1533E-4</v>
      </c>
      <c r="V8197" s="25"/>
      <c r="W8197" s="25"/>
      <c r="X8197" s="25"/>
      <c r="Y8197" s="25"/>
      <c r="Z8197" s="25"/>
      <c r="AA8197" s="25"/>
    </row>
    <row r="8198" spans="1:27" x14ac:dyDescent="0.35">
      <c r="A8198" s="5">
        <v>8194</v>
      </c>
      <c r="B8198" s="5">
        <v>342</v>
      </c>
      <c r="C8198" s="5">
        <v>12</v>
      </c>
      <c r="D8198" s="25">
        <v>1.1415000000000001E-4</v>
      </c>
      <c r="E8198" s="25">
        <v>1.1836E-4</v>
      </c>
      <c r="F8198" s="25">
        <v>9.2800000000000006E-5</v>
      </c>
      <c r="G8198" s="25">
        <v>1.6258000000000001E-4</v>
      </c>
      <c r="H8198" s="25">
        <v>1.2243000000000001E-4</v>
      </c>
      <c r="I8198" s="9">
        <v>1.4632999999999999E-4</v>
      </c>
      <c r="J8198" s="9">
        <v>1.5087999999999999E-4</v>
      </c>
      <c r="K8198" s="9">
        <v>2.5008000000000002E-4</v>
      </c>
      <c r="L8198" s="9">
        <v>9.1340000000000003E-5</v>
      </c>
      <c r="M8198" s="9">
        <v>1.0699E-4</v>
      </c>
      <c r="N8198" s="9">
        <v>1.2510000000000001E-4</v>
      </c>
      <c r="O8198" s="9">
        <v>1.2805E-4</v>
      </c>
      <c r="P8198" s="9">
        <v>1.5360999999999999E-4</v>
      </c>
      <c r="Q8198" s="9">
        <v>1.8024E-4</v>
      </c>
      <c r="R8198" s="10">
        <v>2.1228195019930201E-4</v>
      </c>
      <c r="S8198" s="10">
        <v>1.9029020329575368E-4</v>
      </c>
      <c r="T8198" s="10">
        <v>1.9507101065847674E-4</v>
      </c>
      <c r="U8198" s="10">
        <v>1.1533E-4</v>
      </c>
      <c r="V8198" s="25"/>
      <c r="W8198" s="25"/>
      <c r="X8198" s="25"/>
      <c r="Y8198" s="25"/>
      <c r="Z8198" s="25"/>
      <c r="AA8198" s="25"/>
    </row>
    <row r="8199" spans="1:27" x14ac:dyDescent="0.35">
      <c r="A8199" s="5">
        <v>8195</v>
      </c>
      <c r="B8199" s="5">
        <v>342</v>
      </c>
      <c r="C8199" s="5">
        <v>12</v>
      </c>
      <c r="D8199" s="25">
        <v>1.1416E-4</v>
      </c>
      <c r="E8199" s="25">
        <v>1.1115E-4</v>
      </c>
      <c r="F8199" s="25">
        <v>8.4419999999999995E-5</v>
      </c>
      <c r="G8199" s="25">
        <v>1.6735E-4</v>
      </c>
      <c r="H8199" s="25">
        <v>1.1792E-4</v>
      </c>
      <c r="I8199" s="9">
        <v>1.459E-4</v>
      </c>
      <c r="J8199" s="9">
        <v>1.5137000000000001E-4</v>
      </c>
      <c r="K8199" s="9">
        <v>1.9709999999999999E-4</v>
      </c>
      <c r="L8199" s="9">
        <v>1.1927E-4</v>
      </c>
      <c r="M8199" s="9">
        <v>1.2967999999999999E-4</v>
      </c>
      <c r="N8199" s="9">
        <v>1.4265999999999999E-4</v>
      </c>
      <c r="O8199" s="9">
        <v>1.3666000000000001E-4</v>
      </c>
      <c r="P8199" s="9">
        <v>1.5668999999999999E-4</v>
      </c>
      <c r="Q8199" s="9">
        <v>1.7804999999999999E-4</v>
      </c>
      <c r="R8199" s="10">
        <v>2.1236144690076601E-4</v>
      </c>
      <c r="S8199" s="10">
        <v>1.9029020759484994E-4</v>
      </c>
      <c r="T8199" s="10">
        <v>4.3084120529958712E-4</v>
      </c>
      <c r="U8199" s="10">
        <v>1.1533E-4</v>
      </c>
      <c r="V8199" s="25"/>
      <c r="W8199" s="25"/>
      <c r="X8199" s="25"/>
      <c r="Y8199" s="25"/>
      <c r="Z8199" s="25"/>
      <c r="AA8199" s="25"/>
    </row>
    <row r="8200" spans="1:27" x14ac:dyDescent="0.35">
      <c r="A8200" s="5">
        <v>8196</v>
      </c>
      <c r="B8200" s="5">
        <v>342</v>
      </c>
      <c r="C8200" s="5">
        <v>12</v>
      </c>
      <c r="D8200" s="25">
        <v>1.1415000000000001E-4</v>
      </c>
      <c r="E8200" s="25">
        <v>1.1356E-4</v>
      </c>
      <c r="F8200" s="25">
        <v>8.4480000000000004E-5</v>
      </c>
      <c r="G8200" s="25">
        <v>1.6448999999999999E-4</v>
      </c>
      <c r="H8200" s="25">
        <v>1.1962E-4</v>
      </c>
      <c r="I8200" s="9">
        <v>1.4577000000000001E-4</v>
      </c>
      <c r="J8200" s="9">
        <v>1.5027000000000001E-4</v>
      </c>
      <c r="K8200" s="9">
        <v>1.7589999999999999E-4</v>
      </c>
      <c r="L8200" s="9">
        <v>1.3218E-4</v>
      </c>
      <c r="M8200" s="9">
        <v>1.4474999999999999E-4</v>
      </c>
      <c r="N8200" s="9">
        <v>1.5631999999999999E-4</v>
      </c>
      <c r="O8200" s="9">
        <v>1.4040999999999999E-4</v>
      </c>
      <c r="P8200" s="9">
        <v>1.5734000000000001E-4</v>
      </c>
      <c r="Q8200" s="9">
        <v>1.7569999999999999E-4</v>
      </c>
      <c r="R8200" s="10">
        <v>2.1114624470385484E-4</v>
      </c>
      <c r="S8200" s="10">
        <v>1.9029018626611592E-4</v>
      </c>
      <c r="T8200" s="10">
        <v>4.4138718939181431E-4</v>
      </c>
      <c r="U8200" s="10">
        <v>1.1533E-4</v>
      </c>
      <c r="V8200" s="25"/>
      <c r="W8200" s="25"/>
      <c r="X8200" s="25"/>
      <c r="Y8200" s="25"/>
      <c r="Z8200" s="25"/>
      <c r="AA8200" s="25"/>
    </row>
    <row r="8201" spans="1:27" x14ac:dyDescent="0.35">
      <c r="A8201" s="5">
        <v>8197</v>
      </c>
      <c r="B8201" s="5">
        <v>342</v>
      </c>
      <c r="C8201" s="5">
        <v>12</v>
      </c>
      <c r="D8201" s="25">
        <v>1.1416E-4</v>
      </c>
      <c r="E8201" s="25">
        <v>1.1875E-4</v>
      </c>
      <c r="F8201" s="25">
        <v>1.0355E-4</v>
      </c>
      <c r="G8201" s="25">
        <v>1.6621999999999999E-4</v>
      </c>
      <c r="H8201" s="25">
        <v>1.2336000000000001E-4</v>
      </c>
      <c r="I8201" s="9">
        <v>1.4194000000000001E-4</v>
      </c>
      <c r="J8201" s="9">
        <v>1.4777E-4</v>
      </c>
      <c r="K8201" s="9">
        <v>1.7166999999999999E-4</v>
      </c>
      <c r="L8201" s="9">
        <v>1.3841999999999999E-4</v>
      </c>
      <c r="M8201" s="9">
        <v>1.5249999999999999E-4</v>
      </c>
      <c r="N8201" s="9">
        <v>1.6605999999999999E-4</v>
      </c>
      <c r="O8201" s="9">
        <v>1.3140999999999999E-4</v>
      </c>
      <c r="P8201" s="9">
        <v>1.4919E-4</v>
      </c>
      <c r="Q8201" s="9">
        <v>1.682E-4</v>
      </c>
      <c r="R8201" s="10">
        <v>2.1131586760401102E-4</v>
      </c>
      <c r="S8201" s="10">
        <v>1.9029018878623992E-4</v>
      </c>
      <c r="T8201" s="10">
        <v>2.0684721815647457E-4</v>
      </c>
      <c r="U8201" s="10">
        <v>1.1533E-4</v>
      </c>
      <c r="V8201" s="25"/>
      <c r="W8201" s="25"/>
      <c r="X8201" s="25"/>
      <c r="Y8201" s="25"/>
      <c r="Z8201" s="25"/>
      <c r="AA8201" s="25"/>
    </row>
    <row r="8202" spans="1:27" x14ac:dyDescent="0.35">
      <c r="A8202" s="5">
        <v>8198</v>
      </c>
      <c r="B8202" s="5">
        <v>342</v>
      </c>
      <c r="C8202" s="5">
        <v>12</v>
      </c>
      <c r="D8202" s="25">
        <v>1.1415000000000001E-4</v>
      </c>
      <c r="E8202" s="25">
        <v>1.1540999999999999E-4</v>
      </c>
      <c r="F8202" s="25">
        <v>9.993E-5</v>
      </c>
      <c r="G8202" s="25">
        <v>1.5846E-4</v>
      </c>
      <c r="H8202" s="25">
        <v>1.2165E-4</v>
      </c>
      <c r="I8202" s="9">
        <v>1.4111000000000001E-4</v>
      </c>
      <c r="J8202" s="9">
        <v>1.4821999999999999E-4</v>
      </c>
      <c r="K8202" s="9">
        <v>1.7803E-4</v>
      </c>
      <c r="L8202" s="9">
        <v>1.3295000000000001E-4</v>
      </c>
      <c r="M8202" s="9">
        <v>1.5286999999999999E-4</v>
      </c>
      <c r="N8202" s="9">
        <v>1.7050999999999999E-4</v>
      </c>
      <c r="O8202" s="9">
        <v>1.1378E-4</v>
      </c>
      <c r="P8202" s="9">
        <v>1.3742E-4</v>
      </c>
      <c r="Q8202" s="9">
        <v>1.6181999999999999E-4</v>
      </c>
      <c r="R8202" s="10">
        <v>2.1132190154281891E-4</v>
      </c>
      <c r="S8202" s="10">
        <v>1.9029019758313748E-4</v>
      </c>
      <c r="T8202" s="10">
        <v>1.3636814345484066E-4</v>
      </c>
      <c r="U8202" s="10">
        <v>1.1533E-4</v>
      </c>
      <c r="V8202" s="25"/>
      <c r="W8202" s="25"/>
      <c r="X8202" s="25"/>
      <c r="Y8202" s="25"/>
      <c r="Z8202" s="25"/>
      <c r="AA8202" s="25"/>
    </row>
    <row r="8203" spans="1:27" x14ac:dyDescent="0.35">
      <c r="A8203" s="5">
        <v>8199</v>
      </c>
      <c r="B8203" s="5">
        <v>342</v>
      </c>
      <c r="C8203" s="5">
        <v>12</v>
      </c>
      <c r="D8203" s="25">
        <v>1.1416E-4</v>
      </c>
      <c r="E8203" s="25">
        <v>1.1653E-4</v>
      </c>
      <c r="F8203" s="25">
        <v>1.0076E-4</v>
      </c>
      <c r="G8203" s="25">
        <v>1.5694999999999999E-4</v>
      </c>
      <c r="H8203" s="25">
        <v>1.1947000000000001E-4</v>
      </c>
      <c r="I8203" s="9">
        <v>1.3998E-4</v>
      </c>
      <c r="J8203" s="9">
        <v>1.4752999999999999E-4</v>
      </c>
      <c r="K8203" s="9">
        <v>1.9285999999999999E-4</v>
      </c>
      <c r="L8203" s="9">
        <v>1.1820999999999999E-4</v>
      </c>
      <c r="M8203" s="9">
        <v>1.4711999999999999E-4</v>
      </c>
      <c r="N8203" s="9">
        <v>1.7029E-4</v>
      </c>
      <c r="O8203" s="9">
        <v>1.2674999999999999E-4</v>
      </c>
      <c r="P8203" s="9">
        <v>1.3834000000000001E-4</v>
      </c>
      <c r="Q8203" s="9">
        <v>1.5117E-4</v>
      </c>
      <c r="R8203" s="10">
        <v>2.0968884753425459E-4</v>
      </c>
      <c r="S8203" s="10">
        <v>1.9029020014202599E-4</v>
      </c>
      <c r="T8203" s="10">
        <v>1.4592994882245129E-5</v>
      </c>
      <c r="U8203" s="10">
        <v>1.1533E-4</v>
      </c>
      <c r="V8203" s="25"/>
      <c r="W8203" s="25"/>
      <c r="X8203" s="25"/>
      <c r="Y8203" s="25"/>
      <c r="Z8203" s="25"/>
      <c r="AA8203" s="25"/>
    </row>
    <row r="8204" spans="1:27" x14ac:dyDescent="0.35">
      <c r="A8204" s="5">
        <v>8200</v>
      </c>
      <c r="B8204" s="5">
        <v>342</v>
      </c>
      <c r="C8204" s="5">
        <v>12</v>
      </c>
      <c r="D8204" s="25">
        <v>1.1415000000000001E-4</v>
      </c>
      <c r="E8204" s="25">
        <v>1.1924E-4</v>
      </c>
      <c r="F8204" s="25">
        <v>1.0119E-4</v>
      </c>
      <c r="G8204" s="25">
        <v>1.6605999999999999E-4</v>
      </c>
      <c r="H8204" s="25">
        <v>1.1977999999999999E-4</v>
      </c>
      <c r="I8204" s="9">
        <v>1.4189000000000001E-4</v>
      </c>
      <c r="J8204" s="9">
        <v>1.4707000000000001E-4</v>
      </c>
      <c r="K8204" s="9">
        <v>2.1829E-4</v>
      </c>
      <c r="L8204" s="9">
        <v>1.2531E-4</v>
      </c>
      <c r="M8204" s="9">
        <v>1.4232000000000001E-4</v>
      </c>
      <c r="N8204" s="9">
        <v>1.6616999999999999E-4</v>
      </c>
      <c r="O8204" s="9">
        <v>1.3460999999999999E-4</v>
      </c>
      <c r="P8204" s="9">
        <v>1.2116999999999999E-4</v>
      </c>
      <c r="Q8204" s="9">
        <v>1.0953E-4</v>
      </c>
      <c r="R8204" s="10">
        <v>2.0934980173180584E-4</v>
      </c>
      <c r="S8204" s="10">
        <v>1.9029018273430005E-4</v>
      </c>
      <c r="T8204" s="10">
        <v>0</v>
      </c>
      <c r="U8204" s="10">
        <v>1.1533E-4</v>
      </c>
      <c r="V8204" s="25"/>
      <c r="W8204" s="25"/>
      <c r="X8204" s="25"/>
      <c r="Y8204" s="25"/>
      <c r="Z8204" s="25"/>
      <c r="AA8204" s="25"/>
    </row>
    <row r="8205" spans="1:27" x14ac:dyDescent="0.35">
      <c r="A8205" s="5">
        <v>8201</v>
      </c>
      <c r="B8205" s="5">
        <v>342</v>
      </c>
      <c r="C8205" s="5">
        <v>12</v>
      </c>
      <c r="D8205" s="25">
        <v>1.1416E-4</v>
      </c>
      <c r="E8205" s="25">
        <v>1.0985E-4</v>
      </c>
      <c r="F8205" s="25">
        <v>8.5049999999999994E-5</v>
      </c>
      <c r="G8205" s="25">
        <v>1.6199000000000001E-4</v>
      </c>
      <c r="H8205" s="25">
        <v>1.2276E-4</v>
      </c>
      <c r="I8205" s="9">
        <v>1.4359E-4</v>
      </c>
      <c r="J8205" s="9">
        <v>1.5173000000000001E-4</v>
      </c>
      <c r="K8205" s="9">
        <v>2.0133999999999999E-4</v>
      </c>
      <c r="L8205" s="9">
        <v>1.3233E-4</v>
      </c>
      <c r="M8205" s="9">
        <v>1.3359999999999999E-4</v>
      </c>
      <c r="N8205" s="9">
        <v>1.5244E-4</v>
      </c>
      <c r="O8205" s="9">
        <v>1.4200000000000001E-4</v>
      </c>
      <c r="P8205" s="9">
        <v>1.2391E-4</v>
      </c>
      <c r="Q8205" s="9">
        <v>1.0784E-4</v>
      </c>
      <c r="R8205" s="10">
        <v>2.093460883449211E-4</v>
      </c>
      <c r="S8205" s="10">
        <v>1.9029016630307471E-4</v>
      </c>
      <c r="T8205" s="10">
        <v>0</v>
      </c>
      <c r="U8205" s="10">
        <v>1.1533E-4</v>
      </c>
      <c r="V8205" s="25"/>
      <c r="W8205" s="25"/>
      <c r="X8205" s="25"/>
      <c r="Y8205" s="25"/>
      <c r="Z8205" s="25"/>
      <c r="AA8205" s="25"/>
    </row>
    <row r="8206" spans="1:27" x14ac:dyDescent="0.35">
      <c r="A8206" s="5">
        <v>8202</v>
      </c>
      <c r="B8206" s="5">
        <v>342</v>
      </c>
      <c r="C8206" s="5">
        <v>12</v>
      </c>
      <c r="D8206" s="25">
        <v>1.1415000000000001E-4</v>
      </c>
      <c r="E8206" s="25">
        <v>1.1653E-4</v>
      </c>
      <c r="F8206" s="25">
        <v>8.7540000000000006E-5</v>
      </c>
      <c r="G8206" s="25">
        <v>1.5679999999999999E-4</v>
      </c>
      <c r="H8206" s="25">
        <v>1.1551E-4</v>
      </c>
      <c r="I8206" s="9">
        <v>1.5035E-4</v>
      </c>
      <c r="J8206" s="9">
        <v>1.5809E-4</v>
      </c>
      <c r="K8206" s="9">
        <v>2.0557E-4</v>
      </c>
      <c r="L8206" s="9">
        <v>1.3956E-4</v>
      </c>
      <c r="M8206" s="9">
        <v>1.2792000000000001E-4</v>
      </c>
      <c r="N8206" s="9">
        <v>1.3920999999999999E-4</v>
      </c>
      <c r="O8206" s="9">
        <v>1.4196E-4</v>
      </c>
      <c r="P8206" s="9">
        <v>1.2894999999999999E-4</v>
      </c>
      <c r="Q8206" s="9">
        <v>1.1789E-4</v>
      </c>
      <c r="R8206" s="10">
        <v>2.0982320956006707E-4</v>
      </c>
      <c r="S8206" s="10">
        <v>1.9028782701375558E-4</v>
      </c>
      <c r="T8206" s="10">
        <v>0</v>
      </c>
      <c r="U8206" s="10">
        <v>1.1533E-4</v>
      </c>
      <c r="V8206" s="25"/>
      <c r="W8206" s="25"/>
      <c r="X8206" s="25"/>
      <c r="Y8206" s="25"/>
      <c r="Z8206" s="25"/>
      <c r="AA8206" s="25"/>
    </row>
    <row r="8207" spans="1:27" x14ac:dyDescent="0.35">
      <c r="A8207" s="5">
        <v>8203</v>
      </c>
      <c r="B8207" s="5">
        <v>342</v>
      </c>
      <c r="C8207" s="5">
        <v>12</v>
      </c>
      <c r="D8207" s="25">
        <v>1.1416E-4</v>
      </c>
      <c r="E8207" s="25">
        <v>1.1926000000000001E-4</v>
      </c>
      <c r="F8207" s="25">
        <v>8.4560000000000004E-5</v>
      </c>
      <c r="G8207" s="25">
        <v>1.1471E-4</v>
      </c>
      <c r="H8207" s="25">
        <v>8.4209999999999995E-5</v>
      </c>
      <c r="I8207" s="9">
        <v>1.4880000000000001E-4</v>
      </c>
      <c r="J8207" s="9">
        <v>1.5129E-4</v>
      </c>
      <c r="K8207" s="9">
        <v>2.0770000000000001E-4</v>
      </c>
      <c r="L8207" s="9">
        <v>1.4129E-4</v>
      </c>
      <c r="M8207" s="9">
        <v>1.2701999999999999E-4</v>
      </c>
      <c r="N8207" s="9">
        <v>1.3014E-4</v>
      </c>
      <c r="O8207" s="9">
        <v>1.4308999999999999E-4</v>
      </c>
      <c r="P8207" s="9">
        <v>1.2432E-4</v>
      </c>
      <c r="Q8207" s="9">
        <v>1.0760999999999999E-4</v>
      </c>
      <c r="R8207" s="10">
        <v>2.1037562079596509E-4</v>
      </c>
      <c r="S8207" s="10">
        <v>1.9028645245406026E-4</v>
      </c>
      <c r="T8207" s="10">
        <v>0</v>
      </c>
      <c r="U8207" s="10">
        <v>1.1533E-4</v>
      </c>
      <c r="V8207" s="25"/>
      <c r="W8207" s="25"/>
      <c r="X8207" s="25"/>
      <c r="Y8207" s="25"/>
      <c r="Z8207" s="25"/>
      <c r="AA8207" s="25"/>
    </row>
    <row r="8208" spans="1:27" x14ac:dyDescent="0.35">
      <c r="A8208" s="5">
        <v>8204</v>
      </c>
      <c r="B8208" s="5">
        <v>342</v>
      </c>
      <c r="C8208" s="5">
        <v>12</v>
      </c>
      <c r="D8208" s="25">
        <v>1.1415000000000001E-4</v>
      </c>
      <c r="E8208" s="25">
        <v>1.1548E-4</v>
      </c>
      <c r="F8208" s="25">
        <v>8.4190000000000005E-5</v>
      </c>
      <c r="G8208" s="25">
        <v>1.1522E-4</v>
      </c>
      <c r="H8208" s="25">
        <v>7.8469999999999999E-5</v>
      </c>
      <c r="I8208" s="9">
        <v>1.4207E-4</v>
      </c>
      <c r="J8208" s="9">
        <v>1.4613000000000001E-4</v>
      </c>
      <c r="K8208" s="9">
        <v>2.1405E-4</v>
      </c>
      <c r="L8208" s="9">
        <v>1.4269E-4</v>
      </c>
      <c r="M8208" s="9">
        <v>1.2606999999999999E-4</v>
      </c>
      <c r="N8208" s="9">
        <v>1.211E-4</v>
      </c>
      <c r="O8208" s="9">
        <v>1.4441000000000001E-4</v>
      </c>
      <c r="P8208" s="9">
        <v>1.2192E-4</v>
      </c>
      <c r="Q8208" s="9">
        <v>1.0158E-4</v>
      </c>
      <c r="R8208" s="10">
        <v>2.1072614078870754E-4</v>
      </c>
      <c r="S8208" s="10">
        <v>1.9029013162964761E-4</v>
      </c>
      <c r="T8208" s="10">
        <v>0</v>
      </c>
      <c r="U8208" s="10">
        <v>1.1533E-4</v>
      </c>
      <c r="V8208" s="25"/>
      <c r="W8208" s="25"/>
      <c r="X8208" s="25"/>
      <c r="Y8208" s="25"/>
      <c r="Z8208" s="25"/>
      <c r="AA8208" s="25"/>
    </row>
    <row r="8209" spans="1:27" x14ac:dyDescent="0.35">
      <c r="A8209" s="5">
        <v>8205</v>
      </c>
      <c r="B8209" s="5">
        <v>342</v>
      </c>
      <c r="C8209" s="5">
        <v>12</v>
      </c>
      <c r="D8209" s="25">
        <v>1.1416E-4</v>
      </c>
      <c r="E8209" s="25">
        <v>1.1199E-4</v>
      </c>
      <c r="F8209" s="25">
        <v>8.7869999999999997E-5</v>
      </c>
      <c r="G8209" s="25">
        <v>5.5560000000000003E-5</v>
      </c>
      <c r="H8209" s="25">
        <v>3.8699999999999999E-5</v>
      </c>
      <c r="I8209" s="9">
        <v>1.3614000000000001E-4</v>
      </c>
      <c r="J8209" s="9">
        <v>1.3882E-4</v>
      </c>
      <c r="K8209" s="9">
        <v>2.1617000000000001E-4</v>
      </c>
      <c r="L8209" s="9">
        <v>1.4404000000000001E-4</v>
      </c>
      <c r="M8209" s="9">
        <v>1.2434999999999999E-4</v>
      </c>
      <c r="N8209" s="9">
        <v>1.1335E-4</v>
      </c>
      <c r="O8209" s="9">
        <v>8.4350000000000004E-5</v>
      </c>
      <c r="P8209" s="9">
        <v>8.5820000000000002E-5</v>
      </c>
      <c r="Q8209" s="9">
        <v>8.7810000000000001E-5</v>
      </c>
      <c r="R8209" s="10">
        <v>2.1031803121603223E-4</v>
      </c>
      <c r="S8209" s="10">
        <v>1.9029010254971804E-4</v>
      </c>
      <c r="T8209" s="10">
        <v>0</v>
      </c>
      <c r="U8209" s="10">
        <v>1.1533E-4</v>
      </c>
      <c r="V8209" s="25"/>
      <c r="W8209" s="25"/>
      <c r="X8209" s="25"/>
      <c r="Y8209" s="25"/>
      <c r="Z8209" s="25"/>
      <c r="AA8209" s="25"/>
    </row>
    <row r="8210" spans="1:27" x14ac:dyDescent="0.35">
      <c r="A8210" s="5">
        <v>8206</v>
      </c>
      <c r="B8210" s="5">
        <v>342</v>
      </c>
      <c r="C8210" s="5">
        <v>12</v>
      </c>
      <c r="D8210" s="25">
        <v>1.1415000000000001E-4</v>
      </c>
      <c r="E8210" s="25">
        <v>1.183E-4</v>
      </c>
      <c r="F8210" s="25">
        <v>9.6780000000000005E-5</v>
      </c>
      <c r="G8210" s="25">
        <v>5.5109999999999999E-5</v>
      </c>
      <c r="H8210" s="25">
        <v>4.159E-5</v>
      </c>
      <c r="I8210" s="9">
        <v>1.2931999999999999E-4</v>
      </c>
      <c r="J8210" s="9">
        <v>1.3113E-4</v>
      </c>
      <c r="K8210" s="9">
        <v>2.522E-4</v>
      </c>
      <c r="L8210" s="9">
        <v>9.7440000000000002E-5</v>
      </c>
      <c r="M8210" s="9">
        <v>1.0999E-4</v>
      </c>
      <c r="N8210" s="9">
        <v>1.0562E-4</v>
      </c>
      <c r="O8210" s="9">
        <v>8.8209999999999997E-5</v>
      </c>
      <c r="P8210" s="9">
        <v>8.8259999999999999E-5</v>
      </c>
      <c r="Q8210" s="9">
        <v>8.8919999999999996E-5</v>
      </c>
      <c r="R8210" s="10">
        <v>2.084908496960019E-4</v>
      </c>
      <c r="S8210" s="10">
        <v>1.9029020478284102E-4</v>
      </c>
      <c r="T8210" s="10">
        <v>0</v>
      </c>
      <c r="U8210" s="10">
        <v>1.1533E-4</v>
      </c>
      <c r="V8210" s="25"/>
      <c r="W8210" s="25"/>
      <c r="X8210" s="25"/>
      <c r="Y8210" s="25"/>
      <c r="Z8210" s="25"/>
      <c r="AA8210" s="25"/>
    </row>
    <row r="8211" spans="1:27" x14ac:dyDescent="0.35">
      <c r="A8211" s="5">
        <v>8207</v>
      </c>
      <c r="B8211" s="5">
        <v>342</v>
      </c>
      <c r="C8211" s="5">
        <v>12</v>
      </c>
      <c r="D8211" s="25">
        <v>1.1416E-4</v>
      </c>
      <c r="E8211" s="25">
        <v>1.1491E-4</v>
      </c>
      <c r="F8211" s="25">
        <v>1.0429000000000001E-4</v>
      </c>
      <c r="G8211" s="25">
        <v>5.9639999999999998E-5</v>
      </c>
      <c r="H8211" s="25">
        <v>4.596E-5</v>
      </c>
      <c r="I8211" s="9">
        <v>1.2952999999999999E-4</v>
      </c>
      <c r="J8211" s="9">
        <v>1.2136E-4</v>
      </c>
      <c r="K8211" s="9">
        <v>2.8186999999999998E-4</v>
      </c>
      <c r="L8211" s="9">
        <v>9.1539999999999994E-5</v>
      </c>
      <c r="M8211" s="9">
        <v>9.8309999999999999E-5</v>
      </c>
      <c r="N8211" s="9">
        <v>9.993E-5</v>
      </c>
      <c r="O8211" s="9">
        <v>8.4049999999999997E-5</v>
      </c>
      <c r="P8211" s="9">
        <v>7.483E-5</v>
      </c>
      <c r="Q8211" s="9">
        <v>6.6290000000000004E-5</v>
      </c>
      <c r="R8211" s="10">
        <v>2.0781085436456329E-4</v>
      </c>
      <c r="S8211" s="10">
        <v>1.9029020759484994E-4</v>
      </c>
      <c r="T8211" s="10">
        <v>0</v>
      </c>
      <c r="U8211" s="10">
        <v>1.1533E-4</v>
      </c>
      <c r="V8211" s="25"/>
      <c r="W8211" s="25"/>
      <c r="X8211" s="25"/>
      <c r="Y8211" s="25"/>
      <c r="Z8211" s="25"/>
      <c r="AA8211" s="25"/>
    </row>
    <row r="8212" spans="1:27" x14ac:dyDescent="0.35">
      <c r="A8212" s="5">
        <v>8208</v>
      </c>
      <c r="B8212" s="5">
        <v>342</v>
      </c>
      <c r="C8212" s="5">
        <v>12</v>
      </c>
      <c r="D8212" s="25">
        <v>1.1415000000000001E-4</v>
      </c>
      <c r="E8212" s="25">
        <v>1.1574E-4</v>
      </c>
      <c r="F8212" s="25">
        <v>8.9779999999999998E-5</v>
      </c>
      <c r="G8212" s="25">
        <v>5.2670000000000002E-5</v>
      </c>
      <c r="H8212" s="25">
        <v>4.5030000000000001E-5</v>
      </c>
      <c r="I8212" s="9">
        <v>1.2753999999999999E-4</v>
      </c>
      <c r="J8212" s="9">
        <v>1.1243000000000001E-4</v>
      </c>
      <c r="K8212" s="9">
        <v>3.1366E-4</v>
      </c>
      <c r="L8212" s="9">
        <v>8.5900000000000001E-5</v>
      </c>
      <c r="M8212" s="9">
        <v>8.7139999999999996E-5</v>
      </c>
      <c r="N8212" s="9">
        <v>9.0509999999999999E-5</v>
      </c>
      <c r="O8212" s="9">
        <v>7.941E-5</v>
      </c>
      <c r="P8212" s="9">
        <v>6.8899999999999994E-5</v>
      </c>
      <c r="Q8212" s="9">
        <v>5.8980000000000001E-5</v>
      </c>
      <c r="R8212" s="10">
        <v>2.1023066571095796E-4</v>
      </c>
      <c r="S8212" s="10">
        <v>1.9029020759484994E-4</v>
      </c>
      <c r="T8212" s="10">
        <v>0</v>
      </c>
      <c r="U8212" s="10">
        <v>1.1533E-4</v>
      </c>
      <c r="V8212" s="25"/>
      <c r="W8212" s="25"/>
      <c r="X8212" s="25"/>
      <c r="Y8212" s="25"/>
      <c r="Z8212" s="25"/>
      <c r="AA8212" s="25"/>
    </row>
    <row r="8213" spans="1:27" x14ac:dyDescent="0.35">
      <c r="A8213" s="5">
        <v>8209</v>
      </c>
      <c r="B8213" s="5">
        <v>343</v>
      </c>
      <c r="C8213" s="5">
        <v>12</v>
      </c>
      <c r="D8213" s="25">
        <v>1.1416E-4</v>
      </c>
      <c r="E8213" s="25">
        <v>1.2376999999999999E-4</v>
      </c>
      <c r="F8213" s="25">
        <v>1.1903E-4</v>
      </c>
      <c r="G8213" s="25">
        <v>5.5859999999999997E-5</v>
      </c>
      <c r="H8213" s="25">
        <v>1.6209999999999999E-5</v>
      </c>
      <c r="I8213" s="9">
        <v>1.1974E-4</v>
      </c>
      <c r="J8213" s="9">
        <v>1.0548E-4</v>
      </c>
      <c r="K8213" s="9">
        <v>3.1789999999999998E-4</v>
      </c>
      <c r="L8213" s="9">
        <v>8.0649999999999995E-5</v>
      </c>
      <c r="M8213" s="9">
        <v>7.8029999999999997E-5</v>
      </c>
      <c r="N8213" s="9">
        <v>8.1100000000000006E-5</v>
      </c>
      <c r="O8213" s="9">
        <v>6.8559999999999994E-5</v>
      </c>
      <c r="P8213" s="9">
        <v>6.1039999999999998E-5</v>
      </c>
      <c r="Q8213" s="9">
        <v>5.3829999999999998E-5</v>
      </c>
      <c r="R8213" s="10">
        <v>2.1078995983810637E-4</v>
      </c>
      <c r="S8213" s="10">
        <v>1.9029014555009319E-4</v>
      </c>
      <c r="T8213" s="10">
        <v>0</v>
      </c>
      <c r="U8213" s="10">
        <v>1.1525E-4</v>
      </c>
      <c r="V8213" s="25"/>
      <c r="W8213" s="25"/>
      <c r="X8213" s="25"/>
      <c r="Y8213" s="25"/>
      <c r="Z8213" s="25"/>
      <c r="AA8213" s="25"/>
    </row>
    <row r="8214" spans="1:27" x14ac:dyDescent="0.35">
      <c r="A8214" s="5">
        <v>8210</v>
      </c>
      <c r="B8214" s="5">
        <v>343</v>
      </c>
      <c r="C8214" s="5">
        <v>12</v>
      </c>
      <c r="D8214" s="25">
        <v>1.1415000000000001E-4</v>
      </c>
      <c r="E8214" s="25">
        <v>1.197E-4</v>
      </c>
      <c r="F8214" s="25">
        <v>1.0329E-4</v>
      </c>
      <c r="G8214" s="25">
        <v>5.4379999999999998E-5</v>
      </c>
      <c r="H8214" s="25">
        <v>1.5400000000000002E-5</v>
      </c>
      <c r="I8214" s="9">
        <v>1.1398E-4</v>
      </c>
      <c r="J8214" s="9">
        <v>1.01E-4</v>
      </c>
      <c r="K8214" s="9">
        <v>3.1154000000000002E-4</v>
      </c>
      <c r="L8214" s="9">
        <v>7.135E-5</v>
      </c>
      <c r="M8214" s="9">
        <v>6.9779999999999999E-5</v>
      </c>
      <c r="N8214" s="9">
        <v>7.2089999999999996E-5</v>
      </c>
      <c r="O8214" s="9">
        <v>3.4799999999999999E-5</v>
      </c>
      <c r="P8214" s="9">
        <v>4.5819999999999998E-5</v>
      </c>
      <c r="Q8214" s="9">
        <v>5.6159999999999998E-5</v>
      </c>
      <c r="R8214" s="10">
        <v>2.0989333970484979E-4</v>
      </c>
      <c r="S8214" s="10">
        <v>1.9028595353625982E-4</v>
      </c>
      <c r="T8214" s="10">
        <v>0</v>
      </c>
      <c r="U8214" s="10">
        <v>1.1525E-4</v>
      </c>
      <c r="V8214" s="25"/>
      <c r="W8214" s="25"/>
      <c r="X8214" s="25"/>
      <c r="Y8214" s="25"/>
      <c r="Z8214" s="25"/>
      <c r="AA8214" s="25"/>
    </row>
    <row r="8215" spans="1:27" x14ac:dyDescent="0.35">
      <c r="A8215" s="5">
        <v>8211</v>
      </c>
      <c r="B8215" s="5">
        <v>343</v>
      </c>
      <c r="C8215" s="5">
        <v>12</v>
      </c>
      <c r="D8215" s="25">
        <v>1.1416E-4</v>
      </c>
      <c r="E8215" s="25">
        <v>1.1407E-4</v>
      </c>
      <c r="F8215" s="25">
        <v>1.1314E-4</v>
      </c>
      <c r="G8215" s="25">
        <v>5.8999999999999998E-5</v>
      </c>
      <c r="H8215" s="25">
        <v>1.4039999999999999E-5</v>
      </c>
      <c r="I8215" s="9">
        <v>1.0998E-4</v>
      </c>
      <c r="J8215" s="9">
        <v>9.8410000000000001E-5</v>
      </c>
      <c r="K8215" s="9">
        <v>3.1577999999999999E-4</v>
      </c>
      <c r="L8215" s="9">
        <v>4.3080000000000001E-5</v>
      </c>
      <c r="M8215" s="9">
        <v>5.9219999999999999E-5</v>
      </c>
      <c r="N8215" s="9">
        <v>6.5530000000000004E-5</v>
      </c>
      <c r="O8215" s="9">
        <v>2.1460000000000001E-5</v>
      </c>
      <c r="P8215" s="9">
        <v>4.2020000000000001E-5</v>
      </c>
      <c r="Q8215" s="9">
        <v>6.1459999999999998E-5</v>
      </c>
      <c r="R8215" s="10">
        <v>2.1005929104474081E-4</v>
      </c>
      <c r="S8215" s="10">
        <v>1.9019424588374428E-4</v>
      </c>
      <c r="T8215" s="10">
        <v>0</v>
      </c>
      <c r="U8215" s="10">
        <v>1.1525E-4</v>
      </c>
      <c r="V8215" s="25"/>
      <c r="W8215" s="25"/>
      <c r="X8215" s="25"/>
      <c r="Y8215" s="25"/>
      <c r="Z8215" s="25"/>
      <c r="AA8215" s="25"/>
    </row>
    <row r="8216" spans="1:27" x14ac:dyDescent="0.35">
      <c r="A8216" s="5">
        <v>8212</v>
      </c>
      <c r="B8216" s="5">
        <v>343</v>
      </c>
      <c r="C8216" s="5">
        <v>12</v>
      </c>
      <c r="D8216" s="25">
        <v>1.1415000000000001E-4</v>
      </c>
      <c r="E8216" s="25">
        <v>1.2162E-4</v>
      </c>
      <c r="F8216" s="25">
        <v>1.225E-4</v>
      </c>
      <c r="G8216" s="25">
        <v>5.5479999999999997E-5</v>
      </c>
      <c r="H8216" s="25">
        <v>1.575E-5</v>
      </c>
      <c r="I8216" s="9">
        <v>1.0783E-4</v>
      </c>
      <c r="J8216" s="9">
        <v>9.7620000000000004E-5</v>
      </c>
      <c r="K8216" s="9">
        <v>3.2425999999999999E-4</v>
      </c>
      <c r="L8216" s="9">
        <v>2.6970000000000001E-5</v>
      </c>
      <c r="M8216" s="9">
        <v>5.0479999999999998E-5</v>
      </c>
      <c r="N8216" s="9">
        <v>6.1920000000000003E-5</v>
      </c>
      <c r="O8216" s="9">
        <v>2.101E-5</v>
      </c>
      <c r="P8216" s="9">
        <v>5.1440000000000002E-5</v>
      </c>
      <c r="Q8216" s="9">
        <v>8.0580000000000004E-5</v>
      </c>
      <c r="R8216" s="10">
        <v>2.1009158867321874E-4</v>
      </c>
      <c r="S8216" s="10">
        <v>1.8952908575348065E-4</v>
      </c>
      <c r="T8216" s="10">
        <v>0</v>
      </c>
      <c r="U8216" s="10">
        <v>1.1525E-4</v>
      </c>
      <c r="V8216" s="25"/>
      <c r="W8216" s="25"/>
      <c r="X8216" s="25"/>
      <c r="Y8216" s="25"/>
      <c r="Z8216" s="25"/>
      <c r="AA8216" s="25"/>
    </row>
    <row r="8217" spans="1:27" x14ac:dyDescent="0.35">
      <c r="A8217" s="5">
        <v>8213</v>
      </c>
      <c r="B8217" s="5">
        <v>343</v>
      </c>
      <c r="C8217" s="5">
        <v>12</v>
      </c>
      <c r="D8217" s="25">
        <v>1.1416E-4</v>
      </c>
      <c r="E8217" s="25">
        <v>1.1704E-4</v>
      </c>
      <c r="F8217" s="25">
        <v>1.1179999999999999E-4</v>
      </c>
      <c r="G8217" s="25">
        <v>5.4320000000000002E-5</v>
      </c>
      <c r="H8217" s="25">
        <v>1.541E-5</v>
      </c>
      <c r="I8217" s="9">
        <v>1.0870999999999999E-4</v>
      </c>
      <c r="J8217" s="9">
        <v>9.8129999999999997E-5</v>
      </c>
      <c r="K8217" s="9">
        <v>3.2636999999999998E-4</v>
      </c>
      <c r="L8217" s="9">
        <v>2.2719999999999999E-5</v>
      </c>
      <c r="M8217" s="9">
        <v>4.8789999999999999E-5</v>
      </c>
      <c r="N8217" s="9">
        <v>6.4519999999999999E-5</v>
      </c>
      <c r="O8217" s="9">
        <v>2.2799999999999999E-5</v>
      </c>
      <c r="P8217" s="9">
        <v>5.8739999999999997E-5</v>
      </c>
      <c r="Q8217" s="9">
        <v>9.3350000000000006E-5</v>
      </c>
      <c r="R8217" s="10">
        <v>2.0884481922926743E-4</v>
      </c>
      <c r="S8217" s="10">
        <v>1.8885986942619886E-4</v>
      </c>
      <c r="T8217" s="10">
        <v>0</v>
      </c>
      <c r="U8217" s="10">
        <v>1.1525E-4</v>
      </c>
      <c r="V8217" s="25"/>
      <c r="W8217" s="25"/>
      <c r="X8217" s="25"/>
      <c r="Y8217" s="25"/>
      <c r="Z8217" s="25"/>
      <c r="AA8217" s="25"/>
    </row>
    <row r="8218" spans="1:27" x14ac:dyDescent="0.35">
      <c r="A8218" s="5">
        <v>8214</v>
      </c>
      <c r="B8218" s="5">
        <v>343</v>
      </c>
      <c r="C8218" s="5">
        <v>12</v>
      </c>
      <c r="D8218" s="25">
        <v>1.1415000000000001E-4</v>
      </c>
      <c r="E8218" s="25">
        <v>1.2092E-4</v>
      </c>
      <c r="F8218" s="25">
        <v>1.1516E-4</v>
      </c>
      <c r="G8218" s="25">
        <v>1.0584E-4</v>
      </c>
      <c r="H8218" s="25">
        <v>2.7889999999999999E-5</v>
      </c>
      <c r="I8218" s="9">
        <v>1.1508E-4</v>
      </c>
      <c r="J8218" s="9">
        <v>1.0234E-4</v>
      </c>
      <c r="K8218" s="9">
        <v>3.4120999999999999E-4</v>
      </c>
      <c r="L8218" s="9">
        <v>2.27E-5</v>
      </c>
      <c r="M8218" s="9">
        <v>5.2290000000000002E-5</v>
      </c>
      <c r="N8218" s="9">
        <v>7.1000000000000005E-5</v>
      </c>
      <c r="O8218" s="9">
        <v>2.917E-5</v>
      </c>
      <c r="P8218" s="9">
        <v>6.8549999999999999E-5</v>
      </c>
      <c r="Q8218" s="9">
        <v>1.0669E-4</v>
      </c>
      <c r="R8218" s="10">
        <v>2.0551903043316698E-4</v>
      </c>
      <c r="S8218" s="10">
        <v>1.8837344533405916E-4</v>
      </c>
      <c r="T8218" s="10">
        <v>0</v>
      </c>
      <c r="U8218" s="10">
        <v>1.1525E-4</v>
      </c>
      <c r="V8218" s="25"/>
      <c r="W8218" s="25"/>
      <c r="X8218" s="25"/>
      <c r="Y8218" s="25"/>
      <c r="Z8218" s="25"/>
      <c r="AA8218" s="25"/>
    </row>
    <row r="8219" spans="1:27" x14ac:dyDescent="0.35">
      <c r="A8219" s="5">
        <v>8215</v>
      </c>
      <c r="B8219" s="5">
        <v>343</v>
      </c>
      <c r="C8219" s="5">
        <v>12</v>
      </c>
      <c r="D8219" s="25">
        <v>1.1416E-4</v>
      </c>
      <c r="E8219" s="25">
        <v>1.2044000000000001E-4</v>
      </c>
      <c r="F8219" s="25">
        <v>1.1464999999999999E-4</v>
      </c>
      <c r="G8219" s="25">
        <v>1.048E-4</v>
      </c>
      <c r="H8219" s="25">
        <v>2.9810000000000001E-5</v>
      </c>
      <c r="I8219" s="9">
        <v>1.2858999999999999E-4</v>
      </c>
      <c r="J8219" s="9">
        <v>1.149E-4</v>
      </c>
      <c r="K8219" s="9">
        <v>2.8610000000000002E-4</v>
      </c>
      <c r="L8219" s="9">
        <v>2.7650000000000001E-5</v>
      </c>
      <c r="M8219" s="9">
        <v>5.9179999999999999E-5</v>
      </c>
      <c r="N8219" s="9">
        <v>8.0619999999999997E-5</v>
      </c>
      <c r="O8219" s="9">
        <v>4.5979999999999997E-5</v>
      </c>
      <c r="P8219" s="9">
        <v>7.9649999999999998E-5</v>
      </c>
      <c r="Q8219" s="9">
        <v>1.1251000000000001E-4</v>
      </c>
      <c r="R8219" s="10">
        <v>2.0051026206141401E-4</v>
      </c>
      <c r="S8219" s="10">
        <v>1.8528422607247695E-4</v>
      </c>
      <c r="T8219" s="10">
        <v>0</v>
      </c>
      <c r="U8219" s="10">
        <v>1.1525E-4</v>
      </c>
      <c r="V8219" s="25"/>
      <c r="W8219" s="25"/>
      <c r="X8219" s="25"/>
      <c r="Y8219" s="25"/>
      <c r="Z8219" s="25"/>
      <c r="AA8219" s="25"/>
    </row>
    <row r="8220" spans="1:27" x14ac:dyDescent="0.35">
      <c r="A8220" s="5">
        <v>8216</v>
      </c>
      <c r="B8220" s="5">
        <v>343</v>
      </c>
      <c r="C8220" s="5">
        <v>12</v>
      </c>
      <c r="D8220" s="25">
        <v>1.1415000000000001E-4</v>
      </c>
      <c r="E8220" s="25">
        <v>1.1305E-4</v>
      </c>
      <c r="F8220" s="25">
        <v>1.219E-4</v>
      </c>
      <c r="G8220" s="25">
        <v>1.6703000000000001E-4</v>
      </c>
      <c r="H8220" s="25">
        <v>4.3529999999999998E-5</v>
      </c>
      <c r="I8220" s="9">
        <v>1.4011000000000001E-4</v>
      </c>
      <c r="J8220" s="9">
        <v>1.3447000000000001E-4</v>
      </c>
      <c r="K8220" s="9">
        <v>2.8611000000000001E-4</v>
      </c>
      <c r="L8220" s="9">
        <v>4.18E-5</v>
      </c>
      <c r="M8220" s="9">
        <v>6.8289999999999998E-5</v>
      </c>
      <c r="N8220" s="9">
        <v>9.0740000000000002E-5</v>
      </c>
      <c r="O8220" s="9">
        <v>6.8200000000000004E-5</v>
      </c>
      <c r="P8220" s="9">
        <v>1.0255999999999999E-4</v>
      </c>
      <c r="Q8220" s="9">
        <v>1.3656000000000001E-4</v>
      </c>
      <c r="R8220" s="10">
        <v>1.9085656274787823E-4</v>
      </c>
      <c r="S8220" s="10">
        <v>1.78093278365775E-4</v>
      </c>
      <c r="T8220" s="10">
        <v>0</v>
      </c>
      <c r="U8220" s="10">
        <v>1.1525E-4</v>
      </c>
      <c r="V8220" s="25"/>
      <c r="W8220" s="25"/>
      <c r="X8220" s="25"/>
      <c r="Y8220" s="25"/>
      <c r="Z8220" s="25"/>
      <c r="AA8220" s="25"/>
    </row>
    <row r="8221" spans="1:27" x14ac:dyDescent="0.35">
      <c r="A8221" s="5">
        <v>8217</v>
      </c>
      <c r="B8221" s="5">
        <v>343</v>
      </c>
      <c r="C8221" s="5">
        <v>12</v>
      </c>
      <c r="D8221" s="25">
        <v>1.1416E-4</v>
      </c>
      <c r="E8221" s="25">
        <v>1.1315E-4</v>
      </c>
      <c r="F8221" s="25">
        <v>1.0977E-4</v>
      </c>
      <c r="G8221" s="25">
        <v>1.6681000000000001E-4</v>
      </c>
      <c r="H8221" s="25">
        <v>4.2920000000000002E-5</v>
      </c>
      <c r="I8221" s="9">
        <v>1.4376999999999999E-4</v>
      </c>
      <c r="J8221" s="9">
        <v>1.4543999999999999E-4</v>
      </c>
      <c r="K8221" s="9">
        <v>2.8611000000000001E-4</v>
      </c>
      <c r="L8221" s="9">
        <v>6.2009999999999998E-5</v>
      </c>
      <c r="M8221" s="9">
        <v>8.2890000000000001E-5</v>
      </c>
      <c r="N8221" s="9">
        <v>1.0446E-4</v>
      </c>
      <c r="O8221" s="9">
        <v>1.0066E-4</v>
      </c>
      <c r="P8221" s="9">
        <v>1.3899E-4</v>
      </c>
      <c r="Q8221" s="9">
        <v>1.7759000000000001E-4</v>
      </c>
      <c r="R8221" s="10">
        <v>1.8614863666913611E-4</v>
      </c>
      <c r="S8221" s="10">
        <v>1.7316576289978669E-4</v>
      </c>
      <c r="T8221" s="10">
        <v>5.9118597871793061E-5</v>
      </c>
      <c r="U8221" s="10">
        <v>1.1525E-4</v>
      </c>
      <c r="V8221" s="25"/>
      <c r="W8221" s="25"/>
      <c r="X8221" s="25"/>
      <c r="Y8221" s="25"/>
      <c r="Z8221" s="25"/>
      <c r="AA8221" s="25"/>
    </row>
    <row r="8222" spans="1:27" x14ac:dyDescent="0.35">
      <c r="A8222" s="5">
        <v>8218</v>
      </c>
      <c r="B8222" s="5">
        <v>343</v>
      </c>
      <c r="C8222" s="5">
        <v>12</v>
      </c>
      <c r="D8222" s="25">
        <v>1.1415000000000001E-4</v>
      </c>
      <c r="E8222" s="25">
        <v>1.2297E-4</v>
      </c>
      <c r="F8222" s="25">
        <v>1.098E-4</v>
      </c>
      <c r="G8222" s="25">
        <v>1.6262000000000001E-4</v>
      </c>
      <c r="H8222" s="25">
        <v>4.3239999999999999E-5</v>
      </c>
      <c r="I8222" s="9">
        <v>1.4378000000000001E-4</v>
      </c>
      <c r="J8222" s="9">
        <v>1.4851E-4</v>
      </c>
      <c r="K8222" s="9">
        <v>2.6915000000000001E-4</v>
      </c>
      <c r="L8222" s="9">
        <v>9.1630000000000002E-5</v>
      </c>
      <c r="M8222" s="9">
        <v>1.0678E-4</v>
      </c>
      <c r="N8222" s="9">
        <v>1.2464E-4</v>
      </c>
      <c r="O8222" s="9">
        <v>1.2865000000000001E-4</v>
      </c>
      <c r="P8222" s="9">
        <v>1.5432999999999999E-4</v>
      </c>
      <c r="Q8222" s="9">
        <v>1.8107999999999999E-4</v>
      </c>
      <c r="R8222" s="10">
        <v>1.8937671872107796E-4</v>
      </c>
      <c r="S8222" s="10">
        <v>1.6810987432201894E-4</v>
      </c>
      <c r="T8222" s="10">
        <v>1.9223725467552914E-4</v>
      </c>
      <c r="U8222" s="10">
        <v>1.1525E-4</v>
      </c>
      <c r="V8222" s="25"/>
      <c r="W8222" s="25"/>
      <c r="X8222" s="25"/>
      <c r="Y8222" s="25"/>
      <c r="Z8222" s="25"/>
      <c r="AA8222" s="25"/>
    </row>
    <row r="8223" spans="1:27" x14ac:dyDescent="0.35">
      <c r="A8223" s="5">
        <v>8219</v>
      </c>
      <c r="B8223" s="5">
        <v>343</v>
      </c>
      <c r="C8223" s="5">
        <v>12</v>
      </c>
      <c r="D8223" s="25">
        <v>1.1416E-4</v>
      </c>
      <c r="E8223" s="25">
        <v>1.2003E-4</v>
      </c>
      <c r="F8223" s="25">
        <v>1.0429000000000001E-4</v>
      </c>
      <c r="G8223" s="25">
        <v>1.6647999999999999E-4</v>
      </c>
      <c r="H8223" s="25">
        <v>4.104E-5</v>
      </c>
      <c r="I8223" s="9">
        <v>1.4247000000000001E-4</v>
      </c>
      <c r="J8223" s="9">
        <v>1.4798E-4</v>
      </c>
      <c r="K8223" s="9">
        <v>2.6279E-4</v>
      </c>
      <c r="L8223" s="9">
        <v>1.1977E-4</v>
      </c>
      <c r="M8223" s="9">
        <v>1.2993E-4</v>
      </c>
      <c r="N8223" s="9">
        <v>1.4250999999999999E-4</v>
      </c>
      <c r="O8223" s="9">
        <v>1.3689E-4</v>
      </c>
      <c r="P8223" s="9">
        <v>1.5694999999999999E-4</v>
      </c>
      <c r="Q8223" s="9">
        <v>1.7834E-4</v>
      </c>
      <c r="R8223" s="10">
        <v>1.7890324252785978E-4</v>
      </c>
      <c r="S8223" s="10">
        <v>1.6375407068007234E-4</v>
      </c>
      <c r="T8223" s="10">
        <v>4.0816267313665622E-4</v>
      </c>
      <c r="U8223" s="10">
        <v>1.1525E-4</v>
      </c>
      <c r="V8223" s="25"/>
      <c r="W8223" s="25"/>
      <c r="X8223" s="25"/>
      <c r="Y8223" s="25"/>
      <c r="Z8223" s="25"/>
      <c r="AA8223" s="25"/>
    </row>
    <row r="8224" spans="1:27" x14ac:dyDescent="0.35">
      <c r="A8224" s="5">
        <v>8220</v>
      </c>
      <c r="B8224" s="5">
        <v>343</v>
      </c>
      <c r="C8224" s="5">
        <v>12</v>
      </c>
      <c r="D8224" s="25">
        <v>1.1415000000000001E-4</v>
      </c>
      <c r="E8224" s="25">
        <v>1.1493E-4</v>
      </c>
      <c r="F8224" s="25">
        <v>1.1839E-4</v>
      </c>
      <c r="G8224" s="25">
        <v>1.6468E-4</v>
      </c>
      <c r="H8224" s="25">
        <v>4.3430000000000003E-5</v>
      </c>
      <c r="I8224" s="9">
        <v>1.4326000000000001E-4</v>
      </c>
      <c r="J8224" s="9">
        <v>1.4702000000000001E-4</v>
      </c>
      <c r="K8224" s="9">
        <v>2.3948E-4</v>
      </c>
      <c r="L8224" s="9">
        <v>1.3245999999999999E-4</v>
      </c>
      <c r="M8224" s="9">
        <v>1.4511999999999999E-4</v>
      </c>
      <c r="N8224" s="9">
        <v>1.5636E-4</v>
      </c>
      <c r="O8224" s="9">
        <v>1.4014E-4</v>
      </c>
      <c r="P8224" s="9">
        <v>1.5703000000000001E-4</v>
      </c>
      <c r="Q8224" s="9">
        <v>1.7536E-4</v>
      </c>
      <c r="R8224" s="10">
        <v>1.4146064728811072E-4</v>
      </c>
      <c r="S8224" s="10">
        <v>1.6813941882308698E-4</v>
      </c>
      <c r="T8224" s="10">
        <v>4.5110171214772759E-4</v>
      </c>
      <c r="U8224" s="10">
        <v>1.1525E-4</v>
      </c>
      <c r="V8224" s="25"/>
      <c r="W8224" s="25"/>
      <c r="X8224" s="25"/>
      <c r="Y8224" s="25"/>
      <c r="Z8224" s="25"/>
      <c r="AA8224" s="25"/>
    </row>
    <row r="8225" spans="1:27" x14ac:dyDescent="0.35">
      <c r="A8225" s="5">
        <v>8221</v>
      </c>
      <c r="B8225" s="5">
        <v>343</v>
      </c>
      <c r="C8225" s="5">
        <v>12</v>
      </c>
      <c r="D8225" s="25">
        <v>1.1416E-4</v>
      </c>
      <c r="E8225" s="25">
        <v>1.1428E-4</v>
      </c>
      <c r="F8225" s="25">
        <v>1.2353E-4</v>
      </c>
      <c r="G8225" s="25">
        <v>1.5934E-4</v>
      </c>
      <c r="H8225" s="25">
        <v>4.2939999999999999E-5</v>
      </c>
      <c r="I8225" s="9">
        <v>1.3857999999999999E-4</v>
      </c>
      <c r="J8225" s="9">
        <v>1.4486999999999999E-4</v>
      </c>
      <c r="K8225" s="9">
        <v>2.6279999999999999E-4</v>
      </c>
      <c r="L8225" s="9">
        <v>1.3828000000000001E-4</v>
      </c>
      <c r="M8225" s="9">
        <v>1.5264E-4</v>
      </c>
      <c r="N8225" s="9">
        <v>1.6611999999999999E-4</v>
      </c>
      <c r="O8225" s="9">
        <v>1.2985000000000001E-4</v>
      </c>
      <c r="P8225" s="9">
        <v>1.4741999999999999E-4</v>
      </c>
      <c r="Q8225" s="9">
        <v>1.662E-4</v>
      </c>
      <c r="R8225" s="10">
        <v>1.6544650193102555E-4</v>
      </c>
      <c r="S8225" s="10">
        <v>1.7974532772831731E-4</v>
      </c>
      <c r="T8225" s="10">
        <v>4.4626566151814619E-4</v>
      </c>
      <c r="U8225" s="10">
        <v>1.1525E-4</v>
      </c>
      <c r="V8225" s="25"/>
      <c r="W8225" s="25"/>
      <c r="X8225" s="25"/>
      <c r="Y8225" s="25"/>
      <c r="Z8225" s="25"/>
      <c r="AA8225" s="25"/>
    </row>
    <row r="8226" spans="1:27" x14ac:dyDescent="0.35">
      <c r="A8226" s="5">
        <v>8222</v>
      </c>
      <c r="B8226" s="5">
        <v>343</v>
      </c>
      <c r="C8226" s="5">
        <v>12</v>
      </c>
      <c r="D8226" s="25">
        <v>1.1415000000000001E-4</v>
      </c>
      <c r="E8226" s="25">
        <v>1.1916E-4</v>
      </c>
      <c r="F8226" s="25">
        <v>1.2433E-4</v>
      </c>
      <c r="G8226" s="25">
        <v>1.6074000000000001E-4</v>
      </c>
      <c r="H8226" s="25">
        <v>4.1260000000000001E-5</v>
      </c>
      <c r="I8226" s="9">
        <v>1.3851E-4</v>
      </c>
      <c r="J8226" s="9">
        <v>1.4548999999999999E-4</v>
      </c>
      <c r="K8226" s="9">
        <v>2.9033999999999999E-4</v>
      </c>
      <c r="L8226" s="9">
        <v>1.3171999999999999E-4</v>
      </c>
      <c r="M8226" s="9">
        <v>1.5224999999999999E-4</v>
      </c>
      <c r="N8226" s="9">
        <v>1.7019E-4</v>
      </c>
      <c r="O8226" s="9">
        <v>1.1257E-4</v>
      </c>
      <c r="P8226" s="9">
        <v>1.3595999999999999E-4</v>
      </c>
      <c r="Q8226" s="9">
        <v>1.6011000000000001E-4</v>
      </c>
      <c r="R8226" s="10">
        <v>1.6637081833608419E-4</v>
      </c>
      <c r="S8226" s="10">
        <v>1.8620337480073739E-4</v>
      </c>
      <c r="T8226" s="10">
        <v>3.8058021594934287E-4</v>
      </c>
      <c r="U8226" s="10">
        <v>1.1525E-4</v>
      </c>
      <c r="V8226" s="25"/>
      <c r="W8226" s="25"/>
      <c r="X8226" s="25"/>
      <c r="Y8226" s="25"/>
      <c r="Z8226" s="25"/>
      <c r="AA8226" s="25"/>
    </row>
    <row r="8227" spans="1:27" x14ac:dyDescent="0.35">
      <c r="A8227" s="5">
        <v>8223</v>
      </c>
      <c r="B8227" s="5">
        <v>343</v>
      </c>
      <c r="C8227" s="5">
        <v>12</v>
      </c>
      <c r="D8227" s="25">
        <v>1.1416E-4</v>
      </c>
      <c r="E8227" s="25">
        <v>1.1497000000000001E-4</v>
      </c>
      <c r="F8227" s="25">
        <v>1.1771E-4</v>
      </c>
      <c r="G8227" s="25">
        <v>1.6315000000000001E-4</v>
      </c>
      <c r="H8227" s="25">
        <v>4.2580000000000002E-5</v>
      </c>
      <c r="I8227" s="9">
        <v>1.3710999999999999E-4</v>
      </c>
      <c r="J8227" s="9">
        <v>1.4553999999999999E-4</v>
      </c>
      <c r="K8227" s="9">
        <v>2.8822E-4</v>
      </c>
      <c r="L8227" s="9">
        <v>1.1703E-4</v>
      </c>
      <c r="M8227" s="9">
        <v>1.4600999999999999E-4</v>
      </c>
      <c r="N8227" s="9">
        <v>1.6959000000000001E-4</v>
      </c>
      <c r="O8227" s="9">
        <v>1.2779999999999999E-4</v>
      </c>
      <c r="P8227" s="9">
        <v>1.3948000000000001E-4</v>
      </c>
      <c r="Q8227" s="9">
        <v>1.5242000000000001E-4</v>
      </c>
      <c r="R8227" s="10">
        <v>1.4520238709587454E-4</v>
      </c>
      <c r="S8227" s="10">
        <v>1.8843835944621962E-4</v>
      </c>
      <c r="T8227" s="10">
        <v>2.4867481395267718E-4</v>
      </c>
      <c r="U8227" s="10">
        <v>1.1525E-4</v>
      </c>
      <c r="V8227" s="25"/>
      <c r="W8227" s="25"/>
      <c r="X8227" s="25"/>
      <c r="Y8227" s="25"/>
      <c r="Z8227" s="25"/>
      <c r="AA8227" s="25"/>
    </row>
    <row r="8228" spans="1:27" x14ac:dyDescent="0.35">
      <c r="A8228" s="5">
        <v>8224</v>
      </c>
      <c r="B8228" s="5">
        <v>343</v>
      </c>
      <c r="C8228" s="5">
        <v>12</v>
      </c>
      <c r="D8228" s="25">
        <v>1.1415000000000001E-4</v>
      </c>
      <c r="E8228" s="25">
        <v>1.2068E-4</v>
      </c>
      <c r="F8228" s="25">
        <v>1.164E-4</v>
      </c>
      <c r="G8228" s="25">
        <v>1.65E-4</v>
      </c>
      <c r="H8228" s="25">
        <v>4.1409999999999998E-5</v>
      </c>
      <c r="I8228" s="9">
        <v>1.3664999999999999E-4</v>
      </c>
      <c r="J8228" s="9">
        <v>1.4605999999999999E-4</v>
      </c>
      <c r="K8228" s="9">
        <v>2.9034999999999998E-4</v>
      </c>
      <c r="L8228" s="9">
        <v>1.2585999999999999E-4</v>
      </c>
      <c r="M8228" s="9">
        <v>1.4190000000000001E-4</v>
      </c>
      <c r="N8228" s="9">
        <v>1.6574999999999999E-4</v>
      </c>
      <c r="O8228" s="9">
        <v>1.3452000000000001E-4</v>
      </c>
      <c r="P8228" s="9">
        <v>1.2108999999999999E-4</v>
      </c>
      <c r="Q8228" s="9">
        <v>1.0946E-4</v>
      </c>
      <c r="R8228" s="10">
        <v>1.6081854075157819E-4</v>
      </c>
      <c r="S8228" s="10">
        <v>1.8848120750010415E-4</v>
      </c>
      <c r="T8228" s="10">
        <v>0</v>
      </c>
      <c r="U8228" s="10">
        <v>1.1525E-4</v>
      </c>
      <c r="V8228" s="25"/>
      <c r="W8228" s="25"/>
      <c r="X8228" s="25"/>
      <c r="Y8228" s="25"/>
      <c r="Z8228" s="25"/>
      <c r="AA8228" s="25"/>
    </row>
    <row r="8229" spans="1:27" x14ac:dyDescent="0.35">
      <c r="A8229" s="5">
        <v>8225</v>
      </c>
      <c r="B8229" s="5">
        <v>343</v>
      </c>
      <c r="C8229" s="5">
        <v>12</v>
      </c>
      <c r="D8229" s="25">
        <v>1.1416E-4</v>
      </c>
      <c r="E8229" s="25">
        <v>1.1759E-4</v>
      </c>
      <c r="F8229" s="25">
        <v>1.2071E-4</v>
      </c>
      <c r="G8229" s="25">
        <v>1.618E-4</v>
      </c>
      <c r="H8229" s="25">
        <v>4.1690000000000002E-5</v>
      </c>
      <c r="I8229" s="9">
        <v>1.3988999999999999E-4</v>
      </c>
      <c r="J8229" s="9">
        <v>1.5076E-4</v>
      </c>
      <c r="K8229" s="9">
        <v>2.8823E-4</v>
      </c>
      <c r="L8229" s="9">
        <v>1.3232000000000001E-4</v>
      </c>
      <c r="M8229" s="9">
        <v>1.3353E-4</v>
      </c>
      <c r="N8229" s="9">
        <v>1.5205000000000001E-4</v>
      </c>
      <c r="O8229" s="9">
        <v>1.3967E-4</v>
      </c>
      <c r="P8229" s="9">
        <v>1.2188000000000001E-4</v>
      </c>
      <c r="Q8229" s="9">
        <v>1.0607000000000001E-4</v>
      </c>
      <c r="R8229" s="10">
        <v>1.8948548352945192E-4</v>
      </c>
      <c r="S8229" s="10">
        <v>1.8960378837647239E-4</v>
      </c>
      <c r="T8229" s="10">
        <v>0</v>
      </c>
      <c r="U8229" s="10">
        <v>1.1525E-4</v>
      </c>
      <c r="V8229" s="25"/>
      <c r="W8229" s="25"/>
      <c r="X8229" s="25"/>
      <c r="Y8229" s="25"/>
      <c r="Z8229" s="25"/>
      <c r="AA8229" s="25"/>
    </row>
    <row r="8230" spans="1:27" x14ac:dyDescent="0.35">
      <c r="A8230" s="5">
        <v>8226</v>
      </c>
      <c r="B8230" s="5">
        <v>343</v>
      </c>
      <c r="C8230" s="5">
        <v>12</v>
      </c>
      <c r="D8230" s="25">
        <v>1.1415000000000001E-4</v>
      </c>
      <c r="E8230" s="25">
        <v>1.1472999999999999E-4</v>
      </c>
      <c r="F8230" s="25">
        <v>1.0891E-4</v>
      </c>
      <c r="G8230" s="25">
        <v>1.6203999999999999E-4</v>
      </c>
      <c r="H8230" s="25">
        <v>4.1709999999999999E-5</v>
      </c>
      <c r="I8230" s="9">
        <v>1.4866E-4</v>
      </c>
      <c r="J8230" s="9">
        <v>1.5757999999999999E-4</v>
      </c>
      <c r="K8230" s="9">
        <v>2.9245999999999997E-4</v>
      </c>
      <c r="L8230" s="9">
        <v>1.3776000000000001E-4</v>
      </c>
      <c r="M8230" s="9">
        <v>1.2721E-4</v>
      </c>
      <c r="N8230" s="9">
        <v>1.3852999999999999E-4</v>
      </c>
      <c r="O8230" s="9">
        <v>1.4075000000000001E-4</v>
      </c>
      <c r="P8230" s="9">
        <v>1.2786000000000001E-4</v>
      </c>
      <c r="Q8230" s="9">
        <v>1.1689E-4</v>
      </c>
      <c r="R8230" s="10">
        <v>2.0722728042322941E-4</v>
      </c>
      <c r="S8230" s="10">
        <v>1.9028299639934187E-4</v>
      </c>
      <c r="T8230" s="10">
        <v>0</v>
      </c>
      <c r="U8230" s="10">
        <v>1.1525E-4</v>
      </c>
      <c r="V8230" s="25"/>
      <c r="W8230" s="25"/>
      <c r="X8230" s="25"/>
      <c r="Y8230" s="25"/>
      <c r="Z8230" s="25"/>
      <c r="AA8230" s="25"/>
    </row>
    <row r="8231" spans="1:27" x14ac:dyDescent="0.35">
      <c r="A8231" s="5">
        <v>8227</v>
      </c>
      <c r="B8231" s="5">
        <v>343</v>
      </c>
      <c r="C8231" s="5">
        <v>12</v>
      </c>
      <c r="D8231" s="25">
        <v>1.1416E-4</v>
      </c>
      <c r="E8231" s="25">
        <v>1.1315E-4</v>
      </c>
      <c r="F8231" s="25">
        <v>1.1385E-4</v>
      </c>
      <c r="G8231" s="25">
        <v>1.0755E-4</v>
      </c>
      <c r="H8231" s="25">
        <v>2.853E-5</v>
      </c>
      <c r="I8231" s="9">
        <v>1.4783E-4</v>
      </c>
      <c r="J8231" s="9">
        <v>1.5181999999999999E-4</v>
      </c>
      <c r="K8231" s="9">
        <v>2.9034999999999998E-4</v>
      </c>
      <c r="L8231" s="9">
        <v>1.4002E-4</v>
      </c>
      <c r="M8231" s="9">
        <v>1.2596999999999999E-4</v>
      </c>
      <c r="N8231" s="9">
        <v>1.2941E-4</v>
      </c>
      <c r="O8231" s="9">
        <v>1.417E-4</v>
      </c>
      <c r="P8231" s="9">
        <v>1.2311000000000001E-4</v>
      </c>
      <c r="Q8231" s="9">
        <v>1.0656E-4</v>
      </c>
      <c r="R8231" s="10">
        <v>2.1112866171865948E-4</v>
      </c>
      <c r="S8231" s="10">
        <v>1.9029020759484994E-4</v>
      </c>
      <c r="T8231" s="10">
        <v>0</v>
      </c>
      <c r="U8231" s="10">
        <v>1.1525E-4</v>
      </c>
      <c r="V8231" s="25"/>
      <c r="W8231" s="25"/>
      <c r="X8231" s="25"/>
      <c r="Y8231" s="25"/>
      <c r="Z8231" s="25"/>
      <c r="AA8231" s="25"/>
    </row>
    <row r="8232" spans="1:27" x14ac:dyDescent="0.35">
      <c r="A8232" s="5">
        <v>8228</v>
      </c>
      <c r="B8232" s="5">
        <v>343</v>
      </c>
      <c r="C8232" s="5">
        <v>12</v>
      </c>
      <c r="D8232" s="25">
        <v>1.1415000000000001E-4</v>
      </c>
      <c r="E8232" s="25">
        <v>1.2135E-4</v>
      </c>
      <c r="F8232" s="25">
        <v>1.1279E-4</v>
      </c>
      <c r="G8232" s="25">
        <v>1.0808E-4</v>
      </c>
      <c r="H8232" s="25">
        <v>2.8350000000000001E-5</v>
      </c>
      <c r="I8232" s="9">
        <v>1.417E-4</v>
      </c>
      <c r="J8232" s="9">
        <v>1.4715999999999999E-4</v>
      </c>
      <c r="K8232" s="9">
        <v>2.8186999999999998E-4</v>
      </c>
      <c r="L8232" s="9">
        <v>1.4130999999999999E-4</v>
      </c>
      <c r="M8232" s="9">
        <v>1.249E-4</v>
      </c>
      <c r="N8232" s="9">
        <v>1.2029E-4</v>
      </c>
      <c r="O8232" s="9">
        <v>1.4491999999999999E-4</v>
      </c>
      <c r="P8232" s="9">
        <v>1.2235999999999999E-4</v>
      </c>
      <c r="Q8232" s="9">
        <v>1.0194E-4</v>
      </c>
      <c r="R8232" s="10">
        <v>2.119061506121881E-4</v>
      </c>
      <c r="S8232" s="10">
        <v>1.9029020759484994E-4</v>
      </c>
      <c r="T8232" s="10">
        <v>0</v>
      </c>
      <c r="U8232" s="10">
        <v>1.1525E-4</v>
      </c>
      <c r="V8232" s="25"/>
      <c r="W8232" s="25"/>
      <c r="X8232" s="25"/>
      <c r="Y8232" s="25"/>
      <c r="Z8232" s="25"/>
      <c r="AA8232" s="25"/>
    </row>
    <row r="8233" spans="1:27" x14ac:dyDescent="0.35">
      <c r="A8233" s="5">
        <v>8229</v>
      </c>
      <c r="B8233" s="5">
        <v>343</v>
      </c>
      <c r="C8233" s="5">
        <v>12</v>
      </c>
      <c r="D8233" s="25">
        <v>1.1416E-4</v>
      </c>
      <c r="E8233" s="25">
        <v>1.2150999999999999E-4</v>
      </c>
      <c r="F8233" s="25">
        <v>1.2271999999999999E-4</v>
      </c>
      <c r="G8233" s="25">
        <v>5.3539999999999999E-5</v>
      </c>
      <c r="H8233" s="25">
        <v>1.395E-5</v>
      </c>
      <c r="I8233" s="9">
        <v>1.3526E-4</v>
      </c>
      <c r="J8233" s="9">
        <v>1.4039E-4</v>
      </c>
      <c r="K8233" s="9">
        <v>3.0306000000000002E-4</v>
      </c>
      <c r="L8233" s="9">
        <v>1.4412999999999999E-4</v>
      </c>
      <c r="M8233" s="9">
        <v>1.2375E-4</v>
      </c>
      <c r="N8233" s="9">
        <v>1.1273E-4</v>
      </c>
      <c r="O8233" s="9">
        <v>8.4179999999999997E-5</v>
      </c>
      <c r="P8233" s="9">
        <v>8.5649999999999995E-5</v>
      </c>
      <c r="Q8233" s="9">
        <v>8.763E-5</v>
      </c>
      <c r="R8233" s="10">
        <v>2.1223488990066629E-4</v>
      </c>
      <c r="S8233" s="10">
        <v>1.9028641733138902E-4</v>
      </c>
      <c r="T8233" s="10">
        <v>0</v>
      </c>
      <c r="U8233" s="10">
        <v>1.1525E-4</v>
      </c>
      <c r="V8233" s="25"/>
      <c r="W8233" s="25"/>
      <c r="X8233" s="25"/>
      <c r="Y8233" s="25"/>
      <c r="Z8233" s="25"/>
      <c r="AA8233" s="25"/>
    </row>
    <row r="8234" spans="1:27" x14ac:dyDescent="0.35">
      <c r="A8234" s="5">
        <v>8230</v>
      </c>
      <c r="B8234" s="5">
        <v>343</v>
      </c>
      <c r="C8234" s="5">
        <v>12</v>
      </c>
      <c r="D8234" s="25">
        <v>1.1415000000000001E-4</v>
      </c>
      <c r="E8234" s="25">
        <v>1.2074E-4</v>
      </c>
      <c r="F8234" s="25">
        <v>1.0231E-4</v>
      </c>
      <c r="G8234" s="25">
        <v>5.6759999999999999E-5</v>
      </c>
      <c r="H8234" s="25">
        <v>1.5E-5</v>
      </c>
      <c r="I8234" s="9">
        <v>1.2976E-4</v>
      </c>
      <c r="J8234" s="9">
        <v>1.3142000000000001E-4</v>
      </c>
      <c r="K8234" s="9">
        <v>3.2849000000000002E-4</v>
      </c>
      <c r="L8234" s="9">
        <v>9.7299999999999993E-5</v>
      </c>
      <c r="M8234" s="9">
        <v>1.097E-4</v>
      </c>
      <c r="N8234" s="9">
        <v>1.0511E-4</v>
      </c>
      <c r="O8234" s="9">
        <v>8.7379999999999993E-5</v>
      </c>
      <c r="P8234" s="9">
        <v>8.7429999999999995E-5</v>
      </c>
      <c r="Q8234" s="9">
        <v>8.8079999999999997E-5</v>
      </c>
      <c r="R8234" s="10">
        <v>2.1237513133527273E-4</v>
      </c>
      <c r="S8234" s="10">
        <v>1.9023467673607151E-4</v>
      </c>
      <c r="T8234" s="10">
        <v>0</v>
      </c>
      <c r="U8234" s="10">
        <v>1.1525E-4</v>
      </c>
      <c r="V8234" s="25"/>
      <c r="W8234" s="25"/>
      <c r="X8234" s="25"/>
      <c r="Y8234" s="25"/>
      <c r="Z8234" s="25"/>
      <c r="AA8234" s="25"/>
    </row>
    <row r="8235" spans="1:27" x14ac:dyDescent="0.35">
      <c r="A8235" s="5">
        <v>8231</v>
      </c>
      <c r="B8235" s="5">
        <v>343</v>
      </c>
      <c r="C8235" s="5">
        <v>12</v>
      </c>
      <c r="D8235" s="25">
        <v>1.1416E-4</v>
      </c>
      <c r="E8235" s="25">
        <v>1.2327E-4</v>
      </c>
      <c r="F8235" s="25">
        <v>1.1334E-4</v>
      </c>
      <c r="G8235" s="25">
        <v>5.3579999999999999E-5</v>
      </c>
      <c r="H8235" s="25">
        <v>1.418E-5</v>
      </c>
      <c r="I8235" s="9">
        <v>1.2904999999999999E-4</v>
      </c>
      <c r="J8235" s="9">
        <v>1.2116999999999999E-4</v>
      </c>
      <c r="K8235" s="9">
        <v>3.0941999999999998E-4</v>
      </c>
      <c r="L8235" s="9">
        <v>9.0859999999999994E-5</v>
      </c>
      <c r="M8235" s="9">
        <v>9.789E-5</v>
      </c>
      <c r="N8235" s="9">
        <v>9.9400000000000004E-5</v>
      </c>
      <c r="O8235" s="9">
        <v>8.4950000000000005E-5</v>
      </c>
      <c r="P8235" s="9">
        <v>7.5630000000000006E-5</v>
      </c>
      <c r="Q8235" s="9">
        <v>6.6989999999999994E-5</v>
      </c>
      <c r="R8235" s="10">
        <v>2.1241976913055673E-4</v>
      </c>
      <c r="S8235" s="10">
        <v>1.9023469972496721E-4</v>
      </c>
      <c r="T8235" s="10">
        <v>0</v>
      </c>
      <c r="U8235" s="10">
        <v>1.1525E-4</v>
      </c>
      <c r="V8235" s="25"/>
      <c r="W8235" s="25"/>
      <c r="X8235" s="25"/>
      <c r="Y8235" s="25"/>
      <c r="Z8235" s="25"/>
      <c r="AA8235" s="25"/>
    </row>
    <row r="8236" spans="1:27" x14ac:dyDescent="0.35">
      <c r="A8236" s="5">
        <v>8232</v>
      </c>
      <c r="B8236" s="5">
        <v>343</v>
      </c>
      <c r="C8236" s="5">
        <v>12</v>
      </c>
      <c r="D8236" s="25">
        <v>1.1415000000000001E-4</v>
      </c>
      <c r="E8236" s="25">
        <v>1.1475E-4</v>
      </c>
      <c r="F8236" s="25">
        <v>1.0446999999999999E-4</v>
      </c>
      <c r="G8236" s="25">
        <v>5.6889999999999999E-5</v>
      </c>
      <c r="H8236" s="25">
        <v>1.5860000000000001E-5</v>
      </c>
      <c r="I8236" s="9">
        <v>1.2740000000000001E-4</v>
      </c>
      <c r="J8236" s="9">
        <v>1.1272E-4</v>
      </c>
      <c r="K8236" s="9">
        <v>3.1577999999999999E-4</v>
      </c>
      <c r="L8236" s="9">
        <v>8.6470000000000004E-5</v>
      </c>
      <c r="M8236" s="9">
        <v>8.7109999999999998E-5</v>
      </c>
      <c r="N8236" s="9">
        <v>9.0270000000000001E-5</v>
      </c>
      <c r="O8236" s="9">
        <v>7.9320000000000006E-5</v>
      </c>
      <c r="P8236" s="9">
        <v>6.8819999999999995E-5</v>
      </c>
      <c r="Q8236" s="9">
        <v>5.8909999999999997E-5</v>
      </c>
      <c r="R8236" s="10">
        <v>2.1243014475131225E-4</v>
      </c>
      <c r="S8236" s="10">
        <v>1.8983856629219839E-4</v>
      </c>
      <c r="T8236" s="10">
        <v>0</v>
      </c>
      <c r="U8236" s="10">
        <v>1.1525E-4</v>
      </c>
      <c r="V8236" s="25"/>
      <c r="W8236" s="25"/>
      <c r="X8236" s="25"/>
      <c r="Y8236" s="25"/>
      <c r="Z8236" s="25"/>
      <c r="AA8236" s="25"/>
    </row>
    <row r="8237" spans="1:27" x14ac:dyDescent="0.35">
      <c r="A8237" s="5">
        <v>8233</v>
      </c>
      <c r="B8237" s="5">
        <v>344</v>
      </c>
      <c r="C8237" s="5">
        <v>12</v>
      </c>
      <c r="D8237" s="25">
        <v>1.1416E-4</v>
      </c>
      <c r="E8237" s="25">
        <v>1.0923E-4</v>
      </c>
      <c r="F8237" s="25">
        <v>1.1319000000000001E-4</v>
      </c>
      <c r="G8237" s="25">
        <v>5.7439999999999999E-5</v>
      </c>
      <c r="H8237" s="25">
        <v>6.402E-5</v>
      </c>
      <c r="I8237" s="9">
        <v>1.1972E-4</v>
      </c>
      <c r="J8237" s="9">
        <v>1.058E-4</v>
      </c>
      <c r="K8237" s="9">
        <v>3.2849000000000002E-4</v>
      </c>
      <c r="L8237" s="9">
        <v>8.0669999999999998E-5</v>
      </c>
      <c r="M8237" s="9">
        <v>7.8100000000000001E-5</v>
      </c>
      <c r="N8237" s="9">
        <v>8.0980000000000001E-5</v>
      </c>
      <c r="O8237" s="9">
        <v>5.4830000000000002E-5</v>
      </c>
      <c r="P8237" s="9">
        <v>5.4240000000000002E-5</v>
      </c>
      <c r="Q8237" s="9">
        <v>5.3820000000000003E-5</v>
      </c>
      <c r="R8237" s="10">
        <v>2.1243504287925103E-4</v>
      </c>
      <c r="S8237" s="10">
        <v>1.8991738775786911E-4</v>
      </c>
      <c r="T8237" s="10">
        <v>0</v>
      </c>
      <c r="U8237" s="10">
        <v>1.1368E-4</v>
      </c>
      <c r="V8237" s="25"/>
      <c r="W8237" s="25"/>
      <c r="X8237" s="25"/>
      <c r="Y8237" s="25"/>
      <c r="Z8237" s="25"/>
      <c r="AA8237" s="25"/>
    </row>
    <row r="8238" spans="1:27" x14ac:dyDescent="0.35">
      <c r="A8238" s="5">
        <v>8234</v>
      </c>
      <c r="B8238" s="5">
        <v>344</v>
      </c>
      <c r="C8238" s="5">
        <v>12</v>
      </c>
      <c r="D8238" s="25">
        <v>1.1415000000000001E-4</v>
      </c>
      <c r="E8238" s="25">
        <v>1.0853000000000001E-4</v>
      </c>
      <c r="F8238" s="25">
        <v>1.0026000000000001E-4</v>
      </c>
      <c r="G8238" s="25">
        <v>5.6400000000000002E-5</v>
      </c>
      <c r="H8238" s="25">
        <v>6.3250000000000006E-5</v>
      </c>
      <c r="I8238" s="9">
        <v>1.1273999999999999E-4</v>
      </c>
      <c r="J8238" s="9">
        <v>1.009E-4</v>
      </c>
      <c r="K8238" s="9">
        <v>3.3273999999999999E-4</v>
      </c>
      <c r="L8238" s="9">
        <v>6.0659999999999999E-5</v>
      </c>
      <c r="M8238" s="9">
        <v>6.7399999999999998E-5</v>
      </c>
      <c r="N8238" s="9">
        <v>7.203E-5</v>
      </c>
      <c r="O8238" s="9">
        <v>1.8260000000000001E-5</v>
      </c>
      <c r="P8238" s="9">
        <v>3.7440000000000001E-5</v>
      </c>
      <c r="Q8238" s="9">
        <v>5.5720000000000002E-5</v>
      </c>
      <c r="R8238" s="10">
        <v>2.1243343113734565E-4</v>
      </c>
      <c r="S8238" s="10">
        <v>1.8958355155607488E-4</v>
      </c>
      <c r="T8238" s="10">
        <v>0</v>
      </c>
      <c r="U8238" s="10">
        <v>1.1368E-4</v>
      </c>
      <c r="V8238" s="25"/>
      <c r="W8238" s="25"/>
      <c r="X8238" s="25"/>
      <c r="Y8238" s="25"/>
      <c r="Z8238" s="25"/>
      <c r="AA8238" s="25"/>
    </row>
    <row r="8239" spans="1:27" x14ac:dyDescent="0.35">
      <c r="A8239" s="5">
        <v>8235</v>
      </c>
      <c r="B8239" s="5">
        <v>344</v>
      </c>
      <c r="C8239" s="5">
        <v>12</v>
      </c>
      <c r="D8239" s="25">
        <v>1.1416E-4</v>
      </c>
      <c r="E8239" s="25">
        <v>1.0547E-4</v>
      </c>
      <c r="F8239" s="25">
        <v>1.0969E-4</v>
      </c>
      <c r="G8239" s="25">
        <v>5.3869999999999998E-5</v>
      </c>
      <c r="H8239" s="25">
        <v>6.8380000000000006E-5</v>
      </c>
      <c r="I8239" s="9">
        <v>1.0838E-4</v>
      </c>
      <c r="J8239" s="9">
        <v>9.8339999999999997E-5</v>
      </c>
      <c r="K8239" s="9">
        <v>3.4757000000000001E-4</v>
      </c>
      <c r="L8239" s="9">
        <v>2.813E-5</v>
      </c>
      <c r="M8239" s="9">
        <v>5.3990000000000003E-5</v>
      </c>
      <c r="N8239" s="9">
        <v>6.5419999999999994E-5</v>
      </c>
      <c r="O8239" s="9">
        <v>1.2809999999999999E-5</v>
      </c>
      <c r="P8239" s="9">
        <v>3.7639999999999999E-5</v>
      </c>
      <c r="Q8239" s="9">
        <v>6.135E-5</v>
      </c>
      <c r="R8239" s="10">
        <v>2.1243047314505953E-4</v>
      </c>
      <c r="S8239" s="10">
        <v>1.9015683976961908E-4</v>
      </c>
      <c r="T8239" s="10">
        <v>0</v>
      </c>
      <c r="U8239" s="10">
        <v>1.1368E-4</v>
      </c>
      <c r="V8239" s="25"/>
      <c r="W8239" s="25"/>
      <c r="X8239" s="25"/>
      <c r="Y8239" s="25"/>
      <c r="Z8239" s="25"/>
      <c r="AA8239" s="25"/>
    </row>
    <row r="8240" spans="1:27" x14ac:dyDescent="0.35">
      <c r="A8240" s="5">
        <v>8236</v>
      </c>
      <c r="B8240" s="5">
        <v>344</v>
      </c>
      <c r="C8240" s="5">
        <v>12</v>
      </c>
      <c r="D8240" s="25">
        <v>1.1415000000000001E-4</v>
      </c>
      <c r="E8240" s="25">
        <v>1.1053E-4</v>
      </c>
      <c r="F8240" s="25">
        <v>1.1186E-4</v>
      </c>
      <c r="G8240" s="25">
        <v>5.3529999999999997E-5</v>
      </c>
      <c r="H8240" s="25">
        <v>6.9989999999999999E-5</v>
      </c>
      <c r="I8240" s="9">
        <v>1.0778E-4</v>
      </c>
      <c r="J8240" s="9">
        <v>9.7380000000000006E-5</v>
      </c>
      <c r="K8240" s="9">
        <v>3.7088000000000003E-4</v>
      </c>
      <c r="L8240" s="9">
        <v>1.7059999999999999E-5</v>
      </c>
      <c r="M8240" s="9">
        <v>4.4860000000000001E-5</v>
      </c>
      <c r="N8240" s="9">
        <v>6.1820000000000001E-5</v>
      </c>
      <c r="O8240" s="9">
        <v>1.2830000000000001E-5</v>
      </c>
      <c r="P8240" s="9">
        <v>4.7089999999999998E-5</v>
      </c>
      <c r="Q8240" s="9">
        <v>8.0099999999999995E-5</v>
      </c>
      <c r="R8240" s="10">
        <v>2.1243246534840903E-4</v>
      </c>
      <c r="S8240" s="10">
        <v>1.9021680001007535E-4</v>
      </c>
      <c r="T8240" s="10">
        <v>0</v>
      </c>
      <c r="U8240" s="10">
        <v>1.1368E-4</v>
      </c>
      <c r="V8240" s="25"/>
      <c r="W8240" s="25"/>
      <c r="X8240" s="25"/>
      <c r="Y8240" s="25"/>
      <c r="Z8240" s="25"/>
      <c r="AA8240" s="25"/>
    </row>
    <row r="8241" spans="1:27" x14ac:dyDescent="0.35">
      <c r="A8241" s="5">
        <v>8237</v>
      </c>
      <c r="B8241" s="5">
        <v>344</v>
      </c>
      <c r="C8241" s="5">
        <v>12</v>
      </c>
      <c r="D8241" s="25">
        <v>1.1416E-4</v>
      </c>
      <c r="E8241" s="25">
        <v>1.1294999999999999E-4</v>
      </c>
      <c r="F8241" s="25">
        <v>1.0861000000000001E-4</v>
      </c>
      <c r="G8241" s="25">
        <v>5.7939999999999998E-5</v>
      </c>
      <c r="H8241" s="25">
        <v>7.305E-5</v>
      </c>
      <c r="I8241" s="9">
        <v>1.0792E-4</v>
      </c>
      <c r="J8241" s="9">
        <v>9.7720000000000006E-5</v>
      </c>
      <c r="K8241" s="9">
        <v>3.7088000000000003E-4</v>
      </c>
      <c r="L8241" s="9">
        <v>1.394E-5</v>
      </c>
      <c r="M8241" s="9">
        <v>4.3649999999999997E-5</v>
      </c>
      <c r="N8241" s="9">
        <v>6.4309999999999999E-5</v>
      </c>
      <c r="O8241" s="9">
        <v>1.8300000000000001E-5</v>
      </c>
      <c r="P8241" s="9">
        <v>5.6310000000000001E-5</v>
      </c>
      <c r="Q8241" s="9">
        <v>9.3109999999999995E-5</v>
      </c>
      <c r="R8241" s="10">
        <v>2.1243680931293886E-4</v>
      </c>
      <c r="S8241" s="10">
        <v>1.9011804604876362E-4</v>
      </c>
      <c r="T8241" s="10">
        <v>0</v>
      </c>
      <c r="U8241" s="10">
        <v>1.1368E-4</v>
      </c>
      <c r="V8241" s="25"/>
      <c r="W8241" s="25"/>
      <c r="X8241" s="25"/>
      <c r="Y8241" s="25"/>
      <c r="Z8241" s="25"/>
      <c r="AA8241" s="25"/>
    </row>
    <row r="8242" spans="1:27" x14ac:dyDescent="0.35">
      <c r="A8242" s="5">
        <v>8238</v>
      </c>
      <c r="B8242" s="5">
        <v>344</v>
      </c>
      <c r="C8242" s="5">
        <v>12</v>
      </c>
      <c r="D8242" s="25">
        <v>1.1415000000000001E-4</v>
      </c>
      <c r="E8242" s="25">
        <v>1.0946E-4</v>
      </c>
      <c r="F8242" s="25">
        <v>1.2147E-4</v>
      </c>
      <c r="G8242" s="25">
        <v>1.1521E-4</v>
      </c>
      <c r="H8242" s="25">
        <v>1.3092E-4</v>
      </c>
      <c r="I8242" s="9">
        <v>1.1249E-4</v>
      </c>
      <c r="J8242" s="9">
        <v>1.0179999999999999E-4</v>
      </c>
      <c r="K8242" s="9">
        <v>3.6664E-4</v>
      </c>
      <c r="L8242" s="9">
        <v>1.721E-5</v>
      </c>
      <c r="M8242" s="9">
        <v>4.8279999999999999E-5</v>
      </c>
      <c r="N8242" s="9">
        <v>7.0759999999999993E-5</v>
      </c>
      <c r="O8242" s="9">
        <v>4.6140000000000002E-5</v>
      </c>
      <c r="P8242" s="9">
        <v>7.6779999999999993E-5</v>
      </c>
      <c r="Q8242" s="9">
        <v>1.0692E-4</v>
      </c>
      <c r="R8242" s="10">
        <v>2.1243830955865192E-4</v>
      </c>
      <c r="S8242" s="10">
        <v>1.902116879004795E-4</v>
      </c>
      <c r="T8242" s="10">
        <v>0</v>
      </c>
      <c r="U8242" s="10">
        <v>1.1368E-4</v>
      </c>
      <c r="V8242" s="25"/>
      <c r="W8242" s="25"/>
      <c r="X8242" s="25"/>
      <c r="Y8242" s="25"/>
      <c r="Z8242" s="25"/>
      <c r="AA8242" s="25"/>
    </row>
    <row r="8243" spans="1:27" x14ac:dyDescent="0.35">
      <c r="A8243" s="5">
        <v>8239</v>
      </c>
      <c r="B8243" s="5">
        <v>344</v>
      </c>
      <c r="C8243" s="5">
        <v>12</v>
      </c>
      <c r="D8243" s="25">
        <v>1.1416E-4</v>
      </c>
      <c r="E8243" s="25">
        <v>1.0368E-4</v>
      </c>
      <c r="F8243" s="25">
        <v>1.2121999999999999E-4</v>
      </c>
      <c r="G8243" s="25">
        <v>1.155E-4</v>
      </c>
      <c r="H8243" s="25">
        <v>1.3716999999999999E-4</v>
      </c>
      <c r="I8243" s="9">
        <v>1.2609000000000001E-4</v>
      </c>
      <c r="J8243" s="9">
        <v>1.1365E-4</v>
      </c>
      <c r="K8243" s="9">
        <v>3.7512E-4</v>
      </c>
      <c r="L8243" s="9">
        <v>3.9629999999999998E-5</v>
      </c>
      <c r="M8243" s="9">
        <v>5.9849999999999998E-5</v>
      </c>
      <c r="N8243" s="9">
        <v>8.0459999999999999E-5</v>
      </c>
      <c r="O8243" s="9">
        <v>1.2284000000000001E-4</v>
      </c>
      <c r="P8243" s="9">
        <v>1.1625000000000001E-4</v>
      </c>
      <c r="Q8243" s="9">
        <v>1.1136E-4</v>
      </c>
      <c r="R8243" s="10">
        <v>2.1243978929634706E-4</v>
      </c>
      <c r="S8243" s="10">
        <v>1.902526673819537E-4</v>
      </c>
      <c r="T8243" s="10">
        <v>0</v>
      </c>
      <c r="U8243" s="10">
        <v>1.1368E-4</v>
      </c>
      <c r="V8243" s="25"/>
      <c r="W8243" s="25"/>
      <c r="X8243" s="25"/>
      <c r="Y8243" s="25"/>
      <c r="Z8243" s="25"/>
      <c r="AA8243" s="25"/>
    </row>
    <row r="8244" spans="1:27" x14ac:dyDescent="0.35">
      <c r="A8244" s="5">
        <v>8240</v>
      </c>
      <c r="B8244" s="5">
        <v>344</v>
      </c>
      <c r="C8244" s="5">
        <v>12</v>
      </c>
      <c r="D8244" s="25">
        <v>1.1415000000000001E-4</v>
      </c>
      <c r="E8244" s="25">
        <v>1.0664E-4</v>
      </c>
      <c r="F8244" s="25">
        <v>1.1438999999999999E-4</v>
      </c>
      <c r="G8244" s="25">
        <v>1.6679999999999999E-4</v>
      </c>
      <c r="H8244" s="25">
        <v>1.9164E-4</v>
      </c>
      <c r="I8244" s="9">
        <v>1.3815E-4</v>
      </c>
      <c r="J8244" s="9">
        <v>1.3233E-4</v>
      </c>
      <c r="K8244" s="9">
        <v>3.7512E-4</v>
      </c>
      <c r="L8244" s="9">
        <v>1.0391E-4</v>
      </c>
      <c r="M8244" s="9">
        <v>8.3159999999999997E-5</v>
      </c>
      <c r="N8244" s="9">
        <v>9.0370000000000004E-5</v>
      </c>
      <c r="O8244" s="9">
        <v>2.2147000000000001E-4</v>
      </c>
      <c r="P8244" s="9">
        <v>1.7687000000000001E-4</v>
      </c>
      <c r="Q8244" s="9">
        <v>1.3663E-4</v>
      </c>
      <c r="R8244" s="10">
        <v>2.1243835720966979E-4</v>
      </c>
      <c r="S8244" s="10">
        <v>1.9024853386366387E-4</v>
      </c>
      <c r="T8244" s="10">
        <v>0</v>
      </c>
      <c r="U8244" s="10">
        <v>1.1368E-4</v>
      </c>
      <c r="V8244" s="25"/>
      <c r="W8244" s="25"/>
      <c r="X8244" s="25"/>
      <c r="Y8244" s="25"/>
      <c r="Z8244" s="25"/>
      <c r="AA8244" s="25"/>
    </row>
    <row r="8245" spans="1:27" x14ac:dyDescent="0.35">
      <c r="A8245" s="5">
        <v>8241</v>
      </c>
      <c r="B8245" s="5">
        <v>344</v>
      </c>
      <c r="C8245" s="5">
        <v>12</v>
      </c>
      <c r="D8245" s="25">
        <v>1.1416E-4</v>
      </c>
      <c r="E8245" s="25">
        <v>1.0956E-4</v>
      </c>
      <c r="F8245" s="25">
        <v>1.0509E-4</v>
      </c>
      <c r="G8245" s="25">
        <v>1.5934E-4</v>
      </c>
      <c r="H8245" s="25">
        <v>1.9916000000000001E-4</v>
      </c>
      <c r="I8245" s="9">
        <v>1.4383000000000001E-4</v>
      </c>
      <c r="J8245" s="9">
        <v>1.4548999999999999E-4</v>
      </c>
      <c r="K8245" s="9">
        <v>3.6664E-4</v>
      </c>
      <c r="L8245" s="9">
        <v>1.9385E-4</v>
      </c>
      <c r="M8245" s="9">
        <v>1.2292E-4</v>
      </c>
      <c r="N8245" s="9">
        <v>1.0416000000000001E-4</v>
      </c>
      <c r="O8245" s="9">
        <v>2.1096999999999999E-4</v>
      </c>
      <c r="P8245" s="9">
        <v>1.9112E-4</v>
      </c>
      <c r="Q8245" s="9">
        <v>1.7503000000000001E-4</v>
      </c>
      <c r="R8245" s="10">
        <v>2.1243185179633733E-4</v>
      </c>
      <c r="S8245" s="10">
        <v>1.9023112243907631E-4</v>
      </c>
      <c r="T8245" s="10">
        <v>4.1030071657289211E-5</v>
      </c>
      <c r="U8245" s="10">
        <v>1.1368E-4</v>
      </c>
      <c r="V8245" s="25"/>
      <c r="W8245" s="25"/>
      <c r="X8245" s="25"/>
      <c r="Y8245" s="25"/>
      <c r="Z8245" s="25"/>
      <c r="AA8245" s="25"/>
    </row>
    <row r="8246" spans="1:27" x14ac:dyDescent="0.35">
      <c r="A8246" s="5">
        <v>8242</v>
      </c>
      <c r="B8246" s="5">
        <v>344</v>
      </c>
      <c r="C8246" s="5">
        <v>12</v>
      </c>
      <c r="D8246" s="25">
        <v>1.1415000000000001E-4</v>
      </c>
      <c r="E8246" s="25">
        <v>1.0579E-4</v>
      </c>
      <c r="F8246" s="25">
        <v>1.0325E-4</v>
      </c>
      <c r="G8246" s="25">
        <v>1.5877E-4</v>
      </c>
      <c r="H8246" s="25">
        <v>1.9945999999999999E-4</v>
      </c>
      <c r="I8246" s="9">
        <v>1.4475999999999999E-4</v>
      </c>
      <c r="J8246" s="9">
        <v>1.4936999999999999E-4</v>
      </c>
      <c r="K8246" s="9">
        <v>3.5392000000000003E-4</v>
      </c>
      <c r="L8246" s="9">
        <v>2.0484E-4</v>
      </c>
      <c r="M8246" s="9">
        <v>1.5756E-4</v>
      </c>
      <c r="N8246" s="9">
        <v>1.2384000000000001E-4</v>
      </c>
      <c r="O8246" s="9">
        <v>1.6823000000000001E-4</v>
      </c>
      <c r="P8246" s="9">
        <v>1.7375999999999999E-4</v>
      </c>
      <c r="Q8246" s="9">
        <v>1.8175E-4</v>
      </c>
      <c r="R8246" s="10">
        <v>2.1239722415837276E-4</v>
      </c>
      <c r="S8246" s="10">
        <v>1.9024965327828417E-4</v>
      </c>
      <c r="T8246" s="10">
        <v>1.6518930834727477E-5</v>
      </c>
      <c r="U8246" s="10">
        <v>1.1368E-4</v>
      </c>
      <c r="V8246" s="25"/>
      <c r="W8246" s="25"/>
      <c r="X8246" s="25"/>
      <c r="Y8246" s="25"/>
      <c r="Z8246" s="25"/>
      <c r="AA8246" s="25"/>
    </row>
    <row r="8247" spans="1:27" x14ac:dyDescent="0.35">
      <c r="A8247" s="5">
        <v>8243</v>
      </c>
      <c r="B8247" s="5">
        <v>344</v>
      </c>
      <c r="C8247" s="5">
        <v>12</v>
      </c>
      <c r="D8247" s="25">
        <v>1.1416E-4</v>
      </c>
      <c r="E8247" s="25">
        <v>1.0933E-4</v>
      </c>
      <c r="F8247" s="25">
        <v>1.0993E-4</v>
      </c>
      <c r="G8247" s="25">
        <v>1.5857999999999999E-4</v>
      </c>
      <c r="H8247" s="25">
        <v>1.9038E-4</v>
      </c>
      <c r="I8247" s="9">
        <v>1.4344E-4</v>
      </c>
      <c r="J8247" s="9">
        <v>1.5011000000000001E-4</v>
      </c>
      <c r="K8247" s="9">
        <v>3.4968E-4</v>
      </c>
      <c r="L8247" s="9">
        <v>1.7639000000000001E-4</v>
      </c>
      <c r="M8247" s="9">
        <v>1.7139E-4</v>
      </c>
      <c r="N8247" s="9">
        <v>1.4195000000000001E-4</v>
      </c>
      <c r="O8247" s="9">
        <v>1.6810999999999999E-4</v>
      </c>
      <c r="P8247" s="9">
        <v>1.7228999999999999E-4</v>
      </c>
      <c r="Q8247" s="9">
        <v>1.7895000000000001E-4</v>
      </c>
      <c r="R8247" s="10">
        <v>2.1234135587743419E-4</v>
      </c>
      <c r="S8247" s="10">
        <v>1.9026533353935887E-4</v>
      </c>
      <c r="T8247" s="10">
        <v>2.139825139099444E-4</v>
      </c>
      <c r="U8247" s="10">
        <v>1.1368E-4</v>
      </c>
      <c r="V8247" s="25"/>
      <c r="W8247" s="25"/>
      <c r="X8247" s="25"/>
      <c r="Y8247" s="25"/>
      <c r="Z8247" s="25"/>
      <c r="AA8247" s="25"/>
    </row>
    <row r="8248" spans="1:27" x14ac:dyDescent="0.35">
      <c r="A8248" s="5">
        <v>8244</v>
      </c>
      <c r="B8248" s="5">
        <v>344</v>
      </c>
      <c r="C8248" s="5">
        <v>12</v>
      </c>
      <c r="D8248" s="25">
        <v>1.1415000000000001E-4</v>
      </c>
      <c r="E8248" s="25">
        <v>1.086E-4</v>
      </c>
      <c r="F8248" s="25">
        <v>1.1747E-4</v>
      </c>
      <c r="G8248" s="25">
        <v>1.5723000000000001E-4</v>
      </c>
      <c r="H8248" s="25">
        <v>1.9600999999999999E-4</v>
      </c>
      <c r="I8248" s="9">
        <v>1.4336000000000001E-4</v>
      </c>
      <c r="J8248" s="9">
        <v>1.4992E-4</v>
      </c>
      <c r="K8248" s="9">
        <v>3.3909000000000001E-4</v>
      </c>
      <c r="L8248" s="9">
        <v>1.7134E-4</v>
      </c>
      <c r="M8248" s="9">
        <v>1.7407999999999999E-4</v>
      </c>
      <c r="N8248" s="9">
        <v>1.5603000000000001E-4</v>
      </c>
      <c r="O8248" s="9">
        <v>1.7131000000000001E-4</v>
      </c>
      <c r="P8248" s="9">
        <v>1.7137000000000001E-4</v>
      </c>
      <c r="Q8248" s="9">
        <v>1.7404000000000001E-4</v>
      </c>
      <c r="R8248" s="10">
        <v>2.120909262366871E-4</v>
      </c>
      <c r="S8248" s="10">
        <v>1.9028914044380332E-4</v>
      </c>
      <c r="T8248" s="10">
        <v>2.3155349786408956E-4</v>
      </c>
      <c r="U8248" s="10">
        <v>1.1368E-4</v>
      </c>
      <c r="V8248" s="25"/>
      <c r="W8248" s="25"/>
      <c r="X8248" s="25"/>
      <c r="Y8248" s="25"/>
      <c r="Z8248" s="25"/>
      <c r="AA8248" s="25"/>
    </row>
    <row r="8249" spans="1:27" x14ac:dyDescent="0.35">
      <c r="A8249" s="5">
        <v>8245</v>
      </c>
      <c r="B8249" s="5">
        <v>344</v>
      </c>
      <c r="C8249" s="5">
        <v>12</v>
      </c>
      <c r="D8249" s="25">
        <v>1.1416E-4</v>
      </c>
      <c r="E8249" s="25">
        <v>1.0493E-4</v>
      </c>
      <c r="F8249" s="25">
        <v>1.0573000000000001E-4</v>
      </c>
      <c r="G8249" s="25">
        <v>1.6621E-4</v>
      </c>
      <c r="H8249" s="25">
        <v>1.9738000000000001E-4</v>
      </c>
      <c r="I8249" s="9">
        <v>1.3936999999999999E-4</v>
      </c>
      <c r="J8249" s="9">
        <v>1.4771000000000001E-4</v>
      </c>
      <c r="K8249" s="9">
        <v>3.2849000000000002E-4</v>
      </c>
      <c r="L8249" s="9">
        <v>1.7147000000000001E-4</v>
      </c>
      <c r="M8249" s="9">
        <v>1.7332E-4</v>
      </c>
      <c r="N8249" s="9">
        <v>1.6562E-4</v>
      </c>
      <c r="O8249" s="9">
        <v>1.6288000000000001E-4</v>
      </c>
      <c r="P8249" s="9">
        <v>1.6385999999999999E-4</v>
      </c>
      <c r="Q8249" s="9">
        <v>1.6725E-4</v>
      </c>
      <c r="R8249" s="10">
        <v>2.1077082656906145E-4</v>
      </c>
      <c r="S8249" s="10">
        <v>1.9026953836268632E-4</v>
      </c>
      <c r="T8249" s="10">
        <v>2.911217636014402E-4</v>
      </c>
      <c r="U8249" s="10">
        <v>1.1368E-4</v>
      </c>
      <c r="V8249" s="25"/>
      <c r="W8249" s="25"/>
      <c r="X8249" s="25"/>
      <c r="Y8249" s="25"/>
      <c r="Z8249" s="25"/>
      <c r="AA8249" s="25"/>
    </row>
    <row r="8250" spans="1:27" x14ac:dyDescent="0.35">
      <c r="A8250" s="5">
        <v>8246</v>
      </c>
      <c r="B8250" s="5">
        <v>344</v>
      </c>
      <c r="C8250" s="5">
        <v>12</v>
      </c>
      <c r="D8250" s="25">
        <v>1.1415000000000001E-4</v>
      </c>
      <c r="E8250" s="25">
        <v>1.1204E-4</v>
      </c>
      <c r="F8250" s="25">
        <v>1.1148E-4</v>
      </c>
      <c r="G8250" s="25">
        <v>1.6236000000000001E-4</v>
      </c>
      <c r="H8250" s="25">
        <v>1.9249999999999999E-4</v>
      </c>
      <c r="I8250" s="9">
        <v>1.3674999999999999E-4</v>
      </c>
      <c r="J8250" s="9">
        <v>1.4694E-4</v>
      </c>
      <c r="K8250" s="9">
        <v>3.2425999999999999E-4</v>
      </c>
      <c r="L8250" s="9">
        <v>1.6451000000000001E-4</v>
      </c>
      <c r="M8250" s="9">
        <v>1.6967999999999999E-4</v>
      </c>
      <c r="N8250" s="9">
        <v>1.7003999999999999E-4</v>
      </c>
      <c r="O8250" s="9">
        <v>1.8014999999999999E-4</v>
      </c>
      <c r="P8250" s="9">
        <v>1.6914999999999999E-4</v>
      </c>
      <c r="Q8250" s="9">
        <v>1.6110000000000001E-4</v>
      </c>
      <c r="R8250" s="10">
        <v>2.1021067152303554E-4</v>
      </c>
      <c r="S8250" s="10">
        <v>1.9009585220872098E-4</v>
      </c>
      <c r="T8250" s="10">
        <v>1.028297081237273E-4</v>
      </c>
      <c r="U8250" s="10">
        <v>1.1368E-4</v>
      </c>
      <c r="V8250" s="25"/>
      <c r="W8250" s="25"/>
      <c r="X8250" s="25"/>
      <c r="Y8250" s="25"/>
      <c r="Z8250" s="25"/>
      <c r="AA8250" s="25"/>
    </row>
    <row r="8251" spans="1:27" x14ac:dyDescent="0.35">
      <c r="A8251" s="5">
        <v>8247</v>
      </c>
      <c r="B8251" s="5">
        <v>344</v>
      </c>
      <c r="C8251" s="5">
        <v>12</v>
      </c>
      <c r="D8251" s="25">
        <v>1.1416E-4</v>
      </c>
      <c r="E8251" s="25">
        <v>1.1044000000000001E-4</v>
      </c>
      <c r="F8251" s="25">
        <v>1.149E-4</v>
      </c>
      <c r="G8251" s="25">
        <v>1.6082E-4</v>
      </c>
      <c r="H8251" s="25">
        <v>1.9417999999999999E-4</v>
      </c>
      <c r="I8251" s="9">
        <v>1.3578E-4</v>
      </c>
      <c r="J8251" s="9">
        <v>1.4578E-4</v>
      </c>
      <c r="K8251" s="9">
        <v>3.2850000000000002E-4</v>
      </c>
      <c r="L8251" s="9">
        <v>1.7688E-4</v>
      </c>
      <c r="M8251" s="9">
        <v>1.6843000000000001E-4</v>
      </c>
      <c r="N8251" s="9">
        <v>1.6979000000000001E-4</v>
      </c>
      <c r="O8251" s="9">
        <v>1.8440000000000001E-4</v>
      </c>
      <c r="P8251" s="9">
        <v>1.6658999999999999E-4</v>
      </c>
      <c r="Q8251" s="9">
        <v>1.5196E-4</v>
      </c>
      <c r="R8251" s="10">
        <v>2.101597903956463E-4</v>
      </c>
      <c r="S8251" s="10">
        <v>1.9025066039203719E-4</v>
      </c>
      <c r="T8251" s="10">
        <v>9.6228923229316429E-5</v>
      </c>
      <c r="U8251" s="10">
        <v>1.1368E-4</v>
      </c>
      <c r="V8251" s="25"/>
      <c r="W8251" s="25"/>
      <c r="X8251" s="25"/>
      <c r="Y8251" s="25"/>
      <c r="Z8251" s="25"/>
      <c r="AA8251" s="25"/>
    </row>
    <row r="8252" spans="1:27" x14ac:dyDescent="0.35">
      <c r="A8252" s="5">
        <v>8248</v>
      </c>
      <c r="B8252" s="5">
        <v>344</v>
      </c>
      <c r="C8252" s="5">
        <v>12</v>
      </c>
      <c r="D8252" s="25">
        <v>1.1415000000000001E-4</v>
      </c>
      <c r="E8252" s="25">
        <v>1.0615000000000001E-4</v>
      </c>
      <c r="F8252" s="25">
        <v>1.1120000000000001E-4</v>
      </c>
      <c r="G8252" s="25">
        <v>1.5621E-4</v>
      </c>
      <c r="H8252" s="25">
        <v>1.895E-4</v>
      </c>
      <c r="I8252" s="9">
        <v>1.3418999999999999E-4</v>
      </c>
      <c r="J8252" s="9">
        <v>1.4483000000000001E-4</v>
      </c>
      <c r="K8252" s="9">
        <v>3.3061000000000001E-4</v>
      </c>
      <c r="L8252" s="9">
        <v>1.8243E-4</v>
      </c>
      <c r="M8252" s="9">
        <v>1.6754000000000001E-4</v>
      </c>
      <c r="N8252" s="9">
        <v>1.6588E-4</v>
      </c>
      <c r="O8252" s="9">
        <v>2.0104000000000001E-4</v>
      </c>
      <c r="P8252" s="9">
        <v>1.5396E-4</v>
      </c>
      <c r="Q8252" s="9">
        <v>1.1085E-4</v>
      </c>
      <c r="R8252" s="10">
        <v>2.1163179456561124E-4</v>
      </c>
      <c r="S8252" s="10">
        <v>1.9027535090259114E-4</v>
      </c>
      <c r="T8252" s="10">
        <v>0</v>
      </c>
      <c r="U8252" s="10">
        <v>1.1368E-4</v>
      </c>
      <c r="V8252" s="25"/>
      <c r="W8252" s="25"/>
      <c r="X8252" s="25"/>
      <c r="Y8252" s="25"/>
      <c r="Z8252" s="25"/>
      <c r="AA8252" s="25"/>
    </row>
    <row r="8253" spans="1:27" x14ac:dyDescent="0.35">
      <c r="A8253" s="5">
        <v>8249</v>
      </c>
      <c r="B8253" s="5">
        <v>344</v>
      </c>
      <c r="C8253" s="5">
        <v>12</v>
      </c>
      <c r="D8253" s="25">
        <v>1.1416E-4</v>
      </c>
      <c r="E8253" s="25">
        <v>1.0700999999999999E-4</v>
      </c>
      <c r="F8253" s="25">
        <v>1.1268E-4</v>
      </c>
      <c r="G8253" s="25">
        <v>1.6102999999999999E-4</v>
      </c>
      <c r="H8253" s="25">
        <v>1.929E-4</v>
      </c>
      <c r="I8253" s="9">
        <v>1.3709E-4</v>
      </c>
      <c r="J8253" s="9">
        <v>1.4778999999999999E-4</v>
      </c>
      <c r="K8253" s="9">
        <v>3.3909000000000001E-4</v>
      </c>
      <c r="L8253" s="9">
        <v>1.9673999999999999E-4</v>
      </c>
      <c r="M8253" s="9">
        <v>1.6250999999999999E-4</v>
      </c>
      <c r="N8253" s="9">
        <v>1.5249E-4</v>
      </c>
      <c r="O8253" s="9">
        <v>2.1481000000000001E-4</v>
      </c>
      <c r="P8253" s="9">
        <v>1.5851E-4</v>
      </c>
      <c r="Q8253" s="9">
        <v>1.0662000000000001E-4</v>
      </c>
      <c r="R8253" s="10">
        <v>2.1177075336324279E-4</v>
      </c>
      <c r="S8253" s="10">
        <v>1.8896411316491569E-4</v>
      </c>
      <c r="T8253" s="10">
        <v>0</v>
      </c>
      <c r="U8253" s="10">
        <v>1.1368E-4</v>
      </c>
      <c r="V8253" s="25"/>
      <c r="W8253" s="25"/>
      <c r="X8253" s="25"/>
      <c r="Y8253" s="25"/>
      <c r="Z8253" s="25"/>
      <c r="AA8253" s="25"/>
    </row>
    <row r="8254" spans="1:27" x14ac:dyDescent="0.35">
      <c r="A8254" s="5">
        <v>8250</v>
      </c>
      <c r="B8254" s="5">
        <v>344</v>
      </c>
      <c r="C8254" s="5">
        <v>12</v>
      </c>
      <c r="D8254" s="25">
        <v>1.1415000000000001E-4</v>
      </c>
      <c r="E8254" s="25">
        <v>1.0747999999999999E-4</v>
      </c>
      <c r="F8254" s="25">
        <v>1.0979E-4</v>
      </c>
      <c r="G8254" s="25">
        <v>1.6440000000000001E-4</v>
      </c>
      <c r="H8254" s="25">
        <v>1.972E-4</v>
      </c>
      <c r="I8254" s="9">
        <v>1.4416E-4</v>
      </c>
      <c r="J8254" s="9">
        <v>1.5383000000000001E-4</v>
      </c>
      <c r="K8254" s="9">
        <v>3.3909000000000001E-4</v>
      </c>
      <c r="L8254" s="9">
        <v>2.1053000000000001E-4</v>
      </c>
      <c r="M8254" s="9">
        <v>1.5967999999999999E-4</v>
      </c>
      <c r="N8254" s="9">
        <v>1.3908E-4</v>
      </c>
      <c r="O8254" s="9">
        <v>2.0775000000000001E-4</v>
      </c>
      <c r="P8254" s="9">
        <v>1.6081E-4</v>
      </c>
      <c r="Q8254" s="9">
        <v>1.1798000000000001E-4</v>
      </c>
      <c r="R8254" s="10">
        <v>2.1225483899276374E-4</v>
      </c>
      <c r="S8254" s="10">
        <v>1.8788718994001093E-4</v>
      </c>
      <c r="T8254" s="10">
        <v>0</v>
      </c>
      <c r="U8254" s="10">
        <v>1.1368E-4</v>
      </c>
      <c r="V8254" s="25"/>
      <c r="W8254" s="25"/>
      <c r="X8254" s="25"/>
      <c r="Y8254" s="25"/>
      <c r="Z8254" s="25"/>
      <c r="AA8254" s="25"/>
    </row>
    <row r="8255" spans="1:27" x14ac:dyDescent="0.35">
      <c r="A8255" s="5">
        <v>8251</v>
      </c>
      <c r="B8255" s="5">
        <v>344</v>
      </c>
      <c r="C8255" s="5">
        <v>12</v>
      </c>
      <c r="D8255" s="25">
        <v>1.1416E-4</v>
      </c>
      <c r="E8255" s="25">
        <v>1.0402E-4</v>
      </c>
      <c r="F8255" s="25">
        <v>1.1127E-4</v>
      </c>
      <c r="G8255" s="25">
        <v>1.136E-4</v>
      </c>
      <c r="H8255" s="25">
        <v>1.3751E-4</v>
      </c>
      <c r="I8255" s="9">
        <v>1.4307999999999999E-4</v>
      </c>
      <c r="J8255" s="9">
        <v>1.4739000000000001E-4</v>
      </c>
      <c r="K8255" s="9">
        <v>3.4332999999999998E-4</v>
      </c>
      <c r="L8255" s="9">
        <v>2.0801000000000001E-4</v>
      </c>
      <c r="M8255" s="9">
        <v>1.5949000000000001E-4</v>
      </c>
      <c r="N8255" s="9">
        <v>1.3009999999999999E-4</v>
      </c>
      <c r="O8255" s="9">
        <v>1.6431E-4</v>
      </c>
      <c r="P8255" s="9">
        <v>1.3375999999999999E-4</v>
      </c>
      <c r="Q8255" s="9">
        <v>1.0616999999999999E-4</v>
      </c>
      <c r="R8255" s="10">
        <v>2.124198706769817E-4</v>
      </c>
      <c r="S8255" s="10">
        <v>1.8785259387135741E-4</v>
      </c>
      <c r="T8255" s="10">
        <v>0</v>
      </c>
      <c r="U8255" s="10">
        <v>1.1368E-4</v>
      </c>
      <c r="V8255" s="25"/>
      <c r="W8255" s="25"/>
      <c r="X8255" s="25"/>
      <c r="Y8255" s="25"/>
      <c r="Z8255" s="25"/>
      <c r="AA8255" s="25"/>
    </row>
    <row r="8256" spans="1:27" x14ac:dyDescent="0.35">
      <c r="A8256" s="5">
        <v>8252</v>
      </c>
      <c r="B8256" s="5">
        <v>344</v>
      </c>
      <c r="C8256" s="5">
        <v>12</v>
      </c>
      <c r="D8256" s="25">
        <v>1.1415000000000001E-4</v>
      </c>
      <c r="E8256" s="25">
        <v>1.0353000000000001E-4</v>
      </c>
      <c r="F8256" s="25">
        <v>9.9980000000000002E-5</v>
      </c>
      <c r="G8256" s="25">
        <v>1.1273E-4</v>
      </c>
      <c r="H8256" s="25">
        <v>1.3107E-4</v>
      </c>
      <c r="I8256" s="9">
        <v>1.3687000000000001E-4</v>
      </c>
      <c r="J8256" s="9">
        <v>1.4165E-4</v>
      </c>
      <c r="K8256" s="9">
        <v>3.3697000000000002E-4</v>
      </c>
      <c r="L8256" s="9">
        <v>1.7407999999999999E-4</v>
      </c>
      <c r="M8256" s="9">
        <v>1.5035E-4</v>
      </c>
      <c r="N8256" s="9">
        <v>1.2079E-4</v>
      </c>
      <c r="O8256" s="9">
        <v>1.2904E-4</v>
      </c>
      <c r="P8256" s="9">
        <v>1.1419E-4</v>
      </c>
      <c r="Q8256" s="9">
        <v>1.013E-4</v>
      </c>
      <c r="R8256" s="10">
        <v>2.1244265620205423E-4</v>
      </c>
      <c r="S8256" s="10">
        <v>1.8692790535979872E-4</v>
      </c>
      <c r="T8256" s="10">
        <v>0</v>
      </c>
      <c r="U8256" s="10">
        <v>1.1368E-4</v>
      </c>
      <c r="V8256" s="25"/>
      <c r="W8256" s="25"/>
      <c r="X8256" s="25"/>
      <c r="Y8256" s="25"/>
      <c r="Z8256" s="25"/>
      <c r="AA8256" s="25"/>
    </row>
    <row r="8257" spans="1:27" x14ac:dyDescent="0.35">
      <c r="A8257" s="5">
        <v>8253</v>
      </c>
      <c r="B8257" s="5">
        <v>344</v>
      </c>
      <c r="C8257" s="5">
        <v>12</v>
      </c>
      <c r="D8257" s="25">
        <v>1.1416E-4</v>
      </c>
      <c r="E8257" s="25">
        <v>1.0757E-4</v>
      </c>
      <c r="F8257" s="25">
        <v>1.0702E-4</v>
      </c>
      <c r="G8257" s="25">
        <v>5.7049999999999998E-5</v>
      </c>
      <c r="H8257" s="25">
        <v>6.4690000000000006E-5</v>
      </c>
      <c r="I8257" s="9">
        <v>1.3039E-4</v>
      </c>
      <c r="J8257" s="9">
        <v>1.3501E-4</v>
      </c>
      <c r="K8257" s="9">
        <v>3.3697000000000002E-4</v>
      </c>
      <c r="L8257" s="9">
        <v>1.3998E-4</v>
      </c>
      <c r="M8257" s="9">
        <v>1.3477000000000001E-4</v>
      </c>
      <c r="N8257" s="9">
        <v>1.1298000000000001E-4</v>
      </c>
      <c r="O8257" s="9">
        <v>8.4489999999999999E-5</v>
      </c>
      <c r="P8257" s="9">
        <v>8.5699999999999996E-5</v>
      </c>
      <c r="Q8257" s="9">
        <v>8.7689999999999996E-5</v>
      </c>
      <c r="R8257" s="10">
        <v>2.1241828407388393E-4</v>
      </c>
      <c r="S8257" s="10">
        <v>1.8071872860639661E-4</v>
      </c>
      <c r="T8257" s="10">
        <v>0</v>
      </c>
      <c r="U8257" s="10">
        <v>1.1368E-4</v>
      </c>
      <c r="V8257" s="25"/>
      <c r="W8257" s="25"/>
      <c r="X8257" s="25"/>
      <c r="Y8257" s="25"/>
      <c r="Z8257" s="25"/>
      <c r="AA8257" s="25"/>
    </row>
    <row r="8258" spans="1:27" x14ac:dyDescent="0.35">
      <c r="A8258" s="5">
        <v>8254</v>
      </c>
      <c r="B8258" s="5">
        <v>344</v>
      </c>
      <c r="C8258" s="5">
        <v>12</v>
      </c>
      <c r="D8258" s="25">
        <v>1.1415000000000001E-4</v>
      </c>
      <c r="E8258" s="25">
        <v>1.075E-4</v>
      </c>
      <c r="F8258" s="25">
        <v>1.0221999999999999E-4</v>
      </c>
      <c r="G8258" s="25">
        <v>6.2000000000000003E-5</v>
      </c>
      <c r="H8258" s="25">
        <v>6.3590000000000006E-5</v>
      </c>
      <c r="I8258" s="9">
        <v>1.2475E-4</v>
      </c>
      <c r="J8258" s="9">
        <v>1.2641E-4</v>
      </c>
      <c r="K8258" s="9">
        <v>3.2849000000000002E-4</v>
      </c>
      <c r="L8258" s="9">
        <v>9.7629999999999999E-5</v>
      </c>
      <c r="M8258" s="9">
        <v>1.1311000000000001E-4</v>
      </c>
      <c r="N8258" s="9">
        <v>1.0522999999999999E-4</v>
      </c>
      <c r="O8258" s="9">
        <v>8.7379999999999993E-5</v>
      </c>
      <c r="P8258" s="9">
        <v>8.7169999999999994E-5</v>
      </c>
      <c r="Q8258" s="9">
        <v>8.7819999999999996E-5</v>
      </c>
      <c r="R8258" s="10">
        <v>2.1243412500235008E-4</v>
      </c>
      <c r="S8258" s="10">
        <v>1.667403518763015E-4</v>
      </c>
      <c r="T8258" s="10">
        <v>0</v>
      </c>
      <c r="U8258" s="10">
        <v>1.1368E-4</v>
      </c>
      <c r="V8258" s="25"/>
      <c r="W8258" s="25"/>
      <c r="X8258" s="25"/>
      <c r="Y8258" s="25"/>
      <c r="Z8258" s="25"/>
      <c r="AA8258" s="25"/>
    </row>
    <row r="8259" spans="1:27" x14ac:dyDescent="0.35">
      <c r="A8259" s="5">
        <v>8255</v>
      </c>
      <c r="B8259" s="5">
        <v>344</v>
      </c>
      <c r="C8259" s="5">
        <v>12</v>
      </c>
      <c r="D8259" s="25">
        <v>1.1416E-4</v>
      </c>
      <c r="E8259" s="25">
        <v>1.0477E-4</v>
      </c>
      <c r="F8259" s="25">
        <v>1.0007E-4</v>
      </c>
      <c r="G8259" s="25">
        <v>5.6549999999999999E-5</v>
      </c>
      <c r="H8259" s="25">
        <v>6.245E-5</v>
      </c>
      <c r="I8259" s="9">
        <v>1.2616999999999999E-4</v>
      </c>
      <c r="J8259" s="9">
        <v>1.1856E-4</v>
      </c>
      <c r="K8259" s="9">
        <v>3.2213000000000001E-4</v>
      </c>
      <c r="L8259" s="9">
        <v>9.0569999999999995E-5</v>
      </c>
      <c r="M8259" s="9">
        <v>9.8469999999999997E-5</v>
      </c>
      <c r="N8259" s="9">
        <v>9.9370000000000006E-5</v>
      </c>
      <c r="O8259" s="9">
        <v>7.8040000000000005E-5</v>
      </c>
      <c r="P8259" s="9">
        <v>7.2059999999999998E-5</v>
      </c>
      <c r="Q8259" s="9">
        <v>6.6820000000000001E-5</v>
      </c>
      <c r="R8259" s="10">
        <v>2.1244781601828102E-4</v>
      </c>
      <c r="S8259" s="10">
        <v>1.5514089772546876E-4</v>
      </c>
      <c r="T8259" s="10">
        <v>0</v>
      </c>
      <c r="U8259" s="10">
        <v>1.1368E-4</v>
      </c>
      <c r="V8259" s="25"/>
      <c r="W8259" s="25"/>
      <c r="X8259" s="25"/>
      <c r="Y8259" s="25"/>
      <c r="Z8259" s="25"/>
      <c r="AA8259" s="25"/>
    </row>
    <row r="8260" spans="1:27" x14ac:dyDescent="0.35">
      <c r="A8260" s="5">
        <v>8256</v>
      </c>
      <c r="B8260" s="5">
        <v>344</v>
      </c>
      <c r="C8260" s="5">
        <v>12</v>
      </c>
      <c r="D8260" s="25">
        <v>1.1415000000000001E-4</v>
      </c>
      <c r="E8260" s="25">
        <v>1.116E-4</v>
      </c>
      <c r="F8260" s="25">
        <v>1.0543E-4</v>
      </c>
      <c r="G8260" s="25">
        <v>6.1099999999999994E-5</v>
      </c>
      <c r="H8260" s="25">
        <v>6.4490000000000001E-5</v>
      </c>
      <c r="I8260" s="9">
        <v>1.2595999999999999E-4</v>
      </c>
      <c r="J8260" s="9">
        <v>1.1183000000000001E-4</v>
      </c>
      <c r="K8260" s="9">
        <v>3.1576999999999999E-4</v>
      </c>
      <c r="L8260" s="9">
        <v>8.0790000000000004E-5</v>
      </c>
      <c r="M8260" s="9">
        <v>8.5749999999999997E-5</v>
      </c>
      <c r="N8260" s="9">
        <v>9.0140000000000001E-5</v>
      </c>
      <c r="O8260" s="9">
        <v>6.3029999999999998E-5</v>
      </c>
      <c r="P8260" s="9">
        <v>6.0850000000000002E-5</v>
      </c>
      <c r="Q8260" s="9">
        <v>5.9030000000000002E-5</v>
      </c>
      <c r="R8260" s="10">
        <v>2.1235035686847307E-4</v>
      </c>
      <c r="S8260" s="10">
        <v>1.5144788325259671E-4</v>
      </c>
      <c r="T8260" s="10">
        <v>0</v>
      </c>
      <c r="U8260" s="10">
        <v>1.1368E-4</v>
      </c>
      <c r="V8260" s="25"/>
      <c r="W8260" s="25"/>
      <c r="X8260" s="25"/>
      <c r="Y8260" s="25"/>
      <c r="Z8260" s="25"/>
      <c r="AA8260" s="25"/>
    </row>
    <row r="8261" spans="1:27" x14ac:dyDescent="0.35">
      <c r="A8261" s="5">
        <v>8257</v>
      </c>
      <c r="B8261" s="5">
        <v>345</v>
      </c>
      <c r="C8261" s="5">
        <v>12</v>
      </c>
      <c r="D8261" s="25">
        <v>1.1416E-4</v>
      </c>
      <c r="E8261" s="25">
        <v>1.154E-4</v>
      </c>
      <c r="F8261" s="25">
        <v>1.2297E-4</v>
      </c>
      <c r="G8261" s="25">
        <v>5.9389999999999999E-5</v>
      </c>
      <c r="H8261" s="25">
        <v>7.3310000000000001E-5</v>
      </c>
      <c r="I8261" s="9">
        <v>1.1828E-4</v>
      </c>
      <c r="J8261" s="9">
        <v>1.0488999999999999E-4</v>
      </c>
      <c r="K8261" s="9">
        <v>3.1366E-4</v>
      </c>
      <c r="L8261" s="9">
        <v>6.6929999999999998E-5</v>
      </c>
      <c r="M8261" s="9">
        <v>7.3869999999999996E-5</v>
      </c>
      <c r="N8261" s="9">
        <v>8.0859999999999995E-5</v>
      </c>
      <c r="O8261" s="9">
        <v>5.4719999999999998E-5</v>
      </c>
      <c r="P8261" s="9">
        <v>5.414E-5</v>
      </c>
      <c r="Q8261" s="9">
        <v>5.3709999999999999E-5</v>
      </c>
      <c r="R8261" s="10">
        <v>2.124280310678358E-4</v>
      </c>
      <c r="S8261" s="10">
        <v>1.5638602900127046E-4</v>
      </c>
      <c r="T8261" s="10">
        <v>0</v>
      </c>
      <c r="U8261" s="10">
        <v>1.175E-4</v>
      </c>
      <c r="V8261" s="25"/>
      <c r="W8261" s="25"/>
      <c r="X8261" s="25"/>
      <c r="Y8261" s="25"/>
      <c r="Z8261" s="25"/>
      <c r="AA8261" s="25"/>
    </row>
    <row r="8262" spans="1:27" x14ac:dyDescent="0.35">
      <c r="A8262" s="5">
        <v>8258</v>
      </c>
      <c r="B8262" s="5">
        <v>345</v>
      </c>
      <c r="C8262" s="5">
        <v>12</v>
      </c>
      <c r="D8262" s="25">
        <v>1.1415000000000001E-4</v>
      </c>
      <c r="E8262" s="25">
        <v>1.1118E-4</v>
      </c>
      <c r="F8262" s="25">
        <v>1.0991E-4</v>
      </c>
      <c r="G8262" s="25">
        <v>5.359E-5</v>
      </c>
      <c r="H8262" s="25">
        <v>6.5900000000000003E-5</v>
      </c>
      <c r="I8262" s="9">
        <v>1.1092E-4</v>
      </c>
      <c r="J8262" s="9">
        <v>9.9710000000000006E-5</v>
      </c>
      <c r="K8262" s="9">
        <v>3.0306000000000002E-4</v>
      </c>
      <c r="L8262" s="9">
        <v>5.7790000000000001E-5</v>
      </c>
      <c r="M8262" s="9">
        <v>6.3949999999999996E-5</v>
      </c>
      <c r="N8262" s="9">
        <v>7.1920000000000003E-5</v>
      </c>
      <c r="O8262" s="9">
        <v>1.8240000000000002E-5</v>
      </c>
      <c r="P8262" s="9">
        <v>3.7400000000000001E-5</v>
      </c>
      <c r="Q8262" s="9">
        <v>5.5659999999999999E-5</v>
      </c>
      <c r="R8262" s="10">
        <v>2.1244148609394776E-4</v>
      </c>
      <c r="S8262" s="10">
        <v>1.5486996090536073E-4</v>
      </c>
      <c r="T8262" s="10">
        <v>0</v>
      </c>
      <c r="U8262" s="10">
        <v>1.175E-4</v>
      </c>
      <c r="V8262" s="25"/>
      <c r="W8262" s="25"/>
      <c r="X8262" s="25"/>
      <c r="Y8262" s="25"/>
      <c r="Z8262" s="25"/>
      <c r="AA8262" s="25"/>
    </row>
    <row r="8263" spans="1:27" x14ac:dyDescent="0.35">
      <c r="A8263" s="5">
        <v>8259</v>
      </c>
      <c r="B8263" s="5">
        <v>345</v>
      </c>
      <c r="C8263" s="5">
        <v>12</v>
      </c>
      <c r="D8263" s="25">
        <v>1.1416E-4</v>
      </c>
      <c r="E8263" s="25">
        <v>1.2053999999999999E-4</v>
      </c>
      <c r="F8263" s="25">
        <v>1.3007000000000001E-4</v>
      </c>
      <c r="G8263" s="25">
        <v>5.6830000000000003E-5</v>
      </c>
      <c r="H8263" s="25">
        <v>7.0640000000000001E-5</v>
      </c>
      <c r="I8263" s="9">
        <v>1.0641000000000001E-4</v>
      </c>
      <c r="J8263" s="9">
        <v>9.6420000000000002E-5</v>
      </c>
      <c r="K8263" s="9">
        <v>2.9458000000000002E-4</v>
      </c>
      <c r="L8263" s="9">
        <v>2.7140000000000001E-5</v>
      </c>
      <c r="M8263" s="9">
        <v>5.2129999999999997E-5</v>
      </c>
      <c r="N8263" s="9">
        <v>6.533E-5</v>
      </c>
      <c r="O8263" s="9">
        <v>1.2840000000000001E-5</v>
      </c>
      <c r="P8263" s="9">
        <v>3.7710000000000003E-5</v>
      </c>
      <c r="Q8263" s="9">
        <v>6.1470000000000006E-5</v>
      </c>
      <c r="R8263" s="10">
        <v>2.1244140847473216E-4</v>
      </c>
      <c r="S8263" s="10">
        <v>1.7344673313223673E-4</v>
      </c>
      <c r="T8263" s="10">
        <v>0</v>
      </c>
      <c r="U8263" s="10">
        <v>1.175E-4</v>
      </c>
      <c r="V8263" s="25"/>
      <c r="W8263" s="25"/>
      <c r="X8263" s="25"/>
      <c r="Y8263" s="25"/>
      <c r="Z8263" s="25"/>
      <c r="AA8263" s="25"/>
    </row>
    <row r="8264" spans="1:27" x14ac:dyDescent="0.35">
      <c r="A8264" s="5">
        <v>8260</v>
      </c>
      <c r="B8264" s="5">
        <v>345</v>
      </c>
      <c r="C8264" s="5">
        <v>12</v>
      </c>
      <c r="D8264" s="25">
        <v>1.1415000000000001E-4</v>
      </c>
      <c r="E8264" s="25">
        <v>1.144E-4</v>
      </c>
      <c r="F8264" s="25">
        <v>1.2836999999999999E-4</v>
      </c>
      <c r="G8264" s="25">
        <v>5.6230000000000002E-5</v>
      </c>
      <c r="H8264" s="25">
        <v>7.148E-5</v>
      </c>
      <c r="I8264" s="9">
        <v>1.0357999999999999E-4</v>
      </c>
      <c r="J8264" s="9">
        <v>9.4859999999999996E-5</v>
      </c>
      <c r="K8264" s="9">
        <v>2.8610000000000002E-4</v>
      </c>
      <c r="L8264" s="9">
        <v>1.6750000000000001E-5</v>
      </c>
      <c r="M8264" s="9">
        <v>4.4110000000000003E-5</v>
      </c>
      <c r="N8264" s="9">
        <v>6.1790000000000003E-5</v>
      </c>
      <c r="O8264" s="9">
        <v>1.288E-5</v>
      </c>
      <c r="P8264" s="9">
        <v>4.7290000000000003E-5</v>
      </c>
      <c r="Q8264" s="9">
        <v>8.0430000000000001E-5</v>
      </c>
      <c r="R8264" s="10">
        <v>2.1239227367113935E-4</v>
      </c>
      <c r="S8264" s="10">
        <v>1.8714951968423258E-4</v>
      </c>
      <c r="T8264" s="10">
        <v>0</v>
      </c>
      <c r="U8264" s="10">
        <v>1.175E-4</v>
      </c>
      <c r="V8264" s="25"/>
      <c r="W8264" s="25"/>
      <c r="X8264" s="25"/>
      <c r="Y8264" s="25"/>
      <c r="Z8264" s="25"/>
      <c r="AA8264" s="25"/>
    </row>
    <row r="8265" spans="1:27" x14ac:dyDescent="0.35">
      <c r="A8265" s="5">
        <v>8261</v>
      </c>
      <c r="B8265" s="5">
        <v>345</v>
      </c>
      <c r="C8265" s="5">
        <v>12</v>
      </c>
      <c r="D8265" s="25">
        <v>1.1416E-4</v>
      </c>
      <c r="E8265" s="25">
        <v>1.2101E-4</v>
      </c>
      <c r="F8265" s="25">
        <v>1.2412999999999999E-4</v>
      </c>
      <c r="G8265" s="25">
        <v>5.5819999999999997E-5</v>
      </c>
      <c r="H8265" s="25">
        <v>7.0350000000000002E-5</v>
      </c>
      <c r="I8265" s="9">
        <v>1.0224E-4</v>
      </c>
      <c r="J8265" s="9">
        <v>9.4019999999999998E-5</v>
      </c>
      <c r="K8265" s="9">
        <v>2.7763000000000001E-4</v>
      </c>
      <c r="L8265" s="9">
        <v>1.398E-5</v>
      </c>
      <c r="M8265" s="9">
        <v>4.3449999999999999E-5</v>
      </c>
      <c r="N8265" s="9">
        <v>6.4380000000000004E-5</v>
      </c>
      <c r="O8265" s="9">
        <v>1.8309999999999999E-5</v>
      </c>
      <c r="P8265" s="9">
        <v>5.6320000000000003E-5</v>
      </c>
      <c r="Q8265" s="9">
        <v>9.3120000000000003E-5</v>
      </c>
      <c r="R8265" s="10">
        <v>2.1237887494281483E-4</v>
      </c>
      <c r="S8265" s="10">
        <v>1.8970197952112149E-4</v>
      </c>
      <c r="T8265" s="10">
        <v>0</v>
      </c>
      <c r="U8265" s="10">
        <v>1.175E-4</v>
      </c>
      <c r="V8265" s="25"/>
      <c r="W8265" s="25"/>
      <c r="X8265" s="25"/>
      <c r="Y8265" s="25"/>
      <c r="Z8265" s="25"/>
      <c r="AA8265" s="25"/>
    </row>
    <row r="8266" spans="1:27" x14ac:dyDescent="0.35">
      <c r="A8266" s="5">
        <v>8262</v>
      </c>
      <c r="B8266" s="5">
        <v>345</v>
      </c>
      <c r="C8266" s="5">
        <v>12</v>
      </c>
      <c r="D8266" s="25">
        <v>1.1415000000000001E-4</v>
      </c>
      <c r="E8266" s="25">
        <v>1.1336E-4</v>
      </c>
      <c r="F8266" s="25">
        <v>1.2202E-4</v>
      </c>
      <c r="G8266" s="25">
        <v>1.0819000000000001E-4</v>
      </c>
      <c r="H8266" s="25">
        <v>1.2778E-4</v>
      </c>
      <c r="I8266" s="9">
        <v>1.0339E-4</v>
      </c>
      <c r="J8266" s="9">
        <v>9.5370000000000003E-5</v>
      </c>
      <c r="K8266" s="9">
        <v>2.7551000000000002E-4</v>
      </c>
      <c r="L8266" s="9">
        <v>1.7220000000000001E-5</v>
      </c>
      <c r="M8266" s="9">
        <v>4.8269999999999997E-5</v>
      </c>
      <c r="N8266" s="9">
        <v>7.0829999999999998E-5</v>
      </c>
      <c r="O8266" s="9">
        <v>4.6529999999999997E-5</v>
      </c>
      <c r="P8266" s="9">
        <v>7.7429999999999996E-5</v>
      </c>
      <c r="Q8266" s="9">
        <v>1.0781E-4</v>
      </c>
      <c r="R8266" s="10">
        <v>2.1237050182904731E-4</v>
      </c>
      <c r="S8266" s="10">
        <v>1.9025048076475439E-4</v>
      </c>
      <c r="T8266" s="10">
        <v>0</v>
      </c>
      <c r="U8266" s="10">
        <v>1.175E-4</v>
      </c>
      <c r="V8266" s="25"/>
      <c r="W8266" s="25"/>
      <c r="X8266" s="25"/>
      <c r="Y8266" s="25"/>
      <c r="Z8266" s="25"/>
      <c r="AA8266" s="25"/>
    </row>
    <row r="8267" spans="1:27" x14ac:dyDescent="0.35">
      <c r="A8267" s="5">
        <v>8263</v>
      </c>
      <c r="B8267" s="5">
        <v>345</v>
      </c>
      <c r="C8267" s="5">
        <v>12</v>
      </c>
      <c r="D8267" s="25">
        <v>1.1416E-4</v>
      </c>
      <c r="E8267" s="25">
        <v>1.2102E-4</v>
      </c>
      <c r="F8267" s="25">
        <v>1.2370999999999999E-4</v>
      </c>
      <c r="G8267" s="25">
        <v>1.1444E-4</v>
      </c>
      <c r="H8267" s="25">
        <v>1.2591999999999999E-4</v>
      </c>
      <c r="I8267" s="9">
        <v>1.0843E-4</v>
      </c>
      <c r="J8267" s="9">
        <v>1.004E-4</v>
      </c>
      <c r="K8267" s="9">
        <v>2.7339999999999998E-4</v>
      </c>
      <c r="L8267" s="9">
        <v>3.994E-5</v>
      </c>
      <c r="M8267" s="9">
        <v>6.012E-5</v>
      </c>
      <c r="N8267" s="9">
        <v>8.0729999999999994E-5</v>
      </c>
      <c r="O8267" s="9">
        <v>1.2477000000000001E-4</v>
      </c>
      <c r="P8267" s="9">
        <v>1.1807E-4</v>
      </c>
      <c r="Q8267" s="9">
        <v>1.131E-4</v>
      </c>
      <c r="R8267" s="10">
        <v>2.1237557485557595E-4</v>
      </c>
      <c r="S8267" s="10">
        <v>1.9029020759484994E-4</v>
      </c>
      <c r="T8267" s="10">
        <v>0</v>
      </c>
      <c r="U8267" s="10">
        <v>1.175E-4</v>
      </c>
      <c r="V8267" s="25"/>
      <c r="W8267" s="25"/>
      <c r="X8267" s="25"/>
      <c r="Y8267" s="25"/>
      <c r="Z8267" s="25"/>
      <c r="AA8267" s="25"/>
    </row>
    <row r="8268" spans="1:27" x14ac:dyDescent="0.35">
      <c r="A8268" s="5">
        <v>8264</v>
      </c>
      <c r="B8268" s="5">
        <v>345</v>
      </c>
      <c r="C8268" s="5">
        <v>12</v>
      </c>
      <c r="D8268" s="25">
        <v>1.1415000000000001E-4</v>
      </c>
      <c r="E8268" s="25">
        <v>1.1158E-4</v>
      </c>
      <c r="F8268" s="25">
        <v>1.1147E-4</v>
      </c>
      <c r="G8268" s="25">
        <v>1.6200000000000001E-4</v>
      </c>
      <c r="H8268" s="25">
        <v>1.8650000000000001E-4</v>
      </c>
      <c r="I8268" s="9">
        <v>1.1252999999999999E-4</v>
      </c>
      <c r="J8268" s="9">
        <v>1.0897E-4</v>
      </c>
      <c r="K8268" s="9">
        <v>2.7551000000000002E-4</v>
      </c>
      <c r="L8268" s="9">
        <v>1.0547E-4</v>
      </c>
      <c r="M8268" s="9">
        <v>8.4040000000000002E-5</v>
      </c>
      <c r="N8268" s="9">
        <v>9.1000000000000003E-5</v>
      </c>
      <c r="O8268" s="9">
        <v>2.2113999999999999E-4</v>
      </c>
      <c r="P8268" s="9">
        <v>1.7660000000000001E-4</v>
      </c>
      <c r="Q8268" s="9">
        <v>1.3642999999999999E-4</v>
      </c>
      <c r="R8268" s="10">
        <v>2.1239920353842022E-4</v>
      </c>
      <c r="S8268" s="10">
        <v>1.9029020759484994E-4</v>
      </c>
      <c r="T8268" s="10">
        <v>0</v>
      </c>
      <c r="U8268" s="10">
        <v>1.175E-4</v>
      </c>
      <c r="V8268" s="25"/>
      <c r="W8268" s="25"/>
      <c r="X8268" s="25"/>
      <c r="Y8268" s="25"/>
      <c r="Z8268" s="25"/>
      <c r="AA8268" s="25"/>
    </row>
    <row r="8269" spans="1:27" x14ac:dyDescent="0.35">
      <c r="A8269" s="5">
        <v>8265</v>
      </c>
      <c r="B8269" s="5">
        <v>345</v>
      </c>
      <c r="C8269" s="5">
        <v>12</v>
      </c>
      <c r="D8269" s="25">
        <v>1.1416E-4</v>
      </c>
      <c r="E8269" s="25">
        <v>1.216E-4</v>
      </c>
      <c r="F8269" s="25">
        <v>1.1124999999999999E-4</v>
      </c>
      <c r="G8269" s="25">
        <v>1.6621E-4</v>
      </c>
      <c r="H8269" s="25">
        <v>1.998E-4</v>
      </c>
      <c r="I8269" s="9">
        <v>1.1856E-4</v>
      </c>
      <c r="J8269" s="9">
        <v>1.1845000000000001E-4</v>
      </c>
      <c r="K8269" s="9">
        <v>2.6490999999999998E-4</v>
      </c>
      <c r="L8269" s="9">
        <v>1.9389E-4</v>
      </c>
      <c r="M8269" s="9">
        <v>1.2354999999999999E-4</v>
      </c>
      <c r="N8269" s="9">
        <v>1.047E-4</v>
      </c>
      <c r="O8269" s="9">
        <v>2.117E-4</v>
      </c>
      <c r="P8269" s="9">
        <v>1.9178000000000001E-4</v>
      </c>
      <c r="Q8269" s="9">
        <v>1.7563999999999999E-4</v>
      </c>
      <c r="R8269" s="10">
        <v>2.1243092352298012E-4</v>
      </c>
      <c r="S8269" s="10">
        <v>1.9028686485281113E-4</v>
      </c>
      <c r="T8269" s="10">
        <v>9.1545589988037742E-6</v>
      </c>
      <c r="U8269" s="10">
        <v>1.175E-4</v>
      </c>
      <c r="V8269" s="25"/>
      <c r="W8269" s="25"/>
      <c r="X8269" s="25"/>
      <c r="Y8269" s="25"/>
      <c r="Z8269" s="25"/>
      <c r="AA8269" s="25"/>
    </row>
    <row r="8270" spans="1:27" x14ac:dyDescent="0.35">
      <c r="A8270" s="5">
        <v>8266</v>
      </c>
      <c r="B8270" s="5">
        <v>345</v>
      </c>
      <c r="C8270" s="5">
        <v>12</v>
      </c>
      <c r="D8270" s="25">
        <v>1.1415000000000001E-4</v>
      </c>
      <c r="E8270" s="25">
        <v>1.1389E-4</v>
      </c>
      <c r="F8270" s="25">
        <v>1.2700999999999999E-4</v>
      </c>
      <c r="G8270" s="25">
        <v>1.6123999999999999E-4</v>
      </c>
      <c r="H8270" s="25">
        <v>1.8871E-4</v>
      </c>
      <c r="I8270" s="9">
        <v>1.238E-4</v>
      </c>
      <c r="J8270" s="9">
        <v>1.2651000000000001E-4</v>
      </c>
      <c r="K8270" s="9">
        <v>2.5431999999999999E-4</v>
      </c>
      <c r="L8270" s="9">
        <v>2.0547E-4</v>
      </c>
      <c r="M8270" s="9">
        <v>1.5810999999999999E-4</v>
      </c>
      <c r="N8270" s="9">
        <v>1.2443E-4</v>
      </c>
      <c r="O8270" s="9">
        <v>1.6880000000000001E-4</v>
      </c>
      <c r="P8270" s="9">
        <v>1.7435000000000001E-4</v>
      </c>
      <c r="Q8270" s="9">
        <v>1.8237E-4</v>
      </c>
      <c r="R8270" s="10">
        <v>2.1222486687282066E-4</v>
      </c>
      <c r="S8270" s="10">
        <v>1.9009225760420782E-4</v>
      </c>
      <c r="T8270" s="10">
        <v>1.4889945359500116E-5</v>
      </c>
      <c r="U8270" s="10">
        <v>1.175E-4</v>
      </c>
      <c r="V8270" s="25"/>
      <c r="W8270" s="25"/>
      <c r="X8270" s="25"/>
      <c r="Y8270" s="25"/>
      <c r="Z8270" s="25"/>
      <c r="AA8270" s="25"/>
    </row>
    <row r="8271" spans="1:27" x14ac:dyDescent="0.35">
      <c r="A8271" s="5">
        <v>8267</v>
      </c>
      <c r="B8271" s="5">
        <v>345</v>
      </c>
      <c r="C8271" s="5">
        <v>12</v>
      </c>
      <c r="D8271" s="25">
        <v>1.1416E-4</v>
      </c>
      <c r="E8271" s="25">
        <v>1.1769000000000001E-4</v>
      </c>
      <c r="F8271" s="25">
        <v>1.2777E-4</v>
      </c>
      <c r="G8271" s="25">
        <v>1.6710999999999999E-4</v>
      </c>
      <c r="H8271" s="25">
        <v>1.9490999999999999E-4</v>
      </c>
      <c r="I8271" s="9">
        <v>1.2580999999999999E-4</v>
      </c>
      <c r="J8271" s="9">
        <v>1.3097E-4</v>
      </c>
      <c r="K8271" s="9">
        <v>2.3949E-4</v>
      </c>
      <c r="L8271" s="9">
        <v>1.7697000000000001E-4</v>
      </c>
      <c r="M8271" s="9">
        <v>1.7194000000000001E-4</v>
      </c>
      <c r="N8271" s="9">
        <v>1.4257000000000001E-4</v>
      </c>
      <c r="O8271" s="9">
        <v>1.6898E-4</v>
      </c>
      <c r="P8271" s="9">
        <v>1.7317999999999999E-4</v>
      </c>
      <c r="Q8271" s="9">
        <v>1.7987E-4</v>
      </c>
      <c r="R8271" s="10">
        <v>2.1181751224364867E-4</v>
      </c>
      <c r="S8271" s="10">
        <v>1.9005825699327755E-4</v>
      </c>
      <c r="T8271" s="10">
        <v>2.4069957256354319E-5</v>
      </c>
      <c r="U8271" s="10">
        <v>1.175E-4</v>
      </c>
      <c r="V8271" s="25"/>
      <c r="W8271" s="25"/>
      <c r="X8271" s="25"/>
      <c r="Y8271" s="25"/>
      <c r="Z8271" s="25"/>
      <c r="AA8271" s="25"/>
    </row>
    <row r="8272" spans="1:27" x14ac:dyDescent="0.35">
      <c r="A8272" s="5">
        <v>8268</v>
      </c>
      <c r="B8272" s="5">
        <v>345</v>
      </c>
      <c r="C8272" s="5">
        <v>12</v>
      </c>
      <c r="D8272" s="25">
        <v>1.1415000000000001E-4</v>
      </c>
      <c r="E8272" s="25">
        <v>1.1621E-4</v>
      </c>
      <c r="F8272" s="25">
        <v>1.1018000000000001E-4</v>
      </c>
      <c r="G8272" s="25">
        <v>1.6609E-4</v>
      </c>
      <c r="H8272" s="25">
        <v>1.9153E-4</v>
      </c>
      <c r="I8272" s="9">
        <v>1.2782000000000001E-4</v>
      </c>
      <c r="J8272" s="9">
        <v>1.3198999999999999E-4</v>
      </c>
      <c r="K8272" s="9">
        <v>2.2677E-4</v>
      </c>
      <c r="L8272" s="9">
        <v>1.7212999999999999E-4</v>
      </c>
      <c r="M8272" s="9">
        <v>1.7475999999999999E-4</v>
      </c>
      <c r="N8272" s="9">
        <v>1.5671000000000001E-4</v>
      </c>
      <c r="O8272" s="9">
        <v>1.6959000000000001E-4</v>
      </c>
      <c r="P8272" s="9">
        <v>1.6965E-4</v>
      </c>
      <c r="Q8272" s="9">
        <v>1.7228999999999999E-4</v>
      </c>
      <c r="R8272" s="10">
        <v>2.1159548911698587E-4</v>
      </c>
      <c r="S8272" s="10">
        <v>1.9028803016003589E-4</v>
      </c>
      <c r="T8272" s="10">
        <v>4.5153441141458472E-5</v>
      </c>
      <c r="U8272" s="10">
        <v>1.175E-4</v>
      </c>
      <c r="V8272" s="25"/>
      <c r="W8272" s="25"/>
      <c r="X8272" s="25"/>
      <c r="Y8272" s="25"/>
      <c r="Z8272" s="25"/>
      <c r="AA8272" s="25"/>
    </row>
    <row r="8273" spans="1:27" x14ac:dyDescent="0.35">
      <c r="A8273" s="5">
        <v>8269</v>
      </c>
      <c r="B8273" s="5">
        <v>345</v>
      </c>
      <c r="C8273" s="5">
        <v>12</v>
      </c>
      <c r="D8273" s="25">
        <v>1.1416E-4</v>
      </c>
      <c r="E8273" s="25">
        <v>1.1055E-4</v>
      </c>
      <c r="F8273" s="25">
        <v>1.1807E-4</v>
      </c>
      <c r="G8273" s="25">
        <v>1.6568E-4</v>
      </c>
      <c r="H8273" s="25">
        <v>1.9267000000000001E-4</v>
      </c>
      <c r="I8273" s="9">
        <v>1.2854000000000001E-4</v>
      </c>
      <c r="J8273" s="9">
        <v>1.3148000000000001E-4</v>
      </c>
      <c r="K8273" s="9">
        <v>2.2253E-4</v>
      </c>
      <c r="L8273" s="9">
        <v>1.7029999999999999E-4</v>
      </c>
      <c r="M8273" s="9">
        <v>1.7317E-4</v>
      </c>
      <c r="N8273" s="9">
        <v>1.6574999999999999E-4</v>
      </c>
      <c r="O8273" s="9">
        <v>1.6452E-4</v>
      </c>
      <c r="P8273" s="9">
        <v>1.6551000000000001E-4</v>
      </c>
      <c r="Q8273" s="9">
        <v>1.6893999999999999E-4</v>
      </c>
      <c r="R8273" s="10">
        <v>2.1100239642902533E-4</v>
      </c>
      <c r="S8273" s="10">
        <v>1.9028970393491275E-4</v>
      </c>
      <c r="T8273" s="10">
        <v>2.4723248306315295E-5</v>
      </c>
      <c r="U8273" s="10">
        <v>1.175E-4</v>
      </c>
      <c r="V8273" s="25"/>
      <c r="W8273" s="25"/>
      <c r="X8273" s="25"/>
      <c r="Y8273" s="25"/>
      <c r="Z8273" s="25"/>
      <c r="AA8273" s="25"/>
    </row>
    <row r="8274" spans="1:27" x14ac:dyDescent="0.35">
      <c r="A8274" s="5">
        <v>8270</v>
      </c>
      <c r="B8274" s="5">
        <v>345</v>
      </c>
      <c r="C8274" s="5">
        <v>12</v>
      </c>
      <c r="D8274" s="25">
        <v>1.1415000000000001E-4</v>
      </c>
      <c r="E8274" s="25">
        <v>1.1192999999999999E-4</v>
      </c>
      <c r="F8274" s="25">
        <v>1.1477E-4</v>
      </c>
      <c r="G8274" s="25">
        <v>1.6537999999999999E-4</v>
      </c>
      <c r="H8274" s="25">
        <v>1.8922000000000001E-4</v>
      </c>
      <c r="I8274" s="9">
        <v>1.2572000000000001E-4</v>
      </c>
      <c r="J8274" s="9">
        <v>1.3028000000000001E-4</v>
      </c>
      <c r="K8274" s="9">
        <v>2.2889000000000001E-4</v>
      </c>
      <c r="L8274" s="9">
        <v>1.6558999999999999E-4</v>
      </c>
      <c r="M8274" s="9">
        <v>1.6993999999999999E-4</v>
      </c>
      <c r="N8274" s="9">
        <v>1.7044E-4</v>
      </c>
      <c r="O8274" s="9">
        <v>1.8018999999999999E-4</v>
      </c>
      <c r="P8274" s="9">
        <v>1.6918E-4</v>
      </c>
      <c r="Q8274" s="9">
        <v>1.6113E-4</v>
      </c>
      <c r="R8274" s="10">
        <v>2.1094159765755485E-4</v>
      </c>
      <c r="S8274" s="10">
        <v>1.9028929901312706E-4</v>
      </c>
      <c r="T8274" s="10">
        <v>3.285120708375182E-5</v>
      </c>
      <c r="U8274" s="10">
        <v>1.175E-4</v>
      </c>
      <c r="V8274" s="25"/>
      <c r="W8274" s="25"/>
      <c r="X8274" s="25"/>
      <c r="Y8274" s="25"/>
      <c r="Z8274" s="25"/>
      <c r="AA8274" s="25"/>
    </row>
    <row r="8275" spans="1:27" x14ac:dyDescent="0.35">
      <c r="A8275" s="5">
        <v>8271</v>
      </c>
      <c r="B8275" s="5">
        <v>345</v>
      </c>
      <c r="C8275" s="5">
        <v>12</v>
      </c>
      <c r="D8275" s="25">
        <v>1.1416E-4</v>
      </c>
      <c r="E8275" s="25">
        <v>1.1922E-4</v>
      </c>
      <c r="F8275" s="25">
        <v>1.1423E-4</v>
      </c>
      <c r="G8275" s="25">
        <v>1.6250999999999999E-4</v>
      </c>
      <c r="H8275" s="25">
        <v>1.9689999999999999E-4</v>
      </c>
      <c r="I8275" s="9">
        <v>1.2308999999999999E-4</v>
      </c>
      <c r="J8275" s="9">
        <v>1.2887E-4</v>
      </c>
      <c r="K8275" s="9">
        <v>2.2889000000000001E-4</v>
      </c>
      <c r="L8275" s="9">
        <v>1.7708000000000001E-4</v>
      </c>
      <c r="M8275" s="9">
        <v>1.6876E-4</v>
      </c>
      <c r="N8275" s="9">
        <v>1.7008999999999999E-4</v>
      </c>
      <c r="O8275" s="9">
        <v>1.8425000000000001E-4</v>
      </c>
      <c r="P8275" s="9">
        <v>1.6645000000000001E-4</v>
      </c>
      <c r="Q8275" s="9">
        <v>1.5182999999999999E-4</v>
      </c>
      <c r="R8275" s="10">
        <v>2.1144229229738492E-4</v>
      </c>
      <c r="S8275" s="10">
        <v>1.9029016780906728E-4</v>
      </c>
      <c r="T8275" s="10">
        <v>2.8320591230775722E-5</v>
      </c>
      <c r="U8275" s="10">
        <v>1.175E-4</v>
      </c>
      <c r="V8275" s="25"/>
      <c r="W8275" s="25"/>
      <c r="X8275" s="25"/>
      <c r="Y8275" s="25"/>
      <c r="Z8275" s="25"/>
      <c r="AA8275" s="25"/>
    </row>
    <row r="8276" spans="1:27" x14ac:dyDescent="0.35">
      <c r="A8276" s="5">
        <v>8272</v>
      </c>
      <c r="B8276" s="5">
        <v>345</v>
      </c>
      <c r="C8276" s="5">
        <v>12</v>
      </c>
      <c r="D8276" s="25">
        <v>1.1415000000000001E-4</v>
      </c>
      <c r="E8276" s="25">
        <v>1.1045E-4</v>
      </c>
      <c r="F8276" s="25">
        <v>1.1332000000000001E-4</v>
      </c>
      <c r="G8276" s="25">
        <v>1.6592000000000001E-4</v>
      </c>
      <c r="H8276" s="25">
        <v>1.9693999999999999E-4</v>
      </c>
      <c r="I8276" s="9">
        <v>1.238E-4</v>
      </c>
      <c r="J8276" s="9">
        <v>1.2878E-4</v>
      </c>
      <c r="K8276" s="9">
        <v>2.2677E-4</v>
      </c>
      <c r="L8276" s="9">
        <v>1.8236000000000001E-4</v>
      </c>
      <c r="M8276" s="9">
        <v>1.6771000000000001E-4</v>
      </c>
      <c r="N8276" s="9">
        <v>1.6606999999999999E-4</v>
      </c>
      <c r="O8276" s="9">
        <v>1.9874000000000001E-4</v>
      </c>
      <c r="P8276" s="9">
        <v>1.5220000000000001E-4</v>
      </c>
      <c r="Q8276" s="9">
        <v>1.0958E-4</v>
      </c>
      <c r="R8276" s="10">
        <v>2.120393059637836E-4</v>
      </c>
      <c r="S8276" s="10">
        <v>1.9029020509586119E-4</v>
      </c>
      <c r="T8276" s="10">
        <v>0</v>
      </c>
      <c r="U8276" s="10">
        <v>1.175E-4</v>
      </c>
      <c r="V8276" s="25"/>
      <c r="W8276" s="25"/>
      <c r="X8276" s="25"/>
      <c r="Y8276" s="25"/>
      <c r="Z8276" s="25"/>
      <c r="AA8276" s="25"/>
    </row>
    <row r="8277" spans="1:27" x14ac:dyDescent="0.35">
      <c r="A8277" s="5">
        <v>8273</v>
      </c>
      <c r="B8277" s="5">
        <v>345</v>
      </c>
      <c r="C8277" s="5">
        <v>12</v>
      </c>
      <c r="D8277" s="25">
        <v>1.1416E-4</v>
      </c>
      <c r="E8277" s="25">
        <v>1.2022E-4</v>
      </c>
      <c r="F8277" s="25">
        <v>1.3043000000000001E-4</v>
      </c>
      <c r="G8277" s="25">
        <v>1.6483000000000001E-4</v>
      </c>
      <c r="H8277" s="25">
        <v>1.9311999999999999E-4</v>
      </c>
      <c r="I8277" s="9">
        <v>1.2680999999999999E-4</v>
      </c>
      <c r="J8277" s="9">
        <v>1.3291E-4</v>
      </c>
      <c r="K8277" s="9">
        <v>2.2253E-4</v>
      </c>
      <c r="L8277" s="9">
        <v>1.9495E-4</v>
      </c>
      <c r="M8277" s="9">
        <v>1.6192999999999999E-4</v>
      </c>
      <c r="N8277" s="9">
        <v>1.5233E-4</v>
      </c>
      <c r="O8277" s="9">
        <v>2.1714999999999999E-4</v>
      </c>
      <c r="P8277" s="9">
        <v>1.6023E-4</v>
      </c>
      <c r="Q8277" s="9">
        <v>1.0778E-4</v>
      </c>
      <c r="R8277" s="10">
        <v>2.1187847207170376E-4</v>
      </c>
      <c r="S8277" s="10">
        <v>1.9029020380784866E-4</v>
      </c>
      <c r="T8277" s="10">
        <v>0</v>
      </c>
      <c r="U8277" s="10">
        <v>1.175E-4</v>
      </c>
      <c r="V8277" s="25"/>
      <c r="W8277" s="25"/>
      <c r="X8277" s="25"/>
      <c r="Y8277" s="25"/>
      <c r="Z8277" s="25"/>
      <c r="AA8277" s="25"/>
    </row>
    <row r="8278" spans="1:27" x14ac:dyDescent="0.35">
      <c r="A8278" s="5">
        <v>8274</v>
      </c>
      <c r="B8278" s="5">
        <v>345</v>
      </c>
      <c r="C8278" s="5">
        <v>12</v>
      </c>
      <c r="D8278" s="25">
        <v>1.1415000000000001E-4</v>
      </c>
      <c r="E8278" s="25">
        <v>1.1934000000000001E-4</v>
      </c>
      <c r="F8278" s="25">
        <v>1.0823999999999999E-4</v>
      </c>
      <c r="G8278" s="25">
        <v>1.6637999999999999E-4</v>
      </c>
      <c r="H8278" s="25">
        <v>1.8781000000000001E-4</v>
      </c>
      <c r="I8278" s="9">
        <v>1.3236000000000001E-4</v>
      </c>
      <c r="J8278" s="9">
        <v>1.3666000000000001E-4</v>
      </c>
      <c r="K8278" s="9">
        <v>2.1617000000000001E-4</v>
      </c>
      <c r="L8278" s="9">
        <v>2.12E-4</v>
      </c>
      <c r="M8278" s="9">
        <v>1.5972999999999999E-4</v>
      </c>
      <c r="N8278" s="9">
        <v>1.3918000000000001E-4</v>
      </c>
      <c r="O8278" s="9">
        <v>2.0733000000000001E-4</v>
      </c>
      <c r="P8278" s="9">
        <v>1.6049E-4</v>
      </c>
      <c r="Q8278" s="9">
        <v>1.1775E-4</v>
      </c>
      <c r="R8278" s="10">
        <v>2.1171443793545602E-4</v>
      </c>
      <c r="S8278" s="10">
        <v>1.9029017172808368E-4</v>
      </c>
      <c r="T8278" s="10">
        <v>0</v>
      </c>
      <c r="U8278" s="10">
        <v>1.175E-4</v>
      </c>
      <c r="V8278" s="25"/>
      <c r="W8278" s="25"/>
      <c r="X8278" s="25"/>
      <c r="Y8278" s="25"/>
      <c r="Z8278" s="25"/>
      <c r="AA8278" s="25"/>
    </row>
    <row r="8279" spans="1:27" x14ac:dyDescent="0.35">
      <c r="A8279" s="5">
        <v>8275</v>
      </c>
      <c r="B8279" s="5">
        <v>345</v>
      </c>
      <c r="C8279" s="5">
        <v>12</v>
      </c>
      <c r="D8279" s="25">
        <v>1.1416E-4</v>
      </c>
      <c r="E8279" s="25">
        <v>1.1634E-4</v>
      </c>
      <c r="F8279" s="25">
        <v>1.1071E-4</v>
      </c>
      <c r="G8279" s="25">
        <v>1.0992E-4</v>
      </c>
      <c r="H8279" s="25">
        <v>1.3622999999999999E-4</v>
      </c>
      <c r="I8279" s="9">
        <v>1.3172999999999999E-4</v>
      </c>
      <c r="J8279" s="9">
        <v>1.3346000000000001E-4</v>
      </c>
      <c r="K8279" s="9">
        <v>2.1193000000000001E-4</v>
      </c>
      <c r="L8279" s="9">
        <v>2.0791000000000001E-4</v>
      </c>
      <c r="M8279" s="9">
        <v>1.5961999999999999E-4</v>
      </c>
      <c r="N8279" s="9">
        <v>1.3009E-4</v>
      </c>
      <c r="O8279" s="9">
        <v>1.6532999999999999E-4</v>
      </c>
      <c r="P8279" s="9">
        <v>1.3459999999999999E-4</v>
      </c>
      <c r="Q8279" s="9">
        <v>1.0683000000000001E-4</v>
      </c>
      <c r="R8279" s="10">
        <v>2.1131417435684089E-4</v>
      </c>
      <c r="S8279" s="10">
        <v>1.9028664080229701E-4</v>
      </c>
      <c r="T8279" s="10">
        <v>0</v>
      </c>
      <c r="U8279" s="10">
        <v>1.175E-4</v>
      </c>
      <c r="V8279" s="25"/>
      <c r="W8279" s="25"/>
      <c r="X8279" s="25"/>
      <c r="Y8279" s="25"/>
      <c r="Z8279" s="25"/>
      <c r="AA8279" s="25"/>
    </row>
    <row r="8280" spans="1:27" x14ac:dyDescent="0.35">
      <c r="A8280" s="5">
        <v>8276</v>
      </c>
      <c r="B8280" s="5">
        <v>345</v>
      </c>
      <c r="C8280" s="5">
        <v>12</v>
      </c>
      <c r="D8280" s="25">
        <v>1.1415000000000001E-4</v>
      </c>
      <c r="E8280" s="25">
        <v>1.1493999999999999E-4</v>
      </c>
      <c r="F8280" s="25">
        <v>1.1155E-4</v>
      </c>
      <c r="G8280" s="25">
        <v>1.1469E-4</v>
      </c>
      <c r="H8280" s="25">
        <v>1.2872E-4</v>
      </c>
      <c r="I8280" s="9">
        <v>1.2674999999999999E-4</v>
      </c>
      <c r="J8280" s="9">
        <v>1.2871000000000001E-4</v>
      </c>
      <c r="K8280" s="9">
        <v>2.0981999999999999E-4</v>
      </c>
      <c r="L8280" s="9">
        <v>1.7489E-4</v>
      </c>
      <c r="M8280" s="9">
        <v>1.5071999999999999E-4</v>
      </c>
      <c r="N8280" s="9">
        <v>1.2092E-4</v>
      </c>
      <c r="O8280" s="9">
        <v>1.3054000000000001E-4</v>
      </c>
      <c r="P8280" s="9">
        <v>1.1552000000000001E-4</v>
      </c>
      <c r="Q8280" s="9">
        <v>1.0247999999999999E-4</v>
      </c>
      <c r="R8280" s="10">
        <v>2.1016022200814438E-4</v>
      </c>
      <c r="S8280" s="10">
        <v>1.9029017368443028E-4</v>
      </c>
      <c r="T8280" s="10">
        <v>0</v>
      </c>
      <c r="U8280" s="10">
        <v>1.175E-4</v>
      </c>
      <c r="V8280" s="25"/>
      <c r="W8280" s="25"/>
      <c r="X8280" s="25"/>
      <c r="Y8280" s="25"/>
      <c r="Z8280" s="25"/>
      <c r="AA8280" s="25"/>
    </row>
    <row r="8281" spans="1:27" x14ac:dyDescent="0.35">
      <c r="A8281" s="5">
        <v>8277</v>
      </c>
      <c r="B8281" s="5">
        <v>345</v>
      </c>
      <c r="C8281" s="5">
        <v>12</v>
      </c>
      <c r="D8281" s="25">
        <v>1.1416E-4</v>
      </c>
      <c r="E8281" s="25">
        <v>1.178E-4</v>
      </c>
      <c r="F8281" s="25">
        <v>1.1838E-4</v>
      </c>
      <c r="G8281" s="25">
        <v>5.8470000000000001E-5</v>
      </c>
      <c r="H8281" s="25">
        <v>7.5129999999999994E-5</v>
      </c>
      <c r="I8281" s="9">
        <v>1.2038E-4</v>
      </c>
      <c r="J8281" s="9">
        <v>1.2343E-4</v>
      </c>
      <c r="K8281" s="9">
        <v>2.0557E-4</v>
      </c>
      <c r="L8281" s="9">
        <v>1.4133E-4</v>
      </c>
      <c r="M8281" s="9">
        <v>1.3554999999999999E-4</v>
      </c>
      <c r="N8281" s="9">
        <v>1.1338E-4</v>
      </c>
      <c r="O8281" s="9">
        <v>8.5959999999999997E-5</v>
      </c>
      <c r="P8281" s="9">
        <v>8.7200000000000005E-5</v>
      </c>
      <c r="Q8281" s="9">
        <v>8.9220000000000003E-5</v>
      </c>
      <c r="R8281" s="10">
        <v>2.0934701561293613E-4</v>
      </c>
      <c r="S8281" s="10">
        <v>1.9028536178822454E-4</v>
      </c>
      <c r="T8281" s="10">
        <v>0</v>
      </c>
      <c r="U8281" s="10">
        <v>1.175E-4</v>
      </c>
      <c r="V8281" s="25"/>
      <c r="W8281" s="25"/>
      <c r="X8281" s="25"/>
      <c r="Y8281" s="25"/>
      <c r="Z8281" s="25"/>
      <c r="AA8281" s="25"/>
    </row>
    <row r="8282" spans="1:27" x14ac:dyDescent="0.35">
      <c r="A8282" s="5">
        <v>8278</v>
      </c>
      <c r="B8282" s="5">
        <v>345</v>
      </c>
      <c r="C8282" s="5">
        <v>12</v>
      </c>
      <c r="D8282" s="25">
        <v>1.1415000000000001E-4</v>
      </c>
      <c r="E8282" s="25">
        <v>1.1991E-4</v>
      </c>
      <c r="F8282" s="25">
        <v>1.092E-4</v>
      </c>
      <c r="G8282" s="25">
        <v>5.5210000000000002E-5</v>
      </c>
      <c r="H8282" s="25">
        <v>6.7269999999999998E-5</v>
      </c>
      <c r="I8282" s="9">
        <v>1.1548E-4</v>
      </c>
      <c r="J8282" s="9">
        <v>1.1794E-4</v>
      </c>
      <c r="K8282" s="9">
        <v>2.0557E-4</v>
      </c>
      <c r="L8282" s="9">
        <v>9.904E-5</v>
      </c>
      <c r="M8282" s="9">
        <v>1.1425E-4</v>
      </c>
      <c r="N8282" s="9">
        <v>1.0596E-4</v>
      </c>
      <c r="O8282" s="9">
        <v>8.8339999999999998E-5</v>
      </c>
      <c r="P8282" s="9">
        <v>8.8129999999999998E-5</v>
      </c>
      <c r="Q8282" s="9">
        <v>8.878E-5</v>
      </c>
      <c r="R8282" s="10">
        <v>2.1029422870518679E-4</v>
      </c>
      <c r="S8282" s="10">
        <v>1.9022549538908688E-4</v>
      </c>
      <c r="T8282" s="10">
        <v>0</v>
      </c>
      <c r="U8282" s="10">
        <v>1.175E-4</v>
      </c>
      <c r="V8282" s="25"/>
      <c r="W8282" s="25"/>
      <c r="X8282" s="25"/>
      <c r="Y8282" s="25"/>
      <c r="Z8282" s="25"/>
      <c r="AA8282" s="25"/>
    </row>
    <row r="8283" spans="1:27" x14ac:dyDescent="0.35">
      <c r="A8283" s="5">
        <v>8279</v>
      </c>
      <c r="B8283" s="5">
        <v>345</v>
      </c>
      <c r="C8283" s="5">
        <v>12</v>
      </c>
      <c r="D8283" s="25">
        <v>1.1416E-4</v>
      </c>
      <c r="E8283" s="25">
        <v>1.1317E-4</v>
      </c>
      <c r="F8283" s="25">
        <v>1.1917E-4</v>
      </c>
      <c r="G8283" s="25">
        <v>5.3820000000000003E-5</v>
      </c>
      <c r="H8283" s="25">
        <v>7.0480000000000003E-5</v>
      </c>
      <c r="I8283" s="9">
        <v>1.1598E-4</v>
      </c>
      <c r="J8283" s="9">
        <v>1.1256000000000001E-4</v>
      </c>
      <c r="K8283" s="9">
        <v>2.0346000000000001E-4</v>
      </c>
      <c r="L8283" s="9">
        <v>9.1630000000000002E-5</v>
      </c>
      <c r="M8283" s="9">
        <v>9.9640000000000001E-5</v>
      </c>
      <c r="N8283" s="9">
        <v>1.0022999999999999E-4</v>
      </c>
      <c r="O8283" s="9">
        <v>7.7559999999999996E-5</v>
      </c>
      <c r="P8283" s="9">
        <v>7.1619999999999995E-5</v>
      </c>
      <c r="Q8283" s="9">
        <v>6.6409999999999996E-5</v>
      </c>
      <c r="R8283" s="10">
        <v>2.0974268379747064E-4</v>
      </c>
      <c r="S8283" s="10">
        <v>1.9022432497220148E-4</v>
      </c>
      <c r="T8283" s="10">
        <v>0</v>
      </c>
      <c r="U8283" s="10">
        <v>1.175E-4</v>
      </c>
      <c r="V8283" s="25"/>
      <c r="W8283" s="25"/>
      <c r="X8283" s="25"/>
      <c r="Y8283" s="25"/>
      <c r="Z8283" s="25"/>
      <c r="AA8283" s="25"/>
    </row>
    <row r="8284" spans="1:27" x14ac:dyDescent="0.35">
      <c r="A8284" s="5">
        <v>8280</v>
      </c>
      <c r="B8284" s="5">
        <v>345</v>
      </c>
      <c r="C8284" s="5">
        <v>12</v>
      </c>
      <c r="D8284" s="25">
        <v>1.1415000000000001E-4</v>
      </c>
      <c r="E8284" s="25">
        <v>1.1644E-4</v>
      </c>
      <c r="F8284" s="25">
        <v>1.2766000000000001E-4</v>
      </c>
      <c r="G8284" s="25">
        <v>5.2490000000000001E-5</v>
      </c>
      <c r="H8284" s="25">
        <v>6.2769999999999997E-5</v>
      </c>
      <c r="I8284" s="9">
        <v>1.1649E-4</v>
      </c>
      <c r="J8284" s="9">
        <v>1.0698E-4</v>
      </c>
      <c r="K8284" s="9">
        <v>2.1193000000000001E-4</v>
      </c>
      <c r="L8284" s="9">
        <v>8.0660000000000004E-5</v>
      </c>
      <c r="M8284" s="9">
        <v>8.632E-5</v>
      </c>
      <c r="N8284" s="9">
        <v>9.0810000000000006E-5</v>
      </c>
      <c r="O8284" s="9">
        <v>6.3029999999999998E-5</v>
      </c>
      <c r="P8284" s="9">
        <v>6.0850000000000002E-5</v>
      </c>
      <c r="Q8284" s="9">
        <v>5.9030000000000002E-5</v>
      </c>
      <c r="R8284" s="10">
        <v>2.0441140938173792E-4</v>
      </c>
      <c r="S8284" s="10">
        <v>1.9015090715589301E-4</v>
      </c>
      <c r="T8284" s="10">
        <v>0</v>
      </c>
      <c r="U8284" s="10">
        <v>1.175E-4</v>
      </c>
      <c r="V8284" s="25"/>
      <c r="W8284" s="25"/>
      <c r="X8284" s="25"/>
      <c r="Y8284" s="25"/>
      <c r="Z8284" s="25"/>
      <c r="AA8284" s="25"/>
    </row>
    <row r="8285" spans="1:27" x14ac:dyDescent="0.35">
      <c r="A8285" s="5">
        <v>8281</v>
      </c>
      <c r="B8285" s="5">
        <v>346</v>
      </c>
      <c r="C8285" s="5">
        <v>12</v>
      </c>
      <c r="D8285" s="25">
        <v>1.1416E-4</v>
      </c>
      <c r="E8285" s="25">
        <v>1.0832000000000001E-4</v>
      </c>
      <c r="F8285" s="25">
        <v>1.0487E-4</v>
      </c>
      <c r="G8285" s="25">
        <v>5.3820000000000003E-5</v>
      </c>
      <c r="H8285" s="25">
        <v>6.9010000000000005E-5</v>
      </c>
      <c r="I8285" s="9">
        <v>1.0922E-4</v>
      </c>
      <c r="J8285" s="9">
        <v>1.0244E-4</v>
      </c>
      <c r="K8285" s="9">
        <v>2.1193000000000001E-4</v>
      </c>
      <c r="L8285" s="9">
        <v>6.6940000000000006E-5</v>
      </c>
      <c r="M8285" s="9">
        <v>7.4070000000000001E-5</v>
      </c>
      <c r="N8285" s="9">
        <v>8.1390000000000005E-5</v>
      </c>
      <c r="O8285" s="9">
        <v>5.4530000000000001E-5</v>
      </c>
      <c r="P8285" s="9">
        <v>5.3940000000000002E-5</v>
      </c>
      <c r="Q8285" s="9">
        <v>5.3520000000000003E-5</v>
      </c>
      <c r="R8285" s="10">
        <v>1.9885194662085763E-4</v>
      </c>
      <c r="S8285" s="10">
        <v>1.9024782936973359E-4</v>
      </c>
      <c r="T8285" s="10">
        <v>0</v>
      </c>
      <c r="U8285" s="10">
        <v>1.293E-4</v>
      </c>
      <c r="V8285" s="25"/>
      <c r="W8285" s="25"/>
      <c r="X8285" s="25"/>
      <c r="Y8285" s="25"/>
      <c r="Z8285" s="25"/>
      <c r="AA8285" s="25"/>
    </row>
    <row r="8286" spans="1:27" x14ac:dyDescent="0.35">
      <c r="A8286" s="5">
        <v>8282</v>
      </c>
      <c r="B8286" s="5">
        <v>346</v>
      </c>
      <c r="C8286" s="5">
        <v>12</v>
      </c>
      <c r="D8286" s="25">
        <v>1.1415000000000001E-4</v>
      </c>
      <c r="E8286" s="25">
        <v>1.0469E-4</v>
      </c>
      <c r="F8286" s="25">
        <v>9.0699999999999996E-5</v>
      </c>
      <c r="G8286" s="25">
        <v>5.7739999999999999E-5</v>
      </c>
      <c r="H8286" s="25">
        <v>6.9220000000000005E-5</v>
      </c>
      <c r="I8286" s="9">
        <v>1.043E-4</v>
      </c>
      <c r="J8286" s="9">
        <v>9.7029999999999998E-5</v>
      </c>
      <c r="K8286" s="9">
        <v>2.1405E-4</v>
      </c>
      <c r="L8286" s="9">
        <v>5.7630000000000002E-5</v>
      </c>
      <c r="M8286" s="9">
        <v>6.3930000000000006E-5</v>
      </c>
      <c r="N8286" s="9">
        <v>7.2230000000000005E-5</v>
      </c>
      <c r="O8286" s="9">
        <v>1.8329999999999999E-5</v>
      </c>
      <c r="P8286" s="9">
        <v>3.7589999999999998E-5</v>
      </c>
      <c r="Q8286" s="9">
        <v>5.5949999999999998E-5</v>
      </c>
      <c r="R8286" s="10">
        <v>1.9988230020088587E-4</v>
      </c>
      <c r="S8286" s="10">
        <v>1.9022260303811563E-4</v>
      </c>
      <c r="T8286" s="10">
        <v>0</v>
      </c>
      <c r="U8286" s="10">
        <v>1.293E-4</v>
      </c>
      <c r="V8286" s="25"/>
      <c r="W8286" s="25"/>
      <c r="X8286" s="25"/>
      <c r="Y8286" s="25"/>
      <c r="Z8286" s="25"/>
      <c r="AA8286" s="25"/>
    </row>
    <row r="8287" spans="1:27" x14ac:dyDescent="0.35">
      <c r="A8287" s="5">
        <v>8283</v>
      </c>
      <c r="B8287" s="5">
        <v>346</v>
      </c>
      <c r="C8287" s="5">
        <v>12</v>
      </c>
      <c r="D8287" s="25">
        <v>1.1416E-4</v>
      </c>
      <c r="E8287" s="25">
        <v>1.1247999999999999E-4</v>
      </c>
      <c r="F8287" s="25">
        <v>8.6609999999999999E-5</v>
      </c>
      <c r="G8287" s="25">
        <v>5.5080000000000001E-5</v>
      </c>
      <c r="H8287" s="25">
        <v>7.0270000000000003E-5</v>
      </c>
      <c r="I8287" s="9">
        <v>1.0111999999999999E-4</v>
      </c>
      <c r="J8287" s="9">
        <v>9.3919999999999995E-5</v>
      </c>
      <c r="K8287" s="9">
        <v>2.1193000000000001E-4</v>
      </c>
      <c r="L8287" s="9">
        <v>2.7180000000000001E-5</v>
      </c>
      <c r="M8287" s="9">
        <v>5.2139999999999999E-5</v>
      </c>
      <c r="N8287" s="9">
        <v>6.5539999999999999E-5</v>
      </c>
      <c r="O8287" s="9">
        <v>1.2969999999999999E-5</v>
      </c>
      <c r="P8287" s="9">
        <v>3.8109999999999999E-5</v>
      </c>
      <c r="Q8287" s="9">
        <v>6.2119999999999995E-5</v>
      </c>
      <c r="R8287" s="10">
        <v>1.9856406864740642E-4</v>
      </c>
      <c r="S8287" s="10">
        <v>1.9011088681054352E-4</v>
      </c>
      <c r="T8287" s="10">
        <v>0</v>
      </c>
      <c r="U8287" s="10">
        <v>1.293E-4</v>
      </c>
      <c r="V8287" s="25"/>
      <c r="W8287" s="25"/>
      <c r="X8287" s="25"/>
      <c r="Y8287" s="25"/>
      <c r="Z8287" s="25"/>
      <c r="AA8287" s="25"/>
    </row>
    <row r="8288" spans="1:27" x14ac:dyDescent="0.35">
      <c r="A8288" s="5">
        <v>8284</v>
      </c>
      <c r="B8288" s="5">
        <v>346</v>
      </c>
      <c r="C8288" s="5">
        <v>12</v>
      </c>
      <c r="D8288" s="25">
        <v>1.1415000000000001E-4</v>
      </c>
      <c r="E8288" s="25">
        <v>1.0938E-4</v>
      </c>
      <c r="F8288" s="25">
        <v>1.0565000000000001E-4</v>
      </c>
      <c r="G8288" s="25">
        <v>5.9799999999999997E-5</v>
      </c>
      <c r="H8288" s="25">
        <v>6.9010000000000005E-5</v>
      </c>
      <c r="I8288" s="9">
        <v>9.8679999999999997E-5</v>
      </c>
      <c r="J8288" s="9">
        <v>9.2499999999999999E-5</v>
      </c>
      <c r="K8288" s="9">
        <v>2.0981E-4</v>
      </c>
      <c r="L8288" s="9">
        <v>1.6860000000000001E-5</v>
      </c>
      <c r="M8288" s="9">
        <v>4.4270000000000001E-5</v>
      </c>
      <c r="N8288" s="9">
        <v>6.2030000000000001E-5</v>
      </c>
      <c r="O8288" s="9">
        <v>1.279E-5</v>
      </c>
      <c r="P8288" s="9">
        <v>4.6980000000000001E-5</v>
      </c>
      <c r="Q8288" s="9">
        <v>7.9900000000000004E-5</v>
      </c>
      <c r="R8288" s="10">
        <v>1.9887157609802005E-4</v>
      </c>
      <c r="S8288" s="10">
        <v>1.8933366642750899E-4</v>
      </c>
      <c r="T8288" s="10">
        <v>0</v>
      </c>
      <c r="U8288" s="10">
        <v>1.293E-4</v>
      </c>
      <c r="V8288" s="25"/>
      <c r="W8288" s="25"/>
      <c r="X8288" s="25"/>
      <c r="Y8288" s="25"/>
      <c r="Z8288" s="25"/>
      <c r="AA8288" s="25"/>
    </row>
    <row r="8289" spans="1:27" x14ac:dyDescent="0.35">
      <c r="A8289" s="5">
        <v>8285</v>
      </c>
      <c r="B8289" s="5">
        <v>346</v>
      </c>
      <c r="C8289" s="5">
        <v>12</v>
      </c>
      <c r="D8289" s="25">
        <v>1.1416E-4</v>
      </c>
      <c r="E8289" s="25">
        <v>1.0904999999999999E-4</v>
      </c>
      <c r="F8289" s="25">
        <v>1.0349999999999999E-4</v>
      </c>
      <c r="G8289" s="25">
        <v>5.4889999999999998E-5</v>
      </c>
      <c r="H8289" s="25">
        <v>6.7760000000000002E-5</v>
      </c>
      <c r="I8289" s="9">
        <v>9.7380000000000006E-5</v>
      </c>
      <c r="J8289" s="9">
        <v>9.1680000000000003E-5</v>
      </c>
      <c r="K8289" s="9">
        <v>2.0770000000000001E-4</v>
      </c>
      <c r="L8289" s="9">
        <v>1.393E-5</v>
      </c>
      <c r="M8289" s="9">
        <v>4.3489999999999999E-5</v>
      </c>
      <c r="N8289" s="9">
        <v>6.444E-5</v>
      </c>
      <c r="O8289" s="9">
        <v>1.8289999999999999E-5</v>
      </c>
      <c r="P8289" s="9">
        <v>5.6280000000000003E-5</v>
      </c>
      <c r="Q8289" s="9">
        <v>9.3049999999999998E-5</v>
      </c>
      <c r="R8289" s="10">
        <v>1.9880227419382773E-4</v>
      </c>
      <c r="S8289" s="10">
        <v>1.881562726716823E-4</v>
      </c>
      <c r="T8289" s="10">
        <v>0</v>
      </c>
      <c r="U8289" s="10">
        <v>1.293E-4</v>
      </c>
      <c r="V8289" s="25"/>
      <c r="W8289" s="25"/>
      <c r="X8289" s="25"/>
      <c r="Y8289" s="25"/>
      <c r="Z8289" s="25"/>
      <c r="AA8289" s="25"/>
    </row>
    <row r="8290" spans="1:27" x14ac:dyDescent="0.35">
      <c r="A8290" s="5">
        <v>8286</v>
      </c>
      <c r="B8290" s="5">
        <v>346</v>
      </c>
      <c r="C8290" s="5">
        <v>12</v>
      </c>
      <c r="D8290" s="25">
        <v>1.1415000000000001E-4</v>
      </c>
      <c r="E8290" s="25">
        <v>1.1027E-4</v>
      </c>
      <c r="F8290" s="25">
        <v>9.022E-5</v>
      </c>
      <c r="G8290" s="25">
        <v>1.1189E-4</v>
      </c>
      <c r="H8290" s="25">
        <v>1.3872E-4</v>
      </c>
      <c r="I8290" s="9">
        <v>9.8620000000000001E-5</v>
      </c>
      <c r="J8290" s="9">
        <v>9.2419999999999999E-5</v>
      </c>
      <c r="K8290" s="9">
        <v>2.0346000000000001E-4</v>
      </c>
      <c r="L8290" s="9">
        <v>1.7200000000000001E-5</v>
      </c>
      <c r="M8290" s="9">
        <v>4.8239999999999999E-5</v>
      </c>
      <c r="N8290" s="9">
        <v>7.0850000000000001E-5</v>
      </c>
      <c r="O8290" s="9">
        <v>4.596E-5</v>
      </c>
      <c r="P8290" s="9">
        <v>7.648E-5</v>
      </c>
      <c r="Q8290" s="9">
        <v>1.065E-4</v>
      </c>
      <c r="R8290" s="10">
        <v>1.9931233838265351E-4</v>
      </c>
      <c r="S8290" s="10">
        <v>1.872947148609005E-4</v>
      </c>
      <c r="T8290" s="10">
        <v>0</v>
      </c>
      <c r="U8290" s="10">
        <v>1.293E-4</v>
      </c>
      <c r="V8290" s="25"/>
      <c r="W8290" s="25"/>
      <c r="X8290" s="25"/>
      <c r="Y8290" s="25"/>
      <c r="Z8290" s="25"/>
      <c r="AA8290" s="25"/>
    </row>
    <row r="8291" spans="1:27" x14ac:dyDescent="0.35">
      <c r="A8291" s="5">
        <v>8287</v>
      </c>
      <c r="B8291" s="5">
        <v>346</v>
      </c>
      <c r="C8291" s="5">
        <v>12</v>
      </c>
      <c r="D8291" s="25">
        <v>1.1416E-4</v>
      </c>
      <c r="E8291" s="25">
        <v>1.0739E-4</v>
      </c>
      <c r="F8291" s="25">
        <v>1.0086000000000001E-4</v>
      </c>
      <c r="G8291" s="25">
        <v>1.117E-4</v>
      </c>
      <c r="H8291" s="25">
        <v>1.3030999999999999E-4</v>
      </c>
      <c r="I8291" s="9">
        <v>1.008E-4</v>
      </c>
      <c r="J8291" s="9">
        <v>9.4699999999999998E-5</v>
      </c>
      <c r="K8291" s="9">
        <v>1.9709999999999999E-4</v>
      </c>
      <c r="L8291" s="9">
        <v>3.9490000000000003E-5</v>
      </c>
      <c r="M8291" s="9">
        <v>5.9750000000000002E-5</v>
      </c>
      <c r="N8291" s="9">
        <v>8.0450000000000004E-5</v>
      </c>
      <c r="O8291" s="9">
        <v>1.2347000000000001E-4</v>
      </c>
      <c r="P8291" s="9">
        <v>1.1684E-4</v>
      </c>
      <c r="Q8291" s="9">
        <v>1.1192E-4</v>
      </c>
      <c r="R8291" s="10">
        <v>1.9540562728770908E-4</v>
      </c>
      <c r="S8291" s="10">
        <v>1.836811528284114E-4</v>
      </c>
      <c r="T8291" s="10">
        <v>0</v>
      </c>
      <c r="U8291" s="10">
        <v>1.293E-4</v>
      </c>
      <c r="V8291" s="25"/>
      <c r="W8291" s="25"/>
      <c r="X8291" s="25"/>
      <c r="Y8291" s="25"/>
      <c r="Z8291" s="25"/>
      <c r="AA8291" s="25"/>
    </row>
    <row r="8292" spans="1:27" x14ac:dyDescent="0.35">
      <c r="A8292" s="5">
        <v>8288</v>
      </c>
      <c r="B8292" s="5">
        <v>346</v>
      </c>
      <c r="C8292" s="5">
        <v>12</v>
      </c>
      <c r="D8292" s="25">
        <v>1.1415000000000001E-4</v>
      </c>
      <c r="E8292" s="25">
        <v>1.082E-4</v>
      </c>
      <c r="F8292" s="25">
        <v>9.5719999999999998E-5</v>
      </c>
      <c r="G8292" s="25">
        <v>1.5875000000000001E-4</v>
      </c>
      <c r="H8292" s="25">
        <v>1.9859000000000001E-4</v>
      </c>
      <c r="I8292" s="9">
        <v>1.0264000000000001E-4</v>
      </c>
      <c r="J8292" s="9">
        <v>9.9129999999999994E-5</v>
      </c>
      <c r="K8292" s="9">
        <v>1.8437999999999999E-4</v>
      </c>
      <c r="L8292" s="9">
        <v>1.0437000000000001E-4</v>
      </c>
      <c r="M8292" s="9">
        <v>8.3269999999999994E-5</v>
      </c>
      <c r="N8292" s="9">
        <v>9.0459999999999998E-5</v>
      </c>
      <c r="O8292" s="9">
        <v>2.2300999999999999E-4</v>
      </c>
      <c r="P8292" s="9">
        <v>1.7809999999999999E-4</v>
      </c>
      <c r="Q8292" s="9">
        <v>1.3757999999999999E-4</v>
      </c>
      <c r="R8292" s="10">
        <v>1.7916944883511579E-4</v>
      </c>
      <c r="S8292" s="10">
        <v>1.7533631109029816E-4</v>
      </c>
      <c r="T8292" s="10">
        <v>0</v>
      </c>
      <c r="U8292" s="10">
        <v>1.293E-4</v>
      </c>
      <c r="V8292" s="25"/>
      <c r="W8292" s="25"/>
      <c r="X8292" s="25"/>
      <c r="Y8292" s="25"/>
      <c r="Z8292" s="25"/>
      <c r="AA8292" s="25"/>
    </row>
    <row r="8293" spans="1:27" x14ac:dyDescent="0.35">
      <c r="A8293" s="5">
        <v>8289</v>
      </c>
      <c r="B8293" s="5">
        <v>346</v>
      </c>
      <c r="C8293" s="5">
        <v>12</v>
      </c>
      <c r="D8293" s="25">
        <v>1.1416E-4</v>
      </c>
      <c r="E8293" s="25">
        <v>1.038E-4</v>
      </c>
      <c r="F8293" s="25">
        <v>9.8140000000000006E-5</v>
      </c>
      <c r="G8293" s="25">
        <v>1.6577000000000001E-4</v>
      </c>
      <c r="H8293" s="25">
        <v>1.9347E-4</v>
      </c>
      <c r="I8293" s="9">
        <v>1.0847E-4</v>
      </c>
      <c r="J8293" s="9">
        <v>1.0575E-4</v>
      </c>
      <c r="K8293" s="9">
        <v>1.4412E-4</v>
      </c>
      <c r="L8293" s="9">
        <v>1.9513000000000001E-4</v>
      </c>
      <c r="M8293" s="9">
        <v>1.2349999999999999E-4</v>
      </c>
      <c r="N8293" s="9">
        <v>1.0443E-4</v>
      </c>
      <c r="O8293" s="9">
        <v>2.1452E-4</v>
      </c>
      <c r="P8293" s="9">
        <v>1.9432999999999999E-4</v>
      </c>
      <c r="Q8293" s="9">
        <v>1.7797000000000001E-4</v>
      </c>
      <c r="R8293" s="10">
        <v>1.6499955776851455E-4</v>
      </c>
      <c r="S8293" s="10">
        <v>1.5016853754304185E-4</v>
      </c>
      <c r="T8293" s="10">
        <v>8.2068627613928575E-5</v>
      </c>
      <c r="U8293" s="10">
        <v>1.293E-4</v>
      </c>
      <c r="V8293" s="25"/>
      <c r="W8293" s="25"/>
      <c r="X8293" s="25"/>
      <c r="Y8293" s="25"/>
      <c r="Z8293" s="25"/>
      <c r="AA8293" s="25"/>
    </row>
    <row r="8294" spans="1:27" x14ac:dyDescent="0.35">
      <c r="A8294" s="5">
        <v>8290</v>
      </c>
      <c r="B8294" s="5">
        <v>346</v>
      </c>
      <c r="C8294" s="5">
        <v>12</v>
      </c>
      <c r="D8294" s="25">
        <v>1.1415000000000001E-4</v>
      </c>
      <c r="E8294" s="25">
        <v>1.0403000000000001E-4</v>
      </c>
      <c r="F8294" s="25">
        <v>8.8620000000000002E-5</v>
      </c>
      <c r="G8294" s="25">
        <v>1.6593000000000001E-4</v>
      </c>
      <c r="H8294" s="25">
        <v>1.9666E-4</v>
      </c>
      <c r="I8294" s="9">
        <v>1.1430999999999999E-4</v>
      </c>
      <c r="J8294" s="9">
        <v>1.1189E-4</v>
      </c>
      <c r="K8294" s="9">
        <v>1.4412E-4</v>
      </c>
      <c r="L8294" s="9">
        <v>2.0787E-4</v>
      </c>
      <c r="M8294" s="9">
        <v>1.5920999999999999E-4</v>
      </c>
      <c r="N8294" s="9">
        <v>1.2474E-4</v>
      </c>
      <c r="O8294" s="9">
        <v>1.6904999999999999E-4</v>
      </c>
      <c r="P8294" s="9">
        <v>1.7461000000000001E-4</v>
      </c>
      <c r="Q8294" s="9">
        <v>1.8264E-4</v>
      </c>
      <c r="R8294" s="10">
        <v>1.4771564769311169E-4</v>
      </c>
      <c r="S8294" s="10">
        <v>1.2748828663547684E-4</v>
      </c>
      <c r="T8294" s="10">
        <v>9.5380493294302174E-5</v>
      </c>
      <c r="U8294" s="10">
        <v>1.293E-4</v>
      </c>
      <c r="V8294" s="25"/>
      <c r="W8294" s="25"/>
      <c r="X8294" s="25"/>
      <c r="Y8294" s="25"/>
      <c r="Z8294" s="25"/>
      <c r="AA8294" s="25"/>
    </row>
    <row r="8295" spans="1:27" x14ac:dyDescent="0.35">
      <c r="A8295" s="5">
        <v>8291</v>
      </c>
      <c r="B8295" s="5">
        <v>346</v>
      </c>
      <c r="C8295" s="5">
        <v>12</v>
      </c>
      <c r="D8295" s="25">
        <v>1.1416E-4</v>
      </c>
      <c r="E8295" s="25">
        <v>1.0465E-4</v>
      </c>
      <c r="F8295" s="25">
        <v>9.2800000000000006E-5</v>
      </c>
      <c r="G8295" s="25">
        <v>1.6121000000000001E-4</v>
      </c>
      <c r="H8295" s="25">
        <v>1.9284E-4</v>
      </c>
      <c r="I8295" s="9">
        <v>1.1845000000000001E-4</v>
      </c>
      <c r="J8295" s="9">
        <v>1.1578000000000001E-4</v>
      </c>
      <c r="K8295" s="9">
        <v>1.3776000000000001E-4</v>
      </c>
      <c r="L8295" s="9">
        <v>1.7766E-4</v>
      </c>
      <c r="M8295" s="9">
        <v>1.7302999999999999E-4</v>
      </c>
      <c r="N8295" s="9">
        <v>1.4299000000000001E-4</v>
      </c>
      <c r="O8295" s="9">
        <v>1.6857999999999999E-4</v>
      </c>
      <c r="P8295" s="9">
        <v>1.7276999999999999E-4</v>
      </c>
      <c r="Q8295" s="9">
        <v>1.7945E-4</v>
      </c>
      <c r="R8295" s="10">
        <v>1.3747463773748839E-4</v>
      </c>
      <c r="S8295" s="10">
        <v>1.0489631289042739E-4</v>
      </c>
      <c r="T8295" s="10">
        <v>2.3715313543518361E-4</v>
      </c>
      <c r="U8295" s="10">
        <v>1.293E-4</v>
      </c>
      <c r="V8295" s="25"/>
      <c r="W8295" s="25"/>
      <c r="X8295" s="25"/>
      <c r="Y8295" s="25"/>
      <c r="Z8295" s="25"/>
      <c r="AA8295" s="25"/>
    </row>
    <row r="8296" spans="1:27" x14ac:dyDescent="0.35">
      <c r="A8296" s="5">
        <v>8292</v>
      </c>
      <c r="B8296" s="5">
        <v>346</v>
      </c>
      <c r="C8296" s="5">
        <v>12</v>
      </c>
      <c r="D8296" s="25">
        <v>1.1415000000000001E-4</v>
      </c>
      <c r="E8296" s="25">
        <v>1.1089E-4</v>
      </c>
      <c r="F8296" s="25">
        <v>9.1520000000000005E-5</v>
      </c>
      <c r="G8296" s="25">
        <v>1.6291E-4</v>
      </c>
      <c r="H8296" s="25">
        <v>1.9149E-4</v>
      </c>
      <c r="I8296" s="9">
        <v>1.2191E-4</v>
      </c>
      <c r="J8296" s="9">
        <v>1.1799E-4</v>
      </c>
      <c r="K8296" s="9">
        <v>1.2928000000000001E-4</v>
      </c>
      <c r="L8296" s="9">
        <v>1.7204000000000001E-4</v>
      </c>
      <c r="M8296" s="9">
        <v>1.7526E-4</v>
      </c>
      <c r="N8296" s="9">
        <v>1.5707000000000001E-4</v>
      </c>
      <c r="O8296" s="9">
        <v>1.7222E-4</v>
      </c>
      <c r="P8296" s="9">
        <v>1.7228E-4</v>
      </c>
      <c r="Q8296" s="9">
        <v>1.7496999999999999E-4</v>
      </c>
      <c r="R8296" s="10">
        <v>9.9068931916272674E-5</v>
      </c>
      <c r="S8296" s="10">
        <v>7.4134445739603788E-5</v>
      </c>
      <c r="T8296" s="10">
        <v>2.8693900402181994E-5</v>
      </c>
      <c r="U8296" s="10">
        <v>1.293E-4</v>
      </c>
      <c r="V8296" s="25"/>
      <c r="W8296" s="25"/>
      <c r="X8296" s="25"/>
      <c r="Y8296" s="25"/>
      <c r="Z8296" s="25"/>
      <c r="AA8296" s="25"/>
    </row>
    <row r="8297" spans="1:27" x14ac:dyDescent="0.35">
      <c r="A8297" s="5">
        <v>8293</v>
      </c>
      <c r="B8297" s="5">
        <v>346</v>
      </c>
      <c r="C8297" s="5">
        <v>12</v>
      </c>
      <c r="D8297" s="25">
        <v>1.1416E-4</v>
      </c>
      <c r="E8297" s="25">
        <v>1.091E-4</v>
      </c>
      <c r="F8297" s="25">
        <v>9.5249999999999998E-5</v>
      </c>
      <c r="G8297" s="25">
        <v>1.5972999999999999E-4</v>
      </c>
      <c r="H8297" s="25">
        <v>1.9709999999999999E-4</v>
      </c>
      <c r="I8297" s="9">
        <v>1.2253000000000001E-4</v>
      </c>
      <c r="J8297" s="9">
        <v>1.2055E-4</v>
      </c>
      <c r="K8297" s="9">
        <v>1.3352000000000001E-4</v>
      </c>
      <c r="L8297" s="9">
        <v>1.7236000000000001E-4</v>
      </c>
      <c r="M8297" s="9">
        <v>1.7427E-4</v>
      </c>
      <c r="N8297" s="9">
        <v>1.6670000000000001E-4</v>
      </c>
      <c r="O8297" s="9">
        <v>1.6179000000000001E-4</v>
      </c>
      <c r="P8297" s="9">
        <v>1.6275999999999999E-4</v>
      </c>
      <c r="Q8297" s="9">
        <v>1.6613000000000001E-4</v>
      </c>
      <c r="R8297" s="10">
        <v>1.1538808779586125E-4</v>
      </c>
      <c r="S8297" s="10">
        <v>7.2852602326062887E-5</v>
      </c>
      <c r="T8297" s="10">
        <v>1.3898130765468457E-4</v>
      </c>
      <c r="U8297" s="10">
        <v>1.293E-4</v>
      </c>
      <c r="V8297" s="25"/>
      <c r="W8297" s="25"/>
      <c r="X8297" s="25"/>
      <c r="Y8297" s="25"/>
      <c r="Z8297" s="25"/>
      <c r="AA8297" s="25"/>
    </row>
    <row r="8298" spans="1:27" x14ac:dyDescent="0.35">
      <c r="A8298" s="5">
        <v>8294</v>
      </c>
      <c r="B8298" s="5">
        <v>346</v>
      </c>
      <c r="C8298" s="5">
        <v>12</v>
      </c>
      <c r="D8298" s="25">
        <v>1.1415000000000001E-4</v>
      </c>
      <c r="E8298" s="25">
        <v>1.0925E-4</v>
      </c>
      <c r="F8298" s="25">
        <v>1.0834E-4</v>
      </c>
      <c r="G8298" s="25">
        <v>1.6102E-4</v>
      </c>
      <c r="H8298" s="25">
        <v>1.9772E-4</v>
      </c>
      <c r="I8298" s="9">
        <v>1.1870999999999999E-4</v>
      </c>
      <c r="J8298" s="9">
        <v>1.1984E-4</v>
      </c>
      <c r="K8298" s="9">
        <v>1.3564E-4</v>
      </c>
      <c r="L8298" s="9">
        <v>1.6384E-4</v>
      </c>
      <c r="M8298" s="9">
        <v>1.6985000000000001E-4</v>
      </c>
      <c r="N8298" s="9">
        <v>1.7064000000000001E-4</v>
      </c>
      <c r="O8298" s="9">
        <v>1.8123999999999999E-4</v>
      </c>
      <c r="P8298" s="9">
        <v>1.7017000000000001E-4</v>
      </c>
      <c r="Q8298" s="9">
        <v>1.6207999999999999E-4</v>
      </c>
      <c r="R8298" s="10">
        <v>1.1306575712447339E-4</v>
      </c>
      <c r="S8298" s="10">
        <v>9.1129795338252073E-5</v>
      </c>
      <c r="T8298" s="10">
        <v>7.7045922398644192E-5</v>
      </c>
      <c r="U8298" s="10">
        <v>1.293E-4</v>
      </c>
      <c r="V8298" s="25"/>
      <c r="W8298" s="25"/>
      <c r="X8298" s="25"/>
      <c r="Y8298" s="25"/>
      <c r="Z8298" s="25"/>
      <c r="AA8298" s="25"/>
    </row>
    <row r="8299" spans="1:27" x14ac:dyDescent="0.35">
      <c r="A8299" s="5">
        <v>8295</v>
      </c>
      <c r="B8299" s="5">
        <v>346</v>
      </c>
      <c r="C8299" s="5">
        <v>12</v>
      </c>
      <c r="D8299" s="25">
        <v>1.1416E-4</v>
      </c>
      <c r="E8299" s="25">
        <v>1.1309E-4</v>
      </c>
      <c r="F8299" s="25">
        <v>9.7440000000000002E-5</v>
      </c>
      <c r="G8299" s="25">
        <v>1.6621E-4</v>
      </c>
      <c r="H8299" s="25">
        <v>1.9256000000000001E-4</v>
      </c>
      <c r="I8299" s="9">
        <v>1.148E-4</v>
      </c>
      <c r="J8299" s="9">
        <v>1.1945E-4</v>
      </c>
      <c r="K8299" s="9">
        <v>1.5470999999999999E-4</v>
      </c>
      <c r="L8299" s="9">
        <v>1.7762E-4</v>
      </c>
      <c r="M8299" s="9">
        <v>1.6871E-4</v>
      </c>
      <c r="N8299" s="9">
        <v>1.7034E-4</v>
      </c>
      <c r="O8299" s="9">
        <v>1.8562E-4</v>
      </c>
      <c r="P8299" s="9">
        <v>1.6768999999999999E-4</v>
      </c>
      <c r="Q8299" s="9">
        <v>1.5296E-4</v>
      </c>
      <c r="R8299" s="10">
        <v>1.2154108501695582E-4</v>
      </c>
      <c r="S8299" s="10">
        <v>1.0934824930188126E-4</v>
      </c>
      <c r="T8299" s="10">
        <v>3.1476750589028735E-6</v>
      </c>
      <c r="U8299" s="10">
        <v>1.293E-4</v>
      </c>
      <c r="V8299" s="25"/>
      <c r="W8299" s="25"/>
      <c r="X8299" s="25"/>
      <c r="Y8299" s="25"/>
      <c r="Z8299" s="25"/>
      <c r="AA8299" s="25"/>
    </row>
    <row r="8300" spans="1:27" x14ac:dyDescent="0.35">
      <c r="A8300" s="5">
        <v>8296</v>
      </c>
      <c r="B8300" s="5">
        <v>346</v>
      </c>
      <c r="C8300" s="5">
        <v>12</v>
      </c>
      <c r="D8300" s="25">
        <v>1.1415000000000001E-4</v>
      </c>
      <c r="E8300" s="25">
        <v>1.0681E-4</v>
      </c>
      <c r="F8300" s="25">
        <v>9.3200000000000002E-5</v>
      </c>
      <c r="G8300" s="25">
        <v>1.6294000000000001E-4</v>
      </c>
      <c r="H8300" s="25">
        <v>1.9665000000000001E-4</v>
      </c>
      <c r="I8300" s="9">
        <v>1.1442000000000001E-4</v>
      </c>
      <c r="J8300" s="9">
        <v>1.2044000000000001E-4</v>
      </c>
      <c r="K8300" s="9">
        <v>1.8226000000000001E-4</v>
      </c>
      <c r="L8300" s="9">
        <v>1.8349999999999999E-4</v>
      </c>
      <c r="M8300" s="9">
        <v>1.6815999999999999E-4</v>
      </c>
      <c r="N8300" s="9">
        <v>1.6645000000000001E-4</v>
      </c>
      <c r="O8300" s="9">
        <v>2.0019999999999999E-4</v>
      </c>
      <c r="P8300" s="9">
        <v>1.5332E-4</v>
      </c>
      <c r="Q8300" s="9">
        <v>1.1038E-4</v>
      </c>
      <c r="R8300" s="10">
        <v>1.3604634795515082E-4</v>
      </c>
      <c r="S8300" s="10">
        <v>1.2552712062662642E-4</v>
      </c>
      <c r="T8300" s="10">
        <v>0</v>
      </c>
      <c r="U8300" s="10">
        <v>1.293E-4</v>
      </c>
      <c r="V8300" s="25"/>
      <c r="W8300" s="25"/>
      <c r="X8300" s="25"/>
      <c r="Y8300" s="25"/>
      <c r="Z8300" s="25"/>
      <c r="AA8300" s="25"/>
    </row>
    <row r="8301" spans="1:27" x14ac:dyDescent="0.35">
      <c r="A8301" s="5">
        <v>8297</v>
      </c>
      <c r="B8301" s="5">
        <v>346</v>
      </c>
      <c r="C8301" s="5">
        <v>12</v>
      </c>
      <c r="D8301" s="25">
        <v>1.1416E-4</v>
      </c>
      <c r="E8301" s="25">
        <v>1.126E-4</v>
      </c>
      <c r="F8301" s="25">
        <v>9.8439999999999999E-5</v>
      </c>
      <c r="G8301" s="25">
        <v>1.6056999999999999E-4</v>
      </c>
      <c r="H8301" s="25">
        <v>2.0100000000000001E-4</v>
      </c>
      <c r="I8301" s="9">
        <v>1.1765999999999999E-4</v>
      </c>
      <c r="J8301" s="9">
        <v>1.2601999999999999E-4</v>
      </c>
      <c r="K8301" s="9">
        <v>2.2253E-4</v>
      </c>
      <c r="L8301" s="9">
        <v>1.963E-4</v>
      </c>
      <c r="M8301" s="9">
        <v>1.6278000000000001E-4</v>
      </c>
      <c r="N8301" s="9">
        <v>1.528E-4</v>
      </c>
      <c r="O8301" s="9">
        <v>2.1694999999999999E-4</v>
      </c>
      <c r="P8301" s="9">
        <v>1.6008E-4</v>
      </c>
      <c r="Q8301" s="9">
        <v>1.0768E-4</v>
      </c>
      <c r="R8301" s="10">
        <v>1.7228646257669292E-4</v>
      </c>
      <c r="S8301" s="10">
        <v>1.3297979669498584E-4</v>
      </c>
      <c r="T8301" s="10">
        <v>0</v>
      </c>
      <c r="U8301" s="10">
        <v>1.293E-4</v>
      </c>
      <c r="V8301" s="25"/>
      <c r="W8301" s="25"/>
      <c r="X8301" s="25"/>
      <c r="Y8301" s="25"/>
      <c r="Z8301" s="25"/>
      <c r="AA8301" s="25"/>
    </row>
    <row r="8302" spans="1:27" x14ac:dyDescent="0.35">
      <c r="A8302" s="5">
        <v>8298</v>
      </c>
      <c r="B8302" s="5">
        <v>346</v>
      </c>
      <c r="C8302" s="5">
        <v>12</v>
      </c>
      <c r="D8302" s="25">
        <v>1.1415000000000001E-4</v>
      </c>
      <c r="E8302" s="25">
        <v>1.0527999999999999E-4</v>
      </c>
      <c r="F8302" s="25">
        <v>9.5940000000000006E-5</v>
      </c>
      <c r="G8302" s="25">
        <v>1.5825999999999999E-4</v>
      </c>
      <c r="H8302" s="25">
        <v>1.9887999999999999E-4</v>
      </c>
      <c r="I8302" s="9">
        <v>1.2663E-4</v>
      </c>
      <c r="J8302" s="9">
        <v>1.339E-4</v>
      </c>
      <c r="K8302" s="9">
        <v>2.6067000000000001E-4</v>
      </c>
      <c r="L8302" s="9">
        <v>2.1216E-4</v>
      </c>
      <c r="M8302" s="9">
        <v>1.6030999999999999E-4</v>
      </c>
      <c r="N8302" s="9">
        <v>1.3951E-4</v>
      </c>
      <c r="O8302" s="9">
        <v>2.0832000000000001E-4</v>
      </c>
      <c r="P8302" s="9">
        <v>1.6124999999999999E-4</v>
      </c>
      <c r="Q8302" s="9">
        <v>1.1831E-4</v>
      </c>
      <c r="R8302" s="10">
        <v>1.9617145932943723E-4</v>
      </c>
      <c r="S8302" s="10">
        <v>1.2847418892706405E-4</v>
      </c>
      <c r="T8302" s="10">
        <v>0</v>
      </c>
      <c r="U8302" s="10">
        <v>1.293E-4</v>
      </c>
      <c r="V8302" s="25"/>
      <c r="W8302" s="25"/>
      <c r="X8302" s="25"/>
      <c r="Y8302" s="25"/>
      <c r="Z8302" s="25"/>
      <c r="AA8302" s="25"/>
    </row>
    <row r="8303" spans="1:27" x14ac:dyDescent="0.35">
      <c r="A8303" s="5">
        <v>8299</v>
      </c>
      <c r="B8303" s="5">
        <v>346</v>
      </c>
      <c r="C8303" s="5">
        <v>12</v>
      </c>
      <c r="D8303" s="25">
        <v>1.1416E-4</v>
      </c>
      <c r="E8303" s="25">
        <v>1.0479E-4</v>
      </c>
      <c r="F8303" s="25">
        <v>8.6279999999999994E-5</v>
      </c>
      <c r="G8303" s="25">
        <v>1.0793000000000001E-4</v>
      </c>
      <c r="H8303" s="25">
        <v>1.3847999999999999E-4</v>
      </c>
      <c r="I8303" s="9">
        <v>1.2788E-4</v>
      </c>
      <c r="J8303" s="9">
        <v>1.3228E-4</v>
      </c>
      <c r="K8303" s="9">
        <v>2.2465000000000001E-4</v>
      </c>
      <c r="L8303" s="9">
        <v>2.0875000000000001E-4</v>
      </c>
      <c r="M8303" s="9">
        <v>1.6016000000000001E-4</v>
      </c>
      <c r="N8303" s="9">
        <v>1.3055E-4</v>
      </c>
      <c r="O8303" s="9">
        <v>1.6538999999999999E-4</v>
      </c>
      <c r="P8303" s="9">
        <v>1.3464E-4</v>
      </c>
      <c r="Q8303" s="9">
        <v>1.0687E-4</v>
      </c>
      <c r="R8303" s="10">
        <v>2.0805960444369352E-4</v>
      </c>
      <c r="S8303" s="10">
        <v>1.2994600613964094E-4</v>
      </c>
      <c r="T8303" s="10">
        <v>0</v>
      </c>
      <c r="U8303" s="10">
        <v>1.293E-4</v>
      </c>
      <c r="V8303" s="25"/>
      <c r="W8303" s="25"/>
      <c r="X8303" s="25"/>
      <c r="Y8303" s="25"/>
      <c r="Z8303" s="25"/>
      <c r="AA8303" s="25"/>
    </row>
    <row r="8304" spans="1:27" x14ac:dyDescent="0.35">
      <c r="A8304" s="5">
        <v>8300</v>
      </c>
      <c r="B8304" s="5">
        <v>346</v>
      </c>
      <c r="C8304" s="5">
        <v>12</v>
      </c>
      <c r="D8304" s="25">
        <v>1.1415000000000001E-4</v>
      </c>
      <c r="E8304" s="25">
        <v>1.1045E-4</v>
      </c>
      <c r="F8304" s="25">
        <v>9.4889999999999994E-5</v>
      </c>
      <c r="G8304" s="25">
        <v>1.0796E-4</v>
      </c>
      <c r="H8304" s="25">
        <v>1.2668999999999999E-4</v>
      </c>
      <c r="I8304" s="9">
        <v>1.2622999999999999E-4</v>
      </c>
      <c r="J8304" s="9">
        <v>1.2914E-4</v>
      </c>
      <c r="K8304" s="9">
        <v>2.2253E-4</v>
      </c>
      <c r="L8304" s="9">
        <v>1.751E-4</v>
      </c>
      <c r="M8304" s="9">
        <v>1.5109999999999999E-4</v>
      </c>
      <c r="N8304" s="9">
        <v>1.2129E-4</v>
      </c>
      <c r="O8304" s="9">
        <v>1.2918000000000001E-4</v>
      </c>
      <c r="P8304" s="9">
        <v>1.1430999999999999E-4</v>
      </c>
      <c r="Q8304" s="9">
        <v>1.014E-4</v>
      </c>
      <c r="R8304" s="10">
        <v>2.1223561787731945E-4</v>
      </c>
      <c r="S8304" s="10">
        <v>1.3750242817010455E-4</v>
      </c>
      <c r="T8304" s="10">
        <v>0</v>
      </c>
      <c r="U8304" s="10">
        <v>1.293E-4</v>
      </c>
      <c r="V8304" s="25"/>
      <c r="W8304" s="25"/>
      <c r="X8304" s="25"/>
      <c r="Y8304" s="25"/>
      <c r="Z8304" s="25"/>
      <c r="AA8304" s="25"/>
    </row>
    <row r="8305" spans="1:27" x14ac:dyDescent="0.35">
      <c r="A8305" s="5">
        <v>8301</v>
      </c>
      <c r="B8305" s="5">
        <v>346</v>
      </c>
      <c r="C8305" s="5">
        <v>12</v>
      </c>
      <c r="D8305" s="25">
        <v>1.1416E-4</v>
      </c>
      <c r="E8305" s="25">
        <v>1.0302999999999999E-4</v>
      </c>
      <c r="F8305" s="25">
        <v>1.0477E-4</v>
      </c>
      <c r="G8305" s="25">
        <v>5.8189999999999997E-5</v>
      </c>
      <c r="H8305" s="25">
        <v>6.8639999999999993E-5</v>
      </c>
      <c r="I8305" s="9">
        <v>1.2316000000000001E-4</v>
      </c>
      <c r="J8305" s="9">
        <v>1.25E-4</v>
      </c>
      <c r="K8305" s="9">
        <v>2.1193000000000001E-4</v>
      </c>
      <c r="L8305" s="9">
        <v>1.4032000000000001E-4</v>
      </c>
      <c r="M8305" s="9">
        <v>1.3530000000000001E-4</v>
      </c>
      <c r="N8305" s="9">
        <v>1.1341E-4</v>
      </c>
      <c r="O8305" s="9">
        <v>8.4969999999999995E-5</v>
      </c>
      <c r="P8305" s="9">
        <v>8.619E-5</v>
      </c>
      <c r="Q8305" s="9">
        <v>8.8179999999999999E-5</v>
      </c>
      <c r="R8305" s="10">
        <v>2.124491900206161E-4</v>
      </c>
      <c r="S8305" s="10">
        <v>1.6279809501430217E-4</v>
      </c>
      <c r="T8305" s="10">
        <v>0</v>
      </c>
      <c r="U8305" s="10">
        <v>1.293E-4</v>
      </c>
      <c r="V8305" s="25"/>
      <c r="W8305" s="25"/>
      <c r="X8305" s="25"/>
      <c r="Y8305" s="25"/>
      <c r="Z8305" s="25"/>
      <c r="AA8305" s="25"/>
    </row>
    <row r="8306" spans="1:27" x14ac:dyDescent="0.35">
      <c r="A8306" s="5">
        <v>8302</v>
      </c>
      <c r="B8306" s="5">
        <v>346</v>
      </c>
      <c r="C8306" s="5">
        <v>12</v>
      </c>
      <c r="D8306" s="25">
        <v>1.1415000000000001E-4</v>
      </c>
      <c r="E8306" s="25">
        <v>1.043E-4</v>
      </c>
      <c r="F8306" s="25">
        <v>9.6199999999999994E-5</v>
      </c>
      <c r="G8306" s="25">
        <v>5.7080000000000002E-5</v>
      </c>
      <c r="H8306" s="25">
        <v>6.4620000000000001E-5</v>
      </c>
      <c r="I8306" s="9">
        <v>1.1796E-4</v>
      </c>
      <c r="J8306" s="9">
        <v>1.1904999999999999E-4</v>
      </c>
      <c r="K8306" s="9">
        <v>2.0981999999999999E-4</v>
      </c>
      <c r="L8306" s="9">
        <v>9.8090000000000004E-5</v>
      </c>
      <c r="M8306" s="9">
        <v>1.1357E-4</v>
      </c>
      <c r="N8306" s="9">
        <v>1.0568E-4</v>
      </c>
      <c r="O8306" s="9">
        <v>8.7650000000000003E-5</v>
      </c>
      <c r="P8306" s="9">
        <v>8.7440000000000003E-5</v>
      </c>
      <c r="Q8306" s="9">
        <v>8.8090000000000005E-5</v>
      </c>
      <c r="R8306" s="10">
        <v>2.1244936787709023E-4</v>
      </c>
      <c r="S8306" s="10">
        <v>1.810190509400718E-4</v>
      </c>
      <c r="T8306" s="10">
        <v>0</v>
      </c>
      <c r="U8306" s="10">
        <v>1.293E-4</v>
      </c>
      <c r="V8306" s="25"/>
      <c r="W8306" s="25"/>
      <c r="X8306" s="25"/>
      <c r="Y8306" s="25"/>
      <c r="Z8306" s="25"/>
      <c r="AA8306" s="25"/>
    </row>
    <row r="8307" spans="1:27" x14ac:dyDescent="0.35">
      <c r="A8307" s="5">
        <v>8303</v>
      </c>
      <c r="B8307" s="5">
        <v>346</v>
      </c>
      <c r="C8307" s="5">
        <v>12</v>
      </c>
      <c r="D8307" s="25">
        <v>1.1416E-4</v>
      </c>
      <c r="E8307" s="25">
        <v>1.0683000000000001E-4</v>
      </c>
      <c r="F8307" s="25">
        <v>9.4759999999999994E-5</v>
      </c>
      <c r="G8307" s="25">
        <v>5.66E-5</v>
      </c>
      <c r="H8307" s="25">
        <v>6.3830000000000004E-5</v>
      </c>
      <c r="I8307" s="9">
        <v>1.1736E-4</v>
      </c>
      <c r="J8307" s="9">
        <v>1.1251000000000001E-4</v>
      </c>
      <c r="K8307" s="9">
        <v>2.0133E-4</v>
      </c>
      <c r="L8307" s="9">
        <v>9.0879999999999997E-5</v>
      </c>
      <c r="M8307" s="9">
        <v>9.8850000000000004E-5</v>
      </c>
      <c r="N8307" s="9">
        <v>9.9759999999999994E-5</v>
      </c>
      <c r="O8307" s="9">
        <v>7.8009999999999993E-5</v>
      </c>
      <c r="P8307" s="9">
        <v>7.203E-5</v>
      </c>
      <c r="Q8307" s="9">
        <v>6.6790000000000003E-5</v>
      </c>
      <c r="R8307" s="10">
        <v>2.1244936787709023E-4</v>
      </c>
      <c r="S8307" s="10">
        <v>1.8542370368152344E-4</v>
      </c>
      <c r="T8307" s="10">
        <v>0</v>
      </c>
      <c r="U8307" s="10">
        <v>1.293E-4</v>
      </c>
      <c r="V8307" s="25"/>
      <c r="W8307" s="25"/>
      <c r="X8307" s="25"/>
      <c r="Y8307" s="25"/>
      <c r="Z8307" s="25"/>
      <c r="AA8307" s="25"/>
    </row>
    <row r="8308" spans="1:27" x14ac:dyDescent="0.35">
      <c r="A8308" s="5">
        <v>8304</v>
      </c>
      <c r="B8308" s="5">
        <v>346</v>
      </c>
      <c r="C8308" s="5">
        <v>12</v>
      </c>
      <c r="D8308" s="25">
        <v>1.1415000000000001E-4</v>
      </c>
      <c r="E8308" s="25">
        <v>1.0669E-4</v>
      </c>
      <c r="F8308" s="25">
        <v>9.7159999999999998E-5</v>
      </c>
      <c r="G8308" s="25">
        <v>5.3569999999999997E-5</v>
      </c>
      <c r="H8308" s="25">
        <v>6.533E-5</v>
      </c>
      <c r="I8308" s="9">
        <v>1.1656E-4</v>
      </c>
      <c r="J8308" s="9">
        <v>1.0456E-4</v>
      </c>
      <c r="K8308" s="9">
        <v>2.0345000000000001E-4</v>
      </c>
      <c r="L8308" s="9">
        <v>8.0829999999999997E-5</v>
      </c>
      <c r="M8308" s="9">
        <v>8.5959999999999997E-5</v>
      </c>
      <c r="N8308" s="9">
        <v>9.043E-5</v>
      </c>
      <c r="O8308" s="9">
        <v>6.3070000000000004E-5</v>
      </c>
      <c r="P8308" s="9">
        <v>6.0890000000000001E-5</v>
      </c>
      <c r="Q8308" s="9">
        <v>5.9070000000000002E-5</v>
      </c>
      <c r="R8308" s="10">
        <v>2.1244936787709023E-4</v>
      </c>
      <c r="S8308" s="10">
        <v>1.8946269968142469E-4</v>
      </c>
      <c r="T8308" s="10">
        <v>0</v>
      </c>
      <c r="U8308" s="10">
        <v>1.293E-4</v>
      </c>
      <c r="V8308" s="25"/>
      <c r="W8308" s="25"/>
      <c r="X8308" s="25"/>
      <c r="Y8308" s="25"/>
      <c r="Z8308" s="25"/>
      <c r="AA8308" s="25"/>
    </row>
    <row r="8309" spans="1:27" x14ac:dyDescent="0.35">
      <c r="A8309" s="5">
        <v>8305</v>
      </c>
      <c r="B8309" s="5">
        <v>347</v>
      </c>
      <c r="C8309" s="5">
        <v>12</v>
      </c>
      <c r="D8309" s="25">
        <v>1.1416E-4</v>
      </c>
      <c r="E8309" s="25">
        <v>1.0743000000000001E-4</v>
      </c>
      <c r="F8309" s="25">
        <v>1.2253000000000001E-4</v>
      </c>
      <c r="G8309" s="25">
        <v>5.9639999999999998E-5</v>
      </c>
      <c r="H8309" s="25">
        <v>6.8120000000000005E-5</v>
      </c>
      <c r="I8309" s="9">
        <v>1.0999E-4</v>
      </c>
      <c r="J8309" s="9">
        <v>9.9329999999999999E-5</v>
      </c>
      <c r="K8309" s="9">
        <v>2.0346000000000001E-4</v>
      </c>
      <c r="L8309" s="9">
        <v>6.6979999999999999E-5</v>
      </c>
      <c r="M8309" s="9">
        <v>7.3969999999999998E-5</v>
      </c>
      <c r="N8309" s="9">
        <v>8.1069999999999995E-5</v>
      </c>
      <c r="O8309" s="9">
        <v>5.4190000000000001E-5</v>
      </c>
      <c r="P8309" s="9">
        <v>5.3609999999999997E-5</v>
      </c>
      <c r="Q8309" s="9">
        <v>5.3180000000000002E-5</v>
      </c>
      <c r="R8309" s="10">
        <v>2.1244936787709023E-4</v>
      </c>
      <c r="S8309" s="10">
        <v>1.8785160256992964E-4</v>
      </c>
      <c r="T8309" s="10">
        <v>0</v>
      </c>
      <c r="U8309" s="10">
        <v>1.4059000000000001E-4</v>
      </c>
      <c r="V8309" s="25"/>
      <c r="W8309" s="25"/>
      <c r="X8309" s="25"/>
      <c r="Y8309" s="25"/>
      <c r="Z8309" s="25"/>
      <c r="AA8309" s="25"/>
    </row>
    <row r="8310" spans="1:27" x14ac:dyDescent="0.35">
      <c r="A8310" s="5">
        <v>8306</v>
      </c>
      <c r="B8310" s="5">
        <v>347</v>
      </c>
      <c r="C8310" s="5">
        <v>12</v>
      </c>
      <c r="D8310" s="25">
        <v>1.1415000000000001E-4</v>
      </c>
      <c r="E8310" s="25">
        <v>1.1073000000000001E-4</v>
      </c>
      <c r="F8310" s="25">
        <v>1.0247E-4</v>
      </c>
      <c r="G8310" s="25">
        <v>5.7139999999999998E-5</v>
      </c>
      <c r="H8310" s="25">
        <v>6.6530000000000002E-5</v>
      </c>
      <c r="I8310" s="9">
        <v>1.0493E-4</v>
      </c>
      <c r="J8310" s="9">
        <v>9.6349999999999997E-5</v>
      </c>
      <c r="K8310" s="9">
        <v>1.9922000000000001E-4</v>
      </c>
      <c r="L8310" s="9">
        <v>5.7380000000000003E-5</v>
      </c>
      <c r="M8310" s="9">
        <v>6.3800000000000006E-5</v>
      </c>
      <c r="N8310" s="9">
        <v>7.1940000000000006E-5</v>
      </c>
      <c r="O8310" s="9">
        <v>1.8320000000000001E-5</v>
      </c>
      <c r="P8310" s="9">
        <v>3.7570000000000001E-5</v>
      </c>
      <c r="Q8310" s="9">
        <v>5.5909999999999998E-5</v>
      </c>
      <c r="R8310" s="10">
        <v>2.1244936787709023E-4</v>
      </c>
      <c r="S8310" s="10">
        <v>1.8537330675864874E-4</v>
      </c>
      <c r="T8310" s="10">
        <v>0</v>
      </c>
      <c r="U8310" s="10">
        <v>1.4059000000000001E-4</v>
      </c>
      <c r="V8310" s="25"/>
      <c r="W8310" s="25"/>
      <c r="X8310" s="25"/>
      <c r="Y8310" s="25"/>
      <c r="Z8310" s="25"/>
      <c r="AA8310" s="25"/>
    </row>
    <row r="8311" spans="1:27" x14ac:dyDescent="0.35">
      <c r="A8311" s="5">
        <v>8307</v>
      </c>
      <c r="B8311" s="5">
        <v>347</v>
      </c>
      <c r="C8311" s="5">
        <v>12</v>
      </c>
      <c r="D8311" s="25">
        <v>1.1416E-4</v>
      </c>
      <c r="E8311" s="25">
        <v>1.1395000000000001E-4</v>
      </c>
      <c r="F8311" s="25">
        <v>1.0443E-4</v>
      </c>
      <c r="G8311" s="25">
        <v>5.3329999999999999E-5</v>
      </c>
      <c r="H8311" s="25">
        <v>7.5049999999999995E-5</v>
      </c>
      <c r="I8311" s="9">
        <v>1.0158E-4</v>
      </c>
      <c r="J8311" s="9">
        <v>9.4790000000000006E-5</v>
      </c>
      <c r="K8311" s="9">
        <v>1.9285999999999999E-4</v>
      </c>
      <c r="L8311" s="9">
        <v>2.7129999999999999E-5</v>
      </c>
      <c r="M8311" s="9">
        <v>5.2030000000000002E-5</v>
      </c>
      <c r="N8311" s="9">
        <v>6.5350000000000003E-5</v>
      </c>
      <c r="O8311" s="9">
        <v>1.278E-5</v>
      </c>
      <c r="P8311" s="9">
        <v>3.7540000000000003E-5</v>
      </c>
      <c r="Q8311" s="9">
        <v>6.1190000000000002E-5</v>
      </c>
      <c r="R8311" s="10">
        <v>2.1244936787709023E-4</v>
      </c>
      <c r="S8311" s="10">
        <v>1.8202583028368913E-4</v>
      </c>
      <c r="T8311" s="10">
        <v>0</v>
      </c>
      <c r="U8311" s="10">
        <v>1.4059000000000001E-4</v>
      </c>
      <c r="V8311" s="25"/>
      <c r="W8311" s="25"/>
      <c r="X8311" s="25"/>
      <c r="Y8311" s="25"/>
      <c r="Z8311" s="25"/>
      <c r="AA8311" s="25"/>
    </row>
    <row r="8312" spans="1:27" x14ac:dyDescent="0.35">
      <c r="A8312" s="5">
        <v>8308</v>
      </c>
      <c r="B8312" s="5">
        <v>347</v>
      </c>
      <c r="C8312" s="5">
        <v>12</v>
      </c>
      <c r="D8312" s="25">
        <v>1.1415000000000001E-4</v>
      </c>
      <c r="E8312" s="25">
        <v>1.1498E-4</v>
      </c>
      <c r="F8312" s="25">
        <v>1.0798000000000001E-4</v>
      </c>
      <c r="G8312" s="25">
        <v>5.3949999999999997E-5</v>
      </c>
      <c r="H8312" s="25">
        <v>7.1899999999999999E-5</v>
      </c>
      <c r="I8312" s="9">
        <v>1.0034E-4</v>
      </c>
      <c r="J8312" s="9">
        <v>9.4590000000000001E-5</v>
      </c>
      <c r="K8312" s="9">
        <v>1.9709999999999999E-4</v>
      </c>
      <c r="L8312" s="9">
        <v>1.6690000000000001E-5</v>
      </c>
      <c r="M8312" s="9">
        <v>4.3999999999999999E-5</v>
      </c>
      <c r="N8312" s="9">
        <v>6.1719999999999999E-5</v>
      </c>
      <c r="O8312" s="9">
        <v>1.289E-5</v>
      </c>
      <c r="P8312" s="9">
        <v>4.7339999999999997E-5</v>
      </c>
      <c r="Q8312" s="9">
        <v>8.0519999999999995E-5</v>
      </c>
      <c r="R8312" s="10">
        <v>2.1243413382850921E-4</v>
      </c>
      <c r="S8312" s="10">
        <v>1.7222706239834862E-4</v>
      </c>
      <c r="T8312" s="10">
        <v>0</v>
      </c>
      <c r="U8312" s="10">
        <v>1.4059000000000001E-4</v>
      </c>
      <c r="V8312" s="25"/>
      <c r="W8312" s="25"/>
      <c r="X8312" s="25"/>
      <c r="Y8312" s="25"/>
      <c r="Z8312" s="25"/>
      <c r="AA8312" s="25"/>
    </row>
    <row r="8313" spans="1:27" x14ac:dyDescent="0.35">
      <c r="A8313" s="5">
        <v>8309</v>
      </c>
      <c r="B8313" s="5">
        <v>347</v>
      </c>
      <c r="C8313" s="5">
        <v>12</v>
      </c>
      <c r="D8313" s="25">
        <v>1.1416E-4</v>
      </c>
      <c r="E8313" s="25">
        <v>1.1109E-4</v>
      </c>
      <c r="F8313" s="25">
        <v>1.1868E-4</v>
      </c>
      <c r="G8313" s="25">
        <v>5.4509999999999998E-5</v>
      </c>
      <c r="H8313" s="25">
        <v>6.5530000000000004E-5</v>
      </c>
      <c r="I8313" s="9">
        <v>1.0295E-4</v>
      </c>
      <c r="J8313" s="9">
        <v>9.5989999999999994E-5</v>
      </c>
      <c r="K8313" s="9">
        <v>1.9498000000000001E-4</v>
      </c>
      <c r="L8313" s="9">
        <v>1.397E-5</v>
      </c>
      <c r="M8313" s="9">
        <v>4.3399999999999998E-5</v>
      </c>
      <c r="N8313" s="9">
        <v>6.4319999999999994E-5</v>
      </c>
      <c r="O8313" s="9">
        <v>1.8479999999999999E-5</v>
      </c>
      <c r="P8313" s="9">
        <v>5.6849999999999999E-5</v>
      </c>
      <c r="Q8313" s="9">
        <v>9.4010000000000003E-5</v>
      </c>
      <c r="R8313" s="10">
        <v>2.0808979844538138E-4</v>
      </c>
      <c r="S8313" s="10">
        <v>1.5446018133575472E-4</v>
      </c>
      <c r="T8313" s="10">
        <v>0</v>
      </c>
      <c r="U8313" s="10">
        <v>1.4059000000000001E-4</v>
      </c>
      <c r="V8313" s="25"/>
      <c r="W8313" s="25"/>
      <c r="X8313" s="25"/>
      <c r="Y8313" s="25"/>
      <c r="Z8313" s="25"/>
      <c r="AA8313" s="25"/>
    </row>
    <row r="8314" spans="1:27" x14ac:dyDescent="0.35">
      <c r="A8314" s="5">
        <v>8310</v>
      </c>
      <c r="B8314" s="5">
        <v>347</v>
      </c>
      <c r="C8314" s="5">
        <v>12</v>
      </c>
      <c r="D8314" s="25">
        <v>1.1415000000000001E-4</v>
      </c>
      <c r="E8314" s="25">
        <v>1.1764000000000001E-4</v>
      </c>
      <c r="F8314" s="25">
        <v>1.0661E-4</v>
      </c>
      <c r="G8314" s="25">
        <v>1.0658999999999999E-4</v>
      </c>
      <c r="H8314" s="25">
        <v>1.2828000000000001E-4</v>
      </c>
      <c r="I8314" s="9">
        <v>1.0889E-4</v>
      </c>
      <c r="J8314" s="9">
        <v>1.0097E-4</v>
      </c>
      <c r="K8314" s="9">
        <v>1.9921000000000001E-4</v>
      </c>
      <c r="L8314" s="9">
        <v>1.7350000000000002E-5</v>
      </c>
      <c r="M8314" s="9">
        <v>4.8439999999999997E-5</v>
      </c>
      <c r="N8314" s="9">
        <v>7.0970000000000007E-5</v>
      </c>
      <c r="O8314" s="9">
        <v>4.6390000000000001E-5</v>
      </c>
      <c r="P8314" s="9">
        <v>7.7200000000000006E-5</v>
      </c>
      <c r="Q8314" s="9">
        <v>1.075E-4</v>
      </c>
      <c r="R8314" s="10">
        <v>1.7838328855112828E-4</v>
      </c>
      <c r="S8314" s="10">
        <v>1.306470913714987E-4</v>
      </c>
      <c r="T8314" s="10">
        <v>0</v>
      </c>
      <c r="U8314" s="10">
        <v>1.4059000000000001E-4</v>
      </c>
      <c r="V8314" s="25"/>
      <c r="W8314" s="25"/>
      <c r="X8314" s="25"/>
      <c r="Y8314" s="25"/>
      <c r="Z8314" s="25"/>
      <c r="AA8314" s="25"/>
    </row>
    <row r="8315" spans="1:27" x14ac:dyDescent="0.35">
      <c r="A8315" s="5">
        <v>8311</v>
      </c>
      <c r="B8315" s="5">
        <v>347</v>
      </c>
      <c r="C8315" s="5">
        <v>12</v>
      </c>
      <c r="D8315" s="25">
        <v>1.1416E-4</v>
      </c>
      <c r="E8315" s="25">
        <v>1.1491E-4</v>
      </c>
      <c r="F8315" s="25">
        <v>1.0508E-4</v>
      </c>
      <c r="G8315" s="25">
        <v>1.0924E-4</v>
      </c>
      <c r="H8315" s="25">
        <v>1.3814E-4</v>
      </c>
      <c r="I8315" s="9">
        <v>1.2425000000000001E-4</v>
      </c>
      <c r="J8315" s="9">
        <v>1.1421000000000001E-4</v>
      </c>
      <c r="K8315" s="9">
        <v>1.9498000000000001E-4</v>
      </c>
      <c r="L8315" s="9">
        <v>3.9860000000000001E-5</v>
      </c>
      <c r="M8315" s="9">
        <v>6.0210000000000001E-5</v>
      </c>
      <c r="N8315" s="9">
        <v>8.0820000000000002E-5</v>
      </c>
      <c r="O8315" s="9">
        <v>1.2297E-4</v>
      </c>
      <c r="P8315" s="9">
        <v>1.1637E-4</v>
      </c>
      <c r="Q8315" s="9">
        <v>1.1147E-4</v>
      </c>
      <c r="R8315" s="10">
        <v>1.2600281933219606E-4</v>
      </c>
      <c r="S8315" s="10">
        <v>1.0191926707975658E-4</v>
      </c>
      <c r="T8315" s="10">
        <v>0</v>
      </c>
      <c r="U8315" s="10">
        <v>1.4059000000000001E-4</v>
      </c>
      <c r="V8315" s="25"/>
      <c r="W8315" s="25"/>
      <c r="X8315" s="25"/>
      <c r="Y8315" s="25"/>
      <c r="Z8315" s="25"/>
      <c r="AA8315" s="25"/>
    </row>
    <row r="8316" spans="1:27" x14ac:dyDescent="0.35">
      <c r="A8316" s="5">
        <v>8312</v>
      </c>
      <c r="B8316" s="5">
        <v>347</v>
      </c>
      <c r="C8316" s="5">
        <v>12</v>
      </c>
      <c r="D8316" s="25">
        <v>1.1415000000000001E-4</v>
      </c>
      <c r="E8316" s="25">
        <v>1.1540999999999999E-4</v>
      </c>
      <c r="F8316" s="25">
        <v>1.1858000000000001E-4</v>
      </c>
      <c r="G8316" s="25">
        <v>1.6161999999999999E-4</v>
      </c>
      <c r="H8316" s="25">
        <v>1.9185E-4</v>
      </c>
      <c r="I8316" s="9">
        <v>1.3669999999999999E-4</v>
      </c>
      <c r="J8316" s="9">
        <v>1.3297E-4</v>
      </c>
      <c r="K8316" s="9">
        <v>1.9285999999999999E-4</v>
      </c>
      <c r="L8316" s="9">
        <v>1.0406E-4</v>
      </c>
      <c r="M8316" s="9">
        <v>8.3460000000000004E-5</v>
      </c>
      <c r="N8316" s="9">
        <v>9.0729999999999994E-5</v>
      </c>
      <c r="O8316" s="9">
        <v>2.2165999999999999E-4</v>
      </c>
      <c r="P8316" s="9">
        <v>1.7702000000000001E-4</v>
      </c>
      <c r="Q8316" s="9">
        <v>1.3674999999999999E-4</v>
      </c>
      <c r="R8316" s="10">
        <v>7.9316579427795997E-5</v>
      </c>
      <c r="S8316" s="10">
        <v>7.3322619638211374E-5</v>
      </c>
      <c r="T8316" s="10">
        <v>0</v>
      </c>
      <c r="U8316" s="10">
        <v>1.4059000000000001E-4</v>
      </c>
      <c r="V8316" s="25"/>
      <c r="W8316" s="25"/>
      <c r="X8316" s="25"/>
      <c r="Y8316" s="25"/>
      <c r="Z8316" s="25"/>
      <c r="AA8316" s="25"/>
    </row>
    <row r="8317" spans="1:27" x14ac:dyDescent="0.35">
      <c r="A8317" s="5">
        <v>8313</v>
      </c>
      <c r="B8317" s="5">
        <v>347</v>
      </c>
      <c r="C8317" s="5">
        <v>12</v>
      </c>
      <c r="D8317" s="25">
        <v>1.1416E-4</v>
      </c>
      <c r="E8317" s="25">
        <v>1.156E-4</v>
      </c>
      <c r="F8317" s="25">
        <v>1.0512E-4</v>
      </c>
      <c r="G8317" s="25">
        <v>1.6189000000000001E-4</v>
      </c>
      <c r="H8317" s="25">
        <v>1.9280999999999999E-4</v>
      </c>
      <c r="I8317" s="9">
        <v>1.4034E-4</v>
      </c>
      <c r="J8317" s="9">
        <v>1.4474E-4</v>
      </c>
      <c r="K8317" s="9">
        <v>1.8437999999999999E-4</v>
      </c>
      <c r="L8317" s="9">
        <v>1.9403000000000001E-4</v>
      </c>
      <c r="M8317" s="9">
        <v>1.2313999999999999E-4</v>
      </c>
      <c r="N8317" s="9">
        <v>1.0450000000000001E-4</v>
      </c>
      <c r="O8317" s="9">
        <v>2.1295999999999999E-4</v>
      </c>
      <c r="P8317" s="9">
        <v>1.9291999999999999E-4</v>
      </c>
      <c r="Q8317" s="9">
        <v>1.7668E-4</v>
      </c>
      <c r="R8317" s="10">
        <v>5.5217368504226201E-5</v>
      </c>
      <c r="S8317" s="10">
        <v>4.836568859116546E-5</v>
      </c>
      <c r="T8317" s="10">
        <v>7.6528380138285511E-6</v>
      </c>
      <c r="U8317" s="10">
        <v>1.4059000000000001E-4</v>
      </c>
      <c r="V8317" s="25"/>
      <c r="W8317" s="25"/>
      <c r="X8317" s="25"/>
      <c r="Y8317" s="25"/>
      <c r="Z8317" s="25"/>
      <c r="AA8317" s="25"/>
    </row>
    <row r="8318" spans="1:27" x14ac:dyDescent="0.35">
      <c r="A8318" s="5">
        <v>8314</v>
      </c>
      <c r="B8318" s="5">
        <v>347</v>
      </c>
      <c r="C8318" s="5">
        <v>12</v>
      </c>
      <c r="D8318" s="25">
        <v>1.1415000000000001E-4</v>
      </c>
      <c r="E8318" s="25">
        <v>1.1087E-4</v>
      </c>
      <c r="F8318" s="25">
        <v>1.2227000000000001E-4</v>
      </c>
      <c r="G8318" s="25">
        <v>1.5883E-4</v>
      </c>
      <c r="H8318" s="25">
        <v>1.9859000000000001E-4</v>
      </c>
      <c r="I8318" s="9">
        <v>1.4164000000000001E-4</v>
      </c>
      <c r="J8318" s="9">
        <v>1.4798E-4</v>
      </c>
      <c r="K8318" s="9">
        <v>1.6531E-4</v>
      </c>
      <c r="L8318" s="9">
        <v>2.0642999999999999E-4</v>
      </c>
      <c r="M8318" s="9">
        <v>1.5833000000000001E-4</v>
      </c>
      <c r="N8318" s="9">
        <v>1.2447000000000001E-4</v>
      </c>
      <c r="O8318" s="9">
        <v>1.7006000000000001E-4</v>
      </c>
      <c r="P8318" s="9">
        <v>1.7564999999999999E-4</v>
      </c>
      <c r="Q8318" s="9">
        <v>1.8373E-4</v>
      </c>
      <c r="R8318" s="10">
        <v>3.6945077851987728E-5</v>
      </c>
      <c r="S8318" s="10">
        <v>2.9622872853403781E-5</v>
      </c>
      <c r="T8318" s="10">
        <v>5.0778531610602965E-5</v>
      </c>
      <c r="U8318" s="10">
        <v>1.4059000000000001E-4</v>
      </c>
      <c r="V8318" s="25"/>
      <c r="W8318" s="25"/>
      <c r="X8318" s="25"/>
      <c r="Y8318" s="25"/>
      <c r="Z8318" s="25"/>
      <c r="AA8318" s="25"/>
    </row>
    <row r="8319" spans="1:27" x14ac:dyDescent="0.35">
      <c r="A8319" s="5">
        <v>8315</v>
      </c>
      <c r="B8319" s="5">
        <v>347</v>
      </c>
      <c r="C8319" s="5">
        <v>12</v>
      </c>
      <c r="D8319" s="25">
        <v>1.1416E-4</v>
      </c>
      <c r="E8319" s="25">
        <v>1.0827000000000001E-4</v>
      </c>
      <c r="F8319" s="25">
        <v>1.1195E-4</v>
      </c>
      <c r="G8319" s="25">
        <v>1.5634000000000001E-4</v>
      </c>
      <c r="H8319" s="25">
        <v>1.8997E-4</v>
      </c>
      <c r="I8319" s="9">
        <v>1.4134E-4</v>
      </c>
      <c r="J8319" s="9">
        <v>1.4813000000000001E-4</v>
      </c>
      <c r="K8319" s="9">
        <v>1.5470999999999999E-4</v>
      </c>
      <c r="L8319" s="9">
        <v>1.7814E-4</v>
      </c>
      <c r="M8319" s="9">
        <v>1.7273000000000001E-4</v>
      </c>
      <c r="N8319" s="9">
        <v>1.4291E-4</v>
      </c>
      <c r="O8319" s="9">
        <v>1.7003E-4</v>
      </c>
      <c r="P8319" s="9">
        <v>1.7425000000000001E-4</v>
      </c>
      <c r="Q8319" s="9">
        <v>1.8098999999999999E-4</v>
      </c>
      <c r="R8319" s="10">
        <v>2.0301741834342603E-5</v>
      </c>
      <c r="S8319" s="10">
        <v>1.769291689260757E-5</v>
      </c>
      <c r="T8319" s="10">
        <v>1.6647043754914633E-4</v>
      </c>
      <c r="U8319" s="10">
        <v>1.4059000000000001E-4</v>
      </c>
      <c r="V8319" s="25"/>
      <c r="W8319" s="25"/>
      <c r="X8319" s="25"/>
      <c r="Y8319" s="25"/>
      <c r="Z8319" s="25"/>
      <c r="AA8319" s="25"/>
    </row>
    <row r="8320" spans="1:27" x14ac:dyDescent="0.35">
      <c r="A8320" s="5">
        <v>8316</v>
      </c>
      <c r="B8320" s="5">
        <v>347</v>
      </c>
      <c r="C8320" s="5">
        <v>12</v>
      </c>
      <c r="D8320" s="25">
        <v>1.1415000000000001E-4</v>
      </c>
      <c r="E8320" s="25">
        <v>1.0711E-4</v>
      </c>
      <c r="F8320" s="25">
        <v>1.2006E-4</v>
      </c>
      <c r="G8320" s="25">
        <v>1.6163000000000001E-4</v>
      </c>
      <c r="H8320" s="25">
        <v>1.9991E-4</v>
      </c>
      <c r="I8320" s="9">
        <v>1.4318999999999999E-4</v>
      </c>
      <c r="J8320" s="9">
        <v>1.4798E-4</v>
      </c>
      <c r="K8320" s="9">
        <v>1.5046999999999999E-4</v>
      </c>
      <c r="L8320" s="9">
        <v>1.7321E-4</v>
      </c>
      <c r="M8320" s="9">
        <v>1.7578E-4</v>
      </c>
      <c r="N8320" s="9">
        <v>1.573E-4</v>
      </c>
      <c r="O8320" s="9">
        <v>1.7260999999999999E-4</v>
      </c>
      <c r="P8320" s="9">
        <v>1.7267000000000001E-4</v>
      </c>
      <c r="Q8320" s="9">
        <v>1.7536E-4</v>
      </c>
      <c r="R8320" s="10">
        <v>1.0754976891856298E-5</v>
      </c>
      <c r="S8320" s="10">
        <v>1.3460945702431794E-5</v>
      </c>
      <c r="T8320" s="10">
        <v>2.6295388975896699E-4</v>
      </c>
      <c r="U8320" s="10">
        <v>1.4059000000000001E-4</v>
      </c>
      <c r="V8320" s="25"/>
      <c r="W8320" s="25"/>
      <c r="X8320" s="25"/>
      <c r="Y8320" s="25"/>
      <c r="Z8320" s="25"/>
      <c r="AA8320" s="25"/>
    </row>
    <row r="8321" spans="1:27" x14ac:dyDescent="0.35">
      <c r="A8321" s="5">
        <v>8317</v>
      </c>
      <c r="B8321" s="5">
        <v>347</v>
      </c>
      <c r="C8321" s="5">
        <v>12</v>
      </c>
      <c r="D8321" s="25">
        <v>1.1416E-4</v>
      </c>
      <c r="E8321" s="25">
        <v>1.0702E-4</v>
      </c>
      <c r="F8321" s="25">
        <v>1.1022E-4</v>
      </c>
      <c r="G8321" s="25">
        <v>1.5647E-4</v>
      </c>
      <c r="H8321" s="25">
        <v>1.9039999999999999E-4</v>
      </c>
      <c r="I8321" s="9">
        <v>1.4037000000000001E-4</v>
      </c>
      <c r="J8321" s="9">
        <v>1.4714E-4</v>
      </c>
      <c r="K8321" s="9">
        <v>1.4198999999999999E-4</v>
      </c>
      <c r="L8321" s="9">
        <v>1.729E-4</v>
      </c>
      <c r="M8321" s="9">
        <v>1.7495E-4</v>
      </c>
      <c r="N8321" s="9">
        <v>1.6703000000000001E-4</v>
      </c>
      <c r="O8321" s="9">
        <v>1.6179000000000001E-4</v>
      </c>
      <c r="P8321" s="9">
        <v>1.6276999999999999E-4</v>
      </c>
      <c r="Q8321" s="9">
        <v>1.6614000000000001E-4</v>
      </c>
      <c r="R8321" s="10">
        <v>9.0149021531537241E-6</v>
      </c>
      <c r="S8321" s="10">
        <v>7.9682676872056611E-6</v>
      </c>
      <c r="T8321" s="10">
        <v>3.2471110472865439E-4</v>
      </c>
      <c r="U8321" s="10">
        <v>1.4059000000000001E-4</v>
      </c>
      <c r="V8321" s="25"/>
      <c r="W8321" s="25"/>
      <c r="X8321" s="25"/>
      <c r="Y8321" s="25"/>
      <c r="Z8321" s="25"/>
      <c r="AA8321" s="25"/>
    </row>
    <row r="8322" spans="1:27" x14ac:dyDescent="0.35">
      <c r="A8322" s="5">
        <v>8318</v>
      </c>
      <c r="B8322" s="5">
        <v>347</v>
      </c>
      <c r="C8322" s="5">
        <v>12</v>
      </c>
      <c r="D8322" s="25">
        <v>1.1416E-4</v>
      </c>
      <c r="E8322" s="25">
        <v>1.1711E-4</v>
      </c>
      <c r="F8322" s="25">
        <v>1.0705E-4</v>
      </c>
      <c r="G8322" s="25">
        <v>1.6415000000000001E-4</v>
      </c>
      <c r="H8322" s="25">
        <v>1.8849000000000001E-4</v>
      </c>
      <c r="I8322" s="9">
        <v>1.4132000000000001E-4</v>
      </c>
      <c r="J8322" s="9">
        <v>1.4766000000000001E-4</v>
      </c>
      <c r="K8322" s="9">
        <v>1.4624000000000001E-4</v>
      </c>
      <c r="L8322" s="9">
        <v>1.6399000000000001E-4</v>
      </c>
      <c r="M8322" s="9">
        <v>1.7029999999999999E-4</v>
      </c>
      <c r="N8322" s="9">
        <v>1.7098999999999999E-4</v>
      </c>
      <c r="O8322" s="9">
        <v>1.7986E-4</v>
      </c>
      <c r="P8322" s="9">
        <v>1.6887E-4</v>
      </c>
      <c r="Q8322" s="9">
        <v>1.6084000000000001E-4</v>
      </c>
      <c r="R8322" s="10">
        <v>5.1756130848822615E-6</v>
      </c>
      <c r="S8322" s="10">
        <v>4.9673399015951369E-6</v>
      </c>
      <c r="T8322" s="10">
        <v>8.875425550184086E-5</v>
      </c>
      <c r="U8322" s="10">
        <v>1.4059000000000001E-4</v>
      </c>
      <c r="V8322" s="25"/>
      <c r="W8322" s="25"/>
      <c r="X8322" s="25"/>
      <c r="Y8322" s="25"/>
      <c r="Z8322" s="25"/>
      <c r="AA8322" s="25"/>
    </row>
    <row r="8323" spans="1:27" x14ac:dyDescent="0.35">
      <c r="A8323" s="5">
        <v>8319</v>
      </c>
      <c r="B8323" s="5">
        <v>347</v>
      </c>
      <c r="C8323" s="5">
        <v>12</v>
      </c>
      <c r="D8323" s="25">
        <v>1.1416E-4</v>
      </c>
      <c r="E8323" s="25">
        <v>1.1239999999999999E-4</v>
      </c>
      <c r="F8323" s="25">
        <v>1.0826E-4</v>
      </c>
      <c r="G8323" s="25">
        <v>1.6264E-4</v>
      </c>
      <c r="H8323" s="25">
        <v>1.9701000000000001E-4</v>
      </c>
      <c r="I8323" s="9">
        <v>1.4127000000000001E-4</v>
      </c>
      <c r="J8323" s="9">
        <v>1.4689999999999999E-4</v>
      </c>
      <c r="K8323" s="9">
        <v>1.526E-4</v>
      </c>
      <c r="L8323" s="9">
        <v>1.7658999999999999E-4</v>
      </c>
      <c r="M8323" s="9">
        <v>1.6845E-4</v>
      </c>
      <c r="N8323" s="9">
        <v>1.7042000000000001E-4</v>
      </c>
      <c r="O8323" s="9">
        <v>1.8529000000000001E-4</v>
      </c>
      <c r="P8323" s="9">
        <v>1.6739000000000001E-4</v>
      </c>
      <c r="Q8323" s="9">
        <v>1.5268000000000001E-4</v>
      </c>
      <c r="R8323" s="10">
        <v>5.7925035060199458E-6</v>
      </c>
      <c r="S8323" s="10">
        <v>4.6155213792465449E-6</v>
      </c>
      <c r="T8323" s="10">
        <v>7.3117691799528211E-5</v>
      </c>
      <c r="U8323" s="10">
        <v>1.4059000000000001E-4</v>
      </c>
      <c r="V8323" s="25"/>
      <c r="W8323" s="25"/>
      <c r="X8323" s="25"/>
      <c r="Y8323" s="25"/>
      <c r="Z8323" s="25"/>
      <c r="AA8323" s="25"/>
    </row>
    <row r="8324" spans="1:27" x14ac:dyDescent="0.35">
      <c r="A8324" s="5">
        <v>8320</v>
      </c>
      <c r="B8324" s="5">
        <v>347</v>
      </c>
      <c r="C8324" s="5">
        <v>12</v>
      </c>
      <c r="D8324" s="25">
        <v>1.1416E-4</v>
      </c>
      <c r="E8324" s="25">
        <v>1.1128000000000001E-4</v>
      </c>
      <c r="F8324" s="25">
        <v>1.1739999999999999E-4</v>
      </c>
      <c r="G8324" s="25">
        <v>1.5736E-4</v>
      </c>
      <c r="H8324" s="25">
        <v>1.9489999999999999E-4</v>
      </c>
      <c r="I8324" s="9">
        <v>1.4134999999999999E-4</v>
      </c>
      <c r="J8324" s="9">
        <v>1.4747E-4</v>
      </c>
      <c r="K8324" s="9">
        <v>1.5683E-4</v>
      </c>
      <c r="L8324" s="9">
        <v>1.8304000000000001E-4</v>
      </c>
      <c r="M8324" s="9">
        <v>1.6771000000000001E-4</v>
      </c>
      <c r="N8324" s="9">
        <v>1.6640000000000001E-4</v>
      </c>
      <c r="O8324" s="9">
        <v>1.9780000000000001E-4</v>
      </c>
      <c r="P8324" s="9">
        <v>1.5148000000000001E-4</v>
      </c>
      <c r="Q8324" s="9">
        <v>1.0906E-4</v>
      </c>
      <c r="R8324" s="10">
        <v>7.2636119827868409E-6</v>
      </c>
      <c r="S8324" s="10">
        <v>4.5731182340244303E-6</v>
      </c>
      <c r="T8324" s="10">
        <v>0</v>
      </c>
      <c r="U8324" s="10">
        <v>1.4059000000000001E-4</v>
      </c>
      <c r="V8324" s="25"/>
      <c r="W8324" s="25"/>
      <c r="X8324" s="25"/>
      <c r="Y8324" s="25"/>
      <c r="Z8324" s="25"/>
      <c r="AA8324" s="25"/>
    </row>
    <row r="8325" spans="1:27" x14ac:dyDescent="0.35">
      <c r="A8325" s="5">
        <v>8321</v>
      </c>
      <c r="B8325" s="5">
        <v>347</v>
      </c>
      <c r="C8325" s="5">
        <v>12</v>
      </c>
      <c r="D8325" s="25">
        <v>1.1416E-4</v>
      </c>
      <c r="E8325" s="25">
        <v>1.1503E-4</v>
      </c>
      <c r="F8325" s="25">
        <v>1.0825E-4</v>
      </c>
      <c r="G8325" s="25">
        <v>1.5846E-4</v>
      </c>
      <c r="H8325" s="25">
        <v>1.8893999999999999E-4</v>
      </c>
      <c r="I8325" s="9">
        <v>1.4440000000000001E-4</v>
      </c>
      <c r="J8325" s="9">
        <v>1.5191E-4</v>
      </c>
      <c r="K8325" s="9">
        <v>1.6318999999999999E-4</v>
      </c>
      <c r="L8325" s="9">
        <v>1.9431E-4</v>
      </c>
      <c r="M8325" s="9">
        <v>1.618E-4</v>
      </c>
      <c r="N8325" s="9">
        <v>1.5238E-4</v>
      </c>
      <c r="O8325" s="9">
        <v>2.1647999999999999E-4</v>
      </c>
      <c r="P8325" s="9">
        <v>1.5974000000000001E-4</v>
      </c>
      <c r="Q8325" s="9">
        <v>1.0745E-4</v>
      </c>
      <c r="R8325" s="10">
        <v>1.0703421790963285E-5</v>
      </c>
      <c r="S8325" s="10">
        <v>4.1142202253026613E-6</v>
      </c>
      <c r="T8325" s="10">
        <v>0</v>
      </c>
      <c r="U8325" s="10">
        <v>1.4059000000000001E-4</v>
      </c>
      <c r="V8325" s="25"/>
      <c r="W8325" s="25"/>
      <c r="X8325" s="25"/>
      <c r="Y8325" s="25"/>
      <c r="Z8325" s="25"/>
      <c r="AA8325" s="25"/>
    </row>
    <row r="8326" spans="1:27" x14ac:dyDescent="0.35">
      <c r="A8326" s="5">
        <v>8322</v>
      </c>
      <c r="B8326" s="5">
        <v>347</v>
      </c>
      <c r="C8326" s="5">
        <v>12</v>
      </c>
      <c r="D8326" s="25">
        <v>1.1416E-4</v>
      </c>
      <c r="E8326" s="25">
        <v>1.0806000000000001E-4</v>
      </c>
      <c r="F8326" s="25">
        <v>1.2324999999999999E-4</v>
      </c>
      <c r="G8326" s="25">
        <v>1.5627999999999999E-4</v>
      </c>
      <c r="H8326" s="25">
        <v>1.918E-4</v>
      </c>
      <c r="I8326" s="9">
        <v>1.5108E-4</v>
      </c>
      <c r="J8326" s="9">
        <v>1.5697000000000001E-4</v>
      </c>
      <c r="K8326" s="9">
        <v>1.6741999999999999E-4</v>
      </c>
      <c r="L8326" s="9">
        <v>2.1138999999999999E-4</v>
      </c>
      <c r="M8326" s="9">
        <v>1.5941999999999999E-4</v>
      </c>
      <c r="N8326" s="9">
        <v>1.3901000000000001E-4</v>
      </c>
      <c r="O8326" s="9">
        <v>2.0887E-4</v>
      </c>
      <c r="P8326" s="9">
        <v>1.6166999999999999E-4</v>
      </c>
      <c r="Q8326" s="9">
        <v>1.1862E-4</v>
      </c>
      <c r="R8326" s="10">
        <v>1.639631932167904E-5</v>
      </c>
      <c r="S8326" s="10">
        <v>5.5800004358129017E-6</v>
      </c>
      <c r="T8326" s="10">
        <v>0</v>
      </c>
      <c r="U8326" s="10">
        <v>1.4059000000000001E-4</v>
      </c>
      <c r="V8326" s="25"/>
      <c r="W8326" s="25"/>
      <c r="X8326" s="25"/>
      <c r="Y8326" s="25"/>
      <c r="Z8326" s="25"/>
      <c r="AA8326" s="25"/>
    </row>
    <row r="8327" spans="1:27" x14ac:dyDescent="0.35">
      <c r="A8327" s="5">
        <v>8323</v>
      </c>
      <c r="B8327" s="5">
        <v>347</v>
      </c>
      <c r="C8327" s="5">
        <v>12</v>
      </c>
      <c r="D8327" s="25">
        <v>1.1416E-4</v>
      </c>
      <c r="E8327" s="25">
        <v>1.1425999999999999E-4</v>
      </c>
      <c r="F8327" s="25">
        <v>1.1521E-4</v>
      </c>
      <c r="G8327" s="25">
        <v>1.1202E-4</v>
      </c>
      <c r="H8327" s="25">
        <v>1.3069000000000001E-4</v>
      </c>
      <c r="I8327" s="9">
        <v>1.4925999999999999E-4</v>
      </c>
      <c r="J8327" s="9">
        <v>1.5075000000000001E-4</v>
      </c>
      <c r="K8327" s="9">
        <v>1.7166999999999999E-4</v>
      </c>
      <c r="L8327" s="9">
        <v>2.0897999999999999E-4</v>
      </c>
      <c r="M8327" s="9">
        <v>1.5977999999999999E-4</v>
      </c>
      <c r="N8327" s="9">
        <v>1.3014999999999999E-4</v>
      </c>
      <c r="O8327" s="9">
        <v>1.6532E-4</v>
      </c>
      <c r="P8327" s="9">
        <v>1.3459E-4</v>
      </c>
      <c r="Q8327" s="9">
        <v>1.0683000000000001E-4</v>
      </c>
      <c r="R8327" s="10">
        <v>2.5621627982832498E-5</v>
      </c>
      <c r="S8327" s="10">
        <v>9.2418516851662077E-6</v>
      </c>
      <c r="T8327" s="10">
        <v>0</v>
      </c>
      <c r="U8327" s="10">
        <v>1.4059000000000001E-4</v>
      </c>
      <c r="V8327" s="25"/>
      <c r="W8327" s="25"/>
      <c r="X8327" s="25"/>
      <c r="Y8327" s="25"/>
      <c r="Z8327" s="25"/>
      <c r="AA8327" s="25"/>
    </row>
    <row r="8328" spans="1:27" x14ac:dyDescent="0.35">
      <c r="A8328" s="5">
        <v>8324</v>
      </c>
      <c r="B8328" s="5">
        <v>347</v>
      </c>
      <c r="C8328" s="5">
        <v>12</v>
      </c>
      <c r="D8328" s="25">
        <v>1.1416E-4</v>
      </c>
      <c r="E8328" s="25">
        <v>1.1128000000000001E-4</v>
      </c>
      <c r="F8328" s="25">
        <v>1.2436000000000001E-4</v>
      </c>
      <c r="G8328" s="25">
        <v>1.1079E-4</v>
      </c>
      <c r="H8328" s="25">
        <v>1.3234E-4</v>
      </c>
      <c r="I8328" s="9">
        <v>1.4344E-4</v>
      </c>
      <c r="J8328" s="9">
        <v>1.4601999999999999E-4</v>
      </c>
      <c r="K8328" s="9">
        <v>1.8650000000000001E-4</v>
      </c>
      <c r="L8328" s="9">
        <v>1.7505999999999999E-4</v>
      </c>
      <c r="M8328" s="9">
        <v>1.5097999999999999E-4</v>
      </c>
      <c r="N8328" s="9">
        <v>1.2099000000000001E-4</v>
      </c>
      <c r="O8328" s="9">
        <v>1.3056E-4</v>
      </c>
      <c r="P8328" s="9">
        <v>1.1553999999999999E-4</v>
      </c>
      <c r="Q8328" s="9">
        <v>1.0249E-4</v>
      </c>
      <c r="R8328" s="10">
        <v>3.6187041606232095E-5</v>
      </c>
      <c r="S8328" s="10">
        <v>1.4740526191055496E-5</v>
      </c>
      <c r="T8328" s="10">
        <v>0</v>
      </c>
      <c r="U8328" s="10">
        <v>1.4059000000000001E-4</v>
      </c>
      <c r="V8328" s="25"/>
      <c r="W8328" s="25"/>
      <c r="X8328" s="25"/>
      <c r="Y8328" s="25"/>
      <c r="Z8328" s="25"/>
      <c r="AA8328" s="25"/>
    </row>
    <row r="8329" spans="1:27" x14ac:dyDescent="0.35">
      <c r="A8329" s="5">
        <v>8325</v>
      </c>
      <c r="B8329" s="5">
        <v>347</v>
      </c>
      <c r="C8329" s="5">
        <v>12</v>
      </c>
      <c r="D8329" s="25">
        <v>1.1416E-4</v>
      </c>
      <c r="E8329" s="25">
        <v>1.1556E-4</v>
      </c>
      <c r="F8329" s="25">
        <v>1.1345000000000001E-4</v>
      </c>
      <c r="G8329" s="25">
        <v>5.4490000000000002E-5</v>
      </c>
      <c r="H8329" s="25">
        <v>7.4200000000000001E-5</v>
      </c>
      <c r="I8329" s="9">
        <v>1.3574999999999999E-4</v>
      </c>
      <c r="J8329" s="9">
        <v>1.3957999999999999E-4</v>
      </c>
      <c r="K8329" s="9">
        <v>1.9285999999999999E-4</v>
      </c>
      <c r="L8329" s="9">
        <v>1.4140999999999999E-4</v>
      </c>
      <c r="M8329" s="9">
        <v>1.3572000000000001E-4</v>
      </c>
      <c r="N8329" s="9">
        <v>1.1345000000000001E-4</v>
      </c>
      <c r="O8329" s="9">
        <v>8.5439999999999995E-5</v>
      </c>
      <c r="P8329" s="9">
        <v>8.6669999999999995E-5</v>
      </c>
      <c r="Q8329" s="9">
        <v>8.8670000000000003E-5</v>
      </c>
      <c r="R8329" s="10">
        <v>4.6478833079957162E-5</v>
      </c>
      <c r="S8329" s="10">
        <v>2.3214811492041334E-5</v>
      </c>
      <c r="T8329" s="10">
        <v>0</v>
      </c>
      <c r="U8329" s="10">
        <v>1.4059000000000001E-4</v>
      </c>
      <c r="V8329" s="25"/>
      <c r="W8329" s="25"/>
      <c r="X8329" s="25"/>
      <c r="Y8329" s="25"/>
      <c r="Z8329" s="25"/>
      <c r="AA8329" s="25"/>
    </row>
    <row r="8330" spans="1:27" x14ac:dyDescent="0.35">
      <c r="A8330" s="5">
        <v>8326</v>
      </c>
      <c r="B8330" s="5">
        <v>347</v>
      </c>
      <c r="C8330" s="5">
        <v>12</v>
      </c>
      <c r="D8330" s="25">
        <v>1.1416E-4</v>
      </c>
      <c r="E8330" s="25">
        <v>1.0954E-4</v>
      </c>
      <c r="F8330" s="25">
        <v>1.1815E-4</v>
      </c>
      <c r="G8330" s="25">
        <v>5.3019999999999997E-5</v>
      </c>
      <c r="H8330" s="25">
        <v>6.4679999999999997E-5</v>
      </c>
      <c r="I8330" s="9">
        <v>1.2804E-4</v>
      </c>
      <c r="J8330" s="9">
        <v>1.3182999999999999E-4</v>
      </c>
      <c r="K8330" s="9">
        <v>1.9285999999999999E-4</v>
      </c>
      <c r="L8330" s="9">
        <v>9.8670000000000002E-5</v>
      </c>
      <c r="M8330" s="9">
        <v>1.1414E-4</v>
      </c>
      <c r="N8330" s="9">
        <v>1.0593E-4</v>
      </c>
      <c r="O8330" s="9">
        <v>8.7150000000000004E-5</v>
      </c>
      <c r="P8330" s="9">
        <v>8.6940000000000004E-5</v>
      </c>
      <c r="Q8330" s="9">
        <v>8.7590000000000007E-5</v>
      </c>
      <c r="R8330" s="10">
        <v>5.7036613117049E-5</v>
      </c>
      <c r="S8330" s="10">
        <v>3.1496081147819561E-5</v>
      </c>
      <c r="T8330" s="10">
        <v>0</v>
      </c>
      <c r="U8330" s="10">
        <v>1.4059000000000001E-4</v>
      </c>
      <c r="V8330" s="25"/>
      <c r="W8330" s="25"/>
      <c r="X8330" s="25"/>
      <c r="Y8330" s="25"/>
      <c r="Z8330" s="25"/>
      <c r="AA8330" s="25"/>
    </row>
    <row r="8331" spans="1:27" x14ac:dyDescent="0.35">
      <c r="A8331" s="5">
        <v>8327</v>
      </c>
      <c r="B8331" s="5">
        <v>347</v>
      </c>
      <c r="C8331" s="5">
        <v>12</v>
      </c>
      <c r="D8331" s="25">
        <v>1.1416E-4</v>
      </c>
      <c r="E8331" s="25">
        <v>1.0966E-4</v>
      </c>
      <c r="F8331" s="25">
        <v>1.1102E-4</v>
      </c>
      <c r="G8331" s="25">
        <v>5.4320000000000002E-5</v>
      </c>
      <c r="H8331" s="25">
        <v>6.58E-5</v>
      </c>
      <c r="I8331" s="9">
        <v>1.2926999999999999E-4</v>
      </c>
      <c r="J8331" s="9">
        <v>1.22E-4</v>
      </c>
      <c r="K8331" s="9">
        <v>1.8650000000000001E-4</v>
      </c>
      <c r="L8331" s="9">
        <v>9.0619999999999996E-5</v>
      </c>
      <c r="M8331" s="9">
        <v>9.9069999999999998E-5</v>
      </c>
      <c r="N8331" s="9">
        <v>9.9939999999999995E-5</v>
      </c>
      <c r="O8331" s="9">
        <v>7.8430000000000006E-5</v>
      </c>
      <c r="P8331" s="9">
        <v>7.2420000000000001E-5</v>
      </c>
      <c r="Q8331" s="9">
        <v>6.7150000000000006E-5</v>
      </c>
      <c r="R8331" s="10">
        <v>6.5929331632893942E-5</v>
      </c>
      <c r="S8331" s="10">
        <v>3.8241009521564738E-5</v>
      </c>
      <c r="T8331" s="10">
        <v>0</v>
      </c>
      <c r="U8331" s="10">
        <v>1.4059000000000001E-4</v>
      </c>
      <c r="V8331" s="25"/>
      <c r="W8331" s="25"/>
      <c r="X8331" s="25"/>
      <c r="Y8331" s="25"/>
      <c r="Z8331" s="25"/>
      <c r="AA8331" s="25"/>
    </row>
    <row r="8332" spans="1:27" x14ac:dyDescent="0.35">
      <c r="A8332" s="5">
        <v>8328</v>
      </c>
      <c r="B8332" s="5">
        <v>347</v>
      </c>
      <c r="C8332" s="5">
        <v>12</v>
      </c>
      <c r="D8332" s="25">
        <v>1.1416E-4</v>
      </c>
      <c r="E8332" s="25">
        <v>1.0766E-4</v>
      </c>
      <c r="F8332" s="25">
        <v>1.065E-4</v>
      </c>
      <c r="G8332" s="25">
        <v>5.5619999999999999E-5</v>
      </c>
      <c r="H8332" s="25">
        <v>6.4399999999999993E-5</v>
      </c>
      <c r="I8332" s="9">
        <v>1.2769999999999999E-4</v>
      </c>
      <c r="J8332" s="9">
        <v>1.1264000000000001E-4</v>
      </c>
      <c r="K8332" s="9">
        <v>1.9709999999999999E-4</v>
      </c>
      <c r="L8332" s="9">
        <v>8.1130000000000004E-5</v>
      </c>
      <c r="M8332" s="9">
        <v>8.6130000000000004E-5</v>
      </c>
      <c r="N8332" s="9">
        <v>9.0660000000000003E-5</v>
      </c>
      <c r="O8332" s="9">
        <v>6.2630000000000002E-5</v>
      </c>
      <c r="P8332" s="9">
        <v>6.0460000000000001E-5</v>
      </c>
      <c r="Q8332" s="9">
        <v>5.8650000000000003E-5</v>
      </c>
      <c r="R8332" s="10">
        <v>6.4422803565988436E-5</v>
      </c>
      <c r="S8332" s="10">
        <v>4.6373483488989606E-5</v>
      </c>
      <c r="T8332" s="10">
        <v>0</v>
      </c>
      <c r="U8332" s="10">
        <v>1.4059000000000001E-4</v>
      </c>
      <c r="V8332" s="25"/>
      <c r="W8332" s="25"/>
      <c r="X8332" s="25"/>
      <c r="Y8332" s="25"/>
      <c r="Z8332" s="25"/>
      <c r="AA8332" s="25"/>
    </row>
    <row r="8333" spans="1:27" x14ac:dyDescent="0.35">
      <c r="A8333" s="5">
        <v>8329</v>
      </c>
      <c r="B8333" s="5">
        <v>348</v>
      </c>
      <c r="C8333" s="5">
        <v>12</v>
      </c>
      <c r="D8333" s="25">
        <v>1.1416E-4</v>
      </c>
      <c r="E8333" s="25">
        <v>1.2163999999999999E-4</v>
      </c>
      <c r="F8333" s="25">
        <v>1.03E-4</v>
      </c>
      <c r="G8333" s="25">
        <v>6.1119999999999998E-5</v>
      </c>
      <c r="H8333" s="25">
        <v>6.8189999999999996E-5</v>
      </c>
      <c r="I8333" s="9">
        <v>1.2085E-4</v>
      </c>
      <c r="J8333" s="9">
        <v>1.0541E-4</v>
      </c>
      <c r="K8333" s="9">
        <v>1.8861999999999999E-4</v>
      </c>
      <c r="L8333" s="9">
        <v>6.6680000000000005E-5</v>
      </c>
      <c r="M8333" s="9">
        <v>7.3930000000000005E-5</v>
      </c>
      <c r="N8333" s="9">
        <v>8.1180000000000005E-5</v>
      </c>
      <c r="O8333" s="9">
        <v>5.5050000000000003E-5</v>
      </c>
      <c r="P8333" s="9">
        <v>5.4459999999999997E-5</v>
      </c>
      <c r="Q8333" s="9">
        <v>5.4039999999999998E-5</v>
      </c>
      <c r="R8333" s="10">
        <v>6.0563627624967713E-5</v>
      </c>
      <c r="S8333" s="10">
        <v>5.901164264414279E-5</v>
      </c>
      <c r="T8333" s="10">
        <v>0</v>
      </c>
      <c r="U8333" s="10">
        <v>1.451E-4</v>
      </c>
      <c r="V8333" s="25"/>
      <c r="W8333" s="25"/>
      <c r="X8333" s="25"/>
      <c r="Y8333" s="25"/>
      <c r="Z8333" s="25"/>
      <c r="AA8333" s="25"/>
    </row>
    <row r="8334" spans="1:27" x14ac:dyDescent="0.35">
      <c r="A8334" s="5">
        <v>8330</v>
      </c>
      <c r="B8334" s="5">
        <v>348</v>
      </c>
      <c r="C8334" s="5">
        <v>12</v>
      </c>
      <c r="D8334" s="25">
        <v>1.1416E-4</v>
      </c>
      <c r="E8334" s="25">
        <v>1.1370999999999999E-4</v>
      </c>
      <c r="F8334" s="25">
        <v>1.0022E-4</v>
      </c>
      <c r="G8334" s="25">
        <v>5.7030000000000001E-5</v>
      </c>
      <c r="H8334" s="25">
        <v>7.4599999999999997E-5</v>
      </c>
      <c r="I8334" s="9">
        <v>1.1443E-4</v>
      </c>
      <c r="J8334" s="9">
        <v>1.0128000000000001E-4</v>
      </c>
      <c r="K8334" s="9">
        <v>1.8227E-4</v>
      </c>
      <c r="L8334" s="9">
        <v>5.8E-5</v>
      </c>
      <c r="M8334" s="9">
        <v>6.4029999999999995E-5</v>
      </c>
      <c r="N8334" s="9">
        <v>7.216E-5</v>
      </c>
      <c r="O8334" s="9">
        <v>1.8280000000000001E-5</v>
      </c>
      <c r="P8334" s="9">
        <v>3.7490000000000002E-5</v>
      </c>
      <c r="Q8334" s="9">
        <v>5.5789999999999999E-5</v>
      </c>
      <c r="R8334" s="10">
        <v>5.996446941149587E-5</v>
      </c>
      <c r="S8334" s="10">
        <v>7.7915847033262732E-5</v>
      </c>
      <c r="T8334" s="10">
        <v>0</v>
      </c>
      <c r="U8334" s="10">
        <v>1.451E-4</v>
      </c>
      <c r="V8334" s="25"/>
      <c r="W8334" s="25"/>
      <c r="X8334" s="25"/>
      <c r="Y8334" s="25"/>
      <c r="Z8334" s="25"/>
      <c r="AA8334" s="25"/>
    </row>
    <row r="8335" spans="1:27" x14ac:dyDescent="0.35">
      <c r="A8335" s="5">
        <v>8331</v>
      </c>
      <c r="B8335" s="5">
        <v>348</v>
      </c>
      <c r="C8335" s="5">
        <v>12</v>
      </c>
      <c r="D8335" s="25">
        <v>1.1416E-4</v>
      </c>
      <c r="E8335" s="25">
        <v>1.1529E-4</v>
      </c>
      <c r="F8335" s="25">
        <v>1.1064E-4</v>
      </c>
      <c r="G8335" s="25">
        <v>5.363E-5</v>
      </c>
      <c r="H8335" s="25">
        <v>7.5210000000000007E-5</v>
      </c>
      <c r="I8335" s="9">
        <v>1.1121E-4</v>
      </c>
      <c r="J8335" s="9">
        <v>9.912E-5</v>
      </c>
      <c r="K8335" s="9">
        <v>1.7802000000000001E-4</v>
      </c>
      <c r="L8335" s="9">
        <v>2.7209999999999999E-5</v>
      </c>
      <c r="M8335" s="9">
        <v>5.2219999999999998E-5</v>
      </c>
      <c r="N8335" s="9">
        <v>6.5480000000000003E-5</v>
      </c>
      <c r="O8335" s="9">
        <v>1.274E-5</v>
      </c>
      <c r="P8335" s="9">
        <v>3.7419999999999997E-5</v>
      </c>
      <c r="Q8335" s="9">
        <v>6.0999999999999999E-5</v>
      </c>
      <c r="R8335" s="10">
        <v>6.2526184653256204E-5</v>
      </c>
      <c r="S8335" s="10">
        <v>9.6252754953933772E-5</v>
      </c>
      <c r="T8335" s="10">
        <v>0</v>
      </c>
      <c r="U8335" s="10">
        <v>1.451E-4</v>
      </c>
      <c r="V8335" s="25"/>
      <c r="W8335" s="25"/>
      <c r="X8335" s="25"/>
      <c r="Y8335" s="25"/>
      <c r="Z8335" s="25"/>
      <c r="AA8335" s="25"/>
    </row>
    <row r="8336" spans="1:27" x14ac:dyDescent="0.35">
      <c r="A8336" s="5">
        <v>8332</v>
      </c>
      <c r="B8336" s="5">
        <v>348</v>
      </c>
      <c r="C8336" s="5">
        <v>12</v>
      </c>
      <c r="D8336" s="25">
        <v>1.1416E-4</v>
      </c>
      <c r="E8336" s="25">
        <v>1.1406E-4</v>
      </c>
      <c r="F8336" s="25">
        <v>1.0313E-4</v>
      </c>
      <c r="G8336" s="25">
        <v>5.4509999999999998E-5</v>
      </c>
      <c r="H8336" s="25">
        <v>7.1959999999999995E-5</v>
      </c>
      <c r="I8336" s="9">
        <v>1.091E-4</v>
      </c>
      <c r="J8336" s="9">
        <v>9.815E-5</v>
      </c>
      <c r="K8336" s="9">
        <v>1.7378000000000001E-4</v>
      </c>
      <c r="L8336" s="9">
        <v>1.668E-5</v>
      </c>
      <c r="M8336" s="9">
        <v>4.4070000000000003E-5</v>
      </c>
      <c r="N8336" s="9">
        <v>6.1779999999999995E-5</v>
      </c>
      <c r="O8336" s="9">
        <v>1.287E-5</v>
      </c>
      <c r="P8336" s="9">
        <v>4.7259999999999998E-5</v>
      </c>
      <c r="Q8336" s="9">
        <v>8.038E-5</v>
      </c>
      <c r="R8336" s="10">
        <v>6.9710127175740921E-5</v>
      </c>
      <c r="S8336" s="10">
        <v>1.0275255000422216E-4</v>
      </c>
      <c r="T8336" s="10">
        <v>0</v>
      </c>
      <c r="U8336" s="10">
        <v>1.451E-4</v>
      </c>
      <c r="V8336" s="25"/>
      <c r="W8336" s="25"/>
      <c r="X8336" s="25"/>
      <c r="Y8336" s="25"/>
      <c r="Z8336" s="25"/>
      <c r="AA8336" s="25"/>
    </row>
    <row r="8337" spans="1:27" x14ac:dyDescent="0.35">
      <c r="A8337" s="5">
        <v>8333</v>
      </c>
      <c r="B8337" s="5">
        <v>348</v>
      </c>
      <c r="C8337" s="5">
        <v>12</v>
      </c>
      <c r="D8337" s="25">
        <v>1.1416E-4</v>
      </c>
      <c r="E8337" s="25">
        <v>1.228E-4</v>
      </c>
      <c r="F8337" s="25">
        <v>9.1290000000000002E-5</v>
      </c>
      <c r="G8337" s="25">
        <v>6.1760000000000005E-5</v>
      </c>
      <c r="H8337" s="25">
        <v>7.5019999999999997E-5</v>
      </c>
      <c r="I8337" s="9">
        <v>1.0972999999999999E-4</v>
      </c>
      <c r="J8337" s="9">
        <v>9.8709999999999995E-5</v>
      </c>
      <c r="K8337" s="9">
        <v>1.7589999999999999E-4</v>
      </c>
      <c r="L8337" s="9">
        <v>1.397E-5</v>
      </c>
      <c r="M8337" s="9">
        <v>4.3380000000000001E-5</v>
      </c>
      <c r="N8337" s="9">
        <v>6.4319999999999994E-5</v>
      </c>
      <c r="O8337" s="9">
        <v>1.8499999999999999E-5</v>
      </c>
      <c r="P8337" s="9">
        <v>5.6900000000000001E-5</v>
      </c>
      <c r="Q8337" s="9">
        <v>9.4090000000000002E-5</v>
      </c>
      <c r="R8337" s="10">
        <v>6.2780421686783614E-5</v>
      </c>
      <c r="S8337" s="10">
        <v>1.0493592693869896E-4</v>
      </c>
      <c r="T8337" s="10">
        <v>0</v>
      </c>
      <c r="U8337" s="10">
        <v>1.451E-4</v>
      </c>
      <c r="V8337" s="25"/>
      <c r="W8337" s="25"/>
      <c r="X8337" s="25"/>
      <c r="Y8337" s="25"/>
      <c r="Z8337" s="25"/>
      <c r="AA8337" s="25"/>
    </row>
    <row r="8338" spans="1:27" x14ac:dyDescent="0.35">
      <c r="A8338" s="5">
        <v>8334</v>
      </c>
      <c r="B8338" s="5">
        <v>348</v>
      </c>
      <c r="C8338" s="5">
        <v>12</v>
      </c>
      <c r="D8338" s="25">
        <v>1.1416E-4</v>
      </c>
      <c r="E8338" s="25">
        <v>1.2375E-4</v>
      </c>
      <c r="F8338" s="25">
        <v>9.2520000000000002E-5</v>
      </c>
      <c r="G8338" s="25">
        <v>1.0841E-4</v>
      </c>
      <c r="H8338" s="25">
        <v>1.2757999999999999E-4</v>
      </c>
      <c r="I8338" s="9">
        <v>1.1504E-4</v>
      </c>
      <c r="J8338" s="9">
        <v>1.0287E-4</v>
      </c>
      <c r="K8338" s="9">
        <v>2.0346000000000001E-4</v>
      </c>
      <c r="L8338" s="9">
        <v>1.736E-5</v>
      </c>
      <c r="M8338" s="9">
        <v>4.8430000000000002E-5</v>
      </c>
      <c r="N8338" s="9">
        <v>7.0989999999999996E-5</v>
      </c>
      <c r="O8338" s="9">
        <v>4.5819999999999998E-5</v>
      </c>
      <c r="P8338" s="9">
        <v>7.6249999999999997E-5</v>
      </c>
      <c r="Q8338" s="9">
        <v>1.0618E-4</v>
      </c>
      <c r="R8338" s="10">
        <v>5.319205431291273E-5</v>
      </c>
      <c r="S8338" s="10">
        <v>1.1356825049247368E-4</v>
      </c>
      <c r="T8338" s="10">
        <v>0</v>
      </c>
      <c r="U8338" s="10">
        <v>1.451E-4</v>
      </c>
      <c r="V8338" s="25"/>
      <c r="W8338" s="25"/>
      <c r="X8338" s="25"/>
      <c r="Y8338" s="25"/>
      <c r="Z8338" s="25"/>
      <c r="AA8338" s="25"/>
    </row>
    <row r="8339" spans="1:27" x14ac:dyDescent="0.35">
      <c r="A8339" s="5">
        <v>8335</v>
      </c>
      <c r="B8339" s="5">
        <v>348</v>
      </c>
      <c r="C8339" s="5">
        <v>12</v>
      </c>
      <c r="D8339" s="25">
        <v>1.1416E-4</v>
      </c>
      <c r="E8339" s="25">
        <v>1.1873E-4</v>
      </c>
      <c r="F8339" s="25">
        <v>1.06E-4</v>
      </c>
      <c r="G8339" s="25">
        <v>1.1074E-4</v>
      </c>
      <c r="H8339" s="25">
        <v>1.2698000000000001E-4</v>
      </c>
      <c r="I8339" s="9">
        <v>1.2846999999999999E-4</v>
      </c>
      <c r="J8339" s="9">
        <v>1.1527999999999999E-4</v>
      </c>
      <c r="K8339" s="9">
        <v>2.2039999999999999E-4</v>
      </c>
      <c r="L8339" s="9">
        <v>3.9409999999999997E-5</v>
      </c>
      <c r="M8339" s="9">
        <v>5.9870000000000001E-5</v>
      </c>
      <c r="N8339" s="9">
        <v>8.0519999999999995E-5</v>
      </c>
      <c r="O8339" s="9">
        <v>1.2305000000000001E-4</v>
      </c>
      <c r="P8339" s="9">
        <v>1.1645E-4</v>
      </c>
      <c r="Q8339" s="9">
        <v>1.1155E-4</v>
      </c>
      <c r="R8339" s="10">
        <v>4.7803149083688919E-5</v>
      </c>
      <c r="S8339" s="10">
        <v>1.1837351017851396E-4</v>
      </c>
      <c r="T8339" s="10">
        <v>0</v>
      </c>
      <c r="U8339" s="10">
        <v>1.451E-4</v>
      </c>
      <c r="V8339" s="25"/>
      <c r="W8339" s="25"/>
      <c r="X8339" s="25"/>
      <c r="Y8339" s="25"/>
      <c r="Z8339" s="25"/>
      <c r="AA8339" s="25"/>
    </row>
    <row r="8340" spans="1:27" x14ac:dyDescent="0.35">
      <c r="A8340" s="5">
        <v>8336</v>
      </c>
      <c r="B8340" s="5">
        <v>348</v>
      </c>
      <c r="C8340" s="5">
        <v>12</v>
      </c>
      <c r="D8340" s="25">
        <v>1.1416E-4</v>
      </c>
      <c r="E8340" s="25">
        <v>1.2243000000000001E-4</v>
      </c>
      <c r="F8340" s="25">
        <v>1.0642E-4</v>
      </c>
      <c r="G8340" s="25">
        <v>1.5618000000000001E-4</v>
      </c>
      <c r="H8340" s="25">
        <v>1.9798999999999999E-4</v>
      </c>
      <c r="I8340" s="9">
        <v>1.4062999999999999E-4</v>
      </c>
      <c r="J8340" s="9">
        <v>1.3410000000000001E-4</v>
      </c>
      <c r="K8340" s="9">
        <v>2.0345000000000001E-4</v>
      </c>
      <c r="L8340" s="9">
        <v>1.0403000000000001E-4</v>
      </c>
      <c r="M8340" s="9">
        <v>8.3170000000000005E-5</v>
      </c>
      <c r="N8340" s="9">
        <v>9.0450000000000003E-5</v>
      </c>
      <c r="O8340" s="9">
        <v>2.1923E-4</v>
      </c>
      <c r="P8340" s="9">
        <v>1.7508000000000001E-4</v>
      </c>
      <c r="Q8340" s="9">
        <v>1.3525000000000001E-4</v>
      </c>
      <c r="R8340" s="10">
        <v>4.5719491879791517E-5</v>
      </c>
      <c r="S8340" s="10">
        <v>1.2497243439130352E-4</v>
      </c>
      <c r="T8340" s="10">
        <v>0</v>
      </c>
      <c r="U8340" s="10">
        <v>1.451E-4</v>
      </c>
      <c r="V8340" s="25"/>
      <c r="W8340" s="25"/>
      <c r="X8340" s="25"/>
      <c r="Y8340" s="25"/>
      <c r="Z8340" s="25"/>
      <c r="AA8340" s="25"/>
    </row>
    <row r="8341" spans="1:27" x14ac:dyDescent="0.35">
      <c r="A8341" s="5">
        <v>8337</v>
      </c>
      <c r="B8341" s="5">
        <v>348</v>
      </c>
      <c r="C8341" s="5">
        <v>12</v>
      </c>
      <c r="D8341" s="25">
        <v>1.1416E-4</v>
      </c>
      <c r="E8341" s="25">
        <v>1.2333999999999999E-4</v>
      </c>
      <c r="F8341" s="25">
        <v>9.5039999999999998E-5</v>
      </c>
      <c r="G8341" s="25">
        <v>1.6551000000000001E-4</v>
      </c>
      <c r="H8341" s="25">
        <v>1.9424000000000001E-4</v>
      </c>
      <c r="I8341" s="9">
        <v>1.459E-4</v>
      </c>
      <c r="J8341" s="9">
        <v>1.4556000000000001E-4</v>
      </c>
      <c r="K8341" s="9">
        <v>1.9073000000000001E-4</v>
      </c>
      <c r="L8341" s="9">
        <v>1.9211E-4</v>
      </c>
      <c r="M8341" s="9">
        <v>1.2229E-4</v>
      </c>
      <c r="N8341" s="9">
        <v>1.0393E-4</v>
      </c>
      <c r="O8341" s="9">
        <v>2.109E-4</v>
      </c>
      <c r="P8341" s="9">
        <v>1.9105000000000001E-4</v>
      </c>
      <c r="Q8341" s="9">
        <v>1.7496999999999999E-4</v>
      </c>
      <c r="R8341" s="10">
        <v>4.8285216762029918E-5</v>
      </c>
      <c r="S8341" s="10">
        <v>1.362104559572029E-4</v>
      </c>
      <c r="T8341" s="10">
        <v>8.3740034585906626E-6</v>
      </c>
      <c r="U8341" s="10">
        <v>1.451E-4</v>
      </c>
      <c r="V8341" s="25"/>
      <c r="W8341" s="25"/>
      <c r="X8341" s="25"/>
      <c r="Y8341" s="25"/>
      <c r="Z8341" s="25"/>
      <c r="AA8341" s="25"/>
    </row>
    <row r="8342" spans="1:27" x14ac:dyDescent="0.35">
      <c r="A8342" s="5">
        <v>8338</v>
      </c>
      <c r="B8342" s="5">
        <v>348</v>
      </c>
      <c r="C8342" s="5">
        <v>12</v>
      </c>
      <c r="D8342" s="25">
        <v>1.1416E-4</v>
      </c>
      <c r="E8342" s="25">
        <v>1.2118E-4</v>
      </c>
      <c r="F8342" s="25">
        <v>1.0402E-4</v>
      </c>
      <c r="G8342" s="25">
        <v>1.6657E-4</v>
      </c>
      <c r="H8342" s="25">
        <v>1.975E-4</v>
      </c>
      <c r="I8342" s="9">
        <v>1.4673E-4</v>
      </c>
      <c r="J8342" s="9">
        <v>1.4931999999999999E-4</v>
      </c>
      <c r="K8342" s="9">
        <v>1.5259E-4</v>
      </c>
      <c r="L8342" s="9">
        <v>2.0446E-4</v>
      </c>
      <c r="M8342" s="9">
        <v>1.5695999999999999E-4</v>
      </c>
      <c r="N8342" s="9">
        <v>1.2358000000000001E-4</v>
      </c>
      <c r="O8342" s="9">
        <v>1.6827000000000001E-4</v>
      </c>
      <c r="P8342" s="9">
        <v>1.738E-4</v>
      </c>
      <c r="Q8342" s="9">
        <v>1.8179000000000001E-4</v>
      </c>
      <c r="R8342" s="10">
        <v>5.6592005410194018E-5</v>
      </c>
      <c r="S8342" s="10">
        <v>1.3980823504284857E-4</v>
      </c>
      <c r="T8342" s="10">
        <v>3.8247221470442464E-5</v>
      </c>
      <c r="U8342" s="10">
        <v>1.451E-4</v>
      </c>
      <c r="V8342" s="25"/>
      <c r="W8342" s="25"/>
      <c r="X8342" s="25"/>
      <c r="Y8342" s="25"/>
      <c r="Z8342" s="25"/>
      <c r="AA8342" s="25"/>
    </row>
    <row r="8343" spans="1:27" x14ac:dyDescent="0.35">
      <c r="A8343" s="5">
        <v>8339</v>
      </c>
      <c r="B8343" s="5">
        <v>348</v>
      </c>
      <c r="C8343" s="5">
        <v>12</v>
      </c>
      <c r="D8343" s="25">
        <v>1.1416E-4</v>
      </c>
      <c r="E8343" s="25">
        <v>1.1869E-4</v>
      </c>
      <c r="F8343" s="25">
        <v>9.9809999999999995E-5</v>
      </c>
      <c r="G8343" s="25">
        <v>1.6166999999999999E-4</v>
      </c>
      <c r="H8343" s="25">
        <v>1.9050999999999999E-4</v>
      </c>
      <c r="I8343" s="9">
        <v>1.4635000000000001E-4</v>
      </c>
      <c r="J8343" s="9">
        <v>1.494E-4</v>
      </c>
      <c r="K8343" s="9">
        <v>1.4835E-4</v>
      </c>
      <c r="L8343" s="9">
        <v>1.7631E-4</v>
      </c>
      <c r="M8343" s="9">
        <v>1.7105000000000001E-4</v>
      </c>
      <c r="N8343" s="9">
        <v>1.4169000000000001E-4</v>
      </c>
      <c r="O8343" s="9">
        <v>1.6933000000000001E-4</v>
      </c>
      <c r="P8343" s="9">
        <v>1.7354E-4</v>
      </c>
      <c r="Q8343" s="9">
        <v>1.8024E-4</v>
      </c>
      <c r="R8343" s="10">
        <v>6.5273432164286328E-5</v>
      </c>
      <c r="S8343" s="10">
        <v>1.364721567659458E-4</v>
      </c>
      <c r="T8343" s="10">
        <v>4.4898912160954201E-5</v>
      </c>
      <c r="U8343" s="10">
        <v>1.451E-4</v>
      </c>
      <c r="V8343" s="25"/>
      <c r="W8343" s="25"/>
      <c r="X8343" s="25"/>
      <c r="Y8343" s="25"/>
      <c r="Z8343" s="25"/>
      <c r="AA8343" s="25"/>
    </row>
    <row r="8344" spans="1:27" x14ac:dyDescent="0.35">
      <c r="A8344" s="5">
        <v>8340</v>
      </c>
      <c r="B8344" s="5">
        <v>348</v>
      </c>
      <c r="C8344" s="5">
        <v>12</v>
      </c>
      <c r="D8344" s="25">
        <v>1.1416E-4</v>
      </c>
      <c r="E8344" s="25">
        <v>1.1574E-4</v>
      </c>
      <c r="F8344" s="25">
        <v>9.8740000000000007E-5</v>
      </c>
      <c r="G8344" s="25">
        <v>1.5908E-4</v>
      </c>
      <c r="H8344" s="25">
        <v>1.9242E-4</v>
      </c>
      <c r="I8344" s="9">
        <v>1.4732999999999999E-4</v>
      </c>
      <c r="J8344" s="9">
        <v>1.4946E-4</v>
      </c>
      <c r="K8344" s="9">
        <v>1.3564E-4</v>
      </c>
      <c r="L8344" s="9">
        <v>1.7225000000000001E-4</v>
      </c>
      <c r="M8344" s="9">
        <v>1.7438999999999999E-4</v>
      </c>
      <c r="N8344" s="9">
        <v>1.561E-4</v>
      </c>
      <c r="O8344" s="9">
        <v>1.7085000000000001E-4</v>
      </c>
      <c r="P8344" s="9">
        <v>1.7091E-4</v>
      </c>
      <c r="Q8344" s="9">
        <v>1.7358E-4</v>
      </c>
      <c r="R8344" s="10">
        <v>5.1988814957834477E-5</v>
      </c>
      <c r="S8344" s="10">
        <v>1.2895826867625259E-4</v>
      </c>
      <c r="T8344" s="10">
        <v>4.5189075198729073E-4</v>
      </c>
      <c r="U8344" s="10">
        <v>1.451E-4</v>
      </c>
      <c r="V8344" s="25"/>
      <c r="W8344" s="25"/>
      <c r="X8344" s="25"/>
      <c r="Y8344" s="25"/>
      <c r="Z8344" s="25"/>
      <c r="AA8344" s="25"/>
    </row>
    <row r="8345" spans="1:27" x14ac:dyDescent="0.35">
      <c r="A8345" s="5">
        <v>8341</v>
      </c>
      <c r="B8345" s="5">
        <v>348</v>
      </c>
      <c r="C8345" s="5">
        <v>12</v>
      </c>
      <c r="D8345" s="25">
        <v>1.1416E-4</v>
      </c>
      <c r="E8345" s="25">
        <v>1.2127E-4</v>
      </c>
      <c r="F8345" s="25">
        <v>1.0946999999999999E-4</v>
      </c>
      <c r="G8345" s="25">
        <v>1.572E-4</v>
      </c>
      <c r="H8345" s="25">
        <v>1.9362000000000001E-4</v>
      </c>
      <c r="I8345" s="9">
        <v>1.4470999999999999E-4</v>
      </c>
      <c r="J8345" s="9">
        <v>1.4817000000000001E-4</v>
      </c>
      <c r="K8345" s="9">
        <v>1.2505E-4</v>
      </c>
      <c r="L8345" s="9">
        <v>1.7128999999999999E-4</v>
      </c>
      <c r="M8345" s="9">
        <v>1.7352000000000001E-4</v>
      </c>
      <c r="N8345" s="9">
        <v>1.6562E-4</v>
      </c>
      <c r="O8345" s="9">
        <v>1.6378000000000001E-4</v>
      </c>
      <c r="P8345" s="9">
        <v>1.6475999999999999E-4</v>
      </c>
      <c r="Q8345" s="9">
        <v>1.6818000000000001E-4</v>
      </c>
      <c r="R8345" s="10">
        <v>4.2140043559436833E-5</v>
      </c>
      <c r="S8345" s="10">
        <v>1.1768993279164411E-4</v>
      </c>
      <c r="T8345" s="10">
        <v>2.7288051999863375E-4</v>
      </c>
      <c r="U8345" s="10">
        <v>1.451E-4</v>
      </c>
      <c r="V8345" s="25"/>
      <c r="W8345" s="25"/>
      <c r="X8345" s="25"/>
      <c r="Y8345" s="25"/>
      <c r="Z8345" s="25"/>
      <c r="AA8345" s="25"/>
    </row>
    <row r="8346" spans="1:27" x14ac:dyDescent="0.35">
      <c r="A8346" s="5">
        <v>8342</v>
      </c>
      <c r="B8346" s="5">
        <v>348</v>
      </c>
      <c r="C8346" s="5">
        <v>12</v>
      </c>
      <c r="D8346" s="25">
        <v>1.1416E-4</v>
      </c>
      <c r="E8346" s="25">
        <v>1.1518000000000001E-4</v>
      </c>
      <c r="F8346" s="25">
        <v>1.1241E-4</v>
      </c>
      <c r="G8346" s="25">
        <v>1.5715999999999999E-4</v>
      </c>
      <c r="H8346" s="25">
        <v>1.9281999999999999E-4</v>
      </c>
      <c r="I8346" s="9">
        <v>1.4527999999999999E-4</v>
      </c>
      <c r="J8346" s="9">
        <v>1.4841999999999999E-4</v>
      </c>
      <c r="K8346" s="9">
        <v>1.4412E-4</v>
      </c>
      <c r="L8346" s="9">
        <v>1.6521E-4</v>
      </c>
      <c r="M8346" s="9">
        <v>1.7008E-4</v>
      </c>
      <c r="N8346" s="9">
        <v>1.7029999999999999E-4</v>
      </c>
      <c r="O8346" s="9">
        <v>1.7796000000000001E-4</v>
      </c>
      <c r="P8346" s="9">
        <v>1.6708000000000001E-4</v>
      </c>
      <c r="Q8346" s="9">
        <v>1.5914E-4</v>
      </c>
      <c r="R8346" s="10">
        <v>4.0723740803261843E-5</v>
      </c>
      <c r="S8346" s="10">
        <v>1.0704537838641854E-4</v>
      </c>
      <c r="T8346" s="10">
        <v>2.6879108771186506E-4</v>
      </c>
      <c r="U8346" s="10">
        <v>1.451E-4</v>
      </c>
      <c r="V8346" s="25"/>
      <c r="W8346" s="25"/>
      <c r="X8346" s="25"/>
      <c r="Y8346" s="25"/>
      <c r="Z8346" s="25"/>
      <c r="AA8346" s="25"/>
    </row>
    <row r="8347" spans="1:27" x14ac:dyDescent="0.35">
      <c r="A8347" s="5">
        <v>8343</v>
      </c>
      <c r="B8347" s="5">
        <v>348</v>
      </c>
      <c r="C8347" s="5">
        <v>12</v>
      </c>
      <c r="D8347" s="25">
        <v>1.1416E-4</v>
      </c>
      <c r="E8347" s="25">
        <v>1.2454E-4</v>
      </c>
      <c r="F8347" s="25">
        <v>9.5480000000000001E-5</v>
      </c>
      <c r="G8347" s="25">
        <v>1.6703000000000001E-4</v>
      </c>
      <c r="H8347" s="25">
        <v>1.9673E-4</v>
      </c>
      <c r="I8347" s="9">
        <v>1.4339999999999999E-4</v>
      </c>
      <c r="J8347" s="9">
        <v>1.4819E-4</v>
      </c>
      <c r="K8347" s="9">
        <v>1.5259E-4</v>
      </c>
      <c r="L8347" s="9">
        <v>1.7530000000000001E-4</v>
      </c>
      <c r="M8347" s="9">
        <v>1.6799999999999999E-4</v>
      </c>
      <c r="N8347" s="9">
        <v>1.6962999999999999E-4</v>
      </c>
      <c r="O8347" s="9">
        <v>1.8432E-4</v>
      </c>
      <c r="P8347" s="9">
        <v>1.6652E-4</v>
      </c>
      <c r="Q8347" s="9">
        <v>1.5189000000000001E-4</v>
      </c>
      <c r="R8347" s="10">
        <v>4.4861139167343383E-5</v>
      </c>
      <c r="S8347" s="10">
        <v>9.9519317284792576E-5</v>
      </c>
      <c r="T8347" s="10">
        <v>1.6257614414743091E-4</v>
      </c>
      <c r="U8347" s="10">
        <v>1.451E-4</v>
      </c>
      <c r="V8347" s="25"/>
      <c r="W8347" s="25"/>
      <c r="X8347" s="25"/>
      <c r="Y8347" s="25"/>
      <c r="Z8347" s="25"/>
      <c r="AA8347" s="25"/>
    </row>
    <row r="8348" spans="1:27" x14ac:dyDescent="0.35">
      <c r="A8348" s="5">
        <v>8344</v>
      </c>
      <c r="B8348" s="5">
        <v>348</v>
      </c>
      <c r="C8348" s="5">
        <v>12</v>
      </c>
      <c r="D8348" s="25">
        <v>1.1416E-4</v>
      </c>
      <c r="E8348" s="25">
        <v>1.2321000000000001E-4</v>
      </c>
      <c r="F8348" s="25">
        <v>1.0818E-4</v>
      </c>
      <c r="G8348" s="25">
        <v>1.5804E-4</v>
      </c>
      <c r="H8348" s="25">
        <v>1.93E-4</v>
      </c>
      <c r="I8348" s="9">
        <v>1.4264E-4</v>
      </c>
      <c r="J8348" s="9">
        <v>1.4834000000000001E-4</v>
      </c>
      <c r="K8348" s="9">
        <v>1.7379E-4</v>
      </c>
      <c r="L8348" s="9">
        <v>1.8207E-4</v>
      </c>
      <c r="M8348" s="9">
        <v>1.6700999999999999E-4</v>
      </c>
      <c r="N8348" s="9">
        <v>1.6569999999999999E-4</v>
      </c>
      <c r="O8348" s="9">
        <v>1.9965E-4</v>
      </c>
      <c r="P8348" s="9">
        <v>1.5289000000000001E-4</v>
      </c>
      <c r="Q8348" s="9">
        <v>1.1008E-4</v>
      </c>
      <c r="R8348" s="10">
        <v>4.9043470607745493E-5</v>
      </c>
      <c r="S8348" s="10">
        <v>9.0866569614455681E-5</v>
      </c>
      <c r="T8348" s="10">
        <v>0</v>
      </c>
      <c r="U8348" s="10">
        <v>1.451E-4</v>
      </c>
      <c r="V8348" s="25"/>
      <c r="W8348" s="25"/>
      <c r="X8348" s="25"/>
      <c r="Y8348" s="25"/>
      <c r="Z8348" s="25"/>
      <c r="AA8348" s="25"/>
    </row>
    <row r="8349" spans="1:27" x14ac:dyDescent="0.35">
      <c r="A8349" s="5">
        <v>8345</v>
      </c>
      <c r="B8349" s="5">
        <v>348</v>
      </c>
      <c r="C8349" s="5">
        <v>12</v>
      </c>
      <c r="D8349" s="25">
        <v>1.1416E-4</v>
      </c>
      <c r="E8349" s="25">
        <v>1.1895E-4</v>
      </c>
      <c r="F8349" s="25">
        <v>9.1150000000000007E-5</v>
      </c>
      <c r="G8349" s="25">
        <v>1.6651E-4</v>
      </c>
      <c r="H8349" s="25">
        <v>1.9105000000000001E-4</v>
      </c>
      <c r="I8349" s="9">
        <v>1.4401E-4</v>
      </c>
      <c r="J8349" s="9">
        <v>1.5221000000000001E-4</v>
      </c>
      <c r="K8349" s="9">
        <v>1.8861999999999999E-4</v>
      </c>
      <c r="L8349" s="9">
        <v>1.9555000000000001E-4</v>
      </c>
      <c r="M8349" s="9">
        <v>1.6178000000000001E-4</v>
      </c>
      <c r="N8349" s="9">
        <v>1.5211000000000001E-4</v>
      </c>
      <c r="O8349" s="9">
        <v>2.1561E-4</v>
      </c>
      <c r="P8349" s="9">
        <v>1.5909999999999999E-4</v>
      </c>
      <c r="Q8349" s="9">
        <v>1.0702E-4</v>
      </c>
      <c r="R8349" s="10">
        <v>5.485796312257546E-5</v>
      </c>
      <c r="S8349" s="10">
        <v>7.6783015089520345E-5</v>
      </c>
      <c r="T8349" s="10">
        <v>0</v>
      </c>
      <c r="U8349" s="10">
        <v>1.451E-4</v>
      </c>
      <c r="V8349" s="25"/>
      <c r="W8349" s="25"/>
      <c r="X8349" s="25"/>
      <c r="Y8349" s="25"/>
      <c r="Z8349" s="25"/>
      <c r="AA8349" s="25"/>
    </row>
    <row r="8350" spans="1:27" x14ac:dyDescent="0.35">
      <c r="A8350" s="5">
        <v>8346</v>
      </c>
      <c r="B8350" s="5">
        <v>348</v>
      </c>
      <c r="C8350" s="5">
        <v>12</v>
      </c>
      <c r="D8350" s="25">
        <v>1.1416E-4</v>
      </c>
      <c r="E8350" s="25">
        <v>1.2306E-4</v>
      </c>
      <c r="F8350" s="25">
        <v>9.1539999999999994E-5</v>
      </c>
      <c r="G8350" s="25">
        <v>1.5890000000000001E-4</v>
      </c>
      <c r="H8350" s="25">
        <v>1.9719E-4</v>
      </c>
      <c r="I8350" s="9">
        <v>1.4969000000000001E-4</v>
      </c>
      <c r="J8350" s="9">
        <v>1.5657E-4</v>
      </c>
      <c r="K8350" s="9">
        <v>1.9709E-4</v>
      </c>
      <c r="L8350" s="9">
        <v>2.109E-4</v>
      </c>
      <c r="M8350" s="9">
        <v>1.5939E-4</v>
      </c>
      <c r="N8350" s="9">
        <v>1.3880000000000001E-4</v>
      </c>
      <c r="O8350" s="9">
        <v>2.0804999999999999E-4</v>
      </c>
      <c r="P8350" s="9">
        <v>1.6105000000000001E-4</v>
      </c>
      <c r="Q8350" s="9">
        <v>1.1815999999999999E-4</v>
      </c>
      <c r="R8350" s="10">
        <v>5.9347930479014645E-5</v>
      </c>
      <c r="S8350" s="10">
        <v>5.8063935342957007E-5</v>
      </c>
      <c r="T8350" s="10">
        <v>0</v>
      </c>
      <c r="U8350" s="10">
        <v>1.451E-4</v>
      </c>
      <c r="V8350" s="25"/>
      <c r="W8350" s="25"/>
      <c r="X8350" s="25"/>
      <c r="Y8350" s="25"/>
      <c r="Z8350" s="25"/>
      <c r="AA8350" s="25"/>
    </row>
    <row r="8351" spans="1:27" x14ac:dyDescent="0.35">
      <c r="A8351" s="5">
        <v>8347</v>
      </c>
      <c r="B8351" s="5">
        <v>348</v>
      </c>
      <c r="C8351" s="5">
        <v>12</v>
      </c>
      <c r="D8351" s="25">
        <v>1.1416E-4</v>
      </c>
      <c r="E8351" s="25">
        <v>1.1603999999999999E-4</v>
      </c>
      <c r="F8351" s="25">
        <v>1.0363E-4</v>
      </c>
      <c r="G8351" s="25">
        <v>1.1493999999999999E-4</v>
      </c>
      <c r="H8351" s="25">
        <v>1.2834000000000001E-4</v>
      </c>
      <c r="I8351" s="9">
        <v>1.4862E-4</v>
      </c>
      <c r="J8351" s="9">
        <v>1.5038000000000001E-4</v>
      </c>
      <c r="K8351" s="9">
        <v>1.9073000000000001E-4</v>
      </c>
      <c r="L8351" s="9">
        <v>2.0829E-4</v>
      </c>
      <c r="M8351" s="9">
        <v>1.5951E-4</v>
      </c>
      <c r="N8351" s="9">
        <v>1.2988E-4</v>
      </c>
      <c r="O8351" s="9">
        <v>1.6430000000000001E-4</v>
      </c>
      <c r="P8351" s="9">
        <v>1.3375999999999999E-4</v>
      </c>
      <c r="Q8351" s="9">
        <v>1.0616E-4</v>
      </c>
      <c r="R8351" s="10">
        <v>6.1467759353089834E-5</v>
      </c>
      <c r="S8351" s="10">
        <v>4.0304210973834654E-5</v>
      </c>
      <c r="T8351" s="10">
        <v>0</v>
      </c>
      <c r="U8351" s="10">
        <v>1.451E-4</v>
      </c>
      <c r="V8351" s="25"/>
      <c r="W8351" s="25"/>
      <c r="X8351" s="25"/>
      <c r="Y8351" s="25"/>
      <c r="Z8351" s="25"/>
      <c r="AA8351" s="25"/>
    </row>
    <row r="8352" spans="1:27" x14ac:dyDescent="0.35">
      <c r="A8352" s="5">
        <v>8348</v>
      </c>
      <c r="B8352" s="5">
        <v>348</v>
      </c>
      <c r="C8352" s="5">
        <v>12</v>
      </c>
      <c r="D8352" s="25">
        <v>1.1416E-4</v>
      </c>
      <c r="E8352" s="25">
        <v>1.1506E-4</v>
      </c>
      <c r="F8352" s="25">
        <v>9.7510000000000007E-5</v>
      </c>
      <c r="G8352" s="25">
        <v>1.0859E-4</v>
      </c>
      <c r="H8352" s="25">
        <v>1.3375999999999999E-4</v>
      </c>
      <c r="I8352" s="9">
        <v>1.4179000000000001E-4</v>
      </c>
      <c r="J8352" s="9">
        <v>1.4561000000000001E-4</v>
      </c>
      <c r="K8352" s="9">
        <v>1.7803E-4</v>
      </c>
      <c r="L8352" s="9">
        <v>1.7412999999999999E-4</v>
      </c>
      <c r="M8352" s="9">
        <v>1.5042000000000001E-4</v>
      </c>
      <c r="N8352" s="9">
        <v>1.2066999999999999E-4</v>
      </c>
      <c r="O8352" s="9">
        <v>1.2983E-4</v>
      </c>
      <c r="P8352" s="9">
        <v>1.1489000000000001E-4</v>
      </c>
      <c r="Q8352" s="9">
        <v>1.0192E-4</v>
      </c>
      <c r="R8352" s="10">
        <v>6.8361067757161594E-5</v>
      </c>
      <c r="S8352" s="10">
        <v>3.3125162898091702E-5</v>
      </c>
      <c r="T8352" s="10">
        <v>0</v>
      </c>
      <c r="U8352" s="10">
        <v>1.451E-4</v>
      </c>
      <c r="V8352" s="25"/>
      <c r="W8352" s="25"/>
      <c r="X8352" s="25"/>
      <c r="Y8352" s="25"/>
      <c r="Z8352" s="25"/>
      <c r="AA8352" s="25"/>
    </row>
    <row r="8353" spans="1:27" x14ac:dyDescent="0.35">
      <c r="A8353" s="5">
        <v>8349</v>
      </c>
      <c r="B8353" s="5">
        <v>348</v>
      </c>
      <c r="C8353" s="5">
        <v>12</v>
      </c>
      <c r="D8353" s="25">
        <v>1.1416E-4</v>
      </c>
      <c r="E8353" s="25">
        <v>1.2201000000000001E-4</v>
      </c>
      <c r="F8353" s="25">
        <v>9.4920000000000006E-5</v>
      </c>
      <c r="G8353" s="25">
        <v>6.2459999999999995E-5</v>
      </c>
      <c r="H8353" s="25">
        <v>6.4369999999999995E-5</v>
      </c>
      <c r="I8353" s="9">
        <v>1.3584E-4</v>
      </c>
      <c r="J8353" s="9">
        <v>1.392E-4</v>
      </c>
      <c r="K8353" s="9">
        <v>1.7802000000000001E-4</v>
      </c>
      <c r="L8353" s="9">
        <v>1.4062999999999999E-4</v>
      </c>
      <c r="M8353" s="9">
        <v>1.3507999999999999E-4</v>
      </c>
      <c r="N8353" s="9">
        <v>1.1307E-4</v>
      </c>
      <c r="O8353" s="9">
        <v>8.4919999999999993E-5</v>
      </c>
      <c r="P8353" s="9">
        <v>8.6139999999999999E-5</v>
      </c>
      <c r="Q8353" s="9">
        <v>8.8129999999999998E-5</v>
      </c>
      <c r="R8353" s="10">
        <v>7.1442601538417925E-5</v>
      </c>
      <c r="S8353" s="10">
        <v>3.1693971403393999E-5</v>
      </c>
      <c r="T8353" s="10">
        <v>0</v>
      </c>
      <c r="U8353" s="10">
        <v>1.451E-4</v>
      </c>
      <c r="V8353" s="25"/>
      <c r="W8353" s="25"/>
      <c r="X8353" s="25"/>
      <c r="Y8353" s="25"/>
      <c r="Z8353" s="25"/>
      <c r="AA8353" s="25"/>
    </row>
    <row r="8354" spans="1:27" x14ac:dyDescent="0.35">
      <c r="A8354" s="5">
        <v>8350</v>
      </c>
      <c r="B8354" s="5">
        <v>348</v>
      </c>
      <c r="C8354" s="5">
        <v>12</v>
      </c>
      <c r="D8354" s="25">
        <v>1.1416E-4</v>
      </c>
      <c r="E8354" s="25">
        <v>1.1501E-4</v>
      </c>
      <c r="F8354" s="25">
        <v>1.1135E-4</v>
      </c>
      <c r="G8354" s="25">
        <v>6.3449999999999997E-5</v>
      </c>
      <c r="H8354" s="25">
        <v>6.5560000000000002E-5</v>
      </c>
      <c r="I8354" s="9">
        <v>1.2931999999999999E-4</v>
      </c>
      <c r="J8354" s="9">
        <v>1.3158000000000001E-4</v>
      </c>
      <c r="K8354" s="9">
        <v>1.9074000000000001E-4</v>
      </c>
      <c r="L8354" s="9">
        <v>9.8090000000000004E-5</v>
      </c>
      <c r="M8354" s="9">
        <v>1.1352E-4</v>
      </c>
      <c r="N8354" s="9">
        <v>1.0546E-4</v>
      </c>
      <c r="O8354" s="9">
        <v>8.7860000000000002E-5</v>
      </c>
      <c r="P8354" s="9">
        <v>8.7659999999999998E-5</v>
      </c>
      <c r="Q8354" s="9">
        <v>8.831E-5</v>
      </c>
      <c r="R8354" s="10">
        <v>6.932537907934256E-5</v>
      </c>
      <c r="S8354" s="10">
        <v>3.1156304904562188E-5</v>
      </c>
      <c r="T8354" s="10">
        <v>0</v>
      </c>
      <c r="U8354" s="10">
        <v>1.451E-4</v>
      </c>
      <c r="V8354" s="25"/>
      <c r="W8354" s="25"/>
      <c r="X8354" s="25"/>
      <c r="Y8354" s="25"/>
      <c r="Z8354" s="25"/>
      <c r="AA8354" s="25"/>
    </row>
    <row r="8355" spans="1:27" x14ac:dyDescent="0.35">
      <c r="A8355" s="5">
        <v>8351</v>
      </c>
      <c r="B8355" s="5">
        <v>348</v>
      </c>
      <c r="C8355" s="5">
        <v>12</v>
      </c>
      <c r="D8355" s="25">
        <v>1.1416E-4</v>
      </c>
      <c r="E8355" s="25">
        <v>1.2328E-4</v>
      </c>
      <c r="F8355" s="25">
        <v>1.1064E-4</v>
      </c>
      <c r="G8355" s="25">
        <v>5.5989999999999998E-5</v>
      </c>
      <c r="H8355" s="25">
        <v>7.5859999999999995E-5</v>
      </c>
      <c r="I8355" s="9">
        <v>1.3082999999999999E-4</v>
      </c>
      <c r="J8355" s="9">
        <v>1.2165E-4</v>
      </c>
      <c r="K8355" s="9">
        <v>1.8226000000000001E-4</v>
      </c>
      <c r="L8355" s="9">
        <v>9.1050000000000004E-5</v>
      </c>
      <c r="M8355" s="9">
        <v>9.8930000000000003E-5</v>
      </c>
      <c r="N8355" s="9">
        <v>9.9710000000000006E-5</v>
      </c>
      <c r="O8355" s="9">
        <v>7.8689999999999994E-5</v>
      </c>
      <c r="P8355" s="9">
        <v>7.2659999999999999E-5</v>
      </c>
      <c r="Q8355" s="9">
        <v>6.737E-5</v>
      </c>
      <c r="R8355" s="10">
        <v>6.5874360960782545E-5</v>
      </c>
      <c r="S8355" s="10">
        <v>2.7227931800343551E-5</v>
      </c>
      <c r="T8355" s="10">
        <v>0</v>
      </c>
      <c r="U8355" s="10">
        <v>1.451E-4</v>
      </c>
      <c r="V8355" s="25"/>
      <c r="W8355" s="25"/>
      <c r="X8355" s="25"/>
      <c r="Y8355" s="25"/>
      <c r="Z8355" s="25"/>
      <c r="AA8355" s="25"/>
    </row>
    <row r="8356" spans="1:27" x14ac:dyDescent="0.35">
      <c r="A8356" s="5">
        <v>8352</v>
      </c>
      <c r="B8356" s="5">
        <v>348</v>
      </c>
      <c r="C8356" s="5">
        <v>12</v>
      </c>
      <c r="D8356" s="25">
        <v>1.1416E-4</v>
      </c>
      <c r="E8356" s="25">
        <v>1.1932E-4</v>
      </c>
      <c r="F8356" s="25">
        <v>1.1260999999999999E-4</v>
      </c>
      <c r="G8356" s="25">
        <v>5.817E-5</v>
      </c>
      <c r="H8356" s="25">
        <v>7.4109999999999993E-5</v>
      </c>
      <c r="I8356" s="9">
        <v>1.2887E-4</v>
      </c>
      <c r="J8356" s="9">
        <v>1.131E-4</v>
      </c>
      <c r="K8356" s="9">
        <v>1.6954000000000001E-4</v>
      </c>
      <c r="L8356" s="9">
        <v>8.14E-5</v>
      </c>
      <c r="M8356" s="9">
        <v>8.6269999999999999E-5</v>
      </c>
      <c r="N8356" s="9">
        <v>9.056E-5</v>
      </c>
      <c r="O8356" s="9">
        <v>6.3310000000000002E-5</v>
      </c>
      <c r="P8356" s="9">
        <v>6.1119999999999998E-5</v>
      </c>
      <c r="Q8356" s="9">
        <v>5.9290000000000003E-5</v>
      </c>
      <c r="R8356" s="10">
        <v>5.413662811083856E-5</v>
      </c>
      <c r="S8356" s="10">
        <v>1.6621388913237453E-5</v>
      </c>
      <c r="T8356" s="10">
        <v>0</v>
      </c>
      <c r="U8356" s="10">
        <v>1.451E-4</v>
      </c>
      <c r="V8356" s="25"/>
      <c r="W8356" s="25"/>
      <c r="X8356" s="25"/>
      <c r="Y8356" s="25"/>
      <c r="Z8356" s="25"/>
      <c r="AA8356" s="25"/>
    </row>
    <row r="8357" spans="1:27" x14ac:dyDescent="0.35">
      <c r="A8357" s="5">
        <v>8353</v>
      </c>
      <c r="B8357" s="5">
        <v>349</v>
      </c>
      <c r="C8357" s="5">
        <v>12</v>
      </c>
      <c r="D8357" s="25">
        <v>1.1416E-4</v>
      </c>
      <c r="E8357" s="25">
        <v>1.1445E-4</v>
      </c>
      <c r="F8357" s="25">
        <v>1.0629E-4</v>
      </c>
      <c r="G8357" s="25">
        <v>5.3229999999999997E-5</v>
      </c>
      <c r="H8357" s="25">
        <v>4.2120000000000003E-5</v>
      </c>
      <c r="I8357" s="9">
        <v>1.2E-4</v>
      </c>
      <c r="J8357" s="9">
        <v>1.0599000000000001E-4</v>
      </c>
      <c r="K8357" s="9">
        <v>1.6954000000000001E-4</v>
      </c>
      <c r="L8357" s="9">
        <v>6.7280000000000006E-5</v>
      </c>
      <c r="M8357" s="9">
        <v>7.4309999999999998E-5</v>
      </c>
      <c r="N8357" s="9">
        <v>8.1290000000000003E-5</v>
      </c>
      <c r="O8357" s="9">
        <v>6.8319999999999996E-5</v>
      </c>
      <c r="P8357" s="9">
        <v>6.0829999999999999E-5</v>
      </c>
      <c r="Q8357" s="9">
        <v>5.3640000000000001E-5</v>
      </c>
      <c r="R8357" s="10">
        <v>4.4691339212134919E-5</v>
      </c>
      <c r="S8357" s="10">
        <v>1.2224311706578206E-5</v>
      </c>
      <c r="T8357" s="10">
        <v>0</v>
      </c>
      <c r="U8357" s="10">
        <v>1.4362000000000001E-4</v>
      </c>
      <c r="V8357" s="25"/>
      <c r="W8357" s="25"/>
      <c r="X8357" s="25"/>
      <c r="Y8357" s="25"/>
      <c r="Z8357" s="25"/>
      <c r="AA8357" s="25"/>
    </row>
    <row r="8358" spans="1:27" x14ac:dyDescent="0.35">
      <c r="A8358" s="5">
        <v>8354</v>
      </c>
      <c r="B8358" s="5">
        <v>349</v>
      </c>
      <c r="C8358" s="5">
        <v>12</v>
      </c>
      <c r="D8358" s="25">
        <v>1.1416E-4</v>
      </c>
      <c r="E8358" s="25">
        <v>1.0844E-4</v>
      </c>
      <c r="F8358" s="25">
        <v>1.0179999999999999E-4</v>
      </c>
      <c r="G8358" s="25">
        <v>6.0449999999999999E-5</v>
      </c>
      <c r="H8358" s="25">
        <v>4.2710000000000003E-5</v>
      </c>
      <c r="I8358" s="9">
        <v>1.1434000000000001E-4</v>
      </c>
      <c r="J8358" s="9">
        <v>1.0124E-4</v>
      </c>
      <c r="K8358" s="9">
        <v>1.8437999999999999E-4</v>
      </c>
      <c r="L8358" s="9">
        <v>6.8479999999999995E-5</v>
      </c>
      <c r="M8358" s="9">
        <v>6.6619999999999996E-5</v>
      </c>
      <c r="N8358" s="9">
        <v>7.224E-5</v>
      </c>
      <c r="O8358" s="9">
        <v>3.4910000000000003E-5</v>
      </c>
      <c r="P8358" s="9">
        <v>4.5970000000000002E-5</v>
      </c>
      <c r="Q8358" s="9">
        <v>5.6339999999999999E-5</v>
      </c>
      <c r="R8358" s="10">
        <v>3.9041975586252301E-5</v>
      </c>
      <c r="S8358" s="10">
        <v>7.0000232723945289E-6</v>
      </c>
      <c r="T8358" s="10">
        <v>0</v>
      </c>
      <c r="U8358" s="10">
        <v>1.4362000000000001E-4</v>
      </c>
      <c r="V8358" s="25"/>
      <c r="W8358" s="25"/>
      <c r="X8358" s="25"/>
      <c r="Y8358" s="25"/>
      <c r="Z8358" s="25"/>
      <c r="AA8358" s="25"/>
    </row>
    <row r="8359" spans="1:27" x14ac:dyDescent="0.35">
      <c r="A8359" s="5">
        <v>8355</v>
      </c>
      <c r="B8359" s="5">
        <v>349</v>
      </c>
      <c r="C8359" s="5">
        <v>12</v>
      </c>
      <c r="D8359" s="25">
        <v>1.1416E-4</v>
      </c>
      <c r="E8359" s="25">
        <v>1.1519999999999999E-4</v>
      </c>
      <c r="F8359" s="25">
        <v>9.9240000000000005E-5</v>
      </c>
      <c r="G8359" s="25">
        <v>6.2299999999999996E-5</v>
      </c>
      <c r="H8359" s="25">
        <v>4.0229999999999999E-5</v>
      </c>
      <c r="I8359" s="9">
        <v>1.1056999999999999E-4</v>
      </c>
      <c r="J8359" s="9">
        <v>9.8960000000000001E-5</v>
      </c>
      <c r="K8359" s="9">
        <v>1.7379E-4</v>
      </c>
      <c r="L8359" s="9">
        <v>4.2219999999999999E-5</v>
      </c>
      <c r="M8359" s="9">
        <v>5.7540000000000001E-5</v>
      </c>
      <c r="N8359" s="9">
        <v>6.5710000000000006E-5</v>
      </c>
      <c r="O8359" s="9">
        <v>2.1299999999999999E-5</v>
      </c>
      <c r="P8359" s="9">
        <v>4.1709999999999999E-5</v>
      </c>
      <c r="Q8359" s="9">
        <v>6.101E-5</v>
      </c>
      <c r="R8359" s="10">
        <v>2.9527950330848327E-5</v>
      </c>
      <c r="S8359" s="10">
        <v>2.0949980687441134E-6</v>
      </c>
      <c r="T8359" s="10">
        <v>0</v>
      </c>
      <c r="U8359" s="10">
        <v>1.4362000000000001E-4</v>
      </c>
      <c r="V8359" s="25"/>
      <c r="W8359" s="25"/>
      <c r="X8359" s="25"/>
      <c r="Y8359" s="25"/>
      <c r="Z8359" s="25"/>
      <c r="AA8359" s="25"/>
    </row>
    <row r="8360" spans="1:27" x14ac:dyDescent="0.35">
      <c r="A8360" s="5">
        <v>8356</v>
      </c>
      <c r="B8360" s="5">
        <v>349</v>
      </c>
      <c r="C8360" s="5">
        <v>12</v>
      </c>
      <c r="D8360" s="25">
        <v>1.1416E-4</v>
      </c>
      <c r="E8360" s="25">
        <v>1.1366000000000001E-4</v>
      </c>
      <c r="F8360" s="25">
        <v>1.1053E-4</v>
      </c>
      <c r="G8360" s="25">
        <v>5.5500000000000001E-5</v>
      </c>
      <c r="H8360" s="25">
        <v>4.3779999999999998E-5</v>
      </c>
      <c r="I8360" s="9">
        <v>1.0888E-4</v>
      </c>
      <c r="J8360" s="9">
        <v>9.7960000000000004E-5</v>
      </c>
      <c r="K8360" s="9">
        <v>1.6954000000000001E-4</v>
      </c>
      <c r="L8360" s="9">
        <v>2.6529999999999998E-5</v>
      </c>
      <c r="M8360" s="9">
        <v>4.969E-5</v>
      </c>
      <c r="N8360" s="9">
        <v>6.198E-5</v>
      </c>
      <c r="O8360" s="9">
        <v>2.1019999999999999E-5</v>
      </c>
      <c r="P8360" s="9">
        <v>5.1459999999999999E-5</v>
      </c>
      <c r="Q8360" s="9">
        <v>8.0610000000000002E-5</v>
      </c>
      <c r="R8360" s="10">
        <v>2.3507083114225362E-5</v>
      </c>
      <c r="S8360" s="10">
        <v>1.363503978572757E-7</v>
      </c>
      <c r="T8360" s="10">
        <v>0</v>
      </c>
      <c r="U8360" s="10">
        <v>1.4362000000000001E-4</v>
      </c>
      <c r="V8360" s="25"/>
      <c r="W8360" s="25"/>
      <c r="X8360" s="25"/>
      <c r="Y8360" s="25"/>
      <c r="Z8360" s="25"/>
      <c r="AA8360" s="25"/>
    </row>
    <row r="8361" spans="1:27" x14ac:dyDescent="0.35">
      <c r="A8361" s="5">
        <v>8357</v>
      </c>
      <c r="B8361" s="5">
        <v>349</v>
      </c>
      <c r="C8361" s="5">
        <v>12</v>
      </c>
      <c r="D8361" s="25">
        <v>1.1416E-4</v>
      </c>
      <c r="E8361" s="25">
        <v>1.1177E-4</v>
      </c>
      <c r="F8361" s="25">
        <v>1.0828999999999999E-4</v>
      </c>
      <c r="G8361" s="25">
        <v>5.2030000000000002E-5</v>
      </c>
      <c r="H8361" s="25">
        <v>3.892E-5</v>
      </c>
      <c r="I8361" s="9">
        <v>1.0986E-4</v>
      </c>
      <c r="J8361" s="9">
        <v>9.8510000000000004E-5</v>
      </c>
      <c r="K8361" s="9">
        <v>1.5894999999999999E-4</v>
      </c>
      <c r="L8361" s="9">
        <v>2.27E-5</v>
      </c>
      <c r="M8361" s="9">
        <v>4.8449999999999999E-5</v>
      </c>
      <c r="N8361" s="9">
        <v>6.4519999999999999E-5</v>
      </c>
      <c r="O8361" s="9">
        <v>2.266E-5</v>
      </c>
      <c r="P8361" s="9">
        <v>5.8390000000000002E-5</v>
      </c>
      <c r="Q8361" s="9">
        <v>9.2800000000000006E-5</v>
      </c>
      <c r="R8361" s="10">
        <v>1.8697643594199619E-5</v>
      </c>
      <c r="S8361" s="10">
        <v>0</v>
      </c>
      <c r="T8361" s="10">
        <v>0</v>
      </c>
      <c r="U8361" s="10">
        <v>1.4362000000000001E-4</v>
      </c>
      <c r="V8361" s="25"/>
      <c r="W8361" s="25"/>
      <c r="X8361" s="25"/>
      <c r="Y8361" s="25"/>
      <c r="Z8361" s="25"/>
      <c r="AA8361" s="25"/>
    </row>
    <row r="8362" spans="1:27" x14ac:dyDescent="0.35">
      <c r="A8362" s="5">
        <v>8358</v>
      </c>
      <c r="B8362" s="5">
        <v>349</v>
      </c>
      <c r="C8362" s="5">
        <v>12</v>
      </c>
      <c r="D8362" s="25">
        <v>1.1416E-4</v>
      </c>
      <c r="E8362" s="25">
        <v>1.1454E-4</v>
      </c>
      <c r="F8362" s="25">
        <v>1.0555E-4</v>
      </c>
      <c r="G8362" s="25">
        <v>1.1266E-4</v>
      </c>
      <c r="H8362" s="25">
        <v>7.9939999999999997E-5</v>
      </c>
      <c r="I8362" s="9">
        <v>1.149E-4</v>
      </c>
      <c r="J8362" s="9">
        <v>1.0263E-4</v>
      </c>
      <c r="K8362" s="9">
        <v>1.5894999999999999E-4</v>
      </c>
      <c r="L8362" s="9">
        <v>2.2589999999999999E-5</v>
      </c>
      <c r="M8362" s="9">
        <v>5.2040000000000003E-5</v>
      </c>
      <c r="N8362" s="9">
        <v>7.0850000000000001E-5</v>
      </c>
      <c r="O8362" s="9">
        <v>2.917E-5</v>
      </c>
      <c r="P8362" s="9">
        <v>6.8559999999999994E-5</v>
      </c>
      <c r="Q8362" s="9">
        <v>1.0669E-4</v>
      </c>
      <c r="R8362" s="10">
        <v>1.3544722968473995E-5</v>
      </c>
      <c r="S8362" s="10">
        <v>3.0374699027436444E-7</v>
      </c>
      <c r="T8362" s="10">
        <v>0</v>
      </c>
      <c r="U8362" s="10">
        <v>1.4362000000000001E-4</v>
      </c>
      <c r="V8362" s="25"/>
      <c r="W8362" s="25"/>
      <c r="X8362" s="25"/>
      <c r="Y8362" s="25"/>
      <c r="Z8362" s="25"/>
      <c r="AA8362" s="25"/>
    </row>
    <row r="8363" spans="1:27" x14ac:dyDescent="0.35">
      <c r="A8363" s="5">
        <v>8359</v>
      </c>
      <c r="B8363" s="5">
        <v>349</v>
      </c>
      <c r="C8363" s="5">
        <v>12</v>
      </c>
      <c r="D8363" s="25">
        <v>1.1416E-4</v>
      </c>
      <c r="E8363" s="25">
        <v>1.1290000000000001E-4</v>
      </c>
      <c r="F8363" s="25">
        <v>1.0152E-4</v>
      </c>
      <c r="G8363" s="25">
        <v>1.137E-4</v>
      </c>
      <c r="H8363" s="25">
        <v>8.0400000000000003E-5</v>
      </c>
      <c r="I8363" s="9">
        <v>1.2919E-4</v>
      </c>
      <c r="J8363" s="9">
        <v>1.1430999999999999E-4</v>
      </c>
      <c r="K8363" s="9">
        <v>1.5894999999999999E-4</v>
      </c>
      <c r="L8363" s="9">
        <v>2.7630000000000001E-5</v>
      </c>
      <c r="M8363" s="9">
        <v>5.9049999999999999E-5</v>
      </c>
      <c r="N8363" s="9">
        <v>8.0469999999999994E-5</v>
      </c>
      <c r="O8363" s="9">
        <v>4.5930000000000002E-5</v>
      </c>
      <c r="P8363" s="9">
        <v>7.9560000000000004E-5</v>
      </c>
      <c r="Q8363" s="9">
        <v>1.1238E-4</v>
      </c>
      <c r="R8363" s="10">
        <v>1.0420995535622885E-5</v>
      </c>
      <c r="S8363" s="10">
        <v>4.036643361828992E-7</v>
      </c>
      <c r="T8363" s="10">
        <v>0</v>
      </c>
      <c r="U8363" s="10">
        <v>1.4362000000000001E-4</v>
      </c>
      <c r="V8363" s="25"/>
      <c r="W8363" s="25"/>
      <c r="X8363" s="25"/>
      <c r="Y8363" s="25"/>
      <c r="Z8363" s="25"/>
      <c r="AA8363" s="25"/>
    </row>
    <row r="8364" spans="1:27" x14ac:dyDescent="0.35">
      <c r="A8364" s="5">
        <v>8360</v>
      </c>
      <c r="B8364" s="5">
        <v>349</v>
      </c>
      <c r="C8364" s="5">
        <v>12</v>
      </c>
      <c r="D8364" s="25">
        <v>1.1416E-4</v>
      </c>
      <c r="E8364" s="25">
        <v>1.1137E-4</v>
      </c>
      <c r="F8364" s="25">
        <v>9.7819999999999995E-5</v>
      </c>
      <c r="G8364" s="25">
        <v>1.6048000000000001E-4</v>
      </c>
      <c r="H8364" s="25">
        <v>1.1469E-4</v>
      </c>
      <c r="I8364" s="9">
        <v>1.4030999999999999E-4</v>
      </c>
      <c r="J8364" s="9">
        <v>1.3311E-4</v>
      </c>
      <c r="K8364" s="9">
        <v>1.5894999999999999E-4</v>
      </c>
      <c r="L8364" s="9">
        <v>4.1749999999999998E-5</v>
      </c>
      <c r="M8364" s="9">
        <v>6.8189999999999996E-5</v>
      </c>
      <c r="N8364" s="9">
        <v>9.056E-5</v>
      </c>
      <c r="O8364" s="9">
        <v>6.8029999999999997E-5</v>
      </c>
      <c r="P8364" s="9">
        <v>1.0230000000000001E-4</v>
      </c>
      <c r="Q8364" s="9">
        <v>1.3621999999999999E-4</v>
      </c>
      <c r="R8364" s="10">
        <v>8.6500647016608214E-6</v>
      </c>
      <c r="S8364" s="10">
        <v>7.0728505795144002E-7</v>
      </c>
      <c r="T8364" s="10">
        <v>0</v>
      </c>
      <c r="U8364" s="10">
        <v>1.4362000000000001E-4</v>
      </c>
      <c r="V8364" s="25"/>
      <c r="W8364" s="25"/>
      <c r="X8364" s="25"/>
      <c r="Y8364" s="25"/>
      <c r="Z8364" s="25"/>
      <c r="AA8364" s="25"/>
    </row>
    <row r="8365" spans="1:27" x14ac:dyDescent="0.35">
      <c r="A8365" s="5">
        <v>8361</v>
      </c>
      <c r="B8365" s="5">
        <v>349</v>
      </c>
      <c r="C8365" s="5">
        <v>12</v>
      </c>
      <c r="D8365" s="25">
        <v>1.1416E-4</v>
      </c>
      <c r="E8365" s="25">
        <v>1.1572E-4</v>
      </c>
      <c r="F8365" s="25">
        <v>1.0394E-4</v>
      </c>
      <c r="G8365" s="25">
        <v>1.6370999999999999E-4</v>
      </c>
      <c r="H8365" s="25">
        <v>1.1874E-4</v>
      </c>
      <c r="I8365" s="9">
        <v>1.4407999999999999E-4</v>
      </c>
      <c r="J8365" s="9">
        <v>1.4527E-4</v>
      </c>
      <c r="K8365" s="9">
        <v>1.5683E-4</v>
      </c>
      <c r="L8365" s="9">
        <v>6.1870000000000002E-5</v>
      </c>
      <c r="M8365" s="9">
        <v>8.2739999999999997E-5</v>
      </c>
      <c r="N8365" s="9">
        <v>1.0425E-4</v>
      </c>
      <c r="O8365" s="9">
        <v>1.0085E-4</v>
      </c>
      <c r="P8365" s="9">
        <v>1.3925999999999999E-4</v>
      </c>
      <c r="Q8365" s="9">
        <v>1.7793E-4</v>
      </c>
      <c r="R8365" s="10">
        <v>5.0023060548157076E-6</v>
      </c>
      <c r="S8365" s="10">
        <v>1.7897187239184194E-6</v>
      </c>
      <c r="T8365" s="10">
        <v>7.432246230724845E-6</v>
      </c>
      <c r="U8365" s="10">
        <v>1.4362000000000001E-4</v>
      </c>
      <c r="V8365" s="25"/>
      <c r="W8365" s="25"/>
      <c r="X8365" s="25"/>
      <c r="Y8365" s="25"/>
      <c r="Z8365" s="25"/>
      <c r="AA8365" s="25"/>
    </row>
    <row r="8366" spans="1:27" x14ac:dyDescent="0.35">
      <c r="A8366" s="5">
        <v>8362</v>
      </c>
      <c r="B8366" s="5">
        <v>349</v>
      </c>
      <c r="C8366" s="5">
        <v>12</v>
      </c>
      <c r="D8366" s="25">
        <v>1.1416E-4</v>
      </c>
      <c r="E8366" s="25">
        <v>1.0721999999999999E-4</v>
      </c>
      <c r="F8366" s="25">
        <v>1.1414E-4</v>
      </c>
      <c r="G8366" s="25">
        <v>1.6390999999999999E-4</v>
      </c>
      <c r="H8366" s="25">
        <v>1.1396999999999999E-4</v>
      </c>
      <c r="I8366" s="9">
        <v>1.4302E-4</v>
      </c>
      <c r="J8366" s="9">
        <v>1.4855000000000001E-4</v>
      </c>
      <c r="K8366" s="9">
        <v>1.4411E-4</v>
      </c>
      <c r="L8366" s="9">
        <v>9.1749999999999994E-5</v>
      </c>
      <c r="M8366" s="9">
        <v>1.0676E-4</v>
      </c>
      <c r="N8366" s="9">
        <v>1.2454E-4</v>
      </c>
      <c r="O8366" s="9">
        <v>1.2931999999999999E-4</v>
      </c>
      <c r="P8366" s="9">
        <v>1.5514000000000001E-4</v>
      </c>
      <c r="Q8366" s="9">
        <v>1.8202999999999999E-4</v>
      </c>
      <c r="R8366" s="10">
        <v>4.9615258180035602E-6</v>
      </c>
      <c r="S8366" s="10">
        <v>4.6016126683687083E-6</v>
      </c>
      <c r="T8366" s="10">
        <v>2.0956219394852016E-4</v>
      </c>
      <c r="U8366" s="10">
        <v>1.4362000000000001E-4</v>
      </c>
      <c r="V8366" s="25"/>
      <c r="W8366" s="25"/>
      <c r="X8366" s="25"/>
      <c r="Y8366" s="25"/>
      <c r="Z8366" s="25"/>
      <c r="AA8366" s="25"/>
    </row>
    <row r="8367" spans="1:27" x14ac:dyDescent="0.35">
      <c r="A8367" s="5">
        <v>8363</v>
      </c>
      <c r="B8367" s="5">
        <v>349</v>
      </c>
      <c r="C8367" s="5">
        <v>12</v>
      </c>
      <c r="D8367" s="25">
        <v>1.1416E-4</v>
      </c>
      <c r="E8367" s="25">
        <v>1.0723E-4</v>
      </c>
      <c r="F8367" s="25">
        <v>1.0353000000000001E-4</v>
      </c>
      <c r="G8367" s="25">
        <v>1.6432E-4</v>
      </c>
      <c r="H8367" s="25">
        <v>1.2162E-4</v>
      </c>
      <c r="I8367" s="9">
        <v>1.4020999999999999E-4</v>
      </c>
      <c r="J8367" s="9">
        <v>1.4889999999999999E-4</v>
      </c>
      <c r="K8367" s="9">
        <v>1.2716999999999999E-4</v>
      </c>
      <c r="L8367" s="9">
        <v>1.2032E-4</v>
      </c>
      <c r="M8367" s="9">
        <v>1.3024999999999999E-4</v>
      </c>
      <c r="N8367" s="9">
        <v>1.4266999999999999E-4</v>
      </c>
      <c r="O8367" s="9">
        <v>1.3631E-4</v>
      </c>
      <c r="P8367" s="9">
        <v>1.5629000000000001E-4</v>
      </c>
      <c r="Q8367" s="9">
        <v>1.7759000000000001E-4</v>
      </c>
      <c r="R8367" s="10">
        <v>9.0084079049666593E-6</v>
      </c>
      <c r="S8367" s="10">
        <v>1.0961192946092145E-5</v>
      </c>
      <c r="T8367" s="10">
        <v>4.0702577702373711E-4</v>
      </c>
      <c r="U8367" s="10">
        <v>1.4362000000000001E-4</v>
      </c>
      <c r="V8367" s="25"/>
      <c r="W8367" s="25"/>
      <c r="X8367" s="25"/>
      <c r="Y8367" s="25"/>
      <c r="Z8367" s="25"/>
      <c r="AA8367" s="25"/>
    </row>
    <row r="8368" spans="1:27" x14ac:dyDescent="0.35">
      <c r="A8368" s="5">
        <v>8364</v>
      </c>
      <c r="B8368" s="5">
        <v>349</v>
      </c>
      <c r="C8368" s="5">
        <v>12</v>
      </c>
      <c r="D8368" s="25">
        <v>1.1416E-4</v>
      </c>
      <c r="E8368" s="25">
        <v>1.1586000000000001E-4</v>
      </c>
      <c r="F8368" s="25">
        <v>1.1811000000000001E-4</v>
      </c>
      <c r="G8368" s="25">
        <v>1.6288000000000001E-4</v>
      </c>
      <c r="H8368" s="25">
        <v>1.1826E-4</v>
      </c>
      <c r="I8368" s="9">
        <v>1.3971E-4</v>
      </c>
      <c r="J8368" s="9">
        <v>1.4768999999999999E-4</v>
      </c>
      <c r="K8368" s="9">
        <v>1.1869E-4</v>
      </c>
      <c r="L8368" s="9">
        <v>1.3212E-4</v>
      </c>
      <c r="M8368" s="9">
        <v>1.4517999999999999E-4</v>
      </c>
      <c r="N8368" s="9">
        <v>1.5637999999999999E-4</v>
      </c>
      <c r="O8368" s="9">
        <v>1.3781000000000001E-4</v>
      </c>
      <c r="P8368" s="9">
        <v>1.5442E-4</v>
      </c>
      <c r="Q8368" s="9">
        <v>1.7244E-4</v>
      </c>
      <c r="R8368" s="10">
        <v>1.2548198035303985E-5</v>
      </c>
      <c r="S8368" s="10">
        <v>1.5486634775168942E-5</v>
      </c>
      <c r="T8368" s="10">
        <v>4.6174102353280618E-4</v>
      </c>
      <c r="U8368" s="10">
        <v>1.4362000000000001E-4</v>
      </c>
      <c r="V8368" s="25"/>
      <c r="W8368" s="25"/>
      <c r="X8368" s="25"/>
      <c r="Y8368" s="25"/>
      <c r="Z8368" s="25"/>
      <c r="AA8368" s="25"/>
    </row>
    <row r="8369" spans="1:27" x14ac:dyDescent="0.35">
      <c r="A8369" s="5">
        <v>8365</v>
      </c>
      <c r="B8369" s="5">
        <v>349</v>
      </c>
      <c r="C8369" s="5">
        <v>12</v>
      </c>
      <c r="D8369" s="25">
        <v>1.1416E-4</v>
      </c>
      <c r="E8369" s="25">
        <v>1.1345000000000001E-4</v>
      </c>
      <c r="F8369" s="25">
        <v>1.1977E-4</v>
      </c>
      <c r="G8369" s="25">
        <v>1.6573E-4</v>
      </c>
      <c r="H8369" s="25">
        <v>1.1696000000000001E-4</v>
      </c>
      <c r="I8369" s="9">
        <v>1.3656000000000001E-4</v>
      </c>
      <c r="J8369" s="9">
        <v>1.4553999999999999E-4</v>
      </c>
      <c r="K8369" s="9">
        <v>1.0385E-4</v>
      </c>
      <c r="L8369" s="9">
        <v>1.3642E-4</v>
      </c>
      <c r="M8369" s="9">
        <v>1.5165E-4</v>
      </c>
      <c r="N8369" s="9">
        <v>1.6550000000000001E-4</v>
      </c>
      <c r="O8369" s="9">
        <v>1.3086E-4</v>
      </c>
      <c r="P8369" s="9">
        <v>1.4857E-4</v>
      </c>
      <c r="Q8369" s="9">
        <v>1.6750000000000001E-4</v>
      </c>
      <c r="R8369" s="10">
        <v>1.3612926132141716E-5</v>
      </c>
      <c r="S8369" s="10">
        <v>1.9283132634199571E-5</v>
      </c>
      <c r="T8369" s="10">
        <v>2.4380482612569536E-4</v>
      </c>
      <c r="U8369" s="10">
        <v>1.4362000000000001E-4</v>
      </c>
      <c r="V8369" s="25"/>
      <c r="W8369" s="25"/>
      <c r="X8369" s="25"/>
      <c r="Y8369" s="25"/>
      <c r="Z8369" s="25"/>
      <c r="AA8369" s="25"/>
    </row>
    <row r="8370" spans="1:27" x14ac:dyDescent="0.35">
      <c r="A8370" s="5">
        <v>8366</v>
      </c>
      <c r="B8370" s="5">
        <v>349</v>
      </c>
      <c r="C8370" s="5">
        <v>12</v>
      </c>
      <c r="D8370" s="25">
        <v>1.1416E-4</v>
      </c>
      <c r="E8370" s="25">
        <v>1.0969E-4</v>
      </c>
      <c r="F8370" s="25">
        <v>1.111E-4</v>
      </c>
      <c r="G8370" s="25">
        <v>1.6019999999999999E-4</v>
      </c>
      <c r="H8370" s="25">
        <v>1.1491E-4</v>
      </c>
      <c r="I8370" s="9">
        <v>1.3578E-4</v>
      </c>
      <c r="J8370" s="9">
        <v>1.4599E-4</v>
      </c>
      <c r="K8370" s="9">
        <v>1.1233E-4</v>
      </c>
      <c r="L8370" s="9">
        <v>1.3214999999999999E-4</v>
      </c>
      <c r="M8370" s="9">
        <v>1.5175E-4</v>
      </c>
      <c r="N8370" s="9">
        <v>1.6988999999999999E-4</v>
      </c>
      <c r="O8370" s="9">
        <v>1.1255E-4</v>
      </c>
      <c r="P8370" s="9">
        <v>1.3593000000000001E-4</v>
      </c>
      <c r="Q8370" s="9">
        <v>1.6008E-4</v>
      </c>
      <c r="R8370" s="10">
        <v>1.0248373079918659E-5</v>
      </c>
      <c r="S8370" s="10">
        <v>2.7383639849871009E-5</v>
      </c>
      <c r="T8370" s="10">
        <v>1.5684075778673459E-4</v>
      </c>
      <c r="U8370" s="10">
        <v>1.4362000000000001E-4</v>
      </c>
      <c r="V8370" s="25"/>
      <c r="W8370" s="25"/>
      <c r="X8370" s="25"/>
      <c r="Y8370" s="25"/>
      <c r="Z8370" s="25"/>
      <c r="AA8370" s="25"/>
    </row>
    <row r="8371" spans="1:27" x14ac:dyDescent="0.35">
      <c r="A8371" s="5">
        <v>8367</v>
      </c>
      <c r="B8371" s="5">
        <v>349</v>
      </c>
      <c r="C8371" s="5">
        <v>12</v>
      </c>
      <c r="D8371" s="25">
        <v>1.1416E-4</v>
      </c>
      <c r="E8371" s="25">
        <v>1.1697E-4</v>
      </c>
      <c r="F8371" s="25">
        <v>1.0957E-4</v>
      </c>
      <c r="G8371" s="25">
        <v>1.6627999999999999E-4</v>
      </c>
      <c r="H8371" s="25">
        <v>1.208E-4</v>
      </c>
      <c r="I8371" s="9">
        <v>1.3401999999999999E-4</v>
      </c>
      <c r="J8371" s="9">
        <v>1.4568E-4</v>
      </c>
      <c r="K8371" s="9">
        <v>1.2928000000000001E-4</v>
      </c>
      <c r="L8371" s="9">
        <v>1.1703E-4</v>
      </c>
      <c r="M8371" s="9">
        <v>1.4584999999999999E-4</v>
      </c>
      <c r="N8371" s="9">
        <v>1.693E-4</v>
      </c>
      <c r="O8371" s="9">
        <v>1.2907000000000001E-4</v>
      </c>
      <c r="P8371" s="9">
        <v>1.4087E-4</v>
      </c>
      <c r="Q8371" s="9">
        <v>1.5394000000000001E-4</v>
      </c>
      <c r="R8371" s="10">
        <v>1.4056916794208923E-5</v>
      </c>
      <c r="S8371" s="10">
        <v>4.2709600118908947E-5</v>
      </c>
      <c r="T8371" s="10">
        <v>1.7746608950693101E-4</v>
      </c>
      <c r="U8371" s="10">
        <v>1.4362000000000001E-4</v>
      </c>
      <c r="V8371" s="25"/>
      <c r="W8371" s="25"/>
      <c r="X8371" s="25"/>
      <c r="Y8371" s="25"/>
      <c r="Z8371" s="25"/>
      <c r="AA8371" s="25"/>
    </row>
    <row r="8372" spans="1:27" x14ac:dyDescent="0.35">
      <c r="A8372" s="5">
        <v>8368</v>
      </c>
      <c r="B8372" s="5">
        <v>349</v>
      </c>
      <c r="C8372" s="5">
        <v>12</v>
      </c>
      <c r="D8372" s="25">
        <v>1.1416E-4</v>
      </c>
      <c r="E8372" s="25">
        <v>1.1608E-4</v>
      </c>
      <c r="F8372" s="25">
        <v>1.1327E-4</v>
      </c>
      <c r="G8372" s="25">
        <v>1.5634000000000001E-4</v>
      </c>
      <c r="H8372" s="25">
        <v>1.1491E-4</v>
      </c>
      <c r="I8372" s="9">
        <v>1.359E-4</v>
      </c>
      <c r="J8372" s="9">
        <v>1.4594E-4</v>
      </c>
      <c r="K8372" s="9">
        <v>1.2928000000000001E-4</v>
      </c>
      <c r="L8372" s="9">
        <v>1.2685999999999999E-4</v>
      </c>
      <c r="M8372" s="9">
        <v>1.4239E-4</v>
      </c>
      <c r="N8372" s="9">
        <v>1.6583E-4</v>
      </c>
      <c r="O8372" s="9">
        <v>1.3501999999999999E-4</v>
      </c>
      <c r="P8372" s="9">
        <v>1.2154000000000001E-4</v>
      </c>
      <c r="Q8372" s="9">
        <v>1.0987E-4</v>
      </c>
      <c r="R8372" s="10">
        <v>2.9387661232950916E-5</v>
      </c>
      <c r="S8372" s="10">
        <v>6.1928491124499759E-5</v>
      </c>
      <c r="T8372" s="10">
        <v>0</v>
      </c>
      <c r="U8372" s="10">
        <v>1.4362000000000001E-4</v>
      </c>
      <c r="V8372" s="25"/>
      <c r="W8372" s="25"/>
      <c r="X8372" s="25"/>
      <c r="Y8372" s="25"/>
      <c r="Z8372" s="25"/>
      <c r="AA8372" s="25"/>
    </row>
    <row r="8373" spans="1:27" x14ac:dyDescent="0.35">
      <c r="A8373" s="5">
        <v>8369</v>
      </c>
      <c r="B8373" s="5">
        <v>349</v>
      </c>
      <c r="C8373" s="5">
        <v>12</v>
      </c>
      <c r="D8373" s="25">
        <v>1.1416E-4</v>
      </c>
      <c r="E8373" s="25">
        <v>1.1084E-4</v>
      </c>
      <c r="F8373" s="25">
        <v>1.1696000000000001E-4</v>
      </c>
      <c r="G8373" s="25">
        <v>1.6185E-4</v>
      </c>
      <c r="H8373" s="25">
        <v>1.2107E-4</v>
      </c>
      <c r="I8373" s="9">
        <v>1.4016000000000001E-4</v>
      </c>
      <c r="J8373" s="9">
        <v>1.5063000000000001E-4</v>
      </c>
      <c r="K8373" s="9">
        <v>1.4836E-4</v>
      </c>
      <c r="L8373" s="9">
        <v>1.3291999999999999E-4</v>
      </c>
      <c r="M8373" s="9">
        <v>1.3415000000000001E-4</v>
      </c>
      <c r="N8373" s="9">
        <v>1.5229999999999999E-4</v>
      </c>
      <c r="O8373" s="9">
        <v>1.4098E-4</v>
      </c>
      <c r="P8373" s="9">
        <v>1.2302E-4</v>
      </c>
      <c r="Q8373" s="9">
        <v>1.0705999999999999E-4</v>
      </c>
      <c r="R8373" s="10">
        <v>5.6441282771502561E-5</v>
      </c>
      <c r="S8373" s="10">
        <v>8.4651204264632511E-5</v>
      </c>
      <c r="T8373" s="10">
        <v>0</v>
      </c>
      <c r="U8373" s="10">
        <v>1.4362000000000001E-4</v>
      </c>
      <c r="V8373" s="25"/>
      <c r="W8373" s="25"/>
      <c r="X8373" s="25"/>
      <c r="Y8373" s="25"/>
      <c r="Z8373" s="25"/>
      <c r="AA8373" s="25"/>
    </row>
    <row r="8374" spans="1:27" x14ac:dyDescent="0.35">
      <c r="A8374" s="5">
        <v>8370</v>
      </c>
      <c r="B8374" s="5">
        <v>349</v>
      </c>
      <c r="C8374" s="5">
        <v>12</v>
      </c>
      <c r="D8374" s="25">
        <v>1.1416E-4</v>
      </c>
      <c r="E8374" s="25">
        <v>1.0791E-4</v>
      </c>
      <c r="F8374" s="25">
        <v>1.1943E-4</v>
      </c>
      <c r="G8374" s="25">
        <v>1.5726999999999999E-4</v>
      </c>
      <c r="H8374" s="25">
        <v>1.2082E-4</v>
      </c>
      <c r="I8374" s="9">
        <v>1.4919999999999999E-4</v>
      </c>
      <c r="J8374" s="9">
        <v>1.5699E-4</v>
      </c>
      <c r="K8374" s="9">
        <v>1.4200000000000001E-4</v>
      </c>
      <c r="L8374" s="9">
        <v>1.3892E-4</v>
      </c>
      <c r="M8374" s="9">
        <v>1.2804E-4</v>
      </c>
      <c r="N8374" s="9">
        <v>1.3908E-4</v>
      </c>
      <c r="O8374" s="9">
        <v>1.4130999999999999E-4</v>
      </c>
      <c r="P8374" s="9">
        <v>1.2836999999999999E-4</v>
      </c>
      <c r="Q8374" s="9">
        <v>1.1736E-4</v>
      </c>
      <c r="R8374" s="10">
        <v>9.6281391773345301E-5</v>
      </c>
      <c r="S8374" s="10">
        <v>1.1427873835207392E-4</v>
      </c>
      <c r="T8374" s="10">
        <v>0</v>
      </c>
      <c r="U8374" s="10">
        <v>1.4362000000000001E-4</v>
      </c>
      <c r="V8374" s="25"/>
      <c r="W8374" s="25"/>
      <c r="X8374" s="25"/>
      <c r="Y8374" s="25"/>
      <c r="Z8374" s="25"/>
      <c r="AA8374" s="25"/>
    </row>
    <row r="8375" spans="1:27" x14ac:dyDescent="0.35">
      <c r="A8375" s="5">
        <v>8371</v>
      </c>
      <c r="B8375" s="5">
        <v>349</v>
      </c>
      <c r="C8375" s="5">
        <v>12</v>
      </c>
      <c r="D8375" s="25">
        <v>1.1416E-4</v>
      </c>
      <c r="E8375" s="25">
        <v>1.1218999999999999E-4</v>
      </c>
      <c r="F8375" s="25">
        <v>1.1977999999999999E-4</v>
      </c>
      <c r="G8375" s="25">
        <v>1.0979E-4</v>
      </c>
      <c r="H8375" s="25">
        <v>7.7459999999999994E-5</v>
      </c>
      <c r="I8375" s="9">
        <v>1.4847999999999999E-4</v>
      </c>
      <c r="J8375" s="9">
        <v>1.5061E-4</v>
      </c>
      <c r="K8375" s="9">
        <v>1.3987E-4</v>
      </c>
      <c r="L8375" s="9">
        <v>1.407E-4</v>
      </c>
      <c r="M8375" s="9">
        <v>1.2673E-4</v>
      </c>
      <c r="N8375" s="9">
        <v>1.3002000000000001E-4</v>
      </c>
      <c r="O8375" s="9">
        <v>1.415E-4</v>
      </c>
      <c r="P8375" s="9">
        <v>1.2294000000000001E-4</v>
      </c>
      <c r="Q8375" s="9">
        <v>1.0641000000000001E-4</v>
      </c>
      <c r="R8375" s="10">
        <v>1.3135957733179384E-4</v>
      </c>
      <c r="S8375" s="10">
        <v>1.4289313361249596E-4</v>
      </c>
      <c r="T8375" s="10">
        <v>0</v>
      </c>
      <c r="U8375" s="10">
        <v>1.4362000000000001E-4</v>
      </c>
      <c r="V8375" s="25"/>
      <c r="W8375" s="25"/>
      <c r="X8375" s="25"/>
      <c r="Y8375" s="25"/>
      <c r="Z8375" s="25"/>
      <c r="AA8375" s="25"/>
    </row>
    <row r="8376" spans="1:27" x14ac:dyDescent="0.35">
      <c r="A8376" s="5">
        <v>8372</v>
      </c>
      <c r="B8376" s="5">
        <v>349</v>
      </c>
      <c r="C8376" s="5">
        <v>12</v>
      </c>
      <c r="D8376" s="25">
        <v>1.1416E-4</v>
      </c>
      <c r="E8376" s="25">
        <v>1.1226999999999999E-4</v>
      </c>
      <c r="F8376" s="25">
        <v>1.119E-4</v>
      </c>
      <c r="G8376" s="25">
        <v>1.1005000000000001E-4</v>
      </c>
      <c r="H8376" s="25">
        <v>8.1160000000000002E-5</v>
      </c>
      <c r="I8376" s="9">
        <v>1.4219999999999999E-4</v>
      </c>
      <c r="J8376" s="9">
        <v>1.4577000000000001E-4</v>
      </c>
      <c r="K8376" s="9">
        <v>1.4412E-4</v>
      </c>
      <c r="L8376" s="9">
        <v>1.4130999999999999E-4</v>
      </c>
      <c r="M8376" s="9">
        <v>1.2530000000000001E-4</v>
      </c>
      <c r="N8376" s="9">
        <v>1.208E-4</v>
      </c>
      <c r="O8376" s="9">
        <v>1.4378000000000001E-4</v>
      </c>
      <c r="P8376" s="9">
        <v>1.2139E-4</v>
      </c>
      <c r="Q8376" s="9">
        <v>1.0114E-4</v>
      </c>
      <c r="R8376" s="10">
        <v>1.5063625551381543E-4</v>
      </c>
      <c r="S8376" s="10">
        <v>1.6243065704742206E-4</v>
      </c>
      <c r="T8376" s="10">
        <v>0</v>
      </c>
      <c r="U8376" s="10">
        <v>1.4362000000000001E-4</v>
      </c>
      <c r="V8376" s="25"/>
      <c r="W8376" s="25"/>
      <c r="X8376" s="25"/>
      <c r="Y8376" s="25"/>
      <c r="Z8376" s="25"/>
      <c r="AA8376" s="25"/>
    </row>
    <row r="8377" spans="1:27" x14ac:dyDescent="0.35">
      <c r="A8377" s="5">
        <v>8373</v>
      </c>
      <c r="B8377" s="5">
        <v>349</v>
      </c>
      <c r="C8377" s="5">
        <v>12</v>
      </c>
      <c r="D8377" s="25">
        <v>1.1416E-4</v>
      </c>
      <c r="E8377" s="25">
        <v>1.1247E-4</v>
      </c>
      <c r="F8377" s="25">
        <v>1.187E-4</v>
      </c>
      <c r="G8377" s="25">
        <v>6.2719999999999996E-5</v>
      </c>
      <c r="H8377" s="25">
        <v>4.121E-5</v>
      </c>
      <c r="I8377" s="9">
        <v>1.3613000000000001E-4</v>
      </c>
      <c r="J8377" s="9">
        <v>1.3912000000000001E-4</v>
      </c>
      <c r="K8377" s="9">
        <v>1.4200000000000001E-4</v>
      </c>
      <c r="L8377" s="9">
        <v>1.4326000000000001E-4</v>
      </c>
      <c r="M8377" s="9">
        <v>1.2355999999999999E-4</v>
      </c>
      <c r="N8377" s="9">
        <v>1.1292E-4</v>
      </c>
      <c r="O8377" s="9">
        <v>8.4569999999999998E-5</v>
      </c>
      <c r="P8377" s="9">
        <v>8.6050000000000005E-5</v>
      </c>
      <c r="Q8377" s="9">
        <v>8.8040000000000004E-5</v>
      </c>
      <c r="R8377" s="10">
        <v>1.6346460181510873E-4</v>
      </c>
      <c r="S8377" s="10">
        <v>1.7623291423144011E-4</v>
      </c>
      <c r="T8377" s="10">
        <v>0</v>
      </c>
      <c r="U8377" s="10">
        <v>1.4362000000000001E-4</v>
      </c>
      <c r="V8377" s="25"/>
      <c r="W8377" s="25"/>
      <c r="X8377" s="25"/>
      <c r="Y8377" s="25"/>
      <c r="Z8377" s="25"/>
      <c r="AA8377" s="25"/>
    </row>
    <row r="8378" spans="1:27" x14ac:dyDescent="0.35">
      <c r="A8378" s="5">
        <v>8374</v>
      </c>
      <c r="B8378" s="5">
        <v>349</v>
      </c>
      <c r="C8378" s="5">
        <v>12</v>
      </c>
      <c r="D8378" s="25">
        <v>1.1416E-4</v>
      </c>
      <c r="E8378" s="25">
        <v>1.1196000000000001E-4</v>
      </c>
      <c r="F8378" s="25">
        <v>1.0409E-4</v>
      </c>
      <c r="G8378" s="25">
        <v>5.431E-5</v>
      </c>
      <c r="H8378" s="25">
        <v>4.5529999999999999E-5</v>
      </c>
      <c r="I8378" s="9">
        <v>1.303E-4</v>
      </c>
      <c r="J8378" s="9">
        <v>1.3124999999999999E-4</v>
      </c>
      <c r="K8378" s="9">
        <v>1.4622999999999999E-4</v>
      </c>
      <c r="L8378" s="9">
        <v>9.7429999999999994E-5</v>
      </c>
      <c r="M8378" s="9">
        <v>1.0957E-4</v>
      </c>
      <c r="N8378" s="9">
        <v>1.0526000000000001E-4</v>
      </c>
      <c r="O8378" s="9">
        <v>8.7940000000000002E-5</v>
      </c>
      <c r="P8378" s="9">
        <v>8.7990000000000003E-5</v>
      </c>
      <c r="Q8378" s="9">
        <v>8.8640000000000005E-5</v>
      </c>
      <c r="R8378" s="10">
        <v>1.7368999497491757E-4</v>
      </c>
      <c r="S8378" s="10">
        <v>1.863638692725338E-4</v>
      </c>
      <c r="T8378" s="10">
        <v>0</v>
      </c>
      <c r="U8378" s="10">
        <v>1.4362000000000001E-4</v>
      </c>
      <c r="V8378" s="25"/>
      <c r="W8378" s="25"/>
      <c r="X8378" s="25"/>
      <c r="Y8378" s="25"/>
      <c r="Z8378" s="25"/>
      <c r="AA8378" s="25"/>
    </row>
    <row r="8379" spans="1:27" x14ac:dyDescent="0.35">
      <c r="A8379" s="5">
        <v>8375</v>
      </c>
      <c r="B8379" s="5">
        <v>349</v>
      </c>
      <c r="C8379" s="5">
        <v>12</v>
      </c>
      <c r="D8379" s="25">
        <v>1.1416E-4</v>
      </c>
      <c r="E8379" s="25">
        <v>1.1713E-4</v>
      </c>
      <c r="F8379" s="25">
        <v>1.1217000000000001E-4</v>
      </c>
      <c r="G8379" s="25">
        <v>5.6539999999999997E-5</v>
      </c>
      <c r="H8379" s="25">
        <v>4.0559999999999998E-5</v>
      </c>
      <c r="I8379" s="9">
        <v>1.3055E-4</v>
      </c>
      <c r="J8379" s="9">
        <v>1.2191E-4</v>
      </c>
      <c r="K8379" s="9">
        <v>1.4622999999999999E-4</v>
      </c>
      <c r="L8379" s="9">
        <v>9.1299999999999997E-5</v>
      </c>
      <c r="M8379" s="9">
        <v>9.8049999999999998E-5</v>
      </c>
      <c r="N8379" s="9">
        <v>9.9569999999999997E-5</v>
      </c>
      <c r="O8379" s="9">
        <v>8.5270000000000002E-5</v>
      </c>
      <c r="P8379" s="9">
        <v>7.5909999999999997E-5</v>
      </c>
      <c r="Q8379" s="9">
        <v>6.7249999999999995E-5</v>
      </c>
      <c r="R8379" s="10">
        <v>1.8158195561195146E-4</v>
      </c>
      <c r="S8379" s="10">
        <v>1.8874643032658502E-4</v>
      </c>
      <c r="T8379" s="10">
        <v>0</v>
      </c>
      <c r="U8379" s="10">
        <v>1.4362000000000001E-4</v>
      </c>
      <c r="V8379" s="25"/>
      <c r="W8379" s="25"/>
      <c r="X8379" s="25"/>
      <c r="Y8379" s="25"/>
      <c r="Z8379" s="25"/>
      <c r="AA8379" s="25"/>
    </row>
    <row r="8380" spans="1:27" x14ac:dyDescent="0.35">
      <c r="A8380" s="5">
        <v>8376</v>
      </c>
      <c r="B8380" s="5">
        <v>349</v>
      </c>
      <c r="C8380" s="5">
        <v>12</v>
      </c>
      <c r="D8380" s="25">
        <v>1.1416E-4</v>
      </c>
      <c r="E8380" s="25">
        <v>1.1567E-4</v>
      </c>
      <c r="F8380" s="25">
        <v>1.0807E-4</v>
      </c>
      <c r="G8380" s="25">
        <v>5.9429999999999999E-5</v>
      </c>
      <c r="H8380" s="25">
        <v>3.79E-5</v>
      </c>
      <c r="I8380" s="9">
        <v>1.2847999999999999E-4</v>
      </c>
      <c r="J8380" s="9">
        <v>1.131E-4</v>
      </c>
      <c r="K8380" s="9">
        <v>1.4622999999999999E-4</v>
      </c>
      <c r="L8380" s="9">
        <v>8.6799999999999996E-5</v>
      </c>
      <c r="M8380" s="9">
        <v>8.7399999999999997E-5</v>
      </c>
      <c r="N8380" s="9">
        <v>9.0439999999999995E-5</v>
      </c>
      <c r="O8380" s="9">
        <v>7.9560000000000004E-5</v>
      </c>
      <c r="P8380" s="9">
        <v>6.9029999999999995E-5</v>
      </c>
      <c r="Q8380" s="9">
        <v>5.9079999999999997E-5</v>
      </c>
      <c r="R8380" s="10">
        <v>1.8354330642552481E-4</v>
      </c>
      <c r="S8380" s="10">
        <v>1.8647227240613552E-4</v>
      </c>
      <c r="T8380" s="10">
        <v>0</v>
      </c>
      <c r="U8380" s="10">
        <v>1.4362000000000001E-4</v>
      </c>
      <c r="V8380" s="25"/>
      <c r="W8380" s="25"/>
      <c r="X8380" s="25"/>
      <c r="Y8380" s="25"/>
      <c r="Z8380" s="25"/>
      <c r="AA8380" s="25"/>
    </row>
    <row r="8381" spans="1:27" x14ac:dyDescent="0.35">
      <c r="A8381" s="5">
        <v>8377</v>
      </c>
      <c r="B8381" s="5">
        <v>350</v>
      </c>
      <c r="C8381" s="5">
        <v>12</v>
      </c>
      <c r="D8381" s="25">
        <v>1.1416E-4</v>
      </c>
      <c r="E8381" s="25">
        <v>1.1618E-4</v>
      </c>
      <c r="F8381" s="25">
        <v>1.3344999999999999E-4</v>
      </c>
      <c r="G8381" s="25">
        <v>5.5640000000000003E-5</v>
      </c>
      <c r="H8381" s="25">
        <v>1.4440000000000001E-5</v>
      </c>
      <c r="I8381" s="9">
        <v>1.2162E-4</v>
      </c>
      <c r="J8381" s="9">
        <v>1.0545E-4</v>
      </c>
      <c r="K8381" s="9">
        <v>1.5472000000000001E-4</v>
      </c>
      <c r="L8381" s="9">
        <v>8.0929999999999999E-5</v>
      </c>
      <c r="M8381" s="9">
        <v>7.8369999999999997E-5</v>
      </c>
      <c r="N8381" s="9">
        <v>8.1160000000000002E-5</v>
      </c>
      <c r="O8381" s="9">
        <v>6.8629999999999999E-5</v>
      </c>
      <c r="P8381" s="9">
        <v>6.1099999999999994E-5</v>
      </c>
      <c r="Q8381" s="9">
        <v>5.3890000000000001E-5</v>
      </c>
      <c r="R8381" s="10">
        <v>1.8571121404983347E-4</v>
      </c>
      <c r="S8381" s="10">
        <v>1.8742599036791402E-4</v>
      </c>
      <c r="T8381" s="10">
        <v>0</v>
      </c>
      <c r="U8381" s="10">
        <v>1.4605E-4</v>
      </c>
      <c r="V8381" s="25"/>
      <c r="W8381" s="25"/>
      <c r="X8381" s="25"/>
      <c r="Y8381" s="25"/>
      <c r="Z8381" s="25"/>
      <c r="AA8381" s="25"/>
    </row>
    <row r="8382" spans="1:27" x14ac:dyDescent="0.35">
      <c r="A8382" s="5">
        <v>8378</v>
      </c>
      <c r="B8382" s="5">
        <v>350</v>
      </c>
      <c r="C8382" s="5">
        <v>12</v>
      </c>
      <c r="D8382" s="25">
        <v>1.1416E-4</v>
      </c>
      <c r="E8382" s="25">
        <v>1.1279E-4</v>
      </c>
      <c r="F8382" s="25">
        <v>1.3699E-4</v>
      </c>
      <c r="G8382" s="25">
        <v>6.3419999999999999E-5</v>
      </c>
      <c r="H8382" s="25">
        <v>1.364E-5</v>
      </c>
      <c r="I8382" s="9">
        <v>1.1443E-4</v>
      </c>
      <c r="J8382" s="9">
        <v>1.0107000000000001E-4</v>
      </c>
      <c r="K8382" s="9">
        <v>1.3564E-4</v>
      </c>
      <c r="L8382" s="9">
        <v>7.148E-5</v>
      </c>
      <c r="M8382" s="9">
        <v>7.0030000000000005E-5</v>
      </c>
      <c r="N8382" s="9">
        <v>7.2219999999999996E-5</v>
      </c>
      <c r="O8382" s="9">
        <v>3.4829999999999997E-5</v>
      </c>
      <c r="P8382" s="9">
        <v>4.5859999999999998E-5</v>
      </c>
      <c r="Q8382" s="9">
        <v>5.6209999999999999E-5</v>
      </c>
      <c r="R8382" s="10">
        <v>1.8830981879635825E-4</v>
      </c>
      <c r="S8382" s="10">
        <v>1.8857029543145981E-4</v>
      </c>
      <c r="T8382" s="10">
        <v>0</v>
      </c>
      <c r="U8382" s="10">
        <v>1.4605E-4</v>
      </c>
      <c r="V8382" s="25"/>
      <c r="W8382" s="25"/>
      <c r="X8382" s="25"/>
      <c r="Y8382" s="25"/>
      <c r="Z8382" s="25"/>
      <c r="AA8382" s="25"/>
    </row>
    <row r="8383" spans="1:27" x14ac:dyDescent="0.35">
      <c r="A8383" s="5">
        <v>8379</v>
      </c>
      <c r="B8383" s="5">
        <v>350</v>
      </c>
      <c r="C8383" s="5">
        <v>12</v>
      </c>
      <c r="D8383" s="25">
        <v>1.1416E-4</v>
      </c>
      <c r="E8383" s="25">
        <v>1.1472999999999999E-4</v>
      </c>
      <c r="F8383" s="25">
        <v>1.2053999999999999E-4</v>
      </c>
      <c r="G8383" s="25">
        <v>5.8069999999999998E-5</v>
      </c>
      <c r="H8383" s="25">
        <v>1.5290000000000001E-5</v>
      </c>
      <c r="I8383" s="9">
        <v>1.1126E-4</v>
      </c>
      <c r="J8383" s="9">
        <v>9.8869999999999994E-5</v>
      </c>
      <c r="K8383" s="9">
        <v>1.2928000000000001E-4</v>
      </c>
      <c r="L8383" s="9">
        <v>4.3139999999999997E-5</v>
      </c>
      <c r="M8383" s="9">
        <v>5.9360000000000001E-5</v>
      </c>
      <c r="N8383" s="9">
        <v>6.5679999999999995E-5</v>
      </c>
      <c r="O8383" s="9">
        <v>2.1610000000000001E-5</v>
      </c>
      <c r="P8383" s="9">
        <v>4.2320000000000001E-5</v>
      </c>
      <c r="Q8383" s="9">
        <v>6.1909999999999995E-5</v>
      </c>
      <c r="R8383" s="10">
        <v>1.9307911866672019E-4</v>
      </c>
      <c r="S8383" s="10">
        <v>1.8918620908394876E-4</v>
      </c>
      <c r="T8383" s="10">
        <v>0</v>
      </c>
      <c r="U8383" s="10">
        <v>1.4605E-4</v>
      </c>
      <c r="V8383" s="25"/>
      <c r="W8383" s="25"/>
      <c r="X8383" s="25"/>
      <c r="Y8383" s="25"/>
      <c r="Z8383" s="25"/>
      <c r="AA8383" s="25"/>
    </row>
    <row r="8384" spans="1:27" x14ac:dyDescent="0.35">
      <c r="A8384" s="5">
        <v>8380</v>
      </c>
      <c r="B8384" s="5">
        <v>350</v>
      </c>
      <c r="C8384" s="5">
        <v>12</v>
      </c>
      <c r="D8384" s="25">
        <v>1.1416E-4</v>
      </c>
      <c r="E8384" s="25">
        <v>1.2057000000000001E-4</v>
      </c>
      <c r="F8384" s="25">
        <v>1.1872E-4</v>
      </c>
      <c r="G8384" s="25">
        <v>5.3779999999999997E-5</v>
      </c>
      <c r="H8384" s="25">
        <v>1.4070000000000001E-5</v>
      </c>
      <c r="I8384" s="9">
        <v>1.0931E-4</v>
      </c>
      <c r="J8384" s="9">
        <v>9.7650000000000002E-5</v>
      </c>
      <c r="K8384" s="9">
        <v>1.2504000000000001E-4</v>
      </c>
      <c r="L8384" s="9">
        <v>2.7100000000000001E-5</v>
      </c>
      <c r="M8384" s="9">
        <v>5.0659999999999999E-5</v>
      </c>
      <c r="N8384" s="9">
        <v>6.2160000000000001E-5</v>
      </c>
      <c r="O8384" s="9">
        <v>2.1129999999999999E-5</v>
      </c>
      <c r="P8384" s="9">
        <v>5.1730000000000001E-5</v>
      </c>
      <c r="Q8384" s="9">
        <v>8.1039999999999997E-5</v>
      </c>
      <c r="R8384" s="10">
        <v>1.9839986512768825E-4</v>
      </c>
      <c r="S8384" s="10">
        <v>1.8894255200773818E-4</v>
      </c>
      <c r="T8384" s="10">
        <v>0</v>
      </c>
      <c r="U8384" s="10">
        <v>1.4605E-4</v>
      </c>
      <c r="V8384" s="25"/>
      <c r="W8384" s="25"/>
      <c r="X8384" s="25"/>
      <c r="Y8384" s="25"/>
      <c r="Z8384" s="25"/>
      <c r="AA8384" s="25"/>
    </row>
    <row r="8385" spans="1:27" x14ac:dyDescent="0.35">
      <c r="A8385" s="5">
        <v>8381</v>
      </c>
      <c r="B8385" s="5">
        <v>350</v>
      </c>
      <c r="C8385" s="5">
        <v>12</v>
      </c>
      <c r="D8385" s="25">
        <v>1.1416E-4</v>
      </c>
      <c r="E8385" s="25">
        <v>1.1150999999999999E-4</v>
      </c>
      <c r="F8385" s="25">
        <v>1.3344E-4</v>
      </c>
      <c r="G8385" s="25">
        <v>6.088E-5</v>
      </c>
      <c r="H8385" s="25">
        <v>1.375E-5</v>
      </c>
      <c r="I8385" s="9">
        <v>1.1103E-4</v>
      </c>
      <c r="J8385" s="9">
        <v>9.8469999999999997E-5</v>
      </c>
      <c r="K8385" s="9">
        <v>1.2504000000000001E-4</v>
      </c>
      <c r="L8385" s="9">
        <v>2.2840000000000002E-5</v>
      </c>
      <c r="M8385" s="9">
        <v>4.9020000000000002E-5</v>
      </c>
      <c r="N8385" s="9">
        <v>6.4800000000000003E-5</v>
      </c>
      <c r="O8385" s="9">
        <v>2.2900000000000001E-5</v>
      </c>
      <c r="P8385" s="9">
        <v>5.8999999999999998E-5</v>
      </c>
      <c r="Q8385" s="9">
        <v>9.3770000000000005E-5</v>
      </c>
      <c r="R8385" s="10">
        <v>1.9844858374407453E-4</v>
      </c>
      <c r="S8385" s="10">
        <v>1.886445796706354E-4</v>
      </c>
      <c r="T8385" s="10">
        <v>0</v>
      </c>
      <c r="U8385" s="10">
        <v>1.4605E-4</v>
      </c>
      <c r="V8385" s="25"/>
      <c r="W8385" s="25"/>
      <c r="X8385" s="25"/>
      <c r="Y8385" s="25"/>
      <c r="Z8385" s="25"/>
      <c r="AA8385" s="25"/>
    </row>
    <row r="8386" spans="1:27" x14ac:dyDescent="0.35">
      <c r="A8386" s="5">
        <v>8382</v>
      </c>
      <c r="B8386" s="5">
        <v>350</v>
      </c>
      <c r="C8386" s="5">
        <v>12</v>
      </c>
      <c r="D8386" s="25">
        <v>1.1416E-4</v>
      </c>
      <c r="E8386" s="25">
        <v>1.199E-4</v>
      </c>
      <c r="F8386" s="25">
        <v>1.2010000000000001E-4</v>
      </c>
      <c r="G8386" s="25">
        <v>1.1056E-4</v>
      </c>
      <c r="H8386" s="25">
        <v>2.671E-5</v>
      </c>
      <c r="I8386" s="9">
        <v>1.1641000000000001E-4</v>
      </c>
      <c r="J8386" s="9">
        <v>1.0258E-4</v>
      </c>
      <c r="K8386" s="9">
        <v>1.2292E-4</v>
      </c>
      <c r="L8386" s="9">
        <v>2.281E-5</v>
      </c>
      <c r="M8386" s="9">
        <v>5.2549999999999997E-5</v>
      </c>
      <c r="N8386" s="9">
        <v>7.1320000000000002E-5</v>
      </c>
      <c r="O8386" s="9">
        <v>2.9289999999999999E-5</v>
      </c>
      <c r="P8386" s="9">
        <v>6.8839999999999998E-5</v>
      </c>
      <c r="Q8386" s="9">
        <v>1.0713999999999999E-4</v>
      </c>
      <c r="R8386" s="10">
        <v>1.9203034478383054E-4</v>
      </c>
      <c r="S8386" s="10">
        <v>1.8898765815524241E-4</v>
      </c>
      <c r="T8386" s="10">
        <v>0</v>
      </c>
      <c r="U8386" s="10">
        <v>1.4605E-4</v>
      </c>
      <c r="V8386" s="25"/>
      <c r="W8386" s="25"/>
      <c r="X8386" s="25"/>
      <c r="Y8386" s="25"/>
      <c r="Z8386" s="25"/>
      <c r="AA8386" s="25"/>
    </row>
    <row r="8387" spans="1:27" x14ac:dyDescent="0.35">
      <c r="A8387" s="5">
        <v>8383</v>
      </c>
      <c r="B8387" s="5">
        <v>350</v>
      </c>
      <c r="C8387" s="5">
        <v>12</v>
      </c>
      <c r="D8387" s="25">
        <v>1.1416E-4</v>
      </c>
      <c r="E8387" s="25">
        <v>1.1133000000000001E-4</v>
      </c>
      <c r="F8387" s="25">
        <v>1.3472000000000001E-4</v>
      </c>
      <c r="G8387" s="25">
        <v>1.0771E-4</v>
      </c>
      <c r="H8387" s="25">
        <v>2.8399999999999999E-5</v>
      </c>
      <c r="I8387" s="9">
        <v>1.3071E-4</v>
      </c>
      <c r="J8387" s="9">
        <v>1.1491E-4</v>
      </c>
      <c r="K8387" s="9">
        <v>1.208E-4</v>
      </c>
      <c r="L8387" s="9">
        <v>2.777E-5</v>
      </c>
      <c r="M8387" s="9">
        <v>5.9460000000000003E-5</v>
      </c>
      <c r="N8387" s="9">
        <v>8.0989999999999995E-5</v>
      </c>
      <c r="O8387" s="9">
        <v>4.6069999999999998E-5</v>
      </c>
      <c r="P8387" s="9">
        <v>7.9800000000000002E-5</v>
      </c>
      <c r="Q8387" s="9">
        <v>1.1273E-4</v>
      </c>
      <c r="R8387" s="10">
        <v>1.8499062366092317E-4</v>
      </c>
      <c r="S8387" s="10">
        <v>1.8925332651460535E-4</v>
      </c>
      <c r="T8387" s="10">
        <v>0</v>
      </c>
      <c r="U8387" s="10">
        <v>1.4605E-4</v>
      </c>
      <c r="V8387" s="25"/>
      <c r="W8387" s="25"/>
      <c r="X8387" s="25"/>
      <c r="Y8387" s="25"/>
      <c r="Z8387" s="25"/>
      <c r="AA8387" s="25"/>
    </row>
    <row r="8388" spans="1:27" x14ac:dyDescent="0.35">
      <c r="A8388" s="5">
        <v>8384</v>
      </c>
      <c r="B8388" s="5">
        <v>350</v>
      </c>
      <c r="C8388" s="5">
        <v>12</v>
      </c>
      <c r="D8388" s="25">
        <v>1.1416E-4</v>
      </c>
      <c r="E8388" s="25">
        <v>1.1985E-4</v>
      </c>
      <c r="F8388" s="25">
        <v>1.3233E-4</v>
      </c>
      <c r="G8388" s="25">
        <v>1.6741999999999999E-4</v>
      </c>
      <c r="H8388" s="25">
        <v>4.0269999999999999E-5</v>
      </c>
      <c r="I8388" s="9">
        <v>1.4289000000000001E-4</v>
      </c>
      <c r="J8388" s="9">
        <v>1.3457000000000001E-4</v>
      </c>
      <c r="K8388" s="9">
        <v>1.1868E-4</v>
      </c>
      <c r="L8388" s="9">
        <v>4.1900000000000002E-5</v>
      </c>
      <c r="M8388" s="9">
        <v>6.8529999999999996E-5</v>
      </c>
      <c r="N8388" s="9">
        <v>9.1089999999999997E-5</v>
      </c>
      <c r="O8388" s="9">
        <v>6.8360000000000003E-5</v>
      </c>
      <c r="P8388" s="9">
        <v>1.0280000000000001E-4</v>
      </c>
      <c r="Q8388" s="9">
        <v>1.3688E-4</v>
      </c>
      <c r="R8388" s="10">
        <v>1.785303628820706E-4</v>
      </c>
      <c r="S8388" s="10">
        <v>1.8873119255999936E-4</v>
      </c>
      <c r="T8388" s="10">
        <v>0</v>
      </c>
      <c r="U8388" s="10">
        <v>1.4605E-4</v>
      </c>
      <c r="V8388" s="25"/>
      <c r="W8388" s="25"/>
      <c r="X8388" s="25"/>
      <c r="Y8388" s="25"/>
      <c r="Z8388" s="25"/>
      <c r="AA8388" s="25"/>
    </row>
    <row r="8389" spans="1:27" x14ac:dyDescent="0.35">
      <c r="A8389" s="5">
        <v>8385</v>
      </c>
      <c r="B8389" s="5">
        <v>350</v>
      </c>
      <c r="C8389" s="5">
        <v>12</v>
      </c>
      <c r="D8389" s="25">
        <v>1.1416E-4</v>
      </c>
      <c r="E8389" s="25">
        <v>1.1680000000000001E-4</v>
      </c>
      <c r="F8389" s="25">
        <v>1.3443E-4</v>
      </c>
      <c r="G8389" s="25">
        <v>1.6684E-4</v>
      </c>
      <c r="H8389" s="25">
        <v>4.0509999999999997E-5</v>
      </c>
      <c r="I8389" s="9">
        <v>1.4584999999999999E-4</v>
      </c>
      <c r="J8389" s="9">
        <v>1.4608000000000001E-4</v>
      </c>
      <c r="K8389" s="9">
        <v>1.526E-4</v>
      </c>
      <c r="L8389" s="9">
        <v>6.2150000000000006E-5</v>
      </c>
      <c r="M8389" s="9">
        <v>8.3120000000000004E-5</v>
      </c>
      <c r="N8389" s="9">
        <v>1.0480999999999999E-4</v>
      </c>
      <c r="O8389" s="9">
        <v>9.9160000000000006E-5</v>
      </c>
      <c r="P8389" s="9">
        <v>1.3692000000000001E-4</v>
      </c>
      <c r="Q8389" s="9">
        <v>1.7494E-4</v>
      </c>
      <c r="R8389" s="10">
        <v>1.7361752296933932E-4</v>
      </c>
      <c r="S8389" s="10">
        <v>1.8800709503248331E-4</v>
      </c>
      <c r="T8389" s="10">
        <v>7.5510264216268404E-7</v>
      </c>
      <c r="U8389" s="10">
        <v>1.4605E-4</v>
      </c>
      <c r="V8389" s="25"/>
      <c r="W8389" s="25"/>
      <c r="X8389" s="25"/>
      <c r="Y8389" s="25"/>
      <c r="Z8389" s="25"/>
      <c r="AA8389" s="25"/>
    </row>
    <row r="8390" spans="1:27" x14ac:dyDescent="0.35">
      <c r="A8390" s="5">
        <v>8386</v>
      </c>
      <c r="B8390" s="5">
        <v>350</v>
      </c>
      <c r="C8390" s="5">
        <v>12</v>
      </c>
      <c r="D8390" s="25">
        <v>1.1416E-4</v>
      </c>
      <c r="E8390" s="25">
        <v>1.1826E-4</v>
      </c>
      <c r="F8390" s="25">
        <v>1.2129E-4</v>
      </c>
      <c r="G8390" s="25">
        <v>1.6316E-4</v>
      </c>
      <c r="H8390" s="25">
        <v>3.9820000000000002E-5</v>
      </c>
      <c r="I8390" s="9">
        <v>1.4516999999999999E-4</v>
      </c>
      <c r="J8390" s="9">
        <v>1.4909999999999999E-4</v>
      </c>
      <c r="K8390" s="9">
        <v>1.5046999999999999E-4</v>
      </c>
      <c r="L8390" s="9">
        <v>9.0489999999999996E-5</v>
      </c>
      <c r="M8390" s="9">
        <v>1.0616999999999999E-4</v>
      </c>
      <c r="N8390" s="9">
        <v>1.2433E-4</v>
      </c>
      <c r="O8390" s="9">
        <v>1.3022000000000001E-4</v>
      </c>
      <c r="P8390" s="9">
        <v>1.5621999999999999E-4</v>
      </c>
      <c r="Q8390" s="9">
        <v>1.8328999999999999E-4</v>
      </c>
      <c r="R8390" s="10">
        <v>1.7533534219018516E-4</v>
      </c>
      <c r="S8390" s="10">
        <v>1.8850951714985135E-4</v>
      </c>
      <c r="T8390" s="10">
        <v>1.5322644626357386E-5</v>
      </c>
      <c r="U8390" s="10">
        <v>1.4605E-4</v>
      </c>
      <c r="V8390" s="25"/>
      <c r="W8390" s="25"/>
      <c r="X8390" s="25"/>
      <c r="Y8390" s="25"/>
      <c r="Z8390" s="25"/>
      <c r="AA8390" s="25"/>
    </row>
    <row r="8391" spans="1:27" x14ac:dyDescent="0.35">
      <c r="A8391" s="5">
        <v>8387</v>
      </c>
      <c r="B8391" s="5">
        <v>350</v>
      </c>
      <c r="C8391" s="5">
        <v>12</v>
      </c>
      <c r="D8391" s="25">
        <v>1.1416E-4</v>
      </c>
      <c r="E8391" s="25">
        <v>1.2155999999999999E-4</v>
      </c>
      <c r="F8391" s="25">
        <v>1.3027000000000001E-4</v>
      </c>
      <c r="G8391" s="25">
        <v>1.6498000000000001E-4</v>
      </c>
      <c r="H8391" s="25">
        <v>4.0960000000000001E-5</v>
      </c>
      <c r="I8391" s="9">
        <v>1.4254E-4</v>
      </c>
      <c r="J8391" s="9">
        <v>1.4941999999999999E-4</v>
      </c>
      <c r="K8391" s="9">
        <v>1.6318999999999999E-4</v>
      </c>
      <c r="L8391" s="9">
        <v>1.2079E-4</v>
      </c>
      <c r="M8391" s="9">
        <v>1.2998999999999999E-4</v>
      </c>
      <c r="N8391" s="9">
        <v>1.4264E-4</v>
      </c>
      <c r="O8391" s="9">
        <v>1.3804E-4</v>
      </c>
      <c r="P8391" s="9">
        <v>1.5828000000000001E-4</v>
      </c>
      <c r="Q8391" s="9">
        <v>1.7985000000000001E-4</v>
      </c>
      <c r="R8391" s="10">
        <v>1.8306468015188588E-4</v>
      </c>
      <c r="S8391" s="10">
        <v>1.8914522430012282E-4</v>
      </c>
      <c r="T8391" s="10">
        <v>1.1079646521351113E-4</v>
      </c>
      <c r="U8391" s="10">
        <v>1.4605E-4</v>
      </c>
      <c r="V8391" s="25"/>
      <c r="W8391" s="25"/>
      <c r="X8391" s="25"/>
      <c r="Y8391" s="25"/>
      <c r="Z8391" s="25"/>
      <c r="AA8391" s="25"/>
    </row>
    <row r="8392" spans="1:27" x14ac:dyDescent="0.35">
      <c r="A8392" s="5">
        <v>8388</v>
      </c>
      <c r="B8392" s="5">
        <v>350</v>
      </c>
      <c r="C8392" s="5">
        <v>12</v>
      </c>
      <c r="D8392" s="25">
        <v>1.1416E-4</v>
      </c>
      <c r="E8392" s="25">
        <v>1.209E-4</v>
      </c>
      <c r="F8392" s="25">
        <v>1.3882E-4</v>
      </c>
      <c r="G8392" s="25">
        <v>1.6668E-4</v>
      </c>
      <c r="H8392" s="25">
        <v>4.0639999999999997E-5</v>
      </c>
      <c r="I8392" s="9">
        <v>1.4187E-4</v>
      </c>
      <c r="J8392" s="9">
        <v>1.4967E-4</v>
      </c>
      <c r="K8392" s="9">
        <v>1.4836E-4</v>
      </c>
      <c r="L8392" s="9">
        <v>1.3353E-4</v>
      </c>
      <c r="M8392" s="9">
        <v>1.4584999999999999E-4</v>
      </c>
      <c r="N8392" s="9">
        <v>1.5678E-4</v>
      </c>
      <c r="O8392" s="9">
        <v>1.3788E-4</v>
      </c>
      <c r="P8392" s="9">
        <v>1.5449999999999999E-4</v>
      </c>
      <c r="Q8392" s="9">
        <v>1.7253E-4</v>
      </c>
      <c r="R8392" s="10">
        <v>1.8318698866442261E-4</v>
      </c>
      <c r="S8392" s="10">
        <v>1.8840152680955601E-4</v>
      </c>
      <c r="T8392" s="10">
        <v>4.1462770924146478E-5</v>
      </c>
      <c r="U8392" s="10">
        <v>1.4605E-4</v>
      </c>
      <c r="V8392" s="25"/>
      <c r="W8392" s="25"/>
      <c r="X8392" s="25"/>
      <c r="Y8392" s="25"/>
      <c r="Z8392" s="25"/>
      <c r="AA8392" s="25"/>
    </row>
    <row r="8393" spans="1:27" x14ac:dyDescent="0.35">
      <c r="A8393" s="5">
        <v>8389</v>
      </c>
      <c r="B8393" s="5">
        <v>350</v>
      </c>
      <c r="C8393" s="5">
        <v>12</v>
      </c>
      <c r="D8393" s="25">
        <v>1.1416E-4</v>
      </c>
      <c r="E8393" s="25">
        <v>1.1531000000000001E-4</v>
      </c>
      <c r="F8393" s="25">
        <v>1.3202E-4</v>
      </c>
      <c r="G8393" s="25">
        <v>1.6004999999999999E-4</v>
      </c>
      <c r="H8393" s="25">
        <v>3.9610000000000002E-5</v>
      </c>
      <c r="I8393" s="9">
        <v>1.3913E-4</v>
      </c>
      <c r="J8393" s="9">
        <v>1.4867E-4</v>
      </c>
      <c r="K8393" s="9">
        <v>1.8437999999999999E-4</v>
      </c>
      <c r="L8393" s="9">
        <v>1.3674E-4</v>
      </c>
      <c r="M8393" s="9">
        <v>1.5237000000000001E-4</v>
      </c>
      <c r="N8393" s="9">
        <v>1.6588E-4</v>
      </c>
      <c r="O8393" s="9">
        <v>1.3103E-4</v>
      </c>
      <c r="P8393" s="9">
        <v>1.4876000000000001E-4</v>
      </c>
      <c r="Q8393" s="9">
        <v>1.6771000000000001E-4</v>
      </c>
      <c r="R8393" s="10">
        <v>1.8514298970832133E-4</v>
      </c>
      <c r="S8393" s="10">
        <v>1.8819503549039393E-4</v>
      </c>
      <c r="T8393" s="10">
        <v>4.4449244295396643E-5</v>
      </c>
      <c r="U8393" s="10">
        <v>1.4605E-4</v>
      </c>
      <c r="V8393" s="25"/>
      <c r="W8393" s="25"/>
      <c r="X8393" s="25"/>
      <c r="Y8393" s="25"/>
      <c r="Z8393" s="25"/>
      <c r="AA8393" s="25"/>
    </row>
    <row r="8394" spans="1:27" x14ac:dyDescent="0.35">
      <c r="A8394" s="5">
        <v>8390</v>
      </c>
      <c r="B8394" s="5">
        <v>350</v>
      </c>
      <c r="C8394" s="5">
        <v>12</v>
      </c>
      <c r="D8394" s="25">
        <v>1.1416E-4</v>
      </c>
      <c r="E8394" s="25">
        <v>1.2188000000000001E-4</v>
      </c>
      <c r="F8394" s="25">
        <v>1.2210000000000001E-4</v>
      </c>
      <c r="G8394" s="25">
        <v>1.6066E-4</v>
      </c>
      <c r="H8394" s="25">
        <v>4.1829999999999998E-5</v>
      </c>
      <c r="I8394" s="9">
        <v>1.3831999999999999E-4</v>
      </c>
      <c r="J8394" s="9">
        <v>1.4918E-4</v>
      </c>
      <c r="K8394" s="9">
        <v>2.0346000000000001E-4</v>
      </c>
      <c r="L8394" s="9">
        <v>1.3239E-4</v>
      </c>
      <c r="M8394" s="9">
        <v>1.5223999999999999E-4</v>
      </c>
      <c r="N8394" s="9">
        <v>1.7029E-4</v>
      </c>
      <c r="O8394" s="9">
        <v>1.119E-4</v>
      </c>
      <c r="P8394" s="9">
        <v>1.3515000000000001E-4</v>
      </c>
      <c r="Q8394" s="9">
        <v>1.5914999999999999E-4</v>
      </c>
      <c r="R8394" s="10">
        <v>1.864084821535923E-4</v>
      </c>
      <c r="S8394" s="10">
        <v>1.8798828582710487E-4</v>
      </c>
      <c r="T8394" s="10">
        <v>5.8185324943277383E-5</v>
      </c>
      <c r="U8394" s="10">
        <v>1.4605E-4</v>
      </c>
      <c r="V8394" s="25"/>
      <c r="W8394" s="25"/>
      <c r="X8394" s="25"/>
      <c r="Y8394" s="25"/>
      <c r="Z8394" s="25"/>
      <c r="AA8394" s="25"/>
    </row>
    <row r="8395" spans="1:27" x14ac:dyDescent="0.35">
      <c r="A8395" s="5">
        <v>8391</v>
      </c>
      <c r="B8395" s="5">
        <v>350</v>
      </c>
      <c r="C8395" s="5">
        <v>12</v>
      </c>
      <c r="D8395" s="25">
        <v>1.1416E-4</v>
      </c>
      <c r="E8395" s="25">
        <v>1.215E-4</v>
      </c>
      <c r="F8395" s="25">
        <v>1.3803E-4</v>
      </c>
      <c r="G8395" s="25">
        <v>1.5810999999999999E-4</v>
      </c>
      <c r="H8395" s="25">
        <v>4.0639999999999997E-5</v>
      </c>
      <c r="I8395" s="9">
        <v>1.3774999999999999E-4</v>
      </c>
      <c r="J8395" s="9">
        <v>1.4859000000000001E-4</v>
      </c>
      <c r="K8395" s="9">
        <v>2.0769000000000001E-4</v>
      </c>
      <c r="L8395" s="9">
        <v>1.1658999999999999E-4</v>
      </c>
      <c r="M8395" s="9">
        <v>1.4582000000000001E-4</v>
      </c>
      <c r="N8395" s="9">
        <v>1.6951999999999999E-4</v>
      </c>
      <c r="O8395" s="9">
        <v>1.2790999999999999E-4</v>
      </c>
      <c r="P8395" s="9">
        <v>1.3961E-4</v>
      </c>
      <c r="Q8395" s="9">
        <v>1.5255999999999999E-4</v>
      </c>
      <c r="R8395" s="10">
        <v>1.9192072049615169E-4</v>
      </c>
      <c r="S8395" s="10">
        <v>1.8760152998885971E-4</v>
      </c>
      <c r="T8395" s="10">
        <v>2.8736321898932701E-5</v>
      </c>
      <c r="U8395" s="10">
        <v>1.4605E-4</v>
      </c>
      <c r="V8395" s="25"/>
      <c r="W8395" s="25"/>
      <c r="X8395" s="25"/>
      <c r="Y8395" s="25"/>
      <c r="Z8395" s="25"/>
      <c r="AA8395" s="25"/>
    </row>
    <row r="8396" spans="1:27" x14ac:dyDescent="0.35">
      <c r="A8396" s="5">
        <v>8392</v>
      </c>
      <c r="B8396" s="5">
        <v>350</v>
      </c>
      <c r="C8396" s="5">
        <v>12</v>
      </c>
      <c r="D8396" s="25">
        <v>1.1416E-4</v>
      </c>
      <c r="E8396" s="25">
        <v>1.1099000000000001E-4</v>
      </c>
      <c r="F8396" s="25">
        <v>1.2986000000000001E-4</v>
      </c>
      <c r="G8396" s="25">
        <v>1.6752999999999999E-4</v>
      </c>
      <c r="H8396" s="25">
        <v>4.0500000000000002E-5</v>
      </c>
      <c r="I8396" s="9">
        <v>1.3909E-4</v>
      </c>
      <c r="J8396" s="9">
        <v>1.4935E-4</v>
      </c>
      <c r="K8396" s="9">
        <v>2.1617000000000001E-4</v>
      </c>
      <c r="L8396" s="9">
        <v>1.2587000000000001E-4</v>
      </c>
      <c r="M8396" s="9">
        <v>1.4179000000000001E-4</v>
      </c>
      <c r="N8396" s="9">
        <v>1.6564999999999999E-4</v>
      </c>
      <c r="O8396" s="9">
        <v>1.3488000000000001E-4</v>
      </c>
      <c r="P8396" s="9">
        <v>1.2141E-4</v>
      </c>
      <c r="Q8396" s="9">
        <v>1.0975E-4</v>
      </c>
      <c r="R8396" s="10">
        <v>1.9072052880360278E-4</v>
      </c>
      <c r="S8396" s="10">
        <v>1.8673696523077658E-4</v>
      </c>
      <c r="T8396" s="10">
        <v>0</v>
      </c>
      <c r="U8396" s="10">
        <v>1.4605E-4</v>
      </c>
      <c r="V8396" s="25"/>
      <c r="W8396" s="25"/>
      <c r="X8396" s="25"/>
      <c r="Y8396" s="25"/>
      <c r="Z8396" s="25"/>
      <c r="AA8396" s="25"/>
    </row>
    <row r="8397" spans="1:27" x14ac:dyDescent="0.35">
      <c r="A8397" s="5">
        <v>8393</v>
      </c>
      <c r="B8397" s="5">
        <v>350</v>
      </c>
      <c r="C8397" s="5">
        <v>12</v>
      </c>
      <c r="D8397" s="25">
        <v>1.1416E-4</v>
      </c>
      <c r="E8397" s="25">
        <v>1.141E-4</v>
      </c>
      <c r="F8397" s="25">
        <v>1.362E-4</v>
      </c>
      <c r="G8397" s="25">
        <v>1.6559999999999999E-4</v>
      </c>
      <c r="H8397" s="25">
        <v>4.1119999999999999E-5</v>
      </c>
      <c r="I8397" s="9">
        <v>1.4206000000000001E-4</v>
      </c>
      <c r="J8397" s="9">
        <v>1.5322999999999999E-4</v>
      </c>
      <c r="K8397" s="9">
        <v>2.1193000000000001E-4</v>
      </c>
      <c r="L8397" s="9">
        <v>1.3260999999999999E-4</v>
      </c>
      <c r="M8397" s="9">
        <v>1.3358000000000001E-4</v>
      </c>
      <c r="N8397" s="9">
        <v>1.5200000000000001E-4</v>
      </c>
      <c r="O8397" s="9">
        <v>1.4025999999999999E-4</v>
      </c>
      <c r="P8397" s="9">
        <v>1.2239E-4</v>
      </c>
      <c r="Q8397" s="9">
        <v>1.0652E-4</v>
      </c>
      <c r="R8397" s="10">
        <v>1.9053720320443224E-4</v>
      </c>
      <c r="S8397" s="10">
        <v>1.8639149281095369E-4</v>
      </c>
      <c r="T8397" s="10">
        <v>0</v>
      </c>
      <c r="U8397" s="10">
        <v>1.4605E-4</v>
      </c>
      <c r="V8397" s="25"/>
      <c r="W8397" s="25"/>
      <c r="X8397" s="25"/>
      <c r="Y8397" s="25"/>
      <c r="Z8397" s="25"/>
      <c r="AA8397" s="25"/>
    </row>
    <row r="8398" spans="1:27" x14ac:dyDescent="0.35">
      <c r="A8398" s="5">
        <v>8394</v>
      </c>
      <c r="B8398" s="5">
        <v>350</v>
      </c>
      <c r="C8398" s="5">
        <v>12</v>
      </c>
      <c r="D8398" s="25">
        <v>1.1416E-4</v>
      </c>
      <c r="E8398" s="25">
        <v>1.2022E-4</v>
      </c>
      <c r="F8398" s="25">
        <v>1.1851E-4</v>
      </c>
      <c r="G8398" s="25">
        <v>1.5682000000000001E-4</v>
      </c>
      <c r="H8398" s="25">
        <v>3.9320000000000003E-5</v>
      </c>
      <c r="I8398" s="9">
        <v>1.507E-4</v>
      </c>
      <c r="J8398" s="9">
        <v>1.5751E-4</v>
      </c>
      <c r="K8398" s="9">
        <v>2.0769000000000001E-4</v>
      </c>
      <c r="L8398" s="9">
        <v>1.3826999999999999E-4</v>
      </c>
      <c r="M8398" s="9">
        <v>1.2747E-4</v>
      </c>
      <c r="N8398" s="9">
        <v>1.3863999999999999E-4</v>
      </c>
      <c r="O8398" s="9">
        <v>1.4273000000000001E-4</v>
      </c>
      <c r="P8398" s="9">
        <v>1.2966E-4</v>
      </c>
      <c r="Q8398" s="9">
        <v>1.1854E-4</v>
      </c>
      <c r="R8398" s="10">
        <v>1.9479151127991992E-4</v>
      </c>
      <c r="S8398" s="10">
        <v>1.8664902692177297E-4</v>
      </c>
      <c r="T8398" s="10">
        <v>0</v>
      </c>
      <c r="U8398" s="10">
        <v>1.4605E-4</v>
      </c>
      <c r="V8398" s="25"/>
      <c r="W8398" s="25"/>
      <c r="X8398" s="25"/>
      <c r="Y8398" s="25"/>
      <c r="Z8398" s="25"/>
      <c r="AA8398" s="25"/>
    </row>
    <row r="8399" spans="1:27" x14ac:dyDescent="0.35">
      <c r="A8399" s="5">
        <v>8395</v>
      </c>
      <c r="B8399" s="5">
        <v>350</v>
      </c>
      <c r="C8399" s="5">
        <v>12</v>
      </c>
      <c r="D8399" s="25">
        <v>1.1416E-4</v>
      </c>
      <c r="E8399" s="25">
        <v>1.1796E-4</v>
      </c>
      <c r="F8399" s="25">
        <v>1.2924E-4</v>
      </c>
      <c r="G8399" s="25">
        <v>1.1246E-4</v>
      </c>
      <c r="H8399" s="25">
        <v>2.758E-5</v>
      </c>
      <c r="I8399" s="9">
        <v>1.4975000000000001E-4</v>
      </c>
      <c r="J8399" s="9">
        <v>1.5227E-4</v>
      </c>
      <c r="K8399" s="9">
        <v>2.4159999999999999E-4</v>
      </c>
      <c r="L8399" s="9">
        <v>1.4166999999999999E-4</v>
      </c>
      <c r="M8399" s="9">
        <v>1.2684999999999999E-4</v>
      </c>
      <c r="N8399" s="9">
        <v>1.2983999999999999E-4</v>
      </c>
      <c r="O8399" s="9">
        <v>1.4327E-4</v>
      </c>
      <c r="P8399" s="9">
        <v>1.2448E-4</v>
      </c>
      <c r="Q8399" s="9">
        <v>1.0775E-4</v>
      </c>
      <c r="R8399" s="10">
        <v>1.9873388314449347E-4</v>
      </c>
      <c r="S8399" s="10">
        <v>1.883010408078535E-4</v>
      </c>
      <c r="T8399" s="10">
        <v>0</v>
      </c>
      <c r="U8399" s="10">
        <v>1.4605E-4</v>
      </c>
      <c r="V8399" s="25"/>
      <c r="W8399" s="25"/>
      <c r="X8399" s="25"/>
      <c r="Y8399" s="25"/>
      <c r="Z8399" s="25"/>
      <c r="AA8399" s="25"/>
    </row>
    <row r="8400" spans="1:27" x14ac:dyDescent="0.35">
      <c r="A8400" s="5">
        <v>8396</v>
      </c>
      <c r="B8400" s="5">
        <v>350</v>
      </c>
      <c r="C8400" s="5">
        <v>12</v>
      </c>
      <c r="D8400" s="25">
        <v>1.1416E-4</v>
      </c>
      <c r="E8400" s="25">
        <v>1.1893E-4</v>
      </c>
      <c r="F8400" s="25">
        <v>1.3908E-4</v>
      </c>
      <c r="G8400" s="25">
        <v>1.1415E-4</v>
      </c>
      <c r="H8400" s="25">
        <v>2.7229999999999998E-5</v>
      </c>
      <c r="I8400" s="9">
        <v>1.4427999999999999E-4</v>
      </c>
      <c r="J8400" s="9">
        <v>1.4787000000000001E-4</v>
      </c>
      <c r="K8400" s="9">
        <v>2.5008000000000002E-4</v>
      </c>
      <c r="L8400" s="9">
        <v>1.4286999999999999E-4</v>
      </c>
      <c r="M8400" s="9">
        <v>1.2611E-4</v>
      </c>
      <c r="N8400" s="9">
        <v>1.2101E-4</v>
      </c>
      <c r="O8400" s="9">
        <v>1.4368000000000001E-4</v>
      </c>
      <c r="P8400" s="9">
        <v>1.2131E-4</v>
      </c>
      <c r="Q8400" s="9">
        <v>1.0107000000000001E-4</v>
      </c>
      <c r="R8400" s="10">
        <v>2.049515908057299E-4</v>
      </c>
      <c r="S8400" s="10">
        <v>1.893370297671093E-4</v>
      </c>
      <c r="T8400" s="10">
        <v>0</v>
      </c>
      <c r="U8400" s="10">
        <v>1.4605E-4</v>
      </c>
      <c r="V8400" s="25"/>
      <c r="W8400" s="25"/>
      <c r="X8400" s="25"/>
      <c r="Y8400" s="25"/>
      <c r="Z8400" s="25"/>
      <c r="AA8400" s="25"/>
    </row>
    <row r="8401" spans="1:27" x14ac:dyDescent="0.35">
      <c r="A8401" s="5">
        <v>8397</v>
      </c>
      <c r="B8401" s="5">
        <v>350</v>
      </c>
      <c r="C8401" s="5">
        <v>12</v>
      </c>
      <c r="D8401" s="25">
        <v>1.1416E-4</v>
      </c>
      <c r="E8401" s="25">
        <v>1.1633000000000001E-4</v>
      </c>
      <c r="F8401" s="25">
        <v>1.3015999999999999E-4</v>
      </c>
      <c r="G8401" s="25">
        <v>5.2590000000000003E-5</v>
      </c>
      <c r="H8401" s="25">
        <v>1.5310000000000001E-5</v>
      </c>
      <c r="I8401" s="9">
        <v>1.3819E-4</v>
      </c>
      <c r="J8401" s="9">
        <v>1.418E-4</v>
      </c>
      <c r="K8401" s="9">
        <v>2.7975E-4</v>
      </c>
      <c r="L8401" s="9">
        <v>1.4351000000000001E-4</v>
      </c>
      <c r="M8401" s="9">
        <v>1.2421000000000001E-4</v>
      </c>
      <c r="N8401" s="9">
        <v>1.132E-4</v>
      </c>
      <c r="O8401" s="9">
        <v>8.5359999999999996E-5</v>
      </c>
      <c r="P8401" s="9">
        <v>8.6849999999999997E-5</v>
      </c>
      <c r="Q8401" s="9">
        <v>8.886E-5</v>
      </c>
      <c r="R8401" s="10">
        <v>2.0883478094889206E-4</v>
      </c>
      <c r="S8401" s="10">
        <v>1.9025580415303836E-4</v>
      </c>
      <c r="T8401" s="10">
        <v>0</v>
      </c>
      <c r="U8401" s="10">
        <v>1.4605E-4</v>
      </c>
      <c r="V8401" s="25"/>
      <c r="W8401" s="25"/>
      <c r="X8401" s="25"/>
      <c r="Y8401" s="25"/>
      <c r="Z8401" s="25"/>
      <c r="AA8401" s="25"/>
    </row>
    <row r="8402" spans="1:27" x14ac:dyDescent="0.35">
      <c r="A8402" s="5">
        <v>8398</v>
      </c>
      <c r="B8402" s="5">
        <v>350</v>
      </c>
      <c r="C8402" s="5">
        <v>12</v>
      </c>
      <c r="D8402" s="25">
        <v>1.1416E-4</v>
      </c>
      <c r="E8402" s="25">
        <v>1.1434000000000001E-4</v>
      </c>
      <c r="F8402" s="25">
        <v>1.2375999999999999E-4</v>
      </c>
      <c r="G8402" s="25">
        <v>5.914E-5</v>
      </c>
      <c r="H8402" s="25">
        <v>1.541E-5</v>
      </c>
      <c r="I8402" s="9">
        <v>1.3059000000000001E-4</v>
      </c>
      <c r="J8402" s="9">
        <v>1.3321000000000001E-4</v>
      </c>
      <c r="K8402" s="9">
        <v>2.5643999999999998E-4</v>
      </c>
      <c r="L8402" s="9">
        <v>9.815E-5</v>
      </c>
      <c r="M8402" s="9">
        <v>1.1021E-4</v>
      </c>
      <c r="N8402" s="9">
        <v>1.0575E-4</v>
      </c>
      <c r="O8402" s="9">
        <v>8.7150000000000004E-5</v>
      </c>
      <c r="P8402" s="9">
        <v>8.7200000000000005E-5</v>
      </c>
      <c r="Q8402" s="9">
        <v>8.7849999999999994E-5</v>
      </c>
      <c r="R8402" s="10">
        <v>2.1019851049466735E-4</v>
      </c>
      <c r="S8402" s="10">
        <v>1.9000418454451635E-4</v>
      </c>
      <c r="T8402" s="10">
        <v>0</v>
      </c>
      <c r="U8402" s="10">
        <v>1.4605E-4</v>
      </c>
      <c r="V8402" s="25"/>
      <c r="W8402" s="25"/>
      <c r="X8402" s="25"/>
      <c r="Y8402" s="25"/>
      <c r="Z8402" s="25"/>
      <c r="AA8402" s="25"/>
    </row>
    <row r="8403" spans="1:27" x14ac:dyDescent="0.35">
      <c r="A8403" s="5">
        <v>8399</v>
      </c>
      <c r="B8403" s="5">
        <v>350</v>
      </c>
      <c r="C8403" s="5">
        <v>12</v>
      </c>
      <c r="D8403" s="25">
        <v>1.1416E-4</v>
      </c>
      <c r="E8403" s="25">
        <v>1.2091000000000001E-4</v>
      </c>
      <c r="F8403" s="25">
        <v>1.2538E-4</v>
      </c>
      <c r="G8403" s="25">
        <v>5.5640000000000003E-5</v>
      </c>
      <c r="H8403" s="25">
        <v>1.431E-5</v>
      </c>
      <c r="I8403" s="9">
        <v>1.3144E-4</v>
      </c>
      <c r="J8403" s="9">
        <v>1.2321000000000001E-4</v>
      </c>
      <c r="K8403" s="9">
        <v>2.8186999999999998E-4</v>
      </c>
      <c r="L8403" s="9">
        <v>9.0829999999999996E-5</v>
      </c>
      <c r="M8403" s="9">
        <v>9.8170000000000004E-5</v>
      </c>
      <c r="N8403" s="9">
        <v>9.9859999999999996E-5</v>
      </c>
      <c r="O8403" s="9">
        <v>8.4389999999999997E-5</v>
      </c>
      <c r="P8403" s="9">
        <v>7.5129999999999994E-5</v>
      </c>
      <c r="Q8403" s="9">
        <v>6.6550000000000005E-5</v>
      </c>
      <c r="R8403" s="10">
        <v>2.0839510323308709E-4</v>
      </c>
      <c r="S8403" s="10">
        <v>1.8800074217048047E-4</v>
      </c>
      <c r="T8403" s="10">
        <v>0</v>
      </c>
      <c r="U8403" s="10">
        <v>1.4605E-4</v>
      </c>
      <c r="V8403" s="25"/>
      <c r="W8403" s="25"/>
      <c r="X8403" s="25"/>
      <c r="Y8403" s="25"/>
      <c r="Z8403" s="25"/>
      <c r="AA8403" s="25"/>
    </row>
    <row r="8404" spans="1:27" x14ac:dyDescent="0.35">
      <c r="A8404" s="5">
        <v>8400</v>
      </c>
      <c r="B8404" s="5">
        <v>350</v>
      </c>
      <c r="C8404" s="5">
        <v>12</v>
      </c>
      <c r="D8404" s="25">
        <v>1.1416E-4</v>
      </c>
      <c r="E8404" s="25">
        <v>1.121E-4</v>
      </c>
      <c r="F8404" s="25">
        <v>1.1804E-4</v>
      </c>
      <c r="G8404" s="25">
        <v>5.3919999999999999E-5</v>
      </c>
      <c r="H8404" s="25">
        <v>1.323E-5</v>
      </c>
      <c r="I8404" s="9">
        <v>1.2980000000000001E-4</v>
      </c>
      <c r="J8404" s="9">
        <v>1.1472E-4</v>
      </c>
      <c r="K8404" s="9">
        <v>2.6703000000000002E-4</v>
      </c>
      <c r="L8404" s="9">
        <v>8.6030000000000001E-5</v>
      </c>
      <c r="M8404" s="9">
        <v>8.7059999999999997E-5</v>
      </c>
      <c r="N8404" s="9">
        <v>9.0480000000000001E-5</v>
      </c>
      <c r="O8404" s="9">
        <v>7.9980000000000003E-5</v>
      </c>
      <c r="P8404" s="9">
        <v>6.9389999999999998E-5</v>
      </c>
      <c r="Q8404" s="9">
        <v>5.94E-5</v>
      </c>
      <c r="R8404" s="10">
        <v>2.0620625775984053E-4</v>
      </c>
      <c r="S8404" s="10">
        <v>1.8711638239805054E-4</v>
      </c>
      <c r="T8404" s="10">
        <v>0</v>
      </c>
      <c r="U8404" s="10">
        <v>1.4605E-4</v>
      </c>
      <c r="V8404" s="25"/>
      <c r="W8404" s="25"/>
      <c r="X8404" s="25"/>
      <c r="Y8404" s="25"/>
      <c r="Z8404" s="25"/>
      <c r="AA8404" s="25"/>
    </row>
    <row r="8405" spans="1:27" x14ac:dyDescent="0.35">
      <c r="A8405" s="5">
        <v>8401</v>
      </c>
      <c r="B8405" s="5">
        <v>351</v>
      </c>
      <c r="C8405" s="5">
        <v>12</v>
      </c>
      <c r="D8405" s="25">
        <v>1.1416E-4</v>
      </c>
      <c r="E8405" s="25">
        <v>1.1396E-4</v>
      </c>
      <c r="F8405" s="25">
        <v>1.0041E-4</v>
      </c>
      <c r="G8405" s="25">
        <v>5.5179999999999997E-5</v>
      </c>
      <c r="H8405" s="25">
        <v>7.4800000000000002E-5</v>
      </c>
      <c r="I8405" s="9">
        <v>1.2159000000000001E-4</v>
      </c>
      <c r="J8405" s="9">
        <v>1.0703E-4</v>
      </c>
      <c r="K8405" s="9">
        <v>2.7338999999999998E-4</v>
      </c>
      <c r="L8405" s="9">
        <v>8.1110000000000001E-5</v>
      </c>
      <c r="M8405" s="9">
        <v>7.8170000000000005E-5</v>
      </c>
      <c r="N8405" s="9">
        <v>8.1169999999999997E-5</v>
      </c>
      <c r="O8405" s="9">
        <v>5.4849999999999998E-5</v>
      </c>
      <c r="P8405" s="9">
        <v>5.4259999999999999E-5</v>
      </c>
      <c r="Q8405" s="9">
        <v>5.384E-5</v>
      </c>
      <c r="R8405" s="10">
        <v>2.0833848106392282E-4</v>
      </c>
      <c r="S8405" s="10">
        <v>1.8829420014997459E-4</v>
      </c>
      <c r="T8405" s="10">
        <v>0</v>
      </c>
      <c r="U8405" s="10">
        <v>1.4770000000000001E-4</v>
      </c>
      <c r="V8405" s="25"/>
      <c r="W8405" s="25"/>
      <c r="X8405" s="25"/>
      <c r="Y8405" s="25"/>
      <c r="Z8405" s="25"/>
      <c r="AA8405" s="25"/>
    </row>
    <row r="8406" spans="1:27" x14ac:dyDescent="0.35">
      <c r="A8406" s="5">
        <v>8402</v>
      </c>
      <c r="B8406" s="5">
        <v>351</v>
      </c>
      <c r="C8406" s="5">
        <v>12</v>
      </c>
      <c r="D8406" s="25">
        <v>1.1416E-4</v>
      </c>
      <c r="E8406" s="25">
        <v>1.1364E-4</v>
      </c>
      <c r="F8406" s="25">
        <v>8.7579999999999998E-5</v>
      </c>
      <c r="G8406" s="25">
        <v>6.088E-5</v>
      </c>
      <c r="H8406" s="25">
        <v>6.7769999999999997E-5</v>
      </c>
      <c r="I8406" s="9">
        <v>1.1588E-4</v>
      </c>
      <c r="J8406" s="9">
        <v>1.0226E-4</v>
      </c>
      <c r="K8406" s="9">
        <v>2.7551000000000002E-4</v>
      </c>
      <c r="L8406" s="9">
        <v>6.0739999999999998E-5</v>
      </c>
      <c r="M8406" s="9">
        <v>6.7500000000000001E-5</v>
      </c>
      <c r="N8406" s="9">
        <v>7.216E-5</v>
      </c>
      <c r="O8406" s="9">
        <v>1.857E-5</v>
      </c>
      <c r="P8406" s="9">
        <v>3.8080000000000001E-5</v>
      </c>
      <c r="Q8406" s="9">
        <v>5.6669999999999998E-5</v>
      </c>
      <c r="R8406" s="10">
        <v>2.0722243449481528E-4</v>
      </c>
      <c r="S8406" s="10">
        <v>1.8787729543444555E-4</v>
      </c>
      <c r="T8406" s="10">
        <v>0</v>
      </c>
      <c r="U8406" s="10">
        <v>1.4770000000000001E-4</v>
      </c>
      <c r="V8406" s="25"/>
      <c r="W8406" s="25"/>
      <c r="X8406" s="25"/>
      <c r="Y8406" s="25"/>
      <c r="Z8406" s="25"/>
      <c r="AA8406" s="25"/>
    </row>
    <row r="8407" spans="1:27" x14ac:dyDescent="0.35">
      <c r="A8407" s="5">
        <v>8403</v>
      </c>
      <c r="B8407" s="5">
        <v>351</v>
      </c>
      <c r="C8407" s="5">
        <v>12</v>
      </c>
      <c r="D8407" s="25">
        <v>1.1416E-4</v>
      </c>
      <c r="E8407" s="25">
        <v>1.1317E-4</v>
      </c>
      <c r="F8407" s="25">
        <v>9.6039999999999995E-5</v>
      </c>
      <c r="G8407" s="25">
        <v>6.0819999999999997E-5</v>
      </c>
      <c r="H8407" s="25">
        <v>6.5749999999999999E-5</v>
      </c>
      <c r="I8407" s="9">
        <v>1.1173E-4</v>
      </c>
      <c r="J8407" s="9">
        <v>9.9519999999999996E-5</v>
      </c>
      <c r="K8407" s="9">
        <v>2.967E-4</v>
      </c>
      <c r="L8407" s="9">
        <v>2.8390000000000001E-5</v>
      </c>
      <c r="M8407" s="9">
        <v>5.4289999999999997E-5</v>
      </c>
      <c r="N8407" s="9">
        <v>6.5690000000000003E-5</v>
      </c>
      <c r="O8407" s="9">
        <v>1.295E-5</v>
      </c>
      <c r="P8407" s="9">
        <v>3.8050000000000003E-5</v>
      </c>
      <c r="Q8407" s="9">
        <v>6.2020000000000006E-5</v>
      </c>
      <c r="R8407" s="10">
        <v>2.0295646319396781E-4</v>
      </c>
      <c r="S8407" s="10">
        <v>1.8728200671978967E-4</v>
      </c>
      <c r="T8407" s="10">
        <v>0</v>
      </c>
      <c r="U8407" s="10">
        <v>1.4770000000000001E-4</v>
      </c>
      <c r="V8407" s="25"/>
      <c r="W8407" s="25"/>
      <c r="X8407" s="25"/>
      <c r="Y8407" s="25"/>
      <c r="Z8407" s="25"/>
      <c r="AA8407" s="25"/>
    </row>
    <row r="8408" spans="1:27" x14ac:dyDescent="0.35">
      <c r="A8408" s="5">
        <v>8404</v>
      </c>
      <c r="B8408" s="5">
        <v>351</v>
      </c>
      <c r="C8408" s="5">
        <v>12</v>
      </c>
      <c r="D8408" s="25">
        <v>1.1416E-4</v>
      </c>
      <c r="E8408" s="25">
        <v>1.1938999999999999E-4</v>
      </c>
      <c r="F8408" s="25">
        <v>1.02E-4</v>
      </c>
      <c r="G8408" s="25">
        <v>6.211E-5</v>
      </c>
      <c r="H8408" s="25">
        <v>6.6879999999999997E-5</v>
      </c>
      <c r="I8408" s="9">
        <v>1.0922E-4</v>
      </c>
      <c r="J8408" s="9">
        <v>9.8319999999999994E-5</v>
      </c>
      <c r="K8408" s="9">
        <v>3.1365000000000001E-4</v>
      </c>
      <c r="L8408" s="9">
        <v>1.7229999999999999E-5</v>
      </c>
      <c r="M8408" s="9">
        <v>4.5250000000000002E-5</v>
      </c>
      <c r="N8408" s="9">
        <v>6.2210000000000002E-5</v>
      </c>
      <c r="O8408" s="9">
        <v>1.2979999999999999E-5</v>
      </c>
      <c r="P8408" s="9">
        <v>4.7670000000000003E-5</v>
      </c>
      <c r="Q8408" s="9">
        <v>8.1069999999999995E-5</v>
      </c>
      <c r="R8408" s="10">
        <v>2.0234544227440676E-4</v>
      </c>
      <c r="S8408" s="10">
        <v>1.8923958824312596E-4</v>
      </c>
      <c r="T8408" s="10">
        <v>0</v>
      </c>
      <c r="U8408" s="10">
        <v>1.4770000000000001E-4</v>
      </c>
      <c r="V8408" s="25"/>
      <c r="W8408" s="25"/>
      <c r="X8408" s="25"/>
      <c r="Y8408" s="25"/>
      <c r="Z8408" s="25"/>
      <c r="AA8408" s="25"/>
    </row>
    <row r="8409" spans="1:27" x14ac:dyDescent="0.35">
      <c r="A8409" s="5">
        <v>8405</v>
      </c>
      <c r="B8409" s="5">
        <v>351</v>
      </c>
      <c r="C8409" s="5">
        <v>12</v>
      </c>
      <c r="D8409" s="25">
        <v>1.1416E-4</v>
      </c>
      <c r="E8409" s="25">
        <v>1.0849999999999999E-4</v>
      </c>
      <c r="F8409" s="25">
        <v>8.8380000000000004E-5</v>
      </c>
      <c r="G8409" s="25">
        <v>6.2970000000000002E-5</v>
      </c>
      <c r="H8409" s="25">
        <v>7.4889999999999996E-5</v>
      </c>
      <c r="I8409" s="9">
        <v>1.102E-4</v>
      </c>
      <c r="J8409" s="9">
        <v>9.9049999999999995E-5</v>
      </c>
      <c r="K8409" s="9">
        <v>2.7551000000000002E-4</v>
      </c>
      <c r="L8409" s="9">
        <v>1.4090000000000001E-5</v>
      </c>
      <c r="M8409" s="9">
        <v>4.4119999999999998E-5</v>
      </c>
      <c r="N8409" s="9">
        <v>6.4880000000000002E-5</v>
      </c>
      <c r="O8409" s="9">
        <v>1.836E-5</v>
      </c>
      <c r="P8409" s="9">
        <v>5.6490000000000003E-5</v>
      </c>
      <c r="Q8409" s="9">
        <v>9.3410000000000002E-5</v>
      </c>
      <c r="R8409" s="10">
        <v>2.0230220050788359E-4</v>
      </c>
      <c r="S8409" s="10">
        <v>1.8889259100140444E-4</v>
      </c>
      <c r="T8409" s="10">
        <v>0</v>
      </c>
      <c r="U8409" s="10">
        <v>1.4770000000000001E-4</v>
      </c>
      <c r="V8409" s="25"/>
      <c r="W8409" s="25"/>
      <c r="X8409" s="25"/>
      <c r="Y8409" s="25"/>
      <c r="Z8409" s="25"/>
      <c r="AA8409" s="25"/>
    </row>
    <row r="8410" spans="1:27" x14ac:dyDescent="0.35">
      <c r="A8410" s="5">
        <v>8406</v>
      </c>
      <c r="B8410" s="5">
        <v>351</v>
      </c>
      <c r="C8410" s="5">
        <v>12</v>
      </c>
      <c r="D8410" s="25">
        <v>1.1416E-4</v>
      </c>
      <c r="E8410" s="25">
        <v>1.1469E-4</v>
      </c>
      <c r="F8410" s="25">
        <v>8.551E-5</v>
      </c>
      <c r="G8410" s="25">
        <v>1.0734E-4</v>
      </c>
      <c r="H8410" s="25">
        <v>1.3548999999999999E-4</v>
      </c>
      <c r="I8410" s="9">
        <v>1.1552000000000001E-4</v>
      </c>
      <c r="J8410" s="9">
        <v>1.0325E-4</v>
      </c>
      <c r="K8410" s="9">
        <v>2.8610000000000002E-4</v>
      </c>
      <c r="L8410" s="9">
        <v>1.7289999999999999E-5</v>
      </c>
      <c r="M8410" s="9">
        <v>4.8659999999999998E-5</v>
      </c>
      <c r="N8410" s="9">
        <v>7.1320000000000002E-5</v>
      </c>
      <c r="O8410" s="9">
        <v>4.5890000000000003E-5</v>
      </c>
      <c r="P8410" s="9">
        <v>7.6370000000000002E-5</v>
      </c>
      <c r="Q8410" s="9">
        <v>1.0634E-4</v>
      </c>
      <c r="R8410" s="10">
        <v>1.994887521295295E-4</v>
      </c>
      <c r="S8410" s="10">
        <v>1.8590558147022816E-4</v>
      </c>
      <c r="T8410" s="10">
        <v>0</v>
      </c>
      <c r="U8410" s="10">
        <v>1.4770000000000001E-4</v>
      </c>
      <c r="V8410" s="25"/>
      <c r="W8410" s="25"/>
      <c r="X8410" s="25"/>
      <c r="Y8410" s="25"/>
      <c r="Z8410" s="25"/>
      <c r="AA8410" s="25"/>
    </row>
    <row r="8411" spans="1:27" x14ac:dyDescent="0.35">
      <c r="A8411" s="5">
        <v>8407</v>
      </c>
      <c r="B8411" s="5">
        <v>351</v>
      </c>
      <c r="C8411" s="5">
        <v>12</v>
      </c>
      <c r="D8411" s="25">
        <v>1.1416E-4</v>
      </c>
      <c r="E8411" s="25">
        <v>1.087E-4</v>
      </c>
      <c r="F8411" s="25">
        <v>1.0003E-4</v>
      </c>
      <c r="G8411" s="25">
        <v>1.0932E-4</v>
      </c>
      <c r="H8411" s="25">
        <v>1.2857E-4</v>
      </c>
      <c r="I8411" s="9">
        <v>1.2826999999999999E-4</v>
      </c>
      <c r="J8411" s="9">
        <v>1.15E-4</v>
      </c>
      <c r="K8411" s="9">
        <v>2.6704000000000002E-4</v>
      </c>
      <c r="L8411" s="9">
        <v>3.9459999999999998E-5</v>
      </c>
      <c r="M8411" s="9">
        <v>5.9920000000000002E-5</v>
      </c>
      <c r="N8411" s="9">
        <v>8.0809999999999994E-5</v>
      </c>
      <c r="O8411" s="9">
        <v>1.2439999999999999E-4</v>
      </c>
      <c r="P8411" s="9">
        <v>1.1772E-4</v>
      </c>
      <c r="Q8411" s="9">
        <v>1.1277000000000001E-4</v>
      </c>
      <c r="R8411" s="10">
        <v>1.9590262695781585E-4</v>
      </c>
      <c r="S8411" s="10">
        <v>1.8286823682277554E-4</v>
      </c>
      <c r="T8411" s="10">
        <v>0</v>
      </c>
      <c r="U8411" s="10">
        <v>1.4770000000000001E-4</v>
      </c>
      <c r="V8411" s="25"/>
      <c r="W8411" s="25"/>
      <c r="X8411" s="25"/>
      <c r="Y8411" s="25"/>
      <c r="Z8411" s="25"/>
      <c r="AA8411" s="25"/>
    </row>
    <row r="8412" spans="1:27" x14ac:dyDescent="0.35">
      <c r="A8412" s="5">
        <v>8408</v>
      </c>
      <c r="B8412" s="5">
        <v>351</v>
      </c>
      <c r="C8412" s="5">
        <v>12</v>
      </c>
      <c r="D8412" s="25">
        <v>1.1416E-4</v>
      </c>
      <c r="E8412" s="25">
        <v>1.1861E-4</v>
      </c>
      <c r="F8412" s="25">
        <v>8.4240000000000007E-5</v>
      </c>
      <c r="G8412" s="25">
        <v>1.6513000000000001E-4</v>
      </c>
      <c r="H8412" s="25">
        <v>2.0256000000000001E-4</v>
      </c>
      <c r="I8412" s="9">
        <v>1.4059000000000001E-4</v>
      </c>
      <c r="J8412" s="9">
        <v>1.3368000000000001E-4</v>
      </c>
      <c r="K8412" s="9">
        <v>3.0941999999999998E-4</v>
      </c>
      <c r="L8412" s="9">
        <v>1.0509E-4</v>
      </c>
      <c r="M8412" s="9">
        <v>8.365E-5</v>
      </c>
      <c r="N8412" s="9">
        <v>9.0909999999999995E-5</v>
      </c>
      <c r="O8412" s="9">
        <v>2.1949E-4</v>
      </c>
      <c r="P8412" s="9">
        <v>1.7529000000000001E-4</v>
      </c>
      <c r="Q8412" s="9">
        <v>1.3541000000000001E-4</v>
      </c>
      <c r="R8412" s="10">
        <v>1.9932444784832927E-4</v>
      </c>
      <c r="S8412" s="10">
        <v>1.8700311806674297E-4</v>
      </c>
      <c r="T8412" s="10">
        <v>0</v>
      </c>
      <c r="U8412" s="10">
        <v>1.4770000000000001E-4</v>
      </c>
      <c r="V8412" s="25"/>
      <c r="W8412" s="25"/>
      <c r="X8412" s="25"/>
      <c r="Y8412" s="25"/>
      <c r="Z8412" s="25"/>
      <c r="AA8412" s="25"/>
    </row>
    <row r="8413" spans="1:27" x14ac:dyDescent="0.35">
      <c r="A8413" s="5">
        <v>8409</v>
      </c>
      <c r="B8413" s="5">
        <v>351</v>
      </c>
      <c r="C8413" s="5">
        <v>12</v>
      </c>
      <c r="D8413" s="25">
        <v>1.1416E-4</v>
      </c>
      <c r="E8413" s="25">
        <v>1.0897E-4</v>
      </c>
      <c r="F8413" s="25">
        <v>9.1299999999999997E-5</v>
      </c>
      <c r="G8413" s="25">
        <v>1.6677E-4</v>
      </c>
      <c r="H8413" s="25">
        <v>1.9254999999999999E-4</v>
      </c>
      <c r="I8413" s="9">
        <v>1.4493000000000001E-4</v>
      </c>
      <c r="J8413" s="9">
        <v>1.4599E-4</v>
      </c>
      <c r="K8413" s="9">
        <v>2.9034999999999998E-4</v>
      </c>
      <c r="L8413" s="9">
        <v>1.9252000000000001E-4</v>
      </c>
      <c r="M8413" s="9">
        <v>1.2279000000000001E-4</v>
      </c>
      <c r="N8413" s="9">
        <v>1.0431E-4</v>
      </c>
      <c r="O8413" s="9">
        <v>2.1388000000000001E-4</v>
      </c>
      <c r="P8413" s="9">
        <v>1.9375999999999999E-4</v>
      </c>
      <c r="Q8413" s="9">
        <v>1.7745E-4</v>
      </c>
      <c r="R8413" s="10">
        <v>2.0523624394365209E-4</v>
      </c>
      <c r="S8413" s="10">
        <v>1.9016781708814938E-4</v>
      </c>
      <c r="T8413" s="10">
        <v>2.1253169872107003E-5</v>
      </c>
      <c r="U8413" s="10">
        <v>1.4770000000000001E-4</v>
      </c>
      <c r="V8413" s="25"/>
      <c r="W8413" s="25"/>
      <c r="X8413" s="25"/>
      <c r="Y8413" s="25"/>
      <c r="Z8413" s="25"/>
      <c r="AA8413" s="25"/>
    </row>
    <row r="8414" spans="1:27" x14ac:dyDescent="0.35">
      <c r="A8414" s="5">
        <v>8410</v>
      </c>
      <c r="B8414" s="5">
        <v>351</v>
      </c>
      <c r="C8414" s="5">
        <v>12</v>
      </c>
      <c r="D8414" s="25">
        <v>1.1416E-4</v>
      </c>
      <c r="E8414" s="25">
        <v>1.1073000000000001E-4</v>
      </c>
      <c r="F8414" s="25">
        <v>9.1440000000000005E-5</v>
      </c>
      <c r="G8414" s="25">
        <v>1.5906000000000001E-4</v>
      </c>
      <c r="H8414" s="25">
        <v>2.0057000000000001E-4</v>
      </c>
      <c r="I8414" s="9">
        <v>1.4405E-4</v>
      </c>
      <c r="J8414" s="9">
        <v>1.4906000000000001E-4</v>
      </c>
      <c r="K8414" s="9">
        <v>2.4795999999999998E-4</v>
      </c>
      <c r="L8414" s="9">
        <v>2.0688999999999999E-4</v>
      </c>
      <c r="M8414" s="9">
        <v>1.5824E-4</v>
      </c>
      <c r="N8414" s="9">
        <v>1.2442E-4</v>
      </c>
      <c r="O8414" s="9">
        <v>1.697E-4</v>
      </c>
      <c r="P8414" s="9">
        <v>1.7527999999999999E-4</v>
      </c>
      <c r="Q8414" s="9">
        <v>1.8332999999999999E-4</v>
      </c>
      <c r="R8414" s="10">
        <v>2.0876590717055615E-4</v>
      </c>
      <c r="S8414" s="10">
        <v>1.9028947690002504E-4</v>
      </c>
      <c r="T8414" s="10">
        <v>7.0928742567191434E-5</v>
      </c>
      <c r="U8414" s="10">
        <v>1.4770000000000001E-4</v>
      </c>
      <c r="V8414" s="25"/>
      <c r="W8414" s="25"/>
      <c r="X8414" s="25"/>
      <c r="Y8414" s="25"/>
      <c r="Z8414" s="25"/>
      <c r="AA8414" s="25"/>
    </row>
    <row r="8415" spans="1:27" x14ac:dyDescent="0.35">
      <c r="A8415" s="5">
        <v>8411</v>
      </c>
      <c r="B8415" s="5">
        <v>351</v>
      </c>
      <c r="C8415" s="5">
        <v>12</v>
      </c>
      <c r="D8415" s="25">
        <v>1.1416E-4</v>
      </c>
      <c r="E8415" s="25">
        <v>1.1772E-4</v>
      </c>
      <c r="F8415" s="25">
        <v>8.3220000000000006E-5</v>
      </c>
      <c r="G8415" s="25">
        <v>1.6059000000000001E-4</v>
      </c>
      <c r="H8415" s="25">
        <v>2.0029999999999999E-4</v>
      </c>
      <c r="I8415" s="9">
        <v>1.4216000000000001E-4</v>
      </c>
      <c r="J8415" s="9">
        <v>1.4901000000000001E-4</v>
      </c>
      <c r="K8415" s="9">
        <v>2.4583999999999999E-4</v>
      </c>
      <c r="L8415" s="9">
        <v>1.7791000000000001E-4</v>
      </c>
      <c r="M8415" s="9">
        <v>1.7262000000000001E-4</v>
      </c>
      <c r="N8415" s="9">
        <v>1.4279000000000001E-4</v>
      </c>
      <c r="O8415" s="9">
        <v>1.6835E-4</v>
      </c>
      <c r="P8415" s="9">
        <v>1.7253E-4</v>
      </c>
      <c r="Q8415" s="9">
        <v>1.7919999999999999E-4</v>
      </c>
      <c r="R8415" s="10">
        <v>2.1056281790472886E-4</v>
      </c>
      <c r="S8415" s="10">
        <v>1.9029019847323556E-4</v>
      </c>
      <c r="T8415" s="10">
        <v>3.6498607374378097E-4</v>
      </c>
      <c r="U8415" s="10">
        <v>1.4770000000000001E-4</v>
      </c>
      <c r="V8415" s="25"/>
      <c r="W8415" s="25"/>
      <c r="X8415" s="25"/>
      <c r="Y8415" s="25"/>
      <c r="Z8415" s="25"/>
      <c r="AA8415" s="25"/>
    </row>
    <row r="8416" spans="1:27" x14ac:dyDescent="0.35">
      <c r="A8416" s="5">
        <v>8412</v>
      </c>
      <c r="B8416" s="5">
        <v>351</v>
      </c>
      <c r="C8416" s="5">
        <v>12</v>
      </c>
      <c r="D8416" s="25">
        <v>1.1416E-4</v>
      </c>
      <c r="E8416" s="25">
        <v>1.0998E-4</v>
      </c>
      <c r="F8416" s="25">
        <v>1.0519E-4</v>
      </c>
      <c r="G8416" s="25">
        <v>1.6148000000000001E-4</v>
      </c>
      <c r="H8416" s="25">
        <v>2.0016000000000001E-4</v>
      </c>
      <c r="I8416" s="9">
        <v>1.4226000000000001E-4</v>
      </c>
      <c r="J8416" s="9">
        <v>1.4776000000000001E-4</v>
      </c>
      <c r="K8416" s="9">
        <v>2.5431999999999999E-4</v>
      </c>
      <c r="L8416" s="9">
        <v>1.7185E-4</v>
      </c>
      <c r="M8416" s="9">
        <v>1.7509000000000001E-4</v>
      </c>
      <c r="N8416" s="9">
        <v>1.5683E-4</v>
      </c>
      <c r="O8416" s="9">
        <v>1.7165E-4</v>
      </c>
      <c r="P8416" s="9">
        <v>1.7170999999999999E-4</v>
      </c>
      <c r="Q8416" s="9">
        <v>1.7438999999999999E-4</v>
      </c>
      <c r="R8416" s="10">
        <v>2.0871921515207173E-4</v>
      </c>
      <c r="S8416" s="10">
        <v>1.9029020370943416E-4</v>
      </c>
      <c r="T8416" s="10">
        <v>3.1045748182041499E-4</v>
      </c>
      <c r="U8416" s="10">
        <v>1.4770000000000001E-4</v>
      </c>
      <c r="V8416" s="25"/>
      <c r="W8416" s="25"/>
      <c r="X8416" s="25"/>
      <c r="Y8416" s="25"/>
      <c r="Z8416" s="25"/>
      <c r="AA8416" s="25"/>
    </row>
    <row r="8417" spans="1:27" x14ac:dyDescent="0.35">
      <c r="A8417" s="5">
        <v>8413</v>
      </c>
      <c r="B8417" s="5">
        <v>351</v>
      </c>
      <c r="C8417" s="5">
        <v>12</v>
      </c>
      <c r="D8417" s="25">
        <v>1.1416E-4</v>
      </c>
      <c r="E8417" s="25">
        <v>1.0985E-4</v>
      </c>
      <c r="F8417" s="25">
        <v>8.7130000000000001E-5</v>
      </c>
      <c r="G8417" s="25">
        <v>1.5746999999999999E-4</v>
      </c>
      <c r="H8417" s="25">
        <v>2.0264999999999999E-4</v>
      </c>
      <c r="I8417" s="9">
        <v>1.3959000000000001E-4</v>
      </c>
      <c r="J8417" s="9">
        <v>1.4558999999999999E-4</v>
      </c>
      <c r="K8417" s="9">
        <v>2.8610000000000002E-4</v>
      </c>
      <c r="L8417" s="9">
        <v>1.719E-4</v>
      </c>
      <c r="M8417" s="9">
        <v>1.7399000000000001E-4</v>
      </c>
      <c r="N8417" s="9">
        <v>1.6636E-4</v>
      </c>
      <c r="O8417" s="9">
        <v>1.6354999999999999E-4</v>
      </c>
      <c r="P8417" s="9">
        <v>1.6453999999999999E-4</v>
      </c>
      <c r="Q8417" s="9">
        <v>1.6793999999999999E-4</v>
      </c>
      <c r="R8417" s="10">
        <v>2.1052753300605689E-4</v>
      </c>
      <c r="S8417" s="10">
        <v>1.9029020759484994E-4</v>
      </c>
      <c r="T8417" s="10">
        <v>1.5392215881028553E-4</v>
      </c>
      <c r="U8417" s="10">
        <v>1.4770000000000001E-4</v>
      </c>
      <c r="V8417" s="25"/>
      <c r="W8417" s="25"/>
      <c r="X8417" s="25"/>
      <c r="Y8417" s="25"/>
      <c r="Z8417" s="25"/>
      <c r="AA8417" s="25"/>
    </row>
    <row r="8418" spans="1:27" x14ac:dyDescent="0.35">
      <c r="A8418" s="5">
        <v>8414</v>
      </c>
      <c r="B8418" s="5">
        <v>351</v>
      </c>
      <c r="C8418" s="5">
        <v>12</v>
      </c>
      <c r="D8418" s="25">
        <v>1.1416E-4</v>
      </c>
      <c r="E8418" s="25">
        <v>1.1085E-4</v>
      </c>
      <c r="F8418" s="25">
        <v>1.0039000000000001E-4</v>
      </c>
      <c r="G8418" s="25">
        <v>1.5746999999999999E-4</v>
      </c>
      <c r="H8418" s="25">
        <v>1.9681000000000001E-4</v>
      </c>
      <c r="I8418" s="9">
        <v>1.383E-4</v>
      </c>
      <c r="J8418" s="9">
        <v>1.4443999999999999E-4</v>
      </c>
      <c r="K8418" s="9">
        <v>2.6916E-4</v>
      </c>
      <c r="L8418" s="9">
        <v>1.6513000000000001E-4</v>
      </c>
      <c r="M8418" s="9">
        <v>1.7027000000000001E-4</v>
      </c>
      <c r="N8418" s="9">
        <v>1.7081999999999999E-4</v>
      </c>
      <c r="O8418" s="9">
        <v>1.7819E-4</v>
      </c>
      <c r="P8418" s="9">
        <v>1.673E-4</v>
      </c>
      <c r="Q8418" s="9">
        <v>1.5935E-4</v>
      </c>
      <c r="R8418" s="10">
        <v>2.0943213526451634E-4</v>
      </c>
      <c r="S8418" s="10">
        <v>1.9029020759484994E-4</v>
      </c>
      <c r="T8418" s="10">
        <v>1.1968801093246049E-4</v>
      </c>
      <c r="U8418" s="10">
        <v>1.4770000000000001E-4</v>
      </c>
      <c r="V8418" s="25"/>
      <c r="W8418" s="25"/>
      <c r="X8418" s="25"/>
      <c r="Y8418" s="25"/>
      <c r="Z8418" s="25"/>
      <c r="AA8418" s="25"/>
    </row>
    <row r="8419" spans="1:27" x14ac:dyDescent="0.35">
      <c r="A8419" s="5">
        <v>8415</v>
      </c>
      <c r="B8419" s="5">
        <v>351</v>
      </c>
      <c r="C8419" s="5">
        <v>12</v>
      </c>
      <c r="D8419" s="25">
        <v>1.1416E-4</v>
      </c>
      <c r="E8419" s="25">
        <v>1.1767E-4</v>
      </c>
      <c r="F8419" s="25">
        <v>1.0038E-4</v>
      </c>
      <c r="G8419" s="25">
        <v>1.5756E-4</v>
      </c>
      <c r="H8419" s="25">
        <v>1.9260999999999999E-4</v>
      </c>
      <c r="I8419" s="9">
        <v>1.3625000000000001E-4</v>
      </c>
      <c r="J8419" s="9">
        <v>1.4296999999999999E-4</v>
      </c>
      <c r="K8419" s="9">
        <v>2.7975E-4</v>
      </c>
      <c r="L8419" s="9">
        <v>1.7547E-4</v>
      </c>
      <c r="M8419" s="9">
        <v>1.6814999999999999E-4</v>
      </c>
      <c r="N8419" s="9">
        <v>1.6997E-4</v>
      </c>
      <c r="O8419" s="9">
        <v>1.8340000000000001E-4</v>
      </c>
      <c r="P8419" s="9">
        <v>1.6568999999999999E-4</v>
      </c>
      <c r="Q8419" s="9">
        <v>1.5113E-4</v>
      </c>
      <c r="R8419" s="10">
        <v>2.0770853587013881E-4</v>
      </c>
      <c r="S8419" s="10">
        <v>1.9029020313928526E-4</v>
      </c>
      <c r="T8419" s="10">
        <v>1.6783640974451928E-4</v>
      </c>
      <c r="U8419" s="10">
        <v>1.4770000000000001E-4</v>
      </c>
      <c r="V8419" s="25"/>
      <c r="W8419" s="25"/>
      <c r="X8419" s="25"/>
      <c r="Y8419" s="25"/>
      <c r="Z8419" s="25"/>
      <c r="AA8419" s="25"/>
    </row>
    <row r="8420" spans="1:27" x14ac:dyDescent="0.35">
      <c r="A8420" s="5">
        <v>8416</v>
      </c>
      <c r="B8420" s="5">
        <v>351</v>
      </c>
      <c r="C8420" s="5">
        <v>12</v>
      </c>
      <c r="D8420" s="25">
        <v>1.1416E-4</v>
      </c>
      <c r="E8420" s="25">
        <v>1.1114E-4</v>
      </c>
      <c r="F8420" s="25">
        <v>1.022E-4</v>
      </c>
      <c r="G8420" s="25">
        <v>1.5760000000000001E-4</v>
      </c>
      <c r="H8420" s="25">
        <v>1.8975E-4</v>
      </c>
      <c r="I8420" s="9">
        <v>1.3637E-4</v>
      </c>
      <c r="J8420" s="9">
        <v>1.4296999999999999E-4</v>
      </c>
      <c r="K8420" s="9">
        <v>2.7552000000000002E-4</v>
      </c>
      <c r="L8420" s="9">
        <v>1.8139E-4</v>
      </c>
      <c r="M8420" s="9">
        <v>1.6678E-4</v>
      </c>
      <c r="N8420" s="9">
        <v>1.6569999999999999E-4</v>
      </c>
      <c r="O8420" s="9">
        <v>1.9817000000000001E-4</v>
      </c>
      <c r="P8420" s="9">
        <v>1.5176E-4</v>
      </c>
      <c r="Q8420" s="9">
        <v>1.0925999999999999E-4</v>
      </c>
      <c r="R8420" s="10">
        <v>2.0840432930324942E-4</v>
      </c>
      <c r="S8420" s="10">
        <v>1.9029019163194425E-4</v>
      </c>
      <c r="T8420" s="10">
        <v>0</v>
      </c>
      <c r="U8420" s="10">
        <v>1.4770000000000001E-4</v>
      </c>
      <c r="V8420" s="25"/>
      <c r="W8420" s="25"/>
      <c r="X8420" s="25"/>
      <c r="Y8420" s="25"/>
      <c r="Z8420" s="25"/>
      <c r="AA8420" s="25"/>
    </row>
    <row r="8421" spans="1:27" x14ac:dyDescent="0.35">
      <c r="A8421" s="5">
        <v>8417</v>
      </c>
      <c r="B8421" s="5">
        <v>351</v>
      </c>
      <c r="C8421" s="5">
        <v>12</v>
      </c>
      <c r="D8421" s="25">
        <v>1.1416E-4</v>
      </c>
      <c r="E8421" s="25">
        <v>1.1106E-4</v>
      </c>
      <c r="F8421" s="25">
        <v>8.6879999999999995E-5</v>
      </c>
      <c r="G8421" s="25">
        <v>1.5698E-4</v>
      </c>
      <c r="H8421" s="25">
        <v>1.9510999999999999E-4</v>
      </c>
      <c r="I8421" s="9">
        <v>1.3872E-4</v>
      </c>
      <c r="J8421" s="9">
        <v>1.4662E-4</v>
      </c>
      <c r="K8421" s="9">
        <v>2.9458000000000002E-4</v>
      </c>
      <c r="L8421" s="9">
        <v>1.9426E-4</v>
      </c>
      <c r="M8421" s="9">
        <v>1.6113999999999999E-4</v>
      </c>
      <c r="N8421" s="9">
        <v>1.5186999999999999E-4</v>
      </c>
      <c r="O8421" s="9">
        <v>2.1766E-4</v>
      </c>
      <c r="P8421" s="9">
        <v>1.6061E-4</v>
      </c>
      <c r="Q8421" s="9">
        <v>1.0802999999999999E-4</v>
      </c>
      <c r="R8421" s="10">
        <v>2.1008260394729671E-4</v>
      </c>
      <c r="S8421" s="10">
        <v>1.9028976752208301E-4</v>
      </c>
      <c r="T8421" s="10">
        <v>0</v>
      </c>
      <c r="U8421" s="10">
        <v>1.4770000000000001E-4</v>
      </c>
      <c r="V8421" s="25"/>
      <c r="W8421" s="25"/>
      <c r="X8421" s="25"/>
      <c r="Y8421" s="25"/>
      <c r="Z8421" s="25"/>
      <c r="AA8421" s="25"/>
    </row>
    <row r="8422" spans="1:27" x14ac:dyDescent="0.35">
      <c r="A8422" s="5">
        <v>8418</v>
      </c>
      <c r="B8422" s="5">
        <v>351</v>
      </c>
      <c r="C8422" s="5">
        <v>12</v>
      </c>
      <c r="D8422" s="25">
        <v>1.1416E-4</v>
      </c>
      <c r="E8422" s="25">
        <v>1.1285000000000001E-4</v>
      </c>
      <c r="F8422" s="25">
        <v>9.7260000000000001E-5</v>
      </c>
      <c r="G8422" s="25">
        <v>1.5796000000000001E-4</v>
      </c>
      <c r="H8422" s="25">
        <v>2.0316999999999999E-4</v>
      </c>
      <c r="I8422" s="9">
        <v>1.4501E-4</v>
      </c>
      <c r="J8422" s="9">
        <v>1.5362000000000001E-4</v>
      </c>
      <c r="K8422" s="9">
        <v>3.0093999999999997E-4</v>
      </c>
      <c r="L8422" s="9">
        <v>2.1222999999999999E-4</v>
      </c>
      <c r="M8422" s="9">
        <v>1.5941999999999999E-4</v>
      </c>
      <c r="N8422" s="9">
        <v>1.3875000000000001E-4</v>
      </c>
      <c r="O8422" s="9">
        <v>2.0909999999999999E-4</v>
      </c>
      <c r="P8422" s="9">
        <v>1.6186E-4</v>
      </c>
      <c r="Q8422" s="9">
        <v>1.1875E-4</v>
      </c>
      <c r="R8422" s="10">
        <v>2.1138033976234158E-4</v>
      </c>
      <c r="S8422" s="10">
        <v>1.9028855635958955E-4</v>
      </c>
      <c r="T8422" s="10">
        <v>0</v>
      </c>
      <c r="U8422" s="10">
        <v>1.4770000000000001E-4</v>
      </c>
      <c r="V8422" s="25"/>
      <c r="W8422" s="25"/>
      <c r="X8422" s="25"/>
      <c r="Y8422" s="25"/>
      <c r="Z8422" s="25"/>
      <c r="AA8422" s="25"/>
    </row>
    <row r="8423" spans="1:27" x14ac:dyDescent="0.35">
      <c r="A8423" s="5">
        <v>8419</v>
      </c>
      <c r="B8423" s="5">
        <v>351</v>
      </c>
      <c r="C8423" s="5">
        <v>12</v>
      </c>
      <c r="D8423" s="25">
        <v>1.1416E-4</v>
      </c>
      <c r="E8423" s="25">
        <v>1.0972999999999999E-4</v>
      </c>
      <c r="F8423" s="25">
        <v>8.585E-5</v>
      </c>
      <c r="G8423" s="25">
        <v>1.1163E-4</v>
      </c>
      <c r="H8423" s="25">
        <v>1.2968999999999999E-4</v>
      </c>
      <c r="I8423" s="9">
        <v>1.4344999999999999E-4</v>
      </c>
      <c r="J8423" s="9">
        <v>1.4750000000000001E-4</v>
      </c>
      <c r="K8423" s="9">
        <v>3.0729999999999999E-4</v>
      </c>
      <c r="L8423" s="9">
        <v>2.0932000000000001E-4</v>
      </c>
      <c r="M8423" s="9">
        <v>1.6002E-4</v>
      </c>
      <c r="N8423" s="9">
        <v>1.2997E-4</v>
      </c>
      <c r="O8423" s="9">
        <v>1.6424000000000001E-4</v>
      </c>
      <c r="P8423" s="9">
        <v>1.3370999999999999E-4</v>
      </c>
      <c r="Q8423" s="9">
        <v>1.0613E-4</v>
      </c>
      <c r="R8423" s="10">
        <v>2.1179928408587392E-4</v>
      </c>
      <c r="S8423" s="10">
        <v>1.9028926204962319E-4</v>
      </c>
      <c r="T8423" s="10">
        <v>0</v>
      </c>
      <c r="U8423" s="10">
        <v>1.4770000000000001E-4</v>
      </c>
      <c r="V8423" s="25"/>
      <c r="W8423" s="25"/>
      <c r="X8423" s="25"/>
      <c r="Y8423" s="25"/>
      <c r="Z8423" s="25"/>
      <c r="AA8423" s="25"/>
    </row>
    <row r="8424" spans="1:27" x14ac:dyDescent="0.35">
      <c r="A8424" s="5">
        <v>8420</v>
      </c>
      <c r="B8424" s="5">
        <v>351</v>
      </c>
      <c r="C8424" s="5">
        <v>12</v>
      </c>
      <c r="D8424" s="25">
        <v>1.1416E-4</v>
      </c>
      <c r="E8424" s="25">
        <v>1.1790000000000001E-4</v>
      </c>
      <c r="F8424" s="25">
        <v>1.0499E-4</v>
      </c>
      <c r="G8424" s="25">
        <v>1.1158999999999999E-4</v>
      </c>
      <c r="H8424" s="25">
        <v>1.373E-4</v>
      </c>
      <c r="I8424" s="9">
        <v>1.3729000000000001E-4</v>
      </c>
      <c r="J8424" s="9">
        <v>1.4218E-4</v>
      </c>
      <c r="K8424" s="9">
        <v>3.0306000000000002E-4</v>
      </c>
      <c r="L8424" s="9">
        <v>1.7432E-4</v>
      </c>
      <c r="M8424" s="9">
        <v>1.5085000000000001E-4</v>
      </c>
      <c r="N8424" s="9">
        <v>1.2077E-4</v>
      </c>
      <c r="O8424" s="9">
        <v>1.3053000000000001E-4</v>
      </c>
      <c r="P8424" s="9">
        <v>1.1551E-4</v>
      </c>
      <c r="Q8424" s="9">
        <v>1.0246E-4</v>
      </c>
      <c r="R8424" s="10">
        <v>2.1203318778198531E-4</v>
      </c>
      <c r="S8424" s="10">
        <v>1.9029016972557951E-4</v>
      </c>
      <c r="T8424" s="10">
        <v>0</v>
      </c>
      <c r="U8424" s="10">
        <v>1.4770000000000001E-4</v>
      </c>
      <c r="V8424" s="25"/>
      <c r="W8424" s="25"/>
      <c r="X8424" s="25"/>
      <c r="Y8424" s="25"/>
      <c r="Z8424" s="25"/>
      <c r="AA8424" s="25"/>
    </row>
    <row r="8425" spans="1:27" x14ac:dyDescent="0.35">
      <c r="A8425" s="5">
        <v>8421</v>
      </c>
      <c r="B8425" s="5">
        <v>351</v>
      </c>
      <c r="C8425" s="5">
        <v>12</v>
      </c>
      <c r="D8425" s="25">
        <v>1.1416E-4</v>
      </c>
      <c r="E8425" s="25">
        <v>1.1628E-4</v>
      </c>
      <c r="F8425" s="25">
        <v>9.1230000000000006E-5</v>
      </c>
      <c r="G8425" s="25">
        <v>6.0909999999999998E-5</v>
      </c>
      <c r="H8425" s="25">
        <v>6.8380000000000006E-5</v>
      </c>
      <c r="I8425" s="9">
        <v>1.3180000000000001E-4</v>
      </c>
      <c r="J8425" s="9">
        <v>1.3594E-4</v>
      </c>
      <c r="K8425" s="9">
        <v>3.3272999999999999E-4</v>
      </c>
      <c r="L8425" s="9">
        <v>1.4124999999999999E-4</v>
      </c>
      <c r="M8425" s="9">
        <v>1.3552E-4</v>
      </c>
      <c r="N8425" s="9">
        <v>1.1332000000000001E-4</v>
      </c>
      <c r="O8425" s="9">
        <v>8.4389999999999997E-5</v>
      </c>
      <c r="P8425" s="9">
        <v>8.5599999999999994E-5</v>
      </c>
      <c r="Q8425" s="9">
        <v>8.7579999999999998E-5</v>
      </c>
      <c r="R8425" s="10">
        <v>2.1224831103295767E-4</v>
      </c>
      <c r="S8425" s="10">
        <v>1.9029019724293685E-4</v>
      </c>
      <c r="T8425" s="10">
        <v>0</v>
      </c>
      <c r="U8425" s="10">
        <v>1.4770000000000001E-4</v>
      </c>
      <c r="V8425" s="25"/>
      <c r="W8425" s="25"/>
      <c r="X8425" s="25"/>
      <c r="Y8425" s="25"/>
      <c r="Z8425" s="25"/>
      <c r="AA8425" s="25"/>
    </row>
    <row r="8426" spans="1:27" x14ac:dyDescent="0.35">
      <c r="A8426" s="5">
        <v>8422</v>
      </c>
      <c r="B8426" s="5">
        <v>351</v>
      </c>
      <c r="C8426" s="5">
        <v>12</v>
      </c>
      <c r="D8426" s="25">
        <v>1.1416E-4</v>
      </c>
      <c r="E8426" s="25">
        <v>1.091E-4</v>
      </c>
      <c r="F8426" s="25">
        <v>8.6899999999999998E-5</v>
      </c>
      <c r="G8426" s="25">
        <v>5.2490000000000001E-5</v>
      </c>
      <c r="H8426" s="25">
        <v>6.6829999999999995E-5</v>
      </c>
      <c r="I8426" s="9">
        <v>1.261E-4</v>
      </c>
      <c r="J8426" s="9">
        <v>1.2799999999999999E-4</v>
      </c>
      <c r="K8426" s="9">
        <v>3.1366E-4</v>
      </c>
      <c r="L8426" s="9">
        <v>9.7789999999999997E-5</v>
      </c>
      <c r="M8426" s="9">
        <v>1.1362E-4</v>
      </c>
      <c r="N8426" s="9">
        <v>1.0560000000000001E-4</v>
      </c>
      <c r="O8426" s="9">
        <v>8.844E-5</v>
      </c>
      <c r="P8426" s="9">
        <v>8.8230000000000001E-5</v>
      </c>
      <c r="Q8426" s="9">
        <v>8.8880000000000003E-5</v>
      </c>
      <c r="R8426" s="10">
        <v>2.1230863965903622E-4</v>
      </c>
      <c r="S8426" s="10">
        <v>1.9029015788247583E-4</v>
      </c>
      <c r="T8426" s="10">
        <v>0</v>
      </c>
      <c r="U8426" s="10">
        <v>1.4770000000000001E-4</v>
      </c>
      <c r="V8426" s="25"/>
      <c r="W8426" s="25"/>
      <c r="X8426" s="25"/>
      <c r="Y8426" s="25"/>
      <c r="Z8426" s="25"/>
      <c r="AA8426" s="25"/>
    </row>
    <row r="8427" spans="1:27" x14ac:dyDescent="0.35">
      <c r="A8427" s="5">
        <v>8423</v>
      </c>
      <c r="B8427" s="5">
        <v>351</v>
      </c>
      <c r="C8427" s="5">
        <v>12</v>
      </c>
      <c r="D8427" s="25">
        <v>1.1416E-4</v>
      </c>
      <c r="E8427" s="25">
        <v>1.1485999999999999E-4</v>
      </c>
      <c r="F8427" s="25">
        <v>9.713E-5</v>
      </c>
      <c r="G8427" s="25">
        <v>5.4950000000000001E-5</v>
      </c>
      <c r="H8427" s="25">
        <v>6.8590000000000006E-5</v>
      </c>
      <c r="I8427" s="9">
        <v>1.2799999999999999E-4</v>
      </c>
      <c r="J8427" s="9">
        <v>1.2013E-4</v>
      </c>
      <c r="K8427" s="9">
        <v>2.967E-4</v>
      </c>
      <c r="L8427" s="9">
        <v>9.145E-5</v>
      </c>
      <c r="M8427" s="9">
        <v>9.9110000000000005E-5</v>
      </c>
      <c r="N8427" s="9">
        <v>9.9920000000000006E-5</v>
      </c>
      <c r="O8427" s="9">
        <v>7.75E-5</v>
      </c>
      <c r="P8427" s="9">
        <v>7.1559999999999999E-5</v>
      </c>
      <c r="Q8427" s="9">
        <v>6.635E-5</v>
      </c>
      <c r="R8427" s="10">
        <v>2.1201908429498538E-4</v>
      </c>
      <c r="S8427" s="10">
        <v>1.9029020759484994E-4</v>
      </c>
      <c r="T8427" s="10">
        <v>0</v>
      </c>
      <c r="U8427" s="10">
        <v>1.4770000000000001E-4</v>
      </c>
      <c r="V8427" s="25"/>
      <c r="W8427" s="25"/>
      <c r="X8427" s="25"/>
      <c r="Y8427" s="25"/>
      <c r="Z8427" s="25"/>
      <c r="AA8427" s="25"/>
    </row>
    <row r="8428" spans="1:27" x14ac:dyDescent="0.35">
      <c r="A8428" s="5">
        <v>8424</v>
      </c>
      <c r="B8428" s="5">
        <v>351</v>
      </c>
      <c r="C8428" s="5">
        <v>12</v>
      </c>
      <c r="D8428" s="25">
        <v>1.1416E-4</v>
      </c>
      <c r="E8428" s="25">
        <v>1.1563E-4</v>
      </c>
      <c r="F8428" s="25">
        <v>1.0472E-4</v>
      </c>
      <c r="G8428" s="25">
        <v>5.7099999999999999E-5</v>
      </c>
      <c r="H8428" s="25">
        <v>7.271E-5</v>
      </c>
      <c r="I8428" s="9">
        <v>1.2640000000000001E-4</v>
      </c>
      <c r="J8428" s="9">
        <v>1.1370999999999999E-4</v>
      </c>
      <c r="K8428" s="9">
        <v>2.8823E-4</v>
      </c>
      <c r="L8428" s="9">
        <v>8.0539999999999998E-5</v>
      </c>
      <c r="M8428" s="9">
        <v>8.6009999999999998E-5</v>
      </c>
      <c r="N8428" s="9">
        <v>9.0489999999999996E-5</v>
      </c>
      <c r="O8428" s="9">
        <v>6.2589999999999995E-5</v>
      </c>
      <c r="P8428" s="9">
        <v>6.0430000000000002E-5</v>
      </c>
      <c r="Q8428" s="9">
        <v>5.8619999999999998E-5</v>
      </c>
      <c r="R8428" s="10">
        <v>2.1098074030049692E-4</v>
      </c>
      <c r="S8428" s="10">
        <v>1.902879944583592E-4</v>
      </c>
      <c r="T8428" s="10">
        <v>0</v>
      </c>
      <c r="U8428" s="10">
        <v>1.4770000000000001E-4</v>
      </c>
      <c r="V8428" s="25"/>
      <c r="W8428" s="25"/>
      <c r="X8428" s="25"/>
      <c r="Y8428" s="25"/>
      <c r="Z8428" s="25"/>
      <c r="AA8428" s="25"/>
    </row>
    <row r="8429" spans="1:27" x14ac:dyDescent="0.35">
      <c r="A8429" s="5">
        <v>8425</v>
      </c>
      <c r="B8429" s="5">
        <v>352</v>
      </c>
      <c r="C8429" s="5">
        <v>12</v>
      </c>
      <c r="D8429" s="25">
        <v>1.1416E-4</v>
      </c>
      <c r="E8429" s="25">
        <v>1.0648E-4</v>
      </c>
      <c r="F8429" s="25">
        <v>1.3124E-4</v>
      </c>
      <c r="G8429" s="25">
        <v>5.3779999999999997E-5</v>
      </c>
      <c r="H8429" s="25">
        <v>7.5799999999999999E-5</v>
      </c>
      <c r="I8429" s="9">
        <v>1.1891E-4</v>
      </c>
      <c r="J8429" s="9">
        <v>1.0657E-4</v>
      </c>
      <c r="K8429" s="9">
        <v>3.2214E-4</v>
      </c>
      <c r="L8429" s="9">
        <v>6.656E-5</v>
      </c>
      <c r="M8429" s="9">
        <v>7.3780000000000002E-5</v>
      </c>
      <c r="N8429" s="9">
        <v>8.1039999999999997E-5</v>
      </c>
      <c r="O8429" s="9">
        <v>5.4780000000000001E-5</v>
      </c>
      <c r="P8429" s="9">
        <v>5.4190000000000001E-5</v>
      </c>
      <c r="Q8429" s="9">
        <v>5.376E-5</v>
      </c>
      <c r="R8429" s="10">
        <v>2.0881971511680183E-4</v>
      </c>
      <c r="S8429" s="10">
        <v>1.9028122691391866E-4</v>
      </c>
      <c r="T8429" s="10">
        <v>0</v>
      </c>
      <c r="U8429" s="10">
        <v>1.4683E-4</v>
      </c>
      <c r="V8429" s="25"/>
      <c r="W8429" s="25"/>
      <c r="X8429" s="25"/>
      <c r="Y8429" s="25"/>
      <c r="Z8429" s="25"/>
      <c r="AA8429" s="25"/>
    </row>
    <row r="8430" spans="1:27" x14ac:dyDescent="0.35">
      <c r="A8430" s="5">
        <v>8426</v>
      </c>
      <c r="B8430" s="5">
        <v>352</v>
      </c>
      <c r="C8430" s="5">
        <v>12</v>
      </c>
      <c r="D8430" s="25">
        <v>1.1416E-4</v>
      </c>
      <c r="E8430" s="25">
        <v>1.0912999999999999E-4</v>
      </c>
      <c r="F8430" s="25">
        <v>1.2897000000000001E-4</v>
      </c>
      <c r="G8430" s="25">
        <v>5.9280000000000002E-5</v>
      </c>
      <c r="H8430" s="25">
        <v>7.3720000000000006E-5</v>
      </c>
      <c r="I8430" s="9">
        <v>1.1340000000000001E-4</v>
      </c>
      <c r="J8430" s="9">
        <v>1.0153E-4</v>
      </c>
      <c r="K8430" s="9">
        <v>2.8611000000000001E-4</v>
      </c>
      <c r="L8430" s="9">
        <v>5.7760000000000003E-5</v>
      </c>
      <c r="M8430" s="9">
        <v>6.3830000000000004E-5</v>
      </c>
      <c r="N8430" s="9">
        <v>7.1989999999999993E-5</v>
      </c>
      <c r="O8430" s="9">
        <v>1.827E-5</v>
      </c>
      <c r="P8430" s="9">
        <v>3.748E-5</v>
      </c>
      <c r="Q8430" s="9">
        <v>5.5770000000000003E-5</v>
      </c>
      <c r="R8430" s="10">
        <v>2.0840296203594684E-4</v>
      </c>
      <c r="S8430" s="10">
        <v>1.9004869863265789E-4</v>
      </c>
      <c r="T8430" s="10">
        <v>0</v>
      </c>
      <c r="U8430" s="10">
        <v>1.4683E-4</v>
      </c>
      <c r="V8430" s="25"/>
      <c r="W8430" s="25"/>
      <c r="X8430" s="25"/>
      <c r="Y8430" s="25"/>
      <c r="Z8430" s="25"/>
      <c r="AA8430" s="25"/>
    </row>
    <row r="8431" spans="1:27" x14ac:dyDescent="0.35">
      <c r="A8431" s="5">
        <v>8427</v>
      </c>
      <c r="B8431" s="5">
        <v>352</v>
      </c>
      <c r="C8431" s="5">
        <v>12</v>
      </c>
      <c r="D8431" s="25">
        <v>1.1416E-4</v>
      </c>
      <c r="E8431" s="25">
        <v>1.1232E-4</v>
      </c>
      <c r="F8431" s="25">
        <v>1.2642E-4</v>
      </c>
      <c r="G8431" s="25">
        <v>6.0560000000000003E-5</v>
      </c>
      <c r="H8431" s="25">
        <v>6.7089999999999996E-5</v>
      </c>
      <c r="I8431" s="9">
        <v>1.0828999999999999E-4</v>
      </c>
      <c r="J8431" s="9">
        <v>9.8270000000000006E-5</v>
      </c>
      <c r="K8431" s="9">
        <v>3.1789999999999998E-4</v>
      </c>
      <c r="L8431" s="9">
        <v>2.7149999999999999E-5</v>
      </c>
      <c r="M8431" s="9">
        <v>5.2080000000000003E-5</v>
      </c>
      <c r="N8431" s="9">
        <v>6.5370000000000006E-5</v>
      </c>
      <c r="O8431" s="9">
        <v>1.2979999999999999E-5</v>
      </c>
      <c r="P8431" s="9">
        <v>3.8130000000000003E-5</v>
      </c>
      <c r="Q8431" s="9">
        <v>6.2150000000000006E-5</v>
      </c>
      <c r="R8431" s="10">
        <v>2.051564241186401E-4</v>
      </c>
      <c r="S8431" s="10">
        <v>1.899341576083495E-4</v>
      </c>
      <c r="T8431" s="10">
        <v>0</v>
      </c>
      <c r="U8431" s="10">
        <v>1.4683E-4</v>
      </c>
      <c r="V8431" s="25"/>
      <c r="W8431" s="25"/>
      <c r="X8431" s="25"/>
      <c r="Y8431" s="25"/>
      <c r="Z8431" s="25"/>
      <c r="AA8431" s="25"/>
    </row>
    <row r="8432" spans="1:27" x14ac:dyDescent="0.35">
      <c r="A8432" s="5">
        <v>8428</v>
      </c>
      <c r="B8432" s="5">
        <v>352</v>
      </c>
      <c r="C8432" s="5">
        <v>12</v>
      </c>
      <c r="D8432" s="25">
        <v>1.1416E-4</v>
      </c>
      <c r="E8432" s="25">
        <v>1.1432E-4</v>
      </c>
      <c r="F8432" s="25">
        <v>1.2542E-4</v>
      </c>
      <c r="G8432" s="25">
        <v>6.2639999999999997E-5</v>
      </c>
      <c r="H8432" s="25">
        <v>6.6459999999999997E-5</v>
      </c>
      <c r="I8432" s="9">
        <v>1.0589E-4</v>
      </c>
      <c r="J8432" s="9">
        <v>9.6139999999999998E-5</v>
      </c>
      <c r="K8432" s="9">
        <v>3.2002000000000002E-4</v>
      </c>
      <c r="L8432" s="9">
        <v>1.6860000000000001E-5</v>
      </c>
      <c r="M8432" s="9">
        <v>4.4249999999999998E-5</v>
      </c>
      <c r="N8432" s="9">
        <v>6.1929999999999998E-5</v>
      </c>
      <c r="O8432" s="9">
        <v>1.292E-5</v>
      </c>
      <c r="P8432" s="9">
        <v>4.7460000000000003E-5</v>
      </c>
      <c r="Q8432" s="9">
        <v>8.072E-5</v>
      </c>
      <c r="R8432" s="10">
        <v>2.0338710748815851E-4</v>
      </c>
      <c r="S8432" s="10">
        <v>1.9008032638802286E-4</v>
      </c>
      <c r="T8432" s="10">
        <v>0</v>
      </c>
      <c r="U8432" s="10">
        <v>1.4683E-4</v>
      </c>
      <c r="V8432" s="25"/>
      <c r="W8432" s="25"/>
      <c r="X8432" s="25"/>
      <c r="Y8432" s="25"/>
      <c r="Z8432" s="25"/>
      <c r="AA8432" s="25"/>
    </row>
    <row r="8433" spans="1:27" x14ac:dyDescent="0.35">
      <c r="A8433" s="5">
        <v>8429</v>
      </c>
      <c r="B8433" s="5">
        <v>352</v>
      </c>
      <c r="C8433" s="5">
        <v>12</v>
      </c>
      <c r="D8433" s="25">
        <v>1.1416E-4</v>
      </c>
      <c r="E8433" s="25">
        <v>1.1213999999999999E-4</v>
      </c>
      <c r="F8433" s="25">
        <v>1.1333E-4</v>
      </c>
      <c r="G8433" s="25">
        <v>5.7630000000000002E-5</v>
      </c>
      <c r="H8433" s="25">
        <v>6.7659999999999999E-5</v>
      </c>
      <c r="I8433" s="9">
        <v>1.0459999999999999E-4</v>
      </c>
      <c r="J8433" s="9">
        <v>9.5630000000000004E-5</v>
      </c>
      <c r="K8433" s="9">
        <v>3.3062E-4</v>
      </c>
      <c r="L8433" s="9">
        <v>1.4039999999999999E-5</v>
      </c>
      <c r="M8433" s="9">
        <v>4.3649999999999997E-5</v>
      </c>
      <c r="N8433" s="9">
        <v>6.457E-5</v>
      </c>
      <c r="O8433" s="9">
        <v>1.827E-5</v>
      </c>
      <c r="P8433" s="9">
        <v>5.6209999999999999E-5</v>
      </c>
      <c r="Q8433" s="9">
        <v>9.2940000000000001E-5</v>
      </c>
      <c r="R8433" s="10">
        <v>2.039256312120432E-4</v>
      </c>
      <c r="S8433" s="10">
        <v>1.900352784153386E-4</v>
      </c>
      <c r="T8433" s="10">
        <v>0</v>
      </c>
      <c r="U8433" s="10">
        <v>1.4683E-4</v>
      </c>
      <c r="V8433" s="25"/>
      <c r="W8433" s="25"/>
      <c r="X8433" s="25"/>
      <c r="Y8433" s="25"/>
      <c r="Z8433" s="25"/>
      <c r="AA8433" s="25"/>
    </row>
    <row r="8434" spans="1:27" x14ac:dyDescent="0.35">
      <c r="A8434" s="5">
        <v>8430</v>
      </c>
      <c r="B8434" s="5">
        <v>352</v>
      </c>
      <c r="C8434" s="5">
        <v>12</v>
      </c>
      <c r="D8434" s="25">
        <v>1.1416E-4</v>
      </c>
      <c r="E8434" s="25">
        <v>1.0454999999999999E-4</v>
      </c>
      <c r="F8434" s="25">
        <v>1.2031000000000001E-4</v>
      </c>
      <c r="G8434" s="25">
        <v>1.0586000000000001E-4</v>
      </c>
      <c r="H8434" s="25">
        <v>1.3605E-4</v>
      </c>
      <c r="I8434" s="9">
        <v>1.0626E-4</v>
      </c>
      <c r="J8434" s="9">
        <v>9.7050000000000001E-5</v>
      </c>
      <c r="K8434" s="9">
        <v>3.3484999999999998E-4</v>
      </c>
      <c r="L8434" s="9">
        <v>1.7200000000000001E-5</v>
      </c>
      <c r="M8434" s="9">
        <v>4.8369999999999999E-5</v>
      </c>
      <c r="N8434" s="9">
        <v>7.0980000000000001E-5</v>
      </c>
      <c r="O8434" s="9">
        <v>4.6090000000000001E-5</v>
      </c>
      <c r="P8434" s="9">
        <v>7.6699999999999994E-5</v>
      </c>
      <c r="Q8434" s="9">
        <v>1.0679999999999999E-4</v>
      </c>
      <c r="R8434" s="10">
        <v>2.025886141776419E-4</v>
      </c>
      <c r="S8434" s="10">
        <v>1.8983037446449979E-4</v>
      </c>
      <c r="T8434" s="10">
        <v>0</v>
      </c>
      <c r="U8434" s="10">
        <v>1.4683E-4</v>
      </c>
      <c r="V8434" s="25"/>
      <c r="W8434" s="25"/>
      <c r="X8434" s="25"/>
      <c r="Y8434" s="25"/>
      <c r="Z8434" s="25"/>
      <c r="AA8434" s="25"/>
    </row>
    <row r="8435" spans="1:27" x14ac:dyDescent="0.35">
      <c r="A8435" s="5">
        <v>8431</v>
      </c>
      <c r="B8435" s="5">
        <v>352</v>
      </c>
      <c r="C8435" s="5">
        <v>12</v>
      </c>
      <c r="D8435" s="25">
        <v>1.1416E-4</v>
      </c>
      <c r="E8435" s="25">
        <v>1.0931E-4</v>
      </c>
      <c r="F8435" s="25">
        <v>1.2265E-4</v>
      </c>
      <c r="G8435" s="25">
        <v>1.1069999999999999E-4</v>
      </c>
      <c r="H8435" s="25">
        <v>1.3250999999999999E-4</v>
      </c>
      <c r="I8435" s="9">
        <v>1.1016E-4</v>
      </c>
      <c r="J8435" s="9">
        <v>1.0127E-4</v>
      </c>
      <c r="K8435" s="9">
        <v>2.9881999999999999E-4</v>
      </c>
      <c r="L8435" s="9">
        <v>3.96E-5</v>
      </c>
      <c r="M8435" s="9">
        <v>5.9889999999999997E-5</v>
      </c>
      <c r="N8435" s="9">
        <v>8.0630000000000006E-5</v>
      </c>
      <c r="O8435" s="9">
        <v>1.2321000000000001E-4</v>
      </c>
      <c r="P8435" s="9">
        <v>1.166E-4</v>
      </c>
      <c r="Q8435" s="9">
        <v>1.117E-4</v>
      </c>
      <c r="R8435" s="10">
        <v>1.9973712106360943E-4</v>
      </c>
      <c r="S8435" s="10">
        <v>1.8950224418494622E-4</v>
      </c>
      <c r="T8435" s="10">
        <v>0</v>
      </c>
      <c r="U8435" s="10">
        <v>1.4683E-4</v>
      </c>
      <c r="V8435" s="25"/>
      <c r="W8435" s="25"/>
      <c r="X8435" s="25"/>
      <c r="Y8435" s="25"/>
      <c r="Z8435" s="25"/>
      <c r="AA8435" s="25"/>
    </row>
    <row r="8436" spans="1:27" x14ac:dyDescent="0.35">
      <c r="A8436" s="5">
        <v>8432</v>
      </c>
      <c r="B8436" s="5">
        <v>352</v>
      </c>
      <c r="C8436" s="5">
        <v>12</v>
      </c>
      <c r="D8436" s="25">
        <v>1.1416E-4</v>
      </c>
      <c r="E8436" s="25">
        <v>1.1266E-4</v>
      </c>
      <c r="F8436" s="25">
        <v>1.3113E-4</v>
      </c>
      <c r="G8436" s="25">
        <v>1.6555000000000001E-4</v>
      </c>
      <c r="H8436" s="25">
        <v>1.8948000000000001E-4</v>
      </c>
      <c r="I8436" s="9">
        <v>1.1442000000000001E-4</v>
      </c>
      <c r="J8436" s="9">
        <v>1.0938999999999999E-4</v>
      </c>
      <c r="K8436" s="9">
        <v>3.3909000000000001E-4</v>
      </c>
      <c r="L8436" s="9">
        <v>1.0419E-4</v>
      </c>
      <c r="M8436" s="9">
        <v>8.3280000000000002E-5</v>
      </c>
      <c r="N8436" s="9">
        <v>9.0580000000000004E-5</v>
      </c>
      <c r="O8436" s="9">
        <v>2.2211E-4</v>
      </c>
      <c r="P8436" s="9">
        <v>1.7738000000000001E-4</v>
      </c>
      <c r="Q8436" s="9">
        <v>1.3702000000000001E-4</v>
      </c>
      <c r="R8436" s="10">
        <v>1.8939270786633671E-4</v>
      </c>
      <c r="S8436" s="10">
        <v>1.8973181389568948E-4</v>
      </c>
      <c r="T8436" s="10">
        <v>0</v>
      </c>
      <c r="U8436" s="10">
        <v>1.4683E-4</v>
      </c>
      <c r="V8436" s="25"/>
      <c r="W8436" s="25"/>
      <c r="X8436" s="25"/>
      <c r="Y8436" s="25"/>
      <c r="Z8436" s="25"/>
      <c r="AA8436" s="25"/>
    </row>
    <row r="8437" spans="1:27" x14ac:dyDescent="0.35">
      <c r="A8437" s="5">
        <v>8433</v>
      </c>
      <c r="B8437" s="5">
        <v>352</v>
      </c>
      <c r="C8437" s="5">
        <v>12</v>
      </c>
      <c r="D8437" s="25">
        <v>1.1416E-4</v>
      </c>
      <c r="E8437" s="25">
        <v>1.0859E-4</v>
      </c>
      <c r="F8437" s="25">
        <v>1.2795999999999999E-4</v>
      </c>
      <c r="G8437" s="25">
        <v>1.5867999999999999E-4</v>
      </c>
      <c r="H8437" s="25">
        <v>1.9285E-4</v>
      </c>
      <c r="I8437" s="9">
        <v>1.217E-4</v>
      </c>
      <c r="J8437" s="9">
        <v>1.2012E-4</v>
      </c>
      <c r="K8437" s="9">
        <v>3.0728999999999999E-4</v>
      </c>
      <c r="L8437" s="9">
        <v>1.9440000000000001E-4</v>
      </c>
      <c r="M8437" s="9">
        <v>1.2321000000000001E-4</v>
      </c>
      <c r="N8437" s="9">
        <v>1.0438999999999999E-4</v>
      </c>
      <c r="O8437" s="9">
        <v>2.1324000000000001E-4</v>
      </c>
      <c r="P8437" s="9">
        <v>1.9317E-4</v>
      </c>
      <c r="Q8437" s="9">
        <v>1.7691000000000001E-4</v>
      </c>
      <c r="R8437" s="10">
        <v>1.8524164733316165E-4</v>
      </c>
      <c r="S8437" s="10">
        <v>1.8956713435306814E-4</v>
      </c>
      <c r="T8437" s="10">
        <v>7.6613223131786932E-6</v>
      </c>
      <c r="U8437" s="10">
        <v>1.4683E-4</v>
      </c>
      <c r="V8437" s="25"/>
      <c r="W8437" s="25"/>
      <c r="X8437" s="25"/>
      <c r="Y8437" s="25"/>
      <c r="Z8437" s="25"/>
      <c r="AA8437" s="25"/>
    </row>
    <row r="8438" spans="1:27" x14ac:dyDescent="0.35">
      <c r="A8438" s="5">
        <v>8434</v>
      </c>
      <c r="B8438" s="5">
        <v>352</v>
      </c>
      <c r="C8438" s="5">
        <v>12</v>
      </c>
      <c r="D8438" s="25">
        <v>1.1416E-4</v>
      </c>
      <c r="E8438" s="25">
        <v>1.1011E-4</v>
      </c>
      <c r="F8438" s="25">
        <v>1.2925999999999999E-4</v>
      </c>
      <c r="G8438" s="25">
        <v>1.5977999999999999E-4</v>
      </c>
      <c r="H8438" s="25">
        <v>1.9107999999999999E-4</v>
      </c>
      <c r="I8438" s="9">
        <v>1.271E-4</v>
      </c>
      <c r="J8438" s="9">
        <v>1.2794E-4</v>
      </c>
      <c r="K8438" s="9">
        <v>2.8397999999999997E-4</v>
      </c>
      <c r="L8438" s="9">
        <v>2.0672E-4</v>
      </c>
      <c r="M8438" s="9">
        <v>1.5852999999999999E-4</v>
      </c>
      <c r="N8438" s="9">
        <v>1.2442E-4</v>
      </c>
      <c r="O8438" s="9">
        <v>1.6736999999999999E-4</v>
      </c>
      <c r="P8438" s="9">
        <v>1.7286999999999999E-4</v>
      </c>
      <c r="Q8438" s="9">
        <v>1.8081999999999999E-4</v>
      </c>
      <c r="R8438" s="10">
        <v>1.8308934206831898E-4</v>
      </c>
      <c r="S8438" s="10">
        <v>1.893897799270482E-4</v>
      </c>
      <c r="T8438" s="10">
        <v>3.2868175682452111E-5</v>
      </c>
      <c r="U8438" s="10">
        <v>1.4683E-4</v>
      </c>
      <c r="V8438" s="25"/>
      <c r="W8438" s="25"/>
      <c r="X8438" s="25"/>
      <c r="Y8438" s="25"/>
      <c r="Z8438" s="25"/>
      <c r="AA8438" s="25"/>
    </row>
    <row r="8439" spans="1:27" x14ac:dyDescent="0.35">
      <c r="A8439" s="5">
        <v>8435</v>
      </c>
      <c r="B8439" s="5">
        <v>352</v>
      </c>
      <c r="C8439" s="5">
        <v>12</v>
      </c>
      <c r="D8439" s="25">
        <v>1.1416E-4</v>
      </c>
      <c r="E8439" s="25">
        <v>1.1252E-4</v>
      </c>
      <c r="F8439" s="25">
        <v>1.1388E-4</v>
      </c>
      <c r="G8439" s="25">
        <v>1.5890000000000001E-4</v>
      </c>
      <c r="H8439" s="25">
        <v>1.9053000000000001E-4</v>
      </c>
      <c r="I8439" s="9">
        <v>1.3051999999999999E-4</v>
      </c>
      <c r="J8439" s="9">
        <v>1.3214999999999999E-4</v>
      </c>
      <c r="K8439" s="9">
        <v>2.5008000000000002E-4</v>
      </c>
      <c r="L8439" s="9">
        <v>1.761E-4</v>
      </c>
      <c r="M8439" s="9">
        <v>1.7186999999999999E-4</v>
      </c>
      <c r="N8439" s="9">
        <v>1.4227E-4</v>
      </c>
      <c r="O8439" s="9">
        <v>1.6788E-4</v>
      </c>
      <c r="P8439" s="9">
        <v>1.7205000000000001E-4</v>
      </c>
      <c r="Q8439" s="9">
        <v>1.7870000000000001E-4</v>
      </c>
      <c r="R8439" s="10">
        <v>1.7678594665998653E-4</v>
      </c>
      <c r="S8439" s="10">
        <v>1.8920591008078004E-4</v>
      </c>
      <c r="T8439" s="10">
        <v>6.5897553052556926E-5</v>
      </c>
      <c r="U8439" s="10">
        <v>1.4683E-4</v>
      </c>
      <c r="V8439" s="25"/>
      <c r="W8439" s="25"/>
      <c r="X8439" s="25"/>
      <c r="Y8439" s="25"/>
      <c r="Z8439" s="25"/>
      <c r="AA8439" s="25"/>
    </row>
    <row r="8440" spans="1:27" x14ac:dyDescent="0.35">
      <c r="A8440" s="5">
        <v>8436</v>
      </c>
      <c r="B8440" s="5">
        <v>352</v>
      </c>
      <c r="C8440" s="5">
        <v>12</v>
      </c>
      <c r="D8440" s="25">
        <v>1.1416E-4</v>
      </c>
      <c r="E8440" s="25">
        <v>1.0923E-4</v>
      </c>
      <c r="F8440" s="25">
        <v>1.2486999999999999E-4</v>
      </c>
      <c r="G8440" s="25">
        <v>1.618E-4</v>
      </c>
      <c r="H8440" s="25">
        <v>1.9694999999999999E-4</v>
      </c>
      <c r="I8440" s="9">
        <v>1.3284000000000001E-4</v>
      </c>
      <c r="J8440" s="9">
        <v>1.3299000000000001E-4</v>
      </c>
      <c r="K8440" s="9">
        <v>2.3101E-4</v>
      </c>
      <c r="L8440" s="9">
        <v>1.7115000000000001E-4</v>
      </c>
      <c r="M8440" s="9">
        <v>1.7414000000000001E-4</v>
      </c>
      <c r="N8440" s="9">
        <v>1.5622999999999999E-4</v>
      </c>
      <c r="O8440" s="9">
        <v>1.6987999999999999E-4</v>
      </c>
      <c r="P8440" s="9">
        <v>1.6993999999999999E-4</v>
      </c>
      <c r="Q8440" s="9">
        <v>1.7258E-4</v>
      </c>
      <c r="R8440" s="10">
        <v>1.6153785453135443E-4</v>
      </c>
      <c r="S8440" s="10">
        <v>1.8706075071038011E-4</v>
      </c>
      <c r="T8440" s="10">
        <v>1.076572744539584E-4</v>
      </c>
      <c r="U8440" s="10">
        <v>1.4683E-4</v>
      </c>
      <c r="V8440" s="25"/>
      <c r="W8440" s="25"/>
      <c r="X8440" s="25"/>
      <c r="Y8440" s="25"/>
      <c r="Z8440" s="25"/>
      <c r="AA8440" s="25"/>
    </row>
    <row r="8441" spans="1:27" x14ac:dyDescent="0.35">
      <c r="A8441" s="5">
        <v>8437</v>
      </c>
      <c r="B8441" s="5">
        <v>352</v>
      </c>
      <c r="C8441" s="5">
        <v>12</v>
      </c>
      <c r="D8441" s="25">
        <v>1.1416E-4</v>
      </c>
      <c r="E8441" s="25">
        <v>1.0569999999999999E-4</v>
      </c>
      <c r="F8441" s="25">
        <v>1.3259E-4</v>
      </c>
      <c r="G8441" s="25">
        <v>1.6127000000000001E-4</v>
      </c>
      <c r="H8441" s="25">
        <v>1.9694999999999999E-4</v>
      </c>
      <c r="I8441" s="9">
        <v>1.3232000000000001E-4</v>
      </c>
      <c r="J8441" s="9">
        <v>1.3181999999999999E-4</v>
      </c>
      <c r="K8441" s="9">
        <v>2.3101E-4</v>
      </c>
      <c r="L8441" s="9">
        <v>1.7032000000000001E-4</v>
      </c>
      <c r="M8441" s="9">
        <v>1.7274E-4</v>
      </c>
      <c r="N8441" s="9">
        <v>1.6543999999999999E-4</v>
      </c>
      <c r="O8441" s="9">
        <v>1.6202E-4</v>
      </c>
      <c r="P8441" s="9">
        <v>1.6299000000000001E-4</v>
      </c>
      <c r="Q8441" s="9">
        <v>1.6636999999999999E-4</v>
      </c>
      <c r="R8441" s="10">
        <v>1.676581511262536E-4</v>
      </c>
      <c r="S8441" s="10">
        <v>1.880304094838337E-4</v>
      </c>
      <c r="T8441" s="10">
        <v>2.2847369719998785E-4</v>
      </c>
      <c r="U8441" s="10">
        <v>1.4683E-4</v>
      </c>
      <c r="V8441" s="25"/>
      <c r="W8441" s="25"/>
      <c r="X8441" s="25"/>
      <c r="Y8441" s="25"/>
      <c r="Z8441" s="25"/>
      <c r="AA8441" s="25"/>
    </row>
    <row r="8442" spans="1:27" x14ac:dyDescent="0.35">
      <c r="A8442" s="5">
        <v>8438</v>
      </c>
      <c r="B8442" s="5">
        <v>352</v>
      </c>
      <c r="C8442" s="5">
        <v>12</v>
      </c>
      <c r="D8442" s="25">
        <v>1.1416E-4</v>
      </c>
      <c r="E8442" s="25">
        <v>1.1032E-4</v>
      </c>
      <c r="F8442" s="25">
        <v>1.2901000000000001E-4</v>
      </c>
      <c r="G8442" s="25">
        <v>1.6278000000000001E-4</v>
      </c>
      <c r="H8442" s="25">
        <v>1.9589999999999999E-4</v>
      </c>
      <c r="I8442" s="9">
        <v>1.2993E-4</v>
      </c>
      <c r="J8442" s="9">
        <v>1.3038000000000001E-4</v>
      </c>
      <c r="K8442" s="9">
        <v>2.3948E-4</v>
      </c>
      <c r="L8442" s="9">
        <v>1.6359999999999999E-4</v>
      </c>
      <c r="M8442" s="9">
        <v>1.6883999999999999E-4</v>
      </c>
      <c r="N8442" s="9">
        <v>1.696E-4</v>
      </c>
      <c r="O8442" s="9">
        <v>1.7935E-4</v>
      </c>
      <c r="P8442" s="9">
        <v>1.6839000000000001E-4</v>
      </c>
      <c r="Q8442" s="9">
        <v>1.6039E-4</v>
      </c>
      <c r="R8442" s="10">
        <v>1.7121898715132585E-4</v>
      </c>
      <c r="S8442" s="10">
        <v>1.8880501872989833E-4</v>
      </c>
      <c r="T8442" s="10">
        <v>2.1439824457810141E-5</v>
      </c>
      <c r="U8442" s="10">
        <v>1.4683E-4</v>
      </c>
      <c r="V8442" s="25"/>
      <c r="W8442" s="25"/>
      <c r="X8442" s="25"/>
      <c r="Y8442" s="25"/>
      <c r="Z8442" s="25"/>
      <c r="AA8442" s="25"/>
    </row>
    <row r="8443" spans="1:27" x14ac:dyDescent="0.35">
      <c r="A8443" s="5">
        <v>8439</v>
      </c>
      <c r="B8443" s="5">
        <v>352</v>
      </c>
      <c r="C8443" s="5">
        <v>12</v>
      </c>
      <c r="D8443" s="25">
        <v>1.1416E-4</v>
      </c>
      <c r="E8443" s="25">
        <v>1.0668E-4</v>
      </c>
      <c r="F8443" s="25">
        <v>1.2025E-4</v>
      </c>
      <c r="G8443" s="25">
        <v>1.6139999999999999E-4</v>
      </c>
      <c r="H8443" s="25">
        <v>1.9550000000000001E-4</v>
      </c>
      <c r="I8443" s="9">
        <v>1.2773E-4</v>
      </c>
      <c r="J8443" s="9">
        <v>1.2944000000000001E-4</v>
      </c>
      <c r="K8443" s="9">
        <v>2.3735999999999999E-4</v>
      </c>
      <c r="L8443" s="9">
        <v>1.7605E-4</v>
      </c>
      <c r="M8443" s="9">
        <v>1.6757999999999999E-4</v>
      </c>
      <c r="N8443" s="9">
        <v>1.6914999999999999E-4</v>
      </c>
      <c r="O8443" s="9">
        <v>1.8484E-4</v>
      </c>
      <c r="P8443" s="9">
        <v>1.6699E-4</v>
      </c>
      <c r="Q8443" s="9">
        <v>1.5232000000000001E-4</v>
      </c>
      <c r="R8443" s="10">
        <v>1.6311152640265607E-4</v>
      </c>
      <c r="S8443" s="10">
        <v>1.8953650218425853E-4</v>
      </c>
      <c r="T8443" s="10">
        <v>7.6638676029837355E-5</v>
      </c>
      <c r="U8443" s="10">
        <v>1.4683E-4</v>
      </c>
      <c r="V8443" s="25"/>
      <c r="W8443" s="25"/>
      <c r="X8443" s="25"/>
      <c r="Y8443" s="25"/>
      <c r="Z8443" s="25"/>
      <c r="AA8443" s="25"/>
    </row>
    <row r="8444" spans="1:27" x14ac:dyDescent="0.35">
      <c r="A8444" s="5">
        <v>8440</v>
      </c>
      <c r="B8444" s="5">
        <v>352</v>
      </c>
      <c r="C8444" s="5">
        <v>12</v>
      </c>
      <c r="D8444" s="25">
        <v>1.1416E-4</v>
      </c>
      <c r="E8444" s="25">
        <v>1.0856E-4</v>
      </c>
      <c r="F8444" s="25">
        <v>1.2040999999999999E-4</v>
      </c>
      <c r="G8444" s="25">
        <v>1.6133E-4</v>
      </c>
      <c r="H8444" s="25">
        <v>1.9867999999999999E-4</v>
      </c>
      <c r="I8444" s="9">
        <v>1.2659999999999999E-4</v>
      </c>
      <c r="J8444" s="9">
        <v>1.2909999999999999E-4</v>
      </c>
      <c r="K8444" s="9">
        <v>2.5643999999999998E-4</v>
      </c>
      <c r="L8444" s="9">
        <v>1.8258E-4</v>
      </c>
      <c r="M8444" s="9">
        <v>1.6714E-4</v>
      </c>
      <c r="N8444" s="9">
        <v>1.6538999999999999E-4</v>
      </c>
      <c r="O8444" s="9">
        <v>1.9890000000000001E-4</v>
      </c>
      <c r="P8444" s="9">
        <v>1.5232000000000001E-4</v>
      </c>
      <c r="Q8444" s="9">
        <v>1.0966E-4</v>
      </c>
      <c r="R8444" s="10">
        <v>1.5856740607829767E-4</v>
      </c>
      <c r="S8444" s="10">
        <v>1.8984417181715826E-4</v>
      </c>
      <c r="T8444" s="10">
        <v>0</v>
      </c>
      <c r="U8444" s="10">
        <v>1.4683E-4</v>
      </c>
      <c r="V8444" s="25"/>
      <c r="W8444" s="25"/>
      <c r="X8444" s="25"/>
      <c r="Y8444" s="25"/>
      <c r="Z8444" s="25"/>
      <c r="AA8444" s="25"/>
    </row>
    <row r="8445" spans="1:27" x14ac:dyDescent="0.35">
      <c r="A8445" s="5">
        <v>8441</v>
      </c>
      <c r="B8445" s="5">
        <v>352</v>
      </c>
      <c r="C8445" s="5">
        <v>12</v>
      </c>
      <c r="D8445" s="25">
        <v>1.1416E-4</v>
      </c>
      <c r="E8445" s="25">
        <v>1.0676E-4</v>
      </c>
      <c r="F8445" s="25">
        <v>1.1826E-4</v>
      </c>
      <c r="G8445" s="25">
        <v>1.5977E-4</v>
      </c>
      <c r="H8445" s="25">
        <v>1.9722000000000001E-4</v>
      </c>
      <c r="I8445" s="9">
        <v>1.2902000000000001E-4</v>
      </c>
      <c r="J8445" s="9">
        <v>1.3333999999999999E-4</v>
      </c>
      <c r="K8445" s="9">
        <v>2.7127E-4</v>
      </c>
      <c r="L8445" s="9">
        <v>1.9508000000000001E-4</v>
      </c>
      <c r="M8445" s="9">
        <v>1.618E-4</v>
      </c>
      <c r="N8445" s="9">
        <v>1.5182999999999999E-4</v>
      </c>
      <c r="O8445" s="9">
        <v>2.1655000000000001E-4</v>
      </c>
      <c r="P8445" s="9">
        <v>1.5979000000000001E-4</v>
      </c>
      <c r="Q8445" s="9">
        <v>1.0747999999999999E-4</v>
      </c>
      <c r="R8445" s="10">
        <v>1.5560825069321451E-4</v>
      </c>
      <c r="S8445" s="10">
        <v>1.8996593354085129E-4</v>
      </c>
      <c r="T8445" s="10">
        <v>0</v>
      </c>
      <c r="U8445" s="10">
        <v>1.4683E-4</v>
      </c>
      <c r="V8445" s="25"/>
      <c r="W8445" s="25"/>
      <c r="X8445" s="25"/>
      <c r="Y8445" s="25"/>
      <c r="Z8445" s="25"/>
      <c r="AA8445" s="25"/>
    </row>
    <row r="8446" spans="1:27" x14ac:dyDescent="0.35">
      <c r="A8446" s="5">
        <v>8442</v>
      </c>
      <c r="B8446" s="5">
        <v>352</v>
      </c>
      <c r="C8446" s="5">
        <v>12</v>
      </c>
      <c r="D8446" s="25">
        <v>1.1416E-4</v>
      </c>
      <c r="E8446" s="25">
        <v>1.0835E-4</v>
      </c>
      <c r="F8446" s="25">
        <v>1.2425000000000001E-4</v>
      </c>
      <c r="G8446" s="25">
        <v>1.5773E-4</v>
      </c>
      <c r="H8446" s="25">
        <v>1.9803999999999999E-4</v>
      </c>
      <c r="I8446" s="9">
        <v>1.351E-4</v>
      </c>
      <c r="J8446" s="9">
        <v>1.3828000000000001E-4</v>
      </c>
      <c r="K8446" s="9">
        <v>2.6279E-4</v>
      </c>
      <c r="L8446" s="9">
        <v>2.1157000000000001E-4</v>
      </c>
      <c r="M8446" s="9">
        <v>1.5957999999999999E-4</v>
      </c>
      <c r="N8446" s="9">
        <v>1.3877E-4</v>
      </c>
      <c r="O8446" s="9">
        <v>2.0673999999999999E-4</v>
      </c>
      <c r="P8446" s="9">
        <v>1.6003E-4</v>
      </c>
      <c r="Q8446" s="9">
        <v>1.1741E-4</v>
      </c>
      <c r="R8446" s="10">
        <v>1.5692094888363918E-4</v>
      </c>
      <c r="S8446" s="10">
        <v>1.900706352518322E-4</v>
      </c>
      <c r="T8446" s="10">
        <v>0</v>
      </c>
      <c r="U8446" s="10">
        <v>1.4683E-4</v>
      </c>
      <c r="V8446" s="25"/>
      <c r="W8446" s="25"/>
      <c r="X8446" s="25"/>
      <c r="Y8446" s="25"/>
      <c r="Z8446" s="25"/>
      <c r="AA8446" s="25"/>
    </row>
    <row r="8447" spans="1:27" x14ac:dyDescent="0.35">
      <c r="A8447" s="5">
        <v>8443</v>
      </c>
      <c r="B8447" s="5">
        <v>352</v>
      </c>
      <c r="C8447" s="5">
        <v>12</v>
      </c>
      <c r="D8447" s="25">
        <v>1.1416E-4</v>
      </c>
      <c r="E8447" s="25">
        <v>1.1069E-4</v>
      </c>
      <c r="F8447" s="25">
        <v>1.2342000000000001E-4</v>
      </c>
      <c r="G8447" s="25">
        <v>1.1175000000000001E-4</v>
      </c>
      <c r="H8447" s="25">
        <v>1.2868999999999999E-4</v>
      </c>
      <c r="I8447" s="9">
        <v>1.3394000000000001E-4</v>
      </c>
      <c r="J8447" s="9">
        <v>1.3463E-4</v>
      </c>
      <c r="K8447" s="9">
        <v>2.7551000000000002E-4</v>
      </c>
      <c r="L8447" s="9">
        <v>2.0738000000000001E-4</v>
      </c>
      <c r="M8447" s="9">
        <v>1.5932000000000001E-4</v>
      </c>
      <c r="N8447" s="9">
        <v>1.2980000000000001E-4</v>
      </c>
      <c r="O8447" s="9">
        <v>1.6527999999999999E-4</v>
      </c>
      <c r="P8447" s="9">
        <v>1.3454999999999999E-4</v>
      </c>
      <c r="Q8447" s="9">
        <v>1.0679999999999999E-4</v>
      </c>
      <c r="R8447" s="10">
        <v>1.6337315779287823E-4</v>
      </c>
      <c r="S8447" s="10">
        <v>1.9009760379112167E-4</v>
      </c>
      <c r="T8447" s="10">
        <v>0</v>
      </c>
      <c r="U8447" s="10">
        <v>1.4683E-4</v>
      </c>
      <c r="V8447" s="25"/>
      <c r="W8447" s="25"/>
      <c r="X8447" s="25"/>
      <c r="Y8447" s="25"/>
      <c r="Z8447" s="25"/>
      <c r="AA8447" s="25"/>
    </row>
    <row r="8448" spans="1:27" x14ac:dyDescent="0.35">
      <c r="A8448" s="5">
        <v>8444</v>
      </c>
      <c r="B8448" s="5">
        <v>352</v>
      </c>
      <c r="C8448" s="5">
        <v>12</v>
      </c>
      <c r="D8448" s="25">
        <v>1.1416E-4</v>
      </c>
      <c r="E8448" s="25">
        <v>1.1229E-4</v>
      </c>
      <c r="F8448" s="25">
        <v>1.1331E-4</v>
      </c>
      <c r="G8448" s="25">
        <v>1.1252999999999999E-4</v>
      </c>
      <c r="H8448" s="25">
        <v>1.3336000000000001E-4</v>
      </c>
      <c r="I8448" s="9">
        <v>1.2891000000000001E-4</v>
      </c>
      <c r="J8448" s="9">
        <v>1.3035999999999999E-4</v>
      </c>
      <c r="K8448" s="9">
        <v>2.7339999999999998E-4</v>
      </c>
      <c r="L8448" s="9">
        <v>1.7473E-4</v>
      </c>
      <c r="M8448" s="9">
        <v>1.5049E-4</v>
      </c>
      <c r="N8448" s="9">
        <v>1.2074E-4</v>
      </c>
      <c r="O8448" s="9">
        <v>1.2985000000000001E-4</v>
      </c>
      <c r="P8448" s="9">
        <v>1.1491E-4</v>
      </c>
      <c r="Q8448" s="9">
        <v>1.0192999999999999E-4</v>
      </c>
      <c r="R8448" s="10">
        <v>1.7582953728782037E-4</v>
      </c>
      <c r="S8448" s="10">
        <v>1.9019398663851523E-4</v>
      </c>
      <c r="T8448" s="10">
        <v>0</v>
      </c>
      <c r="U8448" s="10">
        <v>1.4683E-4</v>
      </c>
      <c r="V8448" s="25"/>
      <c r="W8448" s="25"/>
      <c r="X8448" s="25"/>
      <c r="Y8448" s="25"/>
      <c r="Z8448" s="25"/>
      <c r="AA8448" s="25"/>
    </row>
    <row r="8449" spans="1:27" x14ac:dyDescent="0.35">
      <c r="A8449" s="5">
        <v>8445</v>
      </c>
      <c r="B8449" s="5">
        <v>352</v>
      </c>
      <c r="C8449" s="5">
        <v>12</v>
      </c>
      <c r="D8449" s="25">
        <v>1.1416E-4</v>
      </c>
      <c r="E8449" s="25">
        <v>1.0526000000000001E-4</v>
      </c>
      <c r="F8449" s="25">
        <v>1.2898E-4</v>
      </c>
      <c r="G8449" s="25">
        <v>6.2949999999999999E-5</v>
      </c>
      <c r="H8449" s="25">
        <v>6.5270000000000004E-5</v>
      </c>
      <c r="I8449" s="9">
        <v>1.2290000000000001E-4</v>
      </c>
      <c r="J8449" s="9">
        <v>1.2488000000000001E-4</v>
      </c>
      <c r="K8449" s="9">
        <v>2.8186999999999998E-4</v>
      </c>
      <c r="L8449" s="9">
        <v>1.4074000000000001E-4</v>
      </c>
      <c r="M8449" s="9">
        <v>1.3520000000000001E-4</v>
      </c>
      <c r="N8449" s="9">
        <v>1.1313E-4</v>
      </c>
      <c r="O8449" s="9">
        <v>8.5729999999999994E-5</v>
      </c>
      <c r="P8449" s="9">
        <v>8.6959999999999994E-5</v>
      </c>
      <c r="Q8449" s="9">
        <v>8.8969999999999997E-5</v>
      </c>
      <c r="R8449" s="10">
        <v>1.8424165774173028E-4</v>
      </c>
      <c r="S8449" s="10">
        <v>1.9013127918580508E-4</v>
      </c>
      <c r="T8449" s="10">
        <v>0</v>
      </c>
      <c r="U8449" s="10">
        <v>1.4683E-4</v>
      </c>
      <c r="V8449" s="25"/>
      <c r="W8449" s="25"/>
      <c r="X8449" s="25"/>
      <c r="Y8449" s="25"/>
      <c r="Z8449" s="25"/>
      <c r="AA8449" s="25"/>
    </row>
    <row r="8450" spans="1:27" x14ac:dyDescent="0.35">
      <c r="A8450" s="5">
        <v>8446</v>
      </c>
      <c r="B8450" s="5">
        <v>352</v>
      </c>
      <c r="C8450" s="5">
        <v>12</v>
      </c>
      <c r="D8450" s="25">
        <v>1.1416E-4</v>
      </c>
      <c r="E8450" s="25">
        <v>1.0912999999999999E-4</v>
      </c>
      <c r="F8450" s="25">
        <v>1.2714000000000001E-4</v>
      </c>
      <c r="G8450" s="25">
        <v>5.9840000000000003E-5</v>
      </c>
      <c r="H8450" s="25">
        <v>6.4640000000000005E-5</v>
      </c>
      <c r="I8450" s="9">
        <v>1.1894E-4</v>
      </c>
      <c r="J8450" s="9">
        <v>1.1911E-4</v>
      </c>
      <c r="K8450" s="9">
        <v>2.8399000000000002E-4</v>
      </c>
      <c r="L8450" s="9">
        <v>9.8740000000000007E-5</v>
      </c>
      <c r="M8450" s="9">
        <v>1.1391E-4</v>
      </c>
      <c r="N8450" s="9">
        <v>1.0571E-4</v>
      </c>
      <c r="O8450" s="9">
        <v>8.7529999999999997E-5</v>
      </c>
      <c r="P8450" s="9">
        <v>8.7319999999999997E-5</v>
      </c>
      <c r="Q8450" s="9">
        <v>8.797E-5</v>
      </c>
      <c r="R8450" s="10">
        <v>1.9120932719113578E-4</v>
      </c>
      <c r="S8450" s="10">
        <v>1.9028471376063868E-4</v>
      </c>
      <c r="T8450" s="10">
        <v>0</v>
      </c>
      <c r="U8450" s="10">
        <v>1.4683E-4</v>
      </c>
      <c r="V8450" s="25"/>
      <c r="W8450" s="25"/>
      <c r="X8450" s="25"/>
      <c r="Y8450" s="25"/>
      <c r="Z8450" s="25"/>
      <c r="AA8450" s="25"/>
    </row>
    <row r="8451" spans="1:27" x14ac:dyDescent="0.35">
      <c r="A8451" s="5">
        <v>8447</v>
      </c>
      <c r="B8451" s="5">
        <v>352</v>
      </c>
      <c r="C8451" s="5">
        <v>12</v>
      </c>
      <c r="D8451" s="25">
        <v>1.1416E-4</v>
      </c>
      <c r="E8451" s="25">
        <v>1.1312E-4</v>
      </c>
      <c r="F8451" s="25">
        <v>1.293E-4</v>
      </c>
      <c r="G8451" s="25">
        <v>6.0649999999999997E-5</v>
      </c>
      <c r="H8451" s="25">
        <v>7.0939999999999995E-5</v>
      </c>
      <c r="I8451" s="9">
        <v>1.1956E-4</v>
      </c>
      <c r="J8451" s="9">
        <v>1.1383E-4</v>
      </c>
      <c r="K8451" s="9">
        <v>2.8611000000000001E-4</v>
      </c>
      <c r="L8451" s="9">
        <v>9.0929999999999998E-5</v>
      </c>
      <c r="M8451" s="9">
        <v>9.9129999999999994E-5</v>
      </c>
      <c r="N8451" s="9">
        <v>9.9840000000000006E-5</v>
      </c>
      <c r="O8451" s="9">
        <v>7.8549999999999998E-5</v>
      </c>
      <c r="P8451" s="9">
        <v>7.2529999999999998E-5</v>
      </c>
      <c r="Q8451" s="9">
        <v>6.7249999999999995E-5</v>
      </c>
      <c r="R8451" s="10">
        <v>1.942826673607141E-4</v>
      </c>
      <c r="S8451" s="10">
        <v>1.9028735327113045E-4</v>
      </c>
      <c r="T8451" s="10">
        <v>0</v>
      </c>
      <c r="U8451" s="10">
        <v>1.4683E-4</v>
      </c>
      <c r="V8451" s="25"/>
      <c r="W8451" s="25"/>
      <c r="X8451" s="25"/>
      <c r="Y8451" s="25"/>
      <c r="Z8451" s="25"/>
      <c r="AA8451" s="25"/>
    </row>
    <row r="8452" spans="1:27" x14ac:dyDescent="0.35">
      <c r="A8452" s="5">
        <v>8448</v>
      </c>
      <c r="B8452" s="5">
        <v>352</v>
      </c>
      <c r="C8452" s="5">
        <v>12</v>
      </c>
      <c r="D8452" s="25">
        <v>1.1416E-4</v>
      </c>
      <c r="E8452" s="25">
        <v>1.1231E-4</v>
      </c>
      <c r="F8452" s="25">
        <v>1.1612000000000001E-4</v>
      </c>
      <c r="G8452" s="25">
        <v>5.7920000000000001E-5</v>
      </c>
      <c r="H8452" s="25">
        <v>6.8650000000000002E-5</v>
      </c>
      <c r="I8452" s="9">
        <v>1.1972999999999999E-4</v>
      </c>
      <c r="J8452" s="9">
        <v>1.0815E-4</v>
      </c>
      <c r="K8452" s="9">
        <v>2.7975E-4</v>
      </c>
      <c r="L8452" s="9">
        <v>8.1279999999999994E-5</v>
      </c>
      <c r="M8452" s="9">
        <v>8.6279999999999994E-5</v>
      </c>
      <c r="N8452" s="9">
        <v>9.0660000000000003E-5</v>
      </c>
      <c r="O8452" s="9">
        <v>6.3170000000000007E-5</v>
      </c>
      <c r="P8452" s="9">
        <v>6.0989999999999997E-5</v>
      </c>
      <c r="Q8452" s="9">
        <v>5.9160000000000003E-5</v>
      </c>
      <c r="R8452" s="10">
        <v>2.0155564802727983E-4</v>
      </c>
      <c r="S8452" s="10">
        <v>1.9020441353505272E-4</v>
      </c>
      <c r="T8452" s="10">
        <v>0</v>
      </c>
      <c r="U8452" s="10">
        <v>1.4683E-4</v>
      </c>
      <c r="V8452" s="25"/>
      <c r="W8452" s="25"/>
      <c r="X8452" s="25"/>
      <c r="Y8452" s="25"/>
      <c r="Z8452" s="25"/>
      <c r="AA8452" s="25"/>
    </row>
    <row r="8453" spans="1:27" x14ac:dyDescent="0.35">
      <c r="A8453" s="5">
        <v>8449</v>
      </c>
      <c r="B8453" s="5">
        <v>353</v>
      </c>
      <c r="C8453" s="5">
        <v>12</v>
      </c>
      <c r="D8453" s="25">
        <v>1.1416E-4</v>
      </c>
      <c r="E8453" s="25">
        <v>1.1603999999999999E-4</v>
      </c>
      <c r="F8453" s="25">
        <v>1.0187999999999999E-4</v>
      </c>
      <c r="G8453" s="25">
        <v>5.2129999999999997E-5</v>
      </c>
      <c r="H8453" s="25">
        <v>6.7080000000000001E-5</v>
      </c>
      <c r="I8453" s="9">
        <v>1.1266E-4</v>
      </c>
      <c r="J8453" s="9">
        <v>1.0255E-4</v>
      </c>
      <c r="K8453" s="9">
        <v>2.9458000000000002E-4</v>
      </c>
      <c r="L8453" s="9">
        <v>6.7150000000000006E-5</v>
      </c>
      <c r="M8453" s="9">
        <v>7.4229999999999999E-5</v>
      </c>
      <c r="N8453" s="9">
        <v>8.1320000000000001E-5</v>
      </c>
      <c r="O8453" s="9">
        <v>5.4839999999999997E-5</v>
      </c>
      <c r="P8453" s="9">
        <v>5.4249999999999997E-5</v>
      </c>
      <c r="Q8453" s="9">
        <v>5.3829999999999998E-5</v>
      </c>
      <c r="R8453" s="10">
        <v>1.9773378373875002E-4</v>
      </c>
      <c r="S8453" s="10">
        <v>1.9027875480825911E-4</v>
      </c>
      <c r="T8453" s="10">
        <v>0</v>
      </c>
      <c r="U8453" s="10">
        <v>1.4978999999999999E-4</v>
      </c>
      <c r="V8453" s="25"/>
      <c r="W8453" s="25"/>
      <c r="X8453" s="25"/>
      <c r="Y8453" s="25"/>
      <c r="Z8453" s="25"/>
      <c r="AA8453" s="25"/>
    </row>
    <row r="8454" spans="1:27" x14ac:dyDescent="0.35">
      <c r="A8454" s="5">
        <v>8450</v>
      </c>
      <c r="B8454" s="5">
        <v>353</v>
      </c>
      <c r="C8454" s="5">
        <v>12</v>
      </c>
      <c r="D8454" s="25">
        <v>1.1416E-4</v>
      </c>
      <c r="E8454" s="25">
        <v>1.1442000000000001E-4</v>
      </c>
      <c r="F8454" s="25">
        <v>9.3259999999999998E-5</v>
      </c>
      <c r="G8454" s="25">
        <v>5.7599999999999997E-5</v>
      </c>
      <c r="H8454" s="25">
        <v>6.5209999999999994E-5</v>
      </c>
      <c r="I8454" s="9">
        <v>1.0709000000000001E-4</v>
      </c>
      <c r="J8454" s="9">
        <v>9.8079999999999996E-5</v>
      </c>
      <c r="K8454" s="9">
        <v>2.8399000000000002E-4</v>
      </c>
      <c r="L8454" s="9">
        <v>5.7930000000000003E-5</v>
      </c>
      <c r="M8454" s="9">
        <v>6.4179999999999999E-5</v>
      </c>
      <c r="N8454" s="9">
        <v>7.2290000000000001E-5</v>
      </c>
      <c r="O8454" s="9">
        <v>1.8519999999999999E-5</v>
      </c>
      <c r="P8454" s="9">
        <v>3.7979999999999999E-5</v>
      </c>
      <c r="Q8454" s="9">
        <v>5.6520000000000001E-5</v>
      </c>
      <c r="R8454" s="10">
        <v>2.0284796783144081E-4</v>
      </c>
      <c r="S8454" s="10">
        <v>1.9029020759484994E-4</v>
      </c>
      <c r="T8454" s="10">
        <v>0</v>
      </c>
      <c r="U8454" s="10">
        <v>1.4978999999999999E-4</v>
      </c>
      <c r="V8454" s="25"/>
      <c r="W8454" s="25"/>
      <c r="X8454" s="25"/>
      <c r="Y8454" s="25"/>
      <c r="Z8454" s="25"/>
      <c r="AA8454" s="25"/>
    </row>
    <row r="8455" spans="1:27" x14ac:dyDescent="0.35">
      <c r="A8455" s="5">
        <v>8451</v>
      </c>
      <c r="B8455" s="5">
        <v>353</v>
      </c>
      <c r="C8455" s="5">
        <v>12</v>
      </c>
      <c r="D8455" s="25">
        <v>1.1416E-4</v>
      </c>
      <c r="E8455" s="25">
        <v>1.138E-4</v>
      </c>
      <c r="F8455" s="25">
        <v>1.0477E-4</v>
      </c>
      <c r="G8455" s="25">
        <v>5.3059999999999997E-5</v>
      </c>
      <c r="H8455" s="25">
        <v>7.4789999999999994E-5</v>
      </c>
      <c r="I8455" s="9">
        <v>1.0267E-4</v>
      </c>
      <c r="J8455" s="9">
        <v>9.4679999999999995E-5</v>
      </c>
      <c r="K8455" s="9">
        <v>2.7551000000000002E-4</v>
      </c>
      <c r="L8455" s="9">
        <v>2.7399999999999999E-5</v>
      </c>
      <c r="M8455" s="9">
        <v>5.2450000000000001E-5</v>
      </c>
      <c r="N8455" s="9">
        <v>6.5759999999999994E-5</v>
      </c>
      <c r="O8455" s="9">
        <v>1.2979999999999999E-5</v>
      </c>
      <c r="P8455" s="9">
        <v>3.8139999999999997E-5</v>
      </c>
      <c r="Q8455" s="9">
        <v>6.2169999999999996E-5</v>
      </c>
      <c r="R8455" s="10">
        <v>2.0248587461643336E-4</v>
      </c>
      <c r="S8455" s="10">
        <v>1.9029020759484994E-4</v>
      </c>
      <c r="T8455" s="10">
        <v>0</v>
      </c>
      <c r="U8455" s="10">
        <v>1.4978999999999999E-4</v>
      </c>
      <c r="V8455" s="25"/>
      <c r="W8455" s="25"/>
      <c r="X8455" s="25"/>
      <c r="Y8455" s="25"/>
      <c r="Z8455" s="25"/>
      <c r="AA8455" s="25"/>
    </row>
    <row r="8456" spans="1:27" x14ac:dyDescent="0.35">
      <c r="A8456" s="5">
        <v>8452</v>
      </c>
      <c r="B8456" s="5">
        <v>353</v>
      </c>
      <c r="C8456" s="5">
        <v>12</v>
      </c>
      <c r="D8456" s="25">
        <v>1.1416E-4</v>
      </c>
      <c r="E8456" s="25">
        <v>1.2193000000000001E-4</v>
      </c>
      <c r="F8456" s="25">
        <v>1.0315999999999999E-4</v>
      </c>
      <c r="G8456" s="25">
        <v>6.2669999999999995E-5</v>
      </c>
      <c r="H8456" s="25">
        <v>6.6229999999999994E-5</v>
      </c>
      <c r="I8456" s="9">
        <v>9.9400000000000004E-5</v>
      </c>
      <c r="J8456" s="9">
        <v>9.3010000000000006E-5</v>
      </c>
      <c r="K8456" s="9">
        <v>2.6490999999999998E-4</v>
      </c>
      <c r="L8456" s="9">
        <v>1.6909999999999999E-5</v>
      </c>
      <c r="M8456" s="9">
        <v>4.4499999999999997E-5</v>
      </c>
      <c r="N8456" s="9">
        <v>6.2269999999999998E-5</v>
      </c>
      <c r="O8456" s="9">
        <v>1.293E-5</v>
      </c>
      <c r="P8456" s="9">
        <v>4.7490000000000001E-5</v>
      </c>
      <c r="Q8456" s="9">
        <v>8.0770000000000001E-5</v>
      </c>
      <c r="R8456" s="10">
        <v>2.0566320999604928E-4</v>
      </c>
      <c r="S8456" s="10">
        <v>1.9029020759484994E-4</v>
      </c>
      <c r="T8456" s="10">
        <v>0</v>
      </c>
      <c r="U8456" s="10">
        <v>1.4978999999999999E-4</v>
      </c>
      <c r="V8456" s="25"/>
      <c r="W8456" s="25"/>
      <c r="X8456" s="25"/>
      <c r="Y8456" s="25"/>
      <c r="Z8456" s="25"/>
      <c r="AA8456" s="25"/>
    </row>
    <row r="8457" spans="1:27" x14ac:dyDescent="0.35">
      <c r="A8457" s="5">
        <v>8453</v>
      </c>
      <c r="B8457" s="5">
        <v>353</v>
      </c>
      <c r="C8457" s="5">
        <v>12</v>
      </c>
      <c r="D8457" s="25">
        <v>1.1416E-4</v>
      </c>
      <c r="E8457" s="25">
        <v>1.2146000000000001E-4</v>
      </c>
      <c r="F8457" s="25">
        <v>1.0276999999999999E-4</v>
      </c>
      <c r="G8457" s="25">
        <v>5.575E-5</v>
      </c>
      <c r="H8457" s="25">
        <v>7.0829999999999998E-5</v>
      </c>
      <c r="I8457" s="9">
        <v>9.8339999999999997E-5</v>
      </c>
      <c r="J8457" s="9">
        <v>9.2269999999999996E-5</v>
      </c>
      <c r="K8457" s="9">
        <v>2.522E-4</v>
      </c>
      <c r="L8457" s="9">
        <v>1.4059999999999999E-5</v>
      </c>
      <c r="M8457" s="9">
        <v>4.3789999999999999E-5</v>
      </c>
      <c r="N8457" s="9">
        <v>6.4839999999999996E-5</v>
      </c>
      <c r="O8457" s="9">
        <v>1.836E-5</v>
      </c>
      <c r="P8457" s="9">
        <v>5.6499999999999998E-5</v>
      </c>
      <c r="Q8457" s="9">
        <v>9.3419999999999997E-5</v>
      </c>
      <c r="R8457" s="10">
        <v>2.0644043315443396E-4</v>
      </c>
      <c r="S8457" s="10">
        <v>1.9029020759484994E-4</v>
      </c>
      <c r="T8457" s="10">
        <v>0</v>
      </c>
      <c r="U8457" s="10">
        <v>1.4978999999999999E-4</v>
      </c>
      <c r="V8457" s="25"/>
      <c r="W8457" s="25"/>
      <c r="X8457" s="25"/>
      <c r="Y8457" s="25"/>
      <c r="Z8457" s="25"/>
      <c r="AA8457" s="25"/>
    </row>
    <row r="8458" spans="1:27" x14ac:dyDescent="0.35">
      <c r="A8458" s="5">
        <v>8454</v>
      </c>
      <c r="B8458" s="5">
        <v>353</v>
      </c>
      <c r="C8458" s="5">
        <v>12</v>
      </c>
      <c r="D8458" s="25">
        <v>1.1416E-4</v>
      </c>
      <c r="E8458" s="25">
        <v>1.2202E-4</v>
      </c>
      <c r="F8458" s="25">
        <v>1.0279E-4</v>
      </c>
      <c r="G8458" s="25">
        <v>1.0936E-4</v>
      </c>
      <c r="H8458" s="25">
        <v>1.2808000000000001E-4</v>
      </c>
      <c r="I8458" s="9">
        <v>9.8430000000000005E-5</v>
      </c>
      <c r="J8458" s="9">
        <v>9.2960000000000004E-5</v>
      </c>
      <c r="K8458" s="9">
        <v>2.4372E-4</v>
      </c>
      <c r="L8458" s="9">
        <v>1.7280000000000001E-5</v>
      </c>
      <c r="M8458" s="9">
        <v>4.8529999999999998E-5</v>
      </c>
      <c r="N8458" s="9">
        <v>7.127E-5</v>
      </c>
      <c r="O8458" s="9">
        <v>4.6010000000000002E-5</v>
      </c>
      <c r="P8458" s="9">
        <v>7.6569999999999994E-5</v>
      </c>
      <c r="Q8458" s="9">
        <v>1.0663E-4</v>
      </c>
      <c r="R8458" s="10">
        <v>2.0495067110852541E-4</v>
      </c>
      <c r="S8458" s="10">
        <v>1.9029020759484994E-4</v>
      </c>
      <c r="T8458" s="10">
        <v>0</v>
      </c>
      <c r="U8458" s="10">
        <v>1.4978999999999999E-4</v>
      </c>
      <c r="V8458" s="25"/>
      <c r="W8458" s="25"/>
      <c r="X8458" s="25"/>
      <c r="Y8458" s="25"/>
      <c r="Z8458" s="25"/>
      <c r="AA8458" s="25"/>
    </row>
    <row r="8459" spans="1:27" x14ac:dyDescent="0.35">
      <c r="A8459" s="5">
        <v>8455</v>
      </c>
      <c r="B8459" s="5">
        <v>353</v>
      </c>
      <c r="C8459" s="5">
        <v>12</v>
      </c>
      <c r="D8459" s="25">
        <v>1.1416E-4</v>
      </c>
      <c r="E8459" s="25">
        <v>1.2087E-4</v>
      </c>
      <c r="F8459" s="25">
        <v>8.8759999999999997E-5</v>
      </c>
      <c r="G8459" s="25">
        <v>1.0514999999999999E-4</v>
      </c>
      <c r="H8459" s="25">
        <v>1.3685999999999999E-4</v>
      </c>
      <c r="I8459" s="9">
        <v>1.022E-4</v>
      </c>
      <c r="J8459" s="9">
        <v>9.4640000000000002E-5</v>
      </c>
      <c r="K8459" s="9">
        <v>2.4372E-4</v>
      </c>
      <c r="L8459" s="9">
        <v>3.9549999999999999E-5</v>
      </c>
      <c r="M8459" s="9">
        <v>5.9969999999999997E-5</v>
      </c>
      <c r="N8459" s="9">
        <v>8.0829999999999997E-5</v>
      </c>
      <c r="O8459" s="9">
        <v>1.2277999999999999E-4</v>
      </c>
      <c r="P8459" s="9">
        <v>1.1619E-4</v>
      </c>
      <c r="Q8459" s="9">
        <v>1.1131E-4</v>
      </c>
      <c r="R8459" s="10">
        <v>2.0616157997813958E-4</v>
      </c>
      <c r="S8459" s="10">
        <v>1.9029020616467821E-4</v>
      </c>
      <c r="T8459" s="10">
        <v>0</v>
      </c>
      <c r="U8459" s="10">
        <v>1.4978999999999999E-4</v>
      </c>
      <c r="V8459" s="25"/>
      <c r="W8459" s="25"/>
      <c r="X8459" s="25"/>
      <c r="Y8459" s="25"/>
      <c r="Z8459" s="25"/>
      <c r="AA8459" s="25"/>
    </row>
    <row r="8460" spans="1:27" x14ac:dyDescent="0.35">
      <c r="A8460" s="5">
        <v>8456</v>
      </c>
      <c r="B8460" s="5">
        <v>353</v>
      </c>
      <c r="C8460" s="5">
        <v>12</v>
      </c>
      <c r="D8460" s="25">
        <v>1.1416E-4</v>
      </c>
      <c r="E8460" s="25">
        <v>1.1641000000000001E-4</v>
      </c>
      <c r="F8460" s="25">
        <v>8.5710000000000004E-5</v>
      </c>
      <c r="G8460" s="25">
        <v>1.5943000000000001E-4</v>
      </c>
      <c r="H8460" s="25">
        <v>1.9362000000000001E-4</v>
      </c>
      <c r="I8460" s="9">
        <v>1.0432E-4</v>
      </c>
      <c r="J8460" s="9">
        <v>9.9270000000000003E-5</v>
      </c>
      <c r="K8460" s="9">
        <v>2.3735999999999999E-4</v>
      </c>
      <c r="L8460" s="9">
        <v>1.0385E-4</v>
      </c>
      <c r="M8460" s="9">
        <v>8.3159999999999997E-5</v>
      </c>
      <c r="N8460" s="9">
        <v>9.0610000000000002E-5</v>
      </c>
      <c r="O8460" s="9">
        <v>2.2287000000000001E-4</v>
      </c>
      <c r="P8460" s="9">
        <v>1.7799E-4</v>
      </c>
      <c r="Q8460" s="9">
        <v>1.3750000000000001E-4</v>
      </c>
      <c r="R8460" s="10">
        <v>2.0475240307399328E-4</v>
      </c>
      <c r="S8460" s="10">
        <v>1.9029016442140623E-4</v>
      </c>
      <c r="T8460" s="10">
        <v>0</v>
      </c>
      <c r="U8460" s="10">
        <v>1.4978999999999999E-4</v>
      </c>
      <c r="V8460" s="25"/>
      <c r="W8460" s="25"/>
      <c r="X8460" s="25"/>
      <c r="Y8460" s="25"/>
      <c r="Z8460" s="25"/>
      <c r="AA8460" s="25"/>
    </row>
    <row r="8461" spans="1:27" x14ac:dyDescent="0.35">
      <c r="A8461" s="5">
        <v>8457</v>
      </c>
      <c r="B8461" s="5">
        <v>353</v>
      </c>
      <c r="C8461" s="5">
        <v>12</v>
      </c>
      <c r="D8461" s="25">
        <v>1.1416E-4</v>
      </c>
      <c r="E8461" s="25">
        <v>1.1244E-4</v>
      </c>
      <c r="F8461" s="25">
        <v>9.2570000000000003E-5</v>
      </c>
      <c r="G8461" s="25">
        <v>1.6003E-4</v>
      </c>
      <c r="H8461" s="25">
        <v>1.8897E-4</v>
      </c>
      <c r="I8461" s="9">
        <v>1.1005000000000001E-4</v>
      </c>
      <c r="J8461" s="9">
        <v>1.065E-4</v>
      </c>
      <c r="K8461" s="9">
        <v>2.2465000000000001E-4</v>
      </c>
      <c r="L8461" s="9">
        <v>1.9493000000000001E-4</v>
      </c>
      <c r="M8461" s="9">
        <v>1.2329999999999999E-4</v>
      </c>
      <c r="N8461" s="9">
        <v>1.0449E-4</v>
      </c>
      <c r="O8461" s="9">
        <v>2.1467E-4</v>
      </c>
      <c r="P8461" s="9">
        <v>1.9447E-4</v>
      </c>
      <c r="Q8461" s="9">
        <v>1.7809999999999999E-4</v>
      </c>
      <c r="R8461" s="10">
        <v>2.0213588811753054E-4</v>
      </c>
      <c r="S8461" s="10">
        <v>1.9029018970635376E-4</v>
      </c>
      <c r="T8461" s="10">
        <v>1.1623490109695249E-6</v>
      </c>
      <c r="U8461" s="10">
        <v>1.4978999999999999E-4</v>
      </c>
      <c r="V8461" s="25"/>
      <c r="W8461" s="25"/>
      <c r="X8461" s="25"/>
      <c r="Y8461" s="25"/>
      <c r="Z8461" s="25"/>
      <c r="AA8461" s="25"/>
    </row>
    <row r="8462" spans="1:27" x14ac:dyDescent="0.35">
      <c r="A8462" s="5">
        <v>8458</v>
      </c>
      <c r="B8462" s="5">
        <v>353</v>
      </c>
      <c r="C8462" s="5">
        <v>12</v>
      </c>
      <c r="D8462" s="25">
        <v>1.1416E-4</v>
      </c>
      <c r="E8462" s="25">
        <v>1.1697999999999999E-4</v>
      </c>
      <c r="F8462" s="25">
        <v>1.0067E-4</v>
      </c>
      <c r="G8462" s="25">
        <v>1.6243E-4</v>
      </c>
      <c r="H8462" s="25">
        <v>1.9363E-4</v>
      </c>
      <c r="I8462" s="9">
        <v>1.1565000000000001E-4</v>
      </c>
      <c r="J8462" s="9">
        <v>1.1223E-4</v>
      </c>
      <c r="K8462" s="9">
        <v>2.1193000000000001E-4</v>
      </c>
      <c r="L8462" s="9">
        <v>2.0793E-4</v>
      </c>
      <c r="M8462" s="9">
        <v>1.5912000000000001E-4</v>
      </c>
      <c r="N8462" s="9">
        <v>1.2475E-4</v>
      </c>
      <c r="O8462" s="9">
        <v>1.6813E-4</v>
      </c>
      <c r="P8462" s="9">
        <v>1.7364999999999999E-4</v>
      </c>
      <c r="Q8462" s="9">
        <v>1.8164E-4</v>
      </c>
      <c r="R8462" s="10">
        <v>2.044040303675417E-4</v>
      </c>
      <c r="S8462" s="10">
        <v>1.9029020256482315E-4</v>
      </c>
      <c r="T8462" s="10">
        <v>5.2628108868934035E-5</v>
      </c>
      <c r="U8462" s="10">
        <v>1.4978999999999999E-4</v>
      </c>
      <c r="V8462" s="25"/>
      <c r="W8462" s="25"/>
      <c r="X8462" s="25"/>
      <c r="Y8462" s="25"/>
      <c r="Z8462" s="25"/>
      <c r="AA8462" s="25"/>
    </row>
    <row r="8463" spans="1:27" x14ac:dyDescent="0.35">
      <c r="A8463" s="5">
        <v>8459</v>
      </c>
      <c r="B8463" s="5">
        <v>353</v>
      </c>
      <c r="C8463" s="5">
        <v>12</v>
      </c>
      <c r="D8463" s="25">
        <v>1.1416E-4</v>
      </c>
      <c r="E8463" s="25">
        <v>1.2035E-4</v>
      </c>
      <c r="F8463" s="25">
        <v>8.7169999999999994E-5</v>
      </c>
      <c r="G8463" s="25">
        <v>1.5831999999999999E-4</v>
      </c>
      <c r="H8463" s="25">
        <v>1.8922000000000001E-4</v>
      </c>
      <c r="I8463" s="9">
        <v>1.2213999999999999E-4</v>
      </c>
      <c r="J8463" s="9">
        <v>1.1679E-4</v>
      </c>
      <c r="K8463" s="9">
        <v>1.6531E-4</v>
      </c>
      <c r="L8463" s="9">
        <v>1.7694E-4</v>
      </c>
      <c r="M8463" s="9">
        <v>1.7267000000000001E-4</v>
      </c>
      <c r="N8463" s="9">
        <v>1.4274000000000001E-4</v>
      </c>
      <c r="O8463" s="9">
        <v>1.6683E-4</v>
      </c>
      <c r="P8463" s="9">
        <v>1.7097999999999999E-4</v>
      </c>
      <c r="Q8463" s="9">
        <v>1.7759000000000001E-4</v>
      </c>
      <c r="R8463" s="10">
        <v>2.0690771942971902E-4</v>
      </c>
      <c r="S8463" s="10">
        <v>1.9029020759484994E-4</v>
      </c>
      <c r="T8463" s="10">
        <v>1.7265549177540023E-5</v>
      </c>
      <c r="U8463" s="10">
        <v>1.4978999999999999E-4</v>
      </c>
      <c r="V8463" s="25"/>
      <c r="W8463" s="25"/>
      <c r="X8463" s="25"/>
      <c r="Y8463" s="25"/>
      <c r="Z8463" s="25"/>
      <c r="AA8463" s="25"/>
    </row>
    <row r="8464" spans="1:27" x14ac:dyDescent="0.35">
      <c r="A8464" s="5">
        <v>8460</v>
      </c>
      <c r="B8464" s="5">
        <v>353</v>
      </c>
      <c r="C8464" s="5">
        <v>12</v>
      </c>
      <c r="D8464" s="25">
        <v>1.1416E-4</v>
      </c>
      <c r="E8464" s="25">
        <v>1.2094E-4</v>
      </c>
      <c r="F8464" s="25">
        <v>1.0749E-4</v>
      </c>
      <c r="G8464" s="25">
        <v>1.6657E-4</v>
      </c>
      <c r="H8464" s="25">
        <v>1.9535E-4</v>
      </c>
      <c r="I8464" s="9">
        <v>1.2598000000000001E-4</v>
      </c>
      <c r="J8464" s="9">
        <v>1.1922E-4</v>
      </c>
      <c r="K8464" s="9">
        <v>1.4200000000000001E-4</v>
      </c>
      <c r="L8464" s="9">
        <v>1.7054E-4</v>
      </c>
      <c r="M8464" s="9">
        <v>1.7430000000000001E-4</v>
      </c>
      <c r="N8464" s="9">
        <v>1.5642E-4</v>
      </c>
      <c r="O8464" s="9">
        <v>1.7121000000000001E-4</v>
      </c>
      <c r="P8464" s="9">
        <v>1.7128E-4</v>
      </c>
      <c r="Q8464" s="9">
        <v>1.7394E-4</v>
      </c>
      <c r="R8464" s="10">
        <v>1.9840291660565011E-4</v>
      </c>
      <c r="S8464" s="10">
        <v>1.9029020759484994E-4</v>
      </c>
      <c r="T8464" s="10">
        <v>1.3837892240082442E-5</v>
      </c>
      <c r="U8464" s="10">
        <v>1.4978999999999999E-4</v>
      </c>
      <c r="V8464" s="25"/>
      <c r="W8464" s="25"/>
      <c r="X8464" s="25"/>
      <c r="Y8464" s="25"/>
      <c r="Z8464" s="25"/>
      <c r="AA8464" s="25"/>
    </row>
    <row r="8465" spans="1:27" x14ac:dyDescent="0.35">
      <c r="A8465" s="5">
        <v>8461</v>
      </c>
      <c r="B8465" s="5">
        <v>353</v>
      </c>
      <c r="C8465" s="5">
        <v>12</v>
      </c>
      <c r="D8465" s="25">
        <v>1.1416E-4</v>
      </c>
      <c r="E8465" s="25">
        <v>1.1998999999999999E-4</v>
      </c>
      <c r="F8465" s="25">
        <v>1.0508E-4</v>
      </c>
      <c r="G8465" s="25">
        <v>1.6092E-4</v>
      </c>
      <c r="H8465" s="25">
        <v>1.8731999999999999E-4</v>
      </c>
      <c r="I8465" s="9">
        <v>1.2756000000000001E-4</v>
      </c>
      <c r="J8465" s="9">
        <v>1.2093E-4</v>
      </c>
      <c r="K8465" s="9">
        <v>1.4624000000000001E-4</v>
      </c>
      <c r="L8465" s="9">
        <v>1.7127000000000001E-4</v>
      </c>
      <c r="M8465" s="9">
        <v>1.7314000000000001E-4</v>
      </c>
      <c r="N8465" s="9">
        <v>1.6588E-4</v>
      </c>
      <c r="O8465" s="9">
        <v>1.6278000000000001E-4</v>
      </c>
      <c r="P8465" s="9">
        <v>1.6375E-4</v>
      </c>
      <c r="Q8465" s="9">
        <v>1.6715E-4</v>
      </c>
      <c r="R8465" s="10">
        <v>2.0164578101054148E-4</v>
      </c>
      <c r="S8465" s="10">
        <v>1.9029020759484994E-4</v>
      </c>
      <c r="T8465" s="10">
        <v>2.1312559967558002E-5</v>
      </c>
      <c r="U8465" s="10">
        <v>1.4978999999999999E-4</v>
      </c>
      <c r="V8465" s="25"/>
      <c r="W8465" s="25"/>
      <c r="X8465" s="25"/>
      <c r="Y8465" s="25"/>
      <c r="Z8465" s="25"/>
      <c r="AA8465" s="25"/>
    </row>
    <row r="8466" spans="1:27" x14ac:dyDescent="0.35">
      <c r="A8466" s="5">
        <v>8462</v>
      </c>
      <c r="B8466" s="5">
        <v>353</v>
      </c>
      <c r="C8466" s="5">
        <v>12</v>
      </c>
      <c r="D8466" s="25">
        <v>1.1416E-4</v>
      </c>
      <c r="E8466" s="25">
        <v>1.1715E-4</v>
      </c>
      <c r="F8466" s="25">
        <v>1.0145E-4</v>
      </c>
      <c r="G8466" s="25">
        <v>1.5758999999999999E-4</v>
      </c>
      <c r="H8466" s="25">
        <v>1.9101E-4</v>
      </c>
      <c r="I8466" s="9">
        <v>1.2455999999999999E-4</v>
      </c>
      <c r="J8466" s="9">
        <v>1.2065000000000001E-4</v>
      </c>
      <c r="K8466" s="9">
        <v>1.5046999999999999E-4</v>
      </c>
      <c r="L8466" s="9">
        <v>1.6435000000000001E-4</v>
      </c>
      <c r="M8466" s="9">
        <v>1.6945999999999999E-4</v>
      </c>
      <c r="N8466" s="9">
        <v>1.7013E-4</v>
      </c>
      <c r="O8466" s="9">
        <v>1.7856999999999999E-4</v>
      </c>
      <c r="P8466" s="9">
        <v>1.6766E-4</v>
      </c>
      <c r="Q8466" s="9">
        <v>1.5969000000000001E-4</v>
      </c>
      <c r="R8466" s="10">
        <v>2.0223165154703584E-4</v>
      </c>
      <c r="S8466" s="10">
        <v>1.9029020759484994E-4</v>
      </c>
      <c r="T8466" s="10">
        <v>3.4285053673925908E-5</v>
      </c>
      <c r="U8466" s="10">
        <v>1.4978999999999999E-4</v>
      </c>
      <c r="V8466" s="25"/>
      <c r="W8466" s="25"/>
      <c r="X8466" s="25"/>
      <c r="Y8466" s="25"/>
      <c r="Z8466" s="25"/>
      <c r="AA8466" s="25"/>
    </row>
    <row r="8467" spans="1:27" x14ac:dyDescent="0.35">
      <c r="A8467" s="5">
        <v>8463</v>
      </c>
      <c r="B8467" s="5">
        <v>353</v>
      </c>
      <c r="C8467" s="5">
        <v>12</v>
      </c>
      <c r="D8467" s="25">
        <v>1.1416E-4</v>
      </c>
      <c r="E8467" s="25">
        <v>1.2084E-4</v>
      </c>
      <c r="F8467" s="25">
        <v>8.7949999999999996E-5</v>
      </c>
      <c r="G8467" s="25">
        <v>1.6582000000000001E-4</v>
      </c>
      <c r="H8467" s="25">
        <v>1.994E-4</v>
      </c>
      <c r="I8467" s="9">
        <v>1.2084E-4</v>
      </c>
      <c r="J8467" s="9">
        <v>1.2040999999999999E-4</v>
      </c>
      <c r="K8467" s="9">
        <v>1.6531E-4</v>
      </c>
      <c r="L8467" s="9">
        <v>1.7560000000000001E-4</v>
      </c>
      <c r="M8467" s="9">
        <v>1.6777E-4</v>
      </c>
      <c r="N8467" s="9">
        <v>1.6941999999999999E-4</v>
      </c>
      <c r="O8467" s="9">
        <v>1.8338999999999999E-4</v>
      </c>
      <c r="P8467" s="9">
        <v>1.6568E-4</v>
      </c>
      <c r="Q8467" s="9">
        <v>1.5113E-4</v>
      </c>
      <c r="R8467" s="10">
        <v>1.9986620507300349E-4</v>
      </c>
      <c r="S8467" s="10">
        <v>1.9029020759484994E-4</v>
      </c>
      <c r="T8467" s="10">
        <v>1.6442572140576194E-5</v>
      </c>
      <c r="U8467" s="10">
        <v>1.4978999999999999E-4</v>
      </c>
      <c r="V8467" s="25"/>
      <c r="W8467" s="25"/>
      <c r="X8467" s="25"/>
      <c r="Y8467" s="25"/>
      <c r="Z8467" s="25"/>
      <c r="AA8467" s="25"/>
    </row>
    <row r="8468" spans="1:27" x14ac:dyDescent="0.35">
      <c r="A8468" s="5">
        <v>8464</v>
      </c>
      <c r="B8468" s="5">
        <v>353</v>
      </c>
      <c r="C8468" s="5">
        <v>12</v>
      </c>
      <c r="D8468" s="25">
        <v>1.1416E-4</v>
      </c>
      <c r="E8468" s="25">
        <v>1.1071E-4</v>
      </c>
      <c r="F8468" s="25">
        <v>8.5680000000000006E-5</v>
      </c>
      <c r="G8468" s="25">
        <v>1.5669999999999999E-4</v>
      </c>
      <c r="H8468" s="25">
        <v>1.9656E-4</v>
      </c>
      <c r="I8468" s="9">
        <v>1.2012E-4</v>
      </c>
      <c r="J8468" s="9">
        <v>1.2084E-4</v>
      </c>
      <c r="K8468" s="9">
        <v>2.1193000000000001E-4</v>
      </c>
      <c r="L8468" s="9">
        <v>1.8139999999999999E-4</v>
      </c>
      <c r="M8468" s="9">
        <v>1.6666000000000001E-4</v>
      </c>
      <c r="N8468" s="9">
        <v>1.6530000000000001E-4</v>
      </c>
      <c r="O8468" s="9">
        <v>1.9951999999999999E-4</v>
      </c>
      <c r="P8468" s="9">
        <v>1.528E-4</v>
      </c>
      <c r="Q8468" s="9">
        <v>1.1001E-4</v>
      </c>
      <c r="R8468" s="10">
        <v>2.0022249313936743E-4</v>
      </c>
      <c r="S8468" s="10">
        <v>1.9029020759484994E-4</v>
      </c>
      <c r="T8468" s="10">
        <v>0</v>
      </c>
      <c r="U8468" s="10">
        <v>1.4978999999999999E-4</v>
      </c>
      <c r="V8468" s="25"/>
      <c r="W8468" s="25"/>
      <c r="X8468" s="25"/>
      <c r="Y8468" s="25"/>
      <c r="Z8468" s="25"/>
      <c r="AA8468" s="25"/>
    </row>
    <row r="8469" spans="1:27" x14ac:dyDescent="0.35">
      <c r="A8469" s="5">
        <v>8465</v>
      </c>
      <c r="B8469" s="5">
        <v>353</v>
      </c>
      <c r="C8469" s="5">
        <v>12</v>
      </c>
      <c r="D8469" s="25">
        <v>1.1416E-4</v>
      </c>
      <c r="E8469" s="25">
        <v>1.1189E-4</v>
      </c>
      <c r="F8469" s="25">
        <v>1.0560000000000001E-4</v>
      </c>
      <c r="G8469" s="25">
        <v>1.6207999999999999E-4</v>
      </c>
      <c r="H8469" s="25">
        <v>1.9766E-4</v>
      </c>
      <c r="I8469" s="9">
        <v>1.2286E-4</v>
      </c>
      <c r="J8469" s="9">
        <v>1.2636E-4</v>
      </c>
      <c r="K8469" s="9">
        <v>2.5431999999999999E-4</v>
      </c>
      <c r="L8469" s="9">
        <v>1.9531999999999999E-4</v>
      </c>
      <c r="M8469" s="9">
        <v>1.6149E-4</v>
      </c>
      <c r="N8469" s="9">
        <v>1.5177999999999999E-4</v>
      </c>
      <c r="O8469" s="9">
        <v>2.1446E-4</v>
      </c>
      <c r="P8469" s="9">
        <v>1.5825E-4</v>
      </c>
      <c r="Q8469" s="9">
        <v>1.0644E-4</v>
      </c>
      <c r="R8469" s="10">
        <v>2.0361052646823203E-4</v>
      </c>
      <c r="S8469" s="10">
        <v>1.9029020759484994E-4</v>
      </c>
      <c r="T8469" s="10">
        <v>0</v>
      </c>
      <c r="U8469" s="10">
        <v>1.4978999999999999E-4</v>
      </c>
      <c r="V8469" s="25"/>
      <c r="W8469" s="25"/>
      <c r="X8469" s="25"/>
      <c r="Y8469" s="25"/>
      <c r="Z8469" s="25"/>
      <c r="AA8469" s="25"/>
    </row>
    <row r="8470" spans="1:27" x14ac:dyDescent="0.35">
      <c r="A8470" s="5">
        <v>8466</v>
      </c>
      <c r="B8470" s="5">
        <v>353</v>
      </c>
      <c r="C8470" s="5">
        <v>12</v>
      </c>
      <c r="D8470" s="25">
        <v>1.1416E-4</v>
      </c>
      <c r="E8470" s="25">
        <v>1.16E-4</v>
      </c>
      <c r="F8470" s="25">
        <v>1.0760999999999999E-4</v>
      </c>
      <c r="G8470" s="25">
        <v>1.5662E-4</v>
      </c>
      <c r="H8470" s="25">
        <v>1.8786000000000001E-4</v>
      </c>
      <c r="I8470" s="9">
        <v>1.2862E-4</v>
      </c>
      <c r="J8470" s="9">
        <v>1.3431000000000001E-4</v>
      </c>
      <c r="K8470" s="9">
        <v>2.4372E-4</v>
      </c>
      <c r="L8470" s="9">
        <v>2.0995000000000001E-4</v>
      </c>
      <c r="M8470" s="9">
        <v>1.5891000000000001E-4</v>
      </c>
      <c r="N8470" s="9">
        <v>1.3841999999999999E-4</v>
      </c>
      <c r="O8470" s="9">
        <v>2.0907E-4</v>
      </c>
      <c r="P8470" s="9">
        <v>1.6182999999999999E-4</v>
      </c>
      <c r="Q8470" s="9">
        <v>1.1873E-4</v>
      </c>
      <c r="R8470" s="10">
        <v>2.0684331438139243E-4</v>
      </c>
      <c r="S8470" s="10">
        <v>1.9029020759484994E-4</v>
      </c>
      <c r="T8470" s="10">
        <v>0</v>
      </c>
      <c r="U8470" s="10">
        <v>1.4978999999999999E-4</v>
      </c>
      <c r="V8470" s="25"/>
      <c r="W8470" s="25"/>
      <c r="X8470" s="25"/>
      <c r="Y8470" s="25"/>
      <c r="Z8470" s="25"/>
      <c r="AA8470" s="25"/>
    </row>
    <row r="8471" spans="1:27" x14ac:dyDescent="0.35">
      <c r="A8471" s="5">
        <v>8467</v>
      </c>
      <c r="B8471" s="5">
        <v>353</v>
      </c>
      <c r="C8471" s="5">
        <v>12</v>
      </c>
      <c r="D8471" s="25">
        <v>1.1416E-4</v>
      </c>
      <c r="E8471" s="25">
        <v>1.1883E-4</v>
      </c>
      <c r="F8471" s="25">
        <v>8.7949999999999996E-5</v>
      </c>
      <c r="G8471" s="25">
        <v>1.1005000000000001E-4</v>
      </c>
      <c r="H8471" s="25">
        <v>1.2737999999999999E-4</v>
      </c>
      <c r="I8471" s="9">
        <v>1.3006000000000001E-4</v>
      </c>
      <c r="J8471" s="9">
        <v>1.3286999999999999E-4</v>
      </c>
      <c r="K8471" s="9">
        <v>2.7127E-4</v>
      </c>
      <c r="L8471" s="9">
        <v>2.0887999999999999E-4</v>
      </c>
      <c r="M8471" s="9">
        <v>1.5943000000000001E-4</v>
      </c>
      <c r="N8471" s="9">
        <v>1.2973999999999999E-4</v>
      </c>
      <c r="O8471" s="9">
        <v>1.6608000000000001E-4</v>
      </c>
      <c r="P8471" s="9">
        <v>1.3521E-4</v>
      </c>
      <c r="Q8471" s="9">
        <v>1.0732E-4</v>
      </c>
      <c r="R8471" s="10">
        <v>2.0896851611177687E-4</v>
      </c>
      <c r="S8471" s="10">
        <v>1.9029020759484994E-4</v>
      </c>
      <c r="T8471" s="10">
        <v>0</v>
      </c>
      <c r="U8471" s="10">
        <v>1.4978999999999999E-4</v>
      </c>
      <c r="V8471" s="25"/>
      <c r="W8471" s="25"/>
      <c r="X8471" s="25"/>
      <c r="Y8471" s="25"/>
      <c r="Z8471" s="25"/>
      <c r="AA8471" s="25"/>
    </row>
    <row r="8472" spans="1:27" x14ac:dyDescent="0.35">
      <c r="A8472" s="5">
        <v>8468</v>
      </c>
      <c r="B8472" s="5">
        <v>353</v>
      </c>
      <c r="C8472" s="5">
        <v>12</v>
      </c>
      <c r="D8472" s="25">
        <v>1.1416E-4</v>
      </c>
      <c r="E8472" s="25">
        <v>1.1968000000000001E-4</v>
      </c>
      <c r="F8472" s="25">
        <v>1.0372E-4</v>
      </c>
      <c r="G8472" s="25">
        <v>1.1372E-4</v>
      </c>
      <c r="H8472" s="25">
        <v>1.2936999999999999E-4</v>
      </c>
      <c r="I8472" s="9">
        <v>1.2866E-4</v>
      </c>
      <c r="J8472" s="9">
        <v>1.2952999999999999E-4</v>
      </c>
      <c r="K8472" s="9">
        <v>2.5219000000000001E-4</v>
      </c>
      <c r="L8472" s="9">
        <v>1.7562E-4</v>
      </c>
      <c r="M8472" s="9">
        <v>1.5102E-4</v>
      </c>
      <c r="N8472" s="9">
        <v>1.2084E-4</v>
      </c>
      <c r="O8472" s="9">
        <v>1.3008E-4</v>
      </c>
      <c r="P8472" s="9">
        <v>1.1511E-4</v>
      </c>
      <c r="Q8472" s="9">
        <v>1.0212E-4</v>
      </c>
      <c r="R8472" s="10">
        <v>2.1064373613500779E-4</v>
      </c>
      <c r="S8472" s="10">
        <v>1.9029020570348487E-4</v>
      </c>
      <c r="T8472" s="10">
        <v>0</v>
      </c>
      <c r="U8472" s="10">
        <v>1.4978999999999999E-4</v>
      </c>
      <c r="V8472" s="25"/>
      <c r="W8472" s="25"/>
      <c r="X8472" s="25"/>
      <c r="Y8472" s="25"/>
      <c r="Z8472" s="25"/>
      <c r="AA8472" s="25"/>
    </row>
    <row r="8473" spans="1:27" x14ac:dyDescent="0.35">
      <c r="A8473" s="5">
        <v>8469</v>
      </c>
      <c r="B8473" s="5">
        <v>353</v>
      </c>
      <c r="C8473" s="5">
        <v>12</v>
      </c>
      <c r="D8473" s="25">
        <v>1.1416E-4</v>
      </c>
      <c r="E8473" s="25">
        <v>1.2199E-4</v>
      </c>
      <c r="F8473" s="25">
        <v>8.8739999999999994E-5</v>
      </c>
      <c r="G8473" s="25">
        <v>5.5099999999999998E-5</v>
      </c>
      <c r="H8473" s="25">
        <v>6.8089999999999994E-5</v>
      </c>
      <c r="I8473" s="9">
        <v>1.2469E-4</v>
      </c>
      <c r="J8473" s="9">
        <v>1.2603000000000001E-4</v>
      </c>
      <c r="K8473" s="9">
        <v>2.4373E-4</v>
      </c>
      <c r="L8473" s="9">
        <v>1.4112E-4</v>
      </c>
      <c r="M8473" s="9">
        <v>1.3570999999999999E-4</v>
      </c>
      <c r="N8473" s="9">
        <v>1.1332000000000001E-4</v>
      </c>
      <c r="O8473" s="9">
        <v>8.4720000000000002E-5</v>
      </c>
      <c r="P8473" s="9">
        <v>8.5939999999999994E-5</v>
      </c>
      <c r="Q8473" s="9">
        <v>8.7929999999999993E-5</v>
      </c>
      <c r="R8473" s="10">
        <v>2.1168425619872132E-4</v>
      </c>
      <c r="S8473" s="10">
        <v>1.9029019041550248E-4</v>
      </c>
      <c r="T8473" s="10">
        <v>0</v>
      </c>
      <c r="U8473" s="10">
        <v>1.4978999999999999E-4</v>
      </c>
      <c r="V8473" s="25"/>
      <c r="W8473" s="25"/>
      <c r="X8473" s="25"/>
      <c r="Y8473" s="25"/>
      <c r="Z8473" s="25"/>
      <c r="AA8473" s="25"/>
    </row>
    <row r="8474" spans="1:27" x14ac:dyDescent="0.35">
      <c r="A8474" s="5">
        <v>8470</v>
      </c>
      <c r="B8474" s="5">
        <v>353</v>
      </c>
      <c r="C8474" s="5">
        <v>12</v>
      </c>
      <c r="D8474" s="25">
        <v>1.1416E-4</v>
      </c>
      <c r="E8474" s="25">
        <v>1.1712E-4</v>
      </c>
      <c r="F8474" s="25">
        <v>1.0073000000000001E-4</v>
      </c>
      <c r="G8474" s="25">
        <v>5.9450000000000002E-5</v>
      </c>
      <c r="H8474" s="25">
        <v>6.5140000000000003E-5</v>
      </c>
      <c r="I8474" s="9">
        <v>1.1977E-4</v>
      </c>
      <c r="J8474" s="9">
        <v>1.2012E-4</v>
      </c>
      <c r="K8474" s="9">
        <v>2.2465000000000001E-4</v>
      </c>
      <c r="L8474" s="9">
        <v>9.8079999999999996E-5</v>
      </c>
      <c r="M8474" s="9">
        <v>1.1383999999999999E-4</v>
      </c>
      <c r="N8474" s="9">
        <v>1.0568E-4</v>
      </c>
      <c r="O8474" s="9">
        <v>8.852E-5</v>
      </c>
      <c r="P8474" s="9">
        <v>8.831E-5</v>
      </c>
      <c r="Q8474" s="9">
        <v>8.8969999999999997E-5</v>
      </c>
      <c r="R8474" s="10">
        <v>2.1175874350173895E-4</v>
      </c>
      <c r="S8474" s="10">
        <v>1.9029003992791823E-4</v>
      </c>
      <c r="T8474" s="10">
        <v>0</v>
      </c>
      <c r="U8474" s="10">
        <v>1.4978999999999999E-4</v>
      </c>
      <c r="V8474" s="25"/>
      <c r="W8474" s="25"/>
      <c r="X8474" s="25"/>
      <c r="Y8474" s="25"/>
      <c r="Z8474" s="25"/>
      <c r="AA8474" s="25"/>
    </row>
    <row r="8475" spans="1:27" x14ac:dyDescent="0.35">
      <c r="A8475" s="5">
        <v>8471</v>
      </c>
      <c r="B8475" s="5">
        <v>353</v>
      </c>
      <c r="C8475" s="5">
        <v>12</v>
      </c>
      <c r="D8475" s="25">
        <v>1.1416E-4</v>
      </c>
      <c r="E8475" s="25">
        <v>1.1445E-4</v>
      </c>
      <c r="F8475" s="25">
        <v>9.8510000000000004E-5</v>
      </c>
      <c r="G8475" s="25">
        <v>5.8480000000000003E-5</v>
      </c>
      <c r="H8475" s="25">
        <v>6.2719999999999996E-5</v>
      </c>
      <c r="I8475" s="9">
        <v>1.1998999999999999E-4</v>
      </c>
      <c r="J8475" s="9">
        <v>1.1346E-4</v>
      </c>
      <c r="K8475" s="9">
        <v>2.2465000000000001E-4</v>
      </c>
      <c r="L8475" s="9">
        <v>9.1580000000000001E-5</v>
      </c>
      <c r="M8475" s="9">
        <v>9.9279999999999998E-5</v>
      </c>
      <c r="N8475" s="9">
        <v>1.0006E-4</v>
      </c>
      <c r="O8475" s="9">
        <v>7.8079999999999998E-5</v>
      </c>
      <c r="P8475" s="9">
        <v>7.2089999999999996E-5</v>
      </c>
      <c r="Q8475" s="9">
        <v>6.6849999999999999E-5</v>
      </c>
      <c r="R8475" s="10">
        <v>2.1152422796894381E-4</v>
      </c>
      <c r="S8475" s="10">
        <v>1.902888709499541E-4</v>
      </c>
      <c r="T8475" s="10">
        <v>0</v>
      </c>
      <c r="U8475" s="10">
        <v>1.4978999999999999E-4</v>
      </c>
      <c r="V8475" s="25"/>
      <c r="W8475" s="25"/>
      <c r="X8475" s="25"/>
      <c r="Y8475" s="25"/>
      <c r="Z8475" s="25"/>
      <c r="AA8475" s="25"/>
    </row>
    <row r="8476" spans="1:27" x14ac:dyDescent="0.35">
      <c r="A8476" s="5">
        <v>8472</v>
      </c>
      <c r="B8476" s="5">
        <v>353</v>
      </c>
      <c r="C8476" s="5">
        <v>12</v>
      </c>
      <c r="D8476" s="25">
        <v>1.1416E-4</v>
      </c>
      <c r="E8476" s="25">
        <v>1.2008E-4</v>
      </c>
      <c r="F8476" s="25">
        <v>8.6860000000000005E-5</v>
      </c>
      <c r="G8476" s="25">
        <v>5.9299999999999998E-5</v>
      </c>
      <c r="H8476" s="25">
        <v>6.6569999999999995E-5</v>
      </c>
      <c r="I8476" s="9">
        <v>1.1872E-4</v>
      </c>
      <c r="J8476" s="9">
        <v>1.0562E-4</v>
      </c>
      <c r="K8476" s="9">
        <v>2.1405E-4</v>
      </c>
      <c r="L8476" s="9">
        <v>8.1019999999999993E-5</v>
      </c>
      <c r="M8476" s="9">
        <v>8.6310000000000005E-5</v>
      </c>
      <c r="N8476" s="9">
        <v>9.0729999999999994E-5</v>
      </c>
      <c r="O8476" s="9">
        <v>6.3050000000000001E-5</v>
      </c>
      <c r="P8476" s="9">
        <v>6.0869999999999998E-5</v>
      </c>
      <c r="Q8476" s="9">
        <v>5.9049999999999999E-5</v>
      </c>
      <c r="R8476" s="10">
        <v>2.09930628474275E-4</v>
      </c>
      <c r="S8476" s="10">
        <v>1.9025502365033507E-4</v>
      </c>
      <c r="T8476" s="10">
        <v>0</v>
      </c>
      <c r="U8476" s="10">
        <v>1.4978999999999999E-4</v>
      </c>
      <c r="V8476" s="25"/>
      <c r="W8476" s="25"/>
      <c r="X8476" s="25"/>
      <c r="Y8476" s="25"/>
      <c r="Z8476" s="25"/>
      <c r="AA8476" s="25"/>
    </row>
    <row r="8477" spans="1:27" x14ac:dyDescent="0.35">
      <c r="A8477" s="5">
        <v>8473</v>
      </c>
      <c r="B8477" s="5">
        <v>354</v>
      </c>
      <c r="C8477" s="5">
        <v>12</v>
      </c>
      <c r="D8477" s="25">
        <v>1.1416E-4</v>
      </c>
      <c r="E8477" s="25">
        <v>1.2144E-4</v>
      </c>
      <c r="F8477" s="25">
        <v>1.2977999999999999E-4</v>
      </c>
      <c r="G8477" s="25">
        <v>5.5359999999999999E-5</v>
      </c>
      <c r="H8477" s="25">
        <v>6.2020000000000006E-5</v>
      </c>
      <c r="I8477" s="9">
        <v>1.1218E-4</v>
      </c>
      <c r="J8477" s="9">
        <v>1.0009E-4</v>
      </c>
      <c r="K8477" s="9">
        <v>2.3735999999999999E-4</v>
      </c>
      <c r="L8477" s="9">
        <v>6.7009999999999997E-5</v>
      </c>
      <c r="M8477" s="9">
        <v>7.4159999999999995E-5</v>
      </c>
      <c r="N8477" s="9">
        <v>8.1320000000000001E-5</v>
      </c>
      <c r="O8477" s="9">
        <v>5.4830000000000002E-5</v>
      </c>
      <c r="P8477" s="9">
        <v>5.4249999999999997E-5</v>
      </c>
      <c r="Q8477" s="9">
        <v>5.3820000000000003E-5</v>
      </c>
      <c r="R8477" s="10">
        <v>2.0933374707268344E-4</v>
      </c>
      <c r="S8477" s="10">
        <v>1.9027378194232301E-4</v>
      </c>
      <c r="T8477" s="10">
        <v>0</v>
      </c>
      <c r="U8477" s="10">
        <v>1.5291E-4</v>
      </c>
      <c r="V8477" s="25"/>
      <c r="W8477" s="25"/>
      <c r="X8477" s="25"/>
      <c r="Y8477" s="25"/>
      <c r="Z8477" s="25"/>
      <c r="AA8477" s="25"/>
    </row>
    <row r="8478" spans="1:27" x14ac:dyDescent="0.35">
      <c r="A8478" s="5">
        <v>8474</v>
      </c>
      <c r="B8478" s="5">
        <v>354</v>
      </c>
      <c r="C8478" s="5">
        <v>12</v>
      </c>
      <c r="D8478" s="25">
        <v>1.1416E-4</v>
      </c>
      <c r="E8478" s="25">
        <v>1.1046E-4</v>
      </c>
      <c r="F8478" s="25">
        <v>1.1458E-4</v>
      </c>
      <c r="G8478" s="25">
        <v>5.6400000000000002E-5</v>
      </c>
      <c r="H8478" s="25">
        <v>6.5640000000000002E-5</v>
      </c>
      <c r="I8478" s="9">
        <v>1.069E-4</v>
      </c>
      <c r="J8478" s="9">
        <v>9.6609999999999998E-5</v>
      </c>
      <c r="K8478" s="9">
        <v>2.2889000000000001E-4</v>
      </c>
      <c r="L8478" s="9">
        <v>5.7899999999999998E-5</v>
      </c>
      <c r="M8478" s="9">
        <v>6.4109999999999994E-5</v>
      </c>
      <c r="N8478" s="9">
        <v>7.2260000000000003E-5</v>
      </c>
      <c r="O8478" s="9">
        <v>1.8479999999999999E-5</v>
      </c>
      <c r="P8478" s="9">
        <v>3.7910000000000001E-5</v>
      </c>
      <c r="Q8478" s="9">
        <v>5.6409999999999997E-5</v>
      </c>
      <c r="R8478" s="10">
        <v>2.0847704121185396E-4</v>
      </c>
      <c r="S8478" s="10">
        <v>1.9028635214105602E-4</v>
      </c>
      <c r="T8478" s="10">
        <v>0</v>
      </c>
      <c r="U8478" s="10">
        <v>1.5291E-4</v>
      </c>
      <c r="V8478" s="25"/>
      <c r="W8478" s="25"/>
      <c r="X8478" s="25"/>
      <c r="Y8478" s="25"/>
      <c r="Z8478" s="25"/>
      <c r="AA8478" s="25"/>
    </row>
    <row r="8479" spans="1:27" x14ac:dyDescent="0.35">
      <c r="A8479" s="5">
        <v>8475</v>
      </c>
      <c r="B8479" s="5">
        <v>354</v>
      </c>
      <c r="C8479" s="5">
        <v>12</v>
      </c>
      <c r="D8479" s="25">
        <v>1.1416E-4</v>
      </c>
      <c r="E8479" s="25">
        <v>1.1597E-4</v>
      </c>
      <c r="F8479" s="25">
        <v>1.3080000000000001E-4</v>
      </c>
      <c r="G8479" s="25">
        <v>5.4389999999999999E-5</v>
      </c>
      <c r="H8479" s="25">
        <v>7.046E-5</v>
      </c>
      <c r="I8479" s="9">
        <v>1.027E-4</v>
      </c>
      <c r="J8479" s="9">
        <v>9.5069999999999996E-5</v>
      </c>
      <c r="K8479" s="9">
        <v>2.3948E-4</v>
      </c>
      <c r="L8479" s="9">
        <v>2.7359999999999999E-5</v>
      </c>
      <c r="M8479" s="9">
        <v>5.2389999999999998E-5</v>
      </c>
      <c r="N8479" s="9">
        <v>6.5720000000000001E-5</v>
      </c>
      <c r="O8479" s="9">
        <v>1.274E-5</v>
      </c>
      <c r="P8479" s="9">
        <v>3.7429999999999999E-5</v>
      </c>
      <c r="Q8479" s="9">
        <v>6.0999999999999999E-5</v>
      </c>
      <c r="R8479" s="10">
        <v>2.0973135448884529E-4</v>
      </c>
      <c r="S8479" s="10">
        <v>1.9028994617766688E-4</v>
      </c>
      <c r="T8479" s="10">
        <v>0</v>
      </c>
      <c r="U8479" s="10">
        <v>1.5291E-4</v>
      </c>
      <c r="V8479" s="25"/>
      <c r="W8479" s="25"/>
      <c r="X8479" s="25"/>
      <c r="Y8479" s="25"/>
      <c r="Z8479" s="25"/>
      <c r="AA8479" s="25"/>
    </row>
    <row r="8480" spans="1:27" x14ac:dyDescent="0.35">
      <c r="A8480" s="5">
        <v>8476</v>
      </c>
      <c r="B8480" s="5">
        <v>354</v>
      </c>
      <c r="C8480" s="5">
        <v>12</v>
      </c>
      <c r="D8480" s="25">
        <v>1.1416E-4</v>
      </c>
      <c r="E8480" s="25">
        <v>1.1404E-4</v>
      </c>
      <c r="F8480" s="25">
        <v>1.2396999999999999E-4</v>
      </c>
      <c r="G8480" s="25">
        <v>5.3100000000000003E-5</v>
      </c>
      <c r="H8480" s="25">
        <v>6.4239999999999995E-5</v>
      </c>
      <c r="I8480" s="9">
        <v>1.0060000000000001E-4</v>
      </c>
      <c r="J8480" s="9">
        <v>9.4640000000000002E-5</v>
      </c>
      <c r="K8480" s="9">
        <v>2.3525E-4</v>
      </c>
      <c r="L8480" s="9">
        <v>1.6710000000000001E-5</v>
      </c>
      <c r="M8480" s="9">
        <v>4.4209999999999999E-5</v>
      </c>
      <c r="N8480" s="9">
        <v>6.1959999999999996E-5</v>
      </c>
      <c r="O8480" s="9">
        <v>1.296E-5</v>
      </c>
      <c r="P8480" s="9">
        <v>4.757E-5</v>
      </c>
      <c r="Q8480" s="9">
        <v>8.0909999999999996E-5</v>
      </c>
      <c r="R8480" s="10">
        <v>2.1101109515082821E-4</v>
      </c>
      <c r="S8480" s="10">
        <v>1.9029020759484994E-4</v>
      </c>
      <c r="T8480" s="10">
        <v>0</v>
      </c>
      <c r="U8480" s="10">
        <v>1.5291E-4</v>
      </c>
      <c r="V8480" s="25"/>
      <c r="W8480" s="25"/>
      <c r="X8480" s="25"/>
      <c r="Y8480" s="25"/>
      <c r="Z8480" s="25"/>
      <c r="AA8480" s="25"/>
    </row>
    <row r="8481" spans="1:27" x14ac:dyDescent="0.35">
      <c r="A8481" s="5">
        <v>8477</v>
      </c>
      <c r="B8481" s="5">
        <v>354</v>
      </c>
      <c r="C8481" s="5">
        <v>12</v>
      </c>
      <c r="D8481" s="25">
        <v>1.1416E-4</v>
      </c>
      <c r="E8481" s="25">
        <v>1.2101E-4</v>
      </c>
      <c r="F8481" s="25">
        <v>1.1257E-4</v>
      </c>
      <c r="G8481" s="25">
        <v>5.5810000000000003E-5</v>
      </c>
      <c r="H8481" s="25">
        <v>7.4380000000000003E-5</v>
      </c>
      <c r="I8481" s="9">
        <v>1.0271E-4</v>
      </c>
      <c r="J8481" s="9">
        <v>9.5840000000000004E-5</v>
      </c>
      <c r="K8481" s="9">
        <v>2.3948E-4</v>
      </c>
      <c r="L8481" s="9">
        <v>1.4039999999999999E-5</v>
      </c>
      <c r="M8481" s="9">
        <v>4.3569999999999998E-5</v>
      </c>
      <c r="N8481" s="9">
        <v>6.4590000000000003E-5</v>
      </c>
      <c r="O8481" s="9">
        <v>1.8369999999999999E-5</v>
      </c>
      <c r="P8481" s="9">
        <v>5.6530000000000003E-5</v>
      </c>
      <c r="Q8481" s="9">
        <v>9.3480000000000006E-5</v>
      </c>
      <c r="R8481" s="10">
        <v>2.1144437955693631E-4</v>
      </c>
      <c r="S8481" s="10">
        <v>1.9029020759484994E-4</v>
      </c>
      <c r="T8481" s="10">
        <v>0</v>
      </c>
      <c r="U8481" s="10">
        <v>1.5291E-4</v>
      </c>
      <c r="V8481" s="25"/>
      <c r="W8481" s="25"/>
      <c r="X8481" s="25"/>
      <c r="Y8481" s="25"/>
      <c r="Z8481" s="25"/>
      <c r="AA8481" s="25"/>
    </row>
    <row r="8482" spans="1:27" x14ac:dyDescent="0.35">
      <c r="A8482" s="5">
        <v>8478</v>
      </c>
      <c r="B8482" s="5">
        <v>354</v>
      </c>
      <c r="C8482" s="5">
        <v>12</v>
      </c>
      <c r="D8482" s="25">
        <v>1.1416E-4</v>
      </c>
      <c r="E8482" s="25">
        <v>1.1858000000000001E-4</v>
      </c>
      <c r="F8482" s="25">
        <v>1.1521E-4</v>
      </c>
      <c r="G8482" s="25">
        <v>1.1189E-4</v>
      </c>
      <c r="H8482" s="25">
        <v>1.2972E-4</v>
      </c>
      <c r="I8482" s="9">
        <v>1.0848E-4</v>
      </c>
      <c r="J8482" s="9">
        <v>1.0051E-4</v>
      </c>
      <c r="K8482" s="9">
        <v>2.4159999999999999E-4</v>
      </c>
      <c r="L8482" s="9">
        <v>1.7280000000000001E-5</v>
      </c>
      <c r="M8482" s="9">
        <v>4.8430000000000002E-5</v>
      </c>
      <c r="N8482" s="9">
        <v>7.1069999999999995E-5</v>
      </c>
      <c r="O8482" s="9">
        <v>4.5920000000000001E-5</v>
      </c>
      <c r="P8482" s="9">
        <v>7.6420000000000004E-5</v>
      </c>
      <c r="Q8482" s="9">
        <v>1.0641000000000001E-4</v>
      </c>
      <c r="R8482" s="10">
        <v>2.1189619158376276E-4</v>
      </c>
      <c r="S8482" s="10">
        <v>1.9029020759484994E-4</v>
      </c>
      <c r="T8482" s="10">
        <v>0</v>
      </c>
      <c r="U8482" s="10">
        <v>1.5291E-4</v>
      </c>
      <c r="V8482" s="25"/>
      <c r="W8482" s="25"/>
      <c r="X8482" s="25"/>
      <c r="Y8482" s="25"/>
      <c r="Z8482" s="25"/>
      <c r="AA8482" s="25"/>
    </row>
    <row r="8483" spans="1:27" x14ac:dyDescent="0.35">
      <c r="A8483" s="5">
        <v>8479</v>
      </c>
      <c r="B8483" s="5">
        <v>354</v>
      </c>
      <c r="C8483" s="5">
        <v>12</v>
      </c>
      <c r="D8483" s="25">
        <v>1.1416E-4</v>
      </c>
      <c r="E8483" s="25">
        <v>1.1923E-4</v>
      </c>
      <c r="F8483" s="25">
        <v>1.261E-4</v>
      </c>
      <c r="G8483" s="25">
        <v>1.1433E-4</v>
      </c>
      <c r="H8483" s="25">
        <v>1.3180000000000001E-4</v>
      </c>
      <c r="I8483" s="9">
        <v>1.2428999999999999E-4</v>
      </c>
      <c r="J8483" s="9">
        <v>1.1304E-4</v>
      </c>
      <c r="K8483" s="9">
        <v>2.5008000000000002E-4</v>
      </c>
      <c r="L8483" s="9">
        <v>3.9480000000000001E-5</v>
      </c>
      <c r="M8483" s="9">
        <v>5.9880000000000003E-5</v>
      </c>
      <c r="N8483" s="9">
        <v>8.0610000000000002E-5</v>
      </c>
      <c r="O8483" s="9">
        <v>1.2287999999999999E-4</v>
      </c>
      <c r="P8483" s="9">
        <v>1.1629E-4</v>
      </c>
      <c r="Q8483" s="9">
        <v>1.1139E-4</v>
      </c>
      <c r="R8483" s="10">
        <v>2.1226603011511669E-4</v>
      </c>
      <c r="S8483" s="10">
        <v>1.9029017435420812E-4</v>
      </c>
      <c r="T8483" s="10">
        <v>0</v>
      </c>
      <c r="U8483" s="10">
        <v>1.5291E-4</v>
      </c>
      <c r="V8483" s="25"/>
      <c r="W8483" s="25"/>
      <c r="X8483" s="25"/>
      <c r="Y8483" s="25"/>
      <c r="Z8483" s="25"/>
      <c r="AA8483" s="25"/>
    </row>
    <row r="8484" spans="1:27" x14ac:dyDescent="0.35">
      <c r="A8484" s="5">
        <v>8480</v>
      </c>
      <c r="B8484" s="5">
        <v>354</v>
      </c>
      <c r="C8484" s="5">
        <v>12</v>
      </c>
      <c r="D8484" s="25">
        <v>1.1416E-4</v>
      </c>
      <c r="E8484" s="25">
        <v>1.1611E-4</v>
      </c>
      <c r="F8484" s="25">
        <v>1.2883E-4</v>
      </c>
      <c r="G8484" s="25">
        <v>1.6699999999999999E-4</v>
      </c>
      <c r="H8484" s="25">
        <v>1.9468999999999999E-4</v>
      </c>
      <c r="I8484" s="9">
        <v>1.3636E-4</v>
      </c>
      <c r="J8484" s="9">
        <v>1.3202999999999999E-4</v>
      </c>
      <c r="K8484" s="9">
        <v>2.3948E-4</v>
      </c>
      <c r="L8484" s="9">
        <v>1.0391E-4</v>
      </c>
      <c r="M8484" s="9">
        <v>8.3129999999999999E-5</v>
      </c>
      <c r="N8484" s="9">
        <v>9.0470000000000006E-5</v>
      </c>
      <c r="O8484" s="9">
        <v>2.2028E-4</v>
      </c>
      <c r="P8484" s="9">
        <v>1.7592000000000001E-4</v>
      </c>
      <c r="Q8484" s="9">
        <v>1.359E-4</v>
      </c>
      <c r="R8484" s="10">
        <v>2.1225500320178097E-4</v>
      </c>
      <c r="S8484" s="10">
        <v>1.9028998121383561E-4</v>
      </c>
      <c r="T8484" s="10">
        <v>0</v>
      </c>
      <c r="U8484" s="10">
        <v>1.5291E-4</v>
      </c>
      <c r="V8484" s="25"/>
      <c r="W8484" s="25"/>
      <c r="X8484" s="25"/>
      <c r="Y8484" s="25"/>
      <c r="Z8484" s="25"/>
      <c r="AA8484" s="25"/>
    </row>
    <row r="8485" spans="1:27" x14ac:dyDescent="0.35">
      <c r="A8485" s="5">
        <v>8481</v>
      </c>
      <c r="B8485" s="5">
        <v>354</v>
      </c>
      <c r="C8485" s="5">
        <v>12</v>
      </c>
      <c r="D8485" s="25">
        <v>1.1416E-4</v>
      </c>
      <c r="E8485" s="25">
        <v>1.1133000000000001E-4</v>
      </c>
      <c r="F8485" s="25">
        <v>1.2205999999999999E-4</v>
      </c>
      <c r="G8485" s="25">
        <v>1.6343999999999999E-4</v>
      </c>
      <c r="H8485" s="25">
        <v>1.9285999999999999E-4</v>
      </c>
      <c r="I8485" s="9">
        <v>1.4148000000000001E-4</v>
      </c>
      <c r="J8485" s="9">
        <v>1.4442E-4</v>
      </c>
      <c r="K8485" s="9">
        <v>2.2676E-4</v>
      </c>
      <c r="L8485" s="9">
        <v>1.9290999999999999E-4</v>
      </c>
      <c r="M8485" s="9">
        <v>1.2255E-4</v>
      </c>
      <c r="N8485" s="9">
        <v>1.0406E-4</v>
      </c>
      <c r="O8485" s="9">
        <v>2.1223999999999999E-4</v>
      </c>
      <c r="P8485" s="9">
        <v>1.9227E-4</v>
      </c>
      <c r="Q8485" s="9">
        <v>1.7608000000000001E-4</v>
      </c>
      <c r="R8485" s="10">
        <v>2.1224009886505797E-4</v>
      </c>
      <c r="S8485" s="10">
        <v>1.9028804015438344E-4</v>
      </c>
      <c r="T8485" s="10">
        <v>0</v>
      </c>
      <c r="U8485" s="10">
        <v>1.5291E-4</v>
      </c>
      <c r="V8485" s="25"/>
      <c r="W8485" s="25"/>
      <c r="X8485" s="25"/>
      <c r="Y8485" s="25"/>
      <c r="Z8485" s="25"/>
      <c r="AA8485" s="25"/>
    </row>
    <row r="8486" spans="1:27" x14ac:dyDescent="0.35">
      <c r="A8486" s="5">
        <v>8482</v>
      </c>
      <c r="B8486" s="5">
        <v>354</v>
      </c>
      <c r="C8486" s="5">
        <v>12</v>
      </c>
      <c r="D8486" s="25">
        <v>1.1416E-4</v>
      </c>
      <c r="E8486" s="25">
        <v>1.1196000000000001E-4</v>
      </c>
      <c r="F8486" s="25">
        <v>1.2480999999999999E-4</v>
      </c>
      <c r="G8486" s="25">
        <v>1.5746E-4</v>
      </c>
      <c r="H8486" s="25">
        <v>1.8744000000000001E-4</v>
      </c>
      <c r="I8486" s="9">
        <v>1.4191E-4</v>
      </c>
      <c r="J8486" s="9">
        <v>1.4688E-4</v>
      </c>
      <c r="K8486" s="9">
        <v>2.1618000000000001E-4</v>
      </c>
      <c r="L8486" s="9">
        <v>2.0565000000000001E-4</v>
      </c>
      <c r="M8486" s="9">
        <v>1.5765000000000001E-4</v>
      </c>
      <c r="N8486" s="9">
        <v>1.2392999999999999E-4</v>
      </c>
      <c r="O8486" s="9">
        <v>1.6733000000000001E-4</v>
      </c>
      <c r="P8486" s="9">
        <v>1.7283000000000001E-4</v>
      </c>
      <c r="Q8486" s="9">
        <v>1.8076999999999999E-4</v>
      </c>
      <c r="R8486" s="10">
        <v>2.1203644262545127E-4</v>
      </c>
      <c r="S8486" s="10">
        <v>1.9028967002387816E-4</v>
      </c>
      <c r="T8486" s="10">
        <v>6.605875474020963E-5</v>
      </c>
      <c r="U8486" s="10">
        <v>1.5291E-4</v>
      </c>
      <c r="V8486" s="25"/>
      <c r="W8486" s="25"/>
      <c r="X8486" s="25"/>
      <c r="Y8486" s="25"/>
      <c r="Z8486" s="25"/>
      <c r="AA8486" s="25"/>
    </row>
    <row r="8487" spans="1:27" x14ac:dyDescent="0.35">
      <c r="A8487" s="5">
        <v>8483</v>
      </c>
      <c r="B8487" s="5">
        <v>354</v>
      </c>
      <c r="C8487" s="5">
        <v>12</v>
      </c>
      <c r="D8487" s="25">
        <v>1.1416E-4</v>
      </c>
      <c r="E8487" s="25">
        <v>1.1749E-4</v>
      </c>
      <c r="F8487" s="25">
        <v>1.2392999999999999E-4</v>
      </c>
      <c r="G8487" s="25">
        <v>1.5627999999999999E-4</v>
      </c>
      <c r="H8487" s="25">
        <v>1.9202999999999999E-4</v>
      </c>
      <c r="I8487" s="9">
        <v>1.4108999999999999E-4</v>
      </c>
      <c r="J8487" s="9">
        <v>1.4679999999999999E-4</v>
      </c>
      <c r="K8487" s="9">
        <v>2.0981E-4</v>
      </c>
      <c r="L8487" s="9">
        <v>1.7582000000000001E-4</v>
      </c>
      <c r="M8487" s="9">
        <v>1.7124999999999999E-4</v>
      </c>
      <c r="N8487" s="9">
        <v>1.4181E-4</v>
      </c>
      <c r="O8487" s="9">
        <v>1.6928000000000001E-4</v>
      </c>
      <c r="P8487" s="9">
        <v>1.7348999999999999E-4</v>
      </c>
      <c r="Q8487" s="9">
        <v>1.8018999999999999E-4</v>
      </c>
      <c r="R8487" s="10">
        <v>2.1173537127523997E-4</v>
      </c>
      <c r="S8487" s="10">
        <v>1.9029020497765591E-4</v>
      </c>
      <c r="T8487" s="10">
        <v>5.4842510999321234E-5</v>
      </c>
      <c r="U8487" s="10">
        <v>1.5291E-4</v>
      </c>
      <c r="V8487" s="25"/>
      <c r="W8487" s="25"/>
      <c r="X8487" s="25"/>
      <c r="Y8487" s="25"/>
      <c r="Z8487" s="25"/>
      <c r="AA8487" s="25"/>
    </row>
    <row r="8488" spans="1:27" x14ac:dyDescent="0.35">
      <c r="A8488" s="5">
        <v>8484</v>
      </c>
      <c r="B8488" s="5">
        <v>354</v>
      </c>
      <c r="C8488" s="5">
        <v>12</v>
      </c>
      <c r="D8488" s="25">
        <v>1.1416E-4</v>
      </c>
      <c r="E8488" s="25">
        <v>1.1362E-4</v>
      </c>
      <c r="F8488" s="25">
        <v>1.1879000000000001E-4</v>
      </c>
      <c r="G8488" s="25">
        <v>1.5846999999999999E-4</v>
      </c>
      <c r="H8488" s="25">
        <v>1.8607000000000001E-4</v>
      </c>
      <c r="I8488" s="9">
        <v>1.4164000000000001E-4</v>
      </c>
      <c r="J8488" s="9">
        <v>1.4582000000000001E-4</v>
      </c>
      <c r="K8488" s="9">
        <v>2.0346000000000001E-4</v>
      </c>
      <c r="L8488" s="9">
        <v>1.7216000000000001E-4</v>
      </c>
      <c r="M8488" s="9">
        <v>1.7435000000000001E-4</v>
      </c>
      <c r="N8488" s="9">
        <v>1.5616999999999999E-4</v>
      </c>
      <c r="O8488" s="9">
        <v>1.7212999999999999E-4</v>
      </c>
      <c r="P8488" s="9">
        <v>1.7218999999999999E-4</v>
      </c>
      <c r="Q8488" s="9">
        <v>1.7488000000000001E-4</v>
      </c>
      <c r="R8488" s="10">
        <v>1.9986249364078665E-4</v>
      </c>
      <c r="S8488" s="10">
        <v>1.9029016501311442E-4</v>
      </c>
      <c r="T8488" s="10">
        <v>3.2755334501095211E-4</v>
      </c>
      <c r="U8488" s="10">
        <v>1.5291E-4</v>
      </c>
      <c r="V8488" s="25"/>
      <c r="W8488" s="25"/>
      <c r="X8488" s="25"/>
      <c r="Y8488" s="25"/>
      <c r="Z8488" s="25"/>
      <c r="AA8488" s="25"/>
    </row>
    <row r="8489" spans="1:27" x14ac:dyDescent="0.35">
      <c r="A8489" s="5">
        <v>8485</v>
      </c>
      <c r="B8489" s="5">
        <v>354</v>
      </c>
      <c r="C8489" s="5">
        <v>12</v>
      </c>
      <c r="D8489" s="25">
        <v>1.1416E-4</v>
      </c>
      <c r="E8489" s="25">
        <v>1.1113E-4</v>
      </c>
      <c r="F8489" s="25">
        <v>1.3375E-4</v>
      </c>
      <c r="G8489" s="25">
        <v>1.5851999999999999E-4</v>
      </c>
      <c r="H8489" s="25">
        <v>1.9912E-4</v>
      </c>
      <c r="I8489" s="9">
        <v>1.3799E-4</v>
      </c>
      <c r="J8489" s="9">
        <v>1.4401999999999999E-4</v>
      </c>
      <c r="K8489" s="9">
        <v>1.9709999999999999E-4</v>
      </c>
      <c r="L8489" s="9">
        <v>1.7227E-4</v>
      </c>
      <c r="M8489" s="9">
        <v>1.739E-4</v>
      </c>
      <c r="N8489" s="9">
        <v>1.6595E-4</v>
      </c>
      <c r="O8489" s="9">
        <v>1.6169000000000001E-4</v>
      </c>
      <c r="P8489" s="9">
        <v>1.6265999999999999E-4</v>
      </c>
      <c r="Q8489" s="9">
        <v>1.6603000000000001E-4</v>
      </c>
      <c r="R8489" s="10">
        <v>2.0691985511636895E-4</v>
      </c>
      <c r="S8489" s="10">
        <v>1.9029017686315427E-4</v>
      </c>
      <c r="T8489" s="10">
        <v>4.0347085559602742E-4</v>
      </c>
      <c r="U8489" s="10">
        <v>1.5291E-4</v>
      </c>
      <c r="V8489" s="25"/>
      <c r="W8489" s="25"/>
      <c r="X8489" s="25"/>
      <c r="Y8489" s="25"/>
      <c r="Z8489" s="25"/>
      <c r="AA8489" s="25"/>
    </row>
    <row r="8490" spans="1:27" x14ac:dyDescent="0.35">
      <c r="A8490" s="5">
        <v>8486</v>
      </c>
      <c r="B8490" s="5">
        <v>354</v>
      </c>
      <c r="C8490" s="5">
        <v>12</v>
      </c>
      <c r="D8490" s="25">
        <v>1.1416E-4</v>
      </c>
      <c r="E8490" s="25">
        <v>1.1819000000000001E-4</v>
      </c>
      <c r="F8490" s="25">
        <v>1.3383000000000001E-4</v>
      </c>
      <c r="G8490" s="25">
        <v>1.6174000000000001E-4</v>
      </c>
      <c r="H8490" s="25">
        <v>1.9907E-4</v>
      </c>
      <c r="I8490" s="9">
        <v>1.3745000000000001E-4</v>
      </c>
      <c r="J8490" s="9">
        <v>1.4399000000000001E-4</v>
      </c>
      <c r="K8490" s="9">
        <v>1.9921000000000001E-4</v>
      </c>
      <c r="L8490" s="9">
        <v>1.6375E-4</v>
      </c>
      <c r="M8490" s="9">
        <v>1.697E-4</v>
      </c>
      <c r="N8490" s="9">
        <v>1.7009999999999999E-4</v>
      </c>
      <c r="O8490" s="9">
        <v>1.796E-4</v>
      </c>
      <c r="P8490" s="9">
        <v>1.6861999999999999E-4</v>
      </c>
      <c r="Q8490" s="9">
        <v>1.6061E-4</v>
      </c>
      <c r="R8490" s="10">
        <v>2.0943790249819064E-4</v>
      </c>
      <c r="S8490" s="10">
        <v>1.9028957228354565E-4</v>
      </c>
      <c r="T8490" s="10">
        <v>3.5564486015927401E-4</v>
      </c>
      <c r="U8490" s="10">
        <v>1.5291E-4</v>
      </c>
      <c r="V8490" s="25"/>
      <c r="W8490" s="25"/>
      <c r="X8490" s="25"/>
      <c r="Y8490" s="25"/>
      <c r="Z8490" s="25"/>
      <c r="AA8490" s="25"/>
    </row>
    <row r="8491" spans="1:27" x14ac:dyDescent="0.35">
      <c r="A8491" s="5">
        <v>8487</v>
      </c>
      <c r="B8491" s="5">
        <v>354</v>
      </c>
      <c r="C8491" s="5">
        <v>12</v>
      </c>
      <c r="D8491" s="25">
        <v>1.1416E-4</v>
      </c>
      <c r="E8491" s="25">
        <v>1.1446E-4</v>
      </c>
      <c r="F8491" s="25">
        <v>1.2808000000000001E-4</v>
      </c>
      <c r="G8491" s="25">
        <v>1.6187999999999999E-4</v>
      </c>
      <c r="H8491" s="25">
        <v>1.9536E-4</v>
      </c>
      <c r="I8491" s="9">
        <v>1.3757999999999999E-4</v>
      </c>
      <c r="J8491" s="9">
        <v>1.4407999999999999E-4</v>
      </c>
      <c r="K8491" s="9">
        <v>1.9922000000000001E-4</v>
      </c>
      <c r="L8491" s="9">
        <v>1.7632999999999999E-4</v>
      </c>
      <c r="M8491" s="9">
        <v>1.6809E-4</v>
      </c>
      <c r="N8491" s="9">
        <v>1.6971E-4</v>
      </c>
      <c r="O8491" s="9">
        <v>1.8480999999999999E-4</v>
      </c>
      <c r="P8491" s="9">
        <v>1.6695999999999999E-4</v>
      </c>
      <c r="Q8491" s="9">
        <v>1.5228999999999999E-4</v>
      </c>
      <c r="R8491" s="10">
        <v>2.0664447846844628E-4</v>
      </c>
      <c r="S8491" s="10">
        <v>1.9028996249186052E-4</v>
      </c>
      <c r="T8491" s="10">
        <v>3.467533144403246E-5</v>
      </c>
      <c r="U8491" s="10">
        <v>1.5291E-4</v>
      </c>
      <c r="V8491" s="25"/>
      <c r="W8491" s="25"/>
      <c r="X8491" s="25"/>
      <c r="Y8491" s="25"/>
      <c r="Z8491" s="25"/>
      <c r="AA8491" s="25"/>
    </row>
    <row r="8492" spans="1:27" x14ac:dyDescent="0.35">
      <c r="A8492" s="5">
        <v>8488</v>
      </c>
      <c r="B8492" s="5">
        <v>354</v>
      </c>
      <c r="C8492" s="5">
        <v>12</v>
      </c>
      <c r="D8492" s="25">
        <v>1.1416E-4</v>
      </c>
      <c r="E8492" s="25">
        <v>1.1917999999999999E-4</v>
      </c>
      <c r="F8492" s="25">
        <v>1.3323E-4</v>
      </c>
      <c r="G8492" s="25">
        <v>1.6105000000000001E-4</v>
      </c>
      <c r="H8492" s="25">
        <v>1.9799999999999999E-4</v>
      </c>
      <c r="I8492" s="9">
        <v>1.3809E-4</v>
      </c>
      <c r="J8492" s="9">
        <v>1.4547E-4</v>
      </c>
      <c r="K8492" s="9">
        <v>2.1193000000000001E-4</v>
      </c>
      <c r="L8492" s="9">
        <v>1.8262000000000001E-4</v>
      </c>
      <c r="M8492" s="9">
        <v>1.6736999999999999E-4</v>
      </c>
      <c r="N8492" s="9">
        <v>1.6587000000000001E-4</v>
      </c>
      <c r="O8492" s="9">
        <v>1.9839E-4</v>
      </c>
      <c r="P8492" s="9">
        <v>1.5192999999999999E-4</v>
      </c>
      <c r="Q8492" s="9">
        <v>1.0938999999999999E-4</v>
      </c>
      <c r="R8492" s="10">
        <v>2.0072606181262363E-4</v>
      </c>
      <c r="S8492" s="10">
        <v>1.9029018859806614E-4</v>
      </c>
      <c r="T8492" s="10">
        <v>0</v>
      </c>
      <c r="U8492" s="10">
        <v>1.5291E-4</v>
      </c>
      <c r="V8492" s="25"/>
      <c r="W8492" s="25"/>
      <c r="X8492" s="25"/>
      <c r="Y8492" s="25"/>
      <c r="Z8492" s="25"/>
      <c r="AA8492" s="25"/>
    </row>
    <row r="8493" spans="1:27" x14ac:dyDescent="0.35">
      <c r="A8493" s="5">
        <v>8489</v>
      </c>
      <c r="B8493" s="5">
        <v>354</v>
      </c>
      <c r="C8493" s="5">
        <v>12</v>
      </c>
      <c r="D8493" s="25">
        <v>1.1416E-4</v>
      </c>
      <c r="E8493" s="25">
        <v>1.1709000000000001E-4</v>
      </c>
      <c r="F8493" s="25">
        <v>1.1756000000000001E-4</v>
      </c>
      <c r="G8493" s="25">
        <v>1.6255999999999999E-4</v>
      </c>
      <c r="H8493" s="25">
        <v>1.9951999999999999E-4</v>
      </c>
      <c r="I8493" s="9">
        <v>1.4187E-4</v>
      </c>
      <c r="J8493" s="9">
        <v>1.5033000000000001E-4</v>
      </c>
      <c r="K8493" s="9">
        <v>2.1193000000000001E-4</v>
      </c>
      <c r="L8493" s="9">
        <v>1.9468E-4</v>
      </c>
      <c r="M8493" s="9">
        <v>1.6174000000000001E-4</v>
      </c>
      <c r="N8493" s="9">
        <v>1.5211000000000001E-4</v>
      </c>
      <c r="O8493" s="9">
        <v>2.1605999999999999E-4</v>
      </c>
      <c r="P8493" s="9">
        <v>1.5943000000000001E-4</v>
      </c>
      <c r="Q8493" s="9">
        <v>1.0724E-4</v>
      </c>
      <c r="R8493" s="10">
        <v>2.0167298408859896E-4</v>
      </c>
      <c r="S8493" s="10">
        <v>1.9029019656516158E-4</v>
      </c>
      <c r="T8493" s="10">
        <v>0</v>
      </c>
      <c r="U8493" s="10">
        <v>1.5291E-4</v>
      </c>
      <c r="V8493" s="25"/>
      <c r="W8493" s="25"/>
      <c r="X8493" s="25"/>
      <c r="Y8493" s="25"/>
      <c r="Z8493" s="25"/>
      <c r="AA8493" s="25"/>
    </row>
    <row r="8494" spans="1:27" x14ac:dyDescent="0.35">
      <c r="A8494" s="5">
        <v>8490</v>
      </c>
      <c r="B8494" s="5">
        <v>354</v>
      </c>
      <c r="C8494" s="5">
        <v>12</v>
      </c>
      <c r="D8494" s="25">
        <v>1.1416E-4</v>
      </c>
      <c r="E8494" s="25">
        <v>1.1919E-4</v>
      </c>
      <c r="F8494" s="25">
        <v>1.1836E-4</v>
      </c>
      <c r="G8494" s="25">
        <v>1.6359E-4</v>
      </c>
      <c r="H8494" s="25">
        <v>1.9026000000000001E-4</v>
      </c>
      <c r="I8494" s="9">
        <v>1.4949000000000001E-4</v>
      </c>
      <c r="J8494" s="9">
        <v>1.5782E-4</v>
      </c>
      <c r="K8494" s="9">
        <v>2.1617000000000001E-4</v>
      </c>
      <c r="L8494" s="9">
        <v>2.1112E-4</v>
      </c>
      <c r="M8494" s="9">
        <v>1.5935E-4</v>
      </c>
      <c r="N8494" s="9">
        <v>1.3883E-4</v>
      </c>
      <c r="O8494" s="9">
        <v>2.0662E-4</v>
      </c>
      <c r="P8494" s="9">
        <v>1.5993999999999999E-4</v>
      </c>
      <c r="Q8494" s="9">
        <v>1.1734E-4</v>
      </c>
      <c r="R8494" s="10">
        <v>2.0436092446834972E-4</v>
      </c>
      <c r="S8494" s="10">
        <v>1.9029018348694967E-4</v>
      </c>
      <c r="T8494" s="10">
        <v>0</v>
      </c>
      <c r="U8494" s="10">
        <v>1.5291E-4</v>
      </c>
      <c r="V8494" s="25"/>
      <c r="W8494" s="25"/>
      <c r="X8494" s="25"/>
      <c r="Y8494" s="25"/>
      <c r="Z8494" s="25"/>
      <c r="AA8494" s="25"/>
    </row>
    <row r="8495" spans="1:27" x14ac:dyDescent="0.35">
      <c r="A8495" s="5">
        <v>8491</v>
      </c>
      <c r="B8495" s="5">
        <v>354</v>
      </c>
      <c r="C8495" s="5">
        <v>12</v>
      </c>
      <c r="D8495" s="25">
        <v>1.1416E-4</v>
      </c>
      <c r="E8495" s="25">
        <v>1.2029E-4</v>
      </c>
      <c r="F8495" s="25">
        <v>1.2289000000000001E-4</v>
      </c>
      <c r="G8495" s="25">
        <v>1.0669E-4</v>
      </c>
      <c r="H8495" s="25">
        <v>1.3732999999999999E-4</v>
      </c>
      <c r="I8495" s="9">
        <v>1.4854000000000001E-4</v>
      </c>
      <c r="J8495" s="9">
        <v>1.5160999999999999E-4</v>
      </c>
      <c r="K8495" s="9">
        <v>2.1617000000000001E-4</v>
      </c>
      <c r="L8495" s="9">
        <v>2.0719E-4</v>
      </c>
      <c r="M8495" s="9">
        <v>1.5909999999999999E-4</v>
      </c>
      <c r="N8495" s="9">
        <v>1.2977E-4</v>
      </c>
      <c r="O8495" s="9">
        <v>1.6568E-4</v>
      </c>
      <c r="P8495" s="9">
        <v>1.3488000000000001E-4</v>
      </c>
      <c r="Q8495" s="9">
        <v>1.0705999999999999E-4</v>
      </c>
      <c r="R8495" s="10">
        <v>2.077290494342237E-4</v>
      </c>
      <c r="S8495" s="10">
        <v>1.9029020759484994E-4</v>
      </c>
      <c r="T8495" s="10">
        <v>0</v>
      </c>
      <c r="U8495" s="10">
        <v>1.5291E-4</v>
      </c>
      <c r="V8495" s="25"/>
      <c r="W8495" s="25"/>
      <c r="X8495" s="25"/>
      <c r="Y8495" s="25"/>
      <c r="Z8495" s="25"/>
      <c r="AA8495" s="25"/>
    </row>
    <row r="8496" spans="1:27" x14ac:dyDescent="0.35">
      <c r="A8496" s="5">
        <v>8492</v>
      </c>
      <c r="B8496" s="5">
        <v>354</v>
      </c>
      <c r="C8496" s="5">
        <v>12</v>
      </c>
      <c r="D8496" s="25">
        <v>1.1416E-4</v>
      </c>
      <c r="E8496" s="25">
        <v>1.2039E-4</v>
      </c>
      <c r="F8496" s="25">
        <v>1.2779999999999999E-4</v>
      </c>
      <c r="G8496" s="25">
        <v>1.0485E-4</v>
      </c>
      <c r="H8496" s="25">
        <v>1.2506999999999999E-4</v>
      </c>
      <c r="I8496" s="9">
        <v>1.4249E-4</v>
      </c>
      <c r="J8496" s="9">
        <v>1.4660000000000001E-4</v>
      </c>
      <c r="K8496" s="9">
        <v>2.1829E-4</v>
      </c>
      <c r="L8496" s="9">
        <v>1.75E-4</v>
      </c>
      <c r="M8496" s="9">
        <v>1.5048000000000001E-4</v>
      </c>
      <c r="N8496" s="9">
        <v>1.2071E-4</v>
      </c>
      <c r="O8496" s="9">
        <v>1.2967E-4</v>
      </c>
      <c r="P8496" s="9">
        <v>1.1475E-4</v>
      </c>
      <c r="Q8496" s="9">
        <v>1.0179999999999999E-4</v>
      </c>
      <c r="R8496" s="10">
        <v>2.1034345083337981E-4</v>
      </c>
      <c r="S8496" s="10">
        <v>1.9029020759484994E-4</v>
      </c>
      <c r="T8496" s="10">
        <v>0</v>
      </c>
      <c r="U8496" s="10">
        <v>1.5291E-4</v>
      </c>
      <c r="V8496" s="25"/>
      <c r="W8496" s="25"/>
      <c r="X8496" s="25"/>
      <c r="Y8496" s="25"/>
      <c r="Z8496" s="25"/>
      <c r="AA8496" s="25"/>
    </row>
    <row r="8497" spans="1:27" x14ac:dyDescent="0.35">
      <c r="A8497" s="5">
        <v>8493</v>
      </c>
      <c r="B8497" s="5">
        <v>354</v>
      </c>
      <c r="C8497" s="5">
        <v>12</v>
      </c>
      <c r="D8497" s="25">
        <v>1.1416E-4</v>
      </c>
      <c r="E8497" s="25">
        <v>1.1086000000000001E-4</v>
      </c>
      <c r="F8497" s="25">
        <v>1.2753999999999999E-4</v>
      </c>
      <c r="G8497" s="25">
        <v>6.0470000000000002E-5</v>
      </c>
      <c r="H8497" s="25">
        <v>6.9610000000000006E-5</v>
      </c>
      <c r="I8497" s="9">
        <v>1.3467000000000001E-4</v>
      </c>
      <c r="J8497" s="9">
        <v>1.4028000000000001E-4</v>
      </c>
      <c r="K8497" s="9">
        <v>2.2252E-4</v>
      </c>
      <c r="L8497" s="9">
        <v>1.4065E-4</v>
      </c>
      <c r="M8497" s="9">
        <v>1.3519000000000001E-4</v>
      </c>
      <c r="N8497" s="9">
        <v>1.1307E-4</v>
      </c>
      <c r="O8497" s="9">
        <v>8.475E-5</v>
      </c>
      <c r="P8497" s="9">
        <v>8.5970000000000005E-5</v>
      </c>
      <c r="Q8497" s="9">
        <v>8.7960000000000005E-5</v>
      </c>
      <c r="R8497" s="10">
        <v>2.1174303401608473E-4</v>
      </c>
      <c r="S8497" s="10">
        <v>1.9029020759484994E-4</v>
      </c>
      <c r="T8497" s="10">
        <v>0</v>
      </c>
      <c r="U8497" s="10">
        <v>1.5291E-4</v>
      </c>
      <c r="V8497" s="25"/>
      <c r="W8497" s="25"/>
      <c r="X8497" s="25"/>
      <c r="Y8497" s="25"/>
      <c r="Z8497" s="25"/>
      <c r="AA8497" s="25"/>
    </row>
    <row r="8498" spans="1:27" x14ac:dyDescent="0.35">
      <c r="A8498" s="5">
        <v>8494</v>
      </c>
      <c r="B8498" s="5">
        <v>354</v>
      </c>
      <c r="C8498" s="5">
        <v>12</v>
      </c>
      <c r="D8498" s="25">
        <v>1.1416E-4</v>
      </c>
      <c r="E8498" s="25">
        <v>1.1731E-4</v>
      </c>
      <c r="F8498" s="25">
        <v>1.1909999999999999E-4</v>
      </c>
      <c r="G8498" s="25">
        <v>5.3739999999999997E-5</v>
      </c>
      <c r="H8498" s="25">
        <v>6.6680000000000005E-5</v>
      </c>
      <c r="I8498" s="9">
        <v>1.2747E-4</v>
      </c>
      <c r="J8498" s="9">
        <v>1.3248000000000001E-4</v>
      </c>
      <c r="K8498" s="9">
        <v>2.2041000000000001E-4</v>
      </c>
      <c r="L8498" s="9">
        <v>9.7969999999999999E-5</v>
      </c>
      <c r="M8498" s="9">
        <v>1.1354E-4</v>
      </c>
      <c r="N8498" s="9">
        <v>1.0545E-4</v>
      </c>
      <c r="O8498" s="9">
        <v>8.8690000000000006E-5</v>
      </c>
      <c r="P8498" s="9">
        <v>8.8490000000000001E-5</v>
      </c>
      <c r="Q8498" s="9">
        <v>8.9140000000000004E-5</v>
      </c>
      <c r="R8498" s="10">
        <v>2.1203387349347035E-4</v>
      </c>
      <c r="S8498" s="10">
        <v>1.9029020759484994E-4</v>
      </c>
      <c r="T8498" s="10">
        <v>0</v>
      </c>
      <c r="U8498" s="10">
        <v>1.5291E-4</v>
      </c>
      <c r="V8498" s="25"/>
      <c r="W8498" s="25"/>
      <c r="X8498" s="25"/>
      <c r="Y8498" s="25"/>
      <c r="Z8498" s="25"/>
      <c r="AA8498" s="25"/>
    </row>
    <row r="8499" spans="1:27" x14ac:dyDescent="0.35">
      <c r="A8499" s="5">
        <v>8495</v>
      </c>
      <c r="B8499" s="5">
        <v>354</v>
      </c>
      <c r="C8499" s="5">
        <v>12</v>
      </c>
      <c r="D8499" s="25">
        <v>1.1416E-4</v>
      </c>
      <c r="E8499" s="25">
        <v>1.2139E-4</v>
      </c>
      <c r="F8499" s="25">
        <v>1.2854000000000001E-4</v>
      </c>
      <c r="G8499" s="25">
        <v>6.3100000000000002E-5</v>
      </c>
      <c r="H8499" s="25">
        <v>6.3659999999999997E-5</v>
      </c>
      <c r="I8499" s="9">
        <v>1.2857999999999999E-4</v>
      </c>
      <c r="J8499" s="9">
        <v>1.2318E-4</v>
      </c>
      <c r="K8499" s="9">
        <v>2.2889000000000001E-4</v>
      </c>
      <c r="L8499" s="9">
        <v>9.1689999999999998E-5</v>
      </c>
      <c r="M8499" s="9">
        <v>9.9209999999999994E-5</v>
      </c>
      <c r="N8499" s="9">
        <v>9.9870000000000004E-5</v>
      </c>
      <c r="O8499" s="9">
        <v>7.8029999999999997E-5</v>
      </c>
      <c r="P8499" s="9">
        <v>7.2039999999999995E-5</v>
      </c>
      <c r="Q8499" s="9">
        <v>6.6799999999999997E-5</v>
      </c>
      <c r="R8499" s="10">
        <v>2.1174420070288642E-4</v>
      </c>
      <c r="S8499" s="10">
        <v>1.9029020759484994E-4</v>
      </c>
      <c r="T8499" s="10">
        <v>0</v>
      </c>
      <c r="U8499" s="10">
        <v>1.5291E-4</v>
      </c>
      <c r="V8499" s="25"/>
      <c r="W8499" s="25"/>
      <c r="X8499" s="25"/>
      <c r="Y8499" s="25"/>
      <c r="Z8499" s="25"/>
      <c r="AA8499" s="25"/>
    </row>
    <row r="8500" spans="1:27" x14ac:dyDescent="0.35">
      <c r="A8500" s="5">
        <v>8496</v>
      </c>
      <c r="B8500" s="5">
        <v>354</v>
      </c>
      <c r="C8500" s="5">
        <v>12</v>
      </c>
      <c r="D8500" s="25">
        <v>1.1416E-4</v>
      </c>
      <c r="E8500" s="25">
        <v>1.1726E-4</v>
      </c>
      <c r="F8500" s="25">
        <v>1.282E-4</v>
      </c>
      <c r="G8500" s="25">
        <v>5.6669999999999998E-5</v>
      </c>
      <c r="H8500" s="25">
        <v>6.3029999999999998E-5</v>
      </c>
      <c r="I8500" s="9">
        <v>1.2813000000000001E-4</v>
      </c>
      <c r="J8500" s="9">
        <v>1.1428E-4</v>
      </c>
      <c r="K8500" s="9">
        <v>2.3101E-4</v>
      </c>
      <c r="L8500" s="9">
        <v>8.1000000000000004E-5</v>
      </c>
      <c r="M8500" s="9">
        <v>8.6299999999999997E-5</v>
      </c>
      <c r="N8500" s="9">
        <v>9.0610000000000002E-5</v>
      </c>
      <c r="O8500" s="9">
        <v>6.2689999999999998E-5</v>
      </c>
      <c r="P8500" s="9">
        <v>6.0520000000000003E-5</v>
      </c>
      <c r="Q8500" s="9">
        <v>5.8709999999999999E-5</v>
      </c>
      <c r="R8500" s="10">
        <v>2.115126290334034E-4</v>
      </c>
      <c r="S8500" s="10">
        <v>1.9029020759484994E-4</v>
      </c>
      <c r="T8500" s="10">
        <v>0</v>
      </c>
      <c r="U8500" s="10">
        <v>1.5291E-4</v>
      </c>
      <c r="V8500" s="25"/>
      <c r="W8500" s="25"/>
      <c r="X8500" s="25"/>
      <c r="Y8500" s="25"/>
      <c r="Z8500" s="25"/>
      <c r="AA8500" s="25"/>
    </row>
    <row r="8501" spans="1:27" x14ac:dyDescent="0.35">
      <c r="A8501" s="5">
        <v>8497</v>
      </c>
      <c r="B8501" s="5">
        <v>355</v>
      </c>
      <c r="C8501" s="5">
        <v>12</v>
      </c>
      <c r="D8501" s="25">
        <v>1.1416E-4</v>
      </c>
      <c r="E8501" s="25">
        <v>1.1027E-4</v>
      </c>
      <c r="F8501" s="25">
        <v>1.2213999999999999E-4</v>
      </c>
      <c r="G8501" s="25">
        <v>5.8470000000000001E-5</v>
      </c>
      <c r="H8501" s="25">
        <v>7.0329999999999999E-5</v>
      </c>
      <c r="I8501" s="9">
        <v>1.2055E-4</v>
      </c>
      <c r="J8501" s="9">
        <v>1.0746E-4</v>
      </c>
      <c r="K8501" s="9">
        <v>2.3524E-4</v>
      </c>
      <c r="L8501" s="9">
        <v>6.6730000000000007E-5</v>
      </c>
      <c r="M8501" s="9">
        <v>7.4040000000000003E-5</v>
      </c>
      <c r="N8501" s="9">
        <v>8.119E-5</v>
      </c>
      <c r="O8501" s="9">
        <v>5.431E-5</v>
      </c>
      <c r="P8501" s="9">
        <v>5.3730000000000002E-5</v>
      </c>
      <c r="Q8501" s="9">
        <v>5.3310000000000003E-5</v>
      </c>
      <c r="R8501" s="10">
        <v>2.1160735870094757E-4</v>
      </c>
      <c r="S8501" s="10">
        <v>1.9029020759484994E-4</v>
      </c>
      <c r="T8501" s="10">
        <v>0</v>
      </c>
      <c r="U8501" s="10">
        <v>1.5134999999999999E-4</v>
      </c>
      <c r="V8501" s="25"/>
      <c r="W8501" s="25"/>
      <c r="X8501" s="25"/>
      <c r="Y8501" s="25"/>
      <c r="Z8501" s="25"/>
      <c r="AA8501" s="25"/>
    </row>
    <row r="8502" spans="1:27" x14ac:dyDescent="0.35">
      <c r="A8502" s="5">
        <v>8498</v>
      </c>
      <c r="B8502" s="5">
        <v>355</v>
      </c>
      <c r="C8502" s="5">
        <v>12</v>
      </c>
      <c r="D8502" s="25">
        <v>1.1416E-4</v>
      </c>
      <c r="E8502" s="25">
        <v>1.1767E-4</v>
      </c>
      <c r="F8502" s="25">
        <v>1.2570999999999999E-4</v>
      </c>
      <c r="G8502" s="25">
        <v>5.3909999999999997E-5</v>
      </c>
      <c r="H8502" s="25">
        <v>7.3449999999999996E-5</v>
      </c>
      <c r="I8502" s="9">
        <v>1.1522E-4</v>
      </c>
      <c r="J8502" s="9">
        <v>1.0257E-4</v>
      </c>
      <c r="K8502" s="9">
        <v>2.3525E-4</v>
      </c>
      <c r="L8502" s="9">
        <v>5.7439999999999999E-5</v>
      </c>
      <c r="M8502" s="9">
        <v>6.3810000000000001E-5</v>
      </c>
      <c r="N8502" s="9">
        <v>7.2059999999999998E-5</v>
      </c>
      <c r="O8502" s="9">
        <v>1.836E-5</v>
      </c>
      <c r="P8502" s="9">
        <v>3.765E-5</v>
      </c>
      <c r="Q8502" s="9">
        <v>5.6029999999999997E-5</v>
      </c>
      <c r="R8502" s="10">
        <v>2.1124847411187157E-4</v>
      </c>
      <c r="S8502" s="10">
        <v>1.9029020759484994E-4</v>
      </c>
      <c r="T8502" s="10">
        <v>0</v>
      </c>
      <c r="U8502" s="10">
        <v>1.5134999999999999E-4</v>
      </c>
      <c r="V8502" s="25"/>
      <c r="W8502" s="25"/>
      <c r="X8502" s="25"/>
      <c r="Y8502" s="25"/>
      <c r="Z8502" s="25"/>
      <c r="AA8502" s="25"/>
    </row>
    <row r="8503" spans="1:27" x14ac:dyDescent="0.35">
      <c r="A8503" s="5">
        <v>8499</v>
      </c>
      <c r="B8503" s="5">
        <v>355</v>
      </c>
      <c r="C8503" s="5">
        <v>12</v>
      </c>
      <c r="D8503" s="25">
        <v>1.1416E-4</v>
      </c>
      <c r="E8503" s="25">
        <v>1.1246E-4</v>
      </c>
      <c r="F8503" s="25">
        <v>1.3964000000000001E-4</v>
      </c>
      <c r="G8503" s="25">
        <v>6.1719999999999999E-5</v>
      </c>
      <c r="H8503" s="25">
        <v>6.8020000000000003E-5</v>
      </c>
      <c r="I8503" s="9">
        <v>1.1108E-4</v>
      </c>
      <c r="J8503" s="9">
        <v>1.0014999999999999E-4</v>
      </c>
      <c r="K8503" s="9">
        <v>2.3948E-4</v>
      </c>
      <c r="L8503" s="9">
        <v>2.7160000000000001E-5</v>
      </c>
      <c r="M8503" s="9">
        <v>5.206E-5</v>
      </c>
      <c r="N8503" s="9">
        <v>6.546E-5</v>
      </c>
      <c r="O8503" s="9">
        <v>1.293E-5</v>
      </c>
      <c r="P8503" s="9">
        <v>3.799E-5</v>
      </c>
      <c r="Q8503" s="9">
        <v>6.1909999999999995E-5</v>
      </c>
      <c r="R8503" s="10">
        <v>2.1082612773162498E-4</v>
      </c>
      <c r="S8503" s="10">
        <v>1.9029020759484994E-4</v>
      </c>
      <c r="T8503" s="10">
        <v>0</v>
      </c>
      <c r="U8503" s="10">
        <v>1.5134999999999999E-4</v>
      </c>
      <c r="V8503" s="25"/>
      <c r="W8503" s="25"/>
      <c r="X8503" s="25"/>
      <c r="Y8503" s="25"/>
      <c r="Z8503" s="25"/>
      <c r="AA8503" s="25"/>
    </row>
    <row r="8504" spans="1:27" x14ac:dyDescent="0.35">
      <c r="A8504" s="5">
        <v>8500</v>
      </c>
      <c r="B8504" s="5">
        <v>355</v>
      </c>
      <c r="C8504" s="5">
        <v>12</v>
      </c>
      <c r="D8504" s="25">
        <v>1.1416E-4</v>
      </c>
      <c r="E8504" s="25">
        <v>1.1796E-4</v>
      </c>
      <c r="F8504" s="25">
        <v>1.2614000000000001E-4</v>
      </c>
      <c r="G8504" s="25">
        <v>5.5040000000000002E-5</v>
      </c>
      <c r="H8504" s="25">
        <v>7.1639999999999998E-5</v>
      </c>
      <c r="I8504" s="9">
        <v>1.0862E-4</v>
      </c>
      <c r="J8504" s="9">
        <v>9.9409999999999999E-5</v>
      </c>
      <c r="K8504" s="9">
        <v>2.3524E-4</v>
      </c>
      <c r="L8504" s="9">
        <v>1.681E-5</v>
      </c>
      <c r="M8504" s="9">
        <v>4.4199999999999997E-5</v>
      </c>
      <c r="N8504" s="9">
        <v>6.1929999999999998E-5</v>
      </c>
      <c r="O8504" s="9">
        <v>1.296E-5</v>
      </c>
      <c r="P8504" s="9">
        <v>4.7589999999999997E-5</v>
      </c>
      <c r="Q8504" s="9">
        <v>8.0939999999999994E-5</v>
      </c>
      <c r="R8504" s="10">
        <v>2.1162292008278881E-4</v>
      </c>
      <c r="S8504" s="10">
        <v>1.9029020759484994E-4</v>
      </c>
      <c r="T8504" s="10">
        <v>0</v>
      </c>
      <c r="U8504" s="10">
        <v>1.5134999999999999E-4</v>
      </c>
      <c r="V8504" s="25"/>
      <c r="W8504" s="25"/>
      <c r="X8504" s="25"/>
      <c r="Y8504" s="25"/>
      <c r="Z8504" s="25"/>
      <c r="AA8504" s="25"/>
    </row>
    <row r="8505" spans="1:27" x14ac:dyDescent="0.35">
      <c r="A8505" s="5">
        <v>8501</v>
      </c>
      <c r="B8505" s="5">
        <v>355</v>
      </c>
      <c r="C8505" s="5">
        <v>12</v>
      </c>
      <c r="D8505" s="25">
        <v>1.1416E-4</v>
      </c>
      <c r="E8505" s="25">
        <v>1.1648E-4</v>
      </c>
      <c r="F8505" s="25">
        <v>1.3977999999999999E-4</v>
      </c>
      <c r="G8505" s="25">
        <v>5.5930000000000002E-5</v>
      </c>
      <c r="H8505" s="25">
        <v>6.5019999999999998E-5</v>
      </c>
      <c r="I8505" s="9">
        <v>1.1010000000000001E-4</v>
      </c>
      <c r="J8505" s="9">
        <v>9.9989999999999996E-5</v>
      </c>
      <c r="K8505" s="9">
        <v>2.3524E-4</v>
      </c>
      <c r="L8505" s="9">
        <v>1.4049999999999999E-5</v>
      </c>
      <c r="M8505" s="9">
        <v>4.3659999999999999E-5</v>
      </c>
      <c r="N8505" s="9">
        <v>6.4590000000000003E-5</v>
      </c>
      <c r="O8505" s="9">
        <v>1.8490000000000001E-5</v>
      </c>
      <c r="P8505" s="9">
        <v>5.6889999999999999E-5</v>
      </c>
      <c r="Q8505" s="9">
        <v>9.4079999999999994E-5</v>
      </c>
      <c r="R8505" s="10">
        <v>2.1204941608112205E-4</v>
      </c>
      <c r="S8505" s="10">
        <v>1.9029020759484994E-4</v>
      </c>
      <c r="T8505" s="10">
        <v>0</v>
      </c>
      <c r="U8505" s="10">
        <v>1.5134999999999999E-4</v>
      </c>
      <c r="V8505" s="25"/>
      <c r="W8505" s="25"/>
      <c r="X8505" s="25"/>
      <c r="Y8505" s="25"/>
      <c r="Z8505" s="25"/>
      <c r="AA8505" s="25"/>
    </row>
    <row r="8506" spans="1:27" x14ac:dyDescent="0.35">
      <c r="A8506" s="5">
        <v>8502</v>
      </c>
      <c r="B8506" s="5">
        <v>355</v>
      </c>
      <c r="C8506" s="5">
        <v>12</v>
      </c>
      <c r="D8506" s="25">
        <v>1.1416E-4</v>
      </c>
      <c r="E8506" s="25">
        <v>1.1601E-4</v>
      </c>
      <c r="F8506" s="25">
        <v>1.2612999999999999E-4</v>
      </c>
      <c r="G8506" s="25">
        <v>1.0665E-4</v>
      </c>
      <c r="H8506" s="25">
        <v>1.2920999999999999E-4</v>
      </c>
      <c r="I8506" s="9">
        <v>1.1533E-4</v>
      </c>
      <c r="J8506" s="9">
        <v>1.0446E-4</v>
      </c>
      <c r="K8506" s="9">
        <v>2.3737000000000001E-4</v>
      </c>
      <c r="L8506" s="9">
        <v>1.738E-5</v>
      </c>
      <c r="M8506" s="9">
        <v>4.863E-5</v>
      </c>
      <c r="N8506" s="9">
        <v>7.1240000000000002E-5</v>
      </c>
      <c r="O8506" s="9">
        <v>4.6489999999999997E-5</v>
      </c>
      <c r="P8506" s="9">
        <v>7.7360000000000005E-5</v>
      </c>
      <c r="Q8506" s="9">
        <v>1.0772000000000001E-4</v>
      </c>
      <c r="R8506" s="10">
        <v>2.1190451075029989E-4</v>
      </c>
      <c r="S8506" s="10">
        <v>1.9029020759484994E-4</v>
      </c>
      <c r="T8506" s="10">
        <v>0</v>
      </c>
      <c r="U8506" s="10">
        <v>1.5134999999999999E-4</v>
      </c>
      <c r="V8506" s="25"/>
      <c r="W8506" s="25"/>
      <c r="X8506" s="25"/>
      <c r="Y8506" s="25"/>
      <c r="Z8506" s="25"/>
      <c r="AA8506" s="25"/>
    </row>
    <row r="8507" spans="1:27" x14ac:dyDescent="0.35">
      <c r="A8507" s="5">
        <v>8503</v>
      </c>
      <c r="B8507" s="5">
        <v>355</v>
      </c>
      <c r="C8507" s="5">
        <v>12</v>
      </c>
      <c r="D8507" s="25">
        <v>1.1416E-4</v>
      </c>
      <c r="E8507" s="25">
        <v>1.1319000000000001E-4</v>
      </c>
      <c r="F8507" s="25">
        <v>1.3103E-4</v>
      </c>
      <c r="G8507" s="25">
        <v>1.0944E-4</v>
      </c>
      <c r="H8507" s="25">
        <v>1.2999999999999999E-4</v>
      </c>
      <c r="I8507" s="9">
        <v>1.2837999999999999E-4</v>
      </c>
      <c r="J8507" s="9">
        <v>1.1667000000000001E-4</v>
      </c>
      <c r="K8507" s="9">
        <v>2.3313000000000001E-4</v>
      </c>
      <c r="L8507" s="9">
        <v>3.994E-5</v>
      </c>
      <c r="M8507" s="9">
        <v>6.037E-5</v>
      </c>
      <c r="N8507" s="9">
        <v>8.1089999999999998E-5</v>
      </c>
      <c r="O8507" s="9">
        <v>1.2290000000000001E-4</v>
      </c>
      <c r="P8507" s="9">
        <v>1.1631E-4</v>
      </c>
      <c r="Q8507" s="9">
        <v>1.1142E-4</v>
      </c>
      <c r="R8507" s="10">
        <v>2.1228734523097586E-4</v>
      </c>
      <c r="S8507" s="10">
        <v>1.9029020759484994E-4</v>
      </c>
      <c r="T8507" s="10">
        <v>0</v>
      </c>
      <c r="U8507" s="10">
        <v>1.5134999999999999E-4</v>
      </c>
      <c r="V8507" s="25"/>
      <c r="W8507" s="25"/>
      <c r="X8507" s="25"/>
      <c r="Y8507" s="25"/>
      <c r="Z8507" s="25"/>
      <c r="AA8507" s="25"/>
    </row>
    <row r="8508" spans="1:27" x14ac:dyDescent="0.35">
      <c r="A8508" s="5">
        <v>8504</v>
      </c>
      <c r="B8508" s="5">
        <v>355</v>
      </c>
      <c r="C8508" s="5">
        <v>12</v>
      </c>
      <c r="D8508" s="25">
        <v>1.1416E-4</v>
      </c>
      <c r="E8508" s="25">
        <v>1.103E-4</v>
      </c>
      <c r="F8508" s="25">
        <v>1.3259E-4</v>
      </c>
      <c r="G8508" s="25">
        <v>1.6647E-4</v>
      </c>
      <c r="H8508" s="25">
        <v>1.9906000000000001E-4</v>
      </c>
      <c r="I8508" s="9">
        <v>1.4039E-4</v>
      </c>
      <c r="J8508" s="9">
        <v>1.3642999999999999E-4</v>
      </c>
      <c r="K8508" s="9">
        <v>2.2889000000000001E-4</v>
      </c>
      <c r="L8508" s="9">
        <v>1.0402E-4</v>
      </c>
      <c r="M8508" s="9">
        <v>8.3529999999999995E-5</v>
      </c>
      <c r="N8508" s="9">
        <v>9.0939999999999993E-5</v>
      </c>
      <c r="O8508" s="9">
        <v>2.1985E-4</v>
      </c>
      <c r="P8508" s="9">
        <v>1.7558E-4</v>
      </c>
      <c r="Q8508" s="9">
        <v>1.3563E-4</v>
      </c>
      <c r="R8508" s="10">
        <v>2.1232899877273256E-4</v>
      </c>
      <c r="S8508" s="10">
        <v>1.9029020759484994E-4</v>
      </c>
      <c r="T8508" s="10">
        <v>0</v>
      </c>
      <c r="U8508" s="10">
        <v>1.5134999999999999E-4</v>
      </c>
      <c r="V8508" s="25"/>
      <c r="W8508" s="25"/>
      <c r="X8508" s="25"/>
      <c r="Y8508" s="25"/>
      <c r="Z8508" s="25"/>
      <c r="AA8508" s="25"/>
    </row>
    <row r="8509" spans="1:27" x14ac:dyDescent="0.35">
      <c r="A8509" s="5">
        <v>8505</v>
      </c>
      <c r="B8509" s="5">
        <v>355</v>
      </c>
      <c r="C8509" s="5">
        <v>12</v>
      </c>
      <c r="D8509" s="25">
        <v>1.1416E-4</v>
      </c>
      <c r="E8509" s="25">
        <v>1.1239E-4</v>
      </c>
      <c r="F8509" s="25">
        <v>1.3552E-4</v>
      </c>
      <c r="G8509" s="25">
        <v>1.5788E-4</v>
      </c>
      <c r="H8509" s="25">
        <v>1.9914999999999999E-4</v>
      </c>
      <c r="I8509" s="9">
        <v>1.4572000000000001E-4</v>
      </c>
      <c r="J8509" s="9">
        <v>1.4792000000000001E-4</v>
      </c>
      <c r="K8509" s="9">
        <v>2.1829E-4</v>
      </c>
      <c r="L8509" s="9">
        <v>1.9260999999999999E-4</v>
      </c>
      <c r="M8509" s="9">
        <v>1.2265E-4</v>
      </c>
      <c r="N8509" s="9">
        <v>1.044E-4</v>
      </c>
      <c r="O8509" s="9">
        <v>2.1362E-4</v>
      </c>
      <c r="P8509" s="9">
        <v>1.9352E-4</v>
      </c>
      <c r="Q8509" s="9">
        <v>1.7723000000000001E-4</v>
      </c>
      <c r="R8509" s="10">
        <v>2.1239530833295307E-4</v>
      </c>
      <c r="S8509" s="10">
        <v>1.9029019385262695E-4</v>
      </c>
      <c r="T8509" s="10">
        <v>0</v>
      </c>
      <c r="U8509" s="10">
        <v>1.5134999999999999E-4</v>
      </c>
      <c r="V8509" s="25"/>
      <c r="W8509" s="25"/>
      <c r="X8509" s="25"/>
      <c r="Y8509" s="25"/>
      <c r="Z8509" s="25"/>
      <c r="AA8509" s="25"/>
    </row>
    <row r="8510" spans="1:27" x14ac:dyDescent="0.35">
      <c r="A8510" s="5">
        <v>8506</v>
      </c>
      <c r="B8510" s="5">
        <v>355</v>
      </c>
      <c r="C8510" s="5">
        <v>12</v>
      </c>
      <c r="D8510" s="25">
        <v>1.1416E-4</v>
      </c>
      <c r="E8510" s="25">
        <v>1.1327E-4</v>
      </c>
      <c r="F8510" s="25">
        <v>1.2800999999999999E-4</v>
      </c>
      <c r="G8510" s="25">
        <v>1.63E-4</v>
      </c>
      <c r="H8510" s="25">
        <v>1.9526E-4</v>
      </c>
      <c r="I8510" s="9">
        <v>1.4458E-4</v>
      </c>
      <c r="J8510" s="9">
        <v>1.5063000000000001E-4</v>
      </c>
      <c r="K8510" s="9">
        <v>2.1193000000000001E-4</v>
      </c>
      <c r="L8510" s="9">
        <v>2.0667999999999999E-4</v>
      </c>
      <c r="M8510" s="9">
        <v>1.5808E-4</v>
      </c>
      <c r="N8510" s="9">
        <v>1.2443999999999999E-4</v>
      </c>
      <c r="O8510" s="9">
        <v>1.6725E-4</v>
      </c>
      <c r="P8510" s="9">
        <v>1.7275E-4</v>
      </c>
      <c r="Q8510" s="9">
        <v>1.8069000000000001E-4</v>
      </c>
      <c r="R8510" s="10">
        <v>2.1243133849897946E-4</v>
      </c>
      <c r="S8510" s="10">
        <v>1.9029020016812E-4</v>
      </c>
      <c r="T8510" s="10">
        <v>1.1878019090199524E-6</v>
      </c>
      <c r="U8510" s="10">
        <v>1.5134999999999999E-4</v>
      </c>
      <c r="V8510" s="25"/>
      <c r="W8510" s="25"/>
      <c r="X8510" s="25"/>
      <c r="Y8510" s="25"/>
      <c r="Z8510" s="25"/>
      <c r="AA8510" s="25"/>
    </row>
    <row r="8511" spans="1:27" x14ac:dyDescent="0.35">
      <c r="A8511" s="5">
        <v>8507</v>
      </c>
      <c r="B8511" s="5">
        <v>355</v>
      </c>
      <c r="C8511" s="5">
        <v>12</v>
      </c>
      <c r="D8511" s="25">
        <v>1.1416E-4</v>
      </c>
      <c r="E8511" s="25">
        <v>1.1195E-4</v>
      </c>
      <c r="F8511" s="25">
        <v>1.2224999999999999E-4</v>
      </c>
      <c r="G8511" s="25">
        <v>1.5714E-4</v>
      </c>
      <c r="H8511" s="25">
        <v>2.0112999999999999E-4</v>
      </c>
      <c r="I8511" s="9">
        <v>1.4283000000000001E-4</v>
      </c>
      <c r="J8511" s="9">
        <v>1.5014999999999999E-4</v>
      </c>
      <c r="K8511" s="9">
        <v>1.9074000000000001E-4</v>
      </c>
      <c r="L8511" s="9">
        <v>1.7594999999999999E-4</v>
      </c>
      <c r="M8511" s="9">
        <v>1.7160999999999999E-4</v>
      </c>
      <c r="N8511" s="9">
        <v>1.4218999999999999E-4</v>
      </c>
      <c r="O8511" s="9">
        <v>1.6836999999999999E-4</v>
      </c>
      <c r="P8511" s="9">
        <v>1.7255999999999999E-4</v>
      </c>
      <c r="Q8511" s="9">
        <v>1.7923E-4</v>
      </c>
      <c r="R8511" s="10">
        <v>2.1244506538026852E-4</v>
      </c>
      <c r="S8511" s="10">
        <v>1.9029020436705889E-4</v>
      </c>
      <c r="T8511" s="10">
        <v>2.4655373911514154E-5</v>
      </c>
      <c r="U8511" s="10">
        <v>1.5134999999999999E-4</v>
      </c>
      <c r="V8511" s="25"/>
      <c r="W8511" s="25"/>
      <c r="X8511" s="25"/>
      <c r="Y8511" s="25"/>
      <c r="Z8511" s="25"/>
      <c r="AA8511" s="25"/>
    </row>
    <row r="8512" spans="1:27" x14ac:dyDescent="0.35">
      <c r="A8512" s="5">
        <v>8508</v>
      </c>
      <c r="B8512" s="5">
        <v>355</v>
      </c>
      <c r="C8512" s="5">
        <v>12</v>
      </c>
      <c r="D8512" s="25">
        <v>1.1416E-4</v>
      </c>
      <c r="E8512" s="25">
        <v>1.1352E-4</v>
      </c>
      <c r="F8512" s="25">
        <v>1.3871000000000001E-4</v>
      </c>
      <c r="G8512" s="25">
        <v>1.5690999999999999E-4</v>
      </c>
      <c r="H8512" s="25">
        <v>1.9573999999999999E-4</v>
      </c>
      <c r="I8512" s="9">
        <v>1.4160999999999999E-4</v>
      </c>
      <c r="J8512" s="9">
        <v>1.4922000000000001E-4</v>
      </c>
      <c r="K8512" s="9">
        <v>1.9074000000000001E-4</v>
      </c>
      <c r="L8512" s="9">
        <v>1.7149999999999999E-4</v>
      </c>
      <c r="M8512" s="9">
        <v>1.7421E-4</v>
      </c>
      <c r="N8512" s="9">
        <v>1.5621999999999999E-4</v>
      </c>
      <c r="O8512" s="9">
        <v>1.7170999999999999E-4</v>
      </c>
      <c r="P8512" s="9">
        <v>1.7176999999999999E-4</v>
      </c>
      <c r="Q8512" s="9">
        <v>1.7445000000000001E-4</v>
      </c>
      <c r="R8512" s="10">
        <v>2.1241904672111487E-4</v>
      </c>
      <c r="S8512" s="10">
        <v>1.9029020759484994E-4</v>
      </c>
      <c r="T8512" s="10">
        <v>3.6994090456426412E-4</v>
      </c>
      <c r="U8512" s="10">
        <v>1.5134999999999999E-4</v>
      </c>
      <c r="V8512" s="25"/>
      <c r="W8512" s="25"/>
      <c r="X8512" s="25"/>
      <c r="Y8512" s="25"/>
      <c r="Z8512" s="25"/>
      <c r="AA8512" s="25"/>
    </row>
    <row r="8513" spans="1:27" x14ac:dyDescent="0.35">
      <c r="A8513" s="5">
        <v>8509</v>
      </c>
      <c r="B8513" s="5">
        <v>355</v>
      </c>
      <c r="C8513" s="5">
        <v>12</v>
      </c>
      <c r="D8513" s="25">
        <v>1.1416E-4</v>
      </c>
      <c r="E8513" s="25">
        <v>1.1586000000000001E-4</v>
      </c>
      <c r="F8513" s="25">
        <v>1.4158000000000001E-4</v>
      </c>
      <c r="G8513" s="25">
        <v>1.6158000000000001E-4</v>
      </c>
      <c r="H8513" s="25">
        <v>1.9343999999999999E-4</v>
      </c>
      <c r="I8513" s="9">
        <v>1.382E-4</v>
      </c>
      <c r="J8513" s="9">
        <v>1.4704E-4</v>
      </c>
      <c r="K8513" s="9">
        <v>1.9074000000000001E-4</v>
      </c>
      <c r="L8513" s="9">
        <v>1.7183000000000001E-4</v>
      </c>
      <c r="M8513" s="9">
        <v>1.7352000000000001E-4</v>
      </c>
      <c r="N8513" s="9">
        <v>1.6584E-4</v>
      </c>
      <c r="O8513" s="9">
        <v>1.6440000000000001E-4</v>
      </c>
      <c r="P8513" s="9">
        <v>1.6538999999999999E-4</v>
      </c>
      <c r="Q8513" s="9">
        <v>1.6882E-4</v>
      </c>
      <c r="R8513" s="10">
        <v>2.1244695689734419E-4</v>
      </c>
      <c r="S8513" s="10">
        <v>1.9029020759484994E-4</v>
      </c>
      <c r="T8513" s="10">
        <v>1.2323444806082006E-4</v>
      </c>
      <c r="U8513" s="10">
        <v>1.5134999999999999E-4</v>
      </c>
      <c r="V8513" s="25"/>
      <c r="W8513" s="25"/>
      <c r="X8513" s="25"/>
      <c r="Y8513" s="25"/>
      <c r="Z8513" s="25"/>
      <c r="AA8513" s="25"/>
    </row>
    <row r="8514" spans="1:27" x14ac:dyDescent="0.35">
      <c r="A8514" s="5">
        <v>8510</v>
      </c>
      <c r="B8514" s="5">
        <v>355</v>
      </c>
      <c r="C8514" s="5">
        <v>12</v>
      </c>
      <c r="D8514" s="25">
        <v>1.1416E-4</v>
      </c>
      <c r="E8514" s="25">
        <v>1.1391E-4</v>
      </c>
      <c r="F8514" s="25">
        <v>1.2224999999999999E-4</v>
      </c>
      <c r="G8514" s="25">
        <v>1.6232E-4</v>
      </c>
      <c r="H8514" s="25">
        <v>1.9703E-4</v>
      </c>
      <c r="I8514" s="9">
        <v>1.3841E-4</v>
      </c>
      <c r="J8514" s="9">
        <v>1.4742999999999999E-4</v>
      </c>
      <c r="K8514" s="9">
        <v>1.9074000000000001E-4</v>
      </c>
      <c r="L8514" s="9">
        <v>1.6574999999999999E-4</v>
      </c>
      <c r="M8514" s="9">
        <v>1.7039E-4</v>
      </c>
      <c r="N8514" s="9">
        <v>1.7055999999999999E-4</v>
      </c>
      <c r="O8514" s="9">
        <v>1.7817000000000001E-4</v>
      </c>
      <c r="P8514" s="9">
        <v>1.6729000000000001E-4</v>
      </c>
      <c r="Q8514" s="9">
        <v>1.5933000000000001E-4</v>
      </c>
      <c r="R8514" s="10">
        <v>2.1244750816867323E-4</v>
      </c>
      <c r="S8514" s="10">
        <v>1.9029020759484994E-4</v>
      </c>
      <c r="T8514" s="10">
        <v>2.6717058653598781E-5</v>
      </c>
      <c r="U8514" s="10">
        <v>1.5134999999999999E-4</v>
      </c>
      <c r="V8514" s="25"/>
      <c r="W8514" s="25"/>
      <c r="X8514" s="25"/>
      <c r="Y8514" s="25"/>
      <c r="Z8514" s="25"/>
      <c r="AA8514" s="25"/>
    </row>
    <row r="8515" spans="1:27" x14ac:dyDescent="0.35">
      <c r="A8515" s="5">
        <v>8511</v>
      </c>
      <c r="B8515" s="5">
        <v>355</v>
      </c>
      <c r="C8515" s="5">
        <v>12</v>
      </c>
      <c r="D8515" s="25">
        <v>1.1416E-4</v>
      </c>
      <c r="E8515" s="25">
        <v>1.1627E-4</v>
      </c>
      <c r="F8515" s="25">
        <v>1.4018E-4</v>
      </c>
      <c r="G8515" s="25">
        <v>1.6729000000000001E-4</v>
      </c>
      <c r="H8515" s="25">
        <v>2.0084000000000001E-4</v>
      </c>
      <c r="I8515" s="9">
        <v>1.3711999999999999E-4</v>
      </c>
      <c r="J8515" s="9">
        <v>1.4747999999999999E-4</v>
      </c>
      <c r="K8515" s="9">
        <v>1.9074000000000001E-4</v>
      </c>
      <c r="L8515" s="9">
        <v>1.7558999999999999E-4</v>
      </c>
      <c r="M8515" s="9">
        <v>1.6835999999999999E-4</v>
      </c>
      <c r="N8515" s="9">
        <v>1.6982999999999999E-4</v>
      </c>
      <c r="O8515" s="9">
        <v>1.8480999999999999E-4</v>
      </c>
      <c r="P8515" s="9">
        <v>1.6695999999999999E-4</v>
      </c>
      <c r="Q8515" s="9">
        <v>1.5228999999999999E-4</v>
      </c>
      <c r="R8515" s="10">
        <v>2.1244936787709023E-4</v>
      </c>
      <c r="S8515" s="10">
        <v>1.9029020759484994E-4</v>
      </c>
      <c r="T8515" s="10">
        <v>6.8671918940053534E-5</v>
      </c>
      <c r="U8515" s="10">
        <v>1.5134999999999999E-4</v>
      </c>
      <c r="V8515" s="25"/>
      <c r="W8515" s="25"/>
      <c r="X8515" s="25"/>
      <c r="Y8515" s="25"/>
      <c r="Z8515" s="25"/>
      <c r="AA8515" s="25"/>
    </row>
    <row r="8516" spans="1:27" x14ac:dyDescent="0.35">
      <c r="A8516" s="5">
        <v>8512</v>
      </c>
      <c r="B8516" s="5">
        <v>355</v>
      </c>
      <c r="C8516" s="5">
        <v>12</v>
      </c>
      <c r="D8516" s="25">
        <v>1.1416E-4</v>
      </c>
      <c r="E8516" s="25">
        <v>1.1741E-4</v>
      </c>
      <c r="F8516" s="25">
        <v>1.351E-4</v>
      </c>
      <c r="G8516" s="25">
        <v>1.5697000000000001E-4</v>
      </c>
      <c r="H8516" s="25">
        <v>1.9811000000000001E-4</v>
      </c>
      <c r="I8516" s="9">
        <v>1.3912000000000001E-4</v>
      </c>
      <c r="J8516" s="9">
        <v>1.4866E-4</v>
      </c>
      <c r="K8516" s="9">
        <v>1.9074000000000001E-4</v>
      </c>
      <c r="L8516" s="9">
        <v>1.8253E-4</v>
      </c>
      <c r="M8516" s="9">
        <v>1.6737999999999999E-4</v>
      </c>
      <c r="N8516" s="9">
        <v>1.6597000000000001E-4</v>
      </c>
      <c r="O8516" s="9">
        <v>1.9996E-4</v>
      </c>
      <c r="P8516" s="9">
        <v>1.5312999999999999E-4</v>
      </c>
      <c r="Q8516" s="9">
        <v>1.1025E-4</v>
      </c>
      <c r="R8516" s="10">
        <v>2.1244936787709023E-4</v>
      </c>
      <c r="S8516" s="10">
        <v>1.902112548454784E-4</v>
      </c>
      <c r="T8516" s="10">
        <v>0</v>
      </c>
      <c r="U8516" s="10">
        <v>1.5134999999999999E-4</v>
      </c>
      <c r="V8516" s="25"/>
      <c r="W8516" s="25"/>
      <c r="X8516" s="25"/>
      <c r="Y8516" s="25"/>
      <c r="Z8516" s="25"/>
      <c r="AA8516" s="25"/>
    </row>
    <row r="8517" spans="1:27" x14ac:dyDescent="0.35">
      <c r="A8517" s="5">
        <v>8513</v>
      </c>
      <c r="B8517" s="5">
        <v>355</v>
      </c>
      <c r="C8517" s="5">
        <v>12</v>
      </c>
      <c r="D8517" s="25">
        <v>1.1416E-4</v>
      </c>
      <c r="E8517" s="25">
        <v>1.1129E-4</v>
      </c>
      <c r="F8517" s="25">
        <v>1.2752E-4</v>
      </c>
      <c r="G8517" s="25">
        <v>1.6095000000000001E-4</v>
      </c>
      <c r="H8517" s="25">
        <v>1.9703E-4</v>
      </c>
      <c r="I8517" s="9">
        <v>1.4218E-4</v>
      </c>
      <c r="J8517" s="9">
        <v>1.5291999999999999E-4</v>
      </c>
      <c r="K8517" s="9">
        <v>1.9074000000000001E-4</v>
      </c>
      <c r="L8517" s="9">
        <v>1.9588E-4</v>
      </c>
      <c r="M8517" s="9">
        <v>1.6212E-4</v>
      </c>
      <c r="N8517" s="9">
        <v>1.5239999999999999E-4</v>
      </c>
      <c r="O8517" s="9">
        <v>2.1539000000000001E-4</v>
      </c>
      <c r="P8517" s="9">
        <v>1.5893999999999999E-4</v>
      </c>
      <c r="Q8517" s="9">
        <v>1.0691E-4</v>
      </c>
      <c r="R8517" s="10">
        <v>2.1244936787709023E-4</v>
      </c>
      <c r="S8517" s="10">
        <v>1.8941245369705434E-4</v>
      </c>
      <c r="T8517" s="10">
        <v>0</v>
      </c>
      <c r="U8517" s="10">
        <v>1.5134999999999999E-4</v>
      </c>
      <c r="V8517" s="25"/>
      <c r="W8517" s="25"/>
      <c r="X8517" s="25"/>
      <c r="Y8517" s="25"/>
      <c r="Z8517" s="25"/>
      <c r="AA8517" s="25"/>
    </row>
    <row r="8518" spans="1:27" x14ac:dyDescent="0.35">
      <c r="A8518" s="5">
        <v>8514</v>
      </c>
      <c r="B8518" s="5">
        <v>355</v>
      </c>
      <c r="C8518" s="5">
        <v>12</v>
      </c>
      <c r="D8518" s="25">
        <v>1.1416E-4</v>
      </c>
      <c r="E8518" s="25">
        <v>1.1234999999999999E-4</v>
      </c>
      <c r="F8518" s="25">
        <v>1.2719000000000001E-4</v>
      </c>
      <c r="G8518" s="25">
        <v>1.5913E-4</v>
      </c>
      <c r="H8518" s="25">
        <v>2.0043E-4</v>
      </c>
      <c r="I8518" s="9">
        <v>1.505E-4</v>
      </c>
      <c r="J8518" s="9">
        <v>1.5972E-4</v>
      </c>
      <c r="K8518" s="9">
        <v>1.8861999999999999E-4</v>
      </c>
      <c r="L8518" s="9">
        <v>2.108E-4</v>
      </c>
      <c r="M8518" s="9">
        <v>1.5953000000000001E-4</v>
      </c>
      <c r="N8518" s="9">
        <v>1.3901000000000001E-4</v>
      </c>
      <c r="O8518" s="9">
        <v>2.0816000000000001E-4</v>
      </c>
      <c r="P8518" s="9">
        <v>1.6113E-4</v>
      </c>
      <c r="Q8518" s="9">
        <v>1.1822E-4</v>
      </c>
      <c r="R8518" s="10">
        <v>2.1244936787709023E-4</v>
      </c>
      <c r="S8518" s="10">
        <v>1.8204269666579085E-4</v>
      </c>
      <c r="T8518" s="10">
        <v>0</v>
      </c>
      <c r="U8518" s="10">
        <v>1.5134999999999999E-4</v>
      </c>
      <c r="V8518" s="25"/>
      <c r="W8518" s="25"/>
      <c r="X8518" s="25"/>
      <c r="Y8518" s="25"/>
      <c r="Z8518" s="25"/>
      <c r="AA8518" s="25"/>
    </row>
    <row r="8519" spans="1:27" x14ac:dyDescent="0.35">
      <c r="A8519" s="5">
        <v>8515</v>
      </c>
      <c r="B8519" s="5">
        <v>355</v>
      </c>
      <c r="C8519" s="5">
        <v>12</v>
      </c>
      <c r="D8519" s="25">
        <v>1.1416E-4</v>
      </c>
      <c r="E8519" s="25">
        <v>1.15E-4</v>
      </c>
      <c r="F8519" s="25">
        <v>1.3773999999999999E-4</v>
      </c>
      <c r="G8519" s="25">
        <v>1.138E-4</v>
      </c>
      <c r="H8519" s="25">
        <v>1.3416E-4</v>
      </c>
      <c r="I8519" s="9">
        <v>1.4925E-4</v>
      </c>
      <c r="J8519" s="9">
        <v>1.5393000000000001E-4</v>
      </c>
      <c r="K8519" s="9">
        <v>1.8861999999999999E-4</v>
      </c>
      <c r="L8519" s="9">
        <v>2.0837000000000001E-4</v>
      </c>
      <c r="M8519" s="9">
        <v>1.5957999999999999E-4</v>
      </c>
      <c r="N8519" s="9">
        <v>1.3004999999999999E-4</v>
      </c>
      <c r="O8519" s="9">
        <v>1.6425000000000001E-4</v>
      </c>
      <c r="P8519" s="9">
        <v>1.3371999999999999E-4</v>
      </c>
      <c r="Q8519" s="9">
        <v>1.0613E-4</v>
      </c>
      <c r="R8519" s="10">
        <v>2.1244936787709023E-4</v>
      </c>
      <c r="S8519" s="10">
        <v>1.6902278573091296E-4</v>
      </c>
      <c r="T8519" s="10">
        <v>0</v>
      </c>
      <c r="U8519" s="10">
        <v>1.5134999999999999E-4</v>
      </c>
      <c r="V8519" s="25"/>
      <c r="W8519" s="25"/>
      <c r="X8519" s="25"/>
      <c r="Y8519" s="25"/>
      <c r="Z8519" s="25"/>
      <c r="AA8519" s="25"/>
    </row>
    <row r="8520" spans="1:27" x14ac:dyDescent="0.35">
      <c r="A8520" s="5">
        <v>8516</v>
      </c>
      <c r="B8520" s="5">
        <v>355</v>
      </c>
      <c r="C8520" s="5">
        <v>12</v>
      </c>
      <c r="D8520" s="25">
        <v>1.1416E-4</v>
      </c>
      <c r="E8520" s="25">
        <v>1.1406E-4</v>
      </c>
      <c r="F8520" s="25">
        <v>1.4224999999999999E-4</v>
      </c>
      <c r="G8520" s="25">
        <v>1.1088E-4</v>
      </c>
      <c r="H8520" s="25">
        <v>1.3886000000000001E-4</v>
      </c>
      <c r="I8520" s="9">
        <v>1.4347000000000001E-4</v>
      </c>
      <c r="J8520" s="9">
        <v>1.4888E-4</v>
      </c>
      <c r="K8520" s="9">
        <v>1.8437999999999999E-4</v>
      </c>
      <c r="L8520" s="9">
        <v>1.7411E-4</v>
      </c>
      <c r="M8520" s="9">
        <v>1.5044E-4</v>
      </c>
      <c r="N8520" s="9">
        <v>1.2077E-4</v>
      </c>
      <c r="O8520" s="9">
        <v>1.3003E-4</v>
      </c>
      <c r="P8520" s="9">
        <v>1.1506E-4</v>
      </c>
      <c r="Q8520" s="9">
        <v>1.0207E-4</v>
      </c>
      <c r="R8520" s="10">
        <v>2.1244936787709023E-4</v>
      </c>
      <c r="S8520" s="10">
        <v>1.7543327419501599E-4</v>
      </c>
      <c r="T8520" s="10">
        <v>0</v>
      </c>
      <c r="U8520" s="10">
        <v>1.5134999999999999E-4</v>
      </c>
      <c r="V8520" s="25"/>
      <c r="W8520" s="25"/>
      <c r="X8520" s="25"/>
      <c r="Y8520" s="25"/>
      <c r="Z8520" s="25"/>
      <c r="AA8520" s="25"/>
    </row>
    <row r="8521" spans="1:27" x14ac:dyDescent="0.35">
      <c r="A8521" s="5">
        <v>8517</v>
      </c>
      <c r="B8521" s="5">
        <v>355</v>
      </c>
      <c r="C8521" s="5">
        <v>12</v>
      </c>
      <c r="D8521" s="25">
        <v>1.1416E-4</v>
      </c>
      <c r="E8521" s="25">
        <v>1.0739E-4</v>
      </c>
      <c r="F8521" s="25">
        <v>1.2243000000000001E-4</v>
      </c>
      <c r="G8521" s="25">
        <v>5.7070000000000001E-5</v>
      </c>
      <c r="H8521" s="25">
        <v>6.4670000000000003E-5</v>
      </c>
      <c r="I8521" s="9">
        <v>1.3580999999999999E-4</v>
      </c>
      <c r="J8521" s="9">
        <v>1.4217E-4</v>
      </c>
      <c r="K8521" s="9">
        <v>1.8437999999999999E-4</v>
      </c>
      <c r="L8521" s="9">
        <v>1.4077E-4</v>
      </c>
      <c r="M8521" s="9">
        <v>1.3514000000000001E-4</v>
      </c>
      <c r="N8521" s="9">
        <v>1.1315E-4</v>
      </c>
      <c r="O8521" s="9">
        <v>8.4859999999999997E-5</v>
      </c>
      <c r="P8521" s="9">
        <v>8.6080000000000003E-5</v>
      </c>
      <c r="Q8521" s="9">
        <v>8.8070000000000002E-5</v>
      </c>
      <c r="R8521" s="10">
        <v>2.1244936787709023E-4</v>
      </c>
      <c r="S8521" s="10">
        <v>1.8676501829562739E-4</v>
      </c>
      <c r="T8521" s="10">
        <v>0</v>
      </c>
      <c r="U8521" s="10">
        <v>1.5134999999999999E-4</v>
      </c>
      <c r="V8521" s="25"/>
      <c r="W8521" s="25"/>
      <c r="X8521" s="25"/>
      <c r="Y8521" s="25"/>
      <c r="Z8521" s="25"/>
      <c r="AA8521" s="25"/>
    </row>
    <row r="8522" spans="1:27" x14ac:dyDescent="0.35">
      <c r="A8522" s="5">
        <v>8518</v>
      </c>
      <c r="B8522" s="5">
        <v>355</v>
      </c>
      <c r="C8522" s="5">
        <v>12</v>
      </c>
      <c r="D8522" s="25">
        <v>1.1416E-4</v>
      </c>
      <c r="E8522" s="25">
        <v>1.1122E-4</v>
      </c>
      <c r="F8522" s="25">
        <v>1.3226000000000001E-4</v>
      </c>
      <c r="G8522" s="25">
        <v>5.8990000000000003E-5</v>
      </c>
      <c r="H8522" s="25">
        <v>7.5099999999999996E-5</v>
      </c>
      <c r="I8522" s="9">
        <v>1.2899E-4</v>
      </c>
      <c r="J8522" s="9">
        <v>1.3407E-4</v>
      </c>
      <c r="K8522" s="9">
        <v>1.8650000000000001E-4</v>
      </c>
      <c r="L8522" s="9">
        <v>9.8070000000000001E-5</v>
      </c>
      <c r="M8522" s="9">
        <v>1.1355E-4</v>
      </c>
      <c r="N8522" s="9">
        <v>1.055E-4</v>
      </c>
      <c r="O8522" s="9">
        <v>8.7340000000000001E-5</v>
      </c>
      <c r="P8522" s="9">
        <v>8.7130000000000001E-5</v>
      </c>
      <c r="Q8522" s="9">
        <v>8.7780000000000003E-5</v>
      </c>
      <c r="R8522" s="10">
        <v>2.1244936787709023E-4</v>
      </c>
      <c r="S8522" s="10">
        <v>1.8933607321447061E-4</v>
      </c>
      <c r="T8522" s="10">
        <v>0</v>
      </c>
      <c r="U8522" s="10">
        <v>1.5134999999999999E-4</v>
      </c>
      <c r="V8522" s="25"/>
      <c r="W8522" s="25"/>
      <c r="X8522" s="25"/>
      <c r="Y8522" s="25"/>
      <c r="Z8522" s="25"/>
      <c r="AA8522" s="25"/>
    </row>
    <row r="8523" spans="1:27" x14ac:dyDescent="0.35">
      <c r="A8523" s="5">
        <v>8519</v>
      </c>
      <c r="B8523" s="5">
        <v>355</v>
      </c>
      <c r="C8523" s="5">
        <v>12</v>
      </c>
      <c r="D8523" s="25">
        <v>1.1416E-4</v>
      </c>
      <c r="E8523" s="25">
        <v>1.0932E-4</v>
      </c>
      <c r="F8523" s="25">
        <v>1.2002000000000001E-4</v>
      </c>
      <c r="G8523" s="25">
        <v>5.4629999999999997E-5</v>
      </c>
      <c r="H8523" s="25">
        <v>6.826E-5</v>
      </c>
      <c r="I8523" s="9">
        <v>1.3006000000000001E-4</v>
      </c>
      <c r="J8523" s="9">
        <v>1.2418999999999999E-4</v>
      </c>
      <c r="K8523" s="9">
        <v>1.8437999999999999E-4</v>
      </c>
      <c r="L8523" s="9">
        <v>9.064E-5</v>
      </c>
      <c r="M8523" s="9">
        <v>9.8759999999999996E-5</v>
      </c>
      <c r="N8523" s="9">
        <v>9.9610000000000003E-5</v>
      </c>
      <c r="O8523" s="9">
        <v>7.8289999999999998E-5</v>
      </c>
      <c r="P8523" s="9">
        <v>7.2280000000000006E-5</v>
      </c>
      <c r="Q8523" s="9">
        <v>6.7020000000000005E-5</v>
      </c>
      <c r="R8523" s="10">
        <v>2.1244936787709023E-4</v>
      </c>
      <c r="S8523" s="10">
        <v>1.9020796071065625E-4</v>
      </c>
      <c r="T8523" s="10">
        <v>0</v>
      </c>
      <c r="U8523" s="10">
        <v>1.5134999999999999E-4</v>
      </c>
      <c r="V8523" s="25"/>
      <c r="W8523" s="25"/>
      <c r="X8523" s="25"/>
      <c r="Y8523" s="25"/>
      <c r="Z8523" s="25"/>
      <c r="AA8523" s="25"/>
    </row>
    <row r="8524" spans="1:27" x14ac:dyDescent="0.35">
      <c r="A8524" s="5">
        <v>8520</v>
      </c>
      <c r="B8524" s="5">
        <v>355</v>
      </c>
      <c r="C8524" s="5">
        <v>12</v>
      </c>
      <c r="D8524" s="25">
        <v>1.1416E-4</v>
      </c>
      <c r="E8524" s="25">
        <v>1.114E-4</v>
      </c>
      <c r="F8524" s="25">
        <v>1.2029E-4</v>
      </c>
      <c r="G8524" s="25">
        <v>5.893E-5</v>
      </c>
      <c r="H8524" s="25">
        <v>7.3250000000000005E-5</v>
      </c>
      <c r="I8524" s="9">
        <v>1.2964000000000001E-4</v>
      </c>
      <c r="J8524" s="9">
        <v>1.1519E-4</v>
      </c>
      <c r="K8524" s="9">
        <v>1.8437999999999999E-4</v>
      </c>
      <c r="L8524" s="9">
        <v>8.1009999999999999E-5</v>
      </c>
      <c r="M8524" s="9">
        <v>8.5959999999999997E-5</v>
      </c>
      <c r="N8524" s="9">
        <v>9.0379999999999999E-5</v>
      </c>
      <c r="O8524" s="9">
        <v>6.2929999999999995E-5</v>
      </c>
      <c r="P8524" s="9">
        <v>6.0749999999999999E-5</v>
      </c>
      <c r="Q8524" s="9">
        <v>5.8940000000000002E-5</v>
      </c>
      <c r="R8524" s="10">
        <v>2.1230375046672547E-4</v>
      </c>
      <c r="S8524" s="10">
        <v>1.8983029561893329E-4</v>
      </c>
      <c r="T8524" s="10">
        <v>0</v>
      </c>
      <c r="U8524" s="10">
        <v>1.5134999999999999E-4</v>
      </c>
      <c r="V8524" s="25"/>
      <c r="W8524" s="25"/>
      <c r="X8524" s="25"/>
      <c r="Y8524" s="25"/>
      <c r="Z8524" s="25"/>
      <c r="AA8524" s="25"/>
    </row>
    <row r="8525" spans="1:27" x14ac:dyDescent="0.35">
      <c r="A8525" s="5">
        <v>8521</v>
      </c>
      <c r="B8525" s="5">
        <v>356</v>
      </c>
      <c r="C8525" s="5">
        <v>12</v>
      </c>
      <c r="D8525" s="25">
        <v>1.1416E-4</v>
      </c>
      <c r="E8525" s="25">
        <v>1.0784E-4</v>
      </c>
      <c r="F8525" s="25">
        <v>1.0105E-4</v>
      </c>
      <c r="G8525" s="25">
        <v>5.4419999999999997E-5</v>
      </c>
      <c r="H8525" s="25">
        <v>4.189E-5</v>
      </c>
      <c r="I8525" s="9">
        <v>1.2192E-4</v>
      </c>
      <c r="J8525" s="9">
        <v>1.0768999999999999E-4</v>
      </c>
      <c r="K8525" s="9">
        <v>1.7379E-4</v>
      </c>
      <c r="L8525" s="9">
        <v>6.6890000000000005E-5</v>
      </c>
      <c r="M8525" s="9">
        <v>7.3949999999999995E-5</v>
      </c>
      <c r="N8525" s="9">
        <v>8.1039999999999997E-5</v>
      </c>
      <c r="O8525" s="9">
        <v>6.7529999999999999E-5</v>
      </c>
      <c r="P8525" s="9">
        <v>6.0130000000000002E-5</v>
      </c>
      <c r="Q8525" s="9">
        <v>5.3029999999999999E-5</v>
      </c>
      <c r="R8525" s="10">
        <v>2.1017225385831388E-4</v>
      </c>
      <c r="S8525" s="10">
        <v>1.9000813872149333E-4</v>
      </c>
      <c r="T8525" s="10">
        <v>0</v>
      </c>
      <c r="U8525" s="10">
        <v>1.5065E-4</v>
      </c>
      <c r="V8525" s="25"/>
      <c r="W8525" s="25"/>
      <c r="X8525" s="25"/>
      <c r="Y8525" s="25"/>
      <c r="Z8525" s="25"/>
      <c r="AA8525" s="25"/>
    </row>
    <row r="8526" spans="1:27" x14ac:dyDescent="0.35">
      <c r="A8526" s="5">
        <v>8522</v>
      </c>
      <c r="B8526" s="5">
        <v>356</v>
      </c>
      <c r="C8526" s="5">
        <v>12</v>
      </c>
      <c r="D8526" s="25">
        <v>1.1416E-4</v>
      </c>
      <c r="E8526" s="25">
        <v>1.0972999999999999E-4</v>
      </c>
      <c r="F8526" s="25">
        <v>1.1901E-4</v>
      </c>
      <c r="G8526" s="25">
        <v>5.2859999999999999E-5</v>
      </c>
      <c r="H8526" s="25">
        <v>3.9719999999999999E-5</v>
      </c>
      <c r="I8526" s="9">
        <v>1.1641000000000001E-4</v>
      </c>
      <c r="J8526" s="9">
        <v>1.0228E-4</v>
      </c>
      <c r="K8526" s="9">
        <v>1.6531E-4</v>
      </c>
      <c r="L8526" s="9">
        <v>6.7780000000000005E-5</v>
      </c>
      <c r="M8526" s="9">
        <v>6.6130000000000006E-5</v>
      </c>
      <c r="N8526" s="9">
        <v>7.1879999999999996E-5</v>
      </c>
      <c r="O8526" s="9">
        <v>3.4829999999999997E-5</v>
      </c>
      <c r="P8526" s="9">
        <v>4.587E-5</v>
      </c>
      <c r="Q8526" s="9">
        <v>5.6209999999999999E-5</v>
      </c>
      <c r="R8526" s="10">
        <v>2.0783443562820615E-4</v>
      </c>
      <c r="S8526" s="10">
        <v>1.9023198841815401E-4</v>
      </c>
      <c r="T8526" s="10">
        <v>0</v>
      </c>
      <c r="U8526" s="10">
        <v>1.5065E-4</v>
      </c>
      <c r="V8526" s="25"/>
      <c r="W8526" s="25"/>
      <c r="X8526" s="25"/>
      <c r="Y8526" s="25"/>
      <c r="Z8526" s="25"/>
      <c r="AA8526" s="25"/>
    </row>
    <row r="8527" spans="1:27" x14ac:dyDescent="0.35">
      <c r="A8527" s="5">
        <v>8523</v>
      </c>
      <c r="B8527" s="5">
        <v>356</v>
      </c>
      <c r="C8527" s="5">
        <v>12</v>
      </c>
      <c r="D8527" s="25">
        <v>1.1416E-4</v>
      </c>
      <c r="E8527" s="25">
        <v>1.1407E-4</v>
      </c>
      <c r="F8527" s="25">
        <v>1.1622E-4</v>
      </c>
      <c r="G8527" s="25">
        <v>6.1260000000000006E-5</v>
      </c>
      <c r="H8527" s="25">
        <v>4.3180000000000003E-5</v>
      </c>
      <c r="I8527" s="9">
        <v>1.1255E-4</v>
      </c>
      <c r="J8527" s="9">
        <v>9.9779999999999997E-5</v>
      </c>
      <c r="K8527" s="9">
        <v>1.5470999999999999E-4</v>
      </c>
      <c r="L8527" s="9">
        <v>4.2009999999999999E-5</v>
      </c>
      <c r="M8527" s="9">
        <v>5.7160000000000002E-5</v>
      </c>
      <c r="N8527" s="9">
        <v>6.5370000000000006E-5</v>
      </c>
      <c r="O8527" s="9">
        <v>2.1399999999999998E-5</v>
      </c>
      <c r="P8527" s="9">
        <v>4.1919999999999998E-5</v>
      </c>
      <c r="Q8527" s="9">
        <v>6.1309999999999994E-5</v>
      </c>
      <c r="R8527" s="10">
        <v>2.0747549965490162E-4</v>
      </c>
      <c r="S8527" s="10">
        <v>1.9028787616898619E-4</v>
      </c>
      <c r="T8527" s="10">
        <v>0</v>
      </c>
      <c r="U8527" s="10">
        <v>1.5065E-4</v>
      </c>
      <c r="V8527" s="25"/>
      <c r="W8527" s="25"/>
      <c r="X8527" s="25"/>
      <c r="Y8527" s="25"/>
      <c r="Z8527" s="25"/>
      <c r="AA8527" s="25"/>
    </row>
    <row r="8528" spans="1:27" x14ac:dyDescent="0.35">
      <c r="A8528" s="5">
        <v>8524</v>
      </c>
      <c r="B8528" s="5">
        <v>356</v>
      </c>
      <c r="C8528" s="5">
        <v>12</v>
      </c>
      <c r="D8528" s="25">
        <v>1.1416E-4</v>
      </c>
      <c r="E8528" s="25">
        <v>1.1243000000000001E-4</v>
      </c>
      <c r="F8528" s="25">
        <v>1.116E-4</v>
      </c>
      <c r="G8528" s="25">
        <v>5.9020000000000001E-5</v>
      </c>
      <c r="H8528" s="25">
        <v>3.8489999999999999E-5</v>
      </c>
      <c r="I8528" s="9">
        <v>1.0975E-4</v>
      </c>
      <c r="J8528" s="9">
        <v>9.9290000000000007E-5</v>
      </c>
      <c r="K8528" s="9">
        <v>1.5048000000000001E-4</v>
      </c>
      <c r="L8528" s="9">
        <v>2.656E-5</v>
      </c>
      <c r="M8528" s="9">
        <v>4.9549999999999998E-5</v>
      </c>
      <c r="N8528" s="9">
        <v>6.177E-5</v>
      </c>
      <c r="O8528" s="9">
        <v>2.0760000000000001E-5</v>
      </c>
      <c r="P8528" s="9">
        <v>5.083E-5</v>
      </c>
      <c r="Q8528" s="9">
        <v>7.9629999999999995E-5</v>
      </c>
      <c r="R8528" s="10">
        <v>2.0994856289092046E-4</v>
      </c>
      <c r="S8528" s="10">
        <v>1.9028947093378525E-4</v>
      </c>
      <c r="T8528" s="10">
        <v>0</v>
      </c>
      <c r="U8528" s="10">
        <v>1.5065E-4</v>
      </c>
      <c r="V8528" s="25"/>
      <c r="W8528" s="25"/>
      <c r="X8528" s="25"/>
      <c r="Y8528" s="25"/>
      <c r="Z8528" s="25"/>
      <c r="AA8528" s="25"/>
    </row>
    <row r="8529" spans="1:27" x14ac:dyDescent="0.35">
      <c r="A8529" s="5">
        <v>8525</v>
      </c>
      <c r="B8529" s="5">
        <v>356</v>
      </c>
      <c r="C8529" s="5">
        <v>12</v>
      </c>
      <c r="D8529" s="25">
        <v>1.1416E-4</v>
      </c>
      <c r="E8529" s="25">
        <v>1.1141000000000001E-4</v>
      </c>
      <c r="F8529" s="25">
        <v>1.0641000000000001E-4</v>
      </c>
      <c r="G8529" s="25">
        <v>5.7240000000000001E-5</v>
      </c>
      <c r="H8529" s="25">
        <v>4.0979999999999997E-5</v>
      </c>
      <c r="I8529" s="9">
        <v>1.0958E-4</v>
      </c>
      <c r="J8529" s="9">
        <v>1.0021E-4</v>
      </c>
      <c r="K8529" s="9">
        <v>1.5259E-4</v>
      </c>
      <c r="L8529" s="9">
        <v>2.2500000000000001E-5</v>
      </c>
      <c r="M8529" s="9">
        <v>4.8199999999999999E-5</v>
      </c>
      <c r="N8529" s="9">
        <v>6.4170000000000004E-5</v>
      </c>
      <c r="O8529" s="9">
        <v>2.2880000000000001E-5</v>
      </c>
      <c r="P8529" s="9">
        <v>5.8940000000000002E-5</v>
      </c>
      <c r="Q8529" s="9">
        <v>9.3679999999999998E-5</v>
      </c>
      <c r="R8529" s="10">
        <v>2.121195521193439E-4</v>
      </c>
      <c r="S8529" s="10">
        <v>1.9029019202312724E-4</v>
      </c>
      <c r="T8529" s="10">
        <v>0</v>
      </c>
      <c r="U8529" s="10">
        <v>1.5065E-4</v>
      </c>
      <c r="V8529" s="25"/>
      <c r="W8529" s="25"/>
      <c r="X8529" s="25"/>
      <c r="Y8529" s="25"/>
      <c r="Z8529" s="25"/>
      <c r="AA8529" s="25"/>
    </row>
    <row r="8530" spans="1:27" x14ac:dyDescent="0.35">
      <c r="A8530" s="5">
        <v>8526</v>
      </c>
      <c r="B8530" s="5">
        <v>356</v>
      </c>
      <c r="C8530" s="5">
        <v>12</v>
      </c>
      <c r="D8530" s="25">
        <v>1.1416E-4</v>
      </c>
      <c r="E8530" s="25">
        <v>1.1356E-4</v>
      </c>
      <c r="F8530" s="25">
        <v>1.1150999999999999E-4</v>
      </c>
      <c r="G8530" s="25">
        <v>1.1551E-4</v>
      </c>
      <c r="H8530" s="25">
        <v>8.1139999999999999E-5</v>
      </c>
      <c r="I8530" s="9">
        <v>1.1285000000000001E-4</v>
      </c>
      <c r="J8530" s="9">
        <v>1.044E-4</v>
      </c>
      <c r="K8530" s="9">
        <v>1.6318999999999999E-4</v>
      </c>
      <c r="L8530" s="9">
        <v>2.2730000000000001E-5</v>
      </c>
      <c r="M8530" s="9">
        <v>5.2040000000000003E-5</v>
      </c>
      <c r="N8530" s="9">
        <v>7.0759999999999993E-5</v>
      </c>
      <c r="O8530" s="9">
        <v>2.953E-5</v>
      </c>
      <c r="P8530" s="9">
        <v>6.9389999999999998E-5</v>
      </c>
      <c r="Q8530" s="9">
        <v>1.08E-4</v>
      </c>
      <c r="R8530" s="10">
        <v>2.1210156426992069E-4</v>
      </c>
      <c r="S8530" s="10">
        <v>1.9028961749991696E-4</v>
      </c>
      <c r="T8530" s="10">
        <v>0</v>
      </c>
      <c r="U8530" s="10">
        <v>1.5065E-4</v>
      </c>
      <c r="V8530" s="25"/>
      <c r="W8530" s="25"/>
      <c r="X8530" s="25"/>
      <c r="Y8530" s="25"/>
      <c r="Z8530" s="25"/>
      <c r="AA8530" s="25"/>
    </row>
    <row r="8531" spans="1:27" x14ac:dyDescent="0.35">
      <c r="A8531" s="5">
        <v>8527</v>
      </c>
      <c r="B8531" s="5">
        <v>356</v>
      </c>
      <c r="C8531" s="5">
        <v>12</v>
      </c>
      <c r="D8531" s="25">
        <v>1.1416E-4</v>
      </c>
      <c r="E8531" s="25">
        <v>1.0752E-4</v>
      </c>
      <c r="F8531" s="25">
        <v>1.1914E-4</v>
      </c>
      <c r="G8531" s="25">
        <v>1.0823999999999999E-4</v>
      </c>
      <c r="H8531" s="25">
        <v>7.9190000000000006E-5</v>
      </c>
      <c r="I8531" s="9">
        <v>1.2574E-4</v>
      </c>
      <c r="J8531" s="9">
        <v>1.1653E-4</v>
      </c>
      <c r="K8531" s="9">
        <v>1.9497000000000001E-4</v>
      </c>
      <c r="L8531" s="9">
        <v>2.7929999999999999E-5</v>
      </c>
      <c r="M8531" s="9">
        <v>5.9419999999999997E-5</v>
      </c>
      <c r="N8531" s="9">
        <v>8.0740000000000003E-5</v>
      </c>
      <c r="O8531" s="9">
        <v>4.6319999999999997E-5</v>
      </c>
      <c r="P8531" s="9">
        <v>8.0240000000000004E-5</v>
      </c>
      <c r="Q8531" s="9">
        <v>1.1334E-4</v>
      </c>
      <c r="R8531" s="10">
        <v>2.1230497564169779E-4</v>
      </c>
      <c r="S8531" s="10">
        <v>1.9029020759484994E-4</v>
      </c>
      <c r="T8531" s="10">
        <v>0</v>
      </c>
      <c r="U8531" s="10">
        <v>1.5065E-4</v>
      </c>
      <c r="V8531" s="25"/>
      <c r="W8531" s="25"/>
      <c r="X8531" s="25"/>
      <c r="Y8531" s="25"/>
      <c r="Z8531" s="25"/>
      <c r="AA8531" s="25"/>
    </row>
    <row r="8532" spans="1:27" x14ac:dyDescent="0.35">
      <c r="A8532" s="5">
        <v>8528</v>
      </c>
      <c r="B8532" s="5">
        <v>356</v>
      </c>
      <c r="C8532" s="5">
        <v>12</v>
      </c>
      <c r="D8532" s="25">
        <v>1.1416E-4</v>
      </c>
      <c r="E8532" s="25">
        <v>1.0998E-4</v>
      </c>
      <c r="F8532" s="25">
        <v>1.0177E-4</v>
      </c>
      <c r="G8532" s="25">
        <v>1.5966E-4</v>
      </c>
      <c r="H8532" s="25">
        <v>1.1603999999999999E-4</v>
      </c>
      <c r="I8532" s="9">
        <v>1.3713000000000001E-4</v>
      </c>
      <c r="J8532" s="9">
        <v>1.3643999999999999E-4</v>
      </c>
      <c r="K8532" s="9">
        <v>2.0769000000000001E-4</v>
      </c>
      <c r="L8532" s="9">
        <v>4.2120000000000003E-5</v>
      </c>
      <c r="M8532" s="9">
        <v>6.8769999999999994E-5</v>
      </c>
      <c r="N8532" s="9">
        <v>9.1059999999999999E-5</v>
      </c>
      <c r="O8532" s="9">
        <v>6.7760000000000002E-5</v>
      </c>
      <c r="P8532" s="9">
        <v>1.0189E-4</v>
      </c>
      <c r="Q8532" s="9">
        <v>1.3567000000000001E-4</v>
      </c>
      <c r="R8532" s="10">
        <v>2.123690958887175E-4</v>
      </c>
      <c r="S8532" s="10">
        <v>1.9029007774593349E-4</v>
      </c>
      <c r="T8532" s="10">
        <v>0</v>
      </c>
      <c r="U8532" s="10">
        <v>1.5065E-4</v>
      </c>
      <c r="V8532" s="25"/>
      <c r="W8532" s="25"/>
      <c r="X8532" s="25"/>
      <c r="Y8532" s="25"/>
      <c r="Z8532" s="25"/>
      <c r="AA8532" s="25"/>
    </row>
    <row r="8533" spans="1:27" x14ac:dyDescent="0.35">
      <c r="A8533" s="5">
        <v>8529</v>
      </c>
      <c r="B8533" s="5">
        <v>356</v>
      </c>
      <c r="C8533" s="5">
        <v>12</v>
      </c>
      <c r="D8533" s="25">
        <v>1.1416E-4</v>
      </c>
      <c r="E8533" s="25">
        <v>1.1340000000000001E-4</v>
      </c>
      <c r="F8533" s="25">
        <v>1.0687E-4</v>
      </c>
      <c r="G8533" s="25">
        <v>1.6723000000000001E-4</v>
      </c>
      <c r="H8533" s="25">
        <v>1.1532E-4</v>
      </c>
      <c r="I8533" s="9">
        <v>1.4385E-4</v>
      </c>
      <c r="J8533" s="9">
        <v>1.4924E-4</v>
      </c>
      <c r="K8533" s="9">
        <v>1.8437999999999999E-4</v>
      </c>
      <c r="L8533" s="9">
        <v>6.1729999999999993E-5</v>
      </c>
      <c r="M8533" s="9">
        <v>8.2999999999999998E-5</v>
      </c>
      <c r="N8533" s="9">
        <v>1.0461E-4</v>
      </c>
      <c r="O8533" s="9">
        <v>1.0101E-4</v>
      </c>
      <c r="P8533" s="9">
        <v>1.3948000000000001E-4</v>
      </c>
      <c r="Q8533" s="9">
        <v>1.7822000000000001E-4</v>
      </c>
      <c r="R8533" s="10">
        <v>2.1243015818354273E-4</v>
      </c>
      <c r="S8533" s="10">
        <v>1.901884421556065E-4</v>
      </c>
      <c r="T8533" s="10">
        <v>0</v>
      </c>
      <c r="U8533" s="10">
        <v>1.5065E-4</v>
      </c>
      <c r="V8533" s="25"/>
      <c r="W8533" s="25"/>
      <c r="X8533" s="25"/>
      <c r="Y8533" s="25"/>
      <c r="Z8533" s="25"/>
      <c r="AA8533" s="25"/>
    </row>
    <row r="8534" spans="1:27" x14ac:dyDescent="0.35">
      <c r="A8534" s="5">
        <v>8530</v>
      </c>
      <c r="B8534" s="5">
        <v>356</v>
      </c>
      <c r="C8534" s="5">
        <v>12</v>
      </c>
      <c r="D8534" s="25">
        <v>1.1416E-4</v>
      </c>
      <c r="E8534" s="25">
        <v>1.0684E-4</v>
      </c>
      <c r="F8534" s="25">
        <v>1.1518000000000001E-4</v>
      </c>
      <c r="G8534" s="25">
        <v>1.6401E-4</v>
      </c>
      <c r="H8534" s="25">
        <v>1.1687E-4</v>
      </c>
      <c r="I8534" s="9">
        <v>1.4428999999999999E-4</v>
      </c>
      <c r="J8534" s="9">
        <v>1.5184000000000001E-4</v>
      </c>
      <c r="K8534" s="9">
        <v>1.6531E-4</v>
      </c>
      <c r="L8534" s="9">
        <v>9.1860000000000005E-5</v>
      </c>
      <c r="M8534" s="9">
        <v>1.0691E-4</v>
      </c>
      <c r="N8534" s="9">
        <v>1.2493000000000001E-4</v>
      </c>
      <c r="O8534" s="9">
        <v>1.2886000000000001E-4</v>
      </c>
      <c r="P8534" s="9">
        <v>1.5459E-4</v>
      </c>
      <c r="Q8534" s="9">
        <v>1.8138E-4</v>
      </c>
      <c r="R8534" s="10">
        <v>2.1244936787709023E-4</v>
      </c>
      <c r="S8534" s="10">
        <v>1.8971163132719881E-4</v>
      </c>
      <c r="T8534" s="10">
        <v>3.5464371283595719E-6</v>
      </c>
      <c r="U8534" s="10">
        <v>1.5065E-4</v>
      </c>
      <c r="V8534" s="25"/>
      <c r="W8534" s="25"/>
      <c r="X8534" s="25"/>
      <c r="Y8534" s="25"/>
      <c r="Z8534" s="25"/>
      <c r="AA8534" s="25"/>
    </row>
    <row r="8535" spans="1:27" x14ac:dyDescent="0.35">
      <c r="A8535" s="5">
        <v>8531</v>
      </c>
      <c r="B8535" s="5">
        <v>356</v>
      </c>
      <c r="C8535" s="5">
        <v>12</v>
      </c>
      <c r="D8535" s="25">
        <v>1.1416E-4</v>
      </c>
      <c r="E8535" s="25">
        <v>1.1621E-4</v>
      </c>
      <c r="F8535" s="25">
        <v>1.0957E-4</v>
      </c>
      <c r="G8535" s="25">
        <v>1.6147000000000001E-4</v>
      </c>
      <c r="H8535" s="25">
        <v>1.1702E-4</v>
      </c>
      <c r="I8535" s="9">
        <v>1.4249999999999999E-4</v>
      </c>
      <c r="J8535" s="9">
        <v>1.5197E-4</v>
      </c>
      <c r="K8535" s="9">
        <v>1.4835E-4</v>
      </c>
      <c r="L8535" s="9">
        <v>1.1998E-4</v>
      </c>
      <c r="M8535" s="9">
        <v>1.3013E-4</v>
      </c>
      <c r="N8535" s="9">
        <v>1.4281999999999999E-4</v>
      </c>
      <c r="O8535" s="9">
        <v>1.3768E-4</v>
      </c>
      <c r="P8535" s="9">
        <v>1.5786000000000001E-4</v>
      </c>
      <c r="Q8535" s="9">
        <v>1.7938000000000001E-4</v>
      </c>
      <c r="R8535" s="10">
        <v>2.1244936787709023E-4</v>
      </c>
      <c r="S8535" s="10">
        <v>1.8924284037918508E-4</v>
      </c>
      <c r="T8535" s="10">
        <v>2.7073399226304772E-5</v>
      </c>
      <c r="U8535" s="10">
        <v>1.5065E-4</v>
      </c>
      <c r="V8535" s="25"/>
      <c r="W8535" s="25"/>
      <c r="X8535" s="25"/>
      <c r="Y8535" s="25"/>
      <c r="Z8535" s="25"/>
      <c r="AA8535" s="25"/>
    </row>
    <row r="8536" spans="1:27" x14ac:dyDescent="0.35">
      <c r="A8536" s="5">
        <v>8532</v>
      </c>
      <c r="B8536" s="5">
        <v>356</v>
      </c>
      <c r="C8536" s="5">
        <v>12</v>
      </c>
      <c r="D8536" s="25">
        <v>1.1416E-4</v>
      </c>
      <c r="E8536" s="25">
        <v>1.1477E-4</v>
      </c>
      <c r="F8536" s="25">
        <v>9.7289999999999999E-5</v>
      </c>
      <c r="G8536" s="25">
        <v>1.6704E-4</v>
      </c>
      <c r="H8536" s="25">
        <v>1.1496E-4</v>
      </c>
      <c r="I8536" s="9">
        <v>1.4192E-4</v>
      </c>
      <c r="J8536" s="9">
        <v>1.5069000000000001E-4</v>
      </c>
      <c r="K8536" s="9">
        <v>1.3774999999999999E-4</v>
      </c>
      <c r="L8536" s="9">
        <v>1.3312E-4</v>
      </c>
      <c r="M8536" s="9">
        <v>1.4559999999999999E-4</v>
      </c>
      <c r="N8536" s="9">
        <v>1.5681000000000001E-4</v>
      </c>
      <c r="O8536" s="9">
        <v>1.3850000000000001E-4</v>
      </c>
      <c r="P8536" s="9">
        <v>1.552E-4</v>
      </c>
      <c r="Q8536" s="9">
        <v>1.7331000000000001E-4</v>
      </c>
      <c r="R8536" s="10">
        <v>2.1244936787709023E-4</v>
      </c>
      <c r="S8536" s="10">
        <v>1.8942302801204782E-4</v>
      </c>
      <c r="T8536" s="10">
        <v>1.647650933797677E-5</v>
      </c>
      <c r="U8536" s="10">
        <v>1.5065E-4</v>
      </c>
      <c r="V8536" s="25"/>
      <c r="W8536" s="25"/>
      <c r="X8536" s="25"/>
      <c r="Y8536" s="25"/>
      <c r="Z8536" s="25"/>
      <c r="AA8536" s="25"/>
    </row>
    <row r="8537" spans="1:27" x14ac:dyDescent="0.35">
      <c r="A8537" s="5">
        <v>8533</v>
      </c>
      <c r="B8537" s="5">
        <v>356</v>
      </c>
      <c r="C8537" s="5">
        <v>12</v>
      </c>
      <c r="D8537" s="25">
        <v>1.1416E-4</v>
      </c>
      <c r="E8537" s="25">
        <v>1.0964E-4</v>
      </c>
      <c r="F8537" s="25">
        <v>1.1571E-4</v>
      </c>
      <c r="G8537" s="25">
        <v>1.6589999999999999E-4</v>
      </c>
      <c r="H8537" s="25">
        <v>1.1768E-4</v>
      </c>
      <c r="I8537" s="9">
        <v>1.3893999999999999E-4</v>
      </c>
      <c r="J8537" s="9">
        <v>1.484E-4</v>
      </c>
      <c r="K8537" s="9">
        <v>1.3988E-4</v>
      </c>
      <c r="L8537" s="9">
        <v>1.3714E-4</v>
      </c>
      <c r="M8537" s="9">
        <v>1.5236000000000001E-4</v>
      </c>
      <c r="N8537" s="9">
        <v>1.6603000000000001E-4</v>
      </c>
      <c r="O8537" s="9">
        <v>1.3119999999999999E-4</v>
      </c>
      <c r="P8537" s="9">
        <v>1.4894999999999999E-4</v>
      </c>
      <c r="Q8537" s="9">
        <v>1.6793E-4</v>
      </c>
      <c r="R8537" s="10">
        <v>2.1244936787709023E-4</v>
      </c>
      <c r="S8537" s="10">
        <v>1.8850752896707742E-4</v>
      </c>
      <c r="T8537" s="10">
        <v>4.9853742981437426E-5</v>
      </c>
      <c r="U8537" s="10">
        <v>1.5065E-4</v>
      </c>
      <c r="V8537" s="25"/>
      <c r="W8537" s="25"/>
      <c r="X8537" s="25"/>
      <c r="Y8537" s="25"/>
      <c r="Z8537" s="25"/>
      <c r="AA8537" s="25"/>
    </row>
    <row r="8538" spans="1:27" x14ac:dyDescent="0.35">
      <c r="A8538" s="5">
        <v>8534</v>
      </c>
      <c r="B8538" s="5">
        <v>356</v>
      </c>
      <c r="C8538" s="5">
        <v>12</v>
      </c>
      <c r="D8538" s="25">
        <v>1.1416E-4</v>
      </c>
      <c r="E8538" s="25">
        <v>1.154E-4</v>
      </c>
      <c r="F8538" s="25">
        <v>1.0802999999999999E-4</v>
      </c>
      <c r="G8538" s="25">
        <v>1.6123E-4</v>
      </c>
      <c r="H8538" s="25">
        <v>1.1694E-4</v>
      </c>
      <c r="I8538" s="9">
        <v>1.3739000000000001E-4</v>
      </c>
      <c r="J8538" s="9">
        <v>1.4949000000000001E-4</v>
      </c>
      <c r="K8538" s="9">
        <v>1.3988E-4</v>
      </c>
      <c r="L8538" s="9">
        <v>1.3257000000000001E-4</v>
      </c>
      <c r="M8538" s="9">
        <v>1.5239999999999999E-4</v>
      </c>
      <c r="N8538" s="9">
        <v>1.7045E-4</v>
      </c>
      <c r="O8538" s="9">
        <v>1.1273999999999999E-4</v>
      </c>
      <c r="P8538" s="9">
        <v>1.3616E-4</v>
      </c>
      <c r="Q8538" s="9">
        <v>1.6034999999999999E-4</v>
      </c>
      <c r="R8538" s="10">
        <v>2.1244936787709023E-4</v>
      </c>
      <c r="S8538" s="10">
        <v>1.8761597865798882E-4</v>
      </c>
      <c r="T8538" s="10">
        <v>2.2653079264880519E-5</v>
      </c>
      <c r="U8538" s="10">
        <v>1.5065E-4</v>
      </c>
      <c r="V8538" s="25"/>
      <c r="W8538" s="25"/>
      <c r="X8538" s="25"/>
      <c r="Y8538" s="25"/>
      <c r="Z8538" s="25"/>
      <c r="AA8538" s="25"/>
    </row>
    <row r="8539" spans="1:27" x14ac:dyDescent="0.35">
      <c r="A8539" s="5">
        <v>8535</v>
      </c>
      <c r="B8539" s="5">
        <v>356</v>
      </c>
      <c r="C8539" s="5">
        <v>12</v>
      </c>
      <c r="D8539" s="25">
        <v>1.1416E-4</v>
      </c>
      <c r="E8539" s="25">
        <v>1.0532E-4</v>
      </c>
      <c r="F8539" s="25">
        <v>1.1508E-4</v>
      </c>
      <c r="G8539" s="25">
        <v>1.5898E-4</v>
      </c>
      <c r="H8539" s="25">
        <v>1.1513E-4</v>
      </c>
      <c r="I8539" s="9">
        <v>1.3746E-4</v>
      </c>
      <c r="J8539" s="9">
        <v>1.4944000000000001E-4</v>
      </c>
      <c r="K8539" s="9">
        <v>1.4412E-4</v>
      </c>
      <c r="L8539" s="9">
        <v>1.1730000000000001E-4</v>
      </c>
      <c r="M8539" s="9">
        <v>1.4631999999999999E-4</v>
      </c>
      <c r="N8539" s="9">
        <v>1.6982999999999999E-4</v>
      </c>
      <c r="O8539" s="9">
        <v>1.2746E-4</v>
      </c>
      <c r="P8539" s="9">
        <v>1.3910999999999999E-4</v>
      </c>
      <c r="Q8539" s="9">
        <v>1.5202E-4</v>
      </c>
      <c r="R8539" s="10">
        <v>2.1244936787709023E-4</v>
      </c>
      <c r="S8539" s="10">
        <v>1.8925276611728056E-4</v>
      </c>
      <c r="T8539" s="10">
        <v>1.7087378891187031E-5</v>
      </c>
      <c r="U8539" s="10">
        <v>1.5065E-4</v>
      </c>
      <c r="V8539" s="25"/>
      <c r="W8539" s="25"/>
      <c r="X8539" s="25"/>
      <c r="Y8539" s="25"/>
      <c r="Z8539" s="25"/>
      <c r="AA8539" s="25"/>
    </row>
    <row r="8540" spans="1:27" x14ac:dyDescent="0.35">
      <c r="A8540" s="5">
        <v>8536</v>
      </c>
      <c r="B8540" s="5">
        <v>356</v>
      </c>
      <c r="C8540" s="5">
        <v>12</v>
      </c>
      <c r="D8540" s="25">
        <v>1.1416E-4</v>
      </c>
      <c r="E8540" s="25">
        <v>1.0608E-4</v>
      </c>
      <c r="F8540" s="25">
        <v>1.1129999999999999E-4</v>
      </c>
      <c r="G8540" s="25">
        <v>1.6536E-4</v>
      </c>
      <c r="H8540" s="25">
        <v>1.1757E-4</v>
      </c>
      <c r="I8540" s="9">
        <v>1.3952999999999999E-4</v>
      </c>
      <c r="J8540" s="9">
        <v>1.4967999999999999E-4</v>
      </c>
      <c r="K8540" s="9">
        <v>1.4624000000000001E-4</v>
      </c>
      <c r="L8540" s="9">
        <v>1.2566000000000001E-4</v>
      </c>
      <c r="M8540" s="9">
        <v>1.4201E-4</v>
      </c>
      <c r="N8540" s="9">
        <v>1.6585999999999999E-4</v>
      </c>
      <c r="O8540" s="9">
        <v>1.3381999999999999E-4</v>
      </c>
      <c r="P8540" s="9">
        <v>1.2046E-4</v>
      </c>
      <c r="Q8540" s="9">
        <v>1.0889E-4</v>
      </c>
      <c r="R8540" s="10">
        <v>2.1244936787709023E-4</v>
      </c>
      <c r="S8540" s="10">
        <v>1.9002070716736929E-4</v>
      </c>
      <c r="T8540" s="10">
        <v>0</v>
      </c>
      <c r="U8540" s="10">
        <v>1.5065E-4</v>
      </c>
      <c r="V8540" s="25"/>
      <c r="W8540" s="25"/>
      <c r="X8540" s="25"/>
      <c r="Y8540" s="25"/>
      <c r="Z8540" s="25"/>
      <c r="AA8540" s="25"/>
    </row>
    <row r="8541" spans="1:27" x14ac:dyDescent="0.35">
      <c r="A8541" s="5">
        <v>8537</v>
      </c>
      <c r="B8541" s="5">
        <v>356</v>
      </c>
      <c r="C8541" s="5">
        <v>12</v>
      </c>
      <c r="D8541" s="25">
        <v>1.1416E-4</v>
      </c>
      <c r="E8541" s="25">
        <v>1.064E-4</v>
      </c>
      <c r="F8541" s="25">
        <v>1.0030999999999999E-4</v>
      </c>
      <c r="G8541" s="25">
        <v>1.6089000000000001E-4</v>
      </c>
      <c r="H8541" s="25">
        <v>1.2292999999999999E-4</v>
      </c>
      <c r="I8541" s="9">
        <v>1.4208999999999999E-4</v>
      </c>
      <c r="J8541" s="9">
        <v>1.5447E-4</v>
      </c>
      <c r="K8541" s="9">
        <v>1.4622999999999999E-4</v>
      </c>
      <c r="L8541" s="9">
        <v>1.3176E-4</v>
      </c>
      <c r="M8541" s="9">
        <v>1.3328999999999999E-4</v>
      </c>
      <c r="N8541" s="9">
        <v>1.5200000000000001E-4</v>
      </c>
      <c r="O8541" s="9">
        <v>1.4127000000000001E-4</v>
      </c>
      <c r="P8541" s="9">
        <v>1.2328E-4</v>
      </c>
      <c r="Q8541" s="9">
        <v>1.0729E-4</v>
      </c>
      <c r="R8541" s="10">
        <v>2.1244936787709023E-4</v>
      </c>
      <c r="S8541" s="10">
        <v>1.9020547627433948E-4</v>
      </c>
      <c r="T8541" s="10">
        <v>0</v>
      </c>
      <c r="U8541" s="10">
        <v>1.5065E-4</v>
      </c>
      <c r="V8541" s="25"/>
      <c r="W8541" s="25"/>
      <c r="X8541" s="25"/>
      <c r="Y8541" s="25"/>
      <c r="Z8541" s="25"/>
      <c r="AA8541" s="25"/>
    </row>
    <row r="8542" spans="1:27" x14ac:dyDescent="0.35">
      <c r="A8542" s="5">
        <v>8538</v>
      </c>
      <c r="B8542" s="5">
        <v>356</v>
      </c>
      <c r="C8542" s="5">
        <v>12</v>
      </c>
      <c r="D8542" s="25">
        <v>1.1416E-4</v>
      </c>
      <c r="E8542" s="25">
        <v>1.1067E-4</v>
      </c>
      <c r="F8542" s="25">
        <v>1.0262E-4</v>
      </c>
      <c r="G8542" s="25">
        <v>1.5784999999999999E-4</v>
      </c>
      <c r="H8542" s="25">
        <v>1.203E-4</v>
      </c>
      <c r="I8542" s="9">
        <v>1.4883999999999999E-4</v>
      </c>
      <c r="J8542" s="9">
        <v>1.5878999999999999E-4</v>
      </c>
      <c r="K8542" s="9">
        <v>1.4836E-4</v>
      </c>
      <c r="L8542" s="9">
        <v>1.3889999999999999E-4</v>
      </c>
      <c r="M8542" s="9">
        <v>1.2747999999999999E-4</v>
      </c>
      <c r="N8542" s="9">
        <v>1.3876000000000001E-4</v>
      </c>
      <c r="O8542" s="9">
        <v>1.4155E-4</v>
      </c>
      <c r="P8542" s="9">
        <v>1.2858999999999999E-4</v>
      </c>
      <c r="Q8542" s="9">
        <v>1.1756000000000001E-4</v>
      </c>
      <c r="R8542" s="10">
        <v>2.1244936787709023E-4</v>
      </c>
      <c r="S8542" s="10">
        <v>1.9025584083793814E-4</v>
      </c>
      <c r="T8542" s="10">
        <v>0</v>
      </c>
      <c r="U8542" s="10">
        <v>1.5065E-4</v>
      </c>
      <c r="V8542" s="25"/>
      <c r="W8542" s="25"/>
      <c r="X8542" s="25"/>
      <c r="Y8542" s="25"/>
      <c r="Z8542" s="25"/>
      <c r="AA8542" s="25"/>
    </row>
    <row r="8543" spans="1:27" x14ac:dyDescent="0.35">
      <c r="A8543" s="5">
        <v>8539</v>
      </c>
      <c r="B8543" s="5">
        <v>356</v>
      </c>
      <c r="C8543" s="5">
        <v>12</v>
      </c>
      <c r="D8543" s="25">
        <v>1.1416E-4</v>
      </c>
      <c r="E8543" s="25">
        <v>1.0546E-4</v>
      </c>
      <c r="F8543" s="25">
        <v>1.075E-4</v>
      </c>
      <c r="G8543" s="25">
        <v>1.0658E-4</v>
      </c>
      <c r="H8543" s="25">
        <v>8.1069999999999995E-5</v>
      </c>
      <c r="I8543" s="9">
        <v>1.4779999999999999E-4</v>
      </c>
      <c r="J8543" s="9">
        <v>1.5179000000000001E-4</v>
      </c>
      <c r="K8543" s="9">
        <v>1.4624000000000001E-4</v>
      </c>
      <c r="L8543" s="9">
        <v>1.4083999999999999E-4</v>
      </c>
      <c r="M8543" s="9">
        <v>1.2656000000000001E-4</v>
      </c>
      <c r="N8543" s="9">
        <v>1.2972E-4</v>
      </c>
      <c r="O8543" s="9">
        <v>1.4158000000000001E-4</v>
      </c>
      <c r="P8543" s="9">
        <v>1.2301E-4</v>
      </c>
      <c r="Q8543" s="9">
        <v>1.0647E-4</v>
      </c>
      <c r="R8543" s="10">
        <v>2.1244936787709023E-4</v>
      </c>
      <c r="S8543" s="10">
        <v>1.9025972749497086E-4</v>
      </c>
      <c r="T8543" s="10">
        <v>0</v>
      </c>
      <c r="U8543" s="10">
        <v>1.5065E-4</v>
      </c>
      <c r="V8543" s="25"/>
      <c r="W8543" s="25"/>
      <c r="X8543" s="25"/>
      <c r="Y8543" s="25"/>
      <c r="Z8543" s="25"/>
      <c r="AA8543" s="25"/>
    </row>
    <row r="8544" spans="1:27" x14ac:dyDescent="0.35">
      <c r="A8544" s="5">
        <v>8540</v>
      </c>
      <c r="B8544" s="5">
        <v>356</v>
      </c>
      <c r="C8544" s="5">
        <v>12</v>
      </c>
      <c r="D8544" s="25">
        <v>1.1416E-4</v>
      </c>
      <c r="E8544" s="25">
        <v>1.1589E-4</v>
      </c>
      <c r="F8544" s="25">
        <v>1.1134E-4</v>
      </c>
      <c r="G8544" s="25">
        <v>1.0715E-4</v>
      </c>
      <c r="H8544" s="25">
        <v>7.8709999999999997E-5</v>
      </c>
      <c r="I8544" s="9">
        <v>1.4231000000000001E-4</v>
      </c>
      <c r="J8544" s="9">
        <v>1.4679999999999999E-4</v>
      </c>
      <c r="K8544" s="9">
        <v>1.4835E-4</v>
      </c>
      <c r="L8544" s="9">
        <v>1.4140999999999999E-4</v>
      </c>
      <c r="M8544" s="9">
        <v>1.2531E-4</v>
      </c>
      <c r="N8544" s="9">
        <v>1.2055E-4</v>
      </c>
      <c r="O8544" s="9">
        <v>1.4585999999999999E-4</v>
      </c>
      <c r="P8544" s="9">
        <v>1.2313999999999999E-4</v>
      </c>
      <c r="Q8544" s="9">
        <v>1.026E-4</v>
      </c>
      <c r="R8544" s="10">
        <v>2.1244936787709023E-4</v>
      </c>
      <c r="S8544" s="10">
        <v>1.9025521467111065E-4</v>
      </c>
      <c r="T8544" s="10">
        <v>0</v>
      </c>
      <c r="U8544" s="10">
        <v>1.5065E-4</v>
      </c>
      <c r="V8544" s="25"/>
      <c r="W8544" s="25"/>
      <c r="X8544" s="25"/>
      <c r="Y8544" s="25"/>
      <c r="Z8544" s="25"/>
      <c r="AA8544" s="25"/>
    </row>
    <row r="8545" spans="1:27" x14ac:dyDescent="0.35">
      <c r="A8545" s="5">
        <v>8541</v>
      </c>
      <c r="B8545" s="5">
        <v>356</v>
      </c>
      <c r="C8545" s="5">
        <v>12</v>
      </c>
      <c r="D8545" s="25">
        <v>1.1416E-4</v>
      </c>
      <c r="E8545" s="25">
        <v>1.1375E-4</v>
      </c>
      <c r="F8545" s="25">
        <v>1.1896999999999999E-4</v>
      </c>
      <c r="G8545" s="25">
        <v>5.732E-5</v>
      </c>
      <c r="H8545" s="25">
        <v>4.456E-5</v>
      </c>
      <c r="I8545" s="9">
        <v>1.3472000000000001E-4</v>
      </c>
      <c r="J8545" s="9">
        <v>1.4081E-4</v>
      </c>
      <c r="K8545" s="9">
        <v>1.5470999999999999E-4</v>
      </c>
      <c r="L8545" s="9">
        <v>1.4490999999999999E-4</v>
      </c>
      <c r="M8545" s="9">
        <v>1.2422E-4</v>
      </c>
      <c r="N8545" s="9">
        <v>1.1311000000000001E-4</v>
      </c>
      <c r="O8545" s="9">
        <v>8.4580000000000007E-5</v>
      </c>
      <c r="P8545" s="9">
        <v>8.6059999999999999E-5</v>
      </c>
      <c r="Q8545" s="9">
        <v>8.8049999999999999E-5</v>
      </c>
      <c r="R8545" s="10">
        <v>2.1244936787709023E-4</v>
      </c>
      <c r="S8545" s="10">
        <v>1.9025092104080335E-4</v>
      </c>
      <c r="T8545" s="10">
        <v>0</v>
      </c>
      <c r="U8545" s="10">
        <v>1.5065E-4</v>
      </c>
      <c r="V8545" s="25"/>
      <c r="W8545" s="25"/>
      <c r="X8545" s="25"/>
      <c r="Y8545" s="25"/>
      <c r="Z8545" s="25"/>
      <c r="AA8545" s="25"/>
    </row>
    <row r="8546" spans="1:27" x14ac:dyDescent="0.35">
      <c r="A8546" s="5">
        <v>8542</v>
      </c>
      <c r="B8546" s="5">
        <v>356</v>
      </c>
      <c r="C8546" s="5">
        <v>12</v>
      </c>
      <c r="D8546" s="25">
        <v>1.1416E-4</v>
      </c>
      <c r="E8546" s="25">
        <v>1.1137999999999999E-4</v>
      </c>
      <c r="F8546" s="25">
        <v>1.0543E-4</v>
      </c>
      <c r="G8546" s="25">
        <v>5.8149999999999997E-5</v>
      </c>
      <c r="H8546" s="25">
        <v>4.5410000000000001E-5</v>
      </c>
      <c r="I8546" s="9">
        <v>1.2774999999999999E-4</v>
      </c>
      <c r="J8546" s="9">
        <v>1.3259E-4</v>
      </c>
      <c r="K8546" s="9">
        <v>1.5683E-4</v>
      </c>
      <c r="L8546" s="9">
        <v>9.7759999999999999E-5</v>
      </c>
      <c r="M8546" s="9">
        <v>1.1018000000000001E-4</v>
      </c>
      <c r="N8546" s="9">
        <v>1.0553E-4</v>
      </c>
      <c r="O8546" s="9">
        <v>8.7919999999999998E-5</v>
      </c>
      <c r="P8546" s="9">
        <v>8.797E-5</v>
      </c>
      <c r="Q8546" s="9">
        <v>8.8620000000000002E-5</v>
      </c>
      <c r="R8546" s="10">
        <v>2.1244936787709023E-4</v>
      </c>
      <c r="S8546" s="10">
        <v>1.9024443224047538E-4</v>
      </c>
      <c r="T8546" s="10">
        <v>0</v>
      </c>
      <c r="U8546" s="10">
        <v>1.5065E-4</v>
      </c>
      <c r="V8546" s="25"/>
      <c r="W8546" s="25"/>
      <c r="X8546" s="25"/>
      <c r="Y8546" s="25"/>
      <c r="Z8546" s="25"/>
      <c r="AA8546" s="25"/>
    </row>
    <row r="8547" spans="1:27" x14ac:dyDescent="0.35">
      <c r="A8547" s="5">
        <v>8543</v>
      </c>
      <c r="B8547" s="5">
        <v>356</v>
      </c>
      <c r="C8547" s="5">
        <v>12</v>
      </c>
      <c r="D8547" s="25">
        <v>1.1416E-4</v>
      </c>
      <c r="E8547" s="25">
        <v>1.0916000000000001E-4</v>
      </c>
      <c r="F8547" s="25">
        <v>1.1843E-4</v>
      </c>
      <c r="G8547" s="25">
        <v>5.5869999999999999E-5</v>
      </c>
      <c r="H8547" s="25">
        <v>3.8340000000000002E-5</v>
      </c>
      <c r="I8547" s="9">
        <v>1.2768E-4</v>
      </c>
      <c r="J8547" s="9">
        <v>1.2259E-4</v>
      </c>
      <c r="K8547" s="9">
        <v>1.5472000000000001E-4</v>
      </c>
      <c r="L8547" s="9">
        <v>9.1390000000000004E-5</v>
      </c>
      <c r="M8547" s="9">
        <v>9.8400000000000007E-5</v>
      </c>
      <c r="N8547" s="9">
        <v>9.9850000000000001E-5</v>
      </c>
      <c r="O8547" s="9">
        <v>8.5599999999999994E-5</v>
      </c>
      <c r="P8547" s="9">
        <v>7.6210000000000004E-5</v>
      </c>
      <c r="Q8547" s="9">
        <v>6.7509999999999996E-5</v>
      </c>
      <c r="R8547" s="10">
        <v>2.1244936787709023E-4</v>
      </c>
      <c r="S8547" s="10">
        <v>1.9012021625386719E-4</v>
      </c>
      <c r="T8547" s="10">
        <v>0</v>
      </c>
      <c r="U8547" s="10">
        <v>1.5065E-4</v>
      </c>
      <c r="V8547" s="25"/>
      <c r="W8547" s="25"/>
      <c r="X8547" s="25"/>
      <c r="Y8547" s="25"/>
      <c r="Z8547" s="25"/>
      <c r="AA8547" s="25"/>
    </row>
    <row r="8548" spans="1:27" x14ac:dyDescent="0.35">
      <c r="A8548" s="5">
        <v>8544</v>
      </c>
      <c r="B8548" s="5">
        <v>356</v>
      </c>
      <c r="C8548" s="5">
        <v>12</v>
      </c>
      <c r="D8548" s="25">
        <v>1.1416E-4</v>
      </c>
      <c r="E8548" s="25">
        <v>1.1421000000000001E-4</v>
      </c>
      <c r="F8548" s="25">
        <v>1.1047E-4</v>
      </c>
      <c r="G8548" s="25">
        <v>5.7970000000000002E-5</v>
      </c>
      <c r="H8548" s="25">
        <v>4.0009999999999998E-5</v>
      </c>
      <c r="I8548" s="9">
        <v>1.2641E-4</v>
      </c>
      <c r="J8548" s="9">
        <v>1.1425E-4</v>
      </c>
      <c r="K8548" s="9">
        <v>1.5470999999999999E-4</v>
      </c>
      <c r="L8548" s="9">
        <v>8.7100000000000003E-5</v>
      </c>
      <c r="M8548" s="9">
        <v>8.7650000000000003E-5</v>
      </c>
      <c r="N8548" s="9">
        <v>9.0749999999999997E-5</v>
      </c>
      <c r="O8548" s="9">
        <v>8.0049999999999994E-5</v>
      </c>
      <c r="P8548" s="9">
        <v>6.9449999999999994E-5</v>
      </c>
      <c r="Q8548" s="9">
        <v>5.9450000000000002E-5</v>
      </c>
      <c r="R8548" s="10">
        <v>2.1244936787709023E-4</v>
      </c>
      <c r="S8548" s="10">
        <v>1.8918057652430486E-4</v>
      </c>
      <c r="T8548" s="10">
        <v>0</v>
      </c>
      <c r="U8548" s="10">
        <v>1.5065E-4</v>
      </c>
      <c r="V8548" s="25"/>
      <c r="W8548" s="25"/>
      <c r="X8548" s="25"/>
      <c r="Y8548" s="25"/>
      <c r="Z8548" s="25"/>
      <c r="AA8548" s="25"/>
    </row>
    <row r="8549" spans="1:27" x14ac:dyDescent="0.35">
      <c r="A8549" s="5">
        <v>8545</v>
      </c>
      <c r="B8549" s="5">
        <v>357</v>
      </c>
      <c r="C8549" s="5">
        <v>12</v>
      </c>
      <c r="D8549" s="25">
        <v>1.1416E-4</v>
      </c>
      <c r="E8549" s="25">
        <v>1.1367E-4</v>
      </c>
      <c r="F8549" s="25">
        <v>1.3653999999999999E-4</v>
      </c>
      <c r="G8549" s="25">
        <v>5.2649999999999999E-5</v>
      </c>
      <c r="H8549" s="25">
        <v>1.6019999999999999E-5</v>
      </c>
      <c r="I8549" s="9">
        <v>1.2009E-4</v>
      </c>
      <c r="J8549" s="9">
        <v>1.06E-4</v>
      </c>
      <c r="K8549" s="9">
        <v>1.6955E-4</v>
      </c>
      <c r="L8549" s="9">
        <v>8.1359999999999994E-5</v>
      </c>
      <c r="M8549" s="9">
        <v>7.8679999999999999E-5</v>
      </c>
      <c r="N8549" s="9">
        <v>8.1479999999999999E-5</v>
      </c>
      <c r="O8549" s="9">
        <v>6.813E-5</v>
      </c>
      <c r="P8549" s="9">
        <v>6.0659999999999999E-5</v>
      </c>
      <c r="Q8549" s="9">
        <v>5.3489999999999998E-5</v>
      </c>
      <c r="R8549" s="10">
        <v>2.1244936787709023E-4</v>
      </c>
      <c r="S8549" s="10">
        <v>1.8579866186126728E-4</v>
      </c>
      <c r="T8549" s="10">
        <v>0</v>
      </c>
      <c r="U8549" s="10">
        <v>1.5265E-4</v>
      </c>
      <c r="V8549" s="25"/>
      <c r="W8549" s="25"/>
      <c r="X8549" s="25"/>
      <c r="Y8549" s="25"/>
      <c r="Z8549" s="25"/>
      <c r="AA8549" s="25"/>
    </row>
    <row r="8550" spans="1:27" x14ac:dyDescent="0.35">
      <c r="A8550" s="5">
        <v>8546</v>
      </c>
      <c r="B8550" s="5">
        <v>357</v>
      </c>
      <c r="C8550" s="5">
        <v>12</v>
      </c>
      <c r="D8550" s="25">
        <v>1.1416E-4</v>
      </c>
      <c r="E8550" s="25">
        <v>1.0711E-4</v>
      </c>
      <c r="F8550" s="25">
        <v>1.2998999999999999E-4</v>
      </c>
      <c r="G8550" s="25">
        <v>5.7760000000000003E-5</v>
      </c>
      <c r="H8550" s="25">
        <v>1.341E-5</v>
      </c>
      <c r="I8550" s="9">
        <v>1.1349E-4</v>
      </c>
      <c r="J8550" s="9">
        <v>1.0088E-4</v>
      </c>
      <c r="K8550" s="9">
        <v>1.6954000000000001E-4</v>
      </c>
      <c r="L8550" s="9">
        <v>7.1180000000000006E-5</v>
      </c>
      <c r="M8550" s="9">
        <v>7.0090000000000001E-5</v>
      </c>
      <c r="N8550" s="9">
        <v>7.2349999999999997E-5</v>
      </c>
      <c r="O8550" s="9">
        <v>3.5099999999999999E-5</v>
      </c>
      <c r="P8550" s="9">
        <v>4.6220000000000001E-5</v>
      </c>
      <c r="Q8550" s="9">
        <v>5.664E-5</v>
      </c>
      <c r="R8550" s="10">
        <v>2.1244936787709023E-4</v>
      </c>
      <c r="S8550" s="10">
        <v>1.8459831441943302E-4</v>
      </c>
      <c r="T8550" s="10">
        <v>0</v>
      </c>
      <c r="U8550" s="10">
        <v>1.5265E-4</v>
      </c>
      <c r="V8550" s="25"/>
      <c r="W8550" s="25"/>
      <c r="X8550" s="25"/>
      <c r="Y8550" s="25"/>
      <c r="Z8550" s="25"/>
      <c r="AA8550" s="25"/>
    </row>
    <row r="8551" spans="1:27" x14ac:dyDescent="0.35">
      <c r="A8551" s="5">
        <v>8547</v>
      </c>
      <c r="B8551" s="5">
        <v>357</v>
      </c>
      <c r="C8551" s="5">
        <v>12</v>
      </c>
      <c r="D8551" s="25">
        <v>1.1416E-4</v>
      </c>
      <c r="E8551" s="25">
        <v>1.0818E-4</v>
      </c>
      <c r="F8551" s="25">
        <v>1.3252000000000001E-4</v>
      </c>
      <c r="G8551" s="25">
        <v>5.2880000000000002E-5</v>
      </c>
      <c r="H8551" s="25">
        <v>1.43E-5</v>
      </c>
      <c r="I8551" s="9">
        <v>1.088E-4</v>
      </c>
      <c r="J8551" s="9">
        <v>9.8389999999999998E-5</v>
      </c>
      <c r="K8551" s="9">
        <v>1.6531E-4</v>
      </c>
      <c r="L8551" s="9">
        <v>4.3309999999999997E-5</v>
      </c>
      <c r="M8551" s="9">
        <v>5.9450000000000002E-5</v>
      </c>
      <c r="N8551" s="9">
        <v>6.5850000000000001E-5</v>
      </c>
      <c r="O8551" s="9">
        <v>2.143E-5</v>
      </c>
      <c r="P8551" s="9">
        <v>4.197E-5</v>
      </c>
      <c r="Q8551" s="9">
        <v>6.1389999999999993E-5</v>
      </c>
      <c r="R8551" s="10">
        <v>2.1244936787709023E-4</v>
      </c>
      <c r="S8551" s="10">
        <v>1.8497765667092308E-4</v>
      </c>
      <c r="T8551" s="10">
        <v>0</v>
      </c>
      <c r="U8551" s="10">
        <v>1.5265E-4</v>
      </c>
      <c r="V8551" s="25"/>
      <c r="W8551" s="25"/>
      <c r="X8551" s="25"/>
      <c r="Y8551" s="25"/>
      <c r="Z8551" s="25"/>
      <c r="AA8551" s="25"/>
    </row>
    <row r="8552" spans="1:27" x14ac:dyDescent="0.35">
      <c r="A8552" s="5">
        <v>8548</v>
      </c>
      <c r="B8552" s="5">
        <v>357</v>
      </c>
      <c r="C8552" s="5">
        <v>12</v>
      </c>
      <c r="D8552" s="25">
        <v>1.1416E-4</v>
      </c>
      <c r="E8552" s="25">
        <v>1.0946E-4</v>
      </c>
      <c r="F8552" s="25">
        <v>1.3362000000000001E-4</v>
      </c>
      <c r="G8552" s="25">
        <v>6.084E-5</v>
      </c>
      <c r="H8552" s="25">
        <v>1.5150000000000001E-5</v>
      </c>
      <c r="I8552" s="9">
        <v>1.059E-4</v>
      </c>
      <c r="J8552" s="9">
        <v>9.7850000000000007E-5</v>
      </c>
      <c r="K8552" s="9">
        <v>1.6531E-4</v>
      </c>
      <c r="L8552" s="9">
        <v>2.6990000000000001E-5</v>
      </c>
      <c r="M8552" s="9">
        <v>5.0609999999999998E-5</v>
      </c>
      <c r="N8552" s="9">
        <v>6.2160000000000001E-5</v>
      </c>
      <c r="O8552" s="9">
        <v>2.0849999999999999E-5</v>
      </c>
      <c r="P8552" s="9">
        <v>5.1060000000000002E-5</v>
      </c>
      <c r="Q8552" s="9">
        <v>7.9980000000000003E-5</v>
      </c>
      <c r="R8552" s="10">
        <v>2.1244936787709023E-4</v>
      </c>
      <c r="S8552" s="10">
        <v>1.8896412404485464E-4</v>
      </c>
      <c r="T8552" s="10">
        <v>0</v>
      </c>
      <c r="U8552" s="10">
        <v>1.5265E-4</v>
      </c>
      <c r="V8552" s="25"/>
      <c r="W8552" s="25"/>
      <c r="X8552" s="25"/>
      <c r="Y8552" s="25"/>
      <c r="Z8552" s="25"/>
      <c r="AA8552" s="25"/>
    </row>
    <row r="8553" spans="1:27" x14ac:dyDescent="0.35">
      <c r="A8553" s="5">
        <v>8549</v>
      </c>
      <c r="B8553" s="5">
        <v>357</v>
      </c>
      <c r="C8553" s="5">
        <v>12</v>
      </c>
      <c r="D8553" s="25">
        <v>1.1416E-4</v>
      </c>
      <c r="E8553" s="25">
        <v>1.0637E-4</v>
      </c>
      <c r="F8553" s="25">
        <v>1.2985000000000001E-4</v>
      </c>
      <c r="G8553" s="25">
        <v>6.3139999999999995E-5</v>
      </c>
      <c r="H8553" s="25">
        <v>1.5670000000000001E-5</v>
      </c>
      <c r="I8553" s="9">
        <v>1.0668E-4</v>
      </c>
      <c r="J8553" s="9">
        <v>9.836E-5</v>
      </c>
      <c r="K8553" s="9">
        <v>1.6107E-4</v>
      </c>
      <c r="L8553" s="9">
        <v>2.26E-5</v>
      </c>
      <c r="M8553" s="9">
        <v>4.871E-5</v>
      </c>
      <c r="N8553" s="9">
        <v>6.4529999999999994E-5</v>
      </c>
      <c r="O8553" s="9">
        <v>2.2989999999999998E-5</v>
      </c>
      <c r="P8553" s="9">
        <v>5.923E-5</v>
      </c>
      <c r="Q8553" s="9">
        <v>9.4129999999999995E-5</v>
      </c>
      <c r="R8553" s="10">
        <v>2.1244936787709023E-4</v>
      </c>
      <c r="S8553" s="10">
        <v>1.902816029130366E-4</v>
      </c>
      <c r="T8553" s="10">
        <v>0</v>
      </c>
      <c r="U8553" s="10">
        <v>1.5265E-4</v>
      </c>
      <c r="V8553" s="25"/>
      <c r="W8553" s="25"/>
      <c r="X8553" s="25"/>
      <c r="Y8553" s="25"/>
      <c r="Z8553" s="25"/>
      <c r="AA8553" s="25"/>
    </row>
    <row r="8554" spans="1:27" x14ac:dyDescent="0.35">
      <c r="A8554" s="5">
        <v>8550</v>
      </c>
      <c r="B8554" s="5">
        <v>357</v>
      </c>
      <c r="C8554" s="5">
        <v>12</v>
      </c>
      <c r="D8554" s="25">
        <v>1.1416E-4</v>
      </c>
      <c r="E8554" s="25">
        <v>1.1171999999999999E-4</v>
      </c>
      <c r="F8554" s="25">
        <v>1.3014E-4</v>
      </c>
      <c r="G8554" s="25">
        <v>1.0635E-4</v>
      </c>
      <c r="H8554" s="25">
        <v>2.813E-5</v>
      </c>
      <c r="I8554" s="9">
        <v>1.1129999999999999E-4</v>
      </c>
      <c r="J8554" s="9">
        <v>1.0223E-4</v>
      </c>
      <c r="K8554" s="9">
        <v>1.6318999999999999E-4</v>
      </c>
      <c r="L8554" s="9">
        <v>2.283E-5</v>
      </c>
      <c r="M8554" s="9">
        <v>5.236E-5</v>
      </c>
      <c r="N8554" s="9">
        <v>7.1130000000000005E-5</v>
      </c>
      <c r="O8554" s="9">
        <v>2.917E-5</v>
      </c>
      <c r="P8554" s="9">
        <v>6.8549999999999999E-5</v>
      </c>
      <c r="Q8554" s="9">
        <v>1.0668E-4</v>
      </c>
      <c r="R8554" s="10">
        <v>2.1244936787709023E-4</v>
      </c>
      <c r="S8554" s="10">
        <v>1.9029020759484994E-4</v>
      </c>
      <c r="T8554" s="10">
        <v>0</v>
      </c>
      <c r="U8554" s="10">
        <v>1.5265E-4</v>
      </c>
      <c r="V8554" s="25"/>
      <c r="W8554" s="25"/>
      <c r="X8554" s="25"/>
      <c r="Y8554" s="25"/>
      <c r="Z8554" s="25"/>
      <c r="AA8554" s="25"/>
    </row>
    <row r="8555" spans="1:27" x14ac:dyDescent="0.35">
      <c r="A8555" s="5">
        <v>8551</v>
      </c>
      <c r="B8555" s="5">
        <v>357</v>
      </c>
      <c r="C8555" s="5">
        <v>12</v>
      </c>
      <c r="D8555" s="25">
        <v>1.1416E-4</v>
      </c>
      <c r="E8555" s="25">
        <v>1.0621E-4</v>
      </c>
      <c r="F8555" s="25">
        <v>1.3884999999999999E-4</v>
      </c>
      <c r="G8555" s="25">
        <v>1.1236E-4</v>
      </c>
      <c r="H8555" s="25">
        <v>2.6869999999999999E-5</v>
      </c>
      <c r="I8555" s="9">
        <v>1.237E-4</v>
      </c>
      <c r="J8555" s="9">
        <v>1.1413000000000001E-4</v>
      </c>
      <c r="K8555" s="9">
        <v>1.5894999999999999E-4</v>
      </c>
      <c r="L8555" s="9">
        <v>2.7670000000000001E-5</v>
      </c>
      <c r="M8555" s="9">
        <v>5.927E-5</v>
      </c>
      <c r="N8555" s="9">
        <v>8.072E-5</v>
      </c>
      <c r="O8555" s="9">
        <v>4.6020000000000003E-5</v>
      </c>
      <c r="P8555" s="9">
        <v>7.9709999999999994E-5</v>
      </c>
      <c r="Q8555" s="9">
        <v>1.126E-4</v>
      </c>
      <c r="R8555" s="10">
        <v>2.1244936787709023E-4</v>
      </c>
      <c r="S8555" s="10">
        <v>1.9029020759484994E-4</v>
      </c>
      <c r="T8555" s="10">
        <v>0</v>
      </c>
      <c r="U8555" s="10">
        <v>1.5265E-4</v>
      </c>
      <c r="V8555" s="25"/>
      <c r="W8555" s="25"/>
      <c r="X8555" s="25"/>
      <c r="Y8555" s="25"/>
      <c r="Z8555" s="25"/>
      <c r="AA8555" s="25"/>
    </row>
    <row r="8556" spans="1:27" x14ac:dyDescent="0.35">
      <c r="A8556" s="5">
        <v>8552</v>
      </c>
      <c r="B8556" s="5">
        <v>357</v>
      </c>
      <c r="C8556" s="5">
        <v>12</v>
      </c>
      <c r="D8556" s="25">
        <v>1.1416E-4</v>
      </c>
      <c r="E8556" s="25">
        <v>1.0832000000000001E-4</v>
      </c>
      <c r="F8556" s="25">
        <v>1.3166E-4</v>
      </c>
      <c r="G8556" s="25">
        <v>1.5974000000000001E-4</v>
      </c>
      <c r="H8556" s="25">
        <v>4.1619999999999998E-5</v>
      </c>
      <c r="I8556" s="9">
        <v>1.3506999999999999E-4</v>
      </c>
      <c r="J8556" s="9">
        <v>1.3281E-4</v>
      </c>
      <c r="K8556" s="9">
        <v>1.5683E-4</v>
      </c>
      <c r="L8556" s="9">
        <v>4.1839999999999999E-5</v>
      </c>
      <c r="M8556" s="9">
        <v>6.8380000000000006E-5</v>
      </c>
      <c r="N8556" s="9">
        <v>9.0820000000000001E-5</v>
      </c>
      <c r="O8556" s="9">
        <v>6.8590000000000006E-5</v>
      </c>
      <c r="P8556" s="9">
        <v>1.0315E-4</v>
      </c>
      <c r="Q8556" s="9">
        <v>1.3734000000000001E-4</v>
      </c>
      <c r="R8556" s="10">
        <v>2.1244935727411372E-4</v>
      </c>
      <c r="S8556" s="10">
        <v>1.9029020759484994E-4</v>
      </c>
      <c r="T8556" s="10">
        <v>0</v>
      </c>
      <c r="U8556" s="10">
        <v>1.5265E-4</v>
      </c>
      <c r="V8556" s="25"/>
      <c r="W8556" s="25"/>
      <c r="X8556" s="25"/>
      <c r="Y8556" s="25"/>
      <c r="Z8556" s="25"/>
      <c r="AA8556" s="25"/>
    </row>
    <row r="8557" spans="1:27" x14ac:dyDescent="0.35">
      <c r="A8557" s="5">
        <v>8553</v>
      </c>
      <c r="B8557" s="5">
        <v>357</v>
      </c>
      <c r="C8557" s="5">
        <v>12</v>
      </c>
      <c r="D8557" s="25">
        <v>1.1416E-4</v>
      </c>
      <c r="E8557" s="25">
        <v>1.0602E-4</v>
      </c>
      <c r="F8557" s="25">
        <v>1.4616E-4</v>
      </c>
      <c r="G8557" s="25">
        <v>1.6451000000000001E-4</v>
      </c>
      <c r="H8557" s="25">
        <v>4.2419999999999997E-5</v>
      </c>
      <c r="I8557" s="9">
        <v>1.4149E-4</v>
      </c>
      <c r="J8557" s="9">
        <v>1.4516999999999999E-4</v>
      </c>
      <c r="K8557" s="9">
        <v>1.5046999999999999E-4</v>
      </c>
      <c r="L8557" s="9">
        <v>6.232E-5</v>
      </c>
      <c r="M8557" s="9">
        <v>8.3150000000000002E-5</v>
      </c>
      <c r="N8557" s="9">
        <v>1.0471000000000001E-4</v>
      </c>
      <c r="O8557" s="9">
        <v>9.9850000000000001E-5</v>
      </c>
      <c r="P8557" s="9">
        <v>1.3788E-4</v>
      </c>
      <c r="Q8557" s="9">
        <v>1.7616999999999999E-4</v>
      </c>
      <c r="R8557" s="10">
        <v>2.1244936787709023E-4</v>
      </c>
      <c r="S8557" s="10">
        <v>1.9025989737886441E-4</v>
      </c>
      <c r="T8557" s="10">
        <v>0</v>
      </c>
      <c r="U8557" s="10">
        <v>1.5265E-4</v>
      </c>
      <c r="V8557" s="25"/>
      <c r="W8557" s="25"/>
      <c r="X8557" s="25"/>
      <c r="Y8557" s="25"/>
      <c r="Z8557" s="25"/>
      <c r="AA8557" s="25"/>
    </row>
    <row r="8558" spans="1:27" x14ac:dyDescent="0.35">
      <c r="A8558" s="5">
        <v>8554</v>
      </c>
      <c r="B8558" s="5">
        <v>357</v>
      </c>
      <c r="C8558" s="5">
        <v>12</v>
      </c>
      <c r="D8558" s="25">
        <v>1.1416E-4</v>
      </c>
      <c r="E8558" s="25">
        <v>1.1433E-4</v>
      </c>
      <c r="F8558" s="25">
        <v>1.2663999999999999E-4</v>
      </c>
      <c r="G8558" s="25">
        <v>1.5920999999999999E-4</v>
      </c>
      <c r="H8558" s="25">
        <v>4.172E-5</v>
      </c>
      <c r="I8558" s="9">
        <v>1.4137000000000001E-4</v>
      </c>
      <c r="J8558" s="9">
        <v>1.4887E-4</v>
      </c>
      <c r="K8558" s="9">
        <v>1.4412E-4</v>
      </c>
      <c r="L8558" s="9">
        <v>9.1059999999999999E-5</v>
      </c>
      <c r="M8558" s="9">
        <v>1.0658999999999999E-4</v>
      </c>
      <c r="N8558" s="9">
        <v>1.2455999999999999E-4</v>
      </c>
      <c r="O8558" s="9">
        <v>1.2887E-4</v>
      </c>
      <c r="P8558" s="9">
        <v>1.5459E-4</v>
      </c>
      <c r="Q8558" s="9">
        <v>1.8139E-4</v>
      </c>
      <c r="R8558" s="10">
        <v>2.1244868643768847E-4</v>
      </c>
      <c r="S8558" s="10">
        <v>1.8979862656068897E-4</v>
      </c>
      <c r="T8558" s="10">
        <v>2.3875666801236061E-4</v>
      </c>
      <c r="U8558" s="10">
        <v>1.5265E-4</v>
      </c>
      <c r="V8558" s="25"/>
      <c r="W8558" s="25"/>
      <c r="X8558" s="25"/>
      <c r="Y8558" s="25"/>
      <c r="Z8558" s="25"/>
      <c r="AA8558" s="25"/>
    </row>
    <row r="8559" spans="1:27" x14ac:dyDescent="0.35">
      <c r="A8559" s="5">
        <v>8555</v>
      </c>
      <c r="B8559" s="5">
        <v>357</v>
      </c>
      <c r="C8559" s="5">
        <v>12</v>
      </c>
      <c r="D8559" s="25">
        <v>1.1416E-4</v>
      </c>
      <c r="E8559" s="25">
        <v>1.0598E-4</v>
      </c>
      <c r="F8559" s="25">
        <v>1.2716999999999999E-4</v>
      </c>
      <c r="G8559" s="25">
        <v>1.6332E-4</v>
      </c>
      <c r="H8559" s="25">
        <v>4.2360000000000001E-5</v>
      </c>
      <c r="I8559" s="9">
        <v>1.4130999999999999E-4</v>
      </c>
      <c r="J8559" s="9">
        <v>1.4925999999999999E-4</v>
      </c>
      <c r="K8559" s="9">
        <v>1.4411E-4</v>
      </c>
      <c r="L8559" s="9">
        <v>1.1984E-4</v>
      </c>
      <c r="M8559" s="9">
        <v>1.2977999999999999E-4</v>
      </c>
      <c r="N8559" s="9">
        <v>1.4247000000000001E-4</v>
      </c>
      <c r="O8559" s="9">
        <v>1.3688E-4</v>
      </c>
      <c r="P8559" s="9">
        <v>1.5694999999999999E-4</v>
      </c>
      <c r="Q8559" s="9">
        <v>1.7834E-4</v>
      </c>
      <c r="R8559" s="10">
        <v>2.124492618666255E-4</v>
      </c>
      <c r="S8559" s="10">
        <v>1.9015330244585035E-4</v>
      </c>
      <c r="T8559" s="10">
        <v>3.826419006914275E-4</v>
      </c>
      <c r="U8559" s="10">
        <v>1.5265E-4</v>
      </c>
      <c r="V8559" s="25"/>
      <c r="W8559" s="25"/>
      <c r="X8559" s="25"/>
      <c r="Y8559" s="25"/>
      <c r="Z8559" s="25"/>
      <c r="AA8559" s="25"/>
    </row>
    <row r="8560" spans="1:27" x14ac:dyDescent="0.35">
      <c r="A8560" s="5">
        <v>8556</v>
      </c>
      <c r="B8560" s="5">
        <v>357</v>
      </c>
      <c r="C8560" s="5">
        <v>12</v>
      </c>
      <c r="D8560" s="25">
        <v>1.1416E-4</v>
      </c>
      <c r="E8560" s="25">
        <v>1.0474E-4</v>
      </c>
      <c r="F8560" s="25">
        <v>1.4095000000000001E-4</v>
      </c>
      <c r="G8560" s="25">
        <v>1.6133E-4</v>
      </c>
      <c r="H8560" s="25">
        <v>4.0250000000000003E-5</v>
      </c>
      <c r="I8560" s="9">
        <v>1.4255999999999999E-4</v>
      </c>
      <c r="J8560" s="9">
        <v>1.4889999999999999E-4</v>
      </c>
      <c r="K8560" s="9">
        <v>1.3988E-4</v>
      </c>
      <c r="L8560" s="9">
        <v>1.3245999999999999E-4</v>
      </c>
      <c r="M8560" s="9">
        <v>1.4504000000000001E-4</v>
      </c>
      <c r="N8560" s="9">
        <v>1.5631E-4</v>
      </c>
      <c r="O8560" s="9">
        <v>1.3960000000000001E-4</v>
      </c>
      <c r="P8560" s="9">
        <v>1.5642999999999999E-4</v>
      </c>
      <c r="Q8560" s="9">
        <v>1.7469E-4</v>
      </c>
      <c r="R8560" s="10">
        <v>2.1236666828840063E-4</v>
      </c>
      <c r="S8560" s="10">
        <v>1.9027931982976552E-4</v>
      </c>
      <c r="T8560" s="10">
        <v>4.0897716587426992E-4</v>
      </c>
      <c r="U8560" s="10">
        <v>1.5265E-4</v>
      </c>
      <c r="V8560" s="25"/>
      <c r="W8560" s="25"/>
      <c r="X8560" s="25"/>
      <c r="Y8560" s="25"/>
      <c r="Z8560" s="25"/>
      <c r="AA8560" s="25"/>
    </row>
    <row r="8561" spans="1:27" x14ac:dyDescent="0.35">
      <c r="A8561" s="5">
        <v>8557</v>
      </c>
      <c r="B8561" s="5">
        <v>357</v>
      </c>
      <c r="C8561" s="5">
        <v>12</v>
      </c>
      <c r="D8561" s="25">
        <v>1.1416E-4</v>
      </c>
      <c r="E8561" s="25">
        <v>1.0533E-4</v>
      </c>
      <c r="F8561" s="25">
        <v>1.4663999999999999E-4</v>
      </c>
      <c r="G8561" s="25">
        <v>1.6254999999999999E-4</v>
      </c>
      <c r="H8561" s="25">
        <v>4.2110000000000002E-5</v>
      </c>
      <c r="I8561" s="9">
        <v>1.4072999999999999E-4</v>
      </c>
      <c r="J8561" s="9">
        <v>1.4707000000000001E-4</v>
      </c>
      <c r="K8561" s="9">
        <v>1.3352000000000001E-4</v>
      </c>
      <c r="L8561" s="9">
        <v>1.3786000000000001E-4</v>
      </c>
      <c r="M8561" s="9">
        <v>1.5239999999999999E-4</v>
      </c>
      <c r="N8561" s="9">
        <v>1.6590999999999999E-4</v>
      </c>
      <c r="O8561" s="9">
        <v>1.3038000000000001E-4</v>
      </c>
      <c r="P8561" s="9">
        <v>1.4802000000000001E-4</v>
      </c>
      <c r="Q8561" s="9">
        <v>1.6688E-4</v>
      </c>
      <c r="R8561" s="10">
        <v>2.1231511406715863E-4</v>
      </c>
      <c r="S8561" s="10">
        <v>1.9028888718056465E-4</v>
      </c>
      <c r="T8561" s="10">
        <v>3.1879754808160506E-4</v>
      </c>
      <c r="U8561" s="10">
        <v>1.5265E-4</v>
      </c>
      <c r="V8561" s="25"/>
      <c r="W8561" s="25"/>
      <c r="X8561" s="25"/>
      <c r="Y8561" s="25"/>
      <c r="Z8561" s="25"/>
      <c r="AA8561" s="25"/>
    </row>
    <row r="8562" spans="1:27" x14ac:dyDescent="0.35">
      <c r="A8562" s="5">
        <v>8558</v>
      </c>
      <c r="B8562" s="5">
        <v>357</v>
      </c>
      <c r="C8562" s="5">
        <v>12</v>
      </c>
      <c r="D8562" s="25">
        <v>1.1416E-4</v>
      </c>
      <c r="E8562" s="25">
        <v>1.0526000000000001E-4</v>
      </c>
      <c r="F8562" s="25">
        <v>1.4363000000000001E-4</v>
      </c>
      <c r="G8562" s="25">
        <v>1.674E-4</v>
      </c>
      <c r="H8562" s="25">
        <v>4.2370000000000003E-5</v>
      </c>
      <c r="I8562" s="9">
        <v>1.3919E-4</v>
      </c>
      <c r="J8562" s="9">
        <v>1.4676000000000001E-4</v>
      </c>
      <c r="K8562" s="9">
        <v>1.314E-4</v>
      </c>
      <c r="L8562" s="9">
        <v>1.3206000000000001E-4</v>
      </c>
      <c r="M8562" s="9">
        <v>1.5226000000000001E-4</v>
      </c>
      <c r="N8562" s="9">
        <v>1.7013E-4</v>
      </c>
      <c r="O8562" s="9">
        <v>1.1356E-4</v>
      </c>
      <c r="P8562" s="9">
        <v>1.3715999999999999E-4</v>
      </c>
      <c r="Q8562" s="9">
        <v>1.6152000000000001E-4</v>
      </c>
      <c r="R8562" s="10">
        <v>2.1230374204815269E-4</v>
      </c>
      <c r="S8562" s="10">
        <v>1.9028537021726768E-4</v>
      </c>
      <c r="T8562" s="10">
        <v>3.5032520446673469E-4</v>
      </c>
      <c r="U8562" s="10">
        <v>1.5265E-4</v>
      </c>
      <c r="V8562" s="25"/>
      <c r="W8562" s="25"/>
      <c r="X8562" s="25"/>
      <c r="Y8562" s="25"/>
      <c r="Z8562" s="25"/>
      <c r="AA8562" s="25"/>
    </row>
    <row r="8563" spans="1:27" x14ac:dyDescent="0.35">
      <c r="A8563" s="5">
        <v>8559</v>
      </c>
      <c r="B8563" s="5">
        <v>357</v>
      </c>
      <c r="C8563" s="5">
        <v>12</v>
      </c>
      <c r="D8563" s="25">
        <v>1.1416E-4</v>
      </c>
      <c r="E8563" s="25">
        <v>1.0554E-4</v>
      </c>
      <c r="F8563" s="25">
        <v>1.3439999999999999E-4</v>
      </c>
      <c r="G8563" s="25">
        <v>1.6127000000000001E-4</v>
      </c>
      <c r="H8563" s="25">
        <v>4.0890000000000003E-5</v>
      </c>
      <c r="I8563" s="9">
        <v>1.3718000000000001E-4</v>
      </c>
      <c r="J8563" s="9">
        <v>1.4641E-4</v>
      </c>
      <c r="K8563" s="9">
        <v>1.3776000000000001E-4</v>
      </c>
      <c r="L8563" s="9">
        <v>1.1785E-4</v>
      </c>
      <c r="M8563" s="9">
        <v>1.4652E-4</v>
      </c>
      <c r="N8563" s="9">
        <v>1.6988999999999999E-4</v>
      </c>
      <c r="O8563" s="9">
        <v>1.2841999999999999E-4</v>
      </c>
      <c r="P8563" s="9">
        <v>1.4016000000000001E-4</v>
      </c>
      <c r="Q8563" s="9">
        <v>1.5317E-4</v>
      </c>
      <c r="R8563" s="10">
        <v>2.1141026319348045E-4</v>
      </c>
      <c r="S8563" s="10">
        <v>1.9026116838917351E-4</v>
      </c>
      <c r="T8563" s="10">
        <v>2.4751246494170766E-4</v>
      </c>
      <c r="U8563" s="10">
        <v>1.5265E-4</v>
      </c>
      <c r="V8563" s="25"/>
      <c r="W8563" s="25"/>
      <c r="X8563" s="25"/>
      <c r="Y8563" s="25"/>
      <c r="Z8563" s="25"/>
      <c r="AA8563" s="25"/>
    </row>
    <row r="8564" spans="1:27" x14ac:dyDescent="0.35">
      <c r="A8564" s="5">
        <v>8560</v>
      </c>
      <c r="B8564" s="5">
        <v>357</v>
      </c>
      <c r="C8564" s="5">
        <v>12</v>
      </c>
      <c r="D8564" s="25">
        <v>1.1416E-4</v>
      </c>
      <c r="E8564" s="25">
        <v>1.0768E-4</v>
      </c>
      <c r="F8564" s="25">
        <v>1.3706999999999999E-4</v>
      </c>
      <c r="G8564" s="25">
        <v>1.5819E-4</v>
      </c>
      <c r="H8564" s="25">
        <v>4.1189999999999997E-5</v>
      </c>
      <c r="I8564" s="9">
        <v>1.3662E-4</v>
      </c>
      <c r="J8564" s="9">
        <v>1.4663999999999999E-4</v>
      </c>
      <c r="K8564" s="9">
        <v>1.4200000000000001E-4</v>
      </c>
      <c r="L8564" s="9">
        <v>1.2652E-4</v>
      </c>
      <c r="M8564" s="9">
        <v>1.4260999999999999E-4</v>
      </c>
      <c r="N8564" s="9">
        <v>1.6621999999999999E-4</v>
      </c>
      <c r="O8564" s="9">
        <v>1.3477000000000001E-4</v>
      </c>
      <c r="P8564" s="9">
        <v>1.2132E-4</v>
      </c>
      <c r="Q8564" s="9">
        <v>1.0967E-4</v>
      </c>
      <c r="R8564" s="10">
        <v>2.0473190137126164E-4</v>
      </c>
      <c r="S8564" s="10">
        <v>1.8969888594566861E-4</v>
      </c>
      <c r="T8564" s="10">
        <v>0</v>
      </c>
      <c r="U8564" s="10">
        <v>1.5265E-4</v>
      </c>
      <c r="V8564" s="25"/>
      <c r="W8564" s="25"/>
      <c r="X8564" s="25"/>
      <c r="Y8564" s="25"/>
      <c r="Z8564" s="25"/>
      <c r="AA8564" s="25"/>
    </row>
    <row r="8565" spans="1:27" x14ac:dyDescent="0.35">
      <c r="A8565" s="5">
        <v>8561</v>
      </c>
      <c r="B8565" s="5">
        <v>357</v>
      </c>
      <c r="C8565" s="5">
        <v>12</v>
      </c>
      <c r="D8565" s="25">
        <v>1.1416E-4</v>
      </c>
      <c r="E8565" s="25">
        <v>1.052E-4</v>
      </c>
      <c r="F8565" s="25">
        <v>1.3229E-4</v>
      </c>
      <c r="G8565" s="25">
        <v>1.6710999999999999E-4</v>
      </c>
      <c r="H8565" s="25">
        <v>3.9740000000000002E-5</v>
      </c>
      <c r="I8565" s="9">
        <v>1.3909E-4</v>
      </c>
      <c r="J8565" s="9">
        <v>1.4934E-4</v>
      </c>
      <c r="K8565" s="9">
        <v>1.4836E-4</v>
      </c>
      <c r="L8565" s="9">
        <v>1.3266999999999999E-4</v>
      </c>
      <c r="M8565" s="9">
        <v>1.3409000000000001E-4</v>
      </c>
      <c r="N8565" s="9">
        <v>1.5254999999999999E-4</v>
      </c>
      <c r="O8565" s="9">
        <v>1.4200000000000001E-4</v>
      </c>
      <c r="P8565" s="9">
        <v>1.2391E-4</v>
      </c>
      <c r="Q8565" s="9">
        <v>1.0784E-4</v>
      </c>
      <c r="R8565" s="10">
        <v>1.9142521617158267E-4</v>
      </c>
      <c r="S8565" s="10">
        <v>1.89240440329138E-4</v>
      </c>
      <c r="T8565" s="10">
        <v>0</v>
      </c>
      <c r="U8565" s="10">
        <v>1.5265E-4</v>
      </c>
      <c r="V8565" s="25"/>
      <c r="W8565" s="25"/>
      <c r="X8565" s="25"/>
      <c r="Y8565" s="25"/>
      <c r="Z8565" s="25"/>
      <c r="AA8565" s="25"/>
    </row>
    <row r="8566" spans="1:27" x14ac:dyDescent="0.35">
      <c r="A8566" s="5">
        <v>8562</v>
      </c>
      <c r="B8566" s="5">
        <v>357</v>
      </c>
      <c r="C8566" s="5">
        <v>12</v>
      </c>
      <c r="D8566" s="25">
        <v>1.1416E-4</v>
      </c>
      <c r="E8566" s="25">
        <v>1.0571E-4</v>
      </c>
      <c r="F8566" s="25">
        <v>1.4698000000000001E-4</v>
      </c>
      <c r="G8566" s="25">
        <v>1.6631999999999999E-4</v>
      </c>
      <c r="H8566" s="25">
        <v>4.0129999999999997E-5</v>
      </c>
      <c r="I8566" s="9">
        <v>1.4457000000000001E-4</v>
      </c>
      <c r="J8566" s="9">
        <v>1.5444999999999999E-4</v>
      </c>
      <c r="K8566" s="9">
        <v>1.4622999999999999E-4</v>
      </c>
      <c r="L8566" s="9">
        <v>1.3967E-4</v>
      </c>
      <c r="M8566" s="9">
        <v>1.2825E-4</v>
      </c>
      <c r="N8566" s="9">
        <v>1.3936999999999999E-4</v>
      </c>
      <c r="O8566" s="9">
        <v>1.4055E-4</v>
      </c>
      <c r="P8566" s="9">
        <v>1.2768E-4</v>
      </c>
      <c r="Q8566" s="9">
        <v>1.1671999999999999E-4</v>
      </c>
      <c r="R8566" s="10">
        <v>1.9122989840053778E-4</v>
      </c>
      <c r="S8566" s="10">
        <v>1.8968681617708048E-4</v>
      </c>
      <c r="T8566" s="10">
        <v>0</v>
      </c>
      <c r="U8566" s="10">
        <v>1.5265E-4</v>
      </c>
      <c r="V8566" s="25"/>
      <c r="W8566" s="25"/>
      <c r="X8566" s="25"/>
      <c r="Y8566" s="25"/>
      <c r="Z8566" s="25"/>
      <c r="AA8566" s="25"/>
    </row>
    <row r="8567" spans="1:27" x14ac:dyDescent="0.35">
      <c r="A8567" s="5">
        <v>8563</v>
      </c>
      <c r="B8567" s="5">
        <v>357</v>
      </c>
      <c r="C8567" s="5">
        <v>12</v>
      </c>
      <c r="D8567" s="25">
        <v>1.1416E-4</v>
      </c>
      <c r="E8567" s="25">
        <v>1.1301E-4</v>
      </c>
      <c r="F8567" s="25">
        <v>1.3279000000000001E-4</v>
      </c>
      <c r="G8567" s="25">
        <v>1.0707E-4</v>
      </c>
      <c r="H8567" s="25">
        <v>2.8229999999999999E-5</v>
      </c>
      <c r="I8567" s="9">
        <v>1.4301E-4</v>
      </c>
      <c r="J8567" s="9">
        <v>1.4875000000000001E-4</v>
      </c>
      <c r="K8567" s="9">
        <v>1.5048000000000001E-4</v>
      </c>
      <c r="L8567" s="9">
        <v>1.4024E-4</v>
      </c>
      <c r="M8567" s="9">
        <v>1.2671000000000001E-4</v>
      </c>
      <c r="N8567" s="9">
        <v>1.3009E-4</v>
      </c>
      <c r="O8567" s="9">
        <v>1.418E-4</v>
      </c>
      <c r="P8567" s="9">
        <v>1.2320000000000001E-4</v>
      </c>
      <c r="Q8567" s="9">
        <v>1.0664E-4</v>
      </c>
      <c r="R8567" s="10">
        <v>1.9004391814048601E-4</v>
      </c>
      <c r="S8567" s="10">
        <v>1.8973906849862932E-4</v>
      </c>
      <c r="T8567" s="10">
        <v>0</v>
      </c>
      <c r="U8567" s="10">
        <v>1.5265E-4</v>
      </c>
      <c r="V8567" s="25"/>
      <c r="W8567" s="25"/>
      <c r="X8567" s="25"/>
      <c r="Y8567" s="25"/>
      <c r="Z8567" s="25"/>
      <c r="AA8567" s="25"/>
    </row>
    <row r="8568" spans="1:27" x14ac:dyDescent="0.35">
      <c r="A8568" s="5">
        <v>8564</v>
      </c>
      <c r="B8568" s="5">
        <v>357</v>
      </c>
      <c r="C8568" s="5">
        <v>12</v>
      </c>
      <c r="D8568" s="25">
        <v>1.1416E-4</v>
      </c>
      <c r="E8568" s="25">
        <v>1.0695E-4</v>
      </c>
      <c r="F8568" s="25">
        <v>1.3564E-4</v>
      </c>
      <c r="G8568" s="25">
        <v>1.1277000000000001E-4</v>
      </c>
      <c r="H8568" s="25">
        <v>2.756E-5</v>
      </c>
      <c r="I8568" s="9">
        <v>1.3693000000000001E-4</v>
      </c>
      <c r="J8568" s="9">
        <v>1.4469E-4</v>
      </c>
      <c r="K8568" s="9">
        <v>1.5470999999999999E-4</v>
      </c>
      <c r="L8568" s="9">
        <v>1.4149E-4</v>
      </c>
      <c r="M8568" s="9">
        <v>1.2531E-4</v>
      </c>
      <c r="N8568" s="9">
        <v>1.2082999999999999E-4</v>
      </c>
      <c r="O8568" s="9">
        <v>1.4369E-4</v>
      </c>
      <c r="P8568" s="9">
        <v>1.2131E-4</v>
      </c>
      <c r="Q8568" s="9">
        <v>1.0108E-4</v>
      </c>
      <c r="R8568" s="10">
        <v>1.9068033895270351E-4</v>
      </c>
      <c r="S8568" s="10">
        <v>1.8923422766955672E-4</v>
      </c>
      <c r="T8568" s="10">
        <v>0</v>
      </c>
      <c r="U8568" s="10">
        <v>1.5265E-4</v>
      </c>
      <c r="V8568" s="25"/>
      <c r="W8568" s="25"/>
      <c r="X8568" s="25"/>
      <c r="Y8568" s="25"/>
      <c r="Z8568" s="25"/>
      <c r="AA8568" s="25"/>
    </row>
    <row r="8569" spans="1:27" x14ac:dyDescent="0.35">
      <c r="A8569" s="5">
        <v>8565</v>
      </c>
      <c r="B8569" s="5">
        <v>357</v>
      </c>
      <c r="C8569" s="5">
        <v>12</v>
      </c>
      <c r="D8569" s="25">
        <v>1.1416E-4</v>
      </c>
      <c r="E8569" s="25">
        <v>1.0635E-4</v>
      </c>
      <c r="F8569" s="25">
        <v>1.3771000000000001E-4</v>
      </c>
      <c r="G8569" s="25">
        <v>6.1539999999999997E-5</v>
      </c>
      <c r="H8569" s="25">
        <v>1.6059999999999999E-5</v>
      </c>
      <c r="I8569" s="9">
        <v>1.3012000000000001E-4</v>
      </c>
      <c r="J8569" s="9">
        <v>1.3962999999999999E-4</v>
      </c>
      <c r="K8569" s="9">
        <v>1.5683E-4</v>
      </c>
      <c r="L8569" s="9">
        <v>1.4322E-4</v>
      </c>
      <c r="M8569" s="9">
        <v>1.2354E-4</v>
      </c>
      <c r="N8569" s="9">
        <v>1.1293E-4</v>
      </c>
      <c r="O8569" s="9">
        <v>8.4099999999999998E-5</v>
      </c>
      <c r="P8569" s="9">
        <v>8.5569999999999996E-5</v>
      </c>
      <c r="Q8569" s="9">
        <v>8.755E-5</v>
      </c>
      <c r="R8569" s="10">
        <v>1.972170405524013E-4</v>
      </c>
      <c r="S8569" s="10">
        <v>1.8920306213115394E-4</v>
      </c>
      <c r="T8569" s="10">
        <v>0</v>
      </c>
      <c r="U8569" s="10">
        <v>1.5265E-4</v>
      </c>
      <c r="V8569" s="25"/>
      <c r="W8569" s="25"/>
      <c r="X8569" s="25"/>
      <c r="Y8569" s="25"/>
      <c r="Z8569" s="25"/>
      <c r="AA8569" s="25"/>
    </row>
    <row r="8570" spans="1:27" x14ac:dyDescent="0.35">
      <c r="A8570" s="5">
        <v>8566</v>
      </c>
      <c r="B8570" s="5">
        <v>357</v>
      </c>
      <c r="C8570" s="5">
        <v>12</v>
      </c>
      <c r="D8570" s="25">
        <v>1.1416E-4</v>
      </c>
      <c r="E8570" s="25">
        <v>1.1268E-4</v>
      </c>
      <c r="F8570" s="25">
        <v>1.3893E-4</v>
      </c>
      <c r="G8570" s="25">
        <v>5.6589999999999999E-5</v>
      </c>
      <c r="H8570" s="25">
        <v>1.505E-5</v>
      </c>
      <c r="I8570" s="9">
        <v>1.238E-4</v>
      </c>
      <c r="J8570" s="9">
        <v>1.3144E-4</v>
      </c>
      <c r="K8570" s="9">
        <v>1.5683E-4</v>
      </c>
      <c r="L8570" s="9">
        <v>9.7059999999999996E-5</v>
      </c>
      <c r="M8570" s="9">
        <v>1.0938999999999999E-4</v>
      </c>
      <c r="N8570" s="9">
        <v>1.0516E-4</v>
      </c>
      <c r="O8570" s="9">
        <v>8.7230000000000003E-5</v>
      </c>
      <c r="P8570" s="9">
        <v>8.7280000000000005E-5</v>
      </c>
      <c r="Q8570" s="9">
        <v>8.7929999999999993E-5</v>
      </c>
      <c r="R8570" s="10">
        <v>2.017076214968745E-4</v>
      </c>
      <c r="S8570" s="10">
        <v>1.8995896510456983E-4</v>
      </c>
      <c r="T8570" s="10">
        <v>0</v>
      </c>
      <c r="U8570" s="10">
        <v>1.5265E-4</v>
      </c>
      <c r="V8570" s="25"/>
      <c r="W8570" s="25"/>
      <c r="X8570" s="25"/>
      <c r="Y8570" s="25"/>
      <c r="Z8570" s="25"/>
      <c r="AA8570" s="25"/>
    </row>
    <row r="8571" spans="1:27" x14ac:dyDescent="0.35">
      <c r="A8571" s="5">
        <v>8567</v>
      </c>
      <c r="B8571" s="5">
        <v>357</v>
      </c>
      <c r="C8571" s="5">
        <v>12</v>
      </c>
      <c r="D8571" s="25">
        <v>1.1416E-4</v>
      </c>
      <c r="E8571" s="25">
        <v>1.0787E-4</v>
      </c>
      <c r="F8571" s="25">
        <v>1.3567000000000001E-4</v>
      </c>
      <c r="G8571" s="25">
        <v>5.3029999999999999E-5</v>
      </c>
      <c r="H8571" s="25">
        <v>1.6019999999999999E-5</v>
      </c>
      <c r="I8571" s="9">
        <v>1.2426000000000001E-4</v>
      </c>
      <c r="J8571" s="9">
        <v>1.2176999999999999E-4</v>
      </c>
      <c r="K8571" s="9">
        <v>1.5894999999999999E-4</v>
      </c>
      <c r="L8571" s="9">
        <v>9.0669999999999998E-5</v>
      </c>
      <c r="M8571" s="9">
        <v>9.7639999999999994E-5</v>
      </c>
      <c r="N8571" s="9">
        <v>9.9300000000000001E-5</v>
      </c>
      <c r="O8571" s="9">
        <v>8.5610000000000002E-5</v>
      </c>
      <c r="P8571" s="9">
        <v>7.6219999999999999E-5</v>
      </c>
      <c r="Q8571" s="9">
        <v>6.7520000000000004E-5</v>
      </c>
      <c r="R8571" s="10">
        <v>2.0447263624017944E-4</v>
      </c>
      <c r="S8571" s="10">
        <v>1.9026169410565986E-4</v>
      </c>
      <c r="T8571" s="10">
        <v>0</v>
      </c>
      <c r="U8571" s="10">
        <v>1.5265E-4</v>
      </c>
      <c r="V8571" s="25"/>
      <c r="W8571" s="25"/>
      <c r="X8571" s="25"/>
      <c r="Y8571" s="25"/>
      <c r="Z8571" s="25"/>
      <c r="AA8571" s="25"/>
    </row>
    <row r="8572" spans="1:27" x14ac:dyDescent="0.35">
      <c r="A8572" s="5">
        <v>8568</v>
      </c>
      <c r="B8572" s="5">
        <v>357</v>
      </c>
      <c r="C8572" s="5">
        <v>12</v>
      </c>
      <c r="D8572" s="25">
        <v>1.1416E-4</v>
      </c>
      <c r="E8572" s="25">
        <v>1.0988E-4</v>
      </c>
      <c r="F8572" s="25">
        <v>1.3328999999999999E-4</v>
      </c>
      <c r="G8572" s="25">
        <v>6.1340000000000006E-5</v>
      </c>
      <c r="H8572" s="25">
        <v>1.401E-5</v>
      </c>
      <c r="I8572" s="9">
        <v>1.2307999999999999E-4</v>
      </c>
      <c r="J8572" s="9">
        <v>1.1365E-4</v>
      </c>
      <c r="K8572" s="9">
        <v>1.5048000000000001E-4</v>
      </c>
      <c r="L8572" s="9">
        <v>8.6940000000000004E-5</v>
      </c>
      <c r="M8572" s="9">
        <v>8.7180000000000002E-5</v>
      </c>
      <c r="N8572" s="9">
        <v>9.0260000000000007E-5</v>
      </c>
      <c r="O8572" s="9">
        <v>7.962E-5</v>
      </c>
      <c r="P8572" s="9">
        <v>6.9079999999999996E-5</v>
      </c>
      <c r="Q8572" s="9">
        <v>5.9129999999999998E-5</v>
      </c>
      <c r="R8572" s="10">
        <v>2.0606184049469921E-4</v>
      </c>
      <c r="S8572" s="10">
        <v>1.9029018437826721E-4</v>
      </c>
      <c r="T8572" s="10">
        <v>0</v>
      </c>
      <c r="U8572" s="10">
        <v>1.5265E-4</v>
      </c>
      <c r="V8572" s="25"/>
      <c r="W8572" s="25"/>
      <c r="X8572" s="25"/>
      <c r="Y8572" s="25"/>
      <c r="Z8572" s="25"/>
      <c r="AA8572" s="25"/>
    </row>
    <row r="8573" spans="1:27" x14ac:dyDescent="0.35">
      <c r="A8573" s="5">
        <v>8569</v>
      </c>
      <c r="B8573" s="5">
        <v>358</v>
      </c>
      <c r="C8573" s="5">
        <v>12</v>
      </c>
      <c r="D8573" s="25">
        <v>1.1416E-4</v>
      </c>
      <c r="E8573" s="25">
        <v>1.1086000000000001E-4</v>
      </c>
      <c r="F8573" s="25">
        <v>9.0080000000000005E-5</v>
      </c>
      <c r="G8573" s="25">
        <v>6.2030000000000001E-5</v>
      </c>
      <c r="H8573" s="25">
        <v>7.1400000000000001E-5</v>
      </c>
      <c r="I8573" s="9">
        <v>1.1669E-4</v>
      </c>
      <c r="J8573" s="9">
        <v>1.0650999999999999E-4</v>
      </c>
      <c r="K8573" s="9">
        <v>1.4622999999999999E-4</v>
      </c>
      <c r="L8573" s="9">
        <v>8.0989999999999995E-5</v>
      </c>
      <c r="M8573" s="9">
        <v>7.8319999999999996E-5</v>
      </c>
      <c r="N8573" s="9">
        <v>8.1009999999999999E-5</v>
      </c>
      <c r="O8573" s="9">
        <v>5.4799999999999997E-5</v>
      </c>
      <c r="P8573" s="9">
        <v>5.4209999999999998E-5</v>
      </c>
      <c r="Q8573" s="9">
        <v>5.3789999999999998E-5</v>
      </c>
      <c r="R8573" s="10">
        <v>2.0673101935774979E-4</v>
      </c>
      <c r="S8573" s="10">
        <v>1.9029018788875658E-4</v>
      </c>
      <c r="T8573" s="10">
        <v>0</v>
      </c>
      <c r="U8573" s="10">
        <v>1.5421E-4</v>
      </c>
      <c r="V8573" s="25"/>
      <c r="W8573" s="25"/>
      <c r="X8573" s="25"/>
      <c r="Y8573" s="25"/>
      <c r="Z8573" s="25"/>
      <c r="AA8573" s="25"/>
    </row>
    <row r="8574" spans="1:27" x14ac:dyDescent="0.35">
      <c r="A8574" s="5">
        <v>8570</v>
      </c>
      <c r="B8574" s="5">
        <v>358</v>
      </c>
      <c r="C8574" s="5">
        <v>12</v>
      </c>
      <c r="D8574" s="25">
        <v>1.1416E-4</v>
      </c>
      <c r="E8574" s="25">
        <v>1.1396999999999999E-4</v>
      </c>
      <c r="F8574" s="25">
        <v>1.0462E-4</v>
      </c>
      <c r="G8574" s="25">
        <v>6.0659999999999999E-5</v>
      </c>
      <c r="H8574" s="25">
        <v>7.5019999999999997E-5</v>
      </c>
      <c r="I8574" s="9">
        <v>1.1026E-4</v>
      </c>
      <c r="J8574" s="9">
        <v>1.0139E-4</v>
      </c>
      <c r="K8574" s="9">
        <v>1.4411E-4</v>
      </c>
      <c r="L8574" s="9">
        <v>6.071E-5</v>
      </c>
      <c r="M8574" s="9">
        <v>6.7559999999999997E-5</v>
      </c>
      <c r="N8574" s="9">
        <v>7.2089999999999996E-5</v>
      </c>
      <c r="O8574" s="9">
        <v>1.8430000000000001E-5</v>
      </c>
      <c r="P8574" s="9">
        <v>3.7790000000000002E-5</v>
      </c>
      <c r="Q8574" s="9">
        <v>5.6239999999999997E-5</v>
      </c>
      <c r="R8574" s="10">
        <v>2.0778826346685685E-4</v>
      </c>
      <c r="S8574" s="10">
        <v>1.902902013047266E-4</v>
      </c>
      <c r="T8574" s="10">
        <v>0</v>
      </c>
      <c r="U8574" s="10">
        <v>1.5421E-4</v>
      </c>
      <c r="V8574" s="25"/>
      <c r="W8574" s="25"/>
      <c r="X8574" s="25"/>
      <c r="Y8574" s="25"/>
      <c r="Z8574" s="25"/>
      <c r="AA8574" s="25"/>
    </row>
    <row r="8575" spans="1:27" x14ac:dyDescent="0.35">
      <c r="A8575" s="5">
        <v>8571</v>
      </c>
      <c r="B8575" s="5">
        <v>358</v>
      </c>
      <c r="C8575" s="5">
        <v>12</v>
      </c>
      <c r="D8575" s="25">
        <v>1.1416E-4</v>
      </c>
      <c r="E8575" s="25">
        <v>1.0839E-4</v>
      </c>
      <c r="F8575" s="25">
        <v>1.0397E-4</v>
      </c>
      <c r="G8575" s="25">
        <v>5.8619999999999998E-5</v>
      </c>
      <c r="H8575" s="25">
        <v>7.3529999999999996E-5</v>
      </c>
      <c r="I8575" s="9">
        <v>1.0582999999999999E-4</v>
      </c>
      <c r="J8575" s="9">
        <v>9.8410000000000001E-5</v>
      </c>
      <c r="K8575" s="9">
        <v>1.4412E-4</v>
      </c>
      <c r="L8575" s="9">
        <v>2.8289999999999998E-5</v>
      </c>
      <c r="M8575" s="9">
        <v>5.4190000000000001E-5</v>
      </c>
      <c r="N8575" s="9">
        <v>6.5610000000000004E-5</v>
      </c>
      <c r="O8575" s="9">
        <v>1.2860000000000001E-5</v>
      </c>
      <c r="P8575" s="9">
        <v>3.7780000000000001E-5</v>
      </c>
      <c r="Q8575" s="9">
        <v>6.1580000000000003E-5</v>
      </c>
      <c r="R8575" s="10">
        <v>2.0790321060633758E-4</v>
      </c>
      <c r="S8575" s="10">
        <v>1.9029020759484994E-4</v>
      </c>
      <c r="T8575" s="10">
        <v>0</v>
      </c>
      <c r="U8575" s="10">
        <v>1.5421E-4</v>
      </c>
      <c r="V8575" s="25"/>
      <c r="W8575" s="25"/>
      <c r="X8575" s="25"/>
      <c r="Y8575" s="25"/>
      <c r="Z8575" s="25"/>
      <c r="AA8575" s="25"/>
    </row>
    <row r="8576" spans="1:27" x14ac:dyDescent="0.35">
      <c r="A8576" s="5">
        <v>8572</v>
      </c>
      <c r="B8576" s="5">
        <v>358</v>
      </c>
      <c r="C8576" s="5">
        <v>12</v>
      </c>
      <c r="D8576" s="25">
        <v>1.1416E-4</v>
      </c>
      <c r="E8576" s="25">
        <v>1.1318E-4</v>
      </c>
      <c r="F8576" s="25">
        <v>9.8109999999999994E-5</v>
      </c>
      <c r="G8576" s="25">
        <v>5.2460000000000003E-5</v>
      </c>
      <c r="H8576" s="25">
        <v>6.9549999999999996E-5</v>
      </c>
      <c r="I8576" s="9">
        <v>1.0318E-4</v>
      </c>
      <c r="J8576" s="9">
        <v>9.7250000000000006E-5</v>
      </c>
      <c r="K8576" s="9">
        <v>1.3564E-4</v>
      </c>
      <c r="L8576" s="9">
        <v>1.713E-5</v>
      </c>
      <c r="M8576" s="9">
        <v>4.5059999999999999E-5</v>
      </c>
      <c r="N8576" s="9">
        <v>6.2050000000000004E-5</v>
      </c>
      <c r="O8576" s="9">
        <v>1.2979999999999999E-5</v>
      </c>
      <c r="P8576" s="9">
        <v>4.7660000000000001E-5</v>
      </c>
      <c r="Q8576" s="9">
        <v>8.1050000000000005E-5</v>
      </c>
      <c r="R8576" s="10">
        <v>2.069703516074941E-4</v>
      </c>
      <c r="S8576" s="10">
        <v>1.9029020759484994E-4</v>
      </c>
      <c r="T8576" s="10">
        <v>0</v>
      </c>
      <c r="U8576" s="10">
        <v>1.5421E-4</v>
      </c>
      <c r="V8576" s="25"/>
      <c r="W8576" s="25"/>
      <c r="X8576" s="25"/>
      <c r="Y8576" s="25"/>
      <c r="Z8576" s="25"/>
      <c r="AA8576" s="25"/>
    </row>
    <row r="8577" spans="1:27" x14ac:dyDescent="0.35">
      <c r="A8577" s="5">
        <v>8573</v>
      </c>
      <c r="B8577" s="5">
        <v>358</v>
      </c>
      <c r="C8577" s="5">
        <v>12</v>
      </c>
      <c r="D8577" s="25">
        <v>1.1416E-4</v>
      </c>
      <c r="E8577" s="25">
        <v>1.0599000000000001E-4</v>
      </c>
      <c r="F8577" s="25">
        <v>9.7310000000000002E-5</v>
      </c>
      <c r="G8577" s="25">
        <v>5.4839999999999997E-5</v>
      </c>
      <c r="H8577" s="25">
        <v>7.0959999999999998E-5</v>
      </c>
      <c r="I8577" s="9">
        <v>1.033E-4</v>
      </c>
      <c r="J8577" s="9">
        <v>9.7540000000000005E-5</v>
      </c>
      <c r="K8577" s="9">
        <v>1.3776000000000001E-4</v>
      </c>
      <c r="L8577" s="9">
        <v>1.4070000000000001E-5</v>
      </c>
      <c r="M8577" s="9">
        <v>4.3980000000000002E-5</v>
      </c>
      <c r="N8577" s="9">
        <v>6.4720000000000004E-5</v>
      </c>
      <c r="O8577" s="9">
        <v>1.8340000000000001E-5</v>
      </c>
      <c r="P8577" s="9">
        <v>5.6419999999999999E-5</v>
      </c>
      <c r="Q8577" s="9">
        <v>9.3300000000000005E-5</v>
      </c>
      <c r="R8577" s="10">
        <v>2.0732849057773233E-4</v>
      </c>
      <c r="S8577" s="10">
        <v>1.9029020759484994E-4</v>
      </c>
      <c r="T8577" s="10">
        <v>0</v>
      </c>
      <c r="U8577" s="10">
        <v>1.5421E-4</v>
      </c>
      <c r="V8577" s="25"/>
      <c r="W8577" s="25"/>
      <c r="X8577" s="25"/>
      <c r="Y8577" s="25"/>
      <c r="Z8577" s="25"/>
      <c r="AA8577" s="25"/>
    </row>
    <row r="8578" spans="1:27" x14ac:dyDescent="0.35">
      <c r="A8578" s="5">
        <v>8574</v>
      </c>
      <c r="B8578" s="5">
        <v>358</v>
      </c>
      <c r="C8578" s="5">
        <v>12</v>
      </c>
      <c r="D8578" s="25">
        <v>1.1416E-4</v>
      </c>
      <c r="E8578" s="25">
        <v>1.0592E-4</v>
      </c>
      <c r="F8578" s="25">
        <v>8.5660000000000003E-5</v>
      </c>
      <c r="G8578" s="25">
        <v>1.1331E-4</v>
      </c>
      <c r="H8578" s="25">
        <v>1.3281999999999999E-4</v>
      </c>
      <c r="I8578" s="9">
        <v>1.0781999999999999E-4</v>
      </c>
      <c r="J8578" s="9">
        <v>1.0131E-4</v>
      </c>
      <c r="K8578" s="9">
        <v>1.4200000000000001E-4</v>
      </c>
      <c r="L8578" s="9">
        <v>1.7260000000000001E-5</v>
      </c>
      <c r="M8578" s="9">
        <v>4.8560000000000003E-5</v>
      </c>
      <c r="N8578" s="9">
        <v>7.1149999999999995E-5</v>
      </c>
      <c r="O8578" s="9">
        <v>4.6010000000000002E-5</v>
      </c>
      <c r="P8578" s="9">
        <v>7.6559999999999999E-5</v>
      </c>
      <c r="Q8578" s="9">
        <v>1.0661E-4</v>
      </c>
      <c r="R8578" s="10">
        <v>2.0836230838126594E-4</v>
      </c>
      <c r="S8578" s="10">
        <v>1.9029020759484994E-4</v>
      </c>
      <c r="T8578" s="10">
        <v>0</v>
      </c>
      <c r="U8578" s="10">
        <v>1.5421E-4</v>
      </c>
      <c r="V8578" s="25"/>
      <c r="W8578" s="25"/>
      <c r="X8578" s="25"/>
      <c r="Y8578" s="25"/>
      <c r="Z8578" s="25"/>
      <c r="AA8578" s="25"/>
    </row>
    <row r="8579" spans="1:27" x14ac:dyDescent="0.35">
      <c r="A8579" s="5">
        <v>8575</v>
      </c>
      <c r="B8579" s="5">
        <v>358</v>
      </c>
      <c r="C8579" s="5">
        <v>12</v>
      </c>
      <c r="D8579" s="25">
        <v>1.1416E-4</v>
      </c>
      <c r="E8579" s="25">
        <v>1.0569E-4</v>
      </c>
      <c r="F8579" s="25">
        <v>8.4129999999999996E-5</v>
      </c>
      <c r="G8579" s="25">
        <v>1.0525E-4</v>
      </c>
      <c r="H8579" s="25">
        <v>1.3142000000000001E-4</v>
      </c>
      <c r="I8579" s="9">
        <v>1.1851E-4</v>
      </c>
      <c r="J8579" s="9">
        <v>1.1133000000000001E-4</v>
      </c>
      <c r="K8579" s="9">
        <v>1.4200000000000001E-4</v>
      </c>
      <c r="L8579" s="9">
        <v>3.9539999999999998E-5</v>
      </c>
      <c r="M8579" s="9">
        <v>5.9929999999999997E-5</v>
      </c>
      <c r="N8579" s="9">
        <v>8.0729999999999994E-5</v>
      </c>
      <c r="O8579" s="9">
        <v>1.2412999999999999E-4</v>
      </c>
      <c r="P8579" s="9">
        <v>1.1747E-4</v>
      </c>
      <c r="Q8579" s="9">
        <v>1.1252999999999999E-4</v>
      </c>
      <c r="R8579" s="10">
        <v>2.0938176635132107E-4</v>
      </c>
      <c r="S8579" s="10">
        <v>1.9029020759484994E-4</v>
      </c>
      <c r="T8579" s="10">
        <v>0</v>
      </c>
      <c r="U8579" s="10">
        <v>1.5421E-4</v>
      </c>
      <c r="V8579" s="25"/>
      <c r="W8579" s="25"/>
      <c r="X8579" s="25"/>
      <c r="Y8579" s="25"/>
      <c r="Z8579" s="25"/>
      <c r="AA8579" s="25"/>
    </row>
    <row r="8580" spans="1:27" x14ac:dyDescent="0.35">
      <c r="A8580" s="5">
        <v>8576</v>
      </c>
      <c r="B8580" s="5">
        <v>358</v>
      </c>
      <c r="C8580" s="5">
        <v>12</v>
      </c>
      <c r="D8580" s="25">
        <v>1.1416E-4</v>
      </c>
      <c r="E8580" s="25">
        <v>1.0787E-4</v>
      </c>
      <c r="F8580" s="25">
        <v>8.721E-5</v>
      </c>
      <c r="G8580" s="25">
        <v>1.6393000000000001E-4</v>
      </c>
      <c r="H8580" s="25">
        <v>1.9788E-4</v>
      </c>
      <c r="I8580" s="9">
        <v>1.2846E-4</v>
      </c>
      <c r="J8580" s="9">
        <v>1.2798E-4</v>
      </c>
      <c r="K8580" s="9">
        <v>1.4835E-4</v>
      </c>
      <c r="L8580" s="9">
        <v>1.049E-4</v>
      </c>
      <c r="M8580" s="9">
        <v>8.3599999999999999E-5</v>
      </c>
      <c r="N8580" s="9">
        <v>9.0810000000000006E-5</v>
      </c>
      <c r="O8580" s="9">
        <v>2.2058000000000001E-4</v>
      </c>
      <c r="P8580" s="9">
        <v>1.7615999999999999E-4</v>
      </c>
      <c r="Q8580" s="9">
        <v>1.3609000000000001E-4</v>
      </c>
      <c r="R8580" s="10">
        <v>2.0938897748123004E-4</v>
      </c>
      <c r="S8580" s="10">
        <v>1.9029020759484994E-4</v>
      </c>
      <c r="T8580" s="10">
        <v>0</v>
      </c>
      <c r="U8580" s="10">
        <v>1.5421E-4</v>
      </c>
      <c r="V8580" s="25"/>
      <c r="W8580" s="25"/>
      <c r="X8580" s="25"/>
      <c r="Y8580" s="25"/>
      <c r="Z8580" s="25"/>
      <c r="AA8580" s="25"/>
    </row>
    <row r="8581" spans="1:27" x14ac:dyDescent="0.35">
      <c r="A8581" s="5">
        <v>8577</v>
      </c>
      <c r="B8581" s="5">
        <v>358</v>
      </c>
      <c r="C8581" s="5">
        <v>12</v>
      </c>
      <c r="D8581" s="25">
        <v>1.1416E-4</v>
      </c>
      <c r="E8581" s="25">
        <v>1.0429000000000001E-4</v>
      </c>
      <c r="F8581" s="25">
        <v>9.7230000000000003E-5</v>
      </c>
      <c r="G8581" s="25">
        <v>1.6269E-4</v>
      </c>
      <c r="H8581" s="25">
        <v>2.0199000000000001E-4</v>
      </c>
      <c r="I8581" s="9">
        <v>1.3451000000000001E-4</v>
      </c>
      <c r="J8581" s="9">
        <v>1.4148000000000001E-4</v>
      </c>
      <c r="K8581" s="9">
        <v>1.5894999999999999E-4</v>
      </c>
      <c r="L8581" s="9">
        <v>1.9333999999999999E-4</v>
      </c>
      <c r="M8581" s="9">
        <v>1.2305000000000001E-4</v>
      </c>
      <c r="N8581" s="9">
        <v>1.044E-4</v>
      </c>
      <c r="O8581" s="9">
        <v>2.1374E-4</v>
      </c>
      <c r="P8581" s="9">
        <v>1.9362000000000001E-4</v>
      </c>
      <c r="Q8581" s="9">
        <v>1.7731999999999999E-4</v>
      </c>
      <c r="R8581" s="10">
        <v>2.1049284535155916E-4</v>
      </c>
      <c r="S8581" s="10">
        <v>1.9029020759484994E-4</v>
      </c>
      <c r="T8581" s="10">
        <v>0</v>
      </c>
      <c r="U8581" s="10">
        <v>1.5421E-4</v>
      </c>
      <c r="V8581" s="25"/>
      <c r="W8581" s="25"/>
      <c r="X8581" s="25"/>
      <c r="Y8581" s="25"/>
      <c r="Z8581" s="25"/>
      <c r="AA8581" s="25"/>
    </row>
    <row r="8582" spans="1:27" x14ac:dyDescent="0.35">
      <c r="A8582" s="5">
        <v>8578</v>
      </c>
      <c r="B8582" s="5">
        <v>358</v>
      </c>
      <c r="C8582" s="5">
        <v>12</v>
      </c>
      <c r="D8582" s="25">
        <v>1.1416E-4</v>
      </c>
      <c r="E8582" s="25">
        <v>1.1082999999999999E-4</v>
      </c>
      <c r="F8582" s="25">
        <v>8.7109999999999998E-5</v>
      </c>
      <c r="G8582" s="25">
        <v>1.6451000000000001E-4</v>
      </c>
      <c r="H8582" s="25">
        <v>1.9341000000000001E-4</v>
      </c>
      <c r="I8582" s="9">
        <v>1.3422E-4</v>
      </c>
      <c r="J8582" s="9">
        <v>1.4553E-4</v>
      </c>
      <c r="K8582" s="9">
        <v>1.3988E-4</v>
      </c>
      <c r="L8582" s="9">
        <v>2.0693E-4</v>
      </c>
      <c r="M8582" s="9">
        <v>1.5845E-4</v>
      </c>
      <c r="N8582" s="9">
        <v>1.2449999999999999E-4</v>
      </c>
      <c r="O8582" s="9">
        <v>1.6726999999999999E-4</v>
      </c>
      <c r="P8582" s="9">
        <v>1.7276999999999999E-4</v>
      </c>
      <c r="Q8582" s="9">
        <v>1.8071E-4</v>
      </c>
      <c r="R8582" s="10">
        <v>2.1180509787648987E-4</v>
      </c>
      <c r="S8582" s="10">
        <v>1.9029020759484994E-4</v>
      </c>
      <c r="T8582" s="10">
        <v>2.6581309863996504E-5</v>
      </c>
      <c r="U8582" s="10">
        <v>1.5421E-4</v>
      </c>
      <c r="V8582" s="25"/>
      <c r="W8582" s="25"/>
      <c r="X8582" s="25"/>
      <c r="Y8582" s="25"/>
      <c r="Z8582" s="25"/>
      <c r="AA8582" s="25"/>
    </row>
    <row r="8583" spans="1:27" x14ac:dyDescent="0.35">
      <c r="A8583" s="5">
        <v>8579</v>
      </c>
      <c r="B8583" s="5">
        <v>358</v>
      </c>
      <c r="C8583" s="5">
        <v>12</v>
      </c>
      <c r="D8583" s="25">
        <v>1.1416E-4</v>
      </c>
      <c r="E8583" s="25">
        <v>1.0518000000000001E-4</v>
      </c>
      <c r="F8583" s="25">
        <v>1.0113E-4</v>
      </c>
      <c r="G8583" s="25">
        <v>1.6195000000000001E-4</v>
      </c>
      <c r="H8583" s="25">
        <v>2.0125000000000001E-4</v>
      </c>
      <c r="I8583" s="9">
        <v>1.3287999999999999E-4</v>
      </c>
      <c r="J8583" s="9">
        <v>1.4626999999999999E-4</v>
      </c>
      <c r="K8583" s="9">
        <v>1.3352000000000001E-4</v>
      </c>
      <c r="L8583" s="9">
        <v>1.7604E-4</v>
      </c>
      <c r="M8583" s="9">
        <v>1.7181999999999999E-4</v>
      </c>
      <c r="N8583" s="9">
        <v>1.4228999999999999E-4</v>
      </c>
      <c r="O8583" s="9">
        <v>1.6786000000000001E-4</v>
      </c>
      <c r="P8583" s="9">
        <v>1.7202999999999999E-4</v>
      </c>
      <c r="Q8583" s="9">
        <v>1.7867999999999999E-4</v>
      </c>
      <c r="R8583" s="10">
        <v>2.1229535585397868E-4</v>
      </c>
      <c r="S8583" s="10">
        <v>1.9029020692582104E-4</v>
      </c>
      <c r="T8583" s="10">
        <v>1.7079743021771899E-4</v>
      </c>
      <c r="U8583" s="10">
        <v>1.5421E-4</v>
      </c>
      <c r="V8583" s="25"/>
      <c r="W8583" s="25"/>
      <c r="X8583" s="25"/>
      <c r="Y8583" s="25"/>
      <c r="Z8583" s="25"/>
      <c r="AA8583" s="25"/>
    </row>
    <row r="8584" spans="1:27" x14ac:dyDescent="0.35">
      <c r="A8584" s="5">
        <v>8580</v>
      </c>
      <c r="B8584" s="5">
        <v>358</v>
      </c>
      <c r="C8584" s="5">
        <v>12</v>
      </c>
      <c r="D8584" s="25">
        <v>1.1416E-4</v>
      </c>
      <c r="E8584" s="25">
        <v>1.0475E-4</v>
      </c>
      <c r="F8584" s="25">
        <v>9.6589999999999995E-5</v>
      </c>
      <c r="G8584" s="25">
        <v>1.6416E-4</v>
      </c>
      <c r="H8584" s="25">
        <v>2.0117999999999999E-4</v>
      </c>
      <c r="I8584" s="9">
        <v>1.3231000000000001E-4</v>
      </c>
      <c r="J8584" s="9">
        <v>1.4554999999999999E-4</v>
      </c>
      <c r="K8584" s="9">
        <v>1.3352000000000001E-4</v>
      </c>
      <c r="L8584" s="9">
        <v>1.7112E-4</v>
      </c>
      <c r="M8584" s="9">
        <v>1.7411999999999999E-4</v>
      </c>
      <c r="N8584" s="9">
        <v>1.5622999999999999E-4</v>
      </c>
      <c r="O8584" s="9">
        <v>1.7210000000000001E-4</v>
      </c>
      <c r="P8584" s="9">
        <v>1.7216000000000001E-4</v>
      </c>
      <c r="Q8584" s="9">
        <v>1.7484E-4</v>
      </c>
      <c r="R8584" s="10">
        <v>2.1222492457683684E-4</v>
      </c>
      <c r="S8584" s="10">
        <v>1.9029020759484994E-4</v>
      </c>
      <c r="T8584" s="10">
        <v>4.0325874811227382E-4</v>
      </c>
      <c r="U8584" s="10">
        <v>1.5421E-4</v>
      </c>
      <c r="V8584" s="25"/>
      <c r="W8584" s="25"/>
      <c r="X8584" s="25"/>
      <c r="Y8584" s="25"/>
      <c r="Z8584" s="25"/>
      <c r="AA8584" s="25"/>
    </row>
    <row r="8585" spans="1:27" x14ac:dyDescent="0.35">
      <c r="A8585" s="5">
        <v>8581</v>
      </c>
      <c r="B8585" s="5">
        <v>358</v>
      </c>
      <c r="C8585" s="5">
        <v>12</v>
      </c>
      <c r="D8585" s="25">
        <v>1.1416E-4</v>
      </c>
      <c r="E8585" s="25">
        <v>1.1451999999999999E-4</v>
      </c>
      <c r="F8585" s="25">
        <v>9.1310000000000005E-5</v>
      </c>
      <c r="G8585" s="25">
        <v>1.6342E-4</v>
      </c>
      <c r="H8585" s="25">
        <v>1.9165E-4</v>
      </c>
      <c r="I8585" s="9">
        <v>1.2962E-4</v>
      </c>
      <c r="J8585" s="9">
        <v>1.4337E-4</v>
      </c>
      <c r="K8585" s="9">
        <v>1.314E-4</v>
      </c>
      <c r="L8585" s="9">
        <v>1.7205000000000001E-4</v>
      </c>
      <c r="M8585" s="9">
        <v>1.7352000000000001E-4</v>
      </c>
      <c r="N8585" s="9">
        <v>1.6590999999999999E-4</v>
      </c>
      <c r="O8585" s="9">
        <v>1.6164E-4</v>
      </c>
      <c r="P8585" s="9">
        <v>1.6260999999999999E-4</v>
      </c>
      <c r="Q8585" s="9">
        <v>1.6598000000000001E-4</v>
      </c>
      <c r="R8585" s="10">
        <v>2.124033908051218E-4</v>
      </c>
      <c r="S8585" s="10">
        <v>1.9028995934540954E-4</v>
      </c>
      <c r="T8585" s="10">
        <v>3.400167807563115E-4</v>
      </c>
      <c r="U8585" s="10">
        <v>1.5421E-4</v>
      </c>
      <c r="V8585" s="25"/>
      <c r="W8585" s="25"/>
      <c r="X8585" s="25"/>
      <c r="Y8585" s="25"/>
      <c r="Z8585" s="25"/>
      <c r="AA8585" s="25"/>
    </row>
    <row r="8586" spans="1:27" x14ac:dyDescent="0.35">
      <c r="A8586" s="5">
        <v>8582</v>
      </c>
      <c r="B8586" s="5">
        <v>358</v>
      </c>
      <c r="C8586" s="5">
        <v>12</v>
      </c>
      <c r="D8586" s="25">
        <v>1.1416E-4</v>
      </c>
      <c r="E8586" s="25">
        <v>1.1226E-4</v>
      </c>
      <c r="F8586" s="25">
        <v>9.9630000000000007E-5</v>
      </c>
      <c r="G8586" s="25">
        <v>1.5699999999999999E-4</v>
      </c>
      <c r="H8586" s="25">
        <v>1.9482000000000001E-4</v>
      </c>
      <c r="I8586" s="9">
        <v>1.2828000000000001E-4</v>
      </c>
      <c r="J8586" s="9">
        <v>1.4202E-4</v>
      </c>
      <c r="K8586" s="9">
        <v>1.3352000000000001E-4</v>
      </c>
      <c r="L8586" s="9">
        <v>1.6363E-4</v>
      </c>
      <c r="M8586" s="9">
        <v>1.6943000000000001E-4</v>
      </c>
      <c r="N8586" s="9">
        <v>1.6998E-4</v>
      </c>
      <c r="O8586" s="9">
        <v>1.8094000000000001E-4</v>
      </c>
      <c r="P8586" s="9">
        <v>1.6987999999999999E-4</v>
      </c>
      <c r="Q8586" s="9">
        <v>1.618E-4</v>
      </c>
      <c r="R8586" s="10">
        <v>2.1242570345887733E-4</v>
      </c>
      <c r="S8586" s="10">
        <v>1.9028691813596194E-4</v>
      </c>
      <c r="T8586" s="10">
        <v>2.8099151017736999E-4</v>
      </c>
      <c r="U8586" s="10">
        <v>1.5421E-4</v>
      </c>
      <c r="V8586" s="25"/>
      <c r="W8586" s="25"/>
      <c r="X8586" s="25"/>
      <c r="Y8586" s="25"/>
      <c r="Z8586" s="25"/>
      <c r="AA8586" s="25"/>
    </row>
    <row r="8587" spans="1:27" x14ac:dyDescent="0.35">
      <c r="A8587" s="5">
        <v>8583</v>
      </c>
      <c r="B8587" s="5">
        <v>358</v>
      </c>
      <c r="C8587" s="5">
        <v>12</v>
      </c>
      <c r="D8587" s="25">
        <v>1.1416E-4</v>
      </c>
      <c r="E8587" s="25">
        <v>1.0560000000000001E-4</v>
      </c>
      <c r="F8587" s="25">
        <v>9.4199999999999999E-5</v>
      </c>
      <c r="G8587" s="25">
        <v>1.574E-4</v>
      </c>
      <c r="H8587" s="25">
        <v>2.0112E-4</v>
      </c>
      <c r="I8587" s="9">
        <v>1.2585999999999999E-4</v>
      </c>
      <c r="J8587" s="9">
        <v>1.3975000000000001E-4</v>
      </c>
      <c r="K8587" s="9">
        <v>1.4836E-4</v>
      </c>
      <c r="L8587" s="9">
        <v>1.7734000000000001E-4</v>
      </c>
      <c r="M8587" s="9">
        <v>1.6841E-4</v>
      </c>
      <c r="N8587" s="9">
        <v>1.6980000000000001E-4</v>
      </c>
      <c r="O8587" s="9">
        <v>1.8352E-4</v>
      </c>
      <c r="P8587" s="9">
        <v>1.6579E-4</v>
      </c>
      <c r="Q8587" s="9">
        <v>1.5123E-4</v>
      </c>
      <c r="R8587" s="10">
        <v>2.1244517541902622E-4</v>
      </c>
      <c r="S8587" s="10">
        <v>1.9027899820254381E-4</v>
      </c>
      <c r="T8587" s="10">
        <v>8.5716876334489842E-5</v>
      </c>
      <c r="U8587" s="10">
        <v>1.5421E-4</v>
      </c>
      <c r="V8587" s="25"/>
      <c r="W8587" s="25"/>
      <c r="X8587" s="25"/>
      <c r="Y8587" s="25"/>
      <c r="Z8587" s="25"/>
      <c r="AA8587" s="25"/>
    </row>
    <row r="8588" spans="1:27" x14ac:dyDescent="0.35">
      <c r="A8588" s="5">
        <v>8584</v>
      </c>
      <c r="B8588" s="5">
        <v>358</v>
      </c>
      <c r="C8588" s="5">
        <v>12</v>
      </c>
      <c r="D8588" s="25">
        <v>1.1416E-4</v>
      </c>
      <c r="E8588" s="25">
        <v>1.1414E-4</v>
      </c>
      <c r="F8588" s="25">
        <v>1.0386E-4</v>
      </c>
      <c r="G8588" s="25">
        <v>1.6296999999999999E-4</v>
      </c>
      <c r="H8588" s="25">
        <v>1.9976999999999999E-4</v>
      </c>
      <c r="I8588" s="9">
        <v>1.2622999999999999E-4</v>
      </c>
      <c r="J8588" s="9">
        <v>1.3841999999999999E-4</v>
      </c>
      <c r="K8588" s="9">
        <v>1.7166999999999999E-4</v>
      </c>
      <c r="L8588" s="9">
        <v>1.8181E-4</v>
      </c>
      <c r="M8588" s="9">
        <v>1.673E-4</v>
      </c>
      <c r="N8588" s="9">
        <v>1.6573E-4</v>
      </c>
      <c r="O8588" s="9">
        <v>1.9921000000000001E-4</v>
      </c>
      <c r="P8588" s="9">
        <v>1.5255999999999999E-4</v>
      </c>
      <c r="Q8588" s="9">
        <v>1.0983E-4</v>
      </c>
      <c r="R8588" s="10">
        <v>2.1244885339199925E-4</v>
      </c>
      <c r="S8588" s="10">
        <v>1.9013218642775651E-4</v>
      </c>
      <c r="T8588" s="10">
        <v>0</v>
      </c>
      <c r="U8588" s="10">
        <v>1.5421E-4</v>
      </c>
      <c r="V8588" s="25"/>
      <c r="W8588" s="25"/>
      <c r="X8588" s="25"/>
      <c r="Y8588" s="25"/>
      <c r="Z8588" s="25"/>
      <c r="AA8588" s="25"/>
    </row>
    <row r="8589" spans="1:27" x14ac:dyDescent="0.35">
      <c r="A8589" s="5">
        <v>8585</v>
      </c>
      <c r="B8589" s="5">
        <v>358</v>
      </c>
      <c r="C8589" s="5">
        <v>12</v>
      </c>
      <c r="D8589" s="25">
        <v>1.1416E-4</v>
      </c>
      <c r="E8589" s="25">
        <v>1.108E-4</v>
      </c>
      <c r="F8589" s="25">
        <v>8.4820000000000004E-5</v>
      </c>
      <c r="G8589" s="25">
        <v>1.5656000000000001E-4</v>
      </c>
      <c r="H8589" s="25">
        <v>1.9631999999999999E-4</v>
      </c>
      <c r="I8589" s="9">
        <v>1.2912000000000001E-4</v>
      </c>
      <c r="J8589" s="9">
        <v>1.4189000000000001E-4</v>
      </c>
      <c r="K8589" s="9">
        <v>2.0346000000000001E-4</v>
      </c>
      <c r="L8589" s="9">
        <v>1.9519000000000001E-4</v>
      </c>
      <c r="M8589" s="9">
        <v>1.618E-4</v>
      </c>
      <c r="N8589" s="9">
        <v>1.5212E-4</v>
      </c>
      <c r="O8589" s="9">
        <v>2.1757999999999999E-4</v>
      </c>
      <c r="P8589" s="9">
        <v>1.6055E-4</v>
      </c>
      <c r="Q8589" s="9">
        <v>1.0799E-4</v>
      </c>
      <c r="R8589" s="10">
        <v>2.1244936787709023E-4</v>
      </c>
      <c r="S8589" s="10">
        <v>1.900550735109079E-4</v>
      </c>
      <c r="T8589" s="10">
        <v>0</v>
      </c>
      <c r="U8589" s="10">
        <v>1.5421E-4</v>
      </c>
      <c r="V8589" s="25"/>
      <c r="W8589" s="25"/>
      <c r="X8589" s="25"/>
      <c r="Y8589" s="25"/>
      <c r="Z8589" s="25"/>
      <c r="AA8589" s="25"/>
    </row>
    <row r="8590" spans="1:27" x14ac:dyDescent="0.35">
      <c r="A8590" s="5">
        <v>8586</v>
      </c>
      <c r="B8590" s="5">
        <v>358</v>
      </c>
      <c r="C8590" s="5">
        <v>12</v>
      </c>
      <c r="D8590" s="25">
        <v>1.1416E-4</v>
      </c>
      <c r="E8590" s="25">
        <v>1.1328999999999999E-4</v>
      </c>
      <c r="F8590" s="25">
        <v>8.6810000000000004E-5</v>
      </c>
      <c r="G8590" s="25">
        <v>1.6059000000000001E-4</v>
      </c>
      <c r="H8590" s="25">
        <v>1.9406E-4</v>
      </c>
      <c r="I8590" s="9">
        <v>1.3666000000000001E-4</v>
      </c>
      <c r="J8590" s="9">
        <v>1.5003E-4</v>
      </c>
      <c r="K8590" s="9">
        <v>2.2677E-4</v>
      </c>
      <c r="L8590" s="9">
        <v>2.1238999999999999E-4</v>
      </c>
      <c r="M8590" s="9">
        <v>1.5982999999999999E-4</v>
      </c>
      <c r="N8590" s="9">
        <v>1.3902000000000001E-4</v>
      </c>
      <c r="O8590" s="9">
        <v>2.0691000000000001E-4</v>
      </c>
      <c r="P8590" s="9">
        <v>1.6016000000000001E-4</v>
      </c>
      <c r="Q8590" s="9">
        <v>1.1751E-4</v>
      </c>
      <c r="R8590" s="10">
        <v>2.1244936787709023E-4</v>
      </c>
      <c r="S8590" s="10">
        <v>1.9009428162279981E-4</v>
      </c>
      <c r="T8590" s="10">
        <v>0</v>
      </c>
      <c r="U8590" s="10">
        <v>1.5421E-4</v>
      </c>
      <c r="V8590" s="25"/>
      <c r="W8590" s="25"/>
      <c r="X8590" s="25"/>
      <c r="Y8590" s="25"/>
      <c r="Z8590" s="25"/>
      <c r="AA8590" s="25"/>
    </row>
    <row r="8591" spans="1:27" x14ac:dyDescent="0.35">
      <c r="A8591" s="5">
        <v>8587</v>
      </c>
      <c r="B8591" s="5">
        <v>358</v>
      </c>
      <c r="C8591" s="5">
        <v>12</v>
      </c>
      <c r="D8591" s="25">
        <v>1.1416E-4</v>
      </c>
      <c r="E8591" s="25">
        <v>1.1444E-4</v>
      </c>
      <c r="F8591" s="25">
        <v>9.2600000000000001E-5</v>
      </c>
      <c r="G8591" s="25">
        <v>1.0479E-4</v>
      </c>
      <c r="H8591" s="25">
        <v>1.3210000000000001E-4</v>
      </c>
      <c r="I8591" s="9">
        <v>1.3559999999999999E-4</v>
      </c>
      <c r="J8591" s="9">
        <v>1.4527999999999999E-4</v>
      </c>
      <c r="K8591" s="9">
        <v>2.3525E-4</v>
      </c>
      <c r="L8591" s="9">
        <v>2.0766E-4</v>
      </c>
      <c r="M8591" s="9">
        <v>1.5961E-4</v>
      </c>
      <c r="N8591" s="9">
        <v>1.2999999999999999E-4</v>
      </c>
      <c r="O8591" s="9">
        <v>1.6496999999999999E-4</v>
      </c>
      <c r="P8591" s="9">
        <v>1.3430000000000001E-4</v>
      </c>
      <c r="Q8591" s="9">
        <v>1.066E-4</v>
      </c>
      <c r="R8591" s="10">
        <v>2.1244936787709023E-4</v>
      </c>
      <c r="S8591" s="10">
        <v>1.9023549171360944E-4</v>
      </c>
      <c r="T8591" s="10">
        <v>0</v>
      </c>
      <c r="U8591" s="10">
        <v>1.5421E-4</v>
      </c>
      <c r="V8591" s="25"/>
      <c r="W8591" s="25"/>
      <c r="X8591" s="25"/>
      <c r="Y8591" s="25"/>
      <c r="Z8591" s="25"/>
      <c r="AA8591" s="25"/>
    </row>
    <row r="8592" spans="1:27" x14ac:dyDescent="0.35">
      <c r="A8592" s="5">
        <v>8588</v>
      </c>
      <c r="B8592" s="5">
        <v>358</v>
      </c>
      <c r="C8592" s="5">
        <v>12</v>
      </c>
      <c r="D8592" s="25">
        <v>1.1416E-4</v>
      </c>
      <c r="E8592" s="25">
        <v>1.1082999999999999E-4</v>
      </c>
      <c r="F8592" s="25">
        <v>8.4590000000000002E-5</v>
      </c>
      <c r="G8592" s="25">
        <v>1.0998E-4</v>
      </c>
      <c r="H8592" s="25">
        <v>1.3046999999999999E-4</v>
      </c>
      <c r="I8592" s="9">
        <v>1.3032000000000001E-4</v>
      </c>
      <c r="J8592" s="9">
        <v>1.4004999999999999E-4</v>
      </c>
      <c r="K8592" s="9">
        <v>2.6067000000000001E-4</v>
      </c>
      <c r="L8592" s="9">
        <v>1.7458E-4</v>
      </c>
      <c r="M8592" s="9">
        <v>1.5058000000000001E-4</v>
      </c>
      <c r="N8592" s="9">
        <v>1.208E-4</v>
      </c>
      <c r="O8592" s="9">
        <v>1.3004999999999999E-4</v>
      </c>
      <c r="P8592" s="9">
        <v>1.1508E-4</v>
      </c>
      <c r="Q8592" s="9">
        <v>1.0208999999999999E-4</v>
      </c>
      <c r="R8592" s="10">
        <v>2.1244871967308489E-4</v>
      </c>
      <c r="S8592" s="10">
        <v>1.9029016287341362E-4</v>
      </c>
      <c r="T8592" s="10">
        <v>0</v>
      </c>
      <c r="U8592" s="10">
        <v>1.5421E-4</v>
      </c>
      <c r="V8592" s="25"/>
      <c r="W8592" s="25"/>
      <c r="X8592" s="25"/>
      <c r="Y8592" s="25"/>
      <c r="Z8592" s="25"/>
      <c r="AA8592" s="25"/>
    </row>
    <row r="8593" spans="1:27" x14ac:dyDescent="0.35">
      <c r="A8593" s="5">
        <v>8589</v>
      </c>
      <c r="B8593" s="5">
        <v>358</v>
      </c>
      <c r="C8593" s="5">
        <v>12</v>
      </c>
      <c r="D8593" s="25">
        <v>1.1416E-4</v>
      </c>
      <c r="E8593" s="25">
        <v>1.119E-4</v>
      </c>
      <c r="F8593" s="25">
        <v>9.0340000000000006E-5</v>
      </c>
      <c r="G8593" s="25">
        <v>6.2669999999999995E-5</v>
      </c>
      <c r="H8593" s="25">
        <v>6.8940000000000001E-5</v>
      </c>
      <c r="I8593" s="9">
        <v>1.2368000000000001E-4</v>
      </c>
      <c r="J8593" s="9">
        <v>1.3350999999999999E-4</v>
      </c>
      <c r="K8593" s="9">
        <v>2.4373E-4</v>
      </c>
      <c r="L8593" s="9">
        <v>1.4087999999999999E-4</v>
      </c>
      <c r="M8593" s="9">
        <v>1.3526E-4</v>
      </c>
      <c r="N8593" s="9">
        <v>1.1322E-4</v>
      </c>
      <c r="O8593" s="9">
        <v>8.5829999999999996E-5</v>
      </c>
      <c r="P8593" s="9">
        <v>8.7059999999999997E-5</v>
      </c>
      <c r="Q8593" s="9">
        <v>8.9069999999999999E-5</v>
      </c>
      <c r="R8593" s="10">
        <v>2.124430132463549E-4</v>
      </c>
      <c r="S8593" s="10">
        <v>1.9029020759484994E-4</v>
      </c>
      <c r="T8593" s="10">
        <v>0</v>
      </c>
      <c r="U8593" s="10">
        <v>1.5421E-4</v>
      </c>
      <c r="V8593" s="25"/>
      <c r="W8593" s="25"/>
      <c r="X8593" s="25"/>
      <c r="Y8593" s="25"/>
      <c r="Z8593" s="25"/>
      <c r="AA8593" s="25"/>
    </row>
    <row r="8594" spans="1:27" x14ac:dyDescent="0.35">
      <c r="A8594" s="5">
        <v>8590</v>
      </c>
      <c r="B8594" s="5">
        <v>358</v>
      </c>
      <c r="C8594" s="5">
        <v>12</v>
      </c>
      <c r="D8594" s="25">
        <v>1.1416E-4</v>
      </c>
      <c r="E8594" s="25">
        <v>1.0899E-4</v>
      </c>
      <c r="F8594" s="25">
        <v>9.7180000000000001E-5</v>
      </c>
      <c r="G8594" s="25">
        <v>5.6560000000000001E-5</v>
      </c>
      <c r="H8594" s="25">
        <v>6.7509999999999996E-5</v>
      </c>
      <c r="I8594" s="9">
        <v>1.1760999999999999E-4</v>
      </c>
      <c r="J8594" s="9">
        <v>1.2496E-4</v>
      </c>
      <c r="K8594" s="9">
        <v>1.9285999999999999E-4</v>
      </c>
      <c r="L8594" s="9">
        <v>9.8839999999999996E-5</v>
      </c>
      <c r="M8594" s="9">
        <v>1.1399E-4</v>
      </c>
      <c r="N8594" s="9">
        <v>1.0579E-4</v>
      </c>
      <c r="O8594" s="9">
        <v>8.852E-5</v>
      </c>
      <c r="P8594" s="9">
        <v>8.8319999999999995E-5</v>
      </c>
      <c r="Q8594" s="9">
        <v>8.8969999999999997E-5</v>
      </c>
      <c r="R8594" s="10">
        <v>2.1241139715403914E-4</v>
      </c>
      <c r="S8594" s="10">
        <v>1.9029020759484994E-4</v>
      </c>
      <c r="T8594" s="10">
        <v>0</v>
      </c>
      <c r="U8594" s="10">
        <v>1.5421E-4</v>
      </c>
      <c r="V8594" s="25"/>
      <c r="W8594" s="25"/>
      <c r="X8594" s="25"/>
      <c r="Y8594" s="25"/>
      <c r="Z8594" s="25"/>
      <c r="AA8594" s="25"/>
    </row>
    <row r="8595" spans="1:27" x14ac:dyDescent="0.35">
      <c r="A8595" s="5">
        <v>8591</v>
      </c>
      <c r="B8595" s="5">
        <v>358</v>
      </c>
      <c r="C8595" s="5">
        <v>12</v>
      </c>
      <c r="D8595" s="25">
        <v>1.1416E-4</v>
      </c>
      <c r="E8595" s="25">
        <v>1.07E-4</v>
      </c>
      <c r="F8595" s="25">
        <v>8.6760000000000003E-5</v>
      </c>
      <c r="G8595" s="25">
        <v>6.2600000000000004E-5</v>
      </c>
      <c r="H8595" s="25">
        <v>7.0759999999999993E-5</v>
      </c>
      <c r="I8595" s="9">
        <v>1.1899E-4</v>
      </c>
      <c r="J8595" s="9">
        <v>1.1744E-4</v>
      </c>
      <c r="K8595" s="9">
        <v>1.8437999999999999E-4</v>
      </c>
      <c r="L8595" s="9">
        <v>9.1719999999999996E-5</v>
      </c>
      <c r="M8595" s="9">
        <v>9.9539999999999999E-5</v>
      </c>
      <c r="N8595" s="9">
        <v>1.0012E-4</v>
      </c>
      <c r="O8595" s="9">
        <v>7.8189999999999995E-5</v>
      </c>
      <c r="P8595" s="9">
        <v>7.2189999999999998E-5</v>
      </c>
      <c r="Q8595" s="9">
        <v>6.6940000000000006E-5</v>
      </c>
      <c r="R8595" s="10">
        <v>2.1221538983179328E-4</v>
      </c>
      <c r="S8595" s="10">
        <v>1.9029020759484994E-4</v>
      </c>
      <c r="T8595" s="10">
        <v>0</v>
      </c>
      <c r="U8595" s="10">
        <v>1.5421E-4</v>
      </c>
      <c r="V8595" s="25"/>
      <c r="W8595" s="25"/>
      <c r="X8595" s="25"/>
      <c r="Y8595" s="25"/>
      <c r="Z8595" s="25"/>
      <c r="AA8595" s="25"/>
    </row>
    <row r="8596" spans="1:27" x14ac:dyDescent="0.35">
      <c r="A8596" s="5">
        <v>8592</v>
      </c>
      <c r="B8596" s="5">
        <v>358</v>
      </c>
      <c r="C8596" s="5">
        <v>12</v>
      </c>
      <c r="D8596" s="25">
        <v>1.1416E-4</v>
      </c>
      <c r="E8596" s="25">
        <v>1.0916000000000001E-4</v>
      </c>
      <c r="F8596" s="25">
        <v>1.0423E-4</v>
      </c>
      <c r="G8596" s="25">
        <v>5.766E-5</v>
      </c>
      <c r="H8596" s="25">
        <v>7.2819999999999997E-5</v>
      </c>
      <c r="I8596" s="9">
        <v>1.1771E-4</v>
      </c>
      <c r="J8596" s="9">
        <v>1.1069E-4</v>
      </c>
      <c r="K8596" s="9">
        <v>1.8013999999999999E-4</v>
      </c>
      <c r="L8596" s="9">
        <v>8.1160000000000002E-5</v>
      </c>
      <c r="M8596" s="9">
        <v>8.6509999999999997E-5</v>
      </c>
      <c r="N8596" s="9">
        <v>9.0849999999999999E-5</v>
      </c>
      <c r="O8596" s="9">
        <v>6.2290000000000002E-5</v>
      </c>
      <c r="P8596" s="9">
        <v>6.0130000000000002E-5</v>
      </c>
      <c r="Q8596" s="9">
        <v>5.8329999999999999E-5</v>
      </c>
      <c r="R8596" s="10">
        <v>2.1028985165505258E-4</v>
      </c>
      <c r="S8596" s="10">
        <v>1.9028941957342083E-4</v>
      </c>
      <c r="T8596" s="10">
        <v>0</v>
      </c>
      <c r="U8596" s="10">
        <v>1.5421E-4</v>
      </c>
      <c r="V8596" s="25"/>
      <c r="W8596" s="25"/>
      <c r="X8596" s="25"/>
      <c r="Y8596" s="25"/>
      <c r="Z8596" s="25"/>
      <c r="AA8596" s="25"/>
    </row>
    <row r="8597" spans="1:27" x14ac:dyDescent="0.35">
      <c r="A8597" s="5">
        <v>8593</v>
      </c>
      <c r="B8597" s="5">
        <v>359</v>
      </c>
      <c r="C8597" s="5">
        <v>12</v>
      </c>
      <c r="D8597" s="25">
        <v>1.1416E-4</v>
      </c>
      <c r="E8597" s="25">
        <v>1.1448E-4</v>
      </c>
      <c r="F8597" s="25">
        <v>1.0268E-4</v>
      </c>
      <c r="G8597" s="25">
        <v>6.0180000000000003E-5</v>
      </c>
      <c r="H8597" s="25">
        <v>7.2849999999999995E-5</v>
      </c>
      <c r="I8597" s="9">
        <v>1.1056999999999999E-4</v>
      </c>
      <c r="J8597" s="9">
        <v>1.037E-4</v>
      </c>
      <c r="K8597" s="9">
        <v>1.7803E-4</v>
      </c>
      <c r="L8597" s="9">
        <v>6.6450000000000002E-5</v>
      </c>
      <c r="M8597" s="9">
        <v>7.4010000000000005E-5</v>
      </c>
      <c r="N8597" s="9">
        <v>8.1299999999999997E-5</v>
      </c>
      <c r="O8597" s="9">
        <v>5.4070000000000002E-5</v>
      </c>
      <c r="P8597" s="9">
        <v>5.3489999999999998E-5</v>
      </c>
      <c r="Q8597" s="9">
        <v>5.3069999999999998E-5</v>
      </c>
      <c r="R8597" s="10">
        <v>2.0878287520823002E-4</v>
      </c>
      <c r="S8597" s="10">
        <v>1.9028992276038108E-4</v>
      </c>
      <c r="T8597" s="10">
        <v>0</v>
      </c>
      <c r="U8597" s="10">
        <v>1.6254E-4</v>
      </c>
      <c r="V8597" s="25"/>
      <c r="W8597" s="25"/>
      <c r="X8597" s="25"/>
      <c r="Y8597" s="25"/>
      <c r="Z8597" s="25"/>
      <c r="AA8597" s="25"/>
    </row>
    <row r="8598" spans="1:27" x14ac:dyDescent="0.35">
      <c r="A8598" s="5">
        <v>8594</v>
      </c>
      <c r="B8598" s="5">
        <v>359</v>
      </c>
      <c r="C8598" s="5">
        <v>12</v>
      </c>
      <c r="D8598" s="25">
        <v>1.1416E-4</v>
      </c>
      <c r="E8598" s="25">
        <v>1.2180000000000001E-4</v>
      </c>
      <c r="F8598" s="25">
        <v>1.0309E-4</v>
      </c>
      <c r="G8598" s="25">
        <v>6.1299999999999999E-5</v>
      </c>
      <c r="H8598" s="25">
        <v>6.2680000000000003E-5</v>
      </c>
      <c r="I8598" s="9">
        <v>1.0367E-4</v>
      </c>
      <c r="J8598" s="9">
        <v>9.8010000000000005E-5</v>
      </c>
      <c r="K8598" s="9">
        <v>1.7802000000000001E-4</v>
      </c>
      <c r="L8598" s="9">
        <v>5.7200000000000001E-5</v>
      </c>
      <c r="M8598" s="9">
        <v>6.3639999999999994E-5</v>
      </c>
      <c r="N8598" s="9">
        <v>7.2070000000000006E-5</v>
      </c>
      <c r="O8598" s="9">
        <v>1.8410000000000002E-5</v>
      </c>
      <c r="P8598" s="9">
        <v>3.7759999999999998E-5</v>
      </c>
      <c r="Q8598" s="9">
        <v>5.6190000000000002E-5</v>
      </c>
      <c r="R8598" s="10">
        <v>2.093424916548172E-4</v>
      </c>
      <c r="S8598" s="10">
        <v>1.9029006669137562E-4</v>
      </c>
      <c r="T8598" s="10">
        <v>0</v>
      </c>
      <c r="U8598" s="10">
        <v>1.6254E-4</v>
      </c>
      <c r="V8598" s="25"/>
      <c r="W8598" s="25"/>
      <c r="X8598" s="25"/>
      <c r="Y8598" s="25"/>
      <c r="Z8598" s="25"/>
      <c r="AA8598" s="25"/>
    </row>
    <row r="8599" spans="1:27" x14ac:dyDescent="0.35">
      <c r="A8599" s="5">
        <v>8595</v>
      </c>
      <c r="B8599" s="5">
        <v>359</v>
      </c>
      <c r="C8599" s="5">
        <v>12</v>
      </c>
      <c r="D8599" s="25">
        <v>1.1416E-4</v>
      </c>
      <c r="E8599" s="25">
        <v>1.1958E-4</v>
      </c>
      <c r="F8599" s="25">
        <v>9.6869999999999999E-5</v>
      </c>
      <c r="G8599" s="25">
        <v>6.211E-5</v>
      </c>
      <c r="H8599" s="25">
        <v>6.4189999999999994E-5</v>
      </c>
      <c r="I8599" s="9">
        <v>9.9209999999999994E-5</v>
      </c>
      <c r="J8599" s="9">
        <v>9.4430000000000002E-5</v>
      </c>
      <c r="K8599" s="9">
        <v>2.0133E-4</v>
      </c>
      <c r="L8599" s="9">
        <v>2.7149999999999999E-5</v>
      </c>
      <c r="M8599" s="9">
        <v>5.1959999999999997E-5</v>
      </c>
      <c r="N8599" s="9">
        <v>6.5450000000000005E-5</v>
      </c>
      <c r="O8599" s="9">
        <v>1.289E-5</v>
      </c>
      <c r="P8599" s="9">
        <v>3.7870000000000002E-5</v>
      </c>
      <c r="Q8599" s="9">
        <v>6.1719999999999999E-5</v>
      </c>
      <c r="R8599" s="10">
        <v>2.1008936756279972E-4</v>
      </c>
      <c r="S8599" s="10">
        <v>1.9028894898771284E-4</v>
      </c>
      <c r="T8599" s="10">
        <v>0</v>
      </c>
      <c r="U8599" s="10">
        <v>1.6254E-4</v>
      </c>
      <c r="V8599" s="25"/>
      <c r="W8599" s="25"/>
      <c r="X8599" s="25"/>
      <c r="Y8599" s="25"/>
      <c r="Z8599" s="25"/>
      <c r="AA8599" s="25"/>
    </row>
    <row r="8600" spans="1:27" x14ac:dyDescent="0.35">
      <c r="A8600" s="5">
        <v>8596</v>
      </c>
      <c r="B8600" s="5">
        <v>359</v>
      </c>
      <c r="C8600" s="5">
        <v>12</v>
      </c>
      <c r="D8600" s="25">
        <v>1.1416E-4</v>
      </c>
      <c r="E8600" s="25">
        <v>1.1927E-4</v>
      </c>
      <c r="F8600" s="25">
        <v>1.0205E-4</v>
      </c>
      <c r="G8600" s="25">
        <v>5.2989999999999999E-5</v>
      </c>
      <c r="H8600" s="25">
        <v>6.4590000000000003E-5</v>
      </c>
      <c r="I8600" s="9">
        <v>9.5989999999999994E-5</v>
      </c>
      <c r="J8600" s="9">
        <v>9.2700000000000004E-5</v>
      </c>
      <c r="K8600" s="9">
        <v>2.1405E-4</v>
      </c>
      <c r="L8600" s="9">
        <v>1.677E-5</v>
      </c>
      <c r="M8600" s="9">
        <v>4.4110000000000003E-5</v>
      </c>
      <c r="N8600" s="9">
        <v>6.1859999999999994E-5</v>
      </c>
      <c r="O8600" s="9">
        <v>1.279E-5</v>
      </c>
      <c r="P8600" s="9">
        <v>4.6969999999999999E-5</v>
      </c>
      <c r="Q8600" s="9">
        <v>7.9889999999999996E-5</v>
      </c>
      <c r="R8600" s="10">
        <v>2.1044068883140066E-4</v>
      </c>
      <c r="S8600" s="10">
        <v>1.9028017349599792E-4</v>
      </c>
      <c r="T8600" s="10">
        <v>0</v>
      </c>
      <c r="U8600" s="10">
        <v>1.6254E-4</v>
      </c>
      <c r="V8600" s="25"/>
      <c r="W8600" s="25"/>
      <c r="X8600" s="25"/>
      <c r="Y8600" s="25"/>
      <c r="Z8600" s="25"/>
      <c r="AA8600" s="25"/>
    </row>
    <row r="8601" spans="1:27" x14ac:dyDescent="0.35">
      <c r="A8601" s="5">
        <v>8597</v>
      </c>
      <c r="B8601" s="5">
        <v>359</v>
      </c>
      <c r="C8601" s="5">
        <v>12</v>
      </c>
      <c r="D8601" s="25">
        <v>1.1416E-4</v>
      </c>
      <c r="E8601" s="25">
        <v>1.2043E-4</v>
      </c>
      <c r="F8601" s="25">
        <v>9.6879999999999994E-5</v>
      </c>
      <c r="G8601" s="25">
        <v>5.9519999999999999E-5</v>
      </c>
      <c r="H8601" s="25">
        <v>7.2680000000000002E-5</v>
      </c>
      <c r="I8601" s="9">
        <v>9.4530000000000005E-5</v>
      </c>
      <c r="J8601" s="9">
        <v>9.2250000000000006E-5</v>
      </c>
      <c r="K8601" s="9">
        <v>2.2887999999999999E-4</v>
      </c>
      <c r="L8601" s="9">
        <v>1.3910000000000001E-5</v>
      </c>
      <c r="M8601" s="9">
        <v>4.3380000000000001E-5</v>
      </c>
      <c r="N8601" s="9">
        <v>6.4280000000000001E-5</v>
      </c>
      <c r="O8601" s="9">
        <v>1.8300000000000001E-5</v>
      </c>
      <c r="P8601" s="9">
        <v>5.6310000000000001E-5</v>
      </c>
      <c r="Q8601" s="9">
        <v>9.3109999999999995E-5</v>
      </c>
      <c r="R8601" s="10">
        <v>2.1042139760214709E-4</v>
      </c>
      <c r="S8601" s="10">
        <v>1.9010761368732431E-4</v>
      </c>
      <c r="T8601" s="10">
        <v>0</v>
      </c>
      <c r="U8601" s="10">
        <v>1.6254E-4</v>
      </c>
      <c r="V8601" s="25"/>
      <c r="W8601" s="25"/>
      <c r="X8601" s="25"/>
      <c r="Y8601" s="25"/>
      <c r="Z8601" s="25"/>
      <c r="AA8601" s="25"/>
    </row>
    <row r="8602" spans="1:27" x14ac:dyDescent="0.35">
      <c r="A8602" s="5">
        <v>8598</v>
      </c>
      <c r="B8602" s="5">
        <v>359</v>
      </c>
      <c r="C8602" s="5">
        <v>12</v>
      </c>
      <c r="D8602" s="25">
        <v>1.1416E-4</v>
      </c>
      <c r="E8602" s="25">
        <v>1.1834E-4</v>
      </c>
      <c r="F8602" s="25">
        <v>9.2050000000000001E-5</v>
      </c>
      <c r="G8602" s="25">
        <v>1.115E-4</v>
      </c>
      <c r="H8602" s="25">
        <v>1.3791000000000001E-4</v>
      </c>
      <c r="I8602" s="9">
        <v>9.5099999999999994E-5</v>
      </c>
      <c r="J8602" s="9">
        <v>9.3560000000000005E-5</v>
      </c>
      <c r="K8602" s="9">
        <v>2.6279E-4</v>
      </c>
      <c r="L8602" s="9">
        <v>1.721E-5</v>
      </c>
      <c r="M8602" s="9">
        <v>4.8189999999999998E-5</v>
      </c>
      <c r="N8602" s="9">
        <v>7.0740000000000004E-5</v>
      </c>
      <c r="O8602" s="9">
        <v>4.587E-5</v>
      </c>
      <c r="P8602" s="9">
        <v>7.6340000000000004E-5</v>
      </c>
      <c r="Q8602" s="9">
        <v>1.063E-4</v>
      </c>
      <c r="R8602" s="10">
        <v>2.0914860247643998E-4</v>
      </c>
      <c r="S8602" s="10">
        <v>1.8913568435777214E-4</v>
      </c>
      <c r="T8602" s="10">
        <v>0</v>
      </c>
      <c r="U8602" s="10">
        <v>1.6254E-4</v>
      </c>
      <c r="V8602" s="25"/>
      <c r="W8602" s="25"/>
      <c r="X8602" s="25"/>
      <c r="Y8602" s="25"/>
      <c r="Z8602" s="25"/>
      <c r="AA8602" s="25"/>
    </row>
    <row r="8603" spans="1:27" x14ac:dyDescent="0.35">
      <c r="A8603" s="5">
        <v>8599</v>
      </c>
      <c r="B8603" s="5">
        <v>359</v>
      </c>
      <c r="C8603" s="5">
        <v>12</v>
      </c>
      <c r="D8603" s="25">
        <v>1.1416E-4</v>
      </c>
      <c r="E8603" s="25">
        <v>1.2273000000000001E-4</v>
      </c>
      <c r="F8603" s="25">
        <v>9.3189999999999994E-5</v>
      </c>
      <c r="G8603" s="25">
        <v>1.0912999999999999E-4</v>
      </c>
      <c r="H8603" s="25">
        <v>1.3179000000000001E-4</v>
      </c>
      <c r="I8603" s="9">
        <v>9.8079999999999996E-5</v>
      </c>
      <c r="J8603" s="9">
        <v>9.7559999999999994E-5</v>
      </c>
      <c r="K8603" s="9">
        <v>2.6704000000000002E-4</v>
      </c>
      <c r="L8603" s="9">
        <v>3.9419999999999999E-5</v>
      </c>
      <c r="M8603" s="9">
        <v>5.9679999999999998E-5</v>
      </c>
      <c r="N8603" s="9">
        <v>8.0340000000000007E-5</v>
      </c>
      <c r="O8603" s="9">
        <v>1.2391E-4</v>
      </c>
      <c r="P8603" s="9">
        <v>1.1726E-4</v>
      </c>
      <c r="Q8603" s="9">
        <v>1.1233E-4</v>
      </c>
      <c r="R8603" s="10">
        <v>2.0460989717596906E-4</v>
      </c>
      <c r="S8603" s="10">
        <v>1.8841038449036462E-4</v>
      </c>
      <c r="T8603" s="10">
        <v>0</v>
      </c>
      <c r="U8603" s="10">
        <v>1.6254E-4</v>
      </c>
      <c r="V8603" s="25"/>
      <c r="W8603" s="25"/>
      <c r="X8603" s="25"/>
      <c r="Y8603" s="25"/>
      <c r="Z8603" s="25"/>
      <c r="AA8603" s="25"/>
    </row>
    <row r="8604" spans="1:27" x14ac:dyDescent="0.35">
      <c r="A8604" s="5">
        <v>8600</v>
      </c>
      <c r="B8604" s="5">
        <v>359</v>
      </c>
      <c r="C8604" s="5">
        <v>12</v>
      </c>
      <c r="D8604" s="25">
        <v>1.1416E-4</v>
      </c>
      <c r="E8604" s="25">
        <v>1.1231E-4</v>
      </c>
      <c r="F8604" s="25">
        <v>1.0349999999999999E-4</v>
      </c>
      <c r="G8604" s="25">
        <v>1.5865000000000001E-4</v>
      </c>
      <c r="H8604" s="25">
        <v>1.8865E-4</v>
      </c>
      <c r="I8604" s="9">
        <v>1.0148E-4</v>
      </c>
      <c r="J8604" s="9">
        <v>1.0446E-4</v>
      </c>
      <c r="K8604" s="9">
        <v>2.6703000000000002E-4</v>
      </c>
      <c r="L8604" s="9">
        <v>1.0471000000000001E-4</v>
      </c>
      <c r="M8604" s="9">
        <v>8.3380000000000005E-5</v>
      </c>
      <c r="N8604" s="9">
        <v>9.0459999999999998E-5</v>
      </c>
      <c r="O8604" s="9">
        <v>2.2070999999999999E-4</v>
      </c>
      <c r="P8604" s="9">
        <v>1.7626E-4</v>
      </c>
      <c r="Q8604" s="9">
        <v>1.3616E-4</v>
      </c>
      <c r="R8604" s="10">
        <v>2.0189259256926694E-4</v>
      </c>
      <c r="S8604" s="10">
        <v>1.8893264911819677E-4</v>
      </c>
      <c r="T8604" s="10">
        <v>0</v>
      </c>
      <c r="U8604" s="10">
        <v>1.6254E-4</v>
      </c>
      <c r="V8604" s="25"/>
      <c r="W8604" s="25"/>
      <c r="X8604" s="25"/>
      <c r="Y8604" s="25"/>
      <c r="Z8604" s="25"/>
      <c r="AA8604" s="25"/>
    </row>
    <row r="8605" spans="1:27" x14ac:dyDescent="0.35">
      <c r="A8605" s="5">
        <v>8601</v>
      </c>
      <c r="B8605" s="5">
        <v>359</v>
      </c>
      <c r="C8605" s="5">
        <v>12</v>
      </c>
      <c r="D8605" s="25">
        <v>1.1416E-4</v>
      </c>
      <c r="E8605" s="25">
        <v>1.1730000000000001E-4</v>
      </c>
      <c r="F8605" s="25">
        <v>9.5309999999999994E-5</v>
      </c>
      <c r="G8605" s="25">
        <v>1.6333999999999999E-4</v>
      </c>
      <c r="H8605" s="25">
        <v>1.9841999999999999E-4</v>
      </c>
      <c r="I8605" s="9">
        <v>1.0888E-4</v>
      </c>
      <c r="J8605" s="9">
        <v>1.1361E-4</v>
      </c>
      <c r="K8605" s="9">
        <v>2.5431999999999999E-4</v>
      </c>
      <c r="L8605" s="9">
        <v>1.9340000000000001E-4</v>
      </c>
      <c r="M8605" s="9">
        <v>1.2295000000000001E-4</v>
      </c>
      <c r="N8605" s="9">
        <v>1.0415E-4</v>
      </c>
      <c r="O8605" s="9">
        <v>2.1469999999999999E-4</v>
      </c>
      <c r="P8605" s="9">
        <v>1.9448999999999999E-4</v>
      </c>
      <c r="Q8605" s="9">
        <v>1.7812000000000001E-4</v>
      </c>
      <c r="R8605" s="10">
        <v>1.9964773281663599E-4</v>
      </c>
      <c r="S8605" s="10">
        <v>1.8800964941638012E-4</v>
      </c>
      <c r="T8605" s="10">
        <v>0</v>
      </c>
      <c r="U8605" s="10">
        <v>1.6254E-4</v>
      </c>
      <c r="V8605" s="25"/>
      <c r="W8605" s="25"/>
      <c r="X8605" s="25"/>
      <c r="Y8605" s="25"/>
      <c r="Z8605" s="25"/>
      <c r="AA8605" s="25"/>
    </row>
    <row r="8606" spans="1:27" x14ac:dyDescent="0.35">
      <c r="A8606" s="5">
        <v>8602</v>
      </c>
      <c r="B8606" s="5">
        <v>359</v>
      </c>
      <c r="C8606" s="5">
        <v>12</v>
      </c>
      <c r="D8606" s="25">
        <v>1.1416E-4</v>
      </c>
      <c r="E8606" s="25">
        <v>1.1714000000000001E-4</v>
      </c>
      <c r="F8606" s="25">
        <v>1.0131E-4</v>
      </c>
      <c r="G8606" s="25">
        <v>1.6213999999999999E-4</v>
      </c>
      <c r="H8606" s="25">
        <v>1.9662999999999999E-4</v>
      </c>
      <c r="I8606" s="9">
        <v>1.136E-4</v>
      </c>
      <c r="J8606" s="9">
        <v>1.2099000000000001E-4</v>
      </c>
      <c r="K8606" s="9">
        <v>2.0345000000000001E-4</v>
      </c>
      <c r="L8606" s="9">
        <v>2.0767999999999999E-4</v>
      </c>
      <c r="M8606" s="9">
        <v>1.5872999999999999E-4</v>
      </c>
      <c r="N8606" s="9">
        <v>1.2451000000000001E-4</v>
      </c>
      <c r="O8606" s="9">
        <v>1.6876E-4</v>
      </c>
      <c r="P8606" s="9">
        <v>1.7431E-4</v>
      </c>
      <c r="Q8606" s="9">
        <v>1.8232E-4</v>
      </c>
      <c r="R8606" s="10">
        <v>2.0384007174831679E-4</v>
      </c>
      <c r="S8606" s="10">
        <v>1.8853586504284482E-4</v>
      </c>
      <c r="T8606" s="10">
        <v>5.6378169181697034E-5</v>
      </c>
      <c r="U8606" s="10">
        <v>1.6254E-4</v>
      </c>
      <c r="V8606" s="25"/>
      <c r="W8606" s="25"/>
      <c r="X8606" s="25"/>
      <c r="Y8606" s="25"/>
      <c r="Z8606" s="25"/>
      <c r="AA8606" s="25"/>
    </row>
    <row r="8607" spans="1:27" x14ac:dyDescent="0.35">
      <c r="A8607" s="5">
        <v>8603</v>
      </c>
      <c r="B8607" s="5">
        <v>359</v>
      </c>
      <c r="C8607" s="5">
        <v>12</v>
      </c>
      <c r="D8607" s="25">
        <v>1.1416E-4</v>
      </c>
      <c r="E8607" s="25">
        <v>1.2043E-4</v>
      </c>
      <c r="F8607" s="25">
        <v>9.1529999999999999E-5</v>
      </c>
      <c r="G8607" s="25">
        <v>1.5758999999999999E-4</v>
      </c>
      <c r="H8607" s="25">
        <v>1.9390999999999999E-4</v>
      </c>
      <c r="I8607" s="9">
        <v>1.1707E-4</v>
      </c>
      <c r="J8607" s="9">
        <v>1.2536000000000001E-4</v>
      </c>
      <c r="K8607" s="9">
        <v>1.8226000000000001E-4</v>
      </c>
      <c r="L8607" s="9">
        <v>1.7735E-4</v>
      </c>
      <c r="M8607" s="9">
        <v>1.7265999999999999E-4</v>
      </c>
      <c r="N8607" s="9">
        <v>1.4271999999999999E-4</v>
      </c>
      <c r="O8607" s="9">
        <v>1.6771000000000001E-4</v>
      </c>
      <c r="P8607" s="9">
        <v>1.7187999999999999E-4</v>
      </c>
      <c r="Q8607" s="9">
        <v>1.7851999999999999E-4</v>
      </c>
      <c r="R8607" s="10">
        <v>2.0261752219691287E-4</v>
      </c>
      <c r="S8607" s="10">
        <v>1.8724089050317592E-4</v>
      </c>
      <c r="T8607" s="10">
        <v>1.8167430198460171E-4</v>
      </c>
      <c r="U8607" s="10">
        <v>1.6254E-4</v>
      </c>
      <c r="V8607" s="25"/>
      <c r="W8607" s="25"/>
      <c r="X8607" s="25"/>
      <c r="Y8607" s="25"/>
      <c r="Z8607" s="25"/>
      <c r="AA8607" s="25"/>
    </row>
    <row r="8608" spans="1:27" x14ac:dyDescent="0.35">
      <c r="A8608" s="5">
        <v>8604</v>
      </c>
      <c r="B8608" s="5">
        <v>359</v>
      </c>
      <c r="C8608" s="5">
        <v>12</v>
      </c>
      <c r="D8608" s="25">
        <v>1.1416E-4</v>
      </c>
      <c r="E8608" s="25">
        <v>1.2290000000000001E-4</v>
      </c>
      <c r="F8608" s="25">
        <v>9.7670000000000005E-5</v>
      </c>
      <c r="G8608" s="25">
        <v>1.6416E-4</v>
      </c>
      <c r="H8608" s="25">
        <v>1.8791000000000001E-4</v>
      </c>
      <c r="I8608" s="9">
        <v>1.1825E-4</v>
      </c>
      <c r="J8608" s="9">
        <v>1.2642999999999999E-4</v>
      </c>
      <c r="K8608" s="9">
        <v>1.7802000000000001E-4</v>
      </c>
      <c r="L8608" s="9">
        <v>1.7127000000000001E-4</v>
      </c>
      <c r="M8608" s="9">
        <v>1.7473E-4</v>
      </c>
      <c r="N8608" s="9">
        <v>1.5663999999999999E-4</v>
      </c>
      <c r="O8608" s="9">
        <v>1.7037000000000001E-4</v>
      </c>
      <c r="P8608" s="9">
        <v>1.7043000000000001E-4</v>
      </c>
      <c r="Q8608" s="9">
        <v>1.7309000000000001E-4</v>
      </c>
      <c r="R8608" s="10">
        <v>1.7601573559614702E-4</v>
      </c>
      <c r="S8608" s="10">
        <v>1.8272323932687863E-4</v>
      </c>
      <c r="T8608" s="10">
        <v>2.4731732605665437E-5</v>
      </c>
      <c r="U8608" s="10">
        <v>1.6254E-4</v>
      </c>
      <c r="V8608" s="25"/>
      <c r="W8608" s="25"/>
      <c r="X8608" s="25"/>
      <c r="Y8608" s="25"/>
      <c r="Z8608" s="25"/>
      <c r="AA8608" s="25"/>
    </row>
    <row r="8609" spans="1:27" x14ac:dyDescent="0.35">
      <c r="A8609" s="5">
        <v>8605</v>
      </c>
      <c r="B8609" s="5">
        <v>359</v>
      </c>
      <c r="C8609" s="5">
        <v>12</v>
      </c>
      <c r="D8609" s="25">
        <v>1.1416E-4</v>
      </c>
      <c r="E8609" s="25">
        <v>1.1967E-4</v>
      </c>
      <c r="F8609" s="25">
        <v>9.7410000000000004E-5</v>
      </c>
      <c r="G8609" s="25">
        <v>1.5778999999999999E-4</v>
      </c>
      <c r="H8609" s="25">
        <v>1.9091999999999999E-4</v>
      </c>
      <c r="I8609" s="9">
        <v>1.161E-4</v>
      </c>
      <c r="J8609" s="9">
        <v>1.2578000000000001E-4</v>
      </c>
      <c r="K8609" s="9">
        <v>1.6742999999999999E-4</v>
      </c>
      <c r="L8609" s="9">
        <v>1.7077999999999999E-4</v>
      </c>
      <c r="M8609" s="9">
        <v>1.7321E-4</v>
      </c>
      <c r="N8609" s="9">
        <v>1.6590999999999999E-4</v>
      </c>
      <c r="O8609" s="9">
        <v>1.6252000000000001E-4</v>
      </c>
      <c r="P8609" s="9">
        <v>1.6348999999999999E-4</v>
      </c>
      <c r="Q8609" s="9">
        <v>1.6688E-4</v>
      </c>
      <c r="R8609" s="10">
        <v>1.8329932392969965E-4</v>
      </c>
      <c r="S8609" s="10">
        <v>1.8096339265636911E-4</v>
      </c>
      <c r="T8609" s="10">
        <v>1.0845479859287179E-4</v>
      </c>
      <c r="U8609" s="10">
        <v>1.6254E-4</v>
      </c>
      <c r="V8609" s="25"/>
      <c r="W8609" s="25"/>
      <c r="X8609" s="25"/>
      <c r="Y8609" s="25"/>
      <c r="Z8609" s="25"/>
      <c r="AA8609" s="25"/>
    </row>
    <row r="8610" spans="1:27" x14ac:dyDescent="0.35">
      <c r="A8610" s="5">
        <v>8606</v>
      </c>
      <c r="B8610" s="5">
        <v>359</v>
      </c>
      <c r="C8610" s="5">
        <v>12</v>
      </c>
      <c r="D8610" s="25">
        <v>1.1416E-4</v>
      </c>
      <c r="E8610" s="25">
        <v>1.1275E-4</v>
      </c>
      <c r="F8610" s="25">
        <v>9.5409999999999996E-5</v>
      </c>
      <c r="G8610" s="25">
        <v>1.6380999999999999E-4</v>
      </c>
      <c r="H8610" s="25">
        <v>1.9144E-4</v>
      </c>
      <c r="I8610" s="9">
        <v>1.1487E-4</v>
      </c>
      <c r="J8610" s="9">
        <v>1.2501E-4</v>
      </c>
      <c r="K8610" s="9">
        <v>1.7165999999999999E-4</v>
      </c>
      <c r="L8610" s="9">
        <v>1.6407999999999999E-4</v>
      </c>
      <c r="M8610" s="9">
        <v>1.693E-4</v>
      </c>
      <c r="N8610" s="9">
        <v>1.7013E-4</v>
      </c>
      <c r="O8610" s="9">
        <v>1.8037000000000001E-4</v>
      </c>
      <c r="P8610" s="9">
        <v>1.6935E-4</v>
      </c>
      <c r="Q8610" s="9">
        <v>1.6129999999999999E-4</v>
      </c>
      <c r="R8610" s="10">
        <v>1.7234836551359553E-4</v>
      </c>
      <c r="S8610" s="10">
        <v>1.7698199532502768E-4</v>
      </c>
      <c r="T8610" s="10">
        <v>3.5074093513489165E-5</v>
      </c>
      <c r="U8610" s="10">
        <v>1.6254E-4</v>
      </c>
      <c r="V8610" s="25"/>
      <c r="W8610" s="25"/>
      <c r="X8610" s="25"/>
      <c r="Y8610" s="25"/>
      <c r="Z8610" s="25"/>
      <c r="AA8610" s="25"/>
    </row>
    <row r="8611" spans="1:27" x14ac:dyDescent="0.35">
      <c r="A8611" s="5">
        <v>8607</v>
      </c>
      <c r="B8611" s="5">
        <v>359</v>
      </c>
      <c r="C8611" s="5">
        <v>12</v>
      </c>
      <c r="D8611" s="25">
        <v>1.1416E-4</v>
      </c>
      <c r="E8611" s="25">
        <v>1.2104000000000001E-4</v>
      </c>
      <c r="F8611" s="25">
        <v>9.3640000000000005E-5</v>
      </c>
      <c r="G8611" s="25">
        <v>1.6118E-4</v>
      </c>
      <c r="H8611" s="25">
        <v>1.8824E-4</v>
      </c>
      <c r="I8611" s="9">
        <v>1.1333E-4</v>
      </c>
      <c r="J8611" s="9">
        <v>1.2527999999999999E-4</v>
      </c>
      <c r="K8611" s="9">
        <v>2.0345000000000001E-4</v>
      </c>
      <c r="L8611" s="9">
        <v>1.7694E-4</v>
      </c>
      <c r="M8611" s="9">
        <v>1.6823000000000001E-4</v>
      </c>
      <c r="N8611" s="9">
        <v>1.6976E-4</v>
      </c>
      <c r="O8611" s="9">
        <v>1.8365999999999999E-4</v>
      </c>
      <c r="P8611" s="9">
        <v>1.6592000000000001E-4</v>
      </c>
      <c r="Q8611" s="9">
        <v>1.5134E-4</v>
      </c>
      <c r="R8611" s="10">
        <v>1.6230248725986027E-4</v>
      </c>
      <c r="S8611" s="10">
        <v>1.7430442988297946E-4</v>
      </c>
      <c r="T8611" s="10">
        <v>1.1878019090199524E-6</v>
      </c>
      <c r="U8611" s="10">
        <v>1.6254E-4</v>
      </c>
      <c r="V8611" s="25"/>
      <c r="W8611" s="25"/>
      <c r="X8611" s="25"/>
      <c r="Y8611" s="25"/>
      <c r="Z8611" s="25"/>
      <c r="AA8611" s="25"/>
    </row>
    <row r="8612" spans="1:27" x14ac:dyDescent="0.35">
      <c r="A8612" s="5">
        <v>8608</v>
      </c>
      <c r="B8612" s="5">
        <v>359</v>
      </c>
      <c r="C8612" s="5">
        <v>12</v>
      </c>
      <c r="D8612" s="25">
        <v>1.1416E-4</v>
      </c>
      <c r="E8612" s="25">
        <v>1.2010000000000001E-4</v>
      </c>
      <c r="F8612" s="25">
        <v>9.569E-5</v>
      </c>
      <c r="G8612" s="25">
        <v>1.6076E-4</v>
      </c>
      <c r="H8612" s="25">
        <v>1.9955999999999999E-4</v>
      </c>
      <c r="I8612" s="9">
        <v>1.1396E-4</v>
      </c>
      <c r="J8612" s="9">
        <v>1.2510000000000001E-4</v>
      </c>
      <c r="K8612" s="9">
        <v>2.3735999999999999E-4</v>
      </c>
      <c r="L8612" s="9">
        <v>1.8184000000000001E-4</v>
      </c>
      <c r="M8612" s="9">
        <v>1.6721999999999999E-4</v>
      </c>
      <c r="N8612" s="9">
        <v>1.6563999999999999E-4</v>
      </c>
      <c r="O8612" s="9">
        <v>2.0063000000000001E-4</v>
      </c>
      <c r="P8612" s="9">
        <v>1.5364999999999999E-4</v>
      </c>
      <c r="Q8612" s="9">
        <v>1.1061999999999999E-4</v>
      </c>
      <c r="R8612" s="10">
        <v>1.5775268276218459E-4</v>
      </c>
      <c r="S8612" s="10">
        <v>1.6399387310980098E-4</v>
      </c>
      <c r="T8612" s="10">
        <v>0</v>
      </c>
      <c r="U8612" s="10">
        <v>1.6254E-4</v>
      </c>
      <c r="V8612" s="25"/>
      <c r="W8612" s="25"/>
      <c r="X8612" s="25"/>
      <c r="Y8612" s="25"/>
      <c r="Z8612" s="25"/>
      <c r="AA8612" s="25"/>
    </row>
    <row r="8613" spans="1:27" x14ac:dyDescent="0.35">
      <c r="A8613" s="5">
        <v>8609</v>
      </c>
      <c r="B8613" s="5">
        <v>359</v>
      </c>
      <c r="C8613" s="5">
        <v>12</v>
      </c>
      <c r="D8613" s="25">
        <v>1.1416E-4</v>
      </c>
      <c r="E8613" s="25">
        <v>1.171E-4</v>
      </c>
      <c r="F8613" s="25">
        <v>9.7209999999999999E-5</v>
      </c>
      <c r="G8613" s="25">
        <v>1.5739000000000001E-4</v>
      </c>
      <c r="H8613" s="25">
        <v>1.8982999999999999E-4</v>
      </c>
      <c r="I8613" s="9">
        <v>1.1775E-4</v>
      </c>
      <c r="J8613" s="9">
        <v>1.2938000000000001E-4</v>
      </c>
      <c r="K8613" s="9">
        <v>2.2676E-4</v>
      </c>
      <c r="L8613" s="9">
        <v>1.9631E-4</v>
      </c>
      <c r="M8613" s="9">
        <v>1.6216000000000001E-4</v>
      </c>
      <c r="N8613" s="9">
        <v>1.5220000000000001E-4</v>
      </c>
      <c r="O8613" s="9">
        <v>2.1431999999999999E-4</v>
      </c>
      <c r="P8613" s="9">
        <v>1.5815E-4</v>
      </c>
      <c r="Q8613" s="9">
        <v>1.0637999999999999E-4</v>
      </c>
      <c r="R8613" s="10">
        <v>1.7840290043827492E-4</v>
      </c>
      <c r="S8613" s="10">
        <v>1.4937072498994271E-4</v>
      </c>
      <c r="T8613" s="10">
        <v>0</v>
      </c>
      <c r="U8613" s="10">
        <v>1.6254E-4</v>
      </c>
      <c r="V8613" s="25"/>
      <c r="W8613" s="25"/>
      <c r="X8613" s="25"/>
      <c r="Y8613" s="25"/>
      <c r="Z8613" s="25"/>
      <c r="AA8613" s="25"/>
    </row>
    <row r="8614" spans="1:27" x14ac:dyDescent="0.35">
      <c r="A8614" s="5">
        <v>8610</v>
      </c>
      <c r="B8614" s="5">
        <v>359</v>
      </c>
      <c r="C8614" s="5">
        <v>12</v>
      </c>
      <c r="D8614" s="25">
        <v>1.1416E-4</v>
      </c>
      <c r="E8614" s="25">
        <v>1.1963E-4</v>
      </c>
      <c r="F8614" s="25">
        <v>9.8350000000000005E-5</v>
      </c>
      <c r="G8614" s="25">
        <v>1.6566000000000001E-4</v>
      </c>
      <c r="H8614" s="25">
        <v>1.8829E-4</v>
      </c>
      <c r="I8614" s="9">
        <v>1.2197999999999999E-4</v>
      </c>
      <c r="J8614" s="9">
        <v>1.339E-4</v>
      </c>
      <c r="K8614" s="9">
        <v>2.3948E-4</v>
      </c>
      <c r="L8614" s="9">
        <v>2.1006E-4</v>
      </c>
      <c r="M8614" s="9">
        <v>1.5932000000000001E-4</v>
      </c>
      <c r="N8614" s="9">
        <v>1.3878999999999999E-4</v>
      </c>
      <c r="O8614" s="9">
        <v>2.0903999999999999E-4</v>
      </c>
      <c r="P8614" s="9">
        <v>1.6181E-4</v>
      </c>
      <c r="Q8614" s="9">
        <v>1.1872E-4</v>
      </c>
      <c r="R8614" s="10">
        <v>1.9930483372602409E-4</v>
      </c>
      <c r="S8614" s="10">
        <v>1.5106241506919287E-4</v>
      </c>
      <c r="T8614" s="10">
        <v>0</v>
      </c>
      <c r="U8614" s="10">
        <v>1.6254E-4</v>
      </c>
      <c r="V8614" s="25"/>
      <c r="W8614" s="25"/>
      <c r="X8614" s="25"/>
      <c r="Y8614" s="25"/>
      <c r="Z8614" s="25"/>
      <c r="AA8614" s="25"/>
    </row>
    <row r="8615" spans="1:27" x14ac:dyDescent="0.35">
      <c r="A8615" s="5">
        <v>8611</v>
      </c>
      <c r="B8615" s="5">
        <v>359</v>
      </c>
      <c r="C8615" s="5">
        <v>12</v>
      </c>
      <c r="D8615" s="25">
        <v>1.1416E-4</v>
      </c>
      <c r="E8615" s="25">
        <v>1.1192E-4</v>
      </c>
      <c r="F8615" s="25">
        <v>8.8460000000000003E-5</v>
      </c>
      <c r="G8615" s="25">
        <v>1.1285000000000001E-4</v>
      </c>
      <c r="H8615" s="25">
        <v>1.2585E-4</v>
      </c>
      <c r="I8615" s="9">
        <v>1.1841E-4</v>
      </c>
      <c r="J8615" s="9">
        <v>1.2991000000000001E-4</v>
      </c>
      <c r="K8615" s="9">
        <v>2.5431999999999999E-4</v>
      </c>
      <c r="L8615" s="9">
        <v>2.0891E-4</v>
      </c>
      <c r="M8615" s="9">
        <v>1.5961999999999999E-4</v>
      </c>
      <c r="N8615" s="9">
        <v>1.3004E-4</v>
      </c>
      <c r="O8615" s="9">
        <v>1.65E-4</v>
      </c>
      <c r="P8615" s="9">
        <v>1.3433E-4</v>
      </c>
      <c r="Q8615" s="9">
        <v>1.0662000000000001E-4</v>
      </c>
      <c r="R8615" s="10">
        <v>2.0773096044264289E-4</v>
      </c>
      <c r="S8615" s="10">
        <v>1.3625358379221674E-4</v>
      </c>
      <c r="T8615" s="10">
        <v>0</v>
      </c>
      <c r="U8615" s="10">
        <v>1.6254E-4</v>
      </c>
      <c r="V8615" s="25"/>
      <c r="W8615" s="25"/>
      <c r="X8615" s="25"/>
      <c r="Y8615" s="25"/>
      <c r="Z8615" s="25"/>
      <c r="AA8615" s="25"/>
    </row>
    <row r="8616" spans="1:27" x14ac:dyDescent="0.35">
      <c r="A8616" s="5">
        <v>8612</v>
      </c>
      <c r="B8616" s="5">
        <v>359</v>
      </c>
      <c r="C8616" s="5">
        <v>12</v>
      </c>
      <c r="D8616" s="25">
        <v>1.1416E-4</v>
      </c>
      <c r="E8616" s="25">
        <v>1.114E-4</v>
      </c>
      <c r="F8616" s="25">
        <v>9.747E-5</v>
      </c>
      <c r="G8616" s="25">
        <v>1.0834E-4</v>
      </c>
      <c r="H8616" s="25">
        <v>1.3726E-4</v>
      </c>
      <c r="I8616" s="9">
        <v>1.1336999999999999E-4</v>
      </c>
      <c r="J8616" s="9">
        <v>1.2458E-4</v>
      </c>
      <c r="K8616" s="9">
        <v>2.5008000000000002E-4</v>
      </c>
      <c r="L8616" s="9">
        <v>1.7479E-4</v>
      </c>
      <c r="M8616" s="9">
        <v>1.5076999999999999E-4</v>
      </c>
      <c r="N8616" s="9">
        <v>1.2087E-4</v>
      </c>
      <c r="O8616" s="9">
        <v>1.3028000000000001E-4</v>
      </c>
      <c r="P8616" s="9">
        <v>1.1529E-4</v>
      </c>
      <c r="Q8616" s="9">
        <v>1.0226999999999999E-4</v>
      </c>
      <c r="R8616" s="10">
        <v>2.1125642709894193E-4</v>
      </c>
      <c r="S8616" s="10">
        <v>1.3227601675038433E-4</v>
      </c>
      <c r="T8616" s="10">
        <v>0</v>
      </c>
      <c r="U8616" s="10">
        <v>1.6254E-4</v>
      </c>
      <c r="V8616" s="25"/>
      <c r="W8616" s="25"/>
      <c r="X8616" s="25"/>
      <c r="Y8616" s="25"/>
      <c r="Z8616" s="25"/>
      <c r="AA8616" s="25"/>
    </row>
    <row r="8617" spans="1:27" x14ac:dyDescent="0.35">
      <c r="A8617" s="5">
        <v>8613</v>
      </c>
      <c r="B8617" s="5">
        <v>359</v>
      </c>
      <c r="C8617" s="5">
        <v>12</v>
      </c>
      <c r="D8617" s="25">
        <v>1.1416E-4</v>
      </c>
      <c r="E8617" s="25">
        <v>1.1752E-4</v>
      </c>
      <c r="F8617" s="25">
        <v>9.412E-5</v>
      </c>
      <c r="G8617" s="25">
        <v>5.3239999999999998E-5</v>
      </c>
      <c r="H8617" s="25">
        <v>6.4629999999999996E-5</v>
      </c>
      <c r="I8617" s="9">
        <v>1.0889E-4</v>
      </c>
      <c r="J8617" s="9">
        <v>1.1945E-4</v>
      </c>
      <c r="K8617" s="9">
        <v>2.5431999999999999E-4</v>
      </c>
      <c r="L8617" s="9">
        <v>1.4111000000000001E-4</v>
      </c>
      <c r="M8617" s="9">
        <v>1.3549999999999999E-4</v>
      </c>
      <c r="N8617" s="9">
        <v>1.1333E-4</v>
      </c>
      <c r="O8617" s="9">
        <v>8.5630000000000005E-5</v>
      </c>
      <c r="P8617" s="9">
        <v>8.6860000000000005E-5</v>
      </c>
      <c r="Q8617" s="9">
        <v>8.8869999999999994E-5</v>
      </c>
      <c r="R8617" s="10">
        <v>2.123509699346619E-4</v>
      </c>
      <c r="S8617" s="10">
        <v>1.4171068169629801E-4</v>
      </c>
      <c r="T8617" s="10">
        <v>0</v>
      </c>
      <c r="U8617" s="10">
        <v>1.6254E-4</v>
      </c>
      <c r="V8617" s="25"/>
      <c r="W8617" s="25"/>
      <c r="X8617" s="25"/>
      <c r="Y8617" s="25"/>
      <c r="Z8617" s="25"/>
      <c r="AA8617" s="25"/>
    </row>
    <row r="8618" spans="1:27" x14ac:dyDescent="0.35">
      <c r="A8618" s="5">
        <v>8614</v>
      </c>
      <c r="B8618" s="5">
        <v>359</v>
      </c>
      <c r="C8618" s="5">
        <v>12</v>
      </c>
      <c r="D8618" s="25">
        <v>1.1416E-4</v>
      </c>
      <c r="E8618" s="25">
        <v>1.1278E-4</v>
      </c>
      <c r="F8618" s="25">
        <v>8.9950000000000004E-5</v>
      </c>
      <c r="G8618" s="25">
        <v>5.8470000000000001E-5</v>
      </c>
      <c r="H8618" s="25">
        <v>6.8209999999999999E-5</v>
      </c>
      <c r="I8618" s="9">
        <v>1.06E-4</v>
      </c>
      <c r="J8618" s="9">
        <v>1.1404E-4</v>
      </c>
      <c r="K8618" s="9">
        <v>2.3737000000000001E-4</v>
      </c>
      <c r="L8618" s="9">
        <v>9.8759999999999996E-5</v>
      </c>
      <c r="M8618" s="9">
        <v>1.1406E-4</v>
      </c>
      <c r="N8618" s="9">
        <v>1.0584E-4</v>
      </c>
      <c r="O8618" s="9">
        <v>8.776E-5</v>
      </c>
      <c r="P8618" s="9">
        <v>8.755E-5</v>
      </c>
      <c r="Q8618" s="9">
        <v>8.8200000000000003E-5</v>
      </c>
      <c r="R8618" s="10">
        <v>2.1244936787709023E-4</v>
      </c>
      <c r="S8618" s="10">
        <v>1.517602853415661E-4</v>
      </c>
      <c r="T8618" s="10">
        <v>0</v>
      </c>
      <c r="U8618" s="10">
        <v>1.6254E-4</v>
      </c>
      <c r="V8618" s="25"/>
      <c r="W8618" s="25"/>
      <c r="X8618" s="25"/>
      <c r="Y8618" s="25"/>
      <c r="Z8618" s="25"/>
      <c r="AA8618" s="25"/>
    </row>
    <row r="8619" spans="1:27" x14ac:dyDescent="0.35">
      <c r="A8619" s="5">
        <v>8615</v>
      </c>
      <c r="B8619" s="5">
        <v>359</v>
      </c>
      <c r="C8619" s="5">
        <v>12</v>
      </c>
      <c r="D8619" s="25">
        <v>1.1416E-4</v>
      </c>
      <c r="E8619" s="25">
        <v>1.1406E-4</v>
      </c>
      <c r="F8619" s="25">
        <v>8.8049999999999999E-5</v>
      </c>
      <c r="G8619" s="25">
        <v>6.0619999999999999E-5</v>
      </c>
      <c r="H8619" s="25">
        <v>6.7180000000000004E-5</v>
      </c>
      <c r="I8619" s="9">
        <v>1.0825E-4</v>
      </c>
      <c r="J8619" s="9">
        <v>1.0922E-4</v>
      </c>
      <c r="K8619" s="9">
        <v>2.6279999999999999E-4</v>
      </c>
      <c r="L8619" s="9">
        <v>9.111E-5</v>
      </c>
      <c r="M8619" s="9">
        <v>9.9270000000000003E-5</v>
      </c>
      <c r="N8619" s="9">
        <v>1.0001999999999999E-4</v>
      </c>
      <c r="O8619" s="9">
        <v>7.8059999999999995E-5</v>
      </c>
      <c r="P8619" s="9">
        <v>7.2070000000000006E-5</v>
      </c>
      <c r="Q8619" s="9">
        <v>6.6829999999999995E-5</v>
      </c>
      <c r="R8619" s="10">
        <v>2.1244936787709023E-4</v>
      </c>
      <c r="S8619" s="10">
        <v>1.5096319903022619E-4</v>
      </c>
      <c r="T8619" s="10">
        <v>0</v>
      </c>
      <c r="U8619" s="10">
        <v>1.6254E-4</v>
      </c>
      <c r="V8619" s="25"/>
      <c r="W8619" s="25"/>
      <c r="X8619" s="25"/>
      <c r="Y8619" s="25"/>
      <c r="Z8619" s="25"/>
      <c r="AA8619" s="25"/>
    </row>
    <row r="8620" spans="1:27" x14ac:dyDescent="0.35">
      <c r="A8620" s="5">
        <v>8616</v>
      </c>
      <c r="B8620" s="5">
        <v>359</v>
      </c>
      <c r="C8620" s="5">
        <v>12</v>
      </c>
      <c r="D8620" s="25">
        <v>1.1416E-4</v>
      </c>
      <c r="E8620" s="25">
        <v>1.2297E-4</v>
      </c>
      <c r="F8620" s="25">
        <v>9.0110000000000003E-5</v>
      </c>
      <c r="G8620" s="25">
        <v>5.6400000000000002E-5</v>
      </c>
      <c r="H8620" s="25">
        <v>6.3390000000000001E-5</v>
      </c>
      <c r="I8620" s="9">
        <v>1.0963000000000001E-4</v>
      </c>
      <c r="J8620" s="9">
        <v>1.0395000000000001E-4</v>
      </c>
      <c r="K8620" s="9">
        <v>2.3525E-4</v>
      </c>
      <c r="L8620" s="9">
        <v>8.0939999999999994E-5</v>
      </c>
      <c r="M8620" s="9">
        <v>8.6210000000000003E-5</v>
      </c>
      <c r="N8620" s="9">
        <v>9.0690000000000001E-5</v>
      </c>
      <c r="O8620" s="9">
        <v>6.2899999999999997E-5</v>
      </c>
      <c r="P8620" s="9">
        <v>6.0730000000000003E-5</v>
      </c>
      <c r="Q8620" s="9">
        <v>5.8909999999999997E-5</v>
      </c>
      <c r="R8620" s="10">
        <v>2.1244936787709023E-4</v>
      </c>
      <c r="S8620" s="10">
        <v>1.6277573488499006E-4</v>
      </c>
      <c r="T8620" s="10">
        <v>0</v>
      </c>
      <c r="U8620" s="10">
        <v>1.6254E-4</v>
      </c>
      <c r="V8620" s="25"/>
      <c r="W8620" s="25"/>
      <c r="X8620" s="25"/>
      <c r="Y8620" s="25"/>
      <c r="Z8620" s="25"/>
      <c r="AA8620" s="25"/>
    </row>
    <row r="8621" spans="1:27" x14ac:dyDescent="0.35">
      <c r="A8621" s="5">
        <v>8617</v>
      </c>
      <c r="B8621" s="5">
        <v>360</v>
      </c>
      <c r="C8621" s="5">
        <v>12</v>
      </c>
      <c r="D8621" s="25">
        <v>1.1416E-4</v>
      </c>
      <c r="E8621" s="25">
        <v>1.0518000000000001E-4</v>
      </c>
      <c r="F8621" s="25">
        <v>1.3268000000000001E-4</v>
      </c>
      <c r="G8621" s="25">
        <v>5.7569999999999999E-5</v>
      </c>
      <c r="H8621" s="25">
        <v>7.5669999999999999E-5</v>
      </c>
      <c r="I8621" s="9">
        <v>1.049E-4</v>
      </c>
      <c r="J8621" s="9">
        <v>9.8469999999999997E-5</v>
      </c>
      <c r="K8621" s="9">
        <v>2.4795999999999998E-4</v>
      </c>
      <c r="L8621" s="9">
        <v>6.6870000000000002E-5</v>
      </c>
      <c r="M8621" s="9">
        <v>7.4029999999999994E-5</v>
      </c>
      <c r="N8621" s="9">
        <v>8.1269999999999999E-5</v>
      </c>
      <c r="O8621" s="9">
        <v>5.5050000000000003E-5</v>
      </c>
      <c r="P8621" s="9">
        <v>5.4459999999999997E-5</v>
      </c>
      <c r="Q8621" s="9">
        <v>5.4039999999999998E-5</v>
      </c>
      <c r="R8621" s="10">
        <v>2.1244936787709023E-4</v>
      </c>
      <c r="S8621" s="10">
        <v>1.6560121539324754E-4</v>
      </c>
      <c r="T8621" s="10">
        <v>0</v>
      </c>
      <c r="U8621" s="10">
        <v>1.6332E-4</v>
      </c>
      <c r="V8621" s="25"/>
      <c r="W8621" s="25"/>
      <c r="X8621" s="25"/>
      <c r="Y8621" s="25"/>
      <c r="Z8621" s="25"/>
      <c r="AA8621" s="25"/>
    </row>
    <row r="8622" spans="1:27" x14ac:dyDescent="0.35">
      <c r="A8622" s="5">
        <v>8618</v>
      </c>
      <c r="B8622" s="5">
        <v>360</v>
      </c>
      <c r="C8622" s="5">
        <v>12</v>
      </c>
      <c r="D8622" s="25">
        <v>1.1416E-4</v>
      </c>
      <c r="E8622" s="25">
        <v>1.1201000000000001E-4</v>
      </c>
      <c r="F8622" s="25">
        <v>1.3468E-4</v>
      </c>
      <c r="G8622" s="25">
        <v>6.0819999999999997E-5</v>
      </c>
      <c r="H8622" s="25">
        <v>7.1649999999999993E-5</v>
      </c>
      <c r="I8622" s="9">
        <v>9.912E-5</v>
      </c>
      <c r="J8622" s="9">
        <v>9.3270000000000007E-5</v>
      </c>
      <c r="K8622" s="9">
        <v>2.3948E-4</v>
      </c>
      <c r="L8622" s="9">
        <v>5.8029999999999998E-5</v>
      </c>
      <c r="M8622" s="9">
        <v>6.41E-5</v>
      </c>
      <c r="N8622" s="9">
        <v>7.2249999999999994E-5</v>
      </c>
      <c r="O8622" s="9">
        <v>1.8300000000000001E-5</v>
      </c>
      <c r="P8622" s="9">
        <v>3.7530000000000002E-5</v>
      </c>
      <c r="Q8622" s="9">
        <v>5.5859999999999997E-5</v>
      </c>
      <c r="R8622" s="10">
        <v>2.1244936787709023E-4</v>
      </c>
      <c r="S8622" s="10">
        <v>1.7609800260008136E-4</v>
      </c>
      <c r="T8622" s="10">
        <v>0</v>
      </c>
      <c r="U8622" s="10">
        <v>1.6332E-4</v>
      </c>
      <c r="V8622" s="25"/>
      <c r="W8622" s="25"/>
      <c r="X8622" s="25"/>
      <c r="Y8622" s="25"/>
      <c r="Z8622" s="25"/>
      <c r="AA8622" s="25"/>
    </row>
    <row r="8623" spans="1:27" x14ac:dyDescent="0.35">
      <c r="A8623" s="5">
        <v>8619</v>
      </c>
      <c r="B8623" s="5">
        <v>360</v>
      </c>
      <c r="C8623" s="5">
        <v>12</v>
      </c>
      <c r="D8623" s="25">
        <v>1.1416E-4</v>
      </c>
      <c r="E8623" s="25">
        <v>1.1243000000000001E-4</v>
      </c>
      <c r="F8623" s="25">
        <v>1.3323E-4</v>
      </c>
      <c r="G8623" s="25">
        <v>5.4729999999999999E-5</v>
      </c>
      <c r="H8623" s="25">
        <v>6.7899999999999997E-5</v>
      </c>
      <c r="I8623" s="9">
        <v>9.3250000000000003E-5</v>
      </c>
      <c r="J8623" s="9">
        <v>8.9090000000000003E-5</v>
      </c>
      <c r="K8623" s="9">
        <v>2.4372E-4</v>
      </c>
      <c r="L8623" s="9">
        <v>2.724E-5</v>
      </c>
      <c r="M8623" s="9">
        <v>5.2280000000000001E-5</v>
      </c>
      <c r="N8623" s="9">
        <v>6.5569999999999997E-5</v>
      </c>
      <c r="O8623" s="9">
        <v>1.288E-5</v>
      </c>
      <c r="P8623" s="9">
        <v>3.7830000000000002E-5</v>
      </c>
      <c r="Q8623" s="9">
        <v>6.1660000000000003E-5</v>
      </c>
      <c r="R8623" s="10">
        <v>2.1244936787709023E-4</v>
      </c>
      <c r="S8623" s="10">
        <v>1.8539352294161477E-4</v>
      </c>
      <c r="T8623" s="10">
        <v>0</v>
      </c>
      <c r="U8623" s="10">
        <v>1.6332E-4</v>
      </c>
      <c r="V8623" s="25"/>
      <c r="W8623" s="25"/>
      <c r="X8623" s="25"/>
      <c r="Y8623" s="25"/>
      <c r="Z8623" s="25"/>
      <c r="AA8623" s="25"/>
    </row>
    <row r="8624" spans="1:27" x14ac:dyDescent="0.35">
      <c r="A8624" s="5">
        <v>8620</v>
      </c>
      <c r="B8624" s="5">
        <v>360</v>
      </c>
      <c r="C8624" s="5">
        <v>12</v>
      </c>
      <c r="D8624" s="25">
        <v>1.1416E-4</v>
      </c>
      <c r="E8624" s="25">
        <v>1.1169E-4</v>
      </c>
      <c r="F8624" s="25">
        <v>1.3066E-4</v>
      </c>
      <c r="G8624" s="25">
        <v>5.7179999999999998E-5</v>
      </c>
      <c r="H8624" s="25">
        <v>6.7479999999999998E-5</v>
      </c>
      <c r="I8624" s="9">
        <v>8.9480000000000004E-5</v>
      </c>
      <c r="J8624" s="9">
        <v>8.7360000000000004E-5</v>
      </c>
      <c r="K8624" s="9">
        <v>2.6068E-4</v>
      </c>
      <c r="L8624" s="9">
        <v>1.6799999999999998E-5</v>
      </c>
      <c r="M8624" s="9">
        <v>4.4249999999999998E-5</v>
      </c>
      <c r="N8624" s="9">
        <v>6.1989999999999994E-5</v>
      </c>
      <c r="O8624" s="9">
        <v>1.289E-5</v>
      </c>
      <c r="P8624" s="9">
        <v>4.7320000000000001E-5</v>
      </c>
      <c r="Q8624" s="9">
        <v>8.0469999999999994E-5</v>
      </c>
      <c r="R8624" s="10">
        <v>2.1244936787709023E-4</v>
      </c>
      <c r="S8624" s="10">
        <v>1.8317550250565801E-4</v>
      </c>
      <c r="T8624" s="10">
        <v>0</v>
      </c>
      <c r="U8624" s="10">
        <v>1.6332E-4</v>
      </c>
      <c r="V8624" s="25"/>
      <c r="W8624" s="25"/>
      <c r="X8624" s="25"/>
      <c r="Y8624" s="25"/>
      <c r="Z8624" s="25"/>
      <c r="AA8624" s="25"/>
    </row>
    <row r="8625" spans="1:27" x14ac:dyDescent="0.35">
      <c r="A8625" s="5">
        <v>8621</v>
      </c>
      <c r="B8625" s="5">
        <v>360</v>
      </c>
      <c r="C8625" s="5">
        <v>12</v>
      </c>
      <c r="D8625" s="25">
        <v>1.1416E-4</v>
      </c>
      <c r="E8625" s="25">
        <v>1.1095E-4</v>
      </c>
      <c r="F8625" s="25">
        <v>1.1370999999999999E-4</v>
      </c>
      <c r="G8625" s="25">
        <v>6.0149999999999998E-5</v>
      </c>
      <c r="H8625" s="25">
        <v>7.1870000000000001E-5</v>
      </c>
      <c r="I8625" s="9">
        <v>8.7769999999999995E-5</v>
      </c>
      <c r="J8625" s="9">
        <v>8.6890000000000003E-5</v>
      </c>
      <c r="K8625" s="9">
        <v>2.6703000000000002E-4</v>
      </c>
      <c r="L8625" s="9">
        <v>1.4E-5</v>
      </c>
      <c r="M8625" s="9">
        <v>4.3550000000000001E-5</v>
      </c>
      <c r="N8625" s="9">
        <v>6.4519999999999999E-5</v>
      </c>
      <c r="O8625" s="9">
        <v>1.8430000000000001E-5</v>
      </c>
      <c r="P8625" s="9">
        <v>5.6709999999999997E-5</v>
      </c>
      <c r="Q8625" s="9">
        <v>9.378E-5</v>
      </c>
      <c r="R8625" s="10">
        <v>2.1244936787709023E-4</v>
      </c>
      <c r="S8625" s="10">
        <v>1.6857157272753826E-4</v>
      </c>
      <c r="T8625" s="10">
        <v>0</v>
      </c>
      <c r="U8625" s="10">
        <v>1.6332E-4</v>
      </c>
      <c r="V8625" s="25"/>
      <c r="W8625" s="25"/>
      <c r="X8625" s="25"/>
      <c r="Y8625" s="25"/>
      <c r="Z8625" s="25"/>
      <c r="AA8625" s="25"/>
    </row>
    <row r="8626" spans="1:27" x14ac:dyDescent="0.35">
      <c r="A8626" s="5">
        <v>8622</v>
      </c>
      <c r="B8626" s="5">
        <v>360</v>
      </c>
      <c r="C8626" s="5">
        <v>12</v>
      </c>
      <c r="D8626" s="25">
        <v>1.1416E-4</v>
      </c>
      <c r="E8626" s="25">
        <v>1.0747E-4</v>
      </c>
      <c r="F8626" s="25">
        <v>1.1336E-4</v>
      </c>
      <c r="G8626" s="25">
        <v>1.0734E-4</v>
      </c>
      <c r="H8626" s="25">
        <v>1.3274000000000001E-4</v>
      </c>
      <c r="I8626" s="9">
        <v>8.797E-5</v>
      </c>
      <c r="J8626" s="9">
        <v>8.7899999999999995E-5</v>
      </c>
      <c r="K8626" s="9">
        <v>2.5856000000000002E-4</v>
      </c>
      <c r="L8626" s="9">
        <v>1.732E-5</v>
      </c>
      <c r="M8626" s="9">
        <v>4.846E-5</v>
      </c>
      <c r="N8626" s="9">
        <v>7.1089999999999999E-5</v>
      </c>
      <c r="O8626" s="9">
        <v>4.5809999999999997E-5</v>
      </c>
      <c r="P8626" s="9">
        <v>7.6240000000000002E-5</v>
      </c>
      <c r="Q8626" s="9">
        <v>1.0616E-4</v>
      </c>
      <c r="R8626" s="10">
        <v>2.1244936787709023E-4</v>
      </c>
      <c r="S8626" s="10">
        <v>1.5048624633970137E-4</v>
      </c>
      <c r="T8626" s="10">
        <v>0</v>
      </c>
      <c r="U8626" s="10">
        <v>1.6332E-4</v>
      </c>
      <c r="V8626" s="25"/>
      <c r="W8626" s="25"/>
      <c r="X8626" s="25"/>
      <c r="Y8626" s="25"/>
      <c r="Z8626" s="25"/>
      <c r="AA8626" s="25"/>
    </row>
    <row r="8627" spans="1:27" x14ac:dyDescent="0.35">
      <c r="A8627" s="5">
        <v>8623</v>
      </c>
      <c r="B8627" s="5">
        <v>360</v>
      </c>
      <c r="C8627" s="5">
        <v>12</v>
      </c>
      <c r="D8627" s="25">
        <v>1.1416E-4</v>
      </c>
      <c r="E8627" s="25">
        <v>1.0598E-4</v>
      </c>
      <c r="F8627" s="25">
        <v>1.2829000000000001E-4</v>
      </c>
      <c r="G8627" s="25">
        <v>1.1148E-4</v>
      </c>
      <c r="H8627" s="25">
        <v>1.2941999999999999E-4</v>
      </c>
      <c r="I8627" s="9">
        <v>8.9279999999999999E-5</v>
      </c>
      <c r="J8627" s="9">
        <v>9.0389999999999993E-5</v>
      </c>
      <c r="K8627" s="9">
        <v>2.6491999999999998E-4</v>
      </c>
      <c r="L8627" s="9">
        <v>3.9400000000000002E-5</v>
      </c>
      <c r="M8627" s="9">
        <v>5.9849999999999998E-5</v>
      </c>
      <c r="N8627" s="9">
        <v>8.0580000000000004E-5</v>
      </c>
      <c r="O8627" s="9">
        <v>1.2355999999999999E-4</v>
      </c>
      <c r="P8627" s="9">
        <v>1.1692E-4</v>
      </c>
      <c r="Q8627" s="9">
        <v>1.1201000000000001E-4</v>
      </c>
      <c r="R8627" s="10">
        <v>2.1244936787709023E-4</v>
      </c>
      <c r="S8627" s="10">
        <v>1.2978366463729167E-4</v>
      </c>
      <c r="T8627" s="10">
        <v>0</v>
      </c>
      <c r="U8627" s="10">
        <v>1.6332E-4</v>
      </c>
      <c r="V8627" s="25"/>
      <c r="W8627" s="25"/>
      <c r="X8627" s="25"/>
      <c r="Y8627" s="25"/>
      <c r="Z8627" s="25"/>
      <c r="AA8627" s="25"/>
    </row>
    <row r="8628" spans="1:27" x14ac:dyDescent="0.35">
      <c r="A8628" s="5">
        <v>8624</v>
      </c>
      <c r="B8628" s="5">
        <v>360</v>
      </c>
      <c r="C8628" s="5">
        <v>12</v>
      </c>
      <c r="D8628" s="25">
        <v>1.1416E-4</v>
      </c>
      <c r="E8628" s="25">
        <v>1.1422E-4</v>
      </c>
      <c r="F8628" s="25">
        <v>1.2857E-4</v>
      </c>
      <c r="G8628" s="25">
        <v>1.6128E-4</v>
      </c>
      <c r="H8628" s="25">
        <v>1.9865E-4</v>
      </c>
      <c r="I8628" s="9">
        <v>8.9519999999999997E-5</v>
      </c>
      <c r="J8628" s="9">
        <v>9.4950000000000004E-5</v>
      </c>
      <c r="K8628" s="9">
        <v>2.967E-4</v>
      </c>
      <c r="L8628" s="9">
        <v>1.0442000000000001E-4</v>
      </c>
      <c r="M8628" s="9">
        <v>8.3319999999999995E-5</v>
      </c>
      <c r="N8628" s="9">
        <v>9.0589999999999998E-5</v>
      </c>
      <c r="O8628" s="9">
        <v>2.1968000000000001E-4</v>
      </c>
      <c r="P8628" s="9">
        <v>1.7543999999999999E-4</v>
      </c>
      <c r="Q8628" s="9">
        <v>1.3553E-4</v>
      </c>
      <c r="R8628" s="10">
        <v>2.1244936787709023E-4</v>
      </c>
      <c r="S8628" s="10">
        <v>1.2643704637742086E-4</v>
      </c>
      <c r="T8628" s="10">
        <v>0</v>
      </c>
      <c r="U8628" s="10">
        <v>1.6332E-4</v>
      </c>
      <c r="V8628" s="25"/>
      <c r="W8628" s="25"/>
      <c r="X8628" s="25"/>
      <c r="Y8628" s="25"/>
      <c r="Z8628" s="25"/>
      <c r="AA8628" s="25"/>
    </row>
    <row r="8629" spans="1:27" x14ac:dyDescent="0.35">
      <c r="A8629" s="5">
        <v>8625</v>
      </c>
      <c r="B8629" s="5">
        <v>360</v>
      </c>
      <c r="C8629" s="5">
        <v>12</v>
      </c>
      <c r="D8629" s="25">
        <v>1.1416E-4</v>
      </c>
      <c r="E8629" s="25">
        <v>1.1184E-4</v>
      </c>
      <c r="F8629" s="25">
        <v>1.1605E-4</v>
      </c>
      <c r="G8629" s="25">
        <v>1.6521E-4</v>
      </c>
      <c r="H8629" s="25">
        <v>2.0112999999999999E-4</v>
      </c>
      <c r="I8629" s="9">
        <v>9.3469999999999998E-5</v>
      </c>
      <c r="J8629" s="9">
        <v>1.0200999999999999E-4</v>
      </c>
      <c r="K8629" s="9">
        <v>2.9034999999999998E-4</v>
      </c>
      <c r="L8629" s="9">
        <v>1.9254E-4</v>
      </c>
      <c r="M8629" s="9">
        <v>1.2255999999999999E-4</v>
      </c>
      <c r="N8629" s="9">
        <v>1.0408000000000001E-4</v>
      </c>
      <c r="O8629" s="9">
        <v>2.1179E-4</v>
      </c>
      <c r="P8629" s="9">
        <v>1.9186E-4</v>
      </c>
      <c r="Q8629" s="9">
        <v>1.7571000000000001E-4</v>
      </c>
      <c r="R8629" s="10">
        <v>2.1244936787709023E-4</v>
      </c>
      <c r="S8629" s="10">
        <v>1.3122584092078882E-4</v>
      </c>
      <c r="T8629" s="10">
        <v>0</v>
      </c>
      <c r="U8629" s="10">
        <v>1.6332E-4</v>
      </c>
      <c r="V8629" s="25"/>
      <c r="W8629" s="25"/>
      <c r="X8629" s="25"/>
      <c r="Y8629" s="25"/>
      <c r="Z8629" s="25"/>
      <c r="AA8629" s="25"/>
    </row>
    <row r="8630" spans="1:27" x14ac:dyDescent="0.35">
      <c r="A8630" s="5">
        <v>8626</v>
      </c>
      <c r="B8630" s="5">
        <v>360</v>
      </c>
      <c r="C8630" s="5">
        <v>12</v>
      </c>
      <c r="D8630" s="25">
        <v>1.1416E-4</v>
      </c>
      <c r="E8630" s="25">
        <v>1.0718E-4</v>
      </c>
      <c r="F8630" s="25">
        <v>1.189E-4</v>
      </c>
      <c r="G8630" s="25">
        <v>1.5934E-4</v>
      </c>
      <c r="H8630" s="25">
        <v>2.0149999999999999E-4</v>
      </c>
      <c r="I8630" s="9">
        <v>9.8369999999999995E-5</v>
      </c>
      <c r="J8630" s="9">
        <v>1.0834E-4</v>
      </c>
      <c r="K8630" s="9">
        <v>2.3524E-4</v>
      </c>
      <c r="L8630" s="9">
        <v>2.0524000000000001E-4</v>
      </c>
      <c r="M8630" s="9">
        <v>1.5745000000000001E-4</v>
      </c>
      <c r="N8630" s="9">
        <v>1.2386999999999999E-4</v>
      </c>
      <c r="O8630" s="9">
        <v>1.6981E-4</v>
      </c>
      <c r="P8630" s="9">
        <v>1.7539000000000001E-4</v>
      </c>
      <c r="Q8630" s="9">
        <v>1.8346000000000001E-4</v>
      </c>
      <c r="R8630" s="10">
        <v>2.1244936787709023E-4</v>
      </c>
      <c r="S8630" s="10">
        <v>1.4516930593950976E-4</v>
      </c>
      <c r="T8630" s="10">
        <v>1.9250875225473371E-5</v>
      </c>
      <c r="U8630" s="10">
        <v>1.6332E-4</v>
      </c>
      <c r="V8630" s="25"/>
      <c r="W8630" s="25"/>
      <c r="X8630" s="25"/>
      <c r="Y8630" s="25"/>
      <c r="Z8630" s="25"/>
      <c r="AA8630" s="25"/>
    </row>
    <row r="8631" spans="1:27" x14ac:dyDescent="0.35">
      <c r="A8631" s="5">
        <v>8627</v>
      </c>
      <c r="B8631" s="5">
        <v>360</v>
      </c>
      <c r="C8631" s="5">
        <v>12</v>
      </c>
      <c r="D8631" s="25">
        <v>1.1416E-4</v>
      </c>
      <c r="E8631" s="25">
        <v>1.1278E-4</v>
      </c>
      <c r="F8631" s="25">
        <v>1.3106000000000001E-4</v>
      </c>
      <c r="G8631" s="25">
        <v>1.6354999999999999E-4</v>
      </c>
      <c r="H8631" s="25">
        <v>1.9286999999999999E-4</v>
      </c>
      <c r="I8631" s="9">
        <v>1.0375E-4</v>
      </c>
      <c r="J8631" s="9">
        <v>1.1296E-4</v>
      </c>
      <c r="K8631" s="9">
        <v>2.0770000000000001E-4</v>
      </c>
      <c r="L8631" s="9">
        <v>1.7767999999999999E-4</v>
      </c>
      <c r="M8631" s="9">
        <v>1.7200000000000001E-4</v>
      </c>
      <c r="N8631" s="9">
        <v>1.4233E-4</v>
      </c>
      <c r="O8631" s="9">
        <v>1.6715999999999999E-4</v>
      </c>
      <c r="P8631" s="9">
        <v>1.7132000000000001E-4</v>
      </c>
      <c r="Q8631" s="9">
        <v>1.7793999999999999E-4</v>
      </c>
      <c r="R8631" s="10">
        <v>2.1244936787709023E-4</v>
      </c>
      <c r="S8631" s="10">
        <v>1.5450468668119235E-4</v>
      </c>
      <c r="T8631" s="10">
        <v>2.2336614899120204E-4</v>
      </c>
      <c r="U8631" s="10">
        <v>1.6332E-4</v>
      </c>
      <c r="V8631" s="25"/>
      <c r="W8631" s="25"/>
      <c r="X8631" s="25"/>
      <c r="Y8631" s="25"/>
      <c r="Z8631" s="25"/>
      <c r="AA8631" s="25"/>
    </row>
    <row r="8632" spans="1:27" x14ac:dyDescent="0.35">
      <c r="A8632" s="5">
        <v>8628</v>
      </c>
      <c r="B8632" s="5">
        <v>360</v>
      </c>
      <c r="C8632" s="5">
        <v>12</v>
      </c>
      <c r="D8632" s="25">
        <v>1.1416E-4</v>
      </c>
      <c r="E8632" s="25">
        <v>1.1273999999999999E-4</v>
      </c>
      <c r="F8632" s="25">
        <v>1.3236000000000001E-4</v>
      </c>
      <c r="G8632" s="25">
        <v>1.5677000000000001E-4</v>
      </c>
      <c r="H8632" s="25">
        <v>2.0185E-4</v>
      </c>
      <c r="I8632" s="9">
        <v>1.0757E-4</v>
      </c>
      <c r="J8632" s="9">
        <v>1.1488E-4</v>
      </c>
      <c r="K8632" s="9">
        <v>1.8226000000000001E-4</v>
      </c>
      <c r="L8632" s="9">
        <v>1.7084000000000001E-4</v>
      </c>
      <c r="M8632" s="9">
        <v>1.7431E-4</v>
      </c>
      <c r="N8632" s="9">
        <v>1.5616999999999999E-4</v>
      </c>
      <c r="O8632" s="9">
        <v>1.7279E-4</v>
      </c>
      <c r="P8632" s="9">
        <v>1.7285999999999999E-4</v>
      </c>
      <c r="Q8632" s="9">
        <v>1.7555000000000001E-4</v>
      </c>
      <c r="R8632" s="10">
        <v>2.1244527046843708E-4</v>
      </c>
      <c r="S8632" s="10">
        <v>1.5079296165915291E-4</v>
      </c>
      <c r="T8632" s="10">
        <v>3.8393151419264913E-4</v>
      </c>
      <c r="U8632" s="10">
        <v>1.6332E-4</v>
      </c>
      <c r="V8632" s="25"/>
      <c r="W8632" s="25"/>
      <c r="X8632" s="25"/>
      <c r="Y8632" s="25"/>
      <c r="Z8632" s="25"/>
      <c r="AA8632" s="25"/>
    </row>
    <row r="8633" spans="1:27" x14ac:dyDescent="0.35">
      <c r="A8633" s="5">
        <v>8629</v>
      </c>
      <c r="B8633" s="5">
        <v>360</v>
      </c>
      <c r="C8633" s="5">
        <v>12</v>
      </c>
      <c r="D8633" s="25">
        <v>1.1416E-4</v>
      </c>
      <c r="E8633" s="25">
        <v>1.1073000000000001E-4</v>
      </c>
      <c r="F8633" s="25">
        <v>1.1907E-4</v>
      </c>
      <c r="G8633" s="25">
        <v>1.5694E-4</v>
      </c>
      <c r="H8633" s="25">
        <v>1.9531E-4</v>
      </c>
      <c r="I8633" s="9">
        <v>1.0874000000000001E-4</v>
      </c>
      <c r="J8633" s="9">
        <v>1.1579E-4</v>
      </c>
      <c r="K8633" s="9">
        <v>2.6279E-4</v>
      </c>
      <c r="L8633" s="9">
        <v>1.7258E-4</v>
      </c>
      <c r="M8633" s="9">
        <v>1.7386999999999999E-4</v>
      </c>
      <c r="N8633" s="9">
        <v>1.6605999999999999E-4</v>
      </c>
      <c r="O8633" s="9">
        <v>1.6185E-4</v>
      </c>
      <c r="P8633" s="9">
        <v>1.6281999999999999E-4</v>
      </c>
      <c r="Q8633" s="9">
        <v>1.6619000000000001E-4</v>
      </c>
      <c r="R8633" s="10">
        <v>2.1244488359694781E-4</v>
      </c>
      <c r="S8633" s="10">
        <v>1.4463699175904575E-4</v>
      </c>
      <c r="T8633" s="10">
        <v>3.7128142386158667E-4</v>
      </c>
      <c r="U8633" s="10">
        <v>1.6332E-4</v>
      </c>
      <c r="V8633" s="25"/>
      <c r="W8633" s="25"/>
      <c r="X8633" s="25"/>
      <c r="Y8633" s="25"/>
      <c r="Z8633" s="25"/>
      <c r="AA8633" s="25"/>
    </row>
    <row r="8634" spans="1:27" x14ac:dyDescent="0.35">
      <c r="A8634" s="5">
        <v>8630</v>
      </c>
      <c r="B8634" s="5">
        <v>360</v>
      </c>
      <c r="C8634" s="5">
        <v>12</v>
      </c>
      <c r="D8634" s="25">
        <v>1.1416E-4</v>
      </c>
      <c r="E8634" s="25">
        <v>1.131E-4</v>
      </c>
      <c r="F8634" s="25">
        <v>1.3077E-4</v>
      </c>
      <c r="G8634" s="25">
        <v>1.6427E-4</v>
      </c>
      <c r="H8634" s="25">
        <v>1.8856E-4</v>
      </c>
      <c r="I8634" s="9">
        <v>1.0737E-4</v>
      </c>
      <c r="J8634" s="9">
        <v>1.1534E-4</v>
      </c>
      <c r="K8634" s="9">
        <v>2.7338999999999998E-4</v>
      </c>
      <c r="L8634" s="9">
        <v>1.6390999999999999E-4</v>
      </c>
      <c r="M8634" s="9">
        <v>1.6975000000000001E-4</v>
      </c>
      <c r="N8634" s="9">
        <v>1.7023E-4</v>
      </c>
      <c r="O8634" s="9">
        <v>1.7823000000000001E-4</v>
      </c>
      <c r="P8634" s="9">
        <v>1.6734000000000001E-4</v>
      </c>
      <c r="Q8634" s="9">
        <v>1.5938000000000001E-4</v>
      </c>
      <c r="R8634" s="10">
        <v>2.1242697484366002E-4</v>
      </c>
      <c r="S8634" s="10">
        <v>1.4613677091396141E-4</v>
      </c>
      <c r="T8634" s="10">
        <v>3.6332315107115301E-4</v>
      </c>
      <c r="U8634" s="10">
        <v>1.6332E-4</v>
      </c>
      <c r="V8634" s="25"/>
      <c r="W8634" s="25"/>
      <c r="X8634" s="25"/>
      <c r="Y8634" s="25"/>
      <c r="Z8634" s="25"/>
      <c r="AA8634" s="25"/>
    </row>
    <row r="8635" spans="1:27" x14ac:dyDescent="0.35">
      <c r="A8635" s="5">
        <v>8631</v>
      </c>
      <c r="B8635" s="5">
        <v>360</v>
      </c>
      <c r="C8635" s="5">
        <v>12</v>
      </c>
      <c r="D8635" s="25">
        <v>1.1416E-4</v>
      </c>
      <c r="E8635" s="25">
        <v>1.0828E-4</v>
      </c>
      <c r="F8635" s="25">
        <v>1.2383000000000001E-4</v>
      </c>
      <c r="G8635" s="25">
        <v>1.6515E-4</v>
      </c>
      <c r="H8635" s="25">
        <v>1.9965E-4</v>
      </c>
      <c r="I8635" s="9">
        <v>1.0501999999999999E-4</v>
      </c>
      <c r="J8635" s="9">
        <v>1.1364E-4</v>
      </c>
      <c r="K8635" s="9">
        <v>2.6279999999999999E-4</v>
      </c>
      <c r="L8635" s="9">
        <v>1.7527999999999999E-4</v>
      </c>
      <c r="M8635" s="9">
        <v>1.6770000000000001E-4</v>
      </c>
      <c r="N8635" s="9">
        <v>1.6953000000000001E-4</v>
      </c>
      <c r="O8635" s="9">
        <v>1.8519000000000001E-4</v>
      </c>
      <c r="P8635" s="9">
        <v>1.6731E-4</v>
      </c>
      <c r="Q8635" s="9">
        <v>1.526E-4</v>
      </c>
      <c r="R8635" s="10">
        <v>2.1243693285477377E-4</v>
      </c>
      <c r="S8635" s="10">
        <v>1.5868343784469812E-4</v>
      </c>
      <c r="T8635" s="10">
        <v>2.1586602836567604E-4</v>
      </c>
      <c r="U8635" s="10">
        <v>1.6332E-4</v>
      </c>
      <c r="V8635" s="25"/>
      <c r="W8635" s="25"/>
      <c r="X8635" s="25"/>
      <c r="Y8635" s="25"/>
      <c r="Z8635" s="25"/>
      <c r="AA8635" s="25"/>
    </row>
    <row r="8636" spans="1:27" x14ac:dyDescent="0.35">
      <c r="A8636" s="5">
        <v>8632</v>
      </c>
      <c r="B8636" s="5">
        <v>360</v>
      </c>
      <c r="C8636" s="5">
        <v>12</v>
      </c>
      <c r="D8636" s="25">
        <v>1.1416E-4</v>
      </c>
      <c r="E8636" s="25">
        <v>1.0929000000000001E-4</v>
      </c>
      <c r="F8636" s="25">
        <v>1.1786999999999999E-4</v>
      </c>
      <c r="G8636" s="25">
        <v>1.6458999999999999E-4</v>
      </c>
      <c r="H8636" s="25">
        <v>1.9798E-4</v>
      </c>
      <c r="I8636" s="9">
        <v>1.0401E-4</v>
      </c>
      <c r="J8636" s="9">
        <v>1.1267E-4</v>
      </c>
      <c r="K8636" s="9">
        <v>2.8186999999999998E-4</v>
      </c>
      <c r="L8636" s="9">
        <v>1.8273000000000001E-4</v>
      </c>
      <c r="M8636" s="9">
        <v>1.6710999999999999E-4</v>
      </c>
      <c r="N8636" s="9">
        <v>1.6568999999999999E-4</v>
      </c>
      <c r="O8636" s="9">
        <v>1.9801000000000001E-4</v>
      </c>
      <c r="P8636" s="9">
        <v>1.5164000000000001E-4</v>
      </c>
      <c r="Q8636" s="9">
        <v>1.0917999999999999E-4</v>
      </c>
      <c r="R8636" s="10">
        <v>2.1243505543195543E-4</v>
      </c>
      <c r="S8636" s="10">
        <v>1.6285701983756264E-4</v>
      </c>
      <c r="T8636" s="10">
        <v>0</v>
      </c>
      <c r="U8636" s="10">
        <v>1.6332E-4</v>
      </c>
      <c r="V8636" s="25"/>
      <c r="W8636" s="25"/>
      <c r="X8636" s="25"/>
      <c r="Y8636" s="25"/>
      <c r="Z8636" s="25"/>
      <c r="AA8636" s="25"/>
    </row>
    <row r="8637" spans="1:27" x14ac:dyDescent="0.35">
      <c r="A8637" s="5">
        <v>8633</v>
      </c>
      <c r="B8637" s="5">
        <v>360</v>
      </c>
      <c r="C8637" s="5">
        <v>12</v>
      </c>
      <c r="D8637" s="25">
        <v>1.1416E-4</v>
      </c>
      <c r="E8637" s="25">
        <v>1.1246E-4</v>
      </c>
      <c r="F8637" s="25">
        <v>1.2176999999999999E-4</v>
      </c>
      <c r="G8637" s="25">
        <v>1.6310000000000001E-4</v>
      </c>
      <c r="H8637" s="25">
        <v>1.9438999999999999E-4</v>
      </c>
      <c r="I8637" s="9">
        <v>1.0445E-4</v>
      </c>
      <c r="J8637" s="9">
        <v>1.1495E-4</v>
      </c>
      <c r="K8637" s="9">
        <v>3.0518E-4</v>
      </c>
      <c r="L8637" s="9">
        <v>1.9437999999999999E-4</v>
      </c>
      <c r="M8637" s="9">
        <v>1.6152000000000001E-4</v>
      </c>
      <c r="N8637" s="9">
        <v>1.5194000000000001E-4</v>
      </c>
      <c r="O8637" s="9">
        <v>2.1521999999999999E-4</v>
      </c>
      <c r="P8637" s="9">
        <v>1.5881000000000001E-4</v>
      </c>
      <c r="Q8637" s="9">
        <v>1.0682E-4</v>
      </c>
      <c r="R8637" s="10">
        <v>2.1244062479558072E-4</v>
      </c>
      <c r="S8637" s="10">
        <v>1.6626475320237729E-4</v>
      </c>
      <c r="T8637" s="10">
        <v>0</v>
      </c>
      <c r="U8637" s="10">
        <v>1.6332E-4</v>
      </c>
      <c r="V8637" s="25"/>
      <c r="W8637" s="25"/>
      <c r="X8637" s="25"/>
      <c r="Y8637" s="25"/>
      <c r="Z8637" s="25"/>
      <c r="AA8637" s="25"/>
    </row>
    <row r="8638" spans="1:27" x14ac:dyDescent="0.35">
      <c r="A8638" s="5">
        <v>8634</v>
      </c>
      <c r="B8638" s="5">
        <v>360</v>
      </c>
      <c r="C8638" s="5">
        <v>12</v>
      </c>
      <c r="D8638" s="25">
        <v>1.1416E-4</v>
      </c>
      <c r="E8638" s="25">
        <v>1.0573000000000001E-4</v>
      </c>
      <c r="F8638" s="25">
        <v>1.3386E-4</v>
      </c>
      <c r="G8638" s="25">
        <v>1.6322E-4</v>
      </c>
      <c r="H8638" s="25">
        <v>2.0081999999999999E-4</v>
      </c>
      <c r="I8638" s="9">
        <v>1.0870999999999999E-4</v>
      </c>
      <c r="J8638" s="9">
        <v>1.2173E-4</v>
      </c>
      <c r="K8638" s="9">
        <v>3.1154000000000002E-4</v>
      </c>
      <c r="L8638" s="9">
        <v>2.1039999999999999E-4</v>
      </c>
      <c r="M8638" s="9">
        <v>1.5899999999999999E-4</v>
      </c>
      <c r="N8638" s="9">
        <v>1.3857E-4</v>
      </c>
      <c r="O8638" s="9">
        <v>2.0618000000000001E-4</v>
      </c>
      <c r="P8638" s="9">
        <v>1.596E-4</v>
      </c>
      <c r="Q8638" s="9">
        <v>1.1709000000000001E-4</v>
      </c>
      <c r="R8638" s="10">
        <v>2.1243976979671043E-4</v>
      </c>
      <c r="S8638" s="10">
        <v>1.719043069421894E-4</v>
      </c>
      <c r="T8638" s="10">
        <v>0</v>
      </c>
      <c r="U8638" s="10">
        <v>1.6332E-4</v>
      </c>
      <c r="V8638" s="25"/>
      <c r="W8638" s="25"/>
      <c r="X8638" s="25"/>
      <c r="Y8638" s="25"/>
      <c r="Z8638" s="25"/>
      <c r="AA8638" s="25"/>
    </row>
    <row r="8639" spans="1:27" x14ac:dyDescent="0.35">
      <c r="A8639" s="5">
        <v>8635</v>
      </c>
      <c r="B8639" s="5">
        <v>360</v>
      </c>
      <c r="C8639" s="5">
        <v>12</v>
      </c>
      <c r="D8639" s="25">
        <v>1.1416E-4</v>
      </c>
      <c r="E8639" s="25">
        <v>1.1321E-4</v>
      </c>
      <c r="F8639" s="25">
        <v>1.2899E-4</v>
      </c>
      <c r="G8639" s="25">
        <v>1.1032E-4</v>
      </c>
      <c r="H8639" s="25">
        <v>1.3083999999999999E-4</v>
      </c>
      <c r="I8639" s="9">
        <v>1.1006E-4</v>
      </c>
      <c r="J8639" s="9">
        <v>1.2107E-4</v>
      </c>
      <c r="K8639" s="9">
        <v>3.2850000000000002E-4</v>
      </c>
      <c r="L8639" s="9">
        <v>2.0671E-4</v>
      </c>
      <c r="M8639" s="9">
        <v>1.5871E-4</v>
      </c>
      <c r="N8639" s="9">
        <v>1.295E-4</v>
      </c>
      <c r="O8639" s="9">
        <v>1.6425000000000001E-4</v>
      </c>
      <c r="P8639" s="9">
        <v>1.3371999999999999E-4</v>
      </c>
      <c r="Q8639" s="9">
        <v>1.0613E-4</v>
      </c>
      <c r="R8639" s="10">
        <v>2.1243997769999014E-4</v>
      </c>
      <c r="S8639" s="10">
        <v>1.8283187052654335E-4</v>
      </c>
      <c r="T8639" s="10">
        <v>0</v>
      </c>
      <c r="U8639" s="10">
        <v>1.6332E-4</v>
      </c>
      <c r="V8639" s="25"/>
      <c r="W8639" s="25"/>
      <c r="X8639" s="25"/>
      <c r="Y8639" s="25"/>
      <c r="Z8639" s="25"/>
      <c r="AA8639" s="25"/>
    </row>
    <row r="8640" spans="1:27" x14ac:dyDescent="0.35">
      <c r="A8640" s="5">
        <v>8636</v>
      </c>
      <c r="B8640" s="5">
        <v>360</v>
      </c>
      <c r="C8640" s="5">
        <v>12</v>
      </c>
      <c r="D8640" s="25">
        <v>1.1416E-4</v>
      </c>
      <c r="E8640" s="25">
        <v>1.0888E-4</v>
      </c>
      <c r="F8640" s="25">
        <v>1.144E-4</v>
      </c>
      <c r="G8640" s="25">
        <v>1.0428E-4</v>
      </c>
      <c r="H8640" s="25">
        <v>1.3352000000000001E-4</v>
      </c>
      <c r="I8640" s="9">
        <v>1.0923E-4</v>
      </c>
      <c r="J8640" s="9">
        <v>1.1705999999999999E-4</v>
      </c>
      <c r="K8640" s="9">
        <v>3.4544000000000003E-4</v>
      </c>
      <c r="L8640" s="9">
        <v>1.7375999999999999E-4</v>
      </c>
      <c r="M8640" s="9">
        <v>1.4980000000000001E-4</v>
      </c>
      <c r="N8640" s="9">
        <v>1.2032E-4</v>
      </c>
      <c r="O8640" s="9">
        <v>1.2837999999999999E-4</v>
      </c>
      <c r="P8640" s="9">
        <v>1.1361E-4</v>
      </c>
      <c r="Q8640" s="9">
        <v>1.0077999999999999E-4</v>
      </c>
      <c r="R8640" s="10">
        <v>2.124439123553877E-4</v>
      </c>
      <c r="S8640" s="10">
        <v>1.8961368554087696E-4</v>
      </c>
      <c r="T8640" s="10">
        <v>0</v>
      </c>
      <c r="U8640" s="10">
        <v>1.6332E-4</v>
      </c>
      <c r="V8640" s="25"/>
      <c r="W8640" s="25"/>
      <c r="X8640" s="25"/>
      <c r="Y8640" s="25"/>
      <c r="Z8640" s="25"/>
      <c r="AA8640" s="25"/>
    </row>
    <row r="8641" spans="1:27" x14ac:dyDescent="0.35">
      <c r="A8641" s="5">
        <v>8637</v>
      </c>
      <c r="B8641" s="5">
        <v>360</v>
      </c>
      <c r="C8641" s="5">
        <v>12</v>
      </c>
      <c r="D8641" s="25">
        <v>1.1416E-4</v>
      </c>
      <c r="E8641" s="25">
        <v>1.0773E-4</v>
      </c>
      <c r="F8641" s="25">
        <v>1.206E-4</v>
      </c>
      <c r="G8641" s="25">
        <v>6.2810000000000003E-5</v>
      </c>
      <c r="H8641" s="25">
        <v>7.5939999999999995E-5</v>
      </c>
      <c r="I8641" s="9">
        <v>1.0650999999999999E-4</v>
      </c>
      <c r="J8641" s="9">
        <v>1.1383E-4</v>
      </c>
      <c r="K8641" s="9">
        <v>3.5816E-4</v>
      </c>
      <c r="L8641" s="9">
        <v>1.3939000000000001E-4</v>
      </c>
      <c r="M8641" s="9">
        <v>1.3428E-4</v>
      </c>
      <c r="N8641" s="9">
        <v>1.125E-4</v>
      </c>
      <c r="O8641" s="9">
        <v>8.5370000000000004E-5</v>
      </c>
      <c r="P8641" s="9">
        <v>8.6600000000000004E-5</v>
      </c>
      <c r="Q8641" s="9">
        <v>8.8609999999999994E-5</v>
      </c>
      <c r="R8641" s="10">
        <v>2.124474405545613E-4</v>
      </c>
      <c r="S8641" s="10">
        <v>1.902567425557604E-4</v>
      </c>
      <c r="T8641" s="10">
        <v>0</v>
      </c>
      <c r="U8641" s="10">
        <v>1.6332E-4</v>
      </c>
      <c r="V8641" s="25"/>
      <c r="W8641" s="25"/>
      <c r="X8641" s="25"/>
      <c r="Y8641" s="25"/>
      <c r="Z8641" s="25"/>
      <c r="AA8641" s="25"/>
    </row>
    <row r="8642" spans="1:27" x14ac:dyDescent="0.35">
      <c r="A8642" s="5">
        <v>8638</v>
      </c>
      <c r="B8642" s="5">
        <v>360</v>
      </c>
      <c r="C8642" s="5">
        <v>12</v>
      </c>
      <c r="D8642" s="25">
        <v>1.1416E-4</v>
      </c>
      <c r="E8642" s="25">
        <v>1.0849E-4</v>
      </c>
      <c r="F8642" s="25">
        <v>1.225E-4</v>
      </c>
      <c r="G8642" s="25">
        <v>5.558E-5</v>
      </c>
      <c r="H8642" s="25">
        <v>7.6069999999999995E-5</v>
      </c>
      <c r="I8642" s="9">
        <v>1.0384E-4</v>
      </c>
      <c r="J8642" s="9">
        <v>1.1077E-4</v>
      </c>
      <c r="K8642" s="9">
        <v>3.5816E-4</v>
      </c>
      <c r="L8642" s="9">
        <v>9.8189999999999993E-5</v>
      </c>
      <c r="M8642" s="9">
        <v>1.1312E-4</v>
      </c>
      <c r="N8642" s="9">
        <v>1.0509999999999999E-4</v>
      </c>
      <c r="O8642" s="9">
        <v>8.8250000000000004E-5</v>
      </c>
      <c r="P8642" s="9">
        <v>8.8040000000000004E-5</v>
      </c>
      <c r="Q8642" s="9">
        <v>8.8700000000000001E-5</v>
      </c>
      <c r="R8642" s="10">
        <v>2.1244844430614457E-4</v>
      </c>
      <c r="S8642" s="10">
        <v>1.9021486267834246E-4</v>
      </c>
      <c r="T8642" s="10">
        <v>0</v>
      </c>
      <c r="U8642" s="10">
        <v>1.6332E-4</v>
      </c>
      <c r="V8642" s="25"/>
      <c r="W8642" s="25"/>
      <c r="X8642" s="25"/>
      <c r="Y8642" s="25"/>
      <c r="Z8642" s="25"/>
      <c r="AA8642" s="25"/>
    </row>
    <row r="8643" spans="1:27" x14ac:dyDescent="0.35">
      <c r="A8643" s="5">
        <v>8639</v>
      </c>
      <c r="B8643" s="5">
        <v>360</v>
      </c>
      <c r="C8643" s="5">
        <v>12</v>
      </c>
      <c r="D8643" s="25">
        <v>1.1416E-4</v>
      </c>
      <c r="E8643" s="25">
        <v>1.1111E-4</v>
      </c>
      <c r="F8643" s="25">
        <v>1.2468000000000001E-4</v>
      </c>
      <c r="G8643" s="25">
        <v>5.8E-5</v>
      </c>
      <c r="H8643" s="25">
        <v>6.6550000000000005E-5</v>
      </c>
      <c r="I8643" s="9">
        <v>1.0624999999999999E-4</v>
      </c>
      <c r="J8643" s="9">
        <v>1.0725E-4</v>
      </c>
      <c r="K8643" s="9">
        <v>3.4756000000000001E-4</v>
      </c>
      <c r="L8643" s="9">
        <v>9.1349999999999998E-5</v>
      </c>
      <c r="M8643" s="9">
        <v>9.8930000000000003E-5</v>
      </c>
      <c r="N8643" s="9">
        <v>9.9510000000000001E-5</v>
      </c>
      <c r="O8643" s="9">
        <v>7.8159999999999997E-5</v>
      </c>
      <c r="P8643" s="9">
        <v>7.2169999999999995E-5</v>
      </c>
      <c r="Q8643" s="9">
        <v>6.6920000000000003E-5</v>
      </c>
      <c r="R8643" s="10">
        <v>2.1244842750989129E-4</v>
      </c>
      <c r="S8643" s="10">
        <v>1.9013741768698057E-4</v>
      </c>
      <c r="T8643" s="10">
        <v>0</v>
      </c>
      <c r="U8643" s="10">
        <v>1.6332E-4</v>
      </c>
      <c r="V8643" s="25"/>
      <c r="W8643" s="25"/>
      <c r="X8643" s="25"/>
      <c r="Y8643" s="25"/>
      <c r="Z8643" s="25"/>
      <c r="AA8643" s="25"/>
    </row>
    <row r="8644" spans="1:27" x14ac:dyDescent="0.35">
      <c r="A8644" s="5">
        <v>8640</v>
      </c>
      <c r="B8644" s="5">
        <v>360</v>
      </c>
      <c r="C8644" s="5">
        <v>12</v>
      </c>
      <c r="D8644" s="25">
        <v>1.1416E-4</v>
      </c>
      <c r="E8644" s="25">
        <v>1.0948E-4</v>
      </c>
      <c r="F8644" s="25">
        <v>1.3554999999999999E-4</v>
      </c>
      <c r="G8644" s="25">
        <v>5.2179999999999998E-5</v>
      </c>
      <c r="H8644" s="25">
        <v>7.025E-5</v>
      </c>
      <c r="I8644" s="9">
        <v>1.0626E-4</v>
      </c>
      <c r="J8644" s="9">
        <v>1.0184E-4</v>
      </c>
      <c r="K8644" s="9">
        <v>3.2214E-4</v>
      </c>
      <c r="L8644" s="9">
        <v>8.1039999999999997E-5</v>
      </c>
      <c r="M8644" s="9">
        <v>8.619E-5</v>
      </c>
      <c r="N8644" s="9">
        <v>9.0370000000000004E-5</v>
      </c>
      <c r="O8644" s="9">
        <v>6.3020000000000003E-5</v>
      </c>
      <c r="P8644" s="9">
        <v>6.084E-5</v>
      </c>
      <c r="Q8644" s="9">
        <v>5.9020000000000001E-5</v>
      </c>
      <c r="R8644" s="10">
        <v>2.1244559302186647E-4</v>
      </c>
      <c r="S8644" s="10">
        <v>1.9020517228335559E-4</v>
      </c>
      <c r="T8644" s="10">
        <v>0</v>
      </c>
      <c r="U8644" s="10">
        <v>1.6332E-4</v>
      </c>
      <c r="V8644" s="25"/>
      <c r="W8644" s="25"/>
      <c r="X8644" s="25"/>
      <c r="Y8644" s="25"/>
      <c r="Z8644" s="25"/>
      <c r="AA8644" s="25"/>
    </row>
    <row r="8645" spans="1:27" x14ac:dyDescent="0.35">
      <c r="A8645" s="5">
        <v>8641</v>
      </c>
      <c r="B8645" s="5">
        <v>361</v>
      </c>
      <c r="C8645" s="5">
        <v>12</v>
      </c>
      <c r="D8645" s="25">
        <v>1.1416E-4</v>
      </c>
      <c r="E8645" s="25">
        <v>1.1757E-4</v>
      </c>
      <c r="F8645" s="25">
        <v>1.3286999999999999E-4</v>
      </c>
      <c r="G8645" s="25">
        <v>5.6270000000000002E-5</v>
      </c>
      <c r="H8645" s="25">
        <v>7.3629999999999998E-5</v>
      </c>
      <c r="I8645" s="9">
        <v>9.9160000000000006E-5</v>
      </c>
      <c r="J8645" s="9">
        <v>9.6589999999999995E-5</v>
      </c>
      <c r="K8645" s="9">
        <v>3.4120999999999999E-4</v>
      </c>
      <c r="L8645" s="9">
        <v>6.7000000000000002E-5</v>
      </c>
      <c r="M8645" s="9">
        <v>7.4120000000000002E-5</v>
      </c>
      <c r="N8645" s="9">
        <v>8.1110000000000001E-5</v>
      </c>
      <c r="O8645" s="9">
        <v>5.4610000000000001E-5</v>
      </c>
      <c r="P8645" s="9">
        <v>5.4030000000000003E-5</v>
      </c>
      <c r="Q8645" s="9">
        <v>5.3600000000000002E-5</v>
      </c>
      <c r="R8645" s="10">
        <v>2.1244796749168301E-4</v>
      </c>
      <c r="S8645" s="10">
        <v>1.8974299152895937E-4</v>
      </c>
      <c r="T8645" s="10">
        <v>0</v>
      </c>
      <c r="U8645" s="10">
        <v>1.6496999999999999E-4</v>
      </c>
      <c r="V8645" s="25"/>
      <c r="W8645" s="25"/>
      <c r="X8645" s="25"/>
      <c r="Y8645" s="25"/>
      <c r="Z8645" s="25"/>
      <c r="AA8645" s="25"/>
    </row>
    <row r="8646" spans="1:27" x14ac:dyDescent="0.35">
      <c r="A8646" s="5">
        <v>8642</v>
      </c>
      <c r="B8646" s="5">
        <v>361</v>
      </c>
      <c r="C8646" s="5">
        <v>12</v>
      </c>
      <c r="D8646" s="25">
        <v>1.1416E-4</v>
      </c>
      <c r="E8646" s="25">
        <v>1.1675000000000001E-4</v>
      </c>
      <c r="F8646" s="25">
        <v>1.2601999999999999E-4</v>
      </c>
      <c r="G8646" s="25">
        <v>5.9840000000000003E-5</v>
      </c>
      <c r="H8646" s="25">
        <v>7.1009999999999999E-5</v>
      </c>
      <c r="I8646" s="9">
        <v>9.3309999999999999E-5</v>
      </c>
      <c r="J8646" s="9">
        <v>9.1169999999999996E-5</v>
      </c>
      <c r="K8646" s="9">
        <v>3.3909000000000001E-4</v>
      </c>
      <c r="L8646" s="9">
        <v>5.7720000000000003E-5</v>
      </c>
      <c r="M8646" s="9">
        <v>6.402E-5</v>
      </c>
      <c r="N8646" s="9">
        <v>7.2130000000000002E-5</v>
      </c>
      <c r="O8646" s="9">
        <v>1.8600000000000001E-5</v>
      </c>
      <c r="P8646" s="9">
        <v>3.8139999999999997E-5</v>
      </c>
      <c r="Q8646" s="9">
        <v>5.6759999999999999E-5</v>
      </c>
      <c r="R8646" s="10">
        <v>2.1244789331213468E-4</v>
      </c>
      <c r="S8646" s="10">
        <v>1.8879297386549445E-4</v>
      </c>
      <c r="T8646" s="10">
        <v>0</v>
      </c>
      <c r="U8646" s="10">
        <v>1.6496999999999999E-4</v>
      </c>
      <c r="V8646" s="25"/>
      <c r="W8646" s="25"/>
      <c r="X8646" s="25"/>
      <c r="Y8646" s="25"/>
      <c r="Z8646" s="25"/>
      <c r="AA8646" s="25"/>
    </row>
    <row r="8647" spans="1:27" x14ac:dyDescent="0.35">
      <c r="A8647" s="5">
        <v>8643</v>
      </c>
      <c r="B8647" s="5">
        <v>361</v>
      </c>
      <c r="C8647" s="5">
        <v>12</v>
      </c>
      <c r="D8647" s="25">
        <v>1.1416E-4</v>
      </c>
      <c r="E8647" s="25">
        <v>1.2477000000000001E-4</v>
      </c>
      <c r="F8647" s="25">
        <v>1.1998E-4</v>
      </c>
      <c r="G8647" s="25">
        <v>5.4289999999999997E-5</v>
      </c>
      <c r="H8647" s="25">
        <v>6.8559999999999994E-5</v>
      </c>
      <c r="I8647" s="9">
        <v>8.8620000000000002E-5</v>
      </c>
      <c r="J8647" s="9">
        <v>8.7880000000000006E-5</v>
      </c>
      <c r="K8647" s="9">
        <v>3.3697000000000002E-4</v>
      </c>
      <c r="L8647" s="9">
        <v>2.741E-5</v>
      </c>
      <c r="M8647" s="9">
        <v>5.24E-5</v>
      </c>
      <c r="N8647" s="9">
        <v>6.5710000000000006E-5</v>
      </c>
      <c r="O8647" s="9">
        <v>1.2969999999999999E-5</v>
      </c>
      <c r="P8647" s="9">
        <v>3.8099999999999998E-5</v>
      </c>
      <c r="Q8647" s="9">
        <v>6.2100000000000005E-5</v>
      </c>
      <c r="R8647" s="10">
        <v>2.1244808036684391E-4</v>
      </c>
      <c r="S8647" s="10">
        <v>1.8871498088012624E-4</v>
      </c>
      <c r="T8647" s="10">
        <v>0</v>
      </c>
      <c r="U8647" s="10">
        <v>1.6496999999999999E-4</v>
      </c>
      <c r="V8647" s="25"/>
      <c r="W8647" s="25"/>
      <c r="X8647" s="25"/>
      <c r="Y8647" s="25"/>
      <c r="Z8647" s="25"/>
      <c r="AA8647" s="25"/>
    </row>
    <row r="8648" spans="1:27" x14ac:dyDescent="0.35">
      <c r="A8648" s="5">
        <v>8644</v>
      </c>
      <c r="B8648" s="5">
        <v>361</v>
      </c>
      <c r="C8648" s="5">
        <v>12</v>
      </c>
      <c r="D8648" s="25">
        <v>1.1416E-4</v>
      </c>
      <c r="E8648" s="25">
        <v>1.2105E-4</v>
      </c>
      <c r="F8648" s="25">
        <v>1.3040999999999999E-4</v>
      </c>
      <c r="G8648" s="25">
        <v>5.3440000000000003E-5</v>
      </c>
      <c r="H8648" s="25">
        <v>6.8479999999999995E-5</v>
      </c>
      <c r="I8648" s="9">
        <v>8.6780000000000006E-5</v>
      </c>
      <c r="J8648" s="9">
        <v>8.6589999999999996E-5</v>
      </c>
      <c r="K8648" s="9">
        <v>3.4332999999999998E-4</v>
      </c>
      <c r="L8648" s="9">
        <v>1.6900000000000001E-5</v>
      </c>
      <c r="M8648" s="9">
        <v>4.4480000000000001E-5</v>
      </c>
      <c r="N8648" s="9">
        <v>6.2230000000000006E-5</v>
      </c>
      <c r="O8648" s="9">
        <v>1.2860000000000001E-5</v>
      </c>
      <c r="P8648" s="9">
        <v>4.723E-5</v>
      </c>
      <c r="Q8648" s="9">
        <v>8.0320000000000003E-5</v>
      </c>
      <c r="R8648" s="10">
        <v>2.1244797213091835E-4</v>
      </c>
      <c r="S8648" s="10">
        <v>1.8895484255745498E-4</v>
      </c>
      <c r="T8648" s="10">
        <v>0</v>
      </c>
      <c r="U8648" s="10">
        <v>1.6496999999999999E-4</v>
      </c>
      <c r="V8648" s="25"/>
      <c r="W8648" s="25"/>
      <c r="X8648" s="25"/>
      <c r="Y8648" s="25"/>
      <c r="Z8648" s="25"/>
      <c r="AA8648" s="25"/>
    </row>
    <row r="8649" spans="1:27" x14ac:dyDescent="0.35">
      <c r="A8649" s="5">
        <v>8645</v>
      </c>
      <c r="B8649" s="5">
        <v>361</v>
      </c>
      <c r="C8649" s="5">
        <v>12</v>
      </c>
      <c r="D8649" s="25">
        <v>1.1416E-4</v>
      </c>
      <c r="E8649" s="25">
        <v>1.2488000000000001E-4</v>
      </c>
      <c r="F8649" s="25">
        <v>1.2426000000000001E-4</v>
      </c>
      <c r="G8649" s="25">
        <v>5.9859999999999999E-5</v>
      </c>
      <c r="H8649" s="25">
        <v>7.3150000000000003E-5</v>
      </c>
      <c r="I8649" s="9">
        <v>8.7230000000000003E-5</v>
      </c>
      <c r="J8649" s="9">
        <v>8.6479999999999999E-5</v>
      </c>
      <c r="K8649" s="9">
        <v>3.6027999999999999E-4</v>
      </c>
      <c r="L8649" s="9">
        <v>1.4E-5</v>
      </c>
      <c r="M8649" s="9">
        <v>4.3689999999999997E-5</v>
      </c>
      <c r="N8649" s="9">
        <v>6.4720000000000004E-5</v>
      </c>
      <c r="O8649" s="9">
        <v>1.836E-5</v>
      </c>
      <c r="P8649" s="9">
        <v>5.6480000000000001E-5</v>
      </c>
      <c r="Q8649" s="9">
        <v>9.3389999999999999E-5</v>
      </c>
      <c r="R8649" s="10">
        <v>2.1244780398077775E-4</v>
      </c>
      <c r="S8649" s="10">
        <v>1.8878503880986436E-4</v>
      </c>
      <c r="T8649" s="10">
        <v>0</v>
      </c>
      <c r="U8649" s="10">
        <v>1.6496999999999999E-4</v>
      </c>
      <c r="V8649" s="25"/>
      <c r="W8649" s="25"/>
      <c r="X8649" s="25"/>
      <c r="Y8649" s="25"/>
      <c r="Z8649" s="25"/>
      <c r="AA8649" s="25"/>
    </row>
    <row r="8650" spans="1:27" x14ac:dyDescent="0.35">
      <c r="A8650" s="5">
        <v>8646</v>
      </c>
      <c r="B8650" s="5">
        <v>361</v>
      </c>
      <c r="C8650" s="5">
        <v>12</v>
      </c>
      <c r="D8650" s="25">
        <v>1.1416E-4</v>
      </c>
      <c r="E8650" s="25">
        <v>1.217E-4</v>
      </c>
      <c r="F8650" s="25">
        <v>1.2053999999999999E-4</v>
      </c>
      <c r="G8650" s="25">
        <v>1.1514999999999999E-4</v>
      </c>
      <c r="H8650" s="25">
        <v>1.3234E-4</v>
      </c>
      <c r="I8650" s="9">
        <v>9.0690000000000001E-5</v>
      </c>
      <c r="J8650" s="9">
        <v>8.8179999999999999E-5</v>
      </c>
      <c r="K8650" s="9">
        <v>3.7512E-4</v>
      </c>
      <c r="L8650" s="9">
        <v>1.7269999999999999E-5</v>
      </c>
      <c r="M8650" s="9">
        <v>4.8439999999999997E-5</v>
      </c>
      <c r="N8650" s="9">
        <v>7.1160000000000003E-5</v>
      </c>
      <c r="O8650" s="9">
        <v>4.6520000000000002E-5</v>
      </c>
      <c r="P8650" s="9">
        <v>7.7420000000000001E-5</v>
      </c>
      <c r="Q8650" s="9">
        <v>1.0781E-4</v>
      </c>
      <c r="R8650" s="10">
        <v>2.1244771594497393E-4</v>
      </c>
      <c r="S8650" s="10">
        <v>1.8939771870835165E-4</v>
      </c>
      <c r="T8650" s="10">
        <v>0</v>
      </c>
      <c r="U8650" s="10">
        <v>1.6496999999999999E-4</v>
      </c>
      <c r="V8650" s="25"/>
      <c r="W8650" s="25"/>
      <c r="X8650" s="25"/>
      <c r="Y8650" s="25"/>
      <c r="Z8650" s="25"/>
      <c r="AA8650" s="25"/>
    </row>
    <row r="8651" spans="1:27" x14ac:dyDescent="0.35">
      <c r="A8651" s="5">
        <v>8647</v>
      </c>
      <c r="B8651" s="5">
        <v>361</v>
      </c>
      <c r="C8651" s="5">
        <v>12</v>
      </c>
      <c r="D8651" s="25">
        <v>1.1416E-4</v>
      </c>
      <c r="E8651" s="25">
        <v>1.2006999999999999E-4</v>
      </c>
      <c r="F8651" s="25">
        <v>1.1898E-4</v>
      </c>
      <c r="G8651" s="25">
        <v>1.0456E-4</v>
      </c>
      <c r="H8651" s="25">
        <v>1.3278000000000001E-4</v>
      </c>
      <c r="I8651" s="9">
        <v>9.6739999999999999E-5</v>
      </c>
      <c r="J8651" s="9">
        <v>9.1959999999999994E-5</v>
      </c>
      <c r="K8651" s="9">
        <v>3.7299000000000002E-4</v>
      </c>
      <c r="L8651" s="9">
        <v>3.9950000000000002E-5</v>
      </c>
      <c r="M8651" s="9">
        <v>6.0210000000000001E-5</v>
      </c>
      <c r="N8651" s="9">
        <v>8.0989999999999995E-5</v>
      </c>
      <c r="O8651" s="9">
        <v>1.2281999999999999E-4</v>
      </c>
      <c r="P8651" s="9">
        <v>1.1623E-4</v>
      </c>
      <c r="Q8651" s="9">
        <v>1.1134E-4</v>
      </c>
      <c r="R8651" s="10">
        <v>2.1244880742832088E-4</v>
      </c>
      <c r="S8651" s="10">
        <v>1.8997427765026951E-4</v>
      </c>
      <c r="T8651" s="10">
        <v>0</v>
      </c>
      <c r="U8651" s="10">
        <v>1.6496999999999999E-4</v>
      </c>
      <c r="V8651" s="25"/>
      <c r="W8651" s="25"/>
      <c r="X8651" s="25"/>
      <c r="Y8651" s="25"/>
      <c r="Z8651" s="25"/>
      <c r="AA8651" s="25"/>
    </row>
    <row r="8652" spans="1:27" x14ac:dyDescent="0.35">
      <c r="A8652" s="5">
        <v>8648</v>
      </c>
      <c r="B8652" s="5">
        <v>361</v>
      </c>
      <c r="C8652" s="5">
        <v>12</v>
      </c>
      <c r="D8652" s="25">
        <v>1.1416E-4</v>
      </c>
      <c r="E8652" s="25">
        <v>1.2328999999999999E-4</v>
      </c>
      <c r="F8652" s="25">
        <v>1.2097E-4</v>
      </c>
      <c r="G8652" s="25">
        <v>1.6389E-4</v>
      </c>
      <c r="H8652" s="25">
        <v>1.8927000000000001E-4</v>
      </c>
      <c r="I8652" s="9">
        <v>1.0045E-4</v>
      </c>
      <c r="J8652" s="9">
        <v>9.6409999999999993E-5</v>
      </c>
      <c r="K8652" s="9">
        <v>3.7088000000000003E-4</v>
      </c>
      <c r="L8652" s="9">
        <v>1.0395000000000001E-4</v>
      </c>
      <c r="M8652" s="9">
        <v>8.3419999999999998E-5</v>
      </c>
      <c r="N8652" s="9">
        <v>9.0790000000000003E-5</v>
      </c>
      <c r="O8652" s="9">
        <v>2.2142E-4</v>
      </c>
      <c r="P8652" s="9">
        <v>1.7683E-4</v>
      </c>
      <c r="Q8652" s="9">
        <v>1.3660000000000001E-4</v>
      </c>
      <c r="R8652" s="10">
        <v>2.1244892638753435E-4</v>
      </c>
      <c r="S8652" s="10">
        <v>1.9010207460566574E-4</v>
      </c>
      <c r="T8652" s="10">
        <v>0</v>
      </c>
      <c r="U8652" s="10">
        <v>1.6496999999999999E-4</v>
      </c>
      <c r="V8652" s="25"/>
      <c r="W8652" s="25"/>
      <c r="X8652" s="25"/>
      <c r="Y8652" s="25"/>
      <c r="Z8652" s="25"/>
      <c r="AA8652" s="25"/>
    </row>
    <row r="8653" spans="1:27" x14ac:dyDescent="0.35">
      <c r="A8653" s="5">
        <v>8649</v>
      </c>
      <c r="B8653" s="5">
        <v>361</v>
      </c>
      <c r="C8653" s="5">
        <v>12</v>
      </c>
      <c r="D8653" s="25">
        <v>1.1416E-4</v>
      </c>
      <c r="E8653" s="25">
        <v>1.1463000000000001E-4</v>
      </c>
      <c r="F8653" s="25">
        <v>1.2318999999999999E-4</v>
      </c>
      <c r="G8653" s="25">
        <v>1.5749000000000001E-4</v>
      </c>
      <c r="H8653" s="25">
        <v>1.9881E-4</v>
      </c>
      <c r="I8653" s="9">
        <v>1.0751000000000001E-4</v>
      </c>
      <c r="J8653" s="9">
        <v>1.0307E-4</v>
      </c>
      <c r="K8653" s="9">
        <v>3.6027999999999999E-4</v>
      </c>
      <c r="L8653" s="9">
        <v>1.9383000000000001E-4</v>
      </c>
      <c r="M8653" s="9">
        <v>1.2303999999999999E-4</v>
      </c>
      <c r="N8653" s="9">
        <v>1.0446E-4</v>
      </c>
      <c r="O8653" s="9">
        <v>2.1268E-4</v>
      </c>
      <c r="P8653" s="9">
        <v>1.9267000000000001E-4</v>
      </c>
      <c r="Q8653" s="9">
        <v>1.7645000000000001E-4</v>
      </c>
      <c r="R8653" s="10">
        <v>2.12448887064618E-4</v>
      </c>
      <c r="S8653" s="10">
        <v>1.8834280723689732E-4</v>
      </c>
      <c r="T8653" s="10">
        <v>0</v>
      </c>
      <c r="U8653" s="10">
        <v>1.6496999999999999E-4</v>
      </c>
      <c r="V8653" s="25"/>
      <c r="W8653" s="25"/>
      <c r="X8653" s="25"/>
      <c r="Y8653" s="25"/>
      <c r="Z8653" s="25"/>
      <c r="AA8653" s="25"/>
    </row>
    <row r="8654" spans="1:27" x14ac:dyDescent="0.35">
      <c r="A8654" s="5">
        <v>8650</v>
      </c>
      <c r="B8654" s="5">
        <v>361</v>
      </c>
      <c r="C8654" s="5">
        <v>12</v>
      </c>
      <c r="D8654" s="25">
        <v>1.1416E-4</v>
      </c>
      <c r="E8654" s="25">
        <v>1.1458E-4</v>
      </c>
      <c r="F8654" s="25">
        <v>1.3468E-4</v>
      </c>
      <c r="G8654" s="25">
        <v>1.6098999999999999E-4</v>
      </c>
      <c r="H8654" s="25">
        <v>1.9604999999999999E-4</v>
      </c>
      <c r="I8654" s="9">
        <v>1.1315999999999999E-4</v>
      </c>
      <c r="J8654" s="9">
        <v>1.1014E-4</v>
      </c>
      <c r="K8654" s="9">
        <v>3.4544000000000003E-4</v>
      </c>
      <c r="L8654" s="9">
        <v>2.0618000000000001E-4</v>
      </c>
      <c r="M8654" s="9">
        <v>1.5815999999999999E-4</v>
      </c>
      <c r="N8654" s="9">
        <v>1.2437E-4</v>
      </c>
      <c r="O8654" s="9">
        <v>1.6744000000000001E-4</v>
      </c>
      <c r="P8654" s="9">
        <v>1.7295E-4</v>
      </c>
      <c r="Q8654" s="9">
        <v>1.8090000000000001E-4</v>
      </c>
      <c r="R8654" s="10">
        <v>2.1244932150179188E-4</v>
      </c>
      <c r="S8654" s="10">
        <v>1.8562169512604621E-4</v>
      </c>
      <c r="T8654" s="10">
        <v>6.0289431182112725E-5</v>
      </c>
      <c r="U8654" s="10">
        <v>1.6496999999999999E-4</v>
      </c>
      <c r="V8654" s="25"/>
      <c r="W8654" s="25"/>
      <c r="X8654" s="25"/>
      <c r="Y8654" s="25"/>
      <c r="Z8654" s="25"/>
      <c r="AA8654" s="25"/>
    </row>
    <row r="8655" spans="1:27" x14ac:dyDescent="0.35">
      <c r="A8655" s="5">
        <v>8651</v>
      </c>
      <c r="B8655" s="5">
        <v>361</v>
      </c>
      <c r="C8655" s="5">
        <v>12</v>
      </c>
      <c r="D8655" s="25">
        <v>1.1416E-4</v>
      </c>
      <c r="E8655" s="25">
        <v>1.2201000000000001E-4</v>
      </c>
      <c r="F8655" s="25">
        <v>1.2925999999999999E-4</v>
      </c>
      <c r="G8655" s="25">
        <v>1.6003999999999999E-4</v>
      </c>
      <c r="H8655" s="25">
        <v>1.997E-4</v>
      </c>
      <c r="I8655" s="9">
        <v>1.1768E-4</v>
      </c>
      <c r="J8655" s="9">
        <v>1.1474E-4</v>
      </c>
      <c r="K8655" s="9">
        <v>3.3061000000000001E-4</v>
      </c>
      <c r="L8655" s="9">
        <v>1.7604E-4</v>
      </c>
      <c r="M8655" s="9">
        <v>1.7163000000000001E-4</v>
      </c>
      <c r="N8655" s="9">
        <v>1.4218999999999999E-4</v>
      </c>
      <c r="O8655" s="9">
        <v>1.6990000000000001E-4</v>
      </c>
      <c r="P8655" s="9">
        <v>1.7411999999999999E-4</v>
      </c>
      <c r="Q8655" s="9">
        <v>1.8085E-4</v>
      </c>
      <c r="R8655" s="10">
        <v>2.124493379337759E-4</v>
      </c>
      <c r="S8655" s="10">
        <v>1.808385658178527E-4</v>
      </c>
      <c r="T8655" s="10">
        <v>9.4362377372285075E-5</v>
      </c>
      <c r="U8655" s="10">
        <v>1.6496999999999999E-4</v>
      </c>
      <c r="V8655" s="25"/>
      <c r="W8655" s="25"/>
      <c r="X8655" s="25"/>
      <c r="Y8655" s="25"/>
      <c r="Z8655" s="25"/>
      <c r="AA8655" s="25"/>
    </row>
    <row r="8656" spans="1:27" x14ac:dyDescent="0.35">
      <c r="A8656" s="5">
        <v>8652</v>
      </c>
      <c r="B8656" s="5">
        <v>361</v>
      </c>
      <c r="C8656" s="5">
        <v>12</v>
      </c>
      <c r="D8656" s="25">
        <v>1.1416E-4</v>
      </c>
      <c r="E8656" s="25">
        <v>1.2522999999999999E-4</v>
      </c>
      <c r="F8656" s="25">
        <v>1.2155E-4</v>
      </c>
      <c r="G8656" s="25">
        <v>1.5965E-4</v>
      </c>
      <c r="H8656" s="25">
        <v>1.9139999999999999E-4</v>
      </c>
      <c r="I8656" s="9">
        <v>1.193E-4</v>
      </c>
      <c r="J8656" s="9">
        <v>1.1518000000000001E-4</v>
      </c>
      <c r="K8656" s="9">
        <v>3.3697000000000002E-4</v>
      </c>
      <c r="L8656" s="9">
        <v>1.727E-4</v>
      </c>
      <c r="M8656" s="9">
        <v>1.7477000000000001E-4</v>
      </c>
      <c r="N8656" s="9">
        <v>1.5658999999999999E-4</v>
      </c>
      <c r="O8656" s="9">
        <v>1.7163000000000001E-4</v>
      </c>
      <c r="P8656" s="9">
        <v>1.7169E-4</v>
      </c>
      <c r="Q8656" s="9">
        <v>1.7436E-4</v>
      </c>
      <c r="R8656" s="10">
        <v>2.1232617510977636E-4</v>
      </c>
      <c r="S8656" s="10">
        <v>1.6274815291461792E-4</v>
      </c>
      <c r="T8656" s="10">
        <v>2.8659963204781425E-5</v>
      </c>
      <c r="U8656" s="10">
        <v>1.6496999999999999E-4</v>
      </c>
      <c r="V8656" s="25"/>
      <c r="W8656" s="25"/>
      <c r="X8656" s="25"/>
      <c r="Y8656" s="25"/>
      <c r="Z8656" s="25"/>
      <c r="AA8656" s="25"/>
    </row>
    <row r="8657" spans="1:27" x14ac:dyDescent="0.35">
      <c r="A8657" s="5">
        <v>8653</v>
      </c>
      <c r="B8657" s="5">
        <v>361</v>
      </c>
      <c r="C8657" s="5">
        <v>12</v>
      </c>
      <c r="D8657" s="25">
        <v>1.1416E-4</v>
      </c>
      <c r="E8657" s="25">
        <v>1.2046E-4</v>
      </c>
      <c r="F8657" s="25">
        <v>1.1783E-4</v>
      </c>
      <c r="G8657" s="25">
        <v>1.6571000000000001E-4</v>
      </c>
      <c r="H8657" s="25">
        <v>1.9743000000000001E-4</v>
      </c>
      <c r="I8657" s="9">
        <v>1.1745E-4</v>
      </c>
      <c r="J8657" s="9">
        <v>1.1434000000000001E-4</v>
      </c>
      <c r="K8657" s="9">
        <v>3.3272999999999999E-4</v>
      </c>
      <c r="L8657" s="9">
        <v>1.7197999999999999E-4</v>
      </c>
      <c r="M8657" s="9">
        <v>1.7401E-4</v>
      </c>
      <c r="N8657" s="9">
        <v>1.6618000000000001E-4</v>
      </c>
      <c r="O8657" s="9">
        <v>1.6211E-4</v>
      </c>
      <c r="P8657" s="9">
        <v>1.6309000000000001E-4</v>
      </c>
      <c r="Q8657" s="9">
        <v>1.6647E-4</v>
      </c>
      <c r="R8657" s="10">
        <v>2.1242215240622602E-4</v>
      </c>
      <c r="S8657" s="10">
        <v>1.3927259126449786E-4</v>
      </c>
      <c r="T8657" s="10">
        <v>2.5698942731581683E-5</v>
      </c>
      <c r="U8657" s="10">
        <v>1.6496999999999999E-4</v>
      </c>
      <c r="V8657" s="25"/>
      <c r="W8657" s="25"/>
      <c r="X8657" s="25"/>
      <c r="Y8657" s="25"/>
      <c r="Z8657" s="25"/>
      <c r="AA8657" s="25"/>
    </row>
    <row r="8658" spans="1:27" x14ac:dyDescent="0.35">
      <c r="A8658" s="5">
        <v>8654</v>
      </c>
      <c r="B8658" s="5">
        <v>361</v>
      </c>
      <c r="C8658" s="5">
        <v>12</v>
      </c>
      <c r="D8658" s="25">
        <v>1.1416E-4</v>
      </c>
      <c r="E8658" s="25">
        <v>1.2205999999999999E-4</v>
      </c>
      <c r="F8658" s="25">
        <v>1.2674999999999999E-4</v>
      </c>
      <c r="G8658" s="25">
        <v>1.6144E-4</v>
      </c>
      <c r="H8658" s="25">
        <v>1.9233E-4</v>
      </c>
      <c r="I8658" s="9">
        <v>1.1361E-4</v>
      </c>
      <c r="J8658" s="9">
        <v>1.1268999999999999E-4</v>
      </c>
      <c r="K8658" s="9">
        <v>3.3272999999999999E-4</v>
      </c>
      <c r="L8658" s="9">
        <v>1.6404000000000001E-4</v>
      </c>
      <c r="M8658" s="9">
        <v>1.6983999999999999E-4</v>
      </c>
      <c r="N8658" s="9">
        <v>1.7033E-4</v>
      </c>
      <c r="O8658" s="9">
        <v>1.7870000000000001E-4</v>
      </c>
      <c r="P8658" s="9">
        <v>1.6778E-4</v>
      </c>
      <c r="Q8658" s="9">
        <v>1.5980000000000001E-4</v>
      </c>
      <c r="R8658" s="10">
        <v>2.1041309011456829E-4</v>
      </c>
      <c r="S8658" s="10">
        <v>1.3621506851416816E-4</v>
      </c>
      <c r="T8658" s="10">
        <v>2.8566635911929851E-5</v>
      </c>
      <c r="U8658" s="10">
        <v>1.6496999999999999E-4</v>
      </c>
      <c r="V8658" s="25"/>
      <c r="W8658" s="25"/>
      <c r="X8658" s="25"/>
      <c r="Y8658" s="25"/>
      <c r="Z8658" s="25"/>
      <c r="AA8658" s="25"/>
    </row>
    <row r="8659" spans="1:27" x14ac:dyDescent="0.35">
      <c r="A8659" s="5">
        <v>8655</v>
      </c>
      <c r="B8659" s="5">
        <v>361</v>
      </c>
      <c r="C8659" s="5">
        <v>12</v>
      </c>
      <c r="D8659" s="25">
        <v>1.1416E-4</v>
      </c>
      <c r="E8659" s="25">
        <v>1.2208999999999999E-4</v>
      </c>
      <c r="F8659" s="25">
        <v>1.3719000000000001E-4</v>
      </c>
      <c r="G8659" s="25">
        <v>1.5904999999999999E-4</v>
      </c>
      <c r="H8659" s="25">
        <v>1.9849000000000001E-4</v>
      </c>
      <c r="I8659" s="9">
        <v>1.1249E-4</v>
      </c>
      <c r="J8659" s="9">
        <v>1.1165E-4</v>
      </c>
      <c r="K8659" s="9">
        <v>3.3061000000000001E-4</v>
      </c>
      <c r="L8659" s="9">
        <v>1.7568E-4</v>
      </c>
      <c r="M8659" s="9">
        <v>1.6788999999999999E-4</v>
      </c>
      <c r="N8659" s="9">
        <v>1.6969000000000001E-4</v>
      </c>
      <c r="O8659" s="9">
        <v>1.8682E-4</v>
      </c>
      <c r="P8659" s="9">
        <v>1.6877999999999999E-4</v>
      </c>
      <c r="Q8659" s="9">
        <v>1.5395E-4</v>
      </c>
      <c r="R8659" s="10">
        <v>2.014269678475586E-4</v>
      </c>
      <c r="S8659" s="10">
        <v>1.2976806219164042E-4</v>
      </c>
      <c r="T8659" s="10">
        <v>2.9915639508602514E-5</v>
      </c>
      <c r="U8659" s="10">
        <v>1.6496999999999999E-4</v>
      </c>
      <c r="V8659" s="25"/>
      <c r="W8659" s="25"/>
      <c r="X8659" s="25"/>
      <c r="Y8659" s="25"/>
      <c r="Z8659" s="25"/>
      <c r="AA8659" s="25"/>
    </row>
    <row r="8660" spans="1:27" x14ac:dyDescent="0.35">
      <c r="A8660" s="5">
        <v>8656</v>
      </c>
      <c r="B8660" s="5">
        <v>361</v>
      </c>
      <c r="C8660" s="5">
        <v>12</v>
      </c>
      <c r="D8660" s="25">
        <v>1.1416E-4</v>
      </c>
      <c r="E8660" s="25">
        <v>1.1755E-4</v>
      </c>
      <c r="F8660" s="25">
        <v>1.1801E-4</v>
      </c>
      <c r="G8660" s="25">
        <v>1.6637999999999999E-4</v>
      </c>
      <c r="H8660" s="25">
        <v>2.0033E-4</v>
      </c>
      <c r="I8660" s="9">
        <v>1.1398E-4</v>
      </c>
      <c r="J8660" s="9">
        <v>1.1262E-4</v>
      </c>
      <c r="K8660" s="9">
        <v>3.3697000000000002E-4</v>
      </c>
      <c r="L8660" s="9">
        <v>1.8406E-4</v>
      </c>
      <c r="M8660" s="9">
        <v>1.6780000000000001E-4</v>
      </c>
      <c r="N8660" s="9">
        <v>1.6616999999999999E-4</v>
      </c>
      <c r="O8660" s="9">
        <v>1.9841999999999999E-4</v>
      </c>
      <c r="P8660" s="9">
        <v>1.5195000000000001E-4</v>
      </c>
      <c r="Q8660" s="9">
        <v>1.094E-4</v>
      </c>
      <c r="R8660" s="10">
        <v>1.8282940948889011E-4</v>
      </c>
      <c r="S8660" s="10">
        <v>1.191818484817908E-4</v>
      </c>
      <c r="T8660" s="10">
        <v>0</v>
      </c>
      <c r="U8660" s="10">
        <v>1.6496999999999999E-4</v>
      </c>
      <c r="V8660" s="25"/>
      <c r="W8660" s="25"/>
      <c r="X8660" s="25"/>
      <c r="Y8660" s="25"/>
      <c r="Z8660" s="25"/>
      <c r="AA8660" s="25"/>
    </row>
    <row r="8661" spans="1:27" x14ac:dyDescent="0.35">
      <c r="A8661" s="5">
        <v>8657</v>
      </c>
      <c r="B8661" s="5">
        <v>361</v>
      </c>
      <c r="C8661" s="5">
        <v>12</v>
      </c>
      <c r="D8661" s="25">
        <v>1.1416E-4</v>
      </c>
      <c r="E8661" s="25">
        <v>1.1731E-4</v>
      </c>
      <c r="F8661" s="25">
        <v>1.2327E-4</v>
      </c>
      <c r="G8661" s="25">
        <v>1.6228E-4</v>
      </c>
      <c r="H8661" s="25">
        <v>1.9903E-4</v>
      </c>
      <c r="I8661" s="9">
        <v>1.1566E-4</v>
      </c>
      <c r="J8661" s="9">
        <v>1.1697999999999999E-4</v>
      </c>
      <c r="K8661" s="9">
        <v>3.3697000000000002E-4</v>
      </c>
      <c r="L8661" s="9">
        <v>1.9497000000000001E-4</v>
      </c>
      <c r="M8661" s="9">
        <v>1.6222E-4</v>
      </c>
      <c r="N8661" s="9">
        <v>1.5236000000000001E-4</v>
      </c>
      <c r="O8661" s="9">
        <v>2.1614E-4</v>
      </c>
      <c r="P8661" s="9">
        <v>1.5949000000000001E-4</v>
      </c>
      <c r="Q8661" s="9">
        <v>1.0728E-4</v>
      </c>
      <c r="R8661" s="10">
        <v>1.6982787304825205E-4</v>
      </c>
      <c r="S8661" s="10">
        <v>1.1686802769208791E-4</v>
      </c>
      <c r="T8661" s="10">
        <v>0</v>
      </c>
      <c r="U8661" s="10">
        <v>1.6496999999999999E-4</v>
      </c>
      <c r="V8661" s="25"/>
      <c r="W8661" s="25"/>
      <c r="X8661" s="25"/>
      <c r="Y8661" s="25"/>
      <c r="Z8661" s="25"/>
      <c r="AA8661" s="25"/>
    </row>
    <row r="8662" spans="1:27" x14ac:dyDescent="0.35">
      <c r="A8662" s="5">
        <v>8658</v>
      </c>
      <c r="B8662" s="5">
        <v>361</v>
      </c>
      <c r="C8662" s="5">
        <v>12</v>
      </c>
      <c r="D8662" s="25">
        <v>1.1416E-4</v>
      </c>
      <c r="E8662" s="25">
        <v>1.1737E-4</v>
      </c>
      <c r="F8662" s="25">
        <v>1.1893E-4</v>
      </c>
      <c r="G8662" s="25">
        <v>1.6603000000000001E-4</v>
      </c>
      <c r="H8662" s="25">
        <v>2.0142000000000001E-4</v>
      </c>
      <c r="I8662" s="9">
        <v>1.2545000000000001E-4</v>
      </c>
      <c r="J8662" s="9">
        <v>1.261E-4</v>
      </c>
      <c r="K8662" s="9">
        <v>3.2636999999999998E-4</v>
      </c>
      <c r="L8662" s="9">
        <v>2.1127E-4</v>
      </c>
      <c r="M8662" s="9">
        <v>1.5966E-4</v>
      </c>
      <c r="N8662" s="9">
        <v>1.3907000000000001E-4</v>
      </c>
      <c r="O8662" s="9">
        <v>2.0592000000000001E-4</v>
      </c>
      <c r="P8662" s="9">
        <v>1.5939E-4</v>
      </c>
      <c r="Q8662" s="9">
        <v>1.1694E-4</v>
      </c>
      <c r="R8662" s="10">
        <v>1.6870313201880469E-4</v>
      </c>
      <c r="S8662" s="10">
        <v>9.2304397904414498E-5</v>
      </c>
      <c r="T8662" s="10">
        <v>0</v>
      </c>
      <c r="U8662" s="10">
        <v>1.6496999999999999E-4</v>
      </c>
      <c r="V8662" s="25"/>
      <c r="W8662" s="25"/>
      <c r="X8662" s="25"/>
      <c r="Y8662" s="25"/>
      <c r="Z8662" s="25"/>
      <c r="AA8662" s="25"/>
    </row>
    <row r="8663" spans="1:27" x14ac:dyDescent="0.35">
      <c r="A8663" s="5">
        <v>8659</v>
      </c>
      <c r="B8663" s="5">
        <v>361</v>
      </c>
      <c r="C8663" s="5">
        <v>12</v>
      </c>
      <c r="D8663" s="25">
        <v>1.1416E-4</v>
      </c>
      <c r="E8663" s="25">
        <v>1.2494000000000001E-4</v>
      </c>
      <c r="F8663" s="25">
        <v>1.3307E-4</v>
      </c>
      <c r="G8663" s="25">
        <v>1.0980999999999999E-4</v>
      </c>
      <c r="H8663" s="25">
        <v>1.3799999999999999E-4</v>
      </c>
      <c r="I8663" s="9">
        <v>1.2590999999999999E-4</v>
      </c>
      <c r="J8663" s="9">
        <v>1.2473000000000001E-4</v>
      </c>
      <c r="K8663" s="9">
        <v>3.2425999999999999E-4</v>
      </c>
      <c r="L8663" s="9">
        <v>2.0668999999999999E-4</v>
      </c>
      <c r="M8663" s="9">
        <v>1.5904999999999999E-4</v>
      </c>
      <c r="N8663" s="9">
        <v>1.2988E-4</v>
      </c>
      <c r="O8663" s="9">
        <v>1.6579999999999999E-4</v>
      </c>
      <c r="P8663" s="9">
        <v>1.3498000000000001E-4</v>
      </c>
      <c r="Q8663" s="9">
        <v>1.0713999999999999E-4</v>
      </c>
      <c r="R8663" s="10">
        <v>1.5823879537725708E-4</v>
      </c>
      <c r="S8663" s="10">
        <v>5.4500355546362442E-5</v>
      </c>
      <c r="T8663" s="10">
        <v>0</v>
      </c>
      <c r="U8663" s="10">
        <v>1.6496999999999999E-4</v>
      </c>
      <c r="V8663" s="25"/>
      <c r="W8663" s="25"/>
      <c r="X8663" s="25"/>
      <c r="Y8663" s="25"/>
      <c r="Z8663" s="25"/>
      <c r="AA8663" s="25"/>
    </row>
    <row r="8664" spans="1:27" x14ac:dyDescent="0.35">
      <c r="A8664" s="5">
        <v>8660</v>
      </c>
      <c r="B8664" s="5">
        <v>361</v>
      </c>
      <c r="C8664" s="5">
        <v>12</v>
      </c>
      <c r="D8664" s="25">
        <v>1.1416E-4</v>
      </c>
      <c r="E8664" s="25">
        <v>1.1815999999999999E-4</v>
      </c>
      <c r="F8664" s="25">
        <v>1.2178E-4</v>
      </c>
      <c r="G8664" s="25">
        <v>1.0896E-4</v>
      </c>
      <c r="H8664" s="25">
        <v>1.3082E-4</v>
      </c>
      <c r="I8664" s="9">
        <v>1.2082999999999999E-4</v>
      </c>
      <c r="J8664" s="9">
        <v>1.2032999999999999E-4</v>
      </c>
      <c r="K8664" s="9">
        <v>3.2849000000000002E-4</v>
      </c>
      <c r="L8664" s="9">
        <v>1.7499E-4</v>
      </c>
      <c r="M8664" s="9">
        <v>1.5039E-4</v>
      </c>
      <c r="N8664" s="9">
        <v>1.2081E-4</v>
      </c>
      <c r="O8664" s="9">
        <v>1.3011000000000001E-4</v>
      </c>
      <c r="P8664" s="9">
        <v>1.1513E-4</v>
      </c>
      <c r="Q8664" s="9">
        <v>1.0213E-4</v>
      </c>
      <c r="R8664" s="10">
        <v>1.4312404115301446E-4</v>
      </c>
      <c r="S8664" s="10">
        <v>3.4812107125563687E-5</v>
      </c>
      <c r="T8664" s="10">
        <v>0</v>
      </c>
      <c r="U8664" s="10">
        <v>1.6496999999999999E-4</v>
      </c>
      <c r="V8664" s="25"/>
      <c r="W8664" s="25"/>
      <c r="X8664" s="25"/>
      <c r="Y8664" s="25"/>
      <c r="Z8664" s="25"/>
      <c r="AA8664" s="25"/>
    </row>
    <row r="8665" spans="1:27" x14ac:dyDescent="0.35">
      <c r="A8665" s="5">
        <v>8661</v>
      </c>
      <c r="B8665" s="5">
        <v>361</v>
      </c>
      <c r="C8665" s="5">
        <v>12</v>
      </c>
      <c r="D8665" s="25">
        <v>1.1416E-4</v>
      </c>
      <c r="E8665" s="25">
        <v>1.2258000000000001E-4</v>
      </c>
      <c r="F8665" s="25">
        <v>1.1730000000000001E-4</v>
      </c>
      <c r="G8665" s="25">
        <v>6.0619999999999999E-5</v>
      </c>
      <c r="H8665" s="25">
        <v>7.2319999999999999E-5</v>
      </c>
      <c r="I8665" s="9">
        <v>1.1506999999999999E-4</v>
      </c>
      <c r="J8665" s="9">
        <v>1.1658999999999999E-4</v>
      </c>
      <c r="K8665" s="9">
        <v>3.3272999999999999E-4</v>
      </c>
      <c r="L8665" s="9">
        <v>1.4097E-4</v>
      </c>
      <c r="M8665" s="9">
        <v>1.3527999999999999E-4</v>
      </c>
      <c r="N8665" s="9">
        <v>1.1318E-4</v>
      </c>
      <c r="O8665" s="9">
        <v>8.4939999999999997E-5</v>
      </c>
      <c r="P8665" s="9">
        <v>8.6169999999999997E-5</v>
      </c>
      <c r="Q8665" s="9">
        <v>8.8159999999999996E-5</v>
      </c>
      <c r="R8665" s="10">
        <v>1.3361003195735369E-4</v>
      </c>
      <c r="S8665" s="10">
        <v>2.3766723195874794E-5</v>
      </c>
      <c r="T8665" s="10">
        <v>0</v>
      </c>
      <c r="U8665" s="10">
        <v>1.6496999999999999E-4</v>
      </c>
      <c r="V8665" s="25"/>
      <c r="W8665" s="25"/>
      <c r="X8665" s="25"/>
      <c r="Y8665" s="25"/>
      <c r="Z8665" s="25"/>
      <c r="AA8665" s="25"/>
    </row>
    <row r="8666" spans="1:27" x14ac:dyDescent="0.35">
      <c r="A8666" s="5">
        <v>8662</v>
      </c>
      <c r="B8666" s="5">
        <v>361</v>
      </c>
      <c r="C8666" s="5">
        <v>12</v>
      </c>
      <c r="D8666" s="25">
        <v>1.1416E-4</v>
      </c>
      <c r="E8666" s="25">
        <v>1.1477E-4</v>
      </c>
      <c r="F8666" s="25">
        <v>1.3883E-4</v>
      </c>
      <c r="G8666" s="25">
        <v>5.2330000000000002E-5</v>
      </c>
      <c r="H8666" s="25">
        <v>6.9079999999999996E-5</v>
      </c>
      <c r="I8666" s="9">
        <v>1.1009E-4</v>
      </c>
      <c r="J8666" s="9">
        <v>1.1278E-4</v>
      </c>
      <c r="K8666" s="9">
        <v>3.4331999999999999E-4</v>
      </c>
      <c r="L8666" s="9">
        <v>9.8179999999999999E-5</v>
      </c>
      <c r="M8666" s="9">
        <v>1.1372E-4</v>
      </c>
      <c r="N8666" s="9">
        <v>1.0556E-4</v>
      </c>
      <c r="O8666" s="9">
        <v>8.7949999999999996E-5</v>
      </c>
      <c r="P8666" s="9">
        <v>8.7750000000000005E-5</v>
      </c>
      <c r="Q8666" s="9">
        <v>8.8399999999999994E-5</v>
      </c>
      <c r="R8666" s="10">
        <v>1.2968166063738028E-4</v>
      </c>
      <c r="S8666" s="10">
        <v>1.8003123823355114E-5</v>
      </c>
      <c r="T8666" s="10">
        <v>0</v>
      </c>
      <c r="U8666" s="10">
        <v>1.6496999999999999E-4</v>
      </c>
      <c r="V8666" s="25"/>
      <c r="W8666" s="25"/>
      <c r="X8666" s="25"/>
      <c r="Y8666" s="25"/>
      <c r="Z8666" s="25"/>
      <c r="AA8666" s="25"/>
    </row>
    <row r="8667" spans="1:27" x14ac:dyDescent="0.35">
      <c r="A8667" s="5">
        <v>8663</v>
      </c>
      <c r="B8667" s="5">
        <v>361</v>
      </c>
      <c r="C8667" s="5">
        <v>12</v>
      </c>
      <c r="D8667" s="25">
        <v>1.1416E-4</v>
      </c>
      <c r="E8667" s="25">
        <v>1.1671999999999999E-4</v>
      </c>
      <c r="F8667" s="25">
        <v>1.2375E-4</v>
      </c>
      <c r="G8667" s="25">
        <v>6.321E-5</v>
      </c>
      <c r="H8667" s="25">
        <v>7.3020000000000002E-5</v>
      </c>
      <c r="I8667" s="9">
        <v>1.1377E-4</v>
      </c>
      <c r="J8667" s="9">
        <v>1.0836999999999999E-4</v>
      </c>
      <c r="K8667" s="9">
        <v>3.4120999999999999E-4</v>
      </c>
      <c r="L8667" s="9">
        <v>9.1169999999999996E-5</v>
      </c>
      <c r="M8667" s="9">
        <v>9.9069999999999998E-5</v>
      </c>
      <c r="N8667" s="9">
        <v>9.98E-5</v>
      </c>
      <c r="O8667" s="9">
        <v>7.8239999999999996E-5</v>
      </c>
      <c r="P8667" s="9">
        <v>7.224E-5</v>
      </c>
      <c r="Q8667" s="9">
        <v>6.6989999999999994E-5</v>
      </c>
      <c r="R8667" s="10">
        <v>1.2896118979083509E-4</v>
      </c>
      <c r="S8667" s="10">
        <v>1.7241307184349267E-5</v>
      </c>
      <c r="T8667" s="10">
        <v>0</v>
      </c>
      <c r="U8667" s="10">
        <v>1.6496999999999999E-4</v>
      </c>
      <c r="V8667" s="25"/>
      <c r="W8667" s="25"/>
      <c r="X8667" s="25"/>
      <c r="Y8667" s="25"/>
      <c r="Z8667" s="25"/>
      <c r="AA8667" s="25"/>
    </row>
    <row r="8668" spans="1:27" x14ac:dyDescent="0.35">
      <c r="A8668" s="5">
        <v>8664</v>
      </c>
      <c r="B8668" s="5">
        <v>361</v>
      </c>
      <c r="C8668" s="5">
        <v>12</v>
      </c>
      <c r="D8668" s="25">
        <v>1.1416E-4</v>
      </c>
      <c r="E8668" s="25">
        <v>1.238E-4</v>
      </c>
      <c r="F8668" s="25">
        <v>1.3684999999999999E-4</v>
      </c>
      <c r="G8668" s="25">
        <v>6.321E-5</v>
      </c>
      <c r="H8668" s="25">
        <v>6.8969999999999999E-5</v>
      </c>
      <c r="I8668" s="9">
        <v>1.1375E-4</v>
      </c>
      <c r="J8668" s="9">
        <v>1.025E-4</v>
      </c>
      <c r="K8668" s="9">
        <v>3.412E-4</v>
      </c>
      <c r="L8668" s="9">
        <v>8.1069999999999995E-5</v>
      </c>
      <c r="M8668" s="9">
        <v>8.619E-5</v>
      </c>
      <c r="N8668" s="9">
        <v>9.0580000000000004E-5</v>
      </c>
      <c r="O8668" s="9">
        <v>6.3139999999999995E-5</v>
      </c>
      <c r="P8668" s="9">
        <v>6.0959999999999999E-5</v>
      </c>
      <c r="Q8668" s="9">
        <v>5.9129999999999998E-5</v>
      </c>
      <c r="R8668" s="10">
        <v>1.3131229191163087E-4</v>
      </c>
      <c r="S8668" s="10">
        <v>1.8228383248592379E-5</v>
      </c>
      <c r="T8668" s="10">
        <v>0</v>
      </c>
      <c r="U8668" s="10">
        <v>1.6496999999999999E-4</v>
      </c>
      <c r="V8668" s="25"/>
      <c r="W8668" s="25"/>
      <c r="X8668" s="25"/>
      <c r="Y8668" s="25"/>
      <c r="Z8668" s="25"/>
      <c r="AA8668" s="25"/>
    </row>
    <row r="8669" spans="1:27" x14ac:dyDescent="0.35">
      <c r="A8669" s="5">
        <v>8665</v>
      </c>
      <c r="B8669" s="5">
        <v>362</v>
      </c>
      <c r="C8669" s="5">
        <v>12</v>
      </c>
      <c r="D8669" s="25">
        <v>1.1416E-4</v>
      </c>
      <c r="E8669" s="25">
        <v>1.1477E-4</v>
      </c>
      <c r="F8669" s="25">
        <v>1.2119E-4</v>
      </c>
      <c r="G8669" s="25">
        <v>6.2189999999999999E-5</v>
      </c>
      <c r="H8669" s="25">
        <v>6.6390000000000006E-5</v>
      </c>
      <c r="I8669" s="9">
        <v>1.0609E-4</v>
      </c>
      <c r="J8669" s="9">
        <v>9.6910000000000006E-5</v>
      </c>
      <c r="K8669" s="9">
        <v>3.3697000000000002E-4</v>
      </c>
      <c r="L8669" s="9">
        <v>6.7080000000000001E-5</v>
      </c>
      <c r="M8669" s="9">
        <v>7.415E-5</v>
      </c>
      <c r="N8669" s="9">
        <v>8.1240000000000001E-5</v>
      </c>
      <c r="O8669" s="9">
        <v>5.4419999999999997E-5</v>
      </c>
      <c r="P8669" s="9">
        <v>5.3829999999999998E-5</v>
      </c>
      <c r="Q8669" s="9">
        <v>5.3409999999999999E-5</v>
      </c>
      <c r="R8669" s="10">
        <v>1.3204131029318416E-4</v>
      </c>
      <c r="S8669" s="10">
        <v>2.3284914582118934E-5</v>
      </c>
      <c r="T8669" s="10">
        <v>0</v>
      </c>
      <c r="U8669" s="10">
        <v>1.6427999999999999E-4</v>
      </c>
      <c r="V8669" s="25"/>
      <c r="W8669" s="25"/>
      <c r="X8669" s="25"/>
      <c r="Y8669" s="25"/>
      <c r="Z8669" s="25"/>
      <c r="AA8669" s="25"/>
    </row>
    <row r="8670" spans="1:27" x14ac:dyDescent="0.35">
      <c r="A8670" s="5">
        <v>8666</v>
      </c>
      <c r="B8670" s="5">
        <v>362</v>
      </c>
      <c r="C8670" s="5">
        <v>12</v>
      </c>
      <c r="D8670" s="25">
        <v>1.1416E-4</v>
      </c>
      <c r="E8670" s="25">
        <v>1.1322E-4</v>
      </c>
      <c r="F8670" s="25">
        <v>1.2226000000000001E-4</v>
      </c>
      <c r="G8670" s="25">
        <v>6.2050000000000004E-5</v>
      </c>
      <c r="H8670" s="25">
        <v>6.2440000000000005E-5</v>
      </c>
      <c r="I8670" s="9">
        <v>1.0001999999999999E-4</v>
      </c>
      <c r="J8670" s="9">
        <v>9.2399999999999996E-5</v>
      </c>
      <c r="K8670" s="9">
        <v>3.4120999999999999E-4</v>
      </c>
      <c r="L8670" s="9">
        <v>5.7590000000000003E-5</v>
      </c>
      <c r="M8670" s="9">
        <v>6.3979999999999994E-5</v>
      </c>
      <c r="N8670" s="9">
        <v>7.2130000000000002E-5</v>
      </c>
      <c r="O8670" s="9">
        <v>1.8430000000000001E-5</v>
      </c>
      <c r="P8670" s="9">
        <v>3.7799999999999997E-5</v>
      </c>
      <c r="Q8670" s="9">
        <v>5.6249999999999998E-5</v>
      </c>
      <c r="R8670" s="10">
        <v>1.18989064542982E-4</v>
      </c>
      <c r="S8670" s="10">
        <v>3.8248997988445021E-5</v>
      </c>
      <c r="T8670" s="10">
        <v>0</v>
      </c>
      <c r="U8670" s="10">
        <v>1.6427999999999999E-4</v>
      </c>
      <c r="V8670" s="25"/>
      <c r="W8670" s="25"/>
      <c r="X8670" s="25"/>
      <c r="Y8670" s="25"/>
      <c r="Z8670" s="25"/>
      <c r="AA8670" s="25"/>
    </row>
    <row r="8671" spans="1:27" x14ac:dyDescent="0.35">
      <c r="A8671" s="5">
        <v>8667</v>
      </c>
      <c r="B8671" s="5">
        <v>362</v>
      </c>
      <c r="C8671" s="5">
        <v>12</v>
      </c>
      <c r="D8671" s="25">
        <v>1.1416E-4</v>
      </c>
      <c r="E8671" s="25">
        <v>1.1236E-4</v>
      </c>
      <c r="F8671" s="25">
        <v>1.1502000000000001E-4</v>
      </c>
      <c r="G8671" s="25">
        <v>6.1099999999999994E-5</v>
      </c>
      <c r="H8671" s="25">
        <v>6.3009999999999995E-5</v>
      </c>
      <c r="I8671" s="9">
        <v>9.5660000000000002E-5</v>
      </c>
      <c r="J8671" s="9">
        <v>8.9889999999999995E-5</v>
      </c>
      <c r="K8671" s="9">
        <v>3.4756000000000001E-4</v>
      </c>
      <c r="L8671" s="9">
        <v>2.726E-5</v>
      </c>
      <c r="M8671" s="9">
        <v>5.223E-5</v>
      </c>
      <c r="N8671" s="9">
        <v>6.5580000000000006E-5</v>
      </c>
      <c r="O8671" s="9">
        <v>1.2840000000000001E-5</v>
      </c>
      <c r="P8671" s="9">
        <v>3.773E-5</v>
      </c>
      <c r="Q8671" s="9">
        <v>6.1500000000000004E-5</v>
      </c>
      <c r="R8671" s="10">
        <v>1.0041663444804786E-4</v>
      </c>
      <c r="S8671" s="10">
        <v>5.5437742191708982E-5</v>
      </c>
      <c r="T8671" s="10">
        <v>0</v>
      </c>
      <c r="U8671" s="10">
        <v>1.6427999999999999E-4</v>
      </c>
      <c r="V8671" s="25"/>
      <c r="W8671" s="25"/>
      <c r="X8671" s="25"/>
      <c r="Y8671" s="25"/>
      <c r="Z8671" s="25"/>
      <c r="AA8671" s="25"/>
    </row>
    <row r="8672" spans="1:27" x14ac:dyDescent="0.35">
      <c r="A8672" s="5">
        <v>8668</v>
      </c>
      <c r="B8672" s="5">
        <v>362</v>
      </c>
      <c r="C8672" s="5">
        <v>12</v>
      </c>
      <c r="D8672" s="25">
        <v>1.1416E-4</v>
      </c>
      <c r="E8672" s="25">
        <v>1.2E-4</v>
      </c>
      <c r="F8672" s="25">
        <v>1.1367E-4</v>
      </c>
      <c r="G8672" s="25">
        <v>5.3279999999999998E-5</v>
      </c>
      <c r="H8672" s="25">
        <v>7.258E-5</v>
      </c>
      <c r="I8672" s="9">
        <v>9.3510000000000004E-5</v>
      </c>
      <c r="J8672" s="9">
        <v>8.8939999999999999E-5</v>
      </c>
      <c r="K8672" s="9">
        <v>3.4757000000000001E-4</v>
      </c>
      <c r="L8672" s="9">
        <v>1.677E-5</v>
      </c>
      <c r="M8672" s="9">
        <v>4.4209999999999999E-5</v>
      </c>
      <c r="N8672" s="9">
        <v>6.1959999999999996E-5</v>
      </c>
      <c r="O8672" s="9">
        <v>1.2840000000000001E-5</v>
      </c>
      <c r="P8672" s="9">
        <v>4.7150000000000001E-5</v>
      </c>
      <c r="Q8672" s="9">
        <v>8.0190000000000003E-5</v>
      </c>
      <c r="R8672" s="10">
        <v>8.4207795043052174E-5</v>
      </c>
      <c r="S8672" s="10">
        <v>6.8955780117327812E-5</v>
      </c>
      <c r="T8672" s="10">
        <v>0</v>
      </c>
      <c r="U8672" s="10">
        <v>1.6427999999999999E-4</v>
      </c>
      <c r="V8672" s="25"/>
      <c r="W8672" s="25"/>
      <c r="X8672" s="25"/>
      <c r="Y8672" s="25"/>
      <c r="Z8672" s="25"/>
      <c r="AA8672" s="25"/>
    </row>
    <row r="8673" spans="1:27" x14ac:dyDescent="0.35">
      <c r="A8673" s="5">
        <v>8669</v>
      </c>
      <c r="B8673" s="5">
        <v>362</v>
      </c>
      <c r="C8673" s="5">
        <v>12</v>
      </c>
      <c r="D8673" s="25">
        <v>1.1416E-4</v>
      </c>
      <c r="E8673" s="25">
        <v>1.1926000000000001E-4</v>
      </c>
      <c r="F8673" s="25">
        <v>1.1898E-4</v>
      </c>
      <c r="G8673" s="25">
        <v>5.4809999999999999E-5</v>
      </c>
      <c r="H8673" s="25">
        <v>6.4649999999999999E-5</v>
      </c>
      <c r="I8673" s="9">
        <v>9.3529999999999994E-5</v>
      </c>
      <c r="J8673" s="9">
        <v>8.9610000000000004E-5</v>
      </c>
      <c r="K8673" s="9">
        <v>3.5180999999999998E-4</v>
      </c>
      <c r="L8673" s="9">
        <v>1.395E-5</v>
      </c>
      <c r="M8673" s="9">
        <v>4.3460000000000001E-5</v>
      </c>
      <c r="N8673" s="9">
        <v>6.444E-5</v>
      </c>
      <c r="O8673" s="9">
        <v>1.859E-5</v>
      </c>
      <c r="P8673" s="9">
        <v>5.7179999999999998E-5</v>
      </c>
      <c r="Q8673" s="9">
        <v>9.4560000000000003E-5</v>
      </c>
      <c r="R8673" s="10">
        <v>7.4279820452196983E-5</v>
      </c>
      <c r="S8673" s="10">
        <v>7.685954678721745E-5</v>
      </c>
      <c r="T8673" s="10">
        <v>0</v>
      </c>
      <c r="U8673" s="10">
        <v>1.6427999999999999E-4</v>
      </c>
      <c r="V8673" s="25"/>
      <c r="W8673" s="25"/>
      <c r="X8673" s="25"/>
      <c r="Y8673" s="25"/>
      <c r="Z8673" s="25"/>
      <c r="AA8673" s="25"/>
    </row>
    <row r="8674" spans="1:27" x14ac:dyDescent="0.35">
      <c r="A8674" s="5">
        <v>8670</v>
      </c>
      <c r="B8674" s="5">
        <v>362</v>
      </c>
      <c r="C8674" s="5">
        <v>12</v>
      </c>
      <c r="D8674" s="25">
        <v>1.1416E-4</v>
      </c>
      <c r="E8674" s="25">
        <v>1.1786999999999999E-4</v>
      </c>
      <c r="F8674" s="25">
        <v>1.1461E-4</v>
      </c>
      <c r="G8674" s="25">
        <v>1.0815999999999999E-4</v>
      </c>
      <c r="H8674" s="25">
        <v>1.3751E-4</v>
      </c>
      <c r="I8674" s="9">
        <v>9.6529999999999999E-5</v>
      </c>
      <c r="J8674" s="9">
        <v>9.3259999999999998E-5</v>
      </c>
      <c r="K8674" s="9">
        <v>3.6240000000000003E-4</v>
      </c>
      <c r="L8674" s="9">
        <v>1.7439999999999999E-5</v>
      </c>
      <c r="M8674" s="9">
        <v>4.8560000000000003E-5</v>
      </c>
      <c r="N8674" s="9">
        <v>7.1180000000000006E-5</v>
      </c>
      <c r="O8674" s="9">
        <v>4.6069999999999998E-5</v>
      </c>
      <c r="P8674" s="9">
        <v>7.6660000000000001E-5</v>
      </c>
      <c r="Q8674" s="9">
        <v>1.0674E-4</v>
      </c>
      <c r="R8674" s="10">
        <v>6.8657566741762261E-5</v>
      </c>
      <c r="S8674" s="10">
        <v>8.3533421245357215E-5</v>
      </c>
      <c r="T8674" s="10">
        <v>0</v>
      </c>
      <c r="U8674" s="10">
        <v>1.6427999999999999E-4</v>
      </c>
      <c r="V8674" s="25"/>
      <c r="W8674" s="25"/>
      <c r="X8674" s="25"/>
      <c r="Y8674" s="25"/>
      <c r="Z8674" s="25"/>
      <c r="AA8674" s="25"/>
    </row>
    <row r="8675" spans="1:27" x14ac:dyDescent="0.35">
      <c r="A8675" s="5">
        <v>8671</v>
      </c>
      <c r="B8675" s="5">
        <v>362</v>
      </c>
      <c r="C8675" s="5">
        <v>12</v>
      </c>
      <c r="D8675" s="25">
        <v>1.1416E-4</v>
      </c>
      <c r="E8675" s="25">
        <v>1.2019E-4</v>
      </c>
      <c r="F8675" s="25">
        <v>1.2231000000000001E-4</v>
      </c>
      <c r="G8675" s="25">
        <v>1.1464999999999999E-4</v>
      </c>
      <c r="H8675" s="25">
        <v>1.3116000000000001E-4</v>
      </c>
      <c r="I8675" s="9">
        <v>1.0339E-4</v>
      </c>
      <c r="J8675" s="9">
        <v>1.025E-4</v>
      </c>
      <c r="K8675" s="9">
        <v>3.7512E-4</v>
      </c>
      <c r="L8675" s="9">
        <v>3.9619999999999997E-5</v>
      </c>
      <c r="M8675" s="9">
        <v>6.012E-5</v>
      </c>
      <c r="N8675" s="9">
        <v>8.0820000000000002E-5</v>
      </c>
      <c r="O8675" s="9">
        <v>1.2306E-4</v>
      </c>
      <c r="P8675" s="9">
        <v>1.1646000000000001E-4</v>
      </c>
      <c r="Q8675" s="9">
        <v>1.1156E-4</v>
      </c>
      <c r="R8675" s="10">
        <v>7.2443517310307869E-5</v>
      </c>
      <c r="S8675" s="10">
        <v>9.6753318560373854E-5</v>
      </c>
      <c r="T8675" s="10">
        <v>0</v>
      </c>
      <c r="U8675" s="10">
        <v>1.6427999999999999E-4</v>
      </c>
      <c r="V8675" s="25"/>
      <c r="W8675" s="25"/>
      <c r="X8675" s="25"/>
      <c r="Y8675" s="25"/>
      <c r="Z8675" s="25"/>
      <c r="AA8675" s="25"/>
    </row>
    <row r="8676" spans="1:27" x14ac:dyDescent="0.35">
      <c r="A8676" s="5">
        <v>8672</v>
      </c>
      <c r="B8676" s="5">
        <v>362</v>
      </c>
      <c r="C8676" s="5">
        <v>12</v>
      </c>
      <c r="D8676" s="25">
        <v>1.1416E-4</v>
      </c>
      <c r="E8676" s="25">
        <v>1.2013E-4</v>
      </c>
      <c r="F8676" s="25">
        <v>1.167E-4</v>
      </c>
      <c r="G8676" s="25">
        <v>1.6401E-4</v>
      </c>
      <c r="H8676" s="25">
        <v>1.9052000000000001E-4</v>
      </c>
      <c r="I8676" s="9">
        <v>1.0936E-4</v>
      </c>
      <c r="J8676" s="9">
        <v>1.1425E-4</v>
      </c>
      <c r="K8676" s="9">
        <v>3.8995000000000002E-4</v>
      </c>
      <c r="L8676" s="9">
        <v>1.0408000000000001E-4</v>
      </c>
      <c r="M8676" s="9">
        <v>8.3369999999999996E-5</v>
      </c>
      <c r="N8676" s="9">
        <v>9.0699999999999996E-5</v>
      </c>
      <c r="O8676" s="9">
        <v>2.2178000000000001E-4</v>
      </c>
      <c r="P8676" s="9">
        <v>1.7710999999999999E-4</v>
      </c>
      <c r="Q8676" s="9">
        <v>1.3682000000000001E-4</v>
      </c>
      <c r="R8676" s="10">
        <v>8.0022090993262486E-5</v>
      </c>
      <c r="S8676" s="10">
        <v>1.0981046227809187E-4</v>
      </c>
      <c r="T8676" s="10">
        <v>0</v>
      </c>
      <c r="U8676" s="10">
        <v>1.6427999999999999E-4</v>
      </c>
      <c r="V8676" s="25"/>
      <c r="W8676" s="25"/>
      <c r="X8676" s="25"/>
      <c r="Y8676" s="25"/>
      <c r="Z8676" s="25"/>
      <c r="AA8676" s="25"/>
    </row>
    <row r="8677" spans="1:27" x14ac:dyDescent="0.35">
      <c r="A8677" s="5">
        <v>8673</v>
      </c>
      <c r="B8677" s="5">
        <v>362</v>
      </c>
      <c r="C8677" s="5">
        <v>12</v>
      </c>
      <c r="D8677" s="25">
        <v>1.1416E-4</v>
      </c>
      <c r="E8677" s="25">
        <v>1.1183000000000001E-4</v>
      </c>
      <c r="F8677" s="25">
        <v>1.3043000000000001E-4</v>
      </c>
      <c r="G8677" s="25">
        <v>1.6631999999999999E-4</v>
      </c>
      <c r="H8677" s="25">
        <v>1.9383000000000001E-4</v>
      </c>
      <c r="I8677" s="9">
        <v>1.172E-4</v>
      </c>
      <c r="J8677" s="9">
        <v>1.262E-4</v>
      </c>
      <c r="K8677" s="9">
        <v>3.8570999999999999E-4</v>
      </c>
      <c r="L8677" s="9">
        <v>1.9411999999999999E-4</v>
      </c>
      <c r="M8677" s="9">
        <v>1.2312E-4</v>
      </c>
      <c r="N8677" s="9">
        <v>1.0446999999999999E-4</v>
      </c>
      <c r="O8677" s="9">
        <v>2.1249999999999999E-4</v>
      </c>
      <c r="P8677" s="9">
        <v>1.9249999999999999E-4</v>
      </c>
      <c r="Q8677" s="9">
        <v>1.763E-4</v>
      </c>
      <c r="R8677" s="10">
        <v>1.0183625330597311E-4</v>
      </c>
      <c r="S8677" s="10">
        <v>1.3023465423320238E-4</v>
      </c>
      <c r="T8677" s="10">
        <v>0</v>
      </c>
      <c r="U8677" s="10">
        <v>1.6427999999999999E-4</v>
      </c>
      <c r="V8677" s="25"/>
      <c r="W8677" s="25"/>
      <c r="X8677" s="25"/>
      <c r="Y8677" s="25"/>
      <c r="Z8677" s="25"/>
      <c r="AA8677" s="25"/>
    </row>
    <row r="8678" spans="1:27" x14ac:dyDescent="0.35">
      <c r="A8678" s="5">
        <v>8674</v>
      </c>
      <c r="B8678" s="5">
        <v>362</v>
      </c>
      <c r="C8678" s="5">
        <v>12</v>
      </c>
      <c r="D8678" s="25">
        <v>1.1416E-4</v>
      </c>
      <c r="E8678" s="25">
        <v>1.1400000000000001E-4</v>
      </c>
      <c r="F8678" s="25">
        <v>1.3081E-4</v>
      </c>
      <c r="G8678" s="25">
        <v>1.5903E-4</v>
      </c>
      <c r="H8678" s="25">
        <v>1.9458999999999999E-4</v>
      </c>
      <c r="I8678" s="9">
        <v>1.2040999999999999E-4</v>
      </c>
      <c r="J8678" s="9">
        <v>1.327E-4</v>
      </c>
      <c r="K8678" s="9">
        <v>3.5816E-4</v>
      </c>
      <c r="L8678" s="9">
        <v>2.0609E-4</v>
      </c>
      <c r="M8678" s="9">
        <v>1.5819E-4</v>
      </c>
      <c r="N8678" s="9">
        <v>1.2436000000000001E-4</v>
      </c>
      <c r="O8678" s="9">
        <v>1.694E-4</v>
      </c>
      <c r="P8678" s="9">
        <v>1.7496999999999999E-4</v>
      </c>
      <c r="Q8678" s="9">
        <v>1.8301E-4</v>
      </c>
      <c r="R8678" s="10">
        <v>1.3812523237659676E-4</v>
      </c>
      <c r="S8678" s="10">
        <v>1.6112910266375584E-4</v>
      </c>
      <c r="T8678" s="10">
        <v>1.2156304108884198E-4</v>
      </c>
      <c r="U8678" s="10">
        <v>1.6427999999999999E-4</v>
      </c>
      <c r="V8678" s="25"/>
      <c r="W8678" s="25"/>
      <c r="X8678" s="25"/>
      <c r="Y8678" s="25"/>
      <c r="Z8678" s="25"/>
      <c r="AA8678" s="25"/>
    </row>
    <row r="8679" spans="1:27" x14ac:dyDescent="0.35">
      <c r="A8679" s="5">
        <v>8675</v>
      </c>
      <c r="B8679" s="5">
        <v>362</v>
      </c>
      <c r="C8679" s="5">
        <v>12</v>
      </c>
      <c r="D8679" s="25">
        <v>1.1416E-4</v>
      </c>
      <c r="E8679" s="25">
        <v>1.1689E-4</v>
      </c>
      <c r="F8679" s="25">
        <v>1.2972E-4</v>
      </c>
      <c r="G8679" s="25">
        <v>1.616E-4</v>
      </c>
      <c r="H8679" s="25">
        <v>1.9966999999999999E-4</v>
      </c>
      <c r="I8679" s="9">
        <v>1.2004E-4</v>
      </c>
      <c r="J8679" s="9">
        <v>1.3416E-4</v>
      </c>
      <c r="K8679" s="9">
        <v>3.3697000000000002E-4</v>
      </c>
      <c r="L8679" s="9">
        <v>1.7756E-4</v>
      </c>
      <c r="M8679" s="9">
        <v>1.7234999999999999E-4</v>
      </c>
      <c r="N8679" s="9">
        <v>1.4263000000000001E-4</v>
      </c>
      <c r="O8679" s="9">
        <v>1.6903999999999999E-4</v>
      </c>
      <c r="P8679" s="9">
        <v>1.7323999999999999E-4</v>
      </c>
      <c r="Q8679" s="9">
        <v>1.7992999999999999E-4</v>
      </c>
      <c r="R8679" s="10">
        <v>1.7283652353498665E-4</v>
      </c>
      <c r="S8679" s="10">
        <v>1.823595899651472E-4</v>
      </c>
      <c r="T8679" s="10">
        <v>3.6317043368285044E-4</v>
      </c>
      <c r="U8679" s="10">
        <v>1.6427999999999999E-4</v>
      </c>
      <c r="V8679" s="25"/>
      <c r="W8679" s="25"/>
      <c r="X8679" s="25"/>
      <c r="Y8679" s="25"/>
      <c r="Z8679" s="25"/>
      <c r="AA8679" s="25"/>
    </row>
    <row r="8680" spans="1:27" x14ac:dyDescent="0.35">
      <c r="A8680" s="5">
        <v>8676</v>
      </c>
      <c r="B8680" s="5">
        <v>362</v>
      </c>
      <c r="C8680" s="5">
        <v>12</v>
      </c>
      <c r="D8680" s="25">
        <v>1.1416E-4</v>
      </c>
      <c r="E8680" s="25">
        <v>1.2266999999999999E-4</v>
      </c>
      <c r="F8680" s="25">
        <v>1.1574999999999999E-4</v>
      </c>
      <c r="G8680" s="25">
        <v>1.5982E-4</v>
      </c>
      <c r="H8680" s="25">
        <v>1.9713E-4</v>
      </c>
      <c r="I8680" s="9">
        <v>1.2070000000000001E-4</v>
      </c>
      <c r="J8680" s="9">
        <v>1.3318999999999999E-4</v>
      </c>
      <c r="K8680" s="9">
        <v>3.1154000000000002E-4</v>
      </c>
      <c r="L8680" s="9">
        <v>1.7232E-4</v>
      </c>
      <c r="M8680" s="9">
        <v>1.7511E-4</v>
      </c>
      <c r="N8680" s="9">
        <v>1.5684E-4</v>
      </c>
      <c r="O8680" s="9">
        <v>1.7153000000000001E-4</v>
      </c>
      <c r="P8680" s="9">
        <v>1.7159E-4</v>
      </c>
      <c r="Q8680" s="9">
        <v>1.7427E-4</v>
      </c>
      <c r="R8680" s="10">
        <v>1.9022352217844805E-4</v>
      </c>
      <c r="S8680" s="10">
        <v>1.8823003483936341E-4</v>
      </c>
      <c r="T8680" s="10">
        <v>4.823663552530026E-4</v>
      </c>
      <c r="U8680" s="10">
        <v>1.6427999999999999E-4</v>
      </c>
      <c r="V8680" s="25"/>
      <c r="W8680" s="25"/>
      <c r="X8680" s="25"/>
      <c r="Y8680" s="25"/>
      <c r="Z8680" s="25"/>
      <c r="AA8680" s="25"/>
    </row>
    <row r="8681" spans="1:27" x14ac:dyDescent="0.35">
      <c r="A8681" s="5">
        <v>8677</v>
      </c>
      <c r="B8681" s="5">
        <v>362</v>
      </c>
      <c r="C8681" s="5">
        <v>12</v>
      </c>
      <c r="D8681" s="25">
        <v>1.1416E-4</v>
      </c>
      <c r="E8681" s="25">
        <v>1.1369E-4</v>
      </c>
      <c r="F8681" s="25">
        <v>1.15E-4</v>
      </c>
      <c r="G8681" s="25">
        <v>1.5877E-4</v>
      </c>
      <c r="H8681" s="25">
        <v>1.9257000000000001E-4</v>
      </c>
      <c r="I8681" s="9">
        <v>1.2004E-4</v>
      </c>
      <c r="J8681" s="9">
        <v>1.3218999999999999E-4</v>
      </c>
      <c r="K8681" s="9">
        <v>3.0306000000000002E-4</v>
      </c>
      <c r="L8681" s="9">
        <v>1.7186999999999999E-4</v>
      </c>
      <c r="M8681" s="9">
        <v>1.7406E-4</v>
      </c>
      <c r="N8681" s="9">
        <v>1.6636E-4</v>
      </c>
      <c r="O8681" s="9">
        <v>1.6186999999999999E-4</v>
      </c>
      <c r="P8681" s="9">
        <v>1.6284000000000001E-4</v>
      </c>
      <c r="Q8681" s="9">
        <v>1.6621E-4</v>
      </c>
      <c r="R8681" s="10">
        <v>1.9108776989115449E-4</v>
      </c>
      <c r="S8681" s="10">
        <v>1.8987383307926989E-4</v>
      </c>
      <c r="T8681" s="10">
        <v>2.722781347447737E-4</v>
      </c>
      <c r="U8681" s="10">
        <v>1.6427999999999999E-4</v>
      </c>
      <c r="V8681" s="25"/>
      <c r="W8681" s="25"/>
      <c r="X8681" s="25"/>
      <c r="Y8681" s="25"/>
      <c r="Z8681" s="25"/>
      <c r="AA8681" s="25"/>
    </row>
    <row r="8682" spans="1:27" x14ac:dyDescent="0.35">
      <c r="A8682" s="5">
        <v>8678</v>
      </c>
      <c r="B8682" s="5">
        <v>362</v>
      </c>
      <c r="C8682" s="5">
        <v>12</v>
      </c>
      <c r="D8682" s="25">
        <v>1.1416E-4</v>
      </c>
      <c r="E8682" s="25">
        <v>1.1341999999999999E-4</v>
      </c>
      <c r="F8682" s="25">
        <v>1.2512999999999999E-4</v>
      </c>
      <c r="G8682" s="25">
        <v>1.5796000000000001E-4</v>
      </c>
      <c r="H8682" s="25">
        <v>1.9607000000000001E-4</v>
      </c>
      <c r="I8682" s="9">
        <v>1.1768E-4</v>
      </c>
      <c r="J8682" s="9">
        <v>1.3140999999999999E-4</v>
      </c>
      <c r="K8682" s="9">
        <v>3.1154000000000002E-4</v>
      </c>
      <c r="L8682" s="9">
        <v>1.6383000000000001E-4</v>
      </c>
      <c r="M8682" s="9">
        <v>1.6971E-4</v>
      </c>
      <c r="N8682" s="9">
        <v>1.7040999999999999E-4</v>
      </c>
      <c r="O8682" s="9">
        <v>1.7996E-4</v>
      </c>
      <c r="P8682" s="9">
        <v>1.6896000000000001E-4</v>
      </c>
      <c r="Q8682" s="9">
        <v>1.6092999999999999E-4</v>
      </c>
      <c r="R8682" s="10">
        <v>1.9576436029356806E-4</v>
      </c>
      <c r="S8682" s="10">
        <v>1.9018920614623797E-4</v>
      </c>
      <c r="T8682" s="10">
        <v>2.452471570152196E-4</v>
      </c>
      <c r="U8682" s="10">
        <v>1.6427999999999999E-4</v>
      </c>
      <c r="V8682" s="25"/>
      <c r="W8682" s="25"/>
      <c r="X8682" s="25"/>
      <c r="Y8682" s="25"/>
      <c r="Z8682" s="25"/>
      <c r="AA8682" s="25"/>
    </row>
    <row r="8683" spans="1:27" x14ac:dyDescent="0.35">
      <c r="A8683" s="5">
        <v>8679</v>
      </c>
      <c r="B8683" s="5">
        <v>362</v>
      </c>
      <c r="C8683" s="5">
        <v>12</v>
      </c>
      <c r="D8683" s="25">
        <v>1.1416E-4</v>
      </c>
      <c r="E8683" s="25">
        <v>1.2058E-4</v>
      </c>
      <c r="F8683" s="25">
        <v>1.153E-4</v>
      </c>
      <c r="G8683" s="25">
        <v>1.6003E-4</v>
      </c>
      <c r="H8683" s="25">
        <v>1.8720999999999999E-4</v>
      </c>
      <c r="I8683" s="9">
        <v>1.156E-4</v>
      </c>
      <c r="J8683" s="9">
        <v>1.3118E-4</v>
      </c>
      <c r="K8683" s="9">
        <v>3.2850000000000002E-4</v>
      </c>
      <c r="L8683" s="9">
        <v>1.7660000000000001E-4</v>
      </c>
      <c r="M8683" s="9">
        <v>1.682E-4</v>
      </c>
      <c r="N8683" s="9">
        <v>1.6997E-4</v>
      </c>
      <c r="O8683" s="9">
        <v>1.8619E-4</v>
      </c>
      <c r="P8683" s="9">
        <v>1.6820999999999999E-4</v>
      </c>
      <c r="Q8683" s="9">
        <v>1.5343E-4</v>
      </c>
      <c r="R8683" s="10">
        <v>2.0010052305731519E-4</v>
      </c>
      <c r="S8683" s="10">
        <v>1.9021407032774102E-4</v>
      </c>
      <c r="T8683" s="10">
        <v>1.8525467631036184E-4</v>
      </c>
      <c r="U8683" s="10">
        <v>1.6427999999999999E-4</v>
      </c>
      <c r="V8683" s="25"/>
      <c r="W8683" s="25"/>
      <c r="X8683" s="25"/>
      <c r="Y8683" s="25"/>
      <c r="Z8683" s="25"/>
      <c r="AA8683" s="25"/>
    </row>
    <row r="8684" spans="1:27" x14ac:dyDescent="0.35">
      <c r="A8684" s="5">
        <v>8680</v>
      </c>
      <c r="B8684" s="5">
        <v>362</v>
      </c>
      <c r="C8684" s="5">
        <v>12</v>
      </c>
      <c r="D8684" s="25">
        <v>1.1416E-4</v>
      </c>
      <c r="E8684" s="25">
        <v>1.1839E-4</v>
      </c>
      <c r="F8684" s="25">
        <v>1.3007000000000001E-4</v>
      </c>
      <c r="G8684" s="25">
        <v>1.5763999999999999E-4</v>
      </c>
      <c r="H8684" s="25">
        <v>1.9817000000000001E-4</v>
      </c>
      <c r="I8684" s="9">
        <v>1.166E-4</v>
      </c>
      <c r="J8684" s="9">
        <v>1.3184000000000001E-4</v>
      </c>
      <c r="K8684" s="9">
        <v>3.4332999999999998E-4</v>
      </c>
      <c r="L8684" s="9">
        <v>1.8374999999999999E-4</v>
      </c>
      <c r="M8684" s="9">
        <v>1.6793E-4</v>
      </c>
      <c r="N8684" s="9">
        <v>1.6624000000000001E-4</v>
      </c>
      <c r="O8684" s="9">
        <v>2.0038E-4</v>
      </c>
      <c r="P8684" s="9">
        <v>1.5344999999999999E-4</v>
      </c>
      <c r="Q8684" s="9">
        <v>1.1048E-4</v>
      </c>
      <c r="R8684" s="10">
        <v>2.0193379489629739E-4</v>
      </c>
      <c r="S8684" s="10">
        <v>1.902639202120994E-4</v>
      </c>
      <c r="T8684" s="10">
        <v>0</v>
      </c>
      <c r="U8684" s="10">
        <v>1.6427999999999999E-4</v>
      </c>
      <c r="V8684" s="25"/>
      <c r="W8684" s="25"/>
      <c r="X8684" s="25"/>
      <c r="Y8684" s="25"/>
      <c r="Z8684" s="25"/>
      <c r="AA8684" s="25"/>
    </row>
    <row r="8685" spans="1:27" x14ac:dyDescent="0.35">
      <c r="A8685" s="5">
        <v>8681</v>
      </c>
      <c r="B8685" s="5">
        <v>362</v>
      </c>
      <c r="C8685" s="5">
        <v>12</v>
      </c>
      <c r="D8685" s="25">
        <v>1.1416E-4</v>
      </c>
      <c r="E8685" s="25">
        <v>1.2E-4</v>
      </c>
      <c r="F8685" s="25">
        <v>1.1954E-4</v>
      </c>
      <c r="G8685" s="25">
        <v>1.6055999999999999E-4</v>
      </c>
      <c r="H8685" s="25">
        <v>2.0006000000000001E-4</v>
      </c>
      <c r="I8685" s="9">
        <v>1.1989000000000001E-4</v>
      </c>
      <c r="J8685" s="9">
        <v>1.3700999999999999E-4</v>
      </c>
      <c r="K8685" s="9">
        <v>3.6664E-4</v>
      </c>
      <c r="L8685" s="9">
        <v>1.9646E-4</v>
      </c>
      <c r="M8685" s="9">
        <v>1.6275999999999999E-4</v>
      </c>
      <c r="N8685" s="9">
        <v>1.5265999999999999E-4</v>
      </c>
      <c r="O8685" s="9">
        <v>2.1424000000000001E-4</v>
      </c>
      <c r="P8685" s="9">
        <v>1.5809E-4</v>
      </c>
      <c r="Q8685" s="9">
        <v>1.0634E-4</v>
      </c>
      <c r="R8685" s="10">
        <v>2.0834683056384203E-4</v>
      </c>
      <c r="S8685" s="10">
        <v>1.9028224362470532E-4</v>
      </c>
      <c r="T8685" s="10">
        <v>0</v>
      </c>
      <c r="U8685" s="10">
        <v>1.6427999999999999E-4</v>
      </c>
      <c r="V8685" s="25"/>
      <c r="W8685" s="25"/>
      <c r="X8685" s="25"/>
      <c r="Y8685" s="25"/>
      <c r="Z8685" s="25"/>
      <c r="AA8685" s="25"/>
    </row>
    <row r="8686" spans="1:27" x14ac:dyDescent="0.35">
      <c r="A8686" s="5">
        <v>8682</v>
      </c>
      <c r="B8686" s="5">
        <v>362</v>
      </c>
      <c r="C8686" s="5">
        <v>12</v>
      </c>
      <c r="D8686" s="25">
        <v>1.1416E-4</v>
      </c>
      <c r="E8686" s="25">
        <v>1.2299000000000001E-4</v>
      </c>
      <c r="F8686" s="25">
        <v>1.3197999999999999E-4</v>
      </c>
      <c r="G8686" s="25">
        <v>1.5987E-4</v>
      </c>
      <c r="H8686" s="25">
        <v>1.8882E-4</v>
      </c>
      <c r="I8686" s="9">
        <v>1.3002000000000001E-4</v>
      </c>
      <c r="J8686" s="9">
        <v>1.471E-4</v>
      </c>
      <c r="K8686" s="9">
        <v>3.9418999999999999E-4</v>
      </c>
      <c r="L8686" s="9">
        <v>2.1007999999999999E-4</v>
      </c>
      <c r="M8686" s="9">
        <v>1.5962999999999999E-4</v>
      </c>
      <c r="N8686" s="9">
        <v>1.3913E-4</v>
      </c>
      <c r="O8686" s="9">
        <v>2.0638000000000001E-4</v>
      </c>
      <c r="P8686" s="9">
        <v>1.5975000000000001E-4</v>
      </c>
      <c r="Q8686" s="9">
        <v>1.172E-4</v>
      </c>
      <c r="R8686" s="10">
        <v>2.1050938408443806E-4</v>
      </c>
      <c r="S8686" s="10">
        <v>1.9028277075372609E-4</v>
      </c>
      <c r="T8686" s="10">
        <v>0</v>
      </c>
      <c r="U8686" s="10">
        <v>1.6427999999999999E-4</v>
      </c>
      <c r="V8686" s="25"/>
      <c r="W8686" s="25"/>
      <c r="X8686" s="25"/>
      <c r="Y8686" s="25"/>
      <c r="Z8686" s="25"/>
      <c r="AA8686" s="25"/>
    </row>
    <row r="8687" spans="1:27" x14ac:dyDescent="0.35">
      <c r="A8687" s="5">
        <v>8683</v>
      </c>
      <c r="B8687" s="5">
        <v>362</v>
      </c>
      <c r="C8687" s="5">
        <v>12</v>
      </c>
      <c r="D8687" s="25">
        <v>1.1416E-4</v>
      </c>
      <c r="E8687" s="25">
        <v>1.1966E-4</v>
      </c>
      <c r="F8687" s="25">
        <v>1.2726999999999999E-4</v>
      </c>
      <c r="G8687" s="25">
        <v>1.0554E-4</v>
      </c>
      <c r="H8687" s="25">
        <v>1.2857999999999999E-4</v>
      </c>
      <c r="I8687" s="9">
        <v>1.303E-4</v>
      </c>
      <c r="J8687" s="9">
        <v>1.4176999999999999E-4</v>
      </c>
      <c r="K8687" s="9">
        <v>3.8359000000000001E-4</v>
      </c>
      <c r="L8687" s="9">
        <v>2.0685000000000001E-4</v>
      </c>
      <c r="M8687" s="9">
        <v>1.5898999999999999E-4</v>
      </c>
      <c r="N8687" s="9">
        <v>1.2997E-4</v>
      </c>
      <c r="O8687" s="9">
        <v>1.6519000000000001E-4</v>
      </c>
      <c r="P8687" s="9">
        <v>1.3448E-4</v>
      </c>
      <c r="Q8687" s="9">
        <v>1.0674E-4</v>
      </c>
      <c r="R8687" s="10">
        <v>2.1090144587935079E-4</v>
      </c>
      <c r="S8687" s="10">
        <v>1.9028848445585368E-4</v>
      </c>
      <c r="T8687" s="10">
        <v>0</v>
      </c>
      <c r="U8687" s="10">
        <v>1.6427999999999999E-4</v>
      </c>
      <c r="V8687" s="25"/>
      <c r="W8687" s="25"/>
      <c r="X8687" s="25"/>
      <c r="Y8687" s="25"/>
      <c r="Z8687" s="25"/>
      <c r="AA8687" s="25"/>
    </row>
    <row r="8688" spans="1:27" x14ac:dyDescent="0.35">
      <c r="A8688" s="5">
        <v>8684</v>
      </c>
      <c r="B8688" s="5">
        <v>362</v>
      </c>
      <c r="C8688" s="5">
        <v>12</v>
      </c>
      <c r="D8688" s="25">
        <v>1.1416E-4</v>
      </c>
      <c r="E8688" s="25">
        <v>1.1129999999999999E-4</v>
      </c>
      <c r="F8688" s="25">
        <v>1.1232E-4</v>
      </c>
      <c r="G8688" s="25">
        <v>1.0476000000000001E-4</v>
      </c>
      <c r="H8688" s="25">
        <v>1.3103E-4</v>
      </c>
      <c r="I8688" s="9">
        <v>1.2543E-4</v>
      </c>
      <c r="J8688" s="9">
        <v>1.3655000000000001E-4</v>
      </c>
      <c r="K8688" s="9">
        <v>3.7936000000000003E-4</v>
      </c>
      <c r="L8688" s="9">
        <v>1.7452E-4</v>
      </c>
      <c r="M8688" s="9">
        <v>1.5018E-4</v>
      </c>
      <c r="N8688" s="9">
        <v>1.2077E-4</v>
      </c>
      <c r="O8688" s="9">
        <v>1.3077E-4</v>
      </c>
      <c r="P8688" s="9">
        <v>1.1572E-4</v>
      </c>
      <c r="Q8688" s="9">
        <v>1.0265E-4</v>
      </c>
      <c r="R8688" s="10">
        <v>2.1125104342693647E-4</v>
      </c>
      <c r="S8688" s="10">
        <v>1.9029017246783206E-4</v>
      </c>
      <c r="T8688" s="10">
        <v>0</v>
      </c>
      <c r="U8688" s="10">
        <v>1.6427999999999999E-4</v>
      </c>
      <c r="V8688" s="25"/>
      <c r="W8688" s="25"/>
      <c r="X8688" s="25"/>
      <c r="Y8688" s="25"/>
      <c r="Z8688" s="25"/>
      <c r="AA8688" s="25"/>
    </row>
    <row r="8689" spans="1:27" x14ac:dyDescent="0.35">
      <c r="A8689" s="5">
        <v>8685</v>
      </c>
      <c r="B8689" s="5">
        <v>362</v>
      </c>
      <c r="C8689" s="5">
        <v>12</v>
      </c>
      <c r="D8689" s="25">
        <v>1.1416E-4</v>
      </c>
      <c r="E8689" s="25">
        <v>1.1765E-4</v>
      </c>
      <c r="F8689" s="25">
        <v>1.1383E-4</v>
      </c>
      <c r="G8689" s="25">
        <v>5.4079999999999997E-5</v>
      </c>
      <c r="H8689" s="25">
        <v>6.8180000000000001E-5</v>
      </c>
      <c r="I8689" s="9">
        <v>1.1904E-4</v>
      </c>
      <c r="J8689" s="9">
        <v>1.2983999999999999E-4</v>
      </c>
      <c r="K8689" s="9">
        <v>3.9418999999999999E-4</v>
      </c>
      <c r="L8689" s="9">
        <v>1.4138000000000001E-4</v>
      </c>
      <c r="M8689" s="9">
        <v>1.3532E-4</v>
      </c>
      <c r="N8689" s="9">
        <v>1.1323999999999999E-4</v>
      </c>
      <c r="O8689" s="9">
        <v>8.4900000000000004E-5</v>
      </c>
      <c r="P8689" s="9">
        <v>8.6119999999999995E-5</v>
      </c>
      <c r="Q8689" s="9">
        <v>8.8109999999999995E-5</v>
      </c>
      <c r="R8689" s="10">
        <v>2.1136776205161673E-4</v>
      </c>
      <c r="S8689" s="10">
        <v>1.9029016967488121E-4</v>
      </c>
      <c r="T8689" s="10">
        <v>0</v>
      </c>
      <c r="U8689" s="10">
        <v>1.6427999999999999E-4</v>
      </c>
      <c r="V8689" s="25"/>
      <c r="W8689" s="25"/>
      <c r="X8689" s="25"/>
      <c r="Y8689" s="25"/>
      <c r="Z8689" s="25"/>
      <c r="AA8689" s="25"/>
    </row>
    <row r="8690" spans="1:27" x14ac:dyDescent="0.35">
      <c r="A8690" s="5">
        <v>8686</v>
      </c>
      <c r="B8690" s="5">
        <v>362</v>
      </c>
      <c r="C8690" s="5">
        <v>12</v>
      </c>
      <c r="D8690" s="25">
        <v>1.1416E-4</v>
      </c>
      <c r="E8690" s="25">
        <v>1.2026E-4</v>
      </c>
      <c r="F8690" s="25">
        <v>1.1278E-4</v>
      </c>
      <c r="G8690" s="25">
        <v>5.7800000000000002E-5</v>
      </c>
      <c r="H8690" s="25">
        <v>7.2100000000000004E-5</v>
      </c>
      <c r="I8690" s="9">
        <v>1.1400000000000001E-4</v>
      </c>
      <c r="J8690" s="9">
        <v>1.2260999999999999E-4</v>
      </c>
      <c r="K8690" s="9">
        <v>3.9418999999999999E-4</v>
      </c>
      <c r="L8690" s="9">
        <v>9.8220000000000005E-5</v>
      </c>
      <c r="M8690" s="9">
        <v>1.138E-4</v>
      </c>
      <c r="N8690" s="9">
        <v>1.0558E-4</v>
      </c>
      <c r="O8690" s="9">
        <v>8.8029999999999996E-5</v>
      </c>
      <c r="P8690" s="9">
        <v>8.7819999999999996E-5</v>
      </c>
      <c r="Q8690" s="9">
        <v>8.8469999999999998E-5</v>
      </c>
      <c r="R8690" s="10">
        <v>2.1070555559005898E-4</v>
      </c>
      <c r="S8690" s="10">
        <v>1.9029014710179146E-4</v>
      </c>
      <c r="T8690" s="10">
        <v>0</v>
      </c>
      <c r="U8690" s="10">
        <v>1.6427999999999999E-4</v>
      </c>
      <c r="V8690" s="25"/>
      <c r="W8690" s="25"/>
      <c r="X8690" s="25"/>
      <c r="Y8690" s="25"/>
      <c r="Z8690" s="25"/>
      <c r="AA8690" s="25"/>
    </row>
    <row r="8691" spans="1:27" x14ac:dyDescent="0.35">
      <c r="A8691" s="5">
        <v>8687</v>
      </c>
      <c r="B8691" s="5">
        <v>362</v>
      </c>
      <c r="C8691" s="5">
        <v>12</v>
      </c>
      <c r="D8691" s="25">
        <v>1.1416E-4</v>
      </c>
      <c r="E8691" s="25">
        <v>1.1909999999999999E-4</v>
      </c>
      <c r="F8691" s="25">
        <v>1.2212E-4</v>
      </c>
      <c r="G8691" s="25">
        <v>5.8189999999999997E-5</v>
      </c>
      <c r="H8691" s="25">
        <v>7.0240000000000005E-5</v>
      </c>
      <c r="I8691" s="9">
        <v>1.1675000000000001E-4</v>
      </c>
      <c r="J8691" s="9">
        <v>1.1479E-4</v>
      </c>
      <c r="K8691" s="9">
        <v>4.0266999999999999E-4</v>
      </c>
      <c r="L8691" s="9">
        <v>9.1240000000000001E-5</v>
      </c>
      <c r="M8691" s="9">
        <v>9.9149999999999998E-5</v>
      </c>
      <c r="N8691" s="9">
        <v>9.9840000000000006E-5</v>
      </c>
      <c r="O8691" s="9">
        <v>7.8159999999999997E-5</v>
      </c>
      <c r="P8691" s="9">
        <v>7.2169999999999995E-5</v>
      </c>
      <c r="Q8691" s="9">
        <v>6.6909999999999995E-5</v>
      </c>
      <c r="R8691" s="10">
        <v>2.1030347205076025E-4</v>
      </c>
      <c r="S8691" s="10">
        <v>1.9028866866453769E-4</v>
      </c>
      <c r="T8691" s="10">
        <v>0</v>
      </c>
      <c r="U8691" s="10">
        <v>1.6427999999999999E-4</v>
      </c>
      <c r="V8691" s="25"/>
      <c r="W8691" s="25"/>
      <c r="X8691" s="25"/>
      <c r="Y8691" s="25"/>
      <c r="Z8691" s="25"/>
      <c r="AA8691" s="25"/>
    </row>
    <row r="8692" spans="1:27" x14ac:dyDescent="0.35">
      <c r="A8692" s="5">
        <v>8688</v>
      </c>
      <c r="B8692" s="5">
        <v>362</v>
      </c>
      <c r="C8692" s="5">
        <v>12</v>
      </c>
      <c r="D8692" s="25">
        <v>1.1416E-4</v>
      </c>
      <c r="E8692" s="25">
        <v>1.1796E-4</v>
      </c>
      <c r="F8692" s="25">
        <v>1.184E-4</v>
      </c>
      <c r="G8692" s="25">
        <v>5.77E-5</v>
      </c>
      <c r="H8692" s="25">
        <v>6.7379999999999995E-5</v>
      </c>
      <c r="I8692" s="9">
        <v>1.1695E-4</v>
      </c>
      <c r="J8692" s="9">
        <v>1.0785000000000001E-4</v>
      </c>
      <c r="K8692" s="9">
        <v>4.0691000000000002E-4</v>
      </c>
      <c r="L8692" s="9">
        <v>8.1030000000000002E-5</v>
      </c>
      <c r="M8692" s="9">
        <v>8.6210000000000003E-5</v>
      </c>
      <c r="N8692" s="9">
        <v>9.0600000000000007E-5</v>
      </c>
      <c r="O8692" s="9">
        <v>6.321E-5</v>
      </c>
      <c r="P8692" s="9">
        <v>6.1020000000000002E-5</v>
      </c>
      <c r="Q8692" s="9">
        <v>5.9190000000000001E-5</v>
      </c>
      <c r="R8692" s="10">
        <v>2.0865314546425392E-4</v>
      </c>
      <c r="S8692" s="10">
        <v>1.9028780092399721E-4</v>
      </c>
      <c r="T8692" s="10">
        <v>0</v>
      </c>
      <c r="U8692" s="10">
        <v>1.6427999999999999E-4</v>
      </c>
      <c r="V8692" s="25"/>
      <c r="W8692" s="25"/>
      <c r="X8692" s="25"/>
      <c r="Y8692" s="25"/>
      <c r="Z8692" s="25"/>
      <c r="AA8692" s="25"/>
    </row>
    <row r="8693" spans="1:27" x14ac:dyDescent="0.35">
      <c r="A8693" s="5">
        <v>8689</v>
      </c>
      <c r="B8693" s="5">
        <v>363</v>
      </c>
      <c r="C8693" s="5">
        <v>12</v>
      </c>
      <c r="D8693" s="25">
        <v>1.1416E-4</v>
      </c>
      <c r="E8693" s="25">
        <v>1.0524E-4</v>
      </c>
      <c r="F8693" s="25">
        <v>1.0754E-4</v>
      </c>
      <c r="G8693" s="25">
        <v>5.3650000000000003E-5</v>
      </c>
      <c r="H8693" s="25">
        <v>4.1220000000000002E-5</v>
      </c>
      <c r="I8693" s="9">
        <v>1.1063E-4</v>
      </c>
      <c r="J8693" s="9">
        <v>1.0189E-4</v>
      </c>
      <c r="K8693" s="9">
        <v>3.8782999999999998E-4</v>
      </c>
      <c r="L8693" s="9">
        <v>6.7119999999999994E-5</v>
      </c>
      <c r="M8693" s="9">
        <v>7.4170000000000003E-5</v>
      </c>
      <c r="N8693" s="9">
        <v>8.1279999999999994E-5</v>
      </c>
      <c r="O8693" s="9">
        <v>6.7869999999999999E-5</v>
      </c>
      <c r="P8693" s="9">
        <v>6.0430000000000002E-5</v>
      </c>
      <c r="Q8693" s="9">
        <v>5.3300000000000001E-5</v>
      </c>
      <c r="R8693" s="10">
        <v>2.0692078933400851E-4</v>
      </c>
      <c r="S8693" s="10">
        <v>1.9028772972444087E-4</v>
      </c>
      <c r="T8693" s="10">
        <v>0</v>
      </c>
      <c r="U8693" s="10">
        <v>1.6626999999999999E-4</v>
      </c>
      <c r="V8693" s="25"/>
      <c r="W8693" s="25"/>
      <c r="X8693" s="25"/>
      <c r="Y8693" s="25"/>
      <c r="Z8693" s="25"/>
      <c r="AA8693" s="25"/>
    </row>
    <row r="8694" spans="1:27" x14ac:dyDescent="0.35">
      <c r="A8694" s="5">
        <v>8690</v>
      </c>
      <c r="B8694" s="5">
        <v>363</v>
      </c>
      <c r="C8694" s="5">
        <v>12</v>
      </c>
      <c r="D8694" s="25">
        <v>1.1416E-4</v>
      </c>
      <c r="E8694" s="25">
        <v>1.0807E-4</v>
      </c>
      <c r="F8694" s="25">
        <v>1.0058E-4</v>
      </c>
      <c r="G8694" s="25">
        <v>5.6209999999999999E-5</v>
      </c>
      <c r="H8694" s="25">
        <v>4.3350000000000003E-5</v>
      </c>
      <c r="I8694" s="9">
        <v>1.0480999999999999E-4</v>
      </c>
      <c r="J8694" s="9">
        <v>9.6849999999999996E-5</v>
      </c>
      <c r="K8694" s="9">
        <v>3.8570999999999999E-4</v>
      </c>
      <c r="L8694" s="9">
        <v>6.8089999999999994E-5</v>
      </c>
      <c r="M8694" s="9">
        <v>6.6370000000000003E-5</v>
      </c>
      <c r="N8694" s="9">
        <v>7.2130000000000002E-5</v>
      </c>
      <c r="O8694" s="9">
        <v>3.5139999999999999E-5</v>
      </c>
      <c r="P8694" s="9">
        <v>4.6270000000000003E-5</v>
      </c>
      <c r="Q8694" s="9">
        <v>5.6709999999999997E-5</v>
      </c>
      <c r="R8694" s="10">
        <v>2.0622351677286404E-4</v>
      </c>
      <c r="S8694" s="10">
        <v>1.9027288806273686E-4</v>
      </c>
      <c r="T8694" s="10">
        <v>0</v>
      </c>
      <c r="U8694" s="10">
        <v>1.6626999999999999E-4</v>
      </c>
      <c r="V8694" s="25"/>
      <c r="W8694" s="25"/>
      <c r="X8694" s="25"/>
      <c r="Y8694" s="25"/>
      <c r="Z8694" s="25"/>
      <c r="AA8694" s="25"/>
    </row>
    <row r="8695" spans="1:27" x14ac:dyDescent="0.35">
      <c r="A8695" s="5">
        <v>8691</v>
      </c>
      <c r="B8695" s="5">
        <v>363</v>
      </c>
      <c r="C8695" s="5">
        <v>12</v>
      </c>
      <c r="D8695" s="25">
        <v>1.1416E-4</v>
      </c>
      <c r="E8695" s="25">
        <v>1.1393E-4</v>
      </c>
      <c r="F8695" s="25">
        <v>9.8339999999999997E-5</v>
      </c>
      <c r="G8695" s="25">
        <v>5.7299999999999997E-5</v>
      </c>
      <c r="H8695" s="25">
        <v>4.6060000000000003E-5</v>
      </c>
      <c r="I8695" s="9">
        <v>1.0009E-4</v>
      </c>
      <c r="J8695" s="9">
        <v>9.399E-5</v>
      </c>
      <c r="K8695" s="9">
        <v>3.9418999999999999E-4</v>
      </c>
      <c r="L8695" s="9">
        <v>4.231E-5</v>
      </c>
      <c r="M8695" s="9">
        <v>5.7460000000000002E-5</v>
      </c>
      <c r="N8695" s="9">
        <v>6.567E-5</v>
      </c>
      <c r="O8695" s="9">
        <v>2.1310000000000001E-5</v>
      </c>
      <c r="P8695" s="9">
        <v>4.1730000000000002E-5</v>
      </c>
      <c r="Q8695" s="9">
        <v>6.1039999999999998E-5</v>
      </c>
      <c r="R8695" s="10">
        <v>2.045672978717718E-4</v>
      </c>
      <c r="S8695" s="10">
        <v>1.9024865552293927E-4</v>
      </c>
      <c r="T8695" s="10">
        <v>0</v>
      </c>
      <c r="U8695" s="10">
        <v>1.6626999999999999E-4</v>
      </c>
      <c r="V8695" s="25"/>
      <c r="W8695" s="25"/>
      <c r="X8695" s="25"/>
      <c r="Y8695" s="25"/>
      <c r="Z8695" s="25"/>
      <c r="AA8695" s="25"/>
    </row>
    <row r="8696" spans="1:27" x14ac:dyDescent="0.35">
      <c r="A8696" s="5">
        <v>8692</v>
      </c>
      <c r="B8696" s="5">
        <v>363</v>
      </c>
      <c r="C8696" s="5">
        <v>12</v>
      </c>
      <c r="D8696" s="25">
        <v>1.1416E-4</v>
      </c>
      <c r="E8696" s="25">
        <v>1.1043E-4</v>
      </c>
      <c r="F8696" s="25">
        <v>1.0194E-4</v>
      </c>
      <c r="G8696" s="25">
        <v>5.7000000000000003E-5</v>
      </c>
      <c r="H8696" s="25">
        <v>3.9910000000000002E-5</v>
      </c>
      <c r="I8696" s="9">
        <v>9.7520000000000001E-5</v>
      </c>
      <c r="J8696" s="9">
        <v>9.2960000000000004E-5</v>
      </c>
      <c r="K8696" s="9">
        <v>4.1114E-4</v>
      </c>
      <c r="L8696" s="9">
        <v>2.6550000000000002E-5</v>
      </c>
      <c r="M8696" s="9">
        <v>4.9700000000000002E-5</v>
      </c>
      <c r="N8696" s="9">
        <v>6.1940000000000007E-5</v>
      </c>
      <c r="O8696" s="9">
        <v>2.0769999999999999E-5</v>
      </c>
      <c r="P8696" s="9">
        <v>5.0859999999999998E-5</v>
      </c>
      <c r="Q8696" s="9">
        <v>7.9670000000000001E-5</v>
      </c>
      <c r="R8696" s="10">
        <v>2.0148070864445714E-4</v>
      </c>
      <c r="S8696" s="10">
        <v>1.9012167464837299E-4</v>
      </c>
      <c r="T8696" s="10">
        <v>0</v>
      </c>
      <c r="U8696" s="10">
        <v>1.6626999999999999E-4</v>
      </c>
      <c r="V8696" s="25"/>
      <c r="W8696" s="25"/>
      <c r="X8696" s="25"/>
      <c r="Y8696" s="25"/>
      <c r="Z8696" s="25"/>
      <c r="AA8696" s="25"/>
    </row>
    <row r="8697" spans="1:27" x14ac:dyDescent="0.35">
      <c r="A8697" s="5">
        <v>8693</v>
      </c>
      <c r="B8697" s="5">
        <v>363</v>
      </c>
      <c r="C8697" s="5">
        <v>12</v>
      </c>
      <c r="D8697" s="25">
        <v>1.1416E-4</v>
      </c>
      <c r="E8697" s="25">
        <v>1.1079E-4</v>
      </c>
      <c r="F8697" s="25">
        <v>1.1357E-4</v>
      </c>
      <c r="G8697" s="25">
        <v>5.7849999999999997E-5</v>
      </c>
      <c r="H8697" s="25">
        <v>4.604E-5</v>
      </c>
      <c r="I8697" s="9">
        <v>9.7250000000000006E-5</v>
      </c>
      <c r="J8697" s="9">
        <v>9.3549999999999997E-5</v>
      </c>
      <c r="K8697" s="9">
        <v>4.1750000000000001E-4</v>
      </c>
      <c r="L8697" s="9">
        <v>2.251E-5</v>
      </c>
      <c r="M8697" s="9">
        <v>4.8260000000000002E-5</v>
      </c>
      <c r="N8697" s="9">
        <v>6.4300000000000004E-5</v>
      </c>
      <c r="O8697" s="9">
        <v>2.266E-5</v>
      </c>
      <c r="P8697" s="9">
        <v>5.8369999999999998E-5</v>
      </c>
      <c r="Q8697" s="9">
        <v>9.276E-5</v>
      </c>
      <c r="R8697" s="10">
        <v>1.9964111534849258E-4</v>
      </c>
      <c r="S8697" s="10">
        <v>1.8993768634191827E-4</v>
      </c>
      <c r="T8697" s="10">
        <v>0</v>
      </c>
      <c r="U8697" s="10">
        <v>1.6626999999999999E-4</v>
      </c>
      <c r="V8697" s="25"/>
      <c r="W8697" s="25"/>
      <c r="X8697" s="25"/>
      <c r="Y8697" s="25"/>
      <c r="Z8697" s="25"/>
      <c r="AA8697" s="25"/>
    </row>
    <row r="8698" spans="1:27" x14ac:dyDescent="0.35">
      <c r="A8698" s="5">
        <v>8694</v>
      </c>
      <c r="B8698" s="5">
        <v>363</v>
      </c>
      <c r="C8698" s="5">
        <v>12</v>
      </c>
      <c r="D8698" s="25">
        <v>1.1416E-4</v>
      </c>
      <c r="E8698" s="25">
        <v>1.0980999999999999E-4</v>
      </c>
      <c r="F8698" s="25">
        <v>1.0487E-4</v>
      </c>
      <c r="G8698" s="25">
        <v>1.1368E-4</v>
      </c>
      <c r="H8698" s="25">
        <v>8.53E-5</v>
      </c>
      <c r="I8698" s="9">
        <v>1.0016E-4</v>
      </c>
      <c r="J8698" s="9">
        <v>9.7250000000000006E-5</v>
      </c>
      <c r="K8698" s="9">
        <v>4.3445000000000002E-4</v>
      </c>
      <c r="L8698" s="9">
        <v>2.2560000000000001E-5</v>
      </c>
      <c r="M8698" s="9">
        <v>5.185E-5</v>
      </c>
      <c r="N8698" s="9">
        <v>7.0649999999999996E-5</v>
      </c>
      <c r="O8698" s="9">
        <v>2.942E-5</v>
      </c>
      <c r="P8698" s="9">
        <v>6.9140000000000005E-5</v>
      </c>
      <c r="Q8698" s="9">
        <v>1.0760999999999999E-4</v>
      </c>
      <c r="R8698" s="10">
        <v>1.9702819907119185E-4</v>
      </c>
      <c r="S8698" s="10">
        <v>1.8975631120328945E-4</v>
      </c>
      <c r="T8698" s="10">
        <v>0</v>
      </c>
      <c r="U8698" s="10">
        <v>1.6626999999999999E-4</v>
      </c>
      <c r="V8698" s="25"/>
      <c r="W8698" s="25"/>
      <c r="X8698" s="25"/>
      <c r="Y8698" s="25"/>
      <c r="Z8698" s="25"/>
      <c r="AA8698" s="25"/>
    </row>
    <row r="8699" spans="1:27" x14ac:dyDescent="0.35">
      <c r="A8699" s="5">
        <v>8695</v>
      </c>
      <c r="B8699" s="5">
        <v>363</v>
      </c>
      <c r="C8699" s="5">
        <v>12</v>
      </c>
      <c r="D8699" s="25">
        <v>1.1416E-4</v>
      </c>
      <c r="E8699" s="25">
        <v>1.0774E-4</v>
      </c>
      <c r="F8699" s="25">
        <v>9.4900000000000003E-5</v>
      </c>
      <c r="G8699" s="25">
        <v>1.1067E-4</v>
      </c>
      <c r="H8699" s="25">
        <v>7.9140000000000005E-5</v>
      </c>
      <c r="I8699" s="9">
        <v>1.0741E-4</v>
      </c>
      <c r="J8699" s="9">
        <v>1.0609E-4</v>
      </c>
      <c r="K8699" s="9">
        <v>4.4293000000000002E-4</v>
      </c>
      <c r="L8699" s="9">
        <v>2.781E-5</v>
      </c>
      <c r="M8699" s="9">
        <v>5.9150000000000001E-5</v>
      </c>
      <c r="N8699" s="9">
        <v>8.051E-5</v>
      </c>
      <c r="O8699" s="9">
        <v>4.6149999999999997E-5</v>
      </c>
      <c r="P8699" s="9">
        <v>7.9950000000000005E-5</v>
      </c>
      <c r="Q8699" s="9">
        <v>1.1293E-4</v>
      </c>
      <c r="R8699" s="10">
        <v>1.9923073124442713E-4</v>
      </c>
      <c r="S8699" s="10">
        <v>1.8962950008649199E-4</v>
      </c>
      <c r="T8699" s="10">
        <v>0</v>
      </c>
      <c r="U8699" s="10">
        <v>1.6626999999999999E-4</v>
      </c>
      <c r="V8699" s="25"/>
      <c r="W8699" s="25"/>
      <c r="X8699" s="25"/>
      <c r="Y8699" s="25"/>
      <c r="Z8699" s="25"/>
      <c r="AA8699" s="25"/>
    </row>
    <row r="8700" spans="1:27" x14ac:dyDescent="0.35">
      <c r="A8700" s="5">
        <v>8696</v>
      </c>
      <c r="B8700" s="5">
        <v>363</v>
      </c>
      <c r="C8700" s="5">
        <v>12</v>
      </c>
      <c r="D8700" s="25">
        <v>1.1416E-4</v>
      </c>
      <c r="E8700" s="25">
        <v>1.0516E-4</v>
      </c>
      <c r="F8700" s="25">
        <v>1.1179E-4</v>
      </c>
      <c r="G8700" s="25">
        <v>1.6357000000000001E-4</v>
      </c>
      <c r="H8700" s="25">
        <v>1.1786999999999999E-4</v>
      </c>
      <c r="I8700" s="9">
        <v>1.1239E-4</v>
      </c>
      <c r="J8700" s="9">
        <v>1.18E-4</v>
      </c>
      <c r="K8700" s="9">
        <v>4.2386000000000002E-4</v>
      </c>
      <c r="L8700" s="9">
        <v>4.1959999999999998E-5</v>
      </c>
      <c r="M8700" s="9">
        <v>6.847E-5</v>
      </c>
      <c r="N8700" s="9">
        <v>9.0729999999999994E-5</v>
      </c>
      <c r="O8700" s="9">
        <v>6.8659999999999997E-5</v>
      </c>
      <c r="P8700" s="9">
        <v>1.0325E-4</v>
      </c>
      <c r="Q8700" s="9">
        <v>1.3749000000000001E-4</v>
      </c>
      <c r="R8700" s="10">
        <v>1.9966639504197706E-4</v>
      </c>
      <c r="S8700" s="10">
        <v>1.8959710137598837E-4</v>
      </c>
      <c r="T8700" s="10">
        <v>0</v>
      </c>
      <c r="U8700" s="10">
        <v>1.6626999999999999E-4</v>
      </c>
      <c r="V8700" s="25"/>
      <c r="W8700" s="25"/>
      <c r="X8700" s="25"/>
      <c r="Y8700" s="25"/>
      <c r="Z8700" s="25"/>
      <c r="AA8700" s="25"/>
    </row>
    <row r="8701" spans="1:27" x14ac:dyDescent="0.35">
      <c r="A8701" s="5">
        <v>8697</v>
      </c>
      <c r="B8701" s="5">
        <v>363</v>
      </c>
      <c r="C8701" s="5">
        <v>12</v>
      </c>
      <c r="D8701" s="25">
        <v>1.1416E-4</v>
      </c>
      <c r="E8701" s="25">
        <v>1.0408000000000001E-4</v>
      </c>
      <c r="F8701" s="25">
        <v>1.1275E-4</v>
      </c>
      <c r="G8701" s="25">
        <v>1.6143E-4</v>
      </c>
      <c r="H8701" s="25">
        <v>1.2158E-4</v>
      </c>
      <c r="I8701" s="9">
        <v>1.1979E-4</v>
      </c>
      <c r="J8701" s="9">
        <v>1.2894999999999999E-4</v>
      </c>
      <c r="K8701" s="9">
        <v>3.8782999999999998E-4</v>
      </c>
      <c r="L8701" s="9">
        <v>6.2409999999999994E-5</v>
      </c>
      <c r="M8701" s="9">
        <v>8.3300000000000005E-5</v>
      </c>
      <c r="N8701" s="9">
        <v>1.0471000000000001E-4</v>
      </c>
      <c r="O8701" s="9">
        <v>9.9539999999999999E-5</v>
      </c>
      <c r="P8701" s="9">
        <v>1.3744000000000001E-4</v>
      </c>
      <c r="Q8701" s="9">
        <v>1.7561000000000001E-4</v>
      </c>
      <c r="R8701" s="10">
        <v>1.9742806067496205E-4</v>
      </c>
      <c r="S8701" s="10">
        <v>1.8947466703099752E-4</v>
      </c>
      <c r="T8701" s="10">
        <v>0</v>
      </c>
      <c r="U8701" s="10">
        <v>1.6626999999999999E-4</v>
      </c>
      <c r="V8701" s="25"/>
      <c r="W8701" s="25"/>
      <c r="X8701" s="25"/>
      <c r="Y8701" s="25"/>
      <c r="Z8701" s="25"/>
      <c r="AA8701" s="25"/>
    </row>
    <row r="8702" spans="1:27" x14ac:dyDescent="0.35">
      <c r="A8702" s="5">
        <v>8698</v>
      </c>
      <c r="B8702" s="5">
        <v>363</v>
      </c>
      <c r="C8702" s="5">
        <v>12</v>
      </c>
      <c r="D8702" s="25">
        <v>1.1416E-4</v>
      </c>
      <c r="E8702" s="25">
        <v>1.0508E-4</v>
      </c>
      <c r="F8702" s="25">
        <v>1.0778E-4</v>
      </c>
      <c r="G8702" s="25">
        <v>1.6175E-4</v>
      </c>
      <c r="H8702" s="25">
        <v>1.2318E-4</v>
      </c>
      <c r="I8702" s="9">
        <v>1.2337000000000001E-4</v>
      </c>
      <c r="J8702" s="9">
        <v>1.3543999999999999E-4</v>
      </c>
      <c r="K8702" s="9">
        <v>3.3909000000000001E-4</v>
      </c>
      <c r="L8702" s="9">
        <v>9.0829999999999996E-5</v>
      </c>
      <c r="M8702" s="9">
        <v>1.0653E-4</v>
      </c>
      <c r="N8702" s="9">
        <v>1.2449E-4</v>
      </c>
      <c r="O8702" s="9">
        <v>1.3035E-4</v>
      </c>
      <c r="P8702" s="9">
        <v>1.5637E-4</v>
      </c>
      <c r="Q8702" s="9">
        <v>1.8347E-4</v>
      </c>
      <c r="R8702" s="10">
        <v>1.9074564772496004E-4</v>
      </c>
      <c r="S8702" s="10">
        <v>1.8787907039977182E-4</v>
      </c>
      <c r="T8702" s="10">
        <v>1.4468275681798036E-4</v>
      </c>
      <c r="U8702" s="10">
        <v>1.6626999999999999E-4</v>
      </c>
      <c r="V8702" s="25"/>
      <c r="W8702" s="25"/>
      <c r="X8702" s="25"/>
      <c r="Y8702" s="25"/>
      <c r="Z8702" s="25"/>
      <c r="AA8702" s="25"/>
    </row>
    <row r="8703" spans="1:27" x14ac:dyDescent="0.35">
      <c r="A8703" s="5">
        <v>8699</v>
      </c>
      <c r="B8703" s="5">
        <v>363</v>
      </c>
      <c r="C8703" s="5">
        <v>12</v>
      </c>
      <c r="D8703" s="25">
        <v>1.1416E-4</v>
      </c>
      <c r="E8703" s="25">
        <v>1.0877E-4</v>
      </c>
      <c r="F8703" s="25">
        <v>9.7930000000000006E-5</v>
      </c>
      <c r="G8703" s="25">
        <v>1.5845E-4</v>
      </c>
      <c r="H8703" s="25">
        <v>1.192E-4</v>
      </c>
      <c r="I8703" s="9">
        <v>1.261E-4</v>
      </c>
      <c r="J8703" s="9">
        <v>1.3815999999999999E-4</v>
      </c>
      <c r="K8703" s="9">
        <v>3.0941999999999998E-4</v>
      </c>
      <c r="L8703" s="9">
        <v>1.2095999999999999E-4</v>
      </c>
      <c r="M8703" s="9">
        <v>1.3032000000000001E-4</v>
      </c>
      <c r="N8703" s="9">
        <v>1.4291E-4</v>
      </c>
      <c r="O8703" s="9">
        <v>1.3839000000000001E-4</v>
      </c>
      <c r="P8703" s="9">
        <v>1.5867999999999999E-4</v>
      </c>
      <c r="Q8703" s="9">
        <v>1.8029999999999999E-4</v>
      </c>
      <c r="R8703" s="10">
        <v>1.8255205432073476E-4</v>
      </c>
      <c r="S8703" s="10">
        <v>1.8411141963617998E-4</v>
      </c>
      <c r="T8703" s="10">
        <v>2.3398849177758049E-4</v>
      </c>
      <c r="U8703" s="10">
        <v>1.6626999999999999E-4</v>
      </c>
      <c r="V8703" s="25"/>
      <c r="W8703" s="25"/>
      <c r="X8703" s="25"/>
      <c r="Y8703" s="25"/>
      <c r="Z8703" s="25"/>
      <c r="AA8703" s="25"/>
    </row>
    <row r="8704" spans="1:27" x14ac:dyDescent="0.35">
      <c r="A8704" s="5">
        <v>8700</v>
      </c>
      <c r="B8704" s="5">
        <v>363</v>
      </c>
      <c r="C8704" s="5">
        <v>12</v>
      </c>
      <c r="D8704" s="25">
        <v>1.1416E-4</v>
      </c>
      <c r="E8704" s="25">
        <v>1.0797E-4</v>
      </c>
      <c r="F8704" s="25">
        <v>1.0317E-4</v>
      </c>
      <c r="G8704" s="25">
        <v>1.6168000000000001E-4</v>
      </c>
      <c r="H8704" s="25">
        <v>1.182E-4</v>
      </c>
      <c r="I8704" s="9">
        <v>1.2795999999999999E-4</v>
      </c>
      <c r="J8704" s="9">
        <v>1.3883999999999999E-4</v>
      </c>
      <c r="K8704" s="9">
        <v>2.9247000000000002E-4</v>
      </c>
      <c r="L8704" s="9">
        <v>1.3385E-4</v>
      </c>
      <c r="M8704" s="9">
        <v>1.4619000000000001E-4</v>
      </c>
      <c r="N8704" s="9">
        <v>1.5715E-4</v>
      </c>
      <c r="O8704" s="9">
        <v>1.3871000000000001E-4</v>
      </c>
      <c r="P8704" s="9">
        <v>1.5542999999999999E-4</v>
      </c>
      <c r="Q8704" s="9">
        <v>1.7357000000000001E-4</v>
      </c>
      <c r="R8704" s="10">
        <v>1.5121560733943307E-4</v>
      </c>
      <c r="S8704" s="10">
        <v>1.6895120633878495E-4</v>
      </c>
      <c r="T8704" s="10">
        <v>6.666113999406974E-5</v>
      </c>
      <c r="U8704" s="10">
        <v>1.6626999999999999E-4</v>
      </c>
      <c r="V8704" s="25"/>
      <c r="W8704" s="25"/>
      <c r="X8704" s="25"/>
      <c r="Y8704" s="25"/>
      <c r="Z8704" s="25"/>
      <c r="AA8704" s="25"/>
    </row>
    <row r="8705" spans="1:27" x14ac:dyDescent="0.35">
      <c r="A8705" s="5">
        <v>8701</v>
      </c>
      <c r="B8705" s="5">
        <v>363</v>
      </c>
      <c r="C8705" s="5">
        <v>12</v>
      </c>
      <c r="D8705" s="25">
        <v>1.1416E-4</v>
      </c>
      <c r="E8705" s="25">
        <v>1.0902E-4</v>
      </c>
      <c r="F8705" s="25">
        <v>1.0356E-4</v>
      </c>
      <c r="G8705" s="25">
        <v>1.651E-4</v>
      </c>
      <c r="H8705" s="25">
        <v>1.1717E-4</v>
      </c>
      <c r="I8705" s="9">
        <v>1.2757E-4</v>
      </c>
      <c r="J8705" s="9">
        <v>1.3849000000000001E-4</v>
      </c>
      <c r="K8705" s="9">
        <v>3.0306000000000002E-4</v>
      </c>
      <c r="L8705" s="9">
        <v>1.3746E-4</v>
      </c>
      <c r="M8705" s="9">
        <v>1.5291999999999999E-4</v>
      </c>
      <c r="N8705" s="9">
        <v>1.6644000000000001E-4</v>
      </c>
      <c r="O8705" s="9">
        <v>1.3201E-4</v>
      </c>
      <c r="P8705" s="9">
        <v>1.4987E-4</v>
      </c>
      <c r="Q8705" s="9">
        <v>1.6897E-4</v>
      </c>
      <c r="R8705" s="10">
        <v>1.412780291548004E-4</v>
      </c>
      <c r="S8705" s="10">
        <v>1.5501956638245849E-4</v>
      </c>
      <c r="T8705" s="10">
        <v>1.6886300996588651E-4</v>
      </c>
      <c r="U8705" s="10">
        <v>1.6626999999999999E-4</v>
      </c>
      <c r="V8705" s="25"/>
      <c r="W8705" s="25"/>
      <c r="X8705" s="25"/>
      <c r="Y8705" s="25"/>
      <c r="Z8705" s="25"/>
      <c r="AA8705" s="25"/>
    </row>
    <row r="8706" spans="1:27" x14ac:dyDescent="0.35">
      <c r="A8706" s="5">
        <v>8702</v>
      </c>
      <c r="B8706" s="5">
        <v>363</v>
      </c>
      <c r="C8706" s="5">
        <v>12</v>
      </c>
      <c r="D8706" s="25">
        <v>1.1416E-4</v>
      </c>
      <c r="E8706" s="25">
        <v>1.052E-4</v>
      </c>
      <c r="F8706" s="25">
        <v>9.3820000000000006E-5</v>
      </c>
      <c r="G8706" s="25">
        <v>1.6309000000000001E-4</v>
      </c>
      <c r="H8706" s="25">
        <v>1.2329999999999999E-4</v>
      </c>
      <c r="I8706" s="9">
        <v>1.2566000000000001E-4</v>
      </c>
      <c r="J8706" s="9">
        <v>1.3826999999999999E-4</v>
      </c>
      <c r="K8706" s="9">
        <v>3.0093999999999997E-4</v>
      </c>
      <c r="L8706" s="9">
        <v>1.3329999999999999E-4</v>
      </c>
      <c r="M8706" s="9">
        <v>1.5306E-4</v>
      </c>
      <c r="N8706" s="9">
        <v>1.7102E-4</v>
      </c>
      <c r="O8706" s="9">
        <v>1.1239999999999999E-4</v>
      </c>
      <c r="P8706" s="9">
        <v>1.3575999999999999E-4</v>
      </c>
      <c r="Q8706" s="9">
        <v>1.5987E-4</v>
      </c>
      <c r="R8706" s="10">
        <v>1.1667670947491615E-4</v>
      </c>
      <c r="S8706" s="10">
        <v>1.3992352329425734E-4</v>
      </c>
      <c r="T8706" s="10">
        <v>1.5662016600363085E-4</v>
      </c>
      <c r="U8706" s="10">
        <v>1.6626999999999999E-4</v>
      </c>
      <c r="V8706" s="25"/>
      <c r="W8706" s="25"/>
      <c r="X8706" s="25"/>
      <c r="Y8706" s="25"/>
      <c r="Z8706" s="25"/>
      <c r="AA8706" s="25"/>
    </row>
    <row r="8707" spans="1:27" x14ac:dyDescent="0.35">
      <c r="A8707" s="5">
        <v>8703</v>
      </c>
      <c r="B8707" s="5">
        <v>363</v>
      </c>
      <c r="C8707" s="5">
        <v>12</v>
      </c>
      <c r="D8707" s="25">
        <v>1.1416E-4</v>
      </c>
      <c r="E8707" s="25">
        <v>1.1457E-4</v>
      </c>
      <c r="F8707" s="25">
        <v>1.1197E-4</v>
      </c>
      <c r="G8707" s="25">
        <v>1.6733000000000001E-4</v>
      </c>
      <c r="H8707" s="25">
        <v>1.1859E-4</v>
      </c>
      <c r="I8707" s="9">
        <v>1.2339999999999999E-4</v>
      </c>
      <c r="J8707" s="9">
        <v>1.3765000000000001E-4</v>
      </c>
      <c r="K8707" s="9">
        <v>3.0729999999999999E-4</v>
      </c>
      <c r="L8707" s="9">
        <v>1.1718E-4</v>
      </c>
      <c r="M8707" s="9">
        <v>1.4662E-4</v>
      </c>
      <c r="N8707" s="9">
        <v>1.7029E-4</v>
      </c>
      <c r="O8707" s="9">
        <v>1.2735000000000001E-4</v>
      </c>
      <c r="P8707" s="9">
        <v>1.3899E-4</v>
      </c>
      <c r="Q8707" s="9">
        <v>1.5189000000000001E-4</v>
      </c>
      <c r="R8707" s="10">
        <v>9.128716269452999E-5</v>
      </c>
      <c r="S8707" s="10">
        <v>1.3566117423984591E-4</v>
      </c>
      <c r="T8707" s="10">
        <v>3.1612499378631019E-5</v>
      </c>
      <c r="U8707" s="10">
        <v>1.6626999999999999E-4</v>
      </c>
      <c r="V8707" s="25"/>
      <c r="W8707" s="25"/>
      <c r="X8707" s="25"/>
      <c r="Y8707" s="25"/>
      <c r="Z8707" s="25"/>
      <c r="AA8707" s="25"/>
    </row>
    <row r="8708" spans="1:27" x14ac:dyDescent="0.35">
      <c r="A8708" s="5">
        <v>8704</v>
      </c>
      <c r="B8708" s="5">
        <v>363</v>
      </c>
      <c r="C8708" s="5">
        <v>12</v>
      </c>
      <c r="D8708" s="25">
        <v>1.1416E-4</v>
      </c>
      <c r="E8708" s="25">
        <v>1.0406E-4</v>
      </c>
      <c r="F8708" s="25">
        <v>9.3850000000000004E-5</v>
      </c>
      <c r="G8708" s="25">
        <v>1.6050999999999999E-4</v>
      </c>
      <c r="H8708" s="25">
        <v>1.2048999999999999E-4</v>
      </c>
      <c r="I8708" s="9">
        <v>1.2369E-4</v>
      </c>
      <c r="J8708" s="9">
        <v>1.371E-4</v>
      </c>
      <c r="K8708" s="9">
        <v>3.2214E-4</v>
      </c>
      <c r="L8708" s="9">
        <v>1.2557000000000001E-4</v>
      </c>
      <c r="M8708" s="9">
        <v>1.4207E-4</v>
      </c>
      <c r="N8708" s="9">
        <v>1.6615E-4</v>
      </c>
      <c r="O8708" s="9">
        <v>1.3546000000000001E-4</v>
      </c>
      <c r="P8708" s="9">
        <v>1.2194E-4</v>
      </c>
      <c r="Q8708" s="9">
        <v>1.1022E-4</v>
      </c>
      <c r="R8708" s="10">
        <v>9.1979992098173397E-5</v>
      </c>
      <c r="S8708" s="10">
        <v>1.5021531877683274E-4</v>
      </c>
      <c r="T8708" s="10">
        <v>0</v>
      </c>
      <c r="U8708" s="10">
        <v>1.6626999999999999E-4</v>
      </c>
      <c r="V8708" s="25"/>
      <c r="W8708" s="25"/>
      <c r="X8708" s="25"/>
      <c r="Y8708" s="25"/>
      <c r="Z8708" s="25"/>
      <c r="AA8708" s="25"/>
    </row>
    <row r="8709" spans="1:27" x14ac:dyDescent="0.35">
      <c r="A8709" s="5">
        <v>8705</v>
      </c>
      <c r="B8709" s="5">
        <v>363</v>
      </c>
      <c r="C8709" s="5">
        <v>12</v>
      </c>
      <c r="D8709" s="25">
        <v>1.1416E-4</v>
      </c>
      <c r="E8709" s="25">
        <v>1.1213999999999999E-4</v>
      </c>
      <c r="F8709" s="25">
        <v>1.0788E-4</v>
      </c>
      <c r="G8709" s="25">
        <v>1.5892E-4</v>
      </c>
      <c r="H8709" s="25">
        <v>1.1934000000000001E-4</v>
      </c>
      <c r="I8709" s="9">
        <v>1.2582000000000001E-4</v>
      </c>
      <c r="J8709" s="9">
        <v>1.4046999999999999E-4</v>
      </c>
      <c r="K8709" s="9">
        <v>3.2001000000000002E-4</v>
      </c>
      <c r="L8709" s="9">
        <v>1.3302E-4</v>
      </c>
      <c r="M8709" s="9">
        <v>1.338E-4</v>
      </c>
      <c r="N8709" s="9">
        <v>1.5245999999999999E-4</v>
      </c>
      <c r="O8709" s="9">
        <v>1.4192999999999999E-4</v>
      </c>
      <c r="P8709" s="9">
        <v>1.2385E-4</v>
      </c>
      <c r="Q8709" s="9">
        <v>1.0779E-4</v>
      </c>
      <c r="R8709" s="10">
        <v>1.0442721623313151E-4</v>
      </c>
      <c r="S8709" s="10">
        <v>1.5687620564334376E-4</v>
      </c>
      <c r="T8709" s="10">
        <v>0</v>
      </c>
      <c r="U8709" s="10">
        <v>1.6626999999999999E-4</v>
      </c>
      <c r="V8709" s="25"/>
      <c r="W8709" s="25"/>
      <c r="X8709" s="25"/>
      <c r="Y8709" s="25"/>
      <c r="Z8709" s="25"/>
      <c r="AA8709" s="25"/>
    </row>
    <row r="8710" spans="1:27" x14ac:dyDescent="0.35">
      <c r="A8710" s="5">
        <v>8706</v>
      </c>
      <c r="B8710" s="5">
        <v>363</v>
      </c>
      <c r="C8710" s="5">
        <v>12</v>
      </c>
      <c r="D8710" s="25">
        <v>1.1416E-4</v>
      </c>
      <c r="E8710" s="25">
        <v>1.0387000000000001E-4</v>
      </c>
      <c r="F8710" s="25">
        <v>1.032E-4</v>
      </c>
      <c r="G8710" s="25">
        <v>1.6158000000000001E-4</v>
      </c>
      <c r="H8710" s="25">
        <v>1.175E-4</v>
      </c>
      <c r="I8710" s="9">
        <v>1.3373000000000001E-4</v>
      </c>
      <c r="J8710" s="9">
        <v>1.4819E-4</v>
      </c>
      <c r="K8710" s="9">
        <v>3.1366E-4</v>
      </c>
      <c r="L8710" s="9">
        <v>1.3964000000000001E-4</v>
      </c>
      <c r="M8710" s="9">
        <v>1.2815E-4</v>
      </c>
      <c r="N8710" s="9">
        <v>1.3923000000000001E-4</v>
      </c>
      <c r="O8710" s="9">
        <v>1.4207E-4</v>
      </c>
      <c r="P8710" s="9">
        <v>1.2904999999999999E-4</v>
      </c>
      <c r="Q8710" s="9">
        <v>1.1798000000000001E-4</v>
      </c>
      <c r="R8710" s="10">
        <v>1.195510640588155E-4</v>
      </c>
      <c r="S8710" s="10">
        <v>1.7296739103078073E-4</v>
      </c>
      <c r="T8710" s="10">
        <v>0</v>
      </c>
      <c r="U8710" s="10">
        <v>1.6626999999999999E-4</v>
      </c>
      <c r="V8710" s="25"/>
      <c r="W8710" s="25"/>
      <c r="X8710" s="25"/>
      <c r="Y8710" s="25"/>
      <c r="Z8710" s="25"/>
      <c r="AA8710" s="25"/>
    </row>
    <row r="8711" spans="1:27" x14ac:dyDescent="0.35">
      <c r="A8711" s="5">
        <v>8707</v>
      </c>
      <c r="B8711" s="5">
        <v>363</v>
      </c>
      <c r="C8711" s="5">
        <v>12</v>
      </c>
      <c r="D8711" s="25">
        <v>1.1416E-4</v>
      </c>
      <c r="E8711" s="25">
        <v>1.0682E-4</v>
      </c>
      <c r="F8711" s="25">
        <v>1.0331E-4</v>
      </c>
      <c r="G8711" s="25">
        <v>1.1425E-4</v>
      </c>
      <c r="H8711" s="25">
        <v>8.4519999999999997E-5</v>
      </c>
      <c r="I8711" s="9">
        <v>1.3320000000000001E-4</v>
      </c>
      <c r="J8711" s="9">
        <v>1.4179000000000001E-4</v>
      </c>
      <c r="K8711" s="9">
        <v>3.1365000000000001E-4</v>
      </c>
      <c r="L8711" s="9">
        <v>1.4142000000000001E-4</v>
      </c>
      <c r="M8711" s="9">
        <v>1.2719000000000001E-4</v>
      </c>
      <c r="N8711" s="9">
        <v>1.3017000000000001E-4</v>
      </c>
      <c r="O8711" s="9">
        <v>1.4207999999999999E-4</v>
      </c>
      <c r="P8711" s="9">
        <v>1.2344E-4</v>
      </c>
      <c r="Q8711" s="9">
        <v>1.0685E-4</v>
      </c>
      <c r="R8711" s="10">
        <v>1.393746756813992E-4</v>
      </c>
      <c r="S8711" s="10">
        <v>1.8327203605368071E-4</v>
      </c>
      <c r="T8711" s="10">
        <v>0</v>
      </c>
      <c r="U8711" s="10">
        <v>1.6626999999999999E-4</v>
      </c>
      <c r="V8711" s="25"/>
      <c r="W8711" s="25"/>
      <c r="X8711" s="25"/>
      <c r="Y8711" s="25"/>
      <c r="Z8711" s="25"/>
      <c r="AA8711" s="25"/>
    </row>
    <row r="8712" spans="1:27" x14ac:dyDescent="0.35">
      <c r="A8712" s="5">
        <v>8708</v>
      </c>
      <c r="B8712" s="5">
        <v>363</v>
      </c>
      <c r="C8712" s="5">
        <v>12</v>
      </c>
      <c r="D8712" s="25">
        <v>1.1416E-4</v>
      </c>
      <c r="E8712" s="25">
        <v>1.1339E-4</v>
      </c>
      <c r="F8712" s="25">
        <v>1.1027E-4</v>
      </c>
      <c r="G8712" s="25">
        <v>1.1525E-4</v>
      </c>
      <c r="H8712" s="25">
        <v>7.9010000000000004E-5</v>
      </c>
      <c r="I8712" s="9">
        <v>1.2787000000000001E-4</v>
      </c>
      <c r="J8712" s="9">
        <v>1.3679E-4</v>
      </c>
      <c r="K8712" s="9">
        <v>3.2849000000000002E-4</v>
      </c>
      <c r="L8712" s="9">
        <v>1.4194000000000001E-4</v>
      </c>
      <c r="M8712" s="9">
        <v>1.2584E-4</v>
      </c>
      <c r="N8712" s="9">
        <v>1.2102E-4</v>
      </c>
      <c r="O8712" s="9">
        <v>1.4554999999999999E-4</v>
      </c>
      <c r="P8712" s="9">
        <v>1.2289000000000001E-4</v>
      </c>
      <c r="Q8712" s="9">
        <v>1.0239E-4</v>
      </c>
      <c r="R8712" s="10">
        <v>1.4710557184188601E-4</v>
      </c>
      <c r="S8712" s="10">
        <v>1.8342144517790042E-4</v>
      </c>
      <c r="T8712" s="10">
        <v>0</v>
      </c>
      <c r="U8712" s="10">
        <v>1.6626999999999999E-4</v>
      </c>
      <c r="V8712" s="25"/>
      <c r="W8712" s="25"/>
      <c r="X8712" s="25"/>
      <c r="Y8712" s="25"/>
      <c r="Z8712" s="25"/>
      <c r="AA8712" s="25"/>
    </row>
    <row r="8713" spans="1:27" x14ac:dyDescent="0.35">
      <c r="A8713" s="5">
        <v>8709</v>
      </c>
      <c r="B8713" s="5">
        <v>363</v>
      </c>
      <c r="C8713" s="5">
        <v>12</v>
      </c>
      <c r="D8713" s="25">
        <v>1.1416E-4</v>
      </c>
      <c r="E8713" s="25">
        <v>1.0802E-4</v>
      </c>
      <c r="F8713" s="25">
        <v>9.3010000000000006E-5</v>
      </c>
      <c r="G8713" s="25">
        <v>6.2869999999999999E-5</v>
      </c>
      <c r="H8713" s="25">
        <v>4.5939999999999997E-5</v>
      </c>
      <c r="I8713" s="9">
        <v>1.2128E-4</v>
      </c>
      <c r="J8713" s="9">
        <v>1.3051E-4</v>
      </c>
      <c r="K8713" s="9">
        <v>3.4545000000000002E-4</v>
      </c>
      <c r="L8713" s="9">
        <v>1.4479E-4</v>
      </c>
      <c r="M8713" s="9">
        <v>1.2444999999999999E-4</v>
      </c>
      <c r="N8713" s="9">
        <v>1.1345000000000001E-4</v>
      </c>
      <c r="O8713" s="9">
        <v>8.407E-5</v>
      </c>
      <c r="P8713" s="9">
        <v>8.5539999999999998E-5</v>
      </c>
      <c r="Q8713" s="9">
        <v>8.7520000000000002E-5</v>
      </c>
      <c r="R8713" s="10">
        <v>1.6252572250417742E-4</v>
      </c>
      <c r="S8713" s="10">
        <v>1.8592099885607097E-4</v>
      </c>
      <c r="T8713" s="10">
        <v>0</v>
      </c>
      <c r="U8713" s="10">
        <v>1.6626999999999999E-4</v>
      </c>
      <c r="V8713" s="25"/>
      <c r="W8713" s="25"/>
      <c r="X8713" s="25"/>
      <c r="Y8713" s="25"/>
      <c r="Z8713" s="25"/>
      <c r="AA8713" s="25"/>
    </row>
    <row r="8714" spans="1:27" x14ac:dyDescent="0.35">
      <c r="A8714" s="5">
        <v>8710</v>
      </c>
      <c r="B8714" s="5">
        <v>363</v>
      </c>
      <c r="C8714" s="5">
        <v>12</v>
      </c>
      <c r="D8714" s="25">
        <v>1.1416E-4</v>
      </c>
      <c r="E8714" s="25">
        <v>1.1469E-4</v>
      </c>
      <c r="F8714" s="25">
        <v>9.3430000000000005E-5</v>
      </c>
      <c r="G8714" s="25">
        <v>5.4150000000000002E-5</v>
      </c>
      <c r="H8714" s="25">
        <v>4.2849999999999998E-5</v>
      </c>
      <c r="I8714" s="9">
        <v>1.1633000000000001E-4</v>
      </c>
      <c r="J8714" s="9">
        <v>1.2412E-4</v>
      </c>
      <c r="K8714" s="9">
        <v>3.4332999999999998E-4</v>
      </c>
      <c r="L8714" s="9">
        <v>9.7349999999999995E-5</v>
      </c>
      <c r="M8714" s="9">
        <v>1.1006E-4</v>
      </c>
      <c r="N8714" s="9">
        <v>1.0564E-4</v>
      </c>
      <c r="O8714" s="9">
        <v>8.6949999999999999E-5</v>
      </c>
      <c r="P8714" s="9">
        <v>8.7009999999999995E-5</v>
      </c>
      <c r="Q8714" s="9">
        <v>8.7650000000000003E-5</v>
      </c>
      <c r="R8714" s="10">
        <v>1.7479607823984045E-4</v>
      </c>
      <c r="S8714" s="10">
        <v>1.8823570890102835E-4</v>
      </c>
      <c r="T8714" s="10">
        <v>0</v>
      </c>
      <c r="U8714" s="10">
        <v>1.6626999999999999E-4</v>
      </c>
      <c r="V8714" s="25"/>
      <c r="W8714" s="25"/>
      <c r="X8714" s="25"/>
      <c r="Y8714" s="25"/>
      <c r="Z8714" s="25"/>
      <c r="AA8714" s="25"/>
    </row>
    <row r="8715" spans="1:27" x14ac:dyDescent="0.35">
      <c r="A8715" s="5">
        <v>8711</v>
      </c>
      <c r="B8715" s="5">
        <v>363</v>
      </c>
      <c r="C8715" s="5">
        <v>12</v>
      </c>
      <c r="D8715" s="25">
        <v>1.1416E-4</v>
      </c>
      <c r="E8715" s="25">
        <v>1.0415E-4</v>
      </c>
      <c r="F8715" s="25">
        <v>1.0518000000000001E-4</v>
      </c>
      <c r="G8715" s="25">
        <v>6.2509999999999996E-5</v>
      </c>
      <c r="H8715" s="25">
        <v>4.0089999999999997E-5</v>
      </c>
      <c r="I8715" s="9">
        <v>1.2003E-4</v>
      </c>
      <c r="J8715" s="9">
        <v>1.1678E-4</v>
      </c>
      <c r="K8715" s="9">
        <v>3.2849000000000002E-4</v>
      </c>
      <c r="L8715" s="9">
        <v>9.0550000000000005E-5</v>
      </c>
      <c r="M8715" s="9">
        <v>9.7880000000000005E-5</v>
      </c>
      <c r="N8715" s="9">
        <v>9.9660000000000005E-5</v>
      </c>
      <c r="O8715" s="9">
        <v>8.4419999999999995E-5</v>
      </c>
      <c r="P8715" s="9">
        <v>7.5160000000000005E-5</v>
      </c>
      <c r="Q8715" s="9">
        <v>6.6580000000000003E-5</v>
      </c>
      <c r="R8715" s="10">
        <v>1.858472842605247E-4</v>
      </c>
      <c r="S8715" s="10">
        <v>1.8961751955178999E-4</v>
      </c>
      <c r="T8715" s="10">
        <v>0</v>
      </c>
      <c r="U8715" s="10">
        <v>1.6626999999999999E-4</v>
      </c>
      <c r="V8715" s="25"/>
      <c r="W8715" s="25"/>
      <c r="X8715" s="25"/>
      <c r="Y8715" s="25"/>
      <c r="Z8715" s="25"/>
      <c r="AA8715" s="25"/>
    </row>
    <row r="8716" spans="1:27" x14ac:dyDescent="0.35">
      <c r="A8716" s="5">
        <v>8712</v>
      </c>
      <c r="B8716" s="5">
        <v>363</v>
      </c>
      <c r="C8716" s="5">
        <v>12</v>
      </c>
      <c r="D8716" s="25">
        <v>1.1416E-4</v>
      </c>
      <c r="E8716" s="25">
        <v>1.0501999999999999E-4</v>
      </c>
      <c r="F8716" s="25">
        <v>1.0367E-4</v>
      </c>
      <c r="G8716" s="25">
        <v>5.3010000000000002E-5</v>
      </c>
      <c r="H8716" s="25">
        <v>4.5550000000000003E-5</v>
      </c>
      <c r="I8716" s="9">
        <v>1.2014E-4</v>
      </c>
      <c r="J8716" s="9">
        <v>1.1017E-4</v>
      </c>
      <c r="K8716" s="9">
        <v>3.2425999999999999E-4</v>
      </c>
      <c r="L8716" s="9">
        <v>8.6009999999999998E-5</v>
      </c>
      <c r="M8716" s="9">
        <v>8.6849999999999997E-5</v>
      </c>
      <c r="N8716" s="9">
        <v>9.0299999999999999E-5</v>
      </c>
      <c r="O8716" s="9">
        <v>7.9350000000000004E-5</v>
      </c>
      <c r="P8716" s="9">
        <v>6.8839999999999998E-5</v>
      </c>
      <c r="Q8716" s="9">
        <v>5.893E-5</v>
      </c>
      <c r="R8716" s="10">
        <v>2.007952304973951E-4</v>
      </c>
      <c r="S8716" s="10">
        <v>1.902361275843339E-4</v>
      </c>
      <c r="T8716" s="10">
        <v>0</v>
      </c>
      <c r="U8716" s="10">
        <v>1.6626999999999999E-4</v>
      </c>
      <c r="V8716" s="25"/>
      <c r="W8716" s="25"/>
      <c r="X8716" s="25"/>
      <c r="Y8716" s="25"/>
      <c r="Z8716" s="25"/>
      <c r="AA8716" s="25"/>
    </row>
    <row r="8717" spans="1:27" x14ac:dyDescent="0.35">
      <c r="A8717" s="5">
        <v>8713</v>
      </c>
      <c r="B8717" s="5">
        <v>364</v>
      </c>
      <c r="C8717" s="5">
        <v>12</v>
      </c>
      <c r="D8717" s="25">
        <v>1.1416E-4</v>
      </c>
      <c r="E8717" s="25">
        <v>1.1589E-4</v>
      </c>
      <c r="F8717" s="25">
        <v>1.144E-4</v>
      </c>
      <c r="G8717" s="25">
        <v>5.5590000000000001E-5</v>
      </c>
      <c r="H8717" s="25">
        <v>1.5330000000000001E-5</v>
      </c>
      <c r="I8717" s="9">
        <v>1.1448E-4</v>
      </c>
      <c r="J8717" s="9">
        <v>1.0295E-4</v>
      </c>
      <c r="K8717" s="9">
        <v>3.1789999999999998E-4</v>
      </c>
      <c r="L8717" s="9">
        <v>8.0580000000000004E-5</v>
      </c>
      <c r="M8717" s="9">
        <v>7.7880000000000007E-5</v>
      </c>
      <c r="N8717" s="9">
        <v>8.0920000000000005E-5</v>
      </c>
      <c r="O8717" s="9">
        <v>6.8310000000000002E-5</v>
      </c>
      <c r="P8717" s="9">
        <v>6.0819999999999997E-5</v>
      </c>
      <c r="Q8717" s="9">
        <v>5.3640000000000001E-5</v>
      </c>
      <c r="R8717" s="10">
        <v>2.0319423952700101E-4</v>
      </c>
      <c r="S8717" s="10">
        <v>1.9026408368759802E-4</v>
      </c>
      <c r="T8717" s="10">
        <v>0</v>
      </c>
      <c r="U8717" s="10">
        <v>1.6453999999999999E-4</v>
      </c>
      <c r="V8717" s="25"/>
      <c r="W8717" s="25"/>
      <c r="X8717" s="25"/>
      <c r="Y8717" s="25"/>
      <c r="Z8717" s="25"/>
      <c r="AA8717" s="25"/>
    </row>
    <row r="8718" spans="1:27" x14ac:dyDescent="0.35">
      <c r="A8718" s="5">
        <v>8714</v>
      </c>
      <c r="B8718" s="5">
        <v>364</v>
      </c>
      <c r="C8718" s="5">
        <v>12</v>
      </c>
      <c r="D8718" s="25">
        <v>1.1416E-4</v>
      </c>
      <c r="E8718" s="25">
        <v>1.0711E-4</v>
      </c>
      <c r="F8718" s="25">
        <v>1.0211E-4</v>
      </c>
      <c r="G8718" s="25">
        <v>6.1989999999999994E-5</v>
      </c>
      <c r="H8718" s="25">
        <v>1.448E-5</v>
      </c>
      <c r="I8718" s="9">
        <v>1.0863E-4</v>
      </c>
      <c r="J8718" s="9">
        <v>9.692E-5</v>
      </c>
      <c r="K8718" s="9">
        <v>3.2001000000000002E-4</v>
      </c>
      <c r="L8718" s="9">
        <v>7.114E-5</v>
      </c>
      <c r="M8718" s="9">
        <v>6.9649999999999999E-5</v>
      </c>
      <c r="N8718" s="9">
        <v>7.1879999999999996E-5</v>
      </c>
      <c r="O8718" s="9">
        <v>3.5089999999999998E-5</v>
      </c>
      <c r="P8718" s="9">
        <v>4.621E-5</v>
      </c>
      <c r="Q8718" s="9">
        <v>5.6629999999999998E-5</v>
      </c>
      <c r="R8718" s="10">
        <v>2.0556600270233146E-4</v>
      </c>
      <c r="S8718" s="10">
        <v>1.9028809326264394E-4</v>
      </c>
      <c r="T8718" s="10">
        <v>0</v>
      </c>
      <c r="U8718" s="10">
        <v>1.6453999999999999E-4</v>
      </c>
      <c r="V8718" s="25"/>
      <c r="W8718" s="25"/>
      <c r="X8718" s="25"/>
      <c r="Y8718" s="25"/>
      <c r="Z8718" s="25"/>
      <c r="AA8718" s="25"/>
    </row>
    <row r="8719" spans="1:27" x14ac:dyDescent="0.35">
      <c r="A8719" s="5">
        <v>8715</v>
      </c>
      <c r="B8719" s="5">
        <v>364</v>
      </c>
      <c r="C8719" s="5">
        <v>12</v>
      </c>
      <c r="D8719" s="25">
        <v>1.1416E-4</v>
      </c>
      <c r="E8719" s="25">
        <v>1.1634E-4</v>
      </c>
      <c r="F8719" s="25">
        <v>1.0834E-4</v>
      </c>
      <c r="G8719" s="25">
        <v>6.3070000000000004E-5</v>
      </c>
      <c r="H8719" s="25">
        <v>1.4260000000000001E-5</v>
      </c>
      <c r="I8719" s="9">
        <v>1.0378E-4</v>
      </c>
      <c r="J8719" s="9">
        <v>9.4679999999999995E-5</v>
      </c>
      <c r="K8719" s="9">
        <v>3.3909000000000001E-4</v>
      </c>
      <c r="L8719" s="9">
        <v>4.3269999999999997E-5</v>
      </c>
      <c r="M8719" s="9">
        <v>5.9259999999999998E-5</v>
      </c>
      <c r="N8719" s="9">
        <v>6.5480000000000003E-5</v>
      </c>
      <c r="O8719" s="9">
        <v>2.162E-5</v>
      </c>
      <c r="P8719" s="9">
        <v>4.2339999999999998E-5</v>
      </c>
      <c r="Q8719" s="9">
        <v>6.1929999999999998E-5</v>
      </c>
      <c r="R8719" s="10">
        <v>2.0757349600189118E-4</v>
      </c>
      <c r="S8719" s="10">
        <v>1.9029018581253099E-4</v>
      </c>
      <c r="T8719" s="10">
        <v>0</v>
      </c>
      <c r="U8719" s="10">
        <v>1.6453999999999999E-4</v>
      </c>
      <c r="V8719" s="25"/>
      <c r="W8719" s="25"/>
      <c r="X8719" s="25"/>
      <c r="Y8719" s="25"/>
      <c r="Z8719" s="25"/>
      <c r="AA8719" s="25"/>
    </row>
    <row r="8720" spans="1:27" x14ac:dyDescent="0.35">
      <c r="A8720" s="5">
        <v>8716</v>
      </c>
      <c r="B8720" s="5">
        <v>364</v>
      </c>
      <c r="C8720" s="5">
        <v>12</v>
      </c>
      <c r="D8720" s="25">
        <v>1.1416E-4</v>
      </c>
      <c r="E8720" s="25">
        <v>1.1582E-4</v>
      </c>
      <c r="F8720" s="25">
        <v>1.0929000000000001E-4</v>
      </c>
      <c r="G8720" s="25">
        <v>5.783E-5</v>
      </c>
      <c r="H8720" s="25">
        <v>1.43E-5</v>
      </c>
      <c r="I8720" s="9">
        <v>1.0109E-4</v>
      </c>
      <c r="J8720" s="9">
        <v>9.4110000000000005E-5</v>
      </c>
      <c r="K8720" s="9">
        <v>3.6240000000000003E-4</v>
      </c>
      <c r="L8720" s="9">
        <v>2.7129999999999999E-5</v>
      </c>
      <c r="M8720" s="9">
        <v>5.0680000000000003E-5</v>
      </c>
      <c r="N8720" s="9">
        <v>6.2030000000000001E-5</v>
      </c>
      <c r="O8720" s="9">
        <v>2.075E-5</v>
      </c>
      <c r="P8720" s="9">
        <v>5.0810000000000003E-5</v>
      </c>
      <c r="Q8720" s="9">
        <v>7.9590000000000002E-5</v>
      </c>
      <c r="R8720" s="10">
        <v>2.0816580672020969E-4</v>
      </c>
      <c r="S8720" s="10">
        <v>1.9028994715180933E-4</v>
      </c>
      <c r="T8720" s="10">
        <v>0</v>
      </c>
      <c r="U8720" s="10">
        <v>1.6453999999999999E-4</v>
      </c>
      <c r="V8720" s="25"/>
      <c r="W8720" s="25"/>
      <c r="X8720" s="25"/>
      <c r="Y8720" s="25"/>
      <c r="Z8720" s="25"/>
      <c r="AA8720" s="25"/>
    </row>
    <row r="8721" spans="1:27" x14ac:dyDescent="0.35">
      <c r="A8721" s="5">
        <v>8717</v>
      </c>
      <c r="B8721" s="5">
        <v>364</v>
      </c>
      <c r="C8721" s="5">
        <v>12</v>
      </c>
      <c r="D8721" s="25">
        <v>1.1416E-4</v>
      </c>
      <c r="E8721" s="25">
        <v>1.0982E-4</v>
      </c>
      <c r="F8721" s="25">
        <v>1.1156E-4</v>
      </c>
      <c r="G8721" s="25">
        <v>5.346E-5</v>
      </c>
      <c r="H8721" s="25">
        <v>1.418E-5</v>
      </c>
      <c r="I8721" s="9">
        <v>1.0046E-4</v>
      </c>
      <c r="J8721" s="9">
        <v>9.4590000000000001E-5</v>
      </c>
      <c r="K8721" s="9">
        <v>3.5816E-4</v>
      </c>
      <c r="L8721" s="9">
        <v>2.2549999999999999E-5</v>
      </c>
      <c r="M8721" s="9">
        <v>4.8720000000000001E-5</v>
      </c>
      <c r="N8721" s="9">
        <v>6.4430000000000005E-5</v>
      </c>
      <c r="O8721" s="9">
        <v>2.2889999999999999E-5</v>
      </c>
      <c r="P8721" s="9">
        <v>5.8980000000000001E-5</v>
      </c>
      <c r="Q8721" s="9">
        <v>9.3729999999999999E-5</v>
      </c>
      <c r="R8721" s="10">
        <v>2.0915216787070908E-4</v>
      </c>
      <c r="S8721" s="10">
        <v>1.9029019350941254E-4</v>
      </c>
      <c r="T8721" s="10">
        <v>0</v>
      </c>
      <c r="U8721" s="10">
        <v>1.6453999999999999E-4</v>
      </c>
      <c r="V8721" s="25"/>
      <c r="W8721" s="25"/>
      <c r="X8721" s="25"/>
      <c r="Y8721" s="25"/>
      <c r="Z8721" s="25"/>
      <c r="AA8721" s="25"/>
    </row>
    <row r="8722" spans="1:27" x14ac:dyDescent="0.35">
      <c r="A8722" s="5">
        <v>8718</v>
      </c>
      <c r="B8722" s="5">
        <v>364</v>
      </c>
      <c r="C8722" s="5">
        <v>12</v>
      </c>
      <c r="D8722" s="25">
        <v>1.1416E-4</v>
      </c>
      <c r="E8722" s="25">
        <v>1.1032E-4</v>
      </c>
      <c r="F8722" s="25">
        <v>1.1705E-4</v>
      </c>
      <c r="G8722" s="25">
        <v>1.072E-4</v>
      </c>
      <c r="H8722" s="25">
        <v>2.6149999999999999E-5</v>
      </c>
      <c r="I8722" s="9">
        <v>1.0346E-4</v>
      </c>
      <c r="J8722" s="9">
        <v>9.8060000000000006E-5</v>
      </c>
      <c r="K8722" s="9">
        <v>3.6875999999999999E-4</v>
      </c>
      <c r="L8722" s="9">
        <v>2.2750000000000001E-5</v>
      </c>
      <c r="M8722" s="9">
        <v>5.2250000000000003E-5</v>
      </c>
      <c r="N8722" s="9">
        <v>7.1009999999999999E-5</v>
      </c>
      <c r="O8722" s="9">
        <v>2.9139999999999999E-5</v>
      </c>
      <c r="P8722" s="9">
        <v>6.8490000000000003E-5</v>
      </c>
      <c r="Q8722" s="9">
        <v>1.0658999999999999E-4</v>
      </c>
      <c r="R8722" s="10">
        <v>2.0950916468764785E-4</v>
      </c>
      <c r="S8722" s="10">
        <v>1.9029020686918725E-4</v>
      </c>
      <c r="T8722" s="10">
        <v>0</v>
      </c>
      <c r="U8722" s="10">
        <v>1.6453999999999999E-4</v>
      </c>
      <c r="V8722" s="25"/>
      <c r="W8722" s="25"/>
      <c r="X8722" s="25"/>
      <c r="Y8722" s="25"/>
      <c r="Z8722" s="25"/>
      <c r="AA8722" s="25"/>
    </row>
    <row r="8723" spans="1:27" x14ac:dyDescent="0.35">
      <c r="A8723" s="5">
        <v>8719</v>
      </c>
      <c r="B8723" s="5">
        <v>364</v>
      </c>
      <c r="C8723" s="5">
        <v>12</v>
      </c>
      <c r="D8723" s="25">
        <v>1.1416E-4</v>
      </c>
      <c r="E8723" s="25">
        <v>1.0955000000000001E-4</v>
      </c>
      <c r="F8723" s="25">
        <v>1.1471E-4</v>
      </c>
      <c r="G8723" s="25">
        <v>1.0535E-4</v>
      </c>
      <c r="H8723" s="25">
        <v>2.6429999999999999E-5</v>
      </c>
      <c r="I8723" s="9">
        <v>1.1089E-4</v>
      </c>
      <c r="J8723" s="9">
        <v>1.0645E-4</v>
      </c>
      <c r="K8723" s="9">
        <v>3.7934999999999998E-4</v>
      </c>
      <c r="L8723" s="9">
        <v>2.7630000000000001E-5</v>
      </c>
      <c r="M8723" s="9">
        <v>5.9150000000000001E-5</v>
      </c>
      <c r="N8723" s="9">
        <v>8.0610000000000002E-5</v>
      </c>
      <c r="O8723" s="9">
        <v>4.6310000000000002E-5</v>
      </c>
      <c r="P8723" s="9">
        <v>8.0220000000000001E-5</v>
      </c>
      <c r="Q8723" s="9">
        <v>1.1331E-4</v>
      </c>
      <c r="R8723" s="10">
        <v>2.1184188791513827E-4</v>
      </c>
      <c r="S8723" s="10">
        <v>1.9029014019637696E-4</v>
      </c>
      <c r="T8723" s="10">
        <v>0</v>
      </c>
      <c r="U8723" s="10">
        <v>1.6453999999999999E-4</v>
      </c>
      <c r="V8723" s="25"/>
      <c r="W8723" s="25"/>
      <c r="X8723" s="25"/>
      <c r="Y8723" s="25"/>
      <c r="Z8723" s="25"/>
      <c r="AA8723" s="25"/>
    </row>
    <row r="8724" spans="1:27" x14ac:dyDescent="0.35">
      <c r="A8724" s="5">
        <v>8720</v>
      </c>
      <c r="B8724" s="5">
        <v>364</v>
      </c>
      <c r="C8724" s="5">
        <v>12</v>
      </c>
      <c r="D8724" s="25">
        <v>1.1416E-4</v>
      </c>
      <c r="E8724" s="25">
        <v>1.0777000000000001E-4</v>
      </c>
      <c r="F8724" s="25">
        <v>1.0841E-4</v>
      </c>
      <c r="G8724" s="25">
        <v>1.6368E-4</v>
      </c>
      <c r="H8724" s="25">
        <v>4.0849999999999997E-5</v>
      </c>
      <c r="I8724" s="9">
        <v>1.1544000000000001E-4</v>
      </c>
      <c r="J8724" s="9">
        <v>1.1866000000000001E-4</v>
      </c>
      <c r="K8724" s="9">
        <v>3.7512E-4</v>
      </c>
      <c r="L8724" s="9">
        <v>4.2049999999999999E-5</v>
      </c>
      <c r="M8724" s="9">
        <v>6.8479999999999995E-5</v>
      </c>
      <c r="N8724" s="9">
        <v>9.0879999999999997E-5</v>
      </c>
      <c r="O8724" s="9">
        <v>6.8150000000000003E-5</v>
      </c>
      <c r="P8724" s="9">
        <v>1.0249E-4</v>
      </c>
      <c r="Q8724" s="9">
        <v>1.3647E-4</v>
      </c>
      <c r="R8724" s="10">
        <v>2.1238302233139139E-4</v>
      </c>
      <c r="S8724" s="10">
        <v>1.9028872657661717E-4</v>
      </c>
      <c r="T8724" s="10">
        <v>0</v>
      </c>
      <c r="U8724" s="10">
        <v>1.6453999999999999E-4</v>
      </c>
      <c r="V8724" s="25"/>
      <c r="W8724" s="25"/>
      <c r="X8724" s="25"/>
      <c r="Y8724" s="25"/>
      <c r="Z8724" s="25"/>
      <c r="AA8724" s="25"/>
    </row>
    <row r="8725" spans="1:27" x14ac:dyDescent="0.35">
      <c r="A8725" s="5">
        <v>8721</v>
      </c>
      <c r="B8725" s="5">
        <v>364</v>
      </c>
      <c r="C8725" s="5">
        <v>12</v>
      </c>
      <c r="D8725" s="25">
        <v>1.1416E-4</v>
      </c>
      <c r="E8725" s="25">
        <v>1.1192999999999999E-4</v>
      </c>
      <c r="F8725" s="25">
        <v>1.1602E-4</v>
      </c>
      <c r="G8725" s="25">
        <v>1.6023E-4</v>
      </c>
      <c r="H8725" s="25">
        <v>3.9669999999999998E-5</v>
      </c>
      <c r="I8725" s="9">
        <v>1.2223E-4</v>
      </c>
      <c r="J8725" s="9">
        <v>1.3022000000000001E-4</v>
      </c>
      <c r="K8725" s="9">
        <v>3.6240000000000003E-4</v>
      </c>
      <c r="L8725" s="9">
        <v>6.2020000000000006E-5</v>
      </c>
      <c r="M8725" s="9">
        <v>8.3049999999999999E-5</v>
      </c>
      <c r="N8725" s="9">
        <v>1.0457E-4</v>
      </c>
      <c r="O8725" s="9">
        <v>1.0082E-4</v>
      </c>
      <c r="P8725" s="9">
        <v>1.3920999999999999E-4</v>
      </c>
      <c r="Q8725" s="9">
        <v>1.7786000000000001E-4</v>
      </c>
      <c r="R8725" s="10">
        <v>2.1241341148842696E-4</v>
      </c>
      <c r="S8725" s="10">
        <v>1.9028331520003713E-4</v>
      </c>
      <c r="T8725" s="10">
        <v>0</v>
      </c>
      <c r="U8725" s="10">
        <v>1.6453999999999999E-4</v>
      </c>
      <c r="V8725" s="25"/>
      <c r="W8725" s="25"/>
      <c r="X8725" s="25"/>
      <c r="Y8725" s="25"/>
      <c r="Z8725" s="25"/>
      <c r="AA8725" s="25"/>
    </row>
    <row r="8726" spans="1:27" x14ac:dyDescent="0.35">
      <c r="A8726" s="5">
        <v>8722</v>
      </c>
      <c r="B8726" s="5">
        <v>364</v>
      </c>
      <c r="C8726" s="5">
        <v>12</v>
      </c>
      <c r="D8726" s="25">
        <v>1.1416E-4</v>
      </c>
      <c r="E8726" s="25">
        <v>1.092E-4</v>
      </c>
      <c r="F8726" s="25">
        <v>1.1171E-4</v>
      </c>
      <c r="G8726" s="25">
        <v>1.6627999999999999E-4</v>
      </c>
      <c r="H8726" s="25">
        <v>3.9329999999999998E-5</v>
      </c>
      <c r="I8726" s="9">
        <v>1.2646000000000001E-4</v>
      </c>
      <c r="J8726" s="9">
        <v>1.3636E-4</v>
      </c>
      <c r="K8726" s="9">
        <v>3.5179999999999999E-4</v>
      </c>
      <c r="L8726" s="9">
        <v>9.1760000000000002E-5</v>
      </c>
      <c r="M8726" s="9">
        <v>1.0692999999999999E-4</v>
      </c>
      <c r="N8726" s="9">
        <v>1.2481999999999999E-4</v>
      </c>
      <c r="O8726" s="9">
        <v>1.2956E-4</v>
      </c>
      <c r="P8726" s="9">
        <v>1.5542E-4</v>
      </c>
      <c r="Q8726" s="9">
        <v>1.8236000000000001E-4</v>
      </c>
      <c r="R8726" s="10">
        <v>2.1236806918999452E-4</v>
      </c>
      <c r="S8726" s="10">
        <v>1.9027056813584193E-4</v>
      </c>
      <c r="T8726" s="10">
        <v>1.2884256993126429E-4</v>
      </c>
      <c r="U8726" s="10">
        <v>1.6453999999999999E-4</v>
      </c>
      <c r="V8726" s="25"/>
      <c r="W8726" s="25"/>
      <c r="X8726" s="25"/>
      <c r="Y8726" s="25"/>
      <c r="Z8726" s="25"/>
      <c r="AA8726" s="25"/>
    </row>
    <row r="8727" spans="1:27" x14ac:dyDescent="0.35">
      <c r="A8727" s="5">
        <v>8723</v>
      </c>
      <c r="B8727" s="5">
        <v>364</v>
      </c>
      <c r="C8727" s="5">
        <v>12</v>
      </c>
      <c r="D8727" s="25">
        <v>1.1416E-4</v>
      </c>
      <c r="E8727" s="25">
        <v>1.1561E-4</v>
      </c>
      <c r="F8727" s="25">
        <v>1.121E-4</v>
      </c>
      <c r="G8727" s="25">
        <v>1.5979000000000001E-4</v>
      </c>
      <c r="H8727" s="25">
        <v>4.1140000000000003E-5</v>
      </c>
      <c r="I8727" s="9">
        <v>1.2744000000000001E-4</v>
      </c>
      <c r="J8727" s="9">
        <v>1.3867E-4</v>
      </c>
      <c r="K8727" s="9">
        <v>3.3697000000000002E-4</v>
      </c>
      <c r="L8727" s="9">
        <v>1.2051E-4</v>
      </c>
      <c r="M8727" s="9">
        <v>1.3043000000000001E-4</v>
      </c>
      <c r="N8727" s="9">
        <v>1.4295000000000001E-4</v>
      </c>
      <c r="O8727" s="9">
        <v>1.3902000000000001E-4</v>
      </c>
      <c r="P8727" s="9">
        <v>1.594E-4</v>
      </c>
      <c r="Q8727" s="9">
        <v>1.8113E-4</v>
      </c>
      <c r="R8727" s="10">
        <v>2.1192810945795302E-4</v>
      </c>
      <c r="S8727" s="10">
        <v>1.9022266315985403E-4</v>
      </c>
      <c r="T8727" s="10">
        <v>3.048154227525702E-4</v>
      </c>
      <c r="U8727" s="10">
        <v>1.6453999999999999E-4</v>
      </c>
      <c r="V8727" s="25"/>
      <c r="W8727" s="25"/>
      <c r="X8727" s="25"/>
      <c r="Y8727" s="25"/>
      <c r="Z8727" s="25"/>
      <c r="AA8727" s="25"/>
    </row>
    <row r="8728" spans="1:27" x14ac:dyDescent="0.35">
      <c r="A8728" s="5">
        <v>8724</v>
      </c>
      <c r="B8728" s="5">
        <v>364</v>
      </c>
      <c r="C8728" s="5">
        <v>12</v>
      </c>
      <c r="D8728" s="25">
        <v>1.1416E-4</v>
      </c>
      <c r="E8728" s="25">
        <v>1.0645E-4</v>
      </c>
      <c r="F8728" s="25">
        <v>1.1496E-4</v>
      </c>
      <c r="G8728" s="25">
        <v>1.6744000000000001E-4</v>
      </c>
      <c r="H8728" s="25">
        <v>4.0330000000000002E-5</v>
      </c>
      <c r="I8728" s="9">
        <v>1.2729000000000001E-4</v>
      </c>
      <c r="J8728" s="9">
        <v>1.3821999999999999E-4</v>
      </c>
      <c r="K8728" s="9">
        <v>3.3061000000000001E-4</v>
      </c>
      <c r="L8728" s="9">
        <v>1.3428E-4</v>
      </c>
      <c r="M8728" s="9">
        <v>1.4642E-4</v>
      </c>
      <c r="N8728" s="9">
        <v>1.5736999999999999E-4</v>
      </c>
      <c r="O8728" s="9">
        <v>1.3799E-4</v>
      </c>
      <c r="P8728" s="9">
        <v>1.5463E-4</v>
      </c>
      <c r="Q8728" s="9">
        <v>1.7268000000000001E-4</v>
      </c>
      <c r="R8728" s="10">
        <v>2.1089114432232221E-4</v>
      </c>
      <c r="S8728" s="10">
        <v>1.8980367933406361E-4</v>
      </c>
      <c r="T8728" s="10">
        <v>2.9108782640403959E-4</v>
      </c>
      <c r="U8728" s="10">
        <v>1.6453999999999999E-4</v>
      </c>
      <c r="V8728" s="25"/>
      <c r="W8728" s="25"/>
      <c r="X8728" s="25"/>
      <c r="Y8728" s="25"/>
      <c r="Z8728" s="25"/>
      <c r="AA8728" s="25"/>
    </row>
    <row r="8729" spans="1:27" x14ac:dyDescent="0.35">
      <c r="A8729" s="5">
        <v>8725</v>
      </c>
      <c r="B8729" s="5">
        <v>364</v>
      </c>
      <c r="C8729" s="5">
        <v>12</v>
      </c>
      <c r="D8729" s="25">
        <v>1.1416E-4</v>
      </c>
      <c r="E8729" s="25">
        <v>1.0675000000000001E-4</v>
      </c>
      <c r="F8729" s="25">
        <v>1.1378E-4</v>
      </c>
      <c r="G8729" s="25">
        <v>1.6039E-4</v>
      </c>
      <c r="H8729" s="25">
        <v>3.9870000000000003E-5</v>
      </c>
      <c r="I8729" s="9">
        <v>1.2599E-4</v>
      </c>
      <c r="J8729" s="9">
        <v>1.3704E-4</v>
      </c>
      <c r="K8729" s="9">
        <v>3.2636999999999998E-4</v>
      </c>
      <c r="L8729" s="9">
        <v>1.3698000000000001E-4</v>
      </c>
      <c r="M8729" s="9">
        <v>1.5281E-4</v>
      </c>
      <c r="N8729" s="9">
        <v>1.6644000000000001E-4</v>
      </c>
      <c r="O8729" s="9">
        <v>1.3080000000000001E-4</v>
      </c>
      <c r="P8729" s="9">
        <v>1.485E-4</v>
      </c>
      <c r="Q8729" s="9">
        <v>1.6741999999999999E-4</v>
      </c>
      <c r="R8729" s="10">
        <v>2.0451864065060594E-4</v>
      </c>
      <c r="S8729" s="10">
        <v>1.899165485219292E-4</v>
      </c>
      <c r="T8729" s="10">
        <v>3.5383770439769368E-4</v>
      </c>
      <c r="U8729" s="10">
        <v>1.6453999999999999E-4</v>
      </c>
      <c r="V8729" s="25"/>
      <c r="W8729" s="25"/>
      <c r="X8729" s="25"/>
      <c r="Y8729" s="25"/>
      <c r="Z8729" s="25"/>
      <c r="AA8729" s="25"/>
    </row>
    <row r="8730" spans="1:27" x14ac:dyDescent="0.35">
      <c r="A8730" s="5">
        <v>8726</v>
      </c>
      <c r="B8730" s="5">
        <v>364</v>
      </c>
      <c r="C8730" s="5">
        <v>12</v>
      </c>
      <c r="D8730" s="25">
        <v>1.1416E-4</v>
      </c>
      <c r="E8730" s="25">
        <v>1.1616999999999999E-4</v>
      </c>
      <c r="F8730" s="25">
        <v>9.9850000000000001E-5</v>
      </c>
      <c r="G8730" s="25">
        <v>1.6503000000000001E-4</v>
      </c>
      <c r="H8730" s="25">
        <v>4.0269999999999999E-5</v>
      </c>
      <c r="I8730" s="9">
        <v>1.2323999999999999E-4</v>
      </c>
      <c r="J8730" s="9">
        <v>1.3626E-4</v>
      </c>
      <c r="K8730" s="9">
        <v>3.2637999999999998E-4</v>
      </c>
      <c r="L8730" s="9">
        <v>1.3226000000000001E-4</v>
      </c>
      <c r="M8730" s="9">
        <v>1.5241000000000001E-4</v>
      </c>
      <c r="N8730" s="9">
        <v>1.7068000000000001E-4</v>
      </c>
      <c r="O8730" s="9">
        <v>1.1271E-4</v>
      </c>
      <c r="P8730" s="9">
        <v>1.3611999999999999E-4</v>
      </c>
      <c r="Q8730" s="9">
        <v>1.6029999999999999E-4</v>
      </c>
      <c r="R8730" s="10">
        <v>1.933767302780849E-4</v>
      </c>
      <c r="S8730" s="10">
        <v>1.8981487404190099E-4</v>
      </c>
      <c r="T8730" s="10">
        <v>1.9588550339609044E-4</v>
      </c>
      <c r="U8730" s="10">
        <v>1.6453999999999999E-4</v>
      </c>
      <c r="V8730" s="25"/>
      <c r="W8730" s="25"/>
      <c r="X8730" s="25"/>
      <c r="Y8730" s="25"/>
      <c r="Z8730" s="25"/>
      <c r="AA8730" s="25"/>
    </row>
    <row r="8731" spans="1:27" x14ac:dyDescent="0.35">
      <c r="A8731" s="5">
        <v>8727</v>
      </c>
      <c r="B8731" s="5">
        <v>364</v>
      </c>
      <c r="C8731" s="5">
        <v>12</v>
      </c>
      <c r="D8731" s="25">
        <v>1.1416E-4</v>
      </c>
      <c r="E8731" s="25">
        <v>1.0703E-4</v>
      </c>
      <c r="F8731" s="25">
        <v>1.1762E-4</v>
      </c>
      <c r="G8731" s="25">
        <v>1.5870000000000001E-4</v>
      </c>
      <c r="H8731" s="25">
        <v>3.9490000000000003E-5</v>
      </c>
      <c r="I8731" s="9">
        <v>1.2162E-4</v>
      </c>
      <c r="J8731" s="9">
        <v>1.3595E-4</v>
      </c>
      <c r="K8731" s="9">
        <v>3.2425999999999999E-4</v>
      </c>
      <c r="L8731" s="9">
        <v>1.1721E-4</v>
      </c>
      <c r="M8731" s="9">
        <v>1.462E-4</v>
      </c>
      <c r="N8731" s="9">
        <v>1.7000000000000001E-4</v>
      </c>
      <c r="O8731" s="9">
        <v>1.2672000000000001E-4</v>
      </c>
      <c r="P8731" s="9">
        <v>1.3831E-4</v>
      </c>
      <c r="Q8731" s="9">
        <v>1.5113999999999999E-4</v>
      </c>
      <c r="R8731" s="10">
        <v>1.9625284245652317E-4</v>
      </c>
      <c r="S8731" s="10">
        <v>1.8942177422890389E-4</v>
      </c>
      <c r="T8731" s="10">
        <v>2.0000887288025969E-4</v>
      </c>
      <c r="U8731" s="10">
        <v>1.6453999999999999E-4</v>
      </c>
      <c r="V8731" s="25"/>
      <c r="W8731" s="25"/>
      <c r="X8731" s="25"/>
      <c r="Y8731" s="25"/>
      <c r="Z8731" s="25"/>
      <c r="AA8731" s="25"/>
    </row>
    <row r="8732" spans="1:27" x14ac:dyDescent="0.35">
      <c r="A8732" s="5">
        <v>8728</v>
      </c>
      <c r="B8732" s="5">
        <v>364</v>
      </c>
      <c r="C8732" s="5">
        <v>12</v>
      </c>
      <c r="D8732" s="25">
        <v>1.1416E-4</v>
      </c>
      <c r="E8732" s="25">
        <v>1.0611E-4</v>
      </c>
      <c r="F8732" s="25">
        <v>1.0449E-4</v>
      </c>
      <c r="G8732" s="25">
        <v>1.573E-4</v>
      </c>
      <c r="H8732" s="25">
        <v>4.1199999999999999E-5</v>
      </c>
      <c r="I8732" s="9">
        <v>1.2245999999999999E-4</v>
      </c>
      <c r="J8732" s="9">
        <v>1.3604000000000001E-4</v>
      </c>
      <c r="K8732" s="9">
        <v>3.2636999999999998E-4</v>
      </c>
      <c r="L8732" s="9">
        <v>1.2505E-4</v>
      </c>
      <c r="M8732" s="9">
        <v>1.4163000000000001E-4</v>
      </c>
      <c r="N8732" s="9">
        <v>1.6573E-4</v>
      </c>
      <c r="O8732" s="9">
        <v>1.3371999999999999E-4</v>
      </c>
      <c r="P8732" s="9">
        <v>1.2037E-4</v>
      </c>
      <c r="Q8732" s="9">
        <v>1.0881E-4</v>
      </c>
      <c r="R8732" s="10">
        <v>2.0630991387769951E-4</v>
      </c>
      <c r="S8732" s="10">
        <v>1.8951899952582231E-4</v>
      </c>
      <c r="T8732" s="10">
        <v>0</v>
      </c>
      <c r="U8732" s="10">
        <v>1.6453999999999999E-4</v>
      </c>
      <c r="V8732" s="25"/>
      <c r="W8732" s="25"/>
      <c r="X8732" s="25"/>
      <c r="Y8732" s="25"/>
      <c r="Z8732" s="25"/>
      <c r="AA8732" s="25"/>
    </row>
    <row r="8733" spans="1:27" x14ac:dyDescent="0.35">
      <c r="A8733" s="5">
        <v>8729</v>
      </c>
      <c r="B8733" s="5">
        <v>364</v>
      </c>
      <c r="C8733" s="5">
        <v>12</v>
      </c>
      <c r="D8733" s="25">
        <v>1.1416E-4</v>
      </c>
      <c r="E8733" s="25">
        <v>1.1014999999999999E-4</v>
      </c>
      <c r="F8733" s="25">
        <v>1.0668E-4</v>
      </c>
      <c r="G8733" s="25">
        <v>1.6034999999999999E-4</v>
      </c>
      <c r="H8733" s="25">
        <v>4.0299999999999997E-5</v>
      </c>
      <c r="I8733" s="9">
        <v>1.2541000000000001E-4</v>
      </c>
      <c r="J8733" s="9">
        <v>1.4008E-4</v>
      </c>
      <c r="K8733" s="9">
        <v>3.5816E-4</v>
      </c>
      <c r="L8733" s="9">
        <v>1.3155999999999999E-4</v>
      </c>
      <c r="M8733" s="9">
        <v>1.3295000000000001E-4</v>
      </c>
      <c r="N8733" s="9">
        <v>1.5176E-4</v>
      </c>
      <c r="O8733" s="9">
        <v>1.4174000000000001E-4</v>
      </c>
      <c r="P8733" s="9">
        <v>1.2368000000000001E-4</v>
      </c>
      <c r="Q8733" s="9">
        <v>1.0764000000000001E-4</v>
      </c>
      <c r="R8733" s="10">
        <v>2.112562270991323E-4</v>
      </c>
      <c r="S8733" s="10">
        <v>1.9020009613392262E-4</v>
      </c>
      <c r="T8733" s="10">
        <v>0</v>
      </c>
      <c r="U8733" s="10">
        <v>1.6453999999999999E-4</v>
      </c>
      <c r="V8733" s="25"/>
      <c r="W8733" s="25"/>
      <c r="X8733" s="25"/>
      <c r="Y8733" s="25"/>
      <c r="Z8733" s="25"/>
      <c r="AA8733" s="25"/>
    </row>
    <row r="8734" spans="1:27" x14ac:dyDescent="0.35">
      <c r="A8734" s="5">
        <v>8730</v>
      </c>
      <c r="B8734" s="5">
        <v>364</v>
      </c>
      <c r="C8734" s="5">
        <v>12</v>
      </c>
      <c r="D8734" s="25">
        <v>1.1416E-4</v>
      </c>
      <c r="E8734" s="25">
        <v>1.1182E-4</v>
      </c>
      <c r="F8734" s="25">
        <v>1.0521E-4</v>
      </c>
      <c r="G8734" s="25">
        <v>1.6321E-4</v>
      </c>
      <c r="H8734" s="25">
        <v>3.9029999999999997E-5</v>
      </c>
      <c r="I8734" s="9">
        <v>1.3441000000000001E-4</v>
      </c>
      <c r="J8734" s="9">
        <v>1.4898E-4</v>
      </c>
      <c r="K8734" s="9">
        <v>3.6452000000000001E-4</v>
      </c>
      <c r="L8734" s="9">
        <v>1.3920999999999999E-4</v>
      </c>
      <c r="M8734" s="9">
        <v>1.2742E-4</v>
      </c>
      <c r="N8734" s="9">
        <v>1.3860000000000001E-4</v>
      </c>
      <c r="O8734" s="9">
        <v>1.4053000000000001E-4</v>
      </c>
      <c r="P8734" s="9">
        <v>1.2766000000000001E-4</v>
      </c>
      <c r="Q8734" s="9">
        <v>1.1671E-4</v>
      </c>
      <c r="R8734" s="10">
        <v>2.121832443232775E-4</v>
      </c>
      <c r="S8734" s="10">
        <v>1.9025769018633188E-4</v>
      </c>
      <c r="T8734" s="10">
        <v>0</v>
      </c>
      <c r="U8734" s="10">
        <v>1.6453999999999999E-4</v>
      </c>
      <c r="V8734" s="25"/>
      <c r="W8734" s="25"/>
      <c r="X8734" s="25"/>
      <c r="Y8734" s="25"/>
      <c r="Z8734" s="25"/>
      <c r="AA8734" s="25"/>
    </row>
    <row r="8735" spans="1:27" x14ac:dyDescent="0.35">
      <c r="A8735" s="5">
        <v>8731</v>
      </c>
      <c r="B8735" s="5">
        <v>364</v>
      </c>
      <c r="C8735" s="5">
        <v>12</v>
      </c>
      <c r="D8735" s="25">
        <v>1.1416E-4</v>
      </c>
      <c r="E8735" s="25">
        <v>1.1336999999999999E-4</v>
      </c>
      <c r="F8735" s="25">
        <v>1.0501E-4</v>
      </c>
      <c r="G8735" s="25">
        <v>1.1341E-4</v>
      </c>
      <c r="H8735" s="25">
        <v>2.6120000000000001E-5</v>
      </c>
      <c r="I8735" s="9">
        <v>1.3485999999999999E-4</v>
      </c>
      <c r="J8735" s="9">
        <v>1.4427E-4</v>
      </c>
      <c r="K8735" s="9">
        <v>3.6027999999999999E-4</v>
      </c>
      <c r="L8735" s="9">
        <v>1.4009999999999999E-4</v>
      </c>
      <c r="M8735" s="9">
        <v>1.2627999999999999E-4</v>
      </c>
      <c r="N8735" s="9">
        <v>1.2941E-4</v>
      </c>
      <c r="O8735" s="9">
        <v>1.4320000000000001E-4</v>
      </c>
      <c r="P8735" s="9">
        <v>1.2442E-4</v>
      </c>
      <c r="Q8735" s="9">
        <v>1.0768999999999999E-4</v>
      </c>
      <c r="R8735" s="10">
        <v>2.1236101563345815E-4</v>
      </c>
      <c r="S8735" s="10">
        <v>1.9027090571187042E-4</v>
      </c>
      <c r="T8735" s="10">
        <v>0</v>
      </c>
      <c r="U8735" s="10">
        <v>1.6453999999999999E-4</v>
      </c>
      <c r="V8735" s="25"/>
      <c r="W8735" s="25"/>
      <c r="X8735" s="25"/>
      <c r="Y8735" s="25"/>
      <c r="Z8735" s="25"/>
      <c r="AA8735" s="25"/>
    </row>
    <row r="8736" spans="1:27" x14ac:dyDescent="0.35">
      <c r="A8736" s="5">
        <v>8732</v>
      </c>
      <c r="B8736" s="5">
        <v>364</v>
      </c>
      <c r="C8736" s="5">
        <v>12</v>
      </c>
      <c r="D8736" s="25">
        <v>1.1416E-4</v>
      </c>
      <c r="E8736" s="25">
        <v>1.1566E-4</v>
      </c>
      <c r="F8736" s="25">
        <v>1.0662000000000001E-4</v>
      </c>
      <c r="G8736" s="25">
        <v>1.1345000000000001E-4</v>
      </c>
      <c r="H8736" s="25">
        <v>2.7710000000000001E-5</v>
      </c>
      <c r="I8736" s="9">
        <v>1.2925999999999999E-4</v>
      </c>
      <c r="J8736" s="9">
        <v>1.3990000000000001E-4</v>
      </c>
      <c r="K8736" s="9">
        <v>3.5604000000000001E-4</v>
      </c>
      <c r="L8736" s="9">
        <v>1.4254E-4</v>
      </c>
      <c r="M8736" s="9">
        <v>1.2556000000000001E-4</v>
      </c>
      <c r="N8736" s="9">
        <v>1.2057000000000001E-4</v>
      </c>
      <c r="O8736" s="9">
        <v>1.4368000000000001E-4</v>
      </c>
      <c r="P8736" s="9">
        <v>1.2131E-4</v>
      </c>
      <c r="Q8736" s="9">
        <v>1.0107000000000001E-4</v>
      </c>
      <c r="R8736" s="10">
        <v>2.1243026469304905E-4</v>
      </c>
      <c r="S8736" s="10">
        <v>1.9028798344524695E-4</v>
      </c>
      <c r="T8736" s="10">
        <v>0</v>
      </c>
      <c r="U8736" s="10">
        <v>1.6453999999999999E-4</v>
      </c>
      <c r="V8736" s="25"/>
      <c r="W8736" s="25"/>
      <c r="X8736" s="25"/>
      <c r="Y8736" s="25"/>
      <c r="Z8736" s="25"/>
      <c r="AA8736" s="25"/>
    </row>
    <row r="8737" spans="1:27" x14ac:dyDescent="0.35">
      <c r="A8737" s="5">
        <v>8733</v>
      </c>
      <c r="B8737" s="5">
        <v>364</v>
      </c>
      <c r="C8737" s="5">
        <v>12</v>
      </c>
      <c r="D8737" s="25">
        <v>1.1416E-4</v>
      </c>
      <c r="E8737" s="25">
        <v>1.1647E-4</v>
      </c>
      <c r="F8737" s="25">
        <v>1.1013E-4</v>
      </c>
      <c r="G8737" s="25">
        <v>5.5210000000000002E-5</v>
      </c>
      <c r="H8737" s="25">
        <v>1.418E-5</v>
      </c>
      <c r="I8737" s="9">
        <v>1.2260999999999999E-4</v>
      </c>
      <c r="J8737" s="9">
        <v>1.3349E-4</v>
      </c>
      <c r="K8737" s="9">
        <v>3.4757000000000001E-4</v>
      </c>
      <c r="L8737" s="9">
        <v>1.4342000000000001E-4</v>
      </c>
      <c r="M8737" s="9">
        <v>1.2386999999999999E-4</v>
      </c>
      <c r="N8737" s="9">
        <v>1.1286E-4</v>
      </c>
      <c r="O8737" s="9">
        <v>8.551E-5</v>
      </c>
      <c r="P8737" s="9">
        <v>8.7009999999999995E-5</v>
      </c>
      <c r="Q8737" s="9">
        <v>8.9019999999999998E-5</v>
      </c>
      <c r="R8737" s="10">
        <v>2.1244037448042542E-4</v>
      </c>
      <c r="S8737" s="10">
        <v>1.9029018712354436E-4</v>
      </c>
      <c r="T8737" s="10">
        <v>0</v>
      </c>
      <c r="U8737" s="10">
        <v>1.6453999999999999E-4</v>
      </c>
      <c r="V8737" s="25"/>
      <c r="W8737" s="25"/>
      <c r="X8737" s="25"/>
      <c r="Y8737" s="25"/>
      <c r="Z8737" s="25"/>
      <c r="AA8737" s="25"/>
    </row>
    <row r="8738" spans="1:27" x14ac:dyDescent="0.35">
      <c r="A8738" s="5">
        <v>8734</v>
      </c>
      <c r="B8738" s="5">
        <v>364</v>
      </c>
      <c r="C8738" s="5">
        <v>12</v>
      </c>
      <c r="D8738" s="25">
        <v>1.1416E-4</v>
      </c>
      <c r="E8738" s="25">
        <v>1.1648E-4</v>
      </c>
      <c r="F8738" s="25">
        <v>9.6869999999999999E-5</v>
      </c>
      <c r="G8738" s="25">
        <v>5.2960000000000001E-5</v>
      </c>
      <c r="H8738" s="25">
        <v>1.464E-5</v>
      </c>
      <c r="I8738" s="9">
        <v>1.1802E-4</v>
      </c>
      <c r="J8738" s="9">
        <v>1.2595999999999999E-4</v>
      </c>
      <c r="K8738" s="9">
        <v>3.2849000000000002E-4</v>
      </c>
      <c r="L8738" s="9">
        <v>9.8220000000000005E-5</v>
      </c>
      <c r="M8738" s="9">
        <v>1.1012E-4</v>
      </c>
      <c r="N8738" s="9">
        <v>1.0553E-4</v>
      </c>
      <c r="O8738" s="9">
        <v>8.7449999999999998E-5</v>
      </c>
      <c r="P8738" s="9">
        <v>8.7499999999999999E-5</v>
      </c>
      <c r="Q8738" s="9">
        <v>8.8150000000000001E-5</v>
      </c>
      <c r="R8738" s="10">
        <v>2.1243948558155652E-4</v>
      </c>
      <c r="S8738" s="10">
        <v>1.9029020759484994E-4</v>
      </c>
      <c r="T8738" s="10">
        <v>0</v>
      </c>
      <c r="U8738" s="10">
        <v>1.6453999999999999E-4</v>
      </c>
      <c r="V8738" s="25"/>
      <c r="W8738" s="25"/>
      <c r="X8738" s="25"/>
      <c r="Y8738" s="25"/>
      <c r="Z8738" s="25"/>
      <c r="AA8738" s="25"/>
    </row>
    <row r="8739" spans="1:27" x14ac:dyDescent="0.35">
      <c r="A8739" s="5">
        <v>8735</v>
      </c>
      <c r="B8739" s="5">
        <v>364</v>
      </c>
      <c r="C8739" s="5">
        <v>12</v>
      </c>
      <c r="D8739" s="25">
        <v>1.1416E-4</v>
      </c>
      <c r="E8739" s="25">
        <v>1.0933999999999999E-4</v>
      </c>
      <c r="F8739" s="25">
        <v>1.0802999999999999E-4</v>
      </c>
      <c r="G8739" s="25">
        <v>5.8319999999999997E-5</v>
      </c>
      <c r="H8739" s="25">
        <v>1.5310000000000001E-5</v>
      </c>
      <c r="I8739" s="9">
        <v>1.2155999999999999E-4</v>
      </c>
      <c r="J8739" s="9">
        <v>1.1798000000000001E-4</v>
      </c>
      <c r="K8739" s="9">
        <v>3.2001000000000002E-4</v>
      </c>
      <c r="L8739" s="9">
        <v>9.1089999999999997E-5</v>
      </c>
      <c r="M8739" s="9">
        <v>9.8280000000000001E-5</v>
      </c>
      <c r="N8739" s="9">
        <v>9.9759999999999994E-5</v>
      </c>
      <c r="O8739" s="9">
        <v>8.543E-5</v>
      </c>
      <c r="P8739" s="9">
        <v>7.606E-5</v>
      </c>
      <c r="Q8739" s="9">
        <v>6.7379999999999995E-5</v>
      </c>
      <c r="R8739" s="10">
        <v>2.1240890878482943E-4</v>
      </c>
      <c r="S8739" s="10">
        <v>1.9029020759484994E-4</v>
      </c>
      <c r="T8739" s="10">
        <v>0</v>
      </c>
      <c r="U8739" s="10">
        <v>1.6453999999999999E-4</v>
      </c>
      <c r="V8739" s="25"/>
      <c r="W8739" s="25"/>
      <c r="X8739" s="25"/>
      <c r="Y8739" s="25"/>
      <c r="Z8739" s="25"/>
      <c r="AA8739" s="25"/>
    </row>
    <row r="8740" spans="1:27" x14ac:dyDescent="0.35">
      <c r="A8740" s="5">
        <v>8736</v>
      </c>
      <c r="B8740" s="5">
        <v>364</v>
      </c>
      <c r="C8740" s="5">
        <v>12</v>
      </c>
      <c r="D8740" s="25">
        <v>1.1416E-4</v>
      </c>
      <c r="E8740" s="25">
        <v>1.1157E-4</v>
      </c>
      <c r="F8740" s="25">
        <v>1.1242E-4</v>
      </c>
      <c r="G8740" s="25">
        <v>5.8520000000000002E-5</v>
      </c>
      <c r="H8740" s="25">
        <v>1.414E-5</v>
      </c>
      <c r="I8740" s="9">
        <v>1.2102E-4</v>
      </c>
      <c r="J8740" s="9">
        <v>1.115E-4</v>
      </c>
      <c r="K8740" s="9">
        <v>3.0941999999999998E-4</v>
      </c>
      <c r="L8740" s="9">
        <v>8.6899999999999998E-5</v>
      </c>
      <c r="M8740" s="9">
        <v>8.7499999999999999E-5</v>
      </c>
      <c r="N8740" s="9">
        <v>9.0660000000000003E-5</v>
      </c>
      <c r="O8740" s="9">
        <v>7.8980000000000006E-5</v>
      </c>
      <c r="P8740" s="9">
        <v>6.8529999999999996E-5</v>
      </c>
      <c r="Q8740" s="9">
        <v>5.8659999999999997E-5</v>
      </c>
      <c r="R8740" s="10">
        <v>2.1219629175994807E-4</v>
      </c>
      <c r="S8740" s="10">
        <v>1.9029020759484994E-4</v>
      </c>
      <c r="T8740" s="10">
        <v>0</v>
      </c>
      <c r="U8740" s="10">
        <v>1.6453999999999999E-4</v>
      </c>
      <c r="V8740" s="25"/>
      <c r="W8740" s="25"/>
      <c r="X8740" s="25"/>
      <c r="Y8740" s="25"/>
      <c r="Z8740" s="25"/>
      <c r="AA8740" s="25"/>
    </row>
    <row r="8741" spans="1:27" x14ac:dyDescent="0.35">
      <c r="A8741" s="5">
        <v>8737</v>
      </c>
      <c r="B8741" s="5">
        <v>365</v>
      </c>
      <c r="C8741" s="5">
        <v>12</v>
      </c>
      <c r="D8741" s="25">
        <v>1.1416E-4</v>
      </c>
      <c r="E8741" s="25">
        <v>1.0788E-4</v>
      </c>
      <c r="F8741" s="25">
        <v>1.0409E-4</v>
      </c>
      <c r="G8741" s="25">
        <v>6.0399999999999998E-5</v>
      </c>
      <c r="H8741" s="25">
        <v>6.7700000000000006E-5</v>
      </c>
      <c r="I8741" s="9">
        <v>1.1552000000000001E-4</v>
      </c>
      <c r="J8741" s="9">
        <v>1.0466E-4</v>
      </c>
      <c r="K8741" s="9">
        <v>3.0518E-4</v>
      </c>
      <c r="L8741" s="9">
        <v>8.0500000000000005E-5</v>
      </c>
      <c r="M8741" s="9">
        <v>7.8239999999999996E-5</v>
      </c>
      <c r="N8741" s="9">
        <v>8.1210000000000003E-5</v>
      </c>
      <c r="O8741" s="9">
        <v>5.4799999999999997E-5</v>
      </c>
      <c r="P8741" s="9">
        <v>5.4209999999999998E-5</v>
      </c>
      <c r="Q8741" s="9">
        <v>5.3789999999999998E-5</v>
      </c>
      <c r="R8741" s="10">
        <v>2.1211593511964673E-4</v>
      </c>
      <c r="S8741" s="10">
        <v>1.9029020759484994E-4</v>
      </c>
      <c r="T8741" s="10">
        <v>0</v>
      </c>
      <c r="U8741" s="10">
        <v>1.6205000000000001E-4</v>
      </c>
      <c r="V8741" s="25"/>
      <c r="W8741" s="25"/>
      <c r="X8741" s="25"/>
      <c r="Y8741" s="25"/>
      <c r="Z8741" s="25"/>
      <c r="AA8741" s="25"/>
    </row>
    <row r="8742" spans="1:27" x14ac:dyDescent="0.35">
      <c r="A8742" s="5">
        <v>8738</v>
      </c>
      <c r="B8742" s="5">
        <v>365</v>
      </c>
      <c r="C8742" s="5">
        <v>12</v>
      </c>
      <c r="D8742" s="25">
        <v>1.1416E-4</v>
      </c>
      <c r="E8742" s="25">
        <v>1.1389E-4</v>
      </c>
      <c r="F8742" s="25">
        <v>9.6059999999999998E-5</v>
      </c>
      <c r="G8742" s="25">
        <v>5.4299999999999998E-5</v>
      </c>
      <c r="H8742" s="25">
        <v>7.5080000000000006E-5</v>
      </c>
      <c r="I8742" s="9">
        <v>1.1022E-4</v>
      </c>
      <c r="J8742" s="9">
        <v>9.9560000000000002E-5</v>
      </c>
      <c r="K8742" s="9">
        <v>2.8186999999999998E-4</v>
      </c>
      <c r="L8742" s="9">
        <v>6.0609999999999997E-5</v>
      </c>
      <c r="M8742" s="9">
        <v>6.7409999999999993E-5</v>
      </c>
      <c r="N8742" s="9">
        <v>7.2200000000000007E-5</v>
      </c>
      <c r="O8742" s="9">
        <v>1.8309999999999999E-5</v>
      </c>
      <c r="P8742" s="9">
        <v>3.7540000000000003E-5</v>
      </c>
      <c r="Q8742" s="9">
        <v>5.5869999999999999E-5</v>
      </c>
      <c r="R8742" s="10">
        <v>2.1197250752263351E-4</v>
      </c>
      <c r="S8742" s="10">
        <v>1.9029020759484994E-4</v>
      </c>
      <c r="T8742" s="10">
        <v>0</v>
      </c>
      <c r="U8742" s="10">
        <v>1.6205000000000001E-4</v>
      </c>
      <c r="V8742" s="25"/>
      <c r="W8742" s="25"/>
      <c r="X8742" s="25"/>
      <c r="Y8742" s="25"/>
      <c r="Z8742" s="25"/>
      <c r="AA8742" s="25"/>
    </row>
    <row r="8743" spans="1:27" x14ac:dyDescent="0.35">
      <c r="A8743" s="5">
        <v>8739</v>
      </c>
      <c r="B8743" s="5">
        <v>365</v>
      </c>
      <c r="C8743" s="5">
        <v>12</v>
      </c>
      <c r="D8743" s="25">
        <v>1.1416E-4</v>
      </c>
      <c r="E8743" s="25">
        <v>1.1301E-4</v>
      </c>
      <c r="F8743" s="25">
        <v>9.5550000000000005E-5</v>
      </c>
      <c r="G8743" s="25">
        <v>5.2689999999999999E-5</v>
      </c>
      <c r="H8743" s="25">
        <v>6.5289999999999993E-5</v>
      </c>
      <c r="I8743" s="9">
        <v>1.058E-4</v>
      </c>
      <c r="J8743" s="9">
        <v>9.6710000000000001E-5</v>
      </c>
      <c r="K8743" s="9">
        <v>2.3101E-4</v>
      </c>
      <c r="L8743" s="9">
        <v>2.8160000000000001E-5</v>
      </c>
      <c r="M8743" s="9">
        <v>5.401E-5</v>
      </c>
      <c r="N8743" s="9">
        <v>6.5539999999999999E-5</v>
      </c>
      <c r="O8743" s="9">
        <v>1.279E-5</v>
      </c>
      <c r="P8743" s="9">
        <v>3.756E-5</v>
      </c>
      <c r="Q8743" s="9">
        <v>6.122E-5</v>
      </c>
      <c r="R8743" s="10">
        <v>2.1171142090458859E-4</v>
      </c>
      <c r="S8743" s="10">
        <v>1.9029020759484994E-4</v>
      </c>
      <c r="T8743" s="10">
        <v>0</v>
      </c>
      <c r="U8743" s="10">
        <v>1.6205000000000001E-4</v>
      </c>
      <c r="V8743" s="25"/>
      <c r="W8743" s="25"/>
      <c r="X8743" s="25"/>
      <c r="Y8743" s="25"/>
      <c r="Z8743" s="25"/>
      <c r="AA8743" s="25"/>
    </row>
    <row r="8744" spans="1:27" x14ac:dyDescent="0.35">
      <c r="A8744" s="5">
        <v>8740</v>
      </c>
      <c r="B8744" s="5">
        <v>365</v>
      </c>
      <c r="C8744" s="5">
        <v>12</v>
      </c>
      <c r="D8744" s="135">
        <v>1.1416E-4</v>
      </c>
      <c r="E8744" s="25">
        <v>1.1503E-4</v>
      </c>
      <c r="F8744" s="25">
        <v>9.7549999999999999E-5</v>
      </c>
      <c r="G8744" s="25">
        <v>5.2479999999999999E-5</v>
      </c>
      <c r="H8744" s="25">
        <v>7.4610000000000006E-5</v>
      </c>
      <c r="I8744" s="9">
        <v>1.037E-4</v>
      </c>
      <c r="J8744" s="9">
        <v>9.5240000000000003E-5</v>
      </c>
      <c r="K8744" s="9">
        <v>2.2463999999999999E-4</v>
      </c>
      <c r="L8744" s="9">
        <v>1.7039999999999999E-5</v>
      </c>
      <c r="M8744" s="9">
        <v>4.4849999999999999E-5</v>
      </c>
      <c r="N8744" s="9">
        <v>6.1859999999999994E-5</v>
      </c>
      <c r="O8744" s="9">
        <v>1.2969999999999999E-5</v>
      </c>
      <c r="P8744" s="9">
        <v>4.7639999999999998E-5</v>
      </c>
      <c r="Q8744" s="9">
        <v>8.1030000000000002E-5</v>
      </c>
      <c r="R8744" s="10">
        <v>2.1152686412448623E-4</v>
      </c>
      <c r="S8744" s="10">
        <v>1.9029020759484994E-4</v>
      </c>
      <c r="T8744" s="10">
        <v>0</v>
      </c>
      <c r="U8744" s="10">
        <v>1.6205000000000001E-4</v>
      </c>
      <c r="V8744" s="135"/>
      <c r="W8744" s="135"/>
      <c r="X8744" s="135"/>
      <c r="Y8744" s="135"/>
      <c r="Z8744" s="135"/>
      <c r="AA8744" s="135"/>
    </row>
    <row r="8745" spans="1:27" x14ac:dyDescent="0.35">
      <c r="A8745" s="5">
        <v>8741</v>
      </c>
      <c r="B8745" s="5">
        <v>365</v>
      </c>
      <c r="C8745" s="5">
        <v>12</v>
      </c>
      <c r="D8745" s="25">
        <v>1.1416E-4</v>
      </c>
      <c r="E8745" s="25">
        <v>1.0554E-4</v>
      </c>
      <c r="F8745" s="25">
        <v>1.0903E-4</v>
      </c>
      <c r="G8745" s="25">
        <v>5.4030000000000003E-5</v>
      </c>
      <c r="H8745" s="25">
        <v>6.2570000000000006E-5</v>
      </c>
      <c r="I8745" s="9">
        <v>1.0237E-4</v>
      </c>
      <c r="J8745" s="9">
        <v>9.5619999999999996E-5</v>
      </c>
      <c r="K8745" s="9">
        <v>2.2465000000000001E-4</v>
      </c>
      <c r="L8745" s="9">
        <v>1.4049999999999999E-5</v>
      </c>
      <c r="M8745" s="9">
        <v>4.3829999999999999E-5</v>
      </c>
      <c r="N8745" s="9">
        <v>6.4519999999999999E-5</v>
      </c>
      <c r="O8745" s="9">
        <v>1.8389999999999998E-5</v>
      </c>
      <c r="P8745" s="9">
        <v>5.6570000000000002E-5</v>
      </c>
      <c r="Q8745" s="9">
        <v>9.3549999999999997E-5</v>
      </c>
      <c r="R8745" s="10">
        <v>2.1169523804523478E-4</v>
      </c>
      <c r="S8745" s="10">
        <v>1.9029020759484994E-4</v>
      </c>
      <c r="T8745" s="10">
        <v>0</v>
      </c>
      <c r="U8745" s="10">
        <v>1.6205000000000001E-4</v>
      </c>
      <c r="V8745" s="25"/>
      <c r="W8745" s="25"/>
      <c r="X8745" s="25"/>
      <c r="Y8745" s="25"/>
      <c r="Z8745" s="25"/>
      <c r="AA8745" s="25"/>
    </row>
    <row r="8746" spans="1:27" x14ac:dyDescent="0.35">
      <c r="A8746" s="5">
        <v>8742</v>
      </c>
      <c r="B8746" s="5">
        <v>365</v>
      </c>
      <c r="C8746" s="5">
        <v>12</v>
      </c>
      <c r="D8746" s="25">
        <v>1.1416E-4</v>
      </c>
      <c r="E8746" s="25">
        <v>1.0593E-4</v>
      </c>
      <c r="F8746" s="25">
        <v>1.0789999999999999E-4</v>
      </c>
      <c r="G8746" s="25">
        <v>1.1201000000000001E-4</v>
      </c>
      <c r="H8746" s="25">
        <v>1.2826E-4</v>
      </c>
      <c r="I8746" s="9">
        <v>1.047E-4</v>
      </c>
      <c r="J8746" s="9">
        <v>9.8930000000000003E-5</v>
      </c>
      <c r="K8746" s="9">
        <v>2.3101E-4</v>
      </c>
      <c r="L8746" s="9">
        <v>1.7289999999999999E-5</v>
      </c>
      <c r="M8746" s="9">
        <v>4.8539999999999999E-5</v>
      </c>
      <c r="N8746" s="9">
        <v>7.1039999999999997E-5</v>
      </c>
      <c r="O8746" s="9">
        <v>4.6100000000000002E-5</v>
      </c>
      <c r="P8746" s="9">
        <v>7.6719999999999997E-5</v>
      </c>
      <c r="Q8746" s="9">
        <v>1.0683000000000001E-4</v>
      </c>
      <c r="R8746" s="10">
        <v>2.1202211613995529E-4</v>
      </c>
      <c r="S8746" s="10">
        <v>1.9029020759484994E-4</v>
      </c>
      <c r="T8746" s="10">
        <v>0</v>
      </c>
      <c r="U8746" s="10">
        <v>1.6205000000000001E-4</v>
      </c>
      <c r="V8746" s="25"/>
      <c r="W8746" s="25"/>
      <c r="X8746" s="25"/>
      <c r="Y8746" s="25"/>
      <c r="Z8746" s="25"/>
      <c r="AA8746" s="25"/>
    </row>
    <row r="8747" spans="1:27" x14ac:dyDescent="0.35">
      <c r="A8747" s="5">
        <v>8743</v>
      </c>
      <c r="B8747" s="5">
        <v>365</v>
      </c>
      <c r="C8747" s="5">
        <v>12</v>
      </c>
      <c r="D8747" s="25">
        <v>1.1416E-4</v>
      </c>
      <c r="E8747" s="25">
        <v>1.0695E-4</v>
      </c>
      <c r="F8747" s="25">
        <v>1.1218E-4</v>
      </c>
      <c r="G8747" s="25">
        <v>1.0648E-4</v>
      </c>
      <c r="H8747" s="25">
        <v>1.3715E-4</v>
      </c>
      <c r="I8747" s="9">
        <v>1.1017E-4</v>
      </c>
      <c r="J8747" s="9">
        <v>1.0681E-4</v>
      </c>
      <c r="K8747" s="9">
        <v>2.2253E-4</v>
      </c>
      <c r="L8747" s="9">
        <v>3.9619999999999997E-5</v>
      </c>
      <c r="M8747" s="9">
        <v>6.0010000000000003E-5</v>
      </c>
      <c r="N8747" s="9">
        <v>8.0699999999999996E-5</v>
      </c>
      <c r="O8747" s="9">
        <v>1.228E-4</v>
      </c>
      <c r="P8747" s="9">
        <v>1.1621E-4</v>
      </c>
      <c r="Q8747" s="9">
        <v>1.1132E-4</v>
      </c>
      <c r="R8747" s="10">
        <v>2.1211893804662634E-4</v>
      </c>
      <c r="S8747" s="10">
        <v>1.9029020759484994E-4</v>
      </c>
      <c r="T8747" s="10">
        <v>0</v>
      </c>
      <c r="U8747" s="10">
        <v>1.6205000000000001E-4</v>
      </c>
      <c r="V8747" s="25"/>
      <c r="W8747" s="25"/>
      <c r="X8747" s="25"/>
      <c r="Y8747" s="25"/>
      <c r="Z8747" s="25"/>
      <c r="AA8747" s="25"/>
    </row>
    <row r="8748" spans="1:27" x14ac:dyDescent="0.35">
      <c r="A8748" s="5">
        <v>8744</v>
      </c>
      <c r="B8748" s="5">
        <v>365</v>
      </c>
      <c r="C8748" s="5">
        <v>12</v>
      </c>
      <c r="D8748" s="25">
        <v>1.1416E-4</v>
      </c>
      <c r="E8748" s="25">
        <v>1.1326E-4</v>
      </c>
      <c r="F8748" s="25">
        <v>9.5710000000000004E-5</v>
      </c>
      <c r="G8748" s="25">
        <v>1.6749000000000001E-4</v>
      </c>
      <c r="H8748" s="25">
        <v>1.9473E-4</v>
      </c>
      <c r="I8748" s="9">
        <v>1.149E-4</v>
      </c>
      <c r="J8748" s="9">
        <v>1.1812E-4</v>
      </c>
      <c r="K8748" s="9">
        <v>2.2041000000000001E-4</v>
      </c>
      <c r="L8748" s="9">
        <v>1.0388E-4</v>
      </c>
      <c r="M8748" s="9">
        <v>8.3209999999999998E-5</v>
      </c>
      <c r="N8748" s="9">
        <v>9.056E-5</v>
      </c>
      <c r="O8748" s="9">
        <v>2.1913999999999999E-4</v>
      </c>
      <c r="P8748" s="9">
        <v>1.75E-4</v>
      </c>
      <c r="Q8748" s="9">
        <v>1.3519000000000001E-4</v>
      </c>
      <c r="R8748" s="10">
        <v>2.1220525727455814E-4</v>
      </c>
      <c r="S8748" s="10">
        <v>1.9029020759484994E-4</v>
      </c>
      <c r="T8748" s="10">
        <v>0</v>
      </c>
      <c r="U8748" s="10">
        <v>1.6205000000000001E-4</v>
      </c>
      <c r="V8748" s="25"/>
      <c r="W8748" s="25"/>
      <c r="X8748" s="25"/>
      <c r="Y8748" s="25"/>
      <c r="Z8748" s="25"/>
      <c r="AA8748" s="25"/>
    </row>
    <row r="8749" spans="1:27" x14ac:dyDescent="0.35">
      <c r="A8749" s="5">
        <v>8745</v>
      </c>
      <c r="B8749" s="5">
        <v>365</v>
      </c>
      <c r="C8749" s="5">
        <v>12</v>
      </c>
      <c r="D8749" s="25">
        <v>1.1416E-4</v>
      </c>
      <c r="E8749" s="25">
        <v>1.0632E-4</v>
      </c>
      <c r="F8749" s="25">
        <v>1.0163E-4</v>
      </c>
      <c r="G8749" s="25">
        <v>1.6377000000000001E-4</v>
      </c>
      <c r="H8749" s="25">
        <v>1.8911000000000001E-4</v>
      </c>
      <c r="I8749" s="9">
        <v>1.2218999999999999E-4</v>
      </c>
      <c r="J8749" s="9">
        <v>1.2959000000000001E-4</v>
      </c>
      <c r="K8749" s="9">
        <v>2.1405E-4</v>
      </c>
      <c r="L8749" s="9">
        <v>1.9201999999999999E-4</v>
      </c>
      <c r="M8749" s="9">
        <v>1.2226000000000001E-4</v>
      </c>
      <c r="N8749" s="9">
        <v>1.0399E-4</v>
      </c>
      <c r="O8749" s="9">
        <v>2.1278000000000001E-4</v>
      </c>
      <c r="P8749" s="9">
        <v>1.9275999999999999E-4</v>
      </c>
      <c r="Q8749" s="9">
        <v>1.7652999999999999E-4</v>
      </c>
      <c r="R8749" s="10">
        <v>2.1222883858271338E-4</v>
      </c>
      <c r="S8749" s="10">
        <v>1.9029020759484994E-4</v>
      </c>
      <c r="T8749" s="10">
        <v>0</v>
      </c>
      <c r="U8749" s="10">
        <v>1.6206E-4</v>
      </c>
      <c r="V8749" s="25"/>
      <c r="W8749" s="25"/>
      <c r="X8749" s="25"/>
      <c r="Y8749" s="25"/>
      <c r="Z8749" s="25"/>
      <c r="AA8749" s="25"/>
    </row>
    <row r="8750" spans="1:27" x14ac:dyDescent="0.35">
      <c r="A8750" s="5">
        <v>8746</v>
      </c>
      <c r="B8750" s="5">
        <v>365</v>
      </c>
      <c r="C8750" s="5">
        <v>12</v>
      </c>
      <c r="D8750" s="25">
        <v>1.1416E-4</v>
      </c>
      <c r="E8750" s="25">
        <v>1.1208E-4</v>
      </c>
      <c r="F8750" s="25">
        <v>9.4640000000000002E-5</v>
      </c>
      <c r="G8750" s="25">
        <v>1.5861E-4</v>
      </c>
      <c r="H8750" s="25">
        <v>1.8757999999999999E-4</v>
      </c>
      <c r="I8750" s="9">
        <v>1.2477000000000001E-4</v>
      </c>
      <c r="J8750" s="9">
        <v>1.3595999999999999E-4</v>
      </c>
      <c r="K8750" s="9">
        <v>2.3101E-4</v>
      </c>
      <c r="L8750" s="9">
        <v>2.0589999999999999E-4</v>
      </c>
      <c r="M8750" s="9">
        <v>1.5754000000000001E-4</v>
      </c>
      <c r="N8750" s="9">
        <v>1.2395E-4</v>
      </c>
      <c r="O8750" s="9">
        <v>1.6935E-4</v>
      </c>
      <c r="P8750" s="9">
        <v>1.7490999999999999E-4</v>
      </c>
      <c r="Q8750" s="9">
        <v>1.8296E-4</v>
      </c>
      <c r="R8750" s="10">
        <v>2.1221508082962216E-4</v>
      </c>
      <c r="S8750" s="10">
        <v>1.9029020759484994E-4</v>
      </c>
      <c r="T8750" s="10">
        <v>2.6559250685686137E-4</v>
      </c>
      <c r="U8750" s="10">
        <v>1.6206E-4</v>
      </c>
      <c r="V8750" s="25"/>
      <c r="W8750" s="25"/>
      <c r="X8750" s="25"/>
      <c r="Y8750" s="25"/>
      <c r="Z8750" s="25"/>
      <c r="AA8750" s="25"/>
    </row>
    <row r="8751" spans="1:27" x14ac:dyDescent="0.35">
      <c r="A8751" s="5">
        <v>8747</v>
      </c>
      <c r="B8751" s="5">
        <v>365</v>
      </c>
      <c r="C8751" s="5">
        <v>12</v>
      </c>
      <c r="D8751" s="25">
        <v>1.1416E-4</v>
      </c>
      <c r="E8751" s="25">
        <v>1.0705E-4</v>
      </c>
      <c r="F8751" s="25">
        <v>1.0391999999999999E-4</v>
      </c>
      <c r="G8751" s="25">
        <v>1.6243E-4</v>
      </c>
      <c r="H8751" s="25">
        <v>1.8629000000000001E-4</v>
      </c>
      <c r="I8751" s="9">
        <v>1.2368000000000001E-4</v>
      </c>
      <c r="J8751" s="9">
        <v>1.3804E-4</v>
      </c>
      <c r="K8751" s="9">
        <v>2.0770000000000001E-4</v>
      </c>
      <c r="L8751" s="9">
        <v>1.7741999999999999E-4</v>
      </c>
      <c r="M8751" s="9">
        <v>1.7199000000000001E-4</v>
      </c>
      <c r="N8751" s="9">
        <v>1.4228999999999999E-4</v>
      </c>
      <c r="O8751" s="9">
        <v>1.6969000000000001E-4</v>
      </c>
      <c r="P8751" s="9">
        <v>1.739E-4</v>
      </c>
      <c r="Q8751" s="9">
        <v>1.8063000000000001E-4</v>
      </c>
      <c r="R8751" s="10">
        <v>2.1225454924867564E-4</v>
      </c>
      <c r="S8751" s="10">
        <v>1.9029020759484994E-4</v>
      </c>
      <c r="T8751" s="10">
        <v>3.8734220253140646E-4</v>
      </c>
      <c r="U8751" s="10">
        <v>1.6206E-4</v>
      </c>
      <c r="V8751" s="25"/>
      <c r="W8751" s="25"/>
      <c r="X8751" s="25"/>
      <c r="Y8751" s="25"/>
      <c r="Z8751" s="25"/>
      <c r="AA8751" s="25"/>
    </row>
    <row r="8752" spans="1:27" x14ac:dyDescent="0.35">
      <c r="A8752" s="5">
        <v>8748</v>
      </c>
      <c r="B8752" s="5">
        <v>365</v>
      </c>
      <c r="C8752" s="5">
        <v>12</v>
      </c>
      <c r="D8752" s="25">
        <v>1.1416E-4</v>
      </c>
      <c r="E8752" s="25">
        <v>1.1576E-4</v>
      </c>
      <c r="F8752" s="25">
        <v>1.1273999999999999E-4</v>
      </c>
      <c r="G8752" s="25">
        <v>1.5956E-4</v>
      </c>
      <c r="H8752" s="25">
        <v>1.93E-4</v>
      </c>
      <c r="I8752" s="9">
        <v>1.2416E-4</v>
      </c>
      <c r="J8752" s="9">
        <v>1.3705E-4</v>
      </c>
      <c r="K8752" s="9">
        <v>2.0981E-4</v>
      </c>
      <c r="L8752" s="9">
        <v>1.7278000000000001E-4</v>
      </c>
      <c r="M8752" s="9">
        <v>1.7521E-4</v>
      </c>
      <c r="N8752" s="9">
        <v>1.5671000000000001E-4</v>
      </c>
      <c r="O8752" s="9">
        <v>1.7222E-4</v>
      </c>
      <c r="P8752" s="9">
        <v>1.7228E-4</v>
      </c>
      <c r="Q8752" s="9">
        <v>1.7495999999999999E-4</v>
      </c>
      <c r="R8752" s="10">
        <v>2.122063954746109E-4</v>
      </c>
      <c r="S8752" s="10">
        <v>1.9029020759484994E-4</v>
      </c>
      <c r="T8752" s="10">
        <v>4.4118356620741087E-4</v>
      </c>
      <c r="U8752" s="10">
        <v>1.6206E-4</v>
      </c>
      <c r="V8752" s="25"/>
      <c r="W8752" s="25"/>
      <c r="X8752" s="25"/>
      <c r="Y8752" s="25"/>
      <c r="Z8752" s="25"/>
      <c r="AA8752" s="25"/>
    </row>
    <row r="8753" spans="1:27" x14ac:dyDescent="0.35">
      <c r="A8753" s="5">
        <v>8749</v>
      </c>
      <c r="B8753" s="5">
        <v>365</v>
      </c>
      <c r="C8753" s="5">
        <v>12</v>
      </c>
      <c r="D8753" s="25">
        <v>1.1416E-4</v>
      </c>
      <c r="E8753" s="25">
        <v>1.08E-4</v>
      </c>
      <c r="F8753" s="25">
        <v>9.6379999999999995E-5</v>
      </c>
      <c r="G8753" s="25">
        <v>1.6354E-4</v>
      </c>
      <c r="H8753" s="25">
        <v>1.885E-4</v>
      </c>
      <c r="I8753" s="9">
        <v>1.2274000000000001E-4</v>
      </c>
      <c r="J8753" s="9">
        <v>1.3494000000000001E-4</v>
      </c>
      <c r="K8753" s="9">
        <v>2.0345000000000001E-4</v>
      </c>
      <c r="L8753" s="9">
        <v>1.7249999999999999E-4</v>
      </c>
      <c r="M8753" s="9">
        <v>1.7448E-4</v>
      </c>
      <c r="N8753" s="9">
        <v>1.6647E-4</v>
      </c>
      <c r="O8753" s="9">
        <v>1.6346000000000001E-4</v>
      </c>
      <c r="P8753" s="9">
        <v>1.6445000000000001E-4</v>
      </c>
      <c r="Q8753" s="9">
        <v>1.6784999999999999E-4</v>
      </c>
      <c r="R8753" s="10">
        <v>2.1224927333849593E-4</v>
      </c>
      <c r="S8753" s="10">
        <v>1.9029020759484994E-4</v>
      </c>
      <c r="T8753" s="10">
        <v>4.4867520253358674E-4</v>
      </c>
      <c r="U8753" s="10">
        <v>1.6206E-4</v>
      </c>
      <c r="V8753" s="25"/>
      <c r="W8753" s="25"/>
      <c r="X8753" s="25"/>
      <c r="Y8753" s="25"/>
      <c r="Z8753" s="25"/>
      <c r="AA8753" s="25"/>
    </row>
    <row r="8754" spans="1:27" x14ac:dyDescent="0.35">
      <c r="A8754" s="5">
        <v>8750</v>
      </c>
      <c r="B8754" s="5">
        <v>365</v>
      </c>
      <c r="C8754" s="5">
        <v>12</v>
      </c>
      <c r="D8754" s="25">
        <v>1.1416E-4</v>
      </c>
      <c r="E8754" s="25">
        <v>1.156E-4</v>
      </c>
      <c r="F8754" s="25">
        <v>1.0072E-4</v>
      </c>
      <c r="G8754" s="25">
        <v>1.5668999999999999E-4</v>
      </c>
      <c r="H8754" s="25">
        <v>1.9570000000000001E-4</v>
      </c>
      <c r="I8754" s="9">
        <v>1.1998E-4</v>
      </c>
      <c r="J8754" s="9">
        <v>1.3404000000000001E-4</v>
      </c>
      <c r="K8754" s="9">
        <v>1.9709999999999999E-4</v>
      </c>
      <c r="L8754" s="9">
        <v>1.6521E-4</v>
      </c>
      <c r="M8754" s="9">
        <v>1.7061999999999999E-4</v>
      </c>
      <c r="N8754" s="9">
        <v>1.7097E-4</v>
      </c>
      <c r="O8754" s="9">
        <v>1.8139E-4</v>
      </c>
      <c r="P8754" s="9">
        <v>1.7029999999999999E-4</v>
      </c>
      <c r="Q8754" s="9">
        <v>1.6221000000000001E-4</v>
      </c>
      <c r="R8754" s="10">
        <v>2.1171791603970158E-4</v>
      </c>
      <c r="S8754" s="10">
        <v>1.9029020759484994E-4</v>
      </c>
      <c r="T8754" s="10">
        <v>3.9045594039290873E-4</v>
      </c>
      <c r="U8754" s="10">
        <v>1.6206E-4</v>
      </c>
      <c r="V8754" s="25"/>
      <c r="W8754" s="25"/>
      <c r="X8754" s="25"/>
      <c r="Y8754" s="25"/>
      <c r="Z8754" s="25"/>
      <c r="AA8754" s="25"/>
    </row>
    <row r="8755" spans="1:27" x14ac:dyDescent="0.35">
      <c r="A8755" s="5">
        <v>8751</v>
      </c>
      <c r="B8755" s="5">
        <v>365</v>
      </c>
      <c r="C8755" s="5">
        <v>12</v>
      </c>
      <c r="D8755" s="25">
        <v>1.1416E-4</v>
      </c>
      <c r="E8755" s="25">
        <v>1.13E-4</v>
      </c>
      <c r="F8755" s="25">
        <v>1.0870999999999999E-4</v>
      </c>
      <c r="G8755" s="25">
        <v>1.6027000000000001E-4</v>
      </c>
      <c r="H8755" s="25">
        <v>1.9958000000000001E-4</v>
      </c>
      <c r="I8755" s="9">
        <v>1.1792E-4</v>
      </c>
      <c r="J8755" s="9">
        <v>1.3346000000000001E-4</v>
      </c>
      <c r="K8755" s="9">
        <v>1.8861999999999999E-4</v>
      </c>
      <c r="L8755" s="9">
        <v>1.7801000000000001E-4</v>
      </c>
      <c r="M8755" s="9">
        <v>1.694E-4</v>
      </c>
      <c r="N8755" s="9">
        <v>1.7079000000000001E-4</v>
      </c>
      <c r="O8755" s="9">
        <v>1.8353E-4</v>
      </c>
      <c r="P8755" s="9">
        <v>1.6581000000000001E-4</v>
      </c>
      <c r="Q8755" s="9">
        <v>1.5124E-4</v>
      </c>
      <c r="R8755" s="10">
        <v>2.0963822399782222E-4</v>
      </c>
      <c r="S8755" s="10">
        <v>1.9029019504127154E-4</v>
      </c>
      <c r="T8755" s="10">
        <v>2.5105890207006721E-4</v>
      </c>
      <c r="U8755" s="10">
        <v>1.6206E-4</v>
      </c>
      <c r="V8755" s="25"/>
      <c r="W8755" s="25"/>
      <c r="X8755" s="25"/>
      <c r="Y8755" s="25"/>
      <c r="Z8755" s="25"/>
      <c r="AA8755" s="25"/>
    </row>
    <row r="8756" spans="1:27" x14ac:dyDescent="0.35">
      <c r="A8756" s="5">
        <v>8752</v>
      </c>
      <c r="B8756" s="5">
        <v>365</v>
      </c>
      <c r="C8756" s="5">
        <v>12</v>
      </c>
      <c r="D8756" s="25">
        <v>1.1416E-4</v>
      </c>
      <c r="E8756" s="25">
        <v>1.0509999999999999E-4</v>
      </c>
      <c r="F8756" s="25">
        <v>9.0569999999999995E-5</v>
      </c>
      <c r="G8756" s="25">
        <v>1.5846E-4</v>
      </c>
      <c r="H8756" s="25">
        <v>1.9171999999999999E-4</v>
      </c>
      <c r="I8756" s="9">
        <v>1.1922E-4</v>
      </c>
      <c r="J8756" s="9">
        <v>1.3302999999999999E-4</v>
      </c>
      <c r="K8756" s="9">
        <v>1.9285999999999999E-4</v>
      </c>
      <c r="L8756" s="9">
        <v>1.8197999999999999E-4</v>
      </c>
      <c r="M8756" s="9">
        <v>1.6788999999999999E-4</v>
      </c>
      <c r="N8756" s="9">
        <v>1.6652E-4</v>
      </c>
      <c r="O8756" s="9">
        <v>2.0071999999999999E-4</v>
      </c>
      <c r="P8756" s="9">
        <v>1.5372000000000001E-4</v>
      </c>
      <c r="Q8756" s="9">
        <v>1.1067E-4</v>
      </c>
      <c r="R8756" s="10">
        <v>2.0471487651278642E-4</v>
      </c>
      <c r="S8756" s="10">
        <v>1.9025845099309926E-4</v>
      </c>
      <c r="T8756" s="10">
        <v>0</v>
      </c>
      <c r="U8756" s="10">
        <v>1.6206E-4</v>
      </c>
      <c r="V8756" s="25"/>
      <c r="W8756" s="25"/>
      <c r="X8756" s="25"/>
      <c r="Y8756" s="25"/>
      <c r="Z8756" s="25"/>
      <c r="AA8756" s="25"/>
    </row>
    <row r="8757" spans="1:27" x14ac:dyDescent="0.35">
      <c r="A8757" s="5">
        <v>8753</v>
      </c>
      <c r="B8757" s="5">
        <v>365</v>
      </c>
      <c r="C8757" s="5">
        <v>12</v>
      </c>
      <c r="D8757" s="25">
        <v>1.1416E-4</v>
      </c>
      <c r="E8757" s="25">
        <v>1.1093E-4</v>
      </c>
      <c r="F8757" s="25">
        <v>9.6739999999999999E-5</v>
      </c>
      <c r="G8757" s="25">
        <v>1.5667E-4</v>
      </c>
      <c r="H8757" s="25">
        <v>1.9824999999999999E-4</v>
      </c>
      <c r="I8757" s="9">
        <v>1.2239999999999999E-4</v>
      </c>
      <c r="J8757" s="9">
        <v>1.3697000000000001E-4</v>
      </c>
      <c r="K8757" s="9">
        <v>2.0133999999999999E-4</v>
      </c>
      <c r="L8757" s="9">
        <v>1.9642999999999999E-4</v>
      </c>
      <c r="M8757" s="9">
        <v>1.6248E-4</v>
      </c>
      <c r="N8757" s="9">
        <v>1.5286999999999999E-4</v>
      </c>
      <c r="O8757" s="9">
        <v>2.1751E-4</v>
      </c>
      <c r="P8757" s="9">
        <v>1.605E-4</v>
      </c>
      <c r="Q8757" s="9">
        <v>1.0796E-4</v>
      </c>
      <c r="R8757" s="10">
        <v>1.9417367441907995E-4</v>
      </c>
      <c r="S8757" s="10">
        <v>1.9009815790295897E-4</v>
      </c>
      <c r="T8757" s="10">
        <v>0</v>
      </c>
      <c r="U8757" s="10">
        <v>1.6206E-4</v>
      </c>
      <c r="V8757" s="25"/>
      <c r="W8757" s="25"/>
      <c r="X8757" s="25"/>
      <c r="Y8757" s="25"/>
      <c r="Z8757" s="25"/>
      <c r="AA8757" s="25"/>
    </row>
    <row r="8758" spans="1:27" x14ac:dyDescent="0.35">
      <c r="A8758" s="5">
        <v>8754</v>
      </c>
      <c r="B8758" s="5">
        <v>365</v>
      </c>
      <c r="C8758" s="5">
        <v>12</v>
      </c>
      <c r="D8758" s="25">
        <v>1.1416E-4</v>
      </c>
      <c r="E8758" s="25">
        <v>1.1284E-4</v>
      </c>
      <c r="F8758" s="25">
        <v>9.1539999999999994E-5</v>
      </c>
      <c r="G8758" s="25">
        <v>1.6441000000000001E-4</v>
      </c>
      <c r="H8758" s="25">
        <v>1.9409000000000001E-4</v>
      </c>
      <c r="I8758" s="9">
        <v>1.3227000000000001E-4</v>
      </c>
      <c r="J8758" s="9">
        <v>1.4603000000000001E-4</v>
      </c>
      <c r="K8758" s="9">
        <v>2.0133999999999999E-4</v>
      </c>
      <c r="L8758" s="9">
        <v>2.1257000000000001E-4</v>
      </c>
      <c r="M8758" s="9">
        <v>1.6029E-4</v>
      </c>
      <c r="N8758" s="9">
        <v>1.3956999999999999E-4</v>
      </c>
      <c r="O8758" s="9">
        <v>2.0863000000000001E-4</v>
      </c>
      <c r="P8758" s="9">
        <v>1.6149E-4</v>
      </c>
      <c r="Q8758" s="9">
        <v>1.1848E-4</v>
      </c>
      <c r="R8758" s="10">
        <v>1.8528594988420885E-4</v>
      </c>
      <c r="S8758" s="10">
        <v>1.8958745378903872E-4</v>
      </c>
      <c r="T8758" s="10">
        <v>0</v>
      </c>
      <c r="U8758" s="10">
        <v>1.6206E-4</v>
      </c>
      <c r="V8758" s="25"/>
      <c r="W8758" s="25"/>
      <c r="X8758" s="25"/>
      <c r="Y8758" s="25"/>
      <c r="Z8758" s="25"/>
      <c r="AA8758" s="25"/>
    </row>
    <row r="8759" spans="1:27" x14ac:dyDescent="0.35">
      <c r="A8759" s="5">
        <v>8755</v>
      </c>
      <c r="B8759" s="5">
        <v>365</v>
      </c>
      <c r="C8759" s="5">
        <v>12</v>
      </c>
      <c r="D8759" s="25">
        <v>1.1416E-4</v>
      </c>
      <c r="E8759" s="25">
        <v>1.0562E-4</v>
      </c>
      <c r="F8759" s="25">
        <v>1.037E-4</v>
      </c>
      <c r="G8759" s="25">
        <v>1.0888E-4</v>
      </c>
      <c r="H8759" s="25">
        <v>1.3006000000000001E-4</v>
      </c>
      <c r="I8759" s="9">
        <v>1.3303999999999999E-4</v>
      </c>
      <c r="J8759" s="9">
        <v>1.4197E-4</v>
      </c>
      <c r="K8759" s="9">
        <v>2.1194000000000001E-4</v>
      </c>
      <c r="L8759" s="9">
        <v>2.0906000000000001E-4</v>
      </c>
      <c r="M8759" s="9">
        <v>1.6032000000000001E-4</v>
      </c>
      <c r="N8759" s="9">
        <v>1.3055E-4</v>
      </c>
      <c r="O8759" s="9">
        <v>1.6666000000000001E-4</v>
      </c>
      <c r="P8759" s="9">
        <v>1.3568E-4</v>
      </c>
      <c r="Q8759" s="9">
        <v>1.0768999999999999E-4</v>
      </c>
      <c r="R8759" s="10">
        <v>1.9266839132020186E-4</v>
      </c>
      <c r="S8759" s="10">
        <v>1.884861501163769E-4</v>
      </c>
      <c r="T8759" s="10">
        <v>0</v>
      </c>
      <c r="U8759" s="10">
        <v>1.6206E-4</v>
      </c>
      <c r="V8759" s="25"/>
      <c r="W8759" s="25"/>
      <c r="X8759" s="25"/>
      <c r="Y8759" s="25"/>
      <c r="Z8759" s="25"/>
      <c r="AA8759" s="25"/>
    </row>
    <row r="8760" spans="1:27" x14ac:dyDescent="0.35">
      <c r="A8760" s="5">
        <v>8756</v>
      </c>
      <c r="B8760" s="5">
        <v>365</v>
      </c>
      <c r="C8760" s="5">
        <v>12</v>
      </c>
      <c r="D8760" s="25">
        <v>1.1416E-4</v>
      </c>
      <c r="E8760" s="25">
        <v>1.1344E-4</v>
      </c>
      <c r="F8760" s="25">
        <v>1.0747999999999999E-4</v>
      </c>
      <c r="G8760" s="25">
        <v>1.1099000000000001E-4</v>
      </c>
      <c r="H8760" s="25">
        <v>1.2405000000000001E-4</v>
      </c>
      <c r="I8760" s="9">
        <v>1.2871000000000001E-4</v>
      </c>
      <c r="J8760" s="9">
        <v>1.3705E-4</v>
      </c>
      <c r="K8760" s="9">
        <v>2.2465000000000001E-4</v>
      </c>
      <c r="L8760" s="9">
        <v>1.7618000000000001E-4</v>
      </c>
      <c r="M8760" s="9">
        <v>1.516E-4</v>
      </c>
      <c r="N8760" s="9">
        <v>1.2146000000000001E-4</v>
      </c>
      <c r="O8760" s="9">
        <v>1.2846E-4</v>
      </c>
      <c r="P8760" s="9">
        <v>1.1368E-4</v>
      </c>
      <c r="Q8760" s="9">
        <v>1.0084E-4</v>
      </c>
      <c r="R8760" s="10">
        <v>2.0155231809578953E-4</v>
      </c>
      <c r="S8760" s="10">
        <v>1.8945760422427993E-4</v>
      </c>
      <c r="T8760" s="10">
        <v>0</v>
      </c>
      <c r="U8760" s="10">
        <v>1.6206E-4</v>
      </c>
      <c r="V8760" s="25"/>
      <c r="W8760" s="25"/>
      <c r="X8760" s="25"/>
      <c r="Y8760" s="25"/>
      <c r="Z8760" s="25"/>
      <c r="AA8760" s="25"/>
    </row>
    <row r="8761" spans="1:27" x14ac:dyDescent="0.35">
      <c r="A8761" s="5">
        <v>8757</v>
      </c>
      <c r="B8761" s="5">
        <v>365</v>
      </c>
      <c r="C8761" s="5">
        <v>12</v>
      </c>
      <c r="D8761" s="25">
        <v>1.1415E-4</v>
      </c>
      <c r="E8761" s="25">
        <v>1.1212E-4</v>
      </c>
      <c r="F8761" s="25">
        <v>1.061E-4</v>
      </c>
      <c r="G8761" s="25">
        <v>6.0149999999999998E-5</v>
      </c>
      <c r="H8761" s="25">
        <v>6.4709999999999995E-5</v>
      </c>
      <c r="I8761" s="9">
        <v>1.2259E-4</v>
      </c>
      <c r="J8761" s="9">
        <v>1.3085000000000001E-4</v>
      </c>
      <c r="K8761" s="9">
        <v>2.2463999999999999E-4</v>
      </c>
      <c r="L8761" s="9">
        <v>1.3998E-4</v>
      </c>
      <c r="M8761" s="9">
        <v>1.3548999999999999E-4</v>
      </c>
      <c r="N8761" s="9">
        <v>1.1348E-4</v>
      </c>
      <c r="O8761" s="9">
        <v>8.4430000000000003E-5</v>
      </c>
      <c r="P8761" s="9">
        <v>8.564E-5</v>
      </c>
      <c r="Q8761" s="9">
        <v>8.763E-5</v>
      </c>
      <c r="R8761" s="10">
        <v>2.0784635566517283E-4</v>
      </c>
      <c r="S8761" s="10">
        <v>1.9019686512974546E-4</v>
      </c>
      <c r="T8761" s="10">
        <v>0</v>
      </c>
      <c r="U8761" s="10">
        <v>1.6206E-4</v>
      </c>
      <c r="V8761" s="25"/>
      <c r="W8761" s="25"/>
      <c r="X8761" s="25"/>
      <c r="Y8761" s="25"/>
      <c r="Z8761" s="25"/>
      <c r="AA8761" s="25"/>
    </row>
    <row r="8762" spans="1:27" x14ac:dyDescent="0.35">
      <c r="A8762" s="5">
        <v>8758</v>
      </c>
      <c r="B8762" s="5">
        <v>365</v>
      </c>
      <c r="C8762" s="5">
        <v>12</v>
      </c>
      <c r="D8762" s="25">
        <v>1.1416E-4</v>
      </c>
      <c r="E8762" s="25">
        <v>1.1333E-4</v>
      </c>
      <c r="F8762" s="25">
        <v>9.5539999999999997E-5</v>
      </c>
      <c r="G8762" s="25">
        <v>5.77E-5</v>
      </c>
      <c r="H8762" s="25">
        <v>6.3960000000000004E-5</v>
      </c>
      <c r="I8762" s="9">
        <v>1.1663999999999999E-4</v>
      </c>
      <c r="J8762" s="9">
        <v>1.2338E-4</v>
      </c>
      <c r="K8762" s="9">
        <v>2.3101E-4</v>
      </c>
      <c r="L8762" s="9">
        <v>9.7629999999999999E-5</v>
      </c>
      <c r="M8762" s="9">
        <v>1.1340000000000001E-4</v>
      </c>
      <c r="N8762" s="9">
        <v>1.0563E-4</v>
      </c>
      <c r="O8762" s="9">
        <v>8.7369999999999999E-5</v>
      </c>
      <c r="P8762" s="9">
        <v>8.7169999999999994E-5</v>
      </c>
      <c r="Q8762" s="9">
        <v>8.7810000000000001E-5</v>
      </c>
      <c r="R8762" s="10">
        <v>2.0952380597106276E-4</v>
      </c>
      <c r="S8762" s="10">
        <v>1.9029020759484994E-4</v>
      </c>
      <c r="T8762" s="10">
        <v>0</v>
      </c>
      <c r="U8762" s="10">
        <v>1.6206E-4</v>
      </c>
      <c r="V8762" s="25"/>
      <c r="W8762" s="25"/>
      <c r="X8762" s="25"/>
      <c r="Y8762" s="25"/>
      <c r="Z8762" s="25"/>
      <c r="AA8762" s="25"/>
    </row>
    <row r="8763" spans="1:27" x14ac:dyDescent="0.35">
      <c r="A8763" s="5">
        <v>8759</v>
      </c>
      <c r="B8763" s="5">
        <v>365</v>
      </c>
      <c r="C8763" s="5">
        <v>12</v>
      </c>
      <c r="D8763" s="25">
        <v>1.1416E-4</v>
      </c>
      <c r="E8763" s="25">
        <v>1.1121E-4</v>
      </c>
      <c r="F8763" s="25">
        <v>1.105E-4</v>
      </c>
      <c r="G8763" s="25">
        <v>5.219E-5</v>
      </c>
      <c r="H8763" s="25">
        <v>6.4649999999999999E-5</v>
      </c>
      <c r="I8763" s="9">
        <v>1.2013E-4</v>
      </c>
      <c r="J8763" s="9">
        <v>1.1573E-4</v>
      </c>
      <c r="K8763" s="9">
        <v>2.2041000000000001E-4</v>
      </c>
      <c r="L8763" s="9">
        <v>9.0569999999999995E-5</v>
      </c>
      <c r="M8763" s="9">
        <v>9.8549999999999997E-5</v>
      </c>
      <c r="N8763" s="9">
        <v>9.9640000000000001E-5</v>
      </c>
      <c r="O8763" s="9">
        <v>7.7990000000000004E-5</v>
      </c>
      <c r="P8763" s="9">
        <v>7.2009999999999997E-5</v>
      </c>
      <c r="Q8763" s="9">
        <v>6.6769999999999999E-5</v>
      </c>
      <c r="R8763" s="10">
        <v>2.0904616964501148E-4</v>
      </c>
      <c r="S8763" s="10">
        <v>1.9029020759484994E-4</v>
      </c>
      <c r="T8763" s="10">
        <v>0</v>
      </c>
      <c r="U8763" s="10">
        <v>1.6206E-4</v>
      </c>
      <c r="V8763" s="25"/>
      <c r="W8763" s="25"/>
      <c r="X8763" s="25"/>
      <c r="Y8763" s="25"/>
      <c r="Z8763" s="25"/>
      <c r="AA8763" s="25"/>
    </row>
    <row r="8764" spans="1:27" x14ac:dyDescent="0.35">
      <c r="A8764" s="5">
        <v>8760</v>
      </c>
      <c r="B8764" s="5">
        <v>365</v>
      </c>
      <c r="C8764" s="5">
        <v>12</v>
      </c>
      <c r="D8764" s="25">
        <v>1.1415E-4</v>
      </c>
      <c r="E8764" s="25">
        <v>1.0916000000000001E-4</v>
      </c>
      <c r="F8764" s="25">
        <v>1.015E-4</v>
      </c>
      <c r="G8764" s="25">
        <v>6.2030000000000001E-5</v>
      </c>
      <c r="H8764" s="25">
        <v>6.5149999999999998E-5</v>
      </c>
      <c r="I8764" s="9">
        <v>1.2217E-4</v>
      </c>
      <c r="J8764" s="9">
        <v>1.0914E-4</v>
      </c>
      <c r="K8764" s="9">
        <v>2.2666E-4</v>
      </c>
      <c r="L8764" s="9">
        <v>8.1149999999999994E-5</v>
      </c>
      <c r="M8764" s="9">
        <v>8.598E-5</v>
      </c>
      <c r="N8764" s="9">
        <v>9.0229999999999995E-5</v>
      </c>
      <c r="O8764" s="9">
        <v>6.2979999999999997E-5</v>
      </c>
      <c r="P8764" s="9">
        <v>6.1130000000000006E-5</v>
      </c>
      <c r="Q8764" s="9">
        <v>5.876E-5</v>
      </c>
      <c r="R8764" s="10">
        <v>2.1195205523632436E-4</v>
      </c>
      <c r="S8764" s="10">
        <v>1.9029019504088215E-4</v>
      </c>
      <c r="T8764" s="10">
        <v>0</v>
      </c>
      <c r="U8764" s="10">
        <v>1.620600000059591E-4</v>
      </c>
      <c r="V8764" s="25"/>
      <c r="W8764" s="25"/>
      <c r="X8764" s="25"/>
      <c r="Y8764" s="25"/>
      <c r="Z8764" s="25"/>
      <c r="AA8764" s="25"/>
    </row>
  </sheetData>
  <mergeCells count="1">
    <mergeCell ref="A4:C4"/>
  </mergeCells>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B9590E-1C44-4DC9-8E61-58CD3C6929DE}">
  <sheetPr>
    <tabColor rgb="FF0070C0"/>
  </sheetPr>
  <dimension ref="A1:J406"/>
  <sheetViews>
    <sheetView topLeftCell="A19" zoomScale="70" zoomScaleNormal="70" workbookViewId="0">
      <selection activeCell="J61" sqref="J61"/>
    </sheetView>
  </sheetViews>
  <sheetFormatPr defaultColWidth="8.54296875" defaultRowHeight="14.5" x14ac:dyDescent="0.35"/>
  <cols>
    <col min="1" max="1" width="16.90625" style="1" customWidth="1"/>
    <col min="2" max="2" width="96.453125" style="1" bestFit="1" customWidth="1"/>
    <col min="3" max="3" width="11.453125" style="1" bestFit="1" customWidth="1"/>
    <col min="4" max="4" width="18.54296875" style="1" bestFit="1" customWidth="1"/>
    <col min="5" max="5" width="18.453125" style="1" bestFit="1" customWidth="1"/>
    <col min="6" max="6" width="18.453125" style="1" customWidth="1"/>
    <col min="7" max="7" width="6.453125" style="1" bestFit="1" customWidth="1"/>
    <col min="8" max="8" width="16.54296875" style="1" bestFit="1" customWidth="1"/>
    <col min="9" max="9" width="22.54296875" style="1" bestFit="1" customWidth="1"/>
    <col min="10" max="10" width="13.54296875" style="1" bestFit="1" customWidth="1"/>
    <col min="11" max="16384" width="8.54296875" style="1"/>
  </cols>
  <sheetData>
    <row r="1" spans="1:10" x14ac:dyDescent="0.35">
      <c r="A1" s="2"/>
      <c r="B1" s="2"/>
      <c r="C1" s="2"/>
      <c r="D1" s="2"/>
      <c r="E1" s="2"/>
      <c r="F1" s="2"/>
      <c r="G1" s="2"/>
      <c r="H1" s="2"/>
      <c r="I1" s="2"/>
      <c r="J1" s="2"/>
    </row>
    <row r="2" spans="1:10" x14ac:dyDescent="0.35">
      <c r="A2" s="423" t="s">
        <v>556</v>
      </c>
      <c r="B2" s="423"/>
      <c r="C2" s="423"/>
      <c r="D2" s="32" t="s">
        <v>1862</v>
      </c>
      <c r="E2" s="32" t="s">
        <v>1888</v>
      </c>
      <c r="F2" s="32" t="s">
        <v>1889</v>
      </c>
      <c r="G2" s="32"/>
      <c r="H2" s="204" t="s">
        <v>1890</v>
      </c>
      <c r="I2" s="50" t="s">
        <v>1891</v>
      </c>
      <c r="J2" s="77" t="s">
        <v>17</v>
      </c>
    </row>
    <row r="3" spans="1:10" x14ac:dyDescent="0.35">
      <c r="A3" s="46" t="s">
        <v>575</v>
      </c>
      <c r="B3" s="46" t="s">
        <v>578</v>
      </c>
      <c r="C3" s="46" t="s">
        <v>572</v>
      </c>
      <c r="D3" s="52"/>
      <c r="E3" s="52" t="s">
        <v>314</v>
      </c>
      <c r="F3" s="52" t="s">
        <v>315</v>
      </c>
      <c r="G3" s="52" t="s">
        <v>291</v>
      </c>
      <c r="H3" s="53" t="s">
        <v>652</v>
      </c>
      <c r="I3" s="205" t="s">
        <v>313</v>
      </c>
      <c r="J3" s="78" t="s">
        <v>26</v>
      </c>
    </row>
    <row r="4" spans="1:10" x14ac:dyDescent="0.35">
      <c r="A4" s="5" t="str">
        <f>VLOOKUP(C4,Technologies!$A$7:$G$505,2,FALSE)</f>
        <v>Industrie</v>
      </c>
      <c r="B4" s="5" t="str">
        <f>VLOOKUP(C4,Technologies!$A$7:$G$505,7,FALSE)</f>
        <v>Blast furnace BOF - Steel Production</v>
      </c>
      <c r="C4" s="5" t="s">
        <v>739</v>
      </c>
      <c r="D4" s="54" t="s">
        <v>468</v>
      </c>
      <c r="E4" s="54">
        <f>VLOOKUP(D4,Activities!$A$8:$P$180,16,FALSE)</f>
        <v>9.8299999999999998E-2</v>
      </c>
      <c r="F4" s="54">
        <f>1-VLOOKUP(D4,Activities!$A$8:$Q$180,17,FALSE)</f>
        <v>1</v>
      </c>
      <c r="G4" s="54" t="str">
        <f>VLOOKUP(D4,Activities!$A$9:$Q$180,2,FALSE)</f>
        <v>[PJ]</v>
      </c>
      <c r="H4" s="125">
        <v>-0.65</v>
      </c>
      <c r="I4" s="112">
        <v>1</v>
      </c>
      <c r="J4" s="79"/>
    </row>
    <row r="5" spans="1:10" x14ac:dyDescent="0.35">
      <c r="A5" s="6" t="str">
        <f>VLOOKUP(C5,Technologies!$A$7:$G$505,2,FALSE)</f>
        <v>Industrie</v>
      </c>
      <c r="B5" s="6" t="str">
        <f>VLOOKUP(C5,Technologies!$A$7:$G$505,7,FALSE)</f>
        <v>Blast furnace BOF wCCUS (end-of-pipe) - Steel Production</v>
      </c>
      <c r="C5" s="6" t="s">
        <v>747</v>
      </c>
      <c r="D5" s="9" t="s">
        <v>468</v>
      </c>
      <c r="E5" s="9">
        <f>VLOOKUP(D5,Activities!$A$8:$P$180,16,FALSE)</f>
        <v>9.8299999999999998E-2</v>
      </c>
      <c r="F5" s="9">
        <f>1-VLOOKUP(D5,Activities!$A$8:$Q$180,17,FALSE)</f>
        <v>1</v>
      </c>
      <c r="G5" s="9" t="str">
        <f>VLOOKUP(D5,Activities!$A$9:$Q$180,2,FALSE)</f>
        <v>[PJ]</v>
      </c>
      <c r="H5" s="134">
        <v>-0.65</v>
      </c>
      <c r="I5" s="113">
        <v>1</v>
      </c>
      <c r="J5" s="80"/>
    </row>
    <row r="6" spans="1:10" x14ac:dyDescent="0.35">
      <c r="A6" s="5" t="str">
        <f>VLOOKUP(C6,Technologies!$A$7:$G$505,2,FALSE)</f>
        <v>Industrie</v>
      </c>
      <c r="B6" s="5" t="str">
        <f>VLOOKUP(C6,Technologies!$A$7:$G$505,7,FALSE)</f>
        <v>Blast furnace BOF with top gas recycling wCCUS (end-of-pipe) - Steel Production</v>
      </c>
      <c r="C6" s="5" t="s">
        <v>749</v>
      </c>
      <c r="D6" s="54" t="s">
        <v>468</v>
      </c>
      <c r="E6" s="54">
        <f>VLOOKUP(D6,Activities!$A$8:$P$180,16,FALSE)</f>
        <v>9.8299999999999998E-2</v>
      </c>
      <c r="F6" s="54">
        <f>1-VLOOKUP(D6,Activities!$A$8:$Q$180,17,FALSE)</f>
        <v>1</v>
      </c>
      <c r="G6" s="54" t="str">
        <f>VLOOKUP(D6,Activities!$A$9:$Q$180,2,FALSE)</f>
        <v>[PJ]</v>
      </c>
      <c r="H6" s="125">
        <v>-0.65</v>
      </c>
      <c r="I6" s="112">
        <v>1</v>
      </c>
      <c r="J6" s="79"/>
    </row>
    <row r="7" spans="1:10" x14ac:dyDescent="0.35">
      <c r="A7" s="6" t="str">
        <f>VLOOKUP(C7,Technologies!$A$7:$G$505,2,FALSE)</f>
        <v>Industrie</v>
      </c>
      <c r="B7" s="6" t="str">
        <f>VLOOKUP(C7,Technologies!$A$7:$G$505,7,FALSE)</f>
        <v>Hisarna - Steel Production</v>
      </c>
      <c r="C7" s="6" t="s">
        <v>751</v>
      </c>
      <c r="D7" s="9" t="s">
        <v>468</v>
      </c>
      <c r="E7" s="9">
        <f>VLOOKUP(D7,Activities!$A$8:$P$180,16,FALSE)</f>
        <v>9.8299999999999998E-2</v>
      </c>
      <c r="F7" s="9">
        <f>1-VLOOKUP(D7,Activities!$A$8:$Q$180,17,FALSE)</f>
        <v>1</v>
      </c>
      <c r="G7" s="9" t="str">
        <f>VLOOKUP(D7,Activities!$A$9:$Q$180,2,FALSE)</f>
        <v>[PJ]</v>
      </c>
      <c r="H7" s="134">
        <v>-0.65</v>
      </c>
      <c r="I7" s="113">
        <v>1</v>
      </c>
      <c r="J7" s="80"/>
    </row>
    <row r="8" spans="1:10" x14ac:dyDescent="0.35">
      <c r="A8" s="5" t="str">
        <f>VLOOKUP(C8,Technologies!$A$7:$G$505,2,FALSE)</f>
        <v>Industrie</v>
      </c>
      <c r="B8" s="5" t="str">
        <f>VLOOKUP(C8,Technologies!$A$7:$G$505,7,FALSE)</f>
        <v>Hisarna wCCUS (cryogenic) - Steel Production</v>
      </c>
      <c r="C8" s="5" t="s">
        <v>753</v>
      </c>
      <c r="D8" s="54" t="s">
        <v>468</v>
      </c>
      <c r="E8" s="54">
        <f>VLOOKUP(D8,Activities!$A$8:$P$180,16,FALSE)</f>
        <v>9.8299999999999998E-2</v>
      </c>
      <c r="F8" s="54">
        <f>1-VLOOKUP(D8,Activities!$A$8:$Q$180,17,FALSE)</f>
        <v>1</v>
      </c>
      <c r="G8" s="54" t="str">
        <f>VLOOKUP(D8,Activities!$A$9:$Q$180,2,FALSE)</f>
        <v>[PJ]</v>
      </c>
      <c r="H8" s="125">
        <v>-0.65</v>
      </c>
      <c r="I8" s="112">
        <v>1</v>
      </c>
      <c r="J8" s="79"/>
    </row>
    <row r="9" spans="1:10" x14ac:dyDescent="0.35">
      <c r="A9" s="6" t="str">
        <f>VLOOKUP(C9,Technologies!$A$7:$G$505,2,FALSE)</f>
        <v>Industrie</v>
      </c>
      <c r="B9" s="6" t="str">
        <f>VLOOKUP(C9,Technologies!$A$7:$G$505,7,FALSE)</f>
        <v>Hisarna biomass wCCUS (cryogenic) - Steel Production</v>
      </c>
      <c r="C9" s="6" t="s">
        <v>755</v>
      </c>
      <c r="D9" s="9" t="s">
        <v>504</v>
      </c>
      <c r="E9" s="9">
        <f>VLOOKUP(D9,Activities!$A$8:$P$180,16,FALSE)</f>
        <v>0.1096</v>
      </c>
      <c r="F9" s="9">
        <f>1-VLOOKUP(D9,Activities!$A$8:$Q$180,17,FALSE)</f>
        <v>0</v>
      </c>
      <c r="G9" s="9" t="str">
        <f>VLOOKUP(D9,Activities!$A$9:$Q$180,2,FALSE)</f>
        <v>[PJ]</v>
      </c>
      <c r="H9" s="134">
        <v>-0.7</v>
      </c>
      <c r="I9" s="113">
        <v>1</v>
      </c>
      <c r="J9" s="80"/>
    </row>
    <row r="10" spans="1:10" x14ac:dyDescent="0.35">
      <c r="A10" s="5" t="str">
        <f>VLOOKUP(C10,Technologies!$A$7:$G$505,2,FALSE)</f>
        <v>Industrie</v>
      </c>
      <c r="B10" s="5" t="str">
        <f>VLOOKUP(C10,Technologies!$A$7:$G$505,7,FALSE)</f>
        <v>Direct reduction from natural gas - Steel Production</v>
      </c>
      <c r="C10" s="5" t="s">
        <v>757</v>
      </c>
      <c r="D10" s="54" t="s">
        <v>468</v>
      </c>
      <c r="E10" s="54">
        <f>VLOOKUP(D10,Activities!$A$8:$P$180,16,FALSE)</f>
        <v>9.8299999999999998E-2</v>
      </c>
      <c r="F10" s="54">
        <f>1-VLOOKUP(D10,Activities!$A$8:$Q$180,17,FALSE)</f>
        <v>1</v>
      </c>
      <c r="G10" s="54" t="str">
        <f>VLOOKUP(D10,Activities!$A$9:$Q$180,2,FALSE)</f>
        <v>[PJ]</v>
      </c>
      <c r="H10" s="125">
        <v>-0.65</v>
      </c>
      <c r="I10" s="112">
        <v>1</v>
      </c>
      <c r="J10" s="79"/>
    </row>
    <row r="11" spans="1:10" x14ac:dyDescent="0.35">
      <c r="A11" s="6" t="str">
        <f>VLOOKUP(C11,Technologies!$A$7:$G$505,2,FALSE)</f>
        <v>Industrie</v>
      </c>
      <c r="B11" s="6" t="str">
        <f>VLOOKUP(C11,Technologies!$A$7:$G$505,7,FALSE)</f>
        <v>Direct reduction from hydrogen  - Steel Production</v>
      </c>
      <c r="C11" s="6" t="s">
        <v>759</v>
      </c>
      <c r="D11" s="9" t="s">
        <v>468</v>
      </c>
      <c r="E11" s="9">
        <f>VLOOKUP(D11,Activities!$A$8:$P$180,16,FALSE)</f>
        <v>9.8299999999999998E-2</v>
      </c>
      <c r="F11" s="9">
        <f>1-VLOOKUP(D11,Activities!$A$8:$Q$180,17,FALSE)</f>
        <v>1</v>
      </c>
      <c r="G11" s="9" t="str">
        <f>VLOOKUP(D11,Activities!$A$9:$Q$180,2,FALSE)</f>
        <v>[PJ]</v>
      </c>
      <c r="H11" s="134">
        <v>-0.65</v>
      </c>
      <c r="I11" s="113">
        <v>1</v>
      </c>
      <c r="J11" s="80"/>
    </row>
    <row r="12" spans="1:10" x14ac:dyDescent="0.35">
      <c r="A12" s="5" t="str">
        <f>VLOOKUP(C12,Technologies!$A$7:$G$505,2,FALSE)</f>
        <v>Industrie</v>
      </c>
      <c r="B12" s="5" t="str">
        <f>VLOOKUP(C12,Technologies!$A$7:$G$505,7,FALSE)</f>
        <v>Direct reduction from hydrogen w/biomass - Steel Production</v>
      </c>
      <c r="C12" s="5" t="s">
        <v>761</v>
      </c>
      <c r="D12" s="54" t="s">
        <v>504</v>
      </c>
      <c r="E12" s="54">
        <f>VLOOKUP(D12,Activities!$A$8:$P$180,16,FALSE)</f>
        <v>0.1096</v>
      </c>
      <c r="F12" s="54">
        <f>1-VLOOKUP(D12,Activities!$A$8:$Q$180,17,FALSE)</f>
        <v>0</v>
      </c>
      <c r="G12" s="54" t="str">
        <f>VLOOKUP(D12,Activities!$A$9:$Q$180,2,FALSE)</f>
        <v>[PJ]</v>
      </c>
      <c r="H12" s="125">
        <v>-0.7</v>
      </c>
      <c r="I12" s="112">
        <v>1</v>
      </c>
      <c r="J12" s="79"/>
    </row>
    <row r="13" spans="1:10" x14ac:dyDescent="0.35">
      <c r="A13" s="6" t="str">
        <f>VLOOKUP(C13,Technologies!$A$7:$G$505,2,FALSE)</f>
        <v>Industrie</v>
      </c>
      <c r="B13" s="6" t="str">
        <f>VLOOKUP(C13,Technologies!$A$7:$G$505,7,FALSE)</f>
        <v>Low temperature electro winning (ULCOWIN) - Steel Production</v>
      </c>
      <c r="C13" s="6" t="s">
        <v>763</v>
      </c>
      <c r="D13" s="9" t="s">
        <v>504</v>
      </c>
      <c r="E13" s="9">
        <f>VLOOKUP(D13,Activities!$A$8:$P$180,16,FALSE)</f>
        <v>0.1096</v>
      </c>
      <c r="F13" s="9">
        <f>1-VLOOKUP(D13,Activities!$A$8:$Q$180,17,FALSE)</f>
        <v>0</v>
      </c>
      <c r="G13" s="9" t="str">
        <f>VLOOKUP(D13,Activities!$A$9:$Q$180,2,FALSE)</f>
        <v>[PJ]</v>
      </c>
      <c r="H13" s="134">
        <v>-0.7</v>
      </c>
      <c r="I13" s="113">
        <v>1</v>
      </c>
      <c r="J13" s="80"/>
    </row>
    <row r="14" spans="1:10" x14ac:dyDescent="0.35">
      <c r="A14" s="5" t="str">
        <f>VLOOKUP(C14,Technologies!$A$7:$G$505,2,FALSE)</f>
        <v>Industrie</v>
      </c>
      <c r="B14" s="5" t="str">
        <f>VLOOKUP(C14,Technologies!$A$7:$G$505,7,FALSE)</f>
        <v>High temperature electro winning - Steel Production</v>
      </c>
      <c r="C14" s="5" t="s">
        <v>767</v>
      </c>
      <c r="D14" s="54" t="s">
        <v>504</v>
      </c>
      <c r="E14" s="54">
        <f>VLOOKUP(D14,Activities!$A$8:$P$180,16,FALSE)</f>
        <v>0.1096</v>
      </c>
      <c r="F14" s="54">
        <f>1-VLOOKUP(D14,Activities!$A$8:$Q$180,17,FALSE)</f>
        <v>0</v>
      </c>
      <c r="G14" s="54" t="str">
        <f>VLOOKUP(D14,Activities!$A$9:$Q$180,2,FALSE)</f>
        <v>[PJ]</v>
      </c>
      <c r="H14" s="125">
        <v>-0.7</v>
      </c>
      <c r="I14" s="112">
        <v>1</v>
      </c>
      <c r="J14" s="79"/>
    </row>
    <row r="15" spans="1:10" x14ac:dyDescent="0.35">
      <c r="A15" s="6" t="str">
        <f>VLOOKUP(C15,Technologies!$A$7:$G$505,2,FALSE)</f>
        <v>Industrie</v>
      </c>
      <c r="B15" s="6" t="str">
        <f>VLOOKUP(C15,Technologies!$A$7:$G$505,7,FALSE)</f>
        <v>Scrap-fed EAF - Steel Production</v>
      </c>
      <c r="C15" s="6" t="s">
        <v>769</v>
      </c>
      <c r="D15" s="9" t="s">
        <v>468</v>
      </c>
      <c r="E15" s="9">
        <f>VLOOKUP(D15,Activities!$A$8:$P$180,16,FALSE)</f>
        <v>9.8299999999999998E-2</v>
      </c>
      <c r="F15" s="9">
        <f>1-VLOOKUP(D15,Activities!$A$8:$Q$180,17,FALSE)</f>
        <v>1</v>
      </c>
      <c r="G15" s="9" t="str">
        <f>VLOOKUP(D15,Activities!$A$9:$Q$180,2,FALSE)</f>
        <v>[PJ]</v>
      </c>
      <c r="H15" s="134">
        <v>-0.72</v>
      </c>
      <c r="I15" s="113">
        <v>1</v>
      </c>
      <c r="J15" s="80"/>
    </row>
    <row r="16" spans="1:10" x14ac:dyDescent="0.35">
      <c r="A16" s="5" t="str">
        <f>VLOOKUP(C16,Technologies!$A$7:$G$505,2,FALSE)</f>
        <v>Industrie</v>
      </c>
      <c r="B16" s="5" t="str">
        <f>VLOOKUP(C16,Technologies!$A$7:$G$505,7,FALSE)</f>
        <v>Scrap-fed EAF with syngas fuel - Steel Production</v>
      </c>
      <c r="C16" s="5" t="s">
        <v>771</v>
      </c>
      <c r="D16" s="54" t="s">
        <v>468</v>
      </c>
      <c r="E16" s="54">
        <f>VLOOKUP(D16,Activities!$A$8:$P$180,16,FALSE)</f>
        <v>9.8299999999999998E-2</v>
      </c>
      <c r="F16" s="54">
        <f>1-VLOOKUP(D16,Activities!$A$8:$Q$180,17,FALSE)</f>
        <v>1</v>
      </c>
      <c r="G16" s="54" t="str">
        <f>VLOOKUP(D16,Activities!$A$9:$Q$180,2,FALSE)</f>
        <v>[PJ]</v>
      </c>
      <c r="H16" s="125">
        <v>-0.72</v>
      </c>
      <c r="I16" s="112">
        <v>1</v>
      </c>
      <c r="J16" s="79"/>
    </row>
    <row r="17" spans="1:10" x14ac:dyDescent="0.35">
      <c r="A17" s="6" t="str">
        <f>VLOOKUP(C17,Technologies!$A$7:$G$505,2,FALSE)</f>
        <v>Industrie</v>
      </c>
      <c r="B17" s="6" t="str">
        <f>VLOOKUP(C17,Technologies!$A$7:$G$505,7,FALSE)</f>
        <v>DRI-fed EAF - Steel Production</v>
      </c>
      <c r="C17" s="6" t="s">
        <v>773</v>
      </c>
      <c r="D17" s="9" t="s">
        <v>468</v>
      </c>
      <c r="E17" s="9">
        <f>VLOOKUP(D17,Activities!$A$8:$P$180,16,FALSE)</f>
        <v>9.8299999999999998E-2</v>
      </c>
      <c r="F17" s="9">
        <f>1-VLOOKUP(D17,Activities!$A$8:$Q$180,17,FALSE)</f>
        <v>1</v>
      </c>
      <c r="G17" s="9" t="str">
        <f>VLOOKUP(D17,Activities!$A$9:$Q$180,2,FALSE)</f>
        <v>[PJ]</v>
      </c>
      <c r="H17" s="134">
        <v>-0.72</v>
      </c>
      <c r="I17" s="113">
        <v>1</v>
      </c>
      <c r="J17" s="80"/>
    </row>
    <row r="18" spans="1:10" x14ac:dyDescent="0.35">
      <c r="A18" s="5" t="str">
        <f>VLOOKUP(C18,Technologies!$A$7:$G$505,2,FALSE)</f>
        <v>Industrie</v>
      </c>
      <c r="B18" s="5" t="str">
        <f>VLOOKUP(C18,Technologies!$A$7:$G$505,7,FALSE)</f>
        <v>DRI-fed EAF with syngas fuel - Steel Production</v>
      </c>
      <c r="C18" s="5" t="s">
        <v>775</v>
      </c>
      <c r="D18" s="54" t="s">
        <v>468</v>
      </c>
      <c r="E18" s="54">
        <f>VLOOKUP(D18,Activities!$A$8:$P$180,16,FALSE)</f>
        <v>9.8299999999999998E-2</v>
      </c>
      <c r="F18" s="54">
        <f>1-VLOOKUP(D18,Activities!$A$8:$Q$180,17,FALSE)</f>
        <v>1</v>
      </c>
      <c r="G18" s="54" t="str">
        <f>VLOOKUP(D18,Activities!$A$9:$Q$180,2,FALSE)</f>
        <v>[PJ]</v>
      </c>
      <c r="H18" s="125">
        <v>-0.72</v>
      </c>
      <c r="I18" s="112">
        <v>1</v>
      </c>
      <c r="J18" s="79"/>
    </row>
    <row r="19" spans="1:10" x14ac:dyDescent="0.35">
      <c r="A19" s="6" t="str">
        <f>VLOOKUP(C19,Technologies!$A$7:$G$505,2,FALSE)</f>
        <v>Industrie</v>
      </c>
      <c r="B19" s="6" t="str">
        <f>VLOOKUP(C19,Technologies!$A$7:$G$505,7,FALSE)</f>
        <v>DRI-fed EAF with syngas fuel and biomass reducing agent - Steel Production</v>
      </c>
      <c r="C19" s="6" t="s">
        <v>777</v>
      </c>
      <c r="D19" s="9" t="s">
        <v>504</v>
      </c>
      <c r="E19" s="9">
        <f>VLOOKUP(D19,Activities!$A$8:$P$180,16,FALSE)</f>
        <v>0.1096</v>
      </c>
      <c r="F19" s="9">
        <f>1-VLOOKUP(D19,Activities!$A$8:$Q$180,17,FALSE)</f>
        <v>0</v>
      </c>
      <c r="G19" s="9" t="str">
        <f>VLOOKUP(D19,Activities!$A$9:$Q$180,2,FALSE)</f>
        <v>[PJ]</v>
      </c>
      <c r="H19" s="134">
        <v>-7.35</v>
      </c>
      <c r="I19" s="113">
        <v>1</v>
      </c>
      <c r="J19" s="80"/>
    </row>
    <row r="20" spans="1:10" x14ac:dyDescent="0.35">
      <c r="A20" s="6" t="str">
        <f>VLOOKUP(C20,Technologies!$A$7:$G$505,2,FALSE)</f>
        <v>Industrie</v>
      </c>
      <c r="B20" s="6" t="str">
        <f>VLOOKUP(C20,Technologies!$A$7:$G$505,7,FALSE)</f>
        <v>Existing naphtha steam cracker - Petrochemical industry</v>
      </c>
      <c r="C20" s="6" t="s">
        <v>787</v>
      </c>
      <c r="D20" s="9" t="s">
        <v>472</v>
      </c>
      <c r="E20" s="9">
        <f>VLOOKUP(D20,Activities!$A$8:$P$180,16,FALSE)</f>
        <v>7.0999999999999994E-2</v>
      </c>
      <c r="F20" s="9">
        <f>1-VLOOKUP(D20,Activities!$A$8:$Q$180,17,FALSE)</f>
        <v>1</v>
      </c>
      <c r="G20" s="9" t="str">
        <f>VLOOKUP(D20,Activities!$A$9:$Q$180,2,FALSE)</f>
        <v>[PJ]</v>
      </c>
      <c r="H20" s="206">
        <f>EnergyBalance!DT54*0.8475</f>
        <v>-125.58663366336633</v>
      </c>
      <c r="I20" s="113">
        <v>1</v>
      </c>
      <c r="J20" s="80"/>
    </row>
    <row r="21" spans="1:10" x14ac:dyDescent="0.35">
      <c r="A21" s="5" t="str">
        <f>VLOOKUP(C21,Technologies!$A$7:$G$505,2,FALSE)</f>
        <v>Industrie</v>
      </c>
      <c r="B21" s="5" t="str">
        <f>VLOOKUP(C21,Technologies!$A$7:$G$505,7,FALSE)</f>
        <v>Existing naphtha steam cracker wCCUS (MEA postcombustion) - Petrochemical industry</v>
      </c>
      <c r="C21" s="5" t="s">
        <v>793</v>
      </c>
      <c r="D21" s="9" t="s">
        <v>472</v>
      </c>
      <c r="E21" s="54">
        <f>VLOOKUP(D21,Activities!$A$8:$P$180,16,FALSE)</f>
        <v>7.0999999999999994E-2</v>
      </c>
      <c r="F21" s="54">
        <f>1-VLOOKUP(D21,Activities!$A$8:$Q$180,17,FALSE)</f>
        <v>1</v>
      </c>
      <c r="G21" s="54" t="str">
        <f>VLOOKUP(D21,Activities!$A$9:$Q$180,2,FALSE)</f>
        <v>[PJ]</v>
      </c>
      <c r="H21" s="206">
        <f>H20</f>
        <v>-125.58663366336633</v>
      </c>
      <c r="I21" s="112">
        <v>1</v>
      </c>
      <c r="J21" s="79"/>
    </row>
    <row r="22" spans="1:10" x14ac:dyDescent="0.35">
      <c r="A22" s="5" t="str">
        <f>VLOOKUP(C22,Technologies!$A$7:$G$505,2,FALSE)</f>
        <v>Industrie</v>
      </c>
      <c r="B22" s="5" t="str">
        <f>VLOOKUP(C22,Technologies!$A$7:$G$505,7,FALSE)</f>
        <v>Existing bio-naphtha steam cracker wCCUS (MEA postcombustion) - Petrochemical industry</v>
      </c>
      <c r="C22" s="5" t="s">
        <v>795</v>
      </c>
      <c r="D22" s="54" t="s">
        <v>477</v>
      </c>
      <c r="E22" s="54">
        <f>VLOOKUP(D22,Activities!$A$8:$P$180,16,FALSE)</f>
        <v>7.0999999999999994E-2</v>
      </c>
      <c r="F22" s="54">
        <f>1-VLOOKUP(D22,Activities!$A$8:$Q$180,17,FALSE)</f>
        <v>0</v>
      </c>
      <c r="G22" s="54" t="str">
        <f>VLOOKUP(D22,Activities!$A$9:$Q$180,2,FALSE)</f>
        <v>[PJ]</v>
      </c>
      <c r="H22" s="206">
        <f>H21</f>
        <v>-125.58663366336633</v>
      </c>
      <c r="I22" s="112">
        <v>1</v>
      </c>
      <c r="J22" s="79"/>
    </row>
    <row r="23" spans="1:10" x14ac:dyDescent="0.35">
      <c r="A23" s="6" t="str">
        <f>VLOOKUP(C23,Technologies!$A$7:$G$505,2,FALSE)</f>
        <v>Industrie</v>
      </c>
      <c r="B23" s="6" t="str">
        <f>VLOOKUP(C23,Technologies!$A$7:$G$505,7,FALSE)</f>
        <v>Existing syn-naphtha steam cracker wCCUS (MEA postcombustion) - Petrochemical industry</v>
      </c>
      <c r="C23" s="6" t="s">
        <v>797</v>
      </c>
      <c r="D23" s="9" t="s">
        <v>483</v>
      </c>
      <c r="E23" s="9">
        <f>VLOOKUP(D23,Activities!$A$8:$P$180,16,FALSE)</f>
        <v>7.0999999999999994E-2</v>
      </c>
      <c r="F23" s="9">
        <f>1-VLOOKUP(D23,Activities!$A$8:$Q$180,17,FALSE)</f>
        <v>1</v>
      </c>
      <c r="G23" s="9" t="str">
        <f>VLOOKUP(D23,Activities!$A$9:$Q$180,2,FALSE)</f>
        <v>[PJ]</v>
      </c>
      <c r="H23" s="206">
        <f>H22</f>
        <v>-125.58663366336633</v>
      </c>
      <c r="I23" s="113">
        <v>1</v>
      </c>
      <c r="J23" s="80"/>
    </row>
    <row r="24" spans="1:10" x14ac:dyDescent="0.35">
      <c r="A24" s="6" t="str">
        <f>VLOOKUP(C24,Technologies!$A$7:$G$505,2,FALSE)</f>
        <v>Industrie</v>
      </c>
      <c r="B24" s="6" t="str">
        <f>VLOOKUP(C24,Technologies!$A$7:$G$505,7,FALSE)</f>
        <v>Electrified naphtha steam cracker - Petrochemical industry</v>
      </c>
      <c r="C24" s="6" t="s">
        <v>799</v>
      </c>
      <c r="D24" s="9" t="s">
        <v>472</v>
      </c>
      <c r="E24" s="9">
        <f>VLOOKUP(D24,Activities!$A$8:$P$180,16,FALSE)</f>
        <v>7.0999999999999994E-2</v>
      </c>
      <c r="F24" s="9">
        <f>1-VLOOKUP(D24,Activities!$A$8:$Q$180,17,FALSE)</f>
        <v>1</v>
      </c>
      <c r="G24" s="9" t="str">
        <f>VLOOKUP(D24,Activities!$A$9:$Q$180,2,FALSE)</f>
        <v>[PJ]</v>
      </c>
      <c r="H24" s="206">
        <f>H23</f>
        <v>-125.58663366336633</v>
      </c>
      <c r="I24" s="113">
        <v>1</v>
      </c>
      <c r="J24" s="80"/>
    </row>
    <row r="25" spans="1:10" x14ac:dyDescent="0.35">
      <c r="A25" s="5" t="str">
        <f>VLOOKUP(C25,Technologies!$A$7:$G$505,2,FALSE)</f>
        <v>Industrie</v>
      </c>
      <c r="B25" s="5" t="str">
        <f>VLOOKUP(C25,Technologies!$A$7:$G$505,7,FALSE)</f>
        <v>Electrified bio-naphtha steam cracker - Petrochemical industry</v>
      </c>
      <c r="C25" s="5" t="s">
        <v>801</v>
      </c>
      <c r="D25" s="54" t="s">
        <v>477</v>
      </c>
      <c r="E25" s="54">
        <f>VLOOKUP(D25,Activities!$A$8:$P$180,16,FALSE)</f>
        <v>7.0999999999999994E-2</v>
      </c>
      <c r="F25" s="54">
        <f>1-VLOOKUP(D25,Activities!$A$8:$Q$180,17,FALSE)</f>
        <v>0</v>
      </c>
      <c r="G25" s="54" t="str">
        <f>VLOOKUP(D25,Activities!$A$9:$Q$180,2,FALSE)</f>
        <v>[PJ]</v>
      </c>
      <c r="H25" s="206">
        <f t="shared" ref="H25:H29" si="0">H24</f>
        <v>-125.58663366336633</v>
      </c>
      <c r="I25" s="112">
        <v>1</v>
      </c>
      <c r="J25" s="79"/>
    </row>
    <row r="26" spans="1:10" x14ac:dyDescent="0.35">
      <c r="A26" s="6" t="str">
        <f>VLOOKUP(C26,Technologies!$A$7:$G$505,2,FALSE)</f>
        <v>Industrie</v>
      </c>
      <c r="B26" s="6" t="str">
        <f>VLOOKUP(C26,Technologies!$A$7:$G$505,7,FALSE)</f>
        <v>Electrified syn-naphtha steam cracker - Petrochemical industry</v>
      </c>
      <c r="C26" s="6" t="s">
        <v>803</v>
      </c>
      <c r="D26" s="9" t="s">
        <v>483</v>
      </c>
      <c r="E26" s="9">
        <f>VLOOKUP(D26,Activities!$A$8:$P$180,16,FALSE)</f>
        <v>7.0999999999999994E-2</v>
      </c>
      <c r="F26" s="9">
        <f>1-VLOOKUP(D26,Activities!$A$8:$Q$180,17,FALSE)</f>
        <v>1</v>
      </c>
      <c r="G26" s="9" t="str">
        <f>VLOOKUP(D26,Activities!$A$9:$Q$180,2,FALSE)</f>
        <v>[PJ]</v>
      </c>
      <c r="H26" s="206">
        <f t="shared" si="0"/>
        <v>-125.58663366336633</v>
      </c>
      <c r="I26" s="113">
        <v>1</v>
      </c>
      <c r="J26" s="80"/>
    </row>
    <row r="27" spans="1:10" x14ac:dyDescent="0.35">
      <c r="A27" s="6" t="str">
        <f>VLOOKUP(C27,Technologies!$A$7:$G$505,2,FALSE)</f>
        <v>Industrie</v>
      </c>
      <c r="B27" s="6" t="str">
        <f>VLOOKUP(C27,Technologies!$A$7:$G$505,7,FALSE)</f>
        <v>Hydrogen fueled naphtha steam cracker - Petrochemical industry</v>
      </c>
      <c r="C27" s="6" t="s">
        <v>805</v>
      </c>
      <c r="D27" s="9" t="s">
        <v>472</v>
      </c>
      <c r="E27" s="9">
        <f>VLOOKUP(D27,Activities!$A$8:$P$180,16,FALSE)</f>
        <v>7.0999999999999994E-2</v>
      </c>
      <c r="F27" s="9">
        <f>1-VLOOKUP(D27,Activities!$A$8:$Q$180,17,FALSE)</f>
        <v>1</v>
      </c>
      <c r="G27" s="9" t="str">
        <f>VLOOKUP(D27,Activities!$A$9:$Q$180,2,FALSE)</f>
        <v>[PJ]</v>
      </c>
      <c r="H27" s="206">
        <f t="shared" si="0"/>
        <v>-125.58663366336633</v>
      </c>
      <c r="I27" s="113">
        <v>1</v>
      </c>
      <c r="J27" s="80"/>
    </row>
    <row r="28" spans="1:10" x14ac:dyDescent="0.35">
      <c r="A28" s="5" t="str">
        <f>VLOOKUP(C28,Technologies!$A$7:$G$505,2,FALSE)</f>
        <v>Industrie</v>
      </c>
      <c r="B28" s="5" t="str">
        <f>VLOOKUP(C28,Technologies!$A$7:$G$505,7,FALSE)</f>
        <v>Hydrogen fueled bio-naphtha steam cracker - Petrochemical industry</v>
      </c>
      <c r="C28" s="5" t="s">
        <v>807</v>
      </c>
      <c r="D28" s="54" t="s">
        <v>477</v>
      </c>
      <c r="E28" s="54">
        <f>VLOOKUP(D28,Activities!$A$8:$P$180,16,FALSE)</f>
        <v>7.0999999999999994E-2</v>
      </c>
      <c r="F28" s="54">
        <f>1-VLOOKUP(D28,Activities!$A$8:$Q$180,17,FALSE)</f>
        <v>0</v>
      </c>
      <c r="G28" s="54" t="str">
        <f>VLOOKUP(D28,Activities!$A$9:$Q$180,2,FALSE)</f>
        <v>[PJ]</v>
      </c>
      <c r="H28" s="206">
        <f t="shared" si="0"/>
        <v>-125.58663366336633</v>
      </c>
      <c r="I28" s="112">
        <v>1</v>
      </c>
      <c r="J28" s="79"/>
    </row>
    <row r="29" spans="1:10" x14ac:dyDescent="0.35">
      <c r="A29" s="6" t="str">
        <f>VLOOKUP(C29,Technologies!$A$7:$G$505,2,FALSE)</f>
        <v>Industrie</v>
      </c>
      <c r="B29" s="6" t="str">
        <f>VLOOKUP(C29,Technologies!$A$7:$G$505,7,FALSE)</f>
        <v>Hydrogen fueled syn-naphtha steam cracker - Petrochemical industry</v>
      </c>
      <c r="C29" s="6" t="s">
        <v>809</v>
      </c>
      <c r="D29" s="9" t="s">
        <v>483</v>
      </c>
      <c r="E29" s="9">
        <f>VLOOKUP(D29,Activities!$A$8:$P$180,16,FALSE)</f>
        <v>7.0999999999999994E-2</v>
      </c>
      <c r="F29" s="9">
        <f>1-VLOOKUP(D29,Activities!$A$8:$Q$180,17,FALSE)</f>
        <v>1</v>
      </c>
      <c r="G29" s="9" t="str">
        <f>VLOOKUP(D29,Activities!$A$9:$Q$180,2,FALSE)</f>
        <v>[PJ]</v>
      </c>
      <c r="H29" s="206">
        <f t="shared" si="0"/>
        <v>-125.58663366336633</v>
      </c>
      <c r="I29" s="113">
        <v>1</v>
      </c>
      <c r="J29" s="80"/>
    </row>
    <row r="30" spans="1:10" x14ac:dyDescent="0.35">
      <c r="A30" s="6" t="str">
        <f>VLOOKUP(C30,Technologies!$A$7:$G$505,2,FALSE)</f>
        <v>Industrie</v>
      </c>
      <c r="B30" s="6" t="str">
        <f>VLOOKUP(C30,Technologies!$A$7:$G$505,7,FALSE)</f>
        <v>Existing naphtha steam cracker with 10% pyrolysis oil blending - Petrochemical industry</v>
      </c>
      <c r="C30" s="6" t="s">
        <v>861</v>
      </c>
      <c r="D30" s="54" t="s">
        <v>472</v>
      </c>
      <c r="E30" s="9">
        <f>VLOOKUP(D30,Activities!$A$8:$P$180,16,FALSE)</f>
        <v>7.0999999999999994E-2</v>
      </c>
      <c r="F30" s="9">
        <f>1-VLOOKUP(D30,Activities!$A$8:$Q$180,17,FALSE)</f>
        <v>1</v>
      </c>
      <c r="G30" s="9" t="str">
        <f>VLOOKUP(D30,Activities!$A$9:$Q$180,2,FALSE)</f>
        <v>[PJ]</v>
      </c>
      <c r="H30" s="206">
        <f>H20*0.9</f>
        <v>-113.0279702970297</v>
      </c>
      <c r="I30" s="113">
        <v>1</v>
      </c>
      <c r="J30" s="80"/>
    </row>
    <row r="31" spans="1:10" x14ac:dyDescent="0.35">
      <c r="A31" s="5" t="str">
        <f>VLOOKUP(C31,Technologies!$A$7:$G$505,2,FALSE)</f>
        <v>Industrie</v>
      </c>
      <c r="B31" s="5" t="str">
        <f>VLOOKUP(C31,Technologies!$A$7:$G$505,7,FALSE)</f>
        <v>Existing naphtha steam cracker with 10% pyrolysis oil blending - Petrochemical industry</v>
      </c>
      <c r="C31" s="6" t="s">
        <v>861</v>
      </c>
      <c r="D31" s="9" t="s">
        <v>501</v>
      </c>
      <c r="E31" s="9">
        <f>VLOOKUP(D31,Activities!$A$8:$P$180,16,FALSE)</f>
        <v>7.0999999999999994E-2</v>
      </c>
      <c r="F31" s="9">
        <f>1-VLOOKUP(D31,Activities!$A$8:$Q$180,17,FALSE)</f>
        <v>1</v>
      </c>
      <c r="G31" s="9" t="str">
        <f>VLOOKUP(D31,Activities!$A$9:$Q$180,2,FALSE)</f>
        <v>[PJ]</v>
      </c>
      <c r="H31" s="206">
        <f>H20*0.1</f>
        <v>-12.558663366336633</v>
      </c>
      <c r="I31" s="112">
        <v>1</v>
      </c>
      <c r="J31" s="80"/>
    </row>
    <row r="32" spans="1:10" x14ac:dyDescent="0.35">
      <c r="A32" s="5" t="str">
        <f>VLOOKUP(C32,Technologies!$A$7:$G$505,2,FALSE)</f>
        <v>Industrie</v>
      </c>
      <c r="B32" s="5" t="str">
        <f>VLOOKUP(C32,Technologies!$A$7:$G$505,7,FALSE)</f>
        <v>Existing naphtha steam cracker with 10% pyrolysis oil blending and CCUS - Petrochemical industry</v>
      </c>
      <c r="C32" s="6" t="s">
        <v>863</v>
      </c>
      <c r="D32" s="54" t="s">
        <v>472</v>
      </c>
      <c r="E32" s="9">
        <f>VLOOKUP(D32,Activities!$A$8:$P$180,16,FALSE)</f>
        <v>7.0999999999999994E-2</v>
      </c>
      <c r="F32" s="9">
        <f>1-VLOOKUP(D32,Activities!$A$8:$Q$180,17,FALSE)</f>
        <v>1</v>
      </c>
      <c r="G32" s="9" t="str">
        <f>VLOOKUP(D32,Activities!$A$9:$Q$180,2,FALSE)</f>
        <v>[PJ]</v>
      </c>
      <c r="H32" s="206">
        <f>H30</f>
        <v>-113.0279702970297</v>
      </c>
      <c r="I32" s="113">
        <v>1</v>
      </c>
      <c r="J32" s="80"/>
    </row>
    <row r="33" spans="1:10" x14ac:dyDescent="0.35">
      <c r="A33" s="5" t="str">
        <f>VLOOKUP(C33,Technologies!$A$7:$G$505,2,FALSE)</f>
        <v>Industrie</v>
      </c>
      <c r="B33" s="5" t="str">
        <f>VLOOKUP(C33,Technologies!$A$7:$G$505,7,FALSE)</f>
        <v>Existing naphtha steam cracker with 10% pyrolysis oil blending and CCUS - Petrochemical industry</v>
      </c>
      <c r="C33" s="6" t="s">
        <v>863</v>
      </c>
      <c r="D33" s="9" t="s">
        <v>501</v>
      </c>
      <c r="E33" s="54">
        <f>VLOOKUP(D33,Activities!$A$8:$P$180,16,FALSE)</f>
        <v>7.0999999999999994E-2</v>
      </c>
      <c r="F33" s="54">
        <f>1-VLOOKUP(D33,Activities!$A$8:$Q$180,17,FALSE)</f>
        <v>1</v>
      </c>
      <c r="G33" s="54" t="str">
        <f>VLOOKUP(D33,Activities!$A$9:$Q$180,2,FALSE)</f>
        <v>[PJ]</v>
      </c>
      <c r="H33" s="206">
        <f>H31</f>
        <v>-12.558663366336633</v>
      </c>
      <c r="I33" s="113">
        <v>1</v>
      </c>
      <c r="J33" s="80"/>
    </row>
    <row r="34" spans="1:10" x14ac:dyDescent="0.35">
      <c r="A34" s="5" t="str">
        <f>VLOOKUP(C34,Technologies!$A$7:$G$505,2,FALSE)</f>
        <v>Industrie</v>
      </c>
      <c r="B34" s="5" t="str">
        <f>VLOOKUP(C34,Technologies!$A$7:$G$505,7,FALSE)</f>
        <v>Ethylene from bioethanol dehydration - Petrochemical industry</v>
      </c>
      <c r="C34" s="5" t="s">
        <v>811</v>
      </c>
      <c r="D34" s="54" t="s">
        <v>479</v>
      </c>
      <c r="E34" s="54">
        <f>VLOOKUP(D34,Activities!$A$8:$P$180,16,FALSE)</f>
        <v>5.5E-2</v>
      </c>
      <c r="F34" s="54">
        <f>1-VLOOKUP(D34,Activities!$A$8:$Q$180,17,FALSE)</f>
        <v>0</v>
      </c>
      <c r="G34" s="54" t="str">
        <f>VLOOKUP(D34,Activities!$A$9:$Q$180,2,FALSE)</f>
        <v>[PJ]</v>
      </c>
      <c r="H34" s="125">
        <f>EnergyBalance!DZ64</f>
        <v>-45.101351351351354</v>
      </c>
      <c r="I34" s="112">
        <v>1</v>
      </c>
      <c r="J34" s="79"/>
    </row>
    <row r="35" spans="1:10" x14ac:dyDescent="0.35">
      <c r="A35" s="5" t="str">
        <f>VLOOKUP(C35,Technologies!$A$7:$G$505,2,FALSE)</f>
        <v>Industrie</v>
      </c>
      <c r="B35" s="6" t="str">
        <f>VLOOKUP(C35,Technologies!$A$7:$G$505,7,FALSE)</f>
        <v>Methanol to olefins - Petrochemical industry</v>
      </c>
      <c r="C35" s="6" t="s">
        <v>813</v>
      </c>
      <c r="D35" s="9" t="s">
        <v>490</v>
      </c>
      <c r="E35" s="9">
        <f>VLOOKUP(D35,Activities!$A$8:$P$180,16,FALSE)</f>
        <v>6.8000000000000005E-2</v>
      </c>
      <c r="F35" s="9">
        <f>1-VLOOKUP(D35,Activities!$A$8:$Q$180,17,FALSE)</f>
        <v>1</v>
      </c>
      <c r="G35" s="9" t="str">
        <f>VLOOKUP(D35,Activities!$A$9:$Q$180,2,FALSE)</f>
        <v>[PJ]</v>
      </c>
      <c r="H35" s="134">
        <f>EnergyBalance!EI65</f>
        <v>-120.60606060606059</v>
      </c>
      <c r="I35" s="113">
        <v>1</v>
      </c>
      <c r="J35" s="80"/>
    </row>
    <row r="36" spans="1:10" x14ac:dyDescent="0.35">
      <c r="A36" s="5" t="str">
        <f>VLOOKUP(C36,Technologies!$A$7:$G$505,2,FALSE)</f>
        <v>Industrie</v>
      </c>
      <c r="B36" s="5" t="str">
        <f>VLOOKUP(C36,Technologies!$A$7:$G$505,7,FALSE)</f>
        <v>Propylene from PDH alkenation of LPG - Petrochemicals</v>
      </c>
      <c r="C36" s="5" t="s">
        <v>820</v>
      </c>
      <c r="D36" s="54" t="s">
        <v>470</v>
      </c>
      <c r="E36" s="54">
        <f>VLOOKUP(D36,Activities!$A$8:$P$180,16,FALSE)</f>
        <v>6.3100000000000003E-2</v>
      </c>
      <c r="F36" s="54">
        <f>1-VLOOKUP(D36,Activities!$A$8:$Q$180,17,FALSE)</f>
        <v>1</v>
      </c>
      <c r="G36" s="54" t="str">
        <f>VLOOKUP(D36,Activities!$A$9:$Q$180,2,FALSE)</f>
        <v>[PJ]</v>
      </c>
      <c r="H36" s="125">
        <f>EnergyBalance!DS67</f>
        <v>-64.121071012805601</v>
      </c>
      <c r="I36" s="112">
        <v>1</v>
      </c>
      <c r="J36" s="79"/>
    </row>
    <row r="37" spans="1:10" x14ac:dyDescent="0.35">
      <c r="A37" s="5" t="str">
        <f>VLOOKUP(C37,Technologies!$A$7:$G$505,2,FALSE)</f>
        <v>Industrie</v>
      </c>
      <c r="B37" s="6" t="str">
        <f>VLOOKUP(C37,Technologies!$A$7:$G$505,7,FALSE)</f>
        <v>Propylene from ethanol dehydration, ethene dimerization and metathesis - Petrochemicals</v>
      </c>
      <c r="C37" s="6" t="s">
        <v>822</v>
      </c>
      <c r="D37" s="9" t="s">
        <v>479</v>
      </c>
      <c r="E37" s="9">
        <f>VLOOKUP(D37,Activities!$A$8:$P$180,16,FALSE)</f>
        <v>5.5E-2</v>
      </c>
      <c r="F37" s="54">
        <f>1-VLOOKUP(D37,Activities!$A$8:$Q$180,17,FALSE)</f>
        <v>0</v>
      </c>
      <c r="G37" s="54" t="str">
        <f>VLOOKUP(D37,Activities!$A$9:$Q$180,2,FALSE)</f>
        <v>[PJ]</v>
      </c>
      <c r="H37" s="134">
        <f>EnergyBalance!DZ68</f>
        <v>-98.888888888888872</v>
      </c>
      <c r="I37" s="113">
        <v>1</v>
      </c>
      <c r="J37" s="80"/>
    </row>
    <row r="38" spans="1:10" x14ac:dyDescent="0.35">
      <c r="A38" s="5" t="str">
        <f>VLOOKUP(C38,Technologies!$A$7:$G$505,2,FALSE)</f>
        <v>Industrie</v>
      </c>
      <c r="B38" s="6" t="str">
        <f>VLOOKUP(C38,Technologies!$A$7:$G$505,7,FALSE)</f>
        <v>Bioplastics from hydrolisis, fermenation and furfularization - Bioplastics</v>
      </c>
      <c r="C38" s="5" t="s">
        <v>894</v>
      </c>
      <c r="D38" s="54" t="s">
        <v>504</v>
      </c>
      <c r="E38" s="9">
        <f>VLOOKUP(D38,Activities!$A$8:$P$180,16,FALSE)</f>
        <v>0.1096</v>
      </c>
      <c r="F38" s="54">
        <f>1-VLOOKUP(D38,Activities!$A$8:$Q$180,17,FALSE)</f>
        <v>0</v>
      </c>
      <c r="G38" s="54" t="str">
        <f>VLOOKUP(D38,Activities!$A$9:$Q$180,2,FALSE)</f>
        <v>[PJ]</v>
      </c>
      <c r="H38" s="125">
        <v>-25</v>
      </c>
      <c r="I38" s="112">
        <v>1</v>
      </c>
      <c r="J38" s="79"/>
    </row>
    <row r="39" spans="1:10" x14ac:dyDescent="0.35">
      <c r="A39" s="5" t="str">
        <f>VLOOKUP(C39,Technologies!$A$7:$G$505,2,FALSE)</f>
        <v>Industrie</v>
      </c>
      <c r="B39" s="6" t="str">
        <f>VLOOKUP(C39,Technologies!$A$7:$G$505,7,FALSE)</f>
        <v>Reference remaining chemicals - Other ETS chemicals</v>
      </c>
      <c r="C39" s="6" t="s">
        <v>906</v>
      </c>
      <c r="D39" s="9" t="s">
        <v>491</v>
      </c>
      <c r="E39" s="9">
        <f>VLOOKUP(D39,Activities!$A$8:$P$180,16,FALSE)</f>
        <v>5.6599999999999998E-2</v>
      </c>
      <c r="F39" s="9">
        <f>1-VLOOKUP(D39,Activities!$A$8:$Q$180,17,FALSE)</f>
        <v>1</v>
      </c>
      <c r="G39" s="9" t="str">
        <f>VLOOKUP(D39,Activities!$A$9:$Q$180,2,FALSE)</f>
        <v>[PJ]</v>
      </c>
      <c r="H39" s="134">
        <v>-30</v>
      </c>
      <c r="I39" s="113">
        <v>1</v>
      </c>
      <c r="J39" s="80"/>
    </row>
    <row r="40" spans="1:10" x14ac:dyDescent="0.35">
      <c r="A40" s="5" t="str">
        <f>VLOOKUP(C40,Technologies!$A$7:$G$505,2,FALSE)</f>
        <v>Industrie</v>
      </c>
      <c r="B40" s="6" t="str">
        <f>VLOOKUP(C40,Technologies!$A$7:$G$505,7,FALSE)</f>
        <v>Reference remaining chemicals - Other ETS chemicals</v>
      </c>
      <c r="C40" s="6" t="s">
        <v>906</v>
      </c>
      <c r="D40" s="9" t="s">
        <v>476</v>
      </c>
      <c r="E40" s="9">
        <f>VLOOKUP(D40,Activities!$A$8:$P$180,16,FALSE)</f>
        <v>8.1000000000000003E-2</v>
      </c>
      <c r="F40" s="9">
        <f>1-VLOOKUP(D40,Activities!$A$8:$Q$180,17,FALSE)</f>
        <v>1</v>
      </c>
      <c r="G40" s="9" t="str">
        <f>VLOOKUP(D40,Activities!$A$9:$Q$180,2,FALSE)</f>
        <v>[PJ]</v>
      </c>
      <c r="H40" s="134">
        <f>EnergyBalance!DX100</f>
        <v>-14.300000000000011</v>
      </c>
      <c r="I40" s="113">
        <v>1</v>
      </c>
      <c r="J40" s="80"/>
    </row>
    <row r="41" spans="1:10" x14ac:dyDescent="0.35">
      <c r="A41" s="5" t="str">
        <f>VLOOKUP(C41,Technologies!$A$7:$G$505,2,FALSE)</f>
        <v>Industrie</v>
      </c>
      <c r="B41" s="6" t="str">
        <f>VLOOKUP(C41,Technologies!$A$7:$G$505,7,FALSE)</f>
        <v>Improved remaining chemicals (bio feedstock) - Other ETS chemicals</v>
      </c>
      <c r="C41" s="5" t="s">
        <v>910</v>
      </c>
      <c r="D41" s="54" t="s">
        <v>480</v>
      </c>
      <c r="E41" s="9">
        <f>VLOOKUP(D41,Activities!$A$8:$P$180,16,FALSE)</f>
        <v>7.2999999999999995E-2</v>
      </c>
      <c r="F41" s="54">
        <f>1-VLOOKUP(D41,Activities!$A$8:$Q$180,17,FALSE)</f>
        <v>0</v>
      </c>
      <c r="G41" s="54" t="str">
        <f>VLOOKUP(D41,Activities!$A$9:$Q$180,2,FALSE)</f>
        <v>[PJ]</v>
      </c>
      <c r="H41" s="125">
        <f>EnergyBalance!EA101</f>
        <v>-14.300000000000011</v>
      </c>
      <c r="I41" s="112">
        <v>1</v>
      </c>
      <c r="J41" s="79"/>
    </row>
    <row r="42" spans="1:10" x14ac:dyDescent="0.35">
      <c r="A42" s="5" t="str">
        <f>VLOOKUP(C42,Technologies!$A$7:$G$505,2,FALSE)</f>
        <v>Industrie</v>
      </c>
      <c r="B42" s="6" t="str">
        <f>VLOOKUP(C42,Technologies!$A$7:$G$505,7,FALSE)</f>
        <v>Improved remaining chemicals (syn feedstock) - Other ETS chemicals</v>
      </c>
      <c r="C42" s="6" t="s">
        <v>912</v>
      </c>
      <c r="D42" s="9" t="s">
        <v>486</v>
      </c>
      <c r="E42" s="9">
        <f>VLOOKUP(D42,Activities!$A$8:$P$180,16,FALSE)</f>
        <v>7.2999999999999995E-2</v>
      </c>
      <c r="F42" s="9">
        <f>1-VLOOKUP(D42,Activities!$A$8:$Q$180,17,FALSE)</f>
        <v>1</v>
      </c>
      <c r="G42" s="9" t="str">
        <f>VLOOKUP(D42,Activities!$A$9:$Q$180,2,FALSE)</f>
        <v>[PJ]</v>
      </c>
      <c r="H42" s="134">
        <f>EnergyBalance!EE102</f>
        <v>-14.300000000000011</v>
      </c>
      <c r="I42" s="113">
        <v>1</v>
      </c>
      <c r="J42" s="80"/>
    </row>
    <row r="43" spans="1:10" x14ac:dyDescent="0.35">
      <c r="A43" s="5" t="str">
        <f>VLOOKUP(C43,Technologies!$A$7:$G$505,2,FALSE)</f>
        <v>Industrie</v>
      </c>
      <c r="B43" s="6" t="str">
        <f>VLOOKUP(C43,Technologies!$A$7:$G$505,7,FALSE)</f>
        <v>Reference other non-ETS industry - Other non-ETS Industry</v>
      </c>
      <c r="C43" s="5" t="s">
        <v>955</v>
      </c>
      <c r="D43" s="54" t="s">
        <v>476</v>
      </c>
      <c r="E43" s="9">
        <f>VLOOKUP(D43,Activities!$A$8:$P$180,16,FALSE)</f>
        <v>8.1000000000000003E-2</v>
      </c>
      <c r="F43" s="54">
        <f>1-VLOOKUP(D43,Activities!$A$8:$Q$180,17,FALSE)</f>
        <v>1</v>
      </c>
      <c r="G43" s="54" t="str">
        <f>VLOOKUP(D43,Activities!$A$9:$Q$180,2,FALSE)</f>
        <v>[PJ]</v>
      </c>
      <c r="H43" s="125">
        <v>-16.2</v>
      </c>
      <c r="I43" s="112">
        <v>1</v>
      </c>
      <c r="J43" s="79"/>
    </row>
    <row r="44" spans="1:10" x14ac:dyDescent="0.35">
      <c r="A44" s="5" t="str">
        <f>VLOOKUP(C44,Technologies!$A$7:$G$505,2,FALSE)</f>
        <v>Industrie</v>
      </c>
      <c r="B44" s="6" t="str">
        <f>VLOOKUP(C44,Technologies!$A$7:$G$505,7,FALSE)</f>
        <v>Reference other non-ETS industry - Other non-ETS Industry</v>
      </c>
      <c r="C44" s="6" t="s">
        <v>955</v>
      </c>
      <c r="D44" s="9" t="s">
        <v>468</v>
      </c>
      <c r="E44" s="9">
        <f>VLOOKUP(D44,Activities!$A$8:$P$180,16,FALSE)</f>
        <v>9.8299999999999998E-2</v>
      </c>
      <c r="F44" s="9">
        <f>1-VLOOKUP(D44,Activities!$A$8:$Q$180,17,FALSE)</f>
        <v>1</v>
      </c>
      <c r="G44" s="9" t="str">
        <f>VLOOKUP(D44,Activities!$A$9:$Q$180,2,FALSE)</f>
        <v>[PJ]</v>
      </c>
      <c r="H44" s="134">
        <v>-2.1</v>
      </c>
      <c r="I44" s="113">
        <v>1</v>
      </c>
      <c r="J44" s="80"/>
    </row>
    <row r="45" spans="1:10" x14ac:dyDescent="0.35">
      <c r="A45" s="5" t="str">
        <f>VLOOKUP(C45,Technologies!$A$7:$G$505,2,FALSE)</f>
        <v>Industrie</v>
      </c>
      <c r="B45" s="6" t="str">
        <f>VLOOKUP(C45,Technologies!$A$7:$G$505,7,FALSE)</f>
        <v>Improved other non-ETS industry (bio feedstock) - Other non-ETS Industry</v>
      </c>
      <c r="C45" s="5" t="s">
        <v>957</v>
      </c>
      <c r="D45" s="54" t="s">
        <v>477</v>
      </c>
      <c r="E45" s="9">
        <f>VLOOKUP(D45,Activities!$A$8:$P$180,16,FALSE)</f>
        <v>7.0999999999999994E-2</v>
      </c>
      <c r="F45" s="54">
        <f>1-VLOOKUP(D45,Activities!$A$8:$Q$180,17,FALSE)</f>
        <v>0</v>
      </c>
      <c r="G45" s="54" t="str">
        <f>VLOOKUP(D45,Activities!$A$9:$Q$180,2,FALSE)</f>
        <v>[PJ]</v>
      </c>
      <c r="H45" s="125">
        <v>-17.600000000000001</v>
      </c>
      <c r="I45" s="112">
        <v>1</v>
      </c>
      <c r="J45" s="79"/>
    </row>
    <row r="46" spans="1:10" x14ac:dyDescent="0.35">
      <c r="A46" s="5" t="str">
        <f>VLOOKUP(C46,Technologies!$A$7:$G$505,2,FALSE)</f>
        <v>Industrie</v>
      </c>
      <c r="B46" s="6" t="str">
        <f>VLOOKUP(C46,Technologies!$A$7:$G$505,7,FALSE)</f>
        <v>Improved other non-ETS industry (syn feedstock) - Other non-ETS Industry</v>
      </c>
      <c r="C46" s="6" t="s">
        <v>959</v>
      </c>
      <c r="D46" s="9" t="s">
        <v>483</v>
      </c>
      <c r="E46" s="9">
        <f>VLOOKUP(D46,Activities!$A$8:$P$180,16,FALSE)</f>
        <v>7.0999999999999994E-2</v>
      </c>
      <c r="F46" s="9">
        <f>1-VLOOKUP(D46,Activities!$A$8:$Q$180,17,FALSE)</f>
        <v>1</v>
      </c>
      <c r="G46" s="9" t="str">
        <f>VLOOKUP(D46,Activities!$A$9:$Q$180,2,FALSE)</f>
        <v>[PJ]</v>
      </c>
      <c r="H46" s="134">
        <v>-17.600000000000001</v>
      </c>
      <c r="I46" s="113">
        <v>1</v>
      </c>
      <c r="J46" s="80"/>
    </row>
    <row r="47" spans="1:10" x14ac:dyDescent="0.35">
      <c r="A47" s="5" t="str">
        <f>VLOOKUP(C47,Technologies!$A$7:$G$505,2,FALSE)</f>
        <v>Industrie</v>
      </c>
      <c r="B47" s="6" t="str">
        <f>VLOOKUP(C47,Technologies!$A$7:$G$505,7,FALSE)</f>
        <v>Haber Bosch with H2 from SMR - Ammonia Production</v>
      </c>
      <c r="C47" s="5" t="s">
        <v>1633</v>
      </c>
      <c r="D47" s="54" t="s">
        <v>491</v>
      </c>
      <c r="E47" s="9">
        <f>VLOOKUP(D47,Activities!$A$8:$P$180,16,FALSE)</f>
        <v>5.6599999999999998E-2</v>
      </c>
      <c r="F47" s="54">
        <f>1-VLOOKUP(D47,Activities!$A$8:$Q$180,17,FALSE)</f>
        <v>1</v>
      </c>
      <c r="G47" s="54" t="str">
        <f>VLOOKUP(D47,Activities!$A$9:$Q$180,2,FALSE)</f>
        <v>[PJ]</v>
      </c>
      <c r="H47" s="125">
        <v>-1.17</v>
      </c>
      <c r="I47" s="112">
        <v>0</v>
      </c>
      <c r="J47" s="79"/>
    </row>
    <row r="48" spans="1:10" x14ac:dyDescent="0.35">
      <c r="A48" s="5" t="str">
        <f>VLOOKUP(C48,Technologies!$A$7:$G$505,2,FALSE)</f>
        <v>Industrie</v>
      </c>
      <c r="B48" s="6" t="str">
        <f>VLOOKUP(C48,Technologies!$A$7:$G$505,7,FALSE)</f>
        <v>Haber Bosch with H2 from SMR wCCUS - Ammonia Production</v>
      </c>
      <c r="C48" s="6" t="s">
        <v>1636</v>
      </c>
      <c r="D48" s="9" t="s">
        <v>491</v>
      </c>
      <c r="E48" s="9">
        <f>VLOOKUP(D48,Activities!$A$8:$P$180,16,FALSE)</f>
        <v>5.6599999999999998E-2</v>
      </c>
      <c r="F48" s="9">
        <f>1-VLOOKUP(D48,Activities!$A$8:$Q$180,17,FALSE)</f>
        <v>1</v>
      </c>
      <c r="G48" s="9" t="str">
        <f>VLOOKUP(D48,Activities!$A$9:$Q$180,2,FALSE)</f>
        <v>[PJ]</v>
      </c>
      <c r="H48" s="134">
        <v>-1.17</v>
      </c>
      <c r="I48" s="113">
        <v>0</v>
      </c>
      <c r="J48" s="80"/>
    </row>
    <row r="49" spans="1:10" x14ac:dyDescent="0.35">
      <c r="A49" s="5" t="str">
        <f>VLOOKUP(C49,Technologies!$A$7:$G$505,2,FALSE)</f>
        <v>Industrie</v>
      </c>
      <c r="B49" s="6" t="str">
        <f>VLOOKUP(C49,Technologies!$A$7:$G$505,7,FALSE)</f>
        <v>Haber Bosch with external H2 - Ammonia Production</v>
      </c>
      <c r="C49" s="5" t="s">
        <v>1638</v>
      </c>
      <c r="D49" s="54" t="s">
        <v>496</v>
      </c>
      <c r="E49" s="9">
        <f>VLOOKUP(D49,Activities!$A$8:$P$180,16,FALSE)</f>
        <v>0</v>
      </c>
      <c r="F49" s="54">
        <f>1-VLOOKUP(D49,Activities!$A$8:$Q$180,17,FALSE)</f>
        <v>1</v>
      </c>
      <c r="G49" s="54" t="str">
        <f>VLOOKUP(D49,Activities!$A$9:$Q$180,2,FALSE)</f>
        <v>[PJ]</v>
      </c>
      <c r="H49" s="125">
        <v>-1.2</v>
      </c>
      <c r="I49" s="112">
        <v>0</v>
      </c>
      <c r="J49" s="79"/>
    </row>
    <row r="50" spans="1:10" x14ac:dyDescent="0.35">
      <c r="A50" s="5" t="str">
        <f>VLOOKUP(C50,Technologies!$A$7:$G$505,2,FALSE)</f>
        <v>Industrie</v>
      </c>
      <c r="B50" s="6" t="str">
        <f>VLOOKUP(C50,Technologies!$A$7:$G$505,7,FALSE)</f>
        <v>Exports of oil-based naphtha</v>
      </c>
      <c r="C50" s="6" t="s">
        <v>1212</v>
      </c>
      <c r="D50" s="9" t="s">
        <v>472</v>
      </c>
      <c r="E50" s="9">
        <f>VLOOKUP(D50,Activities!$A$8:$P$180,16,FALSE)</f>
        <v>7.0999999999999994E-2</v>
      </c>
      <c r="F50" s="9">
        <f>1-VLOOKUP(D50,Activities!$A$8:$Q$180,17,FALSE)</f>
        <v>1</v>
      </c>
      <c r="G50" s="9" t="str">
        <f>VLOOKUP(D50,Activities!$A$9:$Q$180,2,FALSE)</f>
        <v>[PJ]</v>
      </c>
      <c r="H50" s="134">
        <v>-1</v>
      </c>
      <c r="I50" s="113">
        <v>1</v>
      </c>
      <c r="J50" s="80"/>
    </row>
    <row r="51" spans="1:10" x14ac:dyDescent="0.35">
      <c r="A51" s="5" t="str">
        <f>VLOOKUP(C51,Technologies!$A$7:$G$505,2,FALSE)</f>
        <v>Industrie</v>
      </c>
      <c r="B51" s="6" t="str">
        <f>VLOOKUP(C51,Technologies!$A$7:$G$505,7,FALSE)</f>
        <v>Exports of bio-based naphtha</v>
      </c>
      <c r="C51" s="5" t="s">
        <v>1216</v>
      </c>
      <c r="D51" s="54" t="s">
        <v>477</v>
      </c>
      <c r="E51" s="9">
        <f>VLOOKUP(D51,Activities!$A$8:$P$180,16,FALSE)</f>
        <v>7.0999999999999994E-2</v>
      </c>
      <c r="F51" s="54">
        <f>1-VLOOKUP(D51,Activities!$A$8:$Q$180,17,FALSE)</f>
        <v>0</v>
      </c>
      <c r="G51" s="54" t="str">
        <f>VLOOKUP(D51,Activities!$A$9:$Q$180,2,FALSE)</f>
        <v>[PJ]</v>
      </c>
      <c r="H51" s="125">
        <v>-1</v>
      </c>
      <c r="I51" s="112">
        <v>1</v>
      </c>
      <c r="J51" s="79"/>
    </row>
    <row r="52" spans="1:10" x14ac:dyDescent="0.35">
      <c r="A52" s="5" t="str">
        <f>VLOOKUP(C52,Technologies!$A$7:$G$505,2,FALSE)</f>
        <v>Industrie</v>
      </c>
      <c r="B52" s="6" t="str">
        <f>VLOOKUP(C52,Technologies!$A$7:$G$505,7,FALSE)</f>
        <v>Exports of syn-based naphtha</v>
      </c>
      <c r="C52" s="6" t="s">
        <v>1218</v>
      </c>
      <c r="D52" s="9" t="s">
        <v>483</v>
      </c>
      <c r="E52" s="9">
        <f>VLOOKUP(D52,Activities!$A$8:$P$180,16,FALSE)</f>
        <v>7.0999999999999994E-2</v>
      </c>
      <c r="F52" s="9">
        <f>1-VLOOKUP(D52,Activities!$A$8:$Q$180,17,FALSE)</f>
        <v>1</v>
      </c>
      <c r="G52" s="9" t="str">
        <f>VLOOKUP(D52,Activities!$A$9:$Q$180,2,FALSE)</f>
        <v>[PJ]</v>
      </c>
      <c r="H52" s="134">
        <v>-1</v>
      </c>
      <c r="I52" s="113">
        <v>1</v>
      </c>
      <c r="J52" s="80"/>
    </row>
    <row r="53" spans="1:10" x14ac:dyDescent="0.35">
      <c r="A53" s="5" t="str">
        <f>VLOOKUP(C53,Technologies!$A$7:$G$505,2,FALSE)</f>
        <v>Industrie</v>
      </c>
      <c r="B53" s="6" t="str">
        <f>VLOOKUP(C53,Technologies!$A$7:$G$505,7,FALSE)</f>
        <v>Exports of oil-based road fuels</v>
      </c>
      <c r="C53" s="5" t="s">
        <v>1220</v>
      </c>
      <c r="D53" s="54" t="s">
        <v>473</v>
      </c>
      <c r="E53" s="9">
        <f>VLOOKUP(D53,Activities!$A$8:$P$180,16,FALSE)</f>
        <v>7.2999999999999995E-2</v>
      </c>
      <c r="F53" s="54">
        <f>1-VLOOKUP(D53,Activities!$A$8:$Q$180,17,FALSE)</f>
        <v>1</v>
      </c>
      <c r="G53" s="54" t="str">
        <f>VLOOKUP(D53,Activities!$A$9:$Q$180,2,FALSE)</f>
        <v>[PJ]</v>
      </c>
      <c r="H53" s="125">
        <v>-1</v>
      </c>
      <c r="I53" s="112">
        <v>1</v>
      </c>
      <c r="J53" s="79"/>
    </row>
    <row r="54" spans="1:10" x14ac:dyDescent="0.35">
      <c r="A54" s="5" t="str">
        <f>VLOOKUP(C54,Technologies!$A$7:$G$505,2,FALSE)</f>
        <v>Industrie</v>
      </c>
      <c r="B54" s="6" t="str">
        <f>VLOOKUP(C54,Technologies!$A$7:$G$505,7,FALSE)</f>
        <v>Exports of bio-based road fuels</v>
      </c>
      <c r="C54" s="6" t="s">
        <v>1222</v>
      </c>
      <c r="D54" s="9" t="s">
        <v>480</v>
      </c>
      <c r="E54" s="9">
        <f>VLOOKUP(D54,Activities!$A$8:$P$180,16,FALSE)</f>
        <v>7.2999999999999995E-2</v>
      </c>
      <c r="F54" s="9">
        <f>1-VLOOKUP(D54,Activities!$A$8:$Q$180,17,FALSE)</f>
        <v>0</v>
      </c>
      <c r="G54" s="9" t="str">
        <f>VLOOKUP(D54,Activities!$A$9:$Q$180,2,FALSE)</f>
        <v>[PJ]</v>
      </c>
      <c r="H54" s="134">
        <v>-1</v>
      </c>
      <c r="I54" s="113">
        <v>1</v>
      </c>
      <c r="J54" s="80"/>
    </row>
    <row r="55" spans="1:10" x14ac:dyDescent="0.35">
      <c r="A55" s="5" t="str">
        <f>VLOOKUP(C55,Technologies!$A$7:$G$505,2,FALSE)</f>
        <v>Industrie</v>
      </c>
      <c r="B55" s="6" t="str">
        <f>VLOOKUP(C55,Technologies!$A$7:$G$505,7,FALSE)</f>
        <v>Exports of syn-based road fuels</v>
      </c>
      <c r="C55" s="5" t="s">
        <v>1224</v>
      </c>
      <c r="D55" s="54" t="s">
        <v>486</v>
      </c>
      <c r="E55" s="9">
        <f>VLOOKUP(D55,Activities!$A$8:$P$180,16,FALSE)</f>
        <v>7.2999999999999995E-2</v>
      </c>
      <c r="F55" s="54">
        <f>1-VLOOKUP(D55,Activities!$A$8:$Q$180,17,FALSE)</f>
        <v>1</v>
      </c>
      <c r="G55" s="54" t="str">
        <f>VLOOKUP(D55,Activities!$A$9:$Q$180,2,FALSE)</f>
        <v>[PJ]</v>
      </c>
      <c r="H55" s="125">
        <v>-1</v>
      </c>
      <c r="I55" s="112">
        <v>1</v>
      </c>
      <c r="J55" s="79"/>
    </row>
    <row r="56" spans="1:10" x14ac:dyDescent="0.35">
      <c r="A56" s="5" t="str">
        <f>VLOOKUP(C56,Technologies!$A$7:$G$505,2,FALSE)</f>
        <v>Industrie</v>
      </c>
      <c r="B56" s="6" t="str">
        <f>VLOOKUP(C56,Technologies!$A$7:$G$505,7,FALSE)</f>
        <v>Exports of oil-based kerosene</v>
      </c>
      <c r="C56" s="6" t="s">
        <v>1226</v>
      </c>
      <c r="D56" s="9" t="s">
        <v>474</v>
      </c>
      <c r="E56" s="9">
        <f>VLOOKUP(D56,Activities!$A$8:$P$180,16,FALSE)</f>
        <v>7.1999999999999995E-2</v>
      </c>
      <c r="F56" s="9">
        <f>1-VLOOKUP(D56,Activities!$A$8:$Q$180,17,FALSE)</f>
        <v>1</v>
      </c>
      <c r="G56" s="9" t="str">
        <f>VLOOKUP(D56,Activities!$A$9:$Q$180,2,FALSE)</f>
        <v>[PJ]</v>
      </c>
      <c r="H56" s="134">
        <v>-1</v>
      </c>
      <c r="I56" s="113">
        <v>1</v>
      </c>
      <c r="J56" s="80"/>
    </row>
    <row r="57" spans="1:10" x14ac:dyDescent="0.35">
      <c r="A57" s="5" t="str">
        <f>VLOOKUP(C57,Technologies!$A$7:$G$505,2,FALSE)</f>
        <v>Industrie</v>
      </c>
      <c r="B57" s="6" t="str">
        <f>VLOOKUP(C57,Technologies!$A$7:$G$505,7,FALSE)</f>
        <v>Exports of bio-based kerosene</v>
      </c>
      <c r="C57" s="5" t="s">
        <v>1228</v>
      </c>
      <c r="D57" s="54" t="s">
        <v>481</v>
      </c>
      <c r="E57" s="9">
        <f>VLOOKUP(D57,Activities!$A$8:$P$180,16,FALSE)</f>
        <v>7.1999999999999995E-2</v>
      </c>
      <c r="F57" s="54">
        <f>1-VLOOKUP(D57,Activities!$A$8:$Q$180,17,FALSE)</f>
        <v>0</v>
      </c>
      <c r="G57" s="54" t="str">
        <f>VLOOKUP(D57,Activities!$A$9:$Q$180,2,FALSE)</f>
        <v>[PJ]</v>
      </c>
      <c r="H57" s="125">
        <v>-1</v>
      </c>
      <c r="I57" s="112">
        <v>1</v>
      </c>
      <c r="J57" s="79"/>
    </row>
    <row r="58" spans="1:10" x14ac:dyDescent="0.35">
      <c r="A58" s="5" t="str">
        <f>VLOOKUP(C58,Technologies!$A$7:$G$505,2,FALSE)</f>
        <v>Industrie</v>
      </c>
      <c r="B58" s="6" t="str">
        <f>VLOOKUP(C58,Technologies!$A$7:$G$505,7,FALSE)</f>
        <v>Exports of syn-based kerosene</v>
      </c>
      <c r="C58" s="6" t="s">
        <v>1230</v>
      </c>
      <c r="D58" s="9" t="s">
        <v>487</v>
      </c>
      <c r="E58" s="9">
        <f>VLOOKUP(D58,Activities!$A$8:$P$180,16,FALSE)</f>
        <v>7.1999999999999995E-2</v>
      </c>
      <c r="F58" s="54">
        <f>1-VLOOKUP(D58,Activities!$A$8:$Q$180,17,FALSE)</f>
        <v>1</v>
      </c>
      <c r="G58" s="54" t="str">
        <f>VLOOKUP(D58,Activities!$A$9:$Q$180,2,FALSE)</f>
        <v>[PJ]</v>
      </c>
      <c r="H58" s="134">
        <v>-1</v>
      </c>
      <c r="I58" s="113">
        <v>1</v>
      </c>
      <c r="J58" s="80"/>
    </row>
    <row r="59" spans="1:10" x14ac:dyDescent="0.35">
      <c r="A59" s="5" t="str">
        <f>VLOOKUP(C59,Technologies!$A$7:$G$505,2,FALSE)</f>
        <v>Industrie</v>
      </c>
      <c r="B59" s="6" t="str">
        <f>VLOOKUP(C59,Technologies!$A$7:$G$505,7,FALSE)</f>
        <v>Methanol to aromatics</v>
      </c>
      <c r="C59" s="6" t="s">
        <v>880</v>
      </c>
      <c r="D59" s="9" t="s">
        <v>490</v>
      </c>
      <c r="E59" s="9">
        <f>VLOOKUP(D59,Activities!$A$8:$P$180,16,FALSE)</f>
        <v>6.8000000000000005E-2</v>
      </c>
      <c r="F59" s="54">
        <f>1-VLOOKUP(D59,Activities!$A$8:$Q$180,17,FALSE)</f>
        <v>1</v>
      </c>
      <c r="G59" s="54" t="str">
        <f>VLOOKUP(D59,Activities!$A$9:$Q$180,2,FALSE)</f>
        <v>[PJ]</v>
      </c>
      <c r="H59" s="206">
        <v>-75.714285714285722</v>
      </c>
      <c r="I59" s="113">
        <v>1</v>
      </c>
      <c r="J59" s="80"/>
    </row>
    <row r="60" spans="1:10" x14ac:dyDescent="0.35">
      <c r="A60" s="5" t="str">
        <f>VLOOKUP(C60,Technologies!$A$7:$G$505,2,FALSE)</f>
        <v>Industrie</v>
      </c>
      <c r="B60" s="6" t="str">
        <f>VLOOKUP(C60,Technologies!$A$7:$G$505,7,FALSE)</f>
        <v>Biomass to aromatics</v>
      </c>
      <c r="C60" s="6" t="s">
        <v>884</v>
      </c>
      <c r="D60" s="9" t="s">
        <v>504</v>
      </c>
      <c r="E60" s="9">
        <f>VLOOKUP(D60,Activities!$A$8:$P$180,16,FALSE)</f>
        <v>0.1096</v>
      </c>
      <c r="F60" s="54">
        <f>1-VLOOKUP(D60,Activities!$A$8:$Q$180,17,FALSE)</f>
        <v>0</v>
      </c>
      <c r="G60" s="54" t="str">
        <f>VLOOKUP(D60,Activities!$A$9:$Q$180,2,FALSE)</f>
        <v>[PJ]</v>
      </c>
      <c r="H60" s="206">
        <v>-75.714285714285722</v>
      </c>
      <c r="I60" s="113">
        <v>1</v>
      </c>
      <c r="J60" s="80"/>
    </row>
    <row r="61" spans="1:10" x14ac:dyDescent="0.35">
      <c r="A61" s="5" t="str">
        <f>VLOOKUP(C61,Technologies!$A$7:$G$505,2,FALSE)</f>
        <v>Industrie</v>
      </c>
      <c r="B61" s="6" t="str">
        <f>VLOOKUP(C61,Technologies!$A$7:$G$505,7,FALSE)</f>
        <v>Imported aromatics</v>
      </c>
      <c r="C61" s="6" t="s">
        <v>886</v>
      </c>
      <c r="D61" s="9" t="s">
        <v>1892</v>
      </c>
      <c r="E61" s="214">
        <f>6*44/78</f>
        <v>3.3846153846153846</v>
      </c>
      <c r="F61" s="213">
        <v>1</v>
      </c>
      <c r="G61" s="54" t="str">
        <f>VLOOKUP(D61,Activities!$A$9:$Q$180,2,FALSE)</f>
        <v>[Mton_BTX]</v>
      </c>
      <c r="H61" s="206">
        <v>-1</v>
      </c>
      <c r="I61" s="113">
        <v>1</v>
      </c>
      <c r="J61" s="79"/>
    </row>
    <row r="62" spans="1:10" x14ac:dyDescent="0.35">
      <c r="A62" s="5" t="str">
        <f>VLOOKUP(C62,Technologies!$A$7:$G$505,2,FALSE)</f>
        <v>Industrie</v>
      </c>
      <c r="B62" s="6" t="str">
        <f>VLOOKUP(C62,Technologies!$A$7:$G$505,7,FALSE)</f>
        <v>Nitric Acid production from Ammonia -Fertilizers</v>
      </c>
      <c r="C62" s="5" t="s">
        <v>779</v>
      </c>
      <c r="D62" s="9" t="s">
        <v>503</v>
      </c>
      <c r="E62" s="9">
        <f>VLOOKUP(D62,Activities!$A$8:$P$180,16,FALSE)</f>
        <v>0</v>
      </c>
      <c r="F62" s="54">
        <f>1-VLOOKUP(D62,Activities!$A$8:$Q$180,17,FALSE)</f>
        <v>1</v>
      </c>
      <c r="G62" s="54" t="str">
        <f>VLOOKUP(D62,Activities!$A$9:$Q$180,2,FALSE)</f>
        <v>[PJ]</v>
      </c>
      <c r="H62" s="35">
        <v>-5.0999999999999996</v>
      </c>
      <c r="I62" s="113">
        <v>1</v>
      </c>
      <c r="J62" s="80"/>
    </row>
    <row r="63" spans="1:10" x14ac:dyDescent="0.35">
      <c r="A63" s="5" t="str">
        <f>VLOOKUP(C63,Technologies!$A$7:$G$505,2,FALSE)</f>
        <v>Industrie</v>
      </c>
      <c r="B63" s="6" t="str">
        <f>VLOOKUP(C63,Technologies!$A$7:$G$505,7,FALSE)</f>
        <v>Urea production from Ammonia and CCUS - Fertilizers</v>
      </c>
      <c r="C63" s="5" t="s">
        <v>783</v>
      </c>
      <c r="D63" s="9" t="s">
        <v>503</v>
      </c>
      <c r="E63" s="9">
        <f>VLOOKUP(D63,Activities!$A$8:$P$180,16,FALSE)</f>
        <v>0</v>
      </c>
      <c r="F63" s="54">
        <f>1-VLOOKUP(D63,Activities!$A$8:$Q$180,17,FALSE)</f>
        <v>1</v>
      </c>
      <c r="G63" s="54" t="str">
        <f>VLOOKUP(D63,Activities!$A$9:$Q$180,2,FALSE)</f>
        <v>[PJ]</v>
      </c>
      <c r="H63" s="35">
        <v>-10.72</v>
      </c>
      <c r="I63" s="113">
        <v>1</v>
      </c>
      <c r="J63" s="80"/>
    </row>
    <row r="64" spans="1:10" x14ac:dyDescent="0.35">
      <c r="A64" s="5" t="str">
        <f>VLOOKUP(C64,Technologies!$A$7:$G$505,2,FALSE)</f>
        <v>Industrie</v>
      </c>
      <c r="B64" s="6" t="str">
        <f>VLOOKUP(C64,Technologies!$A$7:$G$505,7,FALSE)</f>
        <v>Ammonia demand for other fertilizers - Fertilizers</v>
      </c>
      <c r="C64" s="6" t="s">
        <v>785</v>
      </c>
      <c r="D64" s="54" t="s">
        <v>503</v>
      </c>
      <c r="E64" s="9">
        <f>VLOOKUP(D64,Activities!$A$8:$P$180,16,FALSE)</f>
        <v>0</v>
      </c>
      <c r="F64" s="54">
        <f>1-VLOOKUP(D64,Activities!$A$8:$Q$180,17,FALSE)</f>
        <v>1</v>
      </c>
      <c r="G64" s="54" t="str">
        <f>VLOOKUP(D64,Activities!$A$9:$Q$180,2,FALSE)</f>
        <v>[PJ]</v>
      </c>
      <c r="H64" s="36">
        <v>-18.8</v>
      </c>
      <c r="I64" s="113">
        <v>1</v>
      </c>
      <c r="J64" s="79"/>
    </row>
    <row r="65" spans="1:10" x14ac:dyDescent="0.35">
      <c r="A65" s="5" t="str">
        <f>VLOOKUP(C65,Technologies!$A$7:$G$505,2,FALSE)</f>
        <v>Industrie</v>
      </c>
      <c r="B65" s="6" t="str">
        <f>VLOOKUP(C65,Technologies!$A$7:$G$505,7,FALSE)</f>
        <v>Propylene from PDH alkenation of Bio LPG - Petrochemicals</v>
      </c>
      <c r="C65" s="5" t="s">
        <v>890</v>
      </c>
      <c r="D65" s="54" t="s">
        <v>482</v>
      </c>
      <c r="E65" s="9">
        <f>VLOOKUP(D65,Activities!$A$8:$P$180,16,FALSE)</f>
        <v>6.3100000000000003E-2</v>
      </c>
      <c r="F65" s="54">
        <f>1-VLOOKUP(D65,Activities!$A$8:$Q$180,17,FALSE)</f>
        <v>0</v>
      </c>
      <c r="G65" s="54" t="str">
        <f>VLOOKUP(D65,Activities!$A$9:$Q$180,2,FALSE)</f>
        <v>[PJ]</v>
      </c>
      <c r="H65" s="125">
        <f>EnergyBalance!EC94</f>
        <v>-64.121071012805601</v>
      </c>
      <c r="I65" s="113">
        <v>1</v>
      </c>
      <c r="J65" s="79"/>
    </row>
    <row r="66" spans="1:10" x14ac:dyDescent="0.35">
      <c r="A66" s="5" t="str">
        <f>VLOOKUP(C66,Technologies!$A$7:$G$505,2,FALSE)</f>
        <v>Industrie</v>
      </c>
      <c r="B66" s="6" t="str">
        <f>VLOOKUP(C66,Technologies!$A$7:$G$505,7,FALSE)</f>
        <v>Sorting of plastic waste streams into categories</v>
      </c>
      <c r="C66" s="6" t="s">
        <v>977</v>
      </c>
      <c r="D66" s="9" t="s">
        <v>512</v>
      </c>
      <c r="E66" s="9">
        <f>VLOOKUP(D66,Activities!$A$8:$P$180,16,FALSE)</f>
        <v>2.3833333333333333</v>
      </c>
      <c r="F66" s="54">
        <f>1-VLOOKUP(D66,Activities!$A$8:$Q$180,17,FALSE)</f>
        <v>0.92999999999999994</v>
      </c>
      <c r="G66" s="54" t="str">
        <f>VLOOKUP(D66,Activities!$A$9:$Q$180,2,FALSE)</f>
        <v>[Mt]</v>
      </c>
      <c r="H66" s="134">
        <v>-1</v>
      </c>
      <c r="I66" s="113">
        <v>1</v>
      </c>
      <c r="J66" s="80"/>
    </row>
    <row r="67" spans="1:10" x14ac:dyDescent="0.35">
      <c r="A67" s="5" t="str">
        <f>VLOOKUP(C67,Technologies!$A$7:$G$505,2,FALSE)</f>
        <v>Industrie</v>
      </c>
      <c r="B67" s="6" t="str">
        <f>VLOOKUP(C67,Technologies!$A$7:$G$505,7,FALSE)</f>
        <v>Existing bionaphtha steam cracker - Petrochemical industry</v>
      </c>
      <c r="C67" s="5" t="s">
        <v>892</v>
      </c>
      <c r="D67" s="54" t="s">
        <v>477</v>
      </c>
      <c r="E67" s="9">
        <f>VLOOKUP(D67,Activities!$A$8:$P$180,16,FALSE)</f>
        <v>7.0999999999999994E-2</v>
      </c>
      <c r="F67" s="54">
        <f>1-VLOOKUP(D67,Activities!$A$8:$Q$180,17,FALSE)</f>
        <v>0</v>
      </c>
      <c r="G67" s="54" t="str">
        <f>VLOOKUP(D67,Activities!$A$9:$Q$180,2,FALSE)</f>
        <v>[PJ]</v>
      </c>
      <c r="H67" s="125">
        <f>EnergyBalance!DY95*0.8475</f>
        <v>-125.58663366336633</v>
      </c>
      <c r="I67" s="112">
        <v>1</v>
      </c>
      <c r="J67" s="79"/>
    </row>
    <row r="68" spans="1:10" x14ac:dyDescent="0.35">
      <c r="A68" s="6"/>
      <c r="B68" s="6"/>
      <c r="C68" s="6"/>
      <c r="D68" s="9"/>
      <c r="E68" s="9"/>
      <c r="F68" s="9"/>
      <c r="G68" s="9"/>
      <c r="H68" s="134"/>
      <c r="I68" s="113"/>
      <c r="J68" s="80"/>
    </row>
    <row r="69" spans="1:10" x14ac:dyDescent="0.35">
      <c r="A69" s="5"/>
      <c r="B69" s="5"/>
      <c r="C69" s="5"/>
      <c r="D69" s="54"/>
      <c r="E69" s="54"/>
      <c r="F69" s="54"/>
      <c r="G69" s="54"/>
      <c r="H69" s="125"/>
      <c r="I69" s="112"/>
      <c r="J69" s="79"/>
    </row>
    <row r="70" spans="1:10" x14ac:dyDescent="0.35">
      <c r="A70" s="6"/>
      <c r="B70" s="6"/>
      <c r="C70" s="6"/>
      <c r="D70" s="9"/>
      <c r="E70" s="9"/>
      <c r="F70" s="9"/>
      <c r="G70" s="9"/>
      <c r="H70" s="134"/>
      <c r="I70" s="113"/>
      <c r="J70" s="80"/>
    </row>
    <row r="71" spans="1:10" x14ac:dyDescent="0.35">
      <c r="A71" s="5"/>
      <c r="B71" s="5"/>
      <c r="C71" s="5"/>
      <c r="D71" s="54"/>
      <c r="E71" s="54"/>
      <c r="F71" s="54"/>
      <c r="G71" s="54"/>
      <c r="H71" s="125"/>
      <c r="I71" s="112"/>
      <c r="J71" s="79"/>
    </row>
    <row r="72" spans="1:10" x14ac:dyDescent="0.35">
      <c r="A72" s="6"/>
      <c r="B72" s="6"/>
      <c r="C72" s="6"/>
      <c r="D72" s="9"/>
      <c r="E72" s="9"/>
      <c r="F72" s="9"/>
      <c r="G72" s="9"/>
      <c r="H72" s="134"/>
      <c r="I72" s="113"/>
      <c r="J72" s="80"/>
    </row>
    <row r="73" spans="1:10" x14ac:dyDescent="0.35">
      <c r="A73" s="5"/>
      <c r="B73" s="5"/>
      <c r="C73" s="5"/>
      <c r="D73" s="54"/>
      <c r="E73" s="54"/>
      <c r="F73" s="54"/>
      <c r="G73" s="54"/>
      <c r="H73" s="125"/>
      <c r="I73" s="112"/>
      <c r="J73" s="79"/>
    </row>
    <row r="74" spans="1:10" x14ac:dyDescent="0.35">
      <c r="A74" s="6"/>
      <c r="B74" s="6"/>
      <c r="C74" s="6"/>
      <c r="D74" s="9"/>
      <c r="E74" s="9"/>
      <c r="F74" s="9"/>
      <c r="G74" s="9"/>
      <c r="H74" s="134"/>
      <c r="I74" s="113"/>
      <c r="J74" s="80"/>
    </row>
    <row r="75" spans="1:10" x14ac:dyDescent="0.35">
      <c r="A75" s="5"/>
      <c r="B75" s="5"/>
      <c r="C75" s="5"/>
      <c r="D75" s="54"/>
      <c r="E75" s="54"/>
      <c r="F75" s="54"/>
      <c r="G75" s="54"/>
      <c r="H75" s="125"/>
      <c r="I75" s="112"/>
      <c r="J75" s="79"/>
    </row>
    <row r="76" spans="1:10" x14ac:dyDescent="0.35">
      <c r="A76" s="6"/>
      <c r="B76" s="6"/>
      <c r="C76" s="6"/>
      <c r="D76" s="9"/>
      <c r="E76" s="9"/>
      <c r="F76" s="9"/>
      <c r="G76" s="9"/>
      <c r="H76" s="134"/>
      <c r="I76" s="113"/>
      <c r="J76" s="80"/>
    </row>
    <row r="77" spans="1:10" x14ac:dyDescent="0.35">
      <c r="A77" s="5"/>
      <c r="B77" s="5"/>
      <c r="C77" s="5"/>
      <c r="D77" s="54"/>
      <c r="E77" s="54"/>
      <c r="F77" s="54"/>
      <c r="G77" s="54"/>
      <c r="H77" s="125"/>
      <c r="I77" s="112"/>
      <c r="J77" s="79"/>
    </row>
    <row r="78" spans="1:10" x14ac:dyDescent="0.35">
      <c r="A78" s="6"/>
      <c r="B78" s="6"/>
      <c r="C78" s="6"/>
      <c r="D78" s="9"/>
      <c r="E78" s="9"/>
      <c r="F78" s="9"/>
      <c r="G78" s="9"/>
      <c r="H78" s="134"/>
      <c r="I78" s="113"/>
      <c r="J78" s="80"/>
    </row>
    <row r="79" spans="1:10" x14ac:dyDescent="0.35">
      <c r="A79" s="5"/>
      <c r="B79" s="5"/>
      <c r="C79" s="5"/>
      <c r="D79" s="54"/>
      <c r="E79" s="54"/>
      <c r="F79" s="54"/>
      <c r="G79" s="54"/>
      <c r="H79" s="125"/>
      <c r="I79" s="112"/>
      <c r="J79" s="79"/>
    </row>
    <row r="80" spans="1:10" x14ac:dyDescent="0.35">
      <c r="A80" s="6"/>
      <c r="B80" s="6"/>
      <c r="C80" s="6"/>
      <c r="D80" s="9"/>
      <c r="E80" s="9"/>
      <c r="F80" s="9"/>
      <c r="G80" s="9"/>
      <c r="H80" s="134"/>
      <c r="I80" s="113"/>
      <c r="J80" s="80"/>
    </row>
    <row r="81" spans="1:10" x14ac:dyDescent="0.35">
      <c r="A81" s="5"/>
      <c r="B81" s="5"/>
      <c r="C81" s="5"/>
      <c r="D81" s="54"/>
      <c r="E81" s="54"/>
      <c r="F81" s="54"/>
      <c r="G81" s="54"/>
      <c r="H81" s="125"/>
      <c r="I81" s="112"/>
      <c r="J81" s="79"/>
    </row>
    <row r="82" spans="1:10" x14ac:dyDescent="0.35">
      <c r="A82" s="6"/>
      <c r="B82" s="6"/>
      <c r="C82" s="6"/>
      <c r="D82" s="9"/>
      <c r="E82" s="9"/>
      <c r="F82" s="9"/>
      <c r="G82" s="9"/>
      <c r="H82" s="134"/>
      <c r="I82" s="113"/>
      <c r="J82" s="80"/>
    </row>
    <row r="83" spans="1:10" x14ac:dyDescent="0.35">
      <c r="A83" s="5"/>
      <c r="B83" s="5"/>
      <c r="C83" s="5"/>
      <c r="D83" s="54"/>
      <c r="E83" s="54"/>
      <c r="F83" s="54"/>
      <c r="G83" s="54"/>
      <c r="H83" s="125"/>
      <c r="I83" s="112"/>
      <c r="J83" s="79"/>
    </row>
    <row r="84" spans="1:10" x14ac:dyDescent="0.35">
      <c r="A84" s="6"/>
      <c r="B84" s="6"/>
      <c r="C84" s="6"/>
      <c r="D84" s="9"/>
      <c r="E84" s="9"/>
      <c r="F84" s="9"/>
      <c r="G84" s="9"/>
      <c r="H84" s="134"/>
      <c r="I84" s="113"/>
      <c r="J84" s="80"/>
    </row>
    <row r="85" spans="1:10" x14ac:dyDescent="0.35">
      <c r="A85" s="5"/>
      <c r="B85" s="5"/>
      <c r="C85" s="5"/>
      <c r="D85" s="54"/>
      <c r="E85" s="54"/>
      <c r="F85" s="54"/>
      <c r="G85" s="54"/>
      <c r="H85" s="125"/>
      <c r="I85" s="112"/>
      <c r="J85" s="79"/>
    </row>
    <row r="86" spans="1:10" x14ac:dyDescent="0.35">
      <c r="A86" s="6"/>
      <c r="B86" s="6"/>
      <c r="C86" s="6"/>
      <c r="D86" s="9"/>
      <c r="E86" s="9"/>
      <c r="F86" s="9"/>
      <c r="G86" s="9"/>
      <c r="H86" s="134"/>
      <c r="I86" s="113"/>
      <c r="J86" s="80"/>
    </row>
    <row r="87" spans="1:10" x14ac:dyDescent="0.35">
      <c r="A87" s="5"/>
      <c r="B87" s="5"/>
      <c r="C87" s="5"/>
      <c r="D87" s="54"/>
      <c r="E87" s="54"/>
      <c r="F87" s="54"/>
      <c r="G87" s="54"/>
      <c r="H87" s="125"/>
      <c r="I87" s="112"/>
      <c r="J87" s="79"/>
    </row>
    <row r="88" spans="1:10" x14ac:dyDescent="0.35">
      <c r="A88" s="6"/>
      <c r="B88" s="6"/>
      <c r="C88" s="6"/>
      <c r="D88" s="9"/>
      <c r="E88" s="9"/>
      <c r="F88" s="9"/>
      <c r="G88" s="9"/>
      <c r="H88" s="134"/>
      <c r="I88" s="113"/>
      <c r="J88" s="80"/>
    </row>
    <row r="89" spans="1:10" x14ac:dyDescent="0.35">
      <c r="A89" s="5"/>
      <c r="B89" s="5"/>
      <c r="C89" s="5"/>
      <c r="D89" s="54"/>
      <c r="E89" s="54"/>
      <c r="F89" s="54"/>
      <c r="G89" s="54"/>
      <c r="H89" s="125"/>
      <c r="I89" s="112"/>
      <c r="J89" s="79"/>
    </row>
    <row r="90" spans="1:10" x14ac:dyDescent="0.35">
      <c r="A90" s="6"/>
      <c r="B90" s="6"/>
      <c r="C90" s="6"/>
      <c r="D90" s="9"/>
      <c r="E90" s="9"/>
      <c r="F90" s="9"/>
      <c r="G90" s="9"/>
      <c r="H90" s="134"/>
      <c r="I90" s="113"/>
      <c r="J90" s="80"/>
    </row>
    <row r="91" spans="1:10" x14ac:dyDescent="0.35">
      <c r="A91" s="5"/>
      <c r="B91" s="5"/>
      <c r="C91" s="5"/>
      <c r="D91" s="54"/>
      <c r="E91" s="54"/>
      <c r="F91" s="54"/>
      <c r="G91" s="54"/>
      <c r="H91" s="125"/>
      <c r="I91" s="112"/>
      <c r="J91" s="79"/>
    </row>
    <row r="92" spans="1:10" x14ac:dyDescent="0.35">
      <c r="A92" s="6"/>
      <c r="B92" s="6"/>
      <c r="C92" s="6"/>
      <c r="D92" s="9"/>
      <c r="E92" s="9"/>
      <c r="F92" s="9"/>
      <c r="G92" s="9"/>
      <c r="H92" s="134"/>
      <c r="I92" s="113"/>
      <c r="J92" s="80"/>
    </row>
    <row r="93" spans="1:10" x14ac:dyDescent="0.35">
      <c r="A93" s="5"/>
      <c r="B93" s="5"/>
      <c r="C93" s="5"/>
      <c r="D93" s="54"/>
      <c r="E93" s="54"/>
      <c r="F93" s="54"/>
      <c r="G93" s="54"/>
      <c r="H93" s="125"/>
      <c r="I93" s="112"/>
      <c r="J93" s="79"/>
    </row>
    <row r="94" spans="1:10" x14ac:dyDescent="0.35">
      <c r="A94" s="6"/>
      <c r="B94" s="6"/>
      <c r="C94" s="6"/>
      <c r="D94" s="9"/>
      <c r="E94" s="9"/>
      <c r="F94" s="9"/>
      <c r="G94" s="9"/>
      <c r="H94" s="134"/>
      <c r="I94" s="113"/>
      <c r="J94" s="80"/>
    </row>
    <row r="95" spans="1:10" x14ac:dyDescent="0.35">
      <c r="A95" s="5"/>
      <c r="B95" s="5"/>
      <c r="C95" s="5"/>
      <c r="D95" s="54"/>
      <c r="E95" s="54"/>
      <c r="F95" s="54"/>
      <c r="G95" s="54"/>
      <c r="H95" s="125"/>
      <c r="I95" s="112"/>
      <c r="J95" s="79"/>
    </row>
    <row r="96" spans="1:10" x14ac:dyDescent="0.35">
      <c r="A96" s="6"/>
      <c r="B96" s="6"/>
      <c r="C96" s="6"/>
      <c r="D96" s="9"/>
      <c r="E96" s="9"/>
      <c r="F96" s="9"/>
      <c r="G96" s="9"/>
      <c r="H96" s="134"/>
      <c r="I96" s="113"/>
      <c r="J96" s="80"/>
    </row>
    <row r="97" spans="1:10" x14ac:dyDescent="0.35">
      <c r="A97" s="5"/>
      <c r="B97" s="5"/>
      <c r="C97" s="5"/>
      <c r="D97" s="54"/>
      <c r="E97" s="54"/>
      <c r="F97" s="54"/>
      <c r="G97" s="54"/>
      <c r="H97" s="125"/>
      <c r="I97" s="112"/>
      <c r="J97" s="79"/>
    </row>
    <row r="98" spans="1:10" x14ac:dyDescent="0.35">
      <c r="A98" s="6"/>
      <c r="B98" s="6"/>
      <c r="C98" s="6"/>
      <c r="D98" s="9"/>
      <c r="E98" s="9"/>
      <c r="F98" s="9"/>
      <c r="G98" s="9"/>
      <c r="H98" s="134"/>
      <c r="I98" s="113"/>
      <c r="J98" s="80"/>
    </row>
    <row r="99" spans="1:10" x14ac:dyDescent="0.35">
      <c r="A99" s="5"/>
      <c r="B99" s="5"/>
      <c r="C99" s="5"/>
      <c r="D99" s="54"/>
      <c r="E99" s="54"/>
      <c r="F99" s="54"/>
      <c r="G99" s="54"/>
      <c r="H99" s="125"/>
      <c r="I99" s="112"/>
      <c r="J99" s="79"/>
    </row>
    <row r="100" spans="1:10" x14ac:dyDescent="0.35">
      <c r="A100" s="6"/>
      <c r="B100" s="6"/>
      <c r="C100" s="6"/>
      <c r="D100" s="9"/>
      <c r="E100" s="9"/>
      <c r="F100" s="9"/>
      <c r="G100" s="9"/>
      <c r="H100" s="134"/>
      <c r="I100" s="113"/>
      <c r="J100" s="80"/>
    </row>
    <row r="101" spans="1:10" x14ac:dyDescent="0.35">
      <c r="A101" s="5"/>
      <c r="B101" s="5"/>
      <c r="C101" s="5"/>
      <c r="D101" s="54"/>
      <c r="E101" s="54"/>
      <c r="F101" s="54"/>
      <c r="G101" s="54"/>
      <c r="H101" s="125"/>
      <c r="I101" s="112"/>
      <c r="J101" s="79"/>
    </row>
    <row r="102" spans="1:10" x14ac:dyDescent="0.35">
      <c r="A102" s="6"/>
      <c r="B102" s="6"/>
      <c r="C102" s="6"/>
      <c r="D102" s="9"/>
      <c r="E102" s="9"/>
      <c r="F102" s="9"/>
      <c r="G102" s="9"/>
      <c r="H102" s="134"/>
      <c r="I102" s="113"/>
      <c r="J102" s="80"/>
    </row>
    <row r="103" spans="1:10" x14ac:dyDescent="0.35">
      <c r="A103" s="5"/>
      <c r="B103" s="5"/>
      <c r="C103" s="5"/>
      <c r="D103" s="54"/>
      <c r="E103" s="54"/>
      <c r="F103" s="54"/>
      <c r="G103" s="54"/>
      <c r="H103" s="125"/>
      <c r="I103" s="112"/>
      <c r="J103" s="79"/>
    </row>
    <row r="104" spans="1:10" x14ac:dyDescent="0.35">
      <c r="A104" s="6"/>
      <c r="B104" s="6"/>
      <c r="C104" s="6"/>
      <c r="D104" s="9"/>
      <c r="E104" s="9"/>
      <c r="F104" s="9"/>
      <c r="G104" s="9"/>
      <c r="H104" s="134"/>
      <c r="I104" s="113"/>
      <c r="J104" s="80"/>
    </row>
    <row r="105" spans="1:10" x14ac:dyDescent="0.35">
      <c r="A105" s="5"/>
      <c r="B105" s="5"/>
      <c r="C105" s="5"/>
      <c r="D105" s="54"/>
      <c r="E105" s="54"/>
      <c r="F105" s="54"/>
      <c r="G105" s="54"/>
      <c r="H105" s="125"/>
      <c r="I105" s="112"/>
      <c r="J105" s="79"/>
    </row>
    <row r="106" spans="1:10" x14ac:dyDescent="0.35">
      <c r="A106" s="6"/>
      <c r="B106" s="6"/>
      <c r="C106" s="6"/>
      <c r="D106" s="9"/>
      <c r="E106" s="9"/>
      <c r="F106" s="9"/>
      <c r="G106" s="9"/>
      <c r="H106" s="134"/>
      <c r="I106" s="113"/>
      <c r="J106" s="80"/>
    </row>
    <row r="107" spans="1:10" x14ac:dyDescent="0.35">
      <c r="A107" s="5"/>
      <c r="B107" s="5"/>
      <c r="C107" s="5"/>
      <c r="D107" s="54"/>
      <c r="E107" s="54"/>
      <c r="F107" s="54"/>
      <c r="G107" s="54"/>
      <c r="H107" s="125"/>
      <c r="I107" s="112"/>
      <c r="J107" s="79"/>
    </row>
    <row r="108" spans="1:10" x14ac:dyDescent="0.35">
      <c r="A108" s="6"/>
      <c r="B108" s="6"/>
      <c r="C108" s="6"/>
      <c r="D108" s="9"/>
      <c r="E108" s="9"/>
      <c r="F108" s="9"/>
      <c r="G108" s="9"/>
      <c r="H108" s="134"/>
      <c r="I108" s="113"/>
      <c r="J108" s="80"/>
    </row>
    <row r="109" spans="1:10" x14ac:dyDescent="0.35">
      <c r="A109" s="5"/>
      <c r="B109" s="5"/>
      <c r="C109" s="5"/>
      <c r="D109" s="54"/>
      <c r="E109" s="54"/>
      <c r="F109" s="54"/>
      <c r="G109" s="54"/>
      <c r="H109" s="125"/>
      <c r="I109" s="112"/>
      <c r="J109" s="79"/>
    </row>
    <row r="110" spans="1:10" x14ac:dyDescent="0.35">
      <c r="A110" s="6"/>
      <c r="B110" s="6"/>
      <c r="C110" s="6"/>
      <c r="D110" s="9"/>
      <c r="E110" s="9"/>
      <c r="F110" s="9"/>
      <c r="G110" s="9"/>
      <c r="H110" s="134"/>
      <c r="I110" s="113"/>
      <c r="J110" s="80"/>
    </row>
    <row r="111" spans="1:10" x14ac:dyDescent="0.35">
      <c r="A111" s="5"/>
      <c r="B111" s="5"/>
      <c r="C111" s="5"/>
      <c r="D111" s="54"/>
      <c r="E111" s="54"/>
      <c r="F111" s="54"/>
      <c r="G111" s="54"/>
      <c r="H111" s="125"/>
      <c r="I111" s="112"/>
      <c r="J111" s="79"/>
    </row>
    <row r="112" spans="1:10" x14ac:dyDescent="0.35">
      <c r="A112" s="6"/>
      <c r="B112" s="6"/>
      <c r="C112" s="6"/>
      <c r="D112" s="9"/>
      <c r="E112" s="9"/>
      <c r="F112" s="9"/>
      <c r="G112" s="9"/>
      <c r="H112" s="134"/>
      <c r="I112" s="113"/>
      <c r="J112" s="80"/>
    </row>
    <row r="113" spans="1:10" x14ac:dyDescent="0.35">
      <c r="A113" s="5"/>
      <c r="B113" s="5"/>
      <c r="C113" s="5"/>
      <c r="D113" s="54"/>
      <c r="E113" s="54"/>
      <c r="F113" s="54"/>
      <c r="G113" s="54"/>
      <c r="H113" s="125"/>
      <c r="I113" s="112"/>
      <c r="J113" s="79"/>
    </row>
    <row r="114" spans="1:10" x14ac:dyDescent="0.35">
      <c r="A114" s="6"/>
      <c r="B114" s="6"/>
      <c r="C114" s="6"/>
      <c r="D114" s="9"/>
      <c r="E114" s="9"/>
      <c r="F114" s="9"/>
      <c r="G114" s="9"/>
      <c r="H114" s="134"/>
      <c r="I114" s="113"/>
      <c r="J114" s="80"/>
    </row>
    <row r="115" spans="1:10" x14ac:dyDescent="0.35">
      <c r="A115" s="5"/>
      <c r="B115" s="5"/>
      <c r="C115" s="5"/>
      <c r="D115" s="54"/>
      <c r="E115" s="54"/>
      <c r="F115" s="54"/>
      <c r="G115" s="54"/>
      <c r="H115" s="125"/>
      <c r="I115" s="112"/>
      <c r="J115" s="79"/>
    </row>
    <row r="116" spans="1:10" x14ac:dyDescent="0.35">
      <c r="A116" s="6"/>
      <c r="B116" s="6"/>
      <c r="C116" s="6"/>
      <c r="D116" s="9"/>
      <c r="E116" s="9"/>
      <c r="F116" s="9"/>
      <c r="G116" s="9"/>
      <c r="H116" s="134"/>
      <c r="I116" s="113"/>
      <c r="J116" s="80"/>
    </row>
    <row r="117" spans="1:10" x14ac:dyDescent="0.35">
      <c r="A117" s="5"/>
      <c r="B117" s="5"/>
      <c r="C117" s="5"/>
      <c r="D117" s="54"/>
      <c r="E117" s="54"/>
      <c r="F117" s="54"/>
      <c r="G117" s="54"/>
      <c r="H117" s="125"/>
      <c r="I117" s="112"/>
      <c r="J117" s="79"/>
    </row>
    <row r="118" spans="1:10" x14ac:dyDescent="0.35">
      <c r="A118" s="6"/>
      <c r="B118" s="6"/>
      <c r="C118" s="6"/>
      <c r="D118" s="9"/>
      <c r="E118" s="9"/>
      <c r="F118" s="9"/>
      <c r="G118" s="9"/>
      <c r="H118" s="134"/>
      <c r="I118" s="113"/>
      <c r="J118" s="80"/>
    </row>
    <row r="119" spans="1:10" x14ac:dyDescent="0.35">
      <c r="A119" s="5"/>
      <c r="B119" s="5"/>
      <c r="C119" s="5"/>
      <c r="D119" s="54"/>
      <c r="E119" s="54"/>
      <c r="F119" s="54"/>
      <c r="G119" s="54"/>
      <c r="H119" s="125"/>
      <c r="I119" s="112"/>
      <c r="J119" s="79"/>
    </row>
    <row r="120" spans="1:10" x14ac:dyDescent="0.35">
      <c r="A120" s="6"/>
      <c r="B120" s="6"/>
      <c r="C120" s="6"/>
      <c r="D120" s="9"/>
      <c r="E120" s="9"/>
      <c r="F120" s="9"/>
      <c r="G120" s="9"/>
      <c r="H120" s="134"/>
      <c r="I120" s="113"/>
      <c r="J120" s="80"/>
    </row>
    <row r="121" spans="1:10" x14ac:dyDescent="0.35">
      <c r="A121" s="5"/>
      <c r="B121" s="5"/>
      <c r="C121" s="5"/>
      <c r="D121" s="54"/>
      <c r="E121" s="54"/>
      <c r="F121" s="54"/>
      <c r="G121" s="54"/>
      <c r="H121" s="125"/>
      <c r="I121" s="112"/>
      <c r="J121" s="79"/>
    </row>
    <row r="122" spans="1:10" x14ac:dyDescent="0.35">
      <c r="A122" s="6"/>
      <c r="B122" s="6"/>
      <c r="C122" s="6"/>
      <c r="D122" s="9"/>
      <c r="E122" s="9"/>
      <c r="F122" s="9"/>
      <c r="G122" s="9"/>
      <c r="H122" s="134"/>
      <c r="I122" s="113"/>
      <c r="J122" s="80"/>
    </row>
    <row r="123" spans="1:10" x14ac:dyDescent="0.35">
      <c r="A123" s="5"/>
      <c r="B123" s="5"/>
      <c r="C123" s="5"/>
      <c r="D123" s="54"/>
      <c r="E123" s="54"/>
      <c r="F123" s="54"/>
      <c r="G123" s="54"/>
      <c r="H123" s="125"/>
      <c r="I123" s="112"/>
      <c r="J123" s="79"/>
    </row>
    <row r="124" spans="1:10" x14ac:dyDescent="0.35">
      <c r="A124" s="6"/>
      <c r="B124" s="6"/>
      <c r="C124" s="6"/>
      <c r="D124" s="9"/>
      <c r="E124" s="9"/>
      <c r="F124" s="9"/>
      <c r="G124" s="9"/>
      <c r="H124" s="134"/>
      <c r="I124" s="113"/>
      <c r="J124" s="80"/>
    </row>
    <row r="125" spans="1:10" x14ac:dyDescent="0.35">
      <c r="A125" s="5"/>
      <c r="B125" s="5"/>
      <c r="C125" s="5"/>
      <c r="D125" s="54"/>
      <c r="E125" s="54"/>
      <c r="F125" s="54"/>
      <c r="G125" s="54"/>
      <c r="H125" s="125"/>
      <c r="I125" s="112"/>
      <c r="J125" s="79"/>
    </row>
    <row r="126" spans="1:10" x14ac:dyDescent="0.35">
      <c r="A126" s="6"/>
      <c r="B126" s="6"/>
      <c r="C126" s="6"/>
      <c r="D126" s="9"/>
      <c r="E126" s="9"/>
      <c r="F126" s="9"/>
      <c r="G126" s="9"/>
      <c r="H126" s="134"/>
      <c r="I126" s="113"/>
      <c r="J126" s="80"/>
    </row>
    <row r="127" spans="1:10" x14ac:dyDescent="0.35">
      <c r="A127" s="5"/>
      <c r="B127" s="5"/>
      <c r="C127" s="5"/>
      <c r="D127" s="54"/>
      <c r="E127" s="54"/>
      <c r="F127" s="54"/>
      <c r="G127" s="54"/>
      <c r="H127" s="125"/>
      <c r="I127" s="112"/>
      <c r="J127" s="79"/>
    </row>
    <row r="128" spans="1:10" x14ac:dyDescent="0.35">
      <c r="A128" s="6"/>
      <c r="B128" s="6"/>
      <c r="C128" s="6"/>
      <c r="D128" s="9"/>
      <c r="E128" s="9"/>
      <c r="F128" s="9"/>
      <c r="G128" s="9"/>
      <c r="H128" s="134"/>
      <c r="I128" s="113"/>
      <c r="J128" s="80"/>
    </row>
    <row r="129" spans="1:10" x14ac:dyDescent="0.35">
      <c r="A129" s="5"/>
      <c r="B129" s="5"/>
      <c r="C129" s="5"/>
      <c r="D129" s="54"/>
      <c r="E129" s="54"/>
      <c r="F129" s="54"/>
      <c r="G129" s="54"/>
      <c r="H129" s="125"/>
      <c r="I129" s="112"/>
      <c r="J129" s="79"/>
    </row>
    <row r="130" spans="1:10" x14ac:dyDescent="0.35">
      <c r="A130" s="6"/>
      <c r="B130" s="6"/>
      <c r="C130" s="6"/>
      <c r="D130" s="9"/>
      <c r="E130" s="9"/>
      <c r="F130" s="9"/>
      <c r="G130" s="9"/>
      <c r="H130" s="134"/>
      <c r="I130" s="113"/>
      <c r="J130" s="80"/>
    </row>
    <row r="131" spans="1:10" x14ac:dyDescent="0.35">
      <c r="A131" s="5"/>
      <c r="B131" s="5"/>
      <c r="C131" s="5"/>
      <c r="D131" s="54"/>
      <c r="E131" s="54"/>
      <c r="F131" s="54"/>
      <c r="G131" s="54"/>
      <c r="H131" s="125"/>
      <c r="I131" s="112"/>
      <c r="J131" s="79"/>
    </row>
    <row r="132" spans="1:10" x14ac:dyDescent="0.35">
      <c r="A132" s="6"/>
      <c r="B132" s="6"/>
      <c r="C132" s="6"/>
      <c r="D132" s="9"/>
      <c r="E132" s="9"/>
      <c r="F132" s="9"/>
      <c r="G132" s="9"/>
      <c r="H132" s="134"/>
      <c r="I132" s="113"/>
      <c r="J132" s="80"/>
    </row>
    <row r="133" spans="1:10" x14ac:dyDescent="0.35">
      <c r="A133" s="5"/>
      <c r="B133" s="5"/>
      <c r="C133" s="5"/>
      <c r="D133" s="54"/>
      <c r="E133" s="54"/>
      <c r="F133" s="54"/>
      <c r="G133" s="54"/>
      <c r="H133" s="125"/>
      <c r="I133" s="112"/>
      <c r="J133" s="79"/>
    </row>
    <row r="134" spans="1:10" x14ac:dyDescent="0.35">
      <c r="A134" s="6"/>
      <c r="B134" s="6"/>
      <c r="C134" s="6"/>
      <c r="D134" s="9"/>
      <c r="E134" s="9"/>
      <c r="F134" s="9"/>
      <c r="G134" s="9"/>
      <c r="H134" s="134"/>
      <c r="I134" s="113"/>
      <c r="J134" s="80"/>
    </row>
    <row r="135" spans="1:10" x14ac:dyDescent="0.35">
      <c r="A135" s="5"/>
      <c r="B135" s="5"/>
      <c r="C135" s="5"/>
      <c r="D135" s="54"/>
      <c r="E135" s="54"/>
      <c r="F135" s="54"/>
      <c r="G135" s="54"/>
      <c r="H135" s="125"/>
      <c r="I135" s="112"/>
      <c r="J135" s="79"/>
    </row>
    <row r="136" spans="1:10" x14ac:dyDescent="0.35">
      <c r="A136" s="6"/>
      <c r="B136" s="6"/>
      <c r="C136" s="6"/>
      <c r="D136" s="9"/>
      <c r="E136" s="9"/>
      <c r="F136" s="9"/>
      <c r="G136" s="9"/>
      <c r="H136" s="134"/>
      <c r="I136" s="113"/>
      <c r="J136" s="80"/>
    </row>
    <row r="137" spans="1:10" x14ac:dyDescent="0.35">
      <c r="A137" s="5"/>
      <c r="B137" s="5"/>
      <c r="C137" s="5"/>
      <c r="D137" s="54"/>
      <c r="E137" s="54"/>
      <c r="F137" s="54"/>
      <c r="G137" s="54"/>
      <c r="H137" s="125"/>
      <c r="I137" s="112"/>
      <c r="J137" s="79"/>
    </row>
    <row r="138" spans="1:10" x14ac:dyDescent="0.35">
      <c r="A138" s="6"/>
      <c r="B138" s="6"/>
      <c r="C138" s="6"/>
      <c r="D138" s="9"/>
      <c r="E138" s="9"/>
      <c r="F138" s="9"/>
      <c r="G138" s="9"/>
      <c r="H138" s="134"/>
      <c r="I138" s="113"/>
      <c r="J138" s="80"/>
    </row>
    <row r="139" spans="1:10" x14ac:dyDescent="0.35">
      <c r="A139" s="5"/>
      <c r="B139" s="5"/>
      <c r="C139" s="5"/>
      <c r="D139" s="54"/>
      <c r="E139" s="54"/>
      <c r="F139" s="54"/>
      <c r="G139" s="54"/>
      <c r="H139" s="125"/>
      <c r="I139" s="112"/>
      <c r="J139" s="79"/>
    </row>
    <row r="140" spans="1:10" x14ac:dyDescent="0.35">
      <c r="A140" s="6"/>
      <c r="B140" s="6"/>
      <c r="C140" s="6"/>
      <c r="D140" s="9"/>
      <c r="E140" s="9"/>
      <c r="F140" s="9"/>
      <c r="G140" s="9"/>
      <c r="H140" s="134"/>
      <c r="I140" s="113"/>
      <c r="J140" s="80"/>
    </row>
    <row r="141" spans="1:10" x14ac:dyDescent="0.35">
      <c r="A141" s="5"/>
      <c r="B141" s="5"/>
      <c r="C141" s="5"/>
      <c r="D141" s="54"/>
      <c r="E141" s="54"/>
      <c r="F141" s="54"/>
      <c r="G141" s="54"/>
      <c r="H141" s="125"/>
      <c r="I141" s="112"/>
      <c r="J141" s="79"/>
    </row>
    <row r="142" spans="1:10" x14ac:dyDescent="0.35">
      <c r="A142" s="6"/>
      <c r="B142" s="6"/>
      <c r="C142" s="6"/>
      <c r="D142" s="9"/>
      <c r="E142" s="9"/>
      <c r="F142" s="9"/>
      <c r="G142" s="9"/>
      <c r="H142" s="134"/>
      <c r="I142" s="113"/>
      <c r="J142" s="80"/>
    </row>
    <row r="143" spans="1:10" x14ac:dyDescent="0.35">
      <c r="A143" s="5"/>
      <c r="B143" s="5"/>
      <c r="C143" s="5"/>
      <c r="D143" s="54"/>
      <c r="E143" s="54"/>
      <c r="F143" s="54"/>
      <c r="G143" s="54"/>
      <c r="H143" s="125"/>
      <c r="I143" s="112"/>
      <c r="J143" s="79"/>
    </row>
    <row r="144" spans="1:10" x14ac:dyDescent="0.35">
      <c r="A144" s="6"/>
      <c r="B144" s="6"/>
      <c r="C144" s="6"/>
      <c r="D144" s="9"/>
      <c r="E144" s="9"/>
      <c r="F144" s="9"/>
      <c r="G144" s="9"/>
      <c r="H144" s="134"/>
      <c r="I144" s="113"/>
      <c r="J144" s="80"/>
    </row>
    <row r="145" spans="1:10" x14ac:dyDescent="0.35">
      <c r="A145" s="5"/>
      <c r="B145" s="5"/>
      <c r="C145" s="5"/>
      <c r="D145" s="54"/>
      <c r="E145" s="54"/>
      <c r="F145" s="54"/>
      <c r="G145" s="54"/>
      <c r="H145" s="125"/>
      <c r="I145" s="112"/>
      <c r="J145" s="79"/>
    </row>
    <row r="146" spans="1:10" x14ac:dyDescent="0.35">
      <c r="A146" s="6"/>
      <c r="B146" s="6"/>
      <c r="C146" s="6"/>
      <c r="D146" s="9"/>
      <c r="E146" s="9"/>
      <c r="F146" s="9"/>
      <c r="G146" s="9"/>
      <c r="H146" s="134"/>
      <c r="I146" s="113"/>
      <c r="J146" s="80"/>
    </row>
    <row r="147" spans="1:10" x14ac:dyDescent="0.35">
      <c r="A147" s="5"/>
      <c r="B147" s="5"/>
      <c r="C147" s="5"/>
      <c r="D147" s="54"/>
      <c r="E147" s="54"/>
      <c r="F147" s="54"/>
      <c r="G147" s="54"/>
      <c r="H147" s="125"/>
      <c r="I147" s="112"/>
      <c r="J147" s="79"/>
    </row>
    <row r="148" spans="1:10" x14ac:dyDescent="0.35">
      <c r="A148" s="6"/>
      <c r="B148" s="6"/>
      <c r="C148" s="6"/>
      <c r="D148" s="9"/>
      <c r="E148" s="9"/>
      <c r="F148" s="9"/>
      <c r="G148" s="9"/>
      <c r="H148" s="134"/>
      <c r="I148" s="113"/>
      <c r="J148" s="80"/>
    </row>
    <row r="149" spans="1:10" x14ac:dyDescent="0.35">
      <c r="A149" s="5"/>
      <c r="B149" s="5"/>
      <c r="C149" s="5"/>
      <c r="D149" s="54"/>
      <c r="E149" s="54"/>
      <c r="F149" s="54"/>
      <c r="G149" s="54"/>
      <c r="H149" s="125"/>
      <c r="I149" s="112"/>
      <c r="J149" s="79"/>
    </row>
    <row r="150" spans="1:10" x14ac:dyDescent="0.35">
      <c r="A150" s="6"/>
      <c r="B150" s="6"/>
      <c r="C150" s="6"/>
      <c r="D150" s="9"/>
      <c r="E150" s="9"/>
      <c r="F150" s="9"/>
      <c r="G150" s="9"/>
      <c r="H150" s="134"/>
      <c r="I150" s="113"/>
      <c r="J150" s="80"/>
    </row>
    <row r="151" spans="1:10" x14ac:dyDescent="0.35">
      <c r="A151" s="5"/>
      <c r="B151" s="5"/>
      <c r="C151" s="5"/>
      <c r="D151" s="54"/>
      <c r="E151" s="54"/>
      <c r="F151" s="54"/>
      <c r="G151" s="54"/>
      <c r="H151" s="125"/>
      <c r="I151" s="112"/>
      <c r="J151" s="79"/>
    </row>
    <row r="152" spans="1:10" x14ac:dyDescent="0.35">
      <c r="A152" s="6"/>
      <c r="B152" s="6"/>
      <c r="C152" s="6"/>
      <c r="D152" s="9"/>
      <c r="E152" s="9"/>
      <c r="F152" s="9"/>
      <c r="G152" s="9"/>
      <c r="H152" s="134"/>
      <c r="I152" s="113"/>
      <c r="J152" s="80"/>
    </row>
    <row r="153" spans="1:10" x14ac:dyDescent="0.35">
      <c r="A153" s="5"/>
      <c r="B153" s="5"/>
      <c r="C153" s="5"/>
      <c r="D153" s="54"/>
      <c r="E153" s="54"/>
      <c r="F153" s="54"/>
      <c r="G153" s="54"/>
      <c r="H153" s="125"/>
      <c r="I153" s="112"/>
      <c r="J153" s="79"/>
    </row>
    <row r="154" spans="1:10" x14ac:dyDescent="0.35">
      <c r="A154" s="6"/>
      <c r="B154" s="6"/>
      <c r="C154" s="6"/>
      <c r="D154" s="9"/>
      <c r="E154" s="9"/>
      <c r="F154" s="9"/>
      <c r="G154" s="9"/>
      <c r="H154" s="134"/>
      <c r="I154" s="113"/>
      <c r="J154" s="80"/>
    </row>
    <row r="155" spans="1:10" x14ac:dyDescent="0.35">
      <c r="A155" s="5"/>
      <c r="B155" s="5"/>
      <c r="C155" s="5"/>
      <c r="D155" s="54"/>
      <c r="E155" s="54"/>
      <c r="F155" s="54"/>
      <c r="G155" s="54"/>
      <c r="H155" s="125"/>
      <c r="I155" s="112"/>
      <c r="J155" s="79"/>
    </row>
    <row r="156" spans="1:10" x14ac:dyDescent="0.35">
      <c r="A156" s="6"/>
      <c r="B156" s="6"/>
      <c r="C156" s="6"/>
      <c r="D156" s="9"/>
      <c r="E156" s="9"/>
      <c r="F156" s="9"/>
      <c r="G156" s="9"/>
      <c r="H156" s="134"/>
      <c r="I156" s="113"/>
      <c r="J156" s="80"/>
    </row>
    <row r="157" spans="1:10" x14ac:dyDescent="0.35">
      <c r="A157" s="5"/>
      <c r="B157" s="5"/>
      <c r="C157" s="5"/>
      <c r="D157" s="54"/>
      <c r="E157" s="54"/>
      <c r="F157" s="54"/>
      <c r="G157" s="54"/>
      <c r="H157" s="125"/>
      <c r="I157" s="112"/>
      <c r="J157" s="79"/>
    </row>
    <row r="158" spans="1:10" x14ac:dyDescent="0.35">
      <c r="A158" s="6"/>
      <c r="B158" s="6"/>
      <c r="C158" s="6"/>
      <c r="D158" s="9"/>
      <c r="E158" s="9"/>
      <c r="F158" s="9"/>
      <c r="G158" s="9"/>
      <c r="H158" s="134"/>
      <c r="I158" s="113"/>
      <c r="J158" s="80"/>
    </row>
    <row r="159" spans="1:10" x14ac:dyDescent="0.35">
      <c r="A159" s="5"/>
      <c r="B159" s="5"/>
      <c r="C159" s="5"/>
      <c r="D159" s="54"/>
      <c r="E159" s="54"/>
      <c r="F159" s="54"/>
      <c r="G159" s="54"/>
      <c r="H159" s="125"/>
      <c r="I159" s="112"/>
      <c r="J159" s="79"/>
    </row>
    <row r="160" spans="1:10" x14ac:dyDescent="0.35">
      <c r="A160" s="6"/>
      <c r="B160" s="6"/>
      <c r="C160" s="6"/>
      <c r="D160" s="9"/>
      <c r="E160" s="9"/>
      <c r="F160" s="9"/>
      <c r="G160" s="9"/>
      <c r="H160" s="134"/>
      <c r="I160" s="113"/>
      <c r="J160" s="80"/>
    </row>
    <row r="161" spans="1:10" x14ac:dyDescent="0.35">
      <c r="A161" s="5"/>
      <c r="B161" s="5"/>
      <c r="C161" s="5"/>
      <c r="D161" s="54"/>
      <c r="E161" s="54"/>
      <c r="F161" s="54"/>
      <c r="G161" s="54"/>
      <c r="H161" s="125"/>
      <c r="I161" s="112"/>
      <c r="J161" s="79"/>
    </row>
    <row r="162" spans="1:10" x14ac:dyDescent="0.35">
      <c r="A162" s="6"/>
      <c r="B162" s="6"/>
      <c r="C162" s="6"/>
      <c r="D162" s="9"/>
      <c r="E162" s="9"/>
      <c r="F162" s="9"/>
      <c r="G162" s="9"/>
      <c r="H162" s="134"/>
      <c r="I162" s="113"/>
      <c r="J162" s="80"/>
    </row>
    <row r="163" spans="1:10" x14ac:dyDescent="0.35">
      <c r="A163" s="5"/>
      <c r="B163" s="5"/>
      <c r="C163" s="5"/>
      <c r="D163" s="54"/>
      <c r="E163" s="54"/>
      <c r="F163" s="54"/>
      <c r="G163" s="54"/>
      <c r="H163" s="125"/>
      <c r="I163" s="112"/>
      <c r="J163" s="79"/>
    </row>
    <row r="164" spans="1:10" x14ac:dyDescent="0.35">
      <c r="A164" s="6"/>
      <c r="B164" s="6"/>
      <c r="C164" s="6"/>
      <c r="D164" s="9"/>
      <c r="E164" s="9"/>
      <c r="F164" s="9"/>
      <c r="G164" s="9"/>
      <c r="H164" s="134"/>
      <c r="I164" s="113"/>
      <c r="J164" s="80"/>
    </row>
    <row r="165" spans="1:10" x14ac:dyDescent="0.35">
      <c r="A165" s="5"/>
      <c r="B165" s="5"/>
      <c r="C165" s="5"/>
      <c r="D165" s="54"/>
      <c r="E165" s="54"/>
      <c r="F165" s="54"/>
      <c r="G165" s="54"/>
      <c r="H165" s="125"/>
      <c r="I165" s="112"/>
      <c r="J165" s="79"/>
    </row>
    <row r="166" spans="1:10" x14ac:dyDescent="0.35">
      <c r="A166" s="6"/>
      <c r="B166" s="6"/>
      <c r="C166" s="6"/>
      <c r="D166" s="9"/>
      <c r="E166" s="9"/>
      <c r="F166" s="9"/>
      <c r="G166" s="9"/>
      <c r="H166" s="134"/>
      <c r="I166" s="113"/>
      <c r="J166" s="80"/>
    </row>
    <row r="167" spans="1:10" x14ac:dyDescent="0.35">
      <c r="A167" s="5"/>
      <c r="B167" s="5"/>
      <c r="C167" s="5"/>
      <c r="D167" s="54"/>
      <c r="E167" s="54"/>
      <c r="F167" s="54"/>
      <c r="G167" s="54"/>
      <c r="H167" s="125"/>
      <c r="I167" s="112"/>
      <c r="J167" s="79"/>
    </row>
    <row r="168" spans="1:10" x14ac:dyDescent="0.35">
      <c r="A168" s="6"/>
      <c r="B168" s="6"/>
      <c r="C168" s="6"/>
      <c r="D168" s="9"/>
      <c r="E168" s="9"/>
      <c r="F168" s="9"/>
      <c r="G168" s="9"/>
      <c r="H168" s="134"/>
      <c r="I168" s="113"/>
      <c r="J168" s="80"/>
    </row>
    <row r="169" spans="1:10" x14ac:dyDescent="0.35">
      <c r="A169" s="5"/>
      <c r="B169" s="5"/>
      <c r="C169" s="5"/>
      <c r="D169" s="54"/>
      <c r="E169" s="54"/>
      <c r="F169" s="54"/>
      <c r="G169" s="54"/>
      <c r="H169" s="125"/>
      <c r="I169" s="112"/>
      <c r="J169" s="79"/>
    </row>
    <row r="170" spans="1:10" x14ac:dyDescent="0.35">
      <c r="A170" s="6"/>
      <c r="B170" s="6"/>
      <c r="C170" s="6"/>
      <c r="D170" s="9"/>
      <c r="E170" s="9"/>
      <c r="F170" s="9"/>
      <c r="G170" s="9"/>
      <c r="H170" s="134"/>
      <c r="I170" s="113"/>
      <c r="J170" s="80"/>
    </row>
    <row r="171" spans="1:10" x14ac:dyDescent="0.35">
      <c r="A171" s="5"/>
      <c r="B171" s="5"/>
      <c r="C171" s="5"/>
      <c r="D171" s="54"/>
      <c r="E171" s="54"/>
      <c r="F171" s="54"/>
      <c r="G171" s="54"/>
      <c r="H171" s="125"/>
      <c r="I171" s="112"/>
      <c r="J171" s="79"/>
    </row>
    <row r="172" spans="1:10" x14ac:dyDescent="0.35">
      <c r="A172" s="6"/>
      <c r="B172" s="6"/>
      <c r="C172" s="6"/>
      <c r="D172" s="9"/>
      <c r="E172" s="9"/>
      <c r="F172" s="9"/>
      <c r="G172" s="9"/>
      <c r="H172" s="134"/>
      <c r="I172" s="113"/>
      <c r="J172" s="80"/>
    </row>
    <row r="173" spans="1:10" x14ac:dyDescent="0.35">
      <c r="A173" s="5"/>
      <c r="B173" s="5"/>
      <c r="C173" s="5"/>
      <c r="D173" s="54"/>
      <c r="E173" s="54"/>
      <c r="F173" s="54"/>
      <c r="G173" s="54"/>
      <c r="H173" s="125"/>
      <c r="I173" s="112"/>
      <c r="J173" s="79"/>
    </row>
    <row r="174" spans="1:10" x14ac:dyDescent="0.35">
      <c r="A174" s="6"/>
      <c r="B174" s="6"/>
      <c r="C174" s="6"/>
      <c r="D174" s="9"/>
      <c r="E174" s="9"/>
      <c r="F174" s="9"/>
      <c r="G174" s="9"/>
      <c r="H174" s="134"/>
      <c r="I174" s="113"/>
      <c r="J174" s="80"/>
    </row>
    <row r="175" spans="1:10" x14ac:dyDescent="0.35">
      <c r="A175" s="5"/>
      <c r="B175" s="5"/>
      <c r="C175" s="5"/>
      <c r="D175" s="54"/>
      <c r="E175" s="54"/>
      <c r="F175" s="54"/>
      <c r="G175" s="54"/>
      <c r="H175" s="125"/>
      <c r="I175" s="112"/>
      <c r="J175" s="79"/>
    </row>
    <row r="176" spans="1:10" x14ac:dyDescent="0.35">
      <c r="A176" s="6"/>
      <c r="B176" s="6"/>
      <c r="C176" s="6"/>
      <c r="D176" s="9"/>
      <c r="E176" s="9"/>
      <c r="F176" s="9"/>
      <c r="G176" s="9"/>
      <c r="H176" s="134"/>
      <c r="I176" s="113"/>
      <c r="J176" s="80"/>
    </row>
    <row r="177" spans="1:10" x14ac:dyDescent="0.35">
      <c r="A177" s="5"/>
      <c r="B177" s="5"/>
      <c r="C177" s="5"/>
      <c r="D177" s="54"/>
      <c r="E177" s="54"/>
      <c r="F177" s="54"/>
      <c r="G177" s="54"/>
      <c r="H177" s="125"/>
      <c r="I177" s="112"/>
      <c r="J177" s="79"/>
    </row>
    <row r="178" spans="1:10" x14ac:dyDescent="0.35">
      <c r="A178" s="6"/>
      <c r="B178" s="6"/>
      <c r="C178" s="6"/>
      <c r="D178" s="9"/>
      <c r="E178" s="9"/>
      <c r="F178" s="9"/>
      <c r="G178" s="9"/>
      <c r="H178" s="134"/>
      <c r="I178" s="113"/>
      <c r="J178" s="80"/>
    </row>
    <row r="179" spans="1:10" x14ac:dyDescent="0.35">
      <c r="A179" s="5"/>
      <c r="B179" s="5"/>
      <c r="C179" s="5"/>
      <c r="D179" s="54"/>
      <c r="E179" s="54"/>
      <c r="F179" s="54"/>
      <c r="G179" s="54"/>
      <c r="H179" s="125"/>
      <c r="I179" s="112"/>
      <c r="J179" s="79"/>
    </row>
    <row r="180" spans="1:10" x14ac:dyDescent="0.35">
      <c r="A180" s="6"/>
      <c r="B180" s="6"/>
      <c r="C180" s="6"/>
      <c r="D180" s="9"/>
      <c r="E180" s="9"/>
      <c r="F180" s="9"/>
      <c r="G180" s="9"/>
      <c r="H180" s="134"/>
      <c r="I180" s="113"/>
      <c r="J180" s="80"/>
    </row>
    <row r="181" spans="1:10" x14ac:dyDescent="0.35">
      <c r="A181" s="5"/>
      <c r="B181" s="5"/>
      <c r="C181" s="5"/>
      <c r="D181" s="54"/>
      <c r="E181" s="54"/>
      <c r="F181" s="54"/>
      <c r="G181" s="54"/>
      <c r="H181" s="125"/>
      <c r="I181" s="112"/>
      <c r="J181" s="79"/>
    </row>
    <row r="182" spans="1:10" x14ac:dyDescent="0.35">
      <c r="A182" s="6"/>
      <c r="B182" s="6"/>
      <c r="C182" s="6"/>
      <c r="D182" s="9"/>
      <c r="E182" s="9"/>
      <c r="F182" s="9"/>
      <c r="G182" s="9"/>
      <c r="H182" s="134"/>
      <c r="I182" s="113"/>
      <c r="J182" s="80"/>
    </row>
    <row r="183" spans="1:10" x14ac:dyDescent="0.35">
      <c r="A183" s="5"/>
      <c r="B183" s="5"/>
      <c r="C183" s="5"/>
      <c r="D183" s="54"/>
      <c r="E183" s="54"/>
      <c r="F183" s="54"/>
      <c r="G183" s="54"/>
      <c r="H183" s="125"/>
      <c r="I183" s="112"/>
      <c r="J183" s="79"/>
    </row>
    <row r="184" spans="1:10" x14ac:dyDescent="0.35">
      <c r="A184" s="6"/>
      <c r="B184" s="6"/>
      <c r="C184" s="6"/>
      <c r="D184" s="9"/>
      <c r="E184" s="9"/>
      <c r="F184" s="9"/>
      <c r="G184" s="9"/>
      <c r="H184" s="134"/>
      <c r="I184" s="113"/>
      <c r="J184" s="80"/>
    </row>
    <row r="185" spans="1:10" x14ac:dyDescent="0.35">
      <c r="A185" s="5"/>
      <c r="B185" s="5"/>
      <c r="C185" s="5"/>
      <c r="D185" s="54"/>
      <c r="E185" s="54"/>
      <c r="F185" s="54"/>
      <c r="G185" s="54"/>
      <c r="H185" s="125"/>
      <c r="I185" s="112"/>
      <c r="J185" s="79"/>
    </row>
    <row r="186" spans="1:10" x14ac:dyDescent="0.35">
      <c r="A186" s="6"/>
      <c r="B186" s="6"/>
      <c r="C186" s="6"/>
      <c r="D186" s="9"/>
      <c r="E186" s="9"/>
      <c r="F186" s="9"/>
      <c r="G186" s="9"/>
      <c r="H186" s="134"/>
      <c r="I186" s="113"/>
      <c r="J186" s="80"/>
    </row>
    <row r="187" spans="1:10" x14ac:dyDescent="0.35">
      <c r="A187" s="5"/>
      <c r="B187" s="5"/>
      <c r="C187" s="5"/>
      <c r="D187" s="54"/>
      <c r="E187" s="54"/>
      <c r="F187" s="54"/>
      <c r="G187" s="54"/>
      <c r="H187" s="125"/>
      <c r="I187" s="112"/>
      <c r="J187" s="79"/>
    </row>
    <row r="188" spans="1:10" x14ac:dyDescent="0.35">
      <c r="A188" s="6"/>
      <c r="B188" s="6"/>
      <c r="C188" s="6"/>
      <c r="D188" s="9"/>
      <c r="E188" s="9"/>
      <c r="F188" s="9"/>
      <c r="G188" s="9"/>
      <c r="H188" s="134"/>
      <c r="I188" s="113"/>
      <c r="J188" s="80"/>
    </row>
    <row r="189" spans="1:10" x14ac:dyDescent="0.35">
      <c r="A189" s="5"/>
      <c r="B189" s="5"/>
      <c r="C189" s="5"/>
      <c r="D189" s="54"/>
      <c r="E189" s="54"/>
      <c r="F189" s="54"/>
      <c r="G189" s="54"/>
      <c r="H189" s="125"/>
      <c r="I189" s="112"/>
      <c r="J189" s="79"/>
    </row>
    <row r="190" spans="1:10" x14ac:dyDescent="0.35">
      <c r="A190" s="6"/>
      <c r="B190" s="6"/>
      <c r="C190" s="6"/>
      <c r="D190" s="9"/>
      <c r="E190" s="9"/>
      <c r="F190" s="9"/>
      <c r="G190" s="9"/>
      <c r="H190" s="134"/>
      <c r="I190" s="113"/>
      <c r="J190" s="80"/>
    </row>
    <row r="191" spans="1:10" x14ac:dyDescent="0.35">
      <c r="A191" s="5"/>
      <c r="B191" s="5"/>
      <c r="C191" s="5"/>
      <c r="D191" s="54"/>
      <c r="E191" s="54"/>
      <c r="F191" s="54"/>
      <c r="G191" s="54"/>
      <c r="H191" s="125"/>
      <c r="I191" s="112"/>
      <c r="J191" s="79"/>
    </row>
    <row r="192" spans="1:10" x14ac:dyDescent="0.35">
      <c r="A192" s="6"/>
      <c r="B192" s="6"/>
      <c r="C192" s="6"/>
      <c r="D192" s="9"/>
      <c r="E192" s="9"/>
      <c r="F192" s="9"/>
      <c r="G192" s="9"/>
      <c r="H192" s="134"/>
      <c r="I192" s="113"/>
      <c r="J192" s="80"/>
    </row>
    <row r="193" spans="1:10" x14ac:dyDescent="0.35">
      <c r="A193" s="5"/>
      <c r="B193" s="5"/>
      <c r="C193" s="5"/>
      <c r="D193" s="54"/>
      <c r="E193" s="54"/>
      <c r="F193" s="54"/>
      <c r="G193" s="54"/>
      <c r="H193" s="125"/>
      <c r="I193" s="112"/>
      <c r="J193" s="79"/>
    </row>
    <row r="194" spans="1:10" x14ac:dyDescent="0.35">
      <c r="A194" s="6"/>
      <c r="B194" s="6"/>
      <c r="C194" s="6"/>
      <c r="D194" s="9"/>
      <c r="E194" s="9"/>
      <c r="F194" s="9"/>
      <c r="G194" s="9"/>
      <c r="H194" s="134"/>
      <c r="I194" s="113"/>
      <c r="J194" s="80"/>
    </row>
    <row r="195" spans="1:10" x14ac:dyDescent="0.35">
      <c r="A195" s="5"/>
      <c r="B195" s="5"/>
      <c r="C195" s="5"/>
      <c r="D195" s="54"/>
      <c r="E195" s="54"/>
      <c r="F195" s="54"/>
      <c r="G195" s="54"/>
      <c r="H195" s="125"/>
      <c r="I195" s="112"/>
      <c r="J195" s="79"/>
    </row>
    <row r="196" spans="1:10" x14ac:dyDescent="0.35">
      <c r="A196" s="6"/>
      <c r="B196" s="6"/>
      <c r="C196" s="6"/>
      <c r="D196" s="9"/>
      <c r="E196" s="9"/>
      <c r="F196" s="9"/>
      <c r="G196" s="9"/>
      <c r="H196" s="134"/>
      <c r="I196" s="113"/>
      <c r="J196" s="80"/>
    </row>
    <row r="197" spans="1:10" x14ac:dyDescent="0.35">
      <c r="A197" s="5"/>
      <c r="B197" s="5"/>
      <c r="C197" s="5"/>
      <c r="D197" s="54"/>
      <c r="E197" s="54"/>
      <c r="F197" s="54"/>
      <c r="G197" s="54"/>
      <c r="H197" s="125"/>
      <c r="I197" s="112"/>
      <c r="J197" s="79"/>
    </row>
    <row r="198" spans="1:10" x14ac:dyDescent="0.35">
      <c r="A198" s="6"/>
      <c r="B198" s="6"/>
      <c r="C198" s="6"/>
      <c r="D198" s="9"/>
      <c r="E198" s="9"/>
      <c r="F198" s="9"/>
      <c r="G198" s="9"/>
      <c r="H198" s="134"/>
      <c r="I198" s="113"/>
      <c r="J198" s="80"/>
    </row>
    <row r="199" spans="1:10" x14ac:dyDescent="0.35">
      <c r="A199" s="5"/>
      <c r="B199" s="5"/>
      <c r="C199" s="5"/>
      <c r="D199" s="54"/>
      <c r="E199" s="54"/>
      <c r="F199" s="54"/>
      <c r="G199" s="54"/>
      <c r="H199" s="125"/>
      <c r="I199" s="112"/>
      <c r="J199" s="79"/>
    </row>
    <row r="200" spans="1:10" x14ac:dyDescent="0.35">
      <c r="A200" s="6"/>
      <c r="B200" s="6"/>
      <c r="C200" s="6"/>
      <c r="D200" s="9"/>
      <c r="E200" s="9"/>
      <c r="F200" s="9"/>
      <c r="G200" s="9"/>
      <c r="H200" s="134"/>
      <c r="I200" s="113"/>
      <c r="J200" s="80"/>
    </row>
    <row r="201" spans="1:10" x14ac:dyDescent="0.35">
      <c r="A201" s="5"/>
      <c r="B201" s="5"/>
      <c r="C201" s="5"/>
      <c r="D201" s="54"/>
      <c r="E201" s="54"/>
      <c r="F201" s="54"/>
      <c r="G201" s="54"/>
      <c r="H201" s="125"/>
      <c r="I201" s="112"/>
      <c r="J201" s="79"/>
    </row>
    <row r="202" spans="1:10" x14ac:dyDescent="0.35">
      <c r="A202" s="6"/>
      <c r="B202" s="6"/>
      <c r="C202" s="6"/>
      <c r="D202" s="9"/>
      <c r="E202" s="9"/>
      <c r="F202" s="9"/>
      <c r="G202" s="9"/>
      <c r="H202" s="134"/>
      <c r="I202" s="113"/>
      <c r="J202" s="80"/>
    </row>
    <row r="203" spans="1:10" x14ac:dyDescent="0.35">
      <c r="A203" s="5"/>
      <c r="B203" s="5"/>
      <c r="C203" s="5"/>
      <c r="D203" s="54"/>
      <c r="E203" s="54"/>
      <c r="F203" s="54"/>
      <c r="G203" s="54"/>
      <c r="H203" s="125"/>
      <c r="I203" s="112"/>
      <c r="J203" s="79"/>
    </row>
    <row r="204" spans="1:10" x14ac:dyDescent="0.35">
      <c r="A204" s="6"/>
      <c r="B204" s="6"/>
      <c r="C204" s="6"/>
      <c r="D204" s="9"/>
      <c r="E204" s="9"/>
      <c r="F204" s="9"/>
      <c r="G204" s="9"/>
      <c r="H204" s="134"/>
      <c r="I204" s="113"/>
      <c r="J204" s="80"/>
    </row>
    <row r="205" spans="1:10" x14ac:dyDescent="0.35">
      <c r="A205" s="5"/>
      <c r="B205" s="5"/>
      <c r="C205" s="5"/>
      <c r="D205" s="54"/>
      <c r="E205" s="54"/>
      <c r="F205" s="54"/>
      <c r="G205" s="54"/>
      <c r="H205" s="125"/>
      <c r="I205" s="112"/>
      <c r="J205" s="79"/>
    </row>
    <row r="206" spans="1:10" x14ac:dyDescent="0.35">
      <c r="A206" s="6"/>
      <c r="B206" s="6"/>
      <c r="C206" s="6"/>
      <c r="D206" s="9"/>
      <c r="E206" s="9"/>
      <c r="F206" s="9"/>
      <c r="G206" s="9"/>
      <c r="H206" s="134"/>
      <c r="I206" s="113"/>
      <c r="J206" s="80"/>
    </row>
    <row r="207" spans="1:10" x14ac:dyDescent="0.35">
      <c r="A207" s="5"/>
      <c r="B207" s="5"/>
      <c r="C207" s="5"/>
      <c r="D207" s="54"/>
      <c r="E207" s="54"/>
      <c r="F207" s="54"/>
      <c r="G207" s="54"/>
      <c r="H207" s="125"/>
      <c r="I207" s="112"/>
      <c r="J207" s="79"/>
    </row>
    <row r="208" spans="1:10" x14ac:dyDescent="0.35">
      <c r="A208" s="6"/>
      <c r="B208" s="6"/>
      <c r="C208" s="6"/>
      <c r="D208" s="9"/>
      <c r="E208" s="9"/>
      <c r="F208" s="9"/>
      <c r="G208" s="9"/>
      <c r="H208" s="134"/>
      <c r="I208" s="113"/>
      <c r="J208" s="80"/>
    </row>
    <row r="209" spans="1:10" x14ac:dyDescent="0.35">
      <c r="A209" s="5"/>
      <c r="B209" s="5"/>
      <c r="C209" s="5"/>
      <c r="D209" s="54"/>
      <c r="E209" s="54"/>
      <c r="F209" s="54"/>
      <c r="G209" s="54"/>
      <c r="H209" s="125"/>
      <c r="I209" s="112"/>
      <c r="J209" s="79"/>
    </row>
    <row r="210" spans="1:10" x14ac:dyDescent="0.35">
      <c r="A210" s="6"/>
      <c r="B210" s="6"/>
      <c r="C210" s="6"/>
      <c r="D210" s="9"/>
      <c r="E210" s="9"/>
      <c r="F210" s="9"/>
      <c r="G210" s="9"/>
      <c r="H210" s="134"/>
      <c r="I210" s="113"/>
      <c r="J210" s="80"/>
    </row>
    <row r="211" spans="1:10" x14ac:dyDescent="0.35">
      <c r="A211" s="5"/>
      <c r="B211" s="5"/>
      <c r="C211" s="5"/>
      <c r="D211" s="54"/>
      <c r="E211" s="54"/>
      <c r="F211" s="54"/>
      <c r="G211" s="54"/>
      <c r="H211" s="125"/>
      <c r="I211" s="112"/>
      <c r="J211" s="79"/>
    </row>
    <row r="212" spans="1:10" x14ac:dyDescent="0.35">
      <c r="A212" s="6"/>
      <c r="B212" s="6"/>
      <c r="C212" s="6"/>
      <c r="D212" s="9"/>
      <c r="E212" s="9"/>
      <c r="F212" s="9"/>
      <c r="G212" s="9"/>
      <c r="H212" s="134"/>
      <c r="I212" s="113"/>
      <c r="J212" s="80"/>
    </row>
    <row r="213" spans="1:10" x14ac:dyDescent="0.35">
      <c r="A213" s="5"/>
      <c r="B213" s="5"/>
      <c r="C213" s="5"/>
      <c r="D213" s="54"/>
      <c r="E213" s="54"/>
      <c r="F213" s="54"/>
      <c r="G213" s="54"/>
      <c r="H213" s="125"/>
      <c r="I213" s="112"/>
      <c r="J213" s="79"/>
    </row>
    <row r="214" spans="1:10" x14ac:dyDescent="0.35">
      <c r="A214" s="6"/>
      <c r="B214" s="6"/>
      <c r="C214" s="6"/>
      <c r="D214" s="9"/>
      <c r="E214" s="9"/>
      <c r="F214" s="9"/>
      <c r="G214" s="9"/>
      <c r="H214" s="134"/>
      <c r="I214" s="113"/>
      <c r="J214" s="80"/>
    </row>
    <row r="215" spans="1:10" x14ac:dyDescent="0.35">
      <c r="A215" s="5"/>
      <c r="B215" s="5"/>
      <c r="C215" s="5"/>
      <c r="D215" s="54"/>
      <c r="E215" s="54"/>
      <c r="F215" s="54"/>
      <c r="G215" s="54"/>
      <c r="H215" s="125"/>
      <c r="I215" s="112"/>
      <c r="J215" s="79"/>
    </row>
    <row r="216" spans="1:10" x14ac:dyDescent="0.35">
      <c r="A216" s="6"/>
      <c r="B216" s="6"/>
      <c r="C216" s="6"/>
      <c r="D216" s="9"/>
      <c r="E216" s="9"/>
      <c r="F216" s="9"/>
      <c r="G216" s="9"/>
      <c r="H216" s="134"/>
      <c r="I216" s="113"/>
      <c r="J216" s="80"/>
    </row>
    <row r="217" spans="1:10" x14ac:dyDescent="0.35">
      <c r="A217" s="5"/>
      <c r="B217" s="5"/>
      <c r="C217" s="5"/>
      <c r="D217" s="54"/>
      <c r="E217" s="54"/>
      <c r="F217" s="54"/>
      <c r="G217" s="54"/>
      <c r="H217" s="125"/>
      <c r="I217" s="112"/>
      <c r="J217" s="79"/>
    </row>
    <row r="218" spans="1:10" x14ac:dyDescent="0.35">
      <c r="A218" s="6"/>
      <c r="B218" s="6"/>
      <c r="C218" s="6"/>
      <c r="D218" s="9"/>
      <c r="E218" s="9"/>
      <c r="F218" s="9"/>
      <c r="G218" s="9"/>
      <c r="H218" s="134"/>
      <c r="I218" s="113"/>
      <c r="J218" s="80"/>
    </row>
    <row r="219" spans="1:10" x14ac:dyDescent="0.35">
      <c r="A219" s="5"/>
      <c r="B219" s="5"/>
      <c r="C219" s="5"/>
      <c r="D219" s="54"/>
      <c r="E219" s="54"/>
      <c r="F219" s="54"/>
      <c r="G219" s="54"/>
      <c r="H219" s="125"/>
      <c r="I219" s="112"/>
      <c r="J219" s="79"/>
    </row>
    <row r="220" spans="1:10" x14ac:dyDescent="0.35">
      <c r="A220" s="6"/>
      <c r="B220" s="6"/>
      <c r="C220" s="6"/>
      <c r="D220" s="9"/>
      <c r="E220" s="9"/>
      <c r="F220" s="9"/>
      <c r="G220" s="9"/>
      <c r="H220" s="134"/>
      <c r="I220" s="113"/>
      <c r="J220" s="80"/>
    </row>
    <row r="221" spans="1:10" x14ac:dyDescent="0.35">
      <c r="A221" s="5"/>
      <c r="B221" s="5"/>
      <c r="C221" s="5"/>
      <c r="D221" s="54"/>
      <c r="E221" s="54"/>
      <c r="F221" s="54"/>
      <c r="G221" s="54"/>
      <c r="H221" s="125"/>
      <c r="I221" s="112"/>
      <c r="J221" s="79"/>
    </row>
    <row r="222" spans="1:10" x14ac:dyDescent="0.35">
      <c r="A222" s="6"/>
      <c r="B222" s="6"/>
      <c r="C222" s="6"/>
      <c r="D222" s="9"/>
      <c r="E222" s="9"/>
      <c r="F222" s="9"/>
      <c r="G222" s="9"/>
      <c r="H222" s="134"/>
      <c r="I222" s="113"/>
      <c r="J222" s="80"/>
    </row>
    <row r="223" spans="1:10" x14ac:dyDescent="0.35">
      <c r="A223" s="5"/>
      <c r="B223" s="5"/>
      <c r="C223" s="5"/>
      <c r="D223" s="54"/>
      <c r="E223" s="54"/>
      <c r="F223" s="54"/>
      <c r="G223" s="54"/>
      <c r="H223" s="125"/>
      <c r="I223" s="112"/>
      <c r="J223" s="79"/>
    </row>
    <row r="224" spans="1:10" x14ac:dyDescent="0.35">
      <c r="A224" s="6"/>
      <c r="B224" s="6"/>
      <c r="C224" s="6"/>
      <c r="D224" s="9"/>
      <c r="E224" s="9"/>
      <c r="F224" s="9"/>
      <c r="G224" s="9"/>
      <c r="H224" s="134"/>
      <c r="I224" s="113"/>
      <c r="J224" s="80"/>
    </row>
    <row r="225" spans="1:10" x14ac:dyDescent="0.35">
      <c r="A225" s="5"/>
      <c r="B225" s="5"/>
      <c r="C225" s="5"/>
      <c r="D225" s="54"/>
      <c r="E225" s="54"/>
      <c r="F225" s="54"/>
      <c r="G225" s="54"/>
      <c r="H225" s="125"/>
      <c r="I225" s="112"/>
      <c r="J225" s="79"/>
    </row>
    <row r="226" spans="1:10" x14ac:dyDescent="0.35">
      <c r="A226" s="6"/>
      <c r="B226" s="6"/>
      <c r="C226" s="6"/>
      <c r="D226" s="9"/>
      <c r="E226" s="9"/>
      <c r="F226" s="9"/>
      <c r="G226" s="9"/>
      <c r="H226" s="134"/>
      <c r="I226" s="113"/>
      <c r="J226" s="80"/>
    </row>
    <row r="227" spans="1:10" x14ac:dyDescent="0.35">
      <c r="A227" s="5"/>
      <c r="B227" s="5"/>
      <c r="C227" s="5"/>
      <c r="D227" s="54"/>
      <c r="E227" s="54"/>
      <c r="F227" s="54"/>
      <c r="G227" s="54"/>
      <c r="H227" s="125"/>
      <c r="I227" s="112"/>
      <c r="J227" s="79"/>
    </row>
    <row r="228" spans="1:10" x14ac:dyDescent="0.35">
      <c r="A228" s="6"/>
      <c r="B228" s="6"/>
      <c r="C228" s="6"/>
      <c r="D228" s="9"/>
      <c r="E228" s="9"/>
      <c r="F228" s="9"/>
      <c r="G228" s="9"/>
      <c r="H228" s="134"/>
      <c r="I228" s="113"/>
      <c r="J228" s="80"/>
    </row>
    <row r="229" spans="1:10" x14ac:dyDescent="0.35">
      <c r="A229" s="5"/>
      <c r="B229" s="5"/>
      <c r="C229" s="5"/>
      <c r="D229" s="54"/>
      <c r="E229" s="54"/>
      <c r="F229" s="54"/>
      <c r="G229" s="54"/>
      <c r="H229" s="125"/>
      <c r="I229" s="112"/>
      <c r="J229" s="79"/>
    </row>
    <row r="230" spans="1:10" x14ac:dyDescent="0.35">
      <c r="A230" s="6"/>
      <c r="B230" s="6"/>
      <c r="C230" s="6"/>
      <c r="D230" s="9"/>
      <c r="E230" s="9"/>
      <c r="F230" s="9"/>
      <c r="G230" s="9"/>
      <c r="H230" s="134"/>
      <c r="I230" s="113"/>
      <c r="J230" s="80"/>
    </row>
    <row r="231" spans="1:10" x14ac:dyDescent="0.35">
      <c r="A231" s="5"/>
      <c r="B231" s="5"/>
      <c r="C231" s="5"/>
      <c r="D231" s="54"/>
      <c r="E231" s="54"/>
      <c r="F231" s="54"/>
      <c r="G231" s="54"/>
      <c r="H231" s="125"/>
      <c r="I231" s="112"/>
      <c r="J231" s="79"/>
    </row>
    <row r="232" spans="1:10" x14ac:dyDescent="0.35">
      <c r="A232" s="6"/>
      <c r="B232" s="6"/>
      <c r="C232" s="6"/>
      <c r="D232" s="9"/>
      <c r="E232" s="9"/>
      <c r="F232" s="9"/>
      <c r="G232" s="9"/>
      <c r="H232" s="134"/>
      <c r="I232" s="113"/>
      <c r="J232" s="80"/>
    </row>
    <row r="233" spans="1:10" x14ac:dyDescent="0.35">
      <c r="A233" s="5"/>
      <c r="B233" s="5"/>
      <c r="C233" s="5"/>
      <c r="D233" s="54"/>
      <c r="E233" s="54"/>
      <c r="F233" s="54"/>
      <c r="G233" s="54"/>
      <c r="H233" s="125"/>
      <c r="I233" s="112"/>
      <c r="J233" s="79"/>
    </row>
    <row r="234" spans="1:10" x14ac:dyDescent="0.35">
      <c r="A234" s="6"/>
      <c r="B234" s="6"/>
      <c r="C234" s="6"/>
      <c r="D234" s="9"/>
      <c r="E234" s="9"/>
      <c r="F234" s="9"/>
      <c r="G234" s="9"/>
      <c r="H234" s="134"/>
      <c r="I234" s="113"/>
      <c r="J234" s="80"/>
    </row>
    <row r="235" spans="1:10" x14ac:dyDescent="0.35">
      <c r="A235" s="5"/>
      <c r="B235" s="5"/>
      <c r="C235" s="5"/>
      <c r="D235" s="54"/>
      <c r="E235" s="54"/>
      <c r="F235" s="54"/>
      <c r="G235" s="54"/>
      <c r="H235" s="125"/>
      <c r="I235" s="112"/>
      <c r="J235" s="79"/>
    </row>
    <row r="236" spans="1:10" x14ac:dyDescent="0.35">
      <c r="A236" s="6"/>
      <c r="B236" s="6"/>
      <c r="C236" s="6"/>
      <c r="D236" s="9"/>
      <c r="E236" s="9"/>
      <c r="F236" s="9"/>
      <c r="G236" s="9"/>
      <c r="H236" s="134"/>
      <c r="I236" s="113"/>
      <c r="J236" s="80"/>
    </row>
    <row r="237" spans="1:10" x14ac:dyDescent="0.35">
      <c r="A237" s="5"/>
      <c r="B237" s="5"/>
      <c r="C237" s="5"/>
      <c r="D237" s="54"/>
      <c r="E237" s="54"/>
      <c r="F237" s="54"/>
      <c r="G237" s="54"/>
      <c r="H237" s="125"/>
      <c r="I237" s="112"/>
      <c r="J237" s="79"/>
    </row>
    <row r="238" spans="1:10" x14ac:dyDescent="0.35">
      <c r="A238" s="6"/>
      <c r="B238" s="6"/>
      <c r="C238" s="6"/>
      <c r="D238" s="9"/>
      <c r="E238" s="9"/>
      <c r="F238" s="9"/>
      <c r="G238" s="9"/>
      <c r="H238" s="134"/>
      <c r="I238" s="113"/>
      <c r="J238" s="80"/>
    </row>
    <row r="239" spans="1:10" x14ac:dyDescent="0.35">
      <c r="A239" s="5"/>
      <c r="B239" s="5"/>
      <c r="C239" s="5"/>
      <c r="D239" s="54"/>
      <c r="E239" s="54"/>
      <c r="F239" s="54"/>
      <c r="G239" s="54"/>
      <c r="H239" s="125"/>
      <c r="I239" s="112"/>
      <c r="J239" s="79"/>
    </row>
    <row r="240" spans="1:10" x14ac:dyDescent="0.35">
      <c r="A240" s="6"/>
      <c r="B240" s="6"/>
      <c r="C240" s="6"/>
      <c r="D240" s="9"/>
      <c r="E240" s="9"/>
      <c r="F240" s="9"/>
      <c r="G240" s="9"/>
      <c r="H240" s="134"/>
      <c r="I240" s="113"/>
      <c r="J240" s="80"/>
    </row>
    <row r="241" spans="1:10" x14ac:dyDescent="0.35">
      <c r="A241" s="5"/>
      <c r="B241" s="5"/>
      <c r="C241" s="5"/>
      <c r="D241" s="54"/>
      <c r="E241" s="54"/>
      <c r="F241" s="54"/>
      <c r="G241" s="54"/>
      <c r="H241" s="125"/>
      <c r="I241" s="112"/>
      <c r="J241" s="79"/>
    </row>
    <row r="242" spans="1:10" x14ac:dyDescent="0.35">
      <c r="A242" s="6"/>
      <c r="B242" s="6"/>
      <c r="C242" s="6"/>
      <c r="D242" s="9"/>
      <c r="E242" s="9"/>
      <c r="F242" s="9"/>
      <c r="G242" s="9"/>
      <c r="H242" s="134"/>
      <c r="I242" s="113"/>
      <c r="J242" s="80"/>
    </row>
    <row r="243" spans="1:10" x14ac:dyDescent="0.35">
      <c r="A243" s="5"/>
      <c r="B243" s="5"/>
      <c r="C243" s="5"/>
      <c r="D243" s="54"/>
      <c r="E243" s="54"/>
      <c r="F243" s="54"/>
      <c r="G243" s="54"/>
      <c r="H243" s="125"/>
      <c r="I243" s="112"/>
      <c r="J243" s="79"/>
    </row>
    <row r="244" spans="1:10" x14ac:dyDescent="0.35">
      <c r="A244" s="6"/>
      <c r="B244" s="6"/>
      <c r="C244" s="6"/>
      <c r="D244" s="9"/>
      <c r="E244" s="9"/>
      <c r="F244" s="9"/>
      <c r="G244" s="9"/>
      <c r="H244" s="134"/>
      <c r="I244" s="113"/>
      <c r="J244" s="80"/>
    </row>
    <row r="245" spans="1:10" x14ac:dyDescent="0.35">
      <c r="A245" s="5"/>
      <c r="B245" s="5"/>
      <c r="C245" s="5"/>
      <c r="D245" s="54"/>
      <c r="E245" s="54"/>
      <c r="F245" s="54"/>
      <c r="G245" s="54"/>
      <c r="H245" s="125"/>
      <c r="I245" s="112"/>
      <c r="J245" s="79"/>
    </row>
    <row r="246" spans="1:10" x14ac:dyDescent="0.35">
      <c r="A246" s="6"/>
      <c r="B246" s="6"/>
      <c r="C246" s="6"/>
      <c r="D246" s="9"/>
      <c r="E246" s="9"/>
      <c r="F246" s="9"/>
      <c r="G246" s="9"/>
      <c r="H246" s="134"/>
      <c r="I246" s="113"/>
      <c r="J246" s="80"/>
    </row>
    <row r="247" spans="1:10" x14ac:dyDescent="0.35">
      <c r="A247" s="5"/>
      <c r="B247" s="5"/>
      <c r="C247" s="5"/>
      <c r="D247" s="54"/>
      <c r="E247" s="54"/>
      <c r="F247" s="54"/>
      <c r="G247" s="54"/>
      <c r="H247" s="125"/>
      <c r="I247" s="112"/>
      <c r="J247" s="79"/>
    </row>
    <row r="248" spans="1:10" x14ac:dyDescent="0.35">
      <c r="A248" s="6"/>
      <c r="B248" s="6"/>
      <c r="C248" s="6"/>
      <c r="D248" s="9"/>
      <c r="E248" s="9"/>
      <c r="F248" s="9"/>
      <c r="G248" s="9"/>
      <c r="H248" s="134"/>
      <c r="I248" s="113"/>
      <c r="J248" s="80"/>
    </row>
    <row r="249" spans="1:10" x14ac:dyDescent="0.35">
      <c r="A249" s="5"/>
      <c r="B249" s="5"/>
      <c r="C249" s="5"/>
      <c r="D249" s="54"/>
      <c r="E249" s="54"/>
      <c r="F249" s="54"/>
      <c r="G249" s="54"/>
      <c r="H249" s="125"/>
      <c r="I249" s="112"/>
      <c r="J249" s="79"/>
    </row>
    <row r="250" spans="1:10" x14ac:dyDescent="0.35">
      <c r="A250" s="6"/>
      <c r="B250" s="6"/>
      <c r="C250" s="6"/>
      <c r="D250" s="9"/>
      <c r="E250" s="9"/>
      <c r="F250" s="9"/>
      <c r="G250" s="9"/>
      <c r="H250" s="134"/>
      <c r="I250" s="113"/>
      <c r="J250" s="80"/>
    </row>
    <row r="251" spans="1:10" x14ac:dyDescent="0.35">
      <c r="A251" s="5"/>
      <c r="B251" s="5"/>
      <c r="C251" s="5"/>
      <c r="D251" s="54"/>
      <c r="E251" s="54"/>
      <c r="F251" s="54"/>
      <c r="G251" s="54"/>
      <c r="H251" s="125"/>
      <c r="I251" s="112"/>
      <c r="J251" s="79"/>
    </row>
    <row r="252" spans="1:10" x14ac:dyDescent="0.35">
      <c r="A252" s="6"/>
      <c r="B252" s="6"/>
      <c r="C252" s="6"/>
      <c r="D252" s="9"/>
      <c r="E252" s="9"/>
      <c r="F252" s="9"/>
      <c r="G252" s="9"/>
      <c r="H252" s="134"/>
      <c r="I252" s="113"/>
      <c r="J252" s="80"/>
    </row>
    <row r="253" spans="1:10" x14ac:dyDescent="0.35">
      <c r="A253" s="5"/>
      <c r="B253" s="5"/>
      <c r="C253" s="5"/>
      <c r="D253" s="54"/>
      <c r="E253" s="54"/>
      <c r="F253" s="54"/>
      <c r="G253" s="54"/>
      <c r="H253" s="125"/>
      <c r="I253" s="112"/>
      <c r="J253" s="79"/>
    </row>
    <row r="254" spans="1:10" x14ac:dyDescent="0.35">
      <c r="A254" s="6"/>
      <c r="B254" s="6"/>
      <c r="C254" s="6"/>
      <c r="D254" s="9"/>
      <c r="E254" s="9"/>
      <c r="F254" s="9"/>
      <c r="G254" s="9"/>
      <c r="H254" s="134"/>
      <c r="I254" s="113"/>
      <c r="J254" s="80"/>
    </row>
    <row r="255" spans="1:10" x14ac:dyDescent="0.35">
      <c r="A255" s="5"/>
      <c r="B255" s="5"/>
      <c r="C255" s="5"/>
      <c r="D255" s="54"/>
      <c r="E255" s="54"/>
      <c r="F255" s="54"/>
      <c r="G255" s="54"/>
      <c r="H255" s="125"/>
      <c r="I255" s="112"/>
      <c r="J255" s="79"/>
    </row>
    <row r="256" spans="1:10" x14ac:dyDescent="0.35">
      <c r="A256" s="6"/>
      <c r="B256" s="6"/>
      <c r="C256" s="6"/>
      <c r="D256" s="9"/>
      <c r="E256" s="9"/>
      <c r="F256" s="9"/>
      <c r="G256" s="9"/>
      <c r="H256" s="134"/>
      <c r="I256" s="113"/>
      <c r="J256" s="80"/>
    </row>
    <row r="257" spans="1:10" x14ac:dyDescent="0.35">
      <c r="A257" s="5"/>
      <c r="B257" s="5"/>
      <c r="C257" s="5"/>
      <c r="D257" s="54"/>
      <c r="E257" s="54"/>
      <c r="F257" s="54"/>
      <c r="G257" s="54"/>
      <c r="H257" s="125"/>
      <c r="I257" s="112"/>
      <c r="J257" s="79"/>
    </row>
    <row r="258" spans="1:10" x14ac:dyDescent="0.35">
      <c r="A258" s="6"/>
      <c r="B258" s="6"/>
      <c r="C258" s="6"/>
      <c r="D258" s="9"/>
      <c r="E258" s="9"/>
      <c r="F258" s="9"/>
      <c r="G258" s="9"/>
      <c r="H258" s="134"/>
      <c r="I258" s="113"/>
      <c r="J258" s="80"/>
    </row>
    <row r="259" spans="1:10" x14ac:dyDescent="0.35">
      <c r="A259" s="5"/>
      <c r="B259" s="5"/>
      <c r="C259" s="5"/>
      <c r="D259" s="54"/>
      <c r="E259" s="54"/>
      <c r="F259" s="54"/>
      <c r="G259" s="54"/>
      <c r="H259" s="125"/>
      <c r="I259" s="112"/>
      <c r="J259" s="79"/>
    </row>
    <row r="260" spans="1:10" x14ac:dyDescent="0.35">
      <c r="A260" s="6"/>
      <c r="B260" s="6"/>
      <c r="C260" s="6"/>
      <c r="D260" s="9"/>
      <c r="E260" s="9"/>
      <c r="F260" s="9"/>
      <c r="G260" s="9"/>
      <c r="H260" s="134"/>
      <c r="I260" s="113"/>
      <c r="J260" s="80"/>
    </row>
    <row r="261" spans="1:10" x14ac:dyDescent="0.35">
      <c r="A261" s="5"/>
      <c r="B261" s="5"/>
      <c r="C261" s="5"/>
      <c r="D261" s="54"/>
      <c r="E261" s="54"/>
      <c r="F261" s="54"/>
      <c r="G261" s="54"/>
      <c r="H261" s="125"/>
      <c r="I261" s="112"/>
      <c r="J261" s="79"/>
    </row>
    <row r="262" spans="1:10" x14ac:dyDescent="0.35">
      <c r="A262" s="6"/>
      <c r="B262" s="6"/>
      <c r="C262" s="6"/>
      <c r="D262" s="9"/>
      <c r="E262" s="9"/>
      <c r="F262" s="9"/>
      <c r="G262" s="9"/>
      <c r="H262" s="134"/>
      <c r="I262" s="113"/>
      <c r="J262" s="80"/>
    </row>
    <row r="263" spans="1:10" x14ac:dyDescent="0.35">
      <c r="A263" s="5"/>
      <c r="B263" s="5"/>
      <c r="C263" s="5"/>
      <c r="D263" s="54"/>
      <c r="E263" s="54"/>
      <c r="F263" s="54"/>
      <c r="G263" s="54"/>
      <c r="H263" s="125"/>
      <c r="I263" s="112"/>
      <c r="J263" s="79"/>
    </row>
    <row r="264" spans="1:10" x14ac:dyDescent="0.35">
      <c r="A264" s="6"/>
      <c r="B264" s="6"/>
      <c r="C264" s="6"/>
      <c r="D264" s="9"/>
      <c r="E264" s="9"/>
      <c r="F264" s="9"/>
      <c r="G264" s="9"/>
      <c r="H264" s="134"/>
      <c r="I264" s="113"/>
      <c r="J264" s="80"/>
    </row>
    <row r="265" spans="1:10" x14ac:dyDescent="0.35">
      <c r="A265" s="5"/>
      <c r="B265" s="5"/>
      <c r="C265" s="5"/>
      <c r="D265" s="54"/>
      <c r="E265" s="54"/>
      <c r="F265" s="54"/>
      <c r="G265" s="54"/>
      <c r="H265" s="125"/>
      <c r="I265" s="112"/>
      <c r="J265" s="79"/>
    </row>
    <row r="266" spans="1:10" x14ac:dyDescent="0.35">
      <c r="A266" s="6"/>
      <c r="B266" s="6"/>
      <c r="C266" s="6"/>
      <c r="D266" s="9"/>
      <c r="E266" s="9"/>
      <c r="F266" s="9"/>
      <c r="G266" s="9"/>
      <c r="H266" s="134"/>
      <c r="I266" s="113"/>
      <c r="J266" s="80"/>
    </row>
    <row r="267" spans="1:10" x14ac:dyDescent="0.35">
      <c r="A267" s="5"/>
      <c r="B267" s="5"/>
      <c r="C267" s="5"/>
      <c r="D267" s="54"/>
      <c r="E267" s="54"/>
      <c r="F267" s="54"/>
      <c r="G267" s="54"/>
      <c r="H267" s="125"/>
      <c r="I267" s="112"/>
      <c r="J267" s="79"/>
    </row>
    <row r="268" spans="1:10" x14ac:dyDescent="0.35">
      <c r="A268" s="6"/>
      <c r="B268" s="6"/>
      <c r="C268" s="6"/>
      <c r="D268" s="9"/>
      <c r="E268" s="9"/>
      <c r="F268" s="9"/>
      <c r="G268" s="9"/>
      <c r="H268" s="134"/>
      <c r="I268" s="113"/>
      <c r="J268" s="80"/>
    </row>
    <row r="269" spans="1:10" x14ac:dyDescent="0.35">
      <c r="A269" s="5"/>
      <c r="B269" s="5"/>
      <c r="C269" s="5"/>
      <c r="D269" s="54"/>
      <c r="E269" s="54"/>
      <c r="F269" s="54"/>
      <c r="G269" s="54"/>
      <c r="H269" s="125"/>
      <c r="I269" s="112"/>
      <c r="J269" s="79"/>
    </row>
    <row r="270" spans="1:10" x14ac:dyDescent="0.35">
      <c r="A270" s="6"/>
      <c r="B270" s="6"/>
      <c r="C270" s="6"/>
      <c r="D270" s="9"/>
      <c r="E270" s="9"/>
      <c r="F270" s="9"/>
      <c r="G270" s="9"/>
      <c r="H270" s="134"/>
      <c r="I270" s="113"/>
      <c r="J270" s="80"/>
    </row>
    <row r="271" spans="1:10" x14ac:dyDescent="0.35">
      <c r="A271" s="5"/>
      <c r="B271" s="5"/>
      <c r="C271" s="5"/>
      <c r="D271" s="54"/>
      <c r="E271" s="54"/>
      <c r="F271" s="54"/>
      <c r="G271" s="54"/>
      <c r="H271" s="125"/>
      <c r="I271" s="112"/>
      <c r="J271" s="79"/>
    </row>
    <row r="272" spans="1:10" x14ac:dyDescent="0.35">
      <c r="A272" s="6"/>
      <c r="B272" s="6"/>
      <c r="C272" s="6"/>
      <c r="D272" s="9"/>
      <c r="E272" s="9"/>
      <c r="F272" s="9"/>
      <c r="G272" s="9"/>
      <c r="H272" s="134"/>
      <c r="I272" s="113"/>
      <c r="J272" s="80"/>
    </row>
    <row r="273" spans="1:10" x14ac:dyDescent="0.35">
      <c r="A273" s="5"/>
      <c r="B273" s="5"/>
      <c r="C273" s="5"/>
      <c r="D273" s="54"/>
      <c r="E273" s="54"/>
      <c r="F273" s="54"/>
      <c r="G273" s="54"/>
      <c r="H273" s="125"/>
      <c r="I273" s="112"/>
      <c r="J273" s="79"/>
    </row>
    <row r="274" spans="1:10" x14ac:dyDescent="0.35">
      <c r="A274" s="6"/>
      <c r="B274" s="6"/>
      <c r="C274" s="6"/>
      <c r="D274" s="9"/>
      <c r="E274" s="9"/>
      <c r="F274" s="9"/>
      <c r="G274" s="9"/>
      <c r="H274" s="134"/>
      <c r="I274" s="113"/>
      <c r="J274" s="80"/>
    </row>
    <row r="275" spans="1:10" x14ac:dyDescent="0.35">
      <c r="A275" s="5"/>
      <c r="B275" s="5"/>
      <c r="C275" s="5"/>
      <c r="D275" s="54"/>
      <c r="E275" s="54"/>
      <c r="F275" s="54"/>
      <c r="G275" s="54"/>
      <c r="H275" s="125"/>
      <c r="I275" s="112"/>
      <c r="J275" s="79"/>
    </row>
    <row r="276" spans="1:10" x14ac:dyDescent="0.35">
      <c r="A276" s="6"/>
      <c r="B276" s="6"/>
      <c r="C276" s="6"/>
      <c r="D276" s="9"/>
      <c r="E276" s="9"/>
      <c r="F276" s="9"/>
      <c r="G276" s="9"/>
      <c r="H276" s="134"/>
      <c r="I276" s="113"/>
      <c r="J276" s="80"/>
    </row>
    <row r="277" spans="1:10" x14ac:dyDescent="0.35">
      <c r="A277" s="5"/>
      <c r="B277" s="5"/>
      <c r="C277" s="5"/>
      <c r="D277" s="54"/>
      <c r="E277" s="54"/>
      <c r="F277" s="54"/>
      <c r="G277" s="54"/>
      <c r="H277" s="125"/>
      <c r="I277" s="112"/>
      <c r="J277" s="79"/>
    </row>
    <row r="278" spans="1:10" x14ac:dyDescent="0.35">
      <c r="A278" s="6"/>
      <c r="B278" s="6"/>
      <c r="C278" s="6"/>
      <c r="D278" s="9"/>
      <c r="E278" s="9"/>
      <c r="F278" s="9"/>
      <c r="G278" s="9"/>
      <c r="H278" s="134"/>
      <c r="I278" s="113"/>
      <c r="J278" s="80"/>
    </row>
    <row r="279" spans="1:10" x14ac:dyDescent="0.35">
      <c r="A279" s="5"/>
      <c r="B279" s="5"/>
      <c r="C279" s="5"/>
      <c r="D279" s="54"/>
      <c r="E279" s="54"/>
      <c r="F279" s="54"/>
      <c r="G279" s="54"/>
      <c r="H279" s="125"/>
      <c r="I279" s="112"/>
      <c r="J279" s="79"/>
    </row>
    <row r="280" spans="1:10" x14ac:dyDescent="0.35">
      <c r="A280" s="6"/>
      <c r="B280" s="6"/>
      <c r="C280" s="6"/>
      <c r="D280" s="9"/>
      <c r="E280" s="9"/>
      <c r="F280" s="9"/>
      <c r="G280" s="9"/>
      <c r="H280" s="134"/>
      <c r="I280" s="113"/>
      <c r="J280" s="80"/>
    </row>
    <row r="281" spans="1:10" x14ac:dyDescent="0.35">
      <c r="A281" s="5"/>
      <c r="B281" s="5"/>
      <c r="C281" s="5"/>
      <c r="D281" s="54"/>
      <c r="E281" s="54"/>
      <c r="F281" s="54"/>
      <c r="G281" s="54"/>
      <c r="H281" s="125"/>
      <c r="I281" s="112"/>
      <c r="J281" s="79"/>
    </row>
    <row r="282" spans="1:10" x14ac:dyDescent="0.35">
      <c r="A282" s="6"/>
      <c r="B282" s="6"/>
      <c r="C282" s="6"/>
      <c r="D282" s="9"/>
      <c r="E282" s="9"/>
      <c r="F282" s="9"/>
      <c r="G282" s="9"/>
      <c r="H282" s="134"/>
      <c r="I282" s="113"/>
      <c r="J282" s="80"/>
    </row>
    <row r="283" spans="1:10" x14ac:dyDescent="0.35">
      <c r="A283" s="5"/>
      <c r="B283" s="5"/>
      <c r="C283" s="5"/>
      <c r="D283" s="54"/>
      <c r="E283" s="54"/>
      <c r="F283" s="54"/>
      <c r="G283" s="54"/>
      <c r="H283" s="125"/>
      <c r="I283" s="112"/>
      <c r="J283" s="79"/>
    </row>
    <row r="284" spans="1:10" x14ac:dyDescent="0.35">
      <c r="A284" s="6"/>
      <c r="B284" s="6"/>
      <c r="C284" s="6"/>
      <c r="D284" s="9"/>
      <c r="E284" s="9"/>
      <c r="F284" s="9"/>
      <c r="G284" s="9"/>
      <c r="H284" s="134"/>
      <c r="I284" s="113"/>
      <c r="J284" s="80"/>
    </row>
    <row r="285" spans="1:10" x14ac:dyDescent="0.35">
      <c r="A285" s="5"/>
      <c r="B285" s="5"/>
      <c r="C285" s="5"/>
      <c r="D285" s="54"/>
      <c r="E285" s="54"/>
      <c r="F285" s="54"/>
      <c r="G285" s="54"/>
      <c r="H285" s="125"/>
      <c r="I285" s="112"/>
      <c r="J285" s="79"/>
    </row>
    <row r="286" spans="1:10" x14ac:dyDescent="0.35">
      <c r="A286" s="6"/>
      <c r="B286" s="6"/>
      <c r="C286" s="6"/>
      <c r="D286" s="9"/>
      <c r="E286" s="9"/>
      <c r="F286" s="9"/>
      <c r="G286" s="9"/>
      <c r="H286" s="134"/>
      <c r="I286" s="113"/>
      <c r="J286" s="80"/>
    </row>
    <row r="287" spans="1:10" x14ac:dyDescent="0.35">
      <c r="A287" s="5"/>
      <c r="B287" s="5"/>
      <c r="C287" s="5"/>
      <c r="D287" s="54"/>
      <c r="E287" s="54"/>
      <c r="F287" s="54"/>
      <c r="G287" s="54"/>
      <c r="H287" s="125"/>
      <c r="I287" s="112"/>
      <c r="J287" s="79"/>
    </row>
    <row r="288" spans="1:10" x14ac:dyDescent="0.35">
      <c r="A288" s="6"/>
      <c r="B288" s="6"/>
      <c r="C288" s="6"/>
      <c r="D288" s="9"/>
      <c r="E288" s="9"/>
      <c r="F288" s="9"/>
      <c r="G288" s="9"/>
      <c r="H288" s="134"/>
      <c r="I288" s="113"/>
      <c r="J288" s="80"/>
    </row>
    <row r="289" spans="1:10" x14ac:dyDescent="0.35">
      <c r="A289" s="5"/>
      <c r="B289" s="5"/>
      <c r="C289" s="5"/>
      <c r="D289" s="54"/>
      <c r="E289" s="54"/>
      <c r="F289" s="54"/>
      <c r="G289" s="54"/>
      <c r="H289" s="125"/>
      <c r="I289" s="112"/>
      <c r="J289" s="79"/>
    </row>
    <row r="290" spans="1:10" x14ac:dyDescent="0.35">
      <c r="A290" s="6"/>
      <c r="B290" s="6"/>
      <c r="C290" s="6"/>
      <c r="D290" s="9"/>
      <c r="E290" s="9"/>
      <c r="F290" s="9"/>
      <c r="G290" s="9"/>
      <c r="H290" s="134"/>
      <c r="I290" s="113"/>
      <c r="J290" s="80"/>
    </row>
    <row r="291" spans="1:10" x14ac:dyDescent="0.35">
      <c r="A291" s="5"/>
      <c r="B291" s="5"/>
      <c r="C291" s="5"/>
      <c r="D291" s="54"/>
      <c r="E291" s="54"/>
      <c r="F291" s="54"/>
      <c r="G291" s="54"/>
      <c r="H291" s="125"/>
      <c r="I291" s="112"/>
      <c r="J291" s="79"/>
    </row>
    <row r="292" spans="1:10" x14ac:dyDescent="0.35">
      <c r="A292" s="6"/>
      <c r="B292" s="6"/>
      <c r="C292" s="6"/>
      <c r="D292" s="9"/>
      <c r="E292" s="9"/>
      <c r="F292" s="9"/>
      <c r="G292" s="9"/>
      <c r="H292" s="134"/>
      <c r="I292" s="113"/>
      <c r="J292" s="80"/>
    </row>
    <row r="293" spans="1:10" x14ac:dyDescent="0.35">
      <c r="A293" s="5"/>
      <c r="B293" s="5"/>
      <c r="C293" s="5"/>
      <c r="D293" s="54"/>
      <c r="E293" s="54"/>
      <c r="F293" s="54"/>
      <c r="G293" s="54"/>
      <c r="H293" s="125"/>
      <c r="I293" s="112"/>
      <c r="J293" s="79"/>
    </row>
    <row r="294" spans="1:10" x14ac:dyDescent="0.35">
      <c r="A294" s="6"/>
      <c r="B294" s="6"/>
      <c r="C294" s="6"/>
      <c r="D294" s="9"/>
      <c r="E294" s="9"/>
      <c r="F294" s="9"/>
      <c r="G294" s="9"/>
      <c r="H294" s="134"/>
      <c r="I294" s="113"/>
      <c r="J294" s="80"/>
    </row>
    <row r="295" spans="1:10" x14ac:dyDescent="0.35">
      <c r="A295" s="5"/>
      <c r="B295" s="5"/>
      <c r="C295" s="5"/>
      <c r="D295" s="54"/>
      <c r="E295" s="54"/>
      <c r="F295" s="54"/>
      <c r="G295" s="54"/>
      <c r="H295" s="125"/>
      <c r="I295" s="112"/>
      <c r="J295" s="79"/>
    </row>
    <row r="296" spans="1:10" x14ac:dyDescent="0.35">
      <c r="A296" s="6"/>
      <c r="B296" s="6"/>
      <c r="C296" s="6"/>
      <c r="D296" s="9"/>
      <c r="E296" s="9"/>
      <c r="F296" s="9"/>
      <c r="G296" s="9"/>
      <c r="H296" s="134"/>
      <c r="I296" s="113"/>
      <c r="J296" s="80"/>
    </row>
    <row r="297" spans="1:10" x14ac:dyDescent="0.35">
      <c r="A297" s="5"/>
      <c r="B297" s="5"/>
      <c r="C297" s="5"/>
      <c r="D297" s="54"/>
      <c r="E297" s="54"/>
      <c r="F297" s="54"/>
      <c r="G297" s="54"/>
      <c r="H297" s="125"/>
      <c r="I297" s="112"/>
      <c r="J297" s="79"/>
    </row>
    <row r="298" spans="1:10" x14ac:dyDescent="0.35">
      <c r="A298" s="6"/>
      <c r="B298" s="6"/>
      <c r="C298" s="6"/>
      <c r="D298" s="9"/>
      <c r="E298" s="9"/>
      <c r="F298" s="9"/>
      <c r="G298" s="9"/>
      <c r="H298" s="134"/>
      <c r="I298" s="113"/>
      <c r="J298" s="80"/>
    </row>
    <row r="299" spans="1:10" x14ac:dyDescent="0.35">
      <c r="A299" s="5"/>
      <c r="B299" s="5"/>
      <c r="C299" s="5"/>
      <c r="D299" s="54"/>
      <c r="E299" s="54"/>
      <c r="F299" s="54"/>
      <c r="G299" s="54"/>
      <c r="H299" s="125"/>
      <c r="I299" s="112"/>
      <c r="J299" s="79"/>
    </row>
    <row r="300" spans="1:10" x14ac:dyDescent="0.35">
      <c r="A300" s="6"/>
      <c r="B300" s="6"/>
      <c r="C300" s="6"/>
      <c r="D300" s="9"/>
      <c r="E300" s="9"/>
      <c r="F300" s="9"/>
      <c r="G300" s="9"/>
      <c r="H300" s="134"/>
      <c r="I300" s="113"/>
      <c r="J300" s="80"/>
    </row>
    <row r="301" spans="1:10" x14ac:dyDescent="0.35">
      <c r="A301" s="5"/>
      <c r="B301" s="5"/>
      <c r="C301" s="5"/>
      <c r="D301" s="54"/>
      <c r="E301" s="54"/>
      <c r="F301" s="54"/>
      <c r="G301" s="54"/>
      <c r="H301" s="125"/>
      <c r="I301" s="112"/>
      <c r="J301" s="79"/>
    </row>
    <row r="302" spans="1:10" x14ac:dyDescent="0.35">
      <c r="A302" s="6"/>
      <c r="B302" s="6"/>
      <c r="C302" s="6"/>
      <c r="D302" s="9"/>
      <c r="E302" s="9"/>
      <c r="F302" s="9"/>
      <c r="G302" s="9"/>
      <c r="H302" s="134"/>
      <c r="I302" s="113"/>
      <c r="J302" s="80"/>
    </row>
    <row r="303" spans="1:10" x14ac:dyDescent="0.35">
      <c r="A303" s="5"/>
      <c r="B303" s="5"/>
      <c r="C303" s="5"/>
      <c r="D303" s="54"/>
      <c r="E303" s="54"/>
      <c r="F303" s="54"/>
      <c r="G303" s="54"/>
      <c r="H303" s="125"/>
      <c r="I303" s="112"/>
      <c r="J303" s="79"/>
    </row>
    <row r="304" spans="1:10" x14ac:dyDescent="0.35">
      <c r="A304" s="6"/>
      <c r="B304" s="6"/>
      <c r="C304" s="6"/>
      <c r="D304" s="9"/>
      <c r="E304" s="9"/>
      <c r="F304" s="9"/>
      <c r="G304" s="9"/>
      <c r="H304" s="134"/>
      <c r="I304" s="113"/>
      <c r="J304" s="80"/>
    </row>
    <row r="305" spans="1:10" x14ac:dyDescent="0.35">
      <c r="A305" s="5"/>
      <c r="B305" s="5"/>
      <c r="C305" s="5"/>
      <c r="D305" s="54"/>
      <c r="E305" s="54"/>
      <c r="F305" s="54"/>
      <c r="G305" s="54"/>
      <c r="H305" s="125"/>
      <c r="I305" s="112"/>
      <c r="J305" s="79"/>
    </row>
    <row r="306" spans="1:10" x14ac:dyDescent="0.35">
      <c r="A306" s="6"/>
      <c r="B306" s="6"/>
      <c r="C306" s="6"/>
      <c r="D306" s="9"/>
      <c r="E306" s="9"/>
      <c r="F306" s="9"/>
      <c r="G306" s="9"/>
      <c r="H306" s="134"/>
      <c r="I306" s="113"/>
      <c r="J306" s="80"/>
    </row>
    <row r="307" spans="1:10" x14ac:dyDescent="0.35">
      <c r="A307" s="5"/>
      <c r="B307" s="5"/>
      <c r="C307" s="5"/>
      <c r="D307" s="54"/>
      <c r="E307" s="54"/>
      <c r="F307" s="54"/>
      <c r="G307" s="54"/>
      <c r="H307" s="125"/>
      <c r="I307" s="112"/>
      <c r="J307" s="79"/>
    </row>
    <row r="308" spans="1:10" x14ac:dyDescent="0.35">
      <c r="A308" s="6"/>
      <c r="B308" s="6"/>
      <c r="C308" s="6"/>
      <c r="D308" s="9"/>
      <c r="E308" s="9"/>
      <c r="F308" s="9"/>
      <c r="G308" s="9"/>
      <c r="H308" s="134"/>
      <c r="I308" s="113"/>
      <c r="J308" s="80"/>
    </row>
    <row r="309" spans="1:10" x14ac:dyDescent="0.35">
      <c r="A309" s="5"/>
      <c r="B309" s="5"/>
      <c r="C309" s="5"/>
      <c r="D309" s="54"/>
      <c r="E309" s="54"/>
      <c r="F309" s="54"/>
      <c r="G309" s="54"/>
      <c r="H309" s="125"/>
      <c r="I309" s="112"/>
      <c r="J309" s="79"/>
    </row>
    <row r="310" spans="1:10" x14ac:dyDescent="0.35">
      <c r="A310" s="6"/>
      <c r="B310" s="6"/>
      <c r="C310" s="6"/>
      <c r="D310" s="9"/>
      <c r="E310" s="9"/>
      <c r="F310" s="9"/>
      <c r="G310" s="9"/>
      <c r="H310" s="134"/>
      <c r="I310" s="113"/>
      <c r="J310" s="80"/>
    </row>
    <row r="311" spans="1:10" x14ac:dyDescent="0.35">
      <c r="A311" s="5"/>
      <c r="B311" s="5"/>
      <c r="C311" s="5"/>
      <c r="D311" s="54"/>
      <c r="E311" s="54"/>
      <c r="F311" s="54"/>
      <c r="G311" s="54"/>
      <c r="H311" s="125"/>
      <c r="I311" s="112"/>
      <c r="J311" s="79"/>
    </row>
    <row r="312" spans="1:10" x14ac:dyDescent="0.35">
      <c r="A312" s="6"/>
      <c r="B312" s="6"/>
      <c r="C312" s="6"/>
      <c r="D312" s="9"/>
      <c r="E312" s="9"/>
      <c r="F312" s="9"/>
      <c r="G312" s="9"/>
      <c r="H312" s="134"/>
      <c r="I312" s="113"/>
      <c r="J312" s="80"/>
    </row>
    <row r="313" spans="1:10" x14ac:dyDescent="0.35">
      <c r="A313" s="5"/>
      <c r="B313" s="5"/>
      <c r="C313" s="5"/>
      <c r="D313" s="54"/>
      <c r="E313" s="54"/>
      <c r="F313" s="54"/>
      <c r="G313" s="54"/>
      <c r="H313" s="125"/>
      <c r="I313" s="112"/>
      <c r="J313" s="79"/>
    </row>
    <row r="314" spans="1:10" x14ac:dyDescent="0.35">
      <c r="A314" s="6"/>
      <c r="B314" s="6"/>
      <c r="C314" s="6"/>
      <c r="D314" s="9"/>
      <c r="E314" s="9"/>
      <c r="F314" s="9"/>
      <c r="G314" s="9"/>
      <c r="H314" s="134"/>
      <c r="I314" s="113"/>
      <c r="J314" s="80"/>
    </row>
    <row r="315" spans="1:10" x14ac:dyDescent="0.35">
      <c r="A315" s="5"/>
      <c r="B315" s="5"/>
      <c r="C315" s="5"/>
      <c r="D315" s="54"/>
      <c r="E315" s="54"/>
      <c r="F315" s="54"/>
      <c r="G315" s="54"/>
      <c r="H315" s="125"/>
      <c r="I315" s="112"/>
      <c r="J315" s="79"/>
    </row>
    <row r="316" spans="1:10" x14ac:dyDescent="0.35">
      <c r="A316" s="6"/>
      <c r="B316" s="6"/>
      <c r="C316" s="6"/>
      <c r="D316" s="9"/>
      <c r="E316" s="9"/>
      <c r="F316" s="9"/>
      <c r="G316" s="9"/>
      <c r="H316" s="134"/>
      <c r="I316" s="113"/>
      <c r="J316" s="80"/>
    </row>
    <row r="317" spans="1:10" x14ac:dyDescent="0.35">
      <c r="A317" s="5"/>
      <c r="B317" s="5"/>
      <c r="C317" s="5"/>
      <c r="D317" s="54"/>
      <c r="E317" s="54"/>
      <c r="F317" s="54"/>
      <c r="G317" s="54"/>
      <c r="H317" s="125"/>
      <c r="I317" s="112"/>
      <c r="J317" s="79"/>
    </row>
    <row r="318" spans="1:10" x14ac:dyDescent="0.35">
      <c r="A318" s="6"/>
      <c r="B318" s="6"/>
      <c r="C318" s="6"/>
      <c r="D318" s="9"/>
      <c r="E318" s="9"/>
      <c r="F318" s="9"/>
      <c r="G318" s="9"/>
      <c r="H318" s="134"/>
      <c r="I318" s="113"/>
      <c r="J318" s="80"/>
    </row>
    <row r="319" spans="1:10" x14ac:dyDescent="0.35">
      <c r="A319" s="5"/>
      <c r="B319" s="5"/>
      <c r="C319" s="5"/>
      <c r="D319" s="54"/>
      <c r="E319" s="54"/>
      <c r="F319" s="54"/>
      <c r="G319" s="54"/>
      <c r="H319" s="125"/>
      <c r="I319" s="112"/>
      <c r="J319" s="79"/>
    </row>
    <row r="320" spans="1:10" x14ac:dyDescent="0.35">
      <c r="A320" s="6"/>
      <c r="B320" s="6"/>
      <c r="C320" s="6"/>
      <c r="D320" s="9"/>
      <c r="E320" s="9"/>
      <c r="F320" s="9"/>
      <c r="G320" s="9"/>
      <c r="H320" s="134"/>
      <c r="I320" s="113"/>
      <c r="J320" s="80"/>
    </row>
    <row r="321" spans="1:10" x14ac:dyDescent="0.35">
      <c r="A321" s="5"/>
      <c r="B321" s="5"/>
      <c r="C321" s="5"/>
      <c r="D321" s="54"/>
      <c r="E321" s="54"/>
      <c r="F321" s="54"/>
      <c r="G321" s="54"/>
      <c r="H321" s="125"/>
      <c r="I321" s="112"/>
      <c r="J321" s="79"/>
    </row>
    <row r="322" spans="1:10" x14ac:dyDescent="0.35">
      <c r="A322" s="6"/>
      <c r="B322" s="6"/>
      <c r="C322" s="6"/>
      <c r="D322" s="9"/>
      <c r="E322" s="9"/>
      <c r="F322" s="9"/>
      <c r="G322" s="9"/>
      <c r="H322" s="134"/>
      <c r="I322" s="113"/>
      <c r="J322" s="80"/>
    </row>
    <row r="323" spans="1:10" x14ac:dyDescent="0.35">
      <c r="A323" s="5"/>
      <c r="B323" s="5"/>
      <c r="C323" s="5"/>
      <c r="D323" s="54"/>
      <c r="E323" s="54"/>
      <c r="F323" s="54"/>
      <c r="G323" s="54"/>
      <c r="H323" s="125"/>
      <c r="I323" s="112"/>
      <c r="J323" s="79"/>
    </row>
    <row r="324" spans="1:10" x14ac:dyDescent="0.35">
      <c r="A324" s="6"/>
      <c r="B324" s="6"/>
      <c r="C324" s="6"/>
      <c r="D324" s="9"/>
      <c r="E324" s="9"/>
      <c r="F324" s="9"/>
      <c r="G324" s="9"/>
      <c r="H324" s="134"/>
      <c r="I324" s="113"/>
      <c r="J324" s="80"/>
    </row>
    <row r="325" spans="1:10" x14ac:dyDescent="0.35">
      <c r="A325" s="5"/>
      <c r="B325" s="5"/>
      <c r="C325" s="5"/>
      <c r="D325" s="54"/>
      <c r="E325" s="54"/>
      <c r="F325" s="54"/>
      <c r="G325" s="54"/>
      <c r="H325" s="125"/>
      <c r="I325" s="112"/>
      <c r="J325" s="79"/>
    </row>
    <row r="326" spans="1:10" x14ac:dyDescent="0.35">
      <c r="A326" s="6"/>
      <c r="B326" s="6"/>
      <c r="C326" s="6"/>
      <c r="D326" s="9"/>
      <c r="E326" s="9"/>
      <c r="F326" s="9"/>
      <c r="G326" s="9"/>
      <c r="H326" s="134"/>
      <c r="I326" s="113"/>
      <c r="J326" s="80"/>
    </row>
    <row r="327" spans="1:10" x14ac:dyDescent="0.35">
      <c r="A327" s="5"/>
      <c r="B327" s="5"/>
      <c r="C327" s="5"/>
      <c r="D327" s="54"/>
      <c r="E327" s="54"/>
      <c r="F327" s="54"/>
      <c r="G327" s="54"/>
      <c r="H327" s="125"/>
      <c r="I327" s="112"/>
      <c r="J327" s="79"/>
    </row>
    <row r="328" spans="1:10" x14ac:dyDescent="0.35">
      <c r="A328" s="6"/>
      <c r="B328" s="6"/>
      <c r="C328" s="6"/>
      <c r="D328" s="9"/>
      <c r="E328" s="9"/>
      <c r="F328" s="9"/>
      <c r="G328" s="9"/>
      <c r="H328" s="134"/>
      <c r="I328" s="113"/>
      <c r="J328" s="80"/>
    </row>
    <row r="329" spans="1:10" x14ac:dyDescent="0.35">
      <c r="A329" s="5"/>
      <c r="B329" s="5"/>
      <c r="C329" s="5"/>
      <c r="D329" s="54"/>
      <c r="E329" s="54"/>
      <c r="F329" s="54"/>
      <c r="G329" s="54"/>
      <c r="H329" s="125"/>
      <c r="I329" s="112"/>
      <c r="J329" s="79"/>
    </row>
    <row r="330" spans="1:10" x14ac:dyDescent="0.35">
      <c r="A330" s="6"/>
      <c r="B330" s="6"/>
      <c r="C330" s="6"/>
      <c r="D330" s="9"/>
      <c r="E330" s="9"/>
      <c r="F330" s="9"/>
      <c r="G330" s="9"/>
      <c r="H330" s="134"/>
      <c r="I330" s="113"/>
      <c r="J330" s="80"/>
    </row>
    <row r="331" spans="1:10" x14ac:dyDescent="0.35">
      <c r="A331" s="5"/>
      <c r="B331" s="5"/>
      <c r="C331" s="5"/>
      <c r="D331" s="54"/>
      <c r="E331" s="54"/>
      <c r="F331" s="54"/>
      <c r="G331" s="54"/>
      <c r="H331" s="125"/>
      <c r="I331" s="112"/>
      <c r="J331" s="79"/>
    </row>
    <row r="332" spans="1:10" x14ac:dyDescent="0.35">
      <c r="A332" s="6"/>
      <c r="B332" s="6"/>
      <c r="C332" s="6"/>
      <c r="D332" s="9"/>
      <c r="E332" s="9"/>
      <c r="F332" s="9"/>
      <c r="G332" s="9"/>
      <c r="H332" s="134"/>
      <c r="I332" s="113"/>
      <c r="J332" s="80"/>
    </row>
    <row r="333" spans="1:10" x14ac:dyDescent="0.35">
      <c r="A333" s="5"/>
      <c r="B333" s="5"/>
      <c r="C333" s="5"/>
      <c r="D333" s="54"/>
      <c r="E333" s="54"/>
      <c r="F333" s="54"/>
      <c r="G333" s="54"/>
      <c r="H333" s="125"/>
      <c r="I333" s="112"/>
      <c r="J333" s="79"/>
    </row>
    <row r="334" spans="1:10" x14ac:dyDescent="0.35">
      <c r="A334" s="6"/>
      <c r="B334" s="6"/>
      <c r="C334" s="6"/>
      <c r="D334" s="9"/>
      <c r="E334" s="9"/>
      <c r="F334" s="9"/>
      <c r="G334" s="9"/>
      <c r="H334" s="134"/>
      <c r="I334" s="113"/>
      <c r="J334" s="80"/>
    </row>
    <row r="335" spans="1:10" x14ac:dyDescent="0.35">
      <c r="A335" s="5"/>
      <c r="B335" s="5"/>
      <c r="C335" s="5"/>
      <c r="D335" s="54"/>
      <c r="E335" s="54"/>
      <c r="F335" s="54"/>
      <c r="G335" s="54"/>
      <c r="H335" s="125"/>
      <c r="I335" s="112"/>
      <c r="J335" s="79"/>
    </row>
    <row r="336" spans="1:10" x14ac:dyDescent="0.35">
      <c r="A336" s="6"/>
      <c r="B336" s="6"/>
      <c r="C336" s="6"/>
      <c r="D336" s="9"/>
      <c r="E336" s="9"/>
      <c r="F336" s="9"/>
      <c r="G336" s="9"/>
      <c r="H336" s="134"/>
      <c r="I336" s="113"/>
      <c r="J336" s="80"/>
    </row>
    <row r="337" spans="1:10" x14ac:dyDescent="0.35">
      <c r="A337" s="5"/>
      <c r="B337" s="5"/>
      <c r="C337" s="5"/>
      <c r="D337" s="54"/>
      <c r="E337" s="54"/>
      <c r="F337" s="54"/>
      <c r="G337" s="54"/>
      <c r="H337" s="125"/>
      <c r="I337" s="112"/>
      <c r="J337" s="79"/>
    </row>
    <row r="338" spans="1:10" x14ac:dyDescent="0.35">
      <c r="A338" s="6"/>
      <c r="B338" s="6"/>
      <c r="C338" s="6"/>
      <c r="D338" s="9"/>
      <c r="E338" s="9"/>
      <c r="F338" s="9"/>
      <c r="G338" s="9"/>
      <c r="H338" s="134"/>
      <c r="I338" s="113"/>
      <c r="J338" s="80"/>
    </row>
    <row r="339" spans="1:10" x14ac:dyDescent="0.35">
      <c r="A339" s="5"/>
      <c r="B339" s="5"/>
      <c r="C339" s="5"/>
      <c r="D339" s="54"/>
      <c r="E339" s="54"/>
      <c r="F339" s="54"/>
      <c r="G339" s="54"/>
      <c r="H339" s="125"/>
      <c r="I339" s="112"/>
      <c r="J339" s="79"/>
    </row>
    <row r="340" spans="1:10" x14ac:dyDescent="0.35">
      <c r="A340" s="6"/>
      <c r="B340" s="6"/>
      <c r="C340" s="6"/>
      <c r="D340" s="9"/>
      <c r="E340" s="9"/>
      <c r="F340" s="9"/>
      <c r="G340" s="9"/>
      <c r="H340" s="134"/>
      <c r="I340" s="113"/>
      <c r="J340" s="80"/>
    </row>
    <row r="341" spans="1:10" x14ac:dyDescent="0.35">
      <c r="A341" s="5"/>
      <c r="B341" s="5"/>
      <c r="C341" s="5"/>
      <c r="D341" s="54"/>
      <c r="E341" s="54"/>
      <c r="F341" s="54"/>
      <c r="G341" s="54"/>
      <c r="H341" s="125"/>
      <c r="I341" s="112"/>
      <c r="J341" s="79"/>
    </row>
    <row r="342" spans="1:10" x14ac:dyDescent="0.35">
      <c r="A342" s="6"/>
      <c r="B342" s="6"/>
      <c r="C342" s="6"/>
      <c r="D342" s="9"/>
      <c r="E342" s="9"/>
      <c r="F342" s="9"/>
      <c r="G342" s="9"/>
      <c r="H342" s="134"/>
      <c r="I342" s="113"/>
      <c r="J342" s="80"/>
    </row>
    <row r="343" spans="1:10" x14ac:dyDescent="0.35">
      <c r="A343" s="5"/>
      <c r="B343" s="5"/>
      <c r="C343" s="5"/>
      <c r="D343" s="54"/>
      <c r="E343" s="54"/>
      <c r="F343" s="54"/>
      <c r="G343" s="54"/>
      <c r="H343" s="125"/>
      <c r="I343" s="112"/>
      <c r="J343" s="79"/>
    </row>
    <row r="344" spans="1:10" x14ac:dyDescent="0.35">
      <c r="A344" s="6"/>
      <c r="B344" s="6"/>
      <c r="C344" s="6"/>
      <c r="D344" s="9"/>
      <c r="E344" s="9"/>
      <c r="F344" s="9"/>
      <c r="G344" s="9"/>
      <c r="H344" s="134"/>
      <c r="I344" s="113"/>
      <c r="J344" s="80"/>
    </row>
    <row r="345" spans="1:10" x14ac:dyDescent="0.35">
      <c r="A345" s="5"/>
      <c r="B345" s="5"/>
      <c r="C345" s="5"/>
      <c r="D345" s="54"/>
      <c r="E345" s="54"/>
      <c r="F345" s="54"/>
      <c r="G345" s="54"/>
      <c r="H345" s="125"/>
      <c r="I345" s="112"/>
      <c r="J345" s="79"/>
    </row>
    <row r="346" spans="1:10" x14ac:dyDescent="0.35">
      <c r="A346" s="6"/>
      <c r="B346" s="6"/>
      <c r="C346" s="6"/>
      <c r="D346" s="9"/>
      <c r="E346" s="9"/>
      <c r="F346" s="9"/>
      <c r="G346" s="9"/>
      <c r="H346" s="134"/>
      <c r="I346" s="113"/>
      <c r="J346" s="80"/>
    </row>
    <row r="347" spans="1:10" x14ac:dyDescent="0.35">
      <c r="A347" s="5"/>
      <c r="B347" s="5"/>
      <c r="C347" s="5"/>
      <c r="D347" s="54"/>
      <c r="E347" s="54"/>
      <c r="F347" s="54"/>
      <c r="G347" s="54"/>
      <c r="H347" s="125"/>
      <c r="I347" s="112"/>
      <c r="J347" s="79"/>
    </row>
    <row r="348" spans="1:10" x14ac:dyDescent="0.35">
      <c r="A348" s="6"/>
      <c r="B348" s="6"/>
      <c r="C348" s="6"/>
      <c r="D348" s="9"/>
      <c r="E348" s="9"/>
      <c r="F348" s="9"/>
      <c r="G348" s="9"/>
      <c r="H348" s="134"/>
      <c r="I348" s="113"/>
      <c r="J348" s="80"/>
    </row>
    <row r="349" spans="1:10" x14ac:dyDescent="0.35">
      <c r="A349" s="5"/>
      <c r="B349" s="5"/>
      <c r="C349" s="5"/>
      <c r="D349" s="54"/>
      <c r="E349" s="54"/>
      <c r="F349" s="54"/>
      <c r="G349" s="54"/>
      <c r="H349" s="125"/>
      <c r="I349" s="112"/>
      <c r="J349" s="79"/>
    </row>
    <row r="350" spans="1:10" x14ac:dyDescent="0.35">
      <c r="A350" s="6"/>
      <c r="B350" s="6"/>
      <c r="C350" s="6"/>
      <c r="D350" s="9"/>
      <c r="E350" s="9"/>
      <c r="F350" s="9"/>
      <c r="G350" s="9"/>
      <c r="H350" s="134"/>
      <c r="I350" s="113"/>
      <c r="J350" s="80"/>
    </row>
    <row r="351" spans="1:10" x14ac:dyDescent="0.35">
      <c r="A351" s="5"/>
      <c r="B351" s="5"/>
      <c r="C351" s="5"/>
      <c r="D351" s="54"/>
      <c r="E351" s="54"/>
      <c r="F351" s="54"/>
      <c r="G351" s="54"/>
      <c r="H351" s="125"/>
      <c r="I351" s="112"/>
      <c r="J351" s="79"/>
    </row>
    <row r="352" spans="1:10" x14ac:dyDescent="0.35">
      <c r="A352" s="6"/>
      <c r="B352" s="6"/>
      <c r="C352" s="6"/>
      <c r="D352" s="9"/>
      <c r="E352" s="9"/>
      <c r="F352" s="9"/>
      <c r="G352" s="9"/>
      <c r="H352" s="134"/>
      <c r="I352" s="113"/>
      <c r="J352" s="80"/>
    </row>
    <row r="353" spans="1:10" x14ac:dyDescent="0.35">
      <c r="A353" s="5"/>
      <c r="B353" s="5"/>
      <c r="C353" s="5"/>
      <c r="D353" s="54"/>
      <c r="E353" s="54"/>
      <c r="F353" s="54"/>
      <c r="G353" s="54"/>
      <c r="H353" s="125"/>
      <c r="I353" s="112"/>
      <c r="J353" s="79"/>
    </row>
    <row r="354" spans="1:10" x14ac:dyDescent="0.35">
      <c r="A354" s="6"/>
      <c r="B354" s="6"/>
      <c r="C354" s="6"/>
      <c r="D354" s="9"/>
      <c r="E354" s="9"/>
      <c r="F354" s="9"/>
      <c r="G354" s="9"/>
      <c r="H354" s="134"/>
      <c r="I354" s="113"/>
      <c r="J354" s="80"/>
    </row>
    <row r="355" spans="1:10" x14ac:dyDescent="0.35">
      <c r="A355" s="5"/>
      <c r="B355" s="5"/>
      <c r="C355" s="5"/>
      <c r="D355" s="54"/>
      <c r="E355" s="54"/>
      <c r="F355" s="54"/>
      <c r="G355" s="54"/>
      <c r="H355" s="125"/>
      <c r="I355" s="112"/>
      <c r="J355" s="79"/>
    </row>
    <row r="356" spans="1:10" x14ac:dyDescent="0.35">
      <c r="A356" s="6"/>
      <c r="B356" s="6"/>
      <c r="C356" s="6"/>
      <c r="D356" s="9"/>
      <c r="E356" s="9"/>
      <c r="F356" s="9"/>
      <c r="G356" s="9"/>
      <c r="H356" s="134"/>
      <c r="I356" s="113"/>
      <c r="J356" s="80"/>
    </row>
    <row r="357" spans="1:10" x14ac:dyDescent="0.35">
      <c r="A357" s="5"/>
      <c r="B357" s="5"/>
      <c r="C357" s="5"/>
      <c r="D357" s="54"/>
      <c r="E357" s="54"/>
      <c r="F357" s="54"/>
      <c r="G357" s="54"/>
      <c r="H357" s="125"/>
      <c r="I357" s="112"/>
      <c r="J357" s="79"/>
    </row>
    <row r="358" spans="1:10" x14ac:dyDescent="0.35">
      <c r="A358" s="6"/>
      <c r="B358" s="6"/>
      <c r="C358" s="6"/>
      <c r="D358" s="9"/>
      <c r="E358" s="9"/>
      <c r="F358" s="9"/>
      <c r="G358" s="9"/>
      <c r="H358" s="134"/>
      <c r="I358" s="113"/>
      <c r="J358" s="80"/>
    </row>
    <row r="359" spans="1:10" x14ac:dyDescent="0.35">
      <c r="A359" s="5"/>
      <c r="B359" s="5"/>
      <c r="C359" s="5"/>
      <c r="D359" s="54"/>
      <c r="E359" s="54"/>
      <c r="F359" s="54"/>
      <c r="G359" s="54"/>
      <c r="H359" s="125"/>
      <c r="I359" s="112"/>
      <c r="J359" s="79"/>
    </row>
    <row r="360" spans="1:10" x14ac:dyDescent="0.35">
      <c r="A360" s="6"/>
      <c r="B360" s="6"/>
      <c r="C360" s="6"/>
      <c r="D360" s="9"/>
      <c r="E360" s="9"/>
      <c r="F360" s="9"/>
      <c r="G360" s="9"/>
      <c r="H360" s="134"/>
      <c r="I360" s="113"/>
      <c r="J360" s="80"/>
    </row>
    <row r="361" spans="1:10" x14ac:dyDescent="0.35">
      <c r="A361" s="5"/>
      <c r="B361" s="5"/>
      <c r="C361" s="5"/>
      <c r="D361" s="54"/>
      <c r="E361" s="54"/>
      <c r="F361" s="54"/>
      <c r="G361" s="54"/>
      <c r="H361" s="125"/>
      <c r="I361" s="112"/>
      <c r="J361" s="79"/>
    </row>
    <row r="362" spans="1:10" x14ac:dyDescent="0.35">
      <c r="A362" s="6"/>
      <c r="B362" s="6"/>
      <c r="C362" s="6"/>
      <c r="D362" s="9"/>
      <c r="E362" s="9"/>
      <c r="F362" s="9"/>
      <c r="G362" s="9"/>
      <c r="H362" s="134"/>
      <c r="I362" s="113"/>
      <c r="J362" s="80"/>
    </row>
    <row r="363" spans="1:10" x14ac:dyDescent="0.35">
      <c r="A363" s="5"/>
      <c r="B363" s="5"/>
      <c r="C363" s="5"/>
      <c r="D363" s="54"/>
      <c r="E363" s="54"/>
      <c r="F363" s="54"/>
      <c r="G363" s="54"/>
      <c r="H363" s="125"/>
      <c r="I363" s="112"/>
      <c r="J363" s="79"/>
    </row>
    <row r="364" spans="1:10" x14ac:dyDescent="0.35">
      <c r="A364" s="6"/>
      <c r="B364" s="6"/>
      <c r="C364" s="6"/>
      <c r="D364" s="9"/>
      <c r="E364" s="9"/>
      <c r="F364" s="9"/>
      <c r="G364" s="9"/>
      <c r="H364" s="134"/>
      <c r="I364" s="113"/>
      <c r="J364" s="80"/>
    </row>
    <row r="365" spans="1:10" x14ac:dyDescent="0.35">
      <c r="A365" s="5"/>
      <c r="B365" s="5"/>
      <c r="C365" s="5"/>
      <c r="D365" s="54"/>
      <c r="E365" s="54"/>
      <c r="F365" s="54"/>
      <c r="G365" s="54"/>
      <c r="H365" s="125"/>
      <c r="I365" s="112"/>
      <c r="J365" s="79"/>
    </row>
    <row r="366" spans="1:10" x14ac:dyDescent="0.35">
      <c r="A366" s="6"/>
      <c r="B366" s="6"/>
      <c r="C366" s="6"/>
      <c r="D366" s="9"/>
      <c r="E366" s="9"/>
      <c r="F366" s="9"/>
      <c r="G366" s="9"/>
      <c r="H366" s="134"/>
      <c r="I366" s="113"/>
      <c r="J366" s="80"/>
    </row>
    <row r="367" spans="1:10" x14ac:dyDescent="0.35">
      <c r="A367" s="5"/>
      <c r="B367" s="5"/>
      <c r="C367" s="5"/>
      <c r="D367" s="54"/>
      <c r="E367" s="54"/>
      <c r="F367" s="54"/>
      <c r="G367" s="54"/>
      <c r="H367" s="125"/>
      <c r="I367" s="112"/>
      <c r="J367" s="79"/>
    </row>
    <row r="368" spans="1:10" x14ac:dyDescent="0.35">
      <c r="A368" s="6"/>
      <c r="B368" s="6"/>
      <c r="C368" s="6"/>
      <c r="D368" s="9"/>
      <c r="E368" s="9"/>
      <c r="F368" s="9"/>
      <c r="G368" s="9"/>
      <c r="H368" s="134"/>
      <c r="I368" s="113"/>
      <c r="J368" s="80"/>
    </row>
    <row r="369" spans="1:10" x14ac:dyDescent="0.35">
      <c r="A369" s="5"/>
      <c r="B369" s="5"/>
      <c r="C369" s="5"/>
      <c r="D369" s="54"/>
      <c r="E369" s="54"/>
      <c r="F369" s="54"/>
      <c r="G369" s="54"/>
      <c r="H369" s="125"/>
      <c r="I369" s="112"/>
      <c r="J369" s="79"/>
    </row>
    <row r="370" spans="1:10" x14ac:dyDescent="0.35">
      <c r="A370" s="6"/>
      <c r="B370" s="6"/>
      <c r="C370" s="6"/>
      <c r="D370" s="9"/>
      <c r="E370" s="9"/>
      <c r="F370" s="9"/>
      <c r="G370" s="9"/>
      <c r="H370" s="134"/>
      <c r="I370" s="113"/>
      <c r="J370" s="80"/>
    </row>
    <row r="371" spans="1:10" x14ac:dyDescent="0.35">
      <c r="A371" s="5"/>
      <c r="B371" s="5"/>
      <c r="C371" s="5"/>
      <c r="D371" s="54"/>
      <c r="E371" s="54"/>
      <c r="F371" s="54"/>
      <c r="G371" s="54"/>
      <c r="H371" s="125"/>
      <c r="I371" s="112"/>
      <c r="J371" s="79"/>
    </row>
    <row r="372" spans="1:10" x14ac:dyDescent="0.35">
      <c r="A372" s="6"/>
      <c r="B372" s="6"/>
      <c r="C372" s="6"/>
      <c r="D372" s="9"/>
      <c r="E372" s="9"/>
      <c r="F372" s="9"/>
      <c r="G372" s="9"/>
      <c r="H372" s="134"/>
      <c r="I372" s="113"/>
      <c r="J372" s="80"/>
    </row>
    <row r="373" spans="1:10" x14ac:dyDescent="0.35">
      <c r="A373" s="5"/>
      <c r="B373" s="5"/>
      <c r="C373" s="5"/>
      <c r="D373" s="54"/>
      <c r="E373" s="54"/>
      <c r="F373" s="54"/>
      <c r="G373" s="54"/>
      <c r="H373" s="125"/>
      <c r="I373" s="112"/>
      <c r="J373" s="79"/>
    </row>
    <row r="374" spans="1:10" x14ac:dyDescent="0.35">
      <c r="A374" s="6"/>
      <c r="B374" s="6"/>
      <c r="C374" s="6"/>
      <c r="D374" s="9"/>
      <c r="E374" s="9"/>
      <c r="F374" s="9"/>
      <c r="G374" s="9"/>
      <c r="H374" s="134"/>
      <c r="I374" s="113"/>
      <c r="J374" s="80"/>
    </row>
    <row r="375" spans="1:10" x14ac:dyDescent="0.35">
      <c r="A375" s="5"/>
      <c r="B375" s="5"/>
      <c r="C375" s="5"/>
      <c r="D375" s="54"/>
      <c r="E375" s="54"/>
      <c r="F375" s="54"/>
      <c r="G375" s="54"/>
      <c r="H375" s="125"/>
      <c r="I375" s="112"/>
      <c r="J375" s="79"/>
    </row>
    <row r="376" spans="1:10" x14ac:dyDescent="0.35">
      <c r="A376" s="6"/>
      <c r="B376" s="6"/>
      <c r="C376" s="6"/>
      <c r="D376" s="9"/>
      <c r="E376" s="9"/>
      <c r="F376" s="9"/>
      <c r="G376" s="9"/>
      <c r="H376" s="134"/>
      <c r="I376" s="113"/>
      <c r="J376" s="80"/>
    </row>
    <row r="377" spans="1:10" x14ac:dyDescent="0.35">
      <c r="A377" s="5"/>
      <c r="B377" s="5"/>
      <c r="C377" s="5"/>
      <c r="D377" s="54"/>
      <c r="E377" s="54"/>
      <c r="F377" s="54"/>
      <c r="G377" s="54"/>
      <c r="H377" s="125"/>
      <c r="I377" s="112"/>
      <c r="J377" s="79"/>
    </row>
    <row r="378" spans="1:10" x14ac:dyDescent="0.35">
      <c r="A378" s="6"/>
      <c r="B378" s="6"/>
      <c r="C378" s="6"/>
      <c r="D378" s="9"/>
      <c r="E378" s="9"/>
      <c r="F378" s="9"/>
      <c r="G378" s="9"/>
      <c r="H378" s="134"/>
      <c r="I378" s="113"/>
      <c r="J378" s="80"/>
    </row>
    <row r="379" spans="1:10" x14ac:dyDescent="0.35">
      <c r="A379" s="5"/>
      <c r="B379" s="5"/>
      <c r="C379" s="5"/>
      <c r="D379" s="54"/>
      <c r="E379" s="54"/>
      <c r="F379" s="54"/>
      <c r="G379" s="54"/>
      <c r="H379" s="125"/>
      <c r="I379" s="112"/>
      <c r="J379" s="79"/>
    </row>
    <row r="380" spans="1:10" x14ac:dyDescent="0.35">
      <c r="A380" s="6"/>
      <c r="B380" s="6"/>
      <c r="C380" s="6"/>
      <c r="D380" s="9"/>
      <c r="E380" s="9"/>
      <c r="F380" s="9"/>
      <c r="G380" s="9"/>
      <c r="H380" s="134"/>
      <c r="I380" s="113"/>
      <c r="J380" s="80"/>
    </row>
    <row r="381" spans="1:10" x14ac:dyDescent="0.35">
      <c r="A381" s="5"/>
      <c r="B381" s="5"/>
      <c r="C381" s="5"/>
      <c r="D381" s="54"/>
      <c r="E381" s="54"/>
      <c r="F381" s="54"/>
      <c r="G381" s="54"/>
      <c r="H381" s="125"/>
      <c r="I381" s="112"/>
      <c r="J381" s="79"/>
    </row>
    <row r="382" spans="1:10" x14ac:dyDescent="0.35">
      <c r="A382" s="6"/>
      <c r="B382" s="6"/>
      <c r="C382" s="6"/>
      <c r="D382" s="9"/>
      <c r="E382" s="9"/>
      <c r="F382" s="9"/>
      <c r="G382" s="9"/>
      <c r="H382" s="134"/>
      <c r="I382" s="113"/>
      <c r="J382" s="80"/>
    </row>
    <row r="383" spans="1:10" x14ac:dyDescent="0.35">
      <c r="A383" s="5"/>
      <c r="B383" s="5"/>
      <c r="C383" s="5"/>
      <c r="D383" s="54"/>
      <c r="E383" s="54"/>
      <c r="F383" s="54"/>
      <c r="G383" s="54"/>
      <c r="H383" s="125"/>
      <c r="I383" s="112"/>
      <c r="J383" s="79"/>
    </row>
    <row r="384" spans="1:10" x14ac:dyDescent="0.35">
      <c r="A384" s="6"/>
      <c r="B384" s="6"/>
      <c r="C384" s="6"/>
      <c r="D384" s="9"/>
      <c r="E384" s="9"/>
      <c r="F384" s="9"/>
      <c r="G384" s="9"/>
      <c r="H384" s="134"/>
      <c r="I384" s="113"/>
      <c r="J384" s="80"/>
    </row>
    <row r="385" spans="1:10" x14ac:dyDescent="0.35">
      <c r="A385" s="5"/>
      <c r="B385" s="5"/>
      <c r="C385" s="5"/>
      <c r="D385" s="54"/>
      <c r="E385" s="54"/>
      <c r="F385" s="54"/>
      <c r="G385" s="54"/>
      <c r="H385" s="125"/>
      <c r="I385" s="112"/>
      <c r="J385" s="79"/>
    </row>
    <row r="386" spans="1:10" x14ac:dyDescent="0.35">
      <c r="A386" s="6"/>
      <c r="B386" s="6"/>
      <c r="C386" s="6"/>
      <c r="D386" s="9"/>
      <c r="E386" s="9"/>
      <c r="F386" s="9"/>
      <c r="G386" s="9"/>
      <c r="H386" s="134"/>
      <c r="I386" s="113"/>
      <c r="J386" s="80"/>
    </row>
    <row r="387" spans="1:10" x14ac:dyDescent="0.35">
      <c r="A387" s="5"/>
      <c r="B387" s="5"/>
      <c r="C387" s="5"/>
      <c r="D387" s="54"/>
      <c r="E387" s="54"/>
      <c r="F387" s="54"/>
      <c r="G387" s="54"/>
      <c r="H387" s="125"/>
      <c r="I387" s="112"/>
      <c r="J387" s="79"/>
    </row>
    <row r="388" spans="1:10" x14ac:dyDescent="0.35">
      <c r="A388" s="6"/>
      <c r="B388" s="6"/>
      <c r="C388" s="6"/>
      <c r="D388" s="9"/>
      <c r="E388" s="9"/>
      <c r="F388" s="9"/>
      <c r="G388" s="9"/>
      <c r="H388" s="134"/>
      <c r="I388" s="113"/>
      <c r="J388" s="80"/>
    </row>
    <row r="389" spans="1:10" x14ac:dyDescent="0.35">
      <c r="A389" s="5"/>
      <c r="B389" s="5"/>
      <c r="C389" s="5"/>
      <c r="D389" s="54"/>
      <c r="E389" s="54"/>
      <c r="F389" s="54"/>
      <c r="G389" s="54"/>
      <c r="H389" s="125"/>
      <c r="I389" s="112"/>
      <c r="J389" s="79"/>
    </row>
    <row r="390" spans="1:10" x14ac:dyDescent="0.35">
      <c r="A390" s="6"/>
      <c r="B390" s="6"/>
      <c r="C390" s="6"/>
      <c r="D390" s="9"/>
      <c r="E390" s="9"/>
      <c r="F390" s="9"/>
      <c r="G390" s="9"/>
      <c r="H390" s="134"/>
      <c r="I390" s="113"/>
      <c r="J390" s="80"/>
    </row>
    <row r="391" spans="1:10" x14ac:dyDescent="0.35">
      <c r="A391" s="5"/>
      <c r="B391" s="5"/>
      <c r="C391" s="5"/>
      <c r="D391" s="54"/>
      <c r="E391" s="54"/>
      <c r="F391" s="54"/>
      <c r="G391" s="54"/>
      <c r="H391" s="125"/>
      <c r="I391" s="112"/>
      <c r="J391" s="79"/>
    </row>
    <row r="392" spans="1:10" x14ac:dyDescent="0.35">
      <c r="A392" s="6"/>
      <c r="B392" s="6"/>
      <c r="C392" s="6"/>
      <c r="D392" s="9"/>
      <c r="E392" s="9"/>
      <c r="F392" s="9"/>
      <c r="G392" s="9"/>
      <c r="H392" s="134"/>
      <c r="I392" s="113"/>
      <c r="J392" s="80"/>
    </row>
    <row r="393" spans="1:10" x14ac:dyDescent="0.35">
      <c r="A393" s="5"/>
      <c r="B393" s="5"/>
      <c r="C393" s="5"/>
      <c r="D393" s="54"/>
      <c r="E393" s="54"/>
      <c r="F393" s="54"/>
      <c r="G393" s="54"/>
      <c r="H393" s="125"/>
      <c r="I393" s="112"/>
      <c r="J393" s="79"/>
    </row>
    <row r="394" spans="1:10" x14ac:dyDescent="0.35">
      <c r="A394" s="6"/>
      <c r="B394" s="6"/>
      <c r="C394" s="6"/>
      <c r="D394" s="9"/>
      <c r="E394" s="9"/>
      <c r="F394" s="9"/>
      <c r="G394" s="9"/>
      <c r="H394" s="134"/>
      <c r="I394" s="113"/>
      <c r="J394" s="80"/>
    </row>
    <row r="395" spans="1:10" x14ac:dyDescent="0.35">
      <c r="A395" s="5"/>
      <c r="B395" s="5"/>
      <c r="C395" s="5"/>
      <c r="D395" s="54"/>
      <c r="E395" s="54"/>
      <c r="F395" s="54"/>
      <c r="G395" s="54"/>
      <c r="H395" s="125"/>
      <c r="I395" s="112"/>
      <c r="J395" s="79"/>
    </row>
    <row r="396" spans="1:10" x14ac:dyDescent="0.35">
      <c r="A396" s="6"/>
      <c r="B396" s="6"/>
      <c r="C396" s="6"/>
      <c r="D396" s="9"/>
      <c r="E396" s="9"/>
      <c r="F396" s="9"/>
      <c r="G396" s="9"/>
      <c r="H396" s="134"/>
      <c r="I396" s="113"/>
      <c r="J396" s="80"/>
    </row>
    <row r="397" spans="1:10" x14ac:dyDescent="0.35">
      <c r="A397" s="5"/>
      <c r="B397" s="5"/>
      <c r="C397" s="5"/>
      <c r="D397" s="54"/>
      <c r="E397" s="54"/>
      <c r="F397" s="54"/>
      <c r="G397" s="54"/>
      <c r="H397" s="125"/>
      <c r="I397" s="112"/>
      <c r="J397" s="79"/>
    </row>
    <row r="398" spans="1:10" x14ac:dyDescent="0.35">
      <c r="A398" s="6"/>
      <c r="B398" s="6"/>
      <c r="C398" s="6"/>
      <c r="D398" s="9"/>
      <c r="E398" s="9"/>
      <c r="F398" s="9"/>
      <c r="G398" s="9"/>
      <c r="H398" s="134"/>
      <c r="I398" s="113"/>
      <c r="J398" s="80"/>
    </row>
    <row r="399" spans="1:10" x14ac:dyDescent="0.35">
      <c r="A399" s="5"/>
      <c r="B399" s="5"/>
      <c r="C399" s="5"/>
      <c r="D399" s="54"/>
      <c r="E399" s="54"/>
      <c r="F399" s="54"/>
      <c r="G399" s="54"/>
      <c r="H399" s="125"/>
      <c r="I399" s="112"/>
      <c r="J399" s="79"/>
    </row>
    <row r="400" spans="1:10" x14ac:dyDescent="0.35">
      <c r="A400" s="6"/>
      <c r="B400" s="6"/>
      <c r="C400" s="6"/>
      <c r="D400" s="9"/>
      <c r="E400" s="9"/>
      <c r="F400" s="9"/>
      <c r="G400" s="9"/>
      <c r="H400" s="134"/>
      <c r="I400" s="113"/>
      <c r="J400" s="80"/>
    </row>
    <row r="401" spans="1:10" x14ac:dyDescent="0.35">
      <c r="A401" s="5"/>
      <c r="B401" s="5"/>
      <c r="C401" s="5"/>
      <c r="D401" s="54"/>
      <c r="E401" s="54"/>
      <c r="F401" s="54"/>
      <c r="G401" s="54"/>
      <c r="H401" s="125"/>
      <c r="I401" s="112"/>
      <c r="J401" s="79"/>
    </row>
    <row r="402" spans="1:10" x14ac:dyDescent="0.35">
      <c r="A402" s="6"/>
      <c r="B402" s="6"/>
      <c r="C402" s="6"/>
      <c r="D402" s="9"/>
      <c r="E402" s="9"/>
      <c r="F402" s="9"/>
      <c r="G402" s="9"/>
      <c r="H402" s="134"/>
      <c r="I402" s="113"/>
      <c r="J402" s="80"/>
    </row>
    <row r="403" spans="1:10" x14ac:dyDescent="0.35">
      <c r="A403" s="5"/>
      <c r="B403" s="5"/>
      <c r="C403" s="5"/>
      <c r="D403" s="54"/>
      <c r="E403" s="54"/>
      <c r="F403" s="54"/>
      <c r="G403" s="54"/>
      <c r="H403" s="125"/>
      <c r="I403" s="112"/>
      <c r="J403" s="79"/>
    </row>
    <row r="404" spans="1:10" x14ac:dyDescent="0.35">
      <c r="A404" s="6"/>
      <c r="B404" s="6"/>
      <c r="C404" s="6"/>
      <c r="D404" s="9"/>
      <c r="E404" s="9"/>
      <c r="F404" s="9"/>
      <c r="G404" s="9"/>
      <c r="H404" s="134"/>
      <c r="I404" s="113"/>
      <c r="J404" s="80"/>
    </row>
    <row r="405" spans="1:10" x14ac:dyDescent="0.35">
      <c r="A405" s="5"/>
      <c r="B405" s="5"/>
      <c r="C405" s="5"/>
      <c r="D405" s="54"/>
      <c r="E405" s="54"/>
      <c r="F405" s="54"/>
      <c r="G405" s="54"/>
      <c r="H405" s="125"/>
      <c r="I405" s="112"/>
      <c r="J405" s="79"/>
    </row>
    <row r="406" spans="1:10" x14ac:dyDescent="0.35">
      <c r="A406" s="6"/>
      <c r="B406" s="6"/>
      <c r="C406" s="6"/>
      <c r="D406" s="9"/>
      <c r="E406" s="9"/>
      <c r="F406" s="9"/>
      <c r="G406" s="9"/>
      <c r="H406" s="134"/>
      <c r="I406" s="113"/>
      <c r="J406" s="80"/>
    </row>
  </sheetData>
  <mergeCells count="1">
    <mergeCell ref="A2:C2"/>
  </mergeCells>
  <phoneticPr fontId="26" type="noConversion"/>
  <pageMargins left="0.7" right="0.7" top="0.75" bottom="0.75" header="0.3" footer="0.3"/>
  <pageSetup orientation="portrait" r:id="rId1"/>
  <legacy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8">
    <tabColor rgb="FF0070C0"/>
  </sheetPr>
  <dimension ref="A1:H112"/>
  <sheetViews>
    <sheetView topLeftCell="A44" zoomScale="85" zoomScaleNormal="85" workbookViewId="0">
      <selection activeCell="C74" sqref="C74"/>
    </sheetView>
  </sheetViews>
  <sheetFormatPr defaultColWidth="8.90625" defaultRowHeight="14.5" x14ac:dyDescent="0.35"/>
  <cols>
    <col min="1" max="1" width="14.90625" style="1" customWidth="1"/>
    <col min="2" max="2" width="12.90625" style="1" customWidth="1"/>
    <col min="3" max="3" width="13.08984375" style="1" bestFit="1" customWidth="1"/>
    <col min="4" max="4" width="61.08984375" style="1" bestFit="1" customWidth="1"/>
    <col min="5" max="5" width="68.08984375" style="1" bestFit="1" customWidth="1"/>
    <col min="6" max="6" width="9.453125" style="1" bestFit="1" customWidth="1"/>
    <col min="7" max="7" width="16.54296875" style="1" customWidth="1"/>
    <col min="8" max="16384" width="8.90625" style="1"/>
  </cols>
  <sheetData>
    <row r="1" spans="1:7" x14ac:dyDescent="0.35">
      <c r="A1" s="2"/>
      <c r="B1" s="2"/>
      <c r="C1" s="2"/>
      <c r="D1" s="2"/>
      <c r="E1" s="2"/>
      <c r="F1" s="2"/>
      <c r="G1" s="2"/>
    </row>
    <row r="2" spans="1:7" x14ac:dyDescent="0.35">
      <c r="A2" s="423" t="s">
        <v>556</v>
      </c>
      <c r="B2" s="423"/>
      <c r="C2" s="423"/>
      <c r="D2" s="423"/>
      <c r="E2" s="110"/>
      <c r="F2" s="24" t="s">
        <v>1893</v>
      </c>
      <c r="G2" s="140" t="s">
        <v>1894</v>
      </c>
    </row>
    <row r="3" spans="1:7" s="49" customFormat="1" ht="185.15" customHeight="1" x14ac:dyDescent="0.35">
      <c r="A3" s="46" t="s">
        <v>1895</v>
      </c>
      <c r="B3" s="46" t="s">
        <v>1896</v>
      </c>
      <c r="C3" s="46" t="s">
        <v>575</v>
      </c>
      <c r="D3" s="46" t="s">
        <v>1897</v>
      </c>
      <c r="E3" s="46" t="s">
        <v>1898</v>
      </c>
      <c r="F3" s="114" t="s">
        <v>1899</v>
      </c>
      <c r="G3" s="119" t="s">
        <v>1900</v>
      </c>
    </row>
    <row r="4" spans="1:7" x14ac:dyDescent="0.35">
      <c r="A4" s="5" t="s">
        <v>653</v>
      </c>
      <c r="B4" s="5" t="s">
        <v>664</v>
      </c>
      <c r="C4" s="5" t="str">
        <f>VLOOKUP($A4,Technologies!$A$7:$G$506,3,FALSE)</f>
        <v>Final</v>
      </c>
      <c r="D4" s="5" t="str">
        <f>VLOOKUP($A4,Technologies!$A$7:$G$798,7,FALSE)</f>
        <v>Dummy standard electricity consumption - Residential</v>
      </c>
      <c r="E4" s="5" t="str">
        <f>VLOOKUP($B4,Technologies!$A$7:$G$798,7,FALSE)</f>
        <v>Flexible standard electricity consumption - Residential</v>
      </c>
      <c r="F4" s="44">
        <v>1</v>
      </c>
      <c r="G4" s="141">
        <f>MAX(VLOOKUP(B4,Technologies!$A$7:$I$509,9,FALSE)-VLOOKUP(A4,Technologies!$A$7:$I$509,9,FALSE)+VLOOKUP(A4,Technologies!$A$7:$I$509,9,FALSE)*0.1,VLOOKUP(A4,Technologies!$A$7:$I$509,9,FALSE)*0.1)</f>
        <v>0.5</v>
      </c>
    </row>
    <row r="5" spans="1:7" x14ac:dyDescent="0.35">
      <c r="A5" s="6" t="s">
        <v>668</v>
      </c>
      <c r="B5" s="6" t="s">
        <v>673</v>
      </c>
      <c r="C5" s="6" t="str">
        <f>VLOOKUP($A5,Technologies!$A$7:$G$506,3,FALSE)</f>
        <v>Final</v>
      </c>
      <c r="D5" s="6" t="str">
        <f>VLOOKUP($A5,Technologies!$A$7:$G$798,7,FALSE)</f>
        <v>House with insulation GFE - Residential Flats</v>
      </c>
      <c r="E5" s="6" t="str">
        <f>VLOOKUP($B5,Technologies!$A$7:$G$798,7,FALSE)</f>
        <v>House with insulation DC - Residential Flats</v>
      </c>
      <c r="F5" s="43">
        <v>1</v>
      </c>
      <c r="G5" s="141">
        <f>MAX(VLOOKUP(B5,Technologies!$A$7:$I$509,9,FALSE)-VLOOKUP(A5,Technologies!$A$7:$I$509,9,FALSE)+VLOOKUP(A5,Technologies!$A$7:$I$509,9,FALSE)*0.1,VLOOKUP(A5,Technologies!$A$7:$I$509,9,FALSE)*0.1)</f>
        <v>2.37</v>
      </c>
    </row>
    <row r="6" spans="1:7" x14ac:dyDescent="0.35">
      <c r="A6" s="5" t="s">
        <v>668</v>
      </c>
      <c r="B6" s="5" t="s">
        <v>675</v>
      </c>
      <c r="C6" s="5" t="str">
        <f>VLOOKUP($A6,Technologies!$A$7:$G$506,3,FALSE)</f>
        <v>Final</v>
      </c>
      <c r="D6" s="5" t="str">
        <f>VLOOKUP($A6,Technologies!$A$7:$G$798,7,FALSE)</f>
        <v>House with insulation GFE - Residential Flats</v>
      </c>
      <c r="E6" s="5" t="str">
        <f>VLOOKUP($B6,Technologies!$A$7:$G$798,7,FALSE)</f>
        <v>House with insulation B - Residential Flats</v>
      </c>
      <c r="F6" s="44">
        <v>1</v>
      </c>
      <c r="G6" s="141">
        <f>MAX(VLOOKUP(B6,Technologies!$A$7:$I$509,9,FALSE)-VLOOKUP(A6,Technologies!$A$7:$I$509,9,FALSE)+VLOOKUP(A6,Technologies!$A$7:$I$509,9,FALSE)*0.1,VLOOKUP(A6,Technologies!$A$7:$I$509,9,FALSE)*0.1)</f>
        <v>8.1999999999999993</v>
      </c>
    </row>
    <row r="7" spans="1:7" x14ac:dyDescent="0.35">
      <c r="A7" s="6" t="s">
        <v>668</v>
      </c>
      <c r="B7" s="6" t="s">
        <v>677</v>
      </c>
      <c r="C7" s="6" t="str">
        <f>VLOOKUP($A7,Technologies!$A$7:$G$506,3,FALSE)</f>
        <v>Final</v>
      </c>
      <c r="D7" s="6" t="str">
        <f>VLOOKUP($A7,Technologies!$A$7:$G$798,7,FALSE)</f>
        <v>House with insulation GFE - Residential Flats</v>
      </c>
      <c r="E7" s="6" t="str">
        <f>VLOOKUP($B7,Technologies!$A$7:$G$798,7,FALSE)</f>
        <v>House with insulation A - Residential Flats</v>
      </c>
      <c r="F7" s="43">
        <v>1</v>
      </c>
      <c r="G7" s="141">
        <f>MAX(VLOOKUP(B7,Technologies!$A$7:$I$509,9,FALSE)-VLOOKUP(A7,Technologies!$A$7:$I$509,9,FALSE)+VLOOKUP(A7,Technologies!$A$7:$I$509,9,FALSE)*0.1,VLOOKUP(A7,Technologies!$A$7:$I$509,9,FALSE)*0.1)</f>
        <v>10.37</v>
      </c>
    </row>
    <row r="8" spans="1:7" x14ac:dyDescent="0.35">
      <c r="A8" s="5" t="s">
        <v>668</v>
      </c>
      <c r="B8" s="5" t="s">
        <v>679</v>
      </c>
      <c r="C8" s="5" t="str">
        <f>VLOOKUP($A8,Technologies!$A$7:$G$506,3,FALSE)</f>
        <v>Final</v>
      </c>
      <c r="D8" s="5" t="str">
        <f>VLOOKUP($A8,Technologies!$A$7:$G$798,7,FALSE)</f>
        <v>House with insulation GFE - Residential Flats</v>
      </c>
      <c r="E8" s="5" t="str">
        <f>VLOOKUP($B8,Technologies!$A$7:$G$798,7,FALSE)</f>
        <v>House with insulation A+ - Residential Flats</v>
      </c>
      <c r="F8" s="44">
        <v>1</v>
      </c>
      <c r="G8" s="141">
        <f>MAX(VLOOKUP(B8,Technologies!$A$7:$I$509,9,FALSE)-VLOOKUP(A8,Technologies!$A$7:$I$509,9,FALSE)+VLOOKUP(A8,Technologies!$A$7:$I$509,9,FALSE)*0.1,VLOOKUP(A8,Technologies!$A$7:$I$509,9,FALSE)*0.1)</f>
        <v>12.26</v>
      </c>
    </row>
    <row r="9" spans="1:7" x14ac:dyDescent="0.35">
      <c r="A9" s="6" t="s">
        <v>673</v>
      </c>
      <c r="B9" s="6" t="s">
        <v>675</v>
      </c>
      <c r="C9" s="6" t="str">
        <f>VLOOKUP($A9,Technologies!$A$7:$G$506,3,FALSE)</f>
        <v>Final</v>
      </c>
      <c r="D9" s="6" t="str">
        <f>VLOOKUP($A9,Technologies!$A$7:$G$798,7,FALSE)</f>
        <v>House with insulation DC - Residential Flats</v>
      </c>
      <c r="E9" s="6" t="str">
        <f>VLOOKUP($B9,Technologies!$A$7:$G$798,7,FALSE)</f>
        <v>House with insulation B - Residential Flats</v>
      </c>
      <c r="F9" s="43">
        <v>1</v>
      </c>
      <c r="G9" s="141">
        <f>MAX(VLOOKUP(B9,Technologies!$A$7:$I$509,9,FALSE)-VLOOKUP(A9,Technologies!$A$7:$I$509,9,FALSE)+VLOOKUP(A9,Technologies!$A$7:$I$509,9,FALSE)*0.1,VLOOKUP(A9,Technologies!$A$7:$I$509,9,FALSE)*0.1)</f>
        <v>6.0669999999999993</v>
      </c>
    </row>
    <row r="10" spans="1:7" x14ac:dyDescent="0.35">
      <c r="A10" s="5" t="s">
        <v>673</v>
      </c>
      <c r="B10" s="5" t="s">
        <v>677</v>
      </c>
      <c r="C10" s="5" t="str">
        <f>VLOOKUP($A10,Technologies!$A$7:$G$506,3,FALSE)</f>
        <v>Final</v>
      </c>
      <c r="D10" s="5" t="str">
        <f>VLOOKUP($A10,Technologies!$A$7:$G$798,7,FALSE)</f>
        <v>House with insulation DC - Residential Flats</v>
      </c>
      <c r="E10" s="5" t="str">
        <f>VLOOKUP($B10,Technologies!$A$7:$G$798,7,FALSE)</f>
        <v>House with insulation A - Residential Flats</v>
      </c>
      <c r="F10" s="44">
        <v>1</v>
      </c>
      <c r="G10" s="141">
        <f>MAX(VLOOKUP(B10,Technologies!$A$7:$I$509,9,FALSE)-VLOOKUP(A10,Technologies!$A$7:$I$509,9,FALSE)+VLOOKUP(A10,Technologies!$A$7:$I$509,9,FALSE)*0.1,VLOOKUP(A10,Technologies!$A$7:$I$509,9,FALSE)*0.1)</f>
        <v>8.2369999999999983</v>
      </c>
    </row>
    <row r="11" spans="1:7" x14ac:dyDescent="0.35">
      <c r="A11" s="6" t="s">
        <v>673</v>
      </c>
      <c r="B11" s="6" t="s">
        <v>679</v>
      </c>
      <c r="C11" s="6" t="str">
        <f>VLOOKUP($A11,Technologies!$A$7:$G$506,3,FALSE)</f>
        <v>Final</v>
      </c>
      <c r="D11" s="6" t="str">
        <f>VLOOKUP($A11,Technologies!$A$7:$G$798,7,FALSE)</f>
        <v>House with insulation DC - Residential Flats</v>
      </c>
      <c r="E11" s="6" t="str">
        <f>VLOOKUP($B11,Technologies!$A$7:$G$798,7,FALSE)</f>
        <v>House with insulation A+ - Residential Flats</v>
      </c>
      <c r="F11" s="43">
        <v>1</v>
      </c>
      <c r="G11" s="141">
        <f>MAX(VLOOKUP(B11,Technologies!$A$7:$I$509,9,FALSE)-VLOOKUP(A11,Technologies!$A$7:$I$509,9,FALSE)+VLOOKUP(A11,Technologies!$A$7:$I$509,9,FALSE)*0.1,VLOOKUP(A11,Technologies!$A$7:$I$509,9,FALSE)*0.1)</f>
        <v>10.127000000000001</v>
      </c>
    </row>
    <row r="12" spans="1:7" x14ac:dyDescent="0.35">
      <c r="A12" s="5" t="s">
        <v>675</v>
      </c>
      <c r="B12" s="5" t="s">
        <v>677</v>
      </c>
      <c r="C12" s="5" t="str">
        <f>VLOOKUP($A12,Technologies!$A$7:$G$506,3,FALSE)</f>
        <v>Final</v>
      </c>
      <c r="D12" s="5" t="str">
        <f>VLOOKUP($A12,Technologies!$A$7:$G$798,7,FALSE)</f>
        <v>House with insulation B - Residential Flats</v>
      </c>
      <c r="E12" s="5" t="str">
        <f>VLOOKUP($B12,Technologies!$A$7:$G$798,7,FALSE)</f>
        <v>House with insulation A - Residential Flats</v>
      </c>
      <c r="F12" s="44">
        <v>1</v>
      </c>
      <c r="G12" s="141">
        <f>MAX(VLOOKUP(B12,Technologies!$A$7:$I$509,9,FALSE)-VLOOKUP(A12,Technologies!$A$7:$I$509,9,FALSE)+VLOOKUP(A12,Technologies!$A$7:$I$509,9,FALSE)*0.1,VLOOKUP(A12,Technologies!$A$7:$I$509,9,FALSE)*0.1)</f>
        <v>2.9899999999999998</v>
      </c>
    </row>
    <row r="13" spans="1:7" x14ac:dyDescent="0.35">
      <c r="A13" s="6" t="s">
        <v>675</v>
      </c>
      <c r="B13" s="6" t="s">
        <v>679</v>
      </c>
      <c r="C13" s="6" t="str">
        <f>VLOOKUP($A13,Technologies!$A$7:$G$506,3,FALSE)</f>
        <v>Final</v>
      </c>
      <c r="D13" s="6" t="str">
        <f>VLOOKUP($A13,Technologies!$A$7:$G$798,7,FALSE)</f>
        <v>House with insulation B - Residential Flats</v>
      </c>
      <c r="E13" s="6" t="str">
        <f>VLOOKUP($B13,Technologies!$A$7:$G$798,7,FALSE)</f>
        <v>House with insulation A+ - Residential Flats</v>
      </c>
      <c r="F13" s="43">
        <v>1</v>
      </c>
      <c r="G13" s="141">
        <f>MAX(VLOOKUP(B13,Technologies!$A$7:$I$509,9,FALSE)-VLOOKUP(A13,Technologies!$A$7:$I$509,9,FALSE)+VLOOKUP(A13,Technologies!$A$7:$I$509,9,FALSE)*0.1,VLOOKUP(A13,Technologies!$A$7:$I$509,9,FALSE)*0.1)</f>
        <v>4.8800000000000008</v>
      </c>
    </row>
    <row r="14" spans="1:7" x14ac:dyDescent="0.35">
      <c r="A14" s="5" t="s">
        <v>677</v>
      </c>
      <c r="B14" s="5" t="s">
        <v>679</v>
      </c>
      <c r="C14" s="5" t="str">
        <f>VLOOKUP($A14,Technologies!$A$7:$G$506,3,FALSE)</f>
        <v>Final</v>
      </c>
      <c r="D14" s="5" t="str">
        <f>VLOOKUP($A14,Technologies!$A$7:$G$798,7,FALSE)</f>
        <v>House with insulation A - Residential Flats</v>
      </c>
      <c r="E14" s="5" t="str">
        <f>VLOOKUP($B14,Technologies!$A$7:$G$798,7,FALSE)</f>
        <v>House with insulation A+ - Residential Flats</v>
      </c>
      <c r="F14" s="44">
        <v>1</v>
      </c>
      <c r="G14" s="141">
        <f>MAX(VLOOKUP(B14,Technologies!$A$7:$I$509,9,FALSE)-VLOOKUP(A14,Technologies!$A$7:$I$509,9,FALSE)+VLOOKUP(A14,Technologies!$A$7:$I$509,9,FALSE)*0.1,VLOOKUP(A14,Technologies!$A$7:$I$509,9,FALSE)*0.1)</f>
        <v>2.9270000000000005</v>
      </c>
    </row>
    <row r="15" spans="1:7" x14ac:dyDescent="0.35">
      <c r="A15" s="6" t="s">
        <v>682</v>
      </c>
      <c r="B15" s="6" t="s">
        <v>685</v>
      </c>
      <c r="C15" s="6" t="str">
        <f>VLOOKUP($A15,Technologies!$A$7:$G$506,3,FALSE)</f>
        <v>Final</v>
      </c>
      <c r="D15" s="6" t="str">
        <f>VLOOKUP($A15,Technologies!$A$7:$G$798,7,FALSE)</f>
        <v>House with insulation GFE - Residential Terrace</v>
      </c>
      <c r="E15" s="6" t="str">
        <f>VLOOKUP($B15,Technologies!$A$7:$G$798,7,FALSE)</f>
        <v>House with insulation DC - Residential Terrace</v>
      </c>
      <c r="F15" s="43">
        <v>1</v>
      </c>
      <c r="G15" s="141">
        <f>MAX(VLOOKUP(B15,Technologies!$A$7:$I$509,9,FALSE)-VLOOKUP(A15,Technologies!$A$7:$I$509,9,FALSE)+VLOOKUP(A15,Technologies!$A$7:$I$509,9,FALSE)*0.1,VLOOKUP(A15,Technologies!$A$7:$I$509,9,FALSE)*0.1)</f>
        <v>3.18</v>
      </c>
    </row>
    <row r="16" spans="1:7" x14ac:dyDescent="0.35">
      <c r="A16" s="5" t="s">
        <v>682</v>
      </c>
      <c r="B16" s="5" t="s">
        <v>688</v>
      </c>
      <c r="C16" s="5" t="str">
        <f>VLOOKUP($A16,Technologies!$A$7:$G$506,3,FALSE)</f>
        <v>Final</v>
      </c>
      <c r="D16" s="5" t="str">
        <f>VLOOKUP($A16,Technologies!$A$7:$G$798,7,FALSE)</f>
        <v>House with insulation GFE - Residential Terrace</v>
      </c>
      <c r="E16" s="5" t="str">
        <f>VLOOKUP($B16,Technologies!$A$7:$G$798,7,FALSE)</f>
        <v>House with insulation B - Residential Terrace</v>
      </c>
      <c r="F16" s="44">
        <v>1</v>
      </c>
      <c r="G16" s="141">
        <f>MAX(VLOOKUP(B16,Technologies!$A$7:$I$509,9,FALSE)-VLOOKUP(A16,Technologies!$A$7:$I$509,9,FALSE)+VLOOKUP(A16,Technologies!$A$7:$I$509,9,FALSE)*0.1,VLOOKUP(A16,Technologies!$A$7:$I$509,9,FALSE)*0.1)</f>
        <v>9.7100000000000009</v>
      </c>
    </row>
    <row r="17" spans="1:7" x14ac:dyDescent="0.35">
      <c r="A17" s="6" t="s">
        <v>682</v>
      </c>
      <c r="B17" s="6" t="s">
        <v>690</v>
      </c>
      <c r="C17" s="6" t="str">
        <f>VLOOKUP($A17,Technologies!$A$7:$G$506,3,FALSE)</f>
        <v>Final</v>
      </c>
      <c r="D17" s="6" t="str">
        <f>VLOOKUP($A17,Technologies!$A$7:$G$798,7,FALSE)</f>
        <v>House with insulation GFE - Residential Terrace</v>
      </c>
      <c r="E17" s="6" t="str">
        <f>VLOOKUP($B17,Technologies!$A$7:$G$798,7,FALSE)</f>
        <v>House with insulation A - Residential Terrace</v>
      </c>
      <c r="F17" s="43">
        <v>1</v>
      </c>
      <c r="G17" s="141">
        <f>MAX(VLOOKUP(B17,Technologies!$A$7:$I$509,9,FALSE)-VLOOKUP(A17,Technologies!$A$7:$I$509,9,FALSE)+VLOOKUP(A17,Technologies!$A$7:$I$509,9,FALSE)*0.1,VLOOKUP(A17,Technologies!$A$7:$I$509,9,FALSE)*0.1)</f>
        <v>12.9</v>
      </c>
    </row>
    <row r="18" spans="1:7" x14ac:dyDescent="0.35">
      <c r="A18" s="5" t="s">
        <v>682</v>
      </c>
      <c r="B18" s="5" t="s">
        <v>692</v>
      </c>
      <c r="C18" s="5" t="str">
        <f>VLOOKUP($A18,Technologies!$A$7:$G$506,3,FALSE)</f>
        <v>Final</v>
      </c>
      <c r="D18" s="5" t="str">
        <f>VLOOKUP($A18,Technologies!$A$7:$G$798,7,FALSE)</f>
        <v>House with insulation GFE - Residential Terrace</v>
      </c>
      <c r="E18" s="5" t="str">
        <f>VLOOKUP($B18,Technologies!$A$7:$G$798,7,FALSE)</f>
        <v>House with insulation A+ - Residential Terrace</v>
      </c>
      <c r="F18" s="44">
        <v>1</v>
      </c>
      <c r="G18" s="141">
        <f>MAX(VLOOKUP(B18,Technologies!$A$7:$I$509,9,FALSE)-VLOOKUP(A18,Technologies!$A$7:$I$509,9,FALSE)+VLOOKUP(A18,Technologies!$A$7:$I$509,9,FALSE)*0.1,VLOOKUP(A18,Technologies!$A$7:$I$509,9,FALSE)*0.1)</f>
        <v>15.69</v>
      </c>
    </row>
    <row r="19" spans="1:7" x14ac:dyDescent="0.35">
      <c r="A19" s="6" t="s">
        <v>685</v>
      </c>
      <c r="B19" s="6" t="s">
        <v>688</v>
      </c>
      <c r="C19" s="6" t="str">
        <f>VLOOKUP($A19,Technologies!$A$7:$G$506,3,FALSE)</f>
        <v>Final</v>
      </c>
      <c r="D19" s="6" t="str">
        <f>VLOOKUP($A19,Technologies!$A$7:$G$798,7,FALSE)</f>
        <v>House with insulation DC - Residential Terrace</v>
      </c>
      <c r="E19" s="6" t="str">
        <f>VLOOKUP($B19,Technologies!$A$7:$G$798,7,FALSE)</f>
        <v>House with insulation B - Residential Terrace</v>
      </c>
      <c r="F19" s="43">
        <v>1</v>
      </c>
      <c r="G19" s="141">
        <f>MAX(VLOOKUP(B19,Technologies!$A$7:$I$509,9,FALSE)-VLOOKUP(A19,Technologies!$A$7:$I$509,9,FALSE)+VLOOKUP(A19,Technologies!$A$7:$I$509,9,FALSE)*0.1,VLOOKUP(A19,Technologies!$A$7:$I$509,9,FALSE)*0.1)</f>
        <v>6.8480000000000008</v>
      </c>
    </row>
    <row r="20" spans="1:7" x14ac:dyDescent="0.35">
      <c r="A20" s="5" t="s">
        <v>685</v>
      </c>
      <c r="B20" s="5" t="s">
        <v>690</v>
      </c>
      <c r="C20" s="5" t="str">
        <f>VLOOKUP($A20,Technologies!$A$7:$G$506,3,FALSE)</f>
        <v>Final</v>
      </c>
      <c r="D20" s="5" t="str">
        <f>VLOOKUP($A20,Technologies!$A$7:$G$798,7,FALSE)</f>
        <v>House with insulation DC - Residential Terrace</v>
      </c>
      <c r="E20" s="5" t="str">
        <f>VLOOKUP($B20,Technologies!$A$7:$G$798,7,FALSE)</f>
        <v>House with insulation A - Residential Terrace</v>
      </c>
      <c r="F20" s="44">
        <v>1</v>
      </c>
      <c r="G20" s="141">
        <f>MAX(VLOOKUP(B20,Technologies!$A$7:$I$509,9,FALSE)-VLOOKUP(A20,Technologies!$A$7:$I$509,9,FALSE)+VLOOKUP(A20,Technologies!$A$7:$I$509,9,FALSE)*0.1,VLOOKUP(A20,Technologies!$A$7:$I$509,9,FALSE)*0.1)</f>
        <v>10.038</v>
      </c>
    </row>
    <row r="21" spans="1:7" x14ac:dyDescent="0.35">
      <c r="A21" s="6" t="s">
        <v>685</v>
      </c>
      <c r="B21" s="6" t="s">
        <v>692</v>
      </c>
      <c r="C21" s="6" t="str">
        <f>VLOOKUP($A21,Technologies!$A$7:$G$506,3,FALSE)</f>
        <v>Final</v>
      </c>
      <c r="D21" s="6" t="str">
        <f>VLOOKUP($A21,Technologies!$A$7:$G$798,7,FALSE)</f>
        <v>House with insulation DC - Residential Terrace</v>
      </c>
      <c r="E21" s="6" t="str">
        <f>VLOOKUP($B21,Technologies!$A$7:$G$798,7,FALSE)</f>
        <v>House with insulation A+ - Residential Terrace</v>
      </c>
      <c r="F21" s="43">
        <v>1</v>
      </c>
      <c r="G21" s="141">
        <f>MAX(VLOOKUP(B21,Technologies!$A$7:$I$509,9,FALSE)-VLOOKUP(A21,Technologies!$A$7:$I$509,9,FALSE)+VLOOKUP(A21,Technologies!$A$7:$I$509,9,FALSE)*0.1,VLOOKUP(A21,Technologies!$A$7:$I$509,9,FALSE)*0.1)</f>
        <v>12.827999999999999</v>
      </c>
    </row>
    <row r="22" spans="1:7" x14ac:dyDescent="0.35">
      <c r="A22" s="5" t="s">
        <v>688</v>
      </c>
      <c r="B22" s="5" t="s">
        <v>690</v>
      </c>
      <c r="C22" s="5" t="str">
        <f>VLOOKUP($A22,Technologies!$A$7:$G$506,3,FALSE)</f>
        <v>Final</v>
      </c>
      <c r="D22" s="5" t="str">
        <f>VLOOKUP($A22,Technologies!$A$7:$G$798,7,FALSE)</f>
        <v>House with insulation B - Residential Terrace</v>
      </c>
      <c r="E22" s="5" t="str">
        <f>VLOOKUP($B22,Technologies!$A$7:$G$798,7,FALSE)</f>
        <v>House with insulation A - Residential Terrace</v>
      </c>
      <c r="F22" s="44">
        <v>1</v>
      </c>
      <c r="G22" s="141">
        <f>MAX(VLOOKUP(B22,Technologies!$A$7:$I$509,9,FALSE)-VLOOKUP(A22,Technologies!$A$7:$I$509,9,FALSE)+VLOOKUP(A22,Technologies!$A$7:$I$509,9,FALSE)*0.1,VLOOKUP(A22,Technologies!$A$7:$I$509,9,FALSE)*0.1)</f>
        <v>4.1609999999999996</v>
      </c>
    </row>
    <row r="23" spans="1:7" x14ac:dyDescent="0.35">
      <c r="A23" s="6" t="s">
        <v>688</v>
      </c>
      <c r="B23" s="6" t="s">
        <v>692</v>
      </c>
      <c r="C23" s="6" t="str">
        <f>VLOOKUP($A23,Technologies!$A$7:$G$506,3,FALSE)</f>
        <v>Final</v>
      </c>
      <c r="D23" s="6" t="str">
        <f>VLOOKUP($A23,Technologies!$A$7:$G$798,7,FALSE)</f>
        <v>House with insulation B - Residential Terrace</v>
      </c>
      <c r="E23" s="6" t="str">
        <f>VLOOKUP($B23,Technologies!$A$7:$G$798,7,FALSE)</f>
        <v>House with insulation A+ - Residential Terrace</v>
      </c>
      <c r="F23" s="43">
        <v>1</v>
      </c>
      <c r="G23" s="141">
        <f>MAX(VLOOKUP(B23,Technologies!$A$7:$I$509,9,FALSE)-VLOOKUP(A23,Technologies!$A$7:$I$509,9,FALSE)+VLOOKUP(A23,Technologies!$A$7:$I$509,9,FALSE)*0.1,VLOOKUP(A23,Technologies!$A$7:$I$509,9,FALSE)*0.1)</f>
        <v>6.9509999999999987</v>
      </c>
    </row>
    <row r="24" spans="1:7" x14ac:dyDescent="0.35">
      <c r="A24" s="5" t="s">
        <v>690</v>
      </c>
      <c r="B24" s="5" t="s">
        <v>692</v>
      </c>
      <c r="C24" s="5" t="str">
        <f>VLOOKUP($A24,Technologies!$A$7:$G$506,3,FALSE)</f>
        <v>Final</v>
      </c>
      <c r="D24" s="5" t="str">
        <f>VLOOKUP($A24,Technologies!$A$7:$G$798,7,FALSE)</f>
        <v>House with insulation A - Residential Terrace</v>
      </c>
      <c r="E24" s="5" t="str">
        <f>VLOOKUP($B24,Technologies!$A$7:$G$798,7,FALSE)</f>
        <v>House with insulation A+ - Residential Terrace</v>
      </c>
      <c r="F24" s="44">
        <v>1</v>
      </c>
      <c r="G24" s="141">
        <f>MAX(VLOOKUP(B24,Technologies!$A$7:$I$509,9,FALSE)-VLOOKUP(A24,Technologies!$A$7:$I$509,9,FALSE)+VLOOKUP(A24,Technologies!$A$7:$I$509,9,FALSE)*0.1,VLOOKUP(A24,Technologies!$A$7:$I$509,9,FALSE)*0.1)</f>
        <v>4.0799999999999992</v>
      </c>
    </row>
    <row r="25" spans="1:7" x14ac:dyDescent="0.35">
      <c r="A25" s="6" t="s">
        <v>694</v>
      </c>
      <c r="B25" s="6" t="s">
        <v>697</v>
      </c>
      <c r="C25" s="6" t="str">
        <f>VLOOKUP($A25,Technologies!$A$7:$G$506,3,FALSE)</f>
        <v>Final</v>
      </c>
      <c r="D25" s="6" t="str">
        <f>VLOOKUP($A25,Technologies!$A$7:$G$798,7,FALSE)</f>
        <v>House with insulation GFE - Residential Dwellings</v>
      </c>
      <c r="E25" s="6" t="str">
        <f>VLOOKUP($B25,Technologies!$A$7:$G$798,7,FALSE)</f>
        <v>House with insulation DC - Residential Dwellings</v>
      </c>
      <c r="F25" s="43">
        <v>1</v>
      </c>
      <c r="G25" s="141">
        <f>MAX(VLOOKUP(B25,Technologies!$A$7:$I$509,9,FALSE)-VLOOKUP(A25,Technologies!$A$7:$I$509,9,FALSE)+VLOOKUP(A25,Technologies!$A$7:$I$509,9,FALSE)*0.1,VLOOKUP(A25,Technologies!$A$7:$I$509,9,FALSE)*0.1)</f>
        <v>5.6</v>
      </c>
    </row>
    <row r="26" spans="1:7" x14ac:dyDescent="0.35">
      <c r="A26" s="5" t="s">
        <v>694</v>
      </c>
      <c r="B26" s="5" t="s">
        <v>700</v>
      </c>
      <c r="C26" s="5" t="str">
        <f>VLOOKUP($A26,Technologies!$A$7:$G$506,3,FALSE)</f>
        <v>Final</v>
      </c>
      <c r="D26" s="5" t="str">
        <f>VLOOKUP($A26,Technologies!$A$7:$G$798,7,FALSE)</f>
        <v>House with insulation GFE - Residential Dwellings</v>
      </c>
      <c r="E26" s="5" t="str">
        <f>VLOOKUP($B26,Technologies!$A$7:$G$798,7,FALSE)</f>
        <v>House with insulation B - Residential Dwellings</v>
      </c>
      <c r="F26" s="44">
        <v>1</v>
      </c>
      <c r="G26" s="141">
        <f>MAX(VLOOKUP(B26,Technologies!$A$7:$I$509,9,FALSE)-VLOOKUP(A26,Technologies!$A$7:$I$509,9,FALSE)+VLOOKUP(A26,Technologies!$A$7:$I$509,9,FALSE)*0.1,VLOOKUP(A26,Technologies!$A$7:$I$509,9,FALSE)*0.1)</f>
        <v>17.190000000000001</v>
      </c>
    </row>
    <row r="27" spans="1:7" x14ac:dyDescent="0.35">
      <c r="A27" s="6" t="s">
        <v>694</v>
      </c>
      <c r="B27" s="6" t="s">
        <v>702</v>
      </c>
      <c r="C27" s="6" t="str">
        <f>VLOOKUP($A27,Technologies!$A$7:$G$506,3,FALSE)</f>
        <v>Final</v>
      </c>
      <c r="D27" s="6" t="str">
        <f>VLOOKUP($A27,Technologies!$A$7:$G$798,7,FALSE)</f>
        <v>House with insulation GFE - Residential Dwellings</v>
      </c>
      <c r="E27" s="6" t="str">
        <f>VLOOKUP($B27,Technologies!$A$7:$G$798,7,FALSE)</f>
        <v>House with insulation A - Residential Dwellings</v>
      </c>
      <c r="F27" s="43">
        <v>1</v>
      </c>
      <c r="G27" s="141">
        <f>MAX(VLOOKUP(B27,Technologies!$A$7:$I$509,9,FALSE)-VLOOKUP(A27,Technologies!$A$7:$I$509,9,FALSE)+VLOOKUP(A27,Technologies!$A$7:$I$509,9,FALSE)*0.1,VLOOKUP(A27,Technologies!$A$7:$I$509,9,FALSE)*0.1)</f>
        <v>23.09</v>
      </c>
    </row>
    <row r="28" spans="1:7" x14ac:dyDescent="0.35">
      <c r="A28" s="5" t="s">
        <v>694</v>
      </c>
      <c r="B28" s="5" t="s">
        <v>704</v>
      </c>
      <c r="C28" s="5" t="str">
        <f>VLOOKUP($A28,Technologies!$A$7:$G$506,3,FALSE)</f>
        <v>Final</v>
      </c>
      <c r="D28" s="5" t="str">
        <f>VLOOKUP($A28,Technologies!$A$7:$G$798,7,FALSE)</f>
        <v>House with insulation GFE - Residential Dwellings</v>
      </c>
      <c r="E28" s="5" t="str">
        <f>VLOOKUP($B28,Technologies!$A$7:$G$798,7,FALSE)</f>
        <v>House with insulation A+ - Residential Dwellings</v>
      </c>
      <c r="F28" s="44">
        <v>1</v>
      </c>
      <c r="G28" s="141">
        <f>MAX(VLOOKUP(B28,Technologies!$A$7:$I$509,9,FALSE)-VLOOKUP(A28,Technologies!$A$7:$I$509,9,FALSE)+VLOOKUP(A28,Technologies!$A$7:$I$509,9,FALSE)*0.1,VLOOKUP(A28,Technologies!$A$7:$I$509,9,FALSE)*0.1)</f>
        <v>28.28</v>
      </c>
    </row>
    <row r="29" spans="1:7" x14ac:dyDescent="0.35">
      <c r="A29" s="6" t="s">
        <v>697</v>
      </c>
      <c r="B29" s="6" t="s">
        <v>700</v>
      </c>
      <c r="C29" s="6" t="str">
        <f>VLOOKUP($A29,Technologies!$A$7:$G$506,3,FALSE)</f>
        <v>Final</v>
      </c>
      <c r="D29" s="6" t="str">
        <f>VLOOKUP($A29,Technologies!$A$7:$G$798,7,FALSE)</f>
        <v>House with insulation DC - Residential Dwellings</v>
      </c>
      <c r="E29" s="6" t="str">
        <f>VLOOKUP($B29,Technologies!$A$7:$G$798,7,FALSE)</f>
        <v>House with insulation B - Residential Dwellings</v>
      </c>
      <c r="F29" s="43">
        <v>1</v>
      </c>
      <c r="G29" s="141">
        <f>MAX(VLOOKUP(B29,Technologies!$A$7:$I$509,9,FALSE)-VLOOKUP(A29,Technologies!$A$7:$I$509,9,FALSE)+VLOOKUP(A29,Technologies!$A$7:$I$509,9,FALSE)*0.1,VLOOKUP(A29,Technologies!$A$7:$I$509,9,FALSE)*0.1)</f>
        <v>12.150000000000002</v>
      </c>
    </row>
    <row r="30" spans="1:7" x14ac:dyDescent="0.35">
      <c r="A30" s="5" t="s">
        <v>697</v>
      </c>
      <c r="B30" s="5" t="s">
        <v>702</v>
      </c>
      <c r="C30" s="5" t="str">
        <f>VLOOKUP($A30,Technologies!$A$7:$G$506,3,FALSE)</f>
        <v>Final</v>
      </c>
      <c r="D30" s="5" t="str">
        <f>VLOOKUP($A30,Technologies!$A$7:$G$798,7,FALSE)</f>
        <v>House with insulation DC - Residential Dwellings</v>
      </c>
      <c r="E30" s="5" t="str">
        <f>VLOOKUP($B30,Technologies!$A$7:$G$798,7,FALSE)</f>
        <v>House with insulation A - Residential Dwellings</v>
      </c>
      <c r="F30" s="44">
        <v>1</v>
      </c>
      <c r="G30" s="141">
        <f>MAX(VLOOKUP(B30,Technologies!$A$7:$I$509,9,FALSE)-VLOOKUP(A30,Technologies!$A$7:$I$509,9,FALSE)+VLOOKUP(A30,Technologies!$A$7:$I$509,9,FALSE)*0.1,VLOOKUP(A30,Technologies!$A$7:$I$509,9,FALSE)*0.1)</f>
        <v>18.05</v>
      </c>
    </row>
    <row r="31" spans="1:7" x14ac:dyDescent="0.35">
      <c r="A31" s="6" t="s">
        <v>697</v>
      </c>
      <c r="B31" s="6" t="s">
        <v>704</v>
      </c>
      <c r="C31" s="6" t="str">
        <f>VLOOKUP($A31,Technologies!$A$7:$G$506,3,FALSE)</f>
        <v>Final</v>
      </c>
      <c r="D31" s="6" t="str">
        <f>VLOOKUP($A31,Technologies!$A$7:$G$798,7,FALSE)</f>
        <v>House with insulation DC - Residential Dwellings</v>
      </c>
      <c r="E31" s="6" t="str">
        <f>VLOOKUP($B31,Technologies!$A$7:$G$798,7,FALSE)</f>
        <v>House with insulation A+ - Residential Dwellings</v>
      </c>
      <c r="F31" s="43">
        <v>1</v>
      </c>
      <c r="G31" s="141">
        <f>MAX(VLOOKUP(B31,Technologies!$A$7:$I$509,9,FALSE)-VLOOKUP(A31,Technologies!$A$7:$I$509,9,FALSE)+VLOOKUP(A31,Technologies!$A$7:$I$509,9,FALSE)*0.1,VLOOKUP(A31,Technologies!$A$7:$I$509,9,FALSE)*0.1)</f>
        <v>23.24</v>
      </c>
    </row>
    <row r="32" spans="1:7" x14ac:dyDescent="0.35">
      <c r="A32" s="5" t="s">
        <v>700</v>
      </c>
      <c r="B32" s="5" t="s">
        <v>702</v>
      </c>
      <c r="C32" s="5" t="str">
        <f>VLOOKUP($A32,Technologies!$A$7:$G$506,3,FALSE)</f>
        <v>Final</v>
      </c>
      <c r="D32" s="5" t="str">
        <f>VLOOKUP($A32,Technologies!$A$7:$G$798,7,FALSE)</f>
        <v>House with insulation B - Residential Dwellings</v>
      </c>
      <c r="E32" s="5" t="str">
        <f>VLOOKUP($B32,Technologies!$A$7:$G$798,7,FALSE)</f>
        <v>House with insulation A - Residential Dwellings</v>
      </c>
      <c r="F32" s="44">
        <v>1</v>
      </c>
      <c r="G32" s="141">
        <f>MAX(VLOOKUP(B32,Technologies!$A$7:$I$509,9,FALSE)-VLOOKUP(A32,Technologies!$A$7:$I$509,9,FALSE)+VLOOKUP(A32,Technologies!$A$7:$I$509,9,FALSE)*0.1,VLOOKUP(A32,Technologies!$A$7:$I$509,9,FALSE)*0.1)</f>
        <v>7.6189999999999989</v>
      </c>
    </row>
    <row r="33" spans="1:7" x14ac:dyDescent="0.35">
      <c r="A33" s="6" t="s">
        <v>700</v>
      </c>
      <c r="B33" s="6" t="s">
        <v>704</v>
      </c>
      <c r="C33" s="6" t="str">
        <f>VLOOKUP($A33,Technologies!$A$7:$G$506,3,FALSE)</f>
        <v>Final</v>
      </c>
      <c r="D33" s="6" t="str">
        <f>VLOOKUP($A33,Technologies!$A$7:$G$798,7,FALSE)</f>
        <v>House with insulation B - Residential Dwellings</v>
      </c>
      <c r="E33" s="6" t="str">
        <f>VLOOKUP($B33,Technologies!$A$7:$G$798,7,FALSE)</f>
        <v>House with insulation A+ - Residential Dwellings</v>
      </c>
      <c r="F33" s="43">
        <v>1</v>
      </c>
      <c r="G33" s="141">
        <f>MAX(VLOOKUP(B33,Technologies!$A$7:$I$509,9,FALSE)-VLOOKUP(A33,Technologies!$A$7:$I$509,9,FALSE)+VLOOKUP(A33,Technologies!$A$7:$I$509,9,FALSE)*0.1,VLOOKUP(A33,Technologies!$A$7:$I$509,9,FALSE)*0.1)</f>
        <v>12.809000000000001</v>
      </c>
    </row>
    <row r="34" spans="1:7" x14ac:dyDescent="0.35">
      <c r="A34" s="5" t="s">
        <v>702</v>
      </c>
      <c r="B34" s="5" t="s">
        <v>704</v>
      </c>
      <c r="C34" s="5" t="str">
        <f>VLOOKUP($A34,Technologies!$A$7:$G$506,3,FALSE)</f>
        <v>Final</v>
      </c>
      <c r="D34" s="5" t="str">
        <f>VLOOKUP($A34,Technologies!$A$7:$G$798,7,FALSE)</f>
        <v>House with insulation A - Residential Dwellings</v>
      </c>
      <c r="E34" s="5" t="str">
        <f>VLOOKUP($B34,Technologies!$A$7:$G$798,7,FALSE)</f>
        <v>House with insulation A+ - Residential Dwellings</v>
      </c>
      <c r="F34" s="44">
        <v>1</v>
      </c>
      <c r="G34" s="141">
        <f>MAX(VLOOKUP(B34,Technologies!$A$7:$I$509,9,FALSE)-VLOOKUP(A34,Technologies!$A$7:$I$509,9,FALSE)+VLOOKUP(A34,Technologies!$A$7:$I$509,9,FALSE)*0.1,VLOOKUP(A34,Technologies!$A$7:$I$509,9,FALSE)*0.1)</f>
        <v>7.4990000000000014</v>
      </c>
    </row>
    <row r="35" spans="1:7" x14ac:dyDescent="0.35">
      <c r="A35" s="6" t="s">
        <v>713</v>
      </c>
      <c r="B35" s="6" t="s">
        <v>717</v>
      </c>
      <c r="C35" s="6" t="str">
        <f>VLOOKUP($A35,Technologies!$A$7:$G$506,3,FALSE)</f>
        <v>Final</v>
      </c>
      <c r="D35" s="6" t="str">
        <f>VLOOKUP($A35,Technologies!$A$7:$G$798,7,FALSE)</f>
        <v>Space with insulation GFE - Services</v>
      </c>
      <c r="E35" s="6" t="str">
        <f>VLOOKUP($B35,Technologies!$A$7:$G$798,7,FALSE)</f>
        <v>Space with insulation DC - Services</v>
      </c>
      <c r="F35" s="43">
        <v>1</v>
      </c>
      <c r="G35" s="141">
        <f>MAX(VLOOKUP(B35,Technologies!$A$7:$I$509,9,FALSE)-VLOOKUP(A35,Technologies!$A$7:$I$509,9,FALSE)+VLOOKUP(A35,Technologies!$A$7:$I$509,9,FALSE)*0.1,VLOOKUP(A35,Technologies!$A$7:$I$509,9,FALSE)*0.1)</f>
        <v>21.9</v>
      </c>
    </row>
    <row r="36" spans="1:7" x14ac:dyDescent="0.35">
      <c r="A36" s="5" t="s">
        <v>713</v>
      </c>
      <c r="B36" s="5" t="s">
        <v>719</v>
      </c>
      <c r="C36" s="5" t="str">
        <f>VLOOKUP($A36,Technologies!$A$7:$G$506,3,FALSE)</f>
        <v>Final</v>
      </c>
      <c r="D36" s="5" t="str">
        <f>VLOOKUP($A36,Technologies!$A$7:$G$798,7,FALSE)</f>
        <v>Space with insulation GFE - Services</v>
      </c>
      <c r="E36" s="5" t="str">
        <f>VLOOKUP($B36,Technologies!$A$7:$G$798,7,FALSE)</f>
        <v>Space with insulation B - Services</v>
      </c>
      <c r="F36" s="44">
        <v>1</v>
      </c>
      <c r="G36" s="141">
        <f>MAX(VLOOKUP(B36,Technologies!$A$7:$I$509,9,FALSE)-VLOOKUP(A36,Technologies!$A$7:$I$509,9,FALSE)+VLOOKUP(A36,Technologies!$A$7:$I$509,9,FALSE)*0.1,VLOOKUP(A36,Technologies!$A$7:$I$509,9,FALSE)*0.1)</f>
        <v>95.3</v>
      </c>
    </row>
    <row r="37" spans="1:7" x14ac:dyDescent="0.35">
      <c r="A37" s="6" t="s">
        <v>713</v>
      </c>
      <c r="B37" s="6" t="s">
        <v>721</v>
      </c>
      <c r="C37" s="6" t="str">
        <f>VLOOKUP($A37,Technologies!$A$7:$G$506,3,FALSE)</f>
        <v>Final</v>
      </c>
      <c r="D37" s="6" t="str">
        <f>VLOOKUP($A37,Technologies!$A$7:$G$798,7,FALSE)</f>
        <v>Space with insulation GFE - Services</v>
      </c>
      <c r="E37" s="6" t="str">
        <f>VLOOKUP($B37,Technologies!$A$7:$G$798,7,FALSE)</f>
        <v>Space with insulation A - Services</v>
      </c>
      <c r="F37" s="43">
        <v>1</v>
      </c>
      <c r="G37" s="141">
        <f>MAX(VLOOKUP(B37,Technologies!$A$7:$I$509,9,FALSE)-VLOOKUP(A37,Technologies!$A$7:$I$509,9,FALSE)+VLOOKUP(A37,Technologies!$A$7:$I$509,9,FALSE)*0.1,VLOOKUP(A37,Technologies!$A$7:$I$509,9,FALSE)*0.1)</f>
        <v>109.9</v>
      </c>
    </row>
    <row r="38" spans="1:7" x14ac:dyDescent="0.35">
      <c r="A38" s="5" t="s">
        <v>713</v>
      </c>
      <c r="B38" s="5" t="s">
        <v>723</v>
      </c>
      <c r="C38" s="5" t="str">
        <f>VLOOKUP($A38,Technologies!$A$7:$G$506,3,FALSE)</f>
        <v>Final</v>
      </c>
      <c r="D38" s="5" t="str">
        <f>VLOOKUP($A38,Technologies!$A$7:$G$798,7,FALSE)</f>
        <v>Space with insulation GFE - Services</v>
      </c>
      <c r="E38" s="5" t="str">
        <f>VLOOKUP($B38,Technologies!$A$7:$G$798,7,FALSE)</f>
        <v>Space with insulation A+ - Services</v>
      </c>
      <c r="F38" s="44">
        <v>1</v>
      </c>
      <c r="G38" s="141">
        <f>MAX(VLOOKUP(B38,Technologies!$A$7:$I$509,9,FALSE)-VLOOKUP(A38,Technologies!$A$7:$I$509,9,FALSE)+VLOOKUP(A38,Technologies!$A$7:$I$509,9,FALSE)*0.1,VLOOKUP(A38,Technologies!$A$7:$I$509,9,FALSE)*0.1)</f>
        <v>122.64</v>
      </c>
    </row>
    <row r="39" spans="1:7" x14ac:dyDescent="0.35">
      <c r="A39" s="6" t="s">
        <v>717</v>
      </c>
      <c r="B39" s="6" t="s">
        <v>719</v>
      </c>
      <c r="C39" s="6" t="str">
        <f>VLOOKUP($A39,Technologies!$A$7:$G$506,3,FALSE)</f>
        <v>Final</v>
      </c>
      <c r="D39" s="6" t="str">
        <f>VLOOKUP($A39,Technologies!$A$7:$G$798,7,FALSE)</f>
        <v>Space with insulation DC - Services</v>
      </c>
      <c r="E39" s="6" t="str">
        <f>VLOOKUP($B39,Technologies!$A$7:$G$798,7,FALSE)</f>
        <v>Space with insulation B - Services</v>
      </c>
      <c r="F39" s="43">
        <v>1</v>
      </c>
      <c r="G39" s="141">
        <f>MAX(VLOOKUP(B39,Technologies!$A$7:$I$509,9,FALSE)-VLOOKUP(A39,Technologies!$A$7:$I$509,9,FALSE)+VLOOKUP(A39,Technologies!$A$7:$I$509,9,FALSE)*0.1,VLOOKUP(A39,Technologies!$A$7:$I$509,9,FALSE)*0.1)</f>
        <v>75.59</v>
      </c>
    </row>
    <row r="40" spans="1:7" x14ac:dyDescent="0.35">
      <c r="A40" s="5" t="s">
        <v>717</v>
      </c>
      <c r="B40" s="5" t="s">
        <v>721</v>
      </c>
      <c r="C40" s="5" t="str">
        <f>VLOOKUP($A40,Technologies!$A$7:$G$506,3,FALSE)</f>
        <v>Final</v>
      </c>
      <c r="D40" s="5" t="str">
        <f>VLOOKUP($A40,Technologies!$A$7:$G$798,7,FALSE)</f>
        <v>Space with insulation DC - Services</v>
      </c>
      <c r="E40" s="5" t="str">
        <f>VLOOKUP($B40,Technologies!$A$7:$G$798,7,FALSE)</f>
        <v>Space with insulation A - Services</v>
      </c>
      <c r="F40" s="44">
        <v>1</v>
      </c>
      <c r="G40" s="141">
        <f>MAX(VLOOKUP(B40,Technologies!$A$7:$I$509,9,FALSE)-VLOOKUP(A40,Technologies!$A$7:$I$509,9,FALSE)+VLOOKUP(A40,Technologies!$A$7:$I$509,9,FALSE)*0.1,VLOOKUP(A40,Technologies!$A$7:$I$509,9,FALSE)*0.1)</f>
        <v>90.19</v>
      </c>
    </row>
    <row r="41" spans="1:7" x14ac:dyDescent="0.35">
      <c r="A41" s="6" t="s">
        <v>717</v>
      </c>
      <c r="B41" s="6" t="s">
        <v>723</v>
      </c>
      <c r="C41" s="6" t="str">
        <f>VLOOKUP($A41,Technologies!$A$7:$G$506,3,FALSE)</f>
        <v>Final</v>
      </c>
      <c r="D41" s="6" t="str">
        <f>VLOOKUP($A41,Technologies!$A$7:$G$798,7,FALSE)</f>
        <v>Space with insulation DC - Services</v>
      </c>
      <c r="E41" s="6" t="str">
        <f>VLOOKUP($B41,Technologies!$A$7:$G$798,7,FALSE)</f>
        <v>Space with insulation A+ - Services</v>
      </c>
      <c r="F41" s="43">
        <v>1</v>
      </c>
      <c r="G41" s="141">
        <f>MAX(VLOOKUP(B41,Technologies!$A$7:$I$509,9,FALSE)-VLOOKUP(A41,Technologies!$A$7:$I$509,9,FALSE)+VLOOKUP(A41,Technologies!$A$7:$I$509,9,FALSE)*0.1,VLOOKUP(A41,Technologies!$A$7:$I$509,9,FALSE)*0.1)</f>
        <v>102.93</v>
      </c>
    </row>
    <row r="42" spans="1:7" x14ac:dyDescent="0.35">
      <c r="A42" s="5" t="s">
        <v>719</v>
      </c>
      <c r="B42" s="5" t="s">
        <v>721</v>
      </c>
      <c r="C42" s="5" t="str">
        <f>VLOOKUP($A42,Technologies!$A$7:$G$506,3,FALSE)</f>
        <v>Final</v>
      </c>
      <c r="D42" s="5" t="str">
        <f>VLOOKUP($A42,Technologies!$A$7:$G$798,7,FALSE)</f>
        <v>Space with insulation B - Services</v>
      </c>
      <c r="E42" s="5" t="str">
        <f>VLOOKUP($B42,Technologies!$A$7:$G$798,7,FALSE)</f>
        <v>Space with insulation A - Services</v>
      </c>
      <c r="F42" s="44">
        <v>1</v>
      </c>
      <c r="G42" s="141">
        <f>MAX(VLOOKUP(B42,Technologies!$A$7:$I$509,9,FALSE)-VLOOKUP(A42,Technologies!$A$7:$I$509,9,FALSE)+VLOOKUP(A42,Technologies!$A$7:$I$509,9,FALSE)*0.1,VLOOKUP(A42,Technologies!$A$7:$I$509,9,FALSE)*0.1)</f>
        <v>24.13000000000001</v>
      </c>
    </row>
    <row r="43" spans="1:7" x14ac:dyDescent="0.35">
      <c r="A43" s="6" t="s">
        <v>719</v>
      </c>
      <c r="B43" s="6" t="s">
        <v>723</v>
      </c>
      <c r="C43" s="6" t="str">
        <f>VLOOKUP($A43,Technologies!$A$7:$G$506,3,FALSE)</f>
        <v>Final</v>
      </c>
      <c r="D43" s="6" t="str">
        <f>VLOOKUP($A43,Technologies!$A$7:$G$798,7,FALSE)</f>
        <v>Space with insulation B - Services</v>
      </c>
      <c r="E43" s="6" t="str">
        <f>VLOOKUP($B43,Technologies!$A$7:$G$798,7,FALSE)</f>
        <v>Space with insulation A+ - Services</v>
      </c>
      <c r="F43" s="43">
        <v>1</v>
      </c>
      <c r="G43" s="141">
        <f>MAX(VLOOKUP(B43,Technologies!$A$7:$I$509,9,FALSE)-VLOOKUP(A43,Technologies!$A$7:$I$509,9,FALSE)+VLOOKUP(A43,Technologies!$A$7:$I$509,9,FALSE)*0.1,VLOOKUP(A43,Technologies!$A$7:$I$509,9,FALSE)*0.1)</f>
        <v>36.870000000000005</v>
      </c>
    </row>
    <row r="44" spans="1:7" x14ac:dyDescent="0.35">
      <c r="A44" s="5" t="s">
        <v>721</v>
      </c>
      <c r="B44" s="5" t="s">
        <v>723</v>
      </c>
      <c r="C44" s="5" t="str">
        <f>VLOOKUP($A44,Technologies!$A$7:$G$506,3,FALSE)</f>
        <v>Final</v>
      </c>
      <c r="D44" s="5" t="str">
        <f>VLOOKUP($A44,Technologies!$A$7:$G$798,7,FALSE)</f>
        <v>Space with insulation A - Services</v>
      </c>
      <c r="E44" s="5" t="str">
        <f>VLOOKUP($B44,Technologies!$A$7:$G$798,7,FALSE)</f>
        <v>Space with insulation A+ - Services</v>
      </c>
      <c r="F44" s="44">
        <v>1</v>
      </c>
      <c r="G44" s="141">
        <f>MAX(VLOOKUP(B44,Technologies!$A$7:$I$509,9,FALSE)-VLOOKUP(A44,Technologies!$A$7:$I$509,9,FALSE)+VLOOKUP(A44,Technologies!$A$7:$I$509,9,FALSE)*0.1,VLOOKUP(A44,Technologies!$A$7:$I$509,9,FALSE)*0.1)</f>
        <v>23.729999999999997</v>
      </c>
    </row>
    <row r="45" spans="1:7" x14ac:dyDescent="0.35">
      <c r="A45" s="6" t="s">
        <v>739</v>
      </c>
      <c r="B45" s="6" t="s">
        <v>747</v>
      </c>
      <c r="C45" s="6" t="str">
        <f>VLOOKUP($A45,Technologies!$A$7:$G$506,3,FALSE)</f>
        <v>Final</v>
      </c>
      <c r="D45" s="6" t="str">
        <f>VLOOKUP($A45,Technologies!$A$7:$G$798,7,FALSE)</f>
        <v>Blast furnace BOF - Steel Production</v>
      </c>
      <c r="E45" s="6" t="str">
        <f>VLOOKUP($B45,Technologies!$A$7:$G$798,7,FALSE)</f>
        <v>Blast furnace BOF wCCUS (end-of-pipe) - Steel Production</v>
      </c>
      <c r="F45" s="43">
        <v>1</v>
      </c>
      <c r="G45" s="141">
        <f>MAX(VLOOKUP(B45,Technologies!$A$7:$I$509,9,FALSE)-VLOOKUP(A45,Technologies!$A$7:$I$509,9,FALSE)+VLOOKUP(A45,Technologies!$A$7:$I$509,9,FALSE)*0.1,VLOOKUP(A45,Technologies!$A$7:$I$509,9,FALSE)*0.1)</f>
        <v>299.55</v>
      </c>
    </row>
    <row r="46" spans="1:7" x14ac:dyDescent="0.35">
      <c r="A46" s="5" t="s">
        <v>739</v>
      </c>
      <c r="B46" s="5" t="s">
        <v>749</v>
      </c>
      <c r="C46" s="5" t="str">
        <f>VLOOKUP($A46,Technologies!$A$7:$G$506,3,FALSE)</f>
        <v>Final</v>
      </c>
      <c r="D46" s="5" t="str">
        <f>VLOOKUP($A46,Technologies!$A$7:$G$798,7,FALSE)</f>
        <v>Blast furnace BOF - Steel Production</v>
      </c>
      <c r="E46" s="5" t="str">
        <f>VLOOKUP($B46,Technologies!$A$7:$G$798,7,FALSE)</f>
        <v>Blast furnace BOF with top gas recycling wCCUS (end-of-pipe) - Steel Production</v>
      </c>
      <c r="F46" s="44">
        <v>1</v>
      </c>
      <c r="G46" s="141">
        <f>MAX(VLOOKUP(B46,Technologies!$A$7:$I$509,9,FALSE)-VLOOKUP(A46,Technologies!$A$7:$I$509,9,FALSE)+VLOOKUP(A46,Technologies!$A$7:$I$509,9,FALSE)*0.1,VLOOKUP(A46,Technologies!$A$7:$I$509,9,FALSE)*0.1)</f>
        <v>319.55</v>
      </c>
    </row>
    <row r="47" spans="1:7" x14ac:dyDescent="0.35">
      <c r="A47" s="6" t="s">
        <v>747</v>
      </c>
      <c r="B47" s="6" t="s">
        <v>749</v>
      </c>
      <c r="C47" s="6" t="str">
        <f>VLOOKUP($A47,Technologies!$A$7:$G$506,3,FALSE)</f>
        <v>Final</v>
      </c>
      <c r="D47" s="6" t="str">
        <f>VLOOKUP($A47,Technologies!$A$7:$G$798,7,FALSE)</f>
        <v>Blast furnace BOF wCCUS (end-of-pipe) - Steel Production</v>
      </c>
      <c r="E47" s="6" t="str">
        <f>VLOOKUP($B47,Technologies!$A$7:$G$798,7,FALSE)</f>
        <v>Blast furnace BOF with top gas recycling wCCUS (end-of-pipe) - Steel Production</v>
      </c>
      <c r="F47" s="43">
        <v>1</v>
      </c>
      <c r="G47" s="141">
        <f>MAX(VLOOKUP(B47,Technologies!$A$7:$I$509,9,FALSE)-VLOOKUP(A47,Technologies!$A$7:$I$509,9,FALSE)+VLOOKUP(A47,Technologies!$A$7:$I$509,9,FALSE)*0.1,VLOOKUP(A47,Technologies!$A$7:$I$509,9,FALSE)*0.1)</f>
        <v>99.5</v>
      </c>
    </row>
    <row r="48" spans="1:7" x14ac:dyDescent="0.35">
      <c r="A48" s="5" t="s">
        <v>751</v>
      </c>
      <c r="B48" s="5" t="s">
        <v>753</v>
      </c>
      <c r="C48" s="5" t="str">
        <f>VLOOKUP($A48,Technologies!$A$7:$G$506,3,FALSE)</f>
        <v>Final</v>
      </c>
      <c r="D48" s="5" t="str">
        <f>VLOOKUP($A48,Technologies!$A$7:$G$798,7,FALSE)</f>
        <v>Hisarna - Steel Production</v>
      </c>
      <c r="E48" s="5" t="str">
        <f>VLOOKUP($B48,Technologies!$A$7:$G$798,7,FALSE)</f>
        <v>Hisarna wCCUS (cryogenic) - Steel Production</v>
      </c>
      <c r="F48" s="44">
        <v>1</v>
      </c>
      <c r="G48" s="141">
        <f>MAX(VLOOKUP(B48,Technologies!$A$7:$I$509,9,FALSE)-VLOOKUP(A48,Technologies!$A$7:$I$509,9,FALSE)+VLOOKUP(A48,Technologies!$A$7:$I$509,9,FALSE)*0.1,VLOOKUP(A48,Technologies!$A$7:$I$509,9,FALSE)*0.1)</f>
        <v>322.5</v>
      </c>
    </row>
    <row r="49" spans="1:7" x14ac:dyDescent="0.35">
      <c r="A49" s="6" t="s">
        <v>751</v>
      </c>
      <c r="B49" s="6" t="s">
        <v>755</v>
      </c>
      <c r="C49" s="6" t="str">
        <f>VLOOKUP($A49,Technologies!$A$7:$G$506,3,FALSE)</f>
        <v>Final</v>
      </c>
      <c r="D49" s="6" t="str">
        <f>VLOOKUP($A49,Technologies!$A$7:$G$798,7,FALSE)</f>
        <v>Hisarna - Steel Production</v>
      </c>
      <c r="E49" s="6" t="str">
        <f>VLOOKUP($B49,Technologies!$A$7:$G$798,7,FALSE)</f>
        <v>Hisarna biomass wCCUS (cryogenic) - Steel Production</v>
      </c>
      <c r="F49" s="43">
        <v>1</v>
      </c>
      <c r="G49" s="141">
        <f>MAX(VLOOKUP(B49,Technologies!$A$7:$I$509,9,FALSE)-VLOOKUP(A49,Technologies!$A$7:$I$509,9,FALSE)+VLOOKUP(A49,Technologies!$A$7:$I$509,9,FALSE)*0.1,VLOOKUP(A49,Technologies!$A$7:$I$509,9,FALSE)*0.1)</f>
        <v>382.5</v>
      </c>
    </row>
    <row r="50" spans="1:7" x14ac:dyDescent="0.35">
      <c r="A50" s="5" t="s">
        <v>753</v>
      </c>
      <c r="B50" s="5" t="s">
        <v>755</v>
      </c>
      <c r="C50" s="5" t="str">
        <f>VLOOKUP($A50,Technologies!$A$7:$G$506,3,FALSE)</f>
        <v>Final</v>
      </c>
      <c r="D50" s="5" t="str">
        <f>VLOOKUP($A50,Technologies!$A$7:$G$798,7,FALSE)</f>
        <v>Hisarna wCCUS (cryogenic) - Steel Production</v>
      </c>
      <c r="E50" s="5" t="str">
        <f>VLOOKUP($B50,Technologies!$A$7:$G$798,7,FALSE)</f>
        <v>Hisarna biomass wCCUS (cryogenic) - Steel Production</v>
      </c>
      <c r="F50" s="44">
        <v>1</v>
      </c>
      <c r="G50" s="141">
        <f>MAX(VLOOKUP(B50,Technologies!$A$7:$I$509,9,FALSE)-VLOOKUP(A50,Technologies!$A$7:$I$509,9,FALSE)+VLOOKUP(A50,Technologies!$A$7:$I$509,9,FALSE)*0.1,VLOOKUP(A50,Technologies!$A$7:$I$509,9,FALSE)*0.1)</f>
        <v>144</v>
      </c>
    </row>
    <row r="51" spans="1:7" x14ac:dyDescent="0.35">
      <c r="A51" s="6" t="s">
        <v>757</v>
      </c>
      <c r="B51" s="6" t="s">
        <v>759</v>
      </c>
      <c r="C51" s="6" t="str">
        <f>VLOOKUP($A51,Technologies!$A$7:$G$506,3,FALSE)</f>
        <v>Final</v>
      </c>
      <c r="D51" s="6" t="str">
        <f>VLOOKUP($A51,Technologies!$A$7:$G$798,7,FALSE)</f>
        <v>Direct reduction from natural gas - Steel Production</v>
      </c>
      <c r="E51" s="6" t="str">
        <f>VLOOKUP($B51,Technologies!$A$7:$G$798,7,FALSE)</f>
        <v>Direct reduction from hydrogen  - Steel Production</v>
      </c>
      <c r="F51" s="43">
        <v>1</v>
      </c>
      <c r="G51" s="141">
        <f>MAX(VLOOKUP(B51,Technologies!$A$7:$I$509,9,FALSE)-VLOOKUP(A51,Technologies!$A$7:$I$509,9,FALSE)+VLOOKUP(A51,Technologies!$A$7:$I$509,9,FALSE)*0.1,VLOOKUP(A51,Technologies!$A$7:$I$509,9,FALSE)*0.1)</f>
        <v>43.5</v>
      </c>
    </row>
    <row r="52" spans="1:7" x14ac:dyDescent="0.35">
      <c r="A52" s="5" t="s">
        <v>757</v>
      </c>
      <c r="B52" s="5" t="s">
        <v>761</v>
      </c>
      <c r="C52" s="5" t="str">
        <f>VLOOKUP($A52,Technologies!$A$7:$G$506,3,FALSE)</f>
        <v>Final</v>
      </c>
      <c r="D52" s="5" t="str">
        <f>VLOOKUP($A52,Technologies!$A$7:$G$798,7,FALSE)</f>
        <v>Direct reduction from natural gas - Steel Production</v>
      </c>
      <c r="E52" s="5" t="str">
        <f>VLOOKUP($B52,Technologies!$A$7:$G$798,7,FALSE)</f>
        <v>Direct reduction from hydrogen w/biomass - Steel Production</v>
      </c>
      <c r="F52" s="44">
        <v>1</v>
      </c>
      <c r="G52" s="141">
        <f>MAX(VLOOKUP(B52,Technologies!$A$7:$I$509,9,FALSE)-VLOOKUP(A52,Technologies!$A$7:$I$509,9,FALSE)+VLOOKUP(A52,Technologies!$A$7:$I$509,9,FALSE)*0.1,VLOOKUP(A52,Technologies!$A$7:$I$509,9,FALSE)*0.1)</f>
        <v>43.5</v>
      </c>
    </row>
    <row r="53" spans="1:7" x14ac:dyDescent="0.35">
      <c r="A53" s="6" t="s">
        <v>759</v>
      </c>
      <c r="B53" s="6" t="s">
        <v>761</v>
      </c>
      <c r="C53" s="6" t="str">
        <f>VLOOKUP($A53,Technologies!$A$7:$G$506,3,FALSE)</f>
        <v>Final</v>
      </c>
      <c r="D53" s="6" t="str">
        <f>VLOOKUP($A53,Technologies!$A$7:$G$798,7,FALSE)</f>
        <v>Direct reduction from hydrogen  - Steel Production</v>
      </c>
      <c r="E53" s="6" t="str">
        <f>VLOOKUP($B53,Technologies!$A$7:$G$798,7,FALSE)</f>
        <v>Direct reduction from hydrogen w/biomass - Steel Production</v>
      </c>
      <c r="F53" s="43">
        <v>1</v>
      </c>
      <c r="G53" s="141">
        <f>MAX(VLOOKUP(B53,Technologies!$A$7:$I$509,9,FALSE)-VLOOKUP(A53,Technologies!$A$7:$I$509,9,FALSE)+VLOOKUP(A53,Technologies!$A$7:$I$509,9,FALSE)*0.1,VLOOKUP(A53,Technologies!$A$7:$I$509,9,FALSE)*0.1)</f>
        <v>43.5</v>
      </c>
    </row>
    <row r="54" spans="1:7" x14ac:dyDescent="0.35">
      <c r="A54" s="5" t="s">
        <v>769</v>
      </c>
      <c r="B54" s="5" t="s">
        <v>771</v>
      </c>
      <c r="C54" s="5" t="str">
        <f>VLOOKUP($A54,Technologies!$A$7:$G$506,3,FALSE)</f>
        <v>Final</v>
      </c>
      <c r="D54" s="5" t="str">
        <f>VLOOKUP($A54,Technologies!$A$7:$G$798,7,FALSE)</f>
        <v>Scrap-fed EAF - Steel Production</v>
      </c>
      <c r="E54" s="5" t="str">
        <f>VLOOKUP($B54,Technologies!$A$7:$G$798,7,FALSE)</f>
        <v>Scrap-fed EAF with syngas fuel - Steel Production</v>
      </c>
      <c r="F54" s="44">
        <v>1</v>
      </c>
      <c r="G54" s="141">
        <f>MAX(VLOOKUP(B54,Technologies!$A$7:$I$509,9,FALSE)-VLOOKUP(A54,Technologies!$A$7:$I$509,9,FALSE)+VLOOKUP(A54,Technologies!$A$7:$I$509,9,FALSE)*0.1,VLOOKUP(A54,Technologies!$A$7:$I$509,9,FALSE)*0.1)</f>
        <v>47.2654</v>
      </c>
    </row>
    <row r="55" spans="1:7" x14ac:dyDescent="0.35">
      <c r="A55" s="6" t="s">
        <v>773</v>
      </c>
      <c r="B55" s="6" t="s">
        <v>775</v>
      </c>
      <c r="C55" s="6" t="str">
        <f>VLOOKUP($A55,Technologies!$A$7:$G$506,3,FALSE)</f>
        <v>Final</v>
      </c>
      <c r="D55" s="6" t="str">
        <f>VLOOKUP($A55,Technologies!$A$7:$G$798,7,FALSE)</f>
        <v>DRI-fed EAF - Steel Production</v>
      </c>
      <c r="E55" s="6" t="str">
        <f>VLOOKUP($B55,Technologies!$A$7:$G$798,7,FALSE)</f>
        <v>DRI-fed EAF with syngas fuel - Steel Production</v>
      </c>
      <c r="F55" s="43">
        <v>1</v>
      </c>
      <c r="G55" s="141">
        <f>MAX(VLOOKUP(B55,Technologies!$A$7:$I$509,9,FALSE)-VLOOKUP(A55,Technologies!$A$7:$I$509,9,FALSE)+VLOOKUP(A55,Technologies!$A$7:$I$509,9,FALSE)*0.1,VLOOKUP(A55,Technologies!$A$7:$I$509,9,FALSE)*0.1)</f>
        <v>47.2654</v>
      </c>
    </row>
    <row r="56" spans="1:7" x14ac:dyDescent="0.35">
      <c r="A56" s="5" t="s">
        <v>775</v>
      </c>
      <c r="B56" s="5" t="s">
        <v>777</v>
      </c>
      <c r="C56" s="5" t="str">
        <f>VLOOKUP($A56,Technologies!$A$7:$G$506,3,FALSE)</f>
        <v>Final</v>
      </c>
      <c r="D56" s="5" t="str">
        <f>VLOOKUP($A56,Technologies!$A$7:$G$798,7,FALSE)</f>
        <v>DRI-fed EAF with syngas fuel - Steel Production</v>
      </c>
      <c r="E56" s="5" t="str">
        <f>VLOOKUP($B56,Technologies!$A$7:$G$798,7,FALSE)</f>
        <v>DRI-fed EAF with syngas fuel and biomass reducing agent - Steel Production</v>
      </c>
      <c r="F56" s="44">
        <v>1</v>
      </c>
      <c r="G56" s="141">
        <f>MAX(VLOOKUP(B56,Technologies!$A$7:$I$509,9,FALSE)-VLOOKUP(A56,Technologies!$A$7:$I$509,9,FALSE)+VLOOKUP(A56,Technologies!$A$7:$I$509,9,FALSE)*0.1,VLOOKUP(A56,Technologies!$A$7:$I$509,9,FALSE)*0.1)</f>
        <v>47.2654</v>
      </c>
    </row>
    <row r="57" spans="1:7" x14ac:dyDescent="0.35">
      <c r="A57" s="6" t="s">
        <v>773</v>
      </c>
      <c r="B57" s="6" t="s">
        <v>777</v>
      </c>
      <c r="C57" s="6" t="str">
        <f>VLOOKUP($A57,Technologies!$A$7:$G$506,3,FALSE)</f>
        <v>Final</v>
      </c>
      <c r="D57" s="6" t="str">
        <f>VLOOKUP($A57,Technologies!$A$7:$G$798,7,FALSE)</f>
        <v>DRI-fed EAF - Steel Production</v>
      </c>
      <c r="E57" s="6" t="str">
        <f>VLOOKUP($B57,Technologies!$A$7:$G$798,7,FALSE)</f>
        <v>DRI-fed EAF with syngas fuel and biomass reducing agent - Steel Production</v>
      </c>
      <c r="F57" s="43">
        <v>1</v>
      </c>
      <c r="G57" s="141">
        <f>MAX(VLOOKUP(B57,Technologies!$A$7:$I$509,9,FALSE)-VLOOKUP(A57,Technologies!$A$7:$I$509,9,FALSE)+VLOOKUP(A57,Technologies!$A$7:$I$509,9,FALSE)*0.1,VLOOKUP(A57,Technologies!$A$7:$I$509,9,FALSE)*0.1)</f>
        <v>47.2654</v>
      </c>
    </row>
    <row r="58" spans="1:7" x14ac:dyDescent="0.35">
      <c r="A58" s="5" t="s">
        <v>787</v>
      </c>
      <c r="B58" s="5" t="s">
        <v>793</v>
      </c>
      <c r="C58" s="5" t="str">
        <f>VLOOKUP($A58,Technologies!$A$7:$G$506,3,FALSE)</f>
        <v>Conversion</v>
      </c>
      <c r="D58" s="5" t="str">
        <f>VLOOKUP($A58,Technologies!$A$7:$G$798,7,FALSE)</f>
        <v>Existing naphtha steam cracker - Petrochemical industry</v>
      </c>
      <c r="E58" s="5" t="str">
        <f>VLOOKUP($B58,Technologies!$A$7:$G$798,7,FALSE)</f>
        <v>Existing naphtha steam cracker wCCUS (MEA postcombustion) - Petrochemical industry</v>
      </c>
      <c r="F58" s="44">
        <v>1</v>
      </c>
      <c r="G58" s="141">
        <f>MAX(VLOOKUP(B58,Technologies!$A$7:$I$509,9,FALSE)-VLOOKUP(A58,Technologies!$A$7:$I$509,9,FALSE)+VLOOKUP(A58,Technologies!$A$7:$I$509,9,FALSE)*0.1,VLOOKUP(A58,Technologies!$A$7:$I$509,9,FALSE)*0.1)</f>
        <v>414.41998406250821</v>
      </c>
    </row>
    <row r="59" spans="1:7" x14ac:dyDescent="0.35">
      <c r="A59" s="6" t="s">
        <v>787</v>
      </c>
      <c r="B59" s="6" t="s">
        <v>795</v>
      </c>
      <c r="C59" s="6" t="str">
        <f>VLOOKUP($A59,Technologies!$A$7:$G$506,3,FALSE)</f>
        <v>Conversion</v>
      </c>
      <c r="D59" s="6" t="str">
        <f>VLOOKUP($A59,Technologies!$A$7:$G$798,7,FALSE)</f>
        <v>Existing naphtha steam cracker - Petrochemical industry</v>
      </c>
      <c r="E59" s="6" t="str">
        <f>VLOOKUP($B59,Technologies!$A$7:$G$798,7,FALSE)</f>
        <v>Existing bio-naphtha steam cracker wCCUS (MEA postcombustion) - Petrochemical industry</v>
      </c>
      <c r="F59" s="43">
        <v>1</v>
      </c>
      <c r="G59" s="141">
        <f>MAX(VLOOKUP(B59,Technologies!$A$7:$I$509,9,FALSE)-VLOOKUP(A59,Technologies!$A$7:$I$509,9,FALSE)+VLOOKUP(A59,Technologies!$A$7:$I$509,9,FALSE)*0.1,VLOOKUP(A59,Technologies!$A$7:$I$509,9,FALSE)*0.1)</f>
        <v>436.02007115950471</v>
      </c>
    </row>
    <row r="60" spans="1:7" x14ac:dyDescent="0.35">
      <c r="A60" s="5" t="s">
        <v>787</v>
      </c>
      <c r="B60" s="5" t="s">
        <v>797</v>
      </c>
      <c r="C60" s="5" t="str">
        <f>VLOOKUP($A60,Technologies!$A$7:$G$506,3,FALSE)</f>
        <v>Conversion</v>
      </c>
      <c r="D60" s="5" t="str">
        <f>VLOOKUP($A60,Technologies!$A$7:$G$798,7,FALSE)</f>
        <v>Existing naphtha steam cracker - Petrochemical industry</v>
      </c>
      <c r="E60" s="5" t="str">
        <f>VLOOKUP($B60,Technologies!$A$7:$G$798,7,FALSE)</f>
        <v>Existing syn-naphtha steam cracker wCCUS (MEA postcombustion) - Petrochemical industry</v>
      </c>
      <c r="F60" s="44">
        <v>1</v>
      </c>
      <c r="G60" s="141">
        <f>MAX(VLOOKUP(B60,Technologies!$A$7:$I$509,9,FALSE)-VLOOKUP(A60,Technologies!$A$7:$I$509,9,FALSE)+VLOOKUP(A60,Technologies!$A$7:$I$509,9,FALSE)*0.1,VLOOKUP(A60,Technologies!$A$7:$I$509,9,FALSE)*0.1)</f>
        <v>414.41998406250821</v>
      </c>
    </row>
    <row r="61" spans="1:7" x14ac:dyDescent="0.35">
      <c r="A61" s="6" t="s">
        <v>787</v>
      </c>
      <c r="B61" s="6" t="s">
        <v>799</v>
      </c>
      <c r="C61" s="6" t="str">
        <f>VLOOKUP($A61,Technologies!$A$7:$G$506,3,FALSE)</f>
        <v>Conversion</v>
      </c>
      <c r="D61" s="6" t="str">
        <f>VLOOKUP($A61,Technologies!$A$7:$G$798,7,FALSE)</f>
        <v>Existing naphtha steam cracker - Petrochemical industry</v>
      </c>
      <c r="E61" s="6" t="str">
        <f>VLOOKUP($B61,Technologies!$A$7:$G$798,7,FALSE)</f>
        <v>Electrified naphtha steam cracker - Petrochemical industry</v>
      </c>
      <c r="F61" s="43">
        <v>1</v>
      </c>
      <c r="G61" s="141">
        <f>MAX(VLOOKUP(B61,Technologies!$A$7:$I$509,9,FALSE)-VLOOKUP(A61,Technologies!$A$7:$I$509,9,FALSE)+VLOOKUP(A61,Technologies!$A$7:$I$509,9,FALSE)*0.1,VLOOKUP(A61,Technologies!$A$7:$I$509,9,FALSE)*0.1)</f>
        <v>193.95430284857329</v>
      </c>
    </row>
    <row r="62" spans="1:7" x14ac:dyDescent="0.35">
      <c r="A62" s="5" t="s">
        <v>787</v>
      </c>
      <c r="B62" s="5" t="s">
        <v>801</v>
      </c>
      <c r="C62" s="5" t="str">
        <f>VLOOKUP($A62,Technologies!$A$7:$G$506,3,FALSE)</f>
        <v>Conversion</v>
      </c>
      <c r="D62" s="5" t="str">
        <f>VLOOKUP($A62,Technologies!$A$7:$G$798,7,FALSE)</f>
        <v>Existing naphtha steam cracker - Petrochemical industry</v>
      </c>
      <c r="E62" s="5" t="str">
        <f>VLOOKUP($B62,Technologies!$A$7:$G$798,7,FALSE)</f>
        <v>Electrified bio-naphtha steam cracker - Petrochemical industry</v>
      </c>
      <c r="F62" s="44">
        <v>1</v>
      </c>
      <c r="G62" s="141">
        <f>MAX(VLOOKUP(B62,Technologies!$A$7:$I$509,9,FALSE)-VLOOKUP(A62,Technologies!$A$7:$I$509,9,FALSE)+VLOOKUP(A62,Technologies!$A$7:$I$509,9,FALSE)*0.1,VLOOKUP(A62,Technologies!$A$7:$I$509,9,FALSE)*0.1)</f>
        <v>213.3497331334307</v>
      </c>
    </row>
    <row r="63" spans="1:7" x14ac:dyDescent="0.35">
      <c r="A63" s="6" t="s">
        <v>787</v>
      </c>
      <c r="B63" s="6" t="s">
        <v>803</v>
      </c>
      <c r="C63" s="6" t="str">
        <f>VLOOKUP($A63,Technologies!$A$7:$G$506,3,FALSE)</f>
        <v>Conversion</v>
      </c>
      <c r="D63" s="6" t="str">
        <f>VLOOKUP($A63,Technologies!$A$7:$G$798,7,FALSE)</f>
        <v>Existing naphtha steam cracker - Petrochemical industry</v>
      </c>
      <c r="E63" s="6" t="str">
        <f>VLOOKUP($B63,Technologies!$A$7:$G$798,7,FALSE)</f>
        <v>Electrified syn-naphtha steam cracker - Petrochemical industry</v>
      </c>
      <c r="F63" s="43">
        <v>1</v>
      </c>
      <c r="G63" s="141">
        <f>MAX(VLOOKUP(B63,Technologies!$A$7:$I$509,9,FALSE)-VLOOKUP(A63,Technologies!$A$7:$I$509,9,FALSE)+VLOOKUP(A63,Technologies!$A$7:$I$509,9,FALSE)*0.1,VLOOKUP(A63,Technologies!$A$7:$I$509,9,FALSE)*0.1)</f>
        <v>213.3497331334307</v>
      </c>
    </row>
    <row r="64" spans="1:7" x14ac:dyDescent="0.35">
      <c r="A64" s="5" t="s">
        <v>787</v>
      </c>
      <c r="B64" s="5" t="s">
        <v>805</v>
      </c>
      <c r="C64" s="5" t="str">
        <f>VLOOKUP($A64,Technologies!$A$7:$G$506,3,FALSE)</f>
        <v>Conversion</v>
      </c>
      <c r="D64" s="5" t="str">
        <f>VLOOKUP($A64,Technologies!$A$7:$G$798,7,FALSE)</f>
        <v>Existing naphtha steam cracker - Petrochemical industry</v>
      </c>
      <c r="E64" s="5" t="str">
        <f>VLOOKUP($B64,Technologies!$A$7:$G$798,7,FALSE)</f>
        <v>Hydrogen fueled naphtha steam cracker - Petrochemical industry</v>
      </c>
      <c r="F64" s="44">
        <v>1</v>
      </c>
      <c r="G64" s="141">
        <f>MAX(VLOOKUP(B64,Technologies!$A$7:$I$509,9,FALSE)-VLOOKUP(A64,Technologies!$A$7:$I$509,9,FALSE)+VLOOKUP(A64,Technologies!$A$7:$I$509,9,FALSE)*0.1,VLOOKUP(A64,Technologies!$A$7:$I$509,9,FALSE)*0.1)</f>
        <v>193.95430284857329</v>
      </c>
    </row>
    <row r="65" spans="1:8" x14ac:dyDescent="0.35">
      <c r="A65" s="6" t="s">
        <v>787</v>
      </c>
      <c r="B65" s="6" t="s">
        <v>807</v>
      </c>
      <c r="C65" s="6" t="str">
        <f>VLOOKUP($A65,Technologies!$A$7:$G$506,3,FALSE)</f>
        <v>Conversion</v>
      </c>
      <c r="D65" s="6" t="str">
        <f>VLOOKUP($A65,Technologies!$A$7:$G$798,7,FALSE)</f>
        <v>Existing naphtha steam cracker - Petrochemical industry</v>
      </c>
      <c r="E65" s="6" t="str">
        <f>VLOOKUP($B65,Technologies!$A$7:$G$798,7,FALSE)</f>
        <v>Hydrogen fueled bio-naphtha steam cracker - Petrochemical industry</v>
      </c>
      <c r="F65" s="43">
        <v>1</v>
      </c>
      <c r="G65" s="141">
        <f>MAX(VLOOKUP(B65,Technologies!$A$7:$I$509,9,FALSE)-VLOOKUP(A65,Technologies!$A$7:$I$509,9,FALSE)+VLOOKUP(A65,Technologies!$A$7:$I$509,9,FALSE)*0.1,VLOOKUP(A65,Technologies!$A$7:$I$509,9,FALSE)*0.1)</f>
        <v>193.95430284857329</v>
      </c>
    </row>
    <row r="66" spans="1:8" x14ac:dyDescent="0.35">
      <c r="A66" s="5" t="s">
        <v>787</v>
      </c>
      <c r="B66" s="5" t="s">
        <v>809</v>
      </c>
      <c r="C66" s="5" t="str">
        <f>VLOOKUP($A66,Technologies!$A$7:$G$506,3,FALSE)</f>
        <v>Conversion</v>
      </c>
      <c r="D66" s="5" t="str">
        <f>VLOOKUP($A66,Technologies!$A$7:$G$798,7,FALSE)</f>
        <v>Existing naphtha steam cracker - Petrochemical industry</v>
      </c>
      <c r="E66" s="5" t="str">
        <f>VLOOKUP($B66,Technologies!$A$7:$G$798,7,FALSE)</f>
        <v>Hydrogen fueled syn-naphtha steam cracker - Petrochemical industry</v>
      </c>
      <c r="F66" s="44">
        <v>1</v>
      </c>
      <c r="G66" s="141">
        <f>MAX(VLOOKUP(B66,Technologies!$A$7:$I$509,9,FALSE)-VLOOKUP(A66,Technologies!$A$7:$I$509,9,FALSE)+VLOOKUP(A66,Technologies!$A$7:$I$509,9,FALSE)*0.1,VLOOKUP(A66,Technologies!$A$7:$I$509,9,FALSE)*0.1)</f>
        <v>193.95430284857329</v>
      </c>
    </row>
    <row r="67" spans="1:8" x14ac:dyDescent="0.35">
      <c r="A67" s="5" t="s">
        <v>787</v>
      </c>
      <c r="B67" s="5" t="s">
        <v>861</v>
      </c>
      <c r="C67" s="5" t="str">
        <f>VLOOKUP($A67,Technologies!$A$7:$G$506,3,FALSE)</f>
        <v>Conversion</v>
      </c>
      <c r="D67" s="5" t="str">
        <f>VLOOKUP($A67,Technologies!$A$7:$G$798,7,FALSE)</f>
        <v>Existing naphtha steam cracker - Petrochemical industry</v>
      </c>
      <c r="E67" s="5" t="str">
        <f>VLOOKUP($B67,Technologies!$A$7:$G$798,7,FALSE)</f>
        <v>Existing naphtha steam cracker with 10% pyrolysis oil blending - Petrochemical industry</v>
      </c>
      <c r="F67" s="44">
        <v>1</v>
      </c>
      <c r="G67" s="141">
        <f>MAX(VLOOKUP(B67,Technologies!$A$7:$I$509,9,FALSE)-VLOOKUP(A67,Technologies!$A$7:$I$509,9,FALSE)+VLOOKUP(A67,Technologies!$A$7:$I$509,9,FALSE)*0.1,VLOOKUP(A67,Technologies!$A$7:$I$509,9,FALSE)*0.1)</f>
        <v>213.3497331334307</v>
      </c>
    </row>
    <row r="68" spans="1:8" x14ac:dyDescent="0.35">
      <c r="A68" s="6" t="s">
        <v>793</v>
      </c>
      <c r="B68" s="6" t="s">
        <v>795</v>
      </c>
      <c r="C68" s="6" t="str">
        <f>VLOOKUP($A68,Technologies!$A$7:$G$506,3,FALSE)</f>
        <v>Conversion</v>
      </c>
      <c r="D68" s="6" t="str">
        <f>VLOOKUP($A68,Technologies!$A$7:$G$798,7,FALSE)</f>
        <v>Existing naphtha steam cracker wCCUS (MEA postcombustion) - Petrochemical industry</v>
      </c>
      <c r="E68" s="6" t="str">
        <f>VLOOKUP($B68,Technologies!$A$7:$G$798,7,FALSE)</f>
        <v>Existing bio-naphtha steam cracker wCCUS (MEA postcombustion) - Petrochemical industry</v>
      </c>
      <c r="F68" s="43">
        <v>1</v>
      </c>
      <c r="G68" s="141">
        <f>MAX(VLOOKUP(B68,Technologies!$A$7:$I$509,9,FALSE)-VLOOKUP(A68,Technologies!$A$7:$I$509,9,FALSE)+VLOOKUP(A68,Technologies!$A$7:$I$509,9,FALSE)*0.1,VLOOKUP(A68,Technologies!$A$7:$I$509,9,FALSE)*0.1)</f>
        <v>237.60095806696327</v>
      </c>
    </row>
    <row r="69" spans="1:8" x14ac:dyDescent="0.35">
      <c r="A69" s="5" t="s">
        <v>793</v>
      </c>
      <c r="B69" s="5" t="s">
        <v>797</v>
      </c>
      <c r="C69" s="5" t="str">
        <f>VLOOKUP($A69,Technologies!$A$7:$G$506,3,FALSE)</f>
        <v>Conversion</v>
      </c>
      <c r="D69" s="5" t="str">
        <f>VLOOKUP($A69,Technologies!$A$7:$G$798,7,FALSE)</f>
        <v>Existing naphtha steam cracker wCCUS (MEA postcombustion) - Petrochemical industry</v>
      </c>
      <c r="E69" s="5" t="str">
        <f>VLOOKUP($B69,Technologies!$A$7:$G$798,7,FALSE)</f>
        <v>Existing syn-naphtha steam cracker wCCUS (MEA postcombustion) - Petrochemical industry</v>
      </c>
      <c r="F69" s="44">
        <v>1</v>
      </c>
      <c r="G69" s="141">
        <f>MAX(VLOOKUP(B69,Technologies!$A$7:$I$509,9,FALSE)-VLOOKUP(A69,Technologies!$A$7:$I$509,9,FALSE)+VLOOKUP(A69,Technologies!$A$7:$I$509,9,FALSE)*0.1,VLOOKUP(A69,Technologies!$A$7:$I$509,9,FALSE)*0.1)</f>
        <v>216.00087096996677</v>
      </c>
    </row>
    <row r="70" spans="1:8" x14ac:dyDescent="0.35">
      <c r="A70" s="6" t="s">
        <v>799</v>
      </c>
      <c r="B70" s="6" t="s">
        <v>801</v>
      </c>
      <c r="C70" s="6" t="str">
        <f>VLOOKUP($A70,Technologies!$A$7:$G$506,3,FALSE)</f>
        <v>Conversion</v>
      </c>
      <c r="D70" s="6" t="str">
        <f>VLOOKUP($A70,Technologies!$A$7:$G$798,7,FALSE)</f>
        <v>Electrified naphtha steam cracker - Petrochemical industry</v>
      </c>
      <c r="E70" s="6" t="str">
        <f>VLOOKUP($B70,Technologies!$A$7:$G$798,7,FALSE)</f>
        <v>Electrified bio-naphtha steam cracker - Petrochemical industry</v>
      </c>
      <c r="F70" s="43">
        <v>1</v>
      </c>
      <c r="G70" s="141">
        <f>MAX(VLOOKUP(B70,Technologies!$A$7:$I$509,9,FALSE)-VLOOKUP(A70,Technologies!$A$7:$I$509,9,FALSE)+VLOOKUP(A70,Technologies!$A$7:$I$509,9,FALSE)*0.1,VLOOKUP(A70,Technologies!$A$7:$I$509,9,FALSE)*0.1)</f>
        <v>213.3497331334307</v>
      </c>
    </row>
    <row r="71" spans="1:8" x14ac:dyDescent="0.35">
      <c r="A71" s="5" t="s">
        <v>799</v>
      </c>
      <c r="B71" s="5" t="s">
        <v>803</v>
      </c>
      <c r="C71" s="5" t="str">
        <f>VLOOKUP($A71,Technologies!$A$7:$G$506,3,FALSE)</f>
        <v>Conversion</v>
      </c>
      <c r="D71" s="5" t="str">
        <f>VLOOKUP($A71,Technologies!$A$7:$G$798,7,FALSE)</f>
        <v>Electrified naphtha steam cracker - Petrochemical industry</v>
      </c>
      <c r="E71" s="5" t="str">
        <f>VLOOKUP($B71,Technologies!$A$7:$G$798,7,FALSE)</f>
        <v>Electrified syn-naphtha steam cracker - Petrochemical industry</v>
      </c>
      <c r="F71" s="44">
        <v>1</v>
      </c>
      <c r="G71" s="141">
        <f>MAX(VLOOKUP(B71,Technologies!$A$7:$I$509,9,FALSE)-VLOOKUP(A71,Technologies!$A$7:$I$509,9,FALSE)+VLOOKUP(A71,Technologies!$A$7:$I$509,9,FALSE)*0.1,VLOOKUP(A71,Technologies!$A$7:$I$509,9,FALSE)*0.1)</f>
        <v>213.3497331334307</v>
      </c>
    </row>
    <row r="72" spans="1:8" x14ac:dyDescent="0.35">
      <c r="A72" s="6" t="s">
        <v>805</v>
      </c>
      <c r="B72" s="6" t="s">
        <v>807</v>
      </c>
      <c r="C72" s="6" t="str">
        <f>VLOOKUP($A72,Technologies!$A$7:$G$506,3,FALSE)</f>
        <v>Conversion</v>
      </c>
      <c r="D72" s="6" t="str">
        <f>VLOOKUP($A72,Technologies!$A$7:$G$798,7,FALSE)</f>
        <v>Hydrogen fueled naphtha steam cracker - Petrochemical industry</v>
      </c>
      <c r="E72" s="6" t="str">
        <f>VLOOKUP($B72,Technologies!$A$7:$G$798,7,FALSE)</f>
        <v>Hydrogen fueled bio-naphtha steam cracker - Petrochemical industry</v>
      </c>
      <c r="F72" s="43">
        <v>1</v>
      </c>
      <c r="G72" s="141">
        <f>MAX(VLOOKUP(B72,Technologies!$A$7:$I$509,9,FALSE)-VLOOKUP(A72,Technologies!$A$7:$I$509,9,FALSE)+VLOOKUP(A72,Technologies!$A$7:$I$509,9,FALSE)*0.1,VLOOKUP(A72,Technologies!$A$7:$I$509,9,FALSE)*0.1)</f>
        <v>193.95430284857329</v>
      </c>
    </row>
    <row r="73" spans="1:8" x14ac:dyDescent="0.35">
      <c r="A73" s="5" t="s">
        <v>805</v>
      </c>
      <c r="B73" s="5" t="s">
        <v>809</v>
      </c>
      <c r="C73" s="5" t="str">
        <f>VLOOKUP($A73,Technologies!$A$7:$G$506,3,FALSE)</f>
        <v>Conversion</v>
      </c>
      <c r="D73" s="5" t="str">
        <f>VLOOKUP($A73,Technologies!$A$7:$G$798,7,FALSE)</f>
        <v>Hydrogen fueled naphtha steam cracker - Petrochemical industry</v>
      </c>
      <c r="E73" s="5" t="str">
        <f>VLOOKUP($B73,Technologies!$A$7:$G$798,7,FALSE)</f>
        <v>Hydrogen fueled syn-naphtha steam cracker - Petrochemical industry</v>
      </c>
      <c r="F73" s="44">
        <v>1</v>
      </c>
      <c r="G73" s="141">
        <f>MAX(VLOOKUP(B73,Technologies!$A$7:$I$509,9,FALSE)-VLOOKUP(A73,Technologies!$A$7:$I$509,9,FALSE)+VLOOKUP(A73,Technologies!$A$7:$I$509,9,FALSE)*0.1,VLOOKUP(A73,Technologies!$A$7:$I$509,9,FALSE)*0.1)</f>
        <v>193.95430284857329</v>
      </c>
    </row>
    <row r="74" spans="1:8" x14ac:dyDescent="0.35">
      <c r="A74" s="5" t="s">
        <v>861</v>
      </c>
      <c r="B74" s="5" t="s">
        <v>863</v>
      </c>
      <c r="C74" s="5" t="str">
        <f>VLOOKUP($A74,Technologies!$A$7:$G$503,3,FALSE)</f>
        <v>Conversion</v>
      </c>
      <c r="D74" s="5" t="str">
        <f>VLOOKUP($A74,Technologies!$A$7:$G$795,7,FALSE)</f>
        <v>Existing naphtha steam cracker with 10% pyrolysis oil blending - Petrochemical industry</v>
      </c>
      <c r="E74" s="5" t="str">
        <f>VLOOKUP($B74,Technologies!$A$7:$G$795,7,FALSE)</f>
        <v>Existing naphtha steam cracker with 10% pyrolysis oil blending and CCUS - Petrochemical industry</v>
      </c>
      <c r="F74" s="44">
        <v>1</v>
      </c>
      <c r="G74" s="141">
        <f>MAX(VLOOKUP(B74,Technologies!$A$7:$I$509,9,FALSE)-VLOOKUP(A74,Technologies!$A$7:$I$509,9,FALSE)+VLOOKUP(A74,Technologies!$A$7:$I$509,9,FALSE)*0.1,VLOOKUP(A74,Technologies!$A$7:$I$509,9,FALSE)*0.1)</f>
        <v>195.89384587705902</v>
      </c>
    </row>
    <row r="75" spans="1:8" x14ac:dyDescent="0.35">
      <c r="A75" s="5" t="s">
        <v>914</v>
      </c>
      <c r="B75" s="5" t="s">
        <v>919</v>
      </c>
      <c r="C75" s="5" t="str">
        <f>VLOOKUP($A75,Technologies!$A$7:$G$503,3,FALSE)</f>
        <v>Final</v>
      </c>
      <c r="D75" s="5" t="str">
        <f>VLOOKUP($A75,Technologies!$A$7:$G$795,7,FALSE)</f>
        <v>Conventional furnaces + post-melting  - Glass production</v>
      </c>
      <c r="E75" s="5" t="str">
        <f>VLOOKUP($B75,Technologies!$A$7:$G$795,7,FALSE)</f>
        <v>Efficient furnaces + post-melting  - Glass production</v>
      </c>
      <c r="F75" s="44">
        <v>1</v>
      </c>
      <c r="G75" s="141">
        <f>MAX(VLOOKUP(B75,Technologies!$A$7:$I$509,9,FALSE)-VLOOKUP(A75,Technologies!$A$7:$I$509,9,FALSE)+VLOOKUP(A75,Technologies!$A$7:$I$509,9,FALSE)*0.1,VLOOKUP(A75,Technologies!$A$7:$I$509,9,FALSE)*0.1)</f>
        <v>48.1</v>
      </c>
    </row>
    <row r="76" spans="1:8" x14ac:dyDescent="0.35">
      <c r="A76" s="6" t="s">
        <v>914</v>
      </c>
      <c r="B76" s="6" t="s">
        <v>921</v>
      </c>
      <c r="C76" s="6" t="str">
        <f>VLOOKUP($A76,Technologies!$A$7:$G$506,3,FALSE)</f>
        <v>Final</v>
      </c>
      <c r="D76" s="6" t="str">
        <f>VLOOKUP($A76,Technologies!$A$7:$G$798,7,FALSE)</f>
        <v>Conventional furnaces + post-melting  - Glass production</v>
      </c>
      <c r="E76" s="6" t="str">
        <f>VLOOKUP($B76,Technologies!$A$7:$G$798,7,FALSE)</f>
        <v>Electric cold-top furnaces + post-melting  - Glass production</v>
      </c>
      <c r="F76" s="43">
        <v>1</v>
      </c>
      <c r="G76" s="141">
        <f>MAX(VLOOKUP(B76,Technologies!$A$7:$I$509,9,FALSE)-VLOOKUP(A76,Technologies!$A$7:$I$509,9,FALSE)+VLOOKUP(A76,Technologies!$A$7:$I$509,9,FALSE)*0.1,VLOOKUP(A76,Technologies!$A$7:$I$509,9,FALSE)*0.1)</f>
        <v>226.1</v>
      </c>
    </row>
    <row r="77" spans="1:8" x14ac:dyDescent="0.35">
      <c r="A77" s="5" t="s">
        <v>923</v>
      </c>
      <c r="B77" s="5" t="s">
        <v>927</v>
      </c>
      <c r="C77" s="5" t="str">
        <f>VLOOKUP($A77,Technologies!$A$7:$G$506,3,FALSE)</f>
        <v>Final</v>
      </c>
      <c r="D77" s="5" t="str">
        <f>VLOOKUP($A77,Technologies!$A$7:$G$798,7,FALSE)</f>
        <v>Conventional kilns + preparation, drying, treatment  - Ceramics production</v>
      </c>
      <c r="E77" s="5" t="str">
        <f>VLOOKUP($B77,Technologies!$A$7:$G$798,7,FALSE)</f>
        <v>Electric kilns + preparation, drying, treatment - Ceramics production</v>
      </c>
      <c r="F77" s="44">
        <v>1</v>
      </c>
      <c r="G77" s="141">
        <f>MAX(VLOOKUP(B77,Technologies!$A$7:$I$509,9,FALSE)-VLOOKUP(A77,Technologies!$A$7:$I$509,9,FALSE)+VLOOKUP(A77,Technologies!$A$7:$I$509,9,FALSE)*0.1,VLOOKUP(A77,Technologies!$A$7:$I$509,9,FALSE)*0.1)</f>
        <v>140</v>
      </c>
    </row>
    <row r="78" spans="1:8" x14ac:dyDescent="0.35">
      <c r="A78" s="6" t="s">
        <v>929</v>
      </c>
      <c r="B78" s="6" t="s">
        <v>934</v>
      </c>
      <c r="C78" s="6" t="str">
        <f>VLOOKUP($A78,Technologies!$A$7:$G$506,3,FALSE)</f>
        <v>Final</v>
      </c>
      <c r="D78" s="6" t="str">
        <f>VLOOKUP($A78,Technologies!$A$7:$G$798,7,FALSE)</f>
        <v>Conventional paper milling - Paper and board production</v>
      </c>
      <c r="E78" s="6" t="str">
        <f>VLOOKUP($B78,Technologies!$A$7:$G$798,7,FALSE)</f>
        <v>Compressed refining of paper - Paper and board production</v>
      </c>
      <c r="F78" s="43">
        <v>1</v>
      </c>
      <c r="G78" s="141">
        <f>MAX(VLOOKUP(B78,Technologies!$A$7:$I$509,9,FALSE)-VLOOKUP(A78,Technologies!$A$7:$I$509,9,FALSE)+VLOOKUP(A78,Technologies!$A$7:$I$509,9,FALSE)*0.1,VLOOKUP(A78,Technologies!$A$7:$I$509,9,FALSE)*0.1)</f>
        <v>255</v>
      </c>
      <c r="H78" s="49"/>
    </row>
    <row r="79" spans="1:8" x14ac:dyDescent="0.35">
      <c r="A79" s="5" t="s">
        <v>929</v>
      </c>
      <c r="B79" s="5" t="s">
        <v>937</v>
      </c>
      <c r="C79" s="5" t="str">
        <f>VLOOKUP($A79,Technologies!$A$7:$G$506,3,FALSE)</f>
        <v>Final</v>
      </c>
      <c r="D79" s="5" t="str">
        <f>VLOOKUP($A79,Technologies!$A$7:$G$798,7,FALSE)</f>
        <v>Conventional paper milling - Paper and board production</v>
      </c>
      <c r="E79" s="5" t="str">
        <f>VLOOKUP($B79,Technologies!$A$7:$G$798,7,FALSE)</f>
        <v>Air-laid forming for paper - Paper and board production</v>
      </c>
      <c r="F79" s="44">
        <v>0</v>
      </c>
      <c r="G79" s="141">
        <f>MAX(VLOOKUP(B79,Technologies!$A$7:$I$509,9,FALSE)-VLOOKUP(A79,Technologies!$A$7:$I$509,9,FALSE)+VLOOKUP(A79,Technologies!$A$7:$I$509,9,FALSE)*0.1,VLOOKUP(A79,Technologies!$A$7:$I$509,9,FALSE)*0.1)</f>
        <v>125</v>
      </c>
      <c r="H79" s="49"/>
    </row>
    <row r="80" spans="1:8" x14ac:dyDescent="0.35">
      <c r="A80" s="6" t="s">
        <v>942</v>
      </c>
      <c r="B80" s="6" t="s">
        <v>939</v>
      </c>
      <c r="C80" s="6" t="str">
        <f>VLOOKUP($A80,Technologies!$A$7:$G$506,3,FALSE)</f>
        <v>Final</v>
      </c>
      <c r="D80" s="6" t="str">
        <f>VLOOKUP($A80,Technologies!$A$7:$G$798,7,FALSE)</f>
        <v>Conventional board milling - Paper and board production</v>
      </c>
      <c r="E80" s="6" t="str">
        <f>VLOOKUP($B80,Technologies!$A$7:$G$798,7,FALSE)</f>
        <v>Microwave drying for board - Paper and board production</v>
      </c>
      <c r="F80" s="43">
        <v>1</v>
      </c>
      <c r="G80" s="141">
        <f>MAX(VLOOKUP(B80,Technologies!$A$7:$I$509,9,FALSE)-VLOOKUP(A80,Technologies!$A$7:$I$509,9,FALSE)+VLOOKUP(A80,Technologies!$A$7:$I$509,9,FALSE)*0.1,VLOOKUP(A80,Technologies!$A$7:$I$509,9,FALSE)*0.1)</f>
        <v>170</v>
      </c>
      <c r="H80" s="49"/>
    </row>
    <row r="81" spans="1:7" x14ac:dyDescent="0.35">
      <c r="A81" s="5" t="s">
        <v>944</v>
      </c>
      <c r="B81" s="5" t="s">
        <v>947</v>
      </c>
      <c r="C81" s="5" t="str">
        <f>VLOOKUP($A81,Technologies!$A$7:$G$506,3,FALSE)</f>
        <v>Final</v>
      </c>
      <c r="D81" s="5" t="str">
        <f>VLOOKUP($A81,Technologies!$A$7:$G$798,7,FALSE)</f>
        <v>Reference food processes - Food industry</v>
      </c>
      <c r="E81" s="5" t="str">
        <f>VLOOKUP($B81,Technologies!$A$7:$G$798,7,FALSE)</f>
        <v>Improved food processes - Food industry</v>
      </c>
      <c r="F81" s="44">
        <v>1</v>
      </c>
      <c r="G81" s="141">
        <f>MAX(VLOOKUP(B81,Technologies!$A$7:$I$509,9,FALSE)-VLOOKUP(A81,Technologies!$A$7:$I$509,9,FALSE)+VLOOKUP(A81,Technologies!$A$7:$I$509,9,FALSE)*0.1,VLOOKUP(A81,Technologies!$A$7:$I$509,9,FALSE)*0.1)</f>
        <v>2216</v>
      </c>
    </row>
    <row r="82" spans="1:7" x14ac:dyDescent="0.35">
      <c r="A82" s="6" t="s">
        <v>906</v>
      </c>
      <c r="B82" s="6" t="s">
        <v>910</v>
      </c>
      <c r="C82" s="6" t="str">
        <f>VLOOKUP($A82,Technologies!$A$7:$G$506,3,FALSE)</f>
        <v>Final</v>
      </c>
      <c r="D82" s="6" t="str">
        <f>VLOOKUP($A82,Technologies!$A$7:$G$798,7,FALSE)</f>
        <v>Reference remaining chemicals - Other ETS chemicals</v>
      </c>
      <c r="E82" s="6" t="str">
        <f>VLOOKUP($B82,Technologies!$A$7:$G$798,7,FALSE)</f>
        <v>Improved remaining chemicals (bio feedstock) - Other ETS chemicals</v>
      </c>
      <c r="F82" s="43">
        <v>1</v>
      </c>
      <c r="G82" s="141">
        <f>MAX(VLOOKUP(B82,Technologies!$A$7:$I$509,9,FALSE)-VLOOKUP(A82,Technologies!$A$7:$I$509,9,FALSE)+VLOOKUP(A82,Technologies!$A$7:$I$509,9,FALSE)*0.1,VLOOKUP(A82,Technologies!$A$7:$I$509,9,FALSE)*0.1)</f>
        <v>1633.1207968238807</v>
      </c>
    </row>
    <row r="83" spans="1:7" x14ac:dyDescent="0.35">
      <c r="A83" s="5" t="s">
        <v>949</v>
      </c>
      <c r="B83" s="5" t="s">
        <v>952</v>
      </c>
      <c r="C83" s="5" t="str">
        <f>VLOOKUP($A83,Technologies!$A$7:$G$506,3,FALSE)</f>
        <v>Final</v>
      </c>
      <c r="D83" s="5" t="str">
        <f>VLOOKUP($A83,Technologies!$A$7:$G$798,7,FALSE)</f>
        <v>Reference other ETS industry - Other ETS Industry</v>
      </c>
      <c r="E83" s="5" t="str">
        <f>VLOOKUP($B83,Technologies!$A$7:$G$798,7,FALSE)</f>
        <v>Improved other ETS industry - Other ETS Industry</v>
      </c>
      <c r="F83" s="44">
        <v>1</v>
      </c>
      <c r="G83" s="141">
        <f>MAX(VLOOKUP(B83,Technologies!$A$7:$I$509,9,FALSE)-VLOOKUP(A83,Technologies!$A$7:$I$509,9,FALSE)+VLOOKUP(A83,Technologies!$A$7:$I$509,9,FALSE)*0.1,VLOOKUP(A83,Technologies!$A$7:$I$509,9,FALSE)*0.1)</f>
        <v>136.80000000000001</v>
      </c>
    </row>
    <row r="84" spans="1:7" x14ac:dyDescent="0.35">
      <c r="A84" s="6" t="s">
        <v>955</v>
      </c>
      <c r="B84" s="6" t="s">
        <v>957</v>
      </c>
      <c r="C84" s="6" t="str">
        <f>VLOOKUP($A84,Technologies!$A$7:$G$506,3,FALSE)</f>
        <v>Final</v>
      </c>
      <c r="D84" s="6" t="str">
        <f>VLOOKUP($A84,Technologies!$A$7:$G$798,7,FALSE)</f>
        <v>Reference other non-ETS industry - Other non-ETS Industry</v>
      </c>
      <c r="E84" s="6" t="str">
        <f>VLOOKUP($B84,Technologies!$A$7:$G$798,7,FALSE)</f>
        <v>Improved other non-ETS industry (bio feedstock) - Other non-ETS Industry</v>
      </c>
      <c r="F84" s="43">
        <v>1</v>
      </c>
      <c r="G84" s="141">
        <f>MAX(VLOOKUP(B84,Technologies!$A$7:$I$509,9,FALSE)-VLOOKUP(A84,Technologies!$A$7:$I$509,9,FALSE)+VLOOKUP(A84,Technologies!$A$7:$I$509,9,FALSE)*0.1,VLOOKUP(A84,Technologies!$A$7:$I$509,9,FALSE)*0.1)</f>
        <v>1916</v>
      </c>
    </row>
    <row r="85" spans="1:7" x14ac:dyDescent="0.35">
      <c r="A85" s="6" t="s">
        <v>1254</v>
      </c>
      <c r="B85" s="6" t="s">
        <v>1256</v>
      </c>
      <c r="C85" s="6" t="str">
        <f>VLOOKUP($A85,Technologies!$A$7:$G$506,3,FALSE)</f>
        <v>Conversion</v>
      </c>
      <c r="D85" s="6" t="str">
        <f>VLOOKUP($A85,Technologies!$A$7:$G$798,7,FALSE)</f>
        <v>Co-fired Coal - Power NL</v>
      </c>
      <c r="E85" s="6" t="str">
        <f>VLOOKUP($B85,Technologies!$A$7:$G$798,7,FALSE)</f>
        <v>Co-fired Coal wCCS - Power NL</v>
      </c>
      <c r="F85" s="43">
        <v>1</v>
      </c>
      <c r="G85" s="141">
        <f>MAX(VLOOKUP(B85,Technologies!$A$7:$I$509,9,FALSE)-VLOOKUP(A85,Technologies!$A$7:$I$509,9,FALSE)+VLOOKUP(A85,Technologies!$A$7:$I$509,9,FALSE)*0.1,VLOOKUP(A85,Technologies!$A$7:$I$509,9,FALSE)*0.1)</f>
        <v>704.60599999999977</v>
      </c>
    </row>
    <row r="86" spans="1:7" x14ac:dyDescent="0.35">
      <c r="A86" s="5" t="s">
        <v>1258</v>
      </c>
      <c r="B86" s="5" t="s">
        <v>1260</v>
      </c>
      <c r="C86" s="5" t="str">
        <f>VLOOKUP($A86,Technologies!$A$7:$G$506,3,FALSE)</f>
        <v>Conversion</v>
      </c>
      <c r="D86" s="5" t="str">
        <f>VLOOKUP($A86,Technologies!$A$7:$G$798,7,FALSE)</f>
        <v>CCGT - Power NL</v>
      </c>
      <c r="E86" s="5" t="str">
        <f>VLOOKUP($B86,Technologies!$A$7:$G$798,7,FALSE)</f>
        <v>CCGT wCCS - Power NL</v>
      </c>
      <c r="F86" s="44">
        <v>1</v>
      </c>
      <c r="G86" s="141">
        <f>MAX(VLOOKUP(B86,Technologies!$A$7:$I$509,9,FALSE)-VLOOKUP(A86,Technologies!$A$7:$I$509,9,FALSE)+VLOOKUP(A86,Technologies!$A$7:$I$509,9,FALSE)*0.1,VLOOKUP(A86,Technologies!$A$7:$I$509,9,FALSE)*0.1)</f>
        <v>590.76499999999999</v>
      </c>
    </row>
    <row r="87" spans="1:7" x14ac:dyDescent="0.35">
      <c r="A87" s="6" t="s">
        <v>1375</v>
      </c>
      <c r="B87" s="6" t="s">
        <v>1378</v>
      </c>
      <c r="C87" s="6" t="str">
        <f>VLOOKUP($A87,Technologies!$A$7:$G$506,3,FALSE)</f>
        <v>Conversion</v>
      </c>
      <c r="D87" s="6" t="str">
        <f>VLOOKUP($A87,Technologies!$A$7:$G$798,7,FALSE)</f>
        <v>Boiler Gas - LT Heat for Network</v>
      </c>
      <c r="E87" s="6" t="str">
        <f>VLOOKUP($B87,Technologies!$A$7:$G$798,7,FALSE)</f>
        <v>Boiler Gas wCCS - LT Heat for Network</v>
      </c>
      <c r="F87" s="43">
        <v>1</v>
      </c>
      <c r="G87" s="141">
        <f>MAX(VLOOKUP(B87,Technologies!$A$7:$I$509,9,FALSE)-VLOOKUP(A87,Technologies!$A$7:$I$509,9,FALSE)+VLOOKUP(A87,Technologies!$A$7:$I$509,9,FALSE)*0.1,VLOOKUP(A87,Technologies!$A$7:$I$509,9,FALSE)*0.1)</f>
        <v>18.5</v>
      </c>
    </row>
    <row r="88" spans="1:7" x14ac:dyDescent="0.35">
      <c r="A88" s="5" t="s">
        <v>1380</v>
      </c>
      <c r="B88" s="5" t="s">
        <v>1382</v>
      </c>
      <c r="C88" s="5" t="str">
        <f>VLOOKUP($A88,Technologies!$A$7:$G$506,3,FALSE)</f>
        <v>Conversion</v>
      </c>
      <c r="D88" s="5" t="str">
        <f>VLOOKUP($A88,Technologies!$A$7:$G$798,7,FALSE)</f>
        <v>Boiler Biomass - LT Heat for Network</v>
      </c>
      <c r="E88" s="5" t="str">
        <f>VLOOKUP($B88,Technologies!$A$7:$G$798,7,FALSE)</f>
        <v>Boiler Biomass wCCS - LT Heat for Network</v>
      </c>
      <c r="F88" s="44">
        <v>1</v>
      </c>
      <c r="G88" s="141">
        <f>MAX(VLOOKUP(B88,Technologies!$A$7:$I$509,9,FALSE)-VLOOKUP(A88,Technologies!$A$7:$I$509,9,FALSE)+VLOOKUP(A88,Technologies!$A$7:$I$509,9,FALSE)*0.1,VLOOKUP(A88,Technologies!$A$7:$I$509,9,FALSE)*0.1)</f>
        <v>150</v>
      </c>
    </row>
    <row r="89" spans="1:7" x14ac:dyDescent="0.35">
      <c r="A89" s="6" t="s">
        <v>1407</v>
      </c>
      <c r="B89" s="6" t="s">
        <v>1410</v>
      </c>
      <c r="C89" s="6" t="str">
        <f>VLOOKUP($A89,Technologies!$A$7:$G$506,3,FALSE)</f>
        <v>Conversion</v>
      </c>
      <c r="D89" s="6" t="str">
        <f>VLOOKUP($A89,Technologies!$A$7:$G$798,7,FALSE)</f>
        <v>Boiler Gas - HT Heat for Industry</v>
      </c>
      <c r="E89" s="6" t="str">
        <f>VLOOKUP($B89,Technologies!$A$7:$G$798,7,FALSE)</f>
        <v>Boiler Gas wCCS - HT Heat for Industry</v>
      </c>
      <c r="F89" s="43">
        <v>1</v>
      </c>
      <c r="G89" s="141">
        <f>MAX(VLOOKUP(B89,Technologies!$A$7:$I$509,9,FALSE)-VLOOKUP(A89,Technologies!$A$7:$I$509,9,FALSE)+VLOOKUP(A89,Technologies!$A$7:$I$509,9,FALSE)*0.1,VLOOKUP(A89,Technologies!$A$7:$I$509,9,FALSE)*0.1)</f>
        <v>12</v>
      </c>
    </row>
    <row r="90" spans="1:7" x14ac:dyDescent="0.35">
      <c r="A90" s="5" t="s">
        <v>1412</v>
      </c>
      <c r="B90" s="5" t="s">
        <v>1414</v>
      </c>
      <c r="C90" s="5" t="str">
        <f>VLOOKUP($A90,Technologies!$A$7:$G$506,3,FALSE)</f>
        <v>Conversion</v>
      </c>
      <c r="D90" s="5" t="str">
        <f>VLOOKUP($A90,Technologies!$A$7:$G$798,7,FALSE)</f>
        <v>Hybrid Boiler Gas - HT Heat for Industry</v>
      </c>
      <c r="E90" s="5" t="str">
        <f>VLOOKUP($B90,Technologies!$A$7:$G$798,7,FALSE)</f>
        <v>Hybrid Boiler Gas wCCS - HT Heat for Industry</v>
      </c>
      <c r="F90" s="44">
        <v>1</v>
      </c>
      <c r="G90" s="141">
        <f>MAX(VLOOKUP(B90,Technologies!$A$7:$I$509,9,FALSE)-VLOOKUP(A90,Technologies!$A$7:$I$509,9,FALSE)+VLOOKUP(A90,Technologies!$A$7:$I$509,9,FALSE)*0.1,VLOOKUP(A90,Technologies!$A$7:$I$509,9,FALSE)*0.1)</f>
        <v>58</v>
      </c>
    </row>
    <row r="91" spans="1:7" x14ac:dyDescent="0.35">
      <c r="A91" s="6" t="s">
        <v>1416</v>
      </c>
      <c r="B91" s="6" t="s">
        <v>1418</v>
      </c>
      <c r="C91" s="6" t="str">
        <f>VLOOKUP($A91,Technologies!$A$7:$G$506,3,FALSE)</f>
        <v>Conversion</v>
      </c>
      <c r="D91" s="6" t="str">
        <f>VLOOKUP($A91,Technologies!$A$7:$G$798,7,FALSE)</f>
        <v>Boiler Coal - HT Heat for Industry</v>
      </c>
      <c r="E91" s="6" t="str">
        <f>VLOOKUP($B91,Technologies!$A$7:$G$798,7,FALSE)</f>
        <v>Boiler Coal wCCS - HT Heat for Industry</v>
      </c>
      <c r="F91" s="43">
        <v>1</v>
      </c>
      <c r="G91" s="141">
        <f>MAX(VLOOKUP(B91,Technologies!$A$7:$I$509,9,FALSE)-VLOOKUP(A91,Technologies!$A$7:$I$509,9,FALSE)+VLOOKUP(A91,Technologies!$A$7:$I$509,9,FALSE)*0.1,VLOOKUP(A91,Technologies!$A$7:$I$509,9,FALSE)*0.1)</f>
        <v>13</v>
      </c>
    </row>
    <row r="92" spans="1:7" x14ac:dyDescent="0.35">
      <c r="A92" s="5" t="s">
        <v>1420</v>
      </c>
      <c r="B92" s="5" t="s">
        <v>1422</v>
      </c>
      <c r="C92" s="5" t="str">
        <f>VLOOKUP($A92,Technologies!$A$7:$G$506,3,FALSE)</f>
        <v>Conversion</v>
      </c>
      <c r="D92" s="5" t="str">
        <f>VLOOKUP($A92,Technologies!$A$7:$G$798,7,FALSE)</f>
        <v>Boiler Biomass - HT Heat for Industry</v>
      </c>
      <c r="E92" s="5" t="str">
        <f>VLOOKUP($B92,Technologies!$A$7:$G$798,7,FALSE)</f>
        <v>Boiler Biomass wCCS - HT Heat for Industry</v>
      </c>
      <c r="F92" s="44">
        <v>1</v>
      </c>
      <c r="G92" s="141">
        <f>MAX(VLOOKUP(B92,Technologies!$A$7:$I$509,9,FALSE)-VLOOKUP(A92,Technologies!$A$7:$I$509,9,FALSE)+VLOOKUP(A92,Technologies!$A$7:$I$509,9,FALSE)*0.1,VLOOKUP(A92,Technologies!$A$7:$I$509,9,FALSE)*0.1)</f>
        <v>140</v>
      </c>
    </row>
    <row r="93" spans="1:7" x14ac:dyDescent="0.35">
      <c r="A93" s="6" t="s">
        <v>1424</v>
      </c>
      <c r="B93" s="6" t="s">
        <v>1426</v>
      </c>
      <c r="C93" s="6" t="str">
        <f>VLOOKUP($A93,Technologies!$A$7:$G$506,3,FALSE)</f>
        <v>Conversion</v>
      </c>
      <c r="D93" s="6" t="str">
        <f>VLOOKUP($A93,Technologies!$A$7:$G$798,7,FALSE)</f>
        <v>CHP Gas - HT Heat for Industry</v>
      </c>
      <c r="E93" s="6" t="str">
        <f>VLOOKUP($B93,Technologies!$A$7:$G$798,7,FALSE)</f>
        <v>CHP Gas wCCS - HT Heat for Industry</v>
      </c>
      <c r="F93" s="43">
        <v>1</v>
      </c>
      <c r="G93" s="141">
        <f>MAX(VLOOKUP(B93,Technologies!$A$7:$I$509,9,FALSE)-VLOOKUP(A93,Technologies!$A$7:$I$509,9,FALSE)+VLOOKUP(A93,Technologies!$A$7:$I$509,9,FALSE)*0.1,VLOOKUP(A93,Technologies!$A$7:$I$509,9,FALSE)*0.1)</f>
        <v>145</v>
      </c>
    </row>
    <row r="94" spans="1:7" x14ac:dyDescent="0.35">
      <c r="A94" s="5" t="s">
        <v>1428</v>
      </c>
      <c r="B94" s="5" t="s">
        <v>1430</v>
      </c>
      <c r="C94" s="5" t="str">
        <f>VLOOKUP($A94,Technologies!$A$7:$G$506,3,FALSE)</f>
        <v>Conversion</v>
      </c>
      <c r="D94" s="5" t="str">
        <f>VLOOKUP($A94,Technologies!$A$7:$G$798,7,FALSE)</f>
        <v>CHP Coal - HT Heat for Industry</v>
      </c>
      <c r="E94" s="5" t="str">
        <f>VLOOKUP($B94,Technologies!$A$7:$G$798,7,FALSE)</f>
        <v>CHP Coal wCCS - HT Heat for Industry</v>
      </c>
      <c r="F94" s="44">
        <v>1</v>
      </c>
      <c r="G94" s="141">
        <f>MAX(VLOOKUP(B94,Technologies!$A$7:$I$509,9,FALSE)-VLOOKUP(A94,Technologies!$A$7:$I$509,9,FALSE)+VLOOKUP(A94,Technologies!$A$7:$I$509,9,FALSE)*0.1,VLOOKUP(A94,Technologies!$A$7:$I$509,9,FALSE)*0.1)</f>
        <v>150</v>
      </c>
    </row>
    <row r="95" spans="1:7" x14ac:dyDescent="0.35">
      <c r="A95" s="6" t="s">
        <v>1434</v>
      </c>
      <c r="B95" s="6" t="s">
        <v>1436</v>
      </c>
      <c r="C95" s="6" t="str">
        <f>VLOOKUP($A95,Technologies!$A$7:$G$506,3,FALSE)</f>
        <v>Conversion</v>
      </c>
      <c r="D95" s="6" t="str">
        <f>VLOOKUP($A95,Technologies!$A$7:$G$798,7,FALSE)</f>
        <v>CHP Biomass - HT Heat for Industry</v>
      </c>
      <c r="E95" s="6" t="str">
        <f>VLOOKUP($B95,Technologies!$A$7:$G$798,7,FALSE)</f>
        <v>CHP Biomass wCCS - HT Heat for Industry</v>
      </c>
      <c r="F95" s="43">
        <v>1</v>
      </c>
      <c r="G95" s="141">
        <f>MAX(VLOOKUP(B95,Technologies!$A$7:$I$509,9,FALSE)-VLOOKUP(A95,Technologies!$A$7:$I$509,9,FALSE)+VLOOKUP(A95,Technologies!$A$7:$I$509,9,FALSE)*0.1,VLOOKUP(A95,Technologies!$A$7:$I$509,9,FALSE)*0.1)</f>
        <v>320</v>
      </c>
    </row>
    <row r="96" spans="1:7" x14ac:dyDescent="0.35">
      <c r="A96" s="5" t="s">
        <v>1633</v>
      </c>
      <c r="B96" s="5" t="s">
        <v>1636</v>
      </c>
      <c r="C96" s="5" t="str">
        <f>VLOOKUP($A96,Technologies!$A$7:$G$506,3,FALSE)</f>
        <v>Conversion</v>
      </c>
      <c r="D96" s="5" t="str">
        <f>VLOOKUP($A96,Technologies!$A$7:$G$798,7,FALSE)</f>
        <v>Haber Bosch with H2 from SMR - Ammonia Production</v>
      </c>
      <c r="E96" s="5" t="str">
        <f>VLOOKUP($B96,Technologies!$A$7:$G$798,7,FALSE)</f>
        <v>Haber Bosch with H2 from SMR wCCUS - Ammonia Production</v>
      </c>
      <c r="F96" s="44">
        <v>1</v>
      </c>
      <c r="G96" s="141">
        <f>MAX(VLOOKUP(B96,Technologies!$A$7:$I$509,9,FALSE)-VLOOKUP(A96,Technologies!$A$7:$I$509,9,FALSE)+VLOOKUP(A96,Technologies!$A$7:$I$509,9,FALSE)*0.1,VLOOKUP(A96,Technologies!$A$7:$I$509,9,FALSE)*0.1)</f>
        <v>8.3160486917945455</v>
      </c>
    </row>
    <row r="97" spans="1:7" x14ac:dyDescent="0.35">
      <c r="A97" s="6" t="s">
        <v>1638</v>
      </c>
      <c r="B97" s="6" t="s">
        <v>1640</v>
      </c>
      <c r="C97" s="6" t="str">
        <f>VLOOKUP($A97,Technologies!$A$7:$G$506,3,FALSE)</f>
        <v>Conversion</v>
      </c>
      <c r="D97" s="6" t="str">
        <f>VLOOKUP($A97,Technologies!$A$7:$G$798,7,FALSE)</f>
        <v>Haber Bosch with external H2 - Ammonia Production</v>
      </c>
      <c r="E97" s="6" t="str">
        <f>VLOOKUP($B97,Technologies!$A$7:$G$798,7,FALSE)</f>
        <v>Haber Bosch with renewable external H2 - Ammonia Production</v>
      </c>
      <c r="F97" s="43">
        <v>1</v>
      </c>
      <c r="G97" s="141">
        <f>MAX(VLOOKUP(B97,Technologies!$A$7:$I$509,9,FALSE)-VLOOKUP(A97,Technologies!$A$7:$I$509,9,FALSE)+VLOOKUP(A97,Technologies!$A$7:$I$509,9,FALSE)*0.1,VLOOKUP(A97,Technologies!$A$7:$I$509,9,FALSE)*0.1)</f>
        <v>2.1242000000000001</v>
      </c>
    </row>
    <row r="98" spans="1:7" x14ac:dyDescent="0.35">
      <c r="A98" s="5" t="s">
        <v>1474</v>
      </c>
      <c r="B98" s="5" t="s">
        <v>1477</v>
      </c>
      <c r="C98" s="5" t="str">
        <f>VLOOKUP($A98,Technologies!$A$7:$G$506,3,FALSE)</f>
        <v>Conversion</v>
      </c>
      <c r="D98" s="5" t="str">
        <f>VLOOKUP($A98,Technologies!$A$7:$G$798,7,FALSE)</f>
        <v>Deep cracking refinery - Refineries</v>
      </c>
      <c r="E98" s="5" t="str">
        <f>VLOOKUP($B98,Technologies!$A$7:$G$798,7,FALSE)</f>
        <v>Deep cracking refinery wCCS - Refineries</v>
      </c>
      <c r="F98" s="44">
        <v>1</v>
      </c>
      <c r="G98" s="141">
        <f>MAX(VLOOKUP(B98,Technologies!$A$7:$I$509,9,FALSE)-VLOOKUP(A98,Technologies!$A$7:$I$509,9,FALSE)+VLOOKUP(A98,Technologies!$A$7:$I$509,9,FALSE)*0.1,VLOOKUP(A98,Technologies!$A$7:$I$509,9,FALSE)*0.1)</f>
        <v>5.3000000000000007</v>
      </c>
    </row>
    <row r="99" spans="1:7" x14ac:dyDescent="0.35">
      <c r="A99" s="6" t="s">
        <v>1479</v>
      </c>
      <c r="B99" s="6" t="s">
        <v>1481</v>
      </c>
      <c r="C99" s="6" t="str">
        <f>VLOOKUP($A99,Technologies!$A$7:$G$506,3,FALSE)</f>
        <v>Conversion</v>
      </c>
      <c r="D99" s="6" t="str">
        <f>VLOOKUP($A99,Technologies!$A$7:$G$798,7,FALSE)</f>
        <v>Basic cracking refinery - Refineries</v>
      </c>
      <c r="E99" s="6" t="str">
        <f>VLOOKUP($B99,Technologies!$A$7:$G$798,7,FALSE)</f>
        <v>Basic cracking refinery wCCS - Refineries</v>
      </c>
      <c r="F99" s="43">
        <v>1</v>
      </c>
      <c r="G99" s="141">
        <f>MAX(VLOOKUP(B99,Technologies!$A$7:$I$509,9,FALSE)-VLOOKUP(A99,Technologies!$A$7:$I$509,9,FALSE)+VLOOKUP(A99,Technologies!$A$7:$I$509,9,FALSE)*0.1,VLOOKUP(A99,Technologies!$A$7:$I$509,9,FALSE)*0.1)</f>
        <v>5.3000000000000007</v>
      </c>
    </row>
    <row r="100" spans="1:7" x14ac:dyDescent="0.35">
      <c r="A100" s="5" t="s">
        <v>1483</v>
      </c>
      <c r="B100" s="5" t="s">
        <v>1485</v>
      </c>
      <c r="C100" s="5" t="str">
        <f>VLOOKUP($A100,Technologies!$A$7:$G$506,3,FALSE)</f>
        <v>Conversion</v>
      </c>
      <c r="D100" s="5" t="str">
        <f>VLOOKUP($A100,Technologies!$A$7:$G$798,7,FALSE)</f>
        <v>Koch refinery - Refineries</v>
      </c>
      <c r="E100" s="5" t="str">
        <f>VLOOKUP($B100,Technologies!$A$7:$G$798,7,FALSE)</f>
        <v>Koch refinery wCCS - Refineries</v>
      </c>
      <c r="F100" s="44">
        <v>1</v>
      </c>
      <c r="G100" s="141">
        <f>MAX(VLOOKUP(B100,Technologies!$A$7:$I$509,9,FALSE)-VLOOKUP(A100,Technologies!$A$7:$I$509,9,FALSE)+VLOOKUP(A100,Technologies!$A$7:$I$509,9,FALSE)*0.1,VLOOKUP(A100,Technologies!$A$7:$I$509,9,FALSE)*0.1)</f>
        <v>10.5</v>
      </c>
    </row>
    <row r="101" spans="1:7" x14ac:dyDescent="0.35">
      <c r="A101" s="6" t="s">
        <v>1510</v>
      </c>
      <c r="B101" s="6" t="s">
        <v>1515</v>
      </c>
      <c r="C101" s="6" t="str">
        <f>VLOOKUP($A101,Technologies!$A$7:$G$506,3,FALSE)</f>
        <v>Conversion</v>
      </c>
      <c r="D101" s="6" t="str">
        <f>VLOOKUP($A101,Technologies!$A$7:$G$798,7,FALSE)</f>
        <v>Biodiesel oriented hydro pyrolisis - Refineries</v>
      </c>
      <c r="E101" s="6" t="str">
        <f>VLOOKUP($B101,Technologies!$A$7:$G$798,7,FALSE)</f>
        <v>Biokerosene oriented hydro pyrolisis - Refineries</v>
      </c>
      <c r="F101" s="43">
        <v>1</v>
      </c>
      <c r="G101" s="141">
        <f>MAX(VLOOKUP(B101,Technologies!$A$7:$I$509,9,FALSE)-VLOOKUP(A101,Technologies!$A$7:$I$509,9,FALSE)+VLOOKUP(A101,Technologies!$A$7:$I$509,9,FALSE)*0.1,VLOOKUP(A101,Technologies!$A$7:$I$509,9,FALSE)*0.1)</f>
        <v>7</v>
      </c>
    </row>
    <row r="102" spans="1:7" x14ac:dyDescent="0.35">
      <c r="A102" s="5" t="s">
        <v>1524</v>
      </c>
      <c r="B102" s="5" t="s">
        <v>1531</v>
      </c>
      <c r="C102" s="5" t="str">
        <f>VLOOKUP($A102,Technologies!$A$7:$G$506,3,FALSE)</f>
        <v>Conversion</v>
      </c>
      <c r="D102" s="5" t="str">
        <f>VLOOKUP($A102,Technologies!$A$7:$G$798,7,FALSE)</f>
        <v>Syndiesel oriented Fischer Tropsch - Refineries</v>
      </c>
      <c r="E102" s="5" t="str">
        <f>VLOOKUP($B102,Technologies!$A$7:$G$798,7,FALSE)</f>
        <v>Synkerosene oriented Fischer Tropsch - Refineries</v>
      </c>
      <c r="F102" s="44">
        <v>1</v>
      </c>
      <c r="G102" s="141">
        <f>MAX(VLOOKUP(B102,Technologies!$A$7:$I$509,9,FALSE)-VLOOKUP(A102,Technologies!$A$7:$I$509,9,FALSE)+VLOOKUP(A102,Technologies!$A$7:$I$509,9,FALSE)*0.1,VLOOKUP(A102,Technologies!$A$7:$I$509,9,FALSE)*0.1)</f>
        <v>3.0660000000000003</v>
      </c>
    </row>
    <row r="103" spans="1:7" x14ac:dyDescent="0.35">
      <c r="A103" s="6" t="s">
        <v>1528</v>
      </c>
      <c r="B103" s="6" t="s">
        <v>1533</v>
      </c>
      <c r="C103" s="6" t="str">
        <f>VLOOKUP($A103,Technologies!$A$7:$G$506,3,FALSE)</f>
        <v>Conversion</v>
      </c>
      <c r="D103" s="6" t="str">
        <f>VLOOKUP($A103,Technologies!$A$7:$G$798,7,FALSE)</f>
        <v>Syndiesel oriented methanol to fuels - Refineries</v>
      </c>
      <c r="E103" s="6" t="str">
        <f>VLOOKUP($B103,Technologies!$A$7:$G$798,7,FALSE)</f>
        <v>Synkerosene oriented methanol to fuels - Refineries</v>
      </c>
      <c r="F103" s="43">
        <v>1</v>
      </c>
      <c r="G103" s="141">
        <f>MAX(VLOOKUP(B103,Technologies!$A$7:$I$509,9,FALSE)-VLOOKUP(A103,Technologies!$A$7:$I$509,9,FALSE)+VLOOKUP(A103,Technologies!$A$7:$I$509,9,FALSE)*0.1,VLOOKUP(A103,Technologies!$A$7:$I$509,9,FALSE)*0.1)</f>
        <v>3.3060000000000005</v>
      </c>
    </row>
    <row r="104" spans="1:7" x14ac:dyDescent="0.35">
      <c r="A104" s="5" t="s">
        <v>1515</v>
      </c>
      <c r="B104" s="5" t="s">
        <v>1510</v>
      </c>
      <c r="C104" s="5" t="str">
        <f>VLOOKUP($A104,Technologies!$A$7:$G$506,3,FALSE)</f>
        <v>Conversion</v>
      </c>
      <c r="D104" s="5" t="str">
        <f>VLOOKUP($A104,Technologies!$A$7:$G$798,7,FALSE)</f>
        <v>Biokerosene oriented hydro pyrolisis - Refineries</v>
      </c>
      <c r="E104" s="5" t="str">
        <f>VLOOKUP($B104,Technologies!$A$7:$G$798,7,FALSE)</f>
        <v>Biodiesel oriented hydro pyrolisis - Refineries</v>
      </c>
      <c r="F104" s="44">
        <v>1</v>
      </c>
      <c r="G104" s="141">
        <f>MAX(VLOOKUP(B104,Technologies!$A$7:$I$509,9,FALSE)-VLOOKUP(A104,Technologies!$A$7:$I$509,9,FALSE)+VLOOKUP(A104,Technologies!$A$7:$I$509,9,FALSE)*0.1,VLOOKUP(A104,Technologies!$A$7:$I$509,9,FALSE)*0.1)</f>
        <v>7</v>
      </c>
    </row>
    <row r="105" spans="1:7" x14ac:dyDescent="0.35">
      <c r="A105" s="6" t="s">
        <v>1531</v>
      </c>
      <c r="B105" s="6" t="s">
        <v>1524</v>
      </c>
      <c r="C105" s="6" t="str">
        <f>VLOOKUP($A105,Technologies!$A$7:$G$506,3,FALSE)</f>
        <v>Conversion</v>
      </c>
      <c r="D105" s="6" t="str">
        <f>VLOOKUP($A105,Technologies!$A$7:$G$798,7,FALSE)</f>
        <v>Synkerosene oriented Fischer Tropsch - Refineries</v>
      </c>
      <c r="E105" s="6" t="str">
        <f>VLOOKUP($B105,Technologies!$A$7:$G$798,7,FALSE)</f>
        <v>Syndiesel oriented Fischer Tropsch - Refineries</v>
      </c>
      <c r="F105" s="43">
        <v>1</v>
      </c>
      <c r="G105" s="141">
        <f>MAX(VLOOKUP(B105,Technologies!$A$7:$I$509,9,FALSE)-VLOOKUP(A105,Technologies!$A$7:$I$509,9,FALSE)+VLOOKUP(A105,Technologies!$A$7:$I$509,9,FALSE)*0.1,VLOOKUP(A105,Technologies!$A$7:$I$509,9,FALSE)*0.1)</f>
        <v>3.0660000000000003</v>
      </c>
    </row>
    <row r="106" spans="1:7" x14ac:dyDescent="0.35">
      <c r="A106" s="5" t="s">
        <v>1533</v>
      </c>
      <c r="B106" s="5" t="s">
        <v>1528</v>
      </c>
      <c r="C106" s="5" t="str">
        <f>VLOOKUP($A106,Technologies!$A$7:$G$506,3,FALSE)</f>
        <v>Conversion</v>
      </c>
      <c r="D106" s="5" t="str">
        <f>VLOOKUP($A106,Technologies!$A$7:$G$798,7,FALSE)</f>
        <v>Synkerosene oriented methanol to fuels - Refineries</v>
      </c>
      <c r="E106" s="5" t="str">
        <f>VLOOKUP($B106,Technologies!$A$7:$G$798,7,FALSE)</f>
        <v>Syndiesel oriented methanol to fuels - Refineries</v>
      </c>
      <c r="F106" s="44">
        <v>1</v>
      </c>
      <c r="G106" s="141">
        <f>MAX(VLOOKUP(B106,Technologies!$A$7:$I$509,9,FALSE)-VLOOKUP(A106,Technologies!$A$7:$I$509,9,FALSE)+VLOOKUP(A106,Technologies!$A$7:$I$509,9,FALSE)*0.1,VLOOKUP(A106,Technologies!$A$7:$I$509,9,FALSE)*0.1)</f>
        <v>3.3060000000000005</v>
      </c>
    </row>
    <row r="107" spans="1:7" x14ac:dyDescent="0.35">
      <c r="A107" s="6" t="s">
        <v>1595</v>
      </c>
      <c r="B107" s="6" t="s">
        <v>1598</v>
      </c>
      <c r="C107" s="6" t="str">
        <f>VLOOKUP($A107,Technologies!$A$7:$G$506,3,FALSE)</f>
        <v>Conversion</v>
      </c>
      <c r="D107" s="6" t="str">
        <f>VLOOKUP($A107,Technologies!$A$7:$G$798,7,FALSE)</f>
        <v>Gas Reforming - Hydrogen Production</v>
      </c>
      <c r="E107" s="6" t="str">
        <f>VLOOKUP($B107,Technologies!$A$7:$G$798,7,FALSE)</f>
        <v>Gas Reforming wCCS - Hydrogen Production</v>
      </c>
      <c r="F107" s="43">
        <v>1</v>
      </c>
      <c r="G107" s="141">
        <f>MAX(VLOOKUP(B107,Technologies!$A$7:$I$509,9,FALSE)-VLOOKUP(A107,Technologies!$A$7:$I$509,9,FALSE)+VLOOKUP(A107,Technologies!$A$7:$I$509,9,FALSE)*0.1,VLOOKUP(A107,Technologies!$A$7:$I$509,9,FALSE)*0.1)</f>
        <v>5.5862000000000007</v>
      </c>
    </row>
    <row r="108" spans="1:7" x14ac:dyDescent="0.35">
      <c r="A108" s="5" t="s">
        <v>1585</v>
      </c>
      <c r="B108" s="5" t="s">
        <v>1587</v>
      </c>
      <c r="C108" s="5" t="str">
        <f>VLOOKUP($A108,Technologies!$A$7:$G$506,3,FALSE)</f>
        <v>Conversion</v>
      </c>
      <c r="D108" s="5" t="str">
        <f>VLOOKUP($A108,Technologies!$A$7:$G$798,7,FALSE)</f>
        <v>Gas from Solid Biomass Gasification - Final Gas</v>
      </c>
      <c r="E108" s="5" t="str">
        <f>VLOOKUP($B108,Technologies!$A$7:$G$798,7,FALSE)</f>
        <v>Gas from Solid Biomass Gasification wCCS - Final Gas</v>
      </c>
      <c r="F108" s="44">
        <v>1</v>
      </c>
      <c r="G108" s="141">
        <f>MAX(VLOOKUP(B108,Technologies!$A$7:$I$509,9,FALSE)-VLOOKUP(A108,Technologies!$A$7:$I$509,9,FALSE)+VLOOKUP(A108,Technologies!$A$7:$I$509,9,FALSE)*0.1,VLOOKUP(A108,Technologies!$A$7:$I$509,9,FALSE)*0.1)</f>
        <v>30.864000000000011</v>
      </c>
    </row>
    <row r="109" spans="1:7" x14ac:dyDescent="0.35">
      <c r="A109" s="6" t="s">
        <v>1839</v>
      </c>
      <c r="B109" s="6" t="s">
        <v>1846</v>
      </c>
      <c r="C109" s="6" t="str">
        <f>VLOOKUP($A109,Infrastructure!$A$6:$F$13,4,FALSE)</f>
        <v>Final Gas</v>
      </c>
      <c r="D109" s="6" t="str">
        <f>VLOOKUP($A109,Infrastructure!$A$6:$F$13,6,FALSE)</f>
        <v>Natural gas HD grid pipeline - Infrastructure Natural Gas</v>
      </c>
      <c r="E109" s="6" t="str">
        <f>VLOOKUP($B109,Infrastructure!$A$6:$F$13,6,FALSE)</f>
        <v>Hydrogen HD grid pipeline - Infrastructure Hydrogen</v>
      </c>
      <c r="F109" s="43">
        <v>1</v>
      </c>
      <c r="G109" s="141">
        <f>MAX(VLOOKUP(B109,Infrastructure!$A$6:$H$13,8,FALSE)-VLOOKUP(A109,Infrastructure!$A$6:$H$13,8,FALSE)+VLOOKUP(A109,Infrastructure!$A$6:$H$13,8,FALSE)*0.1,VLOOKUP(A109,Infrastructure!$A$6:$H$13,8,FALSE)*0.1)</f>
        <v>36.180000000000007</v>
      </c>
    </row>
    <row r="110" spans="1:7" x14ac:dyDescent="0.35">
      <c r="A110" s="5" t="s">
        <v>1843</v>
      </c>
      <c r="B110" s="5" t="s">
        <v>1848</v>
      </c>
      <c r="C110" s="5" t="str">
        <f>VLOOKUP($A110,Infrastructure!$A$6:$F$13,4,FALSE)</f>
        <v>Final Gas</v>
      </c>
      <c r="D110" s="5" t="str">
        <f>VLOOKUP($A110,Infrastructure!$A$6:$F$13,6,FALSE)</f>
        <v>Natural gas LD grid pipeline - Infrastructure Natural Gas</v>
      </c>
      <c r="E110" s="5" t="str">
        <f>VLOOKUP($B110,Infrastructure!$A$6:$F$13,6,FALSE)</f>
        <v>Hydrogen LD grid pipeline - Infrastructure Hydrogen</v>
      </c>
      <c r="F110" s="44">
        <v>1</v>
      </c>
      <c r="G110" s="141">
        <f>MAX(VLOOKUP(B110,Infrastructure!$A$6:$H$13,8,FALSE)-VLOOKUP(A110,Infrastructure!$A$6:$H$13,8,FALSE)+VLOOKUP(A110,Infrastructure!$A$6:$H$13,8,FALSE)*0.1,VLOOKUP(A110,Infrastructure!$A$6:$H$13,8,FALSE)*0.1)</f>
        <v>296.66599999999994</v>
      </c>
    </row>
    <row r="111" spans="1:7" x14ac:dyDescent="0.35">
      <c r="A111" s="5" t="s">
        <v>979</v>
      </c>
      <c r="B111" s="5" t="s">
        <v>983</v>
      </c>
      <c r="C111" s="5" t="str">
        <f>VLOOKUP($A111,Technologies!$A$7:$G$506,3,FALSE)</f>
        <v>Conversion</v>
      </c>
      <c r="D111" s="5" t="str">
        <f>VLOOKUP($A111,Technologies!$A$7:$G$798,7,FALSE)</f>
        <v>CHP Waste - Waste Management</v>
      </c>
      <c r="E111" s="5" t="str">
        <f>VLOOKUP($B111,Technologies!$A$7:$G$798,7,FALSE)</f>
        <v>CHP Waste wCCS - Waste Management</v>
      </c>
      <c r="F111" s="44">
        <v>1</v>
      </c>
      <c r="G111" s="141">
        <f>MAX(VLOOKUP(B111,Technologies!$A$7:$I$509,9,FALSE)-VLOOKUP(A111,Technologies!$A$7:$I$509,9,FALSE)+VLOOKUP(A111,Technologies!$A$7:$I$509,9,FALSE)*0.1,VLOOKUP(A111,Technologies!$A$7:$I$509,9,FALSE)*0.1)</f>
        <v>2683</v>
      </c>
    </row>
    <row r="112" spans="1:7" x14ac:dyDescent="0.35">
      <c r="A112" s="5" t="s">
        <v>1258</v>
      </c>
      <c r="B112" s="5" t="s">
        <v>1269</v>
      </c>
      <c r="C112" s="5" t="str">
        <f>VLOOKUP($A112,Technologies!$A$7:$G$506,3,FALSE)</f>
        <v>Conversion</v>
      </c>
      <c r="D112" s="5" t="str">
        <f>VLOOKUP($A112,Technologies!$A$7:$G$798,7,FALSE)</f>
        <v>CCGT - Power NL</v>
      </c>
      <c r="E112" s="5" t="str">
        <f>VLOOKUP($B112,Technologies!$A$7:$G$798,7,FALSE)</f>
        <v>Hydrogen CCGT - Power NL</v>
      </c>
      <c r="F112" s="44">
        <v>1</v>
      </c>
      <c r="G112" s="141">
        <v>350</v>
      </c>
    </row>
  </sheetData>
  <mergeCells count="1">
    <mergeCell ref="A2:D2"/>
  </mergeCells>
  <phoneticPr fontId="26" type="noConversion"/>
  <pageMargins left="0.7" right="0.7" top="0.75" bottom="0.75" header="0.3" footer="0.3"/>
  <pageSetup orientation="portrait"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5">
    <tabColor rgb="FF0070C0"/>
  </sheetPr>
  <dimension ref="A1:M8764"/>
  <sheetViews>
    <sheetView zoomScaleNormal="100" workbookViewId="0">
      <selection activeCell="L33" sqref="L33"/>
    </sheetView>
  </sheetViews>
  <sheetFormatPr defaultColWidth="15" defaultRowHeight="14.5" x14ac:dyDescent="0.35"/>
  <cols>
    <col min="1" max="1" width="5" style="1" bestFit="1" customWidth="1"/>
    <col min="2" max="2" width="5" style="1" customWidth="1"/>
    <col min="3" max="3" width="6.08984375" style="1" bestFit="1" customWidth="1"/>
    <col min="4" max="10" width="14.90625" style="1" bestFit="1" customWidth="1"/>
    <col min="11" max="16384" width="15" style="1"/>
  </cols>
  <sheetData>
    <row r="1" spans="1:13" x14ac:dyDescent="0.35">
      <c r="A1" s="2"/>
      <c r="B1" s="2"/>
      <c r="C1" s="2"/>
      <c r="D1" s="2"/>
      <c r="E1" s="2"/>
      <c r="F1" s="2"/>
      <c r="G1" s="2"/>
      <c r="H1" s="2"/>
      <c r="I1" s="2"/>
      <c r="J1" s="2"/>
    </row>
    <row r="2" spans="1:13" x14ac:dyDescent="0.35">
      <c r="A2" s="7"/>
      <c r="B2" s="7"/>
      <c r="C2" s="7"/>
      <c r="D2" s="24" t="s">
        <v>448</v>
      </c>
      <c r="E2" s="24" t="s">
        <v>448</v>
      </c>
      <c r="F2" s="24" t="s">
        <v>448</v>
      </c>
      <c r="G2" s="24" t="s">
        <v>448</v>
      </c>
      <c r="H2" s="24" t="s">
        <v>448</v>
      </c>
      <c r="I2" s="24" t="s">
        <v>448</v>
      </c>
      <c r="J2" s="24" t="s">
        <v>448</v>
      </c>
    </row>
    <row r="3" spans="1:13" ht="29" x14ac:dyDescent="0.35">
      <c r="A3" s="8" t="s">
        <v>1878</v>
      </c>
      <c r="B3" s="8" t="s">
        <v>1879</v>
      </c>
      <c r="C3" s="8" t="s">
        <v>1880</v>
      </c>
      <c r="D3" s="15">
        <f>Parameters!$B$13</f>
        <v>2022</v>
      </c>
      <c r="E3" s="15">
        <v>2025</v>
      </c>
      <c r="F3" s="15">
        <v>2030</v>
      </c>
      <c r="G3" s="15">
        <v>2035</v>
      </c>
      <c r="H3" s="15">
        <v>2040</v>
      </c>
      <c r="I3" s="15">
        <v>2045</v>
      </c>
      <c r="J3" s="15">
        <v>2050</v>
      </c>
    </row>
    <row r="4" spans="1:13" ht="15" customHeight="1" x14ac:dyDescent="0.35">
      <c r="A4" s="430" t="s">
        <v>1885</v>
      </c>
      <c r="B4" s="430"/>
      <c r="C4" s="430"/>
      <c r="D4" s="91" t="s">
        <v>1901</v>
      </c>
      <c r="E4" s="91" t="s">
        <v>1901</v>
      </c>
      <c r="F4" s="91" t="s">
        <v>1901</v>
      </c>
      <c r="G4" s="91" t="s">
        <v>1901</v>
      </c>
      <c r="H4" s="91" t="s">
        <v>1901</v>
      </c>
      <c r="I4" s="91" t="s">
        <v>1901</v>
      </c>
      <c r="J4" s="91" t="s">
        <v>1901</v>
      </c>
      <c r="L4" s="383"/>
      <c r="M4" s="383"/>
    </row>
    <row r="5" spans="1:13" x14ac:dyDescent="0.35">
      <c r="A5" s="5">
        <v>1</v>
      </c>
      <c r="B5" s="5">
        <v>1</v>
      </c>
      <c r="C5" s="5">
        <v>1</v>
      </c>
      <c r="D5" s="379">
        <v>13.902777777777777</v>
      </c>
      <c r="E5" s="25">
        <v>24.84</v>
      </c>
      <c r="F5" s="379">
        <v>4.181428960564995</v>
      </c>
      <c r="G5" s="25">
        <v>38.03</v>
      </c>
      <c r="H5" s="379">
        <v>7.8801604644311282E-2</v>
      </c>
      <c r="I5" s="25">
        <v>36.869999999999997</v>
      </c>
      <c r="J5" s="379">
        <v>3.7576831418720151</v>
      </c>
      <c r="K5" s="73"/>
      <c r="L5" s="73"/>
      <c r="M5" s="383"/>
    </row>
    <row r="6" spans="1:13" x14ac:dyDescent="0.35">
      <c r="A6" s="5">
        <v>2</v>
      </c>
      <c r="B6" s="5">
        <v>1</v>
      </c>
      <c r="C6" s="5">
        <v>1</v>
      </c>
      <c r="D6" s="379">
        <v>22.115553595684467</v>
      </c>
      <c r="E6" s="25">
        <v>24.84</v>
      </c>
      <c r="F6" s="379">
        <v>4.1382701500945398</v>
      </c>
      <c r="G6" s="25">
        <v>38.03</v>
      </c>
      <c r="H6" s="379">
        <v>7.3392491030289983E-2</v>
      </c>
      <c r="I6" s="25">
        <v>35.799999999999997</v>
      </c>
      <c r="J6" s="379">
        <v>4.412717845666652</v>
      </c>
      <c r="K6" s="73"/>
      <c r="L6" s="73"/>
      <c r="M6" s="383"/>
    </row>
    <row r="7" spans="1:13" x14ac:dyDescent="0.35">
      <c r="A7" s="5">
        <v>3</v>
      </c>
      <c r="B7" s="5">
        <v>1</v>
      </c>
      <c r="C7" s="5">
        <v>1</v>
      </c>
      <c r="D7" s="379">
        <v>16.860357105339588</v>
      </c>
      <c r="E7" s="25">
        <v>24.84</v>
      </c>
      <c r="F7" s="379">
        <v>4.2963139462824422</v>
      </c>
      <c r="G7" s="25">
        <v>33.130000000000003</v>
      </c>
      <c r="H7" s="379">
        <v>7.2932841386789557E-2</v>
      </c>
      <c r="I7" s="25">
        <v>34.68</v>
      </c>
      <c r="J7" s="379">
        <v>4.0313139712725548</v>
      </c>
      <c r="K7" s="73"/>
      <c r="L7" s="73"/>
      <c r="M7" s="383"/>
    </row>
    <row r="8" spans="1:13" x14ac:dyDescent="0.35">
      <c r="A8" s="5">
        <v>4</v>
      </c>
      <c r="B8" s="5">
        <v>1</v>
      </c>
      <c r="C8" s="5">
        <v>1</v>
      </c>
      <c r="D8" s="379">
        <v>7.1881461803884887</v>
      </c>
      <c r="E8" s="25">
        <v>24.84</v>
      </c>
      <c r="F8" s="379">
        <v>4.2232012456393839</v>
      </c>
      <c r="G8" s="25">
        <v>32.79</v>
      </c>
      <c r="H8" s="379">
        <v>8.3426723488283366E-2</v>
      </c>
      <c r="I8" s="25">
        <v>34.68</v>
      </c>
      <c r="J8" s="379">
        <v>4.1989272150389336</v>
      </c>
      <c r="K8" s="73"/>
      <c r="L8" s="73"/>
    </row>
    <row r="9" spans="1:13" x14ac:dyDescent="0.35">
      <c r="A9" s="5">
        <v>5</v>
      </c>
      <c r="B9" s="5">
        <v>1</v>
      </c>
      <c r="C9" s="5">
        <v>1</v>
      </c>
      <c r="D9" s="379">
        <v>10.558730001050776</v>
      </c>
      <c r="E9" s="25">
        <v>24.84</v>
      </c>
      <c r="F9" s="379">
        <v>2.9066365584203013</v>
      </c>
      <c r="G9" s="25">
        <v>32.79</v>
      </c>
      <c r="H9" s="379">
        <v>5.668365670602539E-2</v>
      </c>
      <c r="I9" s="25">
        <v>34.68</v>
      </c>
      <c r="J9" s="379">
        <v>2.1224464091033335</v>
      </c>
    </row>
    <row r="10" spans="1:13" x14ac:dyDescent="0.35">
      <c r="A10" s="5">
        <v>6</v>
      </c>
      <c r="B10" s="5">
        <v>1</v>
      </c>
      <c r="C10" s="5">
        <v>1</v>
      </c>
      <c r="D10" s="379">
        <v>11.131607202042272</v>
      </c>
      <c r="E10" s="25">
        <v>24.84</v>
      </c>
      <c r="F10" s="379">
        <v>4.3547585002606342</v>
      </c>
      <c r="G10" s="25">
        <v>32.79</v>
      </c>
      <c r="H10" s="379">
        <v>4.7772393335176834E-2</v>
      </c>
      <c r="I10" s="25">
        <v>34.68</v>
      </c>
      <c r="J10" s="379">
        <v>3.8683198393568494</v>
      </c>
    </row>
    <row r="11" spans="1:13" x14ac:dyDescent="0.35">
      <c r="A11" s="5">
        <v>7</v>
      </c>
      <c r="B11" s="5">
        <v>1</v>
      </c>
      <c r="C11" s="5">
        <v>1</v>
      </c>
      <c r="D11" s="379">
        <v>17.94223101841111</v>
      </c>
      <c r="E11" s="25">
        <v>24.84</v>
      </c>
      <c r="F11" s="379">
        <v>4.9853355009094162</v>
      </c>
      <c r="G11" s="25">
        <v>32.79</v>
      </c>
      <c r="H11" s="379">
        <v>7.2128645037788083E-2</v>
      </c>
      <c r="I11" s="25">
        <v>35.03</v>
      </c>
      <c r="J11" s="379">
        <v>3.8683198393568494</v>
      </c>
    </row>
    <row r="12" spans="1:13" x14ac:dyDescent="0.35">
      <c r="A12" s="5">
        <v>8</v>
      </c>
      <c r="B12" s="5">
        <v>1</v>
      </c>
      <c r="C12" s="5">
        <v>1</v>
      </c>
      <c r="D12" s="379">
        <v>16.752117146119598</v>
      </c>
      <c r="E12" s="25">
        <v>24.44</v>
      </c>
      <c r="F12" s="379">
        <v>4.8856491123039634</v>
      </c>
      <c r="G12" s="25">
        <v>32.79</v>
      </c>
      <c r="H12" s="379">
        <v>8.0461843967961008E-2</v>
      </c>
      <c r="I12" s="25">
        <v>35.03</v>
      </c>
      <c r="J12" s="379">
        <v>3.8683198393568494</v>
      </c>
    </row>
    <row r="13" spans="1:13" x14ac:dyDescent="0.35">
      <c r="A13" s="5">
        <v>9</v>
      </c>
      <c r="B13" s="5">
        <v>1</v>
      </c>
      <c r="C13" s="5">
        <v>1</v>
      </c>
      <c r="D13" s="379">
        <v>16.807597274059088</v>
      </c>
      <c r="E13" s="25">
        <v>24.12</v>
      </c>
      <c r="F13" s="379">
        <v>4.5519709590413653</v>
      </c>
      <c r="G13" s="25">
        <v>32.79</v>
      </c>
      <c r="H13" s="379">
        <v>0.13118852170177073</v>
      </c>
      <c r="I13" s="25">
        <v>35.44</v>
      </c>
      <c r="J13" s="379">
        <v>3.8683198393568494</v>
      </c>
    </row>
    <row r="14" spans="1:13" x14ac:dyDescent="0.35">
      <c r="A14" s="5">
        <v>10</v>
      </c>
      <c r="B14" s="5">
        <v>1</v>
      </c>
      <c r="C14" s="5">
        <v>1</v>
      </c>
      <c r="D14" s="379">
        <v>17.861540723733018</v>
      </c>
      <c r="E14" s="25">
        <v>24.44</v>
      </c>
      <c r="F14" s="379">
        <v>0.8039269568538624</v>
      </c>
      <c r="G14" s="25">
        <v>32.79</v>
      </c>
      <c r="H14" s="379">
        <v>0.14480167642852412</v>
      </c>
      <c r="I14" s="25">
        <v>35.799999999999997</v>
      </c>
      <c r="J14" s="379">
        <v>3.8683198393568485</v>
      </c>
    </row>
    <row r="15" spans="1:13" x14ac:dyDescent="0.35">
      <c r="A15" s="5">
        <v>11</v>
      </c>
      <c r="B15" s="5">
        <v>1</v>
      </c>
      <c r="C15" s="5">
        <v>1</v>
      </c>
      <c r="D15" s="379">
        <v>14.778140692968465</v>
      </c>
      <c r="E15" s="25">
        <v>24.44</v>
      </c>
      <c r="F15" s="379">
        <v>0.3966614749613403</v>
      </c>
      <c r="G15" s="25">
        <v>35.85</v>
      </c>
      <c r="H15" s="379">
        <v>1.875552840195911</v>
      </c>
      <c r="I15" s="25">
        <v>35.799999999999997</v>
      </c>
      <c r="J15" s="379">
        <v>2.777777777777778E-2</v>
      </c>
    </row>
    <row r="16" spans="1:13" x14ac:dyDescent="0.35">
      <c r="A16" s="5">
        <v>12</v>
      </c>
      <c r="B16" s="5">
        <v>1</v>
      </c>
      <c r="C16" s="5">
        <v>1</v>
      </c>
      <c r="D16" s="379">
        <v>19.689694602531457</v>
      </c>
      <c r="E16" s="25">
        <v>24.44</v>
      </c>
      <c r="F16" s="379">
        <v>3.1512364416311915</v>
      </c>
      <c r="G16" s="25">
        <v>38.03</v>
      </c>
      <c r="H16" s="379">
        <v>1.875552840195911</v>
      </c>
      <c r="I16" s="25">
        <v>35.799999999999997</v>
      </c>
      <c r="J16" s="379">
        <v>2.777777777777778E-2</v>
      </c>
    </row>
    <row r="17" spans="1:10" x14ac:dyDescent="0.35">
      <c r="A17" s="5">
        <v>13</v>
      </c>
      <c r="B17" s="5">
        <v>1</v>
      </c>
      <c r="C17" s="5">
        <v>1</v>
      </c>
      <c r="D17" s="379">
        <v>19.948699299249022</v>
      </c>
      <c r="E17" s="25">
        <v>24.84</v>
      </c>
      <c r="F17" s="379">
        <v>3.2727733956087586</v>
      </c>
      <c r="G17" s="25">
        <v>38.03</v>
      </c>
      <c r="H17" s="379">
        <v>1.875552840195911</v>
      </c>
      <c r="I17" s="25">
        <v>35.799999999999997</v>
      </c>
      <c r="J17" s="379">
        <v>2.777777777777778E-2</v>
      </c>
    </row>
    <row r="18" spans="1:10" x14ac:dyDescent="0.35">
      <c r="A18" s="5">
        <v>14</v>
      </c>
      <c r="B18" s="5">
        <v>1</v>
      </c>
      <c r="C18" s="5">
        <v>1</v>
      </c>
      <c r="D18" s="379">
        <v>18.284106146237509</v>
      </c>
      <c r="E18" s="25">
        <v>24.84</v>
      </c>
      <c r="F18" s="379">
        <v>3.2727733956087586</v>
      </c>
      <c r="G18" s="25">
        <v>38.049999999999997</v>
      </c>
      <c r="H18" s="379">
        <v>1.875552840195911</v>
      </c>
      <c r="I18" s="25">
        <v>35.799999999999997</v>
      </c>
      <c r="J18" s="379">
        <v>2.777777777777778E-2</v>
      </c>
    </row>
    <row r="19" spans="1:10" x14ac:dyDescent="0.35">
      <c r="A19" s="5">
        <v>15</v>
      </c>
      <c r="B19" s="5">
        <v>1</v>
      </c>
      <c r="C19" s="5">
        <v>1</v>
      </c>
      <c r="D19" s="379">
        <v>15.978490851800197</v>
      </c>
      <c r="E19" s="25">
        <v>24.84</v>
      </c>
      <c r="F19" s="379">
        <v>3.2727733956087586</v>
      </c>
      <c r="G19" s="25">
        <v>36.950000000000003</v>
      </c>
      <c r="H19" s="379">
        <v>1.875552840195911</v>
      </c>
      <c r="I19" s="25">
        <v>35.799999999999997</v>
      </c>
      <c r="J19" s="379">
        <v>2.777777777777778E-2</v>
      </c>
    </row>
    <row r="20" spans="1:10" x14ac:dyDescent="0.35">
      <c r="A20" s="5">
        <v>16</v>
      </c>
      <c r="B20" s="5">
        <v>1</v>
      </c>
      <c r="C20" s="5">
        <v>1</v>
      </c>
      <c r="D20" s="379">
        <v>20.88866616743093</v>
      </c>
      <c r="E20" s="25">
        <v>24.84</v>
      </c>
      <c r="F20" s="379">
        <v>3.5807862227440945</v>
      </c>
      <c r="G20" s="25">
        <v>38.58</v>
      </c>
      <c r="H20" s="379">
        <v>1.875552840195911</v>
      </c>
      <c r="I20" s="25">
        <v>40.799999999999997</v>
      </c>
      <c r="J20" s="379">
        <v>2.777777777777778E-2</v>
      </c>
    </row>
    <row r="21" spans="1:10" x14ac:dyDescent="0.35">
      <c r="A21" s="5">
        <v>17</v>
      </c>
      <c r="B21" s="5">
        <v>1</v>
      </c>
      <c r="C21" s="5">
        <v>1</v>
      </c>
      <c r="D21" s="379">
        <v>21.401498180563109</v>
      </c>
      <c r="E21" s="25">
        <v>24.73</v>
      </c>
      <c r="F21" s="379">
        <v>4.1400967565978446</v>
      </c>
      <c r="G21" s="25">
        <v>38.03</v>
      </c>
      <c r="H21" s="379">
        <v>0.12973835857765001</v>
      </c>
      <c r="I21" s="25">
        <v>40.799999999999997</v>
      </c>
      <c r="J21" s="379">
        <v>4.0026638199681254E-2</v>
      </c>
    </row>
    <row r="22" spans="1:10" x14ac:dyDescent="0.35">
      <c r="A22" s="5">
        <v>18</v>
      </c>
      <c r="B22" s="5">
        <v>1</v>
      </c>
      <c r="C22" s="5">
        <v>1</v>
      </c>
      <c r="D22" s="379">
        <v>20.198411506818999</v>
      </c>
      <c r="E22" s="25">
        <v>24.84</v>
      </c>
      <c r="F22" s="379">
        <v>2.8299100504700578</v>
      </c>
      <c r="G22" s="25">
        <v>39.770000000000003</v>
      </c>
      <c r="H22" s="379">
        <v>7.9431273068514829E-2</v>
      </c>
      <c r="I22" s="25">
        <v>40.799999999999997</v>
      </c>
      <c r="J22" s="379">
        <v>6.8094573056910024E-2</v>
      </c>
    </row>
    <row r="23" spans="1:10" x14ac:dyDescent="0.35">
      <c r="A23" s="5">
        <v>19</v>
      </c>
      <c r="B23" s="5">
        <v>1</v>
      </c>
      <c r="C23" s="5">
        <v>1</v>
      </c>
      <c r="D23" s="379">
        <v>29.486103875755251</v>
      </c>
      <c r="E23" s="25">
        <v>24.84</v>
      </c>
      <c r="F23" s="379">
        <v>3.6161063100972761</v>
      </c>
      <c r="G23" s="25">
        <v>39.770000000000003</v>
      </c>
      <c r="H23" s="379">
        <v>0.14480167642852412</v>
      </c>
      <c r="I23" s="25">
        <v>37.159999999999997</v>
      </c>
      <c r="J23" s="379">
        <v>1.3299904839438683</v>
      </c>
    </row>
    <row r="24" spans="1:10" x14ac:dyDescent="0.35">
      <c r="A24" s="5">
        <v>20</v>
      </c>
      <c r="B24" s="5">
        <v>1</v>
      </c>
      <c r="C24" s="5">
        <v>1</v>
      </c>
      <c r="D24" s="379">
        <v>39.458351592959495</v>
      </c>
      <c r="E24" s="25">
        <v>24.84</v>
      </c>
      <c r="F24" s="379">
        <v>4.6406506687589584</v>
      </c>
      <c r="G24" s="25">
        <v>38.58</v>
      </c>
      <c r="H24" s="379">
        <v>0.1212709679553613</v>
      </c>
      <c r="I24" s="25">
        <v>36.869999999999997</v>
      </c>
      <c r="J24" s="379">
        <v>7.1846891759501097E-2</v>
      </c>
    </row>
    <row r="25" spans="1:10" x14ac:dyDescent="0.35">
      <c r="A25" s="5">
        <v>21</v>
      </c>
      <c r="B25" s="5">
        <v>1</v>
      </c>
      <c r="C25" s="5">
        <v>1</v>
      </c>
      <c r="D25" s="379">
        <v>20.294016399739643</v>
      </c>
      <c r="E25" s="25">
        <v>24.84</v>
      </c>
      <c r="F25" s="379">
        <v>4.5150582507708865</v>
      </c>
      <c r="G25" s="25">
        <v>37.96</v>
      </c>
      <c r="H25" s="379">
        <v>0.12161705478446436</v>
      </c>
      <c r="I25" s="25">
        <v>35.03</v>
      </c>
      <c r="J25" s="379">
        <v>4.1260636924473779E-2</v>
      </c>
    </row>
    <row r="26" spans="1:10" x14ac:dyDescent="0.35">
      <c r="A26" s="5">
        <v>22</v>
      </c>
      <c r="B26" s="5">
        <v>1</v>
      </c>
      <c r="C26" s="5">
        <v>1</v>
      </c>
      <c r="D26" s="379">
        <v>30.89367549609123</v>
      </c>
      <c r="E26" s="25">
        <v>24.73</v>
      </c>
      <c r="F26" s="379">
        <v>0.26764194086367005</v>
      </c>
      <c r="G26" s="25">
        <v>33.130000000000003</v>
      </c>
      <c r="H26" s="379">
        <v>1.8548672778539774</v>
      </c>
      <c r="I26" s="25">
        <v>34.68</v>
      </c>
      <c r="J26" s="379">
        <v>1.3299904839438683</v>
      </c>
    </row>
    <row r="27" spans="1:10" x14ac:dyDescent="0.35">
      <c r="A27" s="5">
        <v>23</v>
      </c>
      <c r="B27" s="5">
        <v>1</v>
      </c>
      <c r="C27" s="5">
        <v>1</v>
      </c>
      <c r="D27" s="379">
        <v>25.968305391089679</v>
      </c>
      <c r="E27" s="25">
        <v>24.73</v>
      </c>
      <c r="F27" s="379">
        <v>2.8124218189327816</v>
      </c>
      <c r="G27" s="25">
        <v>33.74</v>
      </c>
      <c r="H27" s="379">
        <v>1.8548672778539774</v>
      </c>
      <c r="I27" s="25">
        <v>34.68</v>
      </c>
      <c r="J27" s="379">
        <v>6.6126029534933767E-2</v>
      </c>
    </row>
    <row r="28" spans="1:10" x14ac:dyDescent="0.35">
      <c r="A28" s="5">
        <v>24</v>
      </c>
      <c r="B28" s="5">
        <v>1</v>
      </c>
      <c r="C28" s="5">
        <v>1</v>
      </c>
      <c r="D28" s="379">
        <v>27.661053635306249</v>
      </c>
      <c r="E28" s="25">
        <v>24.73</v>
      </c>
      <c r="F28" s="379">
        <v>2.3447730637773838</v>
      </c>
      <c r="G28" s="25">
        <v>31.84</v>
      </c>
      <c r="H28" s="379">
        <v>1.8548672778539774</v>
      </c>
      <c r="I28" s="25">
        <v>34.68</v>
      </c>
      <c r="J28" s="379">
        <v>7.9622299356524845E-2</v>
      </c>
    </row>
    <row r="29" spans="1:10" x14ac:dyDescent="0.35">
      <c r="A29" s="5">
        <v>25</v>
      </c>
      <c r="B29" s="5">
        <v>2</v>
      </c>
      <c r="C29" s="5">
        <v>1</v>
      </c>
      <c r="D29" s="379">
        <v>23.725510116140523</v>
      </c>
      <c r="E29" s="25">
        <v>16.62</v>
      </c>
      <c r="F29" s="379">
        <v>2.3447730637773838</v>
      </c>
      <c r="G29" s="25">
        <v>30.03</v>
      </c>
      <c r="H29" s="379">
        <v>1.8548672778539774</v>
      </c>
      <c r="I29" s="25">
        <v>33.67</v>
      </c>
      <c r="J29" s="379">
        <v>1.3299904839438683</v>
      </c>
    </row>
    <row r="30" spans="1:10" x14ac:dyDescent="0.35">
      <c r="A30" s="5">
        <v>26</v>
      </c>
      <c r="B30" s="5">
        <v>2</v>
      </c>
      <c r="C30" s="5">
        <v>1</v>
      </c>
      <c r="D30" s="379">
        <v>22.844926877262854</v>
      </c>
      <c r="E30" s="25">
        <v>16.62</v>
      </c>
      <c r="F30" s="379">
        <v>2.3447730637773838</v>
      </c>
      <c r="G30" s="25">
        <v>30.03</v>
      </c>
      <c r="H30" s="379">
        <v>1.8548672778539774</v>
      </c>
      <c r="I30" s="25">
        <v>33.67</v>
      </c>
      <c r="J30" s="379">
        <v>5.6666222715826067E-2</v>
      </c>
    </row>
    <row r="31" spans="1:10" x14ac:dyDescent="0.35">
      <c r="A31" s="5">
        <v>27</v>
      </c>
      <c r="B31" s="5">
        <v>2</v>
      </c>
      <c r="C31" s="5">
        <v>1</v>
      </c>
      <c r="D31" s="379">
        <v>21.661653479197437</v>
      </c>
      <c r="E31" s="25">
        <v>14.43</v>
      </c>
      <c r="F31" s="379">
        <v>2.3447730637773838</v>
      </c>
      <c r="G31" s="25">
        <v>30.03</v>
      </c>
      <c r="H31" s="379">
        <v>1.8548672778539774</v>
      </c>
      <c r="I31" s="25">
        <v>33.67</v>
      </c>
      <c r="J31" s="379">
        <v>1.2800938255505474</v>
      </c>
    </row>
    <row r="32" spans="1:10" x14ac:dyDescent="0.35">
      <c r="A32" s="5">
        <v>28</v>
      </c>
      <c r="B32" s="5">
        <v>2</v>
      </c>
      <c r="C32" s="5">
        <v>1</v>
      </c>
      <c r="D32" s="379">
        <v>11.201063572860562</v>
      </c>
      <c r="E32" s="25">
        <v>12.2</v>
      </c>
      <c r="F32" s="379">
        <v>2.3447730637773838</v>
      </c>
      <c r="G32" s="25">
        <v>30.03</v>
      </c>
      <c r="H32" s="379">
        <v>1.8548672778539774</v>
      </c>
      <c r="I32" s="25">
        <v>33.67</v>
      </c>
      <c r="J32" s="379">
        <v>1.2800938255505474</v>
      </c>
    </row>
    <row r="33" spans="1:10" x14ac:dyDescent="0.35">
      <c r="A33" s="5">
        <v>29</v>
      </c>
      <c r="B33" s="5">
        <v>2</v>
      </c>
      <c r="C33" s="5">
        <v>1</v>
      </c>
      <c r="D33" s="379">
        <v>13.281984076981709</v>
      </c>
      <c r="E33" s="25">
        <v>11.84</v>
      </c>
      <c r="F33" s="379">
        <v>2.3447730637773838</v>
      </c>
      <c r="G33" s="25">
        <v>30.03</v>
      </c>
      <c r="H33" s="379">
        <v>1.8548672778539774</v>
      </c>
      <c r="I33" s="25">
        <v>33.67</v>
      </c>
      <c r="J33" s="379">
        <v>1.2800938255505474</v>
      </c>
    </row>
    <row r="34" spans="1:10" x14ac:dyDescent="0.35">
      <c r="A34" s="5">
        <v>30</v>
      </c>
      <c r="B34" s="5">
        <v>2</v>
      </c>
      <c r="C34" s="5">
        <v>1</v>
      </c>
      <c r="D34" s="379">
        <v>15.470627552074188</v>
      </c>
      <c r="E34" s="25">
        <v>13.71</v>
      </c>
      <c r="F34" s="379">
        <v>3.1367530035895892</v>
      </c>
      <c r="G34" s="25">
        <v>30.03</v>
      </c>
      <c r="H34" s="379">
        <v>1.8548672778539774</v>
      </c>
      <c r="I34" s="25">
        <v>33.67</v>
      </c>
      <c r="J34" s="379">
        <v>1.2800938255505474</v>
      </c>
    </row>
    <row r="35" spans="1:10" x14ac:dyDescent="0.35">
      <c r="A35" s="5">
        <v>31</v>
      </c>
      <c r="B35" s="5">
        <v>2</v>
      </c>
      <c r="C35" s="5">
        <v>1</v>
      </c>
      <c r="D35" s="379">
        <v>15.725811299894184</v>
      </c>
      <c r="E35" s="25">
        <v>16.62</v>
      </c>
      <c r="F35" s="379">
        <v>3.5756434952257288</v>
      </c>
      <c r="G35" s="25">
        <v>30.03</v>
      </c>
      <c r="H35" s="379">
        <v>1.875552840195911</v>
      </c>
      <c r="I35" s="25">
        <v>33.67</v>
      </c>
      <c r="J35" s="379">
        <v>1.2906509650451634</v>
      </c>
    </row>
    <row r="36" spans="1:10" x14ac:dyDescent="0.35">
      <c r="A36" s="5">
        <v>32</v>
      </c>
      <c r="B36" s="5">
        <v>2</v>
      </c>
      <c r="C36" s="5">
        <v>1</v>
      </c>
      <c r="D36" s="379">
        <v>16.045451401402421</v>
      </c>
      <c r="E36" s="25">
        <v>22.07</v>
      </c>
      <c r="F36" s="379">
        <v>8.5343117326021525E-2</v>
      </c>
      <c r="G36" s="25">
        <v>30.03</v>
      </c>
      <c r="H36" s="379">
        <v>1.875552840195911</v>
      </c>
      <c r="I36" s="25">
        <v>33.67</v>
      </c>
      <c r="J36" s="379">
        <v>1.2906509650451634</v>
      </c>
    </row>
    <row r="37" spans="1:10" x14ac:dyDescent="0.35">
      <c r="A37" s="5">
        <v>33</v>
      </c>
      <c r="B37" s="5">
        <v>2</v>
      </c>
      <c r="C37" s="5">
        <v>1</v>
      </c>
      <c r="D37" s="379">
        <v>16.90558100718038</v>
      </c>
      <c r="E37" s="25">
        <v>23.73</v>
      </c>
      <c r="F37" s="379">
        <v>8.1608373030529743E-2</v>
      </c>
      <c r="G37" s="25">
        <v>30.03</v>
      </c>
      <c r="H37" s="379">
        <v>1.875552840195911</v>
      </c>
      <c r="I37" s="25">
        <v>33.67</v>
      </c>
      <c r="J37" s="379">
        <v>3.3735023882312684E-2</v>
      </c>
    </row>
    <row r="38" spans="1:10" x14ac:dyDescent="0.35">
      <c r="A38" s="5">
        <v>34</v>
      </c>
      <c r="B38" s="5">
        <v>2</v>
      </c>
      <c r="C38" s="5">
        <v>1</v>
      </c>
      <c r="D38" s="379">
        <v>19.205144635832493</v>
      </c>
      <c r="E38" s="25">
        <v>24.73</v>
      </c>
      <c r="F38" s="379">
        <v>3.714477901822574</v>
      </c>
      <c r="G38" s="25">
        <v>30.57</v>
      </c>
      <c r="H38" s="379">
        <v>1.875552840195911</v>
      </c>
      <c r="I38" s="25">
        <v>33.67</v>
      </c>
      <c r="J38" s="379">
        <v>1.2906509650451634</v>
      </c>
    </row>
    <row r="39" spans="1:10" x14ac:dyDescent="0.35">
      <c r="A39" s="5">
        <v>35</v>
      </c>
      <c r="B39" s="5">
        <v>2</v>
      </c>
      <c r="C39" s="5">
        <v>1</v>
      </c>
      <c r="D39" s="379">
        <v>26.694430988903136</v>
      </c>
      <c r="E39" s="25">
        <v>24.84</v>
      </c>
      <c r="F39" s="379">
        <v>3.714477901822574</v>
      </c>
      <c r="G39" s="25">
        <v>31.84</v>
      </c>
      <c r="H39" s="379">
        <v>1.875552840195911</v>
      </c>
      <c r="I39" s="25">
        <v>33.67</v>
      </c>
      <c r="J39" s="379">
        <v>0.96734978114507475</v>
      </c>
    </row>
    <row r="40" spans="1:10" x14ac:dyDescent="0.35">
      <c r="A40" s="5">
        <v>36</v>
      </c>
      <c r="B40" s="5">
        <v>2</v>
      </c>
      <c r="C40" s="5">
        <v>1</v>
      </c>
      <c r="D40" s="379">
        <v>26.075792001214811</v>
      </c>
      <c r="E40" s="25">
        <v>24.84</v>
      </c>
      <c r="F40" s="379">
        <v>3.714477901822574</v>
      </c>
      <c r="G40" s="25">
        <v>31.84</v>
      </c>
      <c r="H40" s="379">
        <v>1.875552840195911</v>
      </c>
      <c r="I40" s="25">
        <v>33.67</v>
      </c>
      <c r="J40" s="379">
        <v>0.95679264165045885</v>
      </c>
    </row>
    <row r="41" spans="1:10" x14ac:dyDescent="0.35">
      <c r="A41" s="5">
        <v>37</v>
      </c>
      <c r="B41" s="5">
        <v>2</v>
      </c>
      <c r="C41" s="5">
        <v>1</v>
      </c>
      <c r="D41" s="379">
        <v>22.307967545268166</v>
      </c>
      <c r="E41" s="25">
        <v>24.84</v>
      </c>
      <c r="F41" s="379">
        <v>3.714477901822574</v>
      </c>
      <c r="G41" s="25">
        <v>37.229999999999997</v>
      </c>
      <c r="H41" s="379">
        <v>1.8647498090502386</v>
      </c>
      <c r="I41" s="25">
        <v>33.67</v>
      </c>
      <c r="J41" s="379">
        <v>0.95679264165045885</v>
      </c>
    </row>
    <row r="42" spans="1:10" x14ac:dyDescent="0.35">
      <c r="A42" s="5">
        <v>38</v>
      </c>
      <c r="B42" s="5">
        <v>2</v>
      </c>
      <c r="C42" s="5">
        <v>1</v>
      </c>
      <c r="D42" s="379">
        <v>20.601248192255003</v>
      </c>
      <c r="E42" s="25">
        <v>24.84</v>
      </c>
      <c r="F42" s="379">
        <v>3.5756434952257288</v>
      </c>
      <c r="G42" s="25">
        <v>31.64</v>
      </c>
      <c r="H42" s="379">
        <v>1.875552840195911</v>
      </c>
      <c r="I42" s="25">
        <v>33.67</v>
      </c>
      <c r="J42" s="379">
        <v>0.95679264165045885</v>
      </c>
    </row>
    <row r="43" spans="1:10" x14ac:dyDescent="0.35">
      <c r="A43" s="5">
        <v>39</v>
      </c>
      <c r="B43" s="5">
        <v>2</v>
      </c>
      <c r="C43" s="5">
        <v>1</v>
      </c>
      <c r="D43" s="379">
        <v>21.384212065686004</v>
      </c>
      <c r="E43" s="25">
        <v>24.84</v>
      </c>
      <c r="F43" s="379">
        <v>3.5756434952257288</v>
      </c>
      <c r="G43" s="25">
        <v>31.64</v>
      </c>
      <c r="H43" s="379">
        <v>1.875552840195911</v>
      </c>
      <c r="I43" s="25">
        <v>33.67</v>
      </c>
      <c r="J43" s="379">
        <v>0.95679264165045885</v>
      </c>
    </row>
    <row r="44" spans="1:10" x14ac:dyDescent="0.35">
      <c r="A44" s="5">
        <v>40</v>
      </c>
      <c r="B44" s="5">
        <v>2</v>
      </c>
      <c r="C44" s="5">
        <v>1</v>
      </c>
      <c r="D44" s="379">
        <v>20.887634025655359</v>
      </c>
      <c r="E44" s="25">
        <v>24.84</v>
      </c>
      <c r="F44" s="379">
        <v>0.45219499697963567</v>
      </c>
      <c r="G44" s="25">
        <v>36.369999999999997</v>
      </c>
      <c r="H44" s="379">
        <v>1.906589528194125</v>
      </c>
      <c r="I44" s="25">
        <v>33.67</v>
      </c>
      <c r="J44" s="379">
        <v>0.95679264165045885</v>
      </c>
    </row>
    <row r="45" spans="1:10" x14ac:dyDescent="0.35">
      <c r="A45" s="5">
        <v>41</v>
      </c>
      <c r="B45" s="5">
        <v>2</v>
      </c>
      <c r="C45" s="5">
        <v>1</v>
      </c>
      <c r="D45" s="379">
        <v>24.420769593557559</v>
      </c>
      <c r="E45" s="25">
        <v>24.84</v>
      </c>
      <c r="F45" s="379">
        <v>0.33811422605071878</v>
      </c>
      <c r="G45" s="25">
        <v>39.770000000000003</v>
      </c>
      <c r="H45" s="379">
        <v>8.3182136651371724E-2</v>
      </c>
      <c r="I45" s="25">
        <v>34.82</v>
      </c>
      <c r="J45" s="379">
        <v>0.25679859767023522</v>
      </c>
    </row>
    <row r="46" spans="1:10" x14ac:dyDescent="0.35">
      <c r="A46" s="5">
        <v>42</v>
      </c>
      <c r="B46" s="5">
        <v>2</v>
      </c>
      <c r="C46" s="5">
        <v>1</v>
      </c>
      <c r="D46" s="379">
        <v>27.467384972209548</v>
      </c>
      <c r="E46" s="25">
        <v>24.99</v>
      </c>
      <c r="F46" s="379">
        <v>0.34097700171823248</v>
      </c>
      <c r="G46" s="25">
        <v>44.69</v>
      </c>
      <c r="H46" s="379">
        <v>0.14480167642852412</v>
      </c>
      <c r="I46" s="25">
        <v>38.92</v>
      </c>
      <c r="J46" s="379">
        <v>0.28162385291083775</v>
      </c>
    </row>
    <row r="47" spans="1:10" x14ac:dyDescent="0.35">
      <c r="A47" s="5">
        <v>43</v>
      </c>
      <c r="B47" s="5">
        <v>2</v>
      </c>
      <c r="C47" s="5">
        <v>1</v>
      </c>
      <c r="D47" s="379">
        <v>27.747871308767088</v>
      </c>
      <c r="E47" s="25">
        <v>24.99</v>
      </c>
      <c r="F47" s="379">
        <v>0.93580044086150649</v>
      </c>
      <c r="G47" s="25">
        <v>43.56</v>
      </c>
      <c r="H47" s="379">
        <v>0.14480167642852412</v>
      </c>
      <c r="I47" s="25">
        <v>38.92</v>
      </c>
      <c r="J47" s="379">
        <v>0.33498666478607064</v>
      </c>
    </row>
    <row r="48" spans="1:10" x14ac:dyDescent="0.35">
      <c r="A48" s="5">
        <v>44</v>
      </c>
      <c r="B48" s="5">
        <v>2</v>
      </c>
      <c r="C48" s="5">
        <v>1</v>
      </c>
      <c r="D48" s="379">
        <v>24.258798961162586</v>
      </c>
      <c r="E48" s="25">
        <v>24.99</v>
      </c>
      <c r="F48" s="379">
        <v>1.0154024628175926</v>
      </c>
      <c r="G48" s="25">
        <v>42.17</v>
      </c>
      <c r="H48" s="379">
        <v>0.14480167642852412</v>
      </c>
      <c r="I48" s="25">
        <v>34.39</v>
      </c>
      <c r="J48" s="379">
        <v>0.36271655236076461</v>
      </c>
    </row>
    <row r="49" spans="1:10" x14ac:dyDescent="0.35">
      <c r="A49" s="5">
        <v>45</v>
      </c>
      <c r="B49" s="5">
        <v>2</v>
      </c>
      <c r="C49" s="5">
        <v>1</v>
      </c>
      <c r="D49" s="379">
        <v>23.492128867202705</v>
      </c>
      <c r="E49" s="25">
        <v>24.84</v>
      </c>
      <c r="F49" s="379">
        <v>0.35168822695162033</v>
      </c>
      <c r="G49" s="25">
        <v>38.61</v>
      </c>
      <c r="H49" s="379">
        <v>0.14546980079394958</v>
      </c>
      <c r="I49" s="25">
        <v>33.67</v>
      </c>
      <c r="J49" s="379">
        <v>0.43667579083129948</v>
      </c>
    </row>
    <row r="50" spans="1:10" x14ac:dyDescent="0.35">
      <c r="A50" s="5">
        <v>46</v>
      </c>
      <c r="B50" s="5">
        <v>2</v>
      </c>
      <c r="C50" s="5">
        <v>1</v>
      </c>
      <c r="D50" s="379">
        <v>22.724349936153342</v>
      </c>
      <c r="E50" s="25">
        <v>24.84</v>
      </c>
      <c r="F50" s="379">
        <v>0.13457877586335706</v>
      </c>
      <c r="G50" s="25">
        <v>31.84</v>
      </c>
      <c r="H50" s="379">
        <v>2.777777777777778E-2</v>
      </c>
      <c r="I50" s="25">
        <v>33.67</v>
      </c>
      <c r="J50" s="379">
        <v>0.33364004691233012</v>
      </c>
    </row>
    <row r="51" spans="1:10" x14ac:dyDescent="0.35">
      <c r="A51" s="5">
        <v>47</v>
      </c>
      <c r="B51" s="5">
        <v>2</v>
      </c>
      <c r="C51" s="5">
        <v>1</v>
      </c>
      <c r="D51" s="379">
        <v>18.158598455625782</v>
      </c>
      <c r="E51" s="25">
        <v>24.84</v>
      </c>
      <c r="F51" s="379">
        <v>0.13762138387490672</v>
      </c>
      <c r="G51" s="25">
        <v>31.84</v>
      </c>
      <c r="H51" s="379">
        <v>2.777777777777778E-2</v>
      </c>
      <c r="I51" s="25">
        <v>33.67</v>
      </c>
      <c r="J51" s="379">
        <v>0.33731382389100506</v>
      </c>
    </row>
    <row r="52" spans="1:10" x14ac:dyDescent="0.35">
      <c r="A52" s="5">
        <v>48</v>
      </c>
      <c r="B52" s="5">
        <v>2</v>
      </c>
      <c r="C52" s="5">
        <v>1</v>
      </c>
      <c r="D52" s="379">
        <v>20.531751512127173</v>
      </c>
      <c r="E52" s="25">
        <v>24.84</v>
      </c>
      <c r="F52" s="379">
        <v>0.13546107802582166</v>
      </c>
      <c r="G52" s="25">
        <v>31.84</v>
      </c>
      <c r="H52" s="379">
        <v>9.6299190126050552E-2</v>
      </c>
      <c r="I52" s="25">
        <v>33.67</v>
      </c>
      <c r="J52" s="379">
        <v>0.21614960121449669</v>
      </c>
    </row>
    <row r="53" spans="1:10" x14ac:dyDescent="0.35">
      <c r="A53" s="5">
        <v>49</v>
      </c>
      <c r="B53" s="5">
        <v>3</v>
      </c>
      <c r="C53" s="5">
        <v>1</v>
      </c>
      <c r="D53" s="379">
        <v>22.87061659715242</v>
      </c>
      <c r="E53" s="25">
        <v>24.84</v>
      </c>
      <c r="F53" s="379">
        <v>2.5015881803060256</v>
      </c>
      <c r="G53" s="25">
        <v>31.64</v>
      </c>
      <c r="H53" s="379">
        <v>5.7260145763889422E-2</v>
      </c>
      <c r="I53" s="25">
        <v>33.67</v>
      </c>
      <c r="J53" s="379">
        <v>0.33731382389100506</v>
      </c>
    </row>
    <row r="54" spans="1:10" x14ac:dyDescent="0.35">
      <c r="A54" s="5">
        <v>50</v>
      </c>
      <c r="B54" s="5">
        <v>3</v>
      </c>
      <c r="C54" s="5">
        <v>1</v>
      </c>
      <c r="D54" s="379">
        <v>24.10248655191284</v>
      </c>
      <c r="E54" s="25">
        <v>24.44</v>
      </c>
      <c r="F54" s="379">
        <v>2.483607470374229</v>
      </c>
      <c r="G54" s="25">
        <v>31.33</v>
      </c>
      <c r="H54" s="379">
        <v>2.777777777777778E-2</v>
      </c>
      <c r="I54" s="25">
        <v>33.67</v>
      </c>
      <c r="J54" s="379">
        <v>0.33731382389100506</v>
      </c>
    </row>
    <row r="55" spans="1:10" x14ac:dyDescent="0.35">
      <c r="A55" s="5">
        <v>51</v>
      </c>
      <c r="B55" s="5">
        <v>3</v>
      </c>
      <c r="C55" s="5">
        <v>1</v>
      </c>
      <c r="D55" s="379">
        <v>24.135303324445054</v>
      </c>
      <c r="E55" s="25">
        <v>23.73</v>
      </c>
      <c r="F55" s="379">
        <v>0.13452248083219165</v>
      </c>
      <c r="G55" s="25">
        <v>30.91</v>
      </c>
      <c r="H55" s="379">
        <v>2.777777777777778E-2</v>
      </c>
      <c r="I55" s="25">
        <v>33.67</v>
      </c>
      <c r="J55" s="379">
        <v>0.34150502927698634</v>
      </c>
    </row>
    <row r="56" spans="1:10" x14ac:dyDescent="0.35">
      <c r="A56" s="5">
        <v>52</v>
      </c>
      <c r="B56" s="5">
        <v>3</v>
      </c>
      <c r="C56" s="5">
        <v>1</v>
      </c>
      <c r="D56" s="379">
        <v>21.759507538747577</v>
      </c>
      <c r="E56" s="25">
        <v>21.88</v>
      </c>
      <c r="F56" s="379">
        <v>0.13234955591259709</v>
      </c>
      <c r="G56" s="25">
        <v>30.57</v>
      </c>
      <c r="H56" s="379">
        <v>0.21627121680287045</v>
      </c>
      <c r="I56" s="25">
        <v>33.67</v>
      </c>
      <c r="J56" s="379">
        <v>5.0261527131701653</v>
      </c>
    </row>
    <row r="57" spans="1:10" x14ac:dyDescent="0.35">
      <c r="A57" s="5">
        <v>53</v>
      </c>
      <c r="B57" s="5">
        <v>3</v>
      </c>
      <c r="C57" s="5">
        <v>1</v>
      </c>
      <c r="D57" s="379">
        <v>17.033640687193852</v>
      </c>
      <c r="E57" s="25">
        <v>21.24</v>
      </c>
      <c r="F57" s="379">
        <v>0.28813722993117075</v>
      </c>
      <c r="G57" s="25">
        <v>30.93</v>
      </c>
      <c r="H57" s="379">
        <v>2.777777777777778E-2</v>
      </c>
      <c r="I57" s="25">
        <v>33.67</v>
      </c>
      <c r="J57" s="379">
        <v>0.58835762314473705</v>
      </c>
    </row>
    <row r="58" spans="1:10" x14ac:dyDescent="0.35">
      <c r="A58" s="5">
        <v>54</v>
      </c>
      <c r="B58" s="5">
        <v>3</v>
      </c>
      <c r="C58" s="5">
        <v>1</v>
      </c>
      <c r="D58" s="379">
        <v>18.898446940099678</v>
      </c>
      <c r="E58" s="25">
        <v>21.88</v>
      </c>
      <c r="F58" s="379">
        <v>3.2103644774751783</v>
      </c>
      <c r="G58" s="25">
        <v>31.33</v>
      </c>
      <c r="H58" s="379">
        <v>4.0070682072131119</v>
      </c>
      <c r="I58" s="25">
        <v>33.67</v>
      </c>
      <c r="J58" s="379">
        <v>3.8241036579825725</v>
      </c>
    </row>
    <row r="59" spans="1:10" x14ac:dyDescent="0.35">
      <c r="A59" s="5">
        <v>55</v>
      </c>
      <c r="B59" s="5">
        <v>3</v>
      </c>
      <c r="C59" s="5">
        <v>1</v>
      </c>
      <c r="D59" s="379">
        <v>22.883582624206799</v>
      </c>
      <c r="E59" s="25">
        <v>23.73</v>
      </c>
      <c r="F59" s="379">
        <v>3.9831098727424621</v>
      </c>
      <c r="G59" s="25">
        <v>31.33</v>
      </c>
      <c r="H59" s="379">
        <v>2.7999448273667809</v>
      </c>
      <c r="I59" s="25">
        <v>33.67</v>
      </c>
      <c r="J59" s="379">
        <v>3.8241036579825725</v>
      </c>
    </row>
    <row r="60" spans="1:10" x14ac:dyDescent="0.35">
      <c r="A60" s="5">
        <v>56</v>
      </c>
      <c r="B60" s="5">
        <v>3</v>
      </c>
      <c r="C60" s="5">
        <v>1</v>
      </c>
      <c r="D60" s="379">
        <v>29.146383613812986</v>
      </c>
      <c r="E60" s="25">
        <v>23.84</v>
      </c>
      <c r="F60" s="379">
        <v>5.1334227974794659</v>
      </c>
      <c r="G60" s="25">
        <v>31.33</v>
      </c>
      <c r="H60" s="379">
        <v>4.3372834520349297</v>
      </c>
      <c r="I60" s="25">
        <v>33.67</v>
      </c>
      <c r="J60" s="379">
        <v>3.9597237021442226</v>
      </c>
    </row>
    <row r="61" spans="1:10" x14ac:dyDescent="0.35">
      <c r="A61" s="5">
        <v>57</v>
      </c>
      <c r="B61" s="5">
        <v>3</v>
      </c>
      <c r="C61" s="5">
        <v>1</v>
      </c>
      <c r="D61" s="379">
        <v>32.968962091417907</v>
      </c>
      <c r="E61" s="25">
        <v>24.44</v>
      </c>
      <c r="F61" s="379">
        <v>8.1174834595959595</v>
      </c>
      <c r="G61" s="25">
        <v>31.64</v>
      </c>
      <c r="H61" s="379">
        <v>5.2113054826605634</v>
      </c>
      <c r="I61" s="25">
        <v>33.67</v>
      </c>
      <c r="J61" s="379">
        <v>2.3470728368115688</v>
      </c>
    </row>
    <row r="62" spans="1:10" x14ac:dyDescent="0.35">
      <c r="A62" s="5">
        <v>58</v>
      </c>
      <c r="B62" s="5">
        <v>3</v>
      </c>
      <c r="C62" s="5">
        <v>1</v>
      </c>
      <c r="D62" s="379">
        <v>33.726685218861725</v>
      </c>
      <c r="E62" s="25">
        <v>24.84</v>
      </c>
      <c r="F62" s="379">
        <v>8.1174834595959577</v>
      </c>
      <c r="G62" s="25">
        <v>32.159999999999997</v>
      </c>
      <c r="H62" s="379">
        <v>5.2853312464791458</v>
      </c>
      <c r="I62" s="25">
        <v>34.07</v>
      </c>
      <c r="J62" s="379">
        <v>1.2041358674875664</v>
      </c>
    </row>
    <row r="63" spans="1:10" x14ac:dyDescent="0.35">
      <c r="A63" s="5">
        <v>59</v>
      </c>
      <c r="B63" s="5">
        <v>3</v>
      </c>
      <c r="C63" s="5">
        <v>1</v>
      </c>
      <c r="D63" s="379">
        <v>30.05909136238656</v>
      </c>
      <c r="E63" s="25">
        <v>24.84</v>
      </c>
      <c r="F63" s="379">
        <v>8.1174834595959595</v>
      </c>
      <c r="G63" s="25">
        <v>42.19</v>
      </c>
      <c r="H63" s="379">
        <v>4.7996938046946571</v>
      </c>
      <c r="I63" s="25">
        <v>48.09</v>
      </c>
      <c r="J63" s="379">
        <v>3.839526465969747</v>
      </c>
    </row>
    <row r="64" spans="1:10" x14ac:dyDescent="0.35">
      <c r="A64" s="5">
        <v>60</v>
      </c>
      <c r="B64" s="5">
        <v>3</v>
      </c>
      <c r="C64" s="5">
        <v>1</v>
      </c>
      <c r="D64" s="379">
        <v>29.72122526636225</v>
      </c>
      <c r="E64" s="25">
        <v>24.84</v>
      </c>
      <c r="F64" s="379">
        <v>8.1174834595959595</v>
      </c>
      <c r="G64" s="25">
        <v>43.39</v>
      </c>
      <c r="H64" s="379">
        <v>5.1718011275168996</v>
      </c>
      <c r="I64" s="25">
        <v>48.09</v>
      </c>
      <c r="J64" s="379">
        <v>3.752858232456628</v>
      </c>
    </row>
    <row r="65" spans="1:10" x14ac:dyDescent="0.35">
      <c r="A65" s="5">
        <v>61</v>
      </c>
      <c r="B65" s="5">
        <v>3</v>
      </c>
      <c r="C65" s="5">
        <v>1</v>
      </c>
      <c r="D65" s="379">
        <v>28.347824731749078</v>
      </c>
      <c r="E65" s="25">
        <v>24.84</v>
      </c>
      <c r="F65" s="379">
        <v>8.1174834595959595</v>
      </c>
      <c r="G65" s="25">
        <v>43.39</v>
      </c>
      <c r="H65" s="379">
        <v>5.1708739863522721</v>
      </c>
      <c r="I65" s="25">
        <v>48.09</v>
      </c>
      <c r="J65" s="379">
        <v>4.5472020931480097</v>
      </c>
    </row>
    <row r="66" spans="1:10" x14ac:dyDescent="0.35">
      <c r="A66" s="5">
        <v>62</v>
      </c>
      <c r="B66" s="5">
        <v>3</v>
      </c>
      <c r="C66" s="5">
        <v>1</v>
      </c>
      <c r="D66" s="379">
        <v>28.564163825458518</v>
      </c>
      <c r="E66" s="25">
        <v>24.84</v>
      </c>
      <c r="F66" s="379">
        <v>8.493774860216794</v>
      </c>
      <c r="G66" s="25">
        <v>40.96</v>
      </c>
      <c r="H66" s="379">
        <v>5.3075325201335177</v>
      </c>
      <c r="I66" s="25">
        <v>48.86</v>
      </c>
      <c r="J66" s="379">
        <v>5.331530822283411</v>
      </c>
    </row>
    <row r="67" spans="1:10" x14ac:dyDescent="0.35">
      <c r="A67" s="5">
        <v>63</v>
      </c>
      <c r="B67" s="5">
        <v>3</v>
      </c>
      <c r="C67" s="5">
        <v>1</v>
      </c>
      <c r="D67" s="379">
        <v>28.660894314106674</v>
      </c>
      <c r="E67" s="25">
        <v>24.84</v>
      </c>
      <c r="F67" s="379">
        <v>8.5365661113891811</v>
      </c>
      <c r="G67" s="25">
        <v>38.409999999999997</v>
      </c>
      <c r="H67" s="379">
        <v>5.6590236093261552</v>
      </c>
      <c r="I67" s="25">
        <v>48.86</v>
      </c>
      <c r="J67" s="379">
        <v>5.5651815522988857</v>
      </c>
    </row>
    <row r="68" spans="1:10" x14ac:dyDescent="0.35">
      <c r="A68" s="5">
        <v>64</v>
      </c>
      <c r="B68" s="5">
        <v>3</v>
      </c>
      <c r="C68" s="5">
        <v>1</v>
      </c>
      <c r="D68" s="379">
        <v>28.804927055253472</v>
      </c>
      <c r="E68" s="25">
        <v>24.84</v>
      </c>
      <c r="F68" s="379">
        <v>9.1030521896103362</v>
      </c>
      <c r="G68" s="25">
        <v>39.17</v>
      </c>
      <c r="H68" s="379">
        <v>5.6592419116539423</v>
      </c>
      <c r="I68" s="25">
        <v>50.13</v>
      </c>
      <c r="J68" s="379">
        <v>5.8040624001740699</v>
      </c>
    </row>
    <row r="69" spans="1:10" x14ac:dyDescent="0.35">
      <c r="A69" s="5">
        <v>65</v>
      </c>
      <c r="B69" s="5">
        <v>3</v>
      </c>
      <c r="C69" s="5">
        <v>1</v>
      </c>
      <c r="D69" s="379">
        <v>35.537987034993378</v>
      </c>
      <c r="E69" s="25">
        <v>24.84</v>
      </c>
      <c r="F69" s="379">
        <v>9.2579843129198203</v>
      </c>
      <c r="G69" s="25">
        <v>42.37</v>
      </c>
      <c r="H69" s="379">
        <v>5.7741468615947245</v>
      </c>
      <c r="I69" s="25">
        <v>50.13</v>
      </c>
      <c r="J69" s="379">
        <v>6.3434005398181679</v>
      </c>
    </row>
    <row r="70" spans="1:10" x14ac:dyDescent="0.35">
      <c r="A70" s="5">
        <v>66</v>
      </c>
      <c r="B70" s="5">
        <v>3</v>
      </c>
      <c r="C70" s="5">
        <v>1</v>
      </c>
      <c r="D70" s="379">
        <v>37.131350982457626</v>
      </c>
      <c r="E70" s="25">
        <v>24.99</v>
      </c>
      <c r="F70" s="379">
        <v>9.2033444309135675</v>
      </c>
      <c r="G70" s="25">
        <v>44.74</v>
      </c>
      <c r="H70" s="379">
        <v>5.3048815034761265</v>
      </c>
      <c r="I70" s="25">
        <v>53.71</v>
      </c>
      <c r="J70" s="379">
        <v>5.7048229182959931</v>
      </c>
    </row>
    <row r="71" spans="1:10" x14ac:dyDescent="0.35">
      <c r="A71" s="5">
        <v>67</v>
      </c>
      <c r="B71" s="5">
        <v>3</v>
      </c>
      <c r="C71" s="5">
        <v>1</v>
      </c>
      <c r="D71" s="379">
        <v>36.422910018619326</v>
      </c>
      <c r="E71" s="25">
        <v>25.74</v>
      </c>
      <c r="F71" s="379">
        <v>9.2950478579540796</v>
      </c>
      <c r="G71" s="25">
        <v>44.74</v>
      </c>
      <c r="H71" s="379">
        <v>5.7866951537033779</v>
      </c>
      <c r="I71" s="25">
        <v>62.27</v>
      </c>
      <c r="J71" s="379">
        <v>5.292148522383493</v>
      </c>
    </row>
    <row r="72" spans="1:10" x14ac:dyDescent="0.35">
      <c r="A72" s="5">
        <v>68</v>
      </c>
      <c r="B72" s="5">
        <v>3</v>
      </c>
      <c r="C72" s="5">
        <v>1</v>
      </c>
      <c r="D72" s="379">
        <v>35.522937160598474</v>
      </c>
      <c r="E72" s="25">
        <v>25.74</v>
      </c>
      <c r="F72" s="379">
        <v>9.3092368775626948</v>
      </c>
      <c r="G72" s="25">
        <v>44.74</v>
      </c>
      <c r="H72" s="379">
        <v>5.9100633337219515</v>
      </c>
      <c r="I72" s="25">
        <v>62.27</v>
      </c>
      <c r="J72" s="379">
        <v>5.3667393143957414</v>
      </c>
    </row>
    <row r="73" spans="1:10" x14ac:dyDescent="0.35">
      <c r="A73" s="5">
        <v>69</v>
      </c>
      <c r="B73" s="5">
        <v>3</v>
      </c>
      <c r="C73" s="5">
        <v>1</v>
      </c>
      <c r="D73" s="379">
        <v>35.79919404248276</v>
      </c>
      <c r="E73" s="25">
        <v>25.59</v>
      </c>
      <c r="F73" s="379">
        <v>8.9997686889779871</v>
      </c>
      <c r="G73" s="25">
        <v>44.74</v>
      </c>
      <c r="H73" s="379">
        <v>5.8325497763313532</v>
      </c>
      <c r="I73" s="25">
        <v>62.27</v>
      </c>
      <c r="J73" s="379">
        <v>2.2502191674475251</v>
      </c>
    </row>
    <row r="74" spans="1:10" x14ac:dyDescent="0.35">
      <c r="A74" s="5">
        <v>70</v>
      </c>
      <c r="B74" s="5">
        <v>3</v>
      </c>
      <c r="C74" s="5">
        <v>1</v>
      </c>
      <c r="D74" s="379">
        <v>34.493324347152367</v>
      </c>
      <c r="E74" s="25">
        <v>24.99</v>
      </c>
      <c r="F74" s="379">
        <v>8.1174834595959595</v>
      </c>
      <c r="G74" s="25">
        <v>44.74</v>
      </c>
      <c r="H74" s="379">
        <v>5.2703076461979022</v>
      </c>
      <c r="I74" s="25">
        <v>62.27</v>
      </c>
      <c r="J74" s="379">
        <v>0.52888888888888896</v>
      </c>
    </row>
    <row r="75" spans="1:10" x14ac:dyDescent="0.35">
      <c r="A75" s="5">
        <v>71</v>
      </c>
      <c r="B75" s="5">
        <v>3</v>
      </c>
      <c r="C75" s="5">
        <v>1</v>
      </c>
      <c r="D75" s="379">
        <v>35.512049958157668</v>
      </c>
      <c r="E75" s="25">
        <v>24.99</v>
      </c>
      <c r="F75" s="379">
        <v>8.1174834595959577</v>
      </c>
      <c r="G75" s="25">
        <v>44.74</v>
      </c>
      <c r="H75" s="379">
        <v>4.799693804694658</v>
      </c>
      <c r="I75" s="25">
        <v>62.27</v>
      </c>
      <c r="J75" s="379">
        <v>4.3817951650844078</v>
      </c>
    </row>
    <row r="76" spans="1:10" x14ac:dyDescent="0.35">
      <c r="A76" s="5">
        <v>72</v>
      </c>
      <c r="B76" s="5">
        <v>3</v>
      </c>
      <c r="C76" s="5">
        <v>1</v>
      </c>
      <c r="D76" s="379">
        <v>34.86201075721614</v>
      </c>
      <c r="E76" s="25">
        <v>24.99</v>
      </c>
      <c r="F76" s="379">
        <v>5.566927771731387</v>
      </c>
      <c r="G76" s="25">
        <v>44.74</v>
      </c>
      <c r="H76" s="379">
        <v>4.7996938046946571</v>
      </c>
      <c r="I76" s="25">
        <v>53.71</v>
      </c>
      <c r="J76" s="379">
        <v>3.7799754697132864</v>
      </c>
    </row>
    <row r="77" spans="1:10" x14ac:dyDescent="0.35">
      <c r="A77" s="5">
        <v>73</v>
      </c>
      <c r="B77" s="5">
        <v>4</v>
      </c>
      <c r="C77" s="5">
        <v>1</v>
      </c>
      <c r="D77" s="379">
        <v>35.978109156088919</v>
      </c>
      <c r="E77" s="25">
        <v>24.84</v>
      </c>
      <c r="F77" s="379">
        <v>2.6692352633613501</v>
      </c>
      <c r="G77" s="25">
        <v>44.74</v>
      </c>
      <c r="H77" s="379">
        <v>4.7996938046946571</v>
      </c>
      <c r="I77" s="25">
        <v>62.27</v>
      </c>
      <c r="J77" s="379">
        <v>4.2466616277622471</v>
      </c>
    </row>
    <row r="78" spans="1:10" x14ac:dyDescent="0.35">
      <c r="A78" s="5">
        <v>74</v>
      </c>
      <c r="B78" s="5">
        <v>4</v>
      </c>
      <c r="C78" s="5">
        <v>1</v>
      </c>
      <c r="D78" s="379">
        <v>32.097222222222221</v>
      </c>
      <c r="E78" s="25">
        <v>24.84</v>
      </c>
      <c r="F78" s="379">
        <v>2.6692352633613501</v>
      </c>
      <c r="G78" s="25">
        <v>44.29</v>
      </c>
      <c r="H78" s="379">
        <v>4.799693804694658</v>
      </c>
      <c r="I78" s="25">
        <v>53.71</v>
      </c>
      <c r="J78" s="379">
        <v>4.4763861231414985</v>
      </c>
    </row>
    <row r="79" spans="1:10" x14ac:dyDescent="0.35">
      <c r="A79" s="5">
        <v>75</v>
      </c>
      <c r="B79" s="5">
        <v>4</v>
      </c>
      <c r="C79" s="5">
        <v>1</v>
      </c>
      <c r="D79" s="379">
        <v>32.660446592200508</v>
      </c>
      <c r="E79" s="25">
        <v>24.84</v>
      </c>
      <c r="F79" s="379">
        <v>2.6692352633613501</v>
      </c>
      <c r="G79" s="25">
        <v>38.03</v>
      </c>
      <c r="H79" s="379">
        <v>4.7996938046946571</v>
      </c>
      <c r="I79" s="25">
        <v>52.93</v>
      </c>
      <c r="J79" s="379">
        <v>4.4769110107798307</v>
      </c>
    </row>
    <row r="80" spans="1:10" x14ac:dyDescent="0.35">
      <c r="A80" s="5">
        <v>76</v>
      </c>
      <c r="B80" s="5">
        <v>4</v>
      </c>
      <c r="C80" s="5">
        <v>1</v>
      </c>
      <c r="D80" s="379">
        <v>36.335767428541907</v>
      </c>
      <c r="E80" s="25">
        <v>24.84</v>
      </c>
      <c r="F80" s="379">
        <v>2.6692352633613501</v>
      </c>
      <c r="G80" s="25">
        <v>38.03</v>
      </c>
      <c r="H80" s="379">
        <v>4.7996938046946571</v>
      </c>
      <c r="I80" s="25">
        <v>52.93</v>
      </c>
      <c r="J80" s="379">
        <v>4.7265342650687883</v>
      </c>
    </row>
    <row r="81" spans="1:10" x14ac:dyDescent="0.35">
      <c r="A81" s="5">
        <v>77</v>
      </c>
      <c r="B81" s="5">
        <v>4</v>
      </c>
      <c r="C81" s="5">
        <v>1</v>
      </c>
      <c r="D81" s="379">
        <v>32.369575610170465</v>
      </c>
      <c r="E81" s="25">
        <v>24.84</v>
      </c>
      <c r="F81" s="379">
        <v>2.6723545655974767</v>
      </c>
      <c r="G81" s="25">
        <v>38.03</v>
      </c>
      <c r="H81" s="379">
        <v>4.799693804694658</v>
      </c>
      <c r="I81" s="25">
        <v>53.71</v>
      </c>
      <c r="J81" s="379">
        <v>4.4788101902732791</v>
      </c>
    </row>
    <row r="82" spans="1:10" x14ac:dyDescent="0.35">
      <c r="A82" s="5">
        <v>78</v>
      </c>
      <c r="B82" s="5">
        <v>4</v>
      </c>
      <c r="C82" s="5">
        <v>1</v>
      </c>
      <c r="D82" s="379">
        <v>35.78889830094888</v>
      </c>
      <c r="E82" s="25">
        <v>24.84</v>
      </c>
      <c r="F82" s="379">
        <v>5.7073663169734861</v>
      </c>
      <c r="G82" s="25">
        <v>44.69</v>
      </c>
      <c r="H82" s="379">
        <v>4.799693804694658</v>
      </c>
      <c r="I82" s="25">
        <v>53.71</v>
      </c>
      <c r="J82" s="379">
        <v>3.5178987088717886</v>
      </c>
    </row>
    <row r="83" spans="1:10" x14ac:dyDescent="0.35">
      <c r="A83" s="5">
        <v>79</v>
      </c>
      <c r="B83" s="5">
        <v>4</v>
      </c>
      <c r="C83" s="5">
        <v>1</v>
      </c>
      <c r="D83" s="379">
        <v>38.390102821790386</v>
      </c>
      <c r="E83" s="25">
        <v>25.74</v>
      </c>
      <c r="F83" s="379">
        <v>7.7993061199120444</v>
      </c>
      <c r="G83" s="25">
        <v>46.11</v>
      </c>
      <c r="H83" s="379">
        <v>4.7996938046946571</v>
      </c>
      <c r="I83" s="25">
        <v>68.05</v>
      </c>
      <c r="J83" s="379">
        <v>4.8806974834895023</v>
      </c>
    </row>
    <row r="84" spans="1:10" x14ac:dyDescent="0.35">
      <c r="A84" s="5">
        <v>80</v>
      </c>
      <c r="B84" s="5">
        <v>4</v>
      </c>
      <c r="C84" s="5">
        <v>1</v>
      </c>
      <c r="D84" s="379">
        <v>46.179427557680633</v>
      </c>
      <c r="E84" s="25">
        <v>27.3</v>
      </c>
      <c r="F84" s="379">
        <v>8.1174834595959595</v>
      </c>
      <c r="G84" s="25">
        <v>54.25</v>
      </c>
      <c r="H84" s="379">
        <v>5.2984989280229078</v>
      </c>
      <c r="I84" s="25">
        <v>72.19</v>
      </c>
      <c r="J84" s="379">
        <v>5.0004693471820438</v>
      </c>
    </row>
    <row r="85" spans="1:10" x14ac:dyDescent="0.35">
      <c r="A85" s="5">
        <v>81</v>
      </c>
      <c r="B85" s="5">
        <v>4</v>
      </c>
      <c r="C85" s="5">
        <v>1</v>
      </c>
      <c r="D85" s="379">
        <v>46.633333333333333</v>
      </c>
      <c r="E85" s="25">
        <v>36.94</v>
      </c>
      <c r="F85" s="379">
        <v>8.3328501243115483</v>
      </c>
      <c r="G85" s="25">
        <v>62.12</v>
      </c>
      <c r="H85" s="379">
        <v>5.3014179146291527</v>
      </c>
      <c r="I85" s="25">
        <v>843.72</v>
      </c>
      <c r="J85" s="379">
        <v>4.5296931124753677</v>
      </c>
    </row>
    <row r="86" spans="1:10" x14ac:dyDescent="0.35">
      <c r="A86" s="5">
        <v>82</v>
      </c>
      <c r="B86" s="5">
        <v>4</v>
      </c>
      <c r="C86" s="5">
        <v>1</v>
      </c>
      <c r="D86" s="379">
        <v>46.917035584507666</v>
      </c>
      <c r="E86" s="25">
        <v>36.94</v>
      </c>
      <c r="F86" s="379">
        <v>8.1174834595959577</v>
      </c>
      <c r="G86" s="25">
        <v>62.12</v>
      </c>
      <c r="H86" s="379">
        <v>4.799693804694658</v>
      </c>
      <c r="I86" s="25">
        <v>843.72</v>
      </c>
      <c r="J86" s="379">
        <v>0.27777777777777779</v>
      </c>
    </row>
    <row r="87" spans="1:10" x14ac:dyDescent="0.35">
      <c r="A87" s="5">
        <v>83</v>
      </c>
      <c r="B87" s="5">
        <v>4</v>
      </c>
      <c r="C87" s="5">
        <v>1</v>
      </c>
      <c r="D87" s="379">
        <v>47.11901952721368</v>
      </c>
      <c r="E87" s="25">
        <v>36.94</v>
      </c>
      <c r="F87" s="379">
        <v>0.47222222222222221</v>
      </c>
      <c r="G87" s="25">
        <v>62.12</v>
      </c>
      <c r="H87" s="379">
        <v>4.799693804694658</v>
      </c>
      <c r="I87" s="25">
        <v>623.48</v>
      </c>
      <c r="J87" s="379">
        <v>4.1992718807936393</v>
      </c>
    </row>
    <row r="88" spans="1:10" x14ac:dyDescent="0.35">
      <c r="A88" s="5">
        <v>84</v>
      </c>
      <c r="B88" s="5">
        <v>4</v>
      </c>
      <c r="C88" s="5">
        <v>1</v>
      </c>
      <c r="D88" s="379">
        <v>43.087422542144452</v>
      </c>
      <c r="E88" s="25">
        <v>36.94</v>
      </c>
      <c r="F88" s="379">
        <v>0.47222222222222221</v>
      </c>
      <c r="G88" s="25">
        <v>62.12</v>
      </c>
      <c r="H88" s="379">
        <v>4.799693804694658</v>
      </c>
      <c r="I88" s="25">
        <v>623.48</v>
      </c>
      <c r="J88" s="379">
        <v>2.1532049628205789</v>
      </c>
    </row>
    <row r="89" spans="1:10" x14ac:dyDescent="0.35">
      <c r="A89" s="5">
        <v>85</v>
      </c>
      <c r="B89" s="5">
        <v>4</v>
      </c>
      <c r="C89" s="5">
        <v>1</v>
      </c>
      <c r="D89" s="379">
        <v>38.137654270271938</v>
      </c>
      <c r="E89" s="25">
        <v>36.94</v>
      </c>
      <c r="F89" s="379">
        <v>5.3837097714493884</v>
      </c>
      <c r="G89" s="25">
        <v>62.12</v>
      </c>
      <c r="H89" s="379">
        <v>4.799693804694658</v>
      </c>
      <c r="I89" s="25">
        <v>623.48</v>
      </c>
      <c r="J89" s="379">
        <v>4.0668240696236762</v>
      </c>
    </row>
    <row r="90" spans="1:10" x14ac:dyDescent="0.35">
      <c r="A90" s="5">
        <v>86</v>
      </c>
      <c r="B90" s="5">
        <v>4</v>
      </c>
      <c r="C90" s="5">
        <v>1</v>
      </c>
      <c r="D90" s="379">
        <v>37.71270713571996</v>
      </c>
      <c r="E90" s="25">
        <v>36.94</v>
      </c>
      <c r="F90" s="379">
        <v>5.3837097714493884</v>
      </c>
      <c r="G90" s="25">
        <v>62.12</v>
      </c>
      <c r="H90" s="379">
        <v>4.799693804694658</v>
      </c>
      <c r="I90" s="25">
        <v>623.48</v>
      </c>
      <c r="J90" s="379">
        <v>3.0659616501277109</v>
      </c>
    </row>
    <row r="91" spans="1:10" x14ac:dyDescent="0.35">
      <c r="A91" s="5">
        <v>87</v>
      </c>
      <c r="B91" s="5">
        <v>4</v>
      </c>
      <c r="C91" s="5">
        <v>1</v>
      </c>
      <c r="D91" s="379">
        <v>40.142987706807297</v>
      </c>
      <c r="E91" s="25">
        <v>36.94</v>
      </c>
      <c r="F91" s="379">
        <v>4.101533478172418</v>
      </c>
      <c r="G91" s="25">
        <v>62.12</v>
      </c>
      <c r="H91" s="379">
        <v>4.799693804694658</v>
      </c>
      <c r="I91" s="25">
        <v>623.48</v>
      </c>
      <c r="J91" s="379">
        <v>3.1691656988435808</v>
      </c>
    </row>
    <row r="92" spans="1:10" x14ac:dyDescent="0.35">
      <c r="A92" s="5">
        <v>88</v>
      </c>
      <c r="B92" s="5">
        <v>4</v>
      </c>
      <c r="C92" s="5">
        <v>1</v>
      </c>
      <c r="D92" s="379">
        <v>50.258333333333333</v>
      </c>
      <c r="E92" s="25">
        <v>36.94</v>
      </c>
      <c r="F92" s="379">
        <v>8.1174834595959577</v>
      </c>
      <c r="G92" s="25">
        <v>62.12</v>
      </c>
      <c r="H92" s="379">
        <v>5.6666046481037391</v>
      </c>
      <c r="I92" s="25">
        <v>733.51</v>
      </c>
      <c r="J92" s="379">
        <v>4.8927773512266883</v>
      </c>
    </row>
    <row r="93" spans="1:10" x14ac:dyDescent="0.35">
      <c r="A93" s="5">
        <v>89</v>
      </c>
      <c r="B93" s="5">
        <v>4</v>
      </c>
      <c r="C93" s="5">
        <v>1</v>
      </c>
      <c r="D93" s="379">
        <v>45.562507846829874</v>
      </c>
      <c r="E93" s="25">
        <v>37.090000000000003</v>
      </c>
      <c r="F93" s="379">
        <v>9.7916207174712984</v>
      </c>
      <c r="G93" s="25">
        <v>62.12</v>
      </c>
      <c r="H93" s="379">
        <v>10.132849121119737</v>
      </c>
      <c r="I93" s="25">
        <v>843.72</v>
      </c>
      <c r="J93" s="379">
        <v>6.7971399526750442</v>
      </c>
    </row>
    <row r="94" spans="1:10" x14ac:dyDescent="0.35">
      <c r="A94" s="5">
        <v>90</v>
      </c>
      <c r="B94" s="5">
        <v>4</v>
      </c>
      <c r="C94" s="5">
        <v>1</v>
      </c>
      <c r="D94" s="379">
        <v>49.975888879938168</v>
      </c>
      <c r="E94" s="25">
        <v>38.200000000000003</v>
      </c>
      <c r="F94" s="379">
        <v>10.599262103774439</v>
      </c>
      <c r="G94" s="25">
        <v>843.72</v>
      </c>
      <c r="H94" s="379">
        <v>9.3562103469029658</v>
      </c>
      <c r="I94" s="25">
        <v>869.03</v>
      </c>
      <c r="J94" s="379">
        <v>6.4740523195149757</v>
      </c>
    </row>
    <row r="95" spans="1:10" x14ac:dyDescent="0.35">
      <c r="A95" s="5">
        <v>91</v>
      </c>
      <c r="B95" s="5">
        <v>4</v>
      </c>
      <c r="C95" s="5">
        <v>1</v>
      </c>
      <c r="D95" s="379">
        <v>35.006136267527076</v>
      </c>
      <c r="E95" s="25">
        <v>37.090000000000003</v>
      </c>
      <c r="F95" s="379">
        <v>10.645842483303527</v>
      </c>
      <c r="G95" s="25">
        <v>843.72</v>
      </c>
      <c r="H95" s="379">
        <v>9.661180056150414</v>
      </c>
      <c r="I95" s="25">
        <v>869.03</v>
      </c>
      <c r="J95" s="379">
        <v>6.7613459977888999</v>
      </c>
    </row>
    <row r="96" spans="1:10" x14ac:dyDescent="0.35">
      <c r="A96" s="5">
        <v>92</v>
      </c>
      <c r="B96" s="5">
        <v>4</v>
      </c>
      <c r="C96" s="5">
        <v>1</v>
      </c>
      <c r="D96" s="379">
        <v>36.150500609739197</v>
      </c>
      <c r="E96" s="25">
        <v>36.94</v>
      </c>
      <c r="F96" s="379">
        <v>10.67014162917434</v>
      </c>
      <c r="G96" s="25">
        <v>62.33</v>
      </c>
      <c r="H96" s="379">
        <v>10.122024349850115</v>
      </c>
      <c r="I96" s="25">
        <v>843.72</v>
      </c>
      <c r="J96" s="379">
        <v>6.7971493779350478</v>
      </c>
    </row>
    <row r="97" spans="1:10" x14ac:dyDescent="0.35">
      <c r="A97" s="5">
        <v>93</v>
      </c>
      <c r="B97" s="5">
        <v>4</v>
      </c>
      <c r="C97" s="5">
        <v>1</v>
      </c>
      <c r="D97" s="379">
        <v>33.123682884882541</v>
      </c>
      <c r="E97" s="25">
        <v>36.94</v>
      </c>
      <c r="F97" s="379">
        <v>9.7916207174712984</v>
      </c>
      <c r="G97" s="25">
        <v>62.12</v>
      </c>
      <c r="H97" s="379">
        <v>10.094620488836794</v>
      </c>
      <c r="I97" s="25">
        <v>733.51</v>
      </c>
      <c r="J97" s="379">
        <v>6.6780825623775533</v>
      </c>
    </row>
    <row r="98" spans="1:10" x14ac:dyDescent="0.35">
      <c r="A98" s="5">
        <v>94</v>
      </c>
      <c r="B98" s="5">
        <v>4</v>
      </c>
      <c r="C98" s="5">
        <v>1</v>
      </c>
      <c r="D98" s="379">
        <v>31.106813948910361</v>
      </c>
      <c r="E98" s="25">
        <v>29.6</v>
      </c>
      <c r="F98" s="379">
        <v>9.4389876892053231</v>
      </c>
      <c r="G98" s="25">
        <v>50.35</v>
      </c>
      <c r="H98" s="379">
        <v>10.769649256596828</v>
      </c>
      <c r="I98" s="25">
        <v>623.48</v>
      </c>
      <c r="J98" s="379">
        <v>6.6406390532519124</v>
      </c>
    </row>
    <row r="99" spans="1:10" x14ac:dyDescent="0.35">
      <c r="A99" s="5">
        <v>95</v>
      </c>
      <c r="B99" s="5">
        <v>4</v>
      </c>
      <c r="C99" s="5">
        <v>1</v>
      </c>
      <c r="D99" s="379">
        <v>27.619726313471876</v>
      </c>
      <c r="E99" s="25">
        <v>26.05</v>
      </c>
      <c r="F99" s="379">
        <v>8.0600887559909644</v>
      </c>
      <c r="G99" s="25">
        <v>50.35</v>
      </c>
      <c r="H99" s="379">
        <v>10.319493479524068</v>
      </c>
      <c r="I99" s="25">
        <v>623.48</v>
      </c>
      <c r="J99" s="379">
        <v>5.829261640726906</v>
      </c>
    </row>
    <row r="100" spans="1:10" x14ac:dyDescent="0.35">
      <c r="A100" s="5">
        <v>96</v>
      </c>
      <c r="B100" s="5">
        <v>4</v>
      </c>
      <c r="C100" s="5">
        <v>1</v>
      </c>
      <c r="D100" s="379">
        <v>26.207883017232785</v>
      </c>
      <c r="E100" s="25">
        <v>25.74</v>
      </c>
      <c r="F100" s="379">
        <v>6.1964600581560632</v>
      </c>
      <c r="G100" s="25">
        <v>48.39</v>
      </c>
      <c r="H100" s="379">
        <v>10.314761111053729</v>
      </c>
      <c r="I100" s="25">
        <v>623.48</v>
      </c>
      <c r="J100" s="379">
        <v>4.7032494456014673</v>
      </c>
    </row>
    <row r="101" spans="1:10" x14ac:dyDescent="0.35">
      <c r="A101" s="5">
        <v>97</v>
      </c>
      <c r="B101" s="5">
        <v>5</v>
      </c>
      <c r="C101" s="5">
        <v>1</v>
      </c>
      <c r="D101" s="379">
        <v>26.856381052967997</v>
      </c>
      <c r="E101" s="25">
        <v>25.59</v>
      </c>
      <c r="F101" s="379">
        <v>6.1405543451172155</v>
      </c>
      <c r="G101" s="25">
        <v>48.39</v>
      </c>
      <c r="H101" s="379">
        <v>10.0681695784423</v>
      </c>
      <c r="I101" s="25">
        <v>623.48</v>
      </c>
      <c r="J101" s="379">
        <v>4.7392469398937038</v>
      </c>
    </row>
    <row r="102" spans="1:10" x14ac:dyDescent="0.35">
      <c r="A102" s="5">
        <v>98</v>
      </c>
      <c r="B102" s="5">
        <v>5</v>
      </c>
      <c r="C102" s="5">
        <v>1</v>
      </c>
      <c r="D102" s="379">
        <v>22.207945072134258</v>
      </c>
      <c r="E102" s="25">
        <v>24.99</v>
      </c>
      <c r="F102" s="379">
        <v>6.1160740024548064</v>
      </c>
      <c r="G102" s="25">
        <v>48.39</v>
      </c>
      <c r="H102" s="379">
        <v>9.8961609448502053</v>
      </c>
      <c r="I102" s="25">
        <v>623.48</v>
      </c>
      <c r="J102" s="379">
        <v>5.5639170604087438</v>
      </c>
    </row>
    <row r="103" spans="1:10" x14ac:dyDescent="0.35">
      <c r="A103" s="5">
        <v>99</v>
      </c>
      <c r="B103" s="5">
        <v>5</v>
      </c>
      <c r="C103" s="5">
        <v>1</v>
      </c>
      <c r="D103" s="379">
        <v>19.177627004821812</v>
      </c>
      <c r="E103" s="25">
        <v>24.84</v>
      </c>
      <c r="F103" s="379">
        <v>6.1240107767624181</v>
      </c>
      <c r="G103" s="25">
        <v>47.85</v>
      </c>
      <c r="H103" s="379">
        <v>10.363440990138002</v>
      </c>
      <c r="I103" s="25">
        <v>147.82</v>
      </c>
      <c r="J103" s="379">
        <v>6.1463289902666061</v>
      </c>
    </row>
    <row r="104" spans="1:10" x14ac:dyDescent="0.35">
      <c r="A104" s="5">
        <v>100</v>
      </c>
      <c r="B104" s="5">
        <v>5</v>
      </c>
      <c r="C104" s="5">
        <v>1</v>
      </c>
      <c r="D104" s="379">
        <v>22.913538220710819</v>
      </c>
      <c r="E104" s="25">
        <v>24.84</v>
      </c>
      <c r="F104" s="379">
        <v>6.1478057976452156</v>
      </c>
      <c r="G104" s="25">
        <v>47.85</v>
      </c>
      <c r="H104" s="379">
        <v>10.410497725274114</v>
      </c>
      <c r="I104" s="25">
        <v>125.65</v>
      </c>
      <c r="J104" s="379">
        <v>6.4545775768820786</v>
      </c>
    </row>
    <row r="105" spans="1:10" x14ac:dyDescent="0.35">
      <c r="A105" s="5">
        <v>101</v>
      </c>
      <c r="B105" s="5">
        <v>5</v>
      </c>
      <c r="C105" s="5">
        <v>1</v>
      </c>
      <c r="D105" s="379">
        <v>21.321658522800952</v>
      </c>
      <c r="E105" s="25">
        <v>24.84</v>
      </c>
      <c r="F105" s="379">
        <v>6.1455981267852398</v>
      </c>
      <c r="G105" s="25">
        <v>47.85</v>
      </c>
      <c r="H105" s="379">
        <v>10.180950240290757</v>
      </c>
      <c r="I105" s="25">
        <v>147.82</v>
      </c>
      <c r="J105" s="379">
        <v>5.8015863320383314</v>
      </c>
    </row>
    <row r="106" spans="1:10" x14ac:dyDescent="0.35">
      <c r="A106" s="5">
        <v>102</v>
      </c>
      <c r="B106" s="5">
        <v>5</v>
      </c>
      <c r="C106" s="5">
        <v>1</v>
      </c>
      <c r="D106" s="379">
        <v>23.12751226097868</v>
      </c>
      <c r="E106" s="25">
        <v>25.74</v>
      </c>
      <c r="F106" s="379">
        <v>6.1653386742576508</v>
      </c>
      <c r="G106" s="25">
        <v>48.39</v>
      </c>
      <c r="H106" s="379">
        <v>10.399658064961201</v>
      </c>
      <c r="I106" s="25">
        <v>623.48</v>
      </c>
      <c r="J106" s="379">
        <v>5.3754445964983502</v>
      </c>
    </row>
    <row r="107" spans="1:10" x14ac:dyDescent="0.35">
      <c r="A107" s="5">
        <v>103</v>
      </c>
      <c r="B107" s="5">
        <v>5</v>
      </c>
      <c r="C107" s="5">
        <v>1</v>
      </c>
      <c r="D107" s="379">
        <v>17.451044342007219</v>
      </c>
      <c r="E107" s="25">
        <v>26.35</v>
      </c>
      <c r="F107" s="379">
        <v>7.8100512792722663</v>
      </c>
      <c r="G107" s="25">
        <v>56.93</v>
      </c>
      <c r="H107" s="379">
        <v>10.105167204104056</v>
      </c>
      <c r="I107" s="25">
        <v>843.72</v>
      </c>
      <c r="J107" s="379">
        <v>6.3082064335889525</v>
      </c>
    </row>
    <row r="108" spans="1:10" x14ac:dyDescent="0.35">
      <c r="A108" s="5">
        <v>104</v>
      </c>
      <c r="B108" s="5">
        <v>5</v>
      </c>
      <c r="C108" s="5">
        <v>1</v>
      </c>
      <c r="D108" s="379">
        <v>24.682239143537466</v>
      </c>
      <c r="E108" s="25">
        <v>34.82</v>
      </c>
      <c r="F108" s="379">
        <v>9.5061168893172461</v>
      </c>
      <c r="G108" s="25">
        <v>62.33</v>
      </c>
      <c r="H108" s="379">
        <v>11.822237421686314</v>
      </c>
      <c r="I108" s="25">
        <v>843.72</v>
      </c>
      <c r="J108" s="379">
        <v>6.7831552162234621</v>
      </c>
    </row>
    <row r="109" spans="1:10" x14ac:dyDescent="0.35">
      <c r="A109" s="5">
        <v>105</v>
      </c>
      <c r="B109" s="5">
        <v>5</v>
      </c>
      <c r="C109" s="5">
        <v>1</v>
      </c>
      <c r="D109" s="379">
        <v>38.140601450210632</v>
      </c>
      <c r="E109" s="25">
        <v>36.94</v>
      </c>
      <c r="F109" s="379">
        <v>10.345246519165705</v>
      </c>
      <c r="G109" s="25">
        <v>64.2</v>
      </c>
      <c r="H109" s="379">
        <v>11.913751786975748</v>
      </c>
      <c r="I109" s="25">
        <v>843.72</v>
      </c>
      <c r="J109" s="379">
        <v>7.3043260848111169</v>
      </c>
    </row>
    <row r="110" spans="1:10" x14ac:dyDescent="0.35">
      <c r="A110" s="5">
        <v>106</v>
      </c>
      <c r="B110" s="5">
        <v>5</v>
      </c>
      <c r="C110" s="5">
        <v>1</v>
      </c>
      <c r="D110" s="379">
        <v>28.92544028047903</v>
      </c>
      <c r="E110" s="25">
        <v>36.94</v>
      </c>
      <c r="F110" s="379">
        <v>10.114106741054378</v>
      </c>
      <c r="G110" s="25">
        <v>64.2</v>
      </c>
      <c r="H110" s="379">
        <v>11.843415050519633</v>
      </c>
      <c r="I110" s="25">
        <v>843.72</v>
      </c>
      <c r="J110" s="379">
        <v>7.3334129095142755</v>
      </c>
    </row>
    <row r="111" spans="1:10" x14ac:dyDescent="0.35">
      <c r="A111" s="5">
        <v>107</v>
      </c>
      <c r="B111" s="5">
        <v>5</v>
      </c>
      <c r="C111" s="5">
        <v>1</v>
      </c>
      <c r="D111" s="379">
        <v>39.683588274419485</v>
      </c>
      <c r="E111" s="25">
        <v>36.94</v>
      </c>
      <c r="F111" s="379">
        <v>9.9384104137648475</v>
      </c>
      <c r="G111" s="25">
        <v>64.2</v>
      </c>
      <c r="H111" s="379">
        <v>11.865772099346534</v>
      </c>
      <c r="I111" s="25">
        <v>843.72</v>
      </c>
      <c r="J111" s="379">
        <v>7.0881424620586664</v>
      </c>
    </row>
    <row r="112" spans="1:10" x14ac:dyDescent="0.35">
      <c r="A112" s="5">
        <v>108</v>
      </c>
      <c r="B112" s="5">
        <v>5</v>
      </c>
      <c r="C112" s="5">
        <v>1</v>
      </c>
      <c r="D112" s="379">
        <v>13.602777777777778</v>
      </c>
      <c r="E112" s="25">
        <v>36.94</v>
      </c>
      <c r="F112" s="379">
        <v>10.049487813288536</v>
      </c>
      <c r="G112" s="25">
        <v>64.2</v>
      </c>
      <c r="H112" s="379">
        <v>11.361773546721514</v>
      </c>
      <c r="I112" s="25">
        <v>843.72</v>
      </c>
      <c r="J112" s="379">
        <v>6.6669089834750688</v>
      </c>
    </row>
    <row r="113" spans="1:10" x14ac:dyDescent="0.35">
      <c r="A113" s="5">
        <v>109</v>
      </c>
      <c r="B113" s="5">
        <v>5</v>
      </c>
      <c r="C113" s="5">
        <v>1</v>
      </c>
      <c r="D113" s="379">
        <v>19.736462933318208</v>
      </c>
      <c r="E113" s="25">
        <v>36.94</v>
      </c>
      <c r="F113" s="379">
        <v>9.8440385727519431</v>
      </c>
      <c r="G113" s="25">
        <v>63.98</v>
      </c>
      <c r="H113" s="379">
        <v>11.047118851016977</v>
      </c>
      <c r="I113" s="25">
        <v>835.28</v>
      </c>
      <c r="J113" s="379">
        <v>6.691866514362335</v>
      </c>
    </row>
    <row r="114" spans="1:10" x14ac:dyDescent="0.35">
      <c r="A114" s="5">
        <v>110</v>
      </c>
      <c r="B114" s="5">
        <v>5</v>
      </c>
      <c r="C114" s="5">
        <v>1</v>
      </c>
      <c r="D114" s="379">
        <v>36.297222222222217</v>
      </c>
      <c r="E114" s="25">
        <v>36.94</v>
      </c>
      <c r="F114" s="379">
        <v>9.7786458417580384</v>
      </c>
      <c r="G114" s="25">
        <v>63.98</v>
      </c>
      <c r="H114" s="379">
        <v>11.049190218620231</v>
      </c>
      <c r="I114" s="25">
        <v>835.28</v>
      </c>
      <c r="J114" s="379">
        <v>6.5107985506291408</v>
      </c>
    </row>
    <row r="115" spans="1:10" x14ac:dyDescent="0.35">
      <c r="A115" s="5">
        <v>111</v>
      </c>
      <c r="B115" s="5">
        <v>5</v>
      </c>
      <c r="C115" s="5">
        <v>1</v>
      </c>
      <c r="D115" s="379">
        <v>21.798400925432766</v>
      </c>
      <c r="E115" s="25">
        <v>36.94</v>
      </c>
      <c r="F115" s="379">
        <v>11.337305898238016</v>
      </c>
      <c r="G115" s="25">
        <v>63.98</v>
      </c>
      <c r="H115" s="379">
        <v>11.036833627314575</v>
      </c>
      <c r="I115" s="25">
        <v>835.28</v>
      </c>
      <c r="J115" s="379">
        <v>6.5114525276197766</v>
      </c>
    </row>
    <row r="116" spans="1:10" x14ac:dyDescent="0.35">
      <c r="A116" s="5">
        <v>112</v>
      </c>
      <c r="B116" s="5">
        <v>5</v>
      </c>
      <c r="C116" s="5">
        <v>1</v>
      </c>
      <c r="D116" s="379">
        <v>29.032533636677879</v>
      </c>
      <c r="E116" s="25">
        <v>36.94</v>
      </c>
      <c r="F116" s="379">
        <v>13.09730139354151</v>
      </c>
      <c r="G116" s="25">
        <v>64.2</v>
      </c>
      <c r="H116" s="379">
        <v>11.563612568036209</v>
      </c>
      <c r="I116" s="25">
        <v>843.72</v>
      </c>
      <c r="J116" s="379">
        <v>7.0533263863172273</v>
      </c>
    </row>
    <row r="117" spans="1:10" x14ac:dyDescent="0.35">
      <c r="A117" s="5">
        <v>113</v>
      </c>
      <c r="B117" s="5">
        <v>5</v>
      </c>
      <c r="C117" s="5">
        <v>1</v>
      </c>
      <c r="D117" s="379">
        <v>20.753884262832756</v>
      </c>
      <c r="E117" s="25">
        <v>36.94</v>
      </c>
      <c r="F117" s="379">
        <v>22.034459513601295</v>
      </c>
      <c r="G117" s="25">
        <v>843.72</v>
      </c>
      <c r="H117" s="379">
        <v>20.825671869784564</v>
      </c>
      <c r="I117" s="25">
        <v>869.03</v>
      </c>
      <c r="J117" s="379">
        <v>6.7958358820280873</v>
      </c>
    </row>
    <row r="118" spans="1:10" x14ac:dyDescent="0.35">
      <c r="A118" s="5">
        <v>114</v>
      </c>
      <c r="B118" s="5">
        <v>5</v>
      </c>
      <c r="C118" s="5">
        <v>1</v>
      </c>
      <c r="D118" s="379">
        <v>60.531271394182056</v>
      </c>
      <c r="E118" s="25">
        <v>36.94</v>
      </c>
      <c r="F118" s="379">
        <v>20.537648166802693</v>
      </c>
      <c r="G118" s="25">
        <v>869.03</v>
      </c>
      <c r="H118" s="379">
        <v>20.507298022370751</v>
      </c>
      <c r="I118" s="25">
        <v>869.03</v>
      </c>
      <c r="J118" s="379">
        <v>7.0909614370614724</v>
      </c>
    </row>
    <row r="119" spans="1:10" x14ac:dyDescent="0.35">
      <c r="A119" s="5">
        <v>115</v>
      </c>
      <c r="B119" s="5">
        <v>5</v>
      </c>
      <c r="C119" s="5">
        <v>1</v>
      </c>
      <c r="D119" s="379">
        <v>50.799297896513991</v>
      </c>
      <c r="E119" s="25">
        <v>36.94</v>
      </c>
      <c r="F119" s="379">
        <v>20.38907795927879</v>
      </c>
      <c r="G119" s="25">
        <v>869.03</v>
      </c>
      <c r="H119" s="379">
        <v>22.461732066490011</v>
      </c>
      <c r="I119" s="25">
        <v>869.03</v>
      </c>
      <c r="J119" s="379">
        <v>7.0909614370614724</v>
      </c>
    </row>
    <row r="120" spans="1:10" x14ac:dyDescent="0.35">
      <c r="A120" s="5">
        <v>116</v>
      </c>
      <c r="B120" s="5">
        <v>5</v>
      </c>
      <c r="C120" s="5">
        <v>1</v>
      </c>
      <c r="D120" s="379">
        <v>35.742265212242664</v>
      </c>
      <c r="E120" s="25">
        <v>36.94</v>
      </c>
      <c r="F120" s="379">
        <v>20.419220891013577</v>
      </c>
      <c r="G120" s="25">
        <v>843.72</v>
      </c>
      <c r="H120" s="379">
        <v>20.950318906649581</v>
      </c>
      <c r="I120" s="25">
        <v>843.72</v>
      </c>
      <c r="J120" s="379">
        <v>7.0909614370614724</v>
      </c>
    </row>
    <row r="121" spans="1:10" x14ac:dyDescent="0.35">
      <c r="A121" s="5">
        <v>117</v>
      </c>
      <c r="B121" s="5">
        <v>5</v>
      </c>
      <c r="C121" s="5">
        <v>1</v>
      </c>
      <c r="D121" s="379">
        <v>41.709598939705288</v>
      </c>
      <c r="E121" s="25">
        <v>35.869999999999997</v>
      </c>
      <c r="F121" s="379">
        <v>21.197473102960974</v>
      </c>
      <c r="G121" s="25">
        <v>64.2</v>
      </c>
      <c r="H121" s="379">
        <v>20.016715733868892</v>
      </c>
      <c r="I121" s="25">
        <v>843.72</v>
      </c>
      <c r="J121" s="379">
        <v>7.0053007346432548</v>
      </c>
    </row>
    <row r="122" spans="1:10" x14ac:dyDescent="0.35">
      <c r="A122" s="5">
        <v>118</v>
      </c>
      <c r="B122" s="5">
        <v>5</v>
      </c>
      <c r="C122" s="5">
        <v>1</v>
      </c>
      <c r="D122" s="379">
        <v>23.897008200365271</v>
      </c>
      <c r="E122" s="25">
        <v>28.15</v>
      </c>
      <c r="F122" s="379">
        <v>21.691573469768208</v>
      </c>
      <c r="G122" s="25">
        <v>62.12</v>
      </c>
      <c r="H122" s="379">
        <v>21.580556819473184</v>
      </c>
      <c r="I122" s="25">
        <v>843.72</v>
      </c>
      <c r="J122" s="379">
        <v>6.6762164331333711</v>
      </c>
    </row>
    <row r="123" spans="1:10" x14ac:dyDescent="0.35">
      <c r="A123" s="5">
        <v>119</v>
      </c>
      <c r="B123" s="5">
        <v>5</v>
      </c>
      <c r="C123" s="5">
        <v>1</v>
      </c>
      <c r="D123" s="379">
        <v>29.257309360926694</v>
      </c>
      <c r="E123" s="25">
        <v>27.29</v>
      </c>
      <c r="F123" s="379">
        <v>20.408118444129649</v>
      </c>
      <c r="G123" s="25">
        <v>60.51</v>
      </c>
      <c r="H123" s="379">
        <v>20.539290936623523</v>
      </c>
      <c r="I123" s="25">
        <v>843.72</v>
      </c>
      <c r="J123" s="379">
        <v>7.1854714206996331</v>
      </c>
    </row>
    <row r="124" spans="1:10" x14ac:dyDescent="0.35">
      <c r="A124" s="5">
        <v>120</v>
      </c>
      <c r="B124" s="5">
        <v>5</v>
      </c>
      <c r="C124" s="5">
        <v>1</v>
      </c>
      <c r="D124" s="379">
        <v>24.910101331676067</v>
      </c>
      <c r="E124" s="25">
        <v>26.51</v>
      </c>
      <c r="F124" s="379">
        <v>18.073249135295242</v>
      </c>
      <c r="G124" s="25">
        <v>57.04</v>
      </c>
      <c r="H124" s="379">
        <v>16.478975102509157</v>
      </c>
      <c r="I124" s="25">
        <v>843.72</v>
      </c>
      <c r="J124" s="379">
        <v>7.4407615141754961</v>
      </c>
    </row>
    <row r="125" spans="1:10" x14ac:dyDescent="0.35">
      <c r="A125" s="5">
        <v>121</v>
      </c>
      <c r="B125" s="5">
        <v>6</v>
      </c>
      <c r="C125" s="5">
        <v>1</v>
      </c>
      <c r="D125" s="379">
        <v>19.23119062051973</v>
      </c>
      <c r="E125" s="25">
        <v>25.74</v>
      </c>
      <c r="F125" s="379">
        <v>16.595192212237777</v>
      </c>
      <c r="G125" s="25">
        <v>54.82</v>
      </c>
      <c r="H125" s="379">
        <v>18.401535331002759</v>
      </c>
      <c r="I125" s="25">
        <v>717.16</v>
      </c>
      <c r="J125" s="379">
        <v>7.525732263577086</v>
      </c>
    </row>
    <row r="126" spans="1:10" x14ac:dyDescent="0.35">
      <c r="A126" s="5">
        <v>122</v>
      </c>
      <c r="B126" s="5">
        <v>6</v>
      </c>
      <c r="C126" s="5">
        <v>1</v>
      </c>
      <c r="D126" s="379">
        <v>22.486245868061889</v>
      </c>
      <c r="E126" s="25">
        <v>25.74</v>
      </c>
      <c r="F126" s="379">
        <v>13.947566450247246</v>
      </c>
      <c r="G126" s="25">
        <v>54.57</v>
      </c>
      <c r="H126" s="379">
        <v>17.851952508334087</v>
      </c>
      <c r="I126" s="25">
        <v>717.16</v>
      </c>
      <c r="J126" s="379">
        <v>7.5176132678579943</v>
      </c>
    </row>
    <row r="127" spans="1:10" x14ac:dyDescent="0.35">
      <c r="A127" s="5">
        <v>123</v>
      </c>
      <c r="B127" s="5">
        <v>6</v>
      </c>
      <c r="C127" s="5">
        <v>1</v>
      </c>
      <c r="D127" s="379">
        <v>22.713430719721504</v>
      </c>
      <c r="E127" s="25">
        <v>25.74</v>
      </c>
      <c r="F127" s="379">
        <v>17.137667917132919</v>
      </c>
      <c r="G127" s="25">
        <v>54.57</v>
      </c>
      <c r="H127" s="379">
        <v>17.379079551597655</v>
      </c>
      <c r="I127" s="25">
        <v>640.05999999999995</v>
      </c>
      <c r="J127" s="379">
        <v>7.4573208610106576</v>
      </c>
    </row>
    <row r="128" spans="1:10" x14ac:dyDescent="0.35">
      <c r="A128" s="5">
        <v>124</v>
      </c>
      <c r="B128" s="5">
        <v>6</v>
      </c>
      <c r="C128" s="5">
        <v>1</v>
      </c>
      <c r="D128" s="379">
        <v>22.807610642070973</v>
      </c>
      <c r="E128" s="25">
        <v>25.59</v>
      </c>
      <c r="F128" s="379">
        <v>16.880004235689736</v>
      </c>
      <c r="G128" s="25">
        <v>54.57</v>
      </c>
      <c r="H128" s="379">
        <v>18.996835844770683</v>
      </c>
      <c r="I128" s="25">
        <v>640.05999999999995</v>
      </c>
      <c r="J128" s="379">
        <v>7.4483621721661377</v>
      </c>
    </row>
    <row r="129" spans="1:10" x14ac:dyDescent="0.35">
      <c r="A129" s="5">
        <v>125</v>
      </c>
      <c r="B129" s="5">
        <v>6</v>
      </c>
      <c r="C129" s="5">
        <v>1</v>
      </c>
      <c r="D129" s="379">
        <v>25.166507568454168</v>
      </c>
      <c r="E129" s="25">
        <v>25.74</v>
      </c>
      <c r="F129" s="379">
        <v>17.274303945180915</v>
      </c>
      <c r="G129" s="25">
        <v>54.57</v>
      </c>
      <c r="H129" s="379">
        <v>18.179211552298423</v>
      </c>
      <c r="I129" s="25">
        <v>640.05999999999995</v>
      </c>
      <c r="J129" s="379">
        <v>7.4325146187496705</v>
      </c>
    </row>
    <row r="130" spans="1:10" x14ac:dyDescent="0.35">
      <c r="A130" s="5">
        <v>126</v>
      </c>
      <c r="B130" s="5">
        <v>6</v>
      </c>
      <c r="C130" s="5">
        <v>1</v>
      </c>
      <c r="D130" s="379">
        <v>24.317984884800563</v>
      </c>
      <c r="E130" s="25">
        <v>25.74</v>
      </c>
      <c r="F130" s="379">
        <v>16.140279524118171</v>
      </c>
      <c r="G130" s="25">
        <v>54.57</v>
      </c>
      <c r="H130" s="379">
        <v>18.022492176824123</v>
      </c>
      <c r="I130" s="25">
        <v>717.16</v>
      </c>
      <c r="J130" s="379">
        <v>7.3390895323811751</v>
      </c>
    </row>
    <row r="131" spans="1:10" x14ac:dyDescent="0.35">
      <c r="A131" s="5">
        <v>127</v>
      </c>
      <c r="B131" s="5">
        <v>6</v>
      </c>
      <c r="C131" s="5">
        <v>1</v>
      </c>
      <c r="D131" s="379">
        <v>22.300306319102095</v>
      </c>
      <c r="E131" s="25">
        <v>28.11</v>
      </c>
      <c r="F131" s="379">
        <v>15.143033201248098</v>
      </c>
      <c r="G131" s="25">
        <v>55.38</v>
      </c>
      <c r="H131" s="379">
        <v>18.136200453772492</v>
      </c>
      <c r="I131" s="25">
        <v>843.72</v>
      </c>
      <c r="J131" s="379">
        <v>7.0624945259336247</v>
      </c>
    </row>
    <row r="132" spans="1:10" x14ac:dyDescent="0.35">
      <c r="A132" s="5">
        <v>128</v>
      </c>
      <c r="B132" s="5">
        <v>6</v>
      </c>
      <c r="C132" s="5">
        <v>1</v>
      </c>
      <c r="D132" s="379">
        <v>28.6679372801893</v>
      </c>
      <c r="E132" s="25">
        <v>35.869999999999997</v>
      </c>
      <c r="F132" s="379">
        <v>16.068428383682956</v>
      </c>
      <c r="G132" s="25">
        <v>64.2</v>
      </c>
      <c r="H132" s="379">
        <v>18.40379166591698</v>
      </c>
      <c r="I132" s="25">
        <v>843.72</v>
      </c>
      <c r="J132" s="379">
        <v>6.9993079294245479</v>
      </c>
    </row>
    <row r="133" spans="1:10" x14ac:dyDescent="0.35">
      <c r="A133" s="5">
        <v>129</v>
      </c>
      <c r="B133" s="5">
        <v>6</v>
      </c>
      <c r="C133" s="5">
        <v>1</v>
      </c>
      <c r="D133" s="379">
        <v>35.941501860809545</v>
      </c>
      <c r="E133" s="25">
        <v>36.94</v>
      </c>
      <c r="F133" s="379">
        <v>16.848659920583394</v>
      </c>
      <c r="G133" s="25">
        <v>64.2</v>
      </c>
      <c r="H133" s="379">
        <v>17.956380780956732</v>
      </c>
      <c r="I133" s="25">
        <v>843.72</v>
      </c>
      <c r="J133" s="379">
        <v>7.092219708874854</v>
      </c>
    </row>
    <row r="134" spans="1:10" x14ac:dyDescent="0.35">
      <c r="A134" s="5">
        <v>130</v>
      </c>
      <c r="B134" s="5">
        <v>6</v>
      </c>
      <c r="C134" s="5">
        <v>1</v>
      </c>
      <c r="D134" s="379">
        <v>38.866310736431188</v>
      </c>
      <c r="E134" s="25">
        <v>36.94</v>
      </c>
      <c r="F134" s="379">
        <v>8.9482751020951703</v>
      </c>
      <c r="G134" s="25">
        <v>64.2</v>
      </c>
      <c r="H134" s="379">
        <v>10.741526347675249</v>
      </c>
      <c r="I134" s="25">
        <v>843.72</v>
      </c>
      <c r="J134" s="379">
        <v>2.1113302785586359</v>
      </c>
    </row>
    <row r="135" spans="1:10" x14ac:dyDescent="0.35">
      <c r="A135" s="5">
        <v>131</v>
      </c>
      <c r="B135" s="5">
        <v>6</v>
      </c>
      <c r="C135" s="5">
        <v>1</v>
      </c>
      <c r="D135" s="379">
        <v>36.87548545853506</v>
      </c>
      <c r="E135" s="25">
        <v>36.94</v>
      </c>
      <c r="F135" s="379">
        <v>8.1174834595959595</v>
      </c>
      <c r="G135" s="25">
        <v>64.2</v>
      </c>
      <c r="H135" s="379">
        <v>4.799693804694658</v>
      </c>
      <c r="I135" s="25">
        <v>843.72</v>
      </c>
      <c r="J135" s="379">
        <v>2.1113302785586359</v>
      </c>
    </row>
    <row r="136" spans="1:10" x14ac:dyDescent="0.35">
      <c r="A136" s="5">
        <v>132</v>
      </c>
      <c r="B136" s="5">
        <v>6</v>
      </c>
      <c r="C136" s="5">
        <v>1</v>
      </c>
      <c r="D136" s="379">
        <v>38.91603016054821</v>
      </c>
      <c r="E136" s="25">
        <v>36.94</v>
      </c>
      <c r="F136" s="379">
        <v>8.1174834595959577</v>
      </c>
      <c r="G136" s="25">
        <v>64.2</v>
      </c>
      <c r="H136" s="379">
        <v>6.8437853450557897</v>
      </c>
      <c r="I136" s="25">
        <v>843.72</v>
      </c>
      <c r="J136" s="379">
        <v>5.5184151600982201</v>
      </c>
    </row>
    <row r="137" spans="1:10" x14ac:dyDescent="0.35">
      <c r="A137" s="5">
        <v>133</v>
      </c>
      <c r="B137" s="5">
        <v>6</v>
      </c>
      <c r="C137" s="5">
        <v>1</v>
      </c>
      <c r="D137" s="379">
        <v>40.610184514292733</v>
      </c>
      <c r="E137" s="25">
        <v>36.94</v>
      </c>
      <c r="F137" s="379">
        <v>8.1174834595959595</v>
      </c>
      <c r="G137" s="25">
        <v>62.12</v>
      </c>
      <c r="H137" s="379">
        <v>6.912383041866752</v>
      </c>
      <c r="I137" s="25">
        <v>724.4</v>
      </c>
      <c r="J137" s="379">
        <v>5.2028489945294814</v>
      </c>
    </row>
    <row r="138" spans="1:10" x14ac:dyDescent="0.35">
      <c r="A138" s="5">
        <v>134</v>
      </c>
      <c r="B138" s="5">
        <v>6</v>
      </c>
      <c r="C138" s="5">
        <v>1</v>
      </c>
      <c r="D138" s="379">
        <v>41.111757315840187</v>
      </c>
      <c r="E138" s="25">
        <v>36.94</v>
      </c>
      <c r="F138" s="379">
        <v>8.1174834595959595</v>
      </c>
      <c r="G138" s="25">
        <v>62.12</v>
      </c>
      <c r="H138" s="379">
        <v>6.9940322380640785</v>
      </c>
      <c r="I138" s="25">
        <v>717.16</v>
      </c>
      <c r="J138" s="379">
        <v>5.2028489945294814</v>
      </c>
    </row>
    <row r="139" spans="1:10" x14ac:dyDescent="0.35">
      <c r="A139" s="5">
        <v>135</v>
      </c>
      <c r="B139" s="5">
        <v>6</v>
      </c>
      <c r="C139" s="5">
        <v>1</v>
      </c>
      <c r="D139" s="379">
        <v>36.982071878462577</v>
      </c>
      <c r="E139" s="25">
        <v>36.94</v>
      </c>
      <c r="F139" s="379">
        <v>8.1174834595959577</v>
      </c>
      <c r="G139" s="25">
        <v>62.12</v>
      </c>
      <c r="H139" s="379">
        <v>6.6983186506161978</v>
      </c>
      <c r="I139" s="25">
        <v>717.16</v>
      </c>
      <c r="J139" s="379">
        <v>5.2410835789892252</v>
      </c>
    </row>
    <row r="140" spans="1:10" x14ac:dyDescent="0.35">
      <c r="A140" s="5">
        <v>136</v>
      </c>
      <c r="B140" s="5">
        <v>6</v>
      </c>
      <c r="C140" s="5">
        <v>1</v>
      </c>
      <c r="D140" s="379">
        <v>31.09940671330834</v>
      </c>
      <c r="E140" s="25">
        <v>36.94</v>
      </c>
      <c r="F140" s="379">
        <v>8.7245159108937322</v>
      </c>
      <c r="G140" s="25">
        <v>63.98</v>
      </c>
      <c r="H140" s="379">
        <v>7.3638284091687343</v>
      </c>
      <c r="I140" s="25">
        <v>724.4</v>
      </c>
      <c r="J140" s="379">
        <v>5.2586177611886358</v>
      </c>
    </row>
    <row r="141" spans="1:10" x14ac:dyDescent="0.35">
      <c r="A141" s="5">
        <v>137</v>
      </c>
      <c r="B141" s="5">
        <v>6</v>
      </c>
      <c r="C141" s="5">
        <v>1</v>
      </c>
      <c r="D141" s="379">
        <v>67.485498323108871</v>
      </c>
      <c r="E141" s="25">
        <v>36.94</v>
      </c>
      <c r="F141" s="379">
        <v>8.6263066214209445</v>
      </c>
      <c r="G141" s="25">
        <v>64.2</v>
      </c>
      <c r="H141" s="379">
        <v>7.4924504196194253</v>
      </c>
      <c r="I141" s="25">
        <v>843.72</v>
      </c>
      <c r="J141" s="379">
        <v>4.1859724643121927</v>
      </c>
    </row>
    <row r="142" spans="1:10" x14ac:dyDescent="0.35">
      <c r="A142" s="5">
        <v>138</v>
      </c>
      <c r="B142" s="5">
        <v>6</v>
      </c>
      <c r="C142" s="5">
        <v>1</v>
      </c>
      <c r="D142" s="379">
        <v>45.440252543261543</v>
      </c>
      <c r="E142" s="25">
        <v>36.94</v>
      </c>
      <c r="F142" s="379">
        <v>9.287691380709493</v>
      </c>
      <c r="G142" s="25">
        <v>79.86</v>
      </c>
      <c r="H142" s="379">
        <v>7.4078319750479116</v>
      </c>
      <c r="I142" s="25">
        <v>843.72</v>
      </c>
      <c r="J142" s="379">
        <v>3.2850535049802794</v>
      </c>
    </row>
    <row r="143" spans="1:10" x14ac:dyDescent="0.35">
      <c r="A143" s="5">
        <v>139</v>
      </c>
      <c r="B143" s="5">
        <v>6</v>
      </c>
      <c r="C143" s="5">
        <v>1</v>
      </c>
      <c r="D143" s="379">
        <v>19.469444444444445</v>
      </c>
      <c r="E143" s="25">
        <v>36.94</v>
      </c>
      <c r="F143" s="379">
        <v>8.4624070082062453</v>
      </c>
      <c r="G143" s="25">
        <v>79.86</v>
      </c>
      <c r="H143" s="379">
        <v>7.2157870454638617</v>
      </c>
      <c r="I143" s="25">
        <v>843.72</v>
      </c>
      <c r="J143" s="379">
        <v>3.0211753835823449</v>
      </c>
    </row>
    <row r="144" spans="1:10" x14ac:dyDescent="0.35">
      <c r="A144" s="5">
        <v>140</v>
      </c>
      <c r="B144" s="5">
        <v>6</v>
      </c>
      <c r="C144" s="5">
        <v>1</v>
      </c>
      <c r="D144" s="379">
        <v>34.461246876187722</v>
      </c>
      <c r="E144" s="25">
        <v>35.869999999999997</v>
      </c>
      <c r="F144" s="379">
        <v>8.6246365883402536</v>
      </c>
      <c r="G144" s="25">
        <v>64.2</v>
      </c>
      <c r="H144" s="379">
        <v>7.2862833374981033</v>
      </c>
      <c r="I144" s="25">
        <v>843.72</v>
      </c>
      <c r="J144" s="379">
        <v>4.4657400369316465</v>
      </c>
    </row>
    <row r="145" spans="1:10" x14ac:dyDescent="0.35">
      <c r="A145" s="5">
        <v>141</v>
      </c>
      <c r="B145" s="5">
        <v>6</v>
      </c>
      <c r="C145" s="5">
        <v>1</v>
      </c>
      <c r="D145" s="379">
        <v>61.548290164411085</v>
      </c>
      <c r="E145" s="25">
        <v>27.3</v>
      </c>
      <c r="F145" s="379">
        <v>7.8820776974424458</v>
      </c>
      <c r="G145" s="25">
        <v>55.83</v>
      </c>
      <c r="H145" s="379">
        <v>7.1410809588455741</v>
      </c>
      <c r="I145" s="25">
        <v>717.16</v>
      </c>
      <c r="J145" s="379">
        <v>4.2222586553762174</v>
      </c>
    </row>
    <row r="146" spans="1:10" x14ac:dyDescent="0.35">
      <c r="A146" s="5">
        <v>142</v>
      </c>
      <c r="B146" s="5">
        <v>6</v>
      </c>
      <c r="C146" s="5">
        <v>1</v>
      </c>
      <c r="D146" s="379">
        <v>35.910305067210494</v>
      </c>
      <c r="E146" s="25">
        <v>25.74</v>
      </c>
      <c r="F146" s="379">
        <v>5.6118438554994983</v>
      </c>
      <c r="G146" s="25">
        <v>53.66</v>
      </c>
      <c r="H146" s="379">
        <v>6.1916225231744377</v>
      </c>
      <c r="I146" s="25">
        <v>632.79</v>
      </c>
      <c r="J146" s="379">
        <v>2.7177999513406168</v>
      </c>
    </row>
    <row r="147" spans="1:10" x14ac:dyDescent="0.35">
      <c r="A147" s="5">
        <v>143</v>
      </c>
      <c r="B147" s="5">
        <v>6</v>
      </c>
      <c r="C147" s="5">
        <v>1</v>
      </c>
      <c r="D147" s="379">
        <v>32.875547389938617</v>
      </c>
      <c r="E147" s="25">
        <v>25.74</v>
      </c>
      <c r="F147" s="379">
        <v>5.7976802374383931</v>
      </c>
      <c r="G147" s="25">
        <v>55.27</v>
      </c>
      <c r="H147" s="379">
        <v>6.2135649868502547</v>
      </c>
      <c r="I147" s="25">
        <v>675.99</v>
      </c>
      <c r="J147" s="379">
        <v>2.8098953005241047</v>
      </c>
    </row>
    <row r="148" spans="1:10" x14ac:dyDescent="0.35">
      <c r="A148" s="5">
        <v>144</v>
      </c>
      <c r="B148" s="5">
        <v>6</v>
      </c>
      <c r="C148" s="5">
        <v>1</v>
      </c>
      <c r="D148" s="379">
        <v>28.390254539942926</v>
      </c>
      <c r="E148" s="25">
        <v>25.74</v>
      </c>
      <c r="F148" s="379">
        <v>5.5672349641006074</v>
      </c>
      <c r="G148" s="25">
        <v>55.27</v>
      </c>
      <c r="H148" s="379">
        <v>4.5402439720213117</v>
      </c>
      <c r="I148" s="25">
        <v>717.16</v>
      </c>
      <c r="J148" s="379">
        <v>4.7376495790587638</v>
      </c>
    </row>
    <row r="149" spans="1:10" x14ac:dyDescent="0.35">
      <c r="A149" s="5">
        <v>145</v>
      </c>
      <c r="B149" s="5">
        <v>7</v>
      </c>
      <c r="C149" s="5">
        <v>1</v>
      </c>
      <c r="D149" s="379">
        <v>37.211111111111116</v>
      </c>
      <c r="E149" s="25">
        <v>25.74</v>
      </c>
      <c r="F149" s="379">
        <v>5.7474239582453022</v>
      </c>
      <c r="G149" s="25">
        <v>52.67</v>
      </c>
      <c r="H149" s="379">
        <v>4.6054683883313512</v>
      </c>
      <c r="I149" s="25">
        <v>623.48</v>
      </c>
      <c r="J149" s="379">
        <v>5.5510295760931188</v>
      </c>
    </row>
    <row r="150" spans="1:10" x14ac:dyDescent="0.35">
      <c r="A150" s="5">
        <v>146</v>
      </c>
      <c r="B150" s="5">
        <v>7</v>
      </c>
      <c r="C150" s="5">
        <v>1</v>
      </c>
      <c r="D150" s="379">
        <v>32.43182582110213</v>
      </c>
      <c r="E150" s="25">
        <v>25.74</v>
      </c>
      <c r="F150" s="379">
        <v>5.6949742071770038</v>
      </c>
      <c r="G150" s="25">
        <v>48.88</v>
      </c>
      <c r="H150" s="379">
        <v>4.7994115556709449</v>
      </c>
      <c r="I150" s="25">
        <v>623.48</v>
      </c>
      <c r="J150" s="379">
        <v>3.4961036286980063</v>
      </c>
    </row>
    <row r="151" spans="1:10" x14ac:dyDescent="0.35">
      <c r="A151" s="5">
        <v>147</v>
      </c>
      <c r="B151" s="5">
        <v>7</v>
      </c>
      <c r="C151" s="5">
        <v>1</v>
      </c>
      <c r="D151" s="379">
        <v>34.038888888888891</v>
      </c>
      <c r="E151" s="25">
        <v>25.59</v>
      </c>
      <c r="F151" s="379">
        <v>5.9573609482459107</v>
      </c>
      <c r="G151" s="25">
        <v>47.85</v>
      </c>
      <c r="H151" s="379">
        <v>4.8909339368511446</v>
      </c>
      <c r="I151" s="25">
        <v>623.48</v>
      </c>
      <c r="J151" s="379">
        <v>3.8925093119099468</v>
      </c>
    </row>
    <row r="152" spans="1:10" x14ac:dyDescent="0.35">
      <c r="A152" s="5">
        <v>148</v>
      </c>
      <c r="B152" s="5">
        <v>7</v>
      </c>
      <c r="C152" s="5">
        <v>1</v>
      </c>
      <c r="D152" s="379">
        <v>33.905555555555559</v>
      </c>
      <c r="E152" s="25">
        <v>25.59</v>
      </c>
      <c r="F152" s="379">
        <v>5.9758637111483113</v>
      </c>
      <c r="G152" s="25">
        <v>47.85</v>
      </c>
      <c r="H152" s="379">
        <v>5.239982504170964</v>
      </c>
      <c r="I152" s="25">
        <v>544.04999999999995</v>
      </c>
      <c r="J152" s="379">
        <v>4.2367676903105345</v>
      </c>
    </row>
    <row r="153" spans="1:10" x14ac:dyDescent="0.35">
      <c r="A153" s="5">
        <v>149</v>
      </c>
      <c r="B153" s="5">
        <v>7</v>
      </c>
      <c r="C153" s="5">
        <v>1</v>
      </c>
      <c r="D153" s="379">
        <v>33.911111111111104</v>
      </c>
      <c r="E153" s="25">
        <v>25.74</v>
      </c>
      <c r="F153" s="379">
        <v>5.9222212792074895</v>
      </c>
      <c r="G153" s="25">
        <v>52.67</v>
      </c>
      <c r="H153" s="379">
        <v>5.3096903210417308</v>
      </c>
      <c r="I153" s="25">
        <v>603.30999999999995</v>
      </c>
      <c r="J153" s="379">
        <v>4.2056121421964345</v>
      </c>
    </row>
    <row r="154" spans="1:10" x14ac:dyDescent="0.35">
      <c r="A154" s="5">
        <v>150</v>
      </c>
      <c r="B154" s="5">
        <v>7</v>
      </c>
      <c r="C154" s="5">
        <v>1</v>
      </c>
      <c r="D154" s="379">
        <v>25.29666608209925</v>
      </c>
      <c r="E154" s="25">
        <v>25.74</v>
      </c>
      <c r="F154" s="379">
        <v>6.1451460190202827</v>
      </c>
      <c r="G154" s="25">
        <v>52.67</v>
      </c>
      <c r="H154" s="379">
        <v>5.4548256905808996</v>
      </c>
      <c r="I154" s="25">
        <v>632.79</v>
      </c>
      <c r="J154" s="379">
        <v>1.3640693316805592</v>
      </c>
    </row>
    <row r="155" spans="1:10" x14ac:dyDescent="0.35">
      <c r="A155" s="5">
        <v>151</v>
      </c>
      <c r="B155" s="5">
        <v>7</v>
      </c>
      <c r="C155" s="5">
        <v>1</v>
      </c>
      <c r="D155" s="379">
        <v>38.941666666666663</v>
      </c>
      <c r="E155" s="25">
        <v>27.29</v>
      </c>
      <c r="F155" s="379">
        <v>6.5597364666164957</v>
      </c>
      <c r="G155" s="25">
        <v>58.75</v>
      </c>
      <c r="H155" s="379">
        <v>5.4026750596919468</v>
      </c>
      <c r="I155" s="25">
        <v>843.72</v>
      </c>
      <c r="J155" s="379">
        <v>2.0649802063330793</v>
      </c>
    </row>
    <row r="156" spans="1:10" x14ac:dyDescent="0.35">
      <c r="A156" s="5">
        <v>152</v>
      </c>
      <c r="B156" s="5">
        <v>7</v>
      </c>
      <c r="C156" s="5">
        <v>1</v>
      </c>
      <c r="D156" s="379">
        <v>26.474618245712577</v>
      </c>
      <c r="E156" s="25">
        <v>30.91</v>
      </c>
      <c r="F156" s="379">
        <v>5.3256291139088443</v>
      </c>
      <c r="G156" s="25">
        <v>71.19</v>
      </c>
      <c r="H156" s="379">
        <v>5.6473427135327823</v>
      </c>
      <c r="I156" s="25">
        <v>843.72</v>
      </c>
      <c r="J156" s="379">
        <v>2.2975274483315817</v>
      </c>
    </row>
    <row r="157" spans="1:10" x14ac:dyDescent="0.35">
      <c r="A157" s="5">
        <v>153</v>
      </c>
      <c r="B157" s="5">
        <v>7</v>
      </c>
      <c r="C157" s="5">
        <v>1</v>
      </c>
      <c r="D157" s="379">
        <v>19.543324444033381</v>
      </c>
      <c r="E157" s="25">
        <v>30.91</v>
      </c>
      <c r="F157" s="379">
        <v>6.0150568613945978</v>
      </c>
      <c r="G157" s="25">
        <v>77.53</v>
      </c>
      <c r="H157" s="379">
        <v>5.213066062943585</v>
      </c>
      <c r="I157" s="25">
        <v>843.72</v>
      </c>
      <c r="J157" s="379">
        <v>1.0427855707387361</v>
      </c>
    </row>
    <row r="158" spans="1:10" x14ac:dyDescent="0.35">
      <c r="A158" s="5">
        <v>154</v>
      </c>
      <c r="B158" s="5">
        <v>7</v>
      </c>
      <c r="C158" s="5">
        <v>1</v>
      </c>
      <c r="D158" s="379">
        <v>32.282210662339779</v>
      </c>
      <c r="E158" s="25">
        <v>30.91</v>
      </c>
      <c r="F158" s="379">
        <v>3.3611454949889517</v>
      </c>
      <c r="G158" s="25">
        <v>73.08</v>
      </c>
      <c r="H158" s="379">
        <v>4.4686855894923916</v>
      </c>
      <c r="I158" s="25">
        <v>843.72</v>
      </c>
      <c r="J158" s="379">
        <v>3.9599666447408763</v>
      </c>
    </row>
    <row r="159" spans="1:10" x14ac:dyDescent="0.35">
      <c r="A159" s="5">
        <v>155</v>
      </c>
      <c r="B159" s="5">
        <v>7</v>
      </c>
      <c r="C159" s="5">
        <v>1</v>
      </c>
      <c r="D159" s="379">
        <v>43.635739223676744</v>
      </c>
      <c r="E159" s="25">
        <v>30.91</v>
      </c>
      <c r="F159" s="379">
        <v>2.2303244003348972</v>
      </c>
      <c r="G159" s="25">
        <v>71.19</v>
      </c>
      <c r="H159" s="379">
        <v>4.218721605279268</v>
      </c>
      <c r="I159" s="25">
        <v>843.72</v>
      </c>
      <c r="J159" s="379">
        <v>3.4036627593648108</v>
      </c>
    </row>
    <row r="160" spans="1:10" x14ac:dyDescent="0.35">
      <c r="A160" s="5">
        <v>156</v>
      </c>
      <c r="B160" s="5">
        <v>7</v>
      </c>
      <c r="C160" s="5">
        <v>1</v>
      </c>
      <c r="D160" s="379">
        <v>11.113888888888889</v>
      </c>
      <c r="E160" s="25">
        <v>30.91</v>
      </c>
      <c r="F160" s="379">
        <v>6.6236307131217087</v>
      </c>
      <c r="G160" s="25">
        <v>71.19</v>
      </c>
      <c r="H160" s="379">
        <v>4.218721605279268</v>
      </c>
      <c r="I160" s="25">
        <v>843.72</v>
      </c>
      <c r="J160" s="379">
        <v>3.1219958538927122</v>
      </c>
    </row>
    <row r="161" spans="1:10" x14ac:dyDescent="0.35">
      <c r="A161" s="5">
        <v>157</v>
      </c>
      <c r="B161" s="5">
        <v>7</v>
      </c>
      <c r="C161" s="5">
        <v>1</v>
      </c>
      <c r="D161" s="379">
        <v>37.679080233788021</v>
      </c>
      <c r="E161" s="25">
        <v>30.91</v>
      </c>
      <c r="F161" s="379">
        <v>5.1486583261931642</v>
      </c>
      <c r="G161" s="25">
        <v>64.2</v>
      </c>
      <c r="H161" s="379">
        <v>1.5549219585584673</v>
      </c>
      <c r="I161" s="25">
        <v>843.72</v>
      </c>
      <c r="J161" s="379">
        <v>3.1219958538927122</v>
      </c>
    </row>
    <row r="162" spans="1:10" x14ac:dyDescent="0.35">
      <c r="A162" s="5">
        <v>158</v>
      </c>
      <c r="B162" s="5">
        <v>7</v>
      </c>
      <c r="C162" s="5">
        <v>1</v>
      </c>
      <c r="D162" s="379">
        <v>45.10450627594421</v>
      </c>
      <c r="E162" s="25">
        <v>30.91</v>
      </c>
      <c r="F162" s="379">
        <v>1.3104116538250972</v>
      </c>
      <c r="G162" s="25">
        <v>62.12</v>
      </c>
      <c r="H162" s="379">
        <v>4.218721605279268</v>
      </c>
      <c r="I162" s="25">
        <v>843.72</v>
      </c>
      <c r="J162" s="379">
        <v>3.1219958538927122</v>
      </c>
    </row>
    <row r="163" spans="1:10" x14ac:dyDescent="0.35">
      <c r="A163" s="5">
        <v>159</v>
      </c>
      <c r="B163" s="5">
        <v>7</v>
      </c>
      <c r="C163" s="5">
        <v>1</v>
      </c>
      <c r="D163" s="379">
        <v>45.508622264803904</v>
      </c>
      <c r="E163" s="25">
        <v>30.01</v>
      </c>
      <c r="F163" s="379">
        <v>5.3617866218946508</v>
      </c>
      <c r="G163" s="25">
        <v>62.12</v>
      </c>
      <c r="H163" s="379">
        <v>2.0246781783010896</v>
      </c>
      <c r="I163" s="25">
        <v>819.14</v>
      </c>
      <c r="J163" s="379">
        <v>3.1219958538927122</v>
      </c>
    </row>
    <row r="164" spans="1:10" x14ac:dyDescent="0.35">
      <c r="A164" s="5">
        <v>160</v>
      </c>
      <c r="B164" s="5">
        <v>7</v>
      </c>
      <c r="C164" s="5">
        <v>1</v>
      </c>
      <c r="D164" s="379">
        <v>49.338888888888889</v>
      </c>
      <c r="E164" s="25">
        <v>30.91</v>
      </c>
      <c r="F164" s="379">
        <v>6.3062947269709051</v>
      </c>
      <c r="G164" s="25">
        <v>62.12</v>
      </c>
      <c r="H164" s="379">
        <v>2.6273317475660853</v>
      </c>
      <c r="I164" s="25">
        <v>819.14</v>
      </c>
      <c r="J164" s="379">
        <v>4.3906355468432618</v>
      </c>
    </row>
    <row r="165" spans="1:10" x14ac:dyDescent="0.35">
      <c r="A165" s="5">
        <v>161</v>
      </c>
      <c r="B165" s="5">
        <v>7</v>
      </c>
      <c r="C165" s="5">
        <v>1</v>
      </c>
      <c r="D165" s="379">
        <v>54.36388888888888</v>
      </c>
      <c r="E165" s="25">
        <v>33.81</v>
      </c>
      <c r="F165" s="379">
        <v>4.737722797932288</v>
      </c>
      <c r="G165" s="25">
        <v>63.78</v>
      </c>
      <c r="H165" s="379">
        <v>4.121595216105379</v>
      </c>
      <c r="I165" s="25">
        <v>843.72</v>
      </c>
      <c r="J165" s="379">
        <v>3.9379014849484033</v>
      </c>
    </row>
    <row r="166" spans="1:10" x14ac:dyDescent="0.35">
      <c r="A166" s="5">
        <v>162</v>
      </c>
      <c r="B166" s="5">
        <v>7</v>
      </c>
      <c r="C166" s="5">
        <v>1</v>
      </c>
      <c r="D166" s="379">
        <v>65.436111111111103</v>
      </c>
      <c r="E166" s="25">
        <v>34.82</v>
      </c>
      <c r="F166" s="379">
        <v>5.0730114711503775</v>
      </c>
      <c r="G166" s="25">
        <v>71.19</v>
      </c>
      <c r="H166" s="379">
        <v>3.6064515581898875</v>
      </c>
      <c r="I166" s="25">
        <v>843.72</v>
      </c>
      <c r="J166" s="379">
        <v>4.0090315009094866</v>
      </c>
    </row>
    <row r="167" spans="1:10" x14ac:dyDescent="0.35">
      <c r="A167" s="5">
        <v>163</v>
      </c>
      <c r="B167" s="5">
        <v>7</v>
      </c>
      <c r="C167" s="5">
        <v>1</v>
      </c>
      <c r="D167" s="379">
        <v>66.813888888888883</v>
      </c>
      <c r="E167" s="25">
        <v>30.91</v>
      </c>
      <c r="F167" s="379">
        <v>5.2973213124893004</v>
      </c>
      <c r="G167" s="25">
        <v>73.08</v>
      </c>
      <c r="H167" s="379">
        <v>3.4127404290457068</v>
      </c>
      <c r="I167" s="25">
        <v>843.72</v>
      </c>
      <c r="J167" s="379">
        <v>3.9682091372732984</v>
      </c>
    </row>
    <row r="168" spans="1:10" x14ac:dyDescent="0.35">
      <c r="A168" s="5">
        <v>164</v>
      </c>
      <c r="B168" s="5">
        <v>7</v>
      </c>
      <c r="C168" s="5">
        <v>1</v>
      </c>
      <c r="D168" s="379">
        <v>47.872955287980787</v>
      </c>
      <c r="E168" s="25">
        <v>26.51</v>
      </c>
      <c r="F168" s="379">
        <v>5.769980310389526</v>
      </c>
      <c r="G168" s="25">
        <v>64.2</v>
      </c>
      <c r="H168" s="379">
        <v>3.4598177670002705</v>
      </c>
      <c r="I168" s="25">
        <v>819.14</v>
      </c>
      <c r="J168" s="379">
        <v>3.8471171974778762</v>
      </c>
    </row>
    <row r="169" spans="1:10" x14ac:dyDescent="0.35">
      <c r="A169" s="5">
        <v>165</v>
      </c>
      <c r="B169" s="5">
        <v>7</v>
      </c>
      <c r="C169" s="5">
        <v>1</v>
      </c>
      <c r="D169" s="379">
        <v>28.044618978513096</v>
      </c>
      <c r="E169" s="25">
        <v>26.5</v>
      </c>
      <c r="F169" s="379">
        <v>5.3436144389305564</v>
      </c>
      <c r="G169" s="25">
        <v>53.77</v>
      </c>
      <c r="H169" s="379">
        <v>4.5770543531379229</v>
      </c>
      <c r="I169" s="25">
        <v>629.78</v>
      </c>
      <c r="J169" s="379">
        <v>3.8471171974778762</v>
      </c>
    </row>
    <row r="170" spans="1:10" x14ac:dyDescent="0.35">
      <c r="A170" s="5">
        <v>166</v>
      </c>
      <c r="B170" s="5">
        <v>7</v>
      </c>
      <c r="C170" s="5">
        <v>1</v>
      </c>
      <c r="D170" s="379">
        <v>34.223037820952882</v>
      </c>
      <c r="E170" s="25">
        <v>25.74</v>
      </c>
      <c r="F170" s="379">
        <v>4.4688796497488088</v>
      </c>
      <c r="G170" s="25">
        <v>47.85</v>
      </c>
      <c r="H170" s="379">
        <v>4.291280569151855</v>
      </c>
      <c r="I170" s="25">
        <v>585.74</v>
      </c>
      <c r="J170" s="379">
        <v>3.8471171974778762</v>
      </c>
    </row>
    <row r="171" spans="1:10" x14ac:dyDescent="0.35">
      <c r="A171" s="5">
        <v>167</v>
      </c>
      <c r="B171" s="5">
        <v>7</v>
      </c>
      <c r="C171" s="5">
        <v>1</v>
      </c>
      <c r="D171" s="379">
        <v>44.96600977182829</v>
      </c>
      <c r="E171" s="25">
        <v>25.59</v>
      </c>
      <c r="F171" s="379">
        <v>5.0286939705362599</v>
      </c>
      <c r="G171" s="25">
        <v>52.67</v>
      </c>
      <c r="H171" s="379">
        <v>2.1489510259609013</v>
      </c>
      <c r="I171" s="25">
        <v>66.06</v>
      </c>
      <c r="J171" s="379">
        <v>3.8241036579825725</v>
      </c>
    </row>
    <row r="172" spans="1:10" x14ac:dyDescent="0.35">
      <c r="A172" s="5">
        <v>168</v>
      </c>
      <c r="B172" s="5">
        <v>7</v>
      </c>
      <c r="C172" s="5">
        <v>1</v>
      </c>
      <c r="D172" s="379">
        <v>40.211111111111109</v>
      </c>
      <c r="E172" s="25">
        <v>25.59</v>
      </c>
      <c r="F172" s="379">
        <v>0.28535957003181228</v>
      </c>
      <c r="G172" s="25">
        <v>47.85</v>
      </c>
      <c r="H172" s="379">
        <v>2.1179239275206396</v>
      </c>
      <c r="I172" s="25">
        <v>53.71</v>
      </c>
      <c r="J172" s="379">
        <v>1.2800938255505474</v>
      </c>
    </row>
    <row r="173" spans="1:10" x14ac:dyDescent="0.35">
      <c r="A173" s="5">
        <v>169</v>
      </c>
      <c r="B173" s="5">
        <v>8</v>
      </c>
      <c r="C173" s="5">
        <v>1</v>
      </c>
      <c r="D173" s="379">
        <v>34.578867566927279</v>
      </c>
      <c r="E173" s="25">
        <v>24.84</v>
      </c>
      <c r="F173" s="379">
        <v>0.26481271747046486</v>
      </c>
      <c r="G173" s="25">
        <v>44.86</v>
      </c>
      <c r="H173" s="379">
        <v>2.1179239275206396</v>
      </c>
      <c r="I173" s="25">
        <v>48.86</v>
      </c>
      <c r="J173" s="379">
        <v>1.2800938255505474</v>
      </c>
    </row>
    <row r="174" spans="1:10" x14ac:dyDescent="0.35">
      <c r="A174" s="5">
        <v>170</v>
      </c>
      <c r="B174" s="5">
        <v>8</v>
      </c>
      <c r="C174" s="5">
        <v>1</v>
      </c>
      <c r="D174" s="379">
        <v>31.490925704969548</v>
      </c>
      <c r="E174" s="25">
        <v>24.84</v>
      </c>
      <c r="F174" s="379">
        <v>0.28853837195573767</v>
      </c>
      <c r="G174" s="25">
        <v>43.56</v>
      </c>
      <c r="H174" s="379">
        <v>2.1179239275206396</v>
      </c>
      <c r="I174" s="25">
        <v>48.86</v>
      </c>
      <c r="J174" s="379">
        <v>1.2800938255505474</v>
      </c>
    </row>
    <row r="175" spans="1:10" x14ac:dyDescent="0.35">
      <c r="A175" s="5">
        <v>171</v>
      </c>
      <c r="B175" s="5">
        <v>8</v>
      </c>
      <c r="C175" s="5">
        <v>1</v>
      </c>
      <c r="D175" s="379">
        <v>32.594484635893174</v>
      </c>
      <c r="E175" s="25">
        <v>24.84</v>
      </c>
      <c r="F175" s="379">
        <v>0.29877485209054905</v>
      </c>
      <c r="G175" s="25">
        <v>43.56</v>
      </c>
      <c r="H175" s="379">
        <v>2.1162761399540293</v>
      </c>
      <c r="I175" s="25">
        <v>48.86</v>
      </c>
      <c r="J175" s="379">
        <v>1.1516710508993346</v>
      </c>
    </row>
    <row r="176" spans="1:10" x14ac:dyDescent="0.35">
      <c r="A176" s="5">
        <v>172</v>
      </c>
      <c r="B176" s="5">
        <v>8</v>
      </c>
      <c r="C176" s="5">
        <v>1</v>
      </c>
      <c r="D176" s="379">
        <v>46.565407058067052</v>
      </c>
      <c r="E176" s="25">
        <v>24.73</v>
      </c>
      <c r="F176" s="379">
        <v>0.29923507688189988</v>
      </c>
      <c r="G176" s="25">
        <v>43.56</v>
      </c>
      <c r="H176" s="379">
        <v>1.875552840195911</v>
      </c>
      <c r="I176" s="25">
        <v>48.86</v>
      </c>
      <c r="J176" s="379">
        <v>1.1516710508993346</v>
      </c>
    </row>
    <row r="177" spans="1:10" x14ac:dyDescent="0.35">
      <c r="A177" s="5">
        <v>173</v>
      </c>
      <c r="B177" s="5">
        <v>8</v>
      </c>
      <c r="C177" s="5">
        <v>1</v>
      </c>
      <c r="D177" s="379">
        <v>33.448987644757572</v>
      </c>
      <c r="E177" s="25">
        <v>24.73</v>
      </c>
      <c r="F177" s="379">
        <v>0.29505365427035107</v>
      </c>
      <c r="G177" s="25">
        <v>43.56</v>
      </c>
      <c r="H177" s="379">
        <v>1.875552840195911</v>
      </c>
      <c r="I177" s="25">
        <v>48.86</v>
      </c>
      <c r="J177" s="379">
        <v>1.1516710508993346</v>
      </c>
    </row>
    <row r="178" spans="1:10" x14ac:dyDescent="0.35">
      <c r="A178" s="5">
        <v>174</v>
      </c>
      <c r="B178" s="5">
        <v>8</v>
      </c>
      <c r="C178" s="5">
        <v>1</v>
      </c>
      <c r="D178" s="379">
        <v>28.824378477622826</v>
      </c>
      <c r="E178" s="25">
        <v>24.84</v>
      </c>
      <c r="F178" s="379">
        <v>0.27546296296296297</v>
      </c>
      <c r="G178" s="25">
        <v>43.56</v>
      </c>
      <c r="H178" s="379">
        <v>2.1162761399540293</v>
      </c>
      <c r="I178" s="25">
        <v>48.86</v>
      </c>
      <c r="J178" s="379">
        <v>1.2800938255505474</v>
      </c>
    </row>
    <row r="179" spans="1:10" x14ac:dyDescent="0.35">
      <c r="A179" s="5">
        <v>175</v>
      </c>
      <c r="B179" s="5">
        <v>8</v>
      </c>
      <c r="C179" s="5">
        <v>1</v>
      </c>
      <c r="D179" s="379">
        <v>31.589585536892024</v>
      </c>
      <c r="E179" s="25">
        <v>24.99</v>
      </c>
      <c r="F179" s="379">
        <v>0.29762487639103724</v>
      </c>
      <c r="G179" s="25">
        <v>46.11</v>
      </c>
      <c r="H179" s="379">
        <v>2.1179239275206396</v>
      </c>
      <c r="I179" s="25">
        <v>48.86</v>
      </c>
      <c r="J179" s="379">
        <v>1.2800938255505474</v>
      </c>
    </row>
    <row r="180" spans="1:10" x14ac:dyDescent="0.35">
      <c r="A180" s="5">
        <v>176</v>
      </c>
      <c r="B180" s="5">
        <v>8</v>
      </c>
      <c r="C180" s="5">
        <v>1</v>
      </c>
      <c r="D180" s="379">
        <v>40.883333333333333</v>
      </c>
      <c r="E180" s="25">
        <v>25.74</v>
      </c>
      <c r="F180" s="379">
        <v>0.30421400003262372</v>
      </c>
      <c r="G180" s="25">
        <v>48.39</v>
      </c>
      <c r="H180" s="379">
        <v>2.1179239275206396</v>
      </c>
      <c r="I180" s="25">
        <v>49.86</v>
      </c>
      <c r="J180" s="379">
        <v>1.2800938255505474</v>
      </c>
    </row>
    <row r="181" spans="1:10" x14ac:dyDescent="0.35">
      <c r="A181" s="5">
        <v>177</v>
      </c>
      <c r="B181" s="5">
        <v>8</v>
      </c>
      <c r="C181" s="5">
        <v>1</v>
      </c>
      <c r="D181" s="379">
        <v>41.444444444444443</v>
      </c>
      <c r="E181" s="25">
        <v>25.74</v>
      </c>
      <c r="F181" s="379">
        <v>2.1362428839724132</v>
      </c>
      <c r="G181" s="25">
        <v>51.14</v>
      </c>
      <c r="H181" s="379">
        <v>0.14480167642852412</v>
      </c>
      <c r="I181" s="25">
        <v>54.87</v>
      </c>
      <c r="J181" s="379">
        <v>1.2800938255505474</v>
      </c>
    </row>
    <row r="182" spans="1:10" x14ac:dyDescent="0.35">
      <c r="A182" s="5">
        <v>178</v>
      </c>
      <c r="B182" s="5">
        <v>8</v>
      </c>
      <c r="C182" s="5">
        <v>1</v>
      </c>
      <c r="D182" s="379">
        <v>54.438609285817321</v>
      </c>
      <c r="E182" s="25">
        <v>25.74</v>
      </c>
      <c r="F182" s="379">
        <v>1.7270560781598214</v>
      </c>
      <c r="G182" s="25">
        <v>49.65</v>
      </c>
      <c r="H182" s="379">
        <v>2.1179239275206396</v>
      </c>
      <c r="I182" s="25">
        <v>54.87</v>
      </c>
      <c r="J182" s="379">
        <v>1.2800938255505474</v>
      </c>
    </row>
    <row r="183" spans="1:10" x14ac:dyDescent="0.35">
      <c r="A183" s="5">
        <v>179</v>
      </c>
      <c r="B183" s="5">
        <v>8</v>
      </c>
      <c r="C183" s="5">
        <v>1</v>
      </c>
      <c r="D183" s="379">
        <v>43.181153333250883</v>
      </c>
      <c r="E183" s="25">
        <v>25.74</v>
      </c>
      <c r="F183" s="379">
        <v>1.5337153763492499</v>
      </c>
      <c r="G183" s="25">
        <v>47.46</v>
      </c>
      <c r="H183" s="379">
        <v>2.1179239275206396</v>
      </c>
      <c r="I183" s="25">
        <v>54.87</v>
      </c>
      <c r="J183" s="379">
        <v>5.4245584901612763E-2</v>
      </c>
    </row>
    <row r="184" spans="1:10" x14ac:dyDescent="0.35">
      <c r="A184" s="5">
        <v>180</v>
      </c>
      <c r="B184" s="5">
        <v>8</v>
      </c>
      <c r="C184" s="5">
        <v>1</v>
      </c>
      <c r="D184" s="379">
        <v>29.975531169586141</v>
      </c>
      <c r="E184" s="25">
        <v>25.74</v>
      </c>
      <c r="F184" s="379">
        <v>0.57577380441720327</v>
      </c>
      <c r="G184" s="25">
        <v>47.46</v>
      </c>
      <c r="H184" s="379">
        <v>2.1179239275206396</v>
      </c>
      <c r="I184" s="25">
        <v>54.87</v>
      </c>
      <c r="J184" s="379">
        <v>2.777777777777778E-2</v>
      </c>
    </row>
    <row r="185" spans="1:10" x14ac:dyDescent="0.35">
      <c r="A185" s="5">
        <v>181</v>
      </c>
      <c r="B185" s="5">
        <v>8</v>
      </c>
      <c r="C185" s="5">
        <v>1</v>
      </c>
      <c r="D185" s="379">
        <v>29.92264557694913</v>
      </c>
      <c r="E185" s="25">
        <v>25.74</v>
      </c>
      <c r="F185" s="379">
        <v>1.5749282494356782</v>
      </c>
      <c r="G185" s="25">
        <v>46.11</v>
      </c>
      <c r="H185" s="379">
        <v>2.5668752067022482</v>
      </c>
      <c r="I185" s="25">
        <v>54.86</v>
      </c>
      <c r="J185" s="379">
        <v>2.777777777777778E-2</v>
      </c>
    </row>
    <row r="186" spans="1:10" x14ac:dyDescent="0.35">
      <c r="A186" s="5">
        <v>182</v>
      </c>
      <c r="B186" s="5">
        <v>8</v>
      </c>
      <c r="C186" s="5">
        <v>1</v>
      </c>
      <c r="D186" s="379">
        <v>35.599381317212746</v>
      </c>
      <c r="E186" s="25">
        <v>25.74</v>
      </c>
      <c r="F186" s="379">
        <v>2.0330167428639934</v>
      </c>
      <c r="G186" s="25">
        <v>46.11</v>
      </c>
      <c r="H186" s="379">
        <v>2.1489510259609013</v>
      </c>
      <c r="I186" s="25">
        <v>54.87</v>
      </c>
      <c r="J186" s="379">
        <v>2.777777777777778E-2</v>
      </c>
    </row>
    <row r="187" spans="1:10" x14ac:dyDescent="0.35">
      <c r="A187" s="5">
        <v>183</v>
      </c>
      <c r="B187" s="5">
        <v>8</v>
      </c>
      <c r="C187" s="5">
        <v>1</v>
      </c>
      <c r="D187" s="379">
        <v>36.431544681220565</v>
      </c>
      <c r="E187" s="25">
        <v>25.74</v>
      </c>
      <c r="F187" s="379">
        <v>2.892375182721818</v>
      </c>
      <c r="G187" s="25">
        <v>46.03</v>
      </c>
      <c r="H187" s="379">
        <v>2.777777777777778E-2</v>
      </c>
      <c r="I187" s="25">
        <v>57.49</v>
      </c>
      <c r="J187" s="379">
        <v>2.777777777777778E-2</v>
      </c>
    </row>
    <row r="188" spans="1:10" x14ac:dyDescent="0.35">
      <c r="A188" s="5">
        <v>184</v>
      </c>
      <c r="B188" s="5">
        <v>8</v>
      </c>
      <c r="C188" s="5">
        <v>1</v>
      </c>
      <c r="D188" s="379">
        <v>43.476441801669225</v>
      </c>
      <c r="E188" s="25">
        <v>25.74</v>
      </c>
      <c r="F188" s="379">
        <v>2.5607695030930113</v>
      </c>
      <c r="G188" s="25">
        <v>46.11</v>
      </c>
      <c r="H188" s="379">
        <v>0.12181092368115902</v>
      </c>
      <c r="I188" s="25">
        <v>57.49</v>
      </c>
      <c r="J188" s="379">
        <v>2.777777777777778E-2</v>
      </c>
    </row>
    <row r="189" spans="1:10" x14ac:dyDescent="0.35">
      <c r="A189" s="5">
        <v>185</v>
      </c>
      <c r="B189" s="5">
        <v>8</v>
      </c>
      <c r="C189" s="5">
        <v>1</v>
      </c>
      <c r="D189" s="379">
        <v>44.197243263380109</v>
      </c>
      <c r="E189" s="25">
        <v>25.74</v>
      </c>
      <c r="F189" s="379">
        <v>2.83358962942118</v>
      </c>
      <c r="G189" s="25">
        <v>49.28</v>
      </c>
      <c r="H189" s="379">
        <v>0.14480167642852412</v>
      </c>
      <c r="I189" s="25">
        <v>57.49</v>
      </c>
      <c r="J189" s="379">
        <v>2.777777777777778E-2</v>
      </c>
    </row>
    <row r="190" spans="1:10" x14ac:dyDescent="0.35">
      <c r="A190" s="5">
        <v>186</v>
      </c>
      <c r="B190" s="5">
        <v>8</v>
      </c>
      <c r="C190" s="5">
        <v>1</v>
      </c>
      <c r="D190" s="379">
        <v>12.858333333333333</v>
      </c>
      <c r="E190" s="25">
        <v>29.1</v>
      </c>
      <c r="F190" s="379">
        <v>2.6084961076573339</v>
      </c>
      <c r="G190" s="25">
        <v>52.67</v>
      </c>
      <c r="H190" s="379">
        <v>0.14480167642852412</v>
      </c>
      <c r="I190" s="25">
        <v>66.06</v>
      </c>
      <c r="J190" s="379">
        <v>0.14480167642852412</v>
      </c>
    </row>
    <row r="191" spans="1:10" x14ac:dyDescent="0.35">
      <c r="A191" s="5">
        <v>187</v>
      </c>
      <c r="B191" s="5">
        <v>8</v>
      </c>
      <c r="C191" s="5">
        <v>1</v>
      </c>
      <c r="D191" s="379">
        <v>12.858333333333333</v>
      </c>
      <c r="E191" s="25">
        <v>29.1</v>
      </c>
      <c r="F191" s="379">
        <v>3.0191621226981717</v>
      </c>
      <c r="G191" s="25">
        <v>52.67</v>
      </c>
      <c r="H191" s="379">
        <v>0.14480167642852412</v>
      </c>
      <c r="I191" s="25">
        <v>481.82</v>
      </c>
      <c r="J191" s="379">
        <v>0.18539185469727876</v>
      </c>
    </row>
    <row r="192" spans="1:10" x14ac:dyDescent="0.35">
      <c r="A192" s="5">
        <v>188</v>
      </c>
      <c r="B192" s="5">
        <v>8</v>
      </c>
      <c r="C192" s="5">
        <v>1</v>
      </c>
      <c r="D192" s="379">
        <v>30.806365825485766</v>
      </c>
      <c r="E192" s="25">
        <v>27.3</v>
      </c>
      <c r="F192" s="379">
        <v>2.895909086560545</v>
      </c>
      <c r="G192" s="25">
        <v>51.24</v>
      </c>
      <c r="H192" s="379">
        <v>0.14480167642852412</v>
      </c>
      <c r="I192" s="25">
        <v>66.06</v>
      </c>
      <c r="J192" s="379">
        <v>9.2217494332741706E-2</v>
      </c>
    </row>
    <row r="193" spans="1:10" x14ac:dyDescent="0.35">
      <c r="A193" s="5">
        <v>189</v>
      </c>
      <c r="B193" s="5">
        <v>8</v>
      </c>
      <c r="C193" s="5">
        <v>1</v>
      </c>
      <c r="D193" s="379">
        <v>17.62582696764839</v>
      </c>
      <c r="E193" s="25">
        <v>25.74</v>
      </c>
      <c r="F193" s="379">
        <v>1.4657851307365231</v>
      </c>
      <c r="G193" s="25">
        <v>46.11</v>
      </c>
      <c r="H193" s="379">
        <v>2.777777777777778E-2</v>
      </c>
      <c r="I193" s="25">
        <v>57.49</v>
      </c>
      <c r="J193" s="379">
        <v>9.2217494332741706E-2</v>
      </c>
    </row>
    <row r="194" spans="1:10" x14ac:dyDescent="0.35">
      <c r="A194" s="5">
        <v>190</v>
      </c>
      <c r="B194" s="5">
        <v>8</v>
      </c>
      <c r="C194" s="5">
        <v>1</v>
      </c>
      <c r="D194" s="379">
        <v>19.76905403322402</v>
      </c>
      <c r="E194" s="25">
        <v>24.99</v>
      </c>
      <c r="F194" s="379">
        <v>0.15483848357324062</v>
      </c>
      <c r="G194" s="25">
        <v>46.03</v>
      </c>
      <c r="H194" s="379">
        <v>2.2018549043231084</v>
      </c>
      <c r="I194" s="25">
        <v>53.71</v>
      </c>
      <c r="J194" s="379">
        <v>9.2217494332741706E-2</v>
      </c>
    </row>
    <row r="195" spans="1:10" x14ac:dyDescent="0.35">
      <c r="A195" s="5">
        <v>191</v>
      </c>
      <c r="B195" s="5">
        <v>8</v>
      </c>
      <c r="C195" s="5">
        <v>1</v>
      </c>
      <c r="D195" s="379">
        <v>18.402694692739761</v>
      </c>
      <c r="E195" s="25">
        <v>25.29</v>
      </c>
      <c r="F195" s="379">
        <v>3.714477901822574</v>
      </c>
      <c r="G195" s="25">
        <v>46.11</v>
      </c>
      <c r="H195" s="379">
        <v>2.1489510259609013</v>
      </c>
      <c r="I195" s="25">
        <v>50.33</v>
      </c>
      <c r="J195" s="379">
        <v>9.2217494332741706E-2</v>
      </c>
    </row>
    <row r="196" spans="1:10" x14ac:dyDescent="0.35">
      <c r="A196" s="5">
        <v>192</v>
      </c>
      <c r="B196" s="5">
        <v>8</v>
      </c>
      <c r="C196" s="5">
        <v>1</v>
      </c>
      <c r="D196" s="379">
        <v>14.552945177228409</v>
      </c>
      <c r="E196" s="25">
        <v>24.99</v>
      </c>
      <c r="F196" s="379">
        <v>3.5756434952257288</v>
      </c>
      <c r="G196" s="25">
        <v>45.65</v>
      </c>
      <c r="H196" s="379">
        <v>2.1489510259609013</v>
      </c>
      <c r="I196" s="25">
        <v>49.36</v>
      </c>
      <c r="J196" s="379">
        <v>9.2217494332741706E-2</v>
      </c>
    </row>
    <row r="197" spans="1:10" x14ac:dyDescent="0.35">
      <c r="A197" s="5">
        <v>193</v>
      </c>
      <c r="B197" s="5">
        <v>9</v>
      </c>
      <c r="C197" s="5">
        <v>1</v>
      </c>
      <c r="D197" s="379">
        <v>9.9647529593772557</v>
      </c>
      <c r="E197" s="25">
        <v>24.84</v>
      </c>
      <c r="F197" s="379">
        <v>3.3616185387495152</v>
      </c>
      <c r="G197" s="25">
        <v>33.159999999999997</v>
      </c>
      <c r="H197" s="379">
        <v>2.1489510259609013</v>
      </c>
      <c r="I197" s="25">
        <v>33.67</v>
      </c>
      <c r="J197" s="379">
        <v>9.2217494332741706E-2</v>
      </c>
    </row>
    <row r="198" spans="1:10" x14ac:dyDescent="0.35">
      <c r="A198" s="5">
        <v>194</v>
      </c>
      <c r="B198" s="5">
        <v>9</v>
      </c>
      <c r="C198" s="5">
        <v>1</v>
      </c>
      <c r="D198" s="379">
        <v>1.6930517928928708</v>
      </c>
      <c r="E198" s="25">
        <v>24.73</v>
      </c>
      <c r="F198" s="379">
        <v>3.3616185387495152</v>
      </c>
      <c r="G198" s="25">
        <v>30.91</v>
      </c>
      <c r="H198" s="379">
        <v>2.1489510259609013</v>
      </c>
      <c r="I198" s="25">
        <v>33.67</v>
      </c>
      <c r="J198" s="379">
        <v>5.4245584901612763E-2</v>
      </c>
    </row>
    <row r="199" spans="1:10" x14ac:dyDescent="0.35">
      <c r="A199" s="5">
        <v>195</v>
      </c>
      <c r="B199" s="5">
        <v>9</v>
      </c>
      <c r="C199" s="5">
        <v>1</v>
      </c>
      <c r="D199" s="379">
        <v>31.022222222222222</v>
      </c>
      <c r="E199" s="25">
        <v>23.89</v>
      </c>
      <c r="F199" s="379">
        <v>3.3616185387495152</v>
      </c>
      <c r="G199" s="25">
        <v>30.35</v>
      </c>
      <c r="H199" s="379">
        <v>2.1489510259609013</v>
      </c>
      <c r="I199" s="25">
        <v>33.67</v>
      </c>
      <c r="J199" s="379">
        <v>5.4245584901612763E-2</v>
      </c>
    </row>
    <row r="200" spans="1:10" x14ac:dyDescent="0.35">
      <c r="A200" s="5">
        <v>196</v>
      </c>
      <c r="B200" s="5">
        <v>9</v>
      </c>
      <c r="C200" s="5">
        <v>1</v>
      </c>
      <c r="D200" s="379">
        <v>30.255555555555556</v>
      </c>
      <c r="E200" s="25">
        <v>22.07</v>
      </c>
      <c r="F200" s="379">
        <v>0.32262038090342177</v>
      </c>
      <c r="G200" s="25">
        <v>30.35</v>
      </c>
      <c r="H200" s="379">
        <v>2.1489510259609013</v>
      </c>
      <c r="I200" s="25">
        <v>33.67</v>
      </c>
      <c r="J200" s="379">
        <v>5.4245584901612763E-2</v>
      </c>
    </row>
    <row r="201" spans="1:10" x14ac:dyDescent="0.35">
      <c r="A201" s="5">
        <v>197</v>
      </c>
      <c r="B201" s="5">
        <v>9</v>
      </c>
      <c r="C201" s="5">
        <v>1</v>
      </c>
      <c r="D201" s="379">
        <v>28.508333333333333</v>
      </c>
      <c r="E201" s="25">
        <v>21.12</v>
      </c>
      <c r="F201" s="379">
        <v>3.5756434952257288</v>
      </c>
      <c r="G201" s="25">
        <v>30.35</v>
      </c>
      <c r="H201" s="379">
        <v>2.1489510259609013</v>
      </c>
      <c r="I201" s="25">
        <v>33.67</v>
      </c>
      <c r="J201" s="379">
        <v>5.4245584901612763E-2</v>
      </c>
    </row>
    <row r="202" spans="1:10" x14ac:dyDescent="0.35">
      <c r="A202" s="5">
        <v>198</v>
      </c>
      <c r="B202" s="5">
        <v>9</v>
      </c>
      <c r="C202" s="5">
        <v>1</v>
      </c>
      <c r="D202" s="379">
        <v>4.7582504518862159</v>
      </c>
      <c r="E202" s="25">
        <v>21.12</v>
      </c>
      <c r="F202" s="379">
        <v>3.5756434952257288</v>
      </c>
      <c r="G202" s="25">
        <v>30.03</v>
      </c>
      <c r="H202" s="379">
        <v>2.4644097064148842</v>
      </c>
      <c r="I202" s="25">
        <v>33.67</v>
      </c>
      <c r="J202" s="379">
        <v>5.4245584901612763E-2</v>
      </c>
    </row>
    <row r="203" spans="1:10" x14ac:dyDescent="0.35">
      <c r="A203" s="5">
        <v>199</v>
      </c>
      <c r="B203" s="5">
        <v>9</v>
      </c>
      <c r="C203" s="5">
        <v>1</v>
      </c>
      <c r="D203" s="379">
        <v>2.777777777777778E-2</v>
      </c>
      <c r="E203" s="25">
        <v>21.12</v>
      </c>
      <c r="F203" s="379">
        <v>3.5756434952257288</v>
      </c>
      <c r="G203" s="25">
        <v>30.35</v>
      </c>
      <c r="H203" s="379">
        <v>2.4644097064148842</v>
      </c>
      <c r="I203" s="25">
        <v>33.67</v>
      </c>
      <c r="J203" s="379">
        <v>5.4245584901612763E-2</v>
      </c>
    </row>
    <row r="204" spans="1:10" x14ac:dyDescent="0.35">
      <c r="A204" s="5">
        <v>200</v>
      </c>
      <c r="B204" s="5">
        <v>9</v>
      </c>
      <c r="C204" s="5">
        <v>1</v>
      </c>
      <c r="D204" s="379">
        <v>28.244444444444447</v>
      </c>
      <c r="E204" s="25">
        <v>23.31</v>
      </c>
      <c r="F204" s="379">
        <v>3.1971009057071198</v>
      </c>
      <c r="G204" s="25">
        <v>30.35</v>
      </c>
      <c r="H204" s="379">
        <v>2.6451560551037567</v>
      </c>
      <c r="I204" s="25">
        <v>33.67</v>
      </c>
      <c r="J204" s="379">
        <v>0.10461184933466071</v>
      </c>
    </row>
    <row r="205" spans="1:10" x14ac:dyDescent="0.35">
      <c r="A205" s="5">
        <v>201</v>
      </c>
      <c r="B205" s="5">
        <v>9</v>
      </c>
      <c r="C205" s="5">
        <v>1</v>
      </c>
      <c r="D205" s="379">
        <v>5.2460512535270611</v>
      </c>
      <c r="E205" s="25">
        <v>24.73</v>
      </c>
      <c r="F205" s="379">
        <v>3.7433436133579852</v>
      </c>
      <c r="G205" s="25">
        <v>30.91</v>
      </c>
      <c r="H205" s="379">
        <v>0.14480167642852412</v>
      </c>
      <c r="I205" s="25">
        <v>33.67</v>
      </c>
      <c r="J205" s="379">
        <v>0.10274697600902838</v>
      </c>
    </row>
    <row r="206" spans="1:10" x14ac:dyDescent="0.35">
      <c r="A206" s="5">
        <v>202</v>
      </c>
      <c r="B206" s="5">
        <v>9</v>
      </c>
      <c r="C206" s="5">
        <v>1</v>
      </c>
      <c r="D206" s="379">
        <v>34.226766630817046</v>
      </c>
      <c r="E206" s="25">
        <v>24.84</v>
      </c>
      <c r="F206" s="379">
        <v>4.1758519243473335</v>
      </c>
      <c r="G206" s="25">
        <v>35.700000000000003</v>
      </c>
      <c r="H206" s="379">
        <v>0.14480167642852412</v>
      </c>
      <c r="I206" s="25">
        <v>36.08</v>
      </c>
      <c r="J206" s="379">
        <v>0.22939225839956998</v>
      </c>
    </row>
    <row r="207" spans="1:10" x14ac:dyDescent="0.35">
      <c r="A207" s="5">
        <v>203</v>
      </c>
      <c r="B207" s="5">
        <v>9</v>
      </c>
      <c r="C207" s="5">
        <v>1</v>
      </c>
      <c r="D207" s="379">
        <v>12.047871740407015</v>
      </c>
      <c r="E207" s="25">
        <v>24.84</v>
      </c>
      <c r="F207" s="379">
        <v>3.8560894032295883</v>
      </c>
      <c r="G207" s="25">
        <v>35.700000000000003</v>
      </c>
      <c r="H207" s="379">
        <v>2.5941075750403764</v>
      </c>
      <c r="I207" s="25">
        <v>34.75</v>
      </c>
      <c r="J207" s="379">
        <v>7.0541061422775067E-2</v>
      </c>
    </row>
    <row r="208" spans="1:10" x14ac:dyDescent="0.35">
      <c r="A208" s="5">
        <v>204</v>
      </c>
      <c r="B208" s="5">
        <v>9</v>
      </c>
      <c r="C208" s="5">
        <v>1</v>
      </c>
      <c r="D208" s="379">
        <v>2.777777777777778E-2</v>
      </c>
      <c r="E208" s="25">
        <v>24.84</v>
      </c>
      <c r="F208" s="379">
        <v>3.8658103681791856</v>
      </c>
      <c r="G208" s="25">
        <v>35.700000000000003</v>
      </c>
      <c r="H208" s="379">
        <v>2.5941075750403764</v>
      </c>
      <c r="I208" s="25">
        <v>35.39</v>
      </c>
      <c r="J208" s="379">
        <v>0.11346349675358587</v>
      </c>
    </row>
    <row r="209" spans="1:10" x14ac:dyDescent="0.35">
      <c r="A209" s="5">
        <v>205</v>
      </c>
      <c r="B209" s="5">
        <v>9</v>
      </c>
      <c r="C209" s="5">
        <v>1</v>
      </c>
      <c r="D209" s="379">
        <v>12.328006476540455</v>
      </c>
      <c r="E209" s="25">
        <v>24.84</v>
      </c>
      <c r="F209" s="379">
        <v>3.5783282976646107</v>
      </c>
      <c r="G209" s="25">
        <v>35.700000000000003</v>
      </c>
      <c r="H209" s="379">
        <v>2.777777777777778E-2</v>
      </c>
      <c r="I209" s="25">
        <v>34.82</v>
      </c>
      <c r="J209" s="379">
        <v>0.11346349675358587</v>
      </c>
    </row>
    <row r="210" spans="1:10" x14ac:dyDescent="0.35">
      <c r="A210" s="5">
        <v>206</v>
      </c>
      <c r="B210" s="5">
        <v>9</v>
      </c>
      <c r="C210" s="5">
        <v>1</v>
      </c>
      <c r="D210" s="379">
        <v>1.0796505058067876</v>
      </c>
      <c r="E210" s="25">
        <v>24.73</v>
      </c>
      <c r="F210" s="379">
        <v>3.8658103681791856</v>
      </c>
      <c r="G210" s="25">
        <v>31.22</v>
      </c>
      <c r="H210" s="379">
        <v>2.777777777777778E-2</v>
      </c>
      <c r="I210" s="25">
        <v>33.67</v>
      </c>
      <c r="J210" s="379">
        <v>0.13639757963967289</v>
      </c>
    </row>
    <row r="211" spans="1:10" x14ac:dyDescent="0.35">
      <c r="A211" s="5">
        <v>207</v>
      </c>
      <c r="B211" s="5">
        <v>9</v>
      </c>
      <c r="C211" s="5">
        <v>1</v>
      </c>
      <c r="D211" s="379">
        <v>23.657453079748265</v>
      </c>
      <c r="E211" s="25">
        <v>23.84</v>
      </c>
      <c r="F211" s="379">
        <v>4.0963071991260627</v>
      </c>
      <c r="G211" s="25">
        <v>32.19</v>
      </c>
      <c r="H211" s="379">
        <v>5.9954978376128926E-2</v>
      </c>
      <c r="I211" s="25">
        <v>33.67</v>
      </c>
      <c r="J211" s="379">
        <v>0.13639757963967289</v>
      </c>
    </row>
    <row r="212" spans="1:10" x14ac:dyDescent="0.35">
      <c r="A212" s="5">
        <v>208</v>
      </c>
      <c r="B212" s="5">
        <v>9</v>
      </c>
      <c r="C212" s="5">
        <v>1</v>
      </c>
      <c r="D212" s="379">
        <v>43.509482085784704</v>
      </c>
      <c r="E212" s="25">
        <v>24.12</v>
      </c>
      <c r="F212" s="379">
        <v>3.3475022300447006</v>
      </c>
      <c r="G212" s="25">
        <v>35.700000000000003</v>
      </c>
      <c r="H212" s="379">
        <v>4.1457108769497637</v>
      </c>
      <c r="I212" s="25">
        <v>33.67</v>
      </c>
      <c r="J212" s="379">
        <v>0.10274697600902838</v>
      </c>
    </row>
    <row r="213" spans="1:10" x14ac:dyDescent="0.35">
      <c r="A213" s="5">
        <v>209</v>
      </c>
      <c r="B213" s="5">
        <v>9</v>
      </c>
      <c r="C213" s="5">
        <v>1</v>
      </c>
      <c r="D213" s="379">
        <v>21.710089146408418</v>
      </c>
      <c r="E213" s="25">
        <v>24.56</v>
      </c>
      <c r="F213" s="379">
        <v>3.9442816910484049</v>
      </c>
      <c r="G213" s="25">
        <v>35.700000000000003</v>
      </c>
      <c r="H213" s="379">
        <v>0.14480167642852412</v>
      </c>
      <c r="I213" s="25">
        <v>33.67</v>
      </c>
      <c r="J213" s="379">
        <v>0.11660519243720924</v>
      </c>
    </row>
    <row r="214" spans="1:10" x14ac:dyDescent="0.35">
      <c r="A214" s="5">
        <v>210</v>
      </c>
      <c r="B214" s="5">
        <v>9</v>
      </c>
      <c r="C214" s="5">
        <v>1</v>
      </c>
      <c r="D214" s="379">
        <v>35.599477837833483</v>
      </c>
      <c r="E214" s="25">
        <v>24.84</v>
      </c>
      <c r="F214" s="379">
        <v>3.6281666039200777</v>
      </c>
      <c r="G214" s="25">
        <v>42.46</v>
      </c>
      <c r="H214" s="379">
        <v>0.14480167642852412</v>
      </c>
      <c r="I214" s="25">
        <v>37.340000000000003</v>
      </c>
      <c r="J214" s="379">
        <v>2.777777777777778E-2</v>
      </c>
    </row>
    <row r="215" spans="1:10" x14ac:dyDescent="0.35">
      <c r="A215" s="5">
        <v>211</v>
      </c>
      <c r="B215" s="5">
        <v>9</v>
      </c>
      <c r="C215" s="5">
        <v>1</v>
      </c>
      <c r="D215" s="379">
        <v>9.091902822772612</v>
      </c>
      <c r="E215" s="25">
        <v>24.84</v>
      </c>
      <c r="F215" s="379">
        <v>4.1703352581425612</v>
      </c>
      <c r="G215" s="25">
        <v>43.39</v>
      </c>
      <c r="H215" s="379">
        <v>0.14480167642852412</v>
      </c>
      <c r="I215" s="25">
        <v>34.25</v>
      </c>
      <c r="J215" s="379">
        <v>2.777777777777778E-2</v>
      </c>
    </row>
    <row r="216" spans="1:10" x14ac:dyDescent="0.35">
      <c r="A216" s="5">
        <v>212</v>
      </c>
      <c r="B216" s="5">
        <v>9</v>
      </c>
      <c r="C216" s="5">
        <v>1</v>
      </c>
      <c r="D216" s="379">
        <v>7.9688521759714099</v>
      </c>
      <c r="E216" s="25">
        <v>24.84</v>
      </c>
      <c r="F216" s="379">
        <v>3.7561035428963816</v>
      </c>
      <c r="G216" s="25">
        <v>37.630000000000003</v>
      </c>
      <c r="H216" s="379">
        <v>0.14480167642852412</v>
      </c>
      <c r="I216" s="25">
        <v>33.67</v>
      </c>
      <c r="J216" s="379">
        <v>0.10274697600902838</v>
      </c>
    </row>
    <row r="217" spans="1:10" x14ac:dyDescent="0.35">
      <c r="A217" s="5">
        <v>213</v>
      </c>
      <c r="B217" s="5">
        <v>9</v>
      </c>
      <c r="C217" s="5">
        <v>1</v>
      </c>
      <c r="D217" s="379">
        <v>30.374132901679531</v>
      </c>
      <c r="E217" s="25">
        <v>24.26</v>
      </c>
      <c r="F217" s="379">
        <v>3.3757744416344049</v>
      </c>
      <c r="G217" s="25">
        <v>30.91</v>
      </c>
      <c r="H217" s="379">
        <v>4.4271608026248943</v>
      </c>
      <c r="I217" s="25">
        <v>33.67</v>
      </c>
      <c r="J217" s="379">
        <v>8.3471418573934184E-2</v>
      </c>
    </row>
    <row r="218" spans="1:10" x14ac:dyDescent="0.35">
      <c r="A218" s="5">
        <v>214</v>
      </c>
      <c r="B218" s="5">
        <v>9</v>
      </c>
      <c r="C218" s="5">
        <v>1</v>
      </c>
      <c r="D218" s="379">
        <v>21.318281159210219</v>
      </c>
      <c r="E218" s="25">
        <v>23.89</v>
      </c>
      <c r="F218" s="379">
        <v>3.5326433623337876</v>
      </c>
      <c r="G218" s="25">
        <v>30.35</v>
      </c>
      <c r="H218" s="379">
        <v>4.4271608026248943</v>
      </c>
      <c r="I218" s="25">
        <v>33.67</v>
      </c>
      <c r="J218" s="379">
        <v>3.5675896639599332</v>
      </c>
    </row>
    <row r="219" spans="1:10" x14ac:dyDescent="0.35">
      <c r="A219" s="5">
        <v>215</v>
      </c>
      <c r="B219" s="5">
        <v>9</v>
      </c>
      <c r="C219" s="5">
        <v>1</v>
      </c>
      <c r="D219" s="379">
        <v>19.425433456303292</v>
      </c>
      <c r="E219" s="25">
        <v>24.26</v>
      </c>
      <c r="F219" s="379">
        <v>2.8867756556253052</v>
      </c>
      <c r="G219" s="25">
        <v>30.35</v>
      </c>
      <c r="H219" s="379">
        <v>4.3207617681266841</v>
      </c>
      <c r="I219" s="25">
        <v>33.67</v>
      </c>
      <c r="J219" s="379">
        <v>9.6122350841560303E-2</v>
      </c>
    </row>
    <row r="220" spans="1:10" x14ac:dyDescent="0.35">
      <c r="A220" s="5">
        <v>216</v>
      </c>
      <c r="B220" s="5">
        <v>9</v>
      </c>
      <c r="C220" s="5">
        <v>1</v>
      </c>
      <c r="D220" s="379">
        <v>19.598986473175071</v>
      </c>
      <c r="E220" s="25">
        <v>24.26</v>
      </c>
      <c r="F220" s="379">
        <v>2.8869806355015792</v>
      </c>
      <c r="G220" s="25">
        <v>30.35</v>
      </c>
      <c r="H220" s="379">
        <v>4.2018730085902352</v>
      </c>
      <c r="I220" s="25">
        <v>33.67</v>
      </c>
      <c r="J220" s="379">
        <v>3.0258870327154432</v>
      </c>
    </row>
    <row r="221" spans="1:10" x14ac:dyDescent="0.35">
      <c r="A221" s="5">
        <v>217</v>
      </c>
      <c r="B221" s="5">
        <v>10</v>
      </c>
      <c r="C221" s="5">
        <v>1</v>
      </c>
      <c r="D221" s="379">
        <v>13.750170999030924</v>
      </c>
      <c r="E221" s="25">
        <v>17.05</v>
      </c>
      <c r="F221" s="379">
        <v>2.9024553238957198</v>
      </c>
      <c r="G221" s="25">
        <v>30.03</v>
      </c>
      <c r="H221" s="379">
        <v>4.000066990982341</v>
      </c>
      <c r="I221" s="25">
        <v>33.67</v>
      </c>
      <c r="J221" s="379">
        <v>2.8974642580642307</v>
      </c>
    </row>
    <row r="222" spans="1:10" x14ac:dyDescent="0.35">
      <c r="A222" s="5">
        <v>218</v>
      </c>
      <c r="B222" s="5">
        <v>10</v>
      </c>
      <c r="C222" s="5">
        <v>1</v>
      </c>
      <c r="D222" s="379">
        <v>20.115791832067135</v>
      </c>
      <c r="E222" s="25">
        <v>16.3</v>
      </c>
      <c r="F222" s="379">
        <v>2.2178935681524523</v>
      </c>
      <c r="G222" s="25">
        <v>30.03</v>
      </c>
      <c r="H222" s="379">
        <v>3.9789557896463905</v>
      </c>
      <c r="I222" s="25">
        <v>33.67</v>
      </c>
      <c r="J222" s="379">
        <v>2.8974642580642307</v>
      </c>
    </row>
    <row r="223" spans="1:10" x14ac:dyDescent="0.35">
      <c r="A223" s="5">
        <v>219</v>
      </c>
      <c r="B223" s="5">
        <v>10</v>
      </c>
      <c r="C223" s="5">
        <v>1</v>
      </c>
      <c r="D223" s="379">
        <v>21.11027229368603</v>
      </c>
      <c r="E223" s="25">
        <v>15.82</v>
      </c>
      <c r="F223" s="379">
        <v>2.7917535805052172</v>
      </c>
      <c r="G223" s="25">
        <v>30.03</v>
      </c>
      <c r="H223" s="379">
        <v>3.9789557896463905</v>
      </c>
      <c r="I223" s="25">
        <v>33.67</v>
      </c>
      <c r="J223" s="379">
        <v>2.9843854127513842</v>
      </c>
    </row>
    <row r="224" spans="1:10" x14ac:dyDescent="0.35">
      <c r="A224" s="5">
        <v>220</v>
      </c>
      <c r="B224" s="5">
        <v>10</v>
      </c>
      <c r="C224" s="5">
        <v>1</v>
      </c>
      <c r="D224" s="379">
        <v>19.211005475912994</v>
      </c>
      <c r="E224" s="25">
        <v>15.82</v>
      </c>
      <c r="F224" s="379">
        <v>0.29295318902802447</v>
      </c>
      <c r="G224" s="25">
        <v>30.03</v>
      </c>
      <c r="H224" s="379">
        <v>3.8476294652655052</v>
      </c>
      <c r="I224" s="25">
        <v>33.67</v>
      </c>
      <c r="J224" s="379">
        <v>2.5715422651107267</v>
      </c>
    </row>
    <row r="225" spans="1:10" x14ac:dyDescent="0.35">
      <c r="A225" s="5">
        <v>221</v>
      </c>
      <c r="B225" s="5">
        <v>10</v>
      </c>
      <c r="C225" s="5">
        <v>1</v>
      </c>
      <c r="D225" s="379">
        <v>26.074933819416795</v>
      </c>
      <c r="E225" s="25">
        <v>15.82</v>
      </c>
      <c r="F225" s="379">
        <v>1.5218680450782092</v>
      </c>
      <c r="G225" s="25">
        <v>30.03</v>
      </c>
      <c r="H225" s="379">
        <v>3.8476294652655052</v>
      </c>
      <c r="I225" s="25">
        <v>33.67</v>
      </c>
      <c r="J225" s="379">
        <v>2.6015735695836715</v>
      </c>
    </row>
    <row r="226" spans="1:10" x14ac:dyDescent="0.35">
      <c r="A226" s="5">
        <v>222</v>
      </c>
      <c r="B226" s="5">
        <v>10</v>
      </c>
      <c r="C226" s="5">
        <v>1</v>
      </c>
      <c r="D226" s="379">
        <v>29.105806937877134</v>
      </c>
      <c r="E226" s="25">
        <v>16.3</v>
      </c>
      <c r="F226" s="379">
        <v>1.1937076366877466</v>
      </c>
      <c r="G226" s="25">
        <v>30.03</v>
      </c>
      <c r="H226" s="379">
        <v>4.1982565888943748</v>
      </c>
      <c r="I226" s="25">
        <v>33.67</v>
      </c>
      <c r="J226" s="379">
        <v>3.1574194448153059</v>
      </c>
    </row>
    <row r="227" spans="1:10" x14ac:dyDescent="0.35">
      <c r="A227" s="5">
        <v>223</v>
      </c>
      <c r="B227" s="5">
        <v>10</v>
      </c>
      <c r="C227" s="5">
        <v>1</v>
      </c>
      <c r="D227" s="379">
        <v>48.47150446832422</v>
      </c>
      <c r="E227" s="25">
        <v>16.3</v>
      </c>
      <c r="F227" s="379">
        <v>5.2110189433060174</v>
      </c>
      <c r="G227" s="25">
        <v>30.03</v>
      </c>
      <c r="H227" s="379">
        <v>4.399810445048046</v>
      </c>
      <c r="I227" s="25">
        <v>33.67</v>
      </c>
      <c r="J227" s="379">
        <v>5.5370041259890306E-2</v>
      </c>
    </row>
    <row r="228" spans="1:10" x14ac:dyDescent="0.35">
      <c r="A228" s="5">
        <v>224</v>
      </c>
      <c r="B228" s="5">
        <v>10</v>
      </c>
      <c r="C228" s="5">
        <v>1</v>
      </c>
      <c r="D228" s="379">
        <v>46.680734609371079</v>
      </c>
      <c r="E228" s="25">
        <v>16.3</v>
      </c>
      <c r="F228" s="379">
        <v>0.39893127561504255</v>
      </c>
      <c r="G228" s="25">
        <v>30.03</v>
      </c>
      <c r="H228" s="379">
        <v>4.9361923438226665</v>
      </c>
      <c r="I228" s="25">
        <v>33.67</v>
      </c>
      <c r="J228" s="379">
        <v>9.498727546066088E-2</v>
      </c>
    </row>
    <row r="229" spans="1:10" x14ac:dyDescent="0.35">
      <c r="A229" s="5">
        <v>225</v>
      </c>
      <c r="B229" s="5">
        <v>10</v>
      </c>
      <c r="C229" s="5">
        <v>1</v>
      </c>
      <c r="D229" s="379">
        <v>60.578201667873721</v>
      </c>
      <c r="E229" s="25">
        <v>22.07</v>
      </c>
      <c r="F229" s="379">
        <v>2.3511188411878772</v>
      </c>
      <c r="G229" s="25">
        <v>30.03</v>
      </c>
      <c r="H229" s="379">
        <v>4.9124584059416794</v>
      </c>
      <c r="I229" s="25">
        <v>33.67</v>
      </c>
      <c r="J229" s="379">
        <v>4.0152686964900504</v>
      </c>
    </row>
    <row r="230" spans="1:10" x14ac:dyDescent="0.35">
      <c r="A230" s="5">
        <v>226</v>
      </c>
      <c r="B230" s="5">
        <v>10</v>
      </c>
      <c r="C230" s="5">
        <v>1</v>
      </c>
      <c r="D230" s="379">
        <v>66.016607385649948</v>
      </c>
      <c r="E230" s="25">
        <v>23.42</v>
      </c>
      <c r="F230" s="379">
        <v>1.8328523953443698</v>
      </c>
      <c r="G230" s="25">
        <v>30.03</v>
      </c>
      <c r="H230" s="379">
        <v>0.14480167642852412</v>
      </c>
      <c r="I230" s="25">
        <v>33.67</v>
      </c>
      <c r="J230" s="379">
        <v>7.7665520462762705E-2</v>
      </c>
    </row>
    <row r="231" spans="1:10" x14ac:dyDescent="0.35">
      <c r="A231" s="5">
        <v>227</v>
      </c>
      <c r="B231" s="5">
        <v>10</v>
      </c>
      <c r="C231" s="5">
        <v>1</v>
      </c>
      <c r="D231" s="379">
        <v>53.822726207219887</v>
      </c>
      <c r="E231" s="25">
        <v>23.59</v>
      </c>
      <c r="F231" s="379">
        <v>2.1788697493078537</v>
      </c>
      <c r="G231" s="25">
        <v>30.03</v>
      </c>
      <c r="H231" s="379">
        <v>4.9124584059416794</v>
      </c>
      <c r="I231" s="25">
        <v>33.67</v>
      </c>
      <c r="J231" s="379">
        <v>7.6652377833100263E-2</v>
      </c>
    </row>
    <row r="232" spans="1:10" x14ac:dyDescent="0.35">
      <c r="A232" s="5">
        <v>228</v>
      </c>
      <c r="B232" s="5">
        <v>10</v>
      </c>
      <c r="C232" s="5">
        <v>1</v>
      </c>
      <c r="D232" s="379">
        <v>47.955435546210119</v>
      </c>
      <c r="E232" s="25">
        <v>23.84</v>
      </c>
      <c r="F232" s="379">
        <v>5.2110189433060174</v>
      </c>
      <c r="G232" s="25">
        <v>30.03</v>
      </c>
      <c r="H232" s="379">
        <v>4.3769964020772658</v>
      </c>
      <c r="I232" s="25">
        <v>33.67</v>
      </c>
      <c r="J232" s="379">
        <v>3.7403444022761128</v>
      </c>
    </row>
    <row r="233" spans="1:10" x14ac:dyDescent="0.35">
      <c r="A233" s="5">
        <v>229</v>
      </c>
      <c r="B233" s="5">
        <v>10</v>
      </c>
      <c r="C233" s="5">
        <v>1</v>
      </c>
      <c r="D233" s="379">
        <v>53.606470440375674</v>
      </c>
      <c r="E233" s="25">
        <v>23.84</v>
      </c>
      <c r="F233" s="379">
        <v>3.8571572663313418</v>
      </c>
      <c r="G233" s="25">
        <v>30.03</v>
      </c>
      <c r="H233" s="379">
        <v>2.278658484144346</v>
      </c>
      <c r="I233" s="25">
        <v>33.67</v>
      </c>
      <c r="J233" s="379">
        <v>0.87337312163381342</v>
      </c>
    </row>
    <row r="234" spans="1:10" x14ac:dyDescent="0.35">
      <c r="A234" s="5">
        <v>230</v>
      </c>
      <c r="B234" s="5">
        <v>10</v>
      </c>
      <c r="C234" s="5">
        <v>1</v>
      </c>
      <c r="D234" s="379">
        <v>50.642413097787298</v>
      </c>
      <c r="E234" s="25">
        <v>23.84</v>
      </c>
      <c r="F234" s="379">
        <v>3.714477901822574</v>
      </c>
      <c r="G234" s="25">
        <v>30.03</v>
      </c>
      <c r="H234" s="379">
        <v>2.1179239275206396</v>
      </c>
      <c r="I234" s="25">
        <v>33.67</v>
      </c>
      <c r="J234" s="379">
        <v>0.87337312163381342</v>
      </c>
    </row>
    <row r="235" spans="1:10" x14ac:dyDescent="0.35">
      <c r="A235" s="5">
        <v>231</v>
      </c>
      <c r="B235" s="5">
        <v>10</v>
      </c>
      <c r="C235" s="5">
        <v>1</v>
      </c>
      <c r="D235" s="379">
        <v>48.371749084185488</v>
      </c>
      <c r="E235" s="25">
        <v>23.84</v>
      </c>
      <c r="F235" s="379">
        <v>1.1524521608304601</v>
      </c>
      <c r="G235" s="25">
        <v>30.03</v>
      </c>
      <c r="H235" s="379">
        <v>2.1179239275206396</v>
      </c>
      <c r="I235" s="25">
        <v>33.67</v>
      </c>
      <c r="J235" s="379">
        <v>0.87337312163381342</v>
      </c>
    </row>
    <row r="236" spans="1:10" x14ac:dyDescent="0.35">
      <c r="A236" s="5">
        <v>232</v>
      </c>
      <c r="B236" s="5">
        <v>10</v>
      </c>
      <c r="C236" s="5">
        <v>1</v>
      </c>
      <c r="D236" s="379">
        <v>48.528048744430563</v>
      </c>
      <c r="E236" s="25">
        <v>23.84</v>
      </c>
      <c r="F236" s="379">
        <v>1.1097938958300102</v>
      </c>
      <c r="G236" s="25">
        <v>30.03</v>
      </c>
      <c r="H236" s="379">
        <v>2.1179239275206396</v>
      </c>
      <c r="I236" s="25">
        <v>33.67</v>
      </c>
      <c r="J236" s="379">
        <v>0.87337312163381342</v>
      </c>
    </row>
    <row r="237" spans="1:10" x14ac:dyDescent="0.35">
      <c r="A237" s="5">
        <v>233</v>
      </c>
      <c r="B237" s="5">
        <v>10</v>
      </c>
      <c r="C237" s="5">
        <v>1</v>
      </c>
      <c r="D237" s="379">
        <v>49.524385159593308</v>
      </c>
      <c r="E237" s="25">
        <v>23.84</v>
      </c>
      <c r="F237" s="379">
        <v>1.2332642941861911</v>
      </c>
      <c r="G237" s="25">
        <v>31.42</v>
      </c>
      <c r="H237" s="379">
        <v>2.1179239275206396</v>
      </c>
      <c r="I237" s="25">
        <v>33.67</v>
      </c>
      <c r="J237" s="379">
        <v>0.88393026112842932</v>
      </c>
    </row>
    <row r="238" spans="1:10" x14ac:dyDescent="0.35">
      <c r="A238" s="5">
        <v>234</v>
      </c>
      <c r="B238" s="5">
        <v>10</v>
      </c>
      <c r="C238" s="5">
        <v>1</v>
      </c>
      <c r="D238" s="379">
        <v>49.356838303965645</v>
      </c>
      <c r="E238" s="25">
        <v>24.99</v>
      </c>
      <c r="F238" s="379">
        <v>1.3163054865364365</v>
      </c>
      <c r="G238" s="25">
        <v>43.39</v>
      </c>
      <c r="H238" s="379">
        <v>0.14480167642852412</v>
      </c>
      <c r="I238" s="25">
        <v>43.25</v>
      </c>
      <c r="J238" s="379">
        <v>7.9622299356524845E-2</v>
      </c>
    </row>
    <row r="239" spans="1:10" x14ac:dyDescent="0.35">
      <c r="A239" s="5">
        <v>235</v>
      </c>
      <c r="B239" s="5">
        <v>10</v>
      </c>
      <c r="C239" s="5">
        <v>1</v>
      </c>
      <c r="D239" s="379">
        <v>58.386246543448443</v>
      </c>
      <c r="E239" s="25">
        <v>24.99</v>
      </c>
      <c r="F239" s="379">
        <v>1.3814401134209</v>
      </c>
      <c r="G239" s="25">
        <v>43.84</v>
      </c>
      <c r="H239" s="379">
        <v>0.14480167642852412</v>
      </c>
      <c r="I239" s="25">
        <v>46.69</v>
      </c>
      <c r="J239" s="379">
        <v>1.2906509650451634</v>
      </c>
    </row>
    <row r="240" spans="1:10" x14ac:dyDescent="0.35">
      <c r="A240" s="5">
        <v>236</v>
      </c>
      <c r="B240" s="5">
        <v>10</v>
      </c>
      <c r="C240" s="5">
        <v>1</v>
      </c>
      <c r="D240" s="379">
        <v>45.172687174025604</v>
      </c>
      <c r="E240" s="25">
        <v>24.99</v>
      </c>
      <c r="F240" s="379">
        <v>0.88285332055283861</v>
      </c>
      <c r="G240" s="25">
        <v>43.44</v>
      </c>
      <c r="H240" s="379">
        <v>2.777777777777778E-2</v>
      </c>
      <c r="I240" s="25">
        <v>40.799999999999997</v>
      </c>
      <c r="J240" s="379">
        <v>1.2906509650451634</v>
      </c>
    </row>
    <row r="241" spans="1:10" x14ac:dyDescent="0.35">
      <c r="A241" s="5">
        <v>237</v>
      </c>
      <c r="B241" s="5">
        <v>10</v>
      </c>
      <c r="C241" s="5">
        <v>1</v>
      </c>
      <c r="D241" s="379">
        <v>39.252495765053915</v>
      </c>
      <c r="E241" s="25">
        <v>24.99</v>
      </c>
      <c r="F241" s="379">
        <v>5.7577711982579348E-2</v>
      </c>
      <c r="G241" s="25">
        <v>42.17</v>
      </c>
      <c r="H241" s="379">
        <v>1.875552840195911</v>
      </c>
      <c r="I241" s="25">
        <v>39.42</v>
      </c>
      <c r="J241" s="379">
        <v>1.2800938255505474</v>
      </c>
    </row>
    <row r="242" spans="1:10" x14ac:dyDescent="0.35">
      <c r="A242" s="5">
        <v>238</v>
      </c>
      <c r="B242" s="5">
        <v>10</v>
      </c>
      <c r="C242" s="5">
        <v>1</v>
      </c>
      <c r="D242" s="379">
        <v>49.510696308156277</v>
      </c>
      <c r="E242" s="25">
        <v>24.84</v>
      </c>
      <c r="F242" s="379">
        <v>2.523219231113385</v>
      </c>
      <c r="G242" s="25">
        <v>42.17</v>
      </c>
      <c r="H242" s="379">
        <v>1.875552840195911</v>
      </c>
      <c r="I242" s="25">
        <v>36.869999999999997</v>
      </c>
      <c r="J242" s="379">
        <v>1.2800938255505472</v>
      </c>
    </row>
    <row r="243" spans="1:10" x14ac:dyDescent="0.35">
      <c r="A243" s="5">
        <v>239</v>
      </c>
      <c r="B243" s="5">
        <v>10</v>
      </c>
      <c r="C243" s="5">
        <v>1</v>
      </c>
      <c r="D243" s="379">
        <v>37.359316001991857</v>
      </c>
      <c r="E243" s="25">
        <v>24.99</v>
      </c>
      <c r="F243" s="379">
        <v>2.483607470374229</v>
      </c>
      <c r="G243" s="25">
        <v>42.17</v>
      </c>
      <c r="H243" s="379">
        <v>1.875552840195911</v>
      </c>
      <c r="I243" s="25">
        <v>34.5</v>
      </c>
      <c r="J243" s="379">
        <v>1.2800938255505474</v>
      </c>
    </row>
    <row r="244" spans="1:10" x14ac:dyDescent="0.35">
      <c r="A244" s="5">
        <v>240</v>
      </c>
      <c r="B244" s="5">
        <v>10</v>
      </c>
      <c r="C244" s="5">
        <v>1</v>
      </c>
      <c r="D244" s="379">
        <v>33.576781384784219</v>
      </c>
      <c r="E244" s="25">
        <v>24.99</v>
      </c>
      <c r="F244" s="379">
        <v>2.483607470374229</v>
      </c>
      <c r="G244" s="25">
        <v>42.17</v>
      </c>
      <c r="H244" s="379">
        <v>1.875552840195911</v>
      </c>
      <c r="I244" s="25">
        <v>34.01</v>
      </c>
      <c r="J244" s="379">
        <v>1.2800938255505474</v>
      </c>
    </row>
    <row r="245" spans="1:10" x14ac:dyDescent="0.35">
      <c r="A245" s="5">
        <v>241</v>
      </c>
      <c r="B245" s="5">
        <v>11</v>
      </c>
      <c r="C245" s="5">
        <v>1</v>
      </c>
      <c r="D245" s="379">
        <v>31.549673358360131</v>
      </c>
      <c r="E245" s="25">
        <v>24.44</v>
      </c>
      <c r="F245" s="379">
        <v>2.0675984502711096</v>
      </c>
      <c r="G245" s="25">
        <v>35.85</v>
      </c>
      <c r="H245" s="379">
        <v>1.875552840195911</v>
      </c>
      <c r="I245" s="25">
        <v>33.67</v>
      </c>
      <c r="J245" s="379">
        <v>1.2800938255505474</v>
      </c>
    </row>
    <row r="246" spans="1:10" x14ac:dyDescent="0.35">
      <c r="A246" s="5">
        <v>242</v>
      </c>
      <c r="B246" s="5">
        <v>11</v>
      </c>
      <c r="C246" s="5">
        <v>1</v>
      </c>
      <c r="D246" s="379">
        <v>27.94518734516928</v>
      </c>
      <c r="E246" s="25">
        <v>24.44</v>
      </c>
      <c r="F246" s="379">
        <v>2.0419029641604127</v>
      </c>
      <c r="G246" s="25">
        <v>34.76</v>
      </c>
      <c r="H246" s="379">
        <v>1.875552840195911</v>
      </c>
      <c r="I246" s="25">
        <v>33.67</v>
      </c>
      <c r="J246" s="379">
        <v>1.2800938255505474</v>
      </c>
    </row>
    <row r="247" spans="1:10" x14ac:dyDescent="0.35">
      <c r="A247" s="5">
        <v>243</v>
      </c>
      <c r="B247" s="5">
        <v>11</v>
      </c>
      <c r="C247" s="5">
        <v>1</v>
      </c>
      <c r="D247" s="379">
        <v>43.966605598361703</v>
      </c>
      <c r="E247" s="25">
        <v>24.44</v>
      </c>
      <c r="F247" s="379">
        <v>2.0419029641604127</v>
      </c>
      <c r="G247" s="25">
        <v>30.91</v>
      </c>
      <c r="H247" s="379">
        <v>1.875552840195911</v>
      </c>
      <c r="I247" s="25">
        <v>33.67</v>
      </c>
      <c r="J247" s="379">
        <v>2.777777777777778E-2</v>
      </c>
    </row>
    <row r="248" spans="1:10" x14ac:dyDescent="0.35">
      <c r="A248" s="5">
        <v>244</v>
      </c>
      <c r="B248" s="5">
        <v>11</v>
      </c>
      <c r="C248" s="5">
        <v>1</v>
      </c>
      <c r="D248" s="379">
        <v>33.054374935528251</v>
      </c>
      <c r="E248" s="25">
        <v>22.9</v>
      </c>
      <c r="F248" s="379">
        <v>2.0419029641604127</v>
      </c>
      <c r="G248" s="25">
        <v>30.03</v>
      </c>
      <c r="H248" s="379">
        <v>1.875552840195911</v>
      </c>
      <c r="I248" s="25">
        <v>33.67</v>
      </c>
      <c r="J248" s="379">
        <v>2.777777777777778E-2</v>
      </c>
    </row>
    <row r="249" spans="1:10" x14ac:dyDescent="0.35">
      <c r="A249" s="5">
        <v>245</v>
      </c>
      <c r="B249" s="5">
        <v>11</v>
      </c>
      <c r="C249" s="5">
        <v>1</v>
      </c>
      <c r="D249" s="379">
        <v>33.664517855333315</v>
      </c>
      <c r="E249" s="25">
        <v>23.59</v>
      </c>
      <c r="F249" s="379">
        <v>2.0419029641604127</v>
      </c>
      <c r="G249" s="25">
        <v>30.57</v>
      </c>
      <c r="H249" s="379">
        <v>1.875552840195911</v>
      </c>
      <c r="I249" s="25">
        <v>33.67</v>
      </c>
      <c r="J249" s="379">
        <v>2.777777777777778E-2</v>
      </c>
    </row>
    <row r="250" spans="1:10" x14ac:dyDescent="0.35">
      <c r="A250" s="5">
        <v>246</v>
      </c>
      <c r="B250" s="5">
        <v>11</v>
      </c>
      <c r="C250" s="5">
        <v>1</v>
      </c>
      <c r="D250" s="379">
        <v>36.260052338423129</v>
      </c>
      <c r="E250" s="25">
        <v>24.73</v>
      </c>
      <c r="F250" s="379">
        <v>2.8752154517683559</v>
      </c>
      <c r="G250" s="25">
        <v>31.58</v>
      </c>
      <c r="H250" s="379">
        <v>1.875552840195911</v>
      </c>
      <c r="I250" s="25">
        <v>33.67</v>
      </c>
      <c r="J250" s="379">
        <v>2.777777777777778E-2</v>
      </c>
    </row>
    <row r="251" spans="1:10" x14ac:dyDescent="0.35">
      <c r="A251" s="5">
        <v>247</v>
      </c>
      <c r="B251" s="5">
        <v>11</v>
      </c>
      <c r="C251" s="5">
        <v>1</v>
      </c>
      <c r="D251" s="379">
        <v>28.983820009619709</v>
      </c>
      <c r="E251" s="25">
        <v>24.84</v>
      </c>
      <c r="F251" s="379">
        <v>3.2727733956087586</v>
      </c>
      <c r="G251" s="25">
        <v>42.17</v>
      </c>
      <c r="H251" s="379">
        <v>2.1179239275206396</v>
      </c>
      <c r="I251" s="25">
        <v>35.450000000000003</v>
      </c>
      <c r="J251" s="379">
        <v>2.777777777777778E-2</v>
      </c>
    </row>
    <row r="252" spans="1:10" x14ac:dyDescent="0.35">
      <c r="A252" s="5">
        <v>248</v>
      </c>
      <c r="B252" s="5">
        <v>11</v>
      </c>
      <c r="C252" s="5">
        <v>1</v>
      </c>
      <c r="D252" s="379">
        <v>58.857406814145378</v>
      </c>
      <c r="E252" s="25">
        <v>25.29</v>
      </c>
      <c r="F252" s="379">
        <v>3.2806526297709397</v>
      </c>
      <c r="G252" s="25">
        <v>44.94</v>
      </c>
      <c r="H252" s="379">
        <v>2.1179239275206396</v>
      </c>
      <c r="I252" s="25">
        <v>48.1</v>
      </c>
      <c r="J252" s="379">
        <v>2.777777777777778E-2</v>
      </c>
    </row>
    <row r="253" spans="1:10" x14ac:dyDescent="0.35">
      <c r="A253" s="5">
        <v>249</v>
      </c>
      <c r="B253" s="5">
        <v>11</v>
      </c>
      <c r="C253" s="5">
        <v>1</v>
      </c>
      <c r="D253" s="379">
        <v>43.379419183432653</v>
      </c>
      <c r="E253" s="25">
        <v>25.74</v>
      </c>
      <c r="F253" s="379">
        <v>3.2806526297709397</v>
      </c>
      <c r="G253" s="25">
        <v>46.11</v>
      </c>
      <c r="H253" s="379">
        <v>2.1179239275206396</v>
      </c>
      <c r="I253" s="25">
        <v>48.1</v>
      </c>
      <c r="J253" s="379">
        <v>2.777777777777778E-2</v>
      </c>
    </row>
    <row r="254" spans="1:10" x14ac:dyDescent="0.35">
      <c r="A254" s="5">
        <v>250</v>
      </c>
      <c r="B254" s="5">
        <v>11</v>
      </c>
      <c r="C254" s="5">
        <v>1</v>
      </c>
      <c r="D254" s="379">
        <v>46.68718056533119</v>
      </c>
      <c r="E254" s="25">
        <v>25.74</v>
      </c>
      <c r="F254" s="379">
        <v>5.6551191652182038E-2</v>
      </c>
      <c r="G254" s="25">
        <v>46.11</v>
      </c>
      <c r="H254" s="379">
        <v>2.1179239275206396</v>
      </c>
      <c r="I254" s="25">
        <v>48.1</v>
      </c>
      <c r="J254" s="379">
        <v>2.777777777777778E-2</v>
      </c>
    </row>
    <row r="255" spans="1:10" x14ac:dyDescent="0.35">
      <c r="A255" s="5">
        <v>251</v>
      </c>
      <c r="B255" s="5">
        <v>11</v>
      </c>
      <c r="C255" s="5">
        <v>1</v>
      </c>
      <c r="D255" s="379">
        <v>37.224463573189063</v>
      </c>
      <c r="E255" s="25">
        <v>25.74</v>
      </c>
      <c r="F255" s="379">
        <v>3.2727733956087586</v>
      </c>
      <c r="G255" s="25">
        <v>46.11</v>
      </c>
      <c r="H255" s="379">
        <v>2.1179239275206396</v>
      </c>
      <c r="I255" s="25">
        <v>48.1</v>
      </c>
      <c r="J255" s="379">
        <v>2.777777777777778E-2</v>
      </c>
    </row>
    <row r="256" spans="1:10" x14ac:dyDescent="0.35">
      <c r="A256" s="5">
        <v>252</v>
      </c>
      <c r="B256" s="5">
        <v>11</v>
      </c>
      <c r="C256" s="5">
        <v>1</v>
      </c>
      <c r="D256" s="379">
        <v>62.544089786625193</v>
      </c>
      <c r="E256" s="25">
        <v>25.74</v>
      </c>
      <c r="F256" s="379">
        <v>3.2727733956087586</v>
      </c>
      <c r="G256" s="25">
        <v>46.11</v>
      </c>
      <c r="H256" s="379">
        <v>2.1179239275206396</v>
      </c>
      <c r="I256" s="25">
        <v>46.77</v>
      </c>
      <c r="J256" s="379">
        <v>2.777777777777778E-2</v>
      </c>
    </row>
    <row r="257" spans="1:10" x14ac:dyDescent="0.35">
      <c r="A257" s="5">
        <v>253</v>
      </c>
      <c r="B257" s="5">
        <v>11</v>
      </c>
      <c r="C257" s="5">
        <v>1</v>
      </c>
      <c r="D257" s="379">
        <v>39.323411426788049</v>
      </c>
      <c r="E257" s="25">
        <v>25.07</v>
      </c>
      <c r="F257" s="379">
        <v>3.2727733956087586</v>
      </c>
      <c r="G257" s="25">
        <v>44.69</v>
      </c>
      <c r="H257" s="379">
        <v>2.1179239275206396</v>
      </c>
      <c r="I257" s="25">
        <v>48.1</v>
      </c>
      <c r="J257" s="379">
        <v>2.777777777777778E-2</v>
      </c>
    </row>
    <row r="258" spans="1:10" x14ac:dyDescent="0.35">
      <c r="A258" s="5">
        <v>254</v>
      </c>
      <c r="B258" s="5">
        <v>11</v>
      </c>
      <c r="C258" s="5">
        <v>1</v>
      </c>
      <c r="D258" s="379">
        <v>27.236111111111111</v>
      </c>
      <c r="E258" s="25">
        <v>25.74</v>
      </c>
      <c r="F258" s="379">
        <v>3.2727733956087586</v>
      </c>
      <c r="G258" s="25">
        <v>44.69</v>
      </c>
      <c r="H258" s="379">
        <v>2.1489510259609013</v>
      </c>
      <c r="I258" s="25">
        <v>48.1</v>
      </c>
      <c r="J258" s="379">
        <v>2.777777777777778E-2</v>
      </c>
    </row>
    <row r="259" spans="1:10" x14ac:dyDescent="0.35">
      <c r="A259" s="5">
        <v>255</v>
      </c>
      <c r="B259" s="5">
        <v>11</v>
      </c>
      <c r="C259" s="5">
        <v>1</v>
      </c>
      <c r="D259" s="379">
        <v>53.78972014082693</v>
      </c>
      <c r="E259" s="25">
        <v>25.74</v>
      </c>
      <c r="F259" s="379">
        <v>3.2727733956087586</v>
      </c>
      <c r="G259" s="25">
        <v>46.03</v>
      </c>
      <c r="H259" s="379">
        <v>2.1489510259609013</v>
      </c>
      <c r="I259" s="25">
        <v>48.1</v>
      </c>
      <c r="J259" s="379">
        <v>2.777777777777778E-2</v>
      </c>
    </row>
    <row r="260" spans="1:10" x14ac:dyDescent="0.35">
      <c r="A260" s="5">
        <v>256</v>
      </c>
      <c r="B260" s="5">
        <v>11</v>
      </c>
      <c r="C260" s="5">
        <v>1</v>
      </c>
      <c r="D260" s="379">
        <v>48.10311944711566</v>
      </c>
      <c r="E260" s="25">
        <v>25.74</v>
      </c>
      <c r="F260" s="379">
        <v>2.777777777777778E-2</v>
      </c>
      <c r="G260" s="25">
        <v>46.03</v>
      </c>
      <c r="H260" s="379">
        <v>2.1489510259609013</v>
      </c>
      <c r="I260" s="25">
        <v>48.1</v>
      </c>
      <c r="J260" s="379">
        <v>2.777777777777778E-2</v>
      </c>
    </row>
    <row r="261" spans="1:10" x14ac:dyDescent="0.35">
      <c r="A261" s="5">
        <v>257</v>
      </c>
      <c r="B261" s="5">
        <v>11</v>
      </c>
      <c r="C261" s="5">
        <v>1</v>
      </c>
      <c r="D261" s="379">
        <v>80.538888888888891</v>
      </c>
      <c r="E261" s="25">
        <v>25.74</v>
      </c>
      <c r="F261" s="379">
        <v>6.2429061149561794E-2</v>
      </c>
      <c r="G261" s="25">
        <v>46.11</v>
      </c>
      <c r="H261" s="379">
        <v>2.1489510259609013</v>
      </c>
      <c r="I261" s="25">
        <v>48.1</v>
      </c>
      <c r="J261" s="379">
        <v>2.777777777777778E-2</v>
      </c>
    </row>
    <row r="262" spans="1:10" x14ac:dyDescent="0.35">
      <c r="A262" s="5">
        <v>258</v>
      </c>
      <c r="B262" s="5">
        <v>11</v>
      </c>
      <c r="C262" s="5">
        <v>1</v>
      </c>
      <c r="D262" s="379">
        <v>72.754883274173281</v>
      </c>
      <c r="E262" s="25">
        <v>25.74</v>
      </c>
      <c r="F262" s="379">
        <v>0.14480167642852412</v>
      </c>
      <c r="G262" s="25">
        <v>46.11</v>
      </c>
      <c r="H262" s="379">
        <v>2.1489510259609013</v>
      </c>
      <c r="I262" s="25">
        <v>48.86</v>
      </c>
      <c r="J262" s="379">
        <v>9.2217494332741706E-2</v>
      </c>
    </row>
    <row r="263" spans="1:10" x14ac:dyDescent="0.35">
      <c r="A263" s="5">
        <v>259</v>
      </c>
      <c r="B263" s="5">
        <v>11</v>
      </c>
      <c r="C263" s="5">
        <v>1</v>
      </c>
      <c r="D263" s="379">
        <v>34.308333333333337</v>
      </c>
      <c r="E263" s="25">
        <v>25.74</v>
      </c>
      <c r="F263" s="379">
        <v>0.14480167642852412</v>
      </c>
      <c r="G263" s="25">
        <v>46.21</v>
      </c>
      <c r="H263" s="379">
        <v>2.1489510259609013</v>
      </c>
      <c r="I263" s="25">
        <v>48.67</v>
      </c>
      <c r="J263" s="379">
        <v>0.11121958545029406</v>
      </c>
    </row>
    <row r="264" spans="1:10" x14ac:dyDescent="0.35">
      <c r="A264" s="5">
        <v>260</v>
      </c>
      <c r="B264" s="5">
        <v>11</v>
      </c>
      <c r="C264" s="5">
        <v>1</v>
      </c>
      <c r="D264" s="379">
        <v>36.934344684989121</v>
      </c>
      <c r="E264" s="25">
        <v>25.74</v>
      </c>
      <c r="F264" s="379">
        <v>4.8726621685831563E-2</v>
      </c>
      <c r="G264" s="25">
        <v>46.11</v>
      </c>
      <c r="H264" s="379">
        <v>2.1489510259609013</v>
      </c>
      <c r="I264" s="25">
        <v>48.1</v>
      </c>
      <c r="J264" s="379">
        <v>9.2217494332741706E-2</v>
      </c>
    </row>
    <row r="265" spans="1:10" x14ac:dyDescent="0.35">
      <c r="A265" s="5">
        <v>261</v>
      </c>
      <c r="B265" s="5">
        <v>11</v>
      </c>
      <c r="C265" s="5">
        <v>1</v>
      </c>
      <c r="D265" s="379">
        <v>42.536111111111111</v>
      </c>
      <c r="E265" s="25">
        <v>25.29</v>
      </c>
      <c r="F265" s="379">
        <v>4.5650413789095998E-2</v>
      </c>
      <c r="G265" s="25">
        <v>46.03</v>
      </c>
      <c r="H265" s="379">
        <v>2.1489510259609013</v>
      </c>
      <c r="I265" s="25">
        <v>39</v>
      </c>
      <c r="J265" s="379">
        <v>9.2217494332741706E-2</v>
      </c>
    </row>
    <row r="266" spans="1:10" x14ac:dyDescent="0.35">
      <c r="A266" s="5">
        <v>262</v>
      </c>
      <c r="B266" s="5">
        <v>11</v>
      </c>
      <c r="C266" s="5">
        <v>1</v>
      </c>
      <c r="D266" s="379">
        <v>42.674999999999997</v>
      </c>
      <c r="E266" s="25">
        <v>24.84</v>
      </c>
      <c r="F266" s="379">
        <v>3.2727733956087586</v>
      </c>
      <c r="G266" s="25">
        <v>42.17</v>
      </c>
      <c r="H266" s="379">
        <v>2.1489510259609013</v>
      </c>
      <c r="I266" s="25">
        <v>34.42</v>
      </c>
      <c r="J266" s="379">
        <v>9.2217494332741706E-2</v>
      </c>
    </row>
    <row r="267" spans="1:10" x14ac:dyDescent="0.35">
      <c r="A267" s="5">
        <v>263</v>
      </c>
      <c r="B267" s="5">
        <v>11</v>
      </c>
      <c r="C267" s="5">
        <v>1</v>
      </c>
      <c r="D267" s="379">
        <v>60.68463467021413</v>
      </c>
      <c r="E267" s="25">
        <v>24.84</v>
      </c>
      <c r="F267" s="379">
        <v>3.2727733956087586</v>
      </c>
      <c r="G267" s="25">
        <v>42.17</v>
      </c>
      <c r="H267" s="379">
        <v>2.1489510259609013</v>
      </c>
      <c r="I267" s="25">
        <v>34.07</v>
      </c>
      <c r="J267" s="379">
        <v>9.2217494332741706E-2</v>
      </c>
    </row>
    <row r="268" spans="1:10" x14ac:dyDescent="0.35">
      <c r="A268" s="5">
        <v>264</v>
      </c>
      <c r="B268" s="5">
        <v>11</v>
      </c>
      <c r="C268" s="5">
        <v>1</v>
      </c>
      <c r="D268" s="379">
        <v>47.080555555555556</v>
      </c>
      <c r="E268" s="25">
        <v>24.84</v>
      </c>
      <c r="F268" s="379">
        <v>3.058748439132545</v>
      </c>
      <c r="G268" s="25">
        <v>41.75</v>
      </c>
      <c r="H268" s="379">
        <v>2.1489510259609013</v>
      </c>
      <c r="I268" s="25">
        <v>34.07</v>
      </c>
      <c r="J268" s="379">
        <v>0.11343688869486343</v>
      </c>
    </row>
    <row r="269" spans="1:10" x14ac:dyDescent="0.35">
      <c r="A269" s="5">
        <v>265</v>
      </c>
      <c r="B269" s="5">
        <v>12</v>
      </c>
      <c r="C269" s="5">
        <v>1</v>
      </c>
      <c r="D269" s="379">
        <v>51.367061515280092</v>
      </c>
      <c r="E269" s="25">
        <v>24.73</v>
      </c>
      <c r="F269" s="379">
        <v>2.5918486159734222</v>
      </c>
      <c r="G269" s="25">
        <v>39.75</v>
      </c>
      <c r="H269" s="379">
        <v>2.1489510259609013</v>
      </c>
      <c r="I269" s="25">
        <v>34.07</v>
      </c>
      <c r="J269" s="379">
        <v>0.11343688869486343</v>
      </c>
    </row>
    <row r="270" spans="1:10" x14ac:dyDescent="0.35">
      <c r="A270" s="5">
        <v>266</v>
      </c>
      <c r="B270" s="5">
        <v>12</v>
      </c>
      <c r="C270" s="5">
        <v>1</v>
      </c>
      <c r="D270" s="379">
        <v>39.133333333333333</v>
      </c>
      <c r="E270" s="25">
        <v>24.73</v>
      </c>
      <c r="F270" s="379">
        <v>2.5918486159734222</v>
      </c>
      <c r="G270" s="25">
        <v>36.950000000000003</v>
      </c>
      <c r="H270" s="379">
        <v>2.1489510259609013</v>
      </c>
      <c r="I270" s="25">
        <v>33.67</v>
      </c>
      <c r="J270" s="379">
        <v>8.004422054107499E-2</v>
      </c>
    </row>
    <row r="271" spans="1:10" x14ac:dyDescent="0.35">
      <c r="A271" s="5">
        <v>267</v>
      </c>
      <c r="B271" s="5">
        <v>12</v>
      </c>
      <c r="C271" s="5">
        <v>1</v>
      </c>
      <c r="D271" s="379">
        <v>46.165056653065136</v>
      </c>
      <c r="E271" s="25">
        <v>24.44</v>
      </c>
      <c r="F271" s="379">
        <v>2.5918486159734222</v>
      </c>
      <c r="G271" s="25">
        <v>30.91</v>
      </c>
      <c r="H271" s="379">
        <v>2.1489510259609013</v>
      </c>
      <c r="I271" s="25">
        <v>33.67</v>
      </c>
      <c r="J271" s="379">
        <v>8.004422054107499E-2</v>
      </c>
    </row>
    <row r="272" spans="1:10" x14ac:dyDescent="0.35">
      <c r="A272" s="5">
        <v>268</v>
      </c>
      <c r="B272" s="5">
        <v>12</v>
      </c>
      <c r="C272" s="5">
        <v>1</v>
      </c>
      <c r="D272" s="379">
        <v>47.765023814044746</v>
      </c>
      <c r="E272" s="25">
        <v>23.73</v>
      </c>
      <c r="F272" s="379">
        <v>2.5918486159734222</v>
      </c>
      <c r="G272" s="25">
        <v>30.91</v>
      </c>
      <c r="H272" s="379">
        <v>2.1489510259609013</v>
      </c>
      <c r="I272" s="25">
        <v>33.67</v>
      </c>
      <c r="J272" s="379">
        <v>8.004422054107499E-2</v>
      </c>
    </row>
    <row r="273" spans="1:10" x14ac:dyDescent="0.35">
      <c r="A273" s="5">
        <v>269</v>
      </c>
      <c r="B273" s="5">
        <v>12</v>
      </c>
      <c r="C273" s="5">
        <v>1</v>
      </c>
      <c r="D273" s="379">
        <v>37.594791413066645</v>
      </c>
      <c r="E273" s="25">
        <v>23.73</v>
      </c>
      <c r="F273" s="379">
        <v>2.5918486159734222</v>
      </c>
      <c r="G273" s="25">
        <v>30.91</v>
      </c>
      <c r="H273" s="379">
        <v>2.1489510259609013</v>
      </c>
      <c r="I273" s="25">
        <v>33.67</v>
      </c>
      <c r="J273" s="379">
        <v>8.004422054107499E-2</v>
      </c>
    </row>
    <row r="274" spans="1:10" x14ac:dyDescent="0.35">
      <c r="A274" s="5">
        <v>270</v>
      </c>
      <c r="B274" s="5">
        <v>12</v>
      </c>
      <c r="C274" s="5">
        <v>1</v>
      </c>
      <c r="D274" s="379">
        <v>46.985113578815444</v>
      </c>
      <c r="E274" s="25">
        <v>24.73</v>
      </c>
      <c r="F274" s="379">
        <v>3.2727733956087586</v>
      </c>
      <c r="G274" s="25">
        <v>36.950000000000003</v>
      </c>
      <c r="H274" s="379">
        <v>2.1489510259609013</v>
      </c>
      <c r="I274" s="25">
        <v>33.67</v>
      </c>
      <c r="J274" s="379">
        <v>0.25286946329864851</v>
      </c>
    </row>
    <row r="275" spans="1:10" x14ac:dyDescent="0.35">
      <c r="A275" s="5">
        <v>271</v>
      </c>
      <c r="B275" s="5">
        <v>12</v>
      </c>
      <c r="C275" s="5">
        <v>1</v>
      </c>
      <c r="D275" s="379">
        <v>32.677777777777777</v>
      </c>
      <c r="E275" s="25">
        <v>24.84</v>
      </c>
      <c r="F275" s="379">
        <v>5.2110189433060174</v>
      </c>
      <c r="G275" s="25">
        <v>42.17</v>
      </c>
      <c r="H275" s="379">
        <v>2.187596823451492</v>
      </c>
      <c r="I275" s="25">
        <v>36.42</v>
      </c>
      <c r="J275" s="379">
        <v>0.28415537493259246</v>
      </c>
    </row>
    <row r="276" spans="1:10" x14ac:dyDescent="0.35">
      <c r="A276" s="5">
        <v>272</v>
      </c>
      <c r="B276" s="5">
        <v>12</v>
      </c>
      <c r="C276" s="5">
        <v>1</v>
      </c>
      <c r="D276" s="379">
        <v>36.287523425306183</v>
      </c>
      <c r="E276" s="25">
        <v>25.29</v>
      </c>
      <c r="F276" s="379">
        <v>0.6281264206571151</v>
      </c>
      <c r="G276" s="25">
        <v>44.77</v>
      </c>
      <c r="H276" s="379">
        <v>2.4755183751233307</v>
      </c>
      <c r="I276" s="25">
        <v>40.89</v>
      </c>
      <c r="J276" s="379">
        <v>2.1901201777430801</v>
      </c>
    </row>
    <row r="277" spans="1:10" x14ac:dyDescent="0.35">
      <c r="A277" s="5">
        <v>273</v>
      </c>
      <c r="B277" s="5">
        <v>12</v>
      </c>
      <c r="C277" s="5">
        <v>1</v>
      </c>
      <c r="D277" s="379">
        <v>32.697222222222216</v>
      </c>
      <c r="E277" s="25">
        <v>25.74</v>
      </c>
      <c r="F277" s="379">
        <v>1.8089898549403021</v>
      </c>
      <c r="G277" s="25">
        <v>46.11</v>
      </c>
      <c r="H277" s="379">
        <v>2.777777777777778E-2</v>
      </c>
      <c r="I277" s="25">
        <v>47.44</v>
      </c>
      <c r="J277" s="379">
        <v>0.10861781333256593</v>
      </c>
    </row>
    <row r="278" spans="1:10" x14ac:dyDescent="0.35">
      <c r="A278" s="5">
        <v>274</v>
      </c>
      <c r="B278" s="5">
        <v>12</v>
      </c>
      <c r="C278" s="5">
        <v>1</v>
      </c>
      <c r="D278" s="379">
        <v>39.042400132714</v>
      </c>
      <c r="E278" s="25">
        <v>25.74</v>
      </c>
      <c r="F278" s="379">
        <v>1.442431869210054</v>
      </c>
      <c r="G278" s="25">
        <v>46.11</v>
      </c>
      <c r="H278" s="379">
        <v>2.5077965306414733</v>
      </c>
      <c r="I278" s="25">
        <v>45.88</v>
      </c>
      <c r="J278" s="379">
        <v>0.11066869060569368</v>
      </c>
    </row>
    <row r="279" spans="1:10" x14ac:dyDescent="0.35">
      <c r="A279" s="5">
        <v>275</v>
      </c>
      <c r="B279" s="5">
        <v>12</v>
      </c>
      <c r="C279" s="5">
        <v>1</v>
      </c>
      <c r="D279" s="379">
        <v>35.000977564730306</v>
      </c>
      <c r="E279" s="25">
        <v>25.74</v>
      </c>
      <c r="F279" s="379">
        <v>5.2110189433060174</v>
      </c>
      <c r="G279" s="25">
        <v>46.11</v>
      </c>
      <c r="H279" s="379">
        <v>2.5077965306414733</v>
      </c>
      <c r="I279" s="25">
        <v>45.88</v>
      </c>
      <c r="J279" s="379">
        <v>4.5304590318499129E-2</v>
      </c>
    </row>
    <row r="280" spans="1:10" x14ac:dyDescent="0.35">
      <c r="A280" s="5">
        <v>276</v>
      </c>
      <c r="B280" s="5">
        <v>12</v>
      </c>
      <c r="C280" s="5">
        <v>1</v>
      </c>
      <c r="D280" s="379">
        <v>32.697222222222223</v>
      </c>
      <c r="E280" s="25">
        <v>25.74</v>
      </c>
      <c r="F280" s="379">
        <v>1.4484542032643992</v>
      </c>
      <c r="G280" s="25">
        <v>46.03</v>
      </c>
      <c r="H280" s="379">
        <v>2.5077965306414733</v>
      </c>
      <c r="I280" s="25">
        <v>42.11</v>
      </c>
      <c r="J280" s="379">
        <v>2.777777777777778E-2</v>
      </c>
    </row>
    <row r="281" spans="1:10" x14ac:dyDescent="0.35">
      <c r="A281" s="5">
        <v>277</v>
      </c>
      <c r="B281" s="5">
        <v>12</v>
      </c>
      <c r="C281" s="5">
        <v>1</v>
      </c>
      <c r="D281" s="379">
        <v>61.151891227269878</v>
      </c>
      <c r="E281" s="25">
        <v>25.74</v>
      </c>
      <c r="F281" s="379">
        <v>1.9918617369288549</v>
      </c>
      <c r="G281" s="25">
        <v>46.03</v>
      </c>
      <c r="H281" s="379">
        <v>2.4011044524564795</v>
      </c>
      <c r="I281" s="25">
        <v>42.11</v>
      </c>
      <c r="J281" s="379">
        <v>2.777777777777778E-2</v>
      </c>
    </row>
    <row r="282" spans="1:10" x14ac:dyDescent="0.35">
      <c r="A282" s="5">
        <v>278</v>
      </c>
      <c r="B282" s="5">
        <v>12</v>
      </c>
      <c r="C282" s="5">
        <v>1</v>
      </c>
      <c r="D282" s="379">
        <v>38.62222222222222</v>
      </c>
      <c r="E282" s="25">
        <v>25.29</v>
      </c>
      <c r="F282" s="379">
        <v>2.0323557059790596</v>
      </c>
      <c r="G282" s="25">
        <v>45.19</v>
      </c>
      <c r="H282" s="379">
        <v>2.4011044524564795</v>
      </c>
      <c r="I282" s="25">
        <v>45.88</v>
      </c>
      <c r="J282" s="379">
        <v>2.777777777777778E-2</v>
      </c>
    </row>
    <row r="283" spans="1:10" x14ac:dyDescent="0.35">
      <c r="A283" s="5">
        <v>279</v>
      </c>
      <c r="B283" s="5">
        <v>12</v>
      </c>
      <c r="C283" s="5">
        <v>1</v>
      </c>
      <c r="D283" s="379">
        <v>47.266342017726345</v>
      </c>
      <c r="E283" s="25">
        <v>24.99</v>
      </c>
      <c r="F283" s="379">
        <v>3.0836857478456245</v>
      </c>
      <c r="G283" s="25">
        <v>44.93</v>
      </c>
      <c r="H283" s="379">
        <v>2.4011044524564795</v>
      </c>
      <c r="I283" s="25">
        <v>48.1</v>
      </c>
      <c r="J283" s="379">
        <v>2.777777777777778E-2</v>
      </c>
    </row>
    <row r="284" spans="1:10" x14ac:dyDescent="0.35">
      <c r="A284" s="5">
        <v>280</v>
      </c>
      <c r="B284" s="5">
        <v>12</v>
      </c>
      <c r="C284" s="5">
        <v>1</v>
      </c>
      <c r="D284" s="379">
        <v>70.8</v>
      </c>
      <c r="E284" s="25">
        <v>25.59</v>
      </c>
      <c r="F284" s="379">
        <v>3.2265207601750143</v>
      </c>
      <c r="G284" s="25">
        <v>45.19</v>
      </c>
      <c r="H284" s="379">
        <v>2.4644097064148842</v>
      </c>
      <c r="I284" s="25">
        <v>48.09</v>
      </c>
      <c r="J284" s="379">
        <v>2.777777777777778E-2</v>
      </c>
    </row>
    <row r="285" spans="1:10" x14ac:dyDescent="0.35">
      <c r="A285" s="5">
        <v>281</v>
      </c>
      <c r="B285" s="5">
        <v>12</v>
      </c>
      <c r="C285" s="5">
        <v>1</v>
      </c>
      <c r="D285" s="379">
        <v>51.190555555555555</v>
      </c>
      <c r="E285" s="25">
        <v>25.74</v>
      </c>
      <c r="F285" s="379">
        <v>2.1243566751493872</v>
      </c>
      <c r="G285" s="25">
        <v>46.11</v>
      </c>
      <c r="H285" s="379">
        <v>2.4117461136322356</v>
      </c>
      <c r="I285" s="25">
        <v>46.24</v>
      </c>
      <c r="J285" s="379">
        <v>2.777777777777778E-2</v>
      </c>
    </row>
    <row r="286" spans="1:10" x14ac:dyDescent="0.35">
      <c r="A286" s="5">
        <v>282</v>
      </c>
      <c r="B286" s="5">
        <v>12</v>
      </c>
      <c r="C286" s="5">
        <v>1</v>
      </c>
      <c r="D286" s="379">
        <v>67.415006061572811</v>
      </c>
      <c r="E286" s="25">
        <v>25.74</v>
      </c>
      <c r="F286" s="379">
        <v>3.1924488426168489</v>
      </c>
      <c r="G286" s="25">
        <v>46.21</v>
      </c>
      <c r="H286" s="379">
        <v>0.1448016764285241</v>
      </c>
      <c r="I286" s="25">
        <v>48.1</v>
      </c>
      <c r="J286" s="379">
        <v>8.6382550944390499E-2</v>
      </c>
    </row>
    <row r="287" spans="1:10" x14ac:dyDescent="0.35">
      <c r="A287" s="5">
        <v>283</v>
      </c>
      <c r="B287" s="5">
        <v>12</v>
      </c>
      <c r="C287" s="5">
        <v>1</v>
      </c>
      <c r="D287" s="379">
        <v>29.355555555555558</v>
      </c>
      <c r="E287" s="25">
        <v>25.74</v>
      </c>
      <c r="F287" s="379">
        <v>2.6142077919696312</v>
      </c>
      <c r="G287" s="25">
        <v>47.85</v>
      </c>
      <c r="H287" s="379">
        <v>0.14480167642852412</v>
      </c>
      <c r="I287" s="25">
        <v>48.1</v>
      </c>
      <c r="J287" s="379">
        <v>8.6756951899988263E-2</v>
      </c>
    </row>
    <row r="288" spans="1:10" x14ac:dyDescent="0.35">
      <c r="A288" s="5">
        <v>284</v>
      </c>
      <c r="B288" s="5">
        <v>12</v>
      </c>
      <c r="C288" s="5">
        <v>1</v>
      </c>
      <c r="D288" s="379">
        <v>45.853415749022574</v>
      </c>
      <c r="E288" s="25">
        <v>25.74</v>
      </c>
      <c r="F288" s="379">
        <v>1.9576734229362724</v>
      </c>
      <c r="G288" s="25">
        <v>46.11</v>
      </c>
      <c r="H288" s="379">
        <v>2.1708278058828467</v>
      </c>
      <c r="I288" s="25">
        <v>48.1</v>
      </c>
      <c r="J288" s="379">
        <v>8.4904403966908071E-2</v>
      </c>
    </row>
    <row r="289" spans="1:10" x14ac:dyDescent="0.35">
      <c r="A289" s="5">
        <v>285</v>
      </c>
      <c r="B289" s="5">
        <v>12</v>
      </c>
      <c r="C289" s="5">
        <v>1</v>
      </c>
      <c r="D289" s="379">
        <v>22.122222222222224</v>
      </c>
      <c r="E289" s="25">
        <v>25.29</v>
      </c>
      <c r="F289" s="379">
        <v>3.0500590913550352</v>
      </c>
      <c r="G289" s="25">
        <v>44.86</v>
      </c>
      <c r="H289" s="379">
        <v>2.1179239275206396</v>
      </c>
      <c r="I289" s="25">
        <v>48.1</v>
      </c>
      <c r="J289" s="379">
        <v>3.24179375022427E-2</v>
      </c>
    </row>
    <row r="290" spans="1:10" x14ac:dyDescent="0.35">
      <c r="A290" s="5">
        <v>286</v>
      </c>
      <c r="B290" s="5">
        <v>12</v>
      </c>
      <c r="C290" s="5">
        <v>1</v>
      </c>
      <c r="D290" s="379">
        <v>49.09489145525685</v>
      </c>
      <c r="E290" s="25">
        <v>24.84</v>
      </c>
      <c r="F290" s="379">
        <v>3.4991202279065203</v>
      </c>
      <c r="G290" s="25">
        <v>43.56</v>
      </c>
      <c r="H290" s="379">
        <v>2.1179239275206396</v>
      </c>
      <c r="I290" s="25">
        <v>40.89</v>
      </c>
      <c r="J290" s="379">
        <v>3.24179375022427E-2</v>
      </c>
    </row>
    <row r="291" spans="1:10" x14ac:dyDescent="0.35">
      <c r="A291" s="5">
        <v>287</v>
      </c>
      <c r="B291" s="5">
        <v>12</v>
      </c>
      <c r="C291" s="5">
        <v>1</v>
      </c>
      <c r="D291" s="379">
        <v>51.116692711089158</v>
      </c>
      <c r="E291" s="25">
        <v>24.84</v>
      </c>
      <c r="F291" s="379">
        <v>3.3262915025990298</v>
      </c>
      <c r="G291" s="25">
        <v>42.17</v>
      </c>
      <c r="H291" s="379">
        <v>2.1179239275206396</v>
      </c>
      <c r="I291" s="25">
        <v>37.159999999999997</v>
      </c>
      <c r="J291" s="379">
        <v>3.24179375022427E-2</v>
      </c>
    </row>
    <row r="292" spans="1:10" x14ac:dyDescent="0.35">
      <c r="A292" s="5">
        <v>288</v>
      </c>
      <c r="B292" s="5">
        <v>12</v>
      </c>
      <c r="C292" s="5">
        <v>1</v>
      </c>
      <c r="D292" s="379">
        <v>53.376979328391378</v>
      </c>
      <c r="E292" s="25">
        <v>24.84</v>
      </c>
      <c r="F292" s="379">
        <v>0.46975328444269526</v>
      </c>
      <c r="G292" s="25">
        <v>40.32</v>
      </c>
      <c r="H292" s="379">
        <v>1.875552840195911</v>
      </c>
      <c r="I292" s="25">
        <v>36.79</v>
      </c>
      <c r="J292" s="379">
        <v>7.1365210372388535E-2</v>
      </c>
    </row>
    <row r="293" spans="1:10" x14ac:dyDescent="0.35">
      <c r="A293" s="5">
        <v>289</v>
      </c>
      <c r="B293" s="5">
        <v>13</v>
      </c>
      <c r="C293" s="5">
        <v>1</v>
      </c>
      <c r="D293" s="379">
        <v>39.045312323101072</v>
      </c>
      <c r="E293" s="25">
        <v>24.84</v>
      </c>
      <c r="F293" s="379">
        <v>2.3447730637773838</v>
      </c>
      <c r="G293" s="25">
        <v>38.130000000000003</v>
      </c>
      <c r="H293" s="379">
        <v>1.875552840195911</v>
      </c>
      <c r="I293" s="25">
        <v>38.54</v>
      </c>
      <c r="J293" s="379">
        <v>2.777777777777778E-2</v>
      </c>
    </row>
    <row r="294" spans="1:10" x14ac:dyDescent="0.35">
      <c r="A294" s="5">
        <v>290</v>
      </c>
      <c r="B294" s="5">
        <v>13</v>
      </c>
      <c r="C294" s="5">
        <v>1</v>
      </c>
      <c r="D294" s="379">
        <v>51.786928939050895</v>
      </c>
      <c r="E294" s="25">
        <v>24.73</v>
      </c>
      <c r="F294" s="379">
        <v>2.3447730637773838</v>
      </c>
      <c r="G294" s="25">
        <v>36.950000000000003</v>
      </c>
      <c r="H294" s="379">
        <v>1.875552840195911</v>
      </c>
      <c r="I294" s="25">
        <v>36.08</v>
      </c>
      <c r="J294" s="379">
        <v>2.777777777777778E-2</v>
      </c>
    </row>
    <row r="295" spans="1:10" x14ac:dyDescent="0.35">
      <c r="A295" s="5">
        <v>291</v>
      </c>
      <c r="B295" s="5">
        <v>13</v>
      </c>
      <c r="C295" s="5">
        <v>1</v>
      </c>
      <c r="D295" s="379">
        <v>46.363237841755037</v>
      </c>
      <c r="E295" s="25">
        <v>24.73</v>
      </c>
      <c r="F295" s="379">
        <v>2.3447730637773838</v>
      </c>
      <c r="G295" s="25">
        <v>36.92</v>
      </c>
      <c r="H295" s="379">
        <v>1.875552840195911</v>
      </c>
      <c r="I295" s="25">
        <v>36.08</v>
      </c>
      <c r="J295" s="379">
        <v>2.777777777777778E-2</v>
      </c>
    </row>
    <row r="296" spans="1:10" x14ac:dyDescent="0.35">
      <c r="A296" s="5">
        <v>292</v>
      </c>
      <c r="B296" s="5">
        <v>13</v>
      </c>
      <c r="C296" s="5">
        <v>1</v>
      </c>
      <c r="D296" s="379">
        <v>46.425482545014496</v>
      </c>
      <c r="E296" s="25">
        <v>24.26</v>
      </c>
      <c r="F296" s="379">
        <v>2.8593916794399075</v>
      </c>
      <c r="G296" s="25">
        <v>33.79</v>
      </c>
      <c r="H296" s="379">
        <v>1.875552840195911</v>
      </c>
      <c r="I296" s="25">
        <v>38.54</v>
      </c>
      <c r="J296" s="379">
        <v>2.777777777777778E-2</v>
      </c>
    </row>
    <row r="297" spans="1:10" x14ac:dyDescent="0.35">
      <c r="A297" s="5">
        <v>293</v>
      </c>
      <c r="B297" s="5">
        <v>13</v>
      </c>
      <c r="C297" s="5">
        <v>1</v>
      </c>
      <c r="D297" s="379">
        <v>31.961920473302545</v>
      </c>
      <c r="E297" s="25">
        <v>24.26</v>
      </c>
      <c r="F297" s="379">
        <v>2.8593916794399075</v>
      </c>
      <c r="G297" s="25">
        <v>37.020000000000003</v>
      </c>
      <c r="H297" s="379">
        <v>1.875552840195911</v>
      </c>
      <c r="I297" s="25">
        <v>46.06</v>
      </c>
      <c r="J297" s="379">
        <v>2.777777777777778E-2</v>
      </c>
    </row>
    <row r="298" spans="1:10" x14ac:dyDescent="0.35">
      <c r="A298" s="5">
        <v>294</v>
      </c>
      <c r="B298" s="5">
        <v>13</v>
      </c>
      <c r="C298" s="5">
        <v>1</v>
      </c>
      <c r="D298" s="379">
        <v>45.727470327345848</v>
      </c>
      <c r="E298" s="25">
        <v>24.84</v>
      </c>
      <c r="F298" s="379">
        <v>2.8593916794399075</v>
      </c>
      <c r="G298" s="25">
        <v>40.56</v>
      </c>
      <c r="H298" s="379">
        <v>2.1179239275206396</v>
      </c>
      <c r="I298" s="25">
        <v>46.69</v>
      </c>
      <c r="J298" s="379">
        <v>2.777777777777778E-2</v>
      </c>
    </row>
    <row r="299" spans="1:10" x14ac:dyDescent="0.35">
      <c r="A299" s="5">
        <v>295</v>
      </c>
      <c r="B299" s="5">
        <v>13</v>
      </c>
      <c r="C299" s="5">
        <v>1</v>
      </c>
      <c r="D299" s="379">
        <v>30.086709768887832</v>
      </c>
      <c r="E299" s="25">
        <v>25.29</v>
      </c>
      <c r="F299" s="379">
        <v>3.4465463149287956</v>
      </c>
      <c r="G299" s="25">
        <v>44.77</v>
      </c>
      <c r="H299" s="379">
        <v>2.1179239275206396</v>
      </c>
      <c r="I299" s="25">
        <v>50.13</v>
      </c>
      <c r="J299" s="379">
        <v>2.777777777777778E-2</v>
      </c>
    </row>
    <row r="300" spans="1:10" x14ac:dyDescent="0.35">
      <c r="A300" s="5">
        <v>296</v>
      </c>
      <c r="B300" s="5">
        <v>13</v>
      </c>
      <c r="C300" s="5">
        <v>1</v>
      </c>
      <c r="D300" s="379">
        <v>66.884768575281015</v>
      </c>
      <c r="E300" s="25">
        <v>25.74</v>
      </c>
      <c r="F300" s="379">
        <v>3.8898570249751385</v>
      </c>
      <c r="G300" s="25">
        <v>50.35</v>
      </c>
      <c r="H300" s="379">
        <v>2.1179239275206396</v>
      </c>
      <c r="I300" s="25">
        <v>53.71</v>
      </c>
      <c r="J300" s="379">
        <v>2.777777777777778E-2</v>
      </c>
    </row>
    <row r="301" spans="1:10" x14ac:dyDescent="0.35">
      <c r="A301" s="5">
        <v>297</v>
      </c>
      <c r="B301" s="5">
        <v>13</v>
      </c>
      <c r="C301" s="5">
        <v>1</v>
      </c>
      <c r="D301" s="379">
        <v>36.847222222222221</v>
      </c>
      <c r="E301" s="25">
        <v>25.74</v>
      </c>
      <c r="F301" s="379">
        <v>3.8898570249751385</v>
      </c>
      <c r="G301" s="25">
        <v>51.86</v>
      </c>
      <c r="H301" s="379">
        <v>2.1179239275206396</v>
      </c>
      <c r="I301" s="25">
        <v>54.87</v>
      </c>
      <c r="J301" s="379">
        <v>2.777777777777778E-2</v>
      </c>
    </row>
    <row r="302" spans="1:10" x14ac:dyDescent="0.35">
      <c r="A302" s="5">
        <v>298</v>
      </c>
      <c r="B302" s="5">
        <v>13</v>
      </c>
      <c r="C302" s="5">
        <v>1</v>
      </c>
      <c r="D302" s="379">
        <v>65.647650097364277</v>
      </c>
      <c r="E302" s="25">
        <v>25.74</v>
      </c>
      <c r="F302" s="379">
        <v>6.3183445896472637E-2</v>
      </c>
      <c r="G302" s="25">
        <v>50.76</v>
      </c>
      <c r="H302" s="379">
        <v>2.777777777777778E-2</v>
      </c>
      <c r="I302" s="25">
        <v>54.32</v>
      </c>
      <c r="J302" s="379">
        <v>2.777777777777778E-2</v>
      </c>
    </row>
    <row r="303" spans="1:10" x14ac:dyDescent="0.35">
      <c r="A303" s="5">
        <v>299</v>
      </c>
      <c r="B303" s="5">
        <v>13</v>
      </c>
      <c r="C303" s="5">
        <v>1</v>
      </c>
      <c r="D303" s="379">
        <v>60.879418765822528</v>
      </c>
      <c r="E303" s="25">
        <v>25.74</v>
      </c>
      <c r="F303" s="379">
        <v>6.3183445896472637E-2</v>
      </c>
      <c r="G303" s="25">
        <v>46.98</v>
      </c>
      <c r="H303" s="379">
        <v>2.777777777777778E-2</v>
      </c>
      <c r="I303" s="25">
        <v>50.13</v>
      </c>
      <c r="J303" s="379">
        <v>2.777777777777778E-2</v>
      </c>
    </row>
    <row r="304" spans="1:10" x14ac:dyDescent="0.35">
      <c r="A304" s="5">
        <v>300</v>
      </c>
      <c r="B304" s="5">
        <v>13</v>
      </c>
      <c r="C304" s="5">
        <v>1</v>
      </c>
      <c r="D304" s="379">
        <v>63.319444444444443</v>
      </c>
      <c r="E304" s="25">
        <v>25.74</v>
      </c>
      <c r="F304" s="379">
        <v>0.81123211004809814</v>
      </c>
      <c r="G304" s="25">
        <v>46.11</v>
      </c>
      <c r="H304" s="379">
        <v>2.777777777777778E-2</v>
      </c>
      <c r="I304" s="25">
        <v>50.64</v>
      </c>
      <c r="J304" s="379">
        <v>2.777777777777778E-2</v>
      </c>
    </row>
    <row r="305" spans="1:10" x14ac:dyDescent="0.35">
      <c r="A305" s="5">
        <v>301</v>
      </c>
      <c r="B305" s="5">
        <v>13</v>
      </c>
      <c r="C305" s="5">
        <v>1</v>
      </c>
      <c r="D305" s="379">
        <v>43.080789373324542</v>
      </c>
      <c r="E305" s="25">
        <v>25.74</v>
      </c>
      <c r="F305" s="379">
        <v>0.64814118732392967</v>
      </c>
      <c r="G305" s="25">
        <v>46.11</v>
      </c>
      <c r="H305" s="379">
        <v>2.777777777777778E-2</v>
      </c>
      <c r="I305" s="25">
        <v>50.64</v>
      </c>
      <c r="J305" s="379">
        <v>2.777777777777778E-2</v>
      </c>
    </row>
    <row r="306" spans="1:10" x14ac:dyDescent="0.35">
      <c r="A306" s="5">
        <v>302</v>
      </c>
      <c r="B306" s="5">
        <v>13</v>
      </c>
      <c r="C306" s="5">
        <v>1</v>
      </c>
      <c r="D306" s="379">
        <v>61.483333333333334</v>
      </c>
      <c r="E306" s="25">
        <v>25.74</v>
      </c>
      <c r="F306" s="379">
        <v>1.7155814338674353</v>
      </c>
      <c r="G306" s="25">
        <v>46.11</v>
      </c>
      <c r="H306" s="379">
        <v>3.2624029066295364E-2</v>
      </c>
      <c r="I306" s="25">
        <v>53.27</v>
      </c>
      <c r="J306" s="379">
        <v>2.777777777777778E-2</v>
      </c>
    </row>
    <row r="307" spans="1:10" x14ac:dyDescent="0.35">
      <c r="A307" s="5">
        <v>303</v>
      </c>
      <c r="B307" s="5">
        <v>13</v>
      </c>
      <c r="C307" s="5">
        <v>1</v>
      </c>
      <c r="D307" s="379">
        <v>48.066731798935095</v>
      </c>
      <c r="E307" s="25">
        <v>25.74</v>
      </c>
      <c r="F307" s="379">
        <v>0.61267351465950393</v>
      </c>
      <c r="G307" s="25">
        <v>46.11</v>
      </c>
      <c r="H307" s="379">
        <v>2.1179239275206396</v>
      </c>
      <c r="I307" s="25">
        <v>60.46</v>
      </c>
      <c r="J307" s="379">
        <v>2.777777777777778E-2</v>
      </c>
    </row>
    <row r="308" spans="1:10" x14ac:dyDescent="0.35">
      <c r="A308" s="5">
        <v>304</v>
      </c>
      <c r="B308" s="5">
        <v>13</v>
      </c>
      <c r="C308" s="5">
        <v>1</v>
      </c>
      <c r="D308" s="379">
        <v>47.8105890403302</v>
      </c>
      <c r="E308" s="25">
        <v>25.74</v>
      </c>
      <c r="F308" s="379">
        <v>1.1524521608304601</v>
      </c>
      <c r="G308" s="25">
        <v>47.85</v>
      </c>
      <c r="H308" s="379">
        <v>2.1179239275206396</v>
      </c>
      <c r="I308" s="25">
        <v>61.65</v>
      </c>
      <c r="J308" s="379">
        <v>2.777777777777778E-2</v>
      </c>
    </row>
    <row r="309" spans="1:10" x14ac:dyDescent="0.35">
      <c r="A309" s="5">
        <v>305</v>
      </c>
      <c r="B309" s="5">
        <v>13</v>
      </c>
      <c r="C309" s="5">
        <v>1</v>
      </c>
      <c r="D309" s="379">
        <v>54.782857778535181</v>
      </c>
      <c r="E309" s="25">
        <v>25.74</v>
      </c>
      <c r="F309" s="379">
        <v>1.077710922771917</v>
      </c>
      <c r="G309" s="25">
        <v>50.35</v>
      </c>
      <c r="H309" s="379">
        <v>2.8356224728265215E-2</v>
      </c>
      <c r="I309" s="25">
        <v>62.27</v>
      </c>
      <c r="J309" s="379">
        <v>2.777777777777778E-2</v>
      </c>
    </row>
    <row r="310" spans="1:10" x14ac:dyDescent="0.35">
      <c r="A310" s="5">
        <v>306</v>
      </c>
      <c r="B310" s="5">
        <v>13</v>
      </c>
      <c r="C310" s="5">
        <v>1</v>
      </c>
      <c r="D310" s="379">
        <v>52.703839034931356</v>
      </c>
      <c r="E310" s="25">
        <v>33.81</v>
      </c>
      <c r="F310" s="379">
        <v>1.477329453217417</v>
      </c>
      <c r="G310" s="25">
        <v>52.78</v>
      </c>
      <c r="H310" s="379">
        <v>9.710134261402556E-2</v>
      </c>
      <c r="I310" s="25">
        <v>70.09</v>
      </c>
      <c r="J310" s="379">
        <v>4.9951969066107875E-2</v>
      </c>
    </row>
    <row r="311" spans="1:10" x14ac:dyDescent="0.35">
      <c r="A311" s="5">
        <v>307</v>
      </c>
      <c r="B311" s="5">
        <v>13</v>
      </c>
      <c r="C311" s="5">
        <v>1</v>
      </c>
      <c r="D311" s="379">
        <v>45.078333333333326</v>
      </c>
      <c r="E311" s="25">
        <v>29.11</v>
      </c>
      <c r="F311" s="379">
        <v>1.3730018211814619</v>
      </c>
      <c r="G311" s="25">
        <v>60.51</v>
      </c>
      <c r="H311" s="379">
        <v>0.11614616348510942</v>
      </c>
      <c r="I311" s="25">
        <v>66.430000000000007</v>
      </c>
      <c r="J311" s="379">
        <v>2.9650962538521099E-2</v>
      </c>
    </row>
    <row r="312" spans="1:10" x14ac:dyDescent="0.35">
      <c r="A312" s="5">
        <v>308</v>
      </c>
      <c r="B312" s="5">
        <v>13</v>
      </c>
      <c r="C312" s="5">
        <v>1</v>
      </c>
      <c r="D312" s="379">
        <v>49.713246963006668</v>
      </c>
      <c r="E312" s="25">
        <v>26.51</v>
      </c>
      <c r="F312" s="379">
        <v>1.8015893154430671</v>
      </c>
      <c r="G312" s="25">
        <v>52.67</v>
      </c>
      <c r="H312" s="379">
        <v>2.777777777777778E-2</v>
      </c>
      <c r="I312" s="25">
        <v>66.430000000000007</v>
      </c>
      <c r="J312" s="379">
        <v>3.652608991773864E-2</v>
      </c>
    </row>
    <row r="313" spans="1:10" x14ac:dyDescent="0.35">
      <c r="A313" s="5">
        <v>309</v>
      </c>
      <c r="B313" s="5">
        <v>13</v>
      </c>
      <c r="C313" s="5">
        <v>1</v>
      </c>
      <c r="D313" s="379">
        <v>45.89433479601594</v>
      </c>
      <c r="E313" s="25">
        <v>25.74</v>
      </c>
      <c r="F313" s="379">
        <v>1.8015893154430671</v>
      </c>
      <c r="G313" s="25">
        <v>49.65</v>
      </c>
      <c r="H313" s="379">
        <v>2.1179239275206396</v>
      </c>
      <c r="I313" s="25">
        <v>62.67</v>
      </c>
      <c r="J313" s="379">
        <v>2.777777777777778E-2</v>
      </c>
    </row>
    <row r="314" spans="1:10" x14ac:dyDescent="0.35">
      <c r="A314" s="5">
        <v>310</v>
      </c>
      <c r="B314" s="5">
        <v>13</v>
      </c>
      <c r="C314" s="5">
        <v>1</v>
      </c>
      <c r="D314" s="379">
        <v>46.663357564087136</v>
      </c>
      <c r="E314" s="25">
        <v>25.74</v>
      </c>
      <c r="F314" s="379">
        <v>1.0326169501147993</v>
      </c>
      <c r="G314" s="25">
        <v>46.11</v>
      </c>
      <c r="H314" s="379">
        <v>2.1179239275206396</v>
      </c>
      <c r="I314" s="25">
        <v>62.27</v>
      </c>
      <c r="J314" s="379">
        <v>9.2380369778792645E-2</v>
      </c>
    </row>
    <row r="315" spans="1:10" x14ac:dyDescent="0.35">
      <c r="A315" s="5">
        <v>311</v>
      </c>
      <c r="B315" s="5">
        <v>13</v>
      </c>
      <c r="C315" s="5">
        <v>1</v>
      </c>
      <c r="D315" s="379">
        <v>33.09018248532508</v>
      </c>
      <c r="E315" s="25">
        <v>25.59</v>
      </c>
      <c r="F315" s="379">
        <v>2.6586817079369287</v>
      </c>
      <c r="G315" s="25">
        <v>46.11</v>
      </c>
      <c r="H315" s="379">
        <v>2.1179239275206396</v>
      </c>
      <c r="I315" s="25">
        <v>55.48</v>
      </c>
      <c r="J315" s="379">
        <v>2.8277465877357716E-2</v>
      </c>
    </row>
    <row r="316" spans="1:10" x14ac:dyDescent="0.35">
      <c r="A316" s="5">
        <v>312</v>
      </c>
      <c r="B316" s="5">
        <v>13</v>
      </c>
      <c r="C316" s="5">
        <v>1</v>
      </c>
      <c r="D316" s="379">
        <v>48.981502612020229</v>
      </c>
      <c r="E316" s="25">
        <v>25.29</v>
      </c>
      <c r="F316" s="379">
        <v>2.5565215798229359</v>
      </c>
      <c r="G316" s="25">
        <v>44.86</v>
      </c>
      <c r="H316" s="379">
        <v>2.1179239275206396</v>
      </c>
      <c r="I316" s="25">
        <v>53.27</v>
      </c>
      <c r="J316" s="379">
        <v>2.777777777777778E-2</v>
      </c>
    </row>
    <row r="317" spans="1:10" x14ac:dyDescent="0.35">
      <c r="A317" s="5">
        <v>313</v>
      </c>
      <c r="B317" s="5">
        <v>14</v>
      </c>
      <c r="C317" s="5">
        <v>1</v>
      </c>
      <c r="D317" s="379">
        <v>33.998512885888552</v>
      </c>
      <c r="E317" s="25">
        <v>24.84</v>
      </c>
      <c r="F317" s="379">
        <v>2.5565215798229359</v>
      </c>
      <c r="G317" s="25">
        <v>44.86</v>
      </c>
      <c r="H317" s="379">
        <v>2.1179239275206396</v>
      </c>
      <c r="I317" s="25">
        <v>56.57</v>
      </c>
      <c r="J317" s="379">
        <v>2.777777777777778E-2</v>
      </c>
    </row>
    <row r="318" spans="1:10" x14ac:dyDescent="0.35">
      <c r="A318" s="5">
        <v>314</v>
      </c>
      <c r="B318" s="5">
        <v>14</v>
      </c>
      <c r="C318" s="5">
        <v>1</v>
      </c>
      <c r="D318" s="379">
        <v>46.875</v>
      </c>
      <c r="E318" s="25">
        <v>24.84</v>
      </c>
      <c r="F318" s="379">
        <v>2.5565215798229359</v>
      </c>
      <c r="G318" s="25">
        <v>44.24</v>
      </c>
      <c r="H318" s="379">
        <v>2.1179239275206396</v>
      </c>
      <c r="I318" s="25">
        <v>53.27</v>
      </c>
      <c r="J318" s="379">
        <v>2.777777777777778E-2</v>
      </c>
    </row>
    <row r="319" spans="1:10" x14ac:dyDescent="0.35">
      <c r="A319" s="5">
        <v>315</v>
      </c>
      <c r="B319" s="5">
        <v>14</v>
      </c>
      <c r="C319" s="5">
        <v>1</v>
      </c>
      <c r="D319" s="379">
        <v>43.388454065683312</v>
      </c>
      <c r="E319" s="25">
        <v>24.74</v>
      </c>
      <c r="F319" s="379">
        <v>2.5565215798229359</v>
      </c>
      <c r="G319" s="25">
        <v>43.56</v>
      </c>
      <c r="H319" s="379">
        <v>2.1179239275206396</v>
      </c>
      <c r="I319" s="25">
        <v>49.83</v>
      </c>
      <c r="J319" s="379">
        <v>2.777777777777778E-2</v>
      </c>
    </row>
    <row r="320" spans="1:10" x14ac:dyDescent="0.35">
      <c r="A320" s="5">
        <v>316</v>
      </c>
      <c r="B320" s="5">
        <v>14</v>
      </c>
      <c r="C320" s="5">
        <v>1</v>
      </c>
      <c r="D320" s="379">
        <v>34.147999006964632</v>
      </c>
      <c r="E320" s="25">
        <v>24.74</v>
      </c>
      <c r="F320" s="379">
        <v>2.5565215798229359</v>
      </c>
      <c r="G320" s="25">
        <v>43.56</v>
      </c>
      <c r="H320" s="379">
        <v>2.1179239275206396</v>
      </c>
      <c r="I320" s="25">
        <v>49.83</v>
      </c>
      <c r="J320" s="379">
        <v>2.777777777777778E-2</v>
      </c>
    </row>
    <row r="321" spans="1:10" x14ac:dyDescent="0.35">
      <c r="A321" s="5">
        <v>317</v>
      </c>
      <c r="B321" s="5">
        <v>14</v>
      </c>
      <c r="C321" s="5">
        <v>1</v>
      </c>
      <c r="D321" s="379">
        <v>31.572433391944418</v>
      </c>
      <c r="E321" s="25">
        <v>24.74</v>
      </c>
      <c r="F321" s="379">
        <v>2.5565215798229359</v>
      </c>
      <c r="G321" s="25">
        <v>43.56</v>
      </c>
      <c r="H321" s="379">
        <v>2.1179239275206396</v>
      </c>
      <c r="I321" s="25">
        <v>49.83</v>
      </c>
      <c r="J321" s="379">
        <v>2.777777777777778E-2</v>
      </c>
    </row>
    <row r="322" spans="1:10" x14ac:dyDescent="0.35">
      <c r="A322" s="5">
        <v>318</v>
      </c>
      <c r="B322" s="5">
        <v>14</v>
      </c>
      <c r="C322" s="5">
        <v>1</v>
      </c>
      <c r="D322" s="379">
        <v>38.119790180008287</v>
      </c>
      <c r="E322" s="25">
        <v>24.84</v>
      </c>
      <c r="F322" s="379">
        <v>2.5565215798229359</v>
      </c>
      <c r="G322" s="25">
        <v>44.24</v>
      </c>
      <c r="H322" s="379">
        <v>2.1179239275206396</v>
      </c>
      <c r="I322" s="25">
        <v>53.27</v>
      </c>
      <c r="J322" s="379">
        <v>2.777777777777778E-2</v>
      </c>
    </row>
    <row r="323" spans="1:10" x14ac:dyDescent="0.35">
      <c r="A323" s="5">
        <v>319</v>
      </c>
      <c r="B323" s="5">
        <v>14</v>
      </c>
      <c r="C323" s="5">
        <v>1</v>
      </c>
      <c r="D323" s="379">
        <v>51.30555555555555</v>
      </c>
      <c r="E323" s="25">
        <v>25.74</v>
      </c>
      <c r="F323" s="379">
        <v>2.5918486159734222</v>
      </c>
      <c r="G323" s="25">
        <v>47.37</v>
      </c>
      <c r="H323" s="379">
        <v>2.1179239275206396</v>
      </c>
      <c r="I323" s="25">
        <v>57.14</v>
      </c>
      <c r="J323" s="379">
        <v>2.777777777777778E-2</v>
      </c>
    </row>
    <row r="324" spans="1:10" x14ac:dyDescent="0.35">
      <c r="A324" s="5">
        <v>320</v>
      </c>
      <c r="B324" s="5">
        <v>14</v>
      </c>
      <c r="C324" s="5">
        <v>1</v>
      </c>
      <c r="D324" s="379">
        <v>49.996361588306499</v>
      </c>
      <c r="E324" s="25">
        <v>25.74</v>
      </c>
      <c r="F324" s="379">
        <v>2.5918486159734222</v>
      </c>
      <c r="G324" s="25">
        <v>52.67</v>
      </c>
      <c r="H324" s="379">
        <v>2.1179239275206396</v>
      </c>
      <c r="I324" s="25">
        <v>72.53</v>
      </c>
      <c r="J324" s="379">
        <v>2.777777777777778E-2</v>
      </c>
    </row>
    <row r="325" spans="1:10" x14ac:dyDescent="0.35">
      <c r="A325" s="5">
        <v>321</v>
      </c>
      <c r="B325" s="5">
        <v>14</v>
      </c>
      <c r="C325" s="5">
        <v>1</v>
      </c>
      <c r="D325" s="379">
        <v>41.859098390004199</v>
      </c>
      <c r="E325" s="25">
        <v>26.51</v>
      </c>
      <c r="F325" s="379">
        <v>2.6150028108143837</v>
      </c>
      <c r="G325" s="25">
        <v>52.67</v>
      </c>
      <c r="H325" s="379">
        <v>2.1442163350138723</v>
      </c>
      <c r="I325" s="25">
        <v>135.28</v>
      </c>
      <c r="J325" s="379">
        <v>2.777777777777778E-2</v>
      </c>
    </row>
    <row r="326" spans="1:10" x14ac:dyDescent="0.35">
      <c r="A326" s="5">
        <v>322</v>
      </c>
      <c r="B326" s="5">
        <v>14</v>
      </c>
      <c r="C326" s="5">
        <v>1</v>
      </c>
      <c r="D326" s="379">
        <v>67.009487680175084</v>
      </c>
      <c r="E326" s="25">
        <v>25.74</v>
      </c>
      <c r="F326" s="379">
        <v>3.0697561294436619</v>
      </c>
      <c r="G326" s="25">
        <v>52.67</v>
      </c>
      <c r="H326" s="379">
        <v>2.1489510259609013</v>
      </c>
      <c r="I326" s="25">
        <v>72.53</v>
      </c>
      <c r="J326" s="379">
        <v>2.777777777777778E-2</v>
      </c>
    </row>
    <row r="327" spans="1:10" x14ac:dyDescent="0.35">
      <c r="A327" s="5">
        <v>323</v>
      </c>
      <c r="B327" s="5">
        <v>14</v>
      </c>
      <c r="C327" s="5">
        <v>1</v>
      </c>
      <c r="D327" s="379">
        <v>62.853806172470385</v>
      </c>
      <c r="E327" s="25">
        <v>25.74</v>
      </c>
      <c r="F327" s="379">
        <v>3.2727733956087586</v>
      </c>
      <c r="G327" s="25">
        <v>51.24</v>
      </c>
      <c r="H327" s="379">
        <v>2.1179239275206396</v>
      </c>
      <c r="I327" s="25">
        <v>66.430000000000007</v>
      </c>
      <c r="J327" s="379">
        <v>2.777777777777778E-2</v>
      </c>
    </row>
    <row r="328" spans="1:10" x14ac:dyDescent="0.35">
      <c r="A328" s="5">
        <v>324</v>
      </c>
      <c r="B328" s="5">
        <v>14</v>
      </c>
      <c r="C328" s="5">
        <v>1</v>
      </c>
      <c r="D328" s="379">
        <v>49.434999999999995</v>
      </c>
      <c r="E328" s="25">
        <v>25.74</v>
      </c>
      <c r="F328" s="379">
        <v>3.2727733956087586</v>
      </c>
      <c r="G328" s="25">
        <v>49.65</v>
      </c>
      <c r="H328" s="379">
        <v>2.1179239275206396</v>
      </c>
      <c r="I328" s="25">
        <v>66.06</v>
      </c>
      <c r="J328" s="379">
        <v>2.777777777777778E-2</v>
      </c>
    </row>
    <row r="329" spans="1:10" x14ac:dyDescent="0.35">
      <c r="A329" s="5">
        <v>325</v>
      </c>
      <c r="B329" s="5">
        <v>14</v>
      </c>
      <c r="C329" s="5">
        <v>1</v>
      </c>
      <c r="D329" s="379">
        <v>59.111410749079894</v>
      </c>
      <c r="E329" s="25">
        <v>25.74</v>
      </c>
      <c r="F329" s="379">
        <v>3.2727733956087586</v>
      </c>
      <c r="G329" s="25">
        <v>47.85</v>
      </c>
      <c r="H329" s="379">
        <v>2.1179239275206396</v>
      </c>
      <c r="I329" s="25">
        <v>61.65</v>
      </c>
      <c r="J329" s="379">
        <v>2.777777777777778E-2</v>
      </c>
    </row>
    <row r="330" spans="1:10" x14ac:dyDescent="0.35">
      <c r="A330" s="5">
        <v>326</v>
      </c>
      <c r="B330" s="5">
        <v>14</v>
      </c>
      <c r="C330" s="5">
        <v>1</v>
      </c>
      <c r="D330" s="379">
        <v>51.299252551141485</v>
      </c>
      <c r="E330" s="25">
        <v>25.74</v>
      </c>
      <c r="F330" s="379">
        <v>2.777777777777778E-2</v>
      </c>
      <c r="G330" s="25">
        <v>47.85</v>
      </c>
      <c r="H330" s="379">
        <v>0.4106038279582519</v>
      </c>
      <c r="I330" s="25">
        <v>61.65</v>
      </c>
      <c r="J330" s="379">
        <v>2.777777777777778E-2</v>
      </c>
    </row>
    <row r="331" spans="1:10" x14ac:dyDescent="0.35">
      <c r="A331" s="5">
        <v>327</v>
      </c>
      <c r="B331" s="5">
        <v>14</v>
      </c>
      <c r="C331" s="5">
        <v>1</v>
      </c>
      <c r="D331" s="379">
        <v>36.870794474062428</v>
      </c>
      <c r="E331" s="25">
        <v>25.74</v>
      </c>
      <c r="F331" s="379">
        <v>3.2727733956087586</v>
      </c>
      <c r="G331" s="25">
        <v>47.85</v>
      </c>
      <c r="H331" s="379">
        <v>0.4106038279582519</v>
      </c>
      <c r="I331" s="25">
        <v>61.65</v>
      </c>
      <c r="J331" s="379">
        <v>2.777777777777778E-2</v>
      </c>
    </row>
    <row r="332" spans="1:10" x14ac:dyDescent="0.35">
      <c r="A332" s="5">
        <v>328</v>
      </c>
      <c r="B332" s="5">
        <v>14</v>
      </c>
      <c r="C332" s="5">
        <v>1</v>
      </c>
      <c r="D332" s="379">
        <v>60.875</v>
      </c>
      <c r="E332" s="25">
        <v>26.51</v>
      </c>
      <c r="F332" s="379">
        <v>3.2727733956087586</v>
      </c>
      <c r="G332" s="25">
        <v>51.24</v>
      </c>
      <c r="H332" s="379">
        <v>2.1489510259609013</v>
      </c>
      <c r="I332" s="25">
        <v>61.65</v>
      </c>
      <c r="J332" s="379">
        <v>2.777777777777778E-2</v>
      </c>
    </row>
    <row r="333" spans="1:10" x14ac:dyDescent="0.35">
      <c r="A333" s="5">
        <v>329</v>
      </c>
      <c r="B333" s="5">
        <v>14</v>
      </c>
      <c r="C333" s="5">
        <v>1</v>
      </c>
      <c r="D333" s="379">
        <v>59.77756606013358</v>
      </c>
      <c r="E333" s="25">
        <v>29.23</v>
      </c>
      <c r="F333" s="379">
        <v>1.4870152011949207</v>
      </c>
      <c r="G333" s="25">
        <v>52.67</v>
      </c>
      <c r="H333" s="379">
        <v>2.1489510259609013</v>
      </c>
      <c r="I333" s="25">
        <v>66.430000000000007</v>
      </c>
      <c r="J333" s="379">
        <v>2.777777777777778E-2</v>
      </c>
    </row>
    <row r="334" spans="1:10" x14ac:dyDescent="0.35">
      <c r="A334" s="5">
        <v>330</v>
      </c>
      <c r="B334" s="5">
        <v>14</v>
      </c>
      <c r="C334" s="5">
        <v>1</v>
      </c>
      <c r="D334" s="379">
        <v>57.288519004591933</v>
      </c>
      <c r="E334" s="25">
        <v>33.81</v>
      </c>
      <c r="F334" s="379">
        <v>0.34760135982928969</v>
      </c>
      <c r="G334" s="25">
        <v>64.2</v>
      </c>
      <c r="H334" s="379">
        <v>0.14480167642852412</v>
      </c>
      <c r="I334" s="25">
        <v>843.72</v>
      </c>
      <c r="J334" s="379">
        <v>0.10439639257053676</v>
      </c>
    </row>
    <row r="335" spans="1:10" x14ac:dyDescent="0.35">
      <c r="A335" s="5">
        <v>331</v>
      </c>
      <c r="B335" s="5">
        <v>14</v>
      </c>
      <c r="C335" s="5">
        <v>1</v>
      </c>
      <c r="D335" s="379">
        <v>59.575233205851902</v>
      </c>
      <c r="E335" s="25">
        <v>29.23</v>
      </c>
      <c r="F335" s="379">
        <v>1.0080079581956167</v>
      </c>
      <c r="G335" s="25">
        <v>63.98</v>
      </c>
      <c r="H335" s="379">
        <v>2.1489510259609013</v>
      </c>
      <c r="I335" s="25">
        <v>843.72</v>
      </c>
      <c r="J335" s="379">
        <v>2.8277465877357716E-2</v>
      </c>
    </row>
    <row r="336" spans="1:10" x14ac:dyDescent="0.35">
      <c r="A336" s="5">
        <v>332</v>
      </c>
      <c r="B336" s="5">
        <v>14</v>
      </c>
      <c r="C336" s="5">
        <v>1</v>
      </c>
      <c r="D336" s="379">
        <v>50.85213680938012</v>
      </c>
      <c r="E336" s="25">
        <v>27.3</v>
      </c>
      <c r="F336" s="379">
        <v>0.29248780625334808</v>
      </c>
      <c r="G336" s="25">
        <v>62.12</v>
      </c>
      <c r="H336" s="379">
        <v>2.1489510259609013</v>
      </c>
      <c r="I336" s="25">
        <v>795.29</v>
      </c>
      <c r="J336" s="379">
        <v>2.8277465877357716E-2</v>
      </c>
    </row>
    <row r="337" spans="1:10" x14ac:dyDescent="0.35">
      <c r="A337" s="5">
        <v>333</v>
      </c>
      <c r="B337" s="5">
        <v>14</v>
      </c>
      <c r="C337" s="5">
        <v>1</v>
      </c>
      <c r="D337" s="379">
        <v>49.151026936696603</v>
      </c>
      <c r="E337" s="25">
        <v>25.74</v>
      </c>
      <c r="F337" s="379">
        <v>0.94813916658600295</v>
      </c>
      <c r="G337" s="25">
        <v>51.24</v>
      </c>
      <c r="H337" s="379">
        <v>2.1489510259609013</v>
      </c>
      <c r="I337" s="25">
        <v>64.14</v>
      </c>
      <c r="J337" s="379">
        <v>2.8277465877357716E-2</v>
      </c>
    </row>
    <row r="338" spans="1:10" x14ac:dyDescent="0.35">
      <c r="A338" s="5">
        <v>334</v>
      </c>
      <c r="B338" s="5">
        <v>14</v>
      </c>
      <c r="C338" s="5">
        <v>1</v>
      </c>
      <c r="D338" s="379">
        <v>60.877777777777773</v>
      </c>
      <c r="E338" s="25">
        <v>25.74</v>
      </c>
      <c r="F338" s="379">
        <v>0.2973946047618809</v>
      </c>
      <c r="G338" s="25">
        <v>47.37</v>
      </c>
      <c r="H338" s="379">
        <v>2.1489510259609013</v>
      </c>
      <c r="I338" s="25">
        <v>57.14</v>
      </c>
      <c r="J338" s="379">
        <v>2.8277465877357716E-2</v>
      </c>
    </row>
    <row r="339" spans="1:10" x14ac:dyDescent="0.35">
      <c r="A339" s="5">
        <v>335</v>
      </c>
      <c r="B339" s="5">
        <v>14</v>
      </c>
      <c r="C339" s="5">
        <v>1</v>
      </c>
      <c r="D339" s="379">
        <v>51.368022309323457</v>
      </c>
      <c r="E339" s="25">
        <v>25.59</v>
      </c>
      <c r="F339" s="379">
        <v>0.18687805667946453</v>
      </c>
      <c r="G339" s="25">
        <v>47.37</v>
      </c>
      <c r="H339" s="379">
        <v>2.1489510259609013</v>
      </c>
      <c r="I339" s="25">
        <v>56.57</v>
      </c>
      <c r="J339" s="379">
        <v>2.8277465877357716E-2</v>
      </c>
    </row>
    <row r="340" spans="1:10" x14ac:dyDescent="0.35">
      <c r="A340" s="5">
        <v>336</v>
      </c>
      <c r="B340" s="5">
        <v>14</v>
      </c>
      <c r="C340" s="5">
        <v>1</v>
      </c>
      <c r="D340" s="379">
        <v>49.629456206245486</v>
      </c>
      <c r="E340" s="25">
        <v>25.29</v>
      </c>
      <c r="F340" s="379">
        <v>0.19000779309972668</v>
      </c>
      <c r="G340" s="25">
        <v>46.11</v>
      </c>
      <c r="H340" s="379">
        <v>2.1489510259609013</v>
      </c>
      <c r="I340" s="25">
        <v>51.2</v>
      </c>
      <c r="J340" s="379">
        <v>2.8277465877357716E-2</v>
      </c>
    </row>
    <row r="341" spans="1:10" x14ac:dyDescent="0.35">
      <c r="A341" s="5">
        <v>337</v>
      </c>
      <c r="B341" s="5">
        <v>15</v>
      </c>
      <c r="C341" s="5">
        <v>1</v>
      </c>
      <c r="D341" s="379">
        <v>53.355564363126469</v>
      </c>
      <c r="E341" s="25">
        <v>24.84</v>
      </c>
      <c r="F341" s="379">
        <v>0.17528026886249579</v>
      </c>
      <c r="G341" s="25">
        <v>44.08</v>
      </c>
      <c r="H341" s="379">
        <v>2.1489510259609013</v>
      </c>
      <c r="I341" s="25">
        <v>49.53</v>
      </c>
      <c r="J341" s="379">
        <v>2.777777777777778E-2</v>
      </c>
    </row>
    <row r="342" spans="1:10" x14ac:dyDescent="0.35">
      <c r="A342" s="5">
        <v>338</v>
      </c>
      <c r="B342" s="5">
        <v>15</v>
      </c>
      <c r="C342" s="5">
        <v>1</v>
      </c>
      <c r="D342" s="379">
        <v>49.215555555555561</v>
      </c>
      <c r="E342" s="25">
        <v>24.84</v>
      </c>
      <c r="F342" s="379">
        <v>0.18683693929594822</v>
      </c>
      <c r="G342" s="25">
        <v>43.56</v>
      </c>
      <c r="H342" s="379">
        <v>2.1489510259609013</v>
      </c>
      <c r="I342" s="25">
        <v>49.53</v>
      </c>
      <c r="J342" s="379">
        <v>2.777777777777778E-2</v>
      </c>
    </row>
    <row r="343" spans="1:10" x14ac:dyDescent="0.35">
      <c r="A343" s="5">
        <v>339</v>
      </c>
      <c r="B343" s="5">
        <v>15</v>
      </c>
      <c r="C343" s="5">
        <v>1</v>
      </c>
      <c r="D343" s="379">
        <v>52.326610012201073</v>
      </c>
      <c r="E343" s="25">
        <v>24.84</v>
      </c>
      <c r="F343" s="379">
        <v>0.17571569290928465</v>
      </c>
      <c r="G343" s="25">
        <v>43.56</v>
      </c>
      <c r="H343" s="379">
        <v>2.1489510259609013</v>
      </c>
      <c r="I343" s="25">
        <v>48.86</v>
      </c>
      <c r="J343" s="379">
        <v>2.777777777777778E-2</v>
      </c>
    </row>
    <row r="344" spans="1:10" x14ac:dyDescent="0.35">
      <c r="A344" s="5">
        <v>340</v>
      </c>
      <c r="B344" s="5">
        <v>15</v>
      </c>
      <c r="C344" s="5">
        <v>1</v>
      </c>
      <c r="D344" s="379">
        <v>50.923985936462273</v>
      </c>
      <c r="E344" s="25">
        <v>24.84</v>
      </c>
      <c r="F344" s="379">
        <v>0.27701095164802619</v>
      </c>
      <c r="G344" s="25">
        <v>43.56</v>
      </c>
      <c r="H344" s="379">
        <v>2.1489510259609013</v>
      </c>
      <c r="I344" s="25">
        <v>48.86</v>
      </c>
      <c r="J344" s="379">
        <v>2.777777777777778E-2</v>
      </c>
    </row>
    <row r="345" spans="1:10" x14ac:dyDescent="0.35">
      <c r="A345" s="5">
        <v>341</v>
      </c>
      <c r="B345" s="5">
        <v>15</v>
      </c>
      <c r="C345" s="5">
        <v>1</v>
      </c>
      <c r="D345" s="379">
        <v>53.771064505308274</v>
      </c>
      <c r="E345" s="25">
        <v>24.84</v>
      </c>
      <c r="F345" s="379">
        <v>0.28339340620927828</v>
      </c>
      <c r="G345" s="25">
        <v>43.56</v>
      </c>
      <c r="H345" s="379">
        <v>2.1489510259609013</v>
      </c>
      <c r="I345" s="25">
        <v>48.86</v>
      </c>
      <c r="J345" s="379">
        <v>2.777777777777778E-2</v>
      </c>
    </row>
    <row r="346" spans="1:10" x14ac:dyDescent="0.35">
      <c r="A346" s="5">
        <v>342</v>
      </c>
      <c r="B346" s="5">
        <v>15</v>
      </c>
      <c r="C346" s="5">
        <v>1</v>
      </c>
      <c r="D346" s="379">
        <v>51.737385398450357</v>
      </c>
      <c r="E346" s="25">
        <v>24.84</v>
      </c>
      <c r="F346" s="379">
        <v>0.27546296296296302</v>
      </c>
      <c r="G346" s="25">
        <v>43.56</v>
      </c>
      <c r="H346" s="379">
        <v>2.1489510259609013</v>
      </c>
      <c r="I346" s="25">
        <v>49.53</v>
      </c>
      <c r="J346" s="379">
        <v>0.14480167642852412</v>
      </c>
    </row>
    <row r="347" spans="1:10" x14ac:dyDescent="0.35">
      <c r="A347" s="5">
        <v>343</v>
      </c>
      <c r="B347" s="5">
        <v>15</v>
      </c>
      <c r="C347" s="5">
        <v>1</v>
      </c>
      <c r="D347" s="379">
        <v>47.074469682716064</v>
      </c>
      <c r="E347" s="25">
        <v>25.29</v>
      </c>
      <c r="F347" s="379">
        <v>0.27736827328984243</v>
      </c>
      <c r="G347" s="25">
        <v>45.31</v>
      </c>
      <c r="H347" s="379">
        <v>2.1489510259609013</v>
      </c>
      <c r="I347" s="25">
        <v>50.03</v>
      </c>
      <c r="J347" s="379">
        <v>0.14480167642852412</v>
      </c>
    </row>
    <row r="348" spans="1:10" x14ac:dyDescent="0.35">
      <c r="A348" s="5">
        <v>344</v>
      </c>
      <c r="B348" s="5">
        <v>15</v>
      </c>
      <c r="C348" s="5">
        <v>1</v>
      </c>
      <c r="D348" s="379">
        <v>51.851328018293046</v>
      </c>
      <c r="E348" s="25">
        <v>25.74</v>
      </c>
      <c r="F348" s="379">
        <v>1.1660655111894547</v>
      </c>
      <c r="G348" s="25">
        <v>48.88</v>
      </c>
      <c r="H348" s="379">
        <v>0.14480167642852412</v>
      </c>
      <c r="I348" s="25">
        <v>50.13</v>
      </c>
      <c r="J348" s="379">
        <v>0.14480167642852412</v>
      </c>
    </row>
    <row r="349" spans="1:10" x14ac:dyDescent="0.35">
      <c r="A349" s="5">
        <v>345</v>
      </c>
      <c r="B349" s="5">
        <v>15</v>
      </c>
      <c r="C349" s="5">
        <v>1</v>
      </c>
      <c r="D349" s="379">
        <v>59.956688262950678</v>
      </c>
      <c r="E349" s="25">
        <v>25.74</v>
      </c>
      <c r="F349" s="379">
        <v>0.35633380335800491</v>
      </c>
      <c r="G349" s="25">
        <v>51.86</v>
      </c>
      <c r="H349" s="379">
        <v>0.14480167642852412</v>
      </c>
      <c r="I349" s="25">
        <v>54.87</v>
      </c>
      <c r="J349" s="379">
        <v>2.777777777777778E-2</v>
      </c>
    </row>
    <row r="350" spans="1:10" x14ac:dyDescent="0.35">
      <c r="A350" s="5">
        <v>346</v>
      </c>
      <c r="B350" s="5">
        <v>15</v>
      </c>
      <c r="C350" s="5">
        <v>1</v>
      </c>
      <c r="D350" s="379">
        <v>64.810664902493684</v>
      </c>
      <c r="E350" s="25">
        <v>25.74</v>
      </c>
      <c r="F350" s="379">
        <v>0.35009358336625174</v>
      </c>
      <c r="G350" s="25">
        <v>51.86</v>
      </c>
      <c r="H350" s="379">
        <v>2.198238484627248</v>
      </c>
      <c r="I350" s="25">
        <v>53.71</v>
      </c>
      <c r="J350" s="379">
        <v>2.777777777777778E-2</v>
      </c>
    </row>
    <row r="351" spans="1:10" x14ac:dyDescent="0.35">
      <c r="A351" s="5">
        <v>347</v>
      </c>
      <c r="B351" s="5">
        <v>15</v>
      </c>
      <c r="C351" s="5">
        <v>1</v>
      </c>
      <c r="D351" s="379">
        <v>63.909180281993933</v>
      </c>
      <c r="E351" s="25">
        <v>25.74</v>
      </c>
      <c r="F351" s="379">
        <v>0.19003987581797357</v>
      </c>
      <c r="G351" s="25">
        <v>48.39</v>
      </c>
      <c r="H351" s="379">
        <v>2.1489510259609013</v>
      </c>
      <c r="I351" s="25">
        <v>50.03</v>
      </c>
      <c r="J351" s="379">
        <v>2.777777777777778E-2</v>
      </c>
    </row>
    <row r="352" spans="1:10" x14ac:dyDescent="0.35">
      <c r="A352" s="5">
        <v>348</v>
      </c>
      <c r="B352" s="5">
        <v>15</v>
      </c>
      <c r="C352" s="5">
        <v>1</v>
      </c>
      <c r="D352" s="379">
        <v>49.722222222222221</v>
      </c>
      <c r="E352" s="25">
        <v>25.74</v>
      </c>
      <c r="F352" s="379">
        <v>0.3058385568443821</v>
      </c>
      <c r="G352" s="25">
        <v>46.98</v>
      </c>
      <c r="H352" s="379">
        <v>2.1489510259609013</v>
      </c>
      <c r="I352" s="25">
        <v>50.03</v>
      </c>
      <c r="J352" s="379">
        <v>2.777777777777778E-2</v>
      </c>
    </row>
    <row r="353" spans="1:10" x14ac:dyDescent="0.35">
      <c r="A353" s="5">
        <v>349</v>
      </c>
      <c r="B353" s="5">
        <v>15</v>
      </c>
      <c r="C353" s="5">
        <v>1</v>
      </c>
      <c r="D353" s="379">
        <v>48.442606245402629</v>
      </c>
      <c r="E353" s="25">
        <v>25.74</v>
      </c>
      <c r="F353" s="379">
        <v>0.23054961564990084</v>
      </c>
      <c r="G353" s="25">
        <v>46.11</v>
      </c>
      <c r="H353" s="379">
        <v>2.1489510259609013</v>
      </c>
      <c r="I353" s="25">
        <v>50.03</v>
      </c>
      <c r="J353" s="379">
        <v>2.777777777777778E-2</v>
      </c>
    </row>
    <row r="354" spans="1:10" x14ac:dyDescent="0.35">
      <c r="A354" s="5">
        <v>350</v>
      </c>
      <c r="B354" s="5">
        <v>15</v>
      </c>
      <c r="C354" s="5">
        <v>1</v>
      </c>
      <c r="D354" s="379">
        <v>50.258333333333333</v>
      </c>
      <c r="E354" s="25">
        <v>25.74</v>
      </c>
      <c r="F354" s="379">
        <v>0.36019907205902463</v>
      </c>
      <c r="G354" s="25">
        <v>46.11</v>
      </c>
      <c r="H354" s="379">
        <v>2.1489510259609013</v>
      </c>
      <c r="I354" s="25">
        <v>50.03</v>
      </c>
      <c r="J354" s="379">
        <v>2.777777777777778E-2</v>
      </c>
    </row>
    <row r="355" spans="1:10" x14ac:dyDescent="0.35">
      <c r="A355" s="5">
        <v>351</v>
      </c>
      <c r="B355" s="5">
        <v>15</v>
      </c>
      <c r="C355" s="5">
        <v>1</v>
      </c>
      <c r="D355" s="379">
        <v>47.230327025325408</v>
      </c>
      <c r="E355" s="25">
        <v>25.74</v>
      </c>
      <c r="F355" s="379">
        <v>0.2409618265467989</v>
      </c>
      <c r="G355" s="25">
        <v>46.11</v>
      </c>
      <c r="H355" s="379">
        <v>2.1489510259609013</v>
      </c>
      <c r="I355" s="25">
        <v>49.83</v>
      </c>
      <c r="J355" s="379">
        <v>2.777777777777778E-2</v>
      </c>
    </row>
    <row r="356" spans="1:10" x14ac:dyDescent="0.35">
      <c r="A356" s="5">
        <v>352</v>
      </c>
      <c r="B356" s="5">
        <v>15</v>
      </c>
      <c r="C356" s="5">
        <v>1</v>
      </c>
      <c r="D356" s="379">
        <v>53.646492685280563</v>
      </c>
      <c r="E356" s="25">
        <v>25.74</v>
      </c>
      <c r="F356" s="379">
        <v>0.73382147669239817</v>
      </c>
      <c r="G356" s="25">
        <v>46.11</v>
      </c>
      <c r="H356" s="379">
        <v>2.1489510259609013</v>
      </c>
      <c r="I356" s="25">
        <v>49.83</v>
      </c>
      <c r="J356" s="379">
        <v>2.777777777777778E-2</v>
      </c>
    </row>
    <row r="357" spans="1:10" x14ac:dyDescent="0.35">
      <c r="A357" s="5">
        <v>353</v>
      </c>
      <c r="B357" s="5">
        <v>15</v>
      </c>
      <c r="C357" s="5">
        <v>1</v>
      </c>
      <c r="D357" s="379">
        <v>61.358333333333327</v>
      </c>
      <c r="E357" s="25">
        <v>25.74</v>
      </c>
      <c r="F357" s="379">
        <v>0.35776619362969209</v>
      </c>
      <c r="G357" s="25">
        <v>49.75</v>
      </c>
      <c r="H357" s="379">
        <v>2.1179239275206396</v>
      </c>
      <c r="I357" s="25">
        <v>51.39</v>
      </c>
      <c r="J357" s="379">
        <v>2.777777777777778E-2</v>
      </c>
    </row>
    <row r="358" spans="1:10" x14ac:dyDescent="0.35">
      <c r="A358" s="5">
        <v>354</v>
      </c>
      <c r="B358" s="5">
        <v>15</v>
      </c>
      <c r="C358" s="5">
        <v>1</v>
      </c>
      <c r="D358" s="379">
        <v>64.589197314489681</v>
      </c>
      <c r="E358" s="25">
        <v>25.74</v>
      </c>
      <c r="F358" s="379">
        <v>1.1078792358596721</v>
      </c>
      <c r="G358" s="25">
        <v>52.67</v>
      </c>
      <c r="H358" s="379">
        <v>0.14480167642852412</v>
      </c>
      <c r="I358" s="25">
        <v>53.71</v>
      </c>
      <c r="J358" s="379">
        <v>2.777777777777778E-2</v>
      </c>
    </row>
    <row r="359" spans="1:10" x14ac:dyDescent="0.35">
      <c r="A359" s="5">
        <v>355</v>
      </c>
      <c r="B359" s="5">
        <v>15</v>
      </c>
      <c r="C359" s="5">
        <v>1</v>
      </c>
      <c r="D359" s="379">
        <v>60.298333333333325</v>
      </c>
      <c r="E359" s="25">
        <v>26.51</v>
      </c>
      <c r="F359" s="379">
        <v>1.0663675037770139</v>
      </c>
      <c r="G359" s="25">
        <v>55.99</v>
      </c>
      <c r="H359" s="379">
        <v>0.14480167642852412</v>
      </c>
      <c r="I359" s="25">
        <v>56.51</v>
      </c>
      <c r="J359" s="379">
        <v>2.777777777777778E-2</v>
      </c>
    </row>
    <row r="360" spans="1:10" x14ac:dyDescent="0.35">
      <c r="A360" s="5">
        <v>356</v>
      </c>
      <c r="B360" s="5">
        <v>15</v>
      </c>
      <c r="C360" s="5">
        <v>1</v>
      </c>
      <c r="D360" s="379">
        <v>51.497622898292327</v>
      </c>
      <c r="E360" s="25">
        <v>26.05</v>
      </c>
      <c r="F360" s="379">
        <v>1.539981218256421</v>
      </c>
      <c r="G360" s="25">
        <v>51.86</v>
      </c>
      <c r="H360" s="379">
        <v>0.14480167642852412</v>
      </c>
      <c r="I360" s="25">
        <v>53.71</v>
      </c>
      <c r="J360" s="379">
        <v>2.777777777777778E-2</v>
      </c>
    </row>
    <row r="361" spans="1:10" x14ac:dyDescent="0.35">
      <c r="A361" s="5">
        <v>357</v>
      </c>
      <c r="B361" s="5">
        <v>15</v>
      </c>
      <c r="C361" s="5">
        <v>1</v>
      </c>
      <c r="D361" s="379">
        <v>44.461159054245279</v>
      </c>
      <c r="E361" s="25">
        <v>25.74</v>
      </c>
      <c r="F361" s="379">
        <v>1.3569558304240819</v>
      </c>
      <c r="G361" s="25">
        <v>48.39</v>
      </c>
      <c r="H361" s="379">
        <v>2.1179239275206396</v>
      </c>
      <c r="I361" s="25">
        <v>50.13</v>
      </c>
      <c r="J361" s="379">
        <v>1.2800938255505474</v>
      </c>
    </row>
    <row r="362" spans="1:10" x14ac:dyDescent="0.35">
      <c r="A362" s="5">
        <v>358</v>
      </c>
      <c r="B362" s="5">
        <v>15</v>
      </c>
      <c r="C362" s="5">
        <v>1</v>
      </c>
      <c r="D362" s="379">
        <v>41.263888888888893</v>
      </c>
      <c r="E362" s="25">
        <v>25.29</v>
      </c>
      <c r="F362" s="379">
        <v>0.13385966676792457</v>
      </c>
      <c r="G362" s="25">
        <v>46.11</v>
      </c>
      <c r="H362" s="379">
        <v>1.875552840195911</v>
      </c>
      <c r="I362" s="25">
        <v>50.03</v>
      </c>
      <c r="J362" s="379">
        <v>1.2800938255505474</v>
      </c>
    </row>
    <row r="363" spans="1:10" x14ac:dyDescent="0.35">
      <c r="A363" s="5">
        <v>359</v>
      </c>
      <c r="B363" s="5">
        <v>15</v>
      </c>
      <c r="C363" s="5">
        <v>1</v>
      </c>
      <c r="D363" s="379">
        <v>56.338378322234341</v>
      </c>
      <c r="E363" s="25">
        <v>25.29</v>
      </c>
      <c r="F363" s="379">
        <v>6.9801945198109172E-2</v>
      </c>
      <c r="G363" s="25">
        <v>46.11</v>
      </c>
      <c r="H363" s="379">
        <v>1.875552840195911</v>
      </c>
      <c r="I363" s="25">
        <v>50.03</v>
      </c>
      <c r="J363" s="379">
        <v>1.2800938255505474</v>
      </c>
    </row>
    <row r="364" spans="1:10" x14ac:dyDescent="0.35">
      <c r="A364" s="5">
        <v>360</v>
      </c>
      <c r="B364" s="5">
        <v>15</v>
      </c>
      <c r="C364" s="5">
        <v>1</v>
      </c>
      <c r="D364" s="379">
        <v>51.283333333333324</v>
      </c>
      <c r="E364" s="25">
        <v>25.29</v>
      </c>
      <c r="F364" s="379">
        <v>2.4410222144479166</v>
      </c>
      <c r="G364" s="25">
        <v>46.11</v>
      </c>
      <c r="H364" s="379">
        <v>1.875552840195911</v>
      </c>
      <c r="I364" s="25">
        <v>50.03</v>
      </c>
      <c r="J364" s="379">
        <v>1.2800938255505474</v>
      </c>
    </row>
    <row r="365" spans="1:10" x14ac:dyDescent="0.35">
      <c r="A365" s="5">
        <v>361</v>
      </c>
      <c r="B365" s="5">
        <v>16</v>
      </c>
      <c r="C365" s="5">
        <v>1</v>
      </c>
      <c r="D365" s="379">
        <v>59.612586465526142</v>
      </c>
      <c r="E365" s="25">
        <v>24.84</v>
      </c>
      <c r="F365" s="379">
        <v>2.4410222144479166</v>
      </c>
      <c r="G365" s="25">
        <v>46.11</v>
      </c>
      <c r="H365" s="379">
        <v>1.875552840195911</v>
      </c>
      <c r="I365" s="25">
        <v>49.06</v>
      </c>
      <c r="J365" s="379">
        <v>1.2800938255505474</v>
      </c>
    </row>
    <row r="366" spans="1:10" x14ac:dyDescent="0.35">
      <c r="A366" s="5">
        <v>362</v>
      </c>
      <c r="B366" s="5">
        <v>16</v>
      </c>
      <c r="C366" s="5">
        <v>1</v>
      </c>
      <c r="D366" s="379">
        <v>48.701111111111103</v>
      </c>
      <c r="E366" s="25">
        <v>24.84</v>
      </c>
      <c r="F366" s="379">
        <v>2.4410222144479166</v>
      </c>
      <c r="G366" s="25">
        <v>44.08</v>
      </c>
      <c r="H366" s="379">
        <v>1.875552840195911</v>
      </c>
      <c r="I366" s="25">
        <v>48.86</v>
      </c>
      <c r="J366" s="379">
        <v>1.2800938255505474</v>
      </c>
    </row>
    <row r="367" spans="1:10" x14ac:dyDescent="0.35">
      <c r="A367" s="5">
        <v>363</v>
      </c>
      <c r="B367" s="5">
        <v>16</v>
      </c>
      <c r="C367" s="5">
        <v>1</v>
      </c>
      <c r="D367" s="379">
        <v>52.068819161683955</v>
      </c>
      <c r="E367" s="25">
        <v>24.84</v>
      </c>
      <c r="F367" s="379">
        <v>2.4410222144479166</v>
      </c>
      <c r="G367" s="25">
        <v>43.56</v>
      </c>
      <c r="H367" s="379">
        <v>1.875552840195911</v>
      </c>
      <c r="I367" s="25">
        <v>48.86</v>
      </c>
      <c r="J367" s="379">
        <v>1.2800938255505474</v>
      </c>
    </row>
    <row r="368" spans="1:10" x14ac:dyDescent="0.35">
      <c r="A368" s="5">
        <v>364</v>
      </c>
      <c r="B368" s="5">
        <v>16</v>
      </c>
      <c r="C368" s="5">
        <v>1</v>
      </c>
      <c r="D368" s="379">
        <v>52.167468942443605</v>
      </c>
      <c r="E368" s="25">
        <v>24.84</v>
      </c>
      <c r="F368" s="379">
        <v>2.4410222144479166</v>
      </c>
      <c r="G368" s="25">
        <v>43.56</v>
      </c>
      <c r="H368" s="379">
        <v>1.875552840195911</v>
      </c>
      <c r="I368" s="25">
        <v>48.86</v>
      </c>
      <c r="J368" s="379">
        <v>1.2800938255505474</v>
      </c>
    </row>
    <row r="369" spans="1:10" x14ac:dyDescent="0.35">
      <c r="A369" s="5">
        <v>365</v>
      </c>
      <c r="B369" s="5">
        <v>16</v>
      </c>
      <c r="C369" s="5">
        <v>1</v>
      </c>
      <c r="D369" s="379">
        <v>45.508333333333333</v>
      </c>
      <c r="E369" s="25">
        <v>24.84</v>
      </c>
      <c r="F369" s="379">
        <v>0.12571988267563441</v>
      </c>
      <c r="G369" s="25">
        <v>43.56</v>
      </c>
      <c r="H369" s="379">
        <v>1.875552840195911</v>
      </c>
      <c r="I369" s="25">
        <v>48.86</v>
      </c>
      <c r="J369" s="379">
        <v>1.3832705093780044</v>
      </c>
    </row>
    <row r="370" spans="1:10" x14ac:dyDescent="0.35">
      <c r="A370" s="5">
        <v>366</v>
      </c>
      <c r="B370" s="5">
        <v>16</v>
      </c>
      <c r="C370" s="5">
        <v>1</v>
      </c>
      <c r="D370" s="379">
        <v>45.968504571248722</v>
      </c>
      <c r="E370" s="25">
        <v>24.84</v>
      </c>
      <c r="F370" s="379">
        <v>0.27961704177492369</v>
      </c>
      <c r="G370" s="25">
        <v>44.08</v>
      </c>
      <c r="H370" s="379">
        <v>1.875552840195911</v>
      </c>
      <c r="I370" s="25">
        <v>48.86</v>
      </c>
      <c r="J370" s="379">
        <v>3.8241036579825725</v>
      </c>
    </row>
    <row r="371" spans="1:10" x14ac:dyDescent="0.35">
      <c r="A371" s="5">
        <v>367</v>
      </c>
      <c r="B371" s="5">
        <v>16</v>
      </c>
      <c r="C371" s="5">
        <v>1</v>
      </c>
      <c r="D371" s="379">
        <v>49.719444444444449</v>
      </c>
      <c r="E371" s="25">
        <v>24.84</v>
      </c>
      <c r="F371" s="379">
        <v>4.6555028408719954</v>
      </c>
      <c r="G371" s="25">
        <v>44.69</v>
      </c>
      <c r="H371" s="379">
        <v>2.777777777777778E-2</v>
      </c>
      <c r="I371" s="25">
        <v>49.83</v>
      </c>
      <c r="J371" s="379">
        <v>3.8683198393568494</v>
      </c>
    </row>
    <row r="372" spans="1:10" x14ac:dyDescent="0.35">
      <c r="A372" s="5">
        <v>368</v>
      </c>
      <c r="B372" s="5">
        <v>16</v>
      </c>
      <c r="C372" s="5">
        <v>1</v>
      </c>
      <c r="D372" s="379">
        <v>44.175183210281652</v>
      </c>
      <c r="E372" s="25">
        <v>25.29</v>
      </c>
      <c r="F372" s="379">
        <v>4.8256306346864442</v>
      </c>
      <c r="G372" s="25">
        <v>47.85</v>
      </c>
      <c r="H372" s="379">
        <v>2.1879078613582523</v>
      </c>
      <c r="I372" s="25">
        <v>50.33</v>
      </c>
      <c r="J372" s="379">
        <v>3.8861314051209352</v>
      </c>
    </row>
    <row r="373" spans="1:10" x14ac:dyDescent="0.35">
      <c r="A373" s="5">
        <v>369</v>
      </c>
      <c r="B373" s="5">
        <v>16</v>
      </c>
      <c r="C373" s="5">
        <v>1</v>
      </c>
      <c r="D373" s="379">
        <v>55.072222222222216</v>
      </c>
      <c r="E373" s="25">
        <v>25.74</v>
      </c>
      <c r="F373" s="379">
        <v>8.1174834595959577</v>
      </c>
      <c r="G373" s="25">
        <v>49.15</v>
      </c>
      <c r="H373" s="379">
        <v>2.1879078613582523</v>
      </c>
      <c r="I373" s="25">
        <v>53.71</v>
      </c>
      <c r="J373" s="379">
        <v>3.8683198393568494</v>
      </c>
    </row>
    <row r="374" spans="1:10" x14ac:dyDescent="0.35">
      <c r="A374" s="5">
        <v>370</v>
      </c>
      <c r="B374" s="5">
        <v>16</v>
      </c>
      <c r="C374" s="5">
        <v>1</v>
      </c>
      <c r="D374" s="379">
        <v>49.109083569223159</v>
      </c>
      <c r="E374" s="25">
        <v>26.05</v>
      </c>
      <c r="F374" s="379">
        <v>8.1174834595959595</v>
      </c>
      <c r="G374" s="25">
        <v>52.67</v>
      </c>
      <c r="H374" s="379">
        <v>2.1879078613582523</v>
      </c>
      <c r="I374" s="25">
        <v>173.91</v>
      </c>
      <c r="J374" s="379">
        <v>3.8683198393568494</v>
      </c>
    </row>
    <row r="375" spans="1:10" x14ac:dyDescent="0.35">
      <c r="A375" s="5">
        <v>371</v>
      </c>
      <c r="B375" s="5">
        <v>16</v>
      </c>
      <c r="C375" s="5">
        <v>1</v>
      </c>
      <c r="D375" s="379">
        <v>54.332071613263615</v>
      </c>
      <c r="E375" s="25">
        <v>26.05</v>
      </c>
      <c r="F375" s="379">
        <v>8.1174834595959595</v>
      </c>
      <c r="G375" s="25">
        <v>52.67</v>
      </c>
      <c r="H375" s="379">
        <v>2.1179239275206396</v>
      </c>
      <c r="I375" s="25">
        <v>172.17</v>
      </c>
      <c r="J375" s="379">
        <v>3.5057197490800416</v>
      </c>
    </row>
    <row r="376" spans="1:10" x14ac:dyDescent="0.35">
      <c r="A376" s="5">
        <v>372</v>
      </c>
      <c r="B376" s="5">
        <v>16</v>
      </c>
      <c r="C376" s="5">
        <v>1</v>
      </c>
      <c r="D376" s="379">
        <v>43.732777777777777</v>
      </c>
      <c r="E376" s="25">
        <v>26.35</v>
      </c>
      <c r="F376" s="379">
        <v>7.6929844656192241</v>
      </c>
      <c r="G376" s="25">
        <v>52.67</v>
      </c>
      <c r="H376" s="379">
        <v>2.1489510259609013</v>
      </c>
      <c r="I376" s="25">
        <v>147.82</v>
      </c>
      <c r="J376" s="379">
        <v>3.0949654893710985</v>
      </c>
    </row>
    <row r="377" spans="1:10" x14ac:dyDescent="0.35">
      <c r="A377" s="5">
        <v>373</v>
      </c>
      <c r="B377" s="5">
        <v>16</v>
      </c>
      <c r="C377" s="5">
        <v>1</v>
      </c>
      <c r="D377" s="379">
        <v>52.005498147920335</v>
      </c>
      <c r="E377" s="25">
        <v>26.23</v>
      </c>
      <c r="F377" s="379">
        <v>7.3348672405140407</v>
      </c>
      <c r="G377" s="25">
        <v>52.67</v>
      </c>
      <c r="H377" s="379">
        <v>2.1179239275206396</v>
      </c>
      <c r="I377" s="25">
        <v>147.82</v>
      </c>
      <c r="J377" s="379">
        <v>3.0949654893710985</v>
      </c>
    </row>
    <row r="378" spans="1:10" x14ac:dyDescent="0.35">
      <c r="A378" s="5">
        <v>374</v>
      </c>
      <c r="B378" s="5">
        <v>16</v>
      </c>
      <c r="C378" s="5">
        <v>1</v>
      </c>
      <c r="D378" s="379">
        <v>39.144444444444439</v>
      </c>
      <c r="E378" s="25">
        <v>25.74</v>
      </c>
      <c r="F378" s="379">
        <v>7.3348672405140407</v>
      </c>
      <c r="G378" s="25">
        <v>52.67</v>
      </c>
      <c r="H378" s="379">
        <v>2.1179239275206396</v>
      </c>
      <c r="I378" s="25">
        <v>147.82</v>
      </c>
      <c r="J378" s="379">
        <v>3.0949654893710985</v>
      </c>
    </row>
    <row r="379" spans="1:10" x14ac:dyDescent="0.35">
      <c r="A379" s="5">
        <v>375</v>
      </c>
      <c r="B379" s="5">
        <v>16</v>
      </c>
      <c r="C379" s="5">
        <v>1</v>
      </c>
      <c r="D379" s="379">
        <v>36.258827852227078</v>
      </c>
      <c r="E379" s="25">
        <v>26.51</v>
      </c>
      <c r="F379" s="379">
        <v>7.514146507373022</v>
      </c>
      <c r="G379" s="25">
        <v>52.67</v>
      </c>
      <c r="H379" s="379">
        <v>5.6103132187909575</v>
      </c>
      <c r="I379" s="25">
        <v>155.25</v>
      </c>
      <c r="J379" s="379">
        <v>3.2934683105597138</v>
      </c>
    </row>
    <row r="380" spans="1:10" x14ac:dyDescent="0.35">
      <c r="A380" s="5">
        <v>376</v>
      </c>
      <c r="B380" s="5">
        <v>16</v>
      </c>
      <c r="C380" s="5">
        <v>1</v>
      </c>
      <c r="D380" s="379">
        <v>39.144444444444439</v>
      </c>
      <c r="E380" s="25">
        <v>28.11</v>
      </c>
      <c r="F380" s="379">
        <v>8.0405359949256816</v>
      </c>
      <c r="G380" s="25">
        <v>53.77</v>
      </c>
      <c r="H380" s="379">
        <v>7.4354343110545624</v>
      </c>
      <c r="I380" s="25">
        <v>155.25</v>
      </c>
      <c r="J380" s="379">
        <v>4.0074206706947759</v>
      </c>
    </row>
    <row r="381" spans="1:10" x14ac:dyDescent="0.35">
      <c r="A381" s="5">
        <v>377</v>
      </c>
      <c r="B381" s="5">
        <v>16</v>
      </c>
      <c r="C381" s="5">
        <v>1</v>
      </c>
      <c r="D381" s="379">
        <v>32.939526780447324</v>
      </c>
      <c r="E381" s="25">
        <v>28.12</v>
      </c>
      <c r="F381" s="379">
        <v>17.237577659828194</v>
      </c>
      <c r="G381" s="25">
        <v>59.23</v>
      </c>
      <c r="H381" s="379">
        <v>5.8450565733822044</v>
      </c>
      <c r="I381" s="25">
        <v>156.82</v>
      </c>
      <c r="J381" s="379">
        <v>5.2243917527275858</v>
      </c>
    </row>
    <row r="382" spans="1:10" x14ac:dyDescent="0.35">
      <c r="A382" s="5">
        <v>378</v>
      </c>
      <c r="B382" s="5">
        <v>16</v>
      </c>
      <c r="C382" s="5">
        <v>1</v>
      </c>
      <c r="D382" s="379">
        <v>46.417123459857862</v>
      </c>
      <c r="E382" s="25">
        <v>34.82</v>
      </c>
      <c r="F382" s="379">
        <v>20.392986336221171</v>
      </c>
      <c r="G382" s="25">
        <v>63.98</v>
      </c>
      <c r="H382" s="379">
        <v>6.0874730281835499</v>
      </c>
      <c r="I382" s="25">
        <v>843.72</v>
      </c>
      <c r="J382" s="379">
        <v>4.9031361541390099</v>
      </c>
    </row>
    <row r="383" spans="1:10" x14ac:dyDescent="0.35">
      <c r="A383" s="5">
        <v>379</v>
      </c>
      <c r="B383" s="5">
        <v>16</v>
      </c>
      <c r="C383" s="5">
        <v>1</v>
      </c>
      <c r="D383" s="379">
        <v>30.849435930366109</v>
      </c>
      <c r="E383" s="25">
        <v>35.869999999999997</v>
      </c>
      <c r="F383" s="379">
        <v>20.4695209479579</v>
      </c>
      <c r="G383" s="25">
        <v>64.2</v>
      </c>
      <c r="H383" s="379">
        <v>5.7627310740459068</v>
      </c>
      <c r="I383" s="25">
        <v>843.72</v>
      </c>
      <c r="J383" s="379">
        <v>5.0655383818482402</v>
      </c>
    </row>
    <row r="384" spans="1:10" x14ac:dyDescent="0.35">
      <c r="A384" s="5">
        <v>380</v>
      </c>
      <c r="B384" s="5">
        <v>16</v>
      </c>
      <c r="C384" s="5">
        <v>1</v>
      </c>
      <c r="D384" s="379">
        <v>55.118457297976846</v>
      </c>
      <c r="E384" s="25">
        <v>30.28</v>
      </c>
      <c r="F384" s="379">
        <v>19.900253593604759</v>
      </c>
      <c r="G384" s="25">
        <v>62.12</v>
      </c>
      <c r="H384" s="379">
        <v>5.7437211554218228</v>
      </c>
      <c r="I384" s="25">
        <v>843.72</v>
      </c>
      <c r="J384" s="379">
        <v>6.3029125627712457</v>
      </c>
    </row>
    <row r="385" spans="1:10" x14ac:dyDescent="0.35">
      <c r="A385" s="5">
        <v>381</v>
      </c>
      <c r="B385" s="5">
        <v>16</v>
      </c>
      <c r="C385" s="5">
        <v>1</v>
      </c>
      <c r="D385" s="379">
        <v>41.678333333333335</v>
      </c>
      <c r="E385" s="25">
        <v>28.12</v>
      </c>
      <c r="F385" s="379">
        <v>18.040096002530863</v>
      </c>
      <c r="G385" s="25">
        <v>59.23</v>
      </c>
      <c r="H385" s="379">
        <v>2.5365835048588048</v>
      </c>
      <c r="I385" s="25">
        <v>640.05999999999995</v>
      </c>
      <c r="J385" s="379">
        <v>4.2432717917255003</v>
      </c>
    </row>
    <row r="386" spans="1:10" x14ac:dyDescent="0.35">
      <c r="A386" s="5">
        <v>382</v>
      </c>
      <c r="B386" s="5">
        <v>16</v>
      </c>
      <c r="C386" s="5">
        <v>1</v>
      </c>
      <c r="D386" s="379">
        <v>57.597655554296892</v>
      </c>
      <c r="E386" s="25">
        <v>26.51</v>
      </c>
      <c r="F386" s="379">
        <v>18.552592469435677</v>
      </c>
      <c r="G386" s="25">
        <v>53.77</v>
      </c>
      <c r="H386" s="379">
        <v>6.4651101501579236</v>
      </c>
      <c r="I386" s="25">
        <v>603.30999999999995</v>
      </c>
      <c r="J386" s="379">
        <v>5.0086060324362407</v>
      </c>
    </row>
    <row r="387" spans="1:10" x14ac:dyDescent="0.35">
      <c r="A387" s="5">
        <v>383</v>
      </c>
      <c r="B387" s="5">
        <v>16</v>
      </c>
      <c r="C387" s="5">
        <v>1</v>
      </c>
      <c r="D387" s="379">
        <v>62.372167053102068</v>
      </c>
      <c r="E387" s="25">
        <v>26.51</v>
      </c>
      <c r="F387" s="379">
        <v>15.186536082835932</v>
      </c>
      <c r="G387" s="25">
        <v>59.23</v>
      </c>
      <c r="H387" s="379">
        <v>8.0687345801209478</v>
      </c>
      <c r="I387" s="25">
        <v>603.30999999999995</v>
      </c>
      <c r="J387" s="379">
        <v>2.2185066656048811</v>
      </c>
    </row>
    <row r="388" spans="1:10" x14ac:dyDescent="0.35">
      <c r="A388" s="5">
        <v>384</v>
      </c>
      <c r="B388" s="5">
        <v>16</v>
      </c>
      <c r="C388" s="5">
        <v>1</v>
      </c>
      <c r="D388" s="379">
        <v>48.183333333333337</v>
      </c>
      <c r="E388" s="25">
        <v>26.51</v>
      </c>
      <c r="F388" s="379">
        <v>13.196259401928288</v>
      </c>
      <c r="G388" s="25">
        <v>55.88</v>
      </c>
      <c r="H388" s="379">
        <v>6.4095714781257129</v>
      </c>
      <c r="I388" s="25">
        <v>603.30999999999995</v>
      </c>
      <c r="J388" s="379">
        <v>5.3120081374202899</v>
      </c>
    </row>
    <row r="389" spans="1:10" x14ac:dyDescent="0.35">
      <c r="A389" s="5">
        <v>385</v>
      </c>
      <c r="B389" s="5">
        <v>17</v>
      </c>
      <c r="C389" s="5">
        <v>1</v>
      </c>
      <c r="D389" s="379">
        <v>52.472010819983211</v>
      </c>
      <c r="E389" s="25">
        <v>25.74</v>
      </c>
      <c r="F389" s="379">
        <v>13.817791787265199</v>
      </c>
      <c r="G389" s="25">
        <v>51.44</v>
      </c>
      <c r="H389" s="379">
        <v>6.0952645779312267</v>
      </c>
      <c r="I389" s="25">
        <v>603.30999999999995</v>
      </c>
      <c r="J389" s="379">
        <v>5.6585973477302955</v>
      </c>
    </row>
    <row r="390" spans="1:10" x14ac:dyDescent="0.35">
      <c r="A390" s="5">
        <v>386</v>
      </c>
      <c r="B390" s="5">
        <v>17</v>
      </c>
      <c r="C390" s="5">
        <v>1</v>
      </c>
      <c r="D390" s="379">
        <v>30.826820000232587</v>
      </c>
      <c r="E390" s="25">
        <v>25.74</v>
      </c>
      <c r="F390" s="379">
        <v>11.346667519792941</v>
      </c>
      <c r="G390" s="25">
        <v>50.35</v>
      </c>
      <c r="H390" s="379">
        <v>7.2563048568963939</v>
      </c>
      <c r="I390" s="25">
        <v>147.82</v>
      </c>
      <c r="J390" s="379">
        <v>4.2646863033677143</v>
      </c>
    </row>
    <row r="391" spans="1:10" x14ac:dyDescent="0.35">
      <c r="A391" s="5">
        <v>387</v>
      </c>
      <c r="B391" s="5">
        <v>17</v>
      </c>
      <c r="C391" s="5">
        <v>1</v>
      </c>
      <c r="D391" s="379">
        <v>47.383757117608937</v>
      </c>
      <c r="E391" s="25">
        <v>25.74</v>
      </c>
      <c r="F391" s="379">
        <v>13.805702114061836</v>
      </c>
      <c r="G391" s="25">
        <v>50.35</v>
      </c>
      <c r="H391" s="379">
        <v>6.4896526806083603</v>
      </c>
      <c r="I391" s="25">
        <v>146.34</v>
      </c>
      <c r="J391" s="379">
        <v>4.3421374775024892</v>
      </c>
    </row>
    <row r="392" spans="1:10" x14ac:dyDescent="0.35">
      <c r="A392" s="5">
        <v>388</v>
      </c>
      <c r="B392" s="5">
        <v>17</v>
      </c>
      <c r="C392" s="5">
        <v>1</v>
      </c>
      <c r="D392" s="379">
        <v>37.964634586264324</v>
      </c>
      <c r="E392" s="25">
        <v>25.74</v>
      </c>
      <c r="F392" s="379">
        <v>15.094794939872756</v>
      </c>
      <c r="G392" s="25">
        <v>48.88</v>
      </c>
      <c r="H392" s="379">
        <v>6.656227887633265</v>
      </c>
      <c r="I392" s="25">
        <v>146.34</v>
      </c>
      <c r="J392" s="379">
        <v>6.0601684624565459</v>
      </c>
    </row>
    <row r="393" spans="1:10" x14ac:dyDescent="0.35">
      <c r="A393" s="5">
        <v>389</v>
      </c>
      <c r="B393" s="5">
        <v>17</v>
      </c>
      <c r="C393" s="5">
        <v>1</v>
      </c>
      <c r="D393" s="379">
        <v>50.0138888888889</v>
      </c>
      <c r="E393" s="25">
        <v>25.74</v>
      </c>
      <c r="F393" s="379">
        <v>14.805742839462859</v>
      </c>
      <c r="G393" s="25">
        <v>48.88</v>
      </c>
      <c r="H393" s="379">
        <v>7.0164667648367915</v>
      </c>
      <c r="I393" s="25">
        <v>146.34</v>
      </c>
      <c r="J393" s="379">
        <v>5.3228895868890005</v>
      </c>
    </row>
    <row r="394" spans="1:10" x14ac:dyDescent="0.35">
      <c r="A394" s="5">
        <v>390</v>
      </c>
      <c r="B394" s="5">
        <v>17</v>
      </c>
      <c r="C394" s="5">
        <v>1</v>
      </c>
      <c r="D394" s="379">
        <v>37.805421269804626</v>
      </c>
      <c r="E394" s="25">
        <v>25.74</v>
      </c>
      <c r="F394" s="379">
        <v>11.56063782717627</v>
      </c>
      <c r="G394" s="25">
        <v>48.88</v>
      </c>
      <c r="H394" s="379">
        <v>7.5384355574419839</v>
      </c>
      <c r="I394" s="25">
        <v>146.34</v>
      </c>
      <c r="J394" s="379">
        <v>5.1462558479593241</v>
      </c>
    </row>
    <row r="395" spans="1:10" x14ac:dyDescent="0.35">
      <c r="A395" s="5">
        <v>391</v>
      </c>
      <c r="B395" s="5">
        <v>17</v>
      </c>
      <c r="C395" s="5">
        <v>1</v>
      </c>
      <c r="D395" s="379">
        <v>27.025000000000002</v>
      </c>
      <c r="E395" s="25">
        <v>25.74</v>
      </c>
      <c r="F395" s="379">
        <v>11.756888354615167</v>
      </c>
      <c r="G395" s="25">
        <v>50.35</v>
      </c>
      <c r="H395" s="379">
        <v>9.2427187779790252</v>
      </c>
      <c r="I395" s="25">
        <v>146.34</v>
      </c>
      <c r="J395" s="379">
        <v>6.2204388229509728</v>
      </c>
    </row>
    <row r="396" spans="1:10" x14ac:dyDescent="0.35">
      <c r="A396" s="5">
        <v>392</v>
      </c>
      <c r="B396" s="5">
        <v>17</v>
      </c>
      <c r="C396" s="5">
        <v>1</v>
      </c>
      <c r="D396" s="379">
        <v>33.62174485596708</v>
      </c>
      <c r="E396" s="25">
        <v>25.74</v>
      </c>
      <c r="F396" s="379">
        <v>12.213919604615167</v>
      </c>
      <c r="G396" s="25">
        <v>50.35</v>
      </c>
      <c r="H396" s="379">
        <v>8.8842213152490626</v>
      </c>
      <c r="I396" s="25">
        <v>147.82</v>
      </c>
      <c r="J396" s="379">
        <v>6.1930547591141138</v>
      </c>
    </row>
    <row r="397" spans="1:10" x14ac:dyDescent="0.35">
      <c r="A397" s="5">
        <v>393</v>
      </c>
      <c r="B397" s="5">
        <v>17</v>
      </c>
      <c r="C397" s="5">
        <v>1</v>
      </c>
      <c r="D397" s="379">
        <v>23.472222222222221</v>
      </c>
      <c r="E397" s="25">
        <v>25.74</v>
      </c>
      <c r="F397" s="379">
        <v>11.979575391229892</v>
      </c>
      <c r="G397" s="25">
        <v>50.35</v>
      </c>
      <c r="H397" s="379">
        <v>8.686967751578317</v>
      </c>
      <c r="I397" s="25">
        <v>172.17</v>
      </c>
      <c r="J397" s="379">
        <v>4.8175256140810578</v>
      </c>
    </row>
    <row r="398" spans="1:10" x14ac:dyDescent="0.35">
      <c r="A398" s="5">
        <v>394</v>
      </c>
      <c r="B398" s="5">
        <v>17</v>
      </c>
      <c r="C398" s="5">
        <v>1</v>
      </c>
      <c r="D398" s="379">
        <v>20.041666666666668</v>
      </c>
      <c r="E398" s="25">
        <v>26.05</v>
      </c>
      <c r="F398" s="379">
        <v>8.3917344359209594</v>
      </c>
      <c r="G398" s="25">
        <v>51.44</v>
      </c>
      <c r="H398" s="379">
        <v>4.799693804694658</v>
      </c>
      <c r="I398" s="25">
        <v>172.17</v>
      </c>
      <c r="J398" s="379">
        <v>4.4781189532012817</v>
      </c>
    </row>
    <row r="399" spans="1:10" x14ac:dyDescent="0.35">
      <c r="A399" s="5">
        <v>395</v>
      </c>
      <c r="B399" s="5">
        <v>17</v>
      </c>
      <c r="C399" s="5">
        <v>1</v>
      </c>
      <c r="D399" s="379">
        <v>49.205992216254877</v>
      </c>
      <c r="E399" s="25">
        <v>26.35</v>
      </c>
      <c r="F399" s="379">
        <v>8.1174834595959595</v>
      </c>
      <c r="G399" s="25">
        <v>52.67</v>
      </c>
      <c r="H399" s="379">
        <v>8.4371386790852831</v>
      </c>
      <c r="I399" s="25">
        <v>147.82</v>
      </c>
      <c r="J399" s="379">
        <v>4.426697489487192</v>
      </c>
    </row>
    <row r="400" spans="1:10" x14ac:dyDescent="0.35">
      <c r="A400" s="5">
        <v>396</v>
      </c>
      <c r="B400" s="5">
        <v>17</v>
      </c>
      <c r="C400" s="5">
        <v>1</v>
      </c>
      <c r="D400" s="379">
        <v>21.241666666666667</v>
      </c>
      <c r="E400" s="25">
        <v>25.74</v>
      </c>
      <c r="F400" s="379">
        <v>8.1174834595959595</v>
      </c>
      <c r="G400" s="25">
        <v>52.67</v>
      </c>
      <c r="H400" s="379">
        <v>4.2825007580048435</v>
      </c>
      <c r="I400" s="25">
        <v>146.34</v>
      </c>
      <c r="J400" s="379">
        <v>3.5310443020440632</v>
      </c>
    </row>
    <row r="401" spans="1:10" x14ac:dyDescent="0.35">
      <c r="A401" s="5">
        <v>397</v>
      </c>
      <c r="B401" s="5">
        <v>17</v>
      </c>
      <c r="C401" s="5">
        <v>1</v>
      </c>
      <c r="D401" s="379">
        <v>65.286111111111097</v>
      </c>
      <c r="E401" s="25">
        <v>25.74</v>
      </c>
      <c r="F401" s="379">
        <v>8.1174834595959613</v>
      </c>
      <c r="G401" s="25">
        <v>52.67</v>
      </c>
      <c r="H401" s="379">
        <v>4.2825007580048435</v>
      </c>
      <c r="I401" s="25">
        <v>146.34</v>
      </c>
      <c r="J401" s="379">
        <v>3.5295530384823071</v>
      </c>
    </row>
    <row r="402" spans="1:10" x14ac:dyDescent="0.35">
      <c r="A402" s="5">
        <v>398</v>
      </c>
      <c r="B402" s="5">
        <v>17</v>
      </c>
      <c r="C402" s="5">
        <v>1</v>
      </c>
      <c r="D402" s="379">
        <v>40.557777777777773</v>
      </c>
      <c r="E402" s="25">
        <v>25.74</v>
      </c>
      <c r="F402" s="379">
        <v>8.1174834595959613</v>
      </c>
      <c r="G402" s="25">
        <v>50.35</v>
      </c>
      <c r="H402" s="379">
        <v>4.2825007580048435</v>
      </c>
      <c r="I402" s="25">
        <v>74.349999999999994</v>
      </c>
      <c r="J402" s="379">
        <v>3.5080790131297865</v>
      </c>
    </row>
    <row r="403" spans="1:10" x14ac:dyDescent="0.35">
      <c r="A403" s="5">
        <v>399</v>
      </c>
      <c r="B403" s="5">
        <v>17</v>
      </c>
      <c r="C403" s="5">
        <v>1</v>
      </c>
      <c r="D403" s="379">
        <v>43.533333333333324</v>
      </c>
      <c r="E403" s="25">
        <v>25.74</v>
      </c>
      <c r="F403" s="379">
        <v>8.1174834595959577</v>
      </c>
      <c r="G403" s="25">
        <v>50.35</v>
      </c>
      <c r="H403" s="379">
        <v>4.2825007580048426</v>
      </c>
      <c r="I403" s="25">
        <v>72.19</v>
      </c>
      <c r="J403" s="379">
        <v>3.5080790131297865</v>
      </c>
    </row>
    <row r="404" spans="1:10" x14ac:dyDescent="0.35">
      <c r="A404" s="5">
        <v>400</v>
      </c>
      <c r="B404" s="5">
        <v>17</v>
      </c>
      <c r="C404" s="5">
        <v>1</v>
      </c>
      <c r="D404" s="379">
        <v>36.552777777777777</v>
      </c>
      <c r="E404" s="25">
        <v>25.74</v>
      </c>
      <c r="F404" s="379">
        <v>8.1174834595959595</v>
      </c>
      <c r="G404" s="25">
        <v>50.35</v>
      </c>
      <c r="H404" s="379">
        <v>5.4886863943388251</v>
      </c>
      <c r="I404" s="25">
        <v>72.19</v>
      </c>
      <c r="J404" s="379">
        <v>3.7432723776270134</v>
      </c>
    </row>
    <row r="405" spans="1:10" x14ac:dyDescent="0.35">
      <c r="A405" s="5">
        <v>401</v>
      </c>
      <c r="B405" s="5">
        <v>17</v>
      </c>
      <c r="C405" s="5">
        <v>1</v>
      </c>
      <c r="D405" s="379">
        <v>40.241666666666667</v>
      </c>
      <c r="E405" s="25">
        <v>25.74</v>
      </c>
      <c r="F405" s="379">
        <v>12.31189190495027</v>
      </c>
      <c r="G405" s="25">
        <v>52.67</v>
      </c>
      <c r="H405" s="379">
        <v>8.8352095159744728</v>
      </c>
      <c r="I405" s="25">
        <v>146.34</v>
      </c>
      <c r="J405" s="379">
        <v>5.5994120213365237</v>
      </c>
    </row>
    <row r="406" spans="1:10" x14ac:dyDescent="0.35">
      <c r="A406" s="5">
        <v>402</v>
      </c>
      <c r="B406" s="5">
        <v>17</v>
      </c>
      <c r="C406" s="5">
        <v>1</v>
      </c>
      <c r="D406" s="379">
        <v>138.88888888888889</v>
      </c>
      <c r="E406" s="25">
        <v>27.29</v>
      </c>
      <c r="F406" s="379">
        <v>11.962298653462646</v>
      </c>
      <c r="G406" s="25">
        <v>59.23</v>
      </c>
      <c r="H406" s="379">
        <v>9.4504986776947764</v>
      </c>
      <c r="I406" s="25">
        <v>172.17</v>
      </c>
      <c r="J406" s="379">
        <v>4.7491520889778682</v>
      </c>
    </row>
    <row r="407" spans="1:10" x14ac:dyDescent="0.35">
      <c r="A407" s="5">
        <v>403</v>
      </c>
      <c r="B407" s="5">
        <v>17</v>
      </c>
      <c r="C407" s="5">
        <v>1</v>
      </c>
      <c r="D407" s="379">
        <v>41.655555555555559</v>
      </c>
      <c r="E407" s="25">
        <v>27.29</v>
      </c>
      <c r="F407" s="379">
        <v>13.508589320184045</v>
      </c>
      <c r="G407" s="25">
        <v>59.23</v>
      </c>
      <c r="H407" s="379">
        <v>9.4238520065629316</v>
      </c>
      <c r="I407" s="25">
        <v>173.91</v>
      </c>
      <c r="J407" s="379">
        <v>5.551425653989293</v>
      </c>
    </row>
    <row r="408" spans="1:10" x14ac:dyDescent="0.35">
      <c r="A408" s="5">
        <v>404</v>
      </c>
      <c r="B408" s="5">
        <v>17</v>
      </c>
      <c r="C408" s="5">
        <v>1</v>
      </c>
      <c r="D408" s="379">
        <v>39.496655745513735</v>
      </c>
      <c r="E408" s="25">
        <v>26.51</v>
      </c>
      <c r="F408" s="379">
        <v>12.509292804886524</v>
      </c>
      <c r="G408" s="25">
        <v>59.23</v>
      </c>
      <c r="H408" s="379">
        <v>8.9632638069538721</v>
      </c>
      <c r="I408" s="25">
        <v>146.34</v>
      </c>
      <c r="J408" s="379">
        <v>5.5261134342093969</v>
      </c>
    </row>
    <row r="409" spans="1:10" x14ac:dyDescent="0.35">
      <c r="A409" s="5">
        <v>405</v>
      </c>
      <c r="B409" s="5">
        <v>17</v>
      </c>
      <c r="C409" s="5">
        <v>1</v>
      </c>
      <c r="D409" s="379">
        <v>44.394124818039153</v>
      </c>
      <c r="E409" s="25">
        <v>25.74</v>
      </c>
      <c r="F409" s="379">
        <v>12.009638044462468</v>
      </c>
      <c r="G409" s="25">
        <v>52.67</v>
      </c>
      <c r="H409" s="379">
        <v>9.5404904527095749</v>
      </c>
      <c r="I409" s="25">
        <v>146.34</v>
      </c>
      <c r="J409" s="379">
        <v>5.6878110641508677</v>
      </c>
    </row>
    <row r="410" spans="1:10" x14ac:dyDescent="0.35">
      <c r="A410" s="5">
        <v>406</v>
      </c>
      <c r="B410" s="5">
        <v>17</v>
      </c>
      <c r="C410" s="5">
        <v>1</v>
      </c>
      <c r="D410" s="379">
        <v>52.935564127950776</v>
      </c>
      <c r="E410" s="25">
        <v>25.74</v>
      </c>
      <c r="F410" s="379">
        <v>11.667774761133636</v>
      </c>
      <c r="G410" s="25">
        <v>50.35</v>
      </c>
      <c r="H410" s="379">
        <v>9.5466765162085618</v>
      </c>
      <c r="I410" s="25">
        <v>146.34</v>
      </c>
      <c r="J410" s="379">
        <v>6.2859087949322578</v>
      </c>
    </row>
    <row r="411" spans="1:10" x14ac:dyDescent="0.35">
      <c r="A411" s="5">
        <v>407</v>
      </c>
      <c r="B411" s="5">
        <v>17</v>
      </c>
      <c r="C411" s="5">
        <v>1</v>
      </c>
      <c r="D411" s="379">
        <v>57.22950436652372</v>
      </c>
      <c r="E411" s="25">
        <v>25.74</v>
      </c>
      <c r="F411" s="379">
        <v>11.667808622858722</v>
      </c>
      <c r="G411" s="25">
        <v>50.85</v>
      </c>
      <c r="H411" s="379">
        <v>10.104247554718008</v>
      </c>
      <c r="I411" s="25">
        <v>146.34</v>
      </c>
      <c r="J411" s="379">
        <v>6.4417030341320833</v>
      </c>
    </row>
    <row r="412" spans="1:10" x14ac:dyDescent="0.35">
      <c r="A412" s="5">
        <v>408</v>
      </c>
      <c r="B412" s="5">
        <v>17</v>
      </c>
      <c r="C412" s="5">
        <v>1</v>
      </c>
      <c r="D412" s="379">
        <v>49.745784683929386</v>
      </c>
      <c r="E412" s="25">
        <v>25.74</v>
      </c>
      <c r="F412" s="379">
        <v>13.940022965488708</v>
      </c>
      <c r="G412" s="25">
        <v>51.44</v>
      </c>
      <c r="H412" s="379">
        <v>10.04121589415181</v>
      </c>
      <c r="I412" s="25">
        <v>146.34</v>
      </c>
      <c r="J412" s="379">
        <v>6.1734512024147499</v>
      </c>
    </row>
    <row r="413" spans="1:10" x14ac:dyDescent="0.35">
      <c r="A413" s="5">
        <v>409</v>
      </c>
      <c r="B413" s="5">
        <v>18</v>
      </c>
      <c r="C413" s="5">
        <v>1</v>
      </c>
      <c r="D413" s="379">
        <v>60.470886350811902</v>
      </c>
      <c r="E413" s="25">
        <v>25.74</v>
      </c>
      <c r="F413" s="379">
        <v>12.897312541724883</v>
      </c>
      <c r="G413" s="25">
        <v>52.67</v>
      </c>
      <c r="H413" s="379">
        <v>10.110367119074143</v>
      </c>
      <c r="I413" s="25">
        <v>146.34</v>
      </c>
      <c r="J413" s="379">
        <v>5.9855523479679098</v>
      </c>
    </row>
    <row r="414" spans="1:10" x14ac:dyDescent="0.35">
      <c r="A414" s="5">
        <v>410</v>
      </c>
      <c r="B414" s="5">
        <v>18</v>
      </c>
      <c r="C414" s="5">
        <v>1</v>
      </c>
      <c r="D414" s="379">
        <v>43.670555555555552</v>
      </c>
      <c r="E414" s="25">
        <v>25.74</v>
      </c>
      <c r="F414" s="379">
        <v>13.891344358743103</v>
      </c>
      <c r="G414" s="25">
        <v>52.67</v>
      </c>
      <c r="H414" s="379">
        <v>10.030694564986504</v>
      </c>
      <c r="I414" s="25">
        <v>146.34</v>
      </c>
      <c r="J414" s="379">
        <v>6.2680453826116072</v>
      </c>
    </row>
    <row r="415" spans="1:10" x14ac:dyDescent="0.35">
      <c r="A415" s="5">
        <v>411</v>
      </c>
      <c r="B415" s="5">
        <v>18</v>
      </c>
      <c r="C415" s="5">
        <v>1</v>
      </c>
      <c r="D415" s="379">
        <v>42.470555555555549</v>
      </c>
      <c r="E415" s="25">
        <v>25.74</v>
      </c>
      <c r="F415" s="379">
        <v>13.79487571597018</v>
      </c>
      <c r="G415" s="25">
        <v>50.35</v>
      </c>
      <c r="H415" s="379">
        <v>9.9350984283736761</v>
      </c>
      <c r="I415" s="25">
        <v>146.34</v>
      </c>
      <c r="J415" s="379">
        <v>6.4050230171173315</v>
      </c>
    </row>
    <row r="416" spans="1:10" x14ac:dyDescent="0.35">
      <c r="A416" s="5">
        <v>412</v>
      </c>
      <c r="B416" s="5">
        <v>18</v>
      </c>
      <c r="C416" s="5">
        <v>1</v>
      </c>
      <c r="D416" s="379">
        <v>39.774999999999999</v>
      </c>
      <c r="E416" s="25">
        <v>25.74</v>
      </c>
      <c r="F416" s="379">
        <v>14.251478894444009</v>
      </c>
      <c r="G416" s="25">
        <v>48.88</v>
      </c>
      <c r="H416" s="379">
        <v>10.166022640403067</v>
      </c>
      <c r="I416" s="25">
        <v>146.34</v>
      </c>
      <c r="J416" s="379">
        <v>6.4870400546687934</v>
      </c>
    </row>
    <row r="417" spans="1:10" x14ac:dyDescent="0.35">
      <c r="A417" s="5">
        <v>413</v>
      </c>
      <c r="B417" s="5">
        <v>18</v>
      </c>
      <c r="C417" s="5">
        <v>1</v>
      </c>
      <c r="D417" s="379">
        <v>42.579999999999991</v>
      </c>
      <c r="E417" s="25">
        <v>25.74</v>
      </c>
      <c r="F417" s="379">
        <v>13.257416997556643</v>
      </c>
      <c r="G417" s="25">
        <v>50.35</v>
      </c>
      <c r="H417" s="379">
        <v>10.097839119192809</v>
      </c>
      <c r="I417" s="25">
        <v>146.34</v>
      </c>
      <c r="J417" s="379">
        <v>6.7849751440572019</v>
      </c>
    </row>
    <row r="418" spans="1:10" x14ac:dyDescent="0.35">
      <c r="A418" s="5">
        <v>414</v>
      </c>
      <c r="B418" s="5">
        <v>18</v>
      </c>
      <c r="C418" s="5">
        <v>1</v>
      </c>
      <c r="D418" s="379">
        <v>60.219444444444441</v>
      </c>
      <c r="E418" s="25">
        <v>25.74</v>
      </c>
      <c r="F418" s="379">
        <v>18.75769711623472</v>
      </c>
      <c r="G418" s="25">
        <v>58.75</v>
      </c>
      <c r="H418" s="379">
        <v>16.188296548332275</v>
      </c>
      <c r="I418" s="25">
        <v>570.57000000000005</v>
      </c>
      <c r="J418" s="379">
        <v>6.8911645131285244</v>
      </c>
    </row>
    <row r="419" spans="1:10" x14ac:dyDescent="0.35">
      <c r="A419" s="5">
        <v>415</v>
      </c>
      <c r="B419" s="5">
        <v>18</v>
      </c>
      <c r="C419" s="5">
        <v>1</v>
      </c>
      <c r="D419" s="379">
        <v>50.500555555555543</v>
      </c>
      <c r="E419" s="25">
        <v>28.15</v>
      </c>
      <c r="F419" s="379">
        <v>18.810367588201888</v>
      </c>
      <c r="G419" s="25">
        <v>843.72</v>
      </c>
      <c r="H419" s="379">
        <v>18.134364705653827</v>
      </c>
      <c r="I419" s="25">
        <v>843.72</v>
      </c>
      <c r="J419" s="379">
        <v>7.5333596289529527</v>
      </c>
    </row>
    <row r="420" spans="1:10" x14ac:dyDescent="0.35">
      <c r="A420" s="5">
        <v>416</v>
      </c>
      <c r="B420" s="5">
        <v>18</v>
      </c>
      <c r="C420" s="5">
        <v>1</v>
      </c>
      <c r="D420" s="379">
        <v>66.162222222222226</v>
      </c>
      <c r="E420" s="25">
        <v>38.200000000000003</v>
      </c>
      <c r="F420" s="379">
        <v>20.999016394423904</v>
      </c>
      <c r="G420" s="25">
        <v>843.72</v>
      </c>
      <c r="H420" s="379">
        <v>22.503997609060754</v>
      </c>
      <c r="I420" s="25">
        <v>843.72</v>
      </c>
      <c r="J420" s="379">
        <v>7.6361587482344104</v>
      </c>
    </row>
    <row r="421" spans="1:10" x14ac:dyDescent="0.35">
      <c r="A421" s="5">
        <v>417</v>
      </c>
      <c r="B421" s="5">
        <v>18</v>
      </c>
      <c r="C421" s="5">
        <v>1</v>
      </c>
      <c r="D421" s="379">
        <v>71.721666666666664</v>
      </c>
      <c r="E421" s="25">
        <v>39.51</v>
      </c>
      <c r="F421" s="379">
        <v>21.900184724146715</v>
      </c>
      <c r="G421" s="25">
        <v>843.72</v>
      </c>
      <c r="H421" s="379">
        <v>24.009379598094274</v>
      </c>
      <c r="I421" s="25">
        <v>843.72</v>
      </c>
      <c r="J421" s="379">
        <v>7.6232463406333908</v>
      </c>
    </row>
    <row r="422" spans="1:10" x14ac:dyDescent="0.35">
      <c r="A422" s="5">
        <v>418</v>
      </c>
      <c r="B422" s="5">
        <v>18</v>
      </c>
      <c r="C422" s="5">
        <v>1</v>
      </c>
      <c r="D422" s="379">
        <v>66.405555555555551</v>
      </c>
      <c r="E422" s="25">
        <v>39.51</v>
      </c>
      <c r="F422" s="379">
        <v>18.723347032243307</v>
      </c>
      <c r="G422" s="25">
        <v>843.72</v>
      </c>
      <c r="H422" s="379">
        <v>18.526420386499428</v>
      </c>
      <c r="I422" s="25">
        <v>843.72</v>
      </c>
      <c r="J422" s="379">
        <v>7.2850870347811894</v>
      </c>
    </row>
    <row r="423" spans="1:10" x14ac:dyDescent="0.35">
      <c r="A423" s="5">
        <v>419</v>
      </c>
      <c r="B423" s="5">
        <v>18</v>
      </c>
      <c r="C423" s="5">
        <v>1</v>
      </c>
      <c r="D423" s="379">
        <v>52.617139394907852</v>
      </c>
      <c r="E423" s="25">
        <v>39.51</v>
      </c>
      <c r="F423" s="379">
        <v>21.538023785730907</v>
      </c>
      <c r="G423" s="25">
        <v>843.72</v>
      </c>
      <c r="H423" s="379">
        <v>25.91416531917351</v>
      </c>
      <c r="I423" s="25">
        <v>843.72</v>
      </c>
      <c r="J423" s="379">
        <v>7.6687662603635198</v>
      </c>
    </row>
    <row r="424" spans="1:10" x14ac:dyDescent="0.35">
      <c r="A424" s="5">
        <v>420</v>
      </c>
      <c r="B424" s="5">
        <v>18</v>
      </c>
      <c r="C424" s="5">
        <v>1</v>
      </c>
      <c r="D424" s="379">
        <v>54.193158365682528</v>
      </c>
      <c r="E424" s="25">
        <v>39.51</v>
      </c>
      <c r="F424" s="379">
        <v>19.586143171572516</v>
      </c>
      <c r="G424" s="25">
        <v>843.72</v>
      </c>
      <c r="H424" s="379">
        <v>24.122647530896938</v>
      </c>
      <c r="I424" s="25">
        <v>843.72</v>
      </c>
      <c r="J424" s="379">
        <v>7.574179039219076</v>
      </c>
    </row>
    <row r="425" spans="1:10" x14ac:dyDescent="0.35">
      <c r="A425" s="5">
        <v>421</v>
      </c>
      <c r="B425" s="5">
        <v>18</v>
      </c>
      <c r="C425" s="5">
        <v>1</v>
      </c>
      <c r="D425" s="379">
        <v>58.267742929155034</v>
      </c>
      <c r="E425" s="25">
        <v>38.200000000000003</v>
      </c>
      <c r="F425" s="379">
        <v>17.510899025521308</v>
      </c>
      <c r="G425" s="25">
        <v>843.72</v>
      </c>
      <c r="H425" s="379">
        <v>24.145547857906408</v>
      </c>
      <c r="I425" s="25">
        <v>843.72</v>
      </c>
      <c r="J425" s="379">
        <v>7.5425951084817004</v>
      </c>
    </row>
    <row r="426" spans="1:10" x14ac:dyDescent="0.35">
      <c r="A426" s="5">
        <v>422</v>
      </c>
      <c r="B426" s="5">
        <v>18</v>
      </c>
      <c r="C426" s="5">
        <v>1</v>
      </c>
      <c r="D426" s="379">
        <v>53.297535985040717</v>
      </c>
      <c r="E426" s="25">
        <v>38.200000000000003</v>
      </c>
      <c r="F426" s="379">
        <v>17.510899025521308</v>
      </c>
      <c r="G426" s="25">
        <v>843.72</v>
      </c>
      <c r="H426" s="379">
        <v>24.174960997478699</v>
      </c>
      <c r="I426" s="25">
        <v>843.72</v>
      </c>
      <c r="J426" s="379">
        <v>7.5264239582491124</v>
      </c>
    </row>
    <row r="427" spans="1:10" x14ac:dyDescent="0.35">
      <c r="A427" s="5">
        <v>423</v>
      </c>
      <c r="B427" s="5">
        <v>18</v>
      </c>
      <c r="C427" s="5">
        <v>1</v>
      </c>
      <c r="D427" s="379">
        <v>60.26232582398714</v>
      </c>
      <c r="E427" s="25">
        <v>38.200000000000003</v>
      </c>
      <c r="F427" s="379">
        <v>19.481900176717041</v>
      </c>
      <c r="G427" s="25">
        <v>869.03</v>
      </c>
      <c r="H427" s="379">
        <v>24.075470880182344</v>
      </c>
      <c r="I427" s="25">
        <v>843.72</v>
      </c>
      <c r="J427" s="379">
        <v>7.5105951786565992</v>
      </c>
    </row>
    <row r="428" spans="1:10" x14ac:dyDescent="0.35">
      <c r="A428" s="5">
        <v>424</v>
      </c>
      <c r="B428" s="5">
        <v>18</v>
      </c>
      <c r="C428" s="5">
        <v>1</v>
      </c>
      <c r="D428" s="379">
        <v>60.905485540640669</v>
      </c>
      <c r="E428" s="25">
        <v>38.200000000000003</v>
      </c>
      <c r="F428" s="379">
        <v>21.538023785730907</v>
      </c>
      <c r="G428" s="25">
        <v>869.03</v>
      </c>
      <c r="H428" s="379">
        <v>28.179142247296941</v>
      </c>
      <c r="I428" s="25">
        <v>869.03</v>
      </c>
      <c r="J428" s="379">
        <v>7.6587639965839092</v>
      </c>
    </row>
    <row r="429" spans="1:10" x14ac:dyDescent="0.35">
      <c r="A429" s="5">
        <v>425</v>
      </c>
      <c r="B429" s="5">
        <v>18</v>
      </c>
      <c r="C429" s="5">
        <v>1</v>
      </c>
      <c r="D429" s="379">
        <v>72.913948592020759</v>
      </c>
      <c r="E429" s="25">
        <v>39.51</v>
      </c>
      <c r="F429" s="379">
        <v>28.854005676853109</v>
      </c>
      <c r="G429" s="25">
        <v>869.03</v>
      </c>
      <c r="H429" s="379">
        <v>138.88888888888889</v>
      </c>
      <c r="I429" s="25">
        <v>869.03</v>
      </c>
      <c r="J429" s="379">
        <v>15.743597313718034</v>
      </c>
    </row>
    <row r="430" spans="1:10" x14ac:dyDescent="0.35">
      <c r="A430" s="5">
        <v>426</v>
      </c>
      <c r="B430" s="5">
        <v>18</v>
      </c>
      <c r="C430" s="5">
        <v>1</v>
      </c>
      <c r="D430" s="379">
        <v>63.525495662457175</v>
      </c>
      <c r="E430" s="25">
        <v>869.03</v>
      </c>
      <c r="F430" s="379">
        <v>138.88888888888889</v>
      </c>
      <c r="G430" s="25">
        <v>869.03</v>
      </c>
      <c r="H430" s="379">
        <v>138.88888888888889</v>
      </c>
      <c r="I430" s="25">
        <v>869.03</v>
      </c>
      <c r="J430" s="379">
        <v>18.409014377648663</v>
      </c>
    </row>
    <row r="431" spans="1:10" x14ac:dyDescent="0.35">
      <c r="A431" s="5">
        <v>427</v>
      </c>
      <c r="B431" s="5">
        <v>18</v>
      </c>
      <c r="C431" s="5">
        <v>1</v>
      </c>
      <c r="D431" s="379">
        <v>76.774999999999991</v>
      </c>
      <c r="E431" s="25">
        <v>869.03</v>
      </c>
      <c r="F431" s="379">
        <v>138.88888888888889</v>
      </c>
      <c r="G431" s="25">
        <v>869.03</v>
      </c>
      <c r="H431" s="379">
        <v>138.88888888888889</v>
      </c>
      <c r="I431" s="25">
        <v>869.03</v>
      </c>
      <c r="J431" s="379">
        <v>18.493050620302299</v>
      </c>
    </row>
    <row r="432" spans="1:10" x14ac:dyDescent="0.35">
      <c r="A432" s="5">
        <v>428</v>
      </c>
      <c r="B432" s="5">
        <v>18</v>
      </c>
      <c r="C432" s="5">
        <v>1</v>
      </c>
      <c r="D432" s="379">
        <v>65.863888888888894</v>
      </c>
      <c r="E432" s="25">
        <v>39.81</v>
      </c>
      <c r="F432" s="379">
        <v>26.299532973862238</v>
      </c>
      <c r="G432" s="25">
        <v>869.03</v>
      </c>
      <c r="H432" s="379">
        <v>138.88888888888889</v>
      </c>
      <c r="I432" s="25">
        <v>869.03</v>
      </c>
      <c r="J432" s="379">
        <v>18.493030148414029</v>
      </c>
    </row>
    <row r="433" spans="1:10" x14ac:dyDescent="0.35">
      <c r="A433" s="5">
        <v>429</v>
      </c>
      <c r="B433" s="5">
        <v>18</v>
      </c>
      <c r="C433" s="5">
        <v>1</v>
      </c>
      <c r="D433" s="379">
        <v>61.208333333333329</v>
      </c>
      <c r="E433" s="25">
        <v>38.200000000000003</v>
      </c>
      <c r="F433" s="379">
        <v>28.363644341650186</v>
      </c>
      <c r="G433" s="25">
        <v>869.03</v>
      </c>
      <c r="H433" s="379">
        <v>138.88888888888889</v>
      </c>
      <c r="I433" s="25">
        <v>869.03</v>
      </c>
      <c r="J433" s="379">
        <v>17.67309433072316</v>
      </c>
    </row>
    <row r="434" spans="1:10" x14ac:dyDescent="0.35">
      <c r="A434" s="5">
        <v>430</v>
      </c>
      <c r="B434" s="5">
        <v>18</v>
      </c>
      <c r="C434" s="5">
        <v>1</v>
      </c>
      <c r="D434" s="379">
        <v>59.258333333333333</v>
      </c>
      <c r="E434" s="25">
        <v>37.090000000000003</v>
      </c>
      <c r="F434" s="379">
        <v>28.955158988954654</v>
      </c>
      <c r="G434" s="25">
        <v>843.72</v>
      </c>
      <c r="H434" s="379">
        <v>138.88888888888889</v>
      </c>
      <c r="I434" s="25">
        <v>869.03</v>
      </c>
      <c r="J434" s="379">
        <v>17.67311480261143</v>
      </c>
    </row>
    <row r="435" spans="1:10" x14ac:dyDescent="0.35">
      <c r="A435" s="5">
        <v>431</v>
      </c>
      <c r="B435" s="5">
        <v>18</v>
      </c>
      <c r="C435" s="5">
        <v>1</v>
      </c>
      <c r="D435" s="379">
        <v>52.855555555555554</v>
      </c>
      <c r="E435" s="25">
        <v>37.090000000000003</v>
      </c>
      <c r="F435" s="379">
        <v>22.097507969556521</v>
      </c>
      <c r="G435" s="25">
        <v>843.72</v>
      </c>
      <c r="H435" s="379">
        <v>138.88888888888889</v>
      </c>
      <c r="I435" s="25">
        <v>869.03</v>
      </c>
      <c r="J435" s="379">
        <v>18.286369273652966</v>
      </c>
    </row>
    <row r="436" spans="1:10" x14ac:dyDescent="0.35">
      <c r="A436" s="5">
        <v>432</v>
      </c>
      <c r="B436" s="5">
        <v>18</v>
      </c>
      <c r="C436" s="5">
        <v>1</v>
      </c>
      <c r="D436" s="379">
        <v>41</v>
      </c>
      <c r="E436" s="25">
        <v>36.64</v>
      </c>
      <c r="F436" s="379">
        <v>22.351286770769658</v>
      </c>
      <c r="G436" s="25">
        <v>869.03</v>
      </c>
      <c r="H436" s="379">
        <v>138.88888888888889</v>
      </c>
      <c r="I436" s="25">
        <v>869.03</v>
      </c>
      <c r="J436" s="379">
        <v>15.945304451990921</v>
      </c>
    </row>
    <row r="437" spans="1:10" x14ac:dyDescent="0.35">
      <c r="A437" s="5">
        <v>433</v>
      </c>
      <c r="B437" s="5">
        <v>19</v>
      </c>
      <c r="C437" s="5">
        <v>1</v>
      </c>
      <c r="D437" s="379">
        <v>52.849999999999994</v>
      </c>
      <c r="E437" s="25">
        <v>33.58</v>
      </c>
      <c r="F437" s="379">
        <v>22.442909978524185</v>
      </c>
      <c r="G437" s="25">
        <v>843.72</v>
      </c>
      <c r="H437" s="379">
        <v>138.88888888888889</v>
      </c>
      <c r="I437" s="25">
        <v>869.03</v>
      </c>
      <c r="J437" s="379">
        <v>15.945324923879191</v>
      </c>
    </row>
    <row r="438" spans="1:10" x14ac:dyDescent="0.35">
      <c r="A438" s="5">
        <v>434</v>
      </c>
      <c r="B438" s="5">
        <v>19</v>
      </c>
      <c r="C438" s="5">
        <v>1</v>
      </c>
      <c r="D438" s="379">
        <v>39.924444444444447</v>
      </c>
      <c r="E438" s="25">
        <v>33.58</v>
      </c>
      <c r="F438" s="379">
        <v>22.442909978524185</v>
      </c>
      <c r="G438" s="25">
        <v>843.72</v>
      </c>
      <c r="H438" s="379">
        <v>138.88888888888889</v>
      </c>
      <c r="I438" s="25">
        <v>869.03</v>
      </c>
      <c r="J438" s="379">
        <v>15.95507735156173</v>
      </c>
    </row>
    <row r="439" spans="1:10" x14ac:dyDescent="0.35">
      <c r="A439" s="5">
        <v>435</v>
      </c>
      <c r="B439" s="5">
        <v>19</v>
      </c>
      <c r="C439" s="5">
        <v>1</v>
      </c>
      <c r="D439" s="379">
        <v>38.397222222222219</v>
      </c>
      <c r="E439" s="25">
        <v>32.79</v>
      </c>
      <c r="F439" s="379">
        <v>22.442909978524185</v>
      </c>
      <c r="G439" s="25">
        <v>760.84</v>
      </c>
      <c r="H439" s="379">
        <v>138.88888888888889</v>
      </c>
      <c r="I439" s="25">
        <v>869.03</v>
      </c>
      <c r="J439" s="379">
        <v>15.95507735156173</v>
      </c>
    </row>
    <row r="440" spans="1:10" x14ac:dyDescent="0.35">
      <c r="A440" s="5">
        <v>436</v>
      </c>
      <c r="B440" s="5">
        <v>19</v>
      </c>
      <c r="C440" s="5">
        <v>1</v>
      </c>
      <c r="D440" s="379">
        <v>46.449999999999996</v>
      </c>
      <c r="E440" s="25">
        <v>32.79</v>
      </c>
      <c r="F440" s="379">
        <v>22.442909978524185</v>
      </c>
      <c r="G440" s="25">
        <v>738.68</v>
      </c>
      <c r="H440" s="379">
        <v>138.88888888888889</v>
      </c>
      <c r="I440" s="25">
        <v>869.03</v>
      </c>
      <c r="J440" s="379">
        <v>16.656932642615828</v>
      </c>
    </row>
    <row r="441" spans="1:10" x14ac:dyDescent="0.35">
      <c r="A441" s="5">
        <v>437</v>
      </c>
      <c r="B441" s="5">
        <v>19</v>
      </c>
      <c r="C441" s="5">
        <v>1</v>
      </c>
      <c r="D441" s="379">
        <v>47.87222222222222</v>
      </c>
      <c r="E441" s="25">
        <v>33.58</v>
      </c>
      <c r="F441" s="379">
        <v>22.442909978524185</v>
      </c>
      <c r="G441" s="25">
        <v>738.68</v>
      </c>
      <c r="H441" s="379">
        <v>138.88888888888889</v>
      </c>
      <c r="I441" s="25">
        <v>860.34</v>
      </c>
      <c r="J441" s="379">
        <v>16.661957028582876</v>
      </c>
    </row>
    <row r="442" spans="1:10" x14ac:dyDescent="0.35">
      <c r="A442" s="5">
        <v>438</v>
      </c>
      <c r="B442" s="5">
        <v>19</v>
      </c>
      <c r="C442" s="5">
        <v>1</v>
      </c>
      <c r="D442" s="379">
        <v>38.054134182446582</v>
      </c>
      <c r="E442" s="25">
        <v>33.58</v>
      </c>
      <c r="F442" s="379">
        <v>24.552393928529675</v>
      </c>
      <c r="G442" s="25">
        <v>843.72</v>
      </c>
      <c r="H442" s="379">
        <v>138.88888888888889</v>
      </c>
      <c r="I442" s="25">
        <v>869.03</v>
      </c>
      <c r="J442" s="379">
        <v>19.443364482939401</v>
      </c>
    </row>
    <row r="443" spans="1:10" x14ac:dyDescent="0.35">
      <c r="A443" s="5">
        <v>439</v>
      </c>
      <c r="B443" s="5">
        <v>19</v>
      </c>
      <c r="C443" s="5">
        <v>1</v>
      </c>
      <c r="D443" s="379">
        <v>7.0944444444444441</v>
      </c>
      <c r="E443" s="25">
        <v>869.03</v>
      </c>
      <c r="F443" s="379">
        <v>21.502602317523486</v>
      </c>
      <c r="G443" s="25">
        <v>869.03</v>
      </c>
      <c r="H443" s="379">
        <v>138.88888888888889</v>
      </c>
      <c r="I443" s="25">
        <v>869.03</v>
      </c>
      <c r="J443" s="379">
        <v>19.44703712468247</v>
      </c>
    </row>
    <row r="444" spans="1:10" x14ac:dyDescent="0.35">
      <c r="A444" s="5">
        <v>440</v>
      </c>
      <c r="B444" s="5">
        <v>19</v>
      </c>
      <c r="C444" s="5">
        <v>1</v>
      </c>
      <c r="D444" s="379">
        <v>35.658116923522179</v>
      </c>
      <c r="E444" s="25">
        <v>869.03</v>
      </c>
      <c r="F444" s="379">
        <v>29.327437471891113</v>
      </c>
      <c r="G444" s="25">
        <v>869.03</v>
      </c>
      <c r="H444" s="379">
        <v>138.88888888888889</v>
      </c>
      <c r="I444" s="25">
        <v>869.03</v>
      </c>
      <c r="J444" s="379">
        <v>22.473338074468266</v>
      </c>
    </row>
    <row r="445" spans="1:10" x14ac:dyDescent="0.35">
      <c r="A445" s="5">
        <v>441</v>
      </c>
      <c r="B445" s="5">
        <v>19</v>
      </c>
      <c r="C445" s="5">
        <v>1</v>
      </c>
      <c r="D445" s="379">
        <v>24.877777777777776</v>
      </c>
      <c r="E445" s="25">
        <v>869.03</v>
      </c>
      <c r="F445" s="379">
        <v>29.034249952899692</v>
      </c>
      <c r="G445" s="25">
        <v>869.03</v>
      </c>
      <c r="H445" s="379">
        <v>138.88888888888889</v>
      </c>
      <c r="I445" s="25">
        <v>869.03</v>
      </c>
      <c r="J445" s="379">
        <v>25.033834129420285</v>
      </c>
    </row>
    <row r="446" spans="1:10" x14ac:dyDescent="0.35">
      <c r="A446" s="5">
        <v>442</v>
      </c>
      <c r="B446" s="5">
        <v>19</v>
      </c>
      <c r="C446" s="5">
        <v>1</v>
      </c>
      <c r="D446" s="379">
        <v>59.445426714812626</v>
      </c>
      <c r="E446" s="25">
        <v>869.03</v>
      </c>
      <c r="F446" s="379">
        <v>32.424385904277919</v>
      </c>
      <c r="G446" s="25">
        <v>869.03</v>
      </c>
      <c r="H446" s="379">
        <v>138.88888888888889</v>
      </c>
      <c r="I446" s="25">
        <v>869.03</v>
      </c>
      <c r="J446" s="379">
        <v>25.16370932681555</v>
      </c>
    </row>
    <row r="447" spans="1:10" x14ac:dyDescent="0.35">
      <c r="A447" s="5">
        <v>443</v>
      </c>
      <c r="B447" s="5">
        <v>19</v>
      </c>
      <c r="C447" s="5">
        <v>1</v>
      </c>
      <c r="D447" s="379">
        <v>54.724428768011926</v>
      </c>
      <c r="E447" s="25">
        <v>869.03</v>
      </c>
      <c r="F447" s="379">
        <v>26.885995422130698</v>
      </c>
      <c r="G447" s="25">
        <v>869.03</v>
      </c>
      <c r="H447" s="379">
        <v>138.88888888888889</v>
      </c>
      <c r="I447" s="25">
        <v>869.03</v>
      </c>
      <c r="J447" s="379">
        <v>24.904006166041313</v>
      </c>
    </row>
    <row r="448" spans="1:10" x14ac:dyDescent="0.35">
      <c r="A448" s="5">
        <v>444</v>
      </c>
      <c r="B448" s="5">
        <v>19</v>
      </c>
      <c r="C448" s="5">
        <v>1</v>
      </c>
      <c r="D448" s="379">
        <v>18.483333333333334</v>
      </c>
      <c r="E448" s="25">
        <v>869.03</v>
      </c>
      <c r="F448" s="379">
        <v>26.945432849571453</v>
      </c>
      <c r="G448" s="25">
        <v>869.03</v>
      </c>
      <c r="H448" s="379">
        <v>138.88888888888889</v>
      </c>
      <c r="I448" s="25">
        <v>869.03</v>
      </c>
      <c r="J448" s="379">
        <v>23.428461505979033</v>
      </c>
    </row>
    <row r="449" spans="1:10" x14ac:dyDescent="0.35">
      <c r="A449" s="5">
        <v>445</v>
      </c>
      <c r="B449" s="5">
        <v>19</v>
      </c>
      <c r="C449" s="5">
        <v>1</v>
      </c>
      <c r="D449" s="379">
        <v>28.89653520195165</v>
      </c>
      <c r="E449" s="25">
        <v>869.03</v>
      </c>
      <c r="F449" s="379">
        <v>26.781443179971255</v>
      </c>
      <c r="G449" s="25">
        <v>869.03</v>
      </c>
      <c r="H449" s="379">
        <v>138.88888888888889</v>
      </c>
      <c r="I449" s="25">
        <v>869.03</v>
      </c>
      <c r="J449" s="379">
        <v>22.956609823440107</v>
      </c>
    </row>
    <row r="450" spans="1:10" x14ac:dyDescent="0.35">
      <c r="A450" s="5">
        <v>446</v>
      </c>
      <c r="B450" s="5">
        <v>19</v>
      </c>
      <c r="C450" s="5">
        <v>1</v>
      </c>
      <c r="D450" s="379">
        <v>19.786943970174612</v>
      </c>
      <c r="E450" s="25">
        <v>869.03</v>
      </c>
      <c r="F450" s="379">
        <v>26.693308280508596</v>
      </c>
      <c r="G450" s="25">
        <v>869.03</v>
      </c>
      <c r="H450" s="379">
        <v>138.88888888888889</v>
      </c>
      <c r="I450" s="25">
        <v>869.03</v>
      </c>
      <c r="J450" s="379">
        <v>21.123544753831155</v>
      </c>
    </row>
    <row r="451" spans="1:10" x14ac:dyDescent="0.35">
      <c r="A451" s="5">
        <v>447</v>
      </c>
      <c r="B451" s="5">
        <v>19</v>
      </c>
      <c r="C451" s="5">
        <v>1</v>
      </c>
      <c r="D451" s="379">
        <v>9.5461019977930395</v>
      </c>
      <c r="E451" s="25">
        <v>869.03</v>
      </c>
      <c r="F451" s="379">
        <v>26.945432849571453</v>
      </c>
      <c r="G451" s="25">
        <v>869.03</v>
      </c>
      <c r="H451" s="379">
        <v>138.88888888888889</v>
      </c>
      <c r="I451" s="25">
        <v>869.03</v>
      </c>
      <c r="J451" s="379">
        <v>22.562090436956865</v>
      </c>
    </row>
    <row r="452" spans="1:10" x14ac:dyDescent="0.35">
      <c r="A452" s="5">
        <v>448</v>
      </c>
      <c r="B452" s="5">
        <v>19</v>
      </c>
      <c r="C452" s="5">
        <v>1</v>
      </c>
      <c r="D452" s="379">
        <v>33.459868449505983</v>
      </c>
      <c r="E452" s="25">
        <v>869.03</v>
      </c>
      <c r="F452" s="379">
        <v>26.947518187064961</v>
      </c>
      <c r="G452" s="25">
        <v>869.03</v>
      </c>
      <c r="H452" s="379">
        <v>138.88888888888889</v>
      </c>
      <c r="I452" s="25">
        <v>869.03</v>
      </c>
      <c r="J452" s="379">
        <v>25.400502696940926</v>
      </c>
    </row>
    <row r="453" spans="1:10" x14ac:dyDescent="0.35">
      <c r="A453" s="5">
        <v>449</v>
      </c>
      <c r="B453" s="5">
        <v>19</v>
      </c>
      <c r="C453" s="5">
        <v>1</v>
      </c>
      <c r="D453" s="379">
        <v>26.601325106906231</v>
      </c>
      <c r="E453" s="25">
        <v>869.03</v>
      </c>
      <c r="F453" s="379">
        <v>138.88888888888889</v>
      </c>
      <c r="G453" s="25">
        <v>869.03</v>
      </c>
      <c r="H453" s="379">
        <v>138.88888888888889</v>
      </c>
      <c r="I453" s="25">
        <v>869.03</v>
      </c>
      <c r="J453" s="379">
        <v>25.400502696940929</v>
      </c>
    </row>
    <row r="454" spans="1:10" x14ac:dyDescent="0.35">
      <c r="A454" s="5">
        <v>450</v>
      </c>
      <c r="B454" s="5">
        <v>19</v>
      </c>
      <c r="C454" s="5">
        <v>1</v>
      </c>
      <c r="D454" s="379">
        <v>49.919143425080058</v>
      </c>
      <c r="E454" s="25">
        <v>869.03</v>
      </c>
      <c r="F454" s="379">
        <v>138.88888888888889</v>
      </c>
      <c r="G454" s="25">
        <v>869.03</v>
      </c>
      <c r="H454" s="379">
        <v>138.88888888888889</v>
      </c>
      <c r="I454" s="25">
        <v>869.03</v>
      </c>
      <c r="J454" s="379">
        <v>25.400502696940926</v>
      </c>
    </row>
    <row r="455" spans="1:10" x14ac:dyDescent="0.35">
      <c r="A455" s="5">
        <v>451</v>
      </c>
      <c r="B455" s="5">
        <v>19</v>
      </c>
      <c r="C455" s="5">
        <v>1</v>
      </c>
      <c r="D455" s="379">
        <v>10.1</v>
      </c>
      <c r="E455" s="25">
        <v>869.03</v>
      </c>
      <c r="F455" s="379">
        <v>138.88888888888889</v>
      </c>
      <c r="G455" s="25">
        <v>869.03</v>
      </c>
      <c r="H455" s="379">
        <v>138.88888888888889</v>
      </c>
      <c r="I455" s="25">
        <v>869.03</v>
      </c>
      <c r="J455" s="379">
        <v>25.400502696940926</v>
      </c>
    </row>
    <row r="456" spans="1:10" x14ac:dyDescent="0.35">
      <c r="A456" s="5">
        <v>452</v>
      </c>
      <c r="B456" s="5">
        <v>19</v>
      </c>
      <c r="C456" s="5">
        <v>1</v>
      </c>
      <c r="D456" s="379">
        <v>28.309558838338067</v>
      </c>
      <c r="E456" s="25">
        <v>869.03</v>
      </c>
      <c r="F456" s="379">
        <v>138.88888888888889</v>
      </c>
      <c r="G456" s="25">
        <v>869.03</v>
      </c>
      <c r="H456" s="379">
        <v>138.88888888888889</v>
      </c>
      <c r="I456" s="25">
        <v>869.03</v>
      </c>
      <c r="J456" s="379">
        <v>25.400502696940926</v>
      </c>
    </row>
    <row r="457" spans="1:10" x14ac:dyDescent="0.35">
      <c r="A457" s="5">
        <v>453</v>
      </c>
      <c r="B457" s="5">
        <v>19</v>
      </c>
      <c r="C457" s="5">
        <v>1</v>
      </c>
      <c r="D457" s="379">
        <v>25.853515197259892</v>
      </c>
      <c r="E457" s="25">
        <v>869.03</v>
      </c>
      <c r="F457" s="379">
        <v>138.88888888888889</v>
      </c>
      <c r="G457" s="25">
        <v>869.03</v>
      </c>
      <c r="H457" s="379">
        <v>138.88888888888889</v>
      </c>
      <c r="I457" s="25">
        <v>869.03</v>
      </c>
      <c r="J457" s="379">
        <v>25.400502696940926</v>
      </c>
    </row>
    <row r="458" spans="1:10" x14ac:dyDescent="0.35">
      <c r="A458" s="5">
        <v>454</v>
      </c>
      <c r="B458" s="5">
        <v>19</v>
      </c>
      <c r="C458" s="5">
        <v>1</v>
      </c>
      <c r="D458" s="379">
        <v>30.516189316899478</v>
      </c>
      <c r="E458" s="25">
        <v>38.200000000000003</v>
      </c>
      <c r="F458" s="379">
        <v>33.932340170020851</v>
      </c>
      <c r="G458" s="25">
        <v>869.03</v>
      </c>
      <c r="H458" s="379">
        <v>138.88888888888889</v>
      </c>
      <c r="I458" s="25">
        <v>869.03</v>
      </c>
      <c r="J458" s="379">
        <v>25.400502696940926</v>
      </c>
    </row>
    <row r="459" spans="1:10" x14ac:dyDescent="0.35">
      <c r="A459" s="5">
        <v>455</v>
      </c>
      <c r="B459" s="5">
        <v>19</v>
      </c>
      <c r="C459" s="5">
        <v>1</v>
      </c>
      <c r="D459" s="379">
        <v>39.490970347699438</v>
      </c>
      <c r="E459" s="25">
        <v>37.090000000000003</v>
      </c>
      <c r="F459" s="379">
        <v>32.515170180682865</v>
      </c>
      <c r="G459" s="25">
        <v>869.03</v>
      </c>
      <c r="H459" s="379">
        <v>138.88888888888889</v>
      </c>
      <c r="I459" s="25">
        <v>869.03</v>
      </c>
      <c r="J459" s="379">
        <v>22.449698111628489</v>
      </c>
    </row>
    <row r="460" spans="1:10" x14ac:dyDescent="0.35">
      <c r="A460" s="5">
        <v>456</v>
      </c>
      <c r="B460" s="5">
        <v>19</v>
      </c>
      <c r="C460" s="5">
        <v>1</v>
      </c>
      <c r="D460" s="379">
        <v>57.944444444444443</v>
      </c>
      <c r="E460" s="25">
        <v>37.090000000000003</v>
      </c>
      <c r="F460" s="379">
        <v>25.678755935244748</v>
      </c>
      <c r="G460" s="25">
        <v>869.03</v>
      </c>
      <c r="H460" s="379">
        <v>138.88888888888889</v>
      </c>
      <c r="I460" s="25">
        <v>869.03</v>
      </c>
      <c r="J460" s="379">
        <v>17.6636827988923</v>
      </c>
    </row>
    <row r="461" spans="1:10" x14ac:dyDescent="0.35">
      <c r="A461" s="5">
        <v>457</v>
      </c>
      <c r="B461" s="5">
        <v>20</v>
      </c>
      <c r="C461" s="5">
        <v>1</v>
      </c>
      <c r="D461" s="379">
        <v>30.347687523369004</v>
      </c>
      <c r="E461" s="25">
        <v>37.090000000000003</v>
      </c>
      <c r="F461" s="379">
        <v>22.130761263132761</v>
      </c>
      <c r="G461" s="25">
        <v>860.34</v>
      </c>
      <c r="H461" s="379">
        <v>138.88888888888889</v>
      </c>
      <c r="I461" s="25">
        <v>869.03</v>
      </c>
      <c r="J461" s="379">
        <v>16.552160862754548</v>
      </c>
    </row>
    <row r="462" spans="1:10" x14ac:dyDescent="0.35">
      <c r="A462" s="5">
        <v>458</v>
      </c>
      <c r="B462" s="5">
        <v>20</v>
      </c>
      <c r="C462" s="5">
        <v>1</v>
      </c>
      <c r="D462" s="379">
        <v>16.593916735252531</v>
      </c>
      <c r="E462" s="25">
        <v>37.090000000000003</v>
      </c>
      <c r="F462" s="379">
        <v>21.965453521506664</v>
      </c>
      <c r="G462" s="25">
        <v>843.72</v>
      </c>
      <c r="H462" s="379">
        <v>138.88888888888889</v>
      </c>
      <c r="I462" s="25">
        <v>869.03</v>
      </c>
      <c r="J462" s="379">
        <v>16.552160862754548</v>
      </c>
    </row>
    <row r="463" spans="1:10" x14ac:dyDescent="0.35">
      <c r="A463" s="5">
        <v>459</v>
      </c>
      <c r="B463" s="5">
        <v>20</v>
      </c>
      <c r="C463" s="5">
        <v>1</v>
      </c>
      <c r="D463" s="379">
        <v>27.954812860322882</v>
      </c>
      <c r="E463" s="25">
        <v>36.94</v>
      </c>
      <c r="F463" s="379">
        <v>21.965453521506664</v>
      </c>
      <c r="G463" s="25">
        <v>760.84</v>
      </c>
      <c r="H463" s="379">
        <v>138.88888888888889</v>
      </c>
      <c r="I463" s="25">
        <v>869.03</v>
      </c>
      <c r="J463" s="379">
        <v>16.515761453454456</v>
      </c>
    </row>
    <row r="464" spans="1:10" x14ac:dyDescent="0.35">
      <c r="A464" s="5">
        <v>460</v>
      </c>
      <c r="B464" s="5">
        <v>20</v>
      </c>
      <c r="C464" s="5">
        <v>1</v>
      </c>
      <c r="D464" s="379">
        <v>48.305555555555557</v>
      </c>
      <c r="E464" s="25">
        <v>36.94</v>
      </c>
      <c r="F464" s="379">
        <v>21.965453521506664</v>
      </c>
      <c r="G464" s="25">
        <v>760.84</v>
      </c>
      <c r="H464" s="379">
        <v>138.88888888888889</v>
      </c>
      <c r="I464" s="25">
        <v>869.03</v>
      </c>
      <c r="J464" s="379">
        <v>16.515761453454456</v>
      </c>
    </row>
    <row r="465" spans="1:10" x14ac:dyDescent="0.35">
      <c r="A465" s="5">
        <v>461</v>
      </c>
      <c r="B465" s="5">
        <v>20</v>
      </c>
      <c r="C465" s="5">
        <v>1</v>
      </c>
      <c r="D465" s="379">
        <v>32.124444444444443</v>
      </c>
      <c r="E465" s="25">
        <v>36.94</v>
      </c>
      <c r="F465" s="379">
        <v>21.96545352150666</v>
      </c>
      <c r="G465" s="25">
        <v>738.68</v>
      </c>
      <c r="H465" s="379">
        <v>138.88888888888889</v>
      </c>
      <c r="I465" s="25">
        <v>869.03</v>
      </c>
      <c r="J465" s="379">
        <v>16.515761453454456</v>
      </c>
    </row>
    <row r="466" spans="1:10" x14ac:dyDescent="0.35">
      <c r="A466" s="5">
        <v>462</v>
      </c>
      <c r="B466" s="5">
        <v>20</v>
      </c>
      <c r="C466" s="5">
        <v>1</v>
      </c>
      <c r="D466" s="379">
        <v>39.306085000959378</v>
      </c>
      <c r="E466" s="25">
        <v>36.94</v>
      </c>
      <c r="F466" s="379">
        <v>21.96545352150666</v>
      </c>
      <c r="G466" s="25">
        <v>860.34</v>
      </c>
      <c r="H466" s="379">
        <v>138.88888888888889</v>
      </c>
      <c r="I466" s="25">
        <v>869.03</v>
      </c>
      <c r="J466" s="379">
        <v>16.515761453454456</v>
      </c>
    </row>
    <row r="467" spans="1:10" x14ac:dyDescent="0.35">
      <c r="A467" s="5">
        <v>463</v>
      </c>
      <c r="B467" s="5">
        <v>20</v>
      </c>
      <c r="C467" s="5">
        <v>1</v>
      </c>
      <c r="D467" s="379">
        <v>36.263888888888893</v>
      </c>
      <c r="E467" s="25">
        <v>869.03</v>
      </c>
      <c r="F467" s="379">
        <v>20.940368207974647</v>
      </c>
      <c r="G467" s="25">
        <v>869.03</v>
      </c>
      <c r="H467" s="379">
        <v>138.88888888888889</v>
      </c>
      <c r="I467" s="25">
        <v>869.03</v>
      </c>
      <c r="J467" s="379">
        <v>16.515761453454456</v>
      </c>
    </row>
    <row r="468" spans="1:10" x14ac:dyDescent="0.35">
      <c r="A468" s="5">
        <v>464</v>
      </c>
      <c r="B468" s="5">
        <v>20</v>
      </c>
      <c r="C468" s="5">
        <v>1</v>
      </c>
      <c r="D468" s="379">
        <v>19.693888376279453</v>
      </c>
      <c r="E468" s="25">
        <v>869.03</v>
      </c>
      <c r="F468" s="379">
        <v>22.13055306473828</v>
      </c>
      <c r="G468" s="25">
        <v>869.03</v>
      </c>
      <c r="H468" s="379">
        <v>138.88888888888889</v>
      </c>
      <c r="I468" s="25">
        <v>869.03</v>
      </c>
      <c r="J468" s="379">
        <v>17.042024652264828</v>
      </c>
    </row>
    <row r="469" spans="1:10" x14ac:dyDescent="0.35">
      <c r="A469" s="5">
        <v>465</v>
      </c>
      <c r="B469" s="5">
        <v>20</v>
      </c>
      <c r="C469" s="5">
        <v>1</v>
      </c>
      <c r="D469" s="379">
        <v>25.494444444444444</v>
      </c>
      <c r="E469" s="25">
        <v>869.03</v>
      </c>
      <c r="F469" s="379">
        <v>20.67616619760808</v>
      </c>
      <c r="G469" s="25">
        <v>869.03</v>
      </c>
      <c r="H469" s="379">
        <v>138.88888888888889</v>
      </c>
      <c r="I469" s="25">
        <v>869.03</v>
      </c>
      <c r="J469" s="379">
        <v>17.019580023665313</v>
      </c>
    </row>
    <row r="470" spans="1:10" x14ac:dyDescent="0.35">
      <c r="A470" s="5">
        <v>466</v>
      </c>
      <c r="B470" s="5">
        <v>20</v>
      </c>
      <c r="C470" s="5">
        <v>1</v>
      </c>
      <c r="D470" s="379">
        <v>23.880555555555556</v>
      </c>
      <c r="E470" s="25">
        <v>869.03</v>
      </c>
      <c r="F470" s="379">
        <v>20.413323760416556</v>
      </c>
      <c r="G470" s="25">
        <v>869.03</v>
      </c>
      <c r="H470" s="379">
        <v>138.88888888888889</v>
      </c>
      <c r="I470" s="25">
        <v>869.03</v>
      </c>
      <c r="J470" s="379">
        <v>16.95880518955704</v>
      </c>
    </row>
    <row r="471" spans="1:10" x14ac:dyDescent="0.35">
      <c r="A471" s="5">
        <v>467</v>
      </c>
      <c r="B471" s="5">
        <v>20</v>
      </c>
      <c r="C471" s="5">
        <v>1</v>
      </c>
      <c r="D471" s="379">
        <v>47.696683537906047</v>
      </c>
      <c r="E471" s="25">
        <v>869.03</v>
      </c>
      <c r="F471" s="379">
        <v>21.660286904054214</v>
      </c>
      <c r="G471" s="25">
        <v>869.03</v>
      </c>
      <c r="H471" s="379">
        <v>138.88888888888889</v>
      </c>
      <c r="I471" s="25">
        <v>869.03</v>
      </c>
      <c r="J471" s="379">
        <v>13.875982377454793</v>
      </c>
    </row>
    <row r="472" spans="1:10" x14ac:dyDescent="0.35">
      <c r="A472" s="5">
        <v>468</v>
      </c>
      <c r="B472" s="5">
        <v>20</v>
      </c>
      <c r="C472" s="5">
        <v>1</v>
      </c>
      <c r="D472" s="379">
        <v>19.202777777777776</v>
      </c>
      <c r="E472" s="25">
        <v>869.03</v>
      </c>
      <c r="F472" s="379">
        <v>20.625309023022687</v>
      </c>
      <c r="G472" s="25">
        <v>869.03</v>
      </c>
      <c r="H472" s="379">
        <v>28.994875743713322</v>
      </c>
      <c r="I472" s="25">
        <v>869.03</v>
      </c>
      <c r="J472" s="379">
        <v>14.498942150277367</v>
      </c>
    </row>
    <row r="473" spans="1:10" x14ac:dyDescent="0.35">
      <c r="A473" s="5">
        <v>469</v>
      </c>
      <c r="B473" s="5">
        <v>20</v>
      </c>
      <c r="C473" s="5">
        <v>1</v>
      </c>
      <c r="D473" s="379">
        <v>36.862362746041427</v>
      </c>
      <c r="E473" s="25">
        <v>869.03</v>
      </c>
      <c r="F473" s="379">
        <v>15.320177739107958</v>
      </c>
      <c r="G473" s="25">
        <v>869.03</v>
      </c>
      <c r="H473" s="379">
        <v>13.071325066314827</v>
      </c>
      <c r="I473" s="25">
        <v>869.03</v>
      </c>
      <c r="J473" s="379">
        <v>8.8672522950792096</v>
      </c>
    </row>
    <row r="474" spans="1:10" x14ac:dyDescent="0.35">
      <c r="A474" s="5">
        <v>470</v>
      </c>
      <c r="B474" s="5">
        <v>20</v>
      </c>
      <c r="C474" s="5">
        <v>1</v>
      </c>
      <c r="D474" s="379">
        <v>21.263888888888889</v>
      </c>
      <c r="E474" s="25">
        <v>760.84</v>
      </c>
      <c r="F474" s="379">
        <v>21.965453521506664</v>
      </c>
      <c r="G474" s="25">
        <v>869.03</v>
      </c>
      <c r="H474" s="379">
        <v>138.88888888888889</v>
      </c>
      <c r="I474" s="25">
        <v>869.03</v>
      </c>
      <c r="J474" s="379">
        <v>11.557586011964208</v>
      </c>
    </row>
    <row r="475" spans="1:10" x14ac:dyDescent="0.35">
      <c r="A475" s="5">
        <v>471</v>
      </c>
      <c r="B475" s="5">
        <v>20</v>
      </c>
      <c r="C475" s="5">
        <v>1</v>
      </c>
      <c r="D475" s="379">
        <v>20.480555555555558</v>
      </c>
      <c r="E475" s="25">
        <v>760.84</v>
      </c>
      <c r="F475" s="379">
        <v>21.965453521506664</v>
      </c>
      <c r="G475" s="25">
        <v>869.03</v>
      </c>
      <c r="H475" s="379">
        <v>138.88888888888889</v>
      </c>
      <c r="I475" s="25">
        <v>869.03</v>
      </c>
      <c r="J475" s="379">
        <v>12.509827889497656</v>
      </c>
    </row>
    <row r="476" spans="1:10" x14ac:dyDescent="0.35">
      <c r="A476" s="5">
        <v>472</v>
      </c>
      <c r="B476" s="5">
        <v>20</v>
      </c>
      <c r="C476" s="5">
        <v>1</v>
      </c>
      <c r="D476" s="379">
        <v>33.089173949656335</v>
      </c>
      <c r="E476" s="25">
        <v>869.03</v>
      </c>
      <c r="F476" s="379">
        <v>21.965453521506664</v>
      </c>
      <c r="G476" s="25">
        <v>869.03</v>
      </c>
      <c r="H476" s="379">
        <v>138.88888888888889</v>
      </c>
      <c r="I476" s="25">
        <v>869.03</v>
      </c>
      <c r="J476" s="379">
        <v>15.698704708914583</v>
      </c>
    </row>
    <row r="477" spans="1:10" x14ac:dyDescent="0.35">
      <c r="A477" s="5">
        <v>473</v>
      </c>
      <c r="B477" s="5">
        <v>20</v>
      </c>
      <c r="C477" s="5">
        <v>1</v>
      </c>
      <c r="D477" s="379">
        <v>42.341165784189208</v>
      </c>
      <c r="E477" s="25">
        <v>869.03</v>
      </c>
      <c r="F477" s="379">
        <v>24.872265225160888</v>
      </c>
      <c r="G477" s="25">
        <v>869.03</v>
      </c>
      <c r="H477" s="379">
        <v>138.88888888888889</v>
      </c>
      <c r="I477" s="25">
        <v>869.03</v>
      </c>
      <c r="J477" s="379">
        <v>14.745783408520483</v>
      </c>
    </row>
    <row r="478" spans="1:10" x14ac:dyDescent="0.35">
      <c r="A478" s="5">
        <v>474</v>
      </c>
      <c r="B478" s="5">
        <v>20</v>
      </c>
      <c r="C478" s="5">
        <v>1</v>
      </c>
      <c r="D478" s="379">
        <v>62.047653827780593</v>
      </c>
      <c r="E478" s="25">
        <v>869.03</v>
      </c>
      <c r="F478" s="379">
        <v>19.278837072923807</v>
      </c>
      <c r="G478" s="25">
        <v>869.03</v>
      </c>
      <c r="H478" s="379">
        <v>138.88888888888889</v>
      </c>
      <c r="I478" s="25">
        <v>869.03</v>
      </c>
      <c r="J478" s="379">
        <v>14.251185036223868</v>
      </c>
    </row>
    <row r="479" spans="1:10" x14ac:dyDescent="0.35">
      <c r="A479" s="5">
        <v>475</v>
      </c>
      <c r="B479" s="5">
        <v>20</v>
      </c>
      <c r="C479" s="5">
        <v>1</v>
      </c>
      <c r="D479" s="379">
        <v>50.470555555555549</v>
      </c>
      <c r="E479" s="25">
        <v>869.03</v>
      </c>
      <c r="F479" s="379">
        <v>25.681972123602463</v>
      </c>
      <c r="G479" s="25">
        <v>869.03</v>
      </c>
      <c r="H479" s="379">
        <v>138.88888888888889</v>
      </c>
      <c r="I479" s="25">
        <v>869.03</v>
      </c>
      <c r="J479" s="379">
        <v>15.013708173925259</v>
      </c>
    </row>
    <row r="480" spans="1:10" x14ac:dyDescent="0.35">
      <c r="A480" s="5">
        <v>476</v>
      </c>
      <c r="B480" s="5">
        <v>20</v>
      </c>
      <c r="C480" s="5">
        <v>1</v>
      </c>
      <c r="D480" s="379">
        <v>56.957592985499772</v>
      </c>
      <c r="E480" s="25">
        <v>869.03</v>
      </c>
      <c r="F480" s="379">
        <v>28.842227735894596</v>
      </c>
      <c r="G480" s="25">
        <v>869.03</v>
      </c>
      <c r="H480" s="379">
        <v>138.88888888888889</v>
      </c>
      <c r="I480" s="25">
        <v>869.03</v>
      </c>
      <c r="J480" s="379">
        <v>14.908379294950029</v>
      </c>
    </row>
    <row r="481" spans="1:10" x14ac:dyDescent="0.35">
      <c r="A481" s="5">
        <v>477</v>
      </c>
      <c r="B481" s="5">
        <v>20</v>
      </c>
      <c r="C481" s="5">
        <v>1</v>
      </c>
      <c r="D481" s="379">
        <v>46.564766945675366</v>
      </c>
      <c r="E481" s="25">
        <v>39.340000000000003</v>
      </c>
      <c r="F481" s="379">
        <v>28.128523335990767</v>
      </c>
      <c r="G481" s="25">
        <v>869.03</v>
      </c>
      <c r="H481" s="379">
        <v>138.88888888888889</v>
      </c>
      <c r="I481" s="25">
        <v>869.03</v>
      </c>
      <c r="J481" s="379">
        <v>14.350856754124173</v>
      </c>
    </row>
    <row r="482" spans="1:10" x14ac:dyDescent="0.35">
      <c r="A482" s="5">
        <v>478</v>
      </c>
      <c r="B482" s="5">
        <v>20</v>
      </c>
      <c r="C482" s="5">
        <v>1</v>
      </c>
      <c r="D482" s="379">
        <v>25.669444444444444</v>
      </c>
      <c r="E482" s="25">
        <v>37.090000000000003</v>
      </c>
      <c r="F482" s="379">
        <v>29.177985822076526</v>
      </c>
      <c r="G482" s="25">
        <v>860.34</v>
      </c>
      <c r="H482" s="379">
        <v>138.88888888888889</v>
      </c>
      <c r="I482" s="25">
        <v>869.03</v>
      </c>
      <c r="J482" s="379">
        <v>12.703432606629415</v>
      </c>
    </row>
    <row r="483" spans="1:10" x14ac:dyDescent="0.35">
      <c r="A483" s="5">
        <v>479</v>
      </c>
      <c r="B483" s="5">
        <v>20</v>
      </c>
      <c r="C483" s="5">
        <v>1</v>
      </c>
      <c r="D483" s="379">
        <v>57.986111111111107</v>
      </c>
      <c r="E483" s="25">
        <v>36.94</v>
      </c>
      <c r="F483" s="379">
        <v>21.791078689041782</v>
      </c>
      <c r="G483" s="25">
        <v>860.34</v>
      </c>
      <c r="H483" s="379">
        <v>138.88888888888889</v>
      </c>
      <c r="I483" s="25">
        <v>860.34</v>
      </c>
      <c r="J483" s="379">
        <v>12.730014082220869</v>
      </c>
    </row>
    <row r="484" spans="1:10" x14ac:dyDescent="0.35">
      <c r="A484" s="5">
        <v>480</v>
      </c>
      <c r="B484" s="5">
        <v>20</v>
      </c>
      <c r="C484" s="5">
        <v>1</v>
      </c>
      <c r="D484" s="379">
        <v>32.292500591252761</v>
      </c>
      <c r="E484" s="25">
        <v>32.47</v>
      </c>
      <c r="F484" s="379">
        <v>21.606199557476771</v>
      </c>
      <c r="G484" s="25">
        <v>843.72</v>
      </c>
      <c r="H484" s="379">
        <v>27.752643651115758</v>
      </c>
      <c r="I484" s="25">
        <v>860.34</v>
      </c>
      <c r="J484" s="379">
        <v>12.912718748963909</v>
      </c>
    </row>
    <row r="485" spans="1:10" x14ac:dyDescent="0.35">
      <c r="A485" s="5">
        <v>481</v>
      </c>
      <c r="B485" s="5">
        <v>21</v>
      </c>
      <c r="C485" s="5">
        <v>1</v>
      </c>
      <c r="D485" s="379">
        <v>32.708974759176279</v>
      </c>
      <c r="E485" s="25">
        <v>31.84</v>
      </c>
      <c r="F485" s="379">
        <v>21.606199557476774</v>
      </c>
      <c r="G485" s="25">
        <v>843.72</v>
      </c>
      <c r="H485" s="379">
        <v>21.691050763252644</v>
      </c>
      <c r="I485" s="25">
        <v>860.34</v>
      </c>
      <c r="J485" s="379">
        <v>12.456942915626527</v>
      </c>
    </row>
    <row r="486" spans="1:10" x14ac:dyDescent="0.35">
      <c r="A486" s="5">
        <v>482</v>
      </c>
      <c r="B486" s="5">
        <v>21</v>
      </c>
      <c r="C486" s="5">
        <v>1</v>
      </c>
      <c r="D486" s="379">
        <v>28.754685817797608</v>
      </c>
      <c r="E486" s="25">
        <v>30.91</v>
      </c>
      <c r="F486" s="379">
        <v>21.606199557476767</v>
      </c>
      <c r="G486" s="25">
        <v>783.66</v>
      </c>
      <c r="H486" s="379">
        <v>21.728563799471726</v>
      </c>
      <c r="I486" s="25">
        <v>843.72</v>
      </c>
      <c r="J486" s="379">
        <v>13.435329604217603</v>
      </c>
    </row>
    <row r="487" spans="1:10" x14ac:dyDescent="0.35">
      <c r="A487" s="5">
        <v>483</v>
      </c>
      <c r="B487" s="5">
        <v>21</v>
      </c>
      <c r="C487" s="5">
        <v>1</v>
      </c>
      <c r="D487" s="379">
        <v>27.769305873879894</v>
      </c>
      <c r="E487" s="25">
        <v>28.12</v>
      </c>
      <c r="F487" s="379">
        <v>21.606199557476767</v>
      </c>
      <c r="G487" s="25">
        <v>760.84</v>
      </c>
      <c r="H487" s="379">
        <v>21.763349282047724</v>
      </c>
      <c r="I487" s="25">
        <v>843.72</v>
      </c>
      <c r="J487" s="379">
        <v>12.452741020587831</v>
      </c>
    </row>
    <row r="488" spans="1:10" x14ac:dyDescent="0.35">
      <c r="A488" s="5">
        <v>484</v>
      </c>
      <c r="B488" s="5">
        <v>21</v>
      </c>
      <c r="C488" s="5">
        <v>1</v>
      </c>
      <c r="D488" s="379">
        <v>46.897222222222226</v>
      </c>
      <c r="E488" s="25">
        <v>27.83</v>
      </c>
      <c r="F488" s="379">
        <v>21.606199557476767</v>
      </c>
      <c r="G488" s="25">
        <v>738.68</v>
      </c>
      <c r="H488" s="379">
        <v>20.876520507443235</v>
      </c>
      <c r="I488" s="25">
        <v>843.72</v>
      </c>
      <c r="J488" s="379">
        <v>12.235344198664132</v>
      </c>
    </row>
    <row r="489" spans="1:10" x14ac:dyDescent="0.35">
      <c r="A489" s="5">
        <v>485</v>
      </c>
      <c r="B489" s="5">
        <v>21</v>
      </c>
      <c r="C489" s="5">
        <v>1</v>
      </c>
      <c r="D489" s="379">
        <v>43.772222222222226</v>
      </c>
      <c r="E489" s="25">
        <v>28.12</v>
      </c>
      <c r="F489" s="379">
        <v>21.606199557476767</v>
      </c>
      <c r="G489" s="25">
        <v>738.68</v>
      </c>
      <c r="H489" s="379">
        <v>20.124373894627634</v>
      </c>
      <c r="I489" s="25">
        <v>843.72</v>
      </c>
      <c r="J489" s="379">
        <v>7.056751521478402</v>
      </c>
    </row>
    <row r="490" spans="1:10" x14ac:dyDescent="0.35">
      <c r="A490" s="5">
        <v>486</v>
      </c>
      <c r="B490" s="5">
        <v>21</v>
      </c>
      <c r="C490" s="5">
        <v>1</v>
      </c>
      <c r="D490" s="379">
        <v>43.191529314505658</v>
      </c>
      <c r="E490" s="25">
        <v>32.47</v>
      </c>
      <c r="F490" s="379">
        <v>21.606199557476767</v>
      </c>
      <c r="G490" s="25">
        <v>843.72</v>
      </c>
      <c r="H490" s="379">
        <v>20.942655236828404</v>
      </c>
      <c r="I490" s="25">
        <v>843.72</v>
      </c>
      <c r="J490" s="379">
        <v>7.0076479820538715</v>
      </c>
    </row>
    <row r="491" spans="1:10" x14ac:dyDescent="0.35">
      <c r="A491" s="5">
        <v>487</v>
      </c>
      <c r="B491" s="5">
        <v>21</v>
      </c>
      <c r="C491" s="5">
        <v>1</v>
      </c>
      <c r="D491" s="379">
        <v>44.254703037102068</v>
      </c>
      <c r="E491" s="25">
        <v>38.200000000000003</v>
      </c>
      <c r="F491" s="379">
        <v>21.965453521506664</v>
      </c>
      <c r="G491" s="25">
        <v>860.34</v>
      </c>
      <c r="H491" s="379">
        <v>20.242172170542048</v>
      </c>
      <c r="I491" s="25">
        <v>843.72</v>
      </c>
      <c r="J491" s="379">
        <v>7.1072776996655325</v>
      </c>
    </row>
    <row r="492" spans="1:10" x14ac:dyDescent="0.35">
      <c r="A492" s="5">
        <v>488</v>
      </c>
      <c r="B492" s="5">
        <v>21</v>
      </c>
      <c r="C492" s="5">
        <v>1</v>
      </c>
      <c r="D492" s="379">
        <v>67.219173996045555</v>
      </c>
      <c r="E492" s="25">
        <v>44.94</v>
      </c>
      <c r="F492" s="379">
        <v>22.014940105258354</v>
      </c>
      <c r="G492" s="25">
        <v>869.03</v>
      </c>
      <c r="H492" s="379">
        <v>21.72071128674407</v>
      </c>
      <c r="I492" s="25">
        <v>869.03</v>
      </c>
      <c r="J492" s="379">
        <v>7.3441700132962966</v>
      </c>
    </row>
    <row r="493" spans="1:10" x14ac:dyDescent="0.35">
      <c r="A493" s="5">
        <v>489</v>
      </c>
      <c r="B493" s="5">
        <v>21</v>
      </c>
      <c r="C493" s="5">
        <v>1</v>
      </c>
      <c r="D493" s="379">
        <v>49.145555555555553</v>
      </c>
      <c r="E493" s="25">
        <v>869.03</v>
      </c>
      <c r="F493" s="379">
        <v>22.014940105258354</v>
      </c>
      <c r="G493" s="25">
        <v>869.03</v>
      </c>
      <c r="H493" s="379">
        <v>21.654487662422131</v>
      </c>
      <c r="I493" s="25">
        <v>869.03</v>
      </c>
      <c r="J493" s="379">
        <v>7.1653550230848637</v>
      </c>
    </row>
    <row r="494" spans="1:10" x14ac:dyDescent="0.35">
      <c r="A494" s="5">
        <v>490</v>
      </c>
      <c r="B494" s="5">
        <v>21</v>
      </c>
      <c r="C494" s="5">
        <v>1</v>
      </c>
      <c r="D494" s="379">
        <v>48.618483966420179</v>
      </c>
      <c r="E494" s="25">
        <v>44.94</v>
      </c>
      <c r="F494" s="379">
        <v>22.362149115156068</v>
      </c>
      <c r="G494" s="25">
        <v>869.03</v>
      </c>
      <c r="H494" s="379">
        <v>23.859092021471707</v>
      </c>
      <c r="I494" s="25">
        <v>869.03</v>
      </c>
      <c r="J494" s="379">
        <v>7.1893198528213391</v>
      </c>
    </row>
    <row r="495" spans="1:10" x14ac:dyDescent="0.35">
      <c r="A495" s="5">
        <v>491</v>
      </c>
      <c r="B495" s="5">
        <v>21</v>
      </c>
      <c r="C495" s="5">
        <v>1</v>
      </c>
      <c r="D495" s="379">
        <v>67.794444444444451</v>
      </c>
      <c r="E495" s="25">
        <v>44.94</v>
      </c>
      <c r="F495" s="379">
        <v>22.969574877423792</v>
      </c>
      <c r="G495" s="25">
        <v>869.03</v>
      </c>
      <c r="H495" s="379">
        <v>21.683801986967666</v>
      </c>
      <c r="I495" s="25">
        <v>869.03</v>
      </c>
      <c r="J495" s="379">
        <v>7.2339745154796598</v>
      </c>
    </row>
    <row r="496" spans="1:10" x14ac:dyDescent="0.35">
      <c r="A496" s="5">
        <v>492</v>
      </c>
      <c r="B496" s="5">
        <v>21</v>
      </c>
      <c r="C496" s="5">
        <v>1</v>
      </c>
      <c r="D496" s="379">
        <v>46.866111111111117</v>
      </c>
      <c r="E496" s="25">
        <v>44.94</v>
      </c>
      <c r="F496" s="379">
        <v>20.791910358065099</v>
      </c>
      <c r="G496" s="25">
        <v>869.03</v>
      </c>
      <c r="H496" s="379">
        <v>22.172150938469937</v>
      </c>
      <c r="I496" s="25">
        <v>869.03</v>
      </c>
      <c r="J496" s="379">
        <v>7.1490769775438672</v>
      </c>
    </row>
    <row r="497" spans="1:10" x14ac:dyDescent="0.35">
      <c r="A497" s="5">
        <v>493</v>
      </c>
      <c r="B497" s="5">
        <v>21</v>
      </c>
      <c r="C497" s="5">
        <v>1</v>
      </c>
      <c r="D497" s="379">
        <v>43.66624554875365</v>
      </c>
      <c r="E497" s="25">
        <v>39.81</v>
      </c>
      <c r="F497" s="379">
        <v>11.028229469775724</v>
      </c>
      <c r="G497" s="25">
        <v>869.03</v>
      </c>
      <c r="H497" s="379">
        <v>13.045286817080299</v>
      </c>
      <c r="I497" s="25">
        <v>860.34</v>
      </c>
      <c r="J497" s="379">
        <v>7.0755114111131796</v>
      </c>
    </row>
    <row r="498" spans="1:10" x14ac:dyDescent="0.35">
      <c r="A498" s="5">
        <v>494</v>
      </c>
      <c r="B498" s="5">
        <v>21</v>
      </c>
      <c r="C498" s="5">
        <v>1</v>
      </c>
      <c r="D498" s="379">
        <v>30.986111111111111</v>
      </c>
      <c r="E498" s="25">
        <v>38.200000000000003</v>
      </c>
      <c r="F498" s="379">
        <v>16.525104209991646</v>
      </c>
      <c r="G498" s="25">
        <v>869.03</v>
      </c>
      <c r="H498" s="379">
        <v>25.392021289016103</v>
      </c>
      <c r="I498" s="25">
        <v>860.34</v>
      </c>
      <c r="J498" s="379">
        <v>7.2476710054755378</v>
      </c>
    </row>
    <row r="499" spans="1:10" x14ac:dyDescent="0.35">
      <c r="A499" s="5">
        <v>495</v>
      </c>
      <c r="B499" s="5">
        <v>21</v>
      </c>
      <c r="C499" s="5">
        <v>1</v>
      </c>
      <c r="D499" s="379">
        <v>48.838819089820134</v>
      </c>
      <c r="E499" s="25">
        <v>38.200000000000003</v>
      </c>
      <c r="F499" s="379">
        <v>16.687388176514947</v>
      </c>
      <c r="G499" s="25">
        <v>869.03</v>
      </c>
      <c r="H499" s="379">
        <v>28.081267718258609</v>
      </c>
      <c r="I499" s="25">
        <v>869.03</v>
      </c>
      <c r="J499" s="379">
        <v>7.3710753159093851</v>
      </c>
    </row>
    <row r="500" spans="1:10" x14ac:dyDescent="0.35">
      <c r="A500" s="5">
        <v>496</v>
      </c>
      <c r="B500" s="5">
        <v>21</v>
      </c>
      <c r="C500" s="5">
        <v>1</v>
      </c>
      <c r="D500" s="379">
        <v>49.852549254895735</v>
      </c>
      <c r="E500" s="25">
        <v>38.33</v>
      </c>
      <c r="F500" s="379">
        <v>23.097422898373832</v>
      </c>
      <c r="G500" s="25">
        <v>869.03</v>
      </c>
      <c r="H500" s="379">
        <v>28.166100881736181</v>
      </c>
      <c r="I500" s="25">
        <v>869.03</v>
      </c>
      <c r="J500" s="379">
        <v>7.3710753159093851</v>
      </c>
    </row>
    <row r="501" spans="1:10" x14ac:dyDescent="0.35">
      <c r="A501" s="5">
        <v>497</v>
      </c>
      <c r="B501" s="5">
        <v>21</v>
      </c>
      <c r="C501" s="5">
        <v>1</v>
      </c>
      <c r="D501" s="379">
        <v>38.694602715845484</v>
      </c>
      <c r="E501" s="25">
        <v>44.94</v>
      </c>
      <c r="F501" s="379">
        <v>26.940968510295278</v>
      </c>
      <c r="G501" s="25">
        <v>869.03</v>
      </c>
      <c r="H501" s="379">
        <v>30.330675928613399</v>
      </c>
      <c r="I501" s="25">
        <v>869.03</v>
      </c>
      <c r="J501" s="379">
        <v>11.449530020574507</v>
      </c>
    </row>
    <row r="502" spans="1:10" x14ac:dyDescent="0.35">
      <c r="A502" s="5">
        <v>498</v>
      </c>
      <c r="B502" s="5">
        <v>21</v>
      </c>
      <c r="C502" s="5">
        <v>1</v>
      </c>
      <c r="D502" s="379">
        <v>62.023580570236135</v>
      </c>
      <c r="E502" s="25">
        <v>869.03</v>
      </c>
      <c r="F502" s="379">
        <v>28.622256433608765</v>
      </c>
      <c r="G502" s="25">
        <v>869.03</v>
      </c>
      <c r="H502" s="379">
        <v>30.410599217646595</v>
      </c>
      <c r="I502" s="25">
        <v>869.03</v>
      </c>
      <c r="J502" s="379">
        <v>10.512546893916298</v>
      </c>
    </row>
    <row r="503" spans="1:10" x14ac:dyDescent="0.35">
      <c r="A503" s="5">
        <v>499</v>
      </c>
      <c r="B503" s="5">
        <v>21</v>
      </c>
      <c r="C503" s="5">
        <v>1</v>
      </c>
      <c r="D503" s="379">
        <v>42.922222222222224</v>
      </c>
      <c r="E503" s="25">
        <v>869.03</v>
      </c>
      <c r="F503" s="379">
        <v>27.451948761895448</v>
      </c>
      <c r="G503" s="25">
        <v>869.03</v>
      </c>
      <c r="H503" s="379">
        <v>31.236928988392766</v>
      </c>
      <c r="I503" s="25">
        <v>869.03</v>
      </c>
      <c r="J503" s="379">
        <v>10.075438144155664</v>
      </c>
    </row>
    <row r="504" spans="1:10" x14ac:dyDescent="0.35">
      <c r="A504" s="5">
        <v>500</v>
      </c>
      <c r="B504" s="5">
        <v>21</v>
      </c>
      <c r="C504" s="5">
        <v>1</v>
      </c>
      <c r="D504" s="379">
        <v>64.888888888888872</v>
      </c>
      <c r="E504" s="25">
        <v>869.03</v>
      </c>
      <c r="F504" s="379">
        <v>26.863438014771358</v>
      </c>
      <c r="G504" s="25">
        <v>869.03</v>
      </c>
      <c r="H504" s="379">
        <v>30.590942258413079</v>
      </c>
      <c r="I504" s="25">
        <v>869.03</v>
      </c>
      <c r="J504" s="379">
        <v>10.075342881032192</v>
      </c>
    </row>
    <row r="505" spans="1:10" x14ac:dyDescent="0.35">
      <c r="A505" s="5">
        <v>501</v>
      </c>
      <c r="B505" s="5">
        <v>21</v>
      </c>
      <c r="C505" s="5">
        <v>1</v>
      </c>
      <c r="D505" s="379">
        <v>58.172222222222217</v>
      </c>
      <c r="E505" s="25">
        <v>39.340000000000003</v>
      </c>
      <c r="F505" s="379">
        <v>26.863438014771358</v>
      </c>
      <c r="G505" s="25">
        <v>869.03</v>
      </c>
      <c r="H505" s="379">
        <v>30.610844104947908</v>
      </c>
      <c r="I505" s="25">
        <v>869.03</v>
      </c>
      <c r="J505" s="379">
        <v>10.274071178566906</v>
      </c>
    </row>
    <row r="506" spans="1:10" x14ac:dyDescent="0.35">
      <c r="A506" s="5">
        <v>502</v>
      </c>
      <c r="B506" s="5">
        <v>21</v>
      </c>
      <c r="C506" s="5">
        <v>1</v>
      </c>
      <c r="D506" s="379">
        <v>45.103333333333332</v>
      </c>
      <c r="E506" s="25">
        <v>37.090000000000003</v>
      </c>
      <c r="F506" s="379">
        <v>26.863438014771358</v>
      </c>
      <c r="G506" s="25">
        <v>869.03</v>
      </c>
      <c r="H506" s="379">
        <v>29.880504183672507</v>
      </c>
      <c r="I506" s="25">
        <v>869.03</v>
      </c>
      <c r="J506" s="379">
        <v>10.159760431945042</v>
      </c>
    </row>
    <row r="507" spans="1:10" x14ac:dyDescent="0.35">
      <c r="A507" s="5">
        <v>503</v>
      </c>
      <c r="B507" s="5">
        <v>21</v>
      </c>
      <c r="C507" s="5">
        <v>1</v>
      </c>
      <c r="D507" s="379">
        <v>51.458333333333329</v>
      </c>
      <c r="E507" s="25">
        <v>37.090000000000003</v>
      </c>
      <c r="F507" s="379">
        <v>26.819370565040018</v>
      </c>
      <c r="G507" s="25">
        <v>869.03</v>
      </c>
      <c r="H507" s="379">
        <v>29.668157468242171</v>
      </c>
      <c r="I507" s="25">
        <v>869.03</v>
      </c>
      <c r="J507" s="379">
        <v>10.482629590191936</v>
      </c>
    </row>
    <row r="508" spans="1:10" x14ac:dyDescent="0.35">
      <c r="A508" s="5">
        <v>504</v>
      </c>
      <c r="B508" s="5">
        <v>21</v>
      </c>
      <c r="C508" s="5">
        <v>1</v>
      </c>
      <c r="D508" s="379">
        <v>43.148333333333333</v>
      </c>
      <c r="E508" s="25">
        <v>36.94</v>
      </c>
      <c r="F508" s="379">
        <v>26.797846742719113</v>
      </c>
      <c r="G508" s="25">
        <v>869.03</v>
      </c>
      <c r="H508" s="379">
        <v>29.831668742438829</v>
      </c>
      <c r="I508" s="25">
        <v>869.03</v>
      </c>
      <c r="J508" s="379">
        <v>10.37874222505206</v>
      </c>
    </row>
    <row r="509" spans="1:10" x14ac:dyDescent="0.35">
      <c r="A509" s="5">
        <v>505</v>
      </c>
      <c r="B509" s="5">
        <v>22</v>
      </c>
      <c r="C509" s="5">
        <v>1</v>
      </c>
      <c r="D509" s="379">
        <v>51.403487518560027</v>
      </c>
      <c r="E509" s="25">
        <v>36.94</v>
      </c>
      <c r="F509" s="379">
        <v>26.800546833683907</v>
      </c>
      <c r="G509" s="25">
        <v>843.72</v>
      </c>
      <c r="H509" s="379">
        <v>29.628388475055203</v>
      </c>
      <c r="I509" s="25">
        <v>869.03</v>
      </c>
      <c r="J509" s="379">
        <v>10.744201883151211</v>
      </c>
    </row>
    <row r="510" spans="1:10" x14ac:dyDescent="0.35">
      <c r="A510" s="5">
        <v>506</v>
      </c>
      <c r="B510" s="5">
        <v>22</v>
      </c>
      <c r="C510" s="5">
        <v>1</v>
      </c>
      <c r="D510" s="379">
        <v>43.347777777777772</v>
      </c>
      <c r="E510" s="25">
        <v>36.94</v>
      </c>
      <c r="F510" s="379">
        <v>26.682708117151549</v>
      </c>
      <c r="G510" s="25">
        <v>783.66</v>
      </c>
      <c r="H510" s="379">
        <v>30.14787485194088</v>
      </c>
      <c r="I510" s="25">
        <v>869.03</v>
      </c>
      <c r="J510" s="379">
        <v>12.851381355088481</v>
      </c>
    </row>
    <row r="511" spans="1:10" x14ac:dyDescent="0.35">
      <c r="A511" s="5">
        <v>507</v>
      </c>
      <c r="B511" s="5">
        <v>22</v>
      </c>
      <c r="C511" s="5">
        <v>1</v>
      </c>
      <c r="D511" s="379">
        <v>47.935521543778052</v>
      </c>
      <c r="E511" s="25">
        <v>32.36</v>
      </c>
      <c r="F511" s="379">
        <v>26.235916203648948</v>
      </c>
      <c r="G511" s="25">
        <v>760.84</v>
      </c>
      <c r="H511" s="379">
        <v>29.395841082463392</v>
      </c>
      <c r="I511" s="25">
        <v>869.03</v>
      </c>
      <c r="J511" s="379">
        <v>10.598667587993782</v>
      </c>
    </row>
    <row r="512" spans="1:10" x14ac:dyDescent="0.35">
      <c r="A512" s="5">
        <v>508</v>
      </c>
      <c r="B512" s="5">
        <v>22</v>
      </c>
      <c r="C512" s="5">
        <v>1</v>
      </c>
      <c r="D512" s="379">
        <v>43.121510637966715</v>
      </c>
      <c r="E512" s="25">
        <v>28.12</v>
      </c>
      <c r="F512" s="379">
        <v>26.235916203648955</v>
      </c>
      <c r="G512" s="25">
        <v>738.68</v>
      </c>
      <c r="H512" s="379">
        <v>29.641905940235699</v>
      </c>
      <c r="I512" s="25">
        <v>869.03</v>
      </c>
      <c r="J512" s="379">
        <v>12.208255924179744</v>
      </c>
    </row>
    <row r="513" spans="1:10" x14ac:dyDescent="0.35">
      <c r="A513" s="5">
        <v>509</v>
      </c>
      <c r="B513" s="5">
        <v>22</v>
      </c>
      <c r="C513" s="5">
        <v>1</v>
      </c>
      <c r="D513" s="379">
        <v>45.627777777777773</v>
      </c>
      <c r="E513" s="25">
        <v>32.79</v>
      </c>
      <c r="F513" s="379">
        <v>26.235916203648948</v>
      </c>
      <c r="G513" s="25">
        <v>738.68</v>
      </c>
      <c r="H513" s="379">
        <v>29.069436554517722</v>
      </c>
      <c r="I513" s="25">
        <v>869.03</v>
      </c>
      <c r="J513" s="379">
        <v>17.679949334953413</v>
      </c>
    </row>
    <row r="514" spans="1:10" x14ac:dyDescent="0.35">
      <c r="A514" s="5">
        <v>510</v>
      </c>
      <c r="B514" s="5">
        <v>22</v>
      </c>
      <c r="C514" s="5">
        <v>1</v>
      </c>
      <c r="D514" s="379">
        <v>42.122138898978321</v>
      </c>
      <c r="E514" s="25">
        <v>36.94</v>
      </c>
      <c r="F514" s="379">
        <v>26.79513747809677</v>
      </c>
      <c r="G514" s="25">
        <v>843.72</v>
      </c>
      <c r="H514" s="379">
        <v>138.88888888888889</v>
      </c>
      <c r="I514" s="25">
        <v>869.03</v>
      </c>
      <c r="J514" s="379">
        <v>17.374986172246892</v>
      </c>
    </row>
    <row r="515" spans="1:10" x14ac:dyDescent="0.35">
      <c r="A515" s="5">
        <v>511</v>
      </c>
      <c r="B515" s="5">
        <v>22</v>
      </c>
      <c r="C515" s="5">
        <v>1</v>
      </c>
      <c r="D515" s="379">
        <v>33.333333333333336</v>
      </c>
      <c r="E515" s="25">
        <v>39.01</v>
      </c>
      <c r="F515" s="379">
        <v>37.121241729765835</v>
      </c>
      <c r="G515" s="25">
        <v>869.03</v>
      </c>
      <c r="H515" s="379">
        <v>138.88888888888889</v>
      </c>
      <c r="I515" s="25">
        <v>869.03</v>
      </c>
      <c r="J515" s="379">
        <v>17.374986172246892</v>
      </c>
    </row>
    <row r="516" spans="1:10" x14ac:dyDescent="0.35">
      <c r="A516" s="5">
        <v>512</v>
      </c>
      <c r="B516" s="5">
        <v>22</v>
      </c>
      <c r="C516" s="5">
        <v>1</v>
      </c>
      <c r="D516" s="379">
        <v>56.005555555555553</v>
      </c>
      <c r="E516" s="25">
        <v>45.89</v>
      </c>
      <c r="F516" s="379">
        <v>38.117958323331266</v>
      </c>
      <c r="G516" s="25">
        <v>869.03</v>
      </c>
      <c r="H516" s="379">
        <v>138.88888888888889</v>
      </c>
      <c r="I516" s="25">
        <v>869.03</v>
      </c>
      <c r="J516" s="379">
        <v>17.374986172246892</v>
      </c>
    </row>
    <row r="517" spans="1:10" x14ac:dyDescent="0.35">
      <c r="A517" s="5">
        <v>513</v>
      </c>
      <c r="B517" s="5">
        <v>22</v>
      </c>
      <c r="C517" s="5">
        <v>1</v>
      </c>
      <c r="D517" s="379">
        <v>59.011111111111106</v>
      </c>
      <c r="E517" s="25">
        <v>869.03</v>
      </c>
      <c r="F517" s="379">
        <v>42.182567437490924</v>
      </c>
      <c r="G517" s="25">
        <v>869.03</v>
      </c>
      <c r="H517" s="379">
        <v>138.88888888888889</v>
      </c>
      <c r="I517" s="25">
        <v>869.03</v>
      </c>
      <c r="J517" s="379">
        <v>17.374986172246892</v>
      </c>
    </row>
    <row r="518" spans="1:10" x14ac:dyDescent="0.35">
      <c r="A518" s="5">
        <v>514</v>
      </c>
      <c r="B518" s="5">
        <v>22</v>
      </c>
      <c r="C518" s="5">
        <v>1</v>
      </c>
      <c r="D518" s="379">
        <v>58.087615035004518</v>
      </c>
      <c r="E518" s="25">
        <v>869.03</v>
      </c>
      <c r="F518" s="379">
        <v>37.232678812480763</v>
      </c>
      <c r="G518" s="25">
        <v>869.03</v>
      </c>
      <c r="H518" s="379">
        <v>138.88888888888889</v>
      </c>
      <c r="I518" s="25">
        <v>869.03</v>
      </c>
      <c r="J518" s="379">
        <v>17.497925354944297</v>
      </c>
    </row>
    <row r="519" spans="1:10" x14ac:dyDescent="0.35">
      <c r="A519" s="5">
        <v>515</v>
      </c>
      <c r="B519" s="5">
        <v>22</v>
      </c>
      <c r="C519" s="5">
        <v>1</v>
      </c>
      <c r="D519" s="379">
        <v>58.446338553142994</v>
      </c>
      <c r="E519" s="25">
        <v>44.55</v>
      </c>
      <c r="F519" s="379">
        <v>41.388346023820127</v>
      </c>
      <c r="G519" s="25">
        <v>869.03</v>
      </c>
      <c r="H519" s="379">
        <v>138.88888888888889</v>
      </c>
      <c r="I519" s="25">
        <v>869.03</v>
      </c>
      <c r="J519" s="379">
        <v>16.229674363948753</v>
      </c>
    </row>
    <row r="520" spans="1:10" x14ac:dyDescent="0.35">
      <c r="A520" s="5">
        <v>516</v>
      </c>
      <c r="B520" s="5">
        <v>22</v>
      </c>
      <c r="C520" s="5">
        <v>1</v>
      </c>
      <c r="D520" s="379">
        <v>57.468915160269439</v>
      </c>
      <c r="E520" s="25">
        <v>44.55</v>
      </c>
      <c r="F520" s="379">
        <v>33.332650530824537</v>
      </c>
      <c r="G520" s="25">
        <v>869.03</v>
      </c>
      <c r="H520" s="379">
        <v>138.88888888888889</v>
      </c>
      <c r="I520" s="25">
        <v>869.03</v>
      </c>
      <c r="J520" s="379">
        <v>16.253749096507089</v>
      </c>
    </row>
    <row r="521" spans="1:10" x14ac:dyDescent="0.35">
      <c r="A521" s="5">
        <v>517</v>
      </c>
      <c r="B521" s="5">
        <v>22</v>
      </c>
      <c r="C521" s="5">
        <v>1</v>
      </c>
      <c r="D521" s="379">
        <v>54.048176848654201</v>
      </c>
      <c r="E521" s="25">
        <v>39.51</v>
      </c>
      <c r="F521" s="379">
        <v>33.332650530824537</v>
      </c>
      <c r="G521" s="25">
        <v>869.03</v>
      </c>
      <c r="H521" s="379">
        <v>138.88888888888889</v>
      </c>
      <c r="I521" s="25">
        <v>869.03</v>
      </c>
      <c r="J521" s="379">
        <v>15.868393463262624</v>
      </c>
    </row>
    <row r="522" spans="1:10" x14ac:dyDescent="0.35">
      <c r="A522" s="5">
        <v>518</v>
      </c>
      <c r="B522" s="5">
        <v>22</v>
      </c>
      <c r="C522" s="5">
        <v>1</v>
      </c>
      <c r="D522" s="379">
        <v>49.453941859526644</v>
      </c>
      <c r="E522" s="25">
        <v>38.200000000000003</v>
      </c>
      <c r="F522" s="379">
        <v>33.332650530824537</v>
      </c>
      <c r="G522" s="25">
        <v>869.03</v>
      </c>
      <c r="H522" s="379">
        <v>138.88888888888889</v>
      </c>
      <c r="I522" s="25">
        <v>869.03</v>
      </c>
      <c r="J522" s="379">
        <v>16.803739694671531</v>
      </c>
    </row>
    <row r="523" spans="1:10" x14ac:dyDescent="0.35">
      <c r="A523" s="5">
        <v>519</v>
      </c>
      <c r="B523" s="5">
        <v>22</v>
      </c>
      <c r="C523" s="5">
        <v>1</v>
      </c>
      <c r="D523" s="379">
        <v>49.463652782182749</v>
      </c>
      <c r="E523" s="25">
        <v>38.200000000000003</v>
      </c>
      <c r="F523" s="379">
        <v>33.332650530824537</v>
      </c>
      <c r="G523" s="25">
        <v>869.03</v>
      </c>
      <c r="H523" s="379">
        <v>138.88888888888889</v>
      </c>
      <c r="I523" s="25">
        <v>869.03</v>
      </c>
      <c r="J523" s="379">
        <v>16.845745807923709</v>
      </c>
    </row>
    <row r="524" spans="1:10" x14ac:dyDescent="0.35">
      <c r="A524" s="5">
        <v>520</v>
      </c>
      <c r="B524" s="5">
        <v>22</v>
      </c>
      <c r="C524" s="5">
        <v>1</v>
      </c>
      <c r="D524" s="379">
        <v>54.635470864758865</v>
      </c>
      <c r="E524" s="25">
        <v>38.200000000000003</v>
      </c>
      <c r="F524" s="379">
        <v>53.560065000412436</v>
      </c>
      <c r="G524" s="25">
        <v>869.03</v>
      </c>
      <c r="H524" s="379">
        <v>138.88888888888889</v>
      </c>
      <c r="I524" s="25">
        <v>869.03</v>
      </c>
      <c r="J524" s="379">
        <v>17.672325325241317</v>
      </c>
    </row>
    <row r="525" spans="1:10" x14ac:dyDescent="0.35">
      <c r="A525" s="5">
        <v>521</v>
      </c>
      <c r="B525" s="5">
        <v>22</v>
      </c>
      <c r="C525" s="5">
        <v>1</v>
      </c>
      <c r="D525" s="379">
        <v>53.861922448764552</v>
      </c>
      <c r="E525" s="25">
        <v>43.25</v>
      </c>
      <c r="F525" s="379">
        <v>138.88888888888889</v>
      </c>
      <c r="G525" s="25">
        <v>869.03</v>
      </c>
      <c r="H525" s="379">
        <v>138.88888888888889</v>
      </c>
      <c r="I525" s="25">
        <v>869.03</v>
      </c>
      <c r="J525" s="379">
        <v>17.504914941772963</v>
      </c>
    </row>
    <row r="526" spans="1:10" x14ac:dyDescent="0.35">
      <c r="A526" s="5">
        <v>522</v>
      </c>
      <c r="B526" s="5">
        <v>22</v>
      </c>
      <c r="C526" s="5">
        <v>1</v>
      </c>
      <c r="D526" s="379">
        <v>62.962227424845842</v>
      </c>
      <c r="E526" s="25">
        <v>869.03</v>
      </c>
      <c r="F526" s="379">
        <v>138.88888888888889</v>
      </c>
      <c r="G526" s="25">
        <v>869.03</v>
      </c>
      <c r="H526" s="379">
        <v>138.88888888888889</v>
      </c>
      <c r="I526" s="25">
        <v>869.03</v>
      </c>
      <c r="J526" s="379">
        <v>16.26430787853911</v>
      </c>
    </row>
    <row r="527" spans="1:10" x14ac:dyDescent="0.35">
      <c r="A527" s="5">
        <v>523</v>
      </c>
      <c r="B527" s="5">
        <v>22</v>
      </c>
      <c r="C527" s="5">
        <v>1</v>
      </c>
      <c r="D527" s="379">
        <v>61.097222222222214</v>
      </c>
      <c r="E527" s="25">
        <v>44.55</v>
      </c>
      <c r="F527" s="379">
        <v>138.88888888888889</v>
      </c>
      <c r="G527" s="25">
        <v>869.03</v>
      </c>
      <c r="H527" s="379">
        <v>138.88888888888889</v>
      </c>
      <c r="I527" s="25">
        <v>869.03</v>
      </c>
      <c r="J527" s="379">
        <v>16.339550037206482</v>
      </c>
    </row>
    <row r="528" spans="1:10" x14ac:dyDescent="0.35">
      <c r="A528" s="5">
        <v>524</v>
      </c>
      <c r="B528" s="5">
        <v>22</v>
      </c>
      <c r="C528" s="5">
        <v>1</v>
      </c>
      <c r="D528" s="379">
        <v>57.255068639164499</v>
      </c>
      <c r="E528" s="25">
        <v>39.340000000000003</v>
      </c>
      <c r="F528" s="379">
        <v>138.88888888888889</v>
      </c>
      <c r="G528" s="25">
        <v>869.03</v>
      </c>
      <c r="H528" s="379">
        <v>138.88888888888889</v>
      </c>
      <c r="I528" s="25">
        <v>869.03</v>
      </c>
      <c r="J528" s="379">
        <v>16.551425879069544</v>
      </c>
    </row>
    <row r="529" spans="1:10" x14ac:dyDescent="0.35">
      <c r="A529" s="5">
        <v>525</v>
      </c>
      <c r="B529" s="5">
        <v>22</v>
      </c>
      <c r="C529" s="5">
        <v>1</v>
      </c>
      <c r="D529" s="379">
        <v>51.961472731758384</v>
      </c>
      <c r="E529" s="25">
        <v>38.049999999999997</v>
      </c>
      <c r="F529" s="379">
        <v>138.88888888888889</v>
      </c>
      <c r="G529" s="25">
        <v>852.24</v>
      </c>
      <c r="H529" s="379">
        <v>138.88888888888889</v>
      </c>
      <c r="I529" s="25">
        <v>869.03</v>
      </c>
      <c r="J529" s="379">
        <v>18.00060539847653</v>
      </c>
    </row>
    <row r="530" spans="1:10" x14ac:dyDescent="0.35">
      <c r="A530" s="5">
        <v>526</v>
      </c>
      <c r="B530" s="5">
        <v>22</v>
      </c>
      <c r="C530" s="5">
        <v>1</v>
      </c>
      <c r="D530" s="379">
        <v>55.443316570081357</v>
      </c>
      <c r="E530" s="25">
        <v>37.090000000000003</v>
      </c>
      <c r="F530" s="379">
        <v>52.472875172553444</v>
      </c>
      <c r="G530" s="25">
        <v>843.72</v>
      </c>
      <c r="H530" s="379">
        <v>138.88888888888889</v>
      </c>
      <c r="I530" s="25">
        <v>869.03</v>
      </c>
      <c r="J530" s="379">
        <v>17.544363976604526</v>
      </c>
    </row>
    <row r="531" spans="1:10" x14ac:dyDescent="0.35">
      <c r="A531" s="5">
        <v>527</v>
      </c>
      <c r="B531" s="5">
        <v>22</v>
      </c>
      <c r="C531" s="5">
        <v>1</v>
      </c>
      <c r="D531" s="379">
        <v>51.299559894598019</v>
      </c>
      <c r="E531" s="25">
        <v>36.01</v>
      </c>
      <c r="F531" s="379">
        <v>39.775593097334358</v>
      </c>
      <c r="G531" s="25">
        <v>843.72</v>
      </c>
      <c r="H531" s="379">
        <v>138.88888888888889</v>
      </c>
      <c r="I531" s="25">
        <v>869.03</v>
      </c>
      <c r="J531" s="379">
        <v>17.547945428032115</v>
      </c>
    </row>
    <row r="532" spans="1:10" x14ac:dyDescent="0.35">
      <c r="A532" s="5">
        <v>528</v>
      </c>
      <c r="B532" s="5">
        <v>22</v>
      </c>
      <c r="C532" s="5">
        <v>1</v>
      </c>
      <c r="D532" s="379">
        <v>53.238888888888887</v>
      </c>
      <c r="E532" s="25">
        <v>30.91</v>
      </c>
      <c r="F532" s="379">
        <v>37.023387758824406</v>
      </c>
      <c r="G532" s="25">
        <v>843.72</v>
      </c>
      <c r="H532" s="379">
        <v>138.88888888888889</v>
      </c>
      <c r="I532" s="25">
        <v>869.03</v>
      </c>
      <c r="J532" s="379">
        <v>19.406107007381138</v>
      </c>
    </row>
    <row r="533" spans="1:10" x14ac:dyDescent="0.35">
      <c r="A533" s="5">
        <v>529</v>
      </c>
      <c r="B533" s="5">
        <v>23</v>
      </c>
      <c r="C533" s="5">
        <v>1</v>
      </c>
      <c r="D533" s="379">
        <v>57.376551452004271</v>
      </c>
      <c r="E533" s="25">
        <v>27.3</v>
      </c>
      <c r="F533" s="379">
        <v>38.170642897373021</v>
      </c>
      <c r="G533" s="25">
        <v>62.12</v>
      </c>
      <c r="H533" s="379">
        <v>138.88888888888889</v>
      </c>
      <c r="I533" s="25">
        <v>869.03</v>
      </c>
      <c r="J533" s="379">
        <v>19.390149340532719</v>
      </c>
    </row>
    <row r="534" spans="1:10" x14ac:dyDescent="0.35">
      <c r="A534" s="5">
        <v>530</v>
      </c>
      <c r="B534" s="5">
        <v>23</v>
      </c>
      <c r="C534" s="5">
        <v>1</v>
      </c>
      <c r="D534" s="379">
        <v>47.825555555555553</v>
      </c>
      <c r="E534" s="25">
        <v>27.3</v>
      </c>
      <c r="F534" s="379">
        <v>36.320340261127441</v>
      </c>
      <c r="G534" s="25">
        <v>62.12</v>
      </c>
      <c r="H534" s="379">
        <v>138.88888888888889</v>
      </c>
      <c r="I534" s="25">
        <v>852.24</v>
      </c>
      <c r="J534" s="379">
        <v>19.417573650073837</v>
      </c>
    </row>
    <row r="535" spans="1:10" x14ac:dyDescent="0.35">
      <c r="A535" s="5">
        <v>531</v>
      </c>
      <c r="B535" s="5">
        <v>23</v>
      </c>
      <c r="C535" s="5">
        <v>1</v>
      </c>
      <c r="D535" s="379">
        <v>51.809261739960306</v>
      </c>
      <c r="E535" s="25">
        <v>27.29</v>
      </c>
      <c r="F535" s="379">
        <v>33.665354366227135</v>
      </c>
      <c r="G535" s="25">
        <v>62.12</v>
      </c>
      <c r="H535" s="379">
        <v>138.88888888888889</v>
      </c>
      <c r="I535" s="25">
        <v>843.72</v>
      </c>
      <c r="J535" s="379">
        <v>19.15632686837257</v>
      </c>
    </row>
    <row r="536" spans="1:10" x14ac:dyDescent="0.35">
      <c r="A536" s="5">
        <v>532</v>
      </c>
      <c r="B536" s="5">
        <v>23</v>
      </c>
      <c r="C536" s="5">
        <v>1</v>
      </c>
      <c r="D536" s="379">
        <v>47.323746604956078</v>
      </c>
      <c r="E536" s="25">
        <v>26.51</v>
      </c>
      <c r="F536" s="379">
        <v>35.545654416775108</v>
      </c>
      <c r="G536" s="25">
        <v>62.12</v>
      </c>
      <c r="H536" s="379">
        <v>138.88888888888889</v>
      </c>
      <c r="I536" s="25">
        <v>843.72</v>
      </c>
      <c r="J536" s="379">
        <v>19.120129577771916</v>
      </c>
    </row>
    <row r="537" spans="1:10" x14ac:dyDescent="0.35">
      <c r="A537" s="5">
        <v>533</v>
      </c>
      <c r="B537" s="5">
        <v>23</v>
      </c>
      <c r="C537" s="5">
        <v>1</v>
      </c>
      <c r="D537" s="379">
        <v>49.733333333333327</v>
      </c>
      <c r="E537" s="25">
        <v>26.51</v>
      </c>
      <c r="F537" s="379">
        <v>35.651630701007477</v>
      </c>
      <c r="G537" s="25">
        <v>62.12</v>
      </c>
      <c r="H537" s="379">
        <v>138.88888888888889</v>
      </c>
      <c r="I537" s="25">
        <v>843.72</v>
      </c>
      <c r="J537" s="379">
        <v>19.043961797742501</v>
      </c>
    </row>
    <row r="538" spans="1:10" x14ac:dyDescent="0.35">
      <c r="A538" s="5">
        <v>534</v>
      </c>
      <c r="B538" s="5">
        <v>23</v>
      </c>
      <c r="C538" s="5">
        <v>1</v>
      </c>
      <c r="D538" s="379">
        <v>49.825081031935099</v>
      </c>
      <c r="E538" s="25">
        <v>27.29</v>
      </c>
      <c r="F538" s="379">
        <v>37.327966224126996</v>
      </c>
      <c r="G538" s="25">
        <v>62.12</v>
      </c>
      <c r="H538" s="379">
        <v>138.88888888888889</v>
      </c>
      <c r="I538" s="25">
        <v>843.72</v>
      </c>
      <c r="J538" s="379">
        <v>18.877807090484723</v>
      </c>
    </row>
    <row r="539" spans="1:10" x14ac:dyDescent="0.35">
      <c r="A539" s="5">
        <v>535</v>
      </c>
      <c r="B539" s="5">
        <v>23</v>
      </c>
      <c r="C539" s="5">
        <v>1</v>
      </c>
      <c r="D539" s="379">
        <v>37.727777777777774</v>
      </c>
      <c r="E539" s="25">
        <v>27.29</v>
      </c>
      <c r="F539" s="379">
        <v>35.013859537374614</v>
      </c>
      <c r="G539" s="25">
        <v>62.12</v>
      </c>
      <c r="H539" s="379">
        <v>138.88888888888889</v>
      </c>
      <c r="I539" s="25">
        <v>843.72</v>
      </c>
      <c r="J539" s="379">
        <v>19.339193763590067</v>
      </c>
    </row>
    <row r="540" spans="1:10" x14ac:dyDescent="0.35">
      <c r="A540" s="5">
        <v>536</v>
      </c>
      <c r="B540" s="5">
        <v>23</v>
      </c>
      <c r="C540" s="5">
        <v>1</v>
      </c>
      <c r="D540" s="379">
        <v>45.101422013031303</v>
      </c>
      <c r="E540" s="25">
        <v>27.3</v>
      </c>
      <c r="F540" s="379">
        <v>36.321415051090561</v>
      </c>
      <c r="G540" s="25">
        <v>62.12</v>
      </c>
      <c r="H540" s="379">
        <v>138.88888888888889</v>
      </c>
      <c r="I540" s="25">
        <v>852.24</v>
      </c>
      <c r="J540" s="379">
        <v>19.432989214992528</v>
      </c>
    </row>
    <row r="541" spans="1:10" x14ac:dyDescent="0.35">
      <c r="A541" s="5">
        <v>537</v>
      </c>
      <c r="B541" s="5">
        <v>23</v>
      </c>
      <c r="C541" s="5">
        <v>1</v>
      </c>
      <c r="D541" s="379">
        <v>45.279317094735212</v>
      </c>
      <c r="E541" s="25">
        <v>31.84</v>
      </c>
      <c r="F541" s="379">
        <v>36.321415051090561</v>
      </c>
      <c r="G541" s="25">
        <v>73.08</v>
      </c>
      <c r="H541" s="379">
        <v>138.88888888888889</v>
      </c>
      <c r="I541" s="25">
        <v>869.03</v>
      </c>
      <c r="J541" s="379">
        <v>19.471204522943356</v>
      </c>
    </row>
    <row r="542" spans="1:10" x14ac:dyDescent="0.35">
      <c r="A542" s="5">
        <v>538</v>
      </c>
      <c r="B542" s="5">
        <v>23</v>
      </c>
      <c r="C542" s="5">
        <v>1</v>
      </c>
      <c r="D542" s="379">
        <v>54.25277777777778</v>
      </c>
      <c r="E542" s="25">
        <v>32.11</v>
      </c>
      <c r="F542" s="379">
        <v>36.321415051090561</v>
      </c>
      <c r="G542" s="25">
        <v>73.08</v>
      </c>
      <c r="H542" s="379">
        <v>138.88888888888889</v>
      </c>
      <c r="I542" s="25">
        <v>869.03</v>
      </c>
      <c r="J542" s="379">
        <v>18.596563862843436</v>
      </c>
    </row>
    <row r="543" spans="1:10" x14ac:dyDescent="0.35">
      <c r="A543" s="5">
        <v>539</v>
      </c>
      <c r="B543" s="5">
        <v>23</v>
      </c>
      <c r="C543" s="5">
        <v>1</v>
      </c>
      <c r="D543" s="379">
        <v>55.543163076972512</v>
      </c>
      <c r="E543" s="25">
        <v>31.84</v>
      </c>
      <c r="F543" s="379">
        <v>41.612539727490592</v>
      </c>
      <c r="G543" s="25">
        <v>73.08</v>
      </c>
      <c r="H543" s="379">
        <v>138.88888888888889</v>
      </c>
      <c r="I543" s="25">
        <v>869.03</v>
      </c>
      <c r="J543" s="379">
        <v>17.769216524049828</v>
      </c>
    </row>
    <row r="544" spans="1:10" x14ac:dyDescent="0.35">
      <c r="A544" s="5">
        <v>540</v>
      </c>
      <c r="B544" s="5">
        <v>23</v>
      </c>
      <c r="C544" s="5">
        <v>1</v>
      </c>
      <c r="D544" s="379">
        <v>50.768888888888881</v>
      </c>
      <c r="E544" s="25">
        <v>31.84</v>
      </c>
      <c r="F544" s="379">
        <v>33.845338061998014</v>
      </c>
      <c r="G544" s="25">
        <v>73.08</v>
      </c>
      <c r="H544" s="379">
        <v>29.100068870233059</v>
      </c>
      <c r="I544" s="25">
        <v>852.24</v>
      </c>
      <c r="J544" s="379">
        <v>7.1782788914116917</v>
      </c>
    </row>
    <row r="545" spans="1:10" x14ac:dyDescent="0.35">
      <c r="A545" s="5">
        <v>541</v>
      </c>
      <c r="B545" s="5">
        <v>23</v>
      </c>
      <c r="C545" s="5">
        <v>1</v>
      </c>
      <c r="D545" s="379">
        <v>49.062236716102582</v>
      </c>
      <c r="E545" s="25">
        <v>30.91</v>
      </c>
      <c r="F545" s="379">
        <v>27.099748284027367</v>
      </c>
      <c r="G545" s="25">
        <v>73.08</v>
      </c>
      <c r="H545" s="379">
        <v>26.922033358382571</v>
      </c>
      <c r="I545" s="25">
        <v>843.72</v>
      </c>
      <c r="J545" s="379">
        <v>7.5209470922172192</v>
      </c>
    </row>
    <row r="546" spans="1:10" x14ac:dyDescent="0.35">
      <c r="A546" s="5">
        <v>542</v>
      </c>
      <c r="B546" s="5">
        <v>23</v>
      </c>
      <c r="C546" s="5">
        <v>1</v>
      </c>
      <c r="D546" s="379">
        <v>50.043888888888887</v>
      </c>
      <c r="E546" s="25">
        <v>30.91</v>
      </c>
      <c r="F546" s="379">
        <v>29.604089720970176</v>
      </c>
      <c r="G546" s="25">
        <v>70.95</v>
      </c>
      <c r="H546" s="379">
        <v>26.545715569870701</v>
      </c>
      <c r="I546" s="25">
        <v>843.72</v>
      </c>
      <c r="J546" s="379">
        <v>7.5169038597591289</v>
      </c>
    </row>
    <row r="547" spans="1:10" x14ac:dyDescent="0.35">
      <c r="A547" s="5">
        <v>543</v>
      </c>
      <c r="B547" s="5">
        <v>23</v>
      </c>
      <c r="C547" s="5">
        <v>1</v>
      </c>
      <c r="D547" s="379">
        <v>53.668641574124351</v>
      </c>
      <c r="E547" s="25">
        <v>29.86</v>
      </c>
      <c r="F547" s="379">
        <v>30.738663125736576</v>
      </c>
      <c r="G547" s="25">
        <v>62.75</v>
      </c>
      <c r="H547" s="379">
        <v>26.456677865063114</v>
      </c>
      <c r="I547" s="25">
        <v>843.72</v>
      </c>
      <c r="J547" s="379">
        <v>7.3783890210563872</v>
      </c>
    </row>
    <row r="548" spans="1:10" x14ac:dyDescent="0.35">
      <c r="A548" s="5">
        <v>544</v>
      </c>
      <c r="B548" s="5">
        <v>23</v>
      </c>
      <c r="C548" s="5">
        <v>1</v>
      </c>
      <c r="D548" s="379">
        <v>51.243315834177672</v>
      </c>
      <c r="E548" s="25">
        <v>31.19</v>
      </c>
      <c r="F548" s="379">
        <v>29.070039272870133</v>
      </c>
      <c r="G548" s="25">
        <v>62.75</v>
      </c>
      <c r="H548" s="379">
        <v>26.445028049333061</v>
      </c>
      <c r="I548" s="25">
        <v>843.72</v>
      </c>
      <c r="J548" s="379">
        <v>6.8390985867796452</v>
      </c>
    </row>
    <row r="549" spans="1:10" x14ac:dyDescent="0.35">
      <c r="A549" s="5">
        <v>545</v>
      </c>
      <c r="B549" s="5">
        <v>23</v>
      </c>
      <c r="C549" s="5">
        <v>1</v>
      </c>
      <c r="D549" s="379">
        <v>53.374660026316597</v>
      </c>
      <c r="E549" s="25">
        <v>32.11</v>
      </c>
      <c r="F549" s="379">
        <v>25.198345488860063</v>
      </c>
      <c r="G549" s="25">
        <v>73.08</v>
      </c>
      <c r="H549" s="379">
        <v>26.12721093427092</v>
      </c>
      <c r="I549" s="25">
        <v>860.34</v>
      </c>
      <c r="J549" s="379">
        <v>7.2341378529106581</v>
      </c>
    </row>
    <row r="550" spans="1:10" x14ac:dyDescent="0.35">
      <c r="A550" s="5">
        <v>546</v>
      </c>
      <c r="B550" s="5">
        <v>23</v>
      </c>
      <c r="C550" s="5">
        <v>1</v>
      </c>
      <c r="D550" s="379">
        <v>72.455453699914429</v>
      </c>
      <c r="E550" s="25">
        <v>36.01</v>
      </c>
      <c r="F550" s="379">
        <v>30.375722796665947</v>
      </c>
      <c r="G550" s="25">
        <v>73.08</v>
      </c>
      <c r="H550" s="379">
        <v>24.694691499019687</v>
      </c>
      <c r="I550" s="25">
        <v>869.03</v>
      </c>
      <c r="J550" s="379">
        <v>6.5263620138423031</v>
      </c>
    </row>
    <row r="551" spans="1:10" x14ac:dyDescent="0.35">
      <c r="A551" s="5">
        <v>547</v>
      </c>
      <c r="B551" s="5">
        <v>23</v>
      </c>
      <c r="C551" s="5">
        <v>1</v>
      </c>
      <c r="D551" s="379">
        <v>68.319444444444443</v>
      </c>
      <c r="E551" s="25">
        <v>32.11</v>
      </c>
      <c r="F551" s="379">
        <v>31.925656992971643</v>
      </c>
      <c r="G551" s="25">
        <v>73.08</v>
      </c>
      <c r="H551" s="379">
        <v>24.062470743864491</v>
      </c>
      <c r="I551" s="25">
        <v>869.03</v>
      </c>
      <c r="J551" s="379">
        <v>3.7214367469801091</v>
      </c>
    </row>
    <row r="552" spans="1:10" x14ac:dyDescent="0.35">
      <c r="A552" s="5">
        <v>548</v>
      </c>
      <c r="B552" s="5">
        <v>23</v>
      </c>
      <c r="C552" s="5">
        <v>1</v>
      </c>
      <c r="D552" s="379">
        <v>67.211111111111123</v>
      </c>
      <c r="E552" s="25">
        <v>31.84</v>
      </c>
      <c r="F552" s="379">
        <v>25.295018898197835</v>
      </c>
      <c r="G552" s="25">
        <v>64.2</v>
      </c>
      <c r="H552" s="379">
        <v>22.338721267315886</v>
      </c>
      <c r="I552" s="25">
        <v>869.03</v>
      </c>
      <c r="J552" s="379">
        <v>6.0337610577760339</v>
      </c>
    </row>
    <row r="553" spans="1:10" x14ac:dyDescent="0.35">
      <c r="A553" s="5">
        <v>549</v>
      </c>
      <c r="B553" s="5">
        <v>23</v>
      </c>
      <c r="C553" s="5">
        <v>1</v>
      </c>
      <c r="D553" s="379">
        <v>54.2</v>
      </c>
      <c r="E553" s="25">
        <v>27.3</v>
      </c>
      <c r="F553" s="379">
        <v>24.618433290081537</v>
      </c>
      <c r="G553" s="25">
        <v>62.12</v>
      </c>
      <c r="H553" s="379">
        <v>21.382247485840391</v>
      </c>
      <c r="I553" s="25">
        <v>843.72</v>
      </c>
      <c r="J553" s="379">
        <v>6.2875461246323106</v>
      </c>
    </row>
    <row r="554" spans="1:10" x14ac:dyDescent="0.35">
      <c r="A554" s="5">
        <v>550</v>
      </c>
      <c r="B554" s="5">
        <v>23</v>
      </c>
      <c r="C554" s="5">
        <v>1</v>
      </c>
      <c r="D554" s="379">
        <v>56.9</v>
      </c>
      <c r="E554" s="25">
        <v>26.5</v>
      </c>
      <c r="F554" s="379">
        <v>15.125981679465717</v>
      </c>
      <c r="G554" s="25">
        <v>62.12</v>
      </c>
      <c r="H554" s="379">
        <v>12.234700686380622</v>
      </c>
      <c r="I554" s="25">
        <v>843.72</v>
      </c>
      <c r="J554" s="379">
        <v>5.6350091890912015</v>
      </c>
    </row>
    <row r="555" spans="1:10" x14ac:dyDescent="0.35">
      <c r="A555" s="5">
        <v>551</v>
      </c>
      <c r="B555" s="5">
        <v>23</v>
      </c>
      <c r="C555" s="5">
        <v>1</v>
      </c>
      <c r="D555" s="379">
        <v>52.355372429396184</v>
      </c>
      <c r="E555" s="25">
        <v>25.74</v>
      </c>
      <c r="F555" s="379">
        <v>13.13211466797499</v>
      </c>
      <c r="G555" s="25">
        <v>57.04</v>
      </c>
      <c r="H555" s="379">
        <v>8.7656015748652703</v>
      </c>
      <c r="I555" s="25">
        <v>843.72</v>
      </c>
      <c r="J555" s="379">
        <v>3.5941409754337128</v>
      </c>
    </row>
    <row r="556" spans="1:10" x14ac:dyDescent="0.35">
      <c r="A556" s="5">
        <v>552</v>
      </c>
      <c r="B556" s="5">
        <v>23</v>
      </c>
      <c r="C556" s="5">
        <v>1</v>
      </c>
      <c r="D556" s="379">
        <v>51.43333333333333</v>
      </c>
      <c r="E556" s="25">
        <v>25.74</v>
      </c>
      <c r="F556" s="379">
        <v>11.802923861790884</v>
      </c>
      <c r="G556" s="25">
        <v>52.67</v>
      </c>
      <c r="H556" s="379">
        <v>8.2509742884421389</v>
      </c>
      <c r="I556" s="25">
        <v>843.72</v>
      </c>
      <c r="J556" s="379">
        <v>5.3829377450198201</v>
      </c>
    </row>
    <row r="557" spans="1:10" x14ac:dyDescent="0.35">
      <c r="A557" s="5">
        <v>553</v>
      </c>
      <c r="B557" s="5">
        <v>24</v>
      </c>
      <c r="C557" s="5">
        <v>1</v>
      </c>
      <c r="D557" s="379">
        <v>46.620912832118862</v>
      </c>
      <c r="E557" s="25">
        <v>25.74</v>
      </c>
      <c r="F557" s="379">
        <v>9.4827038533507704</v>
      </c>
      <c r="G557" s="25">
        <v>46.11</v>
      </c>
      <c r="H557" s="379">
        <v>8.7239058092652719</v>
      </c>
      <c r="I557" s="25">
        <v>64.14</v>
      </c>
      <c r="J557" s="379">
        <v>3.8855627018591221</v>
      </c>
    </row>
    <row r="558" spans="1:10" x14ac:dyDescent="0.35">
      <c r="A558" s="5">
        <v>554</v>
      </c>
      <c r="B558" s="5">
        <v>24</v>
      </c>
      <c r="C558" s="5">
        <v>1</v>
      </c>
      <c r="D558" s="379">
        <v>49.275555555555556</v>
      </c>
      <c r="E558" s="25">
        <v>25.29</v>
      </c>
      <c r="F558" s="379">
        <v>8.667431223456056</v>
      </c>
      <c r="G558" s="25">
        <v>46.11</v>
      </c>
      <c r="H558" s="379">
        <v>9.330231497943954</v>
      </c>
      <c r="I558" s="25">
        <v>53.71</v>
      </c>
      <c r="J558" s="379">
        <v>4.3622707313153661</v>
      </c>
    </row>
    <row r="559" spans="1:10" x14ac:dyDescent="0.35">
      <c r="A559" s="5">
        <v>555</v>
      </c>
      <c r="B559" s="5">
        <v>24</v>
      </c>
      <c r="C559" s="5">
        <v>1</v>
      </c>
      <c r="D559" s="379">
        <v>43.408118170550004</v>
      </c>
      <c r="E559" s="25">
        <v>24.84</v>
      </c>
      <c r="F559" s="379">
        <v>8.7398638914064701</v>
      </c>
      <c r="G559" s="25">
        <v>43.02</v>
      </c>
      <c r="H559" s="379">
        <v>9.1247238166654299</v>
      </c>
      <c r="I559" s="25">
        <v>48.86</v>
      </c>
      <c r="J559" s="379">
        <v>3.8821108525029526</v>
      </c>
    </row>
    <row r="560" spans="1:10" x14ac:dyDescent="0.35">
      <c r="A560" s="5">
        <v>556</v>
      </c>
      <c r="B560" s="5">
        <v>24</v>
      </c>
      <c r="C560" s="5">
        <v>1</v>
      </c>
      <c r="D560" s="379">
        <v>49.038142659587074</v>
      </c>
      <c r="E560" s="25">
        <v>24.84</v>
      </c>
      <c r="F560" s="379">
        <v>8.5206613480648254</v>
      </c>
      <c r="G560" s="25">
        <v>43.02</v>
      </c>
      <c r="H560" s="379">
        <v>9.166024310982646</v>
      </c>
      <c r="I560" s="25">
        <v>48.26</v>
      </c>
      <c r="J560" s="379">
        <v>4.2176788951677704</v>
      </c>
    </row>
    <row r="561" spans="1:10" x14ac:dyDescent="0.35">
      <c r="A561" s="5">
        <v>557</v>
      </c>
      <c r="B561" s="5">
        <v>24</v>
      </c>
      <c r="C561" s="5">
        <v>1</v>
      </c>
      <c r="D561" s="379">
        <v>49.3732956758654</v>
      </c>
      <c r="E561" s="25">
        <v>24.84</v>
      </c>
      <c r="F561" s="379">
        <v>8.1174834595959595</v>
      </c>
      <c r="G561" s="25">
        <v>38.03</v>
      </c>
      <c r="H561" s="379">
        <v>9.297398431632736</v>
      </c>
      <c r="I561" s="25">
        <v>48.26</v>
      </c>
      <c r="J561" s="379">
        <v>4.2184189797564908</v>
      </c>
    </row>
    <row r="562" spans="1:10" x14ac:dyDescent="0.35">
      <c r="A562" s="5">
        <v>558</v>
      </c>
      <c r="B562" s="5">
        <v>24</v>
      </c>
      <c r="C562" s="5">
        <v>1</v>
      </c>
      <c r="D562" s="379">
        <v>45.913021298027623</v>
      </c>
      <c r="E562" s="25">
        <v>24.84</v>
      </c>
      <c r="F562" s="379">
        <v>8.5874213238007311</v>
      </c>
      <c r="G562" s="25">
        <v>38.03</v>
      </c>
      <c r="H562" s="379">
        <v>9.2932093833196436</v>
      </c>
      <c r="I562" s="25">
        <v>48.26</v>
      </c>
      <c r="J562" s="379">
        <v>4.0748901392861363</v>
      </c>
    </row>
    <row r="563" spans="1:10" x14ac:dyDescent="0.35">
      <c r="A563" s="5">
        <v>559</v>
      </c>
      <c r="B563" s="5">
        <v>24</v>
      </c>
      <c r="C563" s="5">
        <v>1</v>
      </c>
      <c r="D563" s="379">
        <v>68.188888888888883</v>
      </c>
      <c r="E563" s="25">
        <v>24.84</v>
      </c>
      <c r="F563" s="379">
        <v>8.8481525980717759</v>
      </c>
      <c r="G563" s="25">
        <v>38.03</v>
      </c>
      <c r="H563" s="379">
        <v>8.9558755082055672</v>
      </c>
      <c r="I563" s="25">
        <v>48.26</v>
      </c>
      <c r="J563" s="379">
        <v>4.3800373997520037</v>
      </c>
    </row>
    <row r="564" spans="1:10" x14ac:dyDescent="0.35">
      <c r="A564" s="5">
        <v>560</v>
      </c>
      <c r="B564" s="5">
        <v>24</v>
      </c>
      <c r="C564" s="5">
        <v>1</v>
      </c>
      <c r="D564" s="379">
        <v>65.024712677988532</v>
      </c>
      <c r="E564" s="25">
        <v>24.84</v>
      </c>
      <c r="F564" s="379">
        <v>8.9757239428733371</v>
      </c>
      <c r="G564" s="25">
        <v>42.19</v>
      </c>
      <c r="H564" s="379">
        <v>9.8704651340510576</v>
      </c>
      <c r="I564" s="25">
        <v>48.26</v>
      </c>
      <c r="J564" s="379">
        <v>4.7586542829221878</v>
      </c>
    </row>
    <row r="565" spans="1:10" x14ac:dyDescent="0.35">
      <c r="A565" s="5">
        <v>561</v>
      </c>
      <c r="B565" s="5">
        <v>24</v>
      </c>
      <c r="C565" s="5">
        <v>1</v>
      </c>
      <c r="D565" s="379">
        <v>60.998888888888885</v>
      </c>
      <c r="E565" s="25">
        <v>24.84</v>
      </c>
      <c r="F565" s="379">
        <v>8.9757239428733371</v>
      </c>
      <c r="G565" s="25">
        <v>43.02</v>
      </c>
      <c r="H565" s="379">
        <v>9.4809200110164493</v>
      </c>
      <c r="I565" s="25">
        <v>48.26</v>
      </c>
      <c r="J565" s="379">
        <v>2.5204102606062118</v>
      </c>
    </row>
    <row r="566" spans="1:10" x14ac:dyDescent="0.35">
      <c r="A566" s="5">
        <v>562</v>
      </c>
      <c r="B566" s="5">
        <v>24</v>
      </c>
      <c r="C566" s="5">
        <v>1</v>
      </c>
      <c r="D566" s="379">
        <v>83.163888888888877</v>
      </c>
      <c r="E566" s="25">
        <v>24.99</v>
      </c>
      <c r="F566" s="379">
        <v>9.3252724947262831</v>
      </c>
      <c r="G566" s="25">
        <v>46.03</v>
      </c>
      <c r="H566" s="379">
        <v>6.3747650896260479</v>
      </c>
      <c r="I566" s="25">
        <v>48.86</v>
      </c>
      <c r="J566" s="379">
        <v>5.939437987399975</v>
      </c>
    </row>
    <row r="567" spans="1:10" x14ac:dyDescent="0.35">
      <c r="A567" s="5">
        <v>563</v>
      </c>
      <c r="B567" s="5">
        <v>24</v>
      </c>
      <c r="C567" s="5">
        <v>1</v>
      </c>
      <c r="D567" s="379">
        <v>77.780305827536566</v>
      </c>
      <c r="E567" s="25">
        <v>24.99</v>
      </c>
      <c r="F567" s="379">
        <v>8.9048457988911842</v>
      </c>
      <c r="G567" s="25">
        <v>46.03</v>
      </c>
      <c r="H567" s="379">
        <v>5.9320170341426639</v>
      </c>
      <c r="I567" s="25">
        <v>49.07</v>
      </c>
      <c r="J567" s="379">
        <v>3.9612758450382919</v>
      </c>
    </row>
    <row r="568" spans="1:10" x14ac:dyDescent="0.35">
      <c r="A568" s="5">
        <v>564</v>
      </c>
      <c r="B568" s="5">
        <v>24</v>
      </c>
      <c r="C568" s="5">
        <v>1</v>
      </c>
      <c r="D568" s="379">
        <v>62.816666666666663</v>
      </c>
      <c r="E568" s="25">
        <v>24.99</v>
      </c>
      <c r="F568" s="379">
        <v>8.7751076817446361</v>
      </c>
      <c r="G568" s="25">
        <v>46.03</v>
      </c>
      <c r="H568" s="379">
        <v>5.9669882603926165</v>
      </c>
      <c r="I568" s="25">
        <v>48.66</v>
      </c>
      <c r="J568" s="379">
        <v>4.0177873958033232E-2</v>
      </c>
    </row>
    <row r="569" spans="1:10" x14ac:dyDescent="0.35">
      <c r="A569" s="5">
        <v>565</v>
      </c>
      <c r="B569" s="5">
        <v>24</v>
      </c>
      <c r="C569" s="5">
        <v>1</v>
      </c>
      <c r="D569" s="379">
        <v>47.841730736745156</v>
      </c>
      <c r="E569" s="25">
        <v>24.99</v>
      </c>
      <c r="F569" s="379">
        <v>8.1174834595959595</v>
      </c>
      <c r="G569" s="25">
        <v>46.03</v>
      </c>
      <c r="H569" s="379">
        <v>4.799693804694658</v>
      </c>
      <c r="I569" s="25">
        <v>48.26</v>
      </c>
      <c r="J569" s="379">
        <v>6.2503224289366707E-2</v>
      </c>
    </row>
    <row r="570" spans="1:10" x14ac:dyDescent="0.35">
      <c r="A570" s="5">
        <v>566</v>
      </c>
      <c r="B570" s="5">
        <v>24</v>
      </c>
      <c r="C570" s="5">
        <v>1</v>
      </c>
      <c r="D570" s="379">
        <v>55.876111111111108</v>
      </c>
      <c r="E570" s="25">
        <v>24.84</v>
      </c>
      <c r="F570" s="379">
        <v>8.1174834595959595</v>
      </c>
      <c r="G570" s="25">
        <v>43.46</v>
      </c>
      <c r="H570" s="379">
        <v>4.799693804694658</v>
      </c>
      <c r="I570" s="25">
        <v>48.26</v>
      </c>
      <c r="J570" s="379">
        <v>0.2017651891626826</v>
      </c>
    </row>
    <row r="571" spans="1:10" x14ac:dyDescent="0.35">
      <c r="A571" s="5">
        <v>567</v>
      </c>
      <c r="B571" s="5">
        <v>24</v>
      </c>
      <c r="C571" s="5">
        <v>1</v>
      </c>
      <c r="D571" s="379">
        <v>57.863888888888887</v>
      </c>
      <c r="E571" s="25">
        <v>24.84</v>
      </c>
      <c r="F571" s="379">
        <v>8.1174834595959577</v>
      </c>
      <c r="G571" s="25">
        <v>43.46</v>
      </c>
      <c r="H571" s="379">
        <v>6.6526921714898588</v>
      </c>
      <c r="I571" s="25">
        <v>47.44</v>
      </c>
      <c r="J571" s="379">
        <v>0.22281073456464986</v>
      </c>
    </row>
    <row r="572" spans="1:10" x14ac:dyDescent="0.35">
      <c r="A572" s="5">
        <v>568</v>
      </c>
      <c r="B572" s="5">
        <v>24</v>
      </c>
      <c r="C572" s="5">
        <v>1</v>
      </c>
      <c r="D572" s="379">
        <v>71.24722222222222</v>
      </c>
      <c r="E572" s="25">
        <v>24.84</v>
      </c>
      <c r="F572" s="379">
        <v>8.2770363002866532</v>
      </c>
      <c r="G572" s="25">
        <v>43.56</v>
      </c>
      <c r="H572" s="379">
        <v>6.496906743425571</v>
      </c>
      <c r="I572" s="25">
        <v>48.26</v>
      </c>
      <c r="J572" s="379">
        <v>0.18654045423150603</v>
      </c>
    </row>
    <row r="573" spans="1:10" x14ac:dyDescent="0.35">
      <c r="A573" s="5">
        <v>569</v>
      </c>
      <c r="B573" s="5">
        <v>24</v>
      </c>
      <c r="C573" s="5">
        <v>1</v>
      </c>
      <c r="D573" s="379">
        <v>49.378783639754857</v>
      </c>
      <c r="E573" s="25">
        <v>24.84</v>
      </c>
      <c r="F573" s="379">
        <v>12.597161478219611</v>
      </c>
      <c r="G573" s="25">
        <v>43.56</v>
      </c>
      <c r="H573" s="379">
        <v>9.3505343070349092</v>
      </c>
      <c r="I573" s="25">
        <v>48.26</v>
      </c>
      <c r="J573" s="379">
        <v>4.3650074957826108</v>
      </c>
    </row>
    <row r="574" spans="1:10" x14ac:dyDescent="0.35">
      <c r="A574" s="5">
        <v>570</v>
      </c>
      <c r="B574" s="5">
        <v>24</v>
      </c>
      <c r="C574" s="5">
        <v>1</v>
      </c>
      <c r="D574" s="379">
        <v>122.03444417909506</v>
      </c>
      <c r="E574" s="25">
        <v>25.74</v>
      </c>
      <c r="F574" s="379">
        <v>11.671906219460508</v>
      </c>
      <c r="G574" s="25">
        <v>44.93</v>
      </c>
      <c r="H574" s="379">
        <v>8.8717029394718114</v>
      </c>
      <c r="I574" s="25">
        <v>60.46</v>
      </c>
      <c r="J574" s="379">
        <v>4.8369229229004418</v>
      </c>
    </row>
    <row r="575" spans="1:10" x14ac:dyDescent="0.35">
      <c r="A575" s="5">
        <v>571</v>
      </c>
      <c r="B575" s="5">
        <v>24</v>
      </c>
      <c r="C575" s="5">
        <v>1</v>
      </c>
      <c r="D575" s="379">
        <v>102.70777777777778</v>
      </c>
      <c r="E575" s="25">
        <v>26.53</v>
      </c>
      <c r="F575" s="379">
        <v>12.338387123131589</v>
      </c>
      <c r="G575" s="25">
        <v>47.85</v>
      </c>
      <c r="H575" s="379">
        <v>9.3436829733205808</v>
      </c>
      <c r="I575" s="25">
        <v>66.06</v>
      </c>
      <c r="J575" s="379">
        <v>5.5670080027135063</v>
      </c>
    </row>
    <row r="576" spans="1:10" x14ac:dyDescent="0.35">
      <c r="A576" s="5">
        <v>572</v>
      </c>
      <c r="B576" s="5">
        <v>24</v>
      </c>
      <c r="C576" s="5">
        <v>1</v>
      </c>
      <c r="D576" s="379">
        <v>36.711111111111109</v>
      </c>
      <c r="E576" s="25">
        <v>25.74</v>
      </c>
      <c r="F576" s="379">
        <v>11.252745790724207</v>
      </c>
      <c r="G576" s="25">
        <v>47.85</v>
      </c>
      <c r="H576" s="379">
        <v>8.9820305128160971</v>
      </c>
      <c r="I576" s="25">
        <v>66.06</v>
      </c>
      <c r="J576" s="379">
        <v>4.2850409941647341</v>
      </c>
    </row>
    <row r="577" spans="1:10" x14ac:dyDescent="0.35">
      <c r="A577" s="5">
        <v>573</v>
      </c>
      <c r="B577" s="5">
        <v>24</v>
      </c>
      <c r="C577" s="5">
        <v>1</v>
      </c>
      <c r="D577" s="379">
        <v>76.38333333333334</v>
      </c>
      <c r="E577" s="25">
        <v>25.74</v>
      </c>
      <c r="F577" s="379">
        <v>11.726493415375383</v>
      </c>
      <c r="G577" s="25">
        <v>47.85</v>
      </c>
      <c r="H577" s="379">
        <v>9.7245220234983325</v>
      </c>
      <c r="I577" s="25">
        <v>64.14</v>
      </c>
      <c r="J577" s="379">
        <v>4.5777861087964391</v>
      </c>
    </row>
    <row r="578" spans="1:10" x14ac:dyDescent="0.35">
      <c r="A578" s="5">
        <v>574</v>
      </c>
      <c r="B578" s="5">
        <v>24</v>
      </c>
      <c r="C578" s="5">
        <v>1</v>
      </c>
      <c r="D578" s="379">
        <v>34.638888888888886</v>
      </c>
      <c r="E578" s="25">
        <v>25.29</v>
      </c>
      <c r="F578" s="379">
        <v>11.306125422909648</v>
      </c>
      <c r="G578" s="25">
        <v>47.85</v>
      </c>
      <c r="H578" s="379">
        <v>8.8362079461903633</v>
      </c>
      <c r="I578" s="25">
        <v>56.15</v>
      </c>
      <c r="J578" s="379">
        <v>3.4646820137477907</v>
      </c>
    </row>
    <row r="579" spans="1:10" x14ac:dyDescent="0.35">
      <c r="A579" s="5">
        <v>575</v>
      </c>
      <c r="B579" s="5">
        <v>24</v>
      </c>
      <c r="C579" s="5">
        <v>1</v>
      </c>
      <c r="D579" s="379">
        <v>44.449664151007987</v>
      </c>
      <c r="E579" s="25">
        <v>25.74</v>
      </c>
      <c r="F579" s="379">
        <v>10.423583818600202</v>
      </c>
      <c r="G579" s="25">
        <v>47.85</v>
      </c>
      <c r="H579" s="379">
        <v>9.3524414416049151</v>
      </c>
      <c r="I579" s="25">
        <v>62.27</v>
      </c>
      <c r="J579" s="379">
        <v>4.5854305073131849</v>
      </c>
    </row>
    <row r="580" spans="1:10" x14ac:dyDescent="0.35">
      <c r="A580" s="5">
        <v>576</v>
      </c>
      <c r="B580" s="5">
        <v>24</v>
      </c>
      <c r="C580" s="5">
        <v>1</v>
      </c>
      <c r="D580" s="379">
        <v>55.555555555555557</v>
      </c>
      <c r="E580" s="25">
        <v>25.59</v>
      </c>
      <c r="F580" s="379">
        <v>9.5480820454282487</v>
      </c>
      <c r="G580" s="25">
        <v>47.46</v>
      </c>
      <c r="H580" s="379">
        <v>8.6541424812041878</v>
      </c>
      <c r="I580" s="25">
        <v>56.15</v>
      </c>
      <c r="J580" s="379">
        <v>4.815947332355841</v>
      </c>
    </row>
    <row r="581" spans="1:10" x14ac:dyDescent="0.35">
      <c r="A581" s="5">
        <v>577</v>
      </c>
      <c r="B581" s="5">
        <v>25</v>
      </c>
      <c r="C581" s="5">
        <v>1</v>
      </c>
      <c r="D581" s="379">
        <v>57.960273389618251</v>
      </c>
      <c r="E581" s="25">
        <v>24.99</v>
      </c>
      <c r="F581" s="379">
        <v>9.7679247003513829</v>
      </c>
      <c r="G581" s="25">
        <v>47.46</v>
      </c>
      <c r="H581" s="379">
        <v>8.704752875083317</v>
      </c>
      <c r="I581" s="25">
        <v>68.05</v>
      </c>
      <c r="J581" s="379">
        <v>4.2567450084245824</v>
      </c>
    </row>
    <row r="582" spans="1:10" x14ac:dyDescent="0.35">
      <c r="A582" s="5">
        <v>578</v>
      </c>
      <c r="B582" s="5">
        <v>25</v>
      </c>
      <c r="C582" s="5">
        <v>1</v>
      </c>
      <c r="D582" s="379">
        <v>59.138888888888886</v>
      </c>
      <c r="E582" s="25">
        <v>24.99</v>
      </c>
      <c r="F582" s="379">
        <v>9.7736276686810832</v>
      </c>
      <c r="G582" s="25">
        <v>47.46</v>
      </c>
      <c r="H582" s="379">
        <v>9.2542528752895397</v>
      </c>
      <c r="I582" s="25">
        <v>68.05</v>
      </c>
      <c r="J582" s="379">
        <v>5.0656580415600097</v>
      </c>
    </row>
    <row r="583" spans="1:10" x14ac:dyDescent="0.35">
      <c r="A583" s="5">
        <v>579</v>
      </c>
      <c r="B583" s="5">
        <v>25</v>
      </c>
      <c r="C583" s="5">
        <v>1</v>
      </c>
      <c r="D583" s="379">
        <v>56.597222222222221</v>
      </c>
      <c r="E583" s="25">
        <v>24.84</v>
      </c>
      <c r="F583" s="379">
        <v>9.8119680311187789</v>
      </c>
      <c r="G583" s="25">
        <v>46.11</v>
      </c>
      <c r="H583" s="379">
        <v>9.8575368021201495</v>
      </c>
      <c r="I583" s="25">
        <v>68.05</v>
      </c>
      <c r="J583" s="379">
        <v>5.1966191893249869</v>
      </c>
    </row>
    <row r="584" spans="1:10" x14ac:dyDescent="0.35">
      <c r="A584" s="5">
        <v>580</v>
      </c>
      <c r="B584" s="5">
        <v>25</v>
      </c>
      <c r="C584" s="5">
        <v>1</v>
      </c>
      <c r="D584" s="379">
        <v>51.841666666666661</v>
      </c>
      <c r="E584" s="25">
        <v>24.84</v>
      </c>
      <c r="F584" s="379">
        <v>9.8586293176545219</v>
      </c>
      <c r="G584" s="25">
        <v>46.11</v>
      </c>
      <c r="H584" s="379">
        <v>9.6950501933345183</v>
      </c>
      <c r="I584" s="25">
        <v>68.05</v>
      </c>
      <c r="J584" s="379">
        <v>6.2210320275593567</v>
      </c>
    </row>
    <row r="585" spans="1:10" x14ac:dyDescent="0.35">
      <c r="A585" s="5">
        <v>581</v>
      </c>
      <c r="B585" s="5">
        <v>25</v>
      </c>
      <c r="C585" s="5">
        <v>1</v>
      </c>
      <c r="D585" s="379">
        <v>42.50555555555556</v>
      </c>
      <c r="E585" s="25">
        <v>24.84</v>
      </c>
      <c r="F585" s="379">
        <v>10.545093372594176</v>
      </c>
      <c r="G585" s="25">
        <v>47.46</v>
      </c>
      <c r="H585" s="379">
        <v>9.2935619486245553</v>
      </c>
      <c r="I585" s="25">
        <v>68.05</v>
      </c>
      <c r="J585" s="379">
        <v>6.448747081001879</v>
      </c>
    </row>
    <row r="586" spans="1:10" x14ac:dyDescent="0.35">
      <c r="A586" s="5">
        <v>582</v>
      </c>
      <c r="B586" s="5">
        <v>25</v>
      </c>
      <c r="C586" s="5">
        <v>1</v>
      </c>
      <c r="D586" s="379">
        <v>57.468806679853913</v>
      </c>
      <c r="E586" s="25">
        <v>25.59</v>
      </c>
      <c r="F586" s="379">
        <v>12.716718459418162</v>
      </c>
      <c r="G586" s="25">
        <v>47.85</v>
      </c>
      <c r="H586" s="379">
        <v>10.536673468839506</v>
      </c>
      <c r="I586" s="25">
        <v>147.82</v>
      </c>
      <c r="J586" s="379">
        <v>6.7200362328596306</v>
      </c>
    </row>
    <row r="587" spans="1:10" x14ac:dyDescent="0.35">
      <c r="A587" s="5">
        <v>583</v>
      </c>
      <c r="B587" s="5">
        <v>25</v>
      </c>
      <c r="C587" s="5">
        <v>1</v>
      </c>
      <c r="D587" s="379">
        <v>50.172777777777782</v>
      </c>
      <c r="E587" s="25">
        <v>28.11</v>
      </c>
      <c r="F587" s="379">
        <v>18.061666665599667</v>
      </c>
      <c r="G587" s="25">
        <v>57.04</v>
      </c>
      <c r="H587" s="379">
        <v>11.907773823194352</v>
      </c>
      <c r="I587" s="25">
        <v>738.68</v>
      </c>
      <c r="J587" s="379">
        <v>7.0040556645657164</v>
      </c>
    </row>
    <row r="588" spans="1:10" x14ac:dyDescent="0.35">
      <c r="A588" s="5">
        <v>584</v>
      </c>
      <c r="B588" s="5">
        <v>25</v>
      </c>
      <c r="C588" s="5">
        <v>1</v>
      </c>
      <c r="D588" s="379">
        <v>92.163888888888891</v>
      </c>
      <c r="E588" s="25">
        <v>35.869999999999997</v>
      </c>
      <c r="F588" s="379">
        <v>25.131518519081069</v>
      </c>
      <c r="G588" s="25">
        <v>64.2</v>
      </c>
      <c r="H588" s="379">
        <v>12.135397183809628</v>
      </c>
      <c r="I588" s="25">
        <v>843.72</v>
      </c>
      <c r="J588" s="379">
        <v>7.0040556645657164</v>
      </c>
    </row>
    <row r="589" spans="1:10" x14ac:dyDescent="0.35">
      <c r="A589" s="5">
        <v>585</v>
      </c>
      <c r="B589" s="5">
        <v>25</v>
      </c>
      <c r="C589" s="5">
        <v>1</v>
      </c>
      <c r="D589" s="379">
        <v>64.22</v>
      </c>
      <c r="E589" s="25">
        <v>36.94</v>
      </c>
      <c r="F589" s="379">
        <v>24.727448306746087</v>
      </c>
      <c r="G589" s="25">
        <v>73.33</v>
      </c>
      <c r="H589" s="379">
        <v>12.286503585175319</v>
      </c>
      <c r="I589" s="25">
        <v>843.72</v>
      </c>
      <c r="J589" s="379">
        <v>7.0040556645657164</v>
      </c>
    </row>
    <row r="590" spans="1:10" x14ac:dyDescent="0.35">
      <c r="A590" s="5">
        <v>586</v>
      </c>
      <c r="B590" s="5">
        <v>25</v>
      </c>
      <c r="C590" s="5">
        <v>1</v>
      </c>
      <c r="D590" s="379">
        <v>66.471666666666664</v>
      </c>
      <c r="E590" s="25">
        <v>36.94</v>
      </c>
      <c r="F590" s="379">
        <v>24.317828607778491</v>
      </c>
      <c r="G590" s="25">
        <v>73.08</v>
      </c>
      <c r="H590" s="379">
        <v>4.799693804694658</v>
      </c>
      <c r="I590" s="25">
        <v>843.72</v>
      </c>
      <c r="J590" s="379">
        <v>6.5786642325771485</v>
      </c>
    </row>
    <row r="591" spans="1:10" x14ac:dyDescent="0.35">
      <c r="A591" s="5">
        <v>587</v>
      </c>
      <c r="B591" s="5">
        <v>25</v>
      </c>
      <c r="C591" s="5">
        <v>1</v>
      </c>
      <c r="D591" s="379">
        <v>90.620778048996613</v>
      </c>
      <c r="E591" s="25">
        <v>36.94</v>
      </c>
      <c r="F591" s="379">
        <v>23.40399825434212</v>
      </c>
      <c r="G591" s="25">
        <v>73.08</v>
      </c>
      <c r="H591" s="379">
        <v>12.345507577427634</v>
      </c>
      <c r="I591" s="25">
        <v>843.72</v>
      </c>
      <c r="J591" s="379">
        <v>7.0040556645657164</v>
      </c>
    </row>
    <row r="592" spans="1:10" x14ac:dyDescent="0.35">
      <c r="A592" s="5">
        <v>588</v>
      </c>
      <c r="B592" s="5">
        <v>25</v>
      </c>
      <c r="C592" s="5">
        <v>1</v>
      </c>
      <c r="D592" s="379">
        <v>49.988888888888887</v>
      </c>
      <c r="E592" s="25">
        <v>36.94</v>
      </c>
      <c r="F592" s="379">
        <v>19.902294705994098</v>
      </c>
      <c r="G592" s="25">
        <v>73.08</v>
      </c>
      <c r="H592" s="379">
        <v>11.011196531650512</v>
      </c>
      <c r="I592" s="25">
        <v>843.72</v>
      </c>
      <c r="J592" s="379">
        <v>5.9369718601572954</v>
      </c>
    </row>
    <row r="593" spans="1:10" x14ac:dyDescent="0.35">
      <c r="A593" s="5">
        <v>589</v>
      </c>
      <c r="B593" s="5">
        <v>25</v>
      </c>
      <c r="C593" s="5">
        <v>1</v>
      </c>
      <c r="D593" s="379">
        <v>85.61824050129691</v>
      </c>
      <c r="E593" s="25">
        <v>36.01</v>
      </c>
      <c r="F593" s="379">
        <v>20.105465661510305</v>
      </c>
      <c r="G593" s="25">
        <v>73.08</v>
      </c>
      <c r="H593" s="379">
        <v>10.42510599930392</v>
      </c>
      <c r="I593" s="25">
        <v>795.29</v>
      </c>
      <c r="J593" s="379">
        <v>6.0837245873713677</v>
      </c>
    </row>
    <row r="594" spans="1:10" x14ac:dyDescent="0.35">
      <c r="A594" s="5">
        <v>590</v>
      </c>
      <c r="B594" s="5">
        <v>25</v>
      </c>
      <c r="C594" s="5">
        <v>1</v>
      </c>
      <c r="D594" s="379">
        <v>58.928333333333327</v>
      </c>
      <c r="E594" s="25">
        <v>36.01</v>
      </c>
      <c r="F594" s="379">
        <v>22.355325127272636</v>
      </c>
      <c r="G594" s="25">
        <v>73.08</v>
      </c>
      <c r="H594" s="379">
        <v>10.670149329142582</v>
      </c>
      <c r="I594" s="25">
        <v>795.29</v>
      </c>
      <c r="J594" s="379">
        <v>6.8257509858056125</v>
      </c>
    </row>
    <row r="595" spans="1:10" x14ac:dyDescent="0.35">
      <c r="A595" s="5">
        <v>591</v>
      </c>
      <c r="B595" s="5">
        <v>25</v>
      </c>
      <c r="C595" s="5">
        <v>1</v>
      </c>
      <c r="D595" s="379">
        <v>37.091722783389457</v>
      </c>
      <c r="E595" s="25">
        <v>35.869999999999997</v>
      </c>
      <c r="F595" s="379">
        <v>22.549859092871966</v>
      </c>
      <c r="G595" s="25">
        <v>62.12</v>
      </c>
      <c r="H595" s="379">
        <v>11.23149065864428</v>
      </c>
      <c r="I595" s="25">
        <v>738.68</v>
      </c>
      <c r="J595" s="379">
        <v>6.6762164331333711</v>
      </c>
    </row>
    <row r="596" spans="1:10" x14ac:dyDescent="0.35">
      <c r="A596" s="5">
        <v>592</v>
      </c>
      <c r="B596" s="5">
        <v>25</v>
      </c>
      <c r="C596" s="5">
        <v>1</v>
      </c>
      <c r="D596" s="379">
        <v>79.276698820142329</v>
      </c>
      <c r="E596" s="25">
        <v>35.869999999999997</v>
      </c>
      <c r="F596" s="379">
        <v>25.303432041876043</v>
      </c>
      <c r="G596" s="25">
        <v>73.08</v>
      </c>
      <c r="H596" s="379">
        <v>12.434587373902515</v>
      </c>
      <c r="I596" s="25">
        <v>843.72</v>
      </c>
      <c r="J596" s="379">
        <v>6.6762164331333711</v>
      </c>
    </row>
    <row r="597" spans="1:10" x14ac:dyDescent="0.35">
      <c r="A597" s="5">
        <v>593</v>
      </c>
      <c r="B597" s="5">
        <v>25</v>
      </c>
      <c r="C597" s="5">
        <v>1</v>
      </c>
      <c r="D597" s="379">
        <v>83.955499627538202</v>
      </c>
      <c r="E597" s="25">
        <v>35.97</v>
      </c>
      <c r="F597" s="379">
        <v>25.186680320587129</v>
      </c>
      <c r="G597" s="25">
        <v>73.08</v>
      </c>
      <c r="H597" s="379">
        <v>12.529793925809408</v>
      </c>
      <c r="I597" s="25">
        <v>843.72</v>
      </c>
      <c r="J597" s="379">
        <v>6.6762164331333711</v>
      </c>
    </row>
    <row r="598" spans="1:10" x14ac:dyDescent="0.35">
      <c r="A598" s="5">
        <v>594</v>
      </c>
      <c r="B598" s="5">
        <v>25</v>
      </c>
      <c r="C598" s="5">
        <v>1</v>
      </c>
      <c r="D598" s="379">
        <v>63.150410599073091</v>
      </c>
      <c r="E598" s="25">
        <v>37.090000000000003</v>
      </c>
      <c r="F598" s="379">
        <v>24.603953125622557</v>
      </c>
      <c r="G598" s="25">
        <v>843.72</v>
      </c>
      <c r="H598" s="379">
        <v>11.209928610392884</v>
      </c>
      <c r="I598" s="25">
        <v>843.72</v>
      </c>
      <c r="J598" s="379">
        <v>6.6762164331333711</v>
      </c>
    </row>
    <row r="599" spans="1:10" x14ac:dyDescent="0.35">
      <c r="A599" s="5">
        <v>595</v>
      </c>
      <c r="B599" s="5">
        <v>25</v>
      </c>
      <c r="C599" s="5">
        <v>1</v>
      </c>
      <c r="D599" s="379">
        <v>28.327777777777779</v>
      </c>
      <c r="E599" s="25">
        <v>37.090000000000003</v>
      </c>
      <c r="F599" s="379">
        <v>24.822655356129477</v>
      </c>
      <c r="G599" s="25">
        <v>843.72</v>
      </c>
      <c r="H599" s="379">
        <v>12.510892665919148</v>
      </c>
      <c r="I599" s="25">
        <v>843.72</v>
      </c>
      <c r="J599" s="379">
        <v>6.7332611093333377</v>
      </c>
    </row>
    <row r="600" spans="1:10" x14ac:dyDescent="0.35">
      <c r="A600" s="5">
        <v>596</v>
      </c>
      <c r="B600" s="5">
        <v>25</v>
      </c>
      <c r="C600" s="5">
        <v>1</v>
      </c>
      <c r="D600" s="379">
        <v>62.431911673749525</v>
      </c>
      <c r="E600" s="25">
        <v>36.94</v>
      </c>
      <c r="F600" s="379">
        <v>25.62185200029074</v>
      </c>
      <c r="G600" s="25">
        <v>73.08</v>
      </c>
      <c r="H600" s="379">
        <v>12.481432683717024</v>
      </c>
      <c r="I600" s="25">
        <v>843.72</v>
      </c>
      <c r="J600" s="379">
        <v>6.6762164331333711</v>
      </c>
    </row>
    <row r="601" spans="1:10" x14ac:dyDescent="0.35">
      <c r="A601" s="5">
        <v>597</v>
      </c>
      <c r="B601" s="5">
        <v>25</v>
      </c>
      <c r="C601" s="5">
        <v>1</v>
      </c>
      <c r="D601" s="379">
        <v>57.661877674993775</v>
      </c>
      <c r="E601" s="25">
        <v>31.15</v>
      </c>
      <c r="F601" s="379">
        <v>25.825735109177678</v>
      </c>
      <c r="G601" s="25">
        <v>62.12</v>
      </c>
      <c r="H601" s="379">
        <v>11.441385961764523</v>
      </c>
      <c r="I601" s="25">
        <v>843.72</v>
      </c>
      <c r="J601" s="379">
        <v>6.6762164331333711</v>
      </c>
    </row>
    <row r="602" spans="1:10" x14ac:dyDescent="0.35">
      <c r="A602" s="5">
        <v>598</v>
      </c>
      <c r="B602" s="5">
        <v>25</v>
      </c>
      <c r="C602" s="5">
        <v>1</v>
      </c>
      <c r="D602" s="379">
        <v>51.792070797225485</v>
      </c>
      <c r="E602" s="25">
        <v>27.3</v>
      </c>
      <c r="F602" s="379">
        <v>25.474446625673302</v>
      </c>
      <c r="G602" s="25">
        <v>60.31</v>
      </c>
      <c r="H602" s="379">
        <v>9.5610716054541758</v>
      </c>
      <c r="I602" s="25">
        <v>738.68</v>
      </c>
      <c r="J602" s="379">
        <v>6.6762164331333711</v>
      </c>
    </row>
    <row r="603" spans="1:10" x14ac:dyDescent="0.35">
      <c r="A603" s="5">
        <v>599</v>
      </c>
      <c r="B603" s="5">
        <v>25</v>
      </c>
      <c r="C603" s="5">
        <v>1</v>
      </c>
      <c r="D603" s="379">
        <v>61.213780297654019</v>
      </c>
      <c r="E603" s="25">
        <v>25.74</v>
      </c>
      <c r="F603" s="379">
        <v>20.353815280492032</v>
      </c>
      <c r="G603" s="25">
        <v>57.04</v>
      </c>
      <c r="H603" s="379">
        <v>10.720750926629936</v>
      </c>
      <c r="I603" s="25">
        <v>623.48</v>
      </c>
      <c r="J603" s="379">
        <v>6.6362108639768067</v>
      </c>
    </row>
    <row r="604" spans="1:10" x14ac:dyDescent="0.35">
      <c r="A604" s="5">
        <v>600</v>
      </c>
      <c r="B604" s="5">
        <v>25</v>
      </c>
      <c r="C604" s="5">
        <v>1</v>
      </c>
      <c r="D604" s="379">
        <v>63.408333333333331</v>
      </c>
      <c r="E604" s="25">
        <v>25.74</v>
      </c>
      <c r="F604" s="379">
        <v>13.375514541687384</v>
      </c>
      <c r="G604" s="25">
        <v>53.77</v>
      </c>
      <c r="H604" s="379">
        <v>9.8643364177918382</v>
      </c>
      <c r="I604" s="25">
        <v>623.48</v>
      </c>
      <c r="J604" s="379">
        <v>5.8331047226175725</v>
      </c>
    </row>
    <row r="605" spans="1:10" x14ac:dyDescent="0.35">
      <c r="A605" s="5">
        <v>601</v>
      </c>
      <c r="B605" s="5">
        <v>26</v>
      </c>
      <c r="C605" s="5">
        <v>1</v>
      </c>
      <c r="D605" s="379">
        <v>58.462170487288205</v>
      </c>
      <c r="E605" s="25">
        <v>25.74</v>
      </c>
      <c r="F605" s="379">
        <v>11.585956578567359</v>
      </c>
      <c r="G605" s="25">
        <v>47.85</v>
      </c>
      <c r="H605" s="379">
        <v>9.6221908912522238</v>
      </c>
      <c r="I605" s="25">
        <v>147.82</v>
      </c>
      <c r="J605" s="379">
        <v>5.0489910268971787</v>
      </c>
    </row>
    <row r="606" spans="1:10" x14ac:dyDescent="0.35">
      <c r="A606" s="5">
        <v>602</v>
      </c>
      <c r="B606" s="5">
        <v>26</v>
      </c>
      <c r="C606" s="5">
        <v>1</v>
      </c>
      <c r="D606" s="379">
        <v>59.619648845926221</v>
      </c>
      <c r="E606" s="25">
        <v>25.29</v>
      </c>
      <c r="F606" s="379">
        <v>12.049646551603175</v>
      </c>
      <c r="G606" s="25">
        <v>47.85</v>
      </c>
      <c r="H606" s="379">
        <v>8.626002660621074</v>
      </c>
      <c r="I606" s="25">
        <v>146.34</v>
      </c>
      <c r="J606" s="379">
        <v>4.0006310383298507</v>
      </c>
    </row>
    <row r="607" spans="1:10" x14ac:dyDescent="0.35">
      <c r="A607" s="5">
        <v>603</v>
      </c>
      <c r="B607" s="5">
        <v>26</v>
      </c>
      <c r="C607" s="5">
        <v>1</v>
      </c>
      <c r="D607" s="379">
        <v>53.85814308778906</v>
      </c>
      <c r="E607" s="25">
        <v>24.99</v>
      </c>
      <c r="F607" s="379">
        <v>11.767066529843401</v>
      </c>
      <c r="G607" s="25">
        <v>47.85</v>
      </c>
      <c r="H607" s="379">
        <v>8.6205935651854038</v>
      </c>
      <c r="I607" s="25">
        <v>146.34</v>
      </c>
      <c r="J607" s="379">
        <v>4.0707622381796957</v>
      </c>
    </row>
    <row r="608" spans="1:10" x14ac:dyDescent="0.35">
      <c r="A608" s="5">
        <v>604</v>
      </c>
      <c r="B608" s="5">
        <v>26</v>
      </c>
      <c r="C608" s="5">
        <v>1</v>
      </c>
      <c r="D608" s="379">
        <v>56.248002380294793</v>
      </c>
      <c r="E608" s="25">
        <v>24.99</v>
      </c>
      <c r="F608" s="379">
        <v>12.136861260234378</v>
      </c>
      <c r="G608" s="25">
        <v>47.85</v>
      </c>
      <c r="H608" s="379">
        <v>8.3929208801422988</v>
      </c>
      <c r="I608" s="25">
        <v>72.19</v>
      </c>
      <c r="J608" s="379">
        <v>3.9813213359418227</v>
      </c>
    </row>
    <row r="609" spans="1:10" x14ac:dyDescent="0.35">
      <c r="A609" s="5">
        <v>605</v>
      </c>
      <c r="B609" s="5">
        <v>26</v>
      </c>
      <c r="C609" s="5">
        <v>1</v>
      </c>
      <c r="D609" s="379">
        <v>56.26526208166446</v>
      </c>
      <c r="E609" s="25">
        <v>24.99</v>
      </c>
      <c r="F609" s="379">
        <v>11.320265672852518</v>
      </c>
      <c r="G609" s="25">
        <v>47.85</v>
      </c>
      <c r="H609" s="379">
        <v>8.7855274613431149</v>
      </c>
      <c r="I609" s="25">
        <v>70.09</v>
      </c>
      <c r="J609" s="379">
        <v>2.1615462416986162</v>
      </c>
    </row>
    <row r="610" spans="1:10" x14ac:dyDescent="0.35">
      <c r="A610" s="5">
        <v>606</v>
      </c>
      <c r="B610" s="5">
        <v>26</v>
      </c>
      <c r="C610" s="5">
        <v>1</v>
      </c>
      <c r="D610" s="379">
        <v>57.264890237772399</v>
      </c>
      <c r="E610" s="25">
        <v>25.29</v>
      </c>
      <c r="F610" s="379">
        <v>11.156490449236827</v>
      </c>
      <c r="G610" s="25">
        <v>47.85</v>
      </c>
      <c r="H610" s="379">
        <v>8.6260005571741125</v>
      </c>
      <c r="I610" s="25">
        <v>72.19</v>
      </c>
      <c r="J610" s="379">
        <v>6.1594801130806527</v>
      </c>
    </row>
    <row r="611" spans="1:10" x14ac:dyDescent="0.35">
      <c r="A611" s="5">
        <v>607</v>
      </c>
      <c r="B611" s="5">
        <v>26</v>
      </c>
      <c r="C611" s="5">
        <v>1</v>
      </c>
      <c r="D611" s="379">
        <v>59.722222222222229</v>
      </c>
      <c r="E611" s="25">
        <v>25.74</v>
      </c>
      <c r="F611" s="379">
        <v>10.926690333523622</v>
      </c>
      <c r="G611" s="25">
        <v>47.85</v>
      </c>
      <c r="H611" s="379">
        <v>8.7782424211056345</v>
      </c>
      <c r="I611" s="25">
        <v>146.34</v>
      </c>
      <c r="J611" s="379">
        <v>3.1996856525548063</v>
      </c>
    </row>
    <row r="612" spans="1:10" x14ac:dyDescent="0.35">
      <c r="A612" s="5">
        <v>608</v>
      </c>
      <c r="B612" s="5">
        <v>26</v>
      </c>
      <c r="C612" s="5">
        <v>1</v>
      </c>
      <c r="D612" s="379">
        <v>77.038888888888877</v>
      </c>
      <c r="E612" s="25">
        <v>29.36</v>
      </c>
      <c r="F612" s="379">
        <v>10.937604201496436</v>
      </c>
      <c r="G612" s="25">
        <v>60.31</v>
      </c>
      <c r="H612" s="379">
        <v>8.7774058532628452</v>
      </c>
      <c r="I612" s="25">
        <v>172.17</v>
      </c>
      <c r="J612" s="379">
        <v>2.7471072780926162</v>
      </c>
    </row>
    <row r="613" spans="1:10" x14ac:dyDescent="0.35">
      <c r="A613" s="5">
        <v>609</v>
      </c>
      <c r="B613" s="5">
        <v>26</v>
      </c>
      <c r="C613" s="5">
        <v>1</v>
      </c>
      <c r="D613" s="379">
        <v>75.932366074633507</v>
      </c>
      <c r="E613" s="25">
        <v>29.76</v>
      </c>
      <c r="F613" s="379">
        <v>11.589599425036777</v>
      </c>
      <c r="G613" s="25">
        <v>60.31</v>
      </c>
      <c r="H613" s="379">
        <v>8.7984391211458881</v>
      </c>
      <c r="I613" s="25">
        <v>172.17</v>
      </c>
      <c r="J613" s="379">
        <v>4.4274177332303495</v>
      </c>
    </row>
    <row r="614" spans="1:10" x14ac:dyDescent="0.35">
      <c r="A614" s="5">
        <v>610</v>
      </c>
      <c r="B614" s="5">
        <v>26</v>
      </c>
      <c r="C614" s="5">
        <v>1</v>
      </c>
      <c r="D614" s="379">
        <v>79.413427813681693</v>
      </c>
      <c r="E614" s="25">
        <v>29.76</v>
      </c>
      <c r="F614" s="379">
        <v>11.157920175421848</v>
      </c>
      <c r="G614" s="25">
        <v>60.31</v>
      </c>
      <c r="H614" s="379">
        <v>8.6653956530777005</v>
      </c>
      <c r="I614" s="25">
        <v>172.17</v>
      </c>
      <c r="J614" s="379">
        <v>4.5554671837793084</v>
      </c>
    </row>
    <row r="615" spans="1:10" x14ac:dyDescent="0.35">
      <c r="A615" s="5">
        <v>611</v>
      </c>
      <c r="B615" s="5">
        <v>26</v>
      </c>
      <c r="C615" s="5">
        <v>1</v>
      </c>
      <c r="D615" s="379">
        <v>76.188729778115047</v>
      </c>
      <c r="E615" s="25">
        <v>29.76</v>
      </c>
      <c r="F615" s="379">
        <v>9.2210402199869161</v>
      </c>
      <c r="G615" s="25">
        <v>60.31</v>
      </c>
      <c r="H615" s="379">
        <v>7.1777467972666908</v>
      </c>
      <c r="I615" s="25">
        <v>147.82</v>
      </c>
      <c r="J615" s="379">
        <v>4.0291447450735804E-2</v>
      </c>
    </row>
    <row r="616" spans="1:10" x14ac:dyDescent="0.35">
      <c r="A616" s="5">
        <v>612</v>
      </c>
      <c r="B616" s="5">
        <v>26</v>
      </c>
      <c r="C616" s="5">
        <v>1</v>
      </c>
      <c r="D616" s="379">
        <v>51.775555555555556</v>
      </c>
      <c r="E616" s="25">
        <v>29.76</v>
      </c>
      <c r="F616" s="379">
        <v>8.7122982651114178</v>
      </c>
      <c r="G616" s="25">
        <v>60.31</v>
      </c>
      <c r="H616" s="379">
        <v>4.3721527062036101</v>
      </c>
      <c r="I616" s="25">
        <v>172.17</v>
      </c>
      <c r="J616" s="379">
        <v>0.20885943624135722</v>
      </c>
    </row>
    <row r="617" spans="1:10" x14ac:dyDescent="0.35">
      <c r="A617" s="5">
        <v>613</v>
      </c>
      <c r="B617" s="5">
        <v>26</v>
      </c>
      <c r="C617" s="5">
        <v>1</v>
      </c>
      <c r="D617" s="379">
        <v>48.19020333929204</v>
      </c>
      <c r="E617" s="25">
        <v>28.11</v>
      </c>
      <c r="F617" s="379">
        <v>7.9349004644735963</v>
      </c>
      <c r="G617" s="25">
        <v>60.31</v>
      </c>
      <c r="H617" s="379">
        <v>4.0659625125218772</v>
      </c>
      <c r="I617" s="25">
        <v>147.82</v>
      </c>
      <c r="J617" s="379">
        <v>1.8036296603400988</v>
      </c>
    </row>
    <row r="618" spans="1:10" x14ac:dyDescent="0.35">
      <c r="A618" s="5">
        <v>614</v>
      </c>
      <c r="B618" s="5">
        <v>26</v>
      </c>
      <c r="C618" s="5">
        <v>1</v>
      </c>
      <c r="D618" s="379">
        <v>47.609444444444435</v>
      </c>
      <c r="E618" s="25">
        <v>27.33</v>
      </c>
      <c r="F618" s="379">
        <v>7.9348281068714224</v>
      </c>
      <c r="G618" s="25">
        <v>60.31</v>
      </c>
      <c r="H618" s="379">
        <v>4.4490603946985372</v>
      </c>
      <c r="I618" s="25">
        <v>147.82</v>
      </c>
      <c r="J618" s="379">
        <v>1.7597116199395033</v>
      </c>
    </row>
    <row r="619" spans="1:10" x14ac:dyDescent="0.35">
      <c r="A619" s="5">
        <v>615</v>
      </c>
      <c r="B619" s="5">
        <v>26</v>
      </c>
      <c r="C619" s="5">
        <v>1</v>
      </c>
      <c r="D619" s="379">
        <v>32.161111111111111</v>
      </c>
      <c r="E619" s="25">
        <v>27.3</v>
      </c>
      <c r="F619" s="379">
        <v>7.9203551088817417</v>
      </c>
      <c r="G619" s="25">
        <v>58.94</v>
      </c>
      <c r="H619" s="379">
        <v>4.0531609895311282</v>
      </c>
      <c r="I619" s="25">
        <v>147.82</v>
      </c>
      <c r="J619" s="379">
        <v>1.7597116199395033</v>
      </c>
    </row>
    <row r="620" spans="1:10" x14ac:dyDescent="0.35">
      <c r="A620" s="5">
        <v>616</v>
      </c>
      <c r="B620" s="5">
        <v>26</v>
      </c>
      <c r="C620" s="5">
        <v>1</v>
      </c>
      <c r="D620" s="379">
        <v>62.586111111111109</v>
      </c>
      <c r="E620" s="25">
        <v>27.3</v>
      </c>
      <c r="F620" s="379">
        <v>7.9405552743476093</v>
      </c>
      <c r="G620" s="25">
        <v>51.26</v>
      </c>
      <c r="H620" s="379">
        <v>4.215184805582382</v>
      </c>
      <c r="I620" s="25">
        <v>147.82</v>
      </c>
      <c r="J620" s="379">
        <v>1.7597116199395033</v>
      </c>
    </row>
    <row r="621" spans="1:10" x14ac:dyDescent="0.35">
      <c r="A621" s="5">
        <v>617</v>
      </c>
      <c r="B621" s="5">
        <v>26</v>
      </c>
      <c r="C621" s="5">
        <v>1</v>
      </c>
      <c r="D621" s="379">
        <v>50.437777777777768</v>
      </c>
      <c r="E621" s="25">
        <v>29.76</v>
      </c>
      <c r="F621" s="379">
        <v>8.0367484310601043</v>
      </c>
      <c r="G621" s="25">
        <v>60.31</v>
      </c>
      <c r="H621" s="379">
        <v>4.5209423084720024</v>
      </c>
      <c r="I621" s="25">
        <v>172.17</v>
      </c>
      <c r="J621" s="379">
        <v>0.14480167642852412</v>
      </c>
    </row>
    <row r="622" spans="1:10" x14ac:dyDescent="0.35">
      <c r="A622" s="5">
        <v>618</v>
      </c>
      <c r="B622" s="5">
        <v>26</v>
      </c>
      <c r="C622" s="5">
        <v>1</v>
      </c>
      <c r="D622" s="379">
        <v>43.363517894552373</v>
      </c>
      <c r="E622" s="25">
        <v>33.81</v>
      </c>
      <c r="F622" s="379">
        <v>8.3909034496006019</v>
      </c>
      <c r="G622" s="25">
        <v>61.97</v>
      </c>
      <c r="H622" s="379">
        <v>4.5289151098257827</v>
      </c>
      <c r="I622" s="25">
        <v>795.29</v>
      </c>
      <c r="J622" s="379">
        <v>1.8656820593854804</v>
      </c>
    </row>
    <row r="623" spans="1:10" x14ac:dyDescent="0.35">
      <c r="A623" s="5">
        <v>619</v>
      </c>
      <c r="B623" s="5">
        <v>26</v>
      </c>
      <c r="C623" s="5">
        <v>1</v>
      </c>
      <c r="D623" s="379">
        <v>40.75889288145428</v>
      </c>
      <c r="E623" s="25">
        <v>33.81</v>
      </c>
      <c r="F623" s="379">
        <v>8.6026009484532739</v>
      </c>
      <c r="G623" s="25">
        <v>63.83</v>
      </c>
      <c r="H623" s="379">
        <v>5.0117694365949523</v>
      </c>
      <c r="I623" s="25">
        <v>819.14</v>
      </c>
      <c r="J623" s="379">
        <v>0.14480167642852412</v>
      </c>
    </row>
    <row r="624" spans="1:10" x14ac:dyDescent="0.35">
      <c r="A624" s="5">
        <v>620</v>
      </c>
      <c r="B624" s="5">
        <v>26</v>
      </c>
      <c r="C624" s="5">
        <v>1</v>
      </c>
      <c r="D624" s="379">
        <v>35.94493431328636</v>
      </c>
      <c r="E624" s="25">
        <v>29.76</v>
      </c>
      <c r="F624" s="379">
        <v>8.1174834595959577</v>
      </c>
      <c r="G624" s="25">
        <v>60.31</v>
      </c>
      <c r="H624" s="379">
        <v>4.3905238273534017</v>
      </c>
      <c r="I624" s="25">
        <v>603.30999999999995</v>
      </c>
      <c r="J624" s="379">
        <v>6.2779916527064217E-2</v>
      </c>
    </row>
    <row r="625" spans="1:10" x14ac:dyDescent="0.35">
      <c r="A625" s="5">
        <v>621</v>
      </c>
      <c r="B625" s="5">
        <v>26</v>
      </c>
      <c r="C625" s="5">
        <v>1</v>
      </c>
      <c r="D625" s="379">
        <v>30.30547304670317</v>
      </c>
      <c r="E625" s="25">
        <v>27.29</v>
      </c>
      <c r="F625" s="379">
        <v>8.1174834595959595</v>
      </c>
      <c r="G625" s="25">
        <v>49.82</v>
      </c>
      <c r="H625" s="379">
        <v>0.65808670058311347</v>
      </c>
      <c r="I625" s="25">
        <v>172.17</v>
      </c>
      <c r="J625" s="379">
        <v>1.3605549470073204</v>
      </c>
    </row>
    <row r="626" spans="1:10" x14ac:dyDescent="0.35">
      <c r="A626" s="5">
        <v>622</v>
      </c>
      <c r="B626" s="5">
        <v>26</v>
      </c>
      <c r="C626" s="5">
        <v>1</v>
      </c>
      <c r="D626" s="379">
        <v>26.628394448458575</v>
      </c>
      <c r="E626" s="25">
        <v>25.74</v>
      </c>
      <c r="F626" s="379">
        <v>8.1174834595959595</v>
      </c>
      <c r="G626" s="25">
        <v>47.85</v>
      </c>
      <c r="H626" s="379">
        <v>2.3214793254982844</v>
      </c>
      <c r="I626" s="25">
        <v>146.34</v>
      </c>
      <c r="J626" s="379">
        <v>1.3832705093780044</v>
      </c>
    </row>
    <row r="627" spans="1:10" x14ac:dyDescent="0.35">
      <c r="A627" s="5">
        <v>623</v>
      </c>
      <c r="B627" s="5">
        <v>26</v>
      </c>
      <c r="C627" s="5">
        <v>1</v>
      </c>
      <c r="D627" s="379">
        <v>51.768255731501633</v>
      </c>
      <c r="E627" s="25">
        <v>25.74</v>
      </c>
      <c r="F627" s="379">
        <v>3.6871934815936216</v>
      </c>
      <c r="G627" s="25">
        <v>47.85</v>
      </c>
      <c r="H627" s="379">
        <v>2.3214793254982844</v>
      </c>
      <c r="I627" s="25">
        <v>146.34</v>
      </c>
      <c r="J627" s="379">
        <v>1.3697637115007695</v>
      </c>
    </row>
    <row r="628" spans="1:10" x14ac:dyDescent="0.35">
      <c r="A628" s="5">
        <v>624</v>
      </c>
      <c r="B628" s="5">
        <v>26</v>
      </c>
      <c r="C628" s="5">
        <v>1</v>
      </c>
      <c r="D628" s="379">
        <v>52.708333333333329</v>
      </c>
      <c r="E628" s="25">
        <v>25.74</v>
      </c>
      <c r="F628" s="379">
        <v>3.1247629673951978</v>
      </c>
      <c r="G628" s="25">
        <v>47.85</v>
      </c>
      <c r="H628" s="379">
        <v>2.3214793254982844</v>
      </c>
      <c r="I628" s="25">
        <v>146.34</v>
      </c>
      <c r="J628" s="379">
        <v>1.3605549470073204</v>
      </c>
    </row>
    <row r="629" spans="1:10" x14ac:dyDescent="0.35">
      <c r="A629" s="5">
        <v>625</v>
      </c>
      <c r="B629" s="5">
        <v>27</v>
      </c>
      <c r="C629" s="5">
        <v>1</v>
      </c>
      <c r="D629" s="379">
        <v>25.709472415409643</v>
      </c>
      <c r="E629" s="25">
        <v>24.99</v>
      </c>
      <c r="F629" s="379">
        <v>3.9121736641687401</v>
      </c>
      <c r="G629" s="25">
        <v>47.85</v>
      </c>
      <c r="H629" s="379">
        <v>2.3214793254982844</v>
      </c>
      <c r="I629" s="25">
        <v>72.19</v>
      </c>
      <c r="J629" s="379">
        <v>1.3605549470073204</v>
      </c>
    </row>
    <row r="630" spans="1:10" x14ac:dyDescent="0.35">
      <c r="A630" s="5">
        <v>626</v>
      </c>
      <c r="B630" s="5">
        <v>27</v>
      </c>
      <c r="C630" s="5">
        <v>1</v>
      </c>
      <c r="D630" s="379">
        <v>29.587520970282114</v>
      </c>
      <c r="E630" s="25">
        <v>24.99</v>
      </c>
      <c r="F630" s="379">
        <v>3.3653414440716705</v>
      </c>
      <c r="G630" s="25">
        <v>47.15</v>
      </c>
      <c r="H630" s="379">
        <v>2.777777777777778E-2</v>
      </c>
      <c r="I630" s="25">
        <v>72.19</v>
      </c>
      <c r="J630" s="379">
        <v>1.3605549470073204</v>
      </c>
    </row>
    <row r="631" spans="1:10" x14ac:dyDescent="0.35">
      <c r="A631" s="5">
        <v>627</v>
      </c>
      <c r="B631" s="5">
        <v>27</v>
      </c>
      <c r="C631" s="5">
        <v>1</v>
      </c>
      <c r="D631" s="379">
        <v>8.9158147974025201</v>
      </c>
      <c r="E631" s="25">
        <v>24.84</v>
      </c>
      <c r="F631" s="379">
        <v>3.285027769407574</v>
      </c>
      <c r="G631" s="25">
        <v>46.03</v>
      </c>
      <c r="H631" s="379">
        <v>2.3214793254982844</v>
      </c>
      <c r="I631" s="25">
        <v>72.19</v>
      </c>
      <c r="J631" s="379">
        <v>1.3605549470073204</v>
      </c>
    </row>
    <row r="632" spans="1:10" x14ac:dyDescent="0.35">
      <c r="A632" s="5">
        <v>628</v>
      </c>
      <c r="B632" s="5">
        <v>27</v>
      </c>
      <c r="C632" s="5">
        <v>1</v>
      </c>
      <c r="D632" s="379">
        <v>26.727395525432492</v>
      </c>
      <c r="E632" s="25">
        <v>24.84</v>
      </c>
      <c r="F632" s="379">
        <v>3.2138574558232849</v>
      </c>
      <c r="G632" s="25">
        <v>46.03</v>
      </c>
      <c r="H632" s="379">
        <v>3.9177800191622918E-2</v>
      </c>
      <c r="I632" s="25">
        <v>72.19</v>
      </c>
      <c r="J632" s="379">
        <v>1.3605549470073204</v>
      </c>
    </row>
    <row r="633" spans="1:10" x14ac:dyDescent="0.35">
      <c r="A633" s="5">
        <v>629</v>
      </c>
      <c r="B633" s="5">
        <v>27</v>
      </c>
      <c r="C633" s="5">
        <v>1</v>
      </c>
      <c r="D633" s="379">
        <v>45.444017094017092</v>
      </c>
      <c r="E633" s="25">
        <v>24.84</v>
      </c>
      <c r="F633" s="379">
        <v>3.5031347417538883</v>
      </c>
      <c r="G633" s="25">
        <v>47.41</v>
      </c>
      <c r="H633" s="379">
        <v>2.3214793254982844</v>
      </c>
      <c r="I633" s="25">
        <v>72.19</v>
      </c>
      <c r="J633" s="379">
        <v>1.3605549470073204</v>
      </c>
    </row>
    <row r="634" spans="1:10" x14ac:dyDescent="0.35">
      <c r="A634" s="5">
        <v>630</v>
      </c>
      <c r="B634" s="5">
        <v>27</v>
      </c>
      <c r="C634" s="5">
        <v>1</v>
      </c>
      <c r="D634" s="379">
        <v>46.577963078278579</v>
      </c>
      <c r="E634" s="25">
        <v>25.29</v>
      </c>
      <c r="F634" s="379">
        <v>3.2713781669365374</v>
      </c>
      <c r="G634" s="25">
        <v>47.85</v>
      </c>
      <c r="H634" s="379">
        <v>2.3214793254982844</v>
      </c>
      <c r="I634" s="25">
        <v>146.34</v>
      </c>
      <c r="J634" s="379">
        <v>1.3605549470073204</v>
      </c>
    </row>
    <row r="635" spans="1:10" x14ac:dyDescent="0.35">
      <c r="A635" s="5">
        <v>631</v>
      </c>
      <c r="B635" s="5">
        <v>27</v>
      </c>
      <c r="C635" s="5">
        <v>1</v>
      </c>
      <c r="D635" s="379">
        <v>61.583333333333329</v>
      </c>
      <c r="E635" s="25">
        <v>26.05</v>
      </c>
      <c r="F635" s="379">
        <v>2.6440524270600396</v>
      </c>
      <c r="G635" s="25">
        <v>54.39</v>
      </c>
      <c r="H635" s="379">
        <v>3.902538577447193</v>
      </c>
      <c r="I635" s="25">
        <v>617.25</v>
      </c>
      <c r="J635" s="379">
        <v>1.3605549470073204</v>
      </c>
    </row>
    <row r="636" spans="1:10" x14ac:dyDescent="0.35">
      <c r="A636" s="5">
        <v>632</v>
      </c>
      <c r="B636" s="5">
        <v>27</v>
      </c>
      <c r="C636" s="5">
        <v>1</v>
      </c>
      <c r="D636" s="379">
        <v>61.497222222222206</v>
      </c>
      <c r="E636" s="25">
        <v>35.07</v>
      </c>
      <c r="F636" s="379">
        <v>2.9635505036400245</v>
      </c>
      <c r="G636" s="25">
        <v>62.12</v>
      </c>
      <c r="H636" s="379">
        <v>4.8258162476922628</v>
      </c>
      <c r="I636" s="25">
        <v>733.51</v>
      </c>
      <c r="J636" s="379">
        <v>3.7087866218718366</v>
      </c>
    </row>
    <row r="637" spans="1:10" x14ac:dyDescent="0.35">
      <c r="A637" s="5">
        <v>633</v>
      </c>
      <c r="B637" s="5">
        <v>27</v>
      </c>
      <c r="C637" s="5">
        <v>1</v>
      </c>
      <c r="D637" s="379">
        <v>66.940653996190704</v>
      </c>
      <c r="E637" s="25">
        <v>36.94</v>
      </c>
      <c r="F637" s="379">
        <v>2.9521600298323349</v>
      </c>
      <c r="G637" s="25">
        <v>62.12</v>
      </c>
      <c r="H637" s="379">
        <v>4.8258162476922628</v>
      </c>
      <c r="I637" s="25">
        <v>843.72</v>
      </c>
      <c r="J637" s="379">
        <v>0.14480167642852412</v>
      </c>
    </row>
    <row r="638" spans="1:10" x14ac:dyDescent="0.35">
      <c r="A638" s="5">
        <v>634</v>
      </c>
      <c r="B638" s="5">
        <v>27</v>
      </c>
      <c r="C638" s="5">
        <v>1</v>
      </c>
      <c r="D638" s="379">
        <v>67.362973178063811</v>
      </c>
      <c r="E638" s="25">
        <v>36.94</v>
      </c>
      <c r="F638" s="379">
        <v>0.47222222222222221</v>
      </c>
      <c r="G638" s="25">
        <v>62.12</v>
      </c>
      <c r="H638" s="379">
        <v>5.7262755687433282</v>
      </c>
      <c r="I638" s="25">
        <v>755.51</v>
      </c>
      <c r="J638" s="379">
        <v>4.0528664154125948</v>
      </c>
    </row>
    <row r="639" spans="1:10" x14ac:dyDescent="0.35">
      <c r="A639" s="5">
        <v>635</v>
      </c>
      <c r="B639" s="5">
        <v>27</v>
      </c>
      <c r="C639" s="5">
        <v>1</v>
      </c>
      <c r="D639" s="379">
        <v>55.559633735723736</v>
      </c>
      <c r="E639" s="25">
        <v>36.94</v>
      </c>
      <c r="F639" s="379">
        <v>5.3837097714493884</v>
      </c>
      <c r="G639" s="25">
        <v>62.12</v>
      </c>
      <c r="H639" s="379">
        <v>5.7262755687433282</v>
      </c>
      <c r="I639" s="25">
        <v>642.17999999999995</v>
      </c>
      <c r="J639" s="379">
        <v>4.0528664154125948</v>
      </c>
    </row>
    <row r="640" spans="1:10" x14ac:dyDescent="0.35">
      <c r="A640" s="5">
        <v>636</v>
      </c>
      <c r="B640" s="5">
        <v>27</v>
      </c>
      <c r="C640" s="5">
        <v>1</v>
      </c>
      <c r="D640" s="379">
        <v>63.784077157882749</v>
      </c>
      <c r="E640" s="25">
        <v>36.94</v>
      </c>
      <c r="F640" s="379">
        <v>1.7882015490770045</v>
      </c>
      <c r="G640" s="25">
        <v>62.12</v>
      </c>
      <c r="H640" s="379">
        <v>5.7020970981338097</v>
      </c>
      <c r="I640" s="25">
        <v>642.17999999999995</v>
      </c>
      <c r="J640" s="379">
        <v>4.0528664154125948</v>
      </c>
    </row>
    <row r="641" spans="1:10" x14ac:dyDescent="0.35">
      <c r="A641" s="5">
        <v>637</v>
      </c>
      <c r="B641" s="5">
        <v>27</v>
      </c>
      <c r="C641" s="5">
        <v>1</v>
      </c>
      <c r="D641" s="379">
        <v>19.782237284292528</v>
      </c>
      <c r="E641" s="25">
        <v>36.94</v>
      </c>
      <c r="F641" s="379">
        <v>4.0610234582917197</v>
      </c>
      <c r="G641" s="25">
        <v>62.12</v>
      </c>
      <c r="H641" s="379">
        <v>2.4808942488187089</v>
      </c>
      <c r="I641" s="25">
        <v>642.17999999999995</v>
      </c>
      <c r="J641" s="379">
        <v>3.8876191944684679</v>
      </c>
    </row>
    <row r="642" spans="1:10" x14ac:dyDescent="0.35">
      <c r="A642" s="5">
        <v>638</v>
      </c>
      <c r="B642" s="5">
        <v>27</v>
      </c>
      <c r="C642" s="5">
        <v>1</v>
      </c>
      <c r="D642" s="379">
        <v>24.325269568615077</v>
      </c>
      <c r="E642" s="25">
        <v>36.94</v>
      </c>
      <c r="F642" s="379">
        <v>4.0519962970167969</v>
      </c>
      <c r="G642" s="25">
        <v>62.12</v>
      </c>
      <c r="H642" s="379">
        <v>1.2433497416756472</v>
      </c>
      <c r="I642" s="25">
        <v>642.17999999999995</v>
      </c>
      <c r="J642" s="379">
        <v>3.5796786499512052</v>
      </c>
    </row>
    <row r="643" spans="1:10" x14ac:dyDescent="0.35">
      <c r="A643" s="5">
        <v>639</v>
      </c>
      <c r="B643" s="5">
        <v>27</v>
      </c>
      <c r="C643" s="5">
        <v>1</v>
      </c>
      <c r="D643" s="379">
        <v>42.461111111111109</v>
      </c>
      <c r="E643" s="25">
        <v>36.94</v>
      </c>
      <c r="F643" s="379">
        <v>5.7964904009745704</v>
      </c>
      <c r="G643" s="25">
        <v>62.12</v>
      </c>
      <c r="H643" s="379">
        <v>2.1448514917743093</v>
      </c>
      <c r="I643" s="25">
        <v>642.17999999999995</v>
      </c>
      <c r="J643" s="379">
        <v>2.777777777777778E-2</v>
      </c>
    </row>
    <row r="644" spans="1:10" x14ac:dyDescent="0.35">
      <c r="A644" s="5">
        <v>640</v>
      </c>
      <c r="B644" s="5">
        <v>27</v>
      </c>
      <c r="C644" s="5">
        <v>1</v>
      </c>
      <c r="D644" s="379">
        <v>58.59184324281722</v>
      </c>
      <c r="E644" s="25">
        <v>36.94</v>
      </c>
      <c r="F644" s="379">
        <v>8.8084180688793978</v>
      </c>
      <c r="G644" s="25">
        <v>62.12</v>
      </c>
      <c r="H644" s="379">
        <v>2.531919143844414</v>
      </c>
      <c r="I644" s="25">
        <v>843.72</v>
      </c>
      <c r="J644" s="379">
        <v>1.7148215802856526</v>
      </c>
    </row>
    <row r="645" spans="1:10" x14ac:dyDescent="0.35">
      <c r="A645" s="5">
        <v>641</v>
      </c>
      <c r="B645" s="5">
        <v>27</v>
      </c>
      <c r="C645" s="5">
        <v>1</v>
      </c>
      <c r="D645" s="379">
        <v>64.6001128041691</v>
      </c>
      <c r="E645" s="25">
        <v>36.94</v>
      </c>
      <c r="F645" s="379">
        <v>12.405707802183406</v>
      </c>
      <c r="G645" s="25">
        <v>62.12</v>
      </c>
      <c r="H645" s="379">
        <v>9.2496787486863106</v>
      </c>
      <c r="I645" s="25">
        <v>843.72</v>
      </c>
      <c r="J645" s="379">
        <v>7.0875041154168628</v>
      </c>
    </row>
    <row r="646" spans="1:10" x14ac:dyDescent="0.35">
      <c r="A646" s="5">
        <v>642</v>
      </c>
      <c r="B646" s="5">
        <v>27</v>
      </c>
      <c r="C646" s="5">
        <v>1</v>
      </c>
      <c r="D646" s="379">
        <v>72.616200001604113</v>
      </c>
      <c r="E646" s="25">
        <v>36.94</v>
      </c>
      <c r="F646" s="379">
        <v>11.265862756139544</v>
      </c>
      <c r="G646" s="25">
        <v>67.88</v>
      </c>
      <c r="H646" s="379">
        <v>8.8148849944358201</v>
      </c>
      <c r="I646" s="25">
        <v>869.03</v>
      </c>
      <c r="J646" s="379">
        <v>6.9148449147217868</v>
      </c>
    </row>
    <row r="647" spans="1:10" x14ac:dyDescent="0.35">
      <c r="A647" s="5">
        <v>643</v>
      </c>
      <c r="B647" s="5">
        <v>27</v>
      </c>
      <c r="C647" s="5">
        <v>1</v>
      </c>
      <c r="D647" s="379">
        <v>52.49111111111111</v>
      </c>
      <c r="E647" s="25">
        <v>36.94</v>
      </c>
      <c r="F647" s="379">
        <v>11.189368182500903</v>
      </c>
      <c r="G647" s="25">
        <v>80.13</v>
      </c>
      <c r="H647" s="379">
        <v>7.9261425856248566</v>
      </c>
      <c r="I647" s="25">
        <v>869.03</v>
      </c>
      <c r="J647" s="379">
        <v>6.5831845123971879</v>
      </c>
    </row>
    <row r="648" spans="1:10" x14ac:dyDescent="0.35">
      <c r="A648" s="5">
        <v>644</v>
      </c>
      <c r="B648" s="5">
        <v>27</v>
      </c>
      <c r="C648" s="5">
        <v>1</v>
      </c>
      <c r="D648" s="379">
        <v>79.206710219630878</v>
      </c>
      <c r="E648" s="25">
        <v>36.94</v>
      </c>
      <c r="F648" s="379">
        <v>11.686122982394318</v>
      </c>
      <c r="G648" s="25">
        <v>64.2</v>
      </c>
      <c r="H648" s="379">
        <v>8.6510021152951104</v>
      </c>
      <c r="I648" s="25">
        <v>843.72</v>
      </c>
      <c r="J648" s="379">
        <v>6.9148247976448207</v>
      </c>
    </row>
    <row r="649" spans="1:10" x14ac:dyDescent="0.35">
      <c r="A649" s="5">
        <v>645</v>
      </c>
      <c r="B649" s="5">
        <v>27</v>
      </c>
      <c r="C649" s="5">
        <v>1</v>
      </c>
      <c r="D649" s="379">
        <v>62.414077774209787</v>
      </c>
      <c r="E649" s="25">
        <v>36.01</v>
      </c>
      <c r="F649" s="379">
        <v>11.683924094048715</v>
      </c>
      <c r="G649" s="25">
        <v>62.12</v>
      </c>
      <c r="H649" s="379">
        <v>8.9986776492431186</v>
      </c>
      <c r="I649" s="25">
        <v>843.72</v>
      </c>
      <c r="J649" s="379">
        <v>6.9148247976448207</v>
      </c>
    </row>
    <row r="650" spans="1:10" x14ac:dyDescent="0.35">
      <c r="A650" s="5">
        <v>646</v>
      </c>
      <c r="B650" s="5">
        <v>27</v>
      </c>
      <c r="C650" s="5">
        <v>1</v>
      </c>
      <c r="D650" s="379">
        <v>41.33719712192692</v>
      </c>
      <c r="E650" s="25">
        <v>27.3</v>
      </c>
      <c r="F650" s="379">
        <v>11.593754237191675</v>
      </c>
      <c r="G650" s="25">
        <v>62.12</v>
      </c>
      <c r="H650" s="379">
        <v>9.9567332472769596</v>
      </c>
      <c r="I650" s="25">
        <v>843.72</v>
      </c>
      <c r="J650" s="379">
        <v>6.8838754484654201</v>
      </c>
    </row>
    <row r="651" spans="1:10" x14ac:dyDescent="0.35">
      <c r="A651" s="5">
        <v>647</v>
      </c>
      <c r="B651" s="5">
        <v>27</v>
      </c>
      <c r="C651" s="5">
        <v>1</v>
      </c>
      <c r="D651" s="379">
        <v>66.150007904946051</v>
      </c>
      <c r="E651" s="25">
        <v>26.51</v>
      </c>
      <c r="F651" s="379">
        <v>9.5707705199260804</v>
      </c>
      <c r="G651" s="25">
        <v>57.56</v>
      </c>
      <c r="H651" s="379">
        <v>7.8807891401235652</v>
      </c>
      <c r="I651" s="25">
        <v>617.25</v>
      </c>
      <c r="J651" s="379">
        <v>6.7321493430950552</v>
      </c>
    </row>
    <row r="652" spans="1:10" x14ac:dyDescent="0.35">
      <c r="A652" s="5">
        <v>648</v>
      </c>
      <c r="B652" s="5">
        <v>27</v>
      </c>
      <c r="C652" s="5">
        <v>1</v>
      </c>
      <c r="D652" s="379">
        <v>64.738403235908606</v>
      </c>
      <c r="E652" s="25">
        <v>25.74</v>
      </c>
      <c r="F652" s="379">
        <v>8.1174834595959595</v>
      </c>
      <c r="G652" s="25">
        <v>55.88</v>
      </c>
      <c r="H652" s="379">
        <v>7.7470912715609286</v>
      </c>
      <c r="I652" s="25">
        <v>617.25</v>
      </c>
      <c r="J652" s="379">
        <v>5.9478579459061027</v>
      </c>
    </row>
    <row r="653" spans="1:10" x14ac:dyDescent="0.35">
      <c r="A653" s="5">
        <v>649</v>
      </c>
      <c r="B653" s="5">
        <v>28</v>
      </c>
      <c r="C653" s="5">
        <v>1</v>
      </c>
      <c r="D653" s="379">
        <v>53.754117453150329</v>
      </c>
      <c r="E653" s="25">
        <v>25.74</v>
      </c>
      <c r="F653" s="379">
        <v>8.1174834595959613</v>
      </c>
      <c r="G653" s="25">
        <v>47.85</v>
      </c>
      <c r="H653" s="379">
        <v>7.6202018832092051</v>
      </c>
      <c r="I653" s="25">
        <v>70.09</v>
      </c>
      <c r="J653" s="379">
        <v>5.240164730565402</v>
      </c>
    </row>
    <row r="654" spans="1:10" x14ac:dyDescent="0.35">
      <c r="A654" s="5">
        <v>650</v>
      </c>
      <c r="B654" s="5">
        <v>28</v>
      </c>
      <c r="C654" s="5">
        <v>1</v>
      </c>
      <c r="D654" s="379">
        <v>46.962381140855882</v>
      </c>
      <c r="E654" s="25">
        <v>24.99</v>
      </c>
      <c r="F654" s="379">
        <v>5.2187628833763613</v>
      </c>
      <c r="G654" s="25">
        <v>45.38</v>
      </c>
      <c r="H654" s="379">
        <v>6.5748029702556918</v>
      </c>
      <c r="I654" s="25">
        <v>64.14</v>
      </c>
      <c r="J654" s="379">
        <v>5.3358071217905065</v>
      </c>
    </row>
    <row r="655" spans="1:10" x14ac:dyDescent="0.35">
      <c r="A655" s="5">
        <v>651</v>
      </c>
      <c r="B655" s="5">
        <v>28</v>
      </c>
      <c r="C655" s="5">
        <v>1</v>
      </c>
      <c r="D655" s="379">
        <v>51.235038919008304</v>
      </c>
      <c r="E655" s="25">
        <v>24.84</v>
      </c>
      <c r="F655" s="379">
        <v>4.6536774414824027</v>
      </c>
      <c r="G655" s="25">
        <v>44.29</v>
      </c>
      <c r="H655" s="379">
        <v>4.799693804694658</v>
      </c>
      <c r="I655" s="25">
        <v>61.36</v>
      </c>
      <c r="J655" s="379">
        <v>3.9971952744660184</v>
      </c>
    </row>
    <row r="656" spans="1:10" x14ac:dyDescent="0.35">
      <c r="A656" s="5">
        <v>652</v>
      </c>
      <c r="B656" s="5">
        <v>28</v>
      </c>
      <c r="C656" s="5">
        <v>1</v>
      </c>
      <c r="D656" s="379">
        <v>57.219444444444449</v>
      </c>
      <c r="E656" s="25">
        <v>24.84</v>
      </c>
      <c r="F656" s="379">
        <v>4.4082111091949097</v>
      </c>
      <c r="G656" s="25">
        <v>43.56</v>
      </c>
      <c r="H656" s="379">
        <v>4.2422133966900493</v>
      </c>
      <c r="I656" s="25">
        <v>54.87</v>
      </c>
      <c r="J656" s="379">
        <v>3.3272973950992468</v>
      </c>
    </row>
    <row r="657" spans="1:10" x14ac:dyDescent="0.35">
      <c r="A657" s="5">
        <v>653</v>
      </c>
      <c r="B657" s="5">
        <v>28</v>
      </c>
      <c r="C657" s="5">
        <v>1</v>
      </c>
      <c r="D657" s="379">
        <v>41.676666666666669</v>
      </c>
      <c r="E657" s="25">
        <v>24.84</v>
      </c>
      <c r="F657" s="379">
        <v>4.0632725087150403</v>
      </c>
      <c r="G657" s="25">
        <v>42.19</v>
      </c>
      <c r="H657" s="379">
        <v>0.47222222222222215</v>
      </c>
      <c r="I657" s="25">
        <v>54.87</v>
      </c>
      <c r="J657" s="379">
        <v>3.2102869593219858</v>
      </c>
    </row>
    <row r="658" spans="1:10" x14ac:dyDescent="0.35">
      <c r="A658" s="5">
        <v>654</v>
      </c>
      <c r="B658" s="5">
        <v>28</v>
      </c>
      <c r="C658" s="5">
        <v>1</v>
      </c>
      <c r="D658" s="379">
        <v>54.690037081787608</v>
      </c>
      <c r="E658" s="25">
        <v>24.99</v>
      </c>
      <c r="F658" s="379">
        <v>4.7032161864886115</v>
      </c>
      <c r="G658" s="25">
        <v>44.92</v>
      </c>
      <c r="H658" s="379">
        <v>2.1408790882829924</v>
      </c>
      <c r="I658" s="25">
        <v>61.36</v>
      </c>
      <c r="J658" s="379">
        <v>2.3613166692865581</v>
      </c>
    </row>
    <row r="659" spans="1:10" x14ac:dyDescent="0.35">
      <c r="A659" s="5">
        <v>655</v>
      </c>
      <c r="B659" s="5">
        <v>28</v>
      </c>
      <c r="C659" s="5">
        <v>1</v>
      </c>
      <c r="D659" s="379">
        <v>49.511111111111106</v>
      </c>
      <c r="E659" s="25">
        <v>25.74</v>
      </c>
      <c r="F659" s="379">
        <v>4.8650416395661056</v>
      </c>
      <c r="G659" s="25">
        <v>46.11</v>
      </c>
      <c r="H659" s="379">
        <v>2.1408790882829924</v>
      </c>
      <c r="I659" s="25">
        <v>68.05</v>
      </c>
      <c r="J659" s="379">
        <v>3.7613056263857567</v>
      </c>
    </row>
    <row r="660" spans="1:10" x14ac:dyDescent="0.35">
      <c r="A660" s="5">
        <v>656</v>
      </c>
      <c r="B660" s="5">
        <v>28</v>
      </c>
      <c r="C660" s="5">
        <v>1</v>
      </c>
      <c r="D660" s="379">
        <v>36.67374725131377</v>
      </c>
      <c r="E660" s="25">
        <v>26.5</v>
      </c>
      <c r="F660" s="379">
        <v>4.998035779387151</v>
      </c>
      <c r="G660" s="25">
        <v>49.64</v>
      </c>
      <c r="H660" s="379">
        <v>2.1489510259609013</v>
      </c>
      <c r="I660" s="25">
        <v>81.81</v>
      </c>
      <c r="J660" s="379">
        <v>2.8505403700793104</v>
      </c>
    </row>
    <row r="661" spans="1:10" x14ac:dyDescent="0.35">
      <c r="A661" s="5">
        <v>657</v>
      </c>
      <c r="B661" s="5">
        <v>28</v>
      </c>
      <c r="C661" s="5">
        <v>1</v>
      </c>
      <c r="D661" s="379">
        <v>63.999671104623062</v>
      </c>
      <c r="E661" s="25">
        <v>25.74</v>
      </c>
      <c r="F661" s="379">
        <v>5.324661514716257</v>
      </c>
      <c r="G661" s="25">
        <v>49.64</v>
      </c>
      <c r="H661" s="379">
        <v>2.1489510259609013</v>
      </c>
      <c r="I661" s="25">
        <v>79.430000000000007</v>
      </c>
      <c r="J661" s="379">
        <v>1.3605549470073204</v>
      </c>
    </row>
    <row r="662" spans="1:10" x14ac:dyDescent="0.35">
      <c r="A662" s="5">
        <v>658</v>
      </c>
      <c r="B662" s="5">
        <v>28</v>
      </c>
      <c r="C662" s="5">
        <v>1</v>
      </c>
      <c r="D662" s="379">
        <v>70.409655166380773</v>
      </c>
      <c r="E662" s="25">
        <v>25.74</v>
      </c>
      <c r="F662" s="379">
        <v>1.4194319561854061</v>
      </c>
      <c r="G662" s="25">
        <v>49.64</v>
      </c>
      <c r="H662" s="379">
        <v>2.1489510259609013</v>
      </c>
      <c r="I662" s="25">
        <v>72.19</v>
      </c>
      <c r="J662" s="379">
        <v>2.777777777777778E-2</v>
      </c>
    </row>
    <row r="663" spans="1:10" x14ac:dyDescent="0.35">
      <c r="A663" s="5">
        <v>659</v>
      </c>
      <c r="B663" s="5">
        <v>28</v>
      </c>
      <c r="C663" s="5">
        <v>1</v>
      </c>
      <c r="D663" s="379">
        <v>64.635962757102192</v>
      </c>
      <c r="E663" s="25">
        <v>25.74</v>
      </c>
      <c r="F663" s="379">
        <v>1.1524521608304601</v>
      </c>
      <c r="G663" s="25">
        <v>46.11</v>
      </c>
      <c r="H663" s="379">
        <v>2.1489510259609013</v>
      </c>
      <c r="I663" s="25">
        <v>66.06</v>
      </c>
      <c r="J663" s="379">
        <v>2.777777777777778E-2</v>
      </c>
    </row>
    <row r="664" spans="1:10" x14ac:dyDescent="0.35">
      <c r="A664" s="5">
        <v>660</v>
      </c>
      <c r="B664" s="5">
        <v>28</v>
      </c>
      <c r="C664" s="5">
        <v>1</v>
      </c>
      <c r="D664" s="379">
        <v>54.170923083044109</v>
      </c>
      <c r="E664" s="25">
        <v>25.59</v>
      </c>
      <c r="F664" s="379">
        <v>1.1524521608304601</v>
      </c>
      <c r="G664" s="25">
        <v>46.11</v>
      </c>
      <c r="H664" s="379">
        <v>2.1408790882829924</v>
      </c>
      <c r="I664" s="25">
        <v>55.68</v>
      </c>
      <c r="J664" s="379">
        <v>2.777777777777778E-2</v>
      </c>
    </row>
    <row r="665" spans="1:10" x14ac:dyDescent="0.35">
      <c r="A665" s="5">
        <v>661</v>
      </c>
      <c r="B665" s="5">
        <v>28</v>
      </c>
      <c r="C665" s="5">
        <v>1</v>
      </c>
      <c r="D665" s="379">
        <v>55.585234553288281</v>
      </c>
      <c r="E665" s="25">
        <v>25.29</v>
      </c>
      <c r="F665" s="379">
        <v>1.1798041078171113</v>
      </c>
      <c r="G665" s="25">
        <v>46.11</v>
      </c>
      <c r="H665" s="379">
        <v>2.1408790882829924</v>
      </c>
      <c r="I665" s="25">
        <v>53.71</v>
      </c>
      <c r="J665" s="379">
        <v>2.777777777777778E-2</v>
      </c>
    </row>
    <row r="666" spans="1:10" x14ac:dyDescent="0.35">
      <c r="A666" s="5">
        <v>662</v>
      </c>
      <c r="B666" s="5">
        <v>28</v>
      </c>
      <c r="C666" s="5">
        <v>1</v>
      </c>
      <c r="D666" s="379">
        <v>45.084163323839199</v>
      </c>
      <c r="E666" s="25">
        <v>24.99</v>
      </c>
      <c r="F666" s="379">
        <v>1.1898379863970308</v>
      </c>
      <c r="G666" s="25">
        <v>46.03</v>
      </c>
      <c r="H666" s="379">
        <v>2.1408790882829924</v>
      </c>
      <c r="I666" s="25">
        <v>53.71</v>
      </c>
      <c r="J666" s="379">
        <v>2.777777777777778E-2</v>
      </c>
    </row>
    <row r="667" spans="1:10" x14ac:dyDescent="0.35">
      <c r="A667" s="5">
        <v>663</v>
      </c>
      <c r="B667" s="5">
        <v>28</v>
      </c>
      <c r="C667" s="5">
        <v>1</v>
      </c>
      <c r="D667" s="379">
        <v>55.518021168949339</v>
      </c>
      <c r="E667" s="25">
        <v>24.84</v>
      </c>
      <c r="F667" s="379">
        <v>1.0724092144412427</v>
      </c>
      <c r="G667" s="25">
        <v>44.93</v>
      </c>
      <c r="H667" s="379">
        <v>2.1489510259609013</v>
      </c>
      <c r="I667" s="25">
        <v>53.27</v>
      </c>
      <c r="J667" s="379">
        <v>2.777777777777778E-2</v>
      </c>
    </row>
    <row r="668" spans="1:10" x14ac:dyDescent="0.35">
      <c r="A668" s="5">
        <v>664</v>
      </c>
      <c r="B668" s="5">
        <v>28</v>
      </c>
      <c r="C668" s="5">
        <v>1</v>
      </c>
      <c r="D668" s="379">
        <v>63.153027056884589</v>
      </c>
      <c r="E668" s="25">
        <v>24.84</v>
      </c>
      <c r="F668" s="379">
        <v>1.0831578143198852</v>
      </c>
      <c r="G668" s="25">
        <v>44.93</v>
      </c>
      <c r="H668" s="379">
        <v>2.1489510259609013</v>
      </c>
      <c r="I668" s="25">
        <v>53.51</v>
      </c>
      <c r="J668" s="379">
        <v>2.777777777777778E-2</v>
      </c>
    </row>
    <row r="669" spans="1:10" x14ac:dyDescent="0.35">
      <c r="A669" s="5">
        <v>665</v>
      </c>
      <c r="B669" s="5">
        <v>28</v>
      </c>
      <c r="C669" s="5">
        <v>1</v>
      </c>
      <c r="D669" s="379">
        <v>54.402012317329451</v>
      </c>
      <c r="E669" s="25">
        <v>24.99</v>
      </c>
      <c r="F669" s="379">
        <v>1.1524521608304601</v>
      </c>
      <c r="G669" s="25">
        <v>45.38</v>
      </c>
      <c r="H669" s="379">
        <v>2.1489510259609013</v>
      </c>
      <c r="I669" s="25">
        <v>53.51</v>
      </c>
      <c r="J669" s="379">
        <v>2.777777777777778E-2</v>
      </c>
    </row>
    <row r="670" spans="1:10" x14ac:dyDescent="0.35">
      <c r="A670" s="5">
        <v>666</v>
      </c>
      <c r="B670" s="5">
        <v>28</v>
      </c>
      <c r="C670" s="5">
        <v>1</v>
      </c>
      <c r="D670" s="379">
        <v>69.552688593658701</v>
      </c>
      <c r="E670" s="25">
        <v>25.74</v>
      </c>
      <c r="F670" s="379">
        <v>1.7778539523935222</v>
      </c>
      <c r="G670" s="25">
        <v>46.11</v>
      </c>
      <c r="H670" s="379">
        <v>2.1489510259609013</v>
      </c>
      <c r="I670" s="25">
        <v>54.25</v>
      </c>
      <c r="J670" s="379">
        <v>2.777777777777778E-2</v>
      </c>
    </row>
    <row r="671" spans="1:10" x14ac:dyDescent="0.35">
      <c r="A671" s="5">
        <v>667</v>
      </c>
      <c r="B671" s="5">
        <v>28</v>
      </c>
      <c r="C671" s="5">
        <v>1</v>
      </c>
      <c r="D671" s="379">
        <v>69.303764576400752</v>
      </c>
      <c r="E671" s="25">
        <v>25.74</v>
      </c>
      <c r="F671" s="379">
        <v>1.1524521608304601</v>
      </c>
      <c r="G671" s="25">
        <v>48.2</v>
      </c>
      <c r="H671" s="379">
        <v>2.1489510259609013</v>
      </c>
      <c r="I671" s="25">
        <v>62.67</v>
      </c>
      <c r="J671" s="379">
        <v>2.777777777777778E-2</v>
      </c>
    </row>
    <row r="672" spans="1:10" x14ac:dyDescent="0.35">
      <c r="A672" s="5">
        <v>668</v>
      </c>
      <c r="B672" s="5">
        <v>28</v>
      </c>
      <c r="C672" s="5">
        <v>1</v>
      </c>
      <c r="D672" s="379">
        <v>54.163533599826906</v>
      </c>
      <c r="E672" s="25">
        <v>25.74</v>
      </c>
      <c r="F672" s="379">
        <v>1.1524521608304601</v>
      </c>
      <c r="G672" s="25">
        <v>46.79</v>
      </c>
      <c r="H672" s="379">
        <v>2.1408790882829924</v>
      </c>
      <c r="I672" s="25">
        <v>53.71</v>
      </c>
      <c r="J672" s="379">
        <v>2.777777777777778E-2</v>
      </c>
    </row>
    <row r="673" spans="1:10" x14ac:dyDescent="0.35">
      <c r="A673" s="5">
        <v>669</v>
      </c>
      <c r="B673" s="5">
        <v>28</v>
      </c>
      <c r="C673" s="5">
        <v>1</v>
      </c>
      <c r="D673" s="379">
        <v>40.475907729785682</v>
      </c>
      <c r="E673" s="25">
        <v>24.99</v>
      </c>
      <c r="F673" s="379">
        <v>4.9077577618779691E-2</v>
      </c>
      <c r="G673" s="25">
        <v>46.11</v>
      </c>
      <c r="H673" s="379">
        <v>2.1408790882829924</v>
      </c>
      <c r="I673" s="25">
        <v>53.71</v>
      </c>
      <c r="J673" s="379">
        <v>2.777777777777778E-2</v>
      </c>
    </row>
    <row r="674" spans="1:10" x14ac:dyDescent="0.35">
      <c r="A674" s="5">
        <v>670</v>
      </c>
      <c r="B674" s="5">
        <v>28</v>
      </c>
      <c r="C674" s="5">
        <v>1</v>
      </c>
      <c r="D674" s="379">
        <v>50.381547631596334</v>
      </c>
      <c r="E674" s="25">
        <v>24.84</v>
      </c>
      <c r="F674" s="379">
        <v>3.2113651201193711</v>
      </c>
      <c r="G674" s="25">
        <v>44.93</v>
      </c>
      <c r="H674" s="379">
        <v>2.1408790882829924</v>
      </c>
      <c r="I674" s="25">
        <v>53.71</v>
      </c>
      <c r="J674" s="379">
        <v>2.8277465877357716E-2</v>
      </c>
    </row>
    <row r="675" spans="1:10" x14ac:dyDescent="0.35">
      <c r="A675" s="5">
        <v>671</v>
      </c>
      <c r="B675" s="5">
        <v>28</v>
      </c>
      <c r="C675" s="5">
        <v>1</v>
      </c>
      <c r="D675" s="379">
        <v>44.068448065532543</v>
      </c>
      <c r="E675" s="25">
        <v>24.99</v>
      </c>
      <c r="F675" s="379">
        <v>2.542397867376879</v>
      </c>
      <c r="G675" s="25">
        <v>44.93</v>
      </c>
      <c r="H675" s="379">
        <v>1.875552840195911</v>
      </c>
      <c r="I675" s="25">
        <v>50.33</v>
      </c>
      <c r="J675" s="379">
        <v>2.8277465877357716E-2</v>
      </c>
    </row>
    <row r="676" spans="1:10" x14ac:dyDescent="0.35">
      <c r="A676" s="5">
        <v>672</v>
      </c>
      <c r="B676" s="5">
        <v>28</v>
      </c>
      <c r="C676" s="5">
        <v>1</v>
      </c>
      <c r="D676" s="379">
        <v>32.779974048138627</v>
      </c>
      <c r="E676" s="25">
        <v>24.99</v>
      </c>
      <c r="F676" s="379">
        <v>2.0570179559902342</v>
      </c>
      <c r="G676" s="25">
        <v>44.74</v>
      </c>
      <c r="H676" s="379">
        <v>1.875552840195911</v>
      </c>
      <c r="I676" s="25">
        <v>50.33</v>
      </c>
      <c r="J676" s="379">
        <v>2.8277465877357716E-2</v>
      </c>
    </row>
    <row r="677" spans="1:10" x14ac:dyDescent="0.35">
      <c r="A677" s="5">
        <v>673</v>
      </c>
      <c r="B677" s="5">
        <v>29</v>
      </c>
      <c r="C677" s="5">
        <v>1</v>
      </c>
      <c r="D677" s="379">
        <v>39.47821369614995</v>
      </c>
      <c r="E677" s="25">
        <v>24.84</v>
      </c>
      <c r="F677" s="379">
        <v>2.0570179559902342</v>
      </c>
      <c r="G677" s="25">
        <v>39.200000000000003</v>
      </c>
      <c r="H677" s="379">
        <v>1.875552840195911</v>
      </c>
      <c r="I677" s="25">
        <v>43.41</v>
      </c>
      <c r="J677" s="379">
        <v>2.777777777777778E-2</v>
      </c>
    </row>
    <row r="678" spans="1:10" x14ac:dyDescent="0.35">
      <c r="A678" s="5">
        <v>674</v>
      </c>
      <c r="B678" s="5">
        <v>29</v>
      </c>
      <c r="C678" s="5">
        <v>1</v>
      </c>
      <c r="D678" s="379">
        <v>42.237703637141045</v>
      </c>
      <c r="E678" s="25">
        <v>24.84</v>
      </c>
      <c r="F678" s="379">
        <v>2.0570179559902342</v>
      </c>
      <c r="G678" s="25">
        <v>38.03</v>
      </c>
      <c r="H678" s="379">
        <v>1.875552840195911</v>
      </c>
      <c r="I678" s="25">
        <v>34.68</v>
      </c>
      <c r="J678" s="379">
        <v>2.777777777777778E-2</v>
      </c>
    </row>
    <row r="679" spans="1:10" x14ac:dyDescent="0.35">
      <c r="A679" s="5">
        <v>675</v>
      </c>
      <c r="B679" s="5">
        <v>29</v>
      </c>
      <c r="C679" s="5">
        <v>1</v>
      </c>
      <c r="D679" s="379">
        <v>35.284078600604921</v>
      </c>
      <c r="E679" s="25">
        <v>24.84</v>
      </c>
      <c r="F679" s="379">
        <v>2.0485598612146414</v>
      </c>
      <c r="G679" s="25">
        <v>32.770000000000003</v>
      </c>
      <c r="H679" s="379">
        <v>1.875552840195911</v>
      </c>
      <c r="I679" s="25">
        <v>33.67</v>
      </c>
      <c r="J679" s="379">
        <v>2.777777777777778E-2</v>
      </c>
    </row>
    <row r="680" spans="1:10" x14ac:dyDescent="0.35">
      <c r="A680" s="5">
        <v>676</v>
      </c>
      <c r="B680" s="5">
        <v>29</v>
      </c>
      <c r="C680" s="5">
        <v>1</v>
      </c>
      <c r="D680" s="379">
        <v>22.993722204433059</v>
      </c>
      <c r="E680" s="25">
        <v>23.41</v>
      </c>
      <c r="F680" s="379">
        <v>2.0419029641604127</v>
      </c>
      <c r="G680" s="25">
        <v>31.84</v>
      </c>
      <c r="H680" s="379">
        <v>1.875552840195911</v>
      </c>
      <c r="I680" s="25">
        <v>33.67</v>
      </c>
      <c r="J680" s="379">
        <v>2.777777777777778E-2</v>
      </c>
    </row>
    <row r="681" spans="1:10" x14ac:dyDescent="0.35">
      <c r="A681" s="5">
        <v>677</v>
      </c>
      <c r="B681" s="5">
        <v>29</v>
      </c>
      <c r="C681" s="5">
        <v>1</v>
      </c>
      <c r="D681" s="379">
        <v>18.948401701524613</v>
      </c>
      <c r="E681" s="25">
        <v>24.11</v>
      </c>
      <c r="F681" s="379">
        <v>2.0419029641604127</v>
      </c>
      <c r="G681" s="25">
        <v>33.090000000000003</v>
      </c>
      <c r="H681" s="379">
        <v>1.875552840195911</v>
      </c>
      <c r="I681" s="25">
        <v>34.25</v>
      </c>
      <c r="J681" s="379">
        <v>2.777777777777778E-2</v>
      </c>
    </row>
    <row r="682" spans="1:10" x14ac:dyDescent="0.35">
      <c r="A682" s="5">
        <v>678</v>
      </c>
      <c r="B682" s="5">
        <v>29</v>
      </c>
      <c r="C682" s="5">
        <v>1</v>
      </c>
      <c r="D682" s="379">
        <v>25.903001477805631</v>
      </c>
      <c r="E682" s="25">
        <v>24.84</v>
      </c>
      <c r="F682" s="379">
        <v>3.2029070253437784</v>
      </c>
      <c r="G682" s="25">
        <v>39.200000000000003</v>
      </c>
      <c r="H682" s="379">
        <v>1.875552840195911</v>
      </c>
      <c r="I682" s="25">
        <v>43.41</v>
      </c>
      <c r="J682" s="379">
        <v>2.777777777777778E-2</v>
      </c>
    </row>
    <row r="683" spans="1:10" x14ac:dyDescent="0.35">
      <c r="A683" s="5">
        <v>679</v>
      </c>
      <c r="B683" s="5">
        <v>29</v>
      </c>
      <c r="C683" s="5">
        <v>1</v>
      </c>
      <c r="D683" s="379">
        <v>23.67403890261674</v>
      </c>
      <c r="E683" s="25">
        <v>24.84</v>
      </c>
      <c r="F683" s="379">
        <v>3.28788838743858</v>
      </c>
      <c r="G683" s="25">
        <v>46.11</v>
      </c>
      <c r="H683" s="379">
        <v>2.1408790882829924</v>
      </c>
      <c r="I683" s="25">
        <v>53.17</v>
      </c>
      <c r="J683" s="379">
        <v>9.2217494332741706E-2</v>
      </c>
    </row>
    <row r="684" spans="1:10" x14ac:dyDescent="0.35">
      <c r="A684" s="5">
        <v>680</v>
      </c>
      <c r="B684" s="5">
        <v>29</v>
      </c>
      <c r="C684" s="5">
        <v>1</v>
      </c>
      <c r="D684" s="379">
        <v>32.038005964631033</v>
      </c>
      <c r="E684" s="25">
        <v>25.74</v>
      </c>
      <c r="F684" s="379">
        <v>7.833002110394989E-2</v>
      </c>
      <c r="G684" s="25">
        <v>46.11</v>
      </c>
      <c r="H684" s="379">
        <v>2.151789658116654</v>
      </c>
      <c r="I684" s="25">
        <v>53.71</v>
      </c>
      <c r="J684" s="379">
        <v>0.12851387276077259</v>
      </c>
    </row>
    <row r="685" spans="1:10" x14ac:dyDescent="0.35">
      <c r="A685" s="5">
        <v>681</v>
      </c>
      <c r="B685" s="5">
        <v>29</v>
      </c>
      <c r="C685" s="5">
        <v>1</v>
      </c>
      <c r="D685" s="379">
        <v>12.630555555555555</v>
      </c>
      <c r="E685" s="25">
        <v>25.74</v>
      </c>
      <c r="F685" s="379">
        <v>2.777777777777778E-2</v>
      </c>
      <c r="G685" s="25">
        <v>46.11</v>
      </c>
      <c r="H685" s="379">
        <v>2.151789658116654</v>
      </c>
      <c r="I685" s="25">
        <v>55.12</v>
      </c>
      <c r="J685" s="379">
        <v>0.12851387276077259</v>
      </c>
    </row>
    <row r="686" spans="1:10" x14ac:dyDescent="0.35">
      <c r="A686" s="5">
        <v>682</v>
      </c>
      <c r="B686" s="5">
        <v>29</v>
      </c>
      <c r="C686" s="5">
        <v>1</v>
      </c>
      <c r="D686" s="379">
        <v>42.81111111111111</v>
      </c>
      <c r="E686" s="25">
        <v>25.74</v>
      </c>
      <c r="F686" s="379">
        <v>2.777777777777778E-2</v>
      </c>
      <c r="G686" s="25">
        <v>46.11</v>
      </c>
      <c r="H686" s="379">
        <v>2.151789658116654</v>
      </c>
      <c r="I686" s="25">
        <v>55.12</v>
      </c>
      <c r="J686" s="379">
        <v>0.12851387276077259</v>
      </c>
    </row>
    <row r="687" spans="1:10" x14ac:dyDescent="0.35">
      <c r="A687" s="5">
        <v>683</v>
      </c>
      <c r="B687" s="5">
        <v>29</v>
      </c>
      <c r="C687" s="5">
        <v>1</v>
      </c>
      <c r="D687" s="379">
        <v>62.827777777777776</v>
      </c>
      <c r="E687" s="25">
        <v>25.74</v>
      </c>
      <c r="F687" s="379">
        <v>3.28788838743858</v>
      </c>
      <c r="G687" s="25">
        <v>46.11</v>
      </c>
      <c r="H687" s="379">
        <v>1.875552840195911</v>
      </c>
      <c r="I687" s="25">
        <v>53.71</v>
      </c>
      <c r="J687" s="379">
        <v>9.2217494332741706E-2</v>
      </c>
    </row>
    <row r="688" spans="1:10" x14ac:dyDescent="0.35">
      <c r="A688" s="5">
        <v>684</v>
      </c>
      <c r="B688" s="5">
        <v>29</v>
      </c>
      <c r="C688" s="5">
        <v>1</v>
      </c>
      <c r="D688" s="379">
        <v>61.522222222222219</v>
      </c>
      <c r="E688" s="25">
        <v>25.74</v>
      </c>
      <c r="F688" s="379">
        <v>3.2113651201193711</v>
      </c>
      <c r="G688" s="25">
        <v>46.11</v>
      </c>
      <c r="H688" s="379">
        <v>1.875552840195911</v>
      </c>
      <c r="I688" s="25">
        <v>54.87</v>
      </c>
      <c r="J688" s="379">
        <v>9.2217494332741706E-2</v>
      </c>
    </row>
    <row r="689" spans="1:10" x14ac:dyDescent="0.35">
      <c r="A689" s="5">
        <v>685</v>
      </c>
      <c r="B689" s="5">
        <v>29</v>
      </c>
      <c r="C689" s="5">
        <v>1</v>
      </c>
      <c r="D689" s="379">
        <v>61.43333333333333</v>
      </c>
      <c r="E689" s="25">
        <v>25.74</v>
      </c>
      <c r="F689" s="379">
        <v>3.1962501282895501</v>
      </c>
      <c r="G689" s="25">
        <v>46.11</v>
      </c>
      <c r="H689" s="379">
        <v>1.875552840195911</v>
      </c>
      <c r="I689" s="25">
        <v>53.71</v>
      </c>
      <c r="J689" s="379">
        <v>9.2217494332741706E-2</v>
      </c>
    </row>
    <row r="690" spans="1:10" x14ac:dyDescent="0.35">
      <c r="A690" s="5">
        <v>686</v>
      </c>
      <c r="B690" s="5">
        <v>29</v>
      </c>
      <c r="C690" s="5">
        <v>1</v>
      </c>
      <c r="D690" s="379">
        <v>30.608333333333334</v>
      </c>
      <c r="E690" s="25">
        <v>25.29</v>
      </c>
      <c r="F690" s="379">
        <v>3.1973115333661775</v>
      </c>
      <c r="G690" s="25">
        <v>46.11</v>
      </c>
      <c r="H690" s="379">
        <v>1.875552840195911</v>
      </c>
      <c r="I690" s="25">
        <v>53.71</v>
      </c>
      <c r="J690" s="379">
        <v>9.2217494332741706E-2</v>
      </c>
    </row>
    <row r="691" spans="1:10" x14ac:dyDescent="0.35">
      <c r="A691" s="5">
        <v>687</v>
      </c>
      <c r="B691" s="5">
        <v>29</v>
      </c>
      <c r="C691" s="5">
        <v>1</v>
      </c>
      <c r="D691" s="379">
        <v>50.774999999999999</v>
      </c>
      <c r="E691" s="25">
        <v>24.99</v>
      </c>
      <c r="F691" s="379">
        <v>3.2113651201193711</v>
      </c>
      <c r="G691" s="25">
        <v>46.03</v>
      </c>
      <c r="H691" s="379">
        <v>1.875552840195911</v>
      </c>
      <c r="I691" s="25">
        <v>53.71</v>
      </c>
      <c r="J691" s="379">
        <v>9.2217494332741706E-2</v>
      </c>
    </row>
    <row r="692" spans="1:10" x14ac:dyDescent="0.35">
      <c r="A692" s="5">
        <v>688</v>
      </c>
      <c r="B692" s="5">
        <v>29</v>
      </c>
      <c r="C692" s="5">
        <v>1</v>
      </c>
      <c r="D692" s="379">
        <v>49.617745458798836</v>
      </c>
      <c r="E692" s="25">
        <v>25.29</v>
      </c>
      <c r="F692" s="379">
        <v>3.714477901822574</v>
      </c>
      <c r="G692" s="25">
        <v>46.03</v>
      </c>
      <c r="H692" s="379">
        <v>2.4479403589630011</v>
      </c>
      <c r="I692" s="25">
        <v>54.32</v>
      </c>
      <c r="J692" s="379">
        <v>1.3605549470073204</v>
      </c>
    </row>
    <row r="693" spans="1:10" x14ac:dyDescent="0.35">
      <c r="A693" s="5">
        <v>689</v>
      </c>
      <c r="B693" s="5">
        <v>29</v>
      </c>
      <c r="C693" s="5">
        <v>1</v>
      </c>
      <c r="D693" s="379">
        <v>40.722222222222221</v>
      </c>
      <c r="E693" s="25">
        <v>25.74</v>
      </c>
      <c r="F693" s="379">
        <v>7.3069843782110375</v>
      </c>
      <c r="G693" s="25">
        <v>46.11</v>
      </c>
      <c r="H693" s="379">
        <v>4.4364092790391512</v>
      </c>
      <c r="I693" s="25">
        <v>60.46</v>
      </c>
      <c r="J693" s="379">
        <v>4.9981552170518597</v>
      </c>
    </row>
    <row r="694" spans="1:10" x14ac:dyDescent="0.35">
      <c r="A694" s="5">
        <v>690</v>
      </c>
      <c r="B694" s="5">
        <v>29</v>
      </c>
      <c r="C694" s="5">
        <v>1</v>
      </c>
      <c r="D694" s="379">
        <v>59.493391776035239</v>
      </c>
      <c r="E694" s="25">
        <v>26.51</v>
      </c>
      <c r="F694" s="379">
        <v>17.593430285830213</v>
      </c>
      <c r="G694" s="25">
        <v>46.11</v>
      </c>
      <c r="H694" s="379">
        <v>7.2497750916237518</v>
      </c>
      <c r="I694" s="25">
        <v>68.05</v>
      </c>
      <c r="J694" s="379">
        <v>5.0546394298245794</v>
      </c>
    </row>
    <row r="695" spans="1:10" x14ac:dyDescent="0.35">
      <c r="A695" s="5">
        <v>691</v>
      </c>
      <c r="B695" s="5">
        <v>29</v>
      </c>
      <c r="C695" s="5">
        <v>1</v>
      </c>
      <c r="D695" s="379">
        <v>59.017636653763525</v>
      </c>
      <c r="E695" s="25">
        <v>27.29</v>
      </c>
      <c r="F695" s="379">
        <v>17.593430285830213</v>
      </c>
      <c r="G695" s="25">
        <v>46.11</v>
      </c>
      <c r="H695" s="379">
        <v>8.2065002088009678</v>
      </c>
      <c r="I695" s="25">
        <v>93.45</v>
      </c>
      <c r="J695" s="379">
        <v>4.9017957695462577</v>
      </c>
    </row>
    <row r="696" spans="1:10" x14ac:dyDescent="0.35">
      <c r="A696" s="5">
        <v>692</v>
      </c>
      <c r="B696" s="5">
        <v>29</v>
      </c>
      <c r="C696" s="5">
        <v>1</v>
      </c>
      <c r="D696" s="379">
        <v>33.968352684207794</v>
      </c>
      <c r="E696" s="25">
        <v>25.74</v>
      </c>
      <c r="F696" s="379">
        <v>17.593430285830213</v>
      </c>
      <c r="G696" s="25">
        <v>46.11</v>
      </c>
      <c r="H696" s="379">
        <v>7.4658626432590802</v>
      </c>
      <c r="I696" s="25">
        <v>55.12</v>
      </c>
      <c r="J696" s="379">
        <v>4.8177280435630552</v>
      </c>
    </row>
    <row r="697" spans="1:10" x14ac:dyDescent="0.35">
      <c r="A697" s="5">
        <v>693</v>
      </c>
      <c r="B697" s="5">
        <v>29</v>
      </c>
      <c r="C697" s="5">
        <v>1</v>
      </c>
      <c r="D697" s="379">
        <v>28.092627554104702</v>
      </c>
      <c r="E697" s="25">
        <v>24.99</v>
      </c>
      <c r="F697" s="379">
        <v>17.593430285830213</v>
      </c>
      <c r="G697" s="25">
        <v>46.03</v>
      </c>
      <c r="H697" s="379">
        <v>8.3425161113916868</v>
      </c>
      <c r="I697" s="25">
        <v>55.12</v>
      </c>
      <c r="J697" s="379">
        <v>4.8177280435630552</v>
      </c>
    </row>
    <row r="698" spans="1:10" x14ac:dyDescent="0.35">
      <c r="A698" s="5">
        <v>694</v>
      </c>
      <c r="B698" s="5">
        <v>29</v>
      </c>
      <c r="C698" s="5">
        <v>1</v>
      </c>
      <c r="D698" s="379">
        <v>13.745700625384419</v>
      </c>
      <c r="E698" s="25">
        <v>24.84</v>
      </c>
      <c r="F698" s="379">
        <v>14.700874402057595</v>
      </c>
      <c r="G698" s="25">
        <v>45.57</v>
      </c>
      <c r="H698" s="379">
        <v>8.3532113343890071</v>
      </c>
      <c r="I698" s="25">
        <v>53.71</v>
      </c>
      <c r="J698" s="379">
        <v>4.772154088983358</v>
      </c>
    </row>
    <row r="699" spans="1:10" x14ac:dyDescent="0.35">
      <c r="A699" s="5">
        <v>695</v>
      </c>
      <c r="B699" s="5">
        <v>29</v>
      </c>
      <c r="C699" s="5">
        <v>1</v>
      </c>
      <c r="D699" s="379">
        <v>29.511493687779708</v>
      </c>
      <c r="E699" s="25">
        <v>24.99</v>
      </c>
      <c r="F699" s="379">
        <v>14.586136678993959</v>
      </c>
      <c r="G699" s="25">
        <v>45.57</v>
      </c>
      <c r="H699" s="379">
        <v>8.2985916654386891</v>
      </c>
      <c r="I699" s="25">
        <v>55.12</v>
      </c>
      <c r="J699" s="379">
        <v>4.772154088983358</v>
      </c>
    </row>
    <row r="700" spans="1:10" x14ac:dyDescent="0.35">
      <c r="A700" s="5">
        <v>696</v>
      </c>
      <c r="B700" s="5">
        <v>29</v>
      </c>
      <c r="C700" s="5">
        <v>1</v>
      </c>
      <c r="D700" s="379">
        <v>30.896138911591184</v>
      </c>
      <c r="E700" s="25">
        <v>24.84</v>
      </c>
      <c r="F700" s="379">
        <v>14.402683377945566</v>
      </c>
      <c r="G700" s="25">
        <v>45.57</v>
      </c>
      <c r="H700" s="379">
        <v>8.4156114714467556</v>
      </c>
      <c r="I700" s="25">
        <v>54.87</v>
      </c>
      <c r="J700" s="379">
        <v>4.6104077679721023</v>
      </c>
    </row>
    <row r="701" spans="1:10" x14ac:dyDescent="0.35">
      <c r="A701" s="5">
        <v>697</v>
      </c>
      <c r="B701" s="5">
        <v>30</v>
      </c>
      <c r="C701" s="5">
        <v>1</v>
      </c>
      <c r="D701" s="379">
        <v>34.888864934646179</v>
      </c>
      <c r="E701" s="25">
        <v>24.84</v>
      </c>
      <c r="F701" s="379">
        <v>13.531050623498221</v>
      </c>
      <c r="G701" s="25">
        <v>39.200000000000003</v>
      </c>
      <c r="H701" s="379">
        <v>8.3155907949557051</v>
      </c>
      <c r="I701" s="25">
        <v>46.85</v>
      </c>
      <c r="J701" s="379">
        <v>4.772154088983358</v>
      </c>
    </row>
    <row r="702" spans="1:10" x14ac:dyDescent="0.35">
      <c r="A702" s="5">
        <v>698</v>
      </c>
      <c r="B702" s="5">
        <v>30</v>
      </c>
      <c r="C702" s="5">
        <v>1</v>
      </c>
      <c r="D702" s="379">
        <v>35.241111111111103</v>
      </c>
      <c r="E702" s="25">
        <v>24.84</v>
      </c>
      <c r="F702" s="379">
        <v>13.99522020788811</v>
      </c>
      <c r="G702" s="25">
        <v>39.200000000000003</v>
      </c>
      <c r="H702" s="379">
        <v>8.2125517017616048</v>
      </c>
      <c r="I702" s="25">
        <v>46.85</v>
      </c>
      <c r="J702" s="379">
        <v>4.772154088983358</v>
      </c>
    </row>
    <row r="703" spans="1:10" x14ac:dyDescent="0.35">
      <c r="A703" s="5">
        <v>699</v>
      </c>
      <c r="B703" s="5">
        <v>30</v>
      </c>
      <c r="C703" s="5">
        <v>1</v>
      </c>
      <c r="D703" s="379">
        <v>27.630555555555553</v>
      </c>
      <c r="E703" s="25">
        <v>24.84</v>
      </c>
      <c r="F703" s="379">
        <v>13.907584506917285</v>
      </c>
      <c r="G703" s="25">
        <v>39.200000000000003</v>
      </c>
      <c r="H703" s="379">
        <v>8.2215571513613828</v>
      </c>
      <c r="I703" s="25">
        <v>46.85</v>
      </c>
      <c r="J703" s="379">
        <v>4.7750028436506486</v>
      </c>
    </row>
    <row r="704" spans="1:10" x14ac:dyDescent="0.35">
      <c r="A704" s="5">
        <v>700</v>
      </c>
      <c r="B704" s="5">
        <v>30</v>
      </c>
      <c r="C704" s="5">
        <v>1</v>
      </c>
      <c r="D704" s="379">
        <v>48.197829596819332</v>
      </c>
      <c r="E704" s="25">
        <v>24.84</v>
      </c>
      <c r="F704" s="379">
        <v>13.935538057012597</v>
      </c>
      <c r="G704" s="25">
        <v>39.200000000000003</v>
      </c>
      <c r="H704" s="379">
        <v>7.9420027355748655</v>
      </c>
      <c r="I704" s="25">
        <v>45.49</v>
      </c>
      <c r="J704" s="379">
        <v>4.8635370662063</v>
      </c>
    </row>
    <row r="705" spans="1:10" x14ac:dyDescent="0.35">
      <c r="A705" s="5">
        <v>701</v>
      </c>
      <c r="B705" s="5">
        <v>30</v>
      </c>
      <c r="C705" s="5">
        <v>1</v>
      </c>
      <c r="D705" s="379">
        <v>47.222633797832231</v>
      </c>
      <c r="E705" s="25">
        <v>24.84</v>
      </c>
      <c r="F705" s="379">
        <v>17.022694938189883</v>
      </c>
      <c r="G705" s="25">
        <v>39.200000000000003</v>
      </c>
      <c r="H705" s="379">
        <v>7.4514283549565068</v>
      </c>
      <c r="I705" s="25">
        <v>46.38</v>
      </c>
      <c r="J705" s="379">
        <v>5.0426503015127313</v>
      </c>
    </row>
    <row r="706" spans="1:10" x14ac:dyDescent="0.35">
      <c r="A706" s="5">
        <v>702</v>
      </c>
      <c r="B706" s="5">
        <v>30</v>
      </c>
      <c r="C706" s="5">
        <v>1</v>
      </c>
      <c r="D706" s="379">
        <v>47.18326159534255</v>
      </c>
      <c r="E706" s="25">
        <v>24.84</v>
      </c>
      <c r="F706" s="379">
        <v>17.4815534691833</v>
      </c>
      <c r="G706" s="25">
        <v>39.200000000000003</v>
      </c>
      <c r="H706" s="379">
        <v>7.7300082842297133</v>
      </c>
      <c r="I706" s="25">
        <v>46.85</v>
      </c>
      <c r="J706" s="379">
        <v>5.2811029543588557</v>
      </c>
    </row>
    <row r="707" spans="1:10" x14ac:dyDescent="0.35">
      <c r="A707" s="5">
        <v>703</v>
      </c>
      <c r="B707" s="5">
        <v>30</v>
      </c>
      <c r="C707" s="5">
        <v>1</v>
      </c>
      <c r="D707" s="379">
        <v>25.658532988623481</v>
      </c>
      <c r="E707" s="25">
        <v>24.84</v>
      </c>
      <c r="F707" s="379">
        <v>19.027268423774363</v>
      </c>
      <c r="G707" s="25">
        <v>39.200000000000003</v>
      </c>
      <c r="H707" s="379">
        <v>5.3559616508981289</v>
      </c>
      <c r="I707" s="25">
        <v>46.85</v>
      </c>
      <c r="J707" s="379">
        <v>5.4285385910774471</v>
      </c>
    </row>
    <row r="708" spans="1:10" x14ac:dyDescent="0.35">
      <c r="A708" s="5">
        <v>704</v>
      </c>
      <c r="B708" s="5">
        <v>30</v>
      </c>
      <c r="C708" s="5">
        <v>1</v>
      </c>
      <c r="D708" s="379">
        <v>34.111772204960218</v>
      </c>
      <c r="E708" s="25">
        <v>24.84</v>
      </c>
      <c r="F708" s="379">
        <v>20.884868141286411</v>
      </c>
      <c r="G708" s="25">
        <v>39.89</v>
      </c>
      <c r="H708" s="379">
        <v>9.8251975817375872</v>
      </c>
      <c r="I708" s="25">
        <v>49.53</v>
      </c>
      <c r="J708" s="379">
        <v>7.4111827043493363</v>
      </c>
    </row>
    <row r="709" spans="1:10" x14ac:dyDescent="0.35">
      <c r="A709" s="5">
        <v>705</v>
      </c>
      <c r="B709" s="5">
        <v>30</v>
      </c>
      <c r="C709" s="5">
        <v>1</v>
      </c>
      <c r="D709" s="379">
        <v>54.483415409820779</v>
      </c>
      <c r="E709" s="25">
        <v>24.99</v>
      </c>
      <c r="F709" s="379">
        <v>20.396160063308219</v>
      </c>
      <c r="G709" s="25">
        <v>44.69</v>
      </c>
      <c r="H709" s="379">
        <v>10.643928410881825</v>
      </c>
      <c r="I709" s="25">
        <v>55.12</v>
      </c>
      <c r="J709" s="379">
        <v>7.3983010080324538</v>
      </c>
    </row>
    <row r="710" spans="1:10" x14ac:dyDescent="0.35">
      <c r="A710" s="5">
        <v>706</v>
      </c>
      <c r="B710" s="5">
        <v>30</v>
      </c>
      <c r="C710" s="5">
        <v>1</v>
      </c>
      <c r="D710" s="379">
        <v>61.347668915951765</v>
      </c>
      <c r="E710" s="25">
        <v>24.99</v>
      </c>
      <c r="F710" s="379">
        <v>15.06740612947025</v>
      </c>
      <c r="G710" s="25">
        <v>46.03</v>
      </c>
      <c r="H710" s="379">
        <v>5.255504362881922</v>
      </c>
      <c r="I710" s="25">
        <v>55.12</v>
      </c>
      <c r="J710" s="379">
        <v>7.1524048881951323</v>
      </c>
    </row>
    <row r="711" spans="1:10" x14ac:dyDescent="0.35">
      <c r="A711" s="5">
        <v>707</v>
      </c>
      <c r="B711" s="5">
        <v>30</v>
      </c>
      <c r="C711" s="5">
        <v>1</v>
      </c>
      <c r="D711" s="379">
        <v>67.2306533289469</v>
      </c>
      <c r="E711" s="25">
        <v>24.99</v>
      </c>
      <c r="F711" s="379">
        <v>11.466863702138832</v>
      </c>
      <c r="G711" s="25">
        <v>47.85</v>
      </c>
      <c r="H711" s="379">
        <v>5.255504362881922</v>
      </c>
      <c r="I711" s="25">
        <v>51.62</v>
      </c>
      <c r="J711" s="379">
        <v>6.7422704964388336</v>
      </c>
    </row>
    <row r="712" spans="1:10" x14ac:dyDescent="0.35">
      <c r="A712" s="5">
        <v>708</v>
      </c>
      <c r="B712" s="5">
        <v>30</v>
      </c>
      <c r="C712" s="5">
        <v>1</v>
      </c>
      <c r="D712" s="379">
        <v>44.626522764938429</v>
      </c>
      <c r="E712" s="25">
        <v>24.99</v>
      </c>
      <c r="F712" s="379">
        <v>8.7169132032150767</v>
      </c>
      <c r="G712" s="25">
        <v>47.85</v>
      </c>
      <c r="H712" s="379">
        <v>4.799693804694658</v>
      </c>
      <c r="I712" s="25">
        <v>50.19</v>
      </c>
      <c r="J712" s="379">
        <v>5.4709963069251035</v>
      </c>
    </row>
    <row r="713" spans="1:10" x14ac:dyDescent="0.35">
      <c r="A713" s="5">
        <v>709</v>
      </c>
      <c r="B713" s="5">
        <v>30</v>
      </c>
      <c r="C713" s="5">
        <v>1</v>
      </c>
      <c r="D713" s="379">
        <v>56.069152947561314</v>
      </c>
      <c r="E713" s="25">
        <v>24.99</v>
      </c>
      <c r="F713" s="379">
        <v>8.4390443676142706</v>
      </c>
      <c r="G713" s="25">
        <v>47.85</v>
      </c>
      <c r="H713" s="379">
        <v>4.799693804694658</v>
      </c>
      <c r="I713" s="25">
        <v>47.32</v>
      </c>
      <c r="J713" s="379">
        <v>5.4612801156340227</v>
      </c>
    </row>
    <row r="714" spans="1:10" x14ac:dyDescent="0.35">
      <c r="A714" s="5">
        <v>710</v>
      </c>
      <c r="B714" s="5">
        <v>30</v>
      </c>
      <c r="C714" s="5">
        <v>1</v>
      </c>
      <c r="D714" s="379">
        <v>52.171975494402346</v>
      </c>
      <c r="E714" s="25">
        <v>24.84</v>
      </c>
      <c r="F714" s="379">
        <v>8.5837866004906456</v>
      </c>
      <c r="G714" s="25">
        <v>47.85</v>
      </c>
      <c r="H714" s="379">
        <v>4.799693804694658</v>
      </c>
      <c r="I714" s="25">
        <v>46.85</v>
      </c>
      <c r="J714" s="379">
        <v>5.0777895420986496</v>
      </c>
    </row>
    <row r="715" spans="1:10" x14ac:dyDescent="0.35">
      <c r="A715" s="5">
        <v>711</v>
      </c>
      <c r="B715" s="5">
        <v>30</v>
      </c>
      <c r="C715" s="5">
        <v>1</v>
      </c>
      <c r="D715" s="379">
        <v>55.888888888888886</v>
      </c>
      <c r="E715" s="25">
        <v>24.84</v>
      </c>
      <c r="F715" s="379">
        <v>8.2730365065916001</v>
      </c>
      <c r="G715" s="25">
        <v>43.56</v>
      </c>
      <c r="H715" s="379">
        <v>4.799693804694658</v>
      </c>
      <c r="I715" s="25">
        <v>46.85</v>
      </c>
      <c r="J715" s="379">
        <v>6.0034095596628774</v>
      </c>
    </row>
    <row r="716" spans="1:10" x14ac:dyDescent="0.35">
      <c r="A716" s="5">
        <v>712</v>
      </c>
      <c r="B716" s="5">
        <v>30</v>
      </c>
      <c r="C716" s="5">
        <v>1</v>
      </c>
      <c r="D716" s="379">
        <v>58.063888888888883</v>
      </c>
      <c r="E716" s="25">
        <v>24.99</v>
      </c>
      <c r="F716" s="379">
        <v>13.104281243104788</v>
      </c>
      <c r="G716" s="25">
        <v>44.69</v>
      </c>
      <c r="H716" s="379">
        <v>4.799693804694658</v>
      </c>
      <c r="I716" s="25">
        <v>46.85</v>
      </c>
      <c r="J716" s="379">
        <v>5.5720471638565394</v>
      </c>
    </row>
    <row r="717" spans="1:10" x14ac:dyDescent="0.35">
      <c r="A717" s="5">
        <v>713</v>
      </c>
      <c r="B717" s="5">
        <v>30</v>
      </c>
      <c r="C717" s="5">
        <v>1</v>
      </c>
      <c r="D717" s="379">
        <v>60.25</v>
      </c>
      <c r="E717" s="25">
        <v>25.74</v>
      </c>
      <c r="F717" s="379">
        <v>21.081332093585448</v>
      </c>
      <c r="G717" s="25">
        <v>44.69</v>
      </c>
      <c r="H717" s="379">
        <v>17.36601898646785</v>
      </c>
      <c r="I717" s="25">
        <v>50.87</v>
      </c>
      <c r="J717" s="379">
        <v>6.9274030867677885</v>
      </c>
    </row>
    <row r="718" spans="1:10" x14ac:dyDescent="0.35">
      <c r="A718" s="5">
        <v>714</v>
      </c>
      <c r="B718" s="5">
        <v>30</v>
      </c>
      <c r="C718" s="5">
        <v>1</v>
      </c>
      <c r="D718" s="379">
        <v>66.325000000000003</v>
      </c>
      <c r="E718" s="25">
        <v>26.51</v>
      </c>
      <c r="F718" s="379">
        <v>21.096305833918017</v>
      </c>
      <c r="G718" s="25">
        <v>46.03</v>
      </c>
      <c r="H718" s="379">
        <v>20.118776123516316</v>
      </c>
      <c r="I718" s="25">
        <v>68.05</v>
      </c>
      <c r="J718" s="379">
        <v>7.0337475165787415</v>
      </c>
    </row>
    <row r="719" spans="1:10" x14ac:dyDescent="0.35">
      <c r="A719" s="5">
        <v>715</v>
      </c>
      <c r="B719" s="5">
        <v>30</v>
      </c>
      <c r="C719" s="5">
        <v>1</v>
      </c>
      <c r="D719" s="379">
        <v>58.997777777777777</v>
      </c>
      <c r="E719" s="25">
        <v>26.51</v>
      </c>
      <c r="F719" s="379">
        <v>20.180002316864726</v>
      </c>
      <c r="G719" s="25">
        <v>47.85</v>
      </c>
      <c r="H719" s="379">
        <v>19.153107344543542</v>
      </c>
      <c r="I719" s="25">
        <v>90.73</v>
      </c>
      <c r="J719" s="379">
        <v>7.0895718084168502</v>
      </c>
    </row>
    <row r="720" spans="1:10" x14ac:dyDescent="0.35">
      <c r="A720" s="5">
        <v>716</v>
      </c>
      <c r="B720" s="5">
        <v>30</v>
      </c>
      <c r="C720" s="5">
        <v>1</v>
      </c>
      <c r="D720" s="379">
        <v>65.562278380186768</v>
      </c>
      <c r="E720" s="25">
        <v>25.74</v>
      </c>
      <c r="F720" s="379">
        <v>21.507009684692381</v>
      </c>
      <c r="G720" s="25">
        <v>46.11</v>
      </c>
      <c r="H720" s="379">
        <v>14.89693826121381</v>
      </c>
      <c r="I720" s="25">
        <v>64.55</v>
      </c>
      <c r="J720" s="379">
        <v>7.1531359564519033</v>
      </c>
    </row>
    <row r="721" spans="1:10" x14ac:dyDescent="0.35">
      <c r="A721" s="5">
        <v>717</v>
      </c>
      <c r="B721" s="5">
        <v>30</v>
      </c>
      <c r="C721" s="5">
        <v>1</v>
      </c>
      <c r="D721" s="379">
        <v>61.107009015554574</v>
      </c>
      <c r="E721" s="25">
        <v>25.59</v>
      </c>
      <c r="F721" s="379">
        <v>22.014940105258354</v>
      </c>
      <c r="G721" s="25">
        <v>46.03</v>
      </c>
      <c r="H721" s="379">
        <v>15.200555920246943</v>
      </c>
      <c r="I721" s="25">
        <v>64.55</v>
      </c>
      <c r="J721" s="379">
        <v>7.1195203650872054</v>
      </c>
    </row>
    <row r="722" spans="1:10" x14ac:dyDescent="0.35">
      <c r="A722" s="5">
        <v>718</v>
      </c>
      <c r="B722" s="5">
        <v>30</v>
      </c>
      <c r="C722" s="5">
        <v>1</v>
      </c>
      <c r="D722" s="379">
        <v>58.527777777777771</v>
      </c>
      <c r="E722" s="25">
        <v>24.99</v>
      </c>
      <c r="F722" s="379">
        <v>21.641534744380497</v>
      </c>
      <c r="G722" s="25">
        <v>40.96</v>
      </c>
      <c r="H722" s="379">
        <v>17.3807372280001</v>
      </c>
      <c r="I722" s="25">
        <v>54.87</v>
      </c>
      <c r="J722" s="379">
        <v>7.0965636113294126</v>
      </c>
    </row>
    <row r="723" spans="1:10" x14ac:dyDescent="0.35">
      <c r="A723" s="5">
        <v>719</v>
      </c>
      <c r="B723" s="5">
        <v>30</v>
      </c>
      <c r="C723" s="5">
        <v>1</v>
      </c>
      <c r="D723" s="379">
        <v>49.598357208417049</v>
      </c>
      <c r="E723" s="25">
        <v>25.29</v>
      </c>
      <c r="F723" s="379">
        <v>20.503504678335716</v>
      </c>
      <c r="G723" s="25">
        <v>46.11</v>
      </c>
      <c r="H723" s="379">
        <v>18.319679730627996</v>
      </c>
      <c r="I723" s="25">
        <v>64.55</v>
      </c>
      <c r="J723" s="379">
        <v>6.9860790647691688</v>
      </c>
    </row>
    <row r="724" spans="1:10" x14ac:dyDescent="0.35">
      <c r="A724" s="5">
        <v>720</v>
      </c>
      <c r="B724" s="5">
        <v>30</v>
      </c>
      <c r="C724" s="5">
        <v>1</v>
      </c>
      <c r="D724" s="379">
        <v>43.024435291330676</v>
      </c>
      <c r="E724" s="25">
        <v>25.29</v>
      </c>
      <c r="F724" s="379">
        <v>19.565135877778456</v>
      </c>
      <c r="G724" s="25">
        <v>46.11</v>
      </c>
      <c r="H724" s="379">
        <v>19.162278184052294</v>
      </c>
      <c r="I724" s="25">
        <v>64.55</v>
      </c>
      <c r="J724" s="379">
        <v>7.2146011878949645</v>
      </c>
    </row>
    <row r="725" spans="1:10" x14ac:dyDescent="0.35">
      <c r="A725" s="5">
        <v>721</v>
      </c>
      <c r="B725" s="5">
        <v>31</v>
      </c>
      <c r="C725" s="5">
        <v>1</v>
      </c>
      <c r="D725" s="379">
        <v>43.492820047097055</v>
      </c>
      <c r="E725" s="25">
        <v>24.84</v>
      </c>
      <c r="F725" s="379">
        <v>19.338607187445135</v>
      </c>
      <c r="G725" s="25">
        <v>42.29</v>
      </c>
      <c r="H725" s="379">
        <v>17.800350708290594</v>
      </c>
      <c r="I725" s="25">
        <v>54.87</v>
      </c>
      <c r="J725" s="379">
        <v>7.1872842869817326</v>
      </c>
    </row>
    <row r="726" spans="1:10" x14ac:dyDescent="0.35">
      <c r="A726" s="5">
        <v>722</v>
      </c>
      <c r="B726" s="5">
        <v>31</v>
      </c>
      <c r="C726" s="5">
        <v>1</v>
      </c>
      <c r="D726" s="379">
        <v>38.181615992902501</v>
      </c>
      <c r="E726" s="25">
        <v>24.84</v>
      </c>
      <c r="F726" s="379">
        <v>19.204624646312155</v>
      </c>
      <c r="G726" s="25">
        <v>40.67</v>
      </c>
      <c r="H726" s="379">
        <v>17.724758778271763</v>
      </c>
      <c r="I726" s="25">
        <v>54.87</v>
      </c>
      <c r="J726" s="379">
        <v>7.1091598078908635</v>
      </c>
    </row>
    <row r="727" spans="1:10" x14ac:dyDescent="0.35">
      <c r="A727" s="5">
        <v>723</v>
      </c>
      <c r="B727" s="5">
        <v>31</v>
      </c>
      <c r="C727" s="5">
        <v>1</v>
      </c>
      <c r="D727" s="379">
        <v>32.238965301103718</v>
      </c>
      <c r="E727" s="25">
        <v>24.84</v>
      </c>
      <c r="F727" s="379">
        <v>19.204624646312155</v>
      </c>
      <c r="G727" s="25">
        <v>40.67</v>
      </c>
      <c r="H727" s="379">
        <v>20.20335405532045</v>
      </c>
      <c r="I727" s="25">
        <v>54.87</v>
      </c>
      <c r="J727" s="379">
        <v>7.1307285114382317</v>
      </c>
    </row>
    <row r="728" spans="1:10" x14ac:dyDescent="0.35">
      <c r="A728" s="5">
        <v>724</v>
      </c>
      <c r="B728" s="5">
        <v>31</v>
      </c>
      <c r="C728" s="5">
        <v>1</v>
      </c>
      <c r="D728" s="379">
        <v>28.587480202301553</v>
      </c>
      <c r="E728" s="25">
        <v>24.84</v>
      </c>
      <c r="F728" s="379">
        <v>19.204624646312155</v>
      </c>
      <c r="G728" s="25">
        <v>40.67</v>
      </c>
      <c r="H728" s="379">
        <v>17.964684311788982</v>
      </c>
      <c r="I728" s="25">
        <v>54.32</v>
      </c>
      <c r="J728" s="379">
        <v>7.1170409533795409</v>
      </c>
    </row>
    <row r="729" spans="1:10" x14ac:dyDescent="0.35">
      <c r="A729" s="5">
        <v>725</v>
      </c>
      <c r="B729" s="5">
        <v>31</v>
      </c>
      <c r="C729" s="5">
        <v>1</v>
      </c>
      <c r="D729" s="379">
        <v>27.567661803464752</v>
      </c>
      <c r="E729" s="25">
        <v>24.84</v>
      </c>
      <c r="F729" s="379">
        <v>19.242305177596055</v>
      </c>
      <c r="G729" s="25">
        <v>40.67</v>
      </c>
      <c r="H729" s="379">
        <v>18.331098447880116</v>
      </c>
      <c r="I729" s="25">
        <v>54.87</v>
      </c>
      <c r="J729" s="379">
        <v>7.07435242554046</v>
      </c>
    </row>
    <row r="730" spans="1:10" x14ac:dyDescent="0.35">
      <c r="A730" s="5">
        <v>726</v>
      </c>
      <c r="B730" s="5">
        <v>31</v>
      </c>
      <c r="C730" s="5">
        <v>1</v>
      </c>
      <c r="D730" s="379">
        <v>45.486837109810814</v>
      </c>
      <c r="E730" s="25">
        <v>24.84</v>
      </c>
      <c r="F730" s="379">
        <v>20.862446119874871</v>
      </c>
      <c r="G730" s="25">
        <v>42.29</v>
      </c>
      <c r="H730" s="379">
        <v>17.799036910896554</v>
      </c>
      <c r="I730" s="25">
        <v>54.87</v>
      </c>
      <c r="J730" s="379">
        <v>7.3586779619989384</v>
      </c>
    </row>
    <row r="731" spans="1:10" x14ac:dyDescent="0.35">
      <c r="A731" s="5">
        <v>727</v>
      </c>
      <c r="B731" s="5">
        <v>31</v>
      </c>
      <c r="C731" s="5">
        <v>1</v>
      </c>
      <c r="D731" s="379">
        <v>50.482222222222219</v>
      </c>
      <c r="E731" s="25">
        <v>24.84</v>
      </c>
      <c r="F731" s="379">
        <v>21.632029913803716</v>
      </c>
      <c r="G731" s="25">
        <v>42.29</v>
      </c>
      <c r="H731" s="379">
        <v>21.45233433795482</v>
      </c>
      <c r="I731" s="25">
        <v>54.87</v>
      </c>
      <c r="J731" s="379">
        <v>7.4450854039767584</v>
      </c>
    </row>
    <row r="732" spans="1:10" x14ac:dyDescent="0.35">
      <c r="A732" s="5">
        <v>728</v>
      </c>
      <c r="B732" s="5">
        <v>31</v>
      </c>
      <c r="C732" s="5">
        <v>1</v>
      </c>
      <c r="D732" s="379">
        <v>57.979444444444432</v>
      </c>
      <c r="E732" s="25">
        <v>24.84</v>
      </c>
      <c r="F732" s="379">
        <v>21.946960433980092</v>
      </c>
      <c r="G732" s="25">
        <v>42.29</v>
      </c>
      <c r="H732" s="379">
        <v>23.631781874300433</v>
      </c>
      <c r="I732" s="25">
        <v>62.27</v>
      </c>
      <c r="J732" s="379">
        <v>7.5362609390737934</v>
      </c>
    </row>
    <row r="733" spans="1:10" x14ac:dyDescent="0.35">
      <c r="A733" s="5">
        <v>729</v>
      </c>
      <c r="B733" s="5">
        <v>31</v>
      </c>
      <c r="C733" s="5">
        <v>1</v>
      </c>
      <c r="D733" s="379">
        <v>68.536372257460371</v>
      </c>
      <c r="E733" s="25">
        <v>24.84</v>
      </c>
      <c r="F733" s="379">
        <v>22.362576138912914</v>
      </c>
      <c r="G733" s="25">
        <v>43.56</v>
      </c>
      <c r="H733" s="379">
        <v>18.485977958649613</v>
      </c>
      <c r="I733" s="25">
        <v>64.14</v>
      </c>
      <c r="J733" s="379">
        <v>7.4005238151777917</v>
      </c>
    </row>
    <row r="734" spans="1:10" x14ac:dyDescent="0.35">
      <c r="A734" s="5">
        <v>730</v>
      </c>
      <c r="B734" s="5">
        <v>31</v>
      </c>
      <c r="C734" s="5">
        <v>1</v>
      </c>
      <c r="D734" s="379">
        <v>69.502106363592162</v>
      </c>
      <c r="E734" s="25">
        <v>24.99</v>
      </c>
      <c r="F734" s="379">
        <v>18.744208957273749</v>
      </c>
      <c r="G734" s="25">
        <v>47.46</v>
      </c>
      <c r="H734" s="379">
        <v>16.698103565402288</v>
      </c>
      <c r="I734" s="25">
        <v>72.19</v>
      </c>
      <c r="J734" s="379">
        <v>6.8499928958095238</v>
      </c>
    </row>
    <row r="735" spans="1:10" x14ac:dyDescent="0.35">
      <c r="A735" s="5">
        <v>731</v>
      </c>
      <c r="B735" s="5">
        <v>31</v>
      </c>
      <c r="C735" s="5">
        <v>1</v>
      </c>
      <c r="D735" s="379">
        <v>68.911111111111111</v>
      </c>
      <c r="E735" s="25">
        <v>25.29</v>
      </c>
      <c r="F735" s="379">
        <v>21.481910456994814</v>
      </c>
      <c r="G735" s="25">
        <v>47.85</v>
      </c>
      <c r="H735" s="379">
        <v>25.808287921098788</v>
      </c>
      <c r="I735" s="25">
        <v>70.09</v>
      </c>
      <c r="J735" s="379">
        <v>7.5909774533751158</v>
      </c>
    </row>
    <row r="736" spans="1:10" x14ac:dyDescent="0.35">
      <c r="A736" s="5">
        <v>732</v>
      </c>
      <c r="B736" s="5">
        <v>31</v>
      </c>
      <c r="C736" s="5">
        <v>1</v>
      </c>
      <c r="D736" s="379">
        <v>67.5</v>
      </c>
      <c r="E736" s="25">
        <v>25.59</v>
      </c>
      <c r="F736" s="379">
        <v>10.93654712482499</v>
      </c>
      <c r="G736" s="25">
        <v>49.65</v>
      </c>
      <c r="H736" s="379">
        <v>15.112162969480803</v>
      </c>
      <c r="I736" s="25">
        <v>68.05</v>
      </c>
      <c r="J736" s="379">
        <v>4.0532764520202003</v>
      </c>
    </row>
    <row r="737" spans="1:10" x14ac:dyDescent="0.35">
      <c r="A737" s="5">
        <v>733</v>
      </c>
      <c r="B737" s="5">
        <v>31</v>
      </c>
      <c r="C737" s="5">
        <v>1</v>
      </c>
      <c r="D737" s="379">
        <v>62.24451882413053</v>
      </c>
      <c r="E737" s="25">
        <v>25.29</v>
      </c>
      <c r="F737" s="379">
        <v>11.111669335970765</v>
      </c>
      <c r="G737" s="25">
        <v>49.65</v>
      </c>
      <c r="H737" s="379">
        <v>17.360246445192814</v>
      </c>
      <c r="I737" s="25">
        <v>70.09</v>
      </c>
      <c r="J737" s="379">
        <v>7.1945896438909269</v>
      </c>
    </row>
    <row r="738" spans="1:10" x14ac:dyDescent="0.35">
      <c r="A738" s="5">
        <v>734</v>
      </c>
      <c r="B738" s="5">
        <v>31</v>
      </c>
      <c r="C738" s="5">
        <v>1</v>
      </c>
      <c r="D738" s="379">
        <v>49.83768203139244</v>
      </c>
      <c r="E738" s="25">
        <v>25.29</v>
      </c>
      <c r="F738" s="379">
        <v>16.470380191200718</v>
      </c>
      <c r="G738" s="25">
        <v>49.14</v>
      </c>
      <c r="H738" s="379">
        <v>21.005747168807552</v>
      </c>
      <c r="I738" s="25">
        <v>70.09</v>
      </c>
      <c r="J738" s="379">
        <v>7.537674229626993</v>
      </c>
    </row>
    <row r="739" spans="1:10" x14ac:dyDescent="0.35">
      <c r="A739" s="5">
        <v>735</v>
      </c>
      <c r="B739" s="5">
        <v>31</v>
      </c>
      <c r="C739" s="5">
        <v>1</v>
      </c>
      <c r="D739" s="379">
        <v>46.562752991510365</v>
      </c>
      <c r="E739" s="25">
        <v>25.29</v>
      </c>
      <c r="F739" s="379">
        <v>20.224462163879505</v>
      </c>
      <c r="G739" s="25">
        <v>49.65</v>
      </c>
      <c r="H739" s="379">
        <v>21.109118417539623</v>
      </c>
      <c r="I739" s="25">
        <v>72.19</v>
      </c>
      <c r="J739" s="379">
        <v>7.5951699000772956</v>
      </c>
    </row>
    <row r="740" spans="1:10" x14ac:dyDescent="0.35">
      <c r="A740" s="5">
        <v>736</v>
      </c>
      <c r="B740" s="5">
        <v>31</v>
      </c>
      <c r="C740" s="5">
        <v>1</v>
      </c>
      <c r="D740" s="379">
        <v>47.607462035217786</v>
      </c>
      <c r="E740" s="25">
        <v>25.29</v>
      </c>
      <c r="F740" s="379">
        <v>21.484482701433812</v>
      </c>
      <c r="G740" s="25">
        <v>49.65</v>
      </c>
      <c r="H740" s="379">
        <v>23.093271439857119</v>
      </c>
      <c r="I740" s="25">
        <v>72.19</v>
      </c>
      <c r="J740" s="379">
        <v>7.5953939860162327</v>
      </c>
    </row>
    <row r="741" spans="1:10" x14ac:dyDescent="0.35">
      <c r="A741" s="5">
        <v>737</v>
      </c>
      <c r="B741" s="5">
        <v>31</v>
      </c>
      <c r="C741" s="5">
        <v>1</v>
      </c>
      <c r="D741" s="379">
        <v>47.27544754294739</v>
      </c>
      <c r="E741" s="25">
        <v>26.24</v>
      </c>
      <c r="F741" s="379">
        <v>34.934016173347402</v>
      </c>
      <c r="G741" s="25">
        <v>49.65</v>
      </c>
      <c r="H741" s="379">
        <v>25.906093205058475</v>
      </c>
      <c r="I741" s="25">
        <v>72.19</v>
      </c>
      <c r="J741" s="379">
        <v>7.5909774533751158</v>
      </c>
    </row>
    <row r="742" spans="1:10" x14ac:dyDescent="0.35">
      <c r="A742" s="5">
        <v>738</v>
      </c>
      <c r="B742" s="5">
        <v>31</v>
      </c>
      <c r="C742" s="5">
        <v>1</v>
      </c>
      <c r="D742" s="379">
        <v>43.81503435755954</v>
      </c>
      <c r="E742" s="25">
        <v>27.59</v>
      </c>
      <c r="F742" s="379">
        <v>138.88888888888889</v>
      </c>
      <c r="G742" s="25">
        <v>51.24</v>
      </c>
      <c r="H742" s="379">
        <v>24.078456458502902</v>
      </c>
      <c r="I742" s="25">
        <v>147.82</v>
      </c>
      <c r="J742" s="379">
        <v>7.401070761989275</v>
      </c>
    </row>
    <row r="743" spans="1:10" x14ac:dyDescent="0.35">
      <c r="A743" s="5">
        <v>739</v>
      </c>
      <c r="B743" s="5">
        <v>31</v>
      </c>
      <c r="C743" s="5">
        <v>1</v>
      </c>
      <c r="D743" s="379">
        <v>56.511093647121513</v>
      </c>
      <c r="E743" s="25">
        <v>26.51</v>
      </c>
      <c r="F743" s="379">
        <v>138.88888888888889</v>
      </c>
      <c r="G743" s="25">
        <v>53.77</v>
      </c>
      <c r="H743" s="379">
        <v>21.952773426116607</v>
      </c>
      <c r="I743" s="25">
        <v>147.82</v>
      </c>
      <c r="J743" s="379">
        <v>7.4711334202695081</v>
      </c>
    </row>
    <row r="744" spans="1:10" x14ac:dyDescent="0.35">
      <c r="A744" s="5">
        <v>740</v>
      </c>
      <c r="B744" s="5">
        <v>31</v>
      </c>
      <c r="C744" s="5">
        <v>1</v>
      </c>
      <c r="D744" s="379">
        <v>51.483188094041125</v>
      </c>
      <c r="E744" s="25">
        <v>25.74</v>
      </c>
      <c r="F744" s="379">
        <v>23.968651175001501</v>
      </c>
      <c r="G744" s="25">
        <v>52.67</v>
      </c>
      <c r="H744" s="379">
        <v>25.334103205824942</v>
      </c>
      <c r="I744" s="25">
        <v>72.19</v>
      </c>
      <c r="J744" s="379">
        <v>7.2753089221501588</v>
      </c>
    </row>
    <row r="745" spans="1:10" x14ac:dyDescent="0.35">
      <c r="A745" s="5">
        <v>741</v>
      </c>
      <c r="B745" s="5">
        <v>31</v>
      </c>
      <c r="C745" s="5">
        <v>1</v>
      </c>
      <c r="D745" s="379">
        <v>46.259135044561198</v>
      </c>
      <c r="E745" s="25">
        <v>25.59</v>
      </c>
      <c r="F745" s="379">
        <v>21.901852296564993</v>
      </c>
      <c r="G745" s="25">
        <v>51.14</v>
      </c>
      <c r="H745" s="379">
        <v>20.604140121035762</v>
      </c>
      <c r="I745" s="25">
        <v>68.05</v>
      </c>
      <c r="J745" s="379">
        <v>7.0040556645657164</v>
      </c>
    </row>
    <row r="746" spans="1:10" x14ac:dyDescent="0.35">
      <c r="A746" s="5">
        <v>742</v>
      </c>
      <c r="B746" s="5">
        <v>31</v>
      </c>
      <c r="C746" s="5">
        <v>1</v>
      </c>
      <c r="D746" s="379">
        <v>48.006725869787509</v>
      </c>
      <c r="E746" s="25">
        <v>24.84</v>
      </c>
      <c r="F746" s="379">
        <v>21.2854596821117</v>
      </c>
      <c r="G746" s="25">
        <v>43.56</v>
      </c>
      <c r="H746" s="379">
        <v>22.770548296000428</v>
      </c>
      <c r="I746" s="25">
        <v>55.42</v>
      </c>
      <c r="J746" s="379">
        <v>6.8510517505870725</v>
      </c>
    </row>
    <row r="747" spans="1:10" x14ac:dyDescent="0.35">
      <c r="A747" s="5">
        <v>743</v>
      </c>
      <c r="B747" s="5">
        <v>31</v>
      </c>
      <c r="C747" s="5">
        <v>1</v>
      </c>
      <c r="D747" s="379">
        <v>41.443223911471222</v>
      </c>
      <c r="E747" s="25">
        <v>24.84</v>
      </c>
      <c r="F747" s="379">
        <v>20.99081952446226</v>
      </c>
      <c r="G747" s="25">
        <v>43.56</v>
      </c>
      <c r="H747" s="379">
        <v>20.253706561890652</v>
      </c>
      <c r="I747" s="25">
        <v>54.87</v>
      </c>
      <c r="J747" s="379">
        <v>6.7469797929495892</v>
      </c>
    </row>
    <row r="748" spans="1:10" x14ac:dyDescent="0.35">
      <c r="A748" s="5">
        <v>744</v>
      </c>
      <c r="B748" s="5">
        <v>31</v>
      </c>
      <c r="C748" s="5">
        <v>1</v>
      </c>
      <c r="D748" s="379">
        <v>49.813033564090951</v>
      </c>
      <c r="E748" s="25">
        <v>24.84</v>
      </c>
      <c r="F748" s="379">
        <v>19.083306199441676</v>
      </c>
      <c r="G748" s="25">
        <v>43.56</v>
      </c>
      <c r="H748" s="379">
        <v>19.12828008138678</v>
      </c>
      <c r="I748" s="25">
        <v>54.87</v>
      </c>
      <c r="J748" s="379">
        <v>6.9214093200644644</v>
      </c>
    </row>
    <row r="749" spans="1:10" x14ac:dyDescent="0.35">
      <c r="A749" s="5">
        <v>745</v>
      </c>
      <c r="B749" s="5">
        <v>32</v>
      </c>
      <c r="C749" s="5">
        <v>2</v>
      </c>
      <c r="D749" s="379">
        <v>45.589327561830608</v>
      </c>
      <c r="E749" s="25">
        <v>24.84</v>
      </c>
      <c r="F749" s="379">
        <v>18.250322559876679</v>
      </c>
      <c r="G749" s="25">
        <v>47.85</v>
      </c>
      <c r="H749" s="379">
        <v>19.787009004088876</v>
      </c>
      <c r="I749" s="25">
        <v>53.71</v>
      </c>
      <c r="J749" s="379">
        <v>6.8989941182966676</v>
      </c>
    </row>
    <row r="750" spans="1:10" x14ac:dyDescent="0.35">
      <c r="A750" s="5">
        <v>746</v>
      </c>
      <c r="B750" s="5">
        <v>32</v>
      </c>
      <c r="C750" s="5">
        <v>2</v>
      </c>
      <c r="D750" s="379">
        <v>41.764015829008301</v>
      </c>
      <c r="E750" s="25">
        <v>24.84</v>
      </c>
      <c r="F750" s="379">
        <v>17.756623721501249</v>
      </c>
      <c r="G750" s="25">
        <v>45.57</v>
      </c>
      <c r="H750" s="379">
        <v>16.873193746301641</v>
      </c>
      <c r="I750" s="25">
        <v>53.71</v>
      </c>
      <c r="J750" s="379">
        <v>4.9017957695462577</v>
      </c>
    </row>
    <row r="751" spans="1:10" x14ac:dyDescent="0.35">
      <c r="A751" s="5">
        <v>747</v>
      </c>
      <c r="B751" s="5">
        <v>32</v>
      </c>
      <c r="C751" s="5">
        <v>2</v>
      </c>
      <c r="D751" s="379">
        <v>40.413851904920087</v>
      </c>
      <c r="E751" s="25">
        <v>24.84</v>
      </c>
      <c r="F751" s="379">
        <v>17.723074253822364</v>
      </c>
      <c r="G751" s="25">
        <v>45.57</v>
      </c>
      <c r="H751" s="379">
        <v>17.211204615080167</v>
      </c>
      <c r="I751" s="25">
        <v>53.71</v>
      </c>
      <c r="J751" s="379">
        <v>4.8826212745002122</v>
      </c>
    </row>
    <row r="752" spans="1:10" x14ac:dyDescent="0.35">
      <c r="A752" s="5">
        <v>748</v>
      </c>
      <c r="B752" s="5">
        <v>32</v>
      </c>
      <c r="C752" s="5">
        <v>2</v>
      </c>
      <c r="D752" s="379">
        <v>41.576846357435578</v>
      </c>
      <c r="E752" s="25">
        <v>24.84</v>
      </c>
      <c r="F752" s="379">
        <v>17.444742034893292</v>
      </c>
      <c r="G752" s="25">
        <v>43.56</v>
      </c>
      <c r="H752" s="379">
        <v>14.41732595874441</v>
      </c>
      <c r="I752" s="25">
        <v>53.71</v>
      </c>
      <c r="J752" s="379">
        <v>4.9761483462299081</v>
      </c>
    </row>
    <row r="753" spans="1:10" x14ac:dyDescent="0.35">
      <c r="A753" s="5">
        <v>749</v>
      </c>
      <c r="B753" s="5">
        <v>32</v>
      </c>
      <c r="C753" s="5">
        <v>2</v>
      </c>
      <c r="D753" s="379">
        <v>41.441692427335475</v>
      </c>
      <c r="E753" s="25">
        <v>24.84</v>
      </c>
      <c r="F753" s="379">
        <v>17.000747933437275</v>
      </c>
      <c r="G753" s="25">
        <v>43.56</v>
      </c>
      <c r="H753" s="379">
        <v>14.41732595874441</v>
      </c>
      <c r="I753" s="25">
        <v>53.71</v>
      </c>
      <c r="J753" s="379">
        <v>4.963332457044336</v>
      </c>
    </row>
    <row r="754" spans="1:10" x14ac:dyDescent="0.35">
      <c r="A754" s="5">
        <v>750</v>
      </c>
      <c r="B754" s="5">
        <v>32</v>
      </c>
      <c r="C754" s="5">
        <v>2</v>
      </c>
      <c r="D754" s="379">
        <v>39.844444444444441</v>
      </c>
      <c r="E754" s="25">
        <v>24.84</v>
      </c>
      <c r="F754" s="379">
        <v>17.892584271775618</v>
      </c>
      <c r="G754" s="25">
        <v>45.57</v>
      </c>
      <c r="H754" s="379">
        <v>14.417706119805686</v>
      </c>
      <c r="I754" s="25">
        <v>53.71</v>
      </c>
      <c r="J754" s="379">
        <v>4.772154088983358</v>
      </c>
    </row>
    <row r="755" spans="1:10" x14ac:dyDescent="0.35">
      <c r="A755" s="5">
        <v>751</v>
      </c>
      <c r="B755" s="5">
        <v>32</v>
      </c>
      <c r="C755" s="5">
        <v>2</v>
      </c>
      <c r="D755" s="379">
        <v>42.186026791636358</v>
      </c>
      <c r="E755" s="25">
        <v>25.47</v>
      </c>
      <c r="F755" s="379">
        <v>18.891197425187723</v>
      </c>
      <c r="G755" s="25">
        <v>47.85</v>
      </c>
      <c r="H755" s="379">
        <v>14.453370714214021</v>
      </c>
      <c r="I755" s="25">
        <v>63.19</v>
      </c>
      <c r="J755" s="379">
        <v>4.772154088983358</v>
      </c>
    </row>
    <row r="756" spans="1:10" x14ac:dyDescent="0.35">
      <c r="A756" s="5">
        <v>752</v>
      </c>
      <c r="B756" s="5">
        <v>32</v>
      </c>
      <c r="C756" s="5">
        <v>2</v>
      </c>
      <c r="D756" s="379">
        <v>59.572724627371393</v>
      </c>
      <c r="E756" s="25">
        <v>28.05</v>
      </c>
      <c r="F756" s="379">
        <v>19.499895399604384</v>
      </c>
      <c r="G756" s="25">
        <v>51.24</v>
      </c>
      <c r="H756" s="379">
        <v>14.65500154120801</v>
      </c>
      <c r="I756" s="25">
        <v>72.19</v>
      </c>
      <c r="J756" s="379">
        <v>4.8363095752919012</v>
      </c>
    </row>
    <row r="757" spans="1:10" x14ac:dyDescent="0.35">
      <c r="A757" s="5">
        <v>753</v>
      </c>
      <c r="B757" s="5">
        <v>32</v>
      </c>
      <c r="C757" s="5">
        <v>2</v>
      </c>
      <c r="D757" s="379">
        <v>67.106055505125568</v>
      </c>
      <c r="E757" s="25">
        <v>29.23</v>
      </c>
      <c r="F757" s="379">
        <v>19.55885914031337</v>
      </c>
      <c r="G757" s="25">
        <v>51.24</v>
      </c>
      <c r="H757" s="379">
        <v>14.712299753237518</v>
      </c>
      <c r="I757" s="25">
        <v>68.05</v>
      </c>
      <c r="J757" s="379">
        <v>4.8225556267083753</v>
      </c>
    </row>
    <row r="758" spans="1:10" x14ac:dyDescent="0.35">
      <c r="A758" s="5">
        <v>754</v>
      </c>
      <c r="B758" s="5">
        <v>32</v>
      </c>
      <c r="C758" s="5">
        <v>2</v>
      </c>
      <c r="D758" s="379">
        <v>61.441213165998462</v>
      </c>
      <c r="E758" s="25">
        <v>29.23</v>
      </c>
      <c r="F758" s="379">
        <v>17.97764121822485</v>
      </c>
      <c r="G758" s="25">
        <v>51.24</v>
      </c>
      <c r="H758" s="379">
        <v>11.210366063053428</v>
      </c>
      <c r="I758" s="25">
        <v>68.05</v>
      </c>
      <c r="J758" s="379">
        <v>5.0293078284400154</v>
      </c>
    </row>
    <row r="759" spans="1:10" x14ac:dyDescent="0.35">
      <c r="A759" s="5">
        <v>755</v>
      </c>
      <c r="B759" s="5">
        <v>32</v>
      </c>
      <c r="C759" s="5">
        <v>2</v>
      </c>
      <c r="D759" s="379">
        <v>54.578762312857791</v>
      </c>
      <c r="E759" s="25">
        <v>29.23</v>
      </c>
      <c r="F759" s="379">
        <v>16.060579004148444</v>
      </c>
      <c r="G759" s="25">
        <v>47.85</v>
      </c>
      <c r="H759" s="379">
        <v>6.6615541749627205</v>
      </c>
      <c r="I759" s="25">
        <v>59.56</v>
      </c>
      <c r="J759" s="379">
        <v>5.5342000414435661</v>
      </c>
    </row>
    <row r="760" spans="1:10" x14ac:dyDescent="0.35">
      <c r="A760" s="5">
        <v>756</v>
      </c>
      <c r="B760" s="5">
        <v>32</v>
      </c>
      <c r="C760" s="5">
        <v>2</v>
      </c>
      <c r="D760" s="379">
        <v>56.079885165936901</v>
      </c>
      <c r="E760" s="25">
        <v>28.05</v>
      </c>
      <c r="F760" s="379">
        <v>7.8192730404909172</v>
      </c>
      <c r="G760" s="25">
        <v>47.85</v>
      </c>
      <c r="H760" s="379">
        <v>8.0803736072096637</v>
      </c>
      <c r="I760" s="25">
        <v>53.71</v>
      </c>
      <c r="J760" s="379">
        <v>4.9595050540393011</v>
      </c>
    </row>
    <row r="761" spans="1:10" x14ac:dyDescent="0.35">
      <c r="A761" s="5">
        <v>757</v>
      </c>
      <c r="B761" s="5">
        <v>32</v>
      </c>
      <c r="C761" s="5">
        <v>2</v>
      </c>
      <c r="D761" s="379">
        <v>50.203232264225193</v>
      </c>
      <c r="E761" s="25">
        <v>28.05</v>
      </c>
      <c r="F761" s="379">
        <v>7.3368892005823128</v>
      </c>
      <c r="G761" s="25">
        <v>47.85</v>
      </c>
      <c r="H761" s="379">
        <v>8.5095103230360145</v>
      </c>
      <c r="I761" s="25">
        <v>53.71</v>
      </c>
      <c r="J761" s="379">
        <v>5.6851235734943852</v>
      </c>
    </row>
    <row r="762" spans="1:10" x14ac:dyDescent="0.35">
      <c r="A762" s="5">
        <v>758</v>
      </c>
      <c r="B762" s="5">
        <v>32</v>
      </c>
      <c r="C762" s="5">
        <v>2</v>
      </c>
      <c r="D762" s="379">
        <v>53.837225130890054</v>
      </c>
      <c r="E762" s="25">
        <v>28.05</v>
      </c>
      <c r="F762" s="379">
        <v>4.9735916844932451</v>
      </c>
      <c r="G762" s="25">
        <v>46.03</v>
      </c>
      <c r="H762" s="379">
        <v>4.6704662293188353</v>
      </c>
      <c r="I762" s="25">
        <v>53.71</v>
      </c>
      <c r="J762" s="379">
        <v>1.1540188667100324</v>
      </c>
    </row>
    <row r="763" spans="1:10" x14ac:dyDescent="0.35">
      <c r="A763" s="5">
        <v>759</v>
      </c>
      <c r="B763" s="5">
        <v>32</v>
      </c>
      <c r="C763" s="5">
        <v>2</v>
      </c>
      <c r="D763" s="379">
        <v>45.665970967710749</v>
      </c>
      <c r="E763" s="25">
        <v>28.05</v>
      </c>
      <c r="F763" s="379">
        <v>7.3368892005823128</v>
      </c>
      <c r="G763" s="25">
        <v>45.57</v>
      </c>
      <c r="H763" s="379">
        <v>8.170494022204478</v>
      </c>
      <c r="I763" s="25">
        <v>53.71</v>
      </c>
      <c r="J763" s="379">
        <v>2.7372754900822627</v>
      </c>
    </row>
    <row r="764" spans="1:10" x14ac:dyDescent="0.35">
      <c r="A764" s="5">
        <v>760</v>
      </c>
      <c r="B764" s="5">
        <v>32</v>
      </c>
      <c r="C764" s="5">
        <v>2</v>
      </c>
      <c r="D764" s="379">
        <v>43.489061735681325</v>
      </c>
      <c r="E764" s="25">
        <v>28.29</v>
      </c>
      <c r="F764" s="379">
        <v>8.2083742658865919</v>
      </c>
      <c r="G764" s="25">
        <v>45.57</v>
      </c>
      <c r="H764" s="379">
        <v>7.9932651672402875</v>
      </c>
      <c r="I764" s="25">
        <v>53.71</v>
      </c>
      <c r="J764" s="379">
        <v>5.749925955891384</v>
      </c>
    </row>
    <row r="765" spans="1:10" x14ac:dyDescent="0.35">
      <c r="A765" s="5">
        <v>761</v>
      </c>
      <c r="B765" s="5">
        <v>32</v>
      </c>
      <c r="C765" s="5">
        <v>2</v>
      </c>
      <c r="D765" s="379">
        <v>50.04422326341362</v>
      </c>
      <c r="E765" s="25">
        <v>28.89</v>
      </c>
      <c r="F765" s="379">
        <v>12.093570696143454</v>
      </c>
      <c r="G765" s="25">
        <v>45.57</v>
      </c>
      <c r="H765" s="379">
        <v>7.5876631029409349</v>
      </c>
      <c r="I765" s="25">
        <v>53.71</v>
      </c>
      <c r="J765" s="379">
        <v>6.15359243007609</v>
      </c>
    </row>
    <row r="766" spans="1:10" x14ac:dyDescent="0.35">
      <c r="A766" s="5">
        <v>762</v>
      </c>
      <c r="B766" s="5">
        <v>32</v>
      </c>
      <c r="C766" s="5">
        <v>2</v>
      </c>
      <c r="D766" s="379">
        <v>43.391557755344373</v>
      </c>
      <c r="E766" s="25">
        <v>29.76</v>
      </c>
      <c r="F766" s="379">
        <v>12.128017529819566</v>
      </c>
      <c r="G766" s="25">
        <v>47.85</v>
      </c>
      <c r="H766" s="379">
        <v>8.4436431088121164</v>
      </c>
      <c r="I766" s="25">
        <v>63.83</v>
      </c>
      <c r="J766" s="379">
        <v>6.0872141512668101</v>
      </c>
    </row>
    <row r="767" spans="1:10" x14ac:dyDescent="0.35">
      <c r="A767" s="5">
        <v>763</v>
      </c>
      <c r="B767" s="5">
        <v>32</v>
      </c>
      <c r="C767" s="5">
        <v>2</v>
      </c>
      <c r="D767" s="379">
        <v>36.985594382006347</v>
      </c>
      <c r="E767" s="25">
        <v>29.76</v>
      </c>
      <c r="F767" s="379">
        <v>12.219769103576468</v>
      </c>
      <c r="G767" s="25">
        <v>49.28</v>
      </c>
      <c r="H767" s="379">
        <v>9.1290629289368361</v>
      </c>
      <c r="I767" s="25">
        <v>135.28</v>
      </c>
      <c r="J767" s="379">
        <v>5.7119375440217448</v>
      </c>
    </row>
    <row r="768" spans="1:10" x14ac:dyDescent="0.35">
      <c r="A768" s="5">
        <v>764</v>
      </c>
      <c r="B768" s="5">
        <v>32</v>
      </c>
      <c r="C768" s="5">
        <v>2</v>
      </c>
      <c r="D768" s="379">
        <v>47.46053998815556</v>
      </c>
      <c r="E768" s="25">
        <v>28.97</v>
      </c>
      <c r="F768" s="379">
        <v>12.595042831029392</v>
      </c>
      <c r="G768" s="25">
        <v>49.28</v>
      </c>
      <c r="H768" s="379">
        <v>8.9017936929895427</v>
      </c>
      <c r="I768" s="25">
        <v>63.83</v>
      </c>
      <c r="J768" s="379">
        <v>5.1544278866990911</v>
      </c>
    </row>
    <row r="769" spans="1:10" x14ac:dyDescent="0.35">
      <c r="A769" s="5">
        <v>765</v>
      </c>
      <c r="B769" s="5">
        <v>32</v>
      </c>
      <c r="C769" s="5">
        <v>2</v>
      </c>
      <c r="D769" s="379">
        <v>51.279422747602005</v>
      </c>
      <c r="E769" s="25">
        <v>26.5</v>
      </c>
      <c r="F769" s="379">
        <v>12.734896095985443</v>
      </c>
      <c r="G769" s="25">
        <v>47.5</v>
      </c>
      <c r="H769" s="379">
        <v>8.7290952715426062</v>
      </c>
      <c r="I769" s="25">
        <v>63.83</v>
      </c>
      <c r="J769" s="379">
        <v>5.2540810074173097</v>
      </c>
    </row>
    <row r="770" spans="1:10" x14ac:dyDescent="0.35">
      <c r="A770" s="5">
        <v>766</v>
      </c>
      <c r="B770" s="5">
        <v>32</v>
      </c>
      <c r="C770" s="5">
        <v>2</v>
      </c>
      <c r="D770" s="379">
        <v>35.910467135753024</v>
      </c>
      <c r="E770" s="25">
        <v>25.25</v>
      </c>
      <c r="F770" s="379">
        <v>9.9987789072935538</v>
      </c>
      <c r="G770" s="25">
        <v>44.93</v>
      </c>
      <c r="H770" s="379">
        <v>9.8650196133269734</v>
      </c>
      <c r="I770" s="25">
        <v>54.25</v>
      </c>
      <c r="J770" s="379">
        <v>2.1043113164090608</v>
      </c>
    </row>
    <row r="771" spans="1:10" x14ac:dyDescent="0.35">
      <c r="A771" s="5">
        <v>767</v>
      </c>
      <c r="B771" s="5">
        <v>32</v>
      </c>
      <c r="C771" s="5">
        <v>2</v>
      </c>
      <c r="D771" s="379">
        <v>29.821111244203188</v>
      </c>
      <c r="E771" s="25">
        <v>25.74</v>
      </c>
      <c r="F771" s="379">
        <v>9.0927720156907945</v>
      </c>
      <c r="G771" s="25">
        <v>46.03</v>
      </c>
      <c r="H771" s="379">
        <v>9.8582523966947715</v>
      </c>
      <c r="I771" s="25">
        <v>54.25</v>
      </c>
      <c r="J771" s="379">
        <v>4.871033756340565</v>
      </c>
    </row>
    <row r="772" spans="1:10" x14ac:dyDescent="0.35">
      <c r="A772" s="5">
        <v>768</v>
      </c>
      <c r="B772" s="5">
        <v>32</v>
      </c>
      <c r="C772" s="5">
        <v>2</v>
      </c>
      <c r="D772" s="379">
        <v>34.508140671693084</v>
      </c>
      <c r="E772" s="25">
        <v>24.99</v>
      </c>
      <c r="F772" s="379">
        <v>9.2317023151112281</v>
      </c>
      <c r="G772" s="25">
        <v>46.03</v>
      </c>
      <c r="H772" s="379">
        <v>10.027742986959028</v>
      </c>
      <c r="I772" s="25">
        <v>54.25</v>
      </c>
      <c r="J772" s="379">
        <v>5.2731819177208763</v>
      </c>
    </row>
    <row r="773" spans="1:10" x14ac:dyDescent="0.35">
      <c r="A773" s="5">
        <v>769</v>
      </c>
      <c r="B773" s="5">
        <v>33</v>
      </c>
      <c r="C773" s="5">
        <v>2</v>
      </c>
      <c r="D773" s="379">
        <v>31.183692084753062</v>
      </c>
      <c r="E773" s="25">
        <v>24.84</v>
      </c>
      <c r="F773" s="379">
        <v>9.2893576637790645</v>
      </c>
      <c r="G773" s="25">
        <v>46.03</v>
      </c>
      <c r="H773" s="379">
        <v>9.9562163914460289</v>
      </c>
      <c r="I773" s="25">
        <v>63.83</v>
      </c>
      <c r="J773" s="379">
        <v>5.0573025936791884</v>
      </c>
    </row>
    <row r="774" spans="1:10" x14ac:dyDescent="0.35">
      <c r="A774" s="5">
        <v>770</v>
      </c>
      <c r="B774" s="5">
        <v>33</v>
      </c>
      <c r="C774" s="5">
        <v>2</v>
      </c>
      <c r="D774" s="379">
        <v>29.524516037409349</v>
      </c>
      <c r="E774" s="25">
        <v>24.84</v>
      </c>
      <c r="F774" s="379">
        <v>9.2134027739036028</v>
      </c>
      <c r="G774" s="25">
        <v>44.29</v>
      </c>
      <c r="H774" s="379">
        <v>9.1282772943916779</v>
      </c>
      <c r="I774" s="25">
        <v>56.15</v>
      </c>
      <c r="J774" s="379">
        <v>4.7255613457434844</v>
      </c>
    </row>
    <row r="775" spans="1:10" x14ac:dyDescent="0.35">
      <c r="A775" s="5">
        <v>771</v>
      </c>
      <c r="B775" s="5">
        <v>33</v>
      </c>
      <c r="C775" s="5">
        <v>2</v>
      </c>
      <c r="D775" s="379">
        <v>28.625273436992579</v>
      </c>
      <c r="E775" s="25">
        <v>24.84</v>
      </c>
      <c r="F775" s="379">
        <v>9.1857266179818176</v>
      </c>
      <c r="G775" s="25">
        <v>43.56</v>
      </c>
      <c r="H775" s="379">
        <v>9.5606934837520363</v>
      </c>
      <c r="I775" s="25">
        <v>54.25</v>
      </c>
      <c r="J775" s="379">
        <v>3.9441555985829</v>
      </c>
    </row>
    <row r="776" spans="1:10" x14ac:dyDescent="0.35">
      <c r="A776" s="5">
        <v>772</v>
      </c>
      <c r="B776" s="5">
        <v>33</v>
      </c>
      <c r="C776" s="5">
        <v>2</v>
      </c>
      <c r="D776" s="379">
        <v>40.979451075895817</v>
      </c>
      <c r="E776" s="25">
        <v>24.84</v>
      </c>
      <c r="F776" s="379">
        <v>9.063409719350874</v>
      </c>
      <c r="G776" s="25">
        <v>43.56</v>
      </c>
      <c r="H776" s="379">
        <v>9.7916835566956095</v>
      </c>
      <c r="I776" s="25">
        <v>53.71</v>
      </c>
      <c r="J776" s="379">
        <v>4.6175791024800974</v>
      </c>
    </row>
    <row r="777" spans="1:10" x14ac:dyDescent="0.35">
      <c r="A777" s="5">
        <v>773</v>
      </c>
      <c r="B777" s="5">
        <v>33</v>
      </c>
      <c r="C777" s="5">
        <v>2</v>
      </c>
      <c r="D777" s="379">
        <v>33.266153213507629</v>
      </c>
      <c r="E777" s="25">
        <v>24.84</v>
      </c>
      <c r="F777" s="379">
        <v>9.0912315736585878</v>
      </c>
      <c r="G777" s="25">
        <v>43.56</v>
      </c>
      <c r="H777" s="379">
        <v>9.6791807286950942</v>
      </c>
      <c r="I777" s="25">
        <v>54.25</v>
      </c>
      <c r="J777" s="379">
        <v>4.0805131491203772</v>
      </c>
    </row>
    <row r="778" spans="1:10" x14ac:dyDescent="0.35">
      <c r="A778" s="5">
        <v>774</v>
      </c>
      <c r="B778" s="5">
        <v>33</v>
      </c>
      <c r="C778" s="5">
        <v>2</v>
      </c>
      <c r="D778" s="379">
        <v>42.528103015088227</v>
      </c>
      <c r="E778" s="25">
        <v>24.84</v>
      </c>
      <c r="F778" s="379">
        <v>9.2833623901835303</v>
      </c>
      <c r="G778" s="25">
        <v>44.29</v>
      </c>
      <c r="H778" s="379">
        <v>10.942596425901851</v>
      </c>
      <c r="I778" s="25">
        <v>66.06</v>
      </c>
      <c r="J778" s="379">
        <v>3.6230581486825706</v>
      </c>
    </row>
    <row r="779" spans="1:10" x14ac:dyDescent="0.35">
      <c r="A779" s="5">
        <v>775</v>
      </c>
      <c r="B779" s="5">
        <v>33</v>
      </c>
      <c r="C779" s="5">
        <v>2</v>
      </c>
      <c r="D779" s="379">
        <v>46.917162630939217</v>
      </c>
      <c r="E779" s="25">
        <v>25.74</v>
      </c>
      <c r="F779" s="379">
        <v>11.41668107474632</v>
      </c>
      <c r="G779" s="25">
        <v>47.85</v>
      </c>
      <c r="H779" s="379">
        <v>11.343023595294708</v>
      </c>
      <c r="I779" s="25">
        <v>603.30999999999995</v>
      </c>
      <c r="J779" s="379">
        <v>4.5376783500497009</v>
      </c>
    </row>
    <row r="780" spans="1:10" x14ac:dyDescent="0.35">
      <c r="A780" s="5">
        <v>776</v>
      </c>
      <c r="B780" s="5">
        <v>33</v>
      </c>
      <c r="C780" s="5">
        <v>2</v>
      </c>
      <c r="D780" s="379">
        <v>35.609543008375795</v>
      </c>
      <c r="E780" s="25">
        <v>27.15</v>
      </c>
      <c r="F780" s="379">
        <v>16.172298683888496</v>
      </c>
      <c r="G780" s="25">
        <v>61.41</v>
      </c>
      <c r="H780" s="379">
        <v>11.539661033656321</v>
      </c>
      <c r="I780" s="25">
        <v>728.65</v>
      </c>
      <c r="J780" s="379">
        <v>4.5376783500497009</v>
      </c>
    </row>
    <row r="781" spans="1:10" x14ac:dyDescent="0.35">
      <c r="A781" s="5">
        <v>777</v>
      </c>
      <c r="B781" s="5">
        <v>33</v>
      </c>
      <c r="C781" s="5">
        <v>2</v>
      </c>
      <c r="D781" s="379">
        <v>55.438643839116381</v>
      </c>
      <c r="E781" s="25">
        <v>34.82</v>
      </c>
      <c r="F781" s="379">
        <v>17.873817013780727</v>
      </c>
      <c r="G781" s="25">
        <v>61.41</v>
      </c>
      <c r="H781" s="379">
        <v>11.741597993349711</v>
      </c>
      <c r="I781" s="25">
        <v>819.14</v>
      </c>
      <c r="J781" s="379">
        <v>5.5471963242528171</v>
      </c>
    </row>
    <row r="782" spans="1:10" x14ac:dyDescent="0.35">
      <c r="A782" s="5">
        <v>778</v>
      </c>
      <c r="B782" s="5">
        <v>33</v>
      </c>
      <c r="C782" s="5">
        <v>2</v>
      </c>
      <c r="D782" s="379">
        <v>53.7319954210367</v>
      </c>
      <c r="E782" s="25">
        <v>34.82</v>
      </c>
      <c r="F782" s="379">
        <v>13.329603405302777</v>
      </c>
      <c r="G782" s="25">
        <v>61.41</v>
      </c>
      <c r="H782" s="379">
        <v>11.841564360224742</v>
      </c>
      <c r="I782" s="25">
        <v>728.65</v>
      </c>
      <c r="J782" s="379">
        <v>6.5477447904742041</v>
      </c>
    </row>
    <row r="783" spans="1:10" x14ac:dyDescent="0.35">
      <c r="A783" s="5">
        <v>779</v>
      </c>
      <c r="B783" s="5">
        <v>33</v>
      </c>
      <c r="C783" s="5">
        <v>2</v>
      </c>
      <c r="D783" s="379">
        <v>53.731425960113683</v>
      </c>
      <c r="E783" s="25">
        <v>34.82</v>
      </c>
      <c r="F783" s="379">
        <v>11.817380734485985</v>
      </c>
      <c r="G783" s="25">
        <v>61.41</v>
      </c>
      <c r="H783" s="379">
        <v>10.820238140511586</v>
      </c>
      <c r="I783" s="25">
        <v>637.92999999999995</v>
      </c>
      <c r="J783" s="379">
        <v>6.1403600373529423</v>
      </c>
    </row>
    <row r="784" spans="1:10" x14ac:dyDescent="0.35">
      <c r="A784" s="5">
        <v>780</v>
      </c>
      <c r="B784" s="5">
        <v>33</v>
      </c>
      <c r="C784" s="5">
        <v>2</v>
      </c>
      <c r="D784" s="379">
        <v>50.233779737701013</v>
      </c>
      <c r="E784" s="25">
        <v>34.82</v>
      </c>
      <c r="F784" s="379">
        <v>10.935684094551217</v>
      </c>
      <c r="G784" s="25">
        <v>61.41</v>
      </c>
      <c r="H784" s="379">
        <v>11.211174169943414</v>
      </c>
      <c r="I784" s="25">
        <v>637.92999999999995</v>
      </c>
      <c r="J784" s="379">
        <v>6.1087383212583992</v>
      </c>
    </row>
    <row r="785" spans="1:10" x14ac:dyDescent="0.35">
      <c r="A785" s="5">
        <v>781</v>
      </c>
      <c r="B785" s="5">
        <v>33</v>
      </c>
      <c r="C785" s="5">
        <v>2</v>
      </c>
      <c r="D785" s="379">
        <v>52.86530923176953</v>
      </c>
      <c r="E785" s="25">
        <v>34.82</v>
      </c>
      <c r="F785" s="379">
        <v>0.47222222222222221</v>
      </c>
      <c r="G785" s="25">
        <v>60.31</v>
      </c>
      <c r="H785" s="379">
        <v>4.799693804694658</v>
      </c>
      <c r="I785" s="25">
        <v>637.92999999999995</v>
      </c>
      <c r="J785" s="379">
        <v>5.4328370340619871</v>
      </c>
    </row>
    <row r="786" spans="1:10" x14ac:dyDescent="0.35">
      <c r="A786" s="5">
        <v>782</v>
      </c>
      <c r="B786" s="5">
        <v>33</v>
      </c>
      <c r="C786" s="5">
        <v>2</v>
      </c>
      <c r="D786" s="379">
        <v>41.075069175349462</v>
      </c>
      <c r="E786" s="25">
        <v>34.82</v>
      </c>
      <c r="F786" s="379">
        <v>11.314747780980777</v>
      </c>
      <c r="G786" s="25">
        <v>62.12</v>
      </c>
      <c r="H786" s="379">
        <v>11.155299331784203</v>
      </c>
      <c r="I786" s="25">
        <v>637.92999999999995</v>
      </c>
      <c r="J786" s="379">
        <v>6.1950221116098758</v>
      </c>
    </row>
    <row r="787" spans="1:10" x14ac:dyDescent="0.35">
      <c r="A787" s="5">
        <v>783</v>
      </c>
      <c r="B787" s="5">
        <v>33</v>
      </c>
      <c r="C787" s="5">
        <v>2</v>
      </c>
      <c r="D787" s="379">
        <v>19.419055785164144</v>
      </c>
      <c r="E787" s="25">
        <v>34.82</v>
      </c>
      <c r="F787" s="379">
        <v>11.025314236402195</v>
      </c>
      <c r="G787" s="25">
        <v>62.12</v>
      </c>
      <c r="H787" s="379">
        <v>11.460162693859621</v>
      </c>
      <c r="I787" s="25">
        <v>637.92999999999995</v>
      </c>
      <c r="J787" s="379">
        <v>6.3064705459586881</v>
      </c>
    </row>
    <row r="788" spans="1:10" x14ac:dyDescent="0.35">
      <c r="A788" s="5">
        <v>784</v>
      </c>
      <c r="B788" s="5">
        <v>33</v>
      </c>
      <c r="C788" s="5">
        <v>2</v>
      </c>
      <c r="D788" s="379">
        <v>52.023655278205197</v>
      </c>
      <c r="E788" s="25">
        <v>34.82</v>
      </c>
      <c r="F788" s="379">
        <v>11.525317766112694</v>
      </c>
      <c r="G788" s="25">
        <v>62.12</v>
      </c>
      <c r="H788" s="379">
        <v>9.953164950448512</v>
      </c>
      <c r="I788" s="25">
        <v>637.92999999999995</v>
      </c>
      <c r="J788" s="379">
        <v>4.3659197148402686</v>
      </c>
    </row>
    <row r="789" spans="1:10" x14ac:dyDescent="0.35">
      <c r="A789" s="5">
        <v>785</v>
      </c>
      <c r="B789" s="5">
        <v>33</v>
      </c>
      <c r="C789" s="5">
        <v>2</v>
      </c>
      <c r="D789" s="379">
        <v>56.020190548277803</v>
      </c>
      <c r="E789" s="25">
        <v>34.82</v>
      </c>
      <c r="F789" s="379">
        <v>23.038600478306673</v>
      </c>
      <c r="G789" s="25">
        <v>62.12</v>
      </c>
      <c r="H789" s="379">
        <v>12.02993439335186</v>
      </c>
      <c r="I789" s="25">
        <v>843.72</v>
      </c>
      <c r="J789" s="379">
        <v>7.0205858627478861</v>
      </c>
    </row>
    <row r="790" spans="1:10" x14ac:dyDescent="0.35">
      <c r="A790" s="5">
        <v>786</v>
      </c>
      <c r="B790" s="5">
        <v>33</v>
      </c>
      <c r="C790" s="5">
        <v>2</v>
      </c>
      <c r="D790" s="379">
        <v>66.11388888888888</v>
      </c>
      <c r="E790" s="25">
        <v>34.82</v>
      </c>
      <c r="F790" s="379">
        <v>26.735879860945921</v>
      </c>
      <c r="G790" s="25">
        <v>64.2</v>
      </c>
      <c r="H790" s="379">
        <v>12.687261900608666</v>
      </c>
      <c r="I790" s="25">
        <v>843.72</v>
      </c>
      <c r="J790" s="379">
        <v>6.9225410217065804</v>
      </c>
    </row>
    <row r="791" spans="1:10" x14ac:dyDescent="0.35">
      <c r="A791" s="5">
        <v>787</v>
      </c>
      <c r="B791" s="5">
        <v>33</v>
      </c>
      <c r="C791" s="5">
        <v>2</v>
      </c>
      <c r="D791" s="379">
        <v>54.455570260517689</v>
      </c>
      <c r="E791" s="25">
        <v>37.090000000000003</v>
      </c>
      <c r="F791" s="379">
        <v>25.896093469916554</v>
      </c>
      <c r="G791" s="25">
        <v>843.72</v>
      </c>
      <c r="H791" s="379">
        <v>12.843629434147475</v>
      </c>
      <c r="I791" s="25">
        <v>869.03</v>
      </c>
      <c r="J791" s="379">
        <v>6.6762164331333711</v>
      </c>
    </row>
    <row r="792" spans="1:10" x14ac:dyDescent="0.35">
      <c r="A792" s="5">
        <v>788</v>
      </c>
      <c r="B792" s="5">
        <v>33</v>
      </c>
      <c r="C792" s="5">
        <v>2</v>
      </c>
      <c r="D792" s="379">
        <v>56.63539234427639</v>
      </c>
      <c r="E792" s="25">
        <v>36.01</v>
      </c>
      <c r="F792" s="379">
        <v>26.002797205716558</v>
      </c>
      <c r="G792" s="25">
        <v>69.739999999999995</v>
      </c>
      <c r="H792" s="379">
        <v>12.978987807504998</v>
      </c>
      <c r="I792" s="25">
        <v>869.03</v>
      </c>
      <c r="J792" s="379">
        <v>7.0040556645657164</v>
      </c>
    </row>
    <row r="793" spans="1:10" x14ac:dyDescent="0.35">
      <c r="A793" s="5">
        <v>789</v>
      </c>
      <c r="B793" s="5">
        <v>33</v>
      </c>
      <c r="C793" s="5">
        <v>2</v>
      </c>
      <c r="D793" s="379">
        <v>52.124695683926205</v>
      </c>
      <c r="E793" s="25">
        <v>34.82</v>
      </c>
      <c r="F793" s="379">
        <v>26.515733748144623</v>
      </c>
      <c r="G793" s="25">
        <v>65.150000000000006</v>
      </c>
      <c r="H793" s="379">
        <v>13.338597929759471</v>
      </c>
      <c r="I793" s="25">
        <v>869.03</v>
      </c>
      <c r="J793" s="379">
        <v>7.0040556645657164</v>
      </c>
    </row>
    <row r="794" spans="1:10" x14ac:dyDescent="0.35">
      <c r="A794" s="5">
        <v>790</v>
      </c>
      <c r="B794" s="5">
        <v>33</v>
      </c>
      <c r="C794" s="5">
        <v>2</v>
      </c>
      <c r="D794" s="379">
        <v>49.990797572711422</v>
      </c>
      <c r="E794" s="25">
        <v>28.42</v>
      </c>
      <c r="F794" s="379">
        <v>26.580390142819414</v>
      </c>
      <c r="G794" s="25">
        <v>62.12</v>
      </c>
      <c r="H794" s="379">
        <v>12.527074919471378</v>
      </c>
      <c r="I794" s="25">
        <v>843.72</v>
      </c>
      <c r="J794" s="379">
        <v>6.9253474239471604</v>
      </c>
    </row>
    <row r="795" spans="1:10" x14ac:dyDescent="0.35">
      <c r="A795" s="5">
        <v>791</v>
      </c>
      <c r="B795" s="5">
        <v>33</v>
      </c>
      <c r="C795" s="5">
        <v>2</v>
      </c>
      <c r="D795" s="379">
        <v>40.996746545172748</v>
      </c>
      <c r="E795" s="25">
        <v>28.12</v>
      </c>
      <c r="F795" s="379">
        <v>23.571431440901158</v>
      </c>
      <c r="G795" s="25">
        <v>60.51</v>
      </c>
      <c r="H795" s="379">
        <v>13.166250202185335</v>
      </c>
      <c r="I795" s="25">
        <v>843.72</v>
      </c>
      <c r="J795" s="379">
        <v>7.0040556645657164</v>
      </c>
    </row>
    <row r="796" spans="1:10" x14ac:dyDescent="0.35">
      <c r="A796" s="5">
        <v>792</v>
      </c>
      <c r="B796" s="5">
        <v>33</v>
      </c>
      <c r="C796" s="5">
        <v>2</v>
      </c>
      <c r="D796" s="379">
        <v>48.170915382722328</v>
      </c>
      <c r="E796" s="25">
        <v>28.12</v>
      </c>
      <c r="F796" s="379">
        <v>23.413638666153645</v>
      </c>
      <c r="G796" s="25">
        <v>57.56</v>
      </c>
      <c r="H796" s="379">
        <v>13.367479932712417</v>
      </c>
      <c r="I796" s="25">
        <v>760.84</v>
      </c>
      <c r="J796" s="379">
        <v>7.0040556645657164</v>
      </c>
    </row>
    <row r="797" spans="1:10" x14ac:dyDescent="0.35">
      <c r="A797" s="5">
        <v>793</v>
      </c>
      <c r="B797" s="5">
        <v>34</v>
      </c>
      <c r="C797" s="5">
        <v>2</v>
      </c>
      <c r="D797" s="379">
        <v>46.610627060684429</v>
      </c>
      <c r="E797" s="25">
        <v>28.12</v>
      </c>
      <c r="F797" s="379">
        <v>22.651188928554941</v>
      </c>
      <c r="G797" s="25">
        <v>55.88</v>
      </c>
      <c r="H797" s="379">
        <v>12.871832381254544</v>
      </c>
      <c r="I797" s="25">
        <v>843.72</v>
      </c>
      <c r="J797" s="379">
        <v>7.0909614370614724</v>
      </c>
    </row>
    <row r="798" spans="1:10" x14ac:dyDescent="0.35">
      <c r="A798" s="5">
        <v>794</v>
      </c>
      <c r="B798" s="5">
        <v>34</v>
      </c>
      <c r="C798" s="5">
        <v>2</v>
      </c>
      <c r="D798" s="379">
        <v>37.426690632671082</v>
      </c>
      <c r="E798" s="25">
        <v>26.05</v>
      </c>
      <c r="F798" s="379">
        <v>19.290133577694956</v>
      </c>
      <c r="G798" s="25">
        <v>55.88</v>
      </c>
      <c r="H798" s="379">
        <v>11.956949714385402</v>
      </c>
      <c r="I798" s="25">
        <v>760.84</v>
      </c>
      <c r="J798" s="379">
        <v>7.11718177846695</v>
      </c>
    </row>
    <row r="799" spans="1:10" x14ac:dyDescent="0.35">
      <c r="A799" s="5">
        <v>795</v>
      </c>
      <c r="B799" s="5">
        <v>34</v>
      </c>
      <c r="C799" s="5">
        <v>2</v>
      </c>
      <c r="D799" s="379">
        <v>33.308593557772816</v>
      </c>
      <c r="E799" s="25">
        <v>26.05</v>
      </c>
      <c r="F799" s="379">
        <v>19.162898376053093</v>
      </c>
      <c r="G799" s="25">
        <v>55.88</v>
      </c>
      <c r="H799" s="379">
        <v>11.956949714385402</v>
      </c>
      <c r="I799" s="25">
        <v>760.84</v>
      </c>
      <c r="J799" s="379">
        <v>7.1247090448519916</v>
      </c>
    </row>
    <row r="800" spans="1:10" x14ac:dyDescent="0.35">
      <c r="A800" s="5">
        <v>796</v>
      </c>
      <c r="B800" s="5">
        <v>34</v>
      </c>
      <c r="C800" s="5">
        <v>2</v>
      </c>
      <c r="D800" s="379">
        <v>37.418805335901588</v>
      </c>
      <c r="E800" s="25">
        <v>25.74</v>
      </c>
      <c r="F800" s="379">
        <v>19.370404831122098</v>
      </c>
      <c r="G800" s="25">
        <v>55.88</v>
      </c>
      <c r="H800" s="379">
        <v>12.015722183205144</v>
      </c>
      <c r="I800" s="25">
        <v>738.68</v>
      </c>
      <c r="J800" s="379">
        <v>7.1302211243166571</v>
      </c>
    </row>
    <row r="801" spans="1:10" x14ac:dyDescent="0.35">
      <c r="A801" s="5">
        <v>797</v>
      </c>
      <c r="B801" s="5">
        <v>34</v>
      </c>
      <c r="C801" s="5">
        <v>2</v>
      </c>
      <c r="D801" s="379">
        <v>29.476415986048153</v>
      </c>
      <c r="E801" s="25">
        <v>25.74</v>
      </c>
      <c r="F801" s="379">
        <v>19.397299239479796</v>
      </c>
      <c r="G801" s="25">
        <v>55.88</v>
      </c>
      <c r="H801" s="379">
        <v>11.990177189819926</v>
      </c>
      <c r="I801" s="25">
        <v>760.84</v>
      </c>
      <c r="J801" s="379">
        <v>7.0909815541384393</v>
      </c>
    </row>
    <row r="802" spans="1:10" x14ac:dyDescent="0.35">
      <c r="A802" s="5">
        <v>798</v>
      </c>
      <c r="B802" s="5">
        <v>34</v>
      </c>
      <c r="C802" s="5">
        <v>2</v>
      </c>
      <c r="D802" s="379">
        <v>41.555718769430221</v>
      </c>
      <c r="E802" s="25">
        <v>26.51</v>
      </c>
      <c r="F802" s="379">
        <v>19.573916664191092</v>
      </c>
      <c r="G802" s="25">
        <v>60.51</v>
      </c>
      <c r="H802" s="379">
        <v>12.613303117865588</v>
      </c>
      <c r="I802" s="25">
        <v>843.72</v>
      </c>
      <c r="J802" s="379">
        <v>7.2578028886488175</v>
      </c>
    </row>
    <row r="803" spans="1:10" x14ac:dyDescent="0.35">
      <c r="A803" s="5">
        <v>799</v>
      </c>
      <c r="B803" s="5">
        <v>34</v>
      </c>
      <c r="C803" s="5">
        <v>2</v>
      </c>
      <c r="D803" s="379">
        <v>36.270953848585428</v>
      </c>
      <c r="E803" s="25">
        <v>28.8</v>
      </c>
      <c r="F803" s="379">
        <v>19.942253836865476</v>
      </c>
      <c r="G803" s="25">
        <v>62.12</v>
      </c>
      <c r="H803" s="379">
        <v>12.656311768863715</v>
      </c>
      <c r="I803" s="25">
        <v>869.03</v>
      </c>
      <c r="J803" s="379">
        <v>7.0909815541384393</v>
      </c>
    </row>
    <row r="804" spans="1:10" x14ac:dyDescent="0.35">
      <c r="A804" s="5">
        <v>800</v>
      </c>
      <c r="B804" s="5">
        <v>34</v>
      </c>
      <c r="C804" s="5">
        <v>2</v>
      </c>
      <c r="D804" s="379">
        <v>41.82492375798585</v>
      </c>
      <c r="E804" s="25">
        <v>36.94</v>
      </c>
      <c r="F804" s="379">
        <v>19.147382979510308</v>
      </c>
      <c r="G804" s="25">
        <v>77.53</v>
      </c>
      <c r="H804" s="379">
        <v>13.042418907327146</v>
      </c>
      <c r="I804" s="25">
        <v>869.03</v>
      </c>
      <c r="J804" s="379">
        <v>7.0909815541384393</v>
      </c>
    </row>
    <row r="805" spans="1:10" x14ac:dyDescent="0.35">
      <c r="A805" s="5">
        <v>801</v>
      </c>
      <c r="B805" s="5">
        <v>34</v>
      </c>
      <c r="C805" s="5">
        <v>2</v>
      </c>
      <c r="D805" s="379">
        <v>51.33153426093763</v>
      </c>
      <c r="E805" s="25">
        <v>37.090000000000003</v>
      </c>
      <c r="F805" s="379">
        <v>15.128272185340901</v>
      </c>
      <c r="G805" s="25">
        <v>494.86</v>
      </c>
      <c r="H805" s="379">
        <v>11.422491794118107</v>
      </c>
      <c r="I805" s="25">
        <v>869.03</v>
      </c>
      <c r="J805" s="379">
        <v>7.0617902004044657</v>
      </c>
    </row>
    <row r="806" spans="1:10" x14ac:dyDescent="0.35">
      <c r="A806" s="5">
        <v>802</v>
      </c>
      <c r="B806" s="5">
        <v>34</v>
      </c>
      <c r="C806" s="5">
        <v>2</v>
      </c>
      <c r="D806" s="379">
        <v>34.481067675019439</v>
      </c>
      <c r="E806" s="25">
        <v>37.090000000000003</v>
      </c>
      <c r="F806" s="379">
        <v>13.680258670219525</v>
      </c>
      <c r="G806" s="25">
        <v>82.53</v>
      </c>
      <c r="H806" s="379">
        <v>8.8716128499326317</v>
      </c>
      <c r="I806" s="25">
        <v>869.03</v>
      </c>
      <c r="J806" s="379">
        <v>4.7772394050129376</v>
      </c>
    </row>
    <row r="807" spans="1:10" x14ac:dyDescent="0.35">
      <c r="A807" s="5">
        <v>803</v>
      </c>
      <c r="B807" s="5">
        <v>34</v>
      </c>
      <c r="C807" s="5">
        <v>2</v>
      </c>
      <c r="D807" s="379">
        <v>42.222222222222221</v>
      </c>
      <c r="E807" s="25">
        <v>37.090000000000003</v>
      </c>
      <c r="F807" s="379">
        <v>9.4458385669392051</v>
      </c>
      <c r="G807" s="25">
        <v>82.53</v>
      </c>
      <c r="H807" s="379">
        <v>9.9721591335672102</v>
      </c>
      <c r="I807" s="25">
        <v>869.03</v>
      </c>
      <c r="J807" s="379">
        <v>0.27777777777777779</v>
      </c>
    </row>
    <row r="808" spans="1:10" x14ac:dyDescent="0.35">
      <c r="A808" s="5">
        <v>804</v>
      </c>
      <c r="B808" s="5">
        <v>34</v>
      </c>
      <c r="C808" s="5">
        <v>2</v>
      </c>
      <c r="D808" s="379">
        <v>42.461111111111116</v>
      </c>
      <c r="E808" s="25">
        <v>37.090000000000003</v>
      </c>
      <c r="F808" s="379">
        <v>9.0702136245197327</v>
      </c>
      <c r="G808" s="25">
        <v>77.790000000000006</v>
      </c>
      <c r="H808" s="379">
        <v>4.799693804694658</v>
      </c>
      <c r="I808" s="25">
        <v>869.03</v>
      </c>
      <c r="J808" s="379">
        <v>0.27777777777777779</v>
      </c>
    </row>
    <row r="809" spans="1:10" x14ac:dyDescent="0.35">
      <c r="A809" s="5">
        <v>805</v>
      </c>
      <c r="B809" s="5">
        <v>34</v>
      </c>
      <c r="C809" s="5">
        <v>2</v>
      </c>
      <c r="D809" s="379">
        <v>40.264885080962777</v>
      </c>
      <c r="E809" s="25">
        <v>37.090000000000003</v>
      </c>
      <c r="F809" s="379">
        <v>8.1174834595959613</v>
      </c>
      <c r="G809" s="25">
        <v>77.53</v>
      </c>
      <c r="H809" s="379">
        <v>4.799693804694658</v>
      </c>
      <c r="I809" s="25">
        <v>869.03</v>
      </c>
      <c r="J809" s="379">
        <v>4.762952485510886</v>
      </c>
    </row>
    <row r="810" spans="1:10" x14ac:dyDescent="0.35">
      <c r="A810" s="5">
        <v>806</v>
      </c>
      <c r="B810" s="5">
        <v>34</v>
      </c>
      <c r="C810" s="5">
        <v>2</v>
      </c>
      <c r="D810" s="379">
        <v>41.997382137813162</v>
      </c>
      <c r="E810" s="25">
        <v>37.090000000000003</v>
      </c>
      <c r="F810" s="379">
        <v>9.4060315480966388</v>
      </c>
      <c r="G810" s="25">
        <v>72.260000000000005</v>
      </c>
      <c r="H810" s="379">
        <v>9.9633446754608119</v>
      </c>
      <c r="I810" s="25">
        <v>869.03</v>
      </c>
      <c r="J810" s="379">
        <v>6.6721188206930604</v>
      </c>
    </row>
    <row r="811" spans="1:10" x14ac:dyDescent="0.35">
      <c r="A811" s="5">
        <v>807</v>
      </c>
      <c r="B811" s="5">
        <v>34</v>
      </c>
      <c r="C811" s="5">
        <v>2</v>
      </c>
      <c r="D811" s="379">
        <v>38.513192113880287</v>
      </c>
      <c r="E811" s="25">
        <v>37.090000000000003</v>
      </c>
      <c r="F811" s="379">
        <v>9.2194825774458931</v>
      </c>
      <c r="G811" s="25">
        <v>70.150000000000006</v>
      </c>
      <c r="H811" s="379">
        <v>4.799693804694658</v>
      </c>
      <c r="I811" s="25">
        <v>869.03</v>
      </c>
      <c r="J811" s="379">
        <v>5.712830884924645</v>
      </c>
    </row>
    <row r="812" spans="1:10" x14ac:dyDescent="0.35">
      <c r="A812" s="5">
        <v>808</v>
      </c>
      <c r="B812" s="5">
        <v>34</v>
      </c>
      <c r="C812" s="5">
        <v>2</v>
      </c>
      <c r="D812" s="379">
        <v>39.216050101369305</v>
      </c>
      <c r="E812" s="25">
        <v>37.090000000000003</v>
      </c>
      <c r="F812" s="379">
        <v>9.708044631714019</v>
      </c>
      <c r="G812" s="25">
        <v>77.53</v>
      </c>
      <c r="H812" s="379">
        <v>11.241774784209378</v>
      </c>
      <c r="I812" s="25">
        <v>852.24</v>
      </c>
      <c r="J812" s="379">
        <v>7.0498673754214671</v>
      </c>
    </row>
    <row r="813" spans="1:10" x14ac:dyDescent="0.35">
      <c r="A813" s="5">
        <v>809</v>
      </c>
      <c r="B813" s="5">
        <v>34</v>
      </c>
      <c r="C813" s="5">
        <v>2</v>
      </c>
      <c r="D813" s="379">
        <v>52.369264751673668</v>
      </c>
      <c r="E813" s="25">
        <v>37.090000000000003</v>
      </c>
      <c r="F813" s="379">
        <v>21.061487933282166</v>
      </c>
      <c r="G813" s="25">
        <v>77.53</v>
      </c>
      <c r="H813" s="379">
        <v>12.321880706921521</v>
      </c>
      <c r="I813" s="25">
        <v>852.24</v>
      </c>
      <c r="J813" s="379">
        <v>7.2352681694691459</v>
      </c>
    </row>
    <row r="814" spans="1:10" x14ac:dyDescent="0.35">
      <c r="A814" s="5">
        <v>810</v>
      </c>
      <c r="B814" s="5">
        <v>34</v>
      </c>
      <c r="C814" s="5">
        <v>2</v>
      </c>
      <c r="D814" s="379">
        <v>39.064054291140096</v>
      </c>
      <c r="E814" s="25">
        <v>37.090000000000003</v>
      </c>
      <c r="F814" s="379">
        <v>21.224934817158676</v>
      </c>
      <c r="G814" s="25">
        <v>819.14</v>
      </c>
      <c r="H814" s="379">
        <v>14.766405442328406</v>
      </c>
      <c r="I814" s="25">
        <v>869.03</v>
      </c>
      <c r="J814" s="379">
        <v>6.040815594149012</v>
      </c>
    </row>
    <row r="815" spans="1:10" x14ac:dyDescent="0.35">
      <c r="A815" s="5">
        <v>811</v>
      </c>
      <c r="B815" s="5">
        <v>34</v>
      </c>
      <c r="C815" s="5">
        <v>2</v>
      </c>
      <c r="D815" s="379">
        <v>40.474424704745488</v>
      </c>
      <c r="E815" s="25">
        <v>37.090000000000003</v>
      </c>
      <c r="F815" s="379">
        <v>22.25434981798734</v>
      </c>
      <c r="G815" s="25">
        <v>869.03</v>
      </c>
      <c r="H815" s="379">
        <v>14.752616672131113</v>
      </c>
      <c r="I815" s="25">
        <v>869.03</v>
      </c>
      <c r="J815" s="379">
        <v>6.5482885640472297</v>
      </c>
    </row>
    <row r="816" spans="1:10" x14ac:dyDescent="0.35">
      <c r="A816" s="5">
        <v>812</v>
      </c>
      <c r="B816" s="5">
        <v>34</v>
      </c>
      <c r="C816" s="5">
        <v>2</v>
      </c>
      <c r="D816" s="379">
        <v>38.578123558284823</v>
      </c>
      <c r="E816" s="25">
        <v>37.090000000000003</v>
      </c>
      <c r="F816" s="379">
        <v>22.16695268020473</v>
      </c>
      <c r="G816" s="25">
        <v>843.72</v>
      </c>
      <c r="H816" s="379">
        <v>14.674003952663563</v>
      </c>
      <c r="I816" s="25">
        <v>869.03</v>
      </c>
      <c r="J816" s="379">
        <v>6.441274270382503</v>
      </c>
    </row>
    <row r="817" spans="1:10" x14ac:dyDescent="0.35">
      <c r="A817" s="5">
        <v>813</v>
      </c>
      <c r="B817" s="5">
        <v>34</v>
      </c>
      <c r="C817" s="5">
        <v>2</v>
      </c>
      <c r="D817" s="379">
        <v>43.251100276029511</v>
      </c>
      <c r="E817" s="25">
        <v>36.94</v>
      </c>
      <c r="F817" s="379">
        <v>21.864782550653967</v>
      </c>
      <c r="G817" s="25">
        <v>73.08</v>
      </c>
      <c r="H817" s="379">
        <v>12.147398462244327</v>
      </c>
      <c r="I817" s="25">
        <v>852.24</v>
      </c>
      <c r="J817" s="379">
        <v>5.8777706990547598</v>
      </c>
    </row>
    <row r="818" spans="1:10" x14ac:dyDescent="0.35">
      <c r="A818" s="5">
        <v>814</v>
      </c>
      <c r="B818" s="5">
        <v>34</v>
      </c>
      <c r="C818" s="5">
        <v>2</v>
      </c>
      <c r="D818" s="379">
        <v>39.642933003086675</v>
      </c>
      <c r="E818" s="25">
        <v>34.82</v>
      </c>
      <c r="F818" s="379">
        <v>22.272804075469661</v>
      </c>
      <c r="G818" s="25">
        <v>62.12</v>
      </c>
      <c r="H818" s="379">
        <v>13.631077306971578</v>
      </c>
      <c r="I818" s="25">
        <v>843.72</v>
      </c>
      <c r="J818" s="379">
        <v>5.9111784722238632</v>
      </c>
    </row>
    <row r="819" spans="1:10" x14ac:dyDescent="0.35">
      <c r="A819" s="5">
        <v>815</v>
      </c>
      <c r="B819" s="5">
        <v>34</v>
      </c>
      <c r="C819" s="5">
        <v>2</v>
      </c>
      <c r="D819" s="379">
        <v>36.922222222222217</v>
      </c>
      <c r="E819" s="25">
        <v>30.65</v>
      </c>
      <c r="F819" s="379">
        <v>22.019711712031544</v>
      </c>
      <c r="G819" s="25">
        <v>62.12</v>
      </c>
      <c r="H819" s="379">
        <v>13.784435200676484</v>
      </c>
      <c r="I819" s="25">
        <v>843.72</v>
      </c>
      <c r="J819" s="379">
        <v>6.1744191910109087</v>
      </c>
    </row>
    <row r="820" spans="1:10" x14ac:dyDescent="0.35">
      <c r="A820" s="5">
        <v>816</v>
      </c>
      <c r="B820" s="5">
        <v>34</v>
      </c>
      <c r="C820" s="5">
        <v>2</v>
      </c>
      <c r="D820" s="379">
        <v>35.255555555555553</v>
      </c>
      <c r="E820" s="25">
        <v>28.12</v>
      </c>
      <c r="F820" s="379">
        <v>22.072635176884113</v>
      </c>
      <c r="G820" s="25">
        <v>62.12</v>
      </c>
      <c r="H820" s="379">
        <v>14.288417017460045</v>
      </c>
      <c r="I820" s="25">
        <v>843.72</v>
      </c>
      <c r="J820" s="379">
        <v>6.2720112315126411</v>
      </c>
    </row>
    <row r="821" spans="1:10" x14ac:dyDescent="0.35">
      <c r="A821" s="5">
        <v>817</v>
      </c>
      <c r="B821" s="5">
        <v>35</v>
      </c>
      <c r="C821" s="5">
        <v>2</v>
      </c>
      <c r="D821" s="379">
        <v>42.285998887264711</v>
      </c>
      <c r="E821" s="25">
        <v>26.51</v>
      </c>
      <c r="F821" s="379">
        <v>21.313345671877173</v>
      </c>
      <c r="G821" s="25">
        <v>62.12</v>
      </c>
      <c r="H821" s="379">
        <v>13.51577543042872</v>
      </c>
      <c r="I821" s="25">
        <v>843.72</v>
      </c>
      <c r="J821" s="379">
        <v>6.2523391803433892</v>
      </c>
    </row>
    <row r="822" spans="1:10" x14ac:dyDescent="0.35">
      <c r="A822" s="5">
        <v>818</v>
      </c>
      <c r="B822" s="5">
        <v>35</v>
      </c>
      <c r="C822" s="5">
        <v>2</v>
      </c>
      <c r="D822" s="379">
        <v>42.667643323558586</v>
      </c>
      <c r="E822" s="25">
        <v>26.51</v>
      </c>
      <c r="F822" s="379">
        <v>20.255837383162454</v>
      </c>
      <c r="G822" s="25">
        <v>62.12</v>
      </c>
      <c r="H822" s="379">
        <v>13.86506396960897</v>
      </c>
      <c r="I822" s="25">
        <v>843.72</v>
      </c>
      <c r="J822" s="379">
        <v>6.6036727620480988</v>
      </c>
    </row>
    <row r="823" spans="1:10" x14ac:dyDescent="0.35">
      <c r="A823" s="5">
        <v>819</v>
      </c>
      <c r="B823" s="5">
        <v>35</v>
      </c>
      <c r="C823" s="5">
        <v>2</v>
      </c>
      <c r="D823" s="379">
        <v>45.86944444444444</v>
      </c>
      <c r="E823" s="25">
        <v>25.74</v>
      </c>
      <c r="F823" s="379">
        <v>20.327112447855111</v>
      </c>
      <c r="G823" s="25">
        <v>60.51</v>
      </c>
      <c r="H823" s="379">
        <v>14.650963480822892</v>
      </c>
      <c r="I823" s="25">
        <v>843.72</v>
      </c>
      <c r="J823" s="379">
        <v>7.3607427210614631</v>
      </c>
    </row>
    <row r="824" spans="1:10" x14ac:dyDescent="0.35">
      <c r="A824" s="5">
        <v>820</v>
      </c>
      <c r="B824" s="5">
        <v>35</v>
      </c>
      <c r="C824" s="5">
        <v>2</v>
      </c>
      <c r="D824" s="379">
        <v>39.325555555555553</v>
      </c>
      <c r="E824" s="25">
        <v>25.59</v>
      </c>
      <c r="F824" s="379">
        <v>20.400517009745627</v>
      </c>
      <c r="G824" s="25">
        <v>62.12</v>
      </c>
      <c r="H824" s="379">
        <v>14.048890011749515</v>
      </c>
      <c r="I824" s="25">
        <v>843.72</v>
      </c>
      <c r="J824" s="379">
        <v>7.519823046492446</v>
      </c>
    </row>
    <row r="825" spans="1:10" x14ac:dyDescent="0.35">
      <c r="A825" s="5">
        <v>821</v>
      </c>
      <c r="B825" s="5">
        <v>35</v>
      </c>
      <c r="C825" s="5">
        <v>2</v>
      </c>
      <c r="D825" s="379">
        <v>45.850000000000009</v>
      </c>
      <c r="E825" s="25">
        <v>25.59</v>
      </c>
      <c r="F825" s="379">
        <v>20.769611320071199</v>
      </c>
      <c r="G825" s="25">
        <v>62.12</v>
      </c>
      <c r="H825" s="379">
        <v>14.641897063941217</v>
      </c>
      <c r="I825" s="25">
        <v>843.72</v>
      </c>
      <c r="J825" s="379">
        <v>7.5234515394675565</v>
      </c>
    </row>
    <row r="826" spans="1:10" x14ac:dyDescent="0.35">
      <c r="A826" s="5">
        <v>822</v>
      </c>
      <c r="B826" s="5">
        <v>35</v>
      </c>
      <c r="C826" s="5">
        <v>2</v>
      </c>
      <c r="D826" s="379">
        <v>32.55277777777777</v>
      </c>
      <c r="E826" s="25">
        <v>26.51</v>
      </c>
      <c r="F826" s="379">
        <v>22.31601698204469</v>
      </c>
      <c r="G826" s="25">
        <v>62.12</v>
      </c>
      <c r="H826" s="379">
        <v>13.738506204991625</v>
      </c>
      <c r="I826" s="25">
        <v>843.72</v>
      </c>
      <c r="J826" s="379">
        <v>7.5121794684543177</v>
      </c>
    </row>
    <row r="827" spans="1:10" x14ac:dyDescent="0.35">
      <c r="A827" s="5">
        <v>823</v>
      </c>
      <c r="B827" s="5">
        <v>35</v>
      </c>
      <c r="C827" s="5">
        <v>2</v>
      </c>
      <c r="D827" s="379">
        <v>34.194444444444443</v>
      </c>
      <c r="E827" s="25">
        <v>29.76</v>
      </c>
      <c r="F827" s="379">
        <v>21.832415391180604</v>
      </c>
      <c r="G827" s="25">
        <v>62.33</v>
      </c>
      <c r="H827" s="379">
        <v>14.476937224763439</v>
      </c>
      <c r="I827" s="25">
        <v>843.72</v>
      </c>
      <c r="J827" s="379">
        <v>7.3507979090415603</v>
      </c>
    </row>
    <row r="828" spans="1:10" x14ac:dyDescent="0.35">
      <c r="A828" s="5">
        <v>824</v>
      </c>
      <c r="B828" s="5">
        <v>35</v>
      </c>
      <c r="C828" s="5">
        <v>2</v>
      </c>
      <c r="D828" s="379">
        <v>35.711111111111109</v>
      </c>
      <c r="E828" s="25">
        <v>37.090000000000003</v>
      </c>
      <c r="F828" s="379">
        <v>21.718975795989095</v>
      </c>
      <c r="G828" s="25">
        <v>843.72</v>
      </c>
      <c r="H828" s="379">
        <v>14.5820766302932</v>
      </c>
      <c r="I828" s="25">
        <v>869.03</v>
      </c>
      <c r="J828" s="379">
        <v>7.3467605869487222</v>
      </c>
    </row>
    <row r="829" spans="1:10" x14ac:dyDescent="0.35">
      <c r="A829" s="5">
        <v>825</v>
      </c>
      <c r="B829" s="5">
        <v>35</v>
      </c>
      <c r="C829" s="5">
        <v>2</v>
      </c>
      <c r="D829" s="379">
        <v>36.024999999999999</v>
      </c>
      <c r="E829" s="25">
        <v>37.090000000000003</v>
      </c>
      <c r="F829" s="379">
        <v>22.923640802353084</v>
      </c>
      <c r="G829" s="25">
        <v>843.72</v>
      </c>
      <c r="H829" s="379">
        <v>11.756269456274669</v>
      </c>
      <c r="I829" s="25">
        <v>869.03</v>
      </c>
      <c r="J829" s="379">
        <v>6.3145450755710089</v>
      </c>
    </row>
    <row r="830" spans="1:10" x14ac:dyDescent="0.35">
      <c r="A830" s="5">
        <v>826</v>
      </c>
      <c r="B830" s="5">
        <v>35</v>
      </c>
      <c r="C830" s="5">
        <v>2</v>
      </c>
      <c r="D830" s="379">
        <v>47.24722222222222</v>
      </c>
      <c r="E830" s="25">
        <v>37.090000000000003</v>
      </c>
      <c r="F830" s="379">
        <v>21.959953275553353</v>
      </c>
      <c r="G830" s="25">
        <v>843.72</v>
      </c>
      <c r="H830" s="379">
        <v>15.468418452993623</v>
      </c>
      <c r="I830" s="25">
        <v>869.03</v>
      </c>
      <c r="J830" s="379">
        <v>7.0466913548881891</v>
      </c>
    </row>
    <row r="831" spans="1:10" x14ac:dyDescent="0.35">
      <c r="A831" s="5">
        <v>827</v>
      </c>
      <c r="B831" s="5">
        <v>35</v>
      </c>
      <c r="C831" s="5">
        <v>2</v>
      </c>
      <c r="D831" s="379">
        <v>44.515890792553002</v>
      </c>
      <c r="E831" s="25">
        <v>37.090000000000003</v>
      </c>
      <c r="F831" s="379">
        <v>19.509578292733668</v>
      </c>
      <c r="G831" s="25">
        <v>843.72</v>
      </c>
      <c r="H831" s="379">
        <v>12.909878126438567</v>
      </c>
      <c r="I831" s="25">
        <v>843.72</v>
      </c>
      <c r="J831" s="379">
        <v>5.4470804831194846</v>
      </c>
    </row>
    <row r="832" spans="1:10" x14ac:dyDescent="0.35">
      <c r="A832" s="5">
        <v>828</v>
      </c>
      <c r="B832" s="5">
        <v>35</v>
      </c>
      <c r="C832" s="5">
        <v>2</v>
      </c>
      <c r="D832" s="379">
        <v>47.242437835653071</v>
      </c>
      <c r="E832" s="25">
        <v>36.94</v>
      </c>
      <c r="F832" s="379">
        <v>13.583989791207355</v>
      </c>
      <c r="G832" s="25">
        <v>843.72</v>
      </c>
      <c r="H832" s="379">
        <v>13.250870423263441</v>
      </c>
      <c r="I832" s="25">
        <v>843.72</v>
      </c>
      <c r="J832" s="379">
        <v>5.7532245489719243</v>
      </c>
    </row>
    <row r="833" spans="1:10" x14ac:dyDescent="0.35">
      <c r="A833" s="5">
        <v>829</v>
      </c>
      <c r="B833" s="5">
        <v>35</v>
      </c>
      <c r="C833" s="5">
        <v>2</v>
      </c>
      <c r="D833" s="379">
        <v>44.135555555555555</v>
      </c>
      <c r="E833" s="25">
        <v>36.94</v>
      </c>
      <c r="F833" s="379">
        <v>13.76725064748253</v>
      </c>
      <c r="G833" s="25">
        <v>819.14</v>
      </c>
      <c r="H833" s="379">
        <v>14.434851878680995</v>
      </c>
      <c r="I833" s="25">
        <v>843.72</v>
      </c>
      <c r="J833" s="379">
        <v>6.7032577542269509</v>
      </c>
    </row>
    <row r="834" spans="1:10" x14ac:dyDescent="0.35">
      <c r="A834" s="5">
        <v>830</v>
      </c>
      <c r="B834" s="5">
        <v>35</v>
      </c>
      <c r="C834" s="5">
        <v>2</v>
      </c>
      <c r="D834" s="379">
        <v>52.511111111111106</v>
      </c>
      <c r="E834" s="25">
        <v>36.94</v>
      </c>
      <c r="F834" s="379">
        <v>13.253308965589293</v>
      </c>
      <c r="G834" s="25">
        <v>819.14</v>
      </c>
      <c r="H834" s="379">
        <v>13.353742944604177</v>
      </c>
      <c r="I834" s="25">
        <v>843.72</v>
      </c>
      <c r="J834" s="379">
        <v>4.8600248179862069</v>
      </c>
    </row>
    <row r="835" spans="1:10" x14ac:dyDescent="0.35">
      <c r="A835" s="5">
        <v>831</v>
      </c>
      <c r="B835" s="5">
        <v>35</v>
      </c>
      <c r="C835" s="5">
        <v>2</v>
      </c>
      <c r="D835" s="379">
        <v>52.511111111111106</v>
      </c>
      <c r="E835" s="25">
        <v>36.01</v>
      </c>
      <c r="F835" s="379">
        <v>13.92953461400583</v>
      </c>
      <c r="G835" s="25">
        <v>717.16</v>
      </c>
      <c r="H835" s="379">
        <v>14.422508136212013</v>
      </c>
      <c r="I835" s="25">
        <v>819.14</v>
      </c>
      <c r="J835" s="379">
        <v>7.3777943420245675</v>
      </c>
    </row>
    <row r="836" spans="1:10" x14ac:dyDescent="0.35">
      <c r="A836" s="5">
        <v>832</v>
      </c>
      <c r="B836" s="5">
        <v>35</v>
      </c>
      <c r="C836" s="5">
        <v>2</v>
      </c>
      <c r="D836" s="379">
        <v>33.772222222222219</v>
      </c>
      <c r="E836" s="25">
        <v>36.94</v>
      </c>
      <c r="F836" s="379">
        <v>18.118132491911094</v>
      </c>
      <c r="G836" s="25">
        <v>717.16</v>
      </c>
      <c r="H836" s="379">
        <v>13.04285263118042</v>
      </c>
      <c r="I836" s="25">
        <v>819.14</v>
      </c>
      <c r="J836" s="379">
        <v>6.1079688632721005</v>
      </c>
    </row>
    <row r="837" spans="1:10" x14ac:dyDescent="0.35">
      <c r="A837" s="5">
        <v>833</v>
      </c>
      <c r="B837" s="5">
        <v>35</v>
      </c>
      <c r="C837" s="5">
        <v>2</v>
      </c>
      <c r="D837" s="379">
        <v>53.044444444444444</v>
      </c>
      <c r="E837" s="25">
        <v>36.94</v>
      </c>
      <c r="F837" s="379">
        <v>25.703772642791812</v>
      </c>
      <c r="G837" s="25">
        <v>843.72</v>
      </c>
      <c r="H837" s="379">
        <v>28.870561353852587</v>
      </c>
      <c r="I837" s="25">
        <v>843.72</v>
      </c>
      <c r="J837" s="379">
        <v>7.4577260274599277</v>
      </c>
    </row>
    <row r="838" spans="1:10" x14ac:dyDescent="0.35">
      <c r="A838" s="5">
        <v>834</v>
      </c>
      <c r="B838" s="5">
        <v>35</v>
      </c>
      <c r="C838" s="5">
        <v>2</v>
      </c>
      <c r="D838" s="379">
        <v>37.909340835485281</v>
      </c>
      <c r="E838" s="25">
        <v>37.090000000000003</v>
      </c>
      <c r="F838" s="379">
        <v>25.946946656886578</v>
      </c>
      <c r="G838" s="25">
        <v>843.72</v>
      </c>
      <c r="H838" s="379">
        <v>27.646736859425335</v>
      </c>
      <c r="I838" s="25">
        <v>843.72</v>
      </c>
      <c r="J838" s="379">
        <v>7.0169242878456082</v>
      </c>
    </row>
    <row r="839" spans="1:10" x14ac:dyDescent="0.35">
      <c r="A839" s="5">
        <v>835</v>
      </c>
      <c r="B839" s="5">
        <v>35</v>
      </c>
      <c r="C839" s="5">
        <v>2</v>
      </c>
      <c r="D839" s="379">
        <v>53.065555555555555</v>
      </c>
      <c r="E839" s="25">
        <v>38.200000000000003</v>
      </c>
      <c r="F839" s="379">
        <v>25.731532435079014</v>
      </c>
      <c r="G839" s="25">
        <v>869.03</v>
      </c>
      <c r="H839" s="379">
        <v>28.800374783640173</v>
      </c>
      <c r="I839" s="25">
        <v>869.03</v>
      </c>
      <c r="J839" s="379">
        <v>6.7347919341630851</v>
      </c>
    </row>
    <row r="840" spans="1:10" x14ac:dyDescent="0.35">
      <c r="A840" s="5">
        <v>836</v>
      </c>
      <c r="B840" s="5">
        <v>35</v>
      </c>
      <c r="C840" s="5">
        <v>2</v>
      </c>
      <c r="D840" s="379">
        <v>48.657777777777767</v>
      </c>
      <c r="E840" s="25">
        <v>37.090000000000003</v>
      </c>
      <c r="F840" s="379">
        <v>25.652709106571436</v>
      </c>
      <c r="G840" s="25">
        <v>843.72</v>
      </c>
      <c r="H840" s="379">
        <v>29.221358920458599</v>
      </c>
      <c r="I840" s="25">
        <v>869.03</v>
      </c>
      <c r="J840" s="379">
        <v>6.7427058400173685</v>
      </c>
    </row>
    <row r="841" spans="1:10" x14ac:dyDescent="0.35">
      <c r="A841" s="5">
        <v>837</v>
      </c>
      <c r="B841" s="5">
        <v>35</v>
      </c>
      <c r="C841" s="5">
        <v>2</v>
      </c>
      <c r="D841" s="379">
        <v>47.53</v>
      </c>
      <c r="E841" s="25">
        <v>35.97</v>
      </c>
      <c r="F841" s="379">
        <v>25.652709106571436</v>
      </c>
      <c r="G841" s="25">
        <v>268.69</v>
      </c>
      <c r="H841" s="379">
        <v>28.889723357833581</v>
      </c>
      <c r="I841" s="25">
        <v>843.72</v>
      </c>
      <c r="J841" s="379">
        <v>7.1848753773536904</v>
      </c>
    </row>
    <row r="842" spans="1:10" x14ac:dyDescent="0.35">
      <c r="A842" s="5">
        <v>838</v>
      </c>
      <c r="B842" s="5">
        <v>35</v>
      </c>
      <c r="C842" s="5">
        <v>2</v>
      </c>
      <c r="D842" s="379">
        <v>62.027777777777771</v>
      </c>
      <c r="E842" s="25">
        <v>34.82</v>
      </c>
      <c r="F842" s="379">
        <v>25.699054009492496</v>
      </c>
      <c r="G842" s="25">
        <v>62.33</v>
      </c>
      <c r="H842" s="379">
        <v>28.850663675728519</v>
      </c>
      <c r="I842" s="25">
        <v>843.72</v>
      </c>
      <c r="J842" s="379">
        <v>7.4370369440508854</v>
      </c>
    </row>
    <row r="843" spans="1:10" x14ac:dyDescent="0.35">
      <c r="A843" s="5">
        <v>839</v>
      </c>
      <c r="B843" s="5">
        <v>35</v>
      </c>
      <c r="C843" s="5">
        <v>2</v>
      </c>
      <c r="D843" s="379">
        <v>44.320555555555558</v>
      </c>
      <c r="E843" s="25">
        <v>34.82</v>
      </c>
      <c r="F843" s="379">
        <v>25.873428841957388</v>
      </c>
      <c r="G843" s="25">
        <v>62.12</v>
      </c>
      <c r="H843" s="379">
        <v>30.32177485713925</v>
      </c>
      <c r="I843" s="25">
        <v>843.72</v>
      </c>
      <c r="J843" s="379">
        <v>7.7001021813774084</v>
      </c>
    </row>
    <row r="844" spans="1:10" x14ac:dyDescent="0.35">
      <c r="A844" s="5">
        <v>840</v>
      </c>
      <c r="B844" s="5">
        <v>35</v>
      </c>
      <c r="C844" s="5">
        <v>2</v>
      </c>
      <c r="D844" s="379">
        <v>42.654444444444437</v>
      </c>
      <c r="E844" s="25">
        <v>29.6</v>
      </c>
      <c r="F844" s="379">
        <v>24.2072161144843</v>
      </c>
      <c r="G844" s="25">
        <v>62.12</v>
      </c>
      <c r="H844" s="379">
        <v>30.108244587363547</v>
      </c>
      <c r="I844" s="25">
        <v>843.72</v>
      </c>
      <c r="J844" s="379">
        <v>7.7156856917348176</v>
      </c>
    </row>
    <row r="845" spans="1:10" x14ac:dyDescent="0.35">
      <c r="A845" s="5">
        <v>841</v>
      </c>
      <c r="B845" s="5">
        <v>36</v>
      </c>
      <c r="C845" s="5">
        <v>2</v>
      </c>
      <c r="D845" s="379">
        <v>42.235047345428512</v>
      </c>
      <c r="E845" s="25">
        <v>27.3</v>
      </c>
      <c r="F845" s="379">
        <v>23.536156163401351</v>
      </c>
      <c r="G845" s="25">
        <v>60.51</v>
      </c>
      <c r="H845" s="379">
        <v>30.41988759406766</v>
      </c>
      <c r="I845" s="25">
        <v>717.16</v>
      </c>
      <c r="J845" s="379">
        <v>7.6859933882974696</v>
      </c>
    </row>
    <row r="846" spans="1:10" x14ac:dyDescent="0.35">
      <c r="A846" s="5">
        <v>842</v>
      </c>
      <c r="B846" s="5">
        <v>36</v>
      </c>
      <c r="C846" s="5">
        <v>2</v>
      </c>
      <c r="D846" s="379">
        <v>27.70604380409295</v>
      </c>
      <c r="E846" s="25">
        <v>26.51</v>
      </c>
      <c r="F846" s="379">
        <v>22.884948490782492</v>
      </c>
      <c r="G846" s="25">
        <v>60.51</v>
      </c>
      <c r="H846" s="379">
        <v>30.333912934498329</v>
      </c>
      <c r="I846" s="25">
        <v>717.16</v>
      </c>
      <c r="J846" s="379">
        <v>7.6873345397648043</v>
      </c>
    </row>
    <row r="847" spans="1:10" x14ac:dyDescent="0.35">
      <c r="A847" s="5">
        <v>843</v>
      </c>
      <c r="B847" s="5">
        <v>36</v>
      </c>
      <c r="C847" s="5">
        <v>2</v>
      </c>
      <c r="D847" s="379">
        <v>37.440462999413867</v>
      </c>
      <c r="E847" s="25">
        <v>25.74</v>
      </c>
      <c r="F847" s="379">
        <v>23.262340781055123</v>
      </c>
      <c r="G847" s="25">
        <v>57.56</v>
      </c>
      <c r="H847" s="379">
        <v>29.834932171389728</v>
      </c>
      <c r="I847" s="25">
        <v>623.48</v>
      </c>
      <c r="J847" s="379">
        <v>7.6640571932817103</v>
      </c>
    </row>
    <row r="848" spans="1:10" x14ac:dyDescent="0.35">
      <c r="A848" s="5">
        <v>844</v>
      </c>
      <c r="B848" s="5">
        <v>36</v>
      </c>
      <c r="C848" s="5">
        <v>2</v>
      </c>
      <c r="D848" s="379">
        <v>45.101728957808866</v>
      </c>
      <c r="E848" s="25">
        <v>25.59</v>
      </c>
      <c r="F848" s="379">
        <v>23.347763242501124</v>
      </c>
      <c r="G848" s="25">
        <v>57.04</v>
      </c>
      <c r="H848" s="379">
        <v>28.825675246194574</v>
      </c>
      <c r="I848" s="25">
        <v>603.30999999999995</v>
      </c>
      <c r="J848" s="379">
        <v>7.559981972948119</v>
      </c>
    </row>
    <row r="849" spans="1:10" x14ac:dyDescent="0.35">
      <c r="A849" s="5">
        <v>845</v>
      </c>
      <c r="B849" s="5">
        <v>36</v>
      </c>
      <c r="C849" s="5">
        <v>2</v>
      </c>
      <c r="D849" s="379">
        <v>40.991847950509808</v>
      </c>
      <c r="E849" s="25">
        <v>25.59</v>
      </c>
      <c r="F849" s="379">
        <v>23.259784076272727</v>
      </c>
      <c r="G849" s="25">
        <v>57.56</v>
      </c>
      <c r="H849" s="379">
        <v>28.385966956848634</v>
      </c>
      <c r="I849" s="25">
        <v>644.30999999999995</v>
      </c>
      <c r="J849" s="379">
        <v>7.4906766899493267</v>
      </c>
    </row>
    <row r="850" spans="1:10" x14ac:dyDescent="0.35">
      <c r="A850" s="5">
        <v>846</v>
      </c>
      <c r="B850" s="5">
        <v>36</v>
      </c>
      <c r="C850" s="5">
        <v>2</v>
      </c>
      <c r="D850" s="379">
        <v>27.763969082073366</v>
      </c>
      <c r="E850" s="25">
        <v>26.51</v>
      </c>
      <c r="F850" s="379">
        <v>23.113005853769316</v>
      </c>
      <c r="G850" s="25">
        <v>60.51</v>
      </c>
      <c r="H850" s="379">
        <v>28.068961469229777</v>
      </c>
      <c r="I850" s="25">
        <v>717.16</v>
      </c>
      <c r="J850" s="379">
        <v>7.3029278384379657</v>
      </c>
    </row>
    <row r="851" spans="1:10" x14ac:dyDescent="0.35">
      <c r="A851" s="5">
        <v>847</v>
      </c>
      <c r="B851" s="5">
        <v>36</v>
      </c>
      <c r="C851" s="5">
        <v>2</v>
      </c>
      <c r="D851" s="379">
        <v>35.376918437643063</v>
      </c>
      <c r="E851" s="25">
        <v>28.97</v>
      </c>
      <c r="F851" s="379">
        <v>25.506228308232124</v>
      </c>
      <c r="G851" s="25">
        <v>62.12</v>
      </c>
      <c r="H851" s="379">
        <v>29.081789075868805</v>
      </c>
      <c r="I851" s="25">
        <v>843.72</v>
      </c>
      <c r="J851" s="379">
        <v>7.4078406182852152</v>
      </c>
    </row>
    <row r="852" spans="1:10" x14ac:dyDescent="0.35">
      <c r="A852" s="5">
        <v>848</v>
      </c>
      <c r="B852" s="5">
        <v>36</v>
      </c>
      <c r="C852" s="5">
        <v>2</v>
      </c>
      <c r="D852" s="379">
        <v>31.865078736632828</v>
      </c>
      <c r="E852" s="25">
        <v>32.119999999999997</v>
      </c>
      <c r="F852" s="379">
        <v>25.823942258205694</v>
      </c>
      <c r="G852" s="25">
        <v>75.28</v>
      </c>
      <c r="H852" s="379">
        <v>29.022341929664019</v>
      </c>
      <c r="I852" s="25">
        <v>843.72</v>
      </c>
      <c r="J852" s="379">
        <v>7.1739879267982403</v>
      </c>
    </row>
    <row r="853" spans="1:10" x14ac:dyDescent="0.35">
      <c r="A853" s="5">
        <v>849</v>
      </c>
      <c r="B853" s="5">
        <v>36</v>
      </c>
      <c r="C853" s="5">
        <v>2</v>
      </c>
      <c r="D853" s="379">
        <v>37.230815074341756</v>
      </c>
      <c r="E853" s="25">
        <v>36.94</v>
      </c>
      <c r="F853" s="379">
        <v>25.823942258205694</v>
      </c>
      <c r="G853" s="25">
        <v>819.14</v>
      </c>
      <c r="H853" s="379">
        <v>26.953676948119707</v>
      </c>
      <c r="I853" s="25">
        <v>843.72</v>
      </c>
      <c r="J853" s="379">
        <v>6.6762164331333711</v>
      </c>
    </row>
    <row r="854" spans="1:10" x14ac:dyDescent="0.35">
      <c r="A854" s="5">
        <v>850</v>
      </c>
      <c r="B854" s="5">
        <v>36</v>
      </c>
      <c r="C854" s="5">
        <v>2</v>
      </c>
      <c r="D854" s="379">
        <v>48.163858155392269</v>
      </c>
      <c r="E854" s="25">
        <v>36.01</v>
      </c>
      <c r="F854" s="379">
        <v>25.160851499205201</v>
      </c>
      <c r="G854" s="25">
        <v>71.19</v>
      </c>
      <c r="H854" s="379">
        <v>26.489719462780407</v>
      </c>
      <c r="I854" s="25">
        <v>843.72</v>
      </c>
      <c r="J854" s="379">
        <v>6.6762164331333711</v>
      </c>
    </row>
    <row r="855" spans="1:10" x14ac:dyDescent="0.35">
      <c r="A855" s="5">
        <v>851</v>
      </c>
      <c r="B855" s="5">
        <v>36</v>
      </c>
      <c r="C855" s="5">
        <v>2</v>
      </c>
      <c r="D855" s="379">
        <v>48.740062295174702</v>
      </c>
      <c r="E855" s="25">
        <v>34.96</v>
      </c>
      <c r="F855" s="379">
        <v>17.025188900276071</v>
      </c>
      <c r="G855" s="25">
        <v>71.19</v>
      </c>
      <c r="H855" s="379">
        <v>10.927596511310874</v>
      </c>
      <c r="I855" s="25">
        <v>603.30999999999995</v>
      </c>
      <c r="J855" s="379">
        <v>6.6628808268516568</v>
      </c>
    </row>
    <row r="856" spans="1:10" x14ac:dyDescent="0.35">
      <c r="A856" s="5">
        <v>852</v>
      </c>
      <c r="B856" s="5">
        <v>36</v>
      </c>
      <c r="C856" s="5">
        <v>2</v>
      </c>
      <c r="D856" s="379">
        <v>18.387487067425685</v>
      </c>
      <c r="E856" s="25">
        <v>33.81</v>
      </c>
      <c r="F856" s="379">
        <v>8.1174834595959613</v>
      </c>
      <c r="G856" s="25">
        <v>62.12</v>
      </c>
      <c r="H856" s="379">
        <v>6.928501684645334</v>
      </c>
      <c r="I856" s="25">
        <v>72.92</v>
      </c>
      <c r="J856" s="379">
        <v>4.8414145074037691</v>
      </c>
    </row>
    <row r="857" spans="1:10" x14ac:dyDescent="0.35">
      <c r="A857" s="5">
        <v>853</v>
      </c>
      <c r="B857" s="5">
        <v>36</v>
      </c>
      <c r="C857" s="5">
        <v>2</v>
      </c>
      <c r="D857" s="379">
        <v>49.888926796604352</v>
      </c>
      <c r="E857" s="25">
        <v>32.119999999999997</v>
      </c>
      <c r="F857" s="379">
        <v>15.918061522289166</v>
      </c>
      <c r="G857" s="25">
        <v>62.12</v>
      </c>
      <c r="H857" s="379">
        <v>11.478109721540344</v>
      </c>
      <c r="I857" s="25">
        <v>72.19</v>
      </c>
      <c r="J857" s="379">
        <v>6.3699756980821851</v>
      </c>
    </row>
    <row r="858" spans="1:10" x14ac:dyDescent="0.35">
      <c r="A858" s="5">
        <v>854</v>
      </c>
      <c r="B858" s="5">
        <v>36</v>
      </c>
      <c r="C858" s="5">
        <v>2</v>
      </c>
      <c r="D858" s="379">
        <v>34.112157185136461</v>
      </c>
      <c r="E858" s="25">
        <v>30.91</v>
      </c>
      <c r="F858" s="379">
        <v>16.52502258197584</v>
      </c>
      <c r="G858" s="25">
        <v>57.56</v>
      </c>
      <c r="H858" s="379">
        <v>11.405636764940057</v>
      </c>
      <c r="I858" s="25">
        <v>72.19</v>
      </c>
      <c r="J858" s="379">
        <v>6.3699756980821851</v>
      </c>
    </row>
    <row r="859" spans="1:10" x14ac:dyDescent="0.35">
      <c r="A859" s="5">
        <v>855</v>
      </c>
      <c r="B859" s="5">
        <v>36</v>
      </c>
      <c r="C859" s="5">
        <v>2</v>
      </c>
      <c r="D859" s="379">
        <v>37.65997294396206</v>
      </c>
      <c r="E859" s="25">
        <v>30.91</v>
      </c>
      <c r="F859" s="379">
        <v>16.525104209991646</v>
      </c>
      <c r="G859" s="25">
        <v>56.98</v>
      </c>
      <c r="H859" s="379">
        <v>10.98939992443178</v>
      </c>
      <c r="I859" s="25">
        <v>72.19</v>
      </c>
      <c r="J859" s="379">
        <v>6.3699756980821851</v>
      </c>
    </row>
    <row r="860" spans="1:10" x14ac:dyDescent="0.35">
      <c r="A860" s="5">
        <v>856</v>
      </c>
      <c r="B860" s="5">
        <v>36</v>
      </c>
      <c r="C860" s="5">
        <v>2</v>
      </c>
      <c r="D860" s="379">
        <v>48.516387208534439</v>
      </c>
      <c r="E860" s="25">
        <v>28.89</v>
      </c>
      <c r="F860" s="379">
        <v>16.525104209991646</v>
      </c>
      <c r="G860" s="25">
        <v>52.8</v>
      </c>
      <c r="H860" s="379">
        <v>11.247324300349218</v>
      </c>
      <c r="I860" s="25">
        <v>72.19</v>
      </c>
      <c r="J860" s="379">
        <v>6.3530259646846057</v>
      </c>
    </row>
    <row r="861" spans="1:10" x14ac:dyDescent="0.35">
      <c r="A861" s="5">
        <v>857</v>
      </c>
      <c r="B861" s="5">
        <v>36</v>
      </c>
      <c r="C861" s="5">
        <v>2</v>
      </c>
      <c r="D861" s="379">
        <v>33.473863386934632</v>
      </c>
      <c r="E861" s="25">
        <v>30.01</v>
      </c>
      <c r="F861" s="379">
        <v>18.433112927792955</v>
      </c>
      <c r="G861" s="25">
        <v>56.98</v>
      </c>
      <c r="H861" s="379">
        <v>11.69977443736834</v>
      </c>
      <c r="I861" s="25">
        <v>72.19</v>
      </c>
      <c r="J861" s="379">
        <v>7.1296868125548549</v>
      </c>
    </row>
    <row r="862" spans="1:10" x14ac:dyDescent="0.35">
      <c r="A862" s="5">
        <v>858</v>
      </c>
      <c r="B862" s="5">
        <v>36</v>
      </c>
      <c r="C862" s="5">
        <v>2</v>
      </c>
      <c r="D862" s="379">
        <v>41.938771269983832</v>
      </c>
      <c r="E862" s="25">
        <v>30.91</v>
      </c>
      <c r="F862" s="379">
        <v>23.797043125217119</v>
      </c>
      <c r="G862" s="25">
        <v>62.12</v>
      </c>
      <c r="H862" s="379">
        <v>11.707815954789444</v>
      </c>
      <c r="I862" s="25">
        <v>84.93</v>
      </c>
      <c r="J862" s="379">
        <v>6.7556026616555664</v>
      </c>
    </row>
    <row r="863" spans="1:10" x14ac:dyDescent="0.35">
      <c r="A863" s="5">
        <v>859</v>
      </c>
      <c r="B863" s="5">
        <v>36</v>
      </c>
      <c r="C863" s="5">
        <v>2</v>
      </c>
      <c r="D863" s="379">
        <v>58.380391221240906</v>
      </c>
      <c r="E863" s="25">
        <v>30.91</v>
      </c>
      <c r="F863" s="379">
        <v>23.566521142296647</v>
      </c>
      <c r="G863" s="25">
        <v>62.12</v>
      </c>
      <c r="H863" s="379">
        <v>11.821904071081368</v>
      </c>
      <c r="I863" s="25">
        <v>795.29</v>
      </c>
      <c r="J863" s="379">
        <v>6.2366868365388815</v>
      </c>
    </row>
    <row r="864" spans="1:10" x14ac:dyDescent="0.35">
      <c r="A864" s="5">
        <v>860</v>
      </c>
      <c r="B864" s="5">
        <v>36</v>
      </c>
      <c r="C864" s="5">
        <v>2</v>
      </c>
      <c r="D864" s="379">
        <v>34.735200954705014</v>
      </c>
      <c r="E864" s="25">
        <v>29.76</v>
      </c>
      <c r="F864" s="379">
        <v>18.094345432646701</v>
      </c>
      <c r="G864" s="25">
        <v>56.98</v>
      </c>
      <c r="H864" s="379">
        <v>11.093563366134109</v>
      </c>
      <c r="I864" s="25">
        <v>585.74</v>
      </c>
      <c r="J864" s="379">
        <v>6.2366868365388815</v>
      </c>
    </row>
    <row r="865" spans="1:10" x14ac:dyDescent="0.35">
      <c r="A865" s="5">
        <v>861</v>
      </c>
      <c r="B865" s="5">
        <v>36</v>
      </c>
      <c r="C865" s="5">
        <v>2</v>
      </c>
      <c r="D865" s="379">
        <v>42.435850925855405</v>
      </c>
      <c r="E865" s="25">
        <v>26.51</v>
      </c>
      <c r="F865" s="379">
        <v>17.393049225296121</v>
      </c>
      <c r="G865" s="25">
        <v>49.28</v>
      </c>
      <c r="H865" s="379">
        <v>11.372164642877468</v>
      </c>
      <c r="I865" s="25">
        <v>72.19</v>
      </c>
      <c r="J865" s="379">
        <v>6.2366868365388815</v>
      </c>
    </row>
    <row r="866" spans="1:10" x14ac:dyDescent="0.35">
      <c r="A866" s="5">
        <v>862</v>
      </c>
      <c r="B866" s="5">
        <v>36</v>
      </c>
      <c r="C866" s="5">
        <v>2</v>
      </c>
      <c r="D866" s="379">
        <v>17.483183908150973</v>
      </c>
      <c r="E866" s="25">
        <v>25.74</v>
      </c>
      <c r="F866" s="379">
        <v>15.588405677933533</v>
      </c>
      <c r="G866" s="25">
        <v>47.5</v>
      </c>
      <c r="H866" s="379">
        <v>11.234001044382422</v>
      </c>
      <c r="I866" s="25">
        <v>68.05</v>
      </c>
      <c r="J866" s="379">
        <v>6.2872007645087349</v>
      </c>
    </row>
    <row r="867" spans="1:10" x14ac:dyDescent="0.35">
      <c r="A867" s="5">
        <v>863</v>
      </c>
      <c r="B867" s="5">
        <v>36</v>
      </c>
      <c r="C867" s="5">
        <v>2</v>
      </c>
      <c r="D867" s="379">
        <v>2.777777777777778E-2</v>
      </c>
      <c r="E867" s="25">
        <v>25.74</v>
      </c>
      <c r="F867" s="379">
        <v>10.882860209652835</v>
      </c>
      <c r="G867" s="25">
        <v>46.11</v>
      </c>
      <c r="H867" s="379">
        <v>11.062745045625761</v>
      </c>
      <c r="I867" s="25">
        <v>68.05</v>
      </c>
      <c r="J867" s="379">
        <v>6.1462865818091759</v>
      </c>
    </row>
    <row r="868" spans="1:10" x14ac:dyDescent="0.35">
      <c r="A868" s="5">
        <v>864</v>
      </c>
      <c r="B868" s="5">
        <v>36</v>
      </c>
      <c r="C868" s="5">
        <v>2</v>
      </c>
      <c r="D868" s="379">
        <v>42.291759392491805</v>
      </c>
      <c r="E868" s="25">
        <v>25.29</v>
      </c>
      <c r="F868" s="379">
        <v>9.3973844124566472</v>
      </c>
      <c r="G868" s="25">
        <v>46.03</v>
      </c>
      <c r="H868" s="379">
        <v>10.939661031977865</v>
      </c>
      <c r="I868" s="25">
        <v>68.05</v>
      </c>
      <c r="J868" s="379">
        <v>6.4431631510084175</v>
      </c>
    </row>
    <row r="869" spans="1:10" x14ac:dyDescent="0.35">
      <c r="A869" s="5">
        <v>865</v>
      </c>
      <c r="B869" s="5">
        <v>37</v>
      </c>
      <c r="C869" s="5">
        <v>2</v>
      </c>
      <c r="D869" s="379">
        <v>39.403862514302183</v>
      </c>
      <c r="E869" s="25">
        <v>24.84</v>
      </c>
      <c r="F869" s="379">
        <v>8.7908904407599859</v>
      </c>
      <c r="G869" s="25">
        <v>38.03</v>
      </c>
      <c r="H869" s="379">
        <v>10.736765643905573</v>
      </c>
      <c r="I869" s="25">
        <v>48.73</v>
      </c>
      <c r="J869" s="379">
        <v>6.6085637412048346</v>
      </c>
    </row>
    <row r="870" spans="1:10" x14ac:dyDescent="0.35">
      <c r="A870" s="5">
        <v>866</v>
      </c>
      <c r="B870" s="5">
        <v>37</v>
      </c>
      <c r="C870" s="5">
        <v>2</v>
      </c>
      <c r="D870" s="379">
        <v>40.400098011880914</v>
      </c>
      <c r="E870" s="25">
        <v>24.84</v>
      </c>
      <c r="F870" s="379">
        <v>8.6566250520414503</v>
      </c>
      <c r="G870" s="25">
        <v>35.18</v>
      </c>
      <c r="H870" s="379">
        <v>10.679073855211643</v>
      </c>
      <c r="I870" s="25">
        <v>47.16</v>
      </c>
      <c r="J870" s="379">
        <v>6.5770730532456261</v>
      </c>
    </row>
    <row r="871" spans="1:10" x14ac:dyDescent="0.35">
      <c r="A871" s="5">
        <v>867</v>
      </c>
      <c r="B871" s="5">
        <v>37</v>
      </c>
      <c r="C871" s="5">
        <v>2</v>
      </c>
      <c r="D871" s="379">
        <v>46.748407869108163</v>
      </c>
      <c r="E871" s="25">
        <v>24.56</v>
      </c>
      <c r="F871" s="379">
        <v>8.6566250520414503</v>
      </c>
      <c r="G871" s="25">
        <v>34.83</v>
      </c>
      <c r="H871" s="379">
        <v>11.076812895956353</v>
      </c>
      <c r="I871" s="25">
        <v>46.84</v>
      </c>
      <c r="J871" s="379">
        <v>6.81775485988386</v>
      </c>
    </row>
    <row r="872" spans="1:10" x14ac:dyDescent="0.35">
      <c r="A872" s="5">
        <v>868</v>
      </c>
      <c r="B872" s="5">
        <v>37</v>
      </c>
      <c r="C872" s="5">
        <v>2</v>
      </c>
      <c r="D872" s="379">
        <v>11.014347016898745</v>
      </c>
      <c r="E872" s="25">
        <v>24.56</v>
      </c>
      <c r="F872" s="379">
        <v>8.6566250520414503</v>
      </c>
      <c r="G872" s="25">
        <v>34.83</v>
      </c>
      <c r="H872" s="379">
        <v>9.8467130917234815</v>
      </c>
      <c r="I872" s="25">
        <v>46.69</v>
      </c>
      <c r="J872" s="379">
        <v>6.8763521578096052</v>
      </c>
    </row>
    <row r="873" spans="1:10" x14ac:dyDescent="0.35">
      <c r="A873" s="5">
        <v>869</v>
      </c>
      <c r="B873" s="5">
        <v>37</v>
      </c>
      <c r="C873" s="5">
        <v>2</v>
      </c>
      <c r="D873" s="379">
        <v>32.757207968982016</v>
      </c>
      <c r="E873" s="25">
        <v>24.56</v>
      </c>
      <c r="F873" s="379">
        <v>8.6566177343083908</v>
      </c>
      <c r="G873" s="25">
        <v>34.770000000000003</v>
      </c>
      <c r="H873" s="379">
        <v>9.8321872545681455</v>
      </c>
      <c r="I873" s="25">
        <v>46.69</v>
      </c>
      <c r="J873" s="379">
        <v>6.8972320812193813</v>
      </c>
    </row>
    <row r="874" spans="1:10" x14ac:dyDescent="0.35">
      <c r="A874" s="5">
        <v>870</v>
      </c>
      <c r="B874" s="5">
        <v>37</v>
      </c>
      <c r="C874" s="5">
        <v>2</v>
      </c>
      <c r="D874" s="379">
        <v>2.777777777777778E-2</v>
      </c>
      <c r="E874" s="25">
        <v>24.56</v>
      </c>
      <c r="F874" s="379">
        <v>9.2463381455435201</v>
      </c>
      <c r="G874" s="25">
        <v>34.770000000000003</v>
      </c>
      <c r="H874" s="379">
        <v>9.9397065857428437</v>
      </c>
      <c r="I874" s="25">
        <v>46.69</v>
      </c>
      <c r="J874" s="379">
        <v>6.8987997305690651</v>
      </c>
    </row>
    <row r="875" spans="1:10" x14ac:dyDescent="0.35">
      <c r="A875" s="5">
        <v>871</v>
      </c>
      <c r="B875" s="5">
        <v>37</v>
      </c>
      <c r="C875" s="5">
        <v>2</v>
      </c>
      <c r="D875" s="379">
        <v>22.616158090583642</v>
      </c>
      <c r="E875" s="25">
        <v>24.56</v>
      </c>
      <c r="F875" s="379">
        <v>9.3879977101183467</v>
      </c>
      <c r="G875" s="25">
        <v>34.83</v>
      </c>
      <c r="H875" s="379">
        <v>9.4370376809462222</v>
      </c>
      <c r="I875" s="25">
        <v>46.69</v>
      </c>
      <c r="J875" s="379">
        <v>6.8873433501212595</v>
      </c>
    </row>
    <row r="876" spans="1:10" x14ac:dyDescent="0.35">
      <c r="A876" s="5">
        <v>872</v>
      </c>
      <c r="B876" s="5">
        <v>37</v>
      </c>
      <c r="C876" s="5">
        <v>2</v>
      </c>
      <c r="D876" s="379">
        <v>38.872714516635988</v>
      </c>
      <c r="E876" s="25">
        <v>24.56</v>
      </c>
      <c r="F876" s="379">
        <v>9.7039579967807619</v>
      </c>
      <c r="G876" s="25">
        <v>35.18</v>
      </c>
      <c r="H876" s="379">
        <v>9.7819425424729101</v>
      </c>
      <c r="I876" s="25">
        <v>47.31</v>
      </c>
      <c r="J876" s="379">
        <v>6.8730309616163918</v>
      </c>
    </row>
    <row r="877" spans="1:10" x14ac:dyDescent="0.35">
      <c r="A877" s="5">
        <v>873</v>
      </c>
      <c r="B877" s="5">
        <v>37</v>
      </c>
      <c r="C877" s="5">
        <v>2</v>
      </c>
      <c r="D877" s="379">
        <v>15.177342730059712</v>
      </c>
      <c r="E877" s="25">
        <v>24.84</v>
      </c>
      <c r="F877" s="379">
        <v>9.5867317761315203</v>
      </c>
      <c r="G877" s="25">
        <v>40.97</v>
      </c>
      <c r="H877" s="379">
        <v>7.7290721733066796</v>
      </c>
      <c r="I877" s="25">
        <v>47.31</v>
      </c>
      <c r="J877" s="379">
        <v>6.0975895998844267</v>
      </c>
    </row>
    <row r="878" spans="1:10" x14ac:dyDescent="0.35">
      <c r="A878" s="5">
        <v>874</v>
      </c>
      <c r="B878" s="5">
        <v>37</v>
      </c>
      <c r="C878" s="5">
        <v>2</v>
      </c>
      <c r="D878" s="379">
        <v>35.821735806723005</v>
      </c>
      <c r="E878" s="25">
        <v>24.99</v>
      </c>
      <c r="F878" s="379">
        <v>8.8417717208549966</v>
      </c>
      <c r="G878" s="25">
        <v>42.19</v>
      </c>
      <c r="H878" s="379">
        <v>7.1436060502682484</v>
      </c>
      <c r="I878" s="25">
        <v>48.67</v>
      </c>
      <c r="J878" s="379">
        <v>2.8712788110955478</v>
      </c>
    </row>
    <row r="879" spans="1:10" x14ac:dyDescent="0.35">
      <c r="A879" s="5">
        <v>875</v>
      </c>
      <c r="B879" s="5">
        <v>37</v>
      </c>
      <c r="C879" s="5">
        <v>2</v>
      </c>
      <c r="D879" s="379">
        <v>23.430583728212373</v>
      </c>
      <c r="E879" s="25">
        <v>24.99</v>
      </c>
      <c r="F879" s="379">
        <v>8.1174834595959613</v>
      </c>
      <c r="G879" s="25">
        <v>40.97</v>
      </c>
      <c r="H879" s="379">
        <v>6.6177481080587617</v>
      </c>
      <c r="I879" s="25">
        <v>47.31</v>
      </c>
      <c r="J879" s="379">
        <v>0.32659989919388399</v>
      </c>
    </row>
    <row r="880" spans="1:10" x14ac:dyDescent="0.35">
      <c r="A880" s="5">
        <v>876</v>
      </c>
      <c r="B880" s="5">
        <v>37</v>
      </c>
      <c r="C880" s="5">
        <v>2</v>
      </c>
      <c r="D880" s="379">
        <v>36.037698749225981</v>
      </c>
      <c r="E880" s="25">
        <v>24.84</v>
      </c>
      <c r="F880" s="379">
        <v>0.47222222222222221</v>
      </c>
      <c r="G880" s="25">
        <v>40.97</v>
      </c>
      <c r="H880" s="379">
        <v>6.3842787800485032</v>
      </c>
      <c r="I880" s="25">
        <v>47.16</v>
      </c>
      <c r="J880" s="379">
        <v>0.19508337444033902</v>
      </c>
    </row>
    <row r="881" spans="1:10" x14ac:dyDescent="0.35">
      <c r="A881" s="5">
        <v>877</v>
      </c>
      <c r="B881" s="5">
        <v>37</v>
      </c>
      <c r="C881" s="5">
        <v>2</v>
      </c>
      <c r="D881" s="379">
        <v>38.676111111111105</v>
      </c>
      <c r="E881" s="25">
        <v>24.84</v>
      </c>
      <c r="F881" s="379">
        <v>0.24025372665946523</v>
      </c>
      <c r="G881" s="25">
        <v>38.03</v>
      </c>
      <c r="H881" s="379">
        <v>6.9656641174964076</v>
      </c>
      <c r="I881" s="25">
        <v>46.69</v>
      </c>
      <c r="J881" s="379">
        <v>0.23435776781119033</v>
      </c>
    </row>
    <row r="882" spans="1:10" x14ac:dyDescent="0.35">
      <c r="A882" s="5">
        <v>878</v>
      </c>
      <c r="B882" s="5">
        <v>37</v>
      </c>
      <c r="C882" s="5">
        <v>2</v>
      </c>
      <c r="D882" s="379">
        <v>37.960555555555551</v>
      </c>
      <c r="E882" s="25">
        <v>24.84</v>
      </c>
      <c r="F882" s="379">
        <v>5.3837097714493884</v>
      </c>
      <c r="G882" s="25">
        <v>34.83</v>
      </c>
      <c r="H882" s="379">
        <v>6.6970656082946727</v>
      </c>
      <c r="I882" s="25">
        <v>44.66</v>
      </c>
      <c r="J882" s="379">
        <v>0.18977732793522267</v>
      </c>
    </row>
    <row r="883" spans="1:10" x14ac:dyDescent="0.35">
      <c r="A883" s="5">
        <v>879</v>
      </c>
      <c r="B883" s="5">
        <v>37</v>
      </c>
      <c r="C883" s="5">
        <v>2</v>
      </c>
      <c r="D883" s="379">
        <v>37.367222222222217</v>
      </c>
      <c r="E883" s="25">
        <v>24.56</v>
      </c>
      <c r="F883" s="379">
        <v>0.28277904396524739</v>
      </c>
      <c r="G883" s="25">
        <v>34.83</v>
      </c>
      <c r="H883" s="379">
        <v>6.7087625682080292</v>
      </c>
      <c r="I883" s="25">
        <v>33.81</v>
      </c>
      <c r="J883" s="379">
        <v>0.23271598681140138</v>
      </c>
    </row>
    <row r="884" spans="1:10" x14ac:dyDescent="0.35">
      <c r="A884" s="5">
        <v>880</v>
      </c>
      <c r="B884" s="5">
        <v>37</v>
      </c>
      <c r="C884" s="5">
        <v>2</v>
      </c>
      <c r="D884" s="379">
        <v>36.324444444444438</v>
      </c>
      <c r="E884" s="25">
        <v>24.56</v>
      </c>
      <c r="F884" s="379">
        <v>3.9801841817807091</v>
      </c>
      <c r="G884" s="25">
        <v>34.83</v>
      </c>
      <c r="H884" s="379">
        <v>6.5923277997766601</v>
      </c>
      <c r="I884" s="25">
        <v>34.25</v>
      </c>
      <c r="J884" s="379">
        <v>0.1557361423110504</v>
      </c>
    </row>
    <row r="885" spans="1:10" x14ac:dyDescent="0.35">
      <c r="A885" s="5">
        <v>881</v>
      </c>
      <c r="B885" s="5">
        <v>37</v>
      </c>
      <c r="C885" s="5">
        <v>2</v>
      </c>
      <c r="D885" s="379">
        <v>40.102222222222217</v>
      </c>
      <c r="E885" s="25">
        <v>24.84</v>
      </c>
      <c r="F885" s="379">
        <v>9.3839247820916096</v>
      </c>
      <c r="G885" s="25">
        <v>34.83</v>
      </c>
      <c r="H885" s="379">
        <v>8.3399609033560083</v>
      </c>
      <c r="I885" s="25">
        <v>46.69</v>
      </c>
      <c r="J885" s="379">
        <v>4.5224242042411422</v>
      </c>
    </row>
    <row r="886" spans="1:10" x14ac:dyDescent="0.35">
      <c r="A886" s="5">
        <v>882</v>
      </c>
      <c r="B886" s="5">
        <v>37</v>
      </c>
      <c r="C886" s="5">
        <v>2</v>
      </c>
      <c r="D886" s="379">
        <v>45.032222222222224</v>
      </c>
      <c r="E886" s="25">
        <v>25.73</v>
      </c>
      <c r="F886" s="379">
        <v>17.830597622451112</v>
      </c>
      <c r="G886" s="25">
        <v>42.37</v>
      </c>
      <c r="H886" s="379">
        <v>11.452932662318576</v>
      </c>
      <c r="I886" s="25">
        <v>48.86</v>
      </c>
      <c r="J886" s="379">
        <v>6.6497370749887335</v>
      </c>
    </row>
    <row r="887" spans="1:10" x14ac:dyDescent="0.35">
      <c r="A887" s="5">
        <v>883</v>
      </c>
      <c r="B887" s="5">
        <v>37</v>
      </c>
      <c r="C887" s="5">
        <v>2</v>
      </c>
      <c r="D887" s="379">
        <v>44.208888888888886</v>
      </c>
      <c r="E887" s="25">
        <v>26.51</v>
      </c>
      <c r="F887" s="379">
        <v>17.601073329544722</v>
      </c>
      <c r="G887" s="25">
        <v>44.74</v>
      </c>
      <c r="H887" s="379">
        <v>11.432806341200353</v>
      </c>
      <c r="I887" s="25">
        <v>53.71</v>
      </c>
      <c r="J887" s="379">
        <v>6.3773633287876494</v>
      </c>
    </row>
    <row r="888" spans="1:10" x14ac:dyDescent="0.35">
      <c r="A888" s="5">
        <v>884</v>
      </c>
      <c r="B888" s="5">
        <v>37</v>
      </c>
      <c r="C888" s="5">
        <v>2</v>
      </c>
      <c r="D888" s="379">
        <v>40.538333333333334</v>
      </c>
      <c r="E888" s="25">
        <v>25.74</v>
      </c>
      <c r="F888" s="379">
        <v>18.782315302405522</v>
      </c>
      <c r="G888" s="25">
        <v>44.74</v>
      </c>
      <c r="H888" s="379">
        <v>11.598563681991681</v>
      </c>
      <c r="I888" s="25">
        <v>54.04</v>
      </c>
      <c r="J888" s="379">
        <v>6.5265899567300609</v>
      </c>
    </row>
    <row r="889" spans="1:10" x14ac:dyDescent="0.35">
      <c r="A889" s="5">
        <v>885</v>
      </c>
      <c r="B889" s="5">
        <v>37</v>
      </c>
      <c r="C889" s="5">
        <v>2</v>
      </c>
      <c r="D889" s="379">
        <v>39.309999999999995</v>
      </c>
      <c r="E889" s="25">
        <v>24.99</v>
      </c>
      <c r="F889" s="379">
        <v>14.567176264210657</v>
      </c>
      <c r="G889" s="25">
        <v>44.74</v>
      </c>
      <c r="H889" s="379">
        <v>11.191080363149952</v>
      </c>
      <c r="I889" s="25">
        <v>52.55</v>
      </c>
      <c r="J889" s="379">
        <v>6.6023682889032429</v>
      </c>
    </row>
    <row r="890" spans="1:10" x14ac:dyDescent="0.35">
      <c r="A890" s="5">
        <v>886</v>
      </c>
      <c r="B890" s="5">
        <v>37</v>
      </c>
      <c r="C890" s="5">
        <v>2</v>
      </c>
      <c r="D890" s="379">
        <v>37.210555555555551</v>
      </c>
      <c r="E890" s="25">
        <v>24.84</v>
      </c>
      <c r="F890" s="379">
        <v>14.567176264210657</v>
      </c>
      <c r="G890" s="25">
        <v>43.39</v>
      </c>
      <c r="H890" s="379">
        <v>11.420232951163213</v>
      </c>
      <c r="I890" s="25">
        <v>50.13</v>
      </c>
      <c r="J890" s="379">
        <v>6.6023682889032429</v>
      </c>
    </row>
    <row r="891" spans="1:10" x14ac:dyDescent="0.35">
      <c r="A891" s="5">
        <v>887</v>
      </c>
      <c r="B891" s="5">
        <v>37</v>
      </c>
      <c r="C891" s="5">
        <v>2</v>
      </c>
      <c r="D891" s="379">
        <v>37.374444444444443</v>
      </c>
      <c r="E891" s="25">
        <v>24.99</v>
      </c>
      <c r="F891" s="379">
        <v>13.707326768819465</v>
      </c>
      <c r="G891" s="25">
        <v>44.74</v>
      </c>
      <c r="H891" s="379">
        <v>11.392165338819741</v>
      </c>
      <c r="I891" s="25">
        <v>50.13</v>
      </c>
      <c r="J891" s="379">
        <v>6.5778406216946319</v>
      </c>
    </row>
    <row r="892" spans="1:10" x14ac:dyDescent="0.35">
      <c r="A892" s="5">
        <v>888</v>
      </c>
      <c r="B892" s="5">
        <v>37</v>
      </c>
      <c r="C892" s="5">
        <v>2</v>
      </c>
      <c r="D892" s="379">
        <v>37.072777777777773</v>
      </c>
      <c r="E892" s="25">
        <v>24.84</v>
      </c>
      <c r="F892" s="379">
        <v>14.219946781503536</v>
      </c>
      <c r="G892" s="25">
        <v>44.74</v>
      </c>
      <c r="H892" s="379">
        <v>10.259509730913184</v>
      </c>
      <c r="I892" s="25">
        <v>50.13</v>
      </c>
      <c r="J892" s="379">
        <v>7.0444188728475385</v>
      </c>
    </row>
    <row r="893" spans="1:10" x14ac:dyDescent="0.35">
      <c r="A893" s="5">
        <v>889</v>
      </c>
      <c r="B893" s="5">
        <v>38</v>
      </c>
      <c r="C893" s="5">
        <v>2</v>
      </c>
      <c r="D893" s="379">
        <v>35.918333333333329</v>
      </c>
      <c r="E893" s="25">
        <v>24.84</v>
      </c>
      <c r="F893" s="379">
        <v>13.507170654252299</v>
      </c>
      <c r="G893" s="25">
        <v>42.29</v>
      </c>
      <c r="H893" s="379">
        <v>10.444715017979625</v>
      </c>
      <c r="I893" s="25">
        <v>47.79</v>
      </c>
      <c r="J893" s="379">
        <v>7.0444188728475385</v>
      </c>
    </row>
    <row r="894" spans="1:10" x14ac:dyDescent="0.35">
      <c r="A894" s="5">
        <v>890</v>
      </c>
      <c r="B894" s="5">
        <v>38</v>
      </c>
      <c r="C894" s="5">
        <v>2</v>
      </c>
      <c r="D894" s="379">
        <v>36.098888888888887</v>
      </c>
      <c r="E894" s="25">
        <v>24.84</v>
      </c>
      <c r="F894" s="379">
        <v>13.235745331156812</v>
      </c>
      <c r="G894" s="25">
        <v>42.29</v>
      </c>
      <c r="H894" s="379">
        <v>10.61601114377002</v>
      </c>
      <c r="I894" s="25">
        <v>47.79</v>
      </c>
      <c r="J894" s="379">
        <v>7.0444188728475385</v>
      </c>
    </row>
    <row r="895" spans="1:10" x14ac:dyDescent="0.35">
      <c r="A895" s="5">
        <v>891</v>
      </c>
      <c r="B895" s="5">
        <v>38</v>
      </c>
      <c r="C895" s="5">
        <v>2</v>
      </c>
      <c r="D895" s="379">
        <v>36.428333333333335</v>
      </c>
      <c r="E895" s="25">
        <v>24.84</v>
      </c>
      <c r="F895" s="379">
        <v>13.402487300120214</v>
      </c>
      <c r="G895" s="25">
        <v>42.29</v>
      </c>
      <c r="H895" s="379">
        <v>10.153002393721797</v>
      </c>
      <c r="I895" s="25">
        <v>47.31</v>
      </c>
      <c r="J895" s="379">
        <v>6.8133114396827414</v>
      </c>
    </row>
    <row r="896" spans="1:10" x14ac:dyDescent="0.35">
      <c r="A896" s="5">
        <v>892</v>
      </c>
      <c r="B896" s="5">
        <v>38</v>
      </c>
      <c r="C896" s="5">
        <v>2</v>
      </c>
      <c r="D896" s="379">
        <v>35.967777777777776</v>
      </c>
      <c r="E896" s="25">
        <v>24.84</v>
      </c>
      <c r="F896" s="379">
        <v>13.212331905510531</v>
      </c>
      <c r="G896" s="25">
        <v>42.29</v>
      </c>
      <c r="H896" s="379">
        <v>8.5842181829253583</v>
      </c>
      <c r="I896" s="25">
        <v>47.31</v>
      </c>
      <c r="J896" s="379">
        <v>5.114010160939416</v>
      </c>
    </row>
    <row r="897" spans="1:10" x14ac:dyDescent="0.35">
      <c r="A897" s="5">
        <v>893</v>
      </c>
      <c r="B897" s="5">
        <v>38</v>
      </c>
      <c r="C897" s="5">
        <v>2</v>
      </c>
      <c r="D897" s="379">
        <v>39.582777777777771</v>
      </c>
      <c r="E897" s="25">
        <v>24.84</v>
      </c>
      <c r="F897" s="379">
        <v>13.650204442724643</v>
      </c>
      <c r="G897" s="25">
        <v>42.29</v>
      </c>
      <c r="H897" s="379">
        <v>7.6686254254788935</v>
      </c>
      <c r="I897" s="25">
        <v>47.31</v>
      </c>
      <c r="J897" s="379">
        <v>5.3578342555566261</v>
      </c>
    </row>
    <row r="898" spans="1:10" x14ac:dyDescent="0.35">
      <c r="A898" s="5">
        <v>894</v>
      </c>
      <c r="B898" s="5">
        <v>38</v>
      </c>
      <c r="C898" s="5">
        <v>2</v>
      </c>
      <c r="D898" s="379">
        <v>41.89</v>
      </c>
      <c r="E898" s="25">
        <v>24.84</v>
      </c>
      <c r="F898" s="379">
        <v>13.806591517853562</v>
      </c>
      <c r="G898" s="25">
        <v>42.29</v>
      </c>
      <c r="H898" s="379">
        <v>8.2137384247663601</v>
      </c>
      <c r="I898" s="25">
        <v>47.44</v>
      </c>
      <c r="J898" s="379">
        <v>5.3691462338448837</v>
      </c>
    </row>
    <row r="899" spans="1:10" x14ac:dyDescent="0.35">
      <c r="A899" s="5">
        <v>895</v>
      </c>
      <c r="B899" s="5">
        <v>38</v>
      </c>
      <c r="C899" s="5">
        <v>2</v>
      </c>
      <c r="D899" s="379">
        <v>48.37166666666667</v>
      </c>
      <c r="E899" s="25">
        <v>24.84</v>
      </c>
      <c r="F899" s="379">
        <v>13.613158387988966</v>
      </c>
      <c r="G899" s="25">
        <v>42.29</v>
      </c>
      <c r="H899" s="379">
        <v>8.0969105806136685</v>
      </c>
      <c r="I899" s="25">
        <v>47.31</v>
      </c>
      <c r="J899" s="379">
        <v>5.2785516666249341</v>
      </c>
    </row>
    <row r="900" spans="1:10" x14ac:dyDescent="0.35">
      <c r="A900" s="5">
        <v>896</v>
      </c>
      <c r="B900" s="5">
        <v>38</v>
      </c>
      <c r="C900" s="5">
        <v>2</v>
      </c>
      <c r="D900" s="379">
        <v>61.034444444444439</v>
      </c>
      <c r="E900" s="25">
        <v>24.84</v>
      </c>
      <c r="F900" s="379">
        <v>14.407865367765954</v>
      </c>
      <c r="G900" s="25">
        <v>42.71</v>
      </c>
      <c r="H900" s="379">
        <v>8.0198360697535396</v>
      </c>
      <c r="I900" s="25">
        <v>48.73</v>
      </c>
      <c r="J900" s="379">
        <v>5.6058600626735631</v>
      </c>
    </row>
    <row r="901" spans="1:10" x14ac:dyDescent="0.35">
      <c r="A901" s="5">
        <v>897</v>
      </c>
      <c r="B901" s="5">
        <v>38</v>
      </c>
      <c r="C901" s="5">
        <v>2</v>
      </c>
      <c r="D901" s="379">
        <v>62.859444444444449</v>
      </c>
      <c r="E901" s="25">
        <v>24.84</v>
      </c>
      <c r="F901" s="379">
        <v>12.108351622445653</v>
      </c>
      <c r="G901" s="25">
        <v>43.56</v>
      </c>
      <c r="H901" s="379">
        <v>7.7573506787332285</v>
      </c>
      <c r="I901" s="25">
        <v>47.79</v>
      </c>
      <c r="J901" s="379">
        <v>4.3040220622445711</v>
      </c>
    </row>
    <row r="902" spans="1:10" x14ac:dyDescent="0.35">
      <c r="A902" s="5">
        <v>898</v>
      </c>
      <c r="B902" s="5">
        <v>38</v>
      </c>
      <c r="C902" s="5">
        <v>2</v>
      </c>
      <c r="D902" s="379">
        <v>62.647777777777776</v>
      </c>
      <c r="E902" s="25">
        <v>24.84</v>
      </c>
      <c r="F902" s="379">
        <v>8.7157640066252444</v>
      </c>
      <c r="G902" s="25">
        <v>44.69</v>
      </c>
      <c r="H902" s="379">
        <v>6.6240513803411654</v>
      </c>
      <c r="I902" s="25">
        <v>48.86</v>
      </c>
      <c r="J902" s="379">
        <v>4.3673499146480488</v>
      </c>
    </row>
    <row r="903" spans="1:10" x14ac:dyDescent="0.35">
      <c r="A903" s="5">
        <v>899</v>
      </c>
      <c r="B903" s="5">
        <v>38</v>
      </c>
      <c r="C903" s="5">
        <v>2</v>
      </c>
      <c r="D903" s="379">
        <v>58.157222222222217</v>
      </c>
      <c r="E903" s="25">
        <v>24.99</v>
      </c>
      <c r="F903" s="379">
        <v>8.1174834595959577</v>
      </c>
      <c r="G903" s="25">
        <v>44.74</v>
      </c>
      <c r="H903" s="379">
        <v>2.6124573751796829</v>
      </c>
      <c r="I903" s="25">
        <v>47.31</v>
      </c>
      <c r="J903" s="379">
        <v>2.777777777777778E-2</v>
      </c>
    </row>
    <row r="904" spans="1:10" x14ac:dyDescent="0.35">
      <c r="A904" s="5">
        <v>900</v>
      </c>
      <c r="B904" s="5">
        <v>38</v>
      </c>
      <c r="C904" s="5">
        <v>2</v>
      </c>
      <c r="D904" s="379">
        <v>56.117777777777775</v>
      </c>
      <c r="E904" s="25">
        <v>24.99</v>
      </c>
      <c r="F904" s="379">
        <v>5.0945495192980266</v>
      </c>
      <c r="G904" s="25">
        <v>44.74</v>
      </c>
      <c r="H904" s="379">
        <v>2.6900130301835907</v>
      </c>
      <c r="I904" s="25">
        <v>47.31</v>
      </c>
      <c r="J904" s="379">
        <v>2.777777777777778E-2</v>
      </c>
    </row>
    <row r="905" spans="1:10" x14ac:dyDescent="0.35">
      <c r="A905" s="5">
        <v>901</v>
      </c>
      <c r="B905" s="5">
        <v>38</v>
      </c>
      <c r="C905" s="5">
        <v>2</v>
      </c>
      <c r="D905" s="379">
        <v>50.671666666666674</v>
      </c>
      <c r="E905" s="25">
        <v>24.84</v>
      </c>
      <c r="F905" s="379">
        <v>4.9078329979658086</v>
      </c>
      <c r="G905" s="25">
        <v>44.74</v>
      </c>
      <c r="H905" s="379">
        <v>2.4715296000679512</v>
      </c>
      <c r="I905" s="25">
        <v>47.31</v>
      </c>
      <c r="J905" s="379">
        <v>2.777777777777778E-2</v>
      </c>
    </row>
    <row r="906" spans="1:10" x14ac:dyDescent="0.35">
      <c r="A906" s="5">
        <v>902</v>
      </c>
      <c r="B906" s="5">
        <v>38</v>
      </c>
      <c r="C906" s="5">
        <v>2</v>
      </c>
      <c r="D906" s="379">
        <v>46.38388888888889</v>
      </c>
      <c r="E906" s="25">
        <v>24.84</v>
      </c>
      <c r="F906" s="379">
        <v>4.6289384192049399</v>
      </c>
      <c r="G906" s="25">
        <v>43.56</v>
      </c>
      <c r="H906" s="379">
        <v>2.5651005961379991</v>
      </c>
      <c r="I906" s="25">
        <v>45.93</v>
      </c>
      <c r="J906" s="379">
        <v>2.777777777777778E-2</v>
      </c>
    </row>
    <row r="907" spans="1:10" x14ac:dyDescent="0.35">
      <c r="A907" s="5">
        <v>903</v>
      </c>
      <c r="B907" s="5">
        <v>38</v>
      </c>
      <c r="C907" s="5">
        <v>2</v>
      </c>
      <c r="D907" s="379">
        <v>42.992222222222217</v>
      </c>
      <c r="E907" s="25">
        <v>24.84</v>
      </c>
      <c r="F907" s="379">
        <v>4.8600245326127496</v>
      </c>
      <c r="G907" s="25">
        <v>43.56</v>
      </c>
      <c r="H907" s="379">
        <v>2.4295993894097547</v>
      </c>
      <c r="I907" s="25">
        <v>45.93</v>
      </c>
      <c r="J907" s="379">
        <v>2.777777777777778E-2</v>
      </c>
    </row>
    <row r="908" spans="1:10" x14ac:dyDescent="0.35">
      <c r="A908" s="5">
        <v>904</v>
      </c>
      <c r="B908" s="5">
        <v>38</v>
      </c>
      <c r="C908" s="5">
        <v>2</v>
      </c>
      <c r="D908" s="379">
        <v>50.314999999999998</v>
      </c>
      <c r="E908" s="25">
        <v>24.84</v>
      </c>
      <c r="F908" s="379">
        <v>6.8741167903945319</v>
      </c>
      <c r="G908" s="25">
        <v>42.29</v>
      </c>
      <c r="H908" s="379">
        <v>2.324078009224857</v>
      </c>
      <c r="I908" s="25">
        <v>45.93</v>
      </c>
      <c r="J908" s="379">
        <v>2.777777777777778E-2</v>
      </c>
    </row>
    <row r="909" spans="1:10" x14ac:dyDescent="0.35">
      <c r="A909" s="5">
        <v>905</v>
      </c>
      <c r="B909" s="5">
        <v>38</v>
      </c>
      <c r="C909" s="5">
        <v>2</v>
      </c>
      <c r="D909" s="379">
        <v>52.006666666666661</v>
      </c>
      <c r="E909" s="25">
        <v>24.84</v>
      </c>
      <c r="F909" s="379">
        <v>8.1174834595959577</v>
      </c>
      <c r="G909" s="25">
        <v>42.29</v>
      </c>
      <c r="H909" s="379">
        <v>1.7702973941190476</v>
      </c>
      <c r="I909" s="25">
        <v>47.31</v>
      </c>
      <c r="J909" s="379">
        <v>2.777777777777778E-2</v>
      </c>
    </row>
    <row r="910" spans="1:10" x14ac:dyDescent="0.35">
      <c r="A910" s="5">
        <v>906</v>
      </c>
      <c r="B910" s="5">
        <v>38</v>
      </c>
      <c r="C910" s="5">
        <v>2</v>
      </c>
      <c r="D910" s="379">
        <v>59.164999999999999</v>
      </c>
      <c r="E910" s="25">
        <v>24.84</v>
      </c>
      <c r="F910" s="379">
        <v>8.8004256958203335</v>
      </c>
      <c r="G910" s="25">
        <v>44.69</v>
      </c>
      <c r="H910" s="379">
        <v>1.4232301705610653</v>
      </c>
      <c r="I910" s="25">
        <v>50.13</v>
      </c>
      <c r="J910" s="379">
        <v>0.10130861161665915</v>
      </c>
    </row>
    <row r="911" spans="1:10" x14ac:dyDescent="0.35">
      <c r="A911" s="5">
        <v>907</v>
      </c>
      <c r="B911" s="5">
        <v>38</v>
      </c>
      <c r="C911" s="5">
        <v>2</v>
      </c>
      <c r="D911" s="379">
        <v>60.080555555555563</v>
      </c>
      <c r="E911" s="25">
        <v>25.29</v>
      </c>
      <c r="F911" s="379">
        <v>8.8699285735476607</v>
      </c>
      <c r="G911" s="25">
        <v>44.74</v>
      </c>
      <c r="H911" s="379">
        <v>1.4423280981257383</v>
      </c>
      <c r="I911" s="25">
        <v>54.04</v>
      </c>
      <c r="J911" s="379">
        <v>2.777777777777778E-2</v>
      </c>
    </row>
    <row r="912" spans="1:10" x14ac:dyDescent="0.35">
      <c r="A912" s="5">
        <v>908</v>
      </c>
      <c r="B912" s="5">
        <v>38</v>
      </c>
      <c r="C912" s="5">
        <v>2</v>
      </c>
      <c r="D912" s="379">
        <v>59.441111111111113</v>
      </c>
      <c r="E912" s="25">
        <v>25.29</v>
      </c>
      <c r="F912" s="379">
        <v>8.1174834595959595</v>
      </c>
      <c r="G912" s="25">
        <v>44.74</v>
      </c>
      <c r="H912" s="379">
        <v>1.44690459449814</v>
      </c>
      <c r="I912" s="25">
        <v>54.04</v>
      </c>
      <c r="J912" s="379">
        <v>6.3017675647771013E-2</v>
      </c>
    </row>
    <row r="913" spans="1:10" x14ac:dyDescent="0.35">
      <c r="A913" s="5">
        <v>909</v>
      </c>
      <c r="B913" s="5">
        <v>38</v>
      </c>
      <c r="C913" s="5">
        <v>2</v>
      </c>
      <c r="D913" s="379">
        <v>54.719444444444449</v>
      </c>
      <c r="E913" s="25">
        <v>24.99</v>
      </c>
      <c r="F913" s="379">
        <v>8.1174834595959613</v>
      </c>
      <c r="G913" s="25">
        <v>44.74</v>
      </c>
      <c r="H913" s="379">
        <v>1.5272274144492759</v>
      </c>
      <c r="I913" s="25">
        <v>53.71</v>
      </c>
      <c r="J913" s="379">
        <v>2.777777777777778E-2</v>
      </c>
    </row>
    <row r="914" spans="1:10" x14ac:dyDescent="0.35">
      <c r="A914" s="5">
        <v>910</v>
      </c>
      <c r="B914" s="5">
        <v>38</v>
      </c>
      <c r="C914" s="5">
        <v>2</v>
      </c>
      <c r="D914" s="379">
        <v>53.219444444444441</v>
      </c>
      <c r="E914" s="25">
        <v>24.99</v>
      </c>
      <c r="F914" s="379">
        <v>8.1174834595959577</v>
      </c>
      <c r="G914" s="25">
        <v>44.69</v>
      </c>
      <c r="H914" s="379">
        <v>1.2282479355925653</v>
      </c>
      <c r="I914" s="25">
        <v>50.13</v>
      </c>
      <c r="J914" s="379">
        <v>4.0117618474475182E-2</v>
      </c>
    </row>
    <row r="915" spans="1:10" x14ac:dyDescent="0.35">
      <c r="A915" s="5">
        <v>911</v>
      </c>
      <c r="B915" s="5">
        <v>38</v>
      </c>
      <c r="C915" s="5">
        <v>2</v>
      </c>
      <c r="D915" s="379">
        <v>48.766666666666666</v>
      </c>
      <c r="E915" s="25">
        <v>24.99</v>
      </c>
      <c r="F915" s="379">
        <v>0.47222222222222227</v>
      </c>
      <c r="G915" s="25">
        <v>44.74</v>
      </c>
      <c r="H915" s="379">
        <v>0.47222222222222232</v>
      </c>
      <c r="I915" s="25">
        <v>50.13</v>
      </c>
      <c r="J915" s="379">
        <v>6.851063909709651E-2</v>
      </c>
    </row>
    <row r="916" spans="1:10" x14ac:dyDescent="0.35">
      <c r="A916" s="5">
        <v>912</v>
      </c>
      <c r="B916" s="5">
        <v>38</v>
      </c>
      <c r="C916" s="5">
        <v>2</v>
      </c>
      <c r="D916" s="379">
        <v>47.257222222222225</v>
      </c>
      <c r="E916" s="25">
        <v>24.99</v>
      </c>
      <c r="F916" s="379">
        <v>0.47222222222222221</v>
      </c>
      <c r="G916" s="25">
        <v>44.74</v>
      </c>
      <c r="H916" s="379">
        <v>2.1489510259609013</v>
      </c>
      <c r="I916" s="25">
        <v>48.09</v>
      </c>
      <c r="J916" s="379">
        <v>7.9622299356524845E-2</v>
      </c>
    </row>
    <row r="917" spans="1:10" x14ac:dyDescent="0.35">
      <c r="A917" s="5">
        <v>913</v>
      </c>
      <c r="B917" s="5">
        <v>39</v>
      </c>
      <c r="C917" s="5">
        <v>2</v>
      </c>
      <c r="D917" s="379">
        <v>47.583888888888886</v>
      </c>
      <c r="E917" s="25">
        <v>24.84</v>
      </c>
      <c r="F917" s="379">
        <v>2.28182658120221</v>
      </c>
      <c r="G917" s="25">
        <v>44.74</v>
      </c>
      <c r="H917" s="379">
        <v>2.1489510259609013</v>
      </c>
      <c r="I917" s="25">
        <v>49.63</v>
      </c>
      <c r="J917" s="379">
        <v>7.2814317327039441E-2</v>
      </c>
    </row>
    <row r="918" spans="1:10" x14ac:dyDescent="0.35">
      <c r="A918" s="5">
        <v>914</v>
      </c>
      <c r="B918" s="5">
        <v>39</v>
      </c>
      <c r="C918" s="5">
        <v>2</v>
      </c>
      <c r="D918" s="379">
        <v>46.886666666666656</v>
      </c>
      <c r="E918" s="25">
        <v>24.73</v>
      </c>
      <c r="F918" s="379">
        <v>2.28182658120221</v>
      </c>
      <c r="G918" s="25">
        <v>42.19</v>
      </c>
      <c r="H918" s="379">
        <v>2.1489510259609013</v>
      </c>
      <c r="I918" s="25">
        <v>45.93</v>
      </c>
      <c r="J918" s="379">
        <v>7.2814317327039441E-2</v>
      </c>
    </row>
    <row r="919" spans="1:10" x14ac:dyDescent="0.35">
      <c r="A919" s="5">
        <v>915</v>
      </c>
      <c r="B919" s="5">
        <v>39</v>
      </c>
      <c r="C919" s="5">
        <v>2</v>
      </c>
      <c r="D919" s="379">
        <v>45.283333333333324</v>
      </c>
      <c r="E919" s="25">
        <v>24.56</v>
      </c>
      <c r="F919" s="379">
        <v>2.2526663320903908</v>
      </c>
      <c r="G919" s="25">
        <v>38.03</v>
      </c>
      <c r="H919" s="379">
        <v>2.1489510259609013</v>
      </c>
      <c r="I919" s="25">
        <v>45.93</v>
      </c>
      <c r="J919" s="379">
        <v>2.8277465877357716E-2</v>
      </c>
    </row>
    <row r="920" spans="1:10" x14ac:dyDescent="0.35">
      <c r="A920" s="5">
        <v>916</v>
      </c>
      <c r="B920" s="5">
        <v>39</v>
      </c>
      <c r="C920" s="5">
        <v>2</v>
      </c>
      <c r="D920" s="379">
        <v>39.213888888888896</v>
      </c>
      <c r="E920" s="25">
        <v>24.12</v>
      </c>
      <c r="F920" s="379">
        <v>2.2526663320903908</v>
      </c>
      <c r="G920" s="25">
        <v>32.43</v>
      </c>
      <c r="H920" s="379">
        <v>2.1489510259609013</v>
      </c>
      <c r="I920" s="25">
        <v>36.869999999999997</v>
      </c>
      <c r="J920" s="379">
        <v>2.8277465877357716E-2</v>
      </c>
    </row>
    <row r="921" spans="1:10" x14ac:dyDescent="0.35">
      <c r="A921" s="5">
        <v>917</v>
      </c>
      <c r="B921" s="5">
        <v>39</v>
      </c>
      <c r="C921" s="5">
        <v>2</v>
      </c>
      <c r="D921" s="379">
        <v>41.052777777777784</v>
      </c>
      <c r="E921" s="25">
        <v>24.12</v>
      </c>
      <c r="F921" s="379">
        <v>2.2526663320903908</v>
      </c>
      <c r="G921" s="25">
        <v>31.84</v>
      </c>
      <c r="H921" s="379">
        <v>2.1489510259609013</v>
      </c>
      <c r="I921" s="25">
        <v>35.799999999999997</v>
      </c>
      <c r="J921" s="379">
        <v>2.8277465877357716E-2</v>
      </c>
    </row>
    <row r="922" spans="1:10" x14ac:dyDescent="0.35">
      <c r="A922" s="5">
        <v>918</v>
      </c>
      <c r="B922" s="5">
        <v>39</v>
      </c>
      <c r="C922" s="5">
        <v>2</v>
      </c>
      <c r="D922" s="379">
        <v>43.824444444444445</v>
      </c>
      <c r="E922" s="25">
        <v>24.56</v>
      </c>
      <c r="F922" s="379">
        <v>0.12713375712020131</v>
      </c>
      <c r="G922" s="25">
        <v>38.03</v>
      </c>
      <c r="H922" s="379">
        <v>2.1489510259609013</v>
      </c>
      <c r="I922" s="25">
        <v>36.869999999999997</v>
      </c>
      <c r="J922" s="379">
        <v>2.8277465877357716E-2</v>
      </c>
    </row>
    <row r="923" spans="1:10" x14ac:dyDescent="0.35">
      <c r="A923" s="5">
        <v>919</v>
      </c>
      <c r="B923" s="5">
        <v>39</v>
      </c>
      <c r="C923" s="5">
        <v>2</v>
      </c>
      <c r="D923" s="379">
        <v>47.371111111111112</v>
      </c>
      <c r="E923" s="25">
        <v>24.84</v>
      </c>
      <c r="F923" s="379">
        <v>0.47222222222222221</v>
      </c>
      <c r="G923" s="25">
        <v>45.65</v>
      </c>
      <c r="H923" s="379">
        <v>2.1489510259609013</v>
      </c>
      <c r="I923" s="25">
        <v>50.26</v>
      </c>
      <c r="J923" s="379">
        <v>5.9013841831007406E-2</v>
      </c>
    </row>
    <row r="924" spans="1:10" x14ac:dyDescent="0.35">
      <c r="A924" s="5">
        <v>920</v>
      </c>
      <c r="B924" s="5">
        <v>39</v>
      </c>
      <c r="C924" s="5">
        <v>2</v>
      </c>
      <c r="D924" s="379">
        <v>51.590555555555554</v>
      </c>
      <c r="E924" s="25">
        <v>25.74</v>
      </c>
      <c r="F924" s="379">
        <v>0.9353134642680706</v>
      </c>
      <c r="G924" s="25">
        <v>46.11</v>
      </c>
      <c r="H924" s="379">
        <v>0.14480167642852412</v>
      </c>
      <c r="I924" s="25">
        <v>51.02</v>
      </c>
      <c r="J924" s="379">
        <v>8.113404304600523E-2</v>
      </c>
    </row>
    <row r="925" spans="1:10" x14ac:dyDescent="0.35">
      <c r="A925" s="5">
        <v>921</v>
      </c>
      <c r="B925" s="5">
        <v>39</v>
      </c>
      <c r="C925" s="5">
        <v>2</v>
      </c>
      <c r="D925" s="379">
        <v>53.807777777777773</v>
      </c>
      <c r="E925" s="25">
        <v>25.74</v>
      </c>
      <c r="F925" s="379">
        <v>1.4950418551839832</v>
      </c>
      <c r="G925" s="25">
        <v>48.39</v>
      </c>
      <c r="H925" s="379">
        <v>0.14480167642852412</v>
      </c>
      <c r="I925" s="25">
        <v>53.71</v>
      </c>
      <c r="J925" s="379">
        <v>2.8277465877357716E-2</v>
      </c>
    </row>
    <row r="926" spans="1:10" x14ac:dyDescent="0.35">
      <c r="A926" s="5">
        <v>922</v>
      </c>
      <c r="B926" s="5">
        <v>39</v>
      </c>
      <c r="C926" s="5">
        <v>2</v>
      </c>
      <c r="D926" s="379">
        <v>54.137222222222213</v>
      </c>
      <c r="E926" s="25">
        <v>25.74</v>
      </c>
      <c r="F926" s="379">
        <v>1.1224929144342903</v>
      </c>
      <c r="G926" s="25">
        <v>49.28</v>
      </c>
      <c r="H926" s="379">
        <v>2.2444952701596024</v>
      </c>
      <c r="I926" s="25">
        <v>55.32</v>
      </c>
      <c r="J926" s="379">
        <v>2.777777777777778E-2</v>
      </c>
    </row>
    <row r="927" spans="1:10" x14ac:dyDescent="0.35">
      <c r="A927" s="5">
        <v>923</v>
      </c>
      <c r="B927" s="5">
        <v>39</v>
      </c>
      <c r="C927" s="5">
        <v>2</v>
      </c>
      <c r="D927" s="379">
        <v>52.941666666666663</v>
      </c>
      <c r="E927" s="25">
        <v>25.74</v>
      </c>
      <c r="F927" s="379">
        <v>4.4729728202231618</v>
      </c>
      <c r="G927" s="25">
        <v>47.85</v>
      </c>
      <c r="H927" s="379">
        <v>2.1912132431473523</v>
      </c>
      <c r="I927" s="25">
        <v>53.71</v>
      </c>
      <c r="J927" s="379">
        <v>2.777777777777778E-2</v>
      </c>
    </row>
    <row r="928" spans="1:10" x14ac:dyDescent="0.35">
      <c r="A928" s="5">
        <v>924</v>
      </c>
      <c r="B928" s="5">
        <v>39</v>
      </c>
      <c r="C928" s="5">
        <v>2</v>
      </c>
      <c r="D928" s="379">
        <v>50.390555555555558</v>
      </c>
      <c r="E928" s="25">
        <v>25.74</v>
      </c>
      <c r="F928" s="379">
        <v>4.3451920734466025</v>
      </c>
      <c r="G928" s="25">
        <v>47.85</v>
      </c>
      <c r="H928" s="379">
        <v>2.1489510259609013</v>
      </c>
      <c r="I928" s="25">
        <v>53.46</v>
      </c>
      <c r="J928" s="379">
        <v>2.777777777777778E-2</v>
      </c>
    </row>
    <row r="929" spans="1:10" x14ac:dyDescent="0.35">
      <c r="A929" s="5">
        <v>925</v>
      </c>
      <c r="B929" s="5">
        <v>39</v>
      </c>
      <c r="C929" s="5">
        <v>2</v>
      </c>
      <c r="D929" s="379">
        <v>49.229444444444432</v>
      </c>
      <c r="E929" s="25">
        <v>25.74</v>
      </c>
      <c r="F929" s="379">
        <v>4.3451920734466025</v>
      </c>
      <c r="G929" s="25">
        <v>47.85</v>
      </c>
      <c r="H929" s="379">
        <v>2.1489510259609013</v>
      </c>
      <c r="I929" s="25">
        <v>53.27</v>
      </c>
      <c r="J929" s="379">
        <v>2.777777777777778E-2</v>
      </c>
    </row>
    <row r="930" spans="1:10" x14ac:dyDescent="0.35">
      <c r="A930" s="5">
        <v>926</v>
      </c>
      <c r="B930" s="5">
        <v>39</v>
      </c>
      <c r="C930" s="5">
        <v>2</v>
      </c>
      <c r="D930" s="379">
        <v>49.810555555555553</v>
      </c>
      <c r="E930" s="25">
        <v>25.74</v>
      </c>
      <c r="F930" s="379">
        <v>4.3451920734466025</v>
      </c>
      <c r="G930" s="25">
        <v>47.85</v>
      </c>
      <c r="H930" s="379">
        <v>1.9710030567140298</v>
      </c>
      <c r="I930" s="25">
        <v>54.52</v>
      </c>
      <c r="J930" s="379">
        <v>2.777777777777778E-2</v>
      </c>
    </row>
    <row r="931" spans="1:10" x14ac:dyDescent="0.35">
      <c r="A931" s="5">
        <v>927</v>
      </c>
      <c r="B931" s="5">
        <v>39</v>
      </c>
      <c r="C931" s="5">
        <v>2</v>
      </c>
      <c r="D931" s="379">
        <v>49.942777777777778</v>
      </c>
      <c r="E931" s="25">
        <v>25.74</v>
      </c>
      <c r="F931" s="379">
        <v>4.3451920734466025</v>
      </c>
      <c r="G931" s="25">
        <v>47.85</v>
      </c>
      <c r="H931" s="379">
        <v>0.4106038279582519</v>
      </c>
      <c r="I931" s="25">
        <v>56.15</v>
      </c>
      <c r="J931" s="379">
        <v>2.777777777777778E-2</v>
      </c>
    </row>
    <row r="932" spans="1:10" x14ac:dyDescent="0.35">
      <c r="A932" s="5">
        <v>928</v>
      </c>
      <c r="B932" s="5">
        <v>39</v>
      </c>
      <c r="C932" s="5">
        <v>2</v>
      </c>
      <c r="D932" s="379">
        <v>49.351111111111109</v>
      </c>
      <c r="E932" s="25">
        <v>29.76</v>
      </c>
      <c r="F932" s="379">
        <v>4.349739645174246</v>
      </c>
      <c r="G932" s="25">
        <v>52.2</v>
      </c>
      <c r="H932" s="379">
        <v>2.1762879676420832</v>
      </c>
      <c r="I932" s="25">
        <v>60.75</v>
      </c>
      <c r="J932" s="379">
        <v>2.777777777777778E-2</v>
      </c>
    </row>
    <row r="933" spans="1:10" x14ac:dyDescent="0.35">
      <c r="A933" s="5">
        <v>929</v>
      </c>
      <c r="B933" s="5">
        <v>39</v>
      </c>
      <c r="C933" s="5">
        <v>2</v>
      </c>
      <c r="D933" s="379">
        <v>52.93555555555556</v>
      </c>
      <c r="E933" s="25">
        <v>33.81</v>
      </c>
      <c r="F933" s="379">
        <v>5.0945495192980266</v>
      </c>
      <c r="G933" s="25">
        <v>55.88</v>
      </c>
      <c r="H933" s="379">
        <v>2.4726714371767775</v>
      </c>
      <c r="I933" s="25">
        <v>68.05</v>
      </c>
      <c r="J933" s="379">
        <v>2.777777777777778E-2</v>
      </c>
    </row>
    <row r="934" spans="1:10" x14ac:dyDescent="0.35">
      <c r="A934" s="5">
        <v>930</v>
      </c>
      <c r="B934" s="5">
        <v>39</v>
      </c>
      <c r="C934" s="5">
        <v>2</v>
      </c>
      <c r="D934" s="379">
        <v>58.146666666666661</v>
      </c>
      <c r="E934" s="25">
        <v>35.869999999999997</v>
      </c>
      <c r="F934" s="379">
        <v>9.1567940991066763</v>
      </c>
      <c r="G934" s="25">
        <v>60.51</v>
      </c>
      <c r="H934" s="379">
        <v>5.9345541595029365</v>
      </c>
      <c r="I934" s="25">
        <v>84.93</v>
      </c>
      <c r="J934" s="379">
        <v>6.1305012358088291</v>
      </c>
    </row>
    <row r="935" spans="1:10" x14ac:dyDescent="0.35">
      <c r="A935" s="5">
        <v>931</v>
      </c>
      <c r="B935" s="5">
        <v>39</v>
      </c>
      <c r="C935" s="5">
        <v>2</v>
      </c>
      <c r="D935" s="379">
        <v>60.336666666666659</v>
      </c>
      <c r="E935" s="25">
        <v>36.94</v>
      </c>
      <c r="F935" s="379">
        <v>9.1037911009472374</v>
      </c>
      <c r="G935" s="25">
        <v>64.2</v>
      </c>
      <c r="H935" s="379">
        <v>5.9345541595029365</v>
      </c>
      <c r="I935" s="25">
        <v>623.48</v>
      </c>
      <c r="J935" s="379">
        <v>6.2280695572107287</v>
      </c>
    </row>
    <row r="936" spans="1:10" x14ac:dyDescent="0.35">
      <c r="A936" s="5">
        <v>932</v>
      </c>
      <c r="B936" s="5">
        <v>39</v>
      </c>
      <c r="C936" s="5">
        <v>2</v>
      </c>
      <c r="D936" s="379">
        <v>56.108888888888892</v>
      </c>
      <c r="E936" s="25">
        <v>35.869999999999997</v>
      </c>
      <c r="F936" s="379">
        <v>9.2125738318775916</v>
      </c>
      <c r="G936" s="25">
        <v>62.12</v>
      </c>
      <c r="H936" s="379">
        <v>5.7582743430495924</v>
      </c>
      <c r="I936" s="25">
        <v>156.82</v>
      </c>
      <c r="J936" s="379">
        <v>6.0768448239847741</v>
      </c>
    </row>
    <row r="937" spans="1:10" x14ac:dyDescent="0.35">
      <c r="A937" s="5">
        <v>933</v>
      </c>
      <c r="B937" s="5">
        <v>39</v>
      </c>
      <c r="C937" s="5">
        <v>2</v>
      </c>
      <c r="D937" s="379">
        <v>53.663333333333334</v>
      </c>
      <c r="E937" s="25">
        <v>29.76</v>
      </c>
      <c r="F937" s="379">
        <v>9.1954240614002813</v>
      </c>
      <c r="G937" s="25">
        <v>55.38</v>
      </c>
      <c r="H937" s="379">
        <v>6.1128515174117437</v>
      </c>
      <c r="I937" s="25">
        <v>72.19</v>
      </c>
      <c r="J937" s="379">
        <v>6.1672073053820853</v>
      </c>
    </row>
    <row r="938" spans="1:10" x14ac:dyDescent="0.35">
      <c r="A938" s="5">
        <v>934</v>
      </c>
      <c r="B938" s="5">
        <v>39</v>
      </c>
      <c r="C938" s="5">
        <v>2</v>
      </c>
      <c r="D938" s="379">
        <v>54.143333333333338</v>
      </c>
      <c r="E938" s="25">
        <v>26.51</v>
      </c>
      <c r="F938" s="379">
        <v>8.6372045075863983</v>
      </c>
      <c r="G938" s="25">
        <v>49.65</v>
      </c>
      <c r="H938" s="379">
        <v>5.7220677251434067</v>
      </c>
      <c r="I938" s="25">
        <v>72.19</v>
      </c>
      <c r="J938" s="379">
        <v>5.7233878745961269</v>
      </c>
    </row>
    <row r="939" spans="1:10" x14ac:dyDescent="0.35">
      <c r="A939" s="5">
        <v>935</v>
      </c>
      <c r="B939" s="5">
        <v>39</v>
      </c>
      <c r="C939" s="5">
        <v>2</v>
      </c>
      <c r="D939" s="379">
        <v>50.727222222222224</v>
      </c>
      <c r="E939" s="25">
        <v>26.05</v>
      </c>
      <c r="F939" s="379">
        <v>8.1174834595959577</v>
      </c>
      <c r="G939" s="25">
        <v>47.85</v>
      </c>
      <c r="H939" s="379">
        <v>5.2913711852457697</v>
      </c>
      <c r="I939" s="25">
        <v>72.19</v>
      </c>
      <c r="J939" s="379">
        <v>4.1481515535278479</v>
      </c>
    </row>
    <row r="940" spans="1:10" x14ac:dyDescent="0.35">
      <c r="A940" s="5">
        <v>936</v>
      </c>
      <c r="B940" s="5">
        <v>39</v>
      </c>
      <c r="C940" s="5">
        <v>2</v>
      </c>
      <c r="D940" s="379">
        <v>49.50055555555555</v>
      </c>
      <c r="E940" s="25">
        <v>25.74</v>
      </c>
      <c r="F940" s="379">
        <v>8.1174834595959595</v>
      </c>
      <c r="G940" s="25">
        <v>47.5</v>
      </c>
      <c r="H940" s="379">
        <v>4.8747912050891333</v>
      </c>
      <c r="I940" s="25">
        <v>72.19</v>
      </c>
      <c r="J940" s="379">
        <v>4.3041916446602171</v>
      </c>
    </row>
    <row r="941" spans="1:10" x14ac:dyDescent="0.35">
      <c r="A941" s="5">
        <v>937</v>
      </c>
      <c r="B941" s="5">
        <v>40</v>
      </c>
      <c r="C941" s="5">
        <v>2</v>
      </c>
      <c r="D941" s="379">
        <v>48.140555555555551</v>
      </c>
      <c r="E941" s="25">
        <v>25.29</v>
      </c>
      <c r="F941" s="379">
        <v>6.5907246495020662</v>
      </c>
      <c r="G941" s="25">
        <v>47.85</v>
      </c>
      <c r="H941" s="379">
        <v>4.8136192054365958</v>
      </c>
      <c r="I941" s="25">
        <v>72.19</v>
      </c>
      <c r="J941" s="379">
        <v>2.1938456656913594</v>
      </c>
    </row>
    <row r="942" spans="1:10" x14ac:dyDescent="0.35">
      <c r="A942" s="5">
        <v>938</v>
      </c>
      <c r="B942" s="5">
        <v>40</v>
      </c>
      <c r="C942" s="5">
        <v>2</v>
      </c>
      <c r="D942" s="379">
        <v>47.712777777777774</v>
      </c>
      <c r="E942" s="25">
        <v>25.29</v>
      </c>
      <c r="F942" s="379">
        <v>6.5928409089732654</v>
      </c>
      <c r="G942" s="25">
        <v>47.5</v>
      </c>
      <c r="H942" s="379">
        <v>4.9655655563985412</v>
      </c>
      <c r="I942" s="25">
        <v>72.19</v>
      </c>
      <c r="J942" s="379">
        <v>3.7163305144341132</v>
      </c>
    </row>
    <row r="943" spans="1:10" x14ac:dyDescent="0.35">
      <c r="A943" s="5">
        <v>939</v>
      </c>
      <c r="B943" s="5">
        <v>40</v>
      </c>
      <c r="C943" s="5">
        <v>2</v>
      </c>
      <c r="D943" s="379">
        <v>46.573333333333331</v>
      </c>
      <c r="E943" s="25">
        <v>24.84</v>
      </c>
      <c r="F943" s="379">
        <v>6.3142970558785976</v>
      </c>
      <c r="G943" s="25">
        <v>47.5</v>
      </c>
      <c r="H943" s="379">
        <v>5.0108119247454486</v>
      </c>
      <c r="I943" s="25">
        <v>72.19</v>
      </c>
      <c r="J943" s="379">
        <v>3.6326415464553969</v>
      </c>
    </row>
    <row r="944" spans="1:10" x14ac:dyDescent="0.35">
      <c r="A944" s="5">
        <v>940</v>
      </c>
      <c r="B944" s="5">
        <v>40</v>
      </c>
      <c r="C944" s="5">
        <v>2</v>
      </c>
      <c r="D944" s="379">
        <v>45.193888888888893</v>
      </c>
      <c r="E944" s="25">
        <v>24.84</v>
      </c>
      <c r="F944" s="379">
        <v>6.4493856090393473</v>
      </c>
      <c r="G944" s="25">
        <v>47.5</v>
      </c>
      <c r="H944" s="379">
        <v>4.9073525026323237</v>
      </c>
      <c r="I944" s="25">
        <v>72.19</v>
      </c>
      <c r="J944" s="379">
        <v>3.5082329622816588</v>
      </c>
    </row>
    <row r="945" spans="1:10" x14ac:dyDescent="0.35">
      <c r="A945" s="5">
        <v>941</v>
      </c>
      <c r="B945" s="5">
        <v>40</v>
      </c>
      <c r="C945" s="5">
        <v>2</v>
      </c>
      <c r="D945" s="379">
        <v>44.471111111111114</v>
      </c>
      <c r="E945" s="25">
        <v>24.84</v>
      </c>
      <c r="F945" s="379">
        <v>6.5959080621386788</v>
      </c>
      <c r="G945" s="25">
        <v>47.5</v>
      </c>
      <c r="H945" s="379">
        <v>4.7996938046946571</v>
      </c>
      <c r="I945" s="25">
        <v>72.19</v>
      </c>
      <c r="J945" s="379">
        <v>3.7709225527931887</v>
      </c>
    </row>
    <row r="946" spans="1:10" x14ac:dyDescent="0.35">
      <c r="A946" s="5">
        <v>942</v>
      </c>
      <c r="B946" s="5">
        <v>40</v>
      </c>
      <c r="C946" s="5">
        <v>2</v>
      </c>
      <c r="D946" s="379">
        <v>45.939444444444447</v>
      </c>
      <c r="E946" s="25">
        <v>25.29</v>
      </c>
      <c r="F946" s="379">
        <v>7.3289870201636713</v>
      </c>
      <c r="G946" s="25">
        <v>47.5</v>
      </c>
      <c r="H946" s="379">
        <v>4.7996938046946571</v>
      </c>
      <c r="I946" s="25">
        <v>146.34</v>
      </c>
      <c r="J946" s="379">
        <v>3.2766864796928417</v>
      </c>
    </row>
    <row r="947" spans="1:10" x14ac:dyDescent="0.35">
      <c r="A947" s="5">
        <v>943</v>
      </c>
      <c r="B947" s="5">
        <v>40</v>
      </c>
      <c r="C947" s="5">
        <v>2</v>
      </c>
      <c r="D947" s="379">
        <v>50.503888888888888</v>
      </c>
      <c r="E947" s="25">
        <v>25.74</v>
      </c>
      <c r="F947" s="379">
        <v>8.1174834595959577</v>
      </c>
      <c r="G947" s="25">
        <v>52.14</v>
      </c>
      <c r="H947" s="379">
        <v>5.1217534627694139</v>
      </c>
      <c r="I947" s="25">
        <v>603.30999999999995</v>
      </c>
      <c r="J947" s="379">
        <v>4.3778489112929959</v>
      </c>
    </row>
    <row r="948" spans="1:10" x14ac:dyDescent="0.35">
      <c r="A948" s="5">
        <v>944</v>
      </c>
      <c r="B948" s="5">
        <v>40</v>
      </c>
      <c r="C948" s="5">
        <v>2</v>
      </c>
      <c r="D948" s="379">
        <v>53.455555555555556</v>
      </c>
      <c r="E948" s="25">
        <v>29.6</v>
      </c>
      <c r="F948" s="379">
        <v>8.1174834595959577</v>
      </c>
      <c r="G948" s="25">
        <v>61.5</v>
      </c>
      <c r="H948" s="379">
        <v>5.6510281570089216</v>
      </c>
      <c r="I948" s="25">
        <v>623.48</v>
      </c>
      <c r="J948" s="379">
        <v>5.2790711122961538</v>
      </c>
    </row>
    <row r="949" spans="1:10" x14ac:dyDescent="0.35">
      <c r="A949" s="5">
        <v>945</v>
      </c>
      <c r="B949" s="5">
        <v>40</v>
      </c>
      <c r="C949" s="5">
        <v>2</v>
      </c>
      <c r="D949" s="379">
        <v>53.938333333333333</v>
      </c>
      <c r="E949" s="25">
        <v>36.94</v>
      </c>
      <c r="F949" s="379">
        <v>8.1174834595959577</v>
      </c>
      <c r="G949" s="25">
        <v>62.12</v>
      </c>
      <c r="H949" s="379">
        <v>5.5641482030280747</v>
      </c>
      <c r="I949" s="25">
        <v>640.05999999999995</v>
      </c>
      <c r="J949" s="379">
        <v>3.6224159852389866</v>
      </c>
    </row>
    <row r="950" spans="1:10" x14ac:dyDescent="0.35">
      <c r="A950" s="5">
        <v>946</v>
      </c>
      <c r="B950" s="5">
        <v>40</v>
      </c>
      <c r="C950" s="5">
        <v>2</v>
      </c>
      <c r="D950" s="379">
        <v>53.557222222222215</v>
      </c>
      <c r="E950" s="25">
        <v>36.94</v>
      </c>
      <c r="F950" s="379">
        <v>8.1174834595959595</v>
      </c>
      <c r="G950" s="25">
        <v>62.12</v>
      </c>
      <c r="H950" s="379">
        <v>5.3975927785152775</v>
      </c>
      <c r="I950" s="25">
        <v>623.48</v>
      </c>
      <c r="J950" s="379">
        <v>5.6390538007698687</v>
      </c>
    </row>
    <row r="951" spans="1:10" x14ac:dyDescent="0.35">
      <c r="A951" s="5">
        <v>947</v>
      </c>
      <c r="B951" s="5">
        <v>40</v>
      </c>
      <c r="C951" s="5">
        <v>2</v>
      </c>
      <c r="D951" s="379">
        <v>49.797222222222224</v>
      </c>
      <c r="E951" s="25">
        <v>37.090000000000003</v>
      </c>
      <c r="F951" s="379">
        <v>7.7661103932690283</v>
      </c>
      <c r="G951" s="25">
        <v>62.12</v>
      </c>
      <c r="H951" s="379">
        <v>5.3554881200274522</v>
      </c>
      <c r="I951" s="25">
        <v>623.48</v>
      </c>
      <c r="J951" s="379">
        <v>5.647671866339862</v>
      </c>
    </row>
    <row r="952" spans="1:10" x14ac:dyDescent="0.35">
      <c r="A952" s="5">
        <v>948</v>
      </c>
      <c r="B952" s="5">
        <v>40</v>
      </c>
      <c r="C952" s="5">
        <v>2</v>
      </c>
      <c r="D952" s="379">
        <v>48.661111111111111</v>
      </c>
      <c r="E952" s="25">
        <v>37.090000000000003</v>
      </c>
      <c r="F952" s="379">
        <v>8.1174834595959595</v>
      </c>
      <c r="G952" s="25">
        <v>62.12</v>
      </c>
      <c r="H952" s="379">
        <v>5.4987842545370924</v>
      </c>
      <c r="I952" s="25">
        <v>843.72</v>
      </c>
      <c r="J952" s="379">
        <v>5.6789575193024611</v>
      </c>
    </row>
    <row r="953" spans="1:10" x14ac:dyDescent="0.35">
      <c r="A953" s="5">
        <v>949</v>
      </c>
      <c r="B953" s="5">
        <v>40</v>
      </c>
      <c r="C953" s="5">
        <v>2</v>
      </c>
      <c r="D953" s="379">
        <v>46.82</v>
      </c>
      <c r="E953" s="25">
        <v>37.090000000000003</v>
      </c>
      <c r="F953" s="379">
        <v>7.7310793974281191</v>
      </c>
      <c r="G953" s="25">
        <v>62.12</v>
      </c>
      <c r="H953" s="379">
        <v>5.467334766015111</v>
      </c>
      <c r="I953" s="25">
        <v>717.16</v>
      </c>
      <c r="J953" s="379">
        <v>5.5123312780955418</v>
      </c>
    </row>
    <row r="954" spans="1:10" x14ac:dyDescent="0.35">
      <c r="A954" s="5">
        <v>950</v>
      </c>
      <c r="B954" s="5">
        <v>40</v>
      </c>
      <c r="C954" s="5">
        <v>2</v>
      </c>
      <c r="D954" s="379">
        <v>46.908333333333331</v>
      </c>
      <c r="E954" s="25">
        <v>37.090000000000003</v>
      </c>
      <c r="F954" s="379">
        <v>7.4608204157029281</v>
      </c>
      <c r="G954" s="25">
        <v>62.12</v>
      </c>
      <c r="H954" s="379">
        <v>5.4903029419275127</v>
      </c>
      <c r="I954" s="25">
        <v>843.72</v>
      </c>
      <c r="J954" s="379">
        <v>5.5956371611534736</v>
      </c>
    </row>
    <row r="955" spans="1:10" x14ac:dyDescent="0.35">
      <c r="A955" s="5">
        <v>951</v>
      </c>
      <c r="B955" s="5">
        <v>40</v>
      </c>
      <c r="C955" s="5">
        <v>2</v>
      </c>
      <c r="D955" s="379">
        <v>47.787222222222219</v>
      </c>
      <c r="E955" s="25">
        <v>37.090000000000003</v>
      </c>
      <c r="F955" s="379">
        <v>7.4935784212408691</v>
      </c>
      <c r="G955" s="25">
        <v>62.12</v>
      </c>
      <c r="H955" s="379">
        <v>5.4724748371527472</v>
      </c>
      <c r="I955" s="25">
        <v>843.72</v>
      </c>
      <c r="J955" s="379">
        <v>5.6573614480657541</v>
      </c>
    </row>
    <row r="956" spans="1:10" x14ac:dyDescent="0.35">
      <c r="A956" s="5">
        <v>952</v>
      </c>
      <c r="B956" s="5">
        <v>40</v>
      </c>
      <c r="C956" s="5">
        <v>2</v>
      </c>
      <c r="D956" s="379">
        <v>47.322777777777773</v>
      </c>
      <c r="E956" s="25">
        <v>37.090000000000003</v>
      </c>
      <c r="F956" s="379">
        <v>8.4295059551634868</v>
      </c>
      <c r="G956" s="25">
        <v>62.12</v>
      </c>
      <c r="H956" s="379">
        <v>5.5506346151138253</v>
      </c>
      <c r="I956" s="25">
        <v>843.72</v>
      </c>
      <c r="J956" s="379">
        <v>5.6030294520240327</v>
      </c>
    </row>
    <row r="957" spans="1:10" x14ac:dyDescent="0.35">
      <c r="A957" s="5">
        <v>953</v>
      </c>
      <c r="B957" s="5">
        <v>40</v>
      </c>
      <c r="C957" s="5">
        <v>2</v>
      </c>
      <c r="D957" s="379">
        <v>48.234444444444442</v>
      </c>
      <c r="E957" s="25">
        <v>37.090000000000003</v>
      </c>
      <c r="F957" s="379">
        <v>10.247898731175729</v>
      </c>
      <c r="G957" s="25">
        <v>62.12</v>
      </c>
      <c r="H957" s="379">
        <v>8.7254733356571936</v>
      </c>
      <c r="I957" s="25">
        <v>843.72</v>
      </c>
      <c r="J957" s="379">
        <v>6.2977263617908132</v>
      </c>
    </row>
    <row r="958" spans="1:10" x14ac:dyDescent="0.35">
      <c r="A958" s="5">
        <v>954</v>
      </c>
      <c r="B958" s="5">
        <v>40</v>
      </c>
      <c r="C958" s="5">
        <v>2</v>
      </c>
      <c r="D958" s="379">
        <v>52.808333333333337</v>
      </c>
      <c r="E958" s="25">
        <v>37.090000000000003</v>
      </c>
      <c r="F958" s="379">
        <v>10.488844037277902</v>
      </c>
      <c r="G958" s="25">
        <v>66.12</v>
      </c>
      <c r="H958" s="379">
        <v>11.937458973791486</v>
      </c>
      <c r="I958" s="25">
        <v>869.03</v>
      </c>
      <c r="J958" s="379">
        <v>6.9941121346910107</v>
      </c>
    </row>
    <row r="959" spans="1:10" x14ac:dyDescent="0.35">
      <c r="A959" s="5">
        <v>955</v>
      </c>
      <c r="B959" s="5">
        <v>40</v>
      </c>
      <c r="C959" s="5">
        <v>2</v>
      </c>
      <c r="D959" s="379">
        <v>54.671111111111102</v>
      </c>
      <c r="E959" s="25">
        <v>37.090000000000003</v>
      </c>
      <c r="F959" s="379">
        <v>10.35806573472337</v>
      </c>
      <c r="G959" s="25">
        <v>843.72</v>
      </c>
      <c r="H959" s="379">
        <v>11.918034482761168</v>
      </c>
      <c r="I959" s="25">
        <v>869.03</v>
      </c>
      <c r="J959" s="379">
        <v>7.0076539035117884</v>
      </c>
    </row>
    <row r="960" spans="1:10" x14ac:dyDescent="0.35">
      <c r="A960" s="5">
        <v>956</v>
      </c>
      <c r="B960" s="5">
        <v>40</v>
      </c>
      <c r="C960" s="5">
        <v>2</v>
      </c>
      <c r="D960" s="379">
        <v>53.746111111111105</v>
      </c>
      <c r="E960" s="25">
        <v>37.090000000000003</v>
      </c>
      <c r="F960" s="379">
        <v>10.287059429240543</v>
      </c>
      <c r="G960" s="25">
        <v>843.72</v>
      </c>
      <c r="H960" s="379">
        <v>11.918034482761168</v>
      </c>
      <c r="I960" s="25">
        <v>869.03</v>
      </c>
      <c r="J960" s="379">
        <v>6.9226047650022613</v>
      </c>
    </row>
    <row r="961" spans="1:10" x14ac:dyDescent="0.35">
      <c r="A961" s="5">
        <v>957</v>
      </c>
      <c r="B961" s="5">
        <v>40</v>
      </c>
      <c r="C961" s="5">
        <v>2</v>
      </c>
      <c r="D961" s="379">
        <v>50.360555555555557</v>
      </c>
      <c r="E961" s="25">
        <v>37.090000000000003</v>
      </c>
      <c r="F961" s="379">
        <v>10.248892143635921</v>
      </c>
      <c r="G961" s="25">
        <v>64.2</v>
      </c>
      <c r="H961" s="379">
        <v>11.914908384762613</v>
      </c>
      <c r="I961" s="25">
        <v>869.03</v>
      </c>
      <c r="J961" s="379">
        <v>7.0627741455752346</v>
      </c>
    </row>
    <row r="962" spans="1:10" x14ac:dyDescent="0.35">
      <c r="A962" s="5">
        <v>958</v>
      </c>
      <c r="B962" s="5">
        <v>40</v>
      </c>
      <c r="C962" s="5">
        <v>2</v>
      </c>
      <c r="D962" s="379">
        <v>48.329444444444448</v>
      </c>
      <c r="E962" s="25">
        <v>35.869999999999997</v>
      </c>
      <c r="F962" s="379">
        <v>10.30388373964724</v>
      </c>
      <c r="G962" s="25">
        <v>62.12</v>
      </c>
      <c r="H962" s="379">
        <v>11.660383325151619</v>
      </c>
      <c r="I962" s="25">
        <v>760.84</v>
      </c>
      <c r="J962" s="379">
        <v>7.0577586845525468</v>
      </c>
    </row>
    <row r="963" spans="1:10" x14ac:dyDescent="0.35">
      <c r="A963" s="5">
        <v>959</v>
      </c>
      <c r="B963" s="5">
        <v>40</v>
      </c>
      <c r="C963" s="5">
        <v>2</v>
      </c>
      <c r="D963" s="379">
        <v>46.73833333333333</v>
      </c>
      <c r="E963" s="25">
        <v>34.82</v>
      </c>
      <c r="F963" s="379">
        <v>10.087479117581271</v>
      </c>
      <c r="G963" s="25">
        <v>62.12</v>
      </c>
      <c r="H963" s="379">
        <v>11.31099472309435</v>
      </c>
      <c r="I963" s="25">
        <v>843.72</v>
      </c>
      <c r="J963" s="379">
        <v>6.7659664152195003</v>
      </c>
    </row>
    <row r="964" spans="1:10" x14ac:dyDescent="0.35">
      <c r="A964" s="5">
        <v>960</v>
      </c>
      <c r="B964" s="5">
        <v>40</v>
      </c>
      <c r="C964" s="5">
        <v>2</v>
      </c>
      <c r="D964" s="379">
        <v>46.342222222222226</v>
      </c>
      <c r="E964" s="25">
        <v>34.82</v>
      </c>
      <c r="F964" s="379">
        <v>9.2361995952481095</v>
      </c>
      <c r="G964" s="25">
        <v>62.12</v>
      </c>
      <c r="H964" s="379">
        <v>11.660383325151619</v>
      </c>
      <c r="I964" s="25">
        <v>843.72</v>
      </c>
      <c r="J964" s="379">
        <v>6.9264242617669041</v>
      </c>
    </row>
    <row r="965" spans="1:10" x14ac:dyDescent="0.35">
      <c r="A965" s="5">
        <v>961</v>
      </c>
      <c r="B965" s="5">
        <v>41</v>
      </c>
      <c r="C965" s="5">
        <v>2</v>
      </c>
      <c r="D965" s="379">
        <v>46.203888888888891</v>
      </c>
      <c r="E965" s="25">
        <v>31.4</v>
      </c>
      <c r="F965" s="379">
        <v>9.2361179672323086</v>
      </c>
      <c r="G965" s="25">
        <v>56.21</v>
      </c>
      <c r="H965" s="379">
        <v>11.27420636054441</v>
      </c>
      <c r="I965" s="25">
        <v>843.72</v>
      </c>
      <c r="J965" s="379">
        <v>6.9912415816862552</v>
      </c>
    </row>
    <row r="966" spans="1:10" x14ac:dyDescent="0.35">
      <c r="A966" s="5">
        <v>962</v>
      </c>
      <c r="B966" s="5">
        <v>41</v>
      </c>
      <c r="C966" s="5">
        <v>2</v>
      </c>
      <c r="D966" s="379">
        <v>45.332222222222221</v>
      </c>
      <c r="E966" s="25">
        <v>29.6</v>
      </c>
      <c r="F966" s="379">
        <v>9.2361179672323086</v>
      </c>
      <c r="G966" s="25">
        <v>56.21</v>
      </c>
      <c r="H966" s="379">
        <v>11.637174795780373</v>
      </c>
      <c r="I966" s="25">
        <v>843.72</v>
      </c>
      <c r="J966" s="379">
        <v>7.0551052096008897</v>
      </c>
    </row>
    <row r="967" spans="1:10" x14ac:dyDescent="0.35">
      <c r="A967" s="5">
        <v>963</v>
      </c>
      <c r="B967" s="5">
        <v>41</v>
      </c>
      <c r="C967" s="5">
        <v>2</v>
      </c>
      <c r="D967" s="379">
        <v>44.822222222222223</v>
      </c>
      <c r="E967" s="25">
        <v>25.74</v>
      </c>
      <c r="F967" s="379">
        <v>9.2361179672323086</v>
      </c>
      <c r="G967" s="25">
        <v>56.21</v>
      </c>
      <c r="H967" s="379">
        <v>11.510845443833352</v>
      </c>
      <c r="I967" s="25">
        <v>738.68</v>
      </c>
      <c r="J967" s="379">
        <v>7.0740979625568299</v>
      </c>
    </row>
    <row r="968" spans="1:10" x14ac:dyDescent="0.35">
      <c r="A968" s="5">
        <v>964</v>
      </c>
      <c r="B968" s="5">
        <v>41</v>
      </c>
      <c r="C968" s="5">
        <v>2</v>
      </c>
      <c r="D968" s="379">
        <v>44.022222222222219</v>
      </c>
      <c r="E968" s="25">
        <v>25.74</v>
      </c>
      <c r="F968" s="379">
        <v>9.3872026602976337</v>
      </c>
      <c r="G968" s="25">
        <v>56.21</v>
      </c>
      <c r="H968" s="379">
        <v>11.52466239522718</v>
      </c>
      <c r="I968" s="25">
        <v>738.68</v>
      </c>
      <c r="J968" s="379">
        <v>7.2590404782139792</v>
      </c>
    </row>
    <row r="969" spans="1:10" x14ac:dyDescent="0.35">
      <c r="A969" s="5">
        <v>965</v>
      </c>
      <c r="B969" s="5">
        <v>41</v>
      </c>
      <c r="C969" s="5">
        <v>2</v>
      </c>
      <c r="D969" s="379">
        <v>43.69</v>
      </c>
      <c r="E969" s="25">
        <v>26.05</v>
      </c>
      <c r="F969" s="379">
        <v>9.4654645723555184</v>
      </c>
      <c r="G969" s="25">
        <v>56.21</v>
      </c>
      <c r="H969" s="379">
        <v>11.609242704606649</v>
      </c>
      <c r="I969" s="25">
        <v>738.68</v>
      </c>
      <c r="J969" s="379">
        <v>7.2682232637777267</v>
      </c>
    </row>
    <row r="970" spans="1:10" x14ac:dyDescent="0.35">
      <c r="A970" s="5">
        <v>966</v>
      </c>
      <c r="B970" s="5">
        <v>41</v>
      </c>
      <c r="C970" s="5">
        <v>2</v>
      </c>
      <c r="D970" s="379">
        <v>44.501666666666665</v>
      </c>
      <c r="E970" s="25">
        <v>26.51</v>
      </c>
      <c r="F970" s="379">
        <v>9.6564458874604089</v>
      </c>
      <c r="G970" s="25">
        <v>56.21</v>
      </c>
      <c r="H970" s="379">
        <v>11.624556228401648</v>
      </c>
      <c r="I970" s="25">
        <v>843.72</v>
      </c>
      <c r="J970" s="379">
        <v>7.3038796146237264</v>
      </c>
    </row>
    <row r="971" spans="1:10" x14ac:dyDescent="0.35">
      <c r="A971" s="5">
        <v>967</v>
      </c>
      <c r="B971" s="5">
        <v>41</v>
      </c>
      <c r="C971" s="5">
        <v>2</v>
      </c>
      <c r="D971" s="379">
        <v>48.597777777777779</v>
      </c>
      <c r="E971" s="25">
        <v>31.4</v>
      </c>
      <c r="F971" s="379">
        <v>10.361109044093372</v>
      </c>
      <c r="G971" s="25">
        <v>64.2</v>
      </c>
      <c r="H971" s="379">
        <v>11.752342222546284</v>
      </c>
      <c r="I971" s="25">
        <v>869.03</v>
      </c>
      <c r="J971" s="379">
        <v>7.3040294685478413</v>
      </c>
    </row>
    <row r="972" spans="1:10" x14ac:dyDescent="0.35">
      <c r="A972" s="5">
        <v>968</v>
      </c>
      <c r="B972" s="5">
        <v>41</v>
      </c>
      <c r="C972" s="5">
        <v>2</v>
      </c>
      <c r="D972" s="379">
        <v>53.143888888888888</v>
      </c>
      <c r="E972" s="25">
        <v>36.94</v>
      </c>
      <c r="F972" s="379">
        <v>17.274435627507998</v>
      </c>
      <c r="G972" s="25">
        <v>67.709999999999994</v>
      </c>
      <c r="H972" s="379">
        <v>12.214669007778097</v>
      </c>
      <c r="I972" s="25">
        <v>869.03</v>
      </c>
      <c r="J972" s="379">
        <v>7.3041418589909277</v>
      </c>
    </row>
    <row r="973" spans="1:10" x14ac:dyDescent="0.35">
      <c r="A973" s="5">
        <v>969</v>
      </c>
      <c r="B973" s="5">
        <v>41</v>
      </c>
      <c r="C973" s="5">
        <v>2</v>
      </c>
      <c r="D973" s="379">
        <v>53.13055555555556</v>
      </c>
      <c r="E973" s="25">
        <v>37.74</v>
      </c>
      <c r="F973" s="379">
        <v>15.860415119377901</v>
      </c>
      <c r="G973" s="25">
        <v>843.72</v>
      </c>
      <c r="H973" s="379">
        <v>10.972707181865532</v>
      </c>
      <c r="I973" s="25">
        <v>869.03</v>
      </c>
      <c r="J973" s="379">
        <v>7.1543660196390713</v>
      </c>
    </row>
    <row r="974" spans="1:10" x14ac:dyDescent="0.35">
      <c r="A974" s="5">
        <v>970</v>
      </c>
      <c r="B974" s="5">
        <v>41</v>
      </c>
      <c r="C974" s="5">
        <v>2</v>
      </c>
      <c r="D974" s="379">
        <v>50.092222222222219</v>
      </c>
      <c r="E974" s="25">
        <v>38.200000000000003</v>
      </c>
      <c r="F974" s="379">
        <v>14.858244506518679</v>
      </c>
      <c r="G974" s="25">
        <v>843.72</v>
      </c>
      <c r="H974" s="379">
        <v>11.720648918855913</v>
      </c>
      <c r="I974" s="25">
        <v>869.03</v>
      </c>
      <c r="J974" s="379">
        <v>7.2031287054983943</v>
      </c>
    </row>
    <row r="975" spans="1:10" x14ac:dyDescent="0.35">
      <c r="A975" s="5">
        <v>971</v>
      </c>
      <c r="B975" s="5">
        <v>41</v>
      </c>
      <c r="C975" s="5">
        <v>2</v>
      </c>
      <c r="D975" s="379">
        <v>48.908333333333331</v>
      </c>
      <c r="E975" s="25">
        <v>38.200000000000003</v>
      </c>
      <c r="F975" s="379">
        <v>17.079376125905952</v>
      </c>
      <c r="G975" s="25">
        <v>843.72</v>
      </c>
      <c r="H975" s="379">
        <v>12.394260627200669</v>
      </c>
      <c r="I975" s="25">
        <v>869.03</v>
      </c>
      <c r="J975" s="379">
        <v>7.259833661162177</v>
      </c>
    </row>
    <row r="976" spans="1:10" x14ac:dyDescent="0.35">
      <c r="A976" s="5">
        <v>972</v>
      </c>
      <c r="B976" s="5">
        <v>41</v>
      </c>
      <c r="C976" s="5">
        <v>2</v>
      </c>
      <c r="D976" s="379">
        <v>47.478333333333332</v>
      </c>
      <c r="E976" s="25">
        <v>38.200000000000003</v>
      </c>
      <c r="F976" s="379">
        <v>15.176778619453142</v>
      </c>
      <c r="G976" s="25">
        <v>843.72</v>
      </c>
      <c r="H976" s="379">
        <v>12.302256895460308</v>
      </c>
      <c r="I976" s="25">
        <v>869.03</v>
      </c>
      <c r="J976" s="379">
        <v>7.2665868620336438</v>
      </c>
    </row>
    <row r="977" spans="1:10" x14ac:dyDescent="0.35">
      <c r="A977" s="5">
        <v>973</v>
      </c>
      <c r="B977" s="5">
        <v>41</v>
      </c>
      <c r="C977" s="5">
        <v>2</v>
      </c>
      <c r="D977" s="379">
        <v>45.263333333333335</v>
      </c>
      <c r="E977" s="25">
        <v>38.200000000000003</v>
      </c>
      <c r="F977" s="379">
        <v>13.977279028883842</v>
      </c>
      <c r="G977" s="25">
        <v>843.72</v>
      </c>
      <c r="H977" s="379">
        <v>12.189697024038646</v>
      </c>
      <c r="I977" s="25">
        <v>860.34</v>
      </c>
      <c r="J977" s="379">
        <v>7.2963773287991396</v>
      </c>
    </row>
    <row r="978" spans="1:10" x14ac:dyDescent="0.35">
      <c r="A978" s="5">
        <v>974</v>
      </c>
      <c r="B978" s="5">
        <v>41</v>
      </c>
      <c r="C978" s="5">
        <v>2</v>
      </c>
      <c r="D978" s="379">
        <v>44.044444444444444</v>
      </c>
      <c r="E978" s="25">
        <v>38.200000000000003</v>
      </c>
      <c r="F978" s="379">
        <v>13.977279028883842</v>
      </c>
      <c r="G978" s="25">
        <v>843.72</v>
      </c>
      <c r="H978" s="379">
        <v>12.329429734704195</v>
      </c>
      <c r="I978" s="25">
        <v>860.34</v>
      </c>
      <c r="J978" s="379">
        <v>7.4910131630318357</v>
      </c>
    </row>
    <row r="979" spans="1:10" x14ac:dyDescent="0.35">
      <c r="A979" s="5">
        <v>975</v>
      </c>
      <c r="B979" s="5">
        <v>41</v>
      </c>
      <c r="C979" s="5">
        <v>2</v>
      </c>
      <c r="D979" s="379">
        <v>43.658333333333331</v>
      </c>
      <c r="E979" s="25">
        <v>38.200000000000003</v>
      </c>
      <c r="F979" s="379">
        <v>14.924445624377171</v>
      </c>
      <c r="G979" s="25">
        <v>843.72</v>
      </c>
      <c r="H979" s="379">
        <v>12.402097035012931</v>
      </c>
      <c r="I979" s="25">
        <v>860.34</v>
      </c>
      <c r="J979" s="379">
        <v>7.5798657213124665</v>
      </c>
    </row>
    <row r="980" spans="1:10" x14ac:dyDescent="0.35">
      <c r="A980" s="5">
        <v>976</v>
      </c>
      <c r="B980" s="5">
        <v>41</v>
      </c>
      <c r="C980" s="5">
        <v>2</v>
      </c>
      <c r="D980" s="379">
        <v>44.029999999999994</v>
      </c>
      <c r="E980" s="25">
        <v>38.200000000000003</v>
      </c>
      <c r="F980" s="379">
        <v>18.782294829596111</v>
      </c>
      <c r="G980" s="25">
        <v>843.72</v>
      </c>
      <c r="H980" s="379">
        <v>22.623171273052559</v>
      </c>
      <c r="I980" s="25">
        <v>869.03</v>
      </c>
      <c r="J980" s="379">
        <v>7.6289400586748473</v>
      </c>
    </row>
    <row r="981" spans="1:10" x14ac:dyDescent="0.35">
      <c r="A981" s="5">
        <v>977</v>
      </c>
      <c r="B981" s="5">
        <v>41</v>
      </c>
      <c r="C981" s="5">
        <v>2</v>
      </c>
      <c r="D981" s="379">
        <v>46.277222222222228</v>
      </c>
      <c r="E981" s="25">
        <v>37.74</v>
      </c>
      <c r="F981" s="379">
        <v>21.238353498746921</v>
      </c>
      <c r="G981" s="25">
        <v>843.72</v>
      </c>
      <c r="H981" s="379">
        <v>23.836891835183078</v>
      </c>
      <c r="I981" s="25">
        <v>869.03</v>
      </c>
      <c r="J981" s="379">
        <v>9.484105287890122</v>
      </c>
    </row>
    <row r="982" spans="1:10" x14ac:dyDescent="0.35">
      <c r="A982" s="5">
        <v>978</v>
      </c>
      <c r="B982" s="5">
        <v>41</v>
      </c>
      <c r="C982" s="5">
        <v>2</v>
      </c>
      <c r="D982" s="379">
        <v>51.678888888888892</v>
      </c>
      <c r="E982" s="25">
        <v>38.200000000000003</v>
      </c>
      <c r="F982" s="379">
        <v>22.549545265536445</v>
      </c>
      <c r="G982" s="25">
        <v>843.72</v>
      </c>
      <c r="H982" s="379">
        <v>24.621823799389215</v>
      </c>
      <c r="I982" s="25">
        <v>869.03</v>
      </c>
      <c r="J982" s="379">
        <v>9.8553797349632237</v>
      </c>
    </row>
    <row r="983" spans="1:10" x14ac:dyDescent="0.35">
      <c r="A983" s="5">
        <v>979</v>
      </c>
      <c r="B983" s="5">
        <v>41</v>
      </c>
      <c r="C983" s="5">
        <v>2</v>
      </c>
      <c r="D983" s="379">
        <v>53.647222222222219</v>
      </c>
      <c r="E983" s="25">
        <v>869.03</v>
      </c>
      <c r="F983" s="379">
        <v>22.190291301506548</v>
      </c>
      <c r="G983" s="25">
        <v>869.03</v>
      </c>
      <c r="H983" s="379">
        <v>25.771965914945564</v>
      </c>
      <c r="I983" s="25">
        <v>869.03</v>
      </c>
      <c r="J983" s="379">
        <v>9.5463320603517303</v>
      </c>
    </row>
    <row r="984" spans="1:10" x14ac:dyDescent="0.35">
      <c r="A984" s="5">
        <v>980</v>
      </c>
      <c r="B984" s="5">
        <v>41</v>
      </c>
      <c r="C984" s="5">
        <v>2</v>
      </c>
      <c r="D984" s="379">
        <v>53.766111111111108</v>
      </c>
      <c r="E984" s="25">
        <v>843.72</v>
      </c>
      <c r="F984" s="379">
        <v>22.190291301506548</v>
      </c>
      <c r="G984" s="25">
        <v>869.03</v>
      </c>
      <c r="H984" s="379">
        <v>25.05035022317514</v>
      </c>
      <c r="I984" s="25">
        <v>869.03</v>
      </c>
      <c r="J984" s="379">
        <v>9.3915838861495224</v>
      </c>
    </row>
    <row r="985" spans="1:10" x14ac:dyDescent="0.35">
      <c r="A985" s="5">
        <v>981</v>
      </c>
      <c r="B985" s="5">
        <v>41</v>
      </c>
      <c r="C985" s="5">
        <v>2</v>
      </c>
      <c r="D985" s="379">
        <v>49.086666666666673</v>
      </c>
      <c r="E985" s="25">
        <v>38.200000000000003</v>
      </c>
      <c r="F985" s="379">
        <v>21.953408567374481</v>
      </c>
      <c r="G985" s="25">
        <v>843.72</v>
      </c>
      <c r="H985" s="379">
        <v>26.062091098772207</v>
      </c>
      <c r="I985" s="25">
        <v>869.03</v>
      </c>
      <c r="J985" s="379">
        <v>9.1546682112249567</v>
      </c>
    </row>
    <row r="986" spans="1:10" x14ac:dyDescent="0.35">
      <c r="A986" s="5">
        <v>982</v>
      </c>
      <c r="B986" s="5">
        <v>41</v>
      </c>
      <c r="C986" s="5">
        <v>2</v>
      </c>
      <c r="D986" s="379">
        <v>47.221111111111107</v>
      </c>
      <c r="E986" s="25">
        <v>37.090000000000003</v>
      </c>
      <c r="F986" s="379">
        <v>21.953408567374485</v>
      </c>
      <c r="G986" s="25">
        <v>67.709999999999994</v>
      </c>
      <c r="H986" s="379">
        <v>24.951132673865537</v>
      </c>
      <c r="I986" s="25">
        <v>869.03</v>
      </c>
      <c r="J986" s="379">
        <v>9.0528638986314913</v>
      </c>
    </row>
    <row r="987" spans="1:10" x14ac:dyDescent="0.35">
      <c r="A987" s="5">
        <v>983</v>
      </c>
      <c r="B987" s="5">
        <v>41</v>
      </c>
      <c r="C987" s="5">
        <v>2</v>
      </c>
      <c r="D987" s="379">
        <v>45.61</v>
      </c>
      <c r="E987" s="25">
        <v>36.94</v>
      </c>
      <c r="F987" s="379">
        <v>21.953408567374485</v>
      </c>
      <c r="G987" s="25">
        <v>70.45</v>
      </c>
      <c r="H987" s="379">
        <v>25.244519239345326</v>
      </c>
      <c r="I987" s="25">
        <v>869.03</v>
      </c>
      <c r="J987" s="379">
        <v>9.053626712362135</v>
      </c>
    </row>
    <row r="988" spans="1:10" x14ac:dyDescent="0.35">
      <c r="A988" s="5">
        <v>984</v>
      </c>
      <c r="B988" s="5">
        <v>41</v>
      </c>
      <c r="C988" s="5">
        <v>2</v>
      </c>
      <c r="D988" s="379">
        <v>44.326111111111103</v>
      </c>
      <c r="E988" s="25">
        <v>36.94</v>
      </c>
      <c r="F988" s="379">
        <v>21.953408567374485</v>
      </c>
      <c r="G988" s="25">
        <v>65.739999999999995</v>
      </c>
      <c r="H988" s="379">
        <v>23.159296831187216</v>
      </c>
      <c r="I988" s="25">
        <v>869.03</v>
      </c>
      <c r="J988" s="379">
        <v>9.1628882728921237</v>
      </c>
    </row>
    <row r="989" spans="1:10" x14ac:dyDescent="0.35">
      <c r="A989" s="5">
        <v>985</v>
      </c>
      <c r="B989" s="5">
        <v>42</v>
      </c>
      <c r="C989" s="5">
        <v>2</v>
      </c>
      <c r="D989" s="379">
        <v>48.953888888888891</v>
      </c>
      <c r="E989" s="25">
        <v>34.82</v>
      </c>
      <c r="F989" s="379">
        <v>18.336628297203028</v>
      </c>
      <c r="G989" s="25">
        <v>65.739999999999995</v>
      </c>
      <c r="H989" s="379">
        <v>24.047139510975409</v>
      </c>
      <c r="I989" s="25">
        <v>869.03</v>
      </c>
      <c r="J989" s="379">
        <v>9.0613041000787771</v>
      </c>
    </row>
    <row r="990" spans="1:10" x14ac:dyDescent="0.35">
      <c r="A990" s="5">
        <v>986</v>
      </c>
      <c r="B990" s="5">
        <v>42</v>
      </c>
      <c r="C990" s="5">
        <v>2</v>
      </c>
      <c r="D990" s="379">
        <v>49.331111111111113</v>
      </c>
      <c r="E990" s="25">
        <v>32.47</v>
      </c>
      <c r="F990" s="379">
        <v>20.009826407000872</v>
      </c>
      <c r="G990" s="25">
        <v>62.12</v>
      </c>
      <c r="H990" s="379">
        <v>21.653649281057874</v>
      </c>
      <c r="I990" s="25">
        <v>869.03</v>
      </c>
      <c r="J990" s="379">
        <v>8.8435208097787505</v>
      </c>
    </row>
    <row r="991" spans="1:10" x14ac:dyDescent="0.35">
      <c r="A991" s="5">
        <v>987</v>
      </c>
      <c r="B991" s="5">
        <v>42</v>
      </c>
      <c r="C991" s="5">
        <v>2</v>
      </c>
      <c r="D991" s="379">
        <v>48.522777777777776</v>
      </c>
      <c r="E991" s="25">
        <v>30.61</v>
      </c>
      <c r="F991" s="379">
        <v>19.407198539863778</v>
      </c>
      <c r="G991" s="25">
        <v>62.12</v>
      </c>
      <c r="H991" s="379">
        <v>23.145280425717875</v>
      </c>
      <c r="I991" s="25">
        <v>860.34</v>
      </c>
      <c r="J991" s="379">
        <v>8.8737997214153435</v>
      </c>
    </row>
    <row r="992" spans="1:10" x14ac:dyDescent="0.35">
      <c r="A992" s="5">
        <v>988</v>
      </c>
      <c r="B992" s="5">
        <v>42</v>
      </c>
      <c r="C992" s="5">
        <v>2</v>
      </c>
      <c r="D992" s="379">
        <v>47.853333333333332</v>
      </c>
      <c r="E992" s="25">
        <v>30.61</v>
      </c>
      <c r="F992" s="379">
        <v>19.867396650653564</v>
      </c>
      <c r="G992" s="25">
        <v>62.12</v>
      </c>
      <c r="H992" s="379">
        <v>23.871572342388827</v>
      </c>
      <c r="I992" s="25">
        <v>860.34</v>
      </c>
      <c r="J992" s="379">
        <v>8.8725823471300895</v>
      </c>
    </row>
    <row r="993" spans="1:10" x14ac:dyDescent="0.35">
      <c r="A993" s="5">
        <v>989</v>
      </c>
      <c r="B993" s="5">
        <v>42</v>
      </c>
      <c r="C993" s="5">
        <v>2</v>
      </c>
      <c r="D993" s="379">
        <v>51.239444444444459</v>
      </c>
      <c r="E993" s="25">
        <v>30.61</v>
      </c>
      <c r="F993" s="379">
        <v>20.105003991569866</v>
      </c>
      <c r="G993" s="25">
        <v>62.33</v>
      </c>
      <c r="H993" s="379">
        <v>21.441752932348145</v>
      </c>
      <c r="I993" s="25">
        <v>860.34</v>
      </c>
      <c r="J993" s="379">
        <v>8.8461965032030676</v>
      </c>
    </row>
    <row r="994" spans="1:10" x14ac:dyDescent="0.35">
      <c r="A994" s="5">
        <v>990</v>
      </c>
      <c r="B994" s="5">
        <v>42</v>
      </c>
      <c r="C994" s="5">
        <v>2</v>
      </c>
      <c r="D994" s="379">
        <v>52.809444444444445</v>
      </c>
      <c r="E994" s="25">
        <v>32.47</v>
      </c>
      <c r="F994" s="379">
        <v>22.201506296368237</v>
      </c>
      <c r="G994" s="25">
        <v>65.739999999999995</v>
      </c>
      <c r="H994" s="379">
        <v>23.68267228300526</v>
      </c>
      <c r="I994" s="25">
        <v>869.03</v>
      </c>
      <c r="J994" s="379">
        <v>8.8672668789032247</v>
      </c>
    </row>
    <row r="995" spans="1:10" x14ac:dyDescent="0.35">
      <c r="A995" s="5">
        <v>991</v>
      </c>
      <c r="B995" s="5">
        <v>42</v>
      </c>
      <c r="C995" s="5">
        <v>2</v>
      </c>
      <c r="D995" s="379">
        <v>57.387222222222213</v>
      </c>
      <c r="E995" s="25">
        <v>32.79</v>
      </c>
      <c r="F995" s="379">
        <v>22.262901103299868</v>
      </c>
      <c r="G995" s="25">
        <v>77.53</v>
      </c>
      <c r="H995" s="379">
        <v>22.538773744334296</v>
      </c>
      <c r="I995" s="25">
        <v>869.03</v>
      </c>
      <c r="J995" s="379">
        <v>8.8683382053593611</v>
      </c>
    </row>
    <row r="996" spans="1:10" x14ac:dyDescent="0.35">
      <c r="A996" s="5">
        <v>992</v>
      </c>
      <c r="B996" s="5">
        <v>42</v>
      </c>
      <c r="C996" s="5">
        <v>2</v>
      </c>
      <c r="D996" s="379">
        <v>62.409444444444453</v>
      </c>
      <c r="E996" s="25">
        <v>38.049999999999997</v>
      </c>
      <c r="F996" s="379">
        <v>22.312387687051555</v>
      </c>
      <c r="G996" s="25">
        <v>843.72</v>
      </c>
      <c r="H996" s="379">
        <v>23.58741274933309</v>
      </c>
      <c r="I996" s="25">
        <v>869.03</v>
      </c>
      <c r="J996" s="379">
        <v>8.740165547547905</v>
      </c>
    </row>
    <row r="997" spans="1:10" x14ac:dyDescent="0.35">
      <c r="A997" s="5">
        <v>993</v>
      </c>
      <c r="B997" s="5">
        <v>42</v>
      </c>
      <c r="C997" s="5">
        <v>2</v>
      </c>
      <c r="D997" s="379">
        <v>64.194999999999993</v>
      </c>
      <c r="E997" s="25">
        <v>38.200000000000003</v>
      </c>
      <c r="F997" s="379">
        <v>24.708619356350869</v>
      </c>
      <c r="G997" s="25">
        <v>869.03</v>
      </c>
      <c r="H997" s="379">
        <v>25.373464825124991</v>
      </c>
      <c r="I997" s="25">
        <v>869.03</v>
      </c>
      <c r="J997" s="379">
        <v>8.8578903518578542</v>
      </c>
    </row>
    <row r="998" spans="1:10" x14ac:dyDescent="0.35">
      <c r="A998" s="5">
        <v>994</v>
      </c>
      <c r="B998" s="5">
        <v>42</v>
      </c>
      <c r="C998" s="5">
        <v>2</v>
      </c>
      <c r="D998" s="379">
        <v>60.198333333333331</v>
      </c>
      <c r="E998" s="25">
        <v>38.200000000000003</v>
      </c>
      <c r="F998" s="379">
        <v>24.708619356350869</v>
      </c>
      <c r="G998" s="25">
        <v>869.03</v>
      </c>
      <c r="H998" s="379">
        <v>29.060032292679782</v>
      </c>
      <c r="I998" s="25">
        <v>869.03</v>
      </c>
      <c r="J998" s="379">
        <v>9.1461158765673503</v>
      </c>
    </row>
    <row r="999" spans="1:10" x14ac:dyDescent="0.35">
      <c r="A999" s="5">
        <v>995</v>
      </c>
      <c r="B999" s="5">
        <v>42</v>
      </c>
      <c r="C999" s="5">
        <v>2</v>
      </c>
      <c r="D999" s="379">
        <v>54.754999999999995</v>
      </c>
      <c r="E999" s="25">
        <v>38.200000000000003</v>
      </c>
      <c r="F999" s="379">
        <v>21.982099996519011</v>
      </c>
      <c r="G999" s="25">
        <v>869.03</v>
      </c>
      <c r="H999" s="379">
        <v>28.199502559153348</v>
      </c>
      <c r="I999" s="25">
        <v>869.03</v>
      </c>
      <c r="J999" s="379">
        <v>7.7848095234627914</v>
      </c>
    </row>
    <row r="1000" spans="1:10" x14ac:dyDescent="0.35">
      <c r="A1000" s="5">
        <v>996</v>
      </c>
      <c r="B1000" s="5">
        <v>42</v>
      </c>
      <c r="C1000" s="5">
        <v>2</v>
      </c>
      <c r="D1000" s="379">
        <v>52.273888888888884</v>
      </c>
      <c r="E1000" s="25">
        <v>37.090000000000003</v>
      </c>
      <c r="F1000" s="379">
        <v>18.767367619072793</v>
      </c>
      <c r="G1000" s="25">
        <v>869.03</v>
      </c>
      <c r="H1000" s="379">
        <v>27.529841872743013</v>
      </c>
      <c r="I1000" s="25">
        <v>869.03</v>
      </c>
      <c r="J1000" s="379">
        <v>7.7418507030746238</v>
      </c>
    </row>
    <row r="1001" spans="1:10" x14ac:dyDescent="0.35">
      <c r="A1001" s="5">
        <v>997</v>
      </c>
      <c r="B1001" s="5">
        <v>42</v>
      </c>
      <c r="C1001" s="5">
        <v>2</v>
      </c>
      <c r="D1001" s="379">
        <v>50.471666666666678</v>
      </c>
      <c r="E1001" s="25">
        <v>36.94</v>
      </c>
      <c r="F1001" s="379">
        <v>14.432577043265116</v>
      </c>
      <c r="G1001" s="25">
        <v>843.72</v>
      </c>
      <c r="H1001" s="379">
        <v>27.810772412364823</v>
      </c>
      <c r="I1001" s="25">
        <v>869.03</v>
      </c>
      <c r="J1001" s="379">
        <v>7.1512694717121272</v>
      </c>
    </row>
    <row r="1002" spans="1:10" x14ac:dyDescent="0.35">
      <c r="A1002" s="5">
        <v>998</v>
      </c>
      <c r="B1002" s="5">
        <v>42</v>
      </c>
      <c r="C1002" s="5">
        <v>2</v>
      </c>
      <c r="D1002" s="379">
        <v>49.668888888888887</v>
      </c>
      <c r="E1002" s="25">
        <v>36.94</v>
      </c>
      <c r="F1002" s="379">
        <v>13.442200899617102</v>
      </c>
      <c r="G1002" s="25">
        <v>843.72</v>
      </c>
      <c r="H1002" s="379">
        <v>27.492403681237249</v>
      </c>
      <c r="I1002" s="25">
        <v>860.34</v>
      </c>
      <c r="J1002" s="379">
        <v>5.7181384146279397</v>
      </c>
    </row>
    <row r="1003" spans="1:10" x14ac:dyDescent="0.35">
      <c r="A1003" s="5">
        <v>999</v>
      </c>
      <c r="B1003" s="5">
        <v>42</v>
      </c>
      <c r="C1003" s="5">
        <v>2</v>
      </c>
      <c r="D1003" s="379">
        <v>49.521666666666661</v>
      </c>
      <c r="E1003" s="25">
        <v>36.94</v>
      </c>
      <c r="F1003" s="379">
        <v>13.526222954082519</v>
      </c>
      <c r="G1003" s="25">
        <v>840.19</v>
      </c>
      <c r="H1003" s="379">
        <v>27.506800004875195</v>
      </c>
      <c r="I1003" s="25">
        <v>843.72</v>
      </c>
      <c r="J1003" s="379">
        <v>6.9825159731459676</v>
      </c>
    </row>
    <row r="1004" spans="1:10" x14ac:dyDescent="0.35">
      <c r="A1004" s="5">
        <v>1000</v>
      </c>
      <c r="B1004" s="5">
        <v>42</v>
      </c>
      <c r="C1004" s="5">
        <v>2</v>
      </c>
      <c r="D1004" s="379">
        <v>50.38388888888889</v>
      </c>
      <c r="E1004" s="25">
        <v>37.090000000000003</v>
      </c>
      <c r="F1004" s="379">
        <v>17.595613775035815</v>
      </c>
      <c r="G1004" s="25">
        <v>840.19</v>
      </c>
      <c r="H1004" s="379">
        <v>28.212056920940235</v>
      </c>
      <c r="I1004" s="25">
        <v>869.03</v>
      </c>
      <c r="J1004" s="379">
        <v>7.5730869685643274</v>
      </c>
    </row>
    <row r="1005" spans="1:10" x14ac:dyDescent="0.35">
      <c r="A1005" s="5">
        <v>1001</v>
      </c>
      <c r="B1005" s="5">
        <v>42</v>
      </c>
      <c r="C1005" s="5">
        <v>2</v>
      </c>
      <c r="D1005" s="379">
        <v>52.984444444444442</v>
      </c>
      <c r="E1005" s="25">
        <v>37.090000000000003</v>
      </c>
      <c r="F1005" s="379">
        <v>18.95767947415138</v>
      </c>
      <c r="G1005" s="25">
        <v>843.72</v>
      </c>
      <c r="H1005" s="379">
        <v>28.410875228311291</v>
      </c>
      <c r="I1005" s="25">
        <v>869.03</v>
      </c>
      <c r="J1005" s="379">
        <v>7.6318036312604631</v>
      </c>
    </row>
    <row r="1006" spans="1:10" x14ac:dyDescent="0.35">
      <c r="A1006" s="5">
        <v>1002</v>
      </c>
      <c r="B1006" s="5">
        <v>42</v>
      </c>
      <c r="C1006" s="5">
        <v>2</v>
      </c>
      <c r="D1006" s="379">
        <v>60.837777777777774</v>
      </c>
      <c r="E1006" s="25">
        <v>38.200000000000003</v>
      </c>
      <c r="F1006" s="379">
        <v>28.49926500501736</v>
      </c>
      <c r="G1006" s="25">
        <v>869.03</v>
      </c>
      <c r="H1006" s="379">
        <v>138.88888888888889</v>
      </c>
      <c r="I1006" s="25">
        <v>869.03</v>
      </c>
      <c r="J1006" s="379">
        <v>16.490103622849848</v>
      </c>
    </row>
    <row r="1007" spans="1:10" x14ac:dyDescent="0.35">
      <c r="A1007" s="5">
        <v>1003</v>
      </c>
      <c r="B1007" s="5">
        <v>42</v>
      </c>
      <c r="C1007" s="5">
        <v>2</v>
      </c>
      <c r="D1007" s="379">
        <v>62.799444444444433</v>
      </c>
      <c r="E1007" s="25">
        <v>869.03</v>
      </c>
      <c r="F1007" s="379">
        <v>27.504405129646621</v>
      </c>
      <c r="G1007" s="25">
        <v>869.03</v>
      </c>
      <c r="H1007" s="379">
        <v>138.88888888888889</v>
      </c>
      <c r="I1007" s="25">
        <v>869.03</v>
      </c>
      <c r="J1007" s="379">
        <v>15.974698515222252</v>
      </c>
    </row>
    <row r="1008" spans="1:10" x14ac:dyDescent="0.35">
      <c r="A1008" s="5">
        <v>1004</v>
      </c>
      <c r="B1008" s="5">
        <v>42</v>
      </c>
      <c r="C1008" s="5">
        <v>2</v>
      </c>
      <c r="D1008" s="379">
        <v>61.30555555555555</v>
      </c>
      <c r="E1008" s="25">
        <v>843.72</v>
      </c>
      <c r="F1008" s="379">
        <v>27.985986035159161</v>
      </c>
      <c r="G1008" s="25">
        <v>869.03</v>
      </c>
      <c r="H1008" s="379">
        <v>138.88888888888889</v>
      </c>
      <c r="I1008" s="25">
        <v>869.03</v>
      </c>
      <c r="J1008" s="379">
        <v>16.43054974552793</v>
      </c>
    </row>
    <row r="1009" spans="1:10" x14ac:dyDescent="0.35">
      <c r="A1009" s="5">
        <v>1005</v>
      </c>
      <c r="B1009" s="5">
        <v>42</v>
      </c>
      <c r="C1009" s="5">
        <v>2</v>
      </c>
      <c r="D1009" s="379">
        <v>57.263888888888886</v>
      </c>
      <c r="E1009" s="25">
        <v>38.200000000000003</v>
      </c>
      <c r="F1009" s="379">
        <v>27.886152032972753</v>
      </c>
      <c r="G1009" s="25">
        <v>869.03</v>
      </c>
      <c r="H1009" s="379">
        <v>138.88888888888889</v>
      </c>
      <c r="I1009" s="25">
        <v>869.03</v>
      </c>
      <c r="J1009" s="379">
        <v>16.521061092224453</v>
      </c>
    </row>
    <row r="1010" spans="1:10" x14ac:dyDescent="0.35">
      <c r="A1010" s="5">
        <v>1006</v>
      </c>
      <c r="B1010" s="5">
        <v>42</v>
      </c>
      <c r="C1010" s="5">
        <v>2</v>
      </c>
      <c r="D1010" s="379">
        <v>56.503888888888881</v>
      </c>
      <c r="E1010" s="25">
        <v>38.200000000000003</v>
      </c>
      <c r="F1010" s="379">
        <v>26.726082598062284</v>
      </c>
      <c r="G1010" s="25">
        <v>843.72</v>
      </c>
      <c r="H1010" s="379">
        <v>138.88888888888889</v>
      </c>
      <c r="I1010" s="25">
        <v>869.03</v>
      </c>
      <c r="J1010" s="379">
        <v>16.259396868625142</v>
      </c>
    </row>
    <row r="1011" spans="1:10" x14ac:dyDescent="0.35">
      <c r="A1011" s="5">
        <v>1007</v>
      </c>
      <c r="B1011" s="5">
        <v>42</v>
      </c>
      <c r="C1011" s="5">
        <v>2</v>
      </c>
      <c r="D1011" s="379">
        <v>54.556111111111107</v>
      </c>
      <c r="E1011" s="25">
        <v>36.94</v>
      </c>
      <c r="F1011" s="379">
        <v>22.359059499089387</v>
      </c>
      <c r="G1011" s="25">
        <v>840.19</v>
      </c>
      <c r="H1011" s="379">
        <v>138.88888888888889</v>
      </c>
      <c r="I1011" s="25">
        <v>869.03</v>
      </c>
      <c r="J1011" s="379">
        <v>16.284452714325017</v>
      </c>
    </row>
    <row r="1012" spans="1:10" x14ac:dyDescent="0.35">
      <c r="A1012" s="5">
        <v>1008</v>
      </c>
      <c r="B1012" s="5">
        <v>42</v>
      </c>
      <c r="C1012" s="5">
        <v>2</v>
      </c>
      <c r="D1012" s="379">
        <v>53.396111111111111</v>
      </c>
      <c r="E1012" s="25">
        <v>36.94</v>
      </c>
      <c r="F1012" s="379">
        <v>22.08440537373356</v>
      </c>
      <c r="G1012" s="25">
        <v>738.68</v>
      </c>
      <c r="H1012" s="379">
        <v>138.88888888888889</v>
      </c>
      <c r="I1012" s="25">
        <v>869.03</v>
      </c>
      <c r="J1012" s="379">
        <v>16.28318913069819</v>
      </c>
    </row>
    <row r="1013" spans="1:10" x14ac:dyDescent="0.35">
      <c r="A1013" s="5">
        <v>1009</v>
      </c>
      <c r="B1013" s="5">
        <v>43</v>
      </c>
      <c r="C1013" s="5">
        <v>2</v>
      </c>
      <c r="D1013" s="379">
        <v>52.954444444444434</v>
      </c>
      <c r="E1013" s="25">
        <v>34.82</v>
      </c>
      <c r="F1013" s="379">
        <v>22.123142810014571</v>
      </c>
      <c r="G1013" s="25">
        <v>65.739999999999995</v>
      </c>
      <c r="H1013" s="379">
        <v>138.88888888888889</v>
      </c>
      <c r="I1013" s="25">
        <v>869.03</v>
      </c>
      <c r="J1013" s="379">
        <v>16.178825306995346</v>
      </c>
    </row>
    <row r="1014" spans="1:10" x14ac:dyDescent="0.35">
      <c r="A1014" s="5">
        <v>1010</v>
      </c>
      <c r="B1014" s="5">
        <v>43</v>
      </c>
      <c r="C1014" s="5">
        <v>2</v>
      </c>
      <c r="D1014" s="379">
        <v>49.48</v>
      </c>
      <c r="E1014" s="25">
        <v>32.47</v>
      </c>
      <c r="F1014" s="379">
        <v>21.965453521506664</v>
      </c>
      <c r="G1014" s="25">
        <v>64.2</v>
      </c>
      <c r="H1014" s="379">
        <v>138.88888888888889</v>
      </c>
      <c r="I1014" s="25">
        <v>869.03</v>
      </c>
      <c r="J1014" s="379">
        <v>16.122551031081905</v>
      </c>
    </row>
    <row r="1015" spans="1:10" x14ac:dyDescent="0.35">
      <c r="A1015" s="5">
        <v>1011</v>
      </c>
      <c r="B1015" s="5">
        <v>43</v>
      </c>
      <c r="C1015" s="5">
        <v>2</v>
      </c>
      <c r="D1015" s="379">
        <v>46.543888888888887</v>
      </c>
      <c r="E1015" s="25">
        <v>30.61</v>
      </c>
      <c r="F1015" s="379">
        <v>21.965453521506664</v>
      </c>
      <c r="G1015" s="25">
        <v>63.98</v>
      </c>
      <c r="H1015" s="379">
        <v>138.88888888888889</v>
      </c>
      <c r="I1015" s="25">
        <v>869.03</v>
      </c>
      <c r="J1015" s="379">
        <v>16.042292283727814</v>
      </c>
    </row>
    <row r="1016" spans="1:10" x14ac:dyDescent="0.35">
      <c r="A1016" s="5">
        <v>1012</v>
      </c>
      <c r="B1016" s="5">
        <v>43</v>
      </c>
      <c r="C1016" s="5">
        <v>2</v>
      </c>
      <c r="D1016" s="379">
        <v>45.525555555555556</v>
      </c>
      <c r="E1016" s="25">
        <v>30.61</v>
      </c>
      <c r="F1016" s="379">
        <v>21.965453521506664</v>
      </c>
      <c r="G1016" s="25">
        <v>62.33</v>
      </c>
      <c r="H1016" s="379">
        <v>138.88888888888889</v>
      </c>
      <c r="I1016" s="25">
        <v>860.34</v>
      </c>
      <c r="J1016" s="379">
        <v>16.197395162525822</v>
      </c>
    </row>
    <row r="1017" spans="1:10" x14ac:dyDescent="0.35">
      <c r="A1017" s="5">
        <v>1013</v>
      </c>
      <c r="B1017" s="5">
        <v>43</v>
      </c>
      <c r="C1017" s="5">
        <v>2</v>
      </c>
      <c r="D1017" s="379">
        <v>43.444999999999993</v>
      </c>
      <c r="E1017" s="25">
        <v>30.61</v>
      </c>
      <c r="F1017" s="379">
        <v>19.758248218179425</v>
      </c>
      <c r="G1017" s="25">
        <v>63.98</v>
      </c>
      <c r="H1017" s="379">
        <v>138.88888888888889</v>
      </c>
      <c r="I1017" s="25">
        <v>869.03</v>
      </c>
      <c r="J1017" s="379">
        <v>16.254550679459658</v>
      </c>
    </row>
    <row r="1018" spans="1:10" x14ac:dyDescent="0.35">
      <c r="A1018" s="5">
        <v>1014</v>
      </c>
      <c r="B1018" s="5">
        <v>43</v>
      </c>
      <c r="C1018" s="5">
        <v>2</v>
      </c>
      <c r="D1018" s="379">
        <v>42.853888888888896</v>
      </c>
      <c r="E1018" s="25">
        <v>32.47</v>
      </c>
      <c r="F1018" s="379">
        <v>22.953829726226054</v>
      </c>
      <c r="G1018" s="25">
        <v>65.739999999999995</v>
      </c>
      <c r="H1018" s="379">
        <v>138.88888888888889</v>
      </c>
      <c r="I1018" s="25">
        <v>869.03</v>
      </c>
      <c r="J1018" s="379">
        <v>15.856040993952185</v>
      </c>
    </row>
    <row r="1019" spans="1:10" x14ac:dyDescent="0.35">
      <c r="A1019" s="5">
        <v>1015</v>
      </c>
      <c r="B1019" s="5">
        <v>43</v>
      </c>
      <c r="C1019" s="5">
        <v>2</v>
      </c>
      <c r="D1019" s="379">
        <v>43.24111111111111</v>
      </c>
      <c r="E1019" s="25">
        <v>32.47</v>
      </c>
      <c r="F1019" s="379">
        <v>19.977296897361104</v>
      </c>
      <c r="G1019" s="25">
        <v>75.28</v>
      </c>
      <c r="H1019" s="379">
        <v>138.88888888888889</v>
      </c>
      <c r="I1019" s="25">
        <v>869.03</v>
      </c>
      <c r="J1019" s="379">
        <v>15.834930876105966</v>
      </c>
    </row>
    <row r="1020" spans="1:10" x14ac:dyDescent="0.35">
      <c r="A1020" s="5">
        <v>1016</v>
      </c>
      <c r="B1020" s="5">
        <v>43</v>
      </c>
      <c r="C1020" s="5">
        <v>2</v>
      </c>
      <c r="D1020" s="379">
        <v>45.961666666666673</v>
      </c>
      <c r="E1020" s="25">
        <v>38.049999999999997</v>
      </c>
      <c r="F1020" s="379">
        <v>24.251823354539638</v>
      </c>
      <c r="G1020" s="25">
        <v>843.72</v>
      </c>
      <c r="H1020" s="379">
        <v>138.88888888888889</v>
      </c>
      <c r="I1020" s="25">
        <v>869.03</v>
      </c>
      <c r="J1020" s="379">
        <v>15.998928840152127</v>
      </c>
    </row>
    <row r="1021" spans="1:10" x14ac:dyDescent="0.35">
      <c r="A1021" s="5">
        <v>1017</v>
      </c>
      <c r="B1021" s="5">
        <v>43</v>
      </c>
      <c r="C1021" s="5">
        <v>2</v>
      </c>
      <c r="D1021" s="379">
        <v>47.787777777777777</v>
      </c>
      <c r="E1021" s="25">
        <v>38.200000000000003</v>
      </c>
      <c r="F1021" s="379">
        <v>23.330884863153347</v>
      </c>
      <c r="G1021" s="25">
        <v>869.03</v>
      </c>
      <c r="H1021" s="379">
        <v>138.88888888888889</v>
      </c>
      <c r="I1021" s="25">
        <v>869.03</v>
      </c>
      <c r="J1021" s="379">
        <v>15.587005257812287</v>
      </c>
    </row>
    <row r="1022" spans="1:10" x14ac:dyDescent="0.35">
      <c r="A1022" s="5">
        <v>1018</v>
      </c>
      <c r="B1022" s="5">
        <v>43</v>
      </c>
      <c r="C1022" s="5">
        <v>2</v>
      </c>
      <c r="D1022" s="379">
        <v>47.857222222222219</v>
      </c>
      <c r="E1022" s="25">
        <v>38.200000000000003</v>
      </c>
      <c r="F1022" s="379">
        <v>30.49818174262823</v>
      </c>
      <c r="G1022" s="25">
        <v>843.72</v>
      </c>
      <c r="H1022" s="379">
        <v>138.88888888888889</v>
      </c>
      <c r="I1022" s="25">
        <v>869.03</v>
      </c>
      <c r="J1022" s="379">
        <v>16.481267944323015</v>
      </c>
    </row>
    <row r="1023" spans="1:10" x14ac:dyDescent="0.35">
      <c r="A1023" s="5">
        <v>1019</v>
      </c>
      <c r="B1023" s="5">
        <v>43</v>
      </c>
      <c r="C1023" s="5">
        <v>2</v>
      </c>
      <c r="D1023" s="379">
        <v>45.668888888888887</v>
      </c>
      <c r="E1023" s="25">
        <v>37.090000000000003</v>
      </c>
      <c r="F1023" s="379">
        <v>23.416625692361826</v>
      </c>
      <c r="G1023" s="25">
        <v>843.72</v>
      </c>
      <c r="H1023" s="379">
        <v>23.186254661785082</v>
      </c>
      <c r="I1023" s="25">
        <v>869.03</v>
      </c>
      <c r="J1023" s="379">
        <v>7.6687662603635198</v>
      </c>
    </row>
    <row r="1024" spans="1:10" x14ac:dyDescent="0.35">
      <c r="A1024" s="5">
        <v>1020</v>
      </c>
      <c r="B1024" s="5">
        <v>43</v>
      </c>
      <c r="C1024" s="5">
        <v>2</v>
      </c>
      <c r="D1024" s="379">
        <v>41.879444444444438</v>
      </c>
      <c r="E1024" s="25">
        <v>37.090000000000003</v>
      </c>
      <c r="F1024" s="379">
        <v>15.297905458636984</v>
      </c>
      <c r="G1024" s="25">
        <v>843.72</v>
      </c>
      <c r="H1024" s="379">
        <v>23.346840915848656</v>
      </c>
      <c r="I1024" s="25">
        <v>860.34</v>
      </c>
      <c r="J1024" s="379">
        <v>7.5775225966399038</v>
      </c>
    </row>
    <row r="1025" spans="1:10" x14ac:dyDescent="0.35">
      <c r="A1025" s="5">
        <v>1021</v>
      </c>
      <c r="B1025" s="5">
        <v>43</v>
      </c>
      <c r="C1025" s="5">
        <v>2</v>
      </c>
      <c r="D1025" s="379">
        <v>38.13111111111111</v>
      </c>
      <c r="E1025" s="25">
        <v>37.090000000000003</v>
      </c>
      <c r="F1025" s="379">
        <v>15.135539864097879</v>
      </c>
      <c r="G1025" s="25">
        <v>843.72</v>
      </c>
      <c r="H1025" s="379">
        <v>22.759393544941556</v>
      </c>
      <c r="I1025" s="25">
        <v>860.34</v>
      </c>
      <c r="J1025" s="379">
        <v>7.5730869685643274</v>
      </c>
    </row>
    <row r="1026" spans="1:10" x14ac:dyDescent="0.35">
      <c r="A1026" s="5">
        <v>1022</v>
      </c>
      <c r="B1026" s="5">
        <v>43</v>
      </c>
      <c r="C1026" s="5">
        <v>2</v>
      </c>
      <c r="D1026" s="379">
        <v>38.101111111111109</v>
      </c>
      <c r="E1026" s="25">
        <v>37.090000000000003</v>
      </c>
      <c r="F1026" s="379">
        <v>14.604611963529164</v>
      </c>
      <c r="G1026" s="25">
        <v>843.72</v>
      </c>
      <c r="H1026" s="379">
        <v>22.806932953317787</v>
      </c>
      <c r="I1026" s="25">
        <v>860.34</v>
      </c>
      <c r="J1026" s="379">
        <v>7.5730869685643274</v>
      </c>
    </row>
    <row r="1027" spans="1:10" x14ac:dyDescent="0.35">
      <c r="A1027" s="5">
        <v>1023</v>
      </c>
      <c r="B1027" s="5">
        <v>43</v>
      </c>
      <c r="C1027" s="5">
        <v>2</v>
      </c>
      <c r="D1027" s="379">
        <v>42.448888888888888</v>
      </c>
      <c r="E1027" s="25">
        <v>36.94</v>
      </c>
      <c r="F1027" s="379">
        <v>15.135539864097879</v>
      </c>
      <c r="G1027" s="25">
        <v>717.16</v>
      </c>
      <c r="H1027" s="379">
        <v>23.27492238365603</v>
      </c>
      <c r="I1027" s="25">
        <v>860.34</v>
      </c>
      <c r="J1027" s="379">
        <v>7.5775225966399038</v>
      </c>
    </row>
    <row r="1028" spans="1:10" x14ac:dyDescent="0.35">
      <c r="A1028" s="5">
        <v>1024</v>
      </c>
      <c r="B1028" s="5">
        <v>43</v>
      </c>
      <c r="C1028" s="5">
        <v>2</v>
      </c>
      <c r="D1028" s="379">
        <v>43.04</v>
      </c>
      <c r="E1028" s="25">
        <v>36.01</v>
      </c>
      <c r="F1028" s="379">
        <v>18.101884279983416</v>
      </c>
      <c r="G1028" s="25">
        <v>717.16</v>
      </c>
      <c r="H1028" s="379">
        <v>23.427191301714146</v>
      </c>
      <c r="I1028" s="25">
        <v>860.34</v>
      </c>
      <c r="J1028" s="379">
        <v>7.5888345749281605</v>
      </c>
    </row>
    <row r="1029" spans="1:10" x14ac:dyDescent="0.35">
      <c r="A1029" s="5">
        <v>1025</v>
      </c>
      <c r="B1029" s="5">
        <v>43</v>
      </c>
      <c r="C1029" s="5">
        <v>2</v>
      </c>
      <c r="D1029" s="379">
        <v>48.48277777777777</v>
      </c>
      <c r="E1029" s="25">
        <v>35.97</v>
      </c>
      <c r="F1029" s="379">
        <v>30.08267830083587</v>
      </c>
      <c r="G1029" s="25">
        <v>843.72</v>
      </c>
      <c r="H1029" s="379">
        <v>34.744259199867265</v>
      </c>
      <c r="I1029" s="25">
        <v>869.03</v>
      </c>
      <c r="J1029" s="379">
        <v>8.0099440264564841</v>
      </c>
    </row>
    <row r="1030" spans="1:10" x14ac:dyDescent="0.35">
      <c r="A1030" s="5">
        <v>1026</v>
      </c>
      <c r="B1030" s="5">
        <v>43</v>
      </c>
      <c r="C1030" s="5">
        <v>2</v>
      </c>
      <c r="D1030" s="379">
        <v>52.316111111111105</v>
      </c>
      <c r="E1030" s="25">
        <v>38.200000000000003</v>
      </c>
      <c r="F1030" s="379">
        <v>138.88888888888889</v>
      </c>
      <c r="G1030" s="25">
        <v>843.72</v>
      </c>
      <c r="H1030" s="379">
        <v>33.682149025148959</v>
      </c>
      <c r="I1030" s="25">
        <v>869.03</v>
      </c>
      <c r="J1030" s="379">
        <v>15.992141241447861</v>
      </c>
    </row>
    <row r="1031" spans="1:10" x14ac:dyDescent="0.35">
      <c r="A1031" s="5">
        <v>1027</v>
      </c>
      <c r="B1031" s="5">
        <v>43</v>
      </c>
      <c r="C1031" s="5">
        <v>2</v>
      </c>
      <c r="D1031" s="379">
        <v>52.716111111111104</v>
      </c>
      <c r="E1031" s="25">
        <v>39.51</v>
      </c>
      <c r="F1031" s="379">
        <v>138.88888888888889</v>
      </c>
      <c r="G1031" s="25">
        <v>869.03</v>
      </c>
      <c r="H1031" s="379">
        <v>34.515630346869258</v>
      </c>
      <c r="I1031" s="25">
        <v>869.03</v>
      </c>
      <c r="J1031" s="379">
        <v>16.179338944757482</v>
      </c>
    </row>
    <row r="1032" spans="1:10" x14ac:dyDescent="0.35">
      <c r="A1032" s="5">
        <v>1028</v>
      </c>
      <c r="B1032" s="5">
        <v>43</v>
      </c>
      <c r="C1032" s="5">
        <v>2</v>
      </c>
      <c r="D1032" s="379">
        <v>47.06722222222222</v>
      </c>
      <c r="E1032" s="25">
        <v>38.200000000000003</v>
      </c>
      <c r="F1032" s="379">
        <v>138.88888888888889</v>
      </c>
      <c r="G1032" s="25">
        <v>869.03</v>
      </c>
      <c r="H1032" s="379">
        <v>33.320196941269572</v>
      </c>
      <c r="I1032" s="25">
        <v>869.03</v>
      </c>
      <c r="J1032" s="379">
        <v>16.185139794421517</v>
      </c>
    </row>
    <row r="1033" spans="1:10" x14ac:dyDescent="0.35">
      <c r="A1033" s="5">
        <v>1029</v>
      </c>
      <c r="B1033" s="5">
        <v>43</v>
      </c>
      <c r="C1033" s="5">
        <v>2</v>
      </c>
      <c r="D1033" s="379">
        <v>47.529444444444444</v>
      </c>
      <c r="E1033" s="25">
        <v>37.74</v>
      </c>
      <c r="F1033" s="379">
        <v>138.88888888888889</v>
      </c>
      <c r="G1033" s="25">
        <v>843.72</v>
      </c>
      <c r="H1033" s="379">
        <v>34.251235312161739</v>
      </c>
      <c r="I1033" s="25">
        <v>869.03</v>
      </c>
      <c r="J1033" s="379">
        <v>17.394318041195334</v>
      </c>
    </row>
    <row r="1034" spans="1:10" x14ac:dyDescent="0.35">
      <c r="A1034" s="5">
        <v>1030</v>
      </c>
      <c r="B1034" s="5">
        <v>43</v>
      </c>
      <c r="C1034" s="5">
        <v>2</v>
      </c>
      <c r="D1034" s="379">
        <v>49.073333333333338</v>
      </c>
      <c r="E1034" s="25">
        <v>34.82</v>
      </c>
      <c r="F1034" s="379">
        <v>32.260612244324157</v>
      </c>
      <c r="G1034" s="25">
        <v>65.739999999999995</v>
      </c>
      <c r="H1034" s="379">
        <v>33.898598227717777</v>
      </c>
      <c r="I1034" s="25">
        <v>869.03</v>
      </c>
      <c r="J1034" s="379">
        <v>17.168478441534436</v>
      </c>
    </row>
    <row r="1035" spans="1:10" x14ac:dyDescent="0.35">
      <c r="A1035" s="5">
        <v>1031</v>
      </c>
      <c r="B1035" s="5">
        <v>43</v>
      </c>
      <c r="C1035" s="5">
        <v>2</v>
      </c>
      <c r="D1035" s="379">
        <v>47.176666666666662</v>
      </c>
      <c r="E1035" s="25">
        <v>34.82</v>
      </c>
      <c r="F1035" s="379">
        <v>25.477918518715413</v>
      </c>
      <c r="G1035" s="25">
        <v>65.739999999999995</v>
      </c>
      <c r="H1035" s="379">
        <v>30.975335539716671</v>
      </c>
      <c r="I1035" s="25">
        <v>869.03</v>
      </c>
      <c r="J1035" s="379">
        <v>14.734325042214055</v>
      </c>
    </row>
    <row r="1036" spans="1:10" x14ac:dyDescent="0.35">
      <c r="A1036" s="5">
        <v>1032</v>
      </c>
      <c r="B1036" s="5">
        <v>43</v>
      </c>
      <c r="C1036" s="5">
        <v>2</v>
      </c>
      <c r="D1036" s="379">
        <v>46.492777777777782</v>
      </c>
      <c r="E1036" s="25">
        <v>28.12</v>
      </c>
      <c r="F1036" s="379">
        <v>24.696293991550576</v>
      </c>
      <c r="G1036" s="25">
        <v>63.98</v>
      </c>
      <c r="H1036" s="379">
        <v>32.724383683379202</v>
      </c>
      <c r="I1036" s="25">
        <v>869.03</v>
      </c>
      <c r="J1036" s="379">
        <v>11.478681356112599</v>
      </c>
    </row>
    <row r="1037" spans="1:10" x14ac:dyDescent="0.35">
      <c r="A1037" s="5">
        <v>1033</v>
      </c>
      <c r="B1037" s="5">
        <v>44</v>
      </c>
      <c r="C1037" s="5">
        <v>2</v>
      </c>
      <c r="D1037" s="379">
        <v>47.648333333333341</v>
      </c>
      <c r="E1037" s="25">
        <v>25.74</v>
      </c>
      <c r="F1037" s="379">
        <v>16.085930640023115</v>
      </c>
      <c r="G1037" s="25">
        <v>55.88</v>
      </c>
      <c r="H1037" s="379">
        <v>24.475808588926043</v>
      </c>
      <c r="I1037" s="25">
        <v>152.25</v>
      </c>
      <c r="J1037" s="379">
        <v>12.063854942398564</v>
      </c>
    </row>
    <row r="1038" spans="1:10" x14ac:dyDescent="0.35">
      <c r="A1038" s="5">
        <v>1034</v>
      </c>
      <c r="B1038" s="5">
        <v>44</v>
      </c>
      <c r="C1038" s="5">
        <v>2</v>
      </c>
      <c r="D1038" s="379">
        <v>47.050555555555547</v>
      </c>
      <c r="E1038" s="25">
        <v>25.74</v>
      </c>
      <c r="F1038" s="379">
        <v>17.770329283969904</v>
      </c>
      <c r="G1038" s="25">
        <v>52.67</v>
      </c>
      <c r="H1038" s="379">
        <v>21.664127165114881</v>
      </c>
      <c r="I1038" s="25">
        <v>147.82</v>
      </c>
      <c r="J1038" s="379">
        <v>10.570366541936901</v>
      </c>
    </row>
    <row r="1039" spans="1:10" x14ac:dyDescent="0.35">
      <c r="A1039" s="5">
        <v>1035</v>
      </c>
      <c r="B1039" s="5">
        <v>44</v>
      </c>
      <c r="C1039" s="5">
        <v>2</v>
      </c>
      <c r="D1039" s="379">
        <v>42.36611111111111</v>
      </c>
      <c r="E1039" s="25">
        <v>24.99</v>
      </c>
      <c r="F1039" s="379">
        <v>18.60512432731614</v>
      </c>
      <c r="G1039" s="25">
        <v>47.85</v>
      </c>
      <c r="H1039" s="379">
        <v>21.484631706370877</v>
      </c>
      <c r="I1039" s="25">
        <v>72.19</v>
      </c>
      <c r="J1039" s="379">
        <v>9.5780611909035507</v>
      </c>
    </row>
    <row r="1040" spans="1:10" x14ac:dyDescent="0.35">
      <c r="A1040" s="5">
        <v>1036</v>
      </c>
      <c r="B1040" s="5">
        <v>44</v>
      </c>
      <c r="C1040" s="5">
        <v>2</v>
      </c>
      <c r="D1040" s="379">
        <v>42.296666666666667</v>
      </c>
      <c r="E1040" s="25">
        <v>24.84</v>
      </c>
      <c r="F1040" s="379">
        <v>17.355817724433201</v>
      </c>
      <c r="G1040" s="25">
        <v>45.19</v>
      </c>
      <c r="H1040" s="379">
        <v>21.970319994032451</v>
      </c>
      <c r="I1040" s="25">
        <v>66.06</v>
      </c>
      <c r="J1040" s="379">
        <v>9.577134393320458</v>
      </c>
    </row>
    <row r="1041" spans="1:10" x14ac:dyDescent="0.35">
      <c r="A1041" s="5">
        <v>1037</v>
      </c>
      <c r="B1041" s="5">
        <v>44</v>
      </c>
      <c r="C1041" s="5">
        <v>2</v>
      </c>
      <c r="D1041" s="379">
        <v>42.168333333333329</v>
      </c>
      <c r="E1041" s="25">
        <v>24.84</v>
      </c>
      <c r="F1041" s="379">
        <v>17.360988557187607</v>
      </c>
      <c r="G1041" s="25">
        <v>44.74</v>
      </c>
      <c r="H1041" s="379">
        <v>21.674371115148407</v>
      </c>
      <c r="I1041" s="25">
        <v>56.41</v>
      </c>
      <c r="J1041" s="379">
        <v>10.108640222805183</v>
      </c>
    </row>
    <row r="1042" spans="1:10" x14ac:dyDescent="0.35">
      <c r="A1042" s="5">
        <v>1038</v>
      </c>
      <c r="B1042" s="5">
        <v>44</v>
      </c>
      <c r="C1042" s="5">
        <v>2</v>
      </c>
      <c r="D1042" s="379">
        <v>41.031111111111116</v>
      </c>
      <c r="E1042" s="25">
        <v>24.84</v>
      </c>
      <c r="F1042" s="379">
        <v>17.655967994574731</v>
      </c>
      <c r="G1042" s="25">
        <v>44.29</v>
      </c>
      <c r="H1042" s="379">
        <v>21.882689492552345</v>
      </c>
      <c r="I1042" s="25">
        <v>56.41</v>
      </c>
      <c r="J1042" s="379">
        <v>9.9968638033138522</v>
      </c>
    </row>
    <row r="1043" spans="1:10" x14ac:dyDescent="0.35">
      <c r="A1043" s="5">
        <v>1039</v>
      </c>
      <c r="B1043" s="5">
        <v>44</v>
      </c>
      <c r="C1043" s="5">
        <v>2</v>
      </c>
      <c r="D1043" s="379">
        <v>42.429444444444449</v>
      </c>
      <c r="E1043" s="25">
        <v>24.84</v>
      </c>
      <c r="F1043" s="379">
        <v>17.930138449675486</v>
      </c>
      <c r="G1043" s="25">
        <v>44.74</v>
      </c>
      <c r="H1043" s="379">
        <v>21.808909574261726</v>
      </c>
      <c r="I1043" s="25">
        <v>53.71</v>
      </c>
      <c r="J1043" s="379">
        <v>9.3845826845151112</v>
      </c>
    </row>
    <row r="1044" spans="1:10" x14ac:dyDescent="0.35">
      <c r="A1044" s="5">
        <v>1040</v>
      </c>
      <c r="B1044" s="5">
        <v>44</v>
      </c>
      <c r="C1044" s="5">
        <v>2</v>
      </c>
      <c r="D1044" s="379">
        <v>45.176666666666669</v>
      </c>
      <c r="E1044" s="25">
        <v>24.99</v>
      </c>
      <c r="F1044" s="379">
        <v>18.594714082925297</v>
      </c>
      <c r="G1044" s="25">
        <v>44.93</v>
      </c>
      <c r="H1044" s="379">
        <v>20.58833037609649</v>
      </c>
      <c r="I1044" s="25">
        <v>62.27</v>
      </c>
      <c r="J1044" s="379">
        <v>9.3885097874397356</v>
      </c>
    </row>
    <row r="1045" spans="1:10" x14ac:dyDescent="0.35">
      <c r="A1045" s="5">
        <v>1041</v>
      </c>
      <c r="B1045" s="5">
        <v>44</v>
      </c>
      <c r="C1045" s="5">
        <v>2</v>
      </c>
      <c r="D1045" s="379">
        <v>44.324444444444438</v>
      </c>
      <c r="E1045" s="25">
        <v>24.99</v>
      </c>
      <c r="F1045" s="379">
        <v>18.661976566224617</v>
      </c>
      <c r="G1045" s="25">
        <v>45.57</v>
      </c>
      <c r="H1045" s="379">
        <v>22.089272940337334</v>
      </c>
      <c r="I1045" s="25">
        <v>63.19</v>
      </c>
      <c r="J1045" s="379">
        <v>4.9444610125723001</v>
      </c>
    </row>
    <row r="1046" spans="1:10" x14ac:dyDescent="0.35">
      <c r="A1046" s="5">
        <v>1042</v>
      </c>
      <c r="B1046" s="5">
        <v>44</v>
      </c>
      <c r="C1046" s="5">
        <v>2</v>
      </c>
      <c r="D1046" s="379">
        <v>36.117222222222217</v>
      </c>
      <c r="E1046" s="25">
        <v>24.99</v>
      </c>
      <c r="F1046" s="379">
        <v>9.6104537558360636</v>
      </c>
      <c r="G1046" s="25">
        <v>46.03</v>
      </c>
      <c r="H1046" s="379">
        <v>4.799693804694658</v>
      </c>
      <c r="I1046" s="25">
        <v>53.71</v>
      </c>
      <c r="J1046" s="379">
        <v>6.7713097825834367</v>
      </c>
    </row>
    <row r="1047" spans="1:10" x14ac:dyDescent="0.35">
      <c r="A1047" s="5">
        <v>1043</v>
      </c>
      <c r="B1047" s="5">
        <v>44</v>
      </c>
      <c r="C1047" s="5">
        <v>2</v>
      </c>
      <c r="D1047" s="379">
        <v>39.759444444444441</v>
      </c>
      <c r="E1047" s="25">
        <v>25.74</v>
      </c>
      <c r="F1047" s="379">
        <v>8.8616718023204726</v>
      </c>
      <c r="G1047" s="25">
        <v>46.03</v>
      </c>
      <c r="H1047" s="379">
        <v>7.3292723416920964</v>
      </c>
      <c r="I1047" s="25">
        <v>50.13</v>
      </c>
      <c r="J1047" s="379">
        <v>2.7516397133872741</v>
      </c>
    </row>
    <row r="1048" spans="1:10" x14ac:dyDescent="0.35">
      <c r="A1048" s="5">
        <v>1044</v>
      </c>
      <c r="B1048" s="5">
        <v>44</v>
      </c>
      <c r="C1048" s="5">
        <v>2</v>
      </c>
      <c r="D1048" s="379">
        <v>38.542777777777772</v>
      </c>
      <c r="E1048" s="25">
        <v>25.74</v>
      </c>
      <c r="F1048" s="379">
        <v>5.8057197603398141</v>
      </c>
      <c r="G1048" s="25">
        <v>46.03</v>
      </c>
      <c r="H1048" s="379">
        <v>5.3124763962214976</v>
      </c>
      <c r="I1048" s="25">
        <v>50.13</v>
      </c>
      <c r="J1048" s="379">
        <v>2.5078397960707184</v>
      </c>
    </row>
    <row r="1049" spans="1:10" x14ac:dyDescent="0.35">
      <c r="A1049" s="5">
        <v>1045</v>
      </c>
      <c r="B1049" s="5">
        <v>44</v>
      </c>
      <c r="C1049" s="5">
        <v>2</v>
      </c>
      <c r="D1049" s="379">
        <v>33.806666666666665</v>
      </c>
      <c r="E1049" s="25">
        <v>24.99</v>
      </c>
      <c r="F1049" s="379">
        <v>5.6466866446587289</v>
      </c>
      <c r="G1049" s="25">
        <v>45.19</v>
      </c>
      <c r="H1049" s="379">
        <v>5.3249964586145886</v>
      </c>
      <c r="I1049" s="25">
        <v>48.86</v>
      </c>
      <c r="J1049" s="379">
        <v>2.5226933721242033</v>
      </c>
    </row>
    <row r="1050" spans="1:10" x14ac:dyDescent="0.35">
      <c r="A1050" s="5">
        <v>1046</v>
      </c>
      <c r="B1050" s="5">
        <v>44</v>
      </c>
      <c r="C1050" s="5">
        <v>2</v>
      </c>
      <c r="D1050" s="379">
        <v>32.226111111111102</v>
      </c>
      <c r="E1050" s="25">
        <v>24.84</v>
      </c>
      <c r="F1050" s="379">
        <v>5.6466866446587289</v>
      </c>
      <c r="G1050" s="25">
        <v>44.74</v>
      </c>
      <c r="H1050" s="379">
        <v>5.3352904391922777</v>
      </c>
      <c r="I1050" s="25">
        <v>48.86</v>
      </c>
      <c r="J1050" s="379">
        <v>2.5226933721242033</v>
      </c>
    </row>
    <row r="1051" spans="1:10" x14ac:dyDescent="0.35">
      <c r="A1051" s="5">
        <v>1047</v>
      </c>
      <c r="B1051" s="5">
        <v>44</v>
      </c>
      <c r="C1051" s="5">
        <v>2</v>
      </c>
      <c r="D1051" s="379">
        <v>34.782777777777774</v>
      </c>
      <c r="E1051" s="25">
        <v>24.84</v>
      </c>
      <c r="F1051" s="379">
        <v>5.5540905195879979</v>
      </c>
      <c r="G1051" s="25">
        <v>44.69</v>
      </c>
      <c r="H1051" s="379">
        <v>5.3352904391922777</v>
      </c>
      <c r="I1051" s="25">
        <v>48.86</v>
      </c>
      <c r="J1051" s="379">
        <v>2.5226933721242033</v>
      </c>
    </row>
    <row r="1052" spans="1:10" x14ac:dyDescent="0.35">
      <c r="A1052" s="5">
        <v>1048</v>
      </c>
      <c r="B1052" s="5">
        <v>44</v>
      </c>
      <c r="C1052" s="5">
        <v>2</v>
      </c>
      <c r="D1052" s="379">
        <v>38.501111111111108</v>
      </c>
      <c r="E1052" s="25">
        <v>24.84</v>
      </c>
      <c r="F1052" s="379">
        <v>8.1174834595959595</v>
      </c>
      <c r="G1052" s="25">
        <v>43.39</v>
      </c>
      <c r="H1052" s="379">
        <v>5.3352904391922777</v>
      </c>
      <c r="I1052" s="25">
        <v>48.86</v>
      </c>
      <c r="J1052" s="379">
        <v>2.5241362909408278</v>
      </c>
    </row>
    <row r="1053" spans="1:10" x14ac:dyDescent="0.35">
      <c r="A1053" s="5">
        <v>1049</v>
      </c>
      <c r="B1053" s="5">
        <v>44</v>
      </c>
      <c r="C1053" s="5">
        <v>2</v>
      </c>
      <c r="D1053" s="379">
        <v>40.873333333333335</v>
      </c>
      <c r="E1053" s="25">
        <v>24.99</v>
      </c>
      <c r="F1053" s="379">
        <v>9.6363295628469334</v>
      </c>
      <c r="G1053" s="25">
        <v>44.29</v>
      </c>
      <c r="H1053" s="379">
        <v>7.5616252451312649</v>
      </c>
      <c r="I1053" s="25">
        <v>50.13</v>
      </c>
      <c r="J1053" s="379">
        <v>2.3687904087659684</v>
      </c>
    </row>
    <row r="1054" spans="1:10" x14ac:dyDescent="0.35">
      <c r="A1054" s="5">
        <v>1050</v>
      </c>
      <c r="B1054" s="5">
        <v>44</v>
      </c>
      <c r="C1054" s="5">
        <v>2</v>
      </c>
      <c r="D1054" s="379">
        <v>46.699444444444445</v>
      </c>
      <c r="E1054" s="25">
        <v>25.74</v>
      </c>
      <c r="F1054" s="379">
        <v>21.051599464913838</v>
      </c>
      <c r="G1054" s="25">
        <v>44.74</v>
      </c>
      <c r="H1054" s="379">
        <v>10.535840026410739</v>
      </c>
      <c r="I1054" s="25">
        <v>50.95</v>
      </c>
      <c r="J1054" s="379">
        <v>5.9892084210871408</v>
      </c>
    </row>
    <row r="1055" spans="1:10" x14ac:dyDescent="0.35">
      <c r="A1055" s="5">
        <v>1051</v>
      </c>
      <c r="B1055" s="5">
        <v>44</v>
      </c>
      <c r="C1055" s="5">
        <v>2</v>
      </c>
      <c r="D1055" s="379">
        <v>47.836111111111101</v>
      </c>
      <c r="E1055" s="25">
        <v>25.74</v>
      </c>
      <c r="F1055" s="379">
        <v>20.055830045398398</v>
      </c>
      <c r="G1055" s="25">
        <v>47.5</v>
      </c>
      <c r="H1055" s="379">
        <v>10.838975222229333</v>
      </c>
      <c r="I1055" s="25">
        <v>57.49</v>
      </c>
      <c r="J1055" s="379">
        <v>5.9794717684415177</v>
      </c>
    </row>
    <row r="1056" spans="1:10" x14ac:dyDescent="0.35">
      <c r="A1056" s="5">
        <v>1052</v>
      </c>
      <c r="B1056" s="5">
        <v>44</v>
      </c>
      <c r="C1056" s="5">
        <v>2</v>
      </c>
      <c r="D1056" s="379">
        <v>43.31722222222222</v>
      </c>
      <c r="E1056" s="25">
        <v>25.74</v>
      </c>
      <c r="F1056" s="379">
        <v>20.947460879251885</v>
      </c>
      <c r="G1056" s="25">
        <v>47.85</v>
      </c>
      <c r="H1056" s="379">
        <v>10.2660892249593</v>
      </c>
      <c r="I1056" s="25">
        <v>57.33</v>
      </c>
      <c r="J1056" s="379">
        <v>5.653544636769734</v>
      </c>
    </row>
    <row r="1057" spans="1:10" x14ac:dyDescent="0.35">
      <c r="A1057" s="5">
        <v>1053</v>
      </c>
      <c r="B1057" s="5">
        <v>44</v>
      </c>
      <c r="C1057" s="5">
        <v>2</v>
      </c>
      <c r="D1057" s="379">
        <v>37.854444444444447</v>
      </c>
      <c r="E1057" s="25">
        <v>24.99</v>
      </c>
      <c r="F1057" s="379">
        <v>20.157047934436978</v>
      </c>
      <c r="G1057" s="25">
        <v>45.19</v>
      </c>
      <c r="H1057" s="379">
        <v>10.111606625112625</v>
      </c>
      <c r="I1057" s="25">
        <v>50.95</v>
      </c>
      <c r="J1057" s="379">
        <v>5.9349770061069833</v>
      </c>
    </row>
    <row r="1058" spans="1:10" x14ac:dyDescent="0.35">
      <c r="A1058" s="5">
        <v>1054</v>
      </c>
      <c r="B1058" s="5">
        <v>44</v>
      </c>
      <c r="C1058" s="5">
        <v>2</v>
      </c>
      <c r="D1058" s="379">
        <v>37.965000000000003</v>
      </c>
      <c r="E1058" s="25">
        <v>24.99</v>
      </c>
      <c r="F1058" s="379">
        <v>19.987154516478462</v>
      </c>
      <c r="G1058" s="25">
        <v>44.74</v>
      </c>
      <c r="H1058" s="379">
        <v>7.7518409357368299</v>
      </c>
      <c r="I1058" s="25">
        <v>50.13</v>
      </c>
      <c r="J1058" s="379">
        <v>4.8765324029137673</v>
      </c>
    </row>
    <row r="1059" spans="1:10" x14ac:dyDescent="0.35">
      <c r="A1059" s="5">
        <v>1055</v>
      </c>
      <c r="B1059" s="5">
        <v>44</v>
      </c>
      <c r="C1059" s="5">
        <v>2</v>
      </c>
      <c r="D1059" s="379">
        <v>36.221666666666664</v>
      </c>
      <c r="E1059" s="25">
        <v>24.99</v>
      </c>
      <c r="F1059" s="379">
        <v>17.555516008962595</v>
      </c>
      <c r="G1059" s="25">
        <v>44.93</v>
      </c>
      <c r="H1059" s="379">
        <v>8.5950586579780044</v>
      </c>
      <c r="I1059" s="25">
        <v>50.44</v>
      </c>
      <c r="J1059" s="379">
        <v>1.2905368930851511</v>
      </c>
    </row>
    <row r="1060" spans="1:10" x14ac:dyDescent="0.35">
      <c r="A1060" s="5">
        <v>1056</v>
      </c>
      <c r="B1060" s="5">
        <v>44</v>
      </c>
      <c r="C1060" s="5">
        <v>2</v>
      </c>
      <c r="D1060" s="379">
        <v>34.994999999999997</v>
      </c>
      <c r="E1060" s="25">
        <v>24.99</v>
      </c>
      <c r="F1060" s="379">
        <v>17.85836203098</v>
      </c>
      <c r="G1060" s="25">
        <v>44.74</v>
      </c>
      <c r="H1060" s="379">
        <v>8.9995195574751516</v>
      </c>
      <c r="I1060" s="25">
        <v>50.33</v>
      </c>
      <c r="J1060" s="379">
        <v>4.9109149251208155</v>
      </c>
    </row>
    <row r="1061" spans="1:10" x14ac:dyDescent="0.35">
      <c r="A1061" s="5">
        <v>1057</v>
      </c>
      <c r="B1061" s="5">
        <v>45</v>
      </c>
      <c r="C1061" s="5">
        <v>2</v>
      </c>
      <c r="D1061" s="379">
        <v>37.342222222222226</v>
      </c>
      <c r="E1061" s="25">
        <v>24.84</v>
      </c>
      <c r="F1061" s="379">
        <v>17.555516008962595</v>
      </c>
      <c r="G1061" s="25">
        <v>42.95</v>
      </c>
      <c r="H1061" s="379">
        <v>9.7590843784923305</v>
      </c>
      <c r="I1061" s="25">
        <v>48.86</v>
      </c>
      <c r="J1061" s="379">
        <v>3.5348414022739543</v>
      </c>
    </row>
    <row r="1062" spans="1:10" x14ac:dyDescent="0.35">
      <c r="A1062" s="5">
        <v>1058</v>
      </c>
      <c r="B1062" s="5">
        <v>45</v>
      </c>
      <c r="C1062" s="5">
        <v>2</v>
      </c>
      <c r="D1062" s="379">
        <v>34.143888888888888</v>
      </c>
      <c r="E1062" s="25">
        <v>24.84</v>
      </c>
      <c r="F1062" s="379">
        <v>17.735633697519752</v>
      </c>
      <c r="G1062" s="25">
        <v>42.95</v>
      </c>
      <c r="H1062" s="379">
        <v>8.5110699089735267</v>
      </c>
      <c r="I1062" s="25">
        <v>48.86</v>
      </c>
      <c r="J1062" s="379">
        <v>3.9107108425761656</v>
      </c>
    </row>
    <row r="1063" spans="1:10" x14ac:dyDescent="0.35">
      <c r="A1063" s="5">
        <v>1059</v>
      </c>
      <c r="B1063" s="5">
        <v>45</v>
      </c>
      <c r="C1063" s="5">
        <v>2</v>
      </c>
      <c r="D1063" s="379">
        <v>31.390555555555554</v>
      </c>
      <c r="E1063" s="25">
        <v>24.84</v>
      </c>
      <c r="F1063" s="379">
        <v>17.738923917236924</v>
      </c>
      <c r="G1063" s="25">
        <v>42.95</v>
      </c>
      <c r="H1063" s="379">
        <v>10.028577695033972</v>
      </c>
      <c r="I1063" s="25">
        <v>48.86</v>
      </c>
      <c r="J1063" s="379">
        <v>3.5054078791762699</v>
      </c>
    </row>
    <row r="1064" spans="1:10" x14ac:dyDescent="0.35">
      <c r="A1064" s="5">
        <v>1060</v>
      </c>
      <c r="B1064" s="5">
        <v>45</v>
      </c>
      <c r="C1064" s="5">
        <v>2</v>
      </c>
      <c r="D1064" s="379">
        <v>26.491111111111113</v>
      </c>
      <c r="E1064" s="25">
        <v>24.84</v>
      </c>
      <c r="F1064" s="379">
        <v>17.732661556580918</v>
      </c>
      <c r="G1064" s="25">
        <v>42.29</v>
      </c>
      <c r="H1064" s="379">
        <v>9.6463636162857185</v>
      </c>
      <c r="I1064" s="25">
        <v>48.86</v>
      </c>
      <c r="J1064" s="379">
        <v>5.3665349443933676</v>
      </c>
    </row>
    <row r="1065" spans="1:10" x14ac:dyDescent="0.35">
      <c r="A1065" s="5">
        <v>1061</v>
      </c>
      <c r="B1065" s="5">
        <v>45</v>
      </c>
      <c r="C1065" s="5">
        <v>2</v>
      </c>
      <c r="D1065" s="379">
        <v>30.900000000000002</v>
      </c>
      <c r="E1065" s="25">
        <v>24.84</v>
      </c>
      <c r="F1065" s="379">
        <v>18.846150793457209</v>
      </c>
      <c r="G1065" s="25">
        <v>42.29</v>
      </c>
      <c r="H1065" s="379">
        <v>10.295274464980977</v>
      </c>
      <c r="I1065" s="25">
        <v>48.86</v>
      </c>
      <c r="J1065" s="379">
        <v>5.4720957548112583</v>
      </c>
    </row>
    <row r="1066" spans="1:10" x14ac:dyDescent="0.35">
      <c r="A1066" s="5">
        <v>1062</v>
      </c>
      <c r="B1066" s="5">
        <v>45</v>
      </c>
      <c r="C1066" s="5">
        <v>2</v>
      </c>
      <c r="D1066" s="379">
        <v>37.018888888888888</v>
      </c>
      <c r="E1066" s="25">
        <v>24.84</v>
      </c>
      <c r="F1066" s="379">
        <v>23.080692967934123</v>
      </c>
      <c r="G1066" s="25">
        <v>42.29</v>
      </c>
      <c r="H1066" s="379">
        <v>8.0572752626397985</v>
      </c>
      <c r="I1066" s="25">
        <v>48.86</v>
      </c>
      <c r="J1066" s="379">
        <v>6.2557069817992268</v>
      </c>
    </row>
    <row r="1067" spans="1:10" x14ac:dyDescent="0.35">
      <c r="A1067" s="5">
        <v>1063</v>
      </c>
      <c r="B1067" s="5">
        <v>45</v>
      </c>
      <c r="C1067" s="5">
        <v>2</v>
      </c>
      <c r="D1067" s="379">
        <v>41.258888888888883</v>
      </c>
      <c r="E1067" s="25">
        <v>24.84</v>
      </c>
      <c r="F1067" s="379">
        <v>25.171319461535777</v>
      </c>
      <c r="G1067" s="25">
        <v>42.95</v>
      </c>
      <c r="H1067" s="379">
        <v>11.527081576685839</v>
      </c>
      <c r="I1067" s="25">
        <v>48.86</v>
      </c>
      <c r="J1067" s="379">
        <v>6.5658783469702673</v>
      </c>
    </row>
    <row r="1068" spans="1:10" x14ac:dyDescent="0.35">
      <c r="A1068" s="5">
        <v>1064</v>
      </c>
      <c r="B1068" s="5">
        <v>45</v>
      </c>
      <c r="C1068" s="5">
        <v>2</v>
      </c>
      <c r="D1068" s="379">
        <v>43.421111111111117</v>
      </c>
      <c r="E1068" s="25">
        <v>24.84</v>
      </c>
      <c r="F1068" s="379">
        <v>25.997238769862694</v>
      </c>
      <c r="G1068" s="25">
        <v>42.95</v>
      </c>
      <c r="H1068" s="379">
        <v>11.90604506743281</v>
      </c>
      <c r="I1068" s="25">
        <v>48.86</v>
      </c>
      <c r="J1068" s="379">
        <v>6.6762164331333711</v>
      </c>
    </row>
    <row r="1069" spans="1:10" x14ac:dyDescent="0.35">
      <c r="A1069" s="5">
        <v>1065</v>
      </c>
      <c r="B1069" s="5">
        <v>45</v>
      </c>
      <c r="C1069" s="5">
        <v>2</v>
      </c>
      <c r="D1069" s="379">
        <v>46.527777777777779</v>
      </c>
      <c r="E1069" s="25">
        <v>24.84</v>
      </c>
      <c r="F1069" s="379">
        <v>25.201941066811642</v>
      </c>
      <c r="G1069" s="25">
        <v>44.24</v>
      </c>
      <c r="H1069" s="379">
        <v>11.140411990200855</v>
      </c>
      <c r="I1069" s="25">
        <v>49.36</v>
      </c>
      <c r="J1069" s="379">
        <v>6.659527483798227</v>
      </c>
    </row>
    <row r="1070" spans="1:10" x14ac:dyDescent="0.35">
      <c r="A1070" s="5">
        <v>1066</v>
      </c>
      <c r="B1070" s="5">
        <v>45</v>
      </c>
      <c r="C1070" s="5">
        <v>2</v>
      </c>
      <c r="D1070" s="379">
        <v>42.806111111111115</v>
      </c>
      <c r="E1070" s="25">
        <v>24.99</v>
      </c>
      <c r="F1070" s="379">
        <v>24.923098463355537</v>
      </c>
      <c r="G1070" s="25">
        <v>44.69</v>
      </c>
      <c r="H1070" s="379">
        <v>6.3692492126235916</v>
      </c>
      <c r="I1070" s="25">
        <v>50.7</v>
      </c>
      <c r="J1070" s="379">
        <v>3.4865876750764793</v>
      </c>
    </row>
    <row r="1071" spans="1:10" x14ac:dyDescent="0.35">
      <c r="A1071" s="5">
        <v>1067</v>
      </c>
      <c r="B1071" s="5">
        <v>45</v>
      </c>
      <c r="C1071" s="5">
        <v>2</v>
      </c>
      <c r="D1071" s="379">
        <v>40.998333333333328</v>
      </c>
      <c r="E1071" s="25">
        <v>24.99</v>
      </c>
      <c r="F1071" s="379">
        <v>15.382648732098849</v>
      </c>
      <c r="G1071" s="25">
        <v>47.46</v>
      </c>
      <c r="H1071" s="379">
        <v>11.255582368764813</v>
      </c>
      <c r="I1071" s="25">
        <v>51.53</v>
      </c>
      <c r="J1071" s="379">
        <v>6.773266995337262</v>
      </c>
    </row>
    <row r="1072" spans="1:10" x14ac:dyDescent="0.35">
      <c r="A1072" s="5">
        <v>1068</v>
      </c>
      <c r="B1072" s="5">
        <v>45</v>
      </c>
      <c r="C1072" s="5">
        <v>2</v>
      </c>
      <c r="D1072" s="379">
        <v>40.766666666666673</v>
      </c>
      <c r="E1072" s="25">
        <v>25.29</v>
      </c>
      <c r="F1072" s="379">
        <v>13.127060463235287</v>
      </c>
      <c r="G1072" s="25">
        <v>47.85</v>
      </c>
      <c r="H1072" s="379">
        <v>11.283202850517547</v>
      </c>
      <c r="I1072" s="25">
        <v>51.64</v>
      </c>
      <c r="J1072" s="379">
        <v>6.3064705459586881</v>
      </c>
    </row>
    <row r="1073" spans="1:10" x14ac:dyDescent="0.35">
      <c r="A1073" s="5">
        <v>1069</v>
      </c>
      <c r="B1073" s="5">
        <v>45</v>
      </c>
      <c r="C1073" s="5">
        <v>2</v>
      </c>
      <c r="D1073" s="379">
        <v>35.769999999999996</v>
      </c>
      <c r="E1073" s="25">
        <v>25.59</v>
      </c>
      <c r="F1073" s="379">
        <v>12.292928844974719</v>
      </c>
      <c r="G1073" s="25">
        <v>47.85</v>
      </c>
      <c r="H1073" s="379">
        <v>11.320322499398106</v>
      </c>
      <c r="I1073" s="25">
        <v>53.27</v>
      </c>
      <c r="J1073" s="379">
        <v>6.3064705459586881</v>
      </c>
    </row>
    <row r="1074" spans="1:10" x14ac:dyDescent="0.35">
      <c r="A1074" s="5">
        <v>1070</v>
      </c>
      <c r="B1074" s="5">
        <v>45</v>
      </c>
      <c r="C1074" s="5">
        <v>2</v>
      </c>
      <c r="D1074" s="379">
        <v>39.267777777777773</v>
      </c>
      <c r="E1074" s="25">
        <v>25.29</v>
      </c>
      <c r="F1074" s="379">
        <v>16.389856896379317</v>
      </c>
      <c r="G1074" s="25">
        <v>47.85</v>
      </c>
      <c r="H1074" s="379">
        <v>11.390415899960127</v>
      </c>
      <c r="I1074" s="25">
        <v>53.32</v>
      </c>
      <c r="J1074" s="379">
        <v>6.778507759270024</v>
      </c>
    </row>
    <row r="1075" spans="1:10" x14ac:dyDescent="0.35">
      <c r="A1075" s="5">
        <v>1071</v>
      </c>
      <c r="B1075" s="5">
        <v>45</v>
      </c>
      <c r="C1075" s="5">
        <v>2</v>
      </c>
      <c r="D1075" s="379">
        <v>40.514999999999993</v>
      </c>
      <c r="E1075" s="25">
        <v>25.29</v>
      </c>
      <c r="F1075" s="379">
        <v>15.337589143601209</v>
      </c>
      <c r="G1075" s="25">
        <v>47.85</v>
      </c>
      <c r="H1075" s="379">
        <v>11.318550163717751</v>
      </c>
      <c r="I1075" s="25">
        <v>53.32</v>
      </c>
      <c r="J1075" s="379">
        <v>6.8219839799293158</v>
      </c>
    </row>
    <row r="1076" spans="1:10" x14ac:dyDescent="0.35">
      <c r="A1076" s="5">
        <v>1072</v>
      </c>
      <c r="B1076" s="5">
        <v>45</v>
      </c>
      <c r="C1076" s="5">
        <v>2</v>
      </c>
      <c r="D1076" s="379">
        <v>41.382777777777783</v>
      </c>
      <c r="E1076" s="25">
        <v>25.29</v>
      </c>
      <c r="F1076" s="379">
        <v>19.548185106543922</v>
      </c>
      <c r="G1076" s="25">
        <v>52.2</v>
      </c>
      <c r="H1076" s="379">
        <v>11.732476812037179</v>
      </c>
      <c r="I1076" s="25">
        <v>61.07</v>
      </c>
      <c r="J1076" s="379">
        <v>7.0504515531160123</v>
      </c>
    </row>
    <row r="1077" spans="1:10" x14ac:dyDescent="0.35">
      <c r="A1077" s="5">
        <v>1073</v>
      </c>
      <c r="B1077" s="5">
        <v>45</v>
      </c>
      <c r="C1077" s="5">
        <v>2</v>
      </c>
      <c r="D1077" s="379">
        <v>43.31388888888889</v>
      </c>
      <c r="E1077" s="25">
        <v>26.51</v>
      </c>
      <c r="F1077" s="379">
        <v>26.171862116955431</v>
      </c>
      <c r="G1077" s="25">
        <v>52.67</v>
      </c>
      <c r="H1077" s="379">
        <v>11.896160587053346</v>
      </c>
      <c r="I1077" s="25">
        <v>62.27</v>
      </c>
      <c r="J1077" s="379">
        <v>7.1693902725459662</v>
      </c>
    </row>
    <row r="1078" spans="1:10" x14ac:dyDescent="0.35">
      <c r="A1078" s="5">
        <v>1074</v>
      </c>
      <c r="B1078" s="5">
        <v>45</v>
      </c>
      <c r="C1078" s="5">
        <v>2</v>
      </c>
      <c r="D1078" s="379">
        <v>48.137777777777771</v>
      </c>
      <c r="E1078" s="25">
        <v>27.3</v>
      </c>
      <c r="F1078" s="379">
        <v>26.428672682011261</v>
      </c>
      <c r="G1078" s="25">
        <v>52.67</v>
      </c>
      <c r="H1078" s="379">
        <v>12.019226554425764</v>
      </c>
      <c r="I1078" s="25">
        <v>72.19</v>
      </c>
      <c r="J1078" s="379">
        <v>7.0909614370614724</v>
      </c>
    </row>
    <row r="1079" spans="1:10" x14ac:dyDescent="0.35">
      <c r="A1079" s="5">
        <v>1075</v>
      </c>
      <c r="B1079" s="5">
        <v>45</v>
      </c>
      <c r="C1079" s="5">
        <v>2</v>
      </c>
      <c r="D1079" s="379">
        <v>51.129444444444438</v>
      </c>
      <c r="E1079" s="25">
        <v>29.4</v>
      </c>
      <c r="F1079" s="379">
        <v>26.013051130460561</v>
      </c>
      <c r="G1079" s="25">
        <v>55.88</v>
      </c>
      <c r="H1079" s="379">
        <v>11.917988865569962</v>
      </c>
      <c r="I1079" s="25">
        <v>147.82</v>
      </c>
      <c r="J1079" s="379">
        <v>7.0909614370614724</v>
      </c>
    </row>
    <row r="1080" spans="1:10" x14ac:dyDescent="0.35">
      <c r="A1080" s="5">
        <v>1076</v>
      </c>
      <c r="B1080" s="5">
        <v>45</v>
      </c>
      <c r="C1080" s="5">
        <v>2</v>
      </c>
      <c r="D1080" s="379">
        <v>49.175000000000004</v>
      </c>
      <c r="E1080" s="25">
        <v>27.3</v>
      </c>
      <c r="F1080" s="379">
        <v>26.467319446829087</v>
      </c>
      <c r="G1080" s="25">
        <v>55.88</v>
      </c>
      <c r="H1080" s="379">
        <v>11.622707435098816</v>
      </c>
      <c r="I1080" s="25">
        <v>147.82</v>
      </c>
      <c r="J1080" s="379">
        <v>6.6762164331333711</v>
      </c>
    </row>
    <row r="1081" spans="1:10" x14ac:dyDescent="0.35">
      <c r="A1081" s="5">
        <v>1077</v>
      </c>
      <c r="B1081" s="5">
        <v>45</v>
      </c>
      <c r="C1081" s="5">
        <v>2</v>
      </c>
      <c r="D1081" s="379">
        <v>45.857222222222227</v>
      </c>
      <c r="E1081" s="25">
        <v>26.39</v>
      </c>
      <c r="F1081" s="379">
        <v>26.265500649761535</v>
      </c>
      <c r="G1081" s="25">
        <v>54.25</v>
      </c>
      <c r="H1081" s="379">
        <v>11.491835524094064</v>
      </c>
      <c r="I1081" s="25">
        <v>125.65</v>
      </c>
      <c r="J1081" s="379">
        <v>6.818125407173464</v>
      </c>
    </row>
    <row r="1082" spans="1:10" x14ac:dyDescent="0.35">
      <c r="A1082" s="5">
        <v>1078</v>
      </c>
      <c r="B1082" s="5">
        <v>45</v>
      </c>
      <c r="C1082" s="5">
        <v>2</v>
      </c>
      <c r="D1082" s="379">
        <v>45.978888888888889</v>
      </c>
      <c r="E1082" s="25">
        <v>25.74</v>
      </c>
      <c r="F1082" s="379">
        <v>26.102462813427699</v>
      </c>
      <c r="G1082" s="25">
        <v>49.28</v>
      </c>
      <c r="H1082" s="379">
        <v>9.9513260839222024</v>
      </c>
      <c r="I1082" s="25">
        <v>72.19</v>
      </c>
      <c r="J1082" s="379">
        <v>6.5610277870782872</v>
      </c>
    </row>
    <row r="1083" spans="1:10" x14ac:dyDescent="0.35">
      <c r="A1083" s="5">
        <v>1079</v>
      </c>
      <c r="B1083" s="5">
        <v>45</v>
      </c>
      <c r="C1083" s="5">
        <v>2</v>
      </c>
      <c r="D1083" s="379">
        <v>45.443888888888893</v>
      </c>
      <c r="E1083" s="25">
        <v>25.74</v>
      </c>
      <c r="F1083" s="379">
        <v>22.691150778485966</v>
      </c>
      <c r="G1083" s="25">
        <v>52.2</v>
      </c>
      <c r="H1083" s="379">
        <v>11.260928710057833</v>
      </c>
      <c r="I1083" s="25">
        <v>147.82</v>
      </c>
      <c r="J1083" s="379">
        <v>6.6170053592180311</v>
      </c>
    </row>
    <row r="1084" spans="1:10" x14ac:dyDescent="0.35">
      <c r="A1084" s="5">
        <v>1080</v>
      </c>
      <c r="B1084" s="5">
        <v>45</v>
      </c>
      <c r="C1084" s="5">
        <v>2</v>
      </c>
      <c r="D1084" s="379">
        <v>45.761111111111113</v>
      </c>
      <c r="E1084" s="25">
        <v>25.74</v>
      </c>
      <c r="F1084" s="379">
        <v>15.579199916528822</v>
      </c>
      <c r="G1084" s="25">
        <v>49.65</v>
      </c>
      <c r="H1084" s="379">
        <v>11.668271717104577</v>
      </c>
      <c r="I1084" s="25">
        <v>147.82</v>
      </c>
      <c r="J1084" s="379">
        <v>6.7858801403782874</v>
      </c>
    </row>
    <row r="1085" spans="1:10" x14ac:dyDescent="0.35">
      <c r="A1085" s="5">
        <v>1081</v>
      </c>
      <c r="B1085" s="5">
        <v>46</v>
      </c>
      <c r="C1085" s="5">
        <v>2</v>
      </c>
      <c r="D1085" s="379">
        <v>45.998333333333328</v>
      </c>
      <c r="E1085" s="25">
        <v>25.74</v>
      </c>
      <c r="F1085" s="379">
        <v>16.464342230977582</v>
      </c>
      <c r="G1085" s="25">
        <v>51.14</v>
      </c>
      <c r="H1085" s="379">
        <v>11.278587547686595</v>
      </c>
      <c r="I1085" s="25">
        <v>147.82</v>
      </c>
      <c r="J1085" s="379">
        <v>7.1442673873977984</v>
      </c>
    </row>
    <row r="1086" spans="1:10" x14ac:dyDescent="0.35">
      <c r="A1086" s="5">
        <v>1082</v>
      </c>
      <c r="B1086" s="5">
        <v>46</v>
      </c>
      <c r="C1086" s="5">
        <v>2</v>
      </c>
      <c r="D1086" s="379">
        <v>45.019999999999989</v>
      </c>
      <c r="E1086" s="25">
        <v>25.74</v>
      </c>
      <c r="F1086" s="379">
        <v>15.702127664251911</v>
      </c>
      <c r="G1086" s="25">
        <v>47.85</v>
      </c>
      <c r="H1086" s="379">
        <v>11.320332153169176</v>
      </c>
      <c r="I1086" s="25">
        <v>147.82</v>
      </c>
      <c r="J1086" s="379">
        <v>6.9211270590767686</v>
      </c>
    </row>
    <row r="1087" spans="1:10" x14ac:dyDescent="0.35">
      <c r="A1087" s="5">
        <v>1083</v>
      </c>
      <c r="B1087" s="5">
        <v>46</v>
      </c>
      <c r="C1087" s="5">
        <v>2</v>
      </c>
      <c r="D1087" s="379">
        <v>43.859444444444442</v>
      </c>
      <c r="E1087" s="25">
        <v>24.99</v>
      </c>
      <c r="F1087" s="379">
        <v>14.894335981596834</v>
      </c>
      <c r="G1087" s="25">
        <v>47.5</v>
      </c>
      <c r="H1087" s="379">
        <v>10.995454801915686</v>
      </c>
      <c r="I1087" s="25">
        <v>147.82</v>
      </c>
      <c r="J1087" s="379">
        <v>7.0582707145393027</v>
      </c>
    </row>
    <row r="1088" spans="1:10" x14ac:dyDescent="0.35">
      <c r="A1088" s="5">
        <v>1084</v>
      </c>
      <c r="B1088" s="5">
        <v>46</v>
      </c>
      <c r="C1088" s="5">
        <v>2</v>
      </c>
      <c r="D1088" s="379">
        <v>43.472222222222221</v>
      </c>
      <c r="E1088" s="25">
        <v>24.99</v>
      </c>
      <c r="F1088" s="379">
        <v>14.894335981596834</v>
      </c>
      <c r="G1088" s="25">
        <v>47.5</v>
      </c>
      <c r="H1088" s="379">
        <v>9.5207908512655077</v>
      </c>
      <c r="I1088" s="25">
        <v>125.65</v>
      </c>
      <c r="J1088" s="379">
        <v>6.78958392505929</v>
      </c>
    </row>
    <row r="1089" spans="1:10" x14ac:dyDescent="0.35">
      <c r="A1089" s="5">
        <v>1085</v>
      </c>
      <c r="B1089" s="5">
        <v>46</v>
      </c>
      <c r="C1089" s="5">
        <v>2</v>
      </c>
      <c r="D1089" s="379">
        <v>45.271111111111111</v>
      </c>
      <c r="E1089" s="25">
        <v>24.99</v>
      </c>
      <c r="F1089" s="379">
        <v>14.894335981596834</v>
      </c>
      <c r="G1089" s="25">
        <v>47.85</v>
      </c>
      <c r="H1089" s="379">
        <v>9.4345541391837671</v>
      </c>
      <c r="I1089" s="25">
        <v>147.82</v>
      </c>
      <c r="J1089" s="379">
        <v>6.9041631679975266</v>
      </c>
    </row>
    <row r="1090" spans="1:10" x14ac:dyDescent="0.35">
      <c r="A1090" s="5">
        <v>1086</v>
      </c>
      <c r="B1090" s="5">
        <v>46</v>
      </c>
      <c r="C1090" s="5">
        <v>2</v>
      </c>
      <c r="D1090" s="379">
        <v>46.731666666666669</v>
      </c>
      <c r="E1090" s="25">
        <v>25.74</v>
      </c>
      <c r="F1090" s="379">
        <v>14.383248354439951</v>
      </c>
      <c r="G1090" s="25">
        <v>52.67</v>
      </c>
      <c r="H1090" s="379">
        <v>9.1123198383823443</v>
      </c>
      <c r="I1090" s="25">
        <v>623.48</v>
      </c>
      <c r="J1090" s="379">
        <v>6.7454926591175592</v>
      </c>
    </row>
    <row r="1091" spans="1:10" x14ac:dyDescent="0.35">
      <c r="A1091" s="5">
        <v>1087</v>
      </c>
      <c r="B1091" s="5">
        <v>46</v>
      </c>
      <c r="C1091" s="5">
        <v>2</v>
      </c>
      <c r="D1091" s="379">
        <v>50.685000000000009</v>
      </c>
      <c r="E1091" s="25">
        <v>26.51</v>
      </c>
      <c r="F1091" s="379">
        <v>14.586612847590688</v>
      </c>
      <c r="G1091" s="25">
        <v>62.12</v>
      </c>
      <c r="H1091" s="379">
        <v>9.5729921092950292</v>
      </c>
      <c r="I1091" s="25">
        <v>843.72</v>
      </c>
      <c r="J1091" s="379">
        <v>6.5739061295059926</v>
      </c>
    </row>
    <row r="1092" spans="1:10" x14ac:dyDescent="0.35">
      <c r="A1092" s="5">
        <v>1088</v>
      </c>
      <c r="B1092" s="5">
        <v>46</v>
      </c>
      <c r="C1092" s="5">
        <v>2</v>
      </c>
      <c r="D1092" s="379">
        <v>53.850555555555559</v>
      </c>
      <c r="E1092" s="25">
        <v>36.01</v>
      </c>
      <c r="F1092" s="379">
        <v>14.352888991877535</v>
      </c>
      <c r="G1092" s="25">
        <v>65.739999999999995</v>
      </c>
      <c r="H1092" s="379">
        <v>9.972488034405357</v>
      </c>
      <c r="I1092" s="25">
        <v>843.72</v>
      </c>
      <c r="J1092" s="379">
        <v>6.8316620402743355</v>
      </c>
    </row>
    <row r="1093" spans="1:10" x14ac:dyDescent="0.35">
      <c r="A1093" s="5">
        <v>1089</v>
      </c>
      <c r="B1093" s="5">
        <v>46</v>
      </c>
      <c r="C1093" s="5">
        <v>2</v>
      </c>
      <c r="D1093" s="379">
        <v>56.539999999999992</v>
      </c>
      <c r="E1093" s="25">
        <v>36.94</v>
      </c>
      <c r="F1093" s="379">
        <v>11.470216670260868</v>
      </c>
      <c r="G1093" s="25">
        <v>67.709999999999994</v>
      </c>
      <c r="H1093" s="379">
        <v>7.1571154595236051</v>
      </c>
      <c r="I1093" s="25">
        <v>843.72</v>
      </c>
      <c r="J1093" s="379">
        <v>6.7548967214519813</v>
      </c>
    </row>
    <row r="1094" spans="1:10" x14ac:dyDescent="0.35">
      <c r="A1094" s="5">
        <v>1090</v>
      </c>
      <c r="B1094" s="5">
        <v>46</v>
      </c>
      <c r="C1094" s="5">
        <v>2</v>
      </c>
      <c r="D1094" s="379">
        <v>55.464444444444439</v>
      </c>
      <c r="E1094" s="25">
        <v>36.94</v>
      </c>
      <c r="F1094" s="379">
        <v>9.1405970872127131</v>
      </c>
      <c r="G1094" s="25">
        <v>67.709999999999994</v>
      </c>
      <c r="H1094" s="379">
        <v>7.6898134029993885</v>
      </c>
      <c r="I1094" s="25">
        <v>843.72</v>
      </c>
      <c r="J1094" s="379">
        <v>6.6552935489254637</v>
      </c>
    </row>
    <row r="1095" spans="1:10" x14ac:dyDescent="0.35">
      <c r="A1095" s="5">
        <v>1091</v>
      </c>
      <c r="B1095" s="5">
        <v>46</v>
      </c>
      <c r="C1095" s="5">
        <v>2</v>
      </c>
      <c r="D1095" s="379">
        <v>53.37</v>
      </c>
      <c r="E1095" s="25">
        <v>36.94</v>
      </c>
      <c r="F1095" s="379">
        <v>8.1174834595959577</v>
      </c>
      <c r="G1095" s="25">
        <v>67.709999999999994</v>
      </c>
      <c r="H1095" s="379">
        <v>7.6898134029993885</v>
      </c>
      <c r="I1095" s="25">
        <v>843.72</v>
      </c>
      <c r="J1095" s="379">
        <v>5.536965913605151</v>
      </c>
    </row>
    <row r="1096" spans="1:10" x14ac:dyDescent="0.35">
      <c r="A1096" s="5">
        <v>1092</v>
      </c>
      <c r="B1096" s="5">
        <v>46</v>
      </c>
      <c r="C1096" s="5">
        <v>2</v>
      </c>
      <c r="D1096" s="379">
        <v>51.32500000000001</v>
      </c>
      <c r="E1096" s="25">
        <v>36.94</v>
      </c>
      <c r="F1096" s="379">
        <v>5.5427428871304736</v>
      </c>
      <c r="G1096" s="25">
        <v>67.66</v>
      </c>
      <c r="H1096" s="379">
        <v>7.6898134029993885</v>
      </c>
      <c r="I1096" s="25">
        <v>843.72</v>
      </c>
      <c r="J1096" s="379">
        <v>5.4792358509573553</v>
      </c>
    </row>
    <row r="1097" spans="1:10" x14ac:dyDescent="0.35">
      <c r="A1097" s="5">
        <v>1093</v>
      </c>
      <c r="B1097" s="5">
        <v>46</v>
      </c>
      <c r="C1097" s="5">
        <v>2</v>
      </c>
      <c r="D1097" s="379">
        <v>49.288888888888884</v>
      </c>
      <c r="E1097" s="25">
        <v>36.01</v>
      </c>
      <c r="F1097" s="379">
        <v>5.5427428871304736</v>
      </c>
      <c r="G1097" s="25">
        <v>64.2</v>
      </c>
      <c r="H1097" s="379">
        <v>7.6898134029993885</v>
      </c>
      <c r="I1097" s="25">
        <v>843.72</v>
      </c>
      <c r="J1097" s="379">
        <v>5.1629573487751719</v>
      </c>
    </row>
    <row r="1098" spans="1:10" x14ac:dyDescent="0.35">
      <c r="A1098" s="5">
        <v>1094</v>
      </c>
      <c r="B1098" s="5">
        <v>46</v>
      </c>
      <c r="C1098" s="5">
        <v>2</v>
      </c>
      <c r="D1098" s="379">
        <v>46.577777777777776</v>
      </c>
      <c r="E1098" s="25">
        <v>36.94</v>
      </c>
      <c r="F1098" s="379">
        <v>5.3837097714493884</v>
      </c>
      <c r="G1098" s="25">
        <v>64.2</v>
      </c>
      <c r="H1098" s="379">
        <v>7.6898134029993885</v>
      </c>
      <c r="I1098" s="25">
        <v>843.72</v>
      </c>
      <c r="J1098" s="379">
        <v>5.1154866917752191</v>
      </c>
    </row>
    <row r="1099" spans="1:10" x14ac:dyDescent="0.35">
      <c r="A1099" s="5">
        <v>1095</v>
      </c>
      <c r="B1099" s="5">
        <v>46</v>
      </c>
      <c r="C1099" s="5">
        <v>2</v>
      </c>
      <c r="D1099" s="379">
        <v>47.057222222222222</v>
      </c>
      <c r="E1099" s="25">
        <v>36.94</v>
      </c>
      <c r="F1099" s="379">
        <v>0.47222222222222221</v>
      </c>
      <c r="G1099" s="25">
        <v>64.2</v>
      </c>
      <c r="H1099" s="379">
        <v>7.6898134029993885</v>
      </c>
      <c r="I1099" s="25">
        <v>843.72</v>
      </c>
      <c r="J1099" s="379">
        <v>5.1154866917752191</v>
      </c>
    </row>
    <row r="1100" spans="1:10" x14ac:dyDescent="0.35">
      <c r="A1100" s="5">
        <v>1096</v>
      </c>
      <c r="B1100" s="5">
        <v>46</v>
      </c>
      <c r="C1100" s="5">
        <v>2</v>
      </c>
      <c r="D1100" s="379">
        <v>48.182777777777773</v>
      </c>
      <c r="E1100" s="25">
        <v>36.94</v>
      </c>
      <c r="F1100" s="379">
        <v>8.1174834595959595</v>
      </c>
      <c r="G1100" s="25">
        <v>64.2</v>
      </c>
      <c r="H1100" s="379">
        <v>7.5287901353181708</v>
      </c>
      <c r="I1100" s="25">
        <v>843.72</v>
      </c>
      <c r="J1100" s="379">
        <v>5.4617964984303473</v>
      </c>
    </row>
    <row r="1101" spans="1:10" x14ac:dyDescent="0.35">
      <c r="A1101" s="5">
        <v>1097</v>
      </c>
      <c r="B1101" s="5">
        <v>46</v>
      </c>
      <c r="C1101" s="5">
        <v>2</v>
      </c>
      <c r="D1101" s="379">
        <v>48.176666666666669</v>
      </c>
      <c r="E1101" s="25">
        <v>36.94</v>
      </c>
      <c r="F1101" s="379">
        <v>14.370461911985371</v>
      </c>
      <c r="G1101" s="25">
        <v>64.2</v>
      </c>
      <c r="H1101" s="379">
        <v>9.5953561520237489</v>
      </c>
      <c r="I1101" s="25">
        <v>843.72</v>
      </c>
      <c r="J1101" s="379">
        <v>6.8868315016353456</v>
      </c>
    </row>
    <row r="1102" spans="1:10" x14ac:dyDescent="0.35">
      <c r="A1102" s="5">
        <v>1098</v>
      </c>
      <c r="B1102" s="5">
        <v>46</v>
      </c>
      <c r="C1102" s="5">
        <v>2</v>
      </c>
      <c r="D1102" s="379">
        <v>51.806666666666665</v>
      </c>
      <c r="E1102" s="25">
        <v>36.94</v>
      </c>
      <c r="F1102" s="379">
        <v>19.742980242106725</v>
      </c>
      <c r="G1102" s="25">
        <v>67.709999999999994</v>
      </c>
      <c r="H1102" s="379">
        <v>9.9123671284803514</v>
      </c>
      <c r="I1102" s="25">
        <v>869.03</v>
      </c>
      <c r="J1102" s="379">
        <v>7.1219567482803541</v>
      </c>
    </row>
    <row r="1103" spans="1:10" x14ac:dyDescent="0.35">
      <c r="A1103" s="5">
        <v>1099</v>
      </c>
      <c r="B1103" s="5">
        <v>46</v>
      </c>
      <c r="C1103" s="5">
        <v>2</v>
      </c>
      <c r="D1103" s="379">
        <v>54.029444444444451</v>
      </c>
      <c r="E1103" s="25">
        <v>37.74</v>
      </c>
      <c r="F1103" s="379">
        <v>17.379787091028003</v>
      </c>
      <c r="G1103" s="25">
        <v>869.03</v>
      </c>
      <c r="H1103" s="379">
        <v>11.080049762777522</v>
      </c>
      <c r="I1103" s="25">
        <v>869.03</v>
      </c>
      <c r="J1103" s="379">
        <v>7.2156935284577903</v>
      </c>
    </row>
    <row r="1104" spans="1:10" x14ac:dyDescent="0.35">
      <c r="A1104" s="5">
        <v>1100</v>
      </c>
      <c r="B1104" s="5">
        <v>46</v>
      </c>
      <c r="C1104" s="5">
        <v>2</v>
      </c>
      <c r="D1104" s="379">
        <v>51.042777777777772</v>
      </c>
      <c r="E1104" s="25">
        <v>37.090000000000003</v>
      </c>
      <c r="F1104" s="379">
        <v>17.379787091028003</v>
      </c>
      <c r="G1104" s="25">
        <v>869.03</v>
      </c>
      <c r="H1104" s="379">
        <v>10.415000977691456</v>
      </c>
      <c r="I1104" s="25">
        <v>869.03</v>
      </c>
      <c r="J1104" s="379">
        <v>7.0645116154889323</v>
      </c>
    </row>
    <row r="1105" spans="1:10" x14ac:dyDescent="0.35">
      <c r="A1105" s="5">
        <v>1101</v>
      </c>
      <c r="B1105" s="5">
        <v>46</v>
      </c>
      <c r="C1105" s="5">
        <v>2</v>
      </c>
      <c r="D1105" s="379">
        <v>47.43888888888889</v>
      </c>
      <c r="E1105" s="25">
        <v>36.94</v>
      </c>
      <c r="F1105" s="379">
        <v>18.185112234535918</v>
      </c>
      <c r="G1105" s="25">
        <v>843.72</v>
      </c>
      <c r="H1105" s="379">
        <v>9.6847212704697743</v>
      </c>
      <c r="I1105" s="25">
        <v>869.03</v>
      </c>
      <c r="J1105" s="379">
        <v>7.0507095047791468</v>
      </c>
    </row>
    <row r="1106" spans="1:10" x14ac:dyDescent="0.35">
      <c r="A1106" s="5">
        <v>1102</v>
      </c>
      <c r="B1106" s="5">
        <v>46</v>
      </c>
      <c r="C1106" s="5">
        <v>2</v>
      </c>
      <c r="D1106" s="379">
        <v>46.021111111111104</v>
      </c>
      <c r="E1106" s="25">
        <v>36.01</v>
      </c>
      <c r="F1106" s="379">
        <v>18.822458403082329</v>
      </c>
      <c r="G1106" s="25">
        <v>64.2</v>
      </c>
      <c r="H1106" s="379">
        <v>10.90764183015294</v>
      </c>
      <c r="I1106" s="25">
        <v>869.03</v>
      </c>
      <c r="J1106" s="379">
        <v>7.2785928452077151</v>
      </c>
    </row>
    <row r="1107" spans="1:10" x14ac:dyDescent="0.35">
      <c r="A1107" s="5">
        <v>1103</v>
      </c>
      <c r="B1107" s="5">
        <v>46</v>
      </c>
      <c r="C1107" s="5">
        <v>2</v>
      </c>
      <c r="D1107" s="379">
        <v>45.306666666666665</v>
      </c>
      <c r="E1107" s="25">
        <v>36.94</v>
      </c>
      <c r="F1107" s="379">
        <v>18.828084640743111</v>
      </c>
      <c r="G1107" s="25">
        <v>64.2</v>
      </c>
      <c r="H1107" s="379">
        <v>9.2218059208004597</v>
      </c>
      <c r="I1107" s="25">
        <v>869.03</v>
      </c>
      <c r="J1107" s="379">
        <v>6.1686607637231887</v>
      </c>
    </row>
    <row r="1108" spans="1:10" x14ac:dyDescent="0.35">
      <c r="A1108" s="5">
        <v>1104</v>
      </c>
      <c r="B1108" s="5">
        <v>46</v>
      </c>
      <c r="C1108" s="5">
        <v>2</v>
      </c>
      <c r="D1108" s="379">
        <v>45.277777777777779</v>
      </c>
      <c r="E1108" s="25">
        <v>36.94</v>
      </c>
      <c r="F1108" s="379">
        <v>16.029553295451009</v>
      </c>
      <c r="G1108" s="25">
        <v>64.2</v>
      </c>
      <c r="H1108" s="379">
        <v>7.5349422130758663</v>
      </c>
      <c r="I1108" s="25">
        <v>869.03</v>
      </c>
      <c r="J1108" s="379">
        <v>5.4278109536416119</v>
      </c>
    </row>
    <row r="1109" spans="1:10" x14ac:dyDescent="0.35">
      <c r="A1109" s="5">
        <v>1105</v>
      </c>
      <c r="B1109" s="5">
        <v>47</v>
      </c>
      <c r="C1109" s="5">
        <v>2</v>
      </c>
      <c r="D1109" s="379">
        <v>43.187777777777775</v>
      </c>
      <c r="E1109" s="25">
        <v>29.83</v>
      </c>
      <c r="F1109" s="379">
        <v>16.275936513757081</v>
      </c>
      <c r="G1109" s="25">
        <v>62.12</v>
      </c>
      <c r="H1109" s="379">
        <v>6.6132772619094231</v>
      </c>
      <c r="I1109" s="25">
        <v>869.03</v>
      </c>
      <c r="J1109" s="379">
        <v>5.2085770423270263</v>
      </c>
    </row>
    <row r="1110" spans="1:10" x14ac:dyDescent="0.35">
      <c r="A1110" s="5">
        <v>1106</v>
      </c>
      <c r="B1110" s="5">
        <v>47</v>
      </c>
      <c r="C1110" s="5">
        <v>2</v>
      </c>
      <c r="D1110" s="379">
        <v>41.841111111111104</v>
      </c>
      <c r="E1110" s="25">
        <v>26.51</v>
      </c>
      <c r="F1110" s="379">
        <v>15.38497317947507</v>
      </c>
      <c r="G1110" s="25">
        <v>62.12</v>
      </c>
      <c r="H1110" s="379">
        <v>4.8508064831166742</v>
      </c>
      <c r="I1110" s="25">
        <v>860.34</v>
      </c>
      <c r="J1110" s="379">
        <v>5.0052981870507205</v>
      </c>
    </row>
    <row r="1111" spans="1:10" x14ac:dyDescent="0.35">
      <c r="A1111" s="5">
        <v>1107</v>
      </c>
      <c r="B1111" s="5">
        <v>47</v>
      </c>
      <c r="C1111" s="5">
        <v>2</v>
      </c>
      <c r="D1111" s="379">
        <v>40.062777777777775</v>
      </c>
      <c r="E1111" s="25">
        <v>26.51</v>
      </c>
      <c r="F1111" s="379">
        <v>15.856635234715633</v>
      </c>
      <c r="G1111" s="25">
        <v>62.12</v>
      </c>
      <c r="H1111" s="379">
        <v>6.0343051939196499</v>
      </c>
      <c r="I1111" s="25">
        <v>860.34</v>
      </c>
      <c r="J1111" s="379">
        <v>4.7704624041923953</v>
      </c>
    </row>
    <row r="1112" spans="1:10" x14ac:dyDescent="0.35">
      <c r="A1112" s="5">
        <v>1108</v>
      </c>
      <c r="B1112" s="5">
        <v>47</v>
      </c>
      <c r="C1112" s="5">
        <v>2</v>
      </c>
      <c r="D1112" s="379">
        <v>38.25277777777778</v>
      </c>
      <c r="E1112" s="25">
        <v>26.51</v>
      </c>
      <c r="F1112" s="379">
        <v>15.161282385785897</v>
      </c>
      <c r="G1112" s="25">
        <v>62.12</v>
      </c>
      <c r="H1112" s="379">
        <v>3.261200116027867</v>
      </c>
      <c r="I1112" s="25">
        <v>860.34</v>
      </c>
      <c r="J1112" s="379">
        <v>5.255045282303791</v>
      </c>
    </row>
    <row r="1113" spans="1:10" x14ac:dyDescent="0.35">
      <c r="A1113" s="5">
        <v>1109</v>
      </c>
      <c r="B1113" s="5">
        <v>47</v>
      </c>
      <c r="C1113" s="5">
        <v>2</v>
      </c>
      <c r="D1113" s="379">
        <v>36.899444444444448</v>
      </c>
      <c r="E1113" s="25">
        <v>26.51</v>
      </c>
      <c r="F1113" s="379">
        <v>12.519383777287528</v>
      </c>
      <c r="G1113" s="25">
        <v>62.12</v>
      </c>
      <c r="H1113" s="379">
        <v>5.7661347639218734</v>
      </c>
      <c r="I1113" s="25">
        <v>860.34</v>
      </c>
      <c r="J1113" s="379">
        <v>5.2382288545605666</v>
      </c>
    </row>
    <row r="1114" spans="1:10" x14ac:dyDescent="0.35">
      <c r="A1114" s="5">
        <v>1110</v>
      </c>
      <c r="B1114" s="5">
        <v>47</v>
      </c>
      <c r="C1114" s="5">
        <v>2</v>
      </c>
      <c r="D1114" s="379">
        <v>38.853888888888889</v>
      </c>
      <c r="E1114" s="25">
        <v>26.51</v>
      </c>
      <c r="F1114" s="379">
        <v>14.271268606803254</v>
      </c>
      <c r="G1114" s="25">
        <v>62.12</v>
      </c>
      <c r="H1114" s="379">
        <v>7.065443889398928</v>
      </c>
      <c r="I1114" s="25">
        <v>860.34</v>
      </c>
      <c r="J1114" s="379">
        <v>4.8260120988067623</v>
      </c>
    </row>
    <row r="1115" spans="1:10" x14ac:dyDescent="0.35">
      <c r="A1115" s="5">
        <v>1111</v>
      </c>
      <c r="B1115" s="5">
        <v>47</v>
      </c>
      <c r="C1115" s="5">
        <v>2</v>
      </c>
      <c r="D1115" s="379">
        <v>43.80777777777778</v>
      </c>
      <c r="E1115" s="25">
        <v>29.83</v>
      </c>
      <c r="F1115" s="379">
        <v>14.298117102900294</v>
      </c>
      <c r="G1115" s="25">
        <v>67.709999999999994</v>
      </c>
      <c r="H1115" s="379">
        <v>6.7013709323060953</v>
      </c>
      <c r="I1115" s="25">
        <v>869.03</v>
      </c>
      <c r="J1115" s="379">
        <v>4.7386789486546279</v>
      </c>
    </row>
    <row r="1116" spans="1:10" x14ac:dyDescent="0.35">
      <c r="A1116" s="5">
        <v>1112</v>
      </c>
      <c r="B1116" s="5">
        <v>47</v>
      </c>
      <c r="C1116" s="5">
        <v>2</v>
      </c>
      <c r="D1116" s="379">
        <v>47.126666666666665</v>
      </c>
      <c r="E1116" s="25">
        <v>37.090000000000003</v>
      </c>
      <c r="F1116" s="379">
        <v>17.255103889787637</v>
      </c>
      <c r="G1116" s="25">
        <v>843.72</v>
      </c>
      <c r="H1116" s="379">
        <v>2.4060337685871649</v>
      </c>
      <c r="I1116" s="25">
        <v>869.03</v>
      </c>
      <c r="J1116" s="379">
        <v>5.3096355652077589</v>
      </c>
    </row>
    <row r="1117" spans="1:10" x14ac:dyDescent="0.35">
      <c r="A1117" s="5">
        <v>1113</v>
      </c>
      <c r="B1117" s="5">
        <v>47</v>
      </c>
      <c r="C1117" s="5">
        <v>2</v>
      </c>
      <c r="D1117" s="379">
        <v>48.515000000000008</v>
      </c>
      <c r="E1117" s="25">
        <v>37.090000000000003</v>
      </c>
      <c r="F1117" s="379">
        <v>16.570608645925393</v>
      </c>
      <c r="G1117" s="25">
        <v>843.72</v>
      </c>
      <c r="H1117" s="379">
        <v>1.9603840072975263</v>
      </c>
      <c r="I1117" s="25">
        <v>869.03</v>
      </c>
      <c r="J1117" s="379">
        <v>4.1648304332705566</v>
      </c>
    </row>
    <row r="1118" spans="1:10" x14ac:dyDescent="0.35">
      <c r="A1118" s="5">
        <v>1114</v>
      </c>
      <c r="B1118" s="5">
        <v>47</v>
      </c>
      <c r="C1118" s="5">
        <v>2</v>
      </c>
      <c r="D1118" s="379">
        <v>46.474444444444451</v>
      </c>
      <c r="E1118" s="25">
        <v>37.090000000000003</v>
      </c>
      <c r="F1118" s="379">
        <v>9.3496355961952116</v>
      </c>
      <c r="G1118" s="25">
        <v>843.72</v>
      </c>
      <c r="H1118" s="379">
        <v>3.3881039054426703</v>
      </c>
      <c r="I1118" s="25">
        <v>869.03</v>
      </c>
      <c r="J1118" s="379">
        <v>1.2996147270953533</v>
      </c>
    </row>
    <row r="1119" spans="1:10" x14ac:dyDescent="0.35">
      <c r="A1119" s="5">
        <v>1115</v>
      </c>
      <c r="B1119" s="5">
        <v>47</v>
      </c>
      <c r="C1119" s="5">
        <v>2</v>
      </c>
      <c r="D1119" s="379">
        <v>43.946666666666665</v>
      </c>
      <c r="E1119" s="25">
        <v>37.090000000000003</v>
      </c>
      <c r="F1119" s="379">
        <v>8.1174834595959577</v>
      </c>
      <c r="G1119" s="25">
        <v>75.53</v>
      </c>
      <c r="H1119" s="379">
        <v>4.5238185111169686</v>
      </c>
      <c r="I1119" s="25">
        <v>869.03</v>
      </c>
      <c r="J1119" s="379">
        <v>1.1204823844844161</v>
      </c>
    </row>
    <row r="1120" spans="1:10" x14ac:dyDescent="0.35">
      <c r="A1120" s="5">
        <v>1116</v>
      </c>
      <c r="B1120" s="5">
        <v>47</v>
      </c>
      <c r="C1120" s="5">
        <v>2</v>
      </c>
      <c r="D1120" s="379">
        <v>43.693333333333328</v>
      </c>
      <c r="E1120" s="25">
        <v>36.94</v>
      </c>
      <c r="F1120" s="379">
        <v>0.47222222222222221</v>
      </c>
      <c r="G1120" s="25">
        <v>67.709999999999994</v>
      </c>
      <c r="H1120" s="379">
        <v>2.2035460705044261</v>
      </c>
      <c r="I1120" s="25">
        <v>860.34</v>
      </c>
      <c r="J1120" s="379">
        <v>0.81241678598725275</v>
      </c>
    </row>
    <row r="1121" spans="1:10" x14ac:dyDescent="0.35">
      <c r="A1121" s="5">
        <v>1117</v>
      </c>
      <c r="B1121" s="5">
        <v>47</v>
      </c>
      <c r="C1121" s="5">
        <v>2</v>
      </c>
      <c r="D1121" s="379">
        <v>42.416666666666664</v>
      </c>
      <c r="E1121" s="25">
        <v>35.869999999999997</v>
      </c>
      <c r="F1121" s="379">
        <v>5.2110189433060174</v>
      </c>
      <c r="G1121" s="25">
        <v>65.900000000000006</v>
      </c>
      <c r="H1121" s="379">
        <v>1.2909330621494399</v>
      </c>
      <c r="I1121" s="25">
        <v>843.72</v>
      </c>
      <c r="J1121" s="379">
        <v>0.7240724669496047</v>
      </c>
    </row>
    <row r="1122" spans="1:10" x14ac:dyDescent="0.35">
      <c r="A1122" s="5">
        <v>1118</v>
      </c>
      <c r="B1122" s="5">
        <v>47</v>
      </c>
      <c r="C1122" s="5">
        <v>2</v>
      </c>
      <c r="D1122" s="379">
        <v>41.548888888888897</v>
      </c>
      <c r="E1122" s="25">
        <v>35.869999999999997</v>
      </c>
      <c r="F1122" s="379">
        <v>4.9078329979658086</v>
      </c>
      <c r="G1122" s="25">
        <v>65.739999999999995</v>
      </c>
      <c r="H1122" s="379">
        <v>6.0718772376269774</v>
      </c>
      <c r="I1122" s="25">
        <v>843.72</v>
      </c>
      <c r="J1122" s="379">
        <v>0.65806882712682613</v>
      </c>
    </row>
    <row r="1123" spans="1:10" x14ac:dyDescent="0.35">
      <c r="A1123" s="5">
        <v>1119</v>
      </c>
      <c r="B1123" s="5">
        <v>47</v>
      </c>
      <c r="C1123" s="5">
        <v>2</v>
      </c>
      <c r="D1123" s="379">
        <v>40.222777777777786</v>
      </c>
      <c r="E1123" s="25">
        <v>35.869999999999997</v>
      </c>
      <c r="F1123" s="379">
        <v>2.3001322313653074</v>
      </c>
      <c r="G1123" s="25">
        <v>65.739999999999995</v>
      </c>
      <c r="H1123" s="379">
        <v>4.6951113608316666</v>
      </c>
      <c r="I1123" s="25">
        <v>843.72</v>
      </c>
      <c r="J1123" s="379">
        <v>0.70695383573203119</v>
      </c>
    </row>
    <row r="1124" spans="1:10" x14ac:dyDescent="0.35">
      <c r="A1124" s="5">
        <v>1120</v>
      </c>
      <c r="B1124" s="5">
        <v>47</v>
      </c>
      <c r="C1124" s="5">
        <v>2</v>
      </c>
      <c r="D1124" s="379">
        <v>39.494999999999997</v>
      </c>
      <c r="E1124" s="25">
        <v>36.01</v>
      </c>
      <c r="F1124" s="379">
        <v>8.1174834595959577</v>
      </c>
      <c r="G1124" s="25">
        <v>65.739999999999995</v>
      </c>
      <c r="H1124" s="379">
        <v>6.0303316897678911</v>
      </c>
      <c r="I1124" s="25">
        <v>843.72</v>
      </c>
      <c r="J1124" s="379">
        <v>0.65806882712682613</v>
      </c>
    </row>
    <row r="1125" spans="1:10" x14ac:dyDescent="0.35">
      <c r="A1125" s="5">
        <v>1121</v>
      </c>
      <c r="B1125" s="5">
        <v>47</v>
      </c>
      <c r="C1125" s="5">
        <v>2</v>
      </c>
      <c r="D1125" s="379">
        <v>41.762777777777778</v>
      </c>
      <c r="E1125" s="25">
        <v>36.94</v>
      </c>
      <c r="F1125" s="379">
        <v>15.935289828735659</v>
      </c>
      <c r="G1125" s="25">
        <v>65.739999999999995</v>
      </c>
      <c r="H1125" s="379">
        <v>4.325506126890013</v>
      </c>
      <c r="I1125" s="25">
        <v>869.03</v>
      </c>
      <c r="J1125" s="379">
        <v>5.2817762576484659</v>
      </c>
    </row>
    <row r="1126" spans="1:10" x14ac:dyDescent="0.35">
      <c r="A1126" s="5">
        <v>1122</v>
      </c>
      <c r="B1126" s="5">
        <v>47</v>
      </c>
      <c r="C1126" s="5">
        <v>2</v>
      </c>
      <c r="D1126" s="379">
        <v>45.676111111111112</v>
      </c>
      <c r="E1126" s="25">
        <v>37.090000000000003</v>
      </c>
      <c r="F1126" s="379">
        <v>18.082738260559374</v>
      </c>
      <c r="G1126" s="25">
        <v>75.28</v>
      </c>
      <c r="H1126" s="379">
        <v>19.495803656141291</v>
      </c>
      <c r="I1126" s="25">
        <v>869.03</v>
      </c>
      <c r="J1126" s="379">
        <v>7.4257369398278561</v>
      </c>
    </row>
    <row r="1127" spans="1:10" x14ac:dyDescent="0.35">
      <c r="A1127" s="5">
        <v>1123</v>
      </c>
      <c r="B1127" s="5">
        <v>47</v>
      </c>
      <c r="C1127" s="5">
        <v>2</v>
      </c>
      <c r="D1127" s="379">
        <v>48.54</v>
      </c>
      <c r="E1127" s="25">
        <v>37.090000000000003</v>
      </c>
      <c r="F1127" s="379">
        <v>17.96107090707272</v>
      </c>
      <c r="G1127" s="25">
        <v>869.03</v>
      </c>
      <c r="H1127" s="379">
        <v>19.495803656141288</v>
      </c>
      <c r="I1127" s="25">
        <v>869.03</v>
      </c>
      <c r="J1127" s="379">
        <v>7.3029994577720627</v>
      </c>
    </row>
    <row r="1128" spans="1:10" x14ac:dyDescent="0.35">
      <c r="A1128" s="5">
        <v>1124</v>
      </c>
      <c r="B1128" s="5">
        <v>47</v>
      </c>
      <c r="C1128" s="5">
        <v>2</v>
      </c>
      <c r="D1128" s="379">
        <v>44.496111111111112</v>
      </c>
      <c r="E1128" s="25">
        <v>37.090000000000003</v>
      </c>
      <c r="F1128" s="379">
        <v>21.115136750733285</v>
      </c>
      <c r="G1128" s="25">
        <v>869.03</v>
      </c>
      <c r="H1128" s="379">
        <v>20.078200566426496</v>
      </c>
      <c r="I1128" s="25">
        <v>869.03</v>
      </c>
      <c r="J1128" s="379">
        <v>7.2820524119040169</v>
      </c>
    </row>
    <row r="1129" spans="1:10" x14ac:dyDescent="0.35">
      <c r="A1129" s="5">
        <v>1125</v>
      </c>
      <c r="B1129" s="5">
        <v>47</v>
      </c>
      <c r="C1129" s="5">
        <v>2</v>
      </c>
      <c r="D1129" s="379">
        <v>43.256666666666668</v>
      </c>
      <c r="E1129" s="25">
        <v>37.090000000000003</v>
      </c>
      <c r="F1129" s="379">
        <v>21.741317260937269</v>
      </c>
      <c r="G1129" s="25">
        <v>77.34</v>
      </c>
      <c r="H1129" s="379">
        <v>18.140666387559229</v>
      </c>
      <c r="I1129" s="25">
        <v>869.03</v>
      </c>
      <c r="J1129" s="379">
        <v>7.2903630387754346</v>
      </c>
    </row>
    <row r="1130" spans="1:10" x14ac:dyDescent="0.35">
      <c r="A1130" s="5">
        <v>1126</v>
      </c>
      <c r="B1130" s="5">
        <v>47</v>
      </c>
      <c r="C1130" s="5">
        <v>2</v>
      </c>
      <c r="D1130" s="379">
        <v>44.325555555555553</v>
      </c>
      <c r="E1130" s="25">
        <v>36.94</v>
      </c>
      <c r="F1130" s="379">
        <v>21.379278863764196</v>
      </c>
      <c r="G1130" s="25">
        <v>65.900000000000006</v>
      </c>
      <c r="H1130" s="379">
        <v>17.071627928880936</v>
      </c>
      <c r="I1130" s="25">
        <v>869.03</v>
      </c>
      <c r="J1130" s="379">
        <v>5.0571703004275301</v>
      </c>
    </row>
    <row r="1131" spans="1:10" x14ac:dyDescent="0.35">
      <c r="A1131" s="5">
        <v>1127</v>
      </c>
      <c r="B1131" s="5">
        <v>47</v>
      </c>
      <c r="C1131" s="5">
        <v>2</v>
      </c>
      <c r="D1131" s="379">
        <v>41.93055555555555</v>
      </c>
      <c r="E1131" s="25">
        <v>36.94</v>
      </c>
      <c r="F1131" s="379">
        <v>19.131478059209783</v>
      </c>
      <c r="G1131" s="25">
        <v>67.709999999999994</v>
      </c>
      <c r="H1131" s="379">
        <v>15.733583913288964</v>
      </c>
      <c r="I1131" s="25">
        <v>869.03</v>
      </c>
      <c r="J1131" s="379">
        <v>5.1330566665422328</v>
      </c>
    </row>
    <row r="1132" spans="1:10" x14ac:dyDescent="0.35">
      <c r="A1132" s="5">
        <v>1128</v>
      </c>
      <c r="B1132" s="5">
        <v>47</v>
      </c>
      <c r="C1132" s="5">
        <v>2</v>
      </c>
      <c r="D1132" s="379">
        <v>36.938333333333333</v>
      </c>
      <c r="E1132" s="25">
        <v>31.4</v>
      </c>
      <c r="F1132" s="379">
        <v>18.382353558052593</v>
      </c>
      <c r="G1132" s="25">
        <v>66.400000000000006</v>
      </c>
      <c r="H1132" s="379">
        <v>16.844134249434696</v>
      </c>
      <c r="I1132" s="25">
        <v>869.03</v>
      </c>
      <c r="J1132" s="379">
        <v>5.2811029543588557</v>
      </c>
    </row>
    <row r="1133" spans="1:10" x14ac:dyDescent="0.35">
      <c r="A1133" s="5">
        <v>1129</v>
      </c>
      <c r="B1133" s="5">
        <v>48</v>
      </c>
      <c r="C1133" s="5">
        <v>2</v>
      </c>
      <c r="D1133" s="379">
        <v>29.248888888888889</v>
      </c>
      <c r="E1133" s="25">
        <v>30.65</v>
      </c>
      <c r="F1133" s="379">
        <v>17.10040902544678</v>
      </c>
      <c r="G1133" s="25">
        <v>65.739999999999995</v>
      </c>
      <c r="H1133" s="379">
        <v>16.294336950527441</v>
      </c>
      <c r="I1133" s="25">
        <v>869.03</v>
      </c>
      <c r="J1133" s="379">
        <v>5.1560241492677834</v>
      </c>
    </row>
    <row r="1134" spans="1:10" x14ac:dyDescent="0.35">
      <c r="A1134" s="5">
        <v>1130</v>
      </c>
      <c r="B1134" s="5">
        <v>48</v>
      </c>
      <c r="C1134" s="5">
        <v>2</v>
      </c>
      <c r="D1134" s="379">
        <v>27.282777777777778</v>
      </c>
      <c r="E1134" s="25">
        <v>26.51</v>
      </c>
      <c r="F1134" s="379">
        <v>16.466124988870494</v>
      </c>
      <c r="G1134" s="25">
        <v>65.739999999999995</v>
      </c>
      <c r="H1134" s="379">
        <v>16.57472215279326</v>
      </c>
      <c r="I1134" s="25">
        <v>869.03</v>
      </c>
      <c r="J1134" s="379">
        <v>5.156989018246561</v>
      </c>
    </row>
    <row r="1135" spans="1:10" x14ac:dyDescent="0.35">
      <c r="A1135" s="5">
        <v>1131</v>
      </c>
      <c r="B1135" s="5">
        <v>48</v>
      </c>
      <c r="C1135" s="5">
        <v>2</v>
      </c>
      <c r="D1135" s="379">
        <v>26.347222222222221</v>
      </c>
      <c r="E1135" s="25">
        <v>26.51</v>
      </c>
      <c r="F1135" s="379">
        <v>16.641687147816391</v>
      </c>
      <c r="G1135" s="25">
        <v>64.2</v>
      </c>
      <c r="H1135" s="379">
        <v>16.950048892469127</v>
      </c>
      <c r="I1135" s="25">
        <v>852.24</v>
      </c>
      <c r="J1135" s="379">
        <v>5.1326354013363797</v>
      </c>
    </row>
    <row r="1136" spans="1:10" x14ac:dyDescent="0.35">
      <c r="A1136" s="5">
        <v>1132</v>
      </c>
      <c r="B1136" s="5">
        <v>48</v>
      </c>
      <c r="C1136" s="5">
        <v>2</v>
      </c>
      <c r="D1136" s="379">
        <v>24.218888888888891</v>
      </c>
      <c r="E1136" s="25">
        <v>26.35</v>
      </c>
      <c r="F1136" s="379">
        <v>17.352075209079974</v>
      </c>
      <c r="G1136" s="25">
        <v>62.33</v>
      </c>
      <c r="H1136" s="379">
        <v>15.538935151361354</v>
      </c>
      <c r="I1136" s="25">
        <v>843.72</v>
      </c>
      <c r="J1136" s="379">
        <v>5.2214847764922574</v>
      </c>
    </row>
    <row r="1137" spans="1:10" x14ac:dyDescent="0.35">
      <c r="A1137" s="5">
        <v>1133</v>
      </c>
      <c r="B1137" s="5">
        <v>48</v>
      </c>
      <c r="C1137" s="5">
        <v>2</v>
      </c>
      <c r="D1137" s="379">
        <v>24.076111111111111</v>
      </c>
      <c r="E1137" s="25">
        <v>26.51</v>
      </c>
      <c r="F1137" s="379">
        <v>17.688931788738412</v>
      </c>
      <c r="G1137" s="25">
        <v>63.98</v>
      </c>
      <c r="H1137" s="379">
        <v>16.844134249434696</v>
      </c>
      <c r="I1137" s="25">
        <v>843.72</v>
      </c>
      <c r="J1137" s="379">
        <v>5.0347087944383979</v>
      </c>
    </row>
    <row r="1138" spans="1:10" x14ac:dyDescent="0.35">
      <c r="A1138" s="5">
        <v>1134</v>
      </c>
      <c r="B1138" s="5">
        <v>48</v>
      </c>
      <c r="C1138" s="5">
        <v>2</v>
      </c>
      <c r="D1138" s="379">
        <v>28.96166666666667</v>
      </c>
      <c r="E1138" s="25">
        <v>27.3</v>
      </c>
      <c r="F1138" s="379">
        <v>13.589840489563358</v>
      </c>
      <c r="G1138" s="25">
        <v>65.739999999999995</v>
      </c>
      <c r="H1138" s="379">
        <v>15.021613773860661</v>
      </c>
      <c r="I1138" s="25">
        <v>843.72</v>
      </c>
      <c r="J1138" s="379">
        <v>4.5828620080630245</v>
      </c>
    </row>
    <row r="1139" spans="1:10" x14ac:dyDescent="0.35">
      <c r="A1139" s="5">
        <v>1135</v>
      </c>
      <c r="B1139" s="5">
        <v>48</v>
      </c>
      <c r="C1139" s="5">
        <v>2</v>
      </c>
      <c r="D1139" s="379">
        <v>39.095000000000006</v>
      </c>
      <c r="E1139" s="25">
        <v>30.65</v>
      </c>
      <c r="F1139" s="379">
        <v>17.966482104976141</v>
      </c>
      <c r="G1139" s="25">
        <v>85.01</v>
      </c>
      <c r="H1139" s="379">
        <v>14.332313224967839</v>
      </c>
      <c r="I1139" s="25">
        <v>852.24</v>
      </c>
      <c r="J1139" s="379">
        <v>4.1792016241172858</v>
      </c>
    </row>
    <row r="1140" spans="1:10" x14ac:dyDescent="0.35">
      <c r="A1140" s="5">
        <v>1136</v>
      </c>
      <c r="B1140" s="5">
        <v>48</v>
      </c>
      <c r="C1140" s="5">
        <v>2</v>
      </c>
      <c r="D1140" s="379">
        <v>45.162777777777784</v>
      </c>
      <c r="E1140" s="25">
        <v>36.94</v>
      </c>
      <c r="F1140" s="379">
        <v>16.891457146867531</v>
      </c>
      <c r="G1140" s="25">
        <v>843.72</v>
      </c>
      <c r="H1140" s="379">
        <v>14.600777479579993</v>
      </c>
      <c r="I1140" s="25">
        <v>869.03</v>
      </c>
      <c r="J1140" s="379">
        <v>4.1792016241172858</v>
      </c>
    </row>
    <row r="1141" spans="1:10" x14ac:dyDescent="0.35">
      <c r="A1141" s="5">
        <v>1137</v>
      </c>
      <c r="B1141" s="5">
        <v>48</v>
      </c>
      <c r="C1141" s="5">
        <v>2</v>
      </c>
      <c r="D1141" s="379">
        <v>42.403888888888886</v>
      </c>
      <c r="E1141" s="25">
        <v>37.090000000000003</v>
      </c>
      <c r="F1141" s="379">
        <v>16.63242758305168</v>
      </c>
      <c r="G1141" s="25">
        <v>843.72</v>
      </c>
      <c r="H1141" s="379">
        <v>10.435201333063482</v>
      </c>
      <c r="I1141" s="25">
        <v>852.24</v>
      </c>
      <c r="J1141" s="379">
        <v>4.1792016241172858</v>
      </c>
    </row>
    <row r="1142" spans="1:10" x14ac:dyDescent="0.35">
      <c r="A1142" s="5">
        <v>1138</v>
      </c>
      <c r="B1142" s="5">
        <v>48</v>
      </c>
      <c r="C1142" s="5">
        <v>2</v>
      </c>
      <c r="D1142" s="379">
        <v>43.629444444444445</v>
      </c>
      <c r="E1142" s="25">
        <v>36.94</v>
      </c>
      <c r="F1142" s="379">
        <v>12.577500992053553</v>
      </c>
      <c r="G1142" s="25">
        <v>843.72</v>
      </c>
      <c r="H1142" s="379">
        <v>6.0799934289286526</v>
      </c>
      <c r="I1142" s="25">
        <v>843.72</v>
      </c>
      <c r="J1142" s="379">
        <v>5.4287435251625276</v>
      </c>
    </row>
    <row r="1143" spans="1:10" x14ac:dyDescent="0.35">
      <c r="A1143" s="5">
        <v>1139</v>
      </c>
      <c r="B1143" s="5">
        <v>48</v>
      </c>
      <c r="C1143" s="5">
        <v>2</v>
      </c>
      <c r="D1143" s="379">
        <v>40.768333333333331</v>
      </c>
      <c r="E1143" s="25">
        <v>36.94</v>
      </c>
      <c r="F1143" s="379">
        <v>6.7740209353351579</v>
      </c>
      <c r="G1143" s="25">
        <v>843.72</v>
      </c>
      <c r="H1143" s="379">
        <v>7.7890898571652292</v>
      </c>
      <c r="I1143" s="25">
        <v>843.72</v>
      </c>
      <c r="J1143" s="379">
        <v>4.3026652847809457</v>
      </c>
    </row>
    <row r="1144" spans="1:10" x14ac:dyDescent="0.35">
      <c r="A1144" s="5">
        <v>1140</v>
      </c>
      <c r="B1144" s="5">
        <v>48</v>
      </c>
      <c r="C1144" s="5">
        <v>2</v>
      </c>
      <c r="D1144" s="379">
        <v>38.094444444444449</v>
      </c>
      <c r="E1144" s="25">
        <v>36.94</v>
      </c>
      <c r="F1144" s="379">
        <v>5.3500218936333628</v>
      </c>
      <c r="G1144" s="25">
        <v>843.72</v>
      </c>
      <c r="H1144" s="379">
        <v>4.1650214511953365</v>
      </c>
      <c r="I1144" s="25">
        <v>843.72</v>
      </c>
      <c r="J1144" s="379">
        <v>2.0086505777808252</v>
      </c>
    </row>
    <row r="1145" spans="1:10" x14ac:dyDescent="0.35">
      <c r="A1145" s="5">
        <v>1141</v>
      </c>
      <c r="B1145" s="5">
        <v>48</v>
      </c>
      <c r="C1145" s="5">
        <v>2</v>
      </c>
      <c r="D1145" s="379">
        <v>34.082777777777778</v>
      </c>
      <c r="E1145" s="25">
        <v>35.869999999999997</v>
      </c>
      <c r="F1145" s="379">
        <v>6.2635180925131628</v>
      </c>
      <c r="G1145" s="25">
        <v>717.16</v>
      </c>
      <c r="H1145" s="379">
        <v>7.5549200709152853</v>
      </c>
      <c r="I1145" s="25">
        <v>843.72</v>
      </c>
      <c r="J1145" s="379">
        <v>4.6309395290514344</v>
      </c>
    </row>
    <row r="1146" spans="1:10" x14ac:dyDescent="0.35">
      <c r="A1146" s="5">
        <v>1142</v>
      </c>
      <c r="B1146" s="5">
        <v>48</v>
      </c>
      <c r="C1146" s="5">
        <v>2</v>
      </c>
      <c r="D1146" s="379">
        <v>30.705000000000002</v>
      </c>
      <c r="E1146" s="25">
        <v>35.869999999999997</v>
      </c>
      <c r="F1146" s="379">
        <v>6.9783941000578933</v>
      </c>
      <c r="G1146" s="25">
        <v>85.01</v>
      </c>
      <c r="H1146" s="379">
        <v>7.3818259361542964</v>
      </c>
      <c r="I1146" s="25">
        <v>843.72</v>
      </c>
      <c r="J1146" s="379">
        <v>4.5573276580414497</v>
      </c>
    </row>
    <row r="1147" spans="1:10" x14ac:dyDescent="0.35">
      <c r="A1147" s="5">
        <v>1143</v>
      </c>
      <c r="B1147" s="5">
        <v>48</v>
      </c>
      <c r="C1147" s="5">
        <v>2</v>
      </c>
      <c r="D1147" s="379">
        <v>31.761111111111106</v>
      </c>
      <c r="E1147" s="25">
        <v>35.869999999999997</v>
      </c>
      <c r="F1147" s="379">
        <v>4.5963564095128122</v>
      </c>
      <c r="G1147" s="25">
        <v>81.709999999999994</v>
      </c>
      <c r="H1147" s="379">
        <v>3.8694870600645315</v>
      </c>
      <c r="I1147" s="25">
        <v>843.72</v>
      </c>
      <c r="J1147" s="379">
        <v>2.2276471409385907</v>
      </c>
    </row>
    <row r="1148" spans="1:10" x14ac:dyDescent="0.35">
      <c r="A1148" s="5">
        <v>1144</v>
      </c>
      <c r="B1148" s="5">
        <v>48</v>
      </c>
      <c r="C1148" s="5">
        <v>2</v>
      </c>
      <c r="D1148" s="379">
        <v>34.711111111111109</v>
      </c>
      <c r="E1148" s="25">
        <v>35.89</v>
      </c>
      <c r="F1148" s="379">
        <v>6.8945343183758148</v>
      </c>
      <c r="G1148" s="25">
        <v>82.53</v>
      </c>
      <c r="H1148" s="379">
        <v>3.9186005513816475</v>
      </c>
      <c r="I1148" s="25">
        <v>843.72</v>
      </c>
      <c r="J1148" s="379">
        <v>4.488129741583605</v>
      </c>
    </row>
    <row r="1149" spans="1:10" x14ac:dyDescent="0.35">
      <c r="A1149" s="5">
        <v>1145</v>
      </c>
      <c r="B1149" s="5">
        <v>48</v>
      </c>
      <c r="C1149" s="5">
        <v>2</v>
      </c>
      <c r="D1149" s="379">
        <v>37.708888888888893</v>
      </c>
      <c r="E1149" s="25">
        <v>36.119999999999997</v>
      </c>
      <c r="F1149" s="379">
        <v>7.5559320028094543</v>
      </c>
      <c r="G1149" s="25">
        <v>717.16</v>
      </c>
      <c r="H1149" s="379">
        <v>4.1460558194446557</v>
      </c>
      <c r="I1149" s="25">
        <v>843.72</v>
      </c>
      <c r="J1149" s="379">
        <v>4.4048632345863181</v>
      </c>
    </row>
    <row r="1150" spans="1:10" x14ac:dyDescent="0.35">
      <c r="A1150" s="5">
        <v>1146</v>
      </c>
      <c r="B1150" s="5">
        <v>48</v>
      </c>
      <c r="C1150" s="5">
        <v>2</v>
      </c>
      <c r="D1150" s="379">
        <v>42.392777777777773</v>
      </c>
      <c r="E1150" s="25">
        <v>36.94</v>
      </c>
      <c r="F1150" s="379">
        <v>11.921946607552927</v>
      </c>
      <c r="G1150" s="25">
        <v>843.72</v>
      </c>
      <c r="H1150" s="379">
        <v>5.3138249711924939</v>
      </c>
      <c r="I1150" s="25">
        <v>869.03</v>
      </c>
      <c r="J1150" s="379">
        <v>5.9656945639280794</v>
      </c>
    </row>
    <row r="1151" spans="1:10" x14ac:dyDescent="0.35">
      <c r="A1151" s="5">
        <v>1147</v>
      </c>
      <c r="B1151" s="5">
        <v>48</v>
      </c>
      <c r="C1151" s="5">
        <v>2</v>
      </c>
      <c r="D1151" s="379">
        <v>45.171111111111109</v>
      </c>
      <c r="E1151" s="25">
        <v>38.200000000000003</v>
      </c>
      <c r="F1151" s="379">
        <v>13.594998323042134</v>
      </c>
      <c r="G1151" s="25">
        <v>869.03</v>
      </c>
      <c r="H1151" s="379">
        <v>3.5188143134552363</v>
      </c>
      <c r="I1151" s="25">
        <v>869.03</v>
      </c>
      <c r="J1151" s="379">
        <v>5.454892206909598</v>
      </c>
    </row>
    <row r="1152" spans="1:10" x14ac:dyDescent="0.35">
      <c r="A1152" s="5">
        <v>1148</v>
      </c>
      <c r="B1152" s="5">
        <v>48</v>
      </c>
      <c r="C1152" s="5">
        <v>2</v>
      </c>
      <c r="D1152" s="379">
        <v>44.648888888888891</v>
      </c>
      <c r="E1152" s="25">
        <v>38.200000000000003</v>
      </c>
      <c r="F1152" s="379">
        <v>13.134728080144386</v>
      </c>
      <c r="G1152" s="25">
        <v>869.03</v>
      </c>
      <c r="H1152" s="379">
        <v>5.8898316308285485</v>
      </c>
      <c r="I1152" s="25">
        <v>869.03</v>
      </c>
      <c r="J1152" s="379">
        <v>5.7750540830066539</v>
      </c>
    </row>
    <row r="1153" spans="1:10" x14ac:dyDescent="0.35">
      <c r="A1153" s="5">
        <v>1149</v>
      </c>
      <c r="B1153" s="5">
        <v>48</v>
      </c>
      <c r="C1153" s="5">
        <v>2</v>
      </c>
      <c r="D1153" s="379">
        <v>39.692777777777778</v>
      </c>
      <c r="E1153" s="25">
        <v>36.94</v>
      </c>
      <c r="F1153" s="379">
        <v>13.799184169133099</v>
      </c>
      <c r="G1153" s="25">
        <v>843.72</v>
      </c>
      <c r="H1153" s="379">
        <v>6.3920767064922757</v>
      </c>
      <c r="I1153" s="25">
        <v>869.03</v>
      </c>
      <c r="J1153" s="379">
        <v>5.6598015677573263</v>
      </c>
    </row>
    <row r="1154" spans="1:10" x14ac:dyDescent="0.35">
      <c r="A1154" s="5">
        <v>1150</v>
      </c>
      <c r="B1154" s="5">
        <v>48</v>
      </c>
      <c r="C1154" s="5">
        <v>2</v>
      </c>
      <c r="D1154" s="379">
        <v>37.995555555555562</v>
      </c>
      <c r="E1154" s="25">
        <v>36.94</v>
      </c>
      <c r="F1154" s="379">
        <v>16.636378994280708</v>
      </c>
      <c r="G1154" s="25">
        <v>81.709999999999994</v>
      </c>
      <c r="H1154" s="379">
        <v>4.7129111849043994</v>
      </c>
      <c r="I1154" s="25">
        <v>869.03</v>
      </c>
      <c r="J1154" s="379">
        <v>6.944875977911563</v>
      </c>
    </row>
    <row r="1155" spans="1:10" x14ac:dyDescent="0.35">
      <c r="A1155" s="5">
        <v>1151</v>
      </c>
      <c r="B1155" s="5">
        <v>48</v>
      </c>
      <c r="C1155" s="5">
        <v>2</v>
      </c>
      <c r="D1155" s="379">
        <v>37.233333333333341</v>
      </c>
      <c r="E1155" s="25">
        <v>36.94</v>
      </c>
      <c r="F1155" s="379">
        <v>14.940389596348984</v>
      </c>
      <c r="G1155" s="25">
        <v>81.709999999999994</v>
      </c>
      <c r="H1155" s="379">
        <v>5.0005944743928028</v>
      </c>
      <c r="I1155" s="25">
        <v>869.03</v>
      </c>
      <c r="J1155" s="379">
        <v>4.5392149856639259</v>
      </c>
    </row>
    <row r="1156" spans="1:10" x14ac:dyDescent="0.35">
      <c r="A1156" s="5">
        <v>1152</v>
      </c>
      <c r="B1156" s="5">
        <v>48</v>
      </c>
      <c r="C1156" s="5">
        <v>2</v>
      </c>
      <c r="D1156" s="379">
        <v>37.872777777777777</v>
      </c>
      <c r="E1156" s="25">
        <v>31.4</v>
      </c>
      <c r="F1156" s="379">
        <v>13.416866713639394</v>
      </c>
      <c r="G1156" s="25">
        <v>81.709999999999994</v>
      </c>
      <c r="H1156" s="379">
        <v>3.1429866319142445</v>
      </c>
      <c r="I1156" s="25">
        <v>869.03</v>
      </c>
      <c r="J1156" s="379">
        <v>3.6479888858757485</v>
      </c>
    </row>
    <row r="1157" spans="1:10" x14ac:dyDescent="0.35">
      <c r="A1157" s="5">
        <v>1153</v>
      </c>
      <c r="B1157" s="5">
        <v>49</v>
      </c>
      <c r="C1157" s="5">
        <v>2</v>
      </c>
      <c r="D1157" s="379">
        <v>38.736666666666665</v>
      </c>
      <c r="E1157" s="25">
        <v>28.95</v>
      </c>
      <c r="F1157" s="379">
        <v>10.220447799185179</v>
      </c>
      <c r="G1157" s="25">
        <v>81.709999999999994</v>
      </c>
      <c r="H1157" s="379">
        <v>4.1970169559548847</v>
      </c>
      <c r="I1157" s="25">
        <v>869.03</v>
      </c>
      <c r="J1157" s="379">
        <v>6.57374951505372</v>
      </c>
    </row>
    <row r="1158" spans="1:10" x14ac:dyDescent="0.35">
      <c r="A1158" s="5">
        <v>1154</v>
      </c>
      <c r="B1158" s="5">
        <v>49</v>
      </c>
      <c r="C1158" s="5">
        <v>2</v>
      </c>
      <c r="D1158" s="379">
        <v>39.765555555555558</v>
      </c>
      <c r="E1158" s="25">
        <v>26.51</v>
      </c>
      <c r="F1158" s="379">
        <v>7.3748991974746918</v>
      </c>
      <c r="G1158" s="25">
        <v>81.709999999999994</v>
      </c>
      <c r="H1158" s="379">
        <v>3.6481803218920987</v>
      </c>
      <c r="I1158" s="25">
        <v>852.24</v>
      </c>
      <c r="J1158" s="379">
        <v>5.1354069621842902</v>
      </c>
    </row>
    <row r="1159" spans="1:10" x14ac:dyDescent="0.35">
      <c r="A1159" s="5">
        <v>1155</v>
      </c>
      <c r="B1159" s="5">
        <v>49</v>
      </c>
      <c r="C1159" s="5">
        <v>2</v>
      </c>
      <c r="D1159" s="379">
        <v>39.573888888888888</v>
      </c>
      <c r="E1159" s="25">
        <v>26.05</v>
      </c>
      <c r="F1159" s="379">
        <v>7.3553854609002052</v>
      </c>
      <c r="G1159" s="25">
        <v>62.33</v>
      </c>
      <c r="H1159" s="379">
        <v>4.1717208550456633</v>
      </c>
      <c r="I1159" s="25">
        <v>843.72</v>
      </c>
      <c r="J1159" s="379">
        <v>2.8247711454997315</v>
      </c>
    </row>
    <row r="1160" spans="1:10" x14ac:dyDescent="0.35">
      <c r="A1160" s="5">
        <v>1156</v>
      </c>
      <c r="B1160" s="5">
        <v>49</v>
      </c>
      <c r="C1160" s="5">
        <v>2</v>
      </c>
      <c r="D1160" s="379">
        <v>36.532222222222224</v>
      </c>
      <c r="E1160" s="25">
        <v>26.05</v>
      </c>
      <c r="F1160" s="379">
        <v>6.2568067048089029</v>
      </c>
      <c r="G1160" s="25">
        <v>62.12</v>
      </c>
      <c r="H1160" s="379">
        <v>4.1716707790908023</v>
      </c>
      <c r="I1160" s="25">
        <v>843.72</v>
      </c>
      <c r="J1160" s="379">
        <v>6.57374951505372</v>
      </c>
    </row>
    <row r="1161" spans="1:10" x14ac:dyDescent="0.35">
      <c r="A1161" s="5">
        <v>1157</v>
      </c>
      <c r="B1161" s="5">
        <v>49</v>
      </c>
      <c r="C1161" s="5">
        <v>2</v>
      </c>
      <c r="D1161" s="379">
        <v>32.940555555555555</v>
      </c>
      <c r="E1161" s="25">
        <v>26.05</v>
      </c>
      <c r="F1161" s="379">
        <v>6.246174188754507</v>
      </c>
      <c r="G1161" s="25">
        <v>62.12</v>
      </c>
      <c r="H1161" s="379">
        <v>4.1968667280903009</v>
      </c>
      <c r="I1161" s="25">
        <v>843.72</v>
      </c>
      <c r="J1161" s="379">
        <v>6.071050430312348</v>
      </c>
    </row>
    <row r="1162" spans="1:10" x14ac:dyDescent="0.35">
      <c r="A1162" s="5">
        <v>1158</v>
      </c>
      <c r="B1162" s="5">
        <v>49</v>
      </c>
      <c r="C1162" s="5">
        <v>2</v>
      </c>
      <c r="D1162" s="379">
        <v>34.829444444444448</v>
      </c>
      <c r="E1162" s="25">
        <v>26.51</v>
      </c>
      <c r="F1162" s="379">
        <v>6.9604618563297604</v>
      </c>
      <c r="G1162" s="25">
        <v>81.709999999999994</v>
      </c>
      <c r="H1162" s="379">
        <v>4.2423966122451535</v>
      </c>
      <c r="I1162" s="25">
        <v>843.72</v>
      </c>
      <c r="J1162" s="379">
        <v>6.6880912278157014</v>
      </c>
    </row>
    <row r="1163" spans="1:10" x14ac:dyDescent="0.35">
      <c r="A1163" s="5">
        <v>1159</v>
      </c>
      <c r="B1163" s="5">
        <v>49</v>
      </c>
      <c r="C1163" s="5">
        <v>2</v>
      </c>
      <c r="D1163" s="379">
        <v>39.18611111111111</v>
      </c>
      <c r="E1163" s="25">
        <v>28.95</v>
      </c>
      <c r="F1163" s="379">
        <v>5.7135407411305232</v>
      </c>
      <c r="G1163" s="25">
        <v>535.25</v>
      </c>
      <c r="H1163" s="379">
        <v>4.2423966122451535</v>
      </c>
      <c r="I1163" s="25">
        <v>869.03</v>
      </c>
      <c r="J1163" s="379">
        <v>6.5283571086173051</v>
      </c>
    </row>
    <row r="1164" spans="1:10" x14ac:dyDescent="0.35">
      <c r="A1164" s="5">
        <v>1160</v>
      </c>
      <c r="B1164" s="5">
        <v>49</v>
      </c>
      <c r="C1164" s="5">
        <v>2</v>
      </c>
      <c r="D1164" s="379">
        <v>42.679444444444449</v>
      </c>
      <c r="E1164" s="25">
        <v>37.090000000000003</v>
      </c>
      <c r="F1164" s="379">
        <v>6.123566509446265</v>
      </c>
      <c r="G1164" s="25">
        <v>843.72</v>
      </c>
      <c r="H1164" s="379">
        <v>4.2423966122451535</v>
      </c>
      <c r="I1164" s="25">
        <v>869.03</v>
      </c>
      <c r="J1164" s="379">
        <v>3.8169049254985952</v>
      </c>
    </row>
    <row r="1165" spans="1:10" x14ac:dyDescent="0.35">
      <c r="A1165" s="5">
        <v>1161</v>
      </c>
      <c r="B1165" s="5">
        <v>49</v>
      </c>
      <c r="C1165" s="5">
        <v>2</v>
      </c>
      <c r="D1165" s="379">
        <v>43.18</v>
      </c>
      <c r="E1165" s="25">
        <v>37.090000000000003</v>
      </c>
      <c r="F1165" s="379">
        <v>4.8463760391425925</v>
      </c>
      <c r="G1165" s="25">
        <v>869.03</v>
      </c>
      <c r="H1165" s="379">
        <v>0.90805017926655696</v>
      </c>
      <c r="I1165" s="25">
        <v>869.03</v>
      </c>
      <c r="J1165" s="379">
        <v>4.2959989804868943</v>
      </c>
    </row>
    <row r="1166" spans="1:10" x14ac:dyDescent="0.35">
      <c r="A1166" s="5">
        <v>1162</v>
      </c>
      <c r="B1166" s="5">
        <v>49</v>
      </c>
      <c r="C1166" s="5">
        <v>2</v>
      </c>
      <c r="D1166" s="379">
        <v>43.152222222222228</v>
      </c>
      <c r="E1166" s="25">
        <v>37.090000000000003</v>
      </c>
      <c r="F1166" s="379">
        <v>7.0758322092704988</v>
      </c>
      <c r="G1166" s="25">
        <v>843.72</v>
      </c>
      <c r="H1166" s="379">
        <v>5.7833125366183307</v>
      </c>
      <c r="I1166" s="25">
        <v>869.03</v>
      </c>
      <c r="J1166" s="379">
        <v>4.2892654603155007</v>
      </c>
    </row>
    <row r="1167" spans="1:10" x14ac:dyDescent="0.35">
      <c r="A1167" s="5">
        <v>1163</v>
      </c>
      <c r="B1167" s="5">
        <v>49</v>
      </c>
      <c r="C1167" s="5">
        <v>2</v>
      </c>
      <c r="D1167" s="379">
        <v>41.493888888888883</v>
      </c>
      <c r="E1167" s="25">
        <v>37.090000000000003</v>
      </c>
      <c r="F1167" s="379">
        <v>6.6236307131217087</v>
      </c>
      <c r="G1167" s="25">
        <v>623.41</v>
      </c>
      <c r="H1167" s="379">
        <v>2.1037820262921318</v>
      </c>
      <c r="I1167" s="25">
        <v>852.24</v>
      </c>
      <c r="J1167" s="379">
        <v>3.3871810691920561</v>
      </c>
    </row>
    <row r="1168" spans="1:10" x14ac:dyDescent="0.35">
      <c r="A1168" s="5">
        <v>1164</v>
      </c>
      <c r="B1168" s="5">
        <v>49</v>
      </c>
      <c r="C1168" s="5">
        <v>2</v>
      </c>
      <c r="D1168" s="379">
        <v>41.478333333333332</v>
      </c>
      <c r="E1168" s="25">
        <v>37.090000000000003</v>
      </c>
      <c r="F1168" s="379">
        <v>3.1862927660171962</v>
      </c>
      <c r="G1168" s="25">
        <v>623.41</v>
      </c>
      <c r="H1168" s="379">
        <v>1.8457190916956596</v>
      </c>
      <c r="I1168" s="25">
        <v>843.72</v>
      </c>
      <c r="J1168" s="379">
        <v>2.777777777777778E-2</v>
      </c>
    </row>
    <row r="1169" spans="1:10" x14ac:dyDescent="0.35">
      <c r="A1169" s="5">
        <v>1165</v>
      </c>
      <c r="B1169" s="5">
        <v>49</v>
      </c>
      <c r="C1169" s="5">
        <v>2</v>
      </c>
      <c r="D1169" s="379">
        <v>41.053333333333335</v>
      </c>
      <c r="E1169" s="25">
        <v>36.94</v>
      </c>
      <c r="F1169" s="379">
        <v>2.9056397857107101</v>
      </c>
      <c r="G1169" s="25">
        <v>623.41</v>
      </c>
      <c r="H1169" s="379">
        <v>1.8457190916956596</v>
      </c>
      <c r="I1169" s="25">
        <v>843.72</v>
      </c>
      <c r="J1169" s="379">
        <v>2.777777777777778E-2</v>
      </c>
    </row>
    <row r="1170" spans="1:10" x14ac:dyDescent="0.35">
      <c r="A1170" s="5">
        <v>1166</v>
      </c>
      <c r="B1170" s="5">
        <v>49</v>
      </c>
      <c r="C1170" s="5">
        <v>2</v>
      </c>
      <c r="D1170" s="379">
        <v>37.943333333333335</v>
      </c>
      <c r="E1170" s="25">
        <v>36.94</v>
      </c>
      <c r="F1170" s="379">
        <v>2.5716365716527578</v>
      </c>
      <c r="G1170" s="25">
        <v>535.25</v>
      </c>
      <c r="H1170" s="379">
        <v>1.875552840195911</v>
      </c>
      <c r="I1170" s="25">
        <v>760.84</v>
      </c>
      <c r="J1170" s="379">
        <v>2.777777777777778E-2</v>
      </c>
    </row>
    <row r="1171" spans="1:10" x14ac:dyDescent="0.35">
      <c r="A1171" s="5">
        <v>1167</v>
      </c>
      <c r="B1171" s="5">
        <v>49</v>
      </c>
      <c r="C1171" s="5">
        <v>2</v>
      </c>
      <c r="D1171" s="379">
        <v>37.194999999999993</v>
      </c>
      <c r="E1171" s="25">
        <v>36.01</v>
      </c>
      <c r="F1171" s="379">
        <v>2.5565215798229359</v>
      </c>
      <c r="G1171" s="25">
        <v>529.9</v>
      </c>
      <c r="H1171" s="379">
        <v>1.875552840195911</v>
      </c>
      <c r="I1171" s="25">
        <v>760.84</v>
      </c>
      <c r="J1171" s="379">
        <v>2.777777777777778E-2</v>
      </c>
    </row>
    <row r="1172" spans="1:10" x14ac:dyDescent="0.35">
      <c r="A1172" s="5">
        <v>1168</v>
      </c>
      <c r="B1172" s="5">
        <v>49</v>
      </c>
      <c r="C1172" s="5">
        <v>2</v>
      </c>
      <c r="D1172" s="379">
        <v>37.706111111111113</v>
      </c>
      <c r="E1172" s="25">
        <v>36.01</v>
      </c>
      <c r="F1172" s="379">
        <v>2.5716365716527578</v>
      </c>
      <c r="G1172" s="25">
        <v>529.9</v>
      </c>
      <c r="H1172" s="379">
        <v>1.875552840195911</v>
      </c>
      <c r="I1172" s="25">
        <v>843.72</v>
      </c>
      <c r="J1172" s="379">
        <v>2.777777777777778E-2</v>
      </c>
    </row>
    <row r="1173" spans="1:10" x14ac:dyDescent="0.35">
      <c r="A1173" s="5">
        <v>1169</v>
      </c>
      <c r="B1173" s="5">
        <v>49</v>
      </c>
      <c r="C1173" s="5">
        <v>2</v>
      </c>
      <c r="D1173" s="379">
        <v>38.79944444444444</v>
      </c>
      <c r="E1173" s="25">
        <v>37.090000000000003</v>
      </c>
      <c r="F1173" s="379">
        <v>5.2646063248696606</v>
      </c>
      <c r="G1173" s="25">
        <v>529.9</v>
      </c>
      <c r="H1173" s="379">
        <v>0.24945366586245876</v>
      </c>
      <c r="I1173" s="25">
        <v>843.72</v>
      </c>
      <c r="J1173" s="379">
        <v>2.777777777777778E-2</v>
      </c>
    </row>
    <row r="1174" spans="1:10" x14ac:dyDescent="0.35">
      <c r="A1174" s="5">
        <v>1170</v>
      </c>
      <c r="B1174" s="5">
        <v>49</v>
      </c>
      <c r="C1174" s="5">
        <v>2</v>
      </c>
      <c r="D1174" s="379">
        <v>43.316666666666663</v>
      </c>
      <c r="E1174" s="25">
        <v>37.090000000000003</v>
      </c>
      <c r="F1174" s="379">
        <v>5.8066375372123957</v>
      </c>
      <c r="G1174" s="25">
        <v>623.41</v>
      </c>
      <c r="H1174" s="379">
        <v>4.0197253342355239</v>
      </c>
      <c r="I1174" s="25">
        <v>869.03</v>
      </c>
      <c r="J1174" s="379">
        <v>4.7862980820538157</v>
      </c>
    </row>
    <row r="1175" spans="1:10" x14ac:dyDescent="0.35">
      <c r="A1175" s="5">
        <v>1171</v>
      </c>
      <c r="B1175" s="5">
        <v>49</v>
      </c>
      <c r="C1175" s="5">
        <v>2</v>
      </c>
      <c r="D1175" s="379">
        <v>45.82</v>
      </c>
      <c r="E1175" s="25">
        <v>37.090000000000003</v>
      </c>
      <c r="F1175" s="379">
        <v>5.4924418238554544</v>
      </c>
      <c r="G1175" s="25">
        <v>869.03</v>
      </c>
      <c r="H1175" s="379">
        <v>4.2830391398780332</v>
      </c>
      <c r="I1175" s="25">
        <v>869.03</v>
      </c>
      <c r="J1175" s="379">
        <v>4.2486957006494768</v>
      </c>
    </row>
    <row r="1176" spans="1:10" x14ac:dyDescent="0.35">
      <c r="A1176" s="5">
        <v>1172</v>
      </c>
      <c r="B1176" s="5">
        <v>49</v>
      </c>
      <c r="C1176" s="5">
        <v>2</v>
      </c>
      <c r="D1176" s="379">
        <v>44.566666666666663</v>
      </c>
      <c r="E1176" s="25">
        <v>37.090000000000003</v>
      </c>
      <c r="F1176" s="379">
        <v>5.8066375372123957</v>
      </c>
      <c r="G1176" s="25">
        <v>843.72</v>
      </c>
      <c r="H1176" s="379">
        <v>4.2604070853188283</v>
      </c>
      <c r="I1176" s="25">
        <v>869.03</v>
      </c>
      <c r="J1176" s="379">
        <v>4.2486957006494777</v>
      </c>
    </row>
    <row r="1177" spans="1:10" x14ac:dyDescent="0.35">
      <c r="A1177" s="5">
        <v>1173</v>
      </c>
      <c r="B1177" s="5">
        <v>49</v>
      </c>
      <c r="C1177" s="5">
        <v>2</v>
      </c>
      <c r="D1177" s="379">
        <v>41.794999999999995</v>
      </c>
      <c r="E1177" s="25">
        <v>37.090000000000003</v>
      </c>
      <c r="F1177" s="379">
        <v>6.2243138489245098</v>
      </c>
      <c r="G1177" s="25">
        <v>535.25</v>
      </c>
      <c r="H1177" s="379">
        <v>3.0082690329072119</v>
      </c>
      <c r="I1177" s="25">
        <v>852.24</v>
      </c>
      <c r="J1177" s="379">
        <v>2.2968100783650947</v>
      </c>
    </row>
    <row r="1178" spans="1:10" x14ac:dyDescent="0.35">
      <c r="A1178" s="5">
        <v>1174</v>
      </c>
      <c r="B1178" s="5">
        <v>49</v>
      </c>
      <c r="C1178" s="5">
        <v>2</v>
      </c>
      <c r="D1178" s="379">
        <v>40.054999999999993</v>
      </c>
      <c r="E1178" s="25">
        <v>35.869999999999997</v>
      </c>
      <c r="F1178" s="379">
        <v>5.2495372840531962</v>
      </c>
      <c r="G1178" s="25">
        <v>69.45</v>
      </c>
      <c r="H1178" s="379">
        <v>2.7999448273667809</v>
      </c>
      <c r="I1178" s="25">
        <v>843.72</v>
      </c>
      <c r="J1178" s="379">
        <v>4.0347814118497167</v>
      </c>
    </row>
    <row r="1179" spans="1:10" x14ac:dyDescent="0.35">
      <c r="A1179" s="5">
        <v>1175</v>
      </c>
      <c r="B1179" s="5">
        <v>49</v>
      </c>
      <c r="C1179" s="5">
        <v>2</v>
      </c>
      <c r="D1179" s="379">
        <v>38.524999999999999</v>
      </c>
      <c r="E1179" s="25">
        <v>27.3</v>
      </c>
      <c r="F1179" s="379">
        <v>5.0180873690839531</v>
      </c>
      <c r="G1179" s="25">
        <v>81.709999999999994</v>
      </c>
      <c r="H1179" s="379">
        <v>2.5141078546910056</v>
      </c>
      <c r="I1179" s="25">
        <v>843.72</v>
      </c>
      <c r="J1179" s="379">
        <v>4.2051643267088252</v>
      </c>
    </row>
    <row r="1180" spans="1:10" x14ac:dyDescent="0.35">
      <c r="A1180" s="5">
        <v>1176</v>
      </c>
      <c r="B1180" s="5">
        <v>49</v>
      </c>
      <c r="C1180" s="5">
        <v>2</v>
      </c>
      <c r="D1180" s="379">
        <v>34.961666666666666</v>
      </c>
      <c r="E1180" s="25">
        <v>26.05</v>
      </c>
      <c r="F1180" s="379">
        <v>4.7746902932214423</v>
      </c>
      <c r="G1180" s="25">
        <v>81.709999999999994</v>
      </c>
      <c r="H1180" s="379">
        <v>2.1383975996487101</v>
      </c>
      <c r="I1180" s="25">
        <v>843.72</v>
      </c>
      <c r="J1180" s="379">
        <v>3.3493397777294849</v>
      </c>
    </row>
    <row r="1181" spans="1:10" x14ac:dyDescent="0.35">
      <c r="A1181" s="5">
        <v>1177</v>
      </c>
      <c r="B1181" s="5">
        <v>50</v>
      </c>
      <c r="C1181" s="5">
        <v>2</v>
      </c>
      <c r="D1181" s="379">
        <v>31.858333333333327</v>
      </c>
      <c r="E1181" s="25">
        <v>25.74</v>
      </c>
      <c r="F1181" s="379">
        <v>5.1497534537829859</v>
      </c>
      <c r="G1181" s="25">
        <v>54.57</v>
      </c>
      <c r="H1181" s="379">
        <v>2.511082940233385</v>
      </c>
      <c r="I1181" s="25">
        <v>603.30999999999995</v>
      </c>
      <c r="J1181" s="379">
        <v>3.5382954098483497</v>
      </c>
    </row>
    <row r="1182" spans="1:10" x14ac:dyDescent="0.35">
      <c r="A1182" s="5">
        <v>1178</v>
      </c>
      <c r="B1182" s="5">
        <v>50</v>
      </c>
      <c r="C1182" s="5">
        <v>2</v>
      </c>
      <c r="D1182" s="379">
        <v>29.774999999999995</v>
      </c>
      <c r="E1182" s="25">
        <v>25.59</v>
      </c>
      <c r="F1182" s="379">
        <v>4.9842488458669907</v>
      </c>
      <c r="G1182" s="25">
        <v>54.57</v>
      </c>
      <c r="H1182" s="379">
        <v>2.4643717382873866</v>
      </c>
      <c r="I1182" s="25">
        <v>512.82000000000005</v>
      </c>
      <c r="J1182" s="379">
        <v>1.2740401594205251</v>
      </c>
    </row>
    <row r="1183" spans="1:10" x14ac:dyDescent="0.35">
      <c r="A1183" s="5">
        <v>1179</v>
      </c>
      <c r="B1183" s="5">
        <v>50</v>
      </c>
      <c r="C1183" s="5">
        <v>2</v>
      </c>
      <c r="D1183" s="379">
        <v>26.395</v>
      </c>
      <c r="E1183" s="25">
        <v>25.59</v>
      </c>
      <c r="F1183" s="379">
        <v>5.4256095840238707</v>
      </c>
      <c r="G1183" s="25">
        <v>54.39</v>
      </c>
      <c r="H1183" s="379">
        <v>2.4447145012372711</v>
      </c>
      <c r="I1183" s="25">
        <v>512.82000000000005</v>
      </c>
      <c r="J1183" s="379">
        <v>0.45640383487811348</v>
      </c>
    </row>
    <row r="1184" spans="1:10" x14ac:dyDescent="0.35">
      <c r="A1184" s="5">
        <v>1180</v>
      </c>
      <c r="B1184" s="5">
        <v>50</v>
      </c>
      <c r="C1184" s="5">
        <v>2</v>
      </c>
      <c r="D1184" s="379">
        <v>23.91611111111111</v>
      </c>
      <c r="E1184" s="25">
        <v>25.59</v>
      </c>
      <c r="F1184" s="379">
        <v>5.1102865007856328</v>
      </c>
      <c r="G1184" s="25">
        <v>52.8</v>
      </c>
      <c r="H1184" s="379">
        <v>2.19101205751226</v>
      </c>
      <c r="I1184" s="25">
        <v>512.82000000000005</v>
      </c>
      <c r="J1184" s="379">
        <v>4.1721603005938581</v>
      </c>
    </row>
    <row r="1185" spans="1:10" x14ac:dyDescent="0.35">
      <c r="A1185" s="5">
        <v>1181</v>
      </c>
      <c r="B1185" s="5">
        <v>50</v>
      </c>
      <c r="C1185" s="5">
        <v>2</v>
      </c>
      <c r="D1185" s="379">
        <v>23.845555555555556</v>
      </c>
      <c r="E1185" s="25">
        <v>25.59</v>
      </c>
      <c r="F1185" s="379">
        <v>4.8624794352902425</v>
      </c>
      <c r="G1185" s="25">
        <v>52.8</v>
      </c>
      <c r="H1185" s="379">
        <v>2.0860388568690373</v>
      </c>
      <c r="I1185" s="25">
        <v>512.82000000000005</v>
      </c>
      <c r="J1185" s="379">
        <v>3.6642854085265708</v>
      </c>
    </row>
    <row r="1186" spans="1:10" x14ac:dyDescent="0.35">
      <c r="A1186" s="5">
        <v>1182</v>
      </c>
      <c r="B1186" s="5">
        <v>50</v>
      </c>
      <c r="C1186" s="5">
        <v>2</v>
      </c>
      <c r="D1186" s="379">
        <v>26.473333333333333</v>
      </c>
      <c r="E1186" s="25">
        <v>25.74</v>
      </c>
      <c r="F1186" s="379">
        <v>4.652651460610584</v>
      </c>
      <c r="G1186" s="25">
        <v>54.39</v>
      </c>
      <c r="H1186" s="379">
        <v>1.701781400784427</v>
      </c>
      <c r="I1186" s="25">
        <v>512.82000000000005</v>
      </c>
      <c r="J1186" s="379">
        <v>4.2054179986782607</v>
      </c>
    </row>
    <row r="1187" spans="1:10" x14ac:dyDescent="0.35">
      <c r="A1187" s="5">
        <v>1183</v>
      </c>
      <c r="B1187" s="5">
        <v>50</v>
      </c>
      <c r="C1187" s="5">
        <v>2</v>
      </c>
      <c r="D1187" s="379">
        <v>29.821111111111115</v>
      </c>
      <c r="E1187" s="25">
        <v>26.35</v>
      </c>
      <c r="F1187" s="379">
        <v>4.2828583941115612</v>
      </c>
      <c r="G1187" s="25">
        <v>63.98</v>
      </c>
      <c r="H1187" s="379">
        <v>1.9458153259271358</v>
      </c>
      <c r="I1187" s="25">
        <v>603.30999999999995</v>
      </c>
      <c r="J1187" s="379">
        <v>2.4497883774987281</v>
      </c>
    </row>
    <row r="1188" spans="1:10" x14ac:dyDescent="0.35">
      <c r="A1188" s="5">
        <v>1184</v>
      </c>
      <c r="B1188" s="5">
        <v>50</v>
      </c>
      <c r="C1188" s="5">
        <v>2</v>
      </c>
      <c r="D1188" s="379">
        <v>31.973333333333333</v>
      </c>
      <c r="E1188" s="25">
        <v>28.11</v>
      </c>
      <c r="F1188" s="379">
        <v>4.1036205691807943</v>
      </c>
      <c r="G1188" s="25">
        <v>63.98</v>
      </c>
      <c r="H1188" s="379">
        <v>2.2661670720120419</v>
      </c>
      <c r="I1188" s="25">
        <v>683.76</v>
      </c>
      <c r="J1188" s="379">
        <v>4.2054179986782607</v>
      </c>
    </row>
    <row r="1189" spans="1:10" x14ac:dyDescent="0.35">
      <c r="A1189" s="5">
        <v>1185</v>
      </c>
      <c r="B1189" s="5">
        <v>50</v>
      </c>
      <c r="C1189" s="5">
        <v>2</v>
      </c>
      <c r="D1189" s="379">
        <v>34.867777777777775</v>
      </c>
      <c r="E1189" s="25">
        <v>30.1</v>
      </c>
      <c r="F1189" s="379">
        <v>3.8714450009455721</v>
      </c>
      <c r="G1189" s="25">
        <v>63.98</v>
      </c>
      <c r="H1189" s="379">
        <v>1.9408398558472131</v>
      </c>
      <c r="I1189" s="25">
        <v>603.30999999999995</v>
      </c>
      <c r="J1189" s="379">
        <v>4.2054179986782607</v>
      </c>
    </row>
    <row r="1190" spans="1:10" x14ac:dyDescent="0.35">
      <c r="A1190" s="5">
        <v>1186</v>
      </c>
      <c r="B1190" s="5">
        <v>50</v>
      </c>
      <c r="C1190" s="5">
        <v>2</v>
      </c>
      <c r="D1190" s="379">
        <v>35.367777777777775</v>
      </c>
      <c r="E1190" s="25">
        <v>30.1</v>
      </c>
      <c r="F1190" s="379">
        <v>0.14480167642852412</v>
      </c>
      <c r="G1190" s="25">
        <v>63.98</v>
      </c>
      <c r="H1190" s="379">
        <v>1.875552840195911</v>
      </c>
      <c r="I1190" s="25">
        <v>603.30999999999995</v>
      </c>
      <c r="J1190" s="379">
        <v>1.3605549470073204</v>
      </c>
    </row>
    <row r="1191" spans="1:10" x14ac:dyDescent="0.35">
      <c r="A1191" s="5">
        <v>1187</v>
      </c>
      <c r="B1191" s="5">
        <v>50</v>
      </c>
      <c r="C1191" s="5">
        <v>2</v>
      </c>
      <c r="D1191" s="379">
        <v>34.542222222222222</v>
      </c>
      <c r="E1191" s="25">
        <v>28.12</v>
      </c>
      <c r="F1191" s="379">
        <v>3.714477901822574</v>
      </c>
      <c r="G1191" s="25">
        <v>63.98</v>
      </c>
      <c r="H1191" s="379">
        <v>1.875552840195911</v>
      </c>
      <c r="I1191" s="25">
        <v>82.45</v>
      </c>
      <c r="J1191" s="379">
        <v>2.777777777777778E-2</v>
      </c>
    </row>
    <row r="1192" spans="1:10" x14ac:dyDescent="0.35">
      <c r="A1192" s="5">
        <v>1188</v>
      </c>
      <c r="B1192" s="5">
        <v>50</v>
      </c>
      <c r="C1192" s="5">
        <v>2</v>
      </c>
      <c r="D1192" s="379">
        <v>33.695</v>
      </c>
      <c r="E1192" s="25">
        <v>26.51</v>
      </c>
      <c r="F1192" s="379">
        <v>3.2727733956087586</v>
      </c>
      <c r="G1192" s="25">
        <v>62.12</v>
      </c>
      <c r="H1192" s="379">
        <v>1.875552840195911</v>
      </c>
      <c r="I1192" s="25">
        <v>74.349999999999994</v>
      </c>
      <c r="J1192" s="379">
        <v>2.777777777777778E-2</v>
      </c>
    </row>
    <row r="1193" spans="1:10" x14ac:dyDescent="0.35">
      <c r="A1193" s="5">
        <v>1189</v>
      </c>
      <c r="B1193" s="5">
        <v>50</v>
      </c>
      <c r="C1193" s="5">
        <v>2</v>
      </c>
      <c r="D1193" s="379">
        <v>32.755555555555553</v>
      </c>
      <c r="E1193" s="25">
        <v>25.74</v>
      </c>
      <c r="F1193" s="379">
        <v>3.2727733956087586</v>
      </c>
      <c r="G1193" s="25">
        <v>57.62</v>
      </c>
      <c r="H1193" s="379">
        <v>1.8457190916956596</v>
      </c>
      <c r="I1193" s="25">
        <v>68.05</v>
      </c>
      <c r="J1193" s="379">
        <v>2.777777777777778E-2</v>
      </c>
    </row>
    <row r="1194" spans="1:10" x14ac:dyDescent="0.35">
      <c r="A1194" s="5">
        <v>1190</v>
      </c>
      <c r="B1194" s="5">
        <v>50</v>
      </c>
      <c r="C1194" s="5">
        <v>2</v>
      </c>
      <c r="D1194" s="379">
        <v>31.191666666666666</v>
      </c>
      <c r="E1194" s="25">
        <v>25.74</v>
      </c>
      <c r="F1194" s="379">
        <v>3.2727733956087586</v>
      </c>
      <c r="G1194" s="25">
        <v>54.94</v>
      </c>
      <c r="H1194" s="379">
        <v>1.8457190916956596</v>
      </c>
      <c r="I1194" s="25">
        <v>68.05</v>
      </c>
      <c r="J1194" s="379">
        <v>2.777777777777778E-2</v>
      </c>
    </row>
    <row r="1195" spans="1:10" x14ac:dyDescent="0.35">
      <c r="A1195" s="5">
        <v>1191</v>
      </c>
      <c r="B1195" s="5">
        <v>50</v>
      </c>
      <c r="C1195" s="5">
        <v>2</v>
      </c>
      <c r="D1195" s="379">
        <v>31.223333333333333</v>
      </c>
      <c r="E1195" s="25">
        <v>25.74</v>
      </c>
      <c r="F1195" s="379">
        <v>3.2727733956087586</v>
      </c>
      <c r="G1195" s="25">
        <v>54.39</v>
      </c>
      <c r="H1195" s="379">
        <v>1.875552840195911</v>
      </c>
      <c r="I1195" s="25">
        <v>68.05</v>
      </c>
      <c r="J1195" s="379">
        <v>2.777777777777778E-2</v>
      </c>
    </row>
    <row r="1196" spans="1:10" x14ac:dyDescent="0.35">
      <c r="A1196" s="5">
        <v>1192</v>
      </c>
      <c r="B1196" s="5">
        <v>50</v>
      </c>
      <c r="C1196" s="5">
        <v>2</v>
      </c>
      <c r="D1196" s="379">
        <v>29.574444444444442</v>
      </c>
      <c r="E1196" s="25">
        <v>25.74</v>
      </c>
      <c r="F1196" s="379">
        <v>3.2727733956087586</v>
      </c>
      <c r="G1196" s="25">
        <v>54.39</v>
      </c>
      <c r="H1196" s="379">
        <v>1.875552840195911</v>
      </c>
      <c r="I1196" s="25">
        <v>68.05</v>
      </c>
      <c r="J1196" s="379">
        <v>2.777777777777778E-2</v>
      </c>
    </row>
    <row r="1197" spans="1:10" x14ac:dyDescent="0.35">
      <c r="A1197" s="5">
        <v>1193</v>
      </c>
      <c r="B1197" s="5">
        <v>50</v>
      </c>
      <c r="C1197" s="5">
        <v>2</v>
      </c>
      <c r="D1197" s="379">
        <v>31.614444444444448</v>
      </c>
      <c r="E1197" s="25">
        <v>26.51</v>
      </c>
      <c r="F1197" s="379">
        <v>6.757223984899035</v>
      </c>
      <c r="G1197" s="25">
        <v>54.39</v>
      </c>
      <c r="H1197" s="379">
        <v>2.1305851077053028</v>
      </c>
      <c r="I1197" s="25">
        <v>73.61</v>
      </c>
      <c r="J1197" s="379">
        <v>2.777777777777778E-2</v>
      </c>
    </row>
    <row r="1198" spans="1:10" x14ac:dyDescent="0.35">
      <c r="A1198" s="5">
        <v>1194</v>
      </c>
      <c r="B1198" s="5">
        <v>50</v>
      </c>
      <c r="C1198" s="5">
        <v>2</v>
      </c>
      <c r="D1198" s="379">
        <v>40.898888888888891</v>
      </c>
      <c r="E1198" s="25">
        <v>26.51</v>
      </c>
      <c r="F1198" s="379">
        <v>8.4660655782462584</v>
      </c>
      <c r="G1198" s="25">
        <v>54.94</v>
      </c>
      <c r="H1198" s="379">
        <v>4.3513879673351044</v>
      </c>
      <c r="I1198" s="25">
        <v>80.05</v>
      </c>
      <c r="J1198" s="379">
        <v>4.175468097518209</v>
      </c>
    </row>
    <row r="1199" spans="1:10" x14ac:dyDescent="0.35">
      <c r="A1199" s="5">
        <v>1195</v>
      </c>
      <c r="B1199" s="5">
        <v>50</v>
      </c>
      <c r="C1199" s="5">
        <v>2</v>
      </c>
      <c r="D1199" s="379">
        <v>44.87777777777778</v>
      </c>
      <c r="E1199" s="25">
        <v>29.23</v>
      </c>
      <c r="F1199" s="379">
        <v>9.3140396330870434</v>
      </c>
      <c r="G1199" s="25">
        <v>63.98</v>
      </c>
      <c r="H1199" s="379">
        <v>4.5674788817396648</v>
      </c>
      <c r="I1199" s="25">
        <v>603.30999999999995</v>
      </c>
      <c r="J1199" s="379">
        <v>3.5189211246129992</v>
      </c>
    </row>
    <row r="1200" spans="1:10" x14ac:dyDescent="0.35">
      <c r="A1200" s="5">
        <v>1196</v>
      </c>
      <c r="B1200" s="5">
        <v>50</v>
      </c>
      <c r="C1200" s="5">
        <v>2</v>
      </c>
      <c r="D1200" s="379">
        <v>40.791111111111114</v>
      </c>
      <c r="E1200" s="25">
        <v>27.3</v>
      </c>
      <c r="F1200" s="379">
        <v>8.5345336731866759</v>
      </c>
      <c r="G1200" s="25">
        <v>63.98</v>
      </c>
      <c r="H1200" s="379">
        <v>4.5109857537804547</v>
      </c>
      <c r="I1200" s="25">
        <v>80.05</v>
      </c>
      <c r="J1200" s="379">
        <v>4.6058331608112475</v>
      </c>
    </row>
    <row r="1201" spans="1:10" x14ac:dyDescent="0.35">
      <c r="A1201" s="5">
        <v>1197</v>
      </c>
      <c r="B1201" s="5">
        <v>50</v>
      </c>
      <c r="C1201" s="5">
        <v>2</v>
      </c>
      <c r="D1201" s="379">
        <v>38.376666666666665</v>
      </c>
      <c r="E1201" s="25">
        <v>25.74</v>
      </c>
      <c r="F1201" s="379">
        <v>8.1174834595959595</v>
      </c>
      <c r="G1201" s="25">
        <v>54.94</v>
      </c>
      <c r="H1201" s="379">
        <v>4.2412690895465213</v>
      </c>
      <c r="I1201" s="25">
        <v>73.61</v>
      </c>
      <c r="J1201" s="379">
        <v>2.8602819629159599</v>
      </c>
    </row>
    <row r="1202" spans="1:10" x14ac:dyDescent="0.35">
      <c r="A1202" s="5">
        <v>1198</v>
      </c>
      <c r="B1202" s="5">
        <v>50</v>
      </c>
      <c r="C1202" s="5">
        <v>2</v>
      </c>
      <c r="D1202" s="379">
        <v>37.953333333333333</v>
      </c>
      <c r="E1202" s="25">
        <v>25.74</v>
      </c>
      <c r="F1202" s="379">
        <v>8.1174834595959613</v>
      </c>
      <c r="G1202" s="25">
        <v>51.26</v>
      </c>
      <c r="H1202" s="379">
        <v>4.6865744453460323</v>
      </c>
      <c r="I1202" s="25">
        <v>68.05</v>
      </c>
      <c r="J1202" s="379">
        <v>2.7108828958306508</v>
      </c>
    </row>
    <row r="1203" spans="1:10" x14ac:dyDescent="0.35">
      <c r="A1203" s="5">
        <v>1199</v>
      </c>
      <c r="B1203" s="5">
        <v>50</v>
      </c>
      <c r="C1203" s="5">
        <v>2</v>
      </c>
      <c r="D1203" s="379">
        <v>34.871111111111112</v>
      </c>
      <c r="E1203" s="25">
        <v>25.74</v>
      </c>
      <c r="F1203" s="379">
        <v>8.1174834595959577</v>
      </c>
      <c r="G1203" s="25">
        <v>52.67</v>
      </c>
      <c r="H1203" s="379">
        <v>4.0755432756769823</v>
      </c>
      <c r="I1203" s="25">
        <v>66.06</v>
      </c>
      <c r="J1203" s="379">
        <v>3.5674499010611034</v>
      </c>
    </row>
    <row r="1204" spans="1:10" x14ac:dyDescent="0.35">
      <c r="A1204" s="5">
        <v>1200</v>
      </c>
      <c r="B1204" s="5">
        <v>50</v>
      </c>
      <c r="C1204" s="5">
        <v>2</v>
      </c>
      <c r="D1204" s="379">
        <v>37.028333333333329</v>
      </c>
      <c r="E1204" s="25">
        <v>25.59</v>
      </c>
      <c r="F1204" s="379">
        <v>7.7047016313787244</v>
      </c>
      <c r="G1204" s="25">
        <v>48.88</v>
      </c>
      <c r="H1204" s="379">
        <v>4.075955149378756</v>
      </c>
      <c r="I1204" s="25">
        <v>56.56</v>
      </c>
      <c r="J1204" s="379">
        <v>4.2101372912784889</v>
      </c>
    </row>
    <row r="1205" spans="1:10" x14ac:dyDescent="0.35">
      <c r="A1205" s="5">
        <v>1201</v>
      </c>
      <c r="B1205" s="5">
        <v>51</v>
      </c>
      <c r="C1205" s="5">
        <v>2</v>
      </c>
      <c r="D1205" s="379">
        <v>33.633333333333333</v>
      </c>
      <c r="E1205" s="25">
        <v>24.84</v>
      </c>
      <c r="F1205" s="379">
        <v>7.7205960643713221</v>
      </c>
      <c r="G1205" s="25">
        <v>46.03</v>
      </c>
      <c r="H1205" s="379">
        <v>3.6729691938231013</v>
      </c>
      <c r="I1205" s="25">
        <v>50.33</v>
      </c>
      <c r="J1205" s="379">
        <v>4.0944264133177581</v>
      </c>
    </row>
    <row r="1206" spans="1:10" x14ac:dyDescent="0.35">
      <c r="A1206" s="5">
        <v>1202</v>
      </c>
      <c r="B1206" s="5">
        <v>51</v>
      </c>
      <c r="C1206" s="5">
        <v>2</v>
      </c>
      <c r="D1206" s="379">
        <v>31.560000000000002</v>
      </c>
      <c r="E1206" s="25">
        <v>24.84</v>
      </c>
      <c r="F1206" s="379">
        <v>7.8205356603132827</v>
      </c>
      <c r="G1206" s="25">
        <v>44.74</v>
      </c>
      <c r="H1206" s="379">
        <v>3.8193103355813878</v>
      </c>
      <c r="I1206" s="25">
        <v>50.33</v>
      </c>
      <c r="J1206" s="379">
        <v>3.5668057416029848</v>
      </c>
    </row>
    <row r="1207" spans="1:10" x14ac:dyDescent="0.35">
      <c r="A1207" s="5">
        <v>1203</v>
      </c>
      <c r="B1207" s="5">
        <v>51</v>
      </c>
      <c r="C1207" s="5">
        <v>2</v>
      </c>
      <c r="D1207" s="379">
        <v>29.092222222222226</v>
      </c>
      <c r="E1207" s="25">
        <v>24.84</v>
      </c>
      <c r="F1207" s="379">
        <v>7.864600773163799</v>
      </c>
      <c r="G1207" s="25">
        <v>44.74</v>
      </c>
      <c r="H1207" s="379">
        <v>3.5248930766261157</v>
      </c>
      <c r="I1207" s="25">
        <v>48.86</v>
      </c>
      <c r="J1207" s="379">
        <v>4.5205174500510443</v>
      </c>
    </row>
    <row r="1208" spans="1:10" x14ac:dyDescent="0.35">
      <c r="A1208" s="5">
        <v>1204</v>
      </c>
      <c r="B1208" s="5">
        <v>51</v>
      </c>
      <c r="C1208" s="5">
        <v>2</v>
      </c>
      <c r="D1208" s="379">
        <v>27.02333333333333</v>
      </c>
      <c r="E1208" s="25">
        <v>24.84</v>
      </c>
      <c r="F1208" s="379">
        <v>7.8432197395182399</v>
      </c>
      <c r="G1208" s="25">
        <v>44.74</v>
      </c>
      <c r="H1208" s="379">
        <v>3.3851547048988611</v>
      </c>
      <c r="I1208" s="25">
        <v>48.86</v>
      </c>
      <c r="J1208" s="379">
        <v>4.4287306814353595</v>
      </c>
    </row>
    <row r="1209" spans="1:10" x14ac:dyDescent="0.35">
      <c r="A1209" s="5">
        <v>1205</v>
      </c>
      <c r="B1209" s="5">
        <v>51</v>
      </c>
      <c r="C1209" s="5">
        <v>2</v>
      </c>
      <c r="D1209" s="379">
        <v>24.252777777777776</v>
      </c>
      <c r="E1209" s="25">
        <v>24.84</v>
      </c>
      <c r="F1209" s="379">
        <v>7.8678106494057083</v>
      </c>
      <c r="G1209" s="25">
        <v>44.74</v>
      </c>
      <c r="H1209" s="379">
        <v>3.7760887072979172</v>
      </c>
      <c r="I1209" s="25">
        <v>48.86</v>
      </c>
      <c r="J1209" s="379">
        <v>4.5703334976066872</v>
      </c>
    </row>
    <row r="1210" spans="1:10" x14ac:dyDescent="0.35">
      <c r="A1210" s="5">
        <v>1206</v>
      </c>
      <c r="B1210" s="5">
        <v>51</v>
      </c>
      <c r="C1210" s="5">
        <v>2</v>
      </c>
      <c r="D1210" s="379">
        <v>23.91611111111111</v>
      </c>
      <c r="E1210" s="25">
        <v>24.84</v>
      </c>
      <c r="F1210" s="379">
        <v>7.7893185994475713</v>
      </c>
      <c r="G1210" s="25">
        <v>44.74</v>
      </c>
      <c r="H1210" s="379">
        <v>3.435669235904188</v>
      </c>
      <c r="I1210" s="25">
        <v>50.33</v>
      </c>
      <c r="J1210" s="379">
        <v>4.2015928046468245</v>
      </c>
    </row>
    <row r="1211" spans="1:10" x14ac:dyDescent="0.35">
      <c r="A1211" s="5">
        <v>1207</v>
      </c>
      <c r="B1211" s="5">
        <v>51</v>
      </c>
      <c r="C1211" s="5">
        <v>2</v>
      </c>
      <c r="D1211" s="379">
        <v>23.966111111111108</v>
      </c>
      <c r="E1211" s="25">
        <v>24.84</v>
      </c>
      <c r="F1211" s="379">
        <v>8.4071406962201003</v>
      </c>
      <c r="G1211" s="25">
        <v>44.74</v>
      </c>
      <c r="H1211" s="379">
        <v>3.7880554655520529</v>
      </c>
      <c r="I1211" s="25">
        <v>50.33</v>
      </c>
      <c r="J1211" s="379">
        <v>4.8770082247341167</v>
      </c>
    </row>
    <row r="1212" spans="1:10" x14ac:dyDescent="0.35">
      <c r="A1212" s="5">
        <v>1208</v>
      </c>
      <c r="B1212" s="5">
        <v>51</v>
      </c>
      <c r="C1212" s="5">
        <v>2</v>
      </c>
      <c r="D1212" s="379">
        <v>24.447222222222219</v>
      </c>
      <c r="E1212" s="25">
        <v>24.99</v>
      </c>
      <c r="F1212" s="379">
        <v>8.713712044836841</v>
      </c>
      <c r="G1212" s="25">
        <v>44.93</v>
      </c>
      <c r="H1212" s="379">
        <v>4.9954069622502608</v>
      </c>
      <c r="I1212" s="25">
        <v>50.84</v>
      </c>
      <c r="J1212" s="379">
        <v>4.8612398974088382</v>
      </c>
    </row>
    <row r="1213" spans="1:10" x14ac:dyDescent="0.35">
      <c r="A1213" s="5">
        <v>1209</v>
      </c>
      <c r="B1213" s="5">
        <v>51</v>
      </c>
      <c r="C1213" s="5">
        <v>2</v>
      </c>
      <c r="D1213" s="379">
        <v>28.859444444444446</v>
      </c>
      <c r="E1213" s="25">
        <v>24.99</v>
      </c>
      <c r="F1213" s="379">
        <v>8.7219061205624424</v>
      </c>
      <c r="G1213" s="25">
        <v>46.03</v>
      </c>
      <c r="H1213" s="379">
        <v>5.2616827046702426</v>
      </c>
      <c r="I1213" s="25">
        <v>53.51</v>
      </c>
      <c r="J1213" s="379">
        <v>6.140036810374216</v>
      </c>
    </row>
    <row r="1214" spans="1:10" x14ac:dyDescent="0.35">
      <c r="A1214" s="5">
        <v>1210</v>
      </c>
      <c r="B1214" s="5">
        <v>51</v>
      </c>
      <c r="C1214" s="5">
        <v>2</v>
      </c>
      <c r="D1214" s="379">
        <v>31.63111111111111</v>
      </c>
      <c r="E1214" s="25">
        <v>25.59</v>
      </c>
      <c r="F1214" s="379">
        <v>8.1174834595959577</v>
      </c>
      <c r="G1214" s="25">
        <v>46.98</v>
      </c>
      <c r="H1214" s="379">
        <v>4.7566087540087612</v>
      </c>
      <c r="I1214" s="25">
        <v>53.51</v>
      </c>
      <c r="J1214" s="379">
        <v>5.2403780261293713</v>
      </c>
    </row>
    <row r="1215" spans="1:10" x14ac:dyDescent="0.35">
      <c r="A1215" s="5">
        <v>1211</v>
      </c>
      <c r="B1215" s="5">
        <v>51</v>
      </c>
      <c r="C1215" s="5">
        <v>2</v>
      </c>
      <c r="D1215" s="379">
        <v>35.504444444444438</v>
      </c>
      <c r="E1215" s="25">
        <v>25.74</v>
      </c>
      <c r="F1215" s="379">
        <v>4.9078329979658086</v>
      </c>
      <c r="G1215" s="25">
        <v>46.11</v>
      </c>
      <c r="H1215" s="379">
        <v>3.1573382385074225</v>
      </c>
      <c r="I1215" s="25">
        <v>50.84</v>
      </c>
      <c r="J1215" s="379">
        <v>2.0468262188393891</v>
      </c>
    </row>
    <row r="1216" spans="1:10" x14ac:dyDescent="0.35">
      <c r="A1216" s="5">
        <v>1212</v>
      </c>
      <c r="B1216" s="5">
        <v>51</v>
      </c>
      <c r="C1216" s="5">
        <v>2</v>
      </c>
      <c r="D1216" s="379">
        <v>36.15</v>
      </c>
      <c r="E1216" s="25">
        <v>25.74</v>
      </c>
      <c r="F1216" s="379">
        <v>4.9078329979658086</v>
      </c>
      <c r="G1216" s="25">
        <v>46.03</v>
      </c>
      <c r="H1216" s="379">
        <v>3.7876898799641547</v>
      </c>
      <c r="I1216" s="25">
        <v>50.84</v>
      </c>
      <c r="J1216" s="379">
        <v>2.061609884521685</v>
      </c>
    </row>
    <row r="1217" spans="1:10" x14ac:dyDescent="0.35">
      <c r="A1217" s="5">
        <v>1213</v>
      </c>
      <c r="B1217" s="5">
        <v>51</v>
      </c>
      <c r="C1217" s="5">
        <v>2</v>
      </c>
      <c r="D1217" s="379">
        <v>37.972777777777779</v>
      </c>
      <c r="E1217" s="25">
        <v>24.99</v>
      </c>
      <c r="F1217" s="379">
        <v>4.9078329979658086</v>
      </c>
      <c r="G1217" s="25">
        <v>46.03</v>
      </c>
      <c r="H1217" s="379">
        <v>3.7876898799641547</v>
      </c>
      <c r="I1217" s="25">
        <v>50.84</v>
      </c>
      <c r="J1217" s="379">
        <v>2.061609884521685</v>
      </c>
    </row>
    <row r="1218" spans="1:10" x14ac:dyDescent="0.35">
      <c r="A1218" s="5">
        <v>1214</v>
      </c>
      <c r="B1218" s="5">
        <v>51</v>
      </c>
      <c r="C1218" s="5">
        <v>2</v>
      </c>
      <c r="D1218" s="379">
        <v>35.241666666666667</v>
      </c>
      <c r="E1218" s="25">
        <v>24.99</v>
      </c>
      <c r="F1218" s="379">
        <v>4.9078329979658086</v>
      </c>
      <c r="G1218" s="25">
        <v>44.74</v>
      </c>
      <c r="H1218" s="379">
        <v>3.7876898799641547</v>
      </c>
      <c r="I1218" s="25">
        <v>50.84</v>
      </c>
      <c r="J1218" s="379">
        <v>2.061609884521685</v>
      </c>
    </row>
    <row r="1219" spans="1:10" x14ac:dyDescent="0.35">
      <c r="A1219" s="5">
        <v>1215</v>
      </c>
      <c r="B1219" s="5">
        <v>51</v>
      </c>
      <c r="C1219" s="5">
        <v>2</v>
      </c>
      <c r="D1219" s="379">
        <v>34.097222222222221</v>
      </c>
      <c r="E1219" s="25">
        <v>24.99</v>
      </c>
      <c r="F1219" s="379">
        <v>4.9078329979658086</v>
      </c>
      <c r="G1219" s="25">
        <v>45.19</v>
      </c>
      <c r="H1219" s="379">
        <v>4.9396897855894188</v>
      </c>
      <c r="I1219" s="25">
        <v>51.64</v>
      </c>
      <c r="J1219" s="379">
        <v>2.2994394144331389</v>
      </c>
    </row>
    <row r="1220" spans="1:10" x14ac:dyDescent="0.35">
      <c r="A1220" s="5">
        <v>1216</v>
      </c>
      <c r="B1220" s="5">
        <v>51</v>
      </c>
      <c r="C1220" s="5">
        <v>2</v>
      </c>
      <c r="D1220" s="379">
        <v>30.543888888888887</v>
      </c>
      <c r="E1220" s="25">
        <v>24.84</v>
      </c>
      <c r="F1220" s="379">
        <v>5.0945495192980266</v>
      </c>
      <c r="G1220" s="25">
        <v>47.46</v>
      </c>
      <c r="H1220" s="379">
        <v>4.8312866897121181</v>
      </c>
      <c r="I1220" s="25">
        <v>51.64</v>
      </c>
      <c r="J1220" s="379">
        <v>2.2978303001871274</v>
      </c>
    </row>
    <row r="1221" spans="1:10" x14ac:dyDescent="0.35">
      <c r="A1221" s="5">
        <v>1217</v>
      </c>
      <c r="B1221" s="5">
        <v>51</v>
      </c>
      <c r="C1221" s="5">
        <v>2</v>
      </c>
      <c r="D1221" s="379">
        <v>32.81444444444444</v>
      </c>
      <c r="E1221" s="25">
        <v>25.59</v>
      </c>
      <c r="F1221" s="379">
        <v>8.1174834595959577</v>
      </c>
      <c r="G1221" s="25">
        <v>47.85</v>
      </c>
      <c r="H1221" s="379">
        <v>6.4193118935759745</v>
      </c>
      <c r="I1221" s="25">
        <v>53.51</v>
      </c>
      <c r="J1221" s="379">
        <v>5.260220232685251</v>
      </c>
    </row>
    <row r="1222" spans="1:10" x14ac:dyDescent="0.35">
      <c r="A1222" s="5">
        <v>1218</v>
      </c>
      <c r="B1222" s="5">
        <v>51</v>
      </c>
      <c r="C1222" s="5">
        <v>2</v>
      </c>
      <c r="D1222" s="379">
        <v>39.686666666666667</v>
      </c>
      <c r="E1222" s="25">
        <v>26.51</v>
      </c>
      <c r="F1222" s="379">
        <v>14.302696960032966</v>
      </c>
      <c r="G1222" s="25">
        <v>47.85</v>
      </c>
      <c r="H1222" s="379">
        <v>9.7587847217468227</v>
      </c>
      <c r="I1222" s="25">
        <v>59.13</v>
      </c>
      <c r="J1222" s="379">
        <v>7.4801063335523921</v>
      </c>
    </row>
    <row r="1223" spans="1:10" x14ac:dyDescent="0.35">
      <c r="A1223" s="5">
        <v>1219</v>
      </c>
      <c r="B1223" s="5">
        <v>51</v>
      </c>
      <c r="C1223" s="5">
        <v>2</v>
      </c>
      <c r="D1223" s="379">
        <v>43.373888888888892</v>
      </c>
      <c r="E1223" s="25">
        <v>28.12</v>
      </c>
      <c r="F1223" s="379">
        <v>20.214874468754001</v>
      </c>
      <c r="G1223" s="25">
        <v>52.64</v>
      </c>
      <c r="H1223" s="379">
        <v>10.244383956967136</v>
      </c>
      <c r="I1223" s="25">
        <v>143.51</v>
      </c>
      <c r="J1223" s="379">
        <v>7.4801559024302549</v>
      </c>
    </row>
    <row r="1224" spans="1:10" x14ac:dyDescent="0.35">
      <c r="A1224" s="5">
        <v>1220</v>
      </c>
      <c r="B1224" s="5">
        <v>51</v>
      </c>
      <c r="C1224" s="5">
        <v>2</v>
      </c>
      <c r="D1224" s="379">
        <v>42.096111111111107</v>
      </c>
      <c r="E1224" s="25">
        <v>27.3</v>
      </c>
      <c r="F1224" s="379">
        <v>19.238934161674802</v>
      </c>
      <c r="G1224" s="25">
        <v>52.64</v>
      </c>
      <c r="H1224" s="379">
        <v>10.176454365352015</v>
      </c>
      <c r="I1224" s="25">
        <v>72.19</v>
      </c>
      <c r="J1224" s="379">
        <v>7.4801559024302531</v>
      </c>
    </row>
    <row r="1225" spans="1:10" x14ac:dyDescent="0.35">
      <c r="A1225" s="5">
        <v>1221</v>
      </c>
      <c r="B1225" s="5">
        <v>51</v>
      </c>
      <c r="C1225" s="5">
        <v>2</v>
      </c>
      <c r="D1225" s="379">
        <v>37.467222222222226</v>
      </c>
      <c r="E1225" s="25">
        <v>25.74</v>
      </c>
      <c r="F1225" s="379">
        <v>14.302696960032966</v>
      </c>
      <c r="G1225" s="25">
        <v>47.85</v>
      </c>
      <c r="H1225" s="379">
        <v>10.25020522955988</v>
      </c>
      <c r="I1225" s="25">
        <v>66.06</v>
      </c>
      <c r="J1225" s="379">
        <v>7.4801063335523921</v>
      </c>
    </row>
    <row r="1226" spans="1:10" x14ac:dyDescent="0.35">
      <c r="A1226" s="5">
        <v>1222</v>
      </c>
      <c r="B1226" s="5">
        <v>51</v>
      </c>
      <c r="C1226" s="5">
        <v>2</v>
      </c>
      <c r="D1226" s="379">
        <v>34.567777777777778</v>
      </c>
      <c r="E1226" s="25">
        <v>24.99</v>
      </c>
      <c r="F1226" s="379">
        <v>14.928302004413119</v>
      </c>
      <c r="G1226" s="25">
        <v>44.93</v>
      </c>
      <c r="H1226" s="379">
        <v>9.9794789379161983</v>
      </c>
      <c r="I1226" s="25">
        <v>62.27</v>
      </c>
      <c r="J1226" s="379">
        <v>7.4257369398278561</v>
      </c>
    </row>
    <row r="1227" spans="1:10" x14ac:dyDescent="0.35">
      <c r="A1227" s="5">
        <v>1223</v>
      </c>
      <c r="B1227" s="5">
        <v>51</v>
      </c>
      <c r="C1227" s="5">
        <v>2</v>
      </c>
      <c r="D1227" s="379">
        <v>30.112777777777783</v>
      </c>
      <c r="E1227" s="25">
        <v>25.59</v>
      </c>
      <c r="F1227" s="379">
        <v>13.454504484196072</v>
      </c>
      <c r="G1227" s="25">
        <v>46.03</v>
      </c>
      <c r="H1227" s="379">
        <v>9.9225231224466093</v>
      </c>
      <c r="I1227" s="25">
        <v>62.27</v>
      </c>
      <c r="J1227" s="379">
        <v>5.415756658316055</v>
      </c>
    </row>
    <row r="1228" spans="1:10" x14ac:dyDescent="0.35">
      <c r="A1228" s="5">
        <v>1224</v>
      </c>
      <c r="B1228" s="5">
        <v>51</v>
      </c>
      <c r="C1228" s="5">
        <v>2</v>
      </c>
      <c r="D1228" s="379">
        <v>26.626111111111111</v>
      </c>
      <c r="E1228" s="25">
        <v>24.99</v>
      </c>
      <c r="F1228" s="379">
        <v>12.352106711546709</v>
      </c>
      <c r="G1228" s="25">
        <v>46.03</v>
      </c>
      <c r="H1228" s="379">
        <v>9.8878702258071112</v>
      </c>
      <c r="I1228" s="25">
        <v>59.34</v>
      </c>
      <c r="J1228" s="379">
        <v>5.4840148033628617</v>
      </c>
    </row>
    <row r="1229" spans="1:10" x14ac:dyDescent="0.35">
      <c r="A1229" s="5">
        <v>1225</v>
      </c>
      <c r="B1229" s="5">
        <v>52</v>
      </c>
      <c r="C1229" s="5">
        <v>2</v>
      </c>
      <c r="D1229" s="379">
        <v>27.384999999999994</v>
      </c>
      <c r="E1229" s="25">
        <v>24.84</v>
      </c>
      <c r="F1229" s="379">
        <v>12.911716061320414</v>
      </c>
      <c r="G1229" s="25">
        <v>43.56</v>
      </c>
      <c r="H1229" s="379">
        <v>9.8537060337494982</v>
      </c>
      <c r="I1229" s="25">
        <v>53.27</v>
      </c>
      <c r="J1229" s="379">
        <v>5.6301268028552611</v>
      </c>
    </row>
    <row r="1230" spans="1:10" x14ac:dyDescent="0.35">
      <c r="A1230" s="5">
        <v>1226</v>
      </c>
      <c r="B1230" s="5">
        <v>52</v>
      </c>
      <c r="C1230" s="5">
        <v>2</v>
      </c>
      <c r="D1230" s="379">
        <v>26.986111111111111</v>
      </c>
      <c r="E1230" s="25">
        <v>24.84</v>
      </c>
      <c r="F1230" s="379">
        <v>12.651948559918035</v>
      </c>
      <c r="G1230" s="25">
        <v>39</v>
      </c>
      <c r="H1230" s="379">
        <v>9.8784841574938316</v>
      </c>
      <c r="I1230" s="25">
        <v>51.53</v>
      </c>
      <c r="J1230" s="379">
        <v>5.6274436863665676</v>
      </c>
    </row>
    <row r="1231" spans="1:10" x14ac:dyDescent="0.35">
      <c r="A1231" s="5">
        <v>1227</v>
      </c>
      <c r="B1231" s="5">
        <v>52</v>
      </c>
      <c r="C1231" s="5">
        <v>2</v>
      </c>
      <c r="D1231" s="379">
        <v>25.991111111111113</v>
      </c>
      <c r="E1231" s="25">
        <v>24.84</v>
      </c>
      <c r="F1231" s="379">
        <v>12.352025083530908</v>
      </c>
      <c r="G1231" s="25">
        <v>38.61</v>
      </c>
      <c r="H1231" s="379">
        <v>9.8175746224831784</v>
      </c>
      <c r="I1231" s="25">
        <v>51.02</v>
      </c>
      <c r="J1231" s="379">
        <v>5.5491399000240813</v>
      </c>
    </row>
    <row r="1232" spans="1:10" x14ac:dyDescent="0.35">
      <c r="A1232" s="5">
        <v>1228</v>
      </c>
      <c r="B1232" s="5">
        <v>52</v>
      </c>
      <c r="C1232" s="5">
        <v>2</v>
      </c>
      <c r="D1232" s="379">
        <v>24.022222222222219</v>
      </c>
      <c r="E1232" s="25">
        <v>24.84</v>
      </c>
      <c r="F1232" s="379">
        <v>12.352025083530908</v>
      </c>
      <c r="G1232" s="25">
        <v>38.61</v>
      </c>
      <c r="H1232" s="379">
        <v>9.5344536100659454</v>
      </c>
      <c r="I1232" s="25">
        <v>51.02</v>
      </c>
      <c r="J1232" s="379">
        <v>5.6121836204287634</v>
      </c>
    </row>
    <row r="1233" spans="1:10" x14ac:dyDescent="0.35">
      <c r="A1233" s="5">
        <v>1229</v>
      </c>
      <c r="B1233" s="5">
        <v>52</v>
      </c>
      <c r="C1233" s="5">
        <v>2</v>
      </c>
      <c r="D1233" s="379">
        <v>24.604444444444447</v>
      </c>
      <c r="E1233" s="25">
        <v>24.84</v>
      </c>
      <c r="F1233" s="379">
        <v>12.567025989641806</v>
      </c>
      <c r="G1233" s="25">
        <v>38.61</v>
      </c>
      <c r="H1233" s="379">
        <v>9.4608163627651773</v>
      </c>
      <c r="I1233" s="25">
        <v>51.02</v>
      </c>
      <c r="J1233" s="379">
        <v>5.4285385910774471</v>
      </c>
    </row>
    <row r="1234" spans="1:10" x14ac:dyDescent="0.35">
      <c r="A1234" s="5">
        <v>1230</v>
      </c>
      <c r="B1234" s="5">
        <v>52</v>
      </c>
      <c r="C1234" s="5">
        <v>2</v>
      </c>
      <c r="D1234" s="379">
        <v>27.978333333333335</v>
      </c>
      <c r="E1234" s="25">
        <v>24.84</v>
      </c>
      <c r="F1234" s="379">
        <v>12.748999083597763</v>
      </c>
      <c r="G1234" s="25">
        <v>39</v>
      </c>
      <c r="H1234" s="379">
        <v>9.0190623436888107</v>
      </c>
      <c r="I1234" s="25">
        <v>51.02</v>
      </c>
      <c r="J1234" s="379">
        <v>5.4285385910774453</v>
      </c>
    </row>
    <row r="1235" spans="1:10" x14ac:dyDescent="0.35">
      <c r="A1235" s="5">
        <v>1231</v>
      </c>
      <c r="B1235" s="5">
        <v>52</v>
      </c>
      <c r="C1235" s="5">
        <v>2</v>
      </c>
      <c r="D1235" s="379">
        <v>34.709999999999994</v>
      </c>
      <c r="E1235" s="25">
        <v>24.84</v>
      </c>
      <c r="F1235" s="379">
        <v>13.745575138794168</v>
      </c>
      <c r="G1235" s="25">
        <v>39</v>
      </c>
      <c r="H1235" s="379">
        <v>9.1552097002895767</v>
      </c>
      <c r="I1235" s="25">
        <v>51.02</v>
      </c>
      <c r="J1235" s="379">
        <v>5.0909235696353843</v>
      </c>
    </row>
    <row r="1236" spans="1:10" x14ac:dyDescent="0.35">
      <c r="A1236" s="5">
        <v>1232</v>
      </c>
      <c r="B1236" s="5">
        <v>52</v>
      </c>
      <c r="C1236" s="5">
        <v>2</v>
      </c>
      <c r="D1236" s="379">
        <v>45.19</v>
      </c>
      <c r="E1236" s="25">
        <v>24.84</v>
      </c>
      <c r="F1236" s="379">
        <v>15.219372659011217</v>
      </c>
      <c r="G1236" s="25">
        <v>39</v>
      </c>
      <c r="H1236" s="379">
        <v>9.2644055371521485</v>
      </c>
      <c r="I1236" s="25">
        <v>51.02</v>
      </c>
      <c r="J1236" s="379">
        <v>5.1889946292167544</v>
      </c>
    </row>
    <row r="1237" spans="1:10" x14ac:dyDescent="0.35">
      <c r="A1237" s="5">
        <v>1233</v>
      </c>
      <c r="B1237" s="5">
        <v>52</v>
      </c>
      <c r="C1237" s="5">
        <v>2</v>
      </c>
      <c r="D1237" s="379">
        <v>48.06388888888889</v>
      </c>
      <c r="E1237" s="25">
        <v>24.84</v>
      </c>
      <c r="F1237" s="379">
        <v>13.813758734782398</v>
      </c>
      <c r="G1237" s="25">
        <v>39</v>
      </c>
      <c r="H1237" s="379">
        <v>9.4594676817770722</v>
      </c>
      <c r="I1237" s="25">
        <v>53.71</v>
      </c>
      <c r="J1237" s="379">
        <v>5.0119657236060995</v>
      </c>
    </row>
    <row r="1238" spans="1:10" x14ac:dyDescent="0.35">
      <c r="A1238" s="5">
        <v>1234</v>
      </c>
      <c r="B1238" s="5">
        <v>52</v>
      </c>
      <c r="C1238" s="5">
        <v>2</v>
      </c>
      <c r="D1238" s="379">
        <v>46.931111111111107</v>
      </c>
      <c r="E1238" s="25">
        <v>24.84</v>
      </c>
      <c r="F1238" s="379">
        <v>11.127748419210249</v>
      </c>
      <c r="G1238" s="25">
        <v>42.29</v>
      </c>
      <c r="H1238" s="379">
        <v>9.1378929244119842</v>
      </c>
      <c r="I1238" s="25">
        <v>55.42</v>
      </c>
      <c r="J1238" s="379">
        <v>5.3765720971108006</v>
      </c>
    </row>
    <row r="1239" spans="1:10" x14ac:dyDescent="0.35">
      <c r="A1239" s="5">
        <v>1235</v>
      </c>
      <c r="B1239" s="5">
        <v>52</v>
      </c>
      <c r="C1239" s="5">
        <v>2</v>
      </c>
      <c r="D1239" s="379">
        <v>41.772222222222219</v>
      </c>
      <c r="E1239" s="25">
        <v>24.84</v>
      </c>
      <c r="F1239" s="379">
        <v>12.346669141667402</v>
      </c>
      <c r="G1239" s="25">
        <v>43.56</v>
      </c>
      <c r="H1239" s="379">
        <v>9.1087864404674761</v>
      </c>
      <c r="I1239" s="25">
        <v>54.87</v>
      </c>
      <c r="J1239" s="379">
        <v>4.9122368901270805</v>
      </c>
    </row>
    <row r="1240" spans="1:10" x14ac:dyDescent="0.35">
      <c r="A1240" s="5">
        <v>1236</v>
      </c>
      <c r="B1240" s="5">
        <v>52</v>
      </c>
      <c r="C1240" s="5">
        <v>2</v>
      </c>
      <c r="D1240" s="379">
        <v>40.039444444444442</v>
      </c>
      <c r="E1240" s="25">
        <v>24.84</v>
      </c>
      <c r="F1240" s="379">
        <v>12.135687572723901</v>
      </c>
      <c r="G1240" s="25">
        <v>43.56</v>
      </c>
      <c r="H1240" s="379">
        <v>9.3499677812084769</v>
      </c>
      <c r="I1240" s="25">
        <v>51.53</v>
      </c>
      <c r="J1240" s="379">
        <v>5.1486392644232302</v>
      </c>
    </row>
    <row r="1241" spans="1:10" x14ac:dyDescent="0.35">
      <c r="A1241" s="5">
        <v>1237</v>
      </c>
      <c r="B1241" s="5">
        <v>52</v>
      </c>
      <c r="C1241" s="5">
        <v>2</v>
      </c>
      <c r="D1241" s="379">
        <v>38.143888888888881</v>
      </c>
      <c r="E1241" s="25">
        <v>24.84</v>
      </c>
      <c r="F1241" s="379">
        <v>0.47222222222222221</v>
      </c>
      <c r="G1241" s="25">
        <v>44.86</v>
      </c>
      <c r="H1241" s="379">
        <v>3.5753161561339493</v>
      </c>
      <c r="I1241" s="25">
        <v>51.53</v>
      </c>
      <c r="J1241" s="379">
        <v>2.7007337542573042</v>
      </c>
    </row>
    <row r="1242" spans="1:10" x14ac:dyDescent="0.35">
      <c r="A1242" s="5">
        <v>1238</v>
      </c>
      <c r="B1242" s="5">
        <v>52</v>
      </c>
      <c r="C1242" s="5">
        <v>2</v>
      </c>
      <c r="D1242" s="379">
        <v>37.857222222222219</v>
      </c>
      <c r="E1242" s="25">
        <v>24.84</v>
      </c>
      <c r="F1242" s="379">
        <v>7.6585681560053667</v>
      </c>
      <c r="G1242" s="25">
        <v>42.19</v>
      </c>
      <c r="H1242" s="379">
        <v>9.30951873392865</v>
      </c>
      <c r="I1242" s="25">
        <v>51.02</v>
      </c>
      <c r="J1242" s="379">
        <v>5.1061433143162356</v>
      </c>
    </row>
    <row r="1243" spans="1:10" x14ac:dyDescent="0.35">
      <c r="A1243" s="5">
        <v>1239</v>
      </c>
      <c r="B1243" s="5">
        <v>52</v>
      </c>
      <c r="C1243" s="5">
        <v>2</v>
      </c>
      <c r="D1243" s="379">
        <v>36.886666666666663</v>
      </c>
      <c r="E1243" s="25">
        <v>24.84</v>
      </c>
      <c r="F1243" s="379">
        <v>10.6815020963033</v>
      </c>
      <c r="G1243" s="25">
        <v>41.38</v>
      </c>
      <c r="H1243" s="379">
        <v>9.30951873392865</v>
      </c>
      <c r="I1243" s="25">
        <v>51.02</v>
      </c>
      <c r="J1243" s="379">
        <v>5.1061433143162356</v>
      </c>
    </row>
    <row r="1244" spans="1:10" x14ac:dyDescent="0.35">
      <c r="A1244" s="5">
        <v>1240</v>
      </c>
      <c r="B1244" s="5">
        <v>52</v>
      </c>
      <c r="C1244" s="5">
        <v>2</v>
      </c>
      <c r="D1244" s="379">
        <v>37.391666666666659</v>
      </c>
      <c r="E1244" s="25">
        <v>24.84</v>
      </c>
      <c r="F1244" s="379">
        <v>11.098195722263105</v>
      </c>
      <c r="G1244" s="25">
        <v>43.56</v>
      </c>
      <c r="H1244" s="379">
        <v>9.1620687789323689</v>
      </c>
      <c r="I1244" s="25">
        <v>51.02</v>
      </c>
      <c r="J1244" s="379">
        <v>5.1485944472354435</v>
      </c>
    </row>
    <row r="1245" spans="1:10" x14ac:dyDescent="0.35">
      <c r="A1245" s="5">
        <v>1241</v>
      </c>
      <c r="B1245" s="5">
        <v>52</v>
      </c>
      <c r="C1245" s="5">
        <v>2</v>
      </c>
      <c r="D1245" s="379">
        <v>38.777222222222228</v>
      </c>
      <c r="E1245" s="25">
        <v>24.84</v>
      </c>
      <c r="F1245" s="379">
        <v>19.238934161674802</v>
      </c>
      <c r="G1245" s="25">
        <v>43.56</v>
      </c>
      <c r="H1245" s="379">
        <v>9.5239640782888646</v>
      </c>
      <c r="I1245" s="25">
        <v>51.02</v>
      </c>
      <c r="J1245" s="379">
        <v>5.6949087914551217</v>
      </c>
    </row>
    <row r="1246" spans="1:10" x14ac:dyDescent="0.35">
      <c r="A1246" s="5">
        <v>1242</v>
      </c>
      <c r="B1246" s="5">
        <v>52</v>
      </c>
      <c r="C1246" s="5">
        <v>2</v>
      </c>
      <c r="D1246" s="379">
        <v>44.163333333333334</v>
      </c>
      <c r="E1246" s="25">
        <v>25.29</v>
      </c>
      <c r="F1246" s="379">
        <v>21.965453521506671</v>
      </c>
      <c r="G1246" s="25">
        <v>47.85</v>
      </c>
      <c r="H1246" s="379">
        <v>18.183658151973557</v>
      </c>
      <c r="I1246" s="25">
        <v>54.92</v>
      </c>
      <c r="J1246" s="379">
        <v>7.3834587698396241</v>
      </c>
    </row>
    <row r="1247" spans="1:10" x14ac:dyDescent="0.35">
      <c r="A1247" s="5">
        <v>1243</v>
      </c>
      <c r="B1247" s="5">
        <v>52</v>
      </c>
      <c r="C1247" s="5">
        <v>2</v>
      </c>
      <c r="D1247" s="379">
        <v>50.685000000000002</v>
      </c>
      <c r="E1247" s="25">
        <v>29.23</v>
      </c>
      <c r="F1247" s="379">
        <v>20.224549890186378</v>
      </c>
      <c r="G1247" s="25">
        <v>55.38</v>
      </c>
      <c r="H1247" s="379">
        <v>19.070917705851219</v>
      </c>
      <c r="I1247" s="25">
        <v>72.19</v>
      </c>
      <c r="J1247" s="379">
        <v>7.3029994577720636</v>
      </c>
    </row>
    <row r="1248" spans="1:10" x14ac:dyDescent="0.35">
      <c r="A1248" s="5">
        <v>1244</v>
      </c>
      <c r="B1248" s="5">
        <v>52</v>
      </c>
      <c r="C1248" s="5">
        <v>2</v>
      </c>
      <c r="D1248" s="379">
        <v>50.30777777777778</v>
      </c>
      <c r="E1248" s="25">
        <v>29.23</v>
      </c>
      <c r="F1248" s="379">
        <v>21.965453521506664</v>
      </c>
      <c r="G1248" s="25">
        <v>55.38</v>
      </c>
      <c r="H1248" s="379">
        <v>18.534295481745826</v>
      </c>
      <c r="I1248" s="25">
        <v>72.19</v>
      </c>
      <c r="J1248" s="379">
        <v>7.3029994577720636</v>
      </c>
    </row>
    <row r="1249" spans="1:10" x14ac:dyDescent="0.35">
      <c r="A1249" s="5">
        <v>1245</v>
      </c>
      <c r="B1249" s="5">
        <v>52</v>
      </c>
      <c r="C1249" s="5">
        <v>2</v>
      </c>
      <c r="D1249" s="379">
        <v>45.809444444444438</v>
      </c>
      <c r="E1249" s="25">
        <v>27.15</v>
      </c>
      <c r="F1249" s="379">
        <v>20.722932319029837</v>
      </c>
      <c r="G1249" s="25">
        <v>50.35</v>
      </c>
      <c r="H1249" s="379">
        <v>18.105946466316009</v>
      </c>
      <c r="I1249" s="25">
        <v>72.19</v>
      </c>
      <c r="J1249" s="379">
        <v>7.3029994577720627</v>
      </c>
    </row>
    <row r="1250" spans="1:10" x14ac:dyDescent="0.35">
      <c r="A1250" s="5">
        <v>1246</v>
      </c>
      <c r="B1250" s="5">
        <v>52</v>
      </c>
      <c r="C1250" s="5">
        <v>2</v>
      </c>
      <c r="D1250" s="379">
        <v>40.050000000000004</v>
      </c>
      <c r="E1250" s="25">
        <v>26.05</v>
      </c>
      <c r="F1250" s="379">
        <v>21.099822065315248</v>
      </c>
      <c r="G1250" s="25">
        <v>47.85</v>
      </c>
      <c r="H1250" s="379">
        <v>18.538903859842808</v>
      </c>
      <c r="I1250" s="25">
        <v>70.599999999999994</v>
      </c>
      <c r="J1250" s="379">
        <v>7.3369754381793237</v>
      </c>
    </row>
    <row r="1251" spans="1:10" x14ac:dyDescent="0.35">
      <c r="A1251" s="5">
        <v>1247</v>
      </c>
      <c r="B1251" s="5">
        <v>52</v>
      </c>
      <c r="C1251" s="5">
        <v>2</v>
      </c>
      <c r="D1251" s="379">
        <v>38.853888888888889</v>
      </c>
      <c r="E1251" s="25">
        <v>25.74</v>
      </c>
      <c r="F1251" s="379">
        <v>19.720702985358994</v>
      </c>
      <c r="G1251" s="25">
        <v>47.85</v>
      </c>
      <c r="H1251" s="379">
        <v>17.167761534468912</v>
      </c>
      <c r="I1251" s="25">
        <v>72.19</v>
      </c>
      <c r="J1251" s="379">
        <v>7.311640865465586</v>
      </c>
    </row>
    <row r="1252" spans="1:10" x14ac:dyDescent="0.35">
      <c r="A1252" s="5">
        <v>1248</v>
      </c>
      <c r="B1252" s="5">
        <v>52</v>
      </c>
      <c r="C1252" s="5">
        <v>2</v>
      </c>
      <c r="D1252" s="379">
        <v>37.31</v>
      </c>
      <c r="E1252" s="25">
        <v>25.59</v>
      </c>
      <c r="F1252" s="379">
        <v>18.416691433359269</v>
      </c>
      <c r="G1252" s="25">
        <v>47.46</v>
      </c>
      <c r="H1252" s="379">
        <v>16.911381505464892</v>
      </c>
      <c r="I1252" s="25">
        <v>68.05</v>
      </c>
      <c r="J1252" s="379">
        <v>7.4224447155199771</v>
      </c>
    </row>
    <row r="1253" spans="1:10" x14ac:dyDescent="0.35">
      <c r="A1253" s="5">
        <v>1249</v>
      </c>
      <c r="B1253" s="5">
        <v>53</v>
      </c>
      <c r="C1253" s="5">
        <v>2</v>
      </c>
      <c r="D1253" s="379">
        <v>37.083888888888893</v>
      </c>
      <c r="E1253" s="25">
        <v>24.84</v>
      </c>
      <c r="F1253" s="379">
        <v>17.360265684312775</v>
      </c>
      <c r="G1253" s="25">
        <v>47.46</v>
      </c>
      <c r="H1253" s="379">
        <v>14.230741559930568</v>
      </c>
      <c r="I1253" s="25">
        <v>68.540000000000006</v>
      </c>
      <c r="J1253" s="379">
        <v>7.2381501438609881</v>
      </c>
    </row>
    <row r="1254" spans="1:10" x14ac:dyDescent="0.35">
      <c r="A1254" s="5">
        <v>1250</v>
      </c>
      <c r="B1254" s="5">
        <v>53</v>
      </c>
      <c r="C1254" s="5">
        <v>2</v>
      </c>
      <c r="D1254" s="379">
        <v>36.461111111111109</v>
      </c>
      <c r="E1254" s="25">
        <v>24.84</v>
      </c>
      <c r="F1254" s="379">
        <v>17.515153294125344</v>
      </c>
      <c r="G1254" s="25">
        <v>47.46</v>
      </c>
      <c r="H1254" s="379">
        <v>16.09776022959198</v>
      </c>
      <c r="I1254" s="25">
        <v>66.06</v>
      </c>
      <c r="J1254" s="379">
        <v>7.2670325291901472</v>
      </c>
    </row>
    <row r="1255" spans="1:10" x14ac:dyDescent="0.35">
      <c r="A1255" s="5">
        <v>1251</v>
      </c>
      <c r="B1255" s="5">
        <v>53</v>
      </c>
      <c r="C1255" s="5">
        <v>2</v>
      </c>
      <c r="D1255" s="379">
        <v>34.281111111111109</v>
      </c>
      <c r="E1255" s="25">
        <v>24.84</v>
      </c>
      <c r="F1255" s="379">
        <v>18.427696273461862</v>
      </c>
      <c r="G1255" s="25">
        <v>47.37</v>
      </c>
      <c r="H1255" s="379">
        <v>16.136993479150366</v>
      </c>
      <c r="I1255" s="25">
        <v>66.06</v>
      </c>
      <c r="J1255" s="379">
        <v>7.1120094246793144</v>
      </c>
    </row>
    <row r="1256" spans="1:10" x14ac:dyDescent="0.35">
      <c r="A1256" s="5">
        <v>1252</v>
      </c>
      <c r="B1256" s="5">
        <v>53</v>
      </c>
      <c r="C1256" s="5">
        <v>2</v>
      </c>
      <c r="D1256" s="379">
        <v>33.081666666666671</v>
      </c>
      <c r="E1256" s="25">
        <v>24.84</v>
      </c>
      <c r="F1256" s="379">
        <v>16.561470016809235</v>
      </c>
      <c r="G1256" s="25">
        <v>47.37</v>
      </c>
      <c r="H1256" s="379">
        <v>15.698613554676067</v>
      </c>
      <c r="I1256" s="25">
        <v>64.14</v>
      </c>
      <c r="J1256" s="379">
        <v>7.0451282125110222</v>
      </c>
    </row>
    <row r="1257" spans="1:10" x14ac:dyDescent="0.35">
      <c r="A1257" s="5">
        <v>1253</v>
      </c>
      <c r="B1257" s="5">
        <v>53</v>
      </c>
      <c r="C1257" s="5">
        <v>2</v>
      </c>
      <c r="D1257" s="379">
        <v>33.132777777777775</v>
      </c>
      <c r="E1257" s="25">
        <v>24.84</v>
      </c>
      <c r="F1257" s="379">
        <v>16.6501720309994</v>
      </c>
      <c r="G1257" s="25">
        <v>47.37</v>
      </c>
      <c r="H1257" s="379">
        <v>15.097013879673579</v>
      </c>
      <c r="I1257" s="25">
        <v>66.06</v>
      </c>
      <c r="J1257" s="379">
        <v>7.1686365048007019</v>
      </c>
    </row>
    <row r="1258" spans="1:10" x14ac:dyDescent="0.35">
      <c r="A1258" s="5">
        <v>1254</v>
      </c>
      <c r="B1258" s="5">
        <v>53</v>
      </c>
      <c r="C1258" s="5">
        <v>2</v>
      </c>
      <c r="D1258" s="379">
        <v>34.702777777777776</v>
      </c>
      <c r="E1258" s="25">
        <v>24.84</v>
      </c>
      <c r="F1258" s="379">
        <v>17.207136937030683</v>
      </c>
      <c r="G1258" s="25">
        <v>47.85</v>
      </c>
      <c r="H1258" s="379">
        <v>13.06477081310214</v>
      </c>
      <c r="I1258" s="25">
        <v>68.73</v>
      </c>
      <c r="J1258" s="379">
        <v>7.3249336394380551</v>
      </c>
    </row>
    <row r="1259" spans="1:10" x14ac:dyDescent="0.35">
      <c r="A1259" s="5">
        <v>1255</v>
      </c>
      <c r="B1259" s="5">
        <v>53</v>
      </c>
      <c r="C1259" s="5">
        <v>2</v>
      </c>
      <c r="D1259" s="379">
        <v>39.589999999999996</v>
      </c>
      <c r="E1259" s="25">
        <v>25.74</v>
      </c>
      <c r="F1259" s="379">
        <v>17.379451333211897</v>
      </c>
      <c r="G1259" s="25">
        <v>55.83</v>
      </c>
      <c r="H1259" s="379">
        <v>16.638060082546808</v>
      </c>
      <c r="I1259" s="25">
        <v>72.19</v>
      </c>
      <c r="J1259" s="379">
        <v>7.3145830227448609</v>
      </c>
    </row>
    <row r="1260" spans="1:10" x14ac:dyDescent="0.35">
      <c r="A1260" s="5">
        <v>1256</v>
      </c>
      <c r="B1260" s="5">
        <v>53</v>
      </c>
      <c r="C1260" s="5">
        <v>2</v>
      </c>
      <c r="D1260" s="379">
        <v>46.38333333333334</v>
      </c>
      <c r="E1260" s="25">
        <v>28.8</v>
      </c>
      <c r="F1260" s="379">
        <v>16.454116481179387</v>
      </c>
      <c r="G1260" s="25">
        <v>60.31</v>
      </c>
      <c r="H1260" s="379">
        <v>12.801662357662829</v>
      </c>
      <c r="I1260" s="25">
        <v>190.03</v>
      </c>
      <c r="J1260" s="379">
        <v>7.3291794080962136</v>
      </c>
    </row>
    <row r="1261" spans="1:10" x14ac:dyDescent="0.35">
      <c r="A1261" s="5">
        <v>1257</v>
      </c>
      <c r="B1261" s="5">
        <v>53</v>
      </c>
      <c r="C1261" s="5">
        <v>2</v>
      </c>
      <c r="D1261" s="379">
        <v>52.276666666666657</v>
      </c>
      <c r="E1261" s="25">
        <v>35.869999999999997</v>
      </c>
      <c r="F1261" s="379">
        <v>13.220728119263885</v>
      </c>
      <c r="G1261" s="25">
        <v>60.31</v>
      </c>
      <c r="H1261" s="379">
        <v>7.7379115753687904</v>
      </c>
      <c r="I1261" s="25">
        <v>603.30999999999995</v>
      </c>
      <c r="J1261" s="379">
        <v>6.5825408960921283</v>
      </c>
    </row>
    <row r="1262" spans="1:10" x14ac:dyDescent="0.35">
      <c r="A1262" s="5">
        <v>1258</v>
      </c>
      <c r="B1262" s="5">
        <v>53</v>
      </c>
      <c r="C1262" s="5">
        <v>2</v>
      </c>
      <c r="D1262" s="379">
        <v>46.908888888888889</v>
      </c>
      <c r="E1262" s="25">
        <v>34.82</v>
      </c>
      <c r="F1262" s="379">
        <v>8.1174834595959613</v>
      </c>
      <c r="G1262" s="25">
        <v>60.31</v>
      </c>
      <c r="H1262" s="379">
        <v>7.7018554016245302</v>
      </c>
      <c r="I1262" s="25">
        <v>147.82</v>
      </c>
      <c r="J1262" s="379">
        <v>6.0829660135811476</v>
      </c>
    </row>
    <row r="1263" spans="1:10" x14ac:dyDescent="0.35">
      <c r="A1263" s="5">
        <v>1259</v>
      </c>
      <c r="B1263" s="5">
        <v>53</v>
      </c>
      <c r="C1263" s="5">
        <v>2</v>
      </c>
      <c r="D1263" s="379">
        <v>40.875</v>
      </c>
      <c r="E1263" s="25">
        <v>34.82</v>
      </c>
      <c r="F1263" s="379">
        <v>8.1174834595959613</v>
      </c>
      <c r="G1263" s="25">
        <v>57.04</v>
      </c>
      <c r="H1263" s="379">
        <v>5.0961678130547838</v>
      </c>
      <c r="I1263" s="25">
        <v>72.19</v>
      </c>
      <c r="J1263" s="379">
        <v>0.63551212438573401</v>
      </c>
    </row>
    <row r="1264" spans="1:10" x14ac:dyDescent="0.35">
      <c r="A1264" s="5">
        <v>1260</v>
      </c>
      <c r="B1264" s="5">
        <v>53</v>
      </c>
      <c r="C1264" s="5">
        <v>2</v>
      </c>
      <c r="D1264" s="379">
        <v>38.897222222222219</v>
      </c>
      <c r="E1264" s="25">
        <v>28.37</v>
      </c>
      <c r="F1264" s="379">
        <v>8.1174834595959595</v>
      </c>
      <c r="G1264" s="25">
        <v>55.83</v>
      </c>
      <c r="H1264" s="379">
        <v>1.716485312805841</v>
      </c>
      <c r="I1264" s="25">
        <v>68.540000000000006</v>
      </c>
      <c r="J1264" s="379">
        <v>2.943070391662721</v>
      </c>
    </row>
    <row r="1265" spans="1:10" x14ac:dyDescent="0.35">
      <c r="A1265" s="5">
        <v>1261</v>
      </c>
      <c r="B1265" s="5">
        <v>53</v>
      </c>
      <c r="C1265" s="5">
        <v>2</v>
      </c>
      <c r="D1265" s="379">
        <v>37.245555555555555</v>
      </c>
      <c r="E1265" s="25">
        <v>26.51</v>
      </c>
      <c r="F1265" s="379">
        <v>8.1174834595959613</v>
      </c>
      <c r="G1265" s="25">
        <v>47.85</v>
      </c>
      <c r="H1265" s="379">
        <v>2.3311060388008364</v>
      </c>
      <c r="I1265" s="25">
        <v>64.790000000000006</v>
      </c>
      <c r="J1265" s="379">
        <v>2.0133744850091668</v>
      </c>
    </row>
    <row r="1266" spans="1:10" x14ac:dyDescent="0.35">
      <c r="A1266" s="5">
        <v>1262</v>
      </c>
      <c r="B1266" s="5">
        <v>53</v>
      </c>
      <c r="C1266" s="5">
        <v>2</v>
      </c>
      <c r="D1266" s="379">
        <v>35.423333333333332</v>
      </c>
      <c r="E1266" s="25">
        <v>26.51</v>
      </c>
      <c r="F1266" s="379">
        <v>7.8356417396135116</v>
      </c>
      <c r="G1266" s="25">
        <v>47.85</v>
      </c>
      <c r="H1266" s="379">
        <v>4.5321352174994374</v>
      </c>
      <c r="I1266" s="25">
        <v>64.14</v>
      </c>
      <c r="J1266" s="379">
        <v>2.0133744850091668</v>
      </c>
    </row>
    <row r="1267" spans="1:10" x14ac:dyDescent="0.35">
      <c r="A1267" s="5">
        <v>1263</v>
      </c>
      <c r="B1267" s="5">
        <v>53</v>
      </c>
      <c r="C1267" s="5">
        <v>2</v>
      </c>
      <c r="D1267" s="379">
        <v>34.695555555555551</v>
      </c>
      <c r="E1267" s="25">
        <v>26.51</v>
      </c>
      <c r="F1267" s="379">
        <v>7.7523932561626507</v>
      </c>
      <c r="G1267" s="25">
        <v>47.85</v>
      </c>
      <c r="H1267" s="379">
        <v>4.9788518346669743</v>
      </c>
      <c r="I1267" s="25">
        <v>62.27</v>
      </c>
      <c r="J1267" s="379">
        <v>2.0133744850091668</v>
      </c>
    </row>
    <row r="1268" spans="1:10" x14ac:dyDescent="0.35">
      <c r="A1268" s="5">
        <v>1264</v>
      </c>
      <c r="B1268" s="5">
        <v>53</v>
      </c>
      <c r="C1268" s="5">
        <v>2</v>
      </c>
      <c r="D1268" s="379">
        <v>35.580555555555549</v>
      </c>
      <c r="E1268" s="25">
        <v>26.51</v>
      </c>
      <c r="F1268" s="379">
        <v>7.6589192687276491</v>
      </c>
      <c r="G1268" s="25">
        <v>47.85</v>
      </c>
      <c r="H1268" s="379">
        <v>4.617365780191812</v>
      </c>
      <c r="I1268" s="25">
        <v>62.27</v>
      </c>
      <c r="J1268" s="379">
        <v>2.0133744850091668</v>
      </c>
    </row>
    <row r="1269" spans="1:10" x14ac:dyDescent="0.35">
      <c r="A1269" s="5">
        <v>1265</v>
      </c>
      <c r="B1269" s="5">
        <v>53</v>
      </c>
      <c r="C1269" s="5">
        <v>2</v>
      </c>
      <c r="D1269" s="379">
        <v>37.57277777777778</v>
      </c>
      <c r="E1269" s="25">
        <v>26.51</v>
      </c>
      <c r="F1269" s="379">
        <v>8.1174834595959595</v>
      </c>
      <c r="G1269" s="25">
        <v>47.85</v>
      </c>
      <c r="H1269" s="379">
        <v>6.1952551192390004</v>
      </c>
      <c r="I1269" s="25">
        <v>64.14</v>
      </c>
      <c r="J1269" s="379">
        <v>2.0133744850091668</v>
      </c>
    </row>
    <row r="1270" spans="1:10" x14ac:dyDescent="0.35">
      <c r="A1270" s="5">
        <v>1266</v>
      </c>
      <c r="B1270" s="5">
        <v>53</v>
      </c>
      <c r="C1270" s="5">
        <v>2</v>
      </c>
      <c r="D1270" s="379">
        <v>42.191666666666663</v>
      </c>
      <c r="E1270" s="25">
        <v>27.15</v>
      </c>
      <c r="F1270" s="379">
        <v>8.5028940948165772</v>
      </c>
      <c r="G1270" s="25">
        <v>47.85</v>
      </c>
      <c r="H1270" s="379">
        <v>6.559773536413875</v>
      </c>
      <c r="I1270" s="25">
        <v>66.06</v>
      </c>
      <c r="J1270" s="379">
        <v>4.6666117705822066</v>
      </c>
    </row>
    <row r="1271" spans="1:10" x14ac:dyDescent="0.35">
      <c r="A1271" s="5">
        <v>1267</v>
      </c>
      <c r="B1271" s="5">
        <v>53</v>
      </c>
      <c r="C1271" s="5">
        <v>2</v>
      </c>
      <c r="D1271" s="379">
        <v>46.238888888888887</v>
      </c>
      <c r="E1271" s="25">
        <v>27.96</v>
      </c>
      <c r="F1271" s="379">
        <v>8.4655842520014613</v>
      </c>
      <c r="G1271" s="25">
        <v>55.83</v>
      </c>
      <c r="H1271" s="379">
        <v>6.0040143332589206</v>
      </c>
      <c r="I1271" s="25">
        <v>88.08</v>
      </c>
      <c r="J1271" s="379">
        <v>4.2157478416218017E-2</v>
      </c>
    </row>
    <row r="1272" spans="1:10" x14ac:dyDescent="0.35">
      <c r="A1272" s="5">
        <v>1268</v>
      </c>
      <c r="B1272" s="5">
        <v>53</v>
      </c>
      <c r="C1272" s="5">
        <v>2</v>
      </c>
      <c r="D1272" s="379">
        <v>43.854444444444454</v>
      </c>
      <c r="E1272" s="25">
        <v>26.91</v>
      </c>
      <c r="F1272" s="379">
        <v>8.1174834595959595</v>
      </c>
      <c r="G1272" s="25">
        <v>47.85</v>
      </c>
      <c r="H1272" s="379">
        <v>5.9998259761140762</v>
      </c>
      <c r="I1272" s="25">
        <v>68.05</v>
      </c>
      <c r="J1272" s="379">
        <v>4.0722862958916988</v>
      </c>
    </row>
    <row r="1273" spans="1:10" x14ac:dyDescent="0.35">
      <c r="A1273" s="5">
        <v>1269</v>
      </c>
      <c r="B1273" s="5">
        <v>53</v>
      </c>
      <c r="C1273" s="5">
        <v>2</v>
      </c>
      <c r="D1273" s="379">
        <v>39.43277777777778</v>
      </c>
      <c r="E1273" s="25">
        <v>25.74</v>
      </c>
      <c r="F1273" s="379">
        <v>8.1174834595959595</v>
      </c>
      <c r="G1273" s="25">
        <v>46.11</v>
      </c>
      <c r="H1273" s="379">
        <v>6.116430118496087</v>
      </c>
      <c r="I1273" s="25">
        <v>62.27</v>
      </c>
      <c r="J1273" s="379">
        <v>4.0327680814238471</v>
      </c>
    </row>
    <row r="1274" spans="1:10" x14ac:dyDescent="0.35">
      <c r="A1274" s="5">
        <v>1270</v>
      </c>
      <c r="B1274" s="5">
        <v>53</v>
      </c>
      <c r="C1274" s="5">
        <v>2</v>
      </c>
      <c r="D1274" s="379">
        <v>37.800000000000004</v>
      </c>
      <c r="E1274" s="25">
        <v>24.99</v>
      </c>
      <c r="F1274" s="379">
        <v>4.8050815915837815</v>
      </c>
      <c r="G1274" s="25">
        <v>44.93</v>
      </c>
      <c r="H1274" s="379">
        <v>5.5593381956701649</v>
      </c>
      <c r="I1274" s="25">
        <v>53.71</v>
      </c>
      <c r="J1274" s="379">
        <v>3.8170041453492654</v>
      </c>
    </row>
    <row r="1275" spans="1:10" x14ac:dyDescent="0.35">
      <c r="A1275" s="5">
        <v>1271</v>
      </c>
      <c r="B1275" s="5">
        <v>53</v>
      </c>
      <c r="C1275" s="5">
        <v>2</v>
      </c>
      <c r="D1275" s="379">
        <v>36.803888888888885</v>
      </c>
      <c r="E1275" s="25">
        <v>24.84</v>
      </c>
      <c r="F1275" s="379">
        <v>3.9980507232628355</v>
      </c>
      <c r="G1275" s="25">
        <v>45.65</v>
      </c>
      <c r="H1275" s="379">
        <v>4.3071668815890787</v>
      </c>
      <c r="I1275" s="25">
        <v>49.71</v>
      </c>
      <c r="J1275" s="379">
        <v>3.8170041453492654</v>
      </c>
    </row>
    <row r="1276" spans="1:10" x14ac:dyDescent="0.35">
      <c r="A1276" s="5">
        <v>1272</v>
      </c>
      <c r="B1276" s="5">
        <v>53</v>
      </c>
      <c r="C1276" s="5">
        <v>2</v>
      </c>
      <c r="D1276" s="379">
        <v>36.904444444444444</v>
      </c>
      <c r="E1276" s="25">
        <v>24.84</v>
      </c>
      <c r="F1276" s="379">
        <v>0.22562279958562126</v>
      </c>
      <c r="G1276" s="25">
        <v>45.57</v>
      </c>
      <c r="H1276" s="379">
        <v>2.1489510259609013</v>
      </c>
      <c r="I1276" s="25">
        <v>48.86</v>
      </c>
      <c r="J1276" s="379">
        <v>3.7613056263857567</v>
      </c>
    </row>
    <row r="1277" spans="1:10" x14ac:dyDescent="0.35">
      <c r="A1277" s="5">
        <v>1273</v>
      </c>
      <c r="B1277" s="5">
        <v>54</v>
      </c>
      <c r="C1277" s="5">
        <v>2</v>
      </c>
      <c r="D1277" s="379">
        <v>38.777777777777779</v>
      </c>
      <c r="E1277" s="25">
        <v>24</v>
      </c>
      <c r="F1277" s="379">
        <v>0.2558907096612531</v>
      </c>
      <c r="G1277" s="25">
        <v>40.130000000000003</v>
      </c>
      <c r="H1277" s="379">
        <v>2.1489510259609013</v>
      </c>
      <c r="I1277" s="25">
        <v>47.31</v>
      </c>
      <c r="J1277" s="379">
        <v>3.7613056263857567</v>
      </c>
    </row>
    <row r="1278" spans="1:10" x14ac:dyDescent="0.35">
      <c r="A1278" s="5">
        <v>1274</v>
      </c>
      <c r="B1278" s="5">
        <v>54</v>
      </c>
      <c r="C1278" s="5">
        <v>2</v>
      </c>
      <c r="D1278" s="379">
        <v>37.922222222222217</v>
      </c>
      <c r="E1278" s="25">
        <v>24</v>
      </c>
      <c r="F1278" s="379">
        <v>0.17817669606858128</v>
      </c>
      <c r="G1278" s="25">
        <v>33.75</v>
      </c>
      <c r="H1278" s="379">
        <v>2.1489510259609013</v>
      </c>
      <c r="I1278" s="25">
        <v>35.799999999999997</v>
      </c>
      <c r="J1278" s="379">
        <v>2.777777777777778E-2</v>
      </c>
    </row>
    <row r="1279" spans="1:10" x14ac:dyDescent="0.35">
      <c r="A1279" s="5">
        <v>1275</v>
      </c>
      <c r="B1279" s="5">
        <v>54</v>
      </c>
      <c r="C1279" s="5">
        <v>2</v>
      </c>
      <c r="D1279" s="379">
        <v>39.04</v>
      </c>
      <c r="E1279" s="25">
        <v>23.59</v>
      </c>
      <c r="F1279" s="379">
        <v>0.17221841007620595</v>
      </c>
      <c r="G1279" s="25">
        <v>31.52</v>
      </c>
      <c r="H1279" s="379">
        <v>2.1489510259609013</v>
      </c>
      <c r="I1279" s="25">
        <v>33.67</v>
      </c>
      <c r="J1279" s="379">
        <v>2.777777777777778E-2</v>
      </c>
    </row>
    <row r="1280" spans="1:10" x14ac:dyDescent="0.35">
      <c r="A1280" s="5">
        <v>1276</v>
      </c>
      <c r="B1280" s="5">
        <v>54</v>
      </c>
      <c r="C1280" s="5">
        <v>2</v>
      </c>
      <c r="D1280" s="379">
        <v>39.082222222222221</v>
      </c>
      <c r="E1280" s="25">
        <v>23.59</v>
      </c>
      <c r="F1280" s="379">
        <v>0.18475470992795787</v>
      </c>
      <c r="G1280" s="25">
        <v>31.11</v>
      </c>
      <c r="H1280" s="379">
        <v>2.1489510259609013</v>
      </c>
      <c r="I1280" s="25">
        <v>33.67</v>
      </c>
      <c r="J1280" s="379">
        <v>2.777777777777778E-2</v>
      </c>
    </row>
    <row r="1281" spans="1:10" x14ac:dyDescent="0.35">
      <c r="A1281" s="5">
        <v>1277</v>
      </c>
      <c r="B1281" s="5">
        <v>54</v>
      </c>
      <c r="C1281" s="5">
        <v>2</v>
      </c>
      <c r="D1281" s="379">
        <v>41.128333333333337</v>
      </c>
      <c r="E1281" s="25">
        <v>24</v>
      </c>
      <c r="F1281" s="379">
        <v>0.18242121841709308</v>
      </c>
      <c r="G1281" s="25">
        <v>32.130000000000003</v>
      </c>
      <c r="H1281" s="379">
        <v>2.1489510259609013</v>
      </c>
      <c r="I1281" s="25">
        <v>33.67</v>
      </c>
      <c r="J1281" s="379">
        <v>2.777777777777778E-2</v>
      </c>
    </row>
    <row r="1282" spans="1:10" x14ac:dyDescent="0.35">
      <c r="A1282" s="5">
        <v>1278</v>
      </c>
      <c r="B1282" s="5">
        <v>54</v>
      </c>
      <c r="C1282" s="5">
        <v>2</v>
      </c>
      <c r="D1282" s="379">
        <v>42.233333333333341</v>
      </c>
      <c r="E1282" s="25">
        <v>24</v>
      </c>
      <c r="F1282" s="379">
        <v>0.20014714961653002</v>
      </c>
      <c r="G1282" s="25">
        <v>37.590000000000003</v>
      </c>
      <c r="H1282" s="379">
        <v>2.1489510259609013</v>
      </c>
      <c r="I1282" s="25">
        <v>36.869999999999997</v>
      </c>
      <c r="J1282" s="379">
        <v>2.777777777777778E-2</v>
      </c>
    </row>
    <row r="1283" spans="1:10" x14ac:dyDescent="0.35">
      <c r="A1283" s="5">
        <v>1279</v>
      </c>
      <c r="B1283" s="5">
        <v>54</v>
      </c>
      <c r="C1283" s="5">
        <v>2</v>
      </c>
      <c r="D1283" s="379">
        <v>45.897222222222219</v>
      </c>
      <c r="E1283" s="25">
        <v>24.84</v>
      </c>
      <c r="F1283" s="379">
        <v>0.21036147052782905</v>
      </c>
      <c r="G1283" s="25">
        <v>46.03</v>
      </c>
      <c r="H1283" s="379">
        <v>2.1489510259609013</v>
      </c>
      <c r="I1283" s="25">
        <v>49.53</v>
      </c>
      <c r="J1283" s="379">
        <v>2.777777777777778E-2</v>
      </c>
    </row>
    <row r="1284" spans="1:10" x14ac:dyDescent="0.35">
      <c r="A1284" s="5">
        <v>1280</v>
      </c>
      <c r="B1284" s="5">
        <v>54</v>
      </c>
      <c r="C1284" s="5">
        <v>2</v>
      </c>
      <c r="D1284" s="379">
        <v>50.391111111111115</v>
      </c>
      <c r="E1284" s="25">
        <v>25.74</v>
      </c>
      <c r="F1284" s="379">
        <v>0.21036147052782911</v>
      </c>
      <c r="G1284" s="25">
        <v>47.46</v>
      </c>
      <c r="H1284" s="379">
        <v>2.1489510259609013</v>
      </c>
      <c r="I1284" s="25">
        <v>57.49</v>
      </c>
      <c r="J1284" s="379">
        <v>2.777777777777778E-2</v>
      </c>
    </row>
    <row r="1285" spans="1:10" x14ac:dyDescent="0.35">
      <c r="A1285" s="5">
        <v>1281</v>
      </c>
      <c r="B1285" s="5">
        <v>54</v>
      </c>
      <c r="C1285" s="5">
        <v>2</v>
      </c>
      <c r="D1285" s="379">
        <v>53.774444444444448</v>
      </c>
      <c r="E1285" s="25">
        <v>25.74</v>
      </c>
      <c r="F1285" s="379">
        <v>0.27546296296296297</v>
      </c>
      <c r="G1285" s="25">
        <v>47.46</v>
      </c>
      <c r="H1285" s="379">
        <v>2.1489510259609013</v>
      </c>
      <c r="I1285" s="25">
        <v>64.14</v>
      </c>
      <c r="J1285" s="379">
        <v>2.777777777777778E-2</v>
      </c>
    </row>
    <row r="1286" spans="1:10" x14ac:dyDescent="0.35">
      <c r="A1286" s="5">
        <v>1282</v>
      </c>
      <c r="B1286" s="5">
        <v>54</v>
      </c>
      <c r="C1286" s="5">
        <v>2</v>
      </c>
      <c r="D1286" s="379">
        <v>48.305555555555557</v>
      </c>
      <c r="E1286" s="25">
        <v>25.74</v>
      </c>
      <c r="F1286" s="379">
        <v>0.12464824008385744</v>
      </c>
      <c r="G1286" s="25">
        <v>47.85</v>
      </c>
      <c r="H1286" s="379">
        <v>1.875552840195911</v>
      </c>
      <c r="I1286" s="25">
        <v>62.27</v>
      </c>
      <c r="J1286" s="379">
        <v>2.777777777777778E-2</v>
      </c>
    </row>
    <row r="1287" spans="1:10" x14ac:dyDescent="0.35">
      <c r="A1287" s="5">
        <v>1283</v>
      </c>
      <c r="B1287" s="5">
        <v>54</v>
      </c>
      <c r="C1287" s="5">
        <v>2</v>
      </c>
      <c r="D1287" s="379">
        <v>44.312777777777782</v>
      </c>
      <c r="E1287" s="25">
        <v>25.74</v>
      </c>
      <c r="F1287" s="379">
        <v>3.2984688817194554</v>
      </c>
      <c r="G1287" s="25">
        <v>47.46</v>
      </c>
      <c r="H1287" s="379">
        <v>1.875552840195911</v>
      </c>
      <c r="I1287" s="25">
        <v>62.27</v>
      </c>
      <c r="J1287" s="379">
        <v>2.777777777777778E-2</v>
      </c>
    </row>
    <row r="1288" spans="1:10" x14ac:dyDescent="0.35">
      <c r="A1288" s="5">
        <v>1284</v>
      </c>
      <c r="B1288" s="5">
        <v>54</v>
      </c>
      <c r="C1288" s="5">
        <v>2</v>
      </c>
      <c r="D1288" s="379">
        <v>41.938333333333333</v>
      </c>
      <c r="E1288" s="25">
        <v>25.74</v>
      </c>
      <c r="F1288" s="379">
        <v>0.27414668385524632</v>
      </c>
      <c r="G1288" s="25">
        <v>47.46</v>
      </c>
      <c r="H1288" s="379">
        <v>1.8457190916956596</v>
      </c>
      <c r="I1288" s="25">
        <v>57.49</v>
      </c>
      <c r="J1288" s="379">
        <v>2.777777777777778E-2</v>
      </c>
    </row>
    <row r="1289" spans="1:10" x14ac:dyDescent="0.35">
      <c r="A1289" s="5">
        <v>1285</v>
      </c>
      <c r="B1289" s="5">
        <v>54</v>
      </c>
      <c r="C1289" s="5">
        <v>2</v>
      </c>
      <c r="D1289" s="379">
        <v>38.919444444444444</v>
      </c>
      <c r="E1289" s="25">
        <v>25.74</v>
      </c>
      <c r="F1289" s="379">
        <v>2.2764457397518401</v>
      </c>
      <c r="G1289" s="25">
        <v>46.11</v>
      </c>
      <c r="H1289" s="379">
        <v>1.8457190916956596</v>
      </c>
      <c r="I1289" s="25">
        <v>48.86</v>
      </c>
      <c r="J1289" s="379">
        <v>2.777777777777778E-2</v>
      </c>
    </row>
    <row r="1290" spans="1:10" x14ac:dyDescent="0.35">
      <c r="A1290" s="5">
        <v>1286</v>
      </c>
      <c r="B1290" s="5">
        <v>54</v>
      </c>
      <c r="C1290" s="5">
        <v>2</v>
      </c>
      <c r="D1290" s="379">
        <v>38.194444444444443</v>
      </c>
      <c r="E1290" s="25">
        <v>24.99</v>
      </c>
      <c r="F1290" s="379">
        <v>0.24015225210269645</v>
      </c>
      <c r="G1290" s="25">
        <v>46.03</v>
      </c>
      <c r="H1290" s="379">
        <v>1.6677711224487881</v>
      </c>
      <c r="I1290" s="25">
        <v>48.86</v>
      </c>
      <c r="J1290" s="379">
        <v>2.777777777777778E-2</v>
      </c>
    </row>
    <row r="1291" spans="1:10" x14ac:dyDescent="0.35">
      <c r="A1291" s="5">
        <v>1287</v>
      </c>
      <c r="B1291" s="5">
        <v>54</v>
      </c>
      <c r="C1291" s="5">
        <v>2</v>
      </c>
      <c r="D1291" s="379">
        <v>39.162222222222219</v>
      </c>
      <c r="E1291" s="25">
        <v>24.99</v>
      </c>
      <c r="F1291" s="379">
        <v>2.2507502536411432</v>
      </c>
      <c r="G1291" s="25">
        <v>46.03</v>
      </c>
      <c r="H1291" s="379">
        <v>1.6677711224487881</v>
      </c>
      <c r="I1291" s="25">
        <v>48.86</v>
      </c>
      <c r="J1291" s="379">
        <v>2.777777777777778E-2</v>
      </c>
    </row>
    <row r="1292" spans="1:10" x14ac:dyDescent="0.35">
      <c r="A1292" s="5">
        <v>1288</v>
      </c>
      <c r="B1292" s="5">
        <v>54</v>
      </c>
      <c r="C1292" s="5">
        <v>2</v>
      </c>
      <c r="D1292" s="379">
        <v>40.529999999999994</v>
      </c>
      <c r="E1292" s="25">
        <v>24.84</v>
      </c>
      <c r="F1292" s="379">
        <v>0.13277374611171908</v>
      </c>
      <c r="G1292" s="25">
        <v>45.57</v>
      </c>
      <c r="H1292" s="379">
        <v>1.6677711224487881</v>
      </c>
      <c r="I1292" s="25">
        <v>48.86</v>
      </c>
      <c r="J1292" s="379">
        <v>2.777777777777778E-2</v>
      </c>
    </row>
    <row r="1293" spans="1:10" x14ac:dyDescent="0.35">
      <c r="A1293" s="5">
        <v>1289</v>
      </c>
      <c r="B1293" s="5">
        <v>54</v>
      </c>
      <c r="C1293" s="5">
        <v>2</v>
      </c>
      <c r="D1293" s="379">
        <v>42.008333333333333</v>
      </c>
      <c r="E1293" s="25">
        <v>25.25</v>
      </c>
      <c r="F1293" s="379">
        <v>4.7464644928222999</v>
      </c>
      <c r="G1293" s="25">
        <v>45.57</v>
      </c>
      <c r="H1293" s="379">
        <v>9.4184549886199551E-2</v>
      </c>
      <c r="I1293" s="25">
        <v>49.53</v>
      </c>
      <c r="J1293" s="379">
        <v>2.777777777777778E-2</v>
      </c>
    </row>
    <row r="1294" spans="1:10" x14ac:dyDescent="0.35">
      <c r="A1294" s="5">
        <v>1290</v>
      </c>
      <c r="B1294" s="5">
        <v>54</v>
      </c>
      <c r="C1294" s="5">
        <v>2</v>
      </c>
      <c r="D1294" s="379">
        <v>45.882777777777775</v>
      </c>
      <c r="E1294" s="25">
        <v>26.5</v>
      </c>
      <c r="F1294" s="379">
        <v>3.3611454949889517</v>
      </c>
      <c r="G1294" s="25">
        <v>46.03</v>
      </c>
      <c r="H1294" s="379">
        <v>6.7556234702700307E-2</v>
      </c>
      <c r="I1294" s="25">
        <v>53.71</v>
      </c>
      <c r="J1294" s="379">
        <v>2.777777777777778E-2</v>
      </c>
    </row>
    <row r="1295" spans="1:10" x14ac:dyDescent="0.35">
      <c r="A1295" s="5">
        <v>1291</v>
      </c>
      <c r="B1295" s="5">
        <v>54</v>
      </c>
      <c r="C1295" s="5">
        <v>2</v>
      </c>
      <c r="D1295" s="379">
        <v>48.083333333333329</v>
      </c>
      <c r="E1295" s="25">
        <v>26.51</v>
      </c>
      <c r="F1295" s="379">
        <v>3.5783858511829618</v>
      </c>
      <c r="G1295" s="25">
        <v>47.46</v>
      </c>
      <c r="H1295" s="379">
        <v>5.7456725388234133E-2</v>
      </c>
      <c r="I1295" s="25">
        <v>64.61</v>
      </c>
      <c r="J1295" s="379">
        <v>5.2545132490668327E-2</v>
      </c>
    </row>
    <row r="1296" spans="1:10" x14ac:dyDescent="0.35">
      <c r="A1296" s="5">
        <v>1292</v>
      </c>
      <c r="B1296" s="5">
        <v>54</v>
      </c>
      <c r="C1296" s="5">
        <v>2</v>
      </c>
      <c r="D1296" s="379">
        <v>46.541666666666671</v>
      </c>
      <c r="E1296" s="25">
        <v>26.51</v>
      </c>
      <c r="F1296" s="379">
        <v>4.6574966570603751</v>
      </c>
      <c r="G1296" s="25">
        <v>47.46</v>
      </c>
      <c r="H1296" s="379">
        <v>0.1186835669063519</v>
      </c>
      <c r="I1296" s="25">
        <v>57.49</v>
      </c>
      <c r="J1296" s="379">
        <v>7.656765099194833E-2</v>
      </c>
    </row>
    <row r="1297" spans="1:10" x14ac:dyDescent="0.35">
      <c r="A1297" s="5">
        <v>1293</v>
      </c>
      <c r="B1297" s="5">
        <v>54</v>
      </c>
      <c r="C1297" s="5">
        <v>2</v>
      </c>
      <c r="D1297" s="379">
        <v>41.626111111111115</v>
      </c>
      <c r="E1297" s="25">
        <v>25.74</v>
      </c>
      <c r="F1297" s="379">
        <v>4.6246968520617928</v>
      </c>
      <c r="G1297" s="25">
        <v>46.11</v>
      </c>
      <c r="H1297" s="379">
        <v>8.5050674556546732E-2</v>
      </c>
      <c r="I1297" s="25">
        <v>55.81</v>
      </c>
      <c r="J1297" s="379">
        <v>5.6923761257689227E-2</v>
      </c>
    </row>
    <row r="1298" spans="1:10" x14ac:dyDescent="0.35">
      <c r="A1298" s="5">
        <v>1294</v>
      </c>
      <c r="B1298" s="5">
        <v>54</v>
      </c>
      <c r="C1298" s="5">
        <v>2</v>
      </c>
      <c r="D1298" s="379">
        <v>40.438333333333333</v>
      </c>
      <c r="E1298" s="25">
        <v>25.74</v>
      </c>
      <c r="F1298" s="379">
        <v>5.0185541030017529</v>
      </c>
      <c r="G1298" s="25">
        <v>46.03</v>
      </c>
      <c r="H1298" s="379">
        <v>0.1061723792677987</v>
      </c>
      <c r="I1298" s="25">
        <v>53.27</v>
      </c>
      <c r="J1298" s="379">
        <v>2.9615094008230234E-2</v>
      </c>
    </row>
    <row r="1299" spans="1:10" x14ac:dyDescent="0.35">
      <c r="A1299" s="5">
        <v>1295</v>
      </c>
      <c r="B1299" s="5">
        <v>54</v>
      </c>
      <c r="C1299" s="5">
        <v>2</v>
      </c>
      <c r="D1299" s="379">
        <v>38.260555555555555</v>
      </c>
      <c r="E1299" s="25">
        <v>25.74</v>
      </c>
      <c r="F1299" s="379">
        <v>0.47029502962315745</v>
      </c>
      <c r="G1299" s="25">
        <v>46.03</v>
      </c>
      <c r="H1299" s="379">
        <v>1.875552840195911</v>
      </c>
      <c r="I1299" s="25">
        <v>50.03</v>
      </c>
      <c r="J1299" s="379">
        <v>2.8277465877357716E-2</v>
      </c>
    </row>
    <row r="1300" spans="1:10" x14ac:dyDescent="0.35">
      <c r="A1300" s="5">
        <v>1296</v>
      </c>
      <c r="B1300" s="5">
        <v>54</v>
      </c>
      <c r="C1300" s="5">
        <v>2</v>
      </c>
      <c r="D1300" s="379">
        <v>36.004999999999995</v>
      </c>
      <c r="E1300" s="25">
        <v>24.84</v>
      </c>
      <c r="F1300" s="379">
        <v>0.4470246583963034</v>
      </c>
      <c r="G1300" s="25">
        <v>46.03</v>
      </c>
      <c r="H1300" s="379">
        <v>1.875552840195911</v>
      </c>
      <c r="I1300" s="25">
        <v>48.86</v>
      </c>
      <c r="J1300" s="379">
        <v>2.777777777777778E-2</v>
      </c>
    </row>
    <row r="1301" spans="1:10" x14ac:dyDescent="0.35">
      <c r="A1301" s="5">
        <v>1297</v>
      </c>
      <c r="B1301" s="5">
        <v>55</v>
      </c>
      <c r="C1301" s="5">
        <v>2</v>
      </c>
      <c r="D1301" s="379">
        <v>34.032222222222217</v>
      </c>
      <c r="E1301" s="25">
        <v>24.84</v>
      </c>
      <c r="F1301" s="379">
        <v>0.20371306085588486</v>
      </c>
      <c r="G1301" s="25">
        <v>42.19</v>
      </c>
      <c r="H1301" s="379">
        <v>1.875552840195911</v>
      </c>
      <c r="I1301" s="25">
        <v>48.86</v>
      </c>
      <c r="J1301" s="379">
        <v>2.777777777777778E-2</v>
      </c>
    </row>
    <row r="1302" spans="1:10" x14ac:dyDescent="0.35">
      <c r="A1302" s="5">
        <v>1298</v>
      </c>
      <c r="B1302" s="5">
        <v>55</v>
      </c>
      <c r="C1302" s="5">
        <v>2</v>
      </c>
      <c r="D1302" s="379">
        <v>32.499444444444435</v>
      </c>
      <c r="E1302" s="25">
        <v>24.48</v>
      </c>
      <c r="F1302" s="379">
        <v>2.5565215798229359</v>
      </c>
      <c r="G1302" s="25">
        <v>40.340000000000003</v>
      </c>
      <c r="H1302" s="379">
        <v>1.875552840195911</v>
      </c>
      <c r="I1302" s="25">
        <v>48.86</v>
      </c>
      <c r="J1302" s="379">
        <v>2.777777777777778E-2</v>
      </c>
    </row>
    <row r="1303" spans="1:10" x14ac:dyDescent="0.35">
      <c r="A1303" s="5">
        <v>1299</v>
      </c>
      <c r="B1303" s="5">
        <v>55</v>
      </c>
      <c r="C1303" s="5">
        <v>2</v>
      </c>
      <c r="D1303" s="379">
        <v>34.207777777777778</v>
      </c>
      <c r="E1303" s="25">
        <v>24</v>
      </c>
      <c r="F1303" s="379">
        <v>2.5565215798229359</v>
      </c>
      <c r="G1303" s="25">
        <v>38.19</v>
      </c>
      <c r="H1303" s="379">
        <v>1.875552840195911</v>
      </c>
      <c r="I1303" s="25">
        <v>48.86</v>
      </c>
      <c r="J1303" s="379">
        <v>2.777777777777778E-2</v>
      </c>
    </row>
    <row r="1304" spans="1:10" x14ac:dyDescent="0.35">
      <c r="A1304" s="5">
        <v>1300</v>
      </c>
      <c r="B1304" s="5">
        <v>55</v>
      </c>
      <c r="C1304" s="5">
        <v>2</v>
      </c>
      <c r="D1304" s="379">
        <v>33.872777777777777</v>
      </c>
      <c r="E1304" s="25">
        <v>24</v>
      </c>
      <c r="F1304" s="379">
        <v>2.5565215798229359</v>
      </c>
      <c r="G1304" s="25">
        <v>32.79</v>
      </c>
      <c r="H1304" s="379">
        <v>1.875552840195911</v>
      </c>
      <c r="I1304" s="25">
        <v>47.37</v>
      </c>
      <c r="J1304" s="379">
        <v>2.777777777777778E-2</v>
      </c>
    </row>
    <row r="1305" spans="1:10" x14ac:dyDescent="0.35">
      <c r="A1305" s="5">
        <v>1301</v>
      </c>
      <c r="B1305" s="5">
        <v>55</v>
      </c>
      <c r="C1305" s="5">
        <v>2</v>
      </c>
      <c r="D1305" s="379">
        <v>35.870555555555562</v>
      </c>
      <c r="E1305" s="25">
        <v>24</v>
      </c>
      <c r="F1305" s="379">
        <v>2.5565215798229359</v>
      </c>
      <c r="G1305" s="25">
        <v>32.79</v>
      </c>
      <c r="H1305" s="379">
        <v>1.875552840195911</v>
      </c>
      <c r="I1305" s="25">
        <v>48.09</v>
      </c>
      <c r="J1305" s="379">
        <v>2.777777777777778E-2</v>
      </c>
    </row>
    <row r="1306" spans="1:10" x14ac:dyDescent="0.35">
      <c r="A1306" s="5">
        <v>1302</v>
      </c>
      <c r="B1306" s="5">
        <v>55</v>
      </c>
      <c r="C1306" s="5">
        <v>2</v>
      </c>
      <c r="D1306" s="379">
        <v>37.853333333333332</v>
      </c>
      <c r="E1306" s="25">
        <v>24.73</v>
      </c>
      <c r="F1306" s="379">
        <v>2.5565215798229359</v>
      </c>
      <c r="G1306" s="25">
        <v>40.340000000000003</v>
      </c>
      <c r="H1306" s="379">
        <v>1.875552840195911</v>
      </c>
      <c r="I1306" s="25">
        <v>48.86</v>
      </c>
      <c r="J1306" s="379">
        <v>2.777777777777778E-2</v>
      </c>
    </row>
    <row r="1307" spans="1:10" x14ac:dyDescent="0.35">
      <c r="A1307" s="5">
        <v>1303</v>
      </c>
      <c r="B1307" s="5">
        <v>55</v>
      </c>
      <c r="C1307" s="5">
        <v>2</v>
      </c>
      <c r="D1307" s="379">
        <v>42.591111111111118</v>
      </c>
      <c r="E1307" s="25">
        <v>24.99</v>
      </c>
      <c r="F1307" s="379">
        <v>2.5918486159734222</v>
      </c>
      <c r="G1307" s="25">
        <v>46.11</v>
      </c>
      <c r="H1307" s="379">
        <v>2.1305851077053028</v>
      </c>
      <c r="I1307" s="25">
        <v>49.53</v>
      </c>
      <c r="J1307" s="379">
        <v>2.777777777777778E-2</v>
      </c>
    </row>
    <row r="1308" spans="1:10" x14ac:dyDescent="0.35">
      <c r="A1308" s="5">
        <v>1304</v>
      </c>
      <c r="B1308" s="5">
        <v>55</v>
      </c>
      <c r="C1308" s="5">
        <v>2</v>
      </c>
      <c r="D1308" s="379">
        <v>46.169444444444437</v>
      </c>
      <c r="E1308" s="25">
        <v>25.74</v>
      </c>
      <c r="F1308" s="379">
        <v>2.777777777777778E-2</v>
      </c>
      <c r="G1308" s="25">
        <v>46.11</v>
      </c>
      <c r="H1308" s="379">
        <v>2.1305851077053028</v>
      </c>
      <c r="I1308" s="25">
        <v>57.49</v>
      </c>
      <c r="J1308" s="379">
        <v>2.777777777777778E-2</v>
      </c>
    </row>
    <row r="1309" spans="1:10" x14ac:dyDescent="0.35">
      <c r="A1309" s="5">
        <v>1305</v>
      </c>
      <c r="B1309" s="5">
        <v>55</v>
      </c>
      <c r="C1309" s="5">
        <v>2</v>
      </c>
      <c r="D1309" s="379">
        <v>48.83</v>
      </c>
      <c r="E1309" s="25">
        <v>25.74</v>
      </c>
      <c r="F1309" s="379">
        <v>2.5918486159734222</v>
      </c>
      <c r="G1309" s="25">
        <v>46.11</v>
      </c>
      <c r="H1309" s="379">
        <v>2.1305851077053028</v>
      </c>
      <c r="I1309" s="25">
        <v>57.49</v>
      </c>
      <c r="J1309" s="379">
        <v>2.777777777777778E-2</v>
      </c>
    </row>
    <row r="1310" spans="1:10" x14ac:dyDescent="0.35">
      <c r="A1310" s="5">
        <v>1306</v>
      </c>
      <c r="B1310" s="5">
        <v>55</v>
      </c>
      <c r="C1310" s="5">
        <v>2</v>
      </c>
      <c r="D1310" s="379">
        <v>46.594444444444449</v>
      </c>
      <c r="E1310" s="25">
        <v>25.74</v>
      </c>
      <c r="F1310" s="379">
        <v>2.5918486159734222</v>
      </c>
      <c r="G1310" s="25">
        <v>47.85</v>
      </c>
      <c r="H1310" s="379">
        <v>1.9526371384584318</v>
      </c>
      <c r="I1310" s="25">
        <v>57.49</v>
      </c>
      <c r="J1310" s="379">
        <v>2.777777777777778E-2</v>
      </c>
    </row>
    <row r="1311" spans="1:10" x14ac:dyDescent="0.35">
      <c r="A1311" s="5">
        <v>1307</v>
      </c>
      <c r="B1311" s="5">
        <v>55</v>
      </c>
      <c r="C1311" s="5">
        <v>2</v>
      </c>
      <c r="D1311" s="379">
        <v>44.145555555555553</v>
      </c>
      <c r="E1311" s="25">
        <v>25.74</v>
      </c>
      <c r="F1311" s="379">
        <v>2.5565215798229359</v>
      </c>
      <c r="G1311" s="25">
        <v>47.85</v>
      </c>
      <c r="H1311" s="379">
        <v>2.983374850025141E-2</v>
      </c>
      <c r="I1311" s="25">
        <v>53.71</v>
      </c>
      <c r="J1311" s="379">
        <v>2.777777777777778E-2</v>
      </c>
    </row>
    <row r="1312" spans="1:10" x14ac:dyDescent="0.35">
      <c r="A1312" s="5">
        <v>1308</v>
      </c>
      <c r="B1312" s="5">
        <v>55</v>
      </c>
      <c r="C1312" s="5">
        <v>2</v>
      </c>
      <c r="D1312" s="379">
        <v>42.253333333333337</v>
      </c>
      <c r="E1312" s="25">
        <v>25.74</v>
      </c>
      <c r="F1312" s="379">
        <v>2.5565215798229359</v>
      </c>
      <c r="G1312" s="25">
        <v>46.11</v>
      </c>
      <c r="H1312" s="379">
        <v>2.983374850025141E-2</v>
      </c>
      <c r="I1312" s="25">
        <v>49.36</v>
      </c>
      <c r="J1312" s="379">
        <v>2.777777777777778E-2</v>
      </c>
    </row>
    <row r="1313" spans="1:10" x14ac:dyDescent="0.35">
      <c r="A1313" s="5">
        <v>1309</v>
      </c>
      <c r="B1313" s="5">
        <v>55</v>
      </c>
      <c r="C1313" s="5">
        <v>2</v>
      </c>
      <c r="D1313" s="379">
        <v>43.043333333333329</v>
      </c>
      <c r="E1313" s="25">
        <v>24.99</v>
      </c>
      <c r="F1313" s="379">
        <v>2.5565215798229359</v>
      </c>
      <c r="G1313" s="25">
        <v>46.11</v>
      </c>
      <c r="H1313" s="379">
        <v>2.777777777777778E-2</v>
      </c>
      <c r="I1313" s="25">
        <v>48.86</v>
      </c>
      <c r="J1313" s="379">
        <v>2.777777777777778E-2</v>
      </c>
    </row>
    <row r="1314" spans="1:10" x14ac:dyDescent="0.35">
      <c r="A1314" s="5">
        <v>1310</v>
      </c>
      <c r="B1314" s="5">
        <v>55</v>
      </c>
      <c r="C1314" s="5">
        <v>2</v>
      </c>
      <c r="D1314" s="379">
        <v>42.606666666666662</v>
      </c>
      <c r="E1314" s="25">
        <v>24.99</v>
      </c>
      <c r="F1314" s="379">
        <v>1.9253973483329037</v>
      </c>
      <c r="G1314" s="25">
        <v>46.11</v>
      </c>
      <c r="H1314" s="379">
        <v>2.983374850025141E-2</v>
      </c>
      <c r="I1314" s="25">
        <v>48.86</v>
      </c>
      <c r="J1314" s="379">
        <v>2.777777777777778E-2</v>
      </c>
    </row>
    <row r="1315" spans="1:10" x14ac:dyDescent="0.35">
      <c r="A1315" s="5">
        <v>1311</v>
      </c>
      <c r="B1315" s="5">
        <v>55</v>
      </c>
      <c r="C1315" s="5">
        <v>2</v>
      </c>
      <c r="D1315" s="379">
        <v>42.486666666666665</v>
      </c>
      <c r="E1315" s="25">
        <v>24.99</v>
      </c>
      <c r="F1315" s="379">
        <v>1.9607243844833897</v>
      </c>
      <c r="G1315" s="25">
        <v>46.11</v>
      </c>
      <c r="H1315" s="379">
        <v>2.983374850025141E-2</v>
      </c>
      <c r="I1315" s="25">
        <v>48.86</v>
      </c>
      <c r="J1315" s="379">
        <v>2.777777777777778E-2</v>
      </c>
    </row>
    <row r="1316" spans="1:10" x14ac:dyDescent="0.35">
      <c r="A1316" s="5">
        <v>1312</v>
      </c>
      <c r="B1316" s="5">
        <v>55</v>
      </c>
      <c r="C1316" s="5">
        <v>2</v>
      </c>
      <c r="D1316" s="379">
        <v>44.43277777777778</v>
      </c>
      <c r="E1316" s="25">
        <v>24.99</v>
      </c>
      <c r="F1316" s="379">
        <v>1.9607243844833897</v>
      </c>
      <c r="G1316" s="25">
        <v>46.03</v>
      </c>
      <c r="H1316" s="379">
        <v>0.28486601600964356</v>
      </c>
      <c r="I1316" s="25">
        <v>48.86</v>
      </c>
      <c r="J1316" s="379">
        <v>2.777777777777778E-2</v>
      </c>
    </row>
    <row r="1317" spans="1:10" x14ac:dyDescent="0.35">
      <c r="A1317" s="5">
        <v>1313</v>
      </c>
      <c r="B1317" s="5">
        <v>55</v>
      </c>
      <c r="C1317" s="5">
        <v>2</v>
      </c>
      <c r="D1317" s="379">
        <v>47.14</v>
      </c>
      <c r="E1317" s="25">
        <v>24.99</v>
      </c>
      <c r="F1317" s="379">
        <v>3.2727733956087586</v>
      </c>
      <c r="G1317" s="25">
        <v>46.11</v>
      </c>
      <c r="H1317" s="379">
        <v>0.28486601600964356</v>
      </c>
      <c r="I1317" s="25">
        <v>50.13</v>
      </c>
      <c r="J1317" s="379">
        <v>2.777777777777778E-2</v>
      </c>
    </row>
    <row r="1318" spans="1:10" x14ac:dyDescent="0.35">
      <c r="A1318" s="5">
        <v>1314</v>
      </c>
      <c r="B1318" s="5">
        <v>55</v>
      </c>
      <c r="C1318" s="5">
        <v>2</v>
      </c>
      <c r="D1318" s="379">
        <v>50.804444444444449</v>
      </c>
      <c r="E1318" s="25">
        <v>26.51</v>
      </c>
      <c r="F1318" s="379">
        <v>5.401728624268344</v>
      </c>
      <c r="G1318" s="25">
        <v>47.85</v>
      </c>
      <c r="H1318" s="379">
        <v>0.27444236348641993</v>
      </c>
      <c r="I1318" s="25">
        <v>58.26</v>
      </c>
      <c r="J1318" s="379">
        <v>2.777777777777778E-2</v>
      </c>
    </row>
    <row r="1319" spans="1:10" x14ac:dyDescent="0.35">
      <c r="A1319" s="5">
        <v>1315</v>
      </c>
      <c r="B1319" s="5">
        <v>55</v>
      </c>
      <c r="C1319" s="5">
        <v>2</v>
      </c>
      <c r="D1319" s="379">
        <v>54.612777777777772</v>
      </c>
      <c r="E1319" s="25">
        <v>29.23</v>
      </c>
      <c r="F1319" s="379">
        <v>5.2842917300774621</v>
      </c>
      <c r="G1319" s="25">
        <v>55.83</v>
      </c>
      <c r="H1319" s="379">
        <v>0.55346939587234101</v>
      </c>
      <c r="I1319" s="25">
        <v>135.28</v>
      </c>
      <c r="J1319" s="379">
        <v>3.730476445309844</v>
      </c>
    </row>
    <row r="1320" spans="1:10" x14ac:dyDescent="0.35">
      <c r="A1320" s="5">
        <v>1316</v>
      </c>
      <c r="B1320" s="5">
        <v>55</v>
      </c>
      <c r="C1320" s="5">
        <v>2</v>
      </c>
      <c r="D1320" s="379">
        <v>49.117777777777782</v>
      </c>
      <c r="E1320" s="25">
        <v>29.23</v>
      </c>
      <c r="F1320" s="379">
        <v>5.5119625128047023</v>
      </c>
      <c r="G1320" s="25">
        <v>55.83</v>
      </c>
      <c r="H1320" s="379">
        <v>0.56219002543526653</v>
      </c>
      <c r="I1320" s="25">
        <v>80.05</v>
      </c>
      <c r="J1320" s="379">
        <v>3.7613056263857567</v>
      </c>
    </row>
    <row r="1321" spans="1:10" x14ac:dyDescent="0.35">
      <c r="A1321" s="5">
        <v>1317</v>
      </c>
      <c r="B1321" s="5">
        <v>55</v>
      </c>
      <c r="C1321" s="5">
        <v>2</v>
      </c>
      <c r="D1321" s="379">
        <v>48.262222222222213</v>
      </c>
      <c r="E1321" s="25">
        <v>27.29</v>
      </c>
      <c r="F1321" s="379">
        <v>5.4816630611243182</v>
      </c>
      <c r="G1321" s="25">
        <v>53.77</v>
      </c>
      <c r="H1321" s="379">
        <v>0.41892219551430276</v>
      </c>
      <c r="I1321" s="25">
        <v>68.05</v>
      </c>
      <c r="J1321" s="379">
        <v>3.7613056263857567</v>
      </c>
    </row>
    <row r="1322" spans="1:10" x14ac:dyDescent="0.35">
      <c r="A1322" s="5">
        <v>1318</v>
      </c>
      <c r="B1322" s="5">
        <v>55</v>
      </c>
      <c r="C1322" s="5">
        <v>2</v>
      </c>
      <c r="D1322" s="379">
        <v>49.239999999999995</v>
      </c>
      <c r="E1322" s="25">
        <v>26.5</v>
      </c>
      <c r="F1322" s="379">
        <v>5.0114504658989754</v>
      </c>
      <c r="G1322" s="25">
        <v>47.85</v>
      </c>
      <c r="H1322" s="379">
        <v>0.28048019605484764</v>
      </c>
      <c r="I1322" s="25">
        <v>66.06</v>
      </c>
      <c r="J1322" s="379">
        <v>3.7613056263857567</v>
      </c>
    </row>
    <row r="1323" spans="1:10" x14ac:dyDescent="0.35">
      <c r="A1323" s="5">
        <v>1319</v>
      </c>
      <c r="B1323" s="5">
        <v>55</v>
      </c>
      <c r="C1323" s="5">
        <v>2</v>
      </c>
      <c r="D1323" s="379">
        <v>46.561111111111103</v>
      </c>
      <c r="E1323" s="25">
        <v>25.74</v>
      </c>
      <c r="F1323" s="379">
        <v>4.9164944102679513</v>
      </c>
      <c r="G1323" s="25">
        <v>47.85</v>
      </c>
      <c r="H1323" s="379">
        <v>0.35193306652955453</v>
      </c>
      <c r="I1323" s="25">
        <v>68.05</v>
      </c>
      <c r="J1323" s="379">
        <v>3.7613056263857567</v>
      </c>
    </row>
    <row r="1324" spans="1:10" x14ac:dyDescent="0.35">
      <c r="A1324" s="5">
        <v>1320</v>
      </c>
      <c r="B1324" s="5">
        <v>55</v>
      </c>
      <c r="C1324" s="5">
        <v>2</v>
      </c>
      <c r="D1324" s="379">
        <v>45.836111111111109</v>
      </c>
      <c r="E1324" s="25">
        <v>25.74</v>
      </c>
      <c r="F1324" s="379">
        <v>4.5579232612756018</v>
      </c>
      <c r="G1324" s="25">
        <v>47.46</v>
      </c>
      <c r="H1324" s="379">
        <v>0.26605311602784493</v>
      </c>
      <c r="I1324" s="25">
        <v>68.05</v>
      </c>
      <c r="J1324" s="379">
        <v>4.3357648088126481</v>
      </c>
    </row>
    <row r="1325" spans="1:10" x14ac:dyDescent="0.35">
      <c r="A1325" s="5">
        <v>1321</v>
      </c>
      <c r="B1325" s="5">
        <v>56</v>
      </c>
      <c r="C1325" s="5">
        <v>2</v>
      </c>
      <c r="D1325" s="379">
        <v>48.033888888888889</v>
      </c>
      <c r="E1325" s="25">
        <v>24.99</v>
      </c>
      <c r="F1325" s="379">
        <v>4.5519709590413653</v>
      </c>
      <c r="G1325" s="25">
        <v>47.85</v>
      </c>
      <c r="H1325" s="379">
        <v>0.4309437160988967</v>
      </c>
      <c r="I1325" s="25">
        <v>72.19</v>
      </c>
      <c r="J1325" s="379">
        <v>2.2576996930163542</v>
      </c>
    </row>
    <row r="1326" spans="1:10" x14ac:dyDescent="0.35">
      <c r="A1326" s="5">
        <v>1322</v>
      </c>
      <c r="B1326" s="5">
        <v>56</v>
      </c>
      <c r="C1326" s="5">
        <v>2</v>
      </c>
      <c r="D1326" s="379">
        <v>46.423333333333332</v>
      </c>
      <c r="E1326" s="25">
        <v>24.99</v>
      </c>
      <c r="F1326" s="379">
        <v>4.2584496470288693</v>
      </c>
      <c r="G1326" s="25">
        <v>47.46</v>
      </c>
      <c r="H1326" s="379">
        <v>0.27908966496462456</v>
      </c>
      <c r="I1326" s="25">
        <v>72.19</v>
      </c>
      <c r="J1326" s="379">
        <v>3.7613056263857567</v>
      </c>
    </row>
    <row r="1327" spans="1:10" x14ac:dyDescent="0.35">
      <c r="A1327" s="5">
        <v>1323</v>
      </c>
      <c r="B1327" s="5">
        <v>56</v>
      </c>
      <c r="C1327" s="5">
        <v>2</v>
      </c>
      <c r="D1327" s="379">
        <v>44.588888888888896</v>
      </c>
      <c r="E1327" s="25">
        <v>24.84</v>
      </c>
      <c r="F1327" s="379">
        <v>3.9578381320974283</v>
      </c>
      <c r="G1327" s="25">
        <v>47.46</v>
      </c>
      <c r="H1327" s="379">
        <v>0.29115978940176629</v>
      </c>
      <c r="I1327" s="25">
        <v>72.19</v>
      </c>
      <c r="J1327" s="379">
        <v>3.7939906058539616</v>
      </c>
    </row>
    <row r="1328" spans="1:10" x14ac:dyDescent="0.35">
      <c r="A1328" s="5">
        <v>1324</v>
      </c>
      <c r="B1328" s="5">
        <v>56</v>
      </c>
      <c r="C1328" s="5">
        <v>2</v>
      </c>
      <c r="D1328" s="379">
        <v>44.011111111111113</v>
      </c>
      <c r="E1328" s="25">
        <v>24.84</v>
      </c>
      <c r="F1328" s="379">
        <v>4.5519709590413653</v>
      </c>
      <c r="G1328" s="25">
        <v>47.46</v>
      </c>
      <c r="H1328" s="379">
        <v>0.56554364431572035</v>
      </c>
      <c r="I1328" s="25">
        <v>72.19</v>
      </c>
      <c r="J1328" s="379">
        <v>3.7939906058539616</v>
      </c>
    </row>
    <row r="1329" spans="1:10" x14ac:dyDescent="0.35">
      <c r="A1329" s="5">
        <v>1325</v>
      </c>
      <c r="B1329" s="5">
        <v>56</v>
      </c>
      <c r="C1329" s="5">
        <v>2</v>
      </c>
      <c r="D1329" s="379">
        <v>43.451111111111103</v>
      </c>
      <c r="E1329" s="25">
        <v>24.84</v>
      </c>
      <c r="F1329" s="379">
        <v>4.5542414619270328</v>
      </c>
      <c r="G1329" s="25">
        <v>47.46</v>
      </c>
      <c r="H1329" s="379">
        <v>0.40763083517174581</v>
      </c>
      <c r="I1329" s="25">
        <v>72.19</v>
      </c>
      <c r="J1329" s="379">
        <v>2.1113302785586354</v>
      </c>
    </row>
    <row r="1330" spans="1:10" x14ac:dyDescent="0.35">
      <c r="A1330" s="5">
        <v>1326</v>
      </c>
      <c r="B1330" s="5">
        <v>56</v>
      </c>
      <c r="C1330" s="5">
        <v>2</v>
      </c>
      <c r="D1330" s="379">
        <v>46.22</v>
      </c>
      <c r="E1330" s="25">
        <v>24.99</v>
      </c>
      <c r="F1330" s="379">
        <v>5.273504201538346</v>
      </c>
      <c r="G1330" s="25">
        <v>52.2</v>
      </c>
      <c r="H1330" s="379">
        <v>0.302099249879972</v>
      </c>
      <c r="I1330" s="25">
        <v>72.19</v>
      </c>
      <c r="J1330" s="379">
        <v>2.1113302785586359</v>
      </c>
    </row>
    <row r="1331" spans="1:10" x14ac:dyDescent="0.35">
      <c r="A1331" s="5">
        <v>1327</v>
      </c>
      <c r="B1331" s="5">
        <v>56</v>
      </c>
      <c r="C1331" s="5">
        <v>2</v>
      </c>
      <c r="D1331" s="379">
        <v>55.324999999999996</v>
      </c>
      <c r="E1331" s="25">
        <v>26.51</v>
      </c>
      <c r="F1331" s="379">
        <v>5.4354068881339215</v>
      </c>
      <c r="G1331" s="25">
        <v>61.5</v>
      </c>
      <c r="H1331" s="379">
        <v>0.44218033882581809</v>
      </c>
      <c r="I1331" s="25">
        <v>431.79</v>
      </c>
      <c r="J1331" s="379">
        <v>1.7415503755421233</v>
      </c>
    </row>
    <row r="1332" spans="1:10" x14ac:dyDescent="0.35">
      <c r="A1332" s="5">
        <v>1328</v>
      </c>
      <c r="B1332" s="5">
        <v>56</v>
      </c>
      <c r="C1332" s="5">
        <v>2</v>
      </c>
      <c r="D1332" s="379">
        <v>58.542777777777772</v>
      </c>
      <c r="E1332" s="25">
        <v>28.97</v>
      </c>
      <c r="F1332" s="379">
        <v>8.1174834595959577</v>
      </c>
      <c r="G1332" s="25">
        <v>62.12</v>
      </c>
      <c r="H1332" s="379">
        <v>0.65808670058311358</v>
      </c>
      <c r="I1332" s="25">
        <v>502.91</v>
      </c>
      <c r="J1332" s="379">
        <v>2.2502191674475251</v>
      </c>
    </row>
    <row r="1333" spans="1:10" x14ac:dyDescent="0.35">
      <c r="A1333" s="5">
        <v>1329</v>
      </c>
      <c r="B1333" s="5">
        <v>56</v>
      </c>
      <c r="C1333" s="5">
        <v>2</v>
      </c>
      <c r="D1333" s="379">
        <v>54.759444444444441</v>
      </c>
      <c r="E1333" s="25">
        <v>34.08</v>
      </c>
      <c r="F1333" s="379">
        <v>8.1174834595959577</v>
      </c>
      <c r="G1333" s="25">
        <v>62.33</v>
      </c>
      <c r="H1333" s="379">
        <v>1.4838998162336314</v>
      </c>
      <c r="I1333" s="25">
        <v>621.41</v>
      </c>
      <c r="J1333" s="379">
        <v>2.2502191674475251</v>
      </c>
    </row>
    <row r="1334" spans="1:10" x14ac:dyDescent="0.35">
      <c r="A1334" s="5">
        <v>1330</v>
      </c>
      <c r="B1334" s="5">
        <v>56</v>
      </c>
      <c r="C1334" s="5">
        <v>2</v>
      </c>
      <c r="D1334" s="379">
        <v>52.72999999999999</v>
      </c>
      <c r="E1334" s="25">
        <v>28.97</v>
      </c>
      <c r="F1334" s="379">
        <v>8.1174834595959595</v>
      </c>
      <c r="G1334" s="25">
        <v>62.33</v>
      </c>
      <c r="H1334" s="379">
        <v>1.8947790011276591</v>
      </c>
      <c r="I1334" s="25">
        <v>440.3</v>
      </c>
      <c r="J1334" s="379">
        <v>2.2502191674475251</v>
      </c>
    </row>
    <row r="1335" spans="1:10" x14ac:dyDescent="0.35">
      <c r="A1335" s="5">
        <v>1331</v>
      </c>
      <c r="B1335" s="5">
        <v>56</v>
      </c>
      <c r="C1335" s="5">
        <v>2</v>
      </c>
      <c r="D1335" s="379">
        <v>46.257777777777768</v>
      </c>
      <c r="E1335" s="25">
        <v>28.97</v>
      </c>
      <c r="F1335" s="379">
        <v>0.47222222222222221</v>
      </c>
      <c r="G1335" s="25">
        <v>62.12</v>
      </c>
      <c r="H1335" s="379">
        <v>3.094194315749581</v>
      </c>
      <c r="I1335" s="25">
        <v>427.47</v>
      </c>
      <c r="J1335" s="379">
        <v>1.1227166426967794</v>
      </c>
    </row>
    <row r="1336" spans="1:10" x14ac:dyDescent="0.35">
      <c r="A1336" s="5">
        <v>1332</v>
      </c>
      <c r="B1336" s="5">
        <v>56</v>
      </c>
      <c r="C1336" s="5">
        <v>2</v>
      </c>
      <c r="D1336" s="379">
        <v>48.021666666666661</v>
      </c>
      <c r="E1336" s="25">
        <v>28.97</v>
      </c>
      <c r="F1336" s="379">
        <v>5.2140994449840878</v>
      </c>
      <c r="G1336" s="25">
        <v>62.12</v>
      </c>
      <c r="H1336" s="379">
        <v>7.8516677643872921</v>
      </c>
      <c r="I1336" s="25">
        <v>427.47</v>
      </c>
      <c r="J1336" s="379">
        <v>2.2502191674475251</v>
      </c>
    </row>
    <row r="1337" spans="1:10" x14ac:dyDescent="0.35">
      <c r="A1337" s="5">
        <v>1333</v>
      </c>
      <c r="B1337" s="5">
        <v>56</v>
      </c>
      <c r="C1337" s="5">
        <v>2</v>
      </c>
      <c r="D1337" s="379">
        <v>46.576666666666661</v>
      </c>
      <c r="E1337" s="25">
        <v>28.97</v>
      </c>
      <c r="F1337" s="379">
        <v>4.9078329979658086</v>
      </c>
      <c r="G1337" s="25">
        <v>62.12</v>
      </c>
      <c r="H1337" s="379">
        <v>4.7180925818072117</v>
      </c>
      <c r="I1337" s="25">
        <v>427.47</v>
      </c>
      <c r="J1337" s="379">
        <v>6.0141920456147959</v>
      </c>
    </row>
    <row r="1338" spans="1:10" x14ac:dyDescent="0.35">
      <c r="A1338" s="5">
        <v>1334</v>
      </c>
      <c r="B1338" s="5">
        <v>56</v>
      </c>
      <c r="C1338" s="5">
        <v>2</v>
      </c>
      <c r="D1338" s="379">
        <v>46.749444444444443</v>
      </c>
      <c r="E1338" s="25">
        <v>34.82</v>
      </c>
      <c r="F1338" s="379">
        <v>5.2660698428078208</v>
      </c>
      <c r="G1338" s="25">
        <v>62.12</v>
      </c>
      <c r="H1338" s="379">
        <v>4.7180925818072117</v>
      </c>
      <c r="I1338" s="25">
        <v>585.74</v>
      </c>
      <c r="J1338" s="379">
        <v>6.240298730084489</v>
      </c>
    </row>
    <row r="1339" spans="1:10" x14ac:dyDescent="0.35">
      <c r="A1339" s="5">
        <v>1335</v>
      </c>
      <c r="B1339" s="5">
        <v>56</v>
      </c>
      <c r="C1339" s="5">
        <v>2</v>
      </c>
      <c r="D1339" s="379">
        <v>47.403333333333329</v>
      </c>
      <c r="E1339" s="25">
        <v>35.869999999999997</v>
      </c>
      <c r="F1339" s="379">
        <v>9.0366388452922024</v>
      </c>
      <c r="G1339" s="25">
        <v>62.12</v>
      </c>
      <c r="H1339" s="379">
        <v>5.7086159817800164</v>
      </c>
      <c r="I1339" s="25">
        <v>603.30999999999995</v>
      </c>
      <c r="J1339" s="379">
        <v>6.0666978686974948</v>
      </c>
    </row>
    <row r="1340" spans="1:10" x14ac:dyDescent="0.35">
      <c r="A1340" s="5">
        <v>1336</v>
      </c>
      <c r="B1340" s="5">
        <v>56</v>
      </c>
      <c r="C1340" s="5">
        <v>2</v>
      </c>
      <c r="D1340" s="379">
        <v>46.609444444444449</v>
      </c>
      <c r="E1340" s="25">
        <v>35.869999999999997</v>
      </c>
      <c r="F1340" s="379">
        <v>12.059572785590136</v>
      </c>
      <c r="G1340" s="25">
        <v>62.12</v>
      </c>
      <c r="H1340" s="379">
        <v>9.4287641465760039</v>
      </c>
      <c r="I1340" s="25">
        <v>843.72</v>
      </c>
      <c r="J1340" s="379">
        <v>7.122748038158595</v>
      </c>
    </row>
    <row r="1341" spans="1:10" x14ac:dyDescent="0.35">
      <c r="A1341" s="5">
        <v>1337</v>
      </c>
      <c r="B1341" s="5">
        <v>56</v>
      </c>
      <c r="C1341" s="5">
        <v>2</v>
      </c>
      <c r="D1341" s="379">
        <v>52.367222222222217</v>
      </c>
      <c r="E1341" s="25">
        <v>35.869999999999997</v>
      </c>
      <c r="F1341" s="379">
        <v>19.753737842826087</v>
      </c>
      <c r="G1341" s="25">
        <v>62.12</v>
      </c>
      <c r="H1341" s="379">
        <v>11.211854637750845</v>
      </c>
      <c r="I1341" s="25">
        <v>843.72</v>
      </c>
      <c r="J1341" s="379">
        <v>7.1598758000551692</v>
      </c>
    </row>
    <row r="1342" spans="1:10" x14ac:dyDescent="0.35">
      <c r="A1342" s="5">
        <v>1338</v>
      </c>
      <c r="B1342" s="5">
        <v>56</v>
      </c>
      <c r="C1342" s="5">
        <v>2</v>
      </c>
      <c r="D1342" s="379">
        <v>68.606111111111105</v>
      </c>
      <c r="E1342" s="25">
        <v>36.01</v>
      </c>
      <c r="F1342" s="379">
        <v>20.804031265355569</v>
      </c>
      <c r="G1342" s="25">
        <v>63.98</v>
      </c>
      <c r="H1342" s="379">
        <v>20.954433171580657</v>
      </c>
      <c r="I1342" s="25">
        <v>869.03</v>
      </c>
      <c r="J1342" s="379">
        <v>7.0909815541384393</v>
      </c>
    </row>
    <row r="1343" spans="1:10" x14ac:dyDescent="0.35">
      <c r="A1343" s="5">
        <v>1339</v>
      </c>
      <c r="B1343" s="5">
        <v>56</v>
      </c>
      <c r="C1343" s="5">
        <v>2</v>
      </c>
      <c r="D1343" s="379">
        <v>72.292222222222222</v>
      </c>
      <c r="E1343" s="25">
        <v>38.049999999999997</v>
      </c>
      <c r="F1343" s="379">
        <v>19.860768156419915</v>
      </c>
      <c r="G1343" s="25">
        <v>869.03</v>
      </c>
      <c r="H1343" s="379">
        <v>19.519226578579058</v>
      </c>
      <c r="I1343" s="25">
        <v>869.03</v>
      </c>
      <c r="J1343" s="379">
        <v>7.0909815541384393</v>
      </c>
    </row>
    <row r="1344" spans="1:10" x14ac:dyDescent="0.35">
      <c r="A1344" s="5">
        <v>1340</v>
      </c>
      <c r="B1344" s="5">
        <v>56</v>
      </c>
      <c r="C1344" s="5">
        <v>2</v>
      </c>
      <c r="D1344" s="379">
        <v>73.646666666666661</v>
      </c>
      <c r="E1344" s="25">
        <v>38.17</v>
      </c>
      <c r="F1344" s="379">
        <v>22.049662232753239</v>
      </c>
      <c r="G1344" s="25">
        <v>869.03</v>
      </c>
      <c r="H1344" s="379">
        <v>20.425486456004524</v>
      </c>
      <c r="I1344" s="25">
        <v>869.03</v>
      </c>
      <c r="J1344" s="379">
        <v>7.0909815541384393</v>
      </c>
    </row>
    <row r="1345" spans="1:10" x14ac:dyDescent="0.35">
      <c r="A1345" s="5">
        <v>1341</v>
      </c>
      <c r="B1345" s="5">
        <v>56</v>
      </c>
      <c r="C1345" s="5">
        <v>2</v>
      </c>
      <c r="D1345" s="379">
        <v>61.821111111111108</v>
      </c>
      <c r="E1345" s="25">
        <v>36.01</v>
      </c>
      <c r="F1345" s="379">
        <v>22.204459826648165</v>
      </c>
      <c r="G1345" s="25">
        <v>66.12</v>
      </c>
      <c r="H1345" s="379">
        <v>21.875857956398519</v>
      </c>
      <c r="I1345" s="25">
        <v>869.03</v>
      </c>
      <c r="J1345" s="379">
        <v>7.0909815541384393</v>
      </c>
    </row>
    <row r="1346" spans="1:10" x14ac:dyDescent="0.35">
      <c r="A1346" s="5">
        <v>1342</v>
      </c>
      <c r="B1346" s="5">
        <v>56</v>
      </c>
      <c r="C1346" s="5">
        <v>2</v>
      </c>
      <c r="D1346" s="379">
        <v>58.935555555555545</v>
      </c>
      <c r="E1346" s="25">
        <v>35.869999999999997</v>
      </c>
      <c r="F1346" s="379">
        <v>22.014940105258354</v>
      </c>
      <c r="G1346" s="25">
        <v>62.33</v>
      </c>
      <c r="H1346" s="379">
        <v>18.73038306095086</v>
      </c>
      <c r="I1346" s="25">
        <v>869.03</v>
      </c>
      <c r="J1346" s="379">
        <v>7.4230212750921032</v>
      </c>
    </row>
    <row r="1347" spans="1:10" x14ac:dyDescent="0.35">
      <c r="A1347" s="5">
        <v>1343</v>
      </c>
      <c r="B1347" s="5">
        <v>56</v>
      </c>
      <c r="C1347" s="5">
        <v>2</v>
      </c>
      <c r="D1347" s="379">
        <v>59.623888888888892</v>
      </c>
      <c r="E1347" s="25">
        <v>35.869999999999997</v>
      </c>
      <c r="F1347" s="379">
        <v>21.965453521506664</v>
      </c>
      <c r="G1347" s="25">
        <v>62.33</v>
      </c>
      <c r="H1347" s="379">
        <v>22.484575230998598</v>
      </c>
      <c r="I1347" s="25">
        <v>869.03</v>
      </c>
      <c r="J1347" s="379">
        <v>7.3670750782118386</v>
      </c>
    </row>
    <row r="1348" spans="1:10" x14ac:dyDescent="0.35">
      <c r="A1348" s="5">
        <v>1344</v>
      </c>
      <c r="B1348" s="5">
        <v>56</v>
      </c>
      <c r="C1348" s="5">
        <v>2</v>
      </c>
      <c r="D1348" s="379">
        <v>61.095555555555556</v>
      </c>
      <c r="E1348" s="25">
        <v>28.12</v>
      </c>
      <c r="F1348" s="379">
        <v>20.531163980972458</v>
      </c>
      <c r="G1348" s="25">
        <v>62.12</v>
      </c>
      <c r="H1348" s="379">
        <v>17.90398085104848</v>
      </c>
      <c r="I1348" s="25">
        <v>869.03</v>
      </c>
      <c r="J1348" s="379">
        <v>7.3670031101471043</v>
      </c>
    </row>
    <row r="1349" spans="1:10" x14ac:dyDescent="0.35">
      <c r="A1349" s="5">
        <v>1345</v>
      </c>
      <c r="B1349" s="5">
        <v>57</v>
      </c>
      <c r="C1349" s="5">
        <v>2</v>
      </c>
      <c r="D1349" s="379">
        <v>59.25</v>
      </c>
      <c r="E1349" s="25">
        <v>26.51</v>
      </c>
      <c r="F1349" s="379">
        <v>19.568700461708527</v>
      </c>
      <c r="G1349" s="25">
        <v>59.23</v>
      </c>
      <c r="H1349" s="379">
        <v>15.429612159102369</v>
      </c>
      <c r="I1349" s="25">
        <v>843.72</v>
      </c>
      <c r="J1349" s="379">
        <v>7.3836386220325938</v>
      </c>
    </row>
    <row r="1350" spans="1:10" x14ac:dyDescent="0.35">
      <c r="A1350" s="5">
        <v>1346</v>
      </c>
      <c r="B1350" s="5">
        <v>57</v>
      </c>
      <c r="C1350" s="5">
        <v>2</v>
      </c>
      <c r="D1350" s="379">
        <v>56.841111111111111</v>
      </c>
      <c r="E1350" s="25">
        <v>26.35</v>
      </c>
      <c r="F1350" s="379">
        <v>19.259713241033332</v>
      </c>
      <c r="G1350" s="25">
        <v>53.2</v>
      </c>
      <c r="H1350" s="379">
        <v>17.646384552652705</v>
      </c>
      <c r="I1350" s="25">
        <v>623.48</v>
      </c>
      <c r="J1350" s="379">
        <v>7.3130609851625819</v>
      </c>
    </row>
    <row r="1351" spans="1:10" x14ac:dyDescent="0.35">
      <c r="A1351" s="5">
        <v>1347</v>
      </c>
      <c r="B1351" s="5">
        <v>57</v>
      </c>
      <c r="C1351" s="5">
        <v>2</v>
      </c>
      <c r="D1351" s="379">
        <v>56.197777777777773</v>
      </c>
      <c r="E1351" s="25">
        <v>25.74</v>
      </c>
      <c r="F1351" s="379">
        <v>17.583359255084627</v>
      </c>
      <c r="G1351" s="25">
        <v>52.67</v>
      </c>
      <c r="H1351" s="379">
        <v>16.181645929681846</v>
      </c>
      <c r="I1351" s="25">
        <v>190.03</v>
      </c>
      <c r="J1351" s="379">
        <v>7.0067820429725733</v>
      </c>
    </row>
    <row r="1352" spans="1:10" x14ac:dyDescent="0.35">
      <c r="A1352" s="5">
        <v>1348</v>
      </c>
      <c r="B1352" s="5">
        <v>57</v>
      </c>
      <c r="C1352" s="5">
        <v>2</v>
      </c>
      <c r="D1352" s="379">
        <v>55.728333333333339</v>
      </c>
      <c r="E1352" s="25">
        <v>25.74</v>
      </c>
      <c r="F1352" s="379">
        <v>16.443475362001557</v>
      </c>
      <c r="G1352" s="25">
        <v>52.67</v>
      </c>
      <c r="H1352" s="379">
        <v>15.770564697465064</v>
      </c>
      <c r="I1352" s="25">
        <v>147.82</v>
      </c>
      <c r="J1352" s="379">
        <v>6.6604539945784964</v>
      </c>
    </row>
    <row r="1353" spans="1:10" x14ac:dyDescent="0.35">
      <c r="A1353" s="5">
        <v>1349</v>
      </c>
      <c r="B1353" s="5">
        <v>57</v>
      </c>
      <c r="C1353" s="5">
        <v>2</v>
      </c>
      <c r="D1353" s="379">
        <v>55.299444444444447</v>
      </c>
      <c r="E1353" s="25">
        <v>25.74</v>
      </c>
      <c r="F1353" s="379">
        <v>14.850745008117251</v>
      </c>
      <c r="G1353" s="25">
        <v>52.67</v>
      </c>
      <c r="H1353" s="379">
        <v>8.63175851605987</v>
      </c>
      <c r="I1353" s="25">
        <v>147.82</v>
      </c>
      <c r="J1353" s="379">
        <v>6.0310268368872189</v>
      </c>
    </row>
    <row r="1354" spans="1:10" x14ac:dyDescent="0.35">
      <c r="A1354" s="5">
        <v>1350</v>
      </c>
      <c r="B1354" s="5">
        <v>57</v>
      </c>
      <c r="C1354" s="5">
        <v>2</v>
      </c>
      <c r="D1354" s="379">
        <v>57.428333333333335</v>
      </c>
      <c r="E1354" s="25">
        <v>25.74</v>
      </c>
      <c r="F1354" s="379">
        <v>14.827197295046536</v>
      </c>
      <c r="G1354" s="25">
        <v>52.67</v>
      </c>
      <c r="H1354" s="379">
        <v>8.7379204609796535</v>
      </c>
      <c r="I1354" s="25">
        <v>156.82</v>
      </c>
      <c r="J1354" s="379">
        <v>4.8282722591425991</v>
      </c>
    </row>
    <row r="1355" spans="1:10" x14ac:dyDescent="0.35">
      <c r="A1355" s="5">
        <v>1351</v>
      </c>
      <c r="B1355" s="5">
        <v>57</v>
      </c>
      <c r="C1355" s="5">
        <v>2</v>
      </c>
      <c r="D1355" s="379">
        <v>59.925555555555562</v>
      </c>
      <c r="E1355" s="25">
        <v>25.74</v>
      </c>
      <c r="F1355" s="379">
        <v>13.948150326042656</v>
      </c>
      <c r="G1355" s="25">
        <v>59.79</v>
      </c>
      <c r="H1355" s="379">
        <v>8.6825869864262195</v>
      </c>
      <c r="I1355" s="25">
        <v>603.30999999999995</v>
      </c>
      <c r="J1355" s="379">
        <v>4.1042643018975893</v>
      </c>
    </row>
    <row r="1356" spans="1:10" x14ac:dyDescent="0.35">
      <c r="A1356" s="5">
        <v>1352</v>
      </c>
      <c r="B1356" s="5">
        <v>57</v>
      </c>
      <c r="C1356" s="5">
        <v>2</v>
      </c>
      <c r="D1356" s="379">
        <v>63.421111111111102</v>
      </c>
      <c r="E1356" s="25">
        <v>27.15</v>
      </c>
      <c r="F1356" s="379">
        <v>16.63163711991864</v>
      </c>
      <c r="G1356" s="25">
        <v>62.33</v>
      </c>
      <c r="H1356" s="379">
        <v>8.8838418438450528</v>
      </c>
      <c r="I1356" s="25">
        <v>843.72</v>
      </c>
      <c r="J1356" s="379">
        <v>4.7828340635473143</v>
      </c>
    </row>
    <row r="1357" spans="1:10" x14ac:dyDescent="0.35">
      <c r="A1357" s="5">
        <v>1353</v>
      </c>
      <c r="B1357" s="5">
        <v>57</v>
      </c>
      <c r="C1357" s="5">
        <v>2</v>
      </c>
      <c r="D1357" s="379">
        <v>65.587222222222209</v>
      </c>
      <c r="E1357" s="25">
        <v>28.37</v>
      </c>
      <c r="F1357" s="379">
        <v>15.370161326210948</v>
      </c>
      <c r="G1357" s="25">
        <v>63.43</v>
      </c>
      <c r="H1357" s="379">
        <v>8.7866393923715211</v>
      </c>
      <c r="I1357" s="25">
        <v>621.41</v>
      </c>
      <c r="J1357" s="379">
        <v>5.5592482925430469</v>
      </c>
    </row>
    <row r="1358" spans="1:10" x14ac:dyDescent="0.35">
      <c r="A1358" s="5">
        <v>1354</v>
      </c>
      <c r="B1358" s="5">
        <v>57</v>
      </c>
      <c r="C1358" s="5">
        <v>2</v>
      </c>
      <c r="D1358" s="379">
        <v>63.92722222222222</v>
      </c>
      <c r="E1358" s="25">
        <v>28.37</v>
      </c>
      <c r="F1358" s="379">
        <v>8.7754693393663299</v>
      </c>
      <c r="G1358" s="25">
        <v>62.12</v>
      </c>
      <c r="H1358" s="379">
        <v>7.0724982661482541</v>
      </c>
      <c r="I1358" s="25">
        <v>587.69000000000005</v>
      </c>
      <c r="J1358" s="379">
        <v>5.8665426618342957</v>
      </c>
    </row>
    <row r="1359" spans="1:10" x14ac:dyDescent="0.35">
      <c r="A1359" s="5">
        <v>1355</v>
      </c>
      <c r="B1359" s="5">
        <v>57</v>
      </c>
      <c r="C1359" s="5">
        <v>2</v>
      </c>
      <c r="D1359" s="379">
        <v>59.693888888888885</v>
      </c>
      <c r="E1359" s="25">
        <v>28.37</v>
      </c>
      <c r="F1359" s="379">
        <v>8.1174834595959577</v>
      </c>
      <c r="G1359" s="25">
        <v>59.23</v>
      </c>
      <c r="H1359" s="379">
        <v>4.2051580393611525</v>
      </c>
      <c r="I1359" s="25">
        <v>139.33000000000001</v>
      </c>
      <c r="J1359" s="379">
        <v>3.8470082790146991</v>
      </c>
    </row>
    <row r="1360" spans="1:10" x14ac:dyDescent="0.35">
      <c r="A1360" s="5">
        <v>1356</v>
      </c>
      <c r="B1360" s="5">
        <v>57</v>
      </c>
      <c r="C1360" s="5">
        <v>2</v>
      </c>
      <c r="D1360" s="379">
        <v>54.12166666666667</v>
      </c>
      <c r="E1360" s="25">
        <v>27.02</v>
      </c>
      <c r="F1360" s="379">
        <v>3.5056128800807329</v>
      </c>
      <c r="G1360" s="25">
        <v>57.5</v>
      </c>
      <c r="H1360" s="379">
        <v>4.2051580393611525</v>
      </c>
      <c r="I1360" s="25">
        <v>137.94</v>
      </c>
      <c r="J1360" s="379">
        <v>3.8470082790146987</v>
      </c>
    </row>
    <row r="1361" spans="1:10" x14ac:dyDescent="0.35">
      <c r="A1361" s="5">
        <v>1357</v>
      </c>
      <c r="B1361" s="5">
        <v>57</v>
      </c>
      <c r="C1361" s="5">
        <v>2</v>
      </c>
      <c r="D1361" s="379">
        <v>50.423333333333332</v>
      </c>
      <c r="E1361" s="25">
        <v>25.74</v>
      </c>
      <c r="F1361" s="379">
        <v>4.0810310019923683</v>
      </c>
      <c r="G1361" s="25">
        <v>52.67</v>
      </c>
      <c r="H1361" s="379">
        <v>4.2051580393611525</v>
      </c>
      <c r="I1361" s="25">
        <v>72.19</v>
      </c>
      <c r="J1361" s="379">
        <v>1.5856024823012806</v>
      </c>
    </row>
    <row r="1362" spans="1:10" x14ac:dyDescent="0.35">
      <c r="A1362" s="5">
        <v>1358</v>
      </c>
      <c r="B1362" s="5">
        <v>57</v>
      </c>
      <c r="C1362" s="5">
        <v>2</v>
      </c>
      <c r="D1362" s="379">
        <v>47.921111111111109</v>
      </c>
      <c r="E1362" s="25">
        <v>25.74</v>
      </c>
      <c r="F1362" s="379">
        <v>4.0362064696681523</v>
      </c>
      <c r="G1362" s="25">
        <v>52.14</v>
      </c>
      <c r="H1362" s="379">
        <v>2.777777777777778E-2</v>
      </c>
      <c r="I1362" s="25">
        <v>72.19</v>
      </c>
      <c r="J1362" s="379">
        <v>1.2395679799353574</v>
      </c>
    </row>
    <row r="1363" spans="1:10" x14ac:dyDescent="0.35">
      <c r="A1363" s="5">
        <v>1359</v>
      </c>
      <c r="B1363" s="5">
        <v>57</v>
      </c>
      <c r="C1363" s="5">
        <v>2</v>
      </c>
      <c r="D1363" s="379">
        <v>48.048333333333339</v>
      </c>
      <c r="E1363" s="25">
        <v>25.74</v>
      </c>
      <c r="F1363" s="379">
        <v>4.213044526114615</v>
      </c>
      <c r="G1363" s="25">
        <v>48.88</v>
      </c>
      <c r="H1363" s="379">
        <v>0.40008470538872881</v>
      </c>
      <c r="I1363" s="25">
        <v>68.05</v>
      </c>
      <c r="J1363" s="379">
        <v>3.7050271343684722</v>
      </c>
    </row>
    <row r="1364" spans="1:10" x14ac:dyDescent="0.35">
      <c r="A1364" s="5">
        <v>1360</v>
      </c>
      <c r="B1364" s="5">
        <v>57</v>
      </c>
      <c r="C1364" s="5">
        <v>2</v>
      </c>
      <c r="D1364" s="379">
        <v>51.429444444444449</v>
      </c>
      <c r="E1364" s="25">
        <v>25.74</v>
      </c>
      <c r="F1364" s="379">
        <v>3.7498409470090013</v>
      </c>
      <c r="G1364" s="25">
        <v>48.88</v>
      </c>
      <c r="H1364" s="379">
        <v>0.31310032490682532</v>
      </c>
      <c r="I1364" s="25">
        <v>68.540000000000006</v>
      </c>
      <c r="J1364" s="379">
        <v>1.9241149870718675</v>
      </c>
    </row>
    <row r="1365" spans="1:10" x14ac:dyDescent="0.35">
      <c r="A1365" s="5">
        <v>1361</v>
      </c>
      <c r="B1365" s="5">
        <v>57</v>
      </c>
      <c r="C1365" s="5">
        <v>2</v>
      </c>
      <c r="D1365" s="379">
        <v>57.021666666666668</v>
      </c>
      <c r="E1365" s="25">
        <v>25.74</v>
      </c>
      <c r="F1365" s="379">
        <v>8.1174834595959577</v>
      </c>
      <c r="G1365" s="25">
        <v>48.88</v>
      </c>
      <c r="H1365" s="379">
        <v>7.3381411819112774</v>
      </c>
      <c r="I1365" s="25">
        <v>68.540000000000006</v>
      </c>
      <c r="J1365" s="379">
        <v>4.3665463740289994</v>
      </c>
    </row>
    <row r="1366" spans="1:10" x14ac:dyDescent="0.35">
      <c r="A1366" s="5">
        <v>1362</v>
      </c>
      <c r="B1366" s="5">
        <v>57</v>
      </c>
      <c r="C1366" s="5">
        <v>2</v>
      </c>
      <c r="D1366" s="379">
        <v>64.548333333333318</v>
      </c>
      <c r="E1366" s="25">
        <v>25.74</v>
      </c>
      <c r="F1366" s="379">
        <v>9.289186769397114</v>
      </c>
      <c r="G1366" s="25">
        <v>50.31</v>
      </c>
      <c r="H1366" s="379">
        <v>7.6481759979131958</v>
      </c>
      <c r="I1366" s="25">
        <v>136.56</v>
      </c>
      <c r="J1366" s="379">
        <v>2.8544096754714361</v>
      </c>
    </row>
    <row r="1367" spans="1:10" x14ac:dyDescent="0.35">
      <c r="A1367" s="5">
        <v>1363</v>
      </c>
      <c r="B1367" s="5">
        <v>57</v>
      </c>
      <c r="C1367" s="5">
        <v>2</v>
      </c>
      <c r="D1367" s="379">
        <v>69.510555555555555</v>
      </c>
      <c r="E1367" s="25">
        <v>27.3</v>
      </c>
      <c r="F1367" s="379">
        <v>8.9119630625466328</v>
      </c>
      <c r="G1367" s="25">
        <v>57.5</v>
      </c>
      <c r="H1367" s="379">
        <v>7.9431229958630087</v>
      </c>
      <c r="I1367" s="25">
        <v>587.69000000000005</v>
      </c>
      <c r="J1367" s="379">
        <v>6.3997503667319524</v>
      </c>
    </row>
    <row r="1368" spans="1:10" x14ac:dyDescent="0.35">
      <c r="A1368" s="5">
        <v>1364</v>
      </c>
      <c r="B1368" s="5">
        <v>57</v>
      </c>
      <c r="C1368" s="5">
        <v>2</v>
      </c>
      <c r="D1368" s="379">
        <v>66.401111111111106</v>
      </c>
      <c r="E1368" s="25">
        <v>27.3</v>
      </c>
      <c r="F1368" s="379">
        <v>8.9119630625466328</v>
      </c>
      <c r="G1368" s="25">
        <v>57.5</v>
      </c>
      <c r="H1368" s="379">
        <v>8.2098250354515141</v>
      </c>
      <c r="I1368" s="25">
        <v>173.91</v>
      </c>
      <c r="J1368" s="379">
        <v>6.3231931834091197</v>
      </c>
    </row>
    <row r="1369" spans="1:10" x14ac:dyDescent="0.35">
      <c r="A1369" s="5">
        <v>1365</v>
      </c>
      <c r="B1369" s="5">
        <v>57</v>
      </c>
      <c r="C1369" s="5">
        <v>2</v>
      </c>
      <c r="D1369" s="379">
        <v>62.781111111111116</v>
      </c>
      <c r="E1369" s="25">
        <v>26.01</v>
      </c>
      <c r="F1369" s="379">
        <v>8.7899851165971121</v>
      </c>
      <c r="G1369" s="25">
        <v>53.2</v>
      </c>
      <c r="H1369" s="379">
        <v>8.1105394306811966</v>
      </c>
      <c r="I1369" s="25">
        <v>136.56</v>
      </c>
      <c r="J1369" s="379">
        <v>4.264068504169412</v>
      </c>
    </row>
    <row r="1370" spans="1:10" x14ac:dyDescent="0.35">
      <c r="A1370" s="5">
        <v>1366</v>
      </c>
      <c r="B1370" s="5">
        <v>57</v>
      </c>
      <c r="C1370" s="5">
        <v>2</v>
      </c>
      <c r="D1370" s="379">
        <v>57.576111111111118</v>
      </c>
      <c r="E1370" s="25">
        <v>25.74</v>
      </c>
      <c r="F1370" s="379">
        <v>8.5788452597259095</v>
      </c>
      <c r="G1370" s="25">
        <v>48.39</v>
      </c>
      <c r="H1370" s="379">
        <v>8.1020211102051931</v>
      </c>
      <c r="I1370" s="25">
        <v>136.56</v>
      </c>
      <c r="J1370" s="379">
        <v>5.7404543895818803</v>
      </c>
    </row>
    <row r="1371" spans="1:10" x14ac:dyDescent="0.35">
      <c r="A1371" s="5">
        <v>1367</v>
      </c>
      <c r="B1371" s="5">
        <v>57</v>
      </c>
      <c r="C1371" s="5">
        <v>2</v>
      </c>
      <c r="D1371" s="379">
        <v>57.010555555555555</v>
      </c>
      <c r="E1371" s="25">
        <v>25.74</v>
      </c>
      <c r="F1371" s="379">
        <v>8.5840460526779374</v>
      </c>
      <c r="G1371" s="25">
        <v>50.82</v>
      </c>
      <c r="H1371" s="379">
        <v>7.5053671903374468</v>
      </c>
      <c r="I1371" s="25">
        <v>136.56</v>
      </c>
      <c r="J1371" s="379">
        <v>4.8944536823786597</v>
      </c>
    </row>
    <row r="1372" spans="1:10" x14ac:dyDescent="0.35">
      <c r="A1372" s="5">
        <v>1368</v>
      </c>
      <c r="B1372" s="5">
        <v>57</v>
      </c>
      <c r="C1372" s="5">
        <v>2</v>
      </c>
      <c r="D1372" s="379">
        <v>53.212222222222223</v>
      </c>
      <c r="E1372" s="25">
        <v>25.74</v>
      </c>
      <c r="F1372" s="379">
        <v>6.5238833775471843</v>
      </c>
      <c r="G1372" s="25">
        <v>48.88</v>
      </c>
      <c r="H1372" s="379">
        <v>7.4977833080521252</v>
      </c>
      <c r="I1372" s="25">
        <v>136.56</v>
      </c>
      <c r="J1372" s="379">
        <v>5.1296683354377626</v>
      </c>
    </row>
    <row r="1373" spans="1:10" x14ac:dyDescent="0.35">
      <c r="A1373" s="5">
        <v>1369</v>
      </c>
      <c r="B1373" s="5">
        <v>58</v>
      </c>
      <c r="C1373" s="5">
        <v>2</v>
      </c>
      <c r="D1373" s="379">
        <v>51.24444444444444</v>
      </c>
      <c r="E1373" s="25">
        <v>24.99</v>
      </c>
      <c r="F1373" s="379">
        <v>6.2507263245166103</v>
      </c>
      <c r="G1373" s="25">
        <v>46.11</v>
      </c>
      <c r="H1373" s="379">
        <v>7.6061172033648177</v>
      </c>
      <c r="I1373" s="25">
        <v>56.56</v>
      </c>
      <c r="J1373" s="379">
        <v>4.1011812960328955</v>
      </c>
    </row>
    <row r="1374" spans="1:10" x14ac:dyDescent="0.35">
      <c r="A1374" s="5">
        <v>1370</v>
      </c>
      <c r="B1374" s="5">
        <v>58</v>
      </c>
      <c r="C1374" s="5">
        <v>2</v>
      </c>
      <c r="D1374" s="379">
        <v>49.450555555555553</v>
      </c>
      <c r="E1374" s="25">
        <v>24.84</v>
      </c>
      <c r="F1374" s="379">
        <v>6.0850306626051944</v>
      </c>
      <c r="G1374" s="25">
        <v>46.03</v>
      </c>
      <c r="H1374" s="379">
        <v>7.5100477599812256</v>
      </c>
      <c r="I1374" s="25">
        <v>56.56</v>
      </c>
      <c r="J1374" s="379">
        <v>4.6666997147783906</v>
      </c>
    </row>
    <row r="1375" spans="1:10" x14ac:dyDescent="0.35">
      <c r="A1375" s="5">
        <v>1371</v>
      </c>
      <c r="B1375" s="5">
        <v>58</v>
      </c>
      <c r="C1375" s="5">
        <v>2</v>
      </c>
      <c r="D1375" s="379">
        <v>47.621111111111112</v>
      </c>
      <c r="E1375" s="25">
        <v>24.84</v>
      </c>
      <c r="F1375" s="379">
        <v>5.5016819846293021</v>
      </c>
      <c r="G1375" s="25">
        <v>45.57</v>
      </c>
      <c r="H1375" s="379">
        <v>7.6557332293337721</v>
      </c>
      <c r="I1375" s="25">
        <v>56.56</v>
      </c>
      <c r="J1375" s="379">
        <v>2.4320964481601224</v>
      </c>
    </row>
    <row r="1376" spans="1:10" x14ac:dyDescent="0.35">
      <c r="A1376" s="5">
        <v>1372</v>
      </c>
      <c r="B1376" s="5">
        <v>58</v>
      </c>
      <c r="C1376" s="5">
        <v>2</v>
      </c>
      <c r="D1376" s="379">
        <v>46.723888888888887</v>
      </c>
      <c r="E1376" s="25">
        <v>24.84</v>
      </c>
      <c r="F1376" s="379">
        <v>5.750628179056851</v>
      </c>
      <c r="G1376" s="25">
        <v>45.57</v>
      </c>
      <c r="H1376" s="379">
        <v>7.3690596402743322</v>
      </c>
      <c r="I1376" s="25">
        <v>56.56</v>
      </c>
      <c r="J1376" s="379">
        <v>3.4780655221000867</v>
      </c>
    </row>
    <row r="1377" spans="1:10" x14ac:dyDescent="0.35">
      <c r="A1377" s="5">
        <v>1373</v>
      </c>
      <c r="B1377" s="5">
        <v>58</v>
      </c>
      <c r="C1377" s="5">
        <v>2</v>
      </c>
      <c r="D1377" s="379">
        <v>47.836666666666673</v>
      </c>
      <c r="E1377" s="25">
        <v>24.84</v>
      </c>
      <c r="F1377" s="379">
        <v>5.4134074737109286</v>
      </c>
      <c r="G1377" s="25">
        <v>45.57</v>
      </c>
      <c r="H1377" s="379">
        <v>6.5846645794676055</v>
      </c>
      <c r="I1377" s="25">
        <v>54.92</v>
      </c>
      <c r="J1377" s="379">
        <v>1.4162069437909657</v>
      </c>
    </row>
    <row r="1378" spans="1:10" x14ac:dyDescent="0.35">
      <c r="A1378" s="5">
        <v>1374</v>
      </c>
      <c r="B1378" s="5">
        <v>58</v>
      </c>
      <c r="C1378" s="5">
        <v>2</v>
      </c>
      <c r="D1378" s="379">
        <v>48.804444444444442</v>
      </c>
      <c r="E1378" s="25">
        <v>24.84</v>
      </c>
      <c r="F1378" s="379">
        <v>5.4081154573077361</v>
      </c>
      <c r="G1378" s="25">
        <v>45.57</v>
      </c>
      <c r="H1378" s="379">
        <v>6.7847599421097131</v>
      </c>
      <c r="I1378" s="25">
        <v>56.56</v>
      </c>
      <c r="J1378" s="379">
        <v>4.2346943326275914</v>
      </c>
    </row>
    <row r="1379" spans="1:10" x14ac:dyDescent="0.35">
      <c r="A1379" s="5">
        <v>1375</v>
      </c>
      <c r="B1379" s="5">
        <v>58</v>
      </c>
      <c r="C1379" s="5">
        <v>2</v>
      </c>
      <c r="D1379" s="379">
        <v>51.155555555555559</v>
      </c>
      <c r="E1379" s="25">
        <v>24.84</v>
      </c>
      <c r="F1379" s="379">
        <v>9.3202462401378909</v>
      </c>
      <c r="G1379" s="25">
        <v>45.57</v>
      </c>
      <c r="H1379" s="379">
        <v>6.3695884319867977</v>
      </c>
      <c r="I1379" s="25">
        <v>56.56</v>
      </c>
      <c r="J1379" s="379">
        <v>4.2779720345988084</v>
      </c>
    </row>
    <row r="1380" spans="1:10" x14ac:dyDescent="0.35">
      <c r="A1380" s="5">
        <v>1376</v>
      </c>
      <c r="B1380" s="5">
        <v>58</v>
      </c>
      <c r="C1380" s="5">
        <v>2</v>
      </c>
      <c r="D1380" s="379">
        <v>51.685555555555553</v>
      </c>
      <c r="E1380" s="25">
        <v>24.84</v>
      </c>
      <c r="F1380" s="379">
        <v>9.3580813507094955</v>
      </c>
      <c r="G1380" s="25">
        <v>45.65</v>
      </c>
      <c r="H1380" s="379">
        <v>8.1390246829316766</v>
      </c>
      <c r="I1380" s="25">
        <v>56.56</v>
      </c>
      <c r="J1380" s="379">
        <v>2.2835576918087077</v>
      </c>
    </row>
    <row r="1381" spans="1:10" x14ac:dyDescent="0.35">
      <c r="A1381" s="5">
        <v>1377</v>
      </c>
      <c r="B1381" s="5">
        <v>58</v>
      </c>
      <c r="C1381" s="5">
        <v>2</v>
      </c>
      <c r="D1381" s="379">
        <v>52.644999999999996</v>
      </c>
      <c r="E1381" s="25">
        <v>25.59</v>
      </c>
      <c r="F1381" s="379">
        <v>9.3202462401378909</v>
      </c>
      <c r="G1381" s="25">
        <v>46.11</v>
      </c>
      <c r="H1381" s="379">
        <v>7.8033768658496445</v>
      </c>
      <c r="I1381" s="25">
        <v>66.06</v>
      </c>
      <c r="J1381" s="379">
        <v>2.1943322653179691</v>
      </c>
    </row>
    <row r="1382" spans="1:10" x14ac:dyDescent="0.35">
      <c r="A1382" s="5">
        <v>1378</v>
      </c>
      <c r="B1382" s="5">
        <v>58</v>
      </c>
      <c r="C1382" s="5">
        <v>2</v>
      </c>
      <c r="D1382" s="379">
        <v>51.428888888888892</v>
      </c>
      <c r="E1382" s="25">
        <v>25.74</v>
      </c>
      <c r="F1382" s="379">
        <v>9.3202462401378909</v>
      </c>
      <c r="G1382" s="25">
        <v>46.11</v>
      </c>
      <c r="H1382" s="379">
        <v>7.7961612428331799</v>
      </c>
      <c r="I1382" s="25">
        <v>66.55</v>
      </c>
      <c r="J1382" s="379">
        <v>2.1113302785586359</v>
      </c>
    </row>
    <row r="1383" spans="1:10" x14ac:dyDescent="0.35">
      <c r="A1383" s="5">
        <v>1379</v>
      </c>
      <c r="B1383" s="5">
        <v>58</v>
      </c>
      <c r="C1383" s="5">
        <v>2</v>
      </c>
      <c r="D1383" s="379">
        <v>48.116111111111117</v>
      </c>
      <c r="E1383" s="25">
        <v>25.74</v>
      </c>
      <c r="F1383" s="379">
        <v>9.0622599191193469</v>
      </c>
      <c r="G1383" s="25">
        <v>46.11</v>
      </c>
      <c r="H1383" s="379">
        <v>8.0658555929426292</v>
      </c>
      <c r="I1383" s="25">
        <v>57.14</v>
      </c>
      <c r="J1383" s="379">
        <v>5.8768670314307121</v>
      </c>
    </row>
    <row r="1384" spans="1:10" x14ac:dyDescent="0.35">
      <c r="A1384" s="5">
        <v>1380</v>
      </c>
      <c r="B1384" s="5">
        <v>58</v>
      </c>
      <c r="C1384" s="5">
        <v>2</v>
      </c>
      <c r="D1384" s="379">
        <v>46.608333333333341</v>
      </c>
      <c r="E1384" s="25">
        <v>25.74</v>
      </c>
      <c r="F1384" s="379">
        <v>9.2450844678850856</v>
      </c>
      <c r="G1384" s="25">
        <v>46.11</v>
      </c>
      <c r="H1384" s="379">
        <v>8.3361198593880808</v>
      </c>
      <c r="I1384" s="25">
        <v>56.99</v>
      </c>
      <c r="J1384" s="379">
        <v>6.2909893010089926</v>
      </c>
    </row>
    <row r="1385" spans="1:10" x14ac:dyDescent="0.35">
      <c r="A1385" s="5">
        <v>1381</v>
      </c>
      <c r="B1385" s="5">
        <v>58</v>
      </c>
      <c r="C1385" s="5">
        <v>2</v>
      </c>
      <c r="D1385" s="379">
        <v>46.828888888888891</v>
      </c>
      <c r="E1385" s="25">
        <v>25.74</v>
      </c>
      <c r="F1385" s="379">
        <v>9.1221440095371289</v>
      </c>
      <c r="G1385" s="25">
        <v>46.11</v>
      </c>
      <c r="H1385" s="379">
        <v>7.7305049884188763</v>
      </c>
      <c r="I1385" s="25">
        <v>56.99</v>
      </c>
      <c r="J1385" s="379">
        <v>6.3137373104959318</v>
      </c>
    </row>
    <row r="1386" spans="1:10" x14ac:dyDescent="0.35">
      <c r="A1386" s="5">
        <v>1382</v>
      </c>
      <c r="B1386" s="5">
        <v>58</v>
      </c>
      <c r="C1386" s="5">
        <v>2</v>
      </c>
      <c r="D1386" s="379">
        <v>43.559999999999995</v>
      </c>
      <c r="E1386" s="25">
        <v>25.74</v>
      </c>
      <c r="F1386" s="379">
        <v>8.9749653011466091</v>
      </c>
      <c r="G1386" s="25">
        <v>46.11</v>
      </c>
      <c r="H1386" s="379">
        <v>7.6870300453904594</v>
      </c>
      <c r="I1386" s="25">
        <v>56.56</v>
      </c>
      <c r="J1386" s="379">
        <v>5.7051199519676006</v>
      </c>
    </row>
    <row r="1387" spans="1:10" x14ac:dyDescent="0.35">
      <c r="A1387" s="5">
        <v>1383</v>
      </c>
      <c r="B1387" s="5">
        <v>58</v>
      </c>
      <c r="C1387" s="5">
        <v>2</v>
      </c>
      <c r="D1387" s="379">
        <v>44.832777777777785</v>
      </c>
      <c r="E1387" s="25">
        <v>25.74</v>
      </c>
      <c r="F1387" s="379">
        <v>9.0175361983864857</v>
      </c>
      <c r="G1387" s="25">
        <v>46.03</v>
      </c>
      <c r="H1387" s="379">
        <v>7.925074527296192</v>
      </c>
      <c r="I1387" s="25">
        <v>56.56</v>
      </c>
      <c r="J1387" s="379">
        <v>6.1749767960458124</v>
      </c>
    </row>
    <row r="1388" spans="1:10" x14ac:dyDescent="0.35">
      <c r="A1388" s="5">
        <v>1384</v>
      </c>
      <c r="B1388" s="5">
        <v>58</v>
      </c>
      <c r="C1388" s="5">
        <v>2</v>
      </c>
      <c r="D1388" s="379">
        <v>47.155555555555551</v>
      </c>
      <c r="E1388" s="25">
        <v>25.74</v>
      </c>
      <c r="F1388" s="379">
        <v>9.8600027618488486</v>
      </c>
      <c r="G1388" s="25">
        <v>46.11</v>
      </c>
      <c r="H1388" s="379">
        <v>9.6907331288528589</v>
      </c>
      <c r="I1388" s="25">
        <v>60.01</v>
      </c>
      <c r="J1388" s="379">
        <v>6.3964124719416526</v>
      </c>
    </row>
    <row r="1389" spans="1:10" x14ac:dyDescent="0.35">
      <c r="A1389" s="5">
        <v>1385</v>
      </c>
      <c r="B1389" s="5">
        <v>58</v>
      </c>
      <c r="C1389" s="5">
        <v>2</v>
      </c>
      <c r="D1389" s="379">
        <v>52.388333333333335</v>
      </c>
      <c r="E1389" s="25">
        <v>25.74</v>
      </c>
      <c r="F1389" s="379">
        <v>18.091522628440298</v>
      </c>
      <c r="G1389" s="25">
        <v>47.85</v>
      </c>
      <c r="H1389" s="379">
        <v>11.608528287100182</v>
      </c>
      <c r="I1389" s="25">
        <v>64.61</v>
      </c>
      <c r="J1389" s="379">
        <v>7.046353160582397</v>
      </c>
    </row>
    <row r="1390" spans="1:10" x14ac:dyDescent="0.35">
      <c r="A1390" s="5">
        <v>1386</v>
      </c>
      <c r="B1390" s="5">
        <v>58</v>
      </c>
      <c r="C1390" s="5">
        <v>2</v>
      </c>
      <c r="D1390" s="379">
        <v>62.582777777777778</v>
      </c>
      <c r="E1390" s="25">
        <v>28.12</v>
      </c>
      <c r="F1390" s="379">
        <v>17.949346007977017</v>
      </c>
      <c r="G1390" s="25">
        <v>53.61</v>
      </c>
      <c r="H1390" s="379">
        <v>11.796561621753359</v>
      </c>
      <c r="I1390" s="25">
        <v>147.82</v>
      </c>
      <c r="J1390" s="379">
        <v>7.213262175905844</v>
      </c>
    </row>
    <row r="1391" spans="1:10" x14ac:dyDescent="0.35">
      <c r="A1391" s="5">
        <v>1387</v>
      </c>
      <c r="B1391" s="5">
        <v>58</v>
      </c>
      <c r="C1391" s="5">
        <v>2</v>
      </c>
      <c r="D1391" s="379">
        <v>68.77000000000001</v>
      </c>
      <c r="E1391" s="25">
        <v>29.23</v>
      </c>
      <c r="F1391" s="379">
        <v>15.436644625231228</v>
      </c>
      <c r="G1391" s="25">
        <v>55.94</v>
      </c>
      <c r="H1391" s="379">
        <v>12.053262545674482</v>
      </c>
      <c r="I1391" s="25">
        <v>843.72</v>
      </c>
      <c r="J1391" s="379">
        <v>7.0909815541384393</v>
      </c>
    </row>
    <row r="1392" spans="1:10" x14ac:dyDescent="0.35">
      <c r="A1392" s="5">
        <v>1388</v>
      </c>
      <c r="B1392" s="5">
        <v>58</v>
      </c>
      <c r="C1392" s="5">
        <v>2</v>
      </c>
      <c r="D1392" s="379">
        <v>67.192777777777778</v>
      </c>
      <c r="E1392" s="25">
        <v>29.23</v>
      </c>
      <c r="F1392" s="379">
        <v>19.691648554776148</v>
      </c>
      <c r="G1392" s="25">
        <v>57.04</v>
      </c>
      <c r="H1392" s="379">
        <v>11.937857043539646</v>
      </c>
      <c r="I1392" s="25">
        <v>843.72</v>
      </c>
      <c r="J1392" s="379">
        <v>7.0909815541384393</v>
      </c>
    </row>
    <row r="1393" spans="1:10" x14ac:dyDescent="0.35">
      <c r="A1393" s="5">
        <v>1389</v>
      </c>
      <c r="B1393" s="5">
        <v>58</v>
      </c>
      <c r="C1393" s="5">
        <v>2</v>
      </c>
      <c r="D1393" s="379">
        <v>61.015000000000001</v>
      </c>
      <c r="E1393" s="25">
        <v>28.12</v>
      </c>
      <c r="F1393" s="379">
        <v>21.07466161496923</v>
      </c>
      <c r="G1393" s="25">
        <v>53.61</v>
      </c>
      <c r="H1393" s="379">
        <v>12.126264179937142</v>
      </c>
      <c r="I1393" s="25">
        <v>623.48</v>
      </c>
      <c r="J1393" s="379">
        <v>7.0909614370614724</v>
      </c>
    </row>
    <row r="1394" spans="1:10" x14ac:dyDescent="0.35">
      <c r="A1394" s="5">
        <v>1390</v>
      </c>
      <c r="B1394" s="5">
        <v>58</v>
      </c>
      <c r="C1394" s="5">
        <v>2</v>
      </c>
      <c r="D1394" s="379">
        <v>55.654444444444444</v>
      </c>
      <c r="E1394" s="25">
        <v>27.3</v>
      </c>
      <c r="F1394" s="379">
        <v>20.126850415066311</v>
      </c>
      <c r="G1394" s="25">
        <v>52.67</v>
      </c>
      <c r="H1394" s="379">
        <v>11.694506279909936</v>
      </c>
      <c r="I1394" s="25">
        <v>147.82</v>
      </c>
      <c r="J1394" s="379">
        <v>7.0909614370614724</v>
      </c>
    </row>
    <row r="1395" spans="1:10" x14ac:dyDescent="0.35">
      <c r="A1395" s="5">
        <v>1391</v>
      </c>
      <c r="B1395" s="5">
        <v>58</v>
      </c>
      <c r="C1395" s="5">
        <v>2</v>
      </c>
      <c r="D1395" s="379">
        <v>53.711111111111116</v>
      </c>
      <c r="E1395" s="25">
        <v>25.74</v>
      </c>
      <c r="F1395" s="379">
        <v>19.602816409062353</v>
      </c>
      <c r="G1395" s="25">
        <v>52.67</v>
      </c>
      <c r="H1395" s="379">
        <v>11.774909487856394</v>
      </c>
      <c r="I1395" s="25">
        <v>190.03</v>
      </c>
      <c r="J1395" s="379">
        <v>7.1141536028504024</v>
      </c>
    </row>
    <row r="1396" spans="1:10" x14ac:dyDescent="0.35">
      <c r="A1396" s="5">
        <v>1392</v>
      </c>
      <c r="B1396" s="5">
        <v>58</v>
      </c>
      <c r="C1396" s="5">
        <v>2</v>
      </c>
      <c r="D1396" s="379">
        <v>48.084444444444436</v>
      </c>
      <c r="E1396" s="25">
        <v>25.74</v>
      </c>
      <c r="F1396" s="379">
        <v>19.283607156549301</v>
      </c>
      <c r="G1396" s="25">
        <v>48.39</v>
      </c>
      <c r="H1396" s="379">
        <v>11.27104338911491</v>
      </c>
      <c r="I1396" s="25">
        <v>143.51</v>
      </c>
      <c r="J1396" s="379">
        <v>6.8761597238482413</v>
      </c>
    </row>
    <row r="1397" spans="1:10" x14ac:dyDescent="0.35">
      <c r="A1397" s="5">
        <v>1393</v>
      </c>
      <c r="B1397" s="5">
        <v>59</v>
      </c>
      <c r="C1397" s="5">
        <v>2</v>
      </c>
      <c r="D1397" s="379">
        <v>47.223888888888887</v>
      </c>
      <c r="E1397" s="25">
        <v>25.74</v>
      </c>
      <c r="F1397" s="379">
        <v>17.509816337448907</v>
      </c>
      <c r="G1397" s="25">
        <v>47.85</v>
      </c>
      <c r="H1397" s="379">
        <v>9.9501918242669767</v>
      </c>
      <c r="I1397" s="25">
        <v>72.19</v>
      </c>
      <c r="J1397" s="379">
        <v>6.8216833153867622</v>
      </c>
    </row>
    <row r="1398" spans="1:10" x14ac:dyDescent="0.35">
      <c r="A1398" s="5">
        <v>1394</v>
      </c>
      <c r="B1398" s="5">
        <v>59</v>
      </c>
      <c r="C1398" s="5">
        <v>2</v>
      </c>
      <c r="D1398" s="379">
        <v>45.781111111111109</v>
      </c>
      <c r="E1398" s="25">
        <v>25.74</v>
      </c>
      <c r="F1398" s="379">
        <v>15.967535079403278</v>
      </c>
      <c r="G1398" s="25">
        <v>46.11</v>
      </c>
      <c r="H1398" s="379">
        <v>8.5677765134767299</v>
      </c>
      <c r="I1398" s="25">
        <v>68.540000000000006</v>
      </c>
      <c r="J1398" s="379">
        <v>6.0716351019396644</v>
      </c>
    </row>
    <row r="1399" spans="1:10" x14ac:dyDescent="0.35">
      <c r="A1399" s="5">
        <v>1395</v>
      </c>
      <c r="B1399" s="5">
        <v>59</v>
      </c>
      <c r="C1399" s="5">
        <v>2</v>
      </c>
      <c r="D1399" s="379">
        <v>46.592222222222219</v>
      </c>
      <c r="E1399" s="25">
        <v>24.99</v>
      </c>
      <c r="F1399" s="379">
        <v>15.647061207746704</v>
      </c>
      <c r="G1399" s="25">
        <v>43.56</v>
      </c>
      <c r="H1399" s="379">
        <v>7.98300132617298</v>
      </c>
      <c r="I1399" s="25">
        <v>64.14</v>
      </c>
      <c r="J1399" s="379">
        <v>5.7745637226515552</v>
      </c>
    </row>
    <row r="1400" spans="1:10" x14ac:dyDescent="0.35">
      <c r="A1400" s="5">
        <v>1396</v>
      </c>
      <c r="B1400" s="5">
        <v>59</v>
      </c>
      <c r="C1400" s="5">
        <v>2</v>
      </c>
      <c r="D1400" s="379">
        <v>45.231666666666669</v>
      </c>
      <c r="E1400" s="25">
        <v>24.84</v>
      </c>
      <c r="F1400" s="379">
        <v>15.072274805433072</v>
      </c>
      <c r="G1400" s="25">
        <v>43.56</v>
      </c>
      <c r="H1400" s="379">
        <v>7.3368537021595337</v>
      </c>
      <c r="I1400" s="25">
        <v>53.71</v>
      </c>
      <c r="J1400" s="379">
        <v>5.9573932711854205</v>
      </c>
    </row>
    <row r="1401" spans="1:10" x14ac:dyDescent="0.35">
      <c r="A1401" s="5">
        <v>1397</v>
      </c>
      <c r="B1401" s="5">
        <v>59</v>
      </c>
      <c r="C1401" s="5">
        <v>2</v>
      </c>
      <c r="D1401" s="379">
        <v>49.451111111111111</v>
      </c>
      <c r="E1401" s="25">
        <v>24.84</v>
      </c>
      <c r="F1401" s="379">
        <v>14.716340414301163</v>
      </c>
      <c r="G1401" s="25">
        <v>43.39</v>
      </c>
      <c r="H1401" s="379">
        <v>9.2532546476031676</v>
      </c>
      <c r="I1401" s="25">
        <v>51.02</v>
      </c>
      <c r="J1401" s="379">
        <v>4.6242618480371771</v>
      </c>
    </row>
    <row r="1402" spans="1:10" x14ac:dyDescent="0.35">
      <c r="A1402" s="5">
        <v>1398</v>
      </c>
      <c r="B1402" s="5">
        <v>59</v>
      </c>
      <c r="C1402" s="5">
        <v>2</v>
      </c>
      <c r="D1402" s="379">
        <v>51.688888888888883</v>
      </c>
      <c r="E1402" s="25">
        <v>24.84</v>
      </c>
      <c r="F1402" s="379">
        <v>12.521772509952246</v>
      </c>
      <c r="G1402" s="25">
        <v>42.95</v>
      </c>
      <c r="H1402" s="379">
        <v>9.1006503082774248</v>
      </c>
      <c r="I1402" s="25">
        <v>48.86</v>
      </c>
      <c r="J1402" s="379">
        <v>2.2502191674475251</v>
      </c>
    </row>
    <row r="1403" spans="1:10" x14ac:dyDescent="0.35">
      <c r="A1403" s="5">
        <v>1399</v>
      </c>
      <c r="B1403" s="5">
        <v>59</v>
      </c>
      <c r="C1403" s="5">
        <v>2</v>
      </c>
      <c r="D1403" s="379">
        <v>64.742777777777775</v>
      </c>
      <c r="E1403" s="25">
        <v>24.84</v>
      </c>
      <c r="F1403" s="379">
        <v>12.521772509952246</v>
      </c>
      <c r="G1403" s="25">
        <v>42.95</v>
      </c>
      <c r="H1403" s="379">
        <v>9.6205709191992117</v>
      </c>
      <c r="I1403" s="25">
        <v>47.79</v>
      </c>
      <c r="J1403" s="379">
        <v>2.292671620775601</v>
      </c>
    </row>
    <row r="1404" spans="1:10" x14ac:dyDescent="0.35">
      <c r="A1404" s="5">
        <v>1400</v>
      </c>
      <c r="B1404" s="5">
        <v>59</v>
      </c>
      <c r="C1404" s="5">
        <v>2</v>
      </c>
      <c r="D1404" s="379">
        <v>67.961666666666659</v>
      </c>
      <c r="E1404" s="25">
        <v>24.84</v>
      </c>
      <c r="F1404" s="379">
        <v>13.185698249882549</v>
      </c>
      <c r="G1404" s="25">
        <v>42.95</v>
      </c>
      <c r="H1404" s="379">
        <v>9.5370499417517749</v>
      </c>
      <c r="I1404" s="25">
        <v>47.79</v>
      </c>
      <c r="J1404" s="379">
        <v>0.27777777777777779</v>
      </c>
    </row>
    <row r="1405" spans="1:10" x14ac:dyDescent="0.35">
      <c r="A1405" s="5">
        <v>1401</v>
      </c>
      <c r="B1405" s="5">
        <v>59</v>
      </c>
      <c r="C1405" s="5">
        <v>2</v>
      </c>
      <c r="D1405" s="379">
        <v>68.914444444444442</v>
      </c>
      <c r="E1405" s="25">
        <v>24.84</v>
      </c>
      <c r="F1405" s="379">
        <v>9.9190028015449894</v>
      </c>
      <c r="G1405" s="25">
        <v>43.39</v>
      </c>
      <c r="H1405" s="379">
        <v>6.8987053049488134</v>
      </c>
      <c r="I1405" s="25">
        <v>47.79</v>
      </c>
      <c r="J1405" s="379">
        <v>0.27777777777777779</v>
      </c>
    </row>
    <row r="1406" spans="1:10" x14ac:dyDescent="0.35">
      <c r="A1406" s="5">
        <v>1402</v>
      </c>
      <c r="B1406" s="5">
        <v>59</v>
      </c>
      <c r="C1406" s="5">
        <v>2</v>
      </c>
      <c r="D1406" s="379">
        <v>63.047222222222231</v>
      </c>
      <c r="E1406" s="25">
        <v>24.84</v>
      </c>
      <c r="F1406" s="379">
        <v>8.7321817587980242</v>
      </c>
      <c r="G1406" s="25">
        <v>45.7</v>
      </c>
      <c r="H1406" s="379">
        <v>7.5395810860999504</v>
      </c>
      <c r="I1406" s="25">
        <v>45.93</v>
      </c>
      <c r="J1406" s="379">
        <v>6.0770141466957881</v>
      </c>
    </row>
    <row r="1407" spans="1:10" x14ac:dyDescent="0.35">
      <c r="A1407" s="5">
        <v>1403</v>
      </c>
      <c r="B1407" s="5">
        <v>59</v>
      </c>
      <c r="C1407" s="5">
        <v>2</v>
      </c>
      <c r="D1407" s="379">
        <v>52.693333333333328</v>
      </c>
      <c r="E1407" s="25">
        <v>24.84</v>
      </c>
      <c r="F1407" s="379">
        <v>8.1174834595959613</v>
      </c>
      <c r="G1407" s="25">
        <v>44.69</v>
      </c>
      <c r="H1407" s="379">
        <v>5.9731742441370468</v>
      </c>
      <c r="I1407" s="25">
        <v>45.93</v>
      </c>
      <c r="J1407" s="379">
        <v>4.9495754468708348</v>
      </c>
    </row>
    <row r="1408" spans="1:10" x14ac:dyDescent="0.35">
      <c r="A1408" s="5">
        <v>1404</v>
      </c>
      <c r="B1408" s="5">
        <v>59</v>
      </c>
      <c r="C1408" s="5">
        <v>2</v>
      </c>
      <c r="D1408" s="379">
        <v>46.491666666666674</v>
      </c>
      <c r="E1408" s="25">
        <v>24.84</v>
      </c>
      <c r="F1408" s="379">
        <v>6.757223984899035</v>
      </c>
      <c r="G1408" s="25">
        <v>44.69</v>
      </c>
      <c r="H1408" s="379">
        <v>5.929121681371293</v>
      </c>
      <c r="I1408" s="25">
        <v>44.15</v>
      </c>
      <c r="J1408" s="379">
        <v>4.8075943022246088</v>
      </c>
    </row>
    <row r="1409" spans="1:10" x14ac:dyDescent="0.35">
      <c r="A1409" s="5">
        <v>1405</v>
      </c>
      <c r="B1409" s="5">
        <v>59</v>
      </c>
      <c r="C1409" s="5">
        <v>2</v>
      </c>
      <c r="D1409" s="379">
        <v>45.772777777777769</v>
      </c>
      <c r="E1409" s="25">
        <v>24.84</v>
      </c>
      <c r="F1409" s="379">
        <v>4.7888663287919089</v>
      </c>
      <c r="G1409" s="25">
        <v>44.69</v>
      </c>
      <c r="H1409" s="379">
        <v>5.3329289042526318</v>
      </c>
      <c r="I1409" s="25">
        <v>44.15</v>
      </c>
      <c r="J1409" s="379">
        <v>4.7367035517022789</v>
      </c>
    </row>
    <row r="1410" spans="1:10" x14ac:dyDescent="0.35">
      <c r="A1410" s="5">
        <v>1406</v>
      </c>
      <c r="B1410" s="5">
        <v>59</v>
      </c>
      <c r="C1410" s="5">
        <v>2</v>
      </c>
      <c r="D1410" s="379">
        <v>47.315555555555555</v>
      </c>
      <c r="E1410" s="25">
        <v>24.73</v>
      </c>
      <c r="F1410" s="379">
        <v>4.7888663287919089</v>
      </c>
      <c r="G1410" s="25">
        <v>42.95</v>
      </c>
      <c r="H1410" s="379">
        <v>5.3329289042526318</v>
      </c>
      <c r="I1410" s="25">
        <v>43.96</v>
      </c>
      <c r="J1410" s="379">
        <v>4.7367035517022789</v>
      </c>
    </row>
    <row r="1411" spans="1:10" x14ac:dyDescent="0.35">
      <c r="A1411" s="5">
        <v>1407</v>
      </c>
      <c r="B1411" s="5">
        <v>59</v>
      </c>
      <c r="C1411" s="5">
        <v>2</v>
      </c>
      <c r="D1411" s="379">
        <v>50.252222222222223</v>
      </c>
      <c r="E1411" s="25">
        <v>24.48</v>
      </c>
      <c r="F1411" s="379">
        <v>7.3832841987971083</v>
      </c>
      <c r="G1411" s="25">
        <v>41.77</v>
      </c>
      <c r="H1411" s="379">
        <v>5.1754954576700589</v>
      </c>
      <c r="I1411" s="25">
        <v>43.96</v>
      </c>
      <c r="J1411" s="379">
        <v>4.5368765048978874</v>
      </c>
    </row>
    <row r="1412" spans="1:10" x14ac:dyDescent="0.35">
      <c r="A1412" s="5">
        <v>1408</v>
      </c>
      <c r="B1412" s="5">
        <v>59</v>
      </c>
      <c r="C1412" s="5">
        <v>2</v>
      </c>
      <c r="D1412" s="379">
        <v>52.318333333333335</v>
      </c>
      <c r="E1412" s="25">
        <v>24.44</v>
      </c>
      <c r="F1412" s="379">
        <v>7.367248673991436</v>
      </c>
      <c r="G1412" s="25">
        <v>40.9</v>
      </c>
      <c r="H1412" s="379">
        <v>5.7716882347887202</v>
      </c>
      <c r="I1412" s="25">
        <v>43.96</v>
      </c>
      <c r="J1412" s="379">
        <v>4.5368765048978874</v>
      </c>
    </row>
    <row r="1413" spans="1:10" x14ac:dyDescent="0.35">
      <c r="A1413" s="5">
        <v>1409</v>
      </c>
      <c r="B1413" s="5">
        <v>59</v>
      </c>
      <c r="C1413" s="5">
        <v>2</v>
      </c>
      <c r="D1413" s="379">
        <v>58.171111111111109</v>
      </c>
      <c r="E1413" s="25">
        <v>24.44</v>
      </c>
      <c r="F1413" s="379">
        <v>8.1174834595959595</v>
      </c>
      <c r="G1413" s="25">
        <v>41.31</v>
      </c>
      <c r="H1413" s="379">
        <v>4.799693804694658</v>
      </c>
      <c r="I1413" s="25">
        <v>44.15</v>
      </c>
      <c r="J1413" s="379">
        <v>5.064591979930773</v>
      </c>
    </row>
    <row r="1414" spans="1:10" x14ac:dyDescent="0.35">
      <c r="A1414" s="5">
        <v>1410</v>
      </c>
      <c r="B1414" s="5">
        <v>59</v>
      </c>
      <c r="C1414" s="5">
        <v>2</v>
      </c>
      <c r="D1414" s="379">
        <v>64.983888888888885</v>
      </c>
      <c r="E1414" s="25">
        <v>24.84</v>
      </c>
      <c r="F1414" s="379">
        <v>8.8111478993820178</v>
      </c>
      <c r="G1414" s="25">
        <v>43.39</v>
      </c>
      <c r="H1414" s="379">
        <v>4.799693804694658</v>
      </c>
      <c r="I1414" s="25">
        <v>44.15</v>
      </c>
      <c r="J1414" s="379">
        <v>5.8084437325637222</v>
      </c>
    </row>
    <row r="1415" spans="1:10" x14ac:dyDescent="0.35">
      <c r="A1415" s="5">
        <v>1411</v>
      </c>
      <c r="B1415" s="5">
        <v>59</v>
      </c>
      <c r="C1415" s="5">
        <v>2</v>
      </c>
      <c r="D1415" s="379">
        <v>67.553333333333327</v>
      </c>
      <c r="E1415" s="25">
        <v>25.29</v>
      </c>
      <c r="F1415" s="379">
        <v>8.7651014816758153</v>
      </c>
      <c r="G1415" s="25">
        <v>46.11</v>
      </c>
      <c r="H1415" s="379">
        <v>4.799693804694658</v>
      </c>
      <c r="I1415" s="25">
        <v>48.86</v>
      </c>
      <c r="J1415" s="379">
        <v>5.8084437325637222</v>
      </c>
    </row>
    <row r="1416" spans="1:10" x14ac:dyDescent="0.35">
      <c r="A1416" s="5">
        <v>1412</v>
      </c>
      <c r="B1416" s="5">
        <v>59</v>
      </c>
      <c r="C1416" s="5">
        <v>2</v>
      </c>
      <c r="D1416" s="379">
        <v>68.678888888888906</v>
      </c>
      <c r="E1416" s="25">
        <v>25.74</v>
      </c>
      <c r="F1416" s="379">
        <v>8.7524635392772332</v>
      </c>
      <c r="G1416" s="25">
        <v>46.11</v>
      </c>
      <c r="H1416" s="379">
        <v>4.799693804694658</v>
      </c>
      <c r="I1416" s="25">
        <v>48.86</v>
      </c>
      <c r="J1416" s="379">
        <v>5.8084437325637222</v>
      </c>
    </row>
    <row r="1417" spans="1:10" x14ac:dyDescent="0.35">
      <c r="A1417" s="5">
        <v>1413</v>
      </c>
      <c r="B1417" s="5">
        <v>59</v>
      </c>
      <c r="C1417" s="5">
        <v>2</v>
      </c>
      <c r="D1417" s="379">
        <v>59.431666666666665</v>
      </c>
      <c r="E1417" s="25">
        <v>24.84</v>
      </c>
      <c r="F1417" s="379">
        <v>8.8223948481395738</v>
      </c>
      <c r="G1417" s="25">
        <v>45.7</v>
      </c>
      <c r="H1417" s="379">
        <v>4.799693804694658</v>
      </c>
      <c r="I1417" s="25">
        <v>46.64</v>
      </c>
      <c r="J1417" s="379">
        <v>5.8084437325637222</v>
      </c>
    </row>
    <row r="1418" spans="1:10" x14ac:dyDescent="0.35">
      <c r="A1418" s="5">
        <v>1414</v>
      </c>
      <c r="B1418" s="5">
        <v>59</v>
      </c>
      <c r="C1418" s="5">
        <v>2</v>
      </c>
      <c r="D1418" s="379">
        <v>53.101666666666667</v>
      </c>
      <c r="E1418" s="25">
        <v>24.84</v>
      </c>
      <c r="F1418" s="379">
        <v>8.1174834595959613</v>
      </c>
      <c r="G1418" s="25">
        <v>44.24</v>
      </c>
      <c r="H1418" s="379">
        <v>4.799693804694658</v>
      </c>
      <c r="I1418" s="25">
        <v>45.28</v>
      </c>
      <c r="J1418" s="379">
        <v>5.6627031004141299</v>
      </c>
    </row>
    <row r="1419" spans="1:10" x14ac:dyDescent="0.35">
      <c r="A1419" s="5">
        <v>1415</v>
      </c>
      <c r="B1419" s="5">
        <v>59</v>
      </c>
      <c r="C1419" s="5">
        <v>2</v>
      </c>
      <c r="D1419" s="379">
        <v>52.2</v>
      </c>
      <c r="E1419" s="25">
        <v>24.84</v>
      </c>
      <c r="F1419" s="379">
        <v>4.0241256075331</v>
      </c>
      <c r="G1419" s="25">
        <v>43.56</v>
      </c>
      <c r="H1419" s="379">
        <v>1.875552840195911</v>
      </c>
      <c r="I1419" s="25">
        <v>44.15</v>
      </c>
      <c r="J1419" s="379">
        <v>1.5232762047241655</v>
      </c>
    </row>
    <row r="1420" spans="1:10" x14ac:dyDescent="0.35">
      <c r="A1420" s="5">
        <v>1416</v>
      </c>
      <c r="B1420" s="5">
        <v>59</v>
      </c>
      <c r="C1420" s="5">
        <v>2</v>
      </c>
      <c r="D1420" s="379">
        <v>52.664444444444449</v>
      </c>
      <c r="E1420" s="25">
        <v>24.84</v>
      </c>
      <c r="F1420" s="379">
        <v>2.5918486159734222</v>
      </c>
      <c r="G1420" s="25">
        <v>42.55</v>
      </c>
      <c r="H1420" s="379">
        <v>1.875552840195911</v>
      </c>
      <c r="I1420" s="25">
        <v>33.74</v>
      </c>
      <c r="J1420" s="379">
        <v>9.2217494332741706E-2</v>
      </c>
    </row>
    <row r="1421" spans="1:10" x14ac:dyDescent="0.35">
      <c r="A1421" s="5">
        <v>1417</v>
      </c>
      <c r="B1421" s="5">
        <v>60</v>
      </c>
      <c r="C1421" s="5">
        <v>3</v>
      </c>
      <c r="D1421" s="379">
        <v>54.888333333333335</v>
      </c>
      <c r="E1421" s="25">
        <v>24.73</v>
      </c>
      <c r="F1421" s="379">
        <v>3.2727733956087586</v>
      </c>
      <c r="G1421" s="25">
        <v>33.090000000000003</v>
      </c>
      <c r="H1421" s="379">
        <v>1.906589528194125</v>
      </c>
      <c r="I1421" s="25">
        <v>33.67</v>
      </c>
      <c r="J1421" s="379">
        <v>2.777777777777778E-2</v>
      </c>
    </row>
    <row r="1422" spans="1:10" x14ac:dyDescent="0.35">
      <c r="A1422" s="5">
        <v>1418</v>
      </c>
      <c r="B1422" s="5">
        <v>60</v>
      </c>
      <c r="C1422" s="5">
        <v>3</v>
      </c>
      <c r="D1422" s="379">
        <v>54.957222222222221</v>
      </c>
      <c r="E1422" s="25">
        <v>23.73</v>
      </c>
      <c r="F1422" s="379">
        <v>3.2727733956087586</v>
      </c>
      <c r="G1422" s="25">
        <v>31.26</v>
      </c>
      <c r="H1422" s="379">
        <v>1.906589528194125</v>
      </c>
      <c r="I1422" s="25">
        <v>33.67</v>
      </c>
      <c r="J1422" s="379">
        <v>2.777777777777778E-2</v>
      </c>
    </row>
    <row r="1423" spans="1:10" x14ac:dyDescent="0.35">
      <c r="A1423" s="5">
        <v>1419</v>
      </c>
      <c r="B1423" s="5">
        <v>60</v>
      </c>
      <c r="C1423" s="5">
        <v>3</v>
      </c>
      <c r="D1423" s="379">
        <v>54.482222222222219</v>
      </c>
      <c r="E1423" s="25">
        <v>23.73</v>
      </c>
      <c r="F1423" s="379">
        <v>3.2727733956087586</v>
      </c>
      <c r="G1423" s="25">
        <v>30.57</v>
      </c>
      <c r="H1423" s="379">
        <v>1.906589528194125</v>
      </c>
      <c r="I1423" s="25">
        <v>33.67</v>
      </c>
      <c r="J1423" s="379">
        <v>2.777777777777778E-2</v>
      </c>
    </row>
    <row r="1424" spans="1:10" x14ac:dyDescent="0.35">
      <c r="A1424" s="5">
        <v>1420</v>
      </c>
      <c r="B1424" s="5">
        <v>60</v>
      </c>
      <c r="C1424" s="5">
        <v>3</v>
      </c>
      <c r="D1424" s="379">
        <v>54.314444444444447</v>
      </c>
      <c r="E1424" s="25">
        <v>23.59</v>
      </c>
      <c r="F1424" s="379">
        <v>3.2727733956087586</v>
      </c>
      <c r="G1424" s="25">
        <v>30.57</v>
      </c>
      <c r="H1424" s="379">
        <v>1.906589528194125</v>
      </c>
      <c r="I1424" s="25">
        <v>33.67</v>
      </c>
      <c r="J1424" s="379">
        <v>2.777777777777778E-2</v>
      </c>
    </row>
    <row r="1425" spans="1:10" x14ac:dyDescent="0.35">
      <c r="A1425" s="5">
        <v>1421</v>
      </c>
      <c r="B1425" s="5">
        <v>60</v>
      </c>
      <c r="C1425" s="5">
        <v>3</v>
      </c>
      <c r="D1425" s="379">
        <v>52.553888888888892</v>
      </c>
      <c r="E1425" s="25">
        <v>23.73</v>
      </c>
      <c r="F1425" s="379">
        <v>3.2727733956087586</v>
      </c>
      <c r="G1425" s="25">
        <v>30.57</v>
      </c>
      <c r="H1425" s="379">
        <v>1.906589528194125</v>
      </c>
      <c r="I1425" s="25">
        <v>33.67</v>
      </c>
      <c r="J1425" s="379">
        <v>2.777777777777778E-2</v>
      </c>
    </row>
    <row r="1426" spans="1:10" x14ac:dyDescent="0.35">
      <c r="A1426" s="5">
        <v>1422</v>
      </c>
      <c r="B1426" s="5">
        <v>60</v>
      </c>
      <c r="C1426" s="5">
        <v>3</v>
      </c>
      <c r="D1426" s="379">
        <v>55.072222222222223</v>
      </c>
      <c r="E1426" s="25">
        <v>24.73</v>
      </c>
      <c r="F1426" s="379">
        <v>3.2727733956087586</v>
      </c>
      <c r="G1426" s="25">
        <v>31.84</v>
      </c>
      <c r="H1426" s="379">
        <v>1.906589528194125</v>
      </c>
      <c r="I1426" s="25">
        <v>33.67</v>
      </c>
      <c r="J1426" s="379">
        <v>2.777777777777778E-2</v>
      </c>
    </row>
    <row r="1427" spans="1:10" x14ac:dyDescent="0.35">
      <c r="A1427" s="5">
        <v>1423</v>
      </c>
      <c r="B1427" s="5">
        <v>60</v>
      </c>
      <c r="C1427" s="5">
        <v>3</v>
      </c>
      <c r="D1427" s="379">
        <v>64.748333333333335</v>
      </c>
      <c r="E1427" s="25">
        <v>24.84</v>
      </c>
      <c r="F1427" s="379">
        <v>3.2727733956087586</v>
      </c>
      <c r="G1427" s="25">
        <v>43.47</v>
      </c>
      <c r="H1427" s="379">
        <v>1.9305478499227093</v>
      </c>
      <c r="I1427" s="25">
        <v>33.67</v>
      </c>
      <c r="J1427" s="379">
        <v>2.777777777777778E-2</v>
      </c>
    </row>
    <row r="1428" spans="1:10" x14ac:dyDescent="0.35">
      <c r="A1428" s="5">
        <v>1424</v>
      </c>
      <c r="B1428" s="5">
        <v>60</v>
      </c>
      <c r="C1428" s="5">
        <v>3</v>
      </c>
      <c r="D1428" s="379">
        <v>71.341111111111118</v>
      </c>
      <c r="E1428" s="25">
        <v>25.29</v>
      </c>
      <c r="F1428" s="379">
        <v>3.2727733956087586</v>
      </c>
      <c r="G1428" s="25">
        <v>44.69</v>
      </c>
      <c r="H1428" s="379">
        <v>1.9540751190531092</v>
      </c>
      <c r="I1428" s="25">
        <v>33.67</v>
      </c>
      <c r="J1428" s="379">
        <v>2.777777777777778E-2</v>
      </c>
    </row>
    <row r="1429" spans="1:10" x14ac:dyDescent="0.35">
      <c r="A1429" s="5">
        <v>1425</v>
      </c>
      <c r="B1429" s="5">
        <v>60</v>
      </c>
      <c r="C1429" s="5">
        <v>3</v>
      </c>
      <c r="D1429" s="379">
        <v>72.587777777777788</v>
      </c>
      <c r="E1429" s="25">
        <v>25.29</v>
      </c>
      <c r="F1429" s="379">
        <v>6.6713383285642469E-2</v>
      </c>
      <c r="G1429" s="25">
        <v>45.7</v>
      </c>
      <c r="H1429" s="379">
        <v>1.9305478499227093</v>
      </c>
      <c r="I1429" s="25">
        <v>33.67</v>
      </c>
      <c r="J1429" s="379">
        <v>2.777777777777778E-2</v>
      </c>
    </row>
    <row r="1430" spans="1:10" x14ac:dyDescent="0.35">
      <c r="A1430" s="5">
        <v>1426</v>
      </c>
      <c r="B1430" s="5">
        <v>60</v>
      </c>
      <c r="C1430" s="5">
        <v>3</v>
      </c>
      <c r="D1430" s="379">
        <v>65.783888888888896</v>
      </c>
      <c r="E1430" s="25">
        <v>25.29</v>
      </c>
      <c r="F1430" s="379">
        <v>3.2727733956087586</v>
      </c>
      <c r="G1430" s="25">
        <v>45.7</v>
      </c>
      <c r="H1430" s="379">
        <v>1.906589528194125</v>
      </c>
      <c r="I1430" s="25">
        <v>33.67</v>
      </c>
      <c r="J1430" s="379">
        <v>2.777777777777778E-2</v>
      </c>
    </row>
    <row r="1431" spans="1:10" x14ac:dyDescent="0.35">
      <c r="A1431" s="5">
        <v>1427</v>
      </c>
      <c r="B1431" s="5">
        <v>60</v>
      </c>
      <c r="C1431" s="5">
        <v>3</v>
      </c>
      <c r="D1431" s="379">
        <v>59.13333333333334</v>
      </c>
      <c r="E1431" s="25">
        <v>24.99</v>
      </c>
      <c r="F1431" s="379">
        <v>3.2727733956087586</v>
      </c>
      <c r="G1431" s="25">
        <v>44.69</v>
      </c>
      <c r="H1431" s="379">
        <v>1.906589528194125</v>
      </c>
      <c r="I1431" s="25">
        <v>33.67</v>
      </c>
      <c r="J1431" s="379">
        <v>2.777777777777778E-2</v>
      </c>
    </row>
    <row r="1432" spans="1:10" x14ac:dyDescent="0.35">
      <c r="A1432" s="5">
        <v>1428</v>
      </c>
      <c r="B1432" s="5">
        <v>60</v>
      </c>
      <c r="C1432" s="5">
        <v>3</v>
      </c>
      <c r="D1432" s="379">
        <v>60.904444444444444</v>
      </c>
      <c r="E1432" s="25">
        <v>24.84</v>
      </c>
      <c r="F1432" s="379">
        <v>3.2727733956087586</v>
      </c>
      <c r="G1432" s="25">
        <v>44.37</v>
      </c>
      <c r="H1432" s="379">
        <v>1.906589528194125</v>
      </c>
      <c r="I1432" s="25">
        <v>33.67</v>
      </c>
      <c r="J1432" s="379">
        <v>2.777777777777778E-2</v>
      </c>
    </row>
    <row r="1433" spans="1:10" x14ac:dyDescent="0.35">
      <c r="A1433" s="5">
        <v>1429</v>
      </c>
      <c r="B1433" s="5">
        <v>60</v>
      </c>
      <c r="C1433" s="5">
        <v>3</v>
      </c>
      <c r="D1433" s="379">
        <v>59.187222222222218</v>
      </c>
      <c r="E1433" s="25">
        <v>24.84</v>
      </c>
      <c r="F1433" s="379">
        <v>2.777777777777778E-2</v>
      </c>
      <c r="G1433" s="25">
        <v>43.47</v>
      </c>
      <c r="H1433" s="379">
        <v>1.906589528194125</v>
      </c>
      <c r="I1433" s="25">
        <v>33.67</v>
      </c>
      <c r="J1433" s="379">
        <v>2.777777777777778E-2</v>
      </c>
    </row>
    <row r="1434" spans="1:10" x14ac:dyDescent="0.35">
      <c r="A1434" s="5">
        <v>1430</v>
      </c>
      <c r="B1434" s="5">
        <v>60</v>
      </c>
      <c r="C1434" s="5">
        <v>3</v>
      </c>
      <c r="D1434" s="379">
        <v>59.470555555555549</v>
      </c>
      <c r="E1434" s="25">
        <v>24.84</v>
      </c>
      <c r="F1434" s="379">
        <v>3.2727733956087586</v>
      </c>
      <c r="G1434" s="25">
        <v>43.47</v>
      </c>
      <c r="H1434" s="379">
        <v>1.906589528194125</v>
      </c>
      <c r="I1434" s="25">
        <v>33.67</v>
      </c>
      <c r="J1434" s="379">
        <v>2.777777777777778E-2</v>
      </c>
    </row>
    <row r="1435" spans="1:10" x14ac:dyDescent="0.35">
      <c r="A1435" s="5">
        <v>1431</v>
      </c>
      <c r="B1435" s="5">
        <v>60</v>
      </c>
      <c r="C1435" s="5">
        <v>3</v>
      </c>
      <c r="D1435" s="379">
        <v>61.605555555555561</v>
      </c>
      <c r="E1435" s="25">
        <v>24.84</v>
      </c>
      <c r="F1435" s="379">
        <v>3.2727733956087586</v>
      </c>
      <c r="G1435" s="25">
        <v>43.47</v>
      </c>
      <c r="H1435" s="379">
        <v>1.7286415589472539</v>
      </c>
      <c r="I1435" s="25">
        <v>33.67</v>
      </c>
      <c r="J1435" s="379">
        <v>2.777777777777778E-2</v>
      </c>
    </row>
    <row r="1436" spans="1:10" x14ac:dyDescent="0.35">
      <c r="A1436" s="5">
        <v>1432</v>
      </c>
      <c r="B1436" s="5">
        <v>60</v>
      </c>
      <c r="C1436" s="5">
        <v>3</v>
      </c>
      <c r="D1436" s="379">
        <v>65.887777777777771</v>
      </c>
      <c r="E1436" s="25">
        <v>24.84</v>
      </c>
      <c r="F1436" s="379">
        <v>3.2727733956087586</v>
      </c>
      <c r="G1436" s="25">
        <v>43.56</v>
      </c>
      <c r="H1436" s="379">
        <v>1.7286415589472539</v>
      </c>
      <c r="I1436" s="25">
        <v>33.67</v>
      </c>
      <c r="J1436" s="379">
        <v>2.777777777777778E-2</v>
      </c>
    </row>
    <row r="1437" spans="1:10" x14ac:dyDescent="0.35">
      <c r="A1437" s="5">
        <v>1433</v>
      </c>
      <c r="B1437" s="5">
        <v>60</v>
      </c>
      <c r="C1437" s="5">
        <v>3</v>
      </c>
      <c r="D1437" s="379">
        <v>70.730555555555554</v>
      </c>
      <c r="E1437" s="25">
        <v>24.99</v>
      </c>
      <c r="F1437" s="379">
        <v>3.2727733956087586</v>
      </c>
      <c r="G1437" s="25">
        <v>44.37</v>
      </c>
      <c r="H1437" s="379">
        <v>1.906589528194125</v>
      </c>
      <c r="I1437" s="25">
        <v>33.67</v>
      </c>
      <c r="J1437" s="379">
        <v>2.777777777777778E-2</v>
      </c>
    </row>
    <row r="1438" spans="1:10" x14ac:dyDescent="0.35">
      <c r="A1438" s="5">
        <v>1434</v>
      </c>
      <c r="B1438" s="5">
        <v>60</v>
      </c>
      <c r="C1438" s="5">
        <v>3</v>
      </c>
      <c r="D1438" s="379">
        <v>78.115555555555559</v>
      </c>
      <c r="E1438" s="25">
        <v>25.74</v>
      </c>
      <c r="F1438" s="379">
        <v>0.29125117804329698</v>
      </c>
      <c r="G1438" s="25">
        <v>46.11</v>
      </c>
      <c r="H1438" s="379">
        <v>2.4644097064148842</v>
      </c>
      <c r="I1438" s="25">
        <v>34.25</v>
      </c>
      <c r="J1438" s="379">
        <v>2.777777777777778E-2</v>
      </c>
    </row>
    <row r="1439" spans="1:10" x14ac:dyDescent="0.35">
      <c r="A1439" s="5">
        <v>1435</v>
      </c>
      <c r="B1439" s="5">
        <v>60</v>
      </c>
      <c r="C1439" s="5">
        <v>3</v>
      </c>
      <c r="D1439" s="379">
        <v>85.49388888888889</v>
      </c>
      <c r="E1439" s="25">
        <v>26.51</v>
      </c>
      <c r="F1439" s="379">
        <v>3.6381658790643305</v>
      </c>
      <c r="G1439" s="25">
        <v>51.14</v>
      </c>
      <c r="H1439" s="379">
        <v>7.9747357170907709E-2</v>
      </c>
      <c r="I1439" s="25">
        <v>45.28</v>
      </c>
      <c r="J1439" s="379">
        <v>2.777777777777778E-2</v>
      </c>
    </row>
    <row r="1440" spans="1:10" x14ac:dyDescent="0.35">
      <c r="A1440" s="5">
        <v>1436</v>
      </c>
      <c r="B1440" s="5">
        <v>60</v>
      </c>
      <c r="C1440" s="5">
        <v>3</v>
      </c>
      <c r="D1440" s="379">
        <v>79.937777777777782</v>
      </c>
      <c r="E1440" s="25">
        <v>26.05</v>
      </c>
      <c r="F1440" s="379">
        <v>2.3876440621494766</v>
      </c>
      <c r="G1440" s="25">
        <v>51.14</v>
      </c>
      <c r="H1440" s="379">
        <v>0.12210778184489579</v>
      </c>
      <c r="I1440" s="25">
        <v>34.29</v>
      </c>
      <c r="J1440" s="379">
        <v>2.777777777777778E-2</v>
      </c>
    </row>
    <row r="1441" spans="1:10" x14ac:dyDescent="0.35">
      <c r="A1441" s="5">
        <v>1437</v>
      </c>
      <c r="B1441" s="5">
        <v>60</v>
      </c>
      <c r="C1441" s="5">
        <v>3</v>
      </c>
      <c r="D1441" s="379">
        <v>71.402222222222221</v>
      </c>
      <c r="E1441" s="25">
        <v>25.74</v>
      </c>
      <c r="F1441" s="379">
        <v>0.27546296296296297</v>
      </c>
      <c r="G1441" s="25">
        <v>48.19</v>
      </c>
      <c r="H1441" s="379">
        <v>8.5418362961505165E-2</v>
      </c>
      <c r="I1441" s="25">
        <v>34.25</v>
      </c>
      <c r="J1441" s="379">
        <v>2.777777777777778E-2</v>
      </c>
    </row>
    <row r="1442" spans="1:10" x14ac:dyDescent="0.35">
      <c r="A1442" s="5">
        <v>1438</v>
      </c>
      <c r="B1442" s="5">
        <v>60</v>
      </c>
      <c r="C1442" s="5">
        <v>3</v>
      </c>
      <c r="D1442" s="379">
        <v>66.85499999999999</v>
      </c>
      <c r="E1442" s="25">
        <v>25.74</v>
      </c>
      <c r="F1442" s="379">
        <v>0.28053128297499835</v>
      </c>
      <c r="G1442" s="25">
        <v>45.78</v>
      </c>
      <c r="H1442" s="379">
        <v>1.906589528194125</v>
      </c>
      <c r="I1442" s="25">
        <v>34.01</v>
      </c>
      <c r="J1442" s="379">
        <v>2.8277465877357716E-2</v>
      </c>
    </row>
    <row r="1443" spans="1:10" x14ac:dyDescent="0.35">
      <c r="A1443" s="5">
        <v>1439</v>
      </c>
      <c r="B1443" s="5">
        <v>60</v>
      </c>
      <c r="C1443" s="5">
        <v>3</v>
      </c>
      <c r="D1443" s="379">
        <v>64.187222222222218</v>
      </c>
      <c r="E1443" s="25">
        <v>25.29</v>
      </c>
      <c r="F1443" s="379">
        <v>0.28592918555528168</v>
      </c>
      <c r="G1443" s="25">
        <v>44.69</v>
      </c>
      <c r="H1443" s="379">
        <v>1.906589528194125</v>
      </c>
      <c r="I1443" s="25">
        <v>34.01</v>
      </c>
      <c r="J1443" s="379">
        <v>2.8277465877357716E-2</v>
      </c>
    </row>
    <row r="1444" spans="1:10" x14ac:dyDescent="0.35">
      <c r="A1444" s="5">
        <v>1440</v>
      </c>
      <c r="B1444" s="5">
        <v>60</v>
      </c>
      <c r="C1444" s="5">
        <v>3</v>
      </c>
      <c r="D1444" s="379">
        <v>61.293333333333337</v>
      </c>
      <c r="E1444" s="25">
        <v>24.99</v>
      </c>
      <c r="F1444" s="379">
        <v>8.3348774667055467E-2</v>
      </c>
      <c r="G1444" s="25">
        <v>43.56</v>
      </c>
      <c r="H1444" s="379">
        <v>1.906589528194125</v>
      </c>
      <c r="I1444" s="25">
        <v>33.67</v>
      </c>
      <c r="J1444" s="379">
        <v>2.777777777777778E-2</v>
      </c>
    </row>
    <row r="1445" spans="1:10" x14ac:dyDescent="0.35">
      <c r="A1445" s="5">
        <v>1441</v>
      </c>
      <c r="B1445" s="5">
        <v>61</v>
      </c>
      <c r="C1445" s="5">
        <v>3</v>
      </c>
      <c r="D1445" s="379">
        <v>62.176111111111112</v>
      </c>
      <c r="E1445" s="25">
        <v>24.73</v>
      </c>
      <c r="F1445" s="379">
        <v>3.2727733956087586</v>
      </c>
      <c r="G1445" s="25">
        <v>41.79</v>
      </c>
      <c r="H1445" s="379">
        <v>1.906589528194125</v>
      </c>
      <c r="I1445" s="25">
        <v>33.67</v>
      </c>
      <c r="J1445" s="379">
        <v>2.777777777777778E-2</v>
      </c>
    </row>
    <row r="1446" spans="1:10" x14ac:dyDescent="0.35">
      <c r="A1446" s="5">
        <v>1442</v>
      </c>
      <c r="B1446" s="5">
        <v>61</v>
      </c>
      <c r="C1446" s="5">
        <v>3</v>
      </c>
      <c r="D1446" s="379">
        <v>61.533888888888882</v>
      </c>
      <c r="E1446" s="25">
        <v>24.73</v>
      </c>
      <c r="F1446" s="379">
        <v>3.2727733956087586</v>
      </c>
      <c r="G1446" s="25">
        <v>40.96</v>
      </c>
      <c r="H1446" s="379">
        <v>1.906589528194125</v>
      </c>
      <c r="I1446" s="25">
        <v>33.67</v>
      </c>
      <c r="J1446" s="379">
        <v>2.777777777777778E-2</v>
      </c>
    </row>
    <row r="1447" spans="1:10" x14ac:dyDescent="0.35">
      <c r="A1447" s="5">
        <v>1443</v>
      </c>
      <c r="B1447" s="5">
        <v>61</v>
      </c>
      <c r="C1447" s="5">
        <v>3</v>
      </c>
      <c r="D1447" s="379">
        <v>59.865555555555552</v>
      </c>
      <c r="E1447" s="25">
        <v>24.44</v>
      </c>
      <c r="F1447" s="379">
        <v>3.2727733956087586</v>
      </c>
      <c r="G1447" s="25">
        <v>40.96</v>
      </c>
      <c r="H1447" s="379">
        <v>1.906589528194125</v>
      </c>
      <c r="I1447" s="25">
        <v>33.67</v>
      </c>
      <c r="J1447" s="379">
        <v>2.777777777777778E-2</v>
      </c>
    </row>
    <row r="1448" spans="1:10" x14ac:dyDescent="0.35">
      <c r="A1448" s="5">
        <v>1444</v>
      </c>
      <c r="B1448" s="5">
        <v>61</v>
      </c>
      <c r="C1448" s="5">
        <v>3</v>
      </c>
      <c r="D1448" s="379">
        <v>58.581666666666663</v>
      </c>
      <c r="E1448" s="25">
        <v>24.73</v>
      </c>
      <c r="F1448" s="379">
        <v>3.2727733956087586</v>
      </c>
      <c r="G1448" s="25">
        <v>40.96</v>
      </c>
      <c r="H1448" s="379">
        <v>1.906589528194125</v>
      </c>
      <c r="I1448" s="25">
        <v>37.24</v>
      </c>
      <c r="J1448" s="379">
        <v>2.777777777777778E-2</v>
      </c>
    </row>
    <row r="1449" spans="1:10" x14ac:dyDescent="0.35">
      <c r="A1449" s="5">
        <v>1445</v>
      </c>
      <c r="B1449" s="5">
        <v>61</v>
      </c>
      <c r="C1449" s="5">
        <v>3</v>
      </c>
      <c r="D1449" s="379">
        <v>58.348888888888879</v>
      </c>
      <c r="E1449" s="25">
        <v>24.84</v>
      </c>
      <c r="F1449" s="379">
        <v>3.2727733956087586</v>
      </c>
      <c r="G1449" s="25">
        <v>40.96</v>
      </c>
      <c r="H1449" s="379">
        <v>2.4644097064148842</v>
      </c>
      <c r="I1449" s="25">
        <v>37.619999999999997</v>
      </c>
      <c r="J1449" s="379">
        <v>2.8277465877357716E-2</v>
      </c>
    </row>
    <row r="1450" spans="1:10" x14ac:dyDescent="0.35">
      <c r="A1450" s="5">
        <v>1446</v>
      </c>
      <c r="B1450" s="5">
        <v>61</v>
      </c>
      <c r="C1450" s="5">
        <v>3</v>
      </c>
      <c r="D1450" s="379">
        <v>61.998888888888885</v>
      </c>
      <c r="E1450" s="25">
        <v>24.84</v>
      </c>
      <c r="F1450" s="379">
        <v>3.4481525187613222</v>
      </c>
      <c r="G1450" s="25">
        <v>43.56</v>
      </c>
      <c r="H1450" s="379">
        <v>2.4644097064148842</v>
      </c>
      <c r="I1450" s="25">
        <v>37.619999999999997</v>
      </c>
      <c r="J1450" s="379">
        <v>2.8277465877357716E-2</v>
      </c>
    </row>
    <row r="1451" spans="1:10" x14ac:dyDescent="0.35">
      <c r="A1451" s="5">
        <v>1447</v>
      </c>
      <c r="B1451" s="5">
        <v>61</v>
      </c>
      <c r="C1451" s="5">
        <v>3</v>
      </c>
      <c r="D1451" s="379">
        <v>66.461666666666659</v>
      </c>
      <c r="E1451" s="25">
        <v>25.74</v>
      </c>
      <c r="F1451" s="379">
        <v>3.4560317529235047</v>
      </c>
      <c r="G1451" s="25">
        <v>46.03</v>
      </c>
      <c r="H1451" s="379">
        <v>2.5668752067022482</v>
      </c>
      <c r="I1451" s="25">
        <v>46.06</v>
      </c>
      <c r="J1451" s="379">
        <v>2.8277465877357716E-2</v>
      </c>
    </row>
    <row r="1452" spans="1:10" x14ac:dyDescent="0.35">
      <c r="A1452" s="5">
        <v>1448</v>
      </c>
      <c r="B1452" s="5">
        <v>61</v>
      </c>
      <c r="C1452" s="5">
        <v>3</v>
      </c>
      <c r="D1452" s="379">
        <v>73.282777777777781</v>
      </c>
      <c r="E1452" s="25">
        <v>25.74</v>
      </c>
      <c r="F1452" s="379">
        <v>3.4571854540937519</v>
      </c>
      <c r="G1452" s="25">
        <v>48.88</v>
      </c>
      <c r="H1452" s="379">
        <v>2.5668752067022482</v>
      </c>
      <c r="I1452" s="25">
        <v>46.69</v>
      </c>
      <c r="J1452" s="379">
        <v>2.8277465877357716E-2</v>
      </c>
    </row>
    <row r="1453" spans="1:10" x14ac:dyDescent="0.35">
      <c r="A1453" s="5">
        <v>1449</v>
      </c>
      <c r="B1453" s="5">
        <v>61</v>
      </c>
      <c r="C1453" s="5">
        <v>3</v>
      </c>
      <c r="D1453" s="379">
        <v>74.765000000000001</v>
      </c>
      <c r="E1453" s="25">
        <v>25.74</v>
      </c>
      <c r="F1453" s="379">
        <v>3.4795989657869546</v>
      </c>
      <c r="G1453" s="25">
        <v>48.88</v>
      </c>
      <c r="H1453" s="379">
        <v>2.504180110945613</v>
      </c>
      <c r="I1453" s="25">
        <v>48.09</v>
      </c>
      <c r="J1453" s="379">
        <v>6.7795680345209108E-2</v>
      </c>
    </row>
    <row r="1454" spans="1:10" x14ac:dyDescent="0.35">
      <c r="A1454" s="5">
        <v>1450</v>
      </c>
      <c r="B1454" s="5">
        <v>61</v>
      </c>
      <c r="C1454" s="5">
        <v>3</v>
      </c>
      <c r="D1454" s="379">
        <v>67.170555555555566</v>
      </c>
      <c r="E1454" s="25">
        <v>25.74</v>
      </c>
      <c r="F1454" s="379">
        <v>3.4717197316247725</v>
      </c>
      <c r="G1454" s="25">
        <v>48.39</v>
      </c>
      <c r="H1454" s="379">
        <v>2.4935384497698578</v>
      </c>
      <c r="I1454" s="25">
        <v>47.44</v>
      </c>
      <c r="J1454" s="379">
        <v>2.777777777777778E-2</v>
      </c>
    </row>
    <row r="1455" spans="1:10" x14ac:dyDescent="0.35">
      <c r="A1455" s="5">
        <v>1451</v>
      </c>
      <c r="B1455" s="5">
        <v>61</v>
      </c>
      <c r="C1455" s="5">
        <v>3</v>
      </c>
      <c r="D1455" s="379">
        <v>62.885000000000005</v>
      </c>
      <c r="E1455" s="25">
        <v>25.74</v>
      </c>
      <c r="F1455" s="379">
        <v>3.2727733956087586</v>
      </c>
      <c r="G1455" s="25">
        <v>45.7</v>
      </c>
      <c r="H1455" s="379">
        <v>2.4644097064148842</v>
      </c>
      <c r="I1455" s="25">
        <v>44.01</v>
      </c>
      <c r="J1455" s="379">
        <v>2.777777777777778E-2</v>
      </c>
    </row>
    <row r="1456" spans="1:10" x14ac:dyDescent="0.35">
      <c r="A1456" s="5">
        <v>1452</v>
      </c>
      <c r="B1456" s="5">
        <v>61</v>
      </c>
      <c r="C1456" s="5">
        <v>3</v>
      </c>
      <c r="D1456" s="379">
        <v>61.544999999999995</v>
      </c>
      <c r="E1456" s="25">
        <v>25.29</v>
      </c>
      <c r="F1456" s="379">
        <v>3.2727733956087586</v>
      </c>
      <c r="G1456" s="25">
        <v>45.7</v>
      </c>
      <c r="H1456" s="379">
        <v>2.4644097064148842</v>
      </c>
      <c r="I1456" s="25">
        <v>37.619999999999997</v>
      </c>
      <c r="J1456" s="379">
        <v>2.777777777777778E-2</v>
      </c>
    </row>
    <row r="1457" spans="1:10" x14ac:dyDescent="0.35">
      <c r="A1457" s="5">
        <v>1453</v>
      </c>
      <c r="B1457" s="5">
        <v>61</v>
      </c>
      <c r="C1457" s="5">
        <v>3</v>
      </c>
      <c r="D1457" s="379">
        <v>59.483333333333334</v>
      </c>
      <c r="E1457" s="25">
        <v>25.29</v>
      </c>
      <c r="F1457" s="379">
        <v>3.2727733956087586</v>
      </c>
      <c r="G1457" s="25">
        <v>43.99</v>
      </c>
      <c r="H1457" s="379">
        <v>2.2864617371680129</v>
      </c>
      <c r="I1457" s="25">
        <v>37.24</v>
      </c>
      <c r="J1457" s="379">
        <v>2.777777777777778E-2</v>
      </c>
    </row>
    <row r="1458" spans="1:10" x14ac:dyDescent="0.35">
      <c r="A1458" s="5">
        <v>1454</v>
      </c>
      <c r="B1458" s="5">
        <v>61</v>
      </c>
      <c r="C1458" s="5">
        <v>3</v>
      </c>
      <c r="D1458" s="379">
        <v>57.776111111111106</v>
      </c>
      <c r="E1458" s="25">
        <v>24.99</v>
      </c>
      <c r="F1458" s="379">
        <v>3.2727733956087586</v>
      </c>
      <c r="G1458" s="25">
        <v>43.99</v>
      </c>
      <c r="H1458" s="379">
        <v>0.72606250841223485</v>
      </c>
      <c r="I1458" s="25">
        <v>34.54</v>
      </c>
      <c r="J1458" s="379">
        <v>2.777777777777778E-2</v>
      </c>
    </row>
    <row r="1459" spans="1:10" x14ac:dyDescent="0.35">
      <c r="A1459" s="5">
        <v>1455</v>
      </c>
      <c r="B1459" s="5">
        <v>61</v>
      </c>
      <c r="C1459" s="5">
        <v>3</v>
      </c>
      <c r="D1459" s="379">
        <v>58.796111111111109</v>
      </c>
      <c r="E1459" s="25">
        <v>24.99</v>
      </c>
      <c r="F1459" s="379">
        <v>3.2727733956087586</v>
      </c>
      <c r="G1459" s="25">
        <v>43.99</v>
      </c>
      <c r="H1459" s="379">
        <v>0.61869061471922449</v>
      </c>
      <c r="I1459" s="25">
        <v>34.54</v>
      </c>
      <c r="J1459" s="379">
        <v>2.777777777777778E-2</v>
      </c>
    </row>
    <row r="1460" spans="1:10" x14ac:dyDescent="0.35">
      <c r="A1460" s="5">
        <v>1456</v>
      </c>
      <c r="B1460" s="5">
        <v>61</v>
      </c>
      <c r="C1460" s="5">
        <v>3</v>
      </c>
      <c r="D1460" s="379">
        <v>59.79388888888888</v>
      </c>
      <c r="E1460" s="25">
        <v>24.99</v>
      </c>
      <c r="F1460" s="379">
        <v>3.2727733956087586</v>
      </c>
      <c r="G1460" s="25">
        <v>44.69</v>
      </c>
      <c r="H1460" s="379">
        <v>0.61869061471922449</v>
      </c>
      <c r="I1460" s="25">
        <v>37.24</v>
      </c>
      <c r="J1460" s="379">
        <v>2.777777777777778E-2</v>
      </c>
    </row>
    <row r="1461" spans="1:10" x14ac:dyDescent="0.35">
      <c r="A1461" s="5">
        <v>1457</v>
      </c>
      <c r="B1461" s="5">
        <v>61</v>
      </c>
      <c r="C1461" s="5">
        <v>3</v>
      </c>
      <c r="D1461" s="379">
        <v>63.520555555555546</v>
      </c>
      <c r="E1461" s="25">
        <v>24.99</v>
      </c>
      <c r="F1461" s="379">
        <v>3.2727733956087586</v>
      </c>
      <c r="G1461" s="25">
        <v>45.78</v>
      </c>
      <c r="H1461" s="379">
        <v>0.72606250841223485</v>
      </c>
      <c r="I1461" s="25">
        <v>38.159999999999997</v>
      </c>
      <c r="J1461" s="379">
        <v>2.777777777777778E-2</v>
      </c>
    </row>
    <row r="1462" spans="1:10" x14ac:dyDescent="0.35">
      <c r="A1462" s="5">
        <v>1458</v>
      </c>
      <c r="B1462" s="5">
        <v>61</v>
      </c>
      <c r="C1462" s="5">
        <v>3</v>
      </c>
      <c r="D1462" s="379">
        <v>69.69</v>
      </c>
      <c r="E1462" s="25">
        <v>25.74</v>
      </c>
      <c r="F1462" s="379">
        <v>6.7010801981371715E-2</v>
      </c>
      <c r="G1462" s="25">
        <v>47.46</v>
      </c>
      <c r="H1462" s="379">
        <v>2.4644097064148842</v>
      </c>
      <c r="I1462" s="25">
        <v>46.06</v>
      </c>
      <c r="J1462" s="379">
        <v>2.777777777777778E-2</v>
      </c>
    </row>
    <row r="1463" spans="1:10" x14ac:dyDescent="0.35">
      <c r="A1463" s="5">
        <v>1459</v>
      </c>
      <c r="B1463" s="5">
        <v>61</v>
      </c>
      <c r="C1463" s="5">
        <v>3</v>
      </c>
      <c r="D1463" s="379">
        <v>77.979444444444439</v>
      </c>
      <c r="E1463" s="25">
        <v>26.51</v>
      </c>
      <c r="F1463" s="379">
        <v>0.1660039735186658</v>
      </c>
      <c r="G1463" s="25">
        <v>52.67</v>
      </c>
      <c r="H1463" s="379">
        <v>0.14480167642852412</v>
      </c>
      <c r="I1463" s="25">
        <v>51.72</v>
      </c>
      <c r="J1463" s="379">
        <v>2.777777777777778E-2</v>
      </c>
    </row>
    <row r="1464" spans="1:10" x14ac:dyDescent="0.35">
      <c r="A1464" s="5">
        <v>1460</v>
      </c>
      <c r="B1464" s="5">
        <v>61</v>
      </c>
      <c r="C1464" s="5">
        <v>3</v>
      </c>
      <c r="D1464" s="379">
        <v>75.810555555555553</v>
      </c>
      <c r="E1464" s="25">
        <v>25.74</v>
      </c>
      <c r="F1464" s="379">
        <v>0.16600397351866578</v>
      </c>
      <c r="G1464" s="25">
        <v>52.67</v>
      </c>
      <c r="H1464" s="379">
        <v>2.5077965306414733</v>
      </c>
      <c r="I1464" s="25">
        <v>51.72</v>
      </c>
      <c r="J1464" s="379">
        <v>1.4092819259686211</v>
      </c>
    </row>
    <row r="1465" spans="1:10" x14ac:dyDescent="0.35">
      <c r="A1465" s="5">
        <v>1461</v>
      </c>
      <c r="B1465" s="5">
        <v>61</v>
      </c>
      <c r="C1465" s="5">
        <v>3</v>
      </c>
      <c r="D1465" s="379">
        <v>66.712777777777774</v>
      </c>
      <c r="E1465" s="25">
        <v>25.74</v>
      </c>
      <c r="F1465" s="379">
        <v>5.2503704568482246E-2</v>
      </c>
      <c r="G1465" s="25">
        <v>48.19</v>
      </c>
      <c r="H1465" s="379">
        <v>2.5077965306414733</v>
      </c>
      <c r="I1465" s="25">
        <v>46.06</v>
      </c>
      <c r="J1465" s="379">
        <v>1.3605549470073204</v>
      </c>
    </row>
    <row r="1466" spans="1:10" x14ac:dyDescent="0.35">
      <c r="A1466" s="5">
        <v>1462</v>
      </c>
      <c r="B1466" s="5">
        <v>61</v>
      </c>
      <c r="C1466" s="5">
        <v>3</v>
      </c>
      <c r="D1466" s="379">
        <v>62.962222222222231</v>
      </c>
      <c r="E1466" s="25">
        <v>25.74</v>
      </c>
      <c r="F1466" s="379">
        <v>5.5113553575941693E-2</v>
      </c>
      <c r="G1466" s="25">
        <v>45.7</v>
      </c>
      <c r="H1466" s="379">
        <v>2.4644097064148842</v>
      </c>
      <c r="I1466" s="25">
        <v>44.26</v>
      </c>
      <c r="J1466" s="379">
        <v>1.3605549470073204</v>
      </c>
    </row>
    <row r="1467" spans="1:10" x14ac:dyDescent="0.35">
      <c r="A1467" s="5">
        <v>1463</v>
      </c>
      <c r="B1467" s="5">
        <v>61</v>
      </c>
      <c r="C1467" s="5">
        <v>3</v>
      </c>
      <c r="D1467" s="379">
        <v>59.896111111111104</v>
      </c>
      <c r="E1467" s="25">
        <v>25.29</v>
      </c>
      <c r="F1467" s="379">
        <v>3.2818063309411873</v>
      </c>
      <c r="G1467" s="25">
        <v>43.99</v>
      </c>
      <c r="H1467" s="379">
        <v>2.4644097064148842</v>
      </c>
      <c r="I1467" s="25">
        <v>43.96</v>
      </c>
      <c r="J1467" s="379">
        <v>1.3605549470073204</v>
      </c>
    </row>
    <row r="1468" spans="1:10" x14ac:dyDescent="0.35">
      <c r="A1468" s="5">
        <v>1464</v>
      </c>
      <c r="B1468" s="5">
        <v>61</v>
      </c>
      <c r="C1468" s="5">
        <v>3</v>
      </c>
      <c r="D1468" s="379">
        <v>61.296111111111109</v>
      </c>
      <c r="E1468" s="25">
        <v>25.29</v>
      </c>
      <c r="F1468" s="379">
        <v>3.2727733956087586</v>
      </c>
      <c r="G1468" s="25">
        <v>43.56</v>
      </c>
      <c r="H1468" s="379">
        <v>2.4644097064148842</v>
      </c>
      <c r="I1468" s="25">
        <v>37.24</v>
      </c>
      <c r="J1468" s="379">
        <v>1.3605549470073204</v>
      </c>
    </row>
    <row r="1469" spans="1:10" x14ac:dyDescent="0.35">
      <c r="A1469" s="5">
        <v>1465</v>
      </c>
      <c r="B1469" s="5">
        <v>62</v>
      </c>
      <c r="C1469" s="5">
        <v>3</v>
      </c>
      <c r="D1469" s="379">
        <v>68.028888888888886</v>
      </c>
      <c r="E1469" s="25">
        <v>24.84</v>
      </c>
      <c r="F1469" s="379">
        <v>3.2727733956087586</v>
      </c>
      <c r="G1469" s="25">
        <v>41.55</v>
      </c>
      <c r="H1469" s="379">
        <v>2.4644097064148842</v>
      </c>
      <c r="I1469" s="25">
        <v>34.07</v>
      </c>
      <c r="J1469" s="379">
        <v>1.3605549470073204</v>
      </c>
    </row>
    <row r="1470" spans="1:10" x14ac:dyDescent="0.35">
      <c r="A1470" s="5">
        <v>1466</v>
      </c>
      <c r="B1470" s="5">
        <v>62</v>
      </c>
      <c r="C1470" s="5">
        <v>3</v>
      </c>
      <c r="D1470" s="379">
        <v>66.900000000000006</v>
      </c>
      <c r="E1470" s="25">
        <v>24.84</v>
      </c>
      <c r="F1470" s="379">
        <v>3.2727733956087586</v>
      </c>
      <c r="G1470" s="25">
        <v>39.770000000000003</v>
      </c>
      <c r="H1470" s="379">
        <v>2.4644097064148842</v>
      </c>
      <c r="I1470" s="25">
        <v>34.07</v>
      </c>
      <c r="J1470" s="379">
        <v>1.3605549470073204</v>
      </c>
    </row>
    <row r="1471" spans="1:10" x14ac:dyDescent="0.35">
      <c r="A1471" s="5">
        <v>1467</v>
      </c>
      <c r="B1471" s="5">
        <v>62</v>
      </c>
      <c r="C1471" s="5">
        <v>3</v>
      </c>
      <c r="D1471" s="379">
        <v>65.48</v>
      </c>
      <c r="E1471" s="25">
        <v>24.84</v>
      </c>
      <c r="F1471" s="379">
        <v>3.2727733956087586</v>
      </c>
      <c r="G1471" s="25">
        <v>35.1</v>
      </c>
      <c r="H1471" s="379">
        <v>2.4644097064148842</v>
      </c>
      <c r="I1471" s="25">
        <v>34.07</v>
      </c>
      <c r="J1471" s="379">
        <v>1.3605549470073204</v>
      </c>
    </row>
    <row r="1472" spans="1:10" x14ac:dyDescent="0.35">
      <c r="A1472" s="5">
        <v>1468</v>
      </c>
      <c r="B1472" s="5">
        <v>62</v>
      </c>
      <c r="C1472" s="5">
        <v>3</v>
      </c>
      <c r="D1472" s="379">
        <v>64.694999999999993</v>
      </c>
      <c r="E1472" s="25">
        <v>24.84</v>
      </c>
      <c r="F1472" s="379">
        <v>3.2727733956087586</v>
      </c>
      <c r="G1472" s="25">
        <v>34.08</v>
      </c>
      <c r="H1472" s="379">
        <v>2.4644097064148842</v>
      </c>
      <c r="I1472" s="25">
        <v>34.07</v>
      </c>
      <c r="J1472" s="379">
        <v>1.3605549470073204</v>
      </c>
    </row>
    <row r="1473" spans="1:10" x14ac:dyDescent="0.35">
      <c r="A1473" s="5">
        <v>1469</v>
      </c>
      <c r="B1473" s="5">
        <v>62</v>
      </c>
      <c r="C1473" s="5">
        <v>3</v>
      </c>
      <c r="D1473" s="379">
        <v>65.184444444444452</v>
      </c>
      <c r="E1473" s="25">
        <v>24.84</v>
      </c>
      <c r="F1473" s="379">
        <v>3.2727733956087586</v>
      </c>
      <c r="G1473" s="25">
        <v>37.08</v>
      </c>
      <c r="H1473" s="379">
        <v>2.4644097064148842</v>
      </c>
      <c r="I1473" s="25">
        <v>34.07</v>
      </c>
      <c r="J1473" s="379">
        <v>1.3605549470073204</v>
      </c>
    </row>
    <row r="1474" spans="1:10" x14ac:dyDescent="0.35">
      <c r="A1474" s="5">
        <v>1470</v>
      </c>
      <c r="B1474" s="5">
        <v>62</v>
      </c>
      <c r="C1474" s="5">
        <v>3</v>
      </c>
      <c r="D1474" s="379">
        <v>70.256666666666661</v>
      </c>
      <c r="E1474" s="25">
        <v>24.84</v>
      </c>
      <c r="F1474" s="379">
        <v>3.2727733956087586</v>
      </c>
      <c r="G1474" s="25">
        <v>42.17</v>
      </c>
      <c r="H1474" s="379">
        <v>2.4644097064148842</v>
      </c>
      <c r="I1474" s="25">
        <v>34.07</v>
      </c>
      <c r="J1474" s="379">
        <v>1.3605549470073204</v>
      </c>
    </row>
    <row r="1475" spans="1:10" x14ac:dyDescent="0.35">
      <c r="A1475" s="5">
        <v>1471</v>
      </c>
      <c r="B1475" s="5">
        <v>62</v>
      </c>
      <c r="C1475" s="5">
        <v>3</v>
      </c>
      <c r="D1475" s="379">
        <v>77.450555555555553</v>
      </c>
      <c r="E1475" s="25">
        <v>25.29</v>
      </c>
      <c r="F1475" s="379">
        <v>3.2727733956087586</v>
      </c>
      <c r="G1475" s="25">
        <v>45.32</v>
      </c>
      <c r="H1475" s="379">
        <v>2.4644097064148842</v>
      </c>
      <c r="I1475" s="25">
        <v>36.65</v>
      </c>
      <c r="J1475" s="379">
        <v>1.3850477072701153</v>
      </c>
    </row>
    <row r="1476" spans="1:10" x14ac:dyDescent="0.35">
      <c r="A1476" s="5">
        <v>1472</v>
      </c>
      <c r="B1476" s="5">
        <v>62</v>
      </c>
      <c r="C1476" s="5">
        <v>3</v>
      </c>
      <c r="D1476" s="379">
        <v>82.001666666666665</v>
      </c>
      <c r="E1476" s="25">
        <v>25.74</v>
      </c>
      <c r="F1476" s="379">
        <v>3.2727733956087586</v>
      </c>
      <c r="G1476" s="25">
        <v>46.11</v>
      </c>
      <c r="H1476" s="379">
        <v>2.4644097064148842</v>
      </c>
      <c r="I1476" s="25">
        <v>43.96</v>
      </c>
      <c r="J1476" s="379">
        <v>1.4015391739100453</v>
      </c>
    </row>
    <row r="1477" spans="1:10" x14ac:dyDescent="0.35">
      <c r="A1477" s="5">
        <v>1473</v>
      </c>
      <c r="B1477" s="5">
        <v>62</v>
      </c>
      <c r="C1477" s="5">
        <v>3</v>
      </c>
      <c r="D1477" s="379">
        <v>81.816111111111113</v>
      </c>
      <c r="E1477" s="25">
        <v>25.74</v>
      </c>
      <c r="F1477" s="379">
        <v>3.2727733956087586</v>
      </c>
      <c r="G1477" s="25">
        <v>48.39</v>
      </c>
      <c r="H1477" s="379">
        <v>2.4644097064148842</v>
      </c>
      <c r="I1477" s="25">
        <v>45.88</v>
      </c>
      <c r="J1477" s="379">
        <v>1.4015391739100453</v>
      </c>
    </row>
    <row r="1478" spans="1:10" x14ac:dyDescent="0.35">
      <c r="A1478" s="5">
        <v>1474</v>
      </c>
      <c r="B1478" s="5">
        <v>62</v>
      </c>
      <c r="C1478" s="5">
        <v>3</v>
      </c>
      <c r="D1478" s="379">
        <v>78.44</v>
      </c>
      <c r="E1478" s="25">
        <v>25.74</v>
      </c>
      <c r="F1478" s="379">
        <v>3.2727733956087586</v>
      </c>
      <c r="G1478" s="25">
        <v>45.7</v>
      </c>
      <c r="H1478" s="379">
        <v>2.4644097064148842</v>
      </c>
      <c r="I1478" s="25">
        <v>44.82</v>
      </c>
      <c r="J1478" s="379">
        <v>2.777777777777778E-2</v>
      </c>
    </row>
    <row r="1479" spans="1:10" x14ac:dyDescent="0.35">
      <c r="A1479" s="5">
        <v>1475</v>
      </c>
      <c r="B1479" s="5">
        <v>62</v>
      </c>
      <c r="C1479" s="5">
        <v>3</v>
      </c>
      <c r="D1479" s="379">
        <v>68.977777777777789</v>
      </c>
      <c r="E1479" s="25">
        <v>25.74</v>
      </c>
      <c r="F1479" s="379">
        <v>3.2727733956087586</v>
      </c>
      <c r="G1479" s="25">
        <v>45.7</v>
      </c>
      <c r="H1479" s="379">
        <v>2.4644097064148842</v>
      </c>
      <c r="I1479" s="25">
        <v>37.369999999999997</v>
      </c>
      <c r="J1479" s="379">
        <v>2.777777777777778E-2</v>
      </c>
    </row>
    <row r="1480" spans="1:10" x14ac:dyDescent="0.35">
      <c r="A1480" s="5">
        <v>1476</v>
      </c>
      <c r="B1480" s="5">
        <v>62</v>
      </c>
      <c r="C1480" s="5">
        <v>3</v>
      </c>
      <c r="D1480" s="379">
        <v>65.435555555555553</v>
      </c>
      <c r="E1480" s="25">
        <v>25.29</v>
      </c>
      <c r="F1480" s="379">
        <v>3.2727733956087586</v>
      </c>
      <c r="G1480" s="25">
        <v>45.7</v>
      </c>
      <c r="H1480" s="379">
        <v>2.4644097064148842</v>
      </c>
      <c r="I1480" s="25">
        <v>36.65</v>
      </c>
      <c r="J1480" s="379">
        <v>2.777777777777778E-2</v>
      </c>
    </row>
    <row r="1481" spans="1:10" x14ac:dyDescent="0.35">
      <c r="A1481" s="5">
        <v>1477</v>
      </c>
      <c r="B1481" s="5">
        <v>62</v>
      </c>
      <c r="C1481" s="5">
        <v>3</v>
      </c>
      <c r="D1481" s="379">
        <v>70.316666666666663</v>
      </c>
      <c r="E1481" s="25">
        <v>25.29</v>
      </c>
      <c r="F1481" s="379">
        <v>3.2727733956087586</v>
      </c>
      <c r="G1481" s="25">
        <v>45.24</v>
      </c>
      <c r="H1481" s="379">
        <v>2.2489893605102833</v>
      </c>
      <c r="I1481" s="25">
        <v>36.65</v>
      </c>
      <c r="J1481" s="379">
        <v>2.777777777777778E-2</v>
      </c>
    </row>
    <row r="1482" spans="1:10" x14ac:dyDescent="0.35">
      <c r="A1482" s="5">
        <v>1478</v>
      </c>
      <c r="B1482" s="5">
        <v>62</v>
      </c>
      <c r="C1482" s="5">
        <v>3</v>
      </c>
      <c r="D1482" s="379">
        <v>70.807222222222222</v>
      </c>
      <c r="E1482" s="25">
        <v>25.29</v>
      </c>
      <c r="F1482" s="379">
        <v>3.2727733956087586</v>
      </c>
      <c r="G1482" s="25">
        <v>45.7</v>
      </c>
      <c r="H1482" s="379">
        <v>2.2489893605102833</v>
      </c>
      <c r="I1482" s="25">
        <v>36.65</v>
      </c>
      <c r="J1482" s="379">
        <v>2.777777777777778E-2</v>
      </c>
    </row>
    <row r="1483" spans="1:10" x14ac:dyDescent="0.35">
      <c r="A1483" s="5">
        <v>1479</v>
      </c>
      <c r="B1483" s="5">
        <v>62</v>
      </c>
      <c r="C1483" s="5">
        <v>3</v>
      </c>
      <c r="D1483" s="379">
        <v>68.563333333333347</v>
      </c>
      <c r="E1483" s="25">
        <v>25.74</v>
      </c>
      <c r="F1483" s="379">
        <v>3.2727733956087586</v>
      </c>
      <c r="G1483" s="25">
        <v>45.7</v>
      </c>
      <c r="H1483" s="379">
        <v>2.2864617371680129</v>
      </c>
      <c r="I1483" s="25">
        <v>43.96</v>
      </c>
      <c r="J1483" s="379">
        <v>2.777777777777778E-2</v>
      </c>
    </row>
    <row r="1484" spans="1:10" x14ac:dyDescent="0.35">
      <c r="A1484" s="5">
        <v>1480</v>
      </c>
      <c r="B1484" s="5">
        <v>62</v>
      </c>
      <c r="C1484" s="5">
        <v>3</v>
      </c>
      <c r="D1484" s="379">
        <v>69.217777777777783</v>
      </c>
      <c r="E1484" s="25">
        <v>25.74</v>
      </c>
      <c r="F1484" s="379">
        <v>3.2727733956087586</v>
      </c>
      <c r="G1484" s="25">
        <v>47.46</v>
      </c>
      <c r="H1484" s="379">
        <v>2.4644097064148842</v>
      </c>
      <c r="I1484" s="25">
        <v>51.72</v>
      </c>
      <c r="J1484" s="379">
        <v>2.777777777777778E-2</v>
      </c>
    </row>
    <row r="1485" spans="1:10" x14ac:dyDescent="0.35">
      <c r="A1485" s="5">
        <v>1481</v>
      </c>
      <c r="B1485" s="5">
        <v>62</v>
      </c>
      <c r="C1485" s="5">
        <v>3</v>
      </c>
      <c r="D1485" s="379">
        <v>75.441666666666677</v>
      </c>
      <c r="E1485" s="25">
        <v>25.74</v>
      </c>
      <c r="F1485" s="379">
        <v>3.2727733956087586</v>
      </c>
      <c r="G1485" s="25">
        <v>47.85</v>
      </c>
      <c r="H1485" s="379">
        <v>2.4644097064148842</v>
      </c>
      <c r="I1485" s="25">
        <v>60.46</v>
      </c>
      <c r="J1485" s="379">
        <v>2.777777777777778E-2</v>
      </c>
    </row>
    <row r="1486" spans="1:10" x14ac:dyDescent="0.35">
      <c r="A1486" s="5">
        <v>1482</v>
      </c>
      <c r="B1486" s="5">
        <v>62</v>
      </c>
      <c r="C1486" s="5">
        <v>3</v>
      </c>
      <c r="D1486" s="379">
        <v>87.456111111111099</v>
      </c>
      <c r="E1486" s="25">
        <v>27.3</v>
      </c>
      <c r="F1486" s="379">
        <v>1.6393121982564844</v>
      </c>
      <c r="G1486" s="25">
        <v>51.24</v>
      </c>
      <c r="H1486" s="379">
        <v>2.4644097064148842</v>
      </c>
      <c r="I1486" s="25">
        <v>131.34</v>
      </c>
      <c r="J1486" s="379">
        <v>0.97068013355627958</v>
      </c>
    </row>
    <row r="1487" spans="1:10" x14ac:dyDescent="0.35">
      <c r="A1487" s="5">
        <v>1483</v>
      </c>
      <c r="B1487" s="5">
        <v>62</v>
      </c>
      <c r="C1487" s="5">
        <v>3</v>
      </c>
      <c r="D1487" s="379">
        <v>96.084999999999994</v>
      </c>
      <c r="E1487" s="25">
        <v>28.8</v>
      </c>
      <c r="F1487" s="379">
        <v>8.1174834595959613</v>
      </c>
      <c r="G1487" s="25">
        <v>58.75</v>
      </c>
      <c r="H1487" s="379">
        <v>0.14480167642852412</v>
      </c>
      <c r="I1487" s="25">
        <v>772.12</v>
      </c>
      <c r="J1487" s="379">
        <v>0.14480167642852412</v>
      </c>
    </row>
    <row r="1488" spans="1:10" x14ac:dyDescent="0.35">
      <c r="A1488" s="5">
        <v>1484</v>
      </c>
      <c r="B1488" s="5">
        <v>62</v>
      </c>
      <c r="C1488" s="5">
        <v>3</v>
      </c>
      <c r="D1488" s="379">
        <v>90.476666666666674</v>
      </c>
      <c r="E1488" s="25">
        <v>28.12</v>
      </c>
      <c r="F1488" s="379">
        <v>3.382116121248004</v>
      </c>
      <c r="G1488" s="25">
        <v>57.04</v>
      </c>
      <c r="H1488" s="379">
        <v>0.14480167642852412</v>
      </c>
      <c r="I1488" s="25">
        <v>64.14</v>
      </c>
      <c r="J1488" s="379">
        <v>0.14480167642852412</v>
      </c>
    </row>
    <row r="1489" spans="1:10" x14ac:dyDescent="0.35">
      <c r="A1489" s="5">
        <v>1485</v>
      </c>
      <c r="B1489" s="5">
        <v>62</v>
      </c>
      <c r="C1489" s="5">
        <v>3</v>
      </c>
      <c r="D1489" s="379">
        <v>82.75333333333333</v>
      </c>
      <c r="E1489" s="25">
        <v>26.01</v>
      </c>
      <c r="F1489" s="379">
        <v>3.7361542845620814</v>
      </c>
      <c r="G1489" s="25">
        <v>52.67</v>
      </c>
      <c r="H1489" s="379">
        <v>2.777777777777778E-2</v>
      </c>
      <c r="I1489" s="25">
        <v>53.71</v>
      </c>
      <c r="J1489" s="379">
        <v>0.14480167642852412</v>
      </c>
    </row>
    <row r="1490" spans="1:10" x14ac:dyDescent="0.35">
      <c r="A1490" s="5">
        <v>1486</v>
      </c>
      <c r="B1490" s="5">
        <v>62</v>
      </c>
      <c r="C1490" s="5">
        <v>3</v>
      </c>
      <c r="D1490" s="379">
        <v>74.377222222222215</v>
      </c>
      <c r="E1490" s="25">
        <v>25.74</v>
      </c>
      <c r="F1490" s="379">
        <v>3.6918791263047206</v>
      </c>
      <c r="G1490" s="25">
        <v>46.11</v>
      </c>
      <c r="H1490" s="379">
        <v>2.4644097064148842</v>
      </c>
      <c r="I1490" s="25">
        <v>51.72</v>
      </c>
      <c r="J1490" s="379">
        <v>1.4015391739100453</v>
      </c>
    </row>
    <row r="1491" spans="1:10" x14ac:dyDescent="0.35">
      <c r="A1491" s="5">
        <v>1487</v>
      </c>
      <c r="B1491" s="5">
        <v>62</v>
      </c>
      <c r="C1491" s="5">
        <v>3</v>
      </c>
      <c r="D1491" s="379">
        <v>70.108333333333334</v>
      </c>
      <c r="E1491" s="25">
        <v>25.74</v>
      </c>
      <c r="F1491" s="379">
        <v>2.7917535805052172</v>
      </c>
      <c r="G1491" s="25">
        <v>48.39</v>
      </c>
      <c r="H1491" s="379">
        <v>2.4644097064148842</v>
      </c>
      <c r="I1491" s="25">
        <v>48.86</v>
      </c>
      <c r="J1491" s="379">
        <v>1.4015391739100453</v>
      </c>
    </row>
    <row r="1492" spans="1:10" x14ac:dyDescent="0.35">
      <c r="A1492" s="5">
        <v>1488</v>
      </c>
      <c r="B1492" s="5">
        <v>62</v>
      </c>
      <c r="C1492" s="5">
        <v>3</v>
      </c>
      <c r="D1492" s="379">
        <v>72.128888888888881</v>
      </c>
      <c r="E1492" s="25">
        <v>25.59</v>
      </c>
      <c r="F1492" s="379">
        <v>2.7917535805052172</v>
      </c>
      <c r="G1492" s="25">
        <v>45.7</v>
      </c>
      <c r="H1492" s="379">
        <v>2.4644097064148842</v>
      </c>
      <c r="I1492" s="25">
        <v>44.72</v>
      </c>
      <c r="J1492" s="379">
        <v>1.4015391739100453</v>
      </c>
    </row>
    <row r="1493" spans="1:10" x14ac:dyDescent="0.35">
      <c r="A1493" s="5">
        <v>1489</v>
      </c>
      <c r="B1493" s="5">
        <v>63</v>
      </c>
      <c r="C1493" s="5">
        <v>3</v>
      </c>
      <c r="D1493" s="379">
        <v>75.802222222222227</v>
      </c>
      <c r="E1493" s="25">
        <v>24.99</v>
      </c>
      <c r="F1493" s="379">
        <v>2.7917535805052172</v>
      </c>
      <c r="G1493" s="25">
        <v>43.56</v>
      </c>
      <c r="H1493" s="379">
        <v>2.6059013179540531</v>
      </c>
      <c r="I1493" s="25">
        <v>43.52</v>
      </c>
      <c r="J1493" s="379">
        <v>1.560445913492158</v>
      </c>
    </row>
    <row r="1494" spans="1:10" x14ac:dyDescent="0.35">
      <c r="A1494" s="5">
        <v>1490</v>
      </c>
      <c r="B1494" s="5">
        <v>63</v>
      </c>
      <c r="C1494" s="5">
        <v>3</v>
      </c>
      <c r="D1494" s="379">
        <v>74.789444444444442</v>
      </c>
      <c r="E1494" s="25">
        <v>24.84</v>
      </c>
      <c r="F1494" s="379">
        <v>1.7176212774259489</v>
      </c>
      <c r="G1494" s="25">
        <v>43.56</v>
      </c>
      <c r="H1494" s="379">
        <v>2.6059013179540531</v>
      </c>
      <c r="I1494" s="25">
        <v>43.52</v>
      </c>
      <c r="J1494" s="379">
        <v>3.3134937874330346</v>
      </c>
    </row>
    <row r="1495" spans="1:10" x14ac:dyDescent="0.35">
      <c r="A1495" s="5">
        <v>1491</v>
      </c>
      <c r="B1495" s="5">
        <v>63</v>
      </c>
      <c r="C1495" s="5">
        <v>3</v>
      </c>
      <c r="D1495" s="379">
        <v>71.62166666666667</v>
      </c>
      <c r="E1495" s="25">
        <v>24.84</v>
      </c>
      <c r="F1495" s="379">
        <v>1.2611727949239211</v>
      </c>
      <c r="G1495" s="25">
        <v>43.56</v>
      </c>
      <c r="H1495" s="379">
        <v>2.6059013179540531</v>
      </c>
      <c r="I1495" s="25">
        <v>36.869999999999997</v>
      </c>
      <c r="J1495" s="379">
        <v>3.3134937874330346</v>
      </c>
    </row>
    <row r="1496" spans="1:10" x14ac:dyDescent="0.35">
      <c r="A1496" s="5">
        <v>1492</v>
      </c>
      <c r="B1496" s="5">
        <v>63</v>
      </c>
      <c r="C1496" s="5">
        <v>3</v>
      </c>
      <c r="D1496" s="379">
        <v>68.678888888888892</v>
      </c>
      <c r="E1496" s="25">
        <v>24.84</v>
      </c>
      <c r="F1496" s="379">
        <v>1.9062220872650404</v>
      </c>
      <c r="G1496" s="25">
        <v>43.56</v>
      </c>
      <c r="H1496" s="379">
        <v>2.6059013179540531</v>
      </c>
      <c r="I1496" s="25">
        <v>35.799999999999997</v>
      </c>
      <c r="J1496" s="379">
        <v>3.3041771529394919</v>
      </c>
    </row>
    <row r="1497" spans="1:10" x14ac:dyDescent="0.35">
      <c r="A1497" s="5">
        <v>1493</v>
      </c>
      <c r="B1497" s="5">
        <v>63</v>
      </c>
      <c r="C1497" s="5">
        <v>3</v>
      </c>
      <c r="D1497" s="379">
        <v>70.972222222222214</v>
      </c>
      <c r="E1497" s="25">
        <v>24.84</v>
      </c>
      <c r="F1497" s="379">
        <v>2.4090444828466846</v>
      </c>
      <c r="G1497" s="25">
        <v>43.56</v>
      </c>
      <c r="H1497" s="379">
        <v>3.0451956489356862</v>
      </c>
      <c r="I1497" s="25">
        <v>34.75</v>
      </c>
      <c r="J1497" s="379">
        <v>3.3079366404428567</v>
      </c>
    </row>
    <row r="1498" spans="1:10" x14ac:dyDescent="0.35">
      <c r="A1498" s="5">
        <v>1494</v>
      </c>
      <c r="B1498" s="5">
        <v>63</v>
      </c>
      <c r="C1498" s="5">
        <v>3</v>
      </c>
      <c r="D1498" s="379">
        <v>76.952222222222204</v>
      </c>
      <c r="E1498" s="25">
        <v>24.84</v>
      </c>
      <c r="F1498" s="379">
        <v>1.5850394806788313</v>
      </c>
      <c r="G1498" s="25">
        <v>43.56</v>
      </c>
      <c r="H1498" s="379">
        <v>3.6802524283062299</v>
      </c>
      <c r="I1498" s="25">
        <v>43.52</v>
      </c>
      <c r="J1498" s="379">
        <v>3.317253274936399</v>
      </c>
    </row>
    <row r="1499" spans="1:10" x14ac:dyDescent="0.35">
      <c r="A1499" s="5">
        <v>1495</v>
      </c>
      <c r="B1499" s="5">
        <v>63</v>
      </c>
      <c r="C1499" s="5">
        <v>3</v>
      </c>
      <c r="D1499" s="379">
        <v>85.309999999999988</v>
      </c>
      <c r="E1499" s="25">
        <v>25.74</v>
      </c>
      <c r="F1499" s="379">
        <v>0.16600397351866578</v>
      </c>
      <c r="G1499" s="25">
        <v>46.11</v>
      </c>
      <c r="H1499" s="379">
        <v>3.6802524283062299</v>
      </c>
      <c r="I1499" s="25">
        <v>43.96</v>
      </c>
      <c r="J1499" s="379">
        <v>0.14480167642852412</v>
      </c>
    </row>
    <row r="1500" spans="1:10" x14ac:dyDescent="0.35">
      <c r="A1500" s="5">
        <v>1496</v>
      </c>
      <c r="B1500" s="5">
        <v>63</v>
      </c>
      <c r="C1500" s="5">
        <v>3</v>
      </c>
      <c r="D1500" s="379">
        <v>97.279999999999987</v>
      </c>
      <c r="E1500" s="25">
        <v>25.74</v>
      </c>
      <c r="F1500" s="379">
        <v>0.47222222222222221</v>
      </c>
      <c r="G1500" s="25">
        <v>52.67</v>
      </c>
      <c r="H1500" s="379">
        <v>3.6802524283062299</v>
      </c>
      <c r="I1500" s="25">
        <v>50.13</v>
      </c>
      <c r="J1500" s="379">
        <v>3.3561670263740253</v>
      </c>
    </row>
    <row r="1501" spans="1:10" x14ac:dyDescent="0.35">
      <c r="A1501" s="5">
        <v>1497</v>
      </c>
      <c r="B1501" s="5">
        <v>63</v>
      </c>
      <c r="C1501" s="5">
        <v>3</v>
      </c>
      <c r="D1501" s="379">
        <v>96.63000000000001</v>
      </c>
      <c r="E1501" s="25">
        <v>26.35</v>
      </c>
      <c r="F1501" s="379">
        <v>5.2140994449840878</v>
      </c>
      <c r="G1501" s="25">
        <v>52.67</v>
      </c>
      <c r="H1501" s="379">
        <v>3.6802524283062299</v>
      </c>
      <c r="I1501" s="25">
        <v>48.86</v>
      </c>
      <c r="J1501" s="379">
        <v>3.448677280088011</v>
      </c>
    </row>
    <row r="1502" spans="1:10" x14ac:dyDescent="0.35">
      <c r="A1502" s="5">
        <v>1498</v>
      </c>
      <c r="B1502" s="5">
        <v>63</v>
      </c>
      <c r="C1502" s="5">
        <v>3</v>
      </c>
      <c r="D1502" s="379">
        <v>86.161111111111111</v>
      </c>
      <c r="E1502" s="25">
        <v>26.05</v>
      </c>
      <c r="F1502" s="379">
        <v>1.0517360161143905</v>
      </c>
      <c r="G1502" s="25">
        <v>48.88</v>
      </c>
      <c r="H1502" s="379">
        <v>3.5548114623852434</v>
      </c>
      <c r="I1502" s="25">
        <v>46.64</v>
      </c>
      <c r="J1502" s="379">
        <v>3.3029366479384188</v>
      </c>
    </row>
    <row r="1503" spans="1:10" x14ac:dyDescent="0.35">
      <c r="A1503" s="5">
        <v>1499</v>
      </c>
      <c r="B1503" s="5">
        <v>63</v>
      </c>
      <c r="C1503" s="5">
        <v>3</v>
      </c>
      <c r="D1503" s="379">
        <v>79.623333333333335</v>
      </c>
      <c r="E1503" s="25">
        <v>25.74</v>
      </c>
      <c r="F1503" s="379">
        <v>2.2629000935785388</v>
      </c>
      <c r="G1503" s="25">
        <v>47.46</v>
      </c>
      <c r="H1503" s="379">
        <v>3.4374537719008478</v>
      </c>
      <c r="I1503" s="25">
        <v>43.96</v>
      </c>
      <c r="J1503" s="379">
        <v>0.16985966201189415</v>
      </c>
    </row>
    <row r="1504" spans="1:10" x14ac:dyDescent="0.35">
      <c r="A1504" s="5">
        <v>1500</v>
      </c>
      <c r="B1504" s="5">
        <v>63</v>
      </c>
      <c r="C1504" s="5">
        <v>3</v>
      </c>
      <c r="D1504" s="379">
        <v>83.492222222222225</v>
      </c>
      <c r="E1504" s="25">
        <v>25.59</v>
      </c>
      <c r="F1504" s="379">
        <v>2.7474500535990809</v>
      </c>
      <c r="G1504" s="25">
        <v>45.7</v>
      </c>
      <c r="H1504" s="379">
        <v>3.4374537719008478</v>
      </c>
      <c r="I1504" s="25">
        <v>43.52</v>
      </c>
      <c r="J1504" s="379">
        <v>0.16985966201189415</v>
      </c>
    </row>
    <row r="1505" spans="1:10" x14ac:dyDescent="0.35">
      <c r="A1505" s="5">
        <v>1501</v>
      </c>
      <c r="B1505" s="5">
        <v>63</v>
      </c>
      <c r="C1505" s="5">
        <v>3</v>
      </c>
      <c r="D1505" s="379">
        <v>81.300555555555562</v>
      </c>
      <c r="E1505" s="25">
        <v>25.29</v>
      </c>
      <c r="F1505" s="379">
        <v>2.3394497511935577</v>
      </c>
      <c r="G1505" s="25">
        <v>45.7</v>
      </c>
      <c r="H1505" s="379">
        <v>3.4374537719008478</v>
      </c>
      <c r="I1505" s="25">
        <v>43.52</v>
      </c>
      <c r="J1505" s="379">
        <v>0.16985966201189415</v>
      </c>
    </row>
    <row r="1506" spans="1:10" x14ac:dyDescent="0.35">
      <c r="A1506" s="5">
        <v>1502</v>
      </c>
      <c r="B1506" s="5">
        <v>63</v>
      </c>
      <c r="C1506" s="5">
        <v>3</v>
      </c>
      <c r="D1506" s="379">
        <v>74.38333333333334</v>
      </c>
      <c r="E1506" s="25">
        <v>25.29</v>
      </c>
      <c r="F1506" s="379">
        <v>2.4886173135825427</v>
      </c>
      <c r="G1506" s="25">
        <v>45.7</v>
      </c>
      <c r="H1506" s="379">
        <v>3.2595058026539769</v>
      </c>
      <c r="I1506" s="25">
        <v>43.52</v>
      </c>
      <c r="J1506" s="379">
        <v>0.12887543510916907</v>
      </c>
    </row>
    <row r="1507" spans="1:10" x14ac:dyDescent="0.35">
      <c r="A1507" s="5">
        <v>1503</v>
      </c>
      <c r="B1507" s="5">
        <v>63</v>
      </c>
      <c r="C1507" s="5">
        <v>3</v>
      </c>
      <c r="D1507" s="379">
        <v>72.062222222222232</v>
      </c>
      <c r="E1507" s="25">
        <v>25.29</v>
      </c>
      <c r="F1507" s="379">
        <v>0.12274156778866782</v>
      </c>
      <c r="G1507" s="25">
        <v>45.7</v>
      </c>
      <c r="H1507" s="379">
        <v>3.2595058026539769</v>
      </c>
      <c r="I1507" s="25">
        <v>43.96</v>
      </c>
      <c r="J1507" s="379">
        <v>0.12887543510916907</v>
      </c>
    </row>
    <row r="1508" spans="1:10" x14ac:dyDescent="0.35">
      <c r="A1508" s="5">
        <v>1504</v>
      </c>
      <c r="B1508" s="5">
        <v>63</v>
      </c>
      <c r="C1508" s="5">
        <v>3</v>
      </c>
      <c r="D1508" s="379">
        <v>73.656111111111102</v>
      </c>
      <c r="E1508" s="25">
        <v>25.74</v>
      </c>
      <c r="F1508" s="379">
        <v>2.2050260885692121</v>
      </c>
      <c r="G1508" s="25">
        <v>46.11</v>
      </c>
      <c r="H1508" s="379">
        <v>2.7839820581936987</v>
      </c>
      <c r="I1508" s="25">
        <v>48.04</v>
      </c>
      <c r="J1508" s="379">
        <v>0.16985966201189415</v>
      </c>
    </row>
    <row r="1509" spans="1:10" x14ac:dyDescent="0.35">
      <c r="A1509" s="5">
        <v>1505</v>
      </c>
      <c r="B1509" s="5">
        <v>63</v>
      </c>
      <c r="C1509" s="5">
        <v>3</v>
      </c>
      <c r="D1509" s="379">
        <v>81.489999999999995</v>
      </c>
      <c r="E1509" s="25">
        <v>25.74</v>
      </c>
      <c r="F1509" s="379">
        <v>2.0458495926207068</v>
      </c>
      <c r="G1509" s="25">
        <v>46.98</v>
      </c>
      <c r="H1509" s="379">
        <v>3.4743204463274036</v>
      </c>
      <c r="I1509" s="25">
        <v>48.86</v>
      </c>
      <c r="J1509" s="379">
        <v>0.17366821414503561</v>
      </c>
    </row>
    <row r="1510" spans="1:10" x14ac:dyDescent="0.35">
      <c r="A1510" s="5">
        <v>1506</v>
      </c>
      <c r="B1510" s="5">
        <v>63</v>
      </c>
      <c r="C1510" s="5">
        <v>3</v>
      </c>
      <c r="D1510" s="379">
        <v>91.891111111111101</v>
      </c>
      <c r="E1510" s="25">
        <v>25.74</v>
      </c>
      <c r="F1510" s="379">
        <v>8.1174834595959595</v>
      </c>
      <c r="G1510" s="25">
        <v>51.14</v>
      </c>
      <c r="H1510" s="379">
        <v>4.4271698245461106</v>
      </c>
      <c r="I1510" s="25">
        <v>53.71</v>
      </c>
      <c r="J1510" s="379">
        <v>2.0919308852138316</v>
      </c>
    </row>
    <row r="1511" spans="1:10" x14ac:dyDescent="0.35">
      <c r="A1511" s="5">
        <v>1507</v>
      </c>
      <c r="B1511" s="5">
        <v>63</v>
      </c>
      <c r="C1511" s="5">
        <v>3</v>
      </c>
      <c r="D1511" s="379">
        <v>102.49277777777777</v>
      </c>
      <c r="E1511" s="25">
        <v>27.3</v>
      </c>
      <c r="F1511" s="379">
        <v>8.8319264645847149</v>
      </c>
      <c r="G1511" s="25">
        <v>62.12</v>
      </c>
      <c r="H1511" s="379">
        <v>5.450952340938171</v>
      </c>
      <c r="I1511" s="25">
        <v>71.61</v>
      </c>
      <c r="J1511" s="379">
        <v>0.38590018523105141</v>
      </c>
    </row>
    <row r="1512" spans="1:10" x14ac:dyDescent="0.35">
      <c r="A1512" s="5">
        <v>1508</v>
      </c>
      <c r="B1512" s="5">
        <v>63</v>
      </c>
      <c r="C1512" s="5">
        <v>3</v>
      </c>
      <c r="D1512" s="379">
        <v>96.222777777777765</v>
      </c>
      <c r="E1512" s="25">
        <v>28.12</v>
      </c>
      <c r="F1512" s="379">
        <v>8.8952686552098061</v>
      </c>
      <c r="G1512" s="25">
        <v>64.2</v>
      </c>
      <c r="H1512" s="379">
        <v>5.4497881856727917</v>
      </c>
      <c r="I1512" s="25">
        <v>71.61</v>
      </c>
      <c r="J1512" s="379">
        <v>1.432829379647415</v>
      </c>
    </row>
    <row r="1513" spans="1:10" x14ac:dyDescent="0.35">
      <c r="A1513" s="5">
        <v>1509</v>
      </c>
      <c r="B1513" s="5">
        <v>63</v>
      </c>
      <c r="C1513" s="5">
        <v>3</v>
      </c>
      <c r="D1513" s="379">
        <v>84.566666666666649</v>
      </c>
      <c r="E1513" s="25">
        <v>26.51</v>
      </c>
      <c r="F1513" s="379">
        <v>8.88537331075268</v>
      </c>
      <c r="G1513" s="25">
        <v>55.78</v>
      </c>
      <c r="H1513" s="379">
        <v>4.9672796697971116</v>
      </c>
      <c r="I1513" s="25">
        <v>66.06</v>
      </c>
      <c r="J1513" s="379">
        <v>1.7122655903372814</v>
      </c>
    </row>
    <row r="1514" spans="1:10" x14ac:dyDescent="0.35">
      <c r="A1514" s="5">
        <v>1510</v>
      </c>
      <c r="B1514" s="5">
        <v>63</v>
      </c>
      <c r="C1514" s="5">
        <v>3</v>
      </c>
      <c r="D1514" s="379">
        <v>82.847777777777779</v>
      </c>
      <c r="E1514" s="25">
        <v>25.74</v>
      </c>
      <c r="F1514" s="379">
        <v>8.1174834595959613</v>
      </c>
      <c r="G1514" s="25">
        <v>48.88</v>
      </c>
      <c r="H1514" s="379">
        <v>4.9714737897966499</v>
      </c>
      <c r="I1514" s="25">
        <v>56.15</v>
      </c>
      <c r="J1514" s="379">
        <v>2.1639528560833696</v>
      </c>
    </row>
    <row r="1515" spans="1:10" x14ac:dyDescent="0.35">
      <c r="A1515" s="5">
        <v>1511</v>
      </c>
      <c r="B1515" s="5">
        <v>63</v>
      </c>
      <c r="C1515" s="5">
        <v>3</v>
      </c>
      <c r="D1515" s="379">
        <v>80.384444444444441</v>
      </c>
      <c r="E1515" s="25">
        <v>25.74</v>
      </c>
      <c r="F1515" s="379">
        <v>8.1174834595959577</v>
      </c>
      <c r="G1515" s="25">
        <v>49.28</v>
      </c>
      <c r="H1515" s="379">
        <v>4.971403442557893</v>
      </c>
      <c r="I1515" s="25">
        <v>53.71</v>
      </c>
      <c r="J1515" s="379">
        <v>2.2502191674475251</v>
      </c>
    </row>
    <row r="1516" spans="1:10" x14ac:dyDescent="0.35">
      <c r="A1516" s="5">
        <v>1512</v>
      </c>
      <c r="B1516" s="5">
        <v>63</v>
      </c>
      <c r="C1516" s="5">
        <v>3</v>
      </c>
      <c r="D1516" s="379">
        <v>78.930000000000007</v>
      </c>
      <c r="E1516" s="25">
        <v>25.74</v>
      </c>
      <c r="F1516" s="379">
        <v>8.1174834595959595</v>
      </c>
      <c r="G1516" s="25">
        <v>47.41</v>
      </c>
      <c r="H1516" s="379">
        <v>4.9762234065848316</v>
      </c>
      <c r="I1516" s="25">
        <v>53.71</v>
      </c>
      <c r="J1516" s="379">
        <v>4.6253630454116363</v>
      </c>
    </row>
    <row r="1517" spans="1:10" x14ac:dyDescent="0.35">
      <c r="A1517" s="5">
        <v>1513</v>
      </c>
      <c r="B1517" s="5">
        <v>64</v>
      </c>
      <c r="C1517" s="5">
        <v>3</v>
      </c>
      <c r="D1517" s="379">
        <v>77.963888888888874</v>
      </c>
      <c r="E1517" s="25">
        <v>24.99</v>
      </c>
      <c r="F1517" s="379">
        <v>8.1174834595959577</v>
      </c>
      <c r="G1517" s="25">
        <v>47.46</v>
      </c>
      <c r="H1517" s="379">
        <v>7.7014720985204441</v>
      </c>
      <c r="I1517" s="25">
        <v>56.15</v>
      </c>
      <c r="J1517" s="379">
        <v>2.8835196373468053</v>
      </c>
    </row>
    <row r="1518" spans="1:10" x14ac:dyDescent="0.35">
      <c r="A1518" s="5">
        <v>1514</v>
      </c>
      <c r="B1518" s="5">
        <v>64</v>
      </c>
      <c r="C1518" s="5">
        <v>3</v>
      </c>
      <c r="D1518" s="379">
        <v>77.921111111111102</v>
      </c>
      <c r="E1518" s="25">
        <v>24.84</v>
      </c>
      <c r="F1518" s="379">
        <v>8.1174834595959577</v>
      </c>
      <c r="G1518" s="25">
        <v>47.41</v>
      </c>
      <c r="H1518" s="379">
        <v>7.7014720985204441</v>
      </c>
      <c r="I1518" s="25">
        <v>56.15</v>
      </c>
      <c r="J1518" s="379">
        <v>4.0201761461691374</v>
      </c>
    </row>
    <row r="1519" spans="1:10" x14ac:dyDescent="0.35">
      <c r="A1519" s="5">
        <v>1515</v>
      </c>
      <c r="B1519" s="5">
        <v>64</v>
      </c>
      <c r="C1519" s="5">
        <v>3</v>
      </c>
      <c r="D1519" s="379">
        <v>75.553888888888892</v>
      </c>
      <c r="E1519" s="25">
        <v>24.84</v>
      </c>
      <c r="F1519" s="379">
        <v>8.1174834595959595</v>
      </c>
      <c r="G1519" s="25">
        <v>47.41</v>
      </c>
      <c r="H1519" s="379">
        <v>7.6435564954684843</v>
      </c>
      <c r="I1519" s="25">
        <v>60.46</v>
      </c>
      <c r="J1519" s="379">
        <v>3.4324551948406992</v>
      </c>
    </row>
    <row r="1520" spans="1:10" x14ac:dyDescent="0.35">
      <c r="A1520" s="5">
        <v>1516</v>
      </c>
      <c r="B1520" s="5">
        <v>64</v>
      </c>
      <c r="C1520" s="5">
        <v>3</v>
      </c>
      <c r="D1520" s="379">
        <v>71.173888888888882</v>
      </c>
      <c r="E1520" s="25">
        <v>24.84</v>
      </c>
      <c r="F1520" s="379">
        <v>8.1174834595959595</v>
      </c>
      <c r="G1520" s="25">
        <v>47.41</v>
      </c>
      <c r="H1520" s="379">
        <v>7.4387868943694579</v>
      </c>
      <c r="I1520" s="25">
        <v>64.14</v>
      </c>
      <c r="J1520" s="379">
        <v>4.7983152743604043</v>
      </c>
    </row>
    <row r="1521" spans="1:10" x14ac:dyDescent="0.35">
      <c r="A1521" s="5">
        <v>1517</v>
      </c>
      <c r="B1521" s="5">
        <v>64</v>
      </c>
      <c r="C1521" s="5">
        <v>3</v>
      </c>
      <c r="D1521" s="379">
        <v>71.294444444444451</v>
      </c>
      <c r="E1521" s="25">
        <v>24.84</v>
      </c>
      <c r="F1521" s="379">
        <v>8.6818587842621699</v>
      </c>
      <c r="G1521" s="25">
        <v>47.85</v>
      </c>
      <c r="H1521" s="379">
        <v>7.6059470502960993</v>
      </c>
      <c r="I1521" s="25">
        <v>68.05</v>
      </c>
      <c r="J1521" s="379">
        <v>3.9056515581433078</v>
      </c>
    </row>
    <row r="1522" spans="1:10" x14ac:dyDescent="0.35">
      <c r="A1522" s="5">
        <v>1518</v>
      </c>
      <c r="B1522" s="5">
        <v>64</v>
      </c>
      <c r="C1522" s="5">
        <v>3</v>
      </c>
      <c r="D1522" s="379">
        <v>72.934444444444452</v>
      </c>
      <c r="E1522" s="25">
        <v>24.99</v>
      </c>
      <c r="F1522" s="379">
        <v>9.9714096876512226</v>
      </c>
      <c r="G1522" s="25">
        <v>49.15</v>
      </c>
      <c r="H1522" s="379">
        <v>7.764426955235936</v>
      </c>
      <c r="I1522" s="25">
        <v>72.19</v>
      </c>
      <c r="J1522" s="379">
        <v>3.6224159852389866</v>
      </c>
    </row>
    <row r="1523" spans="1:10" x14ac:dyDescent="0.35">
      <c r="A1523" s="5">
        <v>1519</v>
      </c>
      <c r="B1523" s="5">
        <v>64</v>
      </c>
      <c r="C1523" s="5">
        <v>3</v>
      </c>
      <c r="D1523" s="379">
        <v>76.676666666666662</v>
      </c>
      <c r="E1523" s="25">
        <v>26.51</v>
      </c>
      <c r="F1523" s="379">
        <v>10.064691203528435</v>
      </c>
      <c r="G1523" s="25">
        <v>55.88</v>
      </c>
      <c r="H1523" s="379">
        <v>7.6704427733827067</v>
      </c>
      <c r="I1523" s="25">
        <v>603.30999999999995</v>
      </c>
      <c r="J1523" s="379">
        <v>3.4217302712782658</v>
      </c>
    </row>
    <row r="1524" spans="1:10" x14ac:dyDescent="0.35">
      <c r="A1524" s="5">
        <v>1520</v>
      </c>
      <c r="B1524" s="5">
        <v>64</v>
      </c>
      <c r="C1524" s="5">
        <v>3</v>
      </c>
      <c r="D1524" s="379">
        <v>77.651666666666657</v>
      </c>
      <c r="E1524" s="25">
        <v>29.83</v>
      </c>
      <c r="F1524" s="379">
        <v>9.9062032703522718</v>
      </c>
      <c r="G1524" s="25">
        <v>62.12</v>
      </c>
      <c r="H1524" s="379">
        <v>7.5655787995168744</v>
      </c>
      <c r="I1524" s="25">
        <v>843.72</v>
      </c>
      <c r="J1524" s="379">
        <v>5.3325583892907042</v>
      </c>
    </row>
    <row r="1525" spans="1:10" x14ac:dyDescent="0.35">
      <c r="A1525" s="5">
        <v>1521</v>
      </c>
      <c r="B1525" s="5">
        <v>64</v>
      </c>
      <c r="C1525" s="5">
        <v>3</v>
      </c>
      <c r="D1525" s="379">
        <v>76.772222222222226</v>
      </c>
      <c r="E1525" s="25">
        <v>36.94</v>
      </c>
      <c r="F1525" s="379">
        <v>9.5414296901591502</v>
      </c>
      <c r="G1525" s="25">
        <v>62.12</v>
      </c>
      <c r="H1525" s="379">
        <v>5.0551470141663781</v>
      </c>
      <c r="I1525" s="25">
        <v>869.03</v>
      </c>
      <c r="J1525" s="379">
        <v>0.27777777777777779</v>
      </c>
    </row>
    <row r="1526" spans="1:10" x14ac:dyDescent="0.35">
      <c r="A1526" s="5">
        <v>1522</v>
      </c>
      <c r="B1526" s="5">
        <v>64</v>
      </c>
      <c r="C1526" s="5">
        <v>3</v>
      </c>
      <c r="D1526" s="379">
        <v>77.403888888888886</v>
      </c>
      <c r="E1526" s="25">
        <v>36.94</v>
      </c>
      <c r="F1526" s="379">
        <v>9.2321054833218579</v>
      </c>
      <c r="G1526" s="25">
        <v>62.12</v>
      </c>
      <c r="H1526" s="379">
        <v>6.4356119250268486</v>
      </c>
      <c r="I1526" s="25">
        <v>640.05999999999995</v>
      </c>
      <c r="J1526" s="379">
        <v>0.27777777777777779</v>
      </c>
    </row>
    <row r="1527" spans="1:10" x14ac:dyDescent="0.35">
      <c r="A1527" s="5">
        <v>1523</v>
      </c>
      <c r="B1527" s="5">
        <v>64</v>
      </c>
      <c r="C1527" s="5">
        <v>3</v>
      </c>
      <c r="D1527" s="379">
        <v>77.162777777777777</v>
      </c>
      <c r="E1527" s="25">
        <v>36.94</v>
      </c>
      <c r="F1527" s="379">
        <v>8.6617301050526052</v>
      </c>
      <c r="G1527" s="25">
        <v>62.12</v>
      </c>
      <c r="H1527" s="379">
        <v>6.9767548867055122</v>
      </c>
      <c r="I1527" s="25">
        <v>603.30999999999995</v>
      </c>
      <c r="J1527" s="379">
        <v>0.27777777777777779</v>
      </c>
    </row>
    <row r="1528" spans="1:10" x14ac:dyDescent="0.35">
      <c r="A1528" s="5">
        <v>1524</v>
      </c>
      <c r="B1528" s="5">
        <v>64</v>
      </c>
      <c r="C1528" s="5">
        <v>3</v>
      </c>
      <c r="D1528" s="379">
        <v>73.188333333333333</v>
      </c>
      <c r="E1528" s="25">
        <v>36.94</v>
      </c>
      <c r="F1528" s="379">
        <v>8.1174834595959577</v>
      </c>
      <c r="G1528" s="25">
        <v>62.12</v>
      </c>
      <c r="H1528" s="379">
        <v>8.194274214884663</v>
      </c>
      <c r="I1528" s="25">
        <v>603.30999999999995</v>
      </c>
      <c r="J1528" s="379">
        <v>2.4506938854309408</v>
      </c>
    </row>
    <row r="1529" spans="1:10" x14ac:dyDescent="0.35">
      <c r="A1529" s="5">
        <v>1525</v>
      </c>
      <c r="B1529" s="5">
        <v>64</v>
      </c>
      <c r="C1529" s="5">
        <v>3</v>
      </c>
      <c r="D1529" s="379">
        <v>71.72444444444443</v>
      </c>
      <c r="E1529" s="25">
        <v>36.94</v>
      </c>
      <c r="F1529" s="379">
        <v>8.1174834595959577</v>
      </c>
      <c r="G1529" s="25">
        <v>62.12</v>
      </c>
      <c r="H1529" s="379">
        <v>6.8561059153811685</v>
      </c>
      <c r="I1529" s="25">
        <v>544.04999999999995</v>
      </c>
      <c r="J1529" s="379">
        <v>0.27777777777777779</v>
      </c>
    </row>
    <row r="1530" spans="1:10" x14ac:dyDescent="0.35">
      <c r="A1530" s="5">
        <v>1526</v>
      </c>
      <c r="B1530" s="5">
        <v>64</v>
      </c>
      <c r="C1530" s="5">
        <v>3</v>
      </c>
      <c r="D1530" s="379">
        <v>69.073333333333323</v>
      </c>
      <c r="E1530" s="25">
        <v>36.94</v>
      </c>
      <c r="F1530" s="379">
        <v>8.1174834595959595</v>
      </c>
      <c r="G1530" s="25">
        <v>62.12</v>
      </c>
      <c r="H1530" s="379">
        <v>6.2936216692652955</v>
      </c>
      <c r="I1530" s="25">
        <v>544.04999999999995</v>
      </c>
      <c r="J1530" s="379">
        <v>0.27777777777777779</v>
      </c>
    </row>
    <row r="1531" spans="1:10" x14ac:dyDescent="0.35">
      <c r="A1531" s="5">
        <v>1527</v>
      </c>
      <c r="B1531" s="5">
        <v>64</v>
      </c>
      <c r="C1531" s="5">
        <v>3</v>
      </c>
      <c r="D1531" s="379">
        <v>64.711111111111109</v>
      </c>
      <c r="E1531" s="25">
        <v>36.94</v>
      </c>
      <c r="F1531" s="379">
        <v>8.2785893719678505</v>
      </c>
      <c r="G1531" s="25">
        <v>62.12</v>
      </c>
      <c r="H1531" s="379">
        <v>6.8084546817544869</v>
      </c>
      <c r="I1531" s="25">
        <v>544.04999999999995</v>
      </c>
      <c r="J1531" s="379">
        <v>0.27777777777777779</v>
      </c>
    </row>
    <row r="1532" spans="1:10" x14ac:dyDescent="0.35">
      <c r="A1532" s="5">
        <v>1528</v>
      </c>
      <c r="B1532" s="5">
        <v>64</v>
      </c>
      <c r="C1532" s="5">
        <v>3</v>
      </c>
      <c r="D1532" s="379">
        <v>67.560555555555553</v>
      </c>
      <c r="E1532" s="25">
        <v>36.94</v>
      </c>
      <c r="F1532" s="379">
        <v>8.3218891726835764</v>
      </c>
      <c r="G1532" s="25">
        <v>62.12</v>
      </c>
      <c r="H1532" s="379">
        <v>6.58660845060139</v>
      </c>
      <c r="I1532" s="25">
        <v>544.04999999999995</v>
      </c>
      <c r="J1532" s="379">
        <v>0.27777777777777779</v>
      </c>
    </row>
    <row r="1533" spans="1:10" x14ac:dyDescent="0.35">
      <c r="A1533" s="5">
        <v>1529</v>
      </c>
      <c r="B1533" s="5">
        <v>64</v>
      </c>
      <c r="C1533" s="5">
        <v>3</v>
      </c>
      <c r="D1533" s="379">
        <v>74.425555555555562</v>
      </c>
      <c r="E1533" s="25">
        <v>36.94</v>
      </c>
      <c r="F1533" s="379">
        <v>9.3921081502561297</v>
      </c>
      <c r="G1533" s="25">
        <v>62.12</v>
      </c>
      <c r="H1533" s="379">
        <v>7.3870672055787834</v>
      </c>
      <c r="I1533" s="25">
        <v>603.30999999999995</v>
      </c>
      <c r="J1533" s="379">
        <v>0.27777777777777779</v>
      </c>
    </row>
    <row r="1534" spans="1:10" x14ac:dyDescent="0.35">
      <c r="A1534" s="5">
        <v>1530</v>
      </c>
      <c r="B1534" s="5">
        <v>64</v>
      </c>
      <c r="C1534" s="5">
        <v>3</v>
      </c>
      <c r="D1534" s="379">
        <v>83.11611111111111</v>
      </c>
      <c r="E1534" s="25">
        <v>36.94</v>
      </c>
      <c r="F1534" s="379">
        <v>18.736709526931431</v>
      </c>
      <c r="G1534" s="25">
        <v>62.12</v>
      </c>
      <c r="H1534" s="379">
        <v>9.1484835222769512</v>
      </c>
      <c r="I1534" s="25">
        <v>843.72</v>
      </c>
      <c r="J1534" s="379">
        <v>2.2502191674475251</v>
      </c>
    </row>
    <row r="1535" spans="1:10" x14ac:dyDescent="0.35">
      <c r="A1535" s="5">
        <v>1531</v>
      </c>
      <c r="B1535" s="5">
        <v>64</v>
      </c>
      <c r="C1535" s="5">
        <v>3</v>
      </c>
      <c r="D1535" s="379">
        <v>92.536111111111111</v>
      </c>
      <c r="E1535" s="25">
        <v>36.94</v>
      </c>
      <c r="F1535" s="379">
        <v>16.765475408673336</v>
      </c>
      <c r="G1535" s="25">
        <v>64.2</v>
      </c>
      <c r="H1535" s="379">
        <v>10.330124975547497</v>
      </c>
      <c r="I1535" s="25">
        <v>843.72</v>
      </c>
      <c r="J1535" s="379">
        <v>2.0944744219759466</v>
      </c>
    </row>
    <row r="1536" spans="1:10" x14ac:dyDescent="0.35">
      <c r="A1536" s="5">
        <v>1532</v>
      </c>
      <c r="B1536" s="5">
        <v>64</v>
      </c>
      <c r="C1536" s="5">
        <v>3</v>
      </c>
      <c r="D1536" s="379">
        <v>85.220555555555563</v>
      </c>
      <c r="E1536" s="25">
        <v>36.94</v>
      </c>
      <c r="F1536" s="379">
        <v>14.055659774860759</v>
      </c>
      <c r="G1536" s="25">
        <v>65.69</v>
      </c>
      <c r="H1536" s="379">
        <v>4.799693804694658</v>
      </c>
      <c r="I1536" s="25">
        <v>843.72</v>
      </c>
      <c r="J1536" s="379">
        <v>2.2502191674475251</v>
      </c>
    </row>
    <row r="1537" spans="1:10" x14ac:dyDescent="0.35">
      <c r="A1537" s="5">
        <v>1533</v>
      </c>
      <c r="B1537" s="5">
        <v>64</v>
      </c>
      <c r="C1537" s="5">
        <v>3</v>
      </c>
      <c r="D1537" s="379">
        <v>79.670555555555566</v>
      </c>
      <c r="E1537" s="25">
        <v>35.869999999999997</v>
      </c>
      <c r="F1537" s="379">
        <v>15.960946935982641</v>
      </c>
      <c r="G1537" s="25">
        <v>62.12</v>
      </c>
      <c r="H1537" s="379">
        <v>10.330124975547497</v>
      </c>
      <c r="I1537" s="25">
        <v>640.05999999999995</v>
      </c>
      <c r="J1537" s="379">
        <v>2.2502191674475251</v>
      </c>
    </row>
    <row r="1538" spans="1:10" x14ac:dyDescent="0.35">
      <c r="A1538" s="5">
        <v>1534</v>
      </c>
      <c r="B1538" s="5">
        <v>64</v>
      </c>
      <c r="C1538" s="5">
        <v>3</v>
      </c>
      <c r="D1538" s="379">
        <v>77.177777777777791</v>
      </c>
      <c r="E1538" s="25">
        <v>28.8</v>
      </c>
      <c r="F1538" s="379">
        <v>15.659274675088852</v>
      </c>
      <c r="G1538" s="25">
        <v>57.04</v>
      </c>
      <c r="H1538" s="379">
        <v>4.799693804694658</v>
      </c>
      <c r="I1538" s="25">
        <v>156.82</v>
      </c>
      <c r="J1538" s="379">
        <v>3.9277710536806079</v>
      </c>
    </row>
    <row r="1539" spans="1:10" x14ac:dyDescent="0.35">
      <c r="A1539" s="5">
        <v>1535</v>
      </c>
      <c r="B1539" s="5">
        <v>64</v>
      </c>
      <c r="C1539" s="5">
        <v>3</v>
      </c>
      <c r="D1539" s="379">
        <v>74.578333333333333</v>
      </c>
      <c r="E1539" s="25">
        <v>28.12</v>
      </c>
      <c r="F1539" s="379">
        <v>13.994423051235977</v>
      </c>
      <c r="G1539" s="25">
        <v>55.88</v>
      </c>
      <c r="H1539" s="379">
        <v>10.020240878908615</v>
      </c>
      <c r="I1539" s="25">
        <v>177.44</v>
      </c>
      <c r="J1539" s="379">
        <v>1.8923278611845908</v>
      </c>
    </row>
    <row r="1540" spans="1:10" x14ac:dyDescent="0.35">
      <c r="A1540" s="5">
        <v>1536</v>
      </c>
      <c r="B1540" s="5">
        <v>64</v>
      </c>
      <c r="C1540" s="5">
        <v>3</v>
      </c>
      <c r="D1540" s="379">
        <v>77.364444444444445</v>
      </c>
      <c r="E1540" s="25">
        <v>26.51</v>
      </c>
      <c r="F1540" s="379">
        <v>11.227806706562085</v>
      </c>
      <c r="G1540" s="25">
        <v>55.38</v>
      </c>
      <c r="H1540" s="379">
        <v>10.50660912252372</v>
      </c>
      <c r="I1540" s="25">
        <v>177.44</v>
      </c>
      <c r="J1540" s="379">
        <v>4.007113580410179</v>
      </c>
    </row>
    <row r="1541" spans="1:10" x14ac:dyDescent="0.35">
      <c r="A1541" s="5">
        <v>1537</v>
      </c>
      <c r="B1541" s="5">
        <v>65</v>
      </c>
      <c r="C1541" s="5">
        <v>3</v>
      </c>
      <c r="D1541" s="379">
        <v>80.013888888888886</v>
      </c>
      <c r="E1541" s="25">
        <v>25.74</v>
      </c>
      <c r="F1541" s="379">
        <v>9.8316267220250797</v>
      </c>
      <c r="G1541" s="25">
        <v>47.85</v>
      </c>
      <c r="H1541" s="379">
        <v>9.6815885454270667</v>
      </c>
      <c r="I1541" s="25">
        <v>68.05</v>
      </c>
      <c r="J1541" s="379">
        <v>5.1256285864567408</v>
      </c>
    </row>
    <row r="1542" spans="1:10" x14ac:dyDescent="0.35">
      <c r="A1542" s="5">
        <v>1538</v>
      </c>
      <c r="B1542" s="5">
        <v>65</v>
      </c>
      <c r="C1542" s="5">
        <v>3</v>
      </c>
      <c r="D1542" s="379">
        <v>76.78</v>
      </c>
      <c r="E1542" s="25">
        <v>25.74</v>
      </c>
      <c r="F1542" s="379">
        <v>5.9893653033378671</v>
      </c>
      <c r="G1542" s="25">
        <v>47.85</v>
      </c>
      <c r="H1542" s="379">
        <v>8.9376600859776492</v>
      </c>
      <c r="I1542" s="25">
        <v>66.06</v>
      </c>
      <c r="J1542" s="379">
        <v>4.8357326888372771</v>
      </c>
    </row>
    <row r="1543" spans="1:10" x14ac:dyDescent="0.35">
      <c r="A1543" s="5">
        <v>1539</v>
      </c>
      <c r="B1543" s="5">
        <v>65</v>
      </c>
      <c r="C1543" s="5">
        <v>3</v>
      </c>
      <c r="D1543" s="379">
        <v>73.458888888888907</v>
      </c>
      <c r="E1543" s="25">
        <v>25.29</v>
      </c>
      <c r="F1543" s="379">
        <v>6.4156009029960019</v>
      </c>
      <c r="G1543" s="25">
        <v>46.98</v>
      </c>
      <c r="H1543" s="379">
        <v>8.4642634712594553</v>
      </c>
      <c r="I1543" s="25">
        <v>62.27</v>
      </c>
      <c r="J1543" s="379">
        <v>4.9490891801406072</v>
      </c>
    </row>
    <row r="1544" spans="1:10" x14ac:dyDescent="0.35">
      <c r="A1544" s="5">
        <v>1540</v>
      </c>
      <c r="B1544" s="5">
        <v>65</v>
      </c>
      <c r="C1544" s="5">
        <v>3</v>
      </c>
      <c r="D1544" s="379">
        <v>71.723333333333329</v>
      </c>
      <c r="E1544" s="25">
        <v>24.84</v>
      </c>
      <c r="F1544" s="379">
        <v>6.4041624012982066</v>
      </c>
      <c r="G1544" s="25">
        <v>46.98</v>
      </c>
      <c r="H1544" s="379">
        <v>7.0649834992456633</v>
      </c>
      <c r="I1544" s="25">
        <v>59.85</v>
      </c>
      <c r="J1544" s="379">
        <v>4.7241178244596886</v>
      </c>
    </row>
    <row r="1545" spans="1:10" x14ac:dyDescent="0.35">
      <c r="A1545" s="5">
        <v>1541</v>
      </c>
      <c r="B1545" s="5">
        <v>65</v>
      </c>
      <c r="C1545" s="5">
        <v>3</v>
      </c>
      <c r="D1545" s="379">
        <v>69.661111111111111</v>
      </c>
      <c r="E1545" s="25">
        <v>24.84</v>
      </c>
      <c r="F1545" s="379">
        <v>6.6058869998871428</v>
      </c>
      <c r="G1545" s="25">
        <v>46.98</v>
      </c>
      <c r="H1545" s="379">
        <v>7.1054945512545267</v>
      </c>
      <c r="I1545" s="25">
        <v>56.15</v>
      </c>
      <c r="J1545" s="379">
        <v>4.6507147184002431</v>
      </c>
    </row>
    <row r="1546" spans="1:10" x14ac:dyDescent="0.35">
      <c r="A1546" s="5">
        <v>1542</v>
      </c>
      <c r="B1546" s="5">
        <v>65</v>
      </c>
      <c r="C1546" s="5">
        <v>3</v>
      </c>
      <c r="D1546" s="379">
        <v>70.734444444444435</v>
      </c>
      <c r="E1546" s="25">
        <v>24.84</v>
      </c>
      <c r="F1546" s="379">
        <v>5.4288574085084695</v>
      </c>
      <c r="G1546" s="25">
        <v>46.98</v>
      </c>
      <c r="H1546" s="379">
        <v>6.6664019943976482</v>
      </c>
      <c r="I1546" s="25">
        <v>62.27</v>
      </c>
      <c r="J1546" s="379">
        <v>3.371096034880932</v>
      </c>
    </row>
    <row r="1547" spans="1:10" x14ac:dyDescent="0.35">
      <c r="A1547" s="5">
        <v>1543</v>
      </c>
      <c r="B1547" s="5">
        <v>65</v>
      </c>
      <c r="C1547" s="5">
        <v>3</v>
      </c>
      <c r="D1547" s="379">
        <v>72.660555555555547</v>
      </c>
      <c r="E1547" s="25">
        <v>25.29</v>
      </c>
      <c r="F1547" s="379">
        <v>5.9130035133343499</v>
      </c>
      <c r="G1547" s="25">
        <v>46.98</v>
      </c>
      <c r="H1547" s="379">
        <v>7.4955968255011873</v>
      </c>
      <c r="I1547" s="25">
        <v>64.14</v>
      </c>
      <c r="J1547" s="379">
        <v>2.1376981859553852</v>
      </c>
    </row>
    <row r="1548" spans="1:10" x14ac:dyDescent="0.35">
      <c r="A1548" s="5">
        <v>1544</v>
      </c>
      <c r="B1548" s="5">
        <v>65</v>
      </c>
      <c r="C1548" s="5">
        <v>3</v>
      </c>
      <c r="D1548" s="379">
        <v>68.916111111111107</v>
      </c>
      <c r="E1548" s="25">
        <v>25.74</v>
      </c>
      <c r="F1548" s="379">
        <v>6.0118589771709123</v>
      </c>
      <c r="G1548" s="25">
        <v>47.46</v>
      </c>
      <c r="H1548" s="379">
        <v>6.9595108571563946</v>
      </c>
      <c r="I1548" s="25">
        <v>66.06</v>
      </c>
      <c r="J1548" s="379">
        <v>2.0056304011269819</v>
      </c>
    </row>
    <row r="1549" spans="1:10" x14ac:dyDescent="0.35">
      <c r="A1549" s="5">
        <v>1545</v>
      </c>
      <c r="B1549" s="5">
        <v>65</v>
      </c>
      <c r="C1549" s="5">
        <v>3</v>
      </c>
      <c r="D1549" s="379">
        <v>68.877777777777766</v>
      </c>
      <c r="E1549" s="25">
        <v>25.74</v>
      </c>
      <c r="F1549" s="379">
        <v>6.4307343570609277</v>
      </c>
      <c r="G1549" s="25">
        <v>47.46</v>
      </c>
      <c r="H1549" s="379">
        <v>7.341606327206998</v>
      </c>
      <c r="I1549" s="25">
        <v>66.06</v>
      </c>
      <c r="J1549" s="379">
        <v>2.9809906360578382</v>
      </c>
    </row>
    <row r="1550" spans="1:10" x14ac:dyDescent="0.35">
      <c r="A1550" s="5">
        <v>1546</v>
      </c>
      <c r="B1550" s="5">
        <v>65</v>
      </c>
      <c r="C1550" s="5">
        <v>3</v>
      </c>
      <c r="D1550" s="379">
        <v>60.017222222222216</v>
      </c>
      <c r="E1550" s="25">
        <v>25.74</v>
      </c>
      <c r="F1550" s="379">
        <v>7.0427481925607403</v>
      </c>
      <c r="G1550" s="25">
        <v>47.85</v>
      </c>
      <c r="H1550" s="379">
        <v>6.9989908724396974</v>
      </c>
      <c r="I1550" s="25">
        <v>64.14</v>
      </c>
      <c r="J1550" s="379">
        <v>3.8317641777541365</v>
      </c>
    </row>
    <row r="1551" spans="1:10" x14ac:dyDescent="0.35">
      <c r="A1551" s="5">
        <v>1547</v>
      </c>
      <c r="B1551" s="5">
        <v>65</v>
      </c>
      <c r="C1551" s="5">
        <v>3</v>
      </c>
      <c r="D1551" s="379">
        <v>57.809999999999995</v>
      </c>
      <c r="E1551" s="25">
        <v>25.74</v>
      </c>
      <c r="F1551" s="379">
        <v>6.2598837420839146</v>
      </c>
      <c r="G1551" s="25">
        <v>47.67</v>
      </c>
      <c r="H1551" s="379">
        <v>6.6930827446303613</v>
      </c>
      <c r="I1551" s="25">
        <v>56.52</v>
      </c>
      <c r="J1551" s="379">
        <v>1.9652678014401033</v>
      </c>
    </row>
    <row r="1552" spans="1:10" x14ac:dyDescent="0.35">
      <c r="A1552" s="5">
        <v>1548</v>
      </c>
      <c r="B1552" s="5">
        <v>65</v>
      </c>
      <c r="C1552" s="5">
        <v>3</v>
      </c>
      <c r="D1552" s="379">
        <v>62.047222222222217</v>
      </c>
      <c r="E1552" s="25">
        <v>25.74</v>
      </c>
      <c r="F1552" s="379">
        <v>6.2598837420839146</v>
      </c>
      <c r="G1552" s="25">
        <v>47.46</v>
      </c>
      <c r="H1552" s="379">
        <v>6.4395628481463714</v>
      </c>
      <c r="I1552" s="25">
        <v>54.86</v>
      </c>
      <c r="J1552" s="379">
        <v>1.9652678014401033</v>
      </c>
    </row>
    <row r="1553" spans="1:10" x14ac:dyDescent="0.35">
      <c r="A1553" s="5">
        <v>1549</v>
      </c>
      <c r="B1553" s="5">
        <v>65</v>
      </c>
      <c r="C1553" s="5">
        <v>3</v>
      </c>
      <c r="D1553" s="379">
        <v>67.081666666666663</v>
      </c>
      <c r="E1553" s="25">
        <v>25.74</v>
      </c>
      <c r="F1553" s="379">
        <v>6.2183363248751942</v>
      </c>
      <c r="G1553" s="25">
        <v>47.46</v>
      </c>
      <c r="H1553" s="379">
        <v>6.1805008646949684</v>
      </c>
      <c r="I1553" s="25">
        <v>53.27</v>
      </c>
      <c r="J1553" s="379">
        <v>1.9652678014401033</v>
      </c>
    </row>
    <row r="1554" spans="1:10" x14ac:dyDescent="0.35">
      <c r="A1554" s="5">
        <v>1550</v>
      </c>
      <c r="B1554" s="5">
        <v>65</v>
      </c>
      <c r="C1554" s="5">
        <v>3</v>
      </c>
      <c r="D1554" s="379">
        <v>64.931111111111107</v>
      </c>
      <c r="E1554" s="25">
        <v>25.59</v>
      </c>
      <c r="F1554" s="379">
        <v>6.2183363248751942</v>
      </c>
      <c r="G1554" s="25">
        <v>47.46</v>
      </c>
      <c r="H1554" s="379">
        <v>6.5377182267432952</v>
      </c>
      <c r="I1554" s="25">
        <v>53.27</v>
      </c>
      <c r="J1554" s="379">
        <v>1.9652678014401033</v>
      </c>
    </row>
    <row r="1555" spans="1:10" x14ac:dyDescent="0.35">
      <c r="A1555" s="5">
        <v>1551</v>
      </c>
      <c r="B1555" s="5">
        <v>65</v>
      </c>
      <c r="C1555" s="5">
        <v>3</v>
      </c>
      <c r="D1555" s="379">
        <v>64.578888888888883</v>
      </c>
      <c r="E1555" s="25">
        <v>24.99</v>
      </c>
      <c r="F1555" s="379">
        <v>6.6349483228191977</v>
      </c>
      <c r="G1555" s="25">
        <v>47.46</v>
      </c>
      <c r="H1555" s="379">
        <v>6.418733192814952</v>
      </c>
      <c r="I1555" s="25">
        <v>52.21</v>
      </c>
      <c r="J1555" s="379">
        <v>1.9652678014401033</v>
      </c>
    </row>
    <row r="1556" spans="1:10" x14ac:dyDescent="0.35">
      <c r="A1556" s="5">
        <v>1552</v>
      </c>
      <c r="B1556" s="5">
        <v>65</v>
      </c>
      <c r="C1556" s="5">
        <v>3</v>
      </c>
      <c r="D1556" s="379">
        <v>63.864444444444452</v>
      </c>
      <c r="E1556" s="25">
        <v>24.99</v>
      </c>
      <c r="F1556" s="379">
        <v>6.9876527426962687</v>
      </c>
      <c r="G1556" s="25">
        <v>47.46</v>
      </c>
      <c r="H1556" s="379">
        <v>6.318346607895748</v>
      </c>
      <c r="I1556" s="25">
        <v>53.27</v>
      </c>
      <c r="J1556" s="379">
        <v>1.9652678014401033</v>
      </c>
    </row>
    <row r="1557" spans="1:10" x14ac:dyDescent="0.35">
      <c r="A1557" s="5">
        <v>1553</v>
      </c>
      <c r="B1557" s="5">
        <v>65</v>
      </c>
      <c r="C1557" s="5">
        <v>3</v>
      </c>
      <c r="D1557" s="379">
        <v>69.532222222222217</v>
      </c>
      <c r="E1557" s="25">
        <v>25.29</v>
      </c>
      <c r="F1557" s="379">
        <v>6.5434797262797089</v>
      </c>
      <c r="G1557" s="25">
        <v>47.46</v>
      </c>
      <c r="H1557" s="379">
        <v>6.4891984489283239</v>
      </c>
      <c r="I1557" s="25">
        <v>54.86</v>
      </c>
      <c r="J1557" s="379">
        <v>3.8944826781566133E-2</v>
      </c>
    </row>
    <row r="1558" spans="1:10" x14ac:dyDescent="0.35">
      <c r="A1558" s="5">
        <v>1554</v>
      </c>
      <c r="B1558" s="5">
        <v>65</v>
      </c>
      <c r="C1558" s="5">
        <v>3</v>
      </c>
      <c r="D1558" s="379">
        <v>88.594999999999999</v>
      </c>
      <c r="E1558" s="25">
        <v>25.74</v>
      </c>
      <c r="F1558" s="379">
        <v>11.418402829903426</v>
      </c>
      <c r="G1558" s="25">
        <v>47.85</v>
      </c>
      <c r="H1558" s="379">
        <v>6.68368227854904</v>
      </c>
      <c r="I1558" s="25">
        <v>62.27</v>
      </c>
      <c r="J1558" s="379">
        <v>4.5914100788553469</v>
      </c>
    </row>
    <row r="1559" spans="1:10" x14ac:dyDescent="0.35">
      <c r="A1559" s="5">
        <v>1555</v>
      </c>
      <c r="B1559" s="5">
        <v>65</v>
      </c>
      <c r="C1559" s="5">
        <v>3</v>
      </c>
      <c r="D1559" s="379">
        <v>102.32</v>
      </c>
      <c r="E1559" s="25">
        <v>26.51</v>
      </c>
      <c r="F1559" s="379">
        <v>11.194163034808753</v>
      </c>
      <c r="G1559" s="25">
        <v>52.67</v>
      </c>
      <c r="H1559" s="379">
        <v>8.0986725329844358</v>
      </c>
      <c r="I1559" s="25">
        <v>68.05</v>
      </c>
      <c r="J1559" s="379">
        <v>0.21128972710315094</v>
      </c>
    </row>
    <row r="1560" spans="1:10" x14ac:dyDescent="0.35">
      <c r="A1560" s="5">
        <v>1556</v>
      </c>
      <c r="B1560" s="5">
        <v>65</v>
      </c>
      <c r="C1560" s="5">
        <v>3</v>
      </c>
      <c r="D1560" s="379">
        <v>96.801666666666662</v>
      </c>
      <c r="E1560" s="25">
        <v>26.51</v>
      </c>
      <c r="F1560" s="379">
        <v>10.464482905204223</v>
      </c>
      <c r="G1560" s="25">
        <v>52.67</v>
      </c>
      <c r="H1560" s="379">
        <v>6.4360277419663445</v>
      </c>
      <c r="I1560" s="25">
        <v>66.06</v>
      </c>
      <c r="J1560" s="379">
        <v>0.11875757594010687</v>
      </c>
    </row>
    <row r="1561" spans="1:10" x14ac:dyDescent="0.35">
      <c r="A1561" s="5">
        <v>1557</v>
      </c>
      <c r="B1561" s="5">
        <v>65</v>
      </c>
      <c r="C1561" s="5">
        <v>3</v>
      </c>
      <c r="D1561" s="379">
        <v>85.09</v>
      </c>
      <c r="E1561" s="25">
        <v>25.74</v>
      </c>
      <c r="F1561" s="379">
        <v>11.302094332534191</v>
      </c>
      <c r="G1561" s="25">
        <v>47.85</v>
      </c>
      <c r="H1561" s="379">
        <v>7.2330114881071985</v>
      </c>
      <c r="I1561" s="25">
        <v>56.52</v>
      </c>
      <c r="J1561" s="379">
        <v>6.3644310822812811</v>
      </c>
    </row>
    <row r="1562" spans="1:10" x14ac:dyDescent="0.35">
      <c r="A1562" s="5">
        <v>1558</v>
      </c>
      <c r="B1562" s="5">
        <v>65</v>
      </c>
      <c r="C1562" s="5">
        <v>3</v>
      </c>
      <c r="D1562" s="379">
        <v>83.592222222222205</v>
      </c>
      <c r="E1562" s="25">
        <v>25.74</v>
      </c>
      <c r="F1562" s="379">
        <v>11.135239835544839</v>
      </c>
      <c r="G1562" s="25">
        <v>47.46</v>
      </c>
      <c r="H1562" s="379">
        <v>6.8435915482423519</v>
      </c>
      <c r="I1562" s="25">
        <v>54.32</v>
      </c>
      <c r="J1562" s="379">
        <v>4.7263438324526357</v>
      </c>
    </row>
    <row r="1563" spans="1:10" x14ac:dyDescent="0.35">
      <c r="A1563" s="5">
        <v>1559</v>
      </c>
      <c r="B1563" s="5">
        <v>65</v>
      </c>
      <c r="C1563" s="5">
        <v>3</v>
      </c>
      <c r="D1563" s="379">
        <v>80.584999999999994</v>
      </c>
      <c r="E1563" s="25">
        <v>25.74</v>
      </c>
      <c r="F1563" s="379">
        <v>9.5318113576870989</v>
      </c>
      <c r="G1563" s="25">
        <v>47.46</v>
      </c>
      <c r="H1563" s="379">
        <v>6.9388646225715114</v>
      </c>
      <c r="I1563" s="25">
        <v>53.71</v>
      </c>
      <c r="J1563" s="379">
        <v>4.3374216894999247</v>
      </c>
    </row>
    <row r="1564" spans="1:10" x14ac:dyDescent="0.35">
      <c r="A1564" s="5">
        <v>1560</v>
      </c>
      <c r="B1564" s="5">
        <v>65</v>
      </c>
      <c r="C1564" s="5">
        <v>3</v>
      </c>
      <c r="D1564" s="379">
        <v>80.356111111111105</v>
      </c>
      <c r="E1564" s="25">
        <v>25.59</v>
      </c>
      <c r="F1564" s="379">
        <v>4.9483424704693348</v>
      </c>
      <c r="G1564" s="25">
        <v>46.98</v>
      </c>
      <c r="H1564" s="379">
        <v>7.0177522621426984</v>
      </c>
      <c r="I1564" s="25">
        <v>53.71</v>
      </c>
      <c r="J1564" s="379">
        <v>4.8941216903245346</v>
      </c>
    </row>
    <row r="1565" spans="1:10" x14ac:dyDescent="0.35">
      <c r="A1565" s="5">
        <v>1561</v>
      </c>
      <c r="B1565" s="5">
        <v>66</v>
      </c>
      <c r="C1565" s="5">
        <v>3</v>
      </c>
      <c r="D1565" s="379">
        <v>80.588333333333352</v>
      </c>
      <c r="E1565" s="25">
        <v>24.99</v>
      </c>
      <c r="F1565" s="379">
        <v>4.1975439675919235</v>
      </c>
      <c r="G1565" s="25">
        <v>43.56</v>
      </c>
      <c r="H1565" s="379">
        <v>6.8243155120164767</v>
      </c>
      <c r="I1565" s="25">
        <v>35.130000000000003</v>
      </c>
      <c r="J1565" s="379">
        <v>4.7514760415779769</v>
      </c>
    </row>
    <row r="1566" spans="1:10" x14ac:dyDescent="0.35">
      <c r="A1566" s="5">
        <v>1562</v>
      </c>
      <c r="B1566" s="5">
        <v>66</v>
      </c>
      <c r="C1566" s="5">
        <v>3</v>
      </c>
      <c r="D1566" s="379">
        <v>81.264999999999986</v>
      </c>
      <c r="E1566" s="25">
        <v>24.84</v>
      </c>
      <c r="F1566" s="379">
        <v>3.3611454949889517</v>
      </c>
      <c r="G1566" s="25">
        <v>42.17</v>
      </c>
      <c r="H1566" s="379">
        <v>6.4203303713831232</v>
      </c>
      <c r="I1566" s="25">
        <v>34.01</v>
      </c>
      <c r="J1566" s="379">
        <v>1.867161496599536</v>
      </c>
    </row>
    <row r="1567" spans="1:10" x14ac:dyDescent="0.35">
      <c r="A1567" s="5">
        <v>1563</v>
      </c>
      <c r="B1567" s="5">
        <v>66</v>
      </c>
      <c r="C1567" s="5">
        <v>3</v>
      </c>
      <c r="D1567" s="379">
        <v>78.903333333333336</v>
      </c>
      <c r="E1567" s="25">
        <v>24.73</v>
      </c>
      <c r="F1567" s="379">
        <v>3.9022558507721921</v>
      </c>
      <c r="G1567" s="25">
        <v>39</v>
      </c>
      <c r="H1567" s="379">
        <v>3.1351199036424031</v>
      </c>
      <c r="I1567" s="25">
        <v>33.67</v>
      </c>
      <c r="J1567" s="379">
        <v>3.9175605867963839</v>
      </c>
    </row>
    <row r="1568" spans="1:10" x14ac:dyDescent="0.35">
      <c r="A1568" s="5">
        <v>1564</v>
      </c>
      <c r="B1568" s="5">
        <v>66</v>
      </c>
      <c r="C1568" s="5">
        <v>3</v>
      </c>
      <c r="D1568" s="379">
        <v>76.873888888888885</v>
      </c>
      <c r="E1568" s="25">
        <v>24.73</v>
      </c>
      <c r="F1568" s="379">
        <v>3.1324597824868676</v>
      </c>
      <c r="G1568" s="25">
        <v>38.61</v>
      </c>
      <c r="H1568" s="379">
        <v>2.7051127830547479</v>
      </c>
      <c r="I1568" s="25">
        <v>33.67</v>
      </c>
      <c r="J1568" s="379">
        <v>4.3499306557764266</v>
      </c>
    </row>
    <row r="1569" spans="1:10" x14ac:dyDescent="0.35">
      <c r="A1569" s="5">
        <v>1565</v>
      </c>
      <c r="B1569" s="5">
        <v>66</v>
      </c>
      <c r="C1569" s="5">
        <v>3</v>
      </c>
      <c r="D1569" s="379">
        <v>78.42</v>
      </c>
      <c r="E1569" s="25">
        <v>24.73</v>
      </c>
      <c r="F1569" s="379">
        <v>4.1022401984602821</v>
      </c>
      <c r="G1569" s="25">
        <v>38.61</v>
      </c>
      <c r="H1569" s="379">
        <v>3.1351199036424031</v>
      </c>
      <c r="I1569" s="25">
        <v>33.67</v>
      </c>
      <c r="J1569" s="379">
        <v>3.7807732257211777</v>
      </c>
    </row>
    <row r="1570" spans="1:10" x14ac:dyDescent="0.35">
      <c r="A1570" s="5">
        <v>1566</v>
      </c>
      <c r="B1570" s="5">
        <v>66</v>
      </c>
      <c r="C1570" s="5">
        <v>3</v>
      </c>
      <c r="D1570" s="379">
        <v>84.977222222222224</v>
      </c>
      <c r="E1570" s="25">
        <v>24.73</v>
      </c>
      <c r="F1570" s="379">
        <v>3.3611454949889517</v>
      </c>
      <c r="G1570" s="25">
        <v>38.61</v>
      </c>
      <c r="H1570" s="379">
        <v>2.3173242223282471</v>
      </c>
      <c r="I1570" s="25">
        <v>33.67</v>
      </c>
      <c r="J1570" s="379">
        <v>3.0870636603204793</v>
      </c>
    </row>
    <row r="1571" spans="1:10" x14ac:dyDescent="0.35">
      <c r="A1571" s="5">
        <v>1567</v>
      </c>
      <c r="B1571" s="5">
        <v>66</v>
      </c>
      <c r="C1571" s="5">
        <v>3</v>
      </c>
      <c r="D1571" s="379">
        <v>97.383333333333326</v>
      </c>
      <c r="E1571" s="25">
        <v>24.73</v>
      </c>
      <c r="F1571" s="379">
        <v>4.059580407144411</v>
      </c>
      <c r="G1571" s="25">
        <v>38.61</v>
      </c>
      <c r="H1571" s="379">
        <v>3.2373702033250065</v>
      </c>
      <c r="I1571" s="25">
        <v>33.67</v>
      </c>
      <c r="J1571" s="379">
        <v>4.5016872611737071</v>
      </c>
    </row>
    <row r="1572" spans="1:10" x14ac:dyDescent="0.35">
      <c r="A1572" s="5">
        <v>1568</v>
      </c>
      <c r="B1572" s="5">
        <v>66</v>
      </c>
      <c r="C1572" s="5">
        <v>3</v>
      </c>
      <c r="D1572" s="379">
        <v>120.58388888888889</v>
      </c>
      <c r="E1572" s="25">
        <v>24.73</v>
      </c>
      <c r="F1572" s="379">
        <v>4.5192317008164116</v>
      </c>
      <c r="G1572" s="25">
        <v>38.61</v>
      </c>
      <c r="H1572" s="379">
        <v>1.5057969381200718</v>
      </c>
      <c r="I1572" s="25">
        <v>33.67</v>
      </c>
      <c r="J1572" s="379">
        <v>4.2054179986782607</v>
      </c>
    </row>
    <row r="1573" spans="1:10" x14ac:dyDescent="0.35">
      <c r="A1573" s="5">
        <v>1569</v>
      </c>
      <c r="B1573" s="5">
        <v>66</v>
      </c>
      <c r="C1573" s="5">
        <v>3</v>
      </c>
      <c r="D1573" s="379">
        <v>126.31888888888886</v>
      </c>
      <c r="E1573" s="25">
        <v>24.73</v>
      </c>
      <c r="F1573" s="379">
        <v>3.3275014453787248</v>
      </c>
      <c r="G1573" s="25">
        <v>38.61</v>
      </c>
      <c r="H1573" s="379">
        <v>1.906589528194125</v>
      </c>
      <c r="I1573" s="25">
        <v>33.67</v>
      </c>
      <c r="J1573" s="379">
        <v>1.4344179533505728</v>
      </c>
    </row>
    <row r="1574" spans="1:10" x14ac:dyDescent="0.35">
      <c r="A1574" s="5">
        <v>1570</v>
      </c>
      <c r="B1574" s="5">
        <v>66</v>
      </c>
      <c r="C1574" s="5">
        <v>3</v>
      </c>
      <c r="D1574" s="379">
        <v>122.27888888888889</v>
      </c>
      <c r="E1574" s="25">
        <v>24.84</v>
      </c>
      <c r="F1574" s="379">
        <v>3.2984688817194554</v>
      </c>
      <c r="G1574" s="25">
        <v>38.61</v>
      </c>
      <c r="H1574" s="379">
        <v>1.906589528194125</v>
      </c>
      <c r="I1574" s="25">
        <v>33.67</v>
      </c>
      <c r="J1574" s="379">
        <v>2.777777777777778E-2</v>
      </c>
    </row>
    <row r="1575" spans="1:10" x14ac:dyDescent="0.35">
      <c r="A1575" s="5">
        <v>1571</v>
      </c>
      <c r="B1575" s="5">
        <v>66</v>
      </c>
      <c r="C1575" s="5">
        <v>3</v>
      </c>
      <c r="D1575" s="379">
        <v>97.015555555555551</v>
      </c>
      <c r="E1575" s="25">
        <v>24.84</v>
      </c>
      <c r="F1575" s="379">
        <v>3.2727733956087586</v>
      </c>
      <c r="G1575" s="25">
        <v>38.61</v>
      </c>
      <c r="H1575" s="379">
        <v>1.8457190916956596</v>
      </c>
      <c r="I1575" s="25">
        <v>33.67</v>
      </c>
      <c r="J1575" s="379">
        <v>2.777777777777778E-2</v>
      </c>
    </row>
    <row r="1576" spans="1:10" x14ac:dyDescent="0.35">
      <c r="A1576" s="5">
        <v>1572</v>
      </c>
      <c r="B1576" s="5">
        <v>66</v>
      </c>
      <c r="C1576" s="5">
        <v>3</v>
      </c>
      <c r="D1576" s="379">
        <v>80.121666666666655</v>
      </c>
      <c r="E1576" s="25">
        <v>24.84</v>
      </c>
      <c r="F1576" s="379">
        <v>3.2727733956087586</v>
      </c>
      <c r="G1576" s="25">
        <v>39</v>
      </c>
      <c r="H1576" s="379">
        <v>1.8457190916956596</v>
      </c>
      <c r="I1576" s="25">
        <v>33.67</v>
      </c>
      <c r="J1576" s="379">
        <v>2.777777777777778E-2</v>
      </c>
    </row>
    <row r="1577" spans="1:10" x14ac:dyDescent="0.35">
      <c r="A1577" s="5">
        <v>1573</v>
      </c>
      <c r="B1577" s="5">
        <v>66</v>
      </c>
      <c r="C1577" s="5">
        <v>3</v>
      </c>
      <c r="D1577" s="379">
        <v>75.693888888888878</v>
      </c>
      <c r="E1577" s="25">
        <v>24.84</v>
      </c>
      <c r="F1577" s="379">
        <v>3.2727733956087586</v>
      </c>
      <c r="G1577" s="25">
        <v>38.979999999999997</v>
      </c>
      <c r="H1577" s="379">
        <v>1.8457190916956596</v>
      </c>
      <c r="I1577" s="25">
        <v>33.67</v>
      </c>
      <c r="J1577" s="379">
        <v>2.777777777777778E-2</v>
      </c>
    </row>
    <row r="1578" spans="1:10" x14ac:dyDescent="0.35">
      <c r="A1578" s="5">
        <v>1574</v>
      </c>
      <c r="B1578" s="5">
        <v>66</v>
      </c>
      <c r="C1578" s="5">
        <v>3</v>
      </c>
      <c r="D1578" s="379">
        <v>74.483333333333334</v>
      </c>
      <c r="E1578" s="25">
        <v>24.84</v>
      </c>
      <c r="F1578" s="379">
        <v>3.2374463594582727</v>
      </c>
      <c r="G1578" s="25">
        <v>38.61</v>
      </c>
      <c r="H1578" s="379">
        <v>1.8457190916956596</v>
      </c>
      <c r="I1578" s="25">
        <v>33.67</v>
      </c>
      <c r="J1578" s="379">
        <v>2.777777777777778E-2</v>
      </c>
    </row>
    <row r="1579" spans="1:10" x14ac:dyDescent="0.35">
      <c r="A1579" s="5">
        <v>1575</v>
      </c>
      <c r="B1579" s="5">
        <v>66</v>
      </c>
      <c r="C1579" s="5">
        <v>3</v>
      </c>
      <c r="D1579" s="379">
        <v>71.613888888888894</v>
      </c>
      <c r="E1579" s="25">
        <v>24.73</v>
      </c>
      <c r="F1579" s="379">
        <v>3.2374463594582727</v>
      </c>
      <c r="G1579" s="25">
        <v>38.61</v>
      </c>
      <c r="H1579" s="379">
        <v>1.8457190916956596</v>
      </c>
      <c r="I1579" s="25">
        <v>33.67</v>
      </c>
      <c r="J1579" s="379">
        <v>2.777777777777778E-2</v>
      </c>
    </row>
    <row r="1580" spans="1:10" x14ac:dyDescent="0.35">
      <c r="A1580" s="5">
        <v>1576</v>
      </c>
      <c r="B1580" s="5">
        <v>66</v>
      </c>
      <c r="C1580" s="5">
        <v>3</v>
      </c>
      <c r="D1580" s="379">
        <v>75.662777777777777</v>
      </c>
      <c r="E1580" s="25">
        <v>24.73</v>
      </c>
      <c r="F1580" s="379">
        <v>3.2374463594582727</v>
      </c>
      <c r="G1580" s="25">
        <v>38.61</v>
      </c>
      <c r="H1580" s="379">
        <v>1.906589528194125</v>
      </c>
      <c r="I1580" s="25">
        <v>33.67</v>
      </c>
      <c r="J1580" s="379">
        <v>2.777777777777778E-2</v>
      </c>
    </row>
    <row r="1581" spans="1:10" x14ac:dyDescent="0.35">
      <c r="A1581" s="5">
        <v>1577</v>
      </c>
      <c r="B1581" s="5">
        <v>66</v>
      </c>
      <c r="C1581" s="5">
        <v>3</v>
      </c>
      <c r="D1581" s="379">
        <v>84.22722222222221</v>
      </c>
      <c r="E1581" s="25">
        <v>24.84</v>
      </c>
      <c r="F1581" s="379">
        <v>5.5642914821104061E-2</v>
      </c>
      <c r="G1581" s="25">
        <v>39.770000000000003</v>
      </c>
      <c r="H1581" s="379">
        <v>1.906589528194125</v>
      </c>
      <c r="I1581" s="25">
        <v>33.67</v>
      </c>
      <c r="J1581" s="379">
        <v>2.777777777777778E-2</v>
      </c>
    </row>
    <row r="1582" spans="1:10" x14ac:dyDescent="0.35">
      <c r="A1582" s="5">
        <v>1578</v>
      </c>
      <c r="B1582" s="5">
        <v>66</v>
      </c>
      <c r="C1582" s="5">
        <v>3</v>
      </c>
      <c r="D1582" s="379">
        <v>93.029444444444451</v>
      </c>
      <c r="E1582" s="25">
        <v>24.84</v>
      </c>
      <c r="F1582" s="379">
        <v>3.3457069432646298</v>
      </c>
      <c r="G1582" s="25">
        <v>43.56</v>
      </c>
      <c r="H1582" s="379">
        <v>5.2575660586616425E-2</v>
      </c>
      <c r="I1582" s="25">
        <v>33.67</v>
      </c>
      <c r="J1582" s="379">
        <v>8.4784982499383724E-2</v>
      </c>
    </row>
    <row r="1583" spans="1:10" x14ac:dyDescent="0.35">
      <c r="A1583" s="5">
        <v>1579</v>
      </c>
      <c r="B1583" s="5">
        <v>66</v>
      </c>
      <c r="C1583" s="5">
        <v>3</v>
      </c>
      <c r="D1583" s="379">
        <v>95.537222222222226</v>
      </c>
      <c r="E1583" s="25">
        <v>25.59</v>
      </c>
      <c r="F1583" s="379">
        <v>3.6982004026490669</v>
      </c>
      <c r="G1583" s="25">
        <v>46.11</v>
      </c>
      <c r="H1583" s="379">
        <v>0.12898486456122779</v>
      </c>
      <c r="I1583" s="25">
        <v>34.07</v>
      </c>
      <c r="J1583" s="379">
        <v>1.5797973919124007</v>
      </c>
    </row>
    <row r="1584" spans="1:10" x14ac:dyDescent="0.35">
      <c r="A1584" s="5">
        <v>1580</v>
      </c>
      <c r="B1584" s="5">
        <v>66</v>
      </c>
      <c r="C1584" s="5">
        <v>3</v>
      </c>
      <c r="D1584" s="379">
        <v>98.794999999999987</v>
      </c>
      <c r="E1584" s="25">
        <v>25.74</v>
      </c>
      <c r="F1584" s="379">
        <v>3.7016207675004158</v>
      </c>
      <c r="G1584" s="25">
        <v>46.11</v>
      </c>
      <c r="H1584" s="379">
        <v>0.14480167642852412</v>
      </c>
      <c r="I1584" s="25">
        <v>34.07</v>
      </c>
      <c r="J1584" s="379">
        <v>1.6230750938836169</v>
      </c>
    </row>
    <row r="1585" spans="1:10" x14ac:dyDescent="0.35">
      <c r="A1585" s="5">
        <v>1581</v>
      </c>
      <c r="B1585" s="5">
        <v>66</v>
      </c>
      <c r="C1585" s="5">
        <v>3</v>
      </c>
      <c r="D1585" s="379">
        <v>92.596666666666664</v>
      </c>
      <c r="E1585" s="25">
        <v>25.29</v>
      </c>
      <c r="F1585" s="379">
        <v>4.6155734523481851</v>
      </c>
      <c r="G1585" s="25">
        <v>44.69</v>
      </c>
      <c r="H1585" s="379">
        <v>9.046292437766025E-2</v>
      </c>
      <c r="I1585" s="25">
        <v>34.07</v>
      </c>
      <c r="J1585" s="379">
        <v>1.5797973919124011</v>
      </c>
    </row>
    <row r="1586" spans="1:10" x14ac:dyDescent="0.35">
      <c r="A1586" s="5">
        <v>1582</v>
      </c>
      <c r="B1586" s="5">
        <v>66</v>
      </c>
      <c r="C1586" s="5">
        <v>3</v>
      </c>
      <c r="D1586" s="379">
        <v>87.023888888888877</v>
      </c>
      <c r="E1586" s="25">
        <v>25.29</v>
      </c>
      <c r="F1586" s="379">
        <v>4.5272570150805684</v>
      </c>
      <c r="G1586" s="25">
        <v>43.56</v>
      </c>
      <c r="H1586" s="379">
        <v>7.3768046078090357E-2</v>
      </c>
      <c r="I1586" s="25">
        <v>33.67</v>
      </c>
      <c r="J1586" s="379">
        <v>1.5797973919124011</v>
      </c>
    </row>
    <row r="1587" spans="1:10" x14ac:dyDescent="0.35">
      <c r="A1587" s="5">
        <v>1583</v>
      </c>
      <c r="B1587" s="5">
        <v>66</v>
      </c>
      <c r="C1587" s="5">
        <v>3</v>
      </c>
      <c r="D1587" s="379">
        <v>82.473333333333329</v>
      </c>
      <c r="E1587" s="25">
        <v>25.29</v>
      </c>
      <c r="F1587" s="379">
        <v>4.722410780827424</v>
      </c>
      <c r="G1587" s="25">
        <v>43.47</v>
      </c>
      <c r="H1587" s="379">
        <v>5.4277533480075399E-2</v>
      </c>
      <c r="I1587" s="25">
        <v>33.67</v>
      </c>
      <c r="J1587" s="379">
        <v>1.5797973919124011</v>
      </c>
    </row>
    <row r="1588" spans="1:10" x14ac:dyDescent="0.35">
      <c r="A1588" s="5">
        <v>1584</v>
      </c>
      <c r="B1588" s="5">
        <v>66</v>
      </c>
      <c r="C1588" s="5">
        <v>3</v>
      </c>
      <c r="D1588" s="379">
        <v>82.644444444444431</v>
      </c>
      <c r="E1588" s="25">
        <v>24.84</v>
      </c>
      <c r="F1588" s="379">
        <v>3.8959528659402234</v>
      </c>
      <c r="G1588" s="25">
        <v>42.17</v>
      </c>
      <c r="H1588" s="379">
        <v>1.906589528194125</v>
      </c>
      <c r="I1588" s="25">
        <v>33.67</v>
      </c>
      <c r="J1588" s="379">
        <v>2.777777777777778E-2</v>
      </c>
    </row>
    <row r="1589" spans="1:10" x14ac:dyDescent="0.35">
      <c r="A1589" s="5">
        <v>1585</v>
      </c>
      <c r="B1589" s="5">
        <v>67</v>
      </c>
      <c r="C1589" s="5">
        <v>3</v>
      </c>
      <c r="D1589" s="379">
        <v>91.274444444444455</v>
      </c>
      <c r="E1589" s="25">
        <v>24.84</v>
      </c>
      <c r="F1589" s="379">
        <v>2.9048507407711504</v>
      </c>
      <c r="G1589" s="25">
        <v>43.47</v>
      </c>
      <c r="H1589" s="379">
        <v>1.906589528194125</v>
      </c>
      <c r="I1589" s="25">
        <v>34.07</v>
      </c>
      <c r="J1589" s="379">
        <v>1.5797973919124009</v>
      </c>
    </row>
    <row r="1590" spans="1:10" x14ac:dyDescent="0.35">
      <c r="A1590" s="5">
        <v>1586</v>
      </c>
      <c r="B1590" s="5">
        <v>67</v>
      </c>
      <c r="C1590" s="5">
        <v>3</v>
      </c>
      <c r="D1590" s="379">
        <v>92.947222222222223</v>
      </c>
      <c r="E1590" s="25">
        <v>24.84</v>
      </c>
      <c r="F1590" s="379">
        <v>3.557494797445091</v>
      </c>
      <c r="G1590" s="25">
        <v>42.17</v>
      </c>
      <c r="H1590" s="379">
        <v>1.906589528194125</v>
      </c>
      <c r="I1590" s="25">
        <v>34.07</v>
      </c>
      <c r="J1590" s="379">
        <v>1.5797973919124009</v>
      </c>
    </row>
    <row r="1591" spans="1:10" x14ac:dyDescent="0.35">
      <c r="A1591" s="5">
        <v>1587</v>
      </c>
      <c r="B1591" s="5">
        <v>67</v>
      </c>
      <c r="C1591" s="5">
        <v>3</v>
      </c>
      <c r="D1591" s="379">
        <v>91.468333333333334</v>
      </c>
      <c r="E1591" s="25">
        <v>24.84</v>
      </c>
      <c r="F1591" s="379">
        <v>3.7764933580874187</v>
      </c>
      <c r="G1591" s="25">
        <v>42.17</v>
      </c>
      <c r="H1591" s="379">
        <v>1.906589528194125</v>
      </c>
      <c r="I1591" s="25">
        <v>34.07</v>
      </c>
      <c r="J1591" s="379">
        <v>1.5797973919124007</v>
      </c>
    </row>
    <row r="1592" spans="1:10" x14ac:dyDescent="0.35">
      <c r="A1592" s="5">
        <v>1588</v>
      </c>
      <c r="B1592" s="5">
        <v>67</v>
      </c>
      <c r="C1592" s="5">
        <v>3</v>
      </c>
      <c r="D1592" s="379">
        <v>88.883333333333326</v>
      </c>
      <c r="E1592" s="25">
        <v>24.84</v>
      </c>
      <c r="F1592" s="379">
        <v>3.8910007411382512</v>
      </c>
      <c r="G1592" s="25">
        <v>42.17</v>
      </c>
      <c r="H1592" s="379">
        <v>1.906589528194125</v>
      </c>
      <c r="I1592" s="25">
        <v>34.07</v>
      </c>
      <c r="J1592" s="379">
        <v>0.13846266611860755</v>
      </c>
    </row>
    <row r="1593" spans="1:10" x14ac:dyDescent="0.35">
      <c r="A1593" s="5">
        <v>1589</v>
      </c>
      <c r="B1593" s="5">
        <v>67</v>
      </c>
      <c r="C1593" s="5">
        <v>3</v>
      </c>
      <c r="D1593" s="379">
        <v>86.842777777777783</v>
      </c>
      <c r="E1593" s="25">
        <v>24.84</v>
      </c>
      <c r="F1593" s="379">
        <v>4.5119919205671115</v>
      </c>
      <c r="G1593" s="25">
        <v>42.17</v>
      </c>
      <c r="H1593" s="379">
        <v>6.4126727680199752E-2</v>
      </c>
      <c r="I1593" s="25">
        <v>34.07</v>
      </c>
      <c r="J1593" s="379">
        <v>1.5797973919124009</v>
      </c>
    </row>
    <row r="1594" spans="1:10" x14ac:dyDescent="0.35">
      <c r="A1594" s="5">
        <v>1590</v>
      </c>
      <c r="B1594" s="5">
        <v>67</v>
      </c>
      <c r="C1594" s="5">
        <v>3</v>
      </c>
      <c r="D1594" s="379">
        <v>93.492777777777761</v>
      </c>
      <c r="E1594" s="25">
        <v>24.85</v>
      </c>
      <c r="F1594" s="379">
        <v>4.0914184195580505</v>
      </c>
      <c r="G1594" s="25">
        <v>45.7</v>
      </c>
      <c r="H1594" s="379">
        <v>1.9670564078961201</v>
      </c>
      <c r="I1594" s="25">
        <v>34.42</v>
      </c>
      <c r="J1594" s="379">
        <v>1.5797973919124011</v>
      </c>
    </row>
    <row r="1595" spans="1:10" x14ac:dyDescent="0.35">
      <c r="A1595" s="5">
        <v>1591</v>
      </c>
      <c r="B1595" s="5">
        <v>67</v>
      </c>
      <c r="C1595" s="5">
        <v>3</v>
      </c>
      <c r="D1595" s="379">
        <v>110.97999999999999</v>
      </c>
      <c r="E1595" s="25">
        <v>25.74</v>
      </c>
      <c r="F1595" s="379">
        <v>3.1301092498458174</v>
      </c>
      <c r="G1595" s="25">
        <v>52.14</v>
      </c>
      <c r="H1595" s="379">
        <v>2.4874042094591498</v>
      </c>
      <c r="I1595" s="25">
        <v>48.48</v>
      </c>
      <c r="J1595" s="379">
        <v>1.5797973919124011</v>
      </c>
    </row>
    <row r="1596" spans="1:10" x14ac:dyDescent="0.35">
      <c r="A1596" s="5">
        <v>1592</v>
      </c>
      <c r="B1596" s="5">
        <v>67</v>
      </c>
      <c r="C1596" s="5">
        <v>3</v>
      </c>
      <c r="D1596" s="379">
        <v>138.88888888888889</v>
      </c>
      <c r="E1596" s="25">
        <v>26.35</v>
      </c>
      <c r="F1596" s="379">
        <v>2.8726011361173094</v>
      </c>
      <c r="G1596" s="25">
        <v>57.04</v>
      </c>
      <c r="H1596" s="379">
        <v>2.4874042094591498</v>
      </c>
      <c r="I1596" s="25">
        <v>53.27</v>
      </c>
      <c r="J1596" s="379">
        <v>1.5797973919124011</v>
      </c>
    </row>
    <row r="1597" spans="1:10" x14ac:dyDescent="0.35">
      <c r="A1597" s="5">
        <v>1593</v>
      </c>
      <c r="B1597" s="5">
        <v>67</v>
      </c>
      <c r="C1597" s="5">
        <v>3</v>
      </c>
      <c r="D1597" s="379">
        <v>138.88888888888889</v>
      </c>
      <c r="E1597" s="25">
        <v>26.51</v>
      </c>
      <c r="F1597" s="379">
        <v>0.14480167642852412</v>
      </c>
      <c r="G1597" s="25">
        <v>58.75</v>
      </c>
      <c r="H1597" s="379">
        <v>1.906589528194125</v>
      </c>
      <c r="I1597" s="25">
        <v>53.71</v>
      </c>
      <c r="J1597" s="379">
        <v>1.4170761341955558</v>
      </c>
    </row>
    <row r="1598" spans="1:10" x14ac:dyDescent="0.35">
      <c r="A1598" s="5">
        <v>1594</v>
      </c>
      <c r="B1598" s="5">
        <v>67</v>
      </c>
      <c r="C1598" s="5">
        <v>3</v>
      </c>
      <c r="D1598" s="379">
        <v>112.22277777777778</v>
      </c>
      <c r="E1598" s="25">
        <v>27.3</v>
      </c>
      <c r="F1598" s="379">
        <v>3.2727733956087586</v>
      </c>
      <c r="G1598" s="25">
        <v>57.04</v>
      </c>
      <c r="H1598" s="379">
        <v>1.8457190916956596</v>
      </c>
      <c r="I1598" s="25">
        <v>50.13</v>
      </c>
      <c r="J1598" s="379">
        <v>1.3605549470073204</v>
      </c>
    </row>
    <row r="1599" spans="1:10" x14ac:dyDescent="0.35">
      <c r="A1599" s="5">
        <v>1595</v>
      </c>
      <c r="B1599" s="5">
        <v>67</v>
      </c>
      <c r="C1599" s="5">
        <v>3</v>
      </c>
      <c r="D1599" s="379">
        <v>65.676666666666662</v>
      </c>
      <c r="E1599" s="25">
        <v>26.51</v>
      </c>
      <c r="F1599" s="379">
        <v>3.2727733956087586</v>
      </c>
      <c r="G1599" s="25">
        <v>53.77</v>
      </c>
      <c r="H1599" s="379">
        <v>1.8457190916956596</v>
      </c>
      <c r="I1599" s="25">
        <v>48.86</v>
      </c>
      <c r="J1599" s="379">
        <v>2.777777777777778E-2</v>
      </c>
    </row>
    <row r="1600" spans="1:10" x14ac:dyDescent="0.35">
      <c r="A1600" s="5">
        <v>1596</v>
      </c>
      <c r="B1600" s="5">
        <v>67</v>
      </c>
      <c r="C1600" s="5">
        <v>3</v>
      </c>
      <c r="D1600" s="379">
        <v>59.979444444444439</v>
      </c>
      <c r="E1600" s="25">
        <v>26.5</v>
      </c>
      <c r="F1600" s="379">
        <v>3.2727733956087586</v>
      </c>
      <c r="G1600" s="25">
        <v>52.67</v>
      </c>
      <c r="H1600" s="379">
        <v>1.8457190916956596</v>
      </c>
      <c r="I1600" s="25">
        <v>48.86</v>
      </c>
      <c r="J1600" s="379">
        <v>2.777777777777778E-2</v>
      </c>
    </row>
    <row r="1601" spans="1:10" x14ac:dyDescent="0.35">
      <c r="A1601" s="5">
        <v>1597</v>
      </c>
      <c r="B1601" s="5">
        <v>67</v>
      </c>
      <c r="C1601" s="5">
        <v>3</v>
      </c>
      <c r="D1601" s="379">
        <v>61.592777777777776</v>
      </c>
      <c r="E1601" s="25">
        <v>26.05</v>
      </c>
      <c r="F1601" s="379">
        <v>3.2727733956087586</v>
      </c>
      <c r="G1601" s="25">
        <v>52.67</v>
      </c>
      <c r="H1601" s="379">
        <v>1.8457190916956596</v>
      </c>
      <c r="I1601" s="25">
        <v>48.97</v>
      </c>
      <c r="J1601" s="379">
        <v>2.777777777777778E-2</v>
      </c>
    </row>
    <row r="1602" spans="1:10" x14ac:dyDescent="0.35">
      <c r="A1602" s="5">
        <v>1598</v>
      </c>
      <c r="B1602" s="5">
        <v>67</v>
      </c>
      <c r="C1602" s="5">
        <v>3</v>
      </c>
      <c r="D1602" s="379">
        <v>62.607222222222212</v>
      </c>
      <c r="E1602" s="25">
        <v>25.74</v>
      </c>
      <c r="F1602" s="379">
        <v>3.2727733956087586</v>
      </c>
      <c r="G1602" s="25">
        <v>52.67</v>
      </c>
      <c r="H1602" s="379">
        <v>1.8457190916956596</v>
      </c>
      <c r="I1602" s="25">
        <v>53.27</v>
      </c>
      <c r="J1602" s="379">
        <v>2.777777777777778E-2</v>
      </c>
    </row>
    <row r="1603" spans="1:10" x14ac:dyDescent="0.35">
      <c r="A1603" s="5">
        <v>1599</v>
      </c>
      <c r="B1603" s="5">
        <v>67</v>
      </c>
      <c r="C1603" s="5">
        <v>3</v>
      </c>
      <c r="D1603" s="379">
        <v>69.228333333333339</v>
      </c>
      <c r="E1603" s="25">
        <v>25.74</v>
      </c>
      <c r="F1603" s="379">
        <v>3.2727733956087586</v>
      </c>
      <c r="G1603" s="25">
        <v>52.67</v>
      </c>
      <c r="H1603" s="379">
        <v>1.8457190916956596</v>
      </c>
      <c r="I1603" s="25">
        <v>54.76</v>
      </c>
      <c r="J1603" s="379">
        <v>2.777777777777778E-2</v>
      </c>
    </row>
    <row r="1604" spans="1:10" x14ac:dyDescent="0.35">
      <c r="A1604" s="5">
        <v>1600</v>
      </c>
      <c r="B1604" s="5">
        <v>67</v>
      </c>
      <c r="C1604" s="5">
        <v>3</v>
      </c>
      <c r="D1604" s="379">
        <v>82.865555555555559</v>
      </c>
      <c r="E1604" s="25">
        <v>27.29</v>
      </c>
      <c r="F1604" s="379">
        <v>3.2727733956087586</v>
      </c>
      <c r="G1604" s="25">
        <v>53.2</v>
      </c>
      <c r="H1604" s="379">
        <v>1.7286415589472539</v>
      </c>
      <c r="I1604" s="25">
        <v>66.06</v>
      </c>
      <c r="J1604" s="379">
        <v>2.777777777777778E-2</v>
      </c>
    </row>
    <row r="1605" spans="1:10" x14ac:dyDescent="0.35">
      <c r="A1605" s="5">
        <v>1601</v>
      </c>
      <c r="B1605" s="5">
        <v>67</v>
      </c>
      <c r="C1605" s="5">
        <v>3</v>
      </c>
      <c r="D1605" s="379">
        <v>109.22277777777778</v>
      </c>
      <c r="E1605" s="25">
        <v>28.12</v>
      </c>
      <c r="F1605" s="379">
        <v>5.0082893828650388</v>
      </c>
      <c r="G1605" s="25">
        <v>58.75</v>
      </c>
      <c r="H1605" s="379">
        <v>2.2489893605102833</v>
      </c>
      <c r="I1605" s="25">
        <v>72.19</v>
      </c>
      <c r="J1605" s="379">
        <v>2.777777777777778E-2</v>
      </c>
    </row>
    <row r="1606" spans="1:10" x14ac:dyDescent="0.35">
      <c r="A1606" s="5">
        <v>1602</v>
      </c>
      <c r="B1606" s="5">
        <v>67</v>
      </c>
      <c r="C1606" s="5">
        <v>3</v>
      </c>
      <c r="D1606" s="379">
        <v>125.43277777777777</v>
      </c>
      <c r="E1606" s="25">
        <v>31.19</v>
      </c>
      <c r="F1606" s="379">
        <v>12.663184531269984</v>
      </c>
      <c r="G1606" s="25">
        <v>63.98</v>
      </c>
      <c r="H1606" s="379">
        <v>7.3847268140883804</v>
      </c>
      <c r="I1606" s="25">
        <v>603.30999999999995</v>
      </c>
      <c r="J1606" s="379">
        <v>5.0326250985079026</v>
      </c>
    </row>
    <row r="1607" spans="1:10" x14ac:dyDescent="0.35">
      <c r="A1607" s="5">
        <v>1603</v>
      </c>
      <c r="B1607" s="5">
        <v>67</v>
      </c>
      <c r="C1607" s="5">
        <v>3</v>
      </c>
      <c r="D1607" s="379">
        <v>138.65999999999997</v>
      </c>
      <c r="E1607" s="25">
        <v>31.84</v>
      </c>
      <c r="F1607" s="379">
        <v>10.401736948041398</v>
      </c>
      <c r="G1607" s="25">
        <v>843.72</v>
      </c>
      <c r="H1607" s="379">
        <v>8.824513817761213</v>
      </c>
      <c r="I1607" s="25">
        <v>843.72</v>
      </c>
      <c r="J1607" s="379">
        <v>6.061543157637848</v>
      </c>
    </row>
    <row r="1608" spans="1:10" x14ac:dyDescent="0.35">
      <c r="A1608" s="5">
        <v>1604</v>
      </c>
      <c r="B1608" s="5">
        <v>67</v>
      </c>
      <c r="C1608" s="5">
        <v>3</v>
      </c>
      <c r="D1608" s="379">
        <v>138.88888888888889</v>
      </c>
      <c r="E1608" s="25">
        <v>37.090000000000003</v>
      </c>
      <c r="F1608" s="379">
        <v>9.9538832568728353</v>
      </c>
      <c r="G1608" s="25">
        <v>843.72</v>
      </c>
      <c r="H1608" s="379">
        <v>7.7430522981439998</v>
      </c>
      <c r="I1608" s="25">
        <v>843.72</v>
      </c>
      <c r="J1608" s="379">
        <v>5.9780881282564744</v>
      </c>
    </row>
    <row r="1609" spans="1:10" x14ac:dyDescent="0.35">
      <c r="A1609" s="5">
        <v>1605</v>
      </c>
      <c r="B1609" s="5">
        <v>67</v>
      </c>
      <c r="C1609" s="5">
        <v>3</v>
      </c>
      <c r="D1609" s="379">
        <v>126.80388888888889</v>
      </c>
      <c r="E1609" s="25">
        <v>36.01</v>
      </c>
      <c r="F1609" s="379">
        <v>10.926501055672171</v>
      </c>
      <c r="G1609" s="25">
        <v>843.72</v>
      </c>
      <c r="H1609" s="379">
        <v>8.926024870705815</v>
      </c>
      <c r="I1609" s="25">
        <v>843.72</v>
      </c>
      <c r="J1609" s="379">
        <v>6.1917137903582118</v>
      </c>
    </row>
    <row r="1610" spans="1:10" x14ac:dyDescent="0.35">
      <c r="A1610" s="5">
        <v>1606</v>
      </c>
      <c r="B1610" s="5">
        <v>67</v>
      </c>
      <c r="C1610" s="5">
        <v>3</v>
      </c>
      <c r="D1610" s="379">
        <v>111.73555555555554</v>
      </c>
      <c r="E1610" s="25">
        <v>28.12</v>
      </c>
      <c r="F1610" s="379">
        <v>11.660793750051184</v>
      </c>
      <c r="G1610" s="25">
        <v>64.2</v>
      </c>
      <c r="H1610" s="379">
        <v>8.8344247722804479</v>
      </c>
      <c r="I1610" s="25">
        <v>843.72</v>
      </c>
      <c r="J1610" s="379">
        <v>6.6098087867594115</v>
      </c>
    </row>
    <row r="1611" spans="1:10" x14ac:dyDescent="0.35">
      <c r="A1611" s="5">
        <v>1607</v>
      </c>
      <c r="B1611" s="5">
        <v>67</v>
      </c>
      <c r="C1611" s="5">
        <v>3</v>
      </c>
      <c r="D1611" s="379">
        <v>109.41111111111111</v>
      </c>
      <c r="E1611" s="25">
        <v>31.19</v>
      </c>
      <c r="F1611" s="379">
        <v>11.612981625921437</v>
      </c>
      <c r="G1611" s="25">
        <v>64.2</v>
      </c>
      <c r="H1611" s="379">
        <v>9.6308053329688317</v>
      </c>
      <c r="I1611" s="25">
        <v>843.72</v>
      </c>
      <c r="J1611" s="379">
        <v>5.5694807567730651</v>
      </c>
    </row>
    <row r="1612" spans="1:10" x14ac:dyDescent="0.35">
      <c r="A1612" s="5">
        <v>1608</v>
      </c>
      <c r="B1612" s="5">
        <v>67</v>
      </c>
      <c r="C1612" s="5">
        <v>3</v>
      </c>
      <c r="D1612" s="379">
        <v>103.69111111111111</v>
      </c>
      <c r="E1612" s="25">
        <v>26.51</v>
      </c>
      <c r="F1612" s="379">
        <v>11.801465899276486</v>
      </c>
      <c r="G1612" s="25">
        <v>57.51</v>
      </c>
      <c r="H1612" s="379">
        <v>9.143326610046147</v>
      </c>
      <c r="I1612" s="25">
        <v>843.72</v>
      </c>
      <c r="J1612" s="379">
        <v>5.9997123221543998</v>
      </c>
    </row>
    <row r="1613" spans="1:10" x14ac:dyDescent="0.35">
      <c r="A1613" s="5">
        <v>1609</v>
      </c>
      <c r="B1613" s="5">
        <v>68</v>
      </c>
      <c r="C1613" s="5">
        <v>3</v>
      </c>
      <c r="D1613" s="379">
        <v>100.45888888888889</v>
      </c>
      <c r="E1613" s="25">
        <v>26.51</v>
      </c>
      <c r="F1613" s="379">
        <v>10.885655910668024</v>
      </c>
      <c r="G1613" s="25">
        <v>61.91</v>
      </c>
      <c r="H1613" s="379">
        <v>8.4866544967507593</v>
      </c>
      <c r="I1613" s="25">
        <v>843.72</v>
      </c>
      <c r="J1613" s="379">
        <v>6.0857142893988518</v>
      </c>
    </row>
    <row r="1614" spans="1:10" x14ac:dyDescent="0.35">
      <c r="A1614" s="5">
        <v>1610</v>
      </c>
      <c r="B1614" s="5">
        <v>68</v>
      </c>
      <c r="C1614" s="5">
        <v>3</v>
      </c>
      <c r="D1614" s="379">
        <v>97.081666666666678</v>
      </c>
      <c r="E1614" s="25">
        <v>26.51</v>
      </c>
      <c r="F1614" s="379">
        <v>11.991445680401849</v>
      </c>
      <c r="G1614" s="25">
        <v>57.51</v>
      </c>
      <c r="H1614" s="379">
        <v>8.452861267399248</v>
      </c>
      <c r="I1614" s="25">
        <v>835.28</v>
      </c>
      <c r="J1614" s="379">
        <v>5.9541052082425692</v>
      </c>
    </row>
    <row r="1615" spans="1:10" x14ac:dyDescent="0.35">
      <c r="A1615" s="5">
        <v>1611</v>
      </c>
      <c r="B1615" s="5">
        <v>68</v>
      </c>
      <c r="C1615" s="5">
        <v>3</v>
      </c>
      <c r="D1615" s="379">
        <v>96.973888888888894</v>
      </c>
      <c r="E1615" s="25">
        <v>26.51</v>
      </c>
      <c r="F1615" s="379">
        <v>11.372001748219208</v>
      </c>
      <c r="G1615" s="25">
        <v>57.51</v>
      </c>
      <c r="H1615" s="379">
        <v>10.04002609715411</v>
      </c>
      <c r="I1615" s="25">
        <v>760.84</v>
      </c>
      <c r="J1615" s="379">
        <v>6.0464723296156215</v>
      </c>
    </row>
    <row r="1616" spans="1:10" x14ac:dyDescent="0.35">
      <c r="A1616" s="5">
        <v>1612</v>
      </c>
      <c r="B1616" s="5">
        <v>68</v>
      </c>
      <c r="C1616" s="5">
        <v>3</v>
      </c>
      <c r="D1616" s="379">
        <v>95.333333333333329</v>
      </c>
      <c r="E1616" s="25">
        <v>26.05</v>
      </c>
      <c r="F1616" s="379">
        <v>11.973620872510836</v>
      </c>
      <c r="G1616" s="25">
        <v>57.51</v>
      </c>
      <c r="H1616" s="379">
        <v>9.3514498085603766</v>
      </c>
      <c r="I1616" s="25">
        <v>717.16</v>
      </c>
      <c r="J1616" s="379">
        <v>6.0420246501421389</v>
      </c>
    </row>
    <row r="1617" spans="1:10" x14ac:dyDescent="0.35">
      <c r="A1617" s="5">
        <v>1613</v>
      </c>
      <c r="B1617" s="5">
        <v>68</v>
      </c>
      <c r="C1617" s="5">
        <v>3</v>
      </c>
      <c r="D1617" s="379">
        <v>95.553333333333327</v>
      </c>
      <c r="E1617" s="25">
        <v>26.51</v>
      </c>
      <c r="F1617" s="379">
        <v>16.511006880749214</v>
      </c>
      <c r="G1617" s="25">
        <v>57.51</v>
      </c>
      <c r="H1617" s="379">
        <v>9.4181346402042845</v>
      </c>
      <c r="I1617" s="25">
        <v>760.84</v>
      </c>
      <c r="J1617" s="379">
        <v>7.0443186595965956</v>
      </c>
    </row>
    <row r="1618" spans="1:10" x14ac:dyDescent="0.35">
      <c r="A1618" s="5">
        <v>1614</v>
      </c>
      <c r="B1618" s="5">
        <v>68</v>
      </c>
      <c r="C1618" s="5">
        <v>3</v>
      </c>
      <c r="D1618" s="379">
        <v>100.86611111111111</v>
      </c>
      <c r="E1618" s="25">
        <v>26.51</v>
      </c>
      <c r="F1618" s="379">
        <v>17.33677637311105</v>
      </c>
      <c r="G1618" s="25">
        <v>61.91</v>
      </c>
      <c r="H1618" s="379">
        <v>9.8215543064991255</v>
      </c>
      <c r="I1618" s="25">
        <v>843.72</v>
      </c>
      <c r="J1618" s="379">
        <v>7.2085701320691813</v>
      </c>
    </row>
    <row r="1619" spans="1:10" x14ac:dyDescent="0.35">
      <c r="A1619" s="5">
        <v>1615</v>
      </c>
      <c r="B1619" s="5">
        <v>68</v>
      </c>
      <c r="C1619" s="5">
        <v>3</v>
      </c>
      <c r="D1619" s="379">
        <v>113.80277777777776</v>
      </c>
      <c r="E1619" s="25">
        <v>29.23</v>
      </c>
      <c r="F1619" s="379">
        <v>17.538988511638337</v>
      </c>
      <c r="G1619" s="25">
        <v>64.2</v>
      </c>
      <c r="H1619" s="379">
        <v>10.216729852955831</v>
      </c>
      <c r="I1619" s="25">
        <v>869.03</v>
      </c>
      <c r="J1619" s="379">
        <v>7.2159622029081092</v>
      </c>
    </row>
    <row r="1620" spans="1:10" x14ac:dyDescent="0.35">
      <c r="A1620" s="5">
        <v>1616</v>
      </c>
      <c r="B1620" s="5">
        <v>68</v>
      </c>
      <c r="C1620" s="5">
        <v>3</v>
      </c>
      <c r="D1620" s="379">
        <v>124.435</v>
      </c>
      <c r="E1620" s="25">
        <v>36.94</v>
      </c>
      <c r="F1620" s="379">
        <v>17.785489358912905</v>
      </c>
      <c r="G1620" s="25">
        <v>843.72</v>
      </c>
      <c r="H1620" s="379">
        <v>10.146073130504503</v>
      </c>
      <c r="I1620" s="25">
        <v>869.03</v>
      </c>
      <c r="J1620" s="379">
        <v>7.3438754965629593</v>
      </c>
    </row>
    <row r="1621" spans="1:10" x14ac:dyDescent="0.35">
      <c r="A1621" s="5">
        <v>1617</v>
      </c>
      <c r="B1621" s="5">
        <v>68</v>
      </c>
      <c r="C1621" s="5">
        <v>3</v>
      </c>
      <c r="D1621" s="379">
        <v>117.87666666666665</v>
      </c>
      <c r="E1621" s="25">
        <v>36.94</v>
      </c>
      <c r="F1621" s="379">
        <v>19.324199648101697</v>
      </c>
      <c r="G1621" s="25">
        <v>843.72</v>
      </c>
      <c r="H1621" s="379">
        <v>10.157563967175633</v>
      </c>
      <c r="I1621" s="25">
        <v>869.03</v>
      </c>
      <c r="J1621" s="379">
        <v>7.3411488276108487</v>
      </c>
    </row>
    <row r="1622" spans="1:10" x14ac:dyDescent="0.35">
      <c r="A1622" s="5">
        <v>1618</v>
      </c>
      <c r="B1622" s="5">
        <v>68</v>
      </c>
      <c r="C1622" s="5">
        <v>3</v>
      </c>
      <c r="D1622" s="379">
        <v>105.83499999999999</v>
      </c>
      <c r="E1622" s="25">
        <v>36.94</v>
      </c>
      <c r="F1622" s="379">
        <v>19.079908373695904</v>
      </c>
      <c r="G1622" s="25">
        <v>67.66</v>
      </c>
      <c r="H1622" s="379">
        <v>9.7091275259996319</v>
      </c>
      <c r="I1622" s="25">
        <v>869.03</v>
      </c>
      <c r="J1622" s="379">
        <v>7.3746809986873636</v>
      </c>
    </row>
    <row r="1623" spans="1:10" x14ac:dyDescent="0.35">
      <c r="A1623" s="5">
        <v>1619</v>
      </c>
      <c r="B1623" s="5">
        <v>68</v>
      </c>
      <c r="C1623" s="5">
        <v>3</v>
      </c>
      <c r="D1623" s="379">
        <v>92.99777777777777</v>
      </c>
      <c r="E1623" s="25">
        <v>36.94</v>
      </c>
      <c r="F1623" s="379">
        <v>12.119703126715622</v>
      </c>
      <c r="G1623" s="25">
        <v>67.66</v>
      </c>
      <c r="H1623" s="379">
        <v>10.641135201722705</v>
      </c>
      <c r="I1623" s="25">
        <v>869.03</v>
      </c>
      <c r="J1623" s="379">
        <v>7.3172245803223648</v>
      </c>
    </row>
    <row r="1624" spans="1:10" x14ac:dyDescent="0.35">
      <c r="A1624" s="5">
        <v>1620</v>
      </c>
      <c r="B1624" s="5">
        <v>68</v>
      </c>
      <c r="C1624" s="5">
        <v>3</v>
      </c>
      <c r="D1624" s="379">
        <v>88.813888888888897</v>
      </c>
      <c r="E1624" s="25">
        <v>36.94</v>
      </c>
      <c r="F1624" s="379">
        <v>11.059729589334212</v>
      </c>
      <c r="G1624" s="25">
        <v>65.69</v>
      </c>
      <c r="H1624" s="379">
        <v>9.755055326256544</v>
      </c>
      <c r="I1624" s="25">
        <v>843.72</v>
      </c>
      <c r="J1624" s="379">
        <v>6.6025953674527242</v>
      </c>
    </row>
    <row r="1625" spans="1:10" x14ac:dyDescent="0.35">
      <c r="A1625" s="5">
        <v>1621</v>
      </c>
      <c r="B1625" s="5">
        <v>68</v>
      </c>
      <c r="C1625" s="5">
        <v>3</v>
      </c>
      <c r="D1625" s="379">
        <v>82.752777777777766</v>
      </c>
      <c r="E1625" s="25">
        <v>35.869999999999997</v>
      </c>
      <c r="F1625" s="379">
        <v>7.7950941775255549</v>
      </c>
      <c r="G1625" s="25">
        <v>62.84</v>
      </c>
      <c r="H1625" s="379">
        <v>9.755055326256544</v>
      </c>
      <c r="I1625" s="25">
        <v>843.72</v>
      </c>
      <c r="J1625" s="379">
        <v>6.6382734365275979</v>
      </c>
    </row>
    <row r="1626" spans="1:10" x14ac:dyDescent="0.35">
      <c r="A1626" s="5">
        <v>1622</v>
      </c>
      <c r="B1626" s="5">
        <v>68</v>
      </c>
      <c r="C1626" s="5">
        <v>3</v>
      </c>
      <c r="D1626" s="379">
        <v>82.648888888888891</v>
      </c>
      <c r="E1626" s="25">
        <v>35.869999999999997</v>
      </c>
      <c r="F1626" s="379">
        <v>3.2955758311157872</v>
      </c>
      <c r="G1626" s="25">
        <v>62.53</v>
      </c>
      <c r="H1626" s="379">
        <v>8.2324513845318972</v>
      </c>
      <c r="I1626" s="25">
        <v>843.72</v>
      </c>
      <c r="J1626" s="379">
        <v>6.3909594048967113</v>
      </c>
    </row>
    <row r="1627" spans="1:10" x14ac:dyDescent="0.35">
      <c r="A1627" s="5">
        <v>1623</v>
      </c>
      <c r="B1627" s="5">
        <v>68</v>
      </c>
      <c r="C1627" s="5">
        <v>3</v>
      </c>
      <c r="D1627" s="379">
        <v>84.016111111111101</v>
      </c>
      <c r="E1627" s="25">
        <v>35.869999999999997</v>
      </c>
      <c r="F1627" s="379">
        <v>2.4858528474974895</v>
      </c>
      <c r="G1627" s="25">
        <v>62.12</v>
      </c>
      <c r="H1627" s="379">
        <v>7.8141583013581712</v>
      </c>
      <c r="I1627" s="25">
        <v>843.72</v>
      </c>
      <c r="J1627" s="379">
        <v>6.1397543532278522</v>
      </c>
    </row>
    <row r="1628" spans="1:10" x14ac:dyDescent="0.35">
      <c r="A1628" s="5">
        <v>1624</v>
      </c>
      <c r="B1628" s="5">
        <v>68</v>
      </c>
      <c r="C1628" s="5">
        <v>3</v>
      </c>
      <c r="D1628" s="379">
        <v>92.227777777777774</v>
      </c>
      <c r="E1628" s="25">
        <v>36.94</v>
      </c>
      <c r="F1628" s="379">
        <v>9.2538987140354561</v>
      </c>
      <c r="G1628" s="25">
        <v>62.12</v>
      </c>
      <c r="H1628" s="379">
        <v>9.1349908538309013</v>
      </c>
      <c r="I1628" s="25">
        <v>843.72</v>
      </c>
      <c r="J1628" s="379">
        <v>6.2160889816780891</v>
      </c>
    </row>
    <row r="1629" spans="1:10" x14ac:dyDescent="0.35">
      <c r="A1629" s="5">
        <v>1625</v>
      </c>
      <c r="B1629" s="5">
        <v>68</v>
      </c>
      <c r="C1629" s="5">
        <v>3</v>
      </c>
      <c r="D1629" s="379">
        <v>98.696666666666658</v>
      </c>
      <c r="E1629" s="25">
        <v>36.94</v>
      </c>
      <c r="F1629" s="379">
        <v>10.141478250545054</v>
      </c>
      <c r="G1629" s="25">
        <v>62.53</v>
      </c>
      <c r="H1629" s="379">
        <v>9.8739534798387876</v>
      </c>
      <c r="I1629" s="25">
        <v>843.72</v>
      </c>
      <c r="J1629" s="379">
        <v>4.3013506773393573</v>
      </c>
    </row>
    <row r="1630" spans="1:10" x14ac:dyDescent="0.35">
      <c r="A1630" s="5">
        <v>1626</v>
      </c>
      <c r="B1630" s="5">
        <v>68</v>
      </c>
      <c r="C1630" s="5">
        <v>3</v>
      </c>
      <c r="D1630" s="379">
        <v>115.76222222222221</v>
      </c>
      <c r="E1630" s="25">
        <v>36.119999999999997</v>
      </c>
      <c r="F1630" s="379">
        <v>16.090513490836546</v>
      </c>
      <c r="G1630" s="25">
        <v>67.66</v>
      </c>
      <c r="H1630" s="379">
        <v>10.25316479486804</v>
      </c>
      <c r="I1630" s="25">
        <v>869.03</v>
      </c>
      <c r="J1630" s="379">
        <v>2.2502191674475251</v>
      </c>
    </row>
    <row r="1631" spans="1:10" x14ac:dyDescent="0.35">
      <c r="A1631" s="5">
        <v>1627</v>
      </c>
      <c r="B1631" s="5">
        <v>68</v>
      </c>
      <c r="C1631" s="5">
        <v>3</v>
      </c>
      <c r="D1631" s="379">
        <v>123.86833333333334</v>
      </c>
      <c r="E1631" s="25">
        <v>36.94</v>
      </c>
      <c r="F1631" s="379">
        <v>13.830893394799954</v>
      </c>
      <c r="G1631" s="25">
        <v>843.72</v>
      </c>
      <c r="H1631" s="379">
        <v>10.652159824176678</v>
      </c>
      <c r="I1631" s="25">
        <v>869.03</v>
      </c>
      <c r="J1631" s="379">
        <v>2.2502191674475251</v>
      </c>
    </row>
    <row r="1632" spans="1:10" x14ac:dyDescent="0.35">
      <c r="A1632" s="5">
        <v>1628</v>
      </c>
      <c r="B1632" s="5">
        <v>68</v>
      </c>
      <c r="C1632" s="5">
        <v>3</v>
      </c>
      <c r="D1632" s="379">
        <v>125.06722222222223</v>
      </c>
      <c r="E1632" s="25">
        <v>36.94</v>
      </c>
      <c r="F1632" s="379">
        <v>12.598802131650601</v>
      </c>
      <c r="G1632" s="25">
        <v>843.72</v>
      </c>
      <c r="H1632" s="379">
        <v>10.724340152480467</v>
      </c>
      <c r="I1632" s="25">
        <v>869.03</v>
      </c>
      <c r="J1632" s="379">
        <v>4.4050910057516068</v>
      </c>
    </row>
    <row r="1633" spans="1:10" x14ac:dyDescent="0.35">
      <c r="A1633" s="5">
        <v>1629</v>
      </c>
      <c r="B1633" s="5">
        <v>68</v>
      </c>
      <c r="C1633" s="5">
        <v>3</v>
      </c>
      <c r="D1633" s="379">
        <v>109.10777777777778</v>
      </c>
      <c r="E1633" s="25">
        <v>35.07</v>
      </c>
      <c r="F1633" s="379">
        <v>12.54739352479144</v>
      </c>
      <c r="G1633" s="25">
        <v>64.2</v>
      </c>
      <c r="H1633" s="379">
        <v>8.6593718174655088</v>
      </c>
      <c r="I1633" s="25">
        <v>843.72</v>
      </c>
      <c r="J1633" s="379">
        <v>6.6510044036815437</v>
      </c>
    </row>
    <row r="1634" spans="1:10" x14ac:dyDescent="0.35">
      <c r="A1634" s="5">
        <v>1630</v>
      </c>
      <c r="B1634" s="5">
        <v>68</v>
      </c>
      <c r="C1634" s="5">
        <v>3</v>
      </c>
      <c r="D1634" s="379">
        <v>98.625</v>
      </c>
      <c r="E1634" s="25">
        <v>28.12</v>
      </c>
      <c r="F1634" s="379">
        <v>13.964424153461351</v>
      </c>
      <c r="G1634" s="25">
        <v>62.12</v>
      </c>
      <c r="H1634" s="379">
        <v>8.4501854330222059</v>
      </c>
      <c r="I1634" s="25">
        <v>843.72</v>
      </c>
      <c r="J1634" s="379">
        <v>6.6510044036815437</v>
      </c>
    </row>
    <row r="1635" spans="1:10" x14ac:dyDescent="0.35">
      <c r="A1635" s="5">
        <v>1631</v>
      </c>
      <c r="B1635" s="5">
        <v>68</v>
      </c>
      <c r="C1635" s="5">
        <v>3</v>
      </c>
      <c r="D1635" s="379">
        <v>96.809444444444438</v>
      </c>
      <c r="E1635" s="25">
        <v>27.28</v>
      </c>
      <c r="F1635" s="379">
        <v>8.9950395691259697</v>
      </c>
      <c r="G1635" s="25">
        <v>62.33</v>
      </c>
      <c r="H1635" s="379">
        <v>8.1712829186799834</v>
      </c>
      <c r="I1635" s="25">
        <v>632.79</v>
      </c>
      <c r="J1635" s="379">
        <v>6.5631205790725318</v>
      </c>
    </row>
    <row r="1636" spans="1:10" x14ac:dyDescent="0.35">
      <c r="A1636" s="5">
        <v>1632</v>
      </c>
      <c r="B1636" s="5">
        <v>68</v>
      </c>
      <c r="C1636" s="5">
        <v>3</v>
      </c>
      <c r="D1636" s="379">
        <v>87.316111111111113</v>
      </c>
      <c r="E1636" s="25">
        <v>25.74</v>
      </c>
      <c r="F1636" s="379">
        <v>8.4722868920855099</v>
      </c>
      <c r="G1636" s="25">
        <v>58.75</v>
      </c>
      <c r="H1636" s="379">
        <v>9.2012346780364993</v>
      </c>
      <c r="I1636" s="25">
        <v>603.30999999999995</v>
      </c>
      <c r="J1636" s="379">
        <v>2.923946189707018</v>
      </c>
    </row>
    <row r="1637" spans="1:10" x14ac:dyDescent="0.35">
      <c r="A1637" s="5">
        <v>1633</v>
      </c>
      <c r="B1637" s="5">
        <v>69</v>
      </c>
      <c r="C1637" s="5">
        <v>3</v>
      </c>
      <c r="D1637" s="379">
        <v>81.461111111111123</v>
      </c>
      <c r="E1637" s="25">
        <v>25.74</v>
      </c>
      <c r="F1637" s="379">
        <v>8.1174834595959595</v>
      </c>
      <c r="G1637" s="25">
        <v>54.25</v>
      </c>
      <c r="H1637" s="379">
        <v>6.653340273050917</v>
      </c>
      <c r="I1637" s="25">
        <v>603.30999999999995</v>
      </c>
      <c r="J1637" s="379">
        <v>1.78415469724856</v>
      </c>
    </row>
    <row r="1638" spans="1:10" x14ac:dyDescent="0.35">
      <c r="A1638" s="5">
        <v>1634</v>
      </c>
      <c r="B1638" s="5">
        <v>69</v>
      </c>
      <c r="C1638" s="5">
        <v>3</v>
      </c>
      <c r="D1638" s="379">
        <v>72.421111111111117</v>
      </c>
      <c r="E1638" s="25">
        <v>25.74</v>
      </c>
      <c r="F1638" s="379">
        <v>4.3842776927857292</v>
      </c>
      <c r="G1638" s="25">
        <v>52.67</v>
      </c>
      <c r="H1638" s="379">
        <v>6.6159040241488798</v>
      </c>
      <c r="I1638" s="25">
        <v>72.19</v>
      </c>
      <c r="J1638" s="379">
        <v>4.2918481900029173</v>
      </c>
    </row>
    <row r="1639" spans="1:10" x14ac:dyDescent="0.35">
      <c r="A1639" s="5">
        <v>1635</v>
      </c>
      <c r="B1639" s="5">
        <v>69</v>
      </c>
      <c r="C1639" s="5">
        <v>3</v>
      </c>
      <c r="D1639" s="379">
        <v>76.933888888888887</v>
      </c>
      <c r="E1639" s="25">
        <v>25.59</v>
      </c>
      <c r="F1639" s="379">
        <v>4.5519709590413653</v>
      </c>
      <c r="G1639" s="25">
        <v>51.44</v>
      </c>
      <c r="H1639" s="379">
        <v>3.9569620112235584</v>
      </c>
      <c r="I1639" s="25">
        <v>72.19</v>
      </c>
      <c r="J1639" s="379">
        <v>1.076398115240101</v>
      </c>
    </row>
    <row r="1640" spans="1:10" x14ac:dyDescent="0.35">
      <c r="A1640" s="5">
        <v>1636</v>
      </c>
      <c r="B1640" s="5">
        <v>69</v>
      </c>
      <c r="C1640" s="5">
        <v>3</v>
      </c>
      <c r="D1640" s="379">
        <v>73.333888888888893</v>
      </c>
      <c r="E1640" s="25">
        <v>25.59</v>
      </c>
      <c r="F1640" s="379">
        <v>4.4946550963216927</v>
      </c>
      <c r="G1640" s="25">
        <v>49.94</v>
      </c>
      <c r="H1640" s="379">
        <v>2.867871909929105</v>
      </c>
      <c r="I1640" s="25">
        <v>587.69000000000005</v>
      </c>
      <c r="J1640" s="379">
        <v>0.24190472747189412</v>
      </c>
    </row>
    <row r="1641" spans="1:10" x14ac:dyDescent="0.35">
      <c r="A1641" s="5">
        <v>1637</v>
      </c>
      <c r="B1641" s="5">
        <v>69</v>
      </c>
      <c r="C1641" s="5">
        <v>3</v>
      </c>
      <c r="D1641" s="379">
        <v>75.45</v>
      </c>
      <c r="E1641" s="25">
        <v>25.74</v>
      </c>
      <c r="F1641" s="379">
        <v>4.5480860090947095</v>
      </c>
      <c r="G1641" s="25">
        <v>52.67</v>
      </c>
      <c r="H1641" s="379">
        <v>4.2458226406712338</v>
      </c>
      <c r="I1641" s="25">
        <v>603.30999999999995</v>
      </c>
      <c r="J1641" s="379">
        <v>4.5922220335613888</v>
      </c>
    </row>
    <row r="1642" spans="1:10" x14ac:dyDescent="0.35">
      <c r="A1642" s="5">
        <v>1638</v>
      </c>
      <c r="B1642" s="5">
        <v>69</v>
      </c>
      <c r="C1642" s="5">
        <v>3</v>
      </c>
      <c r="D1642" s="379">
        <v>81.036111111111111</v>
      </c>
      <c r="E1642" s="25">
        <v>25.74</v>
      </c>
      <c r="F1642" s="379">
        <v>4.6205798191214162</v>
      </c>
      <c r="G1642" s="25">
        <v>55.38</v>
      </c>
      <c r="H1642" s="379">
        <v>3.3204795065622243</v>
      </c>
      <c r="I1642" s="25">
        <v>619.35</v>
      </c>
      <c r="J1642" s="379">
        <v>4.1865306748049562</v>
      </c>
    </row>
    <row r="1643" spans="1:10" x14ac:dyDescent="0.35">
      <c r="A1643" s="5">
        <v>1639</v>
      </c>
      <c r="B1643" s="5">
        <v>69</v>
      </c>
      <c r="C1643" s="5">
        <v>3</v>
      </c>
      <c r="D1643" s="379">
        <v>91.36333333333333</v>
      </c>
      <c r="E1643" s="25">
        <v>27.3</v>
      </c>
      <c r="F1643" s="379">
        <v>4.5177125240766864</v>
      </c>
      <c r="G1643" s="25">
        <v>63.56</v>
      </c>
      <c r="H1643" s="379">
        <v>3.4936075176072663</v>
      </c>
      <c r="I1643" s="25">
        <v>843.72</v>
      </c>
      <c r="J1643" s="379">
        <v>3.8221583397425065</v>
      </c>
    </row>
    <row r="1644" spans="1:10" x14ac:dyDescent="0.35">
      <c r="A1644" s="5">
        <v>1640</v>
      </c>
      <c r="B1644" s="5">
        <v>69</v>
      </c>
      <c r="C1644" s="5">
        <v>3</v>
      </c>
      <c r="D1644" s="379">
        <v>95.286111111111111</v>
      </c>
      <c r="E1644" s="25">
        <v>31.4</v>
      </c>
      <c r="F1644" s="379">
        <v>4.7147698799734288</v>
      </c>
      <c r="G1644" s="25">
        <v>64.2</v>
      </c>
      <c r="H1644" s="379">
        <v>1.874640332789278</v>
      </c>
      <c r="I1644" s="25">
        <v>843.72</v>
      </c>
      <c r="J1644" s="379">
        <v>4.3608230426280468</v>
      </c>
    </row>
    <row r="1645" spans="1:10" x14ac:dyDescent="0.35">
      <c r="A1645" s="5">
        <v>1641</v>
      </c>
      <c r="B1645" s="5">
        <v>69</v>
      </c>
      <c r="C1645" s="5">
        <v>3</v>
      </c>
      <c r="D1645" s="379">
        <v>90.723333333333329</v>
      </c>
      <c r="E1645" s="25">
        <v>36.94</v>
      </c>
      <c r="F1645" s="379">
        <v>6.7963215412650797</v>
      </c>
      <c r="G1645" s="25">
        <v>64.2</v>
      </c>
      <c r="H1645" s="379">
        <v>5.9190105923552974</v>
      </c>
      <c r="I1645" s="25">
        <v>843.72</v>
      </c>
      <c r="J1645" s="379">
        <v>4.3281380631598418</v>
      </c>
    </row>
    <row r="1646" spans="1:10" x14ac:dyDescent="0.35">
      <c r="A1646" s="5">
        <v>1642</v>
      </c>
      <c r="B1646" s="5">
        <v>69</v>
      </c>
      <c r="C1646" s="5">
        <v>3</v>
      </c>
      <c r="D1646" s="379">
        <v>78.605555555555554</v>
      </c>
      <c r="E1646" s="25">
        <v>36.94</v>
      </c>
      <c r="F1646" s="379">
        <v>6.7963215412650797</v>
      </c>
      <c r="G1646" s="25">
        <v>64.2</v>
      </c>
      <c r="H1646" s="379">
        <v>4.6043836452293601</v>
      </c>
      <c r="I1646" s="25">
        <v>843.72</v>
      </c>
      <c r="J1646" s="379">
        <v>3.9698372619594573</v>
      </c>
    </row>
    <row r="1647" spans="1:10" x14ac:dyDescent="0.35">
      <c r="A1647" s="5">
        <v>1643</v>
      </c>
      <c r="B1647" s="5">
        <v>69</v>
      </c>
      <c r="C1647" s="5">
        <v>3</v>
      </c>
      <c r="D1647" s="379">
        <v>69.102222222222224</v>
      </c>
      <c r="E1647" s="25">
        <v>36.94</v>
      </c>
      <c r="F1647" s="379">
        <v>3.8705194021706513</v>
      </c>
      <c r="G1647" s="25">
        <v>64.2</v>
      </c>
      <c r="H1647" s="379">
        <v>4.48467310220932</v>
      </c>
      <c r="I1647" s="25">
        <v>773.03</v>
      </c>
      <c r="J1647" s="379">
        <v>3.5099011336736377</v>
      </c>
    </row>
    <row r="1648" spans="1:10" x14ac:dyDescent="0.35">
      <c r="A1648" s="5">
        <v>1644</v>
      </c>
      <c r="B1648" s="5">
        <v>69</v>
      </c>
      <c r="C1648" s="5">
        <v>3</v>
      </c>
      <c r="D1648" s="379">
        <v>61.971111111111114</v>
      </c>
      <c r="E1648" s="25">
        <v>36.94</v>
      </c>
      <c r="F1648" s="379">
        <v>3.7245239274201816</v>
      </c>
      <c r="G1648" s="25">
        <v>64.2</v>
      </c>
      <c r="H1648" s="379">
        <v>4.48467310220932</v>
      </c>
      <c r="I1648" s="25">
        <v>657.07</v>
      </c>
      <c r="J1648" s="379">
        <v>2.1228182158291262</v>
      </c>
    </row>
    <row r="1649" spans="1:10" x14ac:dyDescent="0.35">
      <c r="A1649" s="5">
        <v>1645</v>
      </c>
      <c r="B1649" s="5">
        <v>69</v>
      </c>
      <c r="C1649" s="5">
        <v>3</v>
      </c>
      <c r="D1649" s="379">
        <v>59.722777777777779</v>
      </c>
      <c r="E1649" s="25">
        <v>35.869999999999997</v>
      </c>
      <c r="F1649" s="379">
        <v>3.7245239274201816</v>
      </c>
      <c r="G1649" s="25">
        <v>64.2</v>
      </c>
      <c r="H1649" s="379">
        <v>4.48467310220932</v>
      </c>
      <c r="I1649" s="25">
        <v>619.35</v>
      </c>
      <c r="J1649" s="379">
        <v>2.1228182158291262</v>
      </c>
    </row>
    <row r="1650" spans="1:10" x14ac:dyDescent="0.35">
      <c r="A1650" s="5">
        <v>1646</v>
      </c>
      <c r="B1650" s="5">
        <v>69</v>
      </c>
      <c r="C1650" s="5">
        <v>3</v>
      </c>
      <c r="D1650" s="379">
        <v>65.346666666666664</v>
      </c>
      <c r="E1650" s="25">
        <v>35.869999999999997</v>
      </c>
      <c r="F1650" s="379">
        <v>3.308514907317063</v>
      </c>
      <c r="G1650" s="25">
        <v>64.2</v>
      </c>
      <c r="H1650" s="379">
        <v>4.48467310220932</v>
      </c>
      <c r="I1650" s="25">
        <v>619.35</v>
      </c>
      <c r="J1650" s="379">
        <v>2.1228182158291262</v>
      </c>
    </row>
    <row r="1651" spans="1:10" x14ac:dyDescent="0.35">
      <c r="A1651" s="5">
        <v>1647</v>
      </c>
      <c r="B1651" s="5">
        <v>69</v>
      </c>
      <c r="C1651" s="5">
        <v>3</v>
      </c>
      <c r="D1651" s="379">
        <v>66.699999999999989</v>
      </c>
      <c r="E1651" s="25">
        <v>35.869999999999997</v>
      </c>
      <c r="F1651" s="379">
        <v>3.4675480229981472</v>
      </c>
      <c r="G1651" s="25">
        <v>64.2</v>
      </c>
      <c r="H1651" s="379">
        <v>4.48467310220932</v>
      </c>
      <c r="I1651" s="25">
        <v>619.35</v>
      </c>
      <c r="J1651" s="379">
        <v>2.1228182158291262</v>
      </c>
    </row>
    <row r="1652" spans="1:10" x14ac:dyDescent="0.35">
      <c r="A1652" s="5">
        <v>1648</v>
      </c>
      <c r="B1652" s="5">
        <v>69</v>
      </c>
      <c r="C1652" s="5">
        <v>3</v>
      </c>
      <c r="D1652" s="379">
        <v>67.452777777777783</v>
      </c>
      <c r="E1652" s="25">
        <v>35.869999999999997</v>
      </c>
      <c r="F1652" s="379">
        <v>4.0937946852692644</v>
      </c>
      <c r="G1652" s="25">
        <v>64.2</v>
      </c>
      <c r="H1652" s="379">
        <v>2.1826856514572834</v>
      </c>
      <c r="I1652" s="25">
        <v>619.35</v>
      </c>
      <c r="J1652" s="379">
        <v>2.1807142181695549</v>
      </c>
    </row>
    <row r="1653" spans="1:10" x14ac:dyDescent="0.35">
      <c r="A1653" s="5">
        <v>1649</v>
      </c>
      <c r="B1653" s="5">
        <v>69</v>
      </c>
      <c r="C1653" s="5">
        <v>3</v>
      </c>
      <c r="D1653" s="379">
        <v>76.223333333333329</v>
      </c>
      <c r="E1653" s="25">
        <v>35.869999999999997</v>
      </c>
      <c r="F1653" s="379">
        <v>4.6363816941608791</v>
      </c>
      <c r="G1653" s="25">
        <v>64.2</v>
      </c>
      <c r="H1653" s="379">
        <v>2.2736024114779005</v>
      </c>
      <c r="I1653" s="25">
        <v>657.07</v>
      </c>
      <c r="J1653" s="379">
        <v>2.3727603675565341</v>
      </c>
    </row>
    <row r="1654" spans="1:10" x14ac:dyDescent="0.35">
      <c r="A1654" s="5">
        <v>1650</v>
      </c>
      <c r="B1654" s="5">
        <v>69</v>
      </c>
      <c r="C1654" s="5">
        <v>3</v>
      </c>
      <c r="D1654" s="379">
        <v>81.998888888888899</v>
      </c>
      <c r="E1654" s="25">
        <v>36.64</v>
      </c>
      <c r="F1654" s="379">
        <v>10.559962163426723</v>
      </c>
      <c r="G1654" s="25">
        <v>64.2</v>
      </c>
      <c r="H1654" s="379">
        <v>7.2463114126265902</v>
      </c>
      <c r="I1654" s="25">
        <v>869.03</v>
      </c>
      <c r="J1654" s="379">
        <v>6.3675331330955061</v>
      </c>
    </row>
    <row r="1655" spans="1:10" x14ac:dyDescent="0.35">
      <c r="A1655" s="5">
        <v>1651</v>
      </c>
      <c r="B1655" s="5">
        <v>69</v>
      </c>
      <c r="C1655" s="5">
        <v>3</v>
      </c>
      <c r="D1655" s="379">
        <v>85.532777777777781</v>
      </c>
      <c r="E1655" s="25">
        <v>37.090000000000003</v>
      </c>
      <c r="F1655" s="379">
        <v>10.399276351083513</v>
      </c>
      <c r="G1655" s="25">
        <v>843.72</v>
      </c>
      <c r="H1655" s="379">
        <v>8.7807959932972022</v>
      </c>
      <c r="I1655" s="25">
        <v>869.03</v>
      </c>
      <c r="J1655" s="379">
        <v>6.7242621830694542</v>
      </c>
    </row>
    <row r="1656" spans="1:10" x14ac:dyDescent="0.35">
      <c r="A1656" s="5">
        <v>1652</v>
      </c>
      <c r="B1656" s="5">
        <v>69</v>
      </c>
      <c r="C1656" s="5">
        <v>3</v>
      </c>
      <c r="D1656" s="379">
        <v>90.627777777777794</v>
      </c>
      <c r="E1656" s="25">
        <v>37.090000000000003</v>
      </c>
      <c r="F1656" s="379">
        <v>10.559982636236134</v>
      </c>
      <c r="G1656" s="25">
        <v>869.03</v>
      </c>
      <c r="H1656" s="379">
        <v>8.0028398052605834</v>
      </c>
      <c r="I1656" s="25">
        <v>869.03</v>
      </c>
      <c r="J1656" s="379">
        <v>6.9432226208467398</v>
      </c>
    </row>
    <row r="1657" spans="1:10" x14ac:dyDescent="0.35">
      <c r="A1657" s="5">
        <v>1653</v>
      </c>
      <c r="B1657" s="5">
        <v>69</v>
      </c>
      <c r="C1657" s="5">
        <v>3</v>
      </c>
      <c r="D1657" s="379">
        <v>79.656111111111116</v>
      </c>
      <c r="E1657" s="25">
        <v>37.090000000000003</v>
      </c>
      <c r="F1657" s="379">
        <v>10.559982636236134</v>
      </c>
      <c r="G1657" s="25">
        <v>843.72</v>
      </c>
      <c r="H1657" s="379">
        <v>6.3892739392441653</v>
      </c>
      <c r="I1657" s="25">
        <v>869.03</v>
      </c>
      <c r="J1657" s="379">
        <v>6.5857725607554132</v>
      </c>
    </row>
    <row r="1658" spans="1:10" x14ac:dyDescent="0.35">
      <c r="A1658" s="5">
        <v>1654</v>
      </c>
      <c r="B1658" s="5">
        <v>69</v>
      </c>
      <c r="C1658" s="5">
        <v>3</v>
      </c>
      <c r="D1658" s="379">
        <v>75.613888888888894</v>
      </c>
      <c r="E1658" s="25">
        <v>29.6</v>
      </c>
      <c r="F1658" s="379">
        <v>9.3092266411579896</v>
      </c>
      <c r="G1658" s="25">
        <v>64.2</v>
      </c>
      <c r="H1658" s="379">
        <v>7.4939701013127715</v>
      </c>
      <c r="I1658" s="25">
        <v>843.72</v>
      </c>
      <c r="J1658" s="379">
        <v>6.6018707212219319</v>
      </c>
    </row>
    <row r="1659" spans="1:10" x14ac:dyDescent="0.35">
      <c r="A1659" s="5">
        <v>1655</v>
      </c>
      <c r="B1659" s="5">
        <v>69</v>
      </c>
      <c r="C1659" s="5">
        <v>3</v>
      </c>
      <c r="D1659" s="379">
        <v>71.220555555555535</v>
      </c>
      <c r="E1659" s="25">
        <v>34.82</v>
      </c>
      <c r="F1659" s="379">
        <v>7.4516269236459456</v>
      </c>
      <c r="G1659" s="25">
        <v>64.2</v>
      </c>
      <c r="H1659" s="379">
        <v>7.762549372831403</v>
      </c>
      <c r="I1659" s="25">
        <v>843.72</v>
      </c>
      <c r="J1659" s="379">
        <v>5.9046366872463301</v>
      </c>
    </row>
    <row r="1660" spans="1:10" x14ac:dyDescent="0.35">
      <c r="A1660" s="5">
        <v>1656</v>
      </c>
      <c r="B1660" s="5">
        <v>69</v>
      </c>
      <c r="C1660" s="5">
        <v>3</v>
      </c>
      <c r="D1660" s="379">
        <v>60.857777777777784</v>
      </c>
      <c r="E1660" s="25">
        <v>34.82</v>
      </c>
      <c r="F1660" s="379">
        <v>6.5818484793815308</v>
      </c>
      <c r="G1660" s="25">
        <v>62.12</v>
      </c>
      <c r="H1660" s="379">
        <v>8.3236872646852618</v>
      </c>
      <c r="I1660" s="25">
        <v>843.72</v>
      </c>
      <c r="J1660" s="379">
        <v>5.3170668571260178</v>
      </c>
    </row>
    <row r="1661" spans="1:10" x14ac:dyDescent="0.35">
      <c r="A1661" s="5">
        <v>1657</v>
      </c>
      <c r="B1661" s="5">
        <v>70</v>
      </c>
      <c r="C1661" s="5">
        <v>3</v>
      </c>
      <c r="D1661" s="379">
        <v>55.024999999999999</v>
      </c>
      <c r="E1661" s="25">
        <v>25.74</v>
      </c>
      <c r="F1661" s="379">
        <v>6.5619926646069846</v>
      </c>
      <c r="G1661" s="25">
        <v>54.25</v>
      </c>
      <c r="H1661" s="379">
        <v>8.3966513879839919</v>
      </c>
      <c r="I1661" s="25">
        <v>603.30999999999995</v>
      </c>
      <c r="J1661" s="379">
        <v>5.2986412821248114</v>
      </c>
    </row>
    <row r="1662" spans="1:10" x14ac:dyDescent="0.35">
      <c r="A1662" s="5">
        <v>1658</v>
      </c>
      <c r="B1662" s="5">
        <v>70</v>
      </c>
      <c r="C1662" s="5">
        <v>3</v>
      </c>
      <c r="D1662" s="379">
        <v>54.341111111111104</v>
      </c>
      <c r="E1662" s="25">
        <v>25.74</v>
      </c>
      <c r="F1662" s="379">
        <v>6.5619212729958871</v>
      </c>
      <c r="G1662" s="25">
        <v>54.15</v>
      </c>
      <c r="H1662" s="379">
        <v>8.3278132108685092</v>
      </c>
      <c r="I1662" s="25">
        <v>603.30999999999995</v>
      </c>
      <c r="J1662" s="379">
        <v>5.3976179061506926</v>
      </c>
    </row>
    <row r="1663" spans="1:10" x14ac:dyDescent="0.35">
      <c r="A1663" s="5">
        <v>1659</v>
      </c>
      <c r="B1663" s="5">
        <v>70</v>
      </c>
      <c r="C1663" s="5">
        <v>3</v>
      </c>
      <c r="D1663" s="379">
        <v>52.182222222222229</v>
      </c>
      <c r="E1663" s="25">
        <v>25.74</v>
      </c>
      <c r="F1663" s="379">
        <v>6.5619212729958871</v>
      </c>
      <c r="G1663" s="25">
        <v>52.98</v>
      </c>
      <c r="H1663" s="379">
        <v>8.0854075326463821</v>
      </c>
      <c r="I1663" s="25">
        <v>603.30999999999995</v>
      </c>
      <c r="J1663" s="379">
        <v>5.3436341299576764</v>
      </c>
    </row>
    <row r="1664" spans="1:10" x14ac:dyDescent="0.35">
      <c r="A1664" s="5">
        <v>1660</v>
      </c>
      <c r="B1664" s="5">
        <v>70</v>
      </c>
      <c r="C1664" s="5">
        <v>3</v>
      </c>
      <c r="D1664" s="379">
        <v>49.263888888888886</v>
      </c>
      <c r="E1664" s="25">
        <v>25.51</v>
      </c>
      <c r="F1664" s="379">
        <v>6.5619212729958871</v>
      </c>
      <c r="G1664" s="25">
        <v>54.15</v>
      </c>
      <c r="H1664" s="379">
        <v>8.5464380256064398</v>
      </c>
      <c r="I1664" s="25">
        <v>603.30999999999995</v>
      </c>
      <c r="J1664" s="379">
        <v>5.3976179061506926</v>
      </c>
    </row>
    <row r="1665" spans="1:10" x14ac:dyDescent="0.35">
      <c r="A1665" s="5">
        <v>1661</v>
      </c>
      <c r="B1665" s="5">
        <v>70</v>
      </c>
      <c r="C1665" s="5">
        <v>3</v>
      </c>
      <c r="D1665" s="379">
        <v>50.041666666666664</v>
      </c>
      <c r="E1665" s="25">
        <v>25.51</v>
      </c>
      <c r="F1665" s="379">
        <v>6.5619926646069846</v>
      </c>
      <c r="G1665" s="25">
        <v>54.15</v>
      </c>
      <c r="H1665" s="379">
        <v>8.6193410374734807</v>
      </c>
      <c r="I1665" s="25">
        <v>603.30999999999995</v>
      </c>
      <c r="J1665" s="379">
        <v>5.3976179061506926</v>
      </c>
    </row>
    <row r="1666" spans="1:10" x14ac:dyDescent="0.35">
      <c r="A1666" s="5">
        <v>1662</v>
      </c>
      <c r="B1666" s="5">
        <v>70</v>
      </c>
      <c r="C1666" s="5">
        <v>3</v>
      </c>
      <c r="D1666" s="379">
        <v>55.265555555555551</v>
      </c>
      <c r="E1666" s="25">
        <v>25.74</v>
      </c>
      <c r="F1666" s="379">
        <v>6.9144726732460624</v>
      </c>
      <c r="G1666" s="25">
        <v>54.25</v>
      </c>
      <c r="H1666" s="379">
        <v>8.5502310405559676</v>
      </c>
      <c r="I1666" s="25">
        <v>603.30999999999995</v>
      </c>
      <c r="J1666" s="379">
        <v>4.9605089239989413</v>
      </c>
    </row>
    <row r="1667" spans="1:10" x14ac:dyDescent="0.35">
      <c r="A1667" s="5">
        <v>1663</v>
      </c>
      <c r="B1667" s="5">
        <v>70</v>
      </c>
      <c r="C1667" s="5">
        <v>3</v>
      </c>
      <c r="D1667" s="379">
        <v>65.554999999999993</v>
      </c>
      <c r="E1667" s="25">
        <v>27.3</v>
      </c>
      <c r="F1667" s="379">
        <v>6.9144726732460624</v>
      </c>
      <c r="G1667" s="25">
        <v>62.12</v>
      </c>
      <c r="H1667" s="379">
        <v>7.7325464600573195</v>
      </c>
      <c r="I1667" s="25">
        <v>843.72</v>
      </c>
      <c r="J1667" s="379">
        <v>5.0665580583428502</v>
      </c>
    </row>
    <row r="1668" spans="1:10" x14ac:dyDescent="0.35">
      <c r="A1668" s="5">
        <v>1664</v>
      </c>
      <c r="B1668" s="5">
        <v>70</v>
      </c>
      <c r="C1668" s="5">
        <v>3</v>
      </c>
      <c r="D1668" s="379">
        <v>70.772222222222226</v>
      </c>
      <c r="E1668" s="25">
        <v>28.97</v>
      </c>
      <c r="F1668" s="379">
        <v>7.4051717590793773</v>
      </c>
      <c r="G1668" s="25">
        <v>63.71</v>
      </c>
      <c r="H1668" s="379">
        <v>7.4529369401901056</v>
      </c>
      <c r="I1668" s="25">
        <v>843.72</v>
      </c>
      <c r="J1668" s="379">
        <v>5.475661696615135</v>
      </c>
    </row>
    <row r="1669" spans="1:10" x14ac:dyDescent="0.35">
      <c r="A1669" s="5">
        <v>1665</v>
      </c>
      <c r="B1669" s="5">
        <v>70</v>
      </c>
      <c r="C1669" s="5">
        <v>3</v>
      </c>
      <c r="D1669" s="379">
        <v>66.599444444444444</v>
      </c>
      <c r="E1669" s="25">
        <v>35.869999999999997</v>
      </c>
      <c r="F1669" s="379">
        <v>7.1206803661694762</v>
      </c>
      <c r="G1669" s="25">
        <v>63.71</v>
      </c>
      <c r="H1669" s="379">
        <v>7.0988277298126246</v>
      </c>
      <c r="I1669" s="25">
        <v>843.72</v>
      </c>
      <c r="J1669" s="379">
        <v>6.1230222285120677</v>
      </c>
    </row>
    <row r="1670" spans="1:10" x14ac:dyDescent="0.35">
      <c r="A1670" s="5">
        <v>1666</v>
      </c>
      <c r="B1670" s="5">
        <v>70</v>
      </c>
      <c r="C1670" s="5">
        <v>3</v>
      </c>
      <c r="D1670" s="379">
        <v>53.169999999999995</v>
      </c>
      <c r="E1670" s="25">
        <v>34.82</v>
      </c>
      <c r="F1670" s="379">
        <v>6.1803290618068356</v>
      </c>
      <c r="G1670" s="25">
        <v>62.62</v>
      </c>
      <c r="H1670" s="379">
        <v>5.644552010607641</v>
      </c>
      <c r="I1670" s="25">
        <v>639.58000000000004</v>
      </c>
      <c r="J1670" s="379">
        <v>5.5237588403327882</v>
      </c>
    </row>
    <row r="1671" spans="1:10" x14ac:dyDescent="0.35">
      <c r="A1671" s="5">
        <v>1667</v>
      </c>
      <c r="B1671" s="5">
        <v>70</v>
      </c>
      <c r="C1671" s="5">
        <v>3</v>
      </c>
      <c r="D1671" s="379">
        <v>46.978888888888889</v>
      </c>
      <c r="E1671" s="25">
        <v>28.12</v>
      </c>
      <c r="F1671" s="379">
        <v>5.8369529523927879</v>
      </c>
      <c r="G1671" s="25">
        <v>61.12</v>
      </c>
      <c r="H1671" s="379">
        <v>0.65808670058311347</v>
      </c>
      <c r="I1671" s="25">
        <v>603.30999999999995</v>
      </c>
      <c r="J1671" s="379">
        <v>0.50544126986102045</v>
      </c>
    </row>
    <row r="1672" spans="1:10" x14ac:dyDescent="0.35">
      <c r="A1672" s="5">
        <v>1668</v>
      </c>
      <c r="B1672" s="5">
        <v>70</v>
      </c>
      <c r="C1672" s="5">
        <v>3</v>
      </c>
      <c r="D1672" s="379">
        <v>43.30888888888888</v>
      </c>
      <c r="E1672" s="25">
        <v>27.3</v>
      </c>
      <c r="F1672" s="379">
        <v>3.714477901822574</v>
      </c>
      <c r="G1672" s="25">
        <v>57.04</v>
      </c>
      <c r="H1672" s="379">
        <v>0.47222222222222221</v>
      </c>
      <c r="I1672" s="25">
        <v>147.82</v>
      </c>
      <c r="J1672" s="379">
        <v>0.23435776781119033</v>
      </c>
    </row>
    <row r="1673" spans="1:10" x14ac:dyDescent="0.35">
      <c r="A1673" s="5">
        <v>1669</v>
      </c>
      <c r="B1673" s="5">
        <v>70</v>
      </c>
      <c r="C1673" s="5">
        <v>3</v>
      </c>
      <c r="D1673" s="379">
        <v>41.836111111111109</v>
      </c>
      <c r="E1673" s="25">
        <v>27.3</v>
      </c>
      <c r="F1673" s="379">
        <v>3.6414142684166331</v>
      </c>
      <c r="G1673" s="25">
        <v>54.7</v>
      </c>
      <c r="H1673" s="379">
        <v>0.47222222222222215</v>
      </c>
      <c r="I1673" s="25">
        <v>121.99</v>
      </c>
      <c r="J1673" s="379">
        <v>0.23435776781119033</v>
      </c>
    </row>
    <row r="1674" spans="1:10" x14ac:dyDescent="0.35">
      <c r="A1674" s="5">
        <v>1670</v>
      </c>
      <c r="B1674" s="5">
        <v>70</v>
      </c>
      <c r="C1674" s="5">
        <v>3</v>
      </c>
      <c r="D1674" s="379">
        <v>41.476111111111109</v>
      </c>
      <c r="E1674" s="25">
        <v>27.3</v>
      </c>
      <c r="F1674" s="379">
        <v>3.2984688817194554</v>
      </c>
      <c r="G1674" s="25">
        <v>54.15</v>
      </c>
      <c r="H1674" s="379">
        <v>0.4722222222222221</v>
      </c>
      <c r="I1674" s="25">
        <v>121.99</v>
      </c>
      <c r="J1674" s="379">
        <v>0.20413456228864524</v>
      </c>
    </row>
    <row r="1675" spans="1:10" x14ac:dyDescent="0.35">
      <c r="A1675" s="5">
        <v>1671</v>
      </c>
      <c r="B1675" s="5">
        <v>70</v>
      </c>
      <c r="C1675" s="5">
        <v>3</v>
      </c>
      <c r="D1675" s="379">
        <v>49.128888888888881</v>
      </c>
      <c r="E1675" s="25">
        <v>27.3</v>
      </c>
      <c r="F1675" s="379">
        <v>3.2984688817194554</v>
      </c>
      <c r="G1675" s="25">
        <v>54.15</v>
      </c>
      <c r="H1675" s="379">
        <v>0.47222222222222215</v>
      </c>
      <c r="I1675" s="25">
        <v>121.99</v>
      </c>
      <c r="J1675" s="379">
        <v>0.23383741738194119</v>
      </c>
    </row>
    <row r="1676" spans="1:10" x14ac:dyDescent="0.35">
      <c r="A1676" s="5">
        <v>1672</v>
      </c>
      <c r="B1676" s="5">
        <v>70</v>
      </c>
      <c r="C1676" s="5">
        <v>3</v>
      </c>
      <c r="D1676" s="379">
        <v>51.111666666666665</v>
      </c>
      <c r="E1676" s="25">
        <v>27.3</v>
      </c>
      <c r="F1676" s="379">
        <v>0.27554590333349044</v>
      </c>
      <c r="G1676" s="25">
        <v>54.15</v>
      </c>
      <c r="H1676" s="379">
        <v>0.87549767776608667</v>
      </c>
      <c r="I1676" s="25">
        <v>129.41999999999999</v>
      </c>
      <c r="J1676" s="379">
        <v>0.2967416566903685</v>
      </c>
    </row>
    <row r="1677" spans="1:10" x14ac:dyDescent="0.35">
      <c r="A1677" s="5">
        <v>1673</v>
      </c>
      <c r="B1677" s="5">
        <v>70</v>
      </c>
      <c r="C1677" s="5">
        <v>3</v>
      </c>
      <c r="D1677" s="379">
        <v>52.11388888888888</v>
      </c>
      <c r="E1677" s="25">
        <v>32.119999999999997</v>
      </c>
      <c r="F1677" s="379">
        <v>6.161452831023345</v>
      </c>
      <c r="G1677" s="25">
        <v>61.12</v>
      </c>
      <c r="H1677" s="379">
        <v>6.3258092768948089</v>
      </c>
      <c r="I1677" s="25">
        <v>603.30999999999995</v>
      </c>
      <c r="J1677" s="379">
        <v>4.5928685908776252</v>
      </c>
    </row>
    <row r="1678" spans="1:10" x14ac:dyDescent="0.35">
      <c r="A1678" s="5">
        <v>1674</v>
      </c>
      <c r="B1678" s="5">
        <v>70</v>
      </c>
      <c r="C1678" s="5">
        <v>3</v>
      </c>
      <c r="D1678" s="379">
        <v>63.737777777777772</v>
      </c>
      <c r="E1678" s="25">
        <v>34.82</v>
      </c>
      <c r="F1678" s="379">
        <v>19.238934161674802</v>
      </c>
      <c r="G1678" s="25">
        <v>62.12</v>
      </c>
      <c r="H1678" s="379">
        <v>8.6530321165147512</v>
      </c>
      <c r="I1678" s="25">
        <v>843.72</v>
      </c>
      <c r="J1678" s="379">
        <v>7.0663544943342069</v>
      </c>
    </row>
    <row r="1679" spans="1:10" x14ac:dyDescent="0.35">
      <c r="A1679" s="5">
        <v>1675</v>
      </c>
      <c r="B1679" s="5">
        <v>70</v>
      </c>
      <c r="C1679" s="5">
        <v>3</v>
      </c>
      <c r="D1679" s="379">
        <v>72.524444444444455</v>
      </c>
      <c r="E1679" s="25">
        <v>35.869999999999997</v>
      </c>
      <c r="F1679" s="379">
        <v>20.022626181374275</v>
      </c>
      <c r="G1679" s="25">
        <v>66.12</v>
      </c>
      <c r="H1679" s="379">
        <v>7.3487818756123096</v>
      </c>
      <c r="I1679" s="25">
        <v>843.72</v>
      </c>
      <c r="J1679" s="379">
        <v>7.0914291191215808</v>
      </c>
    </row>
    <row r="1680" spans="1:10" x14ac:dyDescent="0.35">
      <c r="A1680" s="5">
        <v>1676</v>
      </c>
      <c r="B1680" s="5">
        <v>70</v>
      </c>
      <c r="C1680" s="5">
        <v>3</v>
      </c>
      <c r="D1680" s="379">
        <v>72.143333333333331</v>
      </c>
      <c r="E1680" s="25">
        <v>36.94</v>
      </c>
      <c r="F1680" s="379">
        <v>19.808883324492022</v>
      </c>
      <c r="G1680" s="25">
        <v>843.72</v>
      </c>
      <c r="H1680" s="379">
        <v>7.6582971940072557</v>
      </c>
      <c r="I1680" s="25">
        <v>869.03</v>
      </c>
      <c r="J1680" s="379">
        <v>6.8963524385493233</v>
      </c>
    </row>
    <row r="1681" spans="1:10" x14ac:dyDescent="0.35">
      <c r="A1681" s="5">
        <v>1677</v>
      </c>
      <c r="B1681" s="5">
        <v>70</v>
      </c>
      <c r="C1681" s="5">
        <v>3</v>
      </c>
      <c r="D1681" s="379">
        <v>63.889999999999993</v>
      </c>
      <c r="E1681" s="25">
        <v>35.869999999999997</v>
      </c>
      <c r="F1681" s="379">
        <v>19.136146955329934</v>
      </c>
      <c r="G1681" s="25">
        <v>64.2</v>
      </c>
      <c r="H1681" s="379">
        <v>9.0435505942818732</v>
      </c>
      <c r="I1681" s="25">
        <v>869.03</v>
      </c>
      <c r="J1681" s="379">
        <v>6.3798064951069975</v>
      </c>
    </row>
    <row r="1682" spans="1:10" x14ac:dyDescent="0.35">
      <c r="A1682" s="5">
        <v>1678</v>
      </c>
      <c r="B1682" s="5">
        <v>70</v>
      </c>
      <c r="C1682" s="5">
        <v>3</v>
      </c>
      <c r="D1682" s="379">
        <v>59.915000000000006</v>
      </c>
      <c r="E1682" s="25">
        <v>32.119999999999997</v>
      </c>
      <c r="F1682" s="379">
        <v>18.577475361733764</v>
      </c>
      <c r="G1682" s="25">
        <v>62.12</v>
      </c>
      <c r="H1682" s="379">
        <v>9.3747359633763594</v>
      </c>
      <c r="I1682" s="25">
        <v>843.72</v>
      </c>
      <c r="J1682" s="379">
        <v>6.8899269894779742</v>
      </c>
    </row>
    <row r="1683" spans="1:10" x14ac:dyDescent="0.35">
      <c r="A1683" s="5">
        <v>1679</v>
      </c>
      <c r="B1683" s="5">
        <v>70</v>
      </c>
      <c r="C1683" s="5">
        <v>3</v>
      </c>
      <c r="D1683" s="379">
        <v>58.013888888888886</v>
      </c>
      <c r="E1683" s="25">
        <v>32.119999999999997</v>
      </c>
      <c r="F1683" s="379">
        <v>18.507460552507709</v>
      </c>
      <c r="G1683" s="25">
        <v>62.12</v>
      </c>
      <c r="H1683" s="379">
        <v>9.1634879697244465</v>
      </c>
      <c r="I1683" s="25">
        <v>843.72</v>
      </c>
      <c r="J1683" s="379">
        <v>6.3790441135870362</v>
      </c>
    </row>
    <row r="1684" spans="1:10" x14ac:dyDescent="0.35">
      <c r="A1684" s="5">
        <v>1680</v>
      </c>
      <c r="B1684" s="5">
        <v>70</v>
      </c>
      <c r="C1684" s="5">
        <v>3</v>
      </c>
      <c r="D1684" s="379">
        <v>56.420555555555545</v>
      </c>
      <c r="E1684" s="25">
        <v>32.119999999999997</v>
      </c>
      <c r="F1684" s="379">
        <v>18.454232438752065</v>
      </c>
      <c r="G1684" s="25">
        <v>58.16</v>
      </c>
      <c r="H1684" s="379">
        <v>8.2951674012438179</v>
      </c>
      <c r="I1684" s="25">
        <v>609.41</v>
      </c>
      <c r="J1684" s="379">
        <v>6.0927561018863097</v>
      </c>
    </row>
    <row r="1685" spans="1:10" x14ac:dyDescent="0.35">
      <c r="A1685" s="5">
        <v>1681</v>
      </c>
      <c r="B1685" s="5">
        <v>71</v>
      </c>
      <c r="C1685" s="5">
        <v>3</v>
      </c>
      <c r="D1685" s="379">
        <v>53.545000000000009</v>
      </c>
      <c r="E1685" s="25">
        <v>26.51</v>
      </c>
      <c r="F1685" s="379">
        <v>17.719575155843597</v>
      </c>
      <c r="G1685" s="25">
        <v>53.23</v>
      </c>
      <c r="H1685" s="379">
        <v>9.4912098954831468</v>
      </c>
      <c r="I1685" s="25">
        <v>152.25</v>
      </c>
      <c r="J1685" s="379">
        <v>5.7437149333003577</v>
      </c>
    </row>
    <row r="1686" spans="1:10" x14ac:dyDescent="0.35">
      <c r="A1686" s="5">
        <v>1682</v>
      </c>
      <c r="B1686" s="5">
        <v>71</v>
      </c>
      <c r="C1686" s="5">
        <v>3</v>
      </c>
      <c r="D1686" s="379">
        <v>51.933333333333323</v>
      </c>
      <c r="E1686" s="25">
        <v>25.74</v>
      </c>
      <c r="F1686" s="379">
        <v>18.339675462100132</v>
      </c>
      <c r="G1686" s="25">
        <v>53.15</v>
      </c>
      <c r="H1686" s="379">
        <v>8.2265271778404578</v>
      </c>
      <c r="I1686" s="25">
        <v>147.82</v>
      </c>
      <c r="J1686" s="379">
        <v>6.700005408642232</v>
      </c>
    </row>
    <row r="1687" spans="1:10" x14ac:dyDescent="0.35">
      <c r="A1687" s="5">
        <v>1683</v>
      </c>
      <c r="B1687" s="5">
        <v>71</v>
      </c>
      <c r="C1687" s="5">
        <v>3</v>
      </c>
      <c r="D1687" s="379">
        <v>50.25277777777778</v>
      </c>
      <c r="E1687" s="25">
        <v>25.74</v>
      </c>
      <c r="F1687" s="379">
        <v>18.316805018931735</v>
      </c>
      <c r="G1687" s="25">
        <v>53.15</v>
      </c>
      <c r="H1687" s="379">
        <v>9.8200320783769453</v>
      </c>
      <c r="I1687" s="25">
        <v>147.82</v>
      </c>
      <c r="J1687" s="379">
        <v>6.9430672753793763</v>
      </c>
    </row>
    <row r="1688" spans="1:10" x14ac:dyDescent="0.35">
      <c r="A1688" s="5">
        <v>1684</v>
      </c>
      <c r="B1688" s="5">
        <v>71</v>
      </c>
      <c r="C1688" s="5">
        <v>3</v>
      </c>
      <c r="D1688" s="379">
        <v>48.372222222222227</v>
      </c>
      <c r="E1688" s="25">
        <v>25.74</v>
      </c>
      <c r="F1688" s="379">
        <v>18.300814946147678</v>
      </c>
      <c r="G1688" s="25">
        <v>53.15</v>
      </c>
      <c r="H1688" s="379">
        <v>9.196262343806227</v>
      </c>
      <c r="I1688" s="25">
        <v>147.82</v>
      </c>
      <c r="J1688" s="379">
        <v>7.3009474472549591</v>
      </c>
    </row>
    <row r="1689" spans="1:10" x14ac:dyDescent="0.35">
      <c r="A1689" s="5">
        <v>1685</v>
      </c>
      <c r="B1689" s="5">
        <v>71</v>
      </c>
      <c r="C1689" s="5">
        <v>3</v>
      </c>
      <c r="D1689" s="379">
        <v>47.833333333333329</v>
      </c>
      <c r="E1689" s="25">
        <v>25.74</v>
      </c>
      <c r="F1689" s="379">
        <v>18.153850068007038</v>
      </c>
      <c r="G1689" s="25">
        <v>53.15</v>
      </c>
      <c r="H1689" s="379">
        <v>6.7982903961924412</v>
      </c>
      <c r="I1689" s="25">
        <v>147.82</v>
      </c>
      <c r="J1689" s="379">
        <v>6.2741717854476793</v>
      </c>
    </row>
    <row r="1690" spans="1:10" x14ac:dyDescent="0.35">
      <c r="A1690" s="5">
        <v>1686</v>
      </c>
      <c r="B1690" s="5">
        <v>71</v>
      </c>
      <c r="C1690" s="5">
        <v>3</v>
      </c>
      <c r="D1690" s="379">
        <v>49.45</v>
      </c>
      <c r="E1690" s="25">
        <v>25.74</v>
      </c>
      <c r="F1690" s="379">
        <v>16.544248048823356</v>
      </c>
      <c r="G1690" s="25">
        <v>54.25</v>
      </c>
      <c r="H1690" s="379">
        <v>6.8290633601220811</v>
      </c>
      <c r="I1690" s="25">
        <v>152.25</v>
      </c>
      <c r="J1690" s="379">
        <v>6.1755697409161634</v>
      </c>
    </row>
    <row r="1691" spans="1:10" x14ac:dyDescent="0.35">
      <c r="A1691" s="5">
        <v>1687</v>
      </c>
      <c r="B1691" s="5">
        <v>71</v>
      </c>
      <c r="C1691" s="5">
        <v>3</v>
      </c>
      <c r="D1691" s="379">
        <v>54.224999999999994</v>
      </c>
      <c r="E1691" s="25">
        <v>27.55</v>
      </c>
      <c r="F1691" s="379">
        <v>16.835345932233139</v>
      </c>
      <c r="G1691" s="25">
        <v>62.12</v>
      </c>
      <c r="H1691" s="379">
        <v>8.7511369512436286</v>
      </c>
      <c r="I1691" s="25">
        <v>843.72</v>
      </c>
      <c r="J1691" s="379">
        <v>6.3588116796783858</v>
      </c>
    </row>
    <row r="1692" spans="1:10" x14ac:dyDescent="0.35">
      <c r="A1692" s="5">
        <v>1688</v>
      </c>
      <c r="B1692" s="5">
        <v>71</v>
      </c>
      <c r="C1692" s="5">
        <v>3</v>
      </c>
      <c r="D1692" s="379">
        <v>45.868888888888883</v>
      </c>
      <c r="E1692" s="25">
        <v>30.28</v>
      </c>
      <c r="F1692" s="379">
        <v>8.1174834595959595</v>
      </c>
      <c r="G1692" s="25">
        <v>62.53</v>
      </c>
      <c r="H1692" s="379">
        <v>5.4079098768100842</v>
      </c>
      <c r="I1692" s="25">
        <v>843.72</v>
      </c>
      <c r="J1692" s="379">
        <v>5.7478235788836836</v>
      </c>
    </row>
    <row r="1693" spans="1:10" x14ac:dyDescent="0.35">
      <c r="A1693" s="5">
        <v>1689</v>
      </c>
      <c r="B1693" s="5">
        <v>71</v>
      </c>
      <c r="C1693" s="5">
        <v>3</v>
      </c>
      <c r="D1693" s="379">
        <v>49.306666666666665</v>
      </c>
      <c r="E1693" s="25">
        <v>30.91</v>
      </c>
      <c r="F1693" s="379">
        <v>8.580445357120885</v>
      </c>
      <c r="G1693" s="25">
        <v>62.53</v>
      </c>
      <c r="H1693" s="379">
        <v>5.369755437767135</v>
      </c>
      <c r="I1693" s="25">
        <v>843.72</v>
      </c>
      <c r="J1693" s="379">
        <v>0.27777777777777779</v>
      </c>
    </row>
    <row r="1694" spans="1:10" x14ac:dyDescent="0.35">
      <c r="A1694" s="5">
        <v>1690</v>
      </c>
      <c r="B1694" s="5">
        <v>71</v>
      </c>
      <c r="C1694" s="5">
        <v>3</v>
      </c>
      <c r="D1694" s="379">
        <v>46.175000000000004</v>
      </c>
      <c r="E1694" s="25">
        <v>30.28</v>
      </c>
      <c r="F1694" s="379">
        <v>8.1174834595959595</v>
      </c>
      <c r="G1694" s="25">
        <v>62.12</v>
      </c>
      <c r="H1694" s="379">
        <v>5.9042190408190383</v>
      </c>
      <c r="I1694" s="25">
        <v>639.58000000000004</v>
      </c>
      <c r="J1694" s="379">
        <v>5.1561158119795083</v>
      </c>
    </row>
    <row r="1695" spans="1:10" x14ac:dyDescent="0.35">
      <c r="A1695" s="5">
        <v>1691</v>
      </c>
      <c r="B1695" s="5">
        <v>71</v>
      </c>
      <c r="C1695" s="5">
        <v>3</v>
      </c>
      <c r="D1695" s="379">
        <v>43.271666666666661</v>
      </c>
      <c r="E1695" s="25">
        <v>28.37</v>
      </c>
      <c r="F1695" s="379">
        <v>7.6929844656192241</v>
      </c>
      <c r="G1695" s="25">
        <v>58.75</v>
      </c>
      <c r="H1695" s="379">
        <v>4.9875352467195357</v>
      </c>
      <c r="I1695" s="25">
        <v>157.56</v>
      </c>
      <c r="J1695" s="379">
        <v>0.34381299392349263</v>
      </c>
    </row>
    <row r="1696" spans="1:10" x14ac:dyDescent="0.35">
      <c r="A1696" s="5">
        <v>1692</v>
      </c>
      <c r="B1696" s="5">
        <v>71</v>
      </c>
      <c r="C1696" s="5">
        <v>3</v>
      </c>
      <c r="D1696" s="379">
        <v>51.265000000000001</v>
      </c>
      <c r="E1696" s="25">
        <v>26.51</v>
      </c>
      <c r="F1696" s="379">
        <v>5.0643065312006845</v>
      </c>
      <c r="G1696" s="25">
        <v>57.04</v>
      </c>
      <c r="H1696" s="379">
        <v>5.5965568883873926</v>
      </c>
      <c r="I1696" s="25">
        <v>135.28</v>
      </c>
      <c r="J1696" s="379">
        <v>0.25159549959075095</v>
      </c>
    </row>
    <row r="1697" spans="1:10" x14ac:dyDescent="0.35">
      <c r="A1697" s="5">
        <v>1693</v>
      </c>
      <c r="B1697" s="5">
        <v>71</v>
      </c>
      <c r="C1697" s="5">
        <v>3</v>
      </c>
      <c r="D1697" s="379">
        <v>42.995555555555555</v>
      </c>
      <c r="E1697" s="25">
        <v>26.5</v>
      </c>
      <c r="F1697" s="379">
        <v>5.0643065312006845</v>
      </c>
      <c r="G1697" s="25">
        <v>51.26</v>
      </c>
      <c r="H1697" s="379">
        <v>5.5965568883873926</v>
      </c>
      <c r="I1697" s="25">
        <v>72.19</v>
      </c>
      <c r="J1697" s="379">
        <v>0.25159549959075095</v>
      </c>
    </row>
    <row r="1698" spans="1:10" x14ac:dyDescent="0.35">
      <c r="A1698" s="5">
        <v>1694</v>
      </c>
      <c r="B1698" s="5">
        <v>71</v>
      </c>
      <c r="C1698" s="5">
        <v>3</v>
      </c>
      <c r="D1698" s="379">
        <v>49.564999999999998</v>
      </c>
      <c r="E1698" s="25">
        <v>25.74</v>
      </c>
      <c r="F1698" s="379">
        <v>5.0643065312006845</v>
      </c>
      <c r="G1698" s="25">
        <v>51.26</v>
      </c>
      <c r="H1698" s="379">
        <v>5.5965568883873926</v>
      </c>
      <c r="I1698" s="25">
        <v>72.19</v>
      </c>
      <c r="J1698" s="379">
        <v>2.777777777777778E-2</v>
      </c>
    </row>
    <row r="1699" spans="1:10" x14ac:dyDescent="0.35">
      <c r="A1699" s="5">
        <v>1695</v>
      </c>
      <c r="B1699" s="5">
        <v>71</v>
      </c>
      <c r="C1699" s="5">
        <v>3</v>
      </c>
      <c r="D1699" s="379">
        <v>50.600000000000009</v>
      </c>
      <c r="E1699" s="25">
        <v>25.74</v>
      </c>
      <c r="F1699" s="379">
        <v>0.47222222222222221</v>
      </c>
      <c r="G1699" s="25">
        <v>51.26</v>
      </c>
      <c r="H1699" s="379">
        <v>4.9875352467195357</v>
      </c>
      <c r="I1699" s="25">
        <v>72.19</v>
      </c>
      <c r="J1699" s="379">
        <v>0.25159549959075095</v>
      </c>
    </row>
    <row r="1700" spans="1:10" x14ac:dyDescent="0.35">
      <c r="A1700" s="5">
        <v>1696</v>
      </c>
      <c r="B1700" s="5">
        <v>71</v>
      </c>
      <c r="C1700" s="5">
        <v>3</v>
      </c>
      <c r="D1700" s="379">
        <v>53.951111111111103</v>
      </c>
      <c r="E1700" s="25">
        <v>25.74</v>
      </c>
      <c r="F1700" s="379">
        <v>7.3348672405140407</v>
      </c>
      <c r="G1700" s="25">
        <v>51.26</v>
      </c>
      <c r="H1700" s="379">
        <v>4.8324201096732002</v>
      </c>
      <c r="I1700" s="25">
        <v>72.19</v>
      </c>
      <c r="J1700" s="379">
        <v>0.12526895181518741</v>
      </c>
    </row>
    <row r="1701" spans="1:10" x14ac:dyDescent="0.35">
      <c r="A1701" s="5">
        <v>1697</v>
      </c>
      <c r="B1701" s="5">
        <v>71</v>
      </c>
      <c r="C1701" s="5">
        <v>3</v>
      </c>
      <c r="D1701" s="379">
        <v>61.605000000000004</v>
      </c>
      <c r="E1701" s="25">
        <v>26.51</v>
      </c>
      <c r="F1701" s="379">
        <v>8.7971328322366915</v>
      </c>
      <c r="G1701" s="25">
        <v>52.62</v>
      </c>
      <c r="H1701" s="379">
        <v>5.041579915624955</v>
      </c>
      <c r="I1701" s="25">
        <v>121.99</v>
      </c>
      <c r="J1701" s="379">
        <v>1.782981509272846</v>
      </c>
    </row>
    <row r="1702" spans="1:10" x14ac:dyDescent="0.35">
      <c r="A1702" s="5">
        <v>1698</v>
      </c>
      <c r="B1702" s="5">
        <v>71</v>
      </c>
      <c r="C1702" s="5">
        <v>3</v>
      </c>
      <c r="D1702" s="379">
        <v>69.936666666666667</v>
      </c>
      <c r="E1702" s="25">
        <v>27.3</v>
      </c>
      <c r="F1702" s="379">
        <v>10.344426955338042</v>
      </c>
      <c r="G1702" s="25">
        <v>58.75</v>
      </c>
      <c r="H1702" s="379">
        <v>6.5934231616492367</v>
      </c>
      <c r="I1702" s="25">
        <v>139.33000000000001</v>
      </c>
      <c r="J1702" s="379">
        <v>3.6615775547570864</v>
      </c>
    </row>
    <row r="1703" spans="1:10" x14ac:dyDescent="0.35">
      <c r="A1703" s="5">
        <v>1699</v>
      </c>
      <c r="B1703" s="5">
        <v>71</v>
      </c>
      <c r="C1703" s="5">
        <v>3</v>
      </c>
      <c r="D1703" s="379">
        <v>75.319999999999993</v>
      </c>
      <c r="E1703" s="25">
        <v>29.23</v>
      </c>
      <c r="F1703" s="379">
        <v>14.939594859135106</v>
      </c>
      <c r="G1703" s="25">
        <v>60.31</v>
      </c>
      <c r="H1703" s="379">
        <v>6.8093504934148035</v>
      </c>
      <c r="I1703" s="25">
        <v>587.69000000000005</v>
      </c>
      <c r="J1703" s="379">
        <v>0.27777777777777779</v>
      </c>
    </row>
    <row r="1704" spans="1:10" x14ac:dyDescent="0.35">
      <c r="A1704" s="5">
        <v>1700</v>
      </c>
      <c r="B1704" s="5">
        <v>71</v>
      </c>
      <c r="C1704" s="5">
        <v>3</v>
      </c>
      <c r="D1704" s="379">
        <v>72.328333333333319</v>
      </c>
      <c r="E1704" s="25">
        <v>29.23</v>
      </c>
      <c r="F1704" s="379">
        <v>12.117700549180189</v>
      </c>
      <c r="G1704" s="25">
        <v>60.31</v>
      </c>
      <c r="H1704" s="379">
        <v>7.2532042294434174</v>
      </c>
      <c r="I1704" s="25">
        <v>570.57000000000005</v>
      </c>
      <c r="J1704" s="379">
        <v>0.27777777777777779</v>
      </c>
    </row>
    <row r="1705" spans="1:10" x14ac:dyDescent="0.35">
      <c r="A1705" s="5">
        <v>1701</v>
      </c>
      <c r="B1705" s="5">
        <v>71</v>
      </c>
      <c r="C1705" s="5">
        <v>3</v>
      </c>
      <c r="D1705" s="379">
        <v>62.931111111111107</v>
      </c>
      <c r="E1705" s="25">
        <v>27.3</v>
      </c>
      <c r="F1705" s="379">
        <v>10.576037403717358</v>
      </c>
      <c r="G1705" s="25">
        <v>54.15</v>
      </c>
      <c r="H1705" s="379">
        <v>6.7601522730657448</v>
      </c>
      <c r="I1705" s="25">
        <v>139.33000000000001</v>
      </c>
      <c r="J1705" s="379">
        <v>0.27777777777777779</v>
      </c>
    </row>
    <row r="1706" spans="1:10" x14ac:dyDescent="0.35">
      <c r="A1706" s="5">
        <v>1702</v>
      </c>
      <c r="B1706" s="5">
        <v>71</v>
      </c>
      <c r="C1706" s="5">
        <v>3</v>
      </c>
      <c r="D1706" s="379">
        <v>62.216666666666669</v>
      </c>
      <c r="E1706" s="25">
        <v>25.74</v>
      </c>
      <c r="F1706" s="379">
        <v>9.1070208334439808</v>
      </c>
      <c r="G1706" s="25">
        <v>47.85</v>
      </c>
      <c r="H1706" s="379">
        <v>7.1099603309987272</v>
      </c>
      <c r="I1706" s="25">
        <v>75.11</v>
      </c>
      <c r="J1706" s="379">
        <v>0.27777777777777779</v>
      </c>
    </row>
    <row r="1707" spans="1:10" x14ac:dyDescent="0.35">
      <c r="A1707" s="5">
        <v>1703</v>
      </c>
      <c r="B1707" s="5">
        <v>71</v>
      </c>
      <c r="C1707" s="5">
        <v>3</v>
      </c>
      <c r="D1707" s="379">
        <v>61.187777777777768</v>
      </c>
      <c r="E1707" s="25">
        <v>25.74</v>
      </c>
      <c r="F1707" s="379">
        <v>8.6442547998573538</v>
      </c>
      <c r="G1707" s="25">
        <v>52.62</v>
      </c>
      <c r="H1707" s="379">
        <v>6.6385354926328723</v>
      </c>
      <c r="I1707" s="25">
        <v>72.19</v>
      </c>
      <c r="J1707" s="379">
        <v>3.1740447907253988</v>
      </c>
    </row>
    <row r="1708" spans="1:10" x14ac:dyDescent="0.35">
      <c r="A1708" s="5">
        <v>1704</v>
      </c>
      <c r="B1708" s="5">
        <v>71</v>
      </c>
      <c r="C1708" s="5">
        <v>3</v>
      </c>
      <c r="D1708" s="379">
        <v>53.735555555555557</v>
      </c>
      <c r="E1708" s="25">
        <v>25.74</v>
      </c>
      <c r="F1708" s="379">
        <v>8.6435568198301418</v>
      </c>
      <c r="G1708" s="25">
        <v>51.14</v>
      </c>
      <c r="H1708" s="379">
        <v>6.6946306241923779</v>
      </c>
      <c r="I1708" s="25">
        <v>68.05</v>
      </c>
      <c r="J1708" s="379">
        <v>3.4762805992481307</v>
      </c>
    </row>
    <row r="1709" spans="1:10" x14ac:dyDescent="0.35">
      <c r="A1709" s="5">
        <v>1705</v>
      </c>
      <c r="B1709" s="5">
        <v>72</v>
      </c>
      <c r="C1709" s="5">
        <v>3</v>
      </c>
      <c r="D1709" s="379">
        <v>55.802777777777777</v>
      </c>
      <c r="E1709" s="25">
        <v>25.74</v>
      </c>
      <c r="F1709" s="379">
        <v>8.6323713514061104</v>
      </c>
      <c r="G1709" s="25">
        <v>47.46</v>
      </c>
      <c r="H1709" s="379">
        <v>7.0086109690111291</v>
      </c>
      <c r="I1709" s="25">
        <v>54.32</v>
      </c>
      <c r="J1709" s="379">
        <v>0.27777777777777779</v>
      </c>
    </row>
    <row r="1710" spans="1:10" x14ac:dyDescent="0.35">
      <c r="A1710" s="5">
        <v>1706</v>
      </c>
      <c r="B1710" s="5">
        <v>72</v>
      </c>
      <c r="C1710" s="5">
        <v>3</v>
      </c>
      <c r="D1710" s="379">
        <v>53.12833333333333</v>
      </c>
      <c r="E1710" s="25">
        <v>25.74</v>
      </c>
      <c r="F1710" s="379">
        <v>8.6767926338735908</v>
      </c>
      <c r="G1710" s="25">
        <v>47.46</v>
      </c>
      <c r="H1710" s="379">
        <v>7.169629531341009</v>
      </c>
      <c r="I1710" s="25">
        <v>53.77</v>
      </c>
      <c r="J1710" s="379">
        <v>0.27777777777777779</v>
      </c>
    </row>
    <row r="1711" spans="1:10" x14ac:dyDescent="0.35">
      <c r="A1711" s="5">
        <v>1707</v>
      </c>
      <c r="B1711" s="5">
        <v>72</v>
      </c>
      <c r="C1711" s="5">
        <v>3</v>
      </c>
      <c r="D1711" s="379">
        <v>48.436666666666667</v>
      </c>
      <c r="E1711" s="25">
        <v>24.99</v>
      </c>
      <c r="F1711" s="379">
        <v>8.6368143285118535</v>
      </c>
      <c r="G1711" s="25">
        <v>47.46</v>
      </c>
      <c r="H1711" s="379">
        <v>6.681222230618137</v>
      </c>
      <c r="I1711" s="25">
        <v>53.77</v>
      </c>
      <c r="J1711" s="379">
        <v>0.30475774704285569</v>
      </c>
    </row>
    <row r="1712" spans="1:10" x14ac:dyDescent="0.35">
      <c r="A1712" s="5">
        <v>1708</v>
      </c>
      <c r="B1712" s="5">
        <v>72</v>
      </c>
      <c r="C1712" s="5">
        <v>3</v>
      </c>
      <c r="D1712" s="379">
        <v>44.747777777777777</v>
      </c>
      <c r="E1712" s="25">
        <v>24.84</v>
      </c>
      <c r="F1712" s="379">
        <v>8.6702726614668801</v>
      </c>
      <c r="G1712" s="25">
        <v>47.46</v>
      </c>
      <c r="H1712" s="379">
        <v>7.4215824727511546</v>
      </c>
      <c r="I1712" s="25">
        <v>53.77</v>
      </c>
      <c r="J1712" s="379">
        <v>0.27777777777777779</v>
      </c>
    </row>
    <row r="1713" spans="1:10" x14ac:dyDescent="0.35">
      <c r="A1713" s="5">
        <v>1709</v>
      </c>
      <c r="B1713" s="5">
        <v>72</v>
      </c>
      <c r="C1713" s="5">
        <v>3</v>
      </c>
      <c r="D1713" s="379">
        <v>42.925555555555547</v>
      </c>
      <c r="E1713" s="25">
        <v>24.84</v>
      </c>
      <c r="F1713" s="379">
        <v>8.8687667598817974</v>
      </c>
      <c r="G1713" s="25">
        <v>47.46</v>
      </c>
      <c r="H1713" s="379">
        <v>7.0801567824147877</v>
      </c>
      <c r="I1713" s="25">
        <v>53.77</v>
      </c>
      <c r="J1713" s="379">
        <v>0.27777777777777779</v>
      </c>
    </row>
    <row r="1714" spans="1:10" x14ac:dyDescent="0.35">
      <c r="A1714" s="5">
        <v>1710</v>
      </c>
      <c r="B1714" s="5">
        <v>72</v>
      </c>
      <c r="C1714" s="5">
        <v>3</v>
      </c>
      <c r="D1714" s="379">
        <v>42.371111111111112</v>
      </c>
      <c r="E1714" s="25">
        <v>24.84</v>
      </c>
      <c r="F1714" s="379">
        <v>8.5931714921248794</v>
      </c>
      <c r="G1714" s="25">
        <v>47.46</v>
      </c>
      <c r="H1714" s="379">
        <v>6.4910902486964925</v>
      </c>
      <c r="I1714" s="25">
        <v>55.39</v>
      </c>
      <c r="J1714" s="379">
        <v>0.27777777777777779</v>
      </c>
    </row>
    <row r="1715" spans="1:10" x14ac:dyDescent="0.35">
      <c r="A1715" s="5">
        <v>1711</v>
      </c>
      <c r="B1715" s="5">
        <v>72</v>
      </c>
      <c r="C1715" s="5">
        <v>3</v>
      </c>
      <c r="D1715" s="379">
        <v>44.23555555555555</v>
      </c>
      <c r="E1715" s="25">
        <v>24.99</v>
      </c>
      <c r="F1715" s="379">
        <v>9.1283807540896635</v>
      </c>
      <c r="G1715" s="25">
        <v>47.46</v>
      </c>
      <c r="H1715" s="379">
        <v>7.3615680090658042</v>
      </c>
      <c r="I1715" s="25">
        <v>58.21</v>
      </c>
      <c r="J1715" s="379">
        <v>0.27777777777777779</v>
      </c>
    </row>
    <row r="1716" spans="1:10" x14ac:dyDescent="0.35">
      <c r="A1716" s="5">
        <v>1712</v>
      </c>
      <c r="B1716" s="5">
        <v>72</v>
      </c>
      <c r="C1716" s="5">
        <v>3</v>
      </c>
      <c r="D1716" s="379">
        <v>39.490555555555552</v>
      </c>
      <c r="E1716" s="25">
        <v>25.74</v>
      </c>
      <c r="F1716" s="379">
        <v>8.6312669329931921</v>
      </c>
      <c r="G1716" s="25">
        <v>47.46</v>
      </c>
      <c r="H1716" s="379">
        <v>5.2100991684587044</v>
      </c>
      <c r="I1716" s="25">
        <v>63.26</v>
      </c>
      <c r="J1716" s="379">
        <v>5.5803318539707876</v>
      </c>
    </row>
    <row r="1717" spans="1:10" x14ac:dyDescent="0.35">
      <c r="A1717" s="5">
        <v>1713</v>
      </c>
      <c r="B1717" s="5">
        <v>72</v>
      </c>
      <c r="C1717" s="5">
        <v>3</v>
      </c>
      <c r="D1717" s="379">
        <v>37.317777777777778</v>
      </c>
      <c r="E1717" s="25">
        <v>25.74</v>
      </c>
      <c r="F1717" s="379">
        <v>8.6631472630260422</v>
      </c>
      <c r="G1717" s="25">
        <v>47.46</v>
      </c>
      <c r="H1717" s="379">
        <v>7.7127685637617409</v>
      </c>
      <c r="I1717" s="25">
        <v>63.26</v>
      </c>
      <c r="J1717" s="379">
        <v>6.0103010304023012</v>
      </c>
    </row>
    <row r="1718" spans="1:10" x14ac:dyDescent="0.35">
      <c r="A1718" s="5">
        <v>1714</v>
      </c>
      <c r="B1718" s="5">
        <v>72</v>
      </c>
      <c r="C1718" s="5">
        <v>3</v>
      </c>
      <c r="D1718" s="379">
        <v>37.450555555555553</v>
      </c>
      <c r="E1718" s="25">
        <v>25.74</v>
      </c>
      <c r="F1718" s="379">
        <v>8.1174834595959577</v>
      </c>
      <c r="G1718" s="25">
        <v>47.46</v>
      </c>
      <c r="H1718" s="379">
        <v>6.6080092000457311</v>
      </c>
      <c r="I1718" s="25">
        <v>54.32</v>
      </c>
      <c r="J1718" s="379">
        <v>4.7492728921897251</v>
      </c>
    </row>
    <row r="1719" spans="1:10" x14ac:dyDescent="0.35">
      <c r="A1719" s="5">
        <v>1715</v>
      </c>
      <c r="B1719" s="5">
        <v>72</v>
      </c>
      <c r="C1719" s="5">
        <v>3</v>
      </c>
      <c r="D1719" s="379">
        <v>38.280555555555559</v>
      </c>
      <c r="E1719" s="25">
        <v>25.74</v>
      </c>
      <c r="F1719" s="379">
        <v>8.1174834595959577</v>
      </c>
      <c r="G1719" s="25">
        <v>47.46</v>
      </c>
      <c r="H1719" s="379">
        <v>6.0310298658231467</v>
      </c>
      <c r="I1719" s="25">
        <v>53.46</v>
      </c>
      <c r="J1719" s="379">
        <v>4.3530975553378486</v>
      </c>
    </row>
    <row r="1720" spans="1:10" x14ac:dyDescent="0.35">
      <c r="A1720" s="5">
        <v>1716</v>
      </c>
      <c r="B1720" s="5">
        <v>72</v>
      </c>
      <c r="C1720" s="5">
        <v>3</v>
      </c>
      <c r="D1720" s="379">
        <v>36.29</v>
      </c>
      <c r="E1720" s="25">
        <v>25.74</v>
      </c>
      <c r="F1720" s="379">
        <v>5.5427428871304736</v>
      </c>
      <c r="G1720" s="25">
        <v>46.98</v>
      </c>
      <c r="H1720" s="379">
        <v>5.9910705469499606</v>
      </c>
      <c r="I1720" s="25">
        <v>52.93</v>
      </c>
      <c r="J1720" s="379">
        <v>3.8041027322124705</v>
      </c>
    </row>
    <row r="1721" spans="1:10" x14ac:dyDescent="0.35">
      <c r="A1721" s="5">
        <v>1717</v>
      </c>
      <c r="B1721" s="5">
        <v>72</v>
      </c>
      <c r="C1721" s="5">
        <v>3</v>
      </c>
      <c r="D1721" s="379">
        <v>32.546666666666667</v>
      </c>
      <c r="E1721" s="25">
        <v>25.74</v>
      </c>
      <c r="F1721" s="379">
        <v>7.3374834595959619</v>
      </c>
      <c r="G1721" s="25">
        <v>46.11</v>
      </c>
      <c r="H1721" s="379">
        <v>5.9910705469499606</v>
      </c>
      <c r="I1721" s="25">
        <v>50.44</v>
      </c>
      <c r="J1721" s="379">
        <v>3.8041027322124705</v>
      </c>
    </row>
    <row r="1722" spans="1:10" x14ac:dyDescent="0.35">
      <c r="A1722" s="5">
        <v>1718</v>
      </c>
      <c r="B1722" s="5">
        <v>72</v>
      </c>
      <c r="C1722" s="5">
        <v>3</v>
      </c>
      <c r="D1722" s="379">
        <v>30.628888888888884</v>
      </c>
      <c r="E1722" s="25">
        <v>24.84</v>
      </c>
      <c r="F1722" s="379">
        <v>8.1174834595959595</v>
      </c>
      <c r="G1722" s="25">
        <v>46.03</v>
      </c>
      <c r="H1722" s="379">
        <v>5.7408003850770424</v>
      </c>
      <c r="I1722" s="25">
        <v>48.86</v>
      </c>
      <c r="J1722" s="379">
        <v>3.8041027322124705</v>
      </c>
    </row>
    <row r="1723" spans="1:10" x14ac:dyDescent="0.35">
      <c r="A1723" s="5">
        <v>1719</v>
      </c>
      <c r="B1723" s="5">
        <v>72</v>
      </c>
      <c r="C1723" s="5">
        <v>3</v>
      </c>
      <c r="D1723" s="379">
        <v>31.053888888888892</v>
      </c>
      <c r="E1723" s="25">
        <v>24.84</v>
      </c>
      <c r="F1723" s="379">
        <v>8.1174834595959595</v>
      </c>
      <c r="G1723" s="25">
        <v>44.74</v>
      </c>
      <c r="H1723" s="379">
        <v>5.9910705469499606</v>
      </c>
      <c r="I1723" s="25">
        <v>48.86</v>
      </c>
      <c r="J1723" s="379">
        <v>3.8041027322124705</v>
      </c>
    </row>
    <row r="1724" spans="1:10" x14ac:dyDescent="0.35">
      <c r="A1724" s="5">
        <v>1720</v>
      </c>
      <c r="B1724" s="5">
        <v>72</v>
      </c>
      <c r="C1724" s="5">
        <v>3</v>
      </c>
      <c r="D1724" s="379">
        <v>34.272222222222219</v>
      </c>
      <c r="E1724" s="25">
        <v>24.84</v>
      </c>
      <c r="F1724" s="379">
        <v>8.1174834595959577</v>
      </c>
      <c r="G1724" s="25">
        <v>44.74</v>
      </c>
      <c r="H1724" s="379">
        <v>6.0310298658231467</v>
      </c>
      <c r="I1724" s="25">
        <v>50.13</v>
      </c>
      <c r="J1724" s="379">
        <v>3.790999508907908</v>
      </c>
    </row>
    <row r="1725" spans="1:10" x14ac:dyDescent="0.35">
      <c r="A1725" s="5">
        <v>1721</v>
      </c>
      <c r="B1725" s="5">
        <v>72</v>
      </c>
      <c r="C1725" s="5">
        <v>3</v>
      </c>
      <c r="D1725" s="379">
        <v>45.591666666666654</v>
      </c>
      <c r="E1725" s="25">
        <v>24.84</v>
      </c>
      <c r="F1725" s="379">
        <v>8.2433761959309333</v>
      </c>
      <c r="G1725" s="25">
        <v>44.74</v>
      </c>
      <c r="H1725" s="379">
        <v>6.388532488206236</v>
      </c>
      <c r="I1725" s="25">
        <v>52.93</v>
      </c>
      <c r="J1725" s="379">
        <v>4.8490915093992077</v>
      </c>
    </row>
    <row r="1726" spans="1:10" x14ac:dyDescent="0.35">
      <c r="A1726" s="5">
        <v>1722</v>
      </c>
      <c r="B1726" s="5">
        <v>72</v>
      </c>
      <c r="C1726" s="5">
        <v>3</v>
      </c>
      <c r="D1726" s="379">
        <v>65.385555555555555</v>
      </c>
      <c r="E1726" s="25">
        <v>25.29</v>
      </c>
      <c r="F1726" s="379">
        <v>13.6993910389349</v>
      </c>
      <c r="G1726" s="25">
        <v>47.46</v>
      </c>
      <c r="H1726" s="379">
        <v>7.210516344891853</v>
      </c>
      <c r="I1726" s="25">
        <v>53.71</v>
      </c>
      <c r="J1726" s="379">
        <v>4.0394439981647059</v>
      </c>
    </row>
    <row r="1727" spans="1:10" x14ac:dyDescent="0.35">
      <c r="A1727" s="5">
        <v>1723</v>
      </c>
      <c r="B1727" s="5">
        <v>72</v>
      </c>
      <c r="C1727" s="5">
        <v>3</v>
      </c>
      <c r="D1727" s="379">
        <v>68.848333333333329</v>
      </c>
      <c r="E1727" s="25">
        <v>25.74</v>
      </c>
      <c r="F1727" s="379">
        <v>16.239476980181582</v>
      </c>
      <c r="G1727" s="25">
        <v>47.85</v>
      </c>
      <c r="H1727" s="379">
        <v>7.8258449230232667</v>
      </c>
      <c r="I1727" s="25">
        <v>62.96</v>
      </c>
      <c r="J1727" s="379">
        <v>3.6995222372372472</v>
      </c>
    </row>
    <row r="1728" spans="1:10" x14ac:dyDescent="0.35">
      <c r="A1728" s="5">
        <v>1724</v>
      </c>
      <c r="B1728" s="5">
        <v>72</v>
      </c>
      <c r="C1728" s="5">
        <v>3</v>
      </c>
      <c r="D1728" s="379">
        <v>72.054999999999993</v>
      </c>
      <c r="E1728" s="25">
        <v>25.74</v>
      </c>
      <c r="F1728" s="379">
        <v>13.390823536170828</v>
      </c>
      <c r="G1728" s="25">
        <v>52.64</v>
      </c>
      <c r="H1728" s="379">
        <v>7.5557830348483472</v>
      </c>
      <c r="I1728" s="25">
        <v>64.14</v>
      </c>
      <c r="J1728" s="379">
        <v>3.2518672302107507</v>
      </c>
    </row>
    <row r="1729" spans="1:10" x14ac:dyDescent="0.35">
      <c r="A1729" s="5">
        <v>1725</v>
      </c>
      <c r="B1729" s="5">
        <v>72</v>
      </c>
      <c r="C1729" s="5">
        <v>3</v>
      </c>
      <c r="D1729" s="379">
        <v>64.14</v>
      </c>
      <c r="E1729" s="25">
        <v>25.74</v>
      </c>
      <c r="F1729" s="379">
        <v>15.142259098750667</v>
      </c>
      <c r="G1729" s="25">
        <v>48.39</v>
      </c>
      <c r="H1729" s="379">
        <v>7.8077304757907084</v>
      </c>
      <c r="I1729" s="25">
        <v>62.27</v>
      </c>
      <c r="J1729" s="379">
        <v>5.3334901639439813</v>
      </c>
    </row>
    <row r="1730" spans="1:10" x14ac:dyDescent="0.35">
      <c r="A1730" s="5">
        <v>1726</v>
      </c>
      <c r="B1730" s="5">
        <v>72</v>
      </c>
      <c r="C1730" s="5">
        <v>3</v>
      </c>
      <c r="D1730" s="379">
        <v>62.898888888888884</v>
      </c>
      <c r="E1730" s="25">
        <v>25.74</v>
      </c>
      <c r="F1730" s="379">
        <v>10.98763389198314</v>
      </c>
      <c r="G1730" s="25">
        <v>47.46</v>
      </c>
      <c r="H1730" s="379">
        <v>7.0591404596809806</v>
      </c>
      <c r="I1730" s="25">
        <v>54.87</v>
      </c>
      <c r="J1730" s="379">
        <v>2.8460655544959135</v>
      </c>
    </row>
    <row r="1731" spans="1:10" x14ac:dyDescent="0.35">
      <c r="A1731" s="5">
        <v>1727</v>
      </c>
      <c r="B1731" s="5">
        <v>72</v>
      </c>
      <c r="C1731" s="5">
        <v>3</v>
      </c>
      <c r="D1731" s="379">
        <v>61.396666666666668</v>
      </c>
      <c r="E1731" s="25">
        <v>25.74</v>
      </c>
      <c r="F1731" s="379">
        <v>10.392060981398261</v>
      </c>
      <c r="G1731" s="25">
        <v>47.46</v>
      </c>
      <c r="H1731" s="379">
        <v>7.3075063911936411</v>
      </c>
      <c r="I1731" s="25">
        <v>54.87</v>
      </c>
      <c r="J1731" s="379">
        <v>0.88819262772536323</v>
      </c>
    </row>
    <row r="1732" spans="1:10" x14ac:dyDescent="0.35">
      <c r="A1732" s="5">
        <v>1728</v>
      </c>
      <c r="B1732" s="5">
        <v>72</v>
      </c>
      <c r="C1732" s="5">
        <v>3</v>
      </c>
      <c r="D1732" s="379">
        <v>60.125555555555572</v>
      </c>
      <c r="E1732" s="25">
        <v>25.74</v>
      </c>
      <c r="F1732" s="379">
        <v>9.155552701878289</v>
      </c>
      <c r="G1732" s="25">
        <v>47.46</v>
      </c>
      <c r="H1732" s="379">
        <v>7.744807966583183</v>
      </c>
      <c r="I1732" s="25">
        <v>54.05</v>
      </c>
      <c r="J1732" s="379">
        <v>3.4663317399790787</v>
      </c>
    </row>
    <row r="1733" spans="1:10" x14ac:dyDescent="0.35">
      <c r="A1733" s="5">
        <v>1729</v>
      </c>
      <c r="B1733" s="5">
        <v>73</v>
      </c>
      <c r="C1733" s="5">
        <v>3</v>
      </c>
      <c r="D1733" s="379">
        <v>57.593333333333334</v>
      </c>
      <c r="E1733" s="25">
        <v>24.99</v>
      </c>
      <c r="F1733" s="379">
        <v>8.6687147803992328</v>
      </c>
      <c r="G1733" s="25">
        <v>46.03</v>
      </c>
      <c r="H1733" s="379">
        <v>7.6469888282706826</v>
      </c>
      <c r="I1733" s="25">
        <v>50.29</v>
      </c>
      <c r="J1733" s="379">
        <v>2.2502191674475251</v>
      </c>
    </row>
    <row r="1734" spans="1:10" x14ac:dyDescent="0.35">
      <c r="A1734" s="5">
        <v>1730</v>
      </c>
      <c r="B1734" s="5">
        <v>73</v>
      </c>
      <c r="C1734" s="5">
        <v>3</v>
      </c>
      <c r="D1734" s="379">
        <v>57.395555555555546</v>
      </c>
      <c r="E1734" s="25">
        <v>24.84</v>
      </c>
      <c r="F1734" s="379">
        <v>8.653000463108091</v>
      </c>
      <c r="G1734" s="25">
        <v>44.45</v>
      </c>
      <c r="H1734" s="379">
        <v>7.437122036557497</v>
      </c>
      <c r="I1734" s="25">
        <v>48.86</v>
      </c>
      <c r="J1734" s="379">
        <v>0.27777777777777779</v>
      </c>
    </row>
    <row r="1735" spans="1:10" x14ac:dyDescent="0.35">
      <c r="A1735" s="5">
        <v>1731</v>
      </c>
      <c r="B1735" s="5">
        <v>73</v>
      </c>
      <c r="C1735" s="5">
        <v>3</v>
      </c>
      <c r="D1735" s="379">
        <v>56.200555555555546</v>
      </c>
      <c r="E1735" s="25">
        <v>24.84</v>
      </c>
      <c r="F1735" s="379">
        <v>8.647580040651123</v>
      </c>
      <c r="G1735" s="25">
        <v>43.56</v>
      </c>
      <c r="H1735" s="379">
        <v>6.8523645945945937</v>
      </c>
      <c r="I1735" s="25">
        <v>48.86</v>
      </c>
      <c r="J1735" s="379">
        <v>3.3903551037060122</v>
      </c>
    </row>
    <row r="1736" spans="1:10" x14ac:dyDescent="0.35">
      <c r="A1736" s="5">
        <v>1732</v>
      </c>
      <c r="B1736" s="5">
        <v>73</v>
      </c>
      <c r="C1736" s="5">
        <v>3</v>
      </c>
      <c r="D1736" s="379">
        <v>55.263888888888886</v>
      </c>
      <c r="E1736" s="25">
        <v>24.84</v>
      </c>
      <c r="F1736" s="379">
        <v>8.7419911268514241</v>
      </c>
      <c r="G1736" s="25">
        <v>43.56</v>
      </c>
      <c r="H1736" s="379">
        <v>6.9892937413755218</v>
      </c>
      <c r="I1736" s="25">
        <v>48.27</v>
      </c>
      <c r="J1736" s="379">
        <v>0.27777777777777779</v>
      </c>
    </row>
    <row r="1737" spans="1:10" x14ac:dyDescent="0.35">
      <c r="A1737" s="5">
        <v>1733</v>
      </c>
      <c r="B1737" s="5">
        <v>73</v>
      </c>
      <c r="C1737" s="5">
        <v>3</v>
      </c>
      <c r="D1737" s="379">
        <v>55.698333333333338</v>
      </c>
      <c r="E1737" s="25">
        <v>24.84</v>
      </c>
      <c r="F1737" s="379">
        <v>8.5987814240683029</v>
      </c>
      <c r="G1737" s="25">
        <v>43.56</v>
      </c>
      <c r="H1737" s="379">
        <v>6.9833480890833446</v>
      </c>
      <c r="I1737" s="25">
        <v>48.24</v>
      </c>
      <c r="J1737" s="379">
        <v>0.27777777777777779</v>
      </c>
    </row>
    <row r="1738" spans="1:10" x14ac:dyDescent="0.35">
      <c r="A1738" s="5">
        <v>1734</v>
      </c>
      <c r="B1738" s="5">
        <v>73</v>
      </c>
      <c r="C1738" s="5">
        <v>3</v>
      </c>
      <c r="D1738" s="379">
        <v>59.053333333333335</v>
      </c>
      <c r="E1738" s="25">
        <v>24.84</v>
      </c>
      <c r="F1738" s="379">
        <v>9.057442717744518</v>
      </c>
      <c r="G1738" s="25">
        <v>43.56</v>
      </c>
      <c r="H1738" s="379">
        <v>6.76169401182581</v>
      </c>
      <c r="I1738" s="25">
        <v>48.27</v>
      </c>
      <c r="J1738" s="379">
        <v>0.27777777777777779</v>
      </c>
    </row>
    <row r="1739" spans="1:10" x14ac:dyDescent="0.35">
      <c r="A1739" s="5">
        <v>1735</v>
      </c>
      <c r="B1739" s="5">
        <v>73</v>
      </c>
      <c r="C1739" s="5">
        <v>3</v>
      </c>
      <c r="D1739" s="379">
        <v>66.397777777777776</v>
      </c>
      <c r="E1739" s="25">
        <v>24.84</v>
      </c>
      <c r="F1739" s="379">
        <v>8.8579642157326859</v>
      </c>
      <c r="G1739" s="25">
        <v>43.56</v>
      </c>
      <c r="H1739" s="379">
        <v>7.6201357878734761</v>
      </c>
      <c r="I1739" s="25">
        <v>48.86</v>
      </c>
      <c r="J1739" s="379">
        <v>0.27777777777777779</v>
      </c>
    </row>
    <row r="1740" spans="1:10" x14ac:dyDescent="0.35">
      <c r="A1740" s="5">
        <v>1736</v>
      </c>
      <c r="B1740" s="5">
        <v>73</v>
      </c>
      <c r="C1740" s="5">
        <v>3</v>
      </c>
      <c r="D1740" s="379">
        <v>70.791666666666657</v>
      </c>
      <c r="E1740" s="25">
        <v>24.84</v>
      </c>
      <c r="F1740" s="379">
        <v>9.1879701573651005</v>
      </c>
      <c r="G1740" s="25">
        <v>43.56</v>
      </c>
      <c r="H1740" s="379">
        <v>7.2939186516417367</v>
      </c>
      <c r="I1740" s="25">
        <v>48.27</v>
      </c>
      <c r="J1740" s="379">
        <v>0.27777777777777779</v>
      </c>
    </row>
    <row r="1741" spans="1:10" x14ac:dyDescent="0.35">
      <c r="A1741" s="5">
        <v>1737</v>
      </c>
      <c r="B1741" s="5">
        <v>73</v>
      </c>
      <c r="C1741" s="5">
        <v>3</v>
      </c>
      <c r="D1741" s="379">
        <v>71.499999999999986</v>
      </c>
      <c r="E1741" s="25">
        <v>24.84</v>
      </c>
      <c r="F1741" s="379">
        <v>9.1709283131012871</v>
      </c>
      <c r="G1741" s="25">
        <v>43.99</v>
      </c>
      <c r="H1741" s="379">
        <v>4.799693804694658</v>
      </c>
      <c r="I1741" s="25">
        <v>48.86</v>
      </c>
      <c r="J1741" s="379">
        <v>0.27777777777777779</v>
      </c>
    </row>
    <row r="1742" spans="1:10" x14ac:dyDescent="0.35">
      <c r="A1742" s="5">
        <v>1738</v>
      </c>
      <c r="B1742" s="5">
        <v>73</v>
      </c>
      <c r="C1742" s="5">
        <v>3</v>
      </c>
      <c r="D1742" s="379">
        <v>64.373333333333335</v>
      </c>
      <c r="E1742" s="25">
        <v>24.84</v>
      </c>
      <c r="F1742" s="379">
        <v>8.1174834595959577</v>
      </c>
      <c r="G1742" s="25">
        <v>44.74</v>
      </c>
      <c r="H1742" s="379">
        <v>4.799693804694658</v>
      </c>
      <c r="I1742" s="25">
        <v>48.27</v>
      </c>
      <c r="J1742" s="379">
        <v>2.9929060277695334</v>
      </c>
    </row>
    <row r="1743" spans="1:10" x14ac:dyDescent="0.35">
      <c r="A1743" s="5">
        <v>1739</v>
      </c>
      <c r="B1743" s="5">
        <v>73</v>
      </c>
      <c r="C1743" s="5">
        <v>3</v>
      </c>
      <c r="D1743" s="379">
        <v>59.559444444444452</v>
      </c>
      <c r="E1743" s="25">
        <v>24.84</v>
      </c>
      <c r="F1743" s="379">
        <v>8.1174834595959577</v>
      </c>
      <c r="G1743" s="25">
        <v>43.99</v>
      </c>
      <c r="H1743" s="379">
        <v>6.1937131503695628</v>
      </c>
      <c r="I1743" s="25">
        <v>47.79</v>
      </c>
      <c r="J1743" s="379">
        <v>2.777777777777778E-2</v>
      </c>
    </row>
    <row r="1744" spans="1:10" x14ac:dyDescent="0.35">
      <c r="A1744" s="5">
        <v>1740</v>
      </c>
      <c r="B1744" s="5">
        <v>73</v>
      </c>
      <c r="C1744" s="5">
        <v>3</v>
      </c>
      <c r="D1744" s="379">
        <v>59.977777777777774</v>
      </c>
      <c r="E1744" s="25">
        <v>24.84</v>
      </c>
      <c r="F1744" s="379">
        <v>8.1174834595959595</v>
      </c>
      <c r="G1744" s="25">
        <v>43.82</v>
      </c>
      <c r="H1744" s="379">
        <v>5.8569523096164406</v>
      </c>
      <c r="I1744" s="25">
        <v>47.44</v>
      </c>
      <c r="J1744" s="379">
        <v>3.9361010071338689</v>
      </c>
    </row>
    <row r="1745" spans="1:10" x14ac:dyDescent="0.35">
      <c r="A1745" s="5">
        <v>1741</v>
      </c>
      <c r="B1745" s="5">
        <v>73</v>
      </c>
      <c r="C1745" s="5">
        <v>3</v>
      </c>
      <c r="D1745" s="379">
        <v>55.804444444444449</v>
      </c>
      <c r="E1745" s="25">
        <v>24.84</v>
      </c>
      <c r="F1745" s="379">
        <v>8.1174834595959577</v>
      </c>
      <c r="G1745" s="25">
        <v>43.56</v>
      </c>
      <c r="H1745" s="379">
        <v>6.1692277247015967</v>
      </c>
      <c r="I1745" s="25">
        <v>47.31</v>
      </c>
      <c r="J1745" s="379">
        <v>3.9319202391799308</v>
      </c>
    </row>
    <row r="1746" spans="1:10" x14ac:dyDescent="0.35">
      <c r="A1746" s="5">
        <v>1742</v>
      </c>
      <c r="B1746" s="5">
        <v>73</v>
      </c>
      <c r="C1746" s="5">
        <v>3</v>
      </c>
      <c r="D1746" s="379">
        <v>56.38388888888889</v>
      </c>
      <c r="E1746" s="25">
        <v>24.84</v>
      </c>
      <c r="F1746" s="379">
        <v>8.1174834595959577</v>
      </c>
      <c r="G1746" s="25">
        <v>43.56</v>
      </c>
      <c r="H1746" s="379">
        <v>6.7877293701750707</v>
      </c>
      <c r="I1746" s="25">
        <v>47.79</v>
      </c>
      <c r="J1746" s="379">
        <v>3.9319202391799308</v>
      </c>
    </row>
    <row r="1747" spans="1:10" x14ac:dyDescent="0.35">
      <c r="A1747" s="5">
        <v>1743</v>
      </c>
      <c r="B1747" s="5">
        <v>73</v>
      </c>
      <c r="C1747" s="5">
        <v>3</v>
      </c>
      <c r="D1747" s="379">
        <v>55.906111111111109</v>
      </c>
      <c r="E1747" s="25">
        <v>24.84</v>
      </c>
      <c r="F1747" s="379">
        <v>8.1174834595959577</v>
      </c>
      <c r="G1747" s="25">
        <v>43.56</v>
      </c>
      <c r="H1747" s="379">
        <v>7.315588643066544</v>
      </c>
      <c r="I1747" s="25">
        <v>46.06</v>
      </c>
      <c r="J1747" s="379">
        <v>0.34868660987813921</v>
      </c>
    </row>
    <row r="1748" spans="1:10" x14ac:dyDescent="0.35">
      <c r="A1748" s="5">
        <v>1744</v>
      </c>
      <c r="B1748" s="5">
        <v>73</v>
      </c>
      <c r="C1748" s="5">
        <v>3</v>
      </c>
      <c r="D1748" s="379">
        <v>61.49499999999999</v>
      </c>
      <c r="E1748" s="25">
        <v>24.84</v>
      </c>
      <c r="F1748" s="379">
        <v>8.4155422083333704</v>
      </c>
      <c r="G1748" s="25">
        <v>43.56</v>
      </c>
      <c r="H1748" s="379">
        <v>7.3569074595848454</v>
      </c>
      <c r="I1748" s="25">
        <v>47.79</v>
      </c>
      <c r="J1748" s="379">
        <v>3.3902258511351717</v>
      </c>
    </row>
    <row r="1749" spans="1:10" x14ac:dyDescent="0.35">
      <c r="A1749" s="5">
        <v>1745</v>
      </c>
      <c r="B1749" s="5">
        <v>73</v>
      </c>
      <c r="C1749" s="5">
        <v>3</v>
      </c>
      <c r="D1749" s="379">
        <v>62.562222222222218</v>
      </c>
      <c r="E1749" s="25">
        <v>24.84</v>
      </c>
      <c r="F1749" s="379">
        <v>9.4987463625478004</v>
      </c>
      <c r="G1749" s="25">
        <v>43.56</v>
      </c>
      <c r="H1749" s="379">
        <v>7.2019255691639552</v>
      </c>
      <c r="I1749" s="25">
        <v>48.24</v>
      </c>
      <c r="J1749" s="379">
        <v>3.7047096029111017</v>
      </c>
    </row>
    <row r="1750" spans="1:10" x14ac:dyDescent="0.35">
      <c r="A1750" s="5">
        <v>1746</v>
      </c>
      <c r="B1750" s="5">
        <v>73</v>
      </c>
      <c r="C1750" s="5">
        <v>3</v>
      </c>
      <c r="D1750" s="379">
        <v>80.943888888888878</v>
      </c>
      <c r="E1750" s="25">
        <v>24.84</v>
      </c>
      <c r="F1750" s="379">
        <v>10.061833629762237</v>
      </c>
      <c r="G1750" s="25">
        <v>43.56</v>
      </c>
      <c r="H1750" s="379">
        <v>7.4283044725759</v>
      </c>
      <c r="I1750" s="25">
        <v>48.73</v>
      </c>
      <c r="J1750" s="379">
        <v>0.35152100630444122</v>
      </c>
    </row>
    <row r="1751" spans="1:10" x14ac:dyDescent="0.35">
      <c r="A1751" s="5">
        <v>1747</v>
      </c>
      <c r="B1751" s="5">
        <v>73</v>
      </c>
      <c r="C1751" s="5">
        <v>3</v>
      </c>
      <c r="D1751" s="379">
        <v>89.25611111111111</v>
      </c>
      <c r="E1751" s="25">
        <v>25.74</v>
      </c>
      <c r="F1751" s="379">
        <v>10.021219080468155</v>
      </c>
      <c r="G1751" s="25">
        <v>46.11</v>
      </c>
      <c r="H1751" s="379">
        <v>7.4025674337546397</v>
      </c>
      <c r="I1751" s="25">
        <v>53.51</v>
      </c>
      <c r="J1751" s="379">
        <v>0.27777777777777779</v>
      </c>
    </row>
    <row r="1752" spans="1:10" x14ac:dyDescent="0.35">
      <c r="A1752" s="5">
        <v>1748</v>
      </c>
      <c r="B1752" s="5">
        <v>73</v>
      </c>
      <c r="C1752" s="5">
        <v>3</v>
      </c>
      <c r="D1752" s="379">
        <v>90.995555555555555</v>
      </c>
      <c r="E1752" s="25">
        <v>25.74</v>
      </c>
      <c r="F1752" s="379">
        <v>10.243717060092999</v>
      </c>
      <c r="G1752" s="25">
        <v>47.85</v>
      </c>
      <c r="H1752" s="379">
        <v>6.8720808470247725</v>
      </c>
      <c r="I1752" s="25">
        <v>54.32</v>
      </c>
      <c r="J1752" s="379">
        <v>0.27777777777777779</v>
      </c>
    </row>
    <row r="1753" spans="1:10" x14ac:dyDescent="0.35">
      <c r="A1753" s="5">
        <v>1749</v>
      </c>
      <c r="B1753" s="5">
        <v>73</v>
      </c>
      <c r="C1753" s="5">
        <v>3</v>
      </c>
      <c r="D1753" s="379">
        <v>78.104444444444454</v>
      </c>
      <c r="E1753" s="25">
        <v>25.74</v>
      </c>
      <c r="F1753" s="379">
        <v>10.187979037413639</v>
      </c>
      <c r="G1753" s="25">
        <v>47.85</v>
      </c>
      <c r="H1753" s="379">
        <v>6.6836532831285265</v>
      </c>
      <c r="I1753" s="25">
        <v>53.71</v>
      </c>
      <c r="J1753" s="379">
        <v>0.27777777777777779</v>
      </c>
    </row>
    <row r="1754" spans="1:10" x14ac:dyDescent="0.35">
      <c r="A1754" s="5">
        <v>1750</v>
      </c>
      <c r="B1754" s="5">
        <v>73</v>
      </c>
      <c r="C1754" s="5">
        <v>3</v>
      </c>
      <c r="D1754" s="379">
        <v>73.50611111111111</v>
      </c>
      <c r="E1754" s="25">
        <v>25.74</v>
      </c>
      <c r="F1754" s="379">
        <v>9.2467317645925586</v>
      </c>
      <c r="G1754" s="25">
        <v>47.46</v>
      </c>
      <c r="H1754" s="379">
        <v>6.9715379960184221</v>
      </c>
      <c r="I1754" s="25">
        <v>53.51</v>
      </c>
      <c r="J1754" s="379">
        <v>0.27777777777777779</v>
      </c>
    </row>
    <row r="1755" spans="1:10" x14ac:dyDescent="0.35">
      <c r="A1755" s="5">
        <v>1751</v>
      </c>
      <c r="B1755" s="5">
        <v>73</v>
      </c>
      <c r="C1755" s="5">
        <v>3</v>
      </c>
      <c r="D1755" s="379">
        <v>68.87</v>
      </c>
      <c r="E1755" s="25">
        <v>25.74</v>
      </c>
      <c r="F1755" s="379">
        <v>8.5849658788480472</v>
      </c>
      <c r="G1755" s="25">
        <v>47.46</v>
      </c>
      <c r="H1755" s="379">
        <v>7.0921683008655476</v>
      </c>
      <c r="I1755" s="25">
        <v>53.51</v>
      </c>
      <c r="J1755" s="379">
        <v>0.27777777777777779</v>
      </c>
    </row>
    <row r="1756" spans="1:10" x14ac:dyDescent="0.35">
      <c r="A1756" s="5">
        <v>1752</v>
      </c>
      <c r="B1756" s="5">
        <v>73</v>
      </c>
      <c r="C1756" s="5">
        <v>3</v>
      </c>
      <c r="D1756" s="379">
        <v>64.329444444444448</v>
      </c>
      <c r="E1756" s="25">
        <v>25.59</v>
      </c>
      <c r="F1756" s="379">
        <v>8.5968373400871751</v>
      </c>
      <c r="G1756" s="25">
        <v>46.98</v>
      </c>
      <c r="H1756" s="379">
        <v>7.2166105551900683</v>
      </c>
      <c r="I1756" s="25">
        <v>53.51</v>
      </c>
      <c r="J1756" s="379">
        <v>1.8631296154830304</v>
      </c>
    </row>
    <row r="1757" spans="1:10" x14ac:dyDescent="0.35">
      <c r="A1757" s="5">
        <v>1753</v>
      </c>
      <c r="B1757" s="5">
        <v>74</v>
      </c>
      <c r="C1757" s="5">
        <v>3</v>
      </c>
      <c r="D1757" s="379">
        <v>63.767777777777773</v>
      </c>
      <c r="E1757" s="25">
        <v>24.99</v>
      </c>
      <c r="F1757" s="379">
        <v>8.4822958163821109</v>
      </c>
      <c r="G1757" s="25">
        <v>47.46</v>
      </c>
      <c r="H1757" s="379">
        <v>6.877466663935369</v>
      </c>
      <c r="I1757" s="25">
        <v>53.71</v>
      </c>
      <c r="J1757" s="379">
        <v>0.27777777777777779</v>
      </c>
    </row>
    <row r="1758" spans="1:10" x14ac:dyDescent="0.35">
      <c r="A1758" s="5">
        <v>1754</v>
      </c>
      <c r="B1758" s="5">
        <v>74</v>
      </c>
      <c r="C1758" s="5">
        <v>3</v>
      </c>
      <c r="D1758" s="379">
        <v>65.023333333333326</v>
      </c>
      <c r="E1758" s="25">
        <v>24.84</v>
      </c>
      <c r="F1758" s="379">
        <v>8.554599700205948</v>
      </c>
      <c r="G1758" s="25">
        <v>46.11</v>
      </c>
      <c r="H1758" s="379">
        <v>6.8339369841116557</v>
      </c>
      <c r="I1758" s="25">
        <v>53.71</v>
      </c>
      <c r="J1758" s="379">
        <v>0.6754948420982676</v>
      </c>
    </row>
    <row r="1759" spans="1:10" x14ac:dyDescent="0.35">
      <c r="A1759" s="5">
        <v>1755</v>
      </c>
      <c r="B1759" s="5">
        <v>74</v>
      </c>
      <c r="C1759" s="5">
        <v>3</v>
      </c>
      <c r="D1759" s="379">
        <v>62.268333333333331</v>
      </c>
      <c r="E1759" s="25">
        <v>24.84</v>
      </c>
      <c r="F1759" s="379">
        <v>8.5279671592159172</v>
      </c>
      <c r="G1759" s="25">
        <v>46.11</v>
      </c>
      <c r="H1759" s="379">
        <v>7.1684180748560058</v>
      </c>
      <c r="I1759" s="25">
        <v>53.51</v>
      </c>
      <c r="J1759" s="379">
        <v>3.3246144886663287</v>
      </c>
    </row>
    <row r="1760" spans="1:10" x14ac:dyDescent="0.35">
      <c r="A1760" s="5">
        <v>1756</v>
      </c>
      <c r="B1760" s="5">
        <v>74</v>
      </c>
      <c r="C1760" s="5">
        <v>3</v>
      </c>
      <c r="D1760" s="379">
        <v>61.589999999999996</v>
      </c>
      <c r="E1760" s="25">
        <v>24.84</v>
      </c>
      <c r="F1760" s="379">
        <v>8.5782482913535087</v>
      </c>
      <c r="G1760" s="25">
        <v>46.03</v>
      </c>
      <c r="H1760" s="379">
        <v>7.0935661796260323</v>
      </c>
      <c r="I1760" s="25">
        <v>53.51</v>
      </c>
      <c r="J1760" s="379">
        <v>3.375733387761092</v>
      </c>
    </row>
    <row r="1761" spans="1:10" x14ac:dyDescent="0.35">
      <c r="A1761" s="5">
        <v>1757</v>
      </c>
      <c r="B1761" s="5">
        <v>74</v>
      </c>
      <c r="C1761" s="5">
        <v>3</v>
      </c>
      <c r="D1761" s="379">
        <v>63.992222222222217</v>
      </c>
      <c r="E1761" s="25">
        <v>24.84</v>
      </c>
      <c r="F1761" s="379">
        <v>8.5087838561212248</v>
      </c>
      <c r="G1761" s="25">
        <v>46.11</v>
      </c>
      <c r="H1761" s="379">
        <v>6.9408685432949131</v>
      </c>
      <c r="I1761" s="25">
        <v>53.51</v>
      </c>
      <c r="J1761" s="379">
        <v>3.3949652720091605</v>
      </c>
    </row>
    <row r="1762" spans="1:10" x14ac:dyDescent="0.35">
      <c r="A1762" s="5">
        <v>1758</v>
      </c>
      <c r="B1762" s="5">
        <v>74</v>
      </c>
      <c r="C1762" s="5">
        <v>3</v>
      </c>
      <c r="D1762" s="379">
        <v>68.171666666666653</v>
      </c>
      <c r="E1762" s="25">
        <v>25.59</v>
      </c>
      <c r="F1762" s="379">
        <v>8.9220390934647877</v>
      </c>
      <c r="G1762" s="25">
        <v>47.46</v>
      </c>
      <c r="H1762" s="379">
        <v>6.7773407661971463</v>
      </c>
      <c r="I1762" s="25">
        <v>54.12</v>
      </c>
      <c r="J1762" s="379">
        <v>0.27777777777777779</v>
      </c>
    </row>
    <row r="1763" spans="1:10" x14ac:dyDescent="0.35">
      <c r="A1763" s="5">
        <v>1759</v>
      </c>
      <c r="B1763" s="5">
        <v>74</v>
      </c>
      <c r="C1763" s="5">
        <v>3</v>
      </c>
      <c r="D1763" s="379">
        <v>76.061111111111103</v>
      </c>
      <c r="E1763" s="25">
        <v>25.74</v>
      </c>
      <c r="F1763" s="379">
        <v>8.8705790936922533</v>
      </c>
      <c r="G1763" s="25">
        <v>52.67</v>
      </c>
      <c r="H1763" s="379">
        <v>6.7629780670535338</v>
      </c>
      <c r="I1763" s="25">
        <v>62.96</v>
      </c>
      <c r="J1763" s="379">
        <v>2.0855228362327831</v>
      </c>
    </row>
    <row r="1764" spans="1:10" x14ac:dyDescent="0.35">
      <c r="A1764" s="5">
        <v>1760</v>
      </c>
      <c r="B1764" s="5">
        <v>74</v>
      </c>
      <c r="C1764" s="5">
        <v>3</v>
      </c>
      <c r="D1764" s="379">
        <v>85.042222222222222</v>
      </c>
      <c r="E1764" s="25">
        <v>26.84</v>
      </c>
      <c r="F1764" s="379">
        <v>9.0820086202341699</v>
      </c>
      <c r="G1764" s="25">
        <v>57.5</v>
      </c>
      <c r="H1764" s="379">
        <v>6.6279673348542527</v>
      </c>
      <c r="I1764" s="25">
        <v>66.06</v>
      </c>
      <c r="J1764" s="379">
        <v>0.27777777777777779</v>
      </c>
    </row>
    <row r="1765" spans="1:10" x14ac:dyDescent="0.35">
      <c r="A1765" s="5">
        <v>1761</v>
      </c>
      <c r="B1765" s="5">
        <v>74</v>
      </c>
      <c r="C1765" s="5">
        <v>3</v>
      </c>
      <c r="D1765" s="379">
        <v>87.360555555555536</v>
      </c>
      <c r="E1765" s="25">
        <v>28.12</v>
      </c>
      <c r="F1765" s="379">
        <v>8.9013312873999766</v>
      </c>
      <c r="G1765" s="25">
        <v>57.5</v>
      </c>
      <c r="H1765" s="379">
        <v>6.7333391998398469</v>
      </c>
      <c r="I1765" s="25">
        <v>66.06</v>
      </c>
      <c r="J1765" s="379">
        <v>6.3622063182093708E-2</v>
      </c>
    </row>
    <row r="1766" spans="1:10" x14ac:dyDescent="0.35">
      <c r="A1766" s="5">
        <v>1762</v>
      </c>
      <c r="B1766" s="5">
        <v>74</v>
      </c>
      <c r="C1766" s="5">
        <v>3</v>
      </c>
      <c r="D1766" s="379">
        <v>75.453888888888898</v>
      </c>
      <c r="E1766" s="25">
        <v>27.3</v>
      </c>
      <c r="F1766" s="379">
        <v>8.1174834595959595</v>
      </c>
      <c r="G1766" s="25">
        <v>54.25</v>
      </c>
      <c r="H1766" s="379">
        <v>4.7996938046946571</v>
      </c>
      <c r="I1766" s="25">
        <v>64.14</v>
      </c>
      <c r="J1766" s="379">
        <v>3.5604251670471814</v>
      </c>
    </row>
    <row r="1767" spans="1:10" x14ac:dyDescent="0.35">
      <c r="A1767" s="5">
        <v>1763</v>
      </c>
      <c r="B1767" s="5">
        <v>74</v>
      </c>
      <c r="C1767" s="5">
        <v>3</v>
      </c>
      <c r="D1767" s="379">
        <v>70.581111111111113</v>
      </c>
      <c r="E1767" s="25">
        <v>26.51</v>
      </c>
      <c r="F1767" s="379">
        <v>6.5926576229075282</v>
      </c>
      <c r="G1767" s="25">
        <v>52.67</v>
      </c>
      <c r="H1767" s="379">
        <v>4.5055635593646572</v>
      </c>
      <c r="I1767" s="25">
        <v>55.12</v>
      </c>
      <c r="J1767" s="379">
        <v>1.9078692035171105</v>
      </c>
    </row>
    <row r="1768" spans="1:10" x14ac:dyDescent="0.35">
      <c r="A1768" s="5">
        <v>1764</v>
      </c>
      <c r="B1768" s="5">
        <v>74</v>
      </c>
      <c r="C1768" s="5">
        <v>3</v>
      </c>
      <c r="D1768" s="379">
        <v>72.411111111111111</v>
      </c>
      <c r="E1768" s="25">
        <v>26.05</v>
      </c>
      <c r="F1768" s="379">
        <v>2.2950016841009022</v>
      </c>
      <c r="G1768" s="25">
        <v>49.37</v>
      </c>
      <c r="H1768" s="379">
        <v>4.6003199364943859</v>
      </c>
      <c r="I1768" s="25">
        <v>54.67</v>
      </c>
      <c r="J1768" s="379">
        <v>1.9078692035171105</v>
      </c>
    </row>
    <row r="1769" spans="1:10" x14ac:dyDescent="0.35">
      <c r="A1769" s="5">
        <v>1765</v>
      </c>
      <c r="B1769" s="5">
        <v>74</v>
      </c>
      <c r="C1769" s="5">
        <v>3</v>
      </c>
      <c r="D1769" s="379">
        <v>67.555555555555557</v>
      </c>
      <c r="E1769" s="25">
        <v>25.74</v>
      </c>
      <c r="F1769" s="379">
        <v>3.4748601244226776</v>
      </c>
      <c r="G1769" s="25">
        <v>47.85</v>
      </c>
      <c r="H1769" s="379">
        <v>0.55654547746151473</v>
      </c>
      <c r="I1769" s="25">
        <v>54.67</v>
      </c>
      <c r="J1769" s="379">
        <v>1.9078692035171105</v>
      </c>
    </row>
    <row r="1770" spans="1:10" x14ac:dyDescent="0.35">
      <c r="A1770" s="5">
        <v>1766</v>
      </c>
      <c r="B1770" s="5">
        <v>74</v>
      </c>
      <c r="C1770" s="5">
        <v>3</v>
      </c>
      <c r="D1770" s="379">
        <v>66.255555555555546</v>
      </c>
      <c r="E1770" s="25">
        <v>25.74</v>
      </c>
      <c r="F1770" s="379">
        <v>3.8638257555994029</v>
      </c>
      <c r="G1770" s="25">
        <v>47.85</v>
      </c>
      <c r="H1770" s="379">
        <v>0.55654547746151473</v>
      </c>
      <c r="I1770" s="25">
        <v>54.67</v>
      </c>
      <c r="J1770" s="379">
        <v>1.9078692035171105</v>
      </c>
    </row>
    <row r="1771" spans="1:10" x14ac:dyDescent="0.35">
      <c r="A1771" s="5">
        <v>1767</v>
      </c>
      <c r="B1771" s="5">
        <v>74</v>
      </c>
      <c r="C1771" s="5">
        <v>3</v>
      </c>
      <c r="D1771" s="379">
        <v>66.961666666666659</v>
      </c>
      <c r="E1771" s="25">
        <v>25.74</v>
      </c>
      <c r="F1771" s="379">
        <v>2.6138751714419586</v>
      </c>
      <c r="G1771" s="25">
        <v>47.85</v>
      </c>
      <c r="H1771" s="379">
        <v>4.6003199364943859</v>
      </c>
      <c r="I1771" s="25">
        <v>54.67</v>
      </c>
      <c r="J1771" s="379">
        <v>1.9078692035171105</v>
      </c>
    </row>
    <row r="1772" spans="1:10" x14ac:dyDescent="0.35">
      <c r="A1772" s="5">
        <v>1768</v>
      </c>
      <c r="B1772" s="5">
        <v>74</v>
      </c>
      <c r="C1772" s="5">
        <v>3</v>
      </c>
      <c r="D1772" s="379">
        <v>69.036111111111111</v>
      </c>
      <c r="E1772" s="25">
        <v>25.74</v>
      </c>
      <c r="F1772" s="379">
        <v>4.5815936642831936</v>
      </c>
      <c r="G1772" s="25">
        <v>47.85</v>
      </c>
      <c r="H1772" s="379">
        <v>4.6080290596520204</v>
      </c>
      <c r="I1772" s="25">
        <v>54.67</v>
      </c>
      <c r="J1772" s="379">
        <v>1.9078692035171105</v>
      </c>
    </row>
    <row r="1773" spans="1:10" x14ac:dyDescent="0.35">
      <c r="A1773" s="5">
        <v>1769</v>
      </c>
      <c r="B1773" s="5">
        <v>74</v>
      </c>
      <c r="C1773" s="5">
        <v>3</v>
      </c>
      <c r="D1773" s="379">
        <v>70.619444444444426</v>
      </c>
      <c r="E1773" s="25">
        <v>25.74</v>
      </c>
      <c r="F1773" s="379">
        <v>8.1174834595959613</v>
      </c>
      <c r="G1773" s="25">
        <v>47.85</v>
      </c>
      <c r="H1773" s="379">
        <v>0.60182451575464435</v>
      </c>
      <c r="I1773" s="25">
        <v>60.46</v>
      </c>
      <c r="J1773" s="379">
        <v>2.8534660038301438</v>
      </c>
    </row>
    <row r="1774" spans="1:10" x14ac:dyDescent="0.35">
      <c r="A1774" s="5">
        <v>1770</v>
      </c>
      <c r="B1774" s="5">
        <v>74</v>
      </c>
      <c r="C1774" s="5">
        <v>3</v>
      </c>
      <c r="D1774" s="379">
        <v>75.23944444444443</v>
      </c>
      <c r="E1774" s="25">
        <v>26.51</v>
      </c>
      <c r="F1774" s="379">
        <v>8.8637518721230428</v>
      </c>
      <c r="G1774" s="25">
        <v>48.2</v>
      </c>
      <c r="H1774" s="379">
        <v>0.95888977324924285</v>
      </c>
      <c r="I1774" s="25">
        <v>66.06</v>
      </c>
      <c r="J1774" s="379">
        <v>0.14480167642852412</v>
      </c>
    </row>
    <row r="1775" spans="1:10" x14ac:dyDescent="0.35">
      <c r="A1775" s="5">
        <v>1771</v>
      </c>
      <c r="B1775" s="5">
        <v>74</v>
      </c>
      <c r="C1775" s="5">
        <v>3</v>
      </c>
      <c r="D1775" s="379">
        <v>84.714444444444453</v>
      </c>
      <c r="E1775" s="25">
        <v>27.3</v>
      </c>
      <c r="F1775" s="379">
        <v>8.8959658900397134</v>
      </c>
      <c r="G1775" s="25">
        <v>56.29</v>
      </c>
      <c r="H1775" s="379">
        <v>0.72846978422401509</v>
      </c>
      <c r="I1775" s="25">
        <v>96.25</v>
      </c>
      <c r="J1775" s="379">
        <v>0.14480167642852412</v>
      </c>
    </row>
    <row r="1776" spans="1:10" x14ac:dyDescent="0.35">
      <c r="A1776" s="5">
        <v>1772</v>
      </c>
      <c r="B1776" s="5">
        <v>74</v>
      </c>
      <c r="C1776" s="5">
        <v>3</v>
      </c>
      <c r="D1776" s="379">
        <v>89.688888888888883</v>
      </c>
      <c r="E1776" s="25">
        <v>29.4</v>
      </c>
      <c r="F1776" s="379">
        <v>8.8918921044670007</v>
      </c>
      <c r="G1776" s="25">
        <v>62.12</v>
      </c>
      <c r="H1776" s="379">
        <v>0.72846978422401509</v>
      </c>
      <c r="I1776" s="25">
        <v>603.30999999999995</v>
      </c>
      <c r="J1776" s="379">
        <v>0.14480167642852412</v>
      </c>
    </row>
    <row r="1777" spans="1:10" x14ac:dyDescent="0.35">
      <c r="A1777" s="5">
        <v>1773</v>
      </c>
      <c r="B1777" s="5">
        <v>74</v>
      </c>
      <c r="C1777" s="5">
        <v>3</v>
      </c>
      <c r="D1777" s="379">
        <v>74.486666666666679</v>
      </c>
      <c r="E1777" s="25">
        <v>27.16</v>
      </c>
      <c r="F1777" s="379">
        <v>8.3190955292934081</v>
      </c>
      <c r="G1777" s="25">
        <v>56.29</v>
      </c>
      <c r="H1777" s="379">
        <v>0.72846978422401509</v>
      </c>
      <c r="I1777" s="25">
        <v>96.25</v>
      </c>
      <c r="J1777" s="379">
        <v>0.14480167642852412</v>
      </c>
    </row>
    <row r="1778" spans="1:10" x14ac:dyDescent="0.35">
      <c r="A1778" s="5">
        <v>1774</v>
      </c>
      <c r="B1778" s="5">
        <v>74</v>
      </c>
      <c r="C1778" s="5">
        <v>3</v>
      </c>
      <c r="D1778" s="379">
        <v>67.119444444444454</v>
      </c>
      <c r="E1778" s="25">
        <v>25.74</v>
      </c>
      <c r="F1778" s="379">
        <v>8.1174834595959595</v>
      </c>
      <c r="G1778" s="25">
        <v>50.35</v>
      </c>
      <c r="H1778" s="379">
        <v>0.60182451575464435</v>
      </c>
      <c r="I1778" s="25">
        <v>72.19</v>
      </c>
      <c r="J1778" s="379">
        <v>0.14480167642852412</v>
      </c>
    </row>
    <row r="1779" spans="1:10" x14ac:dyDescent="0.35">
      <c r="A1779" s="5">
        <v>1775</v>
      </c>
      <c r="B1779" s="5">
        <v>74</v>
      </c>
      <c r="C1779" s="5">
        <v>3</v>
      </c>
      <c r="D1779" s="379">
        <v>64.741111111111124</v>
      </c>
      <c r="E1779" s="25">
        <v>25.74</v>
      </c>
      <c r="F1779" s="379">
        <v>6.6769644062795566</v>
      </c>
      <c r="G1779" s="25">
        <v>50.35</v>
      </c>
      <c r="H1779" s="379">
        <v>0.60182451575464435</v>
      </c>
      <c r="I1779" s="25">
        <v>72.19</v>
      </c>
      <c r="J1779" s="379">
        <v>0.14480167642852412</v>
      </c>
    </row>
    <row r="1780" spans="1:10" x14ac:dyDescent="0.35">
      <c r="A1780" s="5">
        <v>1776</v>
      </c>
      <c r="B1780" s="5">
        <v>74</v>
      </c>
      <c r="C1780" s="5">
        <v>3</v>
      </c>
      <c r="D1780" s="379">
        <v>64.096666666666664</v>
      </c>
      <c r="E1780" s="25">
        <v>25.74</v>
      </c>
      <c r="F1780" s="379">
        <v>6.6416576811428305</v>
      </c>
      <c r="G1780" s="25">
        <v>47.85</v>
      </c>
      <c r="H1780" s="379">
        <v>0.60182451575464435</v>
      </c>
      <c r="I1780" s="25">
        <v>72.19</v>
      </c>
      <c r="J1780" s="379">
        <v>0.14480167642852412</v>
      </c>
    </row>
    <row r="1781" spans="1:10" x14ac:dyDescent="0.35">
      <c r="A1781" s="5">
        <v>1777</v>
      </c>
      <c r="B1781" s="5">
        <v>75</v>
      </c>
      <c r="C1781" s="5">
        <v>3</v>
      </c>
      <c r="D1781" s="379">
        <v>61.723333333333336</v>
      </c>
      <c r="E1781" s="25">
        <v>25.74</v>
      </c>
      <c r="F1781" s="379">
        <v>6.2717591198575295</v>
      </c>
      <c r="G1781" s="25">
        <v>47.85</v>
      </c>
      <c r="H1781" s="379">
        <v>0.60182451575464435</v>
      </c>
      <c r="I1781" s="25">
        <v>72.19</v>
      </c>
      <c r="J1781" s="379">
        <v>0.14480167642852412</v>
      </c>
    </row>
    <row r="1782" spans="1:10" x14ac:dyDescent="0.35">
      <c r="A1782" s="5">
        <v>1778</v>
      </c>
      <c r="B1782" s="5">
        <v>75</v>
      </c>
      <c r="C1782" s="5">
        <v>3</v>
      </c>
      <c r="D1782" s="379">
        <v>61.490000000000009</v>
      </c>
      <c r="E1782" s="25">
        <v>25.29</v>
      </c>
      <c r="F1782" s="379">
        <v>6.4100779797298308</v>
      </c>
      <c r="G1782" s="25">
        <v>47.85</v>
      </c>
      <c r="H1782" s="379">
        <v>0.60182451575464435</v>
      </c>
      <c r="I1782" s="25">
        <v>72.19</v>
      </c>
      <c r="J1782" s="379">
        <v>0.14480167642852412</v>
      </c>
    </row>
    <row r="1783" spans="1:10" x14ac:dyDescent="0.35">
      <c r="A1783" s="5">
        <v>1779</v>
      </c>
      <c r="B1783" s="5">
        <v>75</v>
      </c>
      <c r="C1783" s="5">
        <v>3</v>
      </c>
      <c r="D1783" s="379">
        <v>60.764999999999993</v>
      </c>
      <c r="E1783" s="25">
        <v>24.99</v>
      </c>
      <c r="F1783" s="379">
        <v>6.3127743487589125</v>
      </c>
      <c r="G1783" s="25">
        <v>47.85</v>
      </c>
      <c r="H1783" s="379">
        <v>0.99154797295021413</v>
      </c>
      <c r="I1783" s="25">
        <v>72.19</v>
      </c>
      <c r="J1783" s="379">
        <v>0.14480167642852412</v>
      </c>
    </row>
    <row r="1784" spans="1:10" x14ac:dyDescent="0.35">
      <c r="A1784" s="5">
        <v>1780</v>
      </c>
      <c r="B1784" s="5">
        <v>75</v>
      </c>
      <c r="C1784" s="5">
        <v>3</v>
      </c>
      <c r="D1784" s="379">
        <v>59.888888888888886</v>
      </c>
      <c r="E1784" s="25">
        <v>24.99</v>
      </c>
      <c r="F1784" s="379">
        <v>6.5500783691181779</v>
      </c>
      <c r="G1784" s="25">
        <v>47.85</v>
      </c>
      <c r="H1784" s="379">
        <v>1.3810024604280406</v>
      </c>
      <c r="I1784" s="25">
        <v>72.19</v>
      </c>
      <c r="J1784" s="379">
        <v>0.14480167642852412</v>
      </c>
    </row>
    <row r="1785" spans="1:10" x14ac:dyDescent="0.35">
      <c r="A1785" s="5">
        <v>1781</v>
      </c>
      <c r="B1785" s="5">
        <v>75</v>
      </c>
      <c r="C1785" s="5">
        <v>3</v>
      </c>
      <c r="D1785" s="379">
        <v>59.445</v>
      </c>
      <c r="E1785" s="25">
        <v>24.99</v>
      </c>
      <c r="F1785" s="379">
        <v>6.3288747037953028</v>
      </c>
      <c r="G1785" s="25">
        <v>47.85</v>
      </c>
      <c r="H1785" s="379">
        <v>0.93333900683703674</v>
      </c>
      <c r="I1785" s="25">
        <v>72.19</v>
      </c>
      <c r="J1785" s="379">
        <v>0.14480167642852412</v>
      </c>
    </row>
    <row r="1786" spans="1:10" x14ac:dyDescent="0.35">
      <c r="A1786" s="5">
        <v>1782</v>
      </c>
      <c r="B1786" s="5">
        <v>75</v>
      </c>
      <c r="C1786" s="5">
        <v>3</v>
      </c>
      <c r="D1786" s="379">
        <v>62.177222222222227</v>
      </c>
      <c r="E1786" s="25">
        <v>25.74</v>
      </c>
      <c r="F1786" s="379">
        <v>8.1174834595959595</v>
      </c>
      <c r="G1786" s="25">
        <v>49.84</v>
      </c>
      <c r="H1786" s="379">
        <v>0.72846978422401509</v>
      </c>
      <c r="I1786" s="25">
        <v>72.92</v>
      </c>
      <c r="J1786" s="379">
        <v>0.14480167642852412</v>
      </c>
    </row>
    <row r="1787" spans="1:10" x14ac:dyDescent="0.35">
      <c r="A1787" s="5">
        <v>1783</v>
      </c>
      <c r="B1787" s="5">
        <v>75</v>
      </c>
      <c r="C1787" s="5">
        <v>3</v>
      </c>
      <c r="D1787" s="379">
        <v>70.00055555555555</v>
      </c>
      <c r="E1787" s="25">
        <v>25.74</v>
      </c>
      <c r="F1787" s="379">
        <v>8.1174834595959595</v>
      </c>
      <c r="G1787" s="25">
        <v>53.34</v>
      </c>
      <c r="H1787" s="379">
        <v>1.8043043491746813</v>
      </c>
      <c r="I1787" s="25">
        <v>603.30999999999995</v>
      </c>
      <c r="J1787" s="379">
        <v>0.14480167642852412</v>
      </c>
    </row>
    <row r="1788" spans="1:10" x14ac:dyDescent="0.35">
      <c r="A1788" s="5">
        <v>1784</v>
      </c>
      <c r="B1788" s="5">
        <v>75</v>
      </c>
      <c r="C1788" s="5">
        <v>3</v>
      </c>
      <c r="D1788" s="379">
        <v>74.889444444444436</v>
      </c>
      <c r="E1788" s="25">
        <v>36.01</v>
      </c>
      <c r="F1788" s="379">
        <v>8.1174834595959613</v>
      </c>
      <c r="G1788" s="25">
        <v>62.12</v>
      </c>
      <c r="H1788" s="379">
        <v>0.14480167642852412</v>
      </c>
      <c r="I1788" s="25">
        <v>843.72</v>
      </c>
      <c r="J1788" s="379">
        <v>0.14480167642852412</v>
      </c>
    </row>
    <row r="1789" spans="1:10" x14ac:dyDescent="0.35">
      <c r="A1789" s="5">
        <v>1785</v>
      </c>
      <c r="B1789" s="5">
        <v>75</v>
      </c>
      <c r="C1789" s="5">
        <v>3</v>
      </c>
      <c r="D1789" s="379">
        <v>75.094999999999999</v>
      </c>
      <c r="E1789" s="25">
        <v>36.01</v>
      </c>
      <c r="F1789" s="379">
        <v>5.5608399825601404</v>
      </c>
      <c r="G1789" s="25">
        <v>62.12</v>
      </c>
      <c r="H1789" s="379">
        <v>4.8258162476922628</v>
      </c>
      <c r="I1789" s="25">
        <v>843.72</v>
      </c>
      <c r="J1789" s="379">
        <v>4.0496715170712445</v>
      </c>
    </row>
    <row r="1790" spans="1:10" x14ac:dyDescent="0.35">
      <c r="A1790" s="5">
        <v>1786</v>
      </c>
      <c r="B1790" s="5">
        <v>75</v>
      </c>
      <c r="C1790" s="5">
        <v>3</v>
      </c>
      <c r="D1790" s="379">
        <v>73.440555555555548</v>
      </c>
      <c r="E1790" s="25">
        <v>36.01</v>
      </c>
      <c r="F1790" s="379">
        <v>5.4018068668790553</v>
      </c>
      <c r="G1790" s="25">
        <v>62.12</v>
      </c>
      <c r="H1790" s="379">
        <v>4.6528169298648905</v>
      </c>
      <c r="I1790" s="25">
        <v>623.48</v>
      </c>
      <c r="J1790" s="379">
        <v>3.5290413270820653</v>
      </c>
    </row>
    <row r="1791" spans="1:10" x14ac:dyDescent="0.35">
      <c r="A1791" s="5">
        <v>1787</v>
      </c>
      <c r="B1791" s="5">
        <v>75</v>
      </c>
      <c r="C1791" s="5">
        <v>3</v>
      </c>
      <c r="D1791" s="379">
        <v>70.941666666666663</v>
      </c>
      <c r="E1791" s="25">
        <v>36.01</v>
      </c>
      <c r="F1791" s="379">
        <v>5.2083306482968252</v>
      </c>
      <c r="G1791" s="25">
        <v>57.56</v>
      </c>
      <c r="H1791" s="379">
        <v>4.4025467679919723</v>
      </c>
      <c r="I1791" s="25">
        <v>73.650000000000006</v>
      </c>
      <c r="J1791" s="379">
        <v>1.9078692035171105</v>
      </c>
    </row>
    <row r="1792" spans="1:10" x14ac:dyDescent="0.35">
      <c r="A1792" s="5">
        <v>1788</v>
      </c>
      <c r="B1792" s="5">
        <v>75</v>
      </c>
      <c r="C1792" s="5">
        <v>3</v>
      </c>
      <c r="D1792" s="379">
        <v>67.75500000000001</v>
      </c>
      <c r="E1792" s="25">
        <v>35.869999999999997</v>
      </c>
      <c r="F1792" s="379">
        <v>5.2083306482968252</v>
      </c>
      <c r="G1792" s="25">
        <v>54.25</v>
      </c>
      <c r="H1792" s="379">
        <v>4.2255674930820275</v>
      </c>
      <c r="I1792" s="25">
        <v>73.650000000000006</v>
      </c>
      <c r="J1792" s="379">
        <v>1.9593070082324751</v>
      </c>
    </row>
    <row r="1793" spans="1:10" x14ac:dyDescent="0.35">
      <c r="A1793" s="5">
        <v>1789</v>
      </c>
      <c r="B1793" s="5">
        <v>75</v>
      </c>
      <c r="C1793" s="5">
        <v>3</v>
      </c>
      <c r="D1793" s="379">
        <v>64.712777777777774</v>
      </c>
      <c r="E1793" s="25">
        <v>35.869999999999997</v>
      </c>
      <c r="F1793" s="379">
        <v>4.7923216281937044</v>
      </c>
      <c r="G1793" s="25">
        <v>53.34</v>
      </c>
      <c r="H1793" s="379">
        <v>4.2255674930820275</v>
      </c>
      <c r="I1793" s="25">
        <v>72.92</v>
      </c>
      <c r="J1793" s="379">
        <v>1.9657652058575394</v>
      </c>
    </row>
    <row r="1794" spans="1:10" x14ac:dyDescent="0.35">
      <c r="A1794" s="5">
        <v>1790</v>
      </c>
      <c r="B1794" s="5">
        <v>75</v>
      </c>
      <c r="C1794" s="5">
        <v>3</v>
      </c>
      <c r="D1794" s="379">
        <v>63.726111111111109</v>
      </c>
      <c r="E1794" s="25">
        <v>34.82</v>
      </c>
      <c r="F1794" s="379">
        <v>4.7666261420830081</v>
      </c>
      <c r="G1794" s="25">
        <v>52.8</v>
      </c>
      <c r="H1794" s="379">
        <v>4.2255674930820275</v>
      </c>
      <c r="I1794" s="25">
        <v>72.92</v>
      </c>
      <c r="J1794" s="379">
        <v>1.9657652058575394</v>
      </c>
    </row>
    <row r="1795" spans="1:10" x14ac:dyDescent="0.35">
      <c r="A1795" s="5">
        <v>1791</v>
      </c>
      <c r="B1795" s="5">
        <v>75</v>
      </c>
      <c r="C1795" s="5">
        <v>3</v>
      </c>
      <c r="D1795" s="379">
        <v>62.849444444444437</v>
      </c>
      <c r="E1795" s="25">
        <v>35.869999999999997</v>
      </c>
      <c r="F1795" s="379">
        <v>4.7666261420830081</v>
      </c>
      <c r="G1795" s="25">
        <v>52.8</v>
      </c>
      <c r="H1795" s="379">
        <v>4.2255674930820275</v>
      </c>
      <c r="I1795" s="25">
        <v>72.92</v>
      </c>
      <c r="J1795" s="379">
        <v>1.9657652058575394</v>
      </c>
    </row>
    <row r="1796" spans="1:10" x14ac:dyDescent="0.35">
      <c r="A1796" s="5">
        <v>1792</v>
      </c>
      <c r="B1796" s="5">
        <v>75</v>
      </c>
      <c r="C1796" s="5">
        <v>3</v>
      </c>
      <c r="D1796" s="379">
        <v>61.142777777777766</v>
      </c>
      <c r="E1796" s="25">
        <v>35.869999999999997</v>
      </c>
      <c r="F1796" s="379">
        <v>4.7923216281937044</v>
      </c>
      <c r="G1796" s="25">
        <v>52.8</v>
      </c>
      <c r="H1796" s="379">
        <v>4.2255674930820275</v>
      </c>
      <c r="I1796" s="25">
        <v>73.650000000000006</v>
      </c>
      <c r="J1796" s="379">
        <v>2.0067494327602646</v>
      </c>
    </row>
    <row r="1797" spans="1:10" x14ac:dyDescent="0.35">
      <c r="A1797" s="5">
        <v>1793</v>
      </c>
      <c r="B1797" s="5">
        <v>75</v>
      </c>
      <c r="C1797" s="5">
        <v>3</v>
      </c>
      <c r="D1797" s="379">
        <v>64.204999999999998</v>
      </c>
      <c r="E1797" s="25">
        <v>36.01</v>
      </c>
      <c r="F1797" s="379">
        <v>2.3990576344299437</v>
      </c>
      <c r="G1797" s="25">
        <v>62.12</v>
      </c>
      <c r="H1797" s="379">
        <v>4.4758376549549448</v>
      </c>
      <c r="I1797" s="25">
        <v>603.30999999999995</v>
      </c>
      <c r="J1797" s="379">
        <v>2.2919296762182699</v>
      </c>
    </row>
    <row r="1798" spans="1:10" x14ac:dyDescent="0.35">
      <c r="A1798" s="5">
        <v>1794</v>
      </c>
      <c r="B1798" s="5">
        <v>75</v>
      </c>
      <c r="C1798" s="5">
        <v>3</v>
      </c>
      <c r="D1798" s="379">
        <v>69.638333333333335</v>
      </c>
      <c r="E1798" s="25">
        <v>36.01</v>
      </c>
      <c r="F1798" s="379">
        <v>8.9518731266794838</v>
      </c>
      <c r="G1798" s="25">
        <v>62.12</v>
      </c>
      <c r="H1798" s="379">
        <v>7.764591909768062</v>
      </c>
      <c r="I1798" s="25">
        <v>709.78</v>
      </c>
      <c r="J1798" s="379">
        <v>6.4984780042137329</v>
      </c>
    </row>
    <row r="1799" spans="1:10" x14ac:dyDescent="0.35">
      <c r="A1799" s="5">
        <v>1795</v>
      </c>
      <c r="B1799" s="5">
        <v>75</v>
      </c>
      <c r="C1799" s="5">
        <v>3</v>
      </c>
      <c r="D1799" s="379">
        <v>74.577222222222204</v>
      </c>
      <c r="E1799" s="25">
        <v>37.090000000000003</v>
      </c>
      <c r="F1799" s="379">
        <v>9.4146225823885707</v>
      </c>
      <c r="G1799" s="25">
        <v>64.2</v>
      </c>
      <c r="H1799" s="379">
        <v>7.7427791896154368</v>
      </c>
      <c r="I1799" s="25">
        <v>869.03</v>
      </c>
      <c r="J1799" s="379">
        <v>6.9148247976448216</v>
      </c>
    </row>
    <row r="1800" spans="1:10" x14ac:dyDescent="0.35">
      <c r="A1800" s="5">
        <v>1796</v>
      </c>
      <c r="B1800" s="5">
        <v>75</v>
      </c>
      <c r="C1800" s="5">
        <v>3</v>
      </c>
      <c r="D1800" s="379">
        <v>74.655555555555551</v>
      </c>
      <c r="E1800" s="25">
        <v>599.36</v>
      </c>
      <c r="F1800" s="379">
        <v>8.9458151780548736</v>
      </c>
      <c r="G1800" s="25">
        <v>843.72</v>
      </c>
      <c r="H1800" s="379">
        <v>7.796150369787231</v>
      </c>
      <c r="I1800" s="25">
        <v>869.03</v>
      </c>
      <c r="J1800" s="379">
        <v>6.3081472197000732</v>
      </c>
    </row>
    <row r="1801" spans="1:10" x14ac:dyDescent="0.35">
      <c r="A1801" s="5">
        <v>1797</v>
      </c>
      <c r="B1801" s="5">
        <v>75</v>
      </c>
      <c r="C1801" s="5">
        <v>3</v>
      </c>
      <c r="D1801" s="379">
        <v>67.5</v>
      </c>
      <c r="E1801" s="25">
        <v>37.090000000000003</v>
      </c>
      <c r="F1801" s="379">
        <v>8.9511257017690493</v>
      </c>
      <c r="G1801" s="25">
        <v>62.33</v>
      </c>
      <c r="H1801" s="379">
        <v>7.8167445032801766</v>
      </c>
      <c r="I1801" s="25">
        <v>869.03</v>
      </c>
      <c r="J1801" s="379">
        <v>6.6800856883919426</v>
      </c>
    </row>
    <row r="1802" spans="1:10" x14ac:dyDescent="0.35">
      <c r="A1802" s="5">
        <v>1798</v>
      </c>
      <c r="B1802" s="5">
        <v>75</v>
      </c>
      <c r="C1802" s="5">
        <v>3</v>
      </c>
      <c r="D1802" s="379">
        <v>60.390555555555558</v>
      </c>
      <c r="E1802" s="25">
        <v>36.01</v>
      </c>
      <c r="F1802" s="379">
        <v>8.8181652371556574</v>
      </c>
      <c r="G1802" s="25">
        <v>62.12</v>
      </c>
      <c r="H1802" s="379">
        <v>7.7858308379616901</v>
      </c>
      <c r="I1802" s="25">
        <v>709.78</v>
      </c>
      <c r="J1802" s="379">
        <v>6.7099423299043712</v>
      </c>
    </row>
    <row r="1803" spans="1:10" x14ac:dyDescent="0.35">
      <c r="A1803" s="5">
        <v>1799</v>
      </c>
      <c r="B1803" s="5">
        <v>75</v>
      </c>
      <c r="C1803" s="5">
        <v>3</v>
      </c>
      <c r="D1803" s="379">
        <v>58.486111111111114</v>
      </c>
      <c r="E1803" s="25">
        <v>36.01</v>
      </c>
      <c r="F1803" s="379">
        <v>8.1174834595959577</v>
      </c>
      <c r="G1803" s="25">
        <v>62.12</v>
      </c>
      <c r="H1803" s="379">
        <v>7.7908615537756001</v>
      </c>
      <c r="I1803" s="25">
        <v>709.78</v>
      </c>
      <c r="J1803" s="379">
        <v>6.8660344398013446</v>
      </c>
    </row>
    <row r="1804" spans="1:10" x14ac:dyDescent="0.35">
      <c r="A1804" s="5">
        <v>1800</v>
      </c>
      <c r="B1804" s="5">
        <v>75</v>
      </c>
      <c r="C1804" s="5">
        <v>3</v>
      </c>
      <c r="D1804" s="379">
        <v>52.99444444444444</v>
      </c>
      <c r="E1804" s="25">
        <v>34.82</v>
      </c>
      <c r="F1804" s="379">
        <v>8.1174834595959577</v>
      </c>
      <c r="G1804" s="25">
        <v>62.12</v>
      </c>
      <c r="H1804" s="379">
        <v>7.7578350763069235</v>
      </c>
      <c r="I1804" s="25">
        <v>709.78</v>
      </c>
      <c r="J1804" s="379">
        <v>6.5900823843423133</v>
      </c>
    </row>
    <row r="1805" spans="1:10" x14ac:dyDescent="0.35">
      <c r="A1805" s="5">
        <v>1801</v>
      </c>
      <c r="B1805" s="5">
        <v>76</v>
      </c>
      <c r="C1805" s="5">
        <v>3</v>
      </c>
      <c r="D1805" s="379">
        <v>53.314999999999998</v>
      </c>
      <c r="E1805" s="25">
        <v>29.6</v>
      </c>
      <c r="F1805" s="379">
        <v>8.1174834595959577</v>
      </c>
      <c r="G1805" s="25">
        <v>58.16</v>
      </c>
      <c r="H1805" s="379">
        <v>7.8082073952081901</v>
      </c>
      <c r="I1805" s="25">
        <v>603.30999999999995</v>
      </c>
      <c r="J1805" s="379">
        <v>6.7515997328245669</v>
      </c>
    </row>
    <row r="1806" spans="1:10" x14ac:dyDescent="0.35">
      <c r="A1806" s="5">
        <v>1802</v>
      </c>
      <c r="B1806" s="5">
        <v>76</v>
      </c>
      <c r="C1806" s="5">
        <v>3</v>
      </c>
      <c r="D1806" s="379">
        <v>51.334444444444436</v>
      </c>
      <c r="E1806" s="25">
        <v>29.6</v>
      </c>
      <c r="F1806" s="379">
        <v>8.1174834595959577</v>
      </c>
      <c r="G1806" s="25">
        <v>52.98</v>
      </c>
      <c r="H1806" s="379">
        <v>7.854028839153993</v>
      </c>
      <c r="I1806" s="25">
        <v>603.30999999999995</v>
      </c>
      <c r="J1806" s="379">
        <v>7.0902600972235543</v>
      </c>
    </row>
    <row r="1807" spans="1:10" x14ac:dyDescent="0.35">
      <c r="A1807" s="5">
        <v>1803</v>
      </c>
      <c r="B1807" s="5">
        <v>76</v>
      </c>
      <c r="C1807" s="5">
        <v>3</v>
      </c>
      <c r="D1807" s="379">
        <v>47.751111111111115</v>
      </c>
      <c r="E1807" s="25">
        <v>25.74</v>
      </c>
      <c r="F1807" s="379">
        <v>8.1174834595959577</v>
      </c>
      <c r="G1807" s="25">
        <v>52.98</v>
      </c>
      <c r="H1807" s="379">
        <v>7.8174445202004499</v>
      </c>
      <c r="I1807" s="25">
        <v>603.30999999999995</v>
      </c>
      <c r="J1807" s="379">
        <v>6.8408292127945547</v>
      </c>
    </row>
    <row r="1808" spans="1:10" x14ac:dyDescent="0.35">
      <c r="A1808" s="5">
        <v>1804</v>
      </c>
      <c r="B1808" s="5">
        <v>76</v>
      </c>
      <c r="C1808" s="5">
        <v>3</v>
      </c>
      <c r="D1808" s="379">
        <v>47.445555555555558</v>
      </c>
      <c r="E1808" s="25">
        <v>25.29</v>
      </c>
      <c r="F1808" s="379">
        <v>8.1174834595959577</v>
      </c>
      <c r="G1808" s="25">
        <v>52.98</v>
      </c>
      <c r="H1808" s="379">
        <v>7.8628180881443921</v>
      </c>
      <c r="I1808" s="25">
        <v>603.30999999999995</v>
      </c>
      <c r="J1808" s="379">
        <v>6.8976625214359357</v>
      </c>
    </row>
    <row r="1809" spans="1:10" x14ac:dyDescent="0.35">
      <c r="A1809" s="5">
        <v>1805</v>
      </c>
      <c r="B1809" s="5">
        <v>76</v>
      </c>
      <c r="C1809" s="5">
        <v>3</v>
      </c>
      <c r="D1809" s="379">
        <v>44.074444444444438</v>
      </c>
      <c r="E1809" s="25">
        <v>25.29</v>
      </c>
      <c r="F1809" s="379">
        <v>8.4697741089194576</v>
      </c>
      <c r="G1809" s="25">
        <v>52.98</v>
      </c>
      <c r="H1809" s="379">
        <v>7.8416734296112223</v>
      </c>
      <c r="I1809" s="25">
        <v>603.30999999999995</v>
      </c>
      <c r="J1809" s="379">
        <v>7.0595982008859037</v>
      </c>
    </row>
    <row r="1810" spans="1:10" x14ac:dyDescent="0.35">
      <c r="A1810" s="5">
        <v>1806</v>
      </c>
      <c r="B1810" s="5">
        <v>76</v>
      </c>
      <c r="C1810" s="5">
        <v>3</v>
      </c>
      <c r="D1810" s="379">
        <v>49.182777777777773</v>
      </c>
      <c r="E1810" s="25">
        <v>26.51</v>
      </c>
      <c r="F1810" s="379">
        <v>8.3998347501817836</v>
      </c>
      <c r="G1810" s="25">
        <v>52.98</v>
      </c>
      <c r="H1810" s="379">
        <v>7.8771450743478093</v>
      </c>
      <c r="I1810" s="25">
        <v>603.30999999999995</v>
      </c>
      <c r="J1810" s="379">
        <v>6.8460384170947748</v>
      </c>
    </row>
    <row r="1811" spans="1:10" x14ac:dyDescent="0.35">
      <c r="A1811" s="5">
        <v>1807</v>
      </c>
      <c r="B1811" s="5">
        <v>76</v>
      </c>
      <c r="C1811" s="5">
        <v>3</v>
      </c>
      <c r="D1811" s="379">
        <v>54.358888888888885</v>
      </c>
      <c r="E1811" s="25">
        <v>29.6</v>
      </c>
      <c r="F1811" s="379">
        <v>8.6437607618429819</v>
      </c>
      <c r="G1811" s="25">
        <v>62.12</v>
      </c>
      <c r="H1811" s="379">
        <v>7.9293933758557857</v>
      </c>
      <c r="I1811" s="25">
        <v>709.78</v>
      </c>
      <c r="J1811" s="379">
        <v>6.5531969895802886</v>
      </c>
    </row>
    <row r="1812" spans="1:10" x14ac:dyDescent="0.35">
      <c r="A1812" s="5">
        <v>1808</v>
      </c>
      <c r="B1812" s="5">
        <v>76</v>
      </c>
      <c r="C1812" s="5">
        <v>3</v>
      </c>
      <c r="D1812" s="379">
        <v>59.684444444444438</v>
      </c>
      <c r="E1812" s="25">
        <v>34.82</v>
      </c>
      <c r="F1812" s="379">
        <v>8.5671696040814744</v>
      </c>
      <c r="G1812" s="25">
        <v>62.12</v>
      </c>
      <c r="H1812" s="379">
        <v>7.7639362823327147</v>
      </c>
      <c r="I1812" s="25">
        <v>843.72</v>
      </c>
      <c r="J1812" s="379">
        <v>6.5146120928407285</v>
      </c>
    </row>
    <row r="1813" spans="1:10" x14ac:dyDescent="0.35">
      <c r="A1813" s="5">
        <v>1809</v>
      </c>
      <c r="B1813" s="5">
        <v>76</v>
      </c>
      <c r="C1813" s="5">
        <v>3</v>
      </c>
      <c r="D1813" s="379">
        <v>60.879444444444445</v>
      </c>
      <c r="E1813" s="25">
        <v>34.82</v>
      </c>
      <c r="F1813" s="379">
        <v>8.1174834595959595</v>
      </c>
      <c r="G1813" s="25">
        <v>62.33</v>
      </c>
      <c r="H1813" s="379">
        <v>7.4735511318967678</v>
      </c>
      <c r="I1813" s="25">
        <v>843.72</v>
      </c>
      <c r="J1813" s="379">
        <v>2.2502191674475251</v>
      </c>
    </row>
    <row r="1814" spans="1:10" x14ac:dyDescent="0.35">
      <c r="A1814" s="5">
        <v>1810</v>
      </c>
      <c r="B1814" s="5">
        <v>76</v>
      </c>
      <c r="C1814" s="5">
        <v>3</v>
      </c>
      <c r="D1814" s="379">
        <v>56.717777777777769</v>
      </c>
      <c r="E1814" s="25">
        <v>34.82</v>
      </c>
      <c r="F1814" s="379">
        <v>0.47222222222222221</v>
      </c>
      <c r="G1814" s="25">
        <v>62.33</v>
      </c>
      <c r="H1814" s="379">
        <v>2.3124539596375233</v>
      </c>
      <c r="I1814" s="25">
        <v>597.28</v>
      </c>
      <c r="J1814" s="379">
        <v>2.2279767353669047</v>
      </c>
    </row>
    <row r="1815" spans="1:10" x14ac:dyDescent="0.35">
      <c r="A1815" s="5">
        <v>1811</v>
      </c>
      <c r="B1815" s="5">
        <v>76</v>
      </c>
      <c r="C1815" s="5">
        <v>3</v>
      </c>
      <c r="D1815" s="379">
        <v>53.492777777777775</v>
      </c>
      <c r="E1815" s="25">
        <v>29.6</v>
      </c>
      <c r="F1815" s="379">
        <v>5.2083306482968252</v>
      </c>
      <c r="G1815" s="25">
        <v>62.12</v>
      </c>
      <c r="H1815" s="379">
        <v>2.1481536614494119</v>
      </c>
      <c r="I1815" s="25">
        <v>335.56</v>
      </c>
      <c r="J1815" s="379">
        <v>2.1931573743101476</v>
      </c>
    </row>
    <row r="1816" spans="1:10" x14ac:dyDescent="0.35">
      <c r="A1816" s="5">
        <v>1812</v>
      </c>
      <c r="B1816" s="5">
        <v>76</v>
      </c>
      <c r="C1816" s="5">
        <v>3</v>
      </c>
      <c r="D1816" s="379">
        <v>52.88333333333334</v>
      </c>
      <c r="E1816" s="25">
        <v>29.6</v>
      </c>
      <c r="F1816" s="379">
        <v>5.2083306482968252</v>
      </c>
      <c r="G1816" s="25">
        <v>60.51</v>
      </c>
      <c r="H1816" s="379">
        <v>1.9290850608260639</v>
      </c>
      <c r="I1816" s="25">
        <v>147.82</v>
      </c>
      <c r="J1816" s="379">
        <v>0.31285292950283144</v>
      </c>
    </row>
    <row r="1817" spans="1:10" x14ac:dyDescent="0.35">
      <c r="A1817" s="5">
        <v>1813</v>
      </c>
      <c r="B1817" s="5">
        <v>76</v>
      </c>
      <c r="C1817" s="5">
        <v>3</v>
      </c>
      <c r="D1817" s="379">
        <v>48.631111111111103</v>
      </c>
      <c r="E1817" s="25">
        <v>29.6</v>
      </c>
      <c r="F1817" s="379">
        <v>5.2083306482968252</v>
      </c>
      <c r="G1817" s="25">
        <v>58.75</v>
      </c>
      <c r="H1817" s="379">
        <v>1.8809532438893337</v>
      </c>
      <c r="I1817" s="25">
        <v>147.82</v>
      </c>
      <c r="J1817" s="379">
        <v>0.93434307521735238</v>
      </c>
    </row>
    <row r="1818" spans="1:10" x14ac:dyDescent="0.35">
      <c r="A1818" s="5">
        <v>1814</v>
      </c>
      <c r="B1818" s="5">
        <v>76</v>
      </c>
      <c r="C1818" s="5">
        <v>3</v>
      </c>
      <c r="D1818" s="379">
        <v>48.269999999999996</v>
      </c>
      <c r="E1818" s="25">
        <v>29.6</v>
      </c>
      <c r="F1818" s="379">
        <v>5.2083306482968252</v>
      </c>
      <c r="G1818" s="25">
        <v>58.75</v>
      </c>
      <c r="H1818" s="379">
        <v>2.2866008836969729</v>
      </c>
      <c r="I1818" s="25">
        <v>72.92</v>
      </c>
      <c r="J1818" s="379">
        <v>1.0531420986760303</v>
      </c>
    </row>
    <row r="1819" spans="1:10" x14ac:dyDescent="0.35">
      <c r="A1819" s="5">
        <v>1815</v>
      </c>
      <c r="B1819" s="5">
        <v>76</v>
      </c>
      <c r="C1819" s="5">
        <v>3</v>
      </c>
      <c r="D1819" s="379">
        <v>47.662222222222219</v>
      </c>
      <c r="E1819" s="25">
        <v>29.6</v>
      </c>
      <c r="F1819" s="379">
        <v>5.2083306482968252</v>
      </c>
      <c r="G1819" s="25">
        <v>58.16</v>
      </c>
      <c r="H1819" s="379">
        <v>2.6696600679110678</v>
      </c>
      <c r="I1819" s="25">
        <v>147.82</v>
      </c>
      <c r="J1819" s="379">
        <v>1.0108667989217801</v>
      </c>
    </row>
    <row r="1820" spans="1:10" x14ac:dyDescent="0.35">
      <c r="A1820" s="5">
        <v>1816</v>
      </c>
      <c r="B1820" s="5">
        <v>76</v>
      </c>
      <c r="C1820" s="5">
        <v>3</v>
      </c>
      <c r="D1820" s="379">
        <v>51.168888888888887</v>
      </c>
      <c r="E1820" s="25">
        <v>29.6</v>
      </c>
      <c r="F1820" s="379">
        <v>5.3837097714493884</v>
      </c>
      <c r="G1820" s="25">
        <v>58.16</v>
      </c>
      <c r="H1820" s="379">
        <v>3.1369467281287928</v>
      </c>
      <c r="I1820" s="25">
        <v>529.96</v>
      </c>
      <c r="J1820" s="379">
        <v>0.70557340010548508</v>
      </c>
    </row>
    <row r="1821" spans="1:10" x14ac:dyDescent="0.35">
      <c r="A1821" s="5">
        <v>1817</v>
      </c>
      <c r="B1821" s="5">
        <v>76</v>
      </c>
      <c r="C1821" s="5">
        <v>3</v>
      </c>
      <c r="D1821" s="379">
        <v>52.744999999999997</v>
      </c>
      <c r="E1821" s="25">
        <v>34.82</v>
      </c>
      <c r="F1821" s="379">
        <v>8.1174834595959613</v>
      </c>
      <c r="G1821" s="25">
        <v>60.51</v>
      </c>
      <c r="H1821" s="379">
        <v>7.0976098076385012</v>
      </c>
      <c r="I1821" s="25">
        <v>597.28</v>
      </c>
      <c r="J1821" s="379">
        <v>4.5429529607497736</v>
      </c>
    </row>
    <row r="1822" spans="1:10" x14ac:dyDescent="0.35">
      <c r="A1822" s="5">
        <v>1818</v>
      </c>
      <c r="B1822" s="5">
        <v>76</v>
      </c>
      <c r="C1822" s="5">
        <v>3</v>
      </c>
      <c r="D1822" s="379">
        <v>59.875555555555565</v>
      </c>
      <c r="E1822" s="25">
        <v>34.82</v>
      </c>
      <c r="F1822" s="379">
        <v>19.205213342968584</v>
      </c>
      <c r="G1822" s="25">
        <v>62.33</v>
      </c>
      <c r="H1822" s="379">
        <v>10.759397843107006</v>
      </c>
      <c r="I1822" s="25">
        <v>623.48</v>
      </c>
      <c r="J1822" s="379">
        <v>7.5432987390554995</v>
      </c>
    </row>
    <row r="1823" spans="1:10" x14ac:dyDescent="0.35">
      <c r="A1823" s="5">
        <v>1819</v>
      </c>
      <c r="B1823" s="5">
        <v>76</v>
      </c>
      <c r="C1823" s="5">
        <v>3</v>
      </c>
      <c r="D1823" s="379">
        <v>69.863888888888894</v>
      </c>
      <c r="E1823" s="25">
        <v>34.82</v>
      </c>
      <c r="F1823" s="379">
        <v>19.26084510349148</v>
      </c>
      <c r="G1823" s="25">
        <v>843.72</v>
      </c>
      <c r="H1823" s="379">
        <v>10.797124015108702</v>
      </c>
      <c r="I1823" s="25">
        <v>869.03</v>
      </c>
      <c r="J1823" s="379">
        <v>7.1000623056858192</v>
      </c>
    </row>
    <row r="1824" spans="1:10" x14ac:dyDescent="0.35">
      <c r="A1824" s="5">
        <v>1820</v>
      </c>
      <c r="B1824" s="5">
        <v>76</v>
      </c>
      <c r="C1824" s="5">
        <v>3</v>
      </c>
      <c r="D1824" s="379">
        <v>67.674444444444447</v>
      </c>
      <c r="E1824" s="25">
        <v>37.090000000000003</v>
      </c>
      <c r="F1824" s="379">
        <v>18.771431303123098</v>
      </c>
      <c r="G1824" s="25">
        <v>843.72</v>
      </c>
      <c r="H1824" s="379">
        <v>10.792240533866842</v>
      </c>
      <c r="I1824" s="25">
        <v>869.03</v>
      </c>
      <c r="J1824" s="379">
        <v>6.9650017283811128</v>
      </c>
    </row>
    <row r="1825" spans="1:10" x14ac:dyDescent="0.35">
      <c r="A1825" s="5">
        <v>1821</v>
      </c>
      <c r="B1825" s="5">
        <v>76</v>
      </c>
      <c r="C1825" s="5">
        <v>3</v>
      </c>
      <c r="D1825" s="379">
        <v>59.823888888888881</v>
      </c>
      <c r="E1825" s="25">
        <v>34.82</v>
      </c>
      <c r="F1825" s="379">
        <v>19.289919654420665</v>
      </c>
      <c r="G1825" s="25">
        <v>64.2</v>
      </c>
      <c r="H1825" s="379">
        <v>10.085887045958023</v>
      </c>
      <c r="I1825" s="25">
        <v>843.72</v>
      </c>
      <c r="J1825" s="379">
        <v>7.0843391666517439</v>
      </c>
    </row>
    <row r="1826" spans="1:10" x14ac:dyDescent="0.35">
      <c r="A1826" s="5">
        <v>1822</v>
      </c>
      <c r="B1826" s="5">
        <v>76</v>
      </c>
      <c r="C1826" s="5">
        <v>3</v>
      </c>
      <c r="D1826" s="379">
        <v>56.106111111111119</v>
      </c>
      <c r="E1826" s="25">
        <v>34.82</v>
      </c>
      <c r="F1826" s="379">
        <v>18.288629933867639</v>
      </c>
      <c r="G1826" s="25">
        <v>62.33</v>
      </c>
      <c r="H1826" s="379">
        <v>10.360512904393874</v>
      </c>
      <c r="I1826" s="25">
        <v>623.48</v>
      </c>
      <c r="J1826" s="379">
        <v>7.241000068055607</v>
      </c>
    </row>
    <row r="1827" spans="1:10" x14ac:dyDescent="0.35">
      <c r="A1827" s="5">
        <v>1823</v>
      </c>
      <c r="B1827" s="5">
        <v>76</v>
      </c>
      <c r="C1827" s="5">
        <v>3</v>
      </c>
      <c r="D1827" s="379">
        <v>54.627777777777773</v>
      </c>
      <c r="E1827" s="25">
        <v>34.82</v>
      </c>
      <c r="F1827" s="379">
        <v>18.288629933867639</v>
      </c>
      <c r="G1827" s="25">
        <v>62.12</v>
      </c>
      <c r="H1827" s="379">
        <v>10.130169052099953</v>
      </c>
      <c r="I1827" s="25">
        <v>623.48</v>
      </c>
      <c r="J1827" s="379">
        <v>7.3094999991842018</v>
      </c>
    </row>
    <row r="1828" spans="1:10" x14ac:dyDescent="0.35">
      <c r="A1828" s="5">
        <v>1824</v>
      </c>
      <c r="B1828" s="5">
        <v>76</v>
      </c>
      <c r="C1828" s="5">
        <v>3</v>
      </c>
      <c r="D1828" s="379">
        <v>51.559999999999995</v>
      </c>
      <c r="E1828" s="25">
        <v>34.82</v>
      </c>
      <c r="F1828" s="379">
        <v>18.288629933867639</v>
      </c>
      <c r="G1828" s="25">
        <v>62.12</v>
      </c>
      <c r="H1828" s="379">
        <v>10.18347590445668</v>
      </c>
      <c r="I1828" s="25">
        <v>623.48</v>
      </c>
      <c r="J1828" s="379">
        <v>7.203024746103873</v>
      </c>
    </row>
    <row r="1829" spans="1:10" x14ac:dyDescent="0.35">
      <c r="A1829" s="5">
        <v>1825</v>
      </c>
      <c r="B1829" s="5">
        <v>77</v>
      </c>
      <c r="C1829" s="5">
        <v>3</v>
      </c>
      <c r="D1829" s="379">
        <v>44.847777777777779</v>
      </c>
      <c r="E1829" s="25">
        <v>34.82</v>
      </c>
      <c r="F1829" s="379">
        <v>19.008442986758379</v>
      </c>
      <c r="G1829" s="25">
        <v>55.38</v>
      </c>
      <c r="H1829" s="379">
        <v>10.059044611252748</v>
      </c>
      <c r="I1829" s="25">
        <v>603.30999999999995</v>
      </c>
      <c r="J1829" s="379">
        <v>7.2654453339506668</v>
      </c>
    </row>
    <row r="1830" spans="1:10" x14ac:dyDescent="0.35">
      <c r="A1830" s="5">
        <v>1826</v>
      </c>
      <c r="B1830" s="5">
        <v>77</v>
      </c>
      <c r="C1830" s="5">
        <v>3</v>
      </c>
      <c r="D1830" s="379">
        <v>48.054999999999993</v>
      </c>
      <c r="E1830" s="25">
        <v>25.74</v>
      </c>
      <c r="F1830" s="379">
        <v>18.880144067218392</v>
      </c>
      <c r="G1830" s="25">
        <v>52.88</v>
      </c>
      <c r="H1830" s="379">
        <v>10.253025179355095</v>
      </c>
      <c r="I1830" s="25">
        <v>158.41</v>
      </c>
      <c r="J1830" s="379">
        <v>7.2916143216050271</v>
      </c>
    </row>
    <row r="1831" spans="1:10" x14ac:dyDescent="0.35">
      <c r="A1831" s="5">
        <v>1827</v>
      </c>
      <c r="B1831" s="5">
        <v>77</v>
      </c>
      <c r="C1831" s="5">
        <v>3</v>
      </c>
      <c r="D1831" s="379">
        <v>48.408888888888882</v>
      </c>
      <c r="E1831" s="25">
        <v>25.74</v>
      </c>
      <c r="F1831" s="379">
        <v>18.483152350778393</v>
      </c>
      <c r="G1831" s="25">
        <v>52.67</v>
      </c>
      <c r="H1831" s="379">
        <v>10.067210088504375</v>
      </c>
      <c r="I1831" s="25">
        <v>156.82</v>
      </c>
      <c r="J1831" s="379">
        <v>7.132874270989074</v>
      </c>
    </row>
    <row r="1832" spans="1:10" x14ac:dyDescent="0.35">
      <c r="A1832" s="5">
        <v>1828</v>
      </c>
      <c r="B1832" s="5">
        <v>77</v>
      </c>
      <c r="C1832" s="5">
        <v>3</v>
      </c>
      <c r="D1832" s="379">
        <v>47.867222222222217</v>
      </c>
      <c r="E1832" s="25">
        <v>25.74</v>
      </c>
      <c r="F1832" s="379">
        <v>17.598540395429694</v>
      </c>
      <c r="G1832" s="25">
        <v>52.88</v>
      </c>
      <c r="H1832" s="379">
        <v>9.8261848479823399</v>
      </c>
      <c r="I1832" s="25">
        <v>156.82</v>
      </c>
      <c r="J1832" s="379">
        <v>7.2221420598526329</v>
      </c>
    </row>
    <row r="1833" spans="1:10" x14ac:dyDescent="0.35">
      <c r="A1833" s="5">
        <v>1829</v>
      </c>
      <c r="B1833" s="5">
        <v>77</v>
      </c>
      <c r="C1833" s="5">
        <v>3</v>
      </c>
      <c r="D1833" s="379">
        <v>48.91</v>
      </c>
      <c r="E1833" s="25">
        <v>25.74</v>
      </c>
      <c r="F1833" s="379">
        <v>16.655393376044145</v>
      </c>
      <c r="G1833" s="25">
        <v>52.88</v>
      </c>
      <c r="H1833" s="379">
        <v>9.561828082411246</v>
      </c>
      <c r="I1833" s="25">
        <v>156.82</v>
      </c>
      <c r="J1833" s="379">
        <v>7.2167595381587155</v>
      </c>
    </row>
    <row r="1834" spans="1:10" x14ac:dyDescent="0.35">
      <c r="A1834" s="5">
        <v>1830</v>
      </c>
      <c r="B1834" s="5">
        <v>77</v>
      </c>
      <c r="C1834" s="5">
        <v>3</v>
      </c>
      <c r="D1834" s="379">
        <v>52.25611111111111</v>
      </c>
      <c r="E1834" s="25">
        <v>25.74</v>
      </c>
      <c r="F1834" s="379">
        <v>16.647955044273729</v>
      </c>
      <c r="G1834" s="25">
        <v>52.88</v>
      </c>
      <c r="H1834" s="379">
        <v>9.351998577945599</v>
      </c>
      <c r="I1834" s="25">
        <v>158.41</v>
      </c>
      <c r="J1834" s="379">
        <v>7.2207177621205254</v>
      </c>
    </row>
    <row r="1835" spans="1:10" x14ac:dyDescent="0.35">
      <c r="A1835" s="5">
        <v>1831</v>
      </c>
      <c r="B1835" s="5">
        <v>77</v>
      </c>
      <c r="C1835" s="5">
        <v>3</v>
      </c>
      <c r="D1835" s="379">
        <v>60.078888888888891</v>
      </c>
      <c r="E1835" s="25">
        <v>28.12</v>
      </c>
      <c r="F1835" s="379">
        <v>16.568916786853386</v>
      </c>
      <c r="G1835" s="25">
        <v>60.51</v>
      </c>
      <c r="H1835" s="379">
        <v>8.7539757464879067</v>
      </c>
      <c r="I1835" s="25">
        <v>190.03</v>
      </c>
      <c r="J1835" s="379">
        <v>7.1185804389796985</v>
      </c>
    </row>
    <row r="1836" spans="1:10" x14ac:dyDescent="0.35">
      <c r="A1836" s="5">
        <v>1832</v>
      </c>
      <c r="B1836" s="5">
        <v>77</v>
      </c>
      <c r="C1836" s="5">
        <v>3</v>
      </c>
      <c r="D1836" s="379">
        <v>64.884444444444441</v>
      </c>
      <c r="E1836" s="25">
        <v>29.23</v>
      </c>
      <c r="F1836" s="379">
        <v>14.676270413767735</v>
      </c>
      <c r="G1836" s="25">
        <v>62.21</v>
      </c>
      <c r="H1836" s="379">
        <v>7.7659161625932116</v>
      </c>
      <c r="I1836" s="25">
        <v>843.72</v>
      </c>
      <c r="J1836" s="379">
        <v>5.6709537527935119</v>
      </c>
    </row>
    <row r="1837" spans="1:10" x14ac:dyDescent="0.35">
      <c r="A1837" s="5">
        <v>1833</v>
      </c>
      <c r="B1837" s="5">
        <v>77</v>
      </c>
      <c r="C1837" s="5">
        <v>3</v>
      </c>
      <c r="D1837" s="379">
        <v>63.86055555555555</v>
      </c>
      <c r="E1837" s="25">
        <v>29.23</v>
      </c>
      <c r="F1837" s="379">
        <v>9.3078161254488574</v>
      </c>
      <c r="G1837" s="25">
        <v>62.33</v>
      </c>
      <c r="H1837" s="379">
        <v>7.4542620209751602</v>
      </c>
      <c r="I1837" s="25">
        <v>843.72</v>
      </c>
      <c r="J1837" s="379">
        <v>0.27777777777777779</v>
      </c>
    </row>
    <row r="1838" spans="1:10" x14ac:dyDescent="0.35">
      <c r="A1838" s="5">
        <v>1834</v>
      </c>
      <c r="B1838" s="5">
        <v>77</v>
      </c>
      <c r="C1838" s="5">
        <v>3</v>
      </c>
      <c r="D1838" s="379">
        <v>56.761111111111106</v>
      </c>
      <c r="E1838" s="25">
        <v>28.12</v>
      </c>
      <c r="F1838" s="379">
        <v>8.3432157918223915</v>
      </c>
      <c r="G1838" s="25">
        <v>60.51</v>
      </c>
      <c r="H1838" s="379">
        <v>1.9963090344468828</v>
      </c>
      <c r="I1838" s="25">
        <v>184.5</v>
      </c>
      <c r="J1838" s="379">
        <v>4.2481077808692404E-2</v>
      </c>
    </row>
    <row r="1839" spans="1:10" x14ac:dyDescent="0.35">
      <c r="A1839" s="5">
        <v>1835</v>
      </c>
      <c r="B1839" s="5">
        <v>77</v>
      </c>
      <c r="C1839" s="5">
        <v>3</v>
      </c>
      <c r="D1839" s="379">
        <v>51.949999999999996</v>
      </c>
      <c r="E1839" s="25">
        <v>27.29</v>
      </c>
      <c r="F1839" s="379">
        <v>2.9132864032977315</v>
      </c>
      <c r="G1839" s="25">
        <v>58.75</v>
      </c>
      <c r="H1839" s="379">
        <v>1.4071123111610118</v>
      </c>
      <c r="I1839" s="25">
        <v>158.41</v>
      </c>
      <c r="J1839" s="379">
        <v>2.777777777777778E-2</v>
      </c>
    </row>
    <row r="1840" spans="1:10" x14ac:dyDescent="0.35">
      <c r="A1840" s="5">
        <v>1836</v>
      </c>
      <c r="B1840" s="5">
        <v>77</v>
      </c>
      <c r="C1840" s="5">
        <v>3</v>
      </c>
      <c r="D1840" s="379">
        <v>48.566666666666663</v>
      </c>
      <c r="E1840" s="25">
        <v>26.51</v>
      </c>
      <c r="F1840" s="379">
        <v>2.8645720337636735</v>
      </c>
      <c r="G1840" s="25">
        <v>53.77</v>
      </c>
      <c r="H1840" s="379">
        <v>1.0021976130992438</v>
      </c>
      <c r="I1840" s="25">
        <v>153.79</v>
      </c>
      <c r="J1840" s="379">
        <v>2.777777777777778E-2</v>
      </c>
    </row>
    <row r="1841" spans="1:10" x14ac:dyDescent="0.35">
      <c r="A1841" s="5">
        <v>1837</v>
      </c>
      <c r="B1841" s="5">
        <v>77</v>
      </c>
      <c r="C1841" s="5">
        <v>3</v>
      </c>
      <c r="D1841" s="379">
        <v>48.165555555555557</v>
      </c>
      <c r="E1841" s="25">
        <v>25.74</v>
      </c>
      <c r="F1841" s="379">
        <v>0.13713830416439374</v>
      </c>
      <c r="G1841" s="25">
        <v>52.88</v>
      </c>
      <c r="H1841" s="379">
        <v>1.4996095027277077</v>
      </c>
      <c r="I1841" s="25">
        <v>147.82</v>
      </c>
      <c r="J1841" s="379">
        <v>5.65006439610196E-2</v>
      </c>
    </row>
    <row r="1842" spans="1:10" x14ac:dyDescent="0.35">
      <c r="A1842" s="5">
        <v>1838</v>
      </c>
      <c r="B1842" s="5">
        <v>77</v>
      </c>
      <c r="C1842" s="5">
        <v>3</v>
      </c>
      <c r="D1842" s="379">
        <v>47.235555555555557</v>
      </c>
      <c r="E1842" s="25">
        <v>25.74</v>
      </c>
      <c r="F1842" s="379">
        <v>4.4199605613181383</v>
      </c>
      <c r="G1842" s="25">
        <v>52.88</v>
      </c>
      <c r="H1842" s="379">
        <v>1.9579881047580379</v>
      </c>
      <c r="I1842" s="25">
        <v>72.19</v>
      </c>
      <c r="J1842" s="379">
        <v>4.8929826472114801E-2</v>
      </c>
    </row>
    <row r="1843" spans="1:10" x14ac:dyDescent="0.35">
      <c r="A1843" s="5">
        <v>1839</v>
      </c>
      <c r="B1843" s="5">
        <v>77</v>
      </c>
      <c r="C1843" s="5">
        <v>3</v>
      </c>
      <c r="D1843" s="379">
        <v>46.687222222222225</v>
      </c>
      <c r="E1843" s="25">
        <v>25.74</v>
      </c>
      <c r="F1843" s="379">
        <v>5.0973527193556203</v>
      </c>
      <c r="G1843" s="25">
        <v>52.88</v>
      </c>
      <c r="H1843" s="379">
        <v>3.036890069860176</v>
      </c>
      <c r="I1843" s="25">
        <v>72.19</v>
      </c>
      <c r="J1843" s="379">
        <v>7.281317089553592E-2</v>
      </c>
    </row>
    <row r="1844" spans="1:10" x14ac:dyDescent="0.35">
      <c r="A1844" s="5">
        <v>1840</v>
      </c>
      <c r="B1844" s="5">
        <v>77</v>
      </c>
      <c r="C1844" s="5">
        <v>3</v>
      </c>
      <c r="D1844" s="379">
        <v>46.523333333333333</v>
      </c>
      <c r="E1844" s="25">
        <v>26.5</v>
      </c>
      <c r="F1844" s="379">
        <v>5.0973527193556203</v>
      </c>
      <c r="G1844" s="25">
        <v>52.88</v>
      </c>
      <c r="H1844" s="379">
        <v>2.2845988506875137</v>
      </c>
      <c r="I1844" s="25">
        <v>72.19</v>
      </c>
      <c r="J1844" s="379">
        <v>4.2195193018832997E-2</v>
      </c>
    </row>
    <row r="1845" spans="1:10" x14ac:dyDescent="0.35">
      <c r="A1845" s="5">
        <v>1841</v>
      </c>
      <c r="B1845" s="5">
        <v>77</v>
      </c>
      <c r="C1845" s="5">
        <v>3</v>
      </c>
      <c r="D1845" s="379">
        <v>50.593888888888884</v>
      </c>
      <c r="E1845" s="25">
        <v>27.3</v>
      </c>
      <c r="F1845" s="379">
        <v>8.8657852674915123</v>
      </c>
      <c r="G1845" s="25">
        <v>52.88</v>
      </c>
      <c r="H1845" s="379">
        <v>5.0132462368920505</v>
      </c>
      <c r="I1845" s="25">
        <v>156.82</v>
      </c>
      <c r="J1845" s="379">
        <v>0.14693871794649346</v>
      </c>
    </row>
    <row r="1846" spans="1:10" x14ac:dyDescent="0.35">
      <c r="A1846" s="5">
        <v>1842</v>
      </c>
      <c r="B1846" s="5">
        <v>77</v>
      </c>
      <c r="C1846" s="5">
        <v>3</v>
      </c>
      <c r="D1846" s="379">
        <v>56.308888888888887</v>
      </c>
      <c r="E1846" s="25">
        <v>28.37</v>
      </c>
      <c r="F1846" s="379">
        <v>22.796923977620477</v>
      </c>
      <c r="G1846" s="25">
        <v>60.31</v>
      </c>
      <c r="H1846" s="379">
        <v>10.232772626601717</v>
      </c>
      <c r="I1846" s="25">
        <v>173.91</v>
      </c>
      <c r="J1846" s="379">
        <v>6.1044438374877821</v>
      </c>
    </row>
    <row r="1847" spans="1:10" x14ac:dyDescent="0.35">
      <c r="A1847" s="5">
        <v>1843</v>
      </c>
      <c r="B1847" s="5">
        <v>77</v>
      </c>
      <c r="C1847" s="5">
        <v>3</v>
      </c>
      <c r="D1847" s="379">
        <v>61.367777777777768</v>
      </c>
      <c r="E1847" s="25">
        <v>30.28</v>
      </c>
      <c r="F1847" s="379">
        <v>22.377036052275741</v>
      </c>
      <c r="G1847" s="25">
        <v>62.12</v>
      </c>
      <c r="H1847" s="379">
        <v>10.034313426319004</v>
      </c>
      <c r="I1847" s="25">
        <v>843.72</v>
      </c>
      <c r="J1847" s="379">
        <v>5.6680305631464956</v>
      </c>
    </row>
    <row r="1848" spans="1:10" x14ac:dyDescent="0.35">
      <c r="A1848" s="5">
        <v>1844</v>
      </c>
      <c r="B1848" s="5">
        <v>77</v>
      </c>
      <c r="C1848" s="5">
        <v>3</v>
      </c>
      <c r="D1848" s="379">
        <v>60.823888888888881</v>
      </c>
      <c r="E1848" s="25">
        <v>30.91</v>
      </c>
      <c r="F1848" s="379">
        <v>22.299314105135764</v>
      </c>
      <c r="G1848" s="25">
        <v>64.2</v>
      </c>
      <c r="H1848" s="379">
        <v>10.322374856067563</v>
      </c>
      <c r="I1848" s="25">
        <v>843.72</v>
      </c>
      <c r="J1848" s="379">
        <v>5.3817681439136207</v>
      </c>
    </row>
    <row r="1849" spans="1:10" x14ac:dyDescent="0.35">
      <c r="A1849" s="5">
        <v>1845</v>
      </c>
      <c r="B1849" s="5">
        <v>77</v>
      </c>
      <c r="C1849" s="5">
        <v>3</v>
      </c>
      <c r="D1849" s="379">
        <v>55.744444444444447</v>
      </c>
      <c r="E1849" s="25">
        <v>29.23</v>
      </c>
      <c r="F1849" s="379">
        <v>22.464654048034138</v>
      </c>
      <c r="G1849" s="25">
        <v>62.12</v>
      </c>
      <c r="H1849" s="379">
        <v>10.010662662213651</v>
      </c>
      <c r="I1849" s="25">
        <v>843.72</v>
      </c>
      <c r="J1849" s="379">
        <v>4.9093136664136887</v>
      </c>
    </row>
    <row r="1850" spans="1:10" x14ac:dyDescent="0.35">
      <c r="A1850" s="5">
        <v>1846</v>
      </c>
      <c r="B1850" s="5">
        <v>77</v>
      </c>
      <c r="C1850" s="5">
        <v>3</v>
      </c>
      <c r="D1850" s="379">
        <v>52.707777777777771</v>
      </c>
      <c r="E1850" s="25">
        <v>29.23</v>
      </c>
      <c r="F1850" s="379">
        <v>22.342116334427359</v>
      </c>
      <c r="G1850" s="25">
        <v>57.98</v>
      </c>
      <c r="H1850" s="379">
        <v>8.9498278634780863</v>
      </c>
      <c r="I1850" s="25">
        <v>179.12</v>
      </c>
      <c r="J1850" s="379">
        <v>2.2502191674475251</v>
      </c>
    </row>
    <row r="1851" spans="1:10" x14ac:dyDescent="0.35">
      <c r="A1851" s="5">
        <v>1847</v>
      </c>
      <c r="B1851" s="5">
        <v>77</v>
      </c>
      <c r="C1851" s="5">
        <v>3</v>
      </c>
      <c r="D1851" s="379">
        <v>52.375</v>
      </c>
      <c r="E1851" s="25">
        <v>28.12</v>
      </c>
      <c r="F1851" s="379">
        <v>20.853203569567619</v>
      </c>
      <c r="G1851" s="25">
        <v>57.04</v>
      </c>
      <c r="H1851" s="379">
        <v>10.173003385415214</v>
      </c>
      <c r="I1851" s="25">
        <v>179.12</v>
      </c>
      <c r="J1851" s="379">
        <v>2.2502191674475251</v>
      </c>
    </row>
    <row r="1852" spans="1:10" x14ac:dyDescent="0.35">
      <c r="A1852" s="5">
        <v>1848</v>
      </c>
      <c r="B1852" s="5">
        <v>77</v>
      </c>
      <c r="C1852" s="5">
        <v>3</v>
      </c>
      <c r="D1852" s="379">
        <v>48.523888888888884</v>
      </c>
      <c r="E1852" s="25">
        <v>27.3</v>
      </c>
      <c r="F1852" s="379">
        <v>20.906175559190245</v>
      </c>
      <c r="G1852" s="25">
        <v>53.77</v>
      </c>
      <c r="H1852" s="379">
        <v>11.169331514550253</v>
      </c>
      <c r="I1852" s="25">
        <v>179.12</v>
      </c>
      <c r="J1852" s="379">
        <v>5.3817681439136207</v>
      </c>
    </row>
    <row r="1853" spans="1:10" x14ac:dyDescent="0.35">
      <c r="A1853" s="5">
        <v>1849</v>
      </c>
      <c r="B1853" s="5">
        <v>78</v>
      </c>
      <c r="C1853" s="5">
        <v>3</v>
      </c>
      <c r="D1853" s="379">
        <v>50.491666666666667</v>
      </c>
      <c r="E1853" s="25">
        <v>25.74</v>
      </c>
      <c r="F1853" s="379">
        <v>22.085759801871966</v>
      </c>
      <c r="G1853" s="25">
        <v>53.77</v>
      </c>
      <c r="H1853" s="379">
        <v>8.1203652206769465</v>
      </c>
      <c r="I1853" s="25">
        <v>179.12</v>
      </c>
      <c r="J1853" s="379">
        <v>5.3572903988556329</v>
      </c>
    </row>
    <row r="1854" spans="1:10" x14ac:dyDescent="0.35">
      <c r="A1854" s="5">
        <v>1850</v>
      </c>
      <c r="B1854" s="5">
        <v>78</v>
      </c>
      <c r="C1854" s="5">
        <v>3</v>
      </c>
      <c r="D1854" s="379">
        <v>51.912222222222226</v>
      </c>
      <c r="E1854" s="25">
        <v>25.74</v>
      </c>
      <c r="F1854" s="379">
        <v>22.108059609624476</v>
      </c>
      <c r="G1854" s="25">
        <v>52.67</v>
      </c>
      <c r="H1854" s="379">
        <v>10.339182158947313</v>
      </c>
      <c r="I1854" s="25">
        <v>179.12</v>
      </c>
      <c r="J1854" s="379">
        <v>5.3817681439136207</v>
      </c>
    </row>
    <row r="1855" spans="1:10" x14ac:dyDescent="0.35">
      <c r="A1855" s="5">
        <v>1851</v>
      </c>
      <c r="B1855" s="5">
        <v>78</v>
      </c>
      <c r="C1855" s="5">
        <v>3</v>
      </c>
      <c r="D1855" s="379">
        <v>50.364444444444437</v>
      </c>
      <c r="E1855" s="25">
        <v>25.74</v>
      </c>
      <c r="F1855" s="379">
        <v>21.873849328426694</v>
      </c>
      <c r="G1855" s="25">
        <v>52.67</v>
      </c>
      <c r="H1855" s="379">
        <v>10.867708012375839</v>
      </c>
      <c r="I1855" s="25">
        <v>179.12</v>
      </c>
      <c r="J1855" s="379">
        <v>5.7944765126300952</v>
      </c>
    </row>
    <row r="1856" spans="1:10" x14ac:dyDescent="0.35">
      <c r="A1856" s="5">
        <v>1852</v>
      </c>
      <c r="B1856" s="5">
        <v>78</v>
      </c>
      <c r="C1856" s="5">
        <v>3</v>
      </c>
      <c r="D1856" s="379">
        <v>48.152777777777771</v>
      </c>
      <c r="E1856" s="25">
        <v>25.74</v>
      </c>
      <c r="F1856" s="379">
        <v>22.155820752324097</v>
      </c>
      <c r="G1856" s="25">
        <v>52.67</v>
      </c>
      <c r="H1856" s="379">
        <v>9.832494058645123</v>
      </c>
      <c r="I1856" s="25">
        <v>179.12</v>
      </c>
      <c r="J1856" s="379">
        <v>2.3868644631342639</v>
      </c>
    </row>
    <row r="1857" spans="1:10" x14ac:dyDescent="0.35">
      <c r="A1857" s="5">
        <v>1853</v>
      </c>
      <c r="B1857" s="5">
        <v>78</v>
      </c>
      <c r="C1857" s="5">
        <v>3</v>
      </c>
      <c r="D1857" s="379">
        <v>48.229444444444447</v>
      </c>
      <c r="E1857" s="25">
        <v>25.74</v>
      </c>
      <c r="F1857" s="379">
        <v>21.949915565465115</v>
      </c>
      <c r="G1857" s="25">
        <v>52.88</v>
      </c>
      <c r="H1857" s="379">
        <v>9.6278418764870306</v>
      </c>
      <c r="I1857" s="25">
        <v>179.12</v>
      </c>
      <c r="J1857" s="379">
        <v>4.3883479765245506</v>
      </c>
    </row>
    <row r="1858" spans="1:10" x14ac:dyDescent="0.35">
      <c r="A1858" s="5">
        <v>1854</v>
      </c>
      <c r="B1858" s="5">
        <v>78</v>
      </c>
      <c r="C1858" s="5">
        <v>3</v>
      </c>
      <c r="D1858" s="379">
        <v>49.512777777777778</v>
      </c>
      <c r="E1858" s="25">
        <v>25.74</v>
      </c>
      <c r="F1858" s="379">
        <v>21.755426734255472</v>
      </c>
      <c r="G1858" s="25">
        <v>52.88</v>
      </c>
      <c r="H1858" s="379">
        <v>10.311165027150638</v>
      </c>
      <c r="I1858" s="25">
        <v>210.73</v>
      </c>
      <c r="J1858" s="379">
        <v>2.2502191674475251</v>
      </c>
    </row>
    <row r="1859" spans="1:10" x14ac:dyDescent="0.35">
      <c r="A1859" s="5">
        <v>1855</v>
      </c>
      <c r="B1859" s="5">
        <v>78</v>
      </c>
      <c r="C1859" s="5">
        <v>3</v>
      </c>
      <c r="D1859" s="379">
        <v>52.148888888888891</v>
      </c>
      <c r="E1859" s="25">
        <v>27.3</v>
      </c>
      <c r="F1859" s="379">
        <v>21.826608531831724</v>
      </c>
      <c r="G1859" s="25">
        <v>58.75</v>
      </c>
      <c r="H1859" s="379">
        <v>6.8551959714829023</v>
      </c>
      <c r="I1859" s="25">
        <v>843.72</v>
      </c>
      <c r="J1859" s="379">
        <v>2.3607189057439681</v>
      </c>
    </row>
    <row r="1860" spans="1:10" x14ac:dyDescent="0.35">
      <c r="A1860" s="5">
        <v>1856</v>
      </c>
      <c r="B1860" s="5">
        <v>78</v>
      </c>
      <c r="C1860" s="5">
        <v>3</v>
      </c>
      <c r="D1860" s="379">
        <v>52.943888888888893</v>
      </c>
      <c r="E1860" s="25">
        <v>31.84</v>
      </c>
      <c r="F1860" s="379">
        <v>21.826608531831724</v>
      </c>
      <c r="G1860" s="25">
        <v>62.12</v>
      </c>
      <c r="H1860" s="379">
        <v>9.6886822948480411</v>
      </c>
      <c r="I1860" s="25">
        <v>843.72</v>
      </c>
      <c r="J1860" s="379">
        <v>5.4410323630986941</v>
      </c>
    </row>
    <row r="1861" spans="1:10" x14ac:dyDescent="0.35">
      <c r="A1861" s="5">
        <v>1857</v>
      </c>
      <c r="B1861" s="5">
        <v>78</v>
      </c>
      <c r="C1861" s="5">
        <v>3</v>
      </c>
      <c r="D1861" s="379">
        <v>54.023333333333326</v>
      </c>
      <c r="E1861" s="25">
        <v>34.82</v>
      </c>
      <c r="F1861" s="379">
        <v>21.328407677504618</v>
      </c>
      <c r="G1861" s="25">
        <v>62.21</v>
      </c>
      <c r="H1861" s="379">
        <v>4.799693804694658</v>
      </c>
      <c r="I1861" s="25">
        <v>843.72</v>
      </c>
      <c r="J1861" s="379">
        <v>6.7625207184436604</v>
      </c>
    </row>
    <row r="1862" spans="1:10" x14ac:dyDescent="0.35">
      <c r="A1862" s="5">
        <v>1858</v>
      </c>
      <c r="B1862" s="5">
        <v>78</v>
      </c>
      <c r="C1862" s="5">
        <v>3</v>
      </c>
      <c r="D1862" s="379">
        <v>44.63055555555556</v>
      </c>
      <c r="E1862" s="25">
        <v>34.82</v>
      </c>
      <c r="F1862" s="379">
        <v>12.143183549793434</v>
      </c>
      <c r="G1862" s="25">
        <v>62.21</v>
      </c>
      <c r="H1862" s="379">
        <v>4.799693804694658</v>
      </c>
      <c r="I1862" s="25">
        <v>843.72</v>
      </c>
      <c r="J1862" s="379">
        <v>4.483389914875981</v>
      </c>
    </row>
    <row r="1863" spans="1:10" x14ac:dyDescent="0.35">
      <c r="A1863" s="5">
        <v>1859</v>
      </c>
      <c r="B1863" s="5">
        <v>78</v>
      </c>
      <c r="C1863" s="5">
        <v>3</v>
      </c>
      <c r="D1863" s="379">
        <v>36.260555555555555</v>
      </c>
      <c r="E1863" s="25">
        <v>34.82</v>
      </c>
      <c r="F1863" s="379">
        <v>0.47222222222222221</v>
      </c>
      <c r="G1863" s="25">
        <v>62.21</v>
      </c>
      <c r="H1863" s="379">
        <v>5.7356047581302159</v>
      </c>
      <c r="I1863" s="25">
        <v>843.72</v>
      </c>
      <c r="J1863" s="379">
        <v>4.2706485490179924</v>
      </c>
    </row>
    <row r="1864" spans="1:10" x14ac:dyDescent="0.35">
      <c r="A1864" s="5">
        <v>1860</v>
      </c>
      <c r="B1864" s="5">
        <v>78</v>
      </c>
      <c r="C1864" s="5">
        <v>3</v>
      </c>
      <c r="D1864" s="379">
        <v>31.526666666666667</v>
      </c>
      <c r="E1864" s="25">
        <v>34.82</v>
      </c>
      <c r="F1864" s="379">
        <v>8.9948662101595058</v>
      </c>
      <c r="G1864" s="25">
        <v>62.12</v>
      </c>
      <c r="H1864" s="379">
        <v>5.7356047581302159</v>
      </c>
      <c r="I1864" s="25">
        <v>843.72</v>
      </c>
      <c r="J1864" s="379">
        <v>3.8408254728607827</v>
      </c>
    </row>
    <row r="1865" spans="1:10" x14ac:dyDescent="0.35">
      <c r="A1865" s="5">
        <v>1861</v>
      </c>
      <c r="B1865" s="5">
        <v>78</v>
      </c>
      <c r="C1865" s="5">
        <v>3</v>
      </c>
      <c r="D1865" s="379">
        <v>27.154444444444444</v>
      </c>
      <c r="E1865" s="25">
        <v>34.82</v>
      </c>
      <c r="F1865" s="379">
        <v>2.4330890599022057</v>
      </c>
      <c r="G1865" s="25">
        <v>62.12</v>
      </c>
      <c r="H1865" s="379">
        <v>5.7245116093187791</v>
      </c>
      <c r="I1865" s="25">
        <v>819.14</v>
      </c>
      <c r="J1865" s="379">
        <v>3.8408254728607827</v>
      </c>
    </row>
    <row r="1866" spans="1:10" x14ac:dyDescent="0.35">
      <c r="A1866" s="5">
        <v>1862</v>
      </c>
      <c r="B1866" s="5">
        <v>78</v>
      </c>
      <c r="C1866" s="5">
        <v>3</v>
      </c>
      <c r="D1866" s="379">
        <v>20.876666666666665</v>
      </c>
      <c r="E1866" s="25">
        <v>34.82</v>
      </c>
      <c r="F1866" s="379">
        <v>8.5053339921880404</v>
      </c>
      <c r="G1866" s="25">
        <v>62.12</v>
      </c>
      <c r="H1866" s="379">
        <v>5.6351609498539146</v>
      </c>
      <c r="I1866" s="25">
        <v>810.95</v>
      </c>
      <c r="J1866" s="379">
        <v>3.8205052743709085</v>
      </c>
    </row>
    <row r="1867" spans="1:10" x14ac:dyDescent="0.35">
      <c r="A1867" s="5">
        <v>1863</v>
      </c>
      <c r="B1867" s="5">
        <v>78</v>
      </c>
      <c r="C1867" s="5">
        <v>3</v>
      </c>
      <c r="D1867" s="379">
        <v>22.261111111111116</v>
      </c>
      <c r="E1867" s="25">
        <v>34.82</v>
      </c>
      <c r="F1867" s="379">
        <v>8.2189811594776288</v>
      </c>
      <c r="G1867" s="25">
        <v>60.51</v>
      </c>
      <c r="H1867" s="379">
        <v>5.6351609498539164</v>
      </c>
      <c r="I1867" s="25">
        <v>810.95</v>
      </c>
      <c r="J1867" s="379">
        <v>3.8205052743709085</v>
      </c>
    </row>
    <row r="1868" spans="1:10" x14ac:dyDescent="0.35">
      <c r="A1868" s="5">
        <v>1864</v>
      </c>
      <c r="B1868" s="5">
        <v>78</v>
      </c>
      <c r="C1868" s="5">
        <v>3</v>
      </c>
      <c r="D1868" s="379">
        <v>28.608333333333327</v>
      </c>
      <c r="E1868" s="25">
        <v>29.6</v>
      </c>
      <c r="F1868" s="379">
        <v>3.5620912711876822</v>
      </c>
      <c r="G1868" s="25">
        <v>60.51</v>
      </c>
      <c r="H1868" s="379">
        <v>5.6351609498539146</v>
      </c>
      <c r="I1868" s="25">
        <v>819.14</v>
      </c>
      <c r="J1868" s="379">
        <v>3.8205052743709085</v>
      </c>
    </row>
    <row r="1869" spans="1:10" x14ac:dyDescent="0.35">
      <c r="A1869" s="5">
        <v>1865</v>
      </c>
      <c r="B1869" s="5">
        <v>78</v>
      </c>
      <c r="C1869" s="5">
        <v>3</v>
      </c>
      <c r="D1869" s="379">
        <v>37.222222222222221</v>
      </c>
      <c r="E1869" s="25">
        <v>34.82</v>
      </c>
      <c r="F1869" s="379">
        <v>10.965640750421192</v>
      </c>
      <c r="G1869" s="25">
        <v>62.12</v>
      </c>
      <c r="H1869" s="379">
        <v>6.6942118738346794</v>
      </c>
      <c r="I1869" s="25">
        <v>843.72</v>
      </c>
      <c r="J1869" s="379">
        <v>0.27777777777777779</v>
      </c>
    </row>
    <row r="1870" spans="1:10" x14ac:dyDescent="0.35">
      <c r="A1870" s="5">
        <v>1866</v>
      </c>
      <c r="B1870" s="5">
        <v>78</v>
      </c>
      <c r="C1870" s="5">
        <v>3</v>
      </c>
      <c r="D1870" s="379">
        <v>45.501111111111108</v>
      </c>
      <c r="E1870" s="25">
        <v>34.82</v>
      </c>
      <c r="F1870" s="379">
        <v>23.753725155175314</v>
      </c>
      <c r="G1870" s="25">
        <v>62.21</v>
      </c>
      <c r="H1870" s="379">
        <v>13.560445190079445</v>
      </c>
      <c r="I1870" s="25">
        <v>843.72</v>
      </c>
      <c r="J1870" s="379">
        <v>6.6762164331333711</v>
      </c>
    </row>
    <row r="1871" spans="1:10" x14ac:dyDescent="0.35">
      <c r="A1871" s="5">
        <v>1867</v>
      </c>
      <c r="B1871" s="5">
        <v>78</v>
      </c>
      <c r="C1871" s="5">
        <v>3</v>
      </c>
      <c r="D1871" s="379">
        <v>54.347222222222221</v>
      </c>
      <c r="E1871" s="25">
        <v>36.94</v>
      </c>
      <c r="F1871" s="379">
        <v>23.619158758587179</v>
      </c>
      <c r="G1871" s="25">
        <v>819.14</v>
      </c>
      <c r="H1871" s="379">
        <v>18.482504568531358</v>
      </c>
      <c r="I1871" s="25">
        <v>843.72</v>
      </c>
      <c r="J1871" s="379">
        <v>3.2386603783254508</v>
      </c>
    </row>
    <row r="1872" spans="1:10" x14ac:dyDescent="0.35">
      <c r="A1872" s="5">
        <v>1868</v>
      </c>
      <c r="B1872" s="5">
        <v>78</v>
      </c>
      <c r="C1872" s="5">
        <v>3</v>
      </c>
      <c r="D1872" s="379">
        <v>50.037777777777784</v>
      </c>
      <c r="E1872" s="25">
        <v>37.090000000000003</v>
      </c>
      <c r="F1872" s="379">
        <v>24.84862192778747</v>
      </c>
      <c r="G1872" s="25">
        <v>819.14</v>
      </c>
      <c r="H1872" s="379">
        <v>20.127679907454407</v>
      </c>
      <c r="I1872" s="25">
        <v>869.03</v>
      </c>
      <c r="J1872" s="379">
        <v>2.2502191674475251</v>
      </c>
    </row>
    <row r="1873" spans="1:10" x14ac:dyDescent="0.35">
      <c r="A1873" s="5">
        <v>1869</v>
      </c>
      <c r="B1873" s="5">
        <v>78</v>
      </c>
      <c r="C1873" s="5">
        <v>3</v>
      </c>
      <c r="D1873" s="379">
        <v>38.552222222222227</v>
      </c>
      <c r="E1873" s="25">
        <v>34.82</v>
      </c>
      <c r="F1873" s="379">
        <v>24.728205863671878</v>
      </c>
      <c r="G1873" s="25">
        <v>62.21</v>
      </c>
      <c r="H1873" s="379">
        <v>20.426604868926152</v>
      </c>
      <c r="I1873" s="25">
        <v>843.72</v>
      </c>
      <c r="J1873" s="379">
        <v>5.8190061785822724</v>
      </c>
    </row>
    <row r="1874" spans="1:10" x14ac:dyDescent="0.35">
      <c r="A1874" s="5">
        <v>1870</v>
      </c>
      <c r="B1874" s="5">
        <v>78</v>
      </c>
      <c r="C1874" s="5">
        <v>3</v>
      </c>
      <c r="D1874" s="379">
        <v>34.56666666666667</v>
      </c>
      <c r="E1874" s="25">
        <v>29.23</v>
      </c>
      <c r="F1874" s="379">
        <v>25.31488738271932</v>
      </c>
      <c r="G1874" s="25">
        <v>62.12</v>
      </c>
      <c r="H1874" s="379">
        <v>20.837915869480572</v>
      </c>
      <c r="I1874" s="25">
        <v>843.72</v>
      </c>
      <c r="J1874" s="379">
        <v>5.9750450263683961</v>
      </c>
    </row>
    <row r="1875" spans="1:10" x14ac:dyDescent="0.35">
      <c r="A1875" s="5">
        <v>1871</v>
      </c>
      <c r="B1875" s="5">
        <v>78</v>
      </c>
      <c r="C1875" s="5">
        <v>3</v>
      </c>
      <c r="D1875" s="379">
        <v>37.986111111111107</v>
      </c>
      <c r="E1875" s="25">
        <v>29.23</v>
      </c>
      <c r="F1875" s="379">
        <v>22.995298499092243</v>
      </c>
      <c r="G1875" s="25">
        <v>58.75</v>
      </c>
      <c r="H1875" s="379">
        <v>20.397289093769938</v>
      </c>
      <c r="I1875" s="25">
        <v>819.14</v>
      </c>
      <c r="J1875" s="379">
        <v>6.1545743947064055</v>
      </c>
    </row>
    <row r="1876" spans="1:10" x14ac:dyDescent="0.35">
      <c r="A1876" s="5">
        <v>1872</v>
      </c>
      <c r="B1876" s="5">
        <v>78</v>
      </c>
      <c r="C1876" s="5">
        <v>3</v>
      </c>
      <c r="D1876" s="379">
        <v>40.080555555555556</v>
      </c>
      <c r="E1876" s="25">
        <v>28.12</v>
      </c>
      <c r="F1876" s="379">
        <v>19.829629394908956</v>
      </c>
      <c r="G1876" s="25">
        <v>58.75</v>
      </c>
      <c r="H1876" s="379">
        <v>19.870483873313184</v>
      </c>
      <c r="I1876" s="25">
        <v>810.95</v>
      </c>
      <c r="J1876" s="379">
        <v>7.1065637902451444</v>
      </c>
    </row>
    <row r="1877" spans="1:10" x14ac:dyDescent="0.35">
      <c r="A1877" s="5">
        <v>1873</v>
      </c>
      <c r="B1877" s="5">
        <v>79</v>
      </c>
      <c r="C1877" s="5">
        <v>3</v>
      </c>
      <c r="D1877" s="379">
        <v>32.683333333333337</v>
      </c>
      <c r="E1877" s="25">
        <v>27.3</v>
      </c>
      <c r="F1877" s="379">
        <v>18.555896891150947</v>
      </c>
      <c r="G1877" s="25">
        <v>52.67</v>
      </c>
      <c r="H1877" s="379">
        <v>20.1726834402455</v>
      </c>
      <c r="I1877" s="25">
        <v>173.91</v>
      </c>
      <c r="J1877" s="379">
        <v>6.8549890694987585</v>
      </c>
    </row>
    <row r="1878" spans="1:10" x14ac:dyDescent="0.35">
      <c r="A1878" s="5">
        <v>1874</v>
      </c>
      <c r="B1878" s="5">
        <v>79</v>
      </c>
      <c r="C1878" s="5">
        <v>3</v>
      </c>
      <c r="D1878" s="379">
        <v>39.653333333333336</v>
      </c>
      <c r="E1878" s="25">
        <v>25.74</v>
      </c>
      <c r="F1878" s="379">
        <v>20.253949044775041</v>
      </c>
      <c r="G1878" s="25">
        <v>48.97</v>
      </c>
      <c r="H1878" s="379">
        <v>19.699942167874202</v>
      </c>
      <c r="I1878" s="25">
        <v>147.82</v>
      </c>
      <c r="J1878" s="379">
        <v>6.2506266393669128</v>
      </c>
    </row>
    <row r="1879" spans="1:10" x14ac:dyDescent="0.35">
      <c r="A1879" s="5">
        <v>1875</v>
      </c>
      <c r="B1879" s="5">
        <v>79</v>
      </c>
      <c r="C1879" s="5">
        <v>3</v>
      </c>
      <c r="D1879" s="379">
        <v>38.75833333333334</v>
      </c>
      <c r="E1879" s="25">
        <v>25.29</v>
      </c>
      <c r="F1879" s="379">
        <v>19.263852919211342</v>
      </c>
      <c r="G1879" s="25">
        <v>48.48</v>
      </c>
      <c r="H1879" s="379">
        <v>20.1726834402455</v>
      </c>
      <c r="I1879" s="25">
        <v>146.34</v>
      </c>
      <c r="J1879" s="379">
        <v>6.1776323602353891</v>
      </c>
    </row>
    <row r="1880" spans="1:10" x14ac:dyDescent="0.35">
      <c r="A1880" s="5">
        <v>1876</v>
      </c>
      <c r="B1880" s="5">
        <v>79</v>
      </c>
      <c r="C1880" s="5">
        <v>3</v>
      </c>
      <c r="D1880" s="379">
        <v>37.225555555555552</v>
      </c>
      <c r="E1880" s="25">
        <v>24.99</v>
      </c>
      <c r="F1880" s="379">
        <v>20.473802563698353</v>
      </c>
      <c r="G1880" s="25">
        <v>48.48</v>
      </c>
      <c r="H1880" s="379">
        <v>19.868965988541472</v>
      </c>
      <c r="I1880" s="25">
        <v>146.34</v>
      </c>
      <c r="J1880" s="379">
        <v>6.221474616561542</v>
      </c>
    </row>
    <row r="1881" spans="1:10" x14ac:dyDescent="0.35">
      <c r="A1881" s="5">
        <v>1877</v>
      </c>
      <c r="B1881" s="5">
        <v>79</v>
      </c>
      <c r="C1881" s="5">
        <v>3</v>
      </c>
      <c r="D1881" s="379">
        <v>37.207222222222221</v>
      </c>
      <c r="E1881" s="25">
        <v>24.84</v>
      </c>
      <c r="F1881" s="379">
        <v>19.498639444976458</v>
      </c>
      <c r="G1881" s="25">
        <v>48.48</v>
      </c>
      <c r="H1881" s="379">
        <v>19.741579597166339</v>
      </c>
      <c r="I1881" s="25">
        <v>146.34</v>
      </c>
      <c r="J1881" s="379">
        <v>6.3527729413038045</v>
      </c>
    </row>
    <row r="1882" spans="1:10" x14ac:dyDescent="0.35">
      <c r="A1882" s="5">
        <v>1878</v>
      </c>
      <c r="B1882" s="5">
        <v>79</v>
      </c>
      <c r="C1882" s="5">
        <v>3</v>
      </c>
      <c r="D1882" s="379">
        <v>38.398333333333333</v>
      </c>
      <c r="E1882" s="25">
        <v>24.84</v>
      </c>
      <c r="F1882" s="379">
        <v>19.294991108874633</v>
      </c>
      <c r="G1882" s="25">
        <v>48.48</v>
      </c>
      <c r="H1882" s="379">
        <v>18.508180021067695</v>
      </c>
      <c r="I1882" s="25">
        <v>146.34</v>
      </c>
      <c r="J1882" s="379">
        <v>6.5198295845575345</v>
      </c>
    </row>
    <row r="1883" spans="1:10" x14ac:dyDescent="0.35">
      <c r="A1883" s="5">
        <v>1879</v>
      </c>
      <c r="B1883" s="5">
        <v>79</v>
      </c>
      <c r="C1883" s="5">
        <v>3</v>
      </c>
      <c r="D1883" s="379">
        <v>39.315555555555555</v>
      </c>
      <c r="E1883" s="25">
        <v>24.99</v>
      </c>
      <c r="F1883" s="379">
        <v>18.202067425229384</v>
      </c>
      <c r="G1883" s="25">
        <v>48.48</v>
      </c>
      <c r="H1883" s="379">
        <v>19.287607782345308</v>
      </c>
      <c r="I1883" s="25">
        <v>146.34</v>
      </c>
      <c r="J1883" s="379">
        <v>7.3472234121306998</v>
      </c>
    </row>
    <row r="1884" spans="1:10" x14ac:dyDescent="0.35">
      <c r="A1884" s="5">
        <v>1880</v>
      </c>
      <c r="B1884" s="5">
        <v>79</v>
      </c>
      <c r="C1884" s="5">
        <v>3</v>
      </c>
      <c r="D1884" s="379">
        <v>33.895555555555553</v>
      </c>
      <c r="E1884" s="25">
        <v>25.74</v>
      </c>
      <c r="F1884" s="379">
        <v>22.158002986045666</v>
      </c>
      <c r="G1884" s="25">
        <v>48.48</v>
      </c>
      <c r="H1884" s="379">
        <v>19.494704709821178</v>
      </c>
      <c r="I1884" s="25">
        <v>147.82</v>
      </c>
      <c r="J1884" s="379">
        <v>6.8997017947414223</v>
      </c>
    </row>
    <row r="1885" spans="1:10" x14ac:dyDescent="0.35">
      <c r="A1885" s="5">
        <v>1881</v>
      </c>
      <c r="B1885" s="5">
        <v>79</v>
      </c>
      <c r="C1885" s="5">
        <v>3</v>
      </c>
      <c r="D1885" s="379">
        <v>34.149999999999991</v>
      </c>
      <c r="E1885" s="25">
        <v>26.51</v>
      </c>
      <c r="F1885" s="379">
        <v>26.267943590253253</v>
      </c>
      <c r="G1885" s="25">
        <v>52.67</v>
      </c>
      <c r="H1885" s="379">
        <v>21.867732595975777</v>
      </c>
      <c r="I1885" s="25">
        <v>147.82</v>
      </c>
      <c r="J1885" s="379">
        <v>7.3956308648891245</v>
      </c>
    </row>
    <row r="1886" spans="1:10" x14ac:dyDescent="0.35">
      <c r="A1886" s="5">
        <v>1882</v>
      </c>
      <c r="B1886" s="5">
        <v>79</v>
      </c>
      <c r="C1886" s="5">
        <v>3</v>
      </c>
      <c r="D1886" s="379">
        <v>34.742777777777775</v>
      </c>
      <c r="E1886" s="25">
        <v>27.3</v>
      </c>
      <c r="F1886" s="379">
        <v>17.390022834823665</v>
      </c>
      <c r="G1886" s="25">
        <v>52.67</v>
      </c>
      <c r="H1886" s="379">
        <v>6.458882236193805</v>
      </c>
      <c r="I1886" s="25">
        <v>146.34</v>
      </c>
      <c r="J1886" s="379">
        <v>4.5952004753026019</v>
      </c>
    </row>
    <row r="1887" spans="1:10" x14ac:dyDescent="0.35">
      <c r="A1887" s="5">
        <v>1883</v>
      </c>
      <c r="B1887" s="5">
        <v>79</v>
      </c>
      <c r="C1887" s="5">
        <v>3</v>
      </c>
      <c r="D1887" s="379">
        <v>30.767222222222227</v>
      </c>
      <c r="E1887" s="25">
        <v>28.12</v>
      </c>
      <c r="F1887" s="379">
        <v>8.1174834595959595</v>
      </c>
      <c r="G1887" s="25">
        <v>57.04</v>
      </c>
      <c r="H1887" s="379">
        <v>7.8339530684916401</v>
      </c>
      <c r="I1887" s="25">
        <v>173.91</v>
      </c>
      <c r="J1887" s="379">
        <v>5.1783935152437461</v>
      </c>
    </row>
    <row r="1888" spans="1:10" x14ac:dyDescent="0.35">
      <c r="A1888" s="5">
        <v>1884</v>
      </c>
      <c r="B1888" s="5">
        <v>79</v>
      </c>
      <c r="C1888" s="5">
        <v>3</v>
      </c>
      <c r="D1888" s="379">
        <v>30.293333333333337</v>
      </c>
      <c r="E1888" s="25">
        <v>26.51</v>
      </c>
      <c r="F1888" s="379">
        <v>10.111226046538958</v>
      </c>
      <c r="G1888" s="25">
        <v>52.2</v>
      </c>
      <c r="H1888" s="379">
        <v>8.7702667757938801</v>
      </c>
      <c r="I1888" s="25">
        <v>146.34</v>
      </c>
      <c r="J1888" s="379">
        <v>5.8209888610635288</v>
      </c>
    </row>
    <row r="1889" spans="1:10" x14ac:dyDescent="0.35">
      <c r="A1889" s="5">
        <v>1885</v>
      </c>
      <c r="B1889" s="5">
        <v>79</v>
      </c>
      <c r="C1889" s="5">
        <v>3</v>
      </c>
      <c r="D1889" s="379">
        <v>29.451111111111111</v>
      </c>
      <c r="E1889" s="25">
        <v>25.74</v>
      </c>
      <c r="F1889" s="379">
        <v>7.8158604836872145</v>
      </c>
      <c r="G1889" s="25">
        <v>48.48</v>
      </c>
      <c r="H1889" s="379">
        <v>8.6850506041751352</v>
      </c>
      <c r="I1889" s="25">
        <v>146.34</v>
      </c>
      <c r="J1889" s="379">
        <v>5.8039132304761143</v>
      </c>
    </row>
    <row r="1890" spans="1:10" x14ac:dyDescent="0.35">
      <c r="A1890" s="5">
        <v>1886</v>
      </c>
      <c r="B1890" s="5">
        <v>79</v>
      </c>
      <c r="C1890" s="5">
        <v>3</v>
      </c>
      <c r="D1890" s="379">
        <v>29.709999999999997</v>
      </c>
      <c r="E1890" s="25">
        <v>24.99</v>
      </c>
      <c r="F1890" s="379">
        <v>5.477998954989113</v>
      </c>
      <c r="G1890" s="25">
        <v>48.48</v>
      </c>
      <c r="H1890" s="379">
        <v>8.5466376410823361</v>
      </c>
      <c r="I1890" s="25">
        <v>146.34</v>
      </c>
      <c r="J1890" s="379">
        <v>5.6767356927084487</v>
      </c>
    </row>
    <row r="1891" spans="1:10" x14ac:dyDescent="0.35">
      <c r="A1891" s="5">
        <v>1887</v>
      </c>
      <c r="B1891" s="5">
        <v>79</v>
      </c>
      <c r="C1891" s="5">
        <v>3</v>
      </c>
      <c r="D1891" s="379">
        <v>31.606111111111108</v>
      </c>
      <c r="E1891" s="25">
        <v>24.84</v>
      </c>
      <c r="F1891" s="379">
        <v>7.4424655969058602</v>
      </c>
      <c r="G1891" s="25">
        <v>48.48</v>
      </c>
      <c r="H1891" s="379">
        <v>8.0791494818018883</v>
      </c>
      <c r="I1891" s="25">
        <v>146.34</v>
      </c>
      <c r="J1891" s="379">
        <v>4.8857546055008765</v>
      </c>
    </row>
    <row r="1892" spans="1:10" x14ac:dyDescent="0.35">
      <c r="A1892" s="5">
        <v>1888</v>
      </c>
      <c r="B1892" s="5">
        <v>79</v>
      </c>
      <c r="C1892" s="5">
        <v>3</v>
      </c>
      <c r="D1892" s="379">
        <v>34.076111111111111</v>
      </c>
      <c r="E1892" s="25">
        <v>24.99</v>
      </c>
      <c r="F1892" s="379">
        <v>2.3410139852686731</v>
      </c>
      <c r="G1892" s="25">
        <v>48.48</v>
      </c>
      <c r="H1892" s="379">
        <v>8.7227148867339537</v>
      </c>
      <c r="I1892" s="25">
        <v>146.34</v>
      </c>
      <c r="J1892" s="379">
        <v>5.4533584111564171</v>
      </c>
    </row>
    <row r="1893" spans="1:10" x14ac:dyDescent="0.35">
      <c r="A1893" s="5">
        <v>1889</v>
      </c>
      <c r="B1893" s="5">
        <v>79</v>
      </c>
      <c r="C1893" s="5">
        <v>3</v>
      </c>
      <c r="D1893" s="379">
        <v>38.199444444444438</v>
      </c>
      <c r="E1893" s="25">
        <v>26.51</v>
      </c>
      <c r="F1893" s="379">
        <v>12.610476269356761</v>
      </c>
      <c r="G1893" s="25">
        <v>52.2</v>
      </c>
      <c r="H1893" s="379">
        <v>11.54817598167511</v>
      </c>
      <c r="I1893" s="25">
        <v>147.82</v>
      </c>
      <c r="J1893" s="379">
        <v>6.954351683992904</v>
      </c>
    </row>
    <row r="1894" spans="1:10" x14ac:dyDescent="0.35">
      <c r="A1894" s="5">
        <v>1890</v>
      </c>
      <c r="B1894" s="5">
        <v>79</v>
      </c>
      <c r="C1894" s="5">
        <v>3</v>
      </c>
      <c r="D1894" s="379">
        <v>45.261111111111113</v>
      </c>
      <c r="E1894" s="25">
        <v>28.12</v>
      </c>
      <c r="F1894" s="379">
        <v>25.023807367999286</v>
      </c>
      <c r="G1894" s="25">
        <v>57.04</v>
      </c>
      <c r="H1894" s="379">
        <v>10.679429484602599</v>
      </c>
      <c r="I1894" s="25">
        <v>173.91</v>
      </c>
      <c r="J1894" s="379">
        <v>7.0909815541384393</v>
      </c>
    </row>
    <row r="1895" spans="1:10" x14ac:dyDescent="0.35">
      <c r="A1895" s="5">
        <v>1891</v>
      </c>
      <c r="B1895" s="5">
        <v>79</v>
      </c>
      <c r="C1895" s="5">
        <v>3</v>
      </c>
      <c r="D1895" s="379">
        <v>57.5</v>
      </c>
      <c r="E1895" s="25">
        <v>29.23</v>
      </c>
      <c r="F1895" s="379">
        <v>22.779284185722648</v>
      </c>
      <c r="G1895" s="25">
        <v>57.04</v>
      </c>
      <c r="H1895" s="379">
        <v>13.717013682882623</v>
      </c>
      <c r="I1895" s="25">
        <v>603.30999999999995</v>
      </c>
      <c r="J1895" s="379">
        <v>7.0909815541384393</v>
      </c>
    </row>
    <row r="1896" spans="1:10" x14ac:dyDescent="0.35">
      <c r="A1896" s="5">
        <v>1892</v>
      </c>
      <c r="B1896" s="5">
        <v>79</v>
      </c>
      <c r="C1896" s="5">
        <v>3</v>
      </c>
      <c r="D1896" s="379">
        <v>60.957222222222221</v>
      </c>
      <c r="E1896" s="25">
        <v>29.23</v>
      </c>
      <c r="F1896" s="379">
        <v>22.779284185722648</v>
      </c>
      <c r="G1896" s="25">
        <v>60.51</v>
      </c>
      <c r="H1896" s="379">
        <v>13.301762681695726</v>
      </c>
      <c r="I1896" s="25">
        <v>843.72</v>
      </c>
      <c r="J1896" s="379">
        <v>7.0909815541384393</v>
      </c>
    </row>
    <row r="1897" spans="1:10" x14ac:dyDescent="0.35">
      <c r="A1897" s="5">
        <v>1893</v>
      </c>
      <c r="B1897" s="5">
        <v>79</v>
      </c>
      <c r="C1897" s="5">
        <v>3</v>
      </c>
      <c r="D1897" s="379">
        <v>51.085555555555558</v>
      </c>
      <c r="E1897" s="25">
        <v>29.23</v>
      </c>
      <c r="F1897" s="379">
        <v>23.724831380207977</v>
      </c>
      <c r="G1897" s="25">
        <v>57.04</v>
      </c>
      <c r="H1897" s="379">
        <v>13.803507092263892</v>
      </c>
      <c r="I1897" s="25">
        <v>184.5</v>
      </c>
      <c r="J1897" s="379">
        <v>7.0909815541384393</v>
      </c>
    </row>
    <row r="1898" spans="1:10" x14ac:dyDescent="0.35">
      <c r="A1898" s="5">
        <v>1894</v>
      </c>
      <c r="B1898" s="5">
        <v>79</v>
      </c>
      <c r="C1898" s="5">
        <v>3</v>
      </c>
      <c r="D1898" s="379">
        <v>47.505555555555553</v>
      </c>
      <c r="E1898" s="25">
        <v>27.96</v>
      </c>
      <c r="F1898" s="379">
        <v>24.136801203651931</v>
      </c>
      <c r="G1898" s="25">
        <v>55.88</v>
      </c>
      <c r="H1898" s="379">
        <v>8.5290162396882394</v>
      </c>
      <c r="I1898" s="25">
        <v>172.17</v>
      </c>
      <c r="J1898" s="379">
        <v>7.0909815541384393</v>
      </c>
    </row>
    <row r="1899" spans="1:10" x14ac:dyDescent="0.35">
      <c r="A1899" s="5">
        <v>1895</v>
      </c>
      <c r="B1899" s="5">
        <v>79</v>
      </c>
      <c r="C1899" s="5">
        <v>3</v>
      </c>
      <c r="D1899" s="379">
        <v>48.048333333333332</v>
      </c>
      <c r="E1899" s="25">
        <v>26.51</v>
      </c>
      <c r="F1899" s="379">
        <v>17.575571256661789</v>
      </c>
      <c r="G1899" s="25">
        <v>55.88</v>
      </c>
      <c r="H1899" s="379">
        <v>10.268603273070378</v>
      </c>
      <c r="I1899" s="25">
        <v>152.25</v>
      </c>
      <c r="J1899" s="379">
        <v>7.0909815541384393</v>
      </c>
    </row>
    <row r="1900" spans="1:10" x14ac:dyDescent="0.35">
      <c r="A1900" s="5">
        <v>1896</v>
      </c>
      <c r="B1900" s="5">
        <v>79</v>
      </c>
      <c r="C1900" s="5">
        <v>3</v>
      </c>
      <c r="D1900" s="379">
        <v>46.196666666666673</v>
      </c>
      <c r="E1900" s="25">
        <v>25.74</v>
      </c>
      <c r="F1900" s="379">
        <v>13.452238141811563</v>
      </c>
      <c r="G1900" s="25">
        <v>52.14</v>
      </c>
      <c r="H1900" s="379">
        <v>9.7218500883072387</v>
      </c>
      <c r="I1900" s="25">
        <v>150.72999999999999</v>
      </c>
      <c r="J1900" s="379">
        <v>6.7913870846195952</v>
      </c>
    </row>
    <row r="1901" spans="1:10" x14ac:dyDescent="0.35">
      <c r="A1901" s="5">
        <v>1897</v>
      </c>
      <c r="B1901" s="5">
        <v>80</v>
      </c>
      <c r="C1901" s="5">
        <v>3</v>
      </c>
      <c r="D1901" s="379">
        <v>48.234444444444442</v>
      </c>
      <c r="E1901" s="25">
        <v>25.29</v>
      </c>
      <c r="F1901" s="379">
        <v>16.486503920475119</v>
      </c>
      <c r="G1901" s="25">
        <v>47.85</v>
      </c>
      <c r="H1901" s="379">
        <v>10.053485698406012</v>
      </c>
      <c r="I1901" s="25">
        <v>70.09</v>
      </c>
      <c r="J1901" s="379">
        <v>6.7616336170324924</v>
      </c>
    </row>
    <row r="1902" spans="1:10" x14ac:dyDescent="0.35">
      <c r="A1902" s="5">
        <v>1898</v>
      </c>
      <c r="B1902" s="5">
        <v>80</v>
      </c>
      <c r="C1902" s="5">
        <v>3</v>
      </c>
      <c r="D1902" s="379">
        <v>48.206666666666671</v>
      </c>
      <c r="E1902" s="25">
        <v>24.84</v>
      </c>
      <c r="F1902" s="379">
        <v>15.903534665685564</v>
      </c>
      <c r="G1902" s="25">
        <v>47.41</v>
      </c>
      <c r="H1902" s="379">
        <v>10.956575916822704</v>
      </c>
      <c r="I1902" s="25">
        <v>68.05</v>
      </c>
      <c r="J1902" s="379">
        <v>6.9106747248352178</v>
      </c>
    </row>
    <row r="1903" spans="1:10" x14ac:dyDescent="0.35">
      <c r="A1903" s="5">
        <v>1899</v>
      </c>
      <c r="B1903" s="5">
        <v>80</v>
      </c>
      <c r="C1903" s="5">
        <v>3</v>
      </c>
      <c r="D1903" s="379">
        <v>47.154444444444444</v>
      </c>
      <c r="E1903" s="25">
        <v>24.84</v>
      </c>
      <c r="F1903" s="379">
        <v>15.175635358950109</v>
      </c>
      <c r="G1903" s="25">
        <v>44.69</v>
      </c>
      <c r="H1903" s="379">
        <v>11.909572531797021</v>
      </c>
      <c r="I1903" s="25">
        <v>62.27</v>
      </c>
      <c r="J1903" s="379">
        <v>6.4677462170994371</v>
      </c>
    </row>
    <row r="1904" spans="1:10" x14ac:dyDescent="0.35">
      <c r="A1904" s="5">
        <v>1900</v>
      </c>
      <c r="B1904" s="5">
        <v>80</v>
      </c>
      <c r="C1904" s="5">
        <v>3</v>
      </c>
      <c r="D1904" s="379">
        <v>46.526111111111113</v>
      </c>
      <c r="E1904" s="25">
        <v>24.84</v>
      </c>
      <c r="F1904" s="379">
        <v>16.096902204342133</v>
      </c>
      <c r="G1904" s="25">
        <v>43.56</v>
      </c>
      <c r="H1904" s="379">
        <v>10.304716109829807</v>
      </c>
      <c r="I1904" s="25">
        <v>53.27</v>
      </c>
      <c r="J1904" s="379">
        <v>5.9606679550632711</v>
      </c>
    </row>
    <row r="1905" spans="1:10" x14ac:dyDescent="0.35">
      <c r="A1905" s="5">
        <v>1901</v>
      </c>
      <c r="B1905" s="5">
        <v>80</v>
      </c>
      <c r="C1905" s="5">
        <v>3</v>
      </c>
      <c r="D1905" s="379">
        <v>47.753888888888888</v>
      </c>
      <c r="E1905" s="25">
        <v>24.84</v>
      </c>
      <c r="F1905" s="379">
        <v>14.862265148908218</v>
      </c>
      <c r="G1905" s="25">
        <v>43.56</v>
      </c>
      <c r="H1905" s="379">
        <v>9.0222589432262925</v>
      </c>
      <c r="I1905" s="25">
        <v>51.02</v>
      </c>
      <c r="J1905" s="379">
        <v>5.0882748499221666</v>
      </c>
    </row>
    <row r="1906" spans="1:10" x14ac:dyDescent="0.35">
      <c r="A1906" s="5">
        <v>1902</v>
      </c>
      <c r="B1906" s="5">
        <v>80</v>
      </c>
      <c r="C1906" s="5">
        <v>3</v>
      </c>
      <c r="D1906" s="379">
        <v>52.853888888888896</v>
      </c>
      <c r="E1906" s="25">
        <v>24.84</v>
      </c>
      <c r="F1906" s="379">
        <v>12.344721519316238</v>
      </c>
      <c r="G1906" s="25">
        <v>43.39</v>
      </c>
      <c r="H1906" s="379">
        <v>10.060859762303943</v>
      </c>
      <c r="I1906" s="25">
        <v>50.03</v>
      </c>
      <c r="J1906" s="379">
        <v>5.3817681439136207</v>
      </c>
    </row>
    <row r="1907" spans="1:10" x14ac:dyDescent="0.35">
      <c r="A1907" s="5">
        <v>1903</v>
      </c>
      <c r="B1907" s="5">
        <v>80</v>
      </c>
      <c r="C1907" s="5">
        <v>3</v>
      </c>
      <c r="D1907" s="379">
        <v>60.401111111111113</v>
      </c>
      <c r="E1907" s="25">
        <v>24.84</v>
      </c>
      <c r="F1907" s="379">
        <v>14.04785020115567</v>
      </c>
      <c r="G1907" s="25">
        <v>43.39</v>
      </c>
      <c r="H1907" s="379">
        <v>7.9380995174655977</v>
      </c>
      <c r="I1907" s="25">
        <v>49.53</v>
      </c>
      <c r="J1907" s="379">
        <v>5.3817681439136207</v>
      </c>
    </row>
    <row r="1908" spans="1:10" x14ac:dyDescent="0.35">
      <c r="A1908" s="5">
        <v>1904</v>
      </c>
      <c r="B1908" s="5">
        <v>80</v>
      </c>
      <c r="C1908" s="5">
        <v>3</v>
      </c>
      <c r="D1908" s="379">
        <v>62.670555555555566</v>
      </c>
      <c r="E1908" s="25">
        <v>24.84</v>
      </c>
      <c r="F1908" s="379">
        <v>14.059218670616254</v>
      </c>
      <c r="G1908" s="25">
        <v>43.39</v>
      </c>
      <c r="H1908" s="379">
        <v>7.4434498127975592</v>
      </c>
      <c r="I1908" s="25">
        <v>49.63</v>
      </c>
      <c r="J1908" s="379">
        <v>0.27777777777777779</v>
      </c>
    </row>
    <row r="1909" spans="1:10" x14ac:dyDescent="0.35">
      <c r="A1909" s="5">
        <v>1905</v>
      </c>
      <c r="B1909" s="5">
        <v>80</v>
      </c>
      <c r="C1909" s="5">
        <v>3</v>
      </c>
      <c r="D1909" s="379">
        <v>59.802777777777791</v>
      </c>
      <c r="E1909" s="25">
        <v>24.84</v>
      </c>
      <c r="F1909" s="379">
        <v>12.670715908132911</v>
      </c>
      <c r="G1909" s="25">
        <v>43.82</v>
      </c>
      <c r="H1909" s="379">
        <v>5.5727793891004973</v>
      </c>
      <c r="I1909" s="25">
        <v>49.53</v>
      </c>
      <c r="J1909" s="379">
        <v>0.27777777777777779</v>
      </c>
    </row>
    <row r="1910" spans="1:10" x14ac:dyDescent="0.35">
      <c r="A1910" s="5">
        <v>1906</v>
      </c>
      <c r="B1910" s="5">
        <v>80</v>
      </c>
      <c r="C1910" s="5">
        <v>3</v>
      </c>
      <c r="D1910" s="379">
        <v>55.080555555555563</v>
      </c>
      <c r="E1910" s="25">
        <v>24.84</v>
      </c>
      <c r="F1910" s="379">
        <v>9.0466436700606305</v>
      </c>
      <c r="G1910" s="25">
        <v>44.69</v>
      </c>
      <c r="H1910" s="379">
        <v>8.3972666540046816</v>
      </c>
      <c r="I1910" s="25">
        <v>49.53</v>
      </c>
      <c r="J1910" s="379">
        <v>1.40616708996203</v>
      </c>
    </row>
    <row r="1911" spans="1:10" x14ac:dyDescent="0.35">
      <c r="A1911" s="5">
        <v>1907</v>
      </c>
      <c r="B1911" s="5">
        <v>80</v>
      </c>
      <c r="C1911" s="5">
        <v>3</v>
      </c>
      <c r="D1911" s="379">
        <v>46.383888888888897</v>
      </c>
      <c r="E1911" s="25">
        <v>24.84</v>
      </c>
      <c r="F1911" s="379">
        <v>8.1174834595959595</v>
      </c>
      <c r="G1911" s="25">
        <v>44.69</v>
      </c>
      <c r="H1911" s="379">
        <v>6.4901576034618236</v>
      </c>
      <c r="I1911" s="25">
        <v>48.2</v>
      </c>
      <c r="J1911" s="379">
        <v>4.6497324928303092</v>
      </c>
    </row>
    <row r="1912" spans="1:10" x14ac:dyDescent="0.35">
      <c r="A1912" s="5">
        <v>1908</v>
      </c>
      <c r="B1912" s="5">
        <v>80</v>
      </c>
      <c r="C1912" s="5">
        <v>3</v>
      </c>
      <c r="D1912" s="379">
        <v>46.654444444444444</v>
      </c>
      <c r="E1912" s="25">
        <v>24.84</v>
      </c>
      <c r="F1912" s="379">
        <v>8.1174834595959595</v>
      </c>
      <c r="G1912" s="25">
        <v>44.69</v>
      </c>
      <c r="H1912" s="379">
        <v>5.3145556562779168</v>
      </c>
      <c r="I1912" s="25">
        <v>47.16</v>
      </c>
      <c r="J1912" s="379">
        <v>4.6497324928303092</v>
      </c>
    </row>
    <row r="1913" spans="1:10" x14ac:dyDescent="0.35">
      <c r="A1913" s="5">
        <v>1909</v>
      </c>
      <c r="B1913" s="5">
        <v>80</v>
      </c>
      <c r="C1913" s="5">
        <v>3</v>
      </c>
      <c r="D1913" s="379">
        <v>44.544999999999995</v>
      </c>
      <c r="E1913" s="25">
        <v>24.84</v>
      </c>
      <c r="F1913" s="379">
        <v>8.1174834595959613</v>
      </c>
      <c r="G1913" s="25">
        <v>43.56</v>
      </c>
      <c r="H1913" s="379">
        <v>6.5698477539971751</v>
      </c>
      <c r="I1913" s="25">
        <v>47.16</v>
      </c>
      <c r="J1913" s="379">
        <v>0.82810185272592862</v>
      </c>
    </row>
    <row r="1914" spans="1:10" x14ac:dyDescent="0.35">
      <c r="A1914" s="5">
        <v>1910</v>
      </c>
      <c r="B1914" s="5">
        <v>80</v>
      </c>
      <c r="C1914" s="5">
        <v>3</v>
      </c>
      <c r="D1914" s="379">
        <v>44.507777777777783</v>
      </c>
      <c r="E1914" s="25">
        <v>24.84</v>
      </c>
      <c r="F1914" s="379">
        <v>8.1174834595959613</v>
      </c>
      <c r="G1914" s="25">
        <v>43.39</v>
      </c>
      <c r="H1914" s="379">
        <v>5.5138601975255943</v>
      </c>
      <c r="I1914" s="25">
        <v>47.16</v>
      </c>
      <c r="J1914" s="379">
        <v>2.0112969901804476</v>
      </c>
    </row>
    <row r="1915" spans="1:10" x14ac:dyDescent="0.35">
      <c r="A1915" s="5">
        <v>1911</v>
      </c>
      <c r="B1915" s="5">
        <v>80</v>
      </c>
      <c r="C1915" s="5">
        <v>3</v>
      </c>
      <c r="D1915" s="379">
        <v>44.688333333333325</v>
      </c>
      <c r="E1915" s="25">
        <v>24.84</v>
      </c>
      <c r="F1915" s="379">
        <v>8.1174834595959595</v>
      </c>
      <c r="G1915" s="25">
        <v>43.39</v>
      </c>
      <c r="H1915" s="379">
        <v>5.3526380369046862</v>
      </c>
      <c r="I1915" s="25">
        <v>47.16</v>
      </c>
      <c r="J1915" s="379">
        <v>2.6340760414127451</v>
      </c>
    </row>
    <row r="1916" spans="1:10" x14ac:dyDescent="0.35">
      <c r="A1916" s="5">
        <v>1912</v>
      </c>
      <c r="B1916" s="5">
        <v>80</v>
      </c>
      <c r="C1916" s="5">
        <v>3</v>
      </c>
      <c r="D1916" s="379">
        <v>52.530555555555551</v>
      </c>
      <c r="E1916" s="25">
        <v>24.84</v>
      </c>
      <c r="F1916" s="379">
        <v>8.1174834595959595</v>
      </c>
      <c r="G1916" s="25">
        <v>43.39</v>
      </c>
      <c r="H1916" s="379">
        <v>7.0339350115807253</v>
      </c>
      <c r="I1916" s="25">
        <v>46.69</v>
      </c>
      <c r="J1916" s="379">
        <v>3.2234887641927283</v>
      </c>
    </row>
    <row r="1917" spans="1:10" x14ac:dyDescent="0.35">
      <c r="A1917" s="5">
        <v>1913</v>
      </c>
      <c r="B1917" s="5">
        <v>80</v>
      </c>
      <c r="C1917" s="5">
        <v>3</v>
      </c>
      <c r="D1917" s="379">
        <v>57.078888888888883</v>
      </c>
      <c r="E1917" s="25">
        <v>24.84</v>
      </c>
      <c r="F1917" s="379">
        <v>8.1174834595959595</v>
      </c>
      <c r="G1917" s="25">
        <v>43.39</v>
      </c>
      <c r="H1917" s="379">
        <v>7.0165848488765867</v>
      </c>
      <c r="I1917" s="25">
        <v>47.16</v>
      </c>
      <c r="J1917" s="379">
        <v>3.1660152511595223</v>
      </c>
    </row>
    <row r="1918" spans="1:10" x14ac:dyDescent="0.35">
      <c r="A1918" s="5">
        <v>1914</v>
      </c>
      <c r="B1918" s="5">
        <v>80</v>
      </c>
      <c r="C1918" s="5">
        <v>3</v>
      </c>
      <c r="D1918" s="379">
        <v>63.453888888888898</v>
      </c>
      <c r="E1918" s="25">
        <v>24.84</v>
      </c>
      <c r="F1918" s="379">
        <v>8.9757239428733371</v>
      </c>
      <c r="G1918" s="25">
        <v>43.39</v>
      </c>
      <c r="H1918" s="379">
        <v>9.1087983922462179</v>
      </c>
      <c r="I1918" s="25">
        <v>47.16</v>
      </c>
      <c r="J1918" s="379">
        <v>4.2591786242944147</v>
      </c>
    </row>
    <row r="1919" spans="1:10" x14ac:dyDescent="0.35">
      <c r="A1919" s="5">
        <v>1915</v>
      </c>
      <c r="B1919" s="5">
        <v>80</v>
      </c>
      <c r="C1919" s="5">
        <v>3</v>
      </c>
      <c r="D1919" s="379">
        <v>70.214444444444439</v>
      </c>
      <c r="E1919" s="25">
        <v>24.99</v>
      </c>
      <c r="F1919" s="379">
        <v>9.6299890432008173</v>
      </c>
      <c r="G1919" s="25">
        <v>44.74</v>
      </c>
      <c r="H1919" s="379">
        <v>8.9016192499804472</v>
      </c>
      <c r="I1919" s="25">
        <v>48.79</v>
      </c>
      <c r="J1919" s="379">
        <v>1.1201038464857354</v>
      </c>
    </row>
    <row r="1920" spans="1:10" x14ac:dyDescent="0.35">
      <c r="A1920" s="5">
        <v>1916</v>
      </c>
      <c r="B1920" s="5">
        <v>80</v>
      </c>
      <c r="C1920" s="5">
        <v>3</v>
      </c>
      <c r="D1920" s="379">
        <v>71.810555555555567</v>
      </c>
      <c r="E1920" s="25">
        <v>25.74</v>
      </c>
      <c r="F1920" s="379">
        <v>9.6593435954273499</v>
      </c>
      <c r="G1920" s="25">
        <v>46.21</v>
      </c>
      <c r="H1920" s="379">
        <v>9.1403024258634442</v>
      </c>
      <c r="I1920" s="25">
        <v>51.2</v>
      </c>
      <c r="J1920" s="379">
        <v>0.89057111182821447</v>
      </c>
    </row>
    <row r="1921" spans="1:10" x14ac:dyDescent="0.35">
      <c r="A1921" s="5">
        <v>1917</v>
      </c>
      <c r="B1921" s="5">
        <v>80</v>
      </c>
      <c r="C1921" s="5">
        <v>3</v>
      </c>
      <c r="D1921" s="379">
        <v>61.352777777777767</v>
      </c>
      <c r="E1921" s="25">
        <v>25.29</v>
      </c>
      <c r="F1921" s="379">
        <v>9.6863745752468056</v>
      </c>
      <c r="G1921" s="25">
        <v>46.11</v>
      </c>
      <c r="H1921" s="379">
        <v>9.6029880839889525</v>
      </c>
      <c r="I1921" s="25">
        <v>48.86</v>
      </c>
      <c r="J1921" s="379">
        <v>3.3236003441077613</v>
      </c>
    </row>
    <row r="1922" spans="1:10" x14ac:dyDescent="0.35">
      <c r="A1922" s="5">
        <v>1918</v>
      </c>
      <c r="B1922" s="5">
        <v>80</v>
      </c>
      <c r="C1922" s="5">
        <v>3</v>
      </c>
      <c r="D1922" s="379">
        <v>55.922777777777775</v>
      </c>
      <c r="E1922" s="25">
        <v>24.99</v>
      </c>
      <c r="F1922" s="379">
        <v>9.5191553551061716</v>
      </c>
      <c r="G1922" s="25">
        <v>43.56</v>
      </c>
      <c r="H1922" s="379">
        <v>8.4817884526037712</v>
      </c>
      <c r="I1922" s="25">
        <v>47.16</v>
      </c>
      <c r="J1922" s="379">
        <v>1.9360688438211369</v>
      </c>
    </row>
    <row r="1923" spans="1:10" x14ac:dyDescent="0.35">
      <c r="A1923" s="5">
        <v>1919</v>
      </c>
      <c r="B1923" s="5">
        <v>80</v>
      </c>
      <c r="C1923" s="5">
        <v>3</v>
      </c>
      <c r="D1923" s="379">
        <v>51.988888888888887</v>
      </c>
      <c r="E1923" s="25">
        <v>24.99</v>
      </c>
      <c r="F1923" s="379">
        <v>9.1598088082200189</v>
      </c>
      <c r="G1923" s="25">
        <v>43.56</v>
      </c>
      <c r="H1923" s="379">
        <v>10.035269839535884</v>
      </c>
      <c r="I1923" s="25">
        <v>47.16</v>
      </c>
      <c r="J1923" s="379">
        <v>0.70456539465792778</v>
      </c>
    </row>
    <row r="1924" spans="1:10" x14ac:dyDescent="0.35">
      <c r="A1924" s="5">
        <v>1920</v>
      </c>
      <c r="B1924" s="5">
        <v>80</v>
      </c>
      <c r="C1924" s="5">
        <v>3</v>
      </c>
      <c r="D1924" s="379">
        <v>51.007222222222225</v>
      </c>
      <c r="E1924" s="25">
        <v>24.84</v>
      </c>
      <c r="F1924" s="379">
        <v>9.1078537316572028</v>
      </c>
      <c r="G1924" s="25">
        <v>43.56</v>
      </c>
      <c r="H1924" s="379">
        <v>10.692952004167351</v>
      </c>
      <c r="I1924" s="25">
        <v>47.44</v>
      </c>
      <c r="J1924" s="379">
        <v>5.172484259334527</v>
      </c>
    </row>
    <row r="1925" spans="1:10" x14ac:dyDescent="0.35">
      <c r="A1925" s="5">
        <v>1921</v>
      </c>
      <c r="B1925" s="5">
        <v>81</v>
      </c>
      <c r="C1925" s="5">
        <v>3</v>
      </c>
      <c r="D1925" s="379">
        <v>53.166111111111114</v>
      </c>
      <c r="E1925" s="25">
        <v>24.84</v>
      </c>
      <c r="F1925" s="379">
        <v>9.2091979752120832</v>
      </c>
      <c r="G1925" s="25">
        <v>43.56</v>
      </c>
      <c r="H1925" s="379">
        <v>10.635502313029287</v>
      </c>
      <c r="I1925" s="25">
        <v>49.53</v>
      </c>
      <c r="J1925" s="379">
        <v>4.7560889792672514</v>
      </c>
    </row>
    <row r="1926" spans="1:10" x14ac:dyDescent="0.35">
      <c r="A1926" s="5">
        <v>1922</v>
      </c>
      <c r="B1926" s="5">
        <v>81</v>
      </c>
      <c r="C1926" s="5">
        <v>3</v>
      </c>
      <c r="D1926" s="379">
        <v>52.442777777777778</v>
      </c>
      <c r="E1926" s="25">
        <v>24.84</v>
      </c>
      <c r="F1926" s="379">
        <v>9.2006193335705309</v>
      </c>
      <c r="G1926" s="25">
        <v>43.56</v>
      </c>
      <c r="H1926" s="379">
        <v>11.019399723891754</v>
      </c>
      <c r="I1926" s="25">
        <v>49.53</v>
      </c>
      <c r="J1926" s="379">
        <v>5.7222309010999712</v>
      </c>
    </row>
    <row r="1927" spans="1:10" x14ac:dyDescent="0.35">
      <c r="A1927" s="5">
        <v>1923</v>
      </c>
      <c r="B1927" s="5">
        <v>81</v>
      </c>
      <c r="C1927" s="5">
        <v>3</v>
      </c>
      <c r="D1927" s="379">
        <v>51.217777777777783</v>
      </c>
      <c r="E1927" s="25">
        <v>24.84</v>
      </c>
      <c r="F1927" s="379">
        <v>9.1595392665928319</v>
      </c>
      <c r="G1927" s="25">
        <v>43.56</v>
      </c>
      <c r="H1927" s="379">
        <v>10.807194522463629</v>
      </c>
      <c r="I1927" s="25">
        <v>49.53</v>
      </c>
      <c r="J1927" s="379">
        <v>5.8844616926579718</v>
      </c>
    </row>
    <row r="1928" spans="1:10" x14ac:dyDescent="0.35">
      <c r="A1928" s="5">
        <v>1924</v>
      </c>
      <c r="B1928" s="5">
        <v>81</v>
      </c>
      <c r="C1928" s="5">
        <v>3</v>
      </c>
      <c r="D1928" s="379">
        <v>51.323333333333338</v>
      </c>
      <c r="E1928" s="25">
        <v>24.84</v>
      </c>
      <c r="F1928" s="379">
        <v>9.7175829201269153</v>
      </c>
      <c r="G1928" s="25">
        <v>43.39</v>
      </c>
      <c r="H1928" s="379">
        <v>10.403155788188515</v>
      </c>
      <c r="I1928" s="25">
        <v>49.53</v>
      </c>
      <c r="J1928" s="379">
        <v>6.4558803156871933</v>
      </c>
    </row>
    <row r="1929" spans="1:10" x14ac:dyDescent="0.35">
      <c r="A1929" s="5">
        <v>1925</v>
      </c>
      <c r="B1929" s="5">
        <v>81</v>
      </c>
      <c r="C1929" s="5">
        <v>3</v>
      </c>
      <c r="D1929" s="379">
        <v>51.467777777777783</v>
      </c>
      <c r="E1929" s="25">
        <v>24.84</v>
      </c>
      <c r="F1929" s="379">
        <v>12.060058999714872</v>
      </c>
      <c r="G1929" s="25">
        <v>44.29</v>
      </c>
      <c r="H1929" s="379">
        <v>11.36871113619546</v>
      </c>
      <c r="I1929" s="25">
        <v>53.27</v>
      </c>
      <c r="J1929" s="379">
        <v>6.5613468698557114</v>
      </c>
    </row>
    <row r="1930" spans="1:10" x14ac:dyDescent="0.35">
      <c r="A1930" s="5">
        <v>1926</v>
      </c>
      <c r="B1930" s="5">
        <v>81</v>
      </c>
      <c r="C1930" s="5">
        <v>3</v>
      </c>
      <c r="D1930" s="379">
        <v>55.598888888888887</v>
      </c>
      <c r="E1930" s="25">
        <v>24.84</v>
      </c>
      <c r="F1930" s="379">
        <v>11.641466853174046</v>
      </c>
      <c r="G1930" s="25">
        <v>46.03</v>
      </c>
      <c r="H1930" s="379">
        <v>11.721455046324486</v>
      </c>
      <c r="I1930" s="25">
        <v>64.14</v>
      </c>
      <c r="J1930" s="379">
        <v>6.5880206625017177</v>
      </c>
    </row>
    <row r="1931" spans="1:10" x14ac:dyDescent="0.35">
      <c r="A1931" s="5">
        <v>1927</v>
      </c>
      <c r="B1931" s="5">
        <v>81</v>
      </c>
      <c r="C1931" s="5">
        <v>3</v>
      </c>
      <c r="D1931" s="379">
        <v>63.754999999999988</v>
      </c>
      <c r="E1931" s="25">
        <v>25.74</v>
      </c>
      <c r="F1931" s="379">
        <v>10.96936932706641</v>
      </c>
      <c r="G1931" s="25">
        <v>52.67</v>
      </c>
      <c r="H1931" s="379">
        <v>11.864752748820514</v>
      </c>
      <c r="I1931" s="25">
        <v>139.33000000000001</v>
      </c>
      <c r="J1931" s="379">
        <v>6.6296515602234809</v>
      </c>
    </row>
    <row r="1932" spans="1:10" x14ac:dyDescent="0.35">
      <c r="A1932" s="5">
        <v>1928</v>
      </c>
      <c r="B1932" s="5">
        <v>81</v>
      </c>
      <c r="C1932" s="5">
        <v>3</v>
      </c>
      <c r="D1932" s="379">
        <v>66.328333333333333</v>
      </c>
      <c r="E1932" s="25">
        <v>27.29</v>
      </c>
      <c r="F1932" s="379">
        <v>13.608655891444904</v>
      </c>
      <c r="G1932" s="25">
        <v>55.38</v>
      </c>
      <c r="H1932" s="379">
        <v>11.469996836468146</v>
      </c>
      <c r="I1932" s="25">
        <v>147.82</v>
      </c>
      <c r="J1932" s="379">
        <v>5.3817681439136207</v>
      </c>
    </row>
    <row r="1933" spans="1:10" x14ac:dyDescent="0.35">
      <c r="A1933" s="5">
        <v>1929</v>
      </c>
      <c r="B1933" s="5">
        <v>81</v>
      </c>
      <c r="C1933" s="5">
        <v>3</v>
      </c>
      <c r="D1933" s="379">
        <v>67.043888888888887</v>
      </c>
      <c r="E1933" s="25">
        <v>28.12</v>
      </c>
      <c r="F1933" s="379">
        <v>12.95842189013571</v>
      </c>
      <c r="G1933" s="25">
        <v>57.04</v>
      </c>
      <c r="H1933" s="379">
        <v>10.055806344901656</v>
      </c>
      <c r="I1933" s="25">
        <v>152.25</v>
      </c>
      <c r="J1933" s="379">
        <v>5.3817681439136207</v>
      </c>
    </row>
    <row r="1934" spans="1:10" x14ac:dyDescent="0.35">
      <c r="A1934" s="5">
        <v>1930</v>
      </c>
      <c r="B1934" s="5">
        <v>81</v>
      </c>
      <c r="C1934" s="5">
        <v>3</v>
      </c>
      <c r="D1934" s="379">
        <v>58.909444444444439</v>
      </c>
      <c r="E1934" s="25">
        <v>28.12</v>
      </c>
      <c r="F1934" s="379">
        <v>9.4981105055240587</v>
      </c>
      <c r="G1934" s="25">
        <v>58.75</v>
      </c>
      <c r="H1934" s="379">
        <v>10.802436537351303</v>
      </c>
      <c r="I1934" s="25">
        <v>143.51</v>
      </c>
      <c r="J1934" s="379">
        <v>5.9159767783293757</v>
      </c>
    </row>
    <row r="1935" spans="1:10" x14ac:dyDescent="0.35">
      <c r="A1935" s="5">
        <v>1931</v>
      </c>
      <c r="B1935" s="5">
        <v>81</v>
      </c>
      <c r="C1935" s="5">
        <v>3</v>
      </c>
      <c r="D1935" s="379">
        <v>50.336666666666659</v>
      </c>
      <c r="E1935" s="25">
        <v>28.12</v>
      </c>
      <c r="F1935" s="379">
        <v>8.1174834595959595</v>
      </c>
      <c r="G1935" s="25">
        <v>58.75</v>
      </c>
      <c r="H1935" s="379">
        <v>6.6023872862257731</v>
      </c>
      <c r="I1935" s="25">
        <v>143.51</v>
      </c>
      <c r="J1935" s="379">
        <v>2.2502191674475251</v>
      </c>
    </row>
    <row r="1936" spans="1:10" x14ac:dyDescent="0.35">
      <c r="A1936" s="5">
        <v>1932</v>
      </c>
      <c r="B1936" s="5">
        <v>81</v>
      </c>
      <c r="C1936" s="5">
        <v>3</v>
      </c>
      <c r="D1936" s="379">
        <v>48.141111111111108</v>
      </c>
      <c r="E1936" s="25">
        <v>28.12</v>
      </c>
      <c r="F1936" s="379">
        <v>8.1174834595959595</v>
      </c>
      <c r="G1936" s="25">
        <v>58.75</v>
      </c>
      <c r="H1936" s="379">
        <v>6.4771139571059368</v>
      </c>
      <c r="I1936" s="25">
        <v>143.51</v>
      </c>
      <c r="J1936" s="379">
        <v>2.2502191674475251</v>
      </c>
    </row>
    <row r="1937" spans="1:10" x14ac:dyDescent="0.35">
      <c r="A1937" s="5">
        <v>1933</v>
      </c>
      <c r="B1937" s="5">
        <v>81</v>
      </c>
      <c r="C1937" s="5">
        <v>3</v>
      </c>
      <c r="D1937" s="379">
        <v>46.366111111111103</v>
      </c>
      <c r="E1937" s="25">
        <v>28.12</v>
      </c>
      <c r="F1937" s="379">
        <v>0.47222222222222221</v>
      </c>
      <c r="G1937" s="25">
        <v>58.75</v>
      </c>
      <c r="H1937" s="379">
        <v>7.5578023557636245</v>
      </c>
      <c r="I1937" s="25">
        <v>143.51</v>
      </c>
      <c r="J1937" s="379">
        <v>3.2659001442327757</v>
      </c>
    </row>
    <row r="1938" spans="1:10" x14ac:dyDescent="0.35">
      <c r="A1938" s="5">
        <v>1934</v>
      </c>
      <c r="B1938" s="5">
        <v>81</v>
      </c>
      <c r="C1938" s="5">
        <v>3</v>
      </c>
      <c r="D1938" s="379">
        <v>47.214444444444446</v>
      </c>
      <c r="E1938" s="25">
        <v>28.12</v>
      </c>
      <c r="F1938" s="379">
        <v>0.47222222222222221</v>
      </c>
      <c r="G1938" s="25">
        <v>58.75</v>
      </c>
      <c r="H1938" s="379">
        <v>7.7949054452603574</v>
      </c>
      <c r="I1938" s="25">
        <v>143.51</v>
      </c>
      <c r="J1938" s="379">
        <v>3.6224159852389866</v>
      </c>
    </row>
    <row r="1939" spans="1:10" x14ac:dyDescent="0.35">
      <c r="A1939" s="5">
        <v>1935</v>
      </c>
      <c r="B1939" s="5">
        <v>81</v>
      </c>
      <c r="C1939" s="5">
        <v>3</v>
      </c>
      <c r="D1939" s="379">
        <v>49.411111111111111</v>
      </c>
      <c r="E1939" s="25">
        <v>28.12</v>
      </c>
      <c r="F1939" s="379">
        <v>8.1174834595959595</v>
      </c>
      <c r="G1939" s="25">
        <v>58.75</v>
      </c>
      <c r="H1939" s="379">
        <v>7.4963783489197322</v>
      </c>
      <c r="I1939" s="25">
        <v>143.51</v>
      </c>
      <c r="J1939" s="379">
        <v>5.7902389341340639</v>
      </c>
    </row>
    <row r="1940" spans="1:10" x14ac:dyDescent="0.35">
      <c r="A1940" s="5">
        <v>1936</v>
      </c>
      <c r="B1940" s="5">
        <v>81</v>
      </c>
      <c r="C1940" s="5">
        <v>3</v>
      </c>
      <c r="D1940" s="379">
        <v>50.801666666666669</v>
      </c>
      <c r="E1940" s="25">
        <v>28.97</v>
      </c>
      <c r="F1940" s="379">
        <v>8.1174834595959595</v>
      </c>
      <c r="G1940" s="25">
        <v>58.75</v>
      </c>
      <c r="H1940" s="379">
        <v>7.4897935248849015</v>
      </c>
      <c r="I1940" s="25">
        <v>603.30999999999995</v>
      </c>
      <c r="J1940" s="379">
        <v>6.0521832627509591</v>
      </c>
    </row>
    <row r="1941" spans="1:10" x14ac:dyDescent="0.35">
      <c r="A1941" s="5">
        <v>1937</v>
      </c>
      <c r="B1941" s="5">
        <v>81</v>
      </c>
      <c r="C1941" s="5">
        <v>3</v>
      </c>
      <c r="D1941" s="379">
        <v>55.901666666666671</v>
      </c>
      <c r="E1941" s="25">
        <v>31.19</v>
      </c>
      <c r="F1941" s="379">
        <v>9.617576360489867</v>
      </c>
      <c r="G1941" s="25">
        <v>62.12</v>
      </c>
      <c r="H1941" s="379">
        <v>7.4897935248849015</v>
      </c>
      <c r="I1941" s="25">
        <v>819.14</v>
      </c>
      <c r="J1941" s="379">
        <v>7.1564819177337862</v>
      </c>
    </row>
    <row r="1942" spans="1:10" x14ac:dyDescent="0.35">
      <c r="A1942" s="5">
        <v>1938</v>
      </c>
      <c r="B1942" s="5">
        <v>81</v>
      </c>
      <c r="C1942" s="5">
        <v>3</v>
      </c>
      <c r="D1942" s="379">
        <v>61.923333333333325</v>
      </c>
      <c r="E1942" s="25">
        <v>31.84</v>
      </c>
      <c r="F1942" s="379">
        <v>24.426716256928806</v>
      </c>
      <c r="G1942" s="25">
        <v>62.12</v>
      </c>
      <c r="H1942" s="379">
        <v>11.921181704511687</v>
      </c>
      <c r="I1942" s="25">
        <v>843.72</v>
      </c>
      <c r="J1942" s="379">
        <v>7.4430025476674224</v>
      </c>
    </row>
    <row r="1943" spans="1:10" x14ac:dyDescent="0.35">
      <c r="A1943" s="5">
        <v>1939</v>
      </c>
      <c r="B1943" s="5">
        <v>81</v>
      </c>
      <c r="C1943" s="5">
        <v>3</v>
      </c>
      <c r="D1943" s="379">
        <v>68.909444444444432</v>
      </c>
      <c r="E1943" s="25">
        <v>35.869999999999997</v>
      </c>
      <c r="F1943" s="379">
        <v>19.376560317401712</v>
      </c>
      <c r="G1943" s="25">
        <v>65.739999999999995</v>
      </c>
      <c r="H1943" s="379">
        <v>19.350173157667243</v>
      </c>
      <c r="I1943" s="25">
        <v>843.72</v>
      </c>
      <c r="J1943" s="379">
        <v>7.0909815541384393</v>
      </c>
    </row>
    <row r="1944" spans="1:10" x14ac:dyDescent="0.35">
      <c r="A1944" s="5">
        <v>1940</v>
      </c>
      <c r="B1944" s="5">
        <v>81</v>
      </c>
      <c r="C1944" s="5">
        <v>3</v>
      </c>
      <c r="D1944" s="379">
        <v>72.99944444444445</v>
      </c>
      <c r="E1944" s="25">
        <v>36.94</v>
      </c>
      <c r="F1944" s="379">
        <v>20.222372730480132</v>
      </c>
      <c r="G1944" s="25">
        <v>819.14</v>
      </c>
      <c r="H1944" s="379">
        <v>21.061575469318814</v>
      </c>
      <c r="I1944" s="25">
        <v>869.03</v>
      </c>
      <c r="J1944" s="379">
        <v>7.0909815541384393</v>
      </c>
    </row>
    <row r="1945" spans="1:10" x14ac:dyDescent="0.35">
      <c r="A1945" s="5">
        <v>1941</v>
      </c>
      <c r="B1945" s="5">
        <v>81</v>
      </c>
      <c r="C1945" s="5">
        <v>3</v>
      </c>
      <c r="D1945" s="379">
        <v>63.309999999999995</v>
      </c>
      <c r="E1945" s="25">
        <v>31.84</v>
      </c>
      <c r="F1945" s="379">
        <v>22.259673176112816</v>
      </c>
      <c r="G1945" s="25">
        <v>64.2</v>
      </c>
      <c r="H1945" s="379">
        <v>21.092123979876927</v>
      </c>
      <c r="I1945" s="25">
        <v>869.03</v>
      </c>
      <c r="J1945" s="379">
        <v>7.0909815541384393</v>
      </c>
    </row>
    <row r="1946" spans="1:10" x14ac:dyDescent="0.35">
      <c r="A1946" s="5">
        <v>1942</v>
      </c>
      <c r="B1946" s="5">
        <v>81</v>
      </c>
      <c r="C1946" s="5">
        <v>3</v>
      </c>
      <c r="D1946" s="379">
        <v>58.82555555555556</v>
      </c>
      <c r="E1946" s="25">
        <v>31.19</v>
      </c>
      <c r="F1946" s="379">
        <v>19.826270139294376</v>
      </c>
      <c r="G1946" s="25">
        <v>62.12</v>
      </c>
      <c r="H1946" s="379">
        <v>18.758461093658248</v>
      </c>
      <c r="I1946" s="25">
        <v>843.72</v>
      </c>
      <c r="J1946" s="379">
        <v>7.3670750782118386</v>
      </c>
    </row>
    <row r="1947" spans="1:10" x14ac:dyDescent="0.35">
      <c r="A1947" s="5">
        <v>1943</v>
      </c>
      <c r="B1947" s="5">
        <v>81</v>
      </c>
      <c r="C1947" s="5">
        <v>3</v>
      </c>
      <c r="D1947" s="379">
        <v>56.388333333333328</v>
      </c>
      <c r="E1947" s="25">
        <v>31.19</v>
      </c>
      <c r="F1947" s="379">
        <v>18.159382541850743</v>
      </c>
      <c r="G1947" s="25">
        <v>62.12</v>
      </c>
      <c r="H1947" s="379">
        <v>14.757632785245667</v>
      </c>
      <c r="I1947" s="25">
        <v>843.72</v>
      </c>
      <c r="J1947" s="379">
        <v>7.3030130733518765</v>
      </c>
    </row>
    <row r="1948" spans="1:10" x14ac:dyDescent="0.35">
      <c r="A1948" s="5">
        <v>1944</v>
      </c>
      <c r="B1948" s="5">
        <v>81</v>
      </c>
      <c r="C1948" s="5">
        <v>3</v>
      </c>
      <c r="D1948" s="379">
        <v>53.916111111111114</v>
      </c>
      <c r="E1948" s="25">
        <v>29.6</v>
      </c>
      <c r="F1948" s="379">
        <v>16.347024043146355</v>
      </c>
      <c r="G1948" s="25">
        <v>57.04</v>
      </c>
      <c r="H1948" s="379">
        <v>17.161994069332163</v>
      </c>
      <c r="I1948" s="25">
        <v>843.72</v>
      </c>
      <c r="J1948" s="379">
        <v>6.2963496091450954</v>
      </c>
    </row>
    <row r="1949" spans="1:10" x14ac:dyDescent="0.35">
      <c r="A1949" s="5">
        <v>1945</v>
      </c>
      <c r="B1949" s="5">
        <v>82</v>
      </c>
      <c r="C1949" s="5">
        <v>3</v>
      </c>
      <c r="D1949" s="379">
        <v>54.664444444444435</v>
      </c>
      <c r="E1949" s="25">
        <v>26.51</v>
      </c>
      <c r="F1949" s="379">
        <v>9.6921658992952047</v>
      </c>
      <c r="G1949" s="25">
        <v>57.56</v>
      </c>
      <c r="H1949" s="379">
        <v>16.480795800841783</v>
      </c>
      <c r="I1949" s="25">
        <v>717.16</v>
      </c>
      <c r="J1949" s="379">
        <v>5.6235143472894604</v>
      </c>
    </row>
    <row r="1950" spans="1:10" x14ac:dyDescent="0.35">
      <c r="A1950" s="5">
        <v>1946</v>
      </c>
      <c r="B1950" s="5">
        <v>82</v>
      </c>
      <c r="C1950" s="5">
        <v>3</v>
      </c>
      <c r="D1950" s="379">
        <v>52.779999999999994</v>
      </c>
      <c r="E1950" s="25">
        <v>25.74</v>
      </c>
      <c r="F1950" s="379">
        <v>12.842312052605013</v>
      </c>
      <c r="G1950" s="25">
        <v>55.88</v>
      </c>
      <c r="H1950" s="379">
        <v>14.464376390698344</v>
      </c>
      <c r="I1950" s="25">
        <v>717.16</v>
      </c>
      <c r="J1950" s="379">
        <v>5.2763647050270235</v>
      </c>
    </row>
    <row r="1951" spans="1:10" x14ac:dyDescent="0.35">
      <c r="A1951" s="5">
        <v>1947</v>
      </c>
      <c r="B1951" s="5">
        <v>82</v>
      </c>
      <c r="C1951" s="5">
        <v>3</v>
      </c>
      <c r="D1951" s="379">
        <v>52.608888888888885</v>
      </c>
      <c r="E1951" s="25">
        <v>25.59</v>
      </c>
      <c r="F1951" s="379">
        <v>12.425580821479896</v>
      </c>
      <c r="G1951" s="25">
        <v>55.88</v>
      </c>
      <c r="H1951" s="379">
        <v>10.099661951879536</v>
      </c>
      <c r="I1951" s="25">
        <v>717.16</v>
      </c>
      <c r="J1951" s="379">
        <v>4.859877526413241</v>
      </c>
    </row>
    <row r="1952" spans="1:10" x14ac:dyDescent="0.35">
      <c r="A1952" s="5">
        <v>1948</v>
      </c>
      <c r="B1952" s="5">
        <v>82</v>
      </c>
      <c r="C1952" s="5">
        <v>3</v>
      </c>
      <c r="D1952" s="379">
        <v>52.358888888888892</v>
      </c>
      <c r="E1952" s="25">
        <v>25.59</v>
      </c>
      <c r="F1952" s="379">
        <v>13.15945100107183</v>
      </c>
      <c r="G1952" s="25">
        <v>55.88</v>
      </c>
      <c r="H1952" s="379">
        <v>8.7265326561794758</v>
      </c>
      <c r="I1952" s="25">
        <v>717.16</v>
      </c>
      <c r="J1952" s="379">
        <v>4.7877234584049608</v>
      </c>
    </row>
    <row r="1953" spans="1:10" x14ac:dyDescent="0.35">
      <c r="A1953" s="5">
        <v>1949</v>
      </c>
      <c r="B1953" s="5">
        <v>82</v>
      </c>
      <c r="C1953" s="5">
        <v>3</v>
      </c>
      <c r="D1953" s="379">
        <v>56.717777777777776</v>
      </c>
      <c r="E1953" s="25">
        <v>25.59</v>
      </c>
      <c r="F1953" s="379">
        <v>11.205135920578194</v>
      </c>
      <c r="G1953" s="25">
        <v>57.56</v>
      </c>
      <c r="H1953" s="379">
        <v>8.811796345514928</v>
      </c>
      <c r="I1953" s="25">
        <v>717.16</v>
      </c>
      <c r="J1953" s="379">
        <v>5.1129696884021643</v>
      </c>
    </row>
    <row r="1954" spans="1:10" x14ac:dyDescent="0.35">
      <c r="A1954" s="5">
        <v>1950</v>
      </c>
      <c r="B1954" s="5">
        <v>82</v>
      </c>
      <c r="C1954" s="5">
        <v>3</v>
      </c>
      <c r="D1954" s="379">
        <v>61.947222222222216</v>
      </c>
      <c r="E1954" s="25">
        <v>26.51</v>
      </c>
      <c r="F1954" s="379">
        <v>13.032895613062447</v>
      </c>
      <c r="G1954" s="25">
        <v>59.91</v>
      </c>
      <c r="H1954" s="379">
        <v>8.9642714261704963</v>
      </c>
      <c r="I1954" s="25">
        <v>717.16</v>
      </c>
      <c r="J1954" s="379">
        <v>4.7992832937997214</v>
      </c>
    </row>
    <row r="1955" spans="1:10" x14ac:dyDescent="0.35">
      <c r="A1955" s="5">
        <v>1951</v>
      </c>
      <c r="B1955" s="5">
        <v>82</v>
      </c>
      <c r="C1955" s="5">
        <v>3</v>
      </c>
      <c r="D1955" s="379">
        <v>72.607222222222234</v>
      </c>
      <c r="E1955" s="25">
        <v>27.3</v>
      </c>
      <c r="F1955" s="379">
        <v>13.381352632487552</v>
      </c>
      <c r="G1955" s="25">
        <v>62.12</v>
      </c>
      <c r="H1955" s="379">
        <v>8.8631085682893538</v>
      </c>
      <c r="I1955" s="25">
        <v>843.72</v>
      </c>
      <c r="J1955" s="379">
        <v>5.8989248757694979</v>
      </c>
    </row>
    <row r="1956" spans="1:10" x14ac:dyDescent="0.35">
      <c r="A1956" s="5">
        <v>1952</v>
      </c>
      <c r="B1956" s="5">
        <v>82</v>
      </c>
      <c r="C1956" s="5">
        <v>3</v>
      </c>
      <c r="D1956" s="379">
        <v>76.834444444444443</v>
      </c>
      <c r="E1956" s="25">
        <v>31.4</v>
      </c>
      <c r="F1956" s="379">
        <v>8.1174834595959595</v>
      </c>
      <c r="G1956" s="25">
        <v>63.98</v>
      </c>
      <c r="H1956" s="379">
        <v>1.5972103137806957</v>
      </c>
      <c r="I1956" s="25">
        <v>869.03</v>
      </c>
      <c r="J1956" s="379">
        <v>4.5628650770384267</v>
      </c>
    </row>
    <row r="1957" spans="1:10" x14ac:dyDescent="0.35">
      <c r="A1957" s="5">
        <v>1953</v>
      </c>
      <c r="B1957" s="5">
        <v>82</v>
      </c>
      <c r="C1957" s="5">
        <v>3</v>
      </c>
      <c r="D1957" s="379">
        <v>73.206111111111113</v>
      </c>
      <c r="E1957" s="25">
        <v>35.869999999999997</v>
      </c>
      <c r="F1957" s="379">
        <v>13.80866648173529</v>
      </c>
      <c r="G1957" s="25">
        <v>63.98</v>
      </c>
      <c r="H1957" s="379">
        <v>0.14480167642852412</v>
      </c>
      <c r="I1957" s="25">
        <v>843.72</v>
      </c>
      <c r="J1957" s="379">
        <v>4.5838345641829692</v>
      </c>
    </row>
    <row r="1958" spans="1:10" x14ac:dyDescent="0.35">
      <c r="A1958" s="5">
        <v>1954</v>
      </c>
      <c r="B1958" s="5">
        <v>82</v>
      </c>
      <c r="C1958" s="5">
        <v>3</v>
      </c>
      <c r="D1958" s="379">
        <v>60.117777777777768</v>
      </c>
      <c r="E1958" s="25">
        <v>35.869999999999997</v>
      </c>
      <c r="F1958" s="379">
        <v>8.4477377824131104</v>
      </c>
      <c r="G1958" s="25">
        <v>62.12</v>
      </c>
      <c r="H1958" s="379">
        <v>4.6193294380051819</v>
      </c>
      <c r="I1958" s="25">
        <v>843.72</v>
      </c>
      <c r="J1958" s="379">
        <v>3.2908690237178546</v>
      </c>
    </row>
    <row r="1959" spans="1:10" x14ac:dyDescent="0.35">
      <c r="A1959" s="5">
        <v>1955</v>
      </c>
      <c r="B1959" s="5">
        <v>82</v>
      </c>
      <c r="C1959" s="5">
        <v>3</v>
      </c>
      <c r="D1959" s="379">
        <v>55.79944444444444</v>
      </c>
      <c r="E1959" s="25">
        <v>34.82</v>
      </c>
      <c r="F1959" s="379">
        <v>5.5427428871304736</v>
      </c>
      <c r="G1959" s="25">
        <v>60.51</v>
      </c>
      <c r="H1959" s="379">
        <v>2.6883903118600663</v>
      </c>
      <c r="I1959" s="25">
        <v>717.16</v>
      </c>
      <c r="J1959" s="379">
        <v>0.16733973316038889</v>
      </c>
    </row>
    <row r="1960" spans="1:10" x14ac:dyDescent="0.35">
      <c r="A1960" s="5">
        <v>1956</v>
      </c>
      <c r="B1960" s="5">
        <v>82</v>
      </c>
      <c r="C1960" s="5">
        <v>3</v>
      </c>
      <c r="D1960" s="379">
        <v>54.156111111111109</v>
      </c>
      <c r="E1960" s="25">
        <v>34.82</v>
      </c>
      <c r="F1960" s="379">
        <v>5.2227771448440237</v>
      </c>
      <c r="G1960" s="25">
        <v>60.51</v>
      </c>
      <c r="H1960" s="379">
        <v>2.6883903118600663</v>
      </c>
      <c r="I1960" s="25">
        <v>632.79</v>
      </c>
      <c r="J1960" s="379">
        <v>0.16733973316038886</v>
      </c>
    </row>
    <row r="1961" spans="1:10" x14ac:dyDescent="0.35">
      <c r="A1961" s="5">
        <v>1957</v>
      </c>
      <c r="B1961" s="5">
        <v>82</v>
      </c>
      <c r="C1961" s="5">
        <v>3</v>
      </c>
      <c r="D1961" s="379">
        <v>51.942777777777778</v>
      </c>
      <c r="E1961" s="25">
        <v>30.49</v>
      </c>
      <c r="F1961" s="379">
        <v>5.2227771448440237</v>
      </c>
      <c r="G1961" s="25">
        <v>60.51</v>
      </c>
      <c r="H1961" s="379">
        <v>2.6883903118600663</v>
      </c>
      <c r="I1961" s="25">
        <v>626.46</v>
      </c>
      <c r="J1961" s="379">
        <v>0.16733973316038886</v>
      </c>
    </row>
    <row r="1962" spans="1:10" x14ac:dyDescent="0.35">
      <c r="A1962" s="5">
        <v>1958</v>
      </c>
      <c r="B1962" s="5">
        <v>82</v>
      </c>
      <c r="C1962" s="5">
        <v>3</v>
      </c>
      <c r="D1962" s="379">
        <v>52.488888888888887</v>
      </c>
      <c r="E1962" s="25">
        <v>34.82</v>
      </c>
      <c r="F1962" s="379">
        <v>5.0643065312006845</v>
      </c>
      <c r="G1962" s="25">
        <v>60.51</v>
      </c>
      <c r="H1962" s="379">
        <v>2.6642118412505487</v>
      </c>
      <c r="I1962" s="25">
        <v>632.79</v>
      </c>
      <c r="J1962" s="379">
        <v>0.10944373081995976</v>
      </c>
    </row>
    <row r="1963" spans="1:10" x14ac:dyDescent="0.35">
      <c r="A1963" s="5">
        <v>1959</v>
      </c>
      <c r="B1963" s="5">
        <v>82</v>
      </c>
      <c r="C1963" s="5">
        <v>3</v>
      </c>
      <c r="D1963" s="379">
        <v>54.481666666666662</v>
      </c>
      <c r="E1963" s="25">
        <v>34.82</v>
      </c>
      <c r="F1963" s="379">
        <v>5.2227771448440237</v>
      </c>
      <c r="G1963" s="25">
        <v>60.51</v>
      </c>
      <c r="H1963" s="379">
        <v>2.6767945038658825</v>
      </c>
      <c r="I1963" s="25">
        <v>632.79</v>
      </c>
      <c r="J1963" s="379">
        <v>0.10944373081995976</v>
      </c>
    </row>
    <row r="1964" spans="1:10" x14ac:dyDescent="0.35">
      <c r="A1964" s="5">
        <v>1960</v>
      </c>
      <c r="B1964" s="5">
        <v>82</v>
      </c>
      <c r="C1964" s="5">
        <v>3</v>
      </c>
      <c r="D1964" s="379">
        <v>57.010555555555555</v>
      </c>
      <c r="E1964" s="25">
        <v>35.869999999999997</v>
      </c>
      <c r="F1964" s="379">
        <v>8.1174834595959595</v>
      </c>
      <c r="G1964" s="25">
        <v>60.51</v>
      </c>
      <c r="H1964" s="379">
        <v>2.9386604737329844</v>
      </c>
      <c r="I1964" s="25">
        <v>717.16</v>
      </c>
      <c r="J1964" s="379">
        <v>0.16733973316038886</v>
      </c>
    </row>
    <row r="1965" spans="1:10" x14ac:dyDescent="0.35">
      <c r="A1965" s="5">
        <v>1961</v>
      </c>
      <c r="B1965" s="5">
        <v>82</v>
      </c>
      <c r="C1965" s="5">
        <v>3</v>
      </c>
      <c r="D1965" s="379">
        <v>60.145555555555546</v>
      </c>
      <c r="E1965" s="25">
        <v>35.869999999999997</v>
      </c>
      <c r="F1965" s="379">
        <v>9.0152436298703158</v>
      </c>
      <c r="G1965" s="25">
        <v>62.12</v>
      </c>
      <c r="H1965" s="379">
        <v>5.4946978455705517</v>
      </c>
      <c r="I1965" s="25">
        <v>843.72</v>
      </c>
      <c r="J1965" s="379">
        <v>4.9409744006129701</v>
      </c>
    </row>
    <row r="1966" spans="1:10" x14ac:dyDescent="0.35">
      <c r="A1966" s="5">
        <v>1962</v>
      </c>
      <c r="B1966" s="5">
        <v>82</v>
      </c>
      <c r="C1966" s="5">
        <v>3</v>
      </c>
      <c r="D1966" s="379">
        <v>68.106111111111119</v>
      </c>
      <c r="E1966" s="25">
        <v>35.869999999999997</v>
      </c>
      <c r="F1966" s="379">
        <v>21.225574391413385</v>
      </c>
      <c r="G1966" s="25">
        <v>62.12</v>
      </c>
      <c r="H1966" s="379">
        <v>19.631047988127605</v>
      </c>
      <c r="I1966" s="25">
        <v>843.72</v>
      </c>
      <c r="J1966" s="379">
        <v>7.3194499600667857</v>
      </c>
    </row>
    <row r="1967" spans="1:10" x14ac:dyDescent="0.35">
      <c r="A1967" s="5">
        <v>1963</v>
      </c>
      <c r="B1967" s="5">
        <v>82</v>
      </c>
      <c r="C1967" s="5">
        <v>3</v>
      </c>
      <c r="D1967" s="379">
        <v>76.322777777777773</v>
      </c>
      <c r="E1967" s="25">
        <v>35.869999999999997</v>
      </c>
      <c r="F1967" s="379">
        <v>23.175622621263777</v>
      </c>
      <c r="G1967" s="25">
        <v>65.739999999999995</v>
      </c>
      <c r="H1967" s="379">
        <v>28.059243553280879</v>
      </c>
      <c r="I1967" s="25">
        <v>869.03</v>
      </c>
      <c r="J1967" s="379">
        <v>8.0708874860250521</v>
      </c>
    </row>
    <row r="1968" spans="1:10" x14ac:dyDescent="0.35">
      <c r="A1968" s="5">
        <v>1964</v>
      </c>
      <c r="B1968" s="5">
        <v>82</v>
      </c>
      <c r="C1968" s="5">
        <v>3</v>
      </c>
      <c r="D1968" s="379">
        <v>81.832777777777764</v>
      </c>
      <c r="E1968" s="25">
        <v>36.94</v>
      </c>
      <c r="F1968" s="379">
        <v>19.726863097156169</v>
      </c>
      <c r="G1968" s="25">
        <v>819.14</v>
      </c>
      <c r="H1968" s="379">
        <v>26.549741664076695</v>
      </c>
      <c r="I1968" s="25">
        <v>869.03</v>
      </c>
      <c r="J1968" s="379">
        <v>8.6865020477117429</v>
      </c>
    </row>
    <row r="1969" spans="1:10" x14ac:dyDescent="0.35">
      <c r="A1969" s="5">
        <v>1965</v>
      </c>
      <c r="B1969" s="5">
        <v>82</v>
      </c>
      <c r="C1969" s="5">
        <v>3</v>
      </c>
      <c r="D1969" s="379">
        <v>71.786666666666648</v>
      </c>
      <c r="E1969" s="25">
        <v>35.869999999999997</v>
      </c>
      <c r="F1969" s="379">
        <v>23.097704192276375</v>
      </c>
      <c r="G1969" s="25">
        <v>65.739999999999995</v>
      </c>
      <c r="H1969" s="379">
        <v>28.170004934980078</v>
      </c>
      <c r="I1969" s="25">
        <v>869.03</v>
      </c>
      <c r="J1969" s="379">
        <v>10.582624546099945</v>
      </c>
    </row>
    <row r="1970" spans="1:10" x14ac:dyDescent="0.35">
      <c r="A1970" s="5">
        <v>1966</v>
      </c>
      <c r="B1970" s="5">
        <v>82</v>
      </c>
      <c r="C1970" s="5">
        <v>3</v>
      </c>
      <c r="D1970" s="379">
        <v>65.848333333333343</v>
      </c>
      <c r="E1970" s="25">
        <v>34.82</v>
      </c>
      <c r="F1970" s="379">
        <v>22.901887582140557</v>
      </c>
      <c r="G1970" s="25">
        <v>62.12</v>
      </c>
      <c r="H1970" s="379">
        <v>23.732586133240794</v>
      </c>
      <c r="I1970" s="25">
        <v>843.72</v>
      </c>
      <c r="J1970" s="379">
        <v>9.6364551079647658</v>
      </c>
    </row>
    <row r="1971" spans="1:10" x14ac:dyDescent="0.35">
      <c r="A1971" s="5">
        <v>1967</v>
      </c>
      <c r="B1971" s="5">
        <v>82</v>
      </c>
      <c r="C1971" s="5">
        <v>3</v>
      </c>
      <c r="D1971" s="379">
        <v>62.250555555555557</v>
      </c>
      <c r="E1971" s="25">
        <v>34.82</v>
      </c>
      <c r="F1971" s="379">
        <v>21.211240814870216</v>
      </c>
      <c r="G1971" s="25">
        <v>62.12</v>
      </c>
      <c r="H1971" s="379">
        <v>26.235808996926885</v>
      </c>
      <c r="I1971" s="25">
        <v>843.72</v>
      </c>
      <c r="J1971" s="379">
        <v>6.7252951350726082</v>
      </c>
    </row>
    <row r="1972" spans="1:10" x14ac:dyDescent="0.35">
      <c r="A1972" s="5">
        <v>1968</v>
      </c>
      <c r="B1972" s="5">
        <v>82</v>
      </c>
      <c r="C1972" s="5">
        <v>3</v>
      </c>
      <c r="D1972" s="379">
        <v>59.270555555555546</v>
      </c>
      <c r="E1972" s="25">
        <v>34.82</v>
      </c>
      <c r="F1972" s="379">
        <v>17.439688689812936</v>
      </c>
      <c r="G1972" s="25">
        <v>60.51</v>
      </c>
      <c r="H1972" s="379">
        <v>30.307807451058135</v>
      </c>
      <c r="I1972" s="25">
        <v>783.66</v>
      </c>
      <c r="J1972" s="379">
        <v>11.42840277238726</v>
      </c>
    </row>
    <row r="1973" spans="1:10" x14ac:dyDescent="0.35">
      <c r="A1973" s="5">
        <v>1969</v>
      </c>
      <c r="B1973" s="5">
        <v>83</v>
      </c>
      <c r="C1973" s="5">
        <v>3</v>
      </c>
      <c r="D1973" s="379">
        <v>57.093333333333327</v>
      </c>
      <c r="E1973" s="25">
        <v>28.37</v>
      </c>
      <c r="F1973" s="379">
        <v>19.090054910310872</v>
      </c>
      <c r="G1973" s="25">
        <v>60.51</v>
      </c>
      <c r="H1973" s="379">
        <v>30.831961649700705</v>
      </c>
      <c r="I1973" s="25">
        <v>835.28</v>
      </c>
      <c r="J1973" s="379">
        <v>9.8161616532424461</v>
      </c>
    </row>
    <row r="1974" spans="1:10" x14ac:dyDescent="0.35">
      <c r="A1974" s="5">
        <v>1970</v>
      </c>
      <c r="B1974" s="5">
        <v>83</v>
      </c>
      <c r="C1974" s="5">
        <v>3</v>
      </c>
      <c r="D1974" s="379">
        <v>56.437777777777775</v>
      </c>
      <c r="E1974" s="25">
        <v>26.51</v>
      </c>
      <c r="F1974" s="379">
        <v>17.390441656913797</v>
      </c>
      <c r="G1974" s="25">
        <v>55.88</v>
      </c>
      <c r="H1974" s="379">
        <v>28.530864511880857</v>
      </c>
      <c r="I1974" s="25">
        <v>835.28</v>
      </c>
      <c r="J1974" s="379">
        <v>12.115579126425942</v>
      </c>
    </row>
    <row r="1975" spans="1:10" x14ac:dyDescent="0.35">
      <c r="A1975" s="5">
        <v>1971</v>
      </c>
      <c r="B1975" s="5">
        <v>83</v>
      </c>
      <c r="C1975" s="5">
        <v>3</v>
      </c>
      <c r="D1975" s="379">
        <v>56.108333333333334</v>
      </c>
      <c r="E1975" s="25">
        <v>25.82</v>
      </c>
      <c r="F1975" s="379">
        <v>19.194235360470675</v>
      </c>
      <c r="G1975" s="25">
        <v>55.88</v>
      </c>
      <c r="H1975" s="379">
        <v>27.680702104402886</v>
      </c>
      <c r="I1975" s="25">
        <v>760.84</v>
      </c>
      <c r="J1975" s="379">
        <v>8.351067275375188</v>
      </c>
    </row>
    <row r="1976" spans="1:10" x14ac:dyDescent="0.35">
      <c r="A1976" s="5">
        <v>1972</v>
      </c>
      <c r="B1976" s="5">
        <v>83</v>
      </c>
      <c r="C1976" s="5">
        <v>3</v>
      </c>
      <c r="D1976" s="379">
        <v>56.092222222222226</v>
      </c>
      <c r="E1976" s="25">
        <v>25.74</v>
      </c>
      <c r="F1976" s="379">
        <v>21.6813537561221</v>
      </c>
      <c r="G1976" s="25">
        <v>55.88</v>
      </c>
      <c r="H1976" s="379">
        <v>29.100230563699064</v>
      </c>
      <c r="I1976" s="25">
        <v>760.84</v>
      </c>
      <c r="J1976" s="379">
        <v>10.724525344401171</v>
      </c>
    </row>
    <row r="1977" spans="1:10" x14ac:dyDescent="0.35">
      <c r="A1977" s="5">
        <v>1973</v>
      </c>
      <c r="B1977" s="5">
        <v>83</v>
      </c>
      <c r="C1977" s="5">
        <v>3</v>
      </c>
      <c r="D1977" s="379">
        <v>55.871111111111119</v>
      </c>
      <c r="E1977" s="25">
        <v>26.35</v>
      </c>
      <c r="F1977" s="379">
        <v>21.605258399987218</v>
      </c>
      <c r="G1977" s="25">
        <v>57.04</v>
      </c>
      <c r="H1977" s="379">
        <v>29.423077986565186</v>
      </c>
      <c r="I1977" s="25">
        <v>835.28</v>
      </c>
      <c r="J1977" s="379">
        <v>8.6959092321704627</v>
      </c>
    </row>
    <row r="1978" spans="1:10" x14ac:dyDescent="0.35">
      <c r="A1978" s="5">
        <v>1974</v>
      </c>
      <c r="B1978" s="5">
        <v>83</v>
      </c>
      <c r="C1978" s="5">
        <v>3</v>
      </c>
      <c r="D1978" s="379">
        <v>59.708333333333329</v>
      </c>
      <c r="E1978" s="25">
        <v>27.3</v>
      </c>
      <c r="F1978" s="379">
        <v>19.959990993989322</v>
      </c>
      <c r="G1978" s="25">
        <v>60.51</v>
      </c>
      <c r="H1978" s="379">
        <v>25.543080213680337</v>
      </c>
      <c r="I1978" s="25">
        <v>843.72</v>
      </c>
      <c r="J1978" s="379">
        <v>10.290994212723337</v>
      </c>
    </row>
    <row r="1979" spans="1:10" x14ac:dyDescent="0.35">
      <c r="A1979" s="5">
        <v>1975</v>
      </c>
      <c r="B1979" s="5">
        <v>83</v>
      </c>
      <c r="C1979" s="5">
        <v>3</v>
      </c>
      <c r="D1979" s="379">
        <v>68.166111111111107</v>
      </c>
      <c r="E1979" s="25">
        <v>28.37</v>
      </c>
      <c r="F1979" s="379">
        <v>19.428431877011999</v>
      </c>
      <c r="G1979" s="25">
        <v>62.12</v>
      </c>
      <c r="H1979" s="379">
        <v>24.388078539961203</v>
      </c>
      <c r="I1979" s="25">
        <v>869.03</v>
      </c>
      <c r="J1979" s="379">
        <v>6.7610674789030671</v>
      </c>
    </row>
    <row r="1980" spans="1:10" x14ac:dyDescent="0.35">
      <c r="A1980" s="5">
        <v>1976</v>
      </c>
      <c r="B1980" s="5">
        <v>83</v>
      </c>
      <c r="C1980" s="5">
        <v>3</v>
      </c>
      <c r="D1980" s="379">
        <v>71.507222222222239</v>
      </c>
      <c r="E1980" s="25">
        <v>35.869999999999997</v>
      </c>
      <c r="F1980" s="379">
        <v>14.043305377919909</v>
      </c>
      <c r="G1980" s="25">
        <v>62.12</v>
      </c>
      <c r="H1980" s="379">
        <v>7.4897935248849032</v>
      </c>
      <c r="I1980" s="25">
        <v>869.03</v>
      </c>
      <c r="J1980" s="379">
        <v>6.6342958981708993</v>
      </c>
    </row>
    <row r="1981" spans="1:10" x14ac:dyDescent="0.35">
      <c r="A1981" s="5">
        <v>1977</v>
      </c>
      <c r="B1981" s="5">
        <v>83</v>
      </c>
      <c r="C1981" s="5">
        <v>3</v>
      </c>
      <c r="D1981" s="379">
        <v>69.434444444444438</v>
      </c>
      <c r="E1981" s="25">
        <v>35.869999999999997</v>
      </c>
      <c r="F1981" s="379">
        <v>8.1174834595959595</v>
      </c>
      <c r="G1981" s="25">
        <v>64.2</v>
      </c>
      <c r="H1981" s="379">
        <v>7.9366623214676508</v>
      </c>
      <c r="I1981" s="25">
        <v>869.03</v>
      </c>
      <c r="J1981" s="379">
        <v>6.1514537407094156</v>
      </c>
    </row>
    <row r="1982" spans="1:10" x14ac:dyDescent="0.35">
      <c r="A1982" s="5">
        <v>1978</v>
      </c>
      <c r="B1982" s="5">
        <v>83</v>
      </c>
      <c r="C1982" s="5">
        <v>3</v>
      </c>
      <c r="D1982" s="379">
        <v>58.464444444444439</v>
      </c>
      <c r="E1982" s="25">
        <v>35.869999999999997</v>
      </c>
      <c r="F1982" s="379">
        <v>8.1174834595959595</v>
      </c>
      <c r="G1982" s="25">
        <v>63.98</v>
      </c>
      <c r="H1982" s="379">
        <v>7.4897935248849032</v>
      </c>
      <c r="I1982" s="25">
        <v>869.03</v>
      </c>
      <c r="J1982" s="379">
        <v>6.725446965880689</v>
      </c>
    </row>
    <row r="1983" spans="1:10" x14ac:dyDescent="0.35">
      <c r="A1983" s="5">
        <v>1979</v>
      </c>
      <c r="B1983" s="5">
        <v>83</v>
      </c>
      <c r="C1983" s="5">
        <v>3</v>
      </c>
      <c r="D1983" s="379">
        <v>52.948888888888881</v>
      </c>
      <c r="E1983" s="25">
        <v>35.869999999999997</v>
      </c>
      <c r="F1983" s="379">
        <v>8.1174834595959595</v>
      </c>
      <c r="G1983" s="25">
        <v>62.12</v>
      </c>
      <c r="H1983" s="379">
        <v>7.9177221865455119</v>
      </c>
      <c r="I1983" s="25">
        <v>843.72</v>
      </c>
      <c r="J1983" s="379">
        <v>6.7363673939369697</v>
      </c>
    </row>
    <row r="1984" spans="1:10" x14ac:dyDescent="0.35">
      <c r="A1984" s="5">
        <v>1980</v>
      </c>
      <c r="B1984" s="5">
        <v>83</v>
      </c>
      <c r="C1984" s="5">
        <v>3</v>
      </c>
      <c r="D1984" s="379">
        <v>52.792222222222222</v>
      </c>
      <c r="E1984" s="25">
        <v>35.869999999999997</v>
      </c>
      <c r="F1984" s="379">
        <v>7.9447926314525876</v>
      </c>
      <c r="G1984" s="25">
        <v>62.12</v>
      </c>
      <c r="H1984" s="379">
        <v>7.7433361127067837</v>
      </c>
      <c r="I1984" s="25">
        <v>843.72</v>
      </c>
      <c r="J1984" s="379">
        <v>5.6800302265198503</v>
      </c>
    </row>
    <row r="1985" spans="1:10" x14ac:dyDescent="0.35">
      <c r="A1985" s="5">
        <v>1981</v>
      </c>
      <c r="B1985" s="5">
        <v>83</v>
      </c>
      <c r="C1985" s="5">
        <v>3</v>
      </c>
      <c r="D1985" s="379">
        <v>53.036111111111111</v>
      </c>
      <c r="E1985" s="25">
        <v>35.869999999999997</v>
      </c>
      <c r="F1985" s="379">
        <v>8.1174834595959595</v>
      </c>
      <c r="G1985" s="25">
        <v>62.12</v>
      </c>
      <c r="H1985" s="379">
        <v>7.685550258832742</v>
      </c>
      <c r="I1985" s="25">
        <v>843.72</v>
      </c>
      <c r="J1985" s="379">
        <v>6.0754449452883907</v>
      </c>
    </row>
    <row r="1986" spans="1:10" x14ac:dyDescent="0.35">
      <c r="A1986" s="5">
        <v>1982</v>
      </c>
      <c r="B1986" s="5">
        <v>83</v>
      </c>
      <c r="C1986" s="5">
        <v>3</v>
      </c>
      <c r="D1986" s="379">
        <v>52.47</v>
      </c>
      <c r="E1986" s="25">
        <v>35.869999999999997</v>
      </c>
      <c r="F1986" s="379">
        <v>8.1174834595959613</v>
      </c>
      <c r="G1986" s="25">
        <v>62.12</v>
      </c>
      <c r="H1986" s="379">
        <v>9.4429585691107043</v>
      </c>
      <c r="I1986" s="25">
        <v>843.72</v>
      </c>
      <c r="J1986" s="379">
        <v>6.7607757041445211</v>
      </c>
    </row>
    <row r="1987" spans="1:10" x14ac:dyDescent="0.35">
      <c r="A1987" s="5">
        <v>1983</v>
      </c>
      <c r="B1987" s="5">
        <v>83</v>
      </c>
      <c r="C1987" s="5">
        <v>3</v>
      </c>
      <c r="D1987" s="379">
        <v>54.112777777777772</v>
      </c>
      <c r="E1987" s="25">
        <v>35.869999999999997</v>
      </c>
      <c r="F1987" s="379">
        <v>9.1196096201429011</v>
      </c>
      <c r="G1987" s="25">
        <v>63.98</v>
      </c>
      <c r="H1987" s="379">
        <v>8.0915422626397913</v>
      </c>
      <c r="I1987" s="25">
        <v>843.72</v>
      </c>
      <c r="J1987" s="379">
        <v>7.3261716154928269</v>
      </c>
    </row>
    <row r="1988" spans="1:10" x14ac:dyDescent="0.35">
      <c r="A1988" s="5">
        <v>1984</v>
      </c>
      <c r="B1988" s="5">
        <v>83</v>
      </c>
      <c r="C1988" s="5">
        <v>3</v>
      </c>
      <c r="D1988" s="379">
        <v>57.201111111111103</v>
      </c>
      <c r="E1988" s="25">
        <v>35.869999999999997</v>
      </c>
      <c r="F1988" s="379">
        <v>16.190087344878165</v>
      </c>
      <c r="G1988" s="25">
        <v>63.98</v>
      </c>
      <c r="H1988" s="379">
        <v>8.0301367887434516</v>
      </c>
      <c r="I1988" s="25">
        <v>843.72</v>
      </c>
      <c r="J1988" s="379">
        <v>7.2837367070892114</v>
      </c>
    </row>
    <row r="1989" spans="1:10" x14ac:dyDescent="0.35">
      <c r="A1989" s="5">
        <v>1985</v>
      </c>
      <c r="B1989" s="5">
        <v>83</v>
      </c>
      <c r="C1989" s="5">
        <v>3</v>
      </c>
      <c r="D1989" s="379">
        <v>61.064444444444447</v>
      </c>
      <c r="E1989" s="25">
        <v>35.869999999999997</v>
      </c>
      <c r="F1989" s="379">
        <v>17.200538671060528</v>
      </c>
      <c r="G1989" s="25">
        <v>64.2</v>
      </c>
      <c r="H1989" s="379">
        <v>17.754779021423857</v>
      </c>
      <c r="I1989" s="25">
        <v>843.72</v>
      </c>
      <c r="J1989" s="379">
        <v>6.9733032508181854</v>
      </c>
    </row>
    <row r="1990" spans="1:10" x14ac:dyDescent="0.35">
      <c r="A1990" s="5">
        <v>1986</v>
      </c>
      <c r="B1990" s="5">
        <v>83</v>
      </c>
      <c r="C1990" s="5">
        <v>3</v>
      </c>
      <c r="D1990" s="379">
        <v>67.558888888888902</v>
      </c>
      <c r="E1990" s="25">
        <v>35.869999999999997</v>
      </c>
      <c r="F1990" s="379">
        <v>28.322501454301946</v>
      </c>
      <c r="G1990" s="25">
        <v>65.739999999999995</v>
      </c>
      <c r="H1990" s="379">
        <v>22.460641645317697</v>
      </c>
      <c r="I1990" s="25">
        <v>843.72</v>
      </c>
      <c r="J1990" s="379">
        <v>7.8718314348013276</v>
      </c>
    </row>
    <row r="1991" spans="1:10" x14ac:dyDescent="0.35">
      <c r="A1991" s="5">
        <v>1987</v>
      </c>
      <c r="B1991" s="5">
        <v>83</v>
      </c>
      <c r="C1991" s="5">
        <v>3</v>
      </c>
      <c r="D1991" s="379">
        <v>75.554444444444442</v>
      </c>
      <c r="E1991" s="25">
        <v>36.94</v>
      </c>
      <c r="F1991" s="379">
        <v>138.88888888888889</v>
      </c>
      <c r="G1991" s="25">
        <v>819.14</v>
      </c>
      <c r="H1991" s="379">
        <v>21.316258474411605</v>
      </c>
      <c r="I1991" s="25">
        <v>869.03</v>
      </c>
      <c r="J1991" s="379">
        <v>8.0678932296531016</v>
      </c>
    </row>
    <row r="1992" spans="1:10" x14ac:dyDescent="0.35">
      <c r="A1992" s="5">
        <v>1988</v>
      </c>
      <c r="B1992" s="5">
        <v>83</v>
      </c>
      <c r="C1992" s="5">
        <v>3</v>
      </c>
      <c r="D1992" s="379">
        <v>80.360555555555564</v>
      </c>
      <c r="E1992" s="25">
        <v>37.090000000000003</v>
      </c>
      <c r="F1992" s="379">
        <v>21.204540200833087</v>
      </c>
      <c r="G1992" s="25">
        <v>843.72</v>
      </c>
      <c r="H1992" s="379">
        <v>19.283851607770366</v>
      </c>
      <c r="I1992" s="25">
        <v>869.03</v>
      </c>
      <c r="J1992" s="379">
        <v>7.9472759154318204</v>
      </c>
    </row>
    <row r="1993" spans="1:10" x14ac:dyDescent="0.35">
      <c r="A1993" s="5">
        <v>1989</v>
      </c>
      <c r="B1993" s="5">
        <v>83</v>
      </c>
      <c r="C1993" s="5">
        <v>3</v>
      </c>
      <c r="D1993" s="379">
        <v>69.538888888888891</v>
      </c>
      <c r="E1993" s="25">
        <v>35.869999999999997</v>
      </c>
      <c r="F1993" s="379">
        <v>25.769709875883237</v>
      </c>
      <c r="G1993" s="25">
        <v>65.739999999999995</v>
      </c>
      <c r="H1993" s="379">
        <v>23.446697836592438</v>
      </c>
      <c r="I1993" s="25">
        <v>869.03</v>
      </c>
      <c r="J1993" s="379">
        <v>7.3388536260523836</v>
      </c>
    </row>
    <row r="1994" spans="1:10" x14ac:dyDescent="0.35">
      <c r="A1994" s="5">
        <v>1990</v>
      </c>
      <c r="B1994" s="5">
        <v>83</v>
      </c>
      <c r="C1994" s="5">
        <v>3</v>
      </c>
      <c r="D1994" s="379">
        <v>63.382222222222225</v>
      </c>
      <c r="E1994" s="25">
        <v>34.82</v>
      </c>
      <c r="F1994" s="379">
        <v>29.871454765127595</v>
      </c>
      <c r="G1994" s="25">
        <v>62.12</v>
      </c>
      <c r="H1994" s="379">
        <v>21.702363315043016</v>
      </c>
      <c r="I1994" s="25">
        <v>869.03</v>
      </c>
      <c r="J1994" s="379">
        <v>7.4281907116803794</v>
      </c>
    </row>
    <row r="1995" spans="1:10" x14ac:dyDescent="0.35">
      <c r="A1995" s="5">
        <v>1991</v>
      </c>
      <c r="B1995" s="5">
        <v>83</v>
      </c>
      <c r="C1995" s="5">
        <v>3</v>
      </c>
      <c r="D1995" s="379">
        <v>60.580000000000005</v>
      </c>
      <c r="E1995" s="25">
        <v>34.82</v>
      </c>
      <c r="F1995" s="379">
        <v>27.213255234368539</v>
      </c>
      <c r="G1995" s="25">
        <v>62.12</v>
      </c>
      <c r="H1995" s="379">
        <v>21.126849256282654</v>
      </c>
      <c r="I1995" s="25">
        <v>869.03</v>
      </c>
      <c r="J1995" s="379">
        <v>7.5992586030869527</v>
      </c>
    </row>
    <row r="1996" spans="1:10" x14ac:dyDescent="0.35">
      <c r="A1996" s="5">
        <v>1992</v>
      </c>
      <c r="B1996" s="5">
        <v>83</v>
      </c>
      <c r="C1996" s="5">
        <v>3</v>
      </c>
      <c r="D1996" s="379">
        <v>58.86055555555555</v>
      </c>
      <c r="E1996" s="25">
        <v>34.82</v>
      </c>
      <c r="F1996" s="379">
        <v>20.81741959365732</v>
      </c>
      <c r="G1996" s="25">
        <v>62.12</v>
      </c>
      <c r="H1996" s="379">
        <v>20.594978697839569</v>
      </c>
      <c r="I1996" s="25">
        <v>860.34</v>
      </c>
      <c r="J1996" s="379">
        <v>7.5445325623337158</v>
      </c>
    </row>
    <row r="1997" spans="1:10" x14ac:dyDescent="0.35">
      <c r="A1997" s="5">
        <v>1993</v>
      </c>
      <c r="B1997" s="5">
        <v>84</v>
      </c>
      <c r="C1997" s="5">
        <v>3</v>
      </c>
      <c r="D1997" s="379">
        <v>62.453333333333319</v>
      </c>
      <c r="E1997" s="25">
        <v>27.3</v>
      </c>
      <c r="F1997" s="379">
        <v>19.702408005999072</v>
      </c>
      <c r="G1997" s="25">
        <v>55.9</v>
      </c>
      <c r="H1997" s="379">
        <v>21.38167759635294</v>
      </c>
      <c r="I1997" s="25">
        <v>180.93</v>
      </c>
      <c r="J1997" s="379">
        <v>7.4569086373665465</v>
      </c>
    </row>
    <row r="1998" spans="1:10" x14ac:dyDescent="0.35">
      <c r="A1998" s="5">
        <v>1994</v>
      </c>
      <c r="B1998" s="5">
        <v>84</v>
      </c>
      <c r="C1998" s="5">
        <v>3</v>
      </c>
      <c r="D1998" s="379">
        <v>60.231111111111119</v>
      </c>
      <c r="E1998" s="25">
        <v>25.74</v>
      </c>
      <c r="F1998" s="379">
        <v>19.277160493550568</v>
      </c>
      <c r="G1998" s="25">
        <v>53.23</v>
      </c>
      <c r="H1998" s="379">
        <v>21.399365451976102</v>
      </c>
      <c r="I1998" s="25">
        <v>180.93</v>
      </c>
      <c r="J1998" s="379">
        <v>7.5382517363301291</v>
      </c>
    </row>
    <row r="1999" spans="1:10" x14ac:dyDescent="0.35">
      <c r="A1999" s="5">
        <v>1995</v>
      </c>
      <c r="B1999" s="5">
        <v>84</v>
      </c>
      <c r="C1999" s="5">
        <v>3</v>
      </c>
      <c r="D1999" s="379">
        <v>58.805</v>
      </c>
      <c r="E1999" s="25">
        <v>25.59</v>
      </c>
      <c r="F1999" s="379">
        <v>19.755822901956538</v>
      </c>
      <c r="G1999" s="25">
        <v>51.44</v>
      </c>
      <c r="H1999" s="379">
        <v>22.6426892942618</v>
      </c>
      <c r="I1999" s="25">
        <v>179.12</v>
      </c>
      <c r="J1999" s="379">
        <v>7.3849374255214624</v>
      </c>
    </row>
    <row r="2000" spans="1:10" x14ac:dyDescent="0.35">
      <c r="A2000" s="5">
        <v>1996</v>
      </c>
      <c r="B2000" s="5">
        <v>84</v>
      </c>
      <c r="C2000" s="5">
        <v>3</v>
      </c>
      <c r="D2000" s="379">
        <v>58.36388888888888</v>
      </c>
      <c r="E2000" s="25">
        <v>24.84</v>
      </c>
      <c r="F2000" s="379">
        <v>20.092998523548601</v>
      </c>
      <c r="G2000" s="25">
        <v>51.44</v>
      </c>
      <c r="H2000" s="379">
        <v>22.885403248442536</v>
      </c>
      <c r="I2000" s="25">
        <v>179.12</v>
      </c>
      <c r="J2000" s="379">
        <v>7.2982681816493615</v>
      </c>
    </row>
    <row r="2001" spans="1:10" x14ac:dyDescent="0.35">
      <c r="A2001" s="5">
        <v>1997</v>
      </c>
      <c r="B2001" s="5">
        <v>84</v>
      </c>
      <c r="C2001" s="5">
        <v>3</v>
      </c>
      <c r="D2001" s="379">
        <v>57.391666666666659</v>
      </c>
      <c r="E2001" s="25">
        <v>24.84</v>
      </c>
      <c r="F2001" s="379">
        <v>20.273171067477673</v>
      </c>
      <c r="G2001" s="25">
        <v>51.44</v>
      </c>
      <c r="H2001" s="379">
        <v>18.003607010122803</v>
      </c>
      <c r="I2001" s="25">
        <v>179.12</v>
      </c>
      <c r="J2001" s="379">
        <v>7.1808840344492086</v>
      </c>
    </row>
    <row r="2002" spans="1:10" x14ac:dyDescent="0.35">
      <c r="A2002" s="5">
        <v>1998</v>
      </c>
      <c r="B2002" s="5">
        <v>84</v>
      </c>
      <c r="C2002" s="5">
        <v>3</v>
      </c>
      <c r="D2002" s="379">
        <v>62.991111111111103</v>
      </c>
      <c r="E2002" s="25">
        <v>25.74</v>
      </c>
      <c r="F2002" s="379">
        <v>20.276578376346333</v>
      </c>
      <c r="G2002" s="25">
        <v>53.23</v>
      </c>
      <c r="H2002" s="379">
        <v>18.625868367939152</v>
      </c>
      <c r="I2002" s="25">
        <v>180.93</v>
      </c>
      <c r="J2002" s="379">
        <v>6.8551591698263605</v>
      </c>
    </row>
    <row r="2003" spans="1:10" x14ac:dyDescent="0.35">
      <c r="A2003" s="5">
        <v>1999</v>
      </c>
      <c r="B2003" s="5">
        <v>84</v>
      </c>
      <c r="C2003" s="5">
        <v>3</v>
      </c>
      <c r="D2003" s="379">
        <v>71.646111111111111</v>
      </c>
      <c r="E2003" s="25">
        <v>26.51</v>
      </c>
      <c r="F2003" s="379">
        <v>20.962984973535672</v>
      </c>
      <c r="G2003" s="25">
        <v>57.04</v>
      </c>
      <c r="H2003" s="379">
        <v>16.76580255866439</v>
      </c>
      <c r="I2003" s="25">
        <v>212.86</v>
      </c>
      <c r="J2003" s="379">
        <v>6.6762164331333711</v>
      </c>
    </row>
    <row r="2004" spans="1:10" x14ac:dyDescent="0.35">
      <c r="A2004" s="5">
        <v>2000</v>
      </c>
      <c r="B2004" s="5">
        <v>84</v>
      </c>
      <c r="C2004" s="5">
        <v>3</v>
      </c>
      <c r="D2004" s="379">
        <v>75.364999999999995</v>
      </c>
      <c r="E2004" s="25">
        <v>28.12</v>
      </c>
      <c r="F2004" s="379">
        <v>20.726387070623492</v>
      </c>
      <c r="G2004" s="25">
        <v>60.51</v>
      </c>
      <c r="H2004" s="379">
        <v>14.675278251797492</v>
      </c>
      <c r="I2004" s="25">
        <v>605.32000000000005</v>
      </c>
      <c r="J2004" s="379">
        <v>6.7873142995524205</v>
      </c>
    </row>
    <row r="2005" spans="1:10" x14ac:dyDescent="0.35">
      <c r="A2005" s="5">
        <v>2001</v>
      </c>
      <c r="B2005" s="5">
        <v>84</v>
      </c>
      <c r="C2005" s="5">
        <v>3</v>
      </c>
      <c r="D2005" s="379">
        <v>67.369444444444454</v>
      </c>
      <c r="E2005" s="25">
        <v>28.12</v>
      </c>
      <c r="F2005" s="379">
        <v>12.741680026646478</v>
      </c>
      <c r="G2005" s="25">
        <v>60.51</v>
      </c>
      <c r="H2005" s="379">
        <v>11.087602400079611</v>
      </c>
      <c r="I2005" s="25">
        <v>619.35</v>
      </c>
      <c r="J2005" s="379">
        <v>6.6762164331333711</v>
      </c>
    </row>
    <row r="2006" spans="1:10" x14ac:dyDescent="0.35">
      <c r="A2006" s="5">
        <v>2002</v>
      </c>
      <c r="B2006" s="5">
        <v>84</v>
      </c>
      <c r="C2006" s="5">
        <v>3</v>
      </c>
      <c r="D2006" s="379">
        <v>60.683888888888887</v>
      </c>
      <c r="E2006" s="25">
        <v>28.12</v>
      </c>
      <c r="F2006" s="379">
        <v>10.931649351792847</v>
      </c>
      <c r="G2006" s="25">
        <v>60.51</v>
      </c>
      <c r="H2006" s="379">
        <v>3.785827376690464</v>
      </c>
      <c r="I2006" s="25">
        <v>212.86</v>
      </c>
      <c r="J2006" s="379">
        <v>0.66258892502308797</v>
      </c>
    </row>
    <row r="2007" spans="1:10" x14ac:dyDescent="0.35">
      <c r="A2007" s="5">
        <v>2003</v>
      </c>
      <c r="B2007" s="5">
        <v>84</v>
      </c>
      <c r="C2007" s="5">
        <v>3</v>
      </c>
      <c r="D2007" s="379">
        <v>50.307222222222222</v>
      </c>
      <c r="E2007" s="25">
        <v>28.12</v>
      </c>
      <c r="F2007" s="379">
        <v>6.855949018159996</v>
      </c>
      <c r="G2007" s="25">
        <v>58.75</v>
      </c>
      <c r="H2007" s="379">
        <v>4.0931273926171619</v>
      </c>
      <c r="I2007" s="25">
        <v>180.93</v>
      </c>
      <c r="J2007" s="379">
        <v>0.66258892502308797</v>
      </c>
    </row>
    <row r="2008" spans="1:10" x14ac:dyDescent="0.35">
      <c r="A2008" s="5">
        <v>2004</v>
      </c>
      <c r="B2008" s="5">
        <v>84</v>
      </c>
      <c r="C2008" s="5">
        <v>3</v>
      </c>
      <c r="D2008" s="379">
        <v>49.723333333333336</v>
      </c>
      <c r="E2008" s="25">
        <v>28.11</v>
      </c>
      <c r="F2008" s="379">
        <v>8.8297993981670118</v>
      </c>
      <c r="G2008" s="25">
        <v>58.75</v>
      </c>
      <c r="H2008" s="379">
        <v>4.0996354025316961</v>
      </c>
      <c r="I2008" s="25">
        <v>179.12</v>
      </c>
      <c r="J2008" s="379">
        <v>1.4218009296640597</v>
      </c>
    </row>
    <row r="2009" spans="1:10" x14ac:dyDescent="0.35">
      <c r="A2009" s="5">
        <v>2005</v>
      </c>
      <c r="B2009" s="5">
        <v>84</v>
      </c>
      <c r="C2009" s="5">
        <v>3</v>
      </c>
      <c r="D2009" s="379">
        <v>46.519444444444439</v>
      </c>
      <c r="E2009" s="25">
        <v>27.3</v>
      </c>
      <c r="F2009" s="379">
        <v>8.3590202461276508</v>
      </c>
      <c r="G2009" s="25">
        <v>57.04</v>
      </c>
      <c r="H2009" s="379">
        <v>4.6268454723112376</v>
      </c>
      <c r="I2009" s="25">
        <v>179.12</v>
      </c>
      <c r="J2009" s="379">
        <v>2.0471926101575342</v>
      </c>
    </row>
    <row r="2010" spans="1:10" x14ac:dyDescent="0.35">
      <c r="A2010" s="5">
        <v>2006</v>
      </c>
      <c r="B2010" s="5">
        <v>84</v>
      </c>
      <c r="C2010" s="5">
        <v>3</v>
      </c>
      <c r="D2010" s="379">
        <v>45.75833333333334</v>
      </c>
      <c r="E2010" s="25">
        <v>27.3</v>
      </c>
      <c r="F2010" s="379">
        <v>5.3302597617067642</v>
      </c>
      <c r="G2010" s="25">
        <v>56.47</v>
      </c>
      <c r="H2010" s="379">
        <v>4.7967735854156741</v>
      </c>
      <c r="I2010" s="25">
        <v>179.12</v>
      </c>
      <c r="J2010" s="379">
        <v>2.8277425482400531</v>
      </c>
    </row>
    <row r="2011" spans="1:10" x14ac:dyDescent="0.35">
      <c r="A2011" s="5">
        <v>2007</v>
      </c>
      <c r="B2011" s="5">
        <v>84</v>
      </c>
      <c r="C2011" s="5">
        <v>3</v>
      </c>
      <c r="D2011" s="379">
        <v>47.536666666666669</v>
      </c>
      <c r="E2011" s="25">
        <v>27.3</v>
      </c>
      <c r="F2011" s="379">
        <v>5.1796063272428086</v>
      </c>
      <c r="G2011" s="25">
        <v>56.47</v>
      </c>
      <c r="H2011" s="379">
        <v>4.5279457428898207</v>
      </c>
      <c r="I2011" s="25">
        <v>179.12</v>
      </c>
      <c r="J2011" s="379">
        <v>3.9589613236218755</v>
      </c>
    </row>
    <row r="2012" spans="1:10" x14ac:dyDescent="0.35">
      <c r="A2012" s="5">
        <v>2008</v>
      </c>
      <c r="B2012" s="5">
        <v>84</v>
      </c>
      <c r="C2012" s="5">
        <v>3</v>
      </c>
      <c r="D2012" s="379">
        <v>52.97</v>
      </c>
      <c r="E2012" s="25">
        <v>28.11</v>
      </c>
      <c r="F2012" s="379">
        <v>8.1174834595959577</v>
      </c>
      <c r="G2012" s="25">
        <v>56.47</v>
      </c>
      <c r="H2012" s="379">
        <v>4.5279457428898207</v>
      </c>
      <c r="I2012" s="25">
        <v>179.12</v>
      </c>
      <c r="J2012" s="379">
        <v>3.6059219458046212</v>
      </c>
    </row>
    <row r="2013" spans="1:10" x14ac:dyDescent="0.35">
      <c r="A2013" s="5">
        <v>2009</v>
      </c>
      <c r="B2013" s="5">
        <v>84</v>
      </c>
      <c r="C2013" s="5">
        <v>3</v>
      </c>
      <c r="D2013" s="379">
        <v>58.054444444444442</v>
      </c>
      <c r="E2013" s="25">
        <v>28.12</v>
      </c>
      <c r="F2013" s="379">
        <v>9.3092368775626948</v>
      </c>
      <c r="G2013" s="25">
        <v>56.47</v>
      </c>
      <c r="H2013" s="379">
        <v>10.351662678553899</v>
      </c>
      <c r="I2013" s="25">
        <v>179.12</v>
      </c>
      <c r="J2013" s="379">
        <v>7.3076579799712107</v>
      </c>
    </row>
    <row r="2014" spans="1:10" x14ac:dyDescent="0.35">
      <c r="A2014" s="5">
        <v>2010</v>
      </c>
      <c r="B2014" s="5">
        <v>84</v>
      </c>
      <c r="C2014" s="5">
        <v>3</v>
      </c>
      <c r="D2014" s="379">
        <v>61.604444444444439</v>
      </c>
      <c r="E2014" s="25">
        <v>28.12</v>
      </c>
      <c r="F2014" s="379">
        <v>19.10039993303085</v>
      </c>
      <c r="G2014" s="25">
        <v>58.75</v>
      </c>
      <c r="H2014" s="379">
        <v>9.9528268047222337</v>
      </c>
      <c r="I2014" s="25">
        <v>179.12</v>
      </c>
      <c r="J2014" s="379">
        <v>7.5878134514673903</v>
      </c>
    </row>
    <row r="2015" spans="1:10" x14ac:dyDescent="0.35">
      <c r="A2015" s="5">
        <v>2011</v>
      </c>
      <c r="B2015" s="5">
        <v>84</v>
      </c>
      <c r="C2015" s="5">
        <v>3</v>
      </c>
      <c r="D2015" s="379">
        <v>66.25333333333333</v>
      </c>
      <c r="E2015" s="25">
        <v>29.23</v>
      </c>
      <c r="F2015" s="379">
        <v>21.096336261012169</v>
      </c>
      <c r="G2015" s="25">
        <v>60.51</v>
      </c>
      <c r="H2015" s="379">
        <v>10.260566682637494</v>
      </c>
      <c r="I2015" s="25">
        <v>210.73</v>
      </c>
      <c r="J2015" s="379">
        <v>7.4230076595122902</v>
      </c>
    </row>
    <row r="2016" spans="1:10" x14ac:dyDescent="0.35">
      <c r="A2016" s="5">
        <v>2012</v>
      </c>
      <c r="B2016" s="5">
        <v>84</v>
      </c>
      <c r="C2016" s="5">
        <v>3</v>
      </c>
      <c r="D2016" s="379">
        <v>68.415555555555557</v>
      </c>
      <c r="E2016" s="25">
        <v>29.23</v>
      </c>
      <c r="F2016" s="379">
        <v>21.224400143809042</v>
      </c>
      <c r="G2016" s="25">
        <v>60.51</v>
      </c>
      <c r="H2016" s="379">
        <v>10.171839905226866</v>
      </c>
      <c r="I2016" s="25">
        <v>605.32000000000005</v>
      </c>
      <c r="J2016" s="379">
        <v>7.390661825246041</v>
      </c>
    </row>
    <row r="2017" spans="1:10" x14ac:dyDescent="0.35">
      <c r="A2017" s="5">
        <v>2013</v>
      </c>
      <c r="B2017" s="5">
        <v>84</v>
      </c>
      <c r="C2017" s="5">
        <v>3</v>
      </c>
      <c r="D2017" s="379">
        <v>59.345555555555542</v>
      </c>
      <c r="E2017" s="25">
        <v>29.23</v>
      </c>
      <c r="F2017" s="379">
        <v>19.932870342816909</v>
      </c>
      <c r="G2017" s="25">
        <v>59.28</v>
      </c>
      <c r="H2017" s="379">
        <v>10.599845153044329</v>
      </c>
      <c r="I2017" s="25">
        <v>210.73</v>
      </c>
      <c r="J2017" s="379">
        <v>7.342213162324275</v>
      </c>
    </row>
    <row r="2018" spans="1:10" x14ac:dyDescent="0.35">
      <c r="A2018" s="5">
        <v>2014</v>
      </c>
      <c r="B2018" s="5">
        <v>84</v>
      </c>
      <c r="C2018" s="5">
        <v>3</v>
      </c>
      <c r="D2018" s="379">
        <v>59.684999999999995</v>
      </c>
      <c r="E2018" s="25">
        <v>27.3</v>
      </c>
      <c r="F2018" s="379">
        <v>19.789831776998497</v>
      </c>
      <c r="G2018" s="25">
        <v>56.47</v>
      </c>
      <c r="H2018" s="379">
        <v>10.271579733235466</v>
      </c>
      <c r="I2018" s="25">
        <v>179.12</v>
      </c>
      <c r="J2018" s="379">
        <v>7.3772404033243886</v>
      </c>
    </row>
    <row r="2019" spans="1:10" x14ac:dyDescent="0.35">
      <c r="A2019" s="5">
        <v>2015</v>
      </c>
      <c r="B2019" s="5">
        <v>84</v>
      </c>
      <c r="C2019" s="5">
        <v>3</v>
      </c>
      <c r="D2019" s="379">
        <v>59.351111111111123</v>
      </c>
      <c r="E2019" s="25">
        <v>29.23</v>
      </c>
      <c r="F2019" s="379">
        <v>18.117671914348339</v>
      </c>
      <c r="G2019" s="25">
        <v>55.9</v>
      </c>
      <c r="H2019" s="379">
        <v>9.2878765076451675</v>
      </c>
      <c r="I2019" s="25">
        <v>179.12</v>
      </c>
      <c r="J2019" s="379">
        <v>7.3187932290146955</v>
      </c>
    </row>
    <row r="2020" spans="1:10" x14ac:dyDescent="0.35">
      <c r="A2020" s="5">
        <v>2016</v>
      </c>
      <c r="B2020" s="5">
        <v>84</v>
      </c>
      <c r="C2020" s="5">
        <v>3</v>
      </c>
      <c r="D2020" s="379">
        <v>57.411666666666669</v>
      </c>
      <c r="E2020" s="25">
        <v>25.74</v>
      </c>
      <c r="F2020" s="379">
        <v>17.174592501013827</v>
      </c>
      <c r="G2020" s="25">
        <v>55.9</v>
      </c>
      <c r="H2020" s="379">
        <v>5.5750719787019314</v>
      </c>
      <c r="I2020" s="25">
        <v>179.12</v>
      </c>
      <c r="J2020" s="379">
        <v>5.1562869685473034</v>
      </c>
    </row>
    <row r="2021" spans="1:10" x14ac:dyDescent="0.35">
      <c r="A2021" s="5">
        <v>2017</v>
      </c>
      <c r="B2021" s="5">
        <v>85</v>
      </c>
      <c r="C2021" s="5">
        <v>3</v>
      </c>
      <c r="D2021" s="379">
        <v>54.194444444444443</v>
      </c>
      <c r="E2021" s="25">
        <v>25.29</v>
      </c>
      <c r="F2021" s="379">
        <v>16.720785547193941</v>
      </c>
      <c r="G2021" s="25">
        <v>45.31</v>
      </c>
      <c r="H2021" s="379">
        <v>7.6532794920433069</v>
      </c>
      <c r="I2021" s="25">
        <v>63.84</v>
      </c>
      <c r="J2021" s="379">
        <v>5.2314625171617708</v>
      </c>
    </row>
    <row r="2022" spans="1:10" x14ac:dyDescent="0.35">
      <c r="A2022" s="5">
        <v>2018</v>
      </c>
      <c r="B2022" s="5">
        <v>85</v>
      </c>
      <c r="C2022" s="5">
        <v>3</v>
      </c>
      <c r="D2022" s="379">
        <v>53.817222222222227</v>
      </c>
      <c r="E2022" s="25">
        <v>24.84</v>
      </c>
      <c r="F2022" s="379">
        <v>17.384292695219255</v>
      </c>
      <c r="G2022" s="25">
        <v>44.86</v>
      </c>
      <c r="H2022" s="379">
        <v>7.1418721327941403</v>
      </c>
      <c r="I2022" s="25">
        <v>63.2</v>
      </c>
      <c r="J2022" s="379">
        <v>5.2988969105145474</v>
      </c>
    </row>
    <row r="2023" spans="1:10" x14ac:dyDescent="0.35">
      <c r="A2023" s="5">
        <v>2019</v>
      </c>
      <c r="B2023" s="5">
        <v>85</v>
      </c>
      <c r="C2023" s="5">
        <v>3</v>
      </c>
      <c r="D2023" s="379">
        <v>51.754444444444452</v>
      </c>
      <c r="E2023" s="25">
        <v>24.84</v>
      </c>
      <c r="F2023" s="379">
        <v>17.128062492455175</v>
      </c>
      <c r="G2023" s="25">
        <v>44.86</v>
      </c>
      <c r="H2023" s="379">
        <v>6.6170192968576877</v>
      </c>
      <c r="I2023" s="25">
        <v>61.36</v>
      </c>
      <c r="J2023" s="379">
        <v>5.2988969105145474</v>
      </c>
    </row>
    <row r="2024" spans="1:10" x14ac:dyDescent="0.35">
      <c r="A2024" s="5">
        <v>2020</v>
      </c>
      <c r="B2024" s="5">
        <v>85</v>
      </c>
      <c r="C2024" s="5">
        <v>3</v>
      </c>
      <c r="D2024" s="379">
        <v>49.081111111111113</v>
      </c>
      <c r="E2024" s="25">
        <v>24.84</v>
      </c>
      <c r="F2024" s="379">
        <v>16.959783296912043</v>
      </c>
      <c r="G2024" s="25">
        <v>44.86</v>
      </c>
      <c r="H2024" s="379">
        <v>7.8475882424691461</v>
      </c>
      <c r="I2024" s="25">
        <v>60.78</v>
      </c>
      <c r="J2024" s="379">
        <v>5.1104096865536066</v>
      </c>
    </row>
    <row r="2025" spans="1:10" x14ac:dyDescent="0.35">
      <c r="A2025" s="5">
        <v>2021</v>
      </c>
      <c r="B2025" s="5">
        <v>85</v>
      </c>
      <c r="C2025" s="5">
        <v>3</v>
      </c>
      <c r="D2025" s="379">
        <v>47.18888888888889</v>
      </c>
      <c r="E2025" s="25">
        <v>24.84</v>
      </c>
      <c r="F2025" s="379">
        <v>13.956205203821519</v>
      </c>
      <c r="G2025" s="25">
        <v>44.86</v>
      </c>
      <c r="H2025" s="379">
        <v>6.2351755152578514</v>
      </c>
      <c r="I2025" s="25">
        <v>60.78</v>
      </c>
      <c r="J2025" s="379">
        <v>5.0604442576684239</v>
      </c>
    </row>
    <row r="2026" spans="1:10" x14ac:dyDescent="0.35">
      <c r="A2026" s="5">
        <v>2022</v>
      </c>
      <c r="B2026" s="5">
        <v>85</v>
      </c>
      <c r="C2026" s="5">
        <v>3</v>
      </c>
      <c r="D2026" s="379">
        <v>49.594444444444449</v>
      </c>
      <c r="E2026" s="25">
        <v>24.84</v>
      </c>
      <c r="F2026" s="379">
        <v>14.928250812595152</v>
      </c>
      <c r="G2026" s="25">
        <v>44.86</v>
      </c>
      <c r="H2026" s="379">
        <v>5.543039679736931</v>
      </c>
      <c r="I2026" s="25">
        <v>61.36</v>
      </c>
      <c r="J2026" s="379">
        <v>4.5185768217357714</v>
      </c>
    </row>
    <row r="2027" spans="1:10" x14ac:dyDescent="0.35">
      <c r="A2027" s="5">
        <v>2023</v>
      </c>
      <c r="B2027" s="5">
        <v>85</v>
      </c>
      <c r="C2027" s="5">
        <v>3</v>
      </c>
      <c r="D2027" s="379">
        <v>51.938888888888883</v>
      </c>
      <c r="E2027" s="25">
        <v>24.99</v>
      </c>
      <c r="F2027" s="379">
        <v>13.460086352015731</v>
      </c>
      <c r="G2027" s="25">
        <v>44.86</v>
      </c>
      <c r="H2027" s="379">
        <v>5.6182304522632256</v>
      </c>
      <c r="I2027" s="25">
        <v>62.27</v>
      </c>
      <c r="J2027" s="379">
        <v>4.5185768217357714</v>
      </c>
    </row>
    <row r="2028" spans="1:10" x14ac:dyDescent="0.35">
      <c r="A2028" s="5">
        <v>2024</v>
      </c>
      <c r="B2028" s="5">
        <v>85</v>
      </c>
      <c r="C2028" s="5">
        <v>3</v>
      </c>
      <c r="D2028" s="379">
        <v>52.36</v>
      </c>
      <c r="E2028" s="25">
        <v>25.74</v>
      </c>
      <c r="F2028" s="379">
        <v>13.645524040842512</v>
      </c>
      <c r="G2028" s="25">
        <v>47.5</v>
      </c>
      <c r="H2028" s="379">
        <v>2.0571078091081958</v>
      </c>
      <c r="I2028" s="25">
        <v>66.06</v>
      </c>
      <c r="J2028" s="379">
        <v>2.8055531069187345</v>
      </c>
    </row>
    <row r="2029" spans="1:10" x14ac:dyDescent="0.35">
      <c r="A2029" s="5">
        <v>2025</v>
      </c>
      <c r="B2029" s="5">
        <v>85</v>
      </c>
      <c r="C2029" s="5">
        <v>3</v>
      </c>
      <c r="D2029" s="379">
        <v>48.434444444444445</v>
      </c>
      <c r="E2029" s="25">
        <v>25.74</v>
      </c>
      <c r="F2029" s="379">
        <v>14.721820959502335</v>
      </c>
      <c r="G2029" s="25">
        <v>47.85</v>
      </c>
      <c r="H2029" s="379">
        <v>3.4343976941975751</v>
      </c>
      <c r="I2029" s="25">
        <v>64.14</v>
      </c>
      <c r="J2029" s="379">
        <v>2.4529690621171452</v>
      </c>
    </row>
    <row r="2030" spans="1:10" x14ac:dyDescent="0.35">
      <c r="A2030" s="5">
        <v>2026</v>
      </c>
      <c r="B2030" s="5">
        <v>85</v>
      </c>
      <c r="C2030" s="5">
        <v>3</v>
      </c>
      <c r="D2030" s="379">
        <v>45.884999999999998</v>
      </c>
      <c r="E2030" s="25">
        <v>25.59</v>
      </c>
      <c r="F2030" s="379">
        <v>5.143307536479143</v>
      </c>
      <c r="G2030" s="25">
        <v>47.85</v>
      </c>
      <c r="H2030" s="379">
        <v>3.475482455828931</v>
      </c>
      <c r="I2030" s="25">
        <v>58.42</v>
      </c>
      <c r="J2030" s="379">
        <v>9.1278636492067633E-2</v>
      </c>
    </row>
    <row r="2031" spans="1:10" x14ac:dyDescent="0.35">
      <c r="A2031" s="5">
        <v>2027</v>
      </c>
      <c r="B2031" s="5">
        <v>85</v>
      </c>
      <c r="C2031" s="5">
        <v>3</v>
      </c>
      <c r="D2031" s="379">
        <v>36.657777777777781</v>
      </c>
      <c r="E2031" s="25">
        <v>25.29</v>
      </c>
      <c r="F2031" s="379">
        <v>11.312224247254715</v>
      </c>
      <c r="G2031" s="25">
        <v>47.46</v>
      </c>
      <c r="H2031" s="379">
        <v>5.2810343542136984</v>
      </c>
      <c r="I2031" s="25">
        <v>56.72</v>
      </c>
      <c r="J2031" s="379">
        <v>2.9313190081579377</v>
      </c>
    </row>
    <row r="2032" spans="1:10" x14ac:dyDescent="0.35">
      <c r="A2032" s="5">
        <v>2028</v>
      </c>
      <c r="B2032" s="5">
        <v>85</v>
      </c>
      <c r="C2032" s="5">
        <v>3</v>
      </c>
      <c r="D2032" s="379">
        <v>30.860555555555553</v>
      </c>
      <c r="E2032" s="25">
        <v>24.99</v>
      </c>
      <c r="F2032" s="379">
        <v>10.114465359895835</v>
      </c>
      <c r="G2032" s="25">
        <v>47.46</v>
      </c>
      <c r="H2032" s="379">
        <v>5.6244005945956319</v>
      </c>
      <c r="I2032" s="25">
        <v>55.12</v>
      </c>
      <c r="J2032" s="379">
        <v>3.4582696862055222</v>
      </c>
    </row>
    <row r="2033" spans="1:10" x14ac:dyDescent="0.35">
      <c r="A2033" s="5">
        <v>2029</v>
      </c>
      <c r="B2033" s="5">
        <v>85</v>
      </c>
      <c r="C2033" s="5">
        <v>3</v>
      </c>
      <c r="D2033" s="379">
        <v>30.20944444444444</v>
      </c>
      <c r="E2033" s="25">
        <v>24.99</v>
      </c>
      <c r="F2033" s="379">
        <v>9.7849599328349957</v>
      </c>
      <c r="G2033" s="25">
        <v>46.98</v>
      </c>
      <c r="H2033" s="379">
        <v>4.1564355763934957</v>
      </c>
      <c r="I2033" s="25">
        <v>53.51</v>
      </c>
      <c r="J2033" s="379">
        <v>3.7034450273109121</v>
      </c>
    </row>
    <row r="2034" spans="1:10" x14ac:dyDescent="0.35">
      <c r="A2034" s="5">
        <v>2030</v>
      </c>
      <c r="B2034" s="5">
        <v>85</v>
      </c>
      <c r="C2034" s="5">
        <v>3</v>
      </c>
      <c r="D2034" s="379">
        <v>29.906666666666663</v>
      </c>
      <c r="E2034" s="25">
        <v>24.84</v>
      </c>
      <c r="F2034" s="379">
        <v>10.539627816202644</v>
      </c>
      <c r="G2034" s="25">
        <v>44.86</v>
      </c>
      <c r="H2034" s="379">
        <v>8.2750731967976225</v>
      </c>
      <c r="I2034" s="25">
        <v>38.36</v>
      </c>
      <c r="J2034" s="379">
        <v>4.6842812663354323</v>
      </c>
    </row>
    <row r="2035" spans="1:10" x14ac:dyDescent="0.35">
      <c r="A2035" s="5">
        <v>2031</v>
      </c>
      <c r="B2035" s="5">
        <v>85</v>
      </c>
      <c r="C2035" s="5">
        <v>3</v>
      </c>
      <c r="D2035" s="379">
        <v>31.894444444444446</v>
      </c>
      <c r="E2035" s="25">
        <v>24.84</v>
      </c>
      <c r="F2035" s="379">
        <v>9.0529757158824449</v>
      </c>
      <c r="G2035" s="25">
        <v>45.31</v>
      </c>
      <c r="H2035" s="379">
        <v>4.0137941341805403</v>
      </c>
      <c r="I2035" s="25">
        <v>48.86</v>
      </c>
      <c r="J2035" s="379">
        <v>4.171191160701933</v>
      </c>
    </row>
    <row r="2036" spans="1:10" x14ac:dyDescent="0.35">
      <c r="A2036" s="5">
        <v>2032</v>
      </c>
      <c r="B2036" s="5">
        <v>85</v>
      </c>
      <c r="C2036" s="5">
        <v>3</v>
      </c>
      <c r="D2036" s="379">
        <v>43.730555555555554</v>
      </c>
      <c r="E2036" s="25">
        <v>24.84</v>
      </c>
      <c r="F2036" s="379">
        <v>9.6921477683404849</v>
      </c>
      <c r="G2036" s="25">
        <v>44.86</v>
      </c>
      <c r="H2036" s="379">
        <v>5.5809395071876908</v>
      </c>
      <c r="I2036" s="25">
        <v>51.02</v>
      </c>
      <c r="J2036" s="379">
        <v>3.6136666706781191</v>
      </c>
    </row>
    <row r="2037" spans="1:10" x14ac:dyDescent="0.35">
      <c r="A2037" s="5">
        <v>2033</v>
      </c>
      <c r="B2037" s="5">
        <v>85</v>
      </c>
      <c r="C2037" s="5">
        <v>3</v>
      </c>
      <c r="D2037" s="379">
        <v>51.87833333333333</v>
      </c>
      <c r="E2037" s="25">
        <v>24.84</v>
      </c>
      <c r="F2037" s="379">
        <v>7.6611205076883051</v>
      </c>
      <c r="G2037" s="25">
        <v>44.86</v>
      </c>
      <c r="H2037" s="379">
        <v>6.7602810043942894</v>
      </c>
      <c r="I2037" s="25">
        <v>53.71</v>
      </c>
      <c r="J2037" s="379">
        <v>4.3207492193114998</v>
      </c>
    </row>
    <row r="2038" spans="1:10" x14ac:dyDescent="0.35">
      <c r="A2038" s="5">
        <v>2034</v>
      </c>
      <c r="B2038" s="5">
        <v>85</v>
      </c>
      <c r="C2038" s="5">
        <v>3</v>
      </c>
      <c r="D2038" s="379">
        <v>57.309444444444438</v>
      </c>
      <c r="E2038" s="25">
        <v>24.84</v>
      </c>
      <c r="F2038" s="379">
        <v>12.521772509952246</v>
      </c>
      <c r="G2038" s="25">
        <v>44.86</v>
      </c>
      <c r="H2038" s="379">
        <v>7.328886249916378</v>
      </c>
      <c r="I2038" s="25">
        <v>56.72</v>
      </c>
      <c r="J2038" s="379">
        <v>2.2502191674475251</v>
      </c>
    </row>
    <row r="2039" spans="1:10" x14ac:dyDescent="0.35">
      <c r="A2039" s="5">
        <v>2035</v>
      </c>
      <c r="B2039" s="5">
        <v>85</v>
      </c>
      <c r="C2039" s="5">
        <v>3</v>
      </c>
      <c r="D2039" s="379">
        <v>64.161666666666662</v>
      </c>
      <c r="E2039" s="25">
        <v>24.99</v>
      </c>
      <c r="F2039" s="379">
        <v>12.521772509952246</v>
      </c>
      <c r="G2039" s="25">
        <v>46.11</v>
      </c>
      <c r="H2039" s="379">
        <v>8.3817263378399627</v>
      </c>
      <c r="I2039" s="25">
        <v>57.49</v>
      </c>
      <c r="J2039" s="379">
        <v>3.0694278644033339</v>
      </c>
    </row>
    <row r="2040" spans="1:10" x14ac:dyDescent="0.35">
      <c r="A2040" s="5">
        <v>2036</v>
      </c>
      <c r="B2040" s="5">
        <v>85</v>
      </c>
      <c r="C2040" s="5">
        <v>3</v>
      </c>
      <c r="D2040" s="379">
        <v>68.25</v>
      </c>
      <c r="E2040" s="25">
        <v>25.74</v>
      </c>
      <c r="F2040" s="379">
        <v>13.43179696885354</v>
      </c>
      <c r="G2040" s="25">
        <v>46.11</v>
      </c>
      <c r="H2040" s="379">
        <v>8.568515152793573</v>
      </c>
      <c r="I2040" s="25">
        <v>57.49</v>
      </c>
      <c r="J2040" s="379">
        <v>3.0526004113033358</v>
      </c>
    </row>
    <row r="2041" spans="1:10" x14ac:dyDescent="0.35">
      <c r="A2041" s="5">
        <v>2037</v>
      </c>
      <c r="B2041" s="5">
        <v>85</v>
      </c>
      <c r="C2041" s="5">
        <v>3</v>
      </c>
      <c r="D2041" s="379">
        <v>62.460555555555558</v>
      </c>
      <c r="E2041" s="25">
        <v>25.74</v>
      </c>
      <c r="F2041" s="379">
        <v>15.238047249898269</v>
      </c>
      <c r="G2041" s="25">
        <v>46.11</v>
      </c>
      <c r="H2041" s="379">
        <v>8.8310453963647078</v>
      </c>
      <c r="I2041" s="25">
        <v>57.49</v>
      </c>
      <c r="J2041" s="379">
        <v>5.4297601277867367</v>
      </c>
    </row>
    <row r="2042" spans="1:10" x14ac:dyDescent="0.35">
      <c r="A2042" s="5">
        <v>2038</v>
      </c>
      <c r="B2042" s="5">
        <v>85</v>
      </c>
      <c r="C2042" s="5">
        <v>3</v>
      </c>
      <c r="D2042" s="379">
        <v>58.571666666666665</v>
      </c>
      <c r="E2042" s="25">
        <v>24.99</v>
      </c>
      <c r="F2042" s="379">
        <v>15.160335638950045</v>
      </c>
      <c r="G2042" s="25">
        <v>46.03</v>
      </c>
      <c r="H2042" s="379">
        <v>8.5429630991698158</v>
      </c>
      <c r="I2042" s="25">
        <v>57.29</v>
      </c>
      <c r="J2042" s="379">
        <v>4.4198609665307727</v>
      </c>
    </row>
    <row r="2043" spans="1:10" x14ac:dyDescent="0.35">
      <c r="A2043" s="5">
        <v>2039</v>
      </c>
      <c r="B2043" s="5">
        <v>85</v>
      </c>
      <c r="C2043" s="5">
        <v>3</v>
      </c>
      <c r="D2043" s="379">
        <v>59.097222222222221</v>
      </c>
      <c r="E2043" s="25">
        <v>25.01</v>
      </c>
      <c r="F2043" s="379">
        <v>14.291396021381935</v>
      </c>
      <c r="G2043" s="25">
        <v>46.11</v>
      </c>
      <c r="H2043" s="379">
        <v>8.6285784790700628</v>
      </c>
      <c r="I2043" s="25">
        <v>56.72</v>
      </c>
      <c r="J2043" s="379">
        <v>4.6753522367851774</v>
      </c>
    </row>
    <row r="2044" spans="1:10" x14ac:dyDescent="0.35">
      <c r="A2044" s="5">
        <v>2040</v>
      </c>
      <c r="B2044" s="5">
        <v>85</v>
      </c>
      <c r="C2044" s="5">
        <v>3</v>
      </c>
      <c r="D2044" s="379">
        <v>57.101666666666674</v>
      </c>
      <c r="E2044" s="25">
        <v>24.99</v>
      </c>
      <c r="F2044" s="379">
        <v>8.9908133353252726</v>
      </c>
      <c r="G2044" s="25">
        <v>43.56</v>
      </c>
      <c r="H2044" s="379">
        <v>8.4920376029855547</v>
      </c>
      <c r="I2044" s="25">
        <v>56.15</v>
      </c>
      <c r="J2044" s="379">
        <v>4.2723654775668187</v>
      </c>
    </row>
    <row r="2045" spans="1:10" x14ac:dyDescent="0.35">
      <c r="A2045" s="5">
        <v>2041</v>
      </c>
      <c r="B2045" s="5">
        <v>86</v>
      </c>
      <c r="C2045" s="5">
        <v>3</v>
      </c>
      <c r="D2045" s="379">
        <v>56.257222222222225</v>
      </c>
      <c r="E2045" s="25">
        <v>24.73</v>
      </c>
      <c r="F2045" s="379">
        <v>8.8944072225211581</v>
      </c>
      <c r="G2045" s="25">
        <v>32.79</v>
      </c>
      <c r="H2045" s="379">
        <v>8.6517336025101521</v>
      </c>
      <c r="I2045" s="25">
        <v>35.799999999999997</v>
      </c>
      <c r="J2045" s="379">
        <v>5.4612261976725227</v>
      </c>
    </row>
    <row r="2046" spans="1:10" x14ac:dyDescent="0.35">
      <c r="A2046" s="5">
        <v>2042</v>
      </c>
      <c r="B2046" s="5">
        <v>86</v>
      </c>
      <c r="C2046" s="5">
        <v>3</v>
      </c>
      <c r="D2046" s="379">
        <v>56.088888888888889</v>
      </c>
      <c r="E2046" s="25">
        <v>24.11</v>
      </c>
      <c r="F2046" s="379">
        <v>8.6710270898541033</v>
      </c>
      <c r="G2046" s="25">
        <v>32.79</v>
      </c>
      <c r="H2046" s="379">
        <v>9.4512303862104883</v>
      </c>
      <c r="I2046" s="25">
        <v>35.799999999999997</v>
      </c>
      <c r="J2046" s="379">
        <v>4.3570230591751695</v>
      </c>
    </row>
    <row r="2047" spans="1:10" x14ac:dyDescent="0.35">
      <c r="A2047" s="5">
        <v>2043</v>
      </c>
      <c r="B2047" s="5">
        <v>86</v>
      </c>
      <c r="C2047" s="5">
        <v>3</v>
      </c>
      <c r="D2047" s="379">
        <v>53.269444444444439</v>
      </c>
      <c r="E2047" s="25">
        <v>23.73</v>
      </c>
      <c r="F2047" s="379">
        <v>8.9012042471425463</v>
      </c>
      <c r="G2047" s="25">
        <v>32.79</v>
      </c>
      <c r="H2047" s="379">
        <v>9.1647747561289794</v>
      </c>
      <c r="I2047" s="25">
        <v>35.799999999999997</v>
      </c>
      <c r="J2047" s="379">
        <v>3.971294294346956</v>
      </c>
    </row>
    <row r="2048" spans="1:10" x14ac:dyDescent="0.35">
      <c r="A2048" s="5">
        <v>2044</v>
      </c>
      <c r="B2048" s="5">
        <v>86</v>
      </c>
      <c r="C2048" s="5">
        <v>3</v>
      </c>
      <c r="D2048" s="379">
        <v>52.531111111111116</v>
      </c>
      <c r="E2048" s="25">
        <v>23.59</v>
      </c>
      <c r="F2048" s="379">
        <v>8.4355356248644338</v>
      </c>
      <c r="G2048" s="25">
        <v>32.79</v>
      </c>
      <c r="H2048" s="379">
        <v>8.9867494931155782</v>
      </c>
      <c r="I2048" s="25">
        <v>35.799999999999997</v>
      </c>
      <c r="J2048" s="379">
        <v>4.1589941768196299</v>
      </c>
    </row>
    <row r="2049" spans="1:10" x14ac:dyDescent="0.35">
      <c r="A2049" s="5">
        <v>2045</v>
      </c>
      <c r="B2049" s="5">
        <v>86</v>
      </c>
      <c r="C2049" s="5">
        <v>3</v>
      </c>
      <c r="D2049" s="379">
        <v>54.088888888888889</v>
      </c>
      <c r="E2049" s="25">
        <v>23.59</v>
      </c>
      <c r="F2049" s="379">
        <v>8.6435878837383111</v>
      </c>
      <c r="G2049" s="25">
        <v>32.79</v>
      </c>
      <c r="H2049" s="379">
        <v>8.1205139327808631</v>
      </c>
      <c r="I2049" s="25">
        <v>35.799999999999997</v>
      </c>
      <c r="J2049" s="379">
        <v>1.4742442807532077</v>
      </c>
    </row>
    <row r="2050" spans="1:10" x14ac:dyDescent="0.35">
      <c r="A2050" s="5">
        <v>2046</v>
      </c>
      <c r="B2050" s="5">
        <v>86</v>
      </c>
      <c r="C2050" s="5">
        <v>3</v>
      </c>
      <c r="D2050" s="379">
        <v>54.702222222222225</v>
      </c>
      <c r="E2050" s="25">
        <v>23.59</v>
      </c>
      <c r="F2050" s="379">
        <v>8.6553583128684242</v>
      </c>
      <c r="G2050" s="25">
        <v>32.79</v>
      </c>
      <c r="H2050" s="379">
        <v>6.7817672490898051</v>
      </c>
      <c r="I2050" s="25">
        <v>35.799999999999997</v>
      </c>
      <c r="J2050" s="379">
        <v>0.375</v>
      </c>
    </row>
    <row r="2051" spans="1:10" x14ac:dyDescent="0.35">
      <c r="A2051" s="5">
        <v>2047</v>
      </c>
      <c r="B2051" s="5">
        <v>86</v>
      </c>
      <c r="C2051" s="5">
        <v>3</v>
      </c>
      <c r="D2051" s="379">
        <v>55.306111111111107</v>
      </c>
      <c r="E2051" s="25">
        <v>23.73</v>
      </c>
      <c r="F2051" s="379">
        <v>9.814499639699731</v>
      </c>
      <c r="G2051" s="25">
        <v>32.79</v>
      </c>
      <c r="H2051" s="379">
        <v>6.8551959714829023</v>
      </c>
      <c r="I2051" s="25">
        <v>35.799999999999997</v>
      </c>
      <c r="J2051" s="379">
        <v>0.35342879576066738</v>
      </c>
    </row>
    <row r="2052" spans="1:10" x14ac:dyDescent="0.35">
      <c r="A2052" s="5">
        <v>2048</v>
      </c>
      <c r="B2052" s="5">
        <v>86</v>
      </c>
      <c r="C2052" s="5">
        <v>3</v>
      </c>
      <c r="D2052" s="379">
        <v>54.978888888888882</v>
      </c>
      <c r="E2052" s="25">
        <v>24.11</v>
      </c>
      <c r="F2052" s="379">
        <v>9.5371599971694856</v>
      </c>
      <c r="G2052" s="25">
        <v>32.79</v>
      </c>
      <c r="H2052" s="379">
        <v>6.5012591193235796</v>
      </c>
      <c r="I2052" s="25">
        <v>35.799999999999997</v>
      </c>
      <c r="J2052" s="379">
        <v>0.27777777777777779</v>
      </c>
    </row>
    <row r="2053" spans="1:10" x14ac:dyDescent="0.35">
      <c r="A2053" s="5">
        <v>2049</v>
      </c>
      <c r="B2053" s="5">
        <v>86</v>
      </c>
      <c r="C2053" s="5">
        <v>3</v>
      </c>
      <c r="D2053" s="379">
        <v>57.709444444444443</v>
      </c>
      <c r="E2053" s="25">
        <v>24.84</v>
      </c>
      <c r="F2053" s="379">
        <v>9.4919386716273717</v>
      </c>
      <c r="G2053" s="25">
        <v>32.79</v>
      </c>
      <c r="H2053" s="379">
        <v>6.0138325325412927</v>
      </c>
      <c r="I2053" s="25">
        <v>36.869999999999997</v>
      </c>
      <c r="J2053" s="379">
        <v>0.27777777777777779</v>
      </c>
    </row>
    <row r="2054" spans="1:10" x14ac:dyDescent="0.35">
      <c r="A2054" s="5">
        <v>2050</v>
      </c>
      <c r="B2054" s="5">
        <v>86</v>
      </c>
      <c r="C2054" s="5">
        <v>3</v>
      </c>
      <c r="D2054" s="379">
        <v>57.584444444444443</v>
      </c>
      <c r="E2054" s="25">
        <v>24.84</v>
      </c>
      <c r="F2054" s="379">
        <v>8.7229936674153308</v>
      </c>
      <c r="G2054" s="25">
        <v>33.130000000000003</v>
      </c>
      <c r="H2054" s="379">
        <v>5.0181850247682904</v>
      </c>
      <c r="I2054" s="25">
        <v>36.159999999999997</v>
      </c>
      <c r="J2054" s="379">
        <v>4.139553172103084</v>
      </c>
    </row>
    <row r="2055" spans="1:10" x14ac:dyDescent="0.35">
      <c r="A2055" s="5">
        <v>2051</v>
      </c>
      <c r="B2055" s="5">
        <v>86</v>
      </c>
      <c r="C2055" s="5">
        <v>3</v>
      </c>
      <c r="D2055" s="379">
        <v>55.693888888888893</v>
      </c>
      <c r="E2055" s="25">
        <v>24.84</v>
      </c>
      <c r="F2055" s="379">
        <v>4.3285434360573145</v>
      </c>
      <c r="G2055" s="25">
        <v>38.61</v>
      </c>
      <c r="H2055" s="379">
        <v>4.8258162476922628</v>
      </c>
      <c r="I2055" s="25">
        <v>36.869999999999997</v>
      </c>
      <c r="J2055" s="379">
        <v>0.99603205614305568</v>
      </c>
    </row>
    <row r="2056" spans="1:10" x14ac:dyDescent="0.35">
      <c r="A2056" s="5">
        <v>2052</v>
      </c>
      <c r="B2056" s="5">
        <v>86</v>
      </c>
      <c r="C2056" s="5">
        <v>3</v>
      </c>
      <c r="D2056" s="379">
        <v>50.023333333333333</v>
      </c>
      <c r="E2056" s="25">
        <v>24.84</v>
      </c>
      <c r="F2056" s="379">
        <v>4.1659511623105301</v>
      </c>
      <c r="G2056" s="25">
        <v>38.61</v>
      </c>
      <c r="H2056" s="379">
        <v>0.84268988599887984</v>
      </c>
      <c r="I2056" s="25">
        <v>37.42</v>
      </c>
      <c r="J2056" s="379">
        <v>3.9406758692560842</v>
      </c>
    </row>
    <row r="2057" spans="1:10" x14ac:dyDescent="0.35">
      <c r="A2057" s="5">
        <v>2053</v>
      </c>
      <c r="B2057" s="5">
        <v>86</v>
      </c>
      <c r="C2057" s="5">
        <v>3</v>
      </c>
      <c r="D2057" s="379">
        <v>40.048333333333332</v>
      </c>
      <c r="E2057" s="25">
        <v>24.84</v>
      </c>
      <c r="F2057" s="379">
        <v>3.9894187919294755</v>
      </c>
      <c r="G2057" s="25">
        <v>38.58</v>
      </c>
      <c r="H2057" s="379">
        <v>1.164491169936162</v>
      </c>
      <c r="I2057" s="25">
        <v>37.979999999999997</v>
      </c>
      <c r="J2057" s="379">
        <v>0.2703586063745908</v>
      </c>
    </row>
    <row r="2058" spans="1:10" x14ac:dyDescent="0.35">
      <c r="A2058" s="5">
        <v>2054</v>
      </c>
      <c r="B2058" s="5">
        <v>86</v>
      </c>
      <c r="C2058" s="5">
        <v>3</v>
      </c>
      <c r="D2058" s="379">
        <v>39.945</v>
      </c>
      <c r="E2058" s="25">
        <v>24.84</v>
      </c>
      <c r="F2058" s="379">
        <v>4.1956494922889291</v>
      </c>
      <c r="G2058" s="25">
        <v>35.94</v>
      </c>
      <c r="H2058" s="379">
        <v>2.3051399239989654</v>
      </c>
      <c r="I2058" s="25">
        <v>37.979999999999997</v>
      </c>
      <c r="J2058" s="379">
        <v>0.27988385069803728</v>
      </c>
    </row>
    <row r="2059" spans="1:10" x14ac:dyDescent="0.35">
      <c r="A2059" s="5">
        <v>2055</v>
      </c>
      <c r="B2059" s="5">
        <v>86</v>
      </c>
      <c r="C2059" s="5">
        <v>3</v>
      </c>
      <c r="D2059" s="379">
        <v>41.903333333333336</v>
      </c>
      <c r="E2059" s="25">
        <v>24.84</v>
      </c>
      <c r="F2059" s="379">
        <v>4.5214525679121271</v>
      </c>
      <c r="G2059" s="25">
        <v>35.94</v>
      </c>
      <c r="H2059" s="379">
        <v>1.939540874297268</v>
      </c>
      <c r="I2059" s="25">
        <v>37.979999999999997</v>
      </c>
      <c r="J2059" s="379">
        <v>0.98792071835512396</v>
      </c>
    </row>
    <row r="2060" spans="1:10" x14ac:dyDescent="0.35">
      <c r="A2060" s="5">
        <v>2056</v>
      </c>
      <c r="B2060" s="5">
        <v>86</v>
      </c>
      <c r="C2060" s="5">
        <v>3</v>
      </c>
      <c r="D2060" s="379">
        <v>49.889999999999993</v>
      </c>
      <c r="E2060" s="25">
        <v>24.84</v>
      </c>
      <c r="F2060" s="379">
        <v>4.3061707752691119</v>
      </c>
      <c r="G2060" s="25">
        <v>38.130000000000003</v>
      </c>
      <c r="H2060" s="379">
        <v>2.2324199996904017</v>
      </c>
      <c r="I2060" s="25">
        <v>37.979999999999997</v>
      </c>
      <c r="J2060" s="379">
        <v>0.1877384827635801</v>
      </c>
    </row>
    <row r="2061" spans="1:10" x14ac:dyDescent="0.35">
      <c r="A2061" s="5">
        <v>2057</v>
      </c>
      <c r="B2061" s="5">
        <v>86</v>
      </c>
      <c r="C2061" s="5">
        <v>3</v>
      </c>
      <c r="D2061" s="379">
        <v>56.878333333333337</v>
      </c>
      <c r="E2061" s="25">
        <v>24.84</v>
      </c>
      <c r="F2061" s="379">
        <v>5.4183135975632224</v>
      </c>
      <c r="G2061" s="25">
        <v>39.74</v>
      </c>
      <c r="H2061" s="379">
        <v>3.2382982859673426</v>
      </c>
      <c r="I2061" s="25">
        <v>37.979999999999997</v>
      </c>
      <c r="J2061" s="379">
        <v>0.8980934082435591</v>
      </c>
    </row>
    <row r="2062" spans="1:10" x14ac:dyDescent="0.35">
      <c r="A2062" s="5">
        <v>2058</v>
      </c>
      <c r="B2062" s="5">
        <v>86</v>
      </c>
      <c r="C2062" s="5">
        <v>3</v>
      </c>
      <c r="D2062" s="379">
        <v>61.234999999999999</v>
      </c>
      <c r="E2062" s="25">
        <v>24.84</v>
      </c>
      <c r="F2062" s="379">
        <v>12.244065646985511</v>
      </c>
      <c r="G2062" s="25">
        <v>44.69</v>
      </c>
      <c r="H2062" s="379">
        <v>11.733775765409838</v>
      </c>
      <c r="I2062" s="25">
        <v>48.09</v>
      </c>
      <c r="J2062" s="379">
        <v>7.2364172050394329</v>
      </c>
    </row>
    <row r="2063" spans="1:10" x14ac:dyDescent="0.35">
      <c r="A2063" s="5">
        <v>2059</v>
      </c>
      <c r="B2063" s="5">
        <v>86</v>
      </c>
      <c r="C2063" s="5">
        <v>3</v>
      </c>
      <c r="D2063" s="379">
        <v>64.051111111111112</v>
      </c>
      <c r="E2063" s="25">
        <v>25.74</v>
      </c>
      <c r="F2063" s="379">
        <v>24.520831166017423</v>
      </c>
      <c r="G2063" s="25">
        <v>44.69</v>
      </c>
      <c r="H2063" s="379">
        <v>11.859858066340648</v>
      </c>
      <c r="I2063" s="25">
        <v>55.12</v>
      </c>
      <c r="J2063" s="379">
        <v>7.0909815541384393</v>
      </c>
    </row>
    <row r="2064" spans="1:10" x14ac:dyDescent="0.35">
      <c r="A2064" s="5">
        <v>2060</v>
      </c>
      <c r="B2064" s="5">
        <v>86</v>
      </c>
      <c r="C2064" s="5">
        <v>3</v>
      </c>
      <c r="D2064" s="379">
        <v>65.480555555555554</v>
      </c>
      <c r="E2064" s="25">
        <v>26.51</v>
      </c>
      <c r="F2064" s="379">
        <v>24.184899791717164</v>
      </c>
      <c r="G2064" s="25">
        <v>44.69</v>
      </c>
      <c r="H2064" s="379">
        <v>11.906862241355503</v>
      </c>
      <c r="I2064" s="25">
        <v>66.06</v>
      </c>
      <c r="J2064" s="379">
        <v>7.0909815541384393</v>
      </c>
    </row>
    <row r="2065" spans="1:10" x14ac:dyDescent="0.35">
      <c r="A2065" s="5">
        <v>2061</v>
      </c>
      <c r="B2065" s="5">
        <v>86</v>
      </c>
      <c r="C2065" s="5">
        <v>3</v>
      </c>
      <c r="D2065" s="379">
        <v>62.553333333333335</v>
      </c>
      <c r="E2065" s="25">
        <v>26.05</v>
      </c>
      <c r="F2065" s="379">
        <v>24.375931264577972</v>
      </c>
      <c r="G2065" s="25">
        <v>44.69</v>
      </c>
      <c r="H2065" s="379">
        <v>11.98073072420228</v>
      </c>
      <c r="I2065" s="25">
        <v>59.57</v>
      </c>
      <c r="J2065" s="379">
        <v>7.0909614370614724</v>
      </c>
    </row>
    <row r="2066" spans="1:10" x14ac:dyDescent="0.35">
      <c r="A2066" s="5">
        <v>2062</v>
      </c>
      <c r="B2066" s="5">
        <v>86</v>
      </c>
      <c r="C2066" s="5">
        <v>3</v>
      </c>
      <c r="D2066" s="379">
        <v>62.032222222222217</v>
      </c>
      <c r="E2066" s="25">
        <v>26.05</v>
      </c>
      <c r="F2066" s="379">
        <v>23.541358948077413</v>
      </c>
      <c r="G2066" s="25">
        <v>44.69</v>
      </c>
      <c r="H2066" s="379">
        <v>11.880040798783252</v>
      </c>
      <c r="I2066" s="25">
        <v>57.49</v>
      </c>
      <c r="J2066" s="379">
        <v>7.0909614370614724</v>
      </c>
    </row>
    <row r="2067" spans="1:10" x14ac:dyDescent="0.35">
      <c r="A2067" s="5">
        <v>2063</v>
      </c>
      <c r="B2067" s="5">
        <v>86</v>
      </c>
      <c r="C2067" s="5">
        <v>3</v>
      </c>
      <c r="D2067" s="379">
        <v>58.820000000000007</v>
      </c>
      <c r="E2067" s="25">
        <v>25.74</v>
      </c>
      <c r="F2067" s="379">
        <v>23.579126859753782</v>
      </c>
      <c r="G2067" s="25">
        <v>44.69</v>
      </c>
      <c r="H2067" s="379">
        <v>11.686345888684855</v>
      </c>
      <c r="I2067" s="25">
        <v>59.57</v>
      </c>
      <c r="J2067" s="379">
        <v>7.0909614370614724</v>
      </c>
    </row>
    <row r="2068" spans="1:10" x14ac:dyDescent="0.35">
      <c r="A2068" s="5">
        <v>2064</v>
      </c>
      <c r="B2068" s="5">
        <v>86</v>
      </c>
      <c r="C2068" s="5">
        <v>3</v>
      </c>
      <c r="D2068" s="379">
        <v>54.636111111111106</v>
      </c>
      <c r="E2068" s="25">
        <v>24.84</v>
      </c>
      <c r="F2068" s="379">
        <v>19.47048401931319</v>
      </c>
      <c r="G2068" s="25">
        <v>43.9</v>
      </c>
      <c r="H2068" s="379">
        <v>11.865664744201803</v>
      </c>
      <c r="I2068" s="25">
        <v>55.12</v>
      </c>
      <c r="J2068" s="379">
        <v>7.2627300367615319</v>
      </c>
    </row>
    <row r="2069" spans="1:10" x14ac:dyDescent="0.35">
      <c r="A2069" s="5">
        <v>2065</v>
      </c>
      <c r="B2069" s="5">
        <v>87</v>
      </c>
      <c r="C2069" s="5">
        <v>3</v>
      </c>
      <c r="D2069" s="379">
        <v>54.32277777777778</v>
      </c>
      <c r="E2069" s="25">
        <v>24.84</v>
      </c>
      <c r="F2069" s="379">
        <v>17.732218734578115</v>
      </c>
      <c r="G2069" s="25">
        <v>40.96</v>
      </c>
      <c r="H2069" s="379">
        <v>11.916192760534109</v>
      </c>
      <c r="I2069" s="25">
        <v>50.19</v>
      </c>
      <c r="J2069" s="379">
        <v>7.2984526718127531</v>
      </c>
    </row>
    <row r="2070" spans="1:10" x14ac:dyDescent="0.35">
      <c r="A2070" s="5">
        <v>2066</v>
      </c>
      <c r="B2070" s="5">
        <v>87</v>
      </c>
      <c r="C2070" s="5">
        <v>3</v>
      </c>
      <c r="D2070" s="379">
        <v>53.612222222222215</v>
      </c>
      <c r="E2070" s="25">
        <v>24.84</v>
      </c>
      <c r="F2070" s="379">
        <v>18.390292330442797</v>
      </c>
      <c r="G2070" s="25">
        <v>34.82</v>
      </c>
      <c r="H2070" s="379">
        <v>11.590441509810514</v>
      </c>
      <c r="I2070" s="25">
        <v>48.86</v>
      </c>
      <c r="J2070" s="379">
        <v>7.3098985581871316</v>
      </c>
    </row>
    <row r="2071" spans="1:10" x14ac:dyDescent="0.35">
      <c r="A2071" s="5">
        <v>2067</v>
      </c>
      <c r="B2071" s="5">
        <v>87</v>
      </c>
      <c r="C2071" s="5">
        <v>3</v>
      </c>
      <c r="D2071" s="379">
        <v>53.445555555555558</v>
      </c>
      <c r="E2071" s="25">
        <v>24.84</v>
      </c>
      <c r="F2071" s="379">
        <v>17.396418541110332</v>
      </c>
      <c r="G2071" s="25">
        <v>32.82</v>
      </c>
      <c r="H2071" s="379">
        <v>11.91086645816047</v>
      </c>
      <c r="I2071" s="25">
        <v>48.86</v>
      </c>
      <c r="J2071" s="379">
        <v>7.4736476799181659</v>
      </c>
    </row>
    <row r="2072" spans="1:10" x14ac:dyDescent="0.35">
      <c r="A2072" s="5">
        <v>2068</v>
      </c>
      <c r="B2072" s="5">
        <v>87</v>
      </c>
      <c r="C2072" s="5">
        <v>3</v>
      </c>
      <c r="D2072" s="379">
        <v>53.681666666666665</v>
      </c>
      <c r="E2072" s="25">
        <v>24.84</v>
      </c>
      <c r="F2072" s="379">
        <v>17.672234623017768</v>
      </c>
      <c r="G2072" s="25">
        <v>32.82</v>
      </c>
      <c r="H2072" s="379">
        <v>11.854940616225276</v>
      </c>
      <c r="I2072" s="25">
        <v>47.44</v>
      </c>
      <c r="J2072" s="379">
        <v>7.5255210674611526</v>
      </c>
    </row>
    <row r="2073" spans="1:10" x14ac:dyDescent="0.35">
      <c r="A2073" s="5">
        <v>2069</v>
      </c>
      <c r="B2073" s="5">
        <v>87</v>
      </c>
      <c r="C2073" s="5">
        <v>3</v>
      </c>
      <c r="D2073" s="379">
        <v>55.461111111111109</v>
      </c>
      <c r="E2073" s="25">
        <v>24.84</v>
      </c>
      <c r="F2073" s="379">
        <v>16.711558335179486</v>
      </c>
      <c r="G2073" s="25">
        <v>38.61</v>
      </c>
      <c r="H2073" s="379">
        <v>11.749315185280707</v>
      </c>
      <c r="I2073" s="25">
        <v>37.979999999999997</v>
      </c>
      <c r="J2073" s="379">
        <v>7.4701504261715757</v>
      </c>
    </row>
    <row r="2074" spans="1:10" x14ac:dyDescent="0.35">
      <c r="A2074" s="5">
        <v>2070</v>
      </c>
      <c r="B2074" s="5">
        <v>87</v>
      </c>
      <c r="C2074" s="5">
        <v>3</v>
      </c>
      <c r="D2074" s="379">
        <v>59.629444444444445</v>
      </c>
      <c r="E2074" s="25">
        <v>24.11</v>
      </c>
      <c r="F2074" s="379">
        <v>16.850641008865274</v>
      </c>
      <c r="G2074" s="25">
        <v>31.11</v>
      </c>
      <c r="H2074" s="379">
        <v>11.713622260883934</v>
      </c>
      <c r="I2074" s="25">
        <v>37.979999999999997</v>
      </c>
      <c r="J2074" s="379">
        <v>6.9636644215595771</v>
      </c>
    </row>
    <row r="2075" spans="1:10" x14ac:dyDescent="0.35">
      <c r="A2075" s="5">
        <v>2071</v>
      </c>
      <c r="B2075" s="5">
        <v>87</v>
      </c>
      <c r="C2075" s="5">
        <v>3</v>
      </c>
      <c r="D2075" s="379">
        <v>66.177222222222213</v>
      </c>
      <c r="E2075" s="25">
        <v>23.59</v>
      </c>
      <c r="F2075" s="379">
        <v>16.76385222768825</v>
      </c>
      <c r="G2075" s="25">
        <v>31.11</v>
      </c>
      <c r="H2075" s="379">
        <v>11.052369278162271</v>
      </c>
      <c r="I2075" s="25">
        <v>37.979999999999997</v>
      </c>
      <c r="J2075" s="379">
        <v>6.6762164331333711</v>
      </c>
    </row>
    <row r="2076" spans="1:10" x14ac:dyDescent="0.35">
      <c r="A2076" s="5">
        <v>2072</v>
      </c>
      <c r="B2076" s="5">
        <v>87</v>
      </c>
      <c r="C2076" s="5">
        <v>3</v>
      </c>
      <c r="D2076" s="379">
        <v>66.256666666666661</v>
      </c>
      <c r="E2076" s="25">
        <v>23.59</v>
      </c>
      <c r="F2076" s="379">
        <v>12.41413820495001</v>
      </c>
      <c r="G2076" s="25">
        <v>31.11</v>
      </c>
      <c r="H2076" s="379">
        <v>9.3137181077573352</v>
      </c>
      <c r="I2076" s="25">
        <v>37.979999999999997</v>
      </c>
      <c r="J2076" s="379">
        <v>4.7589619331221202</v>
      </c>
    </row>
    <row r="2077" spans="1:10" x14ac:dyDescent="0.35">
      <c r="A2077" s="5">
        <v>2073</v>
      </c>
      <c r="B2077" s="5">
        <v>87</v>
      </c>
      <c r="C2077" s="5">
        <v>3</v>
      </c>
      <c r="D2077" s="379">
        <v>61.861111111111107</v>
      </c>
      <c r="E2077" s="25">
        <v>23.59</v>
      </c>
      <c r="F2077" s="379">
        <v>9.3219338384661707</v>
      </c>
      <c r="G2077" s="25">
        <v>31.86</v>
      </c>
      <c r="H2077" s="379">
        <v>4.799693804694658</v>
      </c>
      <c r="I2077" s="25">
        <v>36.049999999999997</v>
      </c>
      <c r="J2077" s="379">
        <v>6.5517523436089231</v>
      </c>
    </row>
    <row r="2078" spans="1:10" x14ac:dyDescent="0.35">
      <c r="A2078" s="5">
        <v>2074</v>
      </c>
      <c r="B2078" s="5">
        <v>87</v>
      </c>
      <c r="C2078" s="5">
        <v>3</v>
      </c>
      <c r="D2078" s="379">
        <v>53.765555555555551</v>
      </c>
      <c r="E2078" s="25">
        <v>23.59</v>
      </c>
      <c r="F2078" s="379">
        <v>8.236786184631157</v>
      </c>
      <c r="G2078" s="25">
        <v>31.86</v>
      </c>
      <c r="H2078" s="379">
        <v>4.5206167198151359</v>
      </c>
      <c r="I2078" s="25">
        <v>34.68</v>
      </c>
      <c r="J2078" s="379">
        <v>4.1309774532145918</v>
      </c>
    </row>
    <row r="2079" spans="1:10" x14ac:dyDescent="0.35">
      <c r="A2079" s="5">
        <v>2075</v>
      </c>
      <c r="B2079" s="5">
        <v>87</v>
      </c>
      <c r="C2079" s="5">
        <v>3</v>
      </c>
      <c r="D2079" s="379">
        <v>49.74222222222221</v>
      </c>
      <c r="E2079" s="25">
        <v>23.59</v>
      </c>
      <c r="F2079" s="379">
        <v>2.1948929548580054</v>
      </c>
      <c r="G2079" s="25">
        <v>31.86</v>
      </c>
      <c r="H2079" s="379">
        <v>4.5206167198151359</v>
      </c>
      <c r="I2079" s="25">
        <v>34.479999999999997</v>
      </c>
      <c r="J2079" s="379">
        <v>4.059880174183256</v>
      </c>
    </row>
    <row r="2080" spans="1:10" x14ac:dyDescent="0.35">
      <c r="A2080" s="5">
        <v>2076</v>
      </c>
      <c r="B2080" s="5">
        <v>87</v>
      </c>
      <c r="C2080" s="5">
        <v>3</v>
      </c>
      <c r="D2080" s="379">
        <v>44.376666666666665</v>
      </c>
      <c r="E2080" s="25">
        <v>23.55</v>
      </c>
      <c r="F2080" s="379">
        <v>2.4592761602836974</v>
      </c>
      <c r="G2080" s="25">
        <v>31.86</v>
      </c>
      <c r="H2080" s="379">
        <v>4.4573114658567308</v>
      </c>
      <c r="I2080" s="25">
        <v>34.01</v>
      </c>
      <c r="J2080" s="379">
        <v>4.059880174183256</v>
      </c>
    </row>
    <row r="2081" spans="1:10" x14ac:dyDescent="0.35">
      <c r="A2081" s="5">
        <v>2077</v>
      </c>
      <c r="B2081" s="5">
        <v>87</v>
      </c>
      <c r="C2081" s="5">
        <v>3</v>
      </c>
      <c r="D2081" s="379">
        <v>44.427777777777777</v>
      </c>
      <c r="E2081" s="25">
        <v>23.41</v>
      </c>
      <c r="F2081" s="379">
        <v>2.0226750866996155</v>
      </c>
      <c r="G2081" s="25">
        <v>30.93</v>
      </c>
      <c r="H2081" s="379">
        <v>4.4573114658567308</v>
      </c>
      <c r="I2081" s="25">
        <v>33.67</v>
      </c>
      <c r="J2081" s="379">
        <v>2.2562505138431574</v>
      </c>
    </row>
    <row r="2082" spans="1:10" x14ac:dyDescent="0.35">
      <c r="A2082" s="5">
        <v>2078</v>
      </c>
      <c r="B2082" s="5">
        <v>87</v>
      </c>
      <c r="C2082" s="5">
        <v>3</v>
      </c>
      <c r="D2082" s="379">
        <v>41.635000000000005</v>
      </c>
      <c r="E2082" s="25">
        <v>21.12</v>
      </c>
      <c r="F2082" s="379">
        <v>2.2124262813726023</v>
      </c>
      <c r="G2082" s="25">
        <v>30.03</v>
      </c>
      <c r="H2082" s="379">
        <v>4.4165035527264349</v>
      </c>
      <c r="I2082" s="25">
        <v>33.67</v>
      </c>
      <c r="J2082" s="379">
        <v>2.2562505138431574</v>
      </c>
    </row>
    <row r="2083" spans="1:10" x14ac:dyDescent="0.35">
      <c r="A2083" s="5">
        <v>2079</v>
      </c>
      <c r="B2083" s="5">
        <v>87</v>
      </c>
      <c r="C2083" s="5">
        <v>3</v>
      </c>
      <c r="D2083" s="379">
        <v>42.639444444444443</v>
      </c>
      <c r="E2083" s="25">
        <v>20.5</v>
      </c>
      <c r="F2083" s="379">
        <v>2.0226750866996155</v>
      </c>
      <c r="G2083" s="25">
        <v>30.03</v>
      </c>
      <c r="H2083" s="379">
        <v>4.4165035527264349</v>
      </c>
      <c r="I2083" s="25">
        <v>33.67</v>
      </c>
      <c r="J2083" s="379">
        <v>2.0751239833199282</v>
      </c>
    </row>
    <row r="2084" spans="1:10" x14ac:dyDescent="0.35">
      <c r="A2084" s="5">
        <v>2080</v>
      </c>
      <c r="B2084" s="5">
        <v>87</v>
      </c>
      <c r="C2084" s="5">
        <v>3</v>
      </c>
      <c r="D2084" s="379">
        <v>45.326666666666661</v>
      </c>
      <c r="E2084" s="25">
        <v>20.5</v>
      </c>
      <c r="F2084" s="379">
        <v>2.4423963771485955</v>
      </c>
      <c r="G2084" s="25">
        <v>30.03</v>
      </c>
      <c r="H2084" s="379">
        <v>4.5206167198151359</v>
      </c>
      <c r="I2084" s="25">
        <v>33.67</v>
      </c>
      <c r="J2084" s="379">
        <v>2.0433786186746006</v>
      </c>
    </row>
    <row r="2085" spans="1:10" x14ac:dyDescent="0.35">
      <c r="A2085" s="5">
        <v>2081</v>
      </c>
      <c r="B2085" s="5">
        <v>87</v>
      </c>
      <c r="C2085" s="5">
        <v>3</v>
      </c>
      <c r="D2085" s="379">
        <v>51.963888888888889</v>
      </c>
      <c r="E2085" s="25">
        <v>21.34</v>
      </c>
      <c r="F2085" s="379">
        <v>8.1174834595959613</v>
      </c>
      <c r="G2085" s="25">
        <v>30.03</v>
      </c>
      <c r="H2085" s="379">
        <v>4.5206167198151359</v>
      </c>
      <c r="I2085" s="25">
        <v>33.67</v>
      </c>
      <c r="J2085" s="379">
        <v>2.0433786186746006</v>
      </c>
    </row>
    <row r="2086" spans="1:10" x14ac:dyDescent="0.35">
      <c r="A2086" s="5">
        <v>2082</v>
      </c>
      <c r="B2086" s="5">
        <v>87</v>
      </c>
      <c r="C2086" s="5">
        <v>3</v>
      </c>
      <c r="D2086" s="379">
        <v>60.644444444444439</v>
      </c>
      <c r="E2086" s="25">
        <v>23.41</v>
      </c>
      <c r="F2086" s="379">
        <v>8.1174834595959577</v>
      </c>
      <c r="G2086" s="25">
        <v>30.03</v>
      </c>
      <c r="H2086" s="379">
        <v>0.14480167642852412</v>
      </c>
      <c r="I2086" s="25">
        <v>33.67</v>
      </c>
      <c r="J2086" s="379">
        <v>2.2334277203703334</v>
      </c>
    </row>
    <row r="2087" spans="1:10" x14ac:dyDescent="0.35">
      <c r="A2087" s="5">
        <v>2083</v>
      </c>
      <c r="B2087" s="5">
        <v>87</v>
      </c>
      <c r="C2087" s="5">
        <v>3</v>
      </c>
      <c r="D2087" s="379">
        <v>63.989444444444445</v>
      </c>
      <c r="E2087" s="25">
        <v>23.41</v>
      </c>
      <c r="F2087" s="379">
        <v>8.8104251945249512</v>
      </c>
      <c r="G2087" s="25">
        <v>30.03</v>
      </c>
      <c r="H2087" s="379">
        <v>0.14480167642852412</v>
      </c>
      <c r="I2087" s="25">
        <v>33.67</v>
      </c>
      <c r="J2087" s="379">
        <v>2.4344494693151937</v>
      </c>
    </row>
    <row r="2088" spans="1:10" x14ac:dyDescent="0.35">
      <c r="A2088" s="5">
        <v>2084</v>
      </c>
      <c r="B2088" s="5">
        <v>87</v>
      </c>
      <c r="C2088" s="5">
        <v>3</v>
      </c>
      <c r="D2088" s="379">
        <v>61.631666666666653</v>
      </c>
      <c r="E2088" s="25">
        <v>23.59</v>
      </c>
      <c r="F2088" s="379">
        <v>8.7511462966035953</v>
      </c>
      <c r="G2088" s="25">
        <v>30.03</v>
      </c>
      <c r="H2088" s="379">
        <v>0.14480167642852412</v>
      </c>
      <c r="I2088" s="25">
        <v>33.67</v>
      </c>
      <c r="J2088" s="379">
        <v>2.4179580026752632</v>
      </c>
    </row>
    <row r="2089" spans="1:10" x14ac:dyDescent="0.35">
      <c r="A2089" s="5">
        <v>2085</v>
      </c>
      <c r="B2089" s="5">
        <v>87</v>
      </c>
      <c r="C2089" s="5">
        <v>3</v>
      </c>
      <c r="D2089" s="379">
        <v>60.392777777777773</v>
      </c>
      <c r="E2089" s="25">
        <v>24.11</v>
      </c>
      <c r="F2089" s="379">
        <v>8.1174834595959595</v>
      </c>
      <c r="G2089" s="25">
        <v>30.03</v>
      </c>
      <c r="H2089" s="379">
        <v>0.14480167642852412</v>
      </c>
      <c r="I2089" s="25">
        <v>33.67</v>
      </c>
      <c r="J2089" s="379">
        <v>9.6609528284493137E-2</v>
      </c>
    </row>
    <row r="2090" spans="1:10" x14ac:dyDescent="0.35">
      <c r="A2090" s="5">
        <v>2086</v>
      </c>
      <c r="B2090" s="5">
        <v>87</v>
      </c>
      <c r="C2090" s="5">
        <v>3</v>
      </c>
      <c r="D2090" s="379">
        <v>57.562777777777768</v>
      </c>
      <c r="E2090" s="25">
        <v>23.59</v>
      </c>
      <c r="F2090" s="379">
        <v>8.1174834595959595</v>
      </c>
      <c r="G2090" s="25">
        <v>30.03</v>
      </c>
      <c r="H2090" s="379">
        <v>0.14480167642852412</v>
      </c>
      <c r="I2090" s="25">
        <v>33.67</v>
      </c>
      <c r="J2090" s="379">
        <v>2.1805933472439123</v>
      </c>
    </row>
    <row r="2091" spans="1:10" x14ac:dyDescent="0.35">
      <c r="A2091" s="5">
        <v>2087</v>
      </c>
      <c r="B2091" s="5">
        <v>87</v>
      </c>
      <c r="C2091" s="5">
        <v>3</v>
      </c>
      <c r="D2091" s="379">
        <v>56.217777777777783</v>
      </c>
      <c r="E2091" s="25">
        <v>22.4</v>
      </c>
      <c r="F2091" s="379">
        <v>0.47222222222222221</v>
      </c>
      <c r="G2091" s="25">
        <v>30.03</v>
      </c>
      <c r="H2091" s="379">
        <v>2.4997145231714022</v>
      </c>
      <c r="I2091" s="25">
        <v>33.67</v>
      </c>
      <c r="J2091" s="379">
        <v>0.19828601708486968</v>
      </c>
    </row>
    <row r="2092" spans="1:10" x14ac:dyDescent="0.35">
      <c r="A2092" s="5">
        <v>2088</v>
      </c>
      <c r="B2092" s="5">
        <v>87</v>
      </c>
      <c r="C2092" s="5">
        <v>3</v>
      </c>
      <c r="D2092" s="379">
        <v>57.31388888888889</v>
      </c>
      <c r="E2092" s="25">
        <v>20.77</v>
      </c>
      <c r="F2092" s="379">
        <v>3.2727733956087586</v>
      </c>
      <c r="G2092" s="25">
        <v>30.03</v>
      </c>
      <c r="H2092" s="379">
        <v>2.4011044524564795</v>
      </c>
      <c r="I2092" s="25">
        <v>33.67</v>
      </c>
      <c r="J2092" s="379">
        <v>4.0973903333707186E-2</v>
      </c>
    </row>
    <row r="2093" spans="1:10" x14ac:dyDescent="0.35">
      <c r="A2093" s="5">
        <v>2089</v>
      </c>
      <c r="B2093" s="5">
        <v>88</v>
      </c>
      <c r="C2093" s="5">
        <v>3</v>
      </c>
      <c r="D2093" s="379">
        <v>57.513888888888893</v>
      </c>
      <c r="E2093" s="25">
        <v>16.3</v>
      </c>
      <c r="F2093" s="379">
        <v>3.2727733956087586</v>
      </c>
      <c r="G2093" s="25">
        <v>30.03</v>
      </c>
      <c r="H2093" s="379">
        <v>2.4011044524564795</v>
      </c>
      <c r="I2093" s="25">
        <v>33.08</v>
      </c>
      <c r="J2093" s="379">
        <v>4.0973903333707186E-2</v>
      </c>
    </row>
    <row r="2094" spans="1:10" x14ac:dyDescent="0.35">
      <c r="A2094" s="5">
        <v>2090</v>
      </c>
      <c r="B2094" s="5">
        <v>88</v>
      </c>
      <c r="C2094" s="5">
        <v>3</v>
      </c>
      <c r="D2094" s="379">
        <v>56.738333333333337</v>
      </c>
      <c r="E2094" s="25">
        <v>16.3</v>
      </c>
      <c r="F2094" s="379">
        <v>3.1512364416311915</v>
      </c>
      <c r="G2094" s="25">
        <v>30.03</v>
      </c>
      <c r="H2094" s="379">
        <v>2.3977424361669262</v>
      </c>
      <c r="I2094" s="25">
        <v>32.119999999999997</v>
      </c>
      <c r="J2094" s="379">
        <v>4.0973903333707186E-2</v>
      </c>
    </row>
    <row r="2095" spans="1:10" x14ac:dyDescent="0.35">
      <c r="A2095" s="5">
        <v>2091</v>
      </c>
      <c r="B2095" s="5">
        <v>88</v>
      </c>
      <c r="C2095" s="5">
        <v>3</v>
      </c>
      <c r="D2095" s="379">
        <v>56.752222222222215</v>
      </c>
      <c r="E2095" s="25">
        <v>16.3</v>
      </c>
      <c r="F2095" s="379">
        <v>3.1512364416311915</v>
      </c>
      <c r="G2095" s="25">
        <v>30.03</v>
      </c>
      <c r="H2095" s="379">
        <v>2.4011044524564795</v>
      </c>
      <c r="I2095" s="25">
        <v>32.119999999999997</v>
      </c>
      <c r="J2095" s="379">
        <v>4.0973903333707186E-2</v>
      </c>
    </row>
    <row r="2096" spans="1:10" x14ac:dyDescent="0.35">
      <c r="A2096" s="5">
        <v>2092</v>
      </c>
      <c r="B2096" s="5">
        <v>88</v>
      </c>
      <c r="C2096" s="5">
        <v>3</v>
      </c>
      <c r="D2096" s="379">
        <v>57.153888888888886</v>
      </c>
      <c r="E2096" s="25">
        <v>16.3</v>
      </c>
      <c r="F2096" s="379">
        <v>3.1512364416311915</v>
      </c>
      <c r="G2096" s="25">
        <v>30.03</v>
      </c>
      <c r="H2096" s="379">
        <v>2.3977424361669262</v>
      </c>
      <c r="I2096" s="25">
        <v>32.119999999999997</v>
      </c>
      <c r="J2096" s="379">
        <v>7.2814317327039441E-2</v>
      </c>
    </row>
    <row r="2097" spans="1:10" x14ac:dyDescent="0.35">
      <c r="A2097" s="5">
        <v>2093</v>
      </c>
      <c r="B2097" s="5">
        <v>88</v>
      </c>
      <c r="C2097" s="5">
        <v>3</v>
      </c>
      <c r="D2097" s="379">
        <v>58.742777777777775</v>
      </c>
      <c r="E2097" s="25">
        <v>16.3</v>
      </c>
      <c r="F2097" s="379">
        <v>3.1512364416311915</v>
      </c>
      <c r="G2097" s="25">
        <v>30.03</v>
      </c>
      <c r="H2097" s="379">
        <v>2.4011044524564795</v>
      </c>
      <c r="I2097" s="25">
        <v>32.119999999999997</v>
      </c>
      <c r="J2097" s="379">
        <v>7.2814317327039441E-2</v>
      </c>
    </row>
    <row r="2098" spans="1:10" x14ac:dyDescent="0.35">
      <c r="A2098" s="5">
        <v>2094</v>
      </c>
      <c r="B2098" s="5">
        <v>88</v>
      </c>
      <c r="C2098" s="5">
        <v>3</v>
      </c>
      <c r="D2098" s="379">
        <v>64.174444444444433</v>
      </c>
      <c r="E2098" s="25">
        <v>17.05</v>
      </c>
      <c r="F2098" s="379">
        <v>3.2984688817194554</v>
      </c>
      <c r="G2098" s="25">
        <v>30.03</v>
      </c>
      <c r="H2098" s="379">
        <v>2.4644097064148842</v>
      </c>
      <c r="I2098" s="25">
        <v>32.880000000000003</v>
      </c>
      <c r="J2098" s="379">
        <v>7.2814317327039441E-2</v>
      </c>
    </row>
    <row r="2099" spans="1:10" x14ac:dyDescent="0.35">
      <c r="A2099" s="5">
        <v>2095</v>
      </c>
      <c r="B2099" s="5">
        <v>88</v>
      </c>
      <c r="C2099" s="5">
        <v>3</v>
      </c>
      <c r="D2099" s="379">
        <v>70.777777777777786</v>
      </c>
      <c r="E2099" s="25">
        <v>17.05</v>
      </c>
      <c r="F2099" s="379">
        <v>3.4839616291307833</v>
      </c>
      <c r="G2099" s="25">
        <v>30.03</v>
      </c>
      <c r="H2099" s="379">
        <v>2.4644097064148842</v>
      </c>
      <c r="I2099" s="25">
        <v>32.880000000000003</v>
      </c>
      <c r="J2099" s="379">
        <v>7.2814317327039441E-2</v>
      </c>
    </row>
    <row r="2100" spans="1:10" x14ac:dyDescent="0.35">
      <c r="A2100" s="5">
        <v>2096</v>
      </c>
      <c r="B2100" s="5">
        <v>88</v>
      </c>
      <c r="C2100" s="5">
        <v>3</v>
      </c>
      <c r="D2100" s="379">
        <v>76.311666666666682</v>
      </c>
      <c r="E2100" s="25">
        <v>22.07</v>
      </c>
      <c r="F2100" s="379">
        <v>3.4738480048720195</v>
      </c>
      <c r="G2100" s="25">
        <v>30.03</v>
      </c>
      <c r="H2100" s="379">
        <v>2.4644097064148842</v>
      </c>
      <c r="I2100" s="25">
        <v>32.880000000000003</v>
      </c>
      <c r="J2100" s="379">
        <v>7.2814317327039441E-2</v>
      </c>
    </row>
    <row r="2101" spans="1:10" x14ac:dyDescent="0.35">
      <c r="A2101" s="5">
        <v>2097</v>
      </c>
      <c r="B2101" s="5">
        <v>88</v>
      </c>
      <c r="C2101" s="5">
        <v>3</v>
      </c>
      <c r="D2101" s="379">
        <v>69.643333333333331</v>
      </c>
      <c r="E2101" s="25">
        <v>22.87</v>
      </c>
      <c r="F2101" s="379">
        <v>5.5113553575941693E-2</v>
      </c>
      <c r="G2101" s="25">
        <v>30.03</v>
      </c>
      <c r="H2101" s="379">
        <v>2.4011044524564795</v>
      </c>
      <c r="I2101" s="25">
        <v>32.32</v>
      </c>
      <c r="J2101" s="379">
        <v>7.2814317327039441E-2</v>
      </c>
    </row>
    <row r="2102" spans="1:10" x14ac:dyDescent="0.35">
      <c r="A2102" s="5">
        <v>2098</v>
      </c>
      <c r="B2102" s="5">
        <v>88</v>
      </c>
      <c r="C2102" s="5">
        <v>3</v>
      </c>
      <c r="D2102" s="379">
        <v>66.02</v>
      </c>
      <c r="E2102" s="25">
        <v>22.87</v>
      </c>
      <c r="F2102" s="379">
        <v>3.2984688817194554</v>
      </c>
      <c r="G2102" s="25">
        <v>30.03</v>
      </c>
      <c r="H2102" s="379">
        <v>2.4011044524564795</v>
      </c>
      <c r="I2102" s="25">
        <v>32.119999999999997</v>
      </c>
      <c r="J2102" s="379">
        <v>7.2814317327039441E-2</v>
      </c>
    </row>
    <row r="2103" spans="1:10" x14ac:dyDescent="0.35">
      <c r="A2103" s="5">
        <v>2099</v>
      </c>
      <c r="B2103" s="5">
        <v>88</v>
      </c>
      <c r="C2103" s="5">
        <v>3</v>
      </c>
      <c r="D2103" s="379">
        <v>64.389444444444436</v>
      </c>
      <c r="E2103" s="25">
        <v>22.87</v>
      </c>
      <c r="F2103" s="379">
        <v>3.2984688817194554</v>
      </c>
      <c r="G2103" s="25">
        <v>30.03</v>
      </c>
      <c r="H2103" s="379">
        <v>2.4011044524564795</v>
      </c>
      <c r="I2103" s="25">
        <v>32.119999999999997</v>
      </c>
      <c r="J2103" s="379">
        <v>2.777777777777778E-2</v>
      </c>
    </row>
    <row r="2104" spans="1:10" x14ac:dyDescent="0.35">
      <c r="A2104" s="5">
        <v>2100</v>
      </c>
      <c r="B2104" s="5">
        <v>88</v>
      </c>
      <c r="C2104" s="5">
        <v>3</v>
      </c>
      <c r="D2104" s="379">
        <v>60.085555555555551</v>
      </c>
      <c r="E2104" s="25">
        <v>22.87</v>
      </c>
      <c r="F2104" s="379">
        <v>3.2984688817194554</v>
      </c>
      <c r="G2104" s="25">
        <v>30.03</v>
      </c>
      <c r="H2104" s="379">
        <v>2.4011044524564795</v>
      </c>
      <c r="I2104" s="25">
        <v>32.119999999999997</v>
      </c>
      <c r="J2104" s="379">
        <v>2.777777777777778E-2</v>
      </c>
    </row>
    <row r="2105" spans="1:10" x14ac:dyDescent="0.35">
      <c r="A2105" s="5">
        <v>2101</v>
      </c>
      <c r="B2105" s="5">
        <v>88</v>
      </c>
      <c r="C2105" s="5">
        <v>3</v>
      </c>
      <c r="D2105" s="379">
        <v>58.821111111111115</v>
      </c>
      <c r="E2105" s="25">
        <v>21.27</v>
      </c>
      <c r="F2105" s="379">
        <v>3.2984688817194554</v>
      </c>
      <c r="G2105" s="25">
        <v>30.03</v>
      </c>
      <c r="H2105" s="379">
        <v>2.4011044524564795</v>
      </c>
      <c r="I2105" s="25">
        <v>32.119999999999997</v>
      </c>
      <c r="J2105" s="379">
        <v>2.777777777777778E-2</v>
      </c>
    </row>
    <row r="2106" spans="1:10" x14ac:dyDescent="0.35">
      <c r="A2106" s="5">
        <v>2102</v>
      </c>
      <c r="B2106" s="5">
        <v>88</v>
      </c>
      <c r="C2106" s="5">
        <v>3</v>
      </c>
      <c r="D2106" s="379">
        <v>56.934999999999995</v>
      </c>
      <c r="E2106" s="25">
        <v>21.12</v>
      </c>
      <c r="F2106" s="379">
        <v>3.2984688817194554</v>
      </c>
      <c r="G2106" s="25">
        <v>30.03</v>
      </c>
      <c r="H2106" s="379">
        <v>2.4011044524564795</v>
      </c>
      <c r="I2106" s="25">
        <v>32.119999999999997</v>
      </c>
      <c r="J2106" s="379">
        <v>2.777777777777778E-2</v>
      </c>
    </row>
    <row r="2107" spans="1:10" x14ac:dyDescent="0.35">
      <c r="A2107" s="5">
        <v>2103</v>
      </c>
      <c r="B2107" s="5">
        <v>88</v>
      </c>
      <c r="C2107" s="5">
        <v>3</v>
      </c>
      <c r="D2107" s="379">
        <v>57.592222222222212</v>
      </c>
      <c r="E2107" s="25">
        <v>21.12</v>
      </c>
      <c r="F2107" s="379">
        <v>2.777777777777778E-2</v>
      </c>
      <c r="G2107" s="25">
        <v>30.03</v>
      </c>
      <c r="H2107" s="379">
        <v>2.4011044524564795</v>
      </c>
      <c r="I2107" s="25">
        <v>32.119999999999997</v>
      </c>
      <c r="J2107" s="379">
        <v>2.777777777777778E-2</v>
      </c>
    </row>
    <row r="2108" spans="1:10" x14ac:dyDescent="0.35">
      <c r="A2108" s="5">
        <v>2104</v>
      </c>
      <c r="B2108" s="5">
        <v>88</v>
      </c>
      <c r="C2108" s="5">
        <v>3</v>
      </c>
      <c r="D2108" s="379">
        <v>58.67722222222222</v>
      </c>
      <c r="E2108" s="25">
        <v>21.12</v>
      </c>
      <c r="F2108" s="379">
        <v>3.2984688817194554</v>
      </c>
      <c r="G2108" s="25">
        <v>30.03</v>
      </c>
      <c r="H2108" s="379">
        <v>2.4011044524564795</v>
      </c>
      <c r="I2108" s="25">
        <v>32.119999999999997</v>
      </c>
      <c r="J2108" s="379">
        <v>2.777777777777778E-2</v>
      </c>
    </row>
    <row r="2109" spans="1:10" x14ac:dyDescent="0.35">
      <c r="A2109" s="5">
        <v>2105</v>
      </c>
      <c r="B2109" s="5">
        <v>88</v>
      </c>
      <c r="C2109" s="5">
        <v>3</v>
      </c>
      <c r="D2109" s="379">
        <v>61.648888888888884</v>
      </c>
      <c r="E2109" s="25">
        <v>22.87</v>
      </c>
      <c r="F2109" s="379">
        <v>0.21342576841957986</v>
      </c>
      <c r="G2109" s="25">
        <v>30.03</v>
      </c>
      <c r="H2109" s="379">
        <v>8.3132802650601023E-2</v>
      </c>
      <c r="I2109" s="25">
        <v>32.32</v>
      </c>
      <c r="J2109" s="379">
        <v>2.777777777777778E-2</v>
      </c>
    </row>
    <row r="2110" spans="1:10" x14ac:dyDescent="0.35">
      <c r="A2110" s="5">
        <v>2106</v>
      </c>
      <c r="B2110" s="5">
        <v>88</v>
      </c>
      <c r="C2110" s="5">
        <v>3</v>
      </c>
      <c r="D2110" s="379">
        <v>66.375</v>
      </c>
      <c r="E2110" s="25">
        <v>22.87</v>
      </c>
      <c r="F2110" s="379">
        <v>0.27477593063211392</v>
      </c>
      <c r="G2110" s="25">
        <v>30.03</v>
      </c>
      <c r="H2110" s="379">
        <v>7.8775264536076653E-2</v>
      </c>
      <c r="I2110" s="25">
        <v>33.409999999999997</v>
      </c>
      <c r="J2110" s="379">
        <v>2.777777777777778E-2</v>
      </c>
    </row>
    <row r="2111" spans="1:10" x14ac:dyDescent="0.35">
      <c r="A2111" s="5">
        <v>2107</v>
      </c>
      <c r="B2111" s="5">
        <v>88</v>
      </c>
      <c r="C2111" s="5">
        <v>3</v>
      </c>
      <c r="D2111" s="379">
        <v>71.187222222222218</v>
      </c>
      <c r="E2111" s="25">
        <v>22.87</v>
      </c>
      <c r="F2111" s="379">
        <v>0.3051063393780204</v>
      </c>
      <c r="G2111" s="25">
        <v>30.03</v>
      </c>
      <c r="H2111" s="379">
        <v>9.5705735685908122E-2</v>
      </c>
      <c r="I2111" s="25">
        <v>33.67</v>
      </c>
      <c r="J2111" s="379">
        <v>0.14480167642852412</v>
      </c>
    </row>
    <row r="2112" spans="1:10" x14ac:dyDescent="0.35">
      <c r="A2112" s="5">
        <v>2108</v>
      </c>
      <c r="B2112" s="5">
        <v>88</v>
      </c>
      <c r="C2112" s="5">
        <v>3</v>
      </c>
      <c r="D2112" s="379">
        <v>68.06</v>
      </c>
      <c r="E2112" s="25">
        <v>23.41</v>
      </c>
      <c r="F2112" s="379">
        <v>0.33206266532991974</v>
      </c>
      <c r="G2112" s="25">
        <v>30.03</v>
      </c>
      <c r="H2112" s="379">
        <v>0.14480167642852412</v>
      </c>
      <c r="I2112" s="25">
        <v>33.67</v>
      </c>
      <c r="J2112" s="379">
        <v>0.14480167642852412</v>
      </c>
    </row>
    <row r="2113" spans="1:10" x14ac:dyDescent="0.35">
      <c r="A2113" s="5">
        <v>2109</v>
      </c>
      <c r="B2113" s="5">
        <v>88</v>
      </c>
      <c r="C2113" s="5">
        <v>3</v>
      </c>
      <c r="D2113" s="379">
        <v>61.637777777777778</v>
      </c>
      <c r="E2113" s="25">
        <v>22.87</v>
      </c>
      <c r="F2113" s="379">
        <v>5.4100616743811766E-2</v>
      </c>
      <c r="G2113" s="25">
        <v>30.03</v>
      </c>
      <c r="H2113" s="379">
        <v>2.7906068492290732</v>
      </c>
      <c r="I2113" s="25">
        <v>33.29</v>
      </c>
      <c r="J2113" s="379">
        <v>1.3905862514802643</v>
      </c>
    </row>
    <row r="2114" spans="1:10" x14ac:dyDescent="0.35">
      <c r="A2114" s="5">
        <v>2110</v>
      </c>
      <c r="B2114" s="5">
        <v>88</v>
      </c>
      <c r="C2114" s="5">
        <v>3</v>
      </c>
      <c r="D2114" s="379">
        <v>57.388333333333335</v>
      </c>
      <c r="E2114" s="25">
        <v>22.07</v>
      </c>
      <c r="F2114" s="379">
        <v>3.8898570249751385</v>
      </c>
      <c r="G2114" s="25">
        <v>30.03</v>
      </c>
      <c r="H2114" s="379">
        <v>2.4766095516348163</v>
      </c>
      <c r="I2114" s="25">
        <v>32.880000000000003</v>
      </c>
      <c r="J2114" s="379">
        <v>1.3605549470073204</v>
      </c>
    </row>
    <row r="2115" spans="1:10" x14ac:dyDescent="0.35">
      <c r="A2115" s="5">
        <v>2111</v>
      </c>
      <c r="B2115" s="5">
        <v>88</v>
      </c>
      <c r="C2115" s="5">
        <v>3</v>
      </c>
      <c r="D2115" s="379">
        <v>55.825555555555553</v>
      </c>
      <c r="E2115" s="25">
        <v>16.95</v>
      </c>
      <c r="F2115" s="379">
        <v>3.4632675105911441</v>
      </c>
      <c r="G2115" s="25">
        <v>30.03</v>
      </c>
      <c r="H2115" s="379">
        <v>2.4644097064148842</v>
      </c>
      <c r="I2115" s="25">
        <v>33.08</v>
      </c>
      <c r="J2115" s="379">
        <v>1.3605549470073204</v>
      </c>
    </row>
    <row r="2116" spans="1:10" x14ac:dyDescent="0.35">
      <c r="A2116" s="5">
        <v>2112</v>
      </c>
      <c r="B2116" s="5">
        <v>88</v>
      </c>
      <c r="C2116" s="5">
        <v>3</v>
      </c>
      <c r="D2116" s="379">
        <v>57.921111111111109</v>
      </c>
      <c r="E2116" s="25">
        <v>16.62</v>
      </c>
      <c r="F2116" s="379">
        <v>3.4481525187613222</v>
      </c>
      <c r="G2116" s="25">
        <v>30.03</v>
      </c>
      <c r="H2116" s="379">
        <v>2.4644097064148842</v>
      </c>
      <c r="I2116" s="25">
        <v>32.880000000000003</v>
      </c>
      <c r="J2116" s="379">
        <v>1.3605549470073204</v>
      </c>
    </row>
    <row r="2117" spans="1:10" x14ac:dyDescent="0.35">
      <c r="A2117" s="5">
        <v>2113</v>
      </c>
      <c r="B2117" s="5">
        <v>89</v>
      </c>
      <c r="C2117" s="5">
        <v>3</v>
      </c>
      <c r="D2117" s="379">
        <v>58.381666666666675</v>
      </c>
      <c r="E2117" s="25">
        <v>16.3</v>
      </c>
      <c r="F2117" s="379">
        <v>3.4481525187613222</v>
      </c>
      <c r="G2117" s="25">
        <v>30.03</v>
      </c>
      <c r="H2117" s="379">
        <v>2.4644097064148842</v>
      </c>
      <c r="I2117" s="25">
        <v>33.08</v>
      </c>
      <c r="J2117" s="379">
        <v>7.2814317327039441E-2</v>
      </c>
    </row>
    <row r="2118" spans="1:10" x14ac:dyDescent="0.35">
      <c r="A2118" s="5">
        <v>2114</v>
      </c>
      <c r="B2118" s="5">
        <v>89</v>
      </c>
      <c r="C2118" s="5">
        <v>3</v>
      </c>
      <c r="D2118" s="379">
        <v>58.940000000000005</v>
      </c>
      <c r="E2118" s="25">
        <v>15.82</v>
      </c>
      <c r="F2118" s="379">
        <v>3.2727733956087586</v>
      </c>
      <c r="G2118" s="25">
        <v>30.03</v>
      </c>
      <c r="H2118" s="379">
        <v>2.4644097064148842</v>
      </c>
      <c r="I2118" s="25">
        <v>33.08</v>
      </c>
      <c r="J2118" s="379">
        <v>2.777777777777778E-2</v>
      </c>
    </row>
    <row r="2119" spans="1:10" x14ac:dyDescent="0.35">
      <c r="A2119" s="5">
        <v>2115</v>
      </c>
      <c r="B2119" s="5">
        <v>89</v>
      </c>
      <c r="C2119" s="5">
        <v>3</v>
      </c>
      <c r="D2119" s="379">
        <v>59.259444444444441</v>
      </c>
      <c r="E2119" s="25">
        <v>15.82</v>
      </c>
      <c r="F2119" s="379">
        <v>3.2727733956087586</v>
      </c>
      <c r="G2119" s="25">
        <v>30.03</v>
      </c>
      <c r="H2119" s="379">
        <v>2.4644097064148842</v>
      </c>
      <c r="I2119" s="25">
        <v>33.08</v>
      </c>
      <c r="J2119" s="379">
        <v>2.777777777777778E-2</v>
      </c>
    </row>
    <row r="2120" spans="1:10" x14ac:dyDescent="0.35">
      <c r="A2120" s="5">
        <v>2116</v>
      </c>
      <c r="B2120" s="5">
        <v>89</v>
      </c>
      <c r="C2120" s="5">
        <v>3</v>
      </c>
      <c r="D2120" s="379">
        <v>59.809444444444438</v>
      </c>
      <c r="E2120" s="25">
        <v>16.62</v>
      </c>
      <c r="F2120" s="379">
        <v>3.2727733956087586</v>
      </c>
      <c r="G2120" s="25">
        <v>30.03</v>
      </c>
      <c r="H2120" s="379">
        <v>2.4644097064148842</v>
      </c>
      <c r="I2120" s="25">
        <v>33.08</v>
      </c>
      <c r="J2120" s="379">
        <v>2.777777777777778E-2</v>
      </c>
    </row>
    <row r="2121" spans="1:10" x14ac:dyDescent="0.35">
      <c r="A2121" s="5">
        <v>2117</v>
      </c>
      <c r="B2121" s="5">
        <v>89</v>
      </c>
      <c r="C2121" s="5">
        <v>3</v>
      </c>
      <c r="D2121" s="379">
        <v>62.679444444444449</v>
      </c>
      <c r="E2121" s="25">
        <v>16.95</v>
      </c>
      <c r="F2121" s="379">
        <v>3.2727733956087586</v>
      </c>
      <c r="G2121" s="25">
        <v>30.03</v>
      </c>
      <c r="H2121" s="379">
        <v>2.4644097064148842</v>
      </c>
      <c r="I2121" s="25">
        <v>33.340000000000003</v>
      </c>
      <c r="J2121" s="379">
        <v>4.0984226902725053E-2</v>
      </c>
    </row>
    <row r="2122" spans="1:10" x14ac:dyDescent="0.35">
      <c r="A2122" s="5">
        <v>2118</v>
      </c>
      <c r="B2122" s="5">
        <v>89</v>
      </c>
      <c r="C2122" s="5">
        <v>3</v>
      </c>
      <c r="D2122" s="379">
        <v>69.422222222222217</v>
      </c>
      <c r="E2122" s="25">
        <v>23.63</v>
      </c>
      <c r="F2122" s="379">
        <v>3.2727733956087586</v>
      </c>
      <c r="G2122" s="25">
        <v>30.03</v>
      </c>
      <c r="H2122" s="379">
        <v>2.4644097064148842</v>
      </c>
      <c r="I2122" s="25">
        <v>33.67</v>
      </c>
      <c r="J2122" s="379">
        <v>4.0984226902725053E-2</v>
      </c>
    </row>
    <row r="2123" spans="1:10" x14ac:dyDescent="0.35">
      <c r="A2123" s="5">
        <v>2119</v>
      </c>
      <c r="B2123" s="5">
        <v>89</v>
      </c>
      <c r="C2123" s="5">
        <v>3</v>
      </c>
      <c r="D2123" s="379">
        <v>75.181666666666658</v>
      </c>
      <c r="E2123" s="25">
        <v>24.84</v>
      </c>
      <c r="F2123" s="379">
        <v>3.2727733956087586</v>
      </c>
      <c r="G2123" s="25">
        <v>30.91</v>
      </c>
      <c r="H2123" s="379">
        <v>2.4644097064148842</v>
      </c>
      <c r="I2123" s="25">
        <v>33.67</v>
      </c>
      <c r="J2123" s="379">
        <v>4.0984226902725053E-2</v>
      </c>
    </row>
    <row r="2124" spans="1:10" x14ac:dyDescent="0.35">
      <c r="A2124" s="5">
        <v>2120</v>
      </c>
      <c r="B2124" s="5">
        <v>89</v>
      </c>
      <c r="C2124" s="5">
        <v>3</v>
      </c>
      <c r="D2124" s="379">
        <v>82.12277777777777</v>
      </c>
      <c r="E2124" s="25">
        <v>24.84</v>
      </c>
      <c r="F2124" s="379">
        <v>3.2727733956087586</v>
      </c>
      <c r="G2124" s="25">
        <v>35.700000000000003</v>
      </c>
      <c r="H2124" s="379">
        <v>2.4644097064148842</v>
      </c>
      <c r="I2124" s="25">
        <v>33.74</v>
      </c>
      <c r="J2124" s="379">
        <v>4.0984226902725053E-2</v>
      </c>
    </row>
    <row r="2125" spans="1:10" x14ac:dyDescent="0.35">
      <c r="A2125" s="5">
        <v>2121</v>
      </c>
      <c r="B2125" s="5">
        <v>89</v>
      </c>
      <c r="C2125" s="5">
        <v>3</v>
      </c>
      <c r="D2125" s="379">
        <v>76.00888888888889</v>
      </c>
      <c r="E2125" s="25">
        <v>24.84</v>
      </c>
      <c r="F2125" s="379">
        <v>3.2727733956087586</v>
      </c>
      <c r="G2125" s="25">
        <v>35.96</v>
      </c>
      <c r="H2125" s="379">
        <v>2.4644097064148842</v>
      </c>
      <c r="I2125" s="25">
        <v>33.67</v>
      </c>
      <c r="J2125" s="379">
        <v>2.777777777777778E-2</v>
      </c>
    </row>
    <row r="2126" spans="1:10" x14ac:dyDescent="0.35">
      <c r="A2126" s="5">
        <v>2122</v>
      </c>
      <c r="B2126" s="5">
        <v>89</v>
      </c>
      <c r="C2126" s="5">
        <v>3</v>
      </c>
      <c r="D2126" s="379">
        <v>69.427222222222227</v>
      </c>
      <c r="E2126" s="25">
        <v>24.84</v>
      </c>
      <c r="F2126" s="379">
        <v>3.2727733956087586</v>
      </c>
      <c r="G2126" s="25">
        <v>35.33</v>
      </c>
      <c r="H2126" s="379">
        <v>2.4011044524564795</v>
      </c>
      <c r="I2126" s="25">
        <v>33.67</v>
      </c>
      <c r="J2126" s="379">
        <v>2.777777777777778E-2</v>
      </c>
    </row>
    <row r="2127" spans="1:10" x14ac:dyDescent="0.35">
      <c r="A2127" s="5">
        <v>2123</v>
      </c>
      <c r="B2127" s="5">
        <v>89</v>
      </c>
      <c r="C2127" s="5">
        <v>3</v>
      </c>
      <c r="D2127" s="379">
        <v>67.424999999999997</v>
      </c>
      <c r="E2127" s="25">
        <v>24.84</v>
      </c>
      <c r="F2127" s="379">
        <v>3.2727733956087586</v>
      </c>
      <c r="G2127" s="25">
        <v>30.93</v>
      </c>
      <c r="H2127" s="379">
        <v>2.4011044524564795</v>
      </c>
      <c r="I2127" s="25">
        <v>33.67</v>
      </c>
      <c r="J2127" s="379">
        <v>2.777777777777778E-2</v>
      </c>
    </row>
    <row r="2128" spans="1:10" x14ac:dyDescent="0.35">
      <c r="A2128" s="5">
        <v>2124</v>
      </c>
      <c r="B2128" s="5">
        <v>89</v>
      </c>
      <c r="C2128" s="5">
        <v>3</v>
      </c>
      <c r="D2128" s="379">
        <v>63.709444444444436</v>
      </c>
      <c r="E2128" s="25">
        <v>24.84</v>
      </c>
      <c r="F2128" s="379">
        <v>3.2727733956087586</v>
      </c>
      <c r="G2128" s="25">
        <v>30.91</v>
      </c>
      <c r="H2128" s="379">
        <v>1.906589528194125</v>
      </c>
      <c r="I2128" s="25">
        <v>33.67</v>
      </c>
      <c r="J2128" s="379">
        <v>2.777777777777778E-2</v>
      </c>
    </row>
    <row r="2129" spans="1:10" x14ac:dyDescent="0.35">
      <c r="A2129" s="5">
        <v>2125</v>
      </c>
      <c r="B2129" s="5">
        <v>89</v>
      </c>
      <c r="C2129" s="5">
        <v>3</v>
      </c>
      <c r="D2129" s="379">
        <v>61.037222222222226</v>
      </c>
      <c r="E2129" s="25">
        <v>24.84</v>
      </c>
      <c r="F2129" s="379">
        <v>3.2727733956087586</v>
      </c>
      <c r="G2129" s="25">
        <v>30.91</v>
      </c>
      <c r="H2129" s="379">
        <v>1.3264521032071313</v>
      </c>
      <c r="I2129" s="25">
        <v>33.67</v>
      </c>
      <c r="J2129" s="379">
        <v>2.777777777777778E-2</v>
      </c>
    </row>
    <row r="2130" spans="1:10" x14ac:dyDescent="0.35">
      <c r="A2130" s="5">
        <v>2126</v>
      </c>
      <c r="B2130" s="5">
        <v>89</v>
      </c>
      <c r="C2130" s="5">
        <v>3</v>
      </c>
      <c r="D2130" s="379">
        <v>61.397777777777769</v>
      </c>
      <c r="E2130" s="25">
        <v>24.84</v>
      </c>
      <c r="F2130" s="379">
        <v>3.2727733956087586</v>
      </c>
      <c r="G2130" s="25">
        <v>30.57</v>
      </c>
      <c r="H2130" s="379">
        <v>1.3264521032071313</v>
      </c>
      <c r="I2130" s="25">
        <v>33.67</v>
      </c>
      <c r="J2130" s="379">
        <v>2.777777777777778E-2</v>
      </c>
    </row>
    <row r="2131" spans="1:10" x14ac:dyDescent="0.35">
      <c r="A2131" s="5">
        <v>2127</v>
      </c>
      <c r="B2131" s="5">
        <v>89</v>
      </c>
      <c r="C2131" s="5">
        <v>3</v>
      </c>
      <c r="D2131" s="379">
        <v>61.304444444444442</v>
      </c>
      <c r="E2131" s="25">
        <v>24.73</v>
      </c>
      <c r="F2131" s="379">
        <v>3.2727733956087586</v>
      </c>
      <c r="G2131" s="25">
        <v>30.57</v>
      </c>
      <c r="H2131" s="379">
        <v>1.3264521032071313</v>
      </c>
      <c r="I2131" s="25">
        <v>33.67</v>
      </c>
      <c r="J2131" s="379">
        <v>2.777777777777778E-2</v>
      </c>
    </row>
    <row r="2132" spans="1:10" x14ac:dyDescent="0.35">
      <c r="A2132" s="5">
        <v>2128</v>
      </c>
      <c r="B2132" s="5">
        <v>89</v>
      </c>
      <c r="C2132" s="5">
        <v>3</v>
      </c>
      <c r="D2132" s="379">
        <v>65.13</v>
      </c>
      <c r="E2132" s="25">
        <v>24.26</v>
      </c>
      <c r="F2132" s="379">
        <v>3.2727733956087586</v>
      </c>
      <c r="G2132" s="25">
        <v>30.57</v>
      </c>
      <c r="H2132" s="379">
        <v>1.8209670274694856</v>
      </c>
      <c r="I2132" s="25">
        <v>33.67</v>
      </c>
      <c r="J2132" s="379">
        <v>2.777777777777778E-2</v>
      </c>
    </row>
    <row r="2133" spans="1:10" x14ac:dyDescent="0.35">
      <c r="A2133" s="5">
        <v>2129</v>
      </c>
      <c r="B2133" s="5">
        <v>89</v>
      </c>
      <c r="C2133" s="5">
        <v>3</v>
      </c>
      <c r="D2133" s="379">
        <v>68.254444444444431</v>
      </c>
      <c r="E2133" s="25">
        <v>24.84</v>
      </c>
      <c r="F2133" s="379">
        <v>3.2727733956087586</v>
      </c>
      <c r="G2133" s="25">
        <v>30.57</v>
      </c>
      <c r="H2133" s="379">
        <v>1.8209670274694856</v>
      </c>
      <c r="I2133" s="25">
        <v>33.67</v>
      </c>
      <c r="J2133" s="379">
        <v>2.777777777777778E-2</v>
      </c>
    </row>
    <row r="2134" spans="1:10" x14ac:dyDescent="0.35">
      <c r="A2134" s="5">
        <v>2130</v>
      </c>
      <c r="B2134" s="5">
        <v>89</v>
      </c>
      <c r="C2134" s="5">
        <v>3</v>
      </c>
      <c r="D2134" s="379">
        <v>71.572777777777773</v>
      </c>
      <c r="E2134" s="25">
        <v>24.84</v>
      </c>
      <c r="F2134" s="379">
        <v>3.2727733956087586</v>
      </c>
      <c r="G2134" s="25">
        <v>31.82</v>
      </c>
      <c r="H2134" s="379">
        <v>2.4644097064148842</v>
      </c>
      <c r="I2134" s="25">
        <v>33.67</v>
      </c>
      <c r="J2134" s="379">
        <v>2.777777777777778E-2</v>
      </c>
    </row>
    <row r="2135" spans="1:10" x14ac:dyDescent="0.35">
      <c r="A2135" s="5">
        <v>2131</v>
      </c>
      <c r="B2135" s="5">
        <v>89</v>
      </c>
      <c r="C2135" s="5">
        <v>3</v>
      </c>
      <c r="D2135" s="379">
        <v>73.578888888888869</v>
      </c>
      <c r="E2135" s="25">
        <v>24.84</v>
      </c>
      <c r="F2135" s="379">
        <v>6.2429061149561794E-2</v>
      </c>
      <c r="G2135" s="25">
        <v>36.369999999999997</v>
      </c>
      <c r="H2135" s="379">
        <v>2.8189057825014529E-2</v>
      </c>
      <c r="I2135" s="25">
        <v>34.07</v>
      </c>
      <c r="J2135" s="379">
        <v>2.777777777777778E-2</v>
      </c>
    </row>
    <row r="2136" spans="1:10" x14ac:dyDescent="0.35">
      <c r="A2136" s="5">
        <v>2132</v>
      </c>
      <c r="B2136" s="5">
        <v>89</v>
      </c>
      <c r="C2136" s="5">
        <v>3</v>
      </c>
      <c r="D2136" s="379">
        <v>67.594999999999999</v>
      </c>
      <c r="E2136" s="25">
        <v>24.84</v>
      </c>
      <c r="F2136" s="379">
        <v>6.2429061149561794E-2</v>
      </c>
      <c r="G2136" s="25">
        <v>39.770000000000003</v>
      </c>
      <c r="H2136" s="379">
        <v>3.6016145196423821E-2</v>
      </c>
      <c r="I2136" s="25">
        <v>34.29</v>
      </c>
      <c r="J2136" s="379">
        <v>9.8368949984168119E-2</v>
      </c>
    </row>
    <row r="2137" spans="1:10" x14ac:dyDescent="0.35">
      <c r="A2137" s="5">
        <v>2133</v>
      </c>
      <c r="B2137" s="5">
        <v>89</v>
      </c>
      <c r="C2137" s="5">
        <v>3</v>
      </c>
      <c r="D2137" s="379">
        <v>65.002222222222215</v>
      </c>
      <c r="E2137" s="25">
        <v>24.84</v>
      </c>
      <c r="F2137" s="379">
        <v>3.2984688817194554</v>
      </c>
      <c r="G2137" s="25">
        <v>38.61</v>
      </c>
      <c r="H2137" s="379">
        <v>2.4719600920173552</v>
      </c>
      <c r="I2137" s="25">
        <v>33.67</v>
      </c>
      <c r="J2137" s="379">
        <v>2.8277465877357716E-2</v>
      </c>
    </row>
    <row r="2138" spans="1:10" x14ac:dyDescent="0.35">
      <c r="A2138" s="5">
        <v>2134</v>
      </c>
      <c r="B2138" s="5">
        <v>89</v>
      </c>
      <c r="C2138" s="5">
        <v>3</v>
      </c>
      <c r="D2138" s="379">
        <v>63.300000000000004</v>
      </c>
      <c r="E2138" s="25">
        <v>24.84</v>
      </c>
      <c r="F2138" s="379">
        <v>3.2818063309411873</v>
      </c>
      <c r="G2138" s="25">
        <v>33.9</v>
      </c>
      <c r="H2138" s="379">
        <v>2.4644097064148842</v>
      </c>
      <c r="I2138" s="25">
        <v>33.67</v>
      </c>
      <c r="J2138" s="379">
        <v>2.8277465877357716E-2</v>
      </c>
    </row>
    <row r="2139" spans="1:10" x14ac:dyDescent="0.35">
      <c r="A2139" s="5">
        <v>2135</v>
      </c>
      <c r="B2139" s="5">
        <v>89</v>
      </c>
      <c r="C2139" s="5">
        <v>3</v>
      </c>
      <c r="D2139" s="379">
        <v>58.322777777777773</v>
      </c>
      <c r="E2139" s="25">
        <v>24.73</v>
      </c>
      <c r="F2139" s="379">
        <v>3.2727733956087586</v>
      </c>
      <c r="G2139" s="25">
        <v>30.57</v>
      </c>
      <c r="H2139" s="379">
        <v>2.4644097064148842</v>
      </c>
      <c r="I2139" s="25">
        <v>33.67</v>
      </c>
      <c r="J2139" s="379">
        <v>2.8277465877357716E-2</v>
      </c>
    </row>
    <row r="2140" spans="1:10" x14ac:dyDescent="0.35">
      <c r="A2140" s="5">
        <v>2136</v>
      </c>
      <c r="B2140" s="5">
        <v>89</v>
      </c>
      <c r="C2140" s="5">
        <v>3</v>
      </c>
      <c r="D2140" s="379">
        <v>57.882222222222232</v>
      </c>
      <c r="E2140" s="25">
        <v>21.98</v>
      </c>
      <c r="F2140" s="379">
        <v>3.2727733956087586</v>
      </c>
      <c r="G2140" s="25">
        <v>30.03</v>
      </c>
      <c r="H2140" s="379">
        <v>2.4644097064148842</v>
      </c>
      <c r="I2140" s="25">
        <v>33.67</v>
      </c>
      <c r="J2140" s="379">
        <v>2.777777777777778E-2</v>
      </c>
    </row>
    <row r="2141" spans="1:10" x14ac:dyDescent="0.35">
      <c r="A2141" s="5">
        <v>2137</v>
      </c>
      <c r="B2141" s="5">
        <v>90</v>
      </c>
      <c r="C2141" s="5">
        <v>3</v>
      </c>
      <c r="D2141" s="379">
        <v>58.231666666666669</v>
      </c>
      <c r="E2141" s="25">
        <v>17.63</v>
      </c>
      <c r="F2141" s="379">
        <v>3.2727733956087586</v>
      </c>
      <c r="G2141" s="25">
        <v>30.03</v>
      </c>
      <c r="H2141" s="379">
        <v>2.4644097064148842</v>
      </c>
      <c r="I2141" s="25">
        <v>33.22</v>
      </c>
      <c r="J2141" s="379">
        <v>2.777777777777778E-2</v>
      </c>
    </row>
    <row r="2142" spans="1:10" x14ac:dyDescent="0.35">
      <c r="A2142" s="5">
        <v>2138</v>
      </c>
      <c r="B2142" s="5">
        <v>90</v>
      </c>
      <c r="C2142" s="5">
        <v>3</v>
      </c>
      <c r="D2142" s="379">
        <v>54.705555555555556</v>
      </c>
      <c r="E2142" s="25">
        <v>16.78</v>
      </c>
      <c r="F2142" s="379">
        <v>3.2727733956087586</v>
      </c>
      <c r="G2142" s="25">
        <v>30.03</v>
      </c>
      <c r="H2142" s="379">
        <v>2.4644097064148842</v>
      </c>
      <c r="I2142" s="25">
        <v>33.67</v>
      </c>
      <c r="J2142" s="379">
        <v>2.777777777777778E-2</v>
      </c>
    </row>
    <row r="2143" spans="1:10" x14ac:dyDescent="0.35">
      <c r="A2143" s="5">
        <v>2139</v>
      </c>
      <c r="B2143" s="5">
        <v>90</v>
      </c>
      <c r="C2143" s="5">
        <v>3</v>
      </c>
      <c r="D2143" s="379">
        <v>52.411111111111111</v>
      </c>
      <c r="E2143" s="25">
        <v>16.78</v>
      </c>
      <c r="F2143" s="379">
        <v>3.2727733956087586</v>
      </c>
      <c r="G2143" s="25">
        <v>30.03</v>
      </c>
      <c r="H2143" s="379">
        <v>2.4644097064148842</v>
      </c>
      <c r="I2143" s="25">
        <v>32.880000000000003</v>
      </c>
      <c r="J2143" s="379">
        <v>2.777777777777778E-2</v>
      </c>
    </row>
    <row r="2144" spans="1:10" x14ac:dyDescent="0.35">
      <c r="A2144" s="5">
        <v>2140</v>
      </c>
      <c r="B2144" s="5">
        <v>90</v>
      </c>
      <c r="C2144" s="5">
        <v>3</v>
      </c>
      <c r="D2144" s="379">
        <v>55.257777777777783</v>
      </c>
      <c r="E2144" s="25">
        <v>16.78</v>
      </c>
      <c r="F2144" s="379">
        <v>3.2727733956087586</v>
      </c>
      <c r="G2144" s="25">
        <v>30.03</v>
      </c>
      <c r="H2144" s="379">
        <v>2.4644097064148842</v>
      </c>
      <c r="I2144" s="25">
        <v>32.880000000000003</v>
      </c>
      <c r="J2144" s="379">
        <v>2.777777777777778E-2</v>
      </c>
    </row>
    <row r="2145" spans="1:10" x14ac:dyDescent="0.35">
      <c r="A2145" s="5">
        <v>2141</v>
      </c>
      <c r="B2145" s="5">
        <v>90</v>
      </c>
      <c r="C2145" s="5">
        <v>3</v>
      </c>
      <c r="D2145" s="379">
        <v>57.778888888888886</v>
      </c>
      <c r="E2145" s="25">
        <v>17.559999999999999</v>
      </c>
      <c r="F2145" s="379">
        <v>3.2727733956087586</v>
      </c>
      <c r="G2145" s="25">
        <v>30.03</v>
      </c>
      <c r="H2145" s="379">
        <v>2.2864617371680129</v>
      </c>
      <c r="I2145" s="25">
        <v>32.880000000000003</v>
      </c>
      <c r="J2145" s="379">
        <v>2.777777777777778E-2</v>
      </c>
    </row>
    <row r="2146" spans="1:10" x14ac:dyDescent="0.35">
      <c r="A2146" s="5">
        <v>2142</v>
      </c>
      <c r="B2146" s="5">
        <v>90</v>
      </c>
      <c r="C2146" s="5">
        <v>3</v>
      </c>
      <c r="D2146" s="379">
        <v>66.25333333333333</v>
      </c>
      <c r="E2146" s="25">
        <v>21.75</v>
      </c>
      <c r="F2146" s="379">
        <v>3.2727733956087586</v>
      </c>
      <c r="G2146" s="25">
        <v>30.03</v>
      </c>
      <c r="H2146" s="379">
        <v>2.2864617371680129</v>
      </c>
      <c r="I2146" s="25">
        <v>33.67</v>
      </c>
      <c r="J2146" s="379">
        <v>2.777777777777778E-2</v>
      </c>
    </row>
    <row r="2147" spans="1:10" x14ac:dyDescent="0.35">
      <c r="A2147" s="5">
        <v>2143</v>
      </c>
      <c r="B2147" s="5">
        <v>90</v>
      </c>
      <c r="C2147" s="5">
        <v>3</v>
      </c>
      <c r="D2147" s="379">
        <v>76.658333333333346</v>
      </c>
      <c r="E2147" s="25">
        <v>23.59</v>
      </c>
      <c r="F2147" s="379">
        <v>3.2727733956087586</v>
      </c>
      <c r="G2147" s="25">
        <v>30.03</v>
      </c>
      <c r="H2147" s="379">
        <v>2.2864617371680129</v>
      </c>
      <c r="I2147" s="25">
        <v>33.67</v>
      </c>
      <c r="J2147" s="379">
        <v>2.777777777777778E-2</v>
      </c>
    </row>
    <row r="2148" spans="1:10" x14ac:dyDescent="0.35">
      <c r="A2148" s="5">
        <v>2144</v>
      </c>
      <c r="B2148" s="5">
        <v>90</v>
      </c>
      <c r="C2148" s="5">
        <v>3</v>
      </c>
      <c r="D2148" s="379">
        <v>82.518333333333345</v>
      </c>
      <c r="E2148" s="25">
        <v>24.11</v>
      </c>
      <c r="F2148" s="379">
        <v>3.2727733956087586</v>
      </c>
      <c r="G2148" s="25">
        <v>31.52</v>
      </c>
      <c r="H2148" s="379">
        <v>2.4644097064148842</v>
      </c>
      <c r="I2148" s="25">
        <v>33.67</v>
      </c>
      <c r="J2148" s="379">
        <v>2.777777777777778E-2</v>
      </c>
    </row>
    <row r="2149" spans="1:10" x14ac:dyDescent="0.35">
      <c r="A2149" s="5">
        <v>2145</v>
      </c>
      <c r="B2149" s="5">
        <v>90</v>
      </c>
      <c r="C2149" s="5">
        <v>3</v>
      </c>
      <c r="D2149" s="379">
        <v>78.918888888888887</v>
      </c>
      <c r="E2149" s="25">
        <v>24.11</v>
      </c>
      <c r="F2149" s="379">
        <v>3.2727733956087586</v>
      </c>
      <c r="G2149" s="25">
        <v>34.28</v>
      </c>
      <c r="H2149" s="379">
        <v>2.4011044524564795</v>
      </c>
      <c r="I2149" s="25">
        <v>33.67</v>
      </c>
      <c r="J2149" s="379">
        <v>2.777777777777778E-2</v>
      </c>
    </row>
    <row r="2150" spans="1:10" x14ac:dyDescent="0.35">
      <c r="A2150" s="5">
        <v>2146</v>
      </c>
      <c r="B2150" s="5">
        <v>90</v>
      </c>
      <c r="C2150" s="5">
        <v>3</v>
      </c>
      <c r="D2150" s="379">
        <v>72.427222222222227</v>
      </c>
      <c r="E2150" s="25">
        <v>24.11</v>
      </c>
      <c r="F2150" s="379">
        <v>3.2727733956087586</v>
      </c>
      <c r="G2150" s="25">
        <v>31.21</v>
      </c>
      <c r="H2150" s="379">
        <v>1.8209670274694856</v>
      </c>
      <c r="I2150" s="25">
        <v>33.67</v>
      </c>
      <c r="J2150" s="379">
        <v>2.777777777777778E-2</v>
      </c>
    </row>
    <row r="2151" spans="1:10" x14ac:dyDescent="0.35">
      <c r="A2151" s="5">
        <v>2147</v>
      </c>
      <c r="B2151" s="5">
        <v>90</v>
      </c>
      <c r="C2151" s="5">
        <v>3</v>
      </c>
      <c r="D2151" s="379">
        <v>67.37833333333333</v>
      </c>
      <c r="E2151" s="25">
        <v>24.01</v>
      </c>
      <c r="F2151" s="379">
        <v>3.2727733956087586</v>
      </c>
      <c r="G2151" s="25">
        <v>30.03</v>
      </c>
      <c r="H2151" s="379">
        <v>0.16824233019147578</v>
      </c>
      <c r="I2151" s="25">
        <v>33.67</v>
      </c>
      <c r="J2151" s="379">
        <v>2.777777777777778E-2</v>
      </c>
    </row>
    <row r="2152" spans="1:10" x14ac:dyDescent="0.35">
      <c r="A2152" s="5">
        <v>2148</v>
      </c>
      <c r="B2152" s="5">
        <v>90</v>
      </c>
      <c r="C2152" s="5">
        <v>3</v>
      </c>
      <c r="D2152" s="379">
        <v>64.013333333333321</v>
      </c>
      <c r="E2152" s="25">
        <v>23.84</v>
      </c>
      <c r="F2152" s="379">
        <v>3.2727733956087586</v>
      </c>
      <c r="G2152" s="25">
        <v>30.03</v>
      </c>
      <c r="H2152" s="379">
        <v>0.13720564219326159</v>
      </c>
      <c r="I2152" s="25">
        <v>32.880000000000003</v>
      </c>
      <c r="J2152" s="379">
        <v>2.777777777777778E-2</v>
      </c>
    </row>
    <row r="2153" spans="1:10" x14ac:dyDescent="0.35">
      <c r="A2153" s="5">
        <v>2149</v>
      </c>
      <c r="B2153" s="5">
        <v>90</v>
      </c>
      <c r="C2153" s="5">
        <v>3</v>
      </c>
      <c r="D2153" s="379">
        <v>63.357222222222227</v>
      </c>
      <c r="E2153" s="25">
        <v>23.59</v>
      </c>
      <c r="F2153" s="379">
        <v>3.2727733956087586</v>
      </c>
      <c r="G2153" s="25">
        <v>30.03</v>
      </c>
      <c r="H2153" s="379">
        <v>2.983374850025141E-2</v>
      </c>
      <c r="I2153" s="25">
        <v>32.880000000000003</v>
      </c>
      <c r="J2153" s="379">
        <v>2.777777777777778E-2</v>
      </c>
    </row>
    <row r="2154" spans="1:10" x14ac:dyDescent="0.35">
      <c r="A2154" s="5">
        <v>2150</v>
      </c>
      <c r="B2154" s="5">
        <v>90</v>
      </c>
      <c r="C2154" s="5">
        <v>3</v>
      </c>
      <c r="D2154" s="379">
        <v>62.692777777777778</v>
      </c>
      <c r="E2154" s="25">
        <v>23.31</v>
      </c>
      <c r="F2154" s="379">
        <v>2.6416491641187259</v>
      </c>
      <c r="G2154" s="25">
        <v>30.03</v>
      </c>
      <c r="H2154" s="379">
        <v>2.983374850025141E-2</v>
      </c>
      <c r="I2154" s="25">
        <v>32.119999999999997</v>
      </c>
      <c r="J2154" s="379">
        <v>2.777777777777778E-2</v>
      </c>
    </row>
    <row r="2155" spans="1:10" x14ac:dyDescent="0.35">
      <c r="A2155" s="5">
        <v>2151</v>
      </c>
      <c r="B2155" s="5">
        <v>90</v>
      </c>
      <c r="C2155" s="5">
        <v>3</v>
      </c>
      <c r="D2155" s="379">
        <v>61.689444444444447</v>
      </c>
      <c r="E2155" s="25">
        <v>23.31</v>
      </c>
      <c r="F2155" s="379">
        <v>2.6416491641187259</v>
      </c>
      <c r="G2155" s="25">
        <v>30.03</v>
      </c>
      <c r="H2155" s="379">
        <v>2.983374850025141E-2</v>
      </c>
      <c r="I2155" s="25">
        <v>32.119999999999997</v>
      </c>
      <c r="J2155" s="379">
        <v>2.777777777777778E-2</v>
      </c>
    </row>
    <row r="2156" spans="1:10" x14ac:dyDescent="0.35">
      <c r="A2156" s="5">
        <v>2152</v>
      </c>
      <c r="B2156" s="5">
        <v>90</v>
      </c>
      <c r="C2156" s="5">
        <v>3</v>
      </c>
      <c r="D2156" s="379">
        <v>61.201666666666668</v>
      </c>
      <c r="E2156" s="25">
        <v>23.31</v>
      </c>
      <c r="F2156" s="379">
        <v>2.6416491641187259</v>
      </c>
      <c r="G2156" s="25">
        <v>30.03</v>
      </c>
      <c r="H2156" s="379">
        <v>0.27220483582498023</v>
      </c>
      <c r="I2156" s="25">
        <v>32.119999999999997</v>
      </c>
      <c r="J2156" s="379">
        <v>2.777777777777778E-2</v>
      </c>
    </row>
    <row r="2157" spans="1:10" x14ac:dyDescent="0.35">
      <c r="A2157" s="5">
        <v>2153</v>
      </c>
      <c r="B2157" s="5">
        <v>90</v>
      </c>
      <c r="C2157" s="5">
        <v>3</v>
      </c>
      <c r="D2157" s="379">
        <v>61.291666666666664</v>
      </c>
      <c r="E2157" s="25">
        <v>23.59</v>
      </c>
      <c r="F2157" s="379">
        <v>2.6416491641187259</v>
      </c>
      <c r="G2157" s="25">
        <v>30.03</v>
      </c>
      <c r="H2157" s="379">
        <v>0.27220483582498023</v>
      </c>
      <c r="I2157" s="25">
        <v>32.880000000000003</v>
      </c>
      <c r="J2157" s="379">
        <v>2.777777777777778E-2</v>
      </c>
    </row>
    <row r="2158" spans="1:10" x14ac:dyDescent="0.35">
      <c r="A2158" s="5">
        <v>2154</v>
      </c>
      <c r="B2158" s="5">
        <v>90</v>
      </c>
      <c r="C2158" s="5">
        <v>3</v>
      </c>
      <c r="D2158" s="379">
        <v>67.051111111111112</v>
      </c>
      <c r="E2158" s="25">
        <v>23.59</v>
      </c>
      <c r="F2158" s="379">
        <v>3.2727733956087586</v>
      </c>
      <c r="G2158" s="25">
        <v>30.03</v>
      </c>
      <c r="H2158" s="379">
        <v>0.60903032330031137</v>
      </c>
      <c r="I2158" s="25">
        <v>32.880000000000003</v>
      </c>
      <c r="J2158" s="379">
        <v>2.777777777777778E-2</v>
      </c>
    </row>
    <row r="2159" spans="1:10" x14ac:dyDescent="0.35">
      <c r="A2159" s="5">
        <v>2155</v>
      </c>
      <c r="B2159" s="5">
        <v>90</v>
      </c>
      <c r="C2159" s="5">
        <v>3</v>
      </c>
      <c r="D2159" s="379">
        <v>74.38000000000001</v>
      </c>
      <c r="E2159" s="25">
        <v>24.11</v>
      </c>
      <c r="F2159" s="379">
        <v>3.4795989657869546</v>
      </c>
      <c r="G2159" s="25">
        <v>30.03</v>
      </c>
      <c r="H2159" s="379">
        <v>2.777777777777778E-2</v>
      </c>
      <c r="I2159" s="25">
        <v>33.67</v>
      </c>
      <c r="J2159" s="379">
        <v>2.777777777777778E-2</v>
      </c>
    </row>
    <row r="2160" spans="1:10" x14ac:dyDescent="0.35">
      <c r="A2160" s="5">
        <v>2156</v>
      </c>
      <c r="B2160" s="5">
        <v>90</v>
      </c>
      <c r="C2160" s="5">
        <v>3</v>
      </c>
      <c r="D2160" s="379">
        <v>67.165000000000006</v>
      </c>
      <c r="E2160" s="25">
        <v>24.11</v>
      </c>
      <c r="F2160" s="379">
        <v>2.777777777777778E-2</v>
      </c>
      <c r="G2160" s="25">
        <v>32.19</v>
      </c>
      <c r="H2160" s="379">
        <v>2.504180110945613</v>
      </c>
      <c r="I2160" s="25">
        <v>33.67</v>
      </c>
      <c r="J2160" s="379">
        <v>7.254935548558937E-2</v>
      </c>
    </row>
    <row r="2161" spans="1:10" x14ac:dyDescent="0.35">
      <c r="A2161" s="5">
        <v>2157</v>
      </c>
      <c r="B2161" s="5">
        <v>90</v>
      </c>
      <c r="C2161" s="5">
        <v>3</v>
      </c>
      <c r="D2161" s="379">
        <v>56.119444444444454</v>
      </c>
      <c r="E2161" s="25">
        <v>24.11</v>
      </c>
      <c r="F2161" s="379">
        <v>3.2627480248889923E-2</v>
      </c>
      <c r="G2161" s="25">
        <v>30.57</v>
      </c>
      <c r="H2161" s="379">
        <v>2.4945198195266998</v>
      </c>
      <c r="I2161" s="25">
        <v>33.67</v>
      </c>
      <c r="J2161" s="379">
        <v>3.3031141017737971E-2</v>
      </c>
    </row>
    <row r="2162" spans="1:10" x14ac:dyDescent="0.35">
      <c r="A2162" s="5">
        <v>2158</v>
      </c>
      <c r="B2162" s="5">
        <v>90</v>
      </c>
      <c r="C2162" s="5">
        <v>3</v>
      </c>
      <c r="D2162" s="379">
        <v>55.262222222222228</v>
      </c>
      <c r="E2162" s="25">
        <v>24.11</v>
      </c>
      <c r="F2162" s="379">
        <v>3.2727733956087586</v>
      </c>
      <c r="G2162" s="25">
        <v>30.03</v>
      </c>
      <c r="H2162" s="379">
        <v>2.4547494149959705</v>
      </c>
      <c r="I2162" s="25">
        <v>33.67</v>
      </c>
      <c r="J2162" s="379">
        <v>2.777777777777778E-2</v>
      </c>
    </row>
    <row r="2163" spans="1:10" x14ac:dyDescent="0.35">
      <c r="A2163" s="5">
        <v>2159</v>
      </c>
      <c r="B2163" s="5">
        <v>90</v>
      </c>
      <c r="C2163" s="5">
        <v>3</v>
      </c>
      <c r="D2163" s="379">
        <v>53.359444444444442</v>
      </c>
      <c r="E2163" s="25">
        <v>23.73</v>
      </c>
      <c r="F2163" s="379">
        <v>3.2727733956087586</v>
      </c>
      <c r="G2163" s="25">
        <v>30.03</v>
      </c>
      <c r="H2163" s="379">
        <v>2.4547494149959705</v>
      </c>
      <c r="I2163" s="25">
        <v>33.67</v>
      </c>
      <c r="J2163" s="379">
        <v>2.777777777777778E-2</v>
      </c>
    </row>
    <row r="2164" spans="1:10" x14ac:dyDescent="0.35">
      <c r="A2164" s="5">
        <v>2160</v>
      </c>
      <c r="B2164" s="5">
        <v>90</v>
      </c>
      <c r="C2164" s="5">
        <v>3</v>
      </c>
      <c r="D2164" s="379">
        <v>55.308333333333337</v>
      </c>
      <c r="E2164" s="25">
        <v>21.24</v>
      </c>
      <c r="F2164" s="379">
        <v>3.2727733956087586</v>
      </c>
      <c r="G2164" s="25">
        <v>30.03</v>
      </c>
      <c r="H2164" s="379">
        <v>2.4547494149959705</v>
      </c>
      <c r="I2164" s="25">
        <v>33.67</v>
      </c>
      <c r="J2164" s="379">
        <v>2.777777777777778E-2</v>
      </c>
    </row>
    <row r="2165" spans="1:10" x14ac:dyDescent="0.35">
      <c r="A2165" s="5">
        <v>2161</v>
      </c>
      <c r="B2165" s="5">
        <v>91</v>
      </c>
      <c r="C2165" s="5">
        <v>4</v>
      </c>
      <c r="D2165" s="379">
        <v>50.532222222222217</v>
      </c>
      <c r="E2165" s="25">
        <v>16.62</v>
      </c>
      <c r="F2165" s="379">
        <v>3.2727733956087586</v>
      </c>
      <c r="G2165" s="25">
        <v>30.03</v>
      </c>
      <c r="H2165" s="379">
        <v>2.4011044524564795</v>
      </c>
      <c r="I2165" s="25">
        <v>33.67</v>
      </c>
      <c r="J2165" s="379">
        <v>2.777777777777778E-2</v>
      </c>
    </row>
    <row r="2166" spans="1:10" x14ac:dyDescent="0.35">
      <c r="A2166" s="5">
        <v>2162</v>
      </c>
      <c r="B2166" s="5">
        <v>91</v>
      </c>
      <c r="C2166" s="5">
        <v>4</v>
      </c>
      <c r="D2166" s="379">
        <v>51.24777777777777</v>
      </c>
      <c r="E2166" s="25">
        <v>15.97</v>
      </c>
      <c r="F2166" s="379">
        <v>3.2727733956087586</v>
      </c>
      <c r="G2166" s="25">
        <v>30.03</v>
      </c>
      <c r="H2166" s="379">
        <v>2.4011044524564795</v>
      </c>
      <c r="I2166" s="25">
        <v>33.380000000000003</v>
      </c>
      <c r="J2166" s="379">
        <v>2.777777777777778E-2</v>
      </c>
    </row>
    <row r="2167" spans="1:10" x14ac:dyDescent="0.35">
      <c r="A2167" s="5">
        <v>2163</v>
      </c>
      <c r="B2167" s="5">
        <v>91</v>
      </c>
      <c r="C2167" s="5">
        <v>4</v>
      </c>
      <c r="D2167" s="379">
        <v>53.647222222222219</v>
      </c>
      <c r="E2167" s="25">
        <v>15.82</v>
      </c>
      <c r="F2167" s="379">
        <v>3.2727733956087586</v>
      </c>
      <c r="G2167" s="25">
        <v>30.03</v>
      </c>
      <c r="H2167" s="379">
        <v>2.4011044524564795</v>
      </c>
      <c r="I2167" s="25">
        <v>33.340000000000003</v>
      </c>
      <c r="J2167" s="379">
        <v>2.777777777777778E-2</v>
      </c>
    </row>
    <row r="2168" spans="1:10" x14ac:dyDescent="0.35">
      <c r="A2168" s="5">
        <v>2164</v>
      </c>
      <c r="B2168" s="5">
        <v>91</v>
      </c>
      <c r="C2168" s="5">
        <v>4</v>
      </c>
      <c r="D2168" s="379">
        <v>53.93</v>
      </c>
      <c r="E2168" s="25">
        <v>16.45</v>
      </c>
      <c r="F2168" s="379">
        <v>3.2727733956087586</v>
      </c>
      <c r="G2168" s="25">
        <v>30.03</v>
      </c>
      <c r="H2168" s="379">
        <v>2.4011044524564795</v>
      </c>
      <c r="I2168" s="25">
        <v>33.340000000000003</v>
      </c>
      <c r="J2168" s="379">
        <v>2.777777777777778E-2</v>
      </c>
    </row>
    <row r="2169" spans="1:10" x14ac:dyDescent="0.35">
      <c r="A2169" s="5">
        <v>2165</v>
      </c>
      <c r="B2169" s="5">
        <v>91</v>
      </c>
      <c r="C2169" s="5">
        <v>4</v>
      </c>
      <c r="D2169" s="379">
        <v>55.242777777777775</v>
      </c>
      <c r="E2169" s="25">
        <v>15.51</v>
      </c>
      <c r="F2169" s="379">
        <v>3.2727733956087586</v>
      </c>
      <c r="G2169" s="25">
        <v>30.03</v>
      </c>
      <c r="H2169" s="379">
        <v>1.8209670274694856</v>
      </c>
      <c r="I2169" s="25">
        <v>33.340000000000003</v>
      </c>
      <c r="J2169" s="379">
        <v>2.777777777777778E-2</v>
      </c>
    </row>
    <row r="2170" spans="1:10" x14ac:dyDescent="0.35">
      <c r="A2170" s="5">
        <v>2166</v>
      </c>
      <c r="B2170" s="5">
        <v>91</v>
      </c>
      <c r="C2170" s="5">
        <v>4</v>
      </c>
      <c r="D2170" s="379">
        <v>56.523333333333333</v>
      </c>
      <c r="E2170" s="25">
        <v>20.5</v>
      </c>
      <c r="F2170" s="379">
        <v>3.2727733956087586</v>
      </c>
      <c r="G2170" s="25">
        <v>30.03</v>
      </c>
      <c r="H2170" s="379">
        <v>1.8209670274694856</v>
      </c>
      <c r="I2170" s="25">
        <v>33.67</v>
      </c>
      <c r="J2170" s="379">
        <v>2.777777777777778E-2</v>
      </c>
    </row>
    <row r="2171" spans="1:10" x14ac:dyDescent="0.35">
      <c r="A2171" s="5">
        <v>2167</v>
      </c>
      <c r="B2171" s="5">
        <v>91</v>
      </c>
      <c r="C2171" s="5">
        <v>4</v>
      </c>
      <c r="D2171" s="379">
        <v>60.197222222222216</v>
      </c>
      <c r="E2171" s="25">
        <v>24.73</v>
      </c>
      <c r="F2171" s="379">
        <v>3.2727733956087586</v>
      </c>
      <c r="G2171" s="25">
        <v>30.03</v>
      </c>
      <c r="H2171" s="379">
        <v>1.9639420005650425</v>
      </c>
      <c r="I2171" s="25">
        <v>33.67</v>
      </c>
      <c r="J2171" s="379">
        <v>2.777777777777778E-2</v>
      </c>
    </row>
    <row r="2172" spans="1:10" x14ac:dyDescent="0.35">
      <c r="A2172" s="5">
        <v>2168</v>
      </c>
      <c r="B2172" s="5">
        <v>91</v>
      </c>
      <c r="C2172" s="5">
        <v>4</v>
      </c>
      <c r="D2172" s="379">
        <v>67.686111111111103</v>
      </c>
      <c r="E2172" s="25">
        <v>24.84</v>
      </c>
      <c r="F2172" s="379">
        <v>3.2727733956087586</v>
      </c>
      <c r="G2172" s="25">
        <v>30.93</v>
      </c>
      <c r="H2172" s="379">
        <v>1.9639420005650425</v>
      </c>
      <c r="I2172" s="25">
        <v>33.67</v>
      </c>
      <c r="J2172" s="379">
        <v>2.777777777777778E-2</v>
      </c>
    </row>
    <row r="2173" spans="1:10" x14ac:dyDescent="0.35">
      <c r="A2173" s="5">
        <v>2169</v>
      </c>
      <c r="B2173" s="5">
        <v>91</v>
      </c>
      <c r="C2173" s="5">
        <v>4</v>
      </c>
      <c r="D2173" s="379">
        <v>68.154444444444437</v>
      </c>
      <c r="E2173" s="25">
        <v>24.84</v>
      </c>
      <c r="F2173" s="379">
        <v>3.2727733956087586</v>
      </c>
      <c r="G2173" s="25">
        <v>31.49</v>
      </c>
      <c r="H2173" s="379">
        <v>1.3264521032071313</v>
      </c>
      <c r="I2173" s="25">
        <v>33.67</v>
      </c>
      <c r="J2173" s="379">
        <v>2.777777777777778E-2</v>
      </c>
    </row>
    <row r="2174" spans="1:10" x14ac:dyDescent="0.35">
      <c r="A2174" s="5">
        <v>2170</v>
      </c>
      <c r="B2174" s="5">
        <v>91</v>
      </c>
      <c r="C2174" s="5">
        <v>4</v>
      </c>
      <c r="D2174" s="379">
        <v>65.052777777777777</v>
      </c>
      <c r="E2174" s="25">
        <v>24.84</v>
      </c>
      <c r="F2174" s="379">
        <v>3.2727733956087586</v>
      </c>
      <c r="G2174" s="25">
        <v>30.57</v>
      </c>
      <c r="H2174" s="379">
        <v>2.777777777777778E-2</v>
      </c>
      <c r="I2174" s="25">
        <v>33.67</v>
      </c>
      <c r="J2174" s="379">
        <v>2.777777777777778E-2</v>
      </c>
    </row>
    <row r="2175" spans="1:10" x14ac:dyDescent="0.35">
      <c r="A2175" s="5">
        <v>2171</v>
      </c>
      <c r="B2175" s="5">
        <v>91</v>
      </c>
      <c r="C2175" s="5">
        <v>4</v>
      </c>
      <c r="D2175" s="379">
        <v>61.988888888888894</v>
      </c>
      <c r="E2175" s="25">
        <v>24.84</v>
      </c>
      <c r="F2175" s="379">
        <v>3.2727733956087586</v>
      </c>
      <c r="G2175" s="25">
        <v>30.57</v>
      </c>
      <c r="H2175" s="379">
        <v>2.777777777777778E-2</v>
      </c>
      <c r="I2175" s="25">
        <v>33.67</v>
      </c>
      <c r="J2175" s="379">
        <v>2.777777777777778E-2</v>
      </c>
    </row>
    <row r="2176" spans="1:10" x14ac:dyDescent="0.35">
      <c r="A2176" s="5">
        <v>2172</v>
      </c>
      <c r="B2176" s="5">
        <v>91</v>
      </c>
      <c r="C2176" s="5">
        <v>4</v>
      </c>
      <c r="D2176" s="379">
        <v>55.738888888888894</v>
      </c>
      <c r="E2176" s="25">
        <v>24.73</v>
      </c>
      <c r="F2176" s="379">
        <v>3.2727733956087586</v>
      </c>
      <c r="G2176" s="25">
        <v>30.03</v>
      </c>
      <c r="H2176" s="379">
        <v>2.777777777777778E-2</v>
      </c>
      <c r="I2176" s="25">
        <v>33.380000000000003</v>
      </c>
      <c r="J2176" s="379">
        <v>2.777777777777778E-2</v>
      </c>
    </row>
    <row r="2177" spans="1:10" x14ac:dyDescent="0.35">
      <c r="A2177" s="5">
        <v>2173</v>
      </c>
      <c r="B2177" s="5">
        <v>91</v>
      </c>
      <c r="C2177" s="5">
        <v>4</v>
      </c>
      <c r="D2177" s="379">
        <v>53.661111111111111</v>
      </c>
      <c r="E2177" s="25">
        <v>24.73</v>
      </c>
      <c r="F2177" s="379">
        <v>3.2727733956087586</v>
      </c>
      <c r="G2177" s="25">
        <v>30.03</v>
      </c>
      <c r="H2177" s="379">
        <v>2.777777777777778E-2</v>
      </c>
      <c r="I2177" s="25">
        <v>33.340000000000003</v>
      </c>
      <c r="J2177" s="379">
        <v>2.777777777777778E-2</v>
      </c>
    </row>
    <row r="2178" spans="1:10" x14ac:dyDescent="0.35">
      <c r="A2178" s="5">
        <v>2174</v>
      </c>
      <c r="B2178" s="5">
        <v>91</v>
      </c>
      <c r="C2178" s="5">
        <v>4</v>
      </c>
      <c r="D2178" s="379">
        <v>53.226666666666667</v>
      </c>
      <c r="E2178" s="25">
        <v>24.73</v>
      </c>
      <c r="F2178" s="379">
        <v>2.6416491641187259</v>
      </c>
      <c r="G2178" s="25">
        <v>30.03</v>
      </c>
      <c r="H2178" s="379">
        <v>2.777777777777778E-2</v>
      </c>
      <c r="I2178" s="25">
        <v>33.08</v>
      </c>
      <c r="J2178" s="379">
        <v>2.777777777777778E-2</v>
      </c>
    </row>
    <row r="2179" spans="1:10" x14ac:dyDescent="0.35">
      <c r="A2179" s="5">
        <v>2175</v>
      </c>
      <c r="B2179" s="5">
        <v>91</v>
      </c>
      <c r="C2179" s="5">
        <v>4</v>
      </c>
      <c r="D2179" s="379">
        <v>52.320555555555558</v>
      </c>
      <c r="E2179" s="25">
        <v>24.26</v>
      </c>
      <c r="F2179" s="379">
        <v>1.3816472724718665</v>
      </c>
      <c r="G2179" s="25">
        <v>30.03</v>
      </c>
      <c r="H2179" s="379">
        <v>2.777777777777778E-2</v>
      </c>
      <c r="I2179" s="25">
        <v>33.08</v>
      </c>
      <c r="J2179" s="379">
        <v>2.777777777777778E-2</v>
      </c>
    </row>
    <row r="2180" spans="1:10" x14ac:dyDescent="0.35">
      <c r="A2180" s="5">
        <v>2176</v>
      </c>
      <c r="B2180" s="5">
        <v>91</v>
      </c>
      <c r="C2180" s="5">
        <v>4</v>
      </c>
      <c r="D2180" s="379">
        <v>54.987777777777772</v>
      </c>
      <c r="E2180" s="25">
        <v>23.31</v>
      </c>
      <c r="F2180" s="379">
        <v>1.3816472724718665</v>
      </c>
      <c r="G2180" s="25">
        <v>30.03</v>
      </c>
      <c r="H2180" s="379">
        <v>2.983374850025141E-2</v>
      </c>
      <c r="I2180" s="25">
        <v>33.08</v>
      </c>
      <c r="J2180" s="379">
        <v>2.777777777777778E-2</v>
      </c>
    </row>
    <row r="2181" spans="1:10" x14ac:dyDescent="0.35">
      <c r="A2181" s="5">
        <v>2177</v>
      </c>
      <c r="B2181" s="5">
        <v>91</v>
      </c>
      <c r="C2181" s="5">
        <v>4</v>
      </c>
      <c r="D2181" s="379">
        <v>59.498333333333335</v>
      </c>
      <c r="E2181" s="25">
        <v>23.59</v>
      </c>
      <c r="F2181" s="379">
        <v>2.6416491641187259</v>
      </c>
      <c r="G2181" s="25">
        <v>30.03</v>
      </c>
      <c r="H2181" s="379">
        <v>0.27220483582498023</v>
      </c>
      <c r="I2181" s="25">
        <v>33.340000000000003</v>
      </c>
      <c r="J2181" s="379">
        <v>2.777777777777778E-2</v>
      </c>
    </row>
    <row r="2182" spans="1:10" x14ac:dyDescent="0.35">
      <c r="A2182" s="5">
        <v>2178</v>
      </c>
      <c r="B2182" s="5">
        <v>91</v>
      </c>
      <c r="C2182" s="5">
        <v>4</v>
      </c>
      <c r="D2182" s="379">
        <v>65.274444444444441</v>
      </c>
      <c r="E2182" s="25">
        <v>24.26</v>
      </c>
      <c r="F2182" s="379">
        <v>3.2727733956087586</v>
      </c>
      <c r="G2182" s="25">
        <v>30.03</v>
      </c>
      <c r="H2182" s="379">
        <v>0.60903032330031137</v>
      </c>
      <c r="I2182" s="25">
        <v>33.67</v>
      </c>
      <c r="J2182" s="379">
        <v>2.777777777777778E-2</v>
      </c>
    </row>
    <row r="2183" spans="1:10" x14ac:dyDescent="0.35">
      <c r="A2183" s="5">
        <v>2179</v>
      </c>
      <c r="B2183" s="5">
        <v>91</v>
      </c>
      <c r="C2183" s="5">
        <v>4</v>
      </c>
      <c r="D2183" s="379">
        <v>66.956111111111113</v>
      </c>
      <c r="E2183" s="25">
        <v>24.84</v>
      </c>
      <c r="F2183" s="379">
        <v>4.8977534703543026E-2</v>
      </c>
      <c r="G2183" s="25">
        <v>35.96</v>
      </c>
      <c r="H2183" s="379">
        <v>2.4644097064148842</v>
      </c>
      <c r="I2183" s="25">
        <v>33.67</v>
      </c>
      <c r="J2183" s="379">
        <v>3.3031141017737971E-2</v>
      </c>
    </row>
    <row r="2184" spans="1:10" x14ac:dyDescent="0.35">
      <c r="A2184" s="5">
        <v>2180</v>
      </c>
      <c r="B2184" s="5">
        <v>91</v>
      </c>
      <c r="C2184" s="5">
        <v>4</v>
      </c>
      <c r="D2184" s="379">
        <v>66.049444444444447</v>
      </c>
      <c r="E2184" s="25">
        <v>24.99</v>
      </c>
      <c r="F2184" s="379">
        <v>3.8583970839672029E-2</v>
      </c>
      <c r="G2184" s="25">
        <v>35.96</v>
      </c>
      <c r="H2184" s="379">
        <v>2.4971548694657177</v>
      </c>
      <c r="I2184" s="25">
        <v>33.67</v>
      </c>
      <c r="J2184" s="379">
        <v>0.10082682136294709</v>
      </c>
    </row>
    <row r="2185" spans="1:10" x14ac:dyDescent="0.35">
      <c r="A2185" s="5">
        <v>2181</v>
      </c>
      <c r="B2185" s="5">
        <v>91</v>
      </c>
      <c r="C2185" s="5">
        <v>4</v>
      </c>
      <c r="D2185" s="379">
        <v>60.818333333333328</v>
      </c>
      <c r="E2185" s="25">
        <v>24.99</v>
      </c>
      <c r="F2185" s="379">
        <v>2.777777777777778E-2</v>
      </c>
      <c r="G2185" s="25">
        <v>35.96</v>
      </c>
      <c r="H2185" s="379">
        <v>2.4644097064148842</v>
      </c>
      <c r="I2185" s="25">
        <v>33.67</v>
      </c>
      <c r="J2185" s="379">
        <v>2.8277465877357716E-2</v>
      </c>
    </row>
    <row r="2186" spans="1:10" x14ac:dyDescent="0.35">
      <c r="A2186" s="5">
        <v>2182</v>
      </c>
      <c r="B2186" s="5">
        <v>91</v>
      </c>
      <c r="C2186" s="5">
        <v>4</v>
      </c>
      <c r="D2186" s="379">
        <v>61.952777777777783</v>
      </c>
      <c r="E2186" s="25">
        <v>24.84</v>
      </c>
      <c r="F2186" s="379">
        <v>3.2727733956087586</v>
      </c>
      <c r="G2186" s="25">
        <v>35.1</v>
      </c>
      <c r="H2186" s="379">
        <v>2.4644097064148842</v>
      </c>
      <c r="I2186" s="25">
        <v>33.67</v>
      </c>
      <c r="J2186" s="379">
        <v>2.8277465877357716E-2</v>
      </c>
    </row>
    <row r="2187" spans="1:10" x14ac:dyDescent="0.35">
      <c r="A2187" s="5">
        <v>2183</v>
      </c>
      <c r="B2187" s="5">
        <v>91</v>
      </c>
      <c r="C2187" s="5">
        <v>4</v>
      </c>
      <c r="D2187" s="379">
        <v>58.251666666666665</v>
      </c>
      <c r="E2187" s="25">
        <v>24.84</v>
      </c>
      <c r="F2187" s="379">
        <v>3.2727733956087586</v>
      </c>
      <c r="G2187" s="25">
        <v>31.49</v>
      </c>
      <c r="H2187" s="379">
        <v>2.4644097064148842</v>
      </c>
      <c r="I2187" s="25">
        <v>33.67</v>
      </c>
      <c r="J2187" s="379">
        <v>2.8277465877357716E-2</v>
      </c>
    </row>
    <row r="2188" spans="1:10" x14ac:dyDescent="0.35">
      <c r="A2188" s="5">
        <v>2184</v>
      </c>
      <c r="B2188" s="5">
        <v>91</v>
      </c>
      <c r="C2188" s="5">
        <v>4</v>
      </c>
      <c r="D2188" s="379">
        <v>57.68388888888888</v>
      </c>
      <c r="E2188" s="25">
        <v>24.73</v>
      </c>
      <c r="F2188" s="379">
        <v>3.2727733956087586</v>
      </c>
      <c r="G2188" s="25">
        <v>30.57</v>
      </c>
      <c r="H2188" s="379">
        <v>2.4644097064148842</v>
      </c>
      <c r="I2188" s="25">
        <v>33.67</v>
      </c>
      <c r="J2188" s="379">
        <v>2.8277465877357716E-2</v>
      </c>
    </row>
    <row r="2189" spans="1:10" x14ac:dyDescent="0.35">
      <c r="A2189" s="5">
        <v>2185</v>
      </c>
      <c r="B2189" s="5">
        <v>92</v>
      </c>
      <c r="C2189" s="5">
        <v>4</v>
      </c>
      <c r="D2189" s="379">
        <v>57.398888888888877</v>
      </c>
      <c r="E2189" s="25">
        <v>23.59</v>
      </c>
      <c r="F2189" s="379">
        <v>3.2727733956087586</v>
      </c>
      <c r="G2189" s="25">
        <v>30.57</v>
      </c>
      <c r="H2189" s="379">
        <v>2.4644097064148842</v>
      </c>
      <c r="I2189" s="25">
        <v>33.67</v>
      </c>
      <c r="J2189" s="379">
        <v>2.777777777777778E-2</v>
      </c>
    </row>
    <row r="2190" spans="1:10" x14ac:dyDescent="0.35">
      <c r="A2190" s="5">
        <v>2186</v>
      </c>
      <c r="B2190" s="5">
        <v>92</v>
      </c>
      <c r="C2190" s="5">
        <v>4</v>
      </c>
      <c r="D2190" s="379">
        <v>54.185000000000002</v>
      </c>
      <c r="E2190" s="25">
        <v>21.24</v>
      </c>
      <c r="F2190" s="379">
        <v>3.2727733956087586</v>
      </c>
      <c r="G2190" s="25">
        <v>30.03</v>
      </c>
      <c r="H2190" s="379">
        <v>2.4644097064148842</v>
      </c>
      <c r="I2190" s="25">
        <v>33.67</v>
      </c>
      <c r="J2190" s="379">
        <v>2.777777777777778E-2</v>
      </c>
    </row>
    <row r="2191" spans="1:10" x14ac:dyDescent="0.35">
      <c r="A2191" s="5">
        <v>2187</v>
      </c>
      <c r="B2191" s="5">
        <v>92</v>
      </c>
      <c r="C2191" s="5">
        <v>4</v>
      </c>
      <c r="D2191" s="379">
        <v>53.231111111111112</v>
      </c>
      <c r="E2191" s="25">
        <v>21.75</v>
      </c>
      <c r="F2191" s="379">
        <v>3.2727733956087586</v>
      </c>
      <c r="G2191" s="25">
        <v>30.03</v>
      </c>
      <c r="H2191" s="379">
        <v>2.4644097064148842</v>
      </c>
      <c r="I2191" s="25">
        <v>33.67</v>
      </c>
      <c r="J2191" s="379">
        <v>2.777777777777778E-2</v>
      </c>
    </row>
    <row r="2192" spans="1:10" x14ac:dyDescent="0.35">
      <c r="A2192" s="5">
        <v>2188</v>
      </c>
      <c r="B2192" s="5">
        <v>92</v>
      </c>
      <c r="C2192" s="5">
        <v>4</v>
      </c>
      <c r="D2192" s="379">
        <v>59.088888888888881</v>
      </c>
      <c r="E2192" s="25">
        <v>23.05</v>
      </c>
      <c r="F2192" s="379">
        <v>3.2727733956087586</v>
      </c>
      <c r="G2192" s="25">
        <v>30.57</v>
      </c>
      <c r="H2192" s="379">
        <v>2.4644097064148842</v>
      </c>
      <c r="I2192" s="25">
        <v>33.74</v>
      </c>
      <c r="J2192" s="379">
        <v>2.777777777777778E-2</v>
      </c>
    </row>
    <row r="2193" spans="1:10" x14ac:dyDescent="0.35">
      <c r="A2193" s="5">
        <v>2189</v>
      </c>
      <c r="B2193" s="5">
        <v>92</v>
      </c>
      <c r="C2193" s="5">
        <v>4</v>
      </c>
      <c r="D2193" s="379">
        <v>58.678888888888885</v>
      </c>
      <c r="E2193" s="25">
        <v>24.12</v>
      </c>
      <c r="F2193" s="379">
        <v>3.2727733956087586</v>
      </c>
      <c r="G2193" s="25">
        <v>33.75</v>
      </c>
      <c r="H2193" s="379">
        <v>2.4644097064148842</v>
      </c>
      <c r="I2193" s="25">
        <v>44.45</v>
      </c>
      <c r="J2193" s="379">
        <v>2.777777777777778E-2</v>
      </c>
    </row>
    <row r="2194" spans="1:10" x14ac:dyDescent="0.35">
      <c r="A2194" s="5">
        <v>2190</v>
      </c>
      <c r="B2194" s="5">
        <v>92</v>
      </c>
      <c r="C2194" s="5">
        <v>4</v>
      </c>
      <c r="D2194" s="379">
        <v>61.412777777777762</v>
      </c>
      <c r="E2194" s="25">
        <v>24.99</v>
      </c>
      <c r="F2194" s="379">
        <v>3.2727733956087586</v>
      </c>
      <c r="G2194" s="25">
        <v>43.56</v>
      </c>
      <c r="H2194" s="379">
        <v>2.4644097064148842</v>
      </c>
      <c r="I2194" s="25">
        <v>47.11</v>
      </c>
      <c r="J2194" s="379">
        <v>4.0984226902725053E-2</v>
      </c>
    </row>
    <row r="2195" spans="1:10" x14ac:dyDescent="0.35">
      <c r="A2195" s="5">
        <v>2191</v>
      </c>
      <c r="B2195" s="5">
        <v>92</v>
      </c>
      <c r="C2195" s="5">
        <v>4</v>
      </c>
      <c r="D2195" s="379">
        <v>66.606111111111119</v>
      </c>
      <c r="E2195" s="25">
        <v>25.74</v>
      </c>
      <c r="F2195" s="379">
        <v>3.9246221159768724E-2</v>
      </c>
      <c r="G2195" s="25">
        <v>46.11</v>
      </c>
      <c r="H2195" s="379">
        <v>2.4644097064148842</v>
      </c>
      <c r="I2195" s="25">
        <v>51.72</v>
      </c>
      <c r="J2195" s="379">
        <v>4.0984226902725053E-2</v>
      </c>
    </row>
    <row r="2196" spans="1:10" x14ac:dyDescent="0.35">
      <c r="A2196" s="5">
        <v>2192</v>
      </c>
      <c r="B2196" s="5">
        <v>92</v>
      </c>
      <c r="C2196" s="5">
        <v>4</v>
      </c>
      <c r="D2196" s="379">
        <v>67.841666666666669</v>
      </c>
      <c r="E2196" s="25">
        <v>25.74</v>
      </c>
      <c r="F2196" s="379">
        <v>3.3955739003872187</v>
      </c>
      <c r="G2196" s="25">
        <v>46.11</v>
      </c>
      <c r="H2196" s="379">
        <v>3.5498029152869108</v>
      </c>
      <c r="I2196" s="25">
        <v>53.86</v>
      </c>
      <c r="J2196" s="379">
        <v>2.777777777777778E-2</v>
      </c>
    </row>
    <row r="2197" spans="1:10" x14ac:dyDescent="0.35">
      <c r="A2197" s="5">
        <v>2193</v>
      </c>
      <c r="B2197" s="5">
        <v>92</v>
      </c>
      <c r="C2197" s="5">
        <v>4</v>
      </c>
      <c r="D2197" s="379">
        <v>59.940555555555555</v>
      </c>
      <c r="E2197" s="25">
        <v>25.74</v>
      </c>
      <c r="F2197" s="379">
        <v>4.7923216281937044</v>
      </c>
      <c r="G2197" s="25">
        <v>46.79</v>
      </c>
      <c r="H2197" s="379">
        <v>4.3000812677046074</v>
      </c>
      <c r="I2197" s="25">
        <v>54.87</v>
      </c>
      <c r="J2197" s="379">
        <v>0.13263492261253382</v>
      </c>
    </row>
    <row r="2198" spans="1:10" x14ac:dyDescent="0.35">
      <c r="A2198" s="5">
        <v>2194</v>
      </c>
      <c r="B2198" s="5">
        <v>92</v>
      </c>
      <c r="C2198" s="5">
        <v>4</v>
      </c>
      <c r="D2198" s="379">
        <v>59.088888888888896</v>
      </c>
      <c r="E2198" s="25">
        <v>25.74</v>
      </c>
      <c r="F2198" s="379">
        <v>4.774505376245191</v>
      </c>
      <c r="G2198" s="25">
        <v>46.11</v>
      </c>
      <c r="H2198" s="379">
        <v>4.3000812677046074</v>
      </c>
      <c r="I2198" s="25">
        <v>50.13</v>
      </c>
      <c r="J2198" s="379">
        <v>2.0471381061779654</v>
      </c>
    </row>
    <row r="2199" spans="1:10" x14ac:dyDescent="0.35">
      <c r="A2199" s="5">
        <v>2195</v>
      </c>
      <c r="B2199" s="5">
        <v>92</v>
      </c>
      <c r="C2199" s="5">
        <v>4</v>
      </c>
      <c r="D2199" s="379">
        <v>56.390555555555551</v>
      </c>
      <c r="E2199" s="25">
        <v>25.74</v>
      </c>
      <c r="F2199" s="379">
        <v>4.7666261420830081</v>
      </c>
      <c r="G2199" s="25">
        <v>46.03</v>
      </c>
      <c r="H2199" s="379">
        <v>4.2904209762856942</v>
      </c>
      <c r="I2199" s="25">
        <v>48.67</v>
      </c>
      <c r="J2199" s="379">
        <v>2.0471381061779654</v>
      </c>
    </row>
    <row r="2200" spans="1:10" x14ac:dyDescent="0.35">
      <c r="A2200" s="5">
        <v>2196</v>
      </c>
      <c r="B2200" s="5">
        <v>92</v>
      </c>
      <c r="C2200" s="5">
        <v>4</v>
      </c>
      <c r="D2200" s="379">
        <v>59.718888888888884</v>
      </c>
      <c r="E2200" s="25">
        <v>25.29</v>
      </c>
      <c r="F2200" s="379">
        <v>4.7666261420830081</v>
      </c>
      <c r="G2200" s="25">
        <v>43.72</v>
      </c>
      <c r="H2200" s="379">
        <v>4.2367760137462032</v>
      </c>
      <c r="I2200" s="25">
        <v>47.63</v>
      </c>
      <c r="J2200" s="379">
        <v>2.0471381061779654</v>
      </c>
    </row>
    <row r="2201" spans="1:10" x14ac:dyDescent="0.35">
      <c r="A2201" s="5">
        <v>2197</v>
      </c>
      <c r="B2201" s="5">
        <v>92</v>
      </c>
      <c r="C2201" s="5">
        <v>4</v>
      </c>
      <c r="D2201" s="379">
        <v>55.73555555555555</v>
      </c>
      <c r="E2201" s="25">
        <v>24.99</v>
      </c>
      <c r="F2201" s="379">
        <v>4.7666261420830081</v>
      </c>
      <c r="G2201" s="25">
        <v>43.56</v>
      </c>
      <c r="H2201" s="379">
        <v>4.2367760137462032</v>
      </c>
      <c r="I2201" s="25">
        <v>46.64</v>
      </c>
      <c r="J2201" s="379">
        <v>2.0471381061779654</v>
      </c>
    </row>
    <row r="2202" spans="1:10" x14ac:dyDescent="0.35">
      <c r="A2202" s="5">
        <v>2198</v>
      </c>
      <c r="B2202" s="5">
        <v>92</v>
      </c>
      <c r="C2202" s="5">
        <v>4</v>
      </c>
      <c r="D2202" s="379">
        <v>53.511666666666663</v>
      </c>
      <c r="E2202" s="25">
        <v>24.99</v>
      </c>
      <c r="F2202" s="379">
        <v>4.7666261420830081</v>
      </c>
      <c r="G2202" s="25">
        <v>42.95</v>
      </c>
      <c r="H2202" s="379">
        <v>4.2367760137462032</v>
      </c>
      <c r="I2202" s="25">
        <v>46.64</v>
      </c>
      <c r="J2202" s="379">
        <v>2.0471381061779654</v>
      </c>
    </row>
    <row r="2203" spans="1:10" x14ac:dyDescent="0.35">
      <c r="A2203" s="5">
        <v>2199</v>
      </c>
      <c r="B2203" s="5">
        <v>92</v>
      </c>
      <c r="C2203" s="5">
        <v>4</v>
      </c>
      <c r="D2203" s="379">
        <v>54.24666666666667</v>
      </c>
      <c r="E2203" s="25">
        <v>24.99</v>
      </c>
      <c r="F2203" s="379">
        <v>4.7666261420830081</v>
      </c>
      <c r="G2203" s="25">
        <v>43.39</v>
      </c>
      <c r="H2203" s="379">
        <v>3.8818487695893866</v>
      </c>
      <c r="I2203" s="25">
        <v>46.64</v>
      </c>
      <c r="J2203" s="379">
        <v>2.1180288567002949</v>
      </c>
    </row>
    <row r="2204" spans="1:10" x14ac:dyDescent="0.35">
      <c r="A2204" s="5">
        <v>2200</v>
      </c>
      <c r="B2204" s="5">
        <v>92</v>
      </c>
      <c r="C2204" s="5">
        <v>4</v>
      </c>
      <c r="D2204" s="379">
        <v>55.336666666666659</v>
      </c>
      <c r="E2204" s="25">
        <v>24.84</v>
      </c>
      <c r="F2204" s="379">
        <v>4.7666261420830081</v>
      </c>
      <c r="G2204" s="25">
        <v>43.72</v>
      </c>
      <c r="H2204" s="379">
        <v>4.2909968275952002</v>
      </c>
      <c r="I2204" s="25">
        <v>47.15</v>
      </c>
      <c r="J2204" s="379">
        <v>2.1975596539795657</v>
      </c>
    </row>
    <row r="2205" spans="1:10" x14ac:dyDescent="0.35">
      <c r="A2205" s="5">
        <v>2201</v>
      </c>
      <c r="B2205" s="5">
        <v>92</v>
      </c>
      <c r="C2205" s="5">
        <v>4</v>
      </c>
      <c r="D2205" s="379">
        <v>54.95333333333334</v>
      </c>
      <c r="E2205" s="25">
        <v>24.99</v>
      </c>
      <c r="F2205" s="379">
        <v>1.2600017066600273</v>
      </c>
      <c r="G2205" s="25">
        <v>44.74</v>
      </c>
      <c r="H2205" s="379">
        <v>4.5795260429019171</v>
      </c>
      <c r="I2205" s="25">
        <v>48.86</v>
      </c>
      <c r="J2205" s="379">
        <v>2.358890230589676</v>
      </c>
    </row>
    <row r="2206" spans="1:10" x14ac:dyDescent="0.35">
      <c r="A2206" s="5">
        <v>2202</v>
      </c>
      <c r="B2206" s="5">
        <v>92</v>
      </c>
      <c r="C2206" s="5">
        <v>4</v>
      </c>
      <c r="D2206" s="379">
        <v>66.283888888888896</v>
      </c>
      <c r="E2206" s="25">
        <v>25.74</v>
      </c>
      <c r="F2206" s="379">
        <v>1.5937954974861135</v>
      </c>
      <c r="G2206" s="25">
        <v>44.86</v>
      </c>
      <c r="H2206" s="379">
        <v>5.5728220792433278</v>
      </c>
      <c r="I2206" s="25">
        <v>53.71</v>
      </c>
      <c r="J2206" s="379">
        <v>2.358890230589676</v>
      </c>
    </row>
    <row r="2207" spans="1:10" x14ac:dyDescent="0.35">
      <c r="A2207" s="5">
        <v>2203</v>
      </c>
      <c r="B2207" s="5">
        <v>92</v>
      </c>
      <c r="C2207" s="5">
        <v>4</v>
      </c>
      <c r="D2207" s="379">
        <v>71.346111111111099</v>
      </c>
      <c r="E2207" s="25">
        <v>25.74</v>
      </c>
      <c r="F2207" s="379">
        <v>4.7725124689087108</v>
      </c>
      <c r="G2207" s="25">
        <v>47.5</v>
      </c>
      <c r="H2207" s="379">
        <v>2.2866970229861892</v>
      </c>
      <c r="I2207" s="25">
        <v>59.57</v>
      </c>
      <c r="J2207" s="379">
        <v>2.8960916002381661E-2</v>
      </c>
    </row>
    <row r="2208" spans="1:10" x14ac:dyDescent="0.35">
      <c r="A2208" s="5">
        <v>2204</v>
      </c>
      <c r="B2208" s="5">
        <v>92</v>
      </c>
      <c r="C2208" s="5">
        <v>4</v>
      </c>
      <c r="D2208" s="379">
        <v>73.775000000000006</v>
      </c>
      <c r="E2208" s="25">
        <v>26.84</v>
      </c>
      <c r="F2208" s="379">
        <v>5.4034218625612844</v>
      </c>
      <c r="G2208" s="25">
        <v>48.19</v>
      </c>
      <c r="H2208" s="379">
        <v>2.9984060533884165</v>
      </c>
      <c r="I2208" s="25">
        <v>72.19</v>
      </c>
      <c r="J2208" s="379">
        <v>6.3422058134711516</v>
      </c>
    </row>
    <row r="2209" spans="1:10" x14ac:dyDescent="0.35">
      <c r="A2209" s="5">
        <v>2205</v>
      </c>
      <c r="B2209" s="5">
        <v>92</v>
      </c>
      <c r="C2209" s="5">
        <v>4</v>
      </c>
      <c r="D2209" s="379">
        <v>71.778333333333322</v>
      </c>
      <c r="E2209" s="25">
        <v>26.51</v>
      </c>
      <c r="F2209" s="379">
        <v>5.4098838487888683</v>
      </c>
      <c r="G2209" s="25">
        <v>47.85</v>
      </c>
      <c r="H2209" s="379">
        <v>2.9837219611067667</v>
      </c>
      <c r="I2209" s="25">
        <v>70.09</v>
      </c>
      <c r="J2209" s="379">
        <v>6.7998969945074794</v>
      </c>
    </row>
    <row r="2210" spans="1:10" x14ac:dyDescent="0.35">
      <c r="A2210" s="5">
        <v>2206</v>
      </c>
      <c r="B2210" s="5">
        <v>92</v>
      </c>
      <c r="C2210" s="5">
        <v>4</v>
      </c>
      <c r="D2210" s="379">
        <v>69.463333333333338</v>
      </c>
      <c r="E2210" s="25">
        <v>25.74</v>
      </c>
      <c r="F2210" s="379">
        <v>8.5150291672912797</v>
      </c>
      <c r="G2210" s="25">
        <v>47.85</v>
      </c>
      <c r="H2210" s="379">
        <v>3.5791313029612875</v>
      </c>
      <c r="I2210" s="25">
        <v>72.19</v>
      </c>
      <c r="J2210" s="379">
        <v>7.0226342957710699</v>
      </c>
    </row>
    <row r="2211" spans="1:10" x14ac:dyDescent="0.35">
      <c r="A2211" s="5">
        <v>2207</v>
      </c>
      <c r="B2211" s="5">
        <v>92</v>
      </c>
      <c r="C2211" s="5">
        <v>4</v>
      </c>
      <c r="D2211" s="379">
        <v>68.013888888888886</v>
      </c>
      <c r="E2211" s="25">
        <v>25.59</v>
      </c>
      <c r="F2211" s="379">
        <v>8.1174834595959577</v>
      </c>
      <c r="G2211" s="25">
        <v>47.85</v>
      </c>
      <c r="H2211" s="379">
        <v>8.6036785437411396</v>
      </c>
      <c r="I2211" s="25">
        <v>72.19</v>
      </c>
      <c r="J2211" s="379">
        <v>7.0950425123818093</v>
      </c>
    </row>
    <row r="2212" spans="1:10" x14ac:dyDescent="0.35">
      <c r="A2212" s="5">
        <v>2208</v>
      </c>
      <c r="B2212" s="5">
        <v>92</v>
      </c>
      <c r="C2212" s="5">
        <v>4</v>
      </c>
      <c r="D2212" s="379">
        <v>64.715000000000003</v>
      </c>
      <c r="E2212" s="25">
        <v>25.29</v>
      </c>
      <c r="F2212" s="379">
        <v>8.5674061896759639</v>
      </c>
      <c r="G2212" s="25">
        <v>47.85</v>
      </c>
      <c r="H2212" s="379">
        <v>11.379728914349162</v>
      </c>
      <c r="I2212" s="25">
        <v>64.55</v>
      </c>
      <c r="J2212" s="379">
        <v>7.463261440606038</v>
      </c>
    </row>
    <row r="2213" spans="1:10" x14ac:dyDescent="0.35">
      <c r="A2213" s="5">
        <v>2209</v>
      </c>
      <c r="B2213" s="5">
        <v>93</v>
      </c>
      <c r="C2213" s="5">
        <v>4</v>
      </c>
      <c r="D2213" s="379">
        <v>63.531111111111109</v>
      </c>
      <c r="E2213" s="25">
        <v>24.84</v>
      </c>
      <c r="F2213" s="379">
        <v>8.8890971504099152</v>
      </c>
      <c r="G2213" s="25">
        <v>41.79</v>
      </c>
      <c r="H2213" s="379">
        <v>11.745757543427951</v>
      </c>
      <c r="I2213" s="25">
        <v>59.05</v>
      </c>
      <c r="J2213" s="379">
        <v>7.5275272082349076</v>
      </c>
    </row>
    <row r="2214" spans="1:10" x14ac:dyDescent="0.35">
      <c r="A2214" s="5">
        <v>2210</v>
      </c>
      <c r="B2214" s="5">
        <v>93</v>
      </c>
      <c r="C2214" s="5">
        <v>4</v>
      </c>
      <c r="D2214" s="379">
        <v>61.262222222222221</v>
      </c>
      <c r="E2214" s="25">
        <v>24.84</v>
      </c>
      <c r="F2214" s="379">
        <v>8.6589095318597558</v>
      </c>
      <c r="G2214" s="25">
        <v>41.38</v>
      </c>
      <c r="H2214" s="379">
        <v>11.81009907395458</v>
      </c>
      <c r="I2214" s="25">
        <v>55.42</v>
      </c>
      <c r="J2214" s="379">
        <v>7.5275272082349076</v>
      </c>
    </row>
    <row r="2215" spans="1:10" x14ac:dyDescent="0.35">
      <c r="A2215" s="5">
        <v>2211</v>
      </c>
      <c r="B2215" s="5">
        <v>93</v>
      </c>
      <c r="C2215" s="5">
        <v>4</v>
      </c>
      <c r="D2215" s="379">
        <v>60.231666666666669</v>
      </c>
      <c r="E2215" s="25">
        <v>24.84</v>
      </c>
      <c r="F2215" s="379">
        <v>8.6589095318597558</v>
      </c>
      <c r="G2215" s="25">
        <v>41.38</v>
      </c>
      <c r="H2215" s="379">
        <v>11.799652840729147</v>
      </c>
      <c r="I2215" s="25">
        <v>55.42</v>
      </c>
      <c r="J2215" s="379">
        <v>7.4990698561470328</v>
      </c>
    </row>
    <row r="2216" spans="1:10" x14ac:dyDescent="0.35">
      <c r="A2216" s="5">
        <v>2212</v>
      </c>
      <c r="B2216" s="5">
        <v>93</v>
      </c>
      <c r="C2216" s="5">
        <v>4</v>
      </c>
      <c r="D2216" s="379">
        <v>60.146666666666668</v>
      </c>
      <c r="E2216" s="25">
        <v>24.84</v>
      </c>
      <c r="F2216" s="379">
        <v>9.3092368775626948</v>
      </c>
      <c r="G2216" s="25">
        <v>41.38</v>
      </c>
      <c r="H2216" s="379">
        <v>11.609101900270304</v>
      </c>
      <c r="I2216" s="25">
        <v>54.87</v>
      </c>
      <c r="J2216" s="379">
        <v>7.480101545565967</v>
      </c>
    </row>
    <row r="2217" spans="1:10" x14ac:dyDescent="0.35">
      <c r="A2217" s="5">
        <v>2213</v>
      </c>
      <c r="B2217" s="5">
        <v>93</v>
      </c>
      <c r="C2217" s="5">
        <v>4</v>
      </c>
      <c r="D2217" s="379">
        <v>60.349999999999994</v>
      </c>
      <c r="E2217" s="25">
        <v>24.84</v>
      </c>
      <c r="F2217" s="379">
        <v>11.216253377005623</v>
      </c>
      <c r="G2217" s="25">
        <v>41.38</v>
      </c>
      <c r="H2217" s="379">
        <v>11.884742045662794</v>
      </c>
      <c r="I2217" s="25">
        <v>54.87</v>
      </c>
      <c r="J2217" s="379">
        <v>7.4979872231451417</v>
      </c>
    </row>
    <row r="2218" spans="1:10" x14ac:dyDescent="0.35">
      <c r="A2218" s="5">
        <v>2214</v>
      </c>
      <c r="B2218" s="5">
        <v>93</v>
      </c>
      <c r="C2218" s="5">
        <v>4</v>
      </c>
      <c r="D2218" s="379">
        <v>61.361666666666665</v>
      </c>
      <c r="E2218" s="25">
        <v>24.84</v>
      </c>
      <c r="F2218" s="379">
        <v>18.378299685543453</v>
      </c>
      <c r="G2218" s="25">
        <v>41.38</v>
      </c>
      <c r="H2218" s="379">
        <v>11.808154690501917</v>
      </c>
      <c r="I2218" s="25">
        <v>55.42</v>
      </c>
      <c r="J2218" s="379">
        <v>7.3383706462819518</v>
      </c>
    </row>
    <row r="2219" spans="1:10" x14ac:dyDescent="0.35">
      <c r="A2219" s="5">
        <v>2215</v>
      </c>
      <c r="B2219" s="5">
        <v>93</v>
      </c>
      <c r="C2219" s="5">
        <v>4</v>
      </c>
      <c r="D2219" s="379">
        <v>63.928333333333327</v>
      </c>
      <c r="E2219" s="25">
        <v>24.84</v>
      </c>
      <c r="F2219" s="379">
        <v>23.836858536829293</v>
      </c>
      <c r="G2219" s="25">
        <v>44.74</v>
      </c>
      <c r="H2219" s="379">
        <v>11.380635368418535</v>
      </c>
      <c r="I2219" s="25">
        <v>55.66</v>
      </c>
      <c r="J2219" s="379">
        <v>7.0909614370614724</v>
      </c>
    </row>
    <row r="2220" spans="1:10" x14ac:dyDescent="0.35">
      <c r="A2220" s="5">
        <v>2216</v>
      </c>
      <c r="B2220" s="5">
        <v>93</v>
      </c>
      <c r="C2220" s="5">
        <v>4</v>
      </c>
      <c r="D2220" s="379">
        <v>61.412777777777777</v>
      </c>
      <c r="E2220" s="25">
        <v>24.99</v>
      </c>
      <c r="F2220" s="379">
        <v>23.75270839457918</v>
      </c>
      <c r="G2220" s="25">
        <v>44.86</v>
      </c>
      <c r="H2220" s="379">
        <v>11.541709014138155</v>
      </c>
      <c r="I2220" s="25">
        <v>62.27</v>
      </c>
      <c r="J2220" s="379">
        <v>7.1046736845472482</v>
      </c>
    </row>
    <row r="2221" spans="1:10" x14ac:dyDescent="0.35">
      <c r="A2221" s="5">
        <v>2217</v>
      </c>
      <c r="B2221" s="5">
        <v>93</v>
      </c>
      <c r="C2221" s="5">
        <v>4</v>
      </c>
      <c r="D2221" s="379">
        <v>59.489999999999995</v>
      </c>
      <c r="E2221" s="25">
        <v>24.99</v>
      </c>
      <c r="F2221" s="379">
        <v>13.581677436900153</v>
      </c>
      <c r="G2221" s="25">
        <v>46.03</v>
      </c>
      <c r="H2221" s="379">
        <v>10.679735297621701</v>
      </c>
      <c r="I2221" s="25">
        <v>62.27</v>
      </c>
      <c r="J2221" s="379">
        <v>6.235175523985097</v>
      </c>
    </row>
    <row r="2222" spans="1:10" x14ac:dyDescent="0.35">
      <c r="A2222" s="5">
        <v>2218</v>
      </c>
      <c r="B2222" s="5">
        <v>93</v>
      </c>
      <c r="C2222" s="5">
        <v>4</v>
      </c>
      <c r="D2222" s="379">
        <v>58.376111111111108</v>
      </c>
      <c r="E2222" s="25">
        <v>24.99</v>
      </c>
      <c r="F2222" s="379">
        <v>10.948827449161818</v>
      </c>
      <c r="G2222" s="25">
        <v>44.74</v>
      </c>
      <c r="H2222" s="379">
        <v>7.4841485466773889</v>
      </c>
      <c r="I2222" s="25">
        <v>56.52</v>
      </c>
      <c r="J2222" s="379">
        <v>4.6899846833820389</v>
      </c>
    </row>
    <row r="2223" spans="1:10" x14ac:dyDescent="0.35">
      <c r="A2223" s="5">
        <v>2219</v>
      </c>
      <c r="B2223" s="5">
        <v>93</v>
      </c>
      <c r="C2223" s="5">
        <v>4</v>
      </c>
      <c r="D2223" s="379">
        <v>58.123888888888892</v>
      </c>
      <c r="E2223" s="25">
        <v>24.99</v>
      </c>
      <c r="F2223" s="379">
        <v>0.47222222222222221</v>
      </c>
      <c r="G2223" s="25">
        <v>44.74</v>
      </c>
      <c r="H2223" s="379">
        <v>6.6727293196863284</v>
      </c>
      <c r="I2223" s="25">
        <v>54.87</v>
      </c>
      <c r="J2223" s="379">
        <v>5.1570920769726492</v>
      </c>
    </row>
    <row r="2224" spans="1:10" x14ac:dyDescent="0.35">
      <c r="A2224" s="5">
        <v>2220</v>
      </c>
      <c r="B2224" s="5">
        <v>93</v>
      </c>
      <c r="C2224" s="5">
        <v>4</v>
      </c>
      <c r="D2224" s="379">
        <v>57.431666666666665</v>
      </c>
      <c r="E2224" s="25">
        <v>24.84</v>
      </c>
      <c r="F2224" s="379">
        <v>0.47222222222222221</v>
      </c>
      <c r="G2224" s="25">
        <v>44.74</v>
      </c>
      <c r="H2224" s="379">
        <v>7.3781627597558996</v>
      </c>
      <c r="I2224" s="25">
        <v>54.87</v>
      </c>
      <c r="J2224" s="379">
        <v>4.9872302135831887</v>
      </c>
    </row>
    <row r="2225" spans="1:10" x14ac:dyDescent="0.35">
      <c r="A2225" s="5">
        <v>2221</v>
      </c>
      <c r="B2225" s="5">
        <v>93</v>
      </c>
      <c r="C2225" s="5">
        <v>4</v>
      </c>
      <c r="D2225" s="379">
        <v>53.742222222222225</v>
      </c>
      <c r="E2225" s="25">
        <v>24.84</v>
      </c>
      <c r="F2225" s="379">
        <v>0.47222222222222221</v>
      </c>
      <c r="G2225" s="25">
        <v>41.38</v>
      </c>
      <c r="H2225" s="379">
        <v>7.4566789038656296</v>
      </c>
      <c r="I2225" s="25">
        <v>54.87</v>
      </c>
      <c r="J2225" s="379">
        <v>5.207276594066113</v>
      </c>
    </row>
    <row r="2226" spans="1:10" x14ac:dyDescent="0.35">
      <c r="A2226" s="5">
        <v>2222</v>
      </c>
      <c r="B2226" s="5">
        <v>93</v>
      </c>
      <c r="C2226" s="5">
        <v>4</v>
      </c>
      <c r="D2226" s="379">
        <v>51.458888888888879</v>
      </c>
      <c r="E2226" s="25">
        <v>24.84</v>
      </c>
      <c r="F2226" s="379">
        <v>1.3515327266567752</v>
      </c>
      <c r="G2226" s="25">
        <v>40.96</v>
      </c>
      <c r="H2226" s="379">
        <v>7.4276209912323443</v>
      </c>
      <c r="I2226" s="25">
        <v>53.71</v>
      </c>
      <c r="J2226" s="379">
        <v>5.207276594066113</v>
      </c>
    </row>
    <row r="2227" spans="1:10" x14ac:dyDescent="0.35">
      <c r="A2227" s="5">
        <v>2223</v>
      </c>
      <c r="B2227" s="5">
        <v>93</v>
      </c>
      <c r="C2227" s="5">
        <v>4</v>
      </c>
      <c r="D2227" s="379">
        <v>51.407777777777774</v>
      </c>
      <c r="E2227" s="25">
        <v>24.84</v>
      </c>
      <c r="F2227" s="379">
        <v>1.8169553211484557</v>
      </c>
      <c r="G2227" s="25">
        <v>40.96</v>
      </c>
      <c r="H2227" s="379">
        <v>7.4573352138801132</v>
      </c>
      <c r="I2227" s="25">
        <v>53.71</v>
      </c>
      <c r="J2227" s="379">
        <v>5.2733384646540964</v>
      </c>
    </row>
    <row r="2228" spans="1:10" x14ac:dyDescent="0.35">
      <c r="A2228" s="5">
        <v>2224</v>
      </c>
      <c r="B2228" s="5">
        <v>93</v>
      </c>
      <c r="C2228" s="5">
        <v>4</v>
      </c>
      <c r="D2228" s="379">
        <v>53.876666666666665</v>
      </c>
      <c r="E2228" s="25">
        <v>24.84</v>
      </c>
      <c r="F2228" s="379">
        <v>13.725938645510317</v>
      </c>
      <c r="G2228" s="25">
        <v>41.38</v>
      </c>
      <c r="H2228" s="379">
        <v>7.3781627597558996</v>
      </c>
      <c r="I2228" s="25">
        <v>53.81</v>
      </c>
      <c r="J2228" s="379">
        <v>4.733471293521931</v>
      </c>
    </row>
    <row r="2229" spans="1:10" x14ac:dyDescent="0.35">
      <c r="A2229" s="5">
        <v>2225</v>
      </c>
      <c r="B2229" s="5">
        <v>93</v>
      </c>
      <c r="C2229" s="5">
        <v>4</v>
      </c>
      <c r="D2229" s="379">
        <v>61.154444444444451</v>
      </c>
      <c r="E2229" s="25">
        <v>24.84</v>
      </c>
      <c r="F2229" s="379">
        <v>15.75365084409218</v>
      </c>
      <c r="G2229" s="25">
        <v>43.56</v>
      </c>
      <c r="H2229" s="379">
        <v>11.636629598004761</v>
      </c>
      <c r="I2229" s="25">
        <v>54.87</v>
      </c>
      <c r="J2229" s="379">
        <v>6.7936537904012839</v>
      </c>
    </row>
    <row r="2230" spans="1:10" x14ac:dyDescent="0.35">
      <c r="A2230" s="5">
        <v>2226</v>
      </c>
      <c r="B2230" s="5">
        <v>93</v>
      </c>
      <c r="C2230" s="5">
        <v>4</v>
      </c>
      <c r="D2230" s="379">
        <v>71.137777777777771</v>
      </c>
      <c r="E2230" s="25">
        <v>24.99</v>
      </c>
      <c r="F2230" s="379">
        <v>25.560251103279956</v>
      </c>
      <c r="G2230" s="25">
        <v>47.85</v>
      </c>
      <c r="H2230" s="379">
        <v>28.890789991061325</v>
      </c>
      <c r="I2230" s="25">
        <v>62.27</v>
      </c>
      <c r="J2230" s="379">
        <v>7.0909614370614724</v>
      </c>
    </row>
    <row r="2231" spans="1:10" x14ac:dyDescent="0.35">
      <c r="A2231" s="5">
        <v>2227</v>
      </c>
      <c r="B2231" s="5">
        <v>93</v>
      </c>
      <c r="C2231" s="5">
        <v>4</v>
      </c>
      <c r="D2231" s="379">
        <v>76.063333333333318</v>
      </c>
      <c r="E2231" s="25">
        <v>25.74</v>
      </c>
      <c r="F2231" s="379">
        <v>29.040741984169376</v>
      </c>
      <c r="G2231" s="25">
        <v>48.19</v>
      </c>
      <c r="H2231" s="379">
        <v>28.959297748179509</v>
      </c>
      <c r="I2231" s="25">
        <v>68.05</v>
      </c>
      <c r="J2231" s="379">
        <v>7.8323208951903043</v>
      </c>
    </row>
    <row r="2232" spans="1:10" x14ac:dyDescent="0.35">
      <c r="A2232" s="5">
        <v>2228</v>
      </c>
      <c r="B2232" s="5">
        <v>93</v>
      </c>
      <c r="C2232" s="5">
        <v>4</v>
      </c>
      <c r="D2232" s="379">
        <v>68.444999999999993</v>
      </c>
      <c r="E2232" s="25">
        <v>26.51</v>
      </c>
      <c r="F2232" s="379">
        <v>29.255025567729948</v>
      </c>
      <c r="G2232" s="25">
        <v>48.19</v>
      </c>
      <c r="H2232" s="379">
        <v>29.913677362648802</v>
      </c>
      <c r="I2232" s="25">
        <v>70.09</v>
      </c>
      <c r="J2232" s="379">
        <v>7.5553806766782561</v>
      </c>
    </row>
    <row r="2233" spans="1:10" x14ac:dyDescent="0.35">
      <c r="A2233" s="5">
        <v>2229</v>
      </c>
      <c r="B2233" s="5">
        <v>93</v>
      </c>
      <c r="C2233" s="5">
        <v>4</v>
      </c>
      <c r="D2233" s="379">
        <v>59.328888888888891</v>
      </c>
      <c r="E2233" s="25">
        <v>25.29</v>
      </c>
      <c r="F2233" s="379">
        <v>25.078279681434928</v>
      </c>
      <c r="G2233" s="25">
        <v>47.85</v>
      </c>
      <c r="H2233" s="379">
        <v>29.930696704878223</v>
      </c>
      <c r="I2233" s="25">
        <v>66.06</v>
      </c>
      <c r="J2233" s="379">
        <v>7.5864837464072217</v>
      </c>
    </row>
    <row r="2234" spans="1:10" x14ac:dyDescent="0.35">
      <c r="A2234" s="5">
        <v>2230</v>
      </c>
      <c r="B2234" s="5">
        <v>93</v>
      </c>
      <c r="C2234" s="5">
        <v>4</v>
      </c>
      <c r="D2234" s="379">
        <v>57.194444444444443</v>
      </c>
      <c r="E2234" s="25">
        <v>25.29</v>
      </c>
      <c r="F2234" s="379">
        <v>25.132329356887279</v>
      </c>
      <c r="G2234" s="25">
        <v>47.85</v>
      </c>
      <c r="H2234" s="379">
        <v>29.57363642450289</v>
      </c>
      <c r="I2234" s="25">
        <v>66.06</v>
      </c>
      <c r="J2234" s="379">
        <v>7.9694724591118291</v>
      </c>
    </row>
    <row r="2235" spans="1:10" x14ac:dyDescent="0.35">
      <c r="A2235" s="5">
        <v>2231</v>
      </c>
      <c r="B2235" s="5">
        <v>93</v>
      </c>
      <c r="C2235" s="5">
        <v>4</v>
      </c>
      <c r="D2235" s="379">
        <v>51.173888888888889</v>
      </c>
      <c r="E2235" s="25">
        <v>24.99</v>
      </c>
      <c r="F2235" s="379">
        <v>20.118570233594191</v>
      </c>
      <c r="G2235" s="25">
        <v>44.74</v>
      </c>
      <c r="H2235" s="379">
        <v>21.199852395022106</v>
      </c>
      <c r="I2235" s="25">
        <v>64.14</v>
      </c>
      <c r="J2235" s="379">
        <v>7.802971117590606</v>
      </c>
    </row>
    <row r="2236" spans="1:10" x14ac:dyDescent="0.35">
      <c r="A2236" s="5">
        <v>2232</v>
      </c>
      <c r="B2236" s="5">
        <v>93</v>
      </c>
      <c r="C2236" s="5">
        <v>4</v>
      </c>
      <c r="D2236" s="379">
        <v>49.035555555555547</v>
      </c>
      <c r="E2236" s="25">
        <v>24.84</v>
      </c>
      <c r="F2236" s="379">
        <v>19.683294305891664</v>
      </c>
      <c r="G2236" s="25">
        <v>43.56</v>
      </c>
      <c r="H2236" s="379">
        <v>21.329275259749128</v>
      </c>
      <c r="I2236" s="25">
        <v>66.06</v>
      </c>
      <c r="J2236" s="379">
        <v>7.8181695286487436</v>
      </c>
    </row>
    <row r="2237" spans="1:10" x14ac:dyDescent="0.35">
      <c r="A2237" s="5">
        <v>2233</v>
      </c>
      <c r="B2237" s="5">
        <v>94</v>
      </c>
      <c r="C2237" s="5">
        <v>4</v>
      </c>
      <c r="D2237" s="379">
        <v>47.967777777777776</v>
      </c>
      <c r="E2237" s="25">
        <v>24.84</v>
      </c>
      <c r="F2237" s="379">
        <v>18.004016260133813</v>
      </c>
      <c r="G2237" s="25">
        <v>43.56</v>
      </c>
      <c r="H2237" s="379">
        <v>22.939804099081993</v>
      </c>
      <c r="I2237" s="25">
        <v>60.18</v>
      </c>
      <c r="J2237" s="379">
        <v>7.6358620159064516</v>
      </c>
    </row>
    <row r="2238" spans="1:10" x14ac:dyDescent="0.35">
      <c r="A2238" s="5">
        <v>2234</v>
      </c>
      <c r="B2238" s="5">
        <v>94</v>
      </c>
      <c r="C2238" s="5">
        <v>4</v>
      </c>
      <c r="D2238" s="379">
        <v>47.267777777777773</v>
      </c>
      <c r="E2238" s="25">
        <v>24.84</v>
      </c>
      <c r="F2238" s="379">
        <v>17.922524262405595</v>
      </c>
      <c r="G2238" s="25">
        <v>43.56</v>
      </c>
      <c r="H2238" s="379">
        <v>23.33965788757563</v>
      </c>
      <c r="I2238" s="25">
        <v>57.84</v>
      </c>
      <c r="J2238" s="379">
        <v>7.9187391299191336</v>
      </c>
    </row>
    <row r="2239" spans="1:10" x14ac:dyDescent="0.35">
      <c r="A2239" s="5">
        <v>2235</v>
      </c>
      <c r="B2239" s="5">
        <v>94</v>
      </c>
      <c r="C2239" s="5">
        <v>4</v>
      </c>
      <c r="D2239" s="379">
        <v>44.716111111111111</v>
      </c>
      <c r="E2239" s="25">
        <v>24.84</v>
      </c>
      <c r="F2239" s="379">
        <v>18.679321818797828</v>
      </c>
      <c r="G2239" s="25">
        <v>43.12</v>
      </c>
      <c r="H2239" s="379">
        <v>21.076105488677573</v>
      </c>
      <c r="I2239" s="25">
        <v>53.71</v>
      </c>
      <c r="J2239" s="379">
        <v>7.8528896860509905</v>
      </c>
    </row>
    <row r="2240" spans="1:10" x14ac:dyDescent="0.35">
      <c r="A2240" s="5">
        <v>2236</v>
      </c>
      <c r="B2240" s="5">
        <v>94</v>
      </c>
      <c r="C2240" s="5">
        <v>4</v>
      </c>
      <c r="D2240" s="379">
        <v>43.153333333333336</v>
      </c>
      <c r="E2240" s="25">
        <v>24.84</v>
      </c>
      <c r="F2240" s="379">
        <v>16.570608645925393</v>
      </c>
      <c r="G2240" s="25">
        <v>43.12</v>
      </c>
      <c r="H2240" s="379">
        <v>21.199852395022106</v>
      </c>
      <c r="I2240" s="25">
        <v>53.71</v>
      </c>
      <c r="J2240" s="379">
        <v>7.6198013959657551</v>
      </c>
    </row>
    <row r="2241" spans="1:10" x14ac:dyDescent="0.35">
      <c r="A2241" s="5">
        <v>2237</v>
      </c>
      <c r="B2241" s="5">
        <v>94</v>
      </c>
      <c r="C2241" s="5">
        <v>4</v>
      </c>
      <c r="D2241" s="379">
        <v>50.482777777777777</v>
      </c>
      <c r="E2241" s="25">
        <v>24.84</v>
      </c>
      <c r="F2241" s="379">
        <v>18.424421124771172</v>
      </c>
      <c r="G2241" s="25">
        <v>43.12</v>
      </c>
      <c r="H2241" s="379">
        <v>21.199852395022106</v>
      </c>
      <c r="I2241" s="25">
        <v>53.71</v>
      </c>
      <c r="J2241" s="379">
        <v>7.6556080622365785</v>
      </c>
    </row>
    <row r="2242" spans="1:10" x14ac:dyDescent="0.35">
      <c r="A2242" s="5">
        <v>2238</v>
      </c>
      <c r="B2242" s="5">
        <v>94</v>
      </c>
      <c r="C2242" s="5">
        <v>4</v>
      </c>
      <c r="D2242" s="379">
        <v>55.100555555555552</v>
      </c>
      <c r="E2242" s="25">
        <v>24.84</v>
      </c>
      <c r="F2242" s="379">
        <v>18.523776671100759</v>
      </c>
      <c r="G2242" s="25">
        <v>43.56</v>
      </c>
      <c r="H2242" s="379">
        <v>19.75760802830208</v>
      </c>
      <c r="I2242" s="25">
        <v>53.71</v>
      </c>
      <c r="J2242" s="379">
        <v>7.0056668899952523</v>
      </c>
    </row>
    <row r="2243" spans="1:10" x14ac:dyDescent="0.35">
      <c r="A2243" s="5">
        <v>2239</v>
      </c>
      <c r="B2243" s="5">
        <v>94</v>
      </c>
      <c r="C2243" s="5">
        <v>4</v>
      </c>
      <c r="D2243" s="379">
        <v>53.956666666666663</v>
      </c>
      <c r="E2243" s="25">
        <v>24.84</v>
      </c>
      <c r="F2243" s="379">
        <v>18.240358637230134</v>
      </c>
      <c r="G2243" s="25">
        <v>43.56</v>
      </c>
      <c r="H2243" s="379">
        <v>20.584064765614496</v>
      </c>
      <c r="I2243" s="25">
        <v>53.71</v>
      </c>
      <c r="J2243" s="379">
        <v>6.9962379947258411</v>
      </c>
    </row>
    <row r="2244" spans="1:10" x14ac:dyDescent="0.35">
      <c r="A2244" s="5">
        <v>2240</v>
      </c>
      <c r="B2244" s="5">
        <v>94</v>
      </c>
      <c r="C2244" s="5">
        <v>4</v>
      </c>
      <c r="D2244" s="379">
        <v>57.528333333333336</v>
      </c>
      <c r="E2244" s="25">
        <v>24.84</v>
      </c>
      <c r="F2244" s="379">
        <v>20.379684899462283</v>
      </c>
      <c r="G2244" s="25">
        <v>43.56</v>
      </c>
      <c r="H2244" s="379">
        <v>20.682020669169443</v>
      </c>
      <c r="I2244" s="25">
        <v>59.05</v>
      </c>
      <c r="J2244" s="379">
        <v>7.4745838818119292</v>
      </c>
    </row>
    <row r="2245" spans="1:10" x14ac:dyDescent="0.35">
      <c r="A2245" s="5">
        <v>2241</v>
      </c>
      <c r="B2245" s="5">
        <v>94</v>
      </c>
      <c r="C2245" s="5">
        <v>4</v>
      </c>
      <c r="D2245" s="379">
        <v>60.681111111111093</v>
      </c>
      <c r="E2245" s="25">
        <v>24.84</v>
      </c>
      <c r="F2245" s="379">
        <v>17.456154430169036</v>
      </c>
      <c r="G2245" s="25">
        <v>43.56</v>
      </c>
      <c r="H2245" s="379">
        <v>13.494243501139234</v>
      </c>
      <c r="I2245" s="25">
        <v>62.27</v>
      </c>
      <c r="J2245" s="379">
        <v>7.1340601294426476</v>
      </c>
    </row>
    <row r="2246" spans="1:10" x14ac:dyDescent="0.35">
      <c r="A2246" s="5">
        <v>2242</v>
      </c>
      <c r="B2246" s="5">
        <v>94</v>
      </c>
      <c r="C2246" s="5">
        <v>4</v>
      </c>
      <c r="D2246" s="379">
        <v>61.077222222222218</v>
      </c>
      <c r="E2246" s="25">
        <v>24.84</v>
      </c>
      <c r="F2246" s="379">
        <v>16.422910446690043</v>
      </c>
      <c r="G2246" s="25">
        <v>44.69</v>
      </c>
      <c r="H2246" s="379">
        <v>10.162370187099439</v>
      </c>
      <c r="I2246" s="25">
        <v>62.27</v>
      </c>
      <c r="J2246" s="379">
        <v>7.1746733521714674</v>
      </c>
    </row>
    <row r="2247" spans="1:10" x14ac:dyDescent="0.35">
      <c r="A2247" s="5">
        <v>2243</v>
      </c>
      <c r="B2247" s="5">
        <v>94</v>
      </c>
      <c r="C2247" s="5">
        <v>4</v>
      </c>
      <c r="D2247" s="379">
        <v>59.098333333333329</v>
      </c>
      <c r="E2247" s="25">
        <v>24.84</v>
      </c>
      <c r="F2247" s="379">
        <v>8.4918326269911688</v>
      </c>
      <c r="G2247" s="25">
        <v>43.56</v>
      </c>
      <c r="H2247" s="379">
        <v>10.011504274559167</v>
      </c>
      <c r="I2247" s="25">
        <v>53.71</v>
      </c>
      <c r="J2247" s="379">
        <v>6.4953322432794129</v>
      </c>
    </row>
    <row r="2248" spans="1:10" x14ac:dyDescent="0.35">
      <c r="A2248" s="5">
        <v>2244</v>
      </c>
      <c r="B2248" s="5">
        <v>94</v>
      </c>
      <c r="C2248" s="5">
        <v>4</v>
      </c>
      <c r="D2248" s="379">
        <v>56.890555555555551</v>
      </c>
      <c r="E2248" s="25">
        <v>24.84</v>
      </c>
      <c r="F2248" s="379">
        <v>8.3387971385114916</v>
      </c>
      <c r="G2248" s="25">
        <v>43.56</v>
      </c>
      <c r="H2248" s="379">
        <v>10.091585639130319</v>
      </c>
      <c r="I2248" s="25">
        <v>53.71</v>
      </c>
      <c r="J2248" s="379">
        <v>6.2997011174062125</v>
      </c>
    </row>
    <row r="2249" spans="1:10" x14ac:dyDescent="0.35">
      <c r="A2249" s="5">
        <v>2245</v>
      </c>
      <c r="B2249" s="5">
        <v>94</v>
      </c>
      <c r="C2249" s="5">
        <v>4</v>
      </c>
      <c r="D2249" s="379">
        <v>53.430555555555557</v>
      </c>
      <c r="E2249" s="25">
        <v>24.84</v>
      </c>
      <c r="F2249" s="379">
        <v>8.7908904407599859</v>
      </c>
      <c r="G2249" s="25">
        <v>43.56</v>
      </c>
      <c r="H2249" s="379">
        <v>10.852363211270697</v>
      </c>
      <c r="I2249" s="25">
        <v>53.71</v>
      </c>
      <c r="J2249" s="379">
        <v>6.6286800654890365</v>
      </c>
    </row>
    <row r="2250" spans="1:10" x14ac:dyDescent="0.35">
      <c r="A2250" s="5">
        <v>2246</v>
      </c>
      <c r="B2250" s="5">
        <v>94</v>
      </c>
      <c r="C2250" s="5">
        <v>4</v>
      </c>
      <c r="D2250" s="379">
        <v>52.121666666666655</v>
      </c>
      <c r="E2250" s="25">
        <v>24.84</v>
      </c>
      <c r="F2250" s="379">
        <v>8.9903525278182421</v>
      </c>
      <c r="G2250" s="25">
        <v>43.12</v>
      </c>
      <c r="H2250" s="379">
        <v>10.658485256288246</v>
      </c>
      <c r="I2250" s="25">
        <v>53.17</v>
      </c>
      <c r="J2250" s="379">
        <v>6.5159344229405409</v>
      </c>
    </row>
    <row r="2251" spans="1:10" x14ac:dyDescent="0.35">
      <c r="A2251" s="5">
        <v>2247</v>
      </c>
      <c r="B2251" s="5">
        <v>94</v>
      </c>
      <c r="C2251" s="5">
        <v>4</v>
      </c>
      <c r="D2251" s="379">
        <v>51.94166666666667</v>
      </c>
      <c r="E2251" s="25">
        <v>24.84</v>
      </c>
      <c r="F2251" s="379">
        <v>8.3371369431100053</v>
      </c>
      <c r="G2251" s="25">
        <v>42.29</v>
      </c>
      <c r="H2251" s="379">
        <v>10.435520573359405</v>
      </c>
      <c r="I2251" s="25">
        <v>53.17</v>
      </c>
      <c r="J2251" s="379">
        <v>6.4033647331754242</v>
      </c>
    </row>
    <row r="2252" spans="1:10" x14ac:dyDescent="0.35">
      <c r="A2252" s="5">
        <v>2248</v>
      </c>
      <c r="B2252" s="5">
        <v>94</v>
      </c>
      <c r="C2252" s="5">
        <v>4</v>
      </c>
      <c r="D2252" s="379">
        <v>53.857222222222227</v>
      </c>
      <c r="E2252" s="25">
        <v>24.84</v>
      </c>
      <c r="F2252" s="379">
        <v>8.1174834595959595</v>
      </c>
      <c r="G2252" s="25">
        <v>43.12</v>
      </c>
      <c r="H2252" s="379">
        <v>10.230718697564965</v>
      </c>
      <c r="I2252" s="25">
        <v>53.17</v>
      </c>
      <c r="J2252" s="379">
        <v>6.3730048584445624</v>
      </c>
    </row>
    <row r="2253" spans="1:10" x14ac:dyDescent="0.35">
      <c r="A2253" s="5">
        <v>2249</v>
      </c>
      <c r="B2253" s="5">
        <v>94</v>
      </c>
      <c r="C2253" s="5">
        <v>4</v>
      </c>
      <c r="D2253" s="379">
        <v>58.168888888888887</v>
      </c>
      <c r="E2253" s="25">
        <v>24.84</v>
      </c>
      <c r="F2253" s="379">
        <v>8.5754755814348176</v>
      </c>
      <c r="G2253" s="25">
        <v>43.12</v>
      </c>
      <c r="H2253" s="379">
        <v>9.8928004491737749</v>
      </c>
      <c r="I2253" s="25">
        <v>53.17</v>
      </c>
      <c r="J2253" s="379">
        <v>6.4022854697470963</v>
      </c>
    </row>
    <row r="2254" spans="1:10" x14ac:dyDescent="0.35">
      <c r="A2254" s="5">
        <v>2250</v>
      </c>
      <c r="B2254" s="5">
        <v>94</v>
      </c>
      <c r="C2254" s="5">
        <v>4</v>
      </c>
      <c r="D2254" s="379">
        <v>61.551666666666669</v>
      </c>
      <c r="E2254" s="25">
        <v>24.84</v>
      </c>
      <c r="F2254" s="379">
        <v>15.616968265568794</v>
      </c>
      <c r="G2254" s="25">
        <v>44.69</v>
      </c>
      <c r="H2254" s="379">
        <v>10.281141691206392</v>
      </c>
      <c r="I2254" s="25">
        <v>53.17</v>
      </c>
      <c r="J2254" s="379">
        <v>6.6557975605381623</v>
      </c>
    </row>
    <row r="2255" spans="1:10" x14ac:dyDescent="0.35">
      <c r="A2255" s="5">
        <v>2251</v>
      </c>
      <c r="B2255" s="5">
        <v>94</v>
      </c>
      <c r="C2255" s="5">
        <v>4</v>
      </c>
      <c r="D2255" s="379">
        <v>60.809444444444438</v>
      </c>
      <c r="E2255" s="25">
        <v>24.84</v>
      </c>
      <c r="F2255" s="379">
        <v>17.935461781869478</v>
      </c>
      <c r="G2255" s="25">
        <v>44.69</v>
      </c>
      <c r="H2255" s="379">
        <v>12.765318816500603</v>
      </c>
      <c r="I2255" s="25">
        <v>53.71</v>
      </c>
      <c r="J2255" s="379">
        <v>6.9423596955245861</v>
      </c>
    </row>
    <row r="2256" spans="1:10" x14ac:dyDescent="0.35">
      <c r="A2256" s="5">
        <v>2252</v>
      </c>
      <c r="B2256" s="5">
        <v>94</v>
      </c>
      <c r="C2256" s="5">
        <v>4</v>
      </c>
      <c r="D2256" s="379">
        <v>59.394999999999989</v>
      </c>
      <c r="E2256" s="25">
        <v>25.74</v>
      </c>
      <c r="F2256" s="379">
        <v>18.258890483953703</v>
      </c>
      <c r="G2256" s="25">
        <v>47.85</v>
      </c>
      <c r="H2256" s="379">
        <v>12.334084108334926</v>
      </c>
      <c r="I2256" s="25">
        <v>54.76</v>
      </c>
      <c r="J2256" s="379">
        <v>6.6762164331333711</v>
      </c>
    </row>
    <row r="2257" spans="1:10" x14ac:dyDescent="0.35">
      <c r="A2257" s="5">
        <v>2253</v>
      </c>
      <c r="B2257" s="5">
        <v>94</v>
      </c>
      <c r="C2257" s="5">
        <v>4</v>
      </c>
      <c r="D2257" s="379">
        <v>57.647777777777769</v>
      </c>
      <c r="E2257" s="25">
        <v>25.29</v>
      </c>
      <c r="F2257" s="379">
        <v>19.632719156385168</v>
      </c>
      <c r="G2257" s="25">
        <v>47.67</v>
      </c>
      <c r="H2257" s="379">
        <v>12.458720939616713</v>
      </c>
      <c r="I2257" s="25">
        <v>53.71</v>
      </c>
      <c r="J2257" s="379">
        <v>6.7874882954129472</v>
      </c>
    </row>
    <row r="2258" spans="1:10" x14ac:dyDescent="0.35">
      <c r="A2258" s="5">
        <v>2254</v>
      </c>
      <c r="B2258" s="5">
        <v>94</v>
      </c>
      <c r="C2258" s="5">
        <v>4</v>
      </c>
      <c r="D2258" s="379">
        <v>53.239999999999995</v>
      </c>
      <c r="E2258" s="25">
        <v>25.29</v>
      </c>
      <c r="F2258" s="379">
        <v>18.319856975377711</v>
      </c>
      <c r="G2258" s="25">
        <v>47.46</v>
      </c>
      <c r="H2258" s="379">
        <v>12.218744056281338</v>
      </c>
      <c r="I2258" s="25">
        <v>59.05</v>
      </c>
      <c r="J2258" s="379">
        <v>7.2995271316692083</v>
      </c>
    </row>
    <row r="2259" spans="1:10" x14ac:dyDescent="0.35">
      <c r="A2259" s="5">
        <v>2255</v>
      </c>
      <c r="B2259" s="5">
        <v>94</v>
      </c>
      <c r="C2259" s="5">
        <v>4</v>
      </c>
      <c r="D2259" s="379">
        <v>50.725555555555552</v>
      </c>
      <c r="E2259" s="25">
        <v>24.84</v>
      </c>
      <c r="F2259" s="379">
        <v>18.818665391734967</v>
      </c>
      <c r="G2259" s="25">
        <v>43.56</v>
      </c>
      <c r="H2259" s="379">
        <v>13.041000903987349</v>
      </c>
      <c r="I2259" s="25">
        <v>53.71</v>
      </c>
      <c r="J2259" s="379">
        <v>7.4979872231451417</v>
      </c>
    </row>
    <row r="2260" spans="1:10" x14ac:dyDescent="0.35">
      <c r="A2260" s="5">
        <v>2256</v>
      </c>
      <c r="B2260" s="5">
        <v>94</v>
      </c>
      <c r="C2260" s="5">
        <v>4</v>
      </c>
      <c r="D2260" s="379">
        <v>38.873333333333335</v>
      </c>
      <c r="E2260" s="25">
        <v>24.84</v>
      </c>
      <c r="F2260" s="379">
        <v>18.832287307716623</v>
      </c>
      <c r="G2260" s="25">
        <v>43.12</v>
      </c>
      <c r="H2260" s="379">
        <v>12.148650315866899</v>
      </c>
      <c r="I2260" s="25">
        <v>53.71</v>
      </c>
      <c r="J2260" s="379">
        <v>7.4616830172324393</v>
      </c>
    </row>
    <row r="2261" spans="1:10" x14ac:dyDescent="0.35">
      <c r="A2261" s="5">
        <v>2257</v>
      </c>
      <c r="B2261" s="5">
        <v>95</v>
      </c>
      <c r="C2261" s="5">
        <v>4</v>
      </c>
      <c r="D2261" s="379">
        <v>39.082777777777778</v>
      </c>
      <c r="E2261" s="25">
        <v>24.84</v>
      </c>
      <c r="F2261" s="379">
        <v>18.904923328477597</v>
      </c>
      <c r="G2261" s="25">
        <v>43.56</v>
      </c>
      <c r="H2261" s="379">
        <v>10.605651448473109</v>
      </c>
      <c r="I2261" s="25">
        <v>53.71</v>
      </c>
      <c r="J2261" s="379">
        <v>7.4256825829635691</v>
      </c>
    </row>
    <row r="2262" spans="1:10" x14ac:dyDescent="0.35">
      <c r="A2262" s="5">
        <v>2258</v>
      </c>
      <c r="B2262" s="5">
        <v>95</v>
      </c>
      <c r="C2262" s="5">
        <v>4</v>
      </c>
      <c r="D2262" s="379">
        <v>38.50888888888889</v>
      </c>
      <c r="E2262" s="25">
        <v>24.84</v>
      </c>
      <c r="F2262" s="379">
        <v>18.495071139055991</v>
      </c>
      <c r="G2262" s="25">
        <v>43.56</v>
      </c>
      <c r="H2262" s="379">
        <v>11.810665049055247</v>
      </c>
      <c r="I2262" s="25">
        <v>53.71</v>
      </c>
      <c r="J2262" s="379">
        <v>7.4186130902909895</v>
      </c>
    </row>
    <row r="2263" spans="1:10" x14ac:dyDescent="0.35">
      <c r="A2263" s="5">
        <v>2259</v>
      </c>
      <c r="B2263" s="5">
        <v>95</v>
      </c>
      <c r="C2263" s="5">
        <v>4</v>
      </c>
      <c r="D2263" s="379">
        <v>38.626111111111108</v>
      </c>
      <c r="E2263" s="25">
        <v>24.84</v>
      </c>
      <c r="F2263" s="379">
        <v>19.384582869894452</v>
      </c>
      <c r="G2263" s="25">
        <v>42.29</v>
      </c>
      <c r="H2263" s="379">
        <v>13.291723607017277</v>
      </c>
      <c r="I2263" s="25">
        <v>53.71</v>
      </c>
      <c r="J2263" s="379">
        <v>7.4169198088966279</v>
      </c>
    </row>
    <row r="2264" spans="1:10" x14ac:dyDescent="0.35">
      <c r="A2264" s="5">
        <v>2260</v>
      </c>
      <c r="B2264" s="5">
        <v>95</v>
      </c>
      <c r="C2264" s="5">
        <v>4</v>
      </c>
      <c r="D2264" s="379">
        <v>40.326666666666668</v>
      </c>
      <c r="E2264" s="25">
        <v>24.84</v>
      </c>
      <c r="F2264" s="379">
        <v>17.595365025917278</v>
      </c>
      <c r="G2264" s="25">
        <v>47.46</v>
      </c>
      <c r="H2264" s="379">
        <v>12.773709295112297</v>
      </c>
      <c r="I2264" s="25">
        <v>53.71</v>
      </c>
      <c r="J2264" s="379">
        <v>7.4256825829635691</v>
      </c>
    </row>
    <row r="2265" spans="1:10" x14ac:dyDescent="0.35">
      <c r="A2265" s="5">
        <v>2261</v>
      </c>
      <c r="B2265" s="5">
        <v>95</v>
      </c>
      <c r="C2265" s="5">
        <v>4</v>
      </c>
      <c r="D2265" s="379">
        <v>43.288888888888884</v>
      </c>
      <c r="E2265" s="25">
        <v>24.84</v>
      </c>
      <c r="F2265" s="379">
        <v>19.444184930922887</v>
      </c>
      <c r="G2265" s="25">
        <v>47.46</v>
      </c>
      <c r="H2265" s="379">
        <v>12.180427078243389</v>
      </c>
      <c r="I2265" s="25">
        <v>54.25</v>
      </c>
      <c r="J2265" s="379">
        <v>7.3623993661845377</v>
      </c>
    </row>
    <row r="2266" spans="1:10" x14ac:dyDescent="0.35">
      <c r="A2266" s="5">
        <v>2262</v>
      </c>
      <c r="B2266" s="5">
        <v>95</v>
      </c>
      <c r="C2266" s="5">
        <v>4</v>
      </c>
      <c r="D2266" s="379">
        <v>56.024999999999999</v>
      </c>
      <c r="E2266" s="25">
        <v>27.15</v>
      </c>
      <c r="F2266" s="379">
        <v>20.456922657778428</v>
      </c>
      <c r="G2266" s="25">
        <v>50.34</v>
      </c>
      <c r="H2266" s="379">
        <v>11.90512842774382</v>
      </c>
      <c r="I2266" s="25">
        <v>82.45</v>
      </c>
      <c r="J2266" s="379">
        <v>7.3670614626320239</v>
      </c>
    </row>
    <row r="2267" spans="1:10" x14ac:dyDescent="0.35">
      <c r="A2267" s="5">
        <v>2263</v>
      </c>
      <c r="B2267" s="5">
        <v>95</v>
      </c>
      <c r="C2267" s="5">
        <v>4</v>
      </c>
      <c r="D2267" s="379">
        <v>64.084999999999994</v>
      </c>
      <c r="E2267" s="25">
        <v>28.12</v>
      </c>
      <c r="F2267" s="379">
        <v>16.417841673954616</v>
      </c>
      <c r="G2267" s="25">
        <v>56.29</v>
      </c>
      <c r="H2267" s="379">
        <v>12.608012734643344</v>
      </c>
      <c r="I2267" s="25">
        <v>814.29</v>
      </c>
      <c r="J2267" s="379">
        <v>7.0909815541384393</v>
      </c>
    </row>
    <row r="2268" spans="1:10" x14ac:dyDescent="0.35">
      <c r="A2268" s="5">
        <v>2264</v>
      </c>
      <c r="B2268" s="5">
        <v>95</v>
      </c>
      <c r="C2268" s="5">
        <v>4</v>
      </c>
      <c r="D2268" s="379">
        <v>65.851666666666659</v>
      </c>
      <c r="E2268" s="25">
        <v>29.23</v>
      </c>
      <c r="F2268" s="379">
        <v>16.975040773987899</v>
      </c>
      <c r="G2268" s="25">
        <v>56.29</v>
      </c>
      <c r="H2268" s="379">
        <v>11.119198827915206</v>
      </c>
      <c r="I2268" s="25">
        <v>819.14</v>
      </c>
      <c r="J2268" s="379">
        <v>6.3174559151473577</v>
      </c>
    </row>
    <row r="2269" spans="1:10" x14ac:dyDescent="0.35">
      <c r="A2269" s="5">
        <v>2265</v>
      </c>
      <c r="B2269" s="5">
        <v>95</v>
      </c>
      <c r="C2269" s="5">
        <v>4</v>
      </c>
      <c r="D2269" s="379">
        <v>67.12555555555555</v>
      </c>
      <c r="E2269" s="25">
        <v>29.23</v>
      </c>
      <c r="F2269" s="379">
        <v>9.5371599971694856</v>
      </c>
      <c r="G2269" s="25">
        <v>56.29</v>
      </c>
      <c r="H2269" s="379">
        <v>4.799693804694658</v>
      </c>
      <c r="I2269" s="25">
        <v>603.30999999999995</v>
      </c>
      <c r="J2269" s="379">
        <v>3.9780983305998143</v>
      </c>
    </row>
    <row r="2270" spans="1:10" x14ac:dyDescent="0.35">
      <c r="A2270" s="5">
        <v>2266</v>
      </c>
      <c r="B2270" s="5">
        <v>95</v>
      </c>
      <c r="C2270" s="5">
        <v>4</v>
      </c>
      <c r="D2270" s="379">
        <v>65.158888888888896</v>
      </c>
      <c r="E2270" s="25">
        <v>29.23</v>
      </c>
      <c r="F2270" s="379">
        <v>8.2992877095621065</v>
      </c>
      <c r="G2270" s="25">
        <v>52.87</v>
      </c>
      <c r="H2270" s="379">
        <v>4.8699897114629058</v>
      </c>
      <c r="I2270" s="25">
        <v>63.83</v>
      </c>
      <c r="J2270" s="379">
        <v>0.71159425534180343</v>
      </c>
    </row>
    <row r="2271" spans="1:10" x14ac:dyDescent="0.35">
      <c r="A2271" s="5">
        <v>2267</v>
      </c>
      <c r="B2271" s="5">
        <v>95</v>
      </c>
      <c r="C2271" s="5">
        <v>4</v>
      </c>
      <c r="D2271" s="379">
        <v>62.639444444444443</v>
      </c>
      <c r="E2271" s="25">
        <v>28.12</v>
      </c>
      <c r="F2271" s="379">
        <v>1.744688892665001</v>
      </c>
      <c r="G2271" s="25">
        <v>51.13</v>
      </c>
      <c r="H2271" s="379">
        <v>4.0121527532111223</v>
      </c>
      <c r="I2271" s="25">
        <v>54.25</v>
      </c>
      <c r="J2271" s="379">
        <v>0.88190013787647448</v>
      </c>
    </row>
    <row r="2272" spans="1:10" x14ac:dyDescent="0.35">
      <c r="A2272" s="5">
        <v>2268</v>
      </c>
      <c r="B2272" s="5">
        <v>95</v>
      </c>
      <c r="C2272" s="5">
        <v>4</v>
      </c>
      <c r="D2272" s="379">
        <v>58.588333333333324</v>
      </c>
      <c r="E2272" s="25">
        <v>25.74</v>
      </c>
      <c r="F2272" s="379">
        <v>5.3335350979824376</v>
      </c>
      <c r="G2272" s="25">
        <v>47.93</v>
      </c>
      <c r="H2272" s="379">
        <v>0.60182451575464435</v>
      </c>
      <c r="I2272" s="25">
        <v>53.71</v>
      </c>
      <c r="J2272" s="379">
        <v>0.53878005301457166</v>
      </c>
    </row>
    <row r="2273" spans="1:10" x14ac:dyDescent="0.35">
      <c r="A2273" s="5">
        <v>2269</v>
      </c>
      <c r="B2273" s="5">
        <v>95</v>
      </c>
      <c r="C2273" s="5">
        <v>4</v>
      </c>
      <c r="D2273" s="379">
        <v>58.791666666666664</v>
      </c>
      <c r="E2273" s="25">
        <v>25.59</v>
      </c>
      <c r="F2273" s="379">
        <v>1.5294981834364954</v>
      </c>
      <c r="G2273" s="25">
        <v>47.85</v>
      </c>
      <c r="H2273" s="379">
        <v>0.66083600899424333</v>
      </c>
      <c r="I2273" s="25">
        <v>53.71</v>
      </c>
      <c r="J2273" s="379">
        <v>0.41248780129537382</v>
      </c>
    </row>
    <row r="2274" spans="1:10" x14ac:dyDescent="0.35">
      <c r="A2274" s="5">
        <v>2270</v>
      </c>
      <c r="B2274" s="5">
        <v>95</v>
      </c>
      <c r="C2274" s="5">
        <v>4</v>
      </c>
      <c r="D2274" s="379">
        <v>58.016111111111115</v>
      </c>
      <c r="E2274" s="25">
        <v>25.29</v>
      </c>
      <c r="F2274" s="379">
        <v>2.1113488311590252</v>
      </c>
      <c r="G2274" s="25">
        <v>47.85</v>
      </c>
      <c r="H2274" s="379">
        <v>0.79986432572152011</v>
      </c>
      <c r="I2274" s="25">
        <v>53.71</v>
      </c>
      <c r="J2274" s="379">
        <v>0.39551831147674982</v>
      </c>
    </row>
    <row r="2275" spans="1:10" x14ac:dyDescent="0.35">
      <c r="A2275" s="5">
        <v>2271</v>
      </c>
      <c r="B2275" s="5">
        <v>95</v>
      </c>
      <c r="C2275" s="5">
        <v>4</v>
      </c>
      <c r="D2275" s="379">
        <v>57.696111111111108</v>
      </c>
      <c r="E2275" s="25">
        <v>25.29</v>
      </c>
      <c r="F2275" s="379">
        <v>2.4113861680802926</v>
      </c>
      <c r="G2275" s="25">
        <v>47.85</v>
      </c>
      <c r="H2275" s="379">
        <v>0.79986432572152011</v>
      </c>
      <c r="I2275" s="25">
        <v>53.71</v>
      </c>
      <c r="J2275" s="379">
        <v>0.39738691357625744</v>
      </c>
    </row>
    <row r="2276" spans="1:10" x14ac:dyDescent="0.35">
      <c r="A2276" s="5">
        <v>2272</v>
      </c>
      <c r="B2276" s="5">
        <v>95</v>
      </c>
      <c r="C2276" s="5">
        <v>4</v>
      </c>
      <c r="D2276" s="379">
        <v>56.741666666666674</v>
      </c>
      <c r="E2276" s="25">
        <v>25.59</v>
      </c>
      <c r="F2276" s="379">
        <v>0.47222222222222221</v>
      </c>
      <c r="G2276" s="25">
        <v>47.85</v>
      </c>
      <c r="H2276" s="379">
        <v>0.79986432572152011</v>
      </c>
      <c r="I2276" s="25">
        <v>53.71</v>
      </c>
      <c r="J2276" s="379">
        <v>0.63089985495089862</v>
      </c>
    </row>
    <row r="2277" spans="1:10" x14ac:dyDescent="0.35">
      <c r="A2277" s="5">
        <v>2273</v>
      </c>
      <c r="B2277" s="5">
        <v>95</v>
      </c>
      <c r="C2277" s="5">
        <v>4</v>
      </c>
      <c r="D2277" s="379">
        <v>63.054999999999993</v>
      </c>
      <c r="E2277" s="25">
        <v>25.74</v>
      </c>
      <c r="F2277" s="379">
        <v>9.2881945653390066</v>
      </c>
      <c r="G2277" s="25">
        <v>48.19</v>
      </c>
      <c r="H2277" s="379">
        <v>10.819287782901309</v>
      </c>
      <c r="I2277" s="25">
        <v>54.25</v>
      </c>
      <c r="J2277" s="379">
        <v>4.2574672970053475</v>
      </c>
    </row>
    <row r="2278" spans="1:10" x14ac:dyDescent="0.35">
      <c r="A2278" s="5">
        <v>2274</v>
      </c>
      <c r="B2278" s="5">
        <v>95</v>
      </c>
      <c r="C2278" s="5">
        <v>4</v>
      </c>
      <c r="D2278" s="379">
        <v>68.765555555555551</v>
      </c>
      <c r="E2278" s="25">
        <v>27.96</v>
      </c>
      <c r="F2278" s="379">
        <v>22.637864669754084</v>
      </c>
      <c r="G2278" s="25">
        <v>49.84</v>
      </c>
      <c r="H2278" s="379">
        <v>14.158554195494197</v>
      </c>
      <c r="I2278" s="25">
        <v>56.98</v>
      </c>
      <c r="J2278" s="379">
        <v>7.3068948385597574</v>
      </c>
    </row>
    <row r="2279" spans="1:10" x14ac:dyDescent="0.35">
      <c r="A2279" s="5">
        <v>2275</v>
      </c>
      <c r="B2279" s="5">
        <v>95</v>
      </c>
      <c r="C2279" s="5">
        <v>4</v>
      </c>
      <c r="D2279" s="379">
        <v>72.11444444444443</v>
      </c>
      <c r="E2279" s="25">
        <v>28.12</v>
      </c>
      <c r="F2279" s="379">
        <v>23.454753059772418</v>
      </c>
      <c r="G2279" s="25">
        <v>52.2</v>
      </c>
      <c r="H2279" s="379">
        <v>21.567799438572379</v>
      </c>
      <c r="I2279" s="25">
        <v>101.88</v>
      </c>
      <c r="J2279" s="379">
        <v>7.2547399536765553</v>
      </c>
    </row>
    <row r="2280" spans="1:10" x14ac:dyDescent="0.35">
      <c r="A2280" s="5">
        <v>2276</v>
      </c>
      <c r="B2280" s="5">
        <v>95</v>
      </c>
      <c r="C2280" s="5">
        <v>4</v>
      </c>
      <c r="D2280" s="379">
        <v>68.76111111111112</v>
      </c>
      <c r="E2280" s="25">
        <v>28.12</v>
      </c>
      <c r="F2280" s="379">
        <v>23.454450873523243</v>
      </c>
      <c r="G2280" s="25">
        <v>56.29</v>
      </c>
      <c r="H2280" s="379">
        <v>21.513385187162211</v>
      </c>
      <c r="I2280" s="25">
        <v>603.30999999999995</v>
      </c>
      <c r="J2280" s="379">
        <v>7.0909815541384393</v>
      </c>
    </row>
    <row r="2281" spans="1:10" x14ac:dyDescent="0.35">
      <c r="A2281" s="5">
        <v>2277</v>
      </c>
      <c r="B2281" s="5">
        <v>95</v>
      </c>
      <c r="C2281" s="5">
        <v>4</v>
      </c>
      <c r="D2281" s="379">
        <v>66.314999999999998</v>
      </c>
      <c r="E2281" s="25">
        <v>27.96</v>
      </c>
      <c r="F2281" s="379">
        <v>23.517329725830365</v>
      </c>
      <c r="G2281" s="25">
        <v>55.38</v>
      </c>
      <c r="H2281" s="379">
        <v>21.78913453801508</v>
      </c>
      <c r="I2281" s="25">
        <v>585.74</v>
      </c>
      <c r="J2281" s="379">
        <v>7.0909815541384393</v>
      </c>
    </row>
    <row r="2282" spans="1:10" x14ac:dyDescent="0.35">
      <c r="A2282" s="5">
        <v>2278</v>
      </c>
      <c r="B2282" s="5">
        <v>95</v>
      </c>
      <c r="C2282" s="5">
        <v>4</v>
      </c>
      <c r="D2282" s="379">
        <v>61.772777777777776</v>
      </c>
      <c r="E2282" s="25">
        <v>27.96</v>
      </c>
      <c r="F2282" s="379">
        <v>24.068338512632366</v>
      </c>
      <c r="G2282" s="25">
        <v>52.87</v>
      </c>
      <c r="H2282" s="379">
        <v>22.370843691522285</v>
      </c>
      <c r="I2282" s="25">
        <v>101.88</v>
      </c>
      <c r="J2282" s="379">
        <v>7.0974223530445792</v>
      </c>
    </row>
    <row r="2283" spans="1:10" x14ac:dyDescent="0.35">
      <c r="A2283" s="5">
        <v>2279</v>
      </c>
      <c r="B2283" s="5">
        <v>95</v>
      </c>
      <c r="C2283" s="5">
        <v>4</v>
      </c>
      <c r="D2283" s="379">
        <v>54.022777777777776</v>
      </c>
      <c r="E2283" s="25">
        <v>26.51</v>
      </c>
      <c r="F2283" s="379">
        <v>22.302726883543059</v>
      </c>
      <c r="G2283" s="25">
        <v>51.13</v>
      </c>
      <c r="H2283" s="379">
        <v>19.944609074303472</v>
      </c>
      <c r="I2283" s="25">
        <v>101.88</v>
      </c>
      <c r="J2283" s="379">
        <v>7.1783700589058794</v>
      </c>
    </row>
    <row r="2284" spans="1:10" x14ac:dyDescent="0.35">
      <c r="A2284" s="5">
        <v>2280</v>
      </c>
      <c r="B2284" s="5">
        <v>95</v>
      </c>
      <c r="C2284" s="5">
        <v>4</v>
      </c>
      <c r="D2284" s="379">
        <v>51.732222222222227</v>
      </c>
      <c r="E2284" s="25">
        <v>25.29</v>
      </c>
      <c r="F2284" s="379">
        <v>18.715126857381218</v>
      </c>
      <c r="G2284" s="25">
        <v>47.85</v>
      </c>
      <c r="H2284" s="379">
        <v>19.177934846057077</v>
      </c>
      <c r="I2284" s="25">
        <v>86.6</v>
      </c>
      <c r="J2284" s="379">
        <v>7.1518881225718571</v>
      </c>
    </row>
    <row r="2285" spans="1:10" x14ac:dyDescent="0.35">
      <c r="A2285" s="5">
        <v>2281</v>
      </c>
      <c r="B2285" s="5">
        <v>96</v>
      </c>
      <c r="C2285" s="5">
        <v>4</v>
      </c>
      <c r="D2285" s="379">
        <v>53.715555555555554</v>
      </c>
      <c r="E2285" s="25">
        <v>24.99</v>
      </c>
      <c r="F2285" s="379">
        <v>20.176435874527606</v>
      </c>
      <c r="G2285" s="25">
        <v>47.85</v>
      </c>
      <c r="H2285" s="379">
        <v>20.763627665422259</v>
      </c>
      <c r="I2285" s="25">
        <v>86.6</v>
      </c>
      <c r="J2285" s="379">
        <v>7.139662914782261</v>
      </c>
    </row>
    <row r="2286" spans="1:10" x14ac:dyDescent="0.35">
      <c r="A2286" s="5">
        <v>2282</v>
      </c>
      <c r="B2286" s="5">
        <v>96</v>
      </c>
      <c r="C2286" s="5">
        <v>4</v>
      </c>
      <c r="D2286" s="379">
        <v>53.797222222222224</v>
      </c>
      <c r="E2286" s="25">
        <v>24.84</v>
      </c>
      <c r="F2286" s="379">
        <v>17.785541307428534</v>
      </c>
      <c r="G2286" s="25">
        <v>47.85</v>
      </c>
      <c r="H2286" s="379">
        <v>15.462779650599984</v>
      </c>
      <c r="I2286" s="25">
        <v>86.6</v>
      </c>
      <c r="J2286" s="379">
        <v>7.0909815541384393</v>
      </c>
    </row>
    <row r="2287" spans="1:10" x14ac:dyDescent="0.35">
      <c r="A2287" s="5">
        <v>2283</v>
      </c>
      <c r="B2287" s="5">
        <v>96</v>
      </c>
      <c r="C2287" s="5">
        <v>4</v>
      </c>
      <c r="D2287" s="379">
        <v>46.202222222222225</v>
      </c>
      <c r="E2287" s="25">
        <v>24.84</v>
      </c>
      <c r="F2287" s="379">
        <v>18.695238687456065</v>
      </c>
      <c r="G2287" s="25">
        <v>47.85</v>
      </c>
      <c r="H2287" s="379">
        <v>17.211273698095749</v>
      </c>
      <c r="I2287" s="25">
        <v>86.6</v>
      </c>
      <c r="J2287" s="379">
        <v>7.1535596247197928</v>
      </c>
    </row>
    <row r="2288" spans="1:10" x14ac:dyDescent="0.35">
      <c r="A2288" s="5">
        <v>2284</v>
      </c>
      <c r="B2288" s="5">
        <v>96</v>
      </c>
      <c r="C2288" s="5">
        <v>4</v>
      </c>
      <c r="D2288" s="379">
        <v>46.007222222222225</v>
      </c>
      <c r="E2288" s="25">
        <v>24.99</v>
      </c>
      <c r="F2288" s="379">
        <v>15.501787517266981</v>
      </c>
      <c r="G2288" s="25">
        <v>47.85</v>
      </c>
      <c r="H2288" s="379">
        <v>18.736726749869177</v>
      </c>
      <c r="I2288" s="25">
        <v>86.6</v>
      </c>
      <c r="J2288" s="379">
        <v>7.3278696859191115</v>
      </c>
    </row>
    <row r="2289" spans="1:10" x14ac:dyDescent="0.35">
      <c r="A2289" s="5">
        <v>2285</v>
      </c>
      <c r="B2289" s="5">
        <v>96</v>
      </c>
      <c r="C2289" s="5">
        <v>4</v>
      </c>
      <c r="D2289" s="379">
        <v>49.035000000000004</v>
      </c>
      <c r="E2289" s="25">
        <v>25.47</v>
      </c>
      <c r="F2289" s="379">
        <v>14.249117591760502</v>
      </c>
      <c r="G2289" s="25">
        <v>48.19</v>
      </c>
      <c r="H2289" s="379">
        <v>14.55977993972358</v>
      </c>
      <c r="I2289" s="25">
        <v>86.6</v>
      </c>
      <c r="J2289" s="379">
        <v>7.3436122265291868</v>
      </c>
    </row>
    <row r="2290" spans="1:10" x14ac:dyDescent="0.35">
      <c r="A2290" s="5">
        <v>2286</v>
      </c>
      <c r="B2290" s="5">
        <v>96</v>
      </c>
      <c r="C2290" s="5">
        <v>4</v>
      </c>
      <c r="D2290" s="379">
        <v>58.004444444444438</v>
      </c>
      <c r="E2290" s="25">
        <v>27.96</v>
      </c>
      <c r="F2290" s="379">
        <v>16.741680705301754</v>
      </c>
      <c r="G2290" s="25">
        <v>52.2</v>
      </c>
      <c r="H2290" s="379">
        <v>17.673415869455813</v>
      </c>
      <c r="I2290" s="25">
        <v>603.30999999999995</v>
      </c>
      <c r="J2290" s="379">
        <v>7.3331829889427684</v>
      </c>
    </row>
    <row r="2291" spans="1:10" x14ac:dyDescent="0.35">
      <c r="A2291" s="5">
        <v>2287</v>
      </c>
      <c r="B2291" s="5">
        <v>96</v>
      </c>
      <c r="C2291" s="5">
        <v>4</v>
      </c>
      <c r="D2291" s="379">
        <v>58.403333333333336</v>
      </c>
      <c r="E2291" s="25">
        <v>28.12</v>
      </c>
      <c r="F2291" s="379">
        <v>17.722230777599631</v>
      </c>
      <c r="G2291" s="25">
        <v>56.29</v>
      </c>
      <c r="H2291" s="379">
        <v>17.423727884733037</v>
      </c>
      <c r="I2291" s="25">
        <v>603.30999999999995</v>
      </c>
      <c r="J2291" s="379">
        <v>7.0909614370614724</v>
      </c>
    </row>
    <row r="2292" spans="1:10" x14ac:dyDescent="0.35">
      <c r="A2292" s="5">
        <v>2288</v>
      </c>
      <c r="B2292" s="5">
        <v>96</v>
      </c>
      <c r="C2292" s="5">
        <v>4</v>
      </c>
      <c r="D2292" s="379">
        <v>61.592777777777776</v>
      </c>
      <c r="E2292" s="25">
        <v>29.4</v>
      </c>
      <c r="F2292" s="379">
        <v>18.176770142014302</v>
      </c>
      <c r="G2292" s="25">
        <v>56.29</v>
      </c>
      <c r="H2292" s="379">
        <v>17.145952773203017</v>
      </c>
      <c r="I2292" s="25">
        <v>843.72</v>
      </c>
      <c r="J2292" s="379">
        <v>7.0909614370614724</v>
      </c>
    </row>
    <row r="2293" spans="1:10" x14ac:dyDescent="0.35">
      <c r="A2293" s="5">
        <v>2289</v>
      </c>
      <c r="B2293" s="5">
        <v>96</v>
      </c>
      <c r="C2293" s="5">
        <v>4</v>
      </c>
      <c r="D2293" s="379">
        <v>57.095555555555556</v>
      </c>
      <c r="E2293" s="25">
        <v>29.4</v>
      </c>
      <c r="F2293" s="379">
        <v>18.140549229304604</v>
      </c>
      <c r="G2293" s="25">
        <v>56.29</v>
      </c>
      <c r="H2293" s="379">
        <v>11.496838256214197</v>
      </c>
      <c r="I2293" s="25">
        <v>819.14</v>
      </c>
      <c r="J2293" s="379">
        <v>7.0909614370614724</v>
      </c>
    </row>
    <row r="2294" spans="1:10" x14ac:dyDescent="0.35">
      <c r="A2294" s="5">
        <v>2290</v>
      </c>
      <c r="B2294" s="5">
        <v>96</v>
      </c>
      <c r="C2294" s="5">
        <v>4</v>
      </c>
      <c r="D2294" s="379">
        <v>53.443888888888885</v>
      </c>
      <c r="E2294" s="25">
        <v>29.4</v>
      </c>
      <c r="F2294" s="379">
        <v>10.849466965182993</v>
      </c>
      <c r="G2294" s="25">
        <v>53.41</v>
      </c>
      <c r="H2294" s="379">
        <v>11.386436143387787</v>
      </c>
      <c r="I2294" s="25">
        <v>603.30999999999995</v>
      </c>
      <c r="J2294" s="379">
        <v>6.4941844666385409</v>
      </c>
    </row>
    <row r="2295" spans="1:10" x14ac:dyDescent="0.35">
      <c r="A2295" s="5">
        <v>2291</v>
      </c>
      <c r="B2295" s="5">
        <v>96</v>
      </c>
      <c r="C2295" s="5">
        <v>4</v>
      </c>
      <c r="D2295" s="379">
        <v>52.390555555555558</v>
      </c>
      <c r="E2295" s="25">
        <v>29.4</v>
      </c>
      <c r="F2295" s="379">
        <v>10.478234844710821</v>
      </c>
      <c r="G2295" s="25">
        <v>56.29</v>
      </c>
      <c r="H2295" s="379">
        <v>11.213920154544954</v>
      </c>
      <c r="I2295" s="25">
        <v>603.30999999999995</v>
      </c>
      <c r="J2295" s="379">
        <v>6.1990106044043616</v>
      </c>
    </row>
    <row r="2296" spans="1:10" x14ac:dyDescent="0.35">
      <c r="A2296" s="5">
        <v>2292</v>
      </c>
      <c r="B2296" s="5">
        <v>96</v>
      </c>
      <c r="C2296" s="5">
        <v>4</v>
      </c>
      <c r="D2296" s="379">
        <v>47.113888888888894</v>
      </c>
      <c r="E2296" s="25">
        <v>29.4</v>
      </c>
      <c r="F2296" s="379">
        <v>5.5866075867439706</v>
      </c>
      <c r="G2296" s="25">
        <v>52.87</v>
      </c>
      <c r="H2296" s="379">
        <v>10.40745216407719</v>
      </c>
      <c r="I2296" s="25">
        <v>87.48</v>
      </c>
      <c r="J2296" s="379">
        <v>6.1657511190135867</v>
      </c>
    </row>
    <row r="2297" spans="1:10" x14ac:dyDescent="0.35">
      <c r="A2297" s="5">
        <v>2293</v>
      </c>
      <c r="B2297" s="5">
        <v>96</v>
      </c>
      <c r="C2297" s="5">
        <v>4</v>
      </c>
      <c r="D2297" s="379">
        <v>47.511111111111113</v>
      </c>
      <c r="E2297" s="25">
        <v>28.12</v>
      </c>
      <c r="F2297" s="379">
        <v>3.5695188348861375</v>
      </c>
      <c r="G2297" s="25">
        <v>51.13</v>
      </c>
      <c r="H2297" s="379">
        <v>10.807445616080873</v>
      </c>
      <c r="I2297" s="25">
        <v>86.6</v>
      </c>
      <c r="J2297" s="379">
        <v>6.1453252013598103</v>
      </c>
    </row>
    <row r="2298" spans="1:10" x14ac:dyDescent="0.35">
      <c r="A2298" s="5">
        <v>2294</v>
      </c>
      <c r="B2298" s="5">
        <v>96</v>
      </c>
      <c r="C2298" s="5">
        <v>4</v>
      </c>
      <c r="D2298" s="379">
        <v>46.547777777777767</v>
      </c>
      <c r="E2298" s="25">
        <v>26.51</v>
      </c>
      <c r="F2298" s="379">
        <v>6.309419052338801</v>
      </c>
      <c r="G2298" s="25">
        <v>51.13</v>
      </c>
      <c r="H2298" s="379">
        <v>11.213920154544954</v>
      </c>
      <c r="I2298" s="25">
        <v>86.6</v>
      </c>
      <c r="J2298" s="379">
        <v>6.213918965919186</v>
      </c>
    </row>
    <row r="2299" spans="1:10" x14ac:dyDescent="0.35">
      <c r="A2299" s="5">
        <v>2295</v>
      </c>
      <c r="B2299" s="5">
        <v>96</v>
      </c>
      <c r="C2299" s="5">
        <v>4</v>
      </c>
      <c r="D2299" s="379">
        <v>44.01</v>
      </c>
      <c r="E2299" s="25">
        <v>26.51</v>
      </c>
      <c r="F2299" s="379">
        <v>6.7897243233249025</v>
      </c>
      <c r="G2299" s="25">
        <v>49.64</v>
      </c>
      <c r="H2299" s="379">
        <v>11.383310678632204</v>
      </c>
      <c r="I2299" s="25">
        <v>86.6</v>
      </c>
      <c r="J2299" s="379">
        <v>6.7932951260551295</v>
      </c>
    </row>
    <row r="2300" spans="1:10" x14ac:dyDescent="0.35">
      <c r="A2300" s="5">
        <v>2296</v>
      </c>
      <c r="B2300" s="5">
        <v>96</v>
      </c>
      <c r="C2300" s="5">
        <v>4</v>
      </c>
      <c r="D2300" s="379">
        <v>43.992777777777775</v>
      </c>
      <c r="E2300" s="25">
        <v>26.51</v>
      </c>
      <c r="F2300" s="379">
        <v>9.734535168631604</v>
      </c>
      <c r="G2300" s="25">
        <v>49.14</v>
      </c>
      <c r="H2300" s="379">
        <v>11.157764323434915</v>
      </c>
      <c r="I2300" s="25">
        <v>86.6</v>
      </c>
      <c r="J2300" s="379">
        <v>6.0705549596704538</v>
      </c>
    </row>
    <row r="2301" spans="1:10" x14ac:dyDescent="0.35">
      <c r="A2301" s="5">
        <v>2297</v>
      </c>
      <c r="B2301" s="5">
        <v>96</v>
      </c>
      <c r="C2301" s="5">
        <v>4</v>
      </c>
      <c r="D2301" s="379">
        <v>51.031111111111109</v>
      </c>
      <c r="E2301" s="25">
        <v>27.3</v>
      </c>
      <c r="F2301" s="379">
        <v>10.55664120196551</v>
      </c>
      <c r="G2301" s="25">
        <v>49.64</v>
      </c>
      <c r="H2301" s="379">
        <v>11.165178946981303</v>
      </c>
      <c r="I2301" s="25">
        <v>86.6</v>
      </c>
      <c r="J2301" s="379">
        <v>6.2083246001164598</v>
      </c>
    </row>
    <row r="2302" spans="1:10" x14ac:dyDescent="0.35">
      <c r="A2302" s="5">
        <v>2298</v>
      </c>
      <c r="B2302" s="5">
        <v>96</v>
      </c>
      <c r="C2302" s="5">
        <v>4</v>
      </c>
      <c r="D2302" s="379">
        <v>56.133333333333333</v>
      </c>
      <c r="E2302" s="25">
        <v>27.96</v>
      </c>
      <c r="F2302" s="379">
        <v>20.446436983168322</v>
      </c>
      <c r="G2302" s="25">
        <v>49.84</v>
      </c>
      <c r="H2302" s="379">
        <v>19.129666152356858</v>
      </c>
      <c r="I2302" s="25">
        <v>86.6</v>
      </c>
      <c r="J2302" s="379">
        <v>7.2376266934793811</v>
      </c>
    </row>
    <row r="2303" spans="1:10" x14ac:dyDescent="0.35">
      <c r="A2303" s="5">
        <v>2299</v>
      </c>
      <c r="B2303" s="5">
        <v>96</v>
      </c>
      <c r="C2303" s="5">
        <v>4</v>
      </c>
      <c r="D2303" s="379">
        <v>56.640555555555558</v>
      </c>
      <c r="E2303" s="25">
        <v>28.12</v>
      </c>
      <c r="F2303" s="379">
        <v>19.015347659753989</v>
      </c>
      <c r="G2303" s="25">
        <v>53.77</v>
      </c>
      <c r="H2303" s="379">
        <v>23.761926319530861</v>
      </c>
      <c r="I2303" s="25">
        <v>101.88</v>
      </c>
      <c r="J2303" s="379">
        <v>7.1853027718759099</v>
      </c>
    </row>
    <row r="2304" spans="1:10" x14ac:dyDescent="0.35">
      <c r="A2304" s="5">
        <v>2300</v>
      </c>
      <c r="B2304" s="5">
        <v>96</v>
      </c>
      <c r="C2304" s="5">
        <v>4</v>
      </c>
      <c r="D2304" s="379">
        <v>53.478888888888889</v>
      </c>
      <c r="E2304" s="25">
        <v>28.12</v>
      </c>
      <c r="F2304" s="379">
        <v>20.399080279040724</v>
      </c>
      <c r="G2304" s="25">
        <v>56.29</v>
      </c>
      <c r="H2304" s="379">
        <v>23.05589228035344</v>
      </c>
      <c r="I2304" s="25">
        <v>603.30999999999995</v>
      </c>
      <c r="J2304" s="379">
        <v>7.0909614370614724</v>
      </c>
    </row>
    <row r="2305" spans="1:10" x14ac:dyDescent="0.35">
      <c r="A2305" s="5">
        <v>2301</v>
      </c>
      <c r="B2305" s="5">
        <v>96</v>
      </c>
      <c r="C2305" s="5">
        <v>4</v>
      </c>
      <c r="D2305" s="379">
        <v>48.771111111111097</v>
      </c>
      <c r="E2305" s="25">
        <v>28.11</v>
      </c>
      <c r="F2305" s="379">
        <v>21.131147099502023</v>
      </c>
      <c r="G2305" s="25">
        <v>55.38</v>
      </c>
      <c r="H2305" s="379">
        <v>22.46249492283243</v>
      </c>
      <c r="I2305" s="25">
        <v>603.30999999999995</v>
      </c>
      <c r="J2305" s="379">
        <v>7.1371934093202265</v>
      </c>
    </row>
    <row r="2306" spans="1:10" x14ac:dyDescent="0.35">
      <c r="A2306" s="5">
        <v>2302</v>
      </c>
      <c r="B2306" s="5">
        <v>96</v>
      </c>
      <c r="C2306" s="5">
        <v>4</v>
      </c>
      <c r="D2306" s="379">
        <v>40.873333333333335</v>
      </c>
      <c r="E2306" s="25">
        <v>27.96</v>
      </c>
      <c r="F2306" s="379">
        <v>21.897799805792651</v>
      </c>
      <c r="G2306" s="25">
        <v>52.87</v>
      </c>
      <c r="H2306" s="379">
        <v>20.359001658889106</v>
      </c>
      <c r="I2306" s="25">
        <v>101.88</v>
      </c>
      <c r="J2306" s="379">
        <v>7.1578518123641599</v>
      </c>
    </row>
    <row r="2307" spans="1:10" x14ac:dyDescent="0.35">
      <c r="A2307" s="5">
        <v>2303</v>
      </c>
      <c r="B2307" s="5">
        <v>96</v>
      </c>
      <c r="C2307" s="5">
        <v>4</v>
      </c>
      <c r="D2307" s="379">
        <v>39.417777777777779</v>
      </c>
      <c r="E2307" s="25">
        <v>27.15</v>
      </c>
      <c r="F2307" s="379">
        <v>18.489533138809833</v>
      </c>
      <c r="G2307" s="25">
        <v>51.64</v>
      </c>
      <c r="H2307" s="379">
        <v>23.551301298160531</v>
      </c>
      <c r="I2307" s="25">
        <v>87.48</v>
      </c>
      <c r="J2307" s="379">
        <v>7.3665651758330251</v>
      </c>
    </row>
    <row r="2308" spans="1:10" x14ac:dyDescent="0.35">
      <c r="A2308" s="5">
        <v>2304</v>
      </c>
      <c r="B2308" s="5">
        <v>96</v>
      </c>
      <c r="C2308" s="5">
        <v>4</v>
      </c>
      <c r="D2308" s="379">
        <v>35.644444444444439</v>
      </c>
      <c r="E2308" s="25">
        <v>25.29</v>
      </c>
      <c r="F2308" s="379">
        <v>18.164057249703369</v>
      </c>
      <c r="G2308" s="25">
        <v>49.14</v>
      </c>
      <c r="H2308" s="379">
        <v>16.972104514269525</v>
      </c>
      <c r="I2308" s="25">
        <v>86.6</v>
      </c>
      <c r="J2308" s="379">
        <v>7.1822606371712556</v>
      </c>
    </row>
    <row r="2309" spans="1:10" x14ac:dyDescent="0.35">
      <c r="A2309" s="5">
        <v>2305</v>
      </c>
      <c r="B2309" s="5">
        <v>97</v>
      </c>
      <c r="C2309" s="5">
        <v>4</v>
      </c>
      <c r="D2309" s="379">
        <v>35.250555555555557</v>
      </c>
      <c r="E2309" s="25">
        <v>25.17</v>
      </c>
      <c r="F2309" s="379">
        <v>16.713057208653517</v>
      </c>
      <c r="G2309" s="25">
        <v>47.85</v>
      </c>
      <c r="H2309" s="379">
        <v>20.341684593891404</v>
      </c>
      <c r="I2309" s="25">
        <v>75.86</v>
      </c>
      <c r="J2309" s="379">
        <v>7.2015741068809822</v>
      </c>
    </row>
    <row r="2310" spans="1:10" x14ac:dyDescent="0.35">
      <c r="A2310" s="5">
        <v>2306</v>
      </c>
      <c r="B2310" s="5">
        <v>97</v>
      </c>
      <c r="C2310" s="5">
        <v>4</v>
      </c>
      <c r="D2310" s="379">
        <v>33.252222222222223</v>
      </c>
      <c r="E2310" s="25">
        <v>24.99</v>
      </c>
      <c r="F2310" s="379">
        <v>16.412240230660064</v>
      </c>
      <c r="G2310" s="25">
        <v>47.85</v>
      </c>
      <c r="H2310" s="379">
        <v>20.523047421319131</v>
      </c>
      <c r="I2310" s="25">
        <v>75.86</v>
      </c>
      <c r="J2310" s="379">
        <v>7.2012228602459949</v>
      </c>
    </row>
    <row r="2311" spans="1:10" x14ac:dyDescent="0.35">
      <c r="A2311" s="5">
        <v>2307</v>
      </c>
      <c r="B2311" s="5">
        <v>97</v>
      </c>
      <c r="C2311" s="5">
        <v>4</v>
      </c>
      <c r="D2311" s="379">
        <v>35.034444444444439</v>
      </c>
      <c r="E2311" s="25">
        <v>24.99</v>
      </c>
      <c r="F2311" s="379">
        <v>16.328748909631077</v>
      </c>
      <c r="G2311" s="25">
        <v>47.85</v>
      </c>
      <c r="H2311" s="379">
        <v>18.187505126838637</v>
      </c>
      <c r="I2311" s="25">
        <v>75.86</v>
      </c>
      <c r="J2311" s="379">
        <v>7.3818217516100182</v>
      </c>
    </row>
    <row r="2312" spans="1:10" x14ac:dyDescent="0.35">
      <c r="A2312" s="5">
        <v>2308</v>
      </c>
      <c r="B2312" s="5">
        <v>97</v>
      </c>
      <c r="C2312" s="5">
        <v>4</v>
      </c>
      <c r="D2312" s="379">
        <v>37.257777777777775</v>
      </c>
      <c r="E2312" s="25">
        <v>24.99</v>
      </c>
      <c r="F2312" s="379">
        <v>16.328748909631077</v>
      </c>
      <c r="G2312" s="25">
        <v>47.85</v>
      </c>
      <c r="H2312" s="379">
        <v>16.486732450367281</v>
      </c>
      <c r="I2312" s="25">
        <v>75.86</v>
      </c>
      <c r="J2312" s="379">
        <v>7.177702619598441</v>
      </c>
    </row>
    <row r="2313" spans="1:10" x14ac:dyDescent="0.35">
      <c r="A2313" s="5">
        <v>2309</v>
      </c>
      <c r="B2313" s="5">
        <v>97</v>
      </c>
      <c r="C2313" s="5">
        <v>4</v>
      </c>
      <c r="D2313" s="379">
        <v>38.416111111111114</v>
      </c>
      <c r="E2313" s="25">
        <v>25.48</v>
      </c>
      <c r="F2313" s="379">
        <v>16.328748909631077</v>
      </c>
      <c r="G2313" s="25">
        <v>48.19</v>
      </c>
      <c r="H2313" s="379">
        <v>16.227818964048296</v>
      </c>
      <c r="I2313" s="25">
        <v>76.59</v>
      </c>
      <c r="J2313" s="379">
        <v>7.1923522252793806</v>
      </c>
    </row>
    <row r="2314" spans="1:10" x14ac:dyDescent="0.35">
      <c r="A2314" s="5">
        <v>2310</v>
      </c>
      <c r="B2314" s="5">
        <v>97</v>
      </c>
      <c r="C2314" s="5">
        <v>4</v>
      </c>
      <c r="D2314" s="379">
        <v>39.325555555555553</v>
      </c>
      <c r="E2314" s="25">
        <v>27.96</v>
      </c>
      <c r="F2314" s="379">
        <v>16.618186104171699</v>
      </c>
      <c r="G2314" s="25">
        <v>55.38</v>
      </c>
      <c r="H2314" s="379">
        <v>15.567748545555283</v>
      </c>
      <c r="I2314" s="25">
        <v>603.30999999999995</v>
      </c>
      <c r="J2314" s="379">
        <v>7.3565877991110504</v>
      </c>
    </row>
    <row r="2315" spans="1:10" x14ac:dyDescent="0.35">
      <c r="A2315" s="5">
        <v>2311</v>
      </c>
      <c r="B2315" s="5">
        <v>97</v>
      </c>
      <c r="C2315" s="5">
        <v>4</v>
      </c>
      <c r="D2315" s="379">
        <v>45.31</v>
      </c>
      <c r="E2315" s="25">
        <v>29.76</v>
      </c>
      <c r="F2315" s="379">
        <v>17.049264877696448</v>
      </c>
      <c r="G2315" s="25">
        <v>56.29</v>
      </c>
      <c r="H2315" s="379">
        <v>7.1108097967626946</v>
      </c>
      <c r="I2315" s="25">
        <v>843.72</v>
      </c>
      <c r="J2315" s="379">
        <v>7.2447878661259457</v>
      </c>
    </row>
    <row r="2316" spans="1:10" x14ac:dyDescent="0.35">
      <c r="A2316" s="5">
        <v>2312</v>
      </c>
      <c r="B2316" s="5">
        <v>97</v>
      </c>
      <c r="C2316" s="5">
        <v>4</v>
      </c>
      <c r="D2316" s="379">
        <v>49.18388888888888</v>
      </c>
      <c r="E2316" s="25">
        <v>29.76</v>
      </c>
      <c r="F2316" s="379">
        <v>8.7704291849856162</v>
      </c>
      <c r="G2316" s="25">
        <v>56.29</v>
      </c>
      <c r="H2316" s="379">
        <v>3.4275873316053076</v>
      </c>
      <c r="I2316" s="25">
        <v>603.30999999999995</v>
      </c>
      <c r="J2316" s="379">
        <v>4.9233183137861625</v>
      </c>
    </row>
    <row r="2317" spans="1:10" x14ac:dyDescent="0.35">
      <c r="A2317" s="5">
        <v>2313</v>
      </c>
      <c r="B2317" s="5">
        <v>97</v>
      </c>
      <c r="C2317" s="5">
        <v>4</v>
      </c>
      <c r="D2317" s="379">
        <v>45.211111111111109</v>
      </c>
      <c r="E2317" s="25">
        <v>29.76</v>
      </c>
      <c r="F2317" s="379">
        <v>7.3374834595959593</v>
      </c>
      <c r="G2317" s="25">
        <v>56.29</v>
      </c>
      <c r="H2317" s="379">
        <v>2.7360754040401027</v>
      </c>
      <c r="I2317" s="25">
        <v>90.1</v>
      </c>
      <c r="J2317" s="379">
        <v>0.23948317808516567</v>
      </c>
    </row>
    <row r="2318" spans="1:10" x14ac:dyDescent="0.35">
      <c r="A2318" s="5">
        <v>2314</v>
      </c>
      <c r="B2318" s="5">
        <v>97</v>
      </c>
      <c r="C2318" s="5">
        <v>4</v>
      </c>
      <c r="D2318" s="379">
        <v>45.774999999999999</v>
      </c>
      <c r="E2318" s="25">
        <v>29.76</v>
      </c>
      <c r="F2318" s="379">
        <v>3.6691160739811468</v>
      </c>
      <c r="G2318" s="25">
        <v>51.13</v>
      </c>
      <c r="H2318" s="379">
        <v>2.6883903118600663</v>
      </c>
      <c r="I2318" s="25">
        <v>76.59</v>
      </c>
      <c r="J2318" s="379">
        <v>0.23948317808516567</v>
      </c>
    </row>
    <row r="2319" spans="1:10" x14ac:dyDescent="0.35">
      <c r="A2319" s="5">
        <v>2315</v>
      </c>
      <c r="B2319" s="5">
        <v>97</v>
      </c>
      <c r="C2319" s="5">
        <v>4</v>
      </c>
      <c r="D2319" s="379">
        <v>41.684999999999995</v>
      </c>
      <c r="E2319" s="25">
        <v>27.3</v>
      </c>
      <c r="F2319" s="379">
        <v>3.1512364416311915</v>
      </c>
      <c r="G2319" s="25">
        <v>50.58</v>
      </c>
      <c r="H2319" s="379">
        <v>1.9129481202624674</v>
      </c>
      <c r="I2319" s="25">
        <v>74.349999999999994</v>
      </c>
      <c r="J2319" s="379">
        <v>0.23948317808516567</v>
      </c>
    </row>
    <row r="2320" spans="1:10" x14ac:dyDescent="0.35">
      <c r="A2320" s="5">
        <v>2316</v>
      </c>
      <c r="B2320" s="5">
        <v>97</v>
      </c>
      <c r="C2320" s="5">
        <v>4</v>
      </c>
      <c r="D2320" s="379">
        <v>41.454999999999998</v>
      </c>
      <c r="E2320" s="25">
        <v>26.84</v>
      </c>
      <c r="F2320" s="379">
        <v>3.1512364416311915</v>
      </c>
      <c r="G2320" s="25">
        <v>47.85</v>
      </c>
      <c r="H2320" s="379">
        <v>0.64736645355380174</v>
      </c>
      <c r="I2320" s="25">
        <v>74.349999999999994</v>
      </c>
      <c r="J2320" s="379">
        <v>0.23948317808516567</v>
      </c>
    </row>
    <row r="2321" spans="1:10" x14ac:dyDescent="0.35">
      <c r="A2321" s="5">
        <v>2317</v>
      </c>
      <c r="B2321" s="5">
        <v>97</v>
      </c>
      <c r="C2321" s="5">
        <v>4</v>
      </c>
      <c r="D2321" s="379">
        <v>40.432777777777773</v>
      </c>
      <c r="E2321" s="25">
        <v>25.74</v>
      </c>
      <c r="F2321" s="379">
        <v>3.1512364416311915</v>
      </c>
      <c r="G2321" s="25">
        <v>47.85</v>
      </c>
      <c r="H2321" s="379">
        <v>0.60396077034628004</v>
      </c>
      <c r="I2321" s="25">
        <v>70.09</v>
      </c>
      <c r="J2321" s="379">
        <v>0.23907690984938149</v>
      </c>
    </row>
    <row r="2322" spans="1:10" x14ac:dyDescent="0.35">
      <c r="A2322" s="5">
        <v>2318</v>
      </c>
      <c r="B2322" s="5">
        <v>97</v>
      </c>
      <c r="C2322" s="5">
        <v>4</v>
      </c>
      <c r="D2322" s="379">
        <v>38.991666666666667</v>
      </c>
      <c r="E2322" s="25">
        <v>25.29</v>
      </c>
      <c r="F2322" s="379">
        <v>3.2727733956087586</v>
      </c>
      <c r="G2322" s="25">
        <v>47.85</v>
      </c>
      <c r="H2322" s="379">
        <v>0.60396077034628004</v>
      </c>
      <c r="I2322" s="25">
        <v>68.05</v>
      </c>
      <c r="J2322" s="379">
        <v>0.23274965791377153</v>
      </c>
    </row>
    <row r="2323" spans="1:10" x14ac:dyDescent="0.35">
      <c r="A2323" s="5">
        <v>2319</v>
      </c>
      <c r="B2323" s="5">
        <v>97</v>
      </c>
      <c r="C2323" s="5">
        <v>4</v>
      </c>
      <c r="D2323" s="379">
        <v>39.683888888888887</v>
      </c>
      <c r="E2323" s="25">
        <v>25.29</v>
      </c>
      <c r="F2323" s="379">
        <v>3.2727733956087586</v>
      </c>
      <c r="G2323" s="25">
        <v>47.85</v>
      </c>
      <c r="H2323" s="379">
        <v>0.64736645355380174</v>
      </c>
      <c r="I2323" s="25">
        <v>68.05</v>
      </c>
      <c r="J2323" s="379">
        <v>0.23274965791377153</v>
      </c>
    </row>
    <row r="2324" spans="1:10" x14ac:dyDescent="0.35">
      <c r="A2324" s="5">
        <v>2320</v>
      </c>
      <c r="B2324" s="5">
        <v>97</v>
      </c>
      <c r="C2324" s="5">
        <v>4</v>
      </c>
      <c r="D2324" s="379">
        <v>40.873333333333335</v>
      </c>
      <c r="E2324" s="25">
        <v>26.51</v>
      </c>
      <c r="F2324" s="379">
        <v>3.2727733956087586</v>
      </c>
      <c r="G2324" s="25">
        <v>47.85</v>
      </c>
      <c r="H2324" s="379">
        <v>0.70956030701240513</v>
      </c>
      <c r="I2324" s="25">
        <v>74.349999999999994</v>
      </c>
      <c r="J2324" s="379">
        <v>0.23907690984938149</v>
      </c>
    </row>
    <row r="2325" spans="1:10" x14ac:dyDescent="0.35">
      <c r="A2325" s="5">
        <v>2321</v>
      </c>
      <c r="B2325" s="5">
        <v>97</v>
      </c>
      <c r="C2325" s="5">
        <v>4</v>
      </c>
      <c r="D2325" s="379">
        <v>43.224444444444444</v>
      </c>
      <c r="E2325" s="25">
        <v>27.3</v>
      </c>
      <c r="F2325" s="379">
        <v>7.3374834595959593</v>
      </c>
      <c r="G2325" s="25">
        <v>48.33</v>
      </c>
      <c r="H2325" s="379">
        <v>0.21074390870777471</v>
      </c>
      <c r="I2325" s="25">
        <v>74.349999999999994</v>
      </c>
      <c r="J2325" s="379">
        <v>0.50528612716560672</v>
      </c>
    </row>
    <row r="2326" spans="1:10" x14ac:dyDescent="0.35">
      <c r="A2326" s="5">
        <v>2322</v>
      </c>
      <c r="B2326" s="5">
        <v>97</v>
      </c>
      <c r="C2326" s="5">
        <v>4</v>
      </c>
      <c r="D2326" s="379">
        <v>46.781666666666659</v>
      </c>
      <c r="E2326" s="25">
        <v>27.3</v>
      </c>
      <c r="F2326" s="379">
        <v>9.7716456433442431</v>
      </c>
      <c r="G2326" s="25">
        <v>52.87</v>
      </c>
      <c r="H2326" s="379">
        <v>9.9896811799419734</v>
      </c>
      <c r="I2326" s="25">
        <v>75.11</v>
      </c>
      <c r="J2326" s="379">
        <v>6.7120258955790861</v>
      </c>
    </row>
    <row r="2327" spans="1:10" x14ac:dyDescent="0.35">
      <c r="A2327" s="5">
        <v>2323</v>
      </c>
      <c r="B2327" s="5">
        <v>97</v>
      </c>
      <c r="C2327" s="5">
        <v>4</v>
      </c>
      <c r="D2327" s="379">
        <v>47.497222222222227</v>
      </c>
      <c r="E2327" s="25">
        <v>27.96</v>
      </c>
      <c r="F2327" s="379">
        <v>18.188609890441484</v>
      </c>
      <c r="G2327" s="25">
        <v>52.87</v>
      </c>
      <c r="H2327" s="379">
        <v>10.613220544376601</v>
      </c>
      <c r="I2327" s="25">
        <v>87.48</v>
      </c>
      <c r="J2327" s="379">
        <v>7.5541710668621693</v>
      </c>
    </row>
    <row r="2328" spans="1:10" x14ac:dyDescent="0.35">
      <c r="A2328" s="5">
        <v>2324</v>
      </c>
      <c r="B2328" s="5">
        <v>97</v>
      </c>
      <c r="C2328" s="5">
        <v>4</v>
      </c>
      <c r="D2328" s="379">
        <v>52.378888888888888</v>
      </c>
      <c r="E2328" s="25">
        <v>29.76</v>
      </c>
      <c r="F2328" s="379">
        <v>17.464250174405503</v>
      </c>
      <c r="G2328" s="25">
        <v>55.38</v>
      </c>
      <c r="H2328" s="379">
        <v>10.458766699058728</v>
      </c>
      <c r="I2328" s="25">
        <v>603.30999999999995</v>
      </c>
      <c r="J2328" s="379">
        <v>7.527296966304891</v>
      </c>
    </row>
    <row r="2329" spans="1:10" x14ac:dyDescent="0.35">
      <c r="A2329" s="5">
        <v>2325</v>
      </c>
      <c r="B2329" s="5">
        <v>97</v>
      </c>
      <c r="C2329" s="5">
        <v>4</v>
      </c>
      <c r="D2329" s="379">
        <v>49.597777777777772</v>
      </c>
      <c r="E2329" s="25">
        <v>29.76</v>
      </c>
      <c r="F2329" s="379">
        <v>18.760369232309266</v>
      </c>
      <c r="G2329" s="25">
        <v>56.29</v>
      </c>
      <c r="H2329" s="379">
        <v>10.604552044022588</v>
      </c>
      <c r="I2329" s="25">
        <v>603.30999999999995</v>
      </c>
      <c r="J2329" s="379">
        <v>7.527296966304891</v>
      </c>
    </row>
    <row r="2330" spans="1:10" x14ac:dyDescent="0.35">
      <c r="A2330" s="5">
        <v>2326</v>
      </c>
      <c r="B2330" s="5">
        <v>97</v>
      </c>
      <c r="C2330" s="5">
        <v>4</v>
      </c>
      <c r="D2330" s="379">
        <v>44.068888888888885</v>
      </c>
      <c r="E2330" s="25">
        <v>29.76</v>
      </c>
      <c r="F2330" s="379">
        <v>18.781860209876026</v>
      </c>
      <c r="G2330" s="25">
        <v>52.87</v>
      </c>
      <c r="H2330" s="379">
        <v>10.296602925843692</v>
      </c>
      <c r="I2330" s="25">
        <v>603.30999999999995</v>
      </c>
      <c r="J2330" s="379">
        <v>7.4800200102695369</v>
      </c>
    </row>
    <row r="2331" spans="1:10" x14ac:dyDescent="0.35">
      <c r="A2331" s="5">
        <v>2327</v>
      </c>
      <c r="B2331" s="5">
        <v>97</v>
      </c>
      <c r="C2331" s="5">
        <v>4</v>
      </c>
      <c r="D2331" s="379">
        <v>37.854444444444447</v>
      </c>
      <c r="E2331" s="25">
        <v>27.9</v>
      </c>
      <c r="F2331" s="379">
        <v>18.36082963481946</v>
      </c>
      <c r="G2331" s="25">
        <v>50.35</v>
      </c>
      <c r="H2331" s="379">
        <v>10.576660831637932</v>
      </c>
      <c r="I2331" s="25">
        <v>603.30999999999995</v>
      </c>
      <c r="J2331" s="379">
        <v>7.425601047667139</v>
      </c>
    </row>
    <row r="2332" spans="1:10" x14ac:dyDescent="0.35">
      <c r="A2332" s="5">
        <v>2328</v>
      </c>
      <c r="B2332" s="5">
        <v>97</v>
      </c>
      <c r="C2332" s="5">
        <v>4</v>
      </c>
      <c r="D2332" s="379">
        <v>35.325555555555553</v>
      </c>
      <c r="E2332" s="25">
        <v>25.59</v>
      </c>
      <c r="F2332" s="379">
        <v>17.889842900647785</v>
      </c>
      <c r="G2332" s="25">
        <v>48.33</v>
      </c>
      <c r="H2332" s="379">
        <v>10.458766699058728</v>
      </c>
      <c r="I2332" s="25">
        <v>512.82000000000005</v>
      </c>
      <c r="J2332" s="379">
        <v>7.4355428125395235</v>
      </c>
    </row>
    <row r="2333" spans="1:10" x14ac:dyDescent="0.35">
      <c r="A2333" s="5">
        <v>2329</v>
      </c>
      <c r="B2333" s="5">
        <v>98</v>
      </c>
      <c r="C2333" s="5">
        <v>4</v>
      </c>
      <c r="D2333" s="379">
        <v>38.845000000000006</v>
      </c>
      <c r="E2333" s="25">
        <v>25.29</v>
      </c>
      <c r="F2333" s="379">
        <v>17.647781937566698</v>
      </c>
      <c r="G2333" s="25">
        <v>47.85</v>
      </c>
      <c r="H2333" s="379">
        <v>10.626285204064668</v>
      </c>
      <c r="I2333" s="25">
        <v>512.82000000000005</v>
      </c>
      <c r="J2333" s="379">
        <v>7.4800200102695369</v>
      </c>
    </row>
    <row r="2334" spans="1:10" x14ac:dyDescent="0.35">
      <c r="A2334" s="5">
        <v>2330</v>
      </c>
      <c r="B2334" s="5">
        <v>98</v>
      </c>
      <c r="C2334" s="5">
        <v>4</v>
      </c>
      <c r="D2334" s="379">
        <v>38.817222222222227</v>
      </c>
      <c r="E2334" s="25">
        <v>25.29</v>
      </c>
      <c r="F2334" s="379">
        <v>17.688919056566139</v>
      </c>
      <c r="G2334" s="25">
        <v>47.85</v>
      </c>
      <c r="H2334" s="379">
        <v>10.12181723728899</v>
      </c>
      <c r="I2334" s="25">
        <v>512.82000000000005</v>
      </c>
      <c r="J2334" s="379">
        <v>7.527296966304891</v>
      </c>
    </row>
    <row r="2335" spans="1:10" x14ac:dyDescent="0.35">
      <c r="A2335" s="5">
        <v>2331</v>
      </c>
      <c r="B2335" s="5">
        <v>98</v>
      </c>
      <c r="C2335" s="5">
        <v>4</v>
      </c>
      <c r="D2335" s="379">
        <v>39.023333333333326</v>
      </c>
      <c r="E2335" s="25">
        <v>25.29</v>
      </c>
      <c r="F2335" s="379">
        <v>16.464221798705374</v>
      </c>
      <c r="G2335" s="25">
        <v>47.85</v>
      </c>
      <c r="H2335" s="379">
        <v>10.403069568192763</v>
      </c>
      <c r="I2335" s="25">
        <v>512.82000000000005</v>
      </c>
      <c r="J2335" s="379">
        <v>7.527296966304891</v>
      </c>
    </row>
    <row r="2336" spans="1:10" x14ac:dyDescent="0.35">
      <c r="A2336" s="5">
        <v>2332</v>
      </c>
      <c r="B2336" s="5">
        <v>98</v>
      </c>
      <c r="C2336" s="5">
        <v>4</v>
      </c>
      <c r="D2336" s="379">
        <v>46.078333333333333</v>
      </c>
      <c r="E2336" s="25">
        <v>25.29</v>
      </c>
      <c r="F2336" s="379">
        <v>16.4959359006799</v>
      </c>
      <c r="G2336" s="25">
        <v>47.85</v>
      </c>
      <c r="H2336" s="379">
        <v>10.261600576553413</v>
      </c>
      <c r="I2336" s="25">
        <v>512.82000000000005</v>
      </c>
      <c r="J2336" s="379">
        <v>7.527296966304891</v>
      </c>
    </row>
    <row r="2337" spans="1:10" x14ac:dyDescent="0.35">
      <c r="A2337" s="5">
        <v>2333</v>
      </c>
      <c r="B2337" s="5">
        <v>98</v>
      </c>
      <c r="C2337" s="5">
        <v>4</v>
      </c>
      <c r="D2337" s="379">
        <v>54.529444444444437</v>
      </c>
      <c r="E2337" s="25">
        <v>25.29</v>
      </c>
      <c r="F2337" s="379">
        <v>16.714066152042577</v>
      </c>
      <c r="G2337" s="25">
        <v>49.84</v>
      </c>
      <c r="H2337" s="379">
        <v>9.7179545848468738</v>
      </c>
      <c r="I2337" s="25">
        <v>518</v>
      </c>
      <c r="J2337" s="379">
        <v>7.4628097810064657</v>
      </c>
    </row>
    <row r="2338" spans="1:10" x14ac:dyDescent="0.35">
      <c r="A2338" s="5">
        <v>2334</v>
      </c>
      <c r="B2338" s="5">
        <v>98</v>
      </c>
      <c r="C2338" s="5">
        <v>4</v>
      </c>
      <c r="D2338" s="379">
        <v>65.209999999999994</v>
      </c>
      <c r="E2338" s="25">
        <v>29.6</v>
      </c>
      <c r="F2338" s="379">
        <v>17.720580119093039</v>
      </c>
      <c r="G2338" s="25">
        <v>52.87</v>
      </c>
      <c r="H2338" s="379">
        <v>9.9470303254433059</v>
      </c>
      <c r="I2338" s="25">
        <v>603.30999999999995</v>
      </c>
      <c r="J2338" s="379">
        <v>7.527296966304891</v>
      </c>
    </row>
    <row r="2339" spans="1:10" x14ac:dyDescent="0.35">
      <c r="A2339" s="5">
        <v>2335</v>
      </c>
      <c r="B2339" s="5">
        <v>98</v>
      </c>
      <c r="C2339" s="5">
        <v>4</v>
      </c>
      <c r="D2339" s="379">
        <v>73.295555555555552</v>
      </c>
      <c r="E2339" s="25">
        <v>29.76</v>
      </c>
      <c r="F2339" s="379">
        <v>17.407282442416125</v>
      </c>
      <c r="G2339" s="25">
        <v>58.63</v>
      </c>
      <c r="H2339" s="379">
        <v>8.9053439535301049</v>
      </c>
      <c r="I2339" s="25">
        <v>603.30999999999995</v>
      </c>
      <c r="J2339" s="379">
        <v>7.479970441391675</v>
      </c>
    </row>
    <row r="2340" spans="1:10" x14ac:dyDescent="0.35">
      <c r="A2340" s="5">
        <v>2336</v>
      </c>
      <c r="B2340" s="5">
        <v>98</v>
      </c>
      <c r="C2340" s="5">
        <v>4</v>
      </c>
      <c r="D2340" s="379">
        <v>77.725555555555559</v>
      </c>
      <c r="E2340" s="25">
        <v>29.76</v>
      </c>
      <c r="F2340" s="379">
        <v>16.970745979518259</v>
      </c>
      <c r="G2340" s="25">
        <v>58.63</v>
      </c>
      <c r="H2340" s="379">
        <v>9.7948678095854369</v>
      </c>
      <c r="I2340" s="25">
        <v>642.17999999999995</v>
      </c>
      <c r="J2340" s="379">
        <v>7.4374658342893953</v>
      </c>
    </row>
    <row r="2341" spans="1:10" x14ac:dyDescent="0.35">
      <c r="A2341" s="5">
        <v>2337</v>
      </c>
      <c r="B2341" s="5">
        <v>98</v>
      </c>
      <c r="C2341" s="5">
        <v>4</v>
      </c>
      <c r="D2341" s="379">
        <v>69.50500000000001</v>
      </c>
      <c r="E2341" s="25">
        <v>34.82</v>
      </c>
      <c r="F2341" s="379">
        <v>9.2051583057409516</v>
      </c>
      <c r="G2341" s="25">
        <v>58.63</v>
      </c>
      <c r="H2341" s="379">
        <v>10.265649682300898</v>
      </c>
      <c r="I2341" s="25">
        <v>603.30999999999995</v>
      </c>
      <c r="J2341" s="379">
        <v>7.3810861419734763</v>
      </c>
    </row>
    <row r="2342" spans="1:10" x14ac:dyDescent="0.35">
      <c r="A2342" s="5">
        <v>2338</v>
      </c>
      <c r="B2342" s="5">
        <v>98</v>
      </c>
      <c r="C2342" s="5">
        <v>4</v>
      </c>
      <c r="D2342" s="379">
        <v>67.224999999999994</v>
      </c>
      <c r="E2342" s="25">
        <v>29.76</v>
      </c>
      <c r="F2342" s="379">
        <v>8.1174834595959577</v>
      </c>
      <c r="G2342" s="25">
        <v>58.63</v>
      </c>
      <c r="H2342" s="379">
        <v>6.4794354563554544</v>
      </c>
      <c r="I2342" s="25">
        <v>603.30999999999995</v>
      </c>
      <c r="J2342" s="379">
        <v>5.9779750860414715</v>
      </c>
    </row>
    <row r="2343" spans="1:10" x14ac:dyDescent="0.35">
      <c r="A2343" s="5">
        <v>2339</v>
      </c>
      <c r="B2343" s="5">
        <v>98</v>
      </c>
      <c r="C2343" s="5">
        <v>4</v>
      </c>
      <c r="D2343" s="379">
        <v>63.318333333333328</v>
      </c>
      <c r="E2343" s="25">
        <v>29.76</v>
      </c>
      <c r="F2343" s="379">
        <v>7.4975479725929981</v>
      </c>
      <c r="G2343" s="25">
        <v>52.87</v>
      </c>
      <c r="H2343" s="379">
        <v>6.4794354563554544</v>
      </c>
      <c r="I2343" s="25">
        <v>512.82000000000005</v>
      </c>
      <c r="J2343" s="379">
        <v>3.239606611269922</v>
      </c>
    </row>
    <row r="2344" spans="1:10" x14ac:dyDescent="0.35">
      <c r="A2344" s="5">
        <v>2340</v>
      </c>
      <c r="B2344" s="5">
        <v>98</v>
      </c>
      <c r="C2344" s="5">
        <v>4</v>
      </c>
      <c r="D2344" s="379">
        <v>62.035000000000004</v>
      </c>
      <c r="E2344" s="25">
        <v>27.3</v>
      </c>
      <c r="F2344" s="379">
        <v>2.3700699336136939</v>
      </c>
      <c r="G2344" s="25">
        <v>52.87</v>
      </c>
      <c r="H2344" s="379">
        <v>6.0816896147699309</v>
      </c>
      <c r="I2344" s="25">
        <v>512.82000000000005</v>
      </c>
      <c r="J2344" s="379">
        <v>3.239606611269922</v>
      </c>
    </row>
    <row r="2345" spans="1:10" x14ac:dyDescent="0.35">
      <c r="A2345" s="5">
        <v>2341</v>
      </c>
      <c r="B2345" s="5">
        <v>98</v>
      </c>
      <c r="C2345" s="5">
        <v>4</v>
      </c>
      <c r="D2345" s="379">
        <v>60.922222222222217</v>
      </c>
      <c r="E2345" s="25">
        <v>27.3</v>
      </c>
      <c r="F2345" s="379">
        <v>0.47222222222222221</v>
      </c>
      <c r="G2345" s="25">
        <v>49.84</v>
      </c>
      <c r="H2345" s="379">
        <v>4.3694718018987544</v>
      </c>
      <c r="I2345" s="25">
        <v>87.48</v>
      </c>
      <c r="J2345" s="379">
        <v>0.46911112035363806</v>
      </c>
    </row>
    <row r="2346" spans="1:10" x14ac:dyDescent="0.35">
      <c r="A2346" s="5">
        <v>2342</v>
      </c>
      <c r="B2346" s="5">
        <v>98</v>
      </c>
      <c r="C2346" s="5">
        <v>4</v>
      </c>
      <c r="D2346" s="379">
        <v>64.321666666666673</v>
      </c>
      <c r="E2346" s="25">
        <v>27.3</v>
      </c>
      <c r="F2346" s="379">
        <v>0.47222222222222215</v>
      </c>
      <c r="G2346" s="25">
        <v>49.84</v>
      </c>
      <c r="H2346" s="379">
        <v>3.3101826728313735</v>
      </c>
      <c r="I2346" s="25">
        <v>84.93</v>
      </c>
      <c r="J2346" s="379">
        <v>0.46911112035363806</v>
      </c>
    </row>
    <row r="2347" spans="1:10" x14ac:dyDescent="0.35">
      <c r="A2347" s="5">
        <v>2343</v>
      </c>
      <c r="B2347" s="5">
        <v>98</v>
      </c>
      <c r="C2347" s="5">
        <v>4</v>
      </c>
      <c r="D2347" s="379">
        <v>63.56388888888889</v>
      </c>
      <c r="E2347" s="25">
        <v>27.3</v>
      </c>
      <c r="F2347" s="379">
        <v>0.47222222222222221</v>
      </c>
      <c r="G2347" s="25">
        <v>49.84</v>
      </c>
      <c r="H2347" s="379">
        <v>5.0670044487708674</v>
      </c>
      <c r="I2347" s="25">
        <v>87.48</v>
      </c>
      <c r="J2347" s="379">
        <v>0.82830024654047751</v>
      </c>
    </row>
    <row r="2348" spans="1:10" x14ac:dyDescent="0.35">
      <c r="A2348" s="5">
        <v>2344</v>
      </c>
      <c r="B2348" s="5">
        <v>98</v>
      </c>
      <c r="C2348" s="5">
        <v>4</v>
      </c>
      <c r="D2348" s="379">
        <v>63.734444444444449</v>
      </c>
      <c r="E2348" s="25">
        <v>27.96</v>
      </c>
      <c r="F2348" s="379">
        <v>5.1204127773733275</v>
      </c>
      <c r="G2348" s="25">
        <v>49.84</v>
      </c>
      <c r="H2348" s="379">
        <v>5.7376630835520173</v>
      </c>
      <c r="I2348" s="25">
        <v>87.48</v>
      </c>
      <c r="J2348" s="379">
        <v>4.4449966261890932</v>
      </c>
    </row>
    <row r="2349" spans="1:10" x14ac:dyDescent="0.35">
      <c r="A2349" s="5">
        <v>2345</v>
      </c>
      <c r="B2349" s="5">
        <v>98</v>
      </c>
      <c r="C2349" s="5">
        <v>4</v>
      </c>
      <c r="D2349" s="379">
        <v>63.573333333333323</v>
      </c>
      <c r="E2349" s="25">
        <v>27.96</v>
      </c>
      <c r="F2349" s="379">
        <v>8.825492285492194</v>
      </c>
      <c r="G2349" s="25">
        <v>50.34</v>
      </c>
      <c r="H2349" s="379">
        <v>4.780163679671336</v>
      </c>
      <c r="I2349" s="25">
        <v>603.30999999999995</v>
      </c>
      <c r="J2349" s="379">
        <v>6.8322261765397494</v>
      </c>
    </row>
    <row r="2350" spans="1:10" x14ac:dyDescent="0.35">
      <c r="A2350" s="5">
        <v>2346</v>
      </c>
      <c r="B2350" s="5">
        <v>98</v>
      </c>
      <c r="C2350" s="5">
        <v>4</v>
      </c>
      <c r="D2350" s="379">
        <v>66.932777777777773</v>
      </c>
      <c r="E2350" s="25">
        <v>28.12</v>
      </c>
      <c r="F2350" s="379">
        <v>19.743144151572078</v>
      </c>
      <c r="G2350" s="25">
        <v>58.63</v>
      </c>
      <c r="H2350" s="379">
        <v>19.450547831906675</v>
      </c>
      <c r="I2350" s="25">
        <v>702.68</v>
      </c>
      <c r="J2350" s="379">
        <v>7.4257485058993584</v>
      </c>
    </row>
    <row r="2351" spans="1:10" x14ac:dyDescent="0.35">
      <c r="A2351" s="5">
        <v>2347</v>
      </c>
      <c r="B2351" s="5">
        <v>98</v>
      </c>
      <c r="C2351" s="5">
        <v>4</v>
      </c>
      <c r="D2351" s="379">
        <v>69.592777777777783</v>
      </c>
      <c r="E2351" s="25">
        <v>28.12</v>
      </c>
      <c r="F2351" s="379">
        <v>16.593557782579552</v>
      </c>
      <c r="G2351" s="25">
        <v>58.63</v>
      </c>
      <c r="H2351" s="379">
        <v>19.542730976421222</v>
      </c>
      <c r="I2351" s="25">
        <v>702.68</v>
      </c>
      <c r="J2351" s="379">
        <v>7.4296336899288464</v>
      </c>
    </row>
    <row r="2352" spans="1:10" x14ac:dyDescent="0.35">
      <c r="A2352" s="5">
        <v>2348</v>
      </c>
      <c r="B2352" s="5">
        <v>98</v>
      </c>
      <c r="C2352" s="5">
        <v>4</v>
      </c>
      <c r="D2352" s="379">
        <v>69.225555555555545</v>
      </c>
      <c r="E2352" s="25">
        <v>29.76</v>
      </c>
      <c r="F2352" s="379">
        <v>17.468336883311466</v>
      </c>
      <c r="G2352" s="25">
        <v>62.12</v>
      </c>
      <c r="H2352" s="379">
        <v>19.949227197434794</v>
      </c>
      <c r="I2352" s="25">
        <v>843.72</v>
      </c>
      <c r="J2352" s="379">
        <v>7.0858565122291752</v>
      </c>
    </row>
    <row r="2353" spans="1:10" x14ac:dyDescent="0.35">
      <c r="A2353" s="5">
        <v>2349</v>
      </c>
      <c r="B2353" s="5">
        <v>98</v>
      </c>
      <c r="C2353" s="5">
        <v>4</v>
      </c>
      <c r="D2353" s="379">
        <v>67.032222222222217</v>
      </c>
      <c r="E2353" s="25">
        <v>29.76</v>
      </c>
      <c r="F2353" s="379">
        <v>17.424757905709416</v>
      </c>
      <c r="G2353" s="25">
        <v>58.63</v>
      </c>
      <c r="H2353" s="379">
        <v>16.773314123807168</v>
      </c>
      <c r="I2353" s="25">
        <v>843.72</v>
      </c>
      <c r="J2353" s="379">
        <v>7.2312729321200058</v>
      </c>
    </row>
    <row r="2354" spans="1:10" x14ac:dyDescent="0.35">
      <c r="A2354" s="5">
        <v>2350</v>
      </c>
      <c r="B2354" s="5">
        <v>98</v>
      </c>
      <c r="C2354" s="5">
        <v>4</v>
      </c>
      <c r="D2354" s="379">
        <v>65.226666666666659</v>
      </c>
      <c r="E2354" s="25">
        <v>29.76</v>
      </c>
      <c r="F2354" s="379">
        <v>17.852925823634994</v>
      </c>
      <c r="G2354" s="25">
        <v>55.38</v>
      </c>
      <c r="H2354" s="379">
        <v>19.189267742689541</v>
      </c>
      <c r="I2354" s="25">
        <v>819.14</v>
      </c>
      <c r="J2354" s="379">
        <v>7.2647977275802447</v>
      </c>
    </row>
    <row r="2355" spans="1:10" x14ac:dyDescent="0.35">
      <c r="A2355" s="5">
        <v>2351</v>
      </c>
      <c r="B2355" s="5">
        <v>98</v>
      </c>
      <c r="C2355" s="5">
        <v>4</v>
      </c>
      <c r="D2355" s="379">
        <v>64.922777777777767</v>
      </c>
      <c r="E2355" s="25">
        <v>27.3</v>
      </c>
      <c r="F2355" s="379">
        <v>15.590664694022996</v>
      </c>
      <c r="G2355" s="25">
        <v>52.87</v>
      </c>
      <c r="H2355" s="379">
        <v>20.00709491813198</v>
      </c>
      <c r="I2355" s="25">
        <v>603.30999999999995</v>
      </c>
      <c r="J2355" s="379">
        <v>7.5434009822699659</v>
      </c>
    </row>
    <row r="2356" spans="1:10" x14ac:dyDescent="0.35">
      <c r="A2356" s="5">
        <v>2352</v>
      </c>
      <c r="B2356" s="5">
        <v>98</v>
      </c>
      <c r="C2356" s="5">
        <v>4</v>
      </c>
      <c r="D2356" s="379">
        <v>60.211666666666666</v>
      </c>
      <c r="E2356" s="25">
        <v>25.74</v>
      </c>
      <c r="F2356" s="379">
        <v>16.57110518983967</v>
      </c>
      <c r="G2356" s="25">
        <v>49.84</v>
      </c>
      <c r="H2356" s="379">
        <v>21.796811307873618</v>
      </c>
      <c r="I2356" s="25">
        <v>597.28</v>
      </c>
      <c r="J2356" s="379">
        <v>7.2678546724978457</v>
      </c>
    </row>
    <row r="2357" spans="1:10" x14ac:dyDescent="0.35">
      <c r="A2357" s="5">
        <v>2353</v>
      </c>
      <c r="B2357" s="5">
        <v>99</v>
      </c>
      <c r="C2357" s="5">
        <v>4</v>
      </c>
      <c r="D2357" s="379">
        <v>55.167777777777772</v>
      </c>
      <c r="E2357" s="25">
        <v>25.29</v>
      </c>
      <c r="F2357" s="379">
        <v>14.870034489332468</v>
      </c>
      <c r="G2357" s="25">
        <v>49.84</v>
      </c>
      <c r="H2357" s="379">
        <v>19.961008392890136</v>
      </c>
      <c r="I2357" s="25">
        <v>597.28</v>
      </c>
      <c r="J2357" s="379">
        <v>7.3060663841760247</v>
      </c>
    </row>
    <row r="2358" spans="1:10" x14ac:dyDescent="0.35">
      <c r="A2358" s="5">
        <v>2354</v>
      </c>
      <c r="B2358" s="5">
        <v>99</v>
      </c>
      <c r="C2358" s="5">
        <v>4</v>
      </c>
      <c r="D2358" s="379">
        <v>52.547777777777767</v>
      </c>
      <c r="E2358" s="25">
        <v>25.29</v>
      </c>
      <c r="F2358" s="379">
        <v>14.64442420420891</v>
      </c>
      <c r="G2358" s="25">
        <v>49.84</v>
      </c>
      <c r="H2358" s="379">
        <v>19.974762703191878</v>
      </c>
      <c r="I2358" s="25">
        <v>597.28</v>
      </c>
      <c r="J2358" s="379">
        <v>7.1903742606999668</v>
      </c>
    </row>
    <row r="2359" spans="1:10" x14ac:dyDescent="0.35">
      <c r="A2359" s="5">
        <v>2355</v>
      </c>
      <c r="B2359" s="5">
        <v>99</v>
      </c>
      <c r="C2359" s="5">
        <v>4</v>
      </c>
      <c r="D2359" s="379">
        <v>51.44166666666667</v>
      </c>
      <c r="E2359" s="25">
        <v>25.29</v>
      </c>
      <c r="F2359" s="379">
        <v>15.350301837152838</v>
      </c>
      <c r="G2359" s="25">
        <v>49.84</v>
      </c>
      <c r="H2359" s="379">
        <v>20.168037377304515</v>
      </c>
      <c r="I2359" s="25">
        <v>597.28</v>
      </c>
      <c r="J2359" s="379">
        <v>7.3179116187016744</v>
      </c>
    </row>
    <row r="2360" spans="1:10" x14ac:dyDescent="0.35">
      <c r="A2360" s="5">
        <v>2356</v>
      </c>
      <c r="B2360" s="5">
        <v>99</v>
      </c>
      <c r="C2360" s="5">
        <v>4</v>
      </c>
      <c r="D2360" s="379">
        <v>51.353333333333339</v>
      </c>
      <c r="E2360" s="25">
        <v>25.29</v>
      </c>
      <c r="F2360" s="379">
        <v>15.611827423251674</v>
      </c>
      <c r="G2360" s="25">
        <v>49.84</v>
      </c>
      <c r="H2360" s="379">
        <v>19.692013647431903</v>
      </c>
      <c r="I2360" s="25">
        <v>597.28</v>
      </c>
      <c r="J2360" s="379">
        <v>7.4166867454397778</v>
      </c>
    </row>
    <row r="2361" spans="1:10" x14ac:dyDescent="0.35">
      <c r="A2361" s="5">
        <v>2357</v>
      </c>
      <c r="B2361" s="5">
        <v>99</v>
      </c>
      <c r="C2361" s="5">
        <v>4</v>
      </c>
      <c r="D2361" s="379">
        <v>49.784444444444439</v>
      </c>
      <c r="E2361" s="25">
        <v>25.74</v>
      </c>
      <c r="F2361" s="379">
        <v>15.5348118888349</v>
      </c>
      <c r="G2361" s="25">
        <v>49.84</v>
      </c>
      <c r="H2361" s="379">
        <v>18.947860861162773</v>
      </c>
      <c r="I2361" s="25">
        <v>597.28</v>
      </c>
      <c r="J2361" s="379">
        <v>7.0322014156989576</v>
      </c>
    </row>
    <row r="2362" spans="1:10" x14ac:dyDescent="0.35">
      <c r="A2362" s="5">
        <v>2358</v>
      </c>
      <c r="B2362" s="5">
        <v>99</v>
      </c>
      <c r="C2362" s="5">
        <v>4</v>
      </c>
      <c r="D2362" s="379">
        <v>53.49444444444444</v>
      </c>
      <c r="E2362" s="25">
        <v>28.12</v>
      </c>
      <c r="F2362" s="379">
        <v>16.675921091025998</v>
      </c>
      <c r="G2362" s="25">
        <v>57.04</v>
      </c>
      <c r="H2362" s="379">
        <v>18.025577902742469</v>
      </c>
      <c r="I2362" s="25">
        <v>819.14</v>
      </c>
      <c r="J2362" s="379">
        <v>6.6178357701606014</v>
      </c>
    </row>
    <row r="2363" spans="1:10" x14ac:dyDescent="0.35">
      <c r="A2363" s="5">
        <v>2359</v>
      </c>
      <c r="B2363" s="5">
        <v>99</v>
      </c>
      <c r="C2363" s="5">
        <v>4</v>
      </c>
      <c r="D2363" s="379">
        <v>57.428888888888885</v>
      </c>
      <c r="E2363" s="25">
        <v>29.76</v>
      </c>
      <c r="F2363" s="379">
        <v>15.705217049139211</v>
      </c>
      <c r="G2363" s="25">
        <v>58.63</v>
      </c>
      <c r="H2363" s="379">
        <v>15.141340368943661</v>
      </c>
      <c r="I2363" s="25">
        <v>843.72</v>
      </c>
      <c r="J2363" s="379">
        <v>6.6746627048841498</v>
      </c>
    </row>
    <row r="2364" spans="1:10" x14ac:dyDescent="0.35">
      <c r="A2364" s="5">
        <v>2360</v>
      </c>
      <c r="B2364" s="5">
        <v>99</v>
      </c>
      <c r="C2364" s="5">
        <v>4</v>
      </c>
      <c r="D2364" s="379">
        <v>55.818333333333328</v>
      </c>
      <c r="E2364" s="25">
        <v>29.76</v>
      </c>
      <c r="F2364" s="379">
        <v>13.233566209255359</v>
      </c>
      <c r="G2364" s="25">
        <v>60.51</v>
      </c>
      <c r="H2364" s="379">
        <v>7.4897935248849032</v>
      </c>
      <c r="I2364" s="25">
        <v>869.03</v>
      </c>
      <c r="J2364" s="379">
        <v>7.2604321416046327</v>
      </c>
    </row>
    <row r="2365" spans="1:10" x14ac:dyDescent="0.35">
      <c r="A2365" s="5">
        <v>2361</v>
      </c>
      <c r="B2365" s="5">
        <v>99</v>
      </c>
      <c r="C2365" s="5">
        <v>4</v>
      </c>
      <c r="D2365" s="379">
        <v>48.942777777777778</v>
      </c>
      <c r="E2365" s="25">
        <v>34.82</v>
      </c>
      <c r="F2365" s="379">
        <v>9.1175304474768986</v>
      </c>
      <c r="G2365" s="25">
        <v>58.63</v>
      </c>
      <c r="H2365" s="379">
        <v>7.4897935248849032</v>
      </c>
      <c r="I2365" s="25">
        <v>819.14</v>
      </c>
      <c r="J2365" s="379">
        <v>6.725446965880689</v>
      </c>
    </row>
    <row r="2366" spans="1:10" x14ac:dyDescent="0.35">
      <c r="A2366" s="5">
        <v>2362</v>
      </c>
      <c r="B2366" s="5">
        <v>99</v>
      </c>
      <c r="C2366" s="5">
        <v>4</v>
      </c>
      <c r="D2366" s="379">
        <v>42.623333333333328</v>
      </c>
      <c r="E2366" s="25">
        <v>29.76</v>
      </c>
      <c r="F2366" s="379">
        <v>8.1174834595959595</v>
      </c>
      <c r="G2366" s="25">
        <v>58.63</v>
      </c>
      <c r="H2366" s="379">
        <v>7.1925275415828427</v>
      </c>
      <c r="I2366" s="25">
        <v>702.68</v>
      </c>
      <c r="J2366" s="379">
        <v>6.0693860441635161</v>
      </c>
    </row>
    <row r="2367" spans="1:10" x14ac:dyDescent="0.35">
      <c r="A2367" s="5">
        <v>2363</v>
      </c>
      <c r="B2367" s="5">
        <v>99</v>
      </c>
      <c r="C2367" s="5">
        <v>4</v>
      </c>
      <c r="D2367" s="379">
        <v>40.44111111111112</v>
      </c>
      <c r="E2367" s="25">
        <v>29.76</v>
      </c>
      <c r="F2367" s="379">
        <v>5.5660356402541051</v>
      </c>
      <c r="G2367" s="25">
        <v>53.41</v>
      </c>
      <c r="H2367" s="379">
        <v>1.2027189327465073</v>
      </c>
      <c r="I2367" s="25">
        <v>603.30999999999995</v>
      </c>
      <c r="J2367" s="379">
        <v>0.91114634555548957</v>
      </c>
    </row>
    <row r="2368" spans="1:10" x14ac:dyDescent="0.35">
      <c r="A2368" s="5">
        <v>2364</v>
      </c>
      <c r="B2368" s="5">
        <v>99</v>
      </c>
      <c r="C2368" s="5">
        <v>4</v>
      </c>
      <c r="D2368" s="379">
        <v>37.182222222222222</v>
      </c>
      <c r="E2368" s="25">
        <v>27.96</v>
      </c>
      <c r="F2368" s="379">
        <v>0.47222222222222221</v>
      </c>
      <c r="G2368" s="25">
        <v>50.34</v>
      </c>
      <c r="H2368" s="379">
        <v>0.99377407279649377</v>
      </c>
      <c r="I2368" s="25">
        <v>88.36</v>
      </c>
      <c r="J2368" s="379">
        <v>0.52199937163016275</v>
      </c>
    </row>
    <row r="2369" spans="1:10" x14ac:dyDescent="0.35">
      <c r="A2369" s="5">
        <v>2365</v>
      </c>
      <c r="B2369" s="5">
        <v>99</v>
      </c>
      <c r="C2369" s="5">
        <v>4</v>
      </c>
      <c r="D2369" s="379">
        <v>37.254444444444445</v>
      </c>
      <c r="E2369" s="25">
        <v>27.3</v>
      </c>
      <c r="F2369" s="379">
        <v>0.47222222222222221</v>
      </c>
      <c r="G2369" s="25">
        <v>49.84</v>
      </c>
      <c r="H2369" s="379">
        <v>1.2909330621494399</v>
      </c>
      <c r="I2369" s="25">
        <v>87.48</v>
      </c>
      <c r="J2369" s="379">
        <v>0.64462182529962597</v>
      </c>
    </row>
    <row r="2370" spans="1:10" x14ac:dyDescent="0.35">
      <c r="A2370" s="5">
        <v>2366</v>
      </c>
      <c r="B2370" s="5">
        <v>99</v>
      </c>
      <c r="C2370" s="5">
        <v>4</v>
      </c>
      <c r="D2370" s="379">
        <v>36.727222222222217</v>
      </c>
      <c r="E2370" s="25">
        <v>26.51</v>
      </c>
      <c r="F2370" s="379">
        <v>0.47222222222222221</v>
      </c>
      <c r="G2370" s="25">
        <v>49.84</v>
      </c>
      <c r="H2370" s="379">
        <v>1.2909330621494399</v>
      </c>
      <c r="I2370" s="25">
        <v>87.48</v>
      </c>
      <c r="J2370" s="379">
        <v>0.57906505828659982</v>
      </c>
    </row>
    <row r="2371" spans="1:10" x14ac:dyDescent="0.35">
      <c r="A2371" s="5">
        <v>2367</v>
      </c>
      <c r="B2371" s="5">
        <v>99</v>
      </c>
      <c r="C2371" s="5">
        <v>4</v>
      </c>
      <c r="D2371" s="379">
        <v>36.768333333333331</v>
      </c>
      <c r="E2371" s="25">
        <v>26.51</v>
      </c>
      <c r="F2371" s="379">
        <v>5.566035640254106</v>
      </c>
      <c r="G2371" s="25">
        <v>49.84</v>
      </c>
      <c r="H2371" s="379">
        <v>1.3836000125418029</v>
      </c>
      <c r="I2371" s="25">
        <v>82.45</v>
      </c>
      <c r="J2371" s="379">
        <v>0.52199937163016275</v>
      </c>
    </row>
    <row r="2372" spans="1:10" x14ac:dyDescent="0.35">
      <c r="A2372" s="5">
        <v>2368</v>
      </c>
      <c r="B2372" s="5">
        <v>99</v>
      </c>
      <c r="C2372" s="5">
        <v>4</v>
      </c>
      <c r="D2372" s="379">
        <v>39.472777777777779</v>
      </c>
      <c r="E2372" s="25">
        <v>27.15</v>
      </c>
      <c r="F2372" s="379">
        <v>6.7808562070750158</v>
      </c>
      <c r="G2372" s="25">
        <v>49.84</v>
      </c>
      <c r="H2372" s="379">
        <v>2.7654260927246779</v>
      </c>
      <c r="I2372" s="25">
        <v>88.36</v>
      </c>
      <c r="J2372" s="379">
        <v>0.52199937163016275</v>
      </c>
    </row>
    <row r="2373" spans="1:10" x14ac:dyDescent="0.35">
      <c r="A2373" s="5">
        <v>2369</v>
      </c>
      <c r="B2373" s="5">
        <v>99</v>
      </c>
      <c r="C2373" s="5">
        <v>4</v>
      </c>
      <c r="D2373" s="379">
        <v>48.657777777777767</v>
      </c>
      <c r="E2373" s="25">
        <v>28.11</v>
      </c>
      <c r="F2373" s="379">
        <v>11.187340401578625</v>
      </c>
      <c r="G2373" s="25">
        <v>50.34</v>
      </c>
      <c r="H2373" s="379">
        <v>4.8506130092854525</v>
      </c>
      <c r="I2373" s="25">
        <v>603.30999999999995</v>
      </c>
      <c r="J2373" s="379">
        <v>1.3781994899631798</v>
      </c>
    </row>
    <row r="2374" spans="1:10" x14ac:dyDescent="0.35">
      <c r="A2374" s="5">
        <v>2370</v>
      </c>
      <c r="B2374" s="5">
        <v>99</v>
      </c>
      <c r="C2374" s="5">
        <v>4</v>
      </c>
      <c r="D2374" s="379">
        <v>57.349444444444444</v>
      </c>
      <c r="E2374" s="25">
        <v>28.12</v>
      </c>
      <c r="F2374" s="379">
        <v>21.891933442925328</v>
      </c>
      <c r="G2374" s="25">
        <v>57.04</v>
      </c>
      <c r="H2374" s="379">
        <v>24.313513533162912</v>
      </c>
      <c r="I2374" s="25">
        <v>603.30999999999995</v>
      </c>
      <c r="J2374" s="379">
        <v>7.4624345338684233</v>
      </c>
    </row>
    <row r="2375" spans="1:10" x14ac:dyDescent="0.35">
      <c r="A2375" s="5">
        <v>2371</v>
      </c>
      <c r="B2375" s="5">
        <v>99</v>
      </c>
      <c r="C2375" s="5">
        <v>4</v>
      </c>
      <c r="D2375" s="379">
        <v>62.413888888888884</v>
      </c>
      <c r="E2375" s="25">
        <v>28.12</v>
      </c>
      <c r="F2375" s="379">
        <v>22.314441299854224</v>
      </c>
      <c r="G2375" s="25">
        <v>58.63</v>
      </c>
      <c r="H2375" s="379">
        <v>138.88888888888889</v>
      </c>
      <c r="I2375" s="25">
        <v>603.30999999999995</v>
      </c>
      <c r="J2375" s="379">
        <v>15.79064213347444</v>
      </c>
    </row>
    <row r="2376" spans="1:10" x14ac:dyDescent="0.35">
      <c r="A2376" s="5">
        <v>2372</v>
      </c>
      <c r="B2376" s="5">
        <v>99</v>
      </c>
      <c r="C2376" s="5">
        <v>4</v>
      </c>
      <c r="D2376" s="379">
        <v>65.834444444444443</v>
      </c>
      <c r="E2376" s="25">
        <v>29.76</v>
      </c>
      <c r="F2376" s="379">
        <v>17.506456297062414</v>
      </c>
      <c r="G2376" s="25">
        <v>58.63</v>
      </c>
      <c r="H2376" s="379">
        <v>138.88888888888889</v>
      </c>
      <c r="I2376" s="25">
        <v>843.72</v>
      </c>
      <c r="J2376" s="379">
        <v>15.8623021308658</v>
      </c>
    </row>
    <row r="2377" spans="1:10" x14ac:dyDescent="0.35">
      <c r="A2377" s="5">
        <v>2373</v>
      </c>
      <c r="B2377" s="5">
        <v>99</v>
      </c>
      <c r="C2377" s="5">
        <v>4</v>
      </c>
      <c r="D2377" s="379">
        <v>65.677222222222213</v>
      </c>
      <c r="E2377" s="25">
        <v>29.76</v>
      </c>
      <c r="F2377" s="379">
        <v>16.947940877992181</v>
      </c>
      <c r="G2377" s="25">
        <v>57.04</v>
      </c>
      <c r="H2377" s="379">
        <v>138.88888888888889</v>
      </c>
      <c r="I2377" s="25">
        <v>819.14</v>
      </c>
      <c r="J2377" s="379">
        <v>15.857000735651472</v>
      </c>
    </row>
    <row r="2378" spans="1:10" x14ac:dyDescent="0.35">
      <c r="A2378" s="5">
        <v>2374</v>
      </c>
      <c r="B2378" s="5">
        <v>99</v>
      </c>
      <c r="C2378" s="5">
        <v>4</v>
      </c>
      <c r="D2378" s="379">
        <v>64.134999999999991</v>
      </c>
      <c r="E2378" s="25">
        <v>29.76</v>
      </c>
      <c r="F2378" s="379">
        <v>24.404499931514056</v>
      </c>
      <c r="G2378" s="25">
        <v>55.38</v>
      </c>
      <c r="H2378" s="379">
        <v>138.88888888888889</v>
      </c>
      <c r="I2378" s="25">
        <v>843.72</v>
      </c>
      <c r="J2378" s="379">
        <v>13.929781381548647</v>
      </c>
    </row>
    <row r="2379" spans="1:10" x14ac:dyDescent="0.35">
      <c r="A2379" s="5">
        <v>2375</v>
      </c>
      <c r="B2379" s="5">
        <v>99</v>
      </c>
      <c r="C2379" s="5">
        <v>4</v>
      </c>
      <c r="D2379" s="379">
        <v>63.338333333333324</v>
      </c>
      <c r="E2379" s="25">
        <v>27.3</v>
      </c>
      <c r="F2379" s="379">
        <v>20.166551772275401</v>
      </c>
      <c r="G2379" s="25">
        <v>52.87</v>
      </c>
      <c r="H2379" s="379">
        <v>138.88888888888889</v>
      </c>
      <c r="I2379" s="25">
        <v>603.30999999999995</v>
      </c>
      <c r="J2379" s="379">
        <v>14.271236323664745</v>
      </c>
    </row>
    <row r="2380" spans="1:10" x14ac:dyDescent="0.35">
      <c r="A2380" s="5">
        <v>2376</v>
      </c>
      <c r="B2380" s="5">
        <v>99</v>
      </c>
      <c r="C2380" s="5">
        <v>4</v>
      </c>
      <c r="D2380" s="379">
        <v>62.753333333333323</v>
      </c>
      <c r="E2380" s="25">
        <v>25.59</v>
      </c>
      <c r="F2380" s="379">
        <v>19.076444695379589</v>
      </c>
      <c r="G2380" s="25">
        <v>50.34</v>
      </c>
      <c r="H2380" s="379">
        <v>138.88888888888889</v>
      </c>
      <c r="I2380" s="25">
        <v>603.30999999999995</v>
      </c>
      <c r="J2380" s="379">
        <v>14.565708809586512</v>
      </c>
    </row>
    <row r="2381" spans="1:10" x14ac:dyDescent="0.35">
      <c r="A2381" s="5">
        <v>2377</v>
      </c>
      <c r="B2381" s="5">
        <v>100</v>
      </c>
      <c r="C2381" s="5">
        <v>4</v>
      </c>
      <c r="D2381" s="379">
        <v>60.098888888888887</v>
      </c>
      <c r="E2381" s="25">
        <v>25.29</v>
      </c>
      <c r="F2381" s="379">
        <v>20.155104576984204</v>
      </c>
      <c r="G2381" s="25">
        <v>47.85</v>
      </c>
      <c r="H2381" s="379">
        <v>138.88888888888889</v>
      </c>
      <c r="I2381" s="25">
        <v>72.19</v>
      </c>
      <c r="J2381" s="379">
        <v>14.178119657543188</v>
      </c>
    </row>
    <row r="2382" spans="1:10" x14ac:dyDescent="0.35">
      <c r="A2382" s="5">
        <v>2378</v>
      </c>
      <c r="B2382" s="5">
        <v>100</v>
      </c>
      <c r="C2382" s="5">
        <v>4</v>
      </c>
      <c r="D2382" s="379">
        <v>59.327777777777783</v>
      </c>
      <c r="E2382" s="25">
        <v>25.29</v>
      </c>
      <c r="F2382" s="379">
        <v>20.107039287168565</v>
      </c>
      <c r="G2382" s="25">
        <v>47.46</v>
      </c>
      <c r="H2382" s="379">
        <v>138.88888888888889</v>
      </c>
      <c r="I2382" s="25">
        <v>70.09</v>
      </c>
      <c r="J2382" s="379">
        <v>15.035570368057288</v>
      </c>
    </row>
    <row r="2383" spans="1:10" x14ac:dyDescent="0.35">
      <c r="A2383" s="5">
        <v>2379</v>
      </c>
      <c r="B2383" s="5">
        <v>100</v>
      </c>
      <c r="C2383" s="5">
        <v>4</v>
      </c>
      <c r="D2383" s="379">
        <v>57.903888888888886</v>
      </c>
      <c r="E2383" s="25">
        <v>25.29</v>
      </c>
      <c r="F2383" s="379">
        <v>20.155104576984204</v>
      </c>
      <c r="G2383" s="25">
        <v>47.46</v>
      </c>
      <c r="H2383" s="379">
        <v>138.88888888888889</v>
      </c>
      <c r="I2383" s="25">
        <v>66.06</v>
      </c>
      <c r="J2383" s="379">
        <v>15.54881773273179</v>
      </c>
    </row>
    <row r="2384" spans="1:10" x14ac:dyDescent="0.35">
      <c r="A2384" s="5">
        <v>2380</v>
      </c>
      <c r="B2384" s="5">
        <v>100</v>
      </c>
      <c r="C2384" s="5">
        <v>4</v>
      </c>
      <c r="D2384" s="379">
        <v>57.618333333333339</v>
      </c>
      <c r="E2384" s="25">
        <v>25.29</v>
      </c>
      <c r="F2384" s="379">
        <v>17.728139415432199</v>
      </c>
      <c r="G2384" s="25">
        <v>47.46</v>
      </c>
      <c r="H2384" s="379">
        <v>138.88888888888889</v>
      </c>
      <c r="I2384" s="25">
        <v>66.06</v>
      </c>
      <c r="J2384" s="379">
        <v>15.303611086995829</v>
      </c>
    </row>
    <row r="2385" spans="1:10" x14ac:dyDescent="0.35">
      <c r="A2385" s="5">
        <v>2381</v>
      </c>
      <c r="B2385" s="5">
        <v>100</v>
      </c>
      <c r="C2385" s="5">
        <v>4</v>
      </c>
      <c r="D2385" s="379">
        <v>56.242222222222225</v>
      </c>
      <c r="E2385" s="25">
        <v>25.29</v>
      </c>
      <c r="F2385" s="379">
        <v>16.062783714241327</v>
      </c>
      <c r="G2385" s="25">
        <v>47.46</v>
      </c>
      <c r="H2385" s="379">
        <v>138.88888888888889</v>
      </c>
      <c r="I2385" s="25">
        <v>70.09</v>
      </c>
      <c r="J2385" s="379">
        <v>14.832115244343179</v>
      </c>
    </row>
    <row r="2386" spans="1:10" x14ac:dyDescent="0.35">
      <c r="A2386" s="5">
        <v>2382</v>
      </c>
      <c r="B2386" s="5">
        <v>100</v>
      </c>
      <c r="C2386" s="5">
        <v>4</v>
      </c>
      <c r="D2386" s="379">
        <v>57.386111111111106</v>
      </c>
      <c r="E2386" s="25">
        <v>25.29</v>
      </c>
      <c r="F2386" s="379">
        <v>15.776237955114608</v>
      </c>
      <c r="G2386" s="25">
        <v>47.85</v>
      </c>
      <c r="H2386" s="379">
        <v>138.88888888888889</v>
      </c>
      <c r="I2386" s="25">
        <v>70.09</v>
      </c>
      <c r="J2386" s="379">
        <v>15.774414047639933</v>
      </c>
    </row>
    <row r="2387" spans="1:10" x14ac:dyDescent="0.35">
      <c r="A2387" s="5">
        <v>2383</v>
      </c>
      <c r="B2387" s="5">
        <v>100</v>
      </c>
      <c r="C2387" s="5">
        <v>4</v>
      </c>
      <c r="D2387" s="379">
        <v>56.887222222222221</v>
      </c>
      <c r="E2387" s="25">
        <v>25.29</v>
      </c>
      <c r="F2387" s="379">
        <v>14.543038308039572</v>
      </c>
      <c r="G2387" s="25">
        <v>47.85</v>
      </c>
      <c r="H2387" s="379">
        <v>138.88888888888889</v>
      </c>
      <c r="I2387" s="25">
        <v>72.19</v>
      </c>
      <c r="J2387" s="379">
        <v>14.631804079223821</v>
      </c>
    </row>
    <row r="2388" spans="1:10" x14ac:dyDescent="0.35">
      <c r="A2388" s="5">
        <v>2384</v>
      </c>
      <c r="B2388" s="5">
        <v>100</v>
      </c>
      <c r="C2388" s="5">
        <v>4</v>
      </c>
      <c r="D2388" s="379">
        <v>56.215000000000003</v>
      </c>
      <c r="E2388" s="25">
        <v>25.29</v>
      </c>
      <c r="F2388" s="379">
        <v>14.3713925574899</v>
      </c>
      <c r="G2388" s="25">
        <v>47.85</v>
      </c>
      <c r="H2388" s="379">
        <v>16.436573380510481</v>
      </c>
      <c r="I2388" s="25">
        <v>72.19</v>
      </c>
      <c r="J2388" s="379">
        <v>10.43327563311267</v>
      </c>
    </row>
    <row r="2389" spans="1:10" x14ac:dyDescent="0.35">
      <c r="A2389" s="5">
        <v>2385</v>
      </c>
      <c r="B2389" s="5">
        <v>100</v>
      </c>
      <c r="C2389" s="5">
        <v>4</v>
      </c>
      <c r="D2389" s="379">
        <v>45.812222222222225</v>
      </c>
      <c r="E2389" s="25">
        <v>25.29</v>
      </c>
      <c r="F2389" s="379">
        <v>13.69210775517872</v>
      </c>
      <c r="G2389" s="25">
        <v>47.85</v>
      </c>
      <c r="H2389" s="379">
        <v>8.4865497830476802</v>
      </c>
      <c r="I2389" s="25">
        <v>70.09</v>
      </c>
      <c r="J2389" s="379">
        <v>7.0448210356186394</v>
      </c>
    </row>
    <row r="2390" spans="1:10" x14ac:dyDescent="0.35">
      <c r="A2390" s="5">
        <v>2386</v>
      </c>
      <c r="B2390" s="5">
        <v>100</v>
      </c>
      <c r="C2390" s="5">
        <v>4</v>
      </c>
      <c r="D2390" s="379">
        <v>46.415555555555557</v>
      </c>
      <c r="E2390" s="25">
        <v>24.99</v>
      </c>
      <c r="F2390" s="379">
        <v>8.1174834595959613</v>
      </c>
      <c r="G2390" s="25">
        <v>46.98</v>
      </c>
      <c r="H2390" s="379">
        <v>4.799693804694658</v>
      </c>
      <c r="I2390" s="25">
        <v>62.27</v>
      </c>
      <c r="J2390" s="379">
        <v>4.5066737527555931</v>
      </c>
    </row>
    <row r="2391" spans="1:10" x14ac:dyDescent="0.35">
      <c r="A2391" s="5">
        <v>2387</v>
      </c>
      <c r="B2391" s="5">
        <v>100</v>
      </c>
      <c r="C2391" s="5">
        <v>4</v>
      </c>
      <c r="D2391" s="379">
        <v>44.285555555555554</v>
      </c>
      <c r="E2391" s="25">
        <v>24.99</v>
      </c>
      <c r="F2391" s="379">
        <v>4.9141692603561546</v>
      </c>
      <c r="G2391" s="25">
        <v>44.74</v>
      </c>
      <c r="H2391" s="379">
        <v>5.8153767511686119E-2</v>
      </c>
      <c r="I2391" s="25">
        <v>52.55</v>
      </c>
      <c r="J2391" s="379">
        <v>0.48898539647523737</v>
      </c>
    </row>
    <row r="2392" spans="1:10" x14ac:dyDescent="0.35">
      <c r="A2392" s="5">
        <v>2388</v>
      </c>
      <c r="B2392" s="5">
        <v>100</v>
      </c>
      <c r="C2392" s="5">
        <v>4</v>
      </c>
      <c r="D2392" s="379">
        <v>43.055555555555557</v>
      </c>
      <c r="E2392" s="25">
        <v>24.84</v>
      </c>
      <c r="F2392" s="379">
        <v>3.714477901822574</v>
      </c>
      <c r="G2392" s="25">
        <v>43.56</v>
      </c>
      <c r="H2392" s="379">
        <v>1.8457190916956596</v>
      </c>
      <c r="I2392" s="25">
        <v>52.55</v>
      </c>
      <c r="J2392" s="379">
        <v>0.48898539647523726</v>
      </c>
    </row>
    <row r="2393" spans="1:10" x14ac:dyDescent="0.35">
      <c r="A2393" s="5">
        <v>2389</v>
      </c>
      <c r="B2393" s="5">
        <v>100</v>
      </c>
      <c r="C2393" s="5">
        <v>4</v>
      </c>
      <c r="D2393" s="379">
        <v>41.165000000000006</v>
      </c>
      <c r="E2393" s="25">
        <v>24.84</v>
      </c>
      <c r="F2393" s="379">
        <v>3.5929409478450069</v>
      </c>
      <c r="G2393" s="25">
        <v>42.29</v>
      </c>
      <c r="H2393" s="379">
        <v>1.8457190916956596</v>
      </c>
      <c r="I2393" s="25">
        <v>48.86</v>
      </c>
      <c r="J2393" s="379">
        <v>0.39165323310074684</v>
      </c>
    </row>
    <row r="2394" spans="1:10" x14ac:dyDescent="0.35">
      <c r="A2394" s="5">
        <v>2390</v>
      </c>
      <c r="B2394" s="5">
        <v>100</v>
      </c>
      <c r="C2394" s="5">
        <v>4</v>
      </c>
      <c r="D2394" s="379">
        <v>37.818333333333335</v>
      </c>
      <c r="E2394" s="25">
        <v>24.84</v>
      </c>
      <c r="F2394" s="379">
        <v>3.5929409478450069</v>
      </c>
      <c r="G2394" s="25">
        <v>42.29</v>
      </c>
      <c r="H2394" s="379">
        <v>1.8457190916956596</v>
      </c>
      <c r="I2394" s="25">
        <v>37.979999999999997</v>
      </c>
      <c r="J2394" s="379">
        <v>0.27998191367599995</v>
      </c>
    </row>
    <row r="2395" spans="1:10" x14ac:dyDescent="0.35">
      <c r="A2395" s="5">
        <v>2391</v>
      </c>
      <c r="B2395" s="5">
        <v>100</v>
      </c>
      <c r="C2395" s="5">
        <v>4</v>
      </c>
      <c r="D2395" s="379">
        <v>37.440555555555555</v>
      </c>
      <c r="E2395" s="25">
        <v>24.84</v>
      </c>
      <c r="F2395" s="379">
        <v>3.5929409478450069</v>
      </c>
      <c r="G2395" s="25">
        <v>42.29</v>
      </c>
      <c r="H2395" s="379">
        <v>1.8457190916956596</v>
      </c>
      <c r="I2395" s="25">
        <v>37.979999999999997</v>
      </c>
      <c r="J2395" s="379">
        <v>0.31146831532489261</v>
      </c>
    </row>
    <row r="2396" spans="1:10" x14ac:dyDescent="0.35">
      <c r="A2396" s="5">
        <v>2392</v>
      </c>
      <c r="B2396" s="5">
        <v>100</v>
      </c>
      <c r="C2396" s="5">
        <v>4</v>
      </c>
      <c r="D2396" s="379">
        <v>42.323888888888881</v>
      </c>
      <c r="E2396" s="25">
        <v>24.84</v>
      </c>
      <c r="F2396" s="379">
        <v>3.6161063100972761</v>
      </c>
      <c r="G2396" s="25">
        <v>42.29</v>
      </c>
      <c r="H2396" s="379">
        <v>5.0623045724915133E-2</v>
      </c>
      <c r="I2396" s="25">
        <v>45.18</v>
      </c>
      <c r="J2396" s="379">
        <v>0.25604028448572919</v>
      </c>
    </row>
    <row r="2397" spans="1:10" x14ac:dyDescent="0.35">
      <c r="A2397" s="5">
        <v>2393</v>
      </c>
      <c r="B2397" s="5">
        <v>100</v>
      </c>
      <c r="C2397" s="5">
        <v>4</v>
      </c>
      <c r="D2397" s="379">
        <v>52.919444444444451</v>
      </c>
      <c r="E2397" s="25">
        <v>24.84</v>
      </c>
      <c r="F2397" s="379">
        <v>6.9411446896853173</v>
      </c>
      <c r="G2397" s="25">
        <v>43.56</v>
      </c>
      <c r="H2397" s="379">
        <v>6.2488448335373361</v>
      </c>
      <c r="I2397" s="25">
        <v>52.55</v>
      </c>
      <c r="J2397" s="379">
        <v>1.8249072911567665</v>
      </c>
    </row>
    <row r="2398" spans="1:10" x14ac:dyDescent="0.35">
      <c r="A2398" s="5">
        <v>2394</v>
      </c>
      <c r="B2398" s="5">
        <v>100</v>
      </c>
      <c r="C2398" s="5">
        <v>4</v>
      </c>
      <c r="D2398" s="379">
        <v>62.434999999999995</v>
      </c>
      <c r="E2398" s="25">
        <v>24.84</v>
      </c>
      <c r="F2398" s="379">
        <v>16.900744026890827</v>
      </c>
      <c r="G2398" s="25">
        <v>44.69</v>
      </c>
      <c r="H2398" s="379">
        <v>9.7411084781136736</v>
      </c>
      <c r="I2398" s="25">
        <v>52.55</v>
      </c>
      <c r="J2398" s="379">
        <v>5.5064094798954839</v>
      </c>
    </row>
    <row r="2399" spans="1:10" x14ac:dyDescent="0.35">
      <c r="A2399" s="5">
        <v>2395</v>
      </c>
      <c r="B2399" s="5">
        <v>100</v>
      </c>
      <c r="C2399" s="5">
        <v>4</v>
      </c>
      <c r="D2399" s="379">
        <v>65.770555555555546</v>
      </c>
      <c r="E2399" s="25">
        <v>24.99</v>
      </c>
      <c r="F2399" s="379">
        <v>18.414873870687504</v>
      </c>
      <c r="G2399" s="25">
        <v>47.85</v>
      </c>
      <c r="H2399" s="379">
        <v>10.295490393005025</v>
      </c>
      <c r="I2399" s="25">
        <v>61.82</v>
      </c>
      <c r="J2399" s="379">
        <v>5.4199488748117544</v>
      </c>
    </row>
    <row r="2400" spans="1:10" x14ac:dyDescent="0.35">
      <c r="A2400" s="5">
        <v>2396</v>
      </c>
      <c r="B2400" s="5">
        <v>100</v>
      </c>
      <c r="C2400" s="5">
        <v>4</v>
      </c>
      <c r="D2400" s="379">
        <v>65.562222222222232</v>
      </c>
      <c r="E2400" s="25">
        <v>25.74</v>
      </c>
      <c r="F2400" s="379">
        <v>20.011713282985273</v>
      </c>
      <c r="G2400" s="25">
        <v>47.85</v>
      </c>
      <c r="H2400" s="379">
        <v>11.940316729131338</v>
      </c>
      <c r="I2400" s="25">
        <v>70.09</v>
      </c>
      <c r="J2400" s="379">
        <v>7.2330433661325531</v>
      </c>
    </row>
    <row r="2401" spans="1:10" x14ac:dyDescent="0.35">
      <c r="A2401" s="5">
        <v>2397</v>
      </c>
      <c r="B2401" s="5">
        <v>100</v>
      </c>
      <c r="C2401" s="5">
        <v>4</v>
      </c>
      <c r="D2401" s="379">
        <v>60.740555555555552</v>
      </c>
      <c r="E2401" s="25">
        <v>25.29</v>
      </c>
      <c r="F2401" s="379">
        <v>18.353946160980581</v>
      </c>
      <c r="G2401" s="25">
        <v>47.46</v>
      </c>
      <c r="H2401" s="379">
        <v>10.918233918771035</v>
      </c>
      <c r="I2401" s="25">
        <v>70.09</v>
      </c>
      <c r="J2401" s="379">
        <v>7.282923012702625</v>
      </c>
    </row>
    <row r="2402" spans="1:10" x14ac:dyDescent="0.35">
      <c r="A2402" s="5">
        <v>2398</v>
      </c>
      <c r="B2402" s="5">
        <v>100</v>
      </c>
      <c r="C2402" s="5">
        <v>4</v>
      </c>
      <c r="D2402" s="379">
        <v>58.305</v>
      </c>
      <c r="E2402" s="25">
        <v>24.99</v>
      </c>
      <c r="F2402" s="379">
        <v>20.299643889887783</v>
      </c>
      <c r="G2402" s="25">
        <v>47.46</v>
      </c>
      <c r="H2402" s="379">
        <v>10.482725711845804</v>
      </c>
      <c r="I2402" s="25">
        <v>68.05</v>
      </c>
      <c r="J2402" s="379">
        <v>7.1594007354336711</v>
      </c>
    </row>
    <row r="2403" spans="1:10" x14ac:dyDescent="0.35">
      <c r="A2403" s="5">
        <v>2399</v>
      </c>
      <c r="B2403" s="5">
        <v>100</v>
      </c>
      <c r="C2403" s="5">
        <v>4</v>
      </c>
      <c r="D2403" s="379">
        <v>58.136666666666663</v>
      </c>
      <c r="E2403" s="25">
        <v>24.99</v>
      </c>
      <c r="F2403" s="379">
        <v>18.277304555114153</v>
      </c>
      <c r="G2403" s="25">
        <v>43.99</v>
      </c>
      <c r="H2403" s="379">
        <v>10.322251175975358</v>
      </c>
      <c r="I2403" s="25">
        <v>64.14</v>
      </c>
      <c r="J2403" s="379">
        <v>7.2296699803614981</v>
      </c>
    </row>
    <row r="2404" spans="1:10" x14ac:dyDescent="0.35">
      <c r="A2404" s="5">
        <v>2400</v>
      </c>
      <c r="B2404" s="5">
        <v>100</v>
      </c>
      <c r="C2404" s="5">
        <v>4</v>
      </c>
      <c r="D2404" s="379">
        <v>59.448333333333323</v>
      </c>
      <c r="E2404" s="25">
        <v>24.84</v>
      </c>
      <c r="F2404" s="379">
        <v>16.431963014857747</v>
      </c>
      <c r="G2404" s="25">
        <v>43.56</v>
      </c>
      <c r="H2404" s="379">
        <v>9.0856427826146575</v>
      </c>
      <c r="I2404" s="25">
        <v>58.27</v>
      </c>
      <c r="J2404" s="379">
        <v>7.1957682178679914</v>
      </c>
    </row>
    <row r="2405" spans="1:10" x14ac:dyDescent="0.35">
      <c r="A2405" s="5">
        <v>2401</v>
      </c>
      <c r="B2405" s="5">
        <v>101</v>
      </c>
      <c r="C2405" s="5">
        <v>4</v>
      </c>
      <c r="D2405" s="379">
        <v>57.675000000000004</v>
      </c>
      <c r="E2405" s="25">
        <v>24.73</v>
      </c>
      <c r="F2405" s="379">
        <v>8.3176736322473293</v>
      </c>
      <c r="G2405" s="25">
        <v>35.85</v>
      </c>
      <c r="H2405" s="379">
        <v>9.9888980198898167</v>
      </c>
      <c r="I2405" s="25">
        <v>48.86</v>
      </c>
      <c r="J2405" s="379">
        <v>7.0196502109387007</v>
      </c>
    </row>
    <row r="2406" spans="1:10" x14ac:dyDescent="0.35">
      <c r="A2406" s="5">
        <v>2402</v>
      </c>
      <c r="B2406" s="5">
        <v>101</v>
      </c>
      <c r="C2406" s="5">
        <v>4</v>
      </c>
      <c r="D2406" s="379">
        <v>57.230555555555561</v>
      </c>
      <c r="E2406" s="25">
        <v>24.73</v>
      </c>
      <c r="F2406" s="379">
        <v>8.4794967028634929</v>
      </c>
      <c r="G2406" s="25">
        <v>32.79</v>
      </c>
      <c r="H2406" s="379">
        <v>9.0808377968808305</v>
      </c>
      <c r="I2406" s="25">
        <v>46.06</v>
      </c>
      <c r="J2406" s="379">
        <v>6.6841873703050156</v>
      </c>
    </row>
    <row r="2407" spans="1:10" x14ac:dyDescent="0.35">
      <c r="A2407" s="5">
        <v>2403</v>
      </c>
      <c r="B2407" s="5">
        <v>101</v>
      </c>
      <c r="C2407" s="5">
        <v>4</v>
      </c>
      <c r="D2407" s="379">
        <v>55.979444444444439</v>
      </c>
      <c r="E2407" s="25">
        <v>24.26</v>
      </c>
      <c r="F2407" s="379">
        <v>8.4106027848404707</v>
      </c>
      <c r="G2407" s="25">
        <v>32.04</v>
      </c>
      <c r="H2407" s="379">
        <v>9.5761667065071308</v>
      </c>
      <c r="I2407" s="25">
        <v>46.06</v>
      </c>
      <c r="J2407" s="379">
        <v>6.1871885222366583</v>
      </c>
    </row>
    <row r="2408" spans="1:10" x14ac:dyDescent="0.35">
      <c r="A2408" s="5">
        <v>2404</v>
      </c>
      <c r="B2408" s="5">
        <v>101</v>
      </c>
      <c r="C2408" s="5">
        <v>4</v>
      </c>
      <c r="D2408" s="379">
        <v>55.774444444444441</v>
      </c>
      <c r="E2408" s="25">
        <v>24</v>
      </c>
      <c r="F2408" s="379">
        <v>8.1174834595959613</v>
      </c>
      <c r="G2408" s="25">
        <v>31.42</v>
      </c>
      <c r="H2408" s="379">
        <v>7.4714130884782302</v>
      </c>
      <c r="I2408" s="25">
        <v>46.06</v>
      </c>
      <c r="J2408" s="379">
        <v>6.2811184138858325</v>
      </c>
    </row>
    <row r="2409" spans="1:10" x14ac:dyDescent="0.35">
      <c r="A2409" s="5">
        <v>2405</v>
      </c>
      <c r="B2409" s="5">
        <v>101</v>
      </c>
      <c r="C2409" s="5">
        <v>4</v>
      </c>
      <c r="D2409" s="379">
        <v>58.657777777777788</v>
      </c>
      <c r="E2409" s="25">
        <v>24</v>
      </c>
      <c r="F2409" s="379">
        <v>8.3338222192421174</v>
      </c>
      <c r="G2409" s="25">
        <v>31.42</v>
      </c>
      <c r="H2409" s="379">
        <v>7.3182175072199129</v>
      </c>
      <c r="I2409" s="25">
        <v>46.06</v>
      </c>
      <c r="J2409" s="379">
        <v>6.3160132519261749</v>
      </c>
    </row>
    <row r="2410" spans="1:10" x14ac:dyDescent="0.35">
      <c r="A2410" s="5">
        <v>2406</v>
      </c>
      <c r="B2410" s="5">
        <v>101</v>
      </c>
      <c r="C2410" s="5">
        <v>4</v>
      </c>
      <c r="D2410" s="379">
        <v>64.420555555555566</v>
      </c>
      <c r="E2410" s="25">
        <v>24</v>
      </c>
      <c r="F2410" s="379">
        <v>8.4436536704705834</v>
      </c>
      <c r="G2410" s="25">
        <v>31.86</v>
      </c>
      <c r="H2410" s="379">
        <v>7.4116380889895703</v>
      </c>
      <c r="I2410" s="25">
        <v>46.06</v>
      </c>
      <c r="J2410" s="379">
        <v>6.2266119348551952</v>
      </c>
    </row>
    <row r="2411" spans="1:10" x14ac:dyDescent="0.35">
      <c r="A2411" s="5">
        <v>2407</v>
      </c>
      <c r="B2411" s="5">
        <v>101</v>
      </c>
      <c r="C2411" s="5">
        <v>4</v>
      </c>
      <c r="D2411" s="379">
        <v>73.300555555555562</v>
      </c>
      <c r="E2411" s="25">
        <v>24</v>
      </c>
      <c r="F2411" s="379">
        <v>8.3320600820955626</v>
      </c>
      <c r="G2411" s="25">
        <v>32.130000000000003</v>
      </c>
      <c r="H2411" s="379">
        <v>6.8864631624564625</v>
      </c>
      <c r="I2411" s="25">
        <v>44.9</v>
      </c>
      <c r="J2411" s="379">
        <v>2.2938715100103262</v>
      </c>
    </row>
    <row r="2412" spans="1:10" x14ac:dyDescent="0.35">
      <c r="A2412" s="5">
        <v>2408</v>
      </c>
      <c r="B2412" s="5">
        <v>101</v>
      </c>
      <c r="C2412" s="5">
        <v>4</v>
      </c>
      <c r="D2412" s="379">
        <v>74.682222222222222</v>
      </c>
      <c r="E2412" s="25">
        <v>24.11</v>
      </c>
      <c r="F2412" s="379">
        <v>8.1174834595959595</v>
      </c>
      <c r="G2412" s="25">
        <v>32.79</v>
      </c>
      <c r="H2412" s="379">
        <v>4.799693804694658</v>
      </c>
      <c r="I2412" s="25">
        <v>46.06</v>
      </c>
      <c r="J2412" s="379">
        <v>0.27777777777777779</v>
      </c>
    </row>
    <row r="2413" spans="1:10" x14ac:dyDescent="0.35">
      <c r="A2413" s="5">
        <v>2409</v>
      </c>
      <c r="B2413" s="5">
        <v>101</v>
      </c>
      <c r="C2413" s="5">
        <v>4</v>
      </c>
      <c r="D2413" s="379">
        <v>66.03</v>
      </c>
      <c r="E2413" s="25">
        <v>24.73</v>
      </c>
      <c r="F2413" s="379">
        <v>0.99877958244263609</v>
      </c>
      <c r="G2413" s="25">
        <v>32.130000000000003</v>
      </c>
      <c r="H2413" s="379">
        <v>4.6596283764047071</v>
      </c>
      <c r="I2413" s="25">
        <v>34.68</v>
      </c>
      <c r="J2413" s="379">
        <v>4.036079787960607</v>
      </c>
    </row>
    <row r="2414" spans="1:10" x14ac:dyDescent="0.35">
      <c r="A2414" s="5">
        <v>2410</v>
      </c>
      <c r="B2414" s="5">
        <v>101</v>
      </c>
      <c r="C2414" s="5">
        <v>4</v>
      </c>
      <c r="D2414" s="379">
        <v>59.028333333333336</v>
      </c>
      <c r="E2414" s="25">
        <v>24.11</v>
      </c>
      <c r="F2414" s="379">
        <v>1.8794216760081293</v>
      </c>
      <c r="G2414" s="25">
        <v>31.42</v>
      </c>
      <c r="H2414" s="379">
        <v>4.1976766993001506</v>
      </c>
      <c r="I2414" s="25">
        <v>33.67</v>
      </c>
      <c r="J2414" s="379">
        <v>2.0604645308545879</v>
      </c>
    </row>
    <row r="2415" spans="1:10" x14ac:dyDescent="0.35">
      <c r="A2415" s="5">
        <v>2411</v>
      </c>
      <c r="B2415" s="5">
        <v>101</v>
      </c>
      <c r="C2415" s="5">
        <v>4</v>
      </c>
      <c r="D2415" s="379">
        <v>56.726111111111109</v>
      </c>
      <c r="E2415" s="25">
        <v>24</v>
      </c>
      <c r="F2415" s="379">
        <v>1.9358122917175515</v>
      </c>
      <c r="G2415" s="25">
        <v>30.2</v>
      </c>
      <c r="H2415" s="379">
        <v>1.8457190916956596</v>
      </c>
      <c r="I2415" s="25">
        <v>33.67</v>
      </c>
      <c r="J2415" s="379">
        <v>0.14113574581166219</v>
      </c>
    </row>
    <row r="2416" spans="1:10" x14ac:dyDescent="0.35">
      <c r="A2416" s="5">
        <v>2412</v>
      </c>
      <c r="B2416" s="5">
        <v>101</v>
      </c>
      <c r="C2416" s="5">
        <v>4</v>
      </c>
      <c r="D2416" s="379">
        <v>54.377777777777773</v>
      </c>
      <c r="E2416" s="25">
        <v>23.77</v>
      </c>
      <c r="F2416" s="379">
        <v>3.714477901822574</v>
      </c>
      <c r="G2416" s="25">
        <v>30.03</v>
      </c>
      <c r="H2416" s="379">
        <v>1.8457190916956596</v>
      </c>
      <c r="I2416" s="25">
        <v>33.67</v>
      </c>
      <c r="J2416" s="379">
        <v>2.777777777777778E-2</v>
      </c>
    </row>
    <row r="2417" spans="1:10" x14ac:dyDescent="0.35">
      <c r="A2417" s="5">
        <v>2413</v>
      </c>
      <c r="B2417" s="5">
        <v>101</v>
      </c>
      <c r="C2417" s="5">
        <v>4</v>
      </c>
      <c r="D2417" s="379">
        <v>52.291666666666664</v>
      </c>
      <c r="E2417" s="25">
        <v>17.12</v>
      </c>
      <c r="F2417" s="379">
        <v>3.2727733956087586</v>
      </c>
      <c r="G2417" s="25">
        <v>30.03</v>
      </c>
      <c r="H2417" s="379">
        <v>1.8457190916956596</v>
      </c>
      <c r="I2417" s="25">
        <v>33.67</v>
      </c>
      <c r="J2417" s="379">
        <v>2.777777777777778E-2</v>
      </c>
    </row>
    <row r="2418" spans="1:10" x14ac:dyDescent="0.35">
      <c r="A2418" s="5">
        <v>2414</v>
      </c>
      <c r="B2418" s="5">
        <v>101</v>
      </c>
      <c r="C2418" s="5">
        <v>4</v>
      </c>
      <c r="D2418" s="379">
        <v>51.459444444444443</v>
      </c>
      <c r="E2418" s="25">
        <v>16.3</v>
      </c>
      <c r="F2418" s="379">
        <v>3.2727733956087586</v>
      </c>
      <c r="G2418" s="25">
        <v>30.03</v>
      </c>
      <c r="H2418" s="379">
        <v>1.8457190916956596</v>
      </c>
      <c r="I2418" s="25">
        <v>33.67</v>
      </c>
      <c r="J2418" s="379">
        <v>2.777777777777778E-2</v>
      </c>
    </row>
    <row r="2419" spans="1:10" x14ac:dyDescent="0.35">
      <c r="A2419" s="5">
        <v>2415</v>
      </c>
      <c r="B2419" s="5">
        <v>101</v>
      </c>
      <c r="C2419" s="5">
        <v>4</v>
      </c>
      <c r="D2419" s="379">
        <v>51.961111111111109</v>
      </c>
      <c r="E2419" s="25">
        <v>16.78</v>
      </c>
      <c r="F2419" s="379">
        <v>3.2727733956087586</v>
      </c>
      <c r="G2419" s="25">
        <v>30.03</v>
      </c>
      <c r="H2419" s="379">
        <v>1.8457190916956596</v>
      </c>
      <c r="I2419" s="25">
        <v>33.67</v>
      </c>
      <c r="J2419" s="379">
        <v>2.777777777777778E-2</v>
      </c>
    </row>
    <row r="2420" spans="1:10" x14ac:dyDescent="0.35">
      <c r="A2420" s="5">
        <v>2416</v>
      </c>
      <c r="B2420" s="5">
        <v>101</v>
      </c>
      <c r="C2420" s="5">
        <v>4</v>
      </c>
      <c r="D2420" s="379">
        <v>54.690000000000005</v>
      </c>
      <c r="E2420" s="25">
        <v>23.41</v>
      </c>
      <c r="F2420" s="379">
        <v>3.2727733956087586</v>
      </c>
      <c r="G2420" s="25">
        <v>30.03</v>
      </c>
      <c r="H2420" s="379">
        <v>1.8457190916956596</v>
      </c>
      <c r="I2420" s="25">
        <v>33.67</v>
      </c>
      <c r="J2420" s="379">
        <v>2.777777777777778E-2</v>
      </c>
    </row>
    <row r="2421" spans="1:10" x14ac:dyDescent="0.35">
      <c r="A2421" s="5">
        <v>2417</v>
      </c>
      <c r="B2421" s="5">
        <v>101</v>
      </c>
      <c r="C2421" s="5">
        <v>4</v>
      </c>
      <c r="D2421" s="379">
        <v>60.584444444444436</v>
      </c>
      <c r="E2421" s="25">
        <v>24</v>
      </c>
      <c r="F2421" s="379">
        <v>3.2727733956087586</v>
      </c>
      <c r="G2421" s="25">
        <v>30.2</v>
      </c>
      <c r="H2421" s="379">
        <v>2.4930855452494614</v>
      </c>
      <c r="I2421" s="25">
        <v>33.67</v>
      </c>
      <c r="J2421" s="379">
        <v>2.777777777777778E-2</v>
      </c>
    </row>
    <row r="2422" spans="1:10" x14ac:dyDescent="0.35">
      <c r="A2422" s="5">
        <v>2418</v>
      </c>
      <c r="B2422" s="5">
        <v>101</v>
      </c>
      <c r="C2422" s="5">
        <v>4</v>
      </c>
      <c r="D2422" s="379">
        <v>67.723333333333329</v>
      </c>
      <c r="E2422" s="25">
        <v>24.84</v>
      </c>
      <c r="F2422" s="379">
        <v>3.7510226183782933</v>
      </c>
      <c r="G2422" s="25">
        <v>31.42</v>
      </c>
      <c r="H2422" s="379">
        <v>2.5668752067022482</v>
      </c>
      <c r="I2422" s="25">
        <v>37.57</v>
      </c>
      <c r="J2422" s="379">
        <v>7.0156313042922219E-2</v>
      </c>
    </row>
    <row r="2423" spans="1:10" x14ac:dyDescent="0.35">
      <c r="A2423" s="5">
        <v>2419</v>
      </c>
      <c r="B2423" s="5">
        <v>101</v>
      </c>
      <c r="C2423" s="5">
        <v>4</v>
      </c>
      <c r="D2423" s="379">
        <v>71.102777777777774</v>
      </c>
      <c r="E2423" s="25">
        <v>24.84</v>
      </c>
      <c r="F2423" s="379">
        <v>5.3304821371184126</v>
      </c>
      <c r="G2423" s="25">
        <v>38.61</v>
      </c>
      <c r="H2423" s="379">
        <v>0.1448016764285241</v>
      </c>
      <c r="I2423" s="25">
        <v>51.02</v>
      </c>
      <c r="J2423" s="379">
        <v>0.27777777777777779</v>
      </c>
    </row>
    <row r="2424" spans="1:10" x14ac:dyDescent="0.35">
      <c r="A2424" s="5">
        <v>2420</v>
      </c>
      <c r="B2424" s="5">
        <v>101</v>
      </c>
      <c r="C2424" s="5">
        <v>4</v>
      </c>
      <c r="D2424" s="379">
        <v>69.757777777777775</v>
      </c>
      <c r="E2424" s="25">
        <v>24.84</v>
      </c>
      <c r="F2424" s="379">
        <v>5.609165184735188</v>
      </c>
      <c r="G2424" s="25">
        <v>43.56</v>
      </c>
      <c r="H2424" s="379">
        <v>0.14480167642852412</v>
      </c>
      <c r="I2424" s="25">
        <v>58.21</v>
      </c>
      <c r="J2424" s="379">
        <v>0.36469135244386547</v>
      </c>
    </row>
    <row r="2425" spans="1:10" x14ac:dyDescent="0.35">
      <c r="A2425" s="5">
        <v>2421</v>
      </c>
      <c r="B2425" s="5">
        <v>101</v>
      </c>
      <c r="C2425" s="5">
        <v>4</v>
      </c>
      <c r="D2425" s="379">
        <v>65.665555555555557</v>
      </c>
      <c r="E2425" s="25">
        <v>24.84</v>
      </c>
      <c r="F2425" s="379">
        <v>5.4561689840269461</v>
      </c>
      <c r="G2425" s="25">
        <v>43.56</v>
      </c>
      <c r="H2425" s="379">
        <v>0.14480167642852412</v>
      </c>
      <c r="I2425" s="25">
        <v>58.27</v>
      </c>
      <c r="J2425" s="379">
        <v>0.30260814985553852</v>
      </c>
    </row>
    <row r="2426" spans="1:10" x14ac:dyDescent="0.35">
      <c r="A2426" s="5">
        <v>2422</v>
      </c>
      <c r="B2426" s="5">
        <v>101</v>
      </c>
      <c r="C2426" s="5">
        <v>4</v>
      </c>
      <c r="D2426" s="379">
        <v>61.098333333333336</v>
      </c>
      <c r="E2426" s="25">
        <v>24.84</v>
      </c>
      <c r="F2426" s="379">
        <v>5.3441603511116327</v>
      </c>
      <c r="G2426" s="25">
        <v>43.56</v>
      </c>
      <c r="H2426" s="379">
        <v>0.14480167642852412</v>
      </c>
      <c r="I2426" s="25">
        <v>61.82</v>
      </c>
      <c r="J2426" s="379">
        <v>0.21398153618691895</v>
      </c>
    </row>
    <row r="2427" spans="1:10" x14ac:dyDescent="0.35">
      <c r="A2427" s="5">
        <v>2423</v>
      </c>
      <c r="B2427" s="5">
        <v>101</v>
      </c>
      <c r="C2427" s="5">
        <v>4</v>
      </c>
      <c r="D2427" s="379">
        <v>56.955555555555563</v>
      </c>
      <c r="E2427" s="25">
        <v>24.84</v>
      </c>
      <c r="F2427" s="379">
        <v>5.1979929420159321</v>
      </c>
      <c r="G2427" s="25">
        <v>40.96</v>
      </c>
      <c r="H2427" s="379">
        <v>2.732055268561723</v>
      </c>
      <c r="I2427" s="25">
        <v>59.21</v>
      </c>
      <c r="J2427" s="379">
        <v>2.0312244852921273</v>
      </c>
    </row>
    <row r="2428" spans="1:10" x14ac:dyDescent="0.35">
      <c r="A2428" s="5">
        <v>2424</v>
      </c>
      <c r="B2428" s="5">
        <v>101</v>
      </c>
      <c r="C2428" s="5">
        <v>4</v>
      </c>
      <c r="D2428" s="379">
        <v>54.13388888888889</v>
      </c>
      <c r="E2428" s="25">
        <v>24.84</v>
      </c>
      <c r="F2428" s="379">
        <v>4.9849818126811423</v>
      </c>
      <c r="G2428" s="25">
        <v>35.85</v>
      </c>
      <c r="H2428" s="379">
        <v>8.9692784012390961E-2</v>
      </c>
      <c r="I2428" s="25">
        <v>50.33</v>
      </c>
      <c r="J2428" s="379">
        <v>1.6433177541705515</v>
      </c>
    </row>
    <row r="2429" spans="1:10" x14ac:dyDescent="0.35">
      <c r="A2429" s="5">
        <v>2425</v>
      </c>
      <c r="B2429" s="5">
        <v>102</v>
      </c>
      <c r="C2429" s="5">
        <v>4</v>
      </c>
      <c r="D2429" s="379">
        <v>55.633333333333333</v>
      </c>
      <c r="E2429" s="25">
        <v>24.84</v>
      </c>
      <c r="F2429" s="379">
        <v>5.1792048278815104</v>
      </c>
      <c r="G2429" s="25">
        <v>40.340000000000003</v>
      </c>
      <c r="H2429" s="379">
        <v>8.9692784012390961E-2</v>
      </c>
      <c r="I2429" s="25">
        <v>51.02</v>
      </c>
      <c r="J2429" s="379">
        <v>1.6309965088242315</v>
      </c>
    </row>
    <row r="2430" spans="1:10" x14ac:dyDescent="0.35">
      <c r="A2430" s="5">
        <v>2426</v>
      </c>
      <c r="B2430" s="5">
        <v>102</v>
      </c>
      <c r="C2430" s="5">
        <v>4</v>
      </c>
      <c r="D2430" s="379">
        <v>54.426666666666669</v>
      </c>
      <c r="E2430" s="25">
        <v>24.84</v>
      </c>
      <c r="F2430" s="379">
        <v>4.7351986847643097</v>
      </c>
      <c r="G2430" s="25">
        <v>35.85</v>
      </c>
      <c r="H2430" s="379">
        <v>8.2588379025340428E-2</v>
      </c>
      <c r="I2430" s="25">
        <v>50.33</v>
      </c>
      <c r="J2430" s="379">
        <v>1.6309965088242315</v>
      </c>
    </row>
    <row r="2431" spans="1:10" x14ac:dyDescent="0.35">
      <c r="A2431" s="5">
        <v>2427</v>
      </c>
      <c r="B2431" s="5">
        <v>102</v>
      </c>
      <c r="C2431" s="5">
        <v>4</v>
      </c>
      <c r="D2431" s="379">
        <v>54.468888888888884</v>
      </c>
      <c r="E2431" s="25">
        <v>24.84</v>
      </c>
      <c r="F2431" s="379">
        <v>4.5187568048793176</v>
      </c>
      <c r="G2431" s="25">
        <v>37.020000000000003</v>
      </c>
      <c r="H2431" s="379">
        <v>7.8558987447848755E-2</v>
      </c>
      <c r="I2431" s="25">
        <v>50.33</v>
      </c>
      <c r="J2431" s="379">
        <v>1.6309965088242317</v>
      </c>
    </row>
    <row r="2432" spans="1:10" x14ac:dyDescent="0.35">
      <c r="A2432" s="5">
        <v>2428</v>
      </c>
      <c r="B2432" s="5">
        <v>102</v>
      </c>
      <c r="C2432" s="5">
        <v>4</v>
      </c>
      <c r="D2432" s="379">
        <v>55.67444444444444</v>
      </c>
      <c r="E2432" s="25">
        <v>24.84</v>
      </c>
      <c r="F2432" s="379">
        <v>4.5267933547395369</v>
      </c>
      <c r="G2432" s="25">
        <v>39.770000000000003</v>
      </c>
      <c r="H2432" s="379">
        <v>6.5076302552626655E-2</v>
      </c>
      <c r="I2432" s="25">
        <v>50.33</v>
      </c>
      <c r="J2432" s="379">
        <v>0.27777777777777779</v>
      </c>
    </row>
    <row r="2433" spans="1:10" x14ac:dyDescent="0.35">
      <c r="A2433" s="5">
        <v>2429</v>
      </c>
      <c r="B2433" s="5">
        <v>102</v>
      </c>
      <c r="C2433" s="5">
        <v>4</v>
      </c>
      <c r="D2433" s="379">
        <v>61.351666666666659</v>
      </c>
      <c r="E2433" s="25">
        <v>24.84</v>
      </c>
      <c r="F2433" s="379">
        <v>3.6577650294324036</v>
      </c>
      <c r="G2433" s="25">
        <v>42.19</v>
      </c>
      <c r="H2433" s="379">
        <v>8.2721147619255184E-2</v>
      </c>
      <c r="I2433" s="25">
        <v>54.87</v>
      </c>
      <c r="J2433" s="379">
        <v>0.27777777777777779</v>
      </c>
    </row>
    <row r="2434" spans="1:10" x14ac:dyDescent="0.35">
      <c r="A2434" s="5">
        <v>2430</v>
      </c>
      <c r="B2434" s="5">
        <v>102</v>
      </c>
      <c r="C2434" s="5">
        <v>4</v>
      </c>
      <c r="D2434" s="379">
        <v>66.707222222222228</v>
      </c>
      <c r="E2434" s="25">
        <v>24.99</v>
      </c>
      <c r="F2434" s="379">
        <v>3.3492163571098086</v>
      </c>
      <c r="G2434" s="25">
        <v>47.46</v>
      </c>
      <c r="H2434" s="379">
        <v>7.797470282722932E-2</v>
      </c>
      <c r="I2434" s="25">
        <v>64.55</v>
      </c>
      <c r="J2434" s="379">
        <v>0.27777777777777779</v>
      </c>
    </row>
    <row r="2435" spans="1:10" x14ac:dyDescent="0.35">
      <c r="A2435" s="5">
        <v>2431</v>
      </c>
      <c r="B2435" s="5">
        <v>102</v>
      </c>
      <c r="C2435" s="5">
        <v>4</v>
      </c>
      <c r="D2435" s="379">
        <v>71.672222222222217</v>
      </c>
      <c r="E2435" s="25">
        <v>25.74</v>
      </c>
      <c r="F2435" s="379">
        <v>2.7185387868737827</v>
      </c>
      <c r="G2435" s="25">
        <v>47.46</v>
      </c>
      <c r="H2435" s="379">
        <v>4.9924993216330295E-2</v>
      </c>
      <c r="I2435" s="25">
        <v>68.05</v>
      </c>
      <c r="J2435" s="379">
        <v>1.9597350448910136</v>
      </c>
    </row>
    <row r="2436" spans="1:10" x14ac:dyDescent="0.35">
      <c r="A2436" s="5">
        <v>2432</v>
      </c>
      <c r="B2436" s="5">
        <v>102</v>
      </c>
      <c r="C2436" s="5">
        <v>4</v>
      </c>
      <c r="D2436" s="379">
        <v>70.983888888888885</v>
      </c>
      <c r="E2436" s="25">
        <v>26.51</v>
      </c>
      <c r="F2436" s="379">
        <v>0.14480167642852412</v>
      </c>
      <c r="G2436" s="25">
        <v>47.46</v>
      </c>
      <c r="H2436" s="379">
        <v>2.6242508108309588</v>
      </c>
      <c r="I2436" s="25">
        <v>68.05</v>
      </c>
      <c r="J2436" s="379">
        <v>1.7325732307233397</v>
      </c>
    </row>
    <row r="2437" spans="1:10" x14ac:dyDescent="0.35">
      <c r="A2437" s="5">
        <v>2433</v>
      </c>
      <c r="B2437" s="5">
        <v>102</v>
      </c>
      <c r="C2437" s="5">
        <v>4</v>
      </c>
      <c r="D2437" s="379">
        <v>67.047222222222217</v>
      </c>
      <c r="E2437" s="25">
        <v>25.74</v>
      </c>
      <c r="F2437" s="379">
        <v>4.9569797863201099</v>
      </c>
      <c r="G2437" s="25">
        <v>47.46</v>
      </c>
      <c r="H2437" s="379">
        <v>2.5591660835446142</v>
      </c>
      <c r="I2437" s="25">
        <v>64.55</v>
      </c>
      <c r="J2437" s="379">
        <v>1.3728152577098136</v>
      </c>
    </row>
    <row r="2438" spans="1:10" x14ac:dyDescent="0.35">
      <c r="A2438" s="5">
        <v>2434</v>
      </c>
      <c r="B2438" s="5">
        <v>102</v>
      </c>
      <c r="C2438" s="5">
        <v>4</v>
      </c>
      <c r="D2438" s="379">
        <v>61.321666666666658</v>
      </c>
      <c r="E2438" s="25">
        <v>25.74</v>
      </c>
      <c r="F2438" s="379">
        <v>3.2727733956087586</v>
      </c>
      <c r="G2438" s="25">
        <v>47.46</v>
      </c>
      <c r="H2438" s="379">
        <v>2.4011044524564795</v>
      </c>
      <c r="I2438" s="25">
        <v>59.21</v>
      </c>
      <c r="J2438" s="379">
        <v>2.777777777777778E-2</v>
      </c>
    </row>
    <row r="2439" spans="1:10" x14ac:dyDescent="0.35">
      <c r="A2439" s="5">
        <v>2435</v>
      </c>
      <c r="B2439" s="5">
        <v>102</v>
      </c>
      <c r="C2439" s="5">
        <v>4</v>
      </c>
      <c r="D2439" s="379">
        <v>58.398333333333333</v>
      </c>
      <c r="E2439" s="25">
        <v>24.99</v>
      </c>
      <c r="F2439" s="379">
        <v>3.2727733956087586</v>
      </c>
      <c r="G2439" s="25">
        <v>44.74</v>
      </c>
      <c r="H2439" s="379">
        <v>2.0996726931440155</v>
      </c>
      <c r="I2439" s="25">
        <v>51.39</v>
      </c>
      <c r="J2439" s="379">
        <v>2.777777777777778E-2</v>
      </c>
    </row>
    <row r="2440" spans="1:10" x14ac:dyDescent="0.35">
      <c r="A2440" s="5">
        <v>2436</v>
      </c>
      <c r="B2440" s="5">
        <v>102</v>
      </c>
      <c r="C2440" s="5">
        <v>4</v>
      </c>
      <c r="D2440" s="379">
        <v>53.453888888888898</v>
      </c>
      <c r="E2440" s="25">
        <v>24.99</v>
      </c>
      <c r="F2440" s="379">
        <v>3.2727733956087586</v>
      </c>
      <c r="G2440" s="25">
        <v>43.56</v>
      </c>
      <c r="H2440" s="379">
        <v>1.8791692598917713</v>
      </c>
      <c r="I2440" s="25">
        <v>49.53</v>
      </c>
      <c r="J2440" s="379">
        <v>2.777777777777778E-2</v>
      </c>
    </row>
    <row r="2441" spans="1:10" x14ac:dyDescent="0.35">
      <c r="A2441" s="5">
        <v>2437</v>
      </c>
      <c r="B2441" s="5">
        <v>102</v>
      </c>
      <c r="C2441" s="5">
        <v>4</v>
      </c>
      <c r="D2441" s="379">
        <v>54.107222222222219</v>
      </c>
      <c r="E2441" s="25">
        <v>24.84</v>
      </c>
      <c r="F2441" s="379">
        <v>3.2727733956087586</v>
      </c>
      <c r="G2441" s="25">
        <v>43.08</v>
      </c>
      <c r="H2441" s="379">
        <v>1.7012212906449</v>
      </c>
      <c r="I2441" s="25">
        <v>48.86</v>
      </c>
      <c r="J2441" s="379">
        <v>2.777777777777778E-2</v>
      </c>
    </row>
    <row r="2442" spans="1:10" x14ac:dyDescent="0.35">
      <c r="A2442" s="5">
        <v>2438</v>
      </c>
      <c r="B2442" s="5">
        <v>102</v>
      </c>
      <c r="C2442" s="5">
        <v>4</v>
      </c>
      <c r="D2442" s="379">
        <v>53.18888888888889</v>
      </c>
      <c r="E2442" s="25">
        <v>24.84</v>
      </c>
      <c r="F2442" s="379">
        <v>3.1512364416311915</v>
      </c>
      <c r="G2442" s="25">
        <v>42.65</v>
      </c>
      <c r="H2442" s="379">
        <v>1.6976048709490397</v>
      </c>
      <c r="I2442" s="25">
        <v>48.86</v>
      </c>
      <c r="J2442" s="379">
        <v>2.777777777777778E-2</v>
      </c>
    </row>
    <row r="2443" spans="1:10" x14ac:dyDescent="0.35">
      <c r="A2443" s="5">
        <v>2439</v>
      </c>
      <c r="B2443" s="5">
        <v>102</v>
      </c>
      <c r="C2443" s="5">
        <v>4</v>
      </c>
      <c r="D2443" s="379">
        <v>54.50222222222223</v>
      </c>
      <c r="E2443" s="25">
        <v>24.84</v>
      </c>
      <c r="F2443" s="379">
        <v>3.2727733956087586</v>
      </c>
      <c r="G2443" s="25">
        <v>42.19</v>
      </c>
      <c r="H2443" s="379">
        <v>1.6976048709490397</v>
      </c>
      <c r="I2443" s="25">
        <v>48.86</v>
      </c>
      <c r="J2443" s="379">
        <v>2.777777777777778E-2</v>
      </c>
    </row>
    <row r="2444" spans="1:10" x14ac:dyDescent="0.35">
      <c r="A2444" s="5">
        <v>2440</v>
      </c>
      <c r="B2444" s="5">
        <v>102</v>
      </c>
      <c r="C2444" s="5">
        <v>4</v>
      </c>
      <c r="D2444" s="379">
        <v>57.568333333333321</v>
      </c>
      <c r="E2444" s="25">
        <v>24.84</v>
      </c>
      <c r="F2444" s="379">
        <v>3.2727733956087586</v>
      </c>
      <c r="G2444" s="25">
        <v>42.62</v>
      </c>
      <c r="H2444" s="379">
        <v>2.3638660677750654</v>
      </c>
      <c r="I2444" s="25">
        <v>48.86</v>
      </c>
      <c r="J2444" s="379">
        <v>2.777777777777778E-2</v>
      </c>
    </row>
    <row r="2445" spans="1:10" x14ac:dyDescent="0.35">
      <c r="A2445" s="5">
        <v>2441</v>
      </c>
      <c r="B2445" s="5">
        <v>102</v>
      </c>
      <c r="C2445" s="5">
        <v>4</v>
      </c>
      <c r="D2445" s="379">
        <v>63.684999999999995</v>
      </c>
      <c r="E2445" s="25">
        <v>24.84</v>
      </c>
      <c r="F2445" s="379">
        <v>3.2727733956087586</v>
      </c>
      <c r="G2445" s="25">
        <v>43.39</v>
      </c>
      <c r="H2445" s="379">
        <v>2.4011044524564795</v>
      </c>
      <c r="I2445" s="25">
        <v>49.53</v>
      </c>
      <c r="J2445" s="379">
        <v>2.777777777777778E-2</v>
      </c>
    </row>
    <row r="2446" spans="1:10" x14ac:dyDescent="0.35">
      <c r="A2446" s="5">
        <v>2442</v>
      </c>
      <c r="B2446" s="5">
        <v>102</v>
      </c>
      <c r="C2446" s="5">
        <v>4</v>
      </c>
      <c r="D2446" s="379">
        <v>69.132777777777775</v>
      </c>
      <c r="E2446" s="25">
        <v>24.99</v>
      </c>
      <c r="F2446" s="379">
        <v>2.2271515293946691</v>
      </c>
      <c r="G2446" s="25">
        <v>44.74</v>
      </c>
      <c r="H2446" s="379">
        <v>2.4644097064148842</v>
      </c>
      <c r="I2446" s="25">
        <v>50.03</v>
      </c>
      <c r="J2446" s="379">
        <v>2.777777777777778E-2</v>
      </c>
    </row>
    <row r="2447" spans="1:10" x14ac:dyDescent="0.35">
      <c r="A2447" s="5">
        <v>2443</v>
      </c>
      <c r="B2447" s="5">
        <v>102</v>
      </c>
      <c r="C2447" s="5">
        <v>4</v>
      </c>
      <c r="D2447" s="379">
        <v>69.667222222222222</v>
      </c>
      <c r="E2447" s="25">
        <v>25.74</v>
      </c>
      <c r="F2447" s="379">
        <v>7.5796421465895705</v>
      </c>
      <c r="G2447" s="25">
        <v>46.03</v>
      </c>
      <c r="H2447" s="379">
        <v>0.12311350165997968</v>
      </c>
      <c r="I2447" s="25">
        <v>53.71</v>
      </c>
      <c r="J2447" s="379">
        <v>2.777777777777778E-2</v>
      </c>
    </row>
    <row r="2448" spans="1:10" x14ac:dyDescent="0.35">
      <c r="A2448" s="5">
        <v>2444</v>
      </c>
      <c r="B2448" s="5">
        <v>102</v>
      </c>
      <c r="C2448" s="5">
        <v>4</v>
      </c>
      <c r="D2448" s="379">
        <v>69.347222222222229</v>
      </c>
      <c r="E2448" s="25">
        <v>25.74</v>
      </c>
      <c r="F2448" s="379">
        <v>8.1174834595959595</v>
      </c>
      <c r="G2448" s="25">
        <v>46.03</v>
      </c>
      <c r="H2448" s="379">
        <v>0.14480167642852412</v>
      </c>
      <c r="I2448" s="25">
        <v>53.71</v>
      </c>
      <c r="J2448" s="379">
        <v>1.5523964734078513</v>
      </c>
    </row>
    <row r="2449" spans="1:10" x14ac:dyDescent="0.35">
      <c r="A2449" s="5">
        <v>2445</v>
      </c>
      <c r="B2449" s="5">
        <v>102</v>
      </c>
      <c r="C2449" s="5">
        <v>4</v>
      </c>
      <c r="D2449" s="379">
        <v>65.792222222222222</v>
      </c>
      <c r="E2449" s="25">
        <v>24.99</v>
      </c>
      <c r="F2449" s="379">
        <v>8.1174834595959595</v>
      </c>
      <c r="G2449" s="25">
        <v>44.74</v>
      </c>
      <c r="H2449" s="379">
        <v>0.14480167642852412</v>
      </c>
      <c r="I2449" s="25">
        <v>58.27</v>
      </c>
      <c r="J2449" s="379">
        <v>0.14480167642852412</v>
      </c>
    </row>
    <row r="2450" spans="1:10" x14ac:dyDescent="0.35">
      <c r="A2450" s="5">
        <v>2446</v>
      </c>
      <c r="B2450" s="5">
        <v>102</v>
      </c>
      <c r="C2450" s="5">
        <v>4</v>
      </c>
      <c r="D2450" s="379">
        <v>60.719444444444441</v>
      </c>
      <c r="E2450" s="25">
        <v>24.99</v>
      </c>
      <c r="F2450" s="379">
        <v>8.1174834595959613</v>
      </c>
      <c r="G2450" s="25">
        <v>46.03</v>
      </c>
      <c r="H2450" s="379">
        <v>0.14480167642852412</v>
      </c>
      <c r="I2450" s="25">
        <v>58.27</v>
      </c>
      <c r="J2450" s="379">
        <v>0.14480167642852412</v>
      </c>
    </row>
    <row r="2451" spans="1:10" x14ac:dyDescent="0.35">
      <c r="A2451" s="5">
        <v>2447</v>
      </c>
      <c r="B2451" s="5">
        <v>102</v>
      </c>
      <c r="C2451" s="5">
        <v>4</v>
      </c>
      <c r="D2451" s="379">
        <v>60.182777777777773</v>
      </c>
      <c r="E2451" s="25">
        <v>24.84</v>
      </c>
      <c r="F2451" s="379">
        <v>5.188026112952608</v>
      </c>
      <c r="G2451" s="25">
        <v>44.37</v>
      </c>
      <c r="H2451" s="379">
        <v>2.6671437340046475</v>
      </c>
      <c r="I2451" s="25">
        <v>53.71</v>
      </c>
      <c r="J2451" s="379">
        <v>1.49151375379449</v>
      </c>
    </row>
    <row r="2452" spans="1:10" x14ac:dyDescent="0.35">
      <c r="A2452" s="5">
        <v>2448</v>
      </c>
      <c r="B2452" s="5">
        <v>102</v>
      </c>
      <c r="C2452" s="5">
        <v>4</v>
      </c>
      <c r="D2452" s="379">
        <v>57.827222222222225</v>
      </c>
      <c r="E2452" s="25">
        <v>24.84</v>
      </c>
      <c r="F2452" s="379">
        <v>3.3183802286134179</v>
      </c>
      <c r="G2452" s="25">
        <v>40.549999999999997</v>
      </c>
      <c r="H2452" s="379">
        <v>2.6671437340046475</v>
      </c>
      <c r="I2452" s="25">
        <v>49.53</v>
      </c>
      <c r="J2452" s="379">
        <v>1.4341620463755433</v>
      </c>
    </row>
    <row r="2453" spans="1:10" x14ac:dyDescent="0.35">
      <c r="A2453" s="5">
        <v>2449</v>
      </c>
      <c r="B2453" s="5">
        <v>103</v>
      </c>
      <c r="C2453" s="5">
        <v>4</v>
      </c>
      <c r="D2453" s="379">
        <v>54.536666666666669</v>
      </c>
      <c r="E2453" s="25">
        <v>24.73</v>
      </c>
      <c r="F2453" s="379">
        <v>1.3290545528785074</v>
      </c>
      <c r="G2453" s="25">
        <v>38.03</v>
      </c>
      <c r="H2453" s="379">
        <v>2.8815168187075781</v>
      </c>
      <c r="I2453" s="25">
        <v>48.86</v>
      </c>
      <c r="J2453" s="379">
        <v>0.1448016764285241</v>
      </c>
    </row>
    <row r="2454" spans="1:10" x14ac:dyDescent="0.35">
      <c r="A2454" s="5">
        <v>2450</v>
      </c>
      <c r="B2454" s="5">
        <v>103</v>
      </c>
      <c r="C2454" s="5">
        <v>4</v>
      </c>
      <c r="D2454" s="379">
        <v>54.741111111111124</v>
      </c>
      <c r="E2454" s="25">
        <v>24.12</v>
      </c>
      <c r="F2454" s="379">
        <v>3.3550254496847649</v>
      </c>
      <c r="G2454" s="25">
        <v>38.03</v>
      </c>
      <c r="H2454" s="379">
        <v>3.9854003242905027</v>
      </c>
      <c r="I2454" s="25">
        <v>48.86</v>
      </c>
      <c r="J2454" s="379">
        <v>0.14480167642852412</v>
      </c>
    </row>
    <row r="2455" spans="1:10" x14ac:dyDescent="0.35">
      <c r="A2455" s="5">
        <v>2451</v>
      </c>
      <c r="B2455" s="5">
        <v>103</v>
      </c>
      <c r="C2455" s="5">
        <v>4</v>
      </c>
      <c r="D2455" s="379">
        <v>54.809444444444438</v>
      </c>
      <c r="E2455" s="25">
        <v>24.84</v>
      </c>
      <c r="F2455" s="379">
        <v>3.219680412726476</v>
      </c>
      <c r="G2455" s="25">
        <v>38.03</v>
      </c>
      <c r="H2455" s="379">
        <v>4.6528169298648905</v>
      </c>
      <c r="I2455" s="25">
        <v>49.53</v>
      </c>
      <c r="J2455" s="379">
        <v>0.20981448852454623</v>
      </c>
    </row>
    <row r="2456" spans="1:10" x14ac:dyDescent="0.35">
      <c r="A2456" s="5">
        <v>2452</v>
      </c>
      <c r="B2456" s="5">
        <v>103</v>
      </c>
      <c r="C2456" s="5">
        <v>4</v>
      </c>
      <c r="D2456" s="379">
        <v>55.426666666666662</v>
      </c>
      <c r="E2456" s="25">
        <v>24.84</v>
      </c>
      <c r="F2456" s="379">
        <v>2.6595598655049164</v>
      </c>
      <c r="G2456" s="25">
        <v>40.299999999999997</v>
      </c>
      <c r="H2456" s="379">
        <v>4.6528169298648905</v>
      </c>
      <c r="I2456" s="25">
        <v>50.33</v>
      </c>
      <c r="J2456" s="379">
        <v>0.14480167642852412</v>
      </c>
    </row>
    <row r="2457" spans="1:10" x14ac:dyDescent="0.35">
      <c r="A2457" s="5">
        <v>2453</v>
      </c>
      <c r="B2457" s="5">
        <v>103</v>
      </c>
      <c r="C2457" s="5">
        <v>4</v>
      </c>
      <c r="D2457" s="379">
        <v>56.641111111111108</v>
      </c>
      <c r="E2457" s="25">
        <v>24.84</v>
      </c>
      <c r="F2457" s="379">
        <v>5.452894805783731</v>
      </c>
      <c r="G2457" s="25">
        <v>43.49</v>
      </c>
      <c r="H2457" s="379">
        <v>0.14480167642852412</v>
      </c>
      <c r="I2457" s="25">
        <v>52.55</v>
      </c>
      <c r="J2457" s="379">
        <v>0.14480167642852412</v>
      </c>
    </row>
    <row r="2458" spans="1:10" x14ac:dyDescent="0.35">
      <c r="A2458" s="5">
        <v>2454</v>
      </c>
      <c r="B2458" s="5">
        <v>103</v>
      </c>
      <c r="C2458" s="5">
        <v>4</v>
      </c>
      <c r="D2458" s="379">
        <v>61.951111111111118</v>
      </c>
      <c r="E2458" s="25">
        <v>25.29</v>
      </c>
      <c r="F2458" s="379">
        <v>6.6692040836679496</v>
      </c>
      <c r="G2458" s="25">
        <v>47.85</v>
      </c>
      <c r="H2458" s="379">
        <v>0.14480167642852412</v>
      </c>
      <c r="I2458" s="25">
        <v>61.82</v>
      </c>
      <c r="J2458" s="379">
        <v>4.0792717113039378</v>
      </c>
    </row>
    <row r="2459" spans="1:10" x14ac:dyDescent="0.35">
      <c r="A2459" s="5">
        <v>2455</v>
      </c>
      <c r="B2459" s="5">
        <v>103</v>
      </c>
      <c r="C2459" s="5">
        <v>4</v>
      </c>
      <c r="D2459" s="379">
        <v>64.632222222222225</v>
      </c>
      <c r="E2459" s="25">
        <v>27.96</v>
      </c>
      <c r="F2459" s="379">
        <v>8.1174834595959595</v>
      </c>
      <c r="G2459" s="25">
        <v>47.85</v>
      </c>
      <c r="H2459" s="379">
        <v>0.14480167642852412</v>
      </c>
      <c r="I2459" s="25">
        <v>72.19</v>
      </c>
      <c r="J2459" s="379">
        <v>4.0162798370177102</v>
      </c>
    </row>
    <row r="2460" spans="1:10" x14ac:dyDescent="0.35">
      <c r="A2460" s="5">
        <v>2456</v>
      </c>
      <c r="B2460" s="5">
        <v>103</v>
      </c>
      <c r="C2460" s="5">
        <v>4</v>
      </c>
      <c r="D2460" s="379">
        <v>65.042222222222222</v>
      </c>
      <c r="E2460" s="25">
        <v>27.96</v>
      </c>
      <c r="F2460" s="379">
        <v>8.1174834595959595</v>
      </c>
      <c r="G2460" s="25">
        <v>49.2</v>
      </c>
      <c r="H2460" s="379">
        <v>0.14480167642852412</v>
      </c>
      <c r="I2460" s="25">
        <v>72.19</v>
      </c>
      <c r="J2460" s="379">
        <v>0.14480167642852412</v>
      </c>
    </row>
    <row r="2461" spans="1:10" x14ac:dyDescent="0.35">
      <c r="A2461" s="5">
        <v>2457</v>
      </c>
      <c r="B2461" s="5">
        <v>103</v>
      </c>
      <c r="C2461" s="5">
        <v>4</v>
      </c>
      <c r="D2461" s="379">
        <v>62.388333333333335</v>
      </c>
      <c r="E2461" s="25">
        <v>27.96</v>
      </c>
      <c r="F2461" s="379">
        <v>0.47222222222222221</v>
      </c>
      <c r="G2461" s="25">
        <v>47.85</v>
      </c>
      <c r="H2461" s="379">
        <v>0.23091883505171745</v>
      </c>
      <c r="I2461" s="25">
        <v>66.06</v>
      </c>
      <c r="J2461" s="379">
        <v>2.777777777777778E-2</v>
      </c>
    </row>
    <row r="2462" spans="1:10" x14ac:dyDescent="0.35">
      <c r="A2462" s="5">
        <v>2458</v>
      </c>
      <c r="B2462" s="5">
        <v>103</v>
      </c>
      <c r="C2462" s="5">
        <v>4</v>
      </c>
      <c r="D2462" s="379">
        <v>61.742222222222225</v>
      </c>
      <c r="E2462" s="25">
        <v>25.74</v>
      </c>
      <c r="F2462" s="379">
        <v>5.2083306482968252</v>
      </c>
      <c r="G2462" s="25">
        <v>47.85</v>
      </c>
      <c r="H2462" s="379">
        <v>5.0123787603728036E-2</v>
      </c>
      <c r="I2462" s="25">
        <v>56.15</v>
      </c>
      <c r="J2462" s="379">
        <v>9.7096779600554711E-2</v>
      </c>
    </row>
    <row r="2463" spans="1:10" x14ac:dyDescent="0.35">
      <c r="A2463" s="5">
        <v>2459</v>
      </c>
      <c r="B2463" s="5">
        <v>103</v>
      </c>
      <c r="C2463" s="5">
        <v>4</v>
      </c>
      <c r="D2463" s="379">
        <v>60.142222222222223</v>
      </c>
      <c r="E2463" s="25">
        <v>25.74</v>
      </c>
      <c r="F2463" s="379">
        <v>3.4541065412481626</v>
      </c>
      <c r="G2463" s="25">
        <v>44.74</v>
      </c>
      <c r="H2463" s="379">
        <v>1.8457190916956596</v>
      </c>
      <c r="I2463" s="25">
        <v>51.53</v>
      </c>
      <c r="J2463" s="379">
        <v>8.7691441354608601E-2</v>
      </c>
    </row>
    <row r="2464" spans="1:10" x14ac:dyDescent="0.35">
      <c r="A2464" s="5">
        <v>2460</v>
      </c>
      <c r="B2464" s="5">
        <v>103</v>
      </c>
      <c r="C2464" s="5">
        <v>4</v>
      </c>
      <c r="D2464" s="379">
        <v>56.823333333333331</v>
      </c>
      <c r="E2464" s="25">
        <v>24.99</v>
      </c>
      <c r="F2464" s="379">
        <v>3.1152919185497527</v>
      </c>
      <c r="G2464" s="25">
        <v>44.74</v>
      </c>
      <c r="H2464" s="379">
        <v>1.2655816667086657</v>
      </c>
      <c r="I2464" s="25">
        <v>50.84</v>
      </c>
      <c r="J2464" s="379">
        <v>0.28033676665114787</v>
      </c>
    </row>
    <row r="2465" spans="1:10" x14ac:dyDescent="0.35">
      <c r="A2465" s="5">
        <v>2461</v>
      </c>
      <c r="B2465" s="5">
        <v>103</v>
      </c>
      <c r="C2465" s="5">
        <v>4</v>
      </c>
      <c r="D2465" s="379">
        <v>55.950555555555553</v>
      </c>
      <c r="E2465" s="25">
        <v>24.84</v>
      </c>
      <c r="F2465" s="379">
        <v>3.1152919185497527</v>
      </c>
      <c r="G2465" s="25">
        <v>44.37</v>
      </c>
      <c r="H2465" s="379">
        <v>1.2655816667086657</v>
      </c>
      <c r="I2465" s="25">
        <v>50.51</v>
      </c>
      <c r="J2465" s="379">
        <v>0.27429346553011402</v>
      </c>
    </row>
    <row r="2466" spans="1:10" x14ac:dyDescent="0.35">
      <c r="A2466" s="5">
        <v>2462</v>
      </c>
      <c r="B2466" s="5">
        <v>103</v>
      </c>
      <c r="C2466" s="5">
        <v>4</v>
      </c>
      <c r="D2466" s="379">
        <v>56.229444444444439</v>
      </c>
      <c r="E2466" s="25">
        <v>24.84</v>
      </c>
      <c r="F2466" s="379">
        <v>2.3843848245165407</v>
      </c>
      <c r="G2466" s="25">
        <v>43.93</v>
      </c>
      <c r="H2466" s="379">
        <v>1.2655816667086657</v>
      </c>
      <c r="I2466" s="25">
        <v>50.33</v>
      </c>
      <c r="J2466" s="379">
        <v>0.23903649804610994</v>
      </c>
    </row>
    <row r="2467" spans="1:10" x14ac:dyDescent="0.35">
      <c r="A2467" s="5">
        <v>2463</v>
      </c>
      <c r="B2467" s="5">
        <v>103</v>
      </c>
      <c r="C2467" s="5">
        <v>4</v>
      </c>
      <c r="D2467" s="379">
        <v>56.11666666666666</v>
      </c>
      <c r="E2467" s="25">
        <v>24.84</v>
      </c>
      <c r="F2467" s="379">
        <v>2.3843848245165407</v>
      </c>
      <c r="G2467" s="25">
        <v>43.93</v>
      </c>
      <c r="H2467" s="379">
        <v>1.2655816667086657</v>
      </c>
      <c r="I2467" s="25">
        <v>50.33</v>
      </c>
      <c r="J2467" s="379">
        <v>0.25963883508216096</v>
      </c>
    </row>
    <row r="2468" spans="1:10" x14ac:dyDescent="0.35">
      <c r="A2468" s="5">
        <v>2464</v>
      </c>
      <c r="B2468" s="5">
        <v>103</v>
      </c>
      <c r="C2468" s="5">
        <v>4</v>
      </c>
      <c r="D2468" s="379">
        <v>58.246666666666655</v>
      </c>
      <c r="E2468" s="25">
        <v>24.84</v>
      </c>
      <c r="F2468" s="379">
        <v>2.3843848245165407</v>
      </c>
      <c r="G2468" s="25">
        <v>44.37</v>
      </c>
      <c r="H2468" s="379">
        <v>1.2655816667086657</v>
      </c>
      <c r="I2468" s="25">
        <v>50.33</v>
      </c>
      <c r="J2468" s="379">
        <v>0.28601407518689637</v>
      </c>
    </row>
    <row r="2469" spans="1:10" x14ac:dyDescent="0.35">
      <c r="A2469" s="5">
        <v>2465</v>
      </c>
      <c r="B2469" s="5">
        <v>103</v>
      </c>
      <c r="C2469" s="5">
        <v>4</v>
      </c>
      <c r="D2469" s="379">
        <v>64.836111111111123</v>
      </c>
      <c r="E2469" s="25">
        <v>24.99</v>
      </c>
      <c r="F2469" s="379">
        <v>3.2541263251465984</v>
      </c>
      <c r="G2469" s="25">
        <v>44.84</v>
      </c>
      <c r="H2469" s="379">
        <v>2.0148490499626037</v>
      </c>
      <c r="I2469" s="25">
        <v>53.27</v>
      </c>
      <c r="J2469" s="379">
        <v>0.27049621252937334</v>
      </c>
    </row>
    <row r="2470" spans="1:10" x14ac:dyDescent="0.35">
      <c r="A2470" s="5">
        <v>2466</v>
      </c>
      <c r="B2470" s="5">
        <v>103</v>
      </c>
      <c r="C2470" s="5">
        <v>4</v>
      </c>
      <c r="D2470" s="379">
        <v>69.423888888888897</v>
      </c>
      <c r="E2470" s="25">
        <v>26.05</v>
      </c>
      <c r="F2470" s="379">
        <v>6.3570099977649139</v>
      </c>
      <c r="G2470" s="25">
        <v>47.85</v>
      </c>
      <c r="H2470" s="379">
        <v>5.6524142388897678</v>
      </c>
      <c r="I2470" s="25">
        <v>56.41</v>
      </c>
      <c r="J2470" s="379">
        <v>3.4805212738968367</v>
      </c>
    </row>
    <row r="2471" spans="1:10" x14ac:dyDescent="0.35">
      <c r="A2471" s="5">
        <v>2467</v>
      </c>
      <c r="B2471" s="5">
        <v>103</v>
      </c>
      <c r="C2471" s="5">
        <v>4</v>
      </c>
      <c r="D2471" s="379">
        <v>73.060555555555567</v>
      </c>
      <c r="E2471" s="25">
        <v>27.3</v>
      </c>
      <c r="F2471" s="379">
        <v>15.755314697935589</v>
      </c>
      <c r="G2471" s="25">
        <v>49.2</v>
      </c>
      <c r="H2471" s="379">
        <v>5.4776234048866064</v>
      </c>
      <c r="I2471" s="25">
        <v>68.05</v>
      </c>
      <c r="J2471" s="379">
        <v>3.0671706985983889</v>
      </c>
    </row>
    <row r="2472" spans="1:10" x14ac:dyDescent="0.35">
      <c r="A2472" s="5">
        <v>2468</v>
      </c>
      <c r="B2472" s="5">
        <v>103</v>
      </c>
      <c r="C2472" s="5">
        <v>4</v>
      </c>
      <c r="D2472" s="379">
        <v>72.707222222222214</v>
      </c>
      <c r="E2472" s="25">
        <v>27.96</v>
      </c>
      <c r="F2472" s="379">
        <v>11.6303977550089</v>
      </c>
      <c r="G2472" s="25">
        <v>49.2</v>
      </c>
      <c r="H2472" s="379">
        <v>5.716168913581817</v>
      </c>
      <c r="I2472" s="25">
        <v>72.19</v>
      </c>
      <c r="J2472" s="379">
        <v>4.4921630283819818</v>
      </c>
    </row>
    <row r="2473" spans="1:10" x14ac:dyDescent="0.35">
      <c r="A2473" s="5">
        <v>2469</v>
      </c>
      <c r="B2473" s="5">
        <v>103</v>
      </c>
      <c r="C2473" s="5">
        <v>4</v>
      </c>
      <c r="D2473" s="379">
        <v>69.263888888888872</v>
      </c>
      <c r="E2473" s="25">
        <v>27.3</v>
      </c>
      <c r="F2473" s="379">
        <v>12.217340873307364</v>
      </c>
      <c r="G2473" s="25">
        <v>49.2</v>
      </c>
      <c r="H2473" s="379">
        <v>5.1201416423138539</v>
      </c>
      <c r="I2473" s="25">
        <v>72.19</v>
      </c>
      <c r="J2473" s="379">
        <v>4.500391197383979</v>
      </c>
    </row>
    <row r="2474" spans="1:10" x14ac:dyDescent="0.35">
      <c r="A2474" s="5">
        <v>2470</v>
      </c>
      <c r="B2474" s="5">
        <v>103</v>
      </c>
      <c r="C2474" s="5">
        <v>4</v>
      </c>
      <c r="D2474" s="379">
        <v>66.051111111111098</v>
      </c>
      <c r="E2474" s="25">
        <v>25.74</v>
      </c>
      <c r="F2474" s="379">
        <v>13.648182152270227</v>
      </c>
      <c r="G2474" s="25">
        <v>49.2</v>
      </c>
      <c r="H2474" s="379">
        <v>5.9488387314357905</v>
      </c>
      <c r="I2474" s="25">
        <v>72.19</v>
      </c>
      <c r="J2474" s="379">
        <v>4.3501909194850468</v>
      </c>
    </row>
    <row r="2475" spans="1:10" x14ac:dyDescent="0.35">
      <c r="A2475" s="5">
        <v>2471</v>
      </c>
      <c r="B2475" s="5">
        <v>103</v>
      </c>
      <c r="C2475" s="5">
        <v>4</v>
      </c>
      <c r="D2475" s="379">
        <v>63.503888888888895</v>
      </c>
      <c r="E2475" s="25">
        <v>25.59</v>
      </c>
      <c r="F2475" s="379">
        <v>8.4917510601382347</v>
      </c>
      <c r="G2475" s="25">
        <v>49.2</v>
      </c>
      <c r="H2475" s="379">
        <v>5.5598661711660249</v>
      </c>
      <c r="I2475" s="25">
        <v>68.05</v>
      </c>
      <c r="J2475" s="379">
        <v>4.1554068168277665</v>
      </c>
    </row>
    <row r="2476" spans="1:10" x14ac:dyDescent="0.35">
      <c r="A2476" s="5">
        <v>2472</v>
      </c>
      <c r="B2476" s="5">
        <v>103</v>
      </c>
      <c r="C2476" s="5">
        <v>4</v>
      </c>
      <c r="D2476" s="379">
        <v>62.561111111111103</v>
      </c>
      <c r="E2476" s="25">
        <v>24.99</v>
      </c>
      <c r="F2476" s="379">
        <v>6.6326642510678591</v>
      </c>
      <c r="G2476" s="25">
        <v>47.85</v>
      </c>
      <c r="H2476" s="379">
        <v>5.3229343112632188</v>
      </c>
      <c r="I2476" s="25">
        <v>66.06</v>
      </c>
      <c r="J2476" s="379">
        <v>3.6438294546839511</v>
      </c>
    </row>
    <row r="2477" spans="1:10" x14ac:dyDescent="0.35">
      <c r="A2477" s="5">
        <v>2473</v>
      </c>
      <c r="B2477" s="5">
        <v>104</v>
      </c>
      <c r="C2477" s="5">
        <v>4</v>
      </c>
      <c r="D2477" s="379">
        <v>59.433888888888887</v>
      </c>
      <c r="E2477" s="25">
        <v>24.84</v>
      </c>
      <c r="F2477" s="379">
        <v>5.90294509667629</v>
      </c>
      <c r="G2477" s="25">
        <v>43.56</v>
      </c>
      <c r="H2477" s="379">
        <v>4.7705743431435002</v>
      </c>
      <c r="I2477" s="25">
        <v>64.14</v>
      </c>
      <c r="J2477" s="379">
        <v>5.235534070875226</v>
      </c>
    </row>
    <row r="2478" spans="1:10" x14ac:dyDescent="0.35">
      <c r="A2478" s="5">
        <v>2474</v>
      </c>
      <c r="B2478" s="5">
        <v>104</v>
      </c>
      <c r="C2478" s="5">
        <v>4</v>
      </c>
      <c r="D2478" s="379">
        <v>58.300555555555547</v>
      </c>
      <c r="E2478" s="25">
        <v>24.84</v>
      </c>
      <c r="F2478" s="379">
        <v>5.1281624534254986</v>
      </c>
      <c r="G2478" s="25">
        <v>42.65</v>
      </c>
      <c r="H2478" s="379">
        <v>4.1598898872863979</v>
      </c>
      <c r="I2478" s="25">
        <v>56.15</v>
      </c>
      <c r="J2478" s="379">
        <v>4.961495088807383</v>
      </c>
    </row>
    <row r="2479" spans="1:10" x14ac:dyDescent="0.35">
      <c r="A2479" s="5">
        <v>2475</v>
      </c>
      <c r="B2479" s="5">
        <v>104</v>
      </c>
      <c r="C2479" s="5">
        <v>4</v>
      </c>
      <c r="D2479" s="379">
        <v>57.892222222222216</v>
      </c>
      <c r="E2479" s="25">
        <v>24.84</v>
      </c>
      <c r="F2479" s="379">
        <v>4.6010200481993033</v>
      </c>
      <c r="G2479" s="25">
        <v>42.65</v>
      </c>
      <c r="H2479" s="379">
        <v>3.1594556105544194</v>
      </c>
      <c r="I2479" s="25">
        <v>53.81</v>
      </c>
      <c r="J2479" s="379">
        <v>4.1543773011150655</v>
      </c>
    </row>
    <row r="2480" spans="1:10" x14ac:dyDescent="0.35">
      <c r="A2480" s="5">
        <v>2476</v>
      </c>
      <c r="B2480" s="5">
        <v>104</v>
      </c>
      <c r="C2480" s="5">
        <v>4</v>
      </c>
      <c r="D2480" s="379">
        <v>58.504999999999995</v>
      </c>
      <c r="E2480" s="25">
        <v>24.84</v>
      </c>
      <c r="F2480" s="379">
        <v>4.5177125240766873</v>
      </c>
      <c r="G2480" s="25">
        <v>42.65</v>
      </c>
      <c r="H2480" s="379">
        <v>3.477845730123716</v>
      </c>
      <c r="I2480" s="25">
        <v>53.81</v>
      </c>
      <c r="J2480" s="379">
        <v>4.2241709019242526</v>
      </c>
    </row>
    <row r="2481" spans="1:10" x14ac:dyDescent="0.35">
      <c r="A2481" s="5">
        <v>2477</v>
      </c>
      <c r="B2481" s="5">
        <v>104</v>
      </c>
      <c r="C2481" s="5">
        <v>4</v>
      </c>
      <c r="D2481" s="379">
        <v>59.01166666666667</v>
      </c>
      <c r="E2481" s="25">
        <v>24.84</v>
      </c>
      <c r="F2481" s="379">
        <v>4.6843505695329286</v>
      </c>
      <c r="G2481" s="25">
        <v>44.46</v>
      </c>
      <c r="H2481" s="379">
        <v>3.8123596793359087</v>
      </c>
      <c r="I2481" s="25">
        <v>62.67</v>
      </c>
      <c r="J2481" s="379">
        <v>2.6891963006595643</v>
      </c>
    </row>
    <row r="2482" spans="1:10" x14ac:dyDescent="0.35">
      <c r="A2482" s="5">
        <v>2478</v>
      </c>
      <c r="B2482" s="5">
        <v>104</v>
      </c>
      <c r="C2482" s="5">
        <v>4</v>
      </c>
      <c r="D2482" s="379">
        <v>65.752222222222215</v>
      </c>
      <c r="E2482" s="25">
        <v>25.59</v>
      </c>
      <c r="F2482" s="379">
        <v>4.5177125240766873</v>
      </c>
      <c r="G2482" s="25">
        <v>47.85</v>
      </c>
      <c r="H2482" s="379">
        <v>2.4590493123782653</v>
      </c>
      <c r="I2482" s="25">
        <v>68.05</v>
      </c>
      <c r="J2482" s="379">
        <v>2.0639638362439361</v>
      </c>
    </row>
    <row r="2483" spans="1:10" x14ac:dyDescent="0.35">
      <c r="A2483" s="5">
        <v>2479</v>
      </c>
      <c r="B2483" s="5">
        <v>104</v>
      </c>
      <c r="C2483" s="5">
        <v>4</v>
      </c>
      <c r="D2483" s="379">
        <v>69.117777777777775</v>
      </c>
      <c r="E2483" s="25">
        <v>26.51</v>
      </c>
      <c r="F2483" s="379">
        <v>2.6078793014991546</v>
      </c>
      <c r="G2483" s="25">
        <v>49.2</v>
      </c>
      <c r="H2483" s="379">
        <v>1.5491935788745903</v>
      </c>
      <c r="I2483" s="25">
        <v>70.09</v>
      </c>
      <c r="J2483" s="379">
        <v>3.7886291288548692</v>
      </c>
    </row>
    <row r="2484" spans="1:10" x14ac:dyDescent="0.35">
      <c r="A2484" s="5">
        <v>2480</v>
      </c>
      <c r="B2484" s="5">
        <v>104</v>
      </c>
      <c r="C2484" s="5">
        <v>4</v>
      </c>
      <c r="D2484" s="379">
        <v>70.112222222222215</v>
      </c>
      <c r="E2484" s="25">
        <v>26.51</v>
      </c>
      <c r="F2484" s="379">
        <v>6.6236307131217087</v>
      </c>
      <c r="G2484" s="25">
        <v>49.2</v>
      </c>
      <c r="H2484" s="379">
        <v>2.4930855452494614</v>
      </c>
      <c r="I2484" s="25">
        <v>70.09</v>
      </c>
      <c r="J2484" s="379">
        <v>1.5275861676979741</v>
      </c>
    </row>
    <row r="2485" spans="1:10" x14ac:dyDescent="0.35">
      <c r="A2485" s="5">
        <v>2481</v>
      </c>
      <c r="B2485" s="5">
        <v>104</v>
      </c>
      <c r="C2485" s="5">
        <v>4</v>
      </c>
      <c r="D2485" s="379">
        <v>64.50055555555555</v>
      </c>
      <c r="E2485" s="25">
        <v>25.74</v>
      </c>
      <c r="F2485" s="379">
        <v>3.2727733956087586</v>
      </c>
      <c r="G2485" s="25">
        <v>48.88</v>
      </c>
      <c r="H2485" s="379">
        <v>1.9166706892464163</v>
      </c>
      <c r="I2485" s="25">
        <v>66.06</v>
      </c>
      <c r="J2485" s="379">
        <v>2.777777777777778E-2</v>
      </c>
    </row>
    <row r="2486" spans="1:10" x14ac:dyDescent="0.35">
      <c r="A2486" s="5">
        <v>2482</v>
      </c>
      <c r="B2486" s="5">
        <v>104</v>
      </c>
      <c r="C2486" s="5">
        <v>4</v>
      </c>
      <c r="D2486" s="379">
        <v>58.805555555555564</v>
      </c>
      <c r="E2486" s="25">
        <v>24.99</v>
      </c>
      <c r="F2486" s="379">
        <v>3.2727733956087586</v>
      </c>
      <c r="G2486" s="25">
        <v>47.46</v>
      </c>
      <c r="H2486" s="379">
        <v>1.8457190916956596</v>
      </c>
      <c r="I2486" s="25">
        <v>60.46</v>
      </c>
      <c r="J2486" s="379">
        <v>2.777777777777778E-2</v>
      </c>
    </row>
    <row r="2487" spans="1:10" x14ac:dyDescent="0.35">
      <c r="A2487" s="5">
        <v>2483</v>
      </c>
      <c r="B2487" s="5">
        <v>104</v>
      </c>
      <c r="C2487" s="5">
        <v>4</v>
      </c>
      <c r="D2487" s="379">
        <v>57.483333333333334</v>
      </c>
      <c r="E2487" s="25">
        <v>24.99</v>
      </c>
      <c r="F2487" s="379">
        <v>3.2727733956087586</v>
      </c>
      <c r="G2487" s="25">
        <v>46.98</v>
      </c>
      <c r="H2487" s="379">
        <v>0.10737189369301019</v>
      </c>
      <c r="I2487" s="25">
        <v>51.72</v>
      </c>
      <c r="J2487" s="379">
        <v>2.777777777777778E-2</v>
      </c>
    </row>
    <row r="2488" spans="1:10" x14ac:dyDescent="0.35">
      <c r="A2488" s="5">
        <v>2484</v>
      </c>
      <c r="B2488" s="5">
        <v>104</v>
      </c>
      <c r="C2488" s="5">
        <v>4</v>
      </c>
      <c r="D2488" s="379">
        <v>55.803333333333327</v>
      </c>
      <c r="E2488" s="25">
        <v>24.99</v>
      </c>
      <c r="F2488" s="379">
        <v>3.2727733956087586</v>
      </c>
      <c r="G2488" s="25">
        <v>43.56</v>
      </c>
      <c r="H2488" s="379">
        <v>2.777777777777778E-2</v>
      </c>
      <c r="I2488" s="25">
        <v>51.72</v>
      </c>
      <c r="J2488" s="379">
        <v>2.777777777777778E-2</v>
      </c>
    </row>
    <row r="2489" spans="1:10" x14ac:dyDescent="0.35">
      <c r="A2489" s="5">
        <v>2485</v>
      </c>
      <c r="B2489" s="5">
        <v>104</v>
      </c>
      <c r="C2489" s="5">
        <v>4</v>
      </c>
      <c r="D2489" s="379">
        <v>52.342222222222219</v>
      </c>
      <c r="E2489" s="25">
        <v>24.84</v>
      </c>
      <c r="F2489" s="379">
        <v>3.2727733956087586</v>
      </c>
      <c r="G2489" s="25">
        <v>42.29</v>
      </c>
      <c r="H2489" s="379">
        <v>2.777777777777778E-2</v>
      </c>
      <c r="I2489" s="25">
        <v>51.39</v>
      </c>
      <c r="J2489" s="379">
        <v>2.777777777777778E-2</v>
      </c>
    </row>
    <row r="2490" spans="1:10" x14ac:dyDescent="0.35">
      <c r="A2490" s="5">
        <v>2486</v>
      </c>
      <c r="B2490" s="5">
        <v>104</v>
      </c>
      <c r="C2490" s="5">
        <v>4</v>
      </c>
      <c r="D2490" s="379">
        <v>51.948333333333338</v>
      </c>
      <c r="E2490" s="25">
        <v>24.84</v>
      </c>
      <c r="F2490" s="379">
        <v>3.2727733956087586</v>
      </c>
      <c r="G2490" s="25">
        <v>41.82</v>
      </c>
      <c r="H2490" s="379">
        <v>2.777777777777778E-2</v>
      </c>
      <c r="I2490" s="25">
        <v>48.86</v>
      </c>
      <c r="J2490" s="379">
        <v>2.777777777777778E-2</v>
      </c>
    </row>
    <row r="2491" spans="1:10" x14ac:dyDescent="0.35">
      <c r="A2491" s="5">
        <v>2487</v>
      </c>
      <c r="B2491" s="5">
        <v>104</v>
      </c>
      <c r="C2491" s="5">
        <v>4</v>
      </c>
      <c r="D2491" s="379">
        <v>51.687777777777775</v>
      </c>
      <c r="E2491" s="25">
        <v>24.84</v>
      </c>
      <c r="F2491" s="379">
        <v>3.2727733956087586</v>
      </c>
      <c r="G2491" s="25">
        <v>41.82</v>
      </c>
      <c r="H2491" s="379">
        <v>2.777777777777778E-2</v>
      </c>
      <c r="I2491" s="25">
        <v>47.31</v>
      </c>
      <c r="J2491" s="379">
        <v>2.777777777777778E-2</v>
      </c>
    </row>
    <row r="2492" spans="1:10" x14ac:dyDescent="0.35">
      <c r="A2492" s="5">
        <v>2488</v>
      </c>
      <c r="B2492" s="5">
        <v>104</v>
      </c>
      <c r="C2492" s="5">
        <v>4</v>
      </c>
      <c r="D2492" s="379">
        <v>53.99388888888889</v>
      </c>
      <c r="E2492" s="25">
        <v>24.84</v>
      </c>
      <c r="F2492" s="379">
        <v>3.2727733956087586</v>
      </c>
      <c r="G2492" s="25">
        <v>41.82</v>
      </c>
      <c r="H2492" s="379">
        <v>2.777777777777778E-2</v>
      </c>
      <c r="I2492" s="25">
        <v>47.31</v>
      </c>
      <c r="J2492" s="379">
        <v>2.777777777777778E-2</v>
      </c>
    </row>
    <row r="2493" spans="1:10" x14ac:dyDescent="0.35">
      <c r="A2493" s="5">
        <v>2489</v>
      </c>
      <c r="B2493" s="5">
        <v>104</v>
      </c>
      <c r="C2493" s="5">
        <v>4</v>
      </c>
      <c r="D2493" s="379">
        <v>55.38388888888889</v>
      </c>
      <c r="E2493" s="25">
        <v>24.84</v>
      </c>
      <c r="F2493" s="379">
        <v>3.2727733956087586</v>
      </c>
      <c r="G2493" s="25">
        <v>42.65</v>
      </c>
      <c r="H2493" s="379">
        <v>0.10737189369301019</v>
      </c>
      <c r="I2493" s="25">
        <v>50.13</v>
      </c>
      <c r="J2493" s="379">
        <v>2.777777777777778E-2</v>
      </c>
    </row>
    <row r="2494" spans="1:10" x14ac:dyDescent="0.35">
      <c r="A2494" s="5">
        <v>2490</v>
      </c>
      <c r="B2494" s="5">
        <v>104</v>
      </c>
      <c r="C2494" s="5">
        <v>4</v>
      </c>
      <c r="D2494" s="379">
        <v>60.284444444444453</v>
      </c>
      <c r="E2494" s="25">
        <v>24.99</v>
      </c>
      <c r="F2494" s="379">
        <v>0.47222222222222221</v>
      </c>
      <c r="G2494" s="25">
        <v>43.56</v>
      </c>
      <c r="H2494" s="379">
        <v>1.906589528194125</v>
      </c>
      <c r="I2494" s="25">
        <v>50.72</v>
      </c>
      <c r="J2494" s="379">
        <v>2.777777777777778E-2</v>
      </c>
    </row>
    <row r="2495" spans="1:10" x14ac:dyDescent="0.35">
      <c r="A2495" s="5">
        <v>2491</v>
      </c>
      <c r="B2495" s="5">
        <v>104</v>
      </c>
      <c r="C2495" s="5">
        <v>4</v>
      </c>
      <c r="D2495" s="379">
        <v>64.219444444444434</v>
      </c>
      <c r="E2495" s="25">
        <v>24.99</v>
      </c>
      <c r="F2495" s="379">
        <v>5.3575047606910493</v>
      </c>
      <c r="G2495" s="25">
        <v>44.74</v>
      </c>
      <c r="H2495" s="379">
        <v>0.14480167642852412</v>
      </c>
      <c r="I2495" s="25">
        <v>53.71</v>
      </c>
      <c r="J2495" s="379">
        <v>0.11066269467185555</v>
      </c>
    </row>
    <row r="2496" spans="1:10" x14ac:dyDescent="0.35">
      <c r="A2496" s="5">
        <v>2492</v>
      </c>
      <c r="B2496" s="5">
        <v>104</v>
      </c>
      <c r="C2496" s="5">
        <v>4</v>
      </c>
      <c r="D2496" s="379">
        <v>63.618888888888875</v>
      </c>
      <c r="E2496" s="25">
        <v>25.62</v>
      </c>
      <c r="F2496" s="379">
        <v>5.4777518688583813</v>
      </c>
      <c r="G2496" s="25">
        <v>46.03</v>
      </c>
      <c r="H2496" s="379">
        <v>0.14480167642852412</v>
      </c>
      <c r="I2496" s="25">
        <v>62.27</v>
      </c>
      <c r="J2496" s="379">
        <v>8.1998580568072577E-2</v>
      </c>
    </row>
    <row r="2497" spans="1:10" x14ac:dyDescent="0.35">
      <c r="A2497" s="5">
        <v>2493</v>
      </c>
      <c r="B2497" s="5">
        <v>104</v>
      </c>
      <c r="C2497" s="5">
        <v>4</v>
      </c>
      <c r="D2497" s="379">
        <v>59.503888888888888</v>
      </c>
      <c r="E2497" s="25">
        <v>24.99</v>
      </c>
      <c r="F2497" s="379">
        <v>5.7326138524993686</v>
      </c>
      <c r="G2497" s="25">
        <v>47.46</v>
      </c>
      <c r="H2497" s="379">
        <v>0.14480167642852412</v>
      </c>
      <c r="I2497" s="25">
        <v>62.27</v>
      </c>
      <c r="J2497" s="379">
        <v>4.6558260251152742E-2</v>
      </c>
    </row>
    <row r="2498" spans="1:10" x14ac:dyDescent="0.35">
      <c r="A2498" s="5">
        <v>2494</v>
      </c>
      <c r="B2498" s="5">
        <v>104</v>
      </c>
      <c r="C2498" s="5">
        <v>4</v>
      </c>
      <c r="D2498" s="379">
        <v>56.892777777777781</v>
      </c>
      <c r="E2498" s="25">
        <v>24.99</v>
      </c>
      <c r="F2498" s="379">
        <v>6.1471065784587813</v>
      </c>
      <c r="G2498" s="25">
        <v>44.74</v>
      </c>
      <c r="H2498" s="379">
        <v>0.14480167642852412</v>
      </c>
      <c r="I2498" s="25">
        <v>60.24</v>
      </c>
      <c r="J2498" s="379">
        <v>6.9445857720058665E-2</v>
      </c>
    </row>
    <row r="2499" spans="1:10" x14ac:dyDescent="0.35">
      <c r="A2499" s="5">
        <v>2495</v>
      </c>
      <c r="B2499" s="5">
        <v>104</v>
      </c>
      <c r="C2499" s="5">
        <v>4</v>
      </c>
      <c r="D2499" s="379">
        <v>53.12833333333333</v>
      </c>
      <c r="E2499" s="25">
        <v>24.99</v>
      </c>
      <c r="F2499" s="379">
        <v>5.8811132656522851</v>
      </c>
      <c r="G2499" s="25">
        <v>43.56</v>
      </c>
      <c r="H2499" s="379">
        <v>0.14480167642852412</v>
      </c>
      <c r="I2499" s="25">
        <v>53.27</v>
      </c>
      <c r="J2499" s="379">
        <v>0.16600397351866578</v>
      </c>
    </row>
    <row r="2500" spans="1:10" x14ac:dyDescent="0.35">
      <c r="A2500" s="5">
        <v>2496</v>
      </c>
      <c r="B2500" s="5">
        <v>104</v>
      </c>
      <c r="C2500" s="5">
        <v>4</v>
      </c>
      <c r="D2500" s="379">
        <v>51.342222222222219</v>
      </c>
      <c r="E2500" s="25">
        <v>24.84</v>
      </c>
      <c r="F2500" s="379">
        <v>5.5887326907777446</v>
      </c>
      <c r="G2500" s="25">
        <v>42.29</v>
      </c>
      <c r="H2500" s="379">
        <v>0.14480167642852412</v>
      </c>
      <c r="I2500" s="25">
        <v>51.72</v>
      </c>
      <c r="J2500" s="379">
        <v>0.16600397351866578</v>
      </c>
    </row>
    <row r="2501" spans="1:10" x14ac:dyDescent="0.35">
      <c r="A2501" s="5">
        <v>2497</v>
      </c>
      <c r="B2501" s="5">
        <v>105</v>
      </c>
      <c r="C2501" s="5">
        <v>4</v>
      </c>
      <c r="D2501" s="379">
        <v>50.672222222222224</v>
      </c>
      <c r="E2501" s="25">
        <v>24.84</v>
      </c>
      <c r="F2501" s="379">
        <v>5.7045910079252433</v>
      </c>
      <c r="G2501" s="25">
        <v>43.08</v>
      </c>
      <c r="H2501" s="379">
        <v>0.14480167642852412</v>
      </c>
      <c r="I2501" s="25">
        <v>53.71</v>
      </c>
      <c r="J2501" s="379">
        <v>0.16600397351866578</v>
      </c>
    </row>
    <row r="2502" spans="1:10" x14ac:dyDescent="0.35">
      <c r="A2502" s="5">
        <v>2498</v>
      </c>
      <c r="B2502" s="5">
        <v>105</v>
      </c>
      <c r="C2502" s="5">
        <v>4</v>
      </c>
      <c r="D2502" s="379">
        <v>49.605555555555547</v>
      </c>
      <c r="E2502" s="25">
        <v>24.84</v>
      </c>
      <c r="F2502" s="379">
        <v>5.2014940314301699</v>
      </c>
      <c r="G2502" s="25">
        <v>41.86</v>
      </c>
      <c r="H2502" s="379">
        <v>0.14480167642852412</v>
      </c>
      <c r="I2502" s="25">
        <v>53.71</v>
      </c>
      <c r="J2502" s="379">
        <v>0.16600397351866578</v>
      </c>
    </row>
    <row r="2503" spans="1:10" x14ac:dyDescent="0.35">
      <c r="A2503" s="5">
        <v>2499</v>
      </c>
      <c r="B2503" s="5">
        <v>105</v>
      </c>
      <c r="C2503" s="5">
        <v>4</v>
      </c>
      <c r="D2503" s="379">
        <v>48.990555555555559</v>
      </c>
      <c r="E2503" s="25">
        <v>24.84</v>
      </c>
      <c r="F2503" s="379">
        <v>5.0717588757036944</v>
      </c>
      <c r="G2503" s="25">
        <v>41.86</v>
      </c>
      <c r="H2503" s="379">
        <v>0.11523529187386214</v>
      </c>
      <c r="I2503" s="25">
        <v>53.71</v>
      </c>
      <c r="J2503" s="379">
        <v>0.16600397351866578</v>
      </c>
    </row>
    <row r="2504" spans="1:10" x14ac:dyDescent="0.35">
      <c r="A2504" s="5">
        <v>2500</v>
      </c>
      <c r="B2504" s="5">
        <v>105</v>
      </c>
      <c r="C2504" s="5">
        <v>4</v>
      </c>
      <c r="D2504" s="379">
        <v>48.930555555555557</v>
      </c>
      <c r="E2504" s="25">
        <v>24.84</v>
      </c>
      <c r="F2504" s="379">
        <v>4.5205923269025199</v>
      </c>
      <c r="G2504" s="25">
        <v>43.56</v>
      </c>
      <c r="H2504" s="379">
        <v>0.11957142277888716</v>
      </c>
      <c r="I2504" s="25">
        <v>54.32</v>
      </c>
      <c r="J2504" s="379">
        <v>0.16600397351866578</v>
      </c>
    </row>
    <row r="2505" spans="1:10" x14ac:dyDescent="0.35">
      <c r="A2505" s="5">
        <v>2501</v>
      </c>
      <c r="B2505" s="5">
        <v>105</v>
      </c>
      <c r="C2505" s="5">
        <v>4</v>
      </c>
      <c r="D2505" s="379">
        <v>49.889999999999993</v>
      </c>
      <c r="E2505" s="25">
        <v>24.84</v>
      </c>
      <c r="F2505" s="379">
        <v>3.9210144173049652</v>
      </c>
      <c r="G2505" s="25">
        <v>44.29</v>
      </c>
      <c r="H2505" s="379">
        <v>0.12756455941605765</v>
      </c>
      <c r="I2505" s="25">
        <v>54.87</v>
      </c>
      <c r="J2505" s="379">
        <v>0.16600397351866578</v>
      </c>
    </row>
    <row r="2506" spans="1:10" x14ac:dyDescent="0.35">
      <c r="A2506" s="5">
        <v>2502</v>
      </c>
      <c r="B2506" s="5">
        <v>105</v>
      </c>
      <c r="C2506" s="5">
        <v>4</v>
      </c>
      <c r="D2506" s="379">
        <v>52.13</v>
      </c>
      <c r="E2506" s="25">
        <v>25.29</v>
      </c>
      <c r="F2506" s="379">
        <v>4.7194762271667043</v>
      </c>
      <c r="G2506" s="25">
        <v>47.85</v>
      </c>
      <c r="H2506" s="379">
        <v>0.14480167642852412</v>
      </c>
      <c r="I2506" s="25">
        <v>66.06</v>
      </c>
      <c r="J2506" s="379">
        <v>0.16600397351866578</v>
      </c>
    </row>
    <row r="2507" spans="1:10" x14ac:dyDescent="0.35">
      <c r="A2507" s="5">
        <v>2503</v>
      </c>
      <c r="B2507" s="5">
        <v>105</v>
      </c>
      <c r="C2507" s="5">
        <v>4</v>
      </c>
      <c r="D2507" s="379">
        <v>54.826111111111111</v>
      </c>
      <c r="E2507" s="25">
        <v>27.3</v>
      </c>
      <c r="F2507" s="379">
        <v>0.95463009311462776</v>
      </c>
      <c r="G2507" s="25">
        <v>49.2</v>
      </c>
      <c r="H2507" s="379">
        <v>0.14480167642852412</v>
      </c>
      <c r="I2507" s="25">
        <v>68.05</v>
      </c>
      <c r="J2507" s="379">
        <v>1.6125510845315172</v>
      </c>
    </row>
    <row r="2508" spans="1:10" x14ac:dyDescent="0.35">
      <c r="A2508" s="5">
        <v>2504</v>
      </c>
      <c r="B2508" s="5">
        <v>105</v>
      </c>
      <c r="C2508" s="5">
        <v>4</v>
      </c>
      <c r="D2508" s="379">
        <v>55.101111111111102</v>
      </c>
      <c r="E2508" s="25">
        <v>27.3</v>
      </c>
      <c r="F2508" s="379">
        <v>0.65808670058311347</v>
      </c>
      <c r="G2508" s="25">
        <v>49.2</v>
      </c>
      <c r="H2508" s="379">
        <v>2.5529136513461514</v>
      </c>
      <c r="I2508" s="25">
        <v>68.02</v>
      </c>
      <c r="J2508" s="379">
        <v>1.6125510845315172</v>
      </c>
    </row>
    <row r="2509" spans="1:10" x14ac:dyDescent="0.35">
      <c r="A2509" s="5">
        <v>2505</v>
      </c>
      <c r="B2509" s="5">
        <v>105</v>
      </c>
      <c r="C2509" s="5">
        <v>4</v>
      </c>
      <c r="D2509" s="379">
        <v>52.865555555555552</v>
      </c>
      <c r="E2509" s="25">
        <v>26.51</v>
      </c>
      <c r="F2509" s="379">
        <v>3.5334152706971484</v>
      </c>
      <c r="G2509" s="25">
        <v>49.2</v>
      </c>
      <c r="H2509" s="379">
        <v>2.54536326574368</v>
      </c>
      <c r="I2509" s="25">
        <v>64.55</v>
      </c>
      <c r="J2509" s="379">
        <v>0.12272006448158186</v>
      </c>
    </row>
    <row r="2510" spans="1:10" x14ac:dyDescent="0.35">
      <c r="A2510" s="5">
        <v>2506</v>
      </c>
      <c r="B2510" s="5">
        <v>105</v>
      </c>
      <c r="C2510" s="5">
        <v>4</v>
      </c>
      <c r="D2510" s="379">
        <v>48.412777777777777</v>
      </c>
      <c r="E2510" s="25">
        <v>25.74</v>
      </c>
      <c r="F2510" s="379">
        <v>3.4531377310313198</v>
      </c>
      <c r="G2510" s="25">
        <v>47.85</v>
      </c>
      <c r="H2510" s="379">
        <v>1.8731588567508062</v>
      </c>
      <c r="I2510" s="25">
        <v>54.93</v>
      </c>
      <c r="J2510" s="379">
        <v>0.12272006448158186</v>
      </c>
    </row>
    <row r="2511" spans="1:10" x14ac:dyDescent="0.35">
      <c r="A2511" s="5">
        <v>2507</v>
      </c>
      <c r="B2511" s="5">
        <v>105</v>
      </c>
      <c r="C2511" s="5">
        <v>4</v>
      </c>
      <c r="D2511" s="379">
        <v>47.384444444444448</v>
      </c>
      <c r="E2511" s="25">
        <v>24.99</v>
      </c>
      <c r="F2511" s="379">
        <v>3.4531377310313198</v>
      </c>
      <c r="G2511" s="25">
        <v>44.74</v>
      </c>
      <c r="H2511" s="379">
        <v>6.4486856194326064E-2</v>
      </c>
      <c r="I2511" s="25">
        <v>54.25</v>
      </c>
      <c r="J2511" s="379">
        <v>0.12272006448158186</v>
      </c>
    </row>
    <row r="2512" spans="1:10" x14ac:dyDescent="0.35">
      <c r="A2512" s="5">
        <v>2508</v>
      </c>
      <c r="B2512" s="5">
        <v>105</v>
      </c>
      <c r="C2512" s="5">
        <v>4</v>
      </c>
      <c r="D2512" s="379">
        <v>43.949999999999996</v>
      </c>
      <c r="E2512" s="25">
        <v>24.99</v>
      </c>
      <c r="F2512" s="379">
        <v>3.4531377310313198</v>
      </c>
      <c r="G2512" s="25">
        <v>44.74</v>
      </c>
      <c r="H2512" s="379">
        <v>6.75781317676106E-2</v>
      </c>
      <c r="I2512" s="25">
        <v>53.71</v>
      </c>
      <c r="J2512" s="379">
        <v>0.12272006448158186</v>
      </c>
    </row>
    <row r="2513" spans="1:10" x14ac:dyDescent="0.35">
      <c r="A2513" s="5">
        <v>2509</v>
      </c>
      <c r="B2513" s="5">
        <v>105</v>
      </c>
      <c r="C2513" s="5">
        <v>4</v>
      </c>
      <c r="D2513" s="379">
        <v>42.695000000000007</v>
      </c>
      <c r="E2513" s="25">
        <v>24.84</v>
      </c>
      <c r="F2513" s="379">
        <v>3.4531377310313198</v>
      </c>
      <c r="G2513" s="25">
        <v>44.41</v>
      </c>
      <c r="H2513" s="379">
        <v>0.41810464765170813</v>
      </c>
      <c r="I2513" s="25">
        <v>51.02</v>
      </c>
      <c r="J2513" s="379">
        <v>0.12272006448158186</v>
      </c>
    </row>
    <row r="2514" spans="1:10" x14ac:dyDescent="0.35">
      <c r="A2514" s="5">
        <v>2510</v>
      </c>
      <c r="B2514" s="5">
        <v>105</v>
      </c>
      <c r="C2514" s="5">
        <v>4</v>
      </c>
      <c r="D2514" s="379">
        <v>40.99722222222222</v>
      </c>
      <c r="E2514" s="25">
        <v>24.84</v>
      </c>
      <c r="F2514" s="379">
        <v>3.2595503662122662</v>
      </c>
      <c r="G2514" s="25">
        <v>44.37</v>
      </c>
      <c r="H2514" s="379">
        <v>0.46713727888258039</v>
      </c>
      <c r="I2514" s="25">
        <v>51.02</v>
      </c>
      <c r="J2514" s="379">
        <v>0.12272006448158186</v>
      </c>
    </row>
    <row r="2515" spans="1:10" x14ac:dyDescent="0.35">
      <c r="A2515" s="5">
        <v>2511</v>
      </c>
      <c r="B2515" s="5">
        <v>105</v>
      </c>
      <c r="C2515" s="5">
        <v>4</v>
      </c>
      <c r="D2515" s="379">
        <v>40.085555555555558</v>
      </c>
      <c r="E2515" s="25">
        <v>24.84</v>
      </c>
      <c r="F2515" s="379">
        <v>2.8108988175644321</v>
      </c>
      <c r="G2515" s="25">
        <v>44.29</v>
      </c>
      <c r="H2515" s="379">
        <v>0.55538536076082035</v>
      </c>
      <c r="I2515" s="25">
        <v>51.02</v>
      </c>
      <c r="J2515" s="379">
        <v>0.10944373081995976</v>
      </c>
    </row>
    <row r="2516" spans="1:10" x14ac:dyDescent="0.35">
      <c r="A2516" s="5">
        <v>2512</v>
      </c>
      <c r="B2516" s="5">
        <v>105</v>
      </c>
      <c r="C2516" s="5">
        <v>4</v>
      </c>
      <c r="D2516" s="379">
        <v>41.93333333333333</v>
      </c>
      <c r="E2516" s="25">
        <v>24.84</v>
      </c>
      <c r="F2516" s="379">
        <v>3.4420230490544643</v>
      </c>
      <c r="G2516" s="25">
        <v>44.37</v>
      </c>
      <c r="H2516" s="379">
        <v>0.71344699184895433</v>
      </c>
      <c r="I2516" s="25">
        <v>51.64</v>
      </c>
      <c r="J2516" s="379">
        <v>0.15423650985582629</v>
      </c>
    </row>
    <row r="2517" spans="1:10" x14ac:dyDescent="0.35">
      <c r="A2517" s="5">
        <v>2513</v>
      </c>
      <c r="B2517" s="5">
        <v>105</v>
      </c>
      <c r="C2517" s="5">
        <v>4</v>
      </c>
      <c r="D2517" s="379">
        <v>46.981111111111112</v>
      </c>
      <c r="E2517" s="25">
        <v>24.84</v>
      </c>
      <c r="F2517" s="379">
        <v>3.4522254621149533</v>
      </c>
      <c r="G2517" s="25">
        <v>44.69</v>
      </c>
      <c r="H2517" s="379">
        <v>0.71344699184895433</v>
      </c>
      <c r="I2517" s="25">
        <v>54.32</v>
      </c>
      <c r="J2517" s="379">
        <v>0.15423650985582629</v>
      </c>
    </row>
    <row r="2518" spans="1:10" x14ac:dyDescent="0.35">
      <c r="A2518" s="5">
        <v>2514</v>
      </c>
      <c r="B2518" s="5">
        <v>105</v>
      </c>
      <c r="C2518" s="5">
        <v>4</v>
      </c>
      <c r="D2518" s="379">
        <v>50.482222222222227</v>
      </c>
      <c r="E2518" s="25">
        <v>25.59</v>
      </c>
      <c r="F2518" s="379">
        <v>3.0950399299902611</v>
      </c>
      <c r="G2518" s="25">
        <v>45.04</v>
      </c>
      <c r="H2518" s="379">
        <v>2.5668752067022482</v>
      </c>
      <c r="I2518" s="25">
        <v>54.92</v>
      </c>
      <c r="J2518" s="379">
        <v>0.29225309542118677</v>
      </c>
    </row>
    <row r="2519" spans="1:10" x14ac:dyDescent="0.35">
      <c r="A2519" s="5">
        <v>2515</v>
      </c>
      <c r="B2519" s="5">
        <v>105</v>
      </c>
      <c r="C2519" s="5">
        <v>4</v>
      </c>
      <c r="D2519" s="379">
        <v>55.008333333333333</v>
      </c>
      <c r="E2519" s="25">
        <v>26.05</v>
      </c>
      <c r="F2519" s="379">
        <v>8.533418462603457</v>
      </c>
      <c r="G2519" s="25">
        <v>47.85</v>
      </c>
      <c r="H2519" s="379">
        <v>9.8332643067190162</v>
      </c>
      <c r="I2519" s="25">
        <v>66.06</v>
      </c>
      <c r="J2519" s="379">
        <v>6.1889557958299362</v>
      </c>
    </row>
    <row r="2520" spans="1:10" x14ac:dyDescent="0.35">
      <c r="A2520" s="5">
        <v>2516</v>
      </c>
      <c r="B2520" s="5">
        <v>105</v>
      </c>
      <c r="C2520" s="5">
        <v>4</v>
      </c>
      <c r="D2520" s="379">
        <v>56.461666666666666</v>
      </c>
      <c r="E2520" s="25">
        <v>26.39</v>
      </c>
      <c r="F2520" s="379">
        <v>9.3634063609253353</v>
      </c>
      <c r="G2520" s="25">
        <v>49.2</v>
      </c>
      <c r="H2520" s="379">
        <v>6.4383085364841381</v>
      </c>
      <c r="I2520" s="25">
        <v>68.02</v>
      </c>
      <c r="J2520" s="379">
        <v>7.0366434138714276</v>
      </c>
    </row>
    <row r="2521" spans="1:10" x14ac:dyDescent="0.35">
      <c r="A2521" s="5">
        <v>2517</v>
      </c>
      <c r="B2521" s="5">
        <v>105</v>
      </c>
      <c r="C2521" s="5">
        <v>4</v>
      </c>
      <c r="D2521" s="379">
        <v>54.951666666666661</v>
      </c>
      <c r="E2521" s="25">
        <v>26.35</v>
      </c>
      <c r="F2521" s="379">
        <v>9.291468316667018</v>
      </c>
      <c r="G2521" s="25">
        <v>49.2</v>
      </c>
      <c r="H2521" s="379">
        <v>7.9677921365849596</v>
      </c>
      <c r="I2521" s="25">
        <v>68.02</v>
      </c>
      <c r="J2521" s="379">
        <v>6.3969328953626121</v>
      </c>
    </row>
    <row r="2522" spans="1:10" x14ac:dyDescent="0.35">
      <c r="A2522" s="5">
        <v>2518</v>
      </c>
      <c r="B2522" s="5">
        <v>105</v>
      </c>
      <c r="C2522" s="5">
        <v>4</v>
      </c>
      <c r="D2522" s="379">
        <v>51.944444444444443</v>
      </c>
      <c r="E2522" s="25">
        <v>25.75</v>
      </c>
      <c r="F2522" s="379">
        <v>9.0083299859396604</v>
      </c>
      <c r="G2522" s="25">
        <v>49.2</v>
      </c>
      <c r="H2522" s="379">
        <v>7.6541769912459001</v>
      </c>
      <c r="I2522" s="25">
        <v>68.02</v>
      </c>
      <c r="J2522" s="379">
        <v>6.5807676877270014</v>
      </c>
    </row>
    <row r="2523" spans="1:10" x14ac:dyDescent="0.35">
      <c r="A2523" s="5">
        <v>2519</v>
      </c>
      <c r="B2523" s="5">
        <v>105</v>
      </c>
      <c r="C2523" s="5">
        <v>4</v>
      </c>
      <c r="D2523" s="379">
        <v>50.968333333333327</v>
      </c>
      <c r="E2523" s="25">
        <v>25.29</v>
      </c>
      <c r="F2523" s="379">
        <v>8.5428360647293058</v>
      </c>
      <c r="G2523" s="25">
        <v>44.86</v>
      </c>
      <c r="H2523" s="379">
        <v>7.4338136255586509</v>
      </c>
      <c r="I2523" s="25">
        <v>66.06</v>
      </c>
      <c r="J2523" s="379">
        <v>6.7050624050831233</v>
      </c>
    </row>
    <row r="2524" spans="1:10" x14ac:dyDescent="0.35">
      <c r="A2524" s="5">
        <v>2520</v>
      </c>
      <c r="B2524" s="5">
        <v>105</v>
      </c>
      <c r="C2524" s="5">
        <v>4</v>
      </c>
      <c r="D2524" s="379">
        <v>48.353333333333332</v>
      </c>
      <c r="E2524" s="25">
        <v>24.99</v>
      </c>
      <c r="F2524" s="379">
        <v>9.3633961245206301</v>
      </c>
      <c r="G2524" s="25">
        <v>44.74</v>
      </c>
      <c r="H2524" s="379">
        <v>7.2178792710509798</v>
      </c>
      <c r="I2524" s="25">
        <v>57.82</v>
      </c>
      <c r="J2524" s="379">
        <v>6.716931247704208</v>
      </c>
    </row>
    <row r="2525" spans="1:10" x14ac:dyDescent="0.35">
      <c r="A2525" s="5">
        <v>2521</v>
      </c>
      <c r="B2525" s="5">
        <v>106</v>
      </c>
      <c r="C2525" s="5">
        <v>4</v>
      </c>
      <c r="D2525" s="379">
        <v>46.700555555555553</v>
      </c>
      <c r="E2525" s="25">
        <v>24.84</v>
      </c>
      <c r="F2525" s="379">
        <v>9.7548255311229184</v>
      </c>
      <c r="G2525" s="25">
        <v>44.69</v>
      </c>
      <c r="H2525" s="379">
        <v>6.7485183182501371</v>
      </c>
      <c r="I2525" s="25">
        <v>62.27</v>
      </c>
      <c r="J2525" s="379">
        <v>6.7629610169016043</v>
      </c>
    </row>
    <row r="2526" spans="1:10" x14ac:dyDescent="0.35">
      <c r="A2526" s="5">
        <v>2522</v>
      </c>
      <c r="B2526" s="5">
        <v>106</v>
      </c>
      <c r="C2526" s="5">
        <v>4</v>
      </c>
      <c r="D2526" s="379">
        <v>45.447777777777773</v>
      </c>
      <c r="E2526" s="25">
        <v>24.84</v>
      </c>
      <c r="F2526" s="379">
        <v>9.2964626833473059</v>
      </c>
      <c r="G2526" s="25">
        <v>44.69</v>
      </c>
      <c r="H2526" s="379">
        <v>7.1812688299143739</v>
      </c>
      <c r="I2526" s="25">
        <v>61.82</v>
      </c>
      <c r="J2526" s="379">
        <v>5.7664394884137842</v>
      </c>
    </row>
    <row r="2527" spans="1:10" x14ac:dyDescent="0.35">
      <c r="A2527" s="5">
        <v>2523</v>
      </c>
      <c r="B2527" s="5">
        <v>106</v>
      </c>
      <c r="C2527" s="5">
        <v>4</v>
      </c>
      <c r="D2527" s="379">
        <v>44.687777777777775</v>
      </c>
      <c r="E2527" s="25">
        <v>24.84</v>
      </c>
      <c r="F2527" s="379">
        <v>10.315771215569693</v>
      </c>
      <c r="G2527" s="25">
        <v>44.69</v>
      </c>
      <c r="H2527" s="379">
        <v>6.9161412452084363</v>
      </c>
      <c r="I2527" s="25">
        <v>61.65</v>
      </c>
      <c r="J2527" s="379">
        <v>6.1103406711555168</v>
      </c>
    </row>
    <row r="2528" spans="1:10" x14ac:dyDescent="0.35">
      <c r="A2528" s="5">
        <v>2524</v>
      </c>
      <c r="B2528" s="5">
        <v>106</v>
      </c>
      <c r="C2528" s="5">
        <v>4</v>
      </c>
      <c r="D2528" s="379">
        <v>44.861111111111121</v>
      </c>
      <c r="E2528" s="25">
        <v>24.84</v>
      </c>
      <c r="F2528" s="379">
        <v>10.401377924809104</v>
      </c>
      <c r="G2528" s="25">
        <v>44.74</v>
      </c>
      <c r="H2528" s="379">
        <v>7.6993541223326485</v>
      </c>
      <c r="I2528" s="25">
        <v>61.65</v>
      </c>
      <c r="J2528" s="379">
        <v>6.4915439123456835</v>
      </c>
    </row>
    <row r="2529" spans="1:10" x14ac:dyDescent="0.35">
      <c r="A2529" s="5">
        <v>2525</v>
      </c>
      <c r="B2529" s="5">
        <v>106</v>
      </c>
      <c r="C2529" s="5">
        <v>4</v>
      </c>
      <c r="D2529" s="379">
        <v>47.98555555555555</v>
      </c>
      <c r="E2529" s="25">
        <v>24.84</v>
      </c>
      <c r="F2529" s="379">
        <v>9.4603331633334751</v>
      </c>
      <c r="G2529" s="25">
        <v>47.46</v>
      </c>
      <c r="H2529" s="379">
        <v>6.8610416823302476</v>
      </c>
      <c r="I2529" s="25">
        <v>62.27</v>
      </c>
      <c r="J2529" s="379">
        <v>6.6734742626633219</v>
      </c>
    </row>
    <row r="2530" spans="1:10" x14ac:dyDescent="0.35">
      <c r="A2530" s="5">
        <v>2526</v>
      </c>
      <c r="B2530" s="5">
        <v>106</v>
      </c>
      <c r="C2530" s="5">
        <v>4</v>
      </c>
      <c r="D2530" s="379">
        <v>49.501111111111115</v>
      </c>
      <c r="E2530" s="25">
        <v>27.3</v>
      </c>
      <c r="F2530" s="379">
        <v>13.763196326292588</v>
      </c>
      <c r="G2530" s="25">
        <v>49.2</v>
      </c>
      <c r="H2530" s="379">
        <v>7.5754013439010679</v>
      </c>
      <c r="I2530" s="25">
        <v>68.02</v>
      </c>
      <c r="J2530" s="379">
        <v>6.4866101034100279</v>
      </c>
    </row>
    <row r="2531" spans="1:10" x14ac:dyDescent="0.35">
      <c r="A2531" s="5">
        <v>2527</v>
      </c>
      <c r="B2531" s="5">
        <v>106</v>
      </c>
      <c r="C2531" s="5">
        <v>4</v>
      </c>
      <c r="D2531" s="379">
        <v>49.915000000000006</v>
      </c>
      <c r="E2531" s="25">
        <v>27.96</v>
      </c>
      <c r="F2531" s="379">
        <v>13.417911668557519</v>
      </c>
      <c r="G2531" s="25">
        <v>52.2</v>
      </c>
      <c r="H2531" s="379">
        <v>7.678852622071644</v>
      </c>
      <c r="I2531" s="25">
        <v>72.19</v>
      </c>
      <c r="J2531" s="379">
        <v>6.4321312997040385</v>
      </c>
    </row>
    <row r="2532" spans="1:10" x14ac:dyDescent="0.35">
      <c r="A2532" s="5">
        <v>2528</v>
      </c>
      <c r="B2532" s="5">
        <v>106</v>
      </c>
      <c r="C2532" s="5">
        <v>4</v>
      </c>
      <c r="D2532" s="379">
        <v>49.555</v>
      </c>
      <c r="E2532" s="25">
        <v>27.96</v>
      </c>
      <c r="F2532" s="379">
        <v>11.684265913708568</v>
      </c>
      <c r="G2532" s="25">
        <v>52.2</v>
      </c>
      <c r="H2532" s="379">
        <v>6.8312253543721262</v>
      </c>
      <c r="I2532" s="25">
        <v>72.19</v>
      </c>
      <c r="J2532" s="379">
        <v>6.8716090307838495</v>
      </c>
    </row>
    <row r="2533" spans="1:10" x14ac:dyDescent="0.35">
      <c r="A2533" s="5">
        <v>2529</v>
      </c>
      <c r="B2533" s="5">
        <v>106</v>
      </c>
      <c r="C2533" s="5">
        <v>4</v>
      </c>
      <c r="D2533" s="379">
        <v>46.571666666666665</v>
      </c>
      <c r="E2533" s="25">
        <v>27.3</v>
      </c>
      <c r="F2533" s="379">
        <v>8.1430919094334069</v>
      </c>
      <c r="G2533" s="25">
        <v>49.2</v>
      </c>
      <c r="H2533" s="379">
        <v>6.1713240963815341</v>
      </c>
      <c r="I2533" s="25">
        <v>68.02</v>
      </c>
      <c r="J2533" s="379">
        <v>5.4732739347117114</v>
      </c>
    </row>
    <row r="2534" spans="1:10" x14ac:dyDescent="0.35">
      <c r="A2534" s="5">
        <v>2530</v>
      </c>
      <c r="B2534" s="5">
        <v>106</v>
      </c>
      <c r="C2534" s="5">
        <v>4</v>
      </c>
      <c r="D2534" s="379">
        <v>41.607222222222219</v>
      </c>
      <c r="E2534" s="25">
        <v>27.3</v>
      </c>
      <c r="F2534" s="379">
        <v>0.47222222222222215</v>
      </c>
      <c r="G2534" s="25">
        <v>48.88</v>
      </c>
      <c r="H2534" s="379">
        <v>0.17179523224099599</v>
      </c>
      <c r="I2534" s="25">
        <v>66.06</v>
      </c>
      <c r="J2534" s="379">
        <v>0.69570270949759749</v>
      </c>
    </row>
    <row r="2535" spans="1:10" x14ac:dyDescent="0.35">
      <c r="A2535" s="5">
        <v>2531</v>
      </c>
      <c r="B2535" s="5">
        <v>106</v>
      </c>
      <c r="C2535" s="5">
        <v>4</v>
      </c>
      <c r="D2535" s="379">
        <v>38.076111111111111</v>
      </c>
      <c r="E2535" s="25">
        <v>25.74</v>
      </c>
      <c r="F2535" s="379">
        <v>5.0217212752743734</v>
      </c>
      <c r="G2535" s="25">
        <v>47.85</v>
      </c>
      <c r="H2535" s="379">
        <v>0.15883851018973311</v>
      </c>
      <c r="I2535" s="25">
        <v>61.46</v>
      </c>
      <c r="J2535" s="379">
        <v>0.13821115843418941</v>
      </c>
    </row>
    <row r="2536" spans="1:10" x14ac:dyDescent="0.35">
      <c r="A2536" s="5">
        <v>2532</v>
      </c>
      <c r="B2536" s="5">
        <v>106</v>
      </c>
      <c r="C2536" s="5">
        <v>4</v>
      </c>
      <c r="D2536" s="379">
        <v>28.201666666666664</v>
      </c>
      <c r="E2536" s="25">
        <v>24.99</v>
      </c>
      <c r="F2536" s="379">
        <v>4.6482975110975664</v>
      </c>
      <c r="G2536" s="25">
        <v>46.98</v>
      </c>
      <c r="H2536" s="379">
        <v>0.10155636190596908</v>
      </c>
      <c r="I2536" s="25">
        <v>58.7</v>
      </c>
      <c r="J2536" s="379">
        <v>0.1826752249412574</v>
      </c>
    </row>
    <row r="2537" spans="1:10" x14ac:dyDescent="0.35">
      <c r="A2537" s="5">
        <v>2533</v>
      </c>
      <c r="B2537" s="5">
        <v>106</v>
      </c>
      <c r="C2537" s="5">
        <v>4</v>
      </c>
      <c r="D2537" s="379">
        <v>20.687777777777779</v>
      </c>
      <c r="E2537" s="25">
        <v>24.99</v>
      </c>
      <c r="F2537" s="379">
        <v>4.6377170168166915</v>
      </c>
      <c r="G2537" s="25">
        <v>44.74</v>
      </c>
      <c r="H2537" s="379">
        <v>0.18604817767333012</v>
      </c>
      <c r="I2537" s="25">
        <v>58.7</v>
      </c>
      <c r="J2537" s="379">
        <v>0.16012759971867777</v>
      </c>
    </row>
    <row r="2538" spans="1:10" x14ac:dyDescent="0.35">
      <c r="A2538" s="5">
        <v>2534</v>
      </c>
      <c r="B2538" s="5">
        <v>106</v>
      </c>
      <c r="C2538" s="5">
        <v>4</v>
      </c>
      <c r="D2538" s="379">
        <v>20.662222222222226</v>
      </c>
      <c r="E2538" s="25">
        <v>24.99</v>
      </c>
      <c r="F2538" s="379">
        <v>4.6226020249868691</v>
      </c>
      <c r="G2538" s="25">
        <v>44.74</v>
      </c>
      <c r="H2538" s="379">
        <v>0.2087568455208158</v>
      </c>
      <c r="I2538" s="25">
        <v>53.27</v>
      </c>
      <c r="J2538" s="379">
        <v>0.134187926244001</v>
      </c>
    </row>
    <row r="2539" spans="1:10" x14ac:dyDescent="0.35">
      <c r="A2539" s="5">
        <v>2535</v>
      </c>
      <c r="B2539" s="5">
        <v>106</v>
      </c>
      <c r="C2539" s="5">
        <v>4</v>
      </c>
      <c r="D2539" s="379">
        <v>22.751666666666665</v>
      </c>
      <c r="E2539" s="25">
        <v>24.99</v>
      </c>
      <c r="F2539" s="379">
        <v>4.7093673504483986</v>
      </c>
      <c r="G2539" s="25">
        <v>44.74</v>
      </c>
      <c r="H2539" s="379">
        <v>0.15329590088805212</v>
      </c>
      <c r="I2539" s="25">
        <v>52.93</v>
      </c>
      <c r="J2539" s="379">
        <v>0.1331787415392329</v>
      </c>
    </row>
    <row r="2540" spans="1:10" x14ac:dyDescent="0.35">
      <c r="A2540" s="5">
        <v>2536</v>
      </c>
      <c r="B2540" s="5">
        <v>106</v>
      </c>
      <c r="C2540" s="5">
        <v>4</v>
      </c>
      <c r="D2540" s="379">
        <v>26.046111111111109</v>
      </c>
      <c r="E2540" s="25">
        <v>24.84</v>
      </c>
      <c r="F2540" s="379">
        <v>0.47222222222222221</v>
      </c>
      <c r="G2540" s="25">
        <v>44.69</v>
      </c>
      <c r="H2540" s="379">
        <v>0.15325232964163313</v>
      </c>
      <c r="I2540" s="25">
        <v>52.93</v>
      </c>
      <c r="J2540" s="379">
        <v>0.11971856656453517</v>
      </c>
    </row>
    <row r="2541" spans="1:10" x14ac:dyDescent="0.35">
      <c r="A2541" s="5">
        <v>2537</v>
      </c>
      <c r="B2541" s="5">
        <v>106</v>
      </c>
      <c r="C2541" s="5">
        <v>4</v>
      </c>
      <c r="D2541" s="379">
        <v>36.340555555555554</v>
      </c>
      <c r="E2541" s="25">
        <v>24.99</v>
      </c>
      <c r="F2541" s="379">
        <v>8.1174834595959577</v>
      </c>
      <c r="G2541" s="25">
        <v>44.74</v>
      </c>
      <c r="H2541" s="379">
        <v>6.0489865542273629</v>
      </c>
      <c r="I2541" s="25">
        <v>52.93</v>
      </c>
      <c r="J2541" s="379">
        <v>2.0653735988248392</v>
      </c>
    </row>
    <row r="2542" spans="1:10" x14ac:dyDescent="0.35">
      <c r="A2542" s="5">
        <v>2538</v>
      </c>
      <c r="B2542" s="5">
        <v>106</v>
      </c>
      <c r="C2542" s="5">
        <v>4</v>
      </c>
      <c r="D2542" s="379">
        <v>45.957777777777778</v>
      </c>
      <c r="E2542" s="25">
        <v>25.59</v>
      </c>
      <c r="F2542" s="379">
        <v>15.480634439681138</v>
      </c>
      <c r="G2542" s="25">
        <v>44.77</v>
      </c>
      <c r="H2542" s="379">
        <v>8.8338083719966036</v>
      </c>
      <c r="I2542" s="25">
        <v>58.11</v>
      </c>
      <c r="J2542" s="379">
        <v>6.6739960566303633</v>
      </c>
    </row>
    <row r="2543" spans="1:10" x14ac:dyDescent="0.35">
      <c r="A2543" s="5">
        <v>2539</v>
      </c>
      <c r="B2543" s="5">
        <v>106</v>
      </c>
      <c r="C2543" s="5">
        <v>4</v>
      </c>
      <c r="D2543" s="379">
        <v>49.494444444444447</v>
      </c>
      <c r="E2543" s="25">
        <v>24.99</v>
      </c>
      <c r="F2543" s="379">
        <v>13.634363401145142</v>
      </c>
      <c r="G2543" s="25">
        <v>44.77</v>
      </c>
      <c r="H2543" s="379">
        <v>10.072458279327476</v>
      </c>
      <c r="I2543" s="25">
        <v>62.27</v>
      </c>
      <c r="J2543" s="379">
        <v>6.8421659517225084</v>
      </c>
    </row>
    <row r="2544" spans="1:10" x14ac:dyDescent="0.35">
      <c r="A2544" s="5">
        <v>2540</v>
      </c>
      <c r="B2544" s="5">
        <v>106</v>
      </c>
      <c r="C2544" s="5">
        <v>4</v>
      </c>
      <c r="D2544" s="379">
        <v>50.775000000000006</v>
      </c>
      <c r="E2544" s="25">
        <v>24.99</v>
      </c>
      <c r="F2544" s="379">
        <v>14.766474041548507</v>
      </c>
      <c r="G2544" s="25">
        <v>45.14</v>
      </c>
      <c r="H2544" s="379">
        <v>9.2079829810375315</v>
      </c>
      <c r="I2544" s="25">
        <v>62.27</v>
      </c>
      <c r="J2544" s="379">
        <v>6.4836819386241267</v>
      </c>
    </row>
    <row r="2545" spans="1:10" x14ac:dyDescent="0.35">
      <c r="A2545" s="5">
        <v>2541</v>
      </c>
      <c r="B2545" s="5">
        <v>106</v>
      </c>
      <c r="C2545" s="5">
        <v>4</v>
      </c>
      <c r="D2545" s="379">
        <v>49.315000000000005</v>
      </c>
      <c r="E2545" s="25">
        <v>24.99</v>
      </c>
      <c r="F2545" s="379">
        <v>15.968874407165025</v>
      </c>
      <c r="G2545" s="25">
        <v>44.77</v>
      </c>
      <c r="H2545" s="379">
        <v>9.3613781554070048</v>
      </c>
      <c r="I2545" s="25">
        <v>62.27</v>
      </c>
      <c r="J2545" s="379">
        <v>6.47089600823365</v>
      </c>
    </row>
    <row r="2546" spans="1:10" x14ac:dyDescent="0.35">
      <c r="A2546" s="5">
        <v>2542</v>
      </c>
      <c r="B2546" s="5">
        <v>106</v>
      </c>
      <c r="C2546" s="5">
        <v>4</v>
      </c>
      <c r="D2546" s="379">
        <v>45.600000000000009</v>
      </c>
      <c r="E2546" s="25">
        <v>24.99</v>
      </c>
      <c r="F2546" s="379">
        <v>17.49030308546363</v>
      </c>
      <c r="G2546" s="25">
        <v>44.74</v>
      </c>
      <c r="H2546" s="379">
        <v>9.0114286257402778</v>
      </c>
      <c r="I2546" s="25">
        <v>62.27</v>
      </c>
      <c r="J2546" s="379">
        <v>6.8437313601145453</v>
      </c>
    </row>
    <row r="2547" spans="1:10" x14ac:dyDescent="0.35">
      <c r="A2547" s="5">
        <v>2543</v>
      </c>
      <c r="B2547" s="5">
        <v>106</v>
      </c>
      <c r="C2547" s="5">
        <v>4</v>
      </c>
      <c r="D2547" s="379">
        <v>45.016111111111115</v>
      </c>
      <c r="E2547" s="25">
        <v>24.99</v>
      </c>
      <c r="F2547" s="379">
        <v>16.872557066954947</v>
      </c>
      <c r="G2547" s="25">
        <v>44.74</v>
      </c>
      <c r="H2547" s="379">
        <v>8.4115372345980077</v>
      </c>
      <c r="I2547" s="25">
        <v>60.85</v>
      </c>
      <c r="J2547" s="379">
        <v>6.9250800738906513</v>
      </c>
    </row>
    <row r="2548" spans="1:10" x14ac:dyDescent="0.35">
      <c r="A2548" s="5">
        <v>2544</v>
      </c>
      <c r="B2548" s="5">
        <v>106</v>
      </c>
      <c r="C2548" s="5">
        <v>4</v>
      </c>
      <c r="D2548" s="379">
        <v>43.028888888888886</v>
      </c>
      <c r="E2548" s="25">
        <v>24.84</v>
      </c>
      <c r="F2548" s="379">
        <v>17.228442435775776</v>
      </c>
      <c r="G2548" s="25">
        <v>44.74</v>
      </c>
      <c r="H2548" s="379">
        <v>8.2552540704011932</v>
      </c>
      <c r="I2548" s="25">
        <v>58.7</v>
      </c>
      <c r="J2548" s="379">
        <v>6.2790880044091271</v>
      </c>
    </row>
    <row r="2549" spans="1:10" x14ac:dyDescent="0.35">
      <c r="A2549" s="5">
        <v>2545</v>
      </c>
      <c r="B2549" s="5">
        <v>107</v>
      </c>
      <c r="C2549" s="5">
        <v>4</v>
      </c>
      <c r="D2549" s="379">
        <v>40.239444444444445</v>
      </c>
      <c r="E2549" s="25">
        <v>24.84</v>
      </c>
      <c r="F2549" s="379">
        <v>15.445255550487087</v>
      </c>
      <c r="G2549" s="25">
        <v>37.25</v>
      </c>
      <c r="H2549" s="379">
        <v>9.0868449225169616</v>
      </c>
      <c r="I2549" s="25">
        <v>49.53</v>
      </c>
      <c r="J2549" s="379">
        <v>6.0229644880418736</v>
      </c>
    </row>
    <row r="2550" spans="1:10" x14ac:dyDescent="0.35">
      <c r="A2550" s="5">
        <v>2546</v>
      </c>
      <c r="B2550" s="5">
        <v>107</v>
      </c>
      <c r="C2550" s="5">
        <v>4</v>
      </c>
      <c r="D2550" s="379">
        <v>39.301666666666669</v>
      </c>
      <c r="E2550" s="25">
        <v>24.12</v>
      </c>
      <c r="F2550" s="379">
        <v>14.438473760921321</v>
      </c>
      <c r="G2550" s="25">
        <v>36.880000000000003</v>
      </c>
      <c r="H2550" s="379">
        <v>8.2289837687660903</v>
      </c>
      <c r="I2550" s="25">
        <v>47.79</v>
      </c>
      <c r="J2550" s="379">
        <v>6.1049711743091475</v>
      </c>
    </row>
    <row r="2551" spans="1:10" x14ac:dyDescent="0.35">
      <c r="A2551" s="5">
        <v>2547</v>
      </c>
      <c r="B2551" s="5">
        <v>107</v>
      </c>
      <c r="C2551" s="5">
        <v>4</v>
      </c>
      <c r="D2551" s="379">
        <v>37.426666666666669</v>
      </c>
      <c r="E2551" s="25">
        <v>24.12</v>
      </c>
      <c r="F2551" s="379">
        <v>14.944374264107109</v>
      </c>
      <c r="G2551" s="25">
        <v>36.880000000000003</v>
      </c>
      <c r="H2551" s="379">
        <v>8.3962783172840716</v>
      </c>
      <c r="I2551" s="25">
        <v>47.31</v>
      </c>
      <c r="J2551" s="379">
        <v>6.2589303124507456</v>
      </c>
    </row>
    <row r="2552" spans="1:10" x14ac:dyDescent="0.35">
      <c r="A2552" s="5">
        <v>2548</v>
      </c>
      <c r="B2552" s="5">
        <v>107</v>
      </c>
      <c r="C2552" s="5">
        <v>4</v>
      </c>
      <c r="D2552" s="379">
        <v>38.5</v>
      </c>
      <c r="E2552" s="25">
        <v>23.77</v>
      </c>
      <c r="F2552" s="379">
        <v>15.330395233830094</v>
      </c>
      <c r="G2552" s="25">
        <v>36.880000000000003</v>
      </c>
      <c r="H2552" s="379">
        <v>8.5425155206552343</v>
      </c>
      <c r="I2552" s="25">
        <v>44.6</v>
      </c>
      <c r="J2552" s="379">
        <v>6.2608918031563761</v>
      </c>
    </row>
    <row r="2553" spans="1:10" x14ac:dyDescent="0.35">
      <c r="A2553" s="5">
        <v>2549</v>
      </c>
      <c r="B2553" s="5">
        <v>107</v>
      </c>
      <c r="C2553" s="5">
        <v>4</v>
      </c>
      <c r="D2553" s="379">
        <v>39.723888888888894</v>
      </c>
      <c r="E2553" s="25">
        <v>24.12</v>
      </c>
      <c r="F2553" s="379">
        <v>14.736974030567442</v>
      </c>
      <c r="G2553" s="25">
        <v>36.880000000000003</v>
      </c>
      <c r="H2553" s="379">
        <v>8.6153446001639384</v>
      </c>
      <c r="I2553" s="25">
        <v>47.31</v>
      </c>
      <c r="J2553" s="379">
        <v>6.3551133935676205</v>
      </c>
    </row>
    <row r="2554" spans="1:10" x14ac:dyDescent="0.35">
      <c r="A2554" s="5">
        <v>2550</v>
      </c>
      <c r="B2554" s="5">
        <v>107</v>
      </c>
      <c r="C2554" s="5">
        <v>4</v>
      </c>
      <c r="D2554" s="379">
        <v>40.615555555555559</v>
      </c>
      <c r="E2554" s="25">
        <v>24.56</v>
      </c>
      <c r="F2554" s="379">
        <v>13.763196326292588</v>
      </c>
      <c r="G2554" s="25">
        <v>36.880000000000003</v>
      </c>
      <c r="H2554" s="379">
        <v>8.53695607999469</v>
      </c>
      <c r="I2554" s="25">
        <v>47.79</v>
      </c>
      <c r="J2554" s="379">
        <v>6.7258105768393461</v>
      </c>
    </row>
    <row r="2555" spans="1:10" x14ac:dyDescent="0.35">
      <c r="A2555" s="5">
        <v>2551</v>
      </c>
      <c r="B2555" s="5">
        <v>107</v>
      </c>
      <c r="C2555" s="5">
        <v>4</v>
      </c>
      <c r="D2555" s="379">
        <v>40.094999999999992</v>
      </c>
      <c r="E2555" s="25">
        <v>24.84</v>
      </c>
      <c r="F2555" s="379">
        <v>14.894335981596834</v>
      </c>
      <c r="G2555" s="25">
        <v>38.03</v>
      </c>
      <c r="H2555" s="379">
        <v>8.5192578616925001</v>
      </c>
      <c r="I2555" s="25">
        <v>48.09</v>
      </c>
      <c r="J2555" s="379">
        <v>6.9552164346353527</v>
      </c>
    </row>
    <row r="2556" spans="1:10" x14ac:dyDescent="0.35">
      <c r="A2556" s="5">
        <v>2552</v>
      </c>
      <c r="B2556" s="5">
        <v>107</v>
      </c>
      <c r="C2556" s="5">
        <v>4</v>
      </c>
      <c r="D2556" s="379">
        <v>38.824444444444445</v>
      </c>
      <c r="E2556" s="25">
        <v>24.84</v>
      </c>
      <c r="F2556" s="379">
        <v>8.4692391825829691</v>
      </c>
      <c r="G2556" s="25">
        <v>43.39</v>
      </c>
      <c r="H2556" s="379">
        <v>7.1048055861643382</v>
      </c>
      <c r="I2556" s="25">
        <v>51.72</v>
      </c>
      <c r="J2556" s="379">
        <v>0.99177562659130314</v>
      </c>
    </row>
    <row r="2557" spans="1:10" x14ac:dyDescent="0.35">
      <c r="A2557" s="5">
        <v>2553</v>
      </c>
      <c r="B2557" s="5">
        <v>107</v>
      </c>
      <c r="C2557" s="5">
        <v>4</v>
      </c>
      <c r="D2557" s="379">
        <v>34.61333333333333</v>
      </c>
      <c r="E2557" s="25">
        <v>24.99</v>
      </c>
      <c r="F2557" s="379">
        <v>8.3570865419290552</v>
      </c>
      <c r="G2557" s="25">
        <v>43.39</v>
      </c>
      <c r="H2557" s="379">
        <v>7.1750572925280398</v>
      </c>
      <c r="I2557" s="25">
        <v>51.72</v>
      </c>
      <c r="J2557" s="379">
        <v>0.27777777777777779</v>
      </c>
    </row>
    <row r="2558" spans="1:10" x14ac:dyDescent="0.35">
      <c r="A2558" s="5">
        <v>2554</v>
      </c>
      <c r="B2558" s="5">
        <v>107</v>
      </c>
      <c r="C2558" s="5">
        <v>4</v>
      </c>
      <c r="D2558" s="379">
        <v>32.86944444444444</v>
      </c>
      <c r="E2558" s="25">
        <v>24.99</v>
      </c>
      <c r="F2558" s="379">
        <v>8.1174834595959613</v>
      </c>
      <c r="G2558" s="25">
        <v>43.39</v>
      </c>
      <c r="H2558" s="379">
        <v>5.8053845064224436</v>
      </c>
      <c r="I2558" s="25">
        <v>44.6</v>
      </c>
      <c r="J2558" s="379">
        <v>3.5260526623042723</v>
      </c>
    </row>
    <row r="2559" spans="1:10" x14ac:dyDescent="0.35">
      <c r="A2559" s="5">
        <v>2555</v>
      </c>
      <c r="B2559" s="5">
        <v>107</v>
      </c>
      <c r="C2559" s="5">
        <v>4</v>
      </c>
      <c r="D2559" s="379">
        <v>26.342777777777776</v>
      </c>
      <c r="E2559" s="25">
        <v>24.84</v>
      </c>
      <c r="F2559" s="379">
        <v>0.47222222222222221</v>
      </c>
      <c r="G2559" s="25">
        <v>43.39</v>
      </c>
      <c r="H2559" s="379">
        <v>4.9461268086447721</v>
      </c>
      <c r="I2559" s="25">
        <v>38.79</v>
      </c>
      <c r="J2559" s="379">
        <v>0.11622939616364372</v>
      </c>
    </row>
    <row r="2560" spans="1:10" x14ac:dyDescent="0.35">
      <c r="A2560" s="5">
        <v>2556</v>
      </c>
      <c r="B2560" s="5">
        <v>107</v>
      </c>
      <c r="C2560" s="5">
        <v>4</v>
      </c>
      <c r="D2560" s="379">
        <v>20.578333333333337</v>
      </c>
      <c r="E2560" s="25">
        <v>24.84</v>
      </c>
      <c r="F2560" s="379">
        <v>0.47222222222222221</v>
      </c>
      <c r="G2560" s="25">
        <v>42.17</v>
      </c>
      <c r="H2560" s="379">
        <v>5.2809600519129871</v>
      </c>
      <c r="I2560" s="25">
        <v>38.79</v>
      </c>
      <c r="J2560" s="379">
        <v>0.91638166379182129</v>
      </c>
    </row>
    <row r="2561" spans="1:10" x14ac:dyDescent="0.35">
      <c r="A2561" s="5">
        <v>2557</v>
      </c>
      <c r="B2561" s="5">
        <v>107</v>
      </c>
      <c r="C2561" s="5">
        <v>4</v>
      </c>
      <c r="D2561" s="379">
        <v>14.659999999999998</v>
      </c>
      <c r="E2561" s="25">
        <v>24.11</v>
      </c>
      <c r="F2561" s="379">
        <v>5.0217212752743734</v>
      </c>
      <c r="G2561" s="25">
        <v>37.979999999999997</v>
      </c>
      <c r="H2561" s="379">
        <v>5.566035640254106</v>
      </c>
      <c r="I2561" s="25">
        <v>37.909999999999997</v>
      </c>
      <c r="J2561" s="379">
        <v>0.9028206600912374</v>
      </c>
    </row>
    <row r="2562" spans="1:10" x14ac:dyDescent="0.35">
      <c r="A2562" s="5">
        <v>2558</v>
      </c>
      <c r="B2562" s="5">
        <v>107</v>
      </c>
      <c r="C2562" s="5">
        <v>4</v>
      </c>
      <c r="D2562" s="379">
        <v>14.591666666666665</v>
      </c>
      <c r="E2562" s="25">
        <v>23.84</v>
      </c>
      <c r="F2562" s="379">
        <v>0.47222222222222221</v>
      </c>
      <c r="G2562" s="25">
        <v>36.880000000000003</v>
      </c>
      <c r="H2562" s="379">
        <v>5.0429159583381091</v>
      </c>
      <c r="I2562" s="25">
        <v>37.909999999999997</v>
      </c>
      <c r="J2562" s="379">
        <v>2.0291862601695674</v>
      </c>
    </row>
    <row r="2563" spans="1:10" x14ac:dyDescent="0.35">
      <c r="A2563" s="5">
        <v>2559</v>
      </c>
      <c r="B2563" s="5">
        <v>107</v>
      </c>
      <c r="C2563" s="5">
        <v>4</v>
      </c>
      <c r="D2563" s="379">
        <v>13.493888888888888</v>
      </c>
      <c r="E2563" s="25">
        <v>23.84</v>
      </c>
      <c r="F2563" s="379">
        <v>0.47222222222222221</v>
      </c>
      <c r="G2563" s="25">
        <v>36.880000000000003</v>
      </c>
      <c r="H2563" s="379">
        <v>5.1134719687207042</v>
      </c>
      <c r="I2563" s="25">
        <v>35.799999999999997</v>
      </c>
      <c r="J2563" s="379">
        <v>1.7725065874319603</v>
      </c>
    </row>
    <row r="2564" spans="1:10" x14ac:dyDescent="0.35">
      <c r="A2564" s="5">
        <v>2560</v>
      </c>
      <c r="B2564" s="5">
        <v>107</v>
      </c>
      <c r="C2564" s="5">
        <v>4</v>
      </c>
      <c r="D2564" s="379">
        <v>20.578333333333337</v>
      </c>
      <c r="E2564" s="25">
        <v>23.84</v>
      </c>
      <c r="F2564" s="379">
        <v>0.47222222222222221</v>
      </c>
      <c r="G2564" s="25">
        <v>36.880000000000003</v>
      </c>
      <c r="H2564" s="379">
        <v>4.968658505445382</v>
      </c>
      <c r="I2564" s="25">
        <v>38.79</v>
      </c>
      <c r="J2564" s="379">
        <v>1.0134068303959975</v>
      </c>
    </row>
    <row r="2565" spans="1:10" x14ac:dyDescent="0.35">
      <c r="A2565" s="5">
        <v>2561</v>
      </c>
      <c r="B2565" s="5">
        <v>107</v>
      </c>
      <c r="C2565" s="5">
        <v>4</v>
      </c>
      <c r="D2565" s="379">
        <v>29.458888888888886</v>
      </c>
      <c r="E2565" s="25">
        <v>23.84</v>
      </c>
      <c r="F2565" s="379">
        <v>8.1174834595959595</v>
      </c>
      <c r="G2565" s="25">
        <v>36.880000000000003</v>
      </c>
      <c r="H2565" s="379">
        <v>4.9180274280486787</v>
      </c>
      <c r="I2565" s="25">
        <v>38.79</v>
      </c>
      <c r="J2565" s="379">
        <v>3.0465536960792909</v>
      </c>
    </row>
    <row r="2566" spans="1:10" x14ac:dyDescent="0.35">
      <c r="A2566" s="5">
        <v>2562</v>
      </c>
      <c r="B2566" s="5">
        <v>107</v>
      </c>
      <c r="C2566" s="5">
        <v>4</v>
      </c>
      <c r="D2566" s="379">
        <v>44.733333333333341</v>
      </c>
      <c r="E2566" s="25">
        <v>24.56</v>
      </c>
      <c r="F2566" s="379">
        <v>8.5408949103540781</v>
      </c>
      <c r="G2566" s="25">
        <v>42.29</v>
      </c>
      <c r="H2566" s="379">
        <v>7.4393943182108035</v>
      </c>
      <c r="I2566" s="25">
        <v>44.6</v>
      </c>
      <c r="J2566" s="379">
        <v>4.91768674080053</v>
      </c>
    </row>
    <row r="2567" spans="1:10" x14ac:dyDescent="0.35">
      <c r="A2567" s="5">
        <v>2563</v>
      </c>
      <c r="B2567" s="5">
        <v>107</v>
      </c>
      <c r="C2567" s="5">
        <v>4</v>
      </c>
      <c r="D2567" s="379">
        <v>47.963333333333338</v>
      </c>
      <c r="E2567" s="25">
        <v>24.84</v>
      </c>
      <c r="F2567" s="379">
        <v>11.393527957551425</v>
      </c>
      <c r="G2567" s="25">
        <v>43.39</v>
      </c>
      <c r="H2567" s="379">
        <v>8.4859146643812089</v>
      </c>
      <c r="I2567" s="25">
        <v>47.79</v>
      </c>
      <c r="J2567" s="379">
        <v>5.8714155057053343</v>
      </c>
    </row>
    <row r="2568" spans="1:10" x14ac:dyDescent="0.35">
      <c r="A2568" s="5">
        <v>2564</v>
      </c>
      <c r="B2568" s="5">
        <v>107</v>
      </c>
      <c r="C2568" s="5">
        <v>4</v>
      </c>
      <c r="D2568" s="379">
        <v>49.382222222222218</v>
      </c>
      <c r="E2568" s="25">
        <v>24.84</v>
      </c>
      <c r="F2568" s="379">
        <v>11.175528493186079</v>
      </c>
      <c r="G2568" s="25">
        <v>43.39</v>
      </c>
      <c r="H2568" s="379">
        <v>6.7782605186733598</v>
      </c>
      <c r="I2568" s="25">
        <v>50.13</v>
      </c>
      <c r="J2568" s="379">
        <v>5.7520172711794038</v>
      </c>
    </row>
    <row r="2569" spans="1:10" x14ac:dyDescent="0.35">
      <c r="A2569" s="5">
        <v>2565</v>
      </c>
      <c r="B2569" s="5">
        <v>107</v>
      </c>
      <c r="C2569" s="5">
        <v>4</v>
      </c>
      <c r="D2569" s="379">
        <v>49.29944444444444</v>
      </c>
      <c r="E2569" s="25">
        <v>24.84</v>
      </c>
      <c r="F2569" s="379">
        <v>11.175930115082986</v>
      </c>
      <c r="G2569" s="25">
        <v>43.39</v>
      </c>
      <c r="H2569" s="379">
        <v>7.5918275586345967</v>
      </c>
      <c r="I2569" s="25">
        <v>50.13</v>
      </c>
      <c r="J2569" s="379">
        <v>3.6484505800636127</v>
      </c>
    </row>
    <row r="2570" spans="1:10" x14ac:dyDescent="0.35">
      <c r="A2570" s="5">
        <v>2566</v>
      </c>
      <c r="B2570" s="5">
        <v>107</v>
      </c>
      <c r="C2570" s="5">
        <v>4</v>
      </c>
      <c r="D2570" s="379">
        <v>45.392222222222223</v>
      </c>
      <c r="E2570" s="25">
        <v>24.84</v>
      </c>
      <c r="F2570" s="379">
        <v>11.986816771286529</v>
      </c>
      <c r="G2570" s="25">
        <v>43.39</v>
      </c>
      <c r="H2570" s="379">
        <v>8.260437973232623</v>
      </c>
      <c r="I2570" s="25">
        <v>50.13</v>
      </c>
      <c r="J2570" s="379">
        <v>6.0869900780608219</v>
      </c>
    </row>
    <row r="2571" spans="1:10" x14ac:dyDescent="0.35">
      <c r="A2571" s="5">
        <v>2567</v>
      </c>
      <c r="B2571" s="5">
        <v>107</v>
      </c>
      <c r="C2571" s="5">
        <v>4</v>
      </c>
      <c r="D2571" s="379">
        <v>42.011666666666663</v>
      </c>
      <c r="E2571" s="25">
        <v>24.84</v>
      </c>
      <c r="F2571" s="379">
        <v>11.466200219356558</v>
      </c>
      <c r="G2571" s="25">
        <v>43.08</v>
      </c>
      <c r="H2571" s="379">
        <v>8.2595876653714804</v>
      </c>
      <c r="I2571" s="25">
        <v>48.86</v>
      </c>
      <c r="J2571" s="379">
        <v>5.934720591677662</v>
      </c>
    </row>
    <row r="2572" spans="1:10" x14ac:dyDescent="0.35">
      <c r="A2572" s="5">
        <v>2568</v>
      </c>
      <c r="B2572" s="5">
        <v>107</v>
      </c>
      <c r="C2572" s="5">
        <v>4</v>
      </c>
      <c r="D2572" s="379">
        <v>31.016666666666669</v>
      </c>
      <c r="E2572" s="25">
        <v>24.12</v>
      </c>
      <c r="F2572" s="379">
        <v>11.852442825653732</v>
      </c>
      <c r="G2572" s="25">
        <v>37.25</v>
      </c>
      <c r="H2572" s="379">
        <v>7.9285036353288261</v>
      </c>
      <c r="I2572" s="25">
        <v>39.18</v>
      </c>
      <c r="J2572" s="379">
        <v>5.6172047701895798</v>
      </c>
    </row>
    <row r="2573" spans="1:10" x14ac:dyDescent="0.35">
      <c r="A2573" s="5">
        <v>2569</v>
      </c>
      <c r="B2573" s="5">
        <v>108</v>
      </c>
      <c r="C2573" s="5">
        <v>4</v>
      </c>
      <c r="D2573" s="379">
        <v>27.023888888888887</v>
      </c>
      <c r="E2573" s="25">
        <v>24.12</v>
      </c>
      <c r="F2573" s="379">
        <v>11.500645451448518</v>
      </c>
      <c r="G2573" s="25">
        <v>32.04</v>
      </c>
      <c r="H2573" s="379">
        <v>8.4864777576871013</v>
      </c>
      <c r="I2573" s="25">
        <v>44.6</v>
      </c>
      <c r="J2573" s="379">
        <v>5.2263508625153001</v>
      </c>
    </row>
    <row r="2574" spans="1:10" x14ac:dyDescent="0.35">
      <c r="A2574" s="5">
        <v>2570</v>
      </c>
      <c r="B2574" s="5">
        <v>108</v>
      </c>
      <c r="C2574" s="5">
        <v>4</v>
      </c>
      <c r="D2574" s="379">
        <v>27.629444444444445</v>
      </c>
      <c r="E2574" s="25">
        <v>24.12</v>
      </c>
      <c r="F2574" s="379">
        <v>11.136753989058786</v>
      </c>
      <c r="G2574" s="25">
        <v>31.11</v>
      </c>
      <c r="H2574" s="379">
        <v>7.7881529113231549</v>
      </c>
      <c r="I2574" s="25">
        <v>38.79</v>
      </c>
      <c r="J2574" s="379">
        <v>5.2282965439344027</v>
      </c>
    </row>
    <row r="2575" spans="1:10" x14ac:dyDescent="0.35">
      <c r="A2575" s="5">
        <v>2571</v>
      </c>
      <c r="B2575" s="5">
        <v>108</v>
      </c>
      <c r="C2575" s="5">
        <v>4</v>
      </c>
      <c r="D2575" s="379">
        <v>27.110555555555553</v>
      </c>
      <c r="E2575" s="25">
        <v>24.12</v>
      </c>
      <c r="F2575" s="379">
        <v>11.117965626301718</v>
      </c>
      <c r="G2575" s="25">
        <v>31.11</v>
      </c>
      <c r="H2575" s="379">
        <v>7.8788976180745394</v>
      </c>
      <c r="I2575" s="25">
        <v>37.979999999999997</v>
      </c>
      <c r="J2575" s="379">
        <v>4.6361402043037607</v>
      </c>
    </row>
    <row r="2576" spans="1:10" x14ac:dyDescent="0.35">
      <c r="A2576" s="5">
        <v>2572</v>
      </c>
      <c r="B2576" s="5">
        <v>108</v>
      </c>
      <c r="C2576" s="5">
        <v>4</v>
      </c>
      <c r="D2576" s="379">
        <v>28.112777777777772</v>
      </c>
      <c r="E2576" s="25">
        <v>24.84</v>
      </c>
      <c r="F2576" s="379">
        <v>9.7848233033955765</v>
      </c>
      <c r="G2576" s="25">
        <v>31.11</v>
      </c>
      <c r="H2576" s="379">
        <v>8.2353884156321762</v>
      </c>
      <c r="I2576" s="25">
        <v>37.979999999999997</v>
      </c>
      <c r="J2576" s="379">
        <v>5.8728096503863236</v>
      </c>
    </row>
    <row r="2577" spans="1:10" x14ac:dyDescent="0.35">
      <c r="A2577" s="5">
        <v>2573</v>
      </c>
      <c r="B2577" s="5">
        <v>108</v>
      </c>
      <c r="C2577" s="5">
        <v>4</v>
      </c>
      <c r="D2577" s="379">
        <v>29.418333333333329</v>
      </c>
      <c r="E2577" s="25">
        <v>24.84</v>
      </c>
      <c r="F2577" s="379">
        <v>9.7848233033955765</v>
      </c>
      <c r="G2577" s="25">
        <v>31.34</v>
      </c>
      <c r="H2577" s="379">
        <v>8.5691659120565689</v>
      </c>
      <c r="I2577" s="25">
        <v>37.979999999999997</v>
      </c>
      <c r="J2577" s="379">
        <v>5.2063593344156045</v>
      </c>
    </row>
    <row r="2578" spans="1:10" x14ac:dyDescent="0.35">
      <c r="A2578" s="5">
        <v>2574</v>
      </c>
      <c r="B2578" s="5">
        <v>108</v>
      </c>
      <c r="C2578" s="5">
        <v>4</v>
      </c>
      <c r="D2578" s="379">
        <v>34.596111111111114</v>
      </c>
      <c r="E2578" s="25">
        <v>24.84</v>
      </c>
      <c r="F2578" s="379">
        <v>9.5224618782650658</v>
      </c>
      <c r="G2578" s="25">
        <v>31.34</v>
      </c>
      <c r="H2578" s="379">
        <v>8.0720778136505515</v>
      </c>
      <c r="I2578" s="25">
        <v>37.979999999999997</v>
      </c>
      <c r="J2578" s="379">
        <v>5.4125980030221283</v>
      </c>
    </row>
    <row r="2579" spans="1:10" x14ac:dyDescent="0.35">
      <c r="A2579" s="5">
        <v>2575</v>
      </c>
      <c r="B2579" s="5">
        <v>108</v>
      </c>
      <c r="C2579" s="5">
        <v>4</v>
      </c>
      <c r="D2579" s="379">
        <v>36.481666666666669</v>
      </c>
      <c r="E2579" s="25">
        <v>24.84</v>
      </c>
      <c r="F2579" s="379">
        <v>8.7594614404246371</v>
      </c>
      <c r="G2579" s="25">
        <v>31.84</v>
      </c>
      <c r="H2579" s="379">
        <v>8.3836731289976107</v>
      </c>
      <c r="I2579" s="25">
        <v>37.979999999999997</v>
      </c>
      <c r="J2579" s="379">
        <v>6.1111906592122454</v>
      </c>
    </row>
    <row r="2580" spans="1:10" x14ac:dyDescent="0.35">
      <c r="A2580" s="5">
        <v>2576</v>
      </c>
      <c r="B2580" s="5">
        <v>108</v>
      </c>
      <c r="C2580" s="5">
        <v>4</v>
      </c>
      <c r="D2580" s="379">
        <v>36.365555555555552</v>
      </c>
      <c r="E2580" s="25">
        <v>24.84</v>
      </c>
      <c r="F2580" s="379">
        <v>8.6059868725766702</v>
      </c>
      <c r="G2580" s="25">
        <v>31.84</v>
      </c>
      <c r="H2580" s="379">
        <v>8.0465419388396455</v>
      </c>
      <c r="I2580" s="25">
        <v>38.79</v>
      </c>
      <c r="J2580" s="379">
        <v>4.252705372176905</v>
      </c>
    </row>
    <row r="2581" spans="1:10" x14ac:dyDescent="0.35">
      <c r="A2581" s="5">
        <v>2577</v>
      </c>
      <c r="B2581" s="5">
        <v>108</v>
      </c>
      <c r="C2581" s="5">
        <v>4</v>
      </c>
      <c r="D2581" s="379">
        <v>36.065555555555555</v>
      </c>
      <c r="E2581" s="25">
        <v>24.84</v>
      </c>
      <c r="F2581" s="379">
        <v>8.1174834595959595</v>
      </c>
      <c r="G2581" s="25">
        <v>31.84</v>
      </c>
      <c r="H2581" s="379">
        <v>6.8358815690489925</v>
      </c>
      <c r="I2581" s="25">
        <v>37.979999999999997</v>
      </c>
      <c r="J2581" s="379">
        <v>3.008094887708205</v>
      </c>
    </row>
    <row r="2582" spans="1:10" x14ac:dyDescent="0.35">
      <c r="A2582" s="5">
        <v>2578</v>
      </c>
      <c r="B2582" s="5">
        <v>108</v>
      </c>
      <c r="C2582" s="5">
        <v>4</v>
      </c>
      <c r="D2582" s="379">
        <v>31.808333333333337</v>
      </c>
      <c r="E2582" s="25">
        <v>24.84</v>
      </c>
      <c r="F2582" s="379">
        <v>5.3145266987189128</v>
      </c>
      <c r="G2582" s="25">
        <v>31.52</v>
      </c>
      <c r="H2582" s="379">
        <v>3.1399544863332181</v>
      </c>
      <c r="I2582" s="25">
        <v>34.01</v>
      </c>
      <c r="J2582" s="379">
        <v>3.1488319658607762</v>
      </c>
    </row>
    <row r="2583" spans="1:10" x14ac:dyDescent="0.35">
      <c r="A2583" s="5">
        <v>2579</v>
      </c>
      <c r="B2583" s="5">
        <v>108</v>
      </c>
      <c r="C2583" s="5">
        <v>4</v>
      </c>
      <c r="D2583" s="379">
        <v>28.97388888888889</v>
      </c>
      <c r="E2583" s="25">
        <v>24.84</v>
      </c>
      <c r="F2583" s="379">
        <v>5.0356398201534533</v>
      </c>
      <c r="G2583" s="25">
        <v>31.22</v>
      </c>
      <c r="H2583" s="379">
        <v>6.1828166055250868</v>
      </c>
      <c r="I2583" s="25">
        <v>33.67</v>
      </c>
      <c r="J2583" s="379">
        <v>2.1125109375246116</v>
      </c>
    </row>
    <row r="2584" spans="1:10" x14ac:dyDescent="0.35">
      <c r="A2584" s="5">
        <v>2580</v>
      </c>
      <c r="B2584" s="5">
        <v>108</v>
      </c>
      <c r="C2584" s="5">
        <v>4</v>
      </c>
      <c r="D2584" s="379">
        <v>26.61</v>
      </c>
      <c r="E2584" s="25">
        <v>24.84</v>
      </c>
      <c r="F2584" s="379">
        <v>5.0356398201534533</v>
      </c>
      <c r="G2584" s="25">
        <v>31.19</v>
      </c>
      <c r="H2584" s="379">
        <v>3.5469088825110719</v>
      </c>
      <c r="I2584" s="25">
        <v>33.67</v>
      </c>
      <c r="J2584" s="379">
        <v>2.1126587652295896</v>
      </c>
    </row>
    <row r="2585" spans="1:10" x14ac:dyDescent="0.35">
      <c r="A2585" s="5">
        <v>2581</v>
      </c>
      <c r="B2585" s="5">
        <v>108</v>
      </c>
      <c r="C2585" s="5">
        <v>4</v>
      </c>
      <c r="D2585" s="379">
        <v>24.543888888888887</v>
      </c>
      <c r="E2585" s="25">
        <v>23.77</v>
      </c>
      <c r="F2585" s="379">
        <v>5.0356398201534533</v>
      </c>
      <c r="G2585" s="25">
        <v>31.03</v>
      </c>
      <c r="H2585" s="379">
        <v>5.8433213574741067</v>
      </c>
      <c r="I2585" s="25">
        <v>33.67</v>
      </c>
      <c r="J2585" s="379">
        <v>2.1126587652295896</v>
      </c>
    </row>
    <row r="2586" spans="1:10" x14ac:dyDescent="0.35">
      <c r="A2586" s="5">
        <v>2582</v>
      </c>
      <c r="B2586" s="5">
        <v>108</v>
      </c>
      <c r="C2586" s="5">
        <v>4</v>
      </c>
      <c r="D2586" s="379">
        <v>18.362222222222222</v>
      </c>
      <c r="E2586" s="25">
        <v>23.77</v>
      </c>
      <c r="F2586" s="379">
        <v>5.0356398201534533</v>
      </c>
      <c r="G2586" s="25">
        <v>30.91</v>
      </c>
      <c r="H2586" s="379">
        <v>2.9327308174277267</v>
      </c>
      <c r="I2586" s="25">
        <v>33.67</v>
      </c>
      <c r="J2586" s="379">
        <v>2.1125109375246116</v>
      </c>
    </row>
    <row r="2587" spans="1:10" x14ac:dyDescent="0.35">
      <c r="A2587" s="5">
        <v>2583</v>
      </c>
      <c r="B2587" s="5">
        <v>108</v>
      </c>
      <c r="C2587" s="5">
        <v>4</v>
      </c>
      <c r="D2587" s="379">
        <v>22.165555555555557</v>
      </c>
      <c r="E2587" s="25">
        <v>23.77</v>
      </c>
      <c r="F2587" s="379">
        <v>4.7555582654498378</v>
      </c>
      <c r="G2587" s="25">
        <v>30.91</v>
      </c>
      <c r="H2587" s="379">
        <v>2.6309098388029906</v>
      </c>
      <c r="I2587" s="25">
        <v>33.67</v>
      </c>
      <c r="J2587" s="379">
        <v>2.1049368748620552</v>
      </c>
    </row>
    <row r="2588" spans="1:10" x14ac:dyDescent="0.35">
      <c r="A2588" s="5">
        <v>2584</v>
      </c>
      <c r="B2588" s="5">
        <v>108</v>
      </c>
      <c r="C2588" s="5">
        <v>4</v>
      </c>
      <c r="D2588" s="379">
        <v>30.818888888888889</v>
      </c>
      <c r="E2588" s="25">
        <v>23.59</v>
      </c>
      <c r="F2588" s="379">
        <v>8.1174834595959577</v>
      </c>
      <c r="G2588" s="25">
        <v>30.91</v>
      </c>
      <c r="H2588" s="379">
        <v>2.6644564643118529</v>
      </c>
      <c r="I2588" s="25">
        <v>33.67</v>
      </c>
      <c r="J2588" s="379">
        <v>2.1125109375246116</v>
      </c>
    </row>
    <row r="2589" spans="1:10" x14ac:dyDescent="0.35">
      <c r="A2589" s="5">
        <v>2585</v>
      </c>
      <c r="B2589" s="5">
        <v>108</v>
      </c>
      <c r="C2589" s="5">
        <v>4</v>
      </c>
      <c r="D2589" s="379">
        <v>37.99666666666667</v>
      </c>
      <c r="E2589" s="25">
        <v>23.77</v>
      </c>
      <c r="F2589" s="379">
        <v>8.1174834595959613</v>
      </c>
      <c r="G2589" s="25">
        <v>31.03</v>
      </c>
      <c r="H2589" s="379">
        <v>6.1992089601591358</v>
      </c>
      <c r="I2589" s="25">
        <v>33.67</v>
      </c>
      <c r="J2589" s="379">
        <v>2.1533479600255894</v>
      </c>
    </row>
    <row r="2590" spans="1:10" x14ac:dyDescent="0.35">
      <c r="A2590" s="5">
        <v>2586</v>
      </c>
      <c r="B2590" s="5">
        <v>108</v>
      </c>
      <c r="C2590" s="5">
        <v>4</v>
      </c>
      <c r="D2590" s="379">
        <v>47.274999999999999</v>
      </c>
      <c r="E2590" s="25">
        <v>24.56</v>
      </c>
      <c r="F2590" s="379">
        <v>9.8252626944751231</v>
      </c>
      <c r="G2590" s="25">
        <v>31.11</v>
      </c>
      <c r="H2590" s="379">
        <v>10.455140132284074</v>
      </c>
      <c r="I2590" s="25">
        <v>33.67</v>
      </c>
      <c r="J2590" s="379">
        <v>1.697502908225057</v>
      </c>
    </row>
    <row r="2591" spans="1:10" x14ac:dyDescent="0.35">
      <c r="A2591" s="5">
        <v>2587</v>
      </c>
      <c r="B2591" s="5">
        <v>108</v>
      </c>
      <c r="C2591" s="5">
        <v>4</v>
      </c>
      <c r="D2591" s="379">
        <v>54.142777777777773</v>
      </c>
      <c r="E2591" s="25">
        <v>24.84</v>
      </c>
      <c r="F2591" s="379">
        <v>14.287082666639478</v>
      </c>
      <c r="G2591" s="25">
        <v>31.34</v>
      </c>
      <c r="H2591" s="379">
        <v>10.548335097235444</v>
      </c>
      <c r="I2591" s="25">
        <v>34.82</v>
      </c>
      <c r="J2591" s="379">
        <v>5.6425221495332956</v>
      </c>
    </row>
    <row r="2592" spans="1:10" x14ac:dyDescent="0.35">
      <c r="A2592" s="5">
        <v>2588</v>
      </c>
      <c r="B2592" s="5">
        <v>108</v>
      </c>
      <c r="C2592" s="5">
        <v>4</v>
      </c>
      <c r="D2592" s="379">
        <v>55.685000000000002</v>
      </c>
      <c r="E2592" s="25">
        <v>24.84</v>
      </c>
      <c r="F2592" s="379">
        <v>12.793169455884897</v>
      </c>
      <c r="G2592" s="25">
        <v>43.56</v>
      </c>
      <c r="H2592" s="379">
        <v>10.096582759800169</v>
      </c>
      <c r="I2592" s="25">
        <v>47.31</v>
      </c>
      <c r="J2592" s="379">
        <v>5.2402196849473182</v>
      </c>
    </row>
    <row r="2593" spans="1:10" x14ac:dyDescent="0.35">
      <c r="A2593" s="5">
        <v>2589</v>
      </c>
      <c r="B2593" s="5">
        <v>108</v>
      </c>
      <c r="C2593" s="5">
        <v>4</v>
      </c>
      <c r="D2593" s="379">
        <v>52.648888888888891</v>
      </c>
      <c r="E2593" s="25">
        <v>24.84</v>
      </c>
      <c r="F2593" s="379">
        <v>14.089906569849862</v>
      </c>
      <c r="G2593" s="25">
        <v>43.56</v>
      </c>
      <c r="H2593" s="379">
        <v>10.050573790446423</v>
      </c>
      <c r="I2593" s="25">
        <v>49.22</v>
      </c>
      <c r="J2593" s="379">
        <v>4.3570230591751695</v>
      </c>
    </row>
    <row r="2594" spans="1:10" x14ac:dyDescent="0.35">
      <c r="A2594" s="5">
        <v>2590</v>
      </c>
      <c r="B2594" s="5">
        <v>108</v>
      </c>
      <c r="C2594" s="5">
        <v>4</v>
      </c>
      <c r="D2594" s="379">
        <v>50.257777777777775</v>
      </c>
      <c r="E2594" s="25">
        <v>24.84</v>
      </c>
      <c r="F2594" s="379">
        <v>14.107486054964127</v>
      </c>
      <c r="G2594" s="25">
        <v>42.19</v>
      </c>
      <c r="H2594" s="379">
        <v>10.052630144994058</v>
      </c>
      <c r="I2594" s="25">
        <v>48.73</v>
      </c>
      <c r="J2594" s="379">
        <v>4.988518871549533</v>
      </c>
    </row>
    <row r="2595" spans="1:10" x14ac:dyDescent="0.35">
      <c r="A2595" s="5">
        <v>2591</v>
      </c>
      <c r="B2595" s="5">
        <v>108</v>
      </c>
      <c r="C2595" s="5">
        <v>4</v>
      </c>
      <c r="D2595" s="379">
        <v>47.525555555555556</v>
      </c>
      <c r="E2595" s="25">
        <v>24.84</v>
      </c>
      <c r="F2595" s="379">
        <v>14.220519090824453</v>
      </c>
      <c r="G2595" s="25">
        <v>37.020000000000003</v>
      </c>
      <c r="H2595" s="379">
        <v>10.232116503245889</v>
      </c>
      <c r="I2595" s="25">
        <v>44.6</v>
      </c>
      <c r="J2595" s="379">
        <v>5.8743453568962085</v>
      </c>
    </row>
    <row r="2596" spans="1:10" x14ac:dyDescent="0.35">
      <c r="A2596" s="5">
        <v>2592</v>
      </c>
      <c r="B2596" s="5">
        <v>108</v>
      </c>
      <c r="C2596" s="5">
        <v>4</v>
      </c>
      <c r="D2596" s="379">
        <v>47.170555555555552</v>
      </c>
      <c r="E2596" s="25">
        <v>24.84</v>
      </c>
      <c r="F2596" s="379">
        <v>12.927532301852317</v>
      </c>
      <c r="G2596" s="25">
        <v>37.020000000000003</v>
      </c>
      <c r="H2596" s="379">
        <v>10.265839732326468</v>
      </c>
      <c r="I2596" s="25">
        <v>43.36</v>
      </c>
      <c r="J2596" s="379">
        <v>6.230374921021216</v>
      </c>
    </row>
    <row r="2597" spans="1:10" x14ac:dyDescent="0.35">
      <c r="A2597" s="5">
        <v>2593</v>
      </c>
      <c r="B2597" s="5">
        <v>109</v>
      </c>
      <c r="C2597" s="5">
        <v>4</v>
      </c>
      <c r="D2597" s="379">
        <v>45.06444444444444</v>
      </c>
      <c r="E2597" s="25">
        <v>24.84</v>
      </c>
      <c r="F2597" s="379">
        <v>14.024990821722685</v>
      </c>
      <c r="G2597" s="25">
        <v>37.020000000000003</v>
      </c>
      <c r="H2597" s="379">
        <v>9.7839165857285302</v>
      </c>
      <c r="I2597" s="25">
        <v>52.55</v>
      </c>
      <c r="J2597" s="379">
        <v>5.1295471596960969</v>
      </c>
    </row>
    <row r="2598" spans="1:10" x14ac:dyDescent="0.35">
      <c r="A2598" s="5">
        <v>2594</v>
      </c>
      <c r="B2598" s="5">
        <v>109</v>
      </c>
      <c r="C2598" s="5">
        <v>4</v>
      </c>
      <c r="D2598" s="379">
        <v>44.673888888888889</v>
      </c>
      <c r="E2598" s="25">
        <v>24.84</v>
      </c>
      <c r="F2598" s="379">
        <v>14.23962007425161</v>
      </c>
      <c r="G2598" s="25">
        <v>42.29</v>
      </c>
      <c r="H2598" s="379">
        <v>8.6420781589684559</v>
      </c>
      <c r="I2598" s="25">
        <v>52.55</v>
      </c>
      <c r="J2598" s="379">
        <v>5.3651196221913899</v>
      </c>
    </row>
    <row r="2599" spans="1:10" x14ac:dyDescent="0.35">
      <c r="A2599" s="5">
        <v>2595</v>
      </c>
      <c r="B2599" s="5">
        <v>109</v>
      </c>
      <c r="C2599" s="5">
        <v>4</v>
      </c>
      <c r="D2599" s="379">
        <v>44.601111111111109</v>
      </c>
      <c r="E2599" s="25">
        <v>24.84</v>
      </c>
      <c r="F2599" s="379">
        <v>13.241635383773129</v>
      </c>
      <c r="G2599" s="25">
        <v>43.56</v>
      </c>
      <c r="H2599" s="379">
        <v>9.0194170097164896</v>
      </c>
      <c r="I2599" s="25">
        <v>50.7</v>
      </c>
      <c r="J2599" s="379">
        <v>5.6637361743990047</v>
      </c>
    </row>
    <row r="2600" spans="1:10" x14ac:dyDescent="0.35">
      <c r="A2600" s="5">
        <v>2596</v>
      </c>
      <c r="B2600" s="5">
        <v>109</v>
      </c>
      <c r="C2600" s="5">
        <v>4</v>
      </c>
      <c r="D2600" s="379">
        <v>45.033333333333331</v>
      </c>
      <c r="E2600" s="25">
        <v>24.84</v>
      </c>
      <c r="F2600" s="379">
        <v>13.204735451632095</v>
      </c>
      <c r="G2600" s="25">
        <v>43.56</v>
      </c>
      <c r="H2600" s="379">
        <v>8.2332193138719205</v>
      </c>
      <c r="I2600" s="25">
        <v>52.55</v>
      </c>
      <c r="J2600" s="379">
        <v>6.5400537732985509</v>
      </c>
    </row>
    <row r="2601" spans="1:10" x14ac:dyDescent="0.35">
      <c r="A2601" s="5">
        <v>2597</v>
      </c>
      <c r="B2601" s="5">
        <v>109</v>
      </c>
      <c r="C2601" s="5">
        <v>4</v>
      </c>
      <c r="D2601" s="379">
        <v>48.048888888888889</v>
      </c>
      <c r="E2601" s="25">
        <v>24.84</v>
      </c>
      <c r="F2601" s="379">
        <v>13.206084018169165</v>
      </c>
      <c r="G2601" s="25">
        <v>47.46</v>
      </c>
      <c r="H2601" s="379">
        <v>8.8184668718676118</v>
      </c>
      <c r="I2601" s="25">
        <v>53.71</v>
      </c>
      <c r="J2601" s="379">
        <v>6.7024523817483619</v>
      </c>
    </row>
    <row r="2602" spans="1:10" x14ac:dyDescent="0.35">
      <c r="A2602" s="5">
        <v>2598</v>
      </c>
      <c r="B2602" s="5">
        <v>109</v>
      </c>
      <c r="C2602" s="5">
        <v>4</v>
      </c>
      <c r="D2602" s="379">
        <v>55.49</v>
      </c>
      <c r="E2602" s="25">
        <v>25.74</v>
      </c>
      <c r="F2602" s="379">
        <v>12.924033153076362</v>
      </c>
      <c r="G2602" s="25">
        <v>49.2</v>
      </c>
      <c r="H2602" s="379">
        <v>7.0740091946472781</v>
      </c>
      <c r="I2602" s="25">
        <v>66.06</v>
      </c>
      <c r="J2602" s="379">
        <v>6.3577250927452189</v>
      </c>
    </row>
    <row r="2603" spans="1:10" x14ac:dyDescent="0.35">
      <c r="A2603" s="5">
        <v>2599</v>
      </c>
      <c r="B2603" s="5">
        <v>109</v>
      </c>
      <c r="C2603" s="5">
        <v>4</v>
      </c>
      <c r="D2603" s="379">
        <v>61.652777777777771</v>
      </c>
      <c r="E2603" s="25">
        <v>27.96</v>
      </c>
      <c r="F2603" s="379">
        <v>12.521772509952246</v>
      </c>
      <c r="G2603" s="25">
        <v>52.2</v>
      </c>
      <c r="H2603" s="379">
        <v>7.2399135900457896</v>
      </c>
      <c r="I2603" s="25">
        <v>585.74</v>
      </c>
      <c r="J2603" s="379">
        <v>5.568738431966243</v>
      </c>
    </row>
    <row r="2604" spans="1:10" x14ac:dyDescent="0.35">
      <c r="A2604" s="5">
        <v>2600</v>
      </c>
      <c r="B2604" s="5">
        <v>109</v>
      </c>
      <c r="C2604" s="5">
        <v>4</v>
      </c>
      <c r="D2604" s="379">
        <v>66.032222222222217</v>
      </c>
      <c r="E2604" s="25">
        <v>27.96</v>
      </c>
      <c r="F2604" s="379">
        <v>9.9091315900460391</v>
      </c>
      <c r="G2604" s="25">
        <v>52.2</v>
      </c>
      <c r="H2604" s="379">
        <v>7.8367783236024513</v>
      </c>
      <c r="I2604" s="25">
        <v>585.74</v>
      </c>
      <c r="J2604" s="379">
        <v>4.9448878904834475</v>
      </c>
    </row>
    <row r="2605" spans="1:10" x14ac:dyDescent="0.35">
      <c r="A2605" s="5">
        <v>2601</v>
      </c>
      <c r="B2605" s="5">
        <v>109</v>
      </c>
      <c r="C2605" s="5">
        <v>4</v>
      </c>
      <c r="D2605" s="379">
        <v>58.268888888888881</v>
      </c>
      <c r="E2605" s="25">
        <v>27.96</v>
      </c>
      <c r="F2605" s="379">
        <v>8.1174834595959595</v>
      </c>
      <c r="G2605" s="25">
        <v>52.2</v>
      </c>
      <c r="H2605" s="379">
        <v>6.8696279356598975</v>
      </c>
      <c r="I2605" s="25">
        <v>68.05</v>
      </c>
      <c r="J2605" s="379">
        <v>0.27777777777777779</v>
      </c>
    </row>
    <row r="2606" spans="1:10" x14ac:dyDescent="0.35">
      <c r="A2606" s="5">
        <v>2602</v>
      </c>
      <c r="B2606" s="5">
        <v>109</v>
      </c>
      <c r="C2606" s="5">
        <v>4</v>
      </c>
      <c r="D2606" s="379">
        <v>50.572222222222223</v>
      </c>
      <c r="E2606" s="25">
        <v>27.3</v>
      </c>
      <c r="F2606" s="379">
        <v>0.47222222222222221</v>
      </c>
      <c r="G2606" s="25">
        <v>52.2</v>
      </c>
      <c r="H2606" s="379">
        <v>0.82027837469213738</v>
      </c>
      <c r="I2606" s="25">
        <v>66.06</v>
      </c>
      <c r="J2606" s="379">
        <v>0.24741131288791202</v>
      </c>
    </row>
    <row r="2607" spans="1:10" x14ac:dyDescent="0.35">
      <c r="A2607" s="5">
        <v>2603</v>
      </c>
      <c r="B2607" s="5">
        <v>109</v>
      </c>
      <c r="C2607" s="5">
        <v>4</v>
      </c>
      <c r="D2607" s="379">
        <v>47.372777777777777</v>
      </c>
      <c r="E2607" s="25">
        <v>27.3</v>
      </c>
      <c r="F2607" s="379">
        <v>5.1522230026460525</v>
      </c>
      <c r="G2607" s="25">
        <v>47.93</v>
      </c>
      <c r="H2607" s="379">
        <v>1.3880615232115265</v>
      </c>
      <c r="I2607" s="25">
        <v>64.14</v>
      </c>
      <c r="J2607" s="379">
        <v>1.2219948484642922</v>
      </c>
    </row>
    <row r="2608" spans="1:10" x14ac:dyDescent="0.35">
      <c r="A2608" s="5">
        <v>2604</v>
      </c>
      <c r="B2608" s="5">
        <v>109</v>
      </c>
      <c r="C2608" s="5">
        <v>4</v>
      </c>
      <c r="D2608" s="379">
        <v>45.001111111111108</v>
      </c>
      <c r="E2608" s="25">
        <v>25.74</v>
      </c>
      <c r="F2608" s="379">
        <v>5.097943663602142</v>
      </c>
      <c r="G2608" s="25">
        <v>47.85</v>
      </c>
      <c r="H2608" s="379">
        <v>1.0601908014468386</v>
      </c>
      <c r="I2608" s="25">
        <v>54.52</v>
      </c>
      <c r="J2608" s="379">
        <v>1.0647759453161496</v>
      </c>
    </row>
    <row r="2609" spans="1:10" x14ac:dyDescent="0.35">
      <c r="A2609" s="5">
        <v>2605</v>
      </c>
      <c r="B2609" s="5">
        <v>109</v>
      </c>
      <c r="C2609" s="5">
        <v>4</v>
      </c>
      <c r="D2609" s="379">
        <v>43.463333333333331</v>
      </c>
      <c r="E2609" s="25">
        <v>24.99</v>
      </c>
      <c r="F2609" s="379">
        <v>4.935978053898217</v>
      </c>
      <c r="G2609" s="25">
        <v>47.85</v>
      </c>
      <c r="H2609" s="379">
        <v>1.3867738448142284</v>
      </c>
      <c r="I2609" s="25">
        <v>53.71</v>
      </c>
      <c r="J2609" s="379">
        <v>1.0733631435428153</v>
      </c>
    </row>
    <row r="2610" spans="1:10" x14ac:dyDescent="0.35">
      <c r="A2610" s="5">
        <v>2606</v>
      </c>
      <c r="B2610" s="5">
        <v>109</v>
      </c>
      <c r="C2610" s="5">
        <v>4</v>
      </c>
      <c r="D2610" s="379">
        <v>42.816111111111113</v>
      </c>
      <c r="E2610" s="25">
        <v>24.99</v>
      </c>
      <c r="F2610" s="379">
        <v>4.935978053898217</v>
      </c>
      <c r="G2610" s="25">
        <v>47.46</v>
      </c>
      <c r="H2610" s="379">
        <v>1.0537658699465033</v>
      </c>
      <c r="I2610" s="25">
        <v>53.71</v>
      </c>
      <c r="J2610" s="379">
        <v>0.1136963153550351</v>
      </c>
    </row>
    <row r="2611" spans="1:10" x14ac:dyDescent="0.35">
      <c r="A2611" s="5">
        <v>2607</v>
      </c>
      <c r="B2611" s="5">
        <v>109</v>
      </c>
      <c r="C2611" s="5">
        <v>4</v>
      </c>
      <c r="D2611" s="379">
        <v>42.739444444444445</v>
      </c>
      <c r="E2611" s="25">
        <v>24.99</v>
      </c>
      <c r="F2611" s="379">
        <v>4.7429544980590883</v>
      </c>
      <c r="G2611" s="25">
        <v>47.85</v>
      </c>
      <c r="H2611" s="379">
        <v>1.3210899738469513</v>
      </c>
      <c r="I2611" s="25">
        <v>53.71</v>
      </c>
      <c r="J2611" s="379">
        <v>0.10976252958992992</v>
      </c>
    </row>
    <row r="2612" spans="1:10" x14ac:dyDescent="0.35">
      <c r="A2612" s="5">
        <v>2608</v>
      </c>
      <c r="B2612" s="5">
        <v>109</v>
      </c>
      <c r="C2612" s="5">
        <v>4</v>
      </c>
      <c r="D2612" s="379">
        <v>44.068888888888885</v>
      </c>
      <c r="E2612" s="25">
        <v>25.74</v>
      </c>
      <c r="F2612" s="379">
        <v>4.8534803686236776</v>
      </c>
      <c r="G2612" s="25">
        <v>47.93</v>
      </c>
      <c r="H2612" s="379">
        <v>1.0720456211313978</v>
      </c>
      <c r="I2612" s="25">
        <v>53.71</v>
      </c>
      <c r="J2612" s="379">
        <v>0.77666351478146067</v>
      </c>
    </row>
    <row r="2613" spans="1:10" x14ac:dyDescent="0.35">
      <c r="A2613" s="5">
        <v>2609</v>
      </c>
      <c r="B2613" s="5">
        <v>109</v>
      </c>
      <c r="C2613" s="5">
        <v>4</v>
      </c>
      <c r="D2613" s="379">
        <v>49.92722222222222</v>
      </c>
      <c r="E2613" s="25">
        <v>26.51</v>
      </c>
      <c r="F2613" s="379">
        <v>8.1174834595959613</v>
      </c>
      <c r="G2613" s="25">
        <v>49.2</v>
      </c>
      <c r="H2613" s="379">
        <v>2.0028274280195775</v>
      </c>
      <c r="I2613" s="25">
        <v>55.74</v>
      </c>
      <c r="J2613" s="379">
        <v>1.4535028087414354</v>
      </c>
    </row>
    <row r="2614" spans="1:10" x14ac:dyDescent="0.35">
      <c r="A2614" s="5">
        <v>2610</v>
      </c>
      <c r="B2614" s="5">
        <v>109</v>
      </c>
      <c r="C2614" s="5">
        <v>4</v>
      </c>
      <c r="D2614" s="379">
        <v>54.720555555555556</v>
      </c>
      <c r="E2614" s="25">
        <v>27.96</v>
      </c>
      <c r="F2614" s="379">
        <v>13.061491425013479</v>
      </c>
      <c r="G2614" s="25">
        <v>52.2</v>
      </c>
      <c r="H2614" s="379">
        <v>8.5688912920048832</v>
      </c>
      <c r="I2614" s="25">
        <v>55.74</v>
      </c>
      <c r="J2614" s="379">
        <v>7.2547005604138821</v>
      </c>
    </row>
    <row r="2615" spans="1:10" x14ac:dyDescent="0.35">
      <c r="A2615" s="5">
        <v>2611</v>
      </c>
      <c r="B2615" s="5">
        <v>109</v>
      </c>
      <c r="C2615" s="5">
        <v>4</v>
      </c>
      <c r="D2615" s="379">
        <v>56.509999999999991</v>
      </c>
      <c r="E2615" s="25">
        <v>27.96</v>
      </c>
      <c r="F2615" s="379">
        <v>15.224097556237385</v>
      </c>
      <c r="G2615" s="25">
        <v>52.2</v>
      </c>
      <c r="H2615" s="379">
        <v>10.403069568192763</v>
      </c>
      <c r="I2615" s="25">
        <v>70.09</v>
      </c>
      <c r="J2615" s="379">
        <v>7.3452948559084961</v>
      </c>
    </row>
    <row r="2616" spans="1:10" x14ac:dyDescent="0.35">
      <c r="A2616" s="5">
        <v>2612</v>
      </c>
      <c r="B2616" s="5">
        <v>109</v>
      </c>
      <c r="C2616" s="5">
        <v>4</v>
      </c>
      <c r="D2616" s="379">
        <v>56.237777777777779</v>
      </c>
      <c r="E2616" s="25">
        <v>27.96</v>
      </c>
      <c r="F2616" s="379">
        <v>16.089537877642268</v>
      </c>
      <c r="G2616" s="25">
        <v>52.2</v>
      </c>
      <c r="H2616" s="379">
        <v>10.639401574409066</v>
      </c>
      <c r="I2616" s="25">
        <v>72.19</v>
      </c>
      <c r="J2616" s="379">
        <v>7.2402717636768621</v>
      </c>
    </row>
    <row r="2617" spans="1:10" x14ac:dyDescent="0.35">
      <c r="A2617" s="5">
        <v>2613</v>
      </c>
      <c r="B2617" s="5">
        <v>109</v>
      </c>
      <c r="C2617" s="5">
        <v>4</v>
      </c>
      <c r="D2617" s="379">
        <v>53.26</v>
      </c>
      <c r="E2617" s="25">
        <v>27.96</v>
      </c>
      <c r="F2617" s="379">
        <v>17.495022000867497</v>
      </c>
      <c r="G2617" s="25">
        <v>52.2</v>
      </c>
      <c r="H2617" s="379">
        <v>10.705789560324662</v>
      </c>
      <c r="I2617" s="25">
        <v>70.09</v>
      </c>
      <c r="J2617" s="379">
        <v>7.3452337209591327</v>
      </c>
    </row>
    <row r="2618" spans="1:10" x14ac:dyDescent="0.35">
      <c r="A2618" s="5">
        <v>2614</v>
      </c>
      <c r="B2618" s="5">
        <v>109</v>
      </c>
      <c r="C2618" s="5">
        <v>4</v>
      </c>
      <c r="D2618" s="379">
        <v>48.281666666666666</v>
      </c>
      <c r="E2618" s="25">
        <v>27.3</v>
      </c>
      <c r="F2618" s="379">
        <v>18.721868124895952</v>
      </c>
      <c r="G2618" s="25">
        <v>49.2</v>
      </c>
      <c r="H2618" s="379">
        <v>10.403069568192763</v>
      </c>
      <c r="I2618" s="25">
        <v>68.05</v>
      </c>
      <c r="J2618" s="379">
        <v>7.3227984380231748</v>
      </c>
    </row>
    <row r="2619" spans="1:10" x14ac:dyDescent="0.35">
      <c r="A2619" s="5">
        <v>2615</v>
      </c>
      <c r="B2619" s="5">
        <v>109</v>
      </c>
      <c r="C2619" s="5">
        <v>4</v>
      </c>
      <c r="D2619" s="379">
        <v>46.760555555555555</v>
      </c>
      <c r="E2619" s="25">
        <v>25.29</v>
      </c>
      <c r="F2619" s="379">
        <v>16.727149899474032</v>
      </c>
      <c r="G2619" s="25">
        <v>47.85</v>
      </c>
      <c r="H2619" s="379">
        <v>10.477731920551529</v>
      </c>
      <c r="I2619" s="25">
        <v>66.06</v>
      </c>
      <c r="J2619" s="379">
        <v>6.3441525272321257</v>
      </c>
    </row>
    <row r="2620" spans="1:10" x14ac:dyDescent="0.35">
      <c r="A2620" s="5">
        <v>2616</v>
      </c>
      <c r="B2620" s="5">
        <v>109</v>
      </c>
      <c r="C2620" s="5">
        <v>4</v>
      </c>
      <c r="D2620" s="379">
        <v>46.630555555555546</v>
      </c>
      <c r="E2620" s="25">
        <v>24.99</v>
      </c>
      <c r="F2620" s="379">
        <v>16.210798032602536</v>
      </c>
      <c r="G2620" s="25">
        <v>47.46</v>
      </c>
      <c r="H2620" s="379">
        <v>10.204527550376008</v>
      </c>
      <c r="I2620" s="25">
        <v>66.06</v>
      </c>
      <c r="J2620" s="379">
        <v>6.2011625333059737</v>
      </c>
    </row>
    <row r="2621" spans="1:10" x14ac:dyDescent="0.35">
      <c r="A2621" s="5">
        <v>2617</v>
      </c>
      <c r="B2621" s="5">
        <v>110</v>
      </c>
      <c r="C2621" s="5">
        <v>4</v>
      </c>
      <c r="D2621" s="379">
        <v>47.666111111111114</v>
      </c>
      <c r="E2621" s="25">
        <v>24.99</v>
      </c>
      <c r="F2621" s="379">
        <v>14.664237196891222</v>
      </c>
      <c r="G2621" s="25">
        <v>44.74</v>
      </c>
      <c r="H2621" s="379">
        <v>9.9699182728828486</v>
      </c>
      <c r="I2621" s="25">
        <v>64.14</v>
      </c>
      <c r="J2621" s="379">
        <v>6.1259266700954793</v>
      </c>
    </row>
    <row r="2622" spans="1:10" x14ac:dyDescent="0.35">
      <c r="A2622" s="5">
        <v>2618</v>
      </c>
      <c r="B2622" s="5">
        <v>110</v>
      </c>
      <c r="C2622" s="5">
        <v>4</v>
      </c>
      <c r="D2622" s="379">
        <v>46.877222222222215</v>
      </c>
      <c r="E2622" s="25">
        <v>24.84</v>
      </c>
      <c r="F2622" s="379">
        <v>15.687585191709005</v>
      </c>
      <c r="G2622" s="25">
        <v>44.74</v>
      </c>
      <c r="H2622" s="379">
        <v>10.279502447427863</v>
      </c>
      <c r="I2622" s="25">
        <v>64.14</v>
      </c>
      <c r="J2622" s="379">
        <v>6.1673982221030954</v>
      </c>
    </row>
    <row r="2623" spans="1:10" x14ac:dyDescent="0.35">
      <c r="A2623" s="5">
        <v>2619</v>
      </c>
      <c r="B2623" s="5">
        <v>110</v>
      </c>
      <c r="C2623" s="5">
        <v>4</v>
      </c>
      <c r="D2623" s="379">
        <v>46.772777777777776</v>
      </c>
      <c r="E2623" s="25">
        <v>24.84</v>
      </c>
      <c r="F2623" s="379">
        <v>14.703657848070774</v>
      </c>
      <c r="G2623" s="25">
        <v>44.74</v>
      </c>
      <c r="H2623" s="379">
        <v>9.9175482948094817</v>
      </c>
      <c r="I2623" s="25">
        <v>64.14</v>
      </c>
      <c r="J2623" s="379">
        <v>6.2147475602294904</v>
      </c>
    </row>
    <row r="2624" spans="1:10" x14ac:dyDescent="0.35">
      <c r="A2624" s="5">
        <v>2620</v>
      </c>
      <c r="B2624" s="5">
        <v>110</v>
      </c>
      <c r="C2624" s="5">
        <v>4</v>
      </c>
      <c r="D2624" s="379">
        <v>46.919999999999995</v>
      </c>
      <c r="E2624" s="25">
        <v>24.84</v>
      </c>
      <c r="F2624" s="379">
        <v>15.216305874149457</v>
      </c>
      <c r="G2624" s="25">
        <v>44.74</v>
      </c>
      <c r="H2624" s="379">
        <v>9.032166214869191</v>
      </c>
      <c r="I2624" s="25">
        <v>64.14</v>
      </c>
      <c r="J2624" s="379">
        <v>6.1914768014338293</v>
      </c>
    </row>
    <row r="2625" spans="1:10" x14ac:dyDescent="0.35">
      <c r="A2625" s="5">
        <v>2621</v>
      </c>
      <c r="B2625" s="5">
        <v>110</v>
      </c>
      <c r="C2625" s="5">
        <v>4</v>
      </c>
      <c r="D2625" s="379">
        <v>53.296666666666667</v>
      </c>
      <c r="E2625" s="25">
        <v>24.99</v>
      </c>
      <c r="F2625" s="379">
        <v>16.095354986849181</v>
      </c>
      <c r="G2625" s="25">
        <v>47.46</v>
      </c>
      <c r="H2625" s="379">
        <v>7.8354584557107607</v>
      </c>
      <c r="I2625" s="25">
        <v>66.06</v>
      </c>
      <c r="J2625" s="379">
        <v>6.1483891914078583</v>
      </c>
    </row>
    <row r="2626" spans="1:10" x14ac:dyDescent="0.35">
      <c r="A2626" s="5">
        <v>2622</v>
      </c>
      <c r="B2626" s="5">
        <v>110</v>
      </c>
      <c r="C2626" s="5">
        <v>4</v>
      </c>
      <c r="D2626" s="379">
        <v>57.963888888888881</v>
      </c>
      <c r="E2626" s="25">
        <v>26.51</v>
      </c>
      <c r="F2626" s="379">
        <v>16.646414054838267</v>
      </c>
      <c r="G2626" s="25">
        <v>49.2</v>
      </c>
      <c r="H2626" s="379">
        <v>9.1080542653023997</v>
      </c>
      <c r="I2626" s="25">
        <v>70.09</v>
      </c>
      <c r="J2626" s="379">
        <v>6.1369675687925485</v>
      </c>
    </row>
    <row r="2627" spans="1:10" x14ac:dyDescent="0.35">
      <c r="A2627" s="5">
        <v>2623</v>
      </c>
      <c r="B2627" s="5">
        <v>110</v>
      </c>
      <c r="C2627" s="5">
        <v>4</v>
      </c>
      <c r="D2627" s="379">
        <v>62.842222222222226</v>
      </c>
      <c r="E2627" s="25">
        <v>27.96</v>
      </c>
      <c r="F2627" s="379">
        <v>14.946291713281585</v>
      </c>
      <c r="G2627" s="25">
        <v>52.2</v>
      </c>
      <c r="H2627" s="379">
        <v>9.0524928325676637</v>
      </c>
      <c r="I2627" s="25">
        <v>72.19</v>
      </c>
      <c r="J2627" s="379">
        <v>6.3061921247106492</v>
      </c>
    </row>
    <row r="2628" spans="1:10" x14ac:dyDescent="0.35">
      <c r="A2628" s="5">
        <v>2624</v>
      </c>
      <c r="B2628" s="5">
        <v>110</v>
      </c>
      <c r="C2628" s="5">
        <v>4</v>
      </c>
      <c r="D2628" s="379">
        <v>62.651666666666664</v>
      </c>
      <c r="E2628" s="25">
        <v>27.96</v>
      </c>
      <c r="F2628" s="379">
        <v>8.1174834595959613</v>
      </c>
      <c r="G2628" s="25">
        <v>49.2</v>
      </c>
      <c r="H2628" s="379">
        <v>8.7908025728730212</v>
      </c>
      <c r="I2628" s="25">
        <v>70.09</v>
      </c>
      <c r="J2628" s="379">
        <v>4.8943400443403524</v>
      </c>
    </row>
    <row r="2629" spans="1:10" x14ac:dyDescent="0.35">
      <c r="A2629" s="5">
        <v>2625</v>
      </c>
      <c r="B2629" s="5">
        <v>110</v>
      </c>
      <c r="C2629" s="5">
        <v>4</v>
      </c>
      <c r="D2629" s="379">
        <v>56.778888888888893</v>
      </c>
      <c r="E2629" s="25">
        <v>27.3</v>
      </c>
      <c r="F2629" s="379">
        <v>8.1174834595959595</v>
      </c>
      <c r="G2629" s="25">
        <v>49.2</v>
      </c>
      <c r="H2629" s="379">
        <v>7.0209560932407911</v>
      </c>
      <c r="I2629" s="25">
        <v>68.05</v>
      </c>
      <c r="J2629" s="379">
        <v>3.7457359647735089</v>
      </c>
    </row>
    <row r="2630" spans="1:10" x14ac:dyDescent="0.35">
      <c r="A2630" s="5">
        <v>2626</v>
      </c>
      <c r="B2630" s="5">
        <v>110</v>
      </c>
      <c r="C2630" s="5">
        <v>4</v>
      </c>
      <c r="D2630" s="379">
        <v>53.188888888888883</v>
      </c>
      <c r="E2630" s="25">
        <v>25.74</v>
      </c>
      <c r="F2630" s="379">
        <v>5.2083306482968252</v>
      </c>
      <c r="G2630" s="25">
        <v>47.46</v>
      </c>
      <c r="H2630" s="379">
        <v>2.2419222035349726</v>
      </c>
      <c r="I2630" s="25">
        <v>62.27</v>
      </c>
      <c r="J2630" s="379">
        <v>1.1159011898839266</v>
      </c>
    </row>
    <row r="2631" spans="1:10" x14ac:dyDescent="0.35">
      <c r="A2631" s="5">
        <v>2627</v>
      </c>
      <c r="B2631" s="5">
        <v>110</v>
      </c>
      <c r="C2631" s="5">
        <v>4</v>
      </c>
      <c r="D2631" s="379">
        <v>51.320555555555551</v>
      </c>
      <c r="E2631" s="25">
        <v>25.74</v>
      </c>
      <c r="F2631" s="379">
        <v>5.0223450944473758</v>
      </c>
      <c r="G2631" s="25">
        <v>47.46</v>
      </c>
      <c r="H2631" s="379">
        <v>1.6240640319730388</v>
      </c>
      <c r="I2631" s="25">
        <v>61.65</v>
      </c>
      <c r="J2631" s="379">
        <v>1.7366389004462244</v>
      </c>
    </row>
    <row r="2632" spans="1:10" x14ac:dyDescent="0.35">
      <c r="A2632" s="5">
        <v>2628</v>
      </c>
      <c r="B2632" s="5">
        <v>110</v>
      </c>
      <c r="C2632" s="5">
        <v>4</v>
      </c>
      <c r="D2632" s="379">
        <v>47.142222222222216</v>
      </c>
      <c r="E2632" s="25">
        <v>24.99</v>
      </c>
      <c r="F2632" s="379">
        <v>5.0223450944473758</v>
      </c>
      <c r="G2632" s="25">
        <v>46.98</v>
      </c>
      <c r="H2632" s="379">
        <v>0.95166385392885333</v>
      </c>
      <c r="I2632" s="25">
        <v>60.46</v>
      </c>
      <c r="J2632" s="379">
        <v>1.4524669247536426</v>
      </c>
    </row>
    <row r="2633" spans="1:10" x14ac:dyDescent="0.35">
      <c r="A2633" s="5">
        <v>2629</v>
      </c>
      <c r="B2633" s="5">
        <v>110</v>
      </c>
      <c r="C2633" s="5">
        <v>4</v>
      </c>
      <c r="D2633" s="379">
        <v>46.824999999999996</v>
      </c>
      <c r="E2633" s="25">
        <v>24.99</v>
      </c>
      <c r="F2633" s="379">
        <v>5.0223450944473758</v>
      </c>
      <c r="G2633" s="25">
        <v>44.74</v>
      </c>
      <c r="H2633" s="379">
        <v>1.5169484293546953</v>
      </c>
      <c r="I2633" s="25">
        <v>59.85</v>
      </c>
      <c r="J2633" s="379">
        <v>0.50614331077455288</v>
      </c>
    </row>
    <row r="2634" spans="1:10" x14ac:dyDescent="0.35">
      <c r="A2634" s="5">
        <v>2630</v>
      </c>
      <c r="B2634" s="5">
        <v>110</v>
      </c>
      <c r="C2634" s="5">
        <v>4</v>
      </c>
      <c r="D2634" s="379">
        <v>45.691111111111113</v>
      </c>
      <c r="E2634" s="25">
        <v>24.84</v>
      </c>
      <c r="F2634" s="379">
        <v>5.0217212752743734</v>
      </c>
      <c r="G2634" s="25">
        <v>44.74</v>
      </c>
      <c r="H2634" s="379">
        <v>0.81874560058347079</v>
      </c>
      <c r="I2634" s="25">
        <v>52.93</v>
      </c>
      <c r="J2634" s="379">
        <v>1.2644277394419454</v>
      </c>
    </row>
    <row r="2635" spans="1:10" x14ac:dyDescent="0.35">
      <c r="A2635" s="5">
        <v>2631</v>
      </c>
      <c r="B2635" s="5">
        <v>110</v>
      </c>
      <c r="C2635" s="5">
        <v>4</v>
      </c>
      <c r="D2635" s="379">
        <v>48.669444444444437</v>
      </c>
      <c r="E2635" s="25">
        <v>24.84</v>
      </c>
      <c r="F2635" s="379">
        <v>5.0217212752743734</v>
      </c>
      <c r="G2635" s="25">
        <v>44.74</v>
      </c>
      <c r="H2635" s="379">
        <v>0.66171247169606806</v>
      </c>
      <c r="I2635" s="25">
        <v>52.93</v>
      </c>
      <c r="J2635" s="379">
        <v>0.22284302354653657</v>
      </c>
    </row>
    <row r="2636" spans="1:10" x14ac:dyDescent="0.35">
      <c r="A2636" s="5">
        <v>2632</v>
      </c>
      <c r="B2636" s="5">
        <v>110</v>
      </c>
      <c r="C2636" s="5">
        <v>4</v>
      </c>
      <c r="D2636" s="379">
        <v>51.544444444444444</v>
      </c>
      <c r="E2636" s="25">
        <v>24.84</v>
      </c>
      <c r="F2636" s="379">
        <v>5.0223450944473758</v>
      </c>
      <c r="G2636" s="25">
        <v>44.74</v>
      </c>
      <c r="H2636" s="379">
        <v>1.2216948046350924</v>
      </c>
      <c r="I2636" s="25">
        <v>53.71</v>
      </c>
      <c r="J2636" s="379">
        <v>0.19585013477039082</v>
      </c>
    </row>
    <row r="2637" spans="1:10" x14ac:dyDescent="0.35">
      <c r="A2637" s="5">
        <v>2633</v>
      </c>
      <c r="B2637" s="5">
        <v>110</v>
      </c>
      <c r="C2637" s="5">
        <v>4</v>
      </c>
      <c r="D2637" s="379">
        <v>55.008888888888883</v>
      </c>
      <c r="E2637" s="25">
        <v>24.99</v>
      </c>
      <c r="F2637" s="379">
        <v>5.2083306482968252</v>
      </c>
      <c r="G2637" s="25">
        <v>44.74</v>
      </c>
      <c r="H2637" s="379">
        <v>0.22549470274233813</v>
      </c>
      <c r="I2637" s="25">
        <v>53.71</v>
      </c>
      <c r="J2637" s="379">
        <v>2.1259808041547794</v>
      </c>
    </row>
    <row r="2638" spans="1:10" x14ac:dyDescent="0.35">
      <c r="A2638" s="5">
        <v>2634</v>
      </c>
      <c r="B2638" s="5">
        <v>110</v>
      </c>
      <c r="C2638" s="5">
        <v>4</v>
      </c>
      <c r="D2638" s="379">
        <v>59.641666666666659</v>
      </c>
      <c r="E2638" s="25">
        <v>24.99</v>
      </c>
      <c r="F2638" s="379">
        <v>8.1174834595959595</v>
      </c>
      <c r="G2638" s="25">
        <v>44.74</v>
      </c>
      <c r="H2638" s="379">
        <v>7.2378363037041451</v>
      </c>
      <c r="I2638" s="25">
        <v>59.85</v>
      </c>
      <c r="J2638" s="379">
        <v>3.3822757614355581</v>
      </c>
    </row>
    <row r="2639" spans="1:10" x14ac:dyDescent="0.35">
      <c r="A2639" s="5">
        <v>2635</v>
      </c>
      <c r="B2639" s="5">
        <v>110</v>
      </c>
      <c r="C2639" s="5">
        <v>4</v>
      </c>
      <c r="D2639" s="379">
        <v>62.54666666666666</v>
      </c>
      <c r="E2639" s="25">
        <v>25.74</v>
      </c>
      <c r="F2639" s="379">
        <v>9.4446626984951223</v>
      </c>
      <c r="G2639" s="25">
        <v>44.74</v>
      </c>
      <c r="H2639" s="379">
        <v>9.5764650925030956</v>
      </c>
      <c r="I2639" s="25">
        <v>60.46</v>
      </c>
      <c r="J2639" s="379">
        <v>3.3825465371632406</v>
      </c>
    </row>
    <row r="2640" spans="1:10" x14ac:dyDescent="0.35">
      <c r="A2640" s="5">
        <v>2636</v>
      </c>
      <c r="B2640" s="5">
        <v>110</v>
      </c>
      <c r="C2640" s="5">
        <v>4</v>
      </c>
      <c r="D2640" s="379">
        <v>62.036666666666669</v>
      </c>
      <c r="E2640" s="25">
        <v>26.35</v>
      </c>
      <c r="F2640" s="379">
        <v>18.516128422369547</v>
      </c>
      <c r="G2640" s="25">
        <v>46.08</v>
      </c>
      <c r="H2640" s="379">
        <v>9.3942479298257524</v>
      </c>
      <c r="I2640" s="25">
        <v>63.19</v>
      </c>
      <c r="J2640" s="379">
        <v>2.8047484511240386</v>
      </c>
    </row>
    <row r="2641" spans="1:10" x14ac:dyDescent="0.35">
      <c r="A2641" s="5">
        <v>2637</v>
      </c>
      <c r="B2641" s="5">
        <v>110</v>
      </c>
      <c r="C2641" s="5">
        <v>4</v>
      </c>
      <c r="D2641" s="379">
        <v>60.924444444444454</v>
      </c>
      <c r="E2641" s="25">
        <v>26.51</v>
      </c>
      <c r="F2641" s="379">
        <v>8.6511686168084339</v>
      </c>
      <c r="G2641" s="25">
        <v>47.85</v>
      </c>
      <c r="H2641" s="379">
        <v>9.1866602641522928</v>
      </c>
      <c r="I2641" s="25">
        <v>63.19</v>
      </c>
      <c r="J2641" s="379">
        <v>2.8403008869346418</v>
      </c>
    </row>
    <row r="2642" spans="1:10" x14ac:dyDescent="0.35">
      <c r="A2642" s="5">
        <v>2638</v>
      </c>
      <c r="B2642" s="5">
        <v>110</v>
      </c>
      <c r="C2642" s="5">
        <v>4</v>
      </c>
      <c r="D2642" s="379">
        <v>57.733333333333334</v>
      </c>
      <c r="E2642" s="25">
        <v>26.39</v>
      </c>
      <c r="F2642" s="379">
        <v>8.6622963559067347</v>
      </c>
      <c r="G2642" s="25">
        <v>47.85</v>
      </c>
      <c r="H2642" s="379">
        <v>9.3046020673721355</v>
      </c>
      <c r="I2642" s="25">
        <v>64.14</v>
      </c>
      <c r="J2642" s="379">
        <v>2.0397259493436426</v>
      </c>
    </row>
    <row r="2643" spans="1:10" x14ac:dyDescent="0.35">
      <c r="A2643" s="5">
        <v>2639</v>
      </c>
      <c r="B2643" s="5">
        <v>110</v>
      </c>
      <c r="C2643" s="5">
        <v>4</v>
      </c>
      <c r="D2643" s="379">
        <v>55.26166666666667</v>
      </c>
      <c r="E2643" s="25">
        <v>24.99</v>
      </c>
      <c r="F2643" s="379">
        <v>8.4920282818375963</v>
      </c>
      <c r="G2643" s="25">
        <v>47.46</v>
      </c>
      <c r="H2643" s="379">
        <v>9.1724952143272329</v>
      </c>
      <c r="I2643" s="25">
        <v>62.9</v>
      </c>
      <c r="J2643" s="379">
        <v>4.2501928735334706</v>
      </c>
    </row>
    <row r="2644" spans="1:10" x14ac:dyDescent="0.35">
      <c r="A2644" s="5">
        <v>2640</v>
      </c>
      <c r="B2644" s="5">
        <v>110</v>
      </c>
      <c r="C2644" s="5">
        <v>4</v>
      </c>
      <c r="D2644" s="379">
        <v>53.009444444444441</v>
      </c>
      <c r="E2644" s="25">
        <v>24.84</v>
      </c>
      <c r="F2644" s="379">
        <v>8.4868076629354832</v>
      </c>
      <c r="G2644" s="25">
        <v>44.74</v>
      </c>
      <c r="H2644" s="379">
        <v>9.3208415069971799</v>
      </c>
      <c r="I2644" s="25">
        <v>62.27</v>
      </c>
      <c r="J2644" s="379">
        <v>5.0242430618168674</v>
      </c>
    </row>
    <row r="2645" spans="1:10" x14ac:dyDescent="0.35">
      <c r="A2645" s="5">
        <v>2641</v>
      </c>
      <c r="B2645" s="5">
        <v>111</v>
      </c>
      <c r="C2645" s="5">
        <v>4</v>
      </c>
      <c r="D2645" s="379">
        <v>51.342777777777776</v>
      </c>
      <c r="E2645" s="25">
        <v>24.84</v>
      </c>
      <c r="F2645" s="379">
        <v>8.4587762020939667</v>
      </c>
      <c r="G2645" s="25">
        <v>43.56</v>
      </c>
      <c r="H2645" s="379">
        <v>8.3492977723331716</v>
      </c>
      <c r="I2645" s="25">
        <v>53.27</v>
      </c>
      <c r="J2645" s="379">
        <v>5.1969422176710358</v>
      </c>
    </row>
    <row r="2646" spans="1:10" x14ac:dyDescent="0.35">
      <c r="A2646" s="5">
        <v>2642</v>
      </c>
      <c r="B2646" s="5">
        <v>111</v>
      </c>
      <c r="C2646" s="5">
        <v>4</v>
      </c>
      <c r="D2646" s="379">
        <v>51.266111111111123</v>
      </c>
      <c r="E2646" s="25">
        <v>24.84</v>
      </c>
      <c r="F2646" s="379">
        <v>8.4443619078263517</v>
      </c>
      <c r="G2646" s="25">
        <v>43.56</v>
      </c>
      <c r="H2646" s="379">
        <v>8.0154064106547462</v>
      </c>
      <c r="I2646" s="25">
        <v>53.46</v>
      </c>
      <c r="J2646" s="379">
        <v>3.8439127451175632</v>
      </c>
    </row>
    <row r="2647" spans="1:10" x14ac:dyDescent="0.35">
      <c r="A2647" s="5">
        <v>2643</v>
      </c>
      <c r="B2647" s="5">
        <v>111</v>
      </c>
      <c r="C2647" s="5">
        <v>4</v>
      </c>
      <c r="D2647" s="379">
        <v>51.127222222222215</v>
      </c>
      <c r="E2647" s="25">
        <v>24.84</v>
      </c>
      <c r="F2647" s="379">
        <v>8.1174834595959595</v>
      </c>
      <c r="G2647" s="25">
        <v>43.56</v>
      </c>
      <c r="H2647" s="379">
        <v>8.874821773058633</v>
      </c>
      <c r="I2647" s="25">
        <v>53.71</v>
      </c>
      <c r="J2647" s="379">
        <v>4.0753493873647972</v>
      </c>
    </row>
    <row r="2648" spans="1:10" x14ac:dyDescent="0.35">
      <c r="A2648" s="5">
        <v>2644</v>
      </c>
      <c r="B2648" s="5">
        <v>111</v>
      </c>
      <c r="C2648" s="5">
        <v>4</v>
      </c>
      <c r="D2648" s="379">
        <v>51.812222222222218</v>
      </c>
      <c r="E2648" s="25">
        <v>24.84</v>
      </c>
      <c r="F2648" s="379">
        <v>8.1506294837679878</v>
      </c>
      <c r="G2648" s="25">
        <v>43.56</v>
      </c>
      <c r="H2648" s="379">
        <v>9.0570282291654571</v>
      </c>
      <c r="I2648" s="25">
        <v>53.71</v>
      </c>
      <c r="J2648" s="379">
        <v>4.4529834911622892</v>
      </c>
    </row>
    <row r="2649" spans="1:10" x14ac:dyDescent="0.35">
      <c r="A2649" s="5">
        <v>2645</v>
      </c>
      <c r="B2649" s="5">
        <v>111</v>
      </c>
      <c r="C2649" s="5">
        <v>4</v>
      </c>
      <c r="D2649" s="379">
        <v>55.956111111111106</v>
      </c>
      <c r="E2649" s="25">
        <v>24.84</v>
      </c>
      <c r="F2649" s="379">
        <v>8.2484655106555653</v>
      </c>
      <c r="G2649" s="25">
        <v>47.46</v>
      </c>
      <c r="H2649" s="379">
        <v>9.079873137979563</v>
      </c>
      <c r="I2649" s="25">
        <v>53.71</v>
      </c>
      <c r="J2649" s="379">
        <v>4.4572011902193074</v>
      </c>
    </row>
    <row r="2650" spans="1:10" x14ac:dyDescent="0.35">
      <c r="A2650" s="5">
        <v>2646</v>
      </c>
      <c r="B2650" s="5">
        <v>111</v>
      </c>
      <c r="C2650" s="5">
        <v>4</v>
      </c>
      <c r="D2650" s="379">
        <v>60.887222222222228</v>
      </c>
      <c r="E2650" s="25">
        <v>26.51</v>
      </c>
      <c r="F2650" s="379">
        <v>8.1902013956509094</v>
      </c>
      <c r="G2650" s="25">
        <v>49.2</v>
      </c>
      <c r="H2650" s="379">
        <v>8.1226429796541542</v>
      </c>
      <c r="I2650" s="25">
        <v>64.14</v>
      </c>
      <c r="J2650" s="379">
        <v>3.6362724556729802</v>
      </c>
    </row>
    <row r="2651" spans="1:10" x14ac:dyDescent="0.35">
      <c r="A2651" s="5">
        <v>2647</v>
      </c>
      <c r="B2651" s="5">
        <v>111</v>
      </c>
      <c r="C2651" s="5">
        <v>4</v>
      </c>
      <c r="D2651" s="379">
        <v>65.727222222222224</v>
      </c>
      <c r="E2651" s="25">
        <v>27.3</v>
      </c>
      <c r="F2651" s="379">
        <v>7.6948451860413156</v>
      </c>
      <c r="G2651" s="25">
        <v>51.24</v>
      </c>
      <c r="H2651" s="379">
        <v>5.8083270875217785</v>
      </c>
      <c r="I2651" s="25">
        <v>68.05</v>
      </c>
      <c r="J2651" s="379">
        <v>0.27777777777777779</v>
      </c>
    </row>
    <row r="2652" spans="1:10" x14ac:dyDescent="0.35">
      <c r="A2652" s="5">
        <v>2648</v>
      </c>
      <c r="B2652" s="5">
        <v>111</v>
      </c>
      <c r="C2652" s="5">
        <v>4</v>
      </c>
      <c r="D2652" s="379">
        <v>64.98555555555555</v>
      </c>
      <c r="E2652" s="25">
        <v>27.3</v>
      </c>
      <c r="F2652" s="379">
        <v>7.6519606323898417</v>
      </c>
      <c r="G2652" s="25">
        <v>51.24</v>
      </c>
      <c r="H2652" s="379">
        <v>2.7007663645655846</v>
      </c>
      <c r="I2652" s="25">
        <v>66.06</v>
      </c>
      <c r="J2652" s="379">
        <v>0.27777777777777779</v>
      </c>
    </row>
    <row r="2653" spans="1:10" x14ac:dyDescent="0.35">
      <c r="A2653" s="5">
        <v>2649</v>
      </c>
      <c r="B2653" s="5">
        <v>111</v>
      </c>
      <c r="C2653" s="5">
        <v>4</v>
      </c>
      <c r="D2653" s="379">
        <v>61.115555555555552</v>
      </c>
      <c r="E2653" s="25">
        <v>27.18</v>
      </c>
      <c r="F2653" s="379">
        <v>4.5999557306067453</v>
      </c>
      <c r="G2653" s="25">
        <v>47.85</v>
      </c>
      <c r="H2653" s="379">
        <v>2.4011044524564795</v>
      </c>
      <c r="I2653" s="25">
        <v>64.14</v>
      </c>
      <c r="J2653" s="379">
        <v>2.777777777777778E-2</v>
      </c>
    </row>
    <row r="2654" spans="1:10" x14ac:dyDescent="0.35">
      <c r="A2654" s="5">
        <v>2650</v>
      </c>
      <c r="B2654" s="5">
        <v>111</v>
      </c>
      <c r="C2654" s="5">
        <v>4</v>
      </c>
      <c r="D2654" s="379">
        <v>57.344999999999999</v>
      </c>
      <c r="E2654" s="25">
        <v>24.99</v>
      </c>
      <c r="F2654" s="379">
        <v>4.2970856309897743</v>
      </c>
      <c r="G2654" s="25">
        <v>47.85</v>
      </c>
      <c r="H2654" s="379">
        <v>1.7837286427880716</v>
      </c>
      <c r="I2654" s="25">
        <v>56.15</v>
      </c>
      <c r="J2654" s="379">
        <v>2.777777777777778E-2</v>
      </c>
    </row>
    <row r="2655" spans="1:10" x14ac:dyDescent="0.35">
      <c r="A2655" s="5">
        <v>2651</v>
      </c>
      <c r="B2655" s="5">
        <v>111</v>
      </c>
      <c r="C2655" s="5">
        <v>4</v>
      </c>
      <c r="D2655" s="379">
        <v>53.816666666666663</v>
      </c>
      <c r="E2655" s="25">
        <v>24.99</v>
      </c>
      <c r="F2655" s="379">
        <v>4.2970856309897743</v>
      </c>
      <c r="G2655" s="25">
        <v>44.74</v>
      </c>
      <c r="H2655" s="379">
        <v>6.0870436498465595E-2</v>
      </c>
      <c r="I2655" s="25">
        <v>51.64</v>
      </c>
      <c r="J2655" s="379">
        <v>2.777777777777778E-2</v>
      </c>
    </row>
    <row r="2656" spans="1:10" x14ac:dyDescent="0.35">
      <c r="A2656" s="5">
        <v>2652</v>
      </c>
      <c r="B2656" s="5">
        <v>111</v>
      </c>
      <c r="C2656" s="5">
        <v>4</v>
      </c>
      <c r="D2656" s="379">
        <v>51.776666666666671</v>
      </c>
      <c r="E2656" s="25">
        <v>24.84</v>
      </c>
      <c r="F2656" s="379">
        <v>4.2970856309897743</v>
      </c>
      <c r="G2656" s="25">
        <v>44.69</v>
      </c>
      <c r="H2656" s="379">
        <v>6.0870436498465595E-2</v>
      </c>
      <c r="I2656" s="25">
        <v>51.12</v>
      </c>
      <c r="J2656" s="379">
        <v>2.777777777777778E-2</v>
      </c>
    </row>
    <row r="2657" spans="1:10" x14ac:dyDescent="0.35">
      <c r="A2657" s="5">
        <v>2653</v>
      </c>
      <c r="B2657" s="5">
        <v>111</v>
      </c>
      <c r="C2657" s="5">
        <v>4</v>
      </c>
      <c r="D2657" s="379">
        <v>50.410555555555554</v>
      </c>
      <c r="E2657" s="25">
        <v>24.84</v>
      </c>
      <c r="F2657" s="379">
        <v>4.2970856309897743</v>
      </c>
      <c r="G2657" s="25">
        <v>43.08</v>
      </c>
      <c r="H2657" s="379">
        <v>6.0870436498465595E-2</v>
      </c>
      <c r="I2657" s="25">
        <v>50.19</v>
      </c>
      <c r="J2657" s="379">
        <v>2.777777777777778E-2</v>
      </c>
    </row>
    <row r="2658" spans="1:10" x14ac:dyDescent="0.35">
      <c r="A2658" s="5">
        <v>2654</v>
      </c>
      <c r="B2658" s="5">
        <v>111</v>
      </c>
      <c r="C2658" s="5">
        <v>4</v>
      </c>
      <c r="D2658" s="379">
        <v>48.691111111111105</v>
      </c>
      <c r="E2658" s="25">
        <v>24.84</v>
      </c>
      <c r="F2658" s="379">
        <v>3.6659613994997415</v>
      </c>
      <c r="G2658" s="25">
        <v>43.08</v>
      </c>
      <c r="H2658" s="379">
        <v>6.0870436498465595E-2</v>
      </c>
      <c r="I2658" s="25">
        <v>47.31</v>
      </c>
      <c r="J2658" s="379">
        <v>2.777777777777778E-2</v>
      </c>
    </row>
    <row r="2659" spans="1:10" x14ac:dyDescent="0.35">
      <c r="A2659" s="5">
        <v>2655</v>
      </c>
      <c r="B2659" s="5">
        <v>111</v>
      </c>
      <c r="C2659" s="5">
        <v>4</v>
      </c>
      <c r="D2659" s="379">
        <v>49.549444444444447</v>
      </c>
      <c r="E2659" s="25">
        <v>24.84</v>
      </c>
      <c r="F2659" s="379">
        <v>3.6659613994997415</v>
      </c>
      <c r="G2659" s="25">
        <v>43.08</v>
      </c>
      <c r="H2659" s="379">
        <v>6.0870436498465595E-2</v>
      </c>
      <c r="I2659" s="25">
        <v>46.68</v>
      </c>
      <c r="J2659" s="379">
        <v>2.777777777777778E-2</v>
      </c>
    </row>
    <row r="2660" spans="1:10" x14ac:dyDescent="0.35">
      <c r="A2660" s="5">
        <v>2656</v>
      </c>
      <c r="B2660" s="5">
        <v>111</v>
      </c>
      <c r="C2660" s="5">
        <v>4</v>
      </c>
      <c r="D2660" s="379">
        <v>51.772222222222226</v>
      </c>
      <c r="E2660" s="25">
        <v>24.84</v>
      </c>
      <c r="F2660" s="379">
        <v>4.3924575979479936</v>
      </c>
      <c r="G2660" s="25">
        <v>43.08</v>
      </c>
      <c r="H2660" s="379">
        <v>5.4019307831410242E-2</v>
      </c>
      <c r="I2660" s="25">
        <v>50.19</v>
      </c>
      <c r="J2660" s="379">
        <v>2.0433786186746006</v>
      </c>
    </row>
    <row r="2661" spans="1:10" x14ac:dyDescent="0.35">
      <c r="A2661" s="5">
        <v>2657</v>
      </c>
      <c r="B2661" s="5">
        <v>111</v>
      </c>
      <c r="C2661" s="5">
        <v>4</v>
      </c>
      <c r="D2661" s="379">
        <v>55.553888888888885</v>
      </c>
      <c r="E2661" s="25">
        <v>24.84</v>
      </c>
      <c r="F2661" s="379">
        <v>4.7666261420830081</v>
      </c>
      <c r="G2661" s="25">
        <v>43.56</v>
      </c>
      <c r="H2661" s="379">
        <v>0.48639034116296254</v>
      </c>
      <c r="I2661" s="25">
        <v>51.12</v>
      </c>
      <c r="J2661" s="379">
        <v>2.777777777777778E-2</v>
      </c>
    </row>
    <row r="2662" spans="1:10" x14ac:dyDescent="0.35">
      <c r="A2662" s="5">
        <v>2658</v>
      </c>
      <c r="B2662" s="5">
        <v>111</v>
      </c>
      <c r="C2662" s="5">
        <v>4</v>
      </c>
      <c r="D2662" s="379">
        <v>58.656111111111102</v>
      </c>
      <c r="E2662" s="25">
        <v>24.99</v>
      </c>
      <c r="F2662" s="379">
        <v>1.5310169132112679</v>
      </c>
      <c r="G2662" s="25">
        <v>44.69</v>
      </c>
      <c r="H2662" s="379">
        <v>5.0434518232101784</v>
      </c>
      <c r="I2662" s="25">
        <v>51.64</v>
      </c>
      <c r="J2662" s="379">
        <v>2.2654893761005548</v>
      </c>
    </row>
    <row r="2663" spans="1:10" x14ac:dyDescent="0.35">
      <c r="A2663" s="5">
        <v>2659</v>
      </c>
      <c r="B2663" s="5">
        <v>111</v>
      </c>
      <c r="C2663" s="5">
        <v>4</v>
      </c>
      <c r="D2663" s="379">
        <v>60.642222222222216</v>
      </c>
      <c r="E2663" s="25">
        <v>24.99</v>
      </c>
      <c r="F2663" s="379">
        <v>8.1174834595959595</v>
      </c>
      <c r="G2663" s="25">
        <v>47.46</v>
      </c>
      <c r="H2663" s="379">
        <v>0.96927657308258164</v>
      </c>
      <c r="I2663" s="25">
        <v>53.19</v>
      </c>
      <c r="J2663" s="379">
        <v>2.7034764357602863</v>
      </c>
    </row>
    <row r="2664" spans="1:10" x14ac:dyDescent="0.35">
      <c r="A2664" s="5">
        <v>2660</v>
      </c>
      <c r="B2664" s="5">
        <v>111</v>
      </c>
      <c r="C2664" s="5">
        <v>4</v>
      </c>
      <c r="D2664" s="379">
        <v>60.482777777777777</v>
      </c>
      <c r="E2664" s="25">
        <v>24.99</v>
      </c>
      <c r="F2664" s="379">
        <v>8.1174834595959613</v>
      </c>
      <c r="G2664" s="25">
        <v>47.46</v>
      </c>
      <c r="H2664" s="379">
        <v>0.96927657308258164</v>
      </c>
      <c r="I2664" s="25">
        <v>59.05</v>
      </c>
      <c r="J2664" s="379">
        <v>1.8667431206378373</v>
      </c>
    </row>
    <row r="2665" spans="1:10" x14ac:dyDescent="0.35">
      <c r="A2665" s="5">
        <v>2661</v>
      </c>
      <c r="B2665" s="5">
        <v>111</v>
      </c>
      <c r="C2665" s="5">
        <v>4</v>
      </c>
      <c r="D2665" s="379">
        <v>59.283333333333331</v>
      </c>
      <c r="E2665" s="25">
        <v>25.74</v>
      </c>
      <c r="F2665" s="379">
        <v>8.1174834595959595</v>
      </c>
      <c r="G2665" s="25">
        <v>47.46</v>
      </c>
      <c r="H2665" s="379">
        <v>0.95987963046389524</v>
      </c>
      <c r="I2665" s="25">
        <v>62.27</v>
      </c>
      <c r="J2665" s="379">
        <v>0.27777777777777779</v>
      </c>
    </row>
    <row r="2666" spans="1:10" x14ac:dyDescent="0.35">
      <c r="A2666" s="5">
        <v>2662</v>
      </c>
      <c r="B2666" s="5">
        <v>111</v>
      </c>
      <c r="C2666" s="5">
        <v>4</v>
      </c>
      <c r="D2666" s="379">
        <v>56.49388888888889</v>
      </c>
      <c r="E2666" s="25">
        <v>25.29</v>
      </c>
      <c r="F2666" s="379">
        <v>8.1174834595959595</v>
      </c>
      <c r="G2666" s="25">
        <v>47.46</v>
      </c>
      <c r="H2666" s="379">
        <v>0.95987963046389524</v>
      </c>
      <c r="I2666" s="25">
        <v>56.41</v>
      </c>
      <c r="J2666" s="379">
        <v>1.1203735733395865</v>
      </c>
    </row>
    <row r="2667" spans="1:10" x14ac:dyDescent="0.35">
      <c r="A2667" s="5">
        <v>2663</v>
      </c>
      <c r="B2667" s="5">
        <v>111</v>
      </c>
      <c r="C2667" s="5">
        <v>4</v>
      </c>
      <c r="D2667" s="379">
        <v>54.351666666666667</v>
      </c>
      <c r="E2667" s="25">
        <v>24.84</v>
      </c>
      <c r="F2667" s="379">
        <v>8.1174834595959595</v>
      </c>
      <c r="G2667" s="25">
        <v>43.56</v>
      </c>
      <c r="H2667" s="379">
        <v>0.96927657308258164</v>
      </c>
      <c r="I2667" s="25">
        <v>53.27</v>
      </c>
      <c r="J2667" s="379">
        <v>0.27777777777777779</v>
      </c>
    </row>
    <row r="2668" spans="1:10" x14ac:dyDescent="0.35">
      <c r="A2668" s="5">
        <v>2664</v>
      </c>
      <c r="B2668" s="5">
        <v>111</v>
      </c>
      <c r="C2668" s="5">
        <v>4</v>
      </c>
      <c r="D2668" s="379">
        <v>54.847222222222214</v>
      </c>
      <c r="E2668" s="25">
        <v>24.84</v>
      </c>
      <c r="F2668" s="379">
        <v>8.1174834595959595</v>
      </c>
      <c r="G2668" s="25">
        <v>43.56</v>
      </c>
      <c r="H2668" s="379">
        <v>0.96927657308258164</v>
      </c>
      <c r="I2668" s="25">
        <v>51.12</v>
      </c>
      <c r="J2668" s="379">
        <v>3.9560195103615832</v>
      </c>
    </row>
    <row r="2669" spans="1:10" x14ac:dyDescent="0.35">
      <c r="A2669" s="5">
        <v>2665</v>
      </c>
      <c r="B2669" s="5">
        <v>112</v>
      </c>
      <c r="C2669" s="5">
        <v>4</v>
      </c>
      <c r="D2669" s="379">
        <v>53.578888888888891</v>
      </c>
      <c r="E2669" s="25">
        <v>24.84</v>
      </c>
      <c r="F2669" s="379">
        <v>8.1174834595959595</v>
      </c>
      <c r="G2669" s="25">
        <v>43.56</v>
      </c>
      <c r="H2669" s="379">
        <v>0.8006145307457927</v>
      </c>
      <c r="I2669" s="25">
        <v>50.19</v>
      </c>
      <c r="J2669" s="379">
        <v>0.27777777777777779</v>
      </c>
    </row>
    <row r="2670" spans="1:10" x14ac:dyDescent="0.35">
      <c r="A2670" s="5">
        <v>2666</v>
      </c>
      <c r="B2670" s="5">
        <v>112</v>
      </c>
      <c r="C2670" s="5">
        <v>4</v>
      </c>
      <c r="D2670" s="379">
        <v>53.944444444444443</v>
      </c>
      <c r="E2670" s="25">
        <v>24.84</v>
      </c>
      <c r="F2670" s="379">
        <v>8.1174834595959577</v>
      </c>
      <c r="G2670" s="25">
        <v>43.56</v>
      </c>
      <c r="H2670" s="379">
        <v>0.47222222222222221</v>
      </c>
      <c r="I2670" s="25">
        <v>50.19</v>
      </c>
      <c r="J2670" s="379">
        <v>3.2893816638460032</v>
      </c>
    </row>
    <row r="2671" spans="1:10" x14ac:dyDescent="0.35">
      <c r="A2671" s="5">
        <v>2667</v>
      </c>
      <c r="B2671" s="5">
        <v>112</v>
      </c>
      <c r="C2671" s="5">
        <v>4</v>
      </c>
      <c r="D2671" s="379">
        <v>52.774999999999991</v>
      </c>
      <c r="E2671" s="25">
        <v>24.84</v>
      </c>
      <c r="F2671" s="379">
        <v>8.1174834595959613</v>
      </c>
      <c r="G2671" s="25">
        <v>43.56</v>
      </c>
      <c r="H2671" s="379">
        <v>0.47222222222222221</v>
      </c>
      <c r="I2671" s="25">
        <v>50.19</v>
      </c>
      <c r="J2671" s="379">
        <v>3.4946139941752743</v>
      </c>
    </row>
    <row r="2672" spans="1:10" x14ac:dyDescent="0.35">
      <c r="A2672" s="5">
        <v>2668</v>
      </c>
      <c r="B2672" s="5">
        <v>112</v>
      </c>
      <c r="C2672" s="5">
        <v>4</v>
      </c>
      <c r="D2672" s="379">
        <v>52.706666666666663</v>
      </c>
      <c r="E2672" s="25">
        <v>24.84</v>
      </c>
      <c r="F2672" s="379">
        <v>8.1174834595959595</v>
      </c>
      <c r="G2672" s="25">
        <v>43.56</v>
      </c>
      <c r="H2672" s="379">
        <v>0.47222222222222221</v>
      </c>
      <c r="I2672" s="25">
        <v>50.19</v>
      </c>
      <c r="J2672" s="379">
        <v>2.0046636118919698</v>
      </c>
    </row>
    <row r="2673" spans="1:10" x14ac:dyDescent="0.35">
      <c r="A2673" s="5">
        <v>2669</v>
      </c>
      <c r="B2673" s="5">
        <v>112</v>
      </c>
      <c r="C2673" s="5">
        <v>4</v>
      </c>
      <c r="D2673" s="379">
        <v>53.239444444444445</v>
      </c>
      <c r="E2673" s="25">
        <v>24.84</v>
      </c>
      <c r="F2673" s="379">
        <v>8.1174834595959595</v>
      </c>
      <c r="G2673" s="25">
        <v>46.98</v>
      </c>
      <c r="H2673" s="379">
        <v>0.47222222222222221</v>
      </c>
      <c r="I2673" s="25">
        <v>50.7</v>
      </c>
      <c r="J2673" s="379">
        <v>4.8146134482666563</v>
      </c>
    </row>
    <row r="2674" spans="1:10" x14ac:dyDescent="0.35">
      <c r="A2674" s="5">
        <v>2670</v>
      </c>
      <c r="B2674" s="5">
        <v>112</v>
      </c>
      <c r="C2674" s="5">
        <v>4</v>
      </c>
      <c r="D2674" s="379">
        <v>56.442222222222213</v>
      </c>
      <c r="E2674" s="25">
        <v>25.74</v>
      </c>
      <c r="F2674" s="379">
        <v>8.1174834595959595</v>
      </c>
      <c r="G2674" s="25">
        <v>48.39</v>
      </c>
      <c r="H2674" s="379">
        <v>0.47222222222222221</v>
      </c>
      <c r="I2674" s="25">
        <v>59.05</v>
      </c>
      <c r="J2674" s="379">
        <v>2.61865852716307</v>
      </c>
    </row>
    <row r="2675" spans="1:10" x14ac:dyDescent="0.35">
      <c r="A2675" s="5">
        <v>2671</v>
      </c>
      <c r="B2675" s="5">
        <v>112</v>
      </c>
      <c r="C2675" s="5">
        <v>4</v>
      </c>
      <c r="D2675" s="379">
        <v>61.569444444444443</v>
      </c>
      <c r="E2675" s="25">
        <v>27.3</v>
      </c>
      <c r="F2675" s="379">
        <v>8.1174834595959595</v>
      </c>
      <c r="G2675" s="25">
        <v>52.2</v>
      </c>
      <c r="H2675" s="379">
        <v>0.47222222222222221</v>
      </c>
      <c r="I2675" s="25">
        <v>66.06</v>
      </c>
      <c r="J2675" s="379">
        <v>0.27777777777777779</v>
      </c>
    </row>
    <row r="2676" spans="1:10" x14ac:dyDescent="0.35">
      <c r="A2676" s="5">
        <v>2672</v>
      </c>
      <c r="B2676" s="5">
        <v>112</v>
      </c>
      <c r="C2676" s="5">
        <v>4</v>
      </c>
      <c r="D2676" s="379">
        <v>61.814999999999991</v>
      </c>
      <c r="E2676" s="25">
        <v>27.3</v>
      </c>
      <c r="F2676" s="379">
        <v>8.1174834595959613</v>
      </c>
      <c r="G2676" s="25">
        <v>52.2</v>
      </c>
      <c r="H2676" s="379">
        <v>4.7996851908450244</v>
      </c>
      <c r="I2676" s="25">
        <v>66.06</v>
      </c>
      <c r="J2676" s="379">
        <v>5.9035644743035123</v>
      </c>
    </row>
    <row r="2677" spans="1:10" x14ac:dyDescent="0.35">
      <c r="A2677" s="5">
        <v>2673</v>
      </c>
      <c r="B2677" s="5">
        <v>112</v>
      </c>
      <c r="C2677" s="5">
        <v>4</v>
      </c>
      <c r="D2677" s="379">
        <v>57.956666666666663</v>
      </c>
      <c r="E2677" s="25">
        <v>27.3</v>
      </c>
      <c r="F2677" s="379">
        <v>5.566035640254106</v>
      </c>
      <c r="G2677" s="25">
        <v>52.2</v>
      </c>
      <c r="H2677" s="379">
        <v>4.1687404142283926</v>
      </c>
      <c r="I2677" s="25">
        <v>64.14</v>
      </c>
      <c r="J2677" s="379">
        <v>0.12887543510916907</v>
      </c>
    </row>
    <row r="2678" spans="1:10" x14ac:dyDescent="0.35">
      <c r="A2678" s="5">
        <v>2674</v>
      </c>
      <c r="B2678" s="5">
        <v>112</v>
      </c>
      <c r="C2678" s="5">
        <v>4</v>
      </c>
      <c r="D2678" s="379">
        <v>53.918888888888887</v>
      </c>
      <c r="E2678" s="25">
        <v>26.51</v>
      </c>
      <c r="F2678" s="379">
        <v>3.7711072639018823</v>
      </c>
      <c r="G2678" s="25">
        <v>47.85</v>
      </c>
      <c r="H2678" s="379">
        <v>2.365849961366663</v>
      </c>
      <c r="I2678" s="25">
        <v>53.81</v>
      </c>
      <c r="J2678" s="379">
        <v>0.12887543510916907</v>
      </c>
    </row>
    <row r="2679" spans="1:10" x14ac:dyDescent="0.35">
      <c r="A2679" s="5">
        <v>2675</v>
      </c>
      <c r="B2679" s="5">
        <v>112</v>
      </c>
      <c r="C2679" s="5">
        <v>4</v>
      </c>
      <c r="D2679" s="379">
        <v>47.975000000000001</v>
      </c>
      <c r="E2679" s="25">
        <v>25.74</v>
      </c>
      <c r="F2679" s="379">
        <v>2.777777777777778E-2</v>
      </c>
      <c r="G2679" s="25">
        <v>47.85</v>
      </c>
      <c r="H2679" s="379">
        <v>2.777777777777778E-2</v>
      </c>
      <c r="I2679" s="25">
        <v>51.64</v>
      </c>
      <c r="J2679" s="379">
        <v>2.777777777777778E-2</v>
      </c>
    </row>
    <row r="2680" spans="1:10" x14ac:dyDescent="0.35">
      <c r="A2680" s="5">
        <v>2676</v>
      </c>
      <c r="B2680" s="5">
        <v>112</v>
      </c>
      <c r="C2680" s="5">
        <v>4</v>
      </c>
      <c r="D2680" s="379">
        <v>44.309999999999995</v>
      </c>
      <c r="E2680" s="25">
        <v>24.99</v>
      </c>
      <c r="F2680" s="379">
        <v>1.537293099016811</v>
      </c>
      <c r="G2680" s="25">
        <v>47.46</v>
      </c>
      <c r="H2680" s="379">
        <v>2.777777777777778E-2</v>
      </c>
      <c r="I2680" s="25">
        <v>50.19</v>
      </c>
      <c r="J2680" s="379">
        <v>2.777777777777778E-2</v>
      </c>
    </row>
    <row r="2681" spans="1:10" x14ac:dyDescent="0.35">
      <c r="A2681" s="5">
        <v>2677</v>
      </c>
      <c r="B2681" s="5">
        <v>112</v>
      </c>
      <c r="C2681" s="5">
        <v>4</v>
      </c>
      <c r="D2681" s="379">
        <v>37.79</v>
      </c>
      <c r="E2681" s="25">
        <v>24.84</v>
      </c>
      <c r="F2681" s="379">
        <v>0.19038860176267738</v>
      </c>
      <c r="G2681" s="25">
        <v>45.14</v>
      </c>
      <c r="H2681" s="379">
        <v>2.777777777777778E-2</v>
      </c>
      <c r="I2681" s="25">
        <v>50.19</v>
      </c>
      <c r="J2681" s="379">
        <v>2.777777777777778E-2</v>
      </c>
    </row>
    <row r="2682" spans="1:10" x14ac:dyDescent="0.35">
      <c r="A2682" s="5">
        <v>2678</v>
      </c>
      <c r="B2682" s="5">
        <v>112</v>
      </c>
      <c r="C2682" s="5">
        <v>4</v>
      </c>
      <c r="D2682" s="379">
        <v>34.321111111111115</v>
      </c>
      <c r="E2682" s="25">
        <v>24.84</v>
      </c>
      <c r="F2682" s="379">
        <v>7.3580064730008388E-2</v>
      </c>
      <c r="G2682" s="25">
        <v>44.69</v>
      </c>
      <c r="H2682" s="379">
        <v>2.777777777777778E-2</v>
      </c>
      <c r="I2682" s="25">
        <v>47.31</v>
      </c>
      <c r="J2682" s="379">
        <v>2.777777777777778E-2</v>
      </c>
    </row>
    <row r="2683" spans="1:10" x14ac:dyDescent="0.35">
      <c r="A2683" s="5">
        <v>2679</v>
      </c>
      <c r="B2683" s="5">
        <v>112</v>
      </c>
      <c r="C2683" s="5">
        <v>4</v>
      </c>
      <c r="D2683" s="379">
        <v>32.979444444444447</v>
      </c>
      <c r="E2683" s="25">
        <v>24.84</v>
      </c>
      <c r="F2683" s="379">
        <v>7.3580064730008388E-2</v>
      </c>
      <c r="G2683" s="25">
        <v>44.69</v>
      </c>
      <c r="H2683" s="379">
        <v>2.777777777777778E-2</v>
      </c>
      <c r="I2683" s="25">
        <v>48.73</v>
      </c>
      <c r="J2683" s="379">
        <v>2.777777777777778E-2</v>
      </c>
    </row>
    <row r="2684" spans="1:10" x14ac:dyDescent="0.35">
      <c r="A2684" s="5">
        <v>2680</v>
      </c>
      <c r="B2684" s="5">
        <v>112</v>
      </c>
      <c r="C2684" s="5">
        <v>4</v>
      </c>
      <c r="D2684" s="379">
        <v>37.627777777777773</v>
      </c>
      <c r="E2684" s="25">
        <v>24.84</v>
      </c>
      <c r="F2684" s="379">
        <v>0.79246177339824175</v>
      </c>
      <c r="G2684" s="25">
        <v>44.69</v>
      </c>
      <c r="H2684" s="379">
        <v>2.777777777777778E-2</v>
      </c>
      <c r="I2684" s="25">
        <v>50.19</v>
      </c>
      <c r="J2684" s="379">
        <v>2.777777777777778E-2</v>
      </c>
    </row>
    <row r="2685" spans="1:10" x14ac:dyDescent="0.35">
      <c r="A2685" s="5">
        <v>2681</v>
      </c>
      <c r="B2685" s="5">
        <v>112</v>
      </c>
      <c r="C2685" s="5">
        <v>4</v>
      </c>
      <c r="D2685" s="379">
        <v>42.562777777777775</v>
      </c>
      <c r="E2685" s="25">
        <v>25.59</v>
      </c>
      <c r="F2685" s="379">
        <v>0.20803718233155066</v>
      </c>
      <c r="G2685" s="25">
        <v>44.69</v>
      </c>
      <c r="H2685" s="379">
        <v>2.777777777777778E-2</v>
      </c>
      <c r="I2685" s="25">
        <v>50.19</v>
      </c>
      <c r="J2685" s="379">
        <v>2.777777777777778E-2</v>
      </c>
    </row>
    <row r="2686" spans="1:10" x14ac:dyDescent="0.35">
      <c r="A2686" s="5">
        <v>2682</v>
      </c>
      <c r="B2686" s="5">
        <v>112</v>
      </c>
      <c r="C2686" s="5">
        <v>4</v>
      </c>
      <c r="D2686" s="379">
        <v>48.296666666666667</v>
      </c>
      <c r="E2686" s="25">
        <v>25.74</v>
      </c>
      <c r="F2686" s="379">
        <v>7.0406561286852121</v>
      </c>
      <c r="G2686" s="25">
        <v>45.14</v>
      </c>
      <c r="H2686" s="379">
        <v>2.8626789473463723</v>
      </c>
      <c r="I2686" s="25">
        <v>51.64</v>
      </c>
      <c r="J2686" s="379">
        <v>0.40982617155630524</v>
      </c>
    </row>
    <row r="2687" spans="1:10" x14ac:dyDescent="0.35">
      <c r="A2687" s="5">
        <v>2683</v>
      </c>
      <c r="B2687" s="5">
        <v>112</v>
      </c>
      <c r="C2687" s="5">
        <v>4</v>
      </c>
      <c r="D2687" s="379">
        <v>53.045555555555552</v>
      </c>
      <c r="E2687" s="25">
        <v>26.35</v>
      </c>
      <c r="F2687" s="379">
        <v>17.950595475554803</v>
      </c>
      <c r="G2687" s="25">
        <v>47.85</v>
      </c>
      <c r="H2687" s="379">
        <v>7.040056121548373</v>
      </c>
      <c r="I2687" s="25">
        <v>54.52</v>
      </c>
      <c r="J2687" s="379">
        <v>5.4111881686789145</v>
      </c>
    </row>
    <row r="2688" spans="1:10" x14ac:dyDescent="0.35">
      <c r="A2688" s="5">
        <v>2684</v>
      </c>
      <c r="B2688" s="5">
        <v>112</v>
      </c>
      <c r="C2688" s="5">
        <v>4</v>
      </c>
      <c r="D2688" s="379">
        <v>53.070555555555558</v>
      </c>
      <c r="E2688" s="25">
        <v>27.15</v>
      </c>
      <c r="F2688" s="379">
        <v>18.007707924948139</v>
      </c>
      <c r="G2688" s="25">
        <v>47.85</v>
      </c>
      <c r="H2688" s="379">
        <v>6.6648749433115455</v>
      </c>
      <c r="I2688" s="25">
        <v>66.06</v>
      </c>
      <c r="J2688" s="379">
        <v>5.4705442771819328</v>
      </c>
    </row>
    <row r="2689" spans="1:10" x14ac:dyDescent="0.35">
      <c r="A2689" s="5">
        <v>2685</v>
      </c>
      <c r="B2689" s="5">
        <v>112</v>
      </c>
      <c r="C2689" s="5">
        <v>4</v>
      </c>
      <c r="D2689" s="379">
        <v>47.620555555555562</v>
      </c>
      <c r="E2689" s="25">
        <v>27.15</v>
      </c>
      <c r="F2689" s="379">
        <v>18.200769183268438</v>
      </c>
      <c r="G2689" s="25">
        <v>47.85</v>
      </c>
      <c r="H2689" s="379">
        <v>7.1141035292645984</v>
      </c>
      <c r="I2689" s="25">
        <v>66.06</v>
      </c>
      <c r="J2689" s="379">
        <v>5.1716958501329859</v>
      </c>
    </row>
    <row r="2690" spans="1:10" x14ac:dyDescent="0.35">
      <c r="A2690" s="5">
        <v>2686</v>
      </c>
      <c r="B2690" s="5">
        <v>112</v>
      </c>
      <c r="C2690" s="5">
        <v>4</v>
      </c>
      <c r="D2690" s="379">
        <v>46.816111111111113</v>
      </c>
      <c r="E2690" s="25">
        <v>26.51</v>
      </c>
      <c r="F2690" s="379">
        <v>16.900065628482878</v>
      </c>
      <c r="G2690" s="25">
        <v>47.85</v>
      </c>
      <c r="H2690" s="379">
        <v>7.2730066821210428</v>
      </c>
      <c r="I2690" s="25">
        <v>66.06</v>
      </c>
      <c r="J2690" s="379">
        <v>5.3903267043023568</v>
      </c>
    </row>
    <row r="2691" spans="1:10" x14ac:dyDescent="0.35">
      <c r="A2691" s="5">
        <v>2687</v>
      </c>
      <c r="B2691" s="5">
        <v>112</v>
      </c>
      <c r="C2691" s="5">
        <v>4</v>
      </c>
      <c r="D2691" s="379">
        <v>42.371111111111112</v>
      </c>
      <c r="E2691" s="25">
        <v>24.99</v>
      </c>
      <c r="F2691" s="379">
        <v>15.633931384647077</v>
      </c>
      <c r="G2691" s="25">
        <v>47.46</v>
      </c>
      <c r="H2691" s="379">
        <v>7.040056121548373</v>
      </c>
      <c r="I2691" s="25">
        <v>66.06</v>
      </c>
      <c r="J2691" s="379">
        <v>5.1962992106348791</v>
      </c>
    </row>
    <row r="2692" spans="1:10" x14ac:dyDescent="0.35">
      <c r="A2692" s="5">
        <v>2688</v>
      </c>
      <c r="B2692" s="5">
        <v>112</v>
      </c>
      <c r="C2692" s="5">
        <v>4</v>
      </c>
      <c r="D2692" s="379">
        <v>43.103333333333332</v>
      </c>
      <c r="E2692" s="25">
        <v>24.84</v>
      </c>
      <c r="F2692" s="379">
        <v>16.359583102249903</v>
      </c>
      <c r="G2692" s="25">
        <v>45.14</v>
      </c>
      <c r="H2692" s="379">
        <v>7.2812102925950857</v>
      </c>
      <c r="I2692" s="25">
        <v>62.27</v>
      </c>
      <c r="J2692" s="379">
        <v>5.4096384666234414</v>
      </c>
    </row>
    <row r="2693" spans="1:10" x14ac:dyDescent="0.35">
      <c r="A2693" s="5">
        <v>2689</v>
      </c>
      <c r="B2693" s="5">
        <v>113</v>
      </c>
      <c r="C2693" s="5">
        <v>4</v>
      </c>
      <c r="D2693" s="379">
        <v>41.538888888888891</v>
      </c>
      <c r="E2693" s="25">
        <v>24.84</v>
      </c>
      <c r="F2693" s="379">
        <v>15.325483636852656</v>
      </c>
      <c r="G2693" s="25">
        <v>47.37</v>
      </c>
      <c r="H2693" s="379">
        <v>5.9631985421459213</v>
      </c>
      <c r="I2693" s="25">
        <v>64.790000000000006</v>
      </c>
      <c r="J2693" s="379">
        <v>5.5976965778610737</v>
      </c>
    </row>
    <row r="2694" spans="1:10" x14ac:dyDescent="0.35">
      <c r="A2694" s="5">
        <v>2690</v>
      </c>
      <c r="B2694" s="5">
        <v>113</v>
      </c>
      <c r="C2694" s="5">
        <v>4</v>
      </c>
      <c r="D2694" s="379">
        <v>40.438888888888883</v>
      </c>
      <c r="E2694" s="25">
        <v>24.84</v>
      </c>
      <c r="F2694" s="379">
        <v>16.813841603873485</v>
      </c>
      <c r="G2694" s="25">
        <v>47.37</v>
      </c>
      <c r="H2694" s="379">
        <v>7.8657854231933513</v>
      </c>
      <c r="I2694" s="25">
        <v>64.14</v>
      </c>
      <c r="J2694" s="379">
        <v>5.5237227511018352</v>
      </c>
    </row>
    <row r="2695" spans="1:10" x14ac:dyDescent="0.35">
      <c r="A2695" s="5">
        <v>2691</v>
      </c>
      <c r="B2695" s="5">
        <v>113</v>
      </c>
      <c r="C2695" s="5">
        <v>4</v>
      </c>
      <c r="D2695" s="379">
        <v>39.386666666666663</v>
      </c>
      <c r="E2695" s="25">
        <v>24.84</v>
      </c>
      <c r="F2695" s="379">
        <v>15.659130395660174</v>
      </c>
      <c r="G2695" s="25">
        <v>47.37</v>
      </c>
      <c r="H2695" s="379">
        <v>6.4800174607157137</v>
      </c>
      <c r="I2695" s="25">
        <v>64.14</v>
      </c>
      <c r="J2695" s="379">
        <v>5.4074311214683615</v>
      </c>
    </row>
    <row r="2696" spans="1:10" x14ac:dyDescent="0.35">
      <c r="A2696" s="5">
        <v>2692</v>
      </c>
      <c r="B2696" s="5">
        <v>113</v>
      </c>
      <c r="C2696" s="5">
        <v>4</v>
      </c>
      <c r="D2696" s="379">
        <v>36.144444444444446</v>
      </c>
      <c r="E2696" s="25">
        <v>24.84</v>
      </c>
      <c r="F2696" s="379">
        <v>15.818372759986095</v>
      </c>
      <c r="G2696" s="25">
        <v>47.37</v>
      </c>
      <c r="H2696" s="379">
        <v>7.3727063004550448</v>
      </c>
      <c r="I2696" s="25">
        <v>64.14</v>
      </c>
      <c r="J2696" s="379">
        <v>5.3255457324084778</v>
      </c>
    </row>
    <row r="2697" spans="1:10" x14ac:dyDescent="0.35">
      <c r="A2697" s="5">
        <v>2693</v>
      </c>
      <c r="B2697" s="5">
        <v>113</v>
      </c>
      <c r="C2697" s="5">
        <v>4</v>
      </c>
      <c r="D2697" s="379">
        <v>34.612777777777772</v>
      </c>
      <c r="E2697" s="25">
        <v>25.29</v>
      </c>
      <c r="F2697" s="379">
        <v>16.360125279584629</v>
      </c>
      <c r="G2697" s="25">
        <v>47.46</v>
      </c>
      <c r="H2697" s="379">
        <v>6.7278025676782152</v>
      </c>
      <c r="I2697" s="25">
        <v>64.790000000000006</v>
      </c>
      <c r="J2697" s="379">
        <v>5.3255457324084778</v>
      </c>
    </row>
    <row r="2698" spans="1:10" x14ac:dyDescent="0.35">
      <c r="A2698" s="5">
        <v>2694</v>
      </c>
      <c r="B2698" s="5">
        <v>113</v>
      </c>
      <c r="C2698" s="5">
        <v>4</v>
      </c>
      <c r="D2698" s="379">
        <v>38.081666666666663</v>
      </c>
      <c r="E2698" s="25">
        <v>27.3</v>
      </c>
      <c r="F2698" s="379">
        <v>16.418697092963814</v>
      </c>
      <c r="G2698" s="25">
        <v>49.2</v>
      </c>
      <c r="H2698" s="379">
        <v>6.6660726025194705</v>
      </c>
      <c r="I2698" s="25">
        <v>68.05</v>
      </c>
      <c r="J2698" s="379">
        <v>6.349181286154745</v>
      </c>
    </row>
    <row r="2699" spans="1:10" x14ac:dyDescent="0.35">
      <c r="A2699" s="5">
        <v>2695</v>
      </c>
      <c r="B2699" s="5">
        <v>113</v>
      </c>
      <c r="C2699" s="5">
        <v>4</v>
      </c>
      <c r="D2699" s="379">
        <v>41.400000000000006</v>
      </c>
      <c r="E2699" s="25">
        <v>27.96</v>
      </c>
      <c r="F2699" s="379">
        <v>16.579704626472179</v>
      </c>
      <c r="G2699" s="25">
        <v>52.2</v>
      </c>
      <c r="H2699" s="379">
        <v>4.1850050143493096</v>
      </c>
      <c r="I2699" s="25">
        <v>70.09</v>
      </c>
      <c r="J2699" s="379">
        <v>6.349181286154745</v>
      </c>
    </row>
    <row r="2700" spans="1:10" x14ac:dyDescent="0.35">
      <c r="A2700" s="5">
        <v>2696</v>
      </c>
      <c r="B2700" s="5">
        <v>113</v>
      </c>
      <c r="C2700" s="5">
        <v>4</v>
      </c>
      <c r="D2700" s="379">
        <v>42.893333333333331</v>
      </c>
      <c r="E2700" s="25">
        <v>27.96</v>
      </c>
      <c r="F2700" s="379">
        <v>18.128678829485263</v>
      </c>
      <c r="G2700" s="25">
        <v>52.2</v>
      </c>
      <c r="H2700" s="379">
        <v>4.8736963014576835</v>
      </c>
      <c r="I2700" s="25">
        <v>70.09</v>
      </c>
      <c r="J2700" s="379">
        <v>6.4046216051139959</v>
      </c>
    </row>
    <row r="2701" spans="1:10" x14ac:dyDescent="0.35">
      <c r="A2701" s="5">
        <v>2697</v>
      </c>
      <c r="B2701" s="5">
        <v>113</v>
      </c>
      <c r="C2701" s="5">
        <v>4</v>
      </c>
      <c r="D2701" s="379">
        <v>31.032222222222217</v>
      </c>
      <c r="E2701" s="25">
        <v>27.96</v>
      </c>
      <c r="F2701" s="379">
        <v>14.658809991788084</v>
      </c>
      <c r="G2701" s="25">
        <v>52.2</v>
      </c>
      <c r="H2701" s="379">
        <v>6.7870413449356048</v>
      </c>
      <c r="I2701" s="25">
        <v>68.05</v>
      </c>
      <c r="J2701" s="379">
        <v>7.3352977027822268</v>
      </c>
    </row>
    <row r="2702" spans="1:10" x14ac:dyDescent="0.35">
      <c r="A2702" s="5">
        <v>2698</v>
      </c>
      <c r="B2702" s="5">
        <v>113</v>
      </c>
      <c r="C2702" s="5">
        <v>4</v>
      </c>
      <c r="D2702" s="379">
        <v>26.004999999999999</v>
      </c>
      <c r="E2702" s="25">
        <v>27.96</v>
      </c>
      <c r="F2702" s="379">
        <v>8.8605937749238404</v>
      </c>
      <c r="G2702" s="25">
        <v>52.2</v>
      </c>
      <c r="H2702" s="379">
        <v>2.2519975781032451</v>
      </c>
      <c r="I2702" s="25">
        <v>66.06</v>
      </c>
      <c r="J2702" s="379">
        <v>3.8822953502990005</v>
      </c>
    </row>
    <row r="2703" spans="1:10" x14ac:dyDescent="0.35">
      <c r="A2703" s="5">
        <v>2699</v>
      </c>
      <c r="B2703" s="5">
        <v>113</v>
      </c>
      <c r="C2703" s="5">
        <v>4</v>
      </c>
      <c r="D2703" s="379">
        <v>23.685555555555556</v>
      </c>
      <c r="E2703" s="25">
        <v>27.3</v>
      </c>
      <c r="F2703" s="379">
        <v>3.4997306922052029</v>
      </c>
      <c r="G2703" s="25">
        <v>49.28</v>
      </c>
      <c r="H2703" s="379">
        <v>0.20326934464238836</v>
      </c>
      <c r="I2703" s="25">
        <v>66.06</v>
      </c>
      <c r="J2703" s="379">
        <v>1.893425420164522</v>
      </c>
    </row>
    <row r="2704" spans="1:10" x14ac:dyDescent="0.35">
      <c r="A2704" s="5">
        <v>2700</v>
      </c>
      <c r="B2704" s="5">
        <v>113</v>
      </c>
      <c r="C2704" s="5">
        <v>4</v>
      </c>
      <c r="D2704" s="379">
        <v>19.794999999999998</v>
      </c>
      <c r="E2704" s="25">
        <v>26.05</v>
      </c>
      <c r="F2704" s="379">
        <v>4.899776670914556</v>
      </c>
      <c r="G2704" s="25">
        <v>47.85</v>
      </c>
      <c r="H2704" s="379">
        <v>0.21165790352142641</v>
      </c>
      <c r="I2704" s="25">
        <v>64.14</v>
      </c>
      <c r="J2704" s="379">
        <v>1.297950578173364</v>
      </c>
    </row>
    <row r="2705" spans="1:10" x14ac:dyDescent="0.35">
      <c r="A2705" s="5">
        <v>2701</v>
      </c>
      <c r="B2705" s="5">
        <v>113</v>
      </c>
      <c r="C2705" s="5">
        <v>4</v>
      </c>
      <c r="D2705" s="379">
        <v>15.478888888888889</v>
      </c>
      <c r="E2705" s="25">
        <v>24.99</v>
      </c>
      <c r="F2705" s="379">
        <v>4.899776670914556</v>
      </c>
      <c r="G2705" s="25">
        <v>47.85</v>
      </c>
      <c r="H2705" s="379">
        <v>0.26929764586618443</v>
      </c>
      <c r="I2705" s="25">
        <v>64.14</v>
      </c>
      <c r="J2705" s="379">
        <v>0.44091105488884208</v>
      </c>
    </row>
    <row r="2706" spans="1:10" x14ac:dyDescent="0.35">
      <c r="A2706" s="5">
        <v>2702</v>
      </c>
      <c r="B2706" s="5">
        <v>113</v>
      </c>
      <c r="C2706" s="5">
        <v>4</v>
      </c>
      <c r="D2706" s="379">
        <v>12.054999999999998</v>
      </c>
      <c r="E2706" s="25">
        <v>24.99</v>
      </c>
      <c r="F2706" s="379">
        <v>4.6241633314339694</v>
      </c>
      <c r="G2706" s="25">
        <v>47.85</v>
      </c>
      <c r="H2706" s="379">
        <v>0.16965292118873593</v>
      </c>
      <c r="I2706" s="25">
        <v>57.84</v>
      </c>
      <c r="J2706" s="379">
        <v>0.45537478034058604</v>
      </c>
    </row>
    <row r="2707" spans="1:10" x14ac:dyDescent="0.35">
      <c r="A2707" s="5">
        <v>2703</v>
      </c>
      <c r="B2707" s="5">
        <v>113</v>
      </c>
      <c r="C2707" s="5">
        <v>4</v>
      </c>
      <c r="D2707" s="379">
        <v>13.639444444444443</v>
      </c>
      <c r="E2707" s="25">
        <v>24.99</v>
      </c>
      <c r="F2707" s="379">
        <v>2.4467747889684519</v>
      </c>
      <c r="G2707" s="25">
        <v>47.37</v>
      </c>
      <c r="H2707" s="379">
        <v>0.2634205591154985</v>
      </c>
      <c r="I2707" s="25">
        <v>54.52</v>
      </c>
      <c r="J2707" s="379">
        <v>0.5396934018492322</v>
      </c>
    </row>
    <row r="2708" spans="1:10" x14ac:dyDescent="0.35">
      <c r="A2708" s="5">
        <v>2704</v>
      </c>
      <c r="B2708" s="5">
        <v>113</v>
      </c>
      <c r="C2708" s="5">
        <v>4</v>
      </c>
      <c r="D2708" s="379">
        <v>17.515000000000001</v>
      </c>
      <c r="E2708" s="25">
        <v>25.29</v>
      </c>
      <c r="F2708" s="379">
        <v>0.47222222222222227</v>
      </c>
      <c r="G2708" s="25">
        <v>47.46</v>
      </c>
      <c r="H2708" s="379">
        <v>0.52148660992188456</v>
      </c>
      <c r="I2708" s="25">
        <v>54.92</v>
      </c>
      <c r="J2708" s="379">
        <v>0.38160690315145684</v>
      </c>
    </row>
    <row r="2709" spans="1:10" x14ac:dyDescent="0.35">
      <c r="A2709" s="5">
        <v>2705</v>
      </c>
      <c r="B2709" s="5">
        <v>113</v>
      </c>
      <c r="C2709" s="5">
        <v>4</v>
      </c>
      <c r="D2709" s="379">
        <v>25.151666666666667</v>
      </c>
      <c r="E2709" s="25">
        <v>25.74</v>
      </c>
      <c r="F2709" s="379">
        <v>8.1174834595959577</v>
      </c>
      <c r="G2709" s="25">
        <v>47.85</v>
      </c>
      <c r="H2709" s="379">
        <v>2.8732956395740672</v>
      </c>
      <c r="I2709" s="25">
        <v>64.14</v>
      </c>
      <c r="J2709" s="379">
        <v>0.62698758299881996</v>
      </c>
    </row>
    <row r="2710" spans="1:10" x14ac:dyDescent="0.35">
      <c r="A2710" s="5">
        <v>2706</v>
      </c>
      <c r="B2710" s="5">
        <v>113</v>
      </c>
      <c r="C2710" s="5">
        <v>4</v>
      </c>
      <c r="D2710" s="379">
        <v>35.050555555555555</v>
      </c>
      <c r="E2710" s="25">
        <v>26.51</v>
      </c>
      <c r="F2710" s="379">
        <v>16.079708404857534</v>
      </c>
      <c r="G2710" s="25">
        <v>49.2</v>
      </c>
      <c r="H2710" s="379">
        <v>9.4230824771104995</v>
      </c>
      <c r="I2710" s="25">
        <v>64.790000000000006</v>
      </c>
      <c r="J2710" s="379">
        <v>7.3585221329261463</v>
      </c>
    </row>
    <row r="2711" spans="1:10" x14ac:dyDescent="0.35">
      <c r="A2711" s="5">
        <v>2707</v>
      </c>
      <c r="B2711" s="5">
        <v>113</v>
      </c>
      <c r="C2711" s="5">
        <v>4</v>
      </c>
      <c r="D2711" s="379">
        <v>41.001666666666665</v>
      </c>
      <c r="E2711" s="25">
        <v>27.96</v>
      </c>
      <c r="F2711" s="379">
        <v>16.625861571360822</v>
      </c>
      <c r="G2711" s="25">
        <v>49.2</v>
      </c>
      <c r="H2711" s="379">
        <v>18.69244598906047</v>
      </c>
      <c r="I2711" s="25">
        <v>68.05</v>
      </c>
      <c r="J2711" s="379">
        <v>7.5641600258225541</v>
      </c>
    </row>
    <row r="2712" spans="1:10" x14ac:dyDescent="0.35">
      <c r="A2712" s="5">
        <v>2708</v>
      </c>
      <c r="B2712" s="5">
        <v>113</v>
      </c>
      <c r="C2712" s="5">
        <v>4</v>
      </c>
      <c r="D2712" s="379">
        <v>41.620555555555555</v>
      </c>
      <c r="E2712" s="25">
        <v>27.96</v>
      </c>
      <c r="F2712" s="379">
        <v>17.237436290030132</v>
      </c>
      <c r="G2712" s="25">
        <v>52.2</v>
      </c>
      <c r="H2712" s="379">
        <v>22.808846568949736</v>
      </c>
      <c r="I2712" s="25">
        <v>70.09</v>
      </c>
      <c r="J2712" s="379">
        <v>7.4121289021303394</v>
      </c>
    </row>
    <row r="2713" spans="1:10" x14ac:dyDescent="0.35">
      <c r="A2713" s="5">
        <v>2709</v>
      </c>
      <c r="B2713" s="5">
        <v>113</v>
      </c>
      <c r="C2713" s="5">
        <v>4</v>
      </c>
      <c r="D2713" s="379">
        <v>40.727222222222217</v>
      </c>
      <c r="E2713" s="25">
        <v>27.96</v>
      </c>
      <c r="F2713" s="379">
        <v>16.931648930695477</v>
      </c>
      <c r="G2713" s="25">
        <v>52.2</v>
      </c>
      <c r="H2713" s="379">
        <v>21.476306365355388</v>
      </c>
      <c r="I2713" s="25">
        <v>72.19</v>
      </c>
      <c r="J2713" s="379">
        <v>7.3221135586438093</v>
      </c>
    </row>
    <row r="2714" spans="1:10" x14ac:dyDescent="0.35">
      <c r="A2714" s="5">
        <v>2710</v>
      </c>
      <c r="B2714" s="5">
        <v>113</v>
      </c>
      <c r="C2714" s="5">
        <v>4</v>
      </c>
      <c r="D2714" s="379">
        <v>37.970555555555556</v>
      </c>
      <c r="E2714" s="25">
        <v>27.3</v>
      </c>
      <c r="F2714" s="379">
        <v>16.931648930695474</v>
      </c>
      <c r="G2714" s="25">
        <v>52.2</v>
      </c>
      <c r="H2714" s="379">
        <v>22.041470593977163</v>
      </c>
      <c r="I2714" s="25">
        <v>70.09</v>
      </c>
      <c r="J2714" s="379">
        <v>7.410817399301493</v>
      </c>
    </row>
    <row r="2715" spans="1:10" x14ac:dyDescent="0.35">
      <c r="A2715" s="5">
        <v>2711</v>
      </c>
      <c r="B2715" s="5">
        <v>113</v>
      </c>
      <c r="C2715" s="5">
        <v>4</v>
      </c>
      <c r="D2715" s="379">
        <v>35.289444444444442</v>
      </c>
      <c r="E2715" s="25">
        <v>26.05</v>
      </c>
      <c r="F2715" s="379">
        <v>16.931648930695477</v>
      </c>
      <c r="G2715" s="25">
        <v>50.35</v>
      </c>
      <c r="H2715" s="379">
        <v>21.99598993404987</v>
      </c>
      <c r="I2715" s="25">
        <v>68.05</v>
      </c>
      <c r="J2715" s="379">
        <v>7.4494407216958365</v>
      </c>
    </row>
    <row r="2716" spans="1:10" x14ac:dyDescent="0.35">
      <c r="A2716" s="5">
        <v>2712</v>
      </c>
      <c r="B2716" s="5">
        <v>113</v>
      </c>
      <c r="C2716" s="5">
        <v>4</v>
      </c>
      <c r="D2716" s="379">
        <v>33.306666666666665</v>
      </c>
      <c r="E2716" s="25">
        <v>25.29</v>
      </c>
      <c r="F2716" s="379">
        <v>17.064976113014787</v>
      </c>
      <c r="G2716" s="25">
        <v>47.85</v>
      </c>
      <c r="H2716" s="379">
        <v>21.527117563099793</v>
      </c>
      <c r="I2716" s="25">
        <v>66.06</v>
      </c>
      <c r="J2716" s="379">
        <v>7.5001748720195884</v>
      </c>
    </row>
    <row r="2717" spans="1:10" x14ac:dyDescent="0.35">
      <c r="A2717" s="5">
        <v>2713</v>
      </c>
      <c r="B2717" s="5">
        <v>114</v>
      </c>
      <c r="C2717" s="5">
        <v>4</v>
      </c>
      <c r="D2717" s="379">
        <v>28.671111111111106</v>
      </c>
      <c r="E2717" s="25">
        <v>24.99</v>
      </c>
      <c r="F2717" s="379">
        <v>16.618186104171695</v>
      </c>
      <c r="G2717" s="25">
        <v>43.56</v>
      </c>
      <c r="H2717" s="379">
        <v>20.501124004548714</v>
      </c>
      <c r="I2717" s="25">
        <v>66.06</v>
      </c>
      <c r="J2717" s="379">
        <v>7.4516749185255415</v>
      </c>
    </row>
    <row r="2718" spans="1:10" x14ac:dyDescent="0.35">
      <c r="A2718" s="5">
        <v>2714</v>
      </c>
      <c r="B2718" s="5">
        <v>114</v>
      </c>
      <c r="C2718" s="5">
        <v>4</v>
      </c>
      <c r="D2718" s="379">
        <v>25.046666666666663</v>
      </c>
      <c r="E2718" s="25">
        <v>24.84</v>
      </c>
      <c r="F2718" s="379">
        <v>16.618186104171702</v>
      </c>
      <c r="G2718" s="25">
        <v>43.56</v>
      </c>
      <c r="H2718" s="379">
        <v>20.219939452660878</v>
      </c>
      <c r="I2718" s="25">
        <v>64.14</v>
      </c>
      <c r="J2718" s="379">
        <v>7.4531251448384523</v>
      </c>
    </row>
    <row r="2719" spans="1:10" x14ac:dyDescent="0.35">
      <c r="A2719" s="5">
        <v>2715</v>
      </c>
      <c r="B2719" s="5">
        <v>114</v>
      </c>
      <c r="C2719" s="5">
        <v>4</v>
      </c>
      <c r="D2719" s="379">
        <v>23.886666666666667</v>
      </c>
      <c r="E2719" s="25">
        <v>24.84</v>
      </c>
      <c r="F2719" s="379">
        <v>16.618186104171699</v>
      </c>
      <c r="G2719" s="25">
        <v>43.56</v>
      </c>
      <c r="H2719" s="379">
        <v>19.549756044649509</v>
      </c>
      <c r="I2719" s="25">
        <v>56.15</v>
      </c>
      <c r="J2719" s="379">
        <v>7.4789113376257053</v>
      </c>
    </row>
    <row r="2720" spans="1:10" x14ac:dyDescent="0.35">
      <c r="A2720" s="5">
        <v>2716</v>
      </c>
      <c r="B2720" s="5">
        <v>114</v>
      </c>
      <c r="C2720" s="5">
        <v>4</v>
      </c>
      <c r="D2720" s="379">
        <v>23.076111111111111</v>
      </c>
      <c r="E2720" s="25">
        <v>24.84</v>
      </c>
      <c r="F2720" s="379">
        <v>16.618186104171699</v>
      </c>
      <c r="G2720" s="25">
        <v>43.56</v>
      </c>
      <c r="H2720" s="379">
        <v>18.432663858921607</v>
      </c>
      <c r="I2720" s="25">
        <v>56.72</v>
      </c>
      <c r="J2720" s="379">
        <v>7.4900340442795947</v>
      </c>
    </row>
    <row r="2721" spans="1:10" x14ac:dyDescent="0.35">
      <c r="A2721" s="5">
        <v>2717</v>
      </c>
      <c r="B2721" s="5">
        <v>114</v>
      </c>
      <c r="C2721" s="5">
        <v>4</v>
      </c>
      <c r="D2721" s="379">
        <v>26.766111111111108</v>
      </c>
      <c r="E2721" s="25">
        <v>24.84</v>
      </c>
      <c r="F2721" s="379">
        <v>17.237436290030132</v>
      </c>
      <c r="G2721" s="25">
        <v>43.56</v>
      </c>
      <c r="H2721" s="379">
        <v>21.63849693297978</v>
      </c>
      <c r="I2721" s="25">
        <v>54.52</v>
      </c>
      <c r="J2721" s="379">
        <v>7.4722601162946312</v>
      </c>
    </row>
    <row r="2722" spans="1:10" x14ac:dyDescent="0.35">
      <c r="A2722" s="5">
        <v>2718</v>
      </c>
      <c r="B2722" s="5">
        <v>114</v>
      </c>
      <c r="C2722" s="5">
        <v>4</v>
      </c>
      <c r="D2722" s="379">
        <v>26.31</v>
      </c>
      <c r="E2722" s="25">
        <v>24.84</v>
      </c>
      <c r="F2722" s="379">
        <v>16.45333710759094</v>
      </c>
      <c r="G2722" s="25">
        <v>43.56</v>
      </c>
      <c r="H2722" s="379">
        <v>19.759978166162746</v>
      </c>
      <c r="I2722" s="25">
        <v>62.27</v>
      </c>
      <c r="J2722" s="379">
        <v>7.2249584750500695</v>
      </c>
    </row>
    <row r="2723" spans="1:10" x14ac:dyDescent="0.35">
      <c r="A2723" s="5">
        <v>2719</v>
      </c>
      <c r="B2723" s="5">
        <v>114</v>
      </c>
      <c r="C2723" s="5">
        <v>4</v>
      </c>
      <c r="D2723" s="379">
        <v>28.555</v>
      </c>
      <c r="E2723" s="25">
        <v>24.84</v>
      </c>
      <c r="F2723" s="379">
        <v>15.09482123594792</v>
      </c>
      <c r="G2723" s="25">
        <v>47.46</v>
      </c>
      <c r="H2723" s="379">
        <v>14.427758775578717</v>
      </c>
      <c r="I2723" s="25">
        <v>64.14</v>
      </c>
      <c r="J2723" s="379">
        <v>7.0422588102834203</v>
      </c>
    </row>
    <row r="2724" spans="1:10" x14ac:dyDescent="0.35">
      <c r="A2724" s="5">
        <v>2720</v>
      </c>
      <c r="B2724" s="5">
        <v>114</v>
      </c>
      <c r="C2724" s="5">
        <v>4</v>
      </c>
      <c r="D2724" s="379">
        <v>28.181111111111111</v>
      </c>
      <c r="E2724" s="25">
        <v>24.99</v>
      </c>
      <c r="F2724" s="379">
        <v>8.8109152744797434</v>
      </c>
      <c r="G2724" s="25">
        <v>47.59</v>
      </c>
      <c r="H2724" s="379">
        <v>7.4897935248849015</v>
      </c>
      <c r="I2724" s="25">
        <v>64.14</v>
      </c>
      <c r="J2724" s="379">
        <v>6.9261991384609258</v>
      </c>
    </row>
    <row r="2725" spans="1:10" x14ac:dyDescent="0.35">
      <c r="A2725" s="5">
        <v>2721</v>
      </c>
      <c r="B2725" s="5">
        <v>114</v>
      </c>
      <c r="C2725" s="5">
        <v>4</v>
      </c>
      <c r="D2725" s="379">
        <v>25.688333333333333</v>
      </c>
      <c r="E2725" s="25">
        <v>24.99</v>
      </c>
      <c r="F2725" s="379">
        <v>8.1174834595959595</v>
      </c>
      <c r="G2725" s="25">
        <v>46.08</v>
      </c>
      <c r="H2725" s="379">
        <v>7.284671397436008</v>
      </c>
      <c r="I2725" s="25">
        <v>56.15</v>
      </c>
      <c r="J2725" s="379">
        <v>6.0577157808138651</v>
      </c>
    </row>
    <row r="2726" spans="1:10" x14ac:dyDescent="0.35">
      <c r="A2726" s="5">
        <v>2722</v>
      </c>
      <c r="B2726" s="5">
        <v>114</v>
      </c>
      <c r="C2726" s="5">
        <v>4</v>
      </c>
      <c r="D2726" s="379">
        <v>26.170555555555559</v>
      </c>
      <c r="E2726" s="25">
        <v>24.84</v>
      </c>
      <c r="F2726" s="379">
        <v>5.5427428871304736</v>
      </c>
      <c r="G2726" s="25">
        <v>43.56</v>
      </c>
      <c r="H2726" s="379">
        <v>2.288428427020373</v>
      </c>
      <c r="I2726" s="25">
        <v>53.27</v>
      </c>
      <c r="J2726" s="379">
        <v>2.3313236717295207</v>
      </c>
    </row>
    <row r="2727" spans="1:10" x14ac:dyDescent="0.35">
      <c r="A2727" s="5">
        <v>2723</v>
      </c>
      <c r="B2727" s="5">
        <v>114</v>
      </c>
      <c r="C2727" s="5">
        <v>4</v>
      </c>
      <c r="D2727" s="379">
        <v>23.438333333333333</v>
      </c>
      <c r="E2727" s="25">
        <v>24.84</v>
      </c>
      <c r="F2727" s="379">
        <v>5.3837097714493884</v>
      </c>
      <c r="G2727" s="25">
        <v>43.56</v>
      </c>
      <c r="H2727" s="379">
        <v>1.6172097700859078</v>
      </c>
      <c r="I2727" s="25">
        <v>51.02</v>
      </c>
      <c r="J2727" s="379">
        <v>2.5227318138761374</v>
      </c>
    </row>
    <row r="2728" spans="1:10" x14ac:dyDescent="0.35">
      <c r="A2728" s="5">
        <v>2724</v>
      </c>
      <c r="B2728" s="5">
        <v>114</v>
      </c>
      <c r="C2728" s="5">
        <v>4</v>
      </c>
      <c r="D2728" s="379">
        <v>17.48277777777778</v>
      </c>
      <c r="E2728" s="25">
        <v>24.84</v>
      </c>
      <c r="F2728" s="379">
        <v>5.3837097714493884</v>
      </c>
      <c r="G2728" s="25">
        <v>43.08</v>
      </c>
      <c r="H2728" s="379">
        <v>0.98577147699923107</v>
      </c>
      <c r="I2728" s="25">
        <v>50.51</v>
      </c>
      <c r="J2728" s="379">
        <v>3.3745985141617058E-2</v>
      </c>
    </row>
    <row r="2729" spans="1:10" x14ac:dyDescent="0.35">
      <c r="A2729" s="5">
        <v>2725</v>
      </c>
      <c r="B2729" s="5">
        <v>114</v>
      </c>
      <c r="C2729" s="5">
        <v>4</v>
      </c>
      <c r="D2729" s="379">
        <v>15.051111111111108</v>
      </c>
      <c r="E2729" s="25">
        <v>24.84</v>
      </c>
      <c r="F2729" s="379">
        <v>5.3837097714493884</v>
      </c>
      <c r="G2729" s="25">
        <v>40.96</v>
      </c>
      <c r="H2729" s="379">
        <v>1.3113259297741109</v>
      </c>
      <c r="I2729" s="25">
        <v>48.09</v>
      </c>
      <c r="J2729" s="379">
        <v>1.7273757911927548</v>
      </c>
    </row>
    <row r="2730" spans="1:10" x14ac:dyDescent="0.35">
      <c r="A2730" s="5">
        <v>2726</v>
      </c>
      <c r="B2730" s="5">
        <v>114</v>
      </c>
      <c r="C2730" s="5">
        <v>4</v>
      </c>
      <c r="D2730" s="379">
        <v>17.188333333333333</v>
      </c>
      <c r="E2730" s="25">
        <v>24.84</v>
      </c>
      <c r="F2730" s="379">
        <v>5.1808722317917901</v>
      </c>
      <c r="G2730" s="25">
        <v>40.340000000000003</v>
      </c>
      <c r="H2730" s="379">
        <v>0.18336260717787817</v>
      </c>
      <c r="I2730" s="25">
        <v>46.06</v>
      </c>
      <c r="J2730" s="379">
        <v>1.2511368405887846</v>
      </c>
    </row>
    <row r="2731" spans="1:10" x14ac:dyDescent="0.35">
      <c r="A2731" s="5">
        <v>2727</v>
      </c>
      <c r="B2731" s="5">
        <v>114</v>
      </c>
      <c r="C2731" s="5">
        <v>4</v>
      </c>
      <c r="D2731" s="379">
        <v>21.509444444444444</v>
      </c>
      <c r="E2731" s="25">
        <v>24.84</v>
      </c>
      <c r="F2731" s="379">
        <v>5.1801918889177117</v>
      </c>
      <c r="G2731" s="25">
        <v>40.549999999999997</v>
      </c>
      <c r="H2731" s="379">
        <v>0.68689481885382098</v>
      </c>
      <c r="I2731" s="25">
        <v>43.89</v>
      </c>
      <c r="J2731" s="379">
        <v>0.33061641057615165</v>
      </c>
    </row>
    <row r="2732" spans="1:10" x14ac:dyDescent="0.35">
      <c r="A2732" s="5">
        <v>2728</v>
      </c>
      <c r="B2732" s="5">
        <v>114</v>
      </c>
      <c r="C2732" s="5">
        <v>4</v>
      </c>
      <c r="D2732" s="379">
        <v>27.919444444444441</v>
      </c>
      <c r="E2732" s="25">
        <v>24.84</v>
      </c>
      <c r="F2732" s="379">
        <v>5.3837097714493884</v>
      </c>
      <c r="G2732" s="25">
        <v>41.82</v>
      </c>
      <c r="H2732" s="379">
        <v>6.8355556047138222E-2</v>
      </c>
      <c r="I2732" s="25">
        <v>47.31</v>
      </c>
      <c r="J2732" s="379">
        <v>0.43681890185714456</v>
      </c>
    </row>
    <row r="2733" spans="1:10" x14ac:dyDescent="0.35">
      <c r="A2733" s="5">
        <v>2729</v>
      </c>
      <c r="B2733" s="5">
        <v>114</v>
      </c>
      <c r="C2733" s="5">
        <v>4</v>
      </c>
      <c r="D2733" s="379">
        <v>35.832777777777771</v>
      </c>
      <c r="E2733" s="25">
        <v>24.84</v>
      </c>
      <c r="F2733" s="379">
        <v>8.1174834595959613</v>
      </c>
      <c r="G2733" s="25">
        <v>43.08</v>
      </c>
      <c r="H2733" s="379">
        <v>0.85812073229709696</v>
      </c>
      <c r="I2733" s="25">
        <v>50.51</v>
      </c>
      <c r="J2733" s="379">
        <v>0.48702157639714599</v>
      </c>
    </row>
    <row r="2734" spans="1:10" x14ac:dyDescent="0.35">
      <c r="A2734" s="5">
        <v>2730</v>
      </c>
      <c r="B2734" s="5">
        <v>114</v>
      </c>
      <c r="C2734" s="5">
        <v>4</v>
      </c>
      <c r="D2734" s="379">
        <v>43.811666666666667</v>
      </c>
      <c r="E2734" s="25">
        <v>24.84</v>
      </c>
      <c r="F2734" s="379">
        <v>8.5155475219671377</v>
      </c>
      <c r="G2734" s="25">
        <v>43.56</v>
      </c>
      <c r="H2734" s="379">
        <v>8.574286364718338</v>
      </c>
      <c r="I2734" s="25">
        <v>50.51</v>
      </c>
      <c r="J2734" s="379">
        <v>5.5586807303268255</v>
      </c>
    </row>
    <row r="2735" spans="1:10" x14ac:dyDescent="0.35">
      <c r="A2735" s="5">
        <v>2731</v>
      </c>
      <c r="B2735" s="5">
        <v>114</v>
      </c>
      <c r="C2735" s="5">
        <v>4</v>
      </c>
      <c r="D2735" s="379">
        <v>48.441111111111105</v>
      </c>
      <c r="E2735" s="25">
        <v>24.99</v>
      </c>
      <c r="F2735" s="379">
        <v>14.131708323342849</v>
      </c>
      <c r="G2735" s="25">
        <v>43.56</v>
      </c>
      <c r="H2735" s="379">
        <v>7.3809106384788903</v>
      </c>
      <c r="I2735" s="25">
        <v>51.62</v>
      </c>
      <c r="J2735" s="379">
        <v>6.175420278340189</v>
      </c>
    </row>
    <row r="2736" spans="1:10" x14ac:dyDescent="0.35">
      <c r="A2736" s="5">
        <v>2732</v>
      </c>
      <c r="B2736" s="5">
        <v>114</v>
      </c>
      <c r="C2736" s="5">
        <v>4</v>
      </c>
      <c r="D2736" s="379">
        <v>51.687222222222225</v>
      </c>
      <c r="E2736" s="25">
        <v>24.99</v>
      </c>
      <c r="F2736" s="379">
        <v>15.756250518489184</v>
      </c>
      <c r="G2736" s="25">
        <v>44.74</v>
      </c>
      <c r="H2736" s="379">
        <v>9.2530694919801935</v>
      </c>
      <c r="I2736" s="25">
        <v>53.71</v>
      </c>
      <c r="J2736" s="379">
        <v>5.7904024443930462</v>
      </c>
    </row>
    <row r="2737" spans="1:10" x14ac:dyDescent="0.35">
      <c r="A2737" s="5">
        <v>2733</v>
      </c>
      <c r="B2737" s="5">
        <v>114</v>
      </c>
      <c r="C2737" s="5">
        <v>4</v>
      </c>
      <c r="D2737" s="379">
        <v>52.14</v>
      </c>
      <c r="E2737" s="25">
        <v>24.99</v>
      </c>
      <c r="F2737" s="379">
        <v>12.52647977028216</v>
      </c>
      <c r="G2737" s="25">
        <v>44.74</v>
      </c>
      <c r="H2737" s="379">
        <v>10.549176346068009</v>
      </c>
      <c r="I2737" s="25">
        <v>53.71</v>
      </c>
      <c r="J2737" s="379">
        <v>4.636065822315631</v>
      </c>
    </row>
    <row r="2738" spans="1:10" x14ac:dyDescent="0.35">
      <c r="A2738" s="5">
        <v>2734</v>
      </c>
      <c r="B2738" s="5">
        <v>114</v>
      </c>
      <c r="C2738" s="5">
        <v>4</v>
      </c>
      <c r="D2738" s="379">
        <v>49.48277777777777</v>
      </c>
      <c r="E2738" s="25">
        <v>24.99</v>
      </c>
      <c r="F2738" s="379">
        <v>16.646578763304476</v>
      </c>
      <c r="G2738" s="25">
        <v>44.74</v>
      </c>
      <c r="H2738" s="379">
        <v>9.2574949368372792</v>
      </c>
      <c r="I2738" s="25">
        <v>53.71</v>
      </c>
      <c r="J2738" s="379">
        <v>4.6315326189789525</v>
      </c>
    </row>
    <row r="2739" spans="1:10" x14ac:dyDescent="0.35">
      <c r="A2739" s="5">
        <v>2735</v>
      </c>
      <c r="B2739" s="5">
        <v>114</v>
      </c>
      <c r="C2739" s="5">
        <v>4</v>
      </c>
      <c r="D2739" s="379">
        <v>47.827777777777776</v>
      </c>
      <c r="E2739" s="25">
        <v>24.84</v>
      </c>
      <c r="F2739" s="379">
        <v>10.319011341008137</v>
      </c>
      <c r="G2739" s="25">
        <v>43.56</v>
      </c>
      <c r="H2739" s="379">
        <v>9.3645553304861568</v>
      </c>
      <c r="I2739" s="25">
        <v>53.27</v>
      </c>
      <c r="J2739" s="379">
        <v>5.6936793300835644</v>
      </c>
    </row>
    <row r="2740" spans="1:10" x14ac:dyDescent="0.35">
      <c r="A2740" s="5">
        <v>2736</v>
      </c>
      <c r="B2740" s="5">
        <v>114</v>
      </c>
      <c r="C2740" s="5">
        <v>4</v>
      </c>
      <c r="D2740" s="379">
        <v>46.773888888888898</v>
      </c>
      <c r="E2740" s="25">
        <v>24.84</v>
      </c>
      <c r="F2740" s="379">
        <v>9.0482510039663069</v>
      </c>
      <c r="G2740" s="25">
        <v>41.82</v>
      </c>
      <c r="H2740" s="379">
        <v>7.9891169949285601</v>
      </c>
      <c r="I2740" s="25">
        <v>51.39</v>
      </c>
      <c r="J2740" s="379">
        <v>5.7554974903727603</v>
      </c>
    </row>
    <row r="2741" spans="1:10" x14ac:dyDescent="0.35">
      <c r="A2741" s="5">
        <v>2737</v>
      </c>
      <c r="B2741" s="5">
        <v>115</v>
      </c>
      <c r="C2741" s="5">
        <v>4</v>
      </c>
      <c r="D2741" s="379">
        <v>45.79</v>
      </c>
      <c r="E2741" s="25">
        <v>24.84</v>
      </c>
      <c r="F2741" s="379">
        <v>8.5079987386399338</v>
      </c>
      <c r="G2741" s="25">
        <v>39.159999999999997</v>
      </c>
      <c r="H2741" s="379">
        <v>7.4356432928173426</v>
      </c>
      <c r="I2741" s="25">
        <v>48.57</v>
      </c>
      <c r="J2741" s="379">
        <v>4.9501137371060047</v>
      </c>
    </row>
    <row r="2742" spans="1:10" x14ac:dyDescent="0.35">
      <c r="A2742" s="5">
        <v>2738</v>
      </c>
      <c r="B2742" s="5">
        <v>115</v>
      </c>
      <c r="C2742" s="5">
        <v>4</v>
      </c>
      <c r="D2742" s="379">
        <v>46.221666666666664</v>
      </c>
      <c r="E2742" s="25">
        <v>24.84</v>
      </c>
      <c r="F2742" s="379">
        <v>8.5038942139752116</v>
      </c>
      <c r="G2742" s="25">
        <v>39.159999999999997</v>
      </c>
      <c r="H2742" s="379">
        <v>9.8634951149442163</v>
      </c>
      <c r="I2742" s="25">
        <v>48.37</v>
      </c>
      <c r="J2742" s="379">
        <v>5.1513779192296498</v>
      </c>
    </row>
    <row r="2743" spans="1:10" x14ac:dyDescent="0.35">
      <c r="A2743" s="5">
        <v>2739</v>
      </c>
      <c r="B2743" s="5">
        <v>115</v>
      </c>
      <c r="C2743" s="5">
        <v>4</v>
      </c>
      <c r="D2743" s="379">
        <v>46.214999999999989</v>
      </c>
      <c r="E2743" s="25">
        <v>24.84</v>
      </c>
      <c r="F2743" s="379">
        <v>8.4927485607337161</v>
      </c>
      <c r="G2743" s="25">
        <v>39.159999999999997</v>
      </c>
      <c r="H2743" s="379">
        <v>9.5689751644101992</v>
      </c>
      <c r="I2743" s="25">
        <v>48.37</v>
      </c>
      <c r="J2743" s="379">
        <v>5.8539517046251701</v>
      </c>
    </row>
    <row r="2744" spans="1:10" x14ac:dyDescent="0.35">
      <c r="A2744" s="5">
        <v>2740</v>
      </c>
      <c r="B2744" s="5">
        <v>115</v>
      </c>
      <c r="C2744" s="5">
        <v>4</v>
      </c>
      <c r="D2744" s="379">
        <v>46.916666666666664</v>
      </c>
      <c r="E2744" s="25">
        <v>24.84</v>
      </c>
      <c r="F2744" s="379">
        <v>8.434137500798272</v>
      </c>
      <c r="G2744" s="25">
        <v>39.159999999999997</v>
      </c>
      <c r="H2744" s="379">
        <v>9.4499063227254805</v>
      </c>
      <c r="I2744" s="25">
        <v>48.86</v>
      </c>
      <c r="J2744" s="379">
        <v>6.2697135504304393</v>
      </c>
    </row>
    <row r="2745" spans="1:10" x14ac:dyDescent="0.35">
      <c r="A2745" s="5">
        <v>2741</v>
      </c>
      <c r="B2745" s="5">
        <v>115</v>
      </c>
      <c r="C2745" s="5">
        <v>4</v>
      </c>
      <c r="D2745" s="379">
        <v>49.591111111111097</v>
      </c>
      <c r="E2745" s="25">
        <v>24.84</v>
      </c>
      <c r="F2745" s="379">
        <v>8.9268212701193885</v>
      </c>
      <c r="G2745" s="25">
        <v>39.159999999999997</v>
      </c>
      <c r="H2745" s="379">
        <v>9.8760909876897376</v>
      </c>
      <c r="I2745" s="25">
        <v>48.86</v>
      </c>
      <c r="J2745" s="379">
        <v>6.0872690048005671</v>
      </c>
    </row>
    <row r="2746" spans="1:10" x14ac:dyDescent="0.35">
      <c r="A2746" s="5">
        <v>2742</v>
      </c>
      <c r="B2746" s="5">
        <v>115</v>
      </c>
      <c r="C2746" s="5">
        <v>4</v>
      </c>
      <c r="D2746" s="379">
        <v>56.82277777777778</v>
      </c>
      <c r="E2746" s="25">
        <v>24.84</v>
      </c>
      <c r="F2746" s="379">
        <v>9.0135457534494314</v>
      </c>
      <c r="G2746" s="25">
        <v>39.159999999999997</v>
      </c>
      <c r="H2746" s="379">
        <v>8.8414681706548546</v>
      </c>
      <c r="I2746" s="25">
        <v>48.86</v>
      </c>
      <c r="J2746" s="379">
        <v>4.5018884952909746</v>
      </c>
    </row>
    <row r="2747" spans="1:10" x14ac:dyDescent="0.35">
      <c r="A2747" s="5">
        <v>2743</v>
      </c>
      <c r="B2747" s="5">
        <v>115</v>
      </c>
      <c r="C2747" s="5">
        <v>4</v>
      </c>
      <c r="D2747" s="379">
        <v>61.542777777777779</v>
      </c>
      <c r="E2747" s="25">
        <v>24.84</v>
      </c>
      <c r="F2747" s="379">
        <v>9.2272428677176279</v>
      </c>
      <c r="G2747" s="25">
        <v>39.159999999999997</v>
      </c>
      <c r="H2747" s="379">
        <v>7.1738987861389427</v>
      </c>
      <c r="I2747" s="25">
        <v>48.86</v>
      </c>
      <c r="J2747" s="379">
        <v>2.0046636118919698</v>
      </c>
    </row>
    <row r="2748" spans="1:10" x14ac:dyDescent="0.35">
      <c r="A2748" s="5">
        <v>2744</v>
      </c>
      <c r="B2748" s="5">
        <v>115</v>
      </c>
      <c r="C2748" s="5">
        <v>4</v>
      </c>
      <c r="D2748" s="379">
        <v>62.736666666666665</v>
      </c>
      <c r="E2748" s="25">
        <v>24.84</v>
      </c>
      <c r="F2748" s="379">
        <v>8.7255062073646545</v>
      </c>
      <c r="G2748" s="25">
        <v>39.159999999999997</v>
      </c>
      <c r="H2748" s="379">
        <v>9.0402698680773472</v>
      </c>
      <c r="I2748" s="25">
        <v>48.86</v>
      </c>
      <c r="J2748" s="379">
        <v>5.1062213321411232</v>
      </c>
    </row>
    <row r="2749" spans="1:10" x14ac:dyDescent="0.35">
      <c r="A2749" s="5">
        <v>2745</v>
      </c>
      <c r="B2749" s="5">
        <v>115</v>
      </c>
      <c r="C2749" s="5">
        <v>4</v>
      </c>
      <c r="D2749" s="379">
        <v>58.038333333333334</v>
      </c>
      <c r="E2749" s="25">
        <v>24.84</v>
      </c>
      <c r="F2749" s="379">
        <v>8.6608403116474157</v>
      </c>
      <c r="G2749" s="25">
        <v>40.74</v>
      </c>
      <c r="H2749" s="379">
        <v>6.9531026576248989</v>
      </c>
      <c r="I2749" s="25">
        <v>50.03</v>
      </c>
      <c r="J2749" s="379">
        <v>0.27777777777777779</v>
      </c>
    </row>
    <row r="2750" spans="1:10" x14ac:dyDescent="0.35">
      <c r="A2750" s="5">
        <v>2746</v>
      </c>
      <c r="B2750" s="5">
        <v>115</v>
      </c>
      <c r="C2750" s="5">
        <v>4</v>
      </c>
      <c r="D2750" s="379">
        <v>55.891111111111108</v>
      </c>
      <c r="E2750" s="25">
        <v>24.84</v>
      </c>
      <c r="F2750" s="379">
        <v>8.1174834595959595</v>
      </c>
      <c r="G2750" s="25">
        <v>41.82</v>
      </c>
      <c r="H2750" s="379">
        <v>5.6978637645541932</v>
      </c>
      <c r="I2750" s="25">
        <v>50.03</v>
      </c>
      <c r="J2750" s="379">
        <v>3.4641648222783785</v>
      </c>
    </row>
    <row r="2751" spans="1:10" x14ac:dyDescent="0.35">
      <c r="A2751" s="5">
        <v>2747</v>
      </c>
      <c r="B2751" s="5">
        <v>115</v>
      </c>
      <c r="C2751" s="5">
        <v>4</v>
      </c>
      <c r="D2751" s="379">
        <v>54.715555555555547</v>
      </c>
      <c r="E2751" s="25">
        <v>24.84</v>
      </c>
      <c r="F2751" s="379">
        <v>8.1174834595959595</v>
      </c>
      <c r="G2751" s="25">
        <v>41.82</v>
      </c>
      <c r="H2751" s="379">
        <v>6.3870724754624568</v>
      </c>
      <c r="I2751" s="25">
        <v>49.53</v>
      </c>
      <c r="J2751" s="379">
        <v>0.1815871757447366</v>
      </c>
    </row>
    <row r="2752" spans="1:10" x14ac:dyDescent="0.35">
      <c r="A2752" s="5">
        <v>2748</v>
      </c>
      <c r="B2752" s="5">
        <v>115</v>
      </c>
      <c r="C2752" s="5">
        <v>4</v>
      </c>
      <c r="D2752" s="379">
        <v>51.429444444444449</v>
      </c>
      <c r="E2752" s="25">
        <v>24.84</v>
      </c>
      <c r="F2752" s="379">
        <v>8.1174834595959595</v>
      </c>
      <c r="G2752" s="25">
        <v>39.56</v>
      </c>
      <c r="H2752" s="379">
        <v>6.0439139188668625</v>
      </c>
      <c r="I2752" s="25">
        <v>49.53</v>
      </c>
      <c r="J2752" s="379">
        <v>0.1815871757447366</v>
      </c>
    </row>
    <row r="2753" spans="1:10" x14ac:dyDescent="0.35">
      <c r="A2753" s="5">
        <v>2749</v>
      </c>
      <c r="B2753" s="5">
        <v>115</v>
      </c>
      <c r="C2753" s="5">
        <v>4</v>
      </c>
      <c r="D2753" s="379">
        <v>48.894999999999996</v>
      </c>
      <c r="E2753" s="25">
        <v>24.84</v>
      </c>
      <c r="F2753" s="379">
        <v>4.4533769749200598</v>
      </c>
      <c r="G2753" s="25">
        <v>39.159999999999997</v>
      </c>
      <c r="H2753" s="379">
        <v>6.7434222434056004</v>
      </c>
      <c r="I2753" s="25">
        <v>48.86</v>
      </c>
      <c r="J2753" s="379">
        <v>0.1815871757447366</v>
      </c>
    </row>
    <row r="2754" spans="1:10" x14ac:dyDescent="0.35">
      <c r="A2754" s="5">
        <v>2750</v>
      </c>
      <c r="B2754" s="5">
        <v>115</v>
      </c>
      <c r="C2754" s="5">
        <v>4</v>
      </c>
      <c r="D2754" s="379">
        <v>47.794444444444444</v>
      </c>
      <c r="E2754" s="25">
        <v>24.84</v>
      </c>
      <c r="F2754" s="379">
        <v>4.9128672184301152</v>
      </c>
      <c r="G2754" s="25">
        <v>39.159999999999997</v>
      </c>
      <c r="H2754" s="379">
        <v>6.6988651764295764</v>
      </c>
      <c r="I2754" s="25">
        <v>48.09</v>
      </c>
      <c r="J2754" s="379">
        <v>0.1815871757447366</v>
      </c>
    </row>
    <row r="2755" spans="1:10" x14ac:dyDescent="0.35">
      <c r="A2755" s="5">
        <v>2751</v>
      </c>
      <c r="B2755" s="5">
        <v>115</v>
      </c>
      <c r="C2755" s="5">
        <v>4</v>
      </c>
      <c r="D2755" s="379">
        <v>47.224444444444437</v>
      </c>
      <c r="E2755" s="25">
        <v>24.84</v>
      </c>
      <c r="F2755" s="379">
        <v>8.1174834595959577</v>
      </c>
      <c r="G2755" s="25">
        <v>39.159999999999997</v>
      </c>
      <c r="H2755" s="379">
        <v>6.6556782143718705</v>
      </c>
      <c r="I2755" s="25">
        <v>46.69</v>
      </c>
      <c r="J2755" s="379">
        <v>0.1815871757447366</v>
      </c>
    </row>
    <row r="2756" spans="1:10" x14ac:dyDescent="0.35">
      <c r="A2756" s="5">
        <v>2752</v>
      </c>
      <c r="B2756" s="5">
        <v>115</v>
      </c>
      <c r="C2756" s="5">
        <v>4</v>
      </c>
      <c r="D2756" s="379">
        <v>48.263888888888886</v>
      </c>
      <c r="E2756" s="25">
        <v>24.84</v>
      </c>
      <c r="F2756" s="379">
        <v>8.1174834595959595</v>
      </c>
      <c r="G2756" s="25">
        <v>39.159999999999997</v>
      </c>
      <c r="H2756" s="379">
        <v>5.5771300747021053</v>
      </c>
      <c r="I2756" s="25">
        <v>46.69</v>
      </c>
      <c r="J2756" s="379">
        <v>0.1815871757447366</v>
      </c>
    </row>
    <row r="2757" spans="1:10" x14ac:dyDescent="0.35">
      <c r="A2757" s="5">
        <v>2753</v>
      </c>
      <c r="B2757" s="5">
        <v>115</v>
      </c>
      <c r="C2757" s="5">
        <v>4</v>
      </c>
      <c r="D2757" s="379">
        <v>52.053888888888892</v>
      </c>
      <c r="E2757" s="25">
        <v>24.84</v>
      </c>
      <c r="F2757" s="379">
        <v>8.1174834595959595</v>
      </c>
      <c r="G2757" s="25">
        <v>39.159999999999997</v>
      </c>
      <c r="H2757" s="379">
        <v>6.188265942935657</v>
      </c>
      <c r="I2757" s="25">
        <v>48.37</v>
      </c>
      <c r="J2757" s="379">
        <v>0.1815871757447366</v>
      </c>
    </row>
    <row r="2758" spans="1:10" x14ac:dyDescent="0.35">
      <c r="A2758" s="5">
        <v>2754</v>
      </c>
      <c r="B2758" s="5">
        <v>115</v>
      </c>
      <c r="C2758" s="5">
        <v>4</v>
      </c>
      <c r="D2758" s="379">
        <v>56.868333333333339</v>
      </c>
      <c r="E2758" s="25">
        <v>24.84</v>
      </c>
      <c r="F2758" s="379">
        <v>8.4247020736895699</v>
      </c>
      <c r="G2758" s="25">
        <v>39.159999999999997</v>
      </c>
      <c r="H2758" s="379">
        <v>7.2222684822352274</v>
      </c>
      <c r="I2758" s="25">
        <v>48.37</v>
      </c>
      <c r="J2758" s="379">
        <v>2.5988084364091741</v>
      </c>
    </row>
    <row r="2759" spans="1:10" x14ac:dyDescent="0.35">
      <c r="A2759" s="5">
        <v>2755</v>
      </c>
      <c r="B2759" s="5">
        <v>115</v>
      </c>
      <c r="C2759" s="5">
        <v>4</v>
      </c>
      <c r="D2759" s="379">
        <v>61.673888888888882</v>
      </c>
      <c r="E2759" s="25">
        <v>24.84</v>
      </c>
      <c r="F2759" s="379">
        <v>16.468633672560053</v>
      </c>
      <c r="G2759" s="25">
        <v>43.56</v>
      </c>
      <c r="H2759" s="379">
        <v>10.201497089732806</v>
      </c>
      <c r="I2759" s="25">
        <v>50.13</v>
      </c>
      <c r="J2759" s="379">
        <v>6.495423675442261</v>
      </c>
    </row>
    <row r="2760" spans="1:10" x14ac:dyDescent="0.35">
      <c r="A2760" s="5">
        <v>2756</v>
      </c>
      <c r="B2760" s="5">
        <v>115</v>
      </c>
      <c r="C2760" s="5">
        <v>4</v>
      </c>
      <c r="D2760" s="379">
        <v>61.509444444444433</v>
      </c>
      <c r="E2760" s="25">
        <v>24.99</v>
      </c>
      <c r="F2760" s="379">
        <v>15.198486461424775</v>
      </c>
      <c r="G2760" s="25">
        <v>44.74</v>
      </c>
      <c r="H2760" s="379">
        <v>10.490461731782958</v>
      </c>
      <c r="I2760" s="25">
        <v>60.46</v>
      </c>
      <c r="J2760" s="379">
        <v>6.5553652450883781</v>
      </c>
    </row>
    <row r="2761" spans="1:10" x14ac:dyDescent="0.35">
      <c r="A2761" s="5">
        <v>2757</v>
      </c>
      <c r="B2761" s="5">
        <v>115</v>
      </c>
      <c r="C2761" s="5">
        <v>4</v>
      </c>
      <c r="D2761" s="379">
        <v>59.859444444444442</v>
      </c>
      <c r="E2761" s="25">
        <v>24.99</v>
      </c>
      <c r="F2761" s="379">
        <v>17.233138854008594</v>
      </c>
      <c r="G2761" s="25">
        <v>44.74</v>
      </c>
      <c r="H2761" s="379">
        <v>10.92853211947646</v>
      </c>
      <c r="I2761" s="25">
        <v>62.27</v>
      </c>
      <c r="J2761" s="379">
        <v>6.5471326233501426</v>
      </c>
    </row>
    <row r="2762" spans="1:10" x14ac:dyDescent="0.35">
      <c r="A2762" s="5">
        <v>2758</v>
      </c>
      <c r="B2762" s="5">
        <v>115</v>
      </c>
      <c r="C2762" s="5">
        <v>4</v>
      </c>
      <c r="D2762" s="379">
        <v>57.178888888888885</v>
      </c>
      <c r="E2762" s="25">
        <v>24.99</v>
      </c>
      <c r="F2762" s="379">
        <v>17.169836773358345</v>
      </c>
      <c r="G2762" s="25">
        <v>44.74</v>
      </c>
      <c r="H2762" s="379">
        <v>10.79702829520312</v>
      </c>
      <c r="I2762" s="25">
        <v>62.27</v>
      </c>
      <c r="J2762" s="379">
        <v>6.2977193022652411</v>
      </c>
    </row>
    <row r="2763" spans="1:10" x14ac:dyDescent="0.35">
      <c r="A2763" s="5">
        <v>2759</v>
      </c>
      <c r="B2763" s="5">
        <v>115</v>
      </c>
      <c r="C2763" s="5">
        <v>4</v>
      </c>
      <c r="D2763" s="379">
        <v>50.996666666666655</v>
      </c>
      <c r="E2763" s="25">
        <v>24.84</v>
      </c>
      <c r="F2763" s="379">
        <v>16.587598568504617</v>
      </c>
      <c r="G2763" s="25">
        <v>43.56</v>
      </c>
      <c r="H2763" s="379">
        <v>11.081620650116005</v>
      </c>
      <c r="I2763" s="25">
        <v>53.71</v>
      </c>
      <c r="J2763" s="379">
        <v>6.9181582896673719</v>
      </c>
    </row>
    <row r="2764" spans="1:10" x14ac:dyDescent="0.35">
      <c r="A2764" s="5">
        <v>2760</v>
      </c>
      <c r="B2764" s="5">
        <v>115</v>
      </c>
      <c r="C2764" s="5">
        <v>4</v>
      </c>
      <c r="D2764" s="379">
        <v>47.840555555555547</v>
      </c>
      <c r="E2764" s="25">
        <v>24.84</v>
      </c>
      <c r="F2764" s="379">
        <v>15.488835779657023</v>
      </c>
      <c r="G2764" s="25">
        <v>39.159999999999997</v>
      </c>
      <c r="H2764" s="379">
        <v>11.871613927295924</v>
      </c>
      <c r="I2764" s="25">
        <v>52.93</v>
      </c>
      <c r="J2764" s="379">
        <v>7.2545562128128376</v>
      </c>
    </row>
    <row r="2765" spans="1:10" x14ac:dyDescent="0.35">
      <c r="A2765" s="5">
        <v>2761</v>
      </c>
      <c r="B2765" s="5">
        <v>116</v>
      </c>
      <c r="C2765" s="5">
        <v>4</v>
      </c>
      <c r="D2765" s="379">
        <v>47.303333333333335</v>
      </c>
      <c r="E2765" s="25">
        <v>24.84</v>
      </c>
      <c r="F2765" s="379">
        <v>16.578073821471172</v>
      </c>
      <c r="G2765" s="25">
        <v>43.56</v>
      </c>
      <c r="H2765" s="379">
        <v>11.858303424679875</v>
      </c>
      <c r="I2765" s="25">
        <v>64.14</v>
      </c>
      <c r="J2765" s="379">
        <v>7.2984648681172031</v>
      </c>
    </row>
    <row r="2766" spans="1:10" x14ac:dyDescent="0.35">
      <c r="A2766" s="5">
        <v>2762</v>
      </c>
      <c r="B2766" s="5">
        <v>116</v>
      </c>
      <c r="C2766" s="5">
        <v>4</v>
      </c>
      <c r="D2766" s="379">
        <v>47.471666666666664</v>
      </c>
      <c r="E2766" s="25">
        <v>24.84</v>
      </c>
      <c r="F2766" s="379">
        <v>16.765755278627889</v>
      </c>
      <c r="G2766" s="25">
        <v>42.19</v>
      </c>
      <c r="H2766" s="379">
        <v>11.969232803438755</v>
      </c>
      <c r="I2766" s="25">
        <v>62.27</v>
      </c>
      <c r="J2766" s="379">
        <v>7.4384622534464055</v>
      </c>
    </row>
    <row r="2767" spans="1:10" x14ac:dyDescent="0.35">
      <c r="A2767" s="5">
        <v>2763</v>
      </c>
      <c r="B2767" s="5">
        <v>116</v>
      </c>
      <c r="C2767" s="5">
        <v>4</v>
      </c>
      <c r="D2767" s="379">
        <v>47.25</v>
      </c>
      <c r="E2767" s="25">
        <v>24.84</v>
      </c>
      <c r="F2767" s="379">
        <v>17.576968661157981</v>
      </c>
      <c r="G2767" s="25">
        <v>42.29</v>
      </c>
      <c r="H2767" s="379">
        <v>11.958614428756551</v>
      </c>
      <c r="I2767" s="25">
        <v>64.14</v>
      </c>
      <c r="J2767" s="379">
        <v>7.4886115834344569</v>
      </c>
    </row>
    <row r="2768" spans="1:10" x14ac:dyDescent="0.35">
      <c r="A2768" s="5">
        <v>2764</v>
      </c>
      <c r="B2768" s="5">
        <v>116</v>
      </c>
      <c r="C2768" s="5">
        <v>4</v>
      </c>
      <c r="D2768" s="379">
        <v>47.697222222222216</v>
      </c>
      <c r="E2768" s="25">
        <v>24.84</v>
      </c>
      <c r="F2768" s="379">
        <v>17.404723262547169</v>
      </c>
      <c r="G2768" s="25">
        <v>43.56</v>
      </c>
      <c r="H2768" s="379">
        <v>11.932476752581923</v>
      </c>
      <c r="I2768" s="25">
        <v>68.05</v>
      </c>
      <c r="J2768" s="379">
        <v>7.4675511196186974</v>
      </c>
    </row>
    <row r="2769" spans="1:10" x14ac:dyDescent="0.35">
      <c r="A2769" s="5">
        <v>2765</v>
      </c>
      <c r="B2769" s="5">
        <v>116</v>
      </c>
      <c r="C2769" s="5">
        <v>4</v>
      </c>
      <c r="D2769" s="379">
        <v>50.656666666666659</v>
      </c>
      <c r="E2769" s="25">
        <v>24.84</v>
      </c>
      <c r="F2769" s="379">
        <v>17.110400924023391</v>
      </c>
      <c r="G2769" s="25">
        <v>47.85</v>
      </c>
      <c r="H2769" s="379">
        <v>12.002013518653371</v>
      </c>
      <c r="I2769" s="25">
        <v>70.09</v>
      </c>
      <c r="J2769" s="379">
        <v>7.388753168905879</v>
      </c>
    </row>
    <row r="2770" spans="1:10" x14ac:dyDescent="0.35">
      <c r="A2770" s="5">
        <v>2766</v>
      </c>
      <c r="B2770" s="5">
        <v>116</v>
      </c>
      <c r="C2770" s="5">
        <v>4</v>
      </c>
      <c r="D2770" s="379">
        <v>55.472777777777779</v>
      </c>
      <c r="E2770" s="25">
        <v>25.74</v>
      </c>
      <c r="F2770" s="379">
        <v>14.030173704201538</v>
      </c>
      <c r="G2770" s="25">
        <v>49.2</v>
      </c>
      <c r="H2770" s="379">
        <v>11.934742874509942</v>
      </c>
      <c r="I2770" s="25">
        <v>72.19</v>
      </c>
      <c r="J2770" s="379">
        <v>7.4643358113197324</v>
      </c>
    </row>
    <row r="2771" spans="1:10" x14ac:dyDescent="0.35">
      <c r="A2771" s="5">
        <v>2767</v>
      </c>
      <c r="B2771" s="5">
        <v>116</v>
      </c>
      <c r="C2771" s="5">
        <v>4</v>
      </c>
      <c r="D2771" s="379">
        <v>61.638333333333328</v>
      </c>
      <c r="E2771" s="25">
        <v>27.96</v>
      </c>
      <c r="F2771" s="379">
        <v>12.873490748438751</v>
      </c>
      <c r="G2771" s="25">
        <v>55.38</v>
      </c>
      <c r="H2771" s="379">
        <v>11.640823644635526</v>
      </c>
      <c r="I2771" s="25">
        <v>625.54</v>
      </c>
      <c r="J2771" s="379">
        <v>6.9876211318136789</v>
      </c>
    </row>
    <row r="2772" spans="1:10" x14ac:dyDescent="0.35">
      <c r="A2772" s="5">
        <v>2768</v>
      </c>
      <c r="B2772" s="5">
        <v>116</v>
      </c>
      <c r="C2772" s="5">
        <v>4</v>
      </c>
      <c r="D2772" s="379">
        <v>62.351111111111109</v>
      </c>
      <c r="E2772" s="25">
        <v>27.96</v>
      </c>
      <c r="F2772" s="379">
        <v>16.815143159075721</v>
      </c>
      <c r="G2772" s="25">
        <v>55.38</v>
      </c>
      <c r="H2772" s="379">
        <v>11.639446529281859</v>
      </c>
      <c r="I2772" s="25">
        <v>843.72</v>
      </c>
      <c r="J2772" s="379">
        <v>6.9876211318136789</v>
      </c>
    </row>
    <row r="2773" spans="1:10" x14ac:dyDescent="0.35">
      <c r="A2773" s="5">
        <v>2769</v>
      </c>
      <c r="B2773" s="5">
        <v>116</v>
      </c>
      <c r="C2773" s="5">
        <v>4</v>
      </c>
      <c r="D2773" s="379">
        <v>57.896111111111111</v>
      </c>
      <c r="E2773" s="25">
        <v>27.96</v>
      </c>
      <c r="F2773" s="379">
        <v>12.872805935274101</v>
      </c>
      <c r="G2773" s="25">
        <v>57.04</v>
      </c>
      <c r="H2773" s="379">
        <v>11.181679804855831</v>
      </c>
      <c r="I2773" s="25">
        <v>623.48</v>
      </c>
      <c r="J2773" s="379">
        <v>6.4767863743560969</v>
      </c>
    </row>
    <row r="2774" spans="1:10" x14ac:dyDescent="0.35">
      <c r="A2774" s="5">
        <v>2770</v>
      </c>
      <c r="B2774" s="5">
        <v>116</v>
      </c>
      <c r="C2774" s="5">
        <v>4</v>
      </c>
      <c r="D2774" s="379">
        <v>52.890555555555558</v>
      </c>
      <c r="E2774" s="25">
        <v>27.96</v>
      </c>
      <c r="F2774" s="379">
        <v>9.6685810840564077</v>
      </c>
      <c r="G2774" s="25">
        <v>55.38</v>
      </c>
      <c r="H2774" s="379">
        <v>11.20472498051123</v>
      </c>
      <c r="I2774" s="25">
        <v>85.79</v>
      </c>
      <c r="J2774" s="379">
        <v>7.147670465949151</v>
      </c>
    </row>
    <row r="2775" spans="1:10" x14ac:dyDescent="0.35">
      <c r="A2775" s="5">
        <v>2771</v>
      </c>
      <c r="B2775" s="5">
        <v>116</v>
      </c>
      <c r="C2775" s="5">
        <v>4</v>
      </c>
      <c r="D2775" s="379">
        <v>50.637222222222221</v>
      </c>
      <c r="E2775" s="25">
        <v>27.96</v>
      </c>
      <c r="F2775" s="379">
        <v>8.4619220494881304</v>
      </c>
      <c r="G2775" s="25">
        <v>55.38</v>
      </c>
      <c r="H2775" s="379">
        <v>10.370996286789289</v>
      </c>
      <c r="I2775" s="25">
        <v>76.59</v>
      </c>
      <c r="J2775" s="379">
        <v>6.4202034486930586</v>
      </c>
    </row>
    <row r="2776" spans="1:10" x14ac:dyDescent="0.35">
      <c r="A2776" s="5">
        <v>2772</v>
      </c>
      <c r="B2776" s="5">
        <v>116</v>
      </c>
      <c r="C2776" s="5">
        <v>4</v>
      </c>
      <c r="D2776" s="379">
        <v>50.120000000000005</v>
      </c>
      <c r="E2776" s="25">
        <v>27.96</v>
      </c>
      <c r="F2776" s="379">
        <v>8.2371602320543378</v>
      </c>
      <c r="G2776" s="25">
        <v>52.2</v>
      </c>
      <c r="H2776" s="379">
        <v>10.487630726791906</v>
      </c>
      <c r="I2776" s="25">
        <v>72.19</v>
      </c>
      <c r="J2776" s="379">
        <v>6.3378344982459396</v>
      </c>
    </row>
    <row r="2777" spans="1:10" x14ac:dyDescent="0.35">
      <c r="A2777" s="5">
        <v>2773</v>
      </c>
      <c r="B2777" s="5">
        <v>116</v>
      </c>
      <c r="C2777" s="5">
        <v>4</v>
      </c>
      <c r="D2777" s="379">
        <v>47.170555555555552</v>
      </c>
      <c r="E2777" s="25">
        <v>26.51</v>
      </c>
      <c r="F2777" s="379">
        <v>8.9651457163349111</v>
      </c>
      <c r="G2777" s="25">
        <v>52.2</v>
      </c>
      <c r="H2777" s="379">
        <v>10.66846643787016</v>
      </c>
      <c r="I2777" s="25">
        <v>72.19</v>
      </c>
      <c r="J2777" s="379">
        <v>6.5326838448362068</v>
      </c>
    </row>
    <row r="2778" spans="1:10" x14ac:dyDescent="0.35">
      <c r="A2778" s="5">
        <v>2774</v>
      </c>
      <c r="B2778" s="5">
        <v>116</v>
      </c>
      <c r="C2778" s="5">
        <v>4</v>
      </c>
      <c r="D2778" s="379">
        <v>46.889444444444443</v>
      </c>
      <c r="E2778" s="25">
        <v>26.51</v>
      </c>
      <c r="F2778" s="379">
        <v>9.5290832768821048</v>
      </c>
      <c r="G2778" s="25">
        <v>52.2</v>
      </c>
      <c r="H2778" s="379">
        <v>10.742984716053297</v>
      </c>
      <c r="I2778" s="25">
        <v>71.47</v>
      </c>
      <c r="J2778" s="379">
        <v>6.6413026933444606</v>
      </c>
    </row>
    <row r="2779" spans="1:10" x14ac:dyDescent="0.35">
      <c r="A2779" s="5">
        <v>2775</v>
      </c>
      <c r="B2779" s="5">
        <v>116</v>
      </c>
      <c r="C2779" s="5">
        <v>4</v>
      </c>
      <c r="D2779" s="379">
        <v>46.464444444444439</v>
      </c>
      <c r="E2779" s="25">
        <v>26.51</v>
      </c>
      <c r="F2779" s="379">
        <v>8.5847757269953355</v>
      </c>
      <c r="G2779" s="25">
        <v>49.7</v>
      </c>
      <c r="H2779" s="379">
        <v>11.054144734261678</v>
      </c>
      <c r="I2779" s="25">
        <v>71.47</v>
      </c>
      <c r="J2779" s="379">
        <v>6.5131784358093539</v>
      </c>
    </row>
    <row r="2780" spans="1:10" x14ac:dyDescent="0.35">
      <c r="A2780" s="5">
        <v>2776</v>
      </c>
      <c r="B2780" s="5">
        <v>116</v>
      </c>
      <c r="C2780" s="5">
        <v>4</v>
      </c>
      <c r="D2780" s="379">
        <v>48.084444444444436</v>
      </c>
      <c r="E2780" s="25">
        <v>27.96</v>
      </c>
      <c r="F2780" s="379">
        <v>10.192537482207854</v>
      </c>
      <c r="G2780" s="25">
        <v>49.7</v>
      </c>
      <c r="H2780" s="379">
        <v>11.161628866708158</v>
      </c>
      <c r="I2780" s="25">
        <v>72.19</v>
      </c>
      <c r="J2780" s="379">
        <v>7.3447882546347314</v>
      </c>
    </row>
    <row r="2781" spans="1:10" x14ac:dyDescent="0.35">
      <c r="A2781" s="5">
        <v>2777</v>
      </c>
      <c r="B2781" s="5">
        <v>116</v>
      </c>
      <c r="C2781" s="5">
        <v>4</v>
      </c>
      <c r="D2781" s="379">
        <v>54.314999999999998</v>
      </c>
      <c r="E2781" s="25">
        <v>27.96</v>
      </c>
      <c r="F2781" s="379">
        <v>14.202450359528854</v>
      </c>
      <c r="G2781" s="25">
        <v>55.38</v>
      </c>
      <c r="H2781" s="379">
        <v>11.486001333840731</v>
      </c>
      <c r="I2781" s="25">
        <v>84.08</v>
      </c>
      <c r="J2781" s="379">
        <v>6.8664460526056024</v>
      </c>
    </row>
    <row r="2782" spans="1:10" x14ac:dyDescent="0.35">
      <c r="A2782" s="5">
        <v>2778</v>
      </c>
      <c r="B2782" s="5">
        <v>116</v>
      </c>
      <c r="C2782" s="5">
        <v>4</v>
      </c>
      <c r="D2782" s="379">
        <v>58.35</v>
      </c>
      <c r="E2782" s="25">
        <v>27.96</v>
      </c>
      <c r="F2782" s="379">
        <v>17.87425923555168</v>
      </c>
      <c r="G2782" s="25">
        <v>55.38</v>
      </c>
      <c r="H2782" s="379">
        <v>21.775064880021393</v>
      </c>
      <c r="I2782" s="25">
        <v>84.08</v>
      </c>
      <c r="J2782" s="379">
        <v>6.618003501550243</v>
      </c>
    </row>
    <row r="2783" spans="1:10" x14ac:dyDescent="0.35">
      <c r="A2783" s="5">
        <v>2779</v>
      </c>
      <c r="B2783" s="5">
        <v>116</v>
      </c>
      <c r="C2783" s="5">
        <v>4</v>
      </c>
      <c r="D2783" s="379">
        <v>62.493888888888883</v>
      </c>
      <c r="E2783" s="25">
        <v>27.96</v>
      </c>
      <c r="F2783" s="379">
        <v>17.457312852209071</v>
      </c>
      <c r="G2783" s="25">
        <v>57.04</v>
      </c>
      <c r="H2783" s="379">
        <v>22.726266268017188</v>
      </c>
      <c r="I2783" s="25">
        <v>84.08</v>
      </c>
      <c r="J2783" s="379">
        <v>6.987601014736712</v>
      </c>
    </row>
    <row r="2784" spans="1:10" x14ac:dyDescent="0.35">
      <c r="A2784" s="5">
        <v>2780</v>
      </c>
      <c r="B2784" s="5">
        <v>116</v>
      </c>
      <c r="C2784" s="5">
        <v>4</v>
      </c>
      <c r="D2784" s="379">
        <v>62.237777777777772</v>
      </c>
      <c r="E2784" s="25">
        <v>27.96</v>
      </c>
      <c r="F2784" s="379">
        <v>16.511579845347331</v>
      </c>
      <c r="G2784" s="25">
        <v>55.38</v>
      </c>
      <c r="H2784" s="379">
        <v>21.950893538104911</v>
      </c>
      <c r="I2784" s="25">
        <v>84.08</v>
      </c>
      <c r="J2784" s="379">
        <v>6.987601014736712</v>
      </c>
    </row>
    <row r="2785" spans="1:10" x14ac:dyDescent="0.35">
      <c r="A2785" s="5">
        <v>2781</v>
      </c>
      <c r="B2785" s="5">
        <v>116</v>
      </c>
      <c r="C2785" s="5">
        <v>4</v>
      </c>
      <c r="D2785" s="379">
        <v>58.957777777777771</v>
      </c>
      <c r="E2785" s="25">
        <v>27.96</v>
      </c>
      <c r="F2785" s="379">
        <v>16.38888175005394</v>
      </c>
      <c r="G2785" s="25">
        <v>55.38</v>
      </c>
      <c r="H2785" s="379">
        <v>21.742460242630603</v>
      </c>
      <c r="I2785" s="25">
        <v>76.59</v>
      </c>
      <c r="J2785" s="379">
        <v>6.987601014736712</v>
      </c>
    </row>
    <row r="2786" spans="1:10" x14ac:dyDescent="0.35">
      <c r="A2786" s="5">
        <v>2782</v>
      </c>
      <c r="B2786" s="5">
        <v>116</v>
      </c>
      <c r="C2786" s="5">
        <v>4</v>
      </c>
      <c r="D2786" s="379">
        <v>53.36611111111111</v>
      </c>
      <c r="E2786" s="25">
        <v>27.96</v>
      </c>
      <c r="F2786" s="379">
        <v>15.982635450454824</v>
      </c>
      <c r="G2786" s="25">
        <v>52.2</v>
      </c>
      <c r="H2786" s="379">
        <v>17.492116684494828</v>
      </c>
      <c r="I2786" s="25">
        <v>76.59</v>
      </c>
      <c r="J2786" s="379">
        <v>6.987601014736712</v>
      </c>
    </row>
    <row r="2787" spans="1:10" x14ac:dyDescent="0.35">
      <c r="A2787" s="5">
        <v>2783</v>
      </c>
      <c r="B2787" s="5">
        <v>116</v>
      </c>
      <c r="C2787" s="5">
        <v>4</v>
      </c>
      <c r="D2787" s="379">
        <v>48.822222222222216</v>
      </c>
      <c r="E2787" s="25">
        <v>25.74</v>
      </c>
      <c r="F2787" s="379">
        <v>17.905967010382046</v>
      </c>
      <c r="G2787" s="25">
        <v>49.2</v>
      </c>
      <c r="H2787" s="379">
        <v>20.537614523809719</v>
      </c>
      <c r="I2787" s="25">
        <v>72.19</v>
      </c>
      <c r="J2787" s="379">
        <v>7.3530515678727797</v>
      </c>
    </row>
    <row r="2788" spans="1:10" x14ac:dyDescent="0.35">
      <c r="A2788" s="5">
        <v>2784</v>
      </c>
      <c r="B2788" s="5">
        <v>116</v>
      </c>
      <c r="C2788" s="5">
        <v>4</v>
      </c>
      <c r="D2788" s="379">
        <v>46.615000000000002</v>
      </c>
      <c r="E2788" s="25">
        <v>24.84</v>
      </c>
      <c r="F2788" s="379">
        <v>20.036031475071347</v>
      </c>
      <c r="G2788" s="25">
        <v>48.71</v>
      </c>
      <c r="H2788" s="379">
        <v>19.708580928304809</v>
      </c>
      <c r="I2788" s="25">
        <v>71.47</v>
      </c>
      <c r="J2788" s="379">
        <v>7.468254870911907</v>
      </c>
    </row>
    <row r="2789" spans="1:10" x14ac:dyDescent="0.35">
      <c r="A2789" s="5">
        <v>2785</v>
      </c>
      <c r="B2789" s="5">
        <v>117</v>
      </c>
      <c r="C2789" s="5">
        <v>4</v>
      </c>
      <c r="D2789" s="379">
        <v>41.41</v>
      </c>
      <c r="E2789" s="25">
        <v>24.84</v>
      </c>
      <c r="F2789" s="379">
        <v>18.415217932628035</v>
      </c>
      <c r="G2789" s="25">
        <v>47.85</v>
      </c>
      <c r="H2789" s="379">
        <v>20.936501450388935</v>
      </c>
      <c r="I2789" s="25">
        <v>66.06</v>
      </c>
      <c r="J2789" s="379">
        <v>7.4776363172089262</v>
      </c>
    </row>
    <row r="2790" spans="1:10" x14ac:dyDescent="0.35">
      <c r="A2790" s="5">
        <v>2786</v>
      </c>
      <c r="B2790" s="5">
        <v>117</v>
      </c>
      <c r="C2790" s="5">
        <v>4</v>
      </c>
      <c r="D2790" s="379">
        <v>41.148888888888898</v>
      </c>
      <c r="E2790" s="25">
        <v>24.84</v>
      </c>
      <c r="F2790" s="379">
        <v>18.363416708117992</v>
      </c>
      <c r="G2790" s="25">
        <v>47.46</v>
      </c>
      <c r="H2790" s="379">
        <v>19.222138206004857</v>
      </c>
      <c r="I2790" s="25">
        <v>65.400000000000006</v>
      </c>
      <c r="J2790" s="379">
        <v>7.5299818959321509</v>
      </c>
    </row>
    <row r="2791" spans="1:10" x14ac:dyDescent="0.35">
      <c r="A2791" s="5">
        <v>2787</v>
      </c>
      <c r="B2791" s="5">
        <v>117</v>
      </c>
      <c r="C2791" s="5">
        <v>4</v>
      </c>
      <c r="D2791" s="379">
        <v>40.801111111111105</v>
      </c>
      <c r="E2791" s="25">
        <v>24.84</v>
      </c>
      <c r="F2791" s="379">
        <v>17.486067343060068</v>
      </c>
      <c r="G2791" s="25">
        <v>47.07</v>
      </c>
      <c r="H2791" s="379">
        <v>19.684631477731191</v>
      </c>
      <c r="I2791" s="25">
        <v>65.400000000000006</v>
      </c>
      <c r="J2791" s="379">
        <v>7.5311658340735343</v>
      </c>
    </row>
    <row r="2792" spans="1:10" x14ac:dyDescent="0.35">
      <c r="A2792" s="5">
        <v>2788</v>
      </c>
      <c r="B2792" s="5">
        <v>117</v>
      </c>
      <c r="C2792" s="5">
        <v>4</v>
      </c>
      <c r="D2792" s="379">
        <v>40.794999999999995</v>
      </c>
      <c r="E2792" s="25">
        <v>24.84</v>
      </c>
      <c r="F2792" s="379">
        <v>17.495721070075469</v>
      </c>
      <c r="G2792" s="25">
        <v>47.46</v>
      </c>
      <c r="H2792" s="379">
        <v>20.062142466253718</v>
      </c>
      <c r="I2792" s="25">
        <v>65.400000000000006</v>
      </c>
      <c r="J2792" s="379">
        <v>7.4193955572650658</v>
      </c>
    </row>
    <row r="2793" spans="1:10" x14ac:dyDescent="0.35">
      <c r="A2793" s="5">
        <v>2789</v>
      </c>
      <c r="B2793" s="5">
        <v>117</v>
      </c>
      <c r="C2793" s="5">
        <v>4</v>
      </c>
      <c r="D2793" s="379">
        <v>43.128888888888888</v>
      </c>
      <c r="E2793" s="25">
        <v>24.84</v>
      </c>
      <c r="F2793" s="379">
        <v>16.991725956795012</v>
      </c>
      <c r="G2793" s="25">
        <v>47.85</v>
      </c>
      <c r="H2793" s="379">
        <v>21.963315093056487</v>
      </c>
      <c r="I2793" s="25">
        <v>66.06</v>
      </c>
      <c r="J2793" s="379">
        <v>7.2222276957357376</v>
      </c>
    </row>
    <row r="2794" spans="1:10" x14ac:dyDescent="0.35">
      <c r="A2794" s="5">
        <v>2790</v>
      </c>
      <c r="B2794" s="5">
        <v>117</v>
      </c>
      <c r="C2794" s="5">
        <v>4</v>
      </c>
      <c r="D2794" s="379">
        <v>50.939444444444447</v>
      </c>
      <c r="E2794" s="25">
        <v>25.74</v>
      </c>
      <c r="F2794" s="379">
        <v>13.95036402206801</v>
      </c>
      <c r="G2794" s="25">
        <v>49.2</v>
      </c>
      <c r="H2794" s="379">
        <v>10.735793861328128</v>
      </c>
      <c r="I2794" s="25">
        <v>68.05</v>
      </c>
      <c r="J2794" s="379">
        <v>7.1328015453205733</v>
      </c>
    </row>
    <row r="2795" spans="1:10" x14ac:dyDescent="0.35">
      <c r="A2795" s="5">
        <v>2791</v>
      </c>
      <c r="B2795" s="5">
        <v>117</v>
      </c>
      <c r="C2795" s="5">
        <v>4</v>
      </c>
      <c r="D2795" s="379">
        <v>56.12277777777777</v>
      </c>
      <c r="E2795" s="25">
        <v>27.96</v>
      </c>
      <c r="F2795" s="379">
        <v>11.337646809662363</v>
      </c>
      <c r="G2795" s="25">
        <v>52.2</v>
      </c>
      <c r="H2795" s="379">
        <v>9.7649663537307578</v>
      </c>
      <c r="I2795" s="25">
        <v>76.59</v>
      </c>
      <c r="J2795" s="379">
        <v>5.5329639068309771</v>
      </c>
    </row>
    <row r="2796" spans="1:10" x14ac:dyDescent="0.35">
      <c r="A2796" s="5">
        <v>2792</v>
      </c>
      <c r="B2796" s="5">
        <v>117</v>
      </c>
      <c r="C2796" s="5">
        <v>4</v>
      </c>
      <c r="D2796" s="379">
        <v>58.573888888888881</v>
      </c>
      <c r="E2796" s="25">
        <v>27.96</v>
      </c>
      <c r="F2796" s="379">
        <v>8.1174834595959595</v>
      </c>
      <c r="G2796" s="25">
        <v>53.77</v>
      </c>
      <c r="H2796" s="379">
        <v>8.435127864064377</v>
      </c>
      <c r="I2796" s="25">
        <v>76.94</v>
      </c>
      <c r="J2796" s="379">
        <v>0.27777777777777779</v>
      </c>
    </row>
    <row r="2797" spans="1:10" x14ac:dyDescent="0.35">
      <c r="A2797" s="5">
        <v>2793</v>
      </c>
      <c r="B2797" s="5">
        <v>117</v>
      </c>
      <c r="C2797" s="5">
        <v>4</v>
      </c>
      <c r="D2797" s="379">
        <v>54.865555555555559</v>
      </c>
      <c r="E2797" s="25">
        <v>27.96</v>
      </c>
      <c r="F2797" s="379">
        <v>8.6553613342531825</v>
      </c>
      <c r="G2797" s="25">
        <v>52.2</v>
      </c>
      <c r="H2797" s="379">
        <v>10.060683947241417</v>
      </c>
      <c r="I2797" s="25">
        <v>76.59</v>
      </c>
      <c r="J2797" s="379">
        <v>0.27777777777777779</v>
      </c>
    </row>
    <row r="2798" spans="1:10" x14ac:dyDescent="0.35">
      <c r="A2798" s="5">
        <v>2794</v>
      </c>
      <c r="B2798" s="5">
        <v>117</v>
      </c>
      <c r="C2798" s="5">
        <v>4</v>
      </c>
      <c r="D2798" s="379">
        <v>49.414999999999992</v>
      </c>
      <c r="E2798" s="25">
        <v>27.15</v>
      </c>
      <c r="F2798" s="379">
        <v>8.4101232060978628</v>
      </c>
      <c r="G2798" s="25">
        <v>50.68</v>
      </c>
      <c r="H2798" s="379">
        <v>9.7789766005757564</v>
      </c>
      <c r="I2798" s="25">
        <v>66.06</v>
      </c>
      <c r="J2798" s="379">
        <v>0.27777777777777779</v>
      </c>
    </row>
    <row r="2799" spans="1:10" x14ac:dyDescent="0.35">
      <c r="A2799" s="5">
        <v>2795</v>
      </c>
      <c r="B2799" s="5">
        <v>117</v>
      </c>
      <c r="C2799" s="5">
        <v>4</v>
      </c>
      <c r="D2799" s="379">
        <v>47.837777777777781</v>
      </c>
      <c r="E2799" s="25">
        <v>26.59</v>
      </c>
      <c r="F2799" s="379">
        <v>7.9447926314525876</v>
      </c>
      <c r="G2799" s="25">
        <v>49.2</v>
      </c>
      <c r="H2799" s="379">
        <v>9.585962988469559</v>
      </c>
      <c r="I2799" s="25">
        <v>66.06</v>
      </c>
      <c r="J2799" s="379">
        <v>0.27777777777777779</v>
      </c>
    </row>
    <row r="2800" spans="1:10" x14ac:dyDescent="0.35">
      <c r="A2800" s="5">
        <v>2796</v>
      </c>
      <c r="B2800" s="5">
        <v>117</v>
      </c>
      <c r="C2800" s="5">
        <v>4</v>
      </c>
      <c r="D2800" s="379">
        <v>46.777222222222221</v>
      </c>
      <c r="E2800" s="25">
        <v>26.51</v>
      </c>
      <c r="F2800" s="379">
        <v>7.9447926314525876</v>
      </c>
      <c r="G2800" s="25">
        <v>49.2</v>
      </c>
      <c r="H2800" s="379">
        <v>9.3057115268457302</v>
      </c>
      <c r="I2800" s="25">
        <v>64.790000000000006</v>
      </c>
      <c r="J2800" s="379">
        <v>7.6265302469760737E-2</v>
      </c>
    </row>
    <row r="2801" spans="1:10" x14ac:dyDescent="0.35">
      <c r="A2801" s="5">
        <v>2797</v>
      </c>
      <c r="B2801" s="5">
        <v>117</v>
      </c>
      <c r="C2801" s="5">
        <v>4</v>
      </c>
      <c r="D2801" s="379">
        <v>45.210555555555551</v>
      </c>
      <c r="E2801" s="25">
        <v>25.74</v>
      </c>
      <c r="F2801" s="379">
        <v>7.9447926314525876</v>
      </c>
      <c r="G2801" s="25">
        <v>48.33</v>
      </c>
      <c r="H2801" s="379">
        <v>11.812847222222219</v>
      </c>
      <c r="I2801" s="25">
        <v>64.14</v>
      </c>
      <c r="J2801" s="379">
        <v>8.2922668688400314E-2</v>
      </c>
    </row>
    <row r="2802" spans="1:10" x14ac:dyDescent="0.35">
      <c r="A2802" s="5">
        <v>2798</v>
      </c>
      <c r="B2802" s="5">
        <v>117</v>
      </c>
      <c r="C2802" s="5">
        <v>4</v>
      </c>
      <c r="D2802" s="379">
        <v>43.853333333333339</v>
      </c>
      <c r="E2802" s="25">
        <v>24.99</v>
      </c>
      <c r="F2802" s="379">
        <v>7.9447926314525876</v>
      </c>
      <c r="G2802" s="25">
        <v>47.85</v>
      </c>
      <c r="H2802" s="379">
        <v>11.453032457685758</v>
      </c>
      <c r="I2802" s="25">
        <v>64.14</v>
      </c>
      <c r="J2802" s="379">
        <v>8.2922668688400314E-2</v>
      </c>
    </row>
    <row r="2803" spans="1:10" x14ac:dyDescent="0.35">
      <c r="A2803" s="5">
        <v>2799</v>
      </c>
      <c r="B2803" s="5">
        <v>117</v>
      </c>
      <c r="C2803" s="5">
        <v>4</v>
      </c>
      <c r="D2803" s="379">
        <v>43.510555555555555</v>
      </c>
      <c r="E2803" s="25">
        <v>25.59</v>
      </c>
      <c r="F2803" s="379">
        <v>7.9447926314525876</v>
      </c>
      <c r="G2803" s="25">
        <v>48.33</v>
      </c>
      <c r="H2803" s="379">
        <v>10.444963616406287</v>
      </c>
      <c r="I2803" s="25">
        <v>64.14</v>
      </c>
      <c r="J2803" s="379">
        <v>0.47195970480085753</v>
      </c>
    </row>
    <row r="2804" spans="1:10" x14ac:dyDescent="0.35">
      <c r="A2804" s="5">
        <v>2800</v>
      </c>
      <c r="B2804" s="5">
        <v>117</v>
      </c>
      <c r="C2804" s="5">
        <v>4</v>
      </c>
      <c r="D2804" s="379">
        <v>45.19222222222222</v>
      </c>
      <c r="E2804" s="25">
        <v>25.74</v>
      </c>
      <c r="F2804" s="379">
        <v>8.1174834595959577</v>
      </c>
      <c r="G2804" s="25">
        <v>48.33</v>
      </c>
      <c r="H2804" s="379">
        <v>10.055482295911521</v>
      </c>
      <c r="I2804" s="25">
        <v>64.14</v>
      </c>
      <c r="J2804" s="379">
        <v>0.62857758087395033</v>
      </c>
    </row>
    <row r="2805" spans="1:10" x14ac:dyDescent="0.35">
      <c r="A2805" s="5">
        <v>2801</v>
      </c>
      <c r="B2805" s="5">
        <v>117</v>
      </c>
      <c r="C2805" s="5">
        <v>4</v>
      </c>
      <c r="D2805" s="379">
        <v>49.015000000000001</v>
      </c>
      <c r="E2805" s="25">
        <v>26.51</v>
      </c>
      <c r="F2805" s="379">
        <v>8.6615712121412312</v>
      </c>
      <c r="G2805" s="25">
        <v>49.2</v>
      </c>
      <c r="H2805" s="379">
        <v>10.176880746257032</v>
      </c>
      <c r="I2805" s="25">
        <v>65.400000000000006</v>
      </c>
      <c r="J2805" s="379">
        <v>4.5720615211567681</v>
      </c>
    </row>
    <row r="2806" spans="1:10" x14ac:dyDescent="0.35">
      <c r="A2806" s="5">
        <v>2802</v>
      </c>
      <c r="B2806" s="5">
        <v>117</v>
      </c>
      <c r="C2806" s="5">
        <v>4</v>
      </c>
      <c r="D2806" s="379">
        <v>54.201111111111111</v>
      </c>
      <c r="E2806" s="25">
        <v>27.3</v>
      </c>
      <c r="F2806" s="379">
        <v>11.742327688545489</v>
      </c>
      <c r="G2806" s="25">
        <v>49.2</v>
      </c>
      <c r="H2806" s="379">
        <v>11.89471800080171</v>
      </c>
      <c r="I2806" s="25">
        <v>66.06</v>
      </c>
      <c r="J2806" s="379">
        <v>7.2634654966782213</v>
      </c>
    </row>
    <row r="2807" spans="1:10" x14ac:dyDescent="0.35">
      <c r="A2807" s="5">
        <v>2803</v>
      </c>
      <c r="B2807" s="5">
        <v>117</v>
      </c>
      <c r="C2807" s="5">
        <v>4</v>
      </c>
      <c r="D2807" s="379">
        <v>57.257777777777775</v>
      </c>
      <c r="E2807" s="25">
        <v>27.96</v>
      </c>
      <c r="F2807" s="379">
        <v>17.782253349120268</v>
      </c>
      <c r="G2807" s="25">
        <v>49.2</v>
      </c>
      <c r="H2807" s="379">
        <v>11.675978827202067</v>
      </c>
      <c r="I2807" s="25">
        <v>70.09</v>
      </c>
      <c r="J2807" s="379">
        <v>7.2879739915098014</v>
      </c>
    </row>
    <row r="2808" spans="1:10" x14ac:dyDescent="0.35">
      <c r="A2808" s="5">
        <v>2804</v>
      </c>
      <c r="B2808" s="5">
        <v>117</v>
      </c>
      <c r="C2808" s="5">
        <v>4</v>
      </c>
      <c r="D2808" s="379">
        <v>56.392222222222223</v>
      </c>
      <c r="E2808" s="25">
        <v>27.96</v>
      </c>
      <c r="F2808" s="379">
        <v>17.026720386848488</v>
      </c>
      <c r="G2808" s="25">
        <v>52.2</v>
      </c>
      <c r="H2808" s="379">
        <v>11.823097039875231</v>
      </c>
      <c r="I2808" s="25">
        <v>75.459999999999994</v>
      </c>
      <c r="J2808" s="379">
        <v>7.1987035454648227</v>
      </c>
    </row>
    <row r="2809" spans="1:10" x14ac:dyDescent="0.35">
      <c r="A2809" s="5">
        <v>2805</v>
      </c>
      <c r="B2809" s="5">
        <v>117</v>
      </c>
      <c r="C2809" s="5">
        <v>4</v>
      </c>
      <c r="D2809" s="379">
        <v>54.25333333333333</v>
      </c>
      <c r="E2809" s="25">
        <v>27.96</v>
      </c>
      <c r="F2809" s="379">
        <v>12.926905114202954</v>
      </c>
      <c r="G2809" s="25">
        <v>52.2</v>
      </c>
      <c r="H2809" s="379">
        <v>11.742746778344003</v>
      </c>
      <c r="I2809" s="25">
        <v>76.59</v>
      </c>
      <c r="J2809" s="379">
        <v>7.0339665363688306</v>
      </c>
    </row>
    <row r="2810" spans="1:10" x14ac:dyDescent="0.35">
      <c r="A2810" s="5">
        <v>2806</v>
      </c>
      <c r="B2810" s="5">
        <v>117</v>
      </c>
      <c r="C2810" s="5">
        <v>4</v>
      </c>
      <c r="D2810" s="379">
        <v>49.827222222222225</v>
      </c>
      <c r="E2810" s="25">
        <v>27.3</v>
      </c>
      <c r="F2810" s="379">
        <v>12.209072561527876</v>
      </c>
      <c r="G2810" s="25">
        <v>52.2</v>
      </c>
      <c r="H2810" s="379">
        <v>12.030375592687808</v>
      </c>
      <c r="I2810" s="25">
        <v>75.459999999999994</v>
      </c>
      <c r="J2810" s="379">
        <v>7.227718036721539</v>
      </c>
    </row>
    <row r="2811" spans="1:10" x14ac:dyDescent="0.35">
      <c r="A2811" s="5">
        <v>2807</v>
      </c>
      <c r="B2811" s="5">
        <v>117</v>
      </c>
      <c r="C2811" s="5">
        <v>4</v>
      </c>
      <c r="D2811" s="379">
        <v>42.851111111111102</v>
      </c>
      <c r="E2811" s="25">
        <v>26.05</v>
      </c>
      <c r="F2811" s="379">
        <v>11.392047221240736</v>
      </c>
      <c r="G2811" s="25">
        <v>50.76</v>
      </c>
      <c r="H2811" s="379">
        <v>12.075158618039353</v>
      </c>
      <c r="I2811" s="25">
        <v>72.19</v>
      </c>
      <c r="J2811" s="379">
        <v>7.127713400217444</v>
      </c>
    </row>
    <row r="2812" spans="1:10" x14ac:dyDescent="0.35">
      <c r="A2812" s="5">
        <v>2808</v>
      </c>
      <c r="B2812" s="5">
        <v>117</v>
      </c>
      <c r="C2812" s="5">
        <v>4</v>
      </c>
      <c r="D2812" s="379">
        <v>44.300555555555562</v>
      </c>
      <c r="E2812" s="25">
        <v>25.59</v>
      </c>
      <c r="F2812" s="379">
        <v>11.952338909395953</v>
      </c>
      <c r="G2812" s="25">
        <v>50.35</v>
      </c>
      <c r="H2812" s="379">
        <v>12.090139157287469</v>
      </c>
      <c r="I2812" s="25">
        <v>68.05</v>
      </c>
      <c r="J2812" s="379">
        <v>7.3910319381302534</v>
      </c>
    </row>
    <row r="2813" spans="1:10" x14ac:dyDescent="0.35">
      <c r="A2813" s="5">
        <v>2809</v>
      </c>
      <c r="B2813" s="5">
        <v>118</v>
      </c>
      <c r="C2813" s="5">
        <v>4</v>
      </c>
      <c r="D2813" s="379">
        <v>42.535000000000004</v>
      </c>
      <c r="E2813" s="25">
        <v>24.99</v>
      </c>
      <c r="F2813" s="379">
        <v>10.938780911190245</v>
      </c>
      <c r="G2813" s="25">
        <v>47.85</v>
      </c>
      <c r="H2813" s="379">
        <v>12.071523352884945</v>
      </c>
      <c r="I2813" s="25">
        <v>68.05</v>
      </c>
      <c r="J2813" s="379">
        <v>7.3860136459882266</v>
      </c>
    </row>
    <row r="2814" spans="1:10" x14ac:dyDescent="0.35">
      <c r="A2814" s="5">
        <v>2810</v>
      </c>
      <c r="B2814" s="5">
        <v>118</v>
      </c>
      <c r="C2814" s="5">
        <v>4</v>
      </c>
      <c r="D2814" s="379">
        <v>41.857777777777784</v>
      </c>
      <c r="E2814" s="25">
        <v>24.84</v>
      </c>
      <c r="F2814" s="379">
        <v>10.938780911190248</v>
      </c>
      <c r="G2814" s="25">
        <v>47.85</v>
      </c>
      <c r="H2814" s="379">
        <v>11.814373899955305</v>
      </c>
      <c r="I2814" s="25">
        <v>67.36</v>
      </c>
      <c r="J2814" s="379">
        <v>7.4026173406758593</v>
      </c>
    </row>
    <row r="2815" spans="1:10" x14ac:dyDescent="0.35">
      <c r="A2815" s="5">
        <v>2811</v>
      </c>
      <c r="B2815" s="5">
        <v>118</v>
      </c>
      <c r="C2815" s="5">
        <v>4</v>
      </c>
      <c r="D2815" s="379">
        <v>41.992222222222217</v>
      </c>
      <c r="E2815" s="25">
        <v>24.99</v>
      </c>
      <c r="F2815" s="379">
        <v>10.021647762512043</v>
      </c>
      <c r="G2815" s="25">
        <v>47.85</v>
      </c>
      <c r="H2815" s="379">
        <v>10.540988371651952</v>
      </c>
      <c r="I2815" s="25">
        <v>66.06</v>
      </c>
      <c r="J2815" s="379">
        <v>7.3887959596986645</v>
      </c>
    </row>
    <row r="2816" spans="1:10" x14ac:dyDescent="0.35">
      <c r="A2816" s="5">
        <v>2812</v>
      </c>
      <c r="B2816" s="5">
        <v>118</v>
      </c>
      <c r="C2816" s="5">
        <v>4</v>
      </c>
      <c r="D2816" s="379">
        <v>42.036111111111111</v>
      </c>
      <c r="E2816" s="25">
        <v>25.29</v>
      </c>
      <c r="F2816" s="379">
        <v>8.7712624963907668</v>
      </c>
      <c r="G2816" s="25">
        <v>47.85</v>
      </c>
      <c r="H2816" s="379">
        <v>10.280314836288426</v>
      </c>
      <c r="I2816" s="25">
        <v>66.06</v>
      </c>
      <c r="J2816" s="379">
        <v>7.3288577385209184</v>
      </c>
    </row>
    <row r="2817" spans="1:10" x14ac:dyDescent="0.35">
      <c r="A2817" s="5">
        <v>2813</v>
      </c>
      <c r="B2817" s="5">
        <v>118</v>
      </c>
      <c r="C2817" s="5">
        <v>4</v>
      </c>
      <c r="D2817" s="379">
        <v>44.429444444444435</v>
      </c>
      <c r="E2817" s="25">
        <v>25.29</v>
      </c>
      <c r="F2817" s="379">
        <v>8.8861789709853394</v>
      </c>
      <c r="G2817" s="25">
        <v>47.85</v>
      </c>
      <c r="H2817" s="379">
        <v>9.5538209523931403</v>
      </c>
      <c r="I2817" s="25">
        <v>68.05</v>
      </c>
      <c r="J2817" s="379">
        <v>6.9441274643351392</v>
      </c>
    </row>
    <row r="2818" spans="1:10" x14ac:dyDescent="0.35">
      <c r="A2818" s="5">
        <v>2814</v>
      </c>
      <c r="B2818" s="5">
        <v>118</v>
      </c>
      <c r="C2818" s="5">
        <v>4</v>
      </c>
      <c r="D2818" s="379">
        <v>54.11</v>
      </c>
      <c r="E2818" s="25">
        <v>25.74</v>
      </c>
      <c r="F2818" s="379">
        <v>8.5619770606242511</v>
      </c>
      <c r="G2818" s="25">
        <v>50.68</v>
      </c>
      <c r="H2818" s="379">
        <v>9.2947354598051035</v>
      </c>
      <c r="I2818" s="25">
        <v>72.19</v>
      </c>
      <c r="J2818" s="379">
        <v>6.8359768069804954</v>
      </c>
    </row>
    <row r="2819" spans="1:10" x14ac:dyDescent="0.35">
      <c r="A2819" s="5">
        <v>2815</v>
      </c>
      <c r="B2819" s="5">
        <v>118</v>
      </c>
      <c r="C2819" s="5">
        <v>4</v>
      </c>
      <c r="D2819" s="379">
        <v>60.256111111111117</v>
      </c>
      <c r="E2819" s="25">
        <v>26.51</v>
      </c>
      <c r="F2819" s="379">
        <v>8.3111854823529416</v>
      </c>
      <c r="G2819" s="25">
        <v>53.77</v>
      </c>
      <c r="H2819" s="379">
        <v>6.5987538411999243</v>
      </c>
      <c r="I2819" s="25">
        <v>75.459999999999994</v>
      </c>
      <c r="J2819" s="379">
        <v>3.4557468887541889</v>
      </c>
    </row>
    <row r="2820" spans="1:10" x14ac:dyDescent="0.35">
      <c r="A2820" s="5">
        <v>2816</v>
      </c>
      <c r="B2820" s="5">
        <v>118</v>
      </c>
      <c r="C2820" s="5">
        <v>4</v>
      </c>
      <c r="D2820" s="379">
        <v>61.513888888888886</v>
      </c>
      <c r="E2820" s="25">
        <v>26.51</v>
      </c>
      <c r="F2820" s="379">
        <v>8.1174834595959577</v>
      </c>
      <c r="G2820" s="25">
        <v>55.38</v>
      </c>
      <c r="H2820" s="379">
        <v>5.9628355276070959</v>
      </c>
      <c r="I2820" s="25">
        <v>72.19</v>
      </c>
      <c r="J2820" s="379">
        <v>2.0046636118919694</v>
      </c>
    </row>
    <row r="2821" spans="1:10" x14ac:dyDescent="0.35">
      <c r="A2821" s="5">
        <v>2817</v>
      </c>
      <c r="B2821" s="5">
        <v>118</v>
      </c>
      <c r="C2821" s="5">
        <v>4</v>
      </c>
      <c r="D2821" s="379">
        <v>55.919444444444444</v>
      </c>
      <c r="E2821" s="25">
        <v>26.35</v>
      </c>
      <c r="F2821" s="379">
        <v>8.1174834595959613</v>
      </c>
      <c r="G2821" s="25">
        <v>53.77</v>
      </c>
      <c r="H2821" s="379">
        <v>5.8971128429997623</v>
      </c>
      <c r="I2821" s="25">
        <v>66.06</v>
      </c>
      <c r="J2821" s="379">
        <v>4.6424155822041895</v>
      </c>
    </row>
    <row r="2822" spans="1:10" x14ac:dyDescent="0.35">
      <c r="A2822" s="5">
        <v>2818</v>
      </c>
      <c r="B2822" s="5">
        <v>118</v>
      </c>
      <c r="C2822" s="5">
        <v>4</v>
      </c>
      <c r="D2822" s="379">
        <v>50.445555555555551</v>
      </c>
      <c r="E2822" s="25">
        <v>25.74</v>
      </c>
      <c r="F2822" s="379">
        <v>0.47222222222222221</v>
      </c>
      <c r="G2822" s="25">
        <v>49.2</v>
      </c>
      <c r="H2822" s="379">
        <v>0.14631918006185907</v>
      </c>
      <c r="I2822" s="25">
        <v>64.14</v>
      </c>
      <c r="J2822" s="379">
        <v>2.777777777777778E-2</v>
      </c>
    </row>
    <row r="2823" spans="1:10" x14ac:dyDescent="0.35">
      <c r="A2823" s="5">
        <v>2819</v>
      </c>
      <c r="B2823" s="5">
        <v>118</v>
      </c>
      <c r="C2823" s="5">
        <v>4</v>
      </c>
      <c r="D2823" s="379">
        <v>47.907222222222217</v>
      </c>
      <c r="E2823" s="25">
        <v>25.74</v>
      </c>
      <c r="F2823" s="379">
        <v>4.2043696280010101</v>
      </c>
      <c r="G2823" s="25">
        <v>47.85</v>
      </c>
      <c r="H2823" s="379">
        <v>2.3970559800999101</v>
      </c>
      <c r="I2823" s="25">
        <v>61.35</v>
      </c>
      <c r="J2823" s="379">
        <v>2.777777777777778E-2</v>
      </c>
    </row>
    <row r="2824" spans="1:10" x14ac:dyDescent="0.35">
      <c r="A2824" s="5">
        <v>2820</v>
      </c>
      <c r="B2824" s="5">
        <v>118</v>
      </c>
      <c r="C2824" s="5">
        <v>4</v>
      </c>
      <c r="D2824" s="379">
        <v>46.653888888888893</v>
      </c>
      <c r="E2824" s="25">
        <v>25.59</v>
      </c>
      <c r="F2824" s="379">
        <v>4.1937891337201352</v>
      </c>
      <c r="G2824" s="25">
        <v>47.77</v>
      </c>
      <c r="H2824" s="379">
        <v>2.3970559800999101</v>
      </c>
      <c r="I2824" s="25">
        <v>55.88</v>
      </c>
      <c r="J2824" s="379">
        <v>2.777777777777778E-2</v>
      </c>
    </row>
    <row r="2825" spans="1:10" x14ac:dyDescent="0.35">
      <c r="A2825" s="5">
        <v>2821</v>
      </c>
      <c r="B2825" s="5">
        <v>118</v>
      </c>
      <c r="C2825" s="5">
        <v>4</v>
      </c>
      <c r="D2825" s="379">
        <v>45.278888888888886</v>
      </c>
      <c r="E2825" s="25">
        <v>24.99</v>
      </c>
      <c r="F2825" s="379">
        <v>2.777777777777778E-2</v>
      </c>
      <c r="G2825" s="25">
        <v>47.46</v>
      </c>
      <c r="H2825" s="379">
        <v>2.3970559800999101</v>
      </c>
      <c r="I2825" s="25">
        <v>53.71</v>
      </c>
      <c r="J2825" s="379">
        <v>2.777777777777778E-2</v>
      </c>
    </row>
    <row r="2826" spans="1:10" x14ac:dyDescent="0.35">
      <c r="A2826" s="5">
        <v>2822</v>
      </c>
      <c r="B2826" s="5">
        <v>118</v>
      </c>
      <c r="C2826" s="5">
        <v>4</v>
      </c>
      <c r="D2826" s="379">
        <v>44.836111111111109</v>
      </c>
      <c r="E2826" s="25">
        <v>24.99</v>
      </c>
      <c r="F2826" s="379">
        <v>4.1786741418903128</v>
      </c>
      <c r="G2826" s="25">
        <v>46.07</v>
      </c>
      <c r="H2826" s="379">
        <v>2.3970559800999101</v>
      </c>
      <c r="I2826" s="25">
        <v>51.03</v>
      </c>
      <c r="J2826" s="379">
        <v>2.777777777777778E-2</v>
      </c>
    </row>
    <row r="2827" spans="1:10" x14ac:dyDescent="0.35">
      <c r="A2827" s="5">
        <v>2823</v>
      </c>
      <c r="B2827" s="5">
        <v>118</v>
      </c>
      <c r="C2827" s="5">
        <v>4</v>
      </c>
      <c r="D2827" s="379">
        <v>44.56055555555556</v>
      </c>
      <c r="E2827" s="25">
        <v>24.99</v>
      </c>
      <c r="F2827" s="379">
        <v>3.9850867770712588</v>
      </c>
      <c r="G2827" s="25">
        <v>46.07</v>
      </c>
      <c r="H2827" s="379">
        <v>2.3970559800999101</v>
      </c>
      <c r="I2827" s="25">
        <v>51.02</v>
      </c>
      <c r="J2827" s="379">
        <v>2.777777777777778E-2</v>
      </c>
    </row>
    <row r="2828" spans="1:10" x14ac:dyDescent="0.35">
      <c r="A2828" s="5">
        <v>2824</v>
      </c>
      <c r="B2828" s="5">
        <v>118</v>
      </c>
      <c r="C2828" s="5">
        <v>4</v>
      </c>
      <c r="D2828" s="379">
        <v>46.998888888888885</v>
      </c>
      <c r="E2828" s="25">
        <v>24.99</v>
      </c>
      <c r="F2828" s="379">
        <v>4.1786741418903128</v>
      </c>
      <c r="G2828" s="25">
        <v>47.46</v>
      </c>
      <c r="H2828" s="379">
        <v>2.457926416598375</v>
      </c>
      <c r="I2828" s="25">
        <v>55.32</v>
      </c>
      <c r="J2828" s="379">
        <v>2.777777777777778E-2</v>
      </c>
    </row>
    <row r="2829" spans="1:10" x14ac:dyDescent="0.35">
      <c r="A2829" s="5">
        <v>2825</v>
      </c>
      <c r="B2829" s="5">
        <v>118</v>
      </c>
      <c r="C2829" s="5">
        <v>4</v>
      </c>
      <c r="D2829" s="379">
        <v>51.447777777777773</v>
      </c>
      <c r="E2829" s="25">
        <v>24.99</v>
      </c>
      <c r="F2829" s="379">
        <v>4.5939353139396379</v>
      </c>
      <c r="G2829" s="25">
        <v>47.85</v>
      </c>
      <c r="H2829" s="379">
        <v>3.0523591831029124</v>
      </c>
      <c r="I2829" s="25">
        <v>60.46</v>
      </c>
      <c r="J2829" s="379">
        <v>0.17633420063823466</v>
      </c>
    </row>
    <row r="2830" spans="1:10" x14ac:dyDescent="0.35">
      <c r="A2830" s="5">
        <v>2826</v>
      </c>
      <c r="B2830" s="5">
        <v>118</v>
      </c>
      <c r="C2830" s="5">
        <v>4</v>
      </c>
      <c r="D2830" s="379">
        <v>54.494444444444447</v>
      </c>
      <c r="E2830" s="25">
        <v>25.74</v>
      </c>
      <c r="F2830" s="379">
        <v>6.1130163436638298</v>
      </c>
      <c r="G2830" s="25">
        <v>47.93</v>
      </c>
      <c r="H2830" s="379">
        <v>4.2116064833158857</v>
      </c>
      <c r="I2830" s="25">
        <v>64.14</v>
      </c>
      <c r="J2830" s="379">
        <v>2.1355253277463606</v>
      </c>
    </row>
    <row r="2831" spans="1:10" x14ac:dyDescent="0.35">
      <c r="A2831" s="5">
        <v>2827</v>
      </c>
      <c r="B2831" s="5">
        <v>118</v>
      </c>
      <c r="C2831" s="5">
        <v>4</v>
      </c>
      <c r="D2831" s="379">
        <v>59.404444444444444</v>
      </c>
      <c r="E2831" s="25">
        <v>26.51</v>
      </c>
      <c r="F2831" s="379">
        <v>8.1174834595959613</v>
      </c>
      <c r="G2831" s="25">
        <v>49.2</v>
      </c>
      <c r="H2831" s="379">
        <v>7.6435564954684843</v>
      </c>
      <c r="I2831" s="25">
        <v>68.05</v>
      </c>
      <c r="J2831" s="379">
        <v>5.3676731333343666</v>
      </c>
    </row>
    <row r="2832" spans="1:10" x14ac:dyDescent="0.35">
      <c r="A2832" s="5">
        <v>2828</v>
      </c>
      <c r="B2832" s="5">
        <v>118</v>
      </c>
      <c r="C2832" s="5">
        <v>4</v>
      </c>
      <c r="D2832" s="379">
        <v>59.557777777777787</v>
      </c>
      <c r="E2832" s="25">
        <v>27.3</v>
      </c>
      <c r="F2832" s="379">
        <v>8.3999028066171686</v>
      </c>
      <c r="G2832" s="25">
        <v>49.2</v>
      </c>
      <c r="H2832" s="379">
        <v>7.5190143399982103</v>
      </c>
      <c r="I2832" s="25">
        <v>68.05</v>
      </c>
      <c r="J2832" s="379">
        <v>2.3946636118919695</v>
      </c>
    </row>
    <row r="2833" spans="1:10" x14ac:dyDescent="0.35">
      <c r="A2833" s="5">
        <v>2829</v>
      </c>
      <c r="B2833" s="5">
        <v>118</v>
      </c>
      <c r="C2833" s="5">
        <v>4</v>
      </c>
      <c r="D2833" s="379">
        <v>57.220000000000006</v>
      </c>
      <c r="E2833" s="25">
        <v>27.3</v>
      </c>
      <c r="F2833" s="379">
        <v>8.4554144887908276</v>
      </c>
      <c r="G2833" s="25">
        <v>49.2</v>
      </c>
      <c r="H2833" s="379">
        <v>7.3781627597558996</v>
      </c>
      <c r="I2833" s="25">
        <v>68.05</v>
      </c>
      <c r="J2833" s="379">
        <v>4.8353139960745795</v>
      </c>
    </row>
    <row r="2834" spans="1:10" x14ac:dyDescent="0.35">
      <c r="A2834" s="5">
        <v>2830</v>
      </c>
      <c r="B2834" s="5">
        <v>118</v>
      </c>
      <c r="C2834" s="5">
        <v>4</v>
      </c>
      <c r="D2834" s="379">
        <v>53.151666666666664</v>
      </c>
      <c r="E2834" s="25">
        <v>25.74</v>
      </c>
      <c r="F2834" s="379">
        <v>8.5024099812092384</v>
      </c>
      <c r="G2834" s="25">
        <v>47.93</v>
      </c>
      <c r="H2834" s="379">
        <v>7.169629531341009</v>
      </c>
      <c r="I2834" s="25">
        <v>68.05</v>
      </c>
      <c r="J2834" s="379">
        <v>3.9484009825177999</v>
      </c>
    </row>
    <row r="2835" spans="1:10" x14ac:dyDescent="0.35">
      <c r="A2835" s="5">
        <v>2831</v>
      </c>
      <c r="B2835" s="5">
        <v>118</v>
      </c>
      <c r="C2835" s="5">
        <v>4</v>
      </c>
      <c r="D2835" s="379">
        <v>47.560555555555553</v>
      </c>
      <c r="E2835" s="25">
        <v>25.74</v>
      </c>
      <c r="F2835" s="379">
        <v>8.4683114205351497</v>
      </c>
      <c r="G2835" s="25">
        <v>47.85</v>
      </c>
      <c r="H2835" s="379">
        <v>7.1953188593525939</v>
      </c>
      <c r="I2835" s="25">
        <v>67.36</v>
      </c>
      <c r="J2835" s="379">
        <v>0.27777777777777779</v>
      </c>
    </row>
    <row r="2836" spans="1:10" x14ac:dyDescent="0.35">
      <c r="A2836" s="5">
        <v>2832</v>
      </c>
      <c r="B2836" s="5">
        <v>118</v>
      </c>
      <c r="C2836" s="5">
        <v>4</v>
      </c>
      <c r="D2836" s="379">
        <v>44.950555555555553</v>
      </c>
      <c r="E2836" s="25">
        <v>24.99</v>
      </c>
      <c r="F2836" s="379">
        <v>8.1174834595959613</v>
      </c>
      <c r="G2836" s="25">
        <v>46.08</v>
      </c>
      <c r="H2836" s="379">
        <v>7.169629531341009</v>
      </c>
      <c r="I2836" s="25">
        <v>64.14</v>
      </c>
      <c r="J2836" s="379">
        <v>4.0010547961755298</v>
      </c>
    </row>
    <row r="2837" spans="1:10" x14ac:dyDescent="0.35">
      <c r="A2837" s="5">
        <v>2833</v>
      </c>
      <c r="B2837" s="5">
        <v>119</v>
      </c>
      <c r="C2837" s="5">
        <v>4</v>
      </c>
      <c r="D2837" s="379">
        <v>44.086666666666673</v>
      </c>
      <c r="E2837" s="25">
        <v>24.84</v>
      </c>
      <c r="F2837" s="379">
        <v>8.1174834595959613</v>
      </c>
      <c r="G2837" s="25">
        <v>44.74</v>
      </c>
      <c r="H2837" s="379">
        <v>7.2470073536474233</v>
      </c>
      <c r="I2837" s="25">
        <v>57.84</v>
      </c>
      <c r="J2837" s="379">
        <v>2.0046636118919698</v>
      </c>
    </row>
    <row r="2838" spans="1:10" x14ac:dyDescent="0.35">
      <c r="A2838" s="5">
        <v>2834</v>
      </c>
      <c r="B2838" s="5">
        <v>119</v>
      </c>
      <c r="C2838" s="5">
        <v>4</v>
      </c>
      <c r="D2838" s="379">
        <v>43.955555555555556</v>
      </c>
      <c r="E2838" s="25">
        <v>24.84</v>
      </c>
      <c r="F2838" s="379">
        <v>8.1174834595959577</v>
      </c>
      <c r="G2838" s="25">
        <v>44.74</v>
      </c>
      <c r="H2838" s="379">
        <v>7.1993720881593912</v>
      </c>
      <c r="I2838" s="25">
        <v>57.84</v>
      </c>
      <c r="J2838" s="379">
        <v>4.7783755131603405</v>
      </c>
    </row>
    <row r="2839" spans="1:10" x14ac:dyDescent="0.35">
      <c r="A2839" s="5">
        <v>2835</v>
      </c>
      <c r="B2839" s="5">
        <v>119</v>
      </c>
      <c r="C2839" s="5">
        <v>4</v>
      </c>
      <c r="D2839" s="379">
        <v>43.973333333333336</v>
      </c>
      <c r="E2839" s="25">
        <v>24.84</v>
      </c>
      <c r="F2839" s="379">
        <v>7.84075267795839</v>
      </c>
      <c r="G2839" s="25">
        <v>44.74</v>
      </c>
      <c r="H2839" s="379">
        <v>6.7996015772096925</v>
      </c>
      <c r="I2839" s="25">
        <v>57.84</v>
      </c>
      <c r="J2839" s="379">
        <v>5.67801245487572</v>
      </c>
    </row>
    <row r="2840" spans="1:10" x14ac:dyDescent="0.35">
      <c r="A2840" s="5">
        <v>2836</v>
      </c>
      <c r="B2840" s="5">
        <v>119</v>
      </c>
      <c r="C2840" s="5">
        <v>4</v>
      </c>
      <c r="D2840" s="379">
        <v>44.502777777777773</v>
      </c>
      <c r="E2840" s="25">
        <v>24.84</v>
      </c>
      <c r="F2840" s="379">
        <v>4.9253646164095901</v>
      </c>
      <c r="G2840" s="25">
        <v>44.74</v>
      </c>
      <c r="H2840" s="379">
        <v>6.5813323180516949</v>
      </c>
      <c r="I2840" s="25">
        <v>57.84</v>
      </c>
      <c r="J2840" s="379">
        <v>4.7783755131603405</v>
      </c>
    </row>
    <row r="2841" spans="1:10" x14ac:dyDescent="0.35">
      <c r="A2841" s="5">
        <v>2837</v>
      </c>
      <c r="B2841" s="5">
        <v>119</v>
      </c>
      <c r="C2841" s="5">
        <v>4</v>
      </c>
      <c r="D2841" s="379">
        <v>45.707777777777778</v>
      </c>
      <c r="E2841" s="25">
        <v>24.99</v>
      </c>
      <c r="F2841" s="379">
        <v>5.0939800974949119</v>
      </c>
      <c r="G2841" s="25">
        <v>45.19</v>
      </c>
      <c r="H2841" s="379">
        <v>5.6677673520046703</v>
      </c>
      <c r="I2841" s="25">
        <v>62.27</v>
      </c>
      <c r="J2841" s="379">
        <v>2.0046636118919698</v>
      </c>
    </row>
    <row r="2842" spans="1:10" x14ac:dyDescent="0.35">
      <c r="A2842" s="5">
        <v>2838</v>
      </c>
      <c r="B2842" s="5">
        <v>119</v>
      </c>
      <c r="C2842" s="5">
        <v>4</v>
      </c>
      <c r="D2842" s="379">
        <v>54.887222222222221</v>
      </c>
      <c r="E2842" s="25">
        <v>25.74</v>
      </c>
      <c r="F2842" s="379">
        <v>4.7867942081188639</v>
      </c>
      <c r="G2842" s="25">
        <v>48.88</v>
      </c>
      <c r="H2842" s="379">
        <v>5.5427017101762273</v>
      </c>
      <c r="I2842" s="25">
        <v>68.05</v>
      </c>
      <c r="J2842" s="379">
        <v>1.4663685953504315</v>
      </c>
    </row>
    <row r="2843" spans="1:10" x14ac:dyDescent="0.35">
      <c r="A2843" s="5">
        <v>2839</v>
      </c>
      <c r="B2843" s="5">
        <v>119</v>
      </c>
      <c r="C2843" s="5">
        <v>4</v>
      </c>
      <c r="D2843" s="379">
        <v>61.61999999999999</v>
      </c>
      <c r="E2843" s="25">
        <v>27.3</v>
      </c>
      <c r="F2843" s="379">
        <v>3.5258630330582807</v>
      </c>
      <c r="G2843" s="25">
        <v>52.2</v>
      </c>
      <c r="H2843" s="379">
        <v>2.9726985495300746</v>
      </c>
      <c r="I2843" s="25">
        <v>68.05</v>
      </c>
      <c r="J2843" s="379">
        <v>0.21455620681632243</v>
      </c>
    </row>
    <row r="2844" spans="1:10" x14ac:dyDescent="0.35">
      <c r="A2844" s="5">
        <v>2840</v>
      </c>
      <c r="B2844" s="5">
        <v>119</v>
      </c>
      <c r="C2844" s="5">
        <v>4</v>
      </c>
      <c r="D2844" s="379">
        <v>62.56666666666667</v>
      </c>
      <c r="E2844" s="25">
        <v>27.3</v>
      </c>
      <c r="F2844" s="379">
        <v>5.8582325601245593</v>
      </c>
      <c r="G2844" s="25">
        <v>52.2</v>
      </c>
      <c r="H2844" s="379">
        <v>1.906589528194125</v>
      </c>
      <c r="I2844" s="25">
        <v>68.05</v>
      </c>
      <c r="J2844" s="379">
        <v>3.8908417149306698</v>
      </c>
    </row>
    <row r="2845" spans="1:10" x14ac:dyDescent="0.35">
      <c r="A2845" s="5">
        <v>2841</v>
      </c>
      <c r="B2845" s="5">
        <v>119</v>
      </c>
      <c r="C2845" s="5">
        <v>4</v>
      </c>
      <c r="D2845" s="379">
        <v>55.757222222222218</v>
      </c>
      <c r="E2845" s="25">
        <v>25.74</v>
      </c>
      <c r="F2845" s="379">
        <v>3.714477901822574</v>
      </c>
      <c r="G2845" s="25">
        <v>47.85</v>
      </c>
      <c r="H2845" s="379">
        <v>1.8457190916956596</v>
      </c>
      <c r="I2845" s="25">
        <v>66.06</v>
      </c>
      <c r="J2845" s="379">
        <v>1.3605549470073204</v>
      </c>
    </row>
    <row r="2846" spans="1:10" x14ac:dyDescent="0.35">
      <c r="A2846" s="5">
        <v>2842</v>
      </c>
      <c r="B2846" s="5">
        <v>119</v>
      </c>
      <c r="C2846" s="5">
        <v>4</v>
      </c>
      <c r="D2846" s="379">
        <v>50.540555555555557</v>
      </c>
      <c r="E2846" s="25">
        <v>25.74</v>
      </c>
      <c r="F2846" s="379">
        <v>3.2727733956087586</v>
      </c>
      <c r="G2846" s="25">
        <v>47.85</v>
      </c>
      <c r="H2846" s="379">
        <v>1.8457190916956596</v>
      </c>
      <c r="I2846" s="25">
        <v>61.35</v>
      </c>
      <c r="J2846" s="379">
        <v>2.777777777777778E-2</v>
      </c>
    </row>
    <row r="2847" spans="1:10" x14ac:dyDescent="0.35">
      <c r="A2847" s="5">
        <v>2843</v>
      </c>
      <c r="B2847" s="5">
        <v>119</v>
      </c>
      <c r="C2847" s="5">
        <v>4</v>
      </c>
      <c r="D2847" s="379">
        <v>47.844444444444449</v>
      </c>
      <c r="E2847" s="25">
        <v>25.59</v>
      </c>
      <c r="F2847" s="379">
        <v>3.1512364416311915</v>
      </c>
      <c r="G2847" s="25">
        <v>47.85</v>
      </c>
      <c r="H2847" s="379">
        <v>1.8457190916956596</v>
      </c>
      <c r="I2847" s="25">
        <v>57.26</v>
      </c>
      <c r="J2847" s="379">
        <v>2.777777777777778E-2</v>
      </c>
    </row>
    <row r="2848" spans="1:10" x14ac:dyDescent="0.35">
      <c r="A2848" s="5">
        <v>2844</v>
      </c>
      <c r="B2848" s="5">
        <v>119</v>
      </c>
      <c r="C2848" s="5">
        <v>4</v>
      </c>
      <c r="D2848" s="379">
        <v>45.712222222222231</v>
      </c>
      <c r="E2848" s="25">
        <v>24.99</v>
      </c>
      <c r="F2848" s="379">
        <v>3.1512364416311915</v>
      </c>
      <c r="G2848" s="25">
        <v>46.03</v>
      </c>
      <c r="H2848" s="379">
        <v>1.8457190916956596</v>
      </c>
      <c r="I2848" s="25">
        <v>53.71</v>
      </c>
      <c r="J2848" s="379">
        <v>2.777777777777778E-2</v>
      </c>
    </row>
    <row r="2849" spans="1:10" x14ac:dyDescent="0.35">
      <c r="A2849" s="5">
        <v>2845</v>
      </c>
      <c r="B2849" s="5">
        <v>119</v>
      </c>
      <c r="C2849" s="5">
        <v>4</v>
      </c>
      <c r="D2849" s="379">
        <v>43.971666666666664</v>
      </c>
      <c r="E2849" s="25">
        <v>24.99</v>
      </c>
      <c r="F2849" s="379">
        <v>3.1512364416311915</v>
      </c>
      <c r="G2849" s="25">
        <v>45.19</v>
      </c>
      <c r="H2849" s="379">
        <v>2.777777777777778E-2</v>
      </c>
      <c r="I2849" s="25">
        <v>52.15</v>
      </c>
      <c r="J2849" s="379">
        <v>2.777777777777778E-2</v>
      </c>
    </row>
    <row r="2850" spans="1:10" x14ac:dyDescent="0.35">
      <c r="A2850" s="5">
        <v>2846</v>
      </c>
      <c r="B2850" s="5">
        <v>119</v>
      </c>
      <c r="C2850" s="5">
        <v>4</v>
      </c>
      <c r="D2850" s="379">
        <v>43.564999999999998</v>
      </c>
      <c r="E2850" s="25">
        <v>24.84</v>
      </c>
      <c r="F2850" s="379">
        <v>3.1512364416311915</v>
      </c>
      <c r="G2850" s="25">
        <v>44.74</v>
      </c>
      <c r="H2850" s="379">
        <v>2.777777777777778E-2</v>
      </c>
      <c r="I2850" s="25">
        <v>51.72</v>
      </c>
      <c r="J2850" s="379">
        <v>2.777777777777778E-2</v>
      </c>
    </row>
    <row r="2851" spans="1:10" x14ac:dyDescent="0.35">
      <c r="A2851" s="5">
        <v>2847</v>
      </c>
      <c r="B2851" s="5">
        <v>119</v>
      </c>
      <c r="C2851" s="5">
        <v>4</v>
      </c>
      <c r="D2851" s="379">
        <v>43.656111111111102</v>
      </c>
      <c r="E2851" s="25">
        <v>24.84</v>
      </c>
      <c r="F2851" s="379">
        <v>2.5201122101411588</v>
      </c>
      <c r="G2851" s="25">
        <v>44.74</v>
      </c>
      <c r="H2851" s="379">
        <v>2.777777777777778E-2</v>
      </c>
      <c r="I2851" s="25">
        <v>52.55</v>
      </c>
      <c r="J2851" s="379">
        <v>2.777777777777778E-2</v>
      </c>
    </row>
    <row r="2852" spans="1:10" x14ac:dyDescent="0.35">
      <c r="A2852" s="5">
        <v>2848</v>
      </c>
      <c r="B2852" s="5">
        <v>119</v>
      </c>
      <c r="C2852" s="5">
        <v>4</v>
      </c>
      <c r="D2852" s="379">
        <v>46.461666666666666</v>
      </c>
      <c r="E2852" s="25">
        <v>24.84</v>
      </c>
      <c r="F2852" s="379">
        <v>2.9576490768121375</v>
      </c>
      <c r="G2852" s="25">
        <v>44.74</v>
      </c>
      <c r="H2852" s="379">
        <v>2.777777777777778E-2</v>
      </c>
      <c r="I2852" s="25">
        <v>53.71</v>
      </c>
      <c r="J2852" s="379">
        <v>2.777777777777778E-2</v>
      </c>
    </row>
    <row r="2853" spans="1:10" x14ac:dyDescent="0.35">
      <c r="A2853" s="5">
        <v>2849</v>
      </c>
      <c r="B2853" s="5">
        <v>119</v>
      </c>
      <c r="C2853" s="5">
        <v>4</v>
      </c>
      <c r="D2853" s="379">
        <v>52.463888888888881</v>
      </c>
      <c r="E2853" s="25">
        <v>24.99</v>
      </c>
      <c r="F2853" s="379">
        <v>3.2727733956087586</v>
      </c>
      <c r="G2853" s="25">
        <v>44.74</v>
      </c>
      <c r="H2853" s="379">
        <v>2.777777777777778E-2</v>
      </c>
      <c r="I2853" s="25">
        <v>53.71</v>
      </c>
      <c r="J2853" s="379">
        <v>2.777777777777778E-2</v>
      </c>
    </row>
    <row r="2854" spans="1:10" x14ac:dyDescent="0.35">
      <c r="A2854" s="5">
        <v>2850</v>
      </c>
      <c r="B2854" s="5">
        <v>119</v>
      </c>
      <c r="C2854" s="5">
        <v>4</v>
      </c>
      <c r="D2854" s="379">
        <v>57.396111111111104</v>
      </c>
      <c r="E2854" s="25">
        <v>24.99</v>
      </c>
      <c r="F2854" s="379">
        <v>5.3386907312186072</v>
      </c>
      <c r="G2854" s="25">
        <v>44.74</v>
      </c>
      <c r="H2854" s="379">
        <v>3.4250573348891673</v>
      </c>
      <c r="I2854" s="25">
        <v>57.26</v>
      </c>
      <c r="J2854" s="379">
        <v>1.3538307774663652</v>
      </c>
    </row>
    <row r="2855" spans="1:10" x14ac:dyDescent="0.35">
      <c r="A2855" s="5">
        <v>2851</v>
      </c>
      <c r="B2855" s="5">
        <v>119</v>
      </c>
      <c r="C2855" s="5">
        <v>4</v>
      </c>
      <c r="D2855" s="379">
        <v>59.035555555555561</v>
      </c>
      <c r="E2855" s="25">
        <v>25.74</v>
      </c>
      <c r="F2855" s="379">
        <v>6.174391150720151</v>
      </c>
      <c r="G2855" s="25">
        <v>45.19</v>
      </c>
      <c r="H2855" s="379">
        <v>5.1078253755483027</v>
      </c>
      <c r="I2855" s="25">
        <v>61.35</v>
      </c>
      <c r="J2855" s="379">
        <v>4.526269028366074</v>
      </c>
    </row>
    <row r="2856" spans="1:10" x14ac:dyDescent="0.35">
      <c r="A2856" s="5">
        <v>2852</v>
      </c>
      <c r="B2856" s="5">
        <v>119</v>
      </c>
      <c r="C2856" s="5">
        <v>4</v>
      </c>
      <c r="D2856" s="379">
        <v>59.174444444444433</v>
      </c>
      <c r="E2856" s="25">
        <v>25.74</v>
      </c>
      <c r="F2856" s="379">
        <v>5.6198955646318103</v>
      </c>
      <c r="G2856" s="25">
        <v>45.19</v>
      </c>
      <c r="H2856" s="379">
        <v>5.8308942110777569</v>
      </c>
      <c r="I2856" s="25">
        <v>62.27</v>
      </c>
      <c r="J2856" s="379">
        <v>4.7814258853466445</v>
      </c>
    </row>
    <row r="2857" spans="1:10" x14ac:dyDescent="0.35">
      <c r="A2857" s="5">
        <v>2853</v>
      </c>
      <c r="B2857" s="5">
        <v>119</v>
      </c>
      <c r="C2857" s="5">
        <v>4</v>
      </c>
      <c r="D2857" s="379">
        <v>63.690000000000005</v>
      </c>
      <c r="E2857" s="25">
        <v>25.74</v>
      </c>
      <c r="F2857" s="379">
        <v>7.2978970619519661</v>
      </c>
      <c r="G2857" s="25">
        <v>47.85</v>
      </c>
      <c r="H2857" s="379">
        <v>6.7550592345586429</v>
      </c>
      <c r="I2857" s="25">
        <v>63.19</v>
      </c>
      <c r="J2857" s="379">
        <v>3.9031847506578603</v>
      </c>
    </row>
    <row r="2858" spans="1:10" x14ac:dyDescent="0.35">
      <c r="A2858" s="5">
        <v>2854</v>
      </c>
      <c r="B2858" s="5">
        <v>119</v>
      </c>
      <c r="C2858" s="5">
        <v>4</v>
      </c>
      <c r="D2858" s="379">
        <v>60.763333333333328</v>
      </c>
      <c r="E2858" s="25">
        <v>25.74</v>
      </c>
      <c r="F2858" s="379">
        <v>7.4342659614457922</v>
      </c>
      <c r="G2858" s="25">
        <v>47.46</v>
      </c>
      <c r="H2858" s="379">
        <v>6.7467087623644773</v>
      </c>
      <c r="I2858" s="25">
        <v>63.19</v>
      </c>
      <c r="J2858" s="379">
        <v>4.6248645124378127</v>
      </c>
    </row>
    <row r="2859" spans="1:10" x14ac:dyDescent="0.35">
      <c r="A2859" s="5">
        <v>2855</v>
      </c>
      <c r="B2859" s="5">
        <v>119</v>
      </c>
      <c r="C2859" s="5">
        <v>4</v>
      </c>
      <c r="D2859" s="379">
        <v>56.173888888888889</v>
      </c>
      <c r="E2859" s="25">
        <v>24.99</v>
      </c>
      <c r="F2859" s="379">
        <v>7.780915102246043</v>
      </c>
      <c r="G2859" s="25">
        <v>47.41</v>
      </c>
      <c r="H2859" s="379">
        <v>6.7092242028555562</v>
      </c>
      <c r="I2859" s="25">
        <v>62.27</v>
      </c>
      <c r="J2859" s="379">
        <v>4.3967729434086644</v>
      </c>
    </row>
    <row r="2860" spans="1:10" x14ac:dyDescent="0.35">
      <c r="A2860" s="5">
        <v>2856</v>
      </c>
      <c r="B2860" s="5">
        <v>119</v>
      </c>
      <c r="C2860" s="5">
        <v>4</v>
      </c>
      <c r="D2860" s="379">
        <v>53.224444444444444</v>
      </c>
      <c r="E2860" s="25">
        <v>24.99</v>
      </c>
      <c r="F2860" s="379">
        <v>6.8860390796675564</v>
      </c>
      <c r="G2860" s="25">
        <v>44.74</v>
      </c>
      <c r="H2860" s="379">
        <v>6.9142237610376061</v>
      </c>
      <c r="I2860" s="25">
        <v>61.35</v>
      </c>
      <c r="J2860" s="379">
        <v>4.6131582667562565</v>
      </c>
    </row>
    <row r="2861" spans="1:10" x14ac:dyDescent="0.35">
      <c r="A2861" s="5">
        <v>2857</v>
      </c>
      <c r="B2861" s="5">
        <v>120</v>
      </c>
      <c r="C2861" s="5">
        <v>4</v>
      </c>
      <c r="D2861" s="379">
        <v>50.013333333333335</v>
      </c>
      <c r="E2861" s="25">
        <v>24.84</v>
      </c>
      <c r="F2861" s="379">
        <v>7.063516465711154</v>
      </c>
      <c r="G2861" s="25">
        <v>44.29</v>
      </c>
      <c r="H2861" s="379">
        <v>6.9223539700600556</v>
      </c>
      <c r="I2861" s="25">
        <v>53.71</v>
      </c>
      <c r="J2861" s="379">
        <v>4.4786628907653405</v>
      </c>
    </row>
    <row r="2862" spans="1:10" x14ac:dyDescent="0.35">
      <c r="A2862" s="5">
        <v>2858</v>
      </c>
      <c r="B2862" s="5">
        <v>120</v>
      </c>
      <c r="C2862" s="5">
        <v>4</v>
      </c>
      <c r="D2862" s="379">
        <v>49.772222222222226</v>
      </c>
      <c r="E2862" s="25">
        <v>24.84</v>
      </c>
      <c r="F2862" s="379">
        <v>6.9352600972508904</v>
      </c>
      <c r="G2862" s="25">
        <v>43.56</v>
      </c>
      <c r="H2862" s="379">
        <v>6.847523623723613</v>
      </c>
      <c r="I2862" s="25">
        <v>53.71</v>
      </c>
      <c r="J2862" s="379">
        <v>3.3378786109048235</v>
      </c>
    </row>
    <row r="2863" spans="1:10" x14ac:dyDescent="0.35">
      <c r="A2863" s="5">
        <v>2859</v>
      </c>
      <c r="B2863" s="5">
        <v>120</v>
      </c>
      <c r="C2863" s="5">
        <v>4</v>
      </c>
      <c r="D2863" s="379">
        <v>48.909444444444446</v>
      </c>
      <c r="E2863" s="25">
        <v>24.84</v>
      </c>
      <c r="F2863" s="379">
        <v>6.8735997596389549</v>
      </c>
      <c r="G2863" s="25">
        <v>43.56</v>
      </c>
      <c r="H2863" s="379">
        <v>6.7745957776220536</v>
      </c>
      <c r="I2863" s="25">
        <v>53.71</v>
      </c>
      <c r="J2863" s="379">
        <v>4.4234846429162058</v>
      </c>
    </row>
    <row r="2864" spans="1:10" x14ac:dyDescent="0.35">
      <c r="A2864" s="5">
        <v>2860</v>
      </c>
      <c r="B2864" s="5">
        <v>120</v>
      </c>
      <c r="C2864" s="5">
        <v>4</v>
      </c>
      <c r="D2864" s="379">
        <v>49.706666666666671</v>
      </c>
      <c r="E2864" s="25">
        <v>24.84</v>
      </c>
      <c r="F2864" s="379">
        <v>6.9264479360976878</v>
      </c>
      <c r="G2864" s="25">
        <v>44.69</v>
      </c>
      <c r="H2864" s="379">
        <v>6.7609630074558629</v>
      </c>
      <c r="I2864" s="25">
        <v>53.71</v>
      </c>
      <c r="J2864" s="379">
        <v>4.8902454525707553</v>
      </c>
    </row>
    <row r="2865" spans="1:10" x14ac:dyDescent="0.35">
      <c r="A2865" s="5">
        <v>2861</v>
      </c>
      <c r="B2865" s="5">
        <v>120</v>
      </c>
      <c r="C2865" s="5">
        <v>4</v>
      </c>
      <c r="D2865" s="379">
        <v>49.992777777777782</v>
      </c>
      <c r="E2865" s="25">
        <v>24.99</v>
      </c>
      <c r="F2865" s="379">
        <v>7.2465678405294938</v>
      </c>
      <c r="G2865" s="25">
        <v>47.46</v>
      </c>
      <c r="H2865" s="379">
        <v>6.879381600570416</v>
      </c>
      <c r="I2865" s="25">
        <v>62.27</v>
      </c>
      <c r="J2865" s="379">
        <v>3.9815309451189003</v>
      </c>
    </row>
    <row r="2866" spans="1:10" x14ac:dyDescent="0.35">
      <c r="A2866" s="5">
        <v>2862</v>
      </c>
      <c r="B2866" s="5">
        <v>120</v>
      </c>
      <c r="C2866" s="5">
        <v>4</v>
      </c>
      <c r="D2866" s="379">
        <v>51.614999999999995</v>
      </c>
      <c r="E2866" s="25">
        <v>25.59</v>
      </c>
      <c r="F2866" s="379">
        <v>7.1494649485854245</v>
      </c>
      <c r="G2866" s="25">
        <v>49.2</v>
      </c>
      <c r="H2866" s="379">
        <v>6.1588091772777993</v>
      </c>
      <c r="I2866" s="25">
        <v>66.06</v>
      </c>
      <c r="J2866" s="379">
        <v>2.4440819508111846</v>
      </c>
    </row>
    <row r="2867" spans="1:10" x14ac:dyDescent="0.35">
      <c r="A2867" s="5">
        <v>2863</v>
      </c>
      <c r="B2867" s="5">
        <v>120</v>
      </c>
      <c r="C2867" s="5">
        <v>4</v>
      </c>
      <c r="D2867" s="379">
        <v>53.847777777777779</v>
      </c>
      <c r="E2867" s="25">
        <v>26.51</v>
      </c>
      <c r="F2867" s="379">
        <v>7.0027949835143124</v>
      </c>
      <c r="G2867" s="25">
        <v>49.2</v>
      </c>
      <c r="H2867" s="379">
        <v>6.0069081692290887</v>
      </c>
      <c r="I2867" s="25">
        <v>68.05</v>
      </c>
      <c r="J2867" s="379">
        <v>3.795475711825238</v>
      </c>
    </row>
    <row r="2868" spans="1:10" x14ac:dyDescent="0.35">
      <c r="A2868" s="5">
        <v>2864</v>
      </c>
      <c r="B2868" s="5">
        <v>120</v>
      </c>
      <c r="C2868" s="5">
        <v>4</v>
      </c>
      <c r="D2868" s="379">
        <v>54.227222222222217</v>
      </c>
      <c r="E2868" s="25">
        <v>26.51</v>
      </c>
      <c r="F2868" s="379">
        <v>7.5902821781578647</v>
      </c>
      <c r="G2868" s="25">
        <v>49.2</v>
      </c>
      <c r="H2868" s="379">
        <v>6.7629875874131615</v>
      </c>
      <c r="I2868" s="25">
        <v>68.05</v>
      </c>
      <c r="J2868" s="379">
        <v>4.626519972910109</v>
      </c>
    </row>
    <row r="2869" spans="1:10" x14ac:dyDescent="0.35">
      <c r="A2869" s="5">
        <v>2865</v>
      </c>
      <c r="B2869" s="5">
        <v>120</v>
      </c>
      <c r="C2869" s="5">
        <v>4</v>
      </c>
      <c r="D2869" s="379">
        <v>52.778333333333336</v>
      </c>
      <c r="E2869" s="25">
        <v>26.51</v>
      </c>
      <c r="F2869" s="379">
        <v>5.327272076940937</v>
      </c>
      <c r="G2869" s="25">
        <v>49.2</v>
      </c>
      <c r="H2869" s="379">
        <v>0.26486545467759365</v>
      </c>
      <c r="I2869" s="25">
        <v>63.19</v>
      </c>
      <c r="J2869" s="379">
        <v>1.493740345090298</v>
      </c>
    </row>
    <row r="2870" spans="1:10" x14ac:dyDescent="0.35">
      <c r="A2870" s="5">
        <v>2866</v>
      </c>
      <c r="B2870" s="5">
        <v>120</v>
      </c>
      <c r="C2870" s="5">
        <v>4</v>
      </c>
      <c r="D2870" s="379">
        <v>50.618333333333325</v>
      </c>
      <c r="E2870" s="25">
        <v>25.59</v>
      </c>
      <c r="F2870" s="379">
        <v>4.3785055219006663</v>
      </c>
      <c r="G2870" s="25">
        <v>47.67</v>
      </c>
      <c r="H2870" s="379">
        <v>2.4821128862557349</v>
      </c>
      <c r="I2870" s="25">
        <v>60.46</v>
      </c>
      <c r="J2870" s="379">
        <v>2.777777777777778E-2</v>
      </c>
    </row>
    <row r="2871" spans="1:10" x14ac:dyDescent="0.35">
      <c r="A2871" s="5">
        <v>2867</v>
      </c>
      <c r="B2871" s="5">
        <v>120</v>
      </c>
      <c r="C2871" s="5">
        <v>4</v>
      </c>
      <c r="D2871" s="379">
        <v>48.87777777777778</v>
      </c>
      <c r="E2871" s="25">
        <v>24.99</v>
      </c>
      <c r="F2871" s="379">
        <v>3.6951136339211916</v>
      </c>
      <c r="G2871" s="25">
        <v>47.46</v>
      </c>
      <c r="H2871" s="379">
        <v>1.9875979619933799</v>
      </c>
      <c r="I2871" s="25">
        <v>53.17</v>
      </c>
      <c r="J2871" s="379">
        <v>2.777777777777778E-2</v>
      </c>
    </row>
    <row r="2872" spans="1:10" x14ac:dyDescent="0.35">
      <c r="A2872" s="5">
        <v>2868</v>
      </c>
      <c r="B2872" s="5">
        <v>120</v>
      </c>
      <c r="C2872" s="5">
        <v>4</v>
      </c>
      <c r="D2872" s="379">
        <v>47.221111111111107</v>
      </c>
      <c r="E2872" s="25">
        <v>24.99</v>
      </c>
      <c r="F2872" s="379">
        <v>3.6951136339211916</v>
      </c>
      <c r="G2872" s="25">
        <v>46.03</v>
      </c>
      <c r="H2872" s="379">
        <v>1.9875979619933799</v>
      </c>
      <c r="I2872" s="25">
        <v>51.76</v>
      </c>
      <c r="J2872" s="379">
        <v>2.777777777777778E-2</v>
      </c>
    </row>
    <row r="2873" spans="1:10" x14ac:dyDescent="0.35">
      <c r="A2873" s="5">
        <v>2869</v>
      </c>
      <c r="B2873" s="5">
        <v>120</v>
      </c>
      <c r="C2873" s="5">
        <v>4</v>
      </c>
      <c r="D2873" s="379">
        <v>45.42722222222222</v>
      </c>
      <c r="E2873" s="25">
        <v>24.99</v>
      </c>
      <c r="F2873" s="379">
        <v>3.714477901822574</v>
      </c>
      <c r="G2873" s="25">
        <v>44.74</v>
      </c>
      <c r="H2873" s="379">
        <v>1.9875979619933799</v>
      </c>
      <c r="I2873" s="25">
        <v>50.28</v>
      </c>
      <c r="J2873" s="379">
        <v>2.777777777777778E-2</v>
      </c>
    </row>
    <row r="2874" spans="1:10" x14ac:dyDescent="0.35">
      <c r="A2874" s="5">
        <v>2870</v>
      </c>
      <c r="B2874" s="5">
        <v>120</v>
      </c>
      <c r="C2874" s="5">
        <v>4</v>
      </c>
      <c r="D2874" s="379">
        <v>44.035000000000004</v>
      </c>
      <c r="E2874" s="25">
        <v>24.84</v>
      </c>
      <c r="F2874" s="379">
        <v>3.6951136339211916</v>
      </c>
      <c r="G2874" s="25">
        <v>44.74</v>
      </c>
      <c r="H2874" s="379">
        <v>1.9875979619933799</v>
      </c>
      <c r="I2874" s="25">
        <v>50.19</v>
      </c>
      <c r="J2874" s="379">
        <v>2.777777777777778E-2</v>
      </c>
    </row>
    <row r="2875" spans="1:10" x14ac:dyDescent="0.35">
      <c r="A2875" s="5">
        <v>2871</v>
      </c>
      <c r="B2875" s="5">
        <v>120</v>
      </c>
      <c r="C2875" s="5">
        <v>4</v>
      </c>
      <c r="D2875" s="379">
        <v>44.099999999999994</v>
      </c>
      <c r="E2875" s="25">
        <v>24.84</v>
      </c>
      <c r="F2875" s="379">
        <v>3.6222246302808818</v>
      </c>
      <c r="G2875" s="25">
        <v>44.29</v>
      </c>
      <c r="H2875" s="379">
        <v>1.9875979619933799</v>
      </c>
      <c r="I2875" s="25">
        <v>50.19</v>
      </c>
      <c r="J2875" s="379">
        <v>2.777777777777778E-2</v>
      </c>
    </row>
    <row r="2876" spans="1:10" x14ac:dyDescent="0.35">
      <c r="A2876" s="5">
        <v>2872</v>
      </c>
      <c r="B2876" s="5">
        <v>120</v>
      </c>
      <c r="C2876" s="5">
        <v>4</v>
      </c>
      <c r="D2876" s="379">
        <v>46.698333333333331</v>
      </c>
      <c r="E2876" s="25">
        <v>24.84</v>
      </c>
      <c r="F2876" s="379">
        <v>3.6041570344296066</v>
      </c>
      <c r="G2876" s="25">
        <v>44.69</v>
      </c>
      <c r="H2876" s="379">
        <v>2.4821128862557349</v>
      </c>
      <c r="I2876" s="25">
        <v>50.19</v>
      </c>
      <c r="J2876" s="379">
        <v>2.777777777777778E-2</v>
      </c>
    </row>
    <row r="2877" spans="1:10" x14ac:dyDescent="0.35">
      <c r="A2877" s="5">
        <v>2873</v>
      </c>
      <c r="B2877" s="5">
        <v>120</v>
      </c>
      <c r="C2877" s="5">
        <v>4</v>
      </c>
      <c r="D2877" s="379">
        <v>51.81722222222222</v>
      </c>
      <c r="E2877" s="25">
        <v>24.84</v>
      </c>
      <c r="F2877" s="379">
        <v>0.47222222222222221</v>
      </c>
      <c r="G2877" s="25">
        <v>44.69</v>
      </c>
      <c r="H2877" s="379">
        <v>2.4821128862557349</v>
      </c>
      <c r="I2877" s="25">
        <v>52.15</v>
      </c>
      <c r="J2877" s="379">
        <v>0.95729907908326684</v>
      </c>
    </row>
    <row r="2878" spans="1:10" x14ac:dyDescent="0.35">
      <c r="A2878" s="5">
        <v>2874</v>
      </c>
      <c r="B2878" s="5">
        <v>120</v>
      </c>
      <c r="C2878" s="5">
        <v>4</v>
      </c>
      <c r="D2878" s="379">
        <v>57.042222222222222</v>
      </c>
      <c r="E2878" s="25">
        <v>24.99</v>
      </c>
      <c r="F2878" s="379">
        <v>8.1174834595959613</v>
      </c>
      <c r="G2878" s="25">
        <v>44.74</v>
      </c>
      <c r="H2878" s="379">
        <v>5.1233764311080572</v>
      </c>
      <c r="I2878" s="25">
        <v>53.17</v>
      </c>
      <c r="J2878" s="379">
        <v>3.4079253828583744</v>
      </c>
    </row>
    <row r="2879" spans="1:10" x14ac:dyDescent="0.35">
      <c r="A2879" s="5">
        <v>2875</v>
      </c>
      <c r="B2879" s="5">
        <v>120</v>
      </c>
      <c r="C2879" s="5">
        <v>4</v>
      </c>
      <c r="D2879" s="379">
        <v>60.155555555555551</v>
      </c>
      <c r="E2879" s="25">
        <v>25.74</v>
      </c>
      <c r="F2879" s="379">
        <v>10.589356479974093</v>
      </c>
      <c r="G2879" s="25">
        <v>44.74</v>
      </c>
      <c r="H2879" s="379">
        <v>9.0116760617238665</v>
      </c>
      <c r="I2879" s="25">
        <v>53.71</v>
      </c>
      <c r="J2879" s="379">
        <v>6.3310626663549021</v>
      </c>
    </row>
    <row r="2880" spans="1:10" x14ac:dyDescent="0.35">
      <c r="A2880" s="5">
        <v>2876</v>
      </c>
      <c r="B2880" s="5">
        <v>120</v>
      </c>
      <c r="C2880" s="5">
        <v>4</v>
      </c>
      <c r="D2880" s="379">
        <v>60.781111111111102</v>
      </c>
      <c r="E2880" s="25">
        <v>25.74</v>
      </c>
      <c r="F2880" s="379">
        <v>11.976442743790233</v>
      </c>
      <c r="G2880" s="25">
        <v>47.85</v>
      </c>
      <c r="H2880" s="379">
        <v>8.0360946700939575</v>
      </c>
      <c r="I2880" s="25">
        <v>61.35</v>
      </c>
      <c r="J2880" s="379">
        <v>6.8890684165717104</v>
      </c>
    </row>
    <row r="2881" spans="1:10" x14ac:dyDescent="0.35">
      <c r="A2881" s="5">
        <v>2877</v>
      </c>
      <c r="B2881" s="5">
        <v>120</v>
      </c>
      <c r="C2881" s="5">
        <v>4</v>
      </c>
      <c r="D2881" s="379">
        <v>58.883888888888897</v>
      </c>
      <c r="E2881" s="25">
        <v>26.51</v>
      </c>
      <c r="F2881" s="379">
        <v>10.027861156968827</v>
      </c>
      <c r="G2881" s="25">
        <v>47.85</v>
      </c>
      <c r="H2881" s="379">
        <v>9.6926731988376247</v>
      </c>
      <c r="I2881" s="25">
        <v>65.09</v>
      </c>
      <c r="J2881" s="379">
        <v>6.8074157012505623</v>
      </c>
    </row>
    <row r="2882" spans="1:10" x14ac:dyDescent="0.35">
      <c r="A2882" s="5">
        <v>2878</v>
      </c>
      <c r="B2882" s="5">
        <v>120</v>
      </c>
      <c r="C2882" s="5">
        <v>4</v>
      </c>
      <c r="D2882" s="379">
        <v>54.786666666666662</v>
      </c>
      <c r="E2882" s="25">
        <v>27.3</v>
      </c>
      <c r="F2882" s="379">
        <v>10.460899566787903</v>
      </c>
      <c r="G2882" s="25">
        <v>49.2</v>
      </c>
      <c r="H2882" s="379">
        <v>9.4700594458073031</v>
      </c>
      <c r="I2882" s="25">
        <v>67.040000000000006</v>
      </c>
      <c r="J2882" s="379">
        <v>6.4315336666658149</v>
      </c>
    </row>
    <row r="2883" spans="1:10" x14ac:dyDescent="0.35">
      <c r="A2883" s="5">
        <v>2879</v>
      </c>
      <c r="B2883" s="5">
        <v>120</v>
      </c>
      <c r="C2883" s="5">
        <v>4</v>
      </c>
      <c r="D2883" s="379">
        <v>51.571111111111108</v>
      </c>
      <c r="E2883" s="25">
        <v>25.74</v>
      </c>
      <c r="F2883" s="379">
        <v>10.47227366431286</v>
      </c>
      <c r="G2883" s="25">
        <v>47.85</v>
      </c>
      <c r="H2883" s="379">
        <v>9.7620777628437079</v>
      </c>
      <c r="I2883" s="25">
        <v>67.040000000000006</v>
      </c>
      <c r="J2883" s="379">
        <v>7.1069509506692823</v>
      </c>
    </row>
    <row r="2884" spans="1:10" x14ac:dyDescent="0.35">
      <c r="A2884" s="5">
        <v>2880</v>
      </c>
      <c r="B2884" s="5">
        <v>120</v>
      </c>
      <c r="C2884" s="5">
        <v>4</v>
      </c>
      <c r="D2884" s="379">
        <v>48.727222222222224</v>
      </c>
      <c r="E2884" s="25">
        <v>24.99</v>
      </c>
      <c r="F2884" s="379">
        <v>10.070932473996731</v>
      </c>
      <c r="G2884" s="25">
        <v>47.85</v>
      </c>
      <c r="H2884" s="379">
        <v>9.623848442414582</v>
      </c>
      <c r="I2884" s="25">
        <v>64.61</v>
      </c>
      <c r="J2884" s="379">
        <v>6.6570898381348513</v>
      </c>
    </row>
    <row r="2885" spans="1:10" x14ac:dyDescent="0.35">
      <c r="A2885" s="5">
        <v>2881</v>
      </c>
      <c r="B2885" s="5">
        <v>121</v>
      </c>
      <c r="C2885" s="5">
        <v>5</v>
      </c>
      <c r="D2885" s="379">
        <v>47.143888888888888</v>
      </c>
      <c r="E2885" s="25">
        <v>24.84</v>
      </c>
      <c r="F2885" s="379">
        <v>8.3309183429698823</v>
      </c>
      <c r="G2885" s="25">
        <v>44.86</v>
      </c>
      <c r="H2885" s="379">
        <v>9.1347253077625687</v>
      </c>
      <c r="I2885" s="25">
        <v>60.46</v>
      </c>
      <c r="J2885" s="379">
        <v>6.1826186174062796</v>
      </c>
    </row>
    <row r="2886" spans="1:10" x14ac:dyDescent="0.35">
      <c r="A2886" s="5">
        <v>2882</v>
      </c>
      <c r="B2886" s="5">
        <v>121</v>
      </c>
      <c r="C2886" s="5">
        <v>5</v>
      </c>
      <c r="D2886" s="379">
        <v>46.029444444444444</v>
      </c>
      <c r="E2886" s="25">
        <v>24.84</v>
      </c>
      <c r="F2886" s="379">
        <v>8.3246673434605167</v>
      </c>
      <c r="G2886" s="25">
        <v>43.99</v>
      </c>
      <c r="H2886" s="379">
        <v>8.1406121943352829</v>
      </c>
      <c r="I2886" s="25">
        <v>53.71</v>
      </c>
      <c r="J2886" s="379">
        <v>6.4948257952279711</v>
      </c>
    </row>
    <row r="2887" spans="1:10" x14ac:dyDescent="0.35">
      <c r="A2887" s="5">
        <v>2883</v>
      </c>
      <c r="B2887" s="5">
        <v>121</v>
      </c>
      <c r="C2887" s="5">
        <v>5</v>
      </c>
      <c r="D2887" s="379">
        <v>45.473888888888887</v>
      </c>
      <c r="E2887" s="25">
        <v>24.84</v>
      </c>
      <c r="F2887" s="379">
        <v>8.4778068337520534</v>
      </c>
      <c r="G2887" s="25">
        <v>43.56</v>
      </c>
      <c r="H2887" s="379">
        <v>8.994523157737893</v>
      </c>
      <c r="I2887" s="25">
        <v>53.71</v>
      </c>
      <c r="J2887" s="379">
        <v>6.889928754576359</v>
      </c>
    </row>
    <row r="2888" spans="1:10" x14ac:dyDescent="0.35">
      <c r="A2888" s="5">
        <v>2884</v>
      </c>
      <c r="B2888" s="5">
        <v>121</v>
      </c>
      <c r="C2888" s="5">
        <v>5</v>
      </c>
      <c r="D2888" s="379">
        <v>45.791111111111114</v>
      </c>
      <c r="E2888" s="25">
        <v>24.84</v>
      </c>
      <c r="F2888" s="379">
        <v>8.5315636157315566</v>
      </c>
      <c r="G2888" s="25">
        <v>43.56</v>
      </c>
      <c r="H2888" s="379">
        <v>9.7478824847317966</v>
      </c>
      <c r="I2888" s="25">
        <v>53.71</v>
      </c>
      <c r="J2888" s="379">
        <v>7.0755807452727408</v>
      </c>
    </row>
    <row r="2889" spans="1:10" x14ac:dyDescent="0.35">
      <c r="A2889" s="5">
        <v>2885</v>
      </c>
      <c r="B2889" s="5">
        <v>121</v>
      </c>
      <c r="C2889" s="5">
        <v>5</v>
      </c>
      <c r="D2889" s="379">
        <v>45.87</v>
      </c>
      <c r="E2889" s="25">
        <v>24.84</v>
      </c>
      <c r="F2889" s="379">
        <v>9.1956741064130867</v>
      </c>
      <c r="G2889" s="25">
        <v>43.56</v>
      </c>
      <c r="H2889" s="379">
        <v>8.665829722468688</v>
      </c>
      <c r="I2889" s="25">
        <v>53.71</v>
      </c>
      <c r="J2889" s="379">
        <v>5.9659685476905908</v>
      </c>
    </row>
    <row r="2890" spans="1:10" x14ac:dyDescent="0.35">
      <c r="A2890" s="5">
        <v>2886</v>
      </c>
      <c r="B2890" s="5">
        <v>121</v>
      </c>
      <c r="C2890" s="5">
        <v>5</v>
      </c>
      <c r="D2890" s="379">
        <v>45.210000000000008</v>
      </c>
      <c r="E2890" s="25">
        <v>24.84</v>
      </c>
      <c r="F2890" s="379">
        <v>10.35387341753886</v>
      </c>
      <c r="G2890" s="25">
        <v>43.56</v>
      </c>
      <c r="H2890" s="379">
        <v>8.9645999448281657</v>
      </c>
      <c r="I2890" s="25">
        <v>53.71</v>
      </c>
      <c r="J2890" s="379">
        <v>6.239559340056128</v>
      </c>
    </row>
    <row r="2891" spans="1:10" x14ac:dyDescent="0.35">
      <c r="A2891" s="5">
        <v>2887</v>
      </c>
      <c r="B2891" s="5">
        <v>121</v>
      </c>
      <c r="C2891" s="5">
        <v>5</v>
      </c>
      <c r="D2891" s="379">
        <v>44.56722222222222</v>
      </c>
      <c r="E2891" s="25">
        <v>24.99</v>
      </c>
      <c r="F2891" s="379">
        <v>9.9847656654585286</v>
      </c>
      <c r="G2891" s="25">
        <v>43.56</v>
      </c>
      <c r="H2891" s="379">
        <v>8.0149448444511115</v>
      </c>
      <c r="I2891" s="25">
        <v>53.71</v>
      </c>
      <c r="J2891" s="379">
        <v>5.9795942968668498</v>
      </c>
    </row>
    <row r="2892" spans="1:10" x14ac:dyDescent="0.35">
      <c r="A2892" s="5">
        <v>2888</v>
      </c>
      <c r="B2892" s="5">
        <v>121</v>
      </c>
      <c r="C2892" s="5">
        <v>5</v>
      </c>
      <c r="D2892" s="379">
        <v>45.607222222222227</v>
      </c>
      <c r="E2892" s="25">
        <v>25.29</v>
      </c>
      <c r="F2892" s="379">
        <v>8.9144403058227795</v>
      </c>
      <c r="G2892" s="25">
        <v>47.85</v>
      </c>
      <c r="H2892" s="379">
        <v>8.1415304646385689</v>
      </c>
      <c r="I2892" s="25">
        <v>61.35</v>
      </c>
      <c r="J2892" s="379">
        <v>6.5504899354771231</v>
      </c>
    </row>
    <row r="2893" spans="1:10" x14ac:dyDescent="0.35">
      <c r="A2893" s="5">
        <v>2889</v>
      </c>
      <c r="B2893" s="5">
        <v>121</v>
      </c>
      <c r="C2893" s="5">
        <v>5</v>
      </c>
      <c r="D2893" s="379">
        <v>45.143888888888881</v>
      </c>
      <c r="E2893" s="25">
        <v>25.29</v>
      </c>
      <c r="F2893" s="379">
        <v>8.1174834595959595</v>
      </c>
      <c r="G2893" s="25">
        <v>47.85</v>
      </c>
      <c r="H2893" s="379">
        <v>6.5551747045908959</v>
      </c>
      <c r="I2893" s="25">
        <v>53.71</v>
      </c>
      <c r="J2893" s="379">
        <v>0.27777777777777779</v>
      </c>
    </row>
    <row r="2894" spans="1:10" x14ac:dyDescent="0.35">
      <c r="A2894" s="5">
        <v>2890</v>
      </c>
      <c r="B2894" s="5">
        <v>121</v>
      </c>
      <c r="C2894" s="5">
        <v>5</v>
      </c>
      <c r="D2894" s="379">
        <v>44.588333333333331</v>
      </c>
      <c r="E2894" s="25">
        <v>25.29</v>
      </c>
      <c r="F2894" s="379">
        <v>8.1174834595959577</v>
      </c>
      <c r="G2894" s="25">
        <v>47.82</v>
      </c>
      <c r="H2894" s="379">
        <v>5.9445726605609046</v>
      </c>
      <c r="I2894" s="25">
        <v>53.27</v>
      </c>
      <c r="J2894" s="379">
        <v>2.0005728733930308</v>
      </c>
    </row>
    <row r="2895" spans="1:10" x14ac:dyDescent="0.35">
      <c r="A2895" s="5">
        <v>2891</v>
      </c>
      <c r="B2895" s="5">
        <v>121</v>
      </c>
      <c r="C2895" s="5">
        <v>5</v>
      </c>
      <c r="D2895" s="379">
        <v>44.273333333333333</v>
      </c>
      <c r="E2895" s="25">
        <v>25.29</v>
      </c>
      <c r="F2895" s="379">
        <v>8.1174834595959577</v>
      </c>
      <c r="G2895" s="25">
        <v>44.86</v>
      </c>
      <c r="H2895" s="379">
        <v>6.6498328150865831</v>
      </c>
      <c r="I2895" s="25">
        <v>50.19</v>
      </c>
      <c r="J2895" s="379">
        <v>2.2502191674475251</v>
      </c>
    </row>
    <row r="2896" spans="1:10" x14ac:dyDescent="0.35">
      <c r="A2896" s="5">
        <v>2892</v>
      </c>
      <c r="B2896" s="5">
        <v>121</v>
      </c>
      <c r="C2896" s="5">
        <v>5</v>
      </c>
      <c r="D2896" s="379">
        <v>43.592222222222219</v>
      </c>
      <c r="E2896" s="25">
        <v>24.84</v>
      </c>
      <c r="F2896" s="379">
        <v>8.1174834595959595</v>
      </c>
      <c r="G2896" s="25">
        <v>43.56</v>
      </c>
      <c r="H2896" s="379">
        <v>6.8825434570892616</v>
      </c>
      <c r="I2896" s="25">
        <v>49.69</v>
      </c>
      <c r="J2896" s="379">
        <v>2.5062139429277557</v>
      </c>
    </row>
    <row r="2897" spans="1:10" x14ac:dyDescent="0.35">
      <c r="A2897" s="5">
        <v>2893</v>
      </c>
      <c r="B2897" s="5">
        <v>121</v>
      </c>
      <c r="C2897" s="5">
        <v>5</v>
      </c>
      <c r="D2897" s="379">
        <v>39.428888888888892</v>
      </c>
      <c r="E2897" s="25">
        <v>24.84</v>
      </c>
      <c r="F2897" s="379">
        <v>8.1174834595959577</v>
      </c>
      <c r="G2897" s="25">
        <v>43.56</v>
      </c>
      <c r="H2897" s="379">
        <v>6.769691524868068</v>
      </c>
      <c r="I2897" s="25">
        <v>48.86</v>
      </c>
      <c r="J2897" s="379">
        <v>2.3946636118919695</v>
      </c>
    </row>
    <row r="2898" spans="1:10" x14ac:dyDescent="0.35">
      <c r="A2898" s="5">
        <v>2894</v>
      </c>
      <c r="B2898" s="5">
        <v>121</v>
      </c>
      <c r="C2898" s="5">
        <v>5</v>
      </c>
      <c r="D2898" s="379">
        <v>37.689444444444447</v>
      </c>
      <c r="E2898" s="25">
        <v>24.84</v>
      </c>
      <c r="F2898" s="379">
        <v>8.1174834595959595</v>
      </c>
      <c r="G2898" s="25">
        <v>43.56</v>
      </c>
      <c r="H2898" s="379">
        <v>7.2314511994499879</v>
      </c>
      <c r="I2898" s="25">
        <v>48.86</v>
      </c>
      <c r="J2898" s="379">
        <v>4.9713185777629221</v>
      </c>
    </row>
    <row r="2899" spans="1:10" x14ac:dyDescent="0.35">
      <c r="A2899" s="5">
        <v>2895</v>
      </c>
      <c r="B2899" s="5">
        <v>121</v>
      </c>
      <c r="C2899" s="5">
        <v>5</v>
      </c>
      <c r="D2899" s="379">
        <v>38.345555555555549</v>
      </c>
      <c r="E2899" s="25">
        <v>24.84</v>
      </c>
      <c r="F2899" s="379">
        <v>8.1174834595959595</v>
      </c>
      <c r="G2899" s="25">
        <v>43.56</v>
      </c>
      <c r="H2899" s="379">
        <v>7.0593852873900014</v>
      </c>
      <c r="I2899" s="25">
        <v>45.65</v>
      </c>
      <c r="J2899" s="379">
        <v>4.9200291977070583</v>
      </c>
    </row>
    <row r="2900" spans="1:10" x14ac:dyDescent="0.35">
      <c r="A2900" s="5">
        <v>2896</v>
      </c>
      <c r="B2900" s="5">
        <v>121</v>
      </c>
      <c r="C2900" s="5">
        <v>5</v>
      </c>
      <c r="D2900" s="379">
        <v>42.806666666666665</v>
      </c>
      <c r="E2900" s="25">
        <v>24.84</v>
      </c>
      <c r="F2900" s="379">
        <v>8.1174834595959595</v>
      </c>
      <c r="G2900" s="25">
        <v>43.56</v>
      </c>
      <c r="H2900" s="379">
        <v>6.6675886162023437</v>
      </c>
      <c r="I2900" s="25">
        <v>48.86</v>
      </c>
      <c r="J2900" s="379">
        <v>2.2502191674475251</v>
      </c>
    </row>
    <row r="2901" spans="1:10" x14ac:dyDescent="0.35">
      <c r="A2901" s="5">
        <v>2897</v>
      </c>
      <c r="B2901" s="5">
        <v>121</v>
      </c>
      <c r="C2901" s="5">
        <v>5</v>
      </c>
      <c r="D2901" s="379">
        <v>48.662777777777769</v>
      </c>
      <c r="E2901" s="25">
        <v>24.84</v>
      </c>
      <c r="F2901" s="379">
        <v>8.4019377892998506</v>
      </c>
      <c r="G2901" s="25">
        <v>43.56</v>
      </c>
      <c r="H2901" s="379">
        <v>7.6186452522646073</v>
      </c>
      <c r="I2901" s="25">
        <v>48.86</v>
      </c>
      <c r="J2901" s="379">
        <v>5.3664182081939513</v>
      </c>
    </row>
    <row r="2902" spans="1:10" x14ac:dyDescent="0.35">
      <c r="A2902" s="5">
        <v>2898</v>
      </c>
      <c r="B2902" s="5">
        <v>121</v>
      </c>
      <c r="C2902" s="5">
        <v>5</v>
      </c>
      <c r="D2902" s="379">
        <v>53.281111111111102</v>
      </c>
      <c r="E2902" s="25">
        <v>24.84</v>
      </c>
      <c r="F2902" s="379">
        <v>16.03004945200718</v>
      </c>
      <c r="G2902" s="25">
        <v>43.56</v>
      </c>
      <c r="H2902" s="379">
        <v>10.072683050970353</v>
      </c>
      <c r="I2902" s="25">
        <v>49.69</v>
      </c>
      <c r="J2902" s="379">
        <v>6.8274710818843829</v>
      </c>
    </row>
    <row r="2903" spans="1:10" x14ac:dyDescent="0.35">
      <c r="A2903" s="5">
        <v>2899</v>
      </c>
      <c r="B2903" s="5">
        <v>121</v>
      </c>
      <c r="C2903" s="5">
        <v>5</v>
      </c>
      <c r="D2903" s="379">
        <v>57.957222222222228</v>
      </c>
      <c r="E2903" s="25">
        <v>24.84</v>
      </c>
      <c r="F2903" s="379">
        <v>18.405282695057124</v>
      </c>
      <c r="G2903" s="25">
        <v>43.56</v>
      </c>
      <c r="H2903" s="379">
        <v>11.259987918649234</v>
      </c>
      <c r="I2903" s="25">
        <v>50.19</v>
      </c>
      <c r="J2903" s="379">
        <v>6.617640086510642</v>
      </c>
    </row>
    <row r="2904" spans="1:10" x14ac:dyDescent="0.35">
      <c r="A2904" s="5">
        <v>2900</v>
      </c>
      <c r="B2904" s="5">
        <v>121</v>
      </c>
      <c r="C2904" s="5">
        <v>5</v>
      </c>
      <c r="D2904" s="379">
        <v>58.819444444444443</v>
      </c>
      <c r="E2904" s="25">
        <v>24.84</v>
      </c>
      <c r="F2904" s="379">
        <v>16.377304246536937</v>
      </c>
      <c r="G2904" s="25">
        <v>44.69</v>
      </c>
      <c r="H2904" s="379">
        <v>11.757503515736266</v>
      </c>
      <c r="I2904" s="25">
        <v>51.72</v>
      </c>
      <c r="J2904" s="379">
        <v>6.618003501550243</v>
      </c>
    </row>
    <row r="2905" spans="1:10" x14ac:dyDescent="0.35">
      <c r="A2905" s="5">
        <v>2901</v>
      </c>
      <c r="B2905" s="5">
        <v>121</v>
      </c>
      <c r="C2905" s="5">
        <v>5</v>
      </c>
      <c r="D2905" s="379">
        <v>59.207222222222228</v>
      </c>
      <c r="E2905" s="25">
        <v>25.29</v>
      </c>
      <c r="F2905" s="379">
        <v>18.849305956914247</v>
      </c>
      <c r="G2905" s="25">
        <v>44.69</v>
      </c>
      <c r="H2905" s="379">
        <v>11.501984232920826</v>
      </c>
      <c r="I2905" s="25">
        <v>53.27</v>
      </c>
      <c r="J2905" s="379">
        <v>6.5728482148584444</v>
      </c>
    </row>
    <row r="2906" spans="1:10" x14ac:dyDescent="0.35">
      <c r="A2906" s="5">
        <v>2902</v>
      </c>
      <c r="B2906" s="5">
        <v>121</v>
      </c>
      <c r="C2906" s="5">
        <v>5</v>
      </c>
      <c r="D2906" s="379">
        <v>57.253888888888895</v>
      </c>
      <c r="E2906" s="25">
        <v>25.01</v>
      </c>
      <c r="F2906" s="379">
        <v>18.139000023048524</v>
      </c>
      <c r="G2906" s="25">
        <v>43.56</v>
      </c>
      <c r="H2906" s="379">
        <v>11.344753843445265</v>
      </c>
      <c r="I2906" s="25">
        <v>53.71</v>
      </c>
      <c r="J2906" s="379">
        <v>6.6293503235171851</v>
      </c>
    </row>
    <row r="2907" spans="1:10" x14ac:dyDescent="0.35">
      <c r="A2907" s="5">
        <v>2903</v>
      </c>
      <c r="B2907" s="5">
        <v>121</v>
      </c>
      <c r="C2907" s="5">
        <v>5</v>
      </c>
      <c r="D2907" s="379">
        <v>52.062777777777775</v>
      </c>
      <c r="E2907" s="25">
        <v>24.84</v>
      </c>
      <c r="F2907" s="379">
        <v>17.829050181387657</v>
      </c>
      <c r="G2907" s="25">
        <v>43.56</v>
      </c>
      <c r="H2907" s="379">
        <v>11.453604135311766</v>
      </c>
      <c r="I2907" s="25">
        <v>53.71</v>
      </c>
      <c r="J2907" s="379">
        <v>7.2516527142556333</v>
      </c>
    </row>
    <row r="2908" spans="1:10" x14ac:dyDescent="0.35">
      <c r="A2908" s="5">
        <v>2904</v>
      </c>
      <c r="B2908" s="5">
        <v>121</v>
      </c>
      <c r="C2908" s="5">
        <v>5</v>
      </c>
      <c r="D2908" s="379">
        <v>48.324999999999996</v>
      </c>
      <c r="E2908" s="25">
        <v>24.84</v>
      </c>
      <c r="F2908" s="379">
        <v>18.564045438940667</v>
      </c>
      <c r="G2908" s="25">
        <v>43.56</v>
      </c>
      <c r="H2908" s="379">
        <v>9.8063145645225571</v>
      </c>
      <c r="I2908" s="25">
        <v>53.27</v>
      </c>
      <c r="J2908" s="379">
        <v>7.4718745304316911</v>
      </c>
    </row>
    <row r="2909" spans="1:10" x14ac:dyDescent="0.35">
      <c r="A2909" s="5">
        <v>2905</v>
      </c>
      <c r="B2909" s="5">
        <v>122</v>
      </c>
      <c r="C2909" s="5">
        <v>5</v>
      </c>
      <c r="D2909" s="379">
        <v>50.428333333333335</v>
      </c>
      <c r="E2909" s="25">
        <v>24.84</v>
      </c>
      <c r="F2909" s="379">
        <v>18.616986592928704</v>
      </c>
      <c r="G2909" s="25">
        <v>38.61</v>
      </c>
      <c r="H2909" s="379">
        <v>10.417569639203306</v>
      </c>
      <c r="I2909" s="25">
        <v>50.19</v>
      </c>
      <c r="J2909" s="379">
        <v>7.3951809001848492</v>
      </c>
    </row>
    <row r="2910" spans="1:10" x14ac:dyDescent="0.35">
      <c r="A2910" s="5">
        <v>2906</v>
      </c>
      <c r="B2910" s="5">
        <v>122</v>
      </c>
      <c r="C2910" s="5">
        <v>5</v>
      </c>
      <c r="D2910" s="379">
        <v>49.738888888888887</v>
      </c>
      <c r="E2910" s="25">
        <v>24.84</v>
      </c>
      <c r="F2910" s="379">
        <v>16.877648439119682</v>
      </c>
      <c r="G2910" s="25">
        <v>38.61</v>
      </c>
      <c r="H2910" s="379">
        <v>10.227238391947861</v>
      </c>
      <c r="I2910" s="25">
        <v>50.19</v>
      </c>
      <c r="J2910" s="379">
        <v>7.4025102113790879</v>
      </c>
    </row>
    <row r="2911" spans="1:10" x14ac:dyDescent="0.35">
      <c r="A2911" s="5">
        <v>2907</v>
      </c>
      <c r="B2911" s="5">
        <v>122</v>
      </c>
      <c r="C2911" s="5">
        <v>5</v>
      </c>
      <c r="D2911" s="379">
        <v>48.975555555555559</v>
      </c>
      <c r="E2911" s="25">
        <v>24.84</v>
      </c>
      <c r="F2911" s="379">
        <v>14.959896581276306</v>
      </c>
      <c r="G2911" s="25">
        <v>38.229999999999997</v>
      </c>
      <c r="H2911" s="379">
        <v>9.8716168299696072</v>
      </c>
      <c r="I2911" s="25">
        <v>49.36</v>
      </c>
      <c r="J2911" s="379">
        <v>7.4080274397351085</v>
      </c>
    </row>
    <row r="2912" spans="1:10" x14ac:dyDescent="0.35">
      <c r="A2912" s="5">
        <v>2908</v>
      </c>
      <c r="B2912" s="5">
        <v>122</v>
      </c>
      <c r="C2912" s="5">
        <v>5</v>
      </c>
      <c r="D2912" s="379">
        <v>49.421111111111109</v>
      </c>
      <c r="E2912" s="25">
        <v>24.84</v>
      </c>
      <c r="F2912" s="379">
        <v>16.602625147184515</v>
      </c>
      <c r="G2912" s="25">
        <v>38.61</v>
      </c>
      <c r="H2912" s="379">
        <v>9.4902868384102206</v>
      </c>
      <c r="I2912" s="25">
        <v>49.36</v>
      </c>
      <c r="J2912" s="379">
        <v>7.1595094491622451</v>
      </c>
    </row>
    <row r="2913" spans="1:10" x14ac:dyDescent="0.35">
      <c r="A2913" s="5">
        <v>2909</v>
      </c>
      <c r="B2913" s="5">
        <v>122</v>
      </c>
      <c r="C2913" s="5">
        <v>5</v>
      </c>
      <c r="D2913" s="379">
        <v>54.570555555555558</v>
      </c>
      <c r="E2913" s="25">
        <v>24.84</v>
      </c>
      <c r="F2913" s="379">
        <v>18.136796159842696</v>
      </c>
      <c r="G2913" s="25">
        <v>40.96</v>
      </c>
      <c r="H2913" s="379">
        <v>9.6783445735932752</v>
      </c>
      <c r="I2913" s="25">
        <v>49.53</v>
      </c>
      <c r="J2913" s="379">
        <v>7.1595094491622451</v>
      </c>
    </row>
    <row r="2914" spans="1:10" x14ac:dyDescent="0.35">
      <c r="A2914" s="5">
        <v>2910</v>
      </c>
      <c r="B2914" s="5">
        <v>122</v>
      </c>
      <c r="C2914" s="5">
        <v>5</v>
      </c>
      <c r="D2914" s="379">
        <v>59.69222222222222</v>
      </c>
      <c r="E2914" s="25">
        <v>24.84</v>
      </c>
      <c r="F2914" s="379">
        <v>13.4427911816073</v>
      </c>
      <c r="G2914" s="25">
        <v>40.96</v>
      </c>
      <c r="H2914" s="379">
        <v>8.8386107681534707</v>
      </c>
      <c r="I2914" s="25">
        <v>50.84</v>
      </c>
      <c r="J2914" s="379">
        <v>7.1595094491622451</v>
      </c>
    </row>
    <row r="2915" spans="1:10" x14ac:dyDescent="0.35">
      <c r="A2915" s="5">
        <v>2911</v>
      </c>
      <c r="B2915" s="5">
        <v>122</v>
      </c>
      <c r="C2915" s="5">
        <v>5</v>
      </c>
      <c r="D2915" s="379">
        <v>65.259444444444455</v>
      </c>
      <c r="E2915" s="25">
        <v>24.84</v>
      </c>
      <c r="F2915" s="379">
        <v>12.218257709982847</v>
      </c>
      <c r="G2915" s="25">
        <v>40.96</v>
      </c>
      <c r="H2915" s="379">
        <v>7.3327148418404562</v>
      </c>
      <c r="I2915" s="25">
        <v>49.53</v>
      </c>
      <c r="J2915" s="379">
        <v>7.2751329276330452</v>
      </c>
    </row>
    <row r="2916" spans="1:10" x14ac:dyDescent="0.35">
      <c r="A2916" s="5">
        <v>2912</v>
      </c>
      <c r="B2916" s="5">
        <v>122</v>
      </c>
      <c r="C2916" s="5">
        <v>5</v>
      </c>
      <c r="D2916" s="379">
        <v>67.553888888888878</v>
      </c>
      <c r="E2916" s="25">
        <v>24.84</v>
      </c>
      <c r="F2916" s="379">
        <v>9.5459824691410482</v>
      </c>
      <c r="G2916" s="25">
        <v>38.61</v>
      </c>
      <c r="H2916" s="379">
        <v>5.3134762736338805</v>
      </c>
      <c r="I2916" s="25">
        <v>49.53</v>
      </c>
      <c r="J2916" s="379">
        <v>6.8784994294004616</v>
      </c>
    </row>
    <row r="2917" spans="1:10" x14ac:dyDescent="0.35">
      <c r="A2917" s="5">
        <v>2913</v>
      </c>
      <c r="B2917" s="5">
        <v>122</v>
      </c>
      <c r="C2917" s="5">
        <v>5</v>
      </c>
      <c r="D2917" s="379">
        <v>63.911666666666655</v>
      </c>
      <c r="E2917" s="25">
        <v>24.84</v>
      </c>
      <c r="F2917" s="379">
        <v>7.543370628068252</v>
      </c>
      <c r="G2917" s="25">
        <v>38.61</v>
      </c>
      <c r="H2917" s="379">
        <v>5.3558290626662775</v>
      </c>
      <c r="I2917" s="25">
        <v>47.44</v>
      </c>
      <c r="J2917" s="379">
        <v>6.3745341515094402</v>
      </c>
    </row>
    <row r="2918" spans="1:10" x14ac:dyDescent="0.35">
      <c r="A2918" s="5">
        <v>2914</v>
      </c>
      <c r="B2918" s="5">
        <v>122</v>
      </c>
      <c r="C2918" s="5">
        <v>5</v>
      </c>
      <c r="D2918" s="379">
        <v>57.965000000000011</v>
      </c>
      <c r="E2918" s="25">
        <v>24.84</v>
      </c>
      <c r="F2918" s="379">
        <v>5.566035640254106</v>
      </c>
      <c r="G2918" s="25">
        <v>32.79</v>
      </c>
      <c r="H2918" s="379">
        <v>1.2909330621494399</v>
      </c>
      <c r="I2918" s="25">
        <v>37.979999999999997</v>
      </c>
      <c r="J2918" s="379">
        <v>2.3612079544635756</v>
      </c>
    </row>
    <row r="2919" spans="1:10" x14ac:dyDescent="0.35">
      <c r="A2919" s="5">
        <v>2915</v>
      </c>
      <c r="B2919" s="5">
        <v>122</v>
      </c>
      <c r="C2919" s="5">
        <v>5</v>
      </c>
      <c r="D2919" s="379">
        <v>56.536111111111111</v>
      </c>
      <c r="E2919" s="25">
        <v>24.84</v>
      </c>
      <c r="F2919" s="379">
        <v>5.566035640254106</v>
      </c>
      <c r="G2919" s="25">
        <v>32.79</v>
      </c>
      <c r="H2919" s="379">
        <v>3.1688394372443542</v>
      </c>
      <c r="I2919" s="25">
        <v>35.93</v>
      </c>
      <c r="J2919" s="379">
        <v>2.3967462935119865</v>
      </c>
    </row>
    <row r="2920" spans="1:10" x14ac:dyDescent="0.35">
      <c r="A2920" s="5">
        <v>2916</v>
      </c>
      <c r="B2920" s="5">
        <v>122</v>
      </c>
      <c r="C2920" s="5">
        <v>5</v>
      </c>
      <c r="D2920" s="379">
        <v>55.93277777777778</v>
      </c>
      <c r="E2920" s="25">
        <v>24</v>
      </c>
      <c r="F2920" s="379">
        <v>5.566035640254106</v>
      </c>
      <c r="G2920" s="25">
        <v>32.79</v>
      </c>
      <c r="H2920" s="379">
        <v>1.208013778369208</v>
      </c>
      <c r="I2920" s="25">
        <v>35.93</v>
      </c>
      <c r="J2920" s="379">
        <v>2.394487479565687</v>
      </c>
    </row>
    <row r="2921" spans="1:10" x14ac:dyDescent="0.35">
      <c r="A2921" s="5">
        <v>2917</v>
      </c>
      <c r="B2921" s="5">
        <v>122</v>
      </c>
      <c r="C2921" s="5">
        <v>5</v>
      </c>
      <c r="D2921" s="379">
        <v>56.299444444444433</v>
      </c>
      <c r="E2921" s="25">
        <v>23.84</v>
      </c>
      <c r="F2921" s="379">
        <v>5.566035640254106</v>
      </c>
      <c r="G2921" s="25">
        <v>32.04</v>
      </c>
      <c r="H2921" s="379">
        <v>1.1980201492365268</v>
      </c>
      <c r="I2921" s="25">
        <v>35.93</v>
      </c>
      <c r="J2921" s="379">
        <v>0.68508652953429106</v>
      </c>
    </row>
    <row r="2922" spans="1:10" x14ac:dyDescent="0.35">
      <c r="A2922" s="5">
        <v>2918</v>
      </c>
      <c r="B2922" s="5">
        <v>122</v>
      </c>
      <c r="C2922" s="5">
        <v>5</v>
      </c>
      <c r="D2922" s="379">
        <v>55.949444444444445</v>
      </c>
      <c r="E2922" s="25">
        <v>23.84</v>
      </c>
      <c r="F2922" s="379">
        <v>5.566035640254106</v>
      </c>
      <c r="G2922" s="25">
        <v>32.04</v>
      </c>
      <c r="H2922" s="379">
        <v>1.7096898393785163</v>
      </c>
      <c r="I2922" s="25">
        <v>35.93</v>
      </c>
      <c r="J2922" s="379">
        <v>0.68508652953429106</v>
      </c>
    </row>
    <row r="2923" spans="1:10" x14ac:dyDescent="0.35">
      <c r="A2923" s="5">
        <v>2919</v>
      </c>
      <c r="B2923" s="5">
        <v>122</v>
      </c>
      <c r="C2923" s="5">
        <v>5</v>
      </c>
      <c r="D2923" s="379">
        <v>56.403333333333329</v>
      </c>
      <c r="E2923" s="25">
        <v>23.84</v>
      </c>
      <c r="F2923" s="379">
        <v>5.566035640254106</v>
      </c>
      <c r="G2923" s="25">
        <v>32.04</v>
      </c>
      <c r="H2923" s="379">
        <v>2.4504813006248347</v>
      </c>
      <c r="I2923" s="25">
        <v>35.72</v>
      </c>
      <c r="J2923" s="379">
        <v>0.68818977483566623</v>
      </c>
    </row>
    <row r="2924" spans="1:10" x14ac:dyDescent="0.35">
      <c r="A2924" s="5">
        <v>2920</v>
      </c>
      <c r="B2924" s="5">
        <v>122</v>
      </c>
      <c r="C2924" s="5">
        <v>5</v>
      </c>
      <c r="D2924" s="379">
        <v>58.129999999999988</v>
      </c>
      <c r="E2924" s="25">
        <v>23.84</v>
      </c>
      <c r="F2924" s="379">
        <v>6.5563654712477497</v>
      </c>
      <c r="G2924" s="25">
        <v>31.84</v>
      </c>
      <c r="H2924" s="379">
        <v>2.413337982511623</v>
      </c>
      <c r="I2924" s="25">
        <v>35.81</v>
      </c>
      <c r="J2924" s="379">
        <v>2.2512099876339526</v>
      </c>
    </row>
    <row r="2925" spans="1:10" x14ac:dyDescent="0.35">
      <c r="A2925" s="5">
        <v>2921</v>
      </c>
      <c r="B2925" s="5">
        <v>122</v>
      </c>
      <c r="C2925" s="5">
        <v>5</v>
      </c>
      <c r="D2925" s="379">
        <v>63.337777777777774</v>
      </c>
      <c r="E2925" s="25">
        <v>24</v>
      </c>
      <c r="F2925" s="379">
        <v>9.8653521605466103</v>
      </c>
      <c r="G2925" s="25">
        <v>32.04</v>
      </c>
      <c r="H2925" s="379">
        <v>1.849144998463452</v>
      </c>
      <c r="I2925" s="25">
        <v>35.93</v>
      </c>
      <c r="J2925" s="379">
        <v>2.8824340919392237</v>
      </c>
    </row>
    <row r="2926" spans="1:10" x14ac:dyDescent="0.35">
      <c r="A2926" s="5">
        <v>2922</v>
      </c>
      <c r="B2926" s="5">
        <v>122</v>
      </c>
      <c r="C2926" s="5">
        <v>5</v>
      </c>
      <c r="D2926" s="379">
        <v>65.487777777777779</v>
      </c>
      <c r="E2926" s="25">
        <v>24.84</v>
      </c>
      <c r="F2926" s="379">
        <v>18.89485863276748</v>
      </c>
      <c r="G2926" s="25">
        <v>32.79</v>
      </c>
      <c r="H2926" s="379">
        <v>4.799693804694658</v>
      </c>
      <c r="I2926" s="25">
        <v>35.93</v>
      </c>
      <c r="J2926" s="379">
        <v>6.8555819607421231</v>
      </c>
    </row>
    <row r="2927" spans="1:10" x14ac:dyDescent="0.35">
      <c r="A2927" s="5">
        <v>2923</v>
      </c>
      <c r="B2927" s="5">
        <v>122</v>
      </c>
      <c r="C2927" s="5">
        <v>5</v>
      </c>
      <c r="D2927" s="379">
        <v>66.74166666666666</v>
      </c>
      <c r="E2927" s="25">
        <v>24.84</v>
      </c>
      <c r="F2927" s="379">
        <v>12.772182848552225</v>
      </c>
      <c r="G2927" s="25">
        <v>32.79</v>
      </c>
      <c r="H2927" s="379">
        <v>8.9289066954228442</v>
      </c>
      <c r="I2927" s="25">
        <v>37.979999999999997</v>
      </c>
      <c r="J2927" s="379">
        <v>6.8383782844065681</v>
      </c>
    </row>
    <row r="2928" spans="1:10" x14ac:dyDescent="0.35">
      <c r="A2928" s="5">
        <v>2924</v>
      </c>
      <c r="B2928" s="5">
        <v>122</v>
      </c>
      <c r="C2928" s="5">
        <v>5</v>
      </c>
      <c r="D2928" s="379">
        <v>66.344999999999999</v>
      </c>
      <c r="E2928" s="25">
        <v>24.84</v>
      </c>
      <c r="F2928" s="379">
        <v>15.72351927568365</v>
      </c>
      <c r="G2928" s="25">
        <v>39.770000000000003</v>
      </c>
      <c r="H2928" s="379">
        <v>8.1074962193086595</v>
      </c>
      <c r="I2928" s="25">
        <v>50.19</v>
      </c>
      <c r="J2928" s="379">
        <v>6.5310977290544878</v>
      </c>
    </row>
    <row r="2929" spans="1:10" x14ac:dyDescent="0.35">
      <c r="A2929" s="5">
        <v>2925</v>
      </c>
      <c r="B2929" s="5">
        <v>122</v>
      </c>
      <c r="C2929" s="5">
        <v>5</v>
      </c>
      <c r="D2929" s="379">
        <v>64.574999999999989</v>
      </c>
      <c r="E2929" s="25">
        <v>24.84</v>
      </c>
      <c r="F2929" s="379">
        <v>16.016061391259676</v>
      </c>
      <c r="G2929" s="25">
        <v>39.770000000000003</v>
      </c>
      <c r="H2929" s="379">
        <v>7.5724465152551366</v>
      </c>
      <c r="I2929" s="25">
        <v>51.76</v>
      </c>
      <c r="J2929" s="379">
        <v>5.5679488002147499</v>
      </c>
    </row>
    <row r="2930" spans="1:10" x14ac:dyDescent="0.35">
      <c r="A2930" s="5">
        <v>2926</v>
      </c>
      <c r="B2930" s="5">
        <v>122</v>
      </c>
      <c r="C2930" s="5">
        <v>5</v>
      </c>
      <c r="D2930" s="379">
        <v>60.416111111111107</v>
      </c>
      <c r="E2930" s="25">
        <v>24.84</v>
      </c>
      <c r="F2930" s="379">
        <v>18.364297131113503</v>
      </c>
      <c r="G2930" s="25">
        <v>39.770000000000003</v>
      </c>
      <c r="H2930" s="379">
        <v>8.7643016294668783</v>
      </c>
      <c r="I2930" s="25">
        <v>53.27</v>
      </c>
      <c r="J2930" s="379">
        <v>6.3240628041186122</v>
      </c>
    </row>
    <row r="2931" spans="1:10" x14ac:dyDescent="0.35">
      <c r="A2931" s="5">
        <v>2927</v>
      </c>
      <c r="B2931" s="5">
        <v>122</v>
      </c>
      <c r="C2931" s="5">
        <v>5</v>
      </c>
      <c r="D2931" s="379">
        <v>58.356666666666669</v>
      </c>
      <c r="E2931" s="25">
        <v>24.84</v>
      </c>
      <c r="F2931" s="379">
        <v>16.804851759778987</v>
      </c>
      <c r="G2931" s="25">
        <v>39.770000000000003</v>
      </c>
      <c r="H2931" s="379">
        <v>8.3093247222446305</v>
      </c>
      <c r="I2931" s="25">
        <v>52.55</v>
      </c>
      <c r="J2931" s="379">
        <v>6.2351755239850979</v>
      </c>
    </row>
    <row r="2932" spans="1:10" x14ac:dyDescent="0.35">
      <c r="A2932" s="5">
        <v>2928</v>
      </c>
      <c r="B2932" s="5">
        <v>122</v>
      </c>
      <c r="C2932" s="5">
        <v>5</v>
      </c>
      <c r="D2932" s="379">
        <v>52.537777777777777</v>
      </c>
      <c r="E2932" s="25">
        <v>23.59</v>
      </c>
      <c r="F2932" s="379">
        <v>13.710449132964282</v>
      </c>
      <c r="G2932" s="25">
        <v>33.799999999999997</v>
      </c>
      <c r="H2932" s="379">
        <v>6.8537846721349567</v>
      </c>
      <c r="I2932" s="25">
        <v>48.09</v>
      </c>
      <c r="J2932" s="379">
        <v>6.4179258078343153</v>
      </c>
    </row>
    <row r="2933" spans="1:10" x14ac:dyDescent="0.35">
      <c r="A2933" s="5">
        <v>2929</v>
      </c>
      <c r="B2933" s="5">
        <v>123</v>
      </c>
      <c r="C2933" s="5">
        <v>5</v>
      </c>
      <c r="D2933" s="379">
        <v>51.708333333333329</v>
      </c>
      <c r="E2933" s="25">
        <v>23.59</v>
      </c>
      <c r="F2933" s="379">
        <v>9.0184771588101587</v>
      </c>
      <c r="G2933" s="25">
        <v>33.799999999999997</v>
      </c>
      <c r="H2933" s="379">
        <v>8.0580813293626044</v>
      </c>
      <c r="I2933" s="25">
        <v>45.54</v>
      </c>
      <c r="J2933" s="379">
        <v>6.3251546827226424</v>
      </c>
    </row>
    <row r="2934" spans="1:10" x14ac:dyDescent="0.35">
      <c r="A2934" s="5">
        <v>2930</v>
      </c>
      <c r="B2934" s="5">
        <v>123</v>
      </c>
      <c r="C2934" s="5">
        <v>5</v>
      </c>
      <c r="D2934" s="379">
        <v>51.457222222222221</v>
      </c>
      <c r="E2934" s="25">
        <v>23.59</v>
      </c>
      <c r="F2934" s="379">
        <v>8.4787709864788443</v>
      </c>
      <c r="G2934" s="25">
        <v>33.799999999999997</v>
      </c>
      <c r="H2934" s="379">
        <v>7.6755855213778634</v>
      </c>
      <c r="I2934" s="25">
        <v>45.12</v>
      </c>
      <c r="J2934" s="379">
        <v>6.0161550484443858</v>
      </c>
    </row>
    <row r="2935" spans="1:10" x14ac:dyDescent="0.35">
      <c r="A2935" s="5">
        <v>2931</v>
      </c>
      <c r="B2935" s="5">
        <v>123</v>
      </c>
      <c r="C2935" s="5">
        <v>5</v>
      </c>
      <c r="D2935" s="379">
        <v>51.472777777777772</v>
      </c>
      <c r="E2935" s="25">
        <v>23.59</v>
      </c>
      <c r="F2935" s="379">
        <v>8.1996737240497719</v>
      </c>
      <c r="G2935" s="25">
        <v>33.799999999999997</v>
      </c>
      <c r="H2935" s="379">
        <v>7.8646018458787692</v>
      </c>
      <c r="I2935" s="25">
        <v>44.66</v>
      </c>
      <c r="J2935" s="379">
        <v>5.3930955959267948</v>
      </c>
    </row>
    <row r="2936" spans="1:10" x14ac:dyDescent="0.35">
      <c r="A2936" s="5">
        <v>2932</v>
      </c>
      <c r="B2936" s="5">
        <v>123</v>
      </c>
      <c r="C2936" s="5">
        <v>5</v>
      </c>
      <c r="D2936" s="379">
        <v>51.382777777777775</v>
      </c>
      <c r="E2936" s="25">
        <v>23.59</v>
      </c>
      <c r="F2936" s="379">
        <v>8.1432381675665582</v>
      </c>
      <c r="G2936" s="25">
        <v>33.799999999999997</v>
      </c>
      <c r="H2936" s="379">
        <v>7.0087677899909835</v>
      </c>
      <c r="I2936" s="25">
        <v>44.66</v>
      </c>
      <c r="J2936" s="379">
        <v>5.4472082177453247</v>
      </c>
    </row>
    <row r="2937" spans="1:10" x14ac:dyDescent="0.35">
      <c r="A2937" s="5">
        <v>2933</v>
      </c>
      <c r="B2937" s="5">
        <v>123</v>
      </c>
      <c r="C2937" s="5">
        <v>5</v>
      </c>
      <c r="D2937" s="379">
        <v>51.877222222222215</v>
      </c>
      <c r="E2937" s="25">
        <v>23.59</v>
      </c>
      <c r="F2937" s="379">
        <v>8.1818175913453572</v>
      </c>
      <c r="G2937" s="25">
        <v>33.799999999999997</v>
      </c>
      <c r="H2937" s="379">
        <v>8.6177653510167183</v>
      </c>
      <c r="I2937" s="25">
        <v>45.54</v>
      </c>
      <c r="J2937" s="379">
        <v>5.3422836840970991</v>
      </c>
    </row>
    <row r="2938" spans="1:10" x14ac:dyDescent="0.35">
      <c r="A2938" s="5">
        <v>2934</v>
      </c>
      <c r="B2938" s="5">
        <v>123</v>
      </c>
      <c r="C2938" s="5">
        <v>5</v>
      </c>
      <c r="D2938" s="379">
        <v>61.639444444444436</v>
      </c>
      <c r="E2938" s="25">
        <v>24.84</v>
      </c>
      <c r="F2938" s="379">
        <v>8.78483546650045</v>
      </c>
      <c r="G2938" s="25">
        <v>39.770000000000003</v>
      </c>
      <c r="H2938" s="379">
        <v>7.5656596272307404</v>
      </c>
      <c r="I2938" s="25">
        <v>47.31</v>
      </c>
      <c r="J2938" s="379">
        <v>2.7485222109778595</v>
      </c>
    </row>
    <row r="2939" spans="1:10" x14ac:dyDescent="0.35">
      <c r="A2939" s="5">
        <v>2935</v>
      </c>
      <c r="B2939" s="5">
        <v>123</v>
      </c>
      <c r="C2939" s="5">
        <v>5</v>
      </c>
      <c r="D2939" s="379">
        <v>67.194444444444443</v>
      </c>
      <c r="E2939" s="25">
        <v>24.84</v>
      </c>
      <c r="F2939" s="379">
        <v>8.4045601701447517</v>
      </c>
      <c r="G2939" s="25">
        <v>39.770000000000003</v>
      </c>
      <c r="H2939" s="379">
        <v>7.3606309959432989</v>
      </c>
      <c r="I2939" s="25">
        <v>51.76</v>
      </c>
      <c r="J2939" s="379">
        <v>1.4852864926979519</v>
      </c>
    </row>
    <row r="2940" spans="1:10" x14ac:dyDescent="0.35">
      <c r="A2940" s="5">
        <v>2936</v>
      </c>
      <c r="B2940" s="5">
        <v>123</v>
      </c>
      <c r="C2940" s="5">
        <v>5</v>
      </c>
      <c r="D2940" s="379">
        <v>67.37444444444445</v>
      </c>
      <c r="E2940" s="25">
        <v>24.84</v>
      </c>
      <c r="F2940" s="379">
        <v>8.1174834595959613</v>
      </c>
      <c r="G2940" s="25">
        <v>42.19</v>
      </c>
      <c r="H2940" s="379">
        <v>4.799693804694658</v>
      </c>
      <c r="I2940" s="25">
        <v>53.27</v>
      </c>
      <c r="J2940" s="379">
        <v>6.0783270181209348</v>
      </c>
    </row>
    <row r="2941" spans="1:10" x14ac:dyDescent="0.35">
      <c r="A2941" s="5">
        <v>2937</v>
      </c>
      <c r="B2941" s="5">
        <v>123</v>
      </c>
      <c r="C2941" s="5">
        <v>5</v>
      </c>
      <c r="D2941" s="379">
        <v>62.239444444444437</v>
      </c>
      <c r="E2941" s="25">
        <v>24.84</v>
      </c>
      <c r="F2941" s="379">
        <v>8.1174834595959613</v>
      </c>
      <c r="G2941" s="25">
        <v>40.96</v>
      </c>
      <c r="H2941" s="379">
        <v>4.1655305691841393</v>
      </c>
      <c r="I2941" s="25">
        <v>52.55</v>
      </c>
      <c r="J2941" s="379">
        <v>4.0988455545817848</v>
      </c>
    </row>
    <row r="2942" spans="1:10" x14ac:dyDescent="0.35">
      <c r="A2942" s="5">
        <v>2938</v>
      </c>
      <c r="B2942" s="5">
        <v>123</v>
      </c>
      <c r="C2942" s="5">
        <v>5</v>
      </c>
      <c r="D2942" s="379">
        <v>57.629444444444438</v>
      </c>
      <c r="E2942" s="25">
        <v>24.84</v>
      </c>
      <c r="F2942" s="379">
        <v>5.5660356402541051</v>
      </c>
      <c r="G2942" s="25">
        <v>39.770000000000003</v>
      </c>
      <c r="H2942" s="379">
        <v>4.1655305691841393</v>
      </c>
      <c r="I2942" s="25">
        <v>50.21</v>
      </c>
      <c r="J2942" s="379">
        <v>4.0140349870658936</v>
      </c>
    </row>
    <row r="2943" spans="1:10" x14ac:dyDescent="0.35">
      <c r="A2943" s="5">
        <v>2939</v>
      </c>
      <c r="B2943" s="5">
        <v>123</v>
      </c>
      <c r="C2943" s="5">
        <v>5</v>
      </c>
      <c r="D2943" s="379">
        <v>56.467777777777776</v>
      </c>
      <c r="E2943" s="25">
        <v>24.84</v>
      </c>
      <c r="F2943" s="379">
        <v>1.553531552390125</v>
      </c>
      <c r="G2943" s="25">
        <v>39.770000000000003</v>
      </c>
      <c r="H2943" s="379">
        <v>4.1655305691841393</v>
      </c>
      <c r="I2943" s="25">
        <v>48.86</v>
      </c>
      <c r="J2943" s="379">
        <v>4.0140349870658936</v>
      </c>
    </row>
    <row r="2944" spans="1:10" x14ac:dyDescent="0.35">
      <c r="A2944" s="5">
        <v>2940</v>
      </c>
      <c r="B2944" s="5">
        <v>123</v>
      </c>
      <c r="C2944" s="5">
        <v>5</v>
      </c>
      <c r="D2944" s="379">
        <v>55.730555555555554</v>
      </c>
      <c r="E2944" s="25">
        <v>24.84</v>
      </c>
      <c r="F2944" s="379">
        <v>2.0226750866996155</v>
      </c>
      <c r="G2944" s="25">
        <v>35.01</v>
      </c>
      <c r="H2944" s="379">
        <v>4.1655305691841393</v>
      </c>
      <c r="I2944" s="25">
        <v>42.1</v>
      </c>
      <c r="J2944" s="379">
        <v>3.4428635350660626</v>
      </c>
    </row>
    <row r="2945" spans="1:10" x14ac:dyDescent="0.35">
      <c r="A2945" s="5">
        <v>2941</v>
      </c>
      <c r="B2945" s="5">
        <v>123</v>
      </c>
      <c r="C2945" s="5">
        <v>5</v>
      </c>
      <c r="D2945" s="379">
        <v>55.00333333333333</v>
      </c>
      <c r="E2945" s="25">
        <v>24.84</v>
      </c>
      <c r="F2945" s="379">
        <v>1.4347513909110015</v>
      </c>
      <c r="G2945" s="25">
        <v>33.799999999999997</v>
      </c>
      <c r="H2945" s="379">
        <v>4.1344938811859251</v>
      </c>
      <c r="I2945" s="25">
        <v>42.1</v>
      </c>
      <c r="J2945" s="379">
        <v>2.2104053267257942</v>
      </c>
    </row>
    <row r="2946" spans="1:10" x14ac:dyDescent="0.35">
      <c r="A2946" s="5">
        <v>2942</v>
      </c>
      <c r="B2946" s="5">
        <v>123</v>
      </c>
      <c r="C2946" s="5">
        <v>5</v>
      </c>
      <c r="D2946" s="379">
        <v>54.713333333333331</v>
      </c>
      <c r="E2946" s="25">
        <v>24.26</v>
      </c>
      <c r="F2946" s="379">
        <v>2.2124262813726023</v>
      </c>
      <c r="G2946" s="25">
        <v>33.799999999999997</v>
      </c>
      <c r="H2946" s="379">
        <v>3.6992289587607328</v>
      </c>
      <c r="I2946" s="25">
        <v>42.1</v>
      </c>
      <c r="J2946" s="379">
        <v>2.2066018011847941</v>
      </c>
    </row>
    <row r="2947" spans="1:10" x14ac:dyDescent="0.35">
      <c r="A2947" s="5">
        <v>2943</v>
      </c>
      <c r="B2947" s="5">
        <v>123</v>
      </c>
      <c r="C2947" s="5">
        <v>5</v>
      </c>
      <c r="D2947" s="379">
        <v>54.983888888888885</v>
      </c>
      <c r="E2947" s="25">
        <v>23.84</v>
      </c>
      <c r="F2947" s="379">
        <v>1.7783278419569573</v>
      </c>
      <c r="G2947" s="25">
        <v>33.17</v>
      </c>
      <c r="H2947" s="379">
        <v>3.6992289587607328</v>
      </c>
      <c r="I2947" s="25">
        <v>40.47</v>
      </c>
      <c r="J2947" s="379">
        <v>2.1147758066297384</v>
      </c>
    </row>
    <row r="2948" spans="1:10" x14ac:dyDescent="0.35">
      <c r="A2948" s="5">
        <v>2944</v>
      </c>
      <c r="B2948" s="5">
        <v>123</v>
      </c>
      <c r="C2948" s="5">
        <v>5</v>
      </c>
      <c r="D2948" s="379">
        <v>56.583333333333329</v>
      </c>
      <c r="E2948" s="25">
        <v>24</v>
      </c>
      <c r="F2948" s="379">
        <v>8.1174834595959577</v>
      </c>
      <c r="G2948" s="25">
        <v>32.840000000000003</v>
      </c>
      <c r="H2948" s="379">
        <v>3.730265646758947</v>
      </c>
      <c r="I2948" s="25">
        <v>40.47</v>
      </c>
      <c r="J2948" s="379">
        <v>2.1185793321707385</v>
      </c>
    </row>
    <row r="2949" spans="1:10" x14ac:dyDescent="0.35">
      <c r="A2949" s="5">
        <v>2945</v>
      </c>
      <c r="B2949" s="5">
        <v>123</v>
      </c>
      <c r="C2949" s="5">
        <v>5</v>
      </c>
      <c r="D2949" s="379">
        <v>61.438333333333325</v>
      </c>
      <c r="E2949" s="25">
        <v>24.26</v>
      </c>
      <c r="F2949" s="379">
        <v>8.1174834595959577</v>
      </c>
      <c r="G2949" s="25">
        <v>33.799999999999997</v>
      </c>
      <c r="H2949" s="379">
        <v>0.11997782044012681</v>
      </c>
      <c r="I2949" s="25">
        <v>42.1</v>
      </c>
      <c r="J2949" s="379">
        <v>2.2066018011847941</v>
      </c>
    </row>
    <row r="2950" spans="1:10" x14ac:dyDescent="0.35">
      <c r="A2950" s="5">
        <v>2946</v>
      </c>
      <c r="B2950" s="5">
        <v>123</v>
      </c>
      <c r="C2950" s="5">
        <v>5</v>
      </c>
      <c r="D2950" s="379">
        <v>66.882777777777775</v>
      </c>
      <c r="E2950" s="25">
        <v>24.56</v>
      </c>
      <c r="F2950" s="379">
        <v>8.1174834595959577</v>
      </c>
      <c r="G2950" s="25">
        <v>38.58</v>
      </c>
      <c r="H2950" s="379">
        <v>0.14480167642852412</v>
      </c>
      <c r="I2950" s="25">
        <v>42.53</v>
      </c>
      <c r="J2950" s="379">
        <v>2.227821195546916</v>
      </c>
    </row>
    <row r="2951" spans="1:10" x14ac:dyDescent="0.35">
      <c r="A2951" s="5">
        <v>2947</v>
      </c>
      <c r="B2951" s="5">
        <v>123</v>
      </c>
      <c r="C2951" s="5">
        <v>5</v>
      </c>
      <c r="D2951" s="379">
        <v>70.245000000000005</v>
      </c>
      <c r="E2951" s="25">
        <v>24.84</v>
      </c>
      <c r="F2951" s="379">
        <v>8.1174834595959595</v>
      </c>
      <c r="G2951" s="25">
        <v>39.770000000000003</v>
      </c>
      <c r="H2951" s="379">
        <v>0.14480167642852412</v>
      </c>
      <c r="I2951" s="25">
        <v>42.53</v>
      </c>
      <c r="J2951" s="379">
        <v>2.3290132024287544</v>
      </c>
    </row>
    <row r="2952" spans="1:10" x14ac:dyDescent="0.35">
      <c r="A2952" s="5">
        <v>2948</v>
      </c>
      <c r="B2952" s="5">
        <v>123</v>
      </c>
      <c r="C2952" s="5">
        <v>5</v>
      </c>
      <c r="D2952" s="379">
        <v>69.743333333333339</v>
      </c>
      <c r="E2952" s="25">
        <v>24.84</v>
      </c>
      <c r="F2952" s="379">
        <v>8.1174834595959577</v>
      </c>
      <c r="G2952" s="25">
        <v>39.770000000000003</v>
      </c>
      <c r="H2952" s="379">
        <v>0.14480167642852412</v>
      </c>
      <c r="I2952" s="25">
        <v>48.79</v>
      </c>
      <c r="J2952" s="379">
        <v>3.6618411590291613</v>
      </c>
    </row>
    <row r="2953" spans="1:10" x14ac:dyDescent="0.35">
      <c r="A2953" s="5">
        <v>2949</v>
      </c>
      <c r="B2953" s="5">
        <v>123</v>
      </c>
      <c r="C2953" s="5">
        <v>5</v>
      </c>
      <c r="D2953" s="379">
        <v>69.933888888888887</v>
      </c>
      <c r="E2953" s="25">
        <v>24.84</v>
      </c>
      <c r="F2953" s="379">
        <v>8.1174834595959577</v>
      </c>
      <c r="G2953" s="25">
        <v>42.17</v>
      </c>
      <c r="H2953" s="379">
        <v>0.14480167642852412</v>
      </c>
      <c r="I2953" s="25">
        <v>48.75</v>
      </c>
      <c r="J2953" s="379">
        <v>3.4991244139517752</v>
      </c>
    </row>
    <row r="2954" spans="1:10" x14ac:dyDescent="0.35">
      <c r="A2954" s="5">
        <v>2950</v>
      </c>
      <c r="B2954" s="5">
        <v>123</v>
      </c>
      <c r="C2954" s="5">
        <v>5</v>
      </c>
      <c r="D2954" s="379">
        <v>66.875</v>
      </c>
      <c r="E2954" s="25">
        <v>24.84</v>
      </c>
      <c r="F2954" s="379">
        <v>8.1174834595959595</v>
      </c>
      <c r="G2954" s="25">
        <v>39.770000000000003</v>
      </c>
      <c r="H2954" s="379">
        <v>3.8213236699169753</v>
      </c>
      <c r="I2954" s="25">
        <v>46.52</v>
      </c>
      <c r="J2954" s="379">
        <v>3.3013122837669124</v>
      </c>
    </row>
    <row r="2955" spans="1:10" x14ac:dyDescent="0.35">
      <c r="A2955" s="5">
        <v>2951</v>
      </c>
      <c r="B2955" s="5">
        <v>123</v>
      </c>
      <c r="C2955" s="5">
        <v>5</v>
      </c>
      <c r="D2955" s="379">
        <v>61.620555555555555</v>
      </c>
      <c r="E2955" s="25">
        <v>24.84</v>
      </c>
      <c r="F2955" s="379">
        <v>0.47222222222222227</v>
      </c>
      <c r="G2955" s="25">
        <v>38.229999999999997</v>
      </c>
      <c r="H2955" s="379">
        <v>2.0291342486015864</v>
      </c>
      <c r="I2955" s="25">
        <v>46.06</v>
      </c>
      <c r="J2955" s="379">
        <v>1.3605549470073204</v>
      </c>
    </row>
    <row r="2956" spans="1:10" x14ac:dyDescent="0.35">
      <c r="A2956" s="5">
        <v>2952</v>
      </c>
      <c r="B2956" s="5">
        <v>123</v>
      </c>
      <c r="C2956" s="5">
        <v>5</v>
      </c>
      <c r="D2956" s="379">
        <v>56.708888888888886</v>
      </c>
      <c r="E2956" s="25">
        <v>24.11</v>
      </c>
      <c r="F2956" s="379">
        <v>0.25152319875317425</v>
      </c>
      <c r="G2956" s="25">
        <v>33.090000000000003</v>
      </c>
      <c r="H2956" s="379">
        <v>1.875552840195911</v>
      </c>
      <c r="I2956" s="25">
        <v>42.1</v>
      </c>
      <c r="J2956" s="379">
        <v>1.3605549470073204</v>
      </c>
    </row>
    <row r="2957" spans="1:10" x14ac:dyDescent="0.35">
      <c r="A2957" s="5">
        <v>2953</v>
      </c>
      <c r="B2957" s="5">
        <v>124</v>
      </c>
      <c r="C2957" s="5">
        <v>5</v>
      </c>
      <c r="D2957" s="379">
        <v>56.321666666666665</v>
      </c>
      <c r="E2957" s="25">
        <v>23.73</v>
      </c>
      <c r="F2957" s="379">
        <v>0.27546296296296291</v>
      </c>
      <c r="G2957" s="25">
        <v>33</v>
      </c>
      <c r="H2957" s="379">
        <v>1.875552840195911</v>
      </c>
      <c r="I2957" s="25">
        <v>42.04</v>
      </c>
      <c r="J2957" s="379">
        <v>1.3605549470073204</v>
      </c>
    </row>
    <row r="2958" spans="1:10" x14ac:dyDescent="0.35">
      <c r="A2958" s="5">
        <v>2954</v>
      </c>
      <c r="B2958" s="5">
        <v>124</v>
      </c>
      <c r="C2958" s="5">
        <v>5</v>
      </c>
      <c r="D2958" s="379">
        <v>55.716111111111118</v>
      </c>
      <c r="E2958" s="25">
        <v>23.59</v>
      </c>
      <c r="F2958" s="379">
        <v>0.27546296296296297</v>
      </c>
      <c r="G2958" s="25">
        <v>32.81</v>
      </c>
      <c r="H2958" s="379">
        <v>1.875552840195911</v>
      </c>
      <c r="I2958" s="25">
        <v>42.1</v>
      </c>
      <c r="J2958" s="379">
        <v>1.3605549470073204</v>
      </c>
    </row>
    <row r="2959" spans="1:10" x14ac:dyDescent="0.35">
      <c r="A2959" s="5">
        <v>2955</v>
      </c>
      <c r="B2959" s="5">
        <v>124</v>
      </c>
      <c r="C2959" s="5">
        <v>5</v>
      </c>
      <c r="D2959" s="379">
        <v>55.56333333333334</v>
      </c>
      <c r="E2959" s="25">
        <v>23.41</v>
      </c>
      <c r="F2959" s="379">
        <v>0.2542735042735042</v>
      </c>
      <c r="G2959" s="25">
        <v>32.79</v>
      </c>
      <c r="H2959" s="379">
        <v>1.875552840195911</v>
      </c>
      <c r="I2959" s="25">
        <v>44.6</v>
      </c>
      <c r="J2959" s="379">
        <v>1.3605549470073204</v>
      </c>
    </row>
    <row r="2960" spans="1:10" x14ac:dyDescent="0.35">
      <c r="A2960" s="5">
        <v>2956</v>
      </c>
      <c r="B2960" s="5">
        <v>124</v>
      </c>
      <c r="C2960" s="5">
        <v>5</v>
      </c>
      <c r="D2960" s="379">
        <v>55.647222222222226</v>
      </c>
      <c r="E2960" s="25">
        <v>23.41</v>
      </c>
      <c r="F2960" s="379">
        <v>0.27019658038046634</v>
      </c>
      <c r="G2960" s="25">
        <v>32.81</v>
      </c>
      <c r="H2960" s="379">
        <v>1.875552840195911</v>
      </c>
      <c r="I2960" s="25">
        <v>46.06</v>
      </c>
      <c r="J2960" s="379">
        <v>1.3605549470073204</v>
      </c>
    </row>
    <row r="2961" spans="1:10" x14ac:dyDescent="0.35">
      <c r="A2961" s="5">
        <v>2957</v>
      </c>
      <c r="B2961" s="5">
        <v>124</v>
      </c>
      <c r="C2961" s="5">
        <v>5</v>
      </c>
      <c r="D2961" s="379">
        <v>58.024444444444441</v>
      </c>
      <c r="E2961" s="25">
        <v>24.11</v>
      </c>
      <c r="F2961" s="379">
        <v>0.23580303917227821</v>
      </c>
      <c r="G2961" s="25">
        <v>33.799999999999997</v>
      </c>
      <c r="H2961" s="379">
        <v>1.906589528194125</v>
      </c>
      <c r="I2961" s="25">
        <v>46.06</v>
      </c>
      <c r="J2961" s="379">
        <v>1.3605549470073204</v>
      </c>
    </row>
    <row r="2962" spans="1:10" x14ac:dyDescent="0.35">
      <c r="A2962" s="5">
        <v>2958</v>
      </c>
      <c r="B2962" s="5">
        <v>124</v>
      </c>
      <c r="C2962" s="5">
        <v>5</v>
      </c>
      <c r="D2962" s="379">
        <v>65.962222222222223</v>
      </c>
      <c r="E2962" s="25">
        <v>24.84</v>
      </c>
      <c r="F2962" s="379">
        <v>3.8769012261874032</v>
      </c>
      <c r="G2962" s="25">
        <v>35.86</v>
      </c>
      <c r="H2962" s="379">
        <v>1.906589528194125</v>
      </c>
      <c r="I2962" s="25">
        <v>46.39</v>
      </c>
      <c r="J2962" s="379">
        <v>1.3605549470073204</v>
      </c>
    </row>
    <row r="2963" spans="1:10" x14ac:dyDescent="0.35">
      <c r="A2963" s="5">
        <v>2959</v>
      </c>
      <c r="B2963" s="5">
        <v>124</v>
      </c>
      <c r="C2963" s="5">
        <v>5</v>
      </c>
      <c r="D2963" s="379">
        <v>74.11999999999999</v>
      </c>
      <c r="E2963" s="25">
        <v>24.84</v>
      </c>
      <c r="F2963" s="379">
        <v>0.14480167642852412</v>
      </c>
      <c r="G2963" s="25">
        <v>42.62</v>
      </c>
      <c r="H2963" s="379">
        <v>1.906589528194125</v>
      </c>
      <c r="I2963" s="25">
        <v>48.86</v>
      </c>
      <c r="J2963" s="379">
        <v>1.3605549470073204</v>
      </c>
    </row>
    <row r="2964" spans="1:10" x14ac:dyDescent="0.35">
      <c r="A2964" s="5">
        <v>2960</v>
      </c>
      <c r="B2964" s="5">
        <v>124</v>
      </c>
      <c r="C2964" s="5">
        <v>5</v>
      </c>
      <c r="D2964" s="379">
        <v>72.634999999999991</v>
      </c>
      <c r="E2964" s="25">
        <v>24.99</v>
      </c>
      <c r="F2964" s="379">
        <v>0.14480167642852412</v>
      </c>
      <c r="G2964" s="25">
        <v>42.62</v>
      </c>
      <c r="H2964" s="379">
        <v>1.906589528194125</v>
      </c>
      <c r="I2964" s="25">
        <v>50.21</v>
      </c>
      <c r="J2964" s="379">
        <v>1.3605549470073204</v>
      </c>
    </row>
    <row r="2965" spans="1:10" x14ac:dyDescent="0.35">
      <c r="A2965" s="5">
        <v>2961</v>
      </c>
      <c r="B2965" s="5">
        <v>124</v>
      </c>
      <c r="C2965" s="5">
        <v>5</v>
      </c>
      <c r="D2965" s="379">
        <v>66.172222222222217</v>
      </c>
      <c r="E2965" s="25">
        <v>24.99</v>
      </c>
      <c r="F2965" s="379">
        <v>3.5756434952257288</v>
      </c>
      <c r="G2965" s="25">
        <v>42.29</v>
      </c>
      <c r="H2965" s="379">
        <v>1.8457190916956596</v>
      </c>
      <c r="I2965" s="25">
        <v>48.93</v>
      </c>
      <c r="J2965" s="379">
        <v>1.3605549470073204</v>
      </c>
    </row>
    <row r="2966" spans="1:10" x14ac:dyDescent="0.35">
      <c r="A2966" s="5">
        <v>2962</v>
      </c>
      <c r="B2966" s="5">
        <v>124</v>
      </c>
      <c r="C2966" s="5">
        <v>5</v>
      </c>
      <c r="D2966" s="379">
        <v>61.052222222222227</v>
      </c>
      <c r="E2966" s="25">
        <v>24.84</v>
      </c>
      <c r="F2966" s="379">
        <v>3.2984688817194554</v>
      </c>
      <c r="G2966" s="25">
        <v>42.19</v>
      </c>
      <c r="H2966" s="379">
        <v>1.8457190916956596</v>
      </c>
      <c r="I2966" s="25">
        <v>48.79</v>
      </c>
      <c r="J2966" s="379">
        <v>0.92969590665355439</v>
      </c>
    </row>
    <row r="2967" spans="1:10" x14ac:dyDescent="0.35">
      <c r="A2967" s="5">
        <v>2963</v>
      </c>
      <c r="B2967" s="5">
        <v>124</v>
      </c>
      <c r="C2967" s="5">
        <v>5</v>
      </c>
      <c r="D2967" s="379">
        <v>57.105555555555554</v>
      </c>
      <c r="E2967" s="25">
        <v>24.84</v>
      </c>
      <c r="F2967" s="379">
        <v>3.2984688817194554</v>
      </c>
      <c r="G2967" s="25">
        <v>42.19</v>
      </c>
      <c r="H2967" s="379">
        <v>1.8457190916956596</v>
      </c>
      <c r="I2967" s="25">
        <v>47.31</v>
      </c>
      <c r="J2967" s="379">
        <v>2.777777777777778E-2</v>
      </c>
    </row>
    <row r="2968" spans="1:10" x14ac:dyDescent="0.35">
      <c r="A2968" s="5">
        <v>2964</v>
      </c>
      <c r="B2968" s="5">
        <v>124</v>
      </c>
      <c r="C2968" s="5">
        <v>5</v>
      </c>
      <c r="D2968" s="379">
        <v>56.475000000000001</v>
      </c>
      <c r="E2968" s="25">
        <v>24.84</v>
      </c>
      <c r="F2968" s="379">
        <v>3.1769319277418884</v>
      </c>
      <c r="G2968" s="25">
        <v>40.96</v>
      </c>
      <c r="H2968" s="379">
        <v>1.8457190916956596</v>
      </c>
      <c r="I2968" s="25">
        <v>46.84</v>
      </c>
      <c r="J2968" s="379">
        <v>2.777777777777778E-2</v>
      </c>
    </row>
    <row r="2969" spans="1:10" x14ac:dyDescent="0.35">
      <c r="A2969" s="5">
        <v>2965</v>
      </c>
      <c r="B2969" s="5">
        <v>124</v>
      </c>
      <c r="C2969" s="5">
        <v>5</v>
      </c>
      <c r="D2969" s="379">
        <v>54.861666666666665</v>
      </c>
      <c r="E2969" s="25">
        <v>24.84</v>
      </c>
      <c r="F2969" s="379">
        <v>3.1512364416311915</v>
      </c>
      <c r="G2969" s="25">
        <v>36.229999999999997</v>
      </c>
      <c r="H2969" s="379">
        <v>1.8457190916956596</v>
      </c>
      <c r="I2969" s="25">
        <v>46.52</v>
      </c>
      <c r="J2969" s="379">
        <v>2.777777777777778E-2</v>
      </c>
    </row>
    <row r="2970" spans="1:10" x14ac:dyDescent="0.35">
      <c r="A2970" s="5">
        <v>2966</v>
      </c>
      <c r="B2970" s="5">
        <v>124</v>
      </c>
      <c r="C2970" s="5">
        <v>5</v>
      </c>
      <c r="D2970" s="379">
        <v>53.68333333333333</v>
      </c>
      <c r="E2970" s="25">
        <v>24.84</v>
      </c>
      <c r="F2970" s="379">
        <v>3.1769319277418884</v>
      </c>
      <c r="G2970" s="25">
        <v>36.229999999999997</v>
      </c>
      <c r="H2970" s="379">
        <v>1.6677711224487881</v>
      </c>
      <c r="I2970" s="25">
        <v>47.44</v>
      </c>
      <c r="J2970" s="379">
        <v>2.777777777777778E-2</v>
      </c>
    </row>
    <row r="2971" spans="1:10" x14ac:dyDescent="0.35">
      <c r="A2971" s="5">
        <v>2967</v>
      </c>
      <c r="B2971" s="5">
        <v>124</v>
      </c>
      <c r="C2971" s="5">
        <v>5</v>
      </c>
      <c r="D2971" s="379">
        <v>54.774444444444448</v>
      </c>
      <c r="E2971" s="25">
        <v>24.84</v>
      </c>
      <c r="F2971" s="379">
        <v>3.1769319277418884</v>
      </c>
      <c r="G2971" s="25">
        <v>36.229999999999997</v>
      </c>
      <c r="H2971" s="379">
        <v>1.2655816667086657</v>
      </c>
      <c r="I2971" s="25">
        <v>48.86</v>
      </c>
      <c r="J2971" s="379">
        <v>5.1162482169034962E-2</v>
      </c>
    </row>
    <row r="2972" spans="1:10" x14ac:dyDescent="0.35">
      <c r="A2972" s="5">
        <v>2968</v>
      </c>
      <c r="B2972" s="5">
        <v>124</v>
      </c>
      <c r="C2972" s="5">
        <v>5</v>
      </c>
      <c r="D2972" s="379">
        <v>57.389999999999993</v>
      </c>
      <c r="E2972" s="25">
        <v>24.84</v>
      </c>
      <c r="F2972" s="379">
        <v>0.21036147052782911</v>
      </c>
      <c r="G2972" s="25">
        <v>42.42</v>
      </c>
      <c r="H2972" s="379">
        <v>4.1196653541323076E-2</v>
      </c>
      <c r="I2972" s="25">
        <v>48.86</v>
      </c>
      <c r="J2972" s="379">
        <v>0.39127174599041198</v>
      </c>
    </row>
    <row r="2973" spans="1:10" x14ac:dyDescent="0.35">
      <c r="A2973" s="5">
        <v>2969</v>
      </c>
      <c r="B2973" s="5">
        <v>124</v>
      </c>
      <c r="C2973" s="5">
        <v>5</v>
      </c>
      <c r="D2973" s="379">
        <v>62.477222222222231</v>
      </c>
      <c r="E2973" s="25">
        <v>24.99</v>
      </c>
      <c r="F2973" s="379">
        <v>8.1174834595959595</v>
      </c>
      <c r="G2973" s="25">
        <v>44.69</v>
      </c>
      <c r="H2973" s="379">
        <v>7.737063552567415</v>
      </c>
      <c r="I2973" s="25">
        <v>49.69</v>
      </c>
      <c r="J2973" s="379">
        <v>1.1351433921198073</v>
      </c>
    </row>
    <row r="2974" spans="1:10" x14ac:dyDescent="0.35">
      <c r="A2974" s="5">
        <v>2970</v>
      </c>
      <c r="B2974" s="5">
        <v>124</v>
      </c>
      <c r="C2974" s="5">
        <v>5</v>
      </c>
      <c r="D2974" s="379">
        <v>66.776666666666671</v>
      </c>
      <c r="E2974" s="25">
        <v>26.39</v>
      </c>
      <c r="F2974" s="379">
        <v>16.730884820217369</v>
      </c>
      <c r="G2974" s="25">
        <v>44.69</v>
      </c>
      <c r="H2974" s="379">
        <v>9.2132068423192095</v>
      </c>
      <c r="I2974" s="25">
        <v>51.64</v>
      </c>
      <c r="J2974" s="379">
        <v>7.1598221957483812</v>
      </c>
    </row>
    <row r="2975" spans="1:10" x14ac:dyDescent="0.35">
      <c r="A2975" s="5">
        <v>2971</v>
      </c>
      <c r="B2975" s="5">
        <v>124</v>
      </c>
      <c r="C2975" s="5">
        <v>5</v>
      </c>
      <c r="D2975" s="379">
        <v>71.100555555555545</v>
      </c>
      <c r="E2975" s="25">
        <v>27.1</v>
      </c>
      <c r="F2975" s="379">
        <v>15.929031855514335</v>
      </c>
      <c r="G2975" s="25">
        <v>47.85</v>
      </c>
      <c r="H2975" s="379">
        <v>9.5753172458160876</v>
      </c>
      <c r="I2975" s="25">
        <v>53.71</v>
      </c>
      <c r="J2975" s="379">
        <v>7.0352183234985786</v>
      </c>
    </row>
    <row r="2976" spans="1:10" x14ac:dyDescent="0.35">
      <c r="A2976" s="5">
        <v>2972</v>
      </c>
      <c r="B2976" s="5">
        <v>124</v>
      </c>
      <c r="C2976" s="5">
        <v>5</v>
      </c>
      <c r="D2976" s="379">
        <v>71.756666666666675</v>
      </c>
      <c r="E2976" s="25">
        <v>27.54</v>
      </c>
      <c r="F2976" s="379">
        <v>16.588246387271148</v>
      </c>
      <c r="G2976" s="25">
        <v>47.85</v>
      </c>
      <c r="H2976" s="379">
        <v>10.458241552926006</v>
      </c>
      <c r="I2976" s="25">
        <v>53.71</v>
      </c>
      <c r="J2976" s="379">
        <v>7.0331812944192293</v>
      </c>
    </row>
    <row r="2977" spans="1:10" x14ac:dyDescent="0.35">
      <c r="A2977" s="5">
        <v>2973</v>
      </c>
      <c r="B2977" s="5">
        <v>124</v>
      </c>
      <c r="C2977" s="5">
        <v>5</v>
      </c>
      <c r="D2977" s="379">
        <v>65.398888888888891</v>
      </c>
      <c r="E2977" s="25">
        <v>27.3</v>
      </c>
      <c r="F2977" s="379">
        <v>17.91145170427102</v>
      </c>
      <c r="G2977" s="25">
        <v>47.85</v>
      </c>
      <c r="H2977" s="379">
        <v>10.561353019410349</v>
      </c>
      <c r="I2977" s="25">
        <v>53.71</v>
      </c>
      <c r="J2977" s="379">
        <v>6.987601014736712</v>
      </c>
    </row>
    <row r="2978" spans="1:10" x14ac:dyDescent="0.35">
      <c r="A2978" s="5">
        <v>2974</v>
      </c>
      <c r="B2978" s="5">
        <v>124</v>
      </c>
      <c r="C2978" s="5">
        <v>5</v>
      </c>
      <c r="D2978" s="379">
        <v>60.322222222222223</v>
      </c>
      <c r="E2978" s="25">
        <v>25.59</v>
      </c>
      <c r="F2978" s="379">
        <v>11.894674530371605</v>
      </c>
      <c r="G2978" s="25">
        <v>44.69</v>
      </c>
      <c r="H2978" s="379">
        <v>9.7863852745620203</v>
      </c>
      <c r="I2978" s="25">
        <v>52.55</v>
      </c>
      <c r="J2978" s="379">
        <v>6.7511136554206521</v>
      </c>
    </row>
    <row r="2979" spans="1:10" x14ac:dyDescent="0.35">
      <c r="A2979" s="5">
        <v>2975</v>
      </c>
      <c r="B2979" s="5">
        <v>124</v>
      </c>
      <c r="C2979" s="5">
        <v>5</v>
      </c>
      <c r="D2979" s="379">
        <v>55.857777777777784</v>
      </c>
      <c r="E2979" s="25">
        <v>24.84</v>
      </c>
      <c r="F2979" s="379">
        <v>8.5149468505131676</v>
      </c>
      <c r="G2979" s="25">
        <v>43.56</v>
      </c>
      <c r="H2979" s="379">
        <v>9.7224986859520381</v>
      </c>
      <c r="I2979" s="25">
        <v>50.19</v>
      </c>
      <c r="J2979" s="379">
        <v>6.8119840909417642</v>
      </c>
    </row>
    <row r="2980" spans="1:10" x14ac:dyDescent="0.35">
      <c r="A2980" s="5">
        <v>2976</v>
      </c>
      <c r="B2980" s="5">
        <v>124</v>
      </c>
      <c r="C2980" s="5">
        <v>5</v>
      </c>
      <c r="D2980" s="379">
        <v>54.166666666666664</v>
      </c>
      <c r="E2980" s="25">
        <v>24.84</v>
      </c>
      <c r="F2980" s="379">
        <v>4.2964479020496933</v>
      </c>
      <c r="G2980" s="25">
        <v>35.86</v>
      </c>
      <c r="H2980" s="379">
        <v>5.2871881769071445</v>
      </c>
      <c r="I2980" s="25">
        <v>46.06</v>
      </c>
      <c r="J2980" s="379">
        <v>5.5974727638875246</v>
      </c>
    </row>
    <row r="2981" spans="1:10" x14ac:dyDescent="0.35">
      <c r="A2981" s="5">
        <v>2977</v>
      </c>
      <c r="B2981" s="5">
        <v>125</v>
      </c>
      <c r="C2981" s="5">
        <v>5</v>
      </c>
      <c r="D2981" s="379">
        <v>51.629999999999995</v>
      </c>
      <c r="E2981" s="25">
        <v>24.11</v>
      </c>
      <c r="F2981" s="379">
        <v>1.6649632807926482</v>
      </c>
      <c r="G2981" s="25">
        <v>31.11</v>
      </c>
      <c r="H2981" s="379">
        <v>0.54686845831730391</v>
      </c>
      <c r="I2981" s="25">
        <v>33.67</v>
      </c>
      <c r="J2981" s="379">
        <v>0.27777777777777779</v>
      </c>
    </row>
    <row r="2982" spans="1:10" x14ac:dyDescent="0.35">
      <c r="A2982" s="5">
        <v>2978</v>
      </c>
      <c r="B2982" s="5">
        <v>125</v>
      </c>
      <c r="C2982" s="5">
        <v>5</v>
      </c>
      <c r="D2982" s="379">
        <v>51.653888888888886</v>
      </c>
      <c r="E2982" s="25">
        <v>23.59</v>
      </c>
      <c r="F2982" s="379">
        <v>5.3837097714493884</v>
      </c>
      <c r="G2982" s="25">
        <v>30.95</v>
      </c>
      <c r="H2982" s="379">
        <v>4.6206066080810198</v>
      </c>
      <c r="I2982" s="25">
        <v>33.67</v>
      </c>
      <c r="J2982" s="379">
        <v>1.5194616865894335</v>
      </c>
    </row>
    <row r="2983" spans="1:10" x14ac:dyDescent="0.35">
      <c r="A2983" s="5">
        <v>2979</v>
      </c>
      <c r="B2983" s="5">
        <v>125</v>
      </c>
      <c r="C2983" s="5">
        <v>5</v>
      </c>
      <c r="D2983" s="379">
        <v>50.817777777777778</v>
      </c>
      <c r="E2983" s="25">
        <v>23.59</v>
      </c>
      <c r="F2983" s="379">
        <v>3.3955739003872187</v>
      </c>
      <c r="G2983" s="25">
        <v>30.93</v>
      </c>
      <c r="H2983" s="379">
        <v>3.5646780010728811</v>
      </c>
      <c r="I2983" s="25">
        <v>33.67</v>
      </c>
      <c r="J2983" s="379">
        <v>0.26207715634463585</v>
      </c>
    </row>
    <row r="2984" spans="1:10" x14ac:dyDescent="0.35">
      <c r="A2984" s="5">
        <v>2980</v>
      </c>
      <c r="B2984" s="5">
        <v>125</v>
      </c>
      <c r="C2984" s="5">
        <v>5</v>
      </c>
      <c r="D2984" s="379">
        <v>50.983888888888885</v>
      </c>
      <c r="E2984" s="25">
        <v>23.59</v>
      </c>
      <c r="F2984" s="379">
        <v>3.2727733956087586</v>
      </c>
      <c r="G2984" s="25">
        <v>30.93</v>
      </c>
      <c r="H2984" s="379">
        <v>3.5646780010728811</v>
      </c>
      <c r="I2984" s="25">
        <v>33.67</v>
      </c>
      <c r="J2984" s="379">
        <v>0.17103889128031963</v>
      </c>
    </row>
    <row r="2985" spans="1:10" x14ac:dyDescent="0.35">
      <c r="A2985" s="5">
        <v>2981</v>
      </c>
      <c r="B2985" s="5">
        <v>125</v>
      </c>
      <c r="C2985" s="5">
        <v>5</v>
      </c>
      <c r="D2985" s="379">
        <v>52.870555555555555</v>
      </c>
      <c r="E2985" s="25">
        <v>23.59</v>
      </c>
      <c r="F2985" s="379">
        <v>3.2727733956087586</v>
      </c>
      <c r="G2985" s="25">
        <v>30.95</v>
      </c>
      <c r="H2985" s="379">
        <v>0.83284990234497414</v>
      </c>
      <c r="I2985" s="25">
        <v>33.67</v>
      </c>
      <c r="J2985" s="379">
        <v>4.0984226902725053E-2</v>
      </c>
    </row>
    <row r="2986" spans="1:10" x14ac:dyDescent="0.35">
      <c r="A2986" s="5">
        <v>2982</v>
      </c>
      <c r="B2986" s="5">
        <v>125</v>
      </c>
      <c r="C2986" s="5">
        <v>5</v>
      </c>
      <c r="D2986" s="379">
        <v>60.001666666666665</v>
      </c>
      <c r="E2986" s="25">
        <v>24</v>
      </c>
      <c r="F2986" s="379">
        <v>3.2727733956087586</v>
      </c>
      <c r="G2986" s="25">
        <v>31.26</v>
      </c>
      <c r="H2986" s="379">
        <v>0.83284990234497414</v>
      </c>
      <c r="I2986" s="25">
        <v>33.67</v>
      </c>
      <c r="J2986" s="379">
        <v>4.0984226902725053E-2</v>
      </c>
    </row>
    <row r="2987" spans="1:10" x14ac:dyDescent="0.35">
      <c r="A2987" s="5">
        <v>2983</v>
      </c>
      <c r="B2987" s="5">
        <v>125</v>
      </c>
      <c r="C2987" s="5">
        <v>5</v>
      </c>
      <c r="D2987" s="379">
        <v>67.274444444444441</v>
      </c>
      <c r="E2987" s="25">
        <v>24.26</v>
      </c>
      <c r="F2987" s="379">
        <v>3.2727733956087586</v>
      </c>
      <c r="G2987" s="25">
        <v>36.369999999999997</v>
      </c>
      <c r="H2987" s="379">
        <v>0.73230626370515572</v>
      </c>
      <c r="I2987" s="25">
        <v>33.67</v>
      </c>
      <c r="J2987" s="379">
        <v>2.777777777777778E-2</v>
      </c>
    </row>
    <row r="2988" spans="1:10" x14ac:dyDescent="0.35">
      <c r="A2988" s="5">
        <v>2984</v>
      </c>
      <c r="B2988" s="5">
        <v>125</v>
      </c>
      <c r="C2988" s="5">
        <v>5</v>
      </c>
      <c r="D2988" s="379">
        <v>66.655000000000001</v>
      </c>
      <c r="E2988" s="25">
        <v>24.26</v>
      </c>
      <c r="F2988" s="379">
        <v>3.2727733956087586</v>
      </c>
      <c r="G2988" s="25">
        <v>37.49</v>
      </c>
      <c r="H2988" s="379">
        <v>0.2213876284809303</v>
      </c>
      <c r="I2988" s="25">
        <v>33.67</v>
      </c>
      <c r="J2988" s="379">
        <v>2.777777777777778E-2</v>
      </c>
    </row>
    <row r="2989" spans="1:10" x14ac:dyDescent="0.35">
      <c r="A2989" s="5">
        <v>2985</v>
      </c>
      <c r="B2989" s="5">
        <v>125</v>
      </c>
      <c r="C2989" s="5">
        <v>5</v>
      </c>
      <c r="D2989" s="379">
        <v>62.842777777777776</v>
      </c>
      <c r="E2989" s="25">
        <v>23.84</v>
      </c>
      <c r="F2989" s="379">
        <v>3.2727733956087586</v>
      </c>
      <c r="G2989" s="25">
        <v>34.32</v>
      </c>
      <c r="H2989" s="379">
        <v>2.983374850025141E-2</v>
      </c>
      <c r="I2989" s="25">
        <v>33.67</v>
      </c>
      <c r="J2989" s="379">
        <v>2.777777777777778E-2</v>
      </c>
    </row>
    <row r="2990" spans="1:10" x14ac:dyDescent="0.35">
      <c r="A2990" s="5">
        <v>2986</v>
      </c>
      <c r="B2990" s="5">
        <v>125</v>
      </c>
      <c r="C2990" s="5">
        <v>5</v>
      </c>
      <c r="D2990" s="379">
        <v>58.650000000000006</v>
      </c>
      <c r="E2990" s="25">
        <v>23.41</v>
      </c>
      <c r="F2990" s="379">
        <v>2.6416491641187259</v>
      </c>
      <c r="G2990" s="25">
        <v>30.91</v>
      </c>
      <c r="H2990" s="379">
        <v>2.9833748500251406E-2</v>
      </c>
      <c r="I2990" s="25">
        <v>31.91</v>
      </c>
      <c r="J2990" s="379">
        <v>2.777777777777778E-2</v>
      </c>
    </row>
    <row r="2991" spans="1:10" x14ac:dyDescent="0.35">
      <c r="A2991" s="5">
        <v>2987</v>
      </c>
      <c r="B2991" s="5">
        <v>125</v>
      </c>
      <c r="C2991" s="5">
        <v>5</v>
      </c>
      <c r="D2991" s="379">
        <v>57.603888888888896</v>
      </c>
      <c r="E2991" s="25">
        <v>23.31</v>
      </c>
      <c r="F2991" s="379">
        <v>1.2648387354391974</v>
      </c>
      <c r="G2991" s="25">
        <v>30.03</v>
      </c>
      <c r="H2991" s="379">
        <v>2.9833748500251406E-2</v>
      </c>
      <c r="I2991" s="25">
        <v>28.62</v>
      </c>
      <c r="J2991" s="379">
        <v>2.777777777777778E-2</v>
      </c>
    </row>
    <row r="2992" spans="1:10" x14ac:dyDescent="0.35">
      <c r="A2992" s="5">
        <v>2988</v>
      </c>
      <c r="B2992" s="5">
        <v>125</v>
      </c>
      <c r="C2992" s="5">
        <v>5</v>
      </c>
      <c r="D2992" s="379">
        <v>56.070555555555551</v>
      </c>
      <c r="E2992" s="25">
        <v>22.07</v>
      </c>
      <c r="F2992" s="379">
        <v>1.1433017814616304</v>
      </c>
      <c r="G2992" s="25">
        <v>30.03</v>
      </c>
      <c r="H2992" s="379">
        <v>2.777777777777778E-2</v>
      </c>
      <c r="I2992" s="25">
        <v>28.62</v>
      </c>
      <c r="J2992" s="379">
        <v>2.777777777777778E-2</v>
      </c>
    </row>
    <row r="2993" spans="1:10" x14ac:dyDescent="0.35">
      <c r="A2993" s="5">
        <v>2989</v>
      </c>
      <c r="B2993" s="5">
        <v>125</v>
      </c>
      <c r="C2993" s="5">
        <v>5</v>
      </c>
      <c r="D2993" s="379">
        <v>54.292222222222229</v>
      </c>
      <c r="E2993" s="25">
        <v>22.07</v>
      </c>
      <c r="F2993" s="379">
        <v>0.80448715876322119</v>
      </c>
      <c r="G2993" s="25">
        <v>30.03</v>
      </c>
      <c r="H2993" s="379">
        <v>2.777777777777778E-2</v>
      </c>
      <c r="I2993" s="25">
        <v>28.62</v>
      </c>
      <c r="J2993" s="379">
        <v>2.777777777777778E-2</v>
      </c>
    </row>
    <row r="2994" spans="1:10" x14ac:dyDescent="0.35">
      <c r="A2994" s="5">
        <v>2990</v>
      </c>
      <c r="B2994" s="5">
        <v>125</v>
      </c>
      <c r="C2994" s="5">
        <v>5</v>
      </c>
      <c r="D2994" s="379">
        <v>53.255555555555553</v>
      </c>
      <c r="E2994" s="25">
        <v>21.88</v>
      </c>
      <c r="F2994" s="379">
        <v>7.3580064730008388E-2</v>
      </c>
      <c r="G2994" s="25">
        <v>30.03</v>
      </c>
      <c r="H2994" s="379">
        <v>2.777777777777778E-2</v>
      </c>
      <c r="I2994" s="25">
        <v>7.07</v>
      </c>
      <c r="J2994" s="379">
        <v>2.777777777777778E-2</v>
      </c>
    </row>
    <row r="2995" spans="1:10" x14ac:dyDescent="0.35">
      <c r="A2995" s="5">
        <v>2991</v>
      </c>
      <c r="B2995" s="5">
        <v>125</v>
      </c>
      <c r="C2995" s="5">
        <v>5</v>
      </c>
      <c r="D2995" s="379">
        <v>52.932222222222215</v>
      </c>
      <c r="E2995" s="25">
        <v>21.88</v>
      </c>
      <c r="F2995" s="379">
        <v>7.3580064730008388E-2</v>
      </c>
      <c r="G2995" s="25">
        <v>30.03</v>
      </c>
      <c r="H2995" s="379">
        <v>2.777777777777778E-2</v>
      </c>
      <c r="I2995" s="25">
        <v>28.62</v>
      </c>
      <c r="J2995" s="379">
        <v>2.777777777777778E-2</v>
      </c>
    </row>
    <row r="2996" spans="1:10" x14ac:dyDescent="0.35">
      <c r="A2996" s="5">
        <v>2992</v>
      </c>
      <c r="B2996" s="5">
        <v>125</v>
      </c>
      <c r="C2996" s="5">
        <v>5</v>
      </c>
      <c r="D2996" s="379">
        <v>54.551111111111105</v>
      </c>
      <c r="E2996" s="25">
        <v>22.07</v>
      </c>
      <c r="F2996" s="379">
        <v>7.3580064730008388E-2</v>
      </c>
      <c r="G2996" s="25">
        <v>30.03</v>
      </c>
      <c r="H2996" s="379">
        <v>2.777777777777778E-2</v>
      </c>
      <c r="I2996" s="25">
        <v>28.62</v>
      </c>
      <c r="J2996" s="379">
        <v>2.777777777777778E-2</v>
      </c>
    </row>
    <row r="2997" spans="1:10" x14ac:dyDescent="0.35">
      <c r="A2997" s="5">
        <v>2993</v>
      </c>
      <c r="B2997" s="5">
        <v>125</v>
      </c>
      <c r="C2997" s="5">
        <v>5</v>
      </c>
      <c r="D2997" s="379">
        <v>59.983333333333334</v>
      </c>
      <c r="E2997" s="25">
        <v>23.31</v>
      </c>
      <c r="F2997" s="379">
        <v>0.19038860176267738</v>
      </c>
      <c r="G2997" s="25">
        <v>30.03</v>
      </c>
      <c r="H2997" s="379">
        <v>2.777777777777778E-2</v>
      </c>
      <c r="I2997" s="25">
        <v>28.62</v>
      </c>
      <c r="J2997" s="379">
        <v>2.777777777777778E-2</v>
      </c>
    </row>
    <row r="2998" spans="1:10" x14ac:dyDescent="0.35">
      <c r="A2998" s="5">
        <v>2994</v>
      </c>
      <c r="B2998" s="5">
        <v>125</v>
      </c>
      <c r="C2998" s="5">
        <v>5</v>
      </c>
      <c r="D2998" s="379">
        <v>62.914444444444435</v>
      </c>
      <c r="E2998" s="25">
        <v>23.31</v>
      </c>
      <c r="F2998" s="379">
        <v>2.0815147248995691</v>
      </c>
      <c r="G2998" s="25">
        <v>30.64</v>
      </c>
      <c r="H2998" s="379">
        <v>2.9833748500251406E-2</v>
      </c>
      <c r="I2998" s="25">
        <v>28.62</v>
      </c>
      <c r="J2998" s="379">
        <v>2.777777777777778E-2</v>
      </c>
    </row>
    <row r="2999" spans="1:10" x14ac:dyDescent="0.35">
      <c r="A2999" s="5">
        <v>2995</v>
      </c>
      <c r="B2999" s="5">
        <v>125</v>
      </c>
      <c r="C2999" s="5">
        <v>5</v>
      </c>
      <c r="D2999" s="379">
        <v>65.590555555555554</v>
      </c>
      <c r="E2999" s="25">
        <v>23.42</v>
      </c>
      <c r="F2999" s="379">
        <v>2.0815147248995691</v>
      </c>
      <c r="G2999" s="25">
        <v>31.26</v>
      </c>
      <c r="H2999" s="379">
        <v>7.8572376607062136E-2</v>
      </c>
      <c r="I2999" s="25">
        <v>33.67</v>
      </c>
      <c r="J2999" s="379">
        <v>2.777777777777778E-2</v>
      </c>
    </row>
    <row r="3000" spans="1:10" x14ac:dyDescent="0.35">
      <c r="A3000" s="5">
        <v>2996</v>
      </c>
      <c r="B3000" s="5">
        <v>125</v>
      </c>
      <c r="C3000" s="5">
        <v>5</v>
      </c>
      <c r="D3000" s="379">
        <v>66.555555555555557</v>
      </c>
      <c r="E3000" s="25">
        <v>24.12</v>
      </c>
      <c r="F3000" s="379">
        <v>2.0815147248995691</v>
      </c>
      <c r="G3000" s="25">
        <v>32.82</v>
      </c>
      <c r="H3000" s="379">
        <v>0.13720564219326159</v>
      </c>
      <c r="I3000" s="25">
        <v>33.67</v>
      </c>
      <c r="J3000" s="379">
        <v>2.777777777777778E-2</v>
      </c>
    </row>
    <row r="3001" spans="1:10" x14ac:dyDescent="0.35">
      <c r="A3001" s="5">
        <v>2997</v>
      </c>
      <c r="B3001" s="5">
        <v>125</v>
      </c>
      <c r="C3001" s="5">
        <v>5</v>
      </c>
      <c r="D3001" s="379">
        <v>64.183333333333337</v>
      </c>
      <c r="E3001" s="25">
        <v>24.84</v>
      </c>
      <c r="F3001" s="379">
        <v>2.0905476602319983</v>
      </c>
      <c r="G3001" s="25">
        <v>34.15</v>
      </c>
      <c r="H3001" s="379">
        <v>0.13720564219326159</v>
      </c>
      <c r="I3001" s="25">
        <v>33.67</v>
      </c>
      <c r="J3001" s="379">
        <v>2.8277465877357716E-2</v>
      </c>
    </row>
    <row r="3002" spans="1:10" x14ac:dyDescent="0.35">
      <c r="A3002" s="5">
        <v>2998</v>
      </c>
      <c r="B3002" s="5">
        <v>125</v>
      </c>
      <c r="C3002" s="5">
        <v>5</v>
      </c>
      <c r="D3002" s="379">
        <v>58.548333333333339</v>
      </c>
      <c r="E3002" s="25">
        <v>24.84</v>
      </c>
      <c r="F3002" s="379">
        <v>9.4318135840641137E-2</v>
      </c>
      <c r="G3002" s="25">
        <v>33.159999999999997</v>
      </c>
      <c r="H3002" s="379">
        <v>1.875552840195911</v>
      </c>
      <c r="I3002" s="25">
        <v>33.67</v>
      </c>
      <c r="J3002" s="379">
        <v>2.8277465877357716E-2</v>
      </c>
    </row>
    <row r="3003" spans="1:10" x14ac:dyDescent="0.35">
      <c r="A3003" s="5">
        <v>2999</v>
      </c>
      <c r="B3003" s="5">
        <v>125</v>
      </c>
      <c r="C3003" s="5">
        <v>5</v>
      </c>
      <c r="D3003" s="379">
        <v>56.396111111111111</v>
      </c>
      <c r="E3003" s="25">
        <v>24.73</v>
      </c>
      <c r="F3003" s="379">
        <v>7.5064812004306314E-2</v>
      </c>
      <c r="G3003" s="25">
        <v>30.95</v>
      </c>
      <c r="H3003" s="379">
        <v>1.875552840195911</v>
      </c>
      <c r="I3003" s="25">
        <v>33.67</v>
      </c>
      <c r="J3003" s="379">
        <v>2.8277465877357716E-2</v>
      </c>
    </row>
    <row r="3004" spans="1:10" x14ac:dyDescent="0.35">
      <c r="A3004" s="5">
        <v>3000</v>
      </c>
      <c r="B3004" s="5">
        <v>125</v>
      </c>
      <c r="C3004" s="5">
        <v>5</v>
      </c>
      <c r="D3004" s="379">
        <v>52.956666666666663</v>
      </c>
      <c r="E3004" s="25">
        <v>23.41</v>
      </c>
      <c r="F3004" s="379">
        <v>6.3741689337754842E-2</v>
      </c>
      <c r="G3004" s="25">
        <v>30.93</v>
      </c>
      <c r="H3004" s="379">
        <v>0.10737189369301019</v>
      </c>
      <c r="I3004" s="25">
        <v>33.67</v>
      </c>
      <c r="J3004" s="379">
        <v>2.777777777777778E-2</v>
      </c>
    </row>
    <row r="3005" spans="1:10" x14ac:dyDescent="0.35">
      <c r="A3005" s="5">
        <v>3001</v>
      </c>
      <c r="B3005" s="5">
        <v>126</v>
      </c>
      <c r="C3005" s="5">
        <v>5</v>
      </c>
      <c r="D3005" s="379">
        <v>53.889444444444443</v>
      </c>
      <c r="E3005" s="25">
        <v>23.41</v>
      </c>
      <c r="F3005" s="379">
        <v>4.2442767015605634E-2</v>
      </c>
      <c r="G3005" s="25">
        <v>30.05</v>
      </c>
      <c r="H3005" s="379">
        <v>0.10737189369301019</v>
      </c>
      <c r="I3005" s="25">
        <v>33.67</v>
      </c>
      <c r="J3005" s="379">
        <v>5.065495977123833E-2</v>
      </c>
    </row>
    <row r="3006" spans="1:10" x14ac:dyDescent="0.35">
      <c r="A3006" s="5">
        <v>3002</v>
      </c>
      <c r="B3006" s="5">
        <v>126</v>
      </c>
      <c r="C3006" s="5">
        <v>5</v>
      </c>
      <c r="D3006" s="379">
        <v>52.573333333333323</v>
      </c>
      <c r="E3006" s="25">
        <v>22.73</v>
      </c>
      <c r="F3006" s="379">
        <v>4.1122365184451559E-2</v>
      </c>
      <c r="G3006" s="25">
        <v>30.03</v>
      </c>
      <c r="H3006" s="379">
        <v>0.10737189369301019</v>
      </c>
      <c r="I3006" s="25">
        <v>33.67</v>
      </c>
      <c r="J3006" s="379">
        <v>6.896535977722941E-2</v>
      </c>
    </row>
    <row r="3007" spans="1:10" x14ac:dyDescent="0.35">
      <c r="A3007" s="5">
        <v>3003</v>
      </c>
      <c r="B3007" s="5">
        <v>126</v>
      </c>
      <c r="C3007" s="5">
        <v>5</v>
      </c>
      <c r="D3007" s="379">
        <v>51.7</v>
      </c>
      <c r="E3007" s="25">
        <v>22.73</v>
      </c>
      <c r="F3007" s="379">
        <v>3.0114185887500828E-2</v>
      </c>
      <c r="G3007" s="25">
        <v>30.03</v>
      </c>
      <c r="H3007" s="379">
        <v>0.10737189369301019</v>
      </c>
      <c r="I3007" s="25">
        <v>33.67</v>
      </c>
      <c r="J3007" s="379">
        <v>4.0687893899871694E-2</v>
      </c>
    </row>
    <row r="3008" spans="1:10" x14ac:dyDescent="0.35">
      <c r="A3008" s="5">
        <v>3004</v>
      </c>
      <c r="B3008" s="5">
        <v>126</v>
      </c>
      <c r="C3008" s="5">
        <v>5</v>
      </c>
      <c r="D3008" s="379">
        <v>51.981666666666662</v>
      </c>
      <c r="E3008" s="25">
        <v>22.73</v>
      </c>
      <c r="F3008" s="379">
        <v>3.3675305213081805E-2</v>
      </c>
      <c r="G3008" s="25">
        <v>30.03</v>
      </c>
      <c r="H3008" s="379">
        <v>0.10737189369301019</v>
      </c>
      <c r="I3008" s="25">
        <v>33.67</v>
      </c>
      <c r="J3008" s="379">
        <v>6.896535977722941E-2</v>
      </c>
    </row>
    <row r="3009" spans="1:10" x14ac:dyDescent="0.35">
      <c r="A3009" s="5">
        <v>3005</v>
      </c>
      <c r="B3009" s="5">
        <v>126</v>
      </c>
      <c r="C3009" s="5">
        <v>5</v>
      </c>
      <c r="D3009" s="379">
        <v>55.74722222222222</v>
      </c>
      <c r="E3009" s="25">
        <v>22.73</v>
      </c>
      <c r="F3009" s="379">
        <v>2.777777777777778E-2</v>
      </c>
      <c r="G3009" s="25">
        <v>30.03</v>
      </c>
      <c r="H3009" s="379">
        <v>2.777777777777778E-2</v>
      </c>
      <c r="I3009" s="25">
        <v>33.67</v>
      </c>
      <c r="J3009" s="379">
        <v>6.896535977722941E-2</v>
      </c>
    </row>
    <row r="3010" spans="1:10" x14ac:dyDescent="0.35">
      <c r="A3010" s="5">
        <v>3006</v>
      </c>
      <c r="B3010" s="5">
        <v>126</v>
      </c>
      <c r="C3010" s="5">
        <v>5</v>
      </c>
      <c r="D3010" s="379">
        <v>62.285000000000004</v>
      </c>
      <c r="E3010" s="25">
        <v>23.41</v>
      </c>
      <c r="F3010" s="379">
        <v>2.777777777777778E-2</v>
      </c>
      <c r="G3010" s="25">
        <v>30.03</v>
      </c>
      <c r="H3010" s="379">
        <v>2.777777777777778E-2</v>
      </c>
      <c r="I3010" s="25">
        <v>32.880000000000003</v>
      </c>
      <c r="J3010" s="379">
        <v>6.896535977722941E-2</v>
      </c>
    </row>
    <row r="3011" spans="1:10" x14ac:dyDescent="0.35">
      <c r="A3011" s="5">
        <v>3007</v>
      </c>
      <c r="B3011" s="5">
        <v>126</v>
      </c>
      <c r="C3011" s="5">
        <v>5</v>
      </c>
      <c r="D3011" s="379">
        <v>70.035555555555561</v>
      </c>
      <c r="E3011" s="25">
        <v>23.41</v>
      </c>
      <c r="F3011" s="379">
        <v>2.1410074148018521</v>
      </c>
      <c r="G3011" s="25">
        <v>31.11</v>
      </c>
      <c r="H3011" s="379">
        <v>2.777777777777778E-2</v>
      </c>
      <c r="I3011" s="25">
        <v>32.880000000000003</v>
      </c>
      <c r="J3011" s="379">
        <v>6.896535977722941E-2</v>
      </c>
    </row>
    <row r="3012" spans="1:10" x14ac:dyDescent="0.35">
      <c r="A3012" s="5">
        <v>3008</v>
      </c>
      <c r="B3012" s="5">
        <v>126</v>
      </c>
      <c r="C3012" s="5">
        <v>5</v>
      </c>
      <c r="D3012" s="379">
        <v>68.710000000000008</v>
      </c>
      <c r="E3012" s="25">
        <v>23.41</v>
      </c>
      <c r="F3012" s="379">
        <v>2.0815147248995691</v>
      </c>
      <c r="G3012" s="25">
        <v>30.91</v>
      </c>
      <c r="H3012" s="379">
        <v>2.777777777777778E-2</v>
      </c>
      <c r="I3012" s="25">
        <v>32.880000000000003</v>
      </c>
      <c r="J3012" s="379">
        <v>2.777777777777778E-2</v>
      </c>
    </row>
    <row r="3013" spans="1:10" x14ac:dyDescent="0.35">
      <c r="A3013" s="5">
        <v>3009</v>
      </c>
      <c r="B3013" s="5">
        <v>126</v>
      </c>
      <c r="C3013" s="5">
        <v>5</v>
      </c>
      <c r="D3013" s="379">
        <v>63.624444444444443</v>
      </c>
      <c r="E3013" s="25">
        <v>23.31</v>
      </c>
      <c r="F3013" s="379">
        <v>2.0815147248995691</v>
      </c>
      <c r="G3013" s="25">
        <v>30.03</v>
      </c>
      <c r="H3013" s="379">
        <v>2.777777777777778E-2</v>
      </c>
      <c r="I3013" s="25">
        <v>31.18</v>
      </c>
      <c r="J3013" s="379">
        <v>2.777777777777778E-2</v>
      </c>
    </row>
    <row r="3014" spans="1:10" x14ac:dyDescent="0.35">
      <c r="A3014" s="5">
        <v>3010</v>
      </c>
      <c r="B3014" s="5">
        <v>126</v>
      </c>
      <c r="C3014" s="5">
        <v>5</v>
      </c>
      <c r="D3014" s="379">
        <v>59.096666666666664</v>
      </c>
      <c r="E3014" s="25">
        <v>20.62</v>
      </c>
      <c r="F3014" s="379">
        <v>0.19038860176267738</v>
      </c>
      <c r="G3014" s="25">
        <v>30.03</v>
      </c>
      <c r="H3014" s="379">
        <v>2.777777777777778E-2</v>
      </c>
      <c r="I3014" s="25">
        <v>7.07</v>
      </c>
      <c r="J3014" s="379">
        <v>2.777777777777778E-2</v>
      </c>
    </row>
    <row r="3015" spans="1:10" x14ac:dyDescent="0.35">
      <c r="A3015" s="5">
        <v>3011</v>
      </c>
      <c r="B3015" s="5">
        <v>126</v>
      </c>
      <c r="C3015" s="5">
        <v>5</v>
      </c>
      <c r="D3015" s="379">
        <v>56.423333333333339</v>
      </c>
      <c r="E3015" s="25">
        <v>15.82</v>
      </c>
      <c r="F3015" s="379">
        <v>7.3580064730008388E-2</v>
      </c>
      <c r="G3015" s="25">
        <v>29.64</v>
      </c>
      <c r="H3015" s="379">
        <v>2.777777777777778E-2</v>
      </c>
      <c r="I3015" s="25">
        <v>6.66</v>
      </c>
      <c r="J3015" s="379">
        <v>2.777777777777778E-2</v>
      </c>
    </row>
    <row r="3016" spans="1:10" x14ac:dyDescent="0.35">
      <c r="A3016" s="5">
        <v>3012</v>
      </c>
      <c r="B3016" s="5">
        <v>126</v>
      </c>
      <c r="C3016" s="5">
        <v>5</v>
      </c>
      <c r="D3016" s="379">
        <v>55.672777777777775</v>
      </c>
      <c r="E3016" s="25">
        <v>15.82</v>
      </c>
      <c r="F3016" s="379">
        <v>7.3580064730008388E-2</v>
      </c>
      <c r="G3016" s="25">
        <v>29.64</v>
      </c>
      <c r="H3016" s="379">
        <v>2.777777777777778E-2</v>
      </c>
      <c r="I3016" s="25">
        <v>6.66</v>
      </c>
      <c r="J3016" s="379">
        <v>2.777777777777778E-2</v>
      </c>
    </row>
    <row r="3017" spans="1:10" x14ac:dyDescent="0.35">
      <c r="A3017" s="5">
        <v>3013</v>
      </c>
      <c r="B3017" s="5">
        <v>126</v>
      </c>
      <c r="C3017" s="5">
        <v>5</v>
      </c>
      <c r="D3017" s="379">
        <v>51.983333333333327</v>
      </c>
      <c r="E3017" s="25">
        <v>15.82</v>
      </c>
      <c r="F3017" s="379">
        <v>7.3580064730008388E-2</v>
      </c>
      <c r="G3017" s="25">
        <v>29.64</v>
      </c>
      <c r="H3017" s="379">
        <v>2.777777777777778E-2</v>
      </c>
      <c r="I3017" s="25">
        <v>6.66</v>
      </c>
      <c r="J3017" s="379">
        <v>2.777777777777778E-2</v>
      </c>
    </row>
    <row r="3018" spans="1:10" x14ac:dyDescent="0.35">
      <c r="A3018" s="5">
        <v>3014</v>
      </c>
      <c r="B3018" s="5">
        <v>126</v>
      </c>
      <c r="C3018" s="5">
        <v>5</v>
      </c>
      <c r="D3018" s="379">
        <v>50.912777777777777</v>
      </c>
      <c r="E3018" s="25">
        <v>14.91</v>
      </c>
      <c r="F3018" s="379">
        <v>7.3580064730008388E-2</v>
      </c>
      <c r="G3018" s="25">
        <v>29.53</v>
      </c>
      <c r="H3018" s="379">
        <v>2.777777777777778E-2</v>
      </c>
      <c r="I3018" s="25">
        <v>6.66</v>
      </c>
      <c r="J3018" s="379">
        <v>2.777777777777778E-2</v>
      </c>
    </row>
    <row r="3019" spans="1:10" x14ac:dyDescent="0.35">
      <c r="A3019" s="5">
        <v>3015</v>
      </c>
      <c r="B3019" s="5">
        <v>126</v>
      </c>
      <c r="C3019" s="5">
        <v>5</v>
      </c>
      <c r="D3019" s="379">
        <v>50.343888888888884</v>
      </c>
      <c r="E3019" s="25">
        <v>14.91</v>
      </c>
      <c r="F3019" s="379">
        <v>7.3580064730008388E-2</v>
      </c>
      <c r="G3019" s="25">
        <v>29.35</v>
      </c>
      <c r="H3019" s="379">
        <v>2.777777777777778E-2</v>
      </c>
      <c r="I3019" s="25">
        <v>6.66</v>
      </c>
      <c r="J3019" s="379">
        <v>2.777777777777778E-2</v>
      </c>
    </row>
    <row r="3020" spans="1:10" x14ac:dyDescent="0.35">
      <c r="A3020" s="5">
        <v>3016</v>
      </c>
      <c r="B3020" s="5">
        <v>126</v>
      </c>
      <c r="C3020" s="5">
        <v>5</v>
      </c>
      <c r="D3020" s="379">
        <v>54.755555555555553</v>
      </c>
      <c r="E3020" s="25">
        <v>14.91</v>
      </c>
      <c r="F3020" s="379">
        <v>7.3580064730008388E-2</v>
      </c>
      <c r="G3020" s="25">
        <v>28.49</v>
      </c>
      <c r="H3020" s="379">
        <v>2.777777777777778E-2</v>
      </c>
      <c r="I3020" s="25">
        <v>6.66</v>
      </c>
      <c r="J3020" s="379">
        <v>2.777777777777778E-2</v>
      </c>
    </row>
    <row r="3021" spans="1:10" x14ac:dyDescent="0.35">
      <c r="A3021" s="5">
        <v>3017</v>
      </c>
      <c r="B3021" s="5">
        <v>126</v>
      </c>
      <c r="C3021" s="5">
        <v>5</v>
      </c>
      <c r="D3021" s="379">
        <v>58.606666666666669</v>
      </c>
      <c r="E3021" s="25">
        <v>15.82</v>
      </c>
      <c r="F3021" s="379">
        <v>7.3580064730008388E-2</v>
      </c>
      <c r="G3021" s="25">
        <v>29.64</v>
      </c>
      <c r="H3021" s="379">
        <v>2.777777777777778E-2</v>
      </c>
      <c r="I3021" s="25">
        <v>6.73</v>
      </c>
      <c r="J3021" s="379">
        <v>2.777777777777778E-2</v>
      </c>
    </row>
    <row r="3022" spans="1:10" x14ac:dyDescent="0.35">
      <c r="A3022" s="5">
        <v>3018</v>
      </c>
      <c r="B3022" s="5">
        <v>126</v>
      </c>
      <c r="C3022" s="5">
        <v>5</v>
      </c>
      <c r="D3022" s="379">
        <v>62.338888888888881</v>
      </c>
      <c r="E3022" s="25">
        <v>20.62</v>
      </c>
      <c r="F3022" s="379">
        <v>0.80448715876322119</v>
      </c>
      <c r="G3022" s="25">
        <v>30.03</v>
      </c>
      <c r="H3022" s="379">
        <v>2.777777777777778E-2</v>
      </c>
      <c r="I3022" s="25">
        <v>7.07</v>
      </c>
      <c r="J3022" s="379">
        <v>2.777777777777778E-2</v>
      </c>
    </row>
    <row r="3023" spans="1:10" x14ac:dyDescent="0.35">
      <c r="A3023" s="5">
        <v>3019</v>
      </c>
      <c r="B3023" s="5">
        <v>126</v>
      </c>
      <c r="C3023" s="5">
        <v>5</v>
      </c>
      <c r="D3023" s="379">
        <v>63.121666666666655</v>
      </c>
      <c r="E3023" s="25">
        <v>22.07</v>
      </c>
      <c r="F3023" s="379">
        <v>3.1512364416311915</v>
      </c>
      <c r="G3023" s="25">
        <v>30.03</v>
      </c>
      <c r="H3023" s="379">
        <v>2.983374850025141E-2</v>
      </c>
      <c r="I3023" s="25">
        <v>31.38</v>
      </c>
      <c r="J3023" s="379">
        <v>2.777777777777778E-2</v>
      </c>
    </row>
    <row r="3024" spans="1:10" x14ac:dyDescent="0.35">
      <c r="A3024" s="5">
        <v>3020</v>
      </c>
      <c r="B3024" s="5">
        <v>126</v>
      </c>
      <c r="C3024" s="5">
        <v>5</v>
      </c>
      <c r="D3024" s="379">
        <v>64.609444444444435</v>
      </c>
      <c r="E3024" s="25">
        <v>22.87</v>
      </c>
      <c r="F3024" s="379">
        <v>7.3393442888943783E-2</v>
      </c>
      <c r="G3024" s="25">
        <v>30.99</v>
      </c>
      <c r="H3024" s="379">
        <v>0.13720564219326159</v>
      </c>
      <c r="I3024" s="25">
        <v>33.67</v>
      </c>
      <c r="J3024" s="379">
        <v>2.777777777777778E-2</v>
      </c>
    </row>
    <row r="3025" spans="1:10" x14ac:dyDescent="0.35">
      <c r="A3025" s="5">
        <v>3021</v>
      </c>
      <c r="B3025" s="5">
        <v>126</v>
      </c>
      <c r="C3025" s="5">
        <v>5</v>
      </c>
      <c r="D3025" s="379">
        <v>61.840555555555561</v>
      </c>
      <c r="E3025" s="25">
        <v>22.87</v>
      </c>
      <c r="F3025" s="379">
        <v>5.6437138104754696E-2</v>
      </c>
      <c r="G3025" s="25">
        <v>31.11</v>
      </c>
      <c r="H3025" s="379">
        <v>1.875552840195911</v>
      </c>
      <c r="I3025" s="25">
        <v>34.25</v>
      </c>
      <c r="J3025" s="379">
        <v>2.777777777777778E-2</v>
      </c>
    </row>
    <row r="3026" spans="1:10" x14ac:dyDescent="0.35">
      <c r="A3026" s="5">
        <v>3022</v>
      </c>
      <c r="B3026" s="5">
        <v>126</v>
      </c>
      <c r="C3026" s="5">
        <v>5</v>
      </c>
      <c r="D3026" s="379">
        <v>59.32833333333334</v>
      </c>
      <c r="E3026" s="25">
        <v>23.31</v>
      </c>
      <c r="F3026" s="379">
        <v>6.5775098229451823E-2</v>
      </c>
      <c r="G3026" s="25">
        <v>32.79</v>
      </c>
      <c r="H3026" s="379">
        <v>1.875552840195911</v>
      </c>
      <c r="I3026" s="25">
        <v>34.25</v>
      </c>
      <c r="J3026" s="379">
        <v>3.24179375022427E-2</v>
      </c>
    </row>
    <row r="3027" spans="1:10" x14ac:dyDescent="0.35">
      <c r="A3027" s="5">
        <v>3023</v>
      </c>
      <c r="B3027" s="5">
        <v>126</v>
      </c>
      <c r="C3027" s="5">
        <v>5</v>
      </c>
      <c r="D3027" s="379">
        <v>54.709999999999994</v>
      </c>
      <c r="E3027" s="25">
        <v>21.24</v>
      </c>
      <c r="F3027" s="379">
        <v>3.1512364416311915</v>
      </c>
      <c r="G3027" s="25">
        <v>30.03</v>
      </c>
      <c r="H3027" s="379">
        <v>1.875552840195911</v>
      </c>
      <c r="I3027" s="25">
        <v>33.67</v>
      </c>
      <c r="J3027" s="379">
        <v>3.24179375022427E-2</v>
      </c>
    </row>
    <row r="3028" spans="1:10" x14ac:dyDescent="0.35">
      <c r="A3028" s="5">
        <v>3024</v>
      </c>
      <c r="B3028" s="5">
        <v>126</v>
      </c>
      <c r="C3028" s="5">
        <v>5</v>
      </c>
      <c r="D3028" s="379">
        <v>51.538333333333334</v>
      </c>
      <c r="E3028" s="25">
        <v>17.05</v>
      </c>
      <c r="F3028" s="379">
        <v>2.8752154517683559</v>
      </c>
      <c r="G3028" s="25">
        <v>30.03</v>
      </c>
      <c r="H3028" s="379">
        <v>1.875552840195911</v>
      </c>
      <c r="I3028" s="25">
        <v>33.380000000000003</v>
      </c>
      <c r="J3028" s="379">
        <v>3.24179375022427E-2</v>
      </c>
    </row>
    <row r="3029" spans="1:10" x14ac:dyDescent="0.35">
      <c r="A3029" s="5">
        <v>3025</v>
      </c>
      <c r="B3029" s="5">
        <v>127</v>
      </c>
      <c r="C3029" s="5">
        <v>5</v>
      </c>
      <c r="D3029" s="379">
        <v>48.734999999999992</v>
      </c>
      <c r="E3029" s="25">
        <v>16.3</v>
      </c>
      <c r="F3029" s="379">
        <v>2.8752154517683559</v>
      </c>
      <c r="G3029" s="25">
        <v>30.03</v>
      </c>
      <c r="H3029" s="379">
        <v>1.9065799386361724</v>
      </c>
      <c r="I3029" s="25">
        <v>33.340000000000003</v>
      </c>
      <c r="J3029" s="379">
        <v>3.24179375022427E-2</v>
      </c>
    </row>
    <row r="3030" spans="1:10" x14ac:dyDescent="0.35">
      <c r="A3030" s="5">
        <v>3026</v>
      </c>
      <c r="B3030" s="5">
        <v>127</v>
      </c>
      <c r="C3030" s="5">
        <v>5</v>
      </c>
      <c r="D3030" s="379">
        <v>48.608888888888892</v>
      </c>
      <c r="E3030" s="25">
        <v>16.3</v>
      </c>
      <c r="F3030" s="379">
        <v>2.8752154517683559</v>
      </c>
      <c r="G3030" s="25">
        <v>30.03</v>
      </c>
      <c r="H3030" s="379">
        <v>1.9065799386361724</v>
      </c>
      <c r="I3030" s="25">
        <v>33.08</v>
      </c>
      <c r="J3030" s="379">
        <v>3.24179375022427E-2</v>
      </c>
    </row>
    <row r="3031" spans="1:10" x14ac:dyDescent="0.35">
      <c r="A3031" s="5">
        <v>3027</v>
      </c>
      <c r="B3031" s="5">
        <v>127</v>
      </c>
      <c r="C3031" s="5">
        <v>5</v>
      </c>
      <c r="D3031" s="379">
        <v>47.3</v>
      </c>
      <c r="E3031" s="25">
        <v>16.3</v>
      </c>
      <c r="F3031" s="379">
        <v>2.8752154517683559</v>
      </c>
      <c r="G3031" s="25">
        <v>30.03</v>
      </c>
      <c r="H3031" s="379">
        <v>1.9065799386361724</v>
      </c>
      <c r="I3031" s="25">
        <v>33.08</v>
      </c>
      <c r="J3031" s="379">
        <v>3.24179375022427E-2</v>
      </c>
    </row>
    <row r="3032" spans="1:10" x14ac:dyDescent="0.35">
      <c r="A3032" s="5">
        <v>3028</v>
      </c>
      <c r="B3032" s="5">
        <v>127</v>
      </c>
      <c r="C3032" s="5">
        <v>5</v>
      </c>
      <c r="D3032" s="379">
        <v>46.448333333333331</v>
      </c>
      <c r="E3032" s="25">
        <v>16.3</v>
      </c>
      <c r="F3032" s="379">
        <v>3.1512364416311915</v>
      </c>
      <c r="G3032" s="25">
        <v>30.03</v>
      </c>
      <c r="H3032" s="379">
        <v>1.9065799386361724</v>
      </c>
      <c r="I3032" s="25">
        <v>33.08</v>
      </c>
      <c r="J3032" s="379">
        <v>3.24179375022427E-2</v>
      </c>
    </row>
    <row r="3033" spans="1:10" x14ac:dyDescent="0.35">
      <c r="A3033" s="5">
        <v>3029</v>
      </c>
      <c r="B3033" s="5">
        <v>127</v>
      </c>
      <c r="C3033" s="5">
        <v>5</v>
      </c>
      <c r="D3033" s="379">
        <v>46.096111111111107</v>
      </c>
      <c r="E3033" s="25">
        <v>16.3</v>
      </c>
      <c r="F3033" s="379">
        <v>3.2727733956087586</v>
      </c>
      <c r="G3033" s="25">
        <v>30.03</v>
      </c>
      <c r="H3033" s="379">
        <v>2.0996726931440155</v>
      </c>
      <c r="I3033" s="25">
        <v>33.380000000000003</v>
      </c>
      <c r="J3033" s="379">
        <v>3.24179375022427E-2</v>
      </c>
    </row>
    <row r="3034" spans="1:10" x14ac:dyDescent="0.35">
      <c r="A3034" s="5">
        <v>3030</v>
      </c>
      <c r="B3034" s="5">
        <v>127</v>
      </c>
      <c r="C3034" s="5">
        <v>5</v>
      </c>
      <c r="D3034" s="379">
        <v>46.902222222222228</v>
      </c>
      <c r="E3034" s="25">
        <v>21.88</v>
      </c>
      <c r="F3034" s="379">
        <v>0.14480167642852412</v>
      </c>
      <c r="G3034" s="25">
        <v>30.03</v>
      </c>
      <c r="H3034" s="379">
        <v>2.3638660677750654</v>
      </c>
      <c r="I3034" s="25">
        <v>33.67</v>
      </c>
      <c r="J3034" s="379">
        <v>5.3637331864364438E-2</v>
      </c>
    </row>
    <row r="3035" spans="1:10" x14ac:dyDescent="0.35">
      <c r="A3035" s="5">
        <v>3031</v>
      </c>
      <c r="B3035" s="5">
        <v>127</v>
      </c>
      <c r="C3035" s="5">
        <v>5</v>
      </c>
      <c r="D3035" s="379">
        <v>51.549444444444447</v>
      </c>
      <c r="E3035" s="25">
        <v>23.59</v>
      </c>
      <c r="F3035" s="379">
        <v>0.14480167642852412</v>
      </c>
      <c r="G3035" s="25">
        <v>30.94</v>
      </c>
      <c r="H3035" s="379">
        <v>2.3966112308258993</v>
      </c>
      <c r="I3035" s="25">
        <v>33.74</v>
      </c>
      <c r="J3035" s="379">
        <v>9.7060144618968613E-2</v>
      </c>
    </row>
    <row r="3036" spans="1:10" x14ac:dyDescent="0.35">
      <c r="A3036" s="5">
        <v>3032</v>
      </c>
      <c r="B3036" s="5">
        <v>127</v>
      </c>
      <c r="C3036" s="5">
        <v>5</v>
      </c>
      <c r="D3036" s="379">
        <v>52.776111111111099</v>
      </c>
      <c r="E3036" s="25">
        <v>23.59</v>
      </c>
      <c r="F3036" s="379">
        <v>3.2758538972868281</v>
      </c>
      <c r="G3036" s="25">
        <v>33.799999999999997</v>
      </c>
      <c r="H3036" s="379">
        <v>2.002639945203363</v>
      </c>
      <c r="I3036" s="25">
        <v>34.450000000000003</v>
      </c>
      <c r="J3036" s="379">
        <v>9.7060144618968613E-2</v>
      </c>
    </row>
    <row r="3037" spans="1:10" x14ac:dyDescent="0.35">
      <c r="A3037" s="5">
        <v>3033</v>
      </c>
      <c r="B3037" s="5">
        <v>127</v>
      </c>
      <c r="C3037" s="5">
        <v>5</v>
      </c>
      <c r="D3037" s="379">
        <v>51.212222222222216</v>
      </c>
      <c r="E3037" s="25">
        <v>24.11</v>
      </c>
      <c r="F3037" s="379">
        <v>3.2758538972868281</v>
      </c>
      <c r="G3037" s="25">
        <v>31.52</v>
      </c>
      <c r="H3037" s="379">
        <v>1.9393346912449589</v>
      </c>
      <c r="I3037" s="25">
        <v>33.67</v>
      </c>
      <c r="J3037" s="379">
        <v>2.777777777777778E-2</v>
      </c>
    </row>
    <row r="3038" spans="1:10" x14ac:dyDescent="0.35">
      <c r="A3038" s="5">
        <v>3034</v>
      </c>
      <c r="B3038" s="5">
        <v>127</v>
      </c>
      <c r="C3038" s="5">
        <v>5</v>
      </c>
      <c r="D3038" s="379">
        <v>49.251111111111108</v>
      </c>
      <c r="E3038" s="25">
        <v>23.59</v>
      </c>
      <c r="F3038" s="379">
        <v>3.2758538972868281</v>
      </c>
      <c r="G3038" s="25">
        <v>30.03</v>
      </c>
      <c r="H3038" s="379">
        <v>0.17185874988733624</v>
      </c>
      <c r="I3038" s="25">
        <v>33.67</v>
      </c>
      <c r="J3038" s="379">
        <v>2.777777777777778E-2</v>
      </c>
    </row>
    <row r="3039" spans="1:10" x14ac:dyDescent="0.35">
      <c r="A3039" s="5">
        <v>3035</v>
      </c>
      <c r="B3039" s="5">
        <v>127</v>
      </c>
      <c r="C3039" s="5">
        <v>5</v>
      </c>
      <c r="D3039" s="379">
        <v>48.206666666666671</v>
      </c>
      <c r="E3039" s="25">
        <v>23.59</v>
      </c>
      <c r="F3039" s="379">
        <v>3.2727733956087586</v>
      </c>
      <c r="G3039" s="25">
        <v>30.03</v>
      </c>
      <c r="H3039" s="379">
        <v>2.777777777777778E-2</v>
      </c>
      <c r="I3039" s="25">
        <v>33.67</v>
      </c>
      <c r="J3039" s="379">
        <v>2.777777777777778E-2</v>
      </c>
    </row>
    <row r="3040" spans="1:10" x14ac:dyDescent="0.35">
      <c r="A3040" s="5">
        <v>3036</v>
      </c>
      <c r="B3040" s="5">
        <v>127</v>
      </c>
      <c r="C3040" s="5">
        <v>5</v>
      </c>
      <c r="D3040" s="379">
        <v>47.153888888888886</v>
      </c>
      <c r="E3040" s="25">
        <v>23.41</v>
      </c>
      <c r="F3040" s="379">
        <v>3.2727733956087586</v>
      </c>
      <c r="G3040" s="25">
        <v>30.03</v>
      </c>
      <c r="H3040" s="379">
        <v>4.3922031215437897E-2</v>
      </c>
      <c r="I3040" s="25">
        <v>33.67</v>
      </c>
      <c r="J3040" s="379">
        <v>2.777777777777778E-2</v>
      </c>
    </row>
    <row r="3041" spans="1:10" x14ac:dyDescent="0.35">
      <c r="A3041" s="5">
        <v>3037</v>
      </c>
      <c r="B3041" s="5">
        <v>127</v>
      </c>
      <c r="C3041" s="5">
        <v>5</v>
      </c>
      <c r="D3041" s="379">
        <v>44.111666666666665</v>
      </c>
      <c r="E3041" s="25">
        <v>23.41</v>
      </c>
      <c r="F3041" s="379">
        <v>3.2727733956087586</v>
      </c>
      <c r="G3041" s="25">
        <v>30.03</v>
      </c>
      <c r="H3041" s="379">
        <v>2.983374850025141E-2</v>
      </c>
      <c r="I3041" s="25">
        <v>33.67</v>
      </c>
      <c r="J3041" s="379">
        <v>2.777777777777778E-2</v>
      </c>
    </row>
    <row r="3042" spans="1:10" x14ac:dyDescent="0.35">
      <c r="A3042" s="5">
        <v>3038</v>
      </c>
      <c r="B3042" s="5">
        <v>127</v>
      </c>
      <c r="C3042" s="5">
        <v>5</v>
      </c>
      <c r="D3042" s="379">
        <v>42.212777777777781</v>
      </c>
      <c r="E3042" s="25">
        <v>23.59</v>
      </c>
      <c r="F3042" s="379">
        <v>3.1512364416311915</v>
      </c>
      <c r="G3042" s="25">
        <v>30.03</v>
      </c>
      <c r="H3042" s="379">
        <v>2.983374850025141E-2</v>
      </c>
      <c r="I3042" s="25">
        <v>33.67</v>
      </c>
      <c r="J3042" s="379">
        <v>2.777777777777778E-2</v>
      </c>
    </row>
    <row r="3043" spans="1:10" x14ac:dyDescent="0.35">
      <c r="A3043" s="5">
        <v>3039</v>
      </c>
      <c r="B3043" s="5">
        <v>127</v>
      </c>
      <c r="C3043" s="5">
        <v>5</v>
      </c>
      <c r="D3043" s="379">
        <v>41.367777777777782</v>
      </c>
      <c r="E3043" s="25">
        <v>23.59</v>
      </c>
      <c r="F3043" s="379">
        <v>6.2190448352583236E-2</v>
      </c>
      <c r="G3043" s="25">
        <v>30.03</v>
      </c>
      <c r="H3043" s="379">
        <v>2.983374850025141E-2</v>
      </c>
      <c r="I3043" s="25">
        <v>33.67</v>
      </c>
      <c r="J3043" s="379">
        <v>2.777777777777778E-2</v>
      </c>
    </row>
    <row r="3044" spans="1:10" x14ac:dyDescent="0.35">
      <c r="A3044" s="5">
        <v>3040</v>
      </c>
      <c r="B3044" s="5">
        <v>127</v>
      </c>
      <c r="C3044" s="5">
        <v>5</v>
      </c>
      <c r="D3044" s="379">
        <v>44.678888888888885</v>
      </c>
      <c r="E3044" s="25">
        <v>23.59</v>
      </c>
      <c r="F3044" s="379">
        <v>5.3391812901000077E-2</v>
      </c>
      <c r="G3044" s="25">
        <v>30.93</v>
      </c>
      <c r="H3044" s="379">
        <v>0.15129392490844809</v>
      </c>
      <c r="I3044" s="25">
        <v>33.67</v>
      </c>
      <c r="J3044" s="379">
        <v>2.777777777777778E-2</v>
      </c>
    </row>
    <row r="3045" spans="1:10" x14ac:dyDescent="0.35">
      <c r="A3045" s="5">
        <v>3041</v>
      </c>
      <c r="B3045" s="5">
        <v>127</v>
      </c>
      <c r="C3045" s="5">
        <v>5</v>
      </c>
      <c r="D3045" s="379">
        <v>48.578888888888891</v>
      </c>
      <c r="E3045" s="25">
        <v>23.84</v>
      </c>
      <c r="F3045" s="379">
        <v>2.4752834879224741</v>
      </c>
      <c r="G3045" s="25">
        <v>32.19</v>
      </c>
      <c r="H3045" s="379">
        <v>1.2521477318893988</v>
      </c>
      <c r="I3045" s="25">
        <v>34.25</v>
      </c>
      <c r="J3045" s="379">
        <v>2.777777777777778E-2</v>
      </c>
    </row>
    <row r="3046" spans="1:10" x14ac:dyDescent="0.35">
      <c r="A3046" s="5">
        <v>3042</v>
      </c>
      <c r="B3046" s="5">
        <v>127</v>
      </c>
      <c r="C3046" s="5">
        <v>5</v>
      </c>
      <c r="D3046" s="379">
        <v>51.343888888888891</v>
      </c>
      <c r="E3046" s="25">
        <v>24.84</v>
      </c>
      <c r="F3046" s="379">
        <v>6.1451460190202827</v>
      </c>
      <c r="G3046" s="25">
        <v>35.33</v>
      </c>
      <c r="H3046" s="379">
        <v>5.7690545932360209</v>
      </c>
      <c r="I3046" s="25">
        <v>41.42</v>
      </c>
      <c r="J3046" s="379">
        <v>4.5482554471713721</v>
      </c>
    </row>
    <row r="3047" spans="1:10" x14ac:dyDescent="0.35">
      <c r="A3047" s="5">
        <v>3043</v>
      </c>
      <c r="B3047" s="5">
        <v>127</v>
      </c>
      <c r="C3047" s="5">
        <v>5</v>
      </c>
      <c r="D3047" s="379">
        <v>53.829444444444441</v>
      </c>
      <c r="E3047" s="25">
        <v>24.84</v>
      </c>
      <c r="F3047" s="379">
        <v>17.440652703074548</v>
      </c>
      <c r="G3047" s="25">
        <v>39.770000000000003</v>
      </c>
      <c r="H3047" s="379">
        <v>12.795168470229877</v>
      </c>
      <c r="I3047" s="25">
        <v>50.19</v>
      </c>
      <c r="J3047" s="379">
        <v>5.1963910266457676</v>
      </c>
    </row>
    <row r="3048" spans="1:10" x14ac:dyDescent="0.35">
      <c r="A3048" s="5">
        <v>3044</v>
      </c>
      <c r="B3048" s="5">
        <v>127</v>
      </c>
      <c r="C3048" s="5">
        <v>5</v>
      </c>
      <c r="D3048" s="379">
        <v>53.989444444444445</v>
      </c>
      <c r="E3048" s="25">
        <v>24.84</v>
      </c>
      <c r="F3048" s="379">
        <v>16.867667504853863</v>
      </c>
      <c r="G3048" s="25">
        <v>43.56</v>
      </c>
      <c r="H3048" s="379">
        <v>19.606485353918462</v>
      </c>
      <c r="I3048" s="25">
        <v>51.64</v>
      </c>
      <c r="J3048" s="379">
        <v>6.4499695086742364</v>
      </c>
    </row>
    <row r="3049" spans="1:10" x14ac:dyDescent="0.35">
      <c r="A3049" s="5">
        <v>3045</v>
      </c>
      <c r="B3049" s="5">
        <v>127</v>
      </c>
      <c r="C3049" s="5">
        <v>5</v>
      </c>
      <c r="D3049" s="379">
        <v>53.661666666666669</v>
      </c>
      <c r="E3049" s="25">
        <v>24.99</v>
      </c>
      <c r="F3049" s="379">
        <v>17.806603945069543</v>
      </c>
      <c r="G3049" s="25">
        <v>43.56</v>
      </c>
      <c r="H3049" s="379">
        <v>19.28589532261762</v>
      </c>
      <c r="I3049" s="25">
        <v>53.27</v>
      </c>
      <c r="J3049" s="379">
        <v>7.1507171770351743</v>
      </c>
    </row>
    <row r="3050" spans="1:10" x14ac:dyDescent="0.35">
      <c r="A3050" s="5">
        <v>3046</v>
      </c>
      <c r="B3050" s="5">
        <v>127</v>
      </c>
      <c r="C3050" s="5">
        <v>5</v>
      </c>
      <c r="D3050" s="379">
        <v>52.74166666666666</v>
      </c>
      <c r="E3050" s="25">
        <v>24.84</v>
      </c>
      <c r="F3050" s="379">
        <v>19.056622296108284</v>
      </c>
      <c r="G3050" s="25">
        <v>43.56</v>
      </c>
      <c r="H3050" s="379">
        <v>16.799364531041437</v>
      </c>
      <c r="I3050" s="25">
        <v>53.71</v>
      </c>
      <c r="J3050" s="379">
        <v>7.1352553906917695</v>
      </c>
    </row>
    <row r="3051" spans="1:10" x14ac:dyDescent="0.35">
      <c r="A3051" s="5">
        <v>3047</v>
      </c>
      <c r="B3051" s="5">
        <v>127</v>
      </c>
      <c r="C3051" s="5">
        <v>5</v>
      </c>
      <c r="D3051" s="379">
        <v>52.211111111111101</v>
      </c>
      <c r="E3051" s="25">
        <v>24.84</v>
      </c>
      <c r="F3051" s="379">
        <v>20.016981063831128</v>
      </c>
      <c r="G3051" s="25">
        <v>42.29</v>
      </c>
      <c r="H3051" s="379">
        <v>17.925548429325001</v>
      </c>
      <c r="I3051" s="25">
        <v>50.19</v>
      </c>
      <c r="J3051" s="379">
        <v>7.1352553906917695</v>
      </c>
    </row>
    <row r="3052" spans="1:10" x14ac:dyDescent="0.35">
      <c r="A3052" s="5">
        <v>3048</v>
      </c>
      <c r="B3052" s="5">
        <v>127</v>
      </c>
      <c r="C3052" s="5">
        <v>5</v>
      </c>
      <c r="D3052" s="379">
        <v>51.906111111111109</v>
      </c>
      <c r="E3052" s="25">
        <v>24.84</v>
      </c>
      <c r="F3052" s="379">
        <v>20.580194703370669</v>
      </c>
      <c r="G3052" s="25">
        <v>38.61</v>
      </c>
      <c r="H3052" s="379">
        <v>18.854974845318377</v>
      </c>
      <c r="I3052" s="25">
        <v>50.19</v>
      </c>
      <c r="J3052" s="379">
        <v>7.3604515320582564</v>
      </c>
    </row>
    <row r="3053" spans="1:10" x14ac:dyDescent="0.35">
      <c r="A3053" s="5">
        <v>3049</v>
      </c>
      <c r="B3053" s="5">
        <v>128</v>
      </c>
      <c r="C3053" s="5">
        <v>5</v>
      </c>
      <c r="D3053" s="379">
        <v>49.874444444444443</v>
      </c>
      <c r="E3053" s="25">
        <v>24.84</v>
      </c>
      <c r="F3053" s="379">
        <v>20.523623762181746</v>
      </c>
      <c r="G3053" s="25">
        <v>38.61</v>
      </c>
      <c r="H3053" s="379">
        <v>18.469222598860497</v>
      </c>
      <c r="I3053" s="25">
        <v>48.45</v>
      </c>
      <c r="J3053" s="379">
        <v>7.3775077739514865</v>
      </c>
    </row>
    <row r="3054" spans="1:10" x14ac:dyDescent="0.35">
      <c r="A3054" s="5">
        <v>3050</v>
      </c>
      <c r="B3054" s="5">
        <v>128</v>
      </c>
      <c r="C3054" s="5">
        <v>5</v>
      </c>
      <c r="D3054" s="379">
        <v>49.00055555555555</v>
      </c>
      <c r="E3054" s="25">
        <v>24.84</v>
      </c>
      <c r="F3054" s="379">
        <v>20.602010694183559</v>
      </c>
      <c r="G3054" s="25">
        <v>38.61</v>
      </c>
      <c r="H3054" s="379">
        <v>16.899471326637986</v>
      </c>
      <c r="I3054" s="25">
        <v>48.37</v>
      </c>
      <c r="J3054" s="379">
        <v>7.3898643824989634</v>
      </c>
    </row>
    <row r="3055" spans="1:10" x14ac:dyDescent="0.35">
      <c r="A3055" s="5">
        <v>3051</v>
      </c>
      <c r="B3055" s="5">
        <v>128</v>
      </c>
      <c r="C3055" s="5">
        <v>5</v>
      </c>
      <c r="D3055" s="379">
        <v>47.796111111111102</v>
      </c>
      <c r="E3055" s="25">
        <v>24.84</v>
      </c>
      <c r="F3055" s="379">
        <v>20.312855972447856</v>
      </c>
      <c r="G3055" s="25">
        <v>38.61</v>
      </c>
      <c r="H3055" s="379">
        <v>17.097989535154912</v>
      </c>
      <c r="I3055" s="25">
        <v>48.09</v>
      </c>
      <c r="J3055" s="379">
        <v>7.3794247288314052</v>
      </c>
    </row>
    <row r="3056" spans="1:10" x14ac:dyDescent="0.35">
      <c r="A3056" s="5">
        <v>3052</v>
      </c>
      <c r="B3056" s="5">
        <v>128</v>
      </c>
      <c r="C3056" s="5">
        <v>5</v>
      </c>
      <c r="D3056" s="379">
        <v>47.288333333333334</v>
      </c>
      <c r="E3056" s="25">
        <v>24.84</v>
      </c>
      <c r="F3056" s="379">
        <v>19.522508096871675</v>
      </c>
      <c r="G3056" s="25">
        <v>38.61</v>
      </c>
      <c r="H3056" s="379">
        <v>17.199520232032569</v>
      </c>
      <c r="I3056" s="25">
        <v>48.09</v>
      </c>
      <c r="J3056" s="379">
        <v>7.425311451810015</v>
      </c>
    </row>
    <row r="3057" spans="1:10" x14ac:dyDescent="0.35">
      <c r="A3057" s="5">
        <v>3053</v>
      </c>
      <c r="B3057" s="5">
        <v>128</v>
      </c>
      <c r="C3057" s="5">
        <v>5</v>
      </c>
      <c r="D3057" s="379">
        <v>47.028888888888886</v>
      </c>
      <c r="E3057" s="25">
        <v>24.84</v>
      </c>
      <c r="F3057" s="379">
        <v>19.95556074664005</v>
      </c>
      <c r="G3057" s="25">
        <v>38.61</v>
      </c>
      <c r="H3057" s="379">
        <v>18.674260254027548</v>
      </c>
      <c r="I3057" s="25">
        <v>48.37</v>
      </c>
      <c r="J3057" s="379">
        <v>7.3750599576760658</v>
      </c>
    </row>
    <row r="3058" spans="1:10" x14ac:dyDescent="0.35">
      <c r="A3058" s="5">
        <v>3054</v>
      </c>
      <c r="B3058" s="5">
        <v>128</v>
      </c>
      <c r="C3058" s="5">
        <v>5</v>
      </c>
      <c r="D3058" s="379">
        <v>46.768333333333338</v>
      </c>
      <c r="E3058" s="25">
        <v>24.84</v>
      </c>
      <c r="F3058" s="379">
        <v>17.401442543160901</v>
      </c>
      <c r="G3058" s="25">
        <v>38.61</v>
      </c>
      <c r="H3058" s="379">
        <v>14.434571708147582</v>
      </c>
      <c r="I3058" s="25">
        <v>48.86</v>
      </c>
      <c r="J3058" s="379">
        <v>7.3662683170920591</v>
      </c>
    </row>
    <row r="3059" spans="1:10" x14ac:dyDescent="0.35">
      <c r="A3059" s="5">
        <v>3055</v>
      </c>
      <c r="B3059" s="5">
        <v>128</v>
      </c>
      <c r="C3059" s="5">
        <v>5</v>
      </c>
      <c r="D3059" s="379">
        <v>47.264444444444443</v>
      </c>
      <c r="E3059" s="25">
        <v>24.84</v>
      </c>
      <c r="F3059" s="379">
        <v>18.33586352379805</v>
      </c>
      <c r="G3059" s="25">
        <v>38.61</v>
      </c>
      <c r="H3059" s="379">
        <v>13.662137154874319</v>
      </c>
      <c r="I3059" s="25">
        <v>50.19</v>
      </c>
      <c r="J3059" s="379">
        <v>7.388753168905879</v>
      </c>
    </row>
    <row r="3060" spans="1:10" x14ac:dyDescent="0.35">
      <c r="A3060" s="5">
        <v>3056</v>
      </c>
      <c r="B3060" s="5">
        <v>128</v>
      </c>
      <c r="C3060" s="5">
        <v>5</v>
      </c>
      <c r="D3060" s="379">
        <v>45.653888888888886</v>
      </c>
      <c r="E3060" s="25">
        <v>24.84</v>
      </c>
      <c r="F3060" s="379">
        <v>17.693344462026893</v>
      </c>
      <c r="G3060" s="25">
        <v>39.770000000000003</v>
      </c>
      <c r="H3060" s="379">
        <v>11.15540614926331</v>
      </c>
      <c r="I3060" s="25">
        <v>49.71</v>
      </c>
      <c r="J3060" s="379">
        <v>7.3410017323704668</v>
      </c>
    </row>
    <row r="3061" spans="1:10" x14ac:dyDescent="0.35">
      <c r="A3061" s="5">
        <v>3057</v>
      </c>
      <c r="B3061" s="5">
        <v>128</v>
      </c>
      <c r="C3061" s="5">
        <v>5</v>
      </c>
      <c r="D3061" s="379">
        <v>40.557777777777773</v>
      </c>
      <c r="E3061" s="25">
        <v>24.84</v>
      </c>
      <c r="F3061" s="379">
        <v>8.3568050120712112</v>
      </c>
      <c r="G3061" s="25">
        <v>38.61</v>
      </c>
      <c r="H3061" s="379">
        <v>7.5767866947469216</v>
      </c>
      <c r="I3061" s="25">
        <v>48.09</v>
      </c>
      <c r="J3061" s="379">
        <v>5.0831355776397018</v>
      </c>
    </row>
    <row r="3062" spans="1:10" x14ac:dyDescent="0.35">
      <c r="A3062" s="5">
        <v>3058</v>
      </c>
      <c r="B3062" s="5">
        <v>128</v>
      </c>
      <c r="C3062" s="5">
        <v>5</v>
      </c>
      <c r="D3062" s="379">
        <v>36.445</v>
      </c>
      <c r="E3062" s="25">
        <v>24.84</v>
      </c>
      <c r="F3062" s="379">
        <v>8.1174834595959613</v>
      </c>
      <c r="G3062" s="25">
        <v>32.04</v>
      </c>
      <c r="H3062" s="379">
        <v>5.7894859120844036</v>
      </c>
      <c r="I3062" s="25">
        <v>37.57</v>
      </c>
      <c r="J3062" s="379">
        <v>5.4267887114806737</v>
      </c>
    </row>
    <row r="3063" spans="1:10" x14ac:dyDescent="0.35">
      <c r="A3063" s="5">
        <v>3059</v>
      </c>
      <c r="B3063" s="5">
        <v>128</v>
      </c>
      <c r="C3063" s="5">
        <v>5</v>
      </c>
      <c r="D3063" s="379">
        <v>33.840555555555561</v>
      </c>
      <c r="E3063" s="25">
        <v>24.84</v>
      </c>
      <c r="F3063" s="379">
        <v>1.8131830914614357</v>
      </c>
      <c r="G3063" s="25">
        <v>31.84</v>
      </c>
      <c r="H3063" s="379">
        <v>5.7786275482096618</v>
      </c>
      <c r="I3063" s="25">
        <v>35.770000000000003</v>
      </c>
      <c r="J3063" s="379">
        <v>4.0916900179711533</v>
      </c>
    </row>
    <row r="3064" spans="1:10" x14ac:dyDescent="0.35">
      <c r="A3064" s="5">
        <v>3060</v>
      </c>
      <c r="B3064" s="5">
        <v>128</v>
      </c>
      <c r="C3064" s="5">
        <v>5</v>
      </c>
      <c r="D3064" s="379">
        <v>31.521111111111111</v>
      </c>
      <c r="E3064" s="25">
        <v>24.84</v>
      </c>
      <c r="F3064" s="379">
        <v>5.3837097714493884</v>
      </c>
      <c r="G3064" s="25">
        <v>31.84</v>
      </c>
      <c r="H3064" s="379">
        <v>6.9616160476627806</v>
      </c>
      <c r="I3064" s="25">
        <v>35.72</v>
      </c>
      <c r="J3064" s="379">
        <v>2.7936290815382172</v>
      </c>
    </row>
    <row r="3065" spans="1:10" x14ac:dyDescent="0.35">
      <c r="A3065" s="5">
        <v>3061</v>
      </c>
      <c r="B3065" s="5">
        <v>128</v>
      </c>
      <c r="C3065" s="5">
        <v>5</v>
      </c>
      <c r="D3065" s="379">
        <v>25.919999999999995</v>
      </c>
      <c r="E3065" s="25">
        <v>24</v>
      </c>
      <c r="F3065" s="379">
        <v>5.3837097714493884</v>
      </c>
      <c r="G3065" s="25">
        <v>31.84</v>
      </c>
      <c r="H3065" s="379">
        <v>6.0334917236216139</v>
      </c>
      <c r="I3065" s="25">
        <v>35.409999999999997</v>
      </c>
      <c r="J3065" s="379">
        <v>3.9891106269884635</v>
      </c>
    </row>
    <row r="3066" spans="1:10" x14ac:dyDescent="0.35">
      <c r="A3066" s="5">
        <v>3062</v>
      </c>
      <c r="B3066" s="5">
        <v>128</v>
      </c>
      <c r="C3066" s="5">
        <v>5</v>
      </c>
      <c r="D3066" s="379">
        <v>24.921111111111109</v>
      </c>
      <c r="E3066" s="25">
        <v>24</v>
      </c>
      <c r="F3066" s="379">
        <v>2.7917535805052172</v>
      </c>
      <c r="G3066" s="25">
        <v>31.84</v>
      </c>
      <c r="H3066" s="379">
        <v>6.1193623633045391</v>
      </c>
      <c r="I3066" s="25">
        <v>35.409999999999997</v>
      </c>
      <c r="J3066" s="379">
        <v>3.979070824780381</v>
      </c>
    </row>
    <row r="3067" spans="1:10" x14ac:dyDescent="0.35">
      <c r="A3067" s="5">
        <v>3063</v>
      </c>
      <c r="B3067" s="5">
        <v>128</v>
      </c>
      <c r="C3067" s="5">
        <v>5</v>
      </c>
      <c r="D3067" s="379">
        <v>28.419444444444444</v>
      </c>
      <c r="E3067" s="25">
        <v>24.12</v>
      </c>
      <c r="F3067" s="379">
        <v>4.2383794286615251</v>
      </c>
      <c r="G3067" s="25">
        <v>31.84</v>
      </c>
      <c r="H3067" s="379">
        <v>6.0823543845655372</v>
      </c>
      <c r="I3067" s="25">
        <v>35.409999999999997</v>
      </c>
      <c r="J3067" s="379">
        <v>3.9201283514112806</v>
      </c>
    </row>
    <row r="3068" spans="1:10" x14ac:dyDescent="0.35">
      <c r="A3068" s="5">
        <v>3064</v>
      </c>
      <c r="B3068" s="5">
        <v>128</v>
      </c>
      <c r="C3068" s="5">
        <v>5</v>
      </c>
      <c r="D3068" s="379">
        <v>34.402777777777779</v>
      </c>
      <c r="E3068" s="25">
        <v>24.84</v>
      </c>
      <c r="F3068" s="379">
        <v>7.7951854315367486</v>
      </c>
      <c r="G3068" s="25">
        <v>31.84</v>
      </c>
      <c r="H3068" s="379">
        <v>5.8290745722887145</v>
      </c>
      <c r="I3068" s="25">
        <v>35.409999999999997</v>
      </c>
      <c r="J3068" s="379">
        <v>3.9825049509758226</v>
      </c>
    </row>
    <row r="3069" spans="1:10" x14ac:dyDescent="0.35">
      <c r="A3069" s="5">
        <v>3065</v>
      </c>
      <c r="B3069" s="5">
        <v>128</v>
      </c>
      <c r="C3069" s="5">
        <v>5</v>
      </c>
      <c r="D3069" s="379">
        <v>42.971666666666671</v>
      </c>
      <c r="E3069" s="25">
        <v>24.84</v>
      </c>
      <c r="F3069" s="379">
        <v>9.8606060209866797</v>
      </c>
      <c r="G3069" s="25">
        <v>31.84</v>
      </c>
      <c r="H3069" s="379">
        <v>8.8921971135849951</v>
      </c>
      <c r="I3069" s="25">
        <v>35.770000000000003</v>
      </c>
      <c r="J3069" s="379">
        <v>5.5100130306426722</v>
      </c>
    </row>
    <row r="3070" spans="1:10" x14ac:dyDescent="0.35">
      <c r="A3070" s="5">
        <v>3066</v>
      </c>
      <c r="B3070" s="5">
        <v>128</v>
      </c>
      <c r="C3070" s="5">
        <v>5</v>
      </c>
      <c r="D3070" s="379">
        <v>49.554444444444449</v>
      </c>
      <c r="E3070" s="25">
        <v>24.84</v>
      </c>
      <c r="F3070" s="379">
        <v>17.199793775407962</v>
      </c>
      <c r="G3070" s="25">
        <v>37.46</v>
      </c>
      <c r="H3070" s="379">
        <v>9.8442493013664265</v>
      </c>
      <c r="I3070" s="25">
        <v>36.869999999999997</v>
      </c>
      <c r="J3070" s="379">
        <v>5.3172315772079761</v>
      </c>
    </row>
    <row r="3071" spans="1:10" x14ac:dyDescent="0.35">
      <c r="A3071" s="5">
        <v>3067</v>
      </c>
      <c r="B3071" s="5">
        <v>128</v>
      </c>
      <c r="C3071" s="5">
        <v>5</v>
      </c>
      <c r="D3071" s="379">
        <v>54.603333333333332</v>
      </c>
      <c r="E3071" s="25">
        <v>24.84</v>
      </c>
      <c r="F3071" s="379">
        <v>17.534824468523855</v>
      </c>
      <c r="G3071" s="25">
        <v>37.46</v>
      </c>
      <c r="H3071" s="379">
        <v>10.099079659587661</v>
      </c>
      <c r="I3071" s="25">
        <v>42.08</v>
      </c>
      <c r="J3071" s="379">
        <v>5.0506706856283552</v>
      </c>
    </row>
    <row r="3072" spans="1:10" x14ac:dyDescent="0.35">
      <c r="A3072" s="5">
        <v>3068</v>
      </c>
      <c r="B3072" s="5">
        <v>128</v>
      </c>
      <c r="C3072" s="5">
        <v>5</v>
      </c>
      <c r="D3072" s="379">
        <v>55.47</v>
      </c>
      <c r="E3072" s="25">
        <v>24.84</v>
      </c>
      <c r="F3072" s="379">
        <v>16.427170660226103</v>
      </c>
      <c r="G3072" s="25">
        <v>37.46</v>
      </c>
      <c r="H3072" s="379">
        <v>10.206014899367725</v>
      </c>
      <c r="I3072" s="25">
        <v>47.31</v>
      </c>
      <c r="J3072" s="379">
        <v>5.0294060179889577</v>
      </c>
    </row>
    <row r="3073" spans="1:10" x14ac:dyDescent="0.35">
      <c r="A3073" s="5">
        <v>3069</v>
      </c>
      <c r="B3073" s="5">
        <v>128</v>
      </c>
      <c r="C3073" s="5">
        <v>5</v>
      </c>
      <c r="D3073" s="379">
        <v>53.142777777777773</v>
      </c>
      <c r="E3073" s="25">
        <v>24.84</v>
      </c>
      <c r="F3073" s="379">
        <v>16.57564159335897</v>
      </c>
      <c r="G3073" s="25">
        <v>42.29</v>
      </c>
      <c r="H3073" s="379">
        <v>9.5695694667248326</v>
      </c>
      <c r="I3073" s="25">
        <v>49.53</v>
      </c>
      <c r="J3073" s="379">
        <v>6.2127050168836142</v>
      </c>
    </row>
    <row r="3074" spans="1:10" x14ac:dyDescent="0.35">
      <c r="A3074" s="5">
        <v>3070</v>
      </c>
      <c r="B3074" s="5">
        <v>128</v>
      </c>
      <c r="C3074" s="5">
        <v>5</v>
      </c>
      <c r="D3074" s="379">
        <v>49.273333333333333</v>
      </c>
      <c r="E3074" s="25">
        <v>24.84</v>
      </c>
      <c r="F3074" s="379">
        <v>10.526170912458086</v>
      </c>
      <c r="G3074" s="25">
        <v>37.46</v>
      </c>
      <c r="H3074" s="379">
        <v>9.1552640533758716</v>
      </c>
      <c r="I3074" s="25">
        <v>49.53</v>
      </c>
      <c r="J3074" s="379">
        <v>5.8196615568676355</v>
      </c>
    </row>
    <row r="3075" spans="1:10" x14ac:dyDescent="0.35">
      <c r="A3075" s="5">
        <v>3071</v>
      </c>
      <c r="B3075" s="5">
        <v>128</v>
      </c>
      <c r="C3075" s="5">
        <v>5</v>
      </c>
      <c r="D3075" s="379">
        <v>48.768888888888888</v>
      </c>
      <c r="E3075" s="25">
        <v>24.84</v>
      </c>
      <c r="F3075" s="379">
        <v>8.9336736012743678</v>
      </c>
      <c r="G3075" s="25">
        <v>37.46</v>
      </c>
      <c r="H3075" s="379">
        <v>9.0205112352716359</v>
      </c>
      <c r="I3075" s="25">
        <v>47.31</v>
      </c>
      <c r="J3075" s="379">
        <v>5.4825290241499793</v>
      </c>
    </row>
    <row r="3076" spans="1:10" x14ac:dyDescent="0.35">
      <c r="A3076" s="5">
        <v>3072</v>
      </c>
      <c r="B3076" s="5">
        <v>128</v>
      </c>
      <c r="C3076" s="5">
        <v>5</v>
      </c>
      <c r="D3076" s="379">
        <v>45.31</v>
      </c>
      <c r="E3076" s="25">
        <v>24.84</v>
      </c>
      <c r="F3076" s="379">
        <v>8.1174834595959577</v>
      </c>
      <c r="G3076" s="25">
        <v>31.84</v>
      </c>
      <c r="H3076" s="379">
        <v>7.5233420923201137</v>
      </c>
      <c r="I3076" s="25">
        <v>35.770000000000003</v>
      </c>
      <c r="J3076" s="379">
        <v>4.8596487340806034</v>
      </c>
    </row>
    <row r="3077" spans="1:10" x14ac:dyDescent="0.35">
      <c r="A3077" s="5">
        <v>3073</v>
      </c>
      <c r="B3077" s="5">
        <v>129</v>
      </c>
      <c r="C3077" s="5">
        <v>5</v>
      </c>
      <c r="D3077" s="379">
        <v>42.62777777777778</v>
      </c>
      <c r="E3077" s="25">
        <v>23.59</v>
      </c>
      <c r="F3077" s="379">
        <v>8.1174834595959577</v>
      </c>
      <c r="G3077" s="25">
        <v>30.2</v>
      </c>
      <c r="H3077" s="379">
        <v>7.093281906235946</v>
      </c>
      <c r="I3077" s="25">
        <v>33.67</v>
      </c>
      <c r="J3077" s="379">
        <v>2.9652001625979176</v>
      </c>
    </row>
    <row r="3078" spans="1:10" x14ac:dyDescent="0.35">
      <c r="A3078" s="5">
        <v>3074</v>
      </c>
      <c r="B3078" s="5">
        <v>129</v>
      </c>
      <c r="C3078" s="5">
        <v>5</v>
      </c>
      <c r="D3078" s="379">
        <v>41.22</v>
      </c>
      <c r="E3078" s="25">
        <v>23.41</v>
      </c>
      <c r="F3078" s="379">
        <v>8.1174834595959613</v>
      </c>
      <c r="G3078" s="25">
        <v>30.03</v>
      </c>
      <c r="H3078" s="379">
        <v>4.799693804694658</v>
      </c>
      <c r="I3078" s="25">
        <v>33.67</v>
      </c>
      <c r="J3078" s="379">
        <v>3.4641333487016452</v>
      </c>
    </row>
    <row r="3079" spans="1:10" x14ac:dyDescent="0.35">
      <c r="A3079" s="5">
        <v>3075</v>
      </c>
      <c r="B3079" s="5">
        <v>129</v>
      </c>
      <c r="C3079" s="5">
        <v>5</v>
      </c>
      <c r="D3079" s="379">
        <v>39.71166666666668</v>
      </c>
      <c r="E3079" s="25">
        <v>22.73</v>
      </c>
      <c r="F3079" s="379">
        <v>8.1174834595959577</v>
      </c>
      <c r="G3079" s="25">
        <v>30.03</v>
      </c>
      <c r="H3079" s="379">
        <v>4.799693804694658</v>
      </c>
      <c r="I3079" s="25">
        <v>32.69</v>
      </c>
      <c r="J3079" s="379">
        <v>3.2467939280083979</v>
      </c>
    </row>
    <row r="3080" spans="1:10" x14ac:dyDescent="0.35">
      <c r="A3080" s="5">
        <v>3076</v>
      </c>
      <c r="B3080" s="5">
        <v>129</v>
      </c>
      <c r="C3080" s="5">
        <v>5</v>
      </c>
      <c r="D3080" s="379">
        <v>40.272777777777783</v>
      </c>
      <c r="E3080" s="25">
        <v>22.73</v>
      </c>
      <c r="F3080" s="379">
        <v>7.7406718653930611</v>
      </c>
      <c r="G3080" s="25">
        <v>30.03</v>
      </c>
      <c r="H3080" s="379">
        <v>4.799693804694658</v>
      </c>
      <c r="I3080" s="25">
        <v>32.32</v>
      </c>
      <c r="J3080" s="379">
        <v>2.801767551204601</v>
      </c>
    </row>
    <row r="3081" spans="1:10" x14ac:dyDescent="0.35">
      <c r="A3081" s="5">
        <v>3077</v>
      </c>
      <c r="B3081" s="5">
        <v>129</v>
      </c>
      <c r="C3081" s="5">
        <v>5</v>
      </c>
      <c r="D3081" s="379">
        <v>41.26</v>
      </c>
      <c r="E3081" s="25">
        <v>21.24</v>
      </c>
      <c r="F3081" s="379">
        <v>8.1174834595959595</v>
      </c>
      <c r="G3081" s="25">
        <v>30.03</v>
      </c>
      <c r="H3081" s="379">
        <v>5.1088130008100707</v>
      </c>
      <c r="I3081" s="25">
        <v>32.32</v>
      </c>
      <c r="J3081" s="379">
        <v>2.7956480341057706</v>
      </c>
    </row>
    <row r="3082" spans="1:10" x14ac:dyDescent="0.35">
      <c r="A3082" s="5">
        <v>3078</v>
      </c>
      <c r="B3082" s="5">
        <v>129</v>
      </c>
      <c r="C3082" s="5">
        <v>5</v>
      </c>
      <c r="D3082" s="379">
        <v>48.818333333333335</v>
      </c>
      <c r="E3082" s="25">
        <v>21.24</v>
      </c>
      <c r="F3082" s="379">
        <v>8.1174834595959595</v>
      </c>
      <c r="G3082" s="25">
        <v>30.03</v>
      </c>
      <c r="H3082" s="379">
        <v>4.9945285914350439</v>
      </c>
      <c r="I3082" s="25">
        <v>31.38</v>
      </c>
      <c r="J3082" s="379">
        <v>5.6333090103821784</v>
      </c>
    </row>
    <row r="3083" spans="1:10" x14ac:dyDescent="0.35">
      <c r="A3083" s="5">
        <v>3079</v>
      </c>
      <c r="B3083" s="5">
        <v>129</v>
      </c>
      <c r="C3083" s="5">
        <v>5</v>
      </c>
      <c r="D3083" s="379">
        <v>52.387777777777785</v>
      </c>
      <c r="E3083" s="25">
        <v>21.24</v>
      </c>
      <c r="F3083" s="379">
        <v>8.1174834595959577</v>
      </c>
      <c r="G3083" s="25">
        <v>30.03</v>
      </c>
      <c r="H3083" s="379">
        <v>4.7996938046946598</v>
      </c>
      <c r="I3083" s="25">
        <v>31.93</v>
      </c>
      <c r="J3083" s="379">
        <v>1.4173407271659506</v>
      </c>
    </row>
    <row r="3084" spans="1:10" x14ac:dyDescent="0.35">
      <c r="A3084" s="5">
        <v>3080</v>
      </c>
      <c r="B3084" s="5">
        <v>129</v>
      </c>
      <c r="C3084" s="5">
        <v>5</v>
      </c>
      <c r="D3084" s="379">
        <v>52.304444444444442</v>
      </c>
      <c r="E3084" s="25">
        <v>21.24</v>
      </c>
      <c r="F3084" s="379">
        <v>8.1174834595959613</v>
      </c>
      <c r="G3084" s="25">
        <v>30.03</v>
      </c>
      <c r="H3084" s="379">
        <v>4.3000812677046074</v>
      </c>
      <c r="I3084" s="25">
        <v>31.38</v>
      </c>
      <c r="J3084" s="379">
        <v>2.7786857511546716</v>
      </c>
    </row>
    <row r="3085" spans="1:10" x14ac:dyDescent="0.35">
      <c r="A3085" s="5">
        <v>3081</v>
      </c>
      <c r="B3085" s="5">
        <v>129</v>
      </c>
      <c r="C3085" s="5">
        <v>5</v>
      </c>
      <c r="D3085" s="379">
        <v>47.018333333333338</v>
      </c>
      <c r="E3085" s="25">
        <v>21.24</v>
      </c>
      <c r="F3085" s="379">
        <v>2.2438180507233008</v>
      </c>
      <c r="G3085" s="25">
        <v>30.03</v>
      </c>
      <c r="H3085" s="379">
        <v>4.0994953006370922</v>
      </c>
      <c r="I3085" s="25">
        <v>1.04</v>
      </c>
      <c r="J3085" s="379">
        <v>1.8080056175983923</v>
      </c>
    </row>
    <row r="3086" spans="1:10" x14ac:dyDescent="0.35">
      <c r="A3086" s="5">
        <v>3082</v>
      </c>
      <c r="B3086" s="5">
        <v>129</v>
      </c>
      <c r="C3086" s="5">
        <v>5</v>
      </c>
      <c r="D3086" s="379">
        <v>41.673888888888889</v>
      </c>
      <c r="E3086" s="25">
        <v>20.62</v>
      </c>
      <c r="F3086" s="379">
        <v>4.7666261420830081</v>
      </c>
      <c r="G3086" s="25">
        <v>30.03</v>
      </c>
      <c r="H3086" s="379">
        <v>2.5851443302742703</v>
      </c>
      <c r="I3086" s="25">
        <v>0.6</v>
      </c>
      <c r="J3086" s="379">
        <v>1.8042461300950274</v>
      </c>
    </row>
    <row r="3087" spans="1:10" x14ac:dyDescent="0.35">
      <c r="A3087" s="5">
        <v>3083</v>
      </c>
      <c r="B3087" s="5">
        <v>129</v>
      </c>
      <c r="C3087" s="5">
        <v>5</v>
      </c>
      <c r="D3087" s="379">
        <v>39.571111111111101</v>
      </c>
      <c r="E3087" s="25">
        <v>16.07</v>
      </c>
      <c r="F3087" s="379">
        <v>4.7666261420830081</v>
      </c>
      <c r="G3087" s="25">
        <v>29.73</v>
      </c>
      <c r="H3087" s="379">
        <v>2.2375977433963907</v>
      </c>
      <c r="I3087" s="25">
        <v>0.6</v>
      </c>
      <c r="J3087" s="379">
        <v>0.12887543510916907</v>
      </c>
    </row>
    <row r="3088" spans="1:10" x14ac:dyDescent="0.35">
      <c r="A3088" s="5">
        <v>3084</v>
      </c>
      <c r="B3088" s="5">
        <v>129</v>
      </c>
      <c r="C3088" s="5">
        <v>5</v>
      </c>
      <c r="D3088" s="379">
        <v>37.165555555555549</v>
      </c>
      <c r="E3088" s="25">
        <v>15.98</v>
      </c>
      <c r="F3088" s="379">
        <v>4.7666261420830081</v>
      </c>
      <c r="G3088" s="25">
        <v>29.53</v>
      </c>
      <c r="H3088" s="379">
        <v>2.2375977433963907</v>
      </c>
      <c r="I3088" s="25">
        <v>0.6</v>
      </c>
      <c r="J3088" s="379">
        <v>0.12887543510916907</v>
      </c>
    </row>
    <row r="3089" spans="1:10" x14ac:dyDescent="0.35">
      <c r="A3089" s="5">
        <v>3085</v>
      </c>
      <c r="B3089" s="5">
        <v>129</v>
      </c>
      <c r="C3089" s="5">
        <v>5</v>
      </c>
      <c r="D3089" s="379">
        <v>35.567777777777778</v>
      </c>
      <c r="E3089" s="25">
        <v>15.21</v>
      </c>
      <c r="F3089" s="379">
        <v>4.7666261420830081</v>
      </c>
      <c r="G3089" s="25">
        <v>29.35</v>
      </c>
      <c r="H3089" s="379">
        <v>2.2375977433963907</v>
      </c>
      <c r="I3089" s="25">
        <v>0.6</v>
      </c>
      <c r="J3089" s="379">
        <v>0.12887543510916907</v>
      </c>
    </row>
    <row r="3090" spans="1:10" x14ac:dyDescent="0.35">
      <c r="A3090" s="5">
        <v>3086</v>
      </c>
      <c r="B3090" s="5">
        <v>129</v>
      </c>
      <c r="C3090" s="5">
        <v>5</v>
      </c>
      <c r="D3090" s="379">
        <v>34.237777777777779</v>
      </c>
      <c r="E3090" s="25">
        <v>15.06</v>
      </c>
      <c r="F3090" s="379">
        <v>4.7666261420830081</v>
      </c>
      <c r="G3090" s="25">
        <v>29.35</v>
      </c>
      <c r="H3090" s="379">
        <v>2.2375977433963907</v>
      </c>
      <c r="I3090" s="25">
        <v>0.6</v>
      </c>
      <c r="J3090" s="379">
        <v>0.12887543510916907</v>
      </c>
    </row>
    <row r="3091" spans="1:10" x14ac:dyDescent="0.35">
      <c r="A3091" s="5">
        <v>3087</v>
      </c>
      <c r="B3091" s="5">
        <v>129</v>
      </c>
      <c r="C3091" s="5">
        <v>5</v>
      </c>
      <c r="D3091" s="379">
        <v>36.446666666666673</v>
      </c>
      <c r="E3091" s="25">
        <v>15.06</v>
      </c>
      <c r="F3091" s="379">
        <v>4.6230834852916995</v>
      </c>
      <c r="G3091" s="25">
        <v>29.35</v>
      </c>
      <c r="H3091" s="379">
        <v>2.2375977433963907</v>
      </c>
      <c r="I3091" s="25">
        <v>0.6</v>
      </c>
      <c r="J3091" s="379">
        <v>0.12887543510916905</v>
      </c>
    </row>
    <row r="3092" spans="1:10" x14ac:dyDescent="0.35">
      <c r="A3092" s="5">
        <v>3088</v>
      </c>
      <c r="B3092" s="5">
        <v>129</v>
      </c>
      <c r="C3092" s="5">
        <v>5</v>
      </c>
      <c r="D3092" s="379">
        <v>38.571666666666665</v>
      </c>
      <c r="E3092" s="25">
        <v>15.66</v>
      </c>
      <c r="F3092" s="379">
        <v>4.6226020249868691</v>
      </c>
      <c r="G3092" s="25">
        <v>29.53</v>
      </c>
      <c r="H3092" s="379">
        <v>2.2375977433963907</v>
      </c>
      <c r="I3092" s="25">
        <v>0.6</v>
      </c>
      <c r="J3092" s="379">
        <v>0.12887543510916905</v>
      </c>
    </row>
    <row r="3093" spans="1:10" x14ac:dyDescent="0.35">
      <c r="A3093" s="5">
        <v>3089</v>
      </c>
      <c r="B3093" s="5">
        <v>129</v>
      </c>
      <c r="C3093" s="5">
        <v>5</v>
      </c>
      <c r="D3093" s="379">
        <v>45.405000000000001</v>
      </c>
      <c r="E3093" s="25">
        <v>15.98</v>
      </c>
      <c r="F3093" s="379">
        <v>9.1152821329241712E-2</v>
      </c>
      <c r="G3093" s="25">
        <v>29.73</v>
      </c>
      <c r="H3093" s="379">
        <v>2.2375977433963907</v>
      </c>
      <c r="I3093" s="25">
        <v>0.6</v>
      </c>
      <c r="J3093" s="379">
        <v>0.12887543510916905</v>
      </c>
    </row>
    <row r="3094" spans="1:10" x14ac:dyDescent="0.35">
      <c r="A3094" s="5">
        <v>3090</v>
      </c>
      <c r="B3094" s="5">
        <v>129</v>
      </c>
      <c r="C3094" s="5">
        <v>5</v>
      </c>
      <c r="D3094" s="379">
        <v>49.002777777777773</v>
      </c>
      <c r="E3094" s="25">
        <v>17.12</v>
      </c>
      <c r="F3094" s="379">
        <v>4.7913605693657031</v>
      </c>
      <c r="G3094" s="25">
        <v>30.03</v>
      </c>
      <c r="H3094" s="379">
        <v>2.7690795232323997</v>
      </c>
      <c r="I3094" s="25">
        <v>31.18</v>
      </c>
      <c r="J3094" s="379">
        <v>0.12887543510916905</v>
      </c>
    </row>
    <row r="3095" spans="1:10" x14ac:dyDescent="0.35">
      <c r="A3095" s="5">
        <v>3091</v>
      </c>
      <c r="B3095" s="5">
        <v>129</v>
      </c>
      <c r="C3095" s="5">
        <v>5</v>
      </c>
      <c r="D3095" s="379">
        <v>52.043888888888887</v>
      </c>
      <c r="E3095" s="25">
        <v>23.42</v>
      </c>
      <c r="F3095" s="379">
        <v>1.9098402155546563</v>
      </c>
      <c r="G3095" s="25">
        <v>30.03</v>
      </c>
      <c r="H3095" s="379">
        <v>3.5646780010728811</v>
      </c>
      <c r="I3095" s="25">
        <v>32.880000000000003</v>
      </c>
      <c r="J3095" s="379">
        <v>0.16985966201189412</v>
      </c>
    </row>
    <row r="3096" spans="1:10" x14ac:dyDescent="0.35">
      <c r="A3096" s="5">
        <v>3092</v>
      </c>
      <c r="B3096" s="5">
        <v>129</v>
      </c>
      <c r="C3096" s="5">
        <v>5</v>
      </c>
      <c r="D3096" s="379">
        <v>51.252222222222215</v>
      </c>
      <c r="E3096" s="25">
        <v>23.84</v>
      </c>
      <c r="F3096" s="379">
        <v>8.1174834595959595</v>
      </c>
      <c r="G3096" s="25">
        <v>31.11</v>
      </c>
      <c r="H3096" s="379">
        <v>0.14480167642852412</v>
      </c>
      <c r="I3096" s="25">
        <v>33.67</v>
      </c>
      <c r="J3096" s="379">
        <v>0.14480167642852412</v>
      </c>
    </row>
    <row r="3097" spans="1:10" x14ac:dyDescent="0.35">
      <c r="A3097" s="5">
        <v>3093</v>
      </c>
      <c r="B3097" s="5">
        <v>129</v>
      </c>
      <c r="C3097" s="5">
        <v>5</v>
      </c>
      <c r="D3097" s="379">
        <v>49.963888888888889</v>
      </c>
      <c r="E3097" s="25">
        <v>24.12</v>
      </c>
      <c r="F3097" s="379">
        <v>8.1174834595959613</v>
      </c>
      <c r="G3097" s="25">
        <v>32.43</v>
      </c>
      <c r="H3097" s="379">
        <v>0.14480167642852412</v>
      </c>
      <c r="I3097" s="25">
        <v>37.700000000000003</v>
      </c>
      <c r="J3097" s="379">
        <v>0.14480167642852412</v>
      </c>
    </row>
    <row r="3098" spans="1:10" x14ac:dyDescent="0.35">
      <c r="A3098" s="5">
        <v>3094</v>
      </c>
      <c r="B3098" s="5">
        <v>129</v>
      </c>
      <c r="C3098" s="5">
        <v>5</v>
      </c>
      <c r="D3098" s="379">
        <v>44.922222222222224</v>
      </c>
      <c r="E3098" s="25">
        <v>24.84</v>
      </c>
      <c r="F3098" s="379">
        <v>2.1591618266322721</v>
      </c>
      <c r="G3098" s="25">
        <v>33.799999999999997</v>
      </c>
      <c r="H3098" s="379">
        <v>0.14480167642852412</v>
      </c>
      <c r="I3098" s="25">
        <v>38.39</v>
      </c>
      <c r="J3098" s="379">
        <v>0.14480167642852412</v>
      </c>
    </row>
    <row r="3099" spans="1:10" x14ac:dyDescent="0.35">
      <c r="A3099" s="5">
        <v>3095</v>
      </c>
      <c r="B3099" s="5">
        <v>129</v>
      </c>
      <c r="C3099" s="5">
        <v>5</v>
      </c>
      <c r="D3099" s="379">
        <v>43.085555555555558</v>
      </c>
      <c r="E3099" s="25">
        <v>24.84</v>
      </c>
      <c r="F3099" s="379">
        <v>0.47222222222222232</v>
      </c>
      <c r="G3099" s="25">
        <v>31.3</v>
      </c>
      <c r="H3099" s="379">
        <v>4.0068121509550938</v>
      </c>
      <c r="I3099" s="25">
        <v>35.409999999999997</v>
      </c>
      <c r="J3099" s="379">
        <v>1.7646533914857705</v>
      </c>
    </row>
    <row r="3100" spans="1:10" x14ac:dyDescent="0.35">
      <c r="A3100" s="5">
        <v>3096</v>
      </c>
      <c r="B3100" s="5">
        <v>129</v>
      </c>
      <c r="C3100" s="5">
        <v>5</v>
      </c>
      <c r="D3100" s="379">
        <v>41.344444444444434</v>
      </c>
      <c r="E3100" s="25">
        <v>24.84</v>
      </c>
      <c r="F3100" s="379">
        <v>0.47222222222222221</v>
      </c>
      <c r="G3100" s="25">
        <v>30.91</v>
      </c>
      <c r="H3100" s="379">
        <v>4.0068121509550938</v>
      </c>
      <c r="I3100" s="25">
        <v>33.67</v>
      </c>
      <c r="J3100" s="379">
        <v>0.14480167642852412</v>
      </c>
    </row>
    <row r="3101" spans="1:10" x14ac:dyDescent="0.35">
      <c r="A3101" s="5">
        <v>3097</v>
      </c>
      <c r="B3101" s="5">
        <v>130</v>
      </c>
      <c r="C3101" s="5">
        <v>5</v>
      </c>
      <c r="D3101" s="379">
        <v>42.383333333333326</v>
      </c>
      <c r="E3101" s="25">
        <v>24.84</v>
      </c>
      <c r="F3101" s="379">
        <v>1.2935204628583681</v>
      </c>
      <c r="G3101" s="25">
        <v>31.84</v>
      </c>
      <c r="H3101" s="379">
        <v>4.0068121509550938</v>
      </c>
      <c r="I3101" s="25">
        <v>37.57</v>
      </c>
      <c r="J3101" s="379">
        <v>0.14480167642852412</v>
      </c>
    </row>
    <row r="3102" spans="1:10" x14ac:dyDescent="0.35">
      <c r="A3102" s="5">
        <v>3098</v>
      </c>
      <c r="B3102" s="5">
        <v>130</v>
      </c>
      <c r="C3102" s="5">
        <v>5</v>
      </c>
      <c r="D3102" s="379">
        <v>41.516666666666659</v>
      </c>
      <c r="E3102" s="25">
        <v>24.84</v>
      </c>
      <c r="F3102" s="379">
        <v>2.3394018194845656</v>
      </c>
      <c r="G3102" s="25">
        <v>30.95</v>
      </c>
      <c r="H3102" s="379">
        <v>3.8796849697414748</v>
      </c>
      <c r="I3102" s="25">
        <v>37.19</v>
      </c>
      <c r="J3102" s="379">
        <v>0.14480167642852412</v>
      </c>
    </row>
    <row r="3103" spans="1:10" x14ac:dyDescent="0.35">
      <c r="A3103" s="5">
        <v>3099</v>
      </c>
      <c r="B3103" s="5">
        <v>130</v>
      </c>
      <c r="C3103" s="5">
        <v>5</v>
      </c>
      <c r="D3103" s="379">
        <v>39.060555555555553</v>
      </c>
      <c r="E3103" s="25">
        <v>24.84</v>
      </c>
      <c r="F3103" s="379">
        <v>2.9613629824922314</v>
      </c>
      <c r="G3103" s="25">
        <v>30.95</v>
      </c>
      <c r="H3103" s="379">
        <v>3.8796849697414748</v>
      </c>
      <c r="I3103" s="25">
        <v>37.19</v>
      </c>
      <c r="J3103" s="379">
        <v>0.14480167642852412</v>
      </c>
    </row>
    <row r="3104" spans="1:10" x14ac:dyDescent="0.35">
      <c r="A3104" s="5">
        <v>3100</v>
      </c>
      <c r="B3104" s="5">
        <v>130</v>
      </c>
      <c r="C3104" s="5">
        <v>5</v>
      </c>
      <c r="D3104" s="379">
        <v>38.419999999999995</v>
      </c>
      <c r="E3104" s="25">
        <v>24.84</v>
      </c>
      <c r="F3104" s="379">
        <v>3.2413077170276972</v>
      </c>
      <c r="G3104" s="25">
        <v>31.84</v>
      </c>
      <c r="H3104" s="379">
        <v>0.39750296899632781</v>
      </c>
      <c r="I3104" s="25">
        <v>37.57</v>
      </c>
      <c r="J3104" s="379">
        <v>0.14480167642852412</v>
      </c>
    </row>
    <row r="3105" spans="1:10" x14ac:dyDescent="0.35">
      <c r="A3105" s="5">
        <v>3101</v>
      </c>
      <c r="B3105" s="5">
        <v>130</v>
      </c>
      <c r="C3105" s="5">
        <v>5</v>
      </c>
      <c r="D3105" s="379">
        <v>41.803888888888885</v>
      </c>
      <c r="E3105" s="25">
        <v>24.84</v>
      </c>
      <c r="F3105" s="379">
        <v>4.1272085958786358</v>
      </c>
      <c r="G3105" s="25">
        <v>33.46</v>
      </c>
      <c r="H3105" s="379">
        <v>4.3388237993582324E-2</v>
      </c>
      <c r="I3105" s="25">
        <v>39.090000000000003</v>
      </c>
      <c r="J3105" s="379">
        <v>0.19153030370102886</v>
      </c>
    </row>
    <row r="3106" spans="1:10" x14ac:dyDescent="0.35">
      <c r="A3106" s="5">
        <v>3102</v>
      </c>
      <c r="B3106" s="5">
        <v>130</v>
      </c>
      <c r="C3106" s="5">
        <v>5</v>
      </c>
      <c r="D3106" s="379">
        <v>46.623333333333328</v>
      </c>
      <c r="E3106" s="25">
        <v>24.84</v>
      </c>
      <c r="F3106" s="379">
        <v>2.8894592908264101</v>
      </c>
      <c r="G3106" s="25">
        <v>34.82</v>
      </c>
      <c r="H3106" s="379">
        <v>0.28271657771767206</v>
      </c>
      <c r="I3106" s="25">
        <v>45.28</v>
      </c>
      <c r="J3106" s="379">
        <v>0.3898506340413983</v>
      </c>
    </row>
    <row r="3107" spans="1:10" x14ac:dyDescent="0.35">
      <c r="A3107" s="5">
        <v>3103</v>
      </c>
      <c r="B3107" s="5">
        <v>130</v>
      </c>
      <c r="C3107" s="5">
        <v>5</v>
      </c>
      <c r="D3107" s="379">
        <v>50.792777777777772</v>
      </c>
      <c r="E3107" s="25">
        <v>24.84</v>
      </c>
      <c r="F3107" s="379">
        <v>1.2266472056187383</v>
      </c>
      <c r="G3107" s="25">
        <v>40.96</v>
      </c>
      <c r="H3107" s="379">
        <v>1.3774559315482926</v>
      </c>
      <c r="I3107" s="25">
        <v>50.33</v>
      </c>
      <c r="J3107" s="379">
        <v>1.7052143776956119</v>
      </c>
    </row>
    <row r="3108" spans="1:10" x14ac:dyDescent="0.35">
      <c r="A3108" s="5">
        <v>3104</v>
      </c>
      <c r="B3108" s="5">
        <v>130</v>
      </c>
      <c r="C3108" s="5">
        <v>5</v>
      </c>
      <c r="D3108" s="379">
        <v>52.272777777777776</v>
      </c>
      <c r="E3108" s="25">
        <v>24.84</v>
      </c>
      <c r="F3108" s="379">
        <v>0.47222222222222221</v>
      </c>
      <c r="G3108" s="25">
        <v>42.19</v>
      </c>
      <c r="H3108" s="379">
        <v>1.9001929207341823</v>
      </c>
      <c r="I3108" s="25">
        <v>50.33</v>
      </c>
      <c r="J3108" s="379">
        <v>1.4491394259229557</v>
      </c>
    </row>
    <row r="3109" spans="1:10" x14ac:dyDescent="0.35">
      <c r="A3109" s="5">
        <v>3105</v>
      </c>
      <c r="B3109" s="5">
        <v>130</v>
      </c>
      <c r="C3109" s="5">
        <v>5</v>
      </c>
      <c r="D3109" s="379">
        <v>48.152222222222221</v>
      </c>
      <c r="E3109" s="25">
        <v>24.84</v>
      </c>
      <c r="F3109" s="379">
        <v>5.2110189433060174</v>
      </c>
      <c r="G3109" s="25">
        <v>39.770000000000003</v>
      </c>
      <c r="H3109" s="379">
        <v>1.3909763202184624</v>
      </c>
      <c r="I3109" s="25">
        <v>50.19</v>
      </c>
      <c r="J3109" s="379">
        <v>0.95119912989931099</v>
      </c>
    </row>
    <row r="3110" spans="1:10" x14ac:dyDescent="0.35">
      <c r="A3110" s="5">
        <v>3106</v>
      </c>
      <c r="B3110" s="5">
        <v>130</v>
      </c>
      <c r="C3110" s="5">
        <v>5</v>
      </c>
      <c r="D3110" s="379">
        <v>43.032222222222224</v>
      </c>
      <c r="E3110" s="25">
        <v>24.84</v>
      </c>
      <c r="F3110" s="379">
        <v>5.0356398201534533</v>
      </c>
      <c r="G3110" s="25">
        <v>38.83</v>
      </c>
      <c r="H3110" s="379">
        <v>1.1429988555923902</v>
      </c>
      <c r="I3110" s="25">
        <v>44.68</v>
      </c>
      <c r="J3110" s="379">
        <v>0.20895285395434399</v>
      </c>
    </row>
    <row r="3111" spans="1:10" x14ac:dyDescent="0.35">
      <c r="A3111" s="5">
        <v>3107</v>
      </c>
      <c r="B3111" s="5">
        <v>130</v>
      </c>
      <c r="C3111" s="5">
        <v>5</v>
      </c>
      <c r="D3111" s="379">
        <v>39.147222222222226</v>
      </c>
      <c r="E3111" s="25">
        <v>24.84</v>
      </c>
      <c r="F3111" s="379">
        <v>3.5929409478450069</v>
      </c>
      <c r="G3111" s="25">
        <v>35.94</v>
      </c>
      <c r="H3111" s="379">
        <v>2.777777777777778E-2</v>
      </c>
      <c r="I3111" s="25">
        <v>43.96</v>
      </c>
      <c r="J3111" s="379">
        <v>2.777777777777778E-2</v>
      </c>
    </row>
    <row r="3112" spans="1:10" x14ac:dyDescent="0.35">
      <c r="A3112" s="5">
        <v>3108</v>
      </c>
      <c r="B3112" s="5">
        <v>130</v>
      </c>
      <c r="C3112" s="5">
        <v>5</v>
      </c>
      <c r="D3112" s="379">
        <v>29.039444444444445</v>
      </c>
      <c r="E3112" s="25">
        <v>24.84</v>
      </c>
      <c r="F3112" s="379">
        <v>3.2421009397816185</v>
      </c>
      <c r="G3112" s="25">
        <v>33.799999999999997</v>
      </c>
      <c r="H3112" s="379">
        <v>2.777777777777778E-2</v>
      </c>
      <c r="I3112" s="25">
        <v>37.950000000000003</v>
      </c>
      <c r="J3112" s="379">
        <v>2.777777777777778E-2</v>
      </c>
    </row>
    <row r="3113" spans="1:10" x14ac:dyDescent="0.35">
      <c r="A3113" s="5">
        <v>3109</v>
      </c>
      <c r="B3113" s="5">
        <v>130</v>
      </c>
      <c r="C3113" s="5">
        <v>5</v>
      </c>
      <c r="D3113" s="379">
        <v>26.380555555555553</v>
      </c>
      <c r="E3113" s="25">
        <v>24.84</v>
      </c>
      <c r="F3113" s="379">
        <v>2.472142301694741</v>
      </c>
      <c r="G3113" s="25">
        <v>33.47</v>
      </c>
      <c r="H3113" s="379">
        <v>2.777777777777778E-2</v>
      </c>
      <c r="I3113" s="25">
        <v>37.57</v>
      </c>
      <c r="J3113" s="379">
        <v>2.777777777777778E-2</v>
      </c>
    </row>
    <row r="3114" spans="1:10" x14ac:dyDescent="0.35">
      <c r="A3114" s="5">
        <v>3110</v>
      </c>
      <c r="B3114" s="5">
        <v>130</v>
      </c>
      <c r="C3114" s="5">
        <v>5</v>
      </c>
      <c r="D3114" s="379">
        <v>26.306666666666665</v>
      </c>
      <c r="E3114" s="25">
        <v>24.84</v>
      </c>
      <c r="F3114" s="379">
        <v>1.7532605930265075</v>
      </c>
      <c r="G3114" s="25">
        <v>33.799999999999997</v>
      </c>
      <c r="H3114" s="379">
        <v>2.777777777777778E-2</v>
      </c>
      <c r="I3114" s="25">
        <v>37.57</v>
      </c>
      <c r="J3114" s="379">
        <v>2.777777777777778E-2</v>
      </c>
    </row>
    <row r="3115" spans="1:10" x14ac:dyDescent="0.35">
      <c r="A3115" s="5">
        <v>3111</v>
      </c>
      <c r="B3115" s="5">
        <v>130</v>
      </c>
      <c r="C3115" s="5">
        <v>5</v>
      </c>
      <c r="D3115" s="379">
        <v>28.734999999999999</v>
      </c>
      <c r="E3115" s="25">
        <v>24.84</v>
      </c>
      <c r="F3115" s="379">
        <v>1.7532605930265075</v>
      </c>
      <c r="G3115" s="25">
        <v>33.799999999999997</v>
      </c>
      <c r="H3115" s="379">
        <v>2.777777777777778E-2</v>
      </c>
      <c r="I3115" s="25">
        <v>37.57</v>
      </c>
      <c r="J3115" s="379">
        <v>2.777777777777778E-2</v>
      </c>
    </row>
    <row r="3116" spans="1:10" x14ac:dyDescent="0.35">
      <c r="A3116" s="5">
        <v>3112</v>
      </c>
      <c r="B3116" s="5">
        <v>130</v>
      </c>
      <c r="C3116" s="5">
        <v>5</v>
      </c>
      <c r="D3116" s="379">
        <v>32.935555555555553</v>
      </c>
      <c r="E3116" s="25">
        <v>24.84</v>
      </c>
      <c r="F3116" s="379">
        <v>1.4760859795202335</v>
      </c>
      <c r="G3116" s="25">
        <v>35.94</v>
      </c>
      <c r="H3116" s="379">
        <v>2.777777777777778E-2</v>
      </c>
      <c r="I3116" s="25">
        <v>37.950000000000003</v>
      </c>
      <c r="J3116" s="379">
        <v>2.777777777777778E-2</v>
      </c>
    </row>
    <row r="3117" spans="1:10" x14ac:dyDescent="0.35">
      <c r="A3117" s="5">
        <v>3113</v>
      </c>
      <c r="B3117" s="5">
        <v>130</v>
      </c>
      <c r="C3117" s="5">
        <v>5</v>
      </c>
      <c r="D3117" s="379">
        <v>44.383333333333326</v>
      </c>
      <c r="E3117" s="25">
        <v>24.84</v>
      </c>
      <c r="F3117" s="379">
        <v>3.1032665331847737</v>
      </c>
      <c r="G3117" s="25">
        <v>43.56</v>
      </c>
      <c r="H3117" s="379">
        <v>1.2655816667086657</v>
      </c>
      <c r="I3117" s="25">
        <v>37.979999999999997</v>
      </c>
      <c r="J3117" s="379">
        <v>2.777777777777778E-2</v>
      </c>
    </row>
    <row r="3118" spans="1:10" x14ac:dyDescent="0.35">
      <c r="A3118" s="5">
        <v>3114</v>
      </c>
      <c r="B3118" s="5">
        <v>130</v>
      </c>
      <c r="C3118" s="5">
        <v>5</v>
      </c>
      <c r="D3118" s="379">
        <v>48.682222222222222</v>
      </c>
      <c r="E3118" s="25">
        <v>25.29</v>
      </c>
      <c r="F3118" s="379">
        <v>0.22530277442432739</v>
      </c>
      <c r="G3118" s="25">
        <v>43.56</v>
      </c>
      <c r="H3118" s="379">
        <v>1.8457190916956596</v>
      </c>
      <c r="I3118" s="25">
        <v>53.27</v>
      </c>
      <c r="J3118" s="379">
        <v>5.1162482169034962E-2</v>
      </c>
    </row>
    <row r="3119" spans="1:10" x14ac:dyDescent="0.35">
      <c r="A3119" s="5">
        <v>3115</v>
      </c>
      <c r="B3119" s="5">
        <v>130</v>
      </c>
      <c r="C3119" s="5">
        <v>5</v>
      </c>
      <c r="D3119" s="379">
        <v>51.716111111111118</v>
      </c>
      <c r="E3119" s="25">
        <v>25.59</v>
      </c>
      <c r="F3119" s="379">
        <v>6.0073307609621365</v>
      </c>
      <c r="G3119" s="25">
        <v>47.46</v>
      </c>
      <c r="H3119" s="379">
        <v>4.3905808773691142</v>
      </c>
      <c r="I3119" s="25">
        <v>54.32</v>
      </c>
      <c r="J3119" s="379">
        <v>3.8676932801751462</v>
      </c>
    </row>
    <row r="3120" spans="1:10" x14ac:dyDescent="0.35">
      <c r="A3120" s="5">
        <v>3116</v>
      </c>
      <c r="B3120" s="5">
        <v>130</v>
      </c>
      <c r="C3120" s="5">
        <v>5</v>
      </c>
      <c r="D3120" s="379">
        <v>49.528888888888886</v>
      </c>
      <c r="E3120" s="25">
        <v>25.74</v>
      </c>
      <c r="F3120" s="379">
        <v>5.1291514715488233</v>
      </c>
      <c r="G3120" s="25">
        <v>47.46</v>
      </c>
      <c r="H3120" s="379">
        <v>4.7225172729674005</v>
      </c>
      <c r="I3120" s="25">
        <v>66.06</v>
      </c>
      <c r="J3120" s="379">
        <v>0.24027887285015728</v>
      </c>
    </row>
    <row r="3121" spans="1:10" x14ac:dyDescent="0.35">
      <c r="A3121" s="5">
        <v>3117</v>
      </c>
      <c r="B3121" s="5">
        <v>130</v>
      </c>
      <c r="C3121" s="5">
        <v>5</v>
      </c>
      <c r="D3121" s="379">
        <v>47.804999999999993</v>
      </c>
      <c r="E3121" s="25">
        <v>25.74</v>
      </c>
      <c r="F3121" s="379">
        <v>3.6433865436144304</v>
      </c>
      <c r="G3121" s="25">
        <v>47.85</v>
      </c>
      <c r="H3121" s="379">
        <v>4.7225172729674005</v>
      </c>
      <c r="I3121" s="25">
        <v>66.06</v>
      </c>
      <c r="J3121" s="379">
        <v>0.27777777777777779</v>
      </c>
    </row>
    <row r="3122" spans="1:10" x14ac:dyDescent="0.35">
      <c r="A3122" s="5">
        <v>3118</v>
      </c>
      <c r="B3122" s="5">
        <v>130</v>
      </c>
      <c r="C3122" s="5">
        <v>5</v>
      </c>
      <c r="D3122" s="379">
        <v>46.77</v>
      </c>
      <c r="E3122" s="25">
        <v>25.59</v>
      </c>
      <c r="F3122" s="379">
        <v>4.112850504780897</v>
      </c>
      <c r="G3122" s="25">
        <v>44.69</v>
      </c>
      <c r="H3122" s="379">
        <v>4.7225172729674014</v>
      </c>
      <c r="I3122" s="25">
        <v>64.14</v>
      </c>
      <c r="J3122" s="379">
        <v>0.27777777777777779</v>
      </c>
    </row>
    <row r="3123" spans="1:10" x14ac:dyDescent="0.35">
      <c r="A3123" s="5">
        <v>3119</v>
      </c>
      <c r="B3123" s="5">
        <v>130</v>
      </c>
      <c r="C3123" s="5">
        <v>5</v>
      </c>
      <c r="D3123" s="379">
        <v>42.066111111111113</v>
      </c>
      <c r="E3123" s="25">
        <v>24.99</v>
      </c>
      <c r="F3123" s="379">
        <v>5.3877398974024997</v>
      </c>
      <c r="G3123" s="25">
        <v>44.69</v>
      </c>
      <c r="H3123" s="379">
        <v>4.6165860307089792</v>
      </c>
      <c r="I3123" s="25">
        <v>53.71</v>
      </c>
      <c r="J3123" s="379">
        <v>3.622415985238987</v>
      </c>
    </row>
    <row r="3124" spans="1:10" x14ac:dyDescent="0.35">
      <c r="A3124" s="5">
        <v>3120</v>
      </c>
      <c r="B3124" s="5">
        <v>130</v>
      </c>
      <c r="C3124" s="5">
        <v>5</v>
      </c>
      <c r="D3124" s="379">
        <v>44.192222222222227</v>
      </c>
      <c r="E3124" s="25">
        <v>24.84</v>
      </c>
      <c r="F3124" s="379">
        <v>4.6422093726020703</v>
      </c>
      <c r="G3124" s="25">
        <v>42.42</v>
      </c>
      <c r="H3124" s="379">
        <v>4.6375299689790266</v>
      </c>
      <c r="I3124" s="25">
        <v>48.86</v>
      </c>
      <c r="J3124" s="379">
        <v>4.6970730532918568</v>
      </c>
    </row>
    <row r="3125" spans="1:10" x14ac:dyDescent="0.35">
      <c r="A3125" s="5">
        <v>3121</v>
      </c>
      <c r="B3125" s="5">
        <v>131</v>
      </c>
      <c r="C3125" s="5">
        <v>5</v>
      </c>
      <c r="D3125" s="379">
        <v>41.928333333333335</v>
      </c>
      <c r="E3125" s="25">
        <v>24.84</v>
      </c>
      <c r="F3125" s="379">
        <v>4.8154745708906823</v>
      </c>
      <c r="G3125" s="25">
        <v>42.29</v>
      </c>
      <c r="H3125" s="379">
        <v>4.7225172729674005</v>
      </c>
      <c r="I3125" s="25">
        <v>47.31</v>
      </c>
      <c r="J3125" s="379">
        <v>4.4703234800786431</v>
      </c>
    </row>
    <row r="3126" spans="1:10" x14ac:dyDescent="0.35">
      <c r="A3126" s="5">
        <v>3122</v>
      </c>
      <c r="B3126" s="5">
        <v>131</v>
      </c>
      <c r="C3126" s="5">
        <v>5</v>
      </c>
      <c r="D3126" s="379">
        <v>40.983333333333341</v>
      </c>
      <c r="E3126" s="25">
        <v>24.56</v>
      </c>
      <c r="F3126" s="379">
        <v>5.1739092176539927</v>
      </c>
      <c r="G3126" s="25">
        <v>37.979999999999997</v>
      </c>
      <c r="H3126" s="379">
        <v>4.7225172729674005</v>
      </c>
      <c r="I3126" s="25">
        <v>46.37</v>
      </c>
      <c r="J3126" s="379">
        <v>1.7004167340495613</v>
      </c>
    </row>
    <row r="3127" spans="1:10" x14ac:dyDescent="0.35">
      <c r="A3127" s="5">
        <v>3123</v>
      </c>
      <c r="B3127" s="5">
        <v>131</v>
      </c>
      <c r="C3127" s="5">
        <v>5</v>
      </c>
      <c r="D3127" s="379">
        <v>39.218888888888891</v>
      </c>
      <c r="E3127" s="25">
        <v>23.59</v>
      </c>
      <c r="F3127" s="379">
        <v>4.593155725028808</v>
      </c>
      <c r="G3127" s="25">
        <v>37.979999999999997</v>
      </c>
      <c r="H3127" s="379">
        <v>4.686968951618276</v>
      </c>
      <c r="I3127" s="25">
        <v>46.37</v>
      </c>
      <c r="J3127" s="379">
        <v>0.34842578722959494</v>
      </c>
    </row>
    <row r="3128" spans="1:10" x14ac:dyDescent="0.35">
      <c r="A3128" s="5">
        <v>3124</v>
      </c>
      <c r="B3128" s="5">
        <v>131</v>
      </c>
      <c r="C3128" s="5">
        <v>5</v>
      </c>
      <c r="D3128" s="379">
        <v>39.748333333333328</v>
      </c>
      <c r="E3128" s="25">
        <v>23.55</v>
      </c>
      <c r="F3128" s="379">
        <v>4.7087559505768892</v>
      </c>
      <c r="G3128" s="25">
        <v>37.979999999999997</v>
      </c>
      <c r="H3128" s="379">
        <v>4.7042393999585572</v>
      </c>
      <c r="I3128" s="25">
        <v>46.37</v>
      </c>
      <c r="J3128" s="379">
        <v>3.215327541681722</v>
      </c>
    </row>
    <row r="3129" spans="1:10" x14ac:dyDescent="0.35">
      <c r="A3129" s="5">
        <v>3125</v>
      </c>
      <c r="B3129" s="5">
        <v>131</v>
      </c>
      <c r="C3129" s="5">
        <v>5</v>
      </c>
      <c r="D3129" s="379">
        <v>41.61</v>
      </c>
      <c r="E3129" s="25">
        <v>24.56</v>
      </c>
      <c r="F3129" s="379">
        <v>4.8134310694873488</v>
      </c>
      <c r="G3129" s="25">
        <v>37.979999999999997</v>
      </c>
      <c r="H3129" s="379">
        <v>4.7225172729673996</v>
      </c>
      <c r="I3129" s="25">
        <v>46.84</v>
      </c>
      <c r="J3129" s="379">
        <v>2.8228749048546367</v>
      </c>
    </row>
    <row r="3130" spans="1:10" x14ac:dyDescent="0.35">
      <c r="A3130" s="5">
        <v>3126</v>
      </c>
      <c r="B3130" s="5">
        <v>131</v>
      </c>
      <c r="C3130" s="5">
        <v>5</v>
      </c>
      <c r="D3130" s="379">
        <v>45.911111111111119</v>
      </c>
      <c r="E3130" s="25">
        <v>24.84</v>
      </c>
      <c r="F3130" s="379">
        <v>8.1174834595959595</v>
      </c>
      <c r="G3130" s="25">
        <v>38.369999999999997</v>
      </c>
      <c r="H3130" s="379">
        <v>4.7225172729674005</v>
      </c>
      <c r="I3130" s="25">
        <v>50.19</v>
      </c>
      <c r="J3130" s="379">
        <v>0.38500800498765442</v>
      </c>
    </row>
    <row r="3131" spans="1:10" x14ac:dyDescent="0.35">
      <c r="A3131" s="5">
        <v>3127</v>
      </c>
      <c r="B3131" s="5">
        <v>131</v>
      </c>
      <c r="C3131" s="5">
        <v>5</v>
      </c>
      <c r="D3131" s="379">
        <v>49.601111111111109</v>
      </c>
      <c r="E3131" s="25">
        <v>24.84</v>
      </c>
      <c r="F3131" s="379">
        <v>8.1174834595959613</v>
      </c>
      <c r="G3131" s="25">
        <v>42.29</v>
      </c>
      <c r="H3131" s="379">
        <v>4.7225172729674005</v>
      </c>
      <c r="I3131" s="25">
        <v>53.27</v>
      </c>
      <c r="J3131" s="379">
        <v>5.7566208618405525</v>
      </c>
    </row>
    <row r="3132" spans="1:10" x14ac:dyDescent="0.35">
      <c r="A3132" s="5">
        <v>3128</v>
      </c>
      <c r="B3132" s="5">
        <v>131</v>
      </c>
      <c r="C3132" s="5">
        <v>5</v>
      </c>
      <c r="D3132" s="379">
        <v>49.580555555555549</v>
      </c>
      <c r="E3132" s="25">
        <v>24.84</v>
      </c>
      <c r="F3132" s="379">
        <v>5.566035640254106</v>
      </c>
      <c r="G3132" s="25">
        <v>43.56</v>
      </c>
      <c r="H3132" s="379">
        <v>2.9382828097657563</v>
      </c>
      <c r="I3132" s="25">
        <v>53.27</v>
      </c>
      <c r="J3132" s="379">
        <v>3.3668067547826483</v>
      </c>
    </row>
    <row r="3133" spans="1:10" x14ac:dyDescent="0.35">
      <c r="A3133" s="5">
        <v>3129</v>
      </c>
      <c r="B3133" s="5">
        <v>131</v>
      </c>
      <c r="C3133" s="5">
        <v>5</v>
      </c>
      <c r="D3133" s="379">
        <v>46.927777777777777</v>
      </c>
      <c r="E3133" s="25">
        <v>24.84</v>
      </c>
      <c r="F3133" s="379">
        <v>5.0356398201534533</v>
      </c>
      <c r="G3133" s="25">
        <v>42.29</v>
      </c>
      <c r="H3133" s="379">
        <v>2.913659753211618</v>
      </c>
      <c r="I3133" s="25">
        <v>48.86</v>
      </c>
      <c r="J3133" s="379">
        <v>2.0062518077753277</v>
      </c>
    </row>
    <row r="3134" spans="1:10" x14ac:dyDescent="0.35">
      <c r="A3134" s="5">
        <v>3130</v>
      </c>
      <c r="B3134" s="5">
        <v>131</v>
      </c>
      <c r="C3134" s="5">
        <v>5</v>
      </c>
      <c r="D3134" s="379">
        <v>39.156111111111109</v>
      </c>
      <c r="E3134" s="25">
        <v>24.84</v>
      </c>
      <c r="F3134" s="379">
        <v>4.8968054135566073</v>
      </c>
      <c r="G3134" s="25">
        <v>42.29</v>
      </c>
      <c r="H3134" s="379">
        <v>2.3335223282246238</v>
      </c>
      <c r="I3134" s="25">
        <v>47.44</v>
      </c>
      <c r="J3134" s="379">
        <v>1.9275089169236259</v>
      </c>
    </row>
    <row r="3135" spans="1:10" x14ac:dyDescent="0.35">
      <c r="A3135" s="5">
        <v>3131</v>
      </c>
      <c r="B3135" s="5">
        <v>131</v>
      </c>
      <c r="C3135" s="5">
        <v>5</v>
      </c>
      <c r="D3135" s="379">
        <v>31.090555555555554</v>
      </c>
      <c r="E3135" s="25">
        <v>24.84</v>
      </c>
      <c r="F3135" s="379">
        <v>2.8274144286393179</v>
      </c>
      <c r="G3135" s="25">
        <v>42.29</v>
      </c>
      <c r="H3135" s="379">
        <v>2.777777777777778E-2</v>
      </c>
      <c r="I3135" s="25">
        <v>46.84</v>
      </c>
      <c r="J3135" s="379">
        <v>2.777777777777778E-2</v>
      </c>
    </row>
    <row r="3136" spans="1:10" x14ac:dyDescent="0.35">
      <c r="A3136" s="5">
        <v>3132</v>
      </c>
      <c r="B3136" s="5">
        <v>131</v>
      </c>
      <c r="C3136" s="5">
        <v>5</v>
      </c>
      <c r="D3136" s="379">
        <v>25.826666666666664</v>
      </c>
      <c r="E3136" s="25">
        <v>24.84</v>
      </c>
      <c r="F3136" s="379">
        <v>2.0815147248995691</v>
      </c>
      <c r="G3136" s="25">
        <v>42.17</v>
      </c>
      <c r="H3136" s="379">
        <v>2.777777777777778E-2</v>
      </c>
      <c r="I3136" s="25">
        <v>46.17</v>
      </c>
      <c r="J3136" s="379">
        <v>2.777777777777778E-2</v>
      </c>
    </row>
    <row r="3137" spans="1:10" x14ac:dyDescent="0.35">
      <c r="A3137" s="5">
        <v>3133</v>
      </c>
      <c r="B3137" s="5">
        <v>131</v>
      </c>
      <c r="C3137" s="5">
        <v>5</v>
      </c>
      <c r="D3137" s="379">
        <v>22.697222222222223</v>
      </c>
      <c r="E3137" s="25">
        <v>24.84</v>
      </c>
      <c r="F3137" s="379">
        <v>2.0815147248995691</v>
      </c>
      <c r="G3137" s="25">
        <v>38.83</v>
      </c>
      <c r="H3137" s="379">
        <v>2.777777777777778E-2</v>
      </c>
      <c r="I3137" s="25">
        <v>46.17</v>
      </c>
      <c r="J3137" s="379">
        <v>2.777777777777778E-2</v>
      </c>
    </row>
    <row r="3138" spans="1:10" x14ac:dyDescent="0.35">
      <c r="A3138" s="5">
        <v>3134</v>
      </c>
      <c r="B3138" s="5">
        <v>131</v>
      </c>
      <c r="C3138" s="5">
        <v>5</v>
      </c>
      <c r="D3138" s="379">
        <v>19.81111111111111</v>
      </c>
      <c r="E3138" s="25">
        <v>24.84</v>
      </c>
      <c r="F3138" s="379">
        <v>2.0815147248995691</v>
      </c>
      <c r="G3138" s="25">
        <v>37.979999999999997</v>
      </c>
      <c r="H3138" s="379">
        <v>2.777777777777778E-2</v>
      </c>
      <c r="I3138" s="25">
        <v>46.17</v>
      </c>
      <c r="J3138" s="379">
        <v>2.777777777777778E-2</v>
      </c>
    </row>
    <row r="3139" spans="1:10" x14ac:dyDescent="0.35">
      <c r="A3139" s="5">
        <v>3135</v>
      </c>
      <c r="B3139" s="5">
        <v>131</v>
      </c>
      <c r="C3139" s="5">
        <v>5</v>
      </c>
      <c r="D3139" s="379">
        <v>23.376666666666665</v>
      </c>
      <c r="E3139" s="25">
        <v>24.84</v>
      </c>
      <c r="F3139" s="379">
        <v>2.0815147248995691</v>
      </c>
      <c r="G3139" s="25">
        <v>37.979999999999997</v>
      </c>
      <c r="H3139" s="379">
        <v>2.777777777777778E-2</v>
      </c>
      <c r="I3139" s="25">
        <v>46.17</v>
      </c>
      <c r="J3139" s="379">
        <v>2.777777777777778E-2</v>
      </c>
    </row>
    <row r="3140" spans="1:10" x14ac:dyDescent="0.35">
      <c r="A3140" s="5">
        <v>3136</v>
      </c>
      <c r="B3140" s="5">
        <v>131</v>
      </c>
      <c r="C3140" s="5">
        <v>5</v>
      </c>
      <c r="D3140" s="379">
        <v>30.763333333333335</v>
      </c>
      <c r="E3140" s="25">
        <v>24.84</v>
      </c>
      <c r="F3140" s="379">
        <v>2.0815147248995691</v>
      </c>
      <c r="G3140" s="25">
        <v>37.979999999999997</v>
      </c>
      <c r="H3140" s="379">
        <v>2.777777777777778E-2</v>
      </c>
      <c r="I3140" s="25">
        <v>46.17</v>
      </c>
      <c r="J3140" s="379">
        <v>2.777777777777778E-2</v>
      </c>
    </row>
    <row r="3141" spans="1:10" x14ac:dyDescent="0.35">
      <c r="A3141" s="5">
        <v>3137</v>
      </c>
      <c r="B3141" s="5">
        <v>131</v>
      </c>
      <c r="C3141" s="5">
        <v>5</v>
      </c>
      <c r="D3141" s="379">
        <v>38.598333333333336</v>
      </c>
      <c r="E3141" s="25">
        <v>24.84</v>
      </c>
      <c r="F3141" s="379">
        <v>2.0815147248995691</v>
      </c>
      <c r="G3141" s="25">
        <v>38.97</v>
      </c>
      <c r="H3141" s="379">
        <v>1.2655816667086657</v>
      </c>
      <c r="I3141" s="25">
        <v>46.17</v>
      </c>
      <c r="J3141" s="379">
        <v>2.777777777777778E-2</v>
      </c>
    </row>
    <row r="3142" spans="1:10" x14ac:dyDescent="0.35">
      <c r="A3142" s="5">
        <v>3138</v>
      </c>
      <c r="B3142" s="5">
        <v>131</v>
      </c>
      <c r="C3142" s="5">
        <v>5</v>
      </c>
      <c r="D3142" s="379">
        <v>47.631666666666661</v>
      </c>
      <c r="E3142" s="25">
        <v>24.84</v>
      </c>
      <c r="F3142" s="379">
        <v>3.43731288999169</v>
      </c>
      <c r="G3142" s="25">
        <v>41.19</v>
      </c>
      <c r="H3142" s="379">
        <v>1.8457190916956596</v>
      </c>
      <c r="I3142" s="25">
        <v>47.31</v>
      </c>
      <c r="J3142" s="379">
        <v>2.777777777777778E-2</v>
      </c>
    </row>
    <row r="3143" spans="1:10" x14ac:dyDescent="0.35">
      <c r="A3143" s="5">
        <v>3139</v>
      </c>
      <c r="B3143" s="5">
        <v>131</v>
      </c>
      <c r="C3143" s="5">
        <v>5</v>
      </c>
      <c r="D3143" s="379">
        <v>51.946666666666658</v>
      </c>
      <c r="E3143" s="25">
        <v>24.84</v>
      </c>
      <c r="F3143" s="379">
        <v>5.1826446291051376</v>
      </c>
      <c r="G3143" s="25">
        <v>43.56</v>
      </c>
      <c r="H3143" s="379">
        <v>0.61957799429571858</v>
      </c>
      <c r="I3143" s="25">
        <v>48.86</v>
      </c>
      <c r="J3143" s="379">
        <v>4.8685856335737592</v>
      </c>
    </row>
    <row r="3144" spans="1:10" x14ac:dyDescent="0.35">
      <c r="A3144" s="5">
        <v>3140</v>
      </c>
      <c r="B3144" s="5">
        <v>131</v>
      </c>
      <c r="C3144" s="5">
        <v>5</v>
      </c>
      <c r="D3144" s="379">
        <v>52.048888888888889</v>
      </c>
      <c r="E3144" s="25">
        <v>24.84</v>
      </c>
      <c r="F3144" s="379">
        <v>5.1175922155789806</v>
      </c>
      <c r="G3144" s="25">
        <v>43.56</v>
      </c>
      <c r="H3144" s="379">
        <v>0.43804519891003413</v>
      </c>
      <c r="I3144" s="25">
        <v>53.27</v>
      </c>
      <c r="J3144" s="379">
        <v>5.2533883485543953</v>
      </c>
    </row>
    <row r="3145" spans="1:10" x14ac:dyDescent="0.35">
      <c r="A3145" s="5">
        <v>3141</v>
      </c>
      <c r="B3145" s="5">
        <v>131</v>
      </c>
      <c r="C3145" s="5">
        <v>5</v>
      </c>
      <c r="D3145" s="379">
        <v>54.273333333333333</v>
      </c>
      <c r="E3145" s="25">
        <v>24.84</v>
      </c>
      <c r="F3145" s="379">
        <v>4.8054969674196926</v>
      </c>
      <c r="G3145" s="25">
        <v>43.56</v>
      </c>
      <c r="H3145" s="379">
        <v>0.43786060155188755</v>
      </c>
      <c r="I3145" s="25">
        <v>53.27</v>
      </c>
      <c r="J3145" s="379">
        <v>4.0039951128397924</v>
      </c>
    </row>
    <row r="3146" spans="1:10" x14ac:dyDescent="0.35">
      <c r="A3146" s="5">
        <v>3142</v>
      </c>
      <c r="B3146" s="5">
        <v>131</v>
      </c>
      <c r="C3146" s="5">
        <v>5</v>
      </c>
      <c r="D3146" s="379">
        <v>50.192222222222213</v>
      </c>
      <c r="E3146" s="25">
        <v>24.84</v>
      </c>
      <c r="F3146" s="379">
        <v>5.6213402364343636</v>
      </c>
      <c r="G3146" s="25">
        <v>42.29</v>
      </c>
      <c r="H3146" s="379">
        <v>0.31632735344604163</v>
      </c>
      <c r="I3146" s="25">
        <v>52.73</v>
      </c>
      <c r="J3146" s="379">
        <v>4.620450626902155</v>
      </c>
    </row>
    <row r="3147" spans="1:10" x14ac:dyDescent="0.35">
      <c r="A3147" s="5">
        <v>3143</v>
      </c>
      <c r="B3147" s="5">
        <v>131</v>
      </c>
      <c r="C3147" s="5">
        <v>5</v>
      </c>
      <c r="D3147" s="379">
        <v>50.602777777777781</v>
      </c>
      <c r="E3147" s="25">
        <v>24.84</v>
      </c>
      <c r="F3147" s="379">
        <v>5.6254640522103401</v>
      </c>
      <c r="G3147" s="25">
        <v>42.29</v>
      </c>
      <c r="H3147" s="379">
        <v>0.31910510646313572</v>
      </c>
      <c r="I3147" s="25">
        <v>48.86</v>
      </c>
      <c r="J3147" s="379">
        <v>5.3167631450013593</v>
      </c>
    </row>
    <row r="3148" spans="1:10" x14ac:dyDescent="0.35">
      <c r="A3148" s="5">
        <v>3144</v>
      </c>
      <c r="B3148" s="5">
        <v>131</v>
      </c>
      <c r="C3148" s="5">
        <v>5</v>
      </c>
      <c r="D3148" s="379">
        <v>43.317222222222213</v>
      </c>
      <c r="E3148" s="25">
        <v>24.84</v>
      </c>
      <c r="F3148" s="379">
        <v>5.2290066650233387</v>
      </c>
      <c r="G3148" s="25">
        <v>37.979999999999997</v>
      </c>
      <c r="H3148" s="379">
        <v>0.31960803089789014</v>
      </c>
      <c r="I3148" s="25">
        <v>47.44</v>
      </c>
      <c r="J3148" s="379">
        <v>4.1510419220075416</v>
      </c>
    </row>
    <row r="3149" spans="1:10" x14ac:dyDescent="0.35">
      <c r="A3149" s="5">
        <v>3145</v>
      </c>
      <c r="B3149" s="5">
        <v>132</v>
      </c>
      <c r="C3149" s="5">
        <v>5</v>
      </c>
      <c r="D3149" s="379">
        <v>43.601666666666659</v>
      </c>
      <c r="E3149" s="25">
        <v>24.84</v>
      </c>
      <c r="F3149" s="379">
        <v>5.5754419359735712</v>
      </c>
      <c r="G3149" s="25">
        <v>38.229999999999997</v>
      </c>
      <c r="H3149" s="379">
        <v>0.31960803089789014</v>
      </c>
      <c r="I3149" s="25">
        <v>46.17</v>
      </c>
      <c r="J3149" s="379">
        <v>1.4100609495067458</v>
      </c>
    </row>
    <row r="3150" spans="1:10" x14ac:dyDescent="0.35">
      <c r="A3150" s="5">
        <v>3146</v>
      </c>
      <c r="B3150" s="5">
        <v>132</v>
      </c>
      <c r="C3150" s="5">
        <v>5</v>
      </c>
      <c r="D3150" s="379">
        <v>43.378888888888888</v>
      </c>
      <c r="E3150" s="25">
        <v>24.84</v>
      </c>
      <c r="F3150" s="379">
        <v>4.770807913167423</v>
      </c>
      <c r="G3150" s="25">
        <v>38.229999999999997</v>
      </c>
      <c r="H3150" s="379">
        <v>0.31960803089789014</v>
      </c>
      <c r="I3150" s="25">
        <v>46.17</v>
      </c>
      <c r="J3150" s="379">
        <v>1.3347078445324705</v>
      </c>
    </row>
    <row r="3151" spans="1:10" x14ac:dyDescent="0.35">
      <c r="A3151" s="5">
        <v>3147</v>
      </c>
      <c r="B3151" s="5">
        <v>132</v>
      </c>
      <c r="C3151" s="5">
        <v>5</v>
      </c>
      <c r="D3151" s="379">
        <v>44.221111111111099</v>
      </c>
      <c r="E3151" s="25">
        <v>24.84</v>
      </c>
      <c r="F3151" s="379">
        <v>5.1774210780784324</v>
      </c>
      <c r="G3151" s="25">
        <v>38.229999999999997</v>
      </c>
      <c r="H3151" s="379">
        <v>0.31960803089789014</v>
      </c>
      <c r="I3151" s="25">
        <v>46.17</v>
      </c>
      <c r="J3151" s="379">
        <v>4.5901645758381644</v>
      </c>
    </row>
    <row r="3152" spans="1:10" x14ac:dyDescent="0.35">
      <c r="A3152" s="5">
        <v>3148</v>
      </c>
      <c r="B3152" s="5">
        <v>132</v>
      </c>
      <c r="C3152" s="5">
        <v>5</v>
      </c>
      <c r="D3152" s="379">
        <v>45.07277777777778</v>
      </c>
      <c r="E3152" s="25">
        <v>24.84</v>
      </c>
      <c r="F3152" s="379">
        <v>4.5964970931172946</v>
      </c>
      <c r="G3152" s="25">
        <v>38.61</v>
      </c>
      <c r="H3152" s="379">
        <v>0.78442327329618933</v>
      </c>
      <c r="I3152" s="25">
        <v>46.17</v>
      </c>
      <c r="J3152" s="379">
        <v>2.2277284292377844</v>
      </c>
    </row>
    <row r="3153" spans="1:10" x14ac:dyDescent="0.35">
      <c r="A3153" s="5">
        <v>3149</v>
      </c>
      <c r="B3153" s="5">
        <v>132</v>
      </c>
      <c r="C3153" s="5">
        <v>5</v>
      </c>
      <c r="D3153" s="379">
        <v>47.603888888888882</v>
      </c>
      <c r="E3153" s="25">
        <v>24.84</v>
      </c>
      <c r="F3153" s="379">
        <v>5.0578557988980606</v>
      </c>
      <c r="G3153" s="25">
        <v>42.29</v>
      </c>
      <c r="H3153" s="379">
        <v>0.32839058992496545</v>
      </c>
      <c r="I3153" s="25">
        <v>48.09</v>
      </c>
      <c r="J3153" s="379">
        <v>2.2277284292377844</v>
      </c>
    </row>
    <row r="3154" spans="1:10" x14ac:dyDescent="0.35">
      <c r="A3154" s="5">
        <v>3150</v>
      </c>
      <c r="B3154" s="5">
        <v>132</v>
      </c>
      <c r="C3154" s="5">
        <v>5</v>
      </c>
      <c r="D3154" s="379">
        <v>51.782777777777781</v>
      </c>
      <c r="E3154" s="25">
        <v>24.84</v>
      </c>
      <c r="F3154" s="379">
        <v>5.3634761965055526</v>
      </c>
      <c r="G3154" s="25">
        <v>43.56</v>
      </c>
      <c r="H3154" s="379">
        <v>0.35509149427739772</v>
      </c>
      <c r="I3154" s="25">
        <v>53.27</v>
      </c>
      <c r="J3154" s="379">
        <v>1.7504526733032297</v>
      </c>
    </row>
    <row r="3155" spans="1:10" x14ac:dyDescent="0.35">
      <c r="A3155" s="5">
        <v>3151</v>
      </c>
      <c r="B3155" s="5">
        <v>132</v>
      </c>
      <c r="C3155" s="5">
        <v>5</v>
      </c>
      <c r="D3155" s="379">
        <v>55.976111111111102</v>
      </c>
      <c r="E3155" s="25">
        <v>25.59</v>
      </c>
      <c r="F3155" s="379">
        <v>4.9922471452349955</v>
      </c>
      <c r="G3155" s="25">
        <v>44.69</v>
      </c>
      <c r="H3155" s="379">
        <v>0.54002998552578307</v>
      </c>
      <c r="I3155" s="25">
        <v>54.87</v>
      </c>
      <c r="J3155" s="379">
        <v>2.6405863636152827</v>
      </c>
    </row>
    <row r="3156" spans="1:10" x14ac:dyDescent="0.35">
      <c r="A3156" s="5">
        <v>3152</v>
      </c>
      <c r="B3156" s="5">
        <v>132</v>
      </c>
      <c r="C3156" s="5">
        <v>5</v>
      </c>
      <c r="D3156" s="379">
        <v>56.831111111111106</v>
      </c>
      <c r="E3156" s="25">
        <v>25.74</v>
      </c>
      <c r="F3156" s="379">
        <v>5.0074659090040887</v>
      </c>
      <c r="G3156" s="25">
        <v>44.69</v>
      </c>
      <c r="H3156" s="379">
        <v>0.30716085823278616</v>
      </c>
      <c r="I3156" s="25">
        <v>54.87</v>
      </c>
      <c r="J3156" s="379">
        <v>4.0746826695251528</v>
      </c>
    </row>
    <row r="3157" spans="1:10" x14ac:dyDescent="0.35">
      <c r="A3157" s="5">
        <v>3153</v>
      </c>
      <c r="B3157" s="5">
        <v>132</v>
      </c>
      <c r="C3157" s="5">
        <v>5</v>
      </c>
      <c r="D3157" s="379">
        <v>50.018333333333324</v>
      </c>
      <c r="E3157" s="25">
        <v>25.29</v>
      </c>
      <c r="F3157" s="379">
        <v>3.8898570249751385</v>
      </c>
      <c r="G3157" s="25">
        <v>44.69</v>
      </c>
      <c r="H3157" s="379">
        <v>2.777777777777778E-2</v>
      </c>
      <c r="I3157" s="25">
        <v>54.32</v>
      </c>
      <c r="J3157" s="379">
        <v>2.777777777777778E-2</v>
      </c>
    </row>
    <row r="3158" spans="1:10" x14ac:dyDescent="0.35">
      <c r="A3158" s="5">
        <v>3154</v>
      </c>
      <c r="B3158" s="5">
        <v>132</v>
      </c>
      <c r="C3158" s="5">
        <v>5</v>
      </c>
      <c r="D3158" s="379">
        <v>44.283333333333339</v>
      </c>
      <c r="E3158" s="25">
        <v>24.84</v>
      </c>
      <c r="F3158" s="379">
        <v>3.8898570249751385</v>
      </c>
      <c r="G3158" s="25">
        <v>43.56</v>
      </c>
      <c r="H3158" s="379">
        <v>1.2655816667086657</v>
      </c>
      <c r="I3158" s="25">
        <v>50.94</v>
      </c>
      <c r="J3158" s="379">
        <v>2.777777777777778E-2</v>
      </c>
    </row>
    <row r="3159" spans="1:10" x14ac:dyDescent="0.35">
      <c r="A3159" s="5">
        <v>3155</v>
      </c>
      <c r="B3159" s="5">
        <v>132</v>
      </c>
      <c r="C3159" s="5">
        <v>5</v>
      </c>
      <c r="D3159" s="379">
        <v>40.815555555555548</v>
      </c>
      <c r="E3159" s="25">
        <v>24.84</v>
      </c>
      <c r="F3159" s="379">
        <v>3.28788838743858</v>
      </c>
      <c r="G3159" s="25">
        <v>42.29</v>
      </c>
      <c r="H3159" s="379">
        <v>2.777777777777778E-2</v>
      </c>
      <c r="I3159" s="25">
        <v>50.05</v>
      </c>
      <c r="J3159" s="379">
        <v>2.777777777777778E-2</v>
      </c>
    </row>
    <row r="3160" spans="1:10" x14ac:dyDescent="0.35">
      <c r="A3160" s="5">
        <v>3156</v>
      </c>
      <c r="B3160" s="5">
        <v>132</v>
      </c>
      <c r="C3160" s="5">
        <v>5</v>
      </c>
      <c r="D3160" s="379">
        <v>35.923888888888875</v>
      </c>
      <c r="E3160" s="25">
        <v>24.84</v>
      </c>
      <c r="F3160" s="379">
        <v>3.2727733956087586</v>
      </c>
      <c r="G3160" s="25">
        <v>42.17</v>
      </c>
      <c r="H3160" s="379">
        <v>2.777777777777778E-2</v>
      </c>
      <c r="I3160" s="25">
        <v>45.71</v>
      </c>
      <c r="J3160" s="379">
        <v>2.777777777777778E-2</v>
      </c>
    </row>
    <row r="3161" spans="1:10" x14ac:dyDescent="0.35">
      <c r="A3161" s="5">
        <v>3157</v>
      </c>
      <c r="B3161" s="5">
        <v>132</v>
      </c>
      <c r="C3161" s="5">
        <v>5</v>
      </c>
      <c r="D3161" s="379">
        <v>30.786666666666665</v>
      </c>
      <c r="E3161" s="25">
        <v>24.84</v>
      </c>
      <c r="F3161" s="379">
        <v>3.2727733956087586</v>
      </c>
      <c r="G3161" s="25">
        <v>38.61</v>
      </c>
      <c r="H3161" s="379">
        <v>2.777777777777778E-2</v>
      </c>
      <c r="I3161" s="25">
        <v>44.83</v>
      </c>
      <c r="J3161" s="379">
        <v>2.777777777777778E-2</v>
      </c>
    </row>
    <row r="3162" spans="1:10" x14ac:dyDescent="0.35">
      <c r="A3162" s="5">
        <v>3158</v>
      </c>
      <c r="B3162" s="5">
        <v>132</v>
      </c>
      <c r="C3162" s="5">
        <v>5</v>
      </c>
      <c r="D3162" s="379">
        <v>30.594444444444441</v>
      </c>
      <c r="E3162" s="25">
        <v>24.84</v>
      </c>
      <c r="F3162" s="379">
        <v>2.6416491641187259</v>
      </c>
      <c r="G3162" s="25">
        <v>38.229999999999997</v>
      </c>
      <c r="H3162" s="379">
        <v>2.777777777777778E-2</v>
      </c>
      <c r="I3162" s="25">
        <v>44.83</v>
      </c>
      <c r="J3162" s="379">
        <v>2.777777777777778E-2</v>
      </c>
    </row>
    <row r="3163" spans="1:10" x14ac:dyDescent="0.35">
      <c r="A3163" s="5">
        <v>3159</v>
      </c>
      <c r="B3163" s="5">
        <v>132</v>
      </c>
      <c r="C3163" s="5">
        <v>5</v>
      </c>
      <c r="D3163" s="379">
        <v>30.712777777777777</v>
      </c>
      <c r="E3163" s="25">
        <v>24.84</v>
      </c>
      <c r="F3163" s="379">
        <v>2.6416491641187259</v>
      </c>
      <c r="G3163" s="25">
        <v>37.979999999999997</v>
      </c>
      <c r="H3163" s="379">
        <v>2.777777777777778E-2</v>
      </c>
      <c r="I3163" s="25">
        <v>42.68</v>
      </c>
      <c r="J3163" s="379">
        <v>2.777777777777778E-2</v>
      </c>
    </row>
    <row r="3164" spans="1:10" x14ac:dyDescent="0.35">
      <c r="A3164" s="5">
        <v>3160</v>
      </c>
      <c r="B3164" s="5">
        <v>132</v>
      </c>
      <c r="C3164" s="5">
        <v>5</v>
      </c>
      <c r="D3164" s="379">
        <v>40.093888888888891</v>
      </c>
      <c r="E3164" s="25">
        <v>24.84</v>
      </c>
      <c r="F3164" s="379">
        <v>2.6416491641187259</v>
      </c>
      <c r="G3164" s="25">
        <v>38.229999999999997</v>
      </c>
      <c r="H3164" s="379">
        <v>2.777777777777778E-2</v>
      </c>
      <c r="I3164" s="25">
        <v>44.83</v>
      </c>
      <c r="J3164" s="379">
        <v>2.777777777777778E-2</v>
      </c>
    </row>
    <row r="3165" spans="1:10" x14ac:dyDescent="0.35">
      <c r="A3165" s="5">
        <v>3161</v>
      </c>
      <c r="B3165" s="5">
        <v>132</v>
      </c>
      <c r="C3165" s="5">
        <v>5</v>
      </c>
      <c r="D3165" s="379">
        <v>46.297777777777775</v>
      </c>
      <c r="E3165" s="25">
        <v>24.84</v>
      </c>
      <c r="F3165" s="379">
        <v>3.2727733956087586</v>
      </c>
      <c r="G3165" s="25">
        <v>38.229999999999997</v>
      </c>
      <c r="H3165" s="379">
        <v>2.983374850025141E-2</v>
      </c>
      <c r="I3165" s="25">
        <v>45.28</v>
      </c>
      <c r="J3165" s="379">
        <v>2.777777777777778E-2</v>
      </c>
    </row>
    <row r="3166" spans="1:10" x14ac:dyDescent="0.35">
      <c r="A3166" s="5">
        <v>3162</v>
      </c>
      <c r="B3166" s="5">
        <v>132</v>
      </c>
      <c r="C3166" s="5">
        <v>5</v>
      </c>
      <c r="D3166" s="379">
        <v>46.694444444444443</v>
      </c>
      <c r="E3166" s="25">
        <v>24.84</v>
      </c>
      <c r="F3166" s="379">
        <v>3.2727733956087586</v>
      </c>
      <c r="G3166" s="25">
        <v>40.96</v>
      </c>
      <c r="H3166" s="379">
        <v>0.15129392490844806</v>
      </c>
      <c r="I3166" s="25">
        <v>46.17</v>
      </c>
      <c r="J3166" s="379">
        <v>2.777777777777778E-2</v>
      </c>
    </row>
    <row r="3167" spans="1:10" x14ac:dyDescent="0.35">
      <c r="A3167" s="5">
        <v>3163</v>
      </c>
      <c r="B3167" s="5">
        <v>132</v>
      </c>
      <c r="C3167" s="5">
        <v>5</v>
      </c>
      <c r="D3167" s="379">
        <v>47.864444444444445</v>
      </c>
      <c r="E3167" s="25">
        <v>24.84</v>
      </c>
      <c r="F3167" s="379">
        <v>3.2727733956087586</v>
      </c>
      <c r="G3167" s="25">
        <v>42.29</v>
      </c>
      <c r="H3167" s="379">
        <v>1.9698947821525292</v>
      </c>
      <c r="I3167" s="25">
        <v>48.73</v>
      </c>
      <c r="J3167" s="379">
        <v>2.777777777777778E-2</v>
      </c>
    </row>
    <row r="3168" spans="1:10" x14ac:dyDescent="0.35">
      <c r="A3168" s="5">
        <v>3164</v>
      </c>
      <c r="B3168" s="5">
        <v>132</v>
      </c>
      <c r="C3168" s="5">
        <v>5</v>
      </c>
      <c r="D3168" s="379">
        <v>50.93611111111111</v>
      </c>
      <c r="E3168" s="25">
        <v>24.84</v>
      </c>
      <c r="F3168" s="379">
        <v>3.2818063309411873</v>
      </c>
      <c r="G3168" s="25">
        <v>42.29</v>
      </c>
      <c r="H3168" s="379">
        <v>2.5294286136472675</v>
      </c>
      <c r="I3168" s="25">
        <v>48.86</v>
      </c>
      <c r="J3168" s="379">
        <v>1.3817743413694421</v>
      </c>
    </row>
    <row r="3169" spans="1:10" x14ac:dyDescent="0.35">
      <c r="A3169" s="5">
        <v>3165</v>
      </c>
      <c r="B3169" s="5">
        <v>132</v>
      </c>
      <c r="C3169" s="5">
        <v>5</v>
      </c>
      <c r="D3169" s="379">
        <v>49.326111111111111</v>
      </c>
      <c r="E3169" s="25">
        <v>24.84</v>
      </c>
      <c r="F3169" s="379">
        <v>3.4378478312892646</v>
      </c>
      <c r="G3169" s="25">
        <v>43.56</v>
      </c>
      <c r="H3169" s="379">
        <v>2.5859248115727023</v>
      </c>
      <c r="I3169" s="25">
        <v>50.33</v>
      </c>
      <c r="J3169" s="379">
        <v>1.3935860880250583</v>
      </c>
    </row>
    <row r="3170" spans="1:10" x14ac:dyDescent="0.35">
      <c r="A3170" s="5">
        <v>3166</v>
      </c>
      <c r="B3170" s="5">
        <v>132</v>
      </c>
      <c r="C3170" s="5">
        <v>5</v>
      </c>
      <c r="D3170" s="379">
        <v>46.271111111111118</v>
      </c>
      <c r="E3170" s="25">
        <v>24.84</v>
      </c>
      <c r="F3170" s="379">
        <v>3.4378478312892646</v>
      </c>
      <c r="G3170" s="25">
        <v>43.46</v>
      </c>
      <c r="H3170" s="379">
        <v>2.5859248115727023</v>
      </c>
      <c r="I3170" s="25">
        <v>50.33</v>
      </c>
      <c r="J3170" s="379">
        <v>1.3935860880250583</v>
      </c>
    </row>
    <row r="3171" spans="1:10" x14ac:dyDescent="0.35">
      <c r="A3171" s="5">
        <v>3167</v>
      </c>
      <c r="B3171" s="5">
        <v>132</v>
      </c>
      <c r="C3171" s="5">
        <v>5</v>
      </c>
      <c r="D3171" s="379">
        <v>49.309999999999995</v>
      </c>
      <c r="E3171" s="25">
        <v>24.84</v>
      </c>
      <c r="F3171" s="379">
        <v>3.4378478312892646</v>
      </c>
      <c r="G3171" s="25">
        <v>40.549999999999997</v>
      </c>
      <c r="H3171" s="379">
        <v>2.5859248115727023</v>
      </c>
      <c r="I3171" s="25">
        <v>48.49</v>
      </c>
      <c r="J3171" s="379">
        <v>1.3935860880250583</v>
      </c>
    </row>
    <row r="3172" spans="1:10" x14ac:dyDescent="0.35">
      <c r="A3172" s="5">
        <v>3168</v>
      </c>
      <c r="B3172" s="5">
        <v>132</v>
      </c>
      <c r="C3172" s="5">
        <v>5</v>
      </c>
      <c r="D3172" s="379">
        <v>47.605555555555554</v>
      </c>
      <c r="E3172" s="25">
        <v>24.84</v>
      </c>
      <c r="F3172" s="379">
        <v>9.0637797383093924E-2</v>
      </c>
      <c r="G3172" s="25">
        <v>38.130000000000003</v>
      </c>
      <c r="H3172" s="379">
        <v>2.5859248115727023</v>
      </c>
      <c r="I3172" s="25">
        <v>46.64</v>
      </c>
      <c r="J3172" s="379">
        <v>1.3605549470073204</v>
      </c>
    </row>
    <row r="3173" spans="1:10" x14ac:dyDescent="0.35">
      <c r="A3173" s="5">
        <v>3169</v>
      </c>
      <c r="B3173" s="5">
        <v>133</v>
      </c>
      <c r="C3173" s="5">
        <v>5</v>
      </c>
      <c r="D3173" s="379">
        <v>45.348888888888887</v>
      </c>
      <c r="E3173" s="25">
        <v>24.84</v>
      </c>
      <c r="F3173" s="379">
        <v>6.0268958538623879E-2</v>
      </c>
      <c r="G3173" s="25">
        <v>37.979999999999997</v>
      </c>
      <c r="H3173" s="379">
        <v>2.5859248115727023</v>
      </c>
      <c r="I3173" s="25">
        <v>45.28</v>
      </c>
      <c r="J3173" s="379">
        <v>1.4338014555872707</v>
      </c>
    </row>
    <row r="3174" spans="1:10" x14ac:dyDescent="0.35">
      <c r="A3174" s="5">
        <v>3170</v>
      </c>
      <c r="B3174" s="5">
        <v>133</v>
      </c>
      <c r="C3174" s="5">
        <v>5</v>
      </c>
      <c r="D3174" s="379">
        <v>44.419999999999995</v>
      </c>
      <c r="E3174" s="25">
        <v>24.84</v>
      </c>
      <c r="F3174" s="379">
        <v>6.5733924527935333E-2</v>
      </c>
      <c r="G3174" s="25">
        <v>34.9</v>
      </c>
      <c r="H3174" s="379">
        <v>2.5859248115727023</v>
      </c>
      <c r="I3174" s="25">
        <v>44.83</v>
      </c>
      <c r="J3174" s="379">
        <v>1.4375609430906353</v>
      </c>
    </row>
    <row r="3175" spans="1:10" x14ac:dyDescent="0.35">
      <c r="A3175" s="5">
        <v>3171</v>
      </c>
      <c r="B3175" s="5">
        <v>133</v>
      </c>
      <c r="C3175" s="5">
        <v>5</v>
      </c>
      <c r="D3175" s="379">
        <v>42.59</v>
      </c>
      <c r="E3175" s="25">
        <v>24.84</v>
      </c>
      <c r="F3175" s="379">
        <v>5.0052091375222874E-2</v>
      </c>
      <c r="G3175" s="25">
        <v>36.159999999999997</v>
      </c>
      <c r="H3175" s="379">
        <v>2.6225373998564807</v>
      </c>
      <c r="I3175" s="25">
        <v>44.83</v>
      </c>
      <c r="J3175" s="379">
        <v>0.14480167642852412</v>
      </c>
    </row>
    <row r="3176" spans="1:10" x14ac:dyDescent="0.35">
      <c r="A3176" s="5">
        <v>3172</v>
      </c>
      <c r="B3176" s="5">
        <v>133</v>
      </c>
      <c r="C3176" s="5">
        <v>5</v>
      </c>
      <c r="D3176" s="379">
        <v>42.705555555555556</v>
      </c>
      <c r="E3176" s="25">
        <v>24.84</v>
      </c>
      <c r="F3176" s="379">
        <v>7.4422758690005406E-2</v>
      </c>
      <c r="G3176" s="25">
        <v>37.979999999999997</v>
      </c>
      <c r="H3176" s="379">
        <v>2.6225373998564807</v>
      </c>
      <c r="I3176" s="25">
        <v>44.83</v>
      </c>
      <c r="J3176" s="379">
        <v>0.14480167642852412</v>
      </c>
    </row>
    <row r="3177" spans="1:10" x14ac:dyDescent="0.35">
      <c r="A3177" s="5">
        <v>3173</v>
      </c>
      <c r="B3177" s="5">
        <v>133</v>
      </c>
      <c r="C3177" s="5">
        <v>5</v>
      </c>
      <c r="D3177" s="379">
        <v>44.582222222222221</v>
      </c>
      <c r="E3177" s="25">
        <v>24.84</v>
      </c>
      <c r="F3177" s="379">
        <v>7.0873483583013652E-2</v>
      </c>
      <c r="G3177" s="25">
        <v>37.979999999999997</v>
      </c>
      <c r="H3177" s="379">
        <v>2.6225373998564807</v>
      </c>
      <c r="I3177" s="25">
        <v>45.28</v>
      </c>
      <c r="J3177" s="379">
        <v>1.4590038719398724</v>
      </c>
    </row>
    <row r="3178" spans="1:10" x14ac:dyDescent="0.35">
      <c r="A3178" s="5">
        <v>3174</v>
      </c>
      <c r="B3178" s="5">
        <v>133</v>
      </c>
      <c r="C3178" s="5">
        <v>5</v>
      </c>
      <c r="D3178" s="379">
        <v>47.466666666666661</v>
      </c>
      <c r="E3178" s="25">
        <v>24.84</v>
      </c>
      <c r="F3178" s="379">
        <v>6.0268958538623879E-2</v>
      </c>
      <c r="G3178" s="25">
        <v>42.19</v>
      </c>
      <c r="H3178" s="379">
        <v>2.6225373998564807</v>
      </c>
      <c r="I3178" s="25">
        <v>50.19</v>
      </c>
      <c r="J3178" s="379">
        <v>1.5063578019757662</v>
      </c>
    </row>
    <row r="3179" spans="1:10" x14ac:dyDescent="0.35">
      <c r="A3179" s="5">
        <v>3175</v>
      </c>
      <c r="B3179" s="5">
        <v>133</v>
      </c>
      <c r="C3179" s="5">
        <v>5</v>
      </c>
      <c r="D3179" s="379">
        <v>51.160000000000004</v>
      </c>
      <c r="E3179" s="25">
        <v>24.99</v>
      </c>
      <c r="F3179" s="379">
        <v>3.0369889445155707</v>
      </c>
      <c r="G3179" s="25">
        <v>44.69</v>
      </c>
      <c r="H3179" s="379">
        <v>2.6225373998564807</v>
      </c>
      <c r="I3179" s="25">
        <v>52.74</v>
      </c>
      <c r="J3179" s="379">
        <v>1.4867380802185506</v>
      </c>
    </row>
    <row r="3180" spans="1:10" x14ac:dyDescent="0.35">
      <c r="A3180" s="5">
        <v>3176</v>
      </c>
      <c r="B3180" s="5">
        <v>133</v>
      </c>
      <c r="C3180" s="5">
        <v>5</v>
      </c>
      <c r="D3180" s="379">
        <v>53.674444444444447</v>
      </c>
      <c r="E3180" s="25">
        <v>24.99</v>
      </c>
      <c r="F3180" s="379">
        <v>2.9684633192808594</v>
      </c>
      <c r="G3180" s="25">
        <v>44.69</v>
      </c>
      <c r="H3180" s="379">
        <v>2.4389002921665943</v>
      </c>
      <c r="I3180" s="25">
        <v>52.74</v>
      </c>
      <c r="J3180" s="379">
        <v>5.1162482169034962E-2</v>
      </c>
    </row>
    <row r="3181" spans="1:10" x14ac:dyDescent="0.35">
      <c r="A3181" s="5">
        <v>3177</v>
      </c>
      <c r="B3181" s="5">
        <v>133</v>
      </c>
      <c r="C3181" s="5">
        <v>5</v>
      </c>
      <c r="D3181" s="379">
        <v>50.897222222222219</v>
      </c>
      <c r="E3181" s="25">
        <v>24.84</v>
      </c>
      <c r="F3181" s="379">
        <v>2.9039041889806971</v>
      </c>
      <c r="G3181" s="25">
        <v>44.69</v>
      </c>
      <c r="H3181" s="379">
        <v>0.79389411563971191</v>
      </c>
      <c r="I3181" s="25">
        <v>50.94</v>
      </c>
      <c r="J3181" s="379">
        <v>5.1162482169034962E-2</v>
      </c>
    </row>
    <row r="3182" spans="1:10" x14ac:dyDescent="0.35">
      <c r="A3182" s="5">
        <v>3178</v>
      </c>
      <c r="B3182" s="5">
        <v>133</v>
      </c>
      <c r="C3182" s="5">
        <v>5</v>
      </c>
      <c r="D3182" s="379">
        <v>41.408888888888889</v>
      </c>
      <c r="E3182" s="25">
        <v>24.84</v>
      </c>
      <c r="F3182" s="379">
        <v>2.8003964335678027</v>
      </c>
      <c r="G3182" s="25">
        <v>42.19</v>
      </c>
      <c r="H3182" s="379">
        <v>2.777777777777778E-2</v>
      </c>
      <c r="I3182" s="25">
        <v>46.64</v>
      </c>
      <c r="J3182" s="379">
        <v>5.1162482169034962E-2</v>
      </c>
    </row>
    <row r="3183" spans="1:10" x14ac:dyDescent="0.35">
      <c r="A3183" s="5">
        <v>3179</v>
      </c>
      <c r="B3183" s="5">
        <v>133</v>
      </c>
      <c r="C3183" s="5">
        <v>5</v>
      </c>
      <c r="D3183" s="379">
        <v>34.310555555555553</v>
      </c>
      <c r="E3183" s="25">
        <v>24.84</v>
      </c>
      <c r="F3183" s="379">
        <v>2.0815147248995691</v>
      </c>
      <c r="G3183" s="25">
        <v>41.19</v>
      </c>
      <c r="H3183" s="379">
        <v>2.777777777777778E-2</v>
      </c>
      <c r="I3183" s="25">
        <v>45.74</v>
      </c>
      <c r="J3183" s="379">
        <v>5.1162482169034962E-2</v>
      </c>
    </row>
    <row r="3184" spans="1:10" x14ac:dyDescent="0.35">
      <c r="A3184" s="5">
        <v>3180</v>
      </c>
      <c r="B3184" s="5">
        <v>133</v>
      </c>
      <c r="C3184" s="5">
        <v>5</v>
      </c>
      <c r="D3184" s="379">
        <v>31.61333333333333</v>
      </c>
      <c r="E3184" s="25">
        <v>24.84</v>
      </c>
      <c r="F3184" s="379">
        <v>2.0815147248995691</v>
      </c>
      <c r="G3184" s="25">
        <v>38.130000000000003</v>
      </c>
      <c r="H3184" s="379">
        <v>2.777777777777778E-2</v>
      </c>
      <c r="I3184" s="25">
        <v>44.83</v>
      </c>
      <c r="J3184" s="379">
        <v>5.1162482169034962E-2</v>
      </c>
    </row>
    <row r="3185" spans="1:10" x14ac:dyDescent="0.35">
      <c r="A3185" s="5">
        <v>3181</v>
      </c>
      <c r="B3185" s="5">
        <v>133</v>
      </c>
      <c r="C3185" s="5">
        <v>5</v>
      </c>
      <c r="D3185" s="379">
        <v>21.297777777777778</v>
      </c>
      <c r="E3185" s="25">
        <v>24.84</v>
      </c>
      <c r="F3185" s="379">
        <v>1.4503904934095369</v>
      </c>
      <c r="G3185" s="25">
        <v>37.979999999999997</v>
      </c>
      <c r="H3185" s="379">
        <v>2.777777777777778E-2</v>
      </c>
      <c r="I3185" s="25">
        <v>44.6</v>
      </c>
      <c r="J3185" s="379">
        <v>5.1162482169034962E-2</v>
      </c>
    </row>
    <row r="3186" spans="1:10" x14ac:dyDescent="0.35">
      <c r="A3186" s="5">
        <v>3182</v>
      </c>
      <c r="B3186" s="5">
        <v>133</v>
      </c>
      <c r="C3186" s="5">
        <v>5</v>
      </c>
      <c r="D3186" s="379">
        <v>14.945555555555554</v>
      </c>
      <c r="E3186" s="25">
        <v>24.84</v>
      </c>
      <c r="F3186" s="379">
        <v>0.19038860176267738</v>
      </c>
      <c r="G3186" s="25">
        <v>37.979999999999997</v>
      </c>
      <c r="H3186" s="379">
        <v>2.777777777777778E-2</v>
      </c>
      <c r="I3186" s="25">
        <v>43.96</v>
      </c>
      <c r="J3186" s="379">
        <v>4.5242966157682182E-2</v>
      </c>
    </row>
    <row r="3187" spans="1:10" x14ac:dyDescent="0.35">
      <c r="A3187" s="5">
        <v>3183</v>
      </c>
      <c r="B3187" s="5">
        <v>133</v>
      </c>
      <c r="C3187" s="5">
        <v>5</v>
      </c>
      <c r="D3187" s="379">
        <v>14.42</v>
      </c>
      <c r="E3187" s="25">
        <v>24.84</v>
      </c>
      <c r="F3187" s="379">
        <v>7.3580064730008388E-2</v>
      </c>
      <c r="G3187" s="25">
        <v>37.979999999999997</v>
      </c>
      <c r="H3187" s="379">
        <v>2.777777777777778E-2</v>
      </c>
      <c r="I3187" s="25">
        <v>43.96</v>
      </c>
      <c r="J3187" s="379">
        <v>4.5242966157682182E-2</v>
      </c>
    </row>
    <row r="3188" spans="1:10" x14ac:dyDescent="0.35">
      <c r="A3188" s="5">
        <v>3184</v>
      </c>
      <c r="B3188" s="5">
        <v>133</v>
      </c>
      <c r="C3188" s="5">
        <v>5</v>
      </c>
      <c r="D3188" s="379">
        <v>20.231666666666666</v>
      </c>
      <c r="E3188" s="25">
        <v>24.84</v>
      </c>
      <c r="F3188" s="379">
        <v>7.3580064730008388E-2</v>
      </c>
      <c r="G3188" s="25">
        <v>38.369999999999997</v>
      </c>
      <c r="H3188" s="379">
        <v>2.777777777777778E-2</v>
      </c>
      <c r="I3188" s="25">
        <v>44.83</v>
      </c>
      <c r="J3188" s="379">
        <v>4.5242966157682182E-2</v>
      </c>
    </row>
    <row r="3189" spans="1:10" x14ac:dyDescent="0.35">
      <c r="A3189" s="5">
        <v>3185</v>
      </c>
      <c r="B3189" s="5">
        <v>133</v>
      </c>
      <c r="C3189" s="5">
        <v>5</v>
      </c>
      <c r="D3189" s="379">
        <v>31.480555555555554</v>
      </c>
      <c r="E3189" s="25">
        <v>24.84</v>
      </c>
      <c r="F3189" s="379">
        <v>1.4503904934095369</v>
      </c>
      <c r="G3189" s="25">
        <v>42.42</v>
      </c>
      <c r="H3189" s="379">
        <v>7.0951597550756737E-2</v>
      </c>
      <c r="I3189" s="25">
        <v>47.31</v>
      </c>
      <c r="J3189" s="379">
        <v>5.1162482169034962E-2</v>
      </c>
    </row>
    <row r="3190" spans="1:10" x14ac:dyDescent="0.35">
      <c r="A3190" s="5">
        <v>3186</v>
      </c>
      <c r="B3190" s="5">
        <v>133</v>
      </c>
      <c r="C3190" s="5">
        <v>5</v>
      </c>
      <c r="D3190" s="379">
        <v>41.088888888888881</v>
      </c>
      <c r="E3190" s="25">
        <v>24.88</v>
      </c>
      <c r="F3190" s="379">
        <v>3.2961415411064978</v>
      </c>
      <c r="G3190" s="25">
        <v>44.69</v>
      </c>
      <c r="H3190" s="379">
        <v>7.0951597550756737E-2</v>
      </c>
      <c r="I3190" s="25">
        <v>50.94</v>
      </c>
      <c r="J3190" s="379">
        <v>8.8378722910941968E-2</v>
      </c>
    </row>
    <row r="3191" spans="1:10" x14ac:dyDescent="0.35">
      <c r="A3191" s="5">
        <v>3187</v>
      </c>
      <c r="B3191" s="5">
        <v>133</v>
      </c>
      <c r="C3191" s="5">
        <v>5</v>
      </c>
      <c r="D3191" s="379">
        <v>45.070555555555551</v>
      </c>
      <c r="E3191" s="25">
        <v>25.29</v>
      </c>
      <c r="F3191" s="379">
        <v>6.2950825998598559</v>
      </c>
      <c r="G3191" s="25">
        <v>44.69</v>
      </c>
      <c r="H3191" s="379">
        <v>8.6023585279447961</v>
      </c>
      <c r="I3191" s="25">
        <v>51.76</v>
      </c>
      <c r="J3191" s="379">
        <v>3.0512965195157484</v>
      </c>
    </row>
    <row r="3192" spans="1:10" x14ac:dyDescent="0.35">
      <c r="A3192" s="5">
        <v>3188</v>
      </c>
      <c r="B3192" s="5">
        <v>133</v>
      </c>
      <c r="C3192" s="5">
        <v>5</v>
      </c>
      <c r="D3192" s="379">
        <v>46.084444444444443</v>
      </c>
      <c r="E3192" s="25">
        <v>25.74</v>
      </c>
      <c r="F3192" s="379">
        <v>6.7601521212868398</v>
      </c>
      <c r="G3192" s="25">
        <v>44.69</v>
      </c>
      <c r="H3192" s="379">
        <v>7.6859249402937513</v>
      </c>
      <c r="I3192" s="25">
        <v>53.71</v>
      </c>
      <c r="J3192" s="379">
        <v>5.412410501172757</v>
      </c>
    </row>
    <row r="3193" spans="1:10" x14ac:dyDescent="0.35">
      <c r="A3193" s="5">
        <v>3189</v>
      </c>
      <c r="B3193" s="5">
        <v>133</v>
      </c>
      <c r="C3193" s="5">
        <v>5</v>
      </c>
      <c r="D3193" s="379">
        <v>46.690555555555555</v>
      </c>
      <c r="E3193" s="25">
        <v>25.74</v>
      </c>
      <c r="F3193" s="379">
        <v>6.8014655232621068</v>
      </c>
      <c r="G3193" s="25">
        <v>44.69</v>
      </c>
      <c r="H3193" s="379">
        <v>8.4861193231878467</v>
      </c>
      <c r="I3193" s="25">
        <v>54.87</v>
      </c>
      <c r="J3193" s="379">
        <v>5.2420966128878614</v>
      </c>
    </row>
    <row r="3194" spans="1:10" x14ac:dyDescent="0.35">
      <c r="A3194" s="5">
        <v>3190</v>
      </c>
      <c r="B3194" s="5">
        <v>133</v>
      </c>
      <c r="C3194" s="5">
        <v>5</v>
      </c>
      <c r="D3194" s="379">
        <v>44.418888888888894</v>
      </c>
      <c r="E3194" s="25">
        <v>25.74</v>
      </c>
      <c r="F3194" s="379">
        <v>6.3842318124209188</v>
      </c>
      <c r="G3194" s="25">
        <v>44.69</v>
      </c>
      <c r="H3194" s="379">
        <v>7.7393705145827667</v>
      </c>
      <c r="I3194" s="25">
        <v>54.32</v>
      </c>
      <c r="J3194" s="379">
        <v>4.68082771937459</v>
      </c>
    </row>
    <row r="3195" spans="1:10" x14ac:dyDescent="0.35">
      <c r="A3195" s="5">
        <v>3191</v>
      </c>
      <c r="B3195" s="5">
        <v>133</v>
      </c>
      <c r="C3195" s="5">
        <v>5</v>
      </c>
      <c r="D3195" s="379">
        <v>39.791111111111107</v>
      </c>
      <c r="E3195" s="25">
        <v>24.84</v>
      </c>
      <c r="F3195" s="379">
        <v>6.2020058150946014</v>
      </c>
      <c r="G3195" s="25">
        <v>44.69</v>
      </c>
      <c r="H3195" s="379">
        <v>7.104776214636968</v>
      </c>
      <c r="I3195" s="25">
        <v>53.71</v>
      </c>
      <c r="J3195" s="379">
        <v>4.5349757701974136</v>
      </c>
    </row>
    <row r="3196" spans="1:10" x14ac:dyDescent="0.35">
      <c r="A3196" s="5">
        <v>3192</v>
      </c>
      <c r="B3196" s="5">
        <v>133</v>
      </c>
      <c r="C3196" s="5">
        <v>5</v>
      </c>
      <c r="D3196" s="379">
        <v>38.823888888888888</v>
      </c>
      <c r="E3196" s="25">
        <v>24.84</v>
      </c>
      <c r="F3196" s="379">
        <v>6.9759804572802739</v>
      </c>
      <c r="G3196" s="25">
        <v>42.42</v>
      </c>
      <c r="H3196" s="379">
        <v>7.363000318761312</v>
      </c>
      <c r="I3196" s="25">
        <v>49.53</v>
      </c>
      <c r="J3196" s="379">
        <v>3.6350694759311937</v>
      </c>
    </row>
    <row r="3197" spans="1:10" x14ac:dyDescent="0.35">
      <c r="A3197" s="5">
        <v>3193</v>
      </c>
      <c r="B3197" s="5">
        <v>134</v>
      </c>
      <c r="C3197" s="5">
        <v>5</v>
      </c>
      <c r="D3197" s="379">
        <v>40.403888888888893</v>
      </c>
      <c r="E3197" s="25">
        <v>24.84</v>
      </c>
      <c r="F3197" s="379">
        <v>6.9064214716925818</v>
      </c>
      <c r="G3197" s="25">
        <v>43.56</v>
      </c>
      <c r="H3197" s="379">
        <v>6.5401876104786165</v>
      </c>
      <c r="I3197" s="25">
        <v>51.72</v>
      </c>
      <c r="J3197" s="379">
        <v>3.9817929329004711</v>
      </c>
    </row>
    <row r="3198" spans="1:10" x14ac:dyDescent="0.35">
      <c r="A3198" s="5">
        <v>3194</v>
      </c>
      <c r="B3198" s="5">
        <v>134</v>
      </c>
      <c r="C3198" s="5">
        <v>5</v>
      </c>
      <c r="D3198" s="379">
        <v>39.878333333333337</v>
      </c>
      <c r="E3198" s="25">
        <v>24.84</v>
      </c>
      <c r="F3198" s="379">
        <v>6.5949232888280029</v>
      </c>
      <c r="G3198" s="25">
        <v>42.29</v>
      </c>
      <c r="H3198" s="379">
        <v>6.4926546263837368</v>
      </c>
      <c r="I3198" s="25">
        <v>51.72</v>
      </c>
      <c r="J3198" s="379">
        <v>3.2638823274097843</v>
      </c>
    </row>
    <row r="3199" spans="1:10" x14ac:dyDescent="0.35">
      <c r="A3199" s="5">
        <v>3195</v>
      </c>
      <c r="B3199" s="5">
        <v>134</v>
      </c>
      <c r="C3199" s="5">
        <v>5</v>
      </c>
      <c r="D3199" s="379">
        <v>37.544999999999995</v>
      </c>
      <c r="E3199" s="25">
        <v>24.84</v>
      </c>
      <c r="F3199" s="379">
        <v>6.5986402576276291</v>
      </c>
      <c r="G3199" s="25">
        <v>42.29</v>
      </c>
      <c r="H3199" s="379">
        <v>7.0753734187537418</v>
      </c>
      <c r="I3199" s="25">
        <v>51.72</v>
      </c>
      <c r="J3199" s="379">
        <v>3.8007897417385479</v>
      </c>
    </row>
    <row r="3200" spans="1:10" x14ac:dyDescent="0.35">
      <c r="A3200" s="5">
        <v>3196</v>
      </c>
      <c r="B3200" s="5">
        <v>134</v>
      </c>
      <c r="C3200" s="5">
        <v>5</v>
      </c>
      <c r="D3200" s="379">
        <v>41.075555555555553</v>
      </c>
      <c r="E3200" s="25">
        <v>24.84</v>
      </c>
      <c r="F3200" s="379">
        <v>5.9377169029539152</v>
      </c>
      <c r="G3200" s="25">
        <v>42.29</v>
      </c>
      <c r="H3200" s="379">
        <v>8.333850508695507</v>
      </c>
      <c r="I3200" s="25">
        <v>52.73</v>
      </c>
      <c r="J3200" s="379">
        <v>4.1483433382825563</v>
      </c>
    </row>
    <row r="3201" spans="1:10" x14ac:dyDescent="0.35">
      <c r="A3201" s="5">
        <v>3197</v>
      </c>
      <c r="B3201" s="5">
        <v>134</v>
      </c>
      <c r="C3201" s="5">
        <v>5</v>
      </c>
      <c r="D3201" s="379">
        <v>43.18</v>
      </c>
      <c r="E3201" s="25">
        <v>24.84</v>
      </c>
      <c r="F3201" s="379">
        <v>5.8824193922289707</v>
      </c>
      <c r="G3201" s="25">
        <v>43.56</v>
      </c>
      <c r="H3201" s="379">
        <v>9.4722230993923304</v>
      </c>
      <c r="I3201" s="25">
        <v>52.74</v>
      </c>
      <c r="J3201" s="379">
        <v>6.8528671708528144</v>
      </c>
    </row>
    <row r="3202" spans="1:10" x14ac:dyDescent="0.35">
      <c r="A3202" s="5">
        <v>3198</v>
      </c>
      <c r="B3202" s="5">
        <v>134</v>
      </c>
      <c r="C3202" s="5">
        <v>5</v>
      </c>
      <c r="D3202" s="379">
        <v>47.087222222222216</v>
      </c>
      <c r="E3202" s="25">
        <v>25.29</v>
      </c>
      <c r="F3202" s="379">
        <v>8.8046647836008809</v>
      </c>
      <c r="G3202" s="25">
        <v>44.69</v>
      </c>
      <c r="H3202" s="379">
        <v>10.00937616521591</v>
      </c>
      <c r="I3202" s="25">
        <v>53.71</v>
      </c>
      <c r="J3202" s="379">
        <v>6.9673553269505097</v>
      </c>
    </row>
    <row r="3203" spans="1:10" x14ac:dyDescent="0.35">
      <c r="A3203" s="5">
        <v>3199</v>
      </c>
      <c r="B3203" s="5">
        <v>134</v>
      </c>
      <c r="C3203" s="5">
        <v>5</v>
      </c>
      <c r="D3203" s="379">
        <v>49.158333333333324</v>
      </c>
      <c r="E3203" s="25">
        <v>25.74</v>
      </c>
      <c r="F3203" s="379">
        <v>8.5890682836676095</v>
      </c>
      <c r="G3203" s="25">
        <v>46.98</v>
      </c>
      <c r="H3203" s="379">
        <v>9.7917062998491904</v>
      </c>
      <c r="I3203" s="25">
        <v>56.52</v>
      </c>
      <c r="J3203" s="379">
        <v>7.023461623109986</v>
      </c>
    </row>
    <row r="3204" spans="1:10" x14ac:dyDescent="0.35">
      <c r="A3204" s="5">
        <v>3200</v>
      </c>
      <c r="B3204" s="5">
        <v>134</v>
      </c>
      <c r="C3204" s="5">
        <v>5</v>
      </c>
      <c r="D3204" s="379">
        <v>49.850555555555552</v>
      </c>
      <c r="E3204" s="25">
        <v>25.74</v>
      </c>
      <c r="F3204" s="379">
        <v>8.4905936266320499</v>
      </c>
      <c r="G3204" s="25">
        <v>46.98</v>
      </c>
      <c r="H3204" s="379">
        <v>9.3513697335403325</v>
      </c>
      <c r="I3204" s="25">
        <v>59.77</v>
      </c>
      <c r="J3204" s="379">
        <v>6.6415415572436887</v>
      </c>
    </row>
    <row r="3205" spans="1:10" x14ac:dyDescent="0.35">
      <c r="A3205" s="5">
        <v>3201</v>
      </c>
      <c r="B3205" s="5">
        <v>134</v>
      </c>
      <c r="C3205" s="5">
        <v>5</v>
      </c>
      <c r="D3205" s="379">
        <v>46.657777777777781</v>
      </c>
      <c r="E3205" s="25">
        <v>24.99</v>
      </c>
      <c r="F3205" s="379">
        <v>8.1174834595959595</v>
      </c>
      <c r="G3205" s="25">
        <v>44.4</v>
      </c>
      <c r="H3205" s="379">
        <v>7.7746539559140135</v>
      </c>
      <c r="I3205" s="25">
        <v>53.27</v>
      </c>
      <c r="J3205" s="379">
        <v>5.6469141001280425</v>
      </c>
    </row>
    <row r="3206" spans="1:10" x14ac:dyDescent="0.35">
      <c r="A3206" s="5">
        <v>3202</v>
      </c>
      <c r="B3206" s="5">
        <v>134</v>
      </c>
      <c r="C3206" s="5">
        <v>5</v>
      </c>
      <c r="D3206" s="379">
        <v>38.908333333333331</v>
      </c>
      <c r="E3206" s="25">
        <v>24.84</v>
      </c>
      <c r="F3206" s="379">
        <v>6.52777342647979</v>
      </c>
      <c r="G3206" s="25">
        <v>42.71</v>
      </c>
      <c r="H3206" s="379">
        <v>7.4415708969370113</v>
      </c>
      <c r="I3206" s="25">
        <v>50.19</v>
      </c>
      <c r="J3206" s="379">
        <v>4.9018073656143732</v>
      </c>
    </row>
    <row r="3207" spans="1:10" x14ac:dyDescent="0.35">
      <c r="A3207" s="5">
        <v>3203</v>
      </c>
      <c r="B3207" s="5">
        <v>134</v>
      </c>
      <c r="C3207" s="5">
        <v>5</v>
      </c>
      <c r="D3207" s="379">
        <v>30.822222222222219</v>
      </c>
      <c r="E3207" s="25">
        <v>24.84</v>
      </c>
      <c r="F3207" s="379">
        <v>4.8073174050546248</v>
      </c>
      <c r="G3207" s="25">
        <v>42.29</v>
      </c>
      <c r="H3207" s="379">
        <v>7.2582446802260137</v>
      </c>
      <c r="I3207" s="25">
        <v>47.31</v>
      </c>
      <c r="J3207" s="379">
        <v>5.1243336219456266</v>
      </c>
    </row>
    <row r="3208" spans="1:10" x14ac:dyDescent="0.35">
      <c r="A3208" s="5">
        <v>3204</v>
      </c>
      <c r="B3208" s="5">
        <v>134</v>
      </c>
      <c r="C3208" s="5">
        <v>5</v>
      </c>
      <c r="D3208" s="379">
        <v>28.426666666666662</v>
      </c>
      <c r="E3208" s="25">
        <v>24.84</v>
      </c>
      <c r="F3208" s="379">
        <v>4.8073174050546248</v>
      </c>
      <c r="G3208" s="25">
        <v>33.130000000000003</v>
      </c>
      <c r="H3208" s="379">
        <v>7.4118254098660685</v>
      </c>
      <c r="I3208" s="25">
        <v>37.979999999999997</v>
      </c>
      <c r="J3208" s="379">
        <v>5.1918781910980352</v>
      </c>
    </row>
    <row r="3209" spans="1:10" x14ac:dyDescent="0.35">
      <c r="A3209" s="5">
        <v>3205</v>
      </c>
      <c r="B3209" s="5">
        <v>134</v>
      </c>
      <c r="C3209" s="5">
        <v>5</v>
      </c>
      <c r="D3209" s="379">
        <v>17.857222222222227</v>
      </c>
      <c r="E3209" s="25">
        <v>24.84</v>
      </c>
      <c r="F3209" s="379">
        <v>0.47222222222222221</v>
      </c>
      <c r="G3209" s="25">
        <v>32.79</v>
      </c>
      <c r="H3209" s="379">
        <v>6.9745705000182703</v>
      </c>
      <c r="I3209" s="25">
        <v>37.979999999999997</v>
      </c>
      <c r="J3209" s="379">
        <v>5.2686666203531853</v>
      </c>
    </row>
    <row r="3210" spans="1:10" x14ac:dyDescent="0.35">
      <c r="A3210" s="5">
        <v>3206</v>
      </c>
      <c r="B3210" s="5">
        <v>134</v>
      </c>
      <c r="C3210" s="5">
        <v>5</v>
      </c>
      <c r="D3210" s="379">
        <v>18.699444444444449</v>
      </c>
      <c r="E3210" s="25">
        <v>24.84</v>
      </c>
      <c r="F3210" s="379">
        <v>0.47222222222222221</v>
      </c>
      <c r="G3210" s="25">
        <v>32.43</v>
      </c>
      <c r="H3210" s="379">
        <v>7.2512498523141327</v>
      </c>
      <c r="I3210" s="25">
        <v>37.979999999999997</v>
      </c>
      <c r="J3210" s="379">
        <v>5.2046357719931704</v>
      </c>
    </row>
    <row r="3211" spans="1:10" x14ac:dyDescent="0.35">
      <c r="A3211" s="5">
        <v>3207</v>
      </c>
      <c r="B3211" s="5">
        <v>134</v>
      </c>
      <c r="C3211" s="5">
        <v>5</v>
      </c>
      <c r="D3211" s="379">
        <v>27.334999999999997</v>
      </c>
      <c r="E3211" s="25">
        <v>24.84</v>
      </c>
      <c r="F3211" s="379">
        <v>0.47222222222222221</v>
      </c>
      <c r="G3211" s="25">
        <v>32.79</v>
      </c>
      <c r="H3211" s="379">
        <v>7.0200684588595852</v>
      </c>
      <c r="I3211" s="25">
        <v>37.979999999999997</v>
      </c>
      <c r="J3211" s="379">
        <v>5.2649920357841085</v>
      </c>
    </row>
    <row r="3212" spans="1:10" x14ac:dyDescent="0.35">
      <c r="A3212" s="5">
        <v>3208</v>
      </c>
      <c r="B3212" s="5">
        <v>134</v>
      </c>
      <c r="C3212" s="5">
        <v>5</v>
      </c>
      <c r="D3212" s="379">
        <v>36.94777777777778</v>
      </c>
      <c r="E3212" s="25">
        <v>24.84</v>
      </c>
      <c r="F3212" s="379">
        <v>8.1174834595959613</v>
      </c>
      <c r="G3212" s="25">
        <v>32.79</v>
      </c>
      <c r="H3212" s="379">
        <v>7.1301888935887971</v>
      </c>
      <c r="I3212" s="25">
        <v>37.979999999999997</v>
      </c>
      <c r="J3212" s="379">
        <v>3.2902959920588639</v>
      </c>
    </row>
    <row r="3213" spans="1:10" x14ac:dyDescent="0.35">
      <c r="A3213" s="5">
        <v>3209</v>
      </c>
      <c r="B3213" s="5">
        <v>134</v>
      </c>
      <c r="C3213" s="5">
        <v>5</v>
      </c>
      <c r="D3213" s="379">
        <v>48.958888888888893</v>
      </c>
      <c r="E3213" s="25">
        <v>24.84</v>
      </c>
      <c r="F3213" s="379">
        <v>8.1174834595959595</v>
      </c>
      <c r="G3213" s="25">
        <v>33.07</v>
      </c>
      <c r="H3213" s="379">
        <v>9.6190303637113459</v>
      </c>
      <c r="I3213" s="25">
        <v>37.979999999999997</v>
      </c>
      <c r="J3213" s="379">
        <v>3.8915666086782501</v>
      </c>
    </row>
    <row r="3214" spans="1:10" x14ac:dyDescent="0.35">
      <c r="A3214" s="5">
        <v>3210</v>
      </c>
      <c r="B3214" s="5">
        <v>134</v>
      </c>
      <c r="C3214" s="5">
        <v>5</v>
      </c>
      <c r="D3214" s="379">
        <v>55.946666666666658</v>
      </c>
      <c r="E3214" s="25">
        <v>24.84</v>
      </c>
      <c r="F3214" s="379">
        <v>17.154469536578418</v>
      </c>
      <c r="G3214" s="25">
        <v>38.15</v>
      </c>
      <c r="H3214" s="379">
        <v>10.299769766076956</v>
      </c>
      <c r="I3214" s="25">
        <v>37.979999999999997</v>
      </c>
      <c r="J3214" s="379">
        <v>6.7015969779529616</v>
      </c>
    </row>
    <row r="3215" spans="1:10" x14ac:dyDescent="0.35">
      <c r="A3215" s="5">
        <v>3211</v>
      </c>
      <c r="B3215" s="5">
        <v>134</v>
      </c>
      <c r="C3215" s="5">
        <v>5</v>
      </c>
      <c r="D3215" s="379">
        <v>58.828888888888876</v>
      </c>
      <c r="E3215" s="25">
        <v>24.84</v>
      </c>
      <c r="F3215" s="379">
        <v>15.461991298278285</v>
      </c>
      <c r="G3215" s="25">
        <v>37.46</v>
      </c>
      <c r="H3215" s="379">
        <v>11.12966356194473</v>
      </c>
      <c r="I3215" s="25">
        <v>38.36</v>
      </c>
      <c r="J3215" s="379">
        <v>6.7899940838189101</v>
      </c>
    </row>
    <row r="3216" spans="1:10" x14ac:dyDescent="0.35">
      <c r="A3216" s="5">
        <v>3212</v>
      </c>
      <c r="B3216" s="5">
        <v>134</v>
      </c>
      <c r="C3216" s="5">
        <v>5</v>
      </c>
      <c r="D3216" s="379">
        <v>60.265555555555544</v>
      </c>
      <c r="E3216" s="25">
        <v>24.84</v>
      </c>
      <c r="F3216" s="379">
        <v>15.891480237890928</v>
      </c>
      <c r="G3216" s="25">
        <v>37.46</v>
      </c>
      <c r="H3216" s="379">
        <v>10.945125306484337</v>
      </c>
      <c r="I3216" s="25">
        <v>44.68</v>
      </c>
      <c r="J3216" s="379">
        <v>6.7995199297994695</v>
      </c>
    </row>
    <row r="3217" spans="1:10" x14ac:dyDescent="0.35">
      <c r="A3217" s="5">
        <v>3213</v>
      </c>
      <c r="B3217" s="5">
        <v>134</v>
      </c>
      <c r="C3217" s="5">
        <v>5</v>
      </c>
      <c r="D3217" s="379">
        <v>60.715000000000003</v>
      </c>
      <c r="E3217" s="25">
        <v>24.84</v>
      </c>
      <c r="F3217" s="379">
        <v>13.037829966997732</v>
      </c>
      <c r="G3217" s="25">
        <v>37.46</v>
      </c>
      <c r="H3217" s="379">
        <v>9.7420844079154048</v>
      </c>
      <c r="I3217" s="25">
        <v>44.68</v>
      </c>
      <c r="J3217" s="379">
        <v>6.589240984042716</v>
      </c>
    </row>
    <row r="3218" spans="1:10" x14ac:dyDescent="0.35">
      <c r="A3218" s="5">
        <v>3214</v>
      </c>
      <c r="B3218" s="5">
        <v>134</v>
      </c>
      <c r="C3218" s="5">
        <v>5</v>
      </c>
      <c r="D3218" s="379">
        <v>59.751111111111108</v>
      </c>
      <c r="E3218" s="25">
        <v>24.84</v>
      </c>
      <c r="F3218" s="379">
        <v>16.244146209065327</v>
      </c>
      <c r="G3218" s="25">
        <v>35.64</v>
      </c>
      <c r="H3218" s="379">
        <v>10.546032765168235</v>
      </c>
      <c r="I3218" s="25">
        <v>44.68</v>
      </c>
      <c r="J3218" s="379">
        <v>6.5310977290544878</v>
      </c>
    </row>
    <row r="3219" spans="1:10" x14ac:dyDescent="0.35">
      <c r="A3219" s="5">
        <v>3215</v>
      </c>
      <c r="B3219" s="5">
        <v>134</v>
      </c>
      <c r="C3219" s="5">
        <v>5</v>
      </c>
      <c r="D3219" s="379">
        <v>57.010555555555548</v>
      </c>
      <c r="E3219" s="25">
        <v>24.84</v>
      </c>
      <c r="F3219" s="379">
        <v>16.603388924953364</v>
      </c>
      <c r="G3219" s="25">
        <v>32.79</v>
      </c>
      <c r="H3219" s="379">
        <v>10.792031745376756</v>
      </c>
      <c r="I3219" s="25">
        <v>42.11</v>
      </c>
      <c r="J3219" s="379">
        <v>6.5310977290544878</v>
      </c>
    </row>
    <row r="3220" spans="1:10" x14ac:dyDescent="0.35">
      <c r="A3220" s="5">
        <v>3216</v>
      </c>
      <c r="B3220" s="5">
        <v>134</v>
      </c>
      <c r="C3220" s="5">
        <v>5</v>
      </c>
      <c r="D3220" s="379">
        <v>55.114444444444437</v>
      </c>
      <c r="E3220" s="25">
        <v>24.56</v>
      </c>
      <c r="F3220" s="379">
        <v>16.631090137831379</v>
      </c>
      <c r="G3220" s="25">
        <v>32.11</v>
      </c>
      <c r="H3220" s="379">
        <v>11.018011878110507</v>
      </c>
      <c r="I3220" s="25">
        <v>36.869999999999997</v>
      </c>
      <c r="J3220" s="379">
        <v>6.8066634901365335</v>
      </c>
    </row>
    <row r="3221" spans="1:10" x14ac:dyDescent="0.35">
      <c r="A3221" s="5">
        <v>3217</v>
      </c>
      <c r="B3221" s="5">
        <v>135</v>
      </c>
      <c r="C3221" s="5">
        <v>5</v>
      </c>
      <c r="D3221" s="379">
        <v>51.290555555555549</v>
      </c>
      <c r="E3221" s="25">
        <v>24.44</v>
      </c>
      <c r="F3221" s="379">
        <v>17.213160107758899</v>
      </c>
      <c r="G3221" s="25">
        <v>31.11</v>
      </c>
      <c r="H3221" s="379">
        <v>11.103799028365769</v>
      </c>
      <c r="I3221" s="25">
        <v>34.68</v>
      </c>
      <c r="J3221" s="379">
        <v>6.9197349814194284</v>
      </c>
    </row>
    <row r="3222" spans="1:10" x14ac:dyDescent="0.35">
      <c r="A3222" s="5">
        <v>3218</v>
      </c>
      <c r="B3222" s="5">
        <v>135</v>
      </c>
      <c r="C3222" s="5">
        <v>5</v>
      </c>
      <c r="D3222" s="379">
        <v>49.258333333333333</v>
      </c>
      <c r="E3222" s="25">
        <v>24</v>
      </c>
      <c r="F3222" s="379">
        <v>16.724464441039796</v>
      </c>
      <c r="G3222" s="25">
        <v>30.95</v>
      </c>
      <c r="H3222" s="379">
        <v>11.004991072885714</v>
      </c>
      <c r="I3222" s="25">
        <v>34.68</v>
      </c>
      <c r="J3222" s="379">
        <v>7.2162039022027109</v>
      </c>
    </row>
    <row r="3223" spans="1:10" x14ac:dyDescent="0.35">
      <c r="A3223" s="5">
        <v>3219</v>
      </c>
      <c r="B3223" s="5">
        <v>135</v>
      </c>
      <c r="C3223" s="5">
        <v>5</v>
      </c>
      <c r="D3223" s="379">
        <v>46.063888888888883</v>
      </c>
      <c r="E3223" s="25">
        <v>23.73</v>
      </c>
      <c r="F3223" s="379">
        <v>16.052891353521371</v>
      </c>
      <c r="G3223" s="25">
        <v>30.95</v>
      </c>
      <c r="H3223" s="379">
        <v>9.3372479141469729</v>
      </c>
      <c r="I3223" s="25">
        <v>34.68</v>
      </c>
      <c r="J3223" s="379">
        <v>7.2500645888572643</v>
      </c>
    </row>
    <row r="3224" spans="1:10" x14ac:dyDescent="0.35">
      <c r="A3224" s="5">
        <v>3220</v>
      </c>
      <c r="B3224" s="5">
        <v>135</v>
      </c>
      <c r="C3224" s="5">
        <v>5</v>
      </c>
      <c r="D3224" s="379">
        <v>45.187777777777775</v>
      </c>
      <c r="E3224" s="25">
        <v>23.73</v>
      </c>
      <c r="F3224" s="379">
        <v>14.846159577830083</v>
      </c>
      <c r="G3224" s="25">
        <v>30.95</v>
      </c>
      <c r="H3224" s="379">
        <v>9.3259418495530699</v>
      </c>
      <c r="I3224" s="25">
        <v>34.68</v>
      </c>
      <c r="J3224" s="379">
        <v>7.11374502913662</v>
      </c>
    </row>
    <row r="3225" spans="1:10" x14ac:dyDescent="0.35">
      <c r="A3225" s="5">
        <v>3221</v>
      </c>
      <c r="B3225" s="5">
        <v>135</v>
      </c>
      <c r="C3225" s="5">
        <v>5</v>
      </c>
      <c r="D3225" s="379">
        <v>44.638888888888886</v>
      </c>
      <c r="E3225" s="25">
        <v>24</v>
      </c>
      <c r="F3225" s="379">
        <v>16.412027116694233</v>
      </c>
      <c r="G3225" s="25">
        <v>30.95</v>
      </c>
      <c r="H3225" s="379">
        <v>9.0642785970253819</v>
      </c>
      <c r="I3225" s="25">
        <v>34.68</v>
      </c>
      <c r="J3225" s="379">
        <v>7.1108714425059452</v>
      </c>
    </row>
    <row r="3226" spans="1:10" x14ac:dyDescent="0.35">
      <c r="A3226" s="5">
        <v>3222</v>
      </c>
      <c r="B3226" s="5">
        <v>135</v>
      </c>
      <c r="C3226" s="5">
        <v>5</v>
      </c>
      <c r="D3226" s="379">
        <v>42.762222222222228</v>
      </c>
      <c r="E3226" s="25">
        <v>24.44</v>
      </c>
      <c r="F3226" s="379">
        <v>15.917541972697236</v>
      </c>
      <c r="G3226" s="25">
        <v>30.95</v>
      </c>
      <c r="H3226" s="379">
        <v>8.3178533491918731</v>
      </c>
      <c r="I3226" s="25">
        <v>35.03</v>
      </c>
      <c r="J3226" s="379">
        <v>7.03353784625273</v>
      </c>
    </row>
    <row r="3227" spans="1:10" x14ac:dyDescent="0.35">
      <c r="A3227" s="5">
        <v>3223</v>
      </c>
      <c r="B3227" s="5">
        <v>135</v>
      </c>
      <c r="C3227" s="5">
        <v>5</v>
      </c>
      <c r="D3227" s="379">
        <v>43.934999999999995</v>
      </c>
      <c r="E3227" s="25">
        <v>24.84</v>
      </c>
      <c r="F3227" s="379">
        <v>11.241871102078006</v>
      </c>
      <c r="G3227" s="25">
        <v>31.11</v>
      </c>
      <c r="H3227" s="379">
        <v>8.1950835249197258</v>
      </c>
      <c r="I3227" s="25">
        <v>37.979999999999997</v>
      </c>
      <c r="J3227" s="379">
        <v>6.3018098576502535</v>
      </c>
    </row>
    <row r="3228" spans="1:10" x14ac:dyDescent="0.35">
      <c r="A3228" s="5">
        <v>3224</v>
      </c>
      <c r="B3228" s="5">
        <v>135</v>
      </c>
      <c r="C3228" s="5">
        <v>5</v>
      </c>
      <c r="D3228" s="379">
        <v>43.571111111111108</v>
      </c>
      <c r="E3228" s="25">
        <v>24.84</v>
      </c>
      <c r="F3228" s="379">
        <v>8.5357905879294478</v>
      </c>
      <c r="G3228" s="25">
        <v>31.84</v>
      </c>
      <c r="H3228" s="379">
        <v>7.5755920641746899</v>
      </c>
      <c r="I3228" s="25">
        <v>37.979999999999997</v>
      </c>
      <c r="J3228" s="379">
        <v>4.5090557750666722</v>
      </c>
    </row>
    <row r="3229" spans="1:10" x14ac:dyDescent="0.35">
      <c r="A3229" s="5">
        <v>3225</v>
      </c>
      <c r="B3229" s="5">
        <v>135</v>
      </c>
      <c r="C3229" s="5">
        <v>5</v>
      </c>
      <c r="D3229" s="379">
        <v>36.453888888888883</v>
      </c>
      <c r="E3229" s="25">
        <v>24.84</v>
      </c>
      <c r="F3229" s="379">
        <v>8.2349318445885356</v>
      </c>
      <c r="G3229" s="25">
        <v>31.84</v>
      </c>
      <c r="H3229" s="379">
        <v>7.6956947180804214</v>
      </c>
      <c r="I3229" s="25">
        <v>37.979999999999997</v>
      </c>
      <c r="J3229" s="379">
        <v>2.3946636118919695</v>
      </c>
    </row>
    <row r="3230" spans="1:10" x14ac:dyDescent="0.35">
      <c r="A3230" s="5">
        <v>3226</v>
      </c>
      <c r="B3230" s="5">
        <v>135</v>
      </c>
      <c r="C3230" s="5">
        <v>5</v>
      </c>
      <c r="D3230" s="379">
        <v>33.06388888888889</v>
      </c>
      <c r="E3230" s="25">
        <v>24.84</v>
      </c>
      <c r="F3230" s="379">
        <v>8.3327488665585872</v>
      </c>
      <c r="G3230" s="25">
        <v>31.84</v>
      </c>
      <c r="H3230" s="379">
        <v>7.2845861300258097</v>
      </c>
      <c r="I3230" s="25">
        <v>35.72</v>
      </c>
      <c r="J3230" s="379">
        <v>5.1590180043525065</v>
      </c>
    </row>
    <row r="3231" spans="1:10" x14ac:dyDescent="0.35">
      <c r="A3231" s="5">
        <v>3227</v>
      </c>
      <c r="B3231" s="5">
        <v>135</v>
      </c>
      <c r="C3231" s="5">
        <v>5</v>
      </c>
      <c r="D3231" s="379">
        <v>31.734444444444442</v>
      </c>
      <c r="E3231" s="25">
        <v>24.84</v>
      </c>
      <c r="F3231" s="379">
        <v>8.1174834595959595</v>
      </c>
      <c r="G3231" s="25">
        <v>31.11</v>
      </c>
      <c r="H3231" s="379">
        <v>7.1187780845183504</v>
      </c>
      <c r="I3231" s="25">
        <v>34.68</v>
      </c>
      <c r="J3231" s="379">
        <v>5.3330629303916144</v>
      </c>
    </row>
    <row r="3232" spans="1:10" x14ac:dyDescent="0.35">
      <c r="A3232" s="5">
        <v>3228</v>
      </c>
      <c r="B3232" s="5">
        <v>135</v>
      </c>
      <c r="C3232" s="5">
        <v>5</v>
      </c>
      <c r="D3232" s="379">
        <v>27.890555555555551</v>
      </c>
      <c r="E3232" s="25">
        <v>24</v>
      </c>
      <c r="F3232" s="379">
        <v>5.3775661770383989</v>
      </c>
      <c r="G3232" s="25">
        <v>31.11</v>
      </c>
      <c r="H3232" s="379">
        <v>6.7734836343488816</v>
      </c>
      <c r="I3232" s="25">
        <v>34.68</v>
      </c>
      <c r="J3232" s="379">
        <v>3.5633102961902683</v>
      </c>
    </row>
    <row r="3233" spans="1:10" x14ac:dyDescent="0.35">
      <c r="A3233" s="5">
        <v>3229</v>
      </c>
      <c r="B3233" s="5">
        <v>135</v>
      </c>
      <c r="C3233" s="5">
        <v>5</v>
      </c>
      <c r="D3233" s="379">
        <v>22.854444444444443</v>
      </c>
      <c r="E3233" s="25">
        <v>23.84</v>
      </c>
      <c r="F3233" s="379">
        <v>5.0356398201534533</v>
      </c>
      <c r="G3233" s="25">
        <v>31.11</v>
      </c>
      <c r="H3233" s="379">
        <v>6.6315897014281502</v>
      </c>
      <c r="I3233" s="25">
        <v>34.68</v>
      </c>
      <c r="J3233" s="379">
        <v>3.7785072149694305</v>
      </c>
    </row>
    <row r="3234" spans="1:10" x14ac:dyDescent="0.35">
      <c r="A3234" s="5">
        <v>3230</v>
      </c>
      <c r="B3234" s="5">
        <v>135</v>
      </c>
      <c r="C3234" s="5">
        <v>5</v>
      </c>
      <c r="D3234" s="379">
        <v>18.693333333333332</v>
      </c>
      <c r="E3234" s="25">
        <v>23.84</v>
      </c>
      <c r="F3234" s="379">
        <v>5.2110189433060174</v>
      </c>
      <c r="G3234" s="25">
        <v>30.95</v>
      </c>
      <c r="H3234" s="379">
        <v>7.187487578106432</v>
      </c>
      <c r="I3234" s="25">
        <v>34.68</v>
      </c>
      <c r="J3234" s="379">
        <v>3.7715093076517752</v>
      </c>
    </row>
    <row r="3235" spans="1:10" x14ac:dyDescent="0.35">
      <c r="A3235" s="5">
        <v>3231</v>
      </c>
      <c r="B3235" s="5">
        <v>135</v>
      </c>
      <c r="C3235" s="5">
        <v>5</v>
      </c>
      <c r="D3235" s="379">
        <v>25.525555555555556</v>
      </c>
      <c r="E3235" s="25">
        <v>23.84</v>
      </c>
      <c r="F3235" s="379">
        <v>5.2110189433060174</v>
      </c>
      <c r="G3235" s="25">
        <v>30.93</v>
      </c>
      <c r="H3235" s="379">
        <v>7.123257808345989</v>
      </c>
      <c r="I3235" s="25">
        <v>34.68</v>
      </c>
      <c r="J3235" s="379">
        <v>4.1867195291582702</v>
      </c>
    </row>
    <row r="3236" spans="1:10" x14ac:dyDescent="0.35">
      <c r="A3236" s="5">
        <v>3232</v>
      </c>
      <c r="B3236" s="5">
        <v>135</v>
      </c>
      <c r="C3236" s="5">
        <v>5</v>
      </c>
      <c r="D3236" s="379">
        <v>35.007222222222218</v>
      </c>
      <c r="E3236" s="25">
        <v>23.84</v>
      </c>
      <c r="F3236" s="379">
        <v>0.47222222222222221</v>
      </c>
      <c r="G3236" s="25">
        <v>30.95</v>
      </c>
      <c r="H3236" s="379">
        <v>7.360508697337214</v>
      </c>
      <c r="I3236" s="25">
        <v>34.68</v>
      </c>
      <c r="J3236" s="379">
        <v>4.0760272077490081</v>
      </c>
    </row>
    <row r="3237" spans="1:10" x14ac:dyDescent="0.35">
      <c r="A3237" s="5">
        <v>3233</v>
      </c>
      <c r="B3237" s="5">
        <v>135</v>
      </c>
      <c r="C3237" s="5">
        <v>5</v>
      </c>
      <c r="D3237" s="379">
        <v>43.570555555555558</v>
      </c>
      <c r="E3237" s="25">
        <v>24</v>
      </c>
      <c r="F3237" s="379">
        <v>8.1174834595959613</v>
      </c>
      <c r="G3237" s="25">
        <v>30.95</v>
      </c>
      <c r="H3237" s="379">
        <v>7.8274296912007282</v>
      </c>
      <c r="I3237" s="25">
        <v>34.89</v>
      </c>
      <c r="J3237" s="379">
        <v>5.6026761329758612</v>
      </c>
    </row>
    <row r="3238" spans="1:10" x14ac:dyDescent="0.35">
      <c r="A3238" s="5">
        <v>3234</v>
      </c>
      <c r="B3238" s="5">
        <v>135</v>
      </c>
      <c r="C3238" s="5">
        <v>5</v>
      </c>
      <c r="D3238" s="379">
        <v>50.924999999999997</v>
      </c>
      <c r="E3238" s="25">
        <v>24.84</v>
      </c>
      <c r="F3238" s="379">
        <v>10.051579874859852</v>
      </c>
      <c r="G3238" s="25">
        <v>31.84</v>
      </c>
      <c r="H3238" s="379">
        <v>8.883850906261781</v>
      </c>
      <c r="I3238" s="25">
        <v>35.24</v>
      </c>
      <c r="J3238" s="379">
        <v>7.3180392339120806</v>
      </c>
    </row>
    <row r="3239" spans="1:10" x14ac:dyDescent="0.35">
      <c r="A3239" s="5">
        <v>3235</v>
      </c>
      <c r="B3239" s="5">
        <v>135</v>
      </c>
      <c r="C3239" s="5">
        <v>5</v>
      </c>
      <c r="D3239" s="379">
        <v>53.966666666666669</v>
      </c>
      <c r="E3239" s="25">
        <v>24.84</v>
      </c>
      <c r="F3239" s="379">
        <v>18.026200620918001</v>
      </c>
      <c r="G3239" s="25">
        <v>42.29</v>
      </c>
      <c r="H3239" s="379">
        <v>10.615359161288824</v>
      </c>
      <c r="I3239" s="25">
        <v>48.86</v>
      </c>
      <c r="J3239" s="379">
        <v>7.3141979659053566</v>
      </c>
    </row>
    <row r="3240" spans="1:10" x14ac:dyDescent="0.35">
      <c r="A3240" s="5">
        <v>3236</v>
      </c>
      <c r="B3240" s="5">
        <v>135</v>
      </c>
      <c r="C3240" s="5">
        <v>5</v>
      </c>
      <c r="D3240" s="379">
        <v>53.360555555555557</v>
      </c>
      <c r="E3240" s="25">
        <v>24.84</v>
      </c>
      <c r="F3240" s="379">
        <v>16.47275059515772</v>
      </c>
      <c r="G3240" s="25">
        <v>42.29</v>
      </c>
      <c r="H3240" s="379">
        <v>10.183855006356518</v>
      </c>
      <c r="I3240" s="25">
        <v>48.86</v>
      </c>
      <c r="J3240" s="379">
        <v>7.0154493796806188</v>
      </c>
    </row>
    <row r="3241" spans="1:10" x14ac:dyDescent="0.35">
      <c r="A3241" s="5">
        <v>3237</v>
      </c>
      <c r="B3241" s="5">
        <v>135</v>
      </c>
      <c r="C3241" s="5">
        <v>5</v>
      </c>
      <c r="D3241" s="379">
        <v>53.864999999999995</v>
      </c>
      <c r="E3241" s="25">
        <v>24.84</v>
      </c>
      <c r="F3241" s="379">
        <v>15.831848019027726</v>
      </c>
      <c r="G3241" s="25">
        <v>42.29</v>
      </c>
      <c r="H3241" s="379">
        <v>10.020023821260292</v>
      </c>
      <c r="I3241" s="25">
        <v>53.27</v>
      </c>
      <c r="J3241" s="379">
        <v>6.9876211318136789</v>
      </c>
    </row>
    <row r="3242" spans="1:10" x14ac:dyDescent="0.35">
      <c r="A3242" s="5">
        <v>3238</v>
      </c>
      <c r="B3242" s="5">
        <v>135</v>
      </c>
      <c r="C3242" s="5">
        <v>5</v>
      </c>
      <c r="D3242" s="379">
        <v>50.968888888888884</v>
      </c>
      <c r="E3242" s="25">
        <v>24.99</v>
      </c>
      <c r="F3242" s="379">
        <v>19.713350854420536</v>
      </c>
      <c r="G3242" s="25">
        <v>42.29</v>
      </c>
      <c r="H3242" s="379">
        <v>10.6507744950159</v>
      </c>
      <c r="I3242" s="25">
        <v>53.27</v>
      </c>
      <c r="J3242" s="379">
        <v>7.2099499080384275</v>
      </c>
    </row>
    <row r="3243" spans="1:10" x14ac:dyDescent="0.35">
      <c r="A3243" s="5">
        <v>3239</v>
      </c>
      <c r="B3243" s="5">
        <v>135</v>
      </c>
      <c r="C3243" s="5">
        <v>5</v>
      </c>
      <c r="D3243" s="379">
        <v>51.443888888888893</v>
      </c>
      <c r="E3243" s="25">
        <v>24.84</v>
      </c>
      <c r="F3243" s="379">
        <v>18.490421142290046</v>
      </c>
      <c r="G3243" s="25">
        <v>42.29</v>
      </c>
      <c r="H3243" s="379">
        <v>10.280347999901878</v>
      </c>
      <c r="I3243" s="25">
        <v>51.72</v>
      </c>
      <c r="J3243" s="379">
        <v>7.3370342115739398</v>
      </c>
    </row>
    <row r="3244" spans="1:10" x14ac:dyDescent="0.35">
      <c r="A3244" s="5">
        <v>3240</v>
      </c>
      <c r="B3244" s="5">
        <v>135</v>
      </c>
      <c r="C3244" s="5">
        <v>5</v>
      </c>
      <c r="D3244" s="379">
        <v>47.298888888888889</v>
      </c>
      <c r="E3244" s="25">
        <v>24.84</v>
      </c>
      <c r="F3244" s="379">
        <v>17.326288212870924</v>
      </c>
      <c r="G3244" s="25">
        <v>42.29</v>
      </c>
      <c r="H3244" s="379">
        <v>10.075217355009071</v>
      </c>
      <c r="I3244" s="25">
        <v>48.86</v>
      </c>
      <c r="J3244" s="379">
        <v>7.3158354429922046</v>
      </c>
    </row>
    <row r="3245" spans="1:10" x14ac:dyDescent="0.35">
      <c r="A3245" s="5">
        <v>3241</v>
      </c>
      <c r="B3245" s="5">
        <v>136</v>
      </c>
      <c r="C3245" s="5">
        <v>5</v>
      </c>
      <c r="D3245" s="379">
        <v>47.112222222222215</v>
      </c>
      <c r="E3245" s="25">
        <v>24.84</v>
      </c>
      <c r="F3245" s="379">
        <v>11.92258632361874</v>
      </c>
      <c r="G3245" s="25">
        <v>38.61</v>
      </c>
      <c r="H3245" s="379">
        <v>8.976372087410228</v>
      </c>
      <c r="I3245" s="25">
        <v>47.44</v>
      </c>
      <c r="J3245" s="379">
        <v>6.9584692361410383</v>
      </c>
    </row>
    <row r="3246" spans="1:10" x14ac:dyDescent="0.35">
      <c r="A3246" s="5">
        <v>3242</v>
      </c>
      <c r="B3246" s="5">
        <v>136</v>
      </c>
      <c r="C3246" s="5">
        <v>5</v>
      </c>
      <c r="D3246" s="379">
        <v>47.161111111111111</v>
      </c>
      <c r="E3246" s="25">
        <v>24.84</v>
      </c>
      <c r="F3246" s="379">
        <v>9.3694970714224102</v>
      </c>
      <c r="G3246" s="25">
        <v>30.93</v>
      </c>
      <c r="H3246" s="379">
        <v>8.0380886699131153</v>
      </c>
      <c r="I3246" s="25">
        <v>35.93</v>
      </c>
      <c r="J3246" s="379">
        <v>6.0824081510790053</v>
      </c>
    </row>
    <row r="3247" spans="1:10" x14ac:dyDescent="0.35">
      <c r="A3247" s="5">
        <v>3243</v>
      </c>
      <c r="B3247" s="5">
        <v>136</v>
      </c>
      <c r="C3247" s="5">
        <v>5</v>
      </c>
      <c r="D3247" s="379">
        <v>47.374444444444443</v>
      </c>
      <c r="E3247" s="25">
        <v>24.84</v>
      </c>
      <c r="F3247" s="379">
        <v>8.2165252188511904</v>
      </c>
      <c r="G3247" s="25">
        <v>30.93</v>
      </c>
      <c r="H3247" s="379">
        <v>8.5940717308752781</v>
      </c>
      <c r="I3247" s="25">
        <v>35.72</v>
      </c>
      <c r="J3247" s="379">
        <v>4.881089987235498</v>
      </c>
    </row>
    <row r="3248" spans="1:10" x14ac:dyDescent="0.35">
      <c r="A3248" s="5">
        <v>3244</v>
      </c>
      <c r="B3248" s="5">
        <v>136</v>
      </c>
      <c r="C3248" s="5">
        <v>5</v>
      </c>
      <c r="D3248" s="379">
        <v>47.717222222222219</v>
      </c>
      <c r="E3248" s="25">
        <v>23.59</v>
      </c>
      <c r="F3248" s="379">
        <v>8.2008157127849071</v>
      </c>
      <c r="G3248" s="25">
        <v>30.93</v>
      </c>
      <c r="H3248" s="379">
        <v>8.2456506466073325</v>
      </c>
      <c r="I3248" s="25">
        <v>35.72</v>
      </c>
      <c r="J3248" s="379">
        <v>4.0801439564080511</v>
      </c>
    </row>
    <row r="3249" spans="1:10" x14ac:dyDescent="0.35">
      <c r="A3249" s="5">
        <v>3245</v>
      </c>
      <c r="B3249" s="5">
        <v>136</v>
      </c>
      <c r="C3249" s="5">
        <v>5</v>
      </c>
      <c r="D3249" s="379">
        <v>48.480555555555554</v>
      </c>
      <c r="E3249" s="25">
        <v>23.59</v>
      </c>
      <c r="F3249" s="379">
        <v>8.2945109116533349</v>
      </c>
      <c r="G3249" s="25">
        <v>30.2</v>
      </c>
      <c r="H3249" s="379">
        <v>8.0306646225243572</v>
      </c>
      <c r="I3249" s="25">
        <v>35.72</v>
      </c>
      <c r="J3249" s="379">
        <v>3.8775271189678842</v>
      </c>
    </row>
    <row r="3250" spans="1:10" x14ac:dyDescent="0.35">
      <c r="A3250" s="5">
        <v>3246</v>
      </c>
      <c r="B3250" s="5">
        <v>136</v>
      </c>
      <c r="C3250" s="5">
        <v>5</v>
      </c>
      <c r="D3250" s="379">
        <v>55.662777777777777</v>
      </c>
      <c r="E3250" s="25">
        <v>23.41</v>
      </c>
      <c r="F3250" s="379">
        <v>8.6979213338605099</v>
      </c>
      <c r="G3250" s="25">
        <v>30.2</v>
      </c>
      <c r="H3250" s="379">
        <v>7.2620908555549635</v>
      </c>
      <c r="I3250" s="25">
        <v>34.68</v>
      </c>
      <c r="J3250" s="379">
        <v>3.0295614511265625</v>
      </c>
    </row>
    <row r="3251" spans="1:10" x14ac:dyDescent="0.35">
      <c r="A3251" s="5">
        <v>3247</v>
      </c>
      <c r="B3251" s="5">
        <v>136</v>
      </c>
      <c r="C3251" s="5">
        <v>5</v>
      </c>
      <c r="D3251" s="379">
        <v>56.709444444444443</v>
      </c>
      <c r="E3251" s="25">
        <v>23.41</v>
      </c>
      <c r="F3251" s="379">
        <v>8.7489117917235042</v>
      </c>
      <c r="G3251" s="25">
        <v>30.2</v>
      </c>
      <c r="H3251" s="379">
        <v>6.6756055855418852</v>
      </c>
      <c r="I3251" s="25">
        <v>34.21</v>
      </c>
      <c r="J3251" s="379">
        <v>0.27777777777777779</v>
      </c>
    </row>
    <row r="3252" spans="1:10" x14ac:dyDescent="0.35">
      <c r="A3252" s="5">
        <v>3248</v>
      </c>
      <c r="B3252" s="5">
        <v>136</v>
      </c>
      <c r="C3252" s="5">
        <v>5</v>
      </c>
      <c r="D3252" s="379">
        <v>58.843333333333334</v>
      </c>
      <c r="E3252" s="25">
        <v>23.41</v>
      </c>
      <c r="F3252" s="379">
        <v>8.1174834595959595</v>
      </c>
      <c r="G3252" s="25">
        <v>30.2</v>
      </c>
      <c r="H3252" s="379">
        <v>6.6357965103029937</v>
      </c>
      <c r="I3252" s="25">
        <v>33.67</v>
      </c>
      <c r="J3252" s="379">
        <v>0.70126317907373559</v>
      </c>
    </row>
    <row r="3253" spans="1:10" x14ac:dyDescent="0.35">
      <c r="A3253" s="5">
        <v>3249</v>
      </c>
      <c r="B3253" s="5">
        <v>136</v>
      </c>
      <c r="C3253" s="5">
        <v>5</v>
      </c>
      <c r="D3253" s="379">
        <v>56.855000000000004</v>
      </c>
      <c r="E3253" s="25">
        <v>23.04</v>
      </c>
      <c r="F3253" s="379">
        <v>8.1174834595959577</v>
      </c>
      <c r="G3253" s="25">
        <v>30.2</v>
      </c>
      <c r="H3253" s="379">
        <v>0.93561368585536264</v>
      </c>
      <c r="I3253" s="25">
        <v>33.67</v>
      </c>
      <c r="J3253" s="379">
        <v>3.1003951268587362</v>
      </c>
    </row>
    <row r="3254" spans="1:10" x14ac:dyDescent="0.35">
      <c r="A3254" s="5">
        <v>3250</v>
      </c>
      <c r="B3254" s="5">
        <v>136</v>
      </c>
      <c r="C3254" s="5">
        <v>5</v>
      </c>
      <c r="D3254" s="379">
        <v>54.343888888888891</v>
      </c>
      <c r="E3254" s="25">
        <v>23.21</v>
      </c>
      <c r="F3254" s="379">
        <v>2.3093535498140128</v>
      </c>
      <c r="G3254" s="25">
        <v>30.2</v>
      </c>
      <c r="H3254" s="379">
        <v>3.7187381812133209</v>
      </c>
      <c r="I3254" s="25">
        <v>33.67</v>
      </c>
      <c r="J3254" s="379">
        <v>2.0433786186746006</v>
      </c>
    </row>
    <row r="3255" spans="1:10" x14ac:dyDescent="0.35">
      <c r="A3255" s="5">
        <v>3251</v>
      </c>
      <c r="B3255" s="5">
        <v>136</v>
      </c>
      <c r="C3255" s="5">
        <v>5</v>
      </c>
      <c r="D3255" s="379">
        <v>52.713888888888881</v>
      </c>
      <c r="E3255" s="25">
        <v>23.21</v>
      </c>
      <c r="F3255" s="379">
        <v>2.7893119886572144</v>
      </c>
      <c r="G3255" s="25">
        <v>30.2</v>
      </c>
      <c r="H3255" s="379">
        <v>2.777777777777778E-2</v>
      </c>
      <c r="I3255" s="25">
        <v>33.67</v>
      </c>
      <c r="J3255" s="379">
        <v>0.12887543510916907</v>
      </c>
    </row>
    <row r="3256" spans="1:10" x14ac:dyDescent="0.35">
      <c r="A3256" s="5">
        <v>3252</v>
      </c>
      <c r="B3256" s="5">
        <v>136</v>
      </c>
      <c r="C3256" s="5">
        <v>5</v>
      </c>
      <c r="D3256" s="379">
        <v>50.148333333333341</v>
      </c>
      <c r="E3256" s="25">
        <v>23.21</v>
      </c>
      <c r="F3256" s="379">
        <v>1.7256423145722408</v>
      </c>
      <c r="G3256" s="25">
        <v>30.2</v>
      </c>
      <c r="H3256" s="379">
        <v>3.7187381812133209</v>
      </c>
      <c r="I3256" s="25">
        <v>33.67</v>
      </c>
      <c r="J3256" s="379">
        <v>0.12887543510916907</v>
      </c>
    </row>
    <row r="3257" spans="1:10" x14ac:dyDescent="0.35">
      <c r="A3257" s="5">
        <v>3253</v>
      </c>
      <c r="B3257" s="5">
        <v>136</v>
      </c>
      <c r="C3257" s="5">
        <v>5</v>
      </c>
      <c r="D3257" s="379">
        <v>45.36</v>
      </c>
      <c r="E3257" s="25">
        <v>22.07</v>
      </c>
      <c r="F3257" s="379">
        <v>5.2110189433060174</v>
      </c>
      <c r="G3257" s="25">
        <v>30.2</v>
      </c>
      <c r="H3257" s="379">
        <v>2.0362873968196169</v>
      </c>
      <c r="I3257" s="25">
        <v>33.67</v>
      </c>
      <c r="J3257" s="379">
        <v>2.777777777777778E-2</v>
      </c>
    </row>
    <row r="3258" spans="1:10" x14ac:dyDescent="0.35">
      <c r="A3258" s="5">
        <v>3254</v>
      </c>
      <c r="B3258" s="5">
        <v>136</v>
      </c>
      <c r="C3258" s="5">
        <v>5</v>
      </c>
      <c r="D3258" s="379">
        <v>39.660555555555547</v>
      </c>
      <c r="E3258" s="25">
        <v>21.88</v>
      </c>
      <c r="F3258" s="379">
        <v>1.4654143672922277</v>
      </c>
      <c r="G3258" s="25">
        <v>30.2</v>
      </c>
      <c r="H3258" s="379">
        <v>2.777777777777778E-2</v>
      </c>
      <c r="I3258" s="25">
        <v>33.67</v>
      </c>
      <c r="J3258" s="379">
        <v>5.1162482169034962E-2</v>
      </c>
    </row>
    <row r="3259" spans="1:10" x14ac:dyDescent="0.35">
      <c r="A3259" s="5">
        <v>3255</v>
      </c>
      <c r="B3259" s="5">
        <v>136</v>
      </c>
      <c r="C3259" s="5">
        <v>5</v>
      </c>
      <c r="D3259" s="379">
        <v>39.668888888888887</v>
      </c>
      <c r="E3259" s="25">
        <v>21.88</v>
      </c>
      <c r="F3259" s="379">
        <v>5.0241503885696348</v>
      </c>
      <c r="G3259" s="25">
        <v>30.2</v>
      </c>
      <c r="H3259" s="379">
        <v>2.2314234560182928</v>
      </c>
      <c r="I3259" s="25">
        <v>33.67</v>
      </c>
      <c r="J3259" s="379">
        <v>5.1162482169034955E-2</v>
      </c>
    </row>
    <row r="3260" spans="1:10" x14ac:dyDescent="0.35">
      <c r="A3260" s="5">
        <v>3256</v>
      </c>
      <c r="B3260" s="5">
        <v>136</v>
      </c>
      <c r="C3260" s="5">
        <v>5</v>
      </c>
      <c r="D3260" s="379">
        <v>42.066111111111113</v>
      </c>
      <c r="E3260" s="25">
        <v>23.21</v>
      </c>
      <c r="F3260" s="379">
        <v>0.47222222222222221</v>
      </c>
      <c r="G3260" s="25">
        <v>30.2</v>
      </c>
      <c r="H3260" s="379">
        <v>2.2642033279148097</v>
      </c>
      <c r="I3260" s="25">
        <v>33.67</v>
      </c>
      <c r="J3260" s="379">
        <v>5.1162482169034955E-2</v>
      </c>
    </row>
    <row r="3261" spans="1:10" x14ac:dyDescent="0.35">
      <c r="A3261" s="5">
        <v>3257</v>
      </c>
      <c r="B3261" s="5">
        <v>136</v>
      </c>
      <c r="C3261" s="5">
        <v>5</v>
      </c>
      <c r="D3261" s="379">
        <v>48.876111111111115</v>
      </c>
      <c r="E3261" s="25">
        <v>24.84</v>
      </c>
      <c r="F3261" s="379">
        <v>6.3371994240940364</v>
      </c>
      <c r="G3261" s="25">
        <v>30.2</v>
      </c>
      <c r="H3261" s="379">
        <v>2.3275085818732135</v>
      </c>
      <c r="I3261" s="25">
        <v>33.67</v>
      </c>
      <c r="J3261" s="379">
        <v>5.1162482169034955E-2</v>
      </c>
    </row>
    <row r="3262" spans="1:10" x14ac:dyDescent="0.35">
      <c r="A3262" s="5">
        <v>3258</v>
      </c>
      <c r="B3262" s="5">
        <v>136</v>
      </c>
      <c r="C3262" s="5">
        <v>5</v>
      </c>
      <c r="D3262" s="379">
        <v>57.303333333333335</v>
      </c>
      <c r="E3262" s="25">
        <v>24.84</v>
      </c>
      <c r="F3262" s="379">
        <v>8.1174834595959595</v>
      </c>
      <c r="G3262" s="25">
        <v>31.42</v>
      </c>
      <c r="H3262" s="379">
        <v>0.47222222222222221</v>
      </c>
      <c r="I3262" s="25">
        <v>34.42</v>
      </c>
      <c r="J3262" s="379">
        <v>5.1162482169034955E-2</v>
      </c>
    </row>
    <row r="3263" spans="1:10" x14ac:dyDescent="0.35">
      <c r="A3263" s="5">
        <v>3259</v>
      </c>
      <c r="B3263" s="5">
        <v>136</v>
      </c>
      <c r="C3263" s="5">
        <v>5</v>
      </c>
      <c r="D3263" s="379">
        <v>58.717777777777783</v>
      </c>
      <c r="E3263" s="25">
        <v>24.84</v>
      </c>
      <c r="F3263" s="379">
        <v>8.1174834595959595</v>
      </c>
      <c r="G3263" s="25">
        <v>31.84</v>
      </c>
      <c r="H3263" s="379">
        <v>0.84801419747931228</v>
      </c>
      <c r="I3263" s="25">
        <v>35.130000000000003</v>
      </c>
      <c r="J3263" s="379">
        <v>4.7090870958343567</v>
      </c>
    </row>
    <row r="3264" spans="1:10" x14ac:dyDescent="0.35">
      <c r="A3264" s="5">
        <v>3260</v>
      </c>
      <c r="B3264" s="5">
        <v>136</v>
      </c>
      <c r="C3264" s="5">
        <v>5</v>
      </c>
      <c r="D3264" s="379">
        <v>60.207222222222221</v>
      </c>
      <c r="E3264" s="25">
        <v>24.84</v>
      </c>
      <c r="F3264" s="379">
        <v>8.1174834595959613</v>
      </c>
      <c r="G3264" s="25">
        <v>34.08</v>
      </c>
      <c r="H3264" s="379">
        <v>0.83228355751793537</v>
      </c>
      <c r="I3264" s="25">
        <v>37.01</v>
      </c>
      <c r="J3264" s="379">
        <v>5.2304427150734716</v>
      </c>
    </row>
    <row r="3265" spans="1:10" x14ac:dyDescent="0.35">
      <c r="A3265" s="5">
        <v>3261</v>
      </c>
      <c r="B3265" s="5">
        <v>136</v>
      </c>
      <c r="C3265" s="5">
        <v>5</v>
      </c>
      <c r="D3265" s="379">
        <v>57.323888888888881</v>
      </c>
      <c r="E3265" s="25">
        <v>24.84</v>
      </c>
      <c r="F3265" s="379">
        <v>8.1174834595959595</v>
      </c>
      <c r="G3265" s="25">
        <v>34.08</v>
      </c>
      <c r="H3265" s="379">
        <v>0.83893188443792166</v>
      </c>
      <c r="I3265" s="25">
        <v>39.619999999999997</v>
      </c>
      <c r="J3265" s="379">
        <v>4.6805650071818734</v>
      </c>
    </row>
    <row r="3266" spans="1:10" x14ac:dyDescent="0.35">
      <c r="A3266" s="5">
        <v>3262</v>
      </c>
      <c r="B3266" s="5">
        <v>136</v>
      </c>
      <c r="C3266" s="5">
        <v>5</v>
      </c>
      <c r="D3266" s="379">
        <v>53.060555555555553</v>
      </c>
      <c r="E3266" s="25">
        <v>24.84</v>
      </c>
      <c r="F3266" s="379">
        <v>8.1174834595959577</v>
      </c>
      <c r="G3266" s="25">
        <v>35.53</v>
      </c>
      <c r="H3266" s="379">
        <v>0.87641843878241354</v>
      </c>
      <c r="I3266" s="25">
        <v>39.619999999999997</v>
      </c>
      <c r="J3266" s="379">
        <v>2.4931990488998372</v>
      </c>
    </row>
    <row r="3267" spans="1:10" x14ac:dyDescent="0.35">
      <c r="A3267" s="5">
        <v>3263</v>
      </c>
      <c r="B3267" s="5">
        <v>136</v>
      </c>
      <c r="C3267" s="5">
        <v>5</v>
      </c>
      <c r="D3267" s="379">
        <v>46.334999999999994</v>
      </c>
      <c r="E3267" s="25">
        <v>24.84</v>
      </c>
      <c r="F3267" s="379">
        <v>6.0257567188644314</v>
      </c>
      <c r="G3267" s="25">
        <v>32.81</v>
      </c>
      <c r="H3267" s="379">
        <v>1.0848361187795801</v>
      </c>
      <c r="I3267" s="25">
        <v>39.619999999999997</v>
      </c>
      <c r="J3267" s="379">
        <v>4.928004855144704</v>
      </c>
    </row>
    <row r="3268" spans="1:10" x14ac:dyDescent="0.35">
      <c r="A3268" s="5">
        <v>3264</v>
      </c>
      <c r="B3268" s="5">
        <v>136</v>
      </c>
      <c r="C3268" s="5">
        <v>5</v>
      </c>
      <c r="D3268" s="379">
        <v>46.946111111111101</v>
      </c>
      <c r="E3268" s="25">
        <v>24.84</v>
      </c>
      <c r="F3268" s="379">
        <v>5.7301569767087743</v>
      </c>
      <c r="G3268" s="25">
        <v>30.95</v>
      </c>
      <c r="H3268" s="379">
        <v>1.062510637444432</v>
      </c>
      <c r="I3268" s="25">
        <v>35.72</v>
      </c>
      <c r="J3268" s="379">
        <v>5.1859966650385649</v>
      </c>
    </row>
    <row r="3269" spans="1:10" x14ac:dyDescent="0.35">
      <c r="A3269" s="5">
        <v>3265</v>
      </c>
      <c r="B3269" s="5">
        <v>137</v>
      </c>
      <c r="C3269" s="5">
        <v>5</v>
      </c>
      <c r="D3269" s="379">
        <v>45.86611111111111</v>
      </c>
      <c r="E3269" s="25">
        <v>24.84</v>
      </c>
      <c r="F3269" s="379">
        <v>5.6546860317044141</v>
      </c>
      <c r="G3269" s="25">
        <v>30.88</v>
      </c>
      <c r="H3269" s="379">
        <v>1.079969943297487</v>
      </c>
      <c r="I3269" s="25">
        <v>35.72</v>
      </c>
      <c r="J3269" s="379">
        <v>2.9445927032982473</v>
      </c>
    </row>
    <row r="3270" spans="1:10" x14ac:dyDescent="0.35">
      <c r="A3270" s="5">
        <v>3266</v>
      </c>
      <c r="B3270" s="5">
        <v>137</v>
      </c>
      <c r="C3270" s="5">
        <v>5</v>
      </c>
      <c r="D3270" s="379">
        <v>45.144999999999996</v>
      </c>
      <c r="E3270" s="25">
        <v>24.84</v>
      </c>
      <c r="F3270" s="379">
        <v>5.4638592428162331</v>
      </c>
      <c r="G3270" s="25">
        <v>30.57</v>
      </c>
      <c r="H3270" s="379">
        <v>0.37684253571595372</v>
      </c>
      <c r="I3270" s="25">
        <v>34.68</v>
      </c>
      <c r="J3270" s="379">
        <v>5.2552552552552555E-2</v>
      </c>
    </row>
    <row r="3271" spans="1:10" x14ac:dyDescent="0.35">
      <c r="A3271" s="5">
        <v>3267</v>
      </c>
      <c r="B3271" s="5">
        <v>137</v>
      </c>
      <c r="C3271" s="5">
        <v>5</v>
      </c>
      <c r="D3271" s="379">
        <v>44.693333333333335</v>
      </c>
      <c r="E3271" s="25">
        <v>24.84</v>
      </c>
      <c r="F3271" s="379">
        <v>5.4005339487031225</v>
      </c>
      <c r="G3271" s="25">
        <v>30.57</v>
      </c>
      <c r="H3271" s="379">
        <v>0.72953277737147371</v>
      </c>
      <c r="I3271" s="25">
        <v>34.68</v>
      </c>
      <c r="J3271" s="379">
        <v>1.6903441404035555</v>
      </c>
    </row>
    <row r="3272" spans="1:10" x14ac:dyDescent="0.35">
      <c r="A3272" s="5">
        <v>3268</v>
      </c>
      <c r="B3272" s="5">
        <v>137</v>
      </c>
      <c r="C3272" s="5">
        <v>5</v>
      </c>
      <c r="D3272" s="379">
        <v>45.126111111111115</v>
      </c>
      <c r="E3272" s="25">
        <v>24.84</v>
      </c>
      <c r="F3272" s="379">
        <v>5.3695559670321069</v>
      </c>
      <c r="G3272" s="25">
        <v>30.57</v>
      </c>
      <c r="H3272" s="379">
        <v>0.64347722984921685</v>
      </c>
      <c r="I3272" s="25">
        <v>35.42</v>
      </c>
      <c r="J3272" s="379">
        <v>3.398901427150284</v>
      </c>
    </row>
    <row r="3273" spans="1:10" x14ac:dyDescent="0.35">
      <c r="A3273" s="5">
        <v>3269</v>
      </c>
      <c r="B3273" s="5">
        <v>137</v>
      </c>
      <c r="C3273" s="5">
        <v>5</v>
      </c>
      <c r="D3273" s="379">
        <v>45.843333333333334</v>
      </c>
      <c r="E3273" s="25">
        <v>24.84</v>
      </c>
      <c r="F3273" s="379">
        <v>4.9475610621916752</v>
      </c>
      <c r="G3273" s="25">
        <v>30.88</v>
      </c>
      <c r="H3273" s="379">
        <v>0.43961976653818069</v>
      </c>
      <c r="I3273" s="25">
        <v>35.72</v>
      </c>
      <c r="J3273" s="379">
        <v>1.9331035014689646</v>
      </c>
    </row>
    <row r="3274" spans="1:10" x14ac:dyDescent="0.35">
      <c r="A3274" s="5">
        <v>3270</v>
      </c>
      <c r="B3274" s="5">
        <v>137</v>
      </c>
      <c r="C3274" s="5">
        <v>5</v>
      </c>
      <c r="D3274" s="379">
        <v>51.824999999999996</v>
      </c>
      <c r="E3274" s="25">
        <v>24.84</v>
      </c>
      <c r="F3274" s="379">
        <v>4.6675219709547617</v>
      </c>
      <c r="G3274" s="25">
        <v>31.49</v>
      </c>
      <c r="H3274" s="379">
        <v>0.35692724205100301</v>
      </c>
      <c r="I3274" s="25">
        <v>35.72</v>
      </c>
      <c r="J3274" s="379">
        <v>2.6825194587782182</v>
      </c>
    </row>
    <row r="3275" spans="1:10" x14ac:dyDescent="0.35">
      <c r="A3275" s="5">
        <v>3271</v>
      </c>
      <c r="B3275" s="5">
        <v>137</v>
      </c>
      <c r="C3275" s="5">
        <v>5</v>
      </c>
      <c r="D3275" s="379">
        <v>55.87833333333333</v>
      </c>
      <c r="E3275" s="25">
        <v>24.84</v>
      </c>
      <c r="F3275" s="379">
        <v>2.7061609823329942</v>
      </c>
      <c r="G3275" s="25">
        <v>31.86</v>
      </c>
      <c r="H3275" s="379">
        <v>0.36983614059765579</v>
      </c>
      <c r="I3275" s="25">
        <v>37.270000000000003</v>
      </c>
      <c r="J3275" s="379">
        <v>0.13773781974462976</v>
      </c>
    </row>
    <row r="3276" spans="1:10" x14ac:dyDescent="0.35">
      <c r="A3276" s="5">
        <v>3272</v>
      </c>
      <c r="B3276" s="5">
        <v>137</v>
      </c>
      <c r="C3276" s="5">
        <v>5</v>
      </c>
      <c r="D3276" s="379">
        <v>57.582777777777778</v>
      </c>
      <c r="E3276" s="25">
        <v>24.84</v>
      </c>
      <c r="F3276" s="379">
        <v>3.039342196431988</v>
      </c>
      <c r="G3276" s="25">
        <v>31.84</v>
      </c>
      <c r="H3276" s="379">
        <v>0.29832098880902175</v>
      </c>
      <c r="I3276" s="25">
        <v>37.270000000000003</v>
      </c>
      <c r="J3276" s="379">
        <v>3.1427902114922732</v>
      </c>
    </row>
    <row r="3277" spans="1:10" x14ac:dyDescent="0.35">
      <c r="A3277" s="5">
        <v>3273</v>
      </c>
      <c r="B3277" s="5">
        <v>137</v>
      </c>
      <c r="C3277" s="5">
        <v>5</v>
      </c>
      <c r="D3277" s="379">
        <v>54.178333333333335</v>
      </c>
      <c r="E3277" s="25">
        <v>24.84</v>
      </c>
      <c r="F3277" s="379">
        <v>3.714477901822574</v>
      </c>
      <c r="G3277" s="25">
        <v>31.84</v>
      </c>
      <c r="H3277" s="379">
        <v>1.8457190916956596</v>
      </c>
      <c r="I3277" s="25">
        <v>34.68</v>
      </c>
      <c r="J3277" s="379">
        <v>9.2217494332741706E-2</v>
      </c>
    </row>
    <row r="3278" spans="1:10" x14ac:dyDescent="0.35">
      <c r="A3278" s="5">
        <v>3274</v>
      </c>
      <c r="B3278" s="5">
        <v>137</v>
      </c>
      <c r="C3278" s="5">
        <v>5</v>
      </c>
      <c r="D3278" s="379">
        <v>52.373333333333335</v>
      </c>
      <c r="E3278" s="25">
        <v>24.84</v>
      </c>
      <c r="F3278" s="379">
        <v>3.2984688817194554</v>
      </c>
      <c r="G3278" s="25">
        <v>31.11</v>
      </c>
      <c r="H3278" s="379">
        <v>1.8457190916956596</v>
      </c>
      <c r="I3278" s="25">
        <v>34.29</v>
      </c>
      <c r="J3278" s="379">
        <v>2.777777777777778E-2</v>
      </c>
    </row>
    <row r="3279" spans="1:10" x14ac:dyDescent="0.35">
      <c r="A3279" s="5">
        <v>3275</v>
      </c>
      <c r="B3279" s="5">
        <v>137</v>
      </c>
      <c r="C3279" s="5">
        <v>5</v>
      </c>
      <c r="D3279" s="379">
        <v>49.307222222222222</v>
      </c>
      <c r="E3279" s="25">
        <v>24.84</v>
      </c>
      <c r="F3279" s="379">
        <v>3.2727733956087586</v>
      </c>
      <c r="G3279" s="25">
        <v>30.91</v>
      </c>
      <c r="H3279" s="379">
        <v>1.8457190916956596</v>
      </c>
      <c r="I3279" s="25">
        <v>33.67</v>
      </c>
      <c r="J3279" s="379">
        <v>2.777777777777778E-2</v>
      </c>
    </row>
    <row r="3280" spans="1:10" x14ac:dyDescent="0.35">
      <c r="A3280" s="5">
        <v>3276</v>
      </c>
      <c r="B3280" s="5">
        <v>137</v>
      </c>
      <c r="C3280" s="5">
        <v>5</v>
      </c>
      <c r="D3280" s="379">
        <v>48.566111111111105</v>
      </c>
      <c r="E3280" s="25">
        <v>24.84</v>
      </c>
      <c r="F3280" s="379">
        <v>3.2727733956087586</v>
      </c>
      <c r="G3280" s="25">
        <v>30.57</v>
      </c>
      <c r="H3280" s="379">
        <v>1.2655816667086657</v>
      </c>
      <c r="I3280" s="25">
        <v>33.67</v>
      </c>
      <c r="J3280" s="379">
        <v>2.777777777777778E-2</v>
      </c>
    </row>
    <row r="3281" spans="1:10" x14ac:dyDescent="0.35">
      <c r="A3281" s="5">
        <v>3277</v>
      </c>
      <c r="B3281" s="5">
        <v>137</v>
      </c>
      <c r="C3281" s="5">
        <v>5</v>
      </c>
      <c r="D3281" s="379">
        <v>46.524999999999999</v>
      </c>
      <c r="E3281" s="25">
        <v>24</v>
      </c>
      <c r="F3281" s="379">
        <v>3.2727733956087586</v>
      </c>
      <c r="G3281" s="25">
        <v>30.57</v>
      </c>
      <c r="H3281" s="379">
        <v>0.10737189369301019</v>
      </c>
      <c r="I3281" s="25">
        <v>33.67</v>
      </c>
      <c r="J3281" s="379">
        <v>2.777777777777778E-2</v>
      </c>
    </row>
    <row r="3282" spans="1:10" x14ac:dyDescent="0.35">
      <c r="A3282" s="5">
        <v>3278</v>
      </c>
      <c r="B3282" s="5">
        <v>137</v>
      </c>
      <c r="C3282" s="5">
        <v>5</v>
      </c>
      <c r="D3282" s="379">
        <v>43.138333333333328</v>
      </c>
      <c r="E3282" s="25">
        <v>23.84</v>
      </c>
      <c r="F3282" s="379">
        <v>3.2727733956087586</v>
      </c>
      <c r="G3282" s="25">
        <v>30.2</v>
      </c>
      <c r="H3282" s="379">
        <v>0.10737189369301019</v>
      </c>
      <c r="I3282" s="25">
        <v>33.67</v>
      </c>
      <c r="J3282" s="379">
        <v>2.777777777777778E-2</v>
      </c>
    </row>
    <row r="3283" spans="1:10" x14ac:dyDescent="0.35">
      <c r="A3283" s="5">
        <v>3279</v>
      </c>
      <c r="B3283" s="5">
        <v>137</v>
      </c>
      <c r="C3283" s="5">
        <v>5</v>
      </c>
      <c r="D3283" s="379">
        <v>43.511666666666663</v>
      </c>
      <c r="E3283" s="25">
        <v>23.84</v>
      </c>
      <c r="F3283" s="379">
        <v>3.2727733956087586</v>
      </c>
      <c r="G3283" s="25">
        <v>30.2</v>
      </c>
      <c r="H3283" s="379">
        <v>2.777777777777778E-2</v>
      </c>
      <c r="I3283" s="25">
        <v>33.67</v>
      </c>
      <c r="J3283" s="379">
        <v>2.777777777777778E-2</v>
      </c>
    </row>
    <row r="3284" spans="1:10" x14ac:dyDescent="0.35">
      <c r="A3284" s="5">
        <v>3280</v>
      </c>
      <c r="B3284" s="5">
        <v>137</v>
      </c>
      <c r="C3284" s="5">
        <v>5</v>
      </c>
      <c r="D3284" s="379">
        <v>47.653888888888879</v>
      </c>
      <c r="E3284" s="25">
        <v>24.12</v>
      </c>
      <c r="F3284" s="379">
        <v>3.2727733956087586</v>
      </c>
      <c r="G3284" s="25">
        <v>30.57</v>
      </c>
      <c r="H3284" s="379">
        <v>0.10737189369301019</v>
      </c>
      <c r="I3284" s="25">
        <v>33.67</v>
      </c>
      <c r="J3284" s="379">
        <v>2.777777777777778E-2</v>
      </c>
    </row>
    <row r="3285" spans="1:10" x14ac:dyDescent="0.35">
      <c r="A3285" s="5">
        <v>3281</v>
      </c>
      <c r="B3285" s="5">
        <v>137</v>
      </c>
      <c r="C3285" s="5">
        <v>5</v>
      </c>
      <c r="D3285" s="379">
        <v>52.686111111111103</v>
      </c>
      <c r="E3285" s="25">
        <v>24.84</v>
      </c>
      <c r="F3285" s="379">
        <v>3.2727733956087586</v>
      </c>
      <c r="G3285" s="25">
        <v>30.91</v>
      </c>
      <c r="H3285" s="379">
        <v>1.3264521032071313</v>
      </c>
      <c r="I3285" s="25">
        <v>34.01</v>
      </c>
      <c r="J3285" s="379">
        <v>2.777777777777778E-2</v>
      </c>
    </row>
    <row r="3286" spans="1:10" x14ac:dyDescent="0.35">
      <c r="A3286" s="5">
        <v>3282</v>
      </c>
      <c r="B3286" s="5">
        <v>137</v>
      </c>
      <c r="C3286" s="5">
        <v>5</v>
      </c>
      <c r="D3286" s="379">
        <v>53.548888888888889</v>
      </c>
      <c r="E3286" s="25">
        <v>24.84</v>
      </c>
      <c r="F3286" s="379">
        <v>3.4225138270878133</v>
      </c>
      <c r="G3286" s="25">
        <v>32.79</v>
      </c>
      <c r="H3286" s="379">
        <v>2.3330688529386685</v>
      </c>
      <c r="I3286" s="25">
        <v>35.93</v>
      </c>
      <c r="J3286" s="379">
        <v>2.777777777777778E-2</v>
      </c>
    </row>
    <row r="3287" spans="1:10" x14ac:dyDescent="0.35">
      <c r="A3287" s="5">
        <v>3283</v>
      </c>
      <c r="B3287" s="5">
        <v>137</v>
      </c>
      <c r="C3287" s="5">
        <v>5</v>
      </c>
      <c r="D3287" s="379">
        <v>56.75</v>
      </c>
      <c r="E3287" s="25">
        <v>24.84</v>
      </c>
      <c r="F3287" s="379">
        <v>5.7511884747163133</v>
      </c>
      <c r="G3287" s="25">
        <v>37.46</v>
      </c>
      <c r="H3287" s="379">
        <v>5.7205737054654984</v>
      </c>
      <c r="I3287" s="25">
        <v>45.95</v>
      </c>
      <c r="J3287" s="379">
        <v>4.8090563524047951</v>
      </c>
    </row>
    <row r="3288" spans="1:10" x14ac:dyDescent="0.35">
      <c r="A3288" s="5">
        <v>3284</v>
      </c>
      <c r="B3288" s="5">
        <v>137</v>
      </c>
      <c r="C3288" s="5">
        <v>5</v>
      </c>
      <c r="D3288" s="379">
        <v>56.501111111111108</v>
      </c>
      <c r="E3288" s="25">
        <v>24.84</v>
      </c>
      <c r="F3288" s="379">
        <v>6.1207470013109742</v>
      </c>
      <c r="G3288" s="25">
        <v>37.79</v>
      </c>
      <c r="H3288" s="379">
        <v>6.8603811411269859</v>
      </c>
      <c r="I3288" s="25">
        <v>48.86</v>
      </c>
      <c r="J3288" s="379">
        <v>5.5648459147626355</v>
      </c>
    </row>
    <row r="3289" spans="1:10" x14ac:dyDescent="0.35">
      <c r="A3289" s="5">
        <v>3285</v>
      </c>
      <c r="B3289" s="5">
        <v>137</v>
      </c>
      <c r="C3289" s="5">
        <v>5</v>
      </c>
      <c r="D3289" s="379">
        <v>52.684444444444438</v>
      </c>
      <c r="E3289" s="25">
        <v>24.84</v>
      </c>
      <c r="F3289" s="379">
        <v>6.7830928000340442</v>
      </c>
      <c r="G3289" s="25">
        <v>38.97</v>
      </c>
      <c r="H3289" s="379">
        <v>5.3396508049032816</v>
      </c>
      <c r="I3289" s="25">
        <v>48.86</v>
      </c>
      <c r="J3289" s="379">
        <v>3.8898430619498785</v>
      </c>
    </row>
    <row r="3290" spans="1:10" x14ac:dyDescent="0.35">
      <c r="A3290" s="5">
        <v>3286</v>
      </c>
      <c r="B3290" s="5">
        <v>137</v>
      </c>
      <c r="C3290" s="5">
        <v>5</v>
      </c>
      <c r="D3290" s="379">
        <v>49.705555555555556</v>
      </c>
      <c r="E3290" s="25">
        <v>24.84</v>
      </c>
      <c r="F3290" s="379">
        <v>6.7363029920210247</v>
      </c>
      <c r="G3290" s="25">
        <v>38.200000000000003</v>
      </c>
      <c r="H3290" s="379">
        <v>6.8074057777457435</v>
      </c>
      <c r="I3290" s="25">
        <v>48.86</v>
      </c>
      <c r="J3290" s="379">
        <v>4.5908842621006061</v>
      </c>
    </row>
    <row r="3291" spans="1:10" x14ac:dyDescent="0.35">
      <c r="A3291" s="5">
        <v>3287</v>
      </c>
      <c r="B3291" s="5">
        <v>137</v>
      </c>
      <c r="C3291" s="5">
        <v>5</v>
      </c>
      <c r="D3291" s="379">
        <v>44.48</v>
      </c>
      <c r="E3291" s="25">
        <v>24.84</v>
      </c>
      <c r="F3291" s="379">
        <v>6.6847709676939449</v>
      </c>
      <c r="G3291" s="25">
        <v>35.94</v>
      </c>
      <c r="H3291" s="379">
        <v>4.001260793566062</v>
      </c>
      <c r="I3291" s="25">
        <v>48.2</v>
      </c>
      <c r="J3291" s="379">
        <v>3.4121317234251496</v>
      </c>
    </row>
    <row r="3292" spans="1:10" x14ac:dyDescent="0.35">
      <c r="A3292" s="5">
        <v>3288</v>
      </c>
      <c r="B3292" s="5">
        <v>137</v>
      </c>
      <c r="C3292" s="5">
        <v>5</v>
      </c>
      <c r="D3292" s="379">
        <v>40.428888888888892</v>
      </c>
      <c r="E3292" s="25">
        <v>24.84</v>
      </c>
      <c r="F3292" s="379">
        <v>7.0192322118498343</v>
      </c>
      <c r="G3292" s="25">
        <v>32.47</v>
      </c>
      <c r="H3292" s="379">
        <v>4.1413221495534094</v>
      </c>
      <c r="I3292" s="25">
        <v>45.28</v>
      </c>
      <c r="J3292" s="379">
        <v>2.194688991868913</v>
      </c>
    </row>
    <row r="3293" spans="1:10" x14ac:dyDescent="0.35">
      <c r="A3293" s="5">
        <v>3289</v>
      </c>
      <c r="B3293" s="5">
        <v>138</v>
      </c>
      <c r="C3293" s="5">
        <v>5</v>
      </c>
      <c r="D3293" s="379">
        <v>45.216666666666669</v>
      </c>
      <c r="E3293" s="25">
        <v>24.84</v>
      </c>
      <c r="F3293" s="379">
        <v>7.0292207853025719</v>
      </c>
      <c r="G3293" s="25">
        <v>32.47</v>
      </c>
      <c r="H3293" s="379">
        <v>4.579061990196025</v>
      </c>
      <c r="I3293" s="25">
        <v>46.84</v>
      </c>
      <c r="J3293" s="379">
        <v>2.194688991868913</v>
      </c>
    </row>
    <row r="3294" spans="1:10" x14ac:dyDescent="0.35">
      <c r="A3294" s="5">
        <v>3290</v>
      </c>
      <c r="B3294" s="5">
        <v>138</v>
      </c>
      <c r="C3294" s="5">
        <v>5</v>
      </c>
      <c r="D3294" s="379">
        <v>44.162222222222226</v>
      </c>
      <c r="E3294" s="25">
        <v>24.84</v>
      </c>
      <c r="F3294" s="379">
        <v>6.8377078680608383</v>
      </c>
      <c r="G3294" s="25">
        <v>32.47</v>
      </c>
      <c r="H3294" s="379">
        <v>4.2755585043313964</v>
      </c>
      <c r="I3294" s="25">
        <v>46.37</v>
      </c>
      <c r="J3294" s="379">
        <v>2.194688991868913</v>
      </c>
    </row>
    <row r="3295" spans="1:10" x14ac:dyDescent="0.35">
      <c r="A3295" s="5">
        <v>3291</v>
      </c>
      <c r="B3295" s="5">
        <v>138</v>
      </c>
      <c r="C3295" s="5">
        <v>5</v>
      </c>
      <c r="D3295" s="379">
        <v>43.654999999999994</v>
      </c>
      <c r="E3295" s="25">
        <v>24.73</v>
      </c>
      <c r="F3295" s="379">
        <v>6.6276355152169986</v>
      </c>
      <c r="G3295" s="25">
        <v>32.47</v>
      </c>
      <c r="H3295" s="379">
        <v>5.4187246740160333</v>
      </c>
      <c r="I3295" s="25">
        <v>43.96</v>
      </c>
      <c r="J3295" s="379">
        <v>2.5946368175772951</v>
      </c>
    </row>
    <row r="3296" spans="1:10" x14ac:dyDescent="0.35">
      <c r="A3296" s="5">
        <v>3292</v>
      </c>
      <c r="B3296" s="5">
        <v>138</v>
      </c>
      <c r="C3296" s="5">
        <v>5</v>
      </c>
      <c r="D3296" s="379">
        <v>43.940555555555548</v>
      </c>
      <c r="E3296" s="25">
        <v>24.84</v>
      </c>
      <c r="F3296" s="379">
        <v>6.5892498189216591</v>
      </c>
      <c r="G3296" s="25">
        <v>32.47</v>
      </c>
      <c r="H3296" s="379">
        <v>3.8391964885045637</v>
      </c>
      <c r="I3296" s="25">
        <v>43.96</v>
      </c>
      <c r="J3296" s="379">
        <v>3.3050628176807257</v>
      </c>
    </row>
    <row r="3297" spans="1:10" x14ac:dyDescent="0.35">
      <c r="A3297" s="5">
        <v>3293</v>
      </c>
      <c r="B3297" s="5">
        <v>138</v>
      </c>
      <c r="C3297" s="5">
        <v>5</v>
      </c>
      <c r="D3297" s="379">
        <v>45.180000000000007</v>
      </c>
      <c r="E3297" s="25">
        <v>24.84</v>
      </c>
      <c r="F3297" s="379">
        <v>4.9458650565183806</v>
      </c>
      <c r="G3297" s="25">
        <v>32.47</v>
      </c>
      <c r="H3297" s="379">
        <v>4.3505262682590651</v>
      </c>
      <c r="I3297" s="25">
        <v>47.31</v>
      </c>
      <c r="J3297" s="379">
        <v>2.5946368175772947</v>
      </c>
    </row>
    <row r="3298" spans="1:10" x14ac:dyDescent="0.35">
      <c r="A3298" s="5">
        <v>3294</v>
      </c>
      <c r="B3298" s="5">
        <v>138</v>
      </c>
      <c r="C3298" s="5">
        <v>5</v>
      </c>
      <c r="D3298" s="379">
        <v>51.259444444444448</v>
      </c>
      <c r="E3298" s="25">
        <v>24.84</v>
      </c>
      <c r="F3298" s="379">
        <v>3.8735877372829859</v>
      </c>
      <c r="G3298" s="25">
        <v>38.58</v>
      </c>
      <c r="H3298" s="379">
        <v>3.0704215880701016</v>
      </c>
      <c r="I3298" s="25">
        <v>48.86</v>
      </c>
      <c r="J3298" s="379">
        <v>0.72449988133940446</v>
      </c>
    </row>
    <row r="3299" spans="1:10" x14ac:dyDescent="0.35">
      <c r="A3299" s="5">
        <v>3295</v>
      </c>
      <c r="B3299" s="5">
        <v>138</v>
      </c>
      <c r="C3299" s="5">
        <v>5</v>
      </c>
      <c r="D3299" s="379">
        <v>53.402222222222221</v>
      </c>
      <c r="E3299" s="25">
        <v>24.84</v>
      </c>
      <c r="F3299" s="379">
        <v>2.9911526773980559</v>
      </c>
      <c r="G3299" s="25">
        <v>42.29</v>
      </c>
      <c r="H3299" s="379">
        <v>3.7687956718458442</v>
      </c>
      <c r="I3299" s="25">
        <v>53.27</v>
      </c>
      <c r="J3299" s="379">
        <v>0.94402812402494218</v>
      </c>
    </row>
    <row r="3300" spans="1:10" x14ac:dyDescent="0.35">
      <c r="A3300" s="5">
        <v>3296</v>
      </c>
      <c r="B3300" s="5">
        <v>138</v>
      </c>
      <c r="C3300" s="5">
        <v>5</v>
      </c>
      <c r="D3300" s="379">
        <v>54.514444444444443</v>
      </c>
      <c r="E3300" s="25">
        <v>24.99</v>
      </c>
      <c r="F3300" s="379">
        <v>2.0693239252612194</v>
      </c>
      <c r="G3300" s="25">
        <v>43.56</v>
      </c>
      <c r="H3300" s="379">
        <v>3.2247461786071168</v>
      </c>
      <c r="I3300" s="25">
        <v>51.02</v>
      </c>
      <c r="J3300" s="379">
        <v>0.20066026643076088</v>
      </c>
    </row>
    <row r="3301" spans="1:10" x14ac:dyDescent="0.35">
      <c r="A3301" s="5">
        <v>3297</v>
      </c>
      <c r="B3301" s="5">
        <v>138</v>
      </c>
      <c r="C3301" s="5">
        <v>5</v>
      </c>
      <c r="D3301" s="379">
        <v>51.877777777777773</v>
      </c>
      <c r="E3301" s="25">
        <v>24.84</v>
      </c>
      <c r="F3301" s="379">
        <v>0.65808670058311347</v>
      </c>
      <c r="G3301" s="25">
        <v>42.29</v>
      </c>
      <c r="H3301" s="379">
        <v>0.14480167642852412</v>
      </c>
      <c r="I3301" s="25">
        <v>48.86</v>
      </c>
      <c r="J3301" s="379">
        <v>0.27777777777777779</v>
      </c>
    </row>
    <row r="3302" spans="1:10" x14ac:dyDescent="0.35">
      <c r="A3302" s="5">
        <v>3298</v>
      </c>
      <c r="B3302" s="5">
        <v>138</v>
      </c>
      <c r="C3302" s="5">
        <v>5</v>
      </c>
      <c r="D3302" s="379">
        <v>48.053333333333335</v>
      </c>
      <c r="E3302" s="25">
        <v>24.84</v>
      </c>
      <c r="F3302" s="379">
        <v>0.65808670058311347</v>
      </c>
      <c r="G3302" s="25">
        <v>38.58</v>
      </c>
      <c r="H3302" s="379">
        <v>4.3462759987049911E-2</v>
      </c>
      <c r="I3302" s="25">
        <v>41.61</v>
      </c>
      <c r="J3302" s="379">
        <v>2.777777777777778E-2</v>
      </c>
    </row>
    <row r="3303" spans="1:10" x14ac:dyDescent="0.35">
      <c r="A3303" s="5">
        <v>3299</v>
      </c>
      <c r="B3303" s="5">
        <v>138</v>
      </c>
      <c r="C3303" s="5">
        <v>5</v>
      </c>
      <c r="D3303" s="379">
        <v>47.531111111111116</v>
      </c>
      <c r="E3303" s="25">
        <v>24.84</v>
      </c>
      <c r="F3303" s="379">
        <v>3.3855278747896111</v>
      </c>
      <c r="G3303" s="25">
        <v>38.58</v>
      </c>
      <c r="H3303" s="379">
        <v>1.9357182715490986</v>
      </c>
      <c r="I3303" s="25">
        <v>36.869999999999997</v>
      </c>
      <c r="J3303" s="379">
        <v>2.777777777777778E-2</v>
      </c>
    </row>
    <row r="3304" spans="1:10" x14ac:dyDescent="0.35">
      <c r="A3304" s="5">
        <v>3300</v>
      </c>
      <c r="B3304" s="5">
        <v>138</v>
      </c>
      <c r="C3304" s="5">
        <v>5</v>
      </c>
      <c r="D3304" s="379">
        <v>49.526666666666664</v>
      </c>
      <c r="E3304" s="25">
        <v>24.84</v>
      </c>
      <c r="F3304" s="379">
        <v>3.405575855462978</v>
      </c>
      <c r="G3304" s="25">
        <v>35.01</v>
      </c>
      <c r="H3304" s="379">
        <v>2.777777777777778E-2</v>
      </c>
      <c r="I3304" s="25">
        <v>36.5</v>
      </c>
      <c r="J3304" s="379">
        <v>3.9518214467851399E-2</v>
      </c>
    </row>
    <row r="3305" spans="1:10" x14ac:dyDescent="0.35">
      <c r="A3305" s="5">
        <v>3301</v>
      </c>
      <c r="B3305" s="5">
        <v>138</v>
      </c>
      <c r="C3305" s="5">
        <v>5</v>
      </c>
      <c r="D3305" s="379">
        <v>46.240555555555559</v>
      </c>
      <c r="E3305" s="25">
        <v>24.56</v>
      </c>
      <c r="F3305" s="379">
        <v>4.370458134240409E-2</v>
      </c>
      <c r="G3305" s="25">
        <v>32.79</v>
      </c>
      <c r="H3305" s="379">
        <v>6.0870436498465595E-2</v>
      </c>
      <c r="I3305" s="25">
        <v>36.5</v>
      </c>
      <c r="J3305" s="379">
        <v>2.777777777777778E-2</v>
      </c>
    </row>
    <row r="3306" spans="1:10" x14ac:dyDescent="0.35">
      <c r="A3306" s="5">
        <v>3302</v>
      </c>
      <c r="B3306" s="5">
        <v>138</v>
      </c>
      <c r="C3306" s="5">
        <v>5</v>
      </c>
      <c r="D3306" s="379">
        <v>44.754999999999995</v>
      </c>
      <c r="E3306" s="25">
        <v>24.12</v>
      </c>
      <c r="F3306" s="379">
        <v>0.17967043938801491</v>
      </c>
      <c r="G3306" s="25">
        <v>32.79</v>
      </c>
      <c r="H3306" s="379">
        <v>6.0870436498465595E-2</v>
      </c>
      <c r="I3306" s="25">
        <v>34.68</v>
      </c>
      <c r="J3306" s="379">
        <v>2.777777777777778E-2</v>
      </c>
    </row>
    <row r="3307" spans="1:10" x14ac:dyDescent="0.35">
      <c r="A3307" s="5">
        <v>3303</v>
      </c>
      <c r="B3307" s="5">
        <v>138</v>
      </c>
      <c r="C3307" s="5">
        <v>5</v>
      </c>
      <c r="D3307" s="379">
        <v>45.595555555555556</v>
      </c>
      <c r="E3307" s="25">
        <v>24.26</v>
      </c>
      <c r="F3307" s="379">
        <v>8.031714442973012E-2</v>
      </c>
      <c r="G3307" s="25">
        <v>32.79</v>
      </c>
      <c r="H3307" s="379">
        <v>6.0870436498465595E-2</v>
      </c>
      <c r="I3307" s="25">
        <v>34.68</v>
      </c>
      <c r="J3307" s="379">
        <v>2.777777777777778E-2</v>
      </c>
    </row>
    <row r="3308" spans="1:10" x14ac:dyDescent="0.35">
      <c r="A3308" s="5">
        <v>3304</v>
      </c>
      <c r="B3308" s="5">
        <v>138</v>
      </c>
      <c r="C3308" s="5">
        <v>5</v>
      </c>
      <c r="D3308" s="379">
        <v>50.078888888888876</v>
      </c>
      <c r="E3308" s="25">
        <v>24.56</v>
      </c>
      <c r="F3308" s="379">
        <v>0.16750989308485947</v>
      </c>
      <c r="G3308" s="25">
        <v>32.79</v>
      </c>
      <c r="H3308" s="379">
        <v>0.41810464765170807</v>
      </c>
      <c r="I3308" s="25">
        <v>34.68</v>
      </c>
      <c r="J3308" s="379">
        <v>2.777777777777778E-2</v>
      </c>
    </row>
    <row r="3309" spans="1:10" x14ac:dyDescent="0.35">
      <c r="A3309" s="5">
        <v>3305</v>
      </c>
      <c r="B3309" s="5">
        <v>138</v>
      </c>
      <c r="C3309" s="5">
        <v>5</v>
      </c>
      <c r="D3309" s="379">
        <v>52.373333333333335</v>
      </c>
      <c r="E3309" s="25">
        <v>24.84</v>
      </c>
      <c r="F3309" s="379">
        <v>0.12779255817589522</v>
      </c>
      <c r="G3309" s="25">
        <v>32.79</v>
      </c>
      <c r="H3309" s="379">
        <v>0.41810464765170807</v>
      </c>
      <c r="I3309" s="25">
        <v>36.5</v>
      </c>
      <c r="J3309" s="379">
        <v>4.0984226902725053E-2</v>
      </c>
    </row>
    <row r="3310" spans="1:10" x14ac:dyDescent="0.35">
      <c r="A3310" s="5">
        <v>3306</v>
      </c>
      <c r="B3310" s="5">
        <v>138</v>
      </c>
      <c r="C3310" s="5">
        <v>5</v>
      </c>
      <c r="D3310" s="379">
        <v>55.879444444444445</v>
      </c>
      <c r="E3310" s="25">
        <v>24.84</v>
      </c>
      <c r="F3310" s="379">
        <v>8.1174834595959613</v>
      </c>
      <c r="G3310" s="25">
        <v>37.46</v>
      </c>
      <c r="H3310" s="379">
        <v>1.9033453503612723</v>
      </c>
      <c r="I3310" s="25">
        <v>36.5</v>
      </c>
      <c r="J3310" s="379">
        <v>0.11679330637870687</v>
      </c>
    </row>
    <row r="3311" spans="1:10" x14ac:dyDescent="0.35">
      <c r="A3311" s="5">
        <v>3307</v>
      </c>
      <c r="B3311" s="5">
        <v>138</v>
      </c>
      <c r="C3311" s="5">
        <v>5</v>
      </c>
      <c r="D3311" s="379">
        <v>60.27000000000001</v>
      </c>
      <c r="E3311" s="25">
        <v>24.84</v>
      </c>
      <c r="F3311" s="379">
        <v>8.1174834595959595</v>
      </c>
      <c r="G3311" s="25">
        <v>37.840000000000003</v>
      </c>
      <c r="H3311" s="379">
        <v>0.14480167642852412</v>
      </c>
      <c r="I3311" s="25">
        <v>40.799999999999997</v>
      </c>
      <c r="J3311" s="379">
        <v>0.14480167642852412</v>
      </c>
    </row>
    <row r="3312" spans="1:10" x14ac:dyDescent="0.35">
      <c r="A3312" s="5">
        <v>3308</v>
      </c>
      <c r="B3312" s="5">
        <v>138</v>
      </c>
      <c r="C3312" s="5">
        <v>5</v>
      </c>
      <c r="D3312" s="379">
        <v>57.030555555555551</v>
      </c>
      <c r="E3312" s="25">
        <v>24.84</v>
      </c>
      <c r="F3312" s="379">
        <v>8.1174834595959595</v>
      </c>
      <c r="G3312" s="25">
        <v>38.58</v>
      </c>
      <c r="H3312" s="379">
        <v>0.14480167642852412</v>
      </c>
      <c r="I3312" s="25">
        <v>42.04</v>
      </c>
      <c r="J3312" s="379">
        <v>2.2298107183456746</v>
      </c>
    </row>
    <row r="3313" spans="1:10" x14ac:dyDescent="0.35">
      <c r="A3313" s="5">
        <v>3309</v>
      </c>
      <c r="B3313" s="5">
        <v>138</v>
      </c>
      <c r="C3313" s="5">
        <v>5</v>
      </c>
      <c r="D3313" s="379">
        <v>52.934999999999988</v>
      </c>
      <c r="E3313" s="25">
        <v>24.84</v>
      </c>
      <c r="F3313" s="379">
        <v>8.1174834595959595</v>
      </c>
      <c r="G3313" s="25">
        <v>38.58</v>
      </c>
      <c r="H3313" s="379">
        <v>0.14480167642852412</v>
      </c>
      <c r="I3313" s="25">
        <v>47.31</v>
      </c>
      <c r="J3313" s="379">
        <v>0.14480167642852412</v>
      </c>
    </row>
    <row r="3314" spans="1:10" x14ac:dyDescent="0.35">
      <c r="A3314" s="5">
        <v>3310</v>
      </c>
      <c r="B3314" s="5">
        <v>138</v>
      </c>
      <c r="C3314" s="5">
        <v>5</v>
      </c>
      <c r="D3314" s="379">
        <v>49.424444444444447</v>
      </c>
      <c r="E3314" s="25">
        <v>24.84</v>
      </c>
      <c r="F3314" s="379">
        <v>8.1174834595959613</v>
      </c>
      <c r="G3314" s="25">
        <v>38.58</v>
      </c>
      <c r="H3314" s="379">
        <v>0.14480167642852412</v>
      </c>
      <c r="I3314" s="25">
        <v>48.09</v>
      </c>
      <c r="J3314" s="379">
        <v>2.2298107183456746</v>
      </c>
    </row>
    <row r="3315" spans="1:10" x14ac:dyDescent="0.35">
      <c r="A3315" s="5">
        <v>3311</v>
      </c>
      <c r="B3315" s="5">
        <v>138</v>
      </c>
      <c r="C3315" s="5">
        <v>5</v>
      </c>
      <c r="D3315" s="379">
        <v>44.602222222222224</v>
      </c>
      <c r="E3315" s="25">
        <v>24.84</v>
      </c>
      <c r="F3315" s="379">
        <v>8.1174834595959595</v>
      </c>
      <c r="G3315" s="25">
        <v>32.79</v>
      </c>
      <c r="H3315" s="379">
        <v>0.14480167642852412</v>
      </c>
      <c r="I3315" s="25">
        <v>46.69</v>
      </c>
      <c r="J3315" s="379">
        <v>2.2298107183456746</v>
      </c>
    </row>
    <row r="3316" spans="1:10" x14ac:dyDescent="0.35">
      <c r="A3316" s="5">
        <v>3312</v>
      </c>
      <c r="B3316" s="5">
        <v>138</v>
      </c>
      <c r="C3316" s="5">
        <v>5</v>
      </c>
      <c r="D3316" s="379">
        <v>44.52</v>
      </c>
      <c r="E3316" s="25">
        <v>24.84</v>
      </c>
      <c r="F3316" s="379">
        <v>8.1174834595959595</v>
      </c>
      <c r="G3316" s="25">
        <v>32.47</v>
      </c>
      <c r="H3316" s="379">
        <v>0.14480167642852412</v>
      </c>
      <c r="I3316" s="25">
        <v>42.94</v>
      </c>
      <c r="J3316" s="379">
        <v>0.10274697600902838</v>
      </c>
    </row>
    <row r="3317" spans="1:10" x14ac:dyDescent="0.35">
      <c r="A3317" s="5">
        <v>3313</v>
      </c>
      <c r="B3317" s="5">
        <v>139</v>
      </c>
      <c r="C3317" s="5">
        <v>5</v>
      </c>
      <c r="D3317" s="379">
        <v>43.758333333333333</v>
      </c>
      <c r="E3317" s="25">
        <v>24</v>
      </c>
      <c r="F3317" s="379">
        <v>7.3374834595959593</v>
      </c>
      <c r="G3317" s="25">
        <v>31.84</v>
      </c>
      <c r="H3317" s="379">
        <v>0.14480167642852412</v>
      </c>
      <c r="I3317" s="25">
        <v>34.68</v>
      </c>
      <c r="J3317" s="379">
        <v>0.2923540929807415</v>
      </c>
    </row>
    <row r="3318" spans="1:10" x14ac:dyDescent="0.35">
      <c r="A3318" s="5">
        <v>3314</v>
      </c>
      <c r="B3318" s="5">
        <v>139</v>
      </c>
      <c r="C3318" s="5">
        <v>5</v>
      </c>
      <c r="D3318" s="379">
        <v>43.153888888888886</v>
      </c>
      <c r="E3318" s="25">
        <v>23.41</v>
      </c>
      <c r="F3318" s="379">
        <v>0.47222222222222221</v>
      </c>
      <c r="G3318" s="25">
        <v>31.84</v>
      </c>
      <c r="H3318" s="379">
        <v>0.1448016764285241</v>
      </c>
      <c r="I3318" s="25">
        <v>34.68</v>
      </c>
      <c r="J3318" s="379">
        <v>9.7689558222494893E-2</v>
      </c>
    </row>
    <row r="3319" spans="1:10" x14ac:dyDescent="0.35">
      <c r="A3319" s="5">
        <v>3315</v>
      </c>
      <c r="B3319" s="5">
        <v>139</v>
      </c>
      <c r="C3319" s="5">
        <v>5</v>
      </c>
      <c r="D3319" s="379">
        <v>44.004444444444445</v>
      </c>
      <c r="E3319" s="25">
        <v>23.41</v>
      </c>
      <c r="F3319" s="379">
        <v>0.27546296296296297</v>
      </c>
      <c r="G3319" s="25">
        <v>31.84</v>
      </c>
      <c r="H3319" s="379">
        <v>2.2638237393473677</v>
      </c>
      <c r="I3319" s="25">
        <v>34.68</v>
      </c>
      <c r="J3319" s="379">
        <v>5.8824826178953259E-2</v>
      </c>
    </row>
    <row r="3320" spans="1:10" x14ac:dyDescent="0.35">
      <c r="A3320" s="5">
        <v>3316</v>
      </c>
      <c r="B3320" s="5">
        <v>139</v>
      </c>
      <c r="C3320" s="5">
        <v>5</v>
      </c>
      <c r="D3320" s="379">
        <v>44.836666666666659</v>
      </c>
      <c r="E3320" s="25">
        <v>23.41</v>
      </c>
      <c r="F3320" s="379">
        <v>0.24612719319286944</v>
      </c>
      <c r="G3320" s="25">
        <v>31.84</v>
      </c>
      <c r="H3320" s="379">
        <v>2.2638237393473677</v>
      </c>
      <c r="I3320" s="25">
        <v>34.68</v>
      </c>
      <c r="J3320" s="379">
        <v>5.8824826178953259E-2</v>
      </c>
    </row>
    <row r="3321" spans="1:10" x14ac:dyDescent="0.35">
      <c r="A3321" s="5">
        <v>3317</v>
      </c>
      <c r="B3321" s="5">
        <v>139</v>
      </c>
      <c r="C3321" s="5">
        <v>5</v>
      </c>
      <c r="D3321" s="379">
        <v>44.541111111111114</v>
      </c>
      <c r="E3321" s="25">
        <v>24</v>
      </c>
      <c r="F3321" s="379">
        <v>0.29124601301246655</v>
      </c>
      <c r="G3321" s="25">
        <v>31.84</v>
      </c>
      <c r="H3321" s="379">
        <v>2.2638237393473677</v>
      </c>
      <c r="I3321" s="25">
        <v>34.68</v>
      </c>
      <c r="J3321" s="379">
        <v>0.10872148457227415</v>
      </c>
    </row>
    <row r="3322" spans="1:10" x14ac:dyDescent="0.35">
      <c r="A3322" s="5">
        <v>3318</v>
      </c>
      <c r="B3322" s="5">
        <v>139</v>
      </c>
      <c r="C3322" s="5">
        <v>5</v>
      </c>
      <c r="D3322" s="379">
        <v>49.508333333333326</v>
      </c>
      <c r="E3322" s="25">
        <v>24.84</v>
      </c>
      <c r="F3322" s="379">
        <v>0.13204168499888636</v>
      </c>
      <c r="G3322" s="25">
        <v>31.84</v>
      </c>
      <c r="H3322" s="379">
        <v>1.906589528194125</v>
      </c>
      <c r="I3322" s="25">
        <v>37.53</v>
      </c>
      <c r="J3322" s="379">
        <v>0.14211415272606259</v>
      </c>
    </row>
    <row r="3323" spans="1:10" x14ac:dyDescent="0.35">
      <c r="A3323" s="5">
        <v>3319</v>
      </c>
      <c r="B3323" s="5">
        <v>139</v>
      </c>
      <c r="C3323" s="5">
        <v>5</v>
      </c>
      <c r="D3323" s="379">
        <v>56.632777777777775</v>
      </c>
      <c r="E3323" s="25">
        <v>24.84</v>
      </c>
      <c r="F3323" s="379">
        <v>3.4677044104610295</v>
      </c>
      <c r="G3323" s="25">
        <v>37.46</v>
      </c>
      <c r="H3323" s="379">
        <v>1.8457190916956596</v>
      </c>
      <c r="I3323" s="25">
        <v>47.31</v>
      </c>
      <c r="J3323" s="379">
        <v>9.2217494332741706E-2</v>
      </c>
    </row>
    <row r="3324" spans="1:10" x14ac:dyDescent="0.35">
      <c r="A3324" s="5">
        <v>3320</v>
      </c>
      <c r="B3324" s="5">
        <v>139</v>
      </c>
      <c r="C3324" s="5">
        <v>5</v>
      </c>
      <c r="D3324" s="379">
        <v>57.062222222222232</v>
      </c>
      <c r="E3324" s="25">
        <v>24.84</v>
      </c>
      <c r="F3324" s="379">
        <v>3.2727733956087586</v>
      </c>
      <c r="G3324" s="25">
        <v>37.840000000000003</v>
      </c>
      <c r="H3324" s="379">
        <v>1.8457190916956596</v>
      </c>
      <c r="I3324" s="25">
        <v>47.31</v>
      </c>
      <c r="J3324" s="379">
        <v>9.221749433274172E-2</v>
      </c>
    </row>
    <row r="3325" spans="1:10" x14ac:dyDescent="0.35">
      <c r="A3325" s="5">
        <v>3321</v>
      </c>
      <c r="B3325" s="5">
        <v>139</v>
      </c>
      <c r="C3325" s="5">
        <v>5</v>
      </c>
      <c r="D3325" s="379">
        <v>54.046111111111117</v>
      </c>
      <c r="E3325" s="25">
        <v>24.84</v>
      </c>
      <c r="F3325" s="379">
        <v>3.2727733956087586</v>
      </c>
      <c r="G3325" s="25">
        <v>37.840000000000003</v>
      </c>
      <c r="H3325" s="379">
        <v>1.8457190916956596</v>
      </c>
      <c r="I3325" s="25">
        <v>37.15</v>
      </c>
      <c r="J3325" s="379">
        <v>2.777777777777778E-2</v>
      </c>
    </row>
    <row r="3326" spans="1:10" x14ac:dyDescent="0.35">
      <c r="A3326" s="5">
        <v>3322</v>
      </c>
      <c r="B3326" s="5">
        <v>139</v>
      </c>
      <c r="C3326" s="5">
        <v>5</v>
      </c>
      <c r="D3326" s="379">
        <v>46.916111111111107</v>
      </c>
      <c r="E3326" s="25">
        <v>24.84</v>
      </c>
      <c r="F3326" s="379">
        <v>3.2727733956087586</v>
      </c>
      <c r="G3326" s="25">
        <v>37.46</v>
      </c>
      <c r="H3326" s="379">
        <v>1.2655816667086657</v>
      </c>
      <c r="I3326" s="25">
        <v>33.67</v>
      </c>
      <c r="J3326" s="379">
        <v>2.777777777777778E-2</v>
      </c>
    </row>
    <row r="3327" spans="1:10" x14ac:dyDescent="0.35">
      <c r="A3327" s="5">
        <v>3323</v>
      </c>
      <c r="B3327" s="5">
        <v>139</v>
      </c>
      <c r="C3327" s="5">
        <v>5</v>
      </c>
      <c r="D3327" s="379">
        <v>42.912222222222226</v>
      </c>
      <c r="E3327" s="25">
        <v>24.26</v>
      </c>
      <c r="F3327" s="379">
        <v>3.2727733956087586</v>
      </c>
      <c r="G3327" s="25">
        <v>33.130000000000003</v>
      </c>
      <c r="H3327" s="379">
        <v>1.1340446914607536</v>
      </c>
      <c r="I3327" s="25">
        <v>33.67</v>
      </c>
      <c r="J3327" s="379">
        <v>2.777777777777778E-2</v>
      </c>
    </row>
    <row r="3328" spans="1:10" x14ac:dyDescent="0.35">
      <c r="A3328" s="5">
        <v>3324</v>
      </c>
      <c r="B3328" s="5">
        <v>139</v>
      </c>
      <c r="C3328" s="5">
        <v>5</v>
      </c>
      <c r="D3328" s="379">
        <v>43.797222222222224</v>
      </c>
      <c r="E3328" s="25">
        <v>23.84</v>
      </c>
      <c r="F3328" s="379">
        <v>3.2727733956087586</v>
      </c>
      <c r="G3328" s="25">
        <v>32.159999999999997</v>
      </c>
      <c r="H3328" s="379">
        <v>1.2655816667086657</v>
      </c>
      <c r="I3328" s="25">
        <v>33.67</v>
      </c>
      <c r="J3328" s="379">
        <v>2.777777777777778E-2</v>
      </c>
    </row>
    <row r="3329" spans="1:10" x14ac:dyDescent="0.35">
      <c r="A3329" s="5">
        <v>3325</v>
      </c>
      <c r="B3329" s="5">
        <v>139</v>
      </c>
      <c r="C3329" s="5">
        <v>5</v>
      </c>
      <c r="D3329" s="379">
        <v>42.789444444444442</v>
      </c>
      <c r="E3329" s="25">
        <v>23.84</v>
      </c>
      <c r="F3329" s="379">
        <v>3.2727733956087586</v>
      </c>
      <c r="G3329" s="25">
        <v>31.84</v>
      </c>
      <c r="H3329" s="379">
        <v>2.777777777777778E-2</v>
      </c>
      <c r="I3329" s="25">
        <v>33.67</v>
      </c>
      <c r="J3329" s="379">
        <v>2.777777777777778E-2</v>
      </c>
    </row>
    <row r="3330" spans="1:10" x14ac:dyDescent="0.35">
      <c r="A3330" s="5">
        <v>3326</v>
      </c>
      <c r="B3330" s="5">
        <v>139</v>
      </c>
      <c r="C3330" s="5">
        <v>5</v>
      </c>
      <c r="D3330" s="379">
        <v>41.299444444444433</v>
      </c>
      <c r="E3330" s="25">
        <v>23.59</v>
      </c>
      <c r="F3330" s="379">
        <v>2.6416491641187259</v>
      </c>
      <c r="G3330" s="25">
        <v>31.84</v>
      </c>
      <c r="H3330" s="379">
        <v>2.777777777777778E-2</v>
      </c>
      <c r="I3330" s="25">
        <v>33.67</v>
      </c>
      <c r="J3330" s="379">
        <v>2.777777777777778E-2</v>
      </c>
    </row>
    <row r="3331" spans="1:10" x14ac:dyDescent="0.35">
      <c r="A3331" s="5">
        <v>3327</v>
      </c>
      <c r="B3331" s="5">
        <v>139</v>
      </c>
      <c r="C3331" s="5">
        <v>5</v>
      </c>
      <c r="D3331" s="379">
        <v>43.769999999999989</v>
      </c>
      <c r="E3331" s="25">
        <v>23.84</v>
      </c>
      <c r="F3331" s="379">
        <v>2.6416491641187259</v>
      </c>
      <c r="G3331" s="25">
        <v>31.84</v>
      </c>
      <c r="H3331" s="379">
        <v>2.777777777777778E-2</v>
      </c>
      <c r="I3331" s="25">
        <v>33.67</v>
      </c>
      <c r="J3331" s="379">
        <v>2.777777777777778E-2</v>
      </c>
    </row>
    <row r="3332" spans="1:10" x14ac:dyDescent="0.35">
      <c r="A3332" s="5">
        <v>3328</v>
      </c>
      <c r="B3332" s="5">
        <v>139</v>
      </c>
      <c r="C3332" s="5">
        <v>5</v>
      </c>
      <c r="D3332" s="379">
        <v>47.430555555555557</v>
      </c>
      <c r="E3332" s="25">
        <v>23.84</v>
      </c>
      <c r="F3332" s="379">
        <v>1.3816472724718665</v>
      </c>
      <c r="G3332" s="25">
        <v>31.84</v>
      </c>
      <c r="H3332" s="379">
        <v>2.777777777777778E-2</v>
      </c>
      <c r="I3332" s="25">
        <v>33.67</v>
      </c>
      <c r="J3332" s="379">
        <v>2.777777777777778E-2</v>
      </c>
    </row>
    <row r="3333" spans="1:10" x14ac:dyDescent="0.35">
      <c r="A3333" s="5">
        <v>3329</v>
      </c>
      <c r="B3333" s="5">
        <v>139</v>
      </c>
      <c r="C3333" s="5">
        <v>5</v>
      </c>
      <c r="D3333" s="379">
        <v>52.546666666666667</v>
      </c>
      <c r="E3333" s="25">
        <v>24.12</v>
      </c>
      <c r="F3333" s="379">
        <v>2.777777777777778E-2</v>
      </c>
      <c r="G3333" s="25">
        <v>31.84</v>
      </c>
      <c r="H3333" s="379">
        <v>2.777777777777778E-2</v>
      </c>
      <c r="I3333" s="25">
        <v>33.67</v>
      </c>
      <c r="J3333" s="379">
        <v>2.777777777777778E-2</v>
      </c>
    </row>
    <row r="3334" spans="1:10" x14ac:dyDescent="0.35">
      <c r="A3334" s="5">
        <v>3330</v>
      </c>
      <c r="B3334" s="5">
        <v>139</v>
      </c>
      <c r="C3334" s="5">
        <v>5</v>
      </c>
      <c r="D3334" s="379">
        <v>54.097222222222221</v>
      </c>
      <c r="E3334" s="25">
        <v>24.84</v>
      </c>
      <c r="F3334" s="379">
        <v>3.2727733956087586</v>
      </c>
      <c r="G3334" s="25">
        <v>32.79</v>
      </c>
      <c r="H3334" s="379">
        <v>0.16824233019147578</v>
      </c>
      <c r="I3334" s="25">
        <v>34.01</v>
      </c>
      <c r="J3334" s="379">
        <v>2.777777777777778E-2</v>
      </c>
    </row>
    <row r="3335" spans="1:10" x14ac:dyDescent="0.35">
      <c r="A3335" s="5">
        <v>3331</v>
      </c>
      <c r="B3335" s="5">
        <v>139</v>
      </c>
      <c r="C3335" s="5">
        <v>5</v>
      </c>
      <c r="D3335" s="379">
        <v>57.710555555555551</v>
      </c>
      <c r="E3335" s="25">
        <v>24.84</v>
      </c>
      <c r="F3335" s="379">
        <v>6.0958297043500682</v>
      </c>
      <c r="G3335" s="25">
        <v>35.01</v>
      </c>
      <c r="H3335" s="379">
        <v>5.0601415705397956</v>
      </c>
      <c r="I3335" s="25">
        <v>35.799999999999997</v>
      </c>
      <c r="J3335" s="379">
        <v>1.6378102897939091</v>
      </c>
    </row>
    <row r="3336" spans="1:10" x14ac:dyDescent="0.35">
      <c r="A3336" s="5">
        <v>3332</v>
      </c>
      <c r="B3336" s="5">
        <v>139</v>
      </c>
      <c r="C3336" s="5">
        <v>5</v>
      </c>
      <c r="D3336" s="379">
        <v>58.263888888888886</v>
      </c>
      <c r="E3336" s="25">
        <v>24.84</v>
      </c>
      <c r="F3336" s="379">
        <v>6.3079729021672968</v>
      </c>
      <c r="G3336" s="25">
        <v>36.06</v>
      </c>
      <c r="H3336" s="379">
        <v>5.4659103267160507</v>
      </c>
      <c r="I3336" s="25">
        <v>44.15</v>
      </c>
      <c r="J3336" s="379">
        <v>4.701798436163962</v>
      </c>
    </row>
    <row r="3337" spans="1:10" x14ac:dyDescent="0.35">
      <c r="A3337" s="5">
        <v>3333</v>
      </c>
      <c r="B3337" s="5">
        <v>139</v>
      </c>
      <c r="C3337" s="5">
        <v>5</v>
      </c>
      <c r="D3337" s="379">
        <v>56.473888888888894</v>
      </c>
      <c r="E3337" s="25">
        <v>24.84</v>
      </c>
      <c r="F3337" s="379">
        <v>5.9985593572089515</v>
      </c>
      <c r="G3337" s="25">
        <v>43.56</v>
      </c>
      <c r="H3337" s="379">
        <v>6.7715131002701039</v>
      </c>
      <c r="I3337" s="25">
        <v>50.19</v>
      </c>
      <c r="J3337" s="379">
        <v>4.8006261536236057</v>
      </c>
    </row>
    <row r="3338" spans="1:10" x14ac:dyDescent="0.35">
      <c r="A3338" s="5">
        <v>3334</v>
      </c>
      <c r="B3338" s="5">
        <v>139</v>
      </c>
      <c r="C3338" s="5">
        <v>5</v>
      </c>
      <c r="D3338" s="379">
        <v>50.953333333333333</v>
      </c>
      <c r="E3338" s="25">
        <v>24.84</v>
      </c>
      <c r="F3338" s="379">
        <v>8.2140243763867744</v>
      </c>
      <c r="G3338" s="25">
        <v>43.56</v>
      </c>
      <c r="H3338" s="379">
        <v>7.7407578505972827</v>
      </c>
      <c r="I3338" s="25">
        <v>51.72</v>
      </c>
      <c r="J3338" s="379">
        <v>6.8605159164116012</v>
      </c>
    </row>
    <row r="3339" spans="1:10" x14ac:dyDescent="0.35">
      <c r="A3339" s="5">
        <v>3335</v>
      </c>
      <c r="B3339" s="5">
        <v>139</v>
      </c>
      <c r="C3339" s="5">
        <v>5</v>
      </c>
      <c r="D3339" s="379">
        <v>48.486111111111114</v>
      </c>
      <c r="E3339" s="25">
        <v>24.84</v>
      </c>
      <c r="F3339" s="379">
        <v>7.9465925239507156</v>
      </c>
      <c r="G3339" s="25">
        <v>42.29</v>
      </c>
      <c r="H3339" s="379">
        <v>7.7114005116028794</v>
      </c>
      <c r="I3339" s="25">
        <v>48.86</v>
      </c>
      <c r="J3339" s="379">
        <v>6.4081578304006461</v>
      </c>
    </row>
    <row r="3340" spans="1:10" x14ac:dyDescent="0.35">
      <c r="A3340" s="5">
        <v>3336</v>
      </c>
      <c r="B3340" s="5">
        <v>139</v>
      </c>
      <c r="C3340" s="5">
        <v>5</v>
      </c>
      <c r="D3340" s="379">
        <v>45.671111111111109</v>
      </c>
      <c r="E3340" s="25">
        <v>24.84</v>
      </c>
      <c r="F3340" s="379">
        <v>8.1129702456852328</v>
      </c>
      <c r="G3340" s="25">
        <v>42.29</v>
      </c>
      <c r="H3340" s="379">
        <v>7.5623237332485331</v>
      </c>
      <c r="I3340" s="25">
        <v>44.44</v>
      </c>
      <c r="J3340" s="379">
        <v>6.3542416710911969</v>
      </c>
    </row>
    <row r="3341" spans="1:10" x14ac:dyDescent="0.35">
      <c r="A3341" s="5">
        <v>3337</v>
      </c>
      <c r="B3341" s="5">
        <v>140</v>
      </c>
      <c r="C3341" s="5">
        <v>5</v>
      </c>
      <c r="D3341" s="379">
        <v>44.714444444444439</v>
      </c>
      <c r="E3341" s="25">
        <v>24.84</v>
      </c>
      <c r="F3341" s="379">
        <v>8.241087945025555</v>
      </c>
      <c r="G3341" s="25">
        <v>42.29</v>
      </c>
      <c r="H3341" s="379">
        <v>7.5533053828100023</v>
      </c>
      <c r="I3341" s="25">
        <v>46.84</v>
      </c>
      <c r="J3341" s="379">
        <v>6.3249178963274542</v>
      </c>
    </row>
    <row r="3342" spans="1:10" x14ac:dyDescent="0.35">
      <c r="A3342" s="5">
        <v>3338</v>
      </c>
      <c r="B3342" s="5">
        <v>140</v>
      </c>
      <c r="C3342" s="5">
        <v>5</v>
      </c>
      <c r="D3342" s="379">
        <v>44.048888888888897</v>
      </c>
      <c r="E3342" s="25">
        <v>24.84</v>
      </c>
      <c r="F3342" s="379">
        <v>8.2182905201524168</v>
      </c>
      <c r="G3342" s="25">
        <v>42.29</v>
      </c>
      <c r="H3342" s="379">
        <v>7.5483101703238296</v>
      </c>
      <c r="I3342" s="25">
        <v>46.84</v>
      </c>
      <c r="J3342" s="379">
        <v>6.3306410409749878</v>
      </c>
    </row>
    <row r="3343" spans="1:10" x14ac:dyDescent="0.35">
      <c r="A3343" s="5">
        <v>3339</v>
      </c>
      <c r="B3343" s="5">
        <v>140</v>
      </c>
      <c r="C3343" s="5">
        <v>5</v>
      </c>
      <c r="D3343" s="379">
        <v>44.461111111111109</v>
      </c>
      <c r="E3343" s="25">
        <v>24.84</v>
      </c>
      <c r="F3343" s="379">
        <v>8.2328604714103353</v>
      </c>
      <c r="G3343" s="25">
        <v>42.29</v>
      </c>
      <c r="H3343" s="379">
        <v>7.8437092419154304</v>
      </c>
      <c r="I3343" s="25">
        <v>46.84</v>
      </c>
      <c r="J3343" s="379">
        <v>6.3147402976305509</v>
      </c>
    </row>
    <row r="3344" spans="1:10" x14ac:dyDescent="0.35">
      <c r="A3344" s="5">
        <v>3340</v>
      </c>
      <c r="B3344" s="5">
        <v>140</v>
      </c>
      <c r="C3344" s="5">
        <v>5</v>
      </c>
      <c r="D3344" s="379">
        <v>44.420555555555552</v>
      </c>
      <c r="E3344" s="25">
        <v>24.84</v>
      </c>
      <c r="F3344" s="379">
        <v>8.2104337351983503</v>
      </c>
      <c r="G3344" s="25">
        <v>42.29</v>
      </c>
      <c r="H3344" s="379">
        <v>7.7246520760380326</v>
      </c>
      <c r="I3344" s="25">
        <v>46.84</v>
      </c>
      <c r="J3344" s="379">
        <v>6.4444935393132532</v>
      </c>
    </row>
    <row r="3345" spans="1:10" x14ac:dyDescent="0.35">
      <c r="A3345" s="5">
        <v>3341</v>
      </c>
      <c r="B3345" s="5">
        <v>140</v>
      </c>
      <c r="C3345" s="5">
        <v>5</v>
      </c>
      <c r="D3345" s="379">
        <v>43.820555555555543</v>
      </c>
      <c r="E3345" s="25">
        <v>24.84</v>
      </c>
      <c r="F3345" s="379">
        <v>8.2215748717465491</v>
      </c>
      <c r="G3345" s="25">
        <v>43.56</v>
      </c>
      <c r="H3345" s="379">
        <v>7.3930333017995062</v>
      </c>
      <c r="I3345" s="25">
        <v>47.31</v>
      </c>
      <c r="J3345" s="379">
        <v>6.3850330317740864</v>
      </c>
    </row>
    <row r="3346" spans="1:10" x14ac:dyDescent="0.35">
      <c r="A3346" s="5">
        <v>3342</v>
      </c>
      <c r="B3346" s="5">
        <v>140</v>
      </c>
      <c r="C3346" s="5">
        <v>5</v>
      </c>
      <c r="D3346" s="379">
        <v>48.482777777777777</v>
      </c>
      <c r="E3346" s="25">
        <v>24.84</v>
      </c>
      <c r="F3346" s="379">
        <v>8.1174834595959613</v>
      </c>
      <c r="G3346" s="25">
        <v>46.98</v>
      </c>
      <c r="H3346" s="379">
        <v>7.4046127837009612</v>
      </c>
      <c r="I3346" s="25">
        <v>53.71</v>
      </c>
      <c r="J3346" s="379">
        <v>5.7570133420064691</v>
      </c>
    </row>
    <row r="3347" spans="1:10" x14ac:dyDescent="0.35">
      <c r="A3347" s="5">
        <v>3343</v>
      </c>
      <c r="B3347" s="5">
        <v>140</v>
      </c>
      <c r="C3347" s="5">
        <v>5</v>
      </c>
      <c r="D3347" s="379">
        <v>55.428333333333327</v>
      </c>
      <c r="E3347" s="25">
        <v>25.59</v>
      </c>
      <c r="F3347" s="379">
        <v>8.1174834595959577</v>
      </c>
      <c r="G3347" s="25">
        <v>47.46</v>
      </c>
      <c r="H3347" s="379">
        <v>7.5036496437006663</v>
      </c>
      <c r="I3347" s="25">
        <v>53.71</v>
      </c>
      <c r="J3347" s="379">
        <v>5.4793098161586835</v>
      </c>
    </row>
    <row r="3348" spans="1:10" x14ac:dyDescent="0.35">
      <c r="A3348" s="5">
        <v>3344</v>
      </c>
      <c r="B3348" s="5">
        <v>140</v>
      </c>
      <c r="C3348" s="5">
        <v>5</v>
      </c>
      <c r="D3348" s="379">
        <v>55.581111111111113</v>
      </c>
      <c r="E3348" s="25">
        <v>24.99</v>
      </c>
      <c r="F3348" s="379">
        <v>8.1174834595959595</v>
      </c>
      <c r="G3348" s="25">
        <v>47.46</v>
      </c>
      <c r="H3348" s="379">
        <v>6.9462485583899936</v>
      </c>
      <c r="I3348" s="25">
        <v>53.71</v>
      </c>
      <c r="J3348" s="379">
        <v>4.5681424123070391</v>
      </c>
    </row>
    <row r="3349" spans="1:10" x14ac:dyDescent="0.35">
      <c r="A3349" s="5">
        <v>3345</v>
      </c>
      <c r="B3349" s="5">
        <v>140</v>
      </c>
      <c r="C3349" s="5">
        <v>5</v>
      </c>
      <c r="D3349" s="379">
        <v>52.025555555555556</v>
      </c>
      <c r="E3349" s="25">
        <v>24.99</v>
      </c>
      <c r="F3349" s="379">
        <v>0.47222222222222221</v>
      </c>
      <c r="G3349" s="25">
        <v>47.46</v>
      </c>
      <c r="H3349" s="379">
        <v>4.9810223806361457E-2</v>
      </c>
      <c r="I3349" s="25">
        <v>51.76</v>
      </c>
      <c r="J3349" s="379">
        <v>0.27777777777777779</v>
      </c>
    </row>
    <row r="3350" spans="1:10" x14ac:dyDescent="0.35">
      <c r="A3350" s="5">
        <v>3346</v>
      </c>
      <c r="B3350" s="5">
        <v>140</v>
      </c>
      <c r="C3350" s="5">
        <v>5</v>
      </c>
      <c r="D3350" s="379">
        <v>49.08</v>
      </c>
      <c r="E3350" s="25">
        <v>24.99</v>
      </c>
      <c r="F3350" s="379">
        <v>4.9697556922334192</v>
      </c>
      <c r="G3350" s="25">
        <v>43.56</v>
      </c>
      <c r="H3350" s="379">
        <v>0.40759217312923124</v>
      </c>
      <c r="I3350" s="25">
        <v>50.19</v>
      </c>
      <c r="J3350" s="379">
        <v>4.6818293603549561E-2</v>
      </c>
    </row>
    <row r="3351" spans="1:10" x14ac:dyDescent="0.35">
      <c r="A3351" s="5">
        <v>3347</v>
      </c>
      <c r="B3351" s="5">
        <v>140</v>
      </c>
      <c r="C3351" s="5">
        <v>5</v>
      </c>
      <c r="D3351" s="379">
        <v>47.892777777777773</v>
      </c>
      <c r="E3351" s="25">
        <v>24.84</v>
      </c>
      <c r="F3351" s="379">
        <v>2.9195463677415718</v>
      </c>
      <c r="G3351" s="25">
        <v>43.56</v>
      </c>
      <c r="H3351" s="379">
        <v>1.5057502952455617</v>
      </c>
      <c r="I3351" s="25">
        <v>47.31</v>
      </c>
      <c r="J3351" s="379">
        <v>2.777777777777778E-2</v>
      </c>
    </row>
    <row r="3352" spans="1:10" x14ac:dyDescent="0.35">
      <c r="A3352" s="5">
        <v>3348</v>
      </c>
      <c r="B3352" s="5">
        <v>140</v>
      </c>
      <c r="C3352" s="5">
        <v>5</v>
      </c>
      <c r="D3352" s="379">
        <v>47.109444444444442</v>
      </c>
      <c r="E3352" s="25">
        <v>24.84</v>
      </c>
      <c r="F3352" s="379">
        <v>5.0229419899625229</v>
      </c>
      <c r="G3352" s="25">
        <v>42.29</v>
      </c>
      <c r="H3352" s="379">
        <v>3.236487568164971</v>
      </c>
      <c r="I3352" s="25">
        <v>46.84</v>
      </c>
      <c r="J3352" s="379">
        <v>1.5109818540318887</v>
      </c>
    </row>
    <row r="3353" spans="1:10" x14ac:dyDescent="0.35">
      <c r="A3353" s="5">
        <v>3349</v>
      </c>
      <c r="B3353" s="5">
        <v>140</v>
      </c>
      <c r="C3353" s="5">
        <v>5</v>
      </c>
      <c r="D3353" s="379">
        <v>44.980555555555554</v>
      </c>
      <c r="E3353" s="25">
        <v>24.84</v>
      </c>
      <c r="F3353" s="379">
        <v>4.701979835842625</v>
      </c>
      <c r="G3353" s="25">
        <v>42.29</v>
      </c>
      <c r="H3353" s="379">
        <v>3.236487568164971</v>
      </c>
      <c r="I3353" s="25">
        <v>46.84</v>
      </c>
      <c r="J3353" s="379">
        <v>1.4994378273839373</v>
      </c>
    </row>
    <row r="3354" spans="1:10" x14ac:dyDescent="0.35">
      <c r="A3354" s="5">
        <v>3350</v>
      </c>
      <c r="B3354" s="5">
        <v>140</v>
      </c>
      <c r="C3354" s="5">
        <v>5</v>
      </c>
      <c r="D3354" s="379">
        <v>43.145555555555561</v>
      </c>
      <c r="E3354" s="25">
        <v>24.84</v>
      </c>
      <c r="F3354" s="379">
        <v>4.40217640134333</v>
      </c>
      <c r="G3354" s="25">
        <v>40.340000000000003</v>
      </c>
      <c r="H3354" s="379">
        <v>3.236487568164971</v>
      </c>
      <c r="I3354" s="25">
        <v>46.84</v>
      </c>
      <c r="J3354" s="379">
        <v>1.4994378273839373</v>
      </c>
    </row>
    <row r="3355" spans="1:10" x14ac:dyDescent="0.35">
      <c r="A3355" s="5">
        <v>3351</v>
      </c>
      <c r="B3355" s="5">
        <v>140</v>
      </c>
      <c r="C3355" s="5">
        <v>5</v>
      </c>
      <c r="D3355" s="379">
        <v>43.796666666666667</v>
      </c>
      <c r="E3355" s="25">
        <v>24.84</v>
      </c>
      <c r="F3355" s="379">
        <v>4.40217640134333</v>
      </c>
      <c r="G3355" s="25">
        <v>40.340000000000003</v>
      </c>
      <c r="H3355" s="379">
        <v>3.6629668929095152</v>
      </c>
      <c r="I3355" s="25">
        <v>44</v>
      </c>
      <c r="J3355" s="379">
        <v>1.4994378273839373</v>
      </c>
    </row>
    <row r="3356" spans="1:10" x14ac:dyDescent="0.35">
      <c r="A3356" s="5">
        <v>3352</v>
      </c>
      <c r="B3356" s="5">
        <v>140</v>
      </c>
      <c r="C3356" s="5">
        <v>5</v>
      </c>
      <c r="D3356" s="379">
        <v>45.114999999999995</v>
      </c>
      <c r="E3356" s="25">
        <v>24.84</v>
      </c>
      <c r="F3356" s="379">
        <v>4.701979835842625</v>
      </c>
      <c r="G3356" s="25">
        <v>42.29</v>
      </c>
      <c r="H3356" s="379">
        <v>3.7367565543623016</v>
      </c>
      <c r="I3356" s="25">
        <v>45.65</v>
      </c>
      <c r="J3356" s="379">
        <v>1.5404220542866622</v>
      </c>
    </row>
    <row r="3357" spans="1:10" x14ac:dyDescent="0.35">
      <c r="A3357" s="5">
        <v>3353</v>
      </c>
      <c r="B3357" s="5">
        <v>140</v>
      </c>
      <c r="C3357" s="5">
        <v>5</v>
      </c>
      <c r="D3357" s="379">
        <v>46.37</v>
      </c>
      <c r="E3357" s="25">
        <v>24.99</v>
      </c>
      <c r="F3357" s="379">
        <v>4.9340707791634753</v>
      </c>
      <c r="G3357" s="25">
        <v>43.56</v>
      </c>
      <c r="H3357" s="379">
        <v>3.8555433912236472</v>
      </c>
      <c r="I3357" s="25">
        <v>46.84</v>
      </c>
      <c r="J3357" s="379">
        <v>1.5404220542866622</v>
      </c>
    </row>
    <row r="3358" spans="1:10" x14ac:dyDescent="0.35">
      <c r="A3358" s="5">
        <v>3354</v>
      </c>
      <c r="B3358" s="5">
        <v>140</v>
      </c>
      <c r="C3358" s="5">
        <v>5</v>
      </c>
      <c r="D3358" s="379">
        <v>48.970555555555556</v>
      </c>
      <c r="E3358" s="25">
        <v>24.99</v>
      </c>
      <c r="F3358" s="379">
        <v>6.6741391490057875</v>
      </c>
      <c r="G3358" s="25">
        <v>47.46</v>
      </c>
      <c r="H3358" s="379">
        <v>4.799693804694658</v>
      </c>
      <c r="I3358" s="25">
        <v>47.31</v>
      </c>
      <c r="J3358" s="379">
        <v>0.27777777777777779</v>
      </c>
    </row>
    <row r="3359" spans="1:10" x14ac:dyDescent="0.35">
      <c r="A3359" s="5">
        <v>3355</v>
      </c>
      <c r="B3359" s="5">
        <v>140</v>
      </c>
      <c r="C3359" s="5">
        <v>5</v>
      </c>
      <c r="D3359" s="379">
        <v>49.498333333333335</v>
      </c>
      <c r="E3359" s="25">
        <v>25.74</v>
      </c>
      <c r="F3359" s="379">
        <v>8.5109432491587249</v>
      </c>
      <c r="G3359" s="25">
        <v>47.46</v>
      </c>
      <c r="H3359" s="379">
        <v>7.6965794182319041</v>
      </c>
      <c r="I3359" s="25">
        <v>53.71</v>
      </c>
      <c r="J3359" s="379">
        <v>6.0360234945616531</v>
      </c>
    </row>
    <row r="3360" spans="1:10" x14ac:dyDescent="0.35">
      <c r="A3360" s="5">
        <v>3356</v>
      </c>
      <c r="B3360" s="5">
        <v>140</v>
      </c>
      <c r="C3360" s="5">
        <v>5</v>
      </c>
      <c r="D3360" s="379">
        <v>49.534999999999997</v>
      </c>
      <c r="E3360" s="25">
        <v>25.74</v>
      </c>
      <c r="F3360" s="379">
        <v>8.4870169539454423</v>
      </c>
      <c r="G3360" s="25">
        <v>47.85</v>
      </c>
      <c r="H3360" s="379">
        <v>10.298890613422738</v>
      </c>
      <c r="I3360" s="25">
        <v>62.67</v>
      </c>
      <c r="J3360" s="379">
        <v>5.8269237149376076</v>
      </c>
    </row>
    <row r="3361" spans="1:10" x14ac:dyDescent="0.35">
      <c r="A3361" s="5">
        <v>3357</v>
      </c>
      <c r="B3361" s="5">
        <v>140</v>
      </c>
      <c r="C3361" s="5">
        <v>5</v>
      </c>
      <c r="D3361" s="379">
        <v>46.877222222222223</v>
      </c>
      <c r="E3361" s="25">
        <v>25.74</v>
      </c>
      <c r="F3361" s="379">
        <v>8.4626487713577934</v>
      </c>
      <c r="G3361" s="25">
        <v>47.85</v>
      </c>
      <c r="H3361" s="379">
        <v>10.480405505844098</v>
      </c>
      <c r="I3361" s="25">
        <v>68.05</v>
      </c>
      <c r="J3361" s="379">
        <v>6.1294550818090876</v>
      </c>
    </row>
    <row r="3362" spans="1:10" x14ac:dyDescent="0.35">
      <c r="A3362" s="5">
        <v>3358</v>
      </c>
      <c r="B3362" s="5">
        <v>140</v>
      </c>
      <c r="C3362" s="5">
        <v>5</v>
      </c>
      <c r="D3362" s="379">
        <v>44.357777777777777</v>
      </c>
      <c r="E3362" s="25">
        <v>25.74</v>
      </c>
      <c r="F3362" s="379">
        <v>8.4458434758430219</v>
      </c>
      <c r="G3362" s="25">
        <v>47.85</v>
      </c>
      <c r="H3362" s="379">
        <v>10.317403345586587</v>
      </c>
      <c r="I3362" s="25">
        <v>68.05</v>
      </c>
      <c r="J3362" s="379">
        <v>4.053366729797979</v>
      </c>
    </row>
    <row r="3363" spans="1:10" x14ac:dyDescent="0.35">
      <c r="A3363" s="5">
        <v>3359</v>
      </c>
      <c r="B3363" s="5">
        <v>140</v>
      </c>
      <c r="C3363" s="5">
        <v>5</v>
      </c>
      <c r="D3363" s="379">
        <v>40.145555555555561</v>
      </c>
      <c r="E3363" s="25">
        <v>25.59</v>
      </c>
      <c r="F3363" s="379">
        <v>8.4306250565022225</v>
      </c>
      <c r="G3363" s="25">
        <v>47.85</v>
      </c>
      <c r="H3363" s="379">
        <v>10.36120757931293</v>
      </c>
      <c r="I3363" s="25">
        <v>62.67</v>
      </c>
      <c r="J3363" s="379">
        <v>0.27777777777777779</v>
      </c>
    </row>
    <row r="3364" spans="1:10" x14ac:dyDescent="0.35">
      <c r="A3364" s="5">
        <v>3360</v>
      </c>
      <c r="B3364" s="5">
        <v>140</v>
      </c>
      <c r="C3364" s="5">
        <v>5</v>
      </c>
      <c r="D3364" s="379">
        <v>35.550555555555555</v>
      </c>
      <c r="E3364" s="25">
        <v>24.99</v>
      </c>
      <c r="F3364" s="379">
        <v>8.4735633856430645</v>
      </c>
      <c r="G3364" s="25">
        <v>47.85</v>
      </c>
      <c r="H3364" s="379">
        <v>8.2971800002741247</v>
      </c>
      <c r="I3364" s="25">
        <v>62.04</v>
      </c>
      <c r="J3364" s="379">
        <v>5.0797612339373526</v>
      </c>
    </row>
    <row r="3365" spans="1:10" x14ac:dyDescent="0.35">
      <c r="A3365" s="5">
        <v>3361</v>
      </c>
      <c r="B3365" s="5">
        <v>141</v>
      </c>
      <c r="C3365" s="5">
        <v>5</v>
      </c>
      <c r="D3365" s="379">
        <v>32.862222222222222</v>
      </c>
      <c r="E3365" s="25">
        <v>24.84</v>
      </c>
      <c r="F3365" s="379">
        <v>8.4490656882794326</v>
      </c>
      <c r="G3365" s="25">
        <v>44.86</v>
      </c>
      <c r="H3365" s="379">
        <v>10.238753084220514</v>
      </c>
      <c r="I3365" s="25">
        <v>53.71</v>
      </c>
      <c r="J3365" s="379">
        <v>5.7715994338088796</v>
      </c>
    </row>
    <row r="3366" spans="1:10" x14ac:dyDescent="0.35">
      <c r="A3366" s="5">
        <v>3362</v>
      </c>
      <c r="B3366" s="5">
        <v>141</v>
      </c>
      <c r="C3366" s="5">
        <v>5</v>
      </c>
      <c r="D3366" s="379">
        <v>26.293888888888883</v>
      </c>
      <c r="E3366" s="25">
        <v>24.84</v>
      </c>
      <c r="F3366" s="379">
        <v>8.4281271420293358</v>
      </c>
      <c r="G3366" s="25">
        <v>43.56</v>
      </c>
      <c r="H3366" s="379">
        <v>10.215290018256839</v>
      </c>
      <c r="I3366" s="25">
        <v>53.27</v>
      </c>
      <c r="J3366" s="379">
        <v>6.092947861957775</v>
      </c>
    </row>
    <row r="3367" spans="1:10" x14ac:dyDescent="0.35">
      <c r="A3367" s="5">
        <v>3363</v>
      </c>
      <c r="B3367" s="5">
        <v>141</v>
      </c>
      <c r="C3367" s="5">
        <v>5</v>
      </c>
      <c r="D3367" s="379">
        <v>25.068888888888889</v>
      </c>
      <c r="E3367" s="25">
        <v>24.84</v>
      </c>
      <c r="F3367" s="379">
        <v>8.4548108981456416</v>
      </c>
      <c r="G3367" s="25">
        <v>43.56</v>
      </c>
      <c r="H3367" s="379">
        <v>10.392974981951982</v>
      </c>
      <c r="I3367" s="25">
        <v>53.27</v>
      </c>
      <c r="J3367" s="379">
        <v>5.7509606767367325</v>
      </c>
    </row>
    <row r="3368" spans="1:10" x14ac:dyDescent="0.35">
      <c r="A3368" s="5">
        <v>3364</v>
      </c>
      <c r="B3368" s="5">
        <v>141</v>
      </c>
      <c r="C3368" s="5">
        <v>5</v>
      </c>
      <c r="D3368" s="379">
        <v>25.381666666666664</v>
      </c>
      <c r="E3368" s="25">
        <v>24.84</v>
      </c>
      <c r="F3368" s="379">
        <v>8.4559824781577611</v>
      </c>
      <c r="G3368" s="25">
        <v>43.56</v>
      </c>
      <c r="H3368" s="379">
        <v>10.258403419133657</v>
      </c>
      <c r="I3368" s="25">
        <v>53.71</v>
      </c>
      <c r="J3368" s="379">
        <v>5.900206096369712</v>
      </c>
    </row>
    <row r="3369" spans="1:10" x14ac:dyDescent="0.35">
      <c r="A3369" s="5">
        <v>3365</v>
      </c>
      <c r="B3369" s="5">
        <v>141</v>
      </c>
      <c r="C3369" s="5">
        <v>5</v>
      </c>
      <c r="D3369" s="379">
        <v>24.696666666666665</v>
      </c>
      <c r="E3369" s="25">
        <v>24.84</v>
      </c>
      <c r="F3369" s="379">
        <v>8.4858921827901579</v>
      </c>
      <c r="G3369" s="25">
        <v>46.51</v>
      </c>
      <c r="H3369" s="379">
        <v>10.170234256283848</v>
      </c>
      <c r="I3369" s="25">
        <v>53.71</v>
      </c>
      <c r="J3369" s="379">
        <v>3.7846228704489771</v>
      </c>
    </row>
    <row r="3370" spans="1:10" x14ac:dyDescent="0.35">
      <c r="A3370" s="5">
        <v>3366</v>
      </c>
      <c r="B3370" s="5">
        <v>141</v>
      </c>
      <c r="C3370" s="5">
        <v>5</v>
      </c>
      <c r="D3370" s="379">
        <v>29.746111111111112</v>
      </c>
      <c r="E3370" s="25">
        <v>25.59</v>
      </c>
      <c r="F3370" s="379">
        <v>8.4091090322460147</v>
      </c>
      <c r="G3370" s="25">
        <v>47.85</v>
      </c>
      <c r="H3370" s="379">
        <v>9.7290421489805379</v>
      </c>
      <c r="I3370" s="25">
        <v>62.67</v>
      </c>
      <c r="J3370" s="379">
        <v>4.2813022646793559</v>
      </c>
    </row>
    <row r="3371" spans="1:10" x14ac:dyDescent="0.35">
      <c r="A3371" s="5">
        <v>3367</v>
      </c>
      <c r="B3371" s="5">
        <v>141</v>
      </c>
      <c r="C3371" s="5">
        <v>5</v>
      </c>
      <c r="D3371" s="379">
        <v>32.608333333333334</v>
      </c>
      <c r="E3371" s="25">
        <v>25.74</v>
      </c>
      <c r="F3371" s="379">
        <v>8.3379387395981457</v>
      </c>
      <c r="G3371" s="25">
        <v>47.85</v>
      </c>
      <c r="H3371" s="379">
        <v>9.7551138821150012</v>
      </c>
      <c r="I3371" s="25">
        <v>64.14</v>
      </c>
      <c r="J3371" s="379">
        <v>4.0532764520202003</v>
      </c>
    </row>
    <row r="3372" spans="1:10" x14ac:dyDescent="0.35">
      <c r="A3372" s="5">
        <v>3368</v>
      </c>
      <c r="B3372" s="5">
        <v>141</v>
      </c>
      <c r="C3372" s="5">
        <v>5</v>
      </c>
      <c r="D3372" s="379">
        <v>32.136111111111113</v>
      </c>
      <c r="E3372" s="25">
        <v>25.74</v>
      </c>
      <c r="F3372" s="379">
        <v>8.1174834595959595</v>
      </c>
      <c r="G3372" s="25">
        <v>47.85</v>
      </c>
      <c r="H3372" s="379">
        <v>8.1135137818884111</v>
      </c>
      <c r="I3372" s="25">
        <v>66.06</v>
      </c>
      <c r="J3372" s="379">
        <v>4.0532764520202003</v>
      </c>
    </row>
    <row r="3373" spans="1:10" x14ac:dyDescent="0.35">
      <c r="A3373" s="5">
        <v>3369</v>
      </c>
      <c r="B3373" s="5">
        <v>141</v>
      </c>
      <c r="C3373" s="5">
        <v>5</v>
      </c>
      <c r="D3373" s="379">
        <v>32.827777777777776</v>
      </c>
      <c r="E3373" s="25">
        <v>25.74</v>
      </c>
      <c r="F3373" s="379">
        <v>5.9818998153686804</v>
      </c>
      <c r="G3373" s="25">
        <v>47.85</v>
      </c>
      <c r="H3373" s="379">
        <v>6.5305612314385275</v>
      </c>
      <c r="I3373" s="25">
        <v>62.67</v>
      </c>
      <c r="J3373" s="379">
        <v>2.8209219867937185</v>
      </c>
    </row>
    <row r="3374" spans="1:10" x14ac:dyDescent="0.35">
      <c r="A3374" s="5">
        <v>3370</v>
      </c>
      <c r="B3374" s="5">
        <v>141</v>
      </c>
      <c r="C3374" s="5">
        <v>5</v>
      </c>
      <c r="D3374" s="379">
        <v>34.881666666666668</v>
      </c>
      <c r="E3374" s="25">
        <v>25.59</v>
      </c>
      <c r="F3374" s="379">
        <v>0.47222222222222221</v>
      </c>
      <c r="G3374" s="25">
        <v>47.85</v>
      </c>
      <c r="H3374" s="379">
        <v>2.7573633021859654</v>
      </c>
      <c r="I3374" s="25">
        <v>53.71</v>
      </c>
      <c r="J3374" s="379">
        <v>0.45140398723709385</v>
      </c>
    </row>
    <row r="3375" spans="1:10" x14ac:dyDescent="0.35">
      <c r="A3375" s="5">
        <v>3371</v>
      </c>
      <c r="B3375" s="5">
        <v>141</v>
      </c>
      <c r="C3375" s="5">
        <v>5</v>
      </c>
      <c r="D3375" s="379">
        <v>29.406666666666663</v>
      </c>
      <c r="E3375" s="25">
        <v>25.59</v>
      </c>
      <c r="F3375" s="379">
        <v>3.3574767453524039</v>
      </c>
      <c r="G3375" s="25">
        <v>46.98</v>
      </c>
      <c r="H3375" s="379">
        <v>2.8833542842869275</v>
      </c>
      <c r="I3375" s="25">
        <v>48.86</v>
      </c>
      <c r="J3375" s="379">
        <v>0.3737758648599071</v>
      </c>
    </row>
    <row r="3376" spans="1:10" x14ac:dyDescent="0.35">
      <c r="A3376" s="5">
        <v>3372</v>
      </c>
      <c r="B3376" s="5">
        <v>141</v>
      </c>
      <c r="C3376" s="5">
        <v>5</v>
      </c>
      <c r="D3376" s="379">
        <v>25.476111111111113</v>
      </c>
      <c r="E3376" s="25">
        <v>24.99</v>
      </c>
      <c r="F3376" s="379">
        <v>5.3837097714493884</v>
      </c>
      <c r="G3376" s="25">
        <v>46.98</v>
      </c>
      <c r="H3376" s="379">
        <v>2.0898934774720637</v>
      </c>
      <c r="I3376" s="25">
        <v>48.86</v>
      </c>
      <c r="J3376" s="379">
        <v>0.48996202321828086</v>
      </c>
    </row>
    <row r="3377" spans="1:10" x14ac:dyDescent="0.35">
      <c r="A3377" s="5">
        <v>3373</v>
      </c>
      <c r="B3377" s="5">
        <v>141</v>
      </c>
      <c r="C3377" s="5">
        <v>5</v>
      </c>
      <c r="D3377" s="379">
        <v>21.359444444444446</v>
      </c>
      <c r="E3377" s="25">
        <v>24.84</v>
      </c>
      <c r="F3377" s="379">
        <v>5.3502084578459455</v>
      </c>
      <c r="G3377" s="25">
        <v>46.98</v>
      </c>
      <c r="H3377" s="379">
        <v>1.2915210210099746</v>
      </c>
      <c r="I3377" s="25">
        <v>48.86</v>
      </c>
      <c r="J3377" s="379">
        <v>0.59002011619914718</v>
      </c>
    </row>
    <row r="3378" spans="1:10" x14ac:dyDescent="0.35">
      <c r="A3378" s="5">
        <v>3374</v>
      </c>
      <c r="B3378" s="5">
        <v>141</v>
      </c>
      <c r="C3378" s="5">
        <v>5</v>
      </c>
      <c r="D3378" s="379">
        <v>21.608333333333331</v>
      </c>
      <c r="E3378" s="25">
        <v>24.84</v>
      </c>
      <c r="F3378" s="379">
        <v>4.9878763556967005</v>
      </c>
      <c r="G3378" s="25">
        <v>44.86</v>
      </c>
      <c r="H3378" s="379">
        <v>1.5569338314998113</v>
      </c>
      <c r="I3378" s="25">
        <v>45.28</v>
      </c>
      <c r="J3378" s="379">
        <v>1.94533224046164</v>
      </c>
    </row>
    <row r="3379" spans="1:10" x14ac:dyDescent="0.35">
      <c r="A3379" s="5">
        <v>3375</v>
      </c>
      <c r="B3379" s="5">
        <v>141</v>
      </c>
      <c r="C3379" s="5">
        <v>5</v>
      </c>
      <c r="D3379" s="379">
        <v>19.07833333333333</v>
      </c>
      <c r="E3379" s="25">
        <v>24.84</v>
      </c>
      <c r="F3379" s="379">
        <v>4.9866045240986567</v>
      </c>
      <c r="G3379" s="25">
        <v>44.86</v>
      </c>
      <c r="H3379" s="379">
        <v>2.6975597796143052</v>
      </c>
      <c r="I3379" s="25">
        <v>45.28</v>
      </c>
      <c r="J3379" s="379">
        <v>3.4747937724135496</v>
      </c>
    </row>
    <row r="3380" spans="1:10" x14ac:dyDescent="0.35">
      <c r="A3380" s="5">
        <v>3376</v>
      </c>
      <c r="B3380" s="5">
        <v>141</v>
      </c>
      <c r="C3380" s="5">
        <v>5</v>
      </c>
      <c r="D3380" s="379">
        <v>23.985555555555553</v>
      </c>
      <c r="E3380" s="25">
        <v>24.84</v>
      </c>
      <c r="F3380" s="379">
        <v>4.9866045240986567</v>
      </c>
      <c r="G3380" s="25">
        <v>44.86</v>
      </c>
      <c r="H3380" s="379">
        <v>2.4578044344027172</v>
      </c>
      <c r="I3380" s="25">
        <v>48.86</v>
      </c>
      <c r="J3380" s="379">
        <v>2.8318069479464119</v>
      </c>
    </row>
    <row r="3381" spans="1:10" x14ac:dyDescent="0.35">
      <c r="A3381" s="5">
        <v>3377</v>
      </c>
      <c r="B3381" s="5">
        <v>141</v>
      </c>
      <c r="C3381" s="5">
        <v>5</v>
      </c>
      <c r="D3381" s="379">
        <v>32.163333333333334</v>
      </c>
      <c r="E3381" s="25">
        <v>24.99</v>
      </c>
      <c r="F3381" s="379">
        <v>1.4469563129714997</v>
      </c>
      <c r="G3381" s="25">
        <v>45.31</v>
      </c>
      <c r="H3381" s="379">
        <v>2.3851498252791759</v>
      </c>
      <c r="I3381" s="25">
        <v>48.86</v>
      </c>
      <c r="J3381" s="379">
        <v>2.7426995542448078</v>
      </c>
    </row>
    <row r="3382" spans="1:10" x14ac:dyDescent="0.35">
      <c r="A3382" s="5">
        <v>3378</v>
      </c>
      <c r="B3382" s="5">
        <v>141</v>
      </c>
      <c r="C3382" s="5">
        <v>5</v>
      </c>
      <c r="D3382" s="379">
        <v>39.702777777777776</v>
      </c>
      <c r="E3382" s="25">
        <v>24.99</v>
      </c>
      <c r="F3382" s="379">
        <v>8.1174834595959613</v>
      </c>
      <c r="G3382" s="25">
        <v>46.98</v>
      </c>
      <c r="H3382" s="379">
        <v>7.5111372995233205</v>
      </c>
      <c r="I3382" s="25">
        <v>48.86</v>
      </c>
      <c r="J3382" s="379">
        <v>6.1281229676637441</v>
      </c>
    </row>
    <row r="3383" spans="1:10" x14ac:dyDescent="0.35">
      <c r="A3383" s="5">
        <v>3379</v>
      </c>
      <c r="B3383" s="5">
        <v>141</v>
      </c>
      <c r="C3383" s="5">
        <v>5</v>
      </c>
      <c r="D3383" s="379">
        <v>44.38333333333334</v>
      </c>
      <c r="E3383" s="25">
        <v>24.99</v>
      </c>
      <c r="F3383" s="379">
        <v>12.381335137935183</v>
      </c>
      <c r="G3383" s="25">
        <v>47.46</v>
      </c>
      <c r="H3383" s="379">
        <v>8.7425888633095177</v>
      </c>
      <c r="I3383" s="25">
        <v>48.86</v>
      </c>
      <c r="J3383" s="379">
        <v>6.7516532931177791</v>
      </c>
    </row>
    <row r="3384" spans="1:10" x14ac:dyDescent="0.35">
      <c r="A3384" s="5">
        <v>3380</v>
      </c>
      <c r="B3384" s="5">
        <v>141</v>
      </c>
      <c r="C3384" s="5">
        <v>5</v>
      </c>
      <c r="D3384" s="379">
        <v>46.611666666666665</v>
      </c>
      <c r="E3384" s="25">
        <v>24.99</v>
      </c>
      <c r="F3384" s="379">
        <v>17.00011615727939</v>
      </c>
      <c r="G3384" s="25">
        <v>47.46</v>
      </c>
      <c r="H3384" s="379">
        <v>8.8066247938749562</v>
      </c>
      <c r="I3384" s="25">
        <v>49.36</v>
      </c>
      <c r="J3384" s="379">
        <v>6.7300272070928662</v>
      </c>
    </row>
    <row r="3385" spans="1:10" x14ac:dyDescent="0.35">
      <c r="A3385" s="5">
        <v>3381</v>
      </c>
      <c r="B3385" s="5">
        <v>141</v>
      </c>
      <c r="C3385" s="5">
        <v>5</v>
      </c>
      <c r="D3385" s="379">
        <v>48.474444444444444</v>
      </c>
      <c r="E3385" s="25">
        <v>24.99</v>
      </c>
      <c r="F3385" s="379">
        <v>16.279789657699894</v>
      </c>
      <c r="G3385" s="25">
        <v>47.46</v>
      </c>
      <c r="H3385" s="379">
        <v>9.4643084473304402</v>
      </c>
      <c r="I3385" s="25">
        <v>51.76</v>
      </c>
      <c r="J3385" s="379">
        <v>6.3724312359900015</v>
      </c>
    </row>
    <row r="3386" spans="1:10" x14ac:dyDescent="0.35">
      <c r="A3386" s="5">
        <v>3382</v>
      </c>
      <c r="B3386" s="5">
        <v>141</v>
      </c>
      <c r="C3386" s="5">
        <v>5</v>
      </c>
      <c r="D3386" s="379">
        <v>46.221666666666664</v>
      </c>
      <c r="E3386" s="25">
        <v>25.59</v>
      </c>
      <c r="F3386" s="379">
        <v>17.44043145140683</v>
      </c>
      <c r="G3386" s="25">
        <v>46.98</v>
      </c>
      <c r="H3386" s="379">
        <v>8.9155193021222772</v>
      </c>
      <c r="I3386" s="25">
        <v>53.27</v>
      </c>
      <c r="J3386" s="379">
        <v>6.760212624636754</v>
      </c>
    </row>
    <row r="3387" spans="1:10" x14ac:dyDescent="0.35">
      <c r="A3387" s="5">
        <v>3383</v>
      </c>
      <c r="B3387" s="5">
        <v>141</v>
      </c>
      <c r="C3387" s="5">
        <v>5</v>
      </c>
      <c r="D3387" s="379">
        <v>46.467777777777783</v>
      </c>
      <c r="E3387" s="25">
        <v>24.84</v>
      </c>
      <c r="F3387" s="379">
        <v>16.453746598083391</v>
      </c>
      <c r="G3387" s="25">
        <v>46.98</v>
      </c>
      <c r="H3387" s="379">
        <v>7.9371447522959251</v>
      </c>
      <c r="I3387" s="25">
        <v>51.02</v>
      </c>
      <c r="J3387" s="379">
        <v>4.7096744921114722</v>
      </c>
    </row>
    <row r="3388" spans="1:10" x14ac:dyDescent="0.35">
      <c r="A3388" s="5">
        <v>3384</v>
      </c>
      <c r="B3388" s="5">
        <v>141</v>
      </c>
      <c r="C3388" s="5">
        <v>5</v>
      </c>
      <c r="D3388" s="379">
        <v>43.056666666666665</v>
      </c>
      <c r="E3388" s="25">
        <v>24.84</v>
      </c>
      <c r="F3388" s="379">
        <v>15.41964718276094</v>
      </c>
      <c r="G3388" s="25">
        <v>44.86</v>
      </c>
      <c r="H3388" s="379">
        <v>7.1711970318194798</v>
      </c>
      <c r="I3388" s="25">
        <v>48.86</v>
      </c>
      <c r="J3388" s="379">
        <v>4.3234619825498024</v>
      </c>
    </row>
    <row r="3389" spans="1:10" x14ac:dyDescent="0.35">
      <c r="A3389" s="5">
        <v>3385</v>
      </c>
      <c r="B3389" s="5">
        <v>142</v>
      </c>
      <c r="C3389" s="5">
        <v>5</v>
      </c>
      <c r="D3389" s="379">
        <v>42.929444444444442</v>
      </c>
      <c r="E3389" s="25">
        <v>24.84</v>
      </c>
      <c r="F3389" s="379">
        <v>13.829646502395081</v>
      </c>
      <c r="G3389" s="25">
        <v>35.94</v>
      </c>
      <c r="H3389" s="379">
        <v>8.9250378153071033</v>
      </c>
      <c r="I3389" s="25">
        <v>37.57</v>
      </c>
      <c r="J3389" s="379">
        <v>3.591801584790165</v>
      </c>
    </row>
    <row r="3390" spans="1:10" x14ac:dyDescent="0.35">
      <c r="A3390" s="5">
        <v>3386</v>
      </c>
      <c r="B3390" s="5">
        <v>142</v>
      </c>
      <c r="C3390" s="5">
        <v>5</v>
      </c>
      <c r="D3390" s="379">
        <v>41.388888888888886</v>
      </c>
      <c r="E3390" s="25">
        <v>24.84</v>
      </c>
      <c r="F3390" s="379">
        <v>13.829646502395081</v>
      </c>
      <c r="G3390" s="25">
        <v>35.94</v>
      </c>
      <c r="H3390" s="379">
        <v>9.3209211663762197</v>
      </c>
      <c r="I3390" s="25">
        <v>35.72</v>
      </c>
      <c r="J3390" s="379">
        <v>3.7818003795605555</v>
      </c>
    </row>
    <row r="3391" spans="1:10" x14ac:dyDescent="0.35">
      <c r="A3391" s="5">
        <v>3387</v>
      </c>
      <c r="B3391" s="5">
        <v>142</v>
      </c>
      <c r="C3391" s="5">
        <v>5</v>
      </c>
      <c r="D3391" s="379">
        <v>39.481111111111112</v>
      </c>
      <c r="E3391" s="25">
        <v>24.84</v>
      </c>
      <c r="F3391" s="379">
        <v>14.578080443321852</v>
      </c>
      <c r="G3391" s="25">
        <v>35.94</v>
      </c>
      <c r="H3391" s="379">
        <v>9.1131096085358099</v>
      </c>
      <c r="I3391" s="25">
        <v>35.72</v>
      </c>
      <c r="J3391" s="379">
        <v>4.2846622688289777</v>
      </c>
    </row>
    <row r="3392" spans="1:10" x14ac:dyDescent="0.35">
      <c r="A3392" s="5">
        <v>3388</v>
      </c>
      <c r="B3392" s="5">
        <v>142</v>
      </c>
      <c r="C3392" s="5">
        <v>5</v>
      </c>
      <c r="D3392" s="379">
        <v>39.407222222222217</v>
      </c>
      <c r="E3392" s="25">
        <v>24.84</v>
      </c>
      <c r="F3392" s="379">
        <v>14.497543088728692</v>
      </c>
      <c r="G3392" s="25">
        <v>35.94</v>
      </c>
      <c r="H3392" s="379">
        <v>7.7758515216574686</v>
      </c>
      <c r="I3392" s="25">
        <v>35.72</v>
      </c>
      <c r="J3392" s="379">
        <v>2.8751319279377414</v>
      </c>
    </row>
    <row r="3393" spans="1:10" x14ac:dyDescent="0.35">
      <c r="A3393" s="5">
        <v>3389</v>
      </c>
      <c r="B3393" s="5">
        <v>142</v>
      </c>
      <c r="C3393" s="5">
        <v>5</v>
      </c>
      <c r="D3393" s="379">
        <v>40.934999999999995</v>
      </c>
      <c r="E3393" s="25">
        <v>24.84</v>
      </c>
      <c r="F3393" s="379">
        <v>11.999069313857758</v>
      </c>
      <c r="G3393" s="25">
        <v>35.94</v>
      </c>
      <c r="H3393" s="379">
        <v>9.1651613235031704</v>
      </c>
      <c r="I3393" s="25">
        <v>35.72</v>
      </c>
      <c r="J3393" s="379">
        <v>4.8111686150134938</v>
      </c>
    </row>
    <row r="3394" spans="1:10" x14ac:dyDescent="0.35">
      <c r="A3394" s="5">
        <v>3390</v>
      </c>
      <c r="B3394" s="5">
        <v>142</v>
      </c>
      <c r="C3394" s="5">
        <v>5</v>
      </c>
      <c r="D3394" s="379">
        <v>41.096666666666671</v>
      </c>
      <c r="E3394" s="25">
        <v>24.84</v>
      </c>
      <c r="F3394" s="379">
        <v>12.730235253268727</v>
      </c>
      <c r="G3394" s="25">
        <v>35.94</v>
      </c>
      <c r="H3394" s="379">
        <v>9.2641297515136678</v>
      </c>
      <c r="I3394" s="25">
        <v>35.72</v>
      </c>
      <c r="J3394" s="379">
        <v>6.8296591567552092</v>
      </c>
    </row>
    <row r="3395" spans="1:10" x14ac:dyDescent="0.35">
      <c r="A3395" s="5">
        <v>3391</v>
      </c>
      <c r="B3395" s="5">
        <v>142</v>
      </c>
      <c r="C3395" s="5">
        <v>5</v>
      </c>
      <c r="D3395" s="379">
        <v>41.909444444444439</v>
      </c>
      <c r="E3395" s="25">
        <v>24.84</v>
      </c>
      <c r="F3395" s="379">
        <v>15.564863218388165</v>
      </c>
      <c r="G3395" s="25">
        <v>42.29</v>
      </c>
      <c r="H3395" s="379">
        <v>9.8463915380783877</v>
      </c>
      <c r="I3395" s="25">
        <v>42.03</v>
      </c>
      <c r="J3395" s="379">
        <v>7.1222514328902591</v>
      </c>
    </row>
    <row r="3396" spans="1:10" x14ac:dyDescent="0.35">
      <c r="A3396" s="5">
        <v>3392</v>
      </c>
      <c r="B3396" s="5">
        <v>142</v>
      </c>
      <c r="C3396" s="5">
        <v>5</v>
      </c>
      <c r="D3396" s="379">
        <v>40.029444444444444</v>
      </c>
      <c r="E3396" s="25">
        <v>24.84</v>
      </c>
      <c r="F3396" s="379">
        <v>11.962390149505014</v>
      </c>
      <c r="G3396" s="25">
        <v>42.29</v>
      </c>
      <c r="H3396" s="379">
        <v>8.5747353346845845</v>
      </c>
      <c r="I3396" s="25">
        <v>42.03</v>
      </c>
      <c r="J3396" s="379">
        <v>7.07475724317454</v>
      </c>
    </row>
    <row r="3397" spans="1:10" x14ac:dyDescent="0.35">
      <c r="A3397" s="5">
        <v>3393</v>
      </c>
      <c r="B3397" s="5">
        <v>142</v>
      </c>
      <c r="C3397" s="5">
        <v>5</v>
      </c>
      <c r="D3397" s="379">
        <v>38.635000000000005</v>
      </c>
      <c r="E3397" s="25">
        <v>24.84</v>
      </c>
      <c r="F3397" s="379">
        <v>8.1174834595959613</v>
      </c>
      <c r="G3397" s="25">
        <v>42.29</v>
      </c>
      <c r="H3397" s="379">
        <v>7.7351715578123699</v>
      </c>
      <c r="I3397" s="25">
        <v>36.08</v>
      </c>
      <c r="J3397" s="379">
        <v>6.1780687798672904</v>
      </c>
    </row>
    <row r="3398" spans="1:10" x14ac:dyDescent="0.35">
      <c r="A3398" s="5">
        <v>3394</v>
      </c>
      <c r="B3398" s="5">
        <v>142</v>
      </c>
      <c r="C3398" s="5">
        <v>5</v>
      </c>
      <c r="D3398" s="379">
        <v>36.647777777777776</v>
      </c>
      <c r="E3398" s="25">
        <v>24.84</v>
      </c>
      <c r="F3398" s="379">
        <v>5.3837097714493884</v>
      </c>
      <c r="G3398" s="25">
        <v>35.94</v>
      </c>
      <c r="H3398" s="379">
        <v>1.6421721764068982</v>
      </c>
      <c r="I3398" s="25">
        <v>35.409999999999997</v>
      </c>
      <c r="J3398" s="379">
        <v>0.59031006119463714</v>
      </c>
    </row>
    <row r="3399" spans="1:10" x14ac:dyDescent="0.35">
      <c r="A3399" s="5">
        <v>3395</v>
      </c>
      <c r="B3399" s="5">
        <v>142</v>
      </c>
      <c r="C3399" s="5">
        <v>5</v>
      </c>
      <c r="D3399" s="379">
        <v>36.727222222222217</v>
      </c>
      <c r="E3399" s="25">
        <v>24.84</v>
      </c>
      <c r="F3399" s="379">
        <v>5.1017781748723623</v>
      </c>
      <c r="G3399" s="25">
        <v>35.94</v>
      </c>
      <c r="H3399" s="379">
        <v>0.47222222222222221</v>
      </c>
      <c r="I3399" s="25">
        <v>34.89</v>
      </c>
      <c r="J3399" s="379">
        <v>4.1312523793436501E-2</v>
      </c>
    </row>
    <row r="3400" spans="1:10" x14ac:dyDescent="0.35">
      <c r="A3400" s="5">
        <v>3396</v>
      </c>
      <c r="B3400" s="5">
        <v>142</v>
      </c>
      <c r="C3400" s="5">
        <v>5</v>
      </c>
      <c r="D3400" s="379">
        <v>35.729444444444447</v>
      </c>
      <c r="E3400" s="25">
        <v>24.84</v>
      </c>
      <c r="F3400" s="379">
        <v>5.1017781748723623</v>
      </c>
      <c r="G3400" s="25">
        <v>35.94</v>
      </c>
      <c r="H3400" s="379">
        <v>0.47222222222222215</v>
      </c>
      <c r="I3400" s="25">
        <v>34.89</v>
      </c>
      <c r="J3400" s="379">
        <v>9.4440184140251099E-2</v>
      </c>
    </row>
    <row r="3401" spans="1:10" x14ac:dyDescent="0.35">
      <c r="A3401" s="5">
        <v>3397</v>
      </c>
      <c r="B3401" s="5">
        <v>142</v>
      </c>
      <c r="C3401" s="5">
        <v>5</v>
      </c>
      <c r="D3401" s="379">
        <v>31.560555555555556</v>
      </c>
      <c r="E3401" s="25">
        <v>23.84</v>
      </c>
      <c r="F3401" s="379">
        <v>4.3412321933631874</v>
      </c>
      <c r="G3401" s="25">
        <v>35.58</v>
      </c>
      <c r="H3401" s="379">
        <v>0.47222222222222221</v>
      </c>
      <c r="I3401" s="25">
        <v>34.89</v>
      </c>
      <c r="J3401" s="379">
        <v>2.777777777777778E-2</v>
      </c>
    </row>
    <row r="3402" spans="1:10" x14ac:dyDescent="0.35">
      <c r="A3402" s="5">
        <v>3398</v>
      </c>
      <c r="B3402" s="5">
        <v>142</v>
      </c>
      <c r="C3402" s="5">
        <v>5</v>
      </c>
      <c r="D3402" s="379">
        <v>30.098333333333333</v>
      </c>
      <c r="E3402" s="25">
        <v>23.84</v>
      </c>
      <c r="F3402" s="379">
        <v>4.3412321933631874</v>
      </c>
      <c r="G3402" s="25">
        <v>31.84</v>
      </c>
      <c r="H3402" s="379">
        <v>0.21415928762574954</v>
      </c>
      <c r="I3402" s="25">
        <v>34.89</v>
      </c>
      <c r="J3402" s="379">
        <v>2.777777777777778E-2</v>
      </c>
    </row>
    <row r="3403" spans="1:10" x14ac:dyDescent="0.35">
      <c r="A3403" s="5">
        <v>3399</v>
      </c>
      <c r="B3403" s="5">
        <v>142</v>
      </c>
      <c r="C3403" s="5">
        <v>5</v>
      </c>
      <c r="D3403" s="379">
        <v>32.485555555555557</v>
      </c>
      <c r="E3403" s="25">
        <v>23.84</v>
      </c>
      <c r="F3403" s="379">
        <v>0.47222222222222221</v>
      </c>
      <c r="G3403" s="25">
        <v>35.58</v>
      </c>
      <c r="H3403" s="379">
        <v>6.0134721208133318E-2</v>
      </c>
      <c r="I3403" s="25">
        <v>34.89</v>
      </c>
      <c r="J3403" s="379">
        <v>2.777777777777778E-2</v>
      </c>
    </row>
    <row r="3404" spans="1:10" x14ac:dyDescent="0.35">
      <c r="A3404" s="5">
        <v>3400</v>
      </c>
      <c r="B3404" s="5">
        <v>142</v>
      </c>
      <c r="C3404" s="5">
        <v>5</v>
      </c>
      <c r="D3404" s="379">
        <v>38.675555555555555</v>
      </c>
      <c r="E3404" s="25">
        <v>24</v>
      </c>
      <c r="F3404" s="379">
        <v>6.3954429474873775</v>
      </c>
      <c r="G3404" s="25">
        <v>35.58</v>
      </c>
      <c r="H3404" s="379">
        <v>0.47222222222222221</v>
      </c>
      <c r="I3404" s="25">
        <v>34.89</v>
      </c>
      <c r="J3404" s="379">
        <v>2.777777777777778E-2</v>
      </c>
    </row>
    <row r="3405" spans="1:10" x14ac:dyDescent="0.35">
      <c r="A3405" s="5">
        <v>3401</v>
      </c>
      <c r="B3405" s="5">
        <v>142</v>
      </c>
      <c r="C3405" s="5">
        <v>5</v>
      </c>
      <c r="D3405" s="379">
        <v>40.048888888888882</v>
      </c>
      <c r="E3405" s="25">
        <v>24.84</v>
      </c>
      <c r="F3405" s="379">
        <v>6.6544271103158357</v>
      </c>
      <c r="G3405" s="25">
        <v>35.94</v>
      </c>
      <c r="H3405" s="379">
        <v>3.7006095037917435</v>
      </c>
      <c r="I3405" s="25">
        <v>34.89</v>
      </c>
      <c r="J3405" s="379">
        <v>2.0728362146127219</v>
      </c>
    </row>
    <row r="3406" spans="1:10" x14ac:dyDescent="0.35">
      <c r="A3406" s="5">
        <v>3402</v>
      </c>
      <c r="B3406" s="5">
        <v>142</v>
      </c>
      <c r="C3406" s="5">
        <v>5</v>
      </c>
      <c r="D3406" s="379">
        <v>46.405555555555559</v>
      </c>
      <c r="E3406" s="25">
        <v>24.84</v>
      </c>
      <c r="F3406" s="379">
        <v>9.2875392513407693</v>
      </c>
      <c r="G3406" s="25">
        <v>42.29</v>
      </c>
      <c r="H3406" s="379">
        <v>5.0885738855611944</v>
      </c>
      <c r="I3406" s="25">
        <v>35.409999999999997</v>
      </c>
      <c r="J3406" s="379">
        <v>2.3983735978685963</v>
      </c>
    </row>
    <row r="3407" spans="1:10" x14ac:dyDescent="0.35">
      <c r="A3407" s="5">
        <v>3403</v>
      </c>
      <c r="B3407" s="5">
        <v>142</v>
      </c>
      <c r="C3407" s="5">
        <v>5</v>
      </c>
      <c r="D3407" s="379">
        <v>48.965555555555554</v>
      </c>
      <c r="E3407" s="25">
        <v>24.84</v>
      </c>
      <c r="F3407" s="379">
        <v>13.394070203419243</v>
      </c>
      <c r="G3407" s="25">
        <v>42.29</v>
      </c>
      <c r="H3407" s="379">
        <v>2.9628522759029705</v>
      </c>
      <c r="I3407" s="25">
        <v>37.85</v>
      </c>
      <c r="J3407" s="379">
        <v>5.8297732435470397</v>
      </c>
    </row>
    <row r="3408" spans="1:10" x14ac:dyDescent="0.35">
      <c r="A3408" s="5">
        <v>3404</v>
      </c>
      <c r="B3408" s="5">
        <v>142</v>
      </c>
      <c r="C3408" s="5">
        <v>5</v>
      </c>
      <c r="D3408" s="379">
        <v>50.533888888888889</v>
      </c>
      <c r="E3408" s="25">
        <v>24.84</v>
      </c>
      <c r="F3408" s="379">
        <v>14.169403859848773</v>
      </c>
      <c r="G3408" s="25">
        <v>42.29</v>
      </c>
      <c r="H3408" s="379">
        <v>3.8262918375467665</v>
      </c>
      <c r="I3408" s="25">
        <v>41.24</v>
      </c>
      <c r="J3408" s="379">
        <v>4.3017174007132706</v>
      </c>
    </row>
    <row r="3409" spans="1:10" x14ac:dyDescent="0.35">
      <c r="A3409" s="5">
        <v>3405</v>
      </c>
      <c r="B3409" s="5">
        <v>142</v>
      </c>
      <c r="C3409" s="5">
        <v>5</v>
      </c>
      <c r="D3409" s="379">
        <v>51.48833333333333</v>
      </c>
      <c r="E3409" s="25">
        <v>24.84</v>
      </c>
      <c r="F3409" s="379">
        <v>12.578081485193763</v>
      </c>
      <c r="G3409" s="25">
        <v>42.29</v>
      </c>
      <c r="H3409" s="379">
        <v>4.7305398230949365</v>
      </c>
      <c r="I3409" s="25">
        <v>41.24</v>
      </c>
      <c r="J3409" s="379">
        <v>3.4446544383328122</v>
      </c>
    </row>
    <row r="3410" spans="1:10" x14ac:dyDescent="0.35">
      <c r="A3410" s="5">
        <v>3406</v>
      </c>
      <c r="B3410" s="5">
        <v>142</v>
      </c>
      <c r="C3410" s="5">
        <v>5</v>
      </c>
      <c r="D3410" s="379">
        <v>49.624444444444435</v>
      </c>
      <c r="E3410" s="25">
        <v>24.84</v>
      </c>
      <c r="F3410" s="379">
        <v>14.521552536626668</v>
      </c>
      <c r="G3410" s="25">
        <v>42.29</v>
      </c>
      <c r="H3410" s="379">
        <v>7.6344048813308367</v>
      </c>
      <c r="I3410" s="25">
        <v>44.53</v>
      </c>
      <c r="J3410" s="379">
        <v>4.9885565588510561</v>
      </c>
    </row>
    <row r="3411" spans="1:10" x14ac:dyDescent="0.35">
      <c r="A3411" s="5">
        <v>3407</v>
      </c>
      <c r="B3411" s="5">
        <v>142</v>
      </c>
      <c r="C3411" s="5">
        <v>5</v>
      </c>
      <c r="D3411" s="379">
        <v>44.719444444444449</v>
      </c>
      <c r="E3411" s="25">
        <v>24.84</v>
      </c>
      <c r="F3411" s="379">
        <v>15.347954736821466</v>
      </c>
      <c r="G3411" s="25">
        <v>42.29</v>
      </c>
      <c r="H3411" s="379">
        <v>7.1100584768179047</v>
      </c>
      <c r="I3411" s="25">
        <v>41.24</v>
      </c>
      <c r="J3411" s="379">
        <v>4.7846485931255502</v>
      </c>
    </row>
    <row r="3412" spans="1:10" x14ac:dyDescent="0.35">
      <c r="A3412" s="5">
        <v>3408</v>
      </c>
      <c r="B3412" s="5">
        <v>142</v>
      </c>
      <c r="C3412" s="5">
        <v>5</v>
      </c>
      <c r="D3412" s="379">
        <v>42.416666666666664</v>
      </c>
      <c r="E3412" s="25">
        <v>24.84</v>
      </c>
      <c r="F3412" s="379">
        <v>14.161819026008478</v>
      </c>
      <c r="G3412" s="25">
        <v>39.93</v>
      </c>
      <c r="H3412" s="379">
        <v>7.8772113412293185</v>
      </c>
      <c r="I3412" s="25">
        <v>37.85</v>
      </c>
      <c r="J3412" s="379">
        <v>4.7418906669816741</v>
      </c>
    </row>
    <row r="3413" spans="1:10" x14ac:dyDescent="0.35">
      <c r="A3413" s="5">
        <v>3409</v>
      </c>
      <c r="B3413" s="5">
        <v>143</v>
      </c>
      <c r="C3413" s="5">
        <v>5</v>
      </c>
      <c r="D3413" s="379">
        <v>39.422222222222217</v>
      </c>
      <c r="E3413" s="25">
        <v>24.84</v>
      </c>
      <c r="F3413" s="379">
        <v>14.907469503765313</v>
      </c>
      <c r="G3413" s="25">
        <v>39.93</v>
      </c>
      <c r="H3413" s="379">
        <v>6.7371253684010561</v>
      </c>
      <c r="I3413" s="25">
        <v>41.24</v>
      </c>
      <c r="J3413" s="379">
        <v>4.814622188959012</v>
      </c>
    </row>
    <row r="3414" spans="1:10" x14ac:dyDescent="0.35">
      <c r="A3414" s="5">
        <v>3410</v>
      </c>
      <c r="B3414" s="5">
        <v>143</v>
      </c>
      <c r="C3414" s="5">
        <v>5</v>
      </c>
      <c r="D3414" s="379">
        <v>38.384999999999991</v>
      </c>
      <c r="E3414" s="25">
        <v>24.84</v>
      </c>
      <c r="F3414" s="379">
        <v>14.656492402055886</v>
      </c>
      <c r="G3414" s="25">
        <v>38.61</v>
      </c>
      <c r="H3414" s="379">
        <v>6.393361420698918</v>
      </c>
      <c r="I3414" s="25">
        <v>41.24</v>
      </c>
      <c r="J3414" s="379">
        <v>4.9000322510851682</v>
      </c>
    </row>
    <row r="3415" spans="1:10" x14ac:dyDescent="0.35">
      <c r="A3415" s="5">
        <v>3411</v>
      </c>
      <c r="B3415" s="5">
        <v>143</v>
      </c>
      <c r="C3415" s="5">
        <v>5</v>
      </c>
      <c r="D3415" s="379">
        <v>38.141666666666666</v>
      </c>
      <c r="E3415" s="25">
        <v>24.84</v>
      </c>
      <c r="F3415" s="379">
        <v>13.872781206755818</v>
      </c>
      <c r="G3415" s="25">
        <v>38.61</v>
      </c>
      <c r="H3415" s="379">
        <v>6.5417850522507131</v>
      </c>
      <c r="I3415" s="25">
        <v>41.24</v>
      </c>
      <c r="J3415" s="379">
        <v>4.814622188959012</v>
      </c>
    </row>
    <row r="3416" spans="1:10" x14ac:dyDescent="0.35">
      <c r="A3416" s="5">
        <v>3412</v>
      </c>
      <c r="B3416" s="5">
        <v>143</v>
      </c>
      <c r="C3416" s="5">
        <v>5</v>
      </c>
      <c r="D3416" s="379">
        <v>39.454444444444441</v>
      </c>
      <c r="E3416" s="25">
        <v>24.84</v>
      </c>
      <c r="F3416" s="379">
        <v>13.519238014535347</v>
      </c>
      <c r="G3416" s="25">
        <v>38.61</v>
      </c>
      <c r="H3416" s="379">
        <v>7.0984541401853685</v>
      </c>
      <c r="I3416" s="25">
        <v>41.24</v>
      </c>
      <c r="J3416" s="379">
        <v>4.7970100403984803</v>
      </c>
    </row>
    <row r="3417" spans="1:10" x14ac:dyDescent="0.35">
      <c r="A3417" s="5">
        <v>3413</v>
      </c>
      <c r="B3417" s="5">
        <v>143</v>
      </c>
      <c r="C3417" s="5">
        <v>5</v>
      </c>
      <c r="D3417" s="379">
        <v>41.190555555555555</v>
      </c>
      <c r="E3417" s="25">
        <v>24.84</v>
      </c>
      <c r="F3417" s="379">
        <v>12.656561454962237</v>
      </c>
      <c r="G3417" s="25">
        <v>38.61</v>
      </c>
      <c r="H3417" s="379">
        <v>6.0064718845284046</v>
      </c>
      <c r="I3417" s="25">
        <v>41.24</v>
      </c>
      <c r="J3417" s="379">
        <v>4.8141063042512062</v>
      </c>
    </row>
    <row r="3418" spans="1:10" x14ac:dyDescent="0.35">
      <c r="A3418" s="5">
        <v>3414</v>
      </c>
      <c r="B3418" s="5">
        <v>143</v>
      </c>
      <c r="C3418" s="5">
        <v>5</v>
      </c>
      <c r="D3418" s="379">
        <v>48.748888888888892</v>
      </c>
      <c r="E3418" s="25">
        <v>24.84</v>
      </c>
      <c r="F3418" s="379">
        <v>14.609457572610065</v>
      </c>
      <c r="G3418" s="25">
        <v>38.61</v>
      </c>
      <c r="H3418" s="379">
        <v>5.9876129113539607</v>
      </c>
      <c r="I3418" s="25">
        <v>41.24</v>
      </c>
      <c r="J3418" s="379">
        <v>5.3255457324084778</v>
      </c>
    </row>
    <row r="3419" spans="1:10" x14ac:dyDescent="0.35">
      <c r="A3419" s="5">
        <v>3415</v>
      </c>
      <c r="B3419" s="5">
        <v>143</v>
      </c>
      <c r="C3419" s="5">
        <v>5</v>
      </c>
      <c r="D3419" s="379">
        <v>51.115000000000002</v>
      </c>
      <c r="E3419" s="25">
        <v>24.84</v>
      </c>
      <c r="F3419" s="379">
        <v>15.17960019259429</v>
      </c>
      <c r="G3419" s="25">
        <v>38.61</v>
      </c>
      <c r="H3419" s="379">
        <v>8.9675293937425771</v>
      </c>
      <c r="I3419" s="25">
        <v>41.24</v>
      </c>
      <c r="J3419" s="379">
        <v>6.0516014270611347</v>
      </c>
    </row>
    <row r="3420" spans="1:10" x14ac:dyDescent="0.35">
      <c r="A3420" s="5">
        <v>3416</v>
      </c>
      <c r="B3420" s="5">
        <v>143</v>
      </c>
      <c r="C3420" s="5">
        <v>5</v>
      </c>
      <c r="D3420" s="379">
        <v>53.44222222222222</v>
      </c>
      <c r="E3420" s="25">
        <v>24.84</v>
      </c>
      <c r="F3420" s="379">
        <v>15.194478434685452</v>
      </c>
      <c r="G3420" s="25">
        <v>39</v>
      </c>
      <c r="H3420" s="379">
        <v>8.4944684051307071</v>
      </c>
      <c r="I3420" s="25">
        <v>41.24</v>
      </c>
      <c r="J3420" s="379">
        <v>6.6587555729612919</v>
      </c>
    </row>
    <row r="3421" spans="1:10" x14ac:dyDescent="0.35">
      <c r="A3421" s="5">
        <v>3417</v>
      </c>
      <c r="B3421" s="5">
        <v>143</v>
      </c>
      <c r="C3421" s="5">
        <v>5</v>
      </c>
      <c r="D3421" s="379">
        <v>51.73833333333333</v>
      </c>
      <c r="E3421" s="25">
        <v>24.84</v>
      </c>
      <c r="F3421" s="379">
        <v>9.3877237015351511</v>
      </c>
      <c r="G3421" s="25">
        <v>39</v>
      </c>
      <c r="H3421" s="379">
        <v>9.5571866899195026</v>
      </c>
      <c r="I3421" s="25">
        <v>35.72</v>
      </c>
      <c r="J3421" s="379">
        <v>6.027841283165003</v>
      </c>
    </row>
    <row r="3422" spans="1:10" x14ac:dyDescent="0.35">
      <c r="A3422" s="5">
        <v>3418</v>
      </c>
      <c r="B3422" s="5">
        <v>143</v>
      </c>
      <c r="C3422" s="5">
        <v>5</v>
      </c>
      <c r="D3422" s="379">
        <v>50.473333333333336</v>
      </c>
      <c r="E3422" s="25">
        <v>24.84</v>
      </c>
      <c r="F3422" s="379">
        <v>8.6360142808638329</v>
      </c>
      <c r="G3422" s="25">
        <v>39</v>
      </c>
      <c r="H3422" s="379">
        <v>9.0719332143499667</v>
      </c>
      <c r="I3422" s="25">
        <v>34.89</v>
      </c>
      <c r="J3422" s="379">
        <v>6.0478121089258332</v>
      </c>
    </row>
    <row r="3423" spans="1:10" x14ac:dyDescent="0.35">
      <c r="A3423" s="5">
        <v>3419</v>
      </c>
      <c r="B3423" s="5">
        <v>143</v>
      </c>
      <c r="C3423" s="5">
        <v>5</v>
      </c>
      <c r="D3423" s="379">
        <v>47.49111111111111</v>
      </c>
      <c r="E3423" s="25">
        <v>24.84</v>
      </c>
      <c r="F3423" s="379">
        <v>8.1174834595959595</v>
      </c>
      <c r="G3423" s="25">
        <v>39.93</v>
      </c>
      <c r="H3423" s="379">
        <v>8.7543493964569254</v>
      </c>
      <c r="I3423" s="25">
        <v>34.89</v>
      </c>
      <c r="J3423" s="379">
        <v>6.1670161744858589</v>
      </c>
    </row>
    <row r="3424" spans="1:10" x14ac:dyDescent="0.35">
      <c r="A3424" s="5">
        <v>3420</v>
      </c>
      <c r="B3424" s="5">
        <v>143</v>
      </c>
      <c r="C3424" s="5">
        <v>5</v>
      </c>
      <c r="D3424" s="379">
        <v>45.693333333333335</v>
      </c>
      <c r="E3424" s="25">
        <v>24.84</v>
      </c>
      <c r="F3424" s="379">
        <v>8.1174834595959595</v>
      </c>
      <c r="G3424" s="25">
        <v>39</v>
      </c>
      <c r="H3424" s="379">
        <v>8.6988522274384792</v>
      </c>
      <c r="I3424" s="25">
        <v>34.89</v>
      </c>
      <c r="J3424" s="379">
        <v>3.9312867283150754</v>
      </c>
    </row>
    <row r="3425" spans="1:10" x14ac:dyDescent="0.35">
      <c r="A3425" s="5">
        <v>3421</v>
      </c>
      <c r="B3425" s="5">
        <v>143</v>
      </c>
      <c r="C3425" s="5">
        <v>5</v>
      </c>
      <c r="D3425" s="379">
        <v>44.911111111111111</v>
      </c>
      <c r="E3425" s="25">
        <v>24.84</v>
      </c>
      <c r="F3425" s="379">
        <v>8.1174834595959595</v>
      </c>
      <c r="G3425" s="25">
        <v>38.229999999999997</v>
      </c>
      <c r="H3425" s="379">
        <v>6.8340217296560741</v>
      </c>
      <c r="I3425" s="25">
        <v>34.89</v>
      </c>
      <c r="J3425" s="379">
        <v>2.8328441802972564</v>
      </c>
    </row>
    <row r="3426" spans="1:10" x14ac:dyDescent="0.35">
      <c r="A3426" s="5">
        <v>3422</v>
      </c>
      <c r="B3426" s="5">
        <v>143</v>
      </c>
      <c r="C3426" s="5">
        <v>5</v>
      </c>
      <c r="D3426" s="379">
        <v>44.081111111111113</v>
      </c>
      <c r="E3426" s="25">
        <v>24.84</v>
      </c>
      <c r="F3426" s="379">
        <v>8.1174834595959595</v>
      </c>
      <c r="G3426" s="25">
        <v>35.94</v>
      </c>
      <c r="H3426" s="379">
        <v>6.8340217296560741</v>
      </c>
      <c r="I3426" s="25">
        <v>34.89</v>
      </c>
      <c r="J3426" s="379">
        <v>2.8328441802972564</v>
      </c>
    </row>
    <row r="3427" spans="1:10" x14ac:dyDescent="0.35">
      <c r="A3427" s="5">
        <v>3423</v>
      </c>
      <c r="B3427" s="5">
        <v>143</v>
      </c>
      <c r="C3427" s="5">
        <v>5</v>
      </c>
      <c r="D3427" s="379">
        <v>44.016111111111115</v>
      </c>
      <c r="E3427" s="25">
        <v>24.84</v>
      </c>
      <c r="F3427" s="379">
        <v>8.1174834595959577</v>
      </c>
      <c r="G3427" s="25">
        <v>35.94</v>
      </c>
      <c r="H3427" s="379">
        <v>5.9089076144739847</v>
      </c>
      <c r="I3427" s="25">
        <v>34.89</v>
      </c>
      <c r="J3427" s="379">
        <v>2.8107875759732721</v>
      </c>
    </row>
    <row r="3428" spans="1:10" x14ac:dyDescent="0.35">
      <c r="A3428" s="5">
        <v>3424</v>
      </c>
      <c r="B3428" s="5">
        <v>143</v>
      </c>
      <c r="C3428" s="5">
        <v>5</v>
      </c>
      <c r="D3428" s="379">
        <v>46.165555555555557</v>
      </c>
      <c r="E3428" s="25">
        <v>24.84</v>
      </c>
      <c r="F3428" s="379">
        <v>8.1174834595959577</v>
      </c>
      <c r="G3428" s="25">
        <v>35.94</v>
      </c>
      <c r="H3428" s="379">
        <v>7.4423383572902173</v>
      </c>
      <c r="I3428" s="25">
        <v>34.89</v>
      </c>
      <c r="J3428" s="379">
        <v>3.2715061241472672</v>
      </c>
    </row>
    <row r="3429" spans="1:10" x14ac:dyDescent="0.35">
      <c r="A3429" s="5">
        <v>3425</v>
      </c>
      <c r="B3429" s="5">
        <v>143</v>
      </c>
      <c r="C3429" s="5">
        <v>5</v>
      </c>
      <c r="D3429" s="379">
        <v>50.62</v>
      </c>
      <c r="E3429" s="25">
        <v>24.84</v>
      </c>
      <c r="F3429" s="379">
        <v>8.2911379509493752</v>
      </c>
      <c r="G3429" s="25">
        <v>35.94</v>
      </c>
      <c r="H3429" s="379">
        <v>8.4565718165812935</v>
      </c>
      <c r="I3429" s="25">
        <v>34.89</v>
      </c>
      <c r="J3429" s="379">
        <v>4.8365625549547469</v>
      </c>
    </row>
    <row r="3430" spans="1:10" x14ac:dyDescent="0.35">
      <c r="A3430" s="5">
        <v>3426</v>
      </c>
      <c r="B3430" s="5">
        <v>143</v>
      </c>
      <c r="C3430" s="5">
        <v>5</v>
      </c>
      <c r="D3430" s="379">
        <v>51.206111111111106</v>
      </c>
      <c r="E3430" s="25">
        <v>24.84</v>
      </c>
      <c r="F3430" s="379">
        <v>13.824512405199277</v>
      </c>
      <c r="G3430" s="25">
        <v>38.229999999999997</v>
      </c>
      <c r="H3430" s="379">
        <v>8.3928843270042019</v>
      </c>
      <c r="I3430" s="25">
        <v>35.130000000000003</v>
      </c>
      <c r="J3430" s="379">
        <v>6.8160641729724611</v>
      </c>
    </row>
    <row r="3431" spans="1:10" x14ac:dyDescent="0.35">
      <c r="A3431" s="5">
        <v>3427</v>
      </c>
      <c r="B3431" s="5">
        <v>143</v>
      </c>
      <c r="C3431" s="5">
        <v>5</v>
      </c>
      <c r="D3431" s="379">
        <v>50.452222222222218</v>
      </c>
      <c r="E3431" s="25">
        <v>24.84</v>
      </c>
      <c r="F3431" s="379">
        <v>16.761987217756428</v>
      </c>
      <c r="G3431" s="25">
        <v>42.29</v>
      </c>
      <c r="H3431" s="379">
        <v>10.960916886793969</v>
      </c>
      <c r="I3431" s="25">
        <v>36.619999999999997</v>
      </c>
      <c r="J3431" s="379">
        <v>7.3175955306942297</v>
      </c>
    </row>
    <row r="3432" spans="1:10" x14ac:dyDescent="0.35">
      <c r="A3432" s="5">
        <v>3428</v>
      </c>
      <c r="B3432" s="5">
        <v>143</v>
      </c>
      <c r="C3432" s="5">
        <v>5</v>
      </c>
      <c r="D3432" s="379">
        <v>48.662777777777777</v>
      </c>
      <c r="E3432" s="25">
        <v>24.84</v>
      </c>
      <c r="F3432" s="379">
        <v>16.47115977398747</v>
      </c>
      <c r="G3432" s="25">
        <v>42.29</v>
      </c>
      <c r="H3432" s="379">
        <v>12.29423543564457</v>
      </c>
      <c r="I3432" s="25">
        <v>37.979999999999997</v>
      </c>
      <c r="J3432" s="379">
        <v>7.5142704782452272</v>
      </c>
    </row>
    <row r="3433" spans="1:10" x14ac:dyDescent="0.35">
      <c r="A3433" s="5">
        <v>3429</v>
      </c>
      <c r="B3433" s="5">
        <v>143</v>
      </c>
      <c r="C3433" s="5">
        <v>5</v>
      </c>
      <c r="D3433" s="379">
        <v>47.96</v>
      </c>
      <c r="E3433" s="25">
        <v>24.84</v>
      </c>
      <c r="F3433" s="379">
        <v>17.14836046111563</v>
      </c>
      <c r="G3433" s="25">
        <v>42.29</v>
      </c>
      <c r="H3433" s="379">
        <v>11.875260362732799</v>
      </c>
      <c r="I3433" s="25">
        <v>48.86</v>
      </c>
      <c r="J3433" s="379">
        <v>7.4584928166607432</v>
      </c>
    </row>
    <row r="3434" spans="1:10" x14ac:dyDescent="0.35">
      <c r="A3434" s="5">
        <v>3430</v>
      </c>
      <c r="B3434" s="5">
        <v>143</v>
      </c>
      <c r="C3434" s="5">
        <v>5</v>
      </c>
      <c r="D3434" s="379">
        <v>45.719444444444441</v>
      </c>
      <c r="E3434" s="25">
        <v>24.84</v>
      </c>
      <c r="F3434" s="379">
        <v>18.555305192375997</v>
      </c>
      <c r="G3434" s="25">
        <v>43.56</v>
      </c>
      <c r="H3434" s="379">
        <v>11.263682836825046</v>
      </c>
      <c r="I3434" s="25">
        <v>48.86</v>
      </c>
      <c r="J3434" s="379">
        <v>7.4584928166607432</v>
      </c>
    </row>
    <row r="3435" spans="1:10" x14ac:dyDescent="0.35">
      <c r="A3435" s="5">
        <v>3431</v>
      </c>
      <c r="B3435" s="5">
        <v>143</v>
      </c>
      <c r="C3435" s="5">
        <v>5</v>
      </c>
      <c r="D3435" s="379">
        <v>41.733333333333334</v>
      </c>
      <c r="E3435" s="25">
        <v>24.84</v>
      </c>
      <c r="F3435" s="379">
        <v>18.551257714336099</v>
      </c>
      <c r="G3435" s="25">
        <v>42.29</v>
      </c>
      <c r="H3435" s="379">
        <v>11.549136293801306</v>
      </c>
      <c r="I3435" s="25">
        <v>48.86</v>
      </c>
      <c r="J3435" s="379">
        <v>7.4149360064589507</v>
      </c>
    </row>
    <row r="3436" spans="1:10" x14ac:dyDescent="0.35">
      <c r="A3436" s="5">
        <v>3432</v>
      </c>
      <c r="B3436" s="5">
        <v>143</v>
      </c>
      <c r="C3436" s="5">
        <v>5</v>
      </c>
      <c r="D3436" s="379">
        <v>34.33</v>
      </c>
      <c r="E3436" s="25">
        <v>24.84</v>
      </c>
      <c r="F3436" s="379">
        <v>17.883457378667043</v>
      </c>
      <c r="G3436" s="25">
        <v>42.29</v>
      </c>
      <c r="H3436" s="379">
        <v>11.670927908807176</v>
      </c>
      <c r="I3436" s="25">
        <v>44.02</v>
      </c>
      <c r="J3436" s="379">
        <v>7.4123838748456574</v>
      </c>
    </row>
    <row r="3437" spans="1:10" x14ac:dyDescent="0.35">
      <c r="A3437" s="5">
        <v>3433</v>
      </c>
      <c r="B3437" s="5">
        <v>144</v>
      </c>
      <c r="C3437" s="5">
        <v>5</v>
      </c>
      <c r="D3437" s="379">
        <v>31.476666666666667</v>
      </c>
      <c r="E3437" s="25">
        <v>24.84</v>
      </c>
      <c r="F3437" s="379">
        <v>18.327749547546723</v>
      </c>
      <c r="G3437" s="25">
        <v>42.29</v>
      </c>
      <c r="H3437" s="379">
        <v>12.027060285981188</v>
      </c>
      <c r="I3437" s="25">
        <v>53.71</v>
      </c>
      <c r="J3437" s="379">
        <v>7.3821782825937401</v>
      </c>
    </row>
    <row r="3438" spans="1:10" x14ac:dyDescent="0.35">
      <c r="A3438" s="5">
        <v>3434</v>
      </c>
      <c r="B3438" s="5">
        <v>144</v>
      </c>
      <c r="C3438" s="5">
        <v>5</v>
      </c>
      <c r="D3438" s="379">
        <v>29.86333333333333</v>
      </c>
      <c r="E3438" s="25">
        <v>24.84</v>
      </c>
      <c r="F3438" s="379">
        <v>17.670231028153481</v>
      </c>
      <c r="G3438" s="25">
        <v>42.29</v>
      </c>
      <c r="H3438" s="379">
        <v>12.108522803094761</v>
      </c>
      <c r="I3438" s="25">
        <v>53.71</v>
      </c>
      <c r="J3438" s="379">
        <v>7.4196676897285663</v>
      </c>
    </row>
    <row r="3439" spans="1:10" x14ac:dyDescent="0.35">
      <c r="A3439" s="5">
        <v>3435</v>
      </c>
      <c r="B3439" s="5">
        <v>144</v>
      </c>
      <c r="C3439" s="5">
        <v>5</v>
      </c>
      <c r="D3439" s="379">
        <v>27.905555555555559</v>
      </c>
      <c r="E3439" s="25">
        <v>24.84</v>
      </c>
      <c r="F3439" s="379">
        <v>18.507495920044388</v>
      </c>
      <c r="G3439" s="25">
        <v>42.29</v>
      </c>
      <c r="H3439" s="379">
        <v>11.38323199836368</v>
      </c>
      <c r="I3439" s="25">
        <v>53.71</v>
      </c>
      <c r="J3439" s="379">
        <v>7.4387133640519076</v>
      </c>
    </row>
    <row r="3440" spans="1:10" x14ac:dyDescent="0.35">
      <c r="A3440" s="5">
        <v>3436</v>
      </c>
      <c r="B3440" s="5">
        <v>144</v>
      </c>
      <c r="C3440" s="5">
        <v>5</v>
      </c>
      <c r="D3440" s="379">
        <v>26.387777777777774</v>
      </c>
      <c r="E3440" s="25">
        <v>24.84</v>
      </c>
      <c r="F3440" s="379">
        <v>17.730808967782906</v>
      </c>
      <c r="G3440" s="25">
        <v>42.29</v>
      </c>
      <c r="H3440" s="379">
        <v>11.917060344874452</v>
      </c>
      <c r="I3440" s="25">
        <v>53.71</v>
      </c>
      <c r="J3440" s="379">
        <v>7.442515813071287</v>
      </c>
    </row>
    <row r="3441" spans="1:10" x14ac:dyDescent="0.35">
      <c r="A3441" s="5">
        <v>3437</v>
      </c>
      <c r="B3441" s="5">
        <v>144</v>
      </c>
      <c r="C3441" s="5">
        <v>5</v>
      </c>
      <c r="D3441" s="379">
        <v>26.240555555555556</v>
      </c>
      <c r="E3441" s="25">
        <v>24.84</v>
      </c>
      <c r="F3441" s="379">
        <v>17.456669509072647</v>
      </c>
      <c r="G3441" s="25">
        <v>46.98</v>
      </c>
      <c r="H3441" s="379">
        <v>10.351070751040439</v>
      </c>
      <c r="I3441" s="25">
        <v>54.25</v>
      </c>
      <c r="J3441" s="379">
        <v>7.4327415286861438</v>
      </c>
    </row>
    <row r="3442" spans="1:10" x14ac:dyDescent="0.35">
      <c r="A3442" s="5">
        <v>3438</v>
      </c>
      <c r="B3442" s="5">
        <v>144</v>
      </c>
      <c r="C3442" s="5">
        <v>5</v>
      </c>
      <c r="D3442" s="379">
        <v>32.385000000000005</v>
      </c>
      <c r="E3442" s="25">
        <v>25.59</v>
      </c>
      <c r="F3442" s="379">
        <v>14.486885650163845</v>
      </c>
      <c r="G3442" s="25">
        <v>47.85</v>
      </c>
      <c r="H3442" s="379">
        <v>7.9314820365699488</v>
      </c>
      <c r="I3442" s="25">
        <v>63.19</v>
      </c>
      <c r="J3442" s="379">
        <v>7.2987498160704565</v>
      </c>
    </row>
    <row r="3443" spans="1:10" x14ac:dyDescent="0.35">
      <c r="A3443" s="5">
        <v>3439</v>
      </c>
      <c r="B3443" s="5">
        <v>144</v>
      </c>
      <c r="C3443" s="5">
        <v>5</v>
      </c>
      <c r="D3443" s="379">
        <v>45.583333333333329</v>
      </c>
      <c r="E3443" s="25">
        <v>25.74</v>
      </c>
      <c r="F3443" s="379">
        <v>11.277917707622292</v>
      </c>
      <c r="G3443" s="25">
        <v>52.2</v>
      </c>
      <c r="H3443" s="379">
        <v>7.7803607877898306</v>
      </c>
      <c r="I3443" s="25">
        <v>603.30999999999995</v>
      </c>
      <c r="J3443" s="379">
        <v>6.3759672886371401</v>
      </c>
    </row>
    <row r="3444" spans="1:10" x14ac:dyDescent="0.35">
      <c r="A3444" s="5">
        <v>3440</v>
      </c>
      <c r="B3444" s="5">
        <v>144</v>
      </c>
      <c r="C3444" s="5">
        <v>5</v>
      </c>
      <c r="D3444" s="379">
        <v>46.162777777777777</v>
      </c>
      <c r="E3444" s="25">
        <v>25.74</v>
      </c>
      <c r="F3444" s="379">
        <v>8.1174834595959595</v>
      </c>
      <c r="G3444" s="25">
        <v>52.2</v>
      </c>
      <c r="H3444" s="379">
        <v>7.7588889848518718</v>
      </c>
      <c r="I3444" s="25">
        <v>603.30999999999995</v>
      </c>
      <c r="J3444" s="379">
        <v>0.56307956544549309</v>
      </c>
    </row>
    <row r="3445" spans="1:10" x14ac:dyDescent="0.35">
      <c r="A3445" s="5">
        <v>3441</v>
      </c>
      <c r="B3445" s="5">
        <v>144</v>
      </c>
      <c r="C3445" s="5">
        <v>5</v>
      </c>
      <c r="D3445" s="379">
        <v>43.894999999999996</v>
      </c>
      <c r="E3445" s="25">
        <v>25.74</v>
      </c>
      <c r="F3445" s="379">
        <v>8.1174834595959613</v>
      </c>
      <c r="G3445" s="25">
        <v>50.35</v>
      </c>
      <c r="H3445" s="379">
        <v>8.5250960737011248</v>
      </c>
      <c r="I3445" s="25">
        <v>88.08</v>
      </c>
      <c r="J3445" s="379">
        <v>0.27777777777777779</v>
      </c>
    </row>
    <row r="3446" spans="1:10" x14ac:dyDescent="0.35">
      <c r="A3446" s="5">
        <v>3442</v>
      </c>
      <c r="B3446" s="5">
        <v>144</v>
      </c>
      <c r="C3446" s="5">
        <v>5</v>
      </c>
      <c r="D3446" s="379">
        <v>41.875</v>
      </c>
      <c r="E3446" s="25">
        <v>25.74</v>
      </c>
      <c r="F3446" s="379">
        <v>8.1174834595959577</v>
      </c>
      <c r="G3446" s="25">
        <v>47.85</v>
      </c>
      <c r="H3446" s="379">
        <v>4.4200206410135046</v>
      </c>
      <c r="I3446" s="25">
        <v>63.19</v>
      </c>
      <c r="J3446" s="379">
        <v>2.4235140136146573</v>
      </c>
    </row>
    <row r="3447" spans="1:10" x14ac:dyDescent="0.35">
      <c r="A3447" s="5">
        <v>3443</v>
      </c>
      <c r="B3447" s="5">
        <v>144</v>
      </c>
      <c r="C3447" s="5">
        <v>5</v>
      </c>
      <c r="D3447" s="379">
        <v>40.417777777777772</v>
      </c>
      <c r="E3447" s="25">
        <v>25.59</v>
      </c>
      <c r="F3447" s="379">
        <v>5.3837097714493884</v>
      </c>
      <c r="G3447" s="25">
        <v>47.85</v>
      </c>
      <c r="H3447" s="379">
        <v>3.5674843108711318</v>
      </c>
      <c r="I3447" s="25">
        <v>53.71</v>
      </c>
      <c r="J3447" s="379">
        <v>1.3170851316523804</v>
      </c>
    </row>
    <row r="3448" spans="1:10" x14ac:dyDescent="0.35">
      <c r="A3448" s="5">
        <v>3444</v>
      </c>
      <c r="B3448" s="5">
        <v>144</v>
      </c>
      <c r="C3448" s="5">
        <v>5</v>
      </c>
      <c r="D3448" s="379">
        <v>38.784444444444439</v>
      </c>
      <c r="E3448" s="25">
        <v>24.99</v>
      </c>
      <c r="F3448" s="379">
        <v>5.2083306482968252</v>
      </c>
      <c r="G3448" s="25">
        <v>47.45</v>
      </c>
      <c r="H3448" s="379">
        <v>3.4965327133203745</v>
      </c>
      <c r="I3448" s="25">
        <v>53.71</v>
      </c>
      <c r="J3448" s="379">
        <v>1.1759958338801941</v>
      </c>
    </row>
    <row r="3449" spans="1:10" x14ac:dyDescent="0.35">
      <c r="A3449" s="5">
        <v>3445</v>
      </c>
      <c r="B3449" s="5">
        <v>144</v>
      </c>
      <c r="C3449" s="5">
        <v>5</v>
      </c>
      <c r="D3449" s="379">
        <v>32.882222222222225</v>
      </c>
      <c r="E3449" s="25">
        <v>24.99</v>
      </c>
      <c r="F3449" s="379">
        <v>5.0217212752743734</v>
      </c>
      <c r="G3449" s="25">
        <v>46.98</v>
      </c>
      <c r="H3449" s="379">
        <v>3.4965327133203754</v>
      </c>
      <c r="I3449" s="25">
        <v>53.71</v>
      </c>
      <c r="J3449" s="379">
        <v>1.1672627303838623</v>
      </c>
    </row>
    <row r="3450" spans="1:10" x14ac:dyDescent="0.35">
      <c r="A3450" s="5">
        <v>3446</v>
      </c>
      <c r="B3450" s="5">
        <v>144</v>
      </c>
      <c r="C3450" s="5">
        <v>5</v>
      </c>
      <c r="D3450" s="379">
        <v>30.525555555555556</v>
      </c>
      <c r="E3450" s="25">
        <v>24.99</v>
      </c>
      <c r="F3450" s="379">
        <v>5.0217212752743734</v>
      </c>
      <c r="G3450" s="25">
        <v>46.98</v>
      </c>
      <c r="H3450" s="379">
        <v>3.4965327133203754</v>
      </c>
      <c r="I3450" s="25">
        <v>53.71</v>
      </c>
      <c r="J3450" s="379">
        <v>1.1672627303838625</v>
      </c>
    </row>
    <row r="3451" spans="1:10" x14ac:dyDescent="0.35">
      <c r="A3451" s="5">
        <v>3447</v>
      </c>
      <c r="B3451" s="5">
        <v>144</v>
      </c>
      <c r="C3451" s="5">
        <v>5</v>
      </c>
      <c r="D3451" s="379">
        <v>34.912777777777777</v>
      </c>
      <c r="E3451" s="25">
        <v>24.99</v>
      </c>
      <c r="F3451" s="379">
        <v>5.0217212752743734</v>
      </c>
      <c r="G3451" s="25">
        <v>46.98</v>
      </c>
      <c r="H3451" s="379">
        <v>3.5892139473031204</v>
      </c>
      <c r="I3451" s="25">
        <v>53.71</v>
      </c>
      <c r="J3451" s="379">
        <v>1.1672627303838625</v>
      </c>
    </row>
    <row r="3452" spans="1:10" x14ac:dyDescent="0.35">
      <c r="A3452" s="5">
        <v>3448</v>
      </c>
      <c r="B3452" s="5">
        <v>144</v>
      </c>
      <c r="C3452" s="5">
        <v>5</v>
      </c>
      <c r="D3452" s="379">
        <v>37.578888888888891</v>
      </c>
      <c r="E3452" s="25">
        <v>24.99</v>
      </c>
      <c r="F3452" s="379">
        <v>5.1909568040159471</v>
      </c>
      <c r="G3452" s="25">
        <v>47.45</v>
      </c>
      <c r="H3452" s="379">
        <v>7.7098708454907943</v>
      </c>
      <c r="I3452" s="25">
        <v>53.71</v>
      </c>
      <c r="J3452" s="379">
        <v>0.23306303927532393</v>
      </c>
    </row>
    <row r="3453" spans="1:10" x14ac:dyDescent="0.35">
      <c r="A3453" s="5">
        <v>3449</v>
      </c>
      <c r="B3453" s="5">
        <v>144</v>
      </c>
      <c r="C3453" s="5">
        <v>5</v>
      </c>
      <c r="D3453" s="379">
        <v>39.248888888888885</v>
      </c>
      <c r="E3453" s="25">
        <v>25.59</v>
      </c>
      <c r="F3453" s="379">
        <v>8.1174834595959595</v>
      </c>
      <c r="G3453" s="25">
        <v>47.46</v>
      </c>
      <c r="H3453" s="379">
        <v>3.7346939929343055</v>
      </c>
      <c r="I3453" s="25">
        <v>53.71</v>
      </c>
      <c r="J3453" s="379">
        <v>2.2567768616773578</v>
      </c>
    </row>
    <row r="3454" spans="1:10" x14ac:dyDescent="0.35">
      <c r="A3454" s="5">
        <v>3450</v>
      </c>
      <c r="B3454" s="5">
        <v>144</v>
      </c>
      <c r="C3454" s="5">
        <v>5</v>
      </c>
      <c r="D3454" s="379">
        <v>42.849999999999994</v>
      </c>
      <c r="E3454" s="25">
        <v>25.74</v>
      </c>
      <c r="F3454" s="379">
        <v>8.4118735727240459</v>
      </c>
      <c r="G3454" s="25">
        <v>52.2</v>
      </c>
      <c r="H3454" s="379">
        <v>8.0115357622938852</v>
      </c>
      <c r="I3454" s="25">
        <v>53.71</v>
      </c>
      <c r="J3454" s="379">
        <v>4.0386263349642109</v>
      </c>
    </row>
    <row r="3455" spans="1:10" x14ac:dyDescent="0.35">
      <c r="A3455" s="5">
        <v>3451</v>
      </c>
      <c r="B3455" s="5">
        <v>144</v>
      </c>
      <c r="C3455" s="5">
        <v>5</v>
      </c>
      <c r="D3455" s="379">
        <v>43.816111111111113</v>
      </c>
      <c r="E3455" s="25">
        <v>25.74</v>
      </c>
      <c r="F3455" s="379">
        <v>16.201398922345025</v>
      </c>
      <c r="G3455" s="25">
        <v>52.2</v>
      </c>
      <c r="H3455" s="379">
        <v>9.4504763215628582</v>
      </c>
      <c r="I3455" s="25">
        <v>63.19</v>
      </c>
      <c r="J3455" s="379">
        <v>7.0905553420349845</v>
      </c>
    </row>
    <row r="3456" spans="1:10" x14ac:dyDescent="0.35">
      <c r="A3456" s="5">
        <v>3452</v>
      </c>
      <c r="B3456" s="5">
        <v>144</v>
      </c>
      <c r="C3456" s="5">
        <v>5</v>
      </c>
      <c r="D3456" s="379">
        <v>44.087222222222223</v>
      </c>
      <c r="E3456" s="25">
        <v>25.74</v>
      </c>
      <c r="F3456" s="379">
        <v>15.714921353159948</v>
      </c>
      <c r="G3456" s="25">
        <v>52.2</v>
      </c>
      <c r="H3456" s="379">
        <v>10.412273802082559</v>
      </c>
      <c r="I3456" s="25">
        <v>63.19</v>
      </c>
      <c r="J3456" s="379">
        <v>7.3066051841267008</v>
      </c>
    </row>
    <row r="3457" spans="1:10" x14ac:dyDescent="0.35">
      <c r="A3457" s="5">
        <v>3453</v>
      </c>
      <c r="B3457" s="5">
        <v>144</v>
      </c>
      <c r="C3457" s="5">
        <v>5</v>
      </c>
      <c r="D3457" s="379">
        <v>42.38666666666667</v>
      </c>
      <c r="E3457" s="25">
        <v>25.74</v>
      </c>
      <c r="F3457" s="379">
        <v>14.235346601943935</v>
      </c>
      <c r="G3457" s="25">
        <v>52.2</v>
      </c>
      <c r="H3457" s="379">
        <v>9.6372370121948681</v>
      </c>
      <c r="I3457" s="25">
        <v>63.19</v>
      </c>
      <c r="J3457" s="379">
        <v>7.2905934017452108</v>
      </c>
    </row>
    <row r="3458" spans="1:10" x14ac:dyDescent="0.35">
      <c r="A3458" s="5">
        <v>3454</v>
      </c>
      <c r="B3458" s="5">
        <v>144</v>
      </c>
      <c r="C3458" s="5">
        <v>5</v>
      </c>
      <c r="D3458" s="379">
        <v>39.38111111111111</v>
      </c>
      <c r="E3458" s="25">
        <v>25.74</v>
      </c>
      <c r="F3458" s="379">
        <v>16.588260155822095</v>
      </c>
      <c r="G3458" s="25">
        <v>47.85</v>
      </c>
      <c r="H3458" s="379">
        <v>10.407153393695625</v>
      </c>
      <c r="I3458" s="25">
        <v>63.19</v>
      </c>
      <c r="J3458" s="379">
        <v>7.3154563882410617</v>
      </c>
    </row>
    <row r="3459" spans="1:10" x14ac:dyDescent="0.35">
      <c r="A3459" s="5">
        <v>3455</v>
      </c>
      <c r="B3459" s="5">
        <v>144</v>
      </c>
      <c r="C3459" s="5">
        <v>5</v>
      </c>
      <c r="D3459" s="379">
        <v>37.80777777777778</v>
      </c>
      <c r="E3459" s="25">
        <v>25.59</v>
      </c>
      <c r="F3459" s="379">
        <v>17.496886417733677</v>
      </c>
      <c r="G3459" s="25">
        <v>47.85</v>
      </c>
      <c r="H3459" s="379">
        <v>11.627972185614775</v>
      </c>
      <c r="I3459" s="25">
        <v>62.67</v>
      </c>
      <c r="J3459" s="379">
        <v>7.1420000944913511</v>
      </c>
    </row>
    <row r="3460" spans="1:10" x14ac:dyDescent="0.35">
      <c r="A3460" s="5">
        <v>3456</v>
      </c>
      <c r="B3460" s="5">
        <v>144</v>
      </c>
      <c r="C3460" s="5">
        <v>5</v>
      </c>
      <c r="D3460" s="379">
        <v>39.44166666666667</v>
      </c>
      <c r="E3460" s="25">
        <v>24.84</v>
      </c>
      <c r="F3460" s="379">
        <v>17.255134605558698</v>
      </c>
      <c r="G3460" s="25">
        <v>46.98</v>
      </c>
      <c r="H3460" s="379">
        <v>11.205363475981022</v>
      </c>
      <c r="I3460" s="25">
        <v>53.71</v>
      </c>
      <c r="J3460" s="379">
        <v>7.126620475044521</v>
      </c>
    </row>
    <row r="3461" spans="1:10" x14ac:dyDescent="0.35">
      <c r="A3461" s="5">
        <v>3457</v>
      </c>
      <c r="B3461" s="5">
        <v>145</v>
      </c>
      <c r="C3461" s="5">
        <v>5</v>
      </c>
      <c r="D3461" s="379">
        <v>37.152777777777779</v>
      </c>
      <c r="E3461" s="25">
        <v>24.84</v>
      </c>
      <c r="F3461" s="379">
        <v>17.279348214106957</v>
      </c>
      <c r="G3461" s="25">
        <v>46.98</v>
      </c>
      <c r="H3461" s="379">
        <v>11.392001048259806</v>
      </c>
      <c r="I3461" s="25">
        <v>53.71</v>
      </c>
      <c r="J3461" s="379">
        <v>7.3467158272082971</v>
      </c>
    </row>
    <row r="3462" spans="1:10" x14ac:dyDescent="0.35">
      <c r="A3462" s="5">
        <v>3458</v>
      </c>
      <c r="B3462" s="5">
        <v>145</v>
      </c>
      <c r="C3462" s="5">
        <v>5</v>
      </c>
      <c r="D3462" s="379">
        <v>36.013888888888893</v>
      </c>
      <c r="E3462" s="25">
        <v>24.84</v>
      </c>
      <c r="F3462" s="379">
        <v>17.897674276096485</v>
      </c>
      <c r="G3462" s="25">
        <v>46.98</v>
      </c>
      <c r="H3462" s="379">
        <v>9.7951681168484939</v>
      </c>
      <c r="I3462" s="25">
        <v>53.71</v>
      </c>
      <c r="J3462" s="379">
        <v>7.3487202179175215</v>
      </c>
    </row>
    <row r="3463" spans="1:10" x14ac:dyDescent="0.35">
      <c r="A3463" s="5">
        <v>3459</v>
      </c>
      <c r="B3463" s="5">
        <v>145</v>
      </c>
      <c r="C3463" s="5">
        <v>5</v>
      </c>
      <c r="D3463" s="379">
        <v>35.057222222222215</v>
      </c>
      <c r="E3463" s="25">
        <v>24.84</v>
      </c>
      <c r="F3463" s="379">
        <v>17.342088558359706</v>
      </c>
      <c r="G3463" s="25">
        <v>46.98</v>
      </c>
      <c r="H3463" s="379">
        <v>9.9800594011851214</v>
      </c>
      <c r="I3463" s="25">
        <v>53.71</v>
      </c>
      <c r="J3463" s="379">
        <v>7.3487317839890238</v>
      </c>
    </row>
    <row r="3464" spans="1:10" x14ac:dyDescent="0.35">
      <c r="A3464" s="5">
        <v>3460</v>
      </c>
      <c r="B3464" s="5">
        <v>145</v>
      </c>
      <c r="C3464" s="5">
        <v>5</v>
      </c>
      <c r="D3464" s="379">
        <v>33.534444444444446</v>
      </c>
      <c r="E3464" s="25">
        <v>24.84</v>
      </c>
      <c r="F3464" s="379">
        <v>17.527120493863674</v>
      </c>
      <c r="G3464" s="25">
        <v>46.98</v>
      </c>
      <c r="H3464" s="379">
        <v>11.55480786835717</v>
      </c>
      <c r="I3464" s="25">
        <v>53.71</v>
      </c>
      <c r="J3464" s="379">
        <v>7.3487317839890238</v>
      </c>
    </row>
    <row r="3465" spans="1:10" x14ac:dyDescent="0.35">
      <c r="A3465" s="5">
        <v>3461</v>
      </c>
      <c r="B3465" s="5">
        <v>145</v>
      </c>
      <c r="C3465" s="5">
        <v>5</v>
      </c>
      <c r="D3465" s="379">
        <v>34.672777777777767</v>
      </c>
      <c r="E3465" s="25">
        <v>24.84</v>
      </c>
      <c r="F3465" s="379">
        <v>17.500294663686141</v>
      </c>
      <c r="G3465" s="25">
        <v>46.98</v>
      </c>
      <c r="H3465" s="379">
        <v>11.072940356419997</v>
      </c>
      <c r="I3465" s="25">
        <v>53.81</v>
      </c>
      <c r="J3465" s="379">
        <v>7.2986503249295271</v>
      </c>
    </row>
    <row r="3466" spans="1:10" x14ac:dyDescent="0.35">
      <c r="A3466" s="5">
        <v>3462</v>
      </c>
      <c r="B3466" s="5">
        <v>145</v>
      </c>
      <c r="C3466" s="5">
        <v>5</v>
      </c>
      <c r="D3466" s="379">
        <v>40.643333333333331</v>
      </c>
      <c r="E3466" s="25">
        <v>25.59</v>
      </c>
      <c r="F3466" s="379">
        <v>14.081019523097964</v>
      </c>
      <c r="G3466" s="25">
        <v>47.85</v>
      </c>
      <c r="H3466" s="379">
        <v>10.420477562685347</v>
      </c>
      <c r="I3466" s="25">
        <v>63.19</v>
      </c>
      <c r="J3466" s="379">
        <v>7.3489630947140752</v>
      </c>
    </row>
    <row r="3467" spans="1:10" x14ac:dyDescent="0.35">
      <c r="A3467" s="5">
        <v>3463</v>
      </c>
      <c r="B3467" s="5">
        <v>145</v>
      </c>
      <c r="C3467" s="5">
        <v>5</v>
      </c>
      <c r="D3467" s="379">
        <v>44.364444444444437</v>
      </c>
      <c r="E3467" s="25">
        <v>25.74</v>
      </c>
      <c r="F3467" s="379">
        <v>12.675288959982847</v>
      </c>
      <c r="G3467" s="25">
        <v>52.2</v>
      </c>
      <c r="H3467" s="379">
        <v>11.333235464638797</v>
      </c>
      <c r="I3467" s="25">
        <v>603.30999999999995</v>
      </c>
      <c r="J3467" s="379">
        <v>7.2688588055551717</v>
      </c>
    </row>
    <row r="3468" spans="1:10" x14ac:dyDescent="0.35">
      <c r="A3468" s="5">
        <v>3464</v>
      </c>
      <c r="B3468" s="5">
        <v>145</v>
      </c>
      <c r="C3468" s="5">
        <v>5</v>
      </c>
      <c r="D3468" s="379">
        <v>43.92722222222222</v>
      </c>
      <c r="E3468" s="25">
        <v>25.74</v>
      </c>
      <c r="F3468" s="379">
        <v>9.7648165317404345</v>
      </c>
      <c r="G3468" s="25">
        <v>53.77</v>
      </c>
      <c r="H3468" s="379">
        <v>10.860013647180283</v>
      </c>
      <c r="I3468" s="25">
        <v>603.30999999999995</v>
      </c>
      <c r="J3468" s="379">
        <v>6.987601014736712</v>
      </c>
    </row>
    <row r="3469" spans="1:10" x14ac:dyDescent="0.35">
      <c r="A3469" s="5">
        <v>3465</v>
      </c>
      <c r="B3469" s="5">
        <v>145</v>
      </c>
      <c r="C3469" s="5">
        <v>5</v>
      </c>
      <c r="D3469" s="379">
        <v>38.56666666666667</v>
      </c>
      <c r="E3469" s="25">
        <v>25.74</v>
      </c>
      <c r="F3469" s="379">
        <v>14.726750004362083</v>
      </c>
      <c r="G3469" s="25">
        <v>52.2</v>
      </c>
      <c r="H3469" s="379">
        <v>11.705311191496433</v>
      </c>
      <c r="I3469" s="25">
        <v>603.30999999999995</v>
      </c>
      <c r="J3469" s="379">
        <v>7.0947086404285784</v>
      </c>
    </row>
    <row r="3470" spans="1:10" x14ac:dyDescent="0.35">
      <c r="A3470" s="5">
        <v>3466</v>
      </c>
      <c r="B3470" s="5">
        <v>145</v>
      </c>
      <c r="C3470" s="5">
        <v>5</v>
      </c>
      <c r="D3470" s="379">
        <v>33.956111111111113</v>
      </c>
      <c r="E3470" s="25">
        <v>25.74</v>
      </c>
      <c r="F3470" s="379">
        <v>8.1174834595959613</v>
      </c>
      <c r="G3470" s="25">
        <v>47.85</v>
      </c>
      <c r="H3470" s="379">
        <v>9.7670756458842138</v>
      </c>
      <c r="I3470" s="25">
        <v>63.19</v>
      </c>
      <c r="J3470" s="379">
        <v>3.673509453590353</v>
      </c>
    </row>
    <row r="3471" spans="1:10" x14ac:dyDescent="0.35">
      <c r="A3471" s="5">
        <v>3467</v>
      </c>
      <c r="B3471" s="5">
        <v>145</v>
      </c>
      <c r="C3471" s="5">
        <v>5</v>
      </c>
      <c r="D3471" s="379">
        <v>32.737777777777772</v>
      </c>
      <c r="E3471" s="25">
        <v>25.59</v>
      </c>
      <c r="F3471" s="379">
        <v>8.1174834595959613</v>
      </c>
      <c r="G3471" s="25">
        <v>47.85</v>
      </c>
      <c r="H3471" s="379">
        <v>9.9802862310373612</v>
      </c>
      <c r="I3471" s="25">
        <v>53.81</v>
      </c>
      <c r="J3471" s="379">
        <v>6.3110834971500651</v>
      </c>
    </row>
    <row r="3472" spans="1:10" x14ac:dyDescent="0.35">
      <c r="A3472" s="5">
        <v>3468</v>
      </c>
      <c r="B3472" s="5">
        <v>145</v>
      </c>
      <c r="C3472" s="5">
        <v>5</v>
      </c>
      <c r="D3472" s="379">
        <v>33.11888888888889</v>
      </c>
      <c r="E3472" s="25">
        <v>24.99</v>
      </c>
      <c r="F3472" s="379">
        <v>8.1174834595959613</v>
      </c>
      <c r="G3472" s="25">
        <v>47.46</v>
      </c>
      <c r="H3472" s="379">
        <v>9.6042949677238614</v>
      </c>
      <c r="I3472" s="25">
        <v>53.27</v>
      </c>
      <c r="J3472" s="379">
        <v>5.9873501100618958</v>
      </c>
    </row>
    <row r="3473" spans="1:10" x14ac:dyDescent="0.35">
      <c r="A3473" s="5">
        <v>3469</v>
      </c>
      <c r="B3473" s="5">
        <v>145</v>
      </c>
      <c r="C3473" s="5">
        <v>5</v>
      </c>
      <c r="D3473" s="379">
        <v>28.252222222222223</v>
      </c>
      <c r="E3473" s="25">
        <v>24.99</v>
      </c>
      <c r="F3473" s="379">
        <v>8.1174834595959595</v>
      </c>
      <c r="G3473" s="25">
        <v>47.45</v>
      </c>
      <c r="H3473" s="379">
        <v>9.8362548589320262</v>
      </c>
      <c r="I3473" s="25">
        <v>53.27</v>
      </c>
      <c r="J3473" s="379">
        <v>6.2419077414187143</v>
      </c>
    </row>
    <row r="3474" spans="1:10" x14ac:dyDescent="0.35">
      <c r="A3474" s="5">
        <v>3470</v>
      </c>
      <c r="B3474" s="5">
        <v>145</v>
      </c>
      <c r="C3474" s="5">
        <v>5</v>
      </c>
      <c r="D3474" s="379">
        <v>23.131111111111107</v>
      </c>
      <c r="E3474" s="25">
        <v>24.99</v>
      </c>
      <c r="F3474" s="379">
        <v>8.1174834595959595</v>
      </c>
      <c r="G3474" s="25">
        <v>46.98</v>
      </c>
      <c r="H3474" s="379">
        <v>10.012977202320812</v>
      </c>
      <c r="I3474" s="25">
        <v>53.27</v>
      </c>
      <c r="J3474" s="379">
        <v>6.6355248911000997</v>
      </c>
    </row>
    <row r="3475" spans="1:10" x14ac:dyDescent="0.35">
      <c r="A3475" s="5">
        <v>3471</v>
      </c>
      <c r="B3475" s="5">
        <v>145</v>
      </c>
      <c r="C3475" s="5">
        <v>5</v>
      </c>
      <c r="D3475" s="379">
        <v>24.927222222222216</v>
      </c>
      <c r="E3475" s="25">
        <v>24.99</v>
      </c>
      <c r="F3475" s="379">
        <v>8.1174834595959577</v>
      </c>
      <c r="G3475" s="25">
        <v>46.98</v>
      </c>
      <c r="H3475" s="379">
        <v>9.8446812923648803</v>
      </c>
      <c r="I3475" s="25">
        <v>53.27</v>
      </c>
      <c r="J3475" s="379">
        <v>6.4582233644916389</v>
      </c>
    </row>
    <row r="3476" spans="1:10" x14ac:dyDescent="0.35">
      <c r="A3476" s="5">
        <v>3472</v>
      </c>
      <c r="B3476" s="5">
        <v>145</v>
      </c>
      <c r="C3476" s="5">
        <v>5</v>
      </c>
      <c r="D3476" s="379">
        <v>26.894999999999996</v>
      </c>
      <c r="E3476" s="25">
        <v>24.99</v>
      </c>
      <c r="F3476" s="379">
        <v>8.1174834595959595</v>
      </c>
      <c r="G3476" s="25">
        <v>46.98</v>
      </c>
      <c r="H3476" s="379">
        <v>10.290178494607451</v>
      </c>
      <c r="I3476" s="25">
        <v>53.27</v>
      </c>
      <c r="J3476" s="379">
        <v>6.4058390685728854</v>
      </c>
    </row>
    <row r="3477" spans="1:10" x14ac:dyDescent="0.35">
      <c r="A3477" s="5">
        <v>3473</v>
      </c>
      <c r="B3477" s="5">
        <v>145</v>
      </c>
      <c r="C3477" s="5">
        <v>5</v>
      </c>
      <c r="D3477" s="379">
        <v>30.065555555555559</v>
      </c>
      <c r="E3477" s="25">
        <v>24.99</v>
      </c>
      <c r="F3477" s="379">
        <v>8.1591908291992308</v>
      </c>
      <c r="G3477" s="25">
        <v>47.45</v>
      </c>
      <c r="H3477" s="379">
        <v>10.691400027596139</v>
      </c>
      <c r="I3477" s="25">
        <v>53.27</v>
      </c>
      <c r="J3477" s="379">
        <v>6.28463847361588</v>
      </c>
    </row>
    <row r="3478" spans="1:10" x14ac:dyDescent="0.35">
      <c r="A3478" s="5">
        <v>3474</v>
      </c>
      <c r="B3478" s="5">
        <v>145</v>
      </c>
      <c r="C3478" s="5">
        <v>5</v>
      </c>
      <c r="D3478" s="379">
        <v>35.910555555555554</v>
      </c>
      <c r="E3478" s="25">
        <v>24.99</v>
      </c>
      <c r="F3478" s="379">
        <v>8.4626847886701366</v>
      </c>
      <c r="G3478" s="25">
        <v>47.46</v>
      </c>
      <c r="H3478" s="379">
        <v>10.916004509880713</v>
      </c>
      <c r="I3478" s="25">
        <v>53.71</v>
      </c>
      <c r="J3478" s="379">
        <v>7.103953831634815</v>
      </c>
    </row>
    <row r="3479" spans="1:10" x14ac:dyDescent="0.35">
      <c r="A3479" s="5">
        <v>3475</v>
      </c>
      <c r="B3479" s="5">
        <v>145</v>
      </c>
      <c r="C3479" s="5">
        <v>5</v>
      </c>
      <c r="D3479" s="379">
        <v>36.999999999999993</v>
      </c>
      <c r="E3479" s="25">
        <v>25.74</v>
      </c>
      <c r="F3479" s="379">
        <v>10.038390592512107</v>
      </c>
      <c r="G3479" s="25">
        <v>47.46</v>
      </c>
      <c r="H3479" s="379">
        <v>10.822223655485169</v>
      </c>
      <c r="I3479" s="25">
        <v>53.71</v>
      </c>
      <c r="J3479" s="379">
        <v>7.162189678630221</v>
      </c>
    </row>
    <row r="3480" spans="1:10" x14ac:dyDescent="0.35">
      <c r="A3480" s="5">
        <v>3476</v>
      </c>
      <c r="B3480" s="5">
        <v>145</v>
      </c>
      <c r="C3480" s="5">
        <v>5</v>
      </c>
      <c r="D3480" s="379">
        <v>38.153333333333336</v>
      </c>
      <c r="E3480" s="25">
        <v>25.74</v>
      </c>
      <c r="F3480" s="379">
        <v>11.844070330288496</v>
      </c>
      <c r="G3480" s="25">
        <v>47.46</v>
      </c>
      <c r="H3480" s="379">
        <v>11.232182212222035</v>
      </c>
      <c r="I3480" s="25">
        <v>62.67</v>
      </c>
      <c r="J3480" s="379">
        <v>7.162189678630221</v>
      </c>
    </row>
    <row r="3481" spans="1:10" x14ac:dyDescent="0.35">
      <c r="A3481" s="5">
        <v>3477</v>
      </c>
      <c r="B3481" s="5">
        <v>145</v>
      </c>
      <c r="C3481" s="5">
        <v>5</v>
      </c>
      <c r="D3481" s="379">
        <v>38.801666666666662</v>
      </c>
      <c r="E3481" s="25">
        <v>25.74</v>
      </c>
      <c r="F3481" s="379">
        <v>9.0238283723704651</v>
      </c>
      <c r="G3481" s="25">
        <v>47.85</v>
      </c>
      <c r="H3481" s="379">
        <v>11.322745223642398</v>
      </c>
      <c r="I3481" s="25">
        <v>62.67</v>
      </c>
      <c r="J3481" s="379">
        <v>7.0188245918518577</v>
      </c>
    </row>
    <row r="3482" spans="1:10" x14ac:dyDescent="0.35">
      <c r="A3482" s="5">
        <v>3478</v>
      </c>
      <c r="B3482" s="5">
        <v>145</v>
      </c>
      <c r="C3482" s="5">
        <v>5</v>
      </c>
      <c r="D3482" s="379">
        <v>34.960555555555551</v>
      </c>
      <c r="E3482" s="25">
        <v>25.74</v>
      </c>
      <c r="F3482" s="379">
        <v>9.7784583345058884</v>
      </c>
      <c r="G3482" s="25">
        <v>47.85</v>
      </c>
      <c r="H3482" s="379">
        <v>11.261295773905038</v>
      </c>
      <c r="I3482" s="25">
        <v>62.67</v>
      </c>
      <c r="J3482" s="379">
        <v>6.9905941208981295</v>
      </c>
    </row>
    <row r="3483" spans="1:10" x14ac:dyDescent="0.35">
      <c r="A3483" s="5">
        <v>3479</v>
      </c>
      <c r="B3483" s="5">
        <v>145</v>
      </c>
      <c r="C3483" s="5">
        <v>5</v>
      </c>
      <c r="D3483" s="379">
        <v>28.272777777777776</v>
      </c>
      <c r="E3483" s="25">
        <v>25.29</v>
      </c>
      <c r="F3483" s="379">
        <v>10.328540083407585</v>
      </c>
      <c r="G3483" s="25">
        <v>47.85</v>
      </c>
      <c r="H3483" s="379">
        <v>11.454497324081549</v>
      </c>
      <c r="I3483" s="25">
        <v>62.67</v>
      </c>
      <c r="J3483" s="379">
        <v>6.9876211318136789</v>
      </c>
    </row>
    <row r="3484" spans="1:10" x14ac:dyDescent="0.35">
      <c r="A3484" s="5">
        <v>3480</v>
      </c>
      <c r="B3484" s="5">
        <v>145</v>
      </c>
      <c r="C3484" s="5">
        <v>5</v>
      </c>
      <c r="D3484" s="379">
        <v>22.803333333333331</v>
      </c>
      <c r="E3484" s="25">
        <v>24.84</v>
      </c>
      <c r="F3484" s="379">
        <v>10.467827985791123</v>
      </c>
      <c r="G3484" s="25">
        <v>46.98</v>
      </c>
      <c r="H3484" s="379">
        <v>11.266571877964738</v>
      </c>
      <c r="I3484" s="25">
        <v>62.67</v>
      </c>
      <c r="J3484" s="379">
        <v>6.9886594438850018</v>
      </c>
    </row>
    <row r="3485" spans="1:10" x14ac:dyDescent="0.35">
      <c r="A3485" s="5">
        <v>3481</v>
      </c>
      <c r="B3485" s="5">
        <v>146</v>
      </c>
      <c r="C3485" s="5">
        <v>5</v>
      </c>
      <c r="D3485" s="379">
        <v>19.265555555555554</v>
      </c>
      <c r="E3485" s="25">
        <v>24.84</v>
      </c>
      <c r="F3485" s="379">
        <v>10.024328904082807</v>
      </c>
      <c r="G3485" s="25">
        <v>43.56</v>
      </c>
      <c r="H3485" s="379">
        <v>11.04287246848242</v>
      </c>
      <c r="I3485" s="25">
        <v>53.27</v>
      </c>
      <c r="J3485" s="379">
        <v>7.0895281259080569</v>
      </c>
    </row>
    <row r="3486" spans="1:10" x14ac:dyDescent="0.35">
      <c r="A3486" s="5">
        <v>3482</v>
      </c>
      <c r="B3486" s="5">
        <v>146</v>
      </c>
      <c r="C3486" s="5">
        <v>5</v>
      </c>
      <c r="D3486" s="379">
        <v>17.036666666666665</v>
      </c>
      <c r="E3486" s="25">
        <v>24.84</v>
      </c>
      <c r="F3486" s="379">
        <v>9.0058928536201446</v>
      </c>
      <c r="G3486" s="25">
        <v>43.56</v>
      </c>
      <c r="H3486" s="379">
        <v>11.200826981972117</v>
      </c>
      <c r="I3486" s="25">
        <v>53.27</v>
      </c>
      <c r="J3486" s="379">
        <v>7.0383756275334477</v>
      </c>
    </row>
    <row r="3487" spans="1:10" x14ac:dyDescent="0.35">
      <c r="A3487" s="5">
        <v>3483</v>
      </c>
      <c r="B3487" s="5">
        <v>146</v>
      </c>
      <c r="C3487" s="5">
        <v>5</v>
      </c>
      <c r="D3487" s="379">
        <v>17.151111111111113</v>
      </c>
      <c r="E3487" s="25">
        <v>24.84</v>
      </c>
      <c r="F3487" s="379">
        <v>8.5082803106361418</v>
      </c>
      <c r="G3487" s="25">
        <v>43.56</v>
      </c>
      <c r="H3487" s="379">
        <v>11.257758296050433</v>
      </c>
      <c r="I3487" s="25">
        <v>53.27</v>
      </c>
      <c r="J3487" s="379">
        <v>7.0872735359288201</v>
      </c>
    </row>
    <row r="3488" spans="1:10" x14ac:dyDescent="0.35">
      <c r="A3488" s="5">
        <v>3484</v>
      </c>
      <c r="B3488" s="5">
        <v>146</v>
      </c>
      <c r="C3488" s="5">
        <v>5</v>
      </c>
      <c r="D3488" s="379">
        <v>15.628888888888888</v>
      </c>
      <c r="E3488" s="25">
        <v>24.84</v>
      </c>
      <c r="F3488" s="379">
        <v>8.499941081015054</v>
      </c>
      <c r="G3488" s="25">
        <v>43.56</v>
      </c>
      <c r="H3488" s="379">
        <v>11.151069302191869</v>
      </c>
      <c r="I3488" s="25">
        <v>53.27</v>
      </c>
      <c r="J3488" s="379">
        <v>7.1427226197407681</v>
      </c>
    </row>
    <row r="3489" spans="1:10" x14ac:dyDescent="0.35">
      <c r="A3489" s="5">
        <v>3485</v>
      </c>
      <c r="B3489" s="5">
        <v>146</v>
      </c>
      <c r="C3489" s="5">
        <v>5</v>
      </c>
      <c r="D3489" s="379">
        <v>15.018333333333331</v>
      </c>
      <c r="E3489" s="25">
        <v>24.84</v>
      </c>
      <c r="F3489" s="379">
        <v>8.9508908216193728</v>
      </c>
      <c r="G3489" s="25">
        <v>43.56</v>
      </c>
      <c r="H3489" s="379">
        <v>10.861213811688298</v>
      </c>
      <c r="I3489" s="25">
        <v>53.27</v>
      </c>
      <c r="J3489" s="379">
        <v>7.162189678630221</v>
      </c>
    </row>
    <row r="3490" spans="1:10" x14ac:dyDescent="0.35">
      <c r="A3490" s="5">
        <v>3486</v>
      </c>
      <c r="B3490" s="5">
        <v>146</v>
      </c>
      <c r="C3490" s="5">
        <v>5</v>
      </c>
      <c r="D3490" s="379">
        <v>15.241666666666667</v>
      </c>
      <c r="E3490" s="25">
        <v>25.59</v>
      </c>
      <c r="F3490" s="379">
        <v>8.8831319249216758</v>
      </c>
      <c r="G3490" s="25">
        <v>47.85</v>
      </c>
      <c r="H3490" s="379">
        <v>10.404514002299726</v>
      </c>
      <c r="I3490" s="25">
        <v>62.67</v>
      </c>
      <c r="J3490" s="379">
        <v>7.0904069089729491</v>
      </c>
    </row>
    <row r="3491" spans="1:10" x14ac:dyDescent="0.35">
      <c r="A3491" s="5">
        <v>3487</v>
      </c>
      <c r="B3491" s="5">
        <v>146</v>
      </c>
      <c r="C3491" s="5">
        <v>5</v>
      </c>
      <c r="D3491" s="379">
        <v>18.632222222222222</v>
      </c>
      <c r="E3491" s="25">
        <v>25.74</v>
      </c>
      <c r="F3491" s="379">
        <v>8.4081930367757725</v>
      </c>
      <c r="G3491" s="25">
        <v>50.35</v>
      </c>
      <c r="H3491" s="379">
        <v>10.157571932668612</v>
      </c>
      <c r="I3491" s="25">
        <v>64.14</v>
      </c>
      <c r="J3491" s="379">
        <v>6.6821535616121022</v>
      </c>
    </row>
    <row r="3492" spans="1:10" x14ac:dyDescent="0.35">
      <c r="A3492" s="5">
        <v>3488</v>
      </c>
      <c r="B3492" s="5">
        <v>146</v>
      </c>
      <c r="C3492" s="5">
        <v>5</v>
      </c>
      <c r="D3492" s="379">
        <v>18.345555555555553</v>
      </c>
      <c r="E3492" s="25">
        <v>25.74</v>
      </c>
      <c r="F3492" s="379">
        <v>8.1174834595959613</v>
      </c>
      <c r="G3492" s="25">
        <v>50.35</v>
      </c>
      <c r="H3492" s="379">
        <v>7.2232837075375214</v>
      </c>
      <c r="I3492" s="25">
        <v>64.14</v>
      </c>
      <c r="J3492" s="379">
        <v>0.27777777777777779</v>
      </c>
    </row>
    <row r="3493" spans="1:10" x14ac:dyDescent="0.35">
      <c r="A3493" s="5">
        <v>3489</v>
      </c>
      <c r="B3493" s="5">
        <v>146</v>
      </c>
      <c r="C3493" s="5">
        <v>5</v>
      </c>
      <c r="D3493" s="379">
        <v>14.363888888888889</v>
      </c>
      <c r="E3493" s="25">
        <v>25.74</v>
      </c>
      <c r="F3493" s="379">
        <v>5.9818998153686787</v>
      </c>
      <c r="G3493" s="25">
        <v>47.85</v>
      </c>
      <c r="H3493" s="379">
        <v>5.6614784577155719</v>
      </c>
      <c r="I3493" s="25">
        <v>62.67</v>
      </c>
      <c r="J3493" s="379">
        <v>0.27777777777777779</v>
      </c>
    </row>
    <row r="3494" spans="1:10" x14ac:dyDescent="0.35">
      <c r="A3494" s="5">
        <v>3490</v>
      </c>
      <c r="B3494" s="5">
        <v>146</v>
      </c>
      <c r="C3494" s="5">
        <v>5</v>
      </c>
      <c r="D3494" s="379">
        <v>8.9722222222222214</v>
      </c>
      <c r="E3494" s="25">
        <v>25.59</v>
      </c>
      <c r="F3494" s="379">
        <v>5.2083306482968252</v>
      </c>
      <c r="G3494" s="25">
        <v>47.85</v>
      </c>
      <c r="H3494" s="379">
        <v>5.3997726201788954</v>
      </c>
      <c r="I3494" s="25">
        <v>53.71</v>
      </c>
      <c r="J3494" s="379">
        <v>3.2144434506372693E-2</v>
      </c>
    </row>
    <row r="3495" spans="1:10" x14ac:dyDescent="0.35">
      <c r="A3495" s="5">
        <v>3491</v>
      </c>
      <c r="B3495" s="5">
        <v>146</v>
      </c>
      <c r="C3495" s="5">
        <v>5</v>
      </c>
      <c r="D3495" s="379">
        <v>8.7449999999999992</v>
      </c>
      <c r="E3495" s="25">
        <v>25.59</v>
      </c>
      <c r="F3495" s="379">
        <v>5.2083306482968252</v>
      </c>
      <c r="G3495" s="25">
        <v>47.85</v>
      </c>
      <c r="H3495" s="379">
        <v>3.8324644542397537</v>
      </c>
      <c r="I3495" s="25">
        <v>53.71</v>
      </c>
      <c r="J3495" s="379">
        <v>3.6044098970235264E-2</v>
      </c>
    </row>
    <row r="3496" spans="1:10" x14ac:dyDescent="0.35">
      <c r="A3496" s="5">
        <v>3492</v>
      </c>
      <c r="B3496" s="5">
        <v>146</v>
      </c>
      <c r="C3496" s="5">
        <v>5</v>
      </c>
      <c r="D3496" s="379">
        <v>5.6544444444444446</v>
      </c>
      <c r="E3496" s="25">
        <v>24.84</v>
      </c>
      <c r="F3496" s="379">
        <v>5.2083306482968252</v>
      </c>
      <c r="G3496" s="25">
        <v>43.99</v>
      </c>
      <c r="H3496" s="379">
        <v>0.48613682200008451</v>
      </c>
      <c r="I3496" s="25">
        <v>52.74</v>
      </c>
      <c r="J3496" s="379">
        <v>2.777777777777778E-2</v>
      </c>
    </row>
    <row r="3497" spans="1:10" x14ac:dyDescent="0.35">
      <c r="A3497" s="5">
        <v>3493</v>
      </c>
      <c r="B3497" s="5">
        <v>146</v>
      </c>
      <c r="C3497" s="5">
        <v>5</v>
      </c>
      <c r="D3497" s="379">
        <v>4.6683333333333339</v>
      </c>
      <c r="E3497" s="25">
        <v>24.84</v>
      </c>
      <c r="F3497" s="379">
        <v>5.0223450944473758</v>
      </c>
      <c r="G3497" s="25">
        <v>43.56</v>
      </c>
      <c r="H3497" s="379">
        <v>0.47041388688272295</v>
      </c>
      <c r="I3497" s="25">
        <v>52.74</v>
      </c>
      <c r="J3497" s="379">
        <v>3.1422400008593795E-2</v>
      </c>
    </row>
    <row r="3498" spans="1:10" x14ac:dyDescent="0.35">
      <c r="A3498" s="5">
        <v>3494</v>
      </c>
      <c r="B3498" s="5">
        <v>146</v>
      </c>
      <c r="C3498" s="5">
        <v>5</v>
      </c>
      <c r="D3498" s="379">
        <v>4.6272222222222226</v>
      </c>
      <c r="E3498" s="25">
        <v>24.84</v>
      </c>
      <c r="F3498" s="379">
        <v>5.0217212752743734</v>
      </c>
      <c r="G3498" s="25">
        <v>43.56</v>
      </c>
      <c r="H3498" s="379">
        <v>2.3103363154038137</v>
      </c>
      <c r="I3498" s="25">
        <v>48.86</v>
      </c>
      <c r="J3498" s="379">
        <v>0.2332824548834222</v>
      </c>
    </row>
    <row r="3499" spans="1:10" x14ac:dyDescent="0.35">
      <c r="A3499" s="5">
        <v>3495</v>
      </c>
      <c r="B3499" s="5">
        <v>146</v>
      </c>
      <c r="C3499" s="5">
        <v>5</v>
      </c>
      <c r="D3499" s="379">
        <v>4.0133333333333328</v>
      </c>
      <c r="E3499" s="25">
        <v>24.84</v>
      </c>
      <c r="F3499" s="379">
        <v>4.8281339104553194</v>
      </c>
      <c r="G3499" s="25">
        <v>43.56</v>
      </c>
      <c r="H3499" s="379">
        <v>2.3103363154038137</v>
      </c>
      <c r="I3499" s="25">
        <v>48.86</v>
      </c>
      <c r="J3499" s="379">
        <v>5.5974498055886342E-2</v>
      </c>
    </row>
    <row r="3500" spans="1:10" x14ac:dyDescent="0.35">
      <c r="A3500" s="5">
        <v>3496</v>
      </c>
      <c r="B3500" s="5">
        <v>146</v>
      </c>
      <c r="C3500" s="5">
        <v>5</v>
      </c>
      <c r="D3500" s="379">
        <v>4.927777777777778</v>
      </c>
      <c r="E3500" s="25">
        <v>24.84</v>
      </c>
      <c r="F3500" s="379">
        <v>5.0217212752743734</v>
      </c>
      <c r="G3500" s="25">
        <v>43.56</v>
      </c>
      <c r="H3500" s="379">
        <v>0.11982139001822267</v>
      </c>
      <c r="I3500" s="25">
        <v>48.86</v>
      </c>
      <c r="J3500" s="379">
        <v>2.777777777777778E-2</v>
      </c>
    </row>
    <row r="3501" spans="1:10" x14ac:dyDescent="0.35">
      <c r="A3501" s="5">
        <v>3497</v>
      </c>
      <c r="B3501" s="5">
        <v>146</v>
      </c>
      <c r="C3501" s="5">
        <v>5</v>
      </c>
      <c r="D3501" s="379">
        <v>8.3766666666666669</v>
      </c>
      <c r="E3501" s="25">
        <v>24.84</v>
      </c>
      <c r="F3501" s="379">
        <v>5.0217212752743734</v>
      </c>
      <c r="G3501" s="25">
        <v>43.56</v>
      </c>
      <c r="H3501" s="379">
        <v>0.56261011289598695</v>
      </c>
      <c r="I3501" s="25">
        <v>52.74</v>
      </c>
      <c r="J3501" s="379">
        <v>0.15749082689632252</v>
      </c>
    </row>
    <row r="3502" spans="1:10" x14ac:dyDescent="0.35">
      <c r="A3502" s="5">
        <v>3498</v>
      </c>
      <c r="B3502" s="5">
        <v>146</v>
      </c>
      <c r="C3502" s="5">
        <v>5</v>
      </c>
      <c r="D3502" s="379">
        <v>24.427777777777781</v>
      </c>
      <c r="E3502" s="25">
        <v>24.84</v>
      </c>
      <c r="F3502" s="379">
        <v>4.513724389948405</v>
      </c>
      <c r="G3502" s="25">
        <v>43.56</v>
      </c>
      <c r="H3502" s="379">
        <v>1.9538158875161749</v>
      </c>
      <c r="I3502" s="25">
        <v>53.27</v>
      </c>
      <c r="J3502" s="379">
        <v>4.6808457899033609E-2</v>
      </c>
    </row>
    <row r="3503" spans="1:10" x14ac:dyDescent="0.35">
      <c r="A3503" s="5">
        <v>3499</v>
      </c>
      <c r="B3503" s="5">
        <v>146</v>
      </c>
      <c r="C3503" s="5">
        <v>5</v>
      </c>
      <c r="D3503" s="379">
        <v>28.90388888888889</v>
      </c>
      <c r="E3503" s="25">
        <v>25.29</v>
      </c>
      <c r="F3503" s="379">
        <v>7.9264587376243885</v>
      </c>
      <c r="G3503" s="25">
        <v>44.69</v>
      </c>
      <c r="H3503" s="379">
        <v>5.504522369886149</v>
      </c>
      <c r="I3503" s="25">
        <v>53.27</v>
      </c>
      <c r="J3503" s="379">
        <v>4.4293874851641215</v>
      </c>
    </row>
    <row r="3504" spans="1:10" x14ac:dyDescent="0.35">
      <c r="A3504" s="5">
        <v>3500</v>
      </c>
      <c r="B3504" s="5">
        <v>146</v>
      </c>
      <c r="C3504" s="5">
        <v>5</v>
      </c>
      <c r="D3504" s="379">
        <v>31.756666666666675</v>
      </c>
      <c r="E3504" s="25">
        <v>25.74</v>
      </c>
      <c r="F3504" s="379">
        <v>8.5335449114484287</v>
      </c>
      <c r="G3504" s="25">
        <v>46.21</v>
      </c>
      <c r="H3504" s="379">
        <v>7.8977497696532133</v>
      </c>
      <c r="I3504" s="25">
        <v>53.71</v>
      </c>
      <c r="J3504" s="379">
        <v>6.5307398986000962</v>
      </c>
    </row>
    <row r="3505" spans="1:10" x14ac:dyDescent="0.35">
      <c r="A3505" s="5">
        <v>3501</v>
      </c>
      <c r="B3505" s="5">
        <v>146</v>
      </c>
      <c r="C3505" s="5">
        <v>5</v>
      </c>
      <c r="D3505" s="379">
        <v>32.75</v>
      </c>
      <c r="E3505" s="25">
        <v>25.74</v>
      </c>
      <c r="F3505" s="379">
        <v>8.5119652510192694</v>
      </c>
      <c r="G3505" s="25">
        <v>46.21</v>
      </c>
      <c r="H3505" s="379">
        <v>7.8979947165483679</v>
      </c>
      <c r="I3505" s="25">
        <v>56.52</v>
      </c>
      <c r="J3505" s="379">
        <v>6.4235524802809003</v>
      </c>
    </row>
    <row r="3506" spans="1:10" x14ac:dyDescent="0.35">
      <c r="A3506" s="5">
        <v>3502</v>
      </c>
      <c r="B3506" s="5">
        <v>146</v>
      </c>
      <c r="C3506" s="5">
        <v>5</v>
      </c>
      <c r="D3506" s="379">
        <v>29.886666666666663</v>
      </c>
      <c r="E3506" s="25">
        <v>25.74</v>
      </c>
      <c r="F3506" s="379">
        <v>8.5123016420990041</v>
      </c>
      <c r="G3506" s="25">
        <v>47.85</v>
      </c>
      <c r="H3506" s="379">
        <v>7.9039725124123912</v>
      </c>
      <c r="I3506" s="25">
        <v>57.49</v>
      </c>
      <c r="J3506" s="379">
        <v>6.5561512516051925</v>
      </c>
    </row>
    <row r="3507" spans="1:10" x14ac:dyDescent="0.35">
      <c r="A3507" s="5">
        <v>3503</v>
      </c>
      <c r="B3507" s="5">
        <v>146</v>
      </c>
      <c r="C3507" s="5">
        <v>5</v>
      </c>
      <c r="D3507" s="379">
        <v>24.029444444444444</v>
      </c>
      <c r="E3507" s="25">
        <v>25.29</v>
      </c>
      <c r="F3507" s="379">
        <v>8.4784231219796951</v>
      </c>
      <c r="G3507" s="25">
        <v>44.86</v>
      </c>
      <c r="H3507" s="379">
        <v>7.9051009028604291</v>
      </c>
      <c r="I3507" s="25">
        <v>55.95</v>
      </c>
      <c r="J3507" s="379">
        <v>6.6451789693637124</v>
      </c>
    </row>
    <row r="3508" spans="1:10" x14ac:dyDescent="0.35">
      <c r="A3508" s="5">
        <v>3504</v>
      </c>
      <c r="B3508" s="5">
        <v>146</v>
      </c>
      <c r="C3508" s="5">
        <v>5</v>
      </c>
      <c r="D3508" s="379">
        <v>19.40055555555556</v>
      </c>
      <c r="E3508" s="25">
        <v>24.84</v>
      </c>
      <c r="F3508" s="379">
        <v>8.1725533954908993</v>
      </c>
      <c r="G3508" s="25">
        <v>43.99</v>
      </c>
      <c r="H3508" s="379">
        <v>7.90374458928442</v>
      </c>
      <c r="I3508" s="25">
        <v>53.71</v>
      </c>
      <c r="J3508" s="379">
        <v>6.5011523159704252</v>
      </c>
    </row>
    <row r="3509" spans="1:10" x14ac:dyDescent="0.35">
      <c r="A3509" s="5">
        <v>3505</v>
      </c>
      <c r="B3509" s="5">
        <v>147</v>
      </c>
      <c r="C3509" s="5">
        <v>5</v>
      </c>
      <c r="D3509" s="379">
        <v>18.783888888888885</v>
      </c>
      <c r="E3509" s="25">
        <v>24.84</v>
      </c>
      <c r="F3509" s="379">
        <v>8.0672333175607971</v>
      </c>
      <c r="G3509" s="25">
        <v>38.130000000000003</v>
      </c>
      <c r="H3509" s="379">
        <v>7.9022678313019421</v>
      </c>
      <c r="I3509" s="25">
        <v>48.04</v>
      </c>
      <c r="J3509" s="379">
        <v>6.0235140051628742</v>
      </c>
    </row>
    <row r="3510" spans="1:10" x14ac:dyDescent="0.35">
      <c r="A3510" s="5">
        <v>3506</v>
      </c>
      <c r="B3510" s="5">
        <v>147</v>
      </c>
      <c r="C3510" s="5">
        <v>5</v>
      </c>
      <c r="D3510" s="379">
        <v>17.134999999999998</v>
      </c>
      <c r="E3510" s="25">
        <v>24.84</v>
      </c>
      <c r="F3510" s="379">
        <v>8.1325313923149594</v>
      </c>
      <c r="G3510" s="25">
        <v>37.979999999999997</v>
      </c>
      <c r="H3510" s="379">
        <v>7.8637502114909648</v>
      </c>
      <c r="I3510" s="25">
        <v>48.04</v>
      </c>
      <c r="J3510" s="379">
        <v>6.3419221047760921</v>
      </c>
    </row>
    <row r="3511" spans="1:10" x14ac:dyDescent="0.35">
      <c r="A3511" s="5">
        <v>3507</v>
      </c>
      <c r="B3511" s="5">
        <v>147</v>
      </c>
      <c r="C3511" s="5">
        <v>5</v>
      </c>
      <c r="D3511" s="379">
        <v>18.464444444444446</v>
      </c>
      <c r="E3511" s="25">
        <v>24.84</v>
      </c>
      <c r="F3511" s="379">
        <v>8.1246569563047544</v>
      </c>
      <c r="G3511" s="25">
        <v>37.979999999999997</v>
      </c>
      <c r="H3511" s="379">
        <v>7.8529130207549533</v>
      </c>
      <c r="I3511" s="25">
        <v>48.04</v>
      </c>
      <c r="J3511" s="379">
        <v>6.5561973990244491</v>
      </c>
    </row>
    <row r="3512" spans="1:10" x14ac:dyDescent="0.35">
      <c r="A3512" s="5">
        <v>3508</v>
      </c>
      <c r="B3512" s="5">
        <v>147</v>
      </c>
      <c r="C3512" s="5">
        <v>5</v>
      </c>
      <c r="D3512" s="379">
        <v>21.801111111111112</v>
      </c>
      <c r="E3512" s="25">
        <v>24.84</v>
      </c>
      <c r="F3512" s="379">
        <v>8.3123057789665964</v>
      </c>
      <c r="G3512" s="25">
        <v>37.979999999999997</v>
      </c>
      <c r="H3512" s="379">
        <v>7.880599684421659</v>
      </c>
      <c r="I3512" s="25">
        <v>45.28</v>
      </c>
      <c r="J3512" s="379">
        <v>6.6288486127412947</v>
      </c>
    </row>
    <row r="3513" spans="1:10" x14ac:dyDescent="0.35">
      <c r="A3513" s="5">
        <v>3509</v>
      </c>
      <c r="B3513" s="5">
        <v>147</v>
      </c>
      <c r="C3513" s="5">
        <v>5</v>
      </c>
      <c r="D3513" s="379">
        <v>25.261111111111109</v>
      </c>
      <c r="E3513" s="25">
        <v>24.84</v>
      </c>
      <c r="F3513" s="379">
        <v>8.3609847863533115</v>
      </c>
      <c r="G3513" s="25">
        <v>37.979999999999997</v>
      </c>
      <c r="H3513" s="379">
        <v>7.9274429466714684</v>
      </c>
      <c r="I3513" s="25">
        <v>48.04</v>
      </c>
      <c r="J3513" s="379">
        <v>6.6451789693637124</v>
      </c>
    </row>
    <row r="3514" spans="1:10" x14ac:dyDescent="0.35">
      <c r="A3514" s="5">
        <v>3510</v>
      </c>
      <c r="B3514" s="5">
        <v>147</v>
      </c>
      <c r="C3514" s="5">
        <v>5</v>
      </c>
      <c r="D3514" s="379">
        <v>28.766111111111108</v>
      </c>
      <c r="E3514" s="25">
        <v>24.84</v>
      </c>
      <c r="F3514" s="379">
        <v>8.3566737012705197</v>
      </c>
      <c r="G3514" s="25">
        <v>38.130000000000003</v>
      </c>
      <c r="H3514" s="379">
        <v>7.8832685519155197</v>
      </c>
      <c r="I3514" s="25">
        <v>48.52</v>
      </c>
      <c r="J3514" s="379">
        <v>6.5912720250154111</v>
      </c>
    </row>
    <row r="3515" spans="1:10" x14ac:dyDescent="0.35">
      <c r="A3515" s="5">
        <v>3511</v>
      </c>
      <c r="B3515" s="5">
        <v>147</v>
      </c>
      <c r="C3515" s="5">
        <v>5</v>
      </c>
      <c r="D3515" s="379">
        <v>32.910000000000004</v>
      </c>
      <c r="E3515" s="25">
        <v>24.84</v>
      </c>
      <c r="F3515" s="379">
        <v>8.4977946597213485</v>
      </c>
      <c r="G3515" s="25">
        <v>44.69</v>
      </c>
      <c r="H3515" s="379">
        <v>7.7950201022081451</v>
      </c>
      <c r="I3515" s="25">
        <v>50.33</v>
      </c>
      <c r="J3515" s="379">
        <v>6.5054737253614423</v>
      </c>
    </row>
    <row r="3516" spans="1:10" x14ac:dyDescent="0.35">
      <c r="A3516" s="5">
        <v>3512</v>
      </c>
      <c r="B3516" s="5">
        <v>147</v>
      </c>
      <c r="C3516" s="5">
        <v>5</v>
      </c>
      <c r="D3516" s="379">
        <v>25.93333333333333</v>
      </c>
      <c r="E3516" s="25">
        <v>24.84</v>
      </c>
      <c r="F3516" s="379">
        <v>8.1174834595959577</v>
      </c>
      <c r="G3516" s="25">
        <v>44.69</v>
      </c>
      <c r="H3516" s="379">
        <v>7.7940651136225707</v>
      </c>
      <c r="I3516" s="25">
        <v>50.33</v>
      </c>
      <c r="J3516" s="379">
        <v>6.2939778040869676</v>
      </c>
    </row>
    <row r="3517" spans="1:10" x14ac:dyDescent="0.35">
      <c r="A3517" s="5">
        <v>3513</v>
      </c>
      <c r="B3517" s="5">
        <v>147</v>
      </c>
      <c r="C3517" s="5">
        <v>5</v>
      </c>
      <c r="D3517" s="379">
        <v>20.541111111111114</v>
      </c>
      <c r="E3517" s="25">
        <v>24.84</v>
      </c>
      <c r="F3517" s="379">
        <v>0.84670637008489491</v>
      </c>
      <c r="G3517" s="25">
        <v>41.05</v>
      </c>
      <c r="H3517" s="379">
        <v>2.6983148505077095</v>
      </c>
      <c r="I3517" s="25">
        <v>50.19</v>
      </c>
      <c r="J3517" s="379">
        <v>3.3061316289062153</v>
      </c>
    </row>
    <row r="3518" spans="1:10" x14ac:dyDescent="0.35">
      <c r="A3518" s="5">
        <v>3514</v>
      </c>
      <c r="B3518" s="5">
        <v>147</v>
      </c>
      <c r="C3518" s="5">
        <v>5</v>
      </c>
      <c r="D3518" s="379">
        <v>11.493333333333332</v>
      </c>
      <c r="E3518" s="25">
        <v>24.84</v>
      </c>
      <c r="F3518" s="379">
        <v>4.9008081404698096</v>
      </c>
      <c r="G3518" s="25">
        <v>39.770000000000003</v>
      </c>
      <c r="H3518" s="379">
        <v>3.3973093212541547</v>
      </c>
      <c r="I3518" s="25">
        <v>44.77</v>
      </c>
      <c r="J3518" s="379">
        <v>2.5833457070085895</v>
      </c>
    </row>
    <row r="3519" spans="1:10" x14ac:dyDescent="0.35">
      <c r="A3519" s="5">
        <v>3515</v>
      </c>
      <c r="B3519" s="5">
        <v>147</v>
      </c>
      <c r="C3519" s="5">
        <v>5</v>
      </c>
      <c r="D3519" s="379">
        <v>10.332222222222223</v>
      </c>
      <c r="E3519" s="25">
        <v>24.84</v>
      </c>
      <c r="F3519" s="379">
        <v>3.3819604998048347</v>
      </c>
      <c r="G3519" s="25">
        <v>38.520000000000003</v>
      </c>
      <c r="H3519" s="379">
        <v>0.3012269021302022</v>
      </c>
      <c r="I3519" s="25">
        <v>42.66</v>
      </c>
      <c r="J3519" s="379">
        <v>2.2840341988090058</v>
      </c>
    </row>
    <row r="3520" spans="1:10" x14ac:dyDescent="0.35">
      <c r="A3520" s="5">
        <v>3516</v>
      </c>
      <c r="B3520" s="5">
        <v>147</v>
      </c>
      <c r="C3520" s="5">
        <v>5</v>
      </c>
      <c r="D3520" s="379">
        <v>6.3849999999999998</v>
      </c>
      <c r="E3520" s="25">
        <v>24.84</v>
      </c>
      <c r="F3520" s="379">
        <v>3.3675305881911477</v>
      </c>
      <c r="G3520" s="25">
        <v>35.94</v>
      </c>
      <c r="H3520" s="379">
        <v>0.3012269021302022</v>
      </c>
      <c r="I3520" s="25">
        <v>42.24</v>
      </c>
      <c r="J3520" s="379">
        <v>0.53969340184923209</v>
      </c>
    </row>
    <row r="3521" spans="1:10" x14ac:dyDescent="0.35">
      <c r="A3521" s="5">
        <v>3517</v>
      </c>
      <c r="B3521" s="5">
        <v>147</v>
      </c>
      <c r="C3521" s="5">
        <v>5</v>
      </c>
      <c r="D3521" s="379">
        <v>4.7611111111111111</v>
      </c>
      <c r="E3521" s="25">
        <v>24.84</v>
      </c>
      <c r="F3521" s="379">
        <v>2.4321039986688295</v>
      </c>
      <c r="G3521" s="25">
        <v>35.94</v>
      </c>
      <c r="H3521" s="379">
        <v>0.3012269021302022</v>
      </c>
      <c r="I3521" s="25">
        <v>40.21</v>
      </c>
      <c r="J3521" s="379">
        <v>0.43211457815305526</v>
      </c>
    </row>
    <row r="3522" spans="1:10" x14ac:dyDescent="0.35">
      <c r="A3522" s="5">
        <v>3518</v>
      </c>
      <c r="B3522" s="5">
        <v>147</v>
      </c>
      <c r="C3522" s="5">
        <v>5</v>
      </c>
      <c r="D3522" s="379">
        <v>6.3011111111111111</v>
      </c>
      <c r="E3522" s="25">
        <v>24.12</v>
      </c>
      <c r="F3522" s="379">
        <v>0.17822817371146224</v>
      </c>
      <c r="G3522" s="25">
        <v>35.94</v>
      </c>
      <c r="H3522" s="379">
        <v>0.3012269021302022</v>
      </c>
      <c r="I3522" s="25">
        <v>40.21</v>
      </c>
      <c r="J3522" s="379">
        <v>0.28769766942925673</v>
      </c>
    </row>
    <row r="3523" spans="1:10" x14ac:dyDescent="0.35">
      <c r="A3523" s="5">
        <v>3519</v>
      </c>
      <c r="B3523" s="5">
        <v>147</v>
      </c>
      <c r="C3523" s="5">
        <v>5</v>
      </c>
      <c r="D3523" s="379">
        <v>7.9483333333333324</v>
      </c>
      <c r="E3523" s="25">
        <v>24.12</v>
      </c>
      <c r="F3523" s="379">
        <v>1.7421830625039447</v>
      </c>
      <c r="G3523" s="25">
        <v>35.94</v>
      </c>
      <c r="H3523" s="379">
        <v>0.3012269021302022</v>
      </c>
      <c r="I3523" s="25">
        <v>40.21</v>
      </c>
      <c r="J3523" s="379">
        <v>0.26117697159458853</v>
      </c>
    </row>
    <row r="3524" spans="1:10" x14ac:dyDescent="0.35">
      <c r="A3524" s="5">
        <v>3520</v>
      </c>
      <c r="B3524" s="5">
        <v>147</v>
      </c>
      <c r="C3524" s="5">
        <v>5</v>
      </c>
      <c r="D3524" s="379">
        <v>8.7827777777777776</v>
      </c>
      <c r="E3524" s="25">
        <v>24.84</v>
      </c>
      <c r="F3524" s="379">
        <v>0.27546296296296297</v>
      </c>
      <c r="G3524" s="25">
        <v>35.94</v>
      </c>
      <c r="H3524" s="379">
        <v>0.3012269021302022</v>
      </c>
      <c r="I3524" s="25">
        <v>40.619999999999997</v>
      </c>
      <c r="J3524" s="379">
        <v>0.34115425293541179</v>
      </c>
    </row>
    <row r="3525" spans="1:10" x14ac:dyDescent="0.35">
      <c r="A3525" s="5">
        <v>3521</v>
      </c>
      <c r="B3525" s="5">
        <v>147</v>
      </c>
      <c r="C3525" s="5">
        <v>5</v>
      </c>
      <c r="D3525" s="379">
        <v>11.963888888888889</v>
      </c>
      <c r="E3525" s="25">
        <v>24.84</v>
      </c>
      <c r="F3525" s="379">
        <v>3.0478831089201153</v>
      </c>
      <c r="G3525" s="25">
        <v>38.61</v>
      </c>
      <c r="H3525" s="379">
        <v>0.47222222222222227</v>
      </c>
      <c r="I3525" s="25">
        <v>42.24</v>
      </c>
      <c r="J3525" s="379">
        <v>0.43211457815305515</v>
      </c>
    </row>
    <row r="3526" spans="1:10" x14ac:dyDescent="0.35">
      <c r="A3526" s="5">
        <v>3522</v>
      </c>
      <c r="B3526" s="5">
        <v>147</v>
      </c>
      <c r="C3526" s="5">
        <v>5</v>
      </c>
      <c r="D3526" s="379">
        <v>13.188333333333331</v>
      </c>
      <c r="E3526" s="25">
        <v>24.84</v>
      </c>
      <c r="F3526" s="379">
        <v>6.1139878941353336</v>
      </c>
      <c r="G3526" s="25">
        <v>42.29</v>
      </c>
      <c r="H3526" s="379">
        <v>4.6465907118500596</v>
      </c>
      <c r="I3526" s="25">
        <v>44.77</v>
      </c>
      <c r="J3526" s="379">
        <v>3.1720166589979</v>
      </c>
    </row>
    <row r="3527" spans="1:10" x14ac:dyDescent="0.35">
      <c r="A3527" s="5">
        <v>3523</v>
      </c>
      <c r="B3527" s="5">
        <v>147</v>
      </c>
      <c r="C3527" s="5">
        <v>5</v>
      </c>
      <c r="D3527" s="379">
        <v>23.148888888888884</v>
      </c>
      <c r="E3527" s="25">
        <v>24.84</v>
      </c>
      <c r="F3527" s="379">
        <v>7.5450713194703223</v>
      </c>
      <c r="G3527" s="25">
        <v>42.29</v>
      </c>
      <c r="H3527" s="379">
        <v>5.3657800024884272</v>
      </c>
      <c r="I3527" s="25">
        <v>48.86</v>
      </c>
      <c r="J3527" s="379">
        <v>2.5248492381903538</v>
      </c>
    </row>
    <row r="3528" spans="1:10" x14ac:dyDescent="0.35">
      <c r="A3528" s="5">
        <v>3524</v>
      </c>
      <c r="B3528" s="5">
        <v>147</v>
      </c>
      <c r="C3528" s="5">
        <v>5</v>
      </c>
      <c r="D3528" s="379">
        <v>26.230000000000004</v>
      </c>
      <c r="E3528" s="25">
        <v>24.84</v>
      </c>
      <c r="F3528" s="379">
        <v>11.763077882560305</v>
      </c>
      <c r="G3528" s="25">
        <v>42.29</v>
      </c>
      <c r="H3528" s="379">
        <v>5.2900861026089547</v>
      </c>
      <c r="I3528" s="25">
        <v>48.86</v>
      </c>
      <c r="J3528" s="379">
        <v>3.647505840114889</v>
      </c>
    </row>
    <row r="3529" spans="1:10" x14ac:dyDescent="0.35">
      <c r="A3529" s="5">
        <v>3525</v>
      </c>
      <c r="B3529" s="5">
        <v>147</v>
      </c>
      <c r="C3529" s="5">
        <v>5</v>
      </c>
      <c r="D3529" s="379">
        <v>30.00333333333333</v>
      </c>
      <c r="E3529" s="25">
        <v>24.84</v>
      </c>
      <c r="F3529" s="379">
        <v>10.972865089626913</v>
      </c>
      <c r="G3529" s="25">
        <v>42.29</v>
      </c>
      <c r="H3529" s="379">
        <v>5.5935256459053173</v>
      </c>
      <c r="I3529" s="25">
        <v>50.13</v>
      </c>
      <c r="J3529" s="379">
        <v>2.6371185511852366</v>
      </c>
    </row>
    <row r="3530" spans="1:10" x14ac:dyDescent="0.35">
      <c r="A3530" s="5">
        <v>3526</v>
      </c>
      <c r="B3530" s="5">
        <v>147</v>
      </c>
      <c r="C3530" s="5">
        <v>5</v>
      </c>
      <c r="D3530" s="379">
        <v>30.14777777777778</v>
      </c>
      <c r="E3530" s="25">
        <v>24.84</v>
      </c>
      <c r="F3530" s="379">
        <v>7.5409182618944737</v>
      </c>
      <c r="G3530" s="25">
        <v>42.29</v>
      </c>
      <c r="H3530" s="379">
        <v>5.1029316126900737</v>
      </c>
      <c r="I3530" s="25">
        <v>53.27</v>
      </c>
      <c r="J3530" s="379">
        <v>3.1426399630449589</v>
      </c>
    </row>
    <row r="3531" spans="1:10" x14ac:dyDescent="0.35">
      <c r="A3531" s="5">
        <v>3527</v>
      </c>
      <c r="B3531" s="5">
        <v>147</v>
      </c>
      <c r="C3531" s="5">
        <v>5</v>
      </c>
      <c r="D3531" s="379">
        <v>26.972222222222221</v>
      </c>
      <c r="E3531" s="25">
        <v>24.84</v>
      </c>
      <c r="F3531" s="379">
        <v>7.0680766600175149</v>
      </c>
      <c r="G3531" s="25">
        <v>42.29</v>
      </c>
      <c r="H3531" s="379">
        <v>5.2073192558373202</v>
      </c>
      <c r="I3531" s="25">
        <v>48.86</v>
      </c>
      <c r="J3531" s="379">
        <v>1.0855584205277449</v>
      </c>
    </row>
    <row r="3532" spans="1:10" x14ac:dyDescent="0.35">
      <c r="A3532" s="5">
        <v>3528</v>
      </c>
      <c r="B3532" s="5">
        <v>147</v>
      </c>
      <c r="C3532" s="5">
        <v>5</v>
      </c>
      <c r="D3532" s="379">
        <v>25.511666666666667</v>
      </c>
      <c r="E3532" s="25">
        <v>24.84</v>
      </c>
      <c r="F3532" s="379">
        <v>5.8627858701983762</v>
      </c>
      <c r="G3532" s="25">
        <v>37.6</v>
      </c>
      <c r="H3532" s="379">
        <v>5.123007155702302</v>
      </c>
      <c r="I3532" s="25">
        <v>47.44</v>
      </c>
      <c r="J3532" s="379">
        <v>2.3089094822972158</v>
      </c>
    </row>
    <row r="3533" spans="1:10" x14ac:dyDescent="0.35">
      <c r="A3533" s="5">
        <v>3529</v>
      </c>
      <c r="B3533" s="5">
        <v>148</v>
      </c>
      <c r="C3533" s="5">
        <v>5</v>
      </c>
      <c r="D3533" s="379">
        <v>22.256666666666664</v>
      </c>
      <c r="E3533" s="25">
        <v>24.73</v>
      </c>
      <c r="F3533" s="379">
        <v>4.5519709590413653</v>
      </c>
      <c r="G3533" s="25">
        <v>32.43</v>
      </c>
      <c r="H3533" s="379">
        <v>5.591564739026631</v>
      </c>
      <c r="I3533" s="25">
        <v>39.06</v>
      </c>
      <c r="J3533" s="379">
        <v>3.0713316153315535</v>
      </c>
    </row>
    <row r="3534" spans="1:10" x14ac:dyDescent="0.35">
      <c r="A3534" s="5">
        <v>3530</v>
      </c>
      <c r="B3534" s="5">
        <v>148</v>
      </c>
      <c r="C3534" s="5">
        <v>5</v>
      </c>
      <c r="D3534" s="379">
        <v>20.545555555555556</v>
      </c>
      <c r="E3534" s="25">
        <v>23.41</v>
      </c>
      <c r="F3534" s="379">
        <v>4.0333186030647399</v>
      </c>
      <c r="G3534" s="25">
        <v>32.43</v>
      </c>
      <c r="H3534" s="379">
        <v>4.0158543422782529</v>
      </c>
      <c r="I3534" s="25">
        <v>38.67</v>
      </c>
      <c r="J3534" s="379">
        <v>3.8122433110772525</v>
      </c>
    </row>
    <row r="3535" spans="1:10" x14ac:dyDescent="0.35">
      <c r="A3535" s="5">
        <v>3531</v>
      </c>
      <c r="B3535" s="5">
        <v>148</v>
      </c>
      <c r="C3535" s="5">
        <v>5</v>
      </c>
      <c r="D3535" s="379">
        <v>19.918888888888887</v>
      </c>
      <c r="E3535" s="25">
        <v>23.41</v>
      </c>
      <c r="F3535" s="379">
        <v>3.5783975681955198</v>
      </c>
      <c r="G3535" s="25">
        <v>31.11</v>
      </c>
      <c r="H3535" s="379">
        <v>0.47222222222222215</v>
      </c>
      <c r="I3535" s="25">
        <v>38.67</v>
      </c>
      <c r="J3535" s="379">
        <v>3.8055218077600332</v>
      </c>
    </row>
    <row r="3536" spans="1:10" x14ac:dyDescent="0.35">
      <c r="A3536" s="5">
        <v>3532</v>
      </c>
      <c r="B3536" s="5">
        <v>148</v>
      </c>
      <c r="C3536" s="5">
        <v>5</v>
      </c>
      <c r="D3536" s="379">
        <v>19.772222222222219</v>
      </c>
      <c r="E3536" s="25">
        <v>23.41</v>
      </c>
      <c r="F3536" s="379">
        <v>1.1894697909033725</v>
      </c>
      <c r="G3536" s="25">
        <v>31.11</v>
      </c>
      <c r="H3536" s="379">
        <v>0.47222222222222215</v>
      </c>
      <c r="I3536" s="25">
        <v>38.67</v>
      </c>
      <c r="J3536" s="379">
        <v>8.0860128729819875E-2</v>
      </c>
    </row>
    <row r="3537" spans="1:10" x14ac:dyDescent="0.35">
      <c r="A3537" s="5">
        <v>3533</v>
      </c>
      <c r="B3537" s="5">
        <v>148</v>
      </c>
      <c r="C3537" s="5">
        <v>5</v>
      </c>
      <c r="D3537" s="379">
        <v>19.058888888888891</v>
      </c>
      <c r="E3537" s="25">
        <v>23.41</v>
      </c>
      <c r="F3537" s="379">
        <v>2.6867844833115235</v>
      </c>
      <c r="G3537" s="25">
        <v>31.86</v>
      </c>
      <c r="H3537" s="379">
        <v>0.47222222222222221</v>
      </c>
      <c r="I3537" s="25">
        <v>38.67</v>
      </c>
      <c r="J3537" s="379">
        <v>3.868389872414514</v>
      </c>
    </row>
    <row r="3538" spans="1:10" x14ac:dyDescent="0.35">
      <c r="A3538" s="5">
        <v>3534</v>
      </c>
      <c r="B3538" s="5">
        <v>148</v>
      </c>
      <c r="C3538" s="5">
        <v>5</v>
      </c>
      <c r="D3538" s="379">
        <v>20.355555555555554</v>
      </c>
      <c r="E3538" s="25">
        <v>24</v>
      </c>
      <c r="F3538" s="379">
        <v>3.264308780155825</v>
      </c>
      <c r="G3538" s="25">
        <v>32.43</v>
      </c>
      <c r="H3538" s="379">
        <v>0.47222222222222221</v>
      </c>
      <c r="I3538" s="25">
        <v>43.96</v>
      </c>
      <c r="J3538" s="379">
        <v>3.8917690816750952</v>
      </c>
    </row>
    <row r="3539" spans="1:10" x14ac:dyDescent="0.35">
      <c r="A3539" s="5">
        <v>3535</v>
      </c>
      <c r="B3539" s="5">
        <v>148</v>
      </c>
      <c r="C3539" s="5">
        <v>5</v>
      </c>
      <c r="D3539" s="379">
        <v>20.009999999999994</v>
      </c>
      <c r="E3539" s="25">
        <v>24.84</v>
      </c>
      <c r="F3539" s="379">
        <v>4.0418928210827927</v>
      </c>
      <c r="G3539" s="25">
        <v>35.1</v>
      </c>
      <c r="H3539" s="379">
        <v>0.47222222222222215</v>
      </c>
      <c r="I3539" s="25">
        <v>46.06</v>
      </c>
      <c r="J3539" s="379">
        <v>1.6156005546835905</v>
      </c>
    </row>
    <row r="3540" spans="1:10" x14ac:dyDescent="0.35">
      <c r="A3540" s="5">
        <v>3536</v>
      </c>
      <c r="B3540" s="5">
        <v>148</v>
      </c>
      <c r="C3540" s="5">
        <v>5</v>
      </c>
      <c r="D3540" s="379">
        <v>20.18</v>
      </c>
      <c r="E3540" s="25">
        <v>24.84</v>
      </c>
      <c r="F3540" s="379">
        <v>0.34853601787882388</v>
      </c>
      <c r="G3540" s="25">
        <v>38.15</v>
      </c>
      <c r="H3540" s="379">
        <v>2.0133769221268643</v>
      </c>
      <c r="I3540" s="25">
        <v>47.44</v>
      </c>
      <c r="J3540" s="379">
        <v>1.4038326489785364</v>
      </c>
    </row>
    <row r="3541" spans="1:10" x14ac:dyDescent="0.35">
      <c r="A3541" s="5">
        <v>3537</v>
      </c>
      <c r="B3541" s="5">
        <v>148</v>
      </c>
      <c r="C3541" s="5">
        <v>5</v>
      </c>
      <c r="D3541" s="379">
        <v>17.319444444444443</v>
      </c>
      <c r="E3541" s="25">
        <v>24.84</v>
      </c>
      <c r="F3541" s="379">
        <v>2.777777777777778E-2</v>
      </c>
      <c r="G3541" s="25">
        <v>38.15</v>
      </c>
      <c r="H3541" s="379">
        <v>2.0133769221268643</v>
      </c>
      <c r="I3541" s="25">
        <v>45.28</v>
      </c>
      <c r="J3541" s="379">
        <v>2.777777777777778E-2</v>
      </c>
    </row>
    <row r="3542" spans="1:10" x14ac:dyDescent="0.35">
      <c r="A3542" s="5">
        <v>3538</v>
      </c>
      <c r="B3542" s="5">
        <v>148</v>
      </c>
      <c r="C3542" s="5">
        <v>5</v>
      </c>
      <c r="D3542" s="379">
        <v>15.61611111111111</v>
      </c>
      <c r="E3542" s="25">
        <v>24.84</v>
      </c>
      <c r="F3542" s="379">
        <v>3.2727733956087586</v>
      </c>
      <c r="G3542" s="25">
        <v>37.020000000000003</v>
      </c>
      <c r="H3542" s="379">
        <v>1.8457190916956596</v>
      </c>
      <c r="I3542" s="25">
        <v>39.06</v>
      </c>
      <c r="J3542" s="379">
        <v>2.777777777777778E-2</v>
      </c>
    </row>
    <row r="3543" spans="1:10" x14ac:dyDescent="0.35">
      <c r="A3543" s="5">
        <v>3539</v>
      </c>
      <c r="B3543" s="5">
        <v>148</v>
      </c>
      <c r="C3543" s="5">
        <v>5</v>
      </c>
      <c r="D3543" s="379">
        <v>14.408333333333335</v>
      </c>
      <c r="E3543" s="25">
        <v>24.84</v>
      </c>
      <c r="F3543" s="379">
        <v>3.2727733956087586</v>
      </c>
      <c r="G3543" s="25">
        <v>35.25</v>
      </c>
      <c r="H3543" s="379">
        <v>1.2655816667086657</v>
      </c>
      <c r="I3543" s="25">
        <v>38.67</v>
      </c>
      <c r="J3543" s="379">
        <v>2.777777777777778E-2</v>
      </c>
    </row>
    <row r="3544" spans="1:10" x14ac:dyDescent="0.35">
      <c r="A3544" s="5">
        <v>3540</v>
      </c>
      <c r="B3544" s="5">
        <v>148</v>
      </c>
      <c r="C3544" s="5">
        <v>5</v>
      </c>
      <c r="D3544" s="379">
        <v>12.734444444444444</v>
      </c>
      <c r="E3544" s="25">
        <v>24.11</v>
      </c>
      <c r="F3544" s="379">
        <v>3.2727733956087586</v>
      </c>
      <c r="G3544" s="25">
        <v>32.79</v>
      </c>
      <c r="H3544" s="379">
        <v>1.2655816667086657</v>
      </c>
      <c r="I3544" s="25">
        <v>38.67</v>
      </c>
      <c r="J3544" s="379">
        <v>2.777777777777778E-2</v>
      </c>
    </row>
    <row r="3545" spans="1:10" x14ac:dyDescent="0.35">
      <c r="A3545" s="5">
        <v>3541</v>
      </c>
      <c r="B3545" s="5">
        <v>148</v>
      </c>
      <c r="C3545" s="5">
        <v>5</v>
      </c>
      <c r="D3545" s="379">
        <v>11.406666666666666</v>
      </c>
      <c r="E3545" s="25">
        <v>24.84</v>
      </c>
      <c r="F3545" s="379">
        <v>3.2727733956087586</v>
      </c>
      <c r="G3545" s="25">
        <v>32.43</v>
      </c>
      <c r="H3545" s="379">
        <v>2.777777777777778E-2</v>
      </c>
      <c r="I3545" s="25">
        <v>38.67</v>
      </c>
      <c r="J3545" s="379">
        <v>2.777777777777778E-2</v>
      </c>
    </row>
    <row r="3546" spans="1:10" x14ac:dyDescent="0.35">
      <c r="A3546" s="5">
        <v>3542</v>
      </c>
      <c r="B3546" s="5">
        <v>148</v>
      </c>
      <c r="C3546" s="5">
        <v>5</v>
      </c>
      <c r="D3546" s="379">
        <v>8.26</v>
      </c>
      <c r="E3546" s="25">
        <v>24.84</v>
      </c>
      <c r="F3546" s="379">
        <v>3.2727733956087586</v>
      </c>
      <c r="G3546" s="25">
        <v>32.43</v>
      </c>
      <c r="H3546" s="379">
        <v>2.777777777777778E-2</v>
      </c>
      <c r="I3546" s="25">
        <v>35.72</v>
      </c>
      <c r="J3546" s="379">
        <v>2.777777777777778E-2</v>
      </c>
    </row>
    <row r="3547" spans="1:10" x14ac:dyDescent="0.35">
      <c r="A3547" s="5">
        <v>3543</v>
      </c>
      <c r="B3547" s="5">
        <v>148</v>
      </c>
      <c r="C3547" s="5">
        <v>5</v>
      </c>
      <c r="D3547" s="379">
        <v>11.825555555555557</v>
      </c>
      <c r="E3547" s="25">
        <v>24.84</v>
      </c>
      <c r="F3547" s="379">
        <v>3.2727733956087586</v>
      </c>
      <c r="G3547" s="25">
        <v>32.43</v>
      </c>
      <c r="H3547" s="379">
        <v>2.777777777777778E-2</v>
      </c>
      <c r="I3547" s="25">
        <v>37.549999999999997</v>
      </c>
      <c r="J3547" s="379">
        <v>2.777777777777778E-2</v>
      </c>
    </row>
    <row r="3548" spans="1:10" x14ac:dyDescent="0.35">
      <c r="A3548" s="5">
        <v>3544</v>
      </c>
      <c r="B3548" s="5">
        <v>148</v>
      </c>
      <c r="C3548" s="5">
        <v>5</v>
      </c>
      <c r="D3548" s="379">
        <v>12.325555555555555</v>
      </c>
      <c r="E3548" s="25">
        <v>24.84</v>
      </c>
      <c r="F3548" s="379">
        <v>3.2727733956087586</v>
      </c>
      <c r="G3548" s="25">
        <v>32.76</v>
      </c>
      <c r="H3548" s="379">
        <v>2.777777777777778E-2</v>
      </c>
      <c r="I3548" s="25">
        <v>38.67</v>
      </c>
      <c r="J3548" s="379">
        <v>2.777777777777778E-2</v>
      </c>
    </row>
    <row r="3549" spans="1:10" x14ac:dyDescent="0.35">
      <c r="A3549" s="5">
        <v>3545</v>
      </c>
      <c r="B3549" s="5">
        <v>148</v>
      </c>
      <c r="C3549" s="5">
        <v>5</v>
      </c>
      <c r="D3549" s="379">
        <v>14.751111111111111</v>
      </c>
      <c r="E3549" s="25">
        <v>24.84</v>
      </c>
      <c r="F3549" s="379">
        <v>3.2727733956087586</v>
      </c>
      <c r="G3549" s="25">
        <v>35.94</v>
      </c>
      <c r="H3549" s="379">
        <v>1.3365332642594223</v>
      </c>
      <c r="I3549" s="25">
        <v>39.06</v>
      </c>
      <c r="J3549" s="379">
        <v>5.1162482169034962E-2</v>
      </c>
    </row>
    <row r="3550" spans="1:10" x14ac:dyDescent="0.35">
      <c r="A3550" s="5">
        <v>3546</v>
      </c>
      <c r="B3550" s="5">
        <v>148</v>
      </c>
      <c r="C3550" s="5">
        <v>5</v>
      </c>
      <c r="D3550" s="379">
        <v>26.727222222222217</v>
      </c>
      <c r="E3550" s="25">
        <v>24.84</v>
      </c>
      <c r="F3550" s="379">
        <v>3.8515394578648023</v>
      </c>
      <c r="G3550" s="25">
        <v>39.770000000000003</v>
      </c>
      <c r="H3550" s="379">
        <v>1.9166706892464163</v>
      </c>
      <c r="I3550" s="25">
        <v>45.35</v>
      </c>
      <c r="J3550" s="379">
        <v>5.1162482169034955E-2</v>
      </c>
    </row>
    <row r="3551" spans="1:10" x14ac:dyDescent="0.35">
      <c r="A3551" s="5">
        <v>3547</v>
      </c>
      <c r="B3551" s="5">
        <v>148</v>
      </c>
      <c r="C3551" s="5">
        <v>5</v>
      </c>
      <c r="D3551" s="379">
        <v>36.641111111111108</v>
      </c>
      <c r="E3551" s="25">
        <v>24.84</v>
      </c>
      <c r="F3551" s="379">
        <v>6.4486376698406866</v>
      </c>
      <c r="G3551" s="25">
        <v>42.29</v>
      </c>
      <c r="H3551" s="379">
        <v>7.0892911703286066</v>
      </c>
      <c r="I3551" s="25">
        <v>49.53</v>
      </c>
      <c r="J3551" s="379">
        <v>4.3733754958888031</v>
      </c>
    </row>
    <row r="3552" spans="1:10" x14ac:dyDescent="0.35">
      <c r="A3552" s="5">
        <v>3548</v>
      </c>
      <c r="B3552" s="5">
        <v>148</v>
      </c>
      <c r="C3552" s="5">
        <v>5</v>
      </c>
      <c r="D3552" s="379">
        <v>40.399444444444441</v>
      </c>
      <c r="E3552" s="25">
        <v>24.84</v>
      </c>
      <c r="F3552" s="379">
        <v>7.0967024522401871</v>
      </c>
      <c r="G3552" s="25">
        <v>42.29</v>
      </c>
      <c r="H3552" s="379">
        <v>4.667549122198368</v>
      </c>
      <c r="I3552" s="25">
        <v>50.19</v>
      </c>
      <c r="J3552" s="379">
        <v>3.3826332424790717</v>
      </c>
    </row>
    <row r="3553" spans="1:10" x14ac:dyDescent="0.35">
      <c r="A3553" s="5">
        <v>3549</v>
      </c>
      <c r="B3553" s="5">
        <v>148</v>
      </c>
      <c r="C3553" s="5">
        <v>5</v>
      </c>
      <c r="D3553" s="379">
        <v>39.442777777777778</v>
      </c>
      <c r="E3553" s="25">
        <v>24.99</v>
      </c>
      <c r="F3553" s="379">
        <v>6.6259080737756015</v>
      </c>
      <c r="G3553" s="25">
        <v>42.29</v>
      </c>
      <c r="H3553" s="379">
        <v>6.5158549682944198</v>
      </c>
      <c r="I3553" s="25">
        <v>53.27</v>
      </c>
      <c r="J3553" s="379">
        <v>4.4047454721425483</v>
      </c>
    </row>
    <row r="3554" spans="1:10" x14ac:dyDescent="0.35">
      <c r="A3554" s="5">
        <v>3550</v>
      </c>
      <c r="B3554" s="5">
        <v>148</v>
      </c>
      <c r="C3554" s="5">
        <v>5</v>
      </c>
      <c r="D3554" s="379">
        <v>39.132222222222225</v>
      </c>
      <c r="E3554" s="25">
        <v>25.29</v>
      </c>
      <c r="F3554" s="379">
        <v>7.3858797005100785</v>
      </c>
      <c r="G3554" s="25">
        <v>43.56</v>
      </c>
      <c r="H3554" s="379">
        <v>5.9368556042760714</v>
      </c>
      <c r="I3554" s="25">
        <v>54.32</v>
      </c>
      <c r="J3554" s="379">
        <v>3.7990506161401929</v>
      </c>
    </row>
    <row r="3555" spans="1:10" x14ac:dyDescent="0.35">
      <c r="A3555" s="5">
        <v>3551</v>
      </c>
      <c r="B3555" s="5">
        <v>148</v>
      </c>
      <c r="C3555" s="5">
        <v>5</v>
      </c>
      <c r="D3555" s="379">
        <v>38.863888888888894</v>
      </c>
      <c r="E3555" s="25">
        <v>24.84</v>
      </c>
      <c r="F3555" s="379">
        <v>7.3368994369870162</v>
      </c>
      <c r="G3555" s="25">
        <v>42.29</v>
      </c>
      <c r="H3555" s="379">
        <v>6.4560705498132034</v>
      </c>
      <c r="I3555" s="25">
        <v>50.19</v>
      </c>
      <c r="J3555" s="379">
        <v>4.000960925784482</v>
      </c>
    </row>
    <row r="3556" spans="1:10" x14ac:dyDescent="0.35">
      <c r="A3556" s="5">
        <v>3552</v>
      </c>
      <c r="B3556" s="5">
        <v>148</v>
      </c>
      <c r="C3556" s="5">
        <v>5</v>
      </c>
      <c r="D3556" s="379">
        <v>40.457222222222228</v>
      </c>
      <c r="E3556" s="25">
        <v>24.84</v>
      </c>
      <c r="F3556" s="379">
        <v>7.1545261348433842</v>
      </c>
      <c r="G3556" s="25">
        <v>42.29</v>
      </c>
      <c r="H3556" s="379">
        <v>5.3038258897927832</v>
      </c>
      <c r="I3556" s="25">
        <v>49.53</v>
      </c>
      <c r="J3556" s="379">
        <v>2.9951986584937691</v>
      </c>
    </row>
    <row r="3557" spans="1:10" x14ac:dyDescent="0.35">
      <c r="A3557" s="5">
        <v>3553</v>
      </c>
      <c r="B3557" s="5">
        <v>149</v>
      </c>
      <c r="C3557" s="5">
        <v>5</v>
      </c>
      <c r="D3557" s="379">
        <v>34.596666666666664</v>
      </c>
      <c r="E3557" s="25">
        <v>24.84</v>
      </c>
      <c r="F3557" s="379">
        <v>6.9255739508995466</v>
      </c>
      <c r="G3557" s="25">
        <v>38.61</v>
      </c>
      <c r="H3557" s="379">
        <v>6.52192930807895</v>
      </c>
      <c r="I3557" s="25">
        <v>48.2</v>
      </c>
      <c r="J3557" s="379">
        <v>4.193475950632231</v>
      </c>
    </row>
    <row r="3558" spans="1:10" x14ac:dyDescent="0.35">
      <c r="A3558" s="5">
        <v>3554</v>
      </c>
      <c r="B3558" s="5">
        <v>149</v>
      </c>
      <c r="C3558" s="5">
        <v>5</v>
      </c>
      <c r="D3558" s="379">
        <v>34.142777777777773</v>
      </c>
      <c r="E3558" s="25">
        <v>24.84</v>
      </c>
      <c r="F3558" s="379">
        <v>7.2177253322779711</v>
      </c>
      <c r="G3558" s="25">
        <v>35.94</v>
      </c>
      <c r="H3558" s="379">
        <v>6.1643817805896388</v>
      </c>
      <c r="I3558" s="25">
        <v>45.28</v>
      </c>
      <c r="J3558" s="379">
        <v>4.1268330991806508</v>
      </c>
    </row>
    <row r="3559" spans="1:10" x14ac:dyDescent="0.35">
      <c r="A3559" s="5">
        <v>3555</v>
      </c>
      <c r="B3559" s="5">
        <v>149</v>
      </c>
      <c r="C3559" s="5">
        <v>5</v>
      </c>
      <c r="D3559" s="379">
        <v>32.949444444444445</v>
      </c>
      <c r="E3559" s="25">
        <v>24.84</v>
      </c>
      <c r="F3559" s="379">
        <v>7.0191869889033063</v>
      </c>
      <c r="G3559" s="25">
        <v>35.94</v>
      </c>
      <c r="H3559" s="379">
        <v>5.2755113236382734</v>
      </c>
      <c r="I3559" s="25">
        <v>45.28</v>
      </c>
      <c r="J3559" s="379">
        <v>4.1930419477225422</v>
      </c>
    </row>
    <row r="3560" spans="1:10" x14ac:dyDescent="0.35">
      <c r="A3560" s="5">
        <v>3556</v>
      </c>
      <c r="B3560" s="5">
        <v>149</v>
      </c>
      <c r="C3560" s="5">
        <v>5</v>
      </c>
      <c r="D3560" s="379">
        <v>32.341111111111111</v>
      </c>
      <c r="E3560" s="25">
        <v>24.84</v>
      </c>
      <c r="F3560" s="379">
        <v>6.8494252551339541</v>
      </c>
      <c r="G3560" s="25">
        <v>35.94</v>
      </c>
      <c r="H3560" s="379">
        <v>7.405806102654803</v>
      </c>
      <c r="I3560" s="25">
        <v>45.28</v>
      </c>
      <c r="J3560" s="379">
        <v>3.4200473674275305</v>
      </c>
    </row>
    <row r="3561" spans="1:10" x14ac:dyDescent="0.35">
      <c r="A3561" s="5">
        <v>3557</v>
      </c>
      <c r="B3561" s="5">
        <v>149</v>
      </c>
      <c r="C3561" s="5">
        <v>5</v>
      </c>
      <c r="D3561" s="379">
        <v>32.37833333333333</v>
      </c>
      <c r="E3561" s="25">
        <v>24.84</v>
      </c>
      <c r="F3561" s="379">
        <v>6.588223929027758</v>
      </c>
      <c r="G3561" s="25">
        <v>30.93</v>
      </c>
      <c r="H3561" s="379">
        <v>6.1888532214850001</v>
      </c>
      <c r="I3561" s="25">
        <v>45.74</v>
      </c>
      <c r="J3561" s="379">
        <v>4.1950920501225992</v>
      </c>
    </row>
    <row r="3562" spans="1:10" x14ac:dyDescent="0.35">
      <c r="A3562" s="5">
        <v>3558</v>
      </c>
      <c r="B3562" s="5">
        <v>149</v>
      </c>
      <c r="C3562" s="5">
        <v>5</v>
      </c>
      <c r="D3562" s="379">
        <v>31.375</v>
      </c>
      <c r="E3562" s="25">
        <v>24.84</v>
      </c>
      <c r="F3562" s="379">
        <v>8.8603604591732807</v>
      </c>
      <c r="G3562" s="25">
        <v>31.84</v>
      </c>
      <c r="H3562" s="379">
        <v>5.2720716801860545</v>
      </c>
      <c r="I3562" s="25">
        <v>46.17</v>
      </c>
      <c r="J3562" s="379">
        <v>5.0943489676860478</v>
      </c>
    </row>
    <row r="3563" spans="1:10" x14ac:dyDescent="0.35">
      <c r="A3563" s="5">
        <v>3559</v>
      </c>
      <c r="B3563" s="5">
        <v>149</v>
      </c>
      <c r="C3563" s="5">
        <v>5</v>
      </c>
      <c r="D3563" s="379">
        <v>32.130555555555553</v>
      </c>
      <c r="E3563" s="25">
        <v>24.84</v>
      </c>
      <c r="F3563" s="379">
        <v>9.3530762068767235</v>
      </c>
      <c r="G3563" s="25">
        <v>31.84</v>
      </c>
      <c r="H3563" s="379">
        <v>5.4104645216946086</v>
      </c>
      <c r="I3563" s="25">
        <v>42.66</v>
      </c>
      <c r="J3563" s="379">
        <v>6.547849230795558</v>
      </c>
    </row>
    <row r="3564" spans="1:10" x14ac:dyDescent="0.35">
      <c r="A3564" s="5">
        <v>3560</v>
      </c>
      <c r="B3564" s="5">
        <v>149</v>
      </c>
      <c r="C3564" s="5">
        <v>5</v>
      </c>
      <c r="D3564" s="379">
        <v>32.590555555555561</v>
      </c>
      <c r="E3564" s="25">
        <v>24.84</v>
      </c>
      <c r="F3564" s="379">
        <v>8.8906562406067273</v>
      </c>
      <c r="G3564" s="25">
        <v>31.84</v>
      </c>
      <c r="H3564" s="379">
        <v>4.4700405200160818</v>
      </c>
      <c r="I3564" s="25">
        <v>44.2</v>
      </c>
      <c r="J3564" s="379">
        <v>5.8497123635725838</v>
      </c>
    </row>
    <row r="3565" spans="1:10" x14ac:dyDescent="0.35">
      <c r="A3565" s="5">
        <v>3561</v>
      </c>
      <c r="B3565" s="5">
        <v>149</v>
      </c>
      <c r="C3565" s="5">
        <v>5</v>
      </c>
      <c r="D3565" s="379">
        <v>32.866111111111117</v>
      </c>
      <c r="E3565" s="25">
        <v>24.84</v>
      </c>
      <c r="F3565" s="379">
        <v>8.1174834595959613</v>
      </c>
      <c r="G3565" s="25">
        <v>31.84</v>
      </c>
      <c r="H3565" s="379">
        <v>0.84060714812184034</v>
      </c>
      <c r="I3565" s="25">
        <v>37.57</v>
      </c>
      <c r="J3565" s="379">
        <v>1.7565386038516875</v>
      </c>
    </row>
    <row r="3566" spans="1:10" x14ac:dyDescent="0.35">
      <c r="A3566" s="5">
        <v>3562</v>
      </c>
      <c r="B3566" s="5">
        <v>149</v>
      </c>
      <c r="C3566" s="5">
        <v>5</v>
      </c>
      <c r="D3566" s="379">
        <v>33.654444444444444</v>
      </c>
      <c r="E3566" s="25">
        <v>24</v>
      </c>
      <c r="F3566" s="379">
        <v>8.1174834595959595</v>
      </c>
      <c r="G3566" s="25">
        <v>31.11</v>
      </c>
      <c r="H3566" s="379">
        <v>0.51932926985409134</v>
      </c>
      <c r="I3566" s="25">
        <v>34.01</v>
      </c>
      <c r="J3566" s="379">
        <v>1.2338462524786671</v>
      </c>
    </row>
    <row r="3567" spans="1:10" x14ac:dyDescent="0.35">
      <c r="A3567" s="5">
        <v>3563</v>
      </c>
      <c r="B3567" s="5">
        <v>149</v>
      </c>
      <c r="C3567" s="5">
        <v>5</v>
      </c>
      <c r="D3567" s="379">
        <v>34.614999999999995</v>
      </c>
      <c r="E3567" s="25">
        <v>23.84</v>
      </c>
      <c r="F3567" s="379">
        <v>0.47222222222222215</v>
      </c>
      <c r="G3567" s="25">
        <v>31.11</v>
      </c>
      <c r="H3567" s="379">
        <v>0.47222222222222221</v>
      </c>
      <c r="I3567" s="25">
        <v>33.67</v>
      </c>
      <c r="J3567" s="379">
        <v>3.8982599906606331E-2</v>
      </c>
    </row>
    <row r="3568" spans="1:10" x14ac:dyDescent="0.35">
      <c r="A3568" s="5">
        <v>3564</v>
      </c>
      <c r="B3568" s="5">
        <v>149</v>
      </c>
      <c r="C3568" s="5">
        <v>5</v>
      </c>
      <c r="D3568" s="379">
        <v>34.161111111111104</v>
      </c>
      <c r="E3568" s="25">
        <v>23.41</v>
      </c>
      <c r="F3568" s="379">
        <v>0.47222222222222221</v>
      </c>
      <c r="G3568" s="25">
        <v>30.93</v>
      </c>
      <c r="H3568" s="379">
        <v>0.30782837720991379</v>
      </c>
      <c r="I3568" s="25">
        <v>33.67</v>
      </c>
      <c r="J3568" s="379">
        <v>2.777777777777778E-2</v>
      </c>
    </row>
    <row r="3569" spans="1:10" x14ac:dyDescent="0.35">
      <c r="A3569" s="5">
        <v>3565</v>
      </c>
      <c r="B3569" s="5">
        <v>149</v>
      </c>
      <c r="C3569" s="5">
        <v>5</v>
      </c>
      <c r="D3569" s="379">
        <v>32.288333333333334</v>
      </c>
      <c r="E3569" s="25">
        <v>22.73</v>
      </c>
      <c r="F3569" s="379">
        <v>2.871189252620201</v>
      </c>
      <c r="G3569" s="25">
        <v>30.57</v>
      </c>
      <c r="H3569" s="379">
        <v>0.39117124069799503</v>
      </c>
      <c r="I3569" s="25">
        <v>33.67</v>
      </c>
      <c r="J3569" s="379">
        <v>2.777777777777778E-2</v>
      </c>
    </row>
    <row r="3570" spans="1:10" x14ac:dyDescent="0.35">
      <c r="A3570" s="5">
        <v>3566</v>
      </c>
      <c r="B3570" s="5">
        <v>149</v>
      </c>
      <c r="C3570" s="5">
        <v>5</v>
      </c>
      <c r="D3570" s="379">
        <v>29.829444444444441</v>
      </c>
      <c r="E3570" s="25">
        <v>21.88</v>
      </c>
      <c r="F3570" s="379">
        <v>3.8594291814922443</v>
      </c>
      <c r="G3570" s="25">
        <v>30.57</v>
      </c>
      <c r="H3570" s="379">
        <v>0.3978116309186624</v>
      </c>
      <c r="I3570" s="25">
        <v>33.67</v>
      </c>
      <c r="J3570" s="379">
        <v>2.777777777777778E-2</v>
      </c>
    </row>
    <row r="3571" spans="1:10" x14ac:dyDescent="0.35">
      <c r="A3571" s="5">
        <v>3567</v>
      </c>
      <c r="B3571" s="5">
        <v>149</v>
      </c>
      <c r="C3571" s="5">
        <v>5</v>
      </c>
      <c r="D3571" s="379">
        <v>29.276111111111113</v>
      </c>
      <c r="E3571" s="25">
        <v>21.88</v>
      </c>
      <c r="F3571" s="379">
        <v>3.0144646209146577</v>
      </c>
      <c r="G3571" s="25">
        <v>30.57</v>
      </c>
      <c r="H3571" s="379">
        <v>0.47222222222222227</v>
      </c>
      <c r="I3571" s="25">
        <v>33.67</v>
      </c>
      <c r="J3571" s="379">
        <v>2.777777777777778E-2</v>
      </c>
    </row>
    <row r="3572" spans="1:10" x14ac:dyDescent="0.35">
      <c r="A3572" s="5">
        <v>3568</v>
      </c>
      <c r="B3572" s="5">
        <v>149</v>
      </c>
      <c r="C3572" s="5">
        <v>5</v>
      </c>
      <c r="D3572" s="379">
        <v>31.051111111111116</v>
      </c>
      <c r="E3572" s="25">
        <v>22.07</v>
      </c>
      <c r="F3572" s="379">
        <v>3.5955775961680274</v>
      </c>
      <c r="G3572" s="25">
        <v>30.57</v>
      </c>
      <c r="H3572" s="379">
        <v>0.47222222222222221</v>
      </c>
      <c r="I3572" s="25">
        <v>33.67</v>
      </c>
      <c r="J3572" s="379">
        <v>2.777777777777778E-2</v>
      </c>
    </row>
    <row r="3573" spans="1:10" x14ac:dyDescent="0.35">
      <c r="A3573" s="5">
        <v>3569</v>
      </c>
      <c r="B3573" s="5">
        <v>149</v>
      </c>
      <c r="C3573" s="5">
        <v>5</v>
      </c>
      <c r="D3573" s="379">
        <v>35.587222222222223</v>
      </c>
      <c r="E3573" s="25">
        <v>23.31</v>
      </c>
      <c r="F3573" s="379">
        <v>6.3286407347497677</v>
      </c>
      <c r="G3573" s="25">
        <v>30.57</v>
      </c>
      <c r="H3573" s="379">
        <v>0.47222222222222227</v>
      </c>
      <c r="I3573" s="25">
        <v>33.67</v>
      </c>
      <c r="J3573" s="379">
        <v>2.777777777777778E-2</v>
      </c>
    </row>
    <row r="3574" spans="1:10" x14ac:dyDescent="0.35">
      <c r="A3574" s="5">
        <v>3570</v>
      </c>
      <c r="B3574" s="5">
        <v>149</v>
      </c>
      <c r="C3574" s="5">
        <v>5</v>
      </c>
      <c r="D3574" s="379">
        <v>41.045000000000002</v>
      </c>
      <c r="E3574" s="25">
        <v>23.59</v>
      </c>
      <c r="F3574" s="379">
        <v>8.1174834595959595</v>
      </c>
      <c r="G3574" s="25">
        <v>30.57</v>
      </c>
      <c r="H3574" s="379">
        <v>0.60581538934290136</v>
      </c>
      <c r="I3574" s="25">
        <v>33.67</v>
      </c>
      <c r="J3574" s="379">
        <v>0.32932551010819849</v>
      </c>
    </row>
    <row r="3575" spans="1:10" x14ac:dyDescent="0.35">
      <c r="A3575" s="5">
        <v>3571</v>
      </c>
      <c r="B3575" s="5">
        <v>149</v>
      </c>
      <c r="C3575" s="5">
        <v>5</v>
      </c>
      <c r="D3575" s="379">
        <v>42.276111111111113</v>
      </c>
      <c r="E3575" s="25">
        <v>23.84</v>
      </c>
      <c r="F3575" s="379">
        <v>8.4353049981817438</v>
      </c>
      <c r="G3575" s="25">
        <v>30.91</v>
      </c>
      <c r="H3575" s="379">
        <v>0.72092407545831871</v>
      </c>
      <c r="I3575" s="25">
        <v>33.67</v>
      </c>
      <c r="J3575" s="379">
        <v>0.41596827724759622</v>
      </c>
    </row>
    <row r="3576" spans="1:10" x14ac:dyDescent="0.35">
      <c r="A3576" s="5">
        <v>3572</v>
      </c>
      <c r="B3576" s="5">
        <v>149</v>
      </c>
      <c r="C3576" s="5">
        <v>5</v>
      </c>
      <c r="D3576" s="379">
        <v>45.588333333333331</v>
      </c>
      <c r="E3576" s="25">
        <v>24</v>
      </c>
      <c r="F3576" s="379">
        <v>8.3891523405595319</v>
      </c>
      <c r="G3576" s="25">
        <v>30.95</v>
      </c>
      <c r="H3576" s="379">
        <v>0.65808670058311347</v>
      </c>
      <c r="I3576" s="25">
        <v>33.67</v>
      </c>
      <c r="J3576" s="379">
        <v>0.33698399576624555</v>
      </c>
    </row>
    <row r="3577" spans="1:10" x14ac:dyDescent="0.35">
      <c r="A3577" s="5">
        <v>3573</v>
      </c>
      <c r="B3577" s="5">
        <v>149</v>
      </c>
      <c r="C3577" s="5">
        <v>5</v>
      </c>
      <c r="D3577" s="379">
        <v>47.223333333333329</v>
      </c>
      <c r="E3577" s="25">
        <v>24.56</v>
      </c>
      <c r="F3577" s="379">
        <v>8.3903668314392128</v>
      </c>
      <c r="G3577" s="25">
        <v>31.11</v>
      </c>
      <c r="H3577" s="379">
        <v>0.65808670058311347</v>
      </c>
      <c r="I3577" s="25">
        <v>33.950000000000003</v>
      </c>
      <c r="J3577" s="379">
        <v>0.42845971864977289</v>
      </c>
    </row>
    <row r="3578" spans="1:10" x14ac:dyDescent="0.35">
      <c r="A3578" s="5">
        <v>3574</v>
      </c>
      <c r="B3578" s="5">
        <v>149</v>
      </c>
      <c r="C3578" s="5">
        <v>5</v>
      </c>
      <c r="D3578" s="379">
        <v>46.618888888888897</v>
      </c>
      <c r="E3578" s="25">
        <v>24.12</v>
      </c>
      <c r="F3578" s="379">
        <v>8.1174834595959595</v>
      </c>
      <c r="G3578" s="25">
        <v>31.11</v>
      </c>
      <c r="H3578" s="379">
        <v>0.65808670058311347</v>
      </c>
      <c r="I3578" s="25">
        <v>38.880000000000003</v>
      </c>
      <c r="J3578" s="379">
        <v>0.30351173665005854</v>
      </c>
    </row>
    <row r="3579" spans="1:10" x14ac:dyDescent="0.35">
      <c r="A3579" s="5">
        <v>3575</v>
      </c>
      <c r="B3579" s="5">
        <v>149</v>
      </c>
      <c r="C3579" s="5">
        <v>5</v>
      </c>
      <c r="D3579" s="379">
        <v>44.382222222222225</v>
      </c>
      <c r="E3579" s="25">
        <v>24</v>
      </c>
      <c r="F3579" s="379">
        <v>8.1174834595959595</v>
      </c>
      <c r="G3579" s="25">
        <v>31.11</v>
      </c>
      <c r="H3579" s="379">
        <v>0.65808670058311347</v>
      </c>
      <c r="I3579" s="25">
        <v>39.619999999999997</v>
      </c>
      <c r="J3579" s="379">
        <v>0.35685921228094819</v>
      </c>
    </row>
    <row r="3580" spans="1:10" x14ac:dyDescent="0.35">
      <c r="A3580" s="5">
        <v>3576</v>
      </c>
      <c r="B3580" s="5">
        <v>149</v>
      </c>
      <c r="C3580" s="5">
        <v>5</v>
      </c>
      <c r="D3580" s="379">
        <v>42.486111111111107</v>
      </c>
      <c r="E3580" s="25">
        <v>24</v>
      </c>
      <c r="F3580" s="379">
        <v>5.2665183030695966</v>
      </c>
      <c r="G3580" s="25">
        <v>30.88</v>
      </c>
      <c r="H3580" s="379">
        <v>0.47222222222222215</v>
      </c>
      <c r="I3580" s="25">
        <v>34.68</v>
      </c>
      <c r="J3580" s="379">
        <v>0.43103645884932823</v>
      </c>
    </row>
    <row r="3581" spans="1:10" x14ac:dyDescent="0.35">
      <c r="A3581" s="5">
        <v>3577</v>
      </c>
      <c r="B3581" s="5">
        <v>150</v>
      </c>
      <c r="C3581" s="5">
        <v>5</v>
      </c>
      <c r="D3581" s="379">
        <v>43.279444444444437</v>
      </c>
      <c r="E3581" s="25">
        <v>23.31</v>
      </c>
      <c r="F3581" s="379">
        <v>3.9029082663147507</v>
      </c>
      <c r="G3581" s="25">
        <v>30.03</v>
      </c>
      <c r="H3581" s="379">
        <v>0.47222222222222221</v>
      </c>
      <c r="I3581" s="25">
        <v>33.67</v>
      </c>
      <c r="J3581" s="379">
        <v>0.41332106435787436</v>
      </c>
    </row>
    <row r="3582" spans="1:10" x14ac:dyDescent="0.35">
      <c r="A3582" s="5">
        <v>3578</v>
      </c>
      <c r="B3582" s="5">
        <v>150</v>
      </c>
      <c r="C3582" s="5">
        <v>5</v>
      </c>
      <c r="D3582" s="379">
        <v>42.914999999999999</v>
      </c>
      <c r="E3582" s="25">
        <v>22.87</v>
      </c>
      <c r="F3582" s="379">
        <v>3.6280971274062095</v>
      </c>
      <c r="G3582" s="25">
        <v>30.03</v>
      </c>
      <c r="H3582" s="379">
        <v>0.6290845845312204</v>
      </c>
      <c r="I3582" s="25">
        <v>33.67</v>
      </c>
      <c r="J3582" s="379">
        <v>0.13584194200166957</v>
      </c>
    </row>
    <row r="3583" spans="1:10" x14ac:dyDescent="0.35">
      <c r="A3583" s="5">
        <v>3579</v>
      </c>
      <c r="B3583" s="5">
        <v>150</v>
      </c>
      <c r="C3583" s="5">
        <v>5</v>
      </c>
      <c r="D3583" s="379">
        <v>42.106666666666669</v>
      </c>
      <c r="E3583" s="25">
        <v>22.87</v>
      </c>
      <c r="F3583" s="379">
        <v>4.305427148127861</v>
      </c>
      <c r="G3583" s="25">
        <v>30.03</v>
      </c>
      <c r="H3583" s="379">
        <v>0.85031099004803745</v>
      </c>
      <c r="I3583" s="25">
        <v>33.67</v>
      </c>
      <c r="J3583" s="379">
        <v>0.30198840756213535</v>
      </c>
    </row>
    <row r="3584" spans="1:10" x14ac:dyDescent="0.35">
      <c r="A3584" s="5">
        <v>3580</v>
      </c>
      <c r="B3584" s="5">
        <v>150</v>
      </c>
      <c r="C3584" s="5">
        <v>5</v>
      </c>
      <c r="D3584" s="379">
        <v>42.158333333333339</v>
      </c>
      <c r="E3584" s="25">
        <v>21.98</v>
      </c>
      <c r="F3584" s="379">
        <v>4.5789959604809685</v>
      </c>
      <c r="G3584" s="25">
        <v>30.03</v>
      </c>
      <c r="H3584" s="379">
        <v>0.60966378600668647</v>
      </c>
      <c r="I3584" s="25">
        <v>33.67</v>
      </c>
      <c r="J3584" s="379">
        <v>0.27517851643855251</v>
      </c>
    </row>
    <row r="3585" spans="1:10" x14ac:dyDescent="0.35">
      <c r="A3585" s="5">
        <v>3581</v>
      </c>
      <c r="B3585" s="5">
        <v>150</v>
      </c>
      <c r="C3585" s="5">
        <v>5</v>
      </c>
      <c r="D3585" s="379">
        <v>47.656666666666666</v>
      </c>
      <c r="E3585" s="25">
        <v>21.88</v>
      </c>
      <c r="F3585" s="379">
        <v>5.5814619668607985</v>
      </c>
      <c r="G3585" s="25">
        <v>30.03</v>
      </c>
      <c r="H3585" s="379">
        <v>0.59538866700734139</v>
      </c>
      <c r="I3585" s="25">
        <v>33.67</v>
      </c>
      <c r="J3585" s="379">
        <v>0.11931818181818182</v>
      </c>
    </row>
    <row r="3586" spans="1:10" x14ac:dyDescent="0.35">
      <c r="A3586" s="5">
        <v>3582</v>
      </c>
      <c r="B3586" s="5">
        <v>150</v>
      </c>
      <c r="C3586" s="5">
        <v>5</v>
      </c>
      <c r="D3586" s="379">
        <v>53.712222222222223</v>
      </c>
      <c r="E3586" s="25">
        <v>22.07</v>
      </c>
      <c r="F3586" s="379">
        <v>5.0264655785449124</v>
      </c>
      <c r="G3586" s="25">
        <v>30.03</v>
      </c>
      <c r="H3586" s="379">
        <v>0.65808670058311347</v>
      </c>
      <c r="I3586" s="25">
        <v>33.67</v>
      </c>
      <c r="J3586" s="379">
        <v>0.27114215471768788</v>
      </c>
    </row>
    <row r="3587" spans="1:10" x14ac:dyDescent="0.35">
      <c r="A3587" s="5">
        <v>3583</v>
      </c>
      <c r="B3587" s="5">
        <v>150</v>
      </c>
      <c r="C3587" s="5">
        <v>5</v>
      </c>
      <c r="D3587" s="379">
        <v>59.195555555555551</v>
      </c>
      <c r="E3587" s="25">
        <v>23.59</v>
      </c>
      <c r="F3587" s="379">
        <v>2.9078952740340114</v>
      </c>
      <c r="G3587" s="25">
        <v>30.03</v>
      </c>
      <c r="H3587" s="379">
        <v>0.65808670058311347</v>
      </c>
      <c r="I3587" s="25">
        <v>33.67</v>
      </c>
      <c r="J3587" s="379">
        <v>0.27777777777777779</v>
      </c>
    </row>
    <row r="3588" spans="1:10" x14ac:dyDescent="0.35">
      <c r="A3588" s="5">
        <v>3584</v>
      </c>
      <c r="B3588" s="5">
        <v>150</v>
      </c>
      <c r="C3588" s="5">
        <v>5</v>
      </c>
      <c r="D3588" s="379">
        <v>59.947777777777773</v>
      </c>
      <c r="E3588" s="25">
        <v>23.59</v>
      </c>
      <c r="F3588" s="379">
        <v>4.4160928390712222</v>
      </c>
      <c r="G3588" s="25">
        <v>30.03</v>
      </c>
      <c r="H3588" s="379">
        <v>0.52686956482688918</v>
      </c>
      <c r="I3588" s="25">
        <v>33.67</v>
      </c>
      <c r="J3588" s="379">
        <v>0.18274258352737932</v>
      </c>
    </row>
    <row r="3589" spans="1:10" x14ac:dyDescent="0.35">
      <c r="A3589" s="5">
        <v>3585</v>
      </c>
      <c r="B3589" s="5">
        <v>150</v>
      </c>
      <c r="C3589" s="5">
        <v>5</v>
      </c>
      <c r="D3589" s="379">
        <v>55.974444444444437</v>
      </c>
      <c r="E3589" s="25">
        <v>23.84</v>
      </c>
      <c r="F3589" s="379">
        <v>3.9493946629422187</v>
      </c>
      <c r="G3589" s="25">
        <v>30.03</v>
      </c>
      <c r="H3589" s="379">
        <v>2.777777777777778E-2</v>
      </c>
      <c r="I3589" s="25">
        <v>33.67</v>
      </c>
      <c r="J3589" s="379">
        <v>2.777777777777778E-2</v>
      </c>
    </row>
    <row r="3590" spans="1:10" x14ac:dyDescent="0.35">
      <c r="A3590" s="5">
        <v>3586</v>
      </c>
      <c r="B3590" s="5">
        <v>150</v>
      </c>
      <c r="C3590" s="5">
        <v>5</v>
      </c>
      <c r="D3590" s="379">
        <v>55.983333333333327</v>
      </c>
      <c r="E3590" s="25">
        <v>23.84</v>
      </c>
      <c r="F3590" s="379">
        <v>3.6791512506386241</v>
      </c>
      <c r="G3590" s="25">
        <v>30.03</v>
      </c>
      <c r="H3590" s="379">
        <v>1.9721203955678142</v>
      </c>
      <c r="I3590" s="25">
        <v>33.67</v>
      </c>
      <c r="J3590" s="379">
        <v>2.777777777777778E-2</v>
      </c>
    </row>
    <row r="3591" spans="1:10" x14ac:dyDescent="0.35">
      <c r="A3591" s="5">
        <v>3587</v>
      </c>
      <c r="B3591" s="5">
        <v>150</v>
      </c>
      <c r="C3591" s="5">
        <v>5</v>
      </c>
      <c r="D3591" s="379">
        <v>55.075000000000003</v>
      </c>
      <c r="E3591" s="25">
        <v>23.84</v>
      </c>
      <c r="F3591" s="379">
        <v>3.28788838743858</v>
      </c>
      <c r="G3591" s="25">
        <v>30.03</v>
      </c>
      <c r="H3591" s="379">
        <v>1.8457190916956596</v>
      </c>
      <c r="I3591" s="25">
        <v>33.67</v>
      </c>
      <c r="J3591" s="379">
        <v>2.777777777777778E-2</v>
      </c>
    </row>
    <row r="3592" spans="1:10" x14ac:dyDescent="0.35">
      <c r="A3592" s="5">
        <v>3588</v>
      </c>
      <c r="B3592" s="5">
        <v>150</v>
      </c>
      <c r="C3592" s="5">
        <v>5</v>
      </c>
      <c r="D3592" s="379">
        <v>52.757777777777775</v>
      </c>
      <c r="E3592" s="25">
        <v>23.84</v>
      </c>
      <c r="F3592" s="379">
        <v>3.2727733956087586</v>
      </c>
      <c r="G3592" s="25">
        <v>30.03</v>
      </c>
      <c r="H3592" s="379">
        <v>1.8457190916956596</v>
      </c>
      <c r="I3592" s="25">
        <v>33.67</v>
      </c>
      <c r="J3592" s="379">
        <v>2.777777777777778E-2</v>
      </c>
    </row>
    <row r="3593" spans="1:10" x14ac:dyDescent="0.35">
      <c r="A3593" s="5">
        <v>3589</v>
      </c>
      <c r="B3593" s="5">
        <v>150</v>
      </c>
      <c r="C3593" s="5">
        <v>5</v>
      </c>
      <c r="D3593" s="379">
        <v>51.296111111111109</v>
      </c>
      <c r="E3593" s="25">
        <v>23.84</v>
      </c>
      <c r="F3593" s="379">
        <v>3.2727733956087586</v>
      </c>
      <c r="G3593" s="25">
        <v>30.03</v>
      </c>
      <c r="H3593" s="379">
        <v>1.8457190916956596</v>
      </c>
      <c r="I3593" s="25">
        <v>33.67</v>
      </c>
      <c r="J3593" s="379">
        <v>2.777777777777778E-2</v>
      </c>
    </row>
    <row r="3594" spans="1:10" x14ac:dyDescent="0.35">
      <c r="A3594" s="5">
        <v>3590</v>
      </c>
      <c r="B3594" s="5">
        <v>150</v>
      </c>
      <c r="C3594" s="5">
        <v>5</v>
      </c>
      <c r="D3594" s="379">
        <v>50.226666666666667</v>
      </c>
      <c r="E3594" s="25">
        <v>23.84</v>
      </c>
      <c r="F3594" s="379">
        <v>3.2727733956087586</v>
      </c>
      <c r="G3594" s="25">
        <v>30.03</v>
      </c>
      <c r="H3594" s="379">
        <v>1.8457190916956596</v>
      </c>
      <c r="I3594" s="25">
        <v>33.67</v>
      </c>
      <c r="J3594" s="379">
        <v>2.777777777777778E-2</v>
      </c>
    </row>
    <row r="3595" spans="1:10" x14ac:dyDescent="0.35">
      <c r="A3595" s="5">
        <v>3591</v>
      </c>
      <c r="B3595" s="5">
        <v>150</v>
      </c>
      <c r="C3595" s="5">
        <v>5</v>
      </c>
      <c r="D3595" s="379">
        <v>51.528888888888893</v>
      </c>
      <c r="E3595" s="25">
        <v>23.84</v>
      </c>
      <c r="F3595" s="379">
        <v>3.2727733956087586</v>
      </c>
      <c r="G3595" s="25">
        <v>30.03</v>
      </c>
      <c r="H3595" s="379">
        <v>1.8457190916956596</v>
      </c>
      <c r="I3595" s="25">
        <v>33.67</v>
      </c>
      <c r="J3595" s="379">
        <v>2.777777777777778E-2</v>
      </c>
    </row>
    <row r="3596" spans="1:10" x14ac:dyDescent="0.35">
      <c r="A3596" s="5">
        <v>3592</v>
      </c>
      <c r="B3596" s="5">
        <v>150</v>
      </c>
      <c r="C3596" s="5">
        <v>5</v>
      </c>
      <c r="D3596" s="379">
        <v>53.88333333333334</v>
      </c>
      <c r="E3596" s="25">
        <v>24</v>
      </c>
      <c r="F3596" s="379">
        <v>3.2727733956087586</v>
      </c>
      <c r="G3596" s="25">
        <v>30.03</v>
      </c>
      <c r="H3596" s="379">
        <v>1.8457190916956596</v>
      </c>
      <c r="I3596" s="25">
        <v>33.67</v>
      </c>
      <c r="J3596" s="379">
        <v>2.777777777777778E-2</v>
      </c>
    </row>
    <row r="3597" spans="1:10" x14ac:dyDescent="0.35">
      <c r="A3597" s="5">
        <v>3593</v>
      </c>
      <c r="B3597" s="5">
        <v>150</v>
      </c>
      <c r="C3597" s="5">
        <v>5</v>
      </c>
      <c r="D3597" s="379">
        <v>54.329444444444441</v>
      </c>
      <c r="E3597" s="25">
        <v>24.84</v>
      </c>
      <c r="F3597" s="379">
        <v>3.4541065412481626</v>
      </c>
      <c r="G3597" s="25">
        <v>30.2</v>
      </c>
      <c r="H3597" s="379">
        <v>1.8457190916956596</v>
      </c>
      <c r="I3597" s="25">
        <v>33.67</v>
      </c>
      <c r="J3597" s="379">
        <v>2.777777777777778E-2</v>
      </c>
    </row>
    <row r="3598" spans="1:10" x14ac:dyDescent="0.35">
      <c r="A3598" s="5">
        <v>3594</v>
      </c>
      <c r="B3598" s="5">
        <v>150</v>
      </c>
      <c r="C3598" s="5">
        <v>5</v>
      </c>
      <c r="D3598" s="379">
        <v>57.567222222222227</v>
      </c>
      <c r="E3598" s="25">
        <v>24.84</v>
      </c>
      <c r="F3598" s="379">
        <v>3.4959602864463504</v>
      </c>
      <c r="G3598" s="25">
        <v>31.84</v>
      </c>
      <c r="H3598" s="379">
        <v>1.8660885354983634</v>
      </c>
      <c r="I3598" s="25">
        <v>35.130000000000003</v>
      </c>
      <c r="J3598" s="379">
        <v>2.777777777777778E-2</v>
      </c>
    </row>
    <row r="3599" spans="1:10" x14ac:dyDescent="0.35">
      <c r="A3599" s="5">
        <v>3595</v>
      </c>
      <c r="B3599" s="5">
        <v>150</v>
      </c>
      <c r="C3599" s="5">
        <v>5</v>
      </c>
      <c r="D3599" s="379">
        <v>61.845555555555556</v>
      </c>
      <c r="E3599" s="25">
        <v>24.84</v>
      </c>
      <c r="F3599" s="379">
        <v>5.8930054464946151</v>
      </c>
      <c r="G3599" s="25">
        <v>35.94</v>
      </c>
      <c r="H3599" s="379">
        <v>5.2208463099193363</v>
      </c>
      <c r="I3599" s="25">
        <v>43.96</v>
      </c>
      <c r="J3599" s="379">
        <v>4.3900122394122691</v>
      </c>
    </row>
    <row r="3600" spans="1:10" x14ac:dyDescent="0.35">
      <c r="A3600" s="5">
        <v>3596</v>
      </c>
      <c r="B3600" s="5">
        <v>150</v>
      </c>
      <c r="C3600" s="5">
        <v>5</v>
      </c>
      <c r="D3600" s="379">
        <v>61.634999999999991</v>
      </c>
      <c r="E3600" s="25">
        <v>24.84</v>
      </c>
      <c r="F3600" s="379">
        <v>5.8651107296432077</v>
      </c>
      <c r="G3600" s="25">
        <v>35.94</v>
      </c>
      <c r="H3600" s="379">
        <v>5.3517202985962795</v>
      </c>
      <c r="I3600" s="25">
        <v>44.2</v>
      </c>
      <c r="J3600" s="379">
        <v>3.7133411401150567</v>
      </c>
    </row>
    <row r="3601" spans="1:10" x14ac:dyDescent="0.35">
      <c r="A3601" s="5">
        <v>3597</v>
      </c>
      <c r="B3601" s="5">
        <v>150</v>
      </c>
      <c r="C3601" s="5">
        <v>5</v>
      </c>
      <c r="D3601" s="379">
        <v>57.481111111111098</v>
      </c>
      <c r="E3601" s="25">
        <v>24.84</v>
      </c>
      <c r="F3601" s="379">
        <v>5.7658859097530764</v>
      </c>
      <c r="G3601" s="25">
        <v>38.61</v>
      </c>
      <c r="H3601" s="379">
        <v>5.4094305333721229</v>
      </c>
      <c r="I3601" s="25">
        <v>48.86</v>
      </c>
      <c r="J3601" s="379">
        <v>1.2704489098478873</v>
      </c>
    </row>
    <row r="3602" spans="1:10" x14ac:dyDescent="0.35">
      <c r="A3602" s="5">
        <v>3598</v>
      </c>
      <c r="B3602" s="5">
        <v>150</v>
      </c>
      <c r="C3602" s="5">
        <v>5</v>
      </c>
      <c r="D3602" s="379">
        <v>53.548333333333339</v>
      </c>
      <c r="E3602" s="25">
        <v>24.84</v>
      </c>
      <c r="F3602" s="379">
        <v>5.0344518923905488</v>
      </c>
      <c r="G3602" s="25">
        <v>38.61</v>
      </c>
      <c r="H3602" s="379">
        <v>5.5763671520431757</v>
      </c>
      <c r="I3602" s="25">
        <v>48.86</v>
      </c>
      <c r="J3602" s="379">
        <v>1.1777116451749341</v>
      </c>
    </row>
    <row r="3603" spans="1:10" x14ac:dyDescent="0.35">
      <c r="A3603" s="5">
        <v>3599</v>
      </c>
      <c r="B3603" s="5">
        <v>150</v>
      </c>
      <c r="C3603" s="5">
        <v>5</v>
      </c>
      <c r="D3603" s="379">
        <v>50.385000000000005</v>
      </c>
      <c r="E3603" s="25">
        <v>24.84</v>
      </c>
      <c r="F3603" s="379">
        <v>5.379146297882051</v>
      </c>
      <c r="G3603" s="25">
        <v>35.94</v>
      </c>
      <c r="H3603" s="379">
        <v>5.4584535452199825</v>
      </c>
      <c r="I3603" s="25">
        <v>47.63</v>
      </c>
      <c r="J3603" s="379">
        <v>2.1509709301155864</v>
      </c>
    </row>
    <row r="3604" spans="1:10" x14ac:dyDescent="0.35">
      <c r="A3604" s="5">
        <v>3600</v>
      </c>
      <c r="B3604" s="5">
        <v>150</v>
      </c>
      <c r="C3604" s="5">
        <v>5</v>
      </c>
      <c r="D3604" s="379">
        <v>46.76722222222223</v>
      </c>
      <c r="E3604" s="25">
        <v>24.84</v>
      </c>
      <c r="F3604" s="379">
        <v>5.2955078516469118</v>
      </c>
      <c r="G3604" s="25">
        <v>32.82</v>
      </c>
      <c r="H3604" s="379">
        <v>4.011512647243805</v>
      </c>
      <c r="I3604" s="25">
        <v>44.2</v>
      </c>
      <c r="J3604" s="379">
        <v>0.59365559368279852</v>
      </c>
    </row>
    <row r="3605" spans="1:10" x14ac:dyDescent="0.35">
      <c r="A3605" s="5">
        <v>3601</v>
      </c>
      <c r="B3605" s="5">
        <v>151</v>
      </c>
      <c r="C3605" s="5">
        <v>5</v>
      </c>
      <c r="D3605" s="379">
        <v>43.121111111111105</v>
      </c>
      <c r="E3605" s="25">
        <v>24.84</v>
      </c>
      <c r="F3605" s="379">
        <v>5.2440379871726108</v>
      </c>
      <c r="G3605" s="25">
        <v>33.47</v>
      </c>
      <c r="H3605" s="379">
        <v>4.6624763408286904</v>
      </c>
      <c r="I3605" s="25">
        <v>44.2</v>
      </c>
      <c r="J3605" s="379">
        <v>2.5613751383872643</v>
      </c>
    </row>
    <row r="3606" spans="1:10" x14ac:dyDescent="0.35">
      <c r="A3606" s="5">
        <v>3602</v>
      </c>
      <c r="B3606" s="5">
        <v>151</v>
      </c>
      <c r="C3606" s="5">
        <v>5</v>
      </c>
      <c r="D3606" s="379">
        <v>42.517222222222223</v>
      </c>
      <c r="E3606" s="25">
        <v>24.84</v>
      </c>
      <c r="F3606" s="379">
        <v>4.9669411124566549</v>
      </c>
      <c r="G3606" s="25">
        <v>32.82</v>
      </c>
      <c r="H3606" s="379">
        <v>3.7755042555922507</v>
      </c>
      <c r="I3606" s="25">
        <v>37.57</v>
      </c>
      <c r="J3606" s="379">
        <v>3.2035482198104415</v>
      </c>
    </row>
    <row r="3607" spans="1:10" x14ac:dyDescent="0.35">
      <c r="A3607" s="5">
        <v>3603</v>
      </c>
      <c r="B3607" s="5">
        <v>151</v>
      </c>
      <c r="C3607" s="5">
        <v>5</v>
      </c>
      <c r="D3607" s="379">
        <v>41.834444444444436</v>
      </c>
      <c r="E3607" s="25">
        <v>23.41</v>
      </c>
      <c r="F3607" s="379">
        <v>4.0718947069643301</v>
      </c>
      <c r="G3607" s="25">
        <v>32.82</v>
      </c>
      <c r="H3607" s="379">
        <v>4.3743427264974839</v>
      </c>
      <c r="I3607" s="25">
        <v>36.049999999999997</v>
      </c>
      <c r="J3607" s="379">
        <v>3.2104070070445503</v>
      </c>
    </row>
    <row r="3608" spans="1:10" x14ac:dyDescent="0.35">
      <c r="A3608" s="5">
        <v>3604</v>
      </c>
      <c r="B3608" s="5">
        <v>151</v>
      </c>
      <c r="C3608" s="5">
        <v>5</v>
      </c>
      <c r="D3608" s="379">
        <v>42.208888888888886</v>
      </c>
      <c r="E3608" s="25">
        <v>23.41</v>
      </c>
      <c r="F3608" s="379">
        <v>5.0918080478114458</v>
      </c>
      <c r="G3608" s="25">
        <v>32.82</v>
      </c>
      <c r="H3608" s="379">
        <v>5.0042922274930106</v>
      </c>
      <c r="I3608" s="25">
        <v>35.869999999999997</v>
      </c>
      <c r="J3608" s="379">
        <v>3.5577985699803962</v>
      </c>
    </row>
    <row r="3609" spans="1:10" x14ac:dyDescent="0.35">
      <c r="A3609" s="5">
        <v>3605</v>
      </c>
      <c r="B3609" s="5">
        <v>151</v>
      </c>
      <c r="C3609" s="5">
        <v>5</v>
      </c>
      <c r="D3609" s="379">
        <v>41.774444444444448</v>
      </c>
      <c r="E3609" s="25">
        <v>23.41</v>
      </c>
      <c r="F3609" s="379">
        <v>5.1532768359575067</v>
      </c>
      <c r="G3609" s="25">
        <v>32.82</v>
      </c>
      <c r="H3609" s="379">
        <v>4.9404934810468815</v>
      </c>
      <c r="I3609" s="25">
        <v>37.57</v>
      </c>
      <c r="J3609" s="379">
        <v>3.0318710403153064</v>
      </c>
    </row>
    <row r="3610" spans="1:10" x14ac:dyDescent="0.35">
      <c r="A3610" s="5">
        <v>3606</v>
      </c>
      <c r="B3610" s="5">
        <v>151</v>
      </c>
      <c r="C3610" s="5">
        <v>5</v>
      </c>
      <c r="D3610" s="379">
        <v>47.639444444444443</v>
      </c>
      <c r="E3610" s="25">
        <v>24.84</v>
      </c>
      <c r="F3610" s="379">
        <v>5.3661119855906607</v>
      </c>
      <c r="G3610" s="25">
        <v>33.47</v>
      </c>
      <c r="H3610" s="379">
        <v>4.4833478973519414</v>
      </c>
      <c r="I3610" s="25">
        <v>45.74</v>
      </c>
      <c r="J3610" s="379">
        <v>1.8594777031885523</v>
      </c>
    </row>
    <row r="3611" spans="1:10" x14ac:dyDescent="0.35">
      <c r="A3611" s="5">
        <v>3607</v>
      </c>
      <c r="B3611" s="5">
        <v>151</v>
      </c>
      <c r="C3611" s="5">
        <v>5</v>
      </c>
      <c r="D3611" s="379">
        <v>52.122777777777777</v>
      </c>
      <c r="E3611" s="25">
        <v>24.84</v>
      </c>
      <c r="F3611" s="379">
        <v>5.1391380795212998</v>
      </c>
      <c r="G3611" s="25">
        <v>39.770000000000003</v>
      </c>
      <c r="H3611" s="379">
        <v>3.4213899700746451</v>
      </c>
      <c r="I3611" s="25">
        <v>51.2</v>
      </c>
      <c r="J3611" s="379">
        <v>1.9181078581287467</v>
      </c>
    </row>
    <row r="3612" spans="1:10" x14ac:dyDescent="0.35">
      <c r="A3612" s="5">
        <v>3608</v>
      </c>
      <c r="B3612" s="5">
        <v>151</v>
      </c>
      <c r="C3612" s="5">
        <v>5</v>
      </c>
      <c r="D3612" s="379">
        <v>52.504444444444445</v>
      </c>
      <c r="E3612" s="25">
        <v>24.84</v>
      </c>
      <c r="F3612" s="379">
        <v>4.3612312727525371</v>
      </c>
      <c r="G3612" s="25">
        <v>39.770000000000003</v>
      </c>
      <c r="H3612" s="379">
        <v>1.8457190916956596</v>
      </c>
      <c r="I3612" s="25">
        <v>48.86</v>
      </c>
      <c r="J3612" s="379">
        <v>2.777777777777778E-2</v>
      </c>
    </row>
    <row r="3613" spans="1:10" x14ac:dyDescent="0.35">
      <c r="A3613" s="5">
        <v>3609</v>
      </c>
      <c r="B3613" s="5">
        <v>151</v>
      </c>
      <c r="C3613" s="5">
        <v>5</v>
      </c>
      <c r="D3613" s="379">
        <v>49.079444444444434</v>
      </c>
      <c r="E3613" s="25">
        <v>24.84</v>
      </c>
      <c r="F3613" s="379">
        <v>0.16224290146855674</v>
      </c>
      <c r="G3613" s="25">
        <v>39.770000000000003</v>
      </c>
      <c r="H3613" s="379">
        <v>1.8457190916956596</v>
      </c>
      <c r="I3613" s="25">
        <v>44.6</v>
      </c>
      <c r="J3613" s="379">
        <v>9.2217494332741706E-2</v>
      </c>
    </row>
    <row r="3614" spans="1:10" x14ac:dyDescent="0.35">
      <c r="A3614" s="5">
        <v>3610</v>
      </c>
      <c r="B3614" s="5">
        <v>151</v>
      </c>
      <c r="C3614" s="5">
        <v>5</v>
      </c>
      <c r="D3614" s="379">
        <v>45.19222222222222</v>
      </c>
      <c r="E3614" s="25">
        <v>24.84</v>
      </c>
      <c r="F3614" s="379">
        <v>2.107210211010266</v>
      </c>
      <c r="G3614" s="25">
        <v>39.770000000000003</v>
      </c>
      <c r="H3614" s="379">
        <v>1.8457190916956596</v>
      </c>
      <c r="I3614" s="25">
        <v>36.049999999999997</v>
      </c>
      <c r="J3614" s="379">
        <v>2.777777777777778E-2</v>
      </c>
    </row>
    <row r="3615" spans="1:10" x14ac:dyDescent="0.35">
      <c r="A3615" s="5">
        <v>3611</v>
      </c>
      <c r="B3615" s="5">
        <v>151</v>
      </c>
      <c r="C3615" s="5">
        <v>5</v>
      </c>
      <c r="D3615" s="379">
        <v>43.413333333333334</v>
      </c>
      <c r="E3615" s="25">
        <v>24.84</v>
      </c>
      <c r="F3615" s="379">
        <v>2.0815147248995691</v>
      </c>
      <c r="G3615" s="25">
        <v>39.770000000000003</v>
      </c>
      <c r="H3615" s="379">
        <v>1.8457190916956596</v>
      </c>
      <c r="I3615" s="25">
        <v>35.72</v>
      </c>
      <c r="J3615" s="379">
        <v>2.777777777777778E-2</v>
      </c>
    </row>
    <row r="3616" spans="1:10" x14ac:dyDescent="0.35">
      <c r="A3616" s="5">
        <v>3612</v>
      </c>
      <c r="B3616" s="5">
        <v>151</v>
      </c>
      <c r="C3616" s="5">
        <v>5</v>
      </c>
      <c r="D3616" s="379">
        <v>43.637222222222221</v>
      </c>
      <c r="E3616" s="25">
        <v>24.26</v>
      </c>
      <c r="F3616" s="379">
        <v>2.096629716729391</v>
      </c>
      <c r="G3616" s="25">
        <v>39.770000000000003</v>
      </c>
      <c r="H3616" s="379">
        <v>1.8457190916956596</v>
      </c>
      <c r="I3616" s="25">
        <v>35.72</v>
      </c>
      <c r="J3616" s="379">
        <v>2.777777777777778E-2</v>
      </c>
    </row>
    <row r="3617" spans="1:10" x14ac:dyDescent="0.35">
      <c r="A3617" s="5">
        <v>3613</v>
      </c>
      <c r="B3617" s="5">
        <v>151</v>
      </c>
      <c r="C3617" s="5">
        <v>5</v>
      </c>
      <c r="D3617" s="379">
        <v>45.43944444444444</v>
      </c>
      <c r="E3617" s="25">
        <v>23.84</v>
      </c>
      <c r="F3617" s="379">
        <v>2.096629716729391</v>
      </c>
      <c r="G3617" s="25">
        <v>33.799999999999997</v>
      </c>
      <c r="H3617" s="379">
        <v>1.8457190916956596</v>
      </c>
      <c r="I3617" s="25">
        <v>35.72</v>
      </c>
      <c r="J3617" s="379">
        <v>2.777777777777778E-2</v>
      </c>
    </row>
    <row r="3618" spans="1:10" x14ac:dyDescent="0.35">
      <c r="A3618" s="5">
        <v>3614</v>
      </c>
      <c r="B3618" s="5">
        <v>151</v>
      </c>
      <c r="C3618" s="5">
        <v>5</v>
      </c>
      <c r="D3618" s="379">
        <v>44.403888888888886</v>
      </c>
      <c r="E3618" s="25">
        <v>23.84</v>
      </c>
      <c r="F3618" s="379">
        <v>2.096629716729391</v>
      </c>
      <c r="G3618" s="25">
        <v>33.799999999999997</v>
      </c>
      <c r="H3618" s="379">
        <v>1.8457190916956596</v>
      </c>
      <c r="I3618" s="25">
        <v>35.72</v>
      </c>
      <c r="J3618" s="379">
        <v>2.777777777777778E-2</v>
      </c>
    </row>
    <row r="3619" spans="1:10" x14ac:dyDescent="0.35">
      <c r="A3619" s="5">
        <v>3615</v>
      </c>
      <c r="B3619" s="5">
        <v>151</v>
      </c>
      <c r="C3619" s="5">
        <v>5</v>
      </c>
      <c r="D3619" s="379">
        <v>44.794444444444451</v>
      </c>
      <c r="E3619" s="25">
        <v>23.84</v>
      </c>
      <c r="F3619" s="379">
        <v>2.096629716729391</v>
      </c>
      <c r="G3619" s="25">
        <v>33.799999999999997</v>
      </c>
      <c r="H3619" s="379">
        <v>1.6677711224487881</v>
      </c>
      <c r="I3619" s="25">
        <v>35.72</v>
      </c>
      <c r="J3619" s="379">
        <v>2.777777777777778E-2</v>
      </c>
    </row>
    <row r="3620" spans="1:10" x14ac:dyDescent="0.35">
      <c r="A3620" s="5">
        <v>3616</v>
      </c>
      <c r="B3620" s="5">
        <v>151</v>
      </c>
      <c r="C3620" s="5">
        <v>5</v>
      </c>
      <c r="D3620" s="379">
        <v>46.361111111111114</v>
      </c>
      <c r="E3620" s="25">
        <v>24.26</v>
      </c>
      <c r="F3620" s="379">
        <v>2.107210211010266</v>
      </c>
      <c r="G3620" s="25">
        <v>33.799999999999997</v>
      </c>
      <c r="H3620" s="379">
        <v>1.6677711224487881</v>
      </c>
      <c r="I3620" s="25">
        <v>35.72</v>
      </c>
      <c r="J3620" s="379">
        <v>2.777777777777778E-2</v>
      </c>
    </row>
    <row r="3621" spans="1:10" x14ac:dyDescent="0.35">
      <c r="A3621" s="5">
        <v>3617</v>
      </c>
      <c r="B3621" s="5">
        <v>151</v>
      </c>
      <c r="C3621" s="5">
        <v>5</v>
      </c>
      <c r="D3621" s="379">
        <v>50.697222222222216</v>
      </c>
      <c r="E3621" s="25">
        <v>24.56</v>
      </c>
      <c r="F3621" s="379">
        <v>2.107210211010266</v>
      </c>
      <c r="G3621" s="25">
        <v>33.799999999999997</v>
      </c>
      <c r="H3621" s="379">
        <v>1.6677711224487881</v>
      </c>
      <c r="I3621" s="25">
        <v>35.72</v>
      </c>
      <c r="J3621" s="379">
        <v>2.777777777777778E-2</v>
      </c>
    </row>
    <row r="3622" spans="1:10" x14ac:dyDescent="0.35">
      <c r="A3622" s="5">
        <v>3618</v>
      </c>
      <c r="B3622" s="5">
        <v>151</v>
      </c>
      <c r="C3622" s="5">
        <v>5</v>
      </c>
      <c r="D3622" s="379">
        <v>56.112777777777779</v>
      </c>
      <c r="E3622" s="25">
        <v>24.84</v>
      </c>
      <c r="F3622" s="379">
        <v>0.21036147052782905</v>
      </c>
      <c r="G3622" s="25">
        <v>39.770000000000003</v>
      </c>
      <c r="H3622" s="379">
        <v>1.8457190916956596</v>
      </c>
      <c r="I3622" s="25">
        <v>36.049999999999997</v>
      </c>
      <c r="J3622" s="379">
        <v>2.777777777777778E-2</v>
      </c>
    </row>
    <row r="3623" spans="1:10" x14ac:dyDescent="0.35">
      <c r="A3623" s="5">
        <v>3619</v>
      </c>
      <c r="B3623" s="5">
        <v>151</v>
      </c>
      <c r="C3623" s="5">
        <v>5</v>
      </c>
      <c r="D3623" s="379">
        <v>57.789999999999985</v>
      </c>
      <c r="E3623" s="25">
        <v>24.84</v>
      </c>
      <c r="F3623" s="379">
        <v>0.27765147492653802</v>
      </c>
      <c r="G3623" s="25">
        <v>39.770000000000003</v>
      </c>
      <c r="H3623" s="379">
        <v>1.8457190916956596</v>
      </c>
      <c r="I3623" s="25">
        <v>47.37</v>
      </c>
      <c r="J3623" s="379">
        <v>2.777777777777778E-2</v>
      </c>
    </row>
    <row r="3624" spans="1:10" x14ac:dyDescent="0.35">
      <c r="A3624" s="5">
        <v>3620</v>
      </c>
      <c r="B3624" s="5">
        <v>151</v>
      </c>
      <c r="C3624" s="5">
        <v>5</v>
      </c>
      <c r="D3624" s="379">
        <v>57.367222222222225</v>
      </c>
      <c r="E3624" s="25">
        <v>24.84</v>
      </c>
      <c r="F3624" s="379">
        <v>2.4859137179627333</v>
      </c>
      <c r="G3624" s="25">
        <v>39.86</v>
      </c>
      <c r="H3624" s="379">
        <v>2.777777777777778E-2</v>
      </c>
      <c r="I3624" s="25">
        <v>48.75</v>
      </c>
      <c r="J3624" s="379">
        <v>0.98157791008799489</v>
      </c>
    </row>
    <row r="3625" spans="1:10" x14ac:dyDescent="0.35">
      <c r="A3625" s="5">
        <v>3621</v>
      </c>
      <c r="B3625" s="5">
        <v>151</v>
      </c>
      <c r="C3625" s="5">
        <v>5</v>
      </c>
      <c r="D3625" s="379">
        <v>58.14</v>
      </c>
      <c r="E3625" s="25">
        <v>24.84</v>
      </c>
      <c r="F3625" s="379">
        <v>2.3821304563791625</v>
      </c>
      <c r="G3625" s="25">
        <v>39.86</v>
      </c>
      <c r="H3625" s="379">
        <v>0.14480167642852412</v>
      </c>
      <c r="I3625" s="25">
        <v>49.89</v>
      </c>
      <c r="J3625" s="379">
        <v>1.4124369504417607</v>
      </c>
    </row>
    <row r="3626" spans="1:10" x14ac:dyDescent="0.35">
      <c r="A3626" s="5">
        <v>3622</v>
      </c>
      <c r="B3626" s="5">
        <v>151</v>
      </c>
      <c r="C3626" s="5">
        <v>5</v>
      </c>
      <c r="D3626" s="379">
        <v>55.87166666666667</v>
      </c>
      <c r="E3626" s="25">
        <v>24.84</v>
      </c>
      <c r="F3626" s="379">
        <v>0.28770679037690799</v>
      </c>
      <c r="G3626" s="25">
        <v>39.770000000000003</v>
      </c>
      <c r="H3626" s="379">
        <v>1.8457190916956596</v>
      </c>
      <c r="I3626" s="25">
        <v>49.53</v>
      </c>
      <c r="J3626" s="379">
        <v>4.9598524690844546E-2</v>
      </c>
    </row>
    <row r="3627" spans="1:10" x14ac:dyDescent="0.35">
      <c r="A3627" s="5">
        <v>3623</v>
      </c>
      <c r="B3627" s="5">
        <v>151</v>
      </c>
      <c r="C3627" s="5">
        <v>5</v>
      </c>
      <c r="D3627" s="379">
        <v>53.718888888888891</v>
      </c>
      <c r="E3627" s="25">
        <v>24.84</v>
      </c>
      <c r="F3627" s="379">
        <v>0.29967325568476871</v>
      </c>
      <c r="G3627" s="25">
        <v>35.94</v>
      </c>
      <c r="H3627" s="379">
        <v>1.8457190916956596</v>
      </c>
      <c r="I3627" s="25">
        <v>47.11</v>
      </c>
      <c r="J3627" s="379">
        <v>1.3605549470073204</v>
      </c>
    </row>
    <row r="3628" spans="1:10" x14ac:dyDescent="0.35">
      <c r="A3628" s="5">
        <v>3624</v>
      </c>
      <c r="B3628" s="5">
        <v>151</v>
      </c>
      <c r="C3628" s="5">
        <v>5</v>
      </c>
      <c r="D3628" s="379">
        <v>52.087222222222223</v>
      </c>
      <c r="E3628" s="25">
        <v>24.84</v>
      </c>
      <c r="F3628" s="379">
        <v>0.30714803594085804</v>
      </c>
      <c r="G3628" s="25">
        <v>33.880000000000003</v>
      </c>
      <c r="H3628" s="379">
        <v>1.8457190916956596</v>
      </c>
      <c r="I3628" s="25">
        <v>46.64</v>
      </c>
      <c r="J3628" s="379">
        <v>1.3605549470073204</v>
      </c>
    </row>
    <row r="3629" spans="1:10" x14ac:dyDescent="0.35">
      <c r="A3629" s="5">
        <v>3625</v>
      </c>
      <c r="B3629" s="5">
        <v>152</v>
      </c>
      <c r="C3629" s="5">
        <v>6</v>
      </c>
      <c r="D3629" s="379">
        <v>51.389999999999993</v>
      </c>
      <c r="E3629" s="25">
        <v>23.59</v>
      </c>
      <c r="F3629" s="379">
        <v>0.30720789469857795</v>
      </c>
      <c r="G3629" s="25">
        <v>33.880000000000003</v>
      </c>
      <c r="H3629" s="379">
        <v>1.8457190916956596</v>
      </c>
      <c r="I3629" s="25">
        <v>48.86</v>
      </c>
      <c r="J3629" s="379">
        <v>1.3605549470073204</v>
      </c>
    </row>
    <row r="3630" spans="1:10" x14ac:dyDescent="0.35">
      <c r="A3630" s="5">
        <v>3626</v>
      </c>
      <c r="B3630" s="5">
        <v>152</v>
      </c>
      <c r="C3630" s="5">
        <v>6</v>
      </c>
      <c r="D3630" s="379">
        <v>50.271666666666668</v>
      </c>
      <c r="E3630" s="25">
        <v>22.53</v>
      </c>
      <c r="F3630" s="379">
        <v>0.30714803594085804</v>
      </c>
      <c r="G3630" s="25">
        <v>33.880000000000003</v>
      </c>
      <c r="H3630" s="379">
        <v>1.8457190916956596</v>
      </c>
      <c r="I3630" s="25">
        <v>48.08</v>
      </c>
      <c r="J3630" s="379">
        <v>1.3605549470073204</v>
      </c>
    </row>
    <row r="3631" spans="1:10" x14ac:dyDescent="0.35">
      <c r="A3631" s="5">
        <v>3627</v>
      </c>
      <c r="B3631" s="5">
        <v>152</v>
      </c>
      <c r="C3631" s="5">
        <v>6</v>
      </c>
      <c r="D3631" s="379">
        <v>48.18944444444444</v>
      </c>
      <c r="E3631" s="25">
        <v>23.59</v>
      </c>
      <c r="F3631" s="379">
        <v>0.30911296728133769</v>
      </c>
      <c r="G3631" s="25">
        <v>34.9</v>
      </c>
      <c r="H3631" s="379">
        <v>1.8457190916956596</v>
      </c>
      <c r="I3631" s="25">
        <v>48.86</v>
      </c>
      <c r="J3631" s="379">
        <v>1.3605549470073204</v>
      </c>
    </row>
    <row r="3632" spans="1:10" x14ac:dyDescent="0.35">
      <c r="A3632" s="5">
        <v>3628</v>
      </c>
      <c r="B3632" s="5">
        <v>152</v>
      </c>
      <c r="C3632" s="5">
        <v>6</v>
      </c>
      <c r="D3632" s="379">
        <v>48.338333333333324</v>
      </c>
      <c r="E3632" s="25">
        <v>23.59</v>
      </c>
      <c r="F3632" s="379">
        <v>0.30364090298042318</v>
      </c>
      <c r="G3632" s="25">
        <v>35.94</v>
      </c>
      <c r="H3632" s="379">
        <v>1.8457190916956596</v>
      </c>
      <c r="I3632" s="25">
        <v>50.12</v>
      </c>
      <c r="J3632" s="379">
        <v>2.777777777777778E-2</v>
      </c>
    </row>
    <row r="3633" spans="1:10" x14ac:dyDescent="0.35">
      <c r="A3633" s="5">
        <v>3629</v>
      </c>
      <c r="B3633" s="5">
        <v>152</v>
      </c>
      <c r="C3633" s="5">
        <v>6</v>
      </c>
      <c r="D3633" s="379">
        <v>49.665555555555549</v>
      </c>
      <c r="E3633" s="25">
        <v>24.84</v>
      </c>
      <c r="F3633" s="379">
        <v>0.29315877050005607</v>
      </c>
      <c r="G3633" s="25">
        <v>41.22</v>
      </c>
      <c r="H3633" s="379">
        <v>1.8457190916956596</v>
      </c>
      <c r="I3633" s="25">
        <v>50.12</v>
      </c>
      <c r="J3633" s="379">
        <v>1.4124369504417607</v>
      </c>
    </row>
    <row r="3634" spans="1:10" x14ac:dyDescent="0.35">
      <c r="A3634" s="5">
        <v>3630</v>
      </c>
      <c r="B3634" s="5">
        <v>152</v>
      </c>
      <c r="C3634" s="5">
        <v>6</v>
      </c>
      <c r="D3634" s="379">
        <v>54.876111111111108</v>
      </c>
      <c r="E3634" s="25">
        <v>24.84</v>
      </c>
      <c r="F3634" s="379">
        <v>0.80831101817344542</v>
      </c>
      <c r="G3634" s="25">
        <v>42.29</v>
      </c>
      <c r="H3634" s="379">
        <v>6.7037939020198514E-2</v>
      </c>
      <c r="I3634" s="25">
        <v>53.71</v>
      </c>
      <c r="J3634" s="379">
        <v>1.4124369504417607</v>
      </c>
    </row>
    <row r="3635" spans="1:10" x14ac:dyDescent="0.35">
      <c r="A3635" s="5">
        <v>3631</v>
      </c>
      <c r="B3635" s="5">
        <v>152</v>
      </c>
      <c r="C3635" s="5">
        <v>6</v>
      </c>
      <c r="D3635" s="379">
        <v>59.22</v>
      </c>
      <c r="E3635" s="25">
        <v>25.59</v>
      </c>
      <c r="F3635" s="379">
        <v>6.6236307131217087</v>
      </c>
      <c r="G3635" s="25">
        <v>46.98</v>
      </c>
      <c r="H3635" s="379">
        <v>5.677111760437565E-2</v>
      </c>
      <c r="I3635" s="25">
        <v>54.87</v>
      </c>
      <c r="J3635" s="379">
        <v>1.414076025636644</v>
      </c>
    </row>
    <row r="3636" spans="1:10" x14ac:dyDescent="0.35">
      <c r="A3636" s="5">
        <v>3632</v>
      </c>
      <c r="B3636" s="5">
        <v>152</v>
      </c>
      <c r="C3636" s="5">
        <v>6</v>
      </c>
      <c r="D3636" s="379">
        <v>58.751111111111108</v>
      </c>
      <c r="E3636" s="25">
        <v>25.59</v>
      </c>
      <c r="F3636" s="379">
        <v>6.6236307131217087</v>
      </c>
      <c r="G3636" s="25">
        <v>46.98</v>
      </c>
      <c r="H3636" s="379">
        <v>2.777777777777778E-2</v>
      </c>
      <c r="I3636" s="25">
        <v>56.52</v>
      </c>
      <c r="J3636" s="379">
        <v>1.4124369504417607</v>
      </c>
    </row>
    <row r="3637" spans="1:10" x14ac:dyDescent="0.35">
      <c r="A3637" s="5">
        <v>3633</v>
      </c>
      <c r="B3637" s="5">
        <v>152</v>
      </c>
      <c r="C3637" s="5">
        <v>6</v>
      </c>
      <c r="D3637" s="379">
        <v>56.41</v>
      </c>
      <c r="E3637" s="25">
        <v>25.59</v>
      </c>
      <c r="F3637" s="379">
        <v>6.1801135887293341</v>
      </c>
      <c r="G3637" s="25">
        <v>46.98</v>
      </c>
      <c r="H3637" s="379">
        <v>1.906185971397655</v>
      </c>
      <c r="I3637" s="25">
        <v>54.87</v>
      </c>
      <c r="J3637" s="379">
        <v>1.4124369504417607</v>
      </c>
    </row>
    <row r="3638" spans="1:10" x14ac:dyDescent="0.35">
      <c r="A3638" s="5">
        <v>3634</v>
      </c>
      <c r="B3638" s="5">
        <v>152</v>
      </c>
      <c r="C3638" s="5">
        <v>6</v>
      </c>
      <c r="D3638" s="379">
        <v>53.896666666666661</v>
      </c>
      <c r="E3638" s="25">
        <v>25.59</v>
      </c>
      <c r="F3638" s="379">
        <v>2.6278009855891877</v>
      </c>
      <c r="G3638" s="25">
        <v>46.98</v>
      </c>
      <c r="H3638" s="379">
        <v>1.8457190916956596</v>
      </c>
      <c r="I3638" s="25">
        <v>54.32</v>
      </c>
      <c r="J3638" s="379">
        <v>9.2217494332741706E-2</v>
      </c>
    </row>
    <row r="3639" spans="1:10" x14ac:dyDescent="0.35">
      <c r="A3639" s="5">
        <v>3635</v>
      </c>
      <c r="B3639" s="5">
        <v>152</v>
      </c>
      <c r="C3639" s="5">
        <v>6</v>
      </c>
      <c r="D3639" s="379">
        <v>52.708333333333329</v>
      </c>
      <c r="E3639" s="25">
        <v>25.59</v>
      </c>
      <c r="F3639" s="379">
        <v>2.4981602982115847</v>
      </c>
      <c r="G3639" s="25">
        <v>46.98</v>
      </c>
      <c r="H3639" s="379">
        <v>1.8457190916956596</v>
      </c>
      <c r="I3639" s="25">
        <v>53.27</v>
      </c>
      <c r="J3639" s="379">
        <v>2.777777777777778E-2</v>
      </c>
    </row>
    <row r="3640" spans="1:10" x14ac:dyDescent="0.35">
      <c r="A3640" s="5">
        <v>3636</v>
      </c>
      <c r="B3640" s="5">
        <v>152</v>
      </c>
      <c r="C3640" s="5">
        <v>6</v>
      </c>
      <c r="D3640" s="379">
        <v>50.078333333333326</v>
      </c>
      <c r="E3640" s="25">
        <v>24.99</v>
      </c>
      <c r="F3640" s="379">
        <v>2.2662433266913506</v>
      </c>
      <c r="G3640" s="25">
        <v>46.98</v>
      </c>
      <c r="H3640" s="379">
        <v>1.8457190916956596</v>
      </c>
      <c r="I3640" s="25">
        <v>52.55</v>
      </c>
      <c r="J3640" s="379">
        <v>2.777777777777778E-2</v>
      </c>
    </row>
    <row r="3641" spans="1:10" x14ac:dyDescent="0.35">
      <c r="A3641" s="5">
        <v>3637</v>
      </c>
      <c r="B3641" s="5">
        <v>152</v>
      </c>
      <c r="C3641" s="5">
        <v>6</v>
      </c>
      <c r="D3641" s="379">
        <v>47.510555555555548</v>
      </c>
      <c r="E3641" s="25">
        <v>24.99</v>
      </c>
      <c r="F3641" s="379">
        <v>2.2662433266913506</v>
      </c>
      <c r="G3641" s="25">
        <v>43.56</v>
      </c>
      <c r="H3641" s="379">
        <v>1.8457190916956596</v>
      </c>
      <c r="I3641" s="25">
        <v>50.63</v>
      </c>
      <c r="J3641" s="379">
        <v>2.777777777777778E-2</v>
      </c>
    </row>
    <row r="3642" spans="1:10" x14ac:dyDescent="0.35">
      <c r="A3642" s="5">
        <v>3638</v>
      </c>
      <c r="B3642" s="5">
        <v>152</v>
      </c>
      <c r="C3642" s="5">
        <v>6</v>
      </c>
      <c r="D3642" s="379">
        <v>47.367777777777775</v>
      </c>
      <c r="E3642" s="25">
        <v>24.84</v>
      </c>
      <c r="F3642" s="379">
        <v>2.2662433266913506</v>
      </c>
      <c r="G3642" s="25">
        <v>43.56</v>
      </c>
      <c r="H3642" s="379">
        <v>1.8457190916956596</v>
      </c>
      <c r="I3642" s="25">
        <v>50.12</v>
      </c>
      <c r="J3642" s="379">
        <v>2.777777777777778E-2</v>
      </c>
    </row>
    <row r="3643" spans="1:10" x14ac:dyDescent="0.35">
      <c r="A3643" s="5">
        <v>3639</v>
      </c>
      <c r="B3643" s="5">
        <v>152</v>
      </c>
      <c r="C3643" s="5">
        <v>6</v>
      </c>
      <c r="D3643" s="379">
        <v>46.757222222222211</v>
      </c>
      <c r="E3643" s="25">
        <v>24.84</v>
      </c>
      <c r="F3643" s="379">
        <v>2.2662433266913506</v>
      </c>
      <c r="G3643" s="25">
        <v>43.56</v>
      </c>
      <c r="H3643" s="379">
        <v>1.8457190916956596</v>
      </c>
      <c r="I3643" s="25">
        <v>50.12</v>
      </c>
      <c r="J3643" s="379">
        <v>2.777777777777778E-2</v>
      </c>
    </row>
    <row r="3644" spans="1:10" x14ac:dyDescent="0.35">
      <c r="A3644" s="5">
        <v>3640</v>
      </c>
      <c r="B3644" s="5">
        <v>152</v>
      </c>
      <c r="C3644" s="5">
        <v>6</v>
      </c>
      <c r="D3644" s="379">
        <v>47.980555555555554</v>
      </c>
      <c r="E3644" s="25">
        <v>24.84</v>
      </c>
      <c r="F3644" s="379">
        <v>2.4981602982115847</v>
      </c>
      <c r="G3644" s="25">
        <v>43.56</v>
      </c>
      <c r="H3644" s="379">
        <v>1.8457190916956596</v>
      </c>
      <c r="I3644" s="25">
        <v>50.12</v>
      </c>
      <c r="J3644" s="379">
        <v>2.777777777777778E-2</v>
      </c>
    </row>
    <row r="3645" spans="1:10" x14ac:dyDescent="0.35">
      <c r="A3645" s="5">
        <v>3641</v>
      </c>
      <c r="B3645" s="5">
        <v>152</v>
      </c>
      <c r="C3645" s="5">
        <v>6</v>
      </c>
      <c r="D3645" s="379">
        <v>51.644444444444446</v>
      </c>
      <c r="E3645" s="25">
        <v>24.84</v>
      </c>
      <c r="F3645" s="379">
        <v>8.0075533599052076E-2</v>
      </c>
      <c r="G3645" s="25">
        <v>43.56</v>
      </c>
      <c r="H3645" s="379">
        <v>1.8457190916956596</v>
      </c>
      <c r="I3645" s="25">
        <v>50.63</v>
      </c>
      <c r="J3645" s="379">
        <v>1.957675966045658</v>
      </c>
    </row>
    <row r="3646" spans="1:10" x14ac:dyDescent="0.35">
      <c r="A3646" s="5">
        <v>3642</v>
      </c>
      <c r="B3646" s="5">
        <v>152</v>
      </c>
      <c r="C3646" s="5">
        <v>6</v>
      </c>
      <c r="D3646" s="379">
        <v>57.242777777777775</v>
      </c>
      <c r="E3646" s="25">
        <v>24.99</v>
      </c>
      <c r="F3646" s="379">
        <v>3.6244417014980383</v>
      </c>
      <c r="G3646" s="25">
        <v>46.98</v>
      </c>
      <c r="H3646" s="379">
        <v>1.9030946958243702</v>
      </c>
      <c r="I3646" s="25">
        <v>51.76</v>
      </c>
      <c r="J3646" s="379">
        <v>1.9806895055409619</v>
      </c>
    </row>
    <row r="3647" spans="1:10" x14ac:dyDescent="0.35">
      <c r="A3647" s="5">
        <v>3643</v>
      </c>
      <c r="B3647" s="5">
        <v>152</v>
      </c>
      <c r="C3647" s="5">
        <v>6</v>
      </c>
      <c r="D3647" s="379">
        <v>58.932777777777773</v>
      </c>
      <c r="E3647" s="25">
        <v>24.84</v>
      </c>
      <c r="F3647" s="379">
        <v>4.1949674000696797</v>
      </c>
      <c r="G3647" s="25">
        <v>46.98</v>
      </c>
      <c r="H3647" s="379">
        <v>6.4157178417588653E-2</v>
      </c>
      <c r="I3647" s="25">
        <v>53.27</v>
      </c>
      <c r="J3647" s="379">
        <v>3.7843191658810604</v>
      </c>
    </row>
    <row r="3648" spans="1:10" x14ac:dyDescent="0.35">
      <c r="A3648" s="5">
        <v>3644</v>
      </c>
      <c r="B3648" s="5">
        <v>152</v>
      </c>
      <c r="C3648" s="5">
        <v>6</v>
      </c>
      <c r="D3648" s="379">
        <v>58.771666666666661</v>
      </c>
      <c r="E3648" s="25">
        <v>24.84</v>
      </c>
      <c r="F3648" s="379">
        <v>4.0406375636431315</v>
      </c>
      <c r="G3648" s="25">
        <v>46.98</v>
      </c>
      <c r="H3648" s="379">
        <v>5.5898373947344857E-2</v>
      </c>
      <c r="I3648" s="25">
        <v>53.71</v>
      </c>
      <c r="J3648" s="379">
        <v>3.7843191658810604</v>
      </c>
    </row>
    <row r="3649" spans="1:10" x14ac:dyDescent="0.35">
      <c r="A3649" s="5">
        <v>3645</v>
      </c>
      <c r="B3649" s="5">
        <v>152</v>
      </c>
      <c r="C3649" s="5">
        <v>6</v>
      </c>
      <c r="D3649" s="379">
        <v>57.839444444444439</v>
      </c>
      <c r="E3649" s="25">
        <v>24.84</v>
      </c>
      <c r="F3649" s="379">
        <v>3.5259131090131413</v>
      </c>
      <c r="G3649" s="25">
        <v>46.98</v>
      </c>
      <c r="H3649" s="379">
        <v>7.7383650886537994E-2</v>
      </c>
      <c r="I3649" s="25">
        <v>54.32</v>
      </c>
      <c r="J3649" s="379">
        <v>3.7843191658810604</v>
      </c>
    </row>
    <row r="3650" spans="1:10" x14ac:dyDescent="0.35">
      <c r="A3650" s="5">
        <v>3646</v>
      </c>
      <c r="B3650" s="5">
        <v>152</v>
      </c>
      <c r="C3650" s="5">
        <v>6</v>
      </c>
      <c r="D3650" s="379">
        <v>55.203888888888883</v>
      </c>
      <c r="E3650" s="25">
        <v>24.84</v>
      </c>
      <c r="F3650" s="379">
        <v>4.9532688078385911</v>
      </c>
      <c r="G3650" s="25">
        <v>46.98</v>
      </c>
      <c r="H3650" s="379">
        <v>2.777777777777778E-2</v>
      </c>
      <c r="I3650" s="25">
        <v>54.32</v>
      </c>
      <c r="J3650" s="379">
        <v>3.7843191658810604</v>
      </c>
    </row>
    <row r="3651" spans="1:10" x14ac:dyDescent="0.35">
      <c r="A3651" s="5">
        <v>3647</v>
      </c>
      <c r="B3651" s="5">
        <v>152</v>
      </c>
      <c r="C3651" s="5">
        <v>6</v>
      </c>
      <c r="D3651" s="379">
        <v>51.11333333333333</v>
      </c>
      <c r="E3651" s="25">
        <v>24.84</v>
      </c>
      <c r="F3651" s="379">
        <v>4.8862613827456727</v>
      </c>
      <c r="G3651" s="25">
        <v>42.71</v>
      </c>
      <c r="H3651" s="379">
        <v>0.12971228532694926</v>
      </c>
      <c r="I3651" s="25">
        <v>53.71</v>
      </c>
      <c r="J3651" s="379">
        <v>3.7843191658810604</v>
      </c>
    </row>
    <row r="3652" spans="1:10" x14ac:dyDescent="0.35">
      <c r="A3652" s="5">
        <v>3648</v>
      </c>
      <c r="B3652" s="5">
        <v>152</v>
      </c>
      <c r="C3652" s="5">
        <v>6</v>
      </c>
      <c r="D3652" s="379">
        <v>45.98</v>
      </c>
      <c r="E3652" s="25">
        <v>24.84</v>
      </c>
      <c r="F3652" s="379">
        <v>4.9879811288853819</v>
      </c>
      <c r="G3652" s="25">
        <v>42.29</v>
      </c>
      <c r="H3652" s="379">
        <v>0.1448016764285241</v>
      </c>
      <c r="I3652" s="25">
        <v>50.63</v>
      </c>
      <c r="J3652" s="379">
        <v>3.3518015920428978</v>
      </c>
    </row>
    <row r="3653" spans="1:10" x14ac:dyDescent="0.35">
      <c r="A3653" s="5">
        <v>3649</v>
      </c>
      <c r="B3653" s="5">
        <v>153</v>
      </c>
      <c r="C3653" s="5">
        <v>6</v>
      </c>
      <c r="D3653" s="379">
        <v>44.812222222222218</v>
      </c>
      <c r="E3653" s="25">
        <v>23.41</v>
      </c>
      <c r="F3653" s="379">
        <v>0.39529732635229092</v>
      </c>
      <c r="G3653" s="25">
        <v>31.11</v>
      </c>
      <c r="H3653" s="379">
        <v>1.8457190916956596</v>
      </c>
      <c r="I3653" s="25">
        <v>34.68</v>
      </c>
      <c r="J3653" s="379">
        <v>3.3274396775464283</v>
      </c>
    </row>
    <row r="3654" spans="1:10" x14ac:dyDescent="0.35">
      <c r="A3654" s="5">
        <v>3650</v>
      </c>
      <c r="B3654" s="5">
        <v>153</v>
      </c>
      <c r="C3654" s="5">
        <v>6</v>
      </c>
      <c r="D3654" s="379">
        <v>43.526666666666664</v>
      </c>
      <c r="E3654" s="25">
        <v>22.73</v>
      </c>
      <c r="F3654" s="379">
        <v>0.17144373673036092</v>
      </c>
      <c r="G3654" s="25">
        <v>30.93</v>
      </c>
      <c r="H3654" s="379">
        <v>1.8457190916956596</v>
      </c>
      <c r="I3654" s="25">
        <v>33.67</v>
      </c>
      <c r="J3654" s="379">
        <v>1.4104516054006415</v>
      </c>
    </row>
    <row r="3655" spans="1:10" x14ac:dyDescent="0.35">
      <c r="A3655" s="5">
        <v>3651</v>
      </c>
      <c r="B3655" s="5">
        <v>153</v>
      </c>
      <c r="C3655" s="5">
        <v>6</v>
      </c>
      <c r="D3655" s="379">
        <v>42.061666666666667</v>
      </c>
      <c r="E3655" s="25">
        <v>22.73</v>
      </c>
      <c r="F3655" s="379">
        <v>2.0079346601695609</v>
      </c>
      <c r="G3655" s="25">
        <v>30.93</v>
      </c>
      <c r="H3655" s="379">
        <v>1.8457190916956596</v>
      </c>
      <c r="I3655" s="25">
        <v>33.67</v>
      </c>
      <c r="J3655" s="379">
        <v>2.777777777777778E-2</v>
      </c>
    </row>
    <row r="3656" spans="1:10" x14ac:dyDescent="0.35">
      <c r="A3656" s="5">
        <v>3652</v>
      </c>
      <c r="B3656" s="5">
        <v>153</v>
      </c>
      <c r="C3656" s="5">
        <v>6</v>
      </c>
      <c r="D3656" s="379">
        <v>40.922222222222217</v>
      </c>
      <c r="E3656" s="25">
        <v>22.07</v>
      </c>
      <c r="F3656" s="379">
        <v>2.0079346601695609</v>
      </c>
      <c r="G3656" s="25">
        <v>30.8</v>
      </c>
      <c r="H3656" s="379">
        <v>1.8457190916956596</v>
      </c>
      <c r="I3656" s="25">
        <v>33.67</v>
      </c>
      <c r="J3656" s="379">
        <v>2.777777777777778E-2</v>
      </c>
    </row>
    <row r="3657" spans="1:10" x14ac:dyDescent="0.35">
      <c r="A3657" s="5">
        <v>3653</v>
      </c>
      <c r="B3657" s="5">
        <v>153</v>
      </c>
      <c r="C3657" s="5">
        <v>6</v>
      </c>
      <c r="D3657" s="379">
        <v>40.690555555555555</v>
      </c>
      <c r="E3657" s="25">
        <v>22.07</v>
      </c>
      <c r="F3657" s="379">
        <v>2.0079346601695609</v>
      </c>
      <c r="G3657" s="25">
        <v>30.93</v>
      </c>
      <c r="H3657" s="379">
        <v>0.10737189369301017</v>
      </c>
      <c r="I3657" s="25">
        <v>33.67</v>
      </c>
      <c r="J3657" s="379">
        <v>2.777777777777778E-2</v>
      </c>
    </row>
    <row r="3658" spans="1:10" x14ac:dyDescent="0.35">
      <c r="A3658" s="5">
        <v>3654</v>
      </c>
      <c r="B3658" s="5">
        <v>153</v>
      </c>
      <c r="C3658" s="5">
        <v>6</v>
      </c>
      <c r="D3658" s="379">
        <v>47.48833333333333</v>
      </c>
      <c r="E3658" s="25">
        <v>23.41</v>
      </c>
      <c r="F3658" s="379">
        <v>2.0079346601695609</v>
      </c>
      <c r="G3658" s="25">
        <v>31.11</v>
      </c>
      <c r="H3658" s="379">
        <v>0.10737189369301017</v>
      </c>
      <c r="I3658" s="25">
        <v>33.67</v>
      </c>
      <c r="J3658" s="379">
        <v>2.777777777777778E-2</v>
      </c>
    </row>
    <row r="3659" spans="1:10" x14ac:dyDescent="0.35">
      <c r="A3659" s="5">
        <v>3655</v>
      </c>
      <c r="B3659" s="5">
        <v>153</v>
      </c>
      <c r="C3659" s="5">
        <v>6</v>
      </c>
      <c r="D3659" s="379">
        <v>51.506666666666668</v>
      </c>
      <c r="E3659" s="25">
        <v>24.26</v>
      </c>
      <c r="F3659" s="379">
        <v>2.0079346601695609</v>
      </c>
      <c r="G3659" s="25">
        <v>32.79</v>
      </c>
      <c r="H3659" s="379">
        <v>0.10737189369301019</v>
      </c>
      <c r="I3659" s="25">
        <v>33.67</v>
      </c>
      <c r="J3659" s="379">
        <v>2.777777777777778E-2</v>
      </c>
    </row>
    <row r="3660" spans="1:10" x14ac:dyDescent="0.35">
      <c r="A3660" s="5">
        <v>3656</v>
      </c>
      <c r="B3660" s="5">
        <v>153</v>
      </c>
      <c r="C3660" s="5">
        <v>6</v>
      </c>
      <c r="D3660" s="379">
        <v>51.344444444444441</v>
      </c>
      <c r="E3660" s="25">
        <v>24.26</v>
      </c>
      <c r="F3660" s="379">
        <v>2.0079346601695609</v>
      </c>
      <c r="G3660" s="25">
        <v>36.229999999999997</v>
      </c>
      <c r="H3660" s="379">
        <v>0.10737189369301019</v>
      </c>
      <c r="I3660" s="25">
        <v>33.67</v>
      </c>
      <c r="J3660" s="379">
        <v>2.777777777777778E-2</v>
      </c>
    </row>
    <row r="3661" spans="1:10" x14ac:dyDescent="0.35">
      <c r="A3661" s="5">
        <v>3657</v>
      </c>
      <c r="B3661" s="5">
        <v>153</v>
      </c>
      <c r="C3661" s="5">
        <v>6</v>
      </c>
      <c r="D3661" s="379">
        <v>46.596111111111114</v>
      </c>
      <c r="E3661" s="25">
        <v>24.84</v>
      </c>
      <c r="F3661" s="379">
        <v>2.0079346601695609</v>
      </c>
      <c r="G3661" s="25">
        <v>35.94</v>
      </c>
      <c r="H3661" s="379">
        <v>2.777777777777778E-2</v>
      </c>
      <c r="I3661" s="25">
        <v>33.67</v>
      </c>
      <c r="J3661" s="379">
        <v>2.777777777777778E-2</v>
      </c>
    </row>
    <row r="3662" spans="1:10" x14ac:dyDescent="0.35">
      <c r="A3662" s="5">
        <v>3658</v>
      </c>
      <c r="B3662" s="5">
        <v>153</v>
      </c>
      <c r="C3662" s="5">
        <v>6</v>
      </c>
      <c r="D3662" s="379">
        <v>43.317777777777785</v>
      </c>
      <c r="E3662" s="25">
        <v>24.12</v>
      </c>
      <c r="F3662" s="379">
        <v>1.3768104286795284</v>
      </c>
      <c r="G3662" s="25">
        <v>33.11</v>
      </c>
      <c r="H3662" s="379">
        <v>2.777777777777778E-2</v>
      </c>
      <c r="I3662" s="25">
        <v>33.67</v>
      </c>
      <c r="J3662" s="379">
        <v>2.777777777777778E-2</v>
      </c>
    </row>
    <row r="3663" spans="1:10" x14ac:dyDescent="0.35">
      <c r="A3663" s="5">
        <v>3659</v>
      </c>
      <c r="B3663" s="5">
        <v>153</v>
      </c>
      <c r="C3663" s="5">
        <v>6</v>
      </c>
      <c r="D3663" s="379">
        <v>40.493333333333332</v>
      </c>
      <c r="E3663" s="25">
        <v>24</v>
      </c>
      <c r="F3663" s="379">
        <v>1.3768104286795284</v>
      </c>
      <c r="G3663" s="25">
        <v>30.93</v>
      </c>
      <c r="H3663" s="379">
        <v>2.777777777777778E-2</v>
      </c>
      <c r="I3663" s="25">
        <v>33.67</v>
      </c>
      <c r="J3663" s="379">
        <v>2.777777777777778E-2</v>
      </c>
    </row>
    <row r="3664" spans="1:10" x14ac:dyDescent="0.35">
      <c r="A3664" s="5">
        <v>3660</v>
      </c>
      <c r="B3664" s="5">
        <v>153</v>
      </c>
      <c r="C3664" s="5">
        <v>6</v>
      </c>
      <c r="D3664" s="379">
        <v>40.088888888888889</v>
      </c>
      <c r="E3664" s="25">
        <v>23.84</v>
      </c>
      <c r="F3664" s="379">
        <v>1.3768104286795284</v>
      </c>
      <c r="G3664" s="25">
        <v>30.6</v>
      </c>
      <c r="H3664" s="379">
        <v>2.777777777777778E-2</v>
      </c>
      <c r="I3664" s="25">
        <v>33.67</v>
      </c>
      <c r="J3664" s="379">
        <v>2.777777777777778E-2</v>
      </c>
    </row>
    <row r="3665" spans="1:10" x14ac:dyDescent="0.35">
      <c r="A3665" s="5">
        <v>3661</v>
      </c>
      <c r="B3665" s="5">
        <v>153</v>
      </c>
      <c r="C3665" s="5">
        <v>6</v>
      </c>
      <c r="D3665" s="379">
        <v>38.145555555555553</v>
      </c>
      <c r="E3665" s="25">
        <v>23.84</v>
      </c>
      <c r="F3665" s="379">
        <v>2.777777777777778E-2</v>
      </c>
      <c r="G3665" s="25">
        <v>30.03</v>
      </c>
      <c r="H3665" s="379">
        <v>2.777777777777778E-2</v>
      </c>
      <c r="I3665" s="25">
        <v>33.67</v>
      </c>
      <c r="J3665" s="379">
        <v>2.777777777777778E-2</v>
      </c>
    </row>
    <row r="3666" spans="1:10" x14ac:dyDescent="0.35">
      <c r="A3666" s="5">
        <v>3662</v>
      </c>
      <c r="B3666" s="5">
        <v>153</v>
      </c>
      <c r="C3666" s="5">
        <v>6</v>
      </c>
      <c r="D3666" s="379">
        <v>37.916666666666671</v>
      </c>
      <c r="E3666" s="25">
        <v>23.84</v>
      </c>
      <c r="F3666" s="379">
        <v>2.777777777777778E-2</v>
      </c>
      <c r="G3666" s="25">
        <v>30.03</v>
      </c>
      <c r="H3666" s="379">
        <v>2.777777777777778E-2</v>
      </c>
      <c r="I3666" s="25">
        <v>33.67</v>
      </c>
      <c r="J3666" s="379">
        <v>2.777777777777778E-2</v>
      </c>
    </row>
    <row r="3667" spans="1:10" x14ac:dyDescent="0.35">
      <c r="A3667" s="5">
        <v>3663</v>
      </c>
      <c r="B3667" s="5">
        <v>153</v>
      </c>
      <c r="C3667" s="5">
        <v>6</v>
      </c>
      <c r="D3667" s="379">
        <v>38.802777777777777</v>
      </c>
      <c r="E3667" s="25">
        <v>23.84</v>
      </c>
      <c r="F3667" s="379">
        <v>2.777777777777778E-2</v>
      </c>
      <c r="G3667" s="25">
        <v>30.03</v>
      </c>
      <c r="H3667" s="379">
        <v>2.777777777777778E-2</v>
      </c>
      <c r="I3667" s="25">
        <v>33.67</v>
      </c>
      <c r="J3667" s="379">
        <v>2.777777777777778E-2</v>
      </c>
    </row>
    <row r="3668" spans="1:10" x14ac:dyDescent="0.35">
      <c r="A3668" s="5">
        <v>3664</v>
      </c>
      <c r="B3668" s="5">
        <v>153</v>
      </c>
      <c r="C3668" s="5">
        <v>6</v>
      </c>
      <c r="D3668" s="379">
        <v>41.569444444444443</v>
      </c>
      <c r="E3668" s="25">
        <v>23.84</v>
      </c>
      <c r="F3668" s="379">
        <v>2.777777777777778E-2</v>
      </c>
      <c r="G3668" s="25">
        <v>30.6</v>
      </c>
      <c r="H3668" s="379">
        <v>2.777777777777778E-2</v>
      </c>
      <c r="I3668" s="25">
        <v>33.67</v>
      </c>
      <c r="J3668" s="379">
        <v>2.777777777777778E-2</v>
      </c>
    </row>
    <row r="3669" spans="1:10" x14ac:dyDescent="0.35">
      <c r="A3669" s="5">
        <v>3665</v>
      </c>
      <c r="B3669" s="5">
        <v>153</v>
      </c>
      <c r="C3669" s="5">
        <v>6</v>
      </c>
      <c r="D3669" s="379">
        <v>44.766666666666666</v>
      </c>
      <c r="E3669" s="25">
        <v>23.84</v>
      </c>
      <c r="F3669" s="379">
        <v>0.116808537032669</v>
      </c>
      <c r="G3669" s="25">
        <v>30.91</v>
      </c>
      <c r="H3669" s="379">
        <v>2.777777777777778E-2</v>
      </c>
      <c r="I3669" s="25">
        <v>33.67</v>
      </c>
      <c r="J3669" s="379">
        <v>2.777777777777778E-2</v>
      </c>
    </row>
    <row r="3670" spans="1:10" x14ac:dyDescent="0.35">
      <c r="A3670" s="5">
        <v>3666</v>
      </c>
      <c r="B3670" s="5">
        <v>153</v>
      </c>
      <c r="C3670" s="5">
        <v>6</v>
      </c>
      <c r="D3670" s="379">
        <v>49.72</v>
      </c>
      <c r="E3670" s="25">
        <v>23.84</v>
      </c>
      <c r="F3670" s="379">
        <v>2.0079346601695609</v>
      </c>
      <c r="G3670" s="25">
        <v>30.93</v>
      </c>
      <c r="H3670" s="379">
        <v>2.777777777777778E-2</v>
      </c>
      <c r="I3670" s="25">
        <v>33.67</v>
      </c>
      <c r="J3670" s="379">
        <v>2.777777777777778E-2</v>
      </c>
    </row>
    <row r="3671" spans="1:10" x14ac:dyDescent="0.35">
      <c r="A3671" s="5">
        <v>3667</v>
      </c>
      <c r="B3671" s="5">
        <v>153</v>
      </c>
      <c r="C3671" s="5">
        <v>6</v>
      </c>
      <c r="D3671" s="379">
        <v>49.969444444444449</v>
      </c>
      <c r="E3671" s="25">
        <v>23.59</v>
      </c>
      <c r="F3671" s="379">
        <v>2.0079346601695609</v>
      </c>
      <c r="G3671" s="25">
        <v>32.89</v>
      </c>
      <c r="H3671" s="379">
        <v>2.777777777777778E-2</v>
      </c>
      <c r="I3671" s="25">
        <v>33.67</v>
      </c>
      <c r="J3671" s="379">
        <v>2.777777777777778E-2</v>
      </c>
    </row>
    <row r="3672" spans="1:10" x14ac:dyDescent="0.35">
      <c r="A3672" s="5">
        <v>3668</v>
      </c>
      <c r="B3672" s="5">
        <v>153</v>
      </c>
      <c r="C3672" s="5">
        <v>6</v>
      </c>
      <c r="D3672" s="379">
        <v>50.202222222222218</v>
      </c>
      <c r="E3672" s="25">
        <v>23.59</v>
      </c>
      <c r="F3672" s="379">
        <v>2.0079346601695609</v>
      </c>
      <c r="G3672" s="25">
        <v>32.79</v>
      </c>
      <c r="H3672" s="379">
        <v>1.8457190916956596</v>
      </c>
      <c r="I3672" s="25">
        <v>33.67</v>
      </c>
      <c r="J3672" s="379">
        <v>2.777777777777778E-2</v>
      </c>
    </row>
    <row r="3673" spans="1:10" x14ac:dyDescent="0.35">
      <c r="A3673" s="5">
        <v>3669</v>
      </c>
      <c r="B3673" s="5">
        <v>153</v>
      </c>
      <c r="C3673" s="5">
        <v>6</v>
      </c>
      <c r="D3673" s="379">
        <v>49.694444444444436</v>
      </c>
      <c r="E3673" s="25">
        <v>23.59</v>
      </c>
      <c r="F3673" s="379">
        <v>2.0079346601695609</v>
      </c>
      <c r="G3673" s="25">
        <v>30.93</v>
      </c>
      <c r="H3673" s="379">
        <v>1.8457190916956596</v>
      </c>
      <c r="I3673" s="25">
        <v>33.67</v>
      </c>
      <c r="J3673" s="379">
        <v>3.24179375022427E-2</v>
      </c>
    </row>
    <row r="3674" spans="1:10" x14ac:dyDescent="0.35">
      <c r="A3674" s="5">
        <v>3670</v>
      </c>
      <c r="B3674" s="5">
        <v>153</v>
      </c>
      <c r="C3674" s="5">
        <v>6</v>
      </c>
      <c r="D3674" s="379">
        <v>47.051111111111105</v>
      </c>
      <c r="E3674" s="25">
        <v>24.11</v>
      </c>
      <c r="F3674" s="379">
        <v>2.0079346601695609</v>
      </c>
      <c r="G3674" s="25">
        <v>30.93</v>
      </c>
      <c r="H3674" s="379">
        <v>1.8457190916956596</v>
      </c>
      <c r="I3674" s="25">
        <v>33.67</v>
      </c>
      <c r="J3674" s="379">
        <v>3.24179375022427E-2</v>
      </c>
    </row>
    <row r="3675" spans="1:10" x14ac:dyDescent="0.35">
      <c r="A3675" s="5">
        <v>3671</v>
      </c>
      <c r="B3675" s="5">
        <v>153</v>
      </c>
      <c r="C3675" s="5">
        <v>6</v>
      </c>
      <c r="D3675" s="379">
        <v>44.437777777777775</v>
      </c>
      <c r="E3675" s="25">
        <v>23.59</v>
      </c>
      <c r="F3675" s="379">
        <v>2.0079346601695609</v>
      </c>
      <c r="G3675" s="25">
        <v>30.03</v>
      </c>
      <c r="H3675" s="379">
        <v>1.8457190916956596</v>
      </c>
      <c r="I3675" s="25">
        <v>33.67</v>
      </c>
      <c r="J3675" s="379">
        <v>3.24179375022427E-2</v>
      </c>
    </row>
    <row r="3676" spans="1:10" x14ac:dyDescent="0.35">
      <c r="A3676" s="5">
        <v>3672</v>
      </c>
      <c r="B3676" s="5">
        <v>153</v>
      </c>
      <c r="C3676" s="5">
        <v>6</v>
      </c>
      <c r="D3676" s="379">
        <v>43.482777777777777</v>
      </c>
      <c r="E3676" s="25">
        <v>17.29</v>
      </c>
      <c r="F3676" s="379">
        <v>2.0079346601695609</v>
      </c>
      <c r="G3676" s="25">
        <v>30.03</v>
      </c>
      <c r="H3676" s="379">
        <v>1.8457190916956596</v>
      </c>
      <c r="I3676" s="25">
        <v>33.67</v>
      </c>
      <c r="J3676" s="379">
        <v>3.24179375022427E-2</v>
      </c>
    </row>
    <row r="3677" spans="1:10" x14ac:dyDescent="0.35">
      <c r="A3677" s="5">
        <v>3673</v>
      </c>
      <c r="B3677" s="5">
        <v>154</v>
      </c>
      <c r="C3677" s="5">
        <v>6</v>
      </c>
      <c r="D3677" s="379">
        <v>42.43333333333333</v>
      </c>
      <c r="E3677" s="25">
        <v>16.78</v>
      </c>
      <c r="F3677" s="379">
        <v>2.0079346601695609</v>
      </c>
      <c r="G3677" s="25">
        <v>30.03</v>
      </c>
      <c r="H3677" s="379">
        <v>1.8457190916956596</v>
      </c>
      <c r="I3677" s="25">
        <v>33.67</v>
      </c>
      <c r="J3677" s="379">
        <v>3.24179375022427E-2</v>
      </c>
    </row>
    <row r="3678" spans="1:10" x14ac:dyDescent="0.35">
      <c r="A3678" s="5">
        <v>3674</v>
      </c>
      <c r="B3678" s="5">
        <v>154</v>
      </c>
      <c r="C3678" s="5">
        <v>6</v>
      </c>
      <c r="D3678" s="379">
        <v>41.156666666666673</v>
      </c>
      <c r="E3678" s="25">
        <v>16.78</v>
      </c>
      <c r="F3678" s="379">
        <v>2.0304971661746483</v>
      </c>
      <c r="G3678" s="25">
        <v>30.03</v>
      </c>
      <c r="H3678" s="379">
        <v>1.8457190916956596</v>
      </c>
      <c r="I3678" s="25">
        <v>33.67</v>
      </c>
      <c r="J3678" s="379">
        <v>3.24179375022427E-2</v>
      </c>
    </row>
    <row r="3679" spans="1:10" x14ac:dyDescent="0.35">
      <c r="A3679" s="5">
        <v>3675</v>
      </c>
      <c r="B3679" s="5">
        <v>154</v>
      </c>
      <c r="C3679" s="5">
        <v>6</v>
      </c>
      <c r="D3679" s="379">
        <v>41.033333333333331</v>
      </c>
      <c r="E3679" s="25">
        <v>17.29</v>
      </c>
      <c r="F3679" s="379">
        <v>2.0079346601695609</v>
      </c>
      <c r="G3679" s="25">
        <v>30.03</v>
      </c>
      <c r="H3679" s="379">
        <v>1.8457190916956596</v>
      </c>
      <c r="I3679" s="25">
        <v>33.67</v>
      </c>
      <c r="J3679" s="379">
        <v>3.24179375022427E-2</v>
      </c>
    </row>
    <row r="3680" spans="1:10" x14ac:dyDescent="0.35">
      <c r="A3680" s="5">
        <v>3676</v>
      </c>
      <c r="B3680" s="5">
        <v>154</v>
      </c>
      <c r="C3680" s="5">
        <v>6</v>
      </c>
      <c r="D3680" s="379">
        <v>40.686111111111103</v>
      </c>
      <c r="E3680" s="25">
        <v>20.5</v>
      </c>
      <c r="F3680" s="379">
        <v>2.0079346601695609</v>
      </c>
      <c r="G3680" s="25">
        <v>30.03</v>
      </c>
      <c r="H3680" s="379">
        <v>1.8457190916956596</v>
      </c>
      <c r="I3680" s="25">
        <v>33.67</v>
      </c>
      <c r="J3680" s="379">
        <v>3.24179375022427E-2</v>
      </c>
    </row>
    <row r="3681" spans="1:10" x14ac:dyDescent="0.35">
      <c r="A3681" s="5">
        <v>3677</v>
      </c>
      <c r="B3681" s="5">
        <v>154</v>
      </c>
      <c r="C3681" s="5">
        <v>6</v>
      </c>
      <c r="D3681" s="379">
        <v>40.700555555555553</v>
      </c>
      <c r="E3681" s="25">
        <v>21.88</v>
      </c>
      <c r="F3681" s="379">
        <v>2.0815147248995691</v>
      </c>
      <c r="G3681" s="25">
        <v>31.11</v>
      </c>
      <c r="H3681" s="379">
        <v>1.8457190916956596</v>
      </c>
      <c r="I3681" s="25">
        <v>33.67</v>
      </c>
      <c r="J3681" s="379">
        <v>3.24179375022427E-2</v>
      </c>
    </row>
    <row r="3682" spans="1:10" x14ac:dyDescent="0.35">
      <c r="A3682" s="5">
        <v>3678</v>
      </c>
      <c r="B3682" s="5">
        <v>154</v>
      </c>
      <c r="C3682" s="5">
        <v>6</v>
      </c>
      <c r="D3682" s="379">
        <v>47.170555555555552</v>
      </c>
      <c r="E3682" s="25">
        <v>24.84</v>
      </c>
      <c r="F3682" s="379">
        <v>2.0815147248995691</v>
      </c>
      <c r="G3682" s="25">
        <v>32.79</v>
      </c>
      <c r="H3682" s="379">
        <v>1.8457190916956596</v>
      </c>
      <c r="I3682" s="25">
        <v>37.9</v>
      </c>
      <c r="J3682" s="379">
        <v>3.24179375022427E-2</v>
      </c>
    </row>
    <row r="3683" spans="1:10" x14ac:dyDescent="0.35">
      <c r="A3683" s="5">
        <v>3679</v>
      </c>
      <c r="B3683" s="5">
        <v>154</v>
      </c>
      <c r="C3683" s="5">
        <v>6</v>
      </c>
      <c r="D3683" s="379">
        <v>50.89</v>
      </c>
      <c r="E3683" s="25">
        <v>24.84</v>
      </c>
      <c r="F3683" s="379">
        <v>2.0815147248995691</v>
      </c>
      <c r="G3683" s="25">
        <v>42.29</v>
      </c>
      <c r="H3683" s="379">
        <v>1.8457190916956596</v>
      </c>
      <c r="I3683" s="25">
        <v>45.33</v>
      </c>
      <c r="J3683" s="379">
        <v>3.24179375022427E-2</v>
      </c>
    </row>
    <row r="3684" spans="1:10" x14ac:dyDescent="0.35">
      <c r="A3684" s="5">
        <v>3680</v>
      </c>
      <c r="B3684" s="5">
        <v>154</v>
      </c>
      <c r="C3684" s="5">
        <v>6</v>
      </c>
      <c r="D3684" s="379">
        <v>48.463333333333331</v>
      </c>
      <c r="E3684" s="25">
        <v>24.84</v>
      </c>
      <c r="F3684" s="379">
        <v>2.0815147248995691</v>
      </c>
      <c r="G3684" s="25">
        <v>43.12</v>
      </c>
      <c r="H3684" s="379">
        <v>1.84933551139152</v>
      </c>
      <c r="I3684" s="25">
        <v>45.33</v>
      </c>
      <c r="J3684" s="379">
        <v>2.777777777777778E-2</v>
      </c>
    </row>
    <row r="3685" spans="1:10" x14ac:dyDescent="0.35">
      <c r="A3685" s="5">
        <v>3681</v>
      </c>
      <c r="B3685" s="5">
        <v>154</v>
      </c>
      <c r="C3685" s="5">
        <v>6</v>
      </c>
      <c r="D3685" s="379">
        <v>46.176111111111112</v>
      </c>
      <c r="E3685" s="25">
        <v>24.84</v>
      </c>
      <c r="F3685" s="379">
        <v>2.0815147248995691</v>
      </c>
      <c r="G3685" s="25">
        <v>42.46</v>
      </c>
      <c r="H3685" s="379">
        <v>1.269198086404526</v>
      </c>
      <c r="I3685" s="25">
        <v>42.45</v>
      </c>
      <c r="J3685" s="379">
        <v>2.777777777777778E-2</v>
      </c>
    </row>
    <row r="3686" spans="1:10" x14ac:dyDescent="0.35">
      <c r="A3686" s="5">
        <v>3682</v>
      </c>
      <c r="B3686" s="5">
        <v>154</v>
      </c>
      <c r="C3686" s="5">
        <v>6</v>
      </c>
      <c r="D3686" s="379">
        <v>43.216666666666669</v>
      </c>
      <c r="E3686" s="25">
        <v>24.84</v>
      </c>
      <c r="F3686" s="379">
        <v>2.0815147248995691</v>
      </c>
      <c r="G3686" s="25">
        <v>39.770000000000003</v>
      </c>
      <c r="H3686" s="379">
        <v>0.10737189369301019</v>
      </c>
      <c r="I3686" s="25">
        <v>34.01</v>
      </c>
      <c r="J3686" s="379">
        <v>2.777777777777778E-2</v>
      </c>
    </row>
    <row r="3687" spans="1:10" x14ac:dyDescent="0.35">
      <c r="A3687" s="5">
        <v>3683</v>
      </c>
      <c r="B3687" s="5">
        <v>154</v>
      </c>
      <c r="C3687" s="5">
        <v>6</v>
      </c>
      <c r="D3687" s="379">
        <v>39.193333333333335</v>
      </c>
      <c r="E3687" s="25">
        <v>24.84</v>
      </c>
      <c r="F3687" s="379">
        <v>2.0815147248995691</v>
      </c>
      <c r="G3687" s="25">
        <v>37.020000000000003</v>
      </c>
      <c r="H3687" s="379">
        <v>2.777777777777778E-2</v>
      </c>
      <c r="I3687" s="25">
        <v>34</v>
      </c>
      <c r="J3687" s="379">
        <v>2.777777777777778E-2</v>
      </c>
    </row>
    <row r="3688" spans="1:10" x14ac:dyDescent="0.35">
      <c r="A3688" s="5">
        <v>3684</v>
      </c>
      <c r="B3688" s="5">
        <v>154</v>
      </c>
      <c r="C3688" s="5">
        <v>6</v>
      </c>
      <c r="D3688" s="379">
        <v>39.438333333333333</v>
      </c>
      <c r="E3688" s="25">
        <v>24.84</v>
      </c>
      <c r="F3688" s="379">
        <v>2.0815147248995691</v>
      </c>
      <c r="G3688" s="25">
        <v>37.020000000000003</v>
      </c>
      <c r="H3688" s="379">
        <v>2.777777777777778E-2</v>
      </c>
      <c r="I3688" s="25">
        <v>34</v>
      </c>
      <c r="J3688" s="379">
        <v>2.777777777777778E-2</v>
      </c>
    </row>
    <row r="3689" spans="1:10" x14ac:dyDescent="0.35">
      <c r="A3689" s="5">
        <v>3685</v>
      </c>
      <c r="B3689" s="5">
        <v>154</v>
      </c>
      <c r="C3689" s="5">
        <v>6</v>
      </c>
      <c r="D3689" s="379">
        <v>36.955000000000005</v>
      </c>
      <c r="E3689" s="25">
        <v>24.84</v>
      </c>
      <c r="F3689" s="379">
        <v>2.041334382271923</v>
      </c>
      <c r="G3689" s="25">
        <v>36.65</v>
      </c>
      <c r="H3689" s="379">
        <v>2.777777777777778E-2</v>
      </c>
      <c r="I3689" s="25">
        <v>34</v>
      </c>
      <c r="J3689" s="379">
        <v>2.777777777777778E-2</v>
      </c>
    </row>
    <row r="3690" spans="1:10" x14ac:dyDescent="0.35">
      <c r="A3690" s="5">
        <v>3686</v>
      </c>
      <c r="B3690" s="5">
        <v>154</v>
      </c>
      <c r="C3690" s="5">
        <v>6</v>
      </c>
      <c r="D3690" s="379">
        <v>37.94</v>
      </c>
      <c r="E3690" s="25">
        <v>24.84</v>
      </c>
      <c r="F3690" s="379">
        <v>2.041334382271923</v>
      </c>
      <c r="G3690" s="25">
        <v>36.65</v>
      </c>
      <c r="H3690" s="379">
        <v>2.777777777777778E-2</v>
      </c>
      <c r="I3690" s="25">
        <v>34</v>
      </c>
      <c r="J3690" s="379">
        <v>2.777777777777778E-2</v>
      </c>
    </row>
    <row r="3691" spans="1:10" x14ac:dyDescent="0.35">
      <c r="A3691" s="5">
        <v>3687</v>
      </c>
      <c r="B3691" s="5">
        <v>154</v>
      </c>
      <c r="C3691" s="5">
        <v>6</v>
      </c>
      <c r="D3691" s="379">
        <v>37.995555555555562</v>
      </c>
      <c r="E3691" s="25">
        <v>24.84</v>
      </c>
      <c r="F3691" s="379">
        <v>1.4102101507818905</v>
      </c>
      <c r="G3691" s="25">
        <v>36.65</v>
      </c>
      <c r="H3691" s="379">
        <v>2.777777777777778E-2</v>
      </c>
      <c r="I3691" s="25">
        <v>34.25</v>
      </c>
      <c r="J3691" s="379">
        <v>2.777777777777778E-2</v>
      </c>
    </row>
    <row r="3692" spans="1:10" x14ac:dyDescent="0.35">
      <c r="A3692" s="5">
        <v>3688</v>
      </c>
      <c r="B3692" s="5">
        <v>154</v>
      </c>
      <c r="C3692" s="5">
        <v>6</v>
      </c>
      <c r="D3692" s="379">
        <v>37.092777777777776</v>
      </c>
      <c r="E3692" s="25">
        <v>24.84</v>
      </c>
      <c r="F3692" s="379">
        <v>1.8477470174528694</v>
      </c>
      <c r="G3692" s="25">
        <v>37.020000000000003</v>
      </c>
      <c r="H3692" s="379">
        <v>2.777777777777778E-2</v>
      </c>
      <c r="I3692" s="25">
        <v>36.08</v>
      </c>
      <c r="J3692" s="379">
        <v>2.777777777777778E-2</v>
      </c>
    </row>
    <row r="3693" spans="1:10" x14ac:dyDescent="0.35">
      <c r="A3693" s="5">
        <v>3689</v>
      </c>
      <c r="B3693" s="5">
        <v>154</v>
      </c>
      <c r="C3693" s="5">
        <v>6</v>
      </c>
      <c r="D3693" s="379">
        <v>42.861666666666665</v>
      </c>
      <c r="E3693" s="25">
        <v>24.84</v>
      </c>
      <c r="F3693" s="379">
        <v>2.0815147248995691</v>
      </c>
      <c r="G3693" s="25">
        <v>44.69</v>
      </c>
      <c r="H3693" s="379">
        <v>2.777777777777778E-2</v>
      </c>
      <c r="I3693" s="25">
        <v>44.68</v>
      </c>
      <c r="J3693" s="379">
        <v>2.777777777777778E-2</v>
      </c>
    </row>
    <row r="3694" spans="1:10" x14ac:dyDescent="0.35">
      <c r="A3694" s="5">
        <v>3690</v>
      </c>
      <c r="B3694" s="5">
        <v>154</v>
      </c>
      <c r="C3694" s="5">
        <v>6</v>
      </c>
      <c r="D3694" s="379">
        <v>45.939444444444447</v>
      </c>
      <c r="E3694" s="25">
        <v>24.99</v>
      </c>
      <c r="F3694" s="379">
        <v>0.16316339786128042</v>
      </c>
      <c r="G3694" s="25">
        <v>44.86</v>
      </c>
      <c r="H3694" s="379">
        <v>1.2655816667086657</v>
      </c>
      <c r="I3694" s="25">
        <v>51.02</v>
      </c>
      <c r="J3694" s="379">
        <v>0.32644672953982928</v>
      </c>
    </row>
    <row r="3695" spans="1:10" x14ac:dyDescent="0.35">
      <c r="A3695" s="5">
        <v>3691</v>
      </c>
      <c r="B3695" s="5">
        <v>154</v>
      </c>
      <c r="C3695" s="5">
        <v>6</v>
      </c>
      <c r="D3695" s="379">
        <v>46.393888888888881</v>
      </c>
      <c r="E3695" s="25">
        <v>25.29</v>
      </c>
      <c r="F3695" s="379">
        <v>6.1451460190202827</v>
      </c>
      <c r="G3695" s="25">
        <v>44.86</v>
      </c>
      <c r="H3695" s="379">
        <v>5.3541521729984449</v>
      </c>
      <c r="I3695" s="25">
        <v>53.71</v>
      </c>
      <c r="J3695" s="379">
        <v>4.63869405890396</v>
      </c>
    </row>
    <row r="3696" spans="1:10" x14ac:dyDescent="0.35">
      <c r="A3696" s="5">
        <v>3692</v>
      </c>
      <c r="B3696" s="5">
        <v>154</v>
      </c>
      <c r="C3696" s="5">
        <v>6</v>
      </c>
      <c r="D3696" s="379">
        <v>49.971666666666664</v>
      </c>
      <c r="E3696" s="25">
        <v>25.29</v>
      </c>
      <c r="F3696" s="379">
        <v>7.386314948152056</v>
      </c>
      <c r="G3696" s="25">
        <v>44.86</v>
      </c>
      <c r="H3696" s="379">
        <v>7.0250927499695868</v>
      </c>
      <c r="I3696" s="25">
        <v>56.52</v>
      </c>
      <c r="J3696" s="379">
        <v>5.2970673726148565</v>
      </c>
    </row>
    <row r="3697" spans="1:10" x14ac:dyDescent="0.35">
      <c r="A3697" s="5">
        <v>3693</v>
      </c>
      <c r="B3697" s="5">
        <v>154</v>
      </c>
      <c r="C3697" s="5">
        <v>6</v>
      </c>
      <c r="D3697" s="379">
        <v>46.806666666666665</v>
      </c>
      <c r="E3697" s="25">
        <v>25.74</v>
      </c>
      <c r="F3697" s="379">
        <v>8.6887616857492205</v>
      </c>
      <c r="G3697" s="25">
        <v>46.21</v>
      </c>
      <c r="H3697" s="379">
        <v>5.2393151724541145</v>
      </c>
      <c r="I3697" s="25">
        <v>56.52</v>
      </c>
      <c r="J3697" s="379">
        <v>4.4960804314329916</v>
      </c>
    </row>
    <row r="3698" spans="1:10" x14ac:dyDescent="0.35">
      <c r="A3698" s="5">
        <v>3694</v>
      </c>
      <c r="B3698" s="5">
        <v>154</v>
      </c>
      <c r="C3698" s="5">
        <v>6</v>
      </c>
      <c r="D3698" s="379">
        <v>43.101666666666667</v>
      </c>
      <c r="E3698" s="25">
        <v>25.74</v>
      </c>
      <c r="F3698" s="379">
        <v>8.5409947435097564</v>
      </c>
      <c r="G3698" s="25">
        <v>47.46</v>
      </c>
      <c r="H3698" s="379">
        <v>5.682897710022945</v>
      </c>
      <c r="I3698" s="25">
        <v>58.21</v>
      </c>
      <c r="J3698" s="379">
        <v>5.1827258493124777</v>
      </c>
    </row>
    <row r="3699" spans="1:10" x14ac:dyDescent="0.35">
      <c r="A3699" s="5">
        <v>3695</v>
      </c>
      <c r="B3699" s="5">
        <v>154</v>
      </c>
      <c r="C3699" s="5">
        <v>6</v>
      </c>
      <c r="D3699" s="379">
        <v>41.631111111111117</v>
      </c>
      <c r="E3699" s="25">
        <v>25.74</v>
      </c>
      <c r="F3699" s="379">
        <v>8.553053081838474</v>
      </c>
      <c r="G3699" s="25">
        <v>44.86</v>
      </c>
      <c r="H3699" s="379">
        <v>7.1312602694843719</v>
      </c>
      <c r="I3699" s="25">
        <v>56.52</v>
      </c>
      <c r="J3699" s="379">
        <v>5.0365111388847446</v>
      </c>
    </row>
    <row r="3700" spans="1:10" x14ac:dyDescent="0.35">
      <c r="A3700" s="5">
        <v>3696</v>
      </c>
      <c r="B3700" s="5">
        <v>154</v>
      </c>
      <c r="C3700" s="5">
        <v>6</v>
      </c>
      <c r="D3700" s="379">
        <v>44.273888888888898</v>
      </c>
      <c r="E3700" s="25">
        <v>24.84</v>
      </c>
      <c r="F3700" s="379">
        <v>8.5832279609584159</v>
      </c>
      <c r="G3700" s="25">
        <v>44.86</v>
      </c>
      <c r="H3700" s="379">
        <v>7.0633298092766967</v>
      </c>
      <c r="I3700" s="25">
        <v>53.71</v>
      </c>
      <c r="J3700" s="379">
        <v>3.9512759888045772</v>
      </c>
    </row>
    <row r="3701" spans="1:10" x14ac:dyDescent="0.35">
      <c r="A3701" s="5">
        <v>3697</v>
      </c>
      <c r="B3701" s="5">
        <v>155</v>
      </c>
      <c r="C3701" s="5">
        <v>6</v>
      </c>
      <c r="D3701" s="379">
        <v>42.81722222222222</v>
      </c>
      <c r="E3701" s="25">
        <v>24.84</v>
      </c>
      <c r="F3701" s="379">
        <v>8.5710717742896172</v>
      </c>
      <c r="G3701" s="25">
        <v>43.56</v>
      </c>
      <c r="H3701" s="379">
        <v>5.6419396147513554</v>
      </c>
      <c r="I3701" s="25">
        <v>53.71</v>
      </c>
      <c r="J3701" s="379">
        <v>3.0369300641329842</v>
      </c>
    </row>
    <row r="3702" spans="1:10" x14ac:dyDescent="0.35">
      <c r="A3702" s="5">
        <v>3698</v>
      </c>
      <c r="B3702" s="5">
        <v>155</v>
      </c>
      <c r="C3702" s="5">
        <v>6</v>
      </c>
      <c r="D3702" s="379">
        <v>42.456111111111113</v>
      </c>
      <c r="E3702" s="25">
        <v>24.84</v>
      </c>
      <c r="F3702" s="379">
        <v>8.4333151617809499</v>
      </c>
      <c r="G3702" s="25">
        <v>43.56</v>
      </c>
      <c r="H3702" s="379">
        <v>5.0030712797110812</v>
      </c>
      <c r="I3702" s="25">
        <v>53.71</v>
      </c>
      <c r="J3702" s="379">
        <v>4.4829911024116225</v>
      </c>
    </row>
    <row r="3703" spans="1:10" x14ac:dyDescent="0.35">
      <c r="A3703" s="5">
        <v>3699</v>
      </c>
      <c r="B3703" s="5">
        <v>155</v>
      </c>
      <c r="C3703" s="5">
        <v>6</v>
      </c>
      <c r="D3703" s="379">
        <v>40.636111111111113</v>
      </c>
      <c r="E3703" s="25">
        <v>24.84</v>
      </c>
      <c r="F3703" s="379">
        <v>8.4244914462827936</v>
      </c>
      <c r="G3703" s="25">
        <v>43.56</v>
      </c>
      <c r="H3703" s="379">
        <v>6.7295274881472729</v>
      </c>
      <c r="I3703" s="25">
        <v>53.71</v>
      </c>
      <c r="J3703" s="379">
        <v>4.9634023979981352</v>
      </c>
    </row>
    <row r="3704" spans="1:10" x14ac:dyDescent="0.35">
      <c r="A3704" s="5">
        <v>3700</v>
      </c>
      <c r="B3704" s="5">
        <v>155</v>
      </c>
      <c r="C3704" s="5">
        <v>6</v>
      </c>
      <c r="D3704" s="379">
        <v>40.349444444444437</v>
      </c>
      <c r="E3704" s="25">
        <v>24.84</v>
      </c>
      <c r="F3704" s="379">
        <v>8.263482706792276</v>
      </c>
      <c r="G3704" s="25">
        <v>43.56</v>
      </c>
      <c r="H3704" s="379">
        <v>3.8020033234707475</v>
      </c>
      <c r="I3704" s="25">
        <v>53.71</v>
      </c>
      <c r="J3704" s="379">
        <v>4.9708351621353444</v>
      </c>
    </row>
    <row r="3705" spans="1:10" x14ac:dyDescent="0.35">
      <c r="A3705" s="5">
        <v>3701</v>
      </c>
      <c r="B3705" s="5">
        <v>155</v>
      </c>
      <c r="C3705" s="5">
        <v>6</v>
      </c>
      <c r="D3705" s="379">
        <v>40.263333333333328</v>
      </c>
      <c r="E3705" s="25">
        <v>24.84</v>
      </c>
      <c r="F3705" s="379">
        <v>6.9001271661619095</v>
      </c>
      <c r="G3705" s="25">
        <v>43.56</v>
      </c>
      <c r="H3705" s="379">
        <v>5.0071901902930005</v>
      </c>
      <c r="I3705" s="25">
        <v>53.71</v>
      </c>
      <c r="J3705" s="379">
        <v>5.0860292165038219</v>
      </c>
    </row>
    <row r="3706" spans="1:10" x14ac:dyDescent="0.35">
      <c r="A3706" s="5">
        <v>3702</v>
      </c>
      <c r="B3706" s="5">
        <v>155</v>
      </c>
      <c r="C3706" s="5">
        <v>6</v>
      </c>
      <c r="D3706" s="379">
        <v>41.564444444444447</v>
      </c>
      <c r="E3706" s="25">
        <v>25.59</v>
      </c>
      <c r="F3706" s="379">
        <v>4.4084655663076084</v>
      </c>
      <c r="G3706" s="25">
        <v>47.46</v>
      </c>
      <c r="H3706" s="379">
        <v>2.8155156753149009</v>
      </c>
      <c r="I3706" s="25">
        <v>56.52</v>
      </c>
      <c r="J3706" s="379">
        <v>4.5993546561530056</v>
      </c>
    </row>
    <row r="3707" spans="1:10" x14ac:dyDescent="0.35">
      <c r="A3707" s="5">
        <v>3703</v>
      </c>
      <c r="B3707" s="5">
        <v>155</v>
      </c>
      <c r="C3707" s="5">
        <v>6</v>
      </c>
      <c r="D3707" s="379">
        <v>43.268888888888888</v>
      </c>
      <c r="E3707" s="25">
        <v>25.74</v>
      </c>
      <c r="F3707" s="379">
        <v>4.4933102985899467</v>
      </c>
      <c r="G3707" s="25">
        <v>47.85</v>
      </c>
      <c r="H3707" s="379">
        <v>1.0254569439383332</v>
      </c>
      <c r="I3707" s="25">
        <v>66.06</v>
      </c>
      <c r="J3707" s="379">
        <v>2.5921443036600755</v>
      </c>
    </row>
    <row r="3708" spans="1:10" x14ac:dyDescent="0.35">
      <c r="A3708" s="5">
        <v>3704</v>
      </c>
      <c r="B3708" s="5">
        <v>155</v>
      </c>
      <c r="C3708" s="5">
        <v>6</v>
      </c>
      <c r="D3708" s="379">
        <v>44.553888888888892</v>
      </c>
      <c r="E3708" s="25">
        <v>25.74</v>
      </c>
      <c r="F3708" s="379">
        <v>3.725115575374025</v>
      </c>
      <c r="G3708" s="25">
        <v>47.85</v>
      </c>
      <c r="H3708" s="379">
        <v>4.3560010109578178</v>
      </c>
      <c r="I3708" s="25">
        <v>64.14</v>
      </c>
      <c r="J3708" s="379">
        <v>0.45566637446131031</v>
      </c>
    </row>
    <row r="3709" spans="1:10" x14ac:dyDescent="0.35">
      <c r="A3709" s="5">
        <v>3705</v>
      </c>
      <c r="B3709" s="5">
        <v>155</v>
      </c>
      <c r="C3709" s="5">
        <v>6</v>
      </c>
      <c r="D3709" s="379">
        <v>44.708333333333329</v>
      </c>
      <c r="E3709" s="25">
        <v>25.74</v>
      </c>
      <c r="F3709" s="379">
        <v>0.14480167642852412</v>
      </c>
      <c r="G3709" s="25">
        <v>47.85</v>
      </c>
      <c r="H3709" s="379">
        <v>0.21717094135314982</v>
      </c>
      <c r="I3709" s="25">
        <v>56.52</v>
      </c>
      <c r="J3709" s="379">
        <v>0.99815673698977769</v>
      </c>
    </row>
    <row r="3710" spans="1:10" x14ac:dyDescent="0.35">
      <c r="A3710" s="5">
        <v>3706</v>
      </c>
      <c r="B3710" s="5">
        <v>155</v>
      </c>
      <c r="C3710" s="5">
        <v>6</v>
      </c>
      <c r="D3710" s="379">
        <v>42.32</v>
      </c>
      <c r="E3710" s="25">
        <v>25.74</v>
      </c>
      <c r="F3710" s="379">
        <v>2.523219231113385</v>
      </c>
      <c r="G3710" s="25">
        <v>47.46</v>
      </c>
      <c r="H3710" s="379">
        <v>1.9672341968534777</v>
      </c>
      <c r="I3710" s="25">
        <v>53.71</v>
      </c>
      <c r="J3710" s="379">
        <v>0.35169591152293123</v>
      </c>
    </row>
    <row r="3711" spans="1:10" x14ac:dyDescent="0.35">
      <c r="A3711" s="5">
        <v>3707</v>
      </c>
      <c r="B3711" s="5">
        <v>155</v>
      </c>
      <c r="C3711" s="5">
        <v>6</v>
      </c>
      <c r="D3711" s="379">
        <v>37.327222222222218</v>
      </c>
      <c r="E3711" s="25">
        <v>25.74</v>
      </c>
      <c r="F3711" s="379">
        <v>2.523219231113385</v>
      </c>
      <c r="G3711" s="25">
        <v>46.21</v>
      </c>
      <c r="H3711" s="379">
        <v>1.8457190916956596</v>
      </c>
      <c r="I3711" s="25">
        <v>50.63</v>
      </c>
      <c r="J3711" s="379">
        <v>0.35169591152293123</v>
      </c>
    </row>
    <row r="3712" spans="1:10" x14ac:dyDescent="0.35">
      <c r="A3712" s="5">
        <v>3708</v>
      </c>
      <c r="B3712" s="5">
        <v>155</v>
      </c>
      <c r="C3712" s="5">
        <v>6</v>
      </c>
      <c r="D3712" s="379">
        <v>34.398888888888884</v>
      </c>
      <c r="E3712" s="25">
        <v>24.84</v>
      </c>
      <c r="F3712" s="379">
        <v>2.523219231113385</v>
      </c>
      <c r="G3712" s="25">
        <v>44.69</v>
      </c>
      <c r="H3712" s="379">
        <v>1.8457190916956596</v>
      </c>
      <c r="I3712" s="25">
        <v>50.12</v>
      </c>
      <c r="J3712" s="379">
        <v>0.29524718062190813</v>
      </c>
    </row>
    <row r="3713" spans="1:10" x14ac:dyDescent="0.35">
      <c r="A3713" s="5">
        <v>3709</v>
      </c>
      <c r="B3713" s="5">
        <v>155</v>
      </c>
      <c r="C3713" s="5">
        <v>6</v>
      </c>
      <c r="D3713" s="379">
        <v>27.882777777777775</v>
      </c>
      <c r="E3713" s="25">
        <v>24.84</v>
      </c>
      <c r="F3713" s="379">
        <v>2.523219231113385</v>
      </c>
      <c r="G3713" s="25">
        <v>43.56</v>
      </c>
      <c r="H3713" s="379">
        <v>1.8457190916956596</v>
      </c>
      <c r="I3713" s="25">
        <v>48.86</v>
      </c>
      <c r="J3713" s="379">
        <v>0.34991607391400947</v>
      </c>
    </row>
    <row r="3714" spans="1:10" x14ac:dyDescent="0.35">
      <c r="A3714" s="5">
        <v>3710</v>
      </c>
      <c r="B3714" s="5">
        <v>155</v>
      </c>
      <c r="C3714" s="5">
        <v>6</v>
      </c>
      <c r="D3714" s="379">
        <v>24.387222222222224</v>
      </c>
      <c r="E3714" s="25">
        <v>24.84</v>
      </c>
      <c r="F3714" s="379">
        <v>2.4496391663833768</v>
      </c>
      <c r="G3714" s="25">
        <v>43.56</v>
      </c>
      <c r="H3714" s="379">
        <v>1.8457190916956596</v>
      </c>
      <c r="I3714" s="25">
        <v>47.31</v>
      </c>
      <c r="J3714" s="379">
        <v>0.24555821749225801</v>
      </c>
    </row>
    <row r="3715" spans="1:10" x14ac:dyDescent="0.35">
      <c r="A3715" s="5">
        <v>3711</v>
      </c>
      <c r="B3715" s="5">
        <v>155</v>
      </c>
      <c r="C3715" s="5">
        <v>6</v>
      </c>
      <c r="D3715" s="379">
        <v>30.19</v>
      </c>
      <c r="E3715" s="25">
        <v>24.84</v>
      </c>
      <c r="F3715" s="379">
        <v>2.4496391663833768</v>
      </c>
      <c r="G3715" s="25">
        <v>42.29</v>
      </c>
      <c r="H3715" s="379">
        <v>1.8457190916956596</v>
      </c>
      <c r="I3715" s="25">
        <v>46.64</v>
      </c>
      <c r="J3715" s="379">
        <v>0.29479086195472759</v>
      </c>
    </row>
    <row r="3716" spans="1:10" x14ac:dyDescent="0.35">
      <c r="A3716" s="5">
        <v>3712</v>
      </c>
      <c r="B3716" s="5">
        <v>155</v>
      </c>
      <c r="C3716" s="5">
        <v>6</v>
      </c>
      <c r="D3716" s="379">
        <v>38.614999999999995</v>
      </c>
      <c r="E3716" s="25">
        <v>24.84</v>
      </c>
      <c r="F3716" s="379">
        <v>2.523219231113385</v>
      </c>
      <c r="G3716" s="25">
        <v>42.29</v>
      </c>
      <c r="H3716" s="379">
        <v>1.8457190916956596</v>
      </c>
      <c r="I3716" s="25">
        <v>47.31</v>
      </c>
      <c r="J3716" s="379">
        <v>0.24741897690745571</v>
      </c>
    </row>
    <row r="3717" spans="1:10" x14ac:dyDescent="0.35">
      <c r="A3717" s="5">
        <v>3713</v>
      </c>
      <c r="B3717" s="5">
        <v>155</v>
      </c>
      <c r="C3717" s="5">
        <v>6</v>
      </c>
      <c r="D3717" s="379">
        <v>43.761111111111106</v>
      </c>
      <c r="E3717" s="25">
        <v>24.84</v>
      </c>
      <c r="F3717" s="379">
        <v>0.47222222222222221</v>
      </c>
      <c r="G3717" s="25">
        <v>43.56</v>
      </c>
      <c r="H3717" s="379">
        <v>1.8457190916956596</v>
      </c>
      <c r="I3717" s="25">
        <v>50.12</v>
      </c>
      <c r="J3717" s="379">
        <v>0.43211457815305515</v>
      </c>
    </row>
    <row r="3718" spans="1:10" x14ac:dyDescent="0.35">
      <c r="A3718" s="5">
        <v>3714</v>
      </c>
      <c r="B3718" s="5">
        <v>155</v>
      </c>
      <c r="C3718" s="5">
        <v>6</v>
      </c>
      <c r="D3718" s="379">
        <v>47.645555555555553</v>
      </c>
      <c r="E3718" s="25">
        <v>24.99</v>
      </c>
      <c r="F3718" s="379">
        <v>8.1174834595959613</v>
      </c>
      <c r="G3718" s="25">
        <v>44.69</v>
      </c>
      <c r="H3718" s="379">
        <v>6.5536277453608527</v>
      </c>
      <c r="I3718" s="25">
        <v>50.63</v>
      </c>
      <c r="J3718" s="379">
        <v>3.8965595294493798</v>
      </c>
    </row>
    <row r="3719" spans="1:10" x14ac:dyDescent="0.35">
      <c r="A3719" s="5">
        <v>3715</v>
      </c>
      <c r="B3719" s="5">
        <v>155</v>
      </c>
      <c r="C3719" s="5">
        <v>6</v>
      </c>
      <c r="D3719" s="379">
        <v>50.760555555555555</v>
      </c>
      <c r="E3719" s="25">
        <v>24.99</v>
      </c>
      <c r="F3719" s="379">
        <v>11.62065185071633</v>
      </c>
      <c r="G3719" s="25">
        <v>47.46</v>
      </c>
      <c r="H3719" s="379">
        <v>7.8554602378144907</v>
      </c>
      <c r="I3719" s="25">
        <v>52.55</v>
      </c>
      <c r="J3719" s="379">
        <v>5.9539119125685094</v>
      </c>
    </row>
    <row r="3720" spans="1:10" x14ac:dyDescent="0.35">
      <c r="A3720" s="5">
        <v>3716</v>
      </c>
      <c r="B3720" s="5">
        <v>155</v>
      </c>
      <c r="C3720" s="5">
        <v>6</v>
      </c>
      <c r="D3720" s="379">
        <v>52.051666666666669</v>
      </c>
      <c r="E3720" s="25">
        <v>24.99</v>
      </c>
      <c r="F3720" s="379">
        <v>14.61538515001706</v>
      </c>
      <c r="G3720" s="25">
        <v>47.46</v>
      </c>
      <c r="H3720" s="379">
        <v>7.7913307000389871</v>
      </c>
      <c r="I3720" s="25">
        <v>53.27</v>
      </c>
      <c r="J3720" s="379">
        <v>6.0247975244408751</v>
      </c>
    </row>
    <row r="3721" spans="1:10" x14ac:dyDescent="0.35">
      <c r="A3721" s="5">
        <v>3717</v>
      </c>
      <c r="B3721" s="5">
        <v>155</v>
      </c>
      <c r="C3721" s="5">
        <v>6</v>
      </c>
      <c r="D3721" s="379">
        <v>52.906666666666666</v>
      </c>
      <c r="E3721" s="25">
        <v>24.99</v>
      </c>
      <c r="F3721" s="379">
        <v>11.084061777581526</v>
      </c>
      <c r="G3721" s="25">
        <v>46.98</v>
      </c>
      <c r="H3721" s="379">
        <v>7.8616357496158829</v>
      </c>
      <c r="I3721" s="25">
        <v>53.71</v>
      </c>
      <c r="J3721" s="379">
        <v>5.0381597017932132</v>
      </c>
    </row>
    <row r="3722" spans="1:10" x14ac:dyDescent="0.35">
      <c r="A3722" s="5">
        <v>3718</v>
      </c>
      <c r="B3722" s="5">
        <v>155</v>
      </c>
      <c r="C3722" s="5">
        <v>6</v>
      </c>
      <c r="D3722" s="379">
        <v>51.461666666666666</v>
      </c>
      <c r="E3722" s="25">
        <v>24.99</v>
      </c>
      <c r="F3722" s="379">
        <v>8.6422018721161713</v>
      </c>
      <c r="G3722" s="25">
        <v>44.69</v>
      </c>
      <c r="H3722" s="379">
        <v>7.6850648847484457</v>
      </c>
      <c r="I3722" s="25">
        <v>54.87</v>
      </c>
      <c r="J3722" s="379">
        <v>4.5718121238637002</v>
      </c>
    </row>
    <row r="3723" spans="1:10" x14ac:dyDescent="0.35">
      <c r="A3723" s="5">
        <v>3719</v>
      </c>
      <c r="B3723" s="5">
        <v>155</v>
      </c>
      <c r="C3723" s="5">
        <v>6</v>
      </c>
      <c r="D3723" s="379">
        <v>47.541111111111107</v>
      </c>
      <c r="E3723" s="25">
        <v>24.84</v>
      </c>
      <c r="F3723" s="379">
        <v>8.1174834595959577</v>
      </c>
      <c r="G3723" s="25">
        <v>43.56</v>
      </c>
      <c r="H3723" s="379">
        <v>7.6500779035804145</v>
      </c>
      <c r="I3723" s="25">
        <v>53.71</v>
      </c>
      <c r="J3723" s="379">
        <v>3.5243875631313126</v>
      </c>
    </row>
    <row r="3724" spans="1:10" x14ac:dyDescent="0.35">
      <c r="A3724" s="5">
        <v>3720</v>
      </c>
      <c r="B3724" s="5">
        <v>155</v>
      </c>
      <c r="C3724" s="5">
        <v>6</v>
      </c>
      <c r="D3724" s="379">
        <v>46.283333333333339</v>
      </c>
      <c r="E3724" s="25">
        <v>24.84</v>
      </c>
      <c r="F3724" s="379">
        <v>7.785362551355191</v>
      </c>
      <c r="G3724" s="25">
        <v>42.29</v>
      </c>
      <c r="H3724" s="379">
        <v>7.7025894293846893</v>
      </c>
      <c r="I3724" s="25">
        <v>51.14</v>
      </c>
      <c r="J3724" s="379">
        <v>5.4624467401400381</v>
      </c>
    </row>
    <row r="3725" spans="1:10" x14ac:dyDescent="0.35">
      <c r="A3725" s="5">
        <v>3721</v>
      </c>
      <c r="B3725" s="5">
        <v>156</v>
      </c>
      <c r="C3725" s="5">
        <v>6</v>
      </c>
      <c r="D3725" s="379">
        <v>44.846111111111107</v>
      </c>
      <c r="E3725" s="25">
        <v>24.84</v>
      </c>
      <c r="F3725" s="379">
        <v>7.7861511545023809</v>
      </c>
      <c r="G3725" s="25">
        <v>31.84</v>
      </c>
      <c r="H3725" s="379">
        <v>7.0355845617631134</v>
      </c>
      <c r="I3725" s="25">
        <v>46.42</v>
      </c>
      <c r="J3725" s="379">
        <v>4.6050839250023525</v>
      </c>
    </row>
    <row r="3726" spans="1:10" x14ac:dyDescent="0.35">
      <c r="A3726" s="5">
        <v>3722</v>
      </c>
      <c r="B3726" s="5">
        <v>156</v>
      </c>
      <c r="C3726" s="5">
        <v>6</v>
      </c>
      <c r="D3726" s="379">
        <v>42.643888888888888</v>
      </c>
      <c r="E3726" s="25">
        <v>24.84</v>
      </c>
      <c r="F3726" s="379">
        <v>7.8102440583346864</v>
      </c>
      <c r="G3726" s="25">
        <v>31.84</v>
      </c>
      <c r="H3726" s="379">
        <v>7.0194615244647744</v>
      </c>
      <c r="I3726" s="25">
        <v>37.270000000000003</v>
      </c>
      <c r="J3726" s="379">
        <v>2.0463302785586359</v>
      </c>
    </row>
    <row r="3727" spans="1:10" x14ac:dyDescent="0.35">
      <c r="A3727" s="5">
        <v>3723</v>
      </c>
      <c r="B3727" s="5">
        <v>156</v>
      </c>
      <c r="C3727" s="5">
        <v>6</v>
      </c>
      <c r="D3727" s="379">
        <v>41.133333333333326</v>
      </c>
      <c r="E3727" s="25">
        <v>24.84</v>
      </c>
      <c r="F3727" s="379">
        <v>7.8083345886011841</v>
      </c>
      <c r="G3727" s="25">
        <v>31.11</v>
      </c>
      <c r="H3727" s="379">
        <v>6.9734934757780236</v>
      </c>
      <c r="I3727" s="25">
        <v>35.869999999999997</v>
      </c>
      <c r="J3727" s="379">
        <v>4.4495356360782035</v>
      </c>
    </row>
    <row r="3728" spans="1:10" x14ac:dyDescent="0.35">
      <c r="A3728" s="5">
        <v>3724</v>
      </c>
      <c r="B3728" s="5">
        <v>156</v>
      </c>
      <c r="C3728" s="5">
        <v>6</v>
      </c>
      <c r="D3728" s="379">
        <v>39.654999999999994</v>
      </c>
      <c r="E3728" s="25">
        <v>24.84</v>
      </c>
      <c r="F3728" s="379">
        <v>8.1174834595959595</v>
      </c>
      <c r="G3728" s="25">
        <v>31.11</v>
      </c>
      <c r="H3728" s="379">
        <v>7.0063639855375754</v>
      </c>
      <c r="I3728" s="25">
        <v>35.72</v>
      </c>
      <c r="J3728" s="379">
        <v>2.40903309790483</v>
      </c>
    </row>
    <row r="3729" spans="1:10" x14ac:dyDescent="0.35">
      <c r="A3729" s="5">
        <v>3725</v>
      </c>
      <c r="B3729" s="5">
        <v>156</v>
      </c>
      <c r="C3729" s="5">
        <v>6</v>
      </c>
      <c r="D3729" s="379">
        <v>39.17722222222222</v>
      </c>
      <c r="E3729" s="25">
        <v>24.84</v>
      </c>
      <c r="F3729" s="379">
        <v>8.1174834595959577</v>
      </c>
      <c r="G3729" s="25">
        <v>31.11</v>
      </c>
      <c r="H3729" s="379">
        <v>7.5645770257297498</v>
      </c>
      <c r="I3729" s="25">
        <v>35.72</v>
      </c>
      <c r="J3729" s="379">
        <v>3.6632764520202015</v>
      </c>
    </row>
    <row r="3730" spans="1:10" x14ac:dyDescent="0.35">
      <c r="A3730" s="5">
        <v>3726</v>
      </c>
      <c r="B3730" s="5">
        <v>156</v>
      </c>
      <c r="C3730" s="5">
        <v>6</v>
      </c>
      <c r="D3730" s="379">
        <v>39.498333333333335</v>
      </c>
      <c r="E3730" s="25">
        <v>24.84</v>
      </c>
      <c r="F3730" s="379">
        <v>8.1174834595959577</v>
      </c>
      <c r="G3730" s="25">
        <v>31.11</v>
      </c>
      <c r="H3730" s="379">
        <v>7.1613825279734851</v>
      </c>
      <c r="I3730" s="25">
        <v>35.869999999999997</v>
      </c>
      <c r="J3730" s="379">
        <v>0.27777777777777779</v>
      </c>
    </row>
    <row r="3731" spans="1:10" x14ac:dyDescent="0.35">
      <c r="A3731" s="5">
        <v>3727</v>
      </c>
      <c r="B3731" s="5">
        <v>156</v>
      </c>
      <c r="C3731" s="5">
        <v>6</v>
      </c>
      <c r="D3731" s="379">
        <v>40.650555555555556</v>
      </c>
      <c r="E3731" s="25">
        <v>24.84</v>
      </c>
      <c r="F3731" s="379">
        <v>8.1174834595959595</v>
      </c>
      <c r="G3731" s="25">
        <v>31.84</v>
      </c>
      <c r="H3731" s="379">
        <v>4.8089878580043823</v>
      </c>
      <c r="I3731" s="25">
        <v>37.57</v>
      </c>
      <c r="J3731" s="379">
        <v>6.013010027230389</v>
      </c>
    </row>
    <row r="3732" spans="1:10" x14ac:dyDescent="0.35">
      <c r="A3732" s="5">
        <v>3728</v>
      </c>
      <c r="B3732" s="5">
        <v>156</v>
      </c>
      <c r="C3732" s="5">
        <v>6</v>
      </c>
      <c r="D3732" s="379">
        <v>41.852777777777774</v>
      </c>
      <c r="E3732" s="25">
        <v>24.84</v>
      </c>
      <c r="F3732" s="379">
        <v>8.1174834595959595</v>
      </c>
      <c r="G3732" s="25">
        <v>36.6</v>
      </c>
      <c r="H3732" s="379">
        <v>4.0627864298602612</v>
      </c>
      <c r="I3732" s="25">
        <v>37.57</v>
      </c>
      <c r="J3732" s="379">
        <v>3.7879697026943373</v>
      </c>
    </row>
    <row r="3733" spans="1:10" x14ac:dyDescent="0.35">
      <c r="A3733" s="5">
        <v>3729</v>
      </c>
      <c r="B3733" s="5">
        <v>156</v>
      </c>
      <c r="C3733" s="5">
        <v>6</v>
      </c>
      <c r="D3733" s="379">
        <v>42.590555555555554</v>
      </c>
      <c r="E3733" s="25">
        <v>24.84</v>
      </c>
      <c r="F3733" s="379">
        <v>5.5427428871304736</v>
      </c>
      <c r="G3733" s="25">
        <v>35.94</v>
      </c>
      <c r="H3733" s="379">
        <v>3.681390652985383</v>
      </c>
      <c r="I3733" s="25">
        <v>37.57</v>
      </c>
      <c r="J3733" s="379">
        <v>2.9359477144288824</v>
      </c>
    </row>
    <row r="3734" spans="1:10" x14ac:dyDescent="0.35">
      <c r="A3734" s="5">
        <v>3730</v>
      </c>
      <c r="B3734" s="5">
        <v>156</v>
      </c>
      <c r="C3734" s="5">
        <v>6</v>
      </c>
      <c r="D3734" s="379">
        <v>42.771666666666668</v>
      </c>
      <c r="E3734" s="25">
        <v>24.84</v>
      </c>
      <c r="F3734" s="379">
        <v>5.0694962416999791</v>
      </c>
      <c r="G3734" s="25">
        <v>35.94</v>
      </c>
      <c r="H3734" s="379">
        <v>3.681390652985383</v>
      </c>
      <c r="I3734" s="25">
        <v>35.869999999999997</v>
      </c>
      <c r="J3734" s="379">
        <v>2.0062518077753277</v>
      </c>
    </row>
    <row r="3735" spans="1:10" x14ac:dyDescent="0.35">
      <c r="A3735" s="5">
        <v>3731</v>
      </c>
      <c r="B3735" s="5">
        <v>156</v>
      </c>
      <c r="C3735" s="5">
        <v>6</v>
      </c>
      <c r="D3735" s="379">
        <v>43.132222222222225</v>
      </c>
      <c r="E3735" s="25">
        <v>24.84</v>
      </c>
      <c r="F3735" s="379">
        <v>4.6196308000503343</v>
      </c>
      <c r="G3735" s="25">
        <v>35.94</v>
      </c>
      <c r="H3735" s="379">
        <v>3.6001717305534382</v>
      </c>
      <c r="I3735" s="25">
        <v>35.72</v>
      </c>
      <c r="J3735" s="379">
        <v>2.0062518077753277</v>
      </c>
    </row>
    <row r="3736" spans="1:10" x14ac:dyDescent="0.35">
      <c r="A3736" s="5">
        <v>3732</v>
      </c>
      <c r="B3736" s="5">
        <v>156</v>
      </c>
      <c r="C3736" s="5">
        <v>6</v>
      </c>
      <c r="D3736" s="379">
        <v>40.934444444444438</v>
      </c>
      <c r="E3736" s="25">
        <v>24.84</v>
      </c>
      <c r="F3736" s="379">
        <v>4.5939353139396379</v>
      </c>
      <c r="G3736" s="25">
        <v>32.79</v>
      </c>
      <c r="H3736" s="379">
        <v>3.4786566253956201</v>
      </c>
      <c r="I3736" s="25">
        <v>35.72</v>
      </c>
      <c r="J3736" s="379">
        <v>2.0024923202719629</v>
      </c>
    </row>
    <row r="3737" spans="1:10" x14ac:dyDescent="0.35">
      <c r="A3737" s="5">
        <v>3733</v>
      </c>
      <c r="B3737" s="5">
        <v>156</v>
      </c>
      <c r="C3737" s="5">
        <v>6</v>
      </c>
      <c r="D3737" s="379">
        <v>32.18055555555555</v>
      </c>
      <c r="E3737" s="25">
        <v>24.84</v>
      </c>
      <c r="F3737" s="379">
        <v>4.5939353139396379</v>
      </c>
      <c r="G3737" s="25">
        <v>31.11</v>
      </c>
      <c r="H3737" s="379">
        <v>3.4786566253956201</v>
      </c>
      <c r="I3737" s="25">
        <v>35.51</v>
      </c>
      <c r="J3737" s="379">
        <v>2.0024923202719629</v>
      </c>
    </row>
    <row r="3738" spans="1:10" x14ac:dyDescent="0.35">
      <c r="A3738" s="5">
        <v>3734</v>
      </c>
      <c r="B3738" s="5">
        <v>156</v>
      </c>
      <c r="C3738" s="5">
        <v>6</v>
      </c>
      <c r="D3738" s="379">
        <v>33.607222222222219</v>
      </c>
      <c r="E3738" s="25">
        <v>24</v>
      </c>
      <c r="F3738" s="379">
        <v>4.4723983599620709</v>
      </c>
      <c r="G3738" s="25">
        <v>31.11</v>
      </c>
      <c r="H3738" s="379">
        <v>3.143275209566176</v>
      </c>
      <c r="I3738" s="25">
        <v>35.51</v>
      </c>
      <c r="J3738" s="379">
        <v>1.7334927177562167</v>
      </c>
    </row>
    <row r="3739" spans="1:10" x14ac:dyDescent="0.35">
      <c r="A3739" s="5">
        <v>3735</v>
      </c>
      <c r="B3739" s="5">
        <v>156</v>
      </c>
      <c r="C3739" s="5">
        <v>6</v>
      </c>
      <c r="D3739" s="379">
        <v>35.801111111111112</v>
      </c>
      <c r="E3739" s="25">
        <v>23.84</v>
      </c>
      <c r="F3739" s="379">
        <v>4.3446159202789758</v>
      </c>
      <c r="G3739" s="25">
        <v>31.11</v>
      </c>
      <c r="H3739" s="379">
        <v>0.10842811231563555</v>
      </c>
      <c r="I3739" s="25">
        <v>35.51</v>
      </c>
      <c r="J3739" s="379">
        <v>1.7334927177562167</v>
      </c>
    </row>
    <row r="3740" spans="1:10" x14ac:dyDescent="0.35">
      <c r="A3740" s="5">
        <v>3736</v>
      </c>
      <c r="B3740" s="5">
        <v>156</v>
      </c>
      <c r="C3740" s="5">
        <v>6</v>
      </c>
      <c r="D3740" s="379">
        <v>38.889444444444443</v>
      </c>
      <c r="E3740" s="25">
        <v>24</v>
      </c>
      <c r="F3740" s="379">
        <v>4.3446159202789758</v>
      </c>
      <c r="G3740" s="25">
        <v>31.11</v>
      </c>
      <c r="H3740" s="379">
        <v>3.143275209566176</v>
      </c>
      <c r="I3740" s="25">
        <v>35.51</v>
      </c>
      <c r="J3740" s="379">
        <v>1.7334927177562167</v>
      </c>
    </row>
    <row r="3741" spans="1:10" x14ac:dyDescent="0.35">
      <c r="A3741" s="5">
        <v>3737</v>
      </c>
      <c r="B3741" s="5">
        <v>156</v>
      </c>
      <c r="C3741" s="5">
        <v>6</v>
      </c>
      <c r="D3741" s="379">
        <v>41.576111111111111</v>
      </c>
      <c r="E3741" s="25">
        <v>24.84</v>
      </c>
      <c r="F3741" s="379">
        <v>4.6027819763833726</v>
      </c>
      <c r="G3741" s="25">
        <v>31.11</v>
      </c>
      <c r="H3741" s="379">
        <v>2.777777777777778E-2</v>
      </c>
      <c r="I3741" s="25">
        <v>35.51</v>
      </c>
      <c r="J3741" s="379">
        <v>1.7334927177562167</v>
      </c>
    </row>
    <row r="3742" spans="1:10" x14ac:dyDescent="0.35">
      <c r="A3742" s="5">
        <v>3738</v>
      </c>
      <c r="B3742" s="5">
        <v>156</v>
      </c>
      <c r="C3742" s="5">
        <v>6</v>
      </c>
      <c r="D3742" s="379">
        <v>44.040555555555549</v>
      </c>
      <c r="E3742" s="25">
        <v>24.84</v>
      </c>
      <c r="F3742" s="379">
        <v>8.1174834595959577</v>
      </c>
      <c r="G3742" s="25">
        <v>36.6</v>
      </c>
      <c r="H3742" s="379">
        <v>4.7889042352660818</v>
      </c>
      <c r="I3742" s="25">
        <v>35.72</v>
      </c>
      <c r="J3742" s="379">
        <v>4.2741667833900499</v>
      </c>
    </row>
    <row r="3743" spans="1:10" x14ac:dyDescent="0.35">
      <c r="A3743" s="5">
        <v>3739</v>
      </c>
      <c r="B3743" s="5">
        <v>156</v>
      </c>
      <c r="C3743" s="5">
        <v>6</v>
      </c>
      <c r="D3743" s="379">
        <v>45.083888888888893</v>
      </c>
      <c r="E3743" s="25">
        <v>24.84</v>
      </c>
      <c r="F3743" s="379">
        <v>8.2735199235591974</v>
      </c>
      <c r="G3743" s="25">
        <v>36.6</v>
      </c>
      <c r="H3743" s="379">
        <v>4.3203536277275152</v>
      </c>
      <c r="I3743" s="25">
        <v>41.78</v>
      </c>
      <c r="J3743" s="379">
        <v>5.0133922545057308</v>
      </c>
    </row>
    <row r="3744" spans="1:10" x14ac:dyDescent="0.35">
      <c r="A3744" s="5">
        <v>3740</v>
      </c>
      <c r="B3744" s="5">
        <v>156</v>
      </c>
      <c r="C3744" s="5">
        <v>6</v>
      </c>
      <c r="D3744" s="379">
        <v>45.126666666666665</v>
      </c>
      <c r="E3744" s="25">
        <v>24.84</v>
      </c>
      <c r="F3744" s="379">
        <v>8.6607628482152208</v>
      </c>
      <c r="G3744" s="25">
        <v>41.22</v>
      </c>
      <c r="H3744" s="379">
        <v>4.3203536277275152</v>
      </c>
      <c r="I3744" s="25">
        <v>45.28</v>
      </c>
      <c r="J3744" s="379">
        <v>2.5966880611327969</v>
      </c>
    </row>
    <row r="3745" spans="1:10" x14ac:dyDescent="0.35">
      <c r="A3745" s="5">
        <v>3741</v>
      </c>
      <c r="B3745" s="5">
        <v>156</v>
      </c>
      <c r="C3745" s="5">
        <v>6</v>
      </c>
      <c r="D3745" s="379">
        <v>43.891111111111108</v>
      </c>
      <c r="E3745" s="25">
        <v>24.84</v>
      </c>
      <c r="F3745" s="379">
        <v>8.4656570076663762</v>
      </c>
      <c r="G3745" s="25">
        <v>36.6</v>
      </c>
      <c r="H3745" s="379">
        <v>4.3203536277275152</v>
      </c>
      <c r="I3745" s="25">
        <v>45.25</v>
      </c>
      <c r="J3745" s="379">
        <v>3.3355324065154939</v>
      </c>
    </row>
    <row r="3746" spans="1:10" x14ac:dyDescent="0.35">
      <c r="A3746" s="5">
        <v>3742</v>
      </c>
      <c r="B3746" s="5">
        <v>156</v>
      </c>
      <c r="C3746" s="5">
        <v>6</v>
      </c>
      <c r="D3746" s="379">
        <v>42.927222222222227</v>
      </c>
      <c r="E3746" s="25">
        <v>24.84</v>
      </c>
      <c r="F3746" s="379">
        <v>8.5001793027133878</v>
      </c>
      <c r="G3746" s="25">
        <v>36.6</v>
      </c>
      <c r="H3746" s="379">
        <v>4.4483318873992683</v>
      </c>
      <c r="I3746" s="25">
        <v>45.28</v>
      </c>
      <c r="J3746" s="379">
        <v>2.4892200624108312</v>
      </c>
    </row>
    <row r="3747" spans="1:10" x14ac:dyDescent="0.35">
      <c r="A3747" s="5">
        <v>3743</v>
      </c>
      <c r="B3747" s="5">
        <v>156</v>
      </c>
      <c r="C3747" s="5">
        <v>6</v>
      </c>
      <c r="D3747" s="379">
        <v>37.696666666666665</v>
      </c>
      <c r="E3747" s="25">
        <v>24.84</v>
      </c>
      <c r="F3747" s="379">
        <v>5.9557691768159673</v>
      </c>
      <c r="G3747" s="25">
        <v>34.9</v>
      </c>
      <c r="H3747" s="379">
        <v>3.3578171680537059</v>
      </c>
      <c r="I3747" s="25">
        <v>41.78</v>
      </c>
      <c r="J3747" s="379">
        <v>1.9898216808213687</v>
      </c>
    </row>
    <row r="3748" spans="1:10" x14ac:dyDescent="0.35">
      <c r="A3748" s="5">
        <v>3744</v>
      </c>
      <c r="B3748" s="5">
        <v>156</v>
      </c>
      <c r="C3748" s="5">
        <v>6</v>
      </c>
      <c r="D3748" s="379">
        <v>32.641111111111108</v>
      </c>
      <c r="E3748" s="25">
        <v>24.84</v>
      </c>
      <c r="F3748" s="379">
        <v>5.391046916315851</v>
      </c>
      <c r="G3748" s="25">
        <v>31.11</v>
      </c>
      <c r="H3748" s="379">
        <v>2.8744766990106467</v>
      </c>
      <c r="I3748" s="25">
        <v>40.799999999999997</v>
      </c>
      <c r="J3748" s="379">
        <v>2.0115182161901055</v>
      </c>
    </row>
    <row r="3749" spans="1:10" x14ac:dyDescent="0.35">
      <c r="A3749" s="5">
        <v>3745</v>
      </c>
      <c r="B3749" s="5">
        <v>157</v>
      </c>
      <c r="C3749" s="5">
        <v>6</v>
      </c>
      <c r="D3749" s="379">
        <v>29.15111111111111</v>
      </c>
      <c r="E3749" s="25">
        <v>21.88</v>
      </c>
      <c r="F3749" s="379">
        <v>5.309853995250136</v>
      </c>
      <c r="G3749" s="25">
        <v>30.91</v>
      </c>
      <c r="H3749" s="379">
        <v>2.8930045860782192</v>
      </c>
      <c r="I3749" s="25">
        <v>34.25</v>
      </c>
      <c r="J3749" s="379">
        <v>1.992273167598217</v>
      </c>
    </row>
    <row r="3750" spans="1:10" x14ac:dyDescent="0.35">
      <c r="A3750" s="5">
        <v>3746</v>
      </c>
      <c r="B3750" s="5">
        <v>157</v>
      </c>
      <c r="C3750" s="5">
        <v>6</v>
      </c>
      <c r="D3750" s="379">
        <v>27.548888888888889</v>
      </c>
      <c r="E3750" s="25">
        <v>21.88</v>
      </c>
      <c r="F3750" s="379">
        <v>4.6240927125199685</v>
      </c>
      <c r="G3750" s="25">
        <v>30.2</v>
      </c>
      <c r="H3750" s="379">
        <v>2.8698449660397154</v>
      </c>
      <c r="I3750" s="25">
        <v>34.01</v>
      </c>
      <c r="J3750" s="379">
        <v>1.9181078581287467</v>
      </c>
    </row>
    <row r="3751" spans="1:10" x14ac:dyDescent="0.35">
      <c r="A3751" s="5">
        <v>3747</v>
      </c>
      <c r="B3751" s="5">
        <v>157</v>
      </c>
      <c r="C3751" s="5">
        <v>6</v>
      </c>
      <c r="D3751" s="379">
        <v>28.193333333333332</v>
      </c>
      <c r="E3751" s="25">
        <v>22.73</v>
      </c>
      <c r="F3751" s="379">
        <v>4.424208893900377</v>
      </c>
      <c r="G3751" s="25">
        <v>30.2</v>
      </c>
      <c r="H3751" s="379">
        <v>2.5994986687520178</v>
      </c>
      <c r="I3751" s="25">
        <v>33.869999999999997</v>
      </c>
      <c r="J3751" s="379">
        <v>1.8955134597267467</v>
      </c>
    </row>
    <row r="3752" spans="1:10" x14ac:dyDescent="0.35">
      <c r="A3752" s="5">
        <v>3748</v>
      </c>
      <c r="B3752" s="5">
        <v>157</v>
      </c>
      <c r="C3752" s="5">
        <v>6</v>
      </c>
      <c r="D3752" s="379">
        <v>27.701666666666664</v>
      </c>
      <c r="E3752" s="25">
        <v>22.73</v>
      </c>
      <c r="F3752" s="379">
        <v>3.7223718582976275</v>
      </c>
      <c r="G3752" s="25">
        <v>30.2</v>
      </c>
      <c r="H3752" s="379">
        <v>2.2346609988075765</v>
      </c>
      <c r="I3752" s="25">
        <v>33.869999999999997</v>
      </c>
      <c r="J3752" s="379">
        <v>3.0731243383306062</v>
      </c>
    </row>
    <row r="3753" spans="1:10" x14ac:dyDescent="0.35">
      <c r="A3753" s="5">
        <v>3749</v>
      </c>
      <c r="B3753" s="5">
        <v>157</v>
      </c>
      <c r="C3753" s="5">
        <v>6</v>
      </c>
      <c r="D3753" s="379">
        <v>28.38666666666666</v>
      </c>
      <c r="E3753" s="25">
        <v>23.41</v>
      </c>
      <c r="F3753" s="379">
        <v>4.1448161873630269</v>
      </c>
      <c r="G3753" s="25">
        <v>30.2</v>
      </c>
      <c r="H3753" s="379">
        <v>2.1921937465522263</v>
      </c>
      <c r="I3753" s="25">
        <v>34.01</v>
      </c>
      <c r="J3753" s="379">
        <v>2.7097632451282041</v>
      </c>
    </row>
    <row r="3754" spans="1:10" x14ac:dyDescent="0.35">
      <c r="A3754" s="5">
        <v>3750</v>
      </c>
      <c r="B3754" s="5">
        <v>157</v>
      </c>
      <c r="C3754" s="5">
        <v>6</v>
      </c>
      <c r="D3754" s="379">
        <v>29.99111111111111</v>
      </c>
      <c r="E3754" s="25">
        <v>23.41</v>
      </c>
      <c r="F3754" s="379">
        <v>2.6078793014991546</v>
      </c>
      <c r="G3754" s="25">
        <v>30.2</v>
      </c>
      <c r="H3754" s="379">
        <v>1.1135309431025675</v>
      </c>
      <c r="I3754" s="25">
        <v>34.25</v>
      </c>
      <c r="J3754" s="379">
        <v>3.7843191658810604</v>
      </c>
    </row>
    <row r="3755" spans="1:10" x14ac:dyDescent="0.35">
      <c r="A3755" s="5">
        <v>3751</v>
      </c>
      <c r="B3755" s="5">
        <v>157</v>
      </c>
      <c r="C3755" s="5">
        <v>6</v>
      </c>
      <c r="D3755" s="379">
        <v>29.69166666666667</v>
      </c>
      <c r="E3755" s="25">
        <v>23.59</v>
      </c>
      <c r="F3755" s="379">
        <v>6.6236307131217087</v>
      </c>
      <c r="G3755" s="25">
        <v>30.51</v>
      </c>
      <c r="H3755" s="379">
        <v>0.13198936139758502</v>
      </c>
      <c r="I3755" s="25">
        <v>34.89</v>
      </c>
      <c r="J3755" s="379">
        <v>3.8354816480500955</v>
      </c>
    </row>
    <row r="3756" spans="1:10" x14ac:dyDescent="0.35">
      <c r="A3756" s="5">
        <v>3752</v>
      </c>
      <c r="B3756" s="5">
        <v>157</v>
      </c>
      <c r="C3756" s="5">
        <v>6</v>
      </c>
      <c r="D3756" s="379">
        <v>29.534999999999997</v>
      </c>
      <c r="E3756" s="25">
        <v>23.59</v>
      </c>
      <c r="F3756" s="379">
        <v>6.6236307131217087</v>
      </c>
      <c r="G3756" s="25">
        <v>30.93</v>
      </c>
      <c r="H3756" s="379">
        <v>1.8457190916956596</v>
      </c>
      <c r="I3756" s="25">
        <v>34.89</v>
      </c>
      <c r="J3756" s="379">
        <v>3.0719565163072895</v>
      </c>
    </row>
    <row r="3757" spans="1:10" x14ac:dyDescent="0.35">
      <c r="A3757" s="5">
        <v>3753</v>
      </c>
      <c r="B3757" s="5">
        <v>157</v>
      </c>
      <c r="C3757" s="5">
        <v>6</v>
      </c>
      <c r="D3757" s="379">
        <v>20.74</v>
      </c>
      <c r="E3757" s="25">
        <v>23.59</v>
      </c>
      <c r="F3757" s="379">
        <v>5.5877030328228043</v>
      </c>
      <c r="G3757" s="25">
        <v>30.93</v>
      </c>
      <c r="H3757" s="379">
        <v>1.8457190916956596</v>
      </c>
      <c r="I3757" s="25">
        <v>34.89</v>
      </c>
      <c r="J3757" s="379">
        <v>1.3605549470073204</v>
      </c>
    </row>
    <row r="3758" spans="1:10" x14ac:dyDescent="0.35">
      <c r="A3758" s="5">
        <v>3754</v>
      </c>
      <c r="B3758" s="5">
        <v>157</v>
      </c>
      <c r="C3758" s="5">
        <v>6</v>
      </c>
      <c r="D3758" s="379">
        <v>15.551666666666668</v>
      </c>
      <c r="E3758" s="25">
        <v>23.59</v>
      </c>
      <c r="F3758" s="379">
        <v>2.8903304435981778</v>
      </c>
      <c r="G3758" s="25">
        <v>30.91</v>
      </c>
      <c r="H3758" s="379">
        <v>1.8457190916956596</v>
      </c>
      <c r="I3758" s="25">
        <v>33.67</v>
      </c>
      <c r="J3758" s="379">
        <v>2.777777777777778E-2</v>
      </c>
    </row>
    <row r="3759" spans="1:10" x14ac:dyDescent="0.35">
      <c r="A3759" s="5">
        <v>3755</v>
      </c>
      <c r="B3759" s="5">
        <v>157</v>
      </c>
      <c r="C3759" s="5">
        <v>6</v>
      </c>
      <c r="D3759" s="379">
        <v>13.162777777777778</v>
      </c>
      <c r="E3759" s="25">
        <v>23.41</v>
      </c>
      <c r="F3759" s="379">
        <v>2.8003964335678027</v>
      </c>
      <c r="G3759" s="25">
        <v>30.91</v>
      </c>
      <c r="H3759" s="379">
        <v>1.8457190916956596</v>
      </c>
      <c r="I3759" s="25">
        <v>33.67</v>
      </c>
      <c r="J3759" s="379">
        <v>2.777777777777778E-2</v>
      </c>
    </row>
    <row r="3760" spans="1:10" x14ac:dyDescent="0.35">
      <c r="A3760" s="5">
        <v>3756</v>
      </c>
      <c r="B3760" s="5">
        <v>157</v>
      </c>
      <c r="C3760" s="5">
        <v>6</v>
      </c>
      <c r="D3760" s="379">
        <v>13.205555555555557</v>
      </c>
      <c r="E3760" s="25">
        <v>22.07</v>
      </c>
      <c r="F3760" s="379">
        <v>2.8003964335678027</v>
      </c>
      <c r="G3760" s="25">
        <v>30.62</v>
      </c>
      <c r="H3760" s="379">
        <v>1.2655816667086657</v>
      </c>
      <c r="I3760" s="25">
        <v>33.67</v>
      </c>
      <c r="J3760" s="379">
        <v>2.777777777777778E-2</v>
      </c>
    </row>
    <row r="3761" spans="1:10" x14ac:dyDescent="0.35">
      <c r="A3761" s="5">
        <v>3757</v>
      </c>
      <c r="B3761" s="5">
        <v>157</v>
      </c>
      <c r="C3761" s="5">
        <v>6</v>
      </c>
      <c r="D3761" s="379">
        <v>14.530555555555555</v>
      </c>
      <c r="E3761" s="25">
        <v>21.88</v>
      </c>
      <c r="F3761" s="379">
        <v>2.8003964335678027</v>
      </c>
      <c r="G3761" s="25">
        <v>30.2</v>
      </c>
      <c r="H3761" s="379">
        <v>1.2655816667086657</v>
      </c>
      <c r="I3761" s="25">
        <v>33.67</v>
      </c>
      <c r="J3761" s="379">
        <v>2.777777777777778E-2</v>
      </c>
    </row>
    <row r="3762" spans="1:10" x14ac:dyDescent="0.35">
      <c r="A3762" s="5">
        <v>3758</v>
      </c>
      <c r="B3762" s="5">
        <v>157</v>
      </c>
      <c r="C3762" s="5">
        <v>6</v>
      </c>
      <c r="D3762" s="379">
        <v>10.03833333333333</v>
      </c>
      <c r="E3762" s="25">
        <v>17.63</v>
      </c>
      <c r="F3762" s="379">
        <v>2.0815147248995691</v>
      </c>
      <c r="G3762" s="25">
        <v>30.03</v>
      </c>
      <c r="H3762" s="379">
        <v>1.2655816667086657</v>
      </c>
      <c r="I3762" s="25">
        <v>33.67</v>
      </c>
      <c r="J3762" s="379">
        <v>2.777777777777778E-2</v>
      </c>
    </row>
    <row r="3763" spans="1:10" x14ac:dyDescent="0.35">
      <c r="A3763" s="5">
        <v>3759</v>
      </c>
      <c r="B3763" s="5">
        <v>157</v>
      </c>
      <c r="C3763" s="5">
        <v>6</v>
      </c>
      <c r="D3763" s="379">
        <v>11.421666666666667</v>
      </c>
      <c r="E3763" s="25">
        <v>16.62</v>
      </c>
      <c r="F3763" s="379">
        <v>2.0815147248995691</v>
      </c>
      <c r="G3763" s="25">
        <v>30.03</v>
      </c>
      <c r="H3763" s="379">
        <v>0.10737189369301019</v>
      </c>
      <c r="I3763" s="25">
        <v>33.67</v>
      </c>
      <c r="J3763" s="379">
        <v>2.777777777777778E-2</v>
      </c>
    </row>
    <row r="3764" spans="1:10" x14ac:dyDescent="0.35">
      <c r="A3764" s="5">
        <v>3760</v>
      </c>
      <c r="B3764" s="5">
        <v>157</v>
      </c>
      <c r="C3764" s="5">
        <v>6</v>
      </c>
      <c r="D3764" s="379">
        <v>13.166666666666666</v>
      </c>
      <c r="E3764" s="25">
        <v>21.24</v>
      </c>
      <c r="F3764" s="379">
        <v>2.0815147248995691</v>
      </c>
      <c r="G3764" s="25">
        <v>30.2</v>
      </c>
      <c r="H3764" s="379">
        <v>1.2655816667086657</v>
      </c>
      <c r="I3764" s="25">
        <v>33.67</v>
      </c>
      <c r="J3764" s="379">
        <v>2.777777777777778E-2</v>
      </c>
    </row>
    <row r="3765" spans="1:10" x14ac:dyDescent="0.35">
      <c r="A3765" s="5">
        <v>3761</v>
      </c>
      <c r="B3765" s="5">
        <v>157</v>
      </c>
      <c r="C3765" s="5">
        <v>6</v>
      </c>
      <c r="D3765" s="379">
        <v>30.535555555555554</v>
      </c>
      <c r="E3765" s="25">
        <v>22.73</v>
      </c>
      <c r="F3765" s="379">
        <v>2.0815147248995691</v>
      </c>
      <c r="G3765" s="25">
        <v>30.2</v>
      </c>
      <c r="H3765" s="379">
        <v>1.2655816667086657</v>
      </c>
      <c r="I3765" s="25">
        <v>33.67</v>
      </c>
      <c r="J3765" s="379">
        <v>2.777777777777778E-2</v>
      </c>
    </row>
    <row r="3766" spans="1:10" x14ac:dyDescent="0.35">
      <c r="A3766" s="5">
        <v>3762</v>
      </c>
      <c r="B3766" s="5">
        <v>157</v>
      </c>
      <c r="C3766" s="5">
        <v>6</v>
      </c>
      <c r="D3766" s="379">
        <v>43.839444444444439</v>
      </c>
      <c r="E3766" s="25">
        <v>23.59</v>
      </c>
      <c r="F3766" s="379">
        <v>0.17144373673036092</v>
      </c>
      <c r="G3766" s="25">
        <v>30.91</v>
      </c>
      <c r="H3766" s="379">
        <v>1.8457190916956596</v>
      </c>
      <c r="I3766" s="25">
        <v>33.67</v>
      </c>
      <c r="J3766" s="379">
        <v>2.777777777777778E-2</v>
      </c>
    </row>
    <row r="3767" spans="1:10" x14ac:dyDescent="0.35">
      <c r="A3767" s="5">
        <v>3763</v>
      </c>
      <c r="B3767" s="5">
        <v>157</v>
      </c>
      <c r="C3767" s="5">
        <v>6</v>
      </c>
      <c r="D3767" s="379">
        <v>48.70333333333334</v>
      </c>
      <c r="E3767" s="25">
        <v>24</v>
      </c>
      <c r="F3767" s="379">
        <v>4.4454988636717525</v>
      </c>
      <c r="G3767" s="25">
        <v>30.93</v>
      </c>
      <c r="H3767" s="379">
        <v>1.3184773206946092</v>
      </c>
      <c r="I3767" s="25">
        <v>34.25</v>
      </c>
      <c r="J3767" s="379">
        <v>0.2225854563162612</v>
      </c>
    </row>
    <row r="3768" spans="1:10" x14ac:dyDescent="0.35">
      <c r="A3768" s="5">
        <v>3764</v>
      </c>
      <c r="B3768" s="5">
        <v>157</v>
      </c>
      <c r="C3768" s="5">
        <v>6</v>
      </c>
      <c r="D3768" s="379">
        <v>50.637222222222213</v>
      </c>
      <c r="E3768" s="25">
        <v>24.84</v>
      </c>
      <c r="F3768" s="379">
        <v>4.7487402433441535</v>
      </c>
      <c r="G3768" s="25">
        <v>30.93</v>
      </c>
      <c r="H3768" s="379">
        <v>1.8133712446880026</v>
      </c>
      <c r="I3768" s="25">
        <v>34.68</v>
      </c>
      <c r="J3768" s="379">
        <v>3.7843191658810604</v>
      </c>
    </row>
    <row r="3769" spans="1:10" x14ac:dyDescent="0.35">
      <c r="A3769" s="5">
        <v>3765</v>
      </c>
      <c r="B3769" s="5">
        <v>157</v>
      </c>
      <c r="C3769" s="5">
        <v>6</v>
      </c>
      <c r="D3769" s="379">
        <v>50.282777777777774</v>
      </c>
      <c r="E3769" s="25">
        <v>24.84</v>
      </c>
      <c r="F3769" s="379">
        <v>4.54984558361922</v>
      </c>
      <c r="G3769" s="25">
        <v>31.84</v>
      </c>
      <c r="H3769" s="379">
        <v>2.3201420275306996</v>
      </c>
      <c r="I3769" s="25">
        <v>44.2</v>
      </c>
      <c r="J3769" s="379">
        <v>3.7843191658810604</v>
      </c>
    </row>
    <row r="3770" spans="1:10" x14ac:dyDescent="0.35">
      <c r="A3770" s="5">
        <v>3766</v>
      </c>
      <c r="B3770" s="5">
        <v>157</v>
      </c>
      <c r="C3770" s="5">
        <v>6</v>
      </c>
      <c r="D3770" s="379">
        <v>49.629444444444445</v>
      </c>
      <c r="E3770" s="25">
        <v>24.84</v>
      </c>
      <c r="F3770" s="379">
        <v>4.5177125240766882</v>
      </c>
      <c r="G3770" s="25">
        <v>32.43</v>
      </c>
      <c r="H3770" s="379">
        <v>2.1102969747157978</v>
      </c>
      <c r="I3770" s="25">
        <v>47.44</v>
      </c>
      <c r="J3770" s="379">
        <v>3.7843191658810604</v>
      </c>
    </row>
    <row r="3771" spans="1:10" x14ac:dyDescent="0.35">
      <c r="A3771" s="5">
        <v>3767</v>
      </c>
      <c r="B3771" s="5">
        <v>157</v>
      </c>
      <c r="C3771" s="5">
        <v>6</v>
      </c>
      <c r="D3771" s="379">
        <v>46.409444444444446</v>
      </c>
      <c r="E3771" s="25">
        <v>24.84</v>
      </c>
      <c r="F3771" s="379">
        <v>4.9090849345021699</v>
      </c>
      <c r="G3771" s="25">
        <v>31.11</v>
      </c>
      <c r="H3771" s="379">
        <v>2.3342454563048523</v>
      </c>
      <c r="I3771" s="25">
        <v>46.64</v>
      </c>
      <c r="J3771" s="379">
        <v>3.7843191658810604</v>
      </c>
    </row>
    <row r="3772" spans="1:10" x14ac:dyDescent="0.35">
      <c r="A3772" s="5">
        <v>3768</v>
      </c>
      <c r="B3772" s="5">
        <v>157</v>
      </c>
      <c r="C3772" s="5">
        <v>6</v>
      </c>
      <c r="D3772" s="379">
        <v>41.949999999999996</v>
      </c>
      <c r="E3772" s="25">
        <v>24.84</v>
      </c>
      <c r="F3772" s="379">
        <v>4.927392007087545</v>
      </c>
      <c r="G3772" s="25">
        <v>30.93</v>
      </c>
      <c r="H3772" s="379">
        <v>2.3858607159508058</v>
      </c>
      <c r="I3772" s="25">
        <v>40.32</v>
      </c>
      <c r="J3772" s="379">
        <v>1.9322689362566949</v>
      </c>
    </row>
    <row r="3773" spans="1:10" x14ac:dyDescent="0.35">
      <c r="A3773" s="5">
        <v>3769</v>
      </c>
      <c r="B3773" s="5">
        <v>158</v>
      </c>
      <c r="C3773" s="5">
        <v>6</v>
      </c>
      <c r="D3773" s="379">
        <v>41.285555555555561</v>
      </c>
      <c r="E3773" s="25">
        <v>24.84</v>
      </c>
      <c r="F3773" s="379">
        <v>4.6180898166189719</v>
      </c>
      <c r="G3773" s="25">
        <v>31.11</v>
      </c>
      <c r="H3773" s="379">
        <v>2.441237245480564</v>
      </c>
      <c r="I3773" s="25">
        <v>42.1</v>
      </c>
      <c r="J3773" s="379">
        <v>3.8354816480500955</v>
      </c>
    </row>
    <row r="3774" spans="1:10" x14ac:dyDescent="0.35">
      <c r="A3774" s="5">
        <v>3770</v>
      </c>
      <c r="B3774" s="5">
        <v>158</v>
      </c>
      <c r="C3774" s="5">
        <v>6</v>
      </c>
      <c r="D3774" s="379">
        <v>40.801111111111112</v>
      </c>
      <c r="E3774" s="25">
        <v>24.84</v>
      </c>
      <c r="F3774" s="379">
        <v>4.3779864891920797</v>
      </c>
      <c r="G3774" s="25">
        <v>35.94</v>
      </c>
      <c r="H3774" s="379">
        <v>1.6452554464864939</v>
      </c>
      <c r="I3774" s="25">
        <v>42.1</v>
      </c>
      <c r="J3774" s="379">
        <v>3.8354816480500955</v>
      </c>
    </row>
    <row r="3775" spans="1:10" x14ac:dyDescent="0.35">
      <c r="A3775" s="5">
        <v>3771</v>
      </c>
      <c r="B3775" s="5">
        <v>158</v>
      </c>
      <c r="C3775" s="5">
        <v>6</v>
      </c>
      <c r="D3775" s="379">
        <v>39.931666666666665</v>
      </c>
      <c r="E3775" s="25">
        <v>24.84</v>
      </c>
      <c r="F3775" s="379">
        <v>4.6089857399264451</v>
      </c>
      <c r="G3775" s="25">
        <v>38.61</v>
      </c>
      <c r="H3775" s="379">
        <v>2.5134507152063512</v>
      </c>
      <c r="I3775" s="25">
        <v>42.1</v>
      </c>
      <c r="J3775" s="379">
        <v>3.8354816480500955</v>
      </c>
    </row>
    <row r="3776" spans="1:10" x14ac:dyDescent="0.35">
      <c r="A3776" s="5">
        <v>3772</v>
      </c>
      <c r="B3776" s="5">
        <v>158</v>
      </c>
      <c r="C3776" s="5">
        <v>6</v>
      </c>
      <c r="D3776" s="379">
        <v>40.961111111111101</v>
      </c>
      <c r="E3776" s="25">
        <v>24.84</v>
      </c>
      <c r="F3776" s="379">
        <v>4.9390669678837833</v>
      </c>
      <c r="G3776" s="25">
        <v>41.86</v>
      </c>
      <c r="H3776" s="379">
        <v>2.3055075919829666</v>
      </c>
      <c r="I3776" s="25">
        <v>42.1</v>
      </c>
      <c r="J3776" s="379">
        <v>3.2168655479883803</v>
      </c>
    </row>
    <row r="3777" spans="1:10" x14ac:dyDescent="0.35">
      <c r="A3777" s="5">
        <v>3773</v>
      </c>
      <c r="B3777" s="5">
        <v>158</v>
      </c>
      <c r="C3777" s="5">
        <v>6</v>
      </c>
      <c r="D3777" s="379">
        <v>44.715555555555561</v>
      </c>
      <c r="E3777" s="25">
        <v>24.84</v>
      </c>
      <c r="F3777" s="379">
        <v>4.5258949631638226</v>
      </c>
      <c r="G3777" s="25">
        <v>42.29</v>
      </c>
      <c r="H3777" s="379">
        <v>1.5643919800820427</v>
      </c>
      <c r="I3777" s="25">
        <v>42.53</v>
      </c>
      <c r="J3777" s="379">
        <v>3.8354816480500955</v>
      </c>
    </row>
    <row r="3778" spans="1:10" x14ac:dyDescent="0.35">
      <c r="A3778" s="5">
        <v>3774</v>
      </c>
      <c r="B3778" s="5">
        <v>158</v>
      </c>
      <c r="C3778" s="5">
        <v>6</v>
      </c>
      <c r="D3778" s="379">
        <v>49.866111111111103</v>
      </c>
      <c r="E3778" s="25">
        <v>24.84</v>
      </c>
      <c r="F3778" s="379">
        <v>3.8188464287099952</v>
      </c>
      <c r="G3778" s="25">
        <v>43.56</v>
      </c>
      <c r="H3778" s="379">
        <v>3.2174878872733075</v>
      </c>
      <c r="I3778" s="25">
        <v>49.53</v>
      </c>
      <c r="J3778" s="379">
        <v>3.8354816480500955</v>
      </c>
    </row>
    <row r="3779" spans="1:10" x14ac:dyDescent="0.35">
      <c r="A3779" s="5">
        <v>3775</v>
      </c>
      <c r="B3779" s="5">
        <v>158</v>
      </c>
      <c r="C3779" s="5">
        <v>6</v>
      </c>
      <c r="D3779" s="379">
        <v>55.448888888888881</v>
      </c>
      <c r="E3779" s="25">
        <v>25.59</v>
      </c>
      <c r="F3779" s="379">
        <v>0.45943295718368521</v>
      </c>
      <c r="G3779" s="25">
        <v>46.98</v>
      </c>
      <c r="H3779" s="379">
        <v>0.14480167642852412</v>
      </c>
      <c r="I3779" s="25">
        <v>53.27</v>
      </c>
      <c r="J3779" s="379">
        <v>3.8354816480500955</v>
      </c>
    </row>
    <row r="3780" spans="1:10" x14ac:dyDescent="0.35">
      <c r="A3780" s="5">
        <v>3776</v>
      </c>
      <c r="B3780" s="5">
        <v>158</v>
      </c>
      <c r="C3780" s="5">
        <v>6</v>
      </c>
      <c r="D3780" s="379">
        <v>57.287777777777762</v>
      </c>
      <c r="E3780" s="25">
        <v>25.59</v>
      </c>
      <c r="F3780" s="379">
        <v>0.14480167642852412</v>
      </c>
      <c r="G3780" s="25">
        <v>46.98</v>
      </c>
      <c r="H3780" s="379">
        <v>3.4631677686688724</v>
      </c>
      <c r="I3780" s="25">
        <v>53.71</v>
      </c>
      <c r="J3780" s="379">
        <v>3.8354816480500955</v>
      </c>
    </row>
    <row r="3781" spans="1:10" x14ac:dyDescent="0.35">
      <c r="A3781" s="5">
        <v>3777</v>
      </c>
      <c r="B3781" s="5">
        <v>158</v>
      </c>
      <c r="C3781" s="5">
        <v>6</v>
      </c>
      <c r="D3781" s="379">
        <v>55.737222222222222</v>
      </c>
      <c r="E3781" s="25">
        <v>24.88</v>
      </c>
      <c r="F3781" s="379">
        <v>3.2755825636044174</v>
      </c>
      <c r="G3781" s="25">
        <v>46.98</v>
      </c>
      <c r="H3781" s="379">
        <v>1.84933551139152</v>
      </c>
      <c r="I3781" s="25">
        <v>51.02</v>
      </c>
      <c r="J3781" s="379">
        <v>2.777777777777778E-2</v>
      </c>
    </row>
    <row r="3782" spans="1:10" x14ac:dyDescent="0.35">
      <c r="A3782" s="5">
        <v>3778</v>
      </c>
      <c r="B3782" s="5">
        <v>158</v>
      </c>
      <c r="C3782" s="5">
        <v>6</v>
      </c>
      <c r="D3782" s="379">
        <v>51.886111111111113</v>
      </c>
      <c r="E3782" s="25">
        <v>24.84</v>
      </c>
      <c r="F3782" s="379">
        <v>2.0815147248995691</v>
      </c>
      <c r="G3782" s="25">
        <v>43.56</v>
      </c>
      <c r="H3782" s="379">
        <v>1.2655816667086657</v>
      </c>
      <c r="I3782" s="25">
        <v>49.53</v>
      </c>
      <c r="J3782" s="379">
        <v>2.777777777777778E-2</v>
      </c>
    </row>
    <row r="3783" spans="1:10" x14ac:dyDescent="0.35">
      <c r="A3783" s="5">
        <v>3779</v>
      </c>
      <c r="B3783" s="5">
        <v>158</v>
      </c>
      <c r="C3783" s="5">
        <v>6</v>
      </c>
      <c r="D3783" s="379">
        <v>48.573888888888881</v>
      </c>
      <c r="E3783" s="25">
        <v>24.84</v>
      </c>
      <c r="F3783" s="379">
        <v>2.0815147248995691</v>
      </c>
      <c r="G3783" s="25">
        <v>43.56</v>
      </c>
      <c r="H3783" s="379">
        <v>2.777777777777778E-2</v>
      </c>
      <c r="I3783" s="25">
        <v>42.53</v>
      </c>
      <c r="J3783" s="379">
        <v>2.777777777777778E-2</v>
      </c>
    </row>
    <row r="3784" spans="1:10" x14ac:dyDescent="0.35">
      <c r="A3784" s="5">
        <v>3780</v>
      </c>
      <c r="B3784" s="5">
        <v>158</v>
      </c>
      <c r="C3784" s="5">
        <v>6</v>
      </c>
      <c r="D3784" s="379">
        <v>47.450555555555546</v>
      </c>
      <c r="E3784" s="25">
        <v>24.84</v>
      </c>
      <c r="F3784" s="379">
        <v>2.0815147248995691</v>
      </c>
      <c r="G3784" s="25">
        <v>42.17</v>
      </c>
      <c r="H3784" s="379">
        <v>2.777777777777778E-2</v>
      </c>
      <c r="I3784" s="25">
        <v>42.1</v>
      </c>
      <c r="J3784" s="379">
        <v>2.777777777777778E-2</v>
      </c>
    </row>
    <row r="3785" spans="1:10" x14ac:dyDescent="0.35">
      <c r="A3785" s="5">
        <v>3781</v>
      </c>
      <c r="B3785" s="5">
        <v>158</v>
      </c>
      <c r="C3785" s="5">
        <v>6</v>
      </c>
      <c r="D3785" s="379">
        <v>46.876111111111108</v>
      </c>
      <c r="E3785" s="25">
        <v>24.84</v>
      </c>
      <c r="F3785" s="379">
        <v>2.0815147248995691</v>
      </c>
      <c r="G3785" s="25">
        <v>41.86</v>
      </c>
      <c r="H3785" s="379">
        <v>2.777777777777778E-2</v>
      </c>
      <c r="I3785" s="25">
        <v>42.1</v>
      </c>
      <c r="J3785" s="379">
        <v>2.777777777777778E-2</v>
      </c>
    </row>
    <row r="3786" spans="1:10" x14ac:dyDescent="0.35">
      <c r="A3786" s="5">
        <v>3782</v>
      </c>
      <c r="B3786" s="5">
        <v>158</v>
      </c>
      <c r="C3786" s="5">
        <v>6</v>
      </c>
      <c r="D3786" s="379">
        <v>46.181666666666665</v>
      </c>
      <c r="E3786" s="25">
        <v>24.84</v>
      </c>
      <c r="F3786" s="379">
        <v>2.0815147248995691</v>
      </c>
      <c r="G3786" s="25">
        <v>41.86</v>
      </c>
      <c r="H3786" s="379">
        <v>2.777777777777778E-2</v>
      </c>
      <c r="I3786" s="25">
        <v>42.1</v>
      </c>
      <c r="J3786" s="379">
        <v>5.1162482169034962E-2</v>
      </c>
    </row>
    <row r="3787" spans="1:10" x14ac:dyDescent="0.35">
      <c r="A3787" s="5">
        <v>3783</v>
      </c>
      <c r="B3787" s="5">
        <v>158</v>
      </c>
      <c r="C3787" s="5">
        <v>6</v>
      </c>
      <c r="D3787" s="379">
        <v>46.36888888888889</v>
      </c>
      <c r="E3787" s="25">
        <v>24.84</v>
      </c>
      <c r="F3787" s="379">
        <v>2.0815147248995691</v>
      </c>
      <c r="G3787" s="25">
        <v>42.29</v>
      </c>
      <c r="H3787" s="379">
        <v>2.777777777777778E-2</v>
      </c>
      <c r="I3787" s="25">
        <v>42.1</v>
      </c>
      <c r="J3787" s="379">
        <v>5.4700203191947877E-2</v>
      </c>
    </row>
    <row r="3788" spans="1:10" x14ac:dyDescent="0.35">
      <c r="A3788" s="5">
        <v>3784</v>
      </c>
      <c r="B3788" s="5">
        <v>158</v>
      </c>
      <c r="C3788" s="5">
        <v>6</v>
      </c>
      <c r="D3788" s="379">
        <v>47.535555555555554</v>
      </c>
      <c r="E3788" s="25">
        <v>24.84</v>
      </c>
      <c r="F3788" s="379">
        <v>2.0815147248995691</v>
      </c>
      <c r="G3788" s="25">
        <v>43.56</v>
      </c>
      <c r="H3788" s="379">
        <v>2.777777777777778E-2</v>
      </c>
      <c r="I3788" s="25">
        <v>42.1</v>
      </c>
      <c r="J3788" s="379">
        <v>0.1163389274671211</v>
      </c>
    </row>
    <row r="3789" spans="1:10" x14ac:dyDescent="0.35">
      <c r="A3789" s="5">
        <v>3785</v>
      </c>
      <c r="B3789" s="5">
        <v>158</v>
      </c>
      <c r="C3789" s="5">
        <v>6</v>
      </c>
      <c r="D3789" s="379">
        <v>47.324444444444445</v>
      </c>
      <c r="E3789" s="25">
        <v>24.84</v>
      </c>
      <c r="F3789" s="379">
        <v>7.8732849477626821E-2</v>
      </c>
      <c r="G3789" s="25">
        <v>43.56</v>
      </c>
      <c r="H3789" s="379">
        <v>0.10737189369301019</v>
      </c>
      <c r="I3789" s="25">
        <v>42.1</v>
      </c>
      <c r="J3789" s="379">
        <v>0.29242804537426004</v>
      </c>
    </row>
    <row r="3790" spans="1:10" x14ac:dyDescent="0.35">
      <c r="A3790" s="5">
        <v>3786</v>
      </c>
      <c r="B3790" s="5">
        <v>158</v>
      </c>
      <c r="C3790" s="5">
        <v>6</v>
      </c>
      <c r="D3790" s="379">
        <v>51.717222222222219</v>
      </c>
      <c r="E3790" s="25">
        <v>24.88</v>
      </c>
      <c r="F3790" s="379">
        <v>4.8770593553120101</v>
      </c>
      <c r="G3790" s="25">
        <v>46.98</v>
      </c>
      <c r="H3790" s="379">
        <v>3.752720135369279</v>
      </c>
      <c r="I3790" s="25">
        <v>50.19</v>
      </c>
      <c r="J3790" s="379">
        <v>0.3927084626050471</v>
      </c>
    </row>
    <row r="3791" spans="1:10" x14ac:dyDescent="0.35">
      <c r="A3791" s="5">
        <v>3787</v>
      </c>
      <c r="B3791" s="5">
        <v>158</v>
      </c>
      <c r="C3791" s="5">
        <v>6</v>
      </c>
      <c r="D3791" s="379">
        <v>53.792222222222215</v>
      </c>
      <c r="E3791" s="25">
        <v>24.99</v>
      </c>
      <c r="F3791" s="379">
        <v>7.1332386364223437</v>
      </c>
      <c r="G3791" s="25">
        <v>46.98</v>
      </c>
      <c r="H3791" s="379">
        <v>7.0540745095789674</v>
      </c>
      <c r="I3791" s="25">
        <v>51.64</v>
      </c>
      <c r="J3791" s="379">
        <v>3.4389896062609631</v>
      </c>
    </row>
    <row r="3792" spans="1:10" x14ac:dyDescent="0.35">
      <c r="A3792" s="5">
        <v>3788</v>
      </c>
      <c r="B3792" s="5">
        <v>158</v>
      </c>
      <c r="C3792" s="5">
        <v>6</v>
      </c>
      <c r="D3792" s="379">
        <v>54.304444444444442</v>
      </c>
      <c r="E3792" s="25">
        <v>25.74</v>
      </c>
      <c r="F3792" s="379">
        <v>6.4809218776328246</v>
      </c>
      <c r="G3792" s="25">
        <v>46.98</v>
      </c>
      <c r="H3792" s="379">
        <v>7.9750702113802205</v>
      </c>
      <c r="I3792" s="25">
        <v>51.76</v>
      </c>
      <c r="J3792" s="379">
        <v>3.7875193997257979</v>
      </c>
    </row>
    <row r="3793" spans="1:10" x14ac:dyDescent="0.35">
      <c r="A3793" s="5">
        <v>3789</v>
      </c>
      <c r="B3793" s="5">
        <v>158</v>
      </c>
      <c r="C3793" s="5">
        <v>6</v>
      </c>
      <c r="D3793" s="379">
        <v>54.036666666666669</v>
      </c>
      <c r="E3793" s="25">
        <v>25.74</v>
      </c>
      <c r="F3793" s="379">
        <v>6.5400444956163009</v>
      </c>
      <c r="G3793" s="25">
        <v>46.98</v>
      </c>
      <c r="H3793" s="379">
        <v>6.4349872737979528</v>
      </c>
      <c r="I3793" s="25">
        <v>51.76</v>
      </c>
      <c r="J3793" s="379">
        <v>4.5777299681926671</v>
      </c>
    </row>
    <row r="3794" spans="1:10" x14ac:dyDescent="0.35">
      <c r="A3794" s="5">
        <v>3790</v>
      </c>
      <c r="B3794" s="5">
        <v>158</v>
      </c>
      <c r="C3794" s="5">
        <v>6</v>
      </c>
      <c r="D3794" s="379">
        <v>51.353333333333325</v>
      </c>
      <c r="E3794" s="25">
        <v>25.29</v>
      </c>
      <c r="F3794" s="379">
        <v>7.194706196891369</v>
      </c>
      <c r="G3794" s="25">
        <v>46.98</v>
      </c>
      <c r="H3794" s="379">
        <v>6.5941888713296768</v>
      </c>
      <c r="I3794" s="25">
        <v>53.71</v>
      </c>
      <c r="J3794" s="379">
        <v>2.9043824573393668</v>
      </c>
    </row>
    <row r="3795" spans="1:10" x14ac:dyDescent="0.35">
      <c r="A3795" s="5">
        <v>3791</v>
      </c>
      <c r="B3795" s="5">
        <v>158</v>
      </c>
      <c r="C3795" s="5">
        <v>6</v>
      </c>
      <c r="D3795" s="379">
        <v>49.13111111111111</v>
      </c>
      <c r="E3795" s="25">
        <v>24.84</v>
      </c>
      <c r="F3795" s="379">
        <v>6.7211054300328188</v>
      </c>
      <c r="G3795" s="25">
        <v>43.56</v>
      </c>
      <c r="H3795" s="379">
        <v>7.3617050608485766</v>
      </c>
      <c r="I3795" s="25">
        <v>52.55</v>
      </c>
      <c r="J3795" s="379">
        <v>4.7562668451916563</v>
      </c>
    </row>
    <row r="3796" spans="1:10" x14ac:dyDescent="0.35">
      <c r="A3796" s="5">
        <v>3792</v>
      </c>
      <c r="B3796" s="5">
        <v>158</v>
      </c>
      <c r="C3796" s="5">
        <v>6</v>
      </c>
      <c r="D3796" s="379">
        <v>45.347777777777779</v>
      </c>
      <c r="E3796" s="25">
        <v>24.84</v>
      </c>
      <c r="F3796" s="379">
        <v>6.6759451939363856</v>
      </c>
      <c r="G3796" s="25">
        <v>42.29</v>
      </c>
      <c r="H3796" s="379">
        <v>6.9242921373779902</v>
      </c>
      <c r="I3796" s="25">
        <v>51.76</v>
      </c>
      <c r="J3796" s="379">
        <v>4.083948379673445</v>
      </c>
    </row>
    <row r="3797" spans="1:10" x14ac:dyDescent="0.35">
      <c r="A3797" s="5">
        <v>3793</v>
      </c>
      <c r="B3797" s="5">
        <v>159</v>
      </c>
      <c r="C3797" s="5">
        <v>6</v>
      </c>
      <c r="D3797" s="379">
        <v>42.404999999999994</v>
      </c>
      <c r="E3797" s="25">
        <v>24.84</v>
      </c>
      <c r="F3797" s="379">
        <v>6.6759451939363856</v>
      </c>
      <c r="G3797" s="25">
        <v>42.29</v>
      </c>
      <c r="H3797" s="379">
        <v>6.2143938394662523</v>
      </c>
      <c r="I3797" s="25">
        <v>48.86</v>
      </c>
      <c r="J3797" s="379">
        <v>4.2937241323502784</v>
      </c>
    </row>
    <row r="3798" spans="1:10" x14ac:dyDescent="0.35">
      <c r="A3798" s="5">
        <v>3794</v>
      </c>
      <c r="B3798" s="5">
        <v>159</v>
      </c>
      <c r="C3798" s="5">
        <v>6</v>
      </c>
      <c r="D3798" s="379">
        <v>41.49444444444444</v>
      </c>
      <c r="E3798" s="25">
        <v>24.84</v>
      </c>
      <c r="F3798" s="379">
        <v>6.6759451939363856</v>
      </c>
      <c r="G3798" s="25">
        <v>40.17</v>
      </c>
      <c r="H3798" s="379">
        <v>6.358237337031559</v>
      </c>
      <c r="I3798" s="25">
        <v>48.86</v>
      </c>
      <c r="J3798" s="379">
        <v>4.615374148178323</v>
      </c>
    </row>
    <row r="3799" spans="1:10" x14ac:dyDescent="0.35">
      <c r="A3799" s="5">
        <v>3795</v>
      </c>
      <c r="B3799" s="5">
        <v>159</v>
      </c>
      <c r="C3799" s="5">
        <v>6</v>
      </c>
      <c r="D3799" s="379">
        <v>40.67166666666666</v>
      </c>
      <c r="E3799" s="25">
        <v>24.84</v>
      </c>
      <c r="F3799" s="379">
        <v>6.628478209922255</v>
      </c>
      <c r="G3799" s="25">
        <v>40.17</v>
      </c>
      <c r="H3799" s="379">
        <v>5.5957711191705499</v>
      </c>
      <c r="I3799" s="25">
        <v>48.86</v>
      </c>
      <c r="J3799" s="379">
        <v>4.379288063985129</v>
      </c>
    </row>
    <row r="3800" spans="1:10" x14ac:dyDescent="0.35">
      <c r="A3800" s="5">
        <v>3796</v>
      </c>
      <c r="B3800" s="5">
        <v>159</v>
      </c>
      <c r="C3800" s="5">
        <v>6</v>
      </c>
      <c r="D3800" s="379">
        <v>40.936111111111103</v>
      </c>
      <c r="E3800" s="25">
        <v>24.84</v>
      </c>
      <c r="F3800" s="379">
        <v>6.2167226932333666</v>
      </c>
      <c r="G3800" s="25">
        <v>40.17</v>
      </c>
      <c r="H3800" s="379">
        <v>5.3727268230403542</v>
      </c>
      <c r="I3800" s="25">
        <v>44</v>
      </c>
      <c r="J3800" s="379">
        <v>4.0611118377914881</v>
      </c>
    </row>
    <row r="3801" spans="1:10" x14ac:dyDescent="0.35">
      <c r="A3801" s="5">
        <v>3797</v>
      </c>
      <c r="B3801" s="5">
        <v>159</v>
      </c>
      <c r="C3801" s="5">
        <v>6</v>
      </c>
      <c r="D3801" s="379">
        <v>42.673333333333332</v>
      </c>
      <c r="E3801" s="25">
        <v>24.84</v>
      </c>
      <c r="F3801" s="379">
        <v>6.1522899845514623</v>
      </c>
      <c r="G3801" s="25">
        <v>40.17</v>
      </c>
      <c r="H3801" s="379">
        <v>5.1602817879773593</v>
      </c>
      <c r="I3801" s="25">
        <v>44</v>
      </c>
      <c r="J3801" s="379">
        <v>2.885803888660849</v>
      </c>
    </row>
    <row r="3802" spans="1:10" x14ac:dyDescent="0.35">
      <c r="A3802" s="5">
        <v>3798</v>
      </c>
      <c r="B3802" s="5">
        <v>159</v>
      </c>
      <c r="C3802" s="5">
        <v>6</v>
      </c>
      <c r="D3802" s="379">
        <v>47.207777777777778</v>
      </c>
      <c r="E3802" s="25">
        <v>24.84</v>
      </c>
      <c r="F3802" s="379">
        <v>5.4892648093515373</v>
      </c>
      <c r="G3802" s="25">
        <v>43.56</v>
      </c>
      <c r="H3802" s="379">
        <v>5.3498993944105981</v>
      </c>
      <c r="I3802" s="25">
        <v>49.03</v>
      </c>
      <c r="J3802" s="379">
        <v>2.4242059669045499</v>
      </c>
    </row>
    <row r="3803" spans="1:10" x14ac:dyDescent="0.35">
      <c r="A3803" s="5">
        <v>3799</v>
      </c>
      <c r="B3803" s="5">
        <v>159</v>
      </c>
      <c r="C3803" s="5">
        <v>6</v>
      </c>
      <c r="D3803" s="379">
        <v>50.589444444444439</v>
      </c>
      <c r="E3803" s="25">
        <v>24.99</v>
      </c>
      <c r="F3803" s="379">
        <v>7.0675016398919999</v>
      </c>
      <c r="G3803" s="25">
        <v>46.98</v>
      </c>
      <c r="H3803" s="379">
        <v>3.7664627982083698</v>
      </c>
      <c r="I3803" s="25">
        <v>53.27</v>
      </c>
      <c r="J3803" s="379">
        <v>1.1423276383116872</v>
      </c>
    </row>
    <row r="3804" spans="1:10" x14ac:dyDescent="0.35">
      <c r="A3804" s="5">
        <v>3800</v>
      </c>
      <c r="B3804" s="5">
        <v>159</v>
      </c>
      <c r="C3804" s="5">
        <v>6</v>
      </c>
      <c r="D3804" s="379">
        <v>52.648333333333326</v>
      </c>
      <c r="E3804" s="25">
        <v>24.99</v>
      </c>
      <c r="F3804" s="379">
        <v>5.5857877942179739</v>
      </c>
      <c r="G3804" s="25">
        <v>46.98</v>
      </c>
      <c r="H3804" s="379">
        <v>1.6166578740892614</v>
      </c>
      <c r="I3804" s="25">
        <v>51.76</v>
      </c>
      <c r="J3804" s="379">
        <v>0.35720806799614369</v>
      </c>
    </row>
    <row r="3805" spans="1:10" x14ac:dyDescent="0.35">
      <c r="A3805" s="5">
        <v>3801</v>
      </c>
      <c r="B3805" s="5">
        <v>159</v>
      </c>
      <c r="C3805" s="5">
        <v>6</v>
      </c>
      <c r="D3805" s="379">
        <v>52.229444444444447</v>
      </c>
      <c r="E3805" s="25">
        <v>24.99</v>
      </c>
      <c r="F3805" s="379">
        <v>7.6235265651593247</v>
      </c>
      <c r="G3805" s="25">
        <v>43.56</v>
      </c>
      <c r="H3805" s="379">
        <v>0.65808670058311347</v>
      </c>
      <c r="I3805" s="25">
        <v>51.02</v>
      </c>
      <c r="J3805" s="379">
        <v>2.777777777777778E-2</v>
      </c>
    </row>
    <row r="3806" spans="1:10" x14ac:dyDescent="0.35">
      <c r="A3806" s="5">
        <v>3802</v>
      </c>
      <c r="B3806" s="5">
        <v>159</v>
      </c>
      <c r="C3806" s="5">
        <v>6</v>
      </c>
      <c r="D3806" s="379">
        <v>49.084444444444443</v>
      </c>
      <c r="E3806" s="25">
        <v>24.84</v>
      </c>
      <c r="F3806" s="379">
        <v>6.1766048830184648</v>
      </c>
      <c r="G3806" s="25">
        <v>41.38</v>
      </c>
      <c r="H3806" s="379">
        <v>8.585597550462086E-2</v>
      </c>
      <c r="I3806" s="25">
        <v>36.869999999999997</v>
      </c>
      <c r="J3806" s="379">
        <v>2.777777777777778E-2</v>
      </c>
    </row>
    <row r="3807" spans="1:10" x14ac:dyDescent="0.35">
      <c r="A3807" s="5">
        <v>3803</v>
      </c>
      <c r="B3807" s="5">
        <v>159</v>
      </c>
      <c r="C3807" s="5">
        <v>6</v>
      </c>
      <c r="D3807" s="379">
        <v>47.313333333333333</v>
      </c>
      <c r="E3807" s="25">
        <v>24.84</v>
      </c>
      <c r="F3807" s="379">
        <v>0.47222222222222221</v>
      </c>
      <c r="G3807" s="25">
        <v>41.38</v>
      </c>
      <c r="H3807" s="379">
        <v>0.33998492939887198</v>
      </c>
      <c r="I3807" s="25">
        <v>34.25</v>
      </c>
      <c r="J3807" s="379">
        <v>2.777777777777778E-2</v>
      </c>
    </row>
    <row r="3808" spans="1:10" x14ac:dyDescent="0.35">
      <c r="A3808" s="5">
        <v>3804</v>
      </c>
      <c r="B3808" s="5">
        <v>159</v>
      </c>
      <c r="C3808" s="5">
        <v>6</v>
      </c>
      <c r="D3808" s="379">
        <v>46.807777777777773</v>
      </c>
      <c r="E3808" s="25">
        <v>24.84</v>
      </c>
      <c r="F3808" s="379">
        <v>0.47222222222222221</v>
      </c>
      <c r="G3808" s="25">
        <v>39.770000000000003</v>
      </c>
      <c r="H3808" s="379">
        <v>0.408654658016537</v>
      </c>
      <c r="I3808" s="25">
        <v>33.9</v>
      </c>
      <c r="J3808" s="379">
        <v>2.777777777777778E-2</v>
      </c>
    </row>
    <row r="3809" spans="1:10" x14ac:dyDescent="0.35">
      <c r="A3809" s="5">
        <v>3805</v>
      </c>
      <c r="B3809" s="5">
        <v>159</v>
      </c>
      <c r="C3809" s="5">
        <v>6</v>
      </c>
      <c r="D3809" s="379">
        <v>46.882222222222218</v>
      </c>
      <c r="E3809" s="25">
        <v>24.56</v>
      </c>
      <c r="F3809" s="379">
        <v>0.47222222222222221</v>
      </c>
      <c r="G3809" s="25">
        <v>39.770000000000003</v>
      </c>
      <c r="H3809" s="379">
        <v>0.19731332428921045</v>
      </c>
      <c r="I3809" s="25">
        <v>33.67</v>
      </c>
      <c r="J3809" s="379">
        <v>2.777777777777778E-2</v>
      </c>
    </row>
    <row r="3810" spans="1:10" x14ac:dyDescent="0.35">
      <c r="A3810" s="5">
        <v>3806</v>
      </c>
      <c r="B3810" s="5">
        <v>159</v>
      </c>
      <c r="C3810" s="5">
        <v>6</v>
      </c>
      <c r="D3810" s="379">
        <v>45.770555555555553</v>
      </c>
      <c r="E3810" s="25">
        <v>24.26</v>
      </c>
      <c r="F3810" s="379">
        <v>0.47222222222222232</v>
      </c>
      <c r="G3810" s="25">
        <v>39.770000000000003</v>
      </c>
      <c r="H3810" s="379">
        <v>0.21914397641038158</v>
      </c>
      <c r="I3810" s="25">
        <v>33.67</v>
      </c>
      <c r="J3810" s="379">
        <v>2.777777777777778E-2</v>
      </c>
    </row>
    <row r="3811" spans="1:10" x14ac:dyDescent="0.35">
      <c r="A3811" s="5">
        <v>3807</v>
      </c>
      <c r="B3811" s="5">
        <v>159</v>
      </c>
      <c r="C3811" s="5">
        <v>6</v>
      </c>
      <c r="D3811" s="379">
        <v>45.223333333333336</v>
      </c>
      <c r="E3811" s="25">
        <v>24.26</v>
      </c>
      <c r="F3811" s="379">
        <v>0.47222222222222221</v>
      </c>
      <c r="G3811" s="25">
        <v>39.770000000000003</v>
      </c>
      <c r="H3811" s="379">
        <v>0.332812579316143</v>
      </c>
      <c r="I3811" s="25">
        <v>33.67</v>
      </c>
      <c r="J3811" s="379">
        <v>2.777777777777778E-2</v>
      </c>
    </row>
    <row r="3812" spans="1:10" x14ac:dyDescent="0.35">
      <c r="A3812" s="5">
        <v>3808</v>
      </c>
      <c r="B3812" s="5">
        <v>159</v>
      </c>
      <c r="C3812" s="5">
        <v>6</v>
      </c>
      <c r="D3812" s="379">
        <v>45.978333333333332</v>
      </c>
      <c r="E3812" s="25">
        <v>24.84</v>
      </c>
      <c r="F3812" s="379">
        <v>0.47222222222222221</v>
      </c>
      <c r="G3812" s="25">
        <v>39.770000000000003</v>
      </c>
      <c r="H3812" s="379">
        <v>0.47222222222222221</v>
      </c>
      <c r="I3812" s="25">
        <v>33.67</v>
      </c>
      <c r="J3812" s="379">
        <v>2.777777777777778E-2</v>
      </c>
    </row>
    <row r="3813" spans="1:10" x14ac:dyDescent="0.35">
      <c r="A3813" s="5">
        <v>3809</v>
      </c>
      <c r="B3813" s="5">
        <v>159</v>
      </c>
      <c r="C3813" s="5">
        <v>6</v>
      </c>
      <c r="D3813" s="379">
        <v>49.396666666666668</v>
      </c>
      <c r="E3813" s="25">
        <v>24.84</v>
      </c>
      <c r="F3813" s="379">
        <v>5.566035640254106</v>
      </c>
      <c r="G3813" s="25">
        <v>39.770000000000003</v>
      </c>
      <c r="H3813" s="379">
        <v>0.16765783043120494</v>
      </c>
      <c r="I3813" s="25">
        <v>33.67</v>
      </c>
      <c r="J3813" s="379">
        <v>0.13263492261253382</v>
      </c>
    </row>
    <row r="3814" spans="1:10" x14ac:dyDescent="0.35">
      <c r="A3814" s="5">
        <v>3810</v>
      </c>
      <c r="B3814" s="5">
        <v>159</v>
      </c>
      <c r="C3814" s="5">
        <v>6</v>
      </c>
      <c r="D3814" s="379">
        <v>51.973333333333329</v>
      </c>
      <c r="E3814" s="25">
        <v>24.84</v>
      </c>
      <c r="F3814" s="379">
        <v>8.1174834595959595</v>
      </c>
      <c r="G3814" s="25">
        <v>41.38</v>
      </c>
      <c r="H3814" s="379">
        <v>4.5472375146790585</v>
      </c>
      <c r="I3814" s="25">
        <v>33.9</v>
      </c>
      <c r="J3814" s="379">
        <v>2.0063010836769877</v>
      </c>
    </row>
    <row r="3815" spans="1:10" x14ac:dyDescent="0.35">
      <c r="A3815" s="5">
        <v>3811</v>
      </c>
      <c r="B3815" s="5">
        <v>159</v>
      </c>
      <c r="C3815" s="5">
        <v>6</v>
      </c>
      <c r="D3815" s="379">
        <v>54.494444444444447</v>
      </c>
      <c r="E3815" s="25">
        <v>24.84</v>
      </c>
      <c r="F3815" s="379">
        <v>8.1174834595959595</v>
      </c>
      <c r="G3815" s="25">
        <v>40.96</v>
      </c>
      <c r="H3815" s="379">
        <v>4.7996938046946571</v>
      </c>
      <c r="I3815" s="25">
        <v>35.44</v>
      </c>
      <c r="J3815" s="379">
        <v>0.40892581625783997</v>
      </c>
    </row>
    <row r="3816" spans="1:10" x14ac:dyDescent="0.35">
      <c r="A3816" s="5">
        <v>3812</v>
      </c>
      <c r="B3816" s="5">
        <v>159</v>
      </c>
      <c r="C3816" s="5">
        <v>6</v>
      </c>
      <c r="D3816" s="379">
        <v>53.75277777777778</v>
      </c>
      <c r="E3816" s="25">
        <v>24.84</v>
      </c>
      <c r="F3816" s="379">
        <v>8.1174834595959613</v>
      </c>
      <c r="G3816" s="25">
        <v>40.17</v>
      </c>
      <c r="H3816" s="379">
        <v>4.799693804694658</v>
      </c>
      <c r="I3816" s="25">
        <v>35.799999999999997</v>
      </c>
      <c r="J3816" s="379">
        <v>4.6075643674730058</v>
      </c>
    </row>
    <row r="3817" spans="1:10" x14ac:dyDescent="0.35">
      <c r="A3817" s="5">
        <v>3813</v>
      </c>
      <c r="B3817" s="5">
        <v>159</v>
      </c>
      <c r="C3817" s="5">
        <v>6</v>
      </c>
      <c r="D3817" s="379">
        <v>54.369444444444447</v>
      </c>
      <c r="E3817" s="25">
        <v>24.84</v>
      </c>
      <c r="F3817" s="379">
        <v>8.1174834595959577</v>
      </c>
      <c r="G3817" s="25">
        <v>40.17</v>
      </c>
      <c r="H3817" s="379">
        <v>4.799693804694658</v>
      </c>
      <c r="I3817" s="25">
        <v>38.69</v>
      </c>
      <c r="J3817" s="379">
        <v>3.7761197283734709</v>
      </c>
    </row>
    <row r="3818" spans="1:10" x14ac:dyDescent="0.35">
      <c r="A3818" s="5">
        <v>3814</v>
      </c>
      <c r="B3818" s="5">
        <v>159</v>
      </c>
      <c r="C3818" s="5">
        <v>6</v>
      </c>
      <c r="D3818" s="379">
        <v>52.473888888888887</v>
      </c>
      <c r="E3818" s="25">
        <v>24.84</v>
      </c>
      <c r="F3818" s="379">
        <v>8.1174834595959595</v>
      </c>
      <c r="G3818" s="25">
        <v>42.29</v>
      </c>
      <c r="H3818" s="379">
        <v>4.799693804694658</v>
      </c>
      <c r="I3818" s="25">
        <v>39.619999999999997</v>
      </c>
      <c r="J3818" s="379">
        <v>3.384796263489243</v>
      </c>
    </row>
    <row r="3819" spans="1:10" x14ac:dyDescent="0.35">
      <c r="A3819" s="5">
        <v>3815</v>
      </c>
      <c r="B3819" s="5">
        <v>159</v>
      </c>
      <c r="C3819" s="5">
        <v>6</v>
      </c>
      <c r="D3819" s="379">
        <v>47.960555555555551</v>
      </c>
      <c r="E3819" s="25">
        <v>24.84</v>
      </c>
      <c r="F3819" s="379">
        <v>8.1174834595959577</v>
      </c>
      <c r="G3819" s="25">
        <v>40.17</v>
      </c>
      <c r="H3819" s="379">
        <v>4.799693804694658</v>
      </c>
      <c r="I3819" s="25">
        <v>35.799999999999997</v>
      </c>
      <c r="J3819" s="379">
        <v>4.6360975894234668</v>
      </c>
    </row>
    <row r="3820" spans="1:10" x14ac:dyDescent="0.35">
      <c r="A3820" s="5">
        <v>3816</v>
      </c>
      <c r="B3820" s="5">
        <v>159</v>
      </c>
      <c r="C3820" s="5">
        <v>6</v>
      </c>
      <c r="D3820" s="379">
        <v>49.457777777777771</v>
      </c>
      <c r="E3820" s="25">
        <v>24.12</v>
      </c>
      <c r="F3820" s="379">
        <v>8.1174834595959577</v>
      </c>
      <c r="G3820" s="25">
        <v>34.82</v>
      </c>
      <c r="H3820" s="379">
        <v>4.799693804694658</v>
      </c>
      <c r="I3820" s="25">
        <v>36.5</v>
      </c>
      <c r="J3820" s="379">
        <v>5.1410309688760965</v>
      </c>
    </row>
    <row r="3821" spans="1:10" x14ac:dyDescent="0.35">
      <c r="A3821" s="5">
        <v>3817</v>
      </c>
      <c r="B3821" s="5">
        <v>160</v>
      </c>
      <c r="C3821" s="5">
        <v>6</v>
      </c>
      <c r="D3821" s="379">
        <v>48.582222222222214</v>
      </c>
      <c r="E3821" s="25">
        <v>23.59</v>
      </c>
      <c r="F3821" s="379">
        <v>8.1174834595959613</v>
      </c>
      <c r="G3821" s="25">
        <v>33.799999999999997</v>
      </c>
      <c r="H3821" s="379">
        <v>4.9244406166029009</v>
      </c>
      <c r="I3821" s="25">
        <v>34.68</v>
      </c>
      <c r="J3821" s="379">
        <v>5.1185036924448601</v>
      </c>
    </row>
    <row r="3822" spans="1:10" x14ac:dyDescent="0.35">
      <c r="A3822" s="5">
        <v>3818</v>
      </c>
      <c r="B3822" s="5">
        <v>160</v>
      </c>
      <c r="C3822" s="5">
        <v>6</v>
      </c>
      <c r="D3822" s="379">
        <v>47.498333333333335</v>
      </c>
      <c r="E3822" s="25">
        <v>24</v>
      </c>
      <c r="F3822" s="379">
        <v>8.1174834595959595</v>
      </c>
      <c r="G3822" s="25">
        <v>33.799999999999997</v>
      </c>
      <c r="H3822" s="379">
        <v>4.8083727671062961</v>
      </c>
      <c r="I3822" s="25">
        <v>34.68</v>
      </c>
      <c r="J3822" s="379">
        <v>5.1399704180260635</v>
      </c>
    </row>
    <row r="3823" spans="1:10" x14ac:dyDescent="0.35">
      <c r="A3823" s="5">
        <v>3819</v>
      </c>
      <c r="B3823" s="5">
        <v>160</v>
      </c>
      <c r="C3823" s="5">
        <v>6</v>
      </c>
      <c r="D3823" s="379">
        <v>46.962777777777781</v>
      </c>
      <c r="E3823" s="25">
        <v>24</v>
      </c>
      <c r="F3823" s="379">
        <v>8.1174834595959613</v>
      </c>
      <c r="G3823" s="25">
        <v>33.799999999999997</v>
      </c>
      <c r="H3823" s="379">
        <v>4.8182922885242023</v>
      </c>
      <c r="I3823" s="25">
        <v>34.68</v>
      </c>
      <c r="J3823" s="379">
        <v>5.0237915345492565</v>
      </c>
    </row>
    <row r="3824" spans="1:10" x14ac:dyDescent="0.35">
      <c r="A3824" s="5">
        <v>3820</v>
      </c>
      <c r="B3824" s="5">
        <v>160</v>
      </c>
      <c r="C3824" s="5">
        <v>6</v>
      </c>
      <c r="D3824" s="379">
        <v>47.053333333333335</v>
      </c>
      <c r="E3824" s="25">
        <v>24</v>
      </c>
      <c r="F3824" s="379">
        <v>8.1174834595959595</v>
      </c>
      <c r="G3824" s="25">
        <v>33.799999999999997</v>
      </c>
      <c r="H3824" s="379">
        <v>5.2763910288410933</v>
      </c>
      <c r="I3824" s="25">
        <v>34.68</v>
      </c>
      <c r="J3824" s="379">
        <v>5.4493534714967211</v>
      </c>
    </row>
    <row r="3825" spans="1:10" x14ac:dyDescent="0.35">
      <c r="A3825" s="5">
        <v>3821</v>
      </c>
      <c r="B3825" s="5">
        <v>160</v>
      </c>
      <c r="C3825" s="5">
        <v>6</v>
      </c>
      <c r="D3825" s="379">
        <v>48.178888888888892</v>
      </c>
      <c r="E3825" s="25">
        <v>24</v>
      </c>
      <c r="F3825" s="379">
        <v>8.1174834595959595</v>
      </c>
      <c r="G3825" s="25">
        <v>33.799999999999997</v>
      </c>
      <c r="H3825" s="379">
        <v>5.0827395461817302</v>
      </c>
      <c r="I3825" s="25">
        <v>34.68</v>
      </c>
      <c r="J3825" s="379">
        <v>5.1815835737016078</v>
      </c>
    </row>
    <row r="3826" spans="1:10" x14ac:dyDescent="0.35">
      <c r="A3826" s="5">
        <v>3822</v>
      </c>
      <c r="B3826" s="5">
        <v>160</v>
      </c>
      <c r="C3826" s="5">
        <v>6</v>
      </c>
      <c r="D3826" s="379">
        <v>54.387777777777771</v>
      </c>
      <c r="E3826" s="25">
        <v>24.84</v>
      </c>
      <c r="F3826" s="379">
        <v>8.1174834595959595</v>
      </c>
      <c r="G3826" s="25">
        <v>34.82</v>
      </c>
      <c r="H3826" s="379">
        <v>4.799693804694658</v>
      </c>
      <c r="I3826" s="25">
        <v>35.44</v>
      </c>
      <c r="J3826" s="379">
        <v>5.1460873236672047</v>
      </c>
    </row>
    <row r="3827" spans="1:10" x14ac:dyDescent="0.35">
      <c r="A3827" s="5">
        <v>3823</v>
      </c>
      <c r="B3827" s="5">
        <v>160</v>
      </c>
      <c r="C3827" s="5">
        <v>6</v>
      </c>
      <c r="D3827" s="379">
        <v>55.505555555555553</v>
      </c>
      <c r="E3827" s="25">
        <v>24.84</v>
      </c>
      <c r="F3827" s="379">
        <v>8.1174834595959595</v>
      </c>
      <c r="G3827" s="25">
        <v>39.770000000000003</v>
      </c>
      <c r="H3827" s="379">
        <v>4.8055487394354399</v>
      </c>
      <c r="I3827" s="25">
        <v>39.619999999999997</v>
      </c>
      <c r="J3827" s="379">
        <v>2.4047676428444649</v>
      </c>
    </row>
    <row r="3828" spans="1:10" x14ac:dyDescent="0.35">
      <c r="A3828" s="5">
        <v>3824</v>
      </c>
      <c r="B3828" s="5">
        <v>160</v>
      </c>
      <c r="C3828" s="5">
        <v>6</v>
      </c>
      <c r="D3828" s="379">
        <v>57.548333333333325</v>
      </c>
      <c r="E3828" s="25">
        <v>24.84</v>
      </c>
      <c r="F3828" s="379">
        <v>8.1174834595959613</v>
      </c>
      <c r="G3828" s="25">
        <v>40.96</v>
      </c>
      <c r="H3828" s="379">
        <v>4.834508167516784</v>
      </c>
      <c r="I3828" s="25">
        <v>38.69</v>
      </c>
      <c r="J3828" s="379">
        <v>4.4327323809299806</v>
      </c>
    </row>
    <row r="3829" spans="1:10" x14ac:dyDescent="0.35">
      <c r="A3829" s="5">
        <v>3825</v>
      </c>
      <c r="B3829" s="5">
        <v>160</v>
      </c>
      <c r="C3829" s="5">
        <v>6</v>
      </c>
      <c r="D3829" s="379">
        <v>54.882222222222218</v>
      </c>
      <c r="E3829" s="25">
        <v>24.84</v>
      </c>
      <c r="F3829" s="379">
        <v>5.5660356402541051</v>
      </c>
      <c r="G3829" s="25">
        <v>39.770000000000003</v>
      </c>
      <c r="H3829" s="379">
        <v>0.51860547566027915</v>
      </c>
      <c r="I3829" s="25">
        <v>35.03</v>
      </c>
      <c r="J3829" s="379">
        <v>2.0024923202719629</v>
      </c>
    </row>
    <row r="3830" spans="1:10" x14ac:dyDescent="0.35">
      <c r="A3830" s="5">
        <v>3826</v>
      </c>
      <c r="B3830" s="5">
        <v>160</v>
      </c>
      <c r="C3830" s="5">
        <v>6</v>
      </c>
      <c r="D3830" s="379">
        <v>53.355000000000004</v>
      </c>
      <c r="E3830" s="25">
        <v>24.84</v>
      </c>
      <c r="F3830" s="379">
        <v>0.59308648431152478</v>
      </c>
      <c r="G3830" s="25">
        <v>39.770000000000003</v>
      </c>
      <c r="H3830" s="379">
        <v>0.57248638225993098</v>
      </c>
      <c r="I3830" s="25">
        <v>33.67</v>
      </c>
      <c r="J3830" s="379">
        <v>2.0024923202719629</v>
      </c>
    </row>
    <row r="3831" spans="1:10" x14ac:dyDescent="0.35">
      <c r="A3831" s="5">
        <v>3827</v>
      </c>
      <c r="B3831" s="5">
        <v>160</v>
      </c>
      <c r="C3831" s="5">
        <v>6</v>
      </c>
      <c r="D3831" s="379">
        <v>50.600555555555545</v>
      </c>
      <c r="E3831" s="25">
        <v>24.84</v>
      </c>
      <c r="F3831" s="379">
        <v>2.0752588422585028</v>
      </c>
      <c r="G3831" s="25">
        <v>39.770000000000003</v>
      </c>
      <c r="H3831" s="379">
        <v>0.81901447611857459</v>
      </c>
      <c r="I3831" s="25">
        <v>33.67</v>
      </c>
      <c r="J3831" s="379">
        <v>2.0024923202719629</v>
      </c>
    </row>
    <row r="3832" spans="1:10" x14ac:dyDescent="0.35">
      <c r="A3832" s="5">
        <v>3828</v>
      </c>
      <c r="B3832" s="5">
        <v>160</v>
      </c>
      <c r="C3832" s="5">
        <v>6</v>
      </c>
      <c r="D3832" s="379">
        <v>47.873888888888892</v>
      </c>
      <c r="E3832" s="25">
        <v>24.26</v>
      </c>
      <c r="F3832" s="379">
        <v>0.47222222222222221</v>
      </c>
      <c r="G3832" s="25">
        <v>35.86</v>
      </c>
      <c r="H3832" s="379">
        <v>0.326321474038265</v>
      </c>
      <c r="I3832" s="25">
        <v>33.67</v>
      </c>
      <c r="J3832" s="379">
        <v>2.0433786186746006</v>
      </c>
    </row>
    <row r="3833" spans="1:10" x14ac:dyDescent="0.35">
      <c r="A3833" s="5">
        <v>3829</v>
      </c>
      <c r="B3833" s="5">
        <v>160</v>
      </c>
      <c r="C3833" s="5">
        <v>6</v>
      </c>
      <c r="D3833" s="379">
        <v>45.767222222222223</v>
      </c>
      <c r="E3833" s="25">
        <v>24.12</v>
      </c>
      <c r="F3833" s="379">
        <v>4.6325620990967078</v>
      </c>
      <c r="G3833" s="25">
        <v>33.799999999999997</v>
      </c>
      <c r="H3833" s="379">
        <v>3.5681664972481979</v>
      </c>
      <c r="I3833" s="25">
        <v>33.67</v>
      </c>
      <c r="J3833" s="379">
        <v>2.0025415961736224</v>
      </c>
    </row>
    <row r="3834" spans="1:10" x14ac:dyDescent="0.35">
      <c r="A3834" s="5">
        <v>3830</v>
      </c>
      <c r="B3834" s="5">
        <v>160</v>
      </c>
      <c r="C3834" s="5">
        <v>6</v>
      </c>
      <c r="D3834" s="379">
        <v>44.586666666666666</v>
      </c>
      <c r="E3834" s="25">
        <v>24.12</v>
      </c>
      <c r="F3834" s="379">
        <v>4.6325620990967078</v>
      </c>
      <c r="G3834" s="25">
        <v>33.799999999999997</v>
      </c>
      <c r="H3834" s="379">
        <v>0.55241340791267901</v>
      </c>
      <c r="I3834" s="25">
        <v>33.67</v>
      </c>
      <c r="J3834" s="379">
        <v>2.0025415961736224</v>
      </c>
    </row>
    <row r="3835" spans="1:10" x14ac:dyDescent="0.35">
      <c r="A3835" s="5">
        <v>3831</v>
      </c>
      <c r="B3835" s="5">
        <v>160</v>
      </c>
      <c r="C3835" s="5">
        <v>6</v>
      </c>
      <c r="D3835" s="379">
        <v>42.832777777777778</v>
      </c>
      <c r="E3835" s="25">
        <v>24.12</v>
      </c>
      <c r="F3835" s="379">
        <v>4.6325620990967078</v>
      </c>
      <c r="G3835" s="25">
        <v>33.799999999999997</v>
      </c>
      <c r="H3835" s="379">
        <v>1.1387077572609776</v>
      </c>
      <c r="I3835" s="25">
        <v>33.67</v>
      </c>
      <c r="J3835" s="379">
        <v>2.0024923202719633</v>
      </c>
    </row>
    <row r="3836" spans="1:10" x14ac:dyDescent="0.35">
      <c r="A3836" s="5">
        <v>3832</v>
      </c>
      <c r="B3836" s="5">
        <v>160</v>
      </c>
      <c r="C3836" s="5">
        <v>6</v>
      </c>
      <c r="D3836" s="379">
        <v>44.606666666666669</v>
      </c>
      <c r="E3836" s="25">
        <v>24.12</v>
      </c>
      <c r="F3836" s="379">
        <v>0.47222222222222221</v>
      </c>
      <c r="G3836" s="25">
        <v>33.799999999999997</v>
      </c>
      <c r="H3836" s="379">
        <v>0.93388763131389885</v>
      </c>
      <c r="I3836" s="25">
        <v>33.67</v>
      </c>
      <c r="J3836" s="379">
        <v>2.0025415961736224</v>
      </c>
    </row>
    <row r="3837" spans="1:10" x14ac:dyDescent="0.35">
      <c r="A3837" s="5">
        <v>3833</v>
      </c>
      <c r="B3837" s="5">
        <v>160</v>
      </c>
      <c r="C3837" s="5">
        <v>6</v>
      </c>
      <c r="D3837" s="379">
        <v>48.587777777777774</v>
      </c>
      <c r="E3837" s="25">
        <v>24.26</v>
      </c>
      <c r="F3837" s="379">
        <v>5.5660356402541051</v>
      </c>
      <c r="G3837" s="25">
        <v>33.799999999999997</v>
      </c>
      <c r="H3837" s="379">
        <v>1.4224060394908904</v>
      </c>
      <c r="I3837" s="25">
        <v>33.67</v>
      </c>
      <c r="J3837" s="379">
        <v>2.0433786186746006</v>
      </c>
    </row>
    <row r="3838" spans="1:10" x14ac:dyDescent="0.35">
      <c r="A3838" s="5">
        <v>3834</v>
      </c>
      <c r="B3838" s="5">
        <v>160</v>
      </c>
      <c r="C3838" s="5">
        <v>6</v>
      </c>
      <c r="D3838" s="379">
        <v>51.194444444444443</v>
      </c>
      <c r="E3838" s="25">
        <v>24.26</v>
      </c>
      <c r="F3838" s="379">
        <v>8.1174834595959595</v>
      </c>
      <c r="G3838" s="25">
        <v>39.770000000000003</v>
      </c>
      <c r="H3838" s="379">
        <v>7.2342501489519098</v>
      </c>
      <c r="I3838" s="25">
        <v>33.67</v>
      </c>
      <c r="J3838" s="379">
        <v>0.10678538020120018</v>
      </c>
    </row>
    <row r="3839" spans="1:10" x14ac:dyDescent="0.35">
      <c r="A3839" s="5">
        <v>3835</v>
      </c>
      <c r="B3839" s="5">
        <v>160</v>
      </c>
      <c r="C3839" s="5">
        <v>6</v>
      </c>
      <c r="D3839" s="379">
        <v>52.68055555555555</v>
      </c>
      <c r="E3839" s="25">
        <v>24.84</v>
      </c>
      <c r="F3839" s="379">
        <v>8.1174834595959613</v>
      </c>
      <c r="G3839" s="25">
        <v>39.770000000000003</v>
      </c>
      <c r="H3839" s="379">
        <v>7.4846262529615224</v>
      </c>
      <c r="I3839" s="25">
        <v>33.81</v>
      </c>
      <c r="J3839" s="379">
        <v>5.5507486385599973</v>
      </c>
    </row>
    <row r="3840" spans="1:10" x14ac:dyDescent="0.35">
      <c r="A3840" s="5">
        <v>3836</v>
      </c>
      <c r="B3840" s="5">
        <v>160</v>
      </c>
      <c r="C3840" s="5">
        <v>6</v>
      </c>
      <c r="D3840" s="379">
        <v>52.454444444444441</v>
      </c>
      <c r="E3840" s="25">
        <v>24.84</v>
      </c>
      <c r="F3840" s="379">
        <v>8.4832548185906909</v>
      </c>
      <c r="G3840" s="25">
        <v>39.770000000000003</v>
      </c>
      <c r="H3840" s="379">
        <v>7.4982632972576999</v>
      </c>
      <c r="I3840" s="25">
        <v>35.799999999999997</v>
      </c>
      <c r="J3840" s="379">
        <v>5.8411782403262711</v>
      </c>
    </row>
    <row r="3841" spans="1:10" x14ac:dyDescent="0.35">
      <c r="A3841" s="5">
        <v>3837</v>
      </c>
      <c r="B3841" s="5">
        <v>160</v>
      </c>
      <c r="C3841" s="5">
        <v>6</v>
      </c>
      <c r="D3841" s="379">
        <v>51.289444444444442</v>
      </c>
      <c r="E3841" s="25">
        <v>24.84</v>
      </c>
      <c r="F3841" s="379">
        <v>8.4727723038914036</v>
      </c>
      <c r="G3841" s="25">
        <v>39.770000000000003</v>
      </c>
      <c r="H3841" s="379">
        <v>7.5811238278261079</v>
      </c>
      <c r="I3841" s="25">
        <v>40.799999999999997</v>
      </c>
      <c r="J3841" s="379">
        <v>5.4537825043994914</v>
      </c>
    </row>
    <row r="3842" spans="1:10" x14ac:dyDescent="0.35">
      <c r="A3842" s="5">
        <v>3838</v>
      </c>
      <c r="B3842" s="5">
        <v>160</v>
      </c>
      <c r="C3842" s="5">
        <v>6</v>
      </c>
      <c r="D3842" s="379">
        <v>49.391666666666666</v>
      </c>
      <c r="E3842" s="25">
        <v>24.84</v>
      </c>
      <c r="F3842" s="379">
        <v>8.5032522791648102</v>
      </c>
      <c r="G3842" s="25">
        <v>39.770000000000003</v>
      </c>
      <c r="H3842" s="379">
        <v>7.6046430521115127</v>
      </c>
      <c r="I3842" s="25">
        <v>48.86</v>
      </c>
      <c r="J3842" s="379">
        <v>5.4537825043994923</v>
      </c>
    </row>
    <row r="3843" spans="1:10" x14ac:dyDescent="0.35">
      <c r="A3843" s="5">
        <v>3839</v>
      </c>
      <c r="B3843" s="5">
        <v>160</v>
      </c>
      <c r="C3843" s="5">
        <v>6</v>
      </c>
      <c r="D3843" s="379">
        <v>50.836666666666666</v>
      </c>
      <c r="E3843" s="25">
        <v>24.84</v>
      </c>
      <c r="F3843" s="379">
        <v>8.4761470428230634</v>
      </c>
      <c r="G3843" s="25">
        <v>39.770000000000003</v>
      </c>
      <c r="H3843" s="379">
        <v>7.6185914408277808</v>
      </c>
      <c r="I3843" s="25">
        <v>47.33</v>
      </c>
      <c r="J3843" s="379">
        <v>5.8548603568898887</v>
      </c>
    </row>
    <row r="3844" spans="1:10" x14ac:dyDescent="0.35">
      <c r="A3844" s="5">
        <v>3840</v>
      </c>
      <c r="B3844" s="5">
        <v>160</v>
      </c>
      <c r="C3844" s="5">
        <v>6</v>
      </c>
      <c r="D3844" s="379">
        <v>49.402777777777771</v>
      </c>
      <c r="E3844" s="25">
        <v>24.56</v>
      </c>
      <c r="F3844" s="379">
        <v>8.1174834595959577</v>
      </c>
      <c r="G3844" s="25">
        <v>33.799999999999997</v>
      </c>
      <c r="H3844" s="379">
        <v>7.5472105662358455</v>
      </c>
      <c r="I3844" s="25">
        <v>34.68</v>
      </c>
      <c r="J3844" s="379">
        <v>5.9127856546178732</v>
      </c>
    </row>
    <row r="3845" spans="1:10" x14ac:dyDescent="0.35">
      <c r="A3845" s="5">
        <v>3841</v>
      </c>
      <c r="B3845" s="5">
        <v>161</v>
      </c>
      <c r="C3845" s="5">
        <v>6</v>
      </c>
      <c r="D3845" s="379">
        <v>45.285000000000004</v>
      </c>
      <c r="E3845" s="25">
        <v>24.26</v>
      </c>
      <c r="F3845" s="379">
        <v>8.4212419191280201</v>
      </c>
      <c r="G3845" s="25">
        <v>33.159999999999997</v>
      </c>
      <c r="H3845" s="379">
        <v>7.4467814768413509</v>
      </c>
      <c r="I3845" s="25">
        <v>34.68</v>
      </c>
      <c r="J3845" s="379">
        <v>5.7027234054190341</v>
      </c>
    </row>
    <row r="3846" spans="1:10" x14ac:dyDescent="0.35">
      <c r="A3846" s="5">
        <v>3842</v>
      </c>
      <c r="B3846" s="5">
        <v>161</v>
      </c>
      <c r="C3846" s="5">
        <v>6</v>
      </c>
      <c r="D3846" s="379">
        <v>44.24</v>
      </c>
      <c r="E3846" s="25">
        <v>24</v>
      </c>
      <c r="F3846" s="379">
        <v>8.4718881897766707</v>
      </c>
      <c r="G3846" s="25">
        <v>33.159999999999997</v>
      </c>
      <c r="H3846" s="379">
        <v>7.5532244979086061</v>
      </c>
      <c r="I3846" s="25">
        <v>34.68</v>
      </c>
      <c r="J3846" s="379">
        <v>5.9667932372856169</v>
      </c>
    </row>
    <row r="3847" spans="1:10" x14ac:dyDescent="0.35">
      <c r="A3847" s="5">
        <v>3843</v>
      </c>
      <c r="B3847" s="5">
        <v>161</v>
      </c>
      <c r="C3847" s="5">
        <v>6</v>
      </c>
      <c r="D3847" s="379">
        <v>43.952222222222225</v>
      </c>
      <c r="E3847" s="25">
        <v>24</v>
      </c>
      <c r="F3847" s="379">
        <v>8.4820595978427527</v>
      </c>
      <c r="G3847" s="25">
        <v>33.159999999999997</v>
      </c>
      <c r="H3847" s="379">
        <v>7.5694331794420497</v>
      </c>
      <c r="I3847" s="25">
        <v>34.68</v>
      </c>
      <c r="J3847" s="379">
        <v>6.2220429178470393</v>
      </c>
    </row>
    <row r="3848" spans="1:10" x14ac:dyDescent="0.35">
      <c r="A3848" s="5">
        <v>3844</v>
      </c>
      <c r="B3848" s="5">
        <v>161</v>
      </c>
      <c r="C3848" s="5">
        <v>6</v>
      </c>
      <c r="D3848" s="379">
        <v>43.877222222222223</v>
      </c>
      <c r="E3848" s="25">
        <v>24.44</v>
      </c>
      <c r="F3848" s="379">
        <v>8.4835733982718793</v>
      </c>
      <c r="G3848" s="25">
        <v>33.159999999999997</v>
      </c>
      <c r="H3848" s="379">
        <v>7.6463693281067071</v>
      </c>
      <c r="I3848" s="25">
        <v>34.68</v>
      </c>
      <c r="J3848" s="379">
        <v>6.2568939030582058</v>
      </c>
    </row>
    <row r="3849" spans="1:10" x14ac:dyDescent="0.35">
      <c r="A3849" s="5">
        <v>3845</v>
      </c>
      <c r="B3849" s="5">
        <v>161</v>
      </c>
      <c r="C3849" s="5">
        <v>6</v>
      </c>
      <c r="D3849" s="379">
        <v>45.25055555555555</v>
      </c>
      <c r="E3849" s="25">
        <v>24.84</v>
      </c>
      <c r="F3849" s="379">
        <v>8.434679927403133</v>
      </c>
      <c r="G3849" s="25">
        <v>33.49</v>
      </c>
      <c r="H3849" s="379">
        <v>7.4930785210598438</v>
      </c>
      <c r="I3849" s="25">
        <v>35.72</v>
      </c>
      <c r="J3849" s="379">
        <v>6.0600330103513684</v>
      </c>
    </row>
    <row r="3850" spans="1:10" x14ac:dyDescent="0.35">
      <c r="A3850" s="5">
        <v>3846</v>
      </c>
      <c r="B3850" s="5">
        <v>161</v>
      </c>
      <c r="C3850" s="5">
        <v>6</v>
      </c>
      <c r="D3850" s="379">
        <v>49.63666666666667</v>
      </c>
      <c r="E3850" s="25">
        <v>24.84</v>
      </c>
      <c r="F3850" s="379">
        <v>8.3999174522631996</v>
      </c>
      <c r="G3850" s="25">
        <v>33.799999999999997</v>
      </c>
      <c r="H3850" s="379">
        <v>7.2143681639630497</v>
      </c>
      <c r="I3850" s="25">
        <v>40.799999999999997</v>
      </c>
      <c r="J3850" s="379">
        <v>5.3703244421905678</v>
      </c>
    </row>
    <row r="3851" spans="1:10" x14ac:dyDescent="0.35">
      <c r="A3851" s="5">
        <v>3847</v>
      </c>
      <c r="B3851" s="5">
        <v>161</v>
      </c>
      <c r="C3851" s="5">
        <v>6</v>
      </c>
      <c r="D3851" s="379">
        <v>52.802777777777777</v>
      </c>
      <c r="E3851" s="25">
        <v>24.84</v>
      </c>
      <c r="F3851" s="379">
        <v>8.1174834595959613</v>
      </c>
      <c r="G3851" s="25">
        <v>42.19</v>
      </c>
      <c r="H3851" s="379">
        <v>6.7085475087111952</v>
      </c>
      <c r="I3851" s="25">
        <v>50.21</v>
      </c>
      <c r="J3851" s="379">
        <v>4.2349170425095828</v>
      </c>
    </row>
    <row r="3852" spans="1:10" x14ac:dyDescent="0.35">
      <c r="A3852" s="5">
        <v>3848</v>
      </c>
      <c r="B3852" s="5">
        <v>161</v>
      </c>
      <c r="C3852" s="5">
        <v>6</v>
      </c>
      <c r="D3852" s="379">
        <v>53.111666666666665</v>
      </c>
      <c r="E3852" s="25">
        <v>24.84</v>
      </c>
      <c r="F3852" s="379">
        <v>8.1174834595959577</v>
      </c>
      <c r="G3852" s="25">
        <v>43.44</v>
      </c>
      <c r="H3852" s="379">
        <v>5.8843597523026316</v>
      </c>
      <c r="I3852" s="25">
        <v>50.13</v>
      </c>
      <c r="J3852" s="379">
        <v>0.60098936073461506</v>
      </c>
    </row>
    <row r="3853" spans="1:10" x14ac:dyDescent="0.35">
      <c r="A3853" s="5">
        <v>3849</v>
      </c>
      <c r="B3853" s="5">
        <v>161</v>
      </c>
      <c r="C3853" s="5">
        <v>6</v>
      </c>
      <c r="D3853" s="379">
        <v>50.298333333333332</v>
      </c>
      <c r="E3853" s="25">
        <v>24.84</v>
      </c>
      <c r="F3853" s="379">
        <v>2.7147232406858408</v>
      </c>
      <c r="G3853" s="25">
        <v>42.17</v>
      </c>
      <c r="H3853" s="379">
        <v>0.6490986410960724</v>
      </c>
      <c r="I3853" s="25">
        <v>40.799999999999997</v>
      </c>
      <c r="J3853" s="379">
        <v>2.777777777777778E-2</v>
      </c>
    </row>
    <row r="3854" spans="1:10" x14ac:dyDescent="0.35">
      <c r="A3854" s="5">
        <v>3850</v>
      </c>
      <c r="B3854" s="5">
        <v>161</v>
      </c>
      <c r="C3854" s="5">
        <v>6</v>
      </c>
      <c r="D3854" s="379">
        <v>46.471111111111107</v>
      </c>
      <c r="E3854" s="25">
        <v>24.84</v>
      </c>
      <c r="F3854" s="379">
        <v>2.0815147248995691</v>
      </c>
      <c r="G3854" s="25">
        <v>39.770000000000003</v>
      </c>
      <c r="H3854" s="379">
        <v>2.777777777777778E-2</v>
      </c>
      <c r="I3854" s="25">
        <v>35.799999999999997</v>
      </c>
      <c r="J3854" s="379">
        <v>2.777777777777778E-2</v>
      </c>
    </row>
    <row r="3855" spans="1:10" x14ac:dyDescent="0.35">
      <c r="A3855" s="5">
        <v>3851</v>
      </c>
      <c r="B3855" s="5">
        <v>161</v>
      </c>
      <c r="C3855" s="5">
        <v>6</v>
      </c>
      <c r="D3855" s="379">
        <v>44.131666666666668</v>
      </c>
      <c r="E3855" s="25">
        <v>24.84</v>
      </c>
      <c r="F3855" s="379">
        <v>1.8879273600805153</v>
      </c>
      <c r="G3855" s="25">
        <v>39.770000000000003</v>
      </c>
      <c r="H3855" s="379">
        <v>2.777777777777778E-2</v>
      </c>
      <c r="I3855" s="25">
        <v>33.81</v>
      </c>
      <c r="J3855" s="379">
        <v>2.777777777777778E-2</v>
      </c>
    </row>
    <row r="3856" spans="1:10" x14ac:dyDescent="0.35">
      <c r="A3856" s="5">
        <v>3852</v>
      </c>
      <c r="B3856" s="5">
        <v>161</v>
      </c>
      <c r="C3856" s="5">
        <v>6</v>
      </c>
      <c r="D3856" s="379">
        <v>42.776666666666671</v>
      </c>
      <c r="E3856" s="25">
        <v>24.26</v>
      </c>
      <c r="F3856" s="379">
        <v>2.0079346601695609</v>
      </c>
      <c r="G3856" s="25">
        <v>33.799999999999997</v>
      </c>
      <c r="H3856" s="379">
        <v>2.777777777777778E-2</v>
      </c>
      <c r="I3856" s="25">
        <v>33.67</v>
      </c>
      <c r="J3856" s="379">
        <v>2.777777777777778E-2</v>
      </c>
    </row>
    <row r="3857" spans="1:10" x14ac:dyDescent="0.35">
      <c r="A3857" s="5">
        <v>3853</v>
      </c>
      <c r="B3857" s="5">
        <v>161</v>
      </c>
      <c r="C3857" s="5">
        <v>6</v>
      </c>
      <c r="D3857" s="379">
        <v>41.31388888888889</v>
      </c>
      <c r="E3857" s="25">
        <v>24</v>
      </c>
      <c r="F3857" s="379">
        <v>1.3768104286795284</v>
      </c>
      <c r="G3857" s="25">
        <v>33.799999999999997</v>
      </c>
      <c r="H3857" s="379">
        <v>2.777777777777778E-2</v>
      </c>
      <c r="I3857" s="25">
        <v>33.67</v>
      </c>
      <c r="J3857" s="379">
        <v>2.777777777777778E-2</v>
      </c>
    </row>
    <row r="3858" spans="1:10" x14ac:dyDescent="0.35">
      <c r="A3858" s="5">
        <v>3854</v>
      </c>
      <c r="B3858" s="5">
        <v>161</v>
      </c>
      <c r="C3858" s="5">
        <v>6</v>
      </c>
      <c r="D3858" s="379">
        <v>39.11333333333333</v>
      </c>
      <c r="E3858" s="25">
        <v>23.84</v>
      </c>
      <c r="F3858" s="379">
        <v>1.402505914790225</v>
      </c>
      <c r="G3858" s="25">
        <v>33</v>
      </c>
      <c r="H3858" s="379">
        <v>2.777777777777778E-2</v>
      </c>
      <c r="I3858" s="25">
        <v>33.67</v>
      </c>
      <c r="J3858" s="379">
        <v>2.777777777777778E-2</v>
      </c>
    </row>
    <row r="3859" spans="1:10" x14ac:dyDescent="0.35">
      <c r="A3859" s="5">
        <v>3855</v>
      </c>
      <c r="B3859" s="5">
        <v>161</v>
      </c>
      <c r="C3859" s="5">
        <v>6</v>
      </c>
      <c r="D3859" s="379">
        <v>39.117222222222225</v>
      </c>
      <c r="E3859" s="25">
        <v>23.84</v>
      </c>
      <c r="F3859" s="379">
        <v>1.6796805282964991</v>
      </c>
      <c r="G3859" s="25">
        <v>33</v>
      </c>
      <c r="H3859" s="379">
        <v>2.777777777777778E-2</v>
      </c>
      <c r="I3859" s="25">
        <v>33.67</v>
      </c>
      <c r="J3859" s="379">
        <v>2.777777777777778E-2</v>
      </c>
    </row>
    <row r="3860" spans="1:10" x14ac:dyDescent="0.35">
      <c r="A3860" s="5">
        <v>3856</v>
      </c>
      <c r="B3860" s="5">
        <v>161</v>
      </c>
      <c r="C3860" s="5">
        <v>6</v>
      </c>
      <c r="D3860" s="379">
        <v>41.327222222222218</v>
      </c>
      <c r="E3860" s="25">
        <v>23.84</v>
      </c>
      <c r="F3860" s="379">
        <v>2.3334267034582692</v>
      </c>
      <c r="G3860" s="25">
        <v>33.799999999999997</v>
      </c>
      <c r="H3860" s="379">
        <v>2.777777777777778E-2</v>
      </c>
      <c r="I3860" s="25">
        <v>33.67</v>
      </c>
      <c r="J3860" s="379">
        <v>2.777777777777778E-2</v>
      </c>
    </row>
    <row r="3861" spans="1:10" x14ac:dyDescent="0.35">
      <c r="A3861" s="5">
        <v>3857</v>
      </c>
      <c r="B3861" s="5">
        <v>161</v>
      </c>
      <c r="C3861" s="5">
        <v>6</v>
      </c>
      <c r="D3861" s="379">
        <v>45.3</v>
      </c>
      <c r="E3861" s="25">
        <v>23.84</v>
      </c>
      <c r="F3861" s="379">
        <v>4.4327959297763196E-2</v>
      </c>
      <c r="G3861" s="25">
        <v>33.799999999999997</v>
      </c>
      <c r="H3861" s="379">
        <v>1.2655816667086657</v>
      </c>
      <c r="I3861" s="25">
        <v>33.67</v>
      </c>
      <c r="J3861" s="379">
        <v>1.3538307774663652</v>
      </c>
    </row>
    <row r="3862" spans="1:10" x14ac:dyDescent="0.35">
      <c r="A3862" s="5">
        <v>3858</v>
      </c>
      <c r="B3862" s="5">
        <v>161</v>
      </c>
      <c r="C3862" s="5">
        <v>6</v>
      </c>
      <c r="D3862" s="379">
        <v>45.454444444444441</v>
      </c>
      <c r="E3862" s="25">
        <v>24.26</v>
      </c>
      <c r="F3862" s="379">
        <v>4.820310757247479</v>
      </c>
      <c r="G3862" s="25">
        <v>39.770000000000003</v>
      </c>
      <c r="H3862" s="379">
        <v>2.6912730704851846</v>
      </c>
      <c r="I3862" s="25">
        <v>33.67</v>
      </c>
      <c r="J3862" s="379">
        <v>1.9806895055409619</v>
      </c>
    </row>
    <row r="3863" spans="1:10" x14ac:dyDescent="0.35">
      <c r="A3863" s="5">
        <v>3859</v>
      </c>
      <c r="B3863" s="5">
        <v>161</v>
      </c>
      <c r="C3863" s="5">
        <v>6</v>
      </c>
      <c r="D3863" s="379">
        <v>50.632777777777768</v>
      </c>
      <c r="E3863" s="25">
        <v>24.84</v>
      </c>
      <c r="F3863" s="379">
        <v>6.1586432292330837</v>
      </c>
      <c r="G3863" s="25">
        <v>39.770000000000003</v>
      </c>
      <c r="H3863" s="379">
        <v>3.9313078491674136</v>
      </c>
      <c r="I3863" s="25">
        <v>34.01</v>
      </c>
      <c r="J3863" s="379">
        <v>3.5148727963084045</v>
      </c>
    </row>
    <row r="3864" spans="1:10" x14ac:dyDescent="0.35">
      <c r="A3864" s="5">
        <v>3860</v>
      </c>
      <c r="B3864" s="5">
        <v>161</v>
      </c>
      <c r="C3864" s="5">
        <v>6</v>
      </c>
      <c r="D3864" s="379">
        <v>51.120555555555562</v>
      </c>
      <c r="E3864" s="25">
        <v>24.84</v>
      </c>
      <c r="F3864" s="379">
        <v>5.139636402713454</v>
      </c>
      <c r="G3864" s="25">
        <v>39.770000000000003</v>
      </c>
      <c r="H3864" s="379">
        <v>5.2530825864539583</v>
      </c>
      <c r="I3864" s="25">
        <v>42.11</v>
      </c>
      <c r="J3864" s="379">
        <v>2.0480633044137608</v>
      </c>
    </row>
    <row r="3865" spans="1:10" x14ac:dyDescent="0.35">
      <c r="A3865" s="5">
        <v>3861</v>
      </c>
      <c r="B3865" s="5">
        <v>161</v>
      </c>
      <c r="C3865" s="5">
        <v>6</v>
      </c>
      <c r="D3865" s="379">
        <v>50.47</v>
      </c>
      <c r="E3865" s="25">
        <v>24.84</v>
      </c>
      <c r="F3865" s="379">
        <v>5.7036728400636107</v>
      </c>
      <c r="G3865" s="25">
        <v>39.770000000000003</v>
      </c>
      <c r="H3865" s="379">
        <v>5.492574661215528</v>
      </c>
      <c r="I3865" s="25">
        <v>43.38</v>
      </c>
      <c r="J3865" s="379">
        <v>2.4777348388880918</v>
      </c>
    </row>
    <row r="3866" spans="1:10" x14ac:dyDescent="0.35">
      <c r="A3866" s="5">
        <v>3862</v>
      </c>
      <c r="B3866" s="5">
        <v>161</v>
      </c>
      <c r="C3866" s="5">
        <v>6</v>
      </c>
      <c r="D3866" s="379">
        <v>48.750555555555557</v>
      </c>
      <c r="E3866" s="25">
        <v>24.84</v>
      </c>
      <c r="F3866" s="379">
        <v>6.1986128447897046</v>
      </c>
      <c r="G3866" s="25">
        <v>42.17</v>
      </c>
      <c r="H3866" s="379">
        <v>3.6343725164859118</v>
      </c>
      <c r="I3866" s="25">
        <v>47.37</v>
      </c>
      <c r="J3866" s="379">
        <v>1.9181078581287467</v>
      </c>
    </row>
    <row r="3867" spans="1:10" x14ac:dyDescent="0.35">
      <c r="A3867" s="5">
        <v>3863</v>
      </c>
      <c r="B3867" s="5">
        <v>161</v>
      </c>
      <c r="C3867" s="5">
        <v>6</v>
      </c>
      <c r="D3867" s="379">
        <v>48.811666666666667</v>
      </c>
      <c r="E3867" s="25">
        <v>24.84</v>
      </c>
      <c r="F3867" s="379">
        <v>6.2068614458818949</v>
      </c>
      <c r="G3867" s="25">
        <v>39.770000000000003</v>
      </c>
      <c r="H3867" s="379">
        <v>4.7667557527900417</v>
      </c>
      <c r="I3867" s="25">
        <v>36.07</v>
      </c>
      <c r="J3867" s="379">
        <v>2.6061297048357299</v>
      </c>
    </row>
    <row r="3868" spans="1:10" x14ac:dyDescent="0.35">
      <c r="A3868" s="5">
        <v>3864</v>
      </c>
      <c r="B3868" s="5">
        <v>161</v>
      </c>
      <c r="C3868" s="5">
        <v>6</v>
      </c>
      <c r="D3868" s="379">
        <v>46.404444444444437</v>
      </c>
      <c r="E3868" s="25">
        <v>24.56</v>
      </c>
      <c r="F3868" s="379">
        <v>5.8470752155790029</v>
      </c>
      <c r="G3868" s="25">
        <v>33.159999999999997</v>
      </c>
      <c r="H3868" s="379">
        <v>3.7135163571172285</v>
      </c>
      <c r="I3868" s="25">
        <v>36.869999999999997</v>
      </c>
      <c r="J3868" s="379">
        <v>1.012350803552545</v>
      </c>
    </row>
    <row r="3869" spans="1:10" x14ac:dyDescent="0.35">
      <c r="A3869" s="5">
        <v>3865</v>
      </c>
      <c r="B3869" s="5">
        <v>162</v>
      </c>
      <c r="C3869" s="5">
        <v>6</v>
      </c>
      <c r="D3869" s="379">
        <v>45.818333333333335</v>
      </c>
      <c r="E3869" s="25">
        <v>23.84</v>
      </c>
      <c r="F3869" s="379">
        <v>5.8731237042763995</v>
      </c>
      <c r="G3869" s="25">
        <v>32.04</v>
      </c>
      <c r="H3869" s="379">
        <v>4.5788979390347047</v>
      </c>
      <c r="I3869" s="25">
        <v>36.869999999999997</v>
      </c>
      <c r="J3869" s="379">
        <v>2.644874061561667</v>
      </c>
    </row>
    <row r="3870" spans="1:10" x14ac:dyDescent="0.35">
      <c r="A3870" s="5">
        <v>3866</v>
      </c>
      <c r="B3870" s="5">
        <v>162</v>
      </c>
      <c r="C3870" s="5">
        <v>6</v>
      </c>
      <c r="D3870" s="379">
        <v>43.694444444444436</v>
      </c>
      <c r="E3870" s="25">
        <v>23.84</v>
      </c>
      <c r="F3870" s="379">
        <v>5.9724907902828575</v>
      </c>
      <c r="G3870" s="25">
        <v>32.04</v>
      </c>
      <c r="H3870" s="379">
        <v>3.1168988917351808</v>
      </c>
      <c r="I3870" s="25">
        <v>36.869999999999997</v>
      </c>
      <c r="J3870" s="379">
        <v>2.9721844552697134</v>
      </c>
    </row>
    <row r="3871" spans="1:10" x14ac:dyDescent="0.35">
      <c r="A3871" s="5">
        <v>3867</v>
      </c>
      <c r="B3871" s="5">
        <v>162</v>
      </c>
      <c r="C3871" s="5">
        <v>6</v>
      </c>
      <c r="D3871" s="379">
        <v>41.020555555555546</v>
      </c>
      <c r="E3871" s="25">
        <v>23.84</v>
      </c>
      <c r="F3871" s="379">
        <v>6.1562401383427501</v>
      </c>
      <c r="G3871" s="25">
        <v>31.84</v>
      </c>
      <c r="H3871" s="379">
        <v>4.3591771784704916</v>
      </c>
      <c r="I3871" s="25">
        <v>36.869999999999997</v>
      </c>
      <c r="J3871" s="379">
        <v>2.8729840912490952</v>
      </c>
    </row>
    <row r="3872" spans="1:10" x14ac:dyDescent="0.35">
      <c r="A3872" s="5">
        <v>3868</v>
      </c>
      <c r="B3872" s="5">
        <v>162</v>
      </c>
      <c r="C3872" s="5">
        <v>6</v>
      </c>
      <c r="D3872" s="379">
        <v>39.489999999999995</v>
      </c>
      <c r="E3872" s="25">
        <v>24.44</v>
      </c>
      <c r="F3872" s="379">
        <v>6.2952764719704026</v>
      </c>
      <c r="G3872" s="25">
        <v>31.84</v>
      </c>
      <c r="H3872" s="379">
        <v>3.6758044749486576</v>
      </c>
      <c r="I3872" s="25">
        <v>36.869999999999997</v>
      </c>
      <c r="J3872" s="379">
        <v>2.0387797733702335</v>
      </c>
    </row>
    <row r="3873" spans="1:10" x14ac:dyDescent="0.35">
      <c r="A3873" s="5">
        <v>3869</v>
      </c>
      <c r="B3873" s="5">
        <v>162</v>
      </c>
      <c r="C3873" s="5">
        <v>6</v>
      </c>
      <c r="D3873" s="379">
        <v>40.341111111111111</v>
      </c>
      <c r="E3873" s="25">
        <v>24.84</v>
      </c>
      <c r="F3873" s="379">
        <v>5.6603451062388794</v>
      </c>
      <c r="G3873" s="25">
        <v>32.04</v>
      </c>
      <c r="H3873" s="379">
        <v>4.6177079873447555</v>
      </c>
      <c r="I3873" s="25">
        <v>36.869999999999997</v>
      </c>
      <c r="J3873" s="379">
        <v>2.926742294482731</v>
      </c>
    </row>
    <row r="3874" spans="1:10" x14ac:dyDescent="0.35">
      <c r="A3874" s="5">
        <v>3870</v>
      </c>
      <c r="B3874" s="5">
        <v>162</v>
      </c>
      <c r="C3874" s="5">
        <v>6</v>
      </c>
      <c r="D3874" s="379">
        <v>42.003888888888888</v>
      </c>
      <c r="E3874" s="25">
        <v>24.84</v>
      </c>
      <c r="F3874" s="379">
        <v>4.5136515093265102</v>
      </c>
      <c r="G3874" s="25">
        <v>33.159999999999997</v>
      </c>
      <c r="H3874" s="379">
        <v>6.730869230734112</v>
      </c>
      <c r="I3874" s="25">
        <v>45.32</v>
      </c>
      <c r="J3874" s="379">
        <v>2.131388055646366</v>
      </c>
    </row>
    <row r="3875" spans="1:10" x14ac:dyDescent="0.35">
      <c r="A3875" s="5">
        <v>3871</v>
      </c>
      <c r="B3875" s="5">
        <v>162</v>
      </c>
      <c r="C3875" s="5">
        <v>6</v>
      </c>
      <c r="D3875" s="379">
        <v>38.086666666666673</v>
      </c>
      <c r="E3875" s="25">
        <v>24.84</v>
      </c>
      <c r="F3875" s="379">
        <v>8.2629289985290679</v>
      </c>
      <c r="G3875" s="25">
        <v>42.17</v>
      </c>
      <c r="H3875" s="379">
        <v>6.4160111873810521</v>
      </c>
      <c r="I3875" s="25">
        <v>50.21</v>
      </c>
      <c r="J3875" s="379">
        <v>0.53585592533069037</v>
      </c>
    </row>
    <row r="3876" spans="1:10" x14ac:dyDescent="0.35">
      <c r="A3876" s="5">
        <v>3872</v>
      </c>
      <c r="B3876" s="5">
        <v>162</v>
      </c>
      <c r="C3876" s="5">
        <v>6</v>
      </c>
      <c r="D3876" s="379">
        <v>38.890555555555558</v>
      </c>
      <c r="E3876" s="25">
        <v>24.84</v>
      </c>
      <c r="F3876" s="379">
        <v>8.1174834595959595</v>
      </c>
      <c r="G3876" s="25">
        <v>42.29</v>
      </c>
      <c r="H3876" s="379">
        <v>5.1729588467635956</v>
      </c>
      <c r="I3876" s="25">
        <v>50.13</v>
      </c>
      <c r="J3876" s="379">
        <v>0.4372440403038047</v>
      </c>
    </row>
    <row r="3877" spans="1:10" x14ac:dyDescent="0.35">
      <c r="A3877" s="5">
        <v>3873</v>
      </c>
      <c r="B3877" s="5">
        <v>162</v>
      </c>
      <c r="C3877" s="5">
        <v>6</v>
      </c>
      <c r="D3877" s="379">
        <v>31.626666666666665</v>
      </c>
      <c r="E3877" s="25">
        <v>24.84</v>
      </c>
      <c r="F3877" s="379">
        <v>8.1174834595959595</v>
      </c>
      <c r="G3877" s="25">
        <v>42.19</v>
      </c>
      <c r="H3877" s="379">
        <v>5.09676317014386</v>
      </c>
      <c r="I3877" s="25">
        <v>48.79</v>
      </c>
      <c r="J3877" s="379">
        <v>8.6333182884028706E-2</v>
      </c>
    </row>
    <row r="3878" spans="1:10" x14ac:dyDescent="0.35">
      <c r="A3878" s="5">
        <v>3874</v>
      </c>
      <c r="B3878" s="5">
        <v>162</v>
      </c>
      <c r="C3878" s="5">
        <v>6</v>
      </c>
      <c r="D3878" s="379">
        <v>23.889444444444447</v>
      </c>
      <c r="E3878" s="25">
        <v>24.84</v>
      </c>
      <c r="F3878" s="379">
        <v>5.3775661770383989</v>
      </c>
      <c r="G3878" s="25">
        <v>42.17</v>
      </c>
      <c r="H3878" s="379">
        <v>4.545004115269168</v>
      </c>
      <c r="I3878" s="25">
        <v>43.38</v>
      </c>
      <c r="J3878" s="379">
        <v>4.5549018212922232E-2</v>
      </c>
    </row>
    <row r="3879" spans="1:10" x14ac:dyDescent="0.35">
      <c r="A3879" s="5">
        <v>3875</v>
      </c>
      <c r="B3879" s="5">
        <v>162</v>
      </c>
      <c r="C3879" s="5">
        <v>6</v>
      </c>
      <c r="D3879" s="379">
        <v>22.368333333333329</v>
      </c>
      <c r="E3879" s="25">
        <v>24.84</v>
      </c>
      <c r="F3879" s="379">
        <v>4.9432510375279479</v>
      </c>
      <c r="G3879" s="25">
        <v>42.17</v>
      </c>
      <c r="H3879" s="379">
        <v>4.8654725994278811</v>
      </c>
      <c r="I3879" s="25">
        <v>37.24</v>
      </c>
      <c r="J3879" s="379">
        <v>0.15657014927704321</v>
      </c>
    </row>
    <row r="3880" spans="1:10" x14ac:dyDescent="0.35">
      <c r="A3880" s="5">
        <v>3876</v>
      </c>
      <c r="B3880" s="5">
        <v>162</v>
      </c>
      <c r="C3880" s="5">
        <v>6</v>
      </c>
      <c r="D3880" s="379">
        <v>21.745555555555558</v>
      </c>
      <c r="E3880" s="25">
        <v>24.56</v>
      </c>
      <c r="F3880" s="379">
        <v>4.9432510375279479</v>
      </c>
      <c r="G3880" s="25">
        <v>42.17</v>
      </c>
      <c r="H3880" s="379">
        <v>4.8654725994278811</v>
      </c>
      <c r="I3880" s="25">
        <v>36.5</v>
      </c>
      <c r="J3880" s="379">
        <v>0.14517243871018332</v>
      </c>
    </row>
    <row r="3881" spans="1:10" x14ac:dyDescent="0.35">
      <c r="A3881" s="5">
        <v>3877</v>
      </c>
      <c r="B3881" s="5">
        <v>162</v>
      </c>
      <c r="C3881" s="5">
        <v>6</v>
      </c>
      <c r="D3881" s="379">
        <v>16.452222222222225</v>
      </c>
      <c r="E3881" s="25">
        <v>24.56</v>
      </c>
      <c r="F3881" s="379">
        <v>4.9432510375279479</v>
      </c>
      <c r="G3881" s="25">
        <v>35.86</v>
      </c>
      <c r="H3881" s="379">
        <v>4.8654725994278811</v>
      </c>
      <c r="I3881" s="25">
        <v>36.5</v>
      </c>
      <c r="J3881" s="379">
        <v>6.7177755413604545E-2</v>
      </c>
    </row>
    <row r="3882" spans="1:10" x14ac:dyDescent="0.35">
      <c r="A3882" s="5">
        <v>3878</v>
      </c>
      <c r="B3882" s="5">
        <v>162</v>
      </c>
      <c r="C3882" s="5">
        <v>6</v>
      </c>
      <c r="D3882" s="379">
        <v>10.394444444444444</v>
      </c>
      <c r="E3882" s="25">
        <v>24.26</v>
      </c>
      <c r="F3882" s="379">
        <v>4.9432510375279479</v>
      </c>
      <c r="G3882" s="25">
        <v>35.85</v>
      </c>
      <c r="H3882" s="379">
        <v>3.0590450366425288</v>
      </c>
      <c r="I3882" s="25">
        <v>34.25</v>
      </c>
      <c r="J3882" s="379">
        <v>0.10527942140093674</v>
      </c>
    </row>
    <row r="3883" spans="1:10" x14ac:dyDescent="0.35">
      <c r="A3883" s="5">
        <v>3879</v>
      </c>
      <c r="B3883" s="5">
        <v>162</v>
      </c>
      <c r="C3883" s="5">
        <v>6</v>
      </c>
      <c r="D3883" s="379">
        <v>15.043333333333335</v>
      </c>
      <c r="E3883" s="25">
        <v>24.56</v>
      </c>
      <c r="F3883" s="379">
        <v>4.9423619268408698</v>
      </c>
      <c r="G3883" s="25">
        <v>35.85</v>
      </c>
      <c r="H3883" s="379">
        <v>2.912369456272029</v>
      </c>
      <c r="I3883" s="25">
        <v>34.25</v>
      </c>
      <c r="J3883" s="379">
        <v>5.5553684988694722E-2</v>
      </c>
    </row>
    <row r="3884" spans="1:10" x14ac:dyDescent="0.35">
      <c r="A3884" s="5">
        <v>3880</v>
      </c>
      <c r="B3884" s="5">
        <v>162</v>
      </c>
      <c r="C3884" s="5">
        <v>6</v>
      </c>
      <c r="D3884" s="379">
        <v>20.79111111111111</v>
      </c>
      <c r="E3884" s="25">
        <v>24.56</v>
      </c>
      <c r="F3884" s="379">
        <v>6.757223984899035</v>
      </c>
      <c r="G3884" s="25">
        <v>39.770000000000003</v>
      </c>
      <c r="H3884" s="379">
        <v>3.3968618314609653</v>
      </c>
      <c r="I3884" s="25">
        <v>34.25</v>
      </c>
      <c r="J3884" s="379">
        <v>0.14000905158098872</v>
      </c>
    </row>
    <row r="3885" spans="1:10" x14ac:dyDescent="0.35">
      <c r="A3885" s="5">
        <v>3881</v>
      </c>
      <c r="B3885" s="5">
        <v>162</v>
      </c>
      <c r="C3885" s="5">
        <v>6</v>
      </c>
      <c r="D3885" s="379">
        <v>24.668333333333333</v>
      </c>
      <c r="E3885" s="25">
        <v>24.84</v>
      </c>
      <c r="F3885" s="379">
        <v>8.1174834595959595</v>
      </c>
      <c r="G3885" s="25">
        <v>39.770000000000003</v>
      </c>
      <c r="H3885" s="379">
        <v>4.6321808047856177</v>
      </c>
      <c r="I3885" s="25">
        <v>36.5</v>
      </c>
      <c r="J3885" s="379">
        <v>0.39364087747355336</v>
      </c>
    </row>
    <row r="3886" spans="1:10" x14ac:dyDescent="0.35">
      <c r="A3886" s="5">
        <v>3882</v>
      </c>
      <c r="B3886" s="5">
        <v>162</v>
      </c>
      <c r="C3886" s="5">
        <v>6</v>
      </c>
      <c r="D3886" s="379">
        <v>40.632777777777783</v>
      </c>
      <c r="E3886" s="25">
        <v>24.84</v>
      </c>
      <c r="F3886" s="379">
        <v>8.3989786215420441</v>
      </c>
      <c r="G3886" s="25">
        <v>42.17</v>
      </c>
      <c r="H3886" s="379">
        <v>7.0935468305491778</v>
      </c>
      <c r="I3886" s="25">
        <v>36.5</v>
      </c>
      <c r="J3886" s="379">
        <v>4.984232154484797</v>
      </c>
    </row>
    <row r="3887" spans="1:10" x14ac:dyDescent="0.35">
      <c r="A3887" s="5">
        <v>3883</v>
      </c>
      <c r="B3887" s="5">
        <v>162</v>
      </c>
      <c r="C3887" s="5">
        <v>6</v>
      </c>
      <c r="D3887" s="379">
        <v>47.208888888888879</v>
      </c>
      <c r="E3887" s="25">
        <v>24.84</v>
      </c>
      <c r="F3887" s="379">
        <v>10.672771911725341</v>
      </c>
      <c r="G3887" s="25">
        <v>42.17</v>
      </c>
      <c r="H3887" s="379">
        <v>8.6373900026206769</v>
      </c>
      <c r="I3887" s="25">
        <v>42.94</v>
      </c>
      <c r="J3887" s="379">
        <v>5.457037372580543</v>
      </c>
    </row>
    <row r="3888" spans="1:10" x14ac:dyDescent="0.35">
      <c r="A3888" s="5">
        <v>3884</v>
      </c>
      <c r="B3888" s="5">
        <v>162</v>
      </c>
      <c r="C3888" s="5">
        <v>6</v>
      </c>
      <c r="D3888" s="379">
        <v>48.9</v>
      </c>
      <c r="E3888" s="25">
        <v>24.84</v>
      </c>
      <c r="F3888" s="379">
        <v>12.157294065102812</v>
      </c>
      <c r="G3888" s="25">
        <v>42.17</v>
      </c>
      <c r="H3888" s="379">
        <v>7.9363368996648811</v>
      </c>
      <c r="I3888" s="25">
        <v>48.79</v>
      </c>
      <c r="J3888" s="379">
        <v>5.6339636956579389</v>
      </c>
    </row>
    <row r="3889" spans="1:10" x14ac:dyDescent="0.35">
      <c r="A3889" s="5">
        <v>3885</v>
      </c>
      <c r="B3889" s="5">
        <v>162</v>
      </c>
      <c r="C3889" s="5">
        <v>6</v>
      </c>
      <c r="D3889" s="379">
        <v>49.592777777777776</v>
      </c>
      <c r="E3889" s="25">
        <v>24.84</v>
      </c>
      <c r="F3889" s="379">
        <v>10.920758137615399</v>
      </c>
      <c r="G3889" s="25">
        <v>42.17</v>
      </c>
      <c r="H3889" s="379">
        <v>9.156384965032494</v>
      </c>
      <c r="I3889" s="25">
        <v>48.86</v>
      </c>
      <c r="J3889" s="379">
        <v>5.2442461630006418</v>
      </c>
    </row>
    <row r="3890" spans="1:10" x14ac:dyDescent="0.35">
      <c r="A3890" s="5">
        <v>3886</v>
      </c>
      <c r="B3890" s="5">
        <v>162</v>
      </c>
      <c r="C3890" s="5">
        <v>6</v>
      </c>
      <c r="D3890" s="379">
        <v>49.797777777777775</v>
      </c>
      <c r="E3890" s="25">
        <v>24.84</v>
      </c>
      <c r="F3890" s="379">
        <v>12.050580815192783</v>
      </c>
      <c r="G3890" s="25">
        <v>42.17</v>
      </c>
      <c r="H3890" s="379">
        <v>7.7544769030230567</v>
      </c>
      <c r="I3890" s="25">
        <v>50.21</v>
      </c>
      <c r="J3890" s="379">
        <v>5.7775798018464313</v>
      </c>
    </row>
    <row r="3891" spans="1:10" x14ac:dyDescent="0.35">
      <c r="A3891" s="5">
        <v>3887</v>
      </c>
      <c r="B3891" s="5">
        <v>162</v>
      </c>
      <c r="C3891" s="5">
        <v>6</v>
      </c>
      <c r="D3891" s="379">
        <v>51.170555555555552</v>
      </c>
      <c r="E3891" s="25">
        <v>24.84</v>
      </c>
      <c r="F3891" s="379">
        <v>11.312031636851488</v>
      </c>
      <c r="G3891" s="25">
        <v>42.17</v>
      </c>
      <c r="H3891" s="379">
        <v>7.7884296322239557</v>
      </c>
      <c r="I3891" s="25">
        <v>48.75</v>
      </c>
      <c r="J3891" s="379">
        <v>4.9226671336541505</v>
      </c>
    </row>
    <row r="3892" spans="1:10" x14ac:dyDescent="0.35">
      <c r="A3892" s="5">
        <v>3888</v>
      </c>
      <c r="B3892" s="5">
        <v>162</v>
      </c>
      <c r="C3892" s="5">
        <v>6</v>
      </c>
      <c r="D3892" s="379">
        <v>49.566666666666663</v>
      </c>
      <c r="E3892" s="25">
        <v>24.56</v>
      </c>
      <c r="F3892" s="379">
        <v>11.457009245168926</v>
      </c>
      <c r="G3892" s="25">
        <v>31.84</v>
      </c>
      <c r="H3892" s="379">
        <v>8.5606732470645728</v>
      </c>
      <c r="I3892" s="25">
        <v>42.94</v>
      </c>
      <c r="J3892" s="379">
        <v>5.7580273493544709</v>
      </c>
    </row>
    <row r="3893" spans="1:10" x14ac:dyDescent="0.35">
      <c r="A3893" s="5">
        <v>3889</v>
      </c>
      <c r="B3893" s="5">
        <v>163</v>
      </c>
      <c r="C3893" s="5">
        <v>6</v>
      </c>
      <c r="D3893" s="379">
        <v>43.961111111111116</v>
      </c>
      <c r="E3893" s="25">
        <v>24</v>
      </c>
      <c r="F3893" s="379">
        <v>11.049127669691524</v>
      </c>
      <c r="G3893" s="25">
        <v>31.11</v>
      </c>
      <c r="H3893" s="379">
        <v>7.818637614261406</v>
      </c>
      <c r="I3893" s="25">
        <v>35.03</v>
      </c>
      <c r="J3893" s="379">
        <v>5.072443359838168</v>
      </c>
    </row>
    <row r="3894" spans="1:10" x14ac:dyDescent="0.35">
      <c r="A3894" s="5">
        <v>3890</v>
      </c>
      <c r="B3894" s="5">
        <v>163</v>
      </c>
      <c r="C3894" s="5">
        <v>6</v>
      </c>
      <c r="D3894" s="379">
        <v>42.128333333333323</v>
      </c>
      <c r="E3894" s="25">
        <v>23.84</v>
      </c>
      <c r="F3894" s="379">
        <v>11.049127669691524</v>
      </c>
      <c r="G3894" s="25">
        <v>30.95</v>
      </c>
      <c r="H3894" s="379">
        <v>9.1691809330874801</v>
      </c>
      <c r="I3894" s="25">
        <v>34.36</v>
      </c>
      <c r="J3894" s="379">
        <v>6.2258914437560806</v>
      </c>
    </row>
    <row r="3895" spans="1:10" x14ac:dyDescent="0.35">
      <c r="A3895" s="5">
        <v>3891</v>
      </c>
      <c r="B3895" s="5">
        <v>163</v>
      </c>
      <c r="C3895" s="5">
        <v>6</v>
      </c>
      <c r="D3895" s="379">
        <v>40.44166666666667</v>
      </c>
      <c r="E3895" s="25">
        <v>23.84</v>
      </c>
      <c r="F3895" s="379">
        <v>11.523704403304825</v>
      </c>
      <c r="G3895" s="25">
        <v>30.95</v>
      </c>
      <c r="H3895" s="379">
        <v>9.3220495323728407</v>
      </c>
      <c r="I3895" s="25">
        <v>34.36</v>
      </c>
      <c r="J3895" s="379">
        <v>6.5027473976034873</v>
      </c>
    </row>
    <row r="3896" spans="1:10" x14ac:dyDescent="0.35">
      <c r="A3896" s="5">
        <v>3892</v>
      </c>
      <c r="B3896" s="5">
        <v>163</v>
      </c>
      <c r="C3896" s="5">
        <v>6</v>
      </c>
      <c r="D3896" s="379">
        <v>40.239999999999995</v>
      </c>
      <c r="E3896" s="25">
        <v>23.84</v>
      </c>
      <c r="F3896" s="379">
        <v>11.646545565498142</v>
      </c>
      <c r="G3896" s="25">
        <v>30.95</v>
      </c>
      <c r="H3896" s="379">
        <v>9.211130999452978</v>
      </c>
      <c r="I3896" s="25">
        <v>34.68</v>
      </c>
      <c r="J3896" s="379">
        <v>7.0512242969368666</v>
      </c>
    </row>
    <row r="3897" spans="1:10" x14ac:dyDescent="0.35">
      <c r="A3897" s="5">
        <v>3893</v>
      </c>
      <c r="B3897" s="5">
        <v>163</v>
      </c>
      <c r="C3897" s="5">
        <v>6</v>
      </c>
      <c r="D3897" s="379">
        <v>38.274999999999999</v>
      </c>
      <c r="E3897" s="25">
        <v>23.84</v>
      </c>
      <c r="F3897" s="379">
        <v>12.15876826167225</v>
      </c>
      <c r="G3897" s="25">
        <v>30.95</v>
      </c>
      <c r="H3897" s="379">
        <v>9.992530189161803</v>
      </c>
      <c r="I3897" s="25">
        <v>34.68</v>
      </c>
      <c r="J3897" s="379">
        <v>6.5851024028257346</v>
      </c>
    </row>
    <row r="3898" spans="1:10" x14ac:dyDescent="0.35">
      <c r="A3898" s="5">
        <v>3894</v>
      </c>
      <c r="B3898" s="5">
        <v>163</v>
      </c>
      <c r="C3898" s="5">
        <v>6</v>
      </c>
      <c r="D3898" s="379">
        <v>37.126666666666665</v>
      </c>
      <c r="E3898" s="25">
        <v>24</v>
      </c>
      <c r="F3898" s="379">
        <v>8.3754180263219045</v>
      </c>
      <c r="G3898" s="25">
        <v>30.95</v>
      </c>
      <c r="H3898" s="379">
        <v>9.6816963890320693</v>
      </c>
      <c r="I3898" s="25">
        <v>34.68</v>
      </c>
      <c r="J3898" s="379">
        <v>6.5552999511407455</v>
      </c>
    </row>
    <row r="3899" spans="1:10" x14ac:dyDescent="0.35">
      <c r="A3899" s="5">
        <v>3895</v>
      </c>
      <c r="B3899" s="5">
        <v>163</v>
      </c>
      <c r="C3899" s="5">
        <v>6</v>
      </c>
      <c r="D3899" s="379">
        <v>35.194444444444436</v>
      </c>
      <c r="E3899" s="25">
        <v>24.44</v>
      </c>
      <c r="F3899" s="379">
        <v>8.8072157325823728</v>
      </c>
      <c r="G3899" s="25">
        <v>30.95</v>
      </c>
      <c r="H3899" s="379">
        <v>9.6980258979900409</v>
      </c>
      <c r="I3899" s="25">
        <v>36.08</v>
      </c>
      <c r="J3899" s="379">
        <v>5.8106949037905427</v>
      </c>
    </row>
    <row r="3900" spans="1:10" x14ac:dyDescent="0.35">
      <c r="A3900" s="5">
        <v>3896</v>
      </c>
      <c r="B3900" s="5">
        <v>163</v>
      </c>
      <c r="C3900" s="5">
        <v>6</v>
      </c>
      <c r="D3900" s="379">
        <v>31.794444444444441</v>
      </c>
      <c r="E3900" s="25">
        <v>24.84</v>
      </c>
      <c r="F3900" s="379">
        <v>8.9160623678403734</v>
      </c>
      <c r="G3900" s="25">
        <v>31.26</v>
      </c>
      <c r="H3900" s="379">
        <v>8.5238602456400034</v>
      </c>
      <c r="I3900" s="25">
        <v>37.979999999999997</v>
      </c>
      <c r="J3900" s="379">
        <v>2.1963589330521711</v>
      </c>
    </row>
    <row r="3901" spans="1:10" x14ac:dyDescent="0.35">
      <c r="A3901" s="5">
        <v>3897</v>
      </c>
      <c r="B3901" s="5">
        <v>163</v>
      </c>
      <c r="C3901" s="5">
        <v>6</v>
      </c>
      <c r="D3901" s="379">
        <v>28.57</v>
      </c>
      <c r="E3901" s="25">
        <v>24.84</v>
      </c>
      <c r="F3901" s="379">
        <v>8.5388892772876748</v>
      </c>
      <c r="G3901" s="25">
        <v>31.26</v>
      </c>
      <c r="H3901" s="379">
        <v>8.0858437284710547</v>
      </c>
      <c r="I3901" s="25">
        <v>36.869999999999997</v>
      </c>
      <c r="J3901" s="379">
        <v>2.0046636118919694</v>
      </c>
    </row>
    <row r="3902" spans="1:10" x14ac:dyDescent="0.35">
      <c r="A3902" s="5">
        <v>3898</v>
      </c>
      <c r="B3902" s="5">
        <v>163</v>
      </c>
      <c r="C3902" s="5">
        <v>6</v>
      </c>
      <c r="D3902" s="379">
        <v>27.207777777777778</v>
      </c>
      <c r="E3902" s="25">
        <v>24.12</v>
      </c>
      <c r="F3902" s="379">
        <v>5.3775661770383989</v>
      </c>
      <c r="G3902" s="25">
        <v>31.11</v>
      </c>
      <c r="H3902" s="379">
        <v>1.5367760618488171</v>
      </c>
      <c r="I3902" s="25">
        <v>34.83</v>
      </c>
      <c r="J3902" s="379">
        <v>0.13977635782747605</v>
      </c>
    </row>
    <row r="3903" spans="1:10" x14ac:dyDescent="0.35">
      <c r="A3903" s="5">
        <v>3899</v>
      </c>
      <c r="B3903" s="5">
        <v>163</v>
      </c>
      <c r="C3903" s="5">
        <v>6</v>
      </c>
      <c r="D3903" s="379">
        <v>23.87222222222222</v>
      </c>
      <c r="E3903" s="25">
        <v>23.84</v>
      </c>
      <c r="F3903" s="379">
        <v>5.2083306482968252</v>
      </c>
      <c r="G3903" s="25">
        <v>31.22</v>
      </c>
      <c r="H3903" s="379">
        <v>3.3628643946556482</v>
      </c>
      <c r="I3903" s="25">
        <v>34.01</v>
      </c>
      <c r="J3903" s="379">
        <v>3.5935575717584287</v>
      </c>
    </row>
    <row r="3904" spans="1:10" x14ac:dyDescent="0.35">
      <c r="A3904" s="5">
        <v>3900</v>
      </c>
      <c r="B3904" s="5">
        <v>163</v>
      </c>
      <c r="C3904" s="5">
        <v>6</v>
      </c>
      <c r="D3904" s="379">
        <v>17.968333333333334</v>
      </c>
      <c r="E3904" s="25">
        <v>23.84</v>
      </c>
      <c r="F3904" s="379">
        <v>5.2083306482968252</v>
      </c>
      <c r="G3904" s="25">
        <v>31.26</v>
      </c>
      <c r="H3904" s="379">
        <v>5.4996520664243302</v>
      </c>
      <c r="I3904" s="25">
        <v>34.01</v>
      </c>
      <c r="J3904" s="379">
        <v>3.6759611686475462</v>
      </c>
    </row>
    <row r="3905" spans="1:10" x14ac:dyDescent="0.35">
      <c r="A3905" s="5">
        <v>3901</v>
      </c>
      <c r="B3905" s="5">
        <v>163</v>
      </c>
      <c r="C3905" s="5">
        <v>6</v>
      </c>
      <c r="D3905" s="379">
        <v>13.107777777777779</v>
      </c>
      <c r="E3905" s="25">
        <v>23.84</v>
      </c>
      <c r="F3905" s="379">
        <v>5.2083306482968252</v>
      </c>
      <c r="G3905" s="25">
        <v>31.11</v>
      </c>
      <c r="H3905" s="379">
        <v>6.7638420377063273</v>
      </c>
      <c r="I3905" s="25">
        <v>33.67</v>
      </c>
      <c r="J3905" s="379">
        <v>3.5983803298591703</v>
      </c>
    </row>
    <row r="3906" spans="1:10" x14ac:dyDescent="0.35">
      <c r="A3906" s="5">
        <v>3902</v>
      </c>
      <c r="B3906" s="5">
        <v>163</v>
      </c>
      <c r="C3906" s="5">
        <v>6</v>
      </c>
      <c r="D3906" s="379">
        <v>15.613333333333335</v>
      </c>
      <c r="E3906" s="25">
        <v>23.84</v>
      </c>
      <c r="F3906" s="379">
        <v>5.2083306482968252</v>
      </c>
      <c r="G3906" s="25">
        <v>31.11</v>
      </c>
      <c r="H3906" s="379">
        <v>2.5785673872117121</v>
      </c>
      <c r="I3906" s="25">
        <v>33.67</v>
      </c>
      <c r="J3906" s="379">
        <v>3.5983263661916545</v>
      </c>
    </row>
    <row r="3907" spans="1:10" x14ac:dyDescent="0.35">
      <c r="A3907" s="5">
        <v>3903</v>
      </c>
      <c r="B3907" s="5">
        <v>163</v>
      </c>
      <c r="C3907" s="5">
        <v>6</v>
      </c>
      <c r="D3907" s="379">
        <v>14.39777777777778</v>
      </c>
      <c r="E3907" s="25">
        <v>23.84</v>
      </c>
      <c r="F3907" s="379">
        <v>5.2083306482968252</v>
      </c>
      <c r="G3907" s="25">
        <v>30.95</v>
      </c>
      <c r="H3907" s="379">
        <v>2.4396339463632146</v>
      </c>
      <c r="I3907" s="25">
        <v>33.67</v>
      </c>
      <c r="J3907" s="379">
        <v>3.5983263661916545</v>
      </c>
    </row>
    <row r="3908" spans="1:10" x14ac:dyDescent="0.35">
      <c r="A3908" s="5">
        <v>3904</v>
      </c>
      <c r="B3908" s="5">
        <v>163</v>
      </c>
      <c r="C3908" s="5">
        <v>6</v>
      </c>
      <c r="D3908" s="379">
        <v>22.676666666666666</v>
      </c>
      <c r="E3908" s="25">
        <v>23.84</v>
      </c>
      <c r="F3908" s="379">
        <v>8.1174834595959595</v>
      </c>
      <c r="G3908" s="25">
        <v>30.95</v>
      </c>
      <c r="H3908" s="379">
        <v>2.9269055031925335</v>
      </c>
      <c r="I3908" s="25">
        <v>34.01</v>
      </c>
      <c r="J3908" s="379">
        <v>0.13790386130811663</v>
      </c>
    </row>
    <row r="3909" spans="1:10" x14ac:dyDescent="0.35">
      <c r="A3909" s="5">
        <v>3905</v>
      </c>
      <c r="B3909" s="5">
        <v>163</v>
      </c>
      <c r="C3909" s="5">
        <v>6</v>
      </c>
      <c r="D3909" s="379">
        <v>36.687777777777768</v>
      </c>
      <c r="E3909" s="25">
        <v>23.84</v>
      </c>
      <c r="F3909" s="379">
        <v>8.1174834595959613</v>
      </c>
      <c r="G3909" s="25">
        <v>31.11</v>
      </c>
      <c r="H3909" s="379">
        <v>7.383050965661921</v>
      </c>
      <c r="I3909" s="25">
        <v>34.01</v>
      </c>
      <c r="J3909" s="379">
        <v>4.4515540837229102</v>
      </c>
    </row>
    <row r="3910" spans="1:10" x14ac:dyDescent="0.35">
      <c r="A3910" s="5">
        <v>3906</v>
      </c>
      <c r="B3910" s="5">
        <v>163</v>
      </c>
      <c r="C3910" s="5">
        <v>6</v>
      </c>
      <c r="D3910" s="379">
        <v>47.137777777777778</v>
      </c>
      <c r="E3910" s="25">
        <v>24.84</v>
      </c>
      <c r="F3910" s="379">
        <v>13.727276163299758</v>
      </c>
      <c r="G3910" s="25">
        <v>31.26</v>
      </c>
      <c r="H3910" s="379">
        <v>10.531672562196858</v>
      </c>
      <c r="I3910" s="25">
        <v>35.799999999999997</v>
      </c>
      <c r="J3910" s="379">
        <v>7.0785008676066177</v>
      </c>
    </row>
    <row r="3911" spans="1:10" x14ac:dyDescent="0.35">
      <c r="A3911" s="5">
        <v>3907</v>
      </c>
      <c r="B3911" s="5">
        <v>163</v>
      </c>
      <c r="C3911" s="5">
        <v>6</v>
      </c>
      <c r="D3911" s="379">
        <v>50.893888888888895</v>
      </c>
      <c r="E3911" s="25">
        <v>24.84</v>
      </c>
      <c r="F3911" s="379">
        <v>20.631719063669195</v>
      </c>
      <c r="G3911" s="25">
        <v>34.15</v>
      </c>
      <c r="H3911" s="379">
        <v>11.374703503585053</v>
      </c>
      <c r="I3911" s="25">
        <v>44.72</v>
      </c>
      <c r="J3911" s="379">
        <v>7.2860118048726745</v>
      </c>
    </row>
    <row r="3912" spans="1:10" x14ac:dyDescent="0.35">
      <c r="A3912" s="5">
        <v>3908</v>
      </c>
      <c r="B3912" s="5">
        <v>163</v>
      </c>
      <c r="C3912" s="5">
        <v>6</v>
      </c>
      <c r="D3912" s="379">
        <v>52.745555555555541</v>
      </c>
      <c r="E3912" s="25">
        <v>24.84</v>
      </c>
      <c r="F3912" s="379">
        <v>15.930525960204783</v>
      </c>
      <c r="G3912" s="25">
        <v>36.409999999999997</v>
      </c>
      <c r="H3912" s="379">
        <v>10.62252617329098</v>
      </c>
      <c r="I3912" s="25">
        <v>48.09</v>
      </c>
      <c r="J3912" s="379">
        <v>7.1784313501331196</v>
      </c>
    </row>
    <row r="3913" spans="1:10" x14ac:dyDescent="0.35">
      <c r="A3913" s="5">
        <v>3909</v>
      </c>
      <c r="B3913" s="5">
        <v>163</v>
      </c>
      <c r="C3913" s="5">
        <v>6</v>
      </c>
      <c r="D3913" s="379">
        <v>53.200555555555553</v>
      </c>
      <c r="E3913" s="25">
        <v>24.84</v>
      </c>
      <c r="F3913" s="379">
        <v>16.47581507992232</v>
      </c>
      <c r="G3913" s="25">
        <v>37.04</v>
      </c>
      <c r="H3913" s="379">
        <v>10.729613483824144</v>
      </c>
      <c r="I3913" s="25">
        <v>49.53</v>
      </c>
      <c r="J3913" s="379">
        <v>7.1842473902415964</v>
      </c>
    </row>
    <row r="3914" spans="1:10" x14ac:dyDescent="0.35">
      <c r="A3914" s="5">
        <v>3910</v>
      </c>
      <c r="B3914" s="5">
        <v>163</v>
      </c>
      <c r="C3914" s="5">
        <v>6</v>
      </c>
      <c r="D3914" s="379">
        <v>52.653888888888886</v>
      </c>
      <c r="E3914" s="25">
        <v>24.84</v>
      </c>
      <c r="F3914" s="379">
        <v>19.53402185173622</v>
      </c>
      <c r="G3914" s="25">
        <v>37.46</v>
      </c>
      <c r="H3914" s="379">
        <v>11.032438230173232</v>
      </c>
      <c r="I3914" s="25">
        <v>51.02</v>
      </c>
      <c r="J3914" s="379">
        <v>7.1734742940675789</v>
      </c>
    </row>
    <row r="3915" spans="1:10" x14ac:dyDescent="0.35">
      <c r="A3915" s="5">
        <v>3911</v>
      </c>
      <c r="B3915" s="5">
        <v>163</v>
      </c>
      <c r="C3915" s="5">
        <v>6</v>
      </c>
      <c r="D3915" s="379">
        <v>51.232222222222212</v>
      </c>
      <c r="E3915" s="25">
        <v>24.84</v>
      </c>
      <c r="F3915" s="379">
        <v>18.404206371558519</v>
      </c>
      <c r="G3915" s="25">
        <v>36.409999999999997</v>
      </c>
      <c r="H3915" s="379">
        <v>11.2981940667903</v>
      </c>
      <c r="I3915" s="25">
        <v>48.86</v>
      </c>
      <c r="J3915" s="379">
        <v>7.3035450186939528</v>
      </c>
    </row>
    <row r="3916" spans="1:10" x14ac:dyDescent="0.35">
      <c r="A3916" s="5">
        <v>3912</v>
      </c>
      <c r="B3916" s="5">
        <v>163</v>
      </c>
      <c r="C3916" s="5">
        <v>6</v>
      </c>
      <c r="D3916" s="379">
        <v>48.286666666666655</v>
      </c>
      <c r="E3916" s="25">
        <v>24.84</v>
      </c>
      <c r="F3916" s="379">
        <v>17.552252918140837</v>
      </c>
      <c r="G3916" s="25">
        <v>31.84</v>
      </c>
      <c r="H3916" s="379">
        <v>10.568832551921707</v>
      </c>
      <c r="I3916" s="25">
        <v>44.72</v>
      </c>
      <c r="J3916" s="379">
        <v>7.1958771018255394</v>
      </c>
    </row>
    <row r="3917" spans="1:10" x14ac:dyDescent="0.35">
      <c r="A3917" s="5">
        <v>3913</v>
      </c>
      <c r="B3917" s="5">
        <v>164</v>
      </c>
      <c r="C3917" s="5">
        <v>6</v>
      </c>
      <c r="D3917" s="379">
        <v>47.862222222222222</v>
      </c>
      <c r="E3917" s="25">
        <v>24.84</v>
      </c>
      <c r="F3917" s="379">
        <v>17.099471884011567</v>
      </c>
      <c r="G3917" s="25">
        <v>31.11</v>
      </c>
      <c r="H3917" s="379">
        <v>10.596003437100215</v>
      </c>
      <c r="I3917" s="25">
        <v>36.08</v>
      </c>
      <c r="J3917" s="379">
        <v>7.1691085025422128</v>
      </c>
    </row>
    <row r="3918" spans="1:10" x14ac:dyDescent="0.35">
      <c r="A3918" s="5">
        <v>3914</v>
      </c>
      <c r="B3918" s="5">
        <v>164</v>
      </c>
      <c r="C3918" s="5">
        <v>6</v>
      </c>
      <c r="D3918" s="379">
        <v>45.973888888888887</v>
      </c>
      <c r="E3918" s="25">
        <v>23.59</v>
      </c>
      <c r="F3918" s="379">
        <v>17.226385051505876</v>
      </c>
      <c r="G3918" s="25">
        <v>30.91</v>
      </c>
      <c r="H3918" s="379">
        <v>9.9494421297271138</v>
      </c>
      <c r="I3918" s="25">
        <v>34.68</v>
      </c>
      <c r="J3918" s="379">
        <v>7.0408403897104499</v>
      </c>
    </row>
    <row r="3919" spans="1:10" x14ac:dyDescent="0.35">
      <c r="A3919" s="5">
        <v>3915</v>
      </c>
      <c r="B3919" s="5">
        <v>164</v>
      </c>
      <c r="C3919" s="5">
        <v>6</v>
      </c>
      <c r="D3919" s="379">
        <v>45.290555555555549</v>
      </c>
      <c r="E3919" s="25">
        <v>23.59</v>
      </c>
      <c r="F3919" s="379">
        <v>17.065761512858437</v>
      </c>
      <c r="G3919" s="25">
        <v>30.8</v>
      </c>
      <c r="H3919" s="379">
        <v>10.257559583805651</v>
      </c>
      <c r="I3919" s="25">
        <v>33.67</v>
      </c>
      <c r="J3919" s="379">
        <v>6.9516393471473696</v>
      </c>
    </row>
    <row r="3920" spans="1:10" x14ac:dyDescent="0.35">
      <c r="A3920" s="5">
        <v>3916</v>
      </c>
      <c r="B3920" s="5">
        <v>164</v>
      </c>
      <c r="C3920" s="5">
        <v>6</v>
      </c>
      <c r="D3920" s="379">
        <v>45.402222222222228</v>
      </c>
      <c r="E3920" s="25">
        <v>23.41</v>
      </c>
      <c r="F3920" s="379">
        <v>15.708200977612051</v>
      </c>
      <c r="G3920" s="25">
        <v>30.8</v>
      </c>
      <c r="H3920" s="379">
        <v>9.9276065181622659</v>
      </c>
      <c r="I3920" s="25">
        <v>33.67</v>
      </c>
      <c r="J3920" s="379">
        <v>6.9798090931084635</v>
      </c>
    </row>
    <row r="3921" spans="1:10" x14ac:dyDescent="0.35">
      <c r="A3921" s="5">
        <v>3917</v>
      </c>
      <c r="B3921" s="5">
        <v>164</v>
      </c>
      <c r="C3921" s="5">
        <v>6</v>
      </c>
      <c r="D3921" s="379">
        <v>46.343333333333327</v>
      </c>
      <c r="E3921" s="25">
        <v>23.41</v>
      </c>
      <c r="F3921" s="379">
        <v>16.471318886655187</v>
      </c>
      <c r="G3921" s="25">
        <v>30.8</v>
      </c>
      <c r="H3921" s="379">
        <v>9.3764089963732662</v>
      </c>
      <c r="I3921" s="25">
        <v>33.67</v>
      </c>
      <c r="J3921" s="379">
        <v>6.9857462828502923</v>
      </c>
    </row>
    <row r="3922" spans="1:10" x14ac:dyDescent="0.35">
      <c r="A3922" s="5">
        <v>3918</v>
      </c>
      <c r="B3922" s="5">
        <v>164</v>
      </c>
      <c r="C3922" s="5">
        <v>6</v>
      </c>
      <c r="D3922" s="379">
        <v>53.319999999999993</v>
      </c>
      <c r="E3922" s="25">
        <v>23.59</v>
      </c>
      <c r="F3922" s="379">
        <v>15.421894342574436</v>
      </c>
      <c r="G3922" s="25">
        <v>30.8</v>
      </c>
      <c r="H3922" s="379">
        <v>8.5538962891153005</v>
      </c>
      <c r="I3922" s="25">
        <v>33.67</v>
      </c>
      <c r="J3922" s="379">
        <v>6.8732282166430156</v>
      </c>
    </row>
    <row r="3923" spans="1:10" x14ac:dyDescent="0.35">
      <c r="A3923" s="5">
        <v>3919</v>
      </c>
      <c r="B3923" s="5">
        <v>164</v>
      </c>
      <c r="C3923" s="5">
        <v>6</v>
      </c>
      <c r="D3923" s="379">
        <v>55.476666666666659</v>
      </c>
      <c r="E3923" s="25">
        <v>23.59</v>
      </c>
      <c r="F3923" s="379">
        <v>14.646235267655216</v>
      </c>
      <c r="G3923" s="25">
        <v>30.91</v>
      </c>
      <c r="H3923" s="379">
        <v>9.3200489501297756</v>
      </c>
      <c r="I3923" s="25">
        <v>33.67</v>
      </c>
      <c r="J3923" s="379">
        <v>6.0888179517721515</v>
      </c>
    </row>
    <row r="3924" spans="1:10" x14ac:dyDescent="0.35">
      <c r="A3924" s="5">
        <v>3920</v>
      </c>
      <c r="B3924" s="5">
        <v>164</v>
      </c>
      <c r="C3924" s="5">
        <v>6</v>
      </c>
      <c r="D3924" s="379">
        <v>55.841111111111104</v>
      </c>
      <c r="E3924" s="25">
        <v>23.59</v>
      </c>
      <c r="F3924" s="379">
        <v>10.825000985257793</v>
      </c>
      <c r="G3924" s="25">
        <v>30.91</v>
      </c>
      <c r="H3924" s="379">
        <v>9.5699749236856206</v>
      </c>
      <c r="I3924" s="25">
        <v>33.67</v>
      </c>
      <c r="J3924" s="379">
        <v>6.4653125205335913</v>
      </c>
    </row>
    <row r="3925" spans="1:10" x14ac:dyDescent="0.35">
      <c r="A3925" s="5">
        <v>3921</v>
      </c>
      <c r="B3925" s="5">
        <v>164</v>
      </c>
      <c r="C3925" s="5">
        <v>6</v>
      </c>
      <c r="D3925" s="379">
        <v>48.403888888888886</v>
      </c>
      <c r="E3925" s="25">
        <v>23.59</v>
      </c>
      <c r="F3925" s="379">
        <v>9.3135314409546428</v>
      </c>
      <c r="G3925" s="25">
        <v>30.95</v>
      </c>
      <c r="H3925" s="379">
        <v>7.8713599659998712</v>
      </c>
      <c r="I3925" s="25">
        <v>33.67</v>
      </c>
      <c r="J3925" s="379">
        <v>5.9254505978113983</v>
      </c>
    </row>
    <row r="3926" spans="1:10" x14ac:dyDescent="0.35">
      <c r="A3926" s="5">
        <v>3922</v>
      </c>
      <c r="B3926" s="5">
        <v>164</v>
      </c>
      <c r="C3926" s="5">
        <v>6</v>
      </c>
      <c r="D3926" s="379">
        <v>45.330000000000005</v>
      </c>
      <c r="E3926" s="25">
        <v>23.55</v>
      </c>
      <c r="F3926" s="379">
        <v>8.6619416945406016</v>
      </c>
      <c r="G3926" s="25">
        <v>31.11</v>
      </c>
      <c r="H3926" s="379">
        <v>1.551031385215619</v>
      </c>
      <c r="I3926" s="25">
        <v>33.67</v>
      </c>
      <c r="J3926" s="379">
        <v>4.229748187317786</v>
      </c>
    </row>
    <row r="3927" spans="1:10" x14ac:dyDescent="0.35">
      <c r="A3927" s="5">
        <v>3923</v>
      </c>
      <c r="B3927" s="5">
        <v>164</v>
      </c>
      <c r="C3927" s="5">
        <v>6</v>
      </c>
      <c r="D3927" s="379">
        <v>45.583333333333321</v>
      </c>
      <c r="E3927" s="25">
        <v>23.42</v>
      </c>
      <c r="F3927" s="379">
        <v>5.2969189217019901</v>
      </c>
      <c r="G3927" s="25">
        <v>31.11</v>
      </c>
      <c r="H3927" s="379">
        <v>4.9915635341723625</v>
      </c>
      <c r="I3927" s="25">
        <v>32.880000000000003</v>
      </c>
      <c r="J3927" s="379">
        <v>2.5183360213104278</v>
      </c>
    </row>
    <row r="3928" spans="1:10" x14ac:dyDescent="0.35">
      <c r="A3928" s="5">
        <v>3924</v>
      </c>
      <c r="B3928" s="5">
        <v>164</v>
      </c>
      <c r="C3928" s="5">
        <v>6</v>
      </c>
      <c r="D3928" s="379">
        <v>43.462777777777781</v>
      </c>
      <c r="E3928" s="25">
        <v>23.41</v>
      </c>
      <c r="F3928" s="379">
        <v>5.2969189217019901</v>
      </c>
      <c r="G3928" s="25">
        <v>30.88</v>
      </c>
      <c r="H3928" s="379">
        <v>4.5682940544720712</v>
      </c>
      <c r="I3928" s="25">
        <v>32.880000000000003</v>
      </c>
      <c r="J3928" s="379">
        <v>2.5183360213104278</v>
      </c>
    </row>
    <row r="3929" spans="1:10" x14ac:dyDescent="0.35">
      <c r="A3929" s="5">
        <v>3925</v>
      </c>
      <c r="B3929" s="5">
        <v>164</v>
      </c>
      <c r="C3929" s="5">
        <v>6</v>
      </c>
      <c r="D3929" s="379">
        <v>35.835000000000001</v>
      </c>
      <c r="E3929" s="25">
        <v>23.31</v>
      </c>
      <c r="F3929" s="379">
        <v>5.2969189217019901</v>
      </c>
      <c r="G3929" s="25">
        <v>30.26</v>
      </c>
      <c r="H3929" s="379">
        <v>4.4682517260443735</v>
      </c>
      <c r="I3929" s="25">
        <v>32.880000000000003</v>
      </c>
      <c r="J3929" s="379">
        <v>2.5183360213104278</v>
      </c>
    </row>
    <row r="3930" spans="1:10" x14ac:dyDescent="0.35">
      <c r="A3930" s="5">
        <v>3926</v>
      </c>
      <c r="B3930" s="5">
        <v>164</v>
      </c>
      <c r="C3930" s="5">
        <v>6</v>
      </c>
      <c r="D3930" s="379">
        <v>32.321111111111108</v>
      </c>
      <c r="E3930" s="25">
        <v>21.88</v>
      </c>
      <c r="F3930" s="379">
        <v>4.8809099015988719</v>
      </c>
      <c r="G3930" s="25">
        <v>30.03</v>
      </c>
      <c r="H3930" s="379">
        <v>4.4682517260443735</v>
      </c>
      <c r="I3930" s="25">
        <v>0.6</v>
      </c>
      <c r="J3930" s="379">
        <v>2.5183360213104278</v>
      </c>
    </row>
    <row r="3931" spans="1:10" x14ac:dyDescent="0.35">
      <c r="A3931" s="5">
        <v>3927</v>
      </c>
      <c r="B3931" s="5">
        <v>164</v>
      </c>
      <c r="C3931" s="5">
        <v>6</v>
      </c>
      <c r="D3931" s="379">
        <v>34.151111111111113</v>
      </c>
      <c r="E3931" s="25">
        <v>21.88</v>
      </c>
      <c r="F3931" s="379">
        <v>4.8809099015988719</v>
      </c>
      <c r="G3931" s="25">
        <v>30.03</v>
      </c>
      <c r="H3931" s="379">
        <v>4.5682940544720712</v>
      </c>
      <c r="I3931" s="25">
        <v>0.6</v>
      </c>
      <c r="J3931" s="379">
        <v>2.5183360213104278</v>
      </c>
    </row>
    <row r="3932" spans="1:10" x14ac:dyDescent="0.35">
      <c r="A3932" s="5">
        <v>3928</v>
      </c>
      <c r="B3932" s="5">
        <v>164</v>
      </c>
      <c r="C3932" s="5">
        <v>6</v>
      </c>
      <c r="D3932" s="379">
        <v>38.398333333333333</v>
      </c>
      <c r="E3932" s="25">
        <v>21.88</v>
      </c>
      <c r="F3932" s="379">
        <v>5.4722980448545568</v>
      </c>
      <c r="G3932" s="25">
        <v>30.03</v>
      </c>
      <c r="H3932" s="379">
        <v>4.6055324391534853</v>
      </c>
      <c r="I3932" s="25">
        <v>24.17</v>
      </c>
      <c r="J3932" s="379">
        <v>2.51833602131043</v>
      </c>
    </row>
    <row r="3933" spans="1:10" x14ac:dyDescent="0.35">
      <c r="A3933" s="5">
        <v>3929</v>
      </c>
      <c r="B3933" s="5">
        <v>164</v>
      </c>
      <c r="C3933" s="5">
        <v>6</v>
      </c>
      <c r="D3933" s="379">
        <v>44.333888888888886</v>
      </c>
      <c r="E3933" s="25">
        <v>23.41</v>
      </c>
      <c r="F3933" s="379">
        <v>5.6313311605356402</v>
      </c>
      <c r="G3933" s="25">
        <v>30.88</v>
      </c>
      <c r="H3933" s="379">
        <v>4.6591774016929763</v>
      </c>
      <c r="I3933" s="25">
        <v>32.880000000000003</v>
      </c>
      <c r="J3933" s="379">
        <v>3.7866734739850068</v>
      </c>
    </row>
    <row r="3934" spans="1:10" x14ac:dyDescent="0.35">
      <c r="A3934" s="5">
        <v>3930</v>
      </c>
      <c r="B3934" s="5">
        <v>164</v>
      </c>
      <c r="C3934" s="5">
        <v>6</v>
      </c>
      <c r="D3934" s="379">
        <v>49.197222222222216</v>
      </c>
      <c r="E3934" s="25">
        <v>23.59</v>
      </c>
      <c r="F3934" s="379">
        <v>8.6302620202225633</v>
      </c>
      <c r="G3934" s="25">
        <v>31.11</v>
      </c>
      <c r="H3934" s="379">
        <v>6.6559671524059407</v>
      </c>
      <c r="I3934" s="25">
        <v>33.67</v>
      </c>
      <c r="J3934" s="379">
        <v>3.8160694823571992</v>
      </c>
    </row>
    <row r="3935" spans="1:10" x14ac:dyDescent="0.35">
      <c r="A3935" s="5">
        <v>3931</v>
      </c>
      <c r="B3935" s="5">
        <v>164</v>
      </c>
      <c r="C3935" s="5">
        <v>6</v>
      </c>
      <c r="D3935" s="379">
        <v>53.174444444444447</v>
      </c>
      <c r="E3935" s="25">
        <v>23.84</v>
      </c>
      <c r="F3935" s="379">
        <v>11.529885201811648</v>
      </c>
      <c r="G3935" s="25">
        <v>31.11</v>
      </c>
      <c r="H3935" s="379">
        <v>10.353329103567583</v>
      </c>
      <c r="I3935" s="25">
        <v>35.799999999999997</v>
      </c>
      <c r="J3935" s="379">
        <v>6.6343285788197468</v>
      </c>
    </row>
    <row r="3936" spans="1:10" x14ac:dyDescent="0.35">
      <c r="A3936" s="5">
        <v>3932</v>
      </c>
      <c r="B3936" s="5">
        <v>164</v>
      </c>
      <c r="C3936" s="5">
        <v>6</v>
      </c>
      <c r="D3936" s="379">
        <v>53.228888888888889</v>
      </c>
      <c r="E3936" s="25">
        <v>24.84</v>
      </c>
      <c r="F3936" s="379">
        <v>15.682225980785688</v>
      </c>
      <c r="G3936" s="25">
        <v>33.4</v>
      </c>
      <c r="H3936" s="379">
        <v>10.648411485761111</v>
      </c>
      <c r="I3936" s="25">
        <v>44.6</v>
      </c>
      <c r="J3936" s="379">
        <v>7.1446589031784562</v>
      </c>
    </row>
    <row r="3937" spans="1:10" x14ac:dyDescent="0.35">
      <c r="A3937" s="5">
        <v>3933</v>
      </c>
      <c r="B3937" s="5">
        <v>164</v>
      </c>
      <c r="C3937" s="5">
        <v>6</v>
      </c>
      <c r="D3937" s="379">
        <v>50.298333333333332</v>
      </c>
      <c r="E3937" s="25">
        <v>24.84</v>
      </c>
      <c r="F3937" s="379">
        <v>15.864116734730104</v>
      </c>
      <c r="G3937" s="25">
        <v>37.46</v>
      </c>
      <c r="H3937" s="379">
        <v>10.938399323035968</v>
      </c>
      <c r="I3937" s="25">
        <v>47.44</v>
      </c>
      <c r="J3937" s="379">
        <v>7.1447646684208346</v>
      </c>
    </row>
    <row r="3938" spans="1:10" x14ac:dyDescent="0.35">
      <c r="A3938" s="5">
        <v>3934</v>
      </c>
      <c r="B3938" s="5">
        <v>164</v>
      </c>
      <c r="C3938" s="5">
        <v>6</v>
      </c>
      <c r="D3938" s="379">
        <v>48.590555555555554</v>
      </c>
      <c r="E3938" s="25">
        <v>24.84</v>
      </c>
      <c r="F3938" s="379">
        <v>15.87650618347187</v>
      </c>
      <c r="G3938" s="25">
        <v>39.93</v>
      </c>
      <c r="H3938" s="379">
        <v>10.947369751455378</v>
      </c>
      <c r="I3938" s="25">
        <v>49.53</v>
      </c>
      <c r="J3938" s="379">
        <v>7.1383569924235122</v>
      </c>
    </row>
    <row r="3939" spans="1:10" x14ac:dyDescent="0.35">
      <c r="A3939" s="5">
        <v>3935</v>
      </c>
      <c r="B3939" s="5">
        <v>164</v>
      </c>
      <c r="C3939" s="5">
        <v>6</v>
      </c>
      <c r="D3939" s="379">
        <v>46.38111111111111</v>
      </c>
      <c r="E3939" s="25">
        <v>24.84</v>
      </c>
      <c r="F3939" s="379">
        <v>16.064171040618145</v>
      </c>
      <c r="G3939" s="25">
        <v>39.93</v>
      </c>
      <c r="H3939" s="379">
        <v>11.211050103124199</v>
      </c>
      <c r="I3939" s="25">
        <v>46.64</v>
      </c>
      <c r="J3939" s="379">
        <v>7.2218315404281075</v>
      </c>
    </row>
    <row r="3940" spans="1:10" x14ac:dyDescent="0.35">
      <c r="A3940" s="5">
        <v>3936</v>
      </c>
      <c r="B3940" s="5">
        <v>164</v>
      </c>
      <c r="C3940" s="5">
        <v>6</v>
      </c>
      <c r="D3940" s="379">
        <v>43.129999999999988</v>
      </c>
      <c r="E3940" s="25">
        <v>24.84</v>
      </c>
      <c r="F3940" s="379">
        <v>13.814856605527496</v>
      </c>
      <c r="G3940" s="25">
        <v>38.61</v>
      </c>
      <c r="H3940" s="379">
        <v>11.601499972059274</v>
      </c>
      <c r="I3940" s="25">
        <v>46.64</v>
      </c>
      <c r="J3940" s="379">
        <v>7.2218315404281075</v>
      </c>
    </row>
    <row r="3941" spans="1:10" x14ac:dyDescent="0.35">
      <c r="A3941" s="5">
        <v>3937</v>
      </c>
      <c r="B3941" s="5">
        <v>165</v>
      </c>
      <c r="C3941" s="5">
        <v>6</v>
      </c>
      <c r="D3941" s="379">
        <v>44.98</v>
      </c>
      <c r="E3941" s="25">
        <v>24.84</v>
      </c>
      <c r="F3941" s="379">
        <v>13.864288762985495</v>
      </c>
      <c r="G3941" s="25">
        <v>42.36</v>
      </c>
      <c r="H3941" s="379">
        <v>10.894638340582581</v>
      </c>
      <c r="I3941" s="25">
        <v>52.24</v>
      </c>
      <c r="J3941" s="379">
        <v>7.4180615489296864</v>
      </c>
    </row>
    <row r="3942" spans="1:10" x14ac:dyDescent="0.35">
      <c r="A3942" s="5">
        <v>3938</v>
      </c>
      <c r="B3942" s="5">
        <v>165</v>
      </c>
      <c r="C3942" s="5">
        <v>6</v>
      </c>
      <c r="D3942" s="379">
        <v>44.613888888888887</v>
      </c>
      <c r="E3942" s="25">
        <v>24.84</v>
      </c>
      <c r="F3942" s="379">
        <v>13.872798705845653</v>
      </c>
      <c r="G3942" s="25">
        <v>39.93</v>
      </c>
      <c r="H3942" s="379">
        <v>10.744231367098207</v>
      </c>
      <c r="I3942" s="25">
        <v>52.24</v>
      </c>
      <c r="J3942" s="379">
        <v>7.4654206638515088</v>
      </c>
    </row>
    <row r="3943" spans="1:10" x14ac:dyDescent="0.35">
      <c r="A3943" s="5">
        <v>3939</v>
      </c>
      <c r="B3943" s="5">
        <v>165</v>
      </c>
      <c r="C3943" s="5">
        <v>6</v>
      </c>
      <c r="D3943" s="379">
        <v>43.969444444444441</v>
      </c>
      <c r="E3943" s="25">
        <v>24.84</v>
      </c>
      <c r="F3943" s="379">
        <v>14.086712510341435</v>
      </c>
      <c r="G3943" s="25">
        <v>42.36</v>
      </c>
      <c r="H3943" s="379">
        <v>10.373712952760187</v>
      </c>
      <c r="I3943" s="25">
        <v>51.84</v>
      </c>
      <c r="J3943" s="379">
        <v>7.4128143168355676</v>
      </c>
    </row>
    <row r="3944" spans="1:10" x14ac:dyDescent="0.35">
      <c r="A3944" s="5">
        <v>3940</v>
      </c>
      <c r="B3944" s="5">
        <v>165</v>
      </c>
      <c r="C3944" s="5">
        <v>6</v>
      </c>
      <c r="D3944" s="379">
        <v>43.244444444444447</v>
      </c>
      <c r="E3944" s="25">
        <v>24.84</v>
      </c>
      <c r="F3944" s="379">
        <v>14.135164133437133</v>
      </c>
      <c r="G3944" s="25">
        <v>42.36</v>
      </c>
      <c r="H3944" s="379">
        <v>10.615467769895721</v>
      </c>
      <c r="I3944" s="25">
        <v>52.24</v>
      </c>
      <c r="J3944" s="379">
        <v>7.3390826444755861</v>
      </c>
    </row>
    <row r="3945" spans="1:10" x14ac:dyDescent="0.35">
      <c r="A3945" s="5">
        <v>3941</v>
      </c>
      <c r="B3945" s="5">
        <v>165</v>
      </c>
      <c r="C3945" s="5">
        <v>6</v>
      </c>
      <c r="D3945" s="379">
        <v>42.753333333333323</v>
      </c>
      <c r="E3945" s="25">
        <v>24.84</v>
      </c>
      <c r="F3945" s="379">
        <v>13.589800037051713</v>
      </c>
      <c r="G3945" s="25">
        <v>43.56</v>
      </c>
      <c r="H3945" s="379">
        <v>9.9758041757258198</v>
      </c>
      <c r="I3945" s="25">
        <v>52.77</v>
      </c>
      <c r="J3945" s="379">
        <v>7.2218315404281075</v>
      </c>
    </row>
    <row r="3946" spans="1:10" x14ac:dyDescent="0.35">
      <c r="A3946" s="5">
        <v>3942</v>
      </c>
      <c r="B3946" s="5">
        <v>165</v>
      </c>
      <c r="C3946" s="5">
        <v>6</v>
      </c>
      <c r="D3946" s="379">
        <v>54.023333333333333</v>
      </c>
      <c r="E3946" s="25">
        <v>24.88</v>
      </c>
      <c r="F3946" s="379">
        <v>13.542115388293324</v>
      </c>
      <c r="G3946" s="25">
        <v>46.21</v>
      </c>
      <c r="H3946" s="379">
        <v>10.290798508021496</v>
      </c>
      <c r="I3946" s="25">
        <v>54.87</v>
      </c>
      <c r="J3946" s="379">
        <v>7.4190045798541622</v>
      </c>
    </row>
    <row r="3947" spans="1:10" x14ac:dyDescent="0.35">
      <c r="A3947" s="5">
        <v>3943</v>
      </c>
      <c r="B3947" s="5">
        <v>165</v>
      </c>
      <c r="C3947" s="5">
        <v>6</v>
      </c>
      <c r="D3947" s="379">
        <v>56.698888888888888</v>
      </c>
      <c r="E3947" s="25">
        <v>26.51</v>
      </c>
      <c r="F3947" s="379">
        <v>11.368241878784263</v>
      </c>
      <c r="G3947" s="25">
        <v>47.85</v>
      </c>
      <c r="H3947" s="379">
        <v>8.9053439535301049</v>
      </c>
      <c r="I3947" s="25">
        <v>56.56</v>
      </c>
      <c r="J3947" s="379">
        <v>7.4674222165733459</v>
      </c>
    </row>
    <row r="3948" spans="1:10" x14ac:dyDescent="0.35">
      <c r="A3948" s="5">
        <v>3944</v>
      </c>
      <c r="B3948" s="5">
        <v>165</v>
      </c>
      <c r="C3948" s="5">
        <v>6</v>
      </c>
      <c r="D3948" s="379">
        <v>54.818888888888893</v>
      </c>
      <c r="E3948" s="25">
        <v>26.51</v>
      </c>
      <c r="F3948" s="379">
        <v>13.781190229708509</v>
      </c>
      <c r="G3948" s="25">
        <v>47.85</v>
      </c>
      <c r="H3948" s="379">
        <v>9.3971341492372229</v>
      </c>
      <c r="I3948" s="25">
        <v>56.56</v>
      </c>
      <c r="J3948" s="379">
        <v>7.5328315204492702</v>
      </c>
    </row>
    <row r="3949" spans="1:10" x14ac:dyDescent="0.35">
      <c r="A3949" s="5">
        <v>3945</v>
      </c>
      <c r="B3949" s="5">
        <v>165</v>
      </c>
      <c r="C3949" s="5">
        <v>6</v>
      </c>
      <c r="D3949" s="379">
        <v>49.201666666666675</v>
      </c>
      <c r="E3949" s="25">
        <v>26.51</v>
      </c>
      <c r="F3949" s="379">
        <v>8.5765072225996928</v>
      </c>
      <c r="G3949" s="25">
        <v>47.85</v>
      </c>
      <c r="H3949" s="379">
        <v>9.6219739520086272</v>
      </c>
      <c r="I3949" s="25">
        <v>55.95</v>
      </c>
      <c r="J3949" s="379">
        <v>7.400858727896086</v>
      </c>
    </row>
    <row r="3950" spans="1:10" x14ac:dyDescent="0.35">
      <c r="A3950" s="5">
        <v>3946</v>
      </c>
      <c r="B3950" s="5">
        <v>165</v>
      </c>
      <c r="C3950" s="5">
        <v>6</v>
      </c>
      <c r="D3950" s="379">
        <v>45.996666666666663</v>
      </c>
      <c r="E3950" s="25">
        <v>26.51</v>
      </c>
      <c r="F3950" s="379">
        <v>8.264959850243331</v>
      </c>
      <c r="G3950" s="25">
        <v>47.85</v>
      </c>
      <c r="H3950" s="379">
        <v>8.2597414029014438</v>
      </c>
      <c r="I3950" s="25">
        <v>54.87</v>
      </c>
      <c r="J3950" s="379">
        <v>6.7095816377614153</v>
      </c>
    </row>
    <row r="3951" spans="1:10" x14ac:dyDescent="0.35">
      <c r="A3951" s="5">
        <v>3947</v>
      </c>
      <c r="B3951" s="5">
        <v>165</v>
      </c>
      <c r="C3951" s="5">
        <v>6</v>
      </c>
      <c r="D3951" s="379">
        <v>45.797222222222224</v>
      </c>
      <c r="E3951" s="25">
        <v>25.74</v>
      </c>
      <c r="F3951" s="379">
        <v>4.0826324663005051</v>
      </c>
      <c r="G3951" s="25">
        <v>46.98</v>
      </c>
      <c r="H3951" s="379">
        <v>7.9514109509848119</v>
      </c>
      <c r="I3951" s="25">
        <v>53.71</v>
      </c>
      <c r="J3951" s="379">
        <v>6.7092680328857872</v>
      </c>
    </row>
    <row r="3952" spans="1:10" x14ac:dyDescent="0.35">
      <c r="A3952" s="5">
        <v>3948</v>
      </c>
      <c r="B3952" s="5">
        <v>165</v>
      </c>
      <c r="C3952" s="5">
        <v>6</v>
      </c>
      <c r="D3952" s="379">
        <v>46.418888888888887</v>
      </c>
      <c r="E3952" s="25">
        <v>24.99</v>
      </c>
      <c r="F3952" s="379">
        <v>3.2191934533769828</v>
      </c>
      <c r="G3952" s="25">
        <v>46.98</v>
      </c>
      <c r="H3952" s="379">
        <v>7.7683558058886213</v>
      </c>
      <c r="I3952" s="25">
        <v>53.27</v>
      </c>
      <c r="J3952" s="379">
        <v>5.9853853036470843</v>
      </c>
    </row>
    <row r="3953" spans="1:10" x14ac:dyDescent="0.35">
      <c r="A3953" s="5">
        <v>3949</v>
      </c>
      <c r="B3953" s="5">
        <v>165</v>
      </c>
      <c r="C3953" s="5">
        <v>6</v>
      </c>
      <c r="D3953" s="379">
        <v>45.062222222222218</v>
      </c>
      <c r="E3953" s="25">
        <v>24.84</v>
      </c>
      <c r="F3953" s="379">
        <v>4.4533769749200598</v>
      </c>
      <c r="G3953" s="25">
        <v>44.69</v>
      </c>
      <c r="H3953" s="379">
        <v>7.9254219258175862</v>
      </c>
      <c r="I3953" s="25">
        <v>52.24</v>
      </c>
      <c r="J3953" s="379">
        <v>6.1300483469796516</v>
      </c>
    </row>
    <row r="3954" spans="1:10" x14ac:dyDescent="0.35">
      <c r="A3954" s="5">
        <v>3950</v>
      </c>
      <c r="B3954" s="5">
        <v>165</v>
      </c>
      <c r="C3954" s="5">
        <v>6</v>
      </c>
      <c r="D3954" s="379">
        <v>44.175555555555547</v>
      </c>
      <c r="E3954" s="25">
        <v>24.84</v>
      </c>
      <c r="F3954" s="379">
        <v>3.9446225788860545</v>
      </c>
      <c r="G3954" s="25">
        <v>44.69</v>
      </c>
      <c r="H3954" s="379">
        <v>7.8016329631421497</v>
      </c>
      <c r="I3954" s="25">
        <v>52.24</v>
      </c>
      <c r="J3954" s="379">
        <v>6.3396423758710005</v>
      </c>
    </row>
    <row r="3955" spans="1:10" x14ac:dyDescent="0.35">
      <c r="A3955" s="5">
        <v>3951</v>
      </c>
      <c r="B3955" s="5">
        <v>165</v>
      </c>
      <c r="C3955" s="5">
        <v>6</v>
      </c>
      <c r="D3955" s="379">
        <v>46.111666666666672</v>
      </c>
      <c r="E3955" s="25">
        <v>24.84</v>
      </c>
      <c r="F3955" s="379">
        <v>8.1174834595959595</v>
      </c>
      <c r="G3955" s="25">
        <v>44.69</v>
      </c>
      <c r="H3955" s="379">
        <v>7.7281736203755971</v>
      </c>
      <c r="I3955" s="25">
        <v>52.24</v>
      </c>
      <c r="J3955" s="379">
        <v>6.353450909101233</v>
      </c>
    </row>
    <row r="3956" spans="1:10" x14ac:dyDescent="0.35">
      <c r="A3956" s="5">
        <v>3952</v>
      </c>
      <c r="B3956" s="5">
        <v>165</v>
      </c>
      <c r="C3956" s="5">
        <v>6</v>
      </c>
      <c r="D3956" s="379">
        <v>48.2</v>
      </c>
      <c r="E3956" s="25">
        <v>24.84</v>
      </c>
      <c r="F3956" s="379">
        <v>8.1174834595959577</v>
      </c>
      <c r="G3956" s="25">
        <v>44.69</v>
      </c>
      <c r="H3956" s="379">
        <v>8.1595128491019704</v>
      </c>
      <c r="I3956" s="25">
        <v>52.24</v>
      </c>
      <c r="J3956" s="379">
        <v>6.3627886717454913</v>
      </c>
    </row>
    <row r="3957" spans="1:10" x14ac:dyDescent="0.35">
      <c r="A3957" s="5">
        <v>3953</v>
      </c>
      <c r="B3957" s="5">
        <v>165</v>
      </c>
      <c r="C3957" s="5">
        <v>6</v>
      </c>
      <c r="D3957" s="379">
        <v>54.480555555555554</v>
      </c>
      <c r="E3957" s="25">
        <v>25.74</v>
      </c>
      <c r="F3957" s="379">
        <v>8.4998635171733365</v>
      </c>
      <c r="G3957" s="25">
        <v>46.98</v>
      </c>
      <c r="H3957" s="379">
        <v>9.6661231867717934</v>
      </c>
      <c r="I3957" s="25">
        <v>52.24</v>
      </c>
      <c r="J3957" s="379">
        <v>6.6986200932505673</v>
      </c>
    </row>
    <row r="3958" spans="1:10" x14ac:dyDescent="0.35">
      <c r="A3958" s="5">
        <v>3954</v>
      </c>
      <c r="B3958" s="5">
        <v>165</v>
      </c>
      <c r="C3958" s="5">
        <v>6</v>
      </c>
      <c r="D3958" s="379">
        <v>60.001111111111108</v>
      </c>
      <c r="E3958" s="25">
        <v>25.74</v>
      </c>
      <c r="F3958" s="379">
        <v>10.259665393261342</v>
      </c>
      <c r="G3958" s="25">
        <v>46.98</v>
      </c>
      <c r="H3958" s="379">
        <v>8.903976923787944</v>
      </c>
      <c r="I3958" s="25">
        <v>53.27</v>
      </c>
      <c r="J3958" s="379">
        <v>7.3165026040872752</v>
      </c>
    </row>
    <row r="3959" spans="1:10" x14ac:dyDescent="0.35">
      <c r="A3959" s="5">
        <v>3955</v>
      </c>
      <c r="B3959" s="5">
        <v>165</v>
      </c>
      <c r="C3959" s="5">
        <v>6</v>
      </c>
      <c r="D3959" s="379">
        <v>61.868333333333339</v>
      </c>
      <c r="E3959" s="25">
        <v>25.74</v>
      </c>
      <c r="F3959" s="379">
        <v>10.187588099039752</v>
      </c>
      <c r="G3959" s="25">
        <v>46.98</v>
      </c>
      <c r="H3959" s="379">
        <v>9.6276475901087863</v>
      </c>
      <c r="I3959" s="25">
        <v>54.87</v>
      </c>
      <c r="J3959" s="379">
        <v>7.3068337792681088</v>
      </c>
    </row>
    <row r="3960" spans="1:10" x14ac:dyDescent="0.35">
      <c r="A3960" s="5">
        <v>3956</v>
      </c>
      <c r="B3960" s="5">
        <v>165</v>
      </c>
      <c r="C3960" s="5">
        <v>6</v>
      </c>
      <c r="D3960" s="379">
        <v>61.341111111111104</v>
      </c>
      <c r="E3960" s="25">
        <v>25.74</v>
      </c>
      <c r="F3960" s="379">
        <v>9.7730062575513514</v>
      </c>
      <c r="G3960" s="25">
        <v>46.98</v>
      </c>
      <c r="H3960" s="379">
        <v>9.4789160728126625</v>
      </c>
      <c r="I3960" s="25">
        <v>54.87</v>
      </c>
      <c r="J3960" s="379">
        <v>7.3078887105707215</v>
      </c>
    </row>
    <row r="3961" spans="1:10" x14ac:dyDescent="0.35">
      <c r="A3961" s="5">
        <v>3957</v>
      </c>
      <c r="B3961" s="5">
        <v>165</v>
      </c>
      <c r="C3961" s="5">
        <v>6</v>
      </c>
      <c r="D3961" s="379">
        <v>60.767777777777773</v>
      </c>
      <c r="E3961" s="25">
        <v>25.74</v>
      </c>
      <c r="F3961" s="379">
        <v>9.664938126248801</v>
      </c>
      <c r="G3961" s="25">
        <v>46.98</v>
      </c>
      <c r="H3961" s="379">
        <v>9.6847007305763935</v>
      </c>
      <c r="I3961" s="25">
        <v>54.87</v>
      </c>
      <c r="J3961" s="379">
        <v>7.2989461599171648</v>
      </c>
    </row>
    <row r="3962" spans="1:10" x14ac:dyDescent="0.35">
      <c r="A3962" s="5">
        <v>3958</v>
      </c>
      <c r="B3962" s="5">
        <v>165</v>
      </c>
      <c r="C3962" s="5">
        <v>6</v>
      </c>
      <c r="D3962" s="379">
        <v>58.837222222222223</v>
      </c>
      <c r="E3962" s="25">
        <v>25.29</v>
      </c>
      <c r="F3962" s="379">
        <v>9.5340673848376021</v>
      </c>
      <c r="G3962" s="25">
        <v>44.69</v>
      </c>
      <c r="H3962" s="379">
        <v>9.6954958139891865</v>
      </c>
      <c r="I3962" s="25">
        <v>54.87</v>
      </c>
      <c r="J3962" s="379">
        <v>7.1927335700845871</v>
      </c>
    </row>
    <row r="3963" spans="1:10" x14ac:dyDescent="0.35">
      <c r="A3963" s="5">
        <v>3959</v>
      </c>
      <c r="B3963" s="5">
        <v>165</v>
      </c>
      <c r="C3963" s="5">
        <v>6</v>
      </c>
      <c r="D3963" s="379">
        <v>54.307777777777773</v>
      </c>
      <c r="E3963" s="25">
        <v>24.84</v>
      </c>
      <c r="F3963" s="379">
        <v>10.426014849172653</v>
      </c>
      <c r="G3963" s="25">
        <v>43.56</v>
      </c>
      <c r="H3963" s="379">
        <v>9.6395638987147354</v>
      </c>
      <c r="I3963" s="25">
        <v>53.32</v>
      </c>
      <c r="J3963" s="379">
        <v>7.2270829643751382</v>
      </c>
    </row>
    <row r="3964" spans="1:10" x14ac:dyDescent="0.35">
      <c r="A3964" s="5">
        <v>3960</v>
      </c>
      <c r="B3964" s="5">
        <v>165</v>
      </c>
      <c r="C3964" s="5">
        <v>6</v>
      </c>
      <c r="D3964" s="379">
        <v>51.384444444444448</v>
      </c>
      <c r="E3964" s="25">
        <v>24.84</v>
      </c>
      <c r="F3964" s="379">
        <v>9.2532369246636108</v>
      </c>
      <c r="G3964" s="25">
        <v>43.56</v>
      </c>
      <c r="H3964" s="379">
        <v>8.3543443146373395</v>
      </c>
      <c r="I3964" s="25">
        <v>53.27</v>
      </c>
      <c r="J3964" s="379">
        <v>7.0139967281286273</v>
      </c>
    </row>
    <row r="3965" spans="1:10" x14ac:dyDescent="0.35">
      <c r="A3965" s="5">
        <v>3961</v>
      </c>
      <c r="B3965" s="5">
        <v>166</v>
      </c>
      <c r="C3965" s="5">
        <v>6</v>
      </c>
      <c r="D3965" s="379">
        <v>50.260555555555555</v>
      </c>
      <c r="E3965" s="25">
        <v>24.84</v>
      </c>
      <c r="F3965" s="379">
        <v>9.2455197394469906</v>
      </c>
      <c r="G3965" s="25">
        <v>42.29</v>
      </c>
      <c r="H3965" s="379">
        <v>8.6298933940954292</v>
      </c>
      <c r="I3965" s="25">
        <v>50.21</v>
      </c>
      <c r="J3965" s="379">
        <v>6.6220853365415993</v>
      </c>
    </row>
    <row r="3966" spans="1:10" x14ac:dyDescent="0.35">
      <c r="A3966" s="5">
        <v>3962</v>
      </c>
      <c r="B3966" s="5">
        <v>166</v>
      </c>
      <c r="C3966" s="5">
        <v>6</v>
      </c>
      <c r="D3966" s="379">
        <v>48.882777777777775</v>
      </c>
      <c r="E3966" s="25">
        <v>24.84</v>
      </c>
      <c r="F3966" s="379">
        <v>9.2874217877419412</v>
      </c>
      <c r="G3966" s="25">
        <v>40.67</v>
      </c>
      <c r="H3966" s="379">
        <v>8.2245109311156295</v>
      </c>
      <c r="I3966" s="25">
        <v>48.86</v>
      </c>
      <c r="J3966" s="379">
        <v>6.2934884719222817</v>
      </c>
    </row>
    <row r="3967" spans="1:10" x14ac:dyDescent="0.35">
      <c r="A3967" s="5">
        <v>3963</v>
      </c>
      <c r="B3967" s="5">
        <v>166</v>
      </c>
      <c r="C3967" s="5">
        <v>6</v>
      </c>
      <c r="D3967" s="379">
        <v>48.190555555555562</v>
      </c>
      <c r="E3967" s="25">
        <v>24</v>
      </c>
      <c r="F3967" s="379">
        <v>9.2986682287229012</v>
      </c>
      <c r="G3967" s="25">
        <v>40.67</v>
      </c>
      <c r="H3967" s="379">
        <v>8.2261277789136447</v>
      </c>
      <c r="I3967" s="25">
        <v>48.86</v>
      </c>
      <c r="J3967" s="379">
        <v>6.6187562781480125</v>
      </c>
    </row>
    <row r="3968" spans="1:10" x14ac:dyDescent="0.35">
      <c r="A3968" s="5">
        <v>3964</v>
      </c>
      <c r="B3968" s="5">
        <v>166</v>
      </c>
      <c r="C3968" s="5">
        <v>6</v>
      </c>
      <c r="D3968" s="379">
        <v>48.36944444444444</v>
      </c>
      <c r="E3968" s="25">
        <v>24</v>
      </c>
      <c r="F3968" s="379">
        <v>9.0562767078319908</v>
      </c>
      <c r="G3968" s="25">
        <v>40.67</v>
      </c>
      <c r="H3968" s="379">
        <v>8.3697657969514285</v>
      </c>
      <c r="I3968" s="25">
        <v>48.86</v>
      </c>
      <c r="J3968" s="379">
        <v>6.4607916663874203</v>
      </c>
    </row>
    <row r="3969" spans="1:10" x14ac:dyDescent="0.35">
      <c r="A3969" s="5">
        <v>3965</v>
      </c>
      <c r="B3969" s="5">
        <v>166</v>
      </c>
      <c r="C3969" s="5">
        <v>6</v>
      </c>
      <c r="D3969" s="379">
        <v>50.864444444444445</v>
      </c>
      <c r="E3969" s="25">
        <v>24.84</v>
      </c>
      <c r="F3969" s="379">
        <v>9.8646210079104257</v>
      </c>
      <c r="G3969" s="25">
        <v>40.67</v>
      </c>
      <c r="H3969" s="379">
        <v>8.3207466769622282</v>
      </c>
      <c r="I3969" s="25">
        <v>48.86</v>
      </c>
      <c r="J3969" s="379">
        <v>6.4723411730083278</v>
      </c>
    </row>
    <row r="3970" spans="1:10" x14ac:dyDescent="0.35">
      <c r="A3970" s="5">
        <v>3966</v>
      </c>
      <c r="B3970" s="5">
        <v>166</v>
      </c>
      <c r="C3970" s="5">
        <v>6</v>
      </c>
      <c r="D3970" s="379">
        <v>57.605000000000004</v>
      </c>
      <c r="E3970" s="25">
        <v>24.84</v>
      </c>
      <c r="F3970" s="379">
        <v>9.7020851606264085</v>
      </c>
      <c r="G3970" s="25">
        <v>42.29</v>
      </c>
      <c r="H3970" s="379">
        <v>8.1878201709266882</v>
      </c>
      <c r="I3970" s="25">
        <v>51.02</v>
      </c>
      <c r="J3970" s="379">
        <v>6.4589354705938726</v>
      </c>
    </row>
    <row r="3971" spans="1:10" x14ac:dyDescent="0.35">
      <c r="A3971" s="5">
        <v>3967</v>
      </c>
      <c r="B3971" s="5">
        <v>166</v>
      </c>
      <c r="C3971" s="5">
        <v>6</v>
      </c>
      <c r="D3971" s="379">
        <v>62.675555555555555</v>
      </c>
      <c r="E3971" s="25">
        <v>24.99</v>
      </c>
      <c r="F3971" s="379">
        <v>9.3451734702248093</v>
      </c>
      <c r="G3971" s="25">
        <v>44.69</v>
      </c>
      <c r="H3971" s="379">
        <v>8.1091770609778369</v>
      </c>
      <c r="I3971" s="25">
        <v>53.27</v>
      </c>
      <c r="J3971" s="379">
        <v>5.3906432678653955</v>
      </c>
    </row>
    <row r="3972" spans="1:10" x14ac:dyDescent="0.35">
      <c r="A3972" s="5">
        <v>3968</v>
      </c>
      <c r="B3972" s="5">
        <v>166</v>
      </c>
      <c r="C3972" s="5">
        <v>6</v>
      </c>
      <c r="D3972" s="379">
        <v>63.398888888888891</v>
      </c>
      <c r="E3972" s="25">
        <v>24.99</v>
      </c>
      <c r="F3972" s="379">
        <v>8.2362905273809304</v>
      </c>
      <c r="G3972" s="25">
        <v>44.69</v>
      </c>
      <c r="H3972" s="379">
        <v>8.3684961458476419</v>
      </c>
      <c r="I3972" s="25">
        <v>53.32</v>
      </c>
      <c r="J3972" s="379">
        <v>2.9533867428102689</v>
      </c>
    </row>
    <row r="3973" spans="1:10" x14ac:dyDescent="0.35">
      <c r="A3973" s="5">
        <v>3969</v>
      </c>
      <c r="B3973" s="5">
        <v>166</v>
      </c>
      <c r="C3973" s="5">
        <v>6</v>
      </c>
      <c r="D3973" s="379">
        <v>59.43888888888889</v>
      </c>
      <c r="E3973" s="25">
        <v>24.99</v>
      </c>
      <c r="F3973" s="379">
        <v>8.3175592845430284</v>
      </c>
      <c r="G3973" s="25">
        <v>44.69</v>
      </c>
      <c r="H3973" s="379">
        <v>7.5061575215553002</v>
      </c>
      <c r="I3973" s="25">
        <v>53.27</v>
      </c>
      <c r="J3973" s="379">
        <v>0.27777777777777779</v>
      </c>
    </row>
    <row r="3974" spans="1:10" x14ac:dyDescent="0.35">
      <c r="A3974" s="5">
        <v>3970</v>
      </c>
      <c r="B3974" s="5">
        <v>166</v>
      </c>
      <c r="C3974" s="5">
        <v>6</v>
      </c>
      <c r="D3974" s="379">
        <v>53.854999999999997</v>
      </c>
      <c r="E3974" s="25">
        <v>24.99</v>
      </c>
      <c r="F3974" s="379">
        <v>8.1174834595959577</v>
      </c>
      <c r="G3974" s="25">
        <v>44.69</v>
      </c>
      <c r="H3974" s="379">
        <v>8.1174834595959613</v>
      </c>
      <c r="I3974" s="25">
        <v>53.27</v>
      </c>
      <c r="J3974" s="379">
        <v>0.27777777777777779</v>
      </c>
    </row>
    <row r="3975" spans="1:10" x14ac:dyDescent="0.35">
      <c r="A3975" s="5">
        <v>3971</v>
      </c>
      <c r="B3975" s="5">
        <v>166</v>
      </c>
      <c r="C3975" s="5">
        <v>6</v>
      </c>
      <c r="D3975" s="379">
        <v>51.183888888888887</v>
      </c>
      <c r="E3975" s="25">
        <v>24.99</v>
      </c>
      <c r="F3975" s="379">
        <v>8.1174834595959577</v>
      </c>
      <c r="G3975" s="25">
        <v>44.69</v>
      </c>
      <c r="H3975" s="379">
        <v>7.820533874094572</v>
      </c>
      <c r="I3975" s="25">
        <v>50.21</v>
      </c>
      <c r="J3975" s="379">
        <v>0.27777777777777779</v>
      </c>
    </row>
    <row r="3976" spans="1:10" x14ac:dyDescent="0.35">
      <c r="A3976" s="5">
        <v>3972</v>
      </c>
      <c r="B3976" s="5">
        <v>166</v>
      </c>
      <c r="C3976" s="5">
        <v>6</v>
      </c>
      <c r="D3976" s="379">
        <v>49.598333333333329</v>
      </c>
      <c r="E3976" s="25">
        <v>24.99</v>
      </c>
      <c r="F3976" s="379">
        <v>5.3775661770383989</v>
      </c>
      <c r="G3976" s="25">
        <v>43.56</v>
      </c>
      <c r="H3976" s="379">
        <v>6.7159405398766268</v>
      </c>
      <c r="I3976" s="25">
        <v>50.13</v>
      </c>
      <c r="J3976" s="379">
        <v>2.0046636118919698</v>
      </c>
    </row>
    <row r="3977" spans="1:10" x14ac:dyDescent="0.35">
      <c r="A3977" s="5">
        <v>3973</v>
      </c>
      <c r="B3977" s="5">
        <v>166</v>
      </c>
      <c r="C3977" s="5">
        <v>6</v>
      </c>
      <c r="D3977" s="379">
        <v>46.831111111111106</v>
      </c>
      <c r="E3977" s="25">
        <v>24.84</v>
      </c>
      <c r="F3977" s="379">
        <v>5.3775661770383989</v>
      </c>
      <c r="G3977" s="25">
        <v>43.56</v>
      </c>
      <c r="H3977" s="379">
        <v>6.7070981051538467</v>
      </c>
      <c r="I3977" s="25">
        <v>48.86</v>
      </c>
      <c r="J3977" s="379">
        <v>2.0046636118919698</v>
      </c>
    </row>
    <row r="3978" spans="1:10" x14ac:dyDescent="0.35">
      <c r="A3978" s="5">
        <v>3974</v>
      </c>
      <c r="B3978" s="5">
        <v>166</v>
      </c>
      <c r="C3978" s="5">
        <v>6</v>
      </c>
      <c r="D3978" s="379">
        <v>46.760555555555555</v>
      </c>
      <c r="E3978" s="25">
        <v>24.84</v>
      </c>
      <c r="F3978" s="379">
        <v>5.3775661770383989</v>
      </c>
      <c r="G3978" s="25">
        <v>43.56</v>
      </c>
      <c r="H3978" s="379">
        <v>6.9297372255856189</v>
      </c>
      <c r="I3978" s="25">
        <v>48.86</v>
      </c>
      <c r="J3978" s="379">
        <v>2.0046636118919698</v>
      </c>
    </row>
    <row r="3979" spans="1:10" x14ac:dyDescent="0.35">
      <c r="A3979" s="5">
        <v>3975</v>
      </c>
      <c r="B3979" s="5">
        <v>166</v>
      </c>
      <c r="C3979" s="5">
        <v>6</v>
      </c>
      <c r="D3979" s="379">
        <v>47.18055555555555</v>
      </c>
      <c r="E3979" s="25">
        <v>24.84</v>
      </c>
      <c r="F3979" s="379">
        <v>5.3775661770383989</v>
      </c>
      <c r="G3979" s="25">
        <v>42.71</v>
      </c>
      <c r="H3979" s="379">
        <v>7.0092271492814966</v>
      </c>
      <c r="I3979" s="25">
        <v>48.86</v>
      </c>
      <c r="J3979" s="379">
        <v>2.0046636118919698</v>
      </c>
    </row>
    <row r="3980" spans="1:10" x14ac:dyDescent="0.35">
      <c r="A3980" s="5">
        <v>3976</v>
      </c>
      <c r="B3980" s="5">
        <v>166</v>
      </c>
      <c r="C3980" s="5">
        <v>6</v>
      </c>
      <c r="D3980" s="379">
        <v>50.536666666666662</v>
      </c>
      <c r="E3980" s="25">
        <v>24.84</v>
      </c>
      <c r="F3980" s="379">
        <v>0.47222222222222215</v>
      </c>
      <c r="G3980" s="25">
        <v>42.71</v>
      </c>
      <c r="H3980" s="379">
        <v>6.9355929236651352</v>
      </c>
      <c r="I3980" s="25">
        <v>48.86</v>
      </c>
      <c r="J3980" s="379">
        <v>2.0046636118919698</v>
      </c>
    </row>
    <row r="3981" spans="1:10" x14ac:dyDescent="0.35">
      <c r="A3981" s="5">
        <v>3977</v>
      </c>
      <c r="B3981" s="5">
        <v>166</v>
      </c>
      <c r="C3981" s="5">
        <v>6</v>
      </c>
      <c r="D3981" s="379">
        <v>56.431111111111107</v>
      </c>
      <c r="E3981" s="25">
        <v>24.84</v>
      </c>
      <c r="F3981" s="379">
        <v>8.1174834595959613</v>
      </c>
      <c r="G3981" s="25">
        <v>43.56</v>
      </c>
      <c r="H3981" s="379">
        <v>6.8447970461655281</v>
      </c>
      <c r="I3981" s="25">
        <v>48.86</v>
      </c>
      <c r="J3981" s="379">
        <v>2.0046636118919698</v>
      </c>
    </row>
    <row r="3982" spans="1:10" x14ac:dyDescent="0.35">
      <c r="A3982" s="5">
        <v>3978</v>
      </c>
      <c r="B3982" s="5">
        <v>166</v>
      </c>
      <c r="C3982" s="5">
        <v>6</v>
      </c>
      <c r="D3982" s="379">
        <v>62.49166666666666</v>
      </c>
      <c r="E3982" s="25">
        <v>24.99</v>
      </c>
      <c r="F3982" s="379">
        <v>8.4372515913733697</v>
      </c>
      <c r="G3982" s="25">
        <v>43.56</v>
      </c>
      <c r="H3982" s="379">
        <v>8.2233210380045101</v>
      </c>
      <c r="I3982" s="25">
        <v>49.24</v>
      </c>
      <c r="J3982" s="379">
        <v>5.4847253952630126</v>
      </c>
    </row>
    <row r="3983" spans="1:10" x14ac:dyDescent="0.35">
      <c r="A3983" s="5">
        <v>3979</v>
      </c>
      <c r="B3983" s="5">
        <v>166</v>
      </c>
      <c r="C3983" s="5">
        <v>6</v>
      </c>
      <c r="D3983" s="379">
        <v>67.478888888888875</v>
      </c>
      <c r="E3983" s="25">
        <v>24.99</v>
      </c>
      <c r="F3983" s="379">
        <v>14.456478660396092</v>
      </c>
      <c r="G3983" s="25">
        <v>43.56</v>
      </c>
      <c r="H3983" s="379">
        <v>9.24907368966341</v>
      </c>
      <c r="I3983" s="25">
        <v>50.21</v>
      </c>
      <c r="J3983" s="379">
        <v>6.9150449708270152</v>
      </c>
    </row>
    <row r="3984" spans="1:10" x14ac:dyDescent="0.35">
      <c r="A3984" s="5">
        <v>3980</v>
      </c>
      <c r="B3984" s="5">
        <v>166</v>
      </c>
      <c r="C3984" s="5">
        <v>6</v>
      </c>
      <c r="D3984" s="379">
        <v>67.456666666666663</v>
      </c>
      <c r="E3984" s="25">
        <v>24.99</v>
      </c>
      <c r="F3984" s="379">
        <v>13.826217702707471</v>
      </c>
      <c r="G3984" s="25">
        <v>44.69</v>
      </c>
      <c r="H3984" s="379">
        <v>9.4720139994425754</v>
      </c>
      <c r="I3984" s="25">
        <v>50.21</v>
      </c>
      <c r="J3984" s="379">
        <v>6.7167937714198711</v>
      </c>
    </row>
    <row r="3985" spans="1:10" x14ac:dyDescent="0.35">
      <c r="A3985" s="5">
        <v>3981</v>
      </c>
      <c r="B3985" s="5">
        <v>166</v>
      </c>
      <c r="C3985" s="5">
        <v>6</v>
      </c>
      <c r="D3985" s="379">
        <v>60.112222222222222</v>
      </c>
      <c r="E3985" s="25">
        <v>24.99</v>
      </c>
      <c r="F3985" s="379">
        <v>12.404791308468436</v>
      </c>
      <c r="G3985" s="25">
        <v>44.69</v>
      </c>
      <c r="H3985" s="379">
        <v>10.000350819254995</v>
      </c>
      <c r="I3985" s="25">
        <v>53.27</v>
      </c>
      <c r="J3985" s="379">
        <v>6.8877634134104584</v>
      </c>
    </row>
    <row r="3986" spans="1:10" x14ac:dyDescent="0.35">
      <c r="A3986" s="5">
        <v>3982</v>
      </c>
      <c r="B3986" s="5">
        <v>166</v>
      </c>
      <c r="C3986" s="5">
        <v>6</v>
      </c>
      <c r="D3986" s="379">
        <v>56.451111111111103</v>
      </c>
      <c r="E3986" s="25">
        <v>24.99</v>
      </c>
      <c r="F3986" s="379">
        <v>13.832882353195087</v>
      </c>
      <c r="G3986" s="25">
        <v>44.69</v>
      </c>
      <c r="H3986" s="379">
        <v>9.837323399621372</v>
      </c>
      <c r="I3986" s="25">
        <v>53.71</v>
      </c>
      <c r="J3986" s="379">
        <v>7.0721855900726602</v>
      </c>
    </row>
    <row r="3987" spans="1:10" x14ac:dyDescent="0.35">
      <c r="A3987" s="5">
        <v>3983</v>
      </c>
      <c r="B3987" s="5">
        <v>166</v>
      </c>
      <c r="C3987" s="5">
        <v>6</v>
      </c>
      <c r="D3987" s="379">
        <v>53.894999999999996</v>
      </c>
      <c r="E3987" s="25">
        <v>24.84</v>
      </c>
      <c r="F3987" s="379">
        <v>15.712370835322549</v>
      </c>
      <c r="G3987" s="25">
        <v>43.56</v>
      </c>
      <c r="H3987" s="379">
        <v>9.7874345469475941</v>
      </c>
      <c r="I3987" s="25">
        <v>53.71</v>
      </c>
      <c r="J3987" s="379">
        <v>7.2176608427093267</v>
      </c>
    </row>
    <row r="3988" spans="1:10" x14ac:dyDescent="0.35">
      <c r="A3988" s="5">
        <v>3984</v>
      </c>
      <c r="B3988" s="5">
        <v>166</v>
      </c>
      <c r="C3988" s="5">
        <v>6</v>
      </c>
      <c r="D3988" s="379">
        <v>54.299444444444447</v>
      </c>
      <c r="E3988" s="25">
        <v>24.84</v>
      </c>
      <c r="F3988" s="379">
        <v>15.594489985053533</v>
      </c>
      <c r="G3988" s="25">
        <v>42.29</v>
      </c>
      <c r="H3988" s="379">
        <v>9.8918383127916112</v>
      </c>
      <c r="I3988" s="25">
        <v>52.74</v>
      </c>
      <c r="J3988" s="379">
        <v>7.463333977128741</v>
      </c>
    </row>
    <row r="3989" spans="1:10" x14ac:dyDescent="0.35">
      <c r="A3989" s="5">
        <v>3985</v>
      </c>
      <c r="B3989" s="5">
        <v>167</v>
      </c>
      <c r="C3989" s="5">
        <v>6</v>
      </c>
      <c r="D3989" s="379">
        <v>52.134999999999991</v>
      </c>
      <c r="E3989" s="25">
        <v>24.84</v>
      </c>
      <c r="F3989" s="379">
        <v>15.460669694567615</v>
      </c>
      <c r="G3989" s="25">
        <v>42.29</v>
      </c>
      <c r="H3989" s="379">
        <v>10.687109608404812</v>
      </c>
      <c r="I3989" s="25">
        <v>52.16</v>
      </c>
      <c r="J3989" s="379">
        <v>7.5021770169973081</v>
      </c>
    </row>
    <row r="3990" spans="1:10" x14ac:dyDescent="0.35">
      <c r="A3990" s="5">
        <v>3986</v>
      </c>
      <c r="B3990" s="5">
        <v>167</v>
      </c>
      <c r="C3990" s="5">
        <v>6</v>
      </c>
      <c r="D3990" s="379">
        <v>50.831666666666663</v>
      </c>
      <c r="E3990" s="25">
        <v>24.84</v>
      </c>
      <c r="F3990" s="379">
        <v>15.106955057217096</v>
      </c>
      <c r="G3990" s="25">
        <v>42.29</v>
      </c>
      <c r="H3990" s="379">
        <v>10.143742426666913</v>
      </c>
      <c r="I3990" s="25">
        <v>51.64</v>
      </c>
      <c r="J3990" s="379">
        <v>7.4867066254845342</v>
      </c>
    </row>
    <row r="3991" spans="1:10" x14ac:dyDescent="0.35">
      <c r="A3991" s="5">
        <v>3987</v>
      </c>
      <c r="B3991" s="5">
        <v>167</v>
      </c>
      <c r="C3991" s="5">
        <v>6</v>
      </c>
      <c r="D3991" s="379">
        <v>50.407777777777774</v>
      </c>
      <c r="E3991" s="25">
        <v>24.84</v>
      </c>
      <c r="F3991" s="379">
        <v>15.895592252346535</v>
      </c>
      <c r="G3991" s="25">
        <v>42.29</v>
      </c>
      <c r="H3991" s="379">
        <v>10.634626739227846</v>
      </c>
      <c r="I3991" s="25">
        <v>51.64</v>
      </c>
      <c r="J3991" s="379">
        <v>7.458899261786879</v>
      </c>
    </row>
    <row r="3992" spans="1:10" x14ac:dyDescent="0.35">
      <c r="A3992" s="5">
        <v>3988</v>
      </c>
      <c r="B3992" s="5">
        <v>167</v>
      </c>
      <c r="C3992" s="5">
        <v>6</v>
      </c>
      <c r="D3992" s="379">
        <v>49.486111111111114</v>
      </c>
      <c r="E3992" s="25">
        <v>24.84</v>
      </c>
      <c r="F3992" s="379">
        <v>16.678892312917323</v>
      </c>
      <c r="G3992" s="25">
        <v>43.12</v>
      </c>
      <c r="H3992" s="379">
        <v>10.284028199379799</v>
      </c>
      <c r="I3992" s="25">
        <v>51.64</v>
      </c>
      <c r="J3992" s="379">
        <v>7.4508988228086217</v>
      </c>
    </row>
    <row r="3993" spans="1:10" x14ac:dyDescent="0.35">
      <c r="A3993" s="5">
        <v>3989</v>
      </c>
      <c r="B3993" s="5">
        <v>167</v>
      </c>
      <c r="C3993" s="5">
        <v>6</v>
      </c>
      <c r="D3993" s="379">
        <v>50.515000000000001</v>
      </c>
      <c r="E3993" s="25">
        <v>24.84</v>
      </c>
      <c r="F3993" s="379">
        <v>16.109458723128068</v>
      </c>
      <c r="G3993" s="25">
        <v>43.99</v>
      </c>
      <c r="H3993" s="379">
        <v>10.202520400655823</v>
      </c>
      <c r="I3993" s="25">
        <v>52.74</v>
      </c>
      <c r="J3993" s="379">
        <v>7.2945889869199965</v>
      </c>
    </row>
    <row r="3994" spans="1:10" x14ac:dyDescent="0.35">
      <c r="A3994" s="5">
        <v>3990</v>
      </c>
      <c r="B3994" s="5">
        <v>167</v>
      </c>
      <c r="C3994" s="5">
        <v>6</v>
      </c>
      <c r="D3994" s="379">
        <v>56.25333333333333</v>
      </c>
      <c r="E3994" s="25">
        <v>25.59</v>
      </c>
      <c r="F3994" s="379">
        <v>14.897288162603932</v>
      </c>
      <c r="G3994" s="25">
        <v>46.98</v>
      </c>
      <c r="H3994" s="379">
        <v>8.542464431389428</v>
      </c>
      <c r="I3994" s="25">
        <v>54.24</v>
      </c>
      <c r="J3994" s="379">
        <v>7.2176608427093267</v>
      </c>
    </row>
    <row r="3995" spans="1:10" x14ac:dyDescent="0.35">
      <c r="A3995" s="5">
        <v>3991</v>
      </c>
      <c r="B3995" s="5">
        <v>167</v>
      </c>
      <c r="C3995" s="5">
        <v>6</v>
      </c>
      <c r="D3995" s="379">
        <v>62.761111111111106</v>
      </c>
      <c r="E3995" s="25">
        <v>26.51</v>
      </c>
      <c r="F3995" s="379">
        <v>14.371451668586701</v>
      </c>
      <c r="G3995" s="25">
        <v>47.85</v>
      </c>
      <c r="H3995" s="379">
        <v>9.4037832914304467</v>
      </c>
      <c r="I3995" s="25">
        <v>55.95</v>
      </c>
      <c r="J3995" s="379">
        <v>7.2176608427093267</v>
      </c>
    </row>
    <row r="3996" spans="1:10" x14ac:dyDescent="0.35">
      <c r="A3996" s="5">
        <v>3992</v>
      </c>
      <c r="B3996" s="5">
        <v>167</v>
      </c>
      <c r="C3996" s="5">
        <v>6</v>
      </c>
      <c r="D3996" s="379">
        <v>63.616111111111117</v>
      </c>
      <c r="E3996" s="25">
        <v>26.51</v>
      </c>
      <c r="F3996" s="379">
        <v>8.440094979154054</v>
      </c>
      <c r="G3996" s="25">
        <v>47.85</v>
      </c>
      <c r="H3996" s="379">
        <v>9.3509604099661576</v>
      </c>
      <c r="I3996" s="25">
        <v>55.95</v>
      </c>
      <c r="J3996" s="379">
        <v>7.0685838192910921</v>
      </c>
    </row>
    <row r="3997" spans="1:10" x14ac:dyDescent="0.35">
      <c r="A3997" s="5">
        <v>3993</v>
      </c>
      <c r="B3997" s="5">
        <v>167</v>
      </c>
      <c r="C3997" s="5">
        <v>6</v>
      </c>
      <c r="D3997" s="379">
        <v>58.260000000000005</v>
      </c>
      <c r="E3997" s="25">
        <v>26.51</v>
      </c>
      <c r="F3997" s="379">
        <v>8.1174834595959595</v>
      </c>
      <c r="G3997" s="25">
        <v>47.85</v>
      </c>
      <c r="H3997" s="379">
        <v>7.9630562693963478</v>
      </c>
      <c r="I3997" s="25">
        <v>54.87</v>
      </c>
      <c r="J3997" s="379">
        <v>7.2477957187354116</v>
      </c>
    </row>
    <row r="3998" spans="1:10" x14ac:dyDescent="0.35">
      <c r="A3998" s="5">
        <v>3994</v>
      </c>
      <c r="B3998" s="5">
        <v>167</v>
      </c>
      <c r="C3998" s="5">
        <v>6</v>
      </c>
      <c r="D3998" s="379">
        <v>50.940555555555562</v>
      </c>
      <c r="E3998" s="25">
        <v>25.74</v>
      </c>
      <c r="F3998" s="379">
        <v>6.9145087900971109</v>
      </c>
      <c r="G3998" s="25">
        <v>46.98</v>
      </c>
      <c r="H3998" s="379">
        <v>7.8868032307648921</v>
      </c>
      <c r="I3998" s="25">
        <v>53.27</v>
      </c>
      <c r="J3998" s="379">
        <v>6.4288283645318431</v>
      </c>
    </row>
    <row r="3999" spans="1:10" x14ac:dyDescent="0.35">
      <c r="A3999" s="5">
        <v>3995</v>
      </c>
      <c r="B3999" s="5">
        <v>167</v>
      </c>
      <c r="C3999" s="5">
        <v>6</v>
      </c>
      <c r="D3999" s="379">
        <v>47.768333333333338</v>
      </c>
      <c r="E3999" s="25">
        <v>24.99</v>
      </c>
      <c r="F3999" s="379">
        <v>7.0161482369417607</v>
      </c>
      <c r="G3999" s="25">
        <v>46.98</v>
      </c>
      <c r="H3999" s="379">
        <v>7.6834366829938565</v>
      </c>
      <c r="I3999" s="25">
        <v>52.16</v>
      </c>
      <c r="J3999" s="379">
        <v>2.770819204696179</v>
      </c>
    </row>
    <row r="4000" spans="1:10" x14ac:dyDescent="0.35">
      <c r="A4000" s="5">
        <v>3996</v>
      </c>
      <c r="B4000" s="5">
        <v>167</v>
      </c>
      <c r="C4000" s="5">
        <v>6</v>
      </c>
      <c r="D4000" s="379">
        <v>45.411111111111104</v>
      </c>
      <c r="E4000" s="25">
        <v>24.84</v>
      </c>
      <c r="F4000" s="379">
        <v>7.0228476544352034</v>
      </c>
      <c r="G4000" s="25">
        <v>44.69</v>
      </c>
      <c r="H4000" s="379">
        <v>7.4288769854115078</v>
      </c>
      <c r="I4000" s="25">
        <v>51.64</v>
      </c>
      <c r="J4000" s="379">
        <v>3.8859207460099499</v>
      </c>
    </row>
    <row r="4001" spans="1:10" x14ac:dyDescent="0.35">
      <c r="A4001" s="5">
        <v>3997</v>
      </c>
      <c r="B4001" s="5">
        <v>167</v>
      </c>
      <c r="C4001" s="5">
        <v>6</v>
      </c>
      <c r="D4001" s="379">
        <v>43.447777777777773</v>
      </c>
      <c r="E4001" s="25">
        <v>24.84</v>
      </c>
      <c r="F4001" s="379">
        <v>7.0105270775812238</v>
      </c>
      <c r="G4001" s="25">
        <v>43.56</v>
      </c>
      <c r="H4001" s="379">
        <v>7.4244675954056625</v>
      </c>
      <c r="I4001" s="25">
        <v>51.64</v>
      </c>
      <c r="J4001" s="379">
        <v>3.5430740595890877</v>
      </c>
    </row>
    <row r="4002" spans="1:10" x14ac:dyDescent="0.35">
      <c r="A4002" s="5">
        <v>3998</v>
      </c>
      <c r="B4002" s="5">
        <v>167</v>
      </c>
      <c r="C4002" s="5">
        <v>6</v>
      </c>
      <c r="D4002" s="379">
        <v>42.029999999999994</v>
      </c>
      <c r="E4002" s="25">
        <v>24.84</v>
      </c>
      <c r="F4002" s="379">
        <v>6.9856769906171596</v>
      </c>
      <c r="G4002" s="25">
        <v>43.56</v>
      </c>
      <c r="H4002" s="379">
        <v>7.3942144087390718</v>
      </c>
      <c r="I4002" s="25">
        <v>51.64</v>
      </c>
      <c r="J4002" s="379">
        <v>3.511283614803562</v>
      </c>
    </row>
    <row r="4003" spans="1:10" x14ac:dyDescent="0.35">
      <c r="A4003" s="5">
        <v>3999</v>
      </c>
      <c r="B4003" s="5">
        <v>167</v>
      </c>
      <c r="C4003" s="5">
        <v>6</v>
      </c>
      <c r="D4003" s="379">
        <v>41.660000000000004</v>
      </c>
      <c r="E4003" s="25">
        <v>24.84</v>
      </c>
      <c r="F4003" s="379">
        <v>7.2126201878005478</v>
      </c>
      <c r="G4003" s="25">
        <v>43.56</v>
      </c>
      <c r="H4003" s="379">
        <v>7.6342077705041138</v>
      </c>
      <c r="I4003" s="25">
        <v>51.64</v>
      </c>
      <c r="J4003" s="379">
        <v>4.9102061303972047</v>
      </c>
    </row>
    <row r="4004" spans="1:10" x14ac:dyDescent="0.35">
      <c r="A4004" s="5">
        <v>4000</v>
      </c>
      <c r="B4004" s="5">
        <v>167</v>
      </c>
      <c r="C4004" s="5">
        <v>6</v>
      </c>
      <c r="D4004" s="379">
        <v>48.653333333333329</v>
      </c>
      <c r="E4004" s="25">
        <v>24.84</v>
      </c>
      <c r="F4004" s="379">
        <v>7.2352449662541085</v>
      </c>
      <c r="G4004" s="25">
        <v>43.56</v>
      </c>
      <c r="H4004" s="379">
        <v>7.8480865218643148</v>
      </c>
      <c r="I4004" s="25">
        <v>51.64</v>
      </c>
      <c r="J4004" s="379">
        <v>4.9102061303972047</v>
      </c>
    </row>
    <row r="4005" spans="1:10" x14ac:dyDescent="0.35">
      <c r="A4005" s="5">
        <v>4001</v>
      </c>
      <c r="B4005" s="5">
        <v>167</v>
      </c>
      <c r="C4005" s="5">
        <v>6</v>
      </c>
      <c r="D4005" s="379">
        <v>57.882777777777783</v>
      </c>
      <c r="E4005" s="25">
        <v>24.84</v>
      </c>
      <c r="F4005" s="379">
        <v>8.1174834595959595</v>
      </c>
      <c r="G4005" s="25">
        <v>46.98</v>
      </c>
      <c r="H4005" s="379">
        <v>7.8227514245955572</v>
      </c>
      <c r="I4005" s="25">
        <v>51.64</v>
      </c>
      <c r="J4005" s="379">
        <v>4.2624598201070665</v>
      </c>
    </row>
    <row r="4006" spans="1:10" x14ac:dyDescent="0.35">
      <c r="A4006" s="5">
        <v>4002</v>
      </c>
      <c r="B4006" s="5">
        <v>167</v>
      </c>
      <c r="C4006" s="5">
        <v>6</v>
      </c>
      <c r="D4006" s="379">
        <v>65.111666666666665</v>
      </c>
      <c r="E4006" s="25">
        <v>24.99</v>
      </c>
      <c r="F4006" s="379">
        <v>8.1174834595959613</v>
      </c>
      <c r="G4006" s="25">
        <v>46.98</v>
      </c>
      <c r="H4006" s="379">
        <v>10.143304489956282</v>
      </c>
      <c r="I4006" s="25">
        <v>52.16</v>
      </c>
      <c r="J4006" s="379">
        <v>6.2758845314004557</v>
      </c>
    </row>
    <row r="4007" spans="1:10" x14ac:dyDescent="0.35">
      <c r="A4007" s="5">
        <v>4003</v>
      </c>
      <c r="B4007" s="5">
        <v>167</v>
      </c>
      <c r="C4007" s="5">
        <v>6</v>
      </c>
      <c r="D4007" s="379">
        <v>68.603888888888889</v>
      </c>
      <c r="E4007" s="25">
        <v>25.74</v>
      </c>
      <c r="F4007" s="379">
        <v>9.2908791244506173</v>
      </c>
      <c r="G4007" s="25">
        <v>47.46</v>
      </c>
      <c r="H4007" s="379">
        <v>10.109689321136878</v>
      </c>
      <c r="I4007" s="25">
        <v>53.71</v>
      </c>
      <c r="J4007" s="379">
        <v>7.3779486393734084</v>
      </c>
    </row>
    <row r="4008" spans="1:10" x14ac:dyDescent="0.35">
      <c r="A4008" s="5">
        <v>4004</v>
      </c>
      <c r="B4008" s="5">
        <v>167</v>
      </c>
      <c r="C4008" s="5">
        <v>6</v>
      </c>
      <c r="D4008" s="379">
        <v>69.193333333333328</v>
      </c>
      <c r="E4008" s="25">
        <v>25.74</v>
      </c>
      <c r="F4008" s="379">
        <v>9.5440018095592709</v>
      </c>
      <c r="G4008" s="25">
        <v>47.85</v>
      </c>
      <c r="H4008" s="379">
        <v>10.03500001736086</v>
      </c>
      <c r="I4008" s="25">
        <v>56.56</v>
      </c>
      <c r="J4008" s="379">
        <v>7.3772427923574417</v>
      </c>
    </row>
    <row r="4009" spans="1:10" x14ac:dyDescent="0.35">
      <c r="A4009" s="5">
        <v>4005</v>
      </c>
      <c r="B4009" s="5">
        <v>167</v>
      </c>
      <c r="C4009" s="5">
        <v>6</v>
      </c>
      <c r="D4009" s="379">
        <v>70.38111111111111</v>
      </c>
      <c r="E4009" s="25">
        <v>25.74</v>
      </c>
      <c r="F4009" s="379">
        <v>10.414711647355638</v>
      </c>
      <c r="G4009" s="25">
        <v>47.85</v>
      </c>
      <c r="H4009" s="379">
        <v>9.9825132857170598</v>
      </c>
      <c r="I4009" s="25">
        <v>64.14</v>
      </c>
      <c r="J4009" s="379">
        <v>7.3558569465252086</v>
      </c>
    </row>
    <row r="4010" spans="1:10" x14ac:dyDescent="0.35">
      <c r="A4010" s="5">
        <v>4006</v>
      </c>
      <c r="B4010" s="5">
        <v>167</v>
      </c>
      <c r="C4010" s="5">
        <v>6</v>
      </c>
      <c r="D4010" s="379">
        <v>66.260555555555541</v>
      </c>
      <c r="E4010" s="25">
        <v>25.74</v>
      </c>
      <c r="F4010" s="379">
        <v>9.5061168893172443</v>
      </c>
      <c r="G4010" s="25">
        <v>47.85</v>
      </c>
      <c r="H4010" s="379">
        <v>10.137459689962915</v>
      </c>
      <c r="I4010" s="25">
        <v>62.27</v>
      </c>
      <c r="J4010" s="379">
        <v>7.3558569465252086</v>
      </c>
    </row>
    <row r="4011" spans="1:10" x14ac:dyDescent="0.35">
      <c r="A4011" s="5">
        <v>4007</v>
      </c>
      <c r="B4011" s="5">
        <v>167</v>
      </c>
      <c r="C4011" s="5">
        <v>6</v>
      </c>
      <c r="D4011" s="379">
        <v>65.712222222222223</v>
      </c>
      <c r="E4011" s="25">
        <v>25.59</v>
      </c>
      <c r="F4011" s="379">
        <v>9.5061168893172443</v>
      </c>
      <c r="G4011" s="25">
        <v>47.85</v>
      </c>
      <c r="H4011" s="379">
        <v>9.401561226199604</v>
      </c>
      <c r="I4011" s="25">
        <v>56.56</v>
      </c>
      <c r="J4011" s="379">
        <v>7.3265036708753914</v>
      </c>
    </row>
    <row r="4012" spans="1:10" x14ac:dyDescent="0.35">
      <c r="A4012" s="5">
        <v>4008</v>
      </c>
      <c r="B4012" s="5">
        <v>167</v>
      </c>
      <c r="C4012" s="5">
        <v>6</v>
      </c>
      <c r="D4012" s="379">
        <v>72.542222222222222</v>
      </c>
      <c r="E4012" s="25">
        <v>24.99</v>
      </c>
      <c r="F4012" s="379">
        <v>8.6210208739077299</v>
      </c>
      <c r="G4012" s="25">
        <v>47.46</v>
      </c>
      <c r="H4012" s="379">
        <v>10.287372980504482</v>
      </c>
      <c r="I4012" s="25">
        <v>53.71</v>
      </c>
      <c r="J4012" s="379">
        <v>7.3011017088925101</v>
      </c>
    </row>
    <row r="4013" spans="1:10" x14ac:dyDescent="0.35">
      <c r="A4013" s="5">
        <v>4009</v>
      </c>
      <c r="B4013" s="5">
        <v>168</v>
      </c>
      <c r="C4013" s="5">
        <v>6</v>
      </c>
      <c r="D4013" s="379">
        <v>68.75611111111111</v>
      </c>
      <c r="E4013" s="25">
        <v>24.84</v>
      </c>
      <c r="F4013" s="379">
        <v>8.7260433072049768</v>
      </c>
      <c r="G4013" s="25">
        <v>43.56</v>
      </c>
      <c r="H4013" s="379">
        <v>10.036239203389144</v>
      </c>
      <c r="I4013" s="25">
        <v>51.84</v>
      </c>
      <c r="J4013" s="379">
        <v>7.3040365245537666</v>
      </c>
    </row>
    <row r="4014" spans="1:10" x14ac:dyDescent="0.35">
      <c r="A4014" s="5">
        <v>4010</v>
      </c>
      <c r="B4014" s="5">
        <v>168</v>
      </c>
      <c r="C4014" s="5">
        <v>6</v>
      </c>
      <c r="D4014" s="379">
        <v>64.882222222222225</v>
      </c>
      <c r="E4014" s="25">
        <v>24.84</v>
      </c>
      <c r="F4014" s="379">
        <v>7.5237897488048224</v>
      </c>
      <c r="G4014" s="25">
        <v>43.56</v>
      </c>
      <c r="H4014" s="379">
        <v>9.8226395603008534</v>
      </c>
      <c r="I4014" s="25">
        <v>48.86</v>
      </c>
      <c r="J4014" s="379">
        <v>7.1195462546059476</v>
      </c>
    </row>
    <row r="4015" spans="1:10" x14ac:dyDescent="0.35">
      <c r="A4015" s="5">
        <v>4011</v>
      </c>
      <c r="B4015" s="5">
        <v>168</v>
      </c>
      <c r="C4015" s="5">
        <v>6</v>
      </c>
      <c r="D4015" s="379">
        <v>59.658888888888896</v>
      </c>
      <c r="E4015" s="25">
        <v>24.84</v>
      </c>
      <c r="F4015" s="379">
        <v>7.3154846998667171</v>
      </c>
      <c r="G4015" s="25">
        <v>43.56</v>
      </c>
      <c r="H4015" s="379">
        <v>9.9693074059178546</v>
      </c>
      <c r="I4015" s="25">
        <v>49.53</v>
      </c>
      <c r="J4015" s="379">
        <v>6.6768202027083534</v>
      </c>
    </row>
    <row r="4016" spans="1:10" x14ac:dyDescent="0.35">
      <c r="A4016" s="5">
        <v>4012</v>
      </c>
      <c r="B4016" s="5">
        <v>168</v>
      </c>
      <c r="C4016" s="5">
        <v>6</v>
      </c>
      <c r="D4016" s="379">
        <v>58.851111111111102</v>
      </c>
      <c r="E4016" s="25">
        <v>24.84</v>
      </c>
      <c r="F4016" s="379">
        <v>6.8393132056013082</v>
      </c>
      <c r="G4016" s="25">
        <v>43.56</v>
      </c>
      <c r="H4016" s="379">
        <v>10.257612214074125</v>
      </c>
      <c r="I4016" s="25">
        <v>49.53</v>
      </c>
      <c r="J4016" s="379">
        <v>5.8964543915109973</v>
      </c>
    </row>
    <row r="4017" spans="1:10" x14ac:dyDescent="0.35">
      <c r="A4017" s="5">
        <v>4013</v>
      </c>
      <c r="B4017" s="5">
        <v>168</v>
      </c>
      <c r="C4017" s="5">
        <v>6</v>
      </c>
      <c r="D4017" s="379">
        <v>61.558333333333344</v>
      </c>
      <c r="E4017" s="25">
        <v>24.84</v>
      </c>
      <c r="F4017" s="379">
        <v>6.4480545682855022</v>
      </c>
      <c r="G4017" s="25">
        <v>43.56</v>
      </c>
      <c r="H4017" s="379">
        <v>7.4121024588348829</v>
      </c>
      <c r="I4017" s="25">
        <v>48.86</v>
      </c>
      <c r="J4017" s="379">
        <v>4.4086582000579648</v>
      </c>
    </row>
    <row r="4018" spans="1:10" x14ac:dyDescent="0.35">
      <c r="A4018" s="5">
        <v>4014</v>
      </c>
      <c r="B4018" s="5">
        <v>168</v>
      </c>
      <c r="C4018" s="5">
        <v>6</v>
      </c>
      <c r="D4018" s="379">
        <v>70.408888888888882</v>
      </c>
      <c r="E4018" s="25">
        <v>25.47</v>
      </c>
      <c r="F4018" s="379">
        <v>6.247761981165322</v>
      </c>
      <c r="G4018" s="25">
        <v>47.85</v>
      </c>
      <c r="H4018" s="379">
        <v>7.0344075231578813</v>
      </c>
      <c r="I4018" s="25">
        <v>53.71</v>
      </c>
      <c r="J4018" s="379">
        <v>0.27777777777777779</v>
      </c>
    </row>
    <row r="4019" spans="1:10" x14ac:dyDescent="0.35">
      <c r="A4019" s="5">
        <v>4015</v>
      </c>
      <c r="B4019" s="5">
        <v>168</v>
      </c>
      <c r="C4019" s="5">
        <v>6</v>
      </c>
      <c r="D4019" s="379">
        <v>78.266111111111101</v>
      </c>
      <c r="E4019" s="25">
        <v>25.74</v>
      </c>
      <c r="F4019" s="379">
        <v>5.3394796724698352</v>
      </c>
      <c r="G4019" s="25">
        <v>47.85</v>
      </c>
      <c r="H4019" s="379">
        <v>4.3614061618562889</v>
      </c>
      <c r="I4019" s="25">
        <v>53.71</v>
      </c>
      <c r="J4019" s="379">
        <v>5.777863348981195</v>
      </c>
    </row>
    <row r="4020" spans="1:10" x14ac:dyDescent="0.35">
      <c r="A4020" s="5">
        <v>4016</v>
      </c>
      <c r="B4020" s="5">
        <v>168</v>
      </c>
      <c r="C4020" s="5">
        <v>6</v>
      </c>
      <c r="D4020" s="379">
        <v>80.282222222222217</v>
      </c>
      <c r="E4020" s="25">
        <v>25.59</v>
      </c>
      <c r="F4020" s="379">
        <v>0.47222222222222221</v>
      </c>
      <c r="G4020" s="25">
        <v>47.85</v>
      </c>
      <c r="H4020" s="379">
        <v>3.568284088688559</v>
      </c>
      <c r="I4020" s="25">
        <v>53.27</v>
      </c>
      <c r="J4020" s="379">
        <v>3.9615912358285925</v>
      </c>
    </row>
    <row r="4021" spans="1:10" x14ac:dyDescent="0.35">
      <c r="A4021" s="5">
        <v>4017</v>
      </c>
      <c r="B4021" s="5">
        <v>168</v>
      </c>
      <c r="C4021" s="5">
        <v>6</v>
      </c>
      <c r="D4021" s="379">
        <v>74.662777777777777</v>
      </c>
      <c r="E4021" s="25">
        <v>24.84</v>
      </c>
      <c r="F4021" s="379">
        <v>3.5607506104792943</v>
      </c>
      <c r="G4021" s="25">
        <v>46.98</v>
      </c>
      <c r="H4021" s="379">
        <v>0.28511088517650629</v>
      </c>
      <c r="I4021" s="25">
        <v>50.26</v>
      </c>
      <c r="J4021" s="379">
        <v>2.777777777777778E-2</v>
      </c>
    </row>
    <row r="4022" spans="1:10" x14ac:dyDescent="0.35">
      <c r="A4022" s="5">
        <v>4018</v>
      </c>
      <c r="B4022" s="5">
        <v>168</v>
      </c>
      <c r="C4022" s="5">
        <v>6</v>
      </c>
      <c r="D4022" s="379">
        <v>67.574444444444438</v>
      </c>
      <c r="E4022" s="25">
        <v>24.84</v>
      </c>
      <c r="F4022" s="379">
        <v>3.2727733956087586</v>
      </c>
      <c r="G4022" s="25">
        <v>43.56</v>
      </c>
      <c r="H4022" s="379">
        <v>2.777777777777778E-2</v>
      </c>
      <c r="I4022" s="25">
        <v>41.53</v>
      </c>
      <c r="J4022" s="379">
        <v>2.777777777777778E-2</v>
      </c>
    </row>
    <row r="4023" spans="1:10" x14ac:dyDescent="0.35">
      <c r="A4023" s="5">
        <v>4019</v>
      </c>
      <c r="B4023" s="5">
        <v>168</v>
      </c>
      <c r="C4023" s="5">
        <v>6</v>
      </c>
      <c r="D4023" s="379">
        <v>59.207222222222228</v>
      </c>
      <c r="E4023" s="25">
        <v>24.84</v>
      </c>
      <c r="F4023" s="379">
        <v>1.3816472724718665</v>
      </c>
      <c r="G4023" s="25">
        <v>42.29</v>
      </c>
      <c r="H4023" s="379">
        <v>2.777777777777778E-2</v>
      </c>
      <c r="I4023" s="25">
        <v>38.36</v>
      </c>
      <c r="J4023" s="379">
        <v>2.777777777777778E-2</v>
      </c>
    </row>
    <row r="4024" spans="1:10" x14ac:dyDescent="0.35">
      <c r="A4024" s="5">
        <v>4020</v>
      </c>
      <c r="B4024" s="5">
        <v>168</v>
      </c>
      <c r="C4024" s="5">
        <v>6</v>
      </c>
      <c r="D4024" s="379">
        <v>55.261111111111106</v>
      </c>
      <c r="E4024" s="25">
        <v>24.84</v>
      </c>
      <c r="F4024" s="379">
        <v>1.2648387354391974</v>
      </c>
      <c r="G4024" s="25">
        <v>42.29</v>
      </c>
      <c r="H4024" s="379">
        <v>2.777777777777778E-2</v>
      </c>
      <c r="I4024" s="25">
        <v>37.979999999999997</v>
      </c>
      <c r="J4024" s="379">
        <v>2.777777777777778E-2</v>
      </c>
    </row>
    <row r="4025" spans="1:10" x14ac:dyDescent="0.35">
      <c r="A4025" s="5">
        <v>4021</v>
      </c>
      <c r="B4025" s="5">
        <v>168</v>
      </c>
      <c r="C4025" s="5">
        <v>6</v>
      </c>
      <c r="D4025" s="379">
        <v>54.62555555555555</v>
      </c>
      <c r="E4025" s="25">
        <v>24.84</v>
      </c>
      <c r="F4025" s="379">
        <v>1.2648387354391974</v>
      </c>
      <c r="G4025" s="25">
        <v>41.86</v>
      </c>
      <c r="H4025" s="379">
        <v>2.777777777777778E-2</v>
      </c>
      <c r="I4025" s="25">
        <v>37.979999999999997</v>
      </c>
      <c r="J4025" s="379">
        <v>2.777777777777778E-2</v>
      </c>
    </row>
    <row r="4026" spans="1:10" x14ac:dyDescent="0.35">
      <c r="A4026" s="5">
        <v>4022</v>
      </c>
      <c r="B4026" s="5">
        <v>168</v>
      </c>
      <c r="C4026" s="5">
        <v>6</v>
      </c>
      <c r="D4026" s="379">
        <v>52.257222222222225</v>
      </c>
      <c r="E4026" s="25">
        <v>24.84</v>
      </c>
      <c r="F4026" s="379">
        <v>1.2648387354391974</v>
      </c>
      <c r="G4026" s="25">
        <v>39.93</v>
      </c>
      <c r="H4026" s="379">
        <v>2.777777777777778E-2</v>
      </c>
      <c r="I4026" s="25">
        <v>34.68</v>
      </c>
      <c r="J4026" s="379">
        <v>2.777777777777778E-2</v>
      </c>
    </row>
    <row r="4027" spans="1:10" x14ac:dyDescent="0.35">
      <c r="A4027" s="5">
        <v>4023</v>
      </c>
      <c r="B4027" s="5">
        <v>168</v>
      </c>
      <c r="C4027" s="5">
        <v>6</v>
      </c>
      <c r="D4027" s="379">
        <v>53.065555555555555</v>
      </c>
      <c r="E4027" s="25">
        <v>24.26</v>
      </c>
      <c r="F4027" s="379">
        <v>1.2648387354391974</v>
      </c>
      <c r="G4027" s="25">
        <v>39.93</v>
      </c>
      <c r="H4027" s="379">
        <v>2.777777777777778E-2</v>
      </c>
      <c r="I4027" s="25">
        <v>34.68</v>
      </c>
      <c r="J4027" s="379">
        <v>2.777777777777778E-2</v>
      </c>
    </row>
    <row r="4028" spans="1:10" x14ac:dyDescent="0.35">
      <c r="A4028" s="5">
        <v>4024</v>
      </c>
      <c r="B4028" s="5">
        <v>168</v>
      </c>
      <c r="C4028" s="5">
        <v>6</v>
      </c>
      <c r="D4028" s="379">
        <v>57.132777777777768</v>
      </c>
      <c r="E4028" s="25">
        <v>24.56</v>
      </c>
      <c r="F4028" s="379">
        <v>1.2648387354391974</v>
      </c>
      <c r="G4028" s="25">
        <v>39.93</v>
      </c>
      <c r="H4028" s="379">
        <v>2.777777777777778E-2</v>
      </c>
      <c r="I4028" s="25">
        <v>35.03</v>
      </c>
      <c r="J4028" s="379">
        <v>2.777777777777778E-2</v>
      </c>
    </row>
    <row r="4029" spans="1:10" x14ac:dyDescent="0.35">
      <c r="A4029" s="5">
        <v>4025</v>
      </c>
      <c r="B4029" s="5">
        <v>168</v>
      </c>
      <c r="C4029" s="5">
        <v>6</v>
      </c>
      <c r="D4029" s="379">
        <v>65.837222222222209</v>
      </c>
      <c r="E4029" s="25">
        <v>24.84</v>
      </c>
      <c r="F4029" s="379">
        <v>1.3816472724718665</v>
      </c>
      <c r="G4029" s="25">
        <v>39.93</v>
      </c>
      <c r="H4029" s="379">
        <v>6.0870436498465595E-2</v>
      </c>
      <c r="I4029" s="25">
        <v>36.869999999999997</v>
      </c>
      <c r="J4029" s="379">
        <v>2.777777777777778E-2</v>
      </c>
    </row>
    <row r="4030" spans="1:10" x14ac:dyDescent="0.35">
      <c r="A4030" s="5">
        <v>4026</v>
      </c>
      <c r="B4030" s="5">
        <v>168</v>
      </c>
      <c r="C4030" s="5">
        <v>6</v>
      </c>
      <c r="D4030" s="379">
        <v>71.567222222222213</v>
      </c>
      <c r="E4030" s="25">
        <v>24.84</v>
      </c>
      <c r="F4030" s="379">
        <v>0.22922904538500136</v>
      </c>
      <c r="G4030" s="25">
        <v>41.86</v>
      </c>
      <c r="H4030" s="379">
        <v>0.41810464765170813</v>
      </c>
      <c r="I4030" s="25">
        <v>37.979999999999997</v>
      </c>
      <c r="J4030" s="379">
        <v>2.777777777777778E-2</v>
      </c>
    </row>
    <row r="4031" spans="1:10" x14ac:dyDescent="0.35">
      <c r="A4031" s="5">
        <v>4027</v>
      </c>
      <c r="B4031" s="5">
        <v>168</v>
      </c>
      <c r="C4031" s="5">
        <v>6</v>
      </c>
      <c r="D4031" s="379">
        <v>74.030000000000015</v>
      </c>
      <c r="E4031" s="25">
        <v>24.84</v>
      </c>
      <c r="F4031" s="379">
        <v>5.1484439907185013</v>
      </c>
      <c r="G4031" s="25">
        <v>41.86</v>
      </c>
      <c r="H4031" s="379">
        <v>3.7938218702104902</v>
      </c>
      <c r="I4031" s="25">
        <v>38.36</v>
      </c>
      <c r="J4031" s="379">
        <v>1.9806816871893957</v>
      </c>
    </row>
    <row r="4032" spans="1:10" x14ac:dyDescent="0.35">
      <c r="A4032" s="5">
        <v>4028</v>
      </c>
      <c r="B4032" s="5">
        <v>168</v>
      </c>
      <c r="C4032" s="5">
        <v>6</v>
      </c>
      <c r="D4032" s="379">
        <v>77.886111111111106</v>
      </c>
      <c r="E4032" s="25">
        <v>24.84</v>
      </c>
      <c r="F4032" s="379">
        <v>5.2440379871726108</v>
      </c>
      <c r="G4032" s="25">
        <v>42.29</v>
      </c>
      <c r="H4032" s="379">
        <v>3.5909392389258405</v>
      </c>
      <c r="I4032" s="25">
        <v>48.86</v>
      </c>
      <c r="J4032" s="379">
        <v>2.8865388016706688</v>
      </c>
    </row>
    <row r="4033" spans="1:10" x14ac:dyDescent="0.35">
      <c r="A4033" s="5">
        <v>4029</v>
      </c>
      <c r="B4033" s="5">
        <v>168</v>
      </c>
      <c r="C4033" s="5">
        <v>6</v>
      </c>
      <c r="D4033" s="379">
        <v>70.417222222222222</v>
      </c>
      <c r="E4033" s="25">
        <v>24.84</v>
      </c>
      <c r="F4033" s="379">
        <v>5.2293291956903891</v>
      </c>
      <c r="G4033" s="25">
        <v>43.56</v>
      </c>
      <c r="H4033" s="379">
        <v>3.0851169251864854</v>
      </c>
      <c r="I4033" s="25">
        <v>48.86</v>
      </c>
      <c r="J4033" s="379">
        <v>2.3107256726070267</v>
      </c>
    </row>
    <row r="4034" spans="1:10" x14ac:dyDescent="0.35">
      <c r="A4034" s="5">
        <v>4030</v>
      </c>
      <c r="B4034" s="5">
        <v>168</v>
      </c>
      <c r="C4034" s="5">
        <v>6</v>
      </c>
      <c r="D4034" s="379">
        <v>63.701666666666654</v>
      </c>
      <c r="E4034" s="25">
        <v>24.84</v>
      </c>
      <c r="F4034" s="379">
        <v>5.4277764167672675</v>
      </c>
      <c r="G4034" s="25">
        <v>43.56</v>
      </c>
      <c r="H4034" s="379">
        <v>3.4607395150371145</v>
      </c>
      <c r="I4034" s="25">
        <v>48.86</v>
      </c>
      <c r="J4034" s="379">
        <v>2.0156446826837144</v>
      </c>
    </row>
    <row r="4035" spans="1:10" x14ac:dyDescent="0.35">
      <c r="A4035" s="5">
        <v>4031</v>
      </c>
      <c r="B4035" s="5">
        <v>168</v>
      </c>
      <c r="C4035" s="5">
        <v>6</v>
      </c>
      <c r="D4035" s="379">
        <v>60.62833333333333</v>
      </c>
      <c r="E4035" s="25">
        <v>24.84</v>
      </c>
      <c r="F4035" s="379">
        <v>5.5305694360799187</v>
      </c>
      <c r="G4035" s="25">
        <v>42.29</v>
      </c>
      <c r="H4035" s="379">
        <v>3.417025488394374</v>
      </c>
      <c r="I4035" s="25">
        <v>48.86</v>
      </c>
      <c r="J4035" s="379">
        <v>2.5292382272913367</v>
      </c>
    </row>
    <row r="4036" spans="1:10" x14ac:dyDescent="0.35">
      <c r="A4036" s="5">
        <v>4032</v>
      </c>
      <c r="B4036" s="5">
        <v>168</v>
      </c>
      <c r="C4036" s="5">
        <v>6</v>
      </c>
      <c r="D4036" s="379">
        <v>58.728888888888882</v>
      </c>
      <c r="E4036" s="25">
        <v>24.84</v>
      </c>
      <c r="F4036" s="379">
        <v>5.2475417315593216</v>
      </c>
      <c r="G4036" s="25">
        <v>42.29</v>
      </c>
      <c r="H4036" s="379">
        <v>3.5619060206661439</v>
      </c>
      <c r="I4036" s="25">
        <v>48.86</v>
      </c>
      <c r="J4036" s="379">
        <v>2.8980107218216014</v>
      </c>
    </row>
    <row r="4037" spans="1:10" x14ac:dyDescent="0.35">
      <c r="A4037" s="5">
        <v>4033</v>
      </c>
      <c r="B4037" s="5">
        <v>169</v>
      </c>
      <c r="C4037" s="5">
        <v>6</v>
      </c>
      <c r="D4037" s="379">
        <v>56.828888888888891</v>
      </c>
      <c r="E4037" s="25">
        <v>24.84</v>
      </c>
      <c r="F4037" s="379">
        <v>5.0866321964054046</v>
      </c>
      <c r="G4037" s="25">
        <v>39.93</v>
      </c>
      <c r="H4037" s="379">
        <v>3.6962483491458458</v>
      </c>
      <c r="I4037" s="25">
        <v>42.68</v>
      </c>
      <c r="J4037" s="379">
        <v>1.880052333114635</v>
      </c>
    </row>
    <row r="4038" spans="1:10" x14ac:dyDescent="0.35">
      <c r="A4038" s="5">
        <v>4034</v>
      </c>
      <c r="B4038" s="5">
        <v>169</v>
      </c>
      <c r="C4038" s="5">
        <v>6</v>
      </c>
      <c r="D4038" s="379">
        <v>55.140555555555551</v>
      </c>
      <c r="E4038" s="25">
        <v>24.84</v>
      </c>
      <c r="F4038" s="379">
        <v>5.0732170893628128</v>
      </c>
      <c r="G4038" s="25">
        <v>39.93</v>
      </c>
      <c r="H4038" s="379">
        <v>3.8720812396599742</v>
      </c>
      <c r="I4038" s="25">
        <v>41.53</v>
      </c>
      <c r="J4038" s="379">
        <v>5.4110587388333915</v>
      </c>
    </row>
    <row r="4039" spans="1:10" x14ac:dyDescent="0.35">
      <c r="A4039" s="5">
        <v>4035</v>
      </c>
      <c r="B4039" s="5">
        <v>169</v>
      </c>
      <c r="C4039" s="5">
        <v>6</v>
      </c>
      <c r="D4039" s="379">
        <v>53.459444444444443</v>
      </c>
      <c r="E4039" s="25">
        <v>24.84</v>
      </c>
      <c r="F4039" s="379">
        <v>4.8087597216071964</v>
      </c>
      <c r="G4039" s="25">
        <v>39.93</v>
      </c>
      <c r="H4039" s="379">
        <v>3.5509605336174617</v>
      </c>
      <c r="I4039" s="25">
        <v>41.53</v>
      </c>
      <c r="J4039" s="379">
        <v>3.1240645139038508</v>
      </c>
    </row>
    <row r="4040" spans="1:10" x14ac:dyDescent="0.35">
      <c r="A4040" s="5">
        <v>4036</v>
      </c>
      <c r="B4040" s="5">
        <v>169</v>
      </c>
      <c r="C4040" s="5">
        <v>6</v>
      </c>
      <c r="D4040" s="379">
        <v>52.774999999999999</v>
      </c>
      <c r="E4040" s="25">
        <v>24.84</v>
      </c>
      <c r="F4040" s="379">
        <v>5.2440379871726108</v>
      </c>
      <c r="G4040" s="25">
        <v>39.93</v>
      </c>
      <c r="H4040" s="379">
        <v>3.6010631195703944</v>
      </c>
      <c r="I4040" s="25">
        <v>41.53</v>
      </c>
      <c r="J4040" s="379">
        <v>3.4237604575889087</v>
      </c>
    </row>
    <row r="4041" spans="1:10" x14ac:dyDescent="0.35">
      <c r="A4041" s="5">
        <v>4037</v>
      </c>
      <c r="B4041" s="5">
        <v>169</v>
      </c>
      <c r="C4041" s="5">
        <v>6</v>
      </c>
      <c r="D4041" s="379">
        <v>52.600555555555559</v>
      </c>
      <c r="E4041" s="25">
        <v>24.84</v>
      </c>
      <c r="F4041" s="379">
        <v>5.174841986890101</v>
      </c>
      <c r="G4041" s="25">
        <v>41.05</v>
      </c>
      <c r="H4041" s="379">
        <v>3.3813335077135833</v>
      </c>
      <c r="I4041" s="25">
        <v>41.95</v>
      </c>
      <c r="J4041" s="379">
        <v>1.6575241998922245</v>
      </c>
    </row>
    <row r="4042" spans="1:10" x14ac:dyDescent="0.35">
      <c r="A4042" s="5">
        <v>4038</v>
      </c>
      <c r="B4042" s="5">
        <v>169</v>
      </c>
      <c r="C4042" s="5">
        <v>6</v>
      </c>
      <c r="D4042" s="379">
        <v>54.178333333333327</v>
      </c>
      <c r="E4042" s="25">
        <v>24.84</v>
      </c>
      <c r="F4042" s="379">
        <v>4.853191391613823</v>
      </c>
      <c r="G4042" s="25">
        <v>42.29</v>
      </c>
      <c r="H4042" s="379">
        <v>3.6166257545354785</v>
      </c>
      <c r="I4042" s="25">
        <v>48.09</v>
      </c>
      <c r="J4042" s="379">
        <v>2.4914284407698566</v>
      </c>
    </row>
    <row r="4043" spans="1:10" x14ac:dyDescent="0.35">
      <c r="A4043" s="5">
        <v>4039</v>
      </c>
      <c r="B4043" s="5">
        <v>169</v>
      </c>
      <c r="C4043" s="5">
        <v>6</v>
      </c>
      <c r="D4043" s="379">
        <v>54.289444444444442</v>
      </c>
      <c r="E4043" s="25">
        <v>24.84</v>
      </c>
      <c r="F4043" s="379">
        <v>4.4283830344185322</v>
      </c>
      <c r="G4043" s="25">
        <v>46.98</v>
      </c>
      <c r="H4043" s="379">
        <v>3.1546769847455614</v>
      </c>
      <c r="I4043" s="25">
        <v>51.02</v>
      </c>
      <c r="J4043" s="379">
        <v>1.5964657491857455</v>
      </c>
    </row>
    <row r="4044" spans="1:10" x14ac:dyDescent="0.35">
      <c r="A4044" s="5">
        <v>4040</v>
      </c>
      <c r="B4044" s="5">
        <v>169</v>
      </c>
      <c r="C4044" s="5">
        <v>6</v>
      </c>
      <c r="D4044" s="379">
        <v>54.37</v>
      </c>
      <c r="E4044" s="25">
        <v>25.59</v>
      </c>
      <c r="F4044" s="379">
        <v>3.054544482890408</v>
      </c>
      <c r="G4044" s="25">
        <v>46.98</v>
      </c>
      <c r="H4044" s="379">
        <v>0.47222222222222221</v>
      </c>
      <c r="I4044" s="25">
        <v>52.24</v>
      </c>
      <c r="J4044" s="379">
        <v>0.27777777777777779</v>
      </c>
    </row>
    <row r="4045" spans="1:10" x14ac:dyDescent="0.35">
      <c r="A4045" s="5">
        <v>4041</v>
      </c>
      <c r="B4045" s="5">
        <v>169</v>
      </c>
      <c r="C4045" s="5">
        <v>6</v>
      </c>
      <c r="D4045" s="379">
        <v>53.416111111111107</v>
      </c>
      <c r="E4045" s="25">
        <v>25.59</v>
      </c>
      <c r="F4045" s="379">
        <v>0.65808670058311347</v>
      </c>
      <c r="G4045" s="25">
        <v>46.98</v>
      </c>
      <c r="H4045" s="379">
        <v>0.47222222222222221</v>
      </c>
      <c r="I4045" s="25">
        <v>50.19</v>
      </c>
      <c r="J4045" s="379">
        <v>2.7949611398442147</v>
      </c>
    </row>
    <row r="4046" spans="1:10" x14ac:dyDescent="0.35">
      <c r="A4046" s="5">
        <v>4042</v>
      </c>
      <c r="B4046" s="5">
        <v>169</v>
      </c>
      <c r="C4046" s="5">
        <v>6</v>
      </c>
      <c r="D4046" s="379">
        <v>48.336666666666666</v>
      </c>
      <c r="E4046" s="25">
        <v>25.59</v>
      </c>
      <c r="F4046" s="379">
        <v>5.8303470552628429</v>
      </c>
      <c r="G4046" s="25">
        <v>46.98</v>
      </c>
      <c r="H4046" s="379">
        <v>2.667845959805812</v>
      </c>
      <c r="I4046" s="25">
        <v>48.86</v>
      </c>
      <c r="J4046" s="379">
        <v>2.777777777777778E-2</v>
      </c>
    </row>
    <row r="4047" spans="1:10" x14ac:dyDescent="0.35">
      <c r="A4047" s="5">
        <v>4043</v>
      </c>
      <c r="B4047" s="5">
        <v>169</v>
      </c>
      <c r="C4047" s="5">
        <v>6</v>
      </c>
      <c r="D4047" s="379">
        <v>44.843333333333334</v>
      </c>
      <c r="E4047" s="25">
        <v>24.84</v>
      </c>
      <c r="F4047" s="379">
        <v>3.970616036171422</v>
      </c>
      <c r="G4047" s="25">
        <v>46.98</v>
      </c>
      <c r="H4047" s="379">
        <v>1.9737831874945333</v>
      </c>
      <c r="I4047" s="25">
        <v>48.86</v>
      </c>
      <c r="J4047" s="379">
        <v>2.777777777777778E-2</v>
      </c>
    </row>
    <row r="4048" spans="1:10" x14ac:dyDescent="0.35">
      <c r="A4048" s="5">
        <v>4044</v>
      </c>
      <c r="B4048" s="5">
        <v>169</v>
      </c>
      <c r="C4048" s="5">
        <v>6</v>
      </c>
      <c r="D4048" s="379">
        <v>39.722777777777779</v>
      </c>
      <c r="E4048" s="25">
        <v>24.84</v>
      </c>
      <c r="F4048" s="379">
        <v>3.3853714873267298</v>
      </c>
      <c r="G4048" s="25">
        <v>44.82</v>
      </c>
      <c r="H4048" s="379">
        <v>1.9225479802829377</v>
      </c>
      <c r="I4048" s="25">
        <v>41.53</v>
      </c>
      <c r="J4048" s="379">
        <v>2.777777777777778E-2</v>
      </c>
    </row>
    <row r="4049" spans="1:10" x14ac:dyDescent="0.35">
      <c r="A4049" s="5">
        <v>4045</v>
      </c>
      <c r="B4049" s="5">
        <v>169</v>
      </c>
      <c r="C4049" s="5">
        <v>6</v>
      </c>
      <c r="D4049" s="379">
        <v>32.631111111111103</v>
      </c>
      <c r="E4049" s="25">
        <v>24.84</v>
      </c>
      <c r="F4049" s="379">
        <v>3.3853714873267298</v>
      </c>
      <c r="G4049" s="25">
        <v>42.29</v>
      </c>
      <c r="H4049" s="379">
        <v>0.3012269021302022</v>
      </c>
      <c r="I4049" s="25">
        <v>41.53</v>
      </c>
      <c r="J4049" s="379">
        <v>2.777777777777778E-2</v>
      </c>
    </row>
    <row r="4050" spans="1:10" x14ac:dyDescent="0.35">
      <c r="A4050" s="5">
        <v>4046</v>
      </c>
      <c r="B4050" s="5">
        <v>169</v>
      </c>
      <c r="C4050" s="5">
        <v>6</v>
      </c>
      <c r="D4050" s="379">
        <v>32.783888888888889</v>
      </c>
      <c r="E4050" s="25">
        <v>24.84</v>
      </c>
      <c r="F4050" s="379">
        <v>3.3596760012160329</v>
      </c>
      <c r="G4050" s="25">
        <v>42.29</v>
      </c>
      <c r="H4050" s="379">
        <v>0.3012269021302022</v>
      </c>
      <c r="I4050" s="25">
        <v>41.53</v>
      </c>
      <c r="J4050" s="379">
        <v>2.777777777777778E-2</v>
      </c>
    </row>
    <row r="4051" spans="1:10" x14ac:dyDescent="0.35">
      <c r="A4051" s="5">
        <v>4047</v>
      </c>
      <c r="B4051" s="5">
        <v>169</v>
      </c>
      <c r="C4051" s="5">
        <v>6</v>
      </c>
      <c r="D4051" s="379">
        <v>38.086666666666673</v>
      </c>
      <c r="E4051" s="25">
        <v>24.84</v>
      </c>
      <c r="F4051" s="379">
        <v>3.3596760012160329</v>
      </c>
      <c r="G4051" s="25">
        <v>42.29</v>
      </c>
      <c r="H4051" s="379">
        <v>1.9225479802829377</v>
      </c>
      <c r="I4051" s="25">
        <v>41.53</v>
      </c>
      <c r="J4051" s="379">
        <v>2.777777777777778E-2</v>
      </c>
    </row>
    <row r="4052" spans="1:10" x14ac:dyDescent="0.35">
      <c r="A4052" s="5">
        <v>4048</v>
      </c>
      <c r="B4052" s="5">
        <v>169</v>
      </c>
      <c r="C4052" s="5">
        <v>6</v>
      </c>
      <c r="D4052" s="379">
        <v>46.197222222222223</v>
      </c>
      <c r="E4052" s="25">
        <v>24.84</v>
      </c>
      <c r="F4052" s="379">
        <v>3.3596760012160329</v>
      </c>
      <c r="G4052" s="25">
        <v>42.29</v>
      </c>
      <c r="H4052" s="379">
        <v>0.30122690213020226</v>
      </c>
      <c r="I4052" s="25">
        <v>41.53</v>
      </c>
      <c r="J4052" s="379">
        <v>4.4792779035866544E-2</v>
      </c>
    </row>
    <row r="4053" spans="1:10" x14ac:dyDescent="0.35">
      <c r="A4053" s="5">
        <v>4049</v>
      </c>
      <c r="B4053" s="5">
        <v>169</v>
      </c>
      <c r="C4053" s="5">
        <v>6</v>
      </c>
      <c r="D4053" s="379">
        <v>50.431666666666665</v>
      </c>
      <c r="E4053" s="25">
        <v>24.84</v>
      </c>
      <c r="F4053" s="379">
        <v>0.47222222222222221</v>
      </c>
      <c r="G4053" s="25">
        <v>42.29</v>
      </c>
      <c r="H4053" s="379">
        <v>0.3012269021302022</v>
      </c>
      <c r="I4053" s="25">
        <v>41.53</v>
      </c>
      <c r="J4053" s="379">
        <v>9.2146709071760008E-2</v>
      </c>
    </row>
    <row r="4054" spans="1:10" x14ac:dyDescent="0.35">
      <c r="A4054" s="5">
        <v>4050</v>
      </c>
      <c r="B4054" s="5">
        <v>169</v>
      </c>
      <c r="C4054" s="5">
        <v>6</v>
      </c>
      <c r="D4054" s="379">
        <v>59.225555555555552</v>
      </c>
      <c r="E4054" s="25">
        <v>24.84</v>
      </c>
      <c r="F4054" s="379">
        <v>5.5660356402541051</v>
      </c>
      <c r="G4054" s="25">
        <v>42.29</v>
      </c>
      <c r="H4054" s="379">
        <v>0.3012269021302022</v>
      </c>
      <c r="I4054" s="25">
        <v>41.95</v>
      </c>
      <c r="J4054" s="379">
        <v>9.2146709071760008E-2</v>
      </c>
    </row>
    <row r="4055" spans="1:10" x14ac:dyDescent="0.35">
      <c r="A4055" s="5">
        <v>4051</v>
      </c>
      <c r="B4055" s="5">
        <v>169</v>
      </c>
      <c r="C4055" s="5">
        <v>6</v>
      </c>
      <c r="D4055" s="379">
        <v>67.087222222222209</v>
      </c>
      <c r="E4055" s="25">
        <v>24.84</v>
      </c>
      <c r="F4055" s="379">
        <v>8.1174834595959595</v>
      </c>
      <c r="G4055" s="25">
        <v>43.56</v>
      </c>
      <c r="H4055" s="379">
        <v>4.8577210772252455</v>
      </c>
      <c r="I4055" s="25">
        <v>48.26</v>
      </c>
      <c r="J4055" s="379">
        <v>0.40553440171524113</v>
      </c>
    </row>
    <row r="4056" spans="1:10" x14ac:dyDescent="0.35">
      <c r="A4056" s="5">
        <v>4052</v>
      </c>
      <c r="B4056" s="5">
        <v>169</v>
      </c>
      <c r="C4056" s="5">
        <v>6</v>
      </c>
      <c r="D4056" s="379">
        <v>66.054999999999993</v>
      </c>
      <c r="E4056" s="25">
        <v>24.84</v>
      </c>
      <c r="F4056" s="379">
        <v>8.1174834595959595</v>
      </c>
      <c r="G4056" s="25">
        <v>43.56</v>
      </c>
      <c r="H4056" s="379">
        <v>7.2067968438214924</v>
      </c>
      <c r="I4056" s="25">
        <v>48.86</v>
      </c>
      <c r="J4056" s="379">
        <v>5.2530809068382558</v>
      </c>
    </row>
    <row r="4057" spans="1:10" x14ac:dyDescent="0.35">
      <c r="A4057" s="5">
        <v>4053</v>
      </c>
      <c r="B4057" s="5">
        <v>169</v>
      </c>
      <c r="C4057" s="5">
        <v>6</v>
      </c>
      <c r="D4057" s="379">
        <v>63.61999999999999</v>
      </c>
      <c r="E4057" s="25">
        <v>24.84</v>
      </c>
      <c r="F4057" s="379">
        <v>8.1174834595959613</v>
      </c>
      <c r="G4057" s="25">
        <v>44.86</v>
      </c>
      <c r="H4057" s="379">
        <v>7.0169866449073597</v>
      </c>
      <c r="I4057" s="25">
        <v>50.19</v>
      </c>
      <c r="J4057" s="379">
        <v>4.4789321876351993</v>
      </c>
    </row>
    <row r="4058" spans="1:10" x14ac:dyDescent="0.35">
      <c r="A4058" s="5">
        <v>4054</v>
      </c>
      <c r="B4058" s="5">
        <v>169</v>
      </c>
      <c r="C4058" s="5">
        <v>6</v>
      </c>
      <c r="D4058" s="379">
        <v>60.577777777777769</v>
      </c>
      <c r="E4058" s="25">
        <v>24.84</v>
      </c>
      <c r="F4058" s="379">
        <v>8.1174834595959595</v>
      </c>
      <c r="G4058" s="25">
        <v>44.86</v>
      </c>
      <c r="H4058" s="379">
        <v>7.0169866449073597</v>
      </c>
      <c r="I4058" s="25">
        <v>50.33</v>
      </c>
      <c r="J4058" s="379">
        <v>5.4292333850074783</v>
      </c>
    </row>
    <row r="4059" spans="1:10" x14ac:dyDescent="0.35">
      <c r="A4059" s="5">
        <v>4055</v>
      </c>
      <c r="B4059" s="5">
        <v>169</v>
      </c>
      <c r="C4059" s="5">
        <v>6</v>
      </c>
      <c r="D4059" s="379">
        <v>60.428888888888878</v>
      </c>
      <c r="E4059" s="25">
        <v>24.84</v>
      </c>
      <c r="F4059" s="379">
        <v>8.1174834595959595</v>
      </c>
      <c r="G4059" s="25">
        <v>43.56</v>
      </c>
      <c r="H4059" s="379">
        <v>7.0169866449073597</v>
      </c>
      <c r="I4059" s="25">
        <v>48.86</v>
      </c>
      <c r="J4059" s="379">
        <v>6.2687936003605653</v>
      </c>
    </row>
    <row r="4060" spans="1:10" x14ac:dyDescent="0.35">
      <c r="A4060" s="5">
        <v>4056</v>
      </c>
      <c r="B4060" s="5">
        <v>169</v>
      </c>
      <c r="C4060" s="5">
        <v>6</v>
      </c>
      <c r="D4060" s="379">
        <v>54.076111111111103</v>
      </c>
      <c r="E4060" s="25">
        <v>24.84</v>
      </c>
      <c r="F4060" s="379">
        <v>8.1174834595959595</v>
      </c>
      <c r="G4060" s="25">
        <v>42.36</v>
      </c>
      <c r="H4060" s="379">
        <v>7.0188369867574405</v>
      </c>
      <c r="I4060" s="25">
        <v>48.86</v>
      </c>
      <c r="J4060" s="379">
        <v>5.9670820661300636</v>
      </c>
    </row>
    <row r="4061" spans="1:10" x14ac:dyDescent="0.35">
      <c r="A4061" s="5">
        <v>4057</v>
      </c>
      <c r="B4061" s="5">
        <v>170</v>
      </c>
      <c r="C4061" s="5">
        <v>6</v>
      </c>
      <c r="D4061" s="379">
        <v>50.210555555555558</v>
      </c>
      <c r="E4061" s="25">
        <v>24.84</v>
      </c>
      <c r="F4061" s="379">
        <v>7.8607049549695107</v>
      </c>
      <c r="G4061" s="25">
        <v>37.020000000000003</v>
      </c>
      <c r="H4061" s="379">
        <v>7.0304726943130831</v>
      </c>
      <c r="I4061" s="25">
        <v>36.840000000000003</v>
      </c>
      <c r="J4061" s="379">
        <v>5.032889827021676</v>
      </c>
    </row>
    <row r="4062" spans="1:10" x14ac:dyDescent="0.35">
      <c r="A4062" s="5">
        <v>4058</v>
      </c>
      <c r="B4062" s="5">
        <v>170</v>
      </c>
      <c r="C4062" s="5">
        <v>6</v>
      </c>
      <c r="D4062" s="379">
        <v>46.35777777777777</v>
      </c>
      <c r="E4062" s="25">
        <v>24.84</v>
      </c>
      <c r="F4062" s="379">
        <v>8.1174834595959577</v>
      </c>
      <c r="G4062" s="25">
        <v>32.81</v>
      </c>
      <c r="H4062" s="379">
        <v>7.0482860129561109</v>
      </c>
      <c r="I4062" s="25">
        <v>36.47</v>
      </c>
      <c r="J4062" s="379">
        <v>5.4563395157684313</v>
      </c>
    </row>
    <row r="4063" spans="1:10" x14ac:dyDescent="0.35">
      <c r="A4063" s="5">
        <v>4059</v>
      </c>
      <c r="B4063" s="5">
        <v>170</v>
      </c>
      <c r="C4063" s="5">
        <v>6</v>
      </c>
      <c r="D4063" s="379">
        <v>41.011666666666663</v>
      </c>
      <c r="E4063" s="25">
        <v>24.84</v>
      </c>
      <c r="F4063" s="379">
        <v>7.8061663452553951</v>
      </c>
      <c r="G4063" s="25">
        <v>32.81</v>
      </c>
      <c r="H4063" s="379">
        <v>7.0524041560901924</v>
      </c>
      <c r="I4063" s="25">
        <v>35.72</v>
      </c>
      <c r="J4063" s="379">
        <v>3.622415985238987</v>
      </c>
    </row>
    <row r="4064" spans="1:10" x14ac:dyDescent="0.35">
      <c r="A4064" s="5">
        <v>4060</v>
      </c>
      <c r="B4064" s="5">
        <v>170</v>
      </c>
      <c r="C4064" s="5">
        <v>6</v>
      </c>
      <c r="D4064" s="379">
        <v>36.891666666666666</v>
      </c>
      <c r="E4064" s="25">
        <v>24.84</v>
      </c>
      <c r="F4064" s="379">
        <v>7.8187678777122835</v>
      </c>
      <c r="G4064" s="25">
        <v>32.81</v>
      </c>
      <c r="H4064" s="379">
        <v>7.0968833248456731</v>
      </c>
      <c r="I4064" s="25">
        <v>35.72</v>
      </c>
      <c r="J4064" s="379">
        <v>3.2771250463738584</v>
      </c>
    </row>
    <row r="4065" spans="1:10" x14ac:dyDescent="0.35">
      <c r="A4065" s="5">
        <v>4061</v>
      </c>
      <c r="B4065" s="5">
        <v>170</v>
      </c>
      <c r="C4065" s="5">
        <v>6</v>
      </c>
      <c r="D4065" s="379">
        <v>35.301666666666669</v>
      </c>
      <c r="E4065" s="25">
        <v>24.84</v>
      </c>
      <c r="F4065" s="379">
        <v>8.1174834595959577</v>
      </c>
      <c r="G4065" s="25">
        <v>32.81</v>
      </c>
      <c r="H4065" s="379">
        <v>7.0524041560901924</v>
      </c>
      <c r="I4065" s="25">
        <v>35.409999999999997</v>
      </c>
      <c r="J4065" s="379">
        <v>4.0940286790418261</v>
      </c>
    </row>
    <row r="4066" spans="1:10" x14ac:dyDescent="0.35">
      <c r="A4066" s="5">
        <v>4062</v>
      </c>
      <c r="B4066" s="5">
        <v>170</v>
      </c>
      <c r="C4066" s="5">
        <v>6</v>
      </c>
      <c r="D4066" s="379">
        <v>35.502222222222223</v>
      </c>
      <c r="E4066" s="25">
        <v>24.84</v>
      </c>
      <c r="F4066" s="379">
        <v>8.1174834595959595</v>
      </c>
      <c r="G4066" s="25">
        <v>32.81</v>
      </c>
      <c r="H4066" s="379">
        <v>6.6994690031946096</v>
      </c>
      <c r="I4066" s="25">
        <v>35.409999999999997</v>
      </c>
      <c r="J4066" s="379">
        <v>2.0046636118919698</v>
      </c>
    </row>
    <row r="4067" spans="1:10" x14ac:dyDescent="0.35">
      <c r="A4067" s="5">
        <v>4063</v>
      </c>
      <c r="B4067" s="5">
        <v>170</v>
      </c>
      <c r="C4067" s="5">
        <v>6</v>
      </c>
      <c r="D4067" s="379">
        <v>33.249444444444443</v>
      </c>
      <c r="E4067" s="25">
        <v>24.84</v>
      </c>
      <c r="F4067" s="379">
        <v>8.1174834595959595</v>
      </c>
      <c r="G4067" s="25">
        <v>32.81</v>
      </c>
      <c r="H4067" s="379">
        <v>6.9727324535182555</v>
      </c>
      <c r="I4067" s="25">
        <v>35.409999999999997</v>
      </c>
      <c r="J4067" s="379">
        <v>2.0046636118919698</v>
      </c>
    </row>
    <row r="4068" spans="1:10" x14ac:dyDescent="0.35">
      <c r="A4068" s="5">
        <v>4064</v>
      </c>
      <c r="B4068" s="5">
        <v>170</v>
      </c>
      <c r="C4068" s="5">
        <v>6</v>
      </c>
      <c r="D4068" s="379">
        <v>32.591111111111118</v>
      </c>
      <c r="E4068" s="25">
        <v>24.84</v>
      </c>
      <c r="F4068" s="379">
        <v>8.1174834595959613</v>
      </c>
      <c r="G4068" s="25">
        <v>33.14</v>
      </c>
      <c r="H4068" s="379">
        <v>6.7163963276407657</v>
      </c>
      <c r="I4068" s="25">
        <v>35.409999999999997</v>
      </c>
      <c r="J4068" s="379">
        <v>3.8677385334158898</v>
      </c>
    </row>
    <row r="4069" spans="1:10" x14ac:dyDescent="0.35">
      <c r="A4069" s="5">
        <v>4065</v>
      </c>
      <c r="B4069" s="5">
        <v>170</v>
      </c>
      <c r="C4069" s="5">
        <v>6</v>
      </c>
      <c r="D4069" s="379">
        <v>33.027222222222221</v>
      </c>
      <c r="E4069" s="25">
        <v>24.84</v>
      </c>
      <c r="F4069" s="379">
        <v>8.1174834595959613</v>
      </c>
      <c r="G4069" s="25">
        <v>37.79</v>
      </c>
      <c r="H4069" s="379">
        <v>4.8760429817719997</v>
      </c>
      <c r="I4069" s="25">
        <v>35.409999999999997</v>
      </c>
      <c r="J4069" s="379">
        <v>0.27777777777777779</v>
      </c>
    </row>
    <row r="4070" spans="1:10" x14ac:dyDescent="0.35">
      <c r="A4070" s="5">
        <v>4066</v>
      </c>
      <c r="B4070" s="5">
        <v>170</v>
      </c>
      <c r="C4070" s="5">
        <v>6</v>
      </c>
      <c r="D4070" s="379">
        <v>33.648888888888891</v>
      </c>
      <c r="E4070" s="25">
        <v>24.84</v>
      </c>
      <c r="F4070" s="379">
        <v>5.566035640254106</v>
      </c>
      <c r="G4070" s="25">
        <v>33.14</v>
      </c>
      <c r="H4070" s="379">
        <v>0.6573017182260501</v>
      </c>
      <c r="I4070" s="25">
        <v>35.409999999999997</v>
      </c>
      <c r="J4070" s="379">
        <v>0.98777349809783466</v>
      </c>
    </row>
    <row r="4071" spans="1:10" x14ac:dyDescent="0.35">
      <c r="A4071" s="5">
        <v>4067</v>
      </c>
      <c r="B4071" s="5">
        <v>170</v>
      </c>
      <c r="C4071" s="5">
        <v>6</v>
      </c>
      <c r="D4071" s="379">
        <v>35.591111111111104</v>
      </c>
      <c r="E4071" s="25">
        <v>24.84</v>
      </c>
      <c r="F4071" s="379">
        <v>3.6836022235342294</v>
      </c>
      <c r="G4071" s="25">
        <v>33.14</v>
      </c>
      <c r="H4071" s="379">
        <v>1.735389042254585</v>
      </c>
      <c r="I4071" s="25">
        <v>35.409999999999997</v>
      </c>
      <c r="J4071" s="379">
        <v>0.62069687220190561</v>
      </c>
    </row>
    <row r="4072" spans="1:10" x14ac:dyDescent="0.35">
      <c r="A4072" s="5">
        <v>4068</v>
      </c>
      <c r="B4072" s="5">
        <v>170</v>
      </c>
      <c r="C4072" s="5">
        <v>6</v>
      </c>
      <c r="D4072" s="379">
        <v>36.137777777777778</v>
      </c>
      <c r="E4072" s="25">
        <v>24.84</v>
      </c>
      <c r="F4072" s="379">
        <v>2.4760489387809019</v>
      </c>
      <c r="G4072" s="25">
        <v>32.81</v>
      </c>
      <c r="H4072" s="379">
        <v>0.36235884912045169</v>
      </c>
      <c r="I4072" s="25">
        <v>35.06</v>
      </c>
      <c r="J4072" s="379">
        <v>2.777777777777778E-2</v>
      </c>
    </row>
    <row r="4073" spans="1:10" x14ac:dyDescent="0.35">
      <c r="A4073" s="5">
        <v>4069</v>
      </c>
      <c r="B4073" s="5">
        <v>170</v>
      </c>
      <c r="C4073" s="5">
        <v>6</v>
      </c>
      <c r="D4073" s="379">
        <v>30.218333333333337</v>
      </c>
      <c r="E4073" s="25">
        <v>24.84</v>
      </c>
      <c r="F4073" s="379">
        <v>1.1960901376568234</v>
      </c>
      <c r="G4073" s="25">
        <v>32.81</v>
      </c>
      <c r="H4073" s="379">
        <v>1.5147168285114743</v>
      </c>
      <c r="I4073" s="25">
        <v>35.06</v>
      </c>
      <c r="J4073" s="379">
        <v>2.777777777777778E-2</v>
      </c>
    </row>
    <row r="4074" spans="1:10" x14ac:dyDescent="0.35">
      <c r="A4074" s="5">
        <v>4070</v>
      </c>
      <c r="B4074" s="5">
        <v>170</v>
      </c>
      <c r="C4074" s="5">
        <v>6</v>
      </c>
      <c r="D4074" s="379">
        <v>30.194444444444443</v>
      </c>
      <c r="E4074" s="25">
        <v>24.84</v>
      </c>
      <c r="F4074" s="379">
        <v>1.2102450725659575</v>
      </c>
      <c r="G4074" s="25">
        <v>32.47</v>
      </c>
      <c r="H4074" s="379">
        <v>1.1459454034466912</v>
      </c>
      <c r="I4074" s="25">
        <v>35.06</v>
      </c>
      <c r="J4074" s="379">
        <v>1.501381069019661</v>
      </c>
    </row>
    <row r="4075" spans="1:10" x14ac:dyDescent="0.35">
      <c r="A4075" s="5">
        <v>4071</v>
      </c>
      <c r="B4075" s="5">
        <v>170</v>
      </c>
      <c r="C4075" s="5">
        <v>6</v>
      </c>
      <c r="D4075" s="379">
        <v>32.55833333333333</v>
      </c>
      <c r="E4075" s="25">
        <v>24</v>
      </c>
      <c r="F4075" s="379">
        <v>3.1722567676610249</v>
      </c>
      <c r="G4075" s="25">
        <v>32.47</v>
      </c>
      <c r="H4075" s="379">
        <v>1.5489620448577024</v>
      </c>
      <c r="I4075" s="25">
        <v>34.89</v>
      </c>
      <c r="J4075" s="379">
        <v>2.777777777777778E-2</v>
      </c>
    </row>
    <row r="4076" spans="1:10" x14ac:dyDescent="0.35">
      <c r="A4076" s="5">
        <v>4072</v>
      </c>
      <c r="B4076" s="5">
        <v>170</v>
      </c>
      <c r="C4076" s="5">
        <v>6</v>
      </c>
      <c r="D4076" s="379">
        <v>36.064999999999998</v>
      </c>
      <c r="E4076" s="25">
        <v>24.84</v>
      </c>
      <c r="F4076" s="379">
        <v>2.3270922831737018</v>
      </c>
      <c r="G4076" s="25">
        <v>32.81</v>
      </c>
      <c r="H4076" s="379">
        <v>0.75386327098610273</v>
      </c>
      <c r="I4076" s="25">
        <v>35.06</v>
      </c>
      <c r="J4076" s="379">
        <v>2.777777777777778E-2</v>
      </c>
    </row>
    <row r="4077" spans="1:10" x14ac:dyDescent="0.35">
      <c r="A4077" s="5">
        <v>4073</v>
      </c>
      <c r="B4077" s="5">
        <v>170</v>
      </c>
      <c r="C4077" s="5">
        <v>6</v>
      </c>
      <c r="D4077" s="379">
        <v>44.384999999999998</v>
      </c>
      <c r="E4077" s="25">
        <v>24.84</v>
      </c>
      <c r="F4077" s="379">
        <v>1.6101272890525544</v>
      </c>
      <c r="G4077" s="25">
        <v>32.81</v>
      </c>
      <c r="H4077" s="379">
        <v>4.6528169298648905</v>
      </c>
      <c r="I4077" s="25">
        <v>35.06</v>
      </c>
      <c r="J4077" s="379">
        <v>2.777777777777778E-2</v>
      </c>
    </row>
    <row r="4078" spans="1:10" x14ac:dyDescent="0.35">
      <c r="A4078" s="5">
        <v>4074</v>
      </c>
      <c r="B4078" s="5">
        <v>170</v>
      </c>
      <c r="C4078" s="5">
        <v>6</v>
      </c>
      <c r="D4078" s="379">
        <v>54.444444444444443</v>
      </c>
      <c r="E4078" s="25">
        <v>24.84</v>
      </c>
      <c r="F4078" s="379">
        <v>8.1174834595959577</v>
      </c>
      <c r="G4078" s="25">
        <v>35.94</v>
      </c>
      <c r="H4078" s="379">
        <v>5.1701109630320445</v>
      </c>
      <c r="I4078" s="25">
        <v>35.409999999999997</v>
      </c>
      <c r="J4078" s="379">
        <v>2.777777777777778E-2</v>
      </c>
    </row>
    <row r="4079" spans="1:10" x14ac:dyDescent="0.35">
      <c r="A4079" s="5">
        <v>4075</v>
      </c>
      <c r="B4079" s="5">
        <v>170</v>
      </c>
      <c r="C4079" s="5">
        <v>6</v>
      </c>
      <c r="D4079" s="379">
        <v>59.025555555555556</v>
      </c>
      <c r="E4079" s="25">
        <v>24.84</v>
      </c>
      <c r="F4079" s="379">
        <v>8.6775226107863137</v>
      </c>
      <c r="G4079" s="25">
        <v>38.6</v>
      </c>
      <c r="H4079" s="379">
        <v>11.186496631164056</v>
      </c>
      <c r="I4079" s="25">
        <v>41.24</v>
      </c>
      <c r="J4079" s="379">
        <v>6.3865888271427886</v>
      </c>
    </row>
    <row r="4080" spans="1:10" x14ac:dyDescent="0.35">
      <c r="A4080" s="5">
        <v>4076</v>
      </c>
      <c r="B4080" s="5">
        <v>170</v>
      </c>
      <c r="C4080" s="5">
        <v>6</v>
      </c>
      <c r="D4080" s="379">
        <v>61.826111111111103</v>
      </c>
      <c r="E4080" s="25">
        <v>24.84</v>
      </c>
      <c r="F4080" s="379">
        <v>15.151955900367296</v>
      </c>
      <c r="G4080" s="25">
        <v>38.6</v>
      </c>
      <c r="H4080" s="379">
        <v>11.454327643641362</v>
      </c>
      <c r="I4080" s="25">
        <v>41.24</v>
      </c>
      <c r="J4080" s="379">
        <v>7.1937894769967734</v>
      </c>
    </row>
    <row r="4081" spans="1:10" x14ac:dyDescent="0.35">
      <c r="A4081" s="5">
        <v>4077</v>
      </c>
      <c r="B4081" s="5">
        <v>170</v>
      </c>
      <c r="C4081" s="5">
        <v>6</v>
      </c>
      <c r="D4081" s="379">
        <v>63.682222222222222</v>
      </c>
      <c r="E4081" s="25">
        <v>24.84</v>
      </c>
      <c r="F4081" s="379">
        <v>15.091087324604354</v>
      </c>
      <c r="G4081" s="25">
        <v>39.93</v>
      </c>
      <c r="H4081" s="379">
        <v>11.54655972474662</v>
      </c>
      <c r="I4081" s="25">
        <v>47.44</v>
      </c>
      <c r="J4081" s="379">
        <v>7.2179390300602133</v>
      </c>
    </row>
    <row r="4082" spans="1:10" x14ac:dyDescent="0.35">
      <c r="A4082" s="5">
        <v>4078</v>
      </c>
      <c r="B4082" s="5">
        <v>170</v>
      </c>
      <c r="C4082" s="5">
        <v>6</v>
      </c>
      <c r="D4082" s="379">
        <v>64.326666666666654</v>
      </c>
      <c r="E4082" s="25">
        <v>24.84</v>
      </c>
      <c r="F4082" s="379">
        <v>15.214131260972055</v>
      </c>
      <c r="G4082" s="25">
        <v>39.93</v>
      </c>
      <c r="H4082" s="379">
        <v>11.248327103506583</v>
      </c>
      <c r="I4082" s="25">
        <v>49.53</v>
      </c>
      <c r="J4082" s="379">
        <v>7.1623200079015596</v>
      </c>
    </row>
    <row r="4083" spans="1:10" x14ac:dyDescent="0.35">
      <c r="A4083" s="5">
        <v>4079</v>
      </c>
      <c r="B4083" s="5">
        <v>170</v>
      </c>
      <c r="C4083" s="5">
        <v>6</v>
      </c>
      <c r="D4083" s="379">
        <v>60.603333333333339</v>
      </c>
      <c r="E4083" s="25">
        <v>24.84</v>
      </c>
      <c r="F4083" s="379">
        <v>15.03449665081326</v>
      </c>
      <c r="G4083" s="25">
        <v>39.93</v>
      </c>
      <c r="H4083" s="379">
        <v>11.020594733046211</v>
      </c>
      <c r="I4083" s="25">
        <v>48.04</v>
      </c>
      <c r="J4083" s="379">
        <v>7.2179390300602133</v>
      </c>
    </row>
    <row r="4084" spans="1:10" x14ac:dyDescent="0.35">
      <c r="A4084" s="5">
        <v>4080</v>
      </c>
      <c r="B4084" s="5">
        <v>170</v>
      </c>
      <c r="C4084" s="5">
        <v>6</v>
      </c>
      <c r="D4084" s="379">
        <v>54.43055555555555</v>
      </c>
      <c r="E4084" s="25">
        <v>24.84</v>
      </c>
      <c r="F4084" s="379">
        <v>13.990471921015242</v>
      </c>
      <c r="G4084" s="25">
        <v>37.020000000000003</v>
      </c>
      <c r="H4084" s="379">
        <v>11.413430571700085</v>
      </c>
      <c r="I4084" s="25">
        <v>38.69</v>
      </c>
      <c r="J4084" s="379">
        <v>7.225696125583041</v>
      </c>
    </row>
    <row r="4085" spans="1:10" x14ac:dyDescent="0.35">
      <c r="A4085" s="5">
        <v>4081</v>
      </c>
      <c r="B4085" s="5">
        <v>171</v>
      </c>
      <c r="C4085" s="5">
        <v>6</v>
      </c>
      <c r="D4085" s="379">
        <v>50.30555555555555</v>
      </c>
      <c r="E4085" s="25">
        <v>24.84</v>
      </c>
      <c r="F4085" s="379">
        <v>13.969674418314124</v>
      </c>
      <c r="G4085" s="25">
        <v>34.9</v>
      </c>
      <c r="H4085" s="379">
        <v>11.464162886321871</v>
      </c>
      <c r="I4085" s="25">
        <v>38.39</v>
      </c>
      <c r="J4085" s="379">
        <v>7.2179390300602133</v>
      </c>
    </row>
    <row r="4086" spans="1:10" x14ac:dyDescent="0.35">
      <c r="A4086" s="5">
        <v>4082</v>
      </c>
      <c r="B4086" s="5">
        <v>171</v>
      </c>
      <c r="C4086" s="5">
        <v>6</v>
      </c>
      <c r="D4086" s="379">
        <v>49.718888888888884</v>
      </c>
      <c r="E4086" s="25">
        <v>24.84</v>
      </c>
      <c r="F4086" s="379">
        <v>13.845052039064552</v>
      </c>
      <c r="G4086" s="25">
        <v>32.47</v>
      </c>
      <c r="H4086" s="379">
        <v>11.490488169253622</v>
      </c>
      <c r="I4086" s="25">
        <v>37.159999999999997</v>
      </c>
      <c r="J4086" s="379">
        <v>7.2179390300602133</v>
      </c>
    </row>
    <row r="4087" spans="1:10" x14ac:dyDescent="0.35">
      <c r="A4087" s="5">
        <v>4083</v>
      </c>
      <c r="B4087" s="5">
        <v>171</v>
      </c>
      <c r="C4087" s="5">
        <v>6</v>
      </c>
      <c r="D4087" s="379">
        <v>49.902222222222221</v>
      </c>
      <c r="E4087" s="25">
        <v>24.84</v>
      </c>
      <c r="F4087" s="379">
        <v>13.965831100146428</v>
      </c>
      <c r="G4087" s="25">
        <v>31.84</v>
      </c>
      <c r="H4087" s="379">
        <v>11.21026577902405</v>
      </c>
      <c r="I4087" s="25">
        <v>35.72</v>
      </c>
      <c r="J4087" s="379">
        <v>7.2179390300602133</v>
      </c>
    </row>
    <row r="4088" spans="1:10" x14ac:dyDescent="0.35">
      <c r="A4088" s="5">
        <v>4084</v>
      </c>
      <c r="B4088" s="5">
        <v>171</v>
      </c>
      <c r="C4088" s="5">
        <v>6</v>
      </c>
      <c r="D4088" s="379">
        <v>49.659444444444432</v>
      </c>
      <c r="E4088" s="25">
        <v>24.84</v>
      </c>
      <c r="F4088" s="379">
        <v>13.884090469720258</v>
      </c>
      <c r="G4088" s="25">
        <v>31.84</v>
      </c>
      <c r="H4088" s="379">
        <v>10.981724028696021</v>
      </c>
      <c r="I4088" s="25">
        <v>35.72</v>
      </c>
      <c r="J4088" s="379">
        <v>7.2179390300602133</v>
      </c>
    </row>
    <row r="4089" spans="1:10" x14ac:dyDescent="0.35">
      <c r="A4089" s="5">
        <v>4085</v>
      </c>
      <c r="B4089" s="5">
        <v>171</v>
      </c>
      <c r="C4089" s="5">
        <v>6</v>
      </c>
      <c r="D4089" s="379">
        <v>54.788333333333334</v>
      </c>
      <c r="E4089" s="25">
        <v>24.73</v>
      </c>
      <c r="F4089" s="379">
        <v>14.680008018030417</v>
      </c>
      <c r="G4089" s="25">
        <v>31.84</v>
      </c>
      <c r="H4089" s="379">
        <v>11.436877421700594</v>
      </c>
      <c r="I4089" s="25">
        <v>35.409999999999997</v>
      </c>
      <c r="J4089" s="379">
        <v>7.2179390300602133</v>
      </c>
    </row>
    <row r="4090" spans="1:10" x14ac:dyDescent="0.35">
      <c r="A4090" s="5">
        <v>4086</v>
      </c>
      <c r="B4090" s="5">
        <v>171</v>
      </c>
      <c r="C4090" s="5">
        <v>6</v>
      </c>
      <c r="D4090" s="379">
        <v>61.642777777777773</v>
      </c>
      <c r="E4090" s="25">
        <v>24.73</v>
      </c>
      <c r="F4090" s="379">
        <v>15.049371700705279</v>
      </c>
      <c r="G4090" s="25">
        <v>31.84</v>
      </c>
      <c r="H4090" s="379">
        <v>11.364938632590949</v>
      </c>
      <c r="I4090" s="25">
        <v>35.409999999999997</v>
      </c>
      <c r="J4090" s="379">
        <v>7.2179390300602133</v>
      </c>
    </row>
    <row r="4091" spans="1:10" x14ac:dyDescent="0.35">
      <c r="A4091" s="5">
        <v>4087</v>
      </c>
      <c r="B4091" s="5">
        <v>171</v>
      </c>
      <c r="C4091" s="5">
        <v>6</v>
      </c>
      <c r="D4091" s="379">
        <v>73.457222222222214</v>
      </c>
      <c r="E4091" s="25">
        <v>24.84</v>
      </c>
      <c r="F4091" s="379">
        <v>14.536311949180936</v>
      </c>
      <c r="G4091" s="25">
        <v>31.84</v>
      </c>
      <c r="H4091" s="379">
        <v>10.76073601462739</v>
      </c>
      <c r="I4091" s="25">
        <v>35.409999999999997</v>
      </c>
      <c r="J4091" s="379">
        <v>7.1767907071059804</v>
      </c>
    </row>
    <row r="4092" spans="1:10" x14ac:dyDescent="0.35">
      <c r="A4092" s="5">
        <v>4088</v>
      </c>
      <c r="B4092" s="5">
        <v>171</v>
      </c>
      <c r="C4092" s="5">
        <v>6</v>
      </c>
      <c r="D4092" s="379">
        <v>90.37777777777778</v>
      </c>
      <c r="E4092" s="25">
        <v>24.84</v>
      </c>
      <c r="F4092" s="379">
        <v>14.628333896585723</v>
      </c>
      <c r="G4092" s="25">
        <v>31.84</v>
      </c>
      <c r="H4092" s="379">
        <v>10.267055817360516</v>
      </c>
      <c r="I4092" s="25">
        <v>35.409999999999997</v>
      </c>
      <c r="J4092" s="379">
        <v>6.4125045958302724</v>
      </c>
    </row>
    <row r="4093" spans="1:10" x14ac:dyDescent="0.35">
      <c r="A4093" s="5">
        <v>4089</v>
      </c>
      <c r="B4093" s="5">
        <v>171</v>
      </c>
      <c r="C4093" s="5">
        <v>6</v>
      </c>
      <c r="D4093" s="379">
        <v>73.183888888888902</v>
      </c>
      <c r="E4093" s="25">
        <v>24.84</v>
      </c>
      <c r="F4093" s="379">
        <v>11.722336082828638</v>
      </c>
      <c r="G4093" s="25">
        <v>31.84</v>
      </c>
      <c r="H4093" s="379">
        <v>5.8181133899360837</v>
      </c>
      <c r="I4093" s="25">
        <v>35.24</v>
      </c>
      <c r="J4093" s="379">
        <v>6.0298749884230372</v>
      </c>
    </row>
    <row r="4094" spans="1:10" x14ac:dyDescent="0.35">
      <c r="A4094" s="5">
        <v>4090</v>
      </c>
      <c r="B4094" s="5">
        <v>171</v>
      </c>
      <c r="C4094" s="5">
        <v>6</v>
      </c>
      <c r="D4094" s="379">
        <v>66.321666666666658</v>
      </c>
      <c r="E4094" s="25">
        <v>24.84</v>
      </c>
      <c r="F4094" s="379">
        <v>10.129838693008596</v>
      </c>
      <c r="G4094" s="25">
        <v>32.04</v>
      </c>
      <c r="H4094" s="379">
        <v>8.3594194010275054</v>
      </c>
      <c r="I4094" s="25">
        <v>35.130000000000003</v>
      </c>
      <c r="J4094" s="379">
        <v>6.5418764894511376</v>
      </c>
    </row>
    <row r="4095" spans="1:10" x14ac:dyDescent="0.35">
      <c r="A4095" s="5">
        <v>4091</v>
      </c>
      <c r="B4095" s="5">
        <v>171</v>
      </c>
      <c r="C4095" s="5">
        <v>6</v>
      </c>
      <c r="D4095" s="379">
        <v>66.78166666666668</v>
      </c>
      <c r="E4095" s="25">
        <v>24.84</v>
      </c>
      <c r="F4095" s="379">
        <v>10.653460668849464</v>
      </c>
      <c r="G4095" s="25">
        <v>32.04</v>
      </c>
      <c r="H4095" s="379">
        <v>8.3053975990459854</v>
      </c>
      <c r="I4095" s="25">
        <v>34.89</v>
      </c>
      <c r="J4095" s="379">
        <v>5.7445327799242927</v>
      </c>
    </row>
    <row r="4096" spans="1:10" x14ac:dyDescent="0.35">
      <c r="A4096" s="5">
        <v>4092</v>
      </c>
      <c r="B4096" s="5">
        <v>171</v>
      </c>
      <c r="C4096" s="5">
        <v>6</v>
      </c>
      <c r="D4096" s="379">
        <v>59.150555555555556</v>
      </c>
      <c r="E4096" s="25">
        <v>24.84</v>
      </c>
      <c r="F4096" s="379">
        <v>4.4790961526486486</v>
      </c>
      <c r="G4096" s="25">
        <v>31.52</v>
      </c>
      <c r="H4096" s="379">
        <v>8.1153529667490307</v>
      </c>
      <c r="I4096" s="25">
        <v>34.89</v>
      </c>
      <c r="J4096" s="379">
        <v>4.9499107124956332</v>
      </c>
    </row>
    <row r="4097" spans="1:10" x14ac:dyDescent="0.35">
      <c r="A4097" s="5">
        <v>4093</v>
      </c>
      <c r="B4097" s="5">
        <v>171</v>
      </c>
      <c r="C4097" s="5">
        <v>6</v>
      </c>
      <c r="D4097" s="379">
        <v>51.455555555555556</v>
      </c>
      <c r="E4097" s="25">
        <v>24.84</v>
      </c>
      <c r="F4097" s="379">
        <v>5.0004911902936362</v>
      </c>
      <c r="G4097" s="25">
        <v>31.19</v>
      </c>
      <c r="H4097" s="379">
        <v>8.2659893326142608</v>
      </c>
      <c r="I4097" s="25">
        <v>34.68</v>
      </c>
      <c r="J4097" s="379">
        <v>5.5363580172877951</v>
      </c>
    </row>
    <row r="4098" spans="1:10" x14ac:dyDescent="0.35">
      <c r="A4098" s="5">
        <v>4094</v>
      </c>
      <c r="B4098" s="5">
        <v>171</v>
      </c>
      <c r="C4098" s="5">
        <v>6</v>
      </c>
      <c r="D4098" s="379">
        <v>49.194444444444443</v>
      </c>
      <c r="E4098" s="25">
        <v>24.12</v>
      </c>
      <c r="F4098" s="379">
        <v>4.3081757553989757</v>
      </c>
      <c r="G4098" s="25">
        <v>31.19</v>
      </c>
      <c r="H4098" s="379">
        <v>8.6312103022361448</v>
      </c>
      <c r="I4098" s="25">
        <v>34.89</v>
      </c>
      <c r="J4098" s="379">
        <v>5.7330224494324993</v>
      </c>
    </row>
    <row r="4099" spans="1:10" x14ac:dyDescent="0.35">
      <c r="A4099" s="5">
        <v>4095</v>
      </c>
      <c r="B4099" s="5">
        <v>171</v>
      </c>
      <c r="C4099" s="5">
        <v>6</v>
      </c>
      <c r="D4099" s="379">
        <v>47.023333333333341</v>
      </c>
      <c r="E4099" s="25">
        <v>24.12</v>
      </c>
      <c r="F4099" s="379">
        <v>4.1865311659806981</v>
      </c>
      <c r="G4099" s="25">
        <v>31.19</v>
      </c>
      <c r="H4099" s="379">
        <v>8.9235810288082185</v>
      </c>
      <c r="I4099" s="25">
        <v>34.89</v>
      </c>
      <c r="J4099" s="379">
        <v>5.7431905133492274</v>
      </c>
    </row>
    <row r="4100" spans="1:10" x14ac:dyDescent="0.35">
      <c r="A4100" s="5">
        <v>4096</v>
      </c>
      <c r="B4100" s="5">
        <v>171</v>
      </c>
      <c r="C4100" s="5">
        <v>6</v>
      </c>
      <c r="D4100" s="379">
        <v>50.086111111111109</v>
      </c>
      <c r="E4100" s="25">
        <v>24.84</v>
      </c>
      <c r="F4100" s="379">
        <v>10.324484424780906</v>
      </c>
      <c r="G4100" s="25">
        <v>31.52</v>
      </c>
      <c r="H4100" s="379">
        <v>8.9499818490997161</v>
      </c>
      <c r="I4100" s="25">
        <v>34.89</v>
      </c>
      <c r="J4100" s="379">
        <v>5.7445327799242927</v>
      </c>
    </row>
    <row r="4101" spans="1:10" x14ac:dyDescent="0.35">
      <c r="A4101" s="5">
        <v>4097</v>
      </c>
      <c r="B4101" s="5">
        <v>171</v>
      </c>
      <c r="C4101" s="5">
        <v>6</v>
      </c>
      <c r="D4101" s="379">
        <v>58.882777777777775</v>
      </c>
      <c r="E4101" s="25">
        <v>24.84</v>
      </c>
      <c r="F4101" s="379">
        <v>15.65639772357507</v>
      </c>
      <c r="G4101" s="25">
        <v>31.84</v>
      </c>
      <c r="H4101" s="379">
        <v>9.2743969191482964</v>
      </c>
      <c r="I4101" s="25">
        <v>34.89</v>
      </c>
      <c r="J4101" s="379">
        <v>6.0273438568428848</v>
      </c>
    </row>
    <row r="4102" spans="1:10" x14ac:dyDescent="0.35">
      <c r="A4102" s="5">
        <v>4098</v>
      </c>
      <c r="B4102" s="5">
        <v>171</v>
      </c>
      <c r="C4102" s="5">
        <v>6</v>
      </c>
      <c r="D4102" s="379">
        <v>63.206111111111113</v>
      </c>
      <c r="E4102" s="25">
        <v>24.84</v>
      </c>
      <c r="F4102" s="379">
        <v>16.163091716854705</v>
      </c>
      <c r="G4102" s="25">
        <v>34.9</v>
      </c>
      <c r="H4102" s="379">
        <v>11.966389493549197</v>
      </c>
      <c r="I4102" s="25">
        <v>35.409999999999997</v>
      </c>
      <c r="J4102" s="379">
        <v>7.2337679139382187</v>
      </c>
    </row>
    <row r="4103" spans="1:10" x14ac:dyDescent="0.35">
      <c r="A4103" s="5">
        <v>4099</v>
      </c>
      <c r="B4103" s="5">
        <v>171</v>
      </c>
      <c r="C4103" s="5">
        <v>6</v>
      </c>
      <c r="D4103" s="379">
        <v>74.572777777777787</v>
      </c>
      <c r="E4103" s="25">
        <v>24.84</v>
      </c>
      <c r="F4103" s="379">
        <v>22.949021992107223</v>
      </c>
      <c r="G4103" s="25">
        <v>39.93</v>
      </c>
      <c r="H4103" s="379">
        <v>11.776352857643953</v>
      </c>
      <c r="I4103" s="25">
        <v>37.979999999999997</v>
      </c>
      <c r="J4103" s="379">
        <v>7.2673453927145273</v>
      </c>
    </row>
    <row r="4104" spans="1:10" x14ac:dyDescent="0.35">
      <c r="A4104" s="5">
        <v>4100</v>
      </c>
      <c r="B4104" s="5">
        <v>171</v>
      </c>
      <c r="C4104" s="5">
        <v>6</v>
      </c>
      <c r="D4104" s="379">
        <v>75.641111111111101</v>
      </c>
      <c r="E4104" s="25">
        <v>24.84</v>
      </c>
      <c r="F4104" s="379">
        <v>23.007909755430688</v>
      </c>
      <c r="G4104" s="25">
        <v>43.56</v>
      </c>
      <c r="H4104" s="379">
        <v>11.72886133356579</v>
      </c>
      <c r="I4104" s="25">
        <v>46.69</v>
      </c>
      <c r="J4104" s="379">
        <v>7.0723645371419241</v>
      </c>
    </row>
    <row r="4105" spans="1:10" x14ac:dyDescent="0.35">
      <c r="A4105" s="5">
        <v>4101</v>
      </c>
      <c r="B4105" s="5">
        <v>171</v>
      </c>
      <c r="C4105" s="5">
        <v>6</v>
      </c>
      <c r="D4105" s="379">
        <v>77.468333333333334</v>
      </c>
      <c r="E4105" s="25">
        <v>24.84</v>
      </c>
      <c r="F4105" s="379">
        <v>22.940193848889798</v>
      </c>
      <c r="G4105" s="25">
        <v>43.56</v>
      </c>
      <c r="H4105" s="379">
        <v>12.013170711933245</v>
      </c>
      <c r="I4105" s="25">
        <v>53.71</v>
      </c>
      <c r="J4105" s="379">
        <v>7.0534767222540538</v>
      </c>
    </row>
    <row r="4106" spans="1:10" x14ac:dyDescent="0.35">
      <c r="A4106" s="5">
        <v>4102</v>
      </c>
      <c r="B4106" s="5">
        <v>171</v>
      </c>
      <c r="C4106" s="5">
        <v>6</v>
      </c>
      <c r="D4106" s="379">
        <v>71.945000000000007</v>
      </c>
      <c r="E4106" s="25">
        <v>24.99</v>
      </c>
      <c r="F4106" s="379">
        <v>22.960613591057434</v>
      </c>
      <c r="G4106" s="25">
        <v>43.56</v>
      </c>
      <c r="H4106" s="379">
        <v>11.981253093810558</v>
      </c>
      <c r="I4106" s="25">
        <v>54.87</v>
      </c>
      <c r="J4106" s="379">
        <v>7.0077500515231144</v>
      </c>
    </row>
    <row r="4107" spans="1:10" x14ac:dyDescent="0.35">
      <c r="A4107" s="5">
        <v>4103</v>
      </c>
      <c r="B4107" s="5">
        <v>171</v>
      </c>
      <c r="C4107" s="5">
        <v>6</v>
      </c>
      <c r="D4107" s="379">
        <v>65.785555555555561</v>
      </c>
      <c r="E4107" s="25">
        <v>24.84</v>
      </c>
      <c r="F4107" s="379">
        <v>23.099331288268822</v>
      </c>
      <c r="G4107" s="25">
        <v>43.56</v>
      </c>
      <c r="H4107" s="379">
        <v>11.855486880281497</v>
      </c>
      <c r="I4107" s="25">
        <v>52.55</v>
      </c>
      <c r="J4107" s="379">
        <v>7.317642040218491</v>
      </c>
    </row>
    <row r="4108" spans="1:10" x14ac:dyDescent="0.35">
      <c r="A4108" s="5">
        <v>4104</v>
      </c>
      <c r="B4108" s="5">
        <v>171</v>
      </c>
      <c r="C4108" s="5">
        <v>6</v>
      </c>
      <c r="D4108" s="379">
        <v>63.868333333333325</v>
      </c>
      <c r="E4108" s="25">
        <v>24.84</v>
      </c>
      <c r="F4108" s="379">
        <v>22.995492805057022</v>
      </c>
      <c r="G4108" s="25">
        <v>39.93</v>
      </c>
      <c r="H4108" s="379">
        <v>11.882041831154639</v>
      </c>
      <c r="I4108" s="25">
        <v>47.44</v>
      </c>
      <c r="J4108" s="379">
        <v>7.4194478888776523</v>
      </c>
    </row>
    <row r="4109" spans="1:10" x14ac:dyDescent="0.35">
      <c r="A4109" s="5">
        <v>4105</v>
      </c>
      <c r="B4109" s="5">
        <v>172</v>
      </c>
      <c r="C4109" s="5">
        <v>6</v>
      </c>
      <c r="D4109" s="379">
        <v>59.884444444444441</v>
      </c>
      <c r="E4109" s="25">
        <v>24.84</v>
      </c>
      <c r="F4109" s="379">
        <v>17.41038242890982</v>
      </c>
      <c r="G4109" s="25">
        <v>43.56</v>
      </c>
      <c r="H4109" s="379">
        <v>12.022165380052803</v>
      </c>
      <c r="I4109" s="25">
        <v>52.74</v>
      </c>
      <c r="J4109" s="379">
        <v>7.4307888684297989</v>
      </c>
    </row>
    <row r="4110" spans="1:10" x14ac:dyDescent="0.35">
      <c r="A4110" s="5">
        <v>4106</v>
      </c>
      <c r="B4110" s="5">
        <v>172</v>
      </c>
      <c r="C4110" s="5">
        <v>6</v>
      </c>
      <c r="D4110" s="379">
        <v>57.789444444444442</v>
      </c>
      <c r="E4110" s="25">
        <v>24.84</v>
      </c>
      <c r="F4110" s="379">
        <v>17.871997708686795</v>
      </c>
      <c r="G4110" s="25">
        <v>43.56</v>
      </c>
      <c r="H4110" s="379">
        <v>11.969501351954822</v>
      </c>
      <c r="I4110" s="25">
        <v>48.86</v>
      </c>
      <c r="J4110" s="379">
        <v>7.5013585441486912</v>
      </c>
    </row>
    <row r="4111" spans="1:10" x14ac:dyDescent="0.35">
      <c r="A4111" s="5">
        <v>4107</v>
      </c>
      <c r="B4111" s="5">
        <v>172</v>
      </c>
      <c r="C4111" s="5">
        <v>6</v>
      </c>
      <c r="D4111" s="379">
        <v>56.24777777777777</v>
      </c>
      <c r="E4111" s="25">
        <v>24.84</v>
      </c>
      <c r="F4111" s="379">
        <v>17.891651356501576</v>
      </c>
      <c r="G4111" s="25">
        <v>42.29</v>
      </c>
      <c r="H4111" s="379">
        <v>10.778786454919357</v>
      </c>
      <c r="I4111" s="25">
        <v>48.86</v>
      </c>
      <c r="J4111" s="379">
        <v>7.4876501114214209</v>
      </c>
    </row>
    <row r="4112" spans="1:10" x14ac:dyDescent="0.35">
      <c r="A4112" s="5">
        <v>4108</v>
      </c>
      <c r="B4112" s="5">
        <v>172</v>
      </c>
      <c r="C4112" s="5">
        <v>6</v>
      </c>
      <c r="D4112" s="379">
        <v>55.99166666666666</v>
      </c>
      <c r="E4112" s="25">
        <v>24.84</v>
      </c>
      <c r="F4112" s="379">
        <v>17.393735663876967</v>
      </c>
      <c r="G4112" s="25">
        <v>42.29</v>
      </c>
      <c r="H4112" s="379">
        <v>10.85789989733577</v>
      </c>
      <c r="I4112" s="25">
        <v>48.86</v>
      </c>
      <c r="J4112" s="379">
        <v>7.4891591830111794</v>
      </c>
    </row>
    <row r="4113" spans="1:10" x14ac:dyDescent="0.35">
      <c r="A4113" s="5">
        <v>4109</v>
      </c>
      <c r="B4113" s="5">
        <v>172</v>
      </c>
      <c r="C4113" s="5">
        <v>6</v>
      </c>
      <c r="D4113" s="379">
        <v>55.138888888888886</v>
      </c>
      <c r="E4113" s="25">
        <v>24.84</v>
      </c>
      <c r="F4113" s="379">
        <v>17.746397617566817</v>
      </c>
      <c r="G4113" s="25">
        <v>43.56</v>
      </c>
      <c r="H4113" s="379">
        <v>10.809524017190585</v>
      </c>
      <c r="I4113" s="25">
        <v>49.36</v>
      </c>
      <c r="J4113" s="379">
        <v>7.4887135578357267</v>
      </c>
    </row>
    <row r="4114" spans="1:10" x14ac:dyDescent="0.35">
      <c r="A4114" s="5">
        <v>4110</v>
      </c>
      <c r="B4114" s="5">
        <v>172</v>
      </c>
      <c r="C4114" s="5">
        <v>6</v>
      </c>
      <c r="D4114" s="379">
        <v>65.73555555555555</v>
      </c>
      <c r="E4114" s="25">
        <v>24.84</v>
      </c>
      <c r="F4114" s="379">
        <v>15.980241039877356</v>
      </c>
      <c r="G4114" s="25">
        <v>47.46</v>
      </c>
      <c r="H4114" s="379">
        <v>10.33328899643012</v>
      </c>
      <c r="I4114" s="25">
        <v>53.71</v>
      </c>
      <c r="J4114" s="379">
        <v>7.4521989453281492</v>
      </c>
    </row>
    <row r="4115" spans="1:10" x14ac:dyDescent="0.35">
      <c r="A4115" s="5">
        <v>4111</v>
      </c>
      <c r="B4115" s="5">
        <v>172</v>
      </c>
      <c r="C4115" s="5">
        <v>6</v>
      </c>
      <c r="D4115" s="379">
        <v>73.340555555555554</v>
      </c>
      <c r="E4115" s="25">
        <v>25.59</v>
      </c>
      <c r="F4115" s="379">
        <v>17.396641348612192</v>
      </c>
      <c r="G4115" s="25">
        <v>47.46</v>
      </c>
      <c r="H4115" s="379">
        <v>10.470556786085529</v>
      </c>
      <c r="I4115" s="25">
        <v>57.49</v>
      </c>
      <c r="J4115" s="379">
        <v>7.1633767349207194</v>
      </c>
    </row>
    <row r="4116" spans="1:10" x14ac:dyDescent="0.35">
      <c r="A4116" s="5">
        <v>4112</v>
      </c>
      <c r="B4116" s="5">
        <v>172</v>
      </c>
      <c r="C4116" s="5">
        <v>6</v>
      </c>
      <c r="D4116" s="379">
        <v>73.53166666666668</v>
      </c>
      <c r="E4116" s="25">
        <v>25.59</v>
      </c>
      <c r="F4116" s="379">
        <v>16.932078045490115</v>
      </c>
      <c r="G4116" s="25">
        <v>47.46</v>
      </c>
      <c r="H4116" s="379">
        <v>10.294251363764598</v>
      </c>
      <c r="I4116" s="25">
        <v>57.49</v>
      </c>
      <c r="J4116" s="379">
        <v>6.9266056008965418</v>
      </c>
    </row>
    <row r="4117" spans="1:10" x14ac:dyDescent="0.35">
      <c r="A4117" s="5">
        <v>4113</v>
      </c>
      <c r="B4117" s="5">
        <v>172</v>
      </c>
      <c r="C4117" s="5">
        <v>6</v>
      </c>
      <c r="D4117" s="379">
        <v>67.412777777777777</v>
      </c>
      <c r="E4117" s="25">
        <v>25.59</v>
      </c>
      <c r="F4117" s="379">
        <v>9.6696174553574625</v>
      </c>
      <c r="G4117" s="25">
        <v>47.46</v>
      </c>
      <c r="H4117" s="379">
        <v>8.8922776267143018</v>
      </c>
      <c r="I4117" s="25">
        <v>54.87</v>
      </c>
      <c r="J4117" s="379">
        <v>6.5044721882562593</v>
      </c>
    </row>
    <row r="4118" spans="1:10" x14ac:dyDescent="0.35">
      <c r="A4118" s="5">
        <v>4114</v>
      </c>
      <c r="B4118" s="5">
        <v>172</v>
      </c>
      <c r="C4118" s="5">
        <v>6</v>
      </c>
      <c r="D4118" s="379">
        <v>62.368333333333325</v>
      </c>
      <c r="E4118" s="25">
        <v>25.59</v>
      </c>
      <c r="F4118" s="379">
        <v>9.3233089274216585</v>
      </c>
      <c r="G4118" s="25">
        <v>47.46</v>
      </c>
      <c r="H4118" s="379">
        <v>10.144566419212278</v>
      </c>
      <c r="I4118" s="25">
        <v>52.55</v>
      </c>
      <c r="J4118" s="379">
        <v>6.8947676548687635</v>
      </c>
    </row>
    <row r="4119" spans="1:10" x14ac:dyDescent="0.35">
      <c r="A4119" s="5">
        <v>4115</v>
      </c>
      <c r="B4119" s="5">
        <v>172</v>
      </c>
      <c r="C4119" s="5">
        <v>6</v>
      </c>
      <c r="D4119" s="379">
        <v>58.914999999999999</v>
      </c>
      <c r="E4119" s="25">
        <v>24.99</v>
      </c>
      <c r="F4119" s="379">
        <v>9.2642054247089813</v>
      </c>
      <c r="G4119" s="25">
        <v>47.46</v>
      </c>
      <c r="H4119" s="379">
        <v>10.076733272526553</v>
      </c>
      <c r="I4119" s="25">
        <v>48.86</v>
      </c>
      <c r="J4119" s="379">
        <v>6.18307206225737</v>
      </c>
    </row>
    <row r="4120" spans="1:10" x14ac:dyDescent="0.35">
      <c r="A4120" s="5">
        <v>4116</v>
      </c>
      <c r="B4120" s="5">
        <v>172</v>
      </c>
      <c r="C4120" s="5">
        <v>6</v>
      </c>
      <c r="D4120" s="379">
        <v>58.031111111111102</v>
      </c>
      <c r="E4120" s="25">
        <v>24.99</v>
      </c>
      <c r="F4120" s="379">
        <v>8.1174834595959577</v>
      </c>
      <c r="G4120" s="25">
        <v>47.46</v>
      </c>
      <c r="H4120" s="379">
        <v>9.2097378253584594</v>
      </c>
      <c r="I4120" s="25">
        <v>48.86</v>
      </c>
      <c r="J4120" s="379">
        <v>5.8170535649882718</v>
      </c>
    </row>
    <row r="4121" spans="1:10" x14ac:dyDescent="0.35">
      <c r="A4121" s="5">
        <v>4117</v>
      </c>
      <c r="B4121" s="5">
        <v>172</v>
      </c>
      <c r="C4121" s="5">
        <v>6</v>
      </c>
      <c r="D4121" s="379">
        <v>55.690555555555562</v>
      </c>
      <c r="E4121" s="25">
        <v>24.99</v>
      </c>
      <c r="F4121" s="379">
        <v>8.1174834595959577</v>
      </c>
      <c r="G4121" s="25">
        <v>43.99</v>
      </c>
      <c r="H4121" s="379">
        <v>8.6981010539267825</v>
      </c>
      <c r="I4121" s="25">
        <v>48.86</v>
      </c>
      <c r="J4121" s="379">
        <v>5.5728664060523325</v>
      </c>
    </row>
    <row r="4122" spans="1:10" x14ac:dyDescent="0.35">
      <c r="A4122" s="5">
        <v>4118</v>
      </c>
      <c r="B4122" s="5">
        <v>172</v>
      </c>
      <c r="C4122" s="5">
        <v>6</v>
      </c>
      <c r="D4122" s="379">
        <v>55.792777777777772</v>
      </c>
      <c r="E4122" s="25">
        <v>24.99</v>
      </c>
      <c r="F4122" s="379">
        <v>8.1174834595959613</v>
      </c>
      <c r="G4122" s="25">
        <v>43.56</v>
      </c>
      <c r="H4122" s="379">
        <v>9.3584143488203875</v>
      </c>
      <c r="I4122" s="25">
        <v>48.86</v>
      </c>
      <c r="J4122" s="379">
        <v>6.0999201627999255</v>
      </c>
    </row>
    <row r="4123" spans="1:10" x14ac:dyDescent="0.35">
      <c r="A4123" s="5">
        <v>4119</v>
      </c>
      <c r="B4123" s="5">
        <v>172</v>
      </c>
      <c r="C4123" s="5">
        <v>6</v>
      </c>
      <c r="D4123" s="379">
        <v>60.061111111111103</v>
      </c>
      <c r="E4123" s="25">
        <v>24.99</v>
      </c>
      <c r="F4123" s="379">
        <v>8.1174834595959613</v>
      </c>
      <c r="G4123" s="25">
        <v>43.56</v>
      </c>
      <c r="H4123" s="379">
        <v>8.2659449474220956</v>
      </c>
      <c r="I4123" s="25">
        <v>48.86</v>
      </c>
      <c r="J4123" s="379">
        <v>5.0714888139566963</v>
      </c>
    </row>
    <row r="4124" spans="1:10" x14ac:dyDescent="0.35">
      <c r="A4124" s="5">
        <v>4120</v>
      </c>
      <c r="B4124" s="5">
        <v>172</v>
      </c>
      <c r="C4124" s="5">
        <v>6</v>
      </c>
      <c r="D4124" s="379">
        <v>65.226111111111109</v>
      </c>
      <c r="E4124" s="25">
        <v>24.99</v>
      </c>
      <c r="F4124" s="379">
        <v>8.1174834595959613</v>
      </c>
      <c r="G4124" s="25">
        <v>43.99</v>
      </c>
      <c r="H4124" s="379">
        <v>9.1256806606201835</v>
      </c>
      <c r="I4124" s="25">
        <v>48.86</v>
      </c>
      <c r="J4124" s="379">
        <v>6.3043416090373796</v>
      </c>
    </row>
    <row r="4125" spans="1:10" x14ac:dyDescent="0.35">
      <c r="A4125" s="5">
        <v>4121</v>
      </c>
      <c r="B4125" s="5">
        <v>172</v>
      </c>
      <c r="C4125" s="5">
        <v>6</v>
      </c>
      <c r="D4125" s="379">
        <v>76.161111111111111</v>
      </c>
      <c r="E4125" s="25">
        <v>24.99</v>
      </c>
      <c r="F4125" s="379">
        <v>8.1174834595959577</v>
      </c>
      <c r="G4125" s="25">
        <v>47.46</v>
      </c>
      <c r="H4125" s="379">
        <v>9.6541553223195322</v>
      </c>
      <c r="I4125" s="25">
        <v>48.86</v>
      </c>
      <c r="J4125" s="379">
        <v>6.3964704407353947</v>
      </c>
    </row>
    <row r="4126" spans="1:10" x14ac:dyDescent="0.35">
      <c r="A4126" s="5">
        <v>4122</v>
      </c>
      <c r="B4126" s="5">
        <v>172</v>
      </c>
      <c r="C4126" s="5">
        <v>6</v>
      </c>
      <c r="D4126" s="379">
        <v>88.965555555555554</v>
      </c>
      <c r="E4126" s="25">
        <v>24.99</v>
      </c>
      <c r="F4126" s="379">
        <v>8.6503753894749753</v>
      </c>
      <c r="G4126" s="25">
        <v>47.46</v>
      </c>
      <c r="H4126" s="379">
        <v>10.190323613582745</v>
      </c>
      <c r="I4126" s="25">
        <v>51.02</v>
      </c>
      <c r="J4126" s="379">
        <v>6.3308123851356495</v>
      </c>
    </row>
    <row r="4127" spans="1:10" x14ac:dyDescent="0.35">
      <c r="A4127" s="5">
        <v>4123</v>
      </c>
      <c r="B4127" s="5">
        <v>172</v>
      </c>
      <c r="C4127" s="5">
        <v>6</v>
      </c>
      <c r="D4127" s="379">
        <v>100.08944444444444</v>
      </c>
      <c r="E4127" s="25">
        <v>24.99</v>
      </c>
      <c r="F4127" s="379">
        <v>10.617263498557982</v>
      </c>
      <c r="G4127" s="25">
        <v>47.46</v>
      </c>
      <c r="H4127" s="379">
        <v>11.152679156165485</v>
      </c>
      <c r="I4127" s="25">
        <v>53.27</v>
      </c>
      <c r="J4127" s="379">
        <v>7.0399690106789015</v>
      </c>
    </row>
    <row r="4128" spans="1:10" x14ac:dyDescent="0.35">
      <c r="A4128" s="5">
        <v>4124</v>
      </c>
      <c r="B4128" s="5">
        <v>172</v>
      </c>
      <c r="C4128" s="5">
        <v>6</v>
      </c>
      <c r="D4128" s="379">
        <v>93.081666666666663</v>
      </c>
      <c r="E4128" s="25">
        <v>24.99</v>
      </c>
      <c r="F4128" s="379">
        <v>9.974138287741031</v>
      </c>
      <c r="G4128" s="25">
        <v>47.46</v>
      </c>
      <c r="H4128" s="379">
        <v>11.520489593250142</v>
      </c>
      <c r="I4128" s="25">
        <v>54.92</v>
      </c>
      <c r="J4128" s="379">
        <v>7.3107772401049376</v>
      </c>
    </row>
    <row r="4129" spans="1:10" x14ac:dyDescent="0.35">
      <c r="A4129" s="5">
        <v>4125</v>
      </c>
      <c r="B4129" s="5">
        <v>172</v>
      </c>
      <c r="C4129" s="5">
        <v>6</v>
      </c>
      <c r="D4129" s="379">
        <v>82.061111111111117</v>
      </c>
      <c r="E4129" s="25">
        <v>24.99</v>
      </c>
      <c r="F4129" s="379">
        <v>13.370244215491045</v>
      </c>
      <c r="G4129" s="25">
        <v>47.46</v>
      </c>
      <c r="H4129" s="379">
        <v>11.547672984540014</v>
      </c>
      <c r="I4129" s="25">
        <v>58.21</v>
      </c>
      <c r="J4129" s="379">
        <v>7.2873813492422626</v>
      </c>
    </row>
    <row r="4130" spans="1:10" x14ac:dyDescent="0.35">
      <c r="A4130" s="5">
        <v>4126</v>
      </c>
      <c r="B4130" s="5">
        <v>172</v>
      </c>
      <c r="C4130" s="5">
        <v>6</v>
      </c>
      <c r="D4130" s="379">
        <v>74.919444444444451</v>
      </c>
      <c r="E4130" s="25">
        <v>25.59</v>
      </c>
      <c r="F4130" s="379">
        <v>11.071554498918937</v>
      </c>
      <c r="G4130" s="25">
        <v>47.46</v>
      </c>
      <c r="H4130" s="379">
        <v>11.779895639097594</v>
      </c>
      <c r="I4130" s="25">
        <v>61.76</v>
      </c>
      <c r="J4130" s="379">
        <v>7.2905223258378928</v>
      </c>
    </row>
    <row r="4131" spans="1:10" x14ac:dyDescent="0.35">
      <c r="A4131" s="5">
        <v>4127</v>
      </c>
      <c r="B4131" s="5">
        <v>172</v>
      </c>
      <c r="C4131" s="5">
        <v>6</v>
      </c>
      <c r="D4131" s="379">
        <v>69.036666666666662</v>
      </c>
      <c r="E4131" s="25">
        <v>25.29</v>
      </c>
      <c r="F4131" s="379">
        <v>11.549912317328983</v>
      </c>
      <c r="G4131" s="25">
        <v>43.99</v>
      </c>
      <c r="H4131" s="379">
        <v>11.782414108962953</v>
      </c>
      <c r="I4131" s="25">
        <v>56.52</v>
      </c>
      <c r="J4131" s="379">
        <v>7.2960746378567496</v>
      </c>
    </row>
    <row r="4132" spans="1:10" x14ac:dyDescent="0.35">
      <c r="A4132" s="5">
        <v>4128</v>
      </c>
      <c r="B4132" s="5">
        <v>172</v>
      </c>
      <c r="C4132" s="5">
        <v>6</v>
      </c>
      <c r="D4132" s="379">
        <v>61.175555555555562</v>
      </c>
      <c r="E4132" s="25">
        <v>24.84</v>
      </c>
      <c r="F4132" s="379">
        <v>11.129072582242221</v>
      </c>
      <c r="G4132" s="25">
        <v>43.56</v>
      </c>
      <c r="H4132" s="379">
        <v>11.586600981821482</v>
      </c>
      <c r="I4132" s="25">
        <v>54.87</v>
      </c>
      <c r="J4132" s="379">
        <v>7.2662253275280957</v>
      </c>
    </row>
    <row r="4133" spans="1:10" x14ac:dyDescent="0.35">
      <c r="A4133" s="5">
        <v>4129</v>
      </c>
      <c r="B4133" s="5">
        <v>173</v>
      </c>
      <c r="C4133" s="5">
        <v>6</v>
      </c>
      <c r="D4133" s="379">
        <v>58.54</v>
      </c>
      <c r="E4133" s="25">
        <v>24.84</v>
      </c>
      <c r="F4133" s="379">
        <v>9.3280604642437535</v>
      </c>
      <c r="G4133" s="25">
        <v>43.56</v>
      </c>
      <c r="H4133" s="379">
        <v>11.448690489092495</v>
      </c>
      <c r="I4133" s="25">
        <v>53.71</v>
      </c>
      <c r="J4133" s="379">
        <v>7.240778096606415</v>
      </c>
    </row>
    <row r="4134" spans="1:10" x14ac:dyDescent="0.35">
      <c r="A4134" s="5">
        <v>4130</v>
      </c>
      <c r="B4134" s="5">
        <v>173</v>
      </c>
      <c r="C4134" s="5">
        <v>6</v>
      </c>
      <c r="D4134" s="379">
        <v>56.998333333333321</v>
      </c>
      <c r="E4134" s="25">
        <v>24.84</v>
      </c>
      <c r="F4134" s="379">
        <v>9.0306969599490348</v>
      </c>
      <c r="G4134" s="25">
        <v>43.56</v>
      </c>
      <c r="H4134" s="379">
        <v>11.638384944269399</v>
      </c>
      <c r="I4134" s="25">
        <v>53.27</v>
      </c>
      <c r="J4134" s="379">
        <v>7.3137279182850374</v>
      </c>
    </row>
    <row r="4135" spans="1:10" x14ac:dyDescent="0.35">
      <c r="A4135" s="5">
        <v>4131</v>
      </c>
      <c r="B4135" s="5">
        <v>173</v>
      </c>
      <c r="C4135" s="5">
        <v>6</v>
      </c>
      <c r="D4135" s="379">
        <v>54.364444444444437</v>
      </c>
      <c r="E4135" s="25">
        <v>24.84</v>
      </c>
      <c r="F4135" s="379">
        <v>8.9213185338672929</v>
      </c>
      <c r="G4135" s="25">
        <v>43.56</v>
      </c>
      <c r="H4135" s="379">
        <v>11.508367637755551</v>
      </c>
      <c r="I4135" s="25">
        <v>52.73</v>
      </c>
      <c r="J4135" s="379">
        <v>7.3167879483730358</v>
      </c>
    </row>
    <row r="4136" spans="1:10" x14ac:dyDescent="0.35">
      <c r="A4136" s="5">
        <v>4132</v>
      </c>
      <c r="B4136" s="5">
        <v>173</v>
      </c>
      <c r="C4136" s="5">
        <v>6</v>
      </c>
      <c r="D4136" s="379">
        <v>54.31166666666666</v>
      </c>
      <c r="E4136" s="25">
        <v>24.84</v>
      </c>
      <c r="F4136" s="379">
        <v>8.9864783627139904</v>
      </c>
      <c r="G4136" s="25">
        <v>42.29</v>
      </c>
      <c r="H4136" s="379">
        <v>11.675192257352782</v>
      </c>
      <c r="I4136" s="25">
        <v>52.73</v>
      </c>
      <c r="J4136" s="379">
        <v>7.2737868159789176</v>
      </c>
    </row>
    <row r="4137" spans="1:10" x14ac:dyDescent="0.35">
      <c r="A4137" s="5">
        <v>4133</v>
      </c>
      <c r="B4137" s="5">
        <v>173</v>
      </c>
      <c r="C4137" s="5">
        <v>6</v>
      </c>
      <c r="D4137" s="379">
        <v>56.426111111111098</v>
      </c>
      <c r="E4137" s="25">
        <v>24.84</v>
      </c>
      <c r="F4137" s="379">
        <v>9.4990289103414423</v>
      </c>
      <c r="G4137" s="25">
        <v>42.29</v>
      </c>
      <c r="H4137" s="379">
        <v>11.524746066251824</v>
      </c>
      <c r="I4137" s="25">
        <v>53.27</v>
      </c>
      <c r="J4137" s="379">
        <v>7.2442905511247275</v>
      </c>
    </row>
    <row r="4138" spans="1:10" x14ac:dyDescent="0.35">
      <c r="A4138" s="5">
        <v>4134</v>
      </c>
      <c r="B4138" s="5">
        <v>173</v>
      </c>
      <c r="C4138" s="5">
        <v>6</v>
      </c>
      <c r="D4138" s="379">
        <v>67.535000000000011</v>
      </c>
      <c r="E4138" s="25">
        <v>24.84</v>
      </c>
      <c r="F4138" s="379">
        <v>11.100981093904254</v>
      </c>
      <c r="G4138" s="25">
        <v>46.98</v>
      </c>
      <c r="H4138" s="379">
        <v>11.489802609614838</v>
      </c>
      <c r="I4138" s="25">
        <v>54.87</v>
      </c>
      <c r="J4138" s="379">
        <v>7.2446265374345913</v>
      </c>
    </row>
    <row r="4139" spans="1:10" x14ac:dyDescent="0.35">
      <c r="A4139" s="5">
        <v>4135</v>
      </c>
      <c r="B4139" s="5">
        <v>173</v>
      </c>
      <c r="C4139" s="5">
        <v>6</v>
      </c>
      <c r="D4139" s="379">
        <v>77.685000000000002</v>
      </c>
      <c r="E4139" s="25">
        <v>25.59</v>
      </c>
      <c r="F4139" s="379">
        <v>10.75159614116648</v>
      </c>
      <c r="G4139" s="25">
        <v>47.46</v>
      </c>
      <c r="H4139" s="379">
        <v>11.291051486388529</v>
      </c>
      <c r="I4139" s="25">
        <v>61.76</v>
      </c>
      <c r="J4139" s="379">
        <v>6.9633813472394257</v>
      </c>
    </row>
    <row r="4140" spans="1:10" x14ac:dyDescent="0.35">
      <c r="A4140" s="5">
        <v>4136</v>
      </c>
      <c r="B4140" s="5">
        <v>173</v>
      </c>
      <c r="C4140" s="5">
        <v>6</v>
      </c>
      <c r="D4140" s="379">
        <v>76.849999999999994</v>
      </c>
      <c r="E4140" s="25">
        <v>25.74</v>
      </c>
      <c r="F4140" s="379">
        <v>9.7031009428270654</v>
      </c>
      <c r="G4140" s="25">
        <v>47.46</v>
      </c>
      <c r="H4140" s="379">
        <v>10.902824455645971</v>
      </c>
      <c r="I4140" s="25">
        <v>60.24</v>
      </c>
      <c r="J4140" s="379">
        <v>6.8972778922624505</v>
      </c>
    </row>
    <row r="4141" spans="1:10" x14ac:dyDescent="0.35">
      <c r="A4141" s="5">
        <v>4137</v>
      </c>
      <c r="B4141" s="5">
        <v>173</v>
      </c>
      <c r="C4141" s="5">
        <v>6</v>
      </c>
      <c r="D4141" s="379">
        <v>69.780555555555551</v>
      </c>
      <c r="E4141" s="25">
        <v>24.99</v>
      </c>
      <c r="F4141" s="379">
        <v>9.261947768933112</v>
      </c>
      <c r="G4141" s="25">
        <v>47.46</v>
      </c>
      <c r="H4141" s="379">
        <v>10.799269179224565</v>
      </c>
      <c r="I4141" s="25">
        <v>56.51</v>
      </c>
      <c r="J4141" s="379">
        <v>6.886305997405203</v>
      </c>
    </row>
    <row r="4142" spans="1:10" x14ac:dyDescent="0.35">
      <c r="A4142" s="5">
        <v>4138</v>
      </c>
      <c r="B4142" s="5">
        <v>173</v>
      </c>
      <c r="C4142" s="5">
        <v>6</v>
      </c>
      <c r="D4142" s="379">
        <v>61.171111111111117</v>
      </c>
      <c r="E4142" s="25">
        <v>24.99</v>
      </c>
      <c r="F4142" s="379">
        <v>9.1597795140625582</v>
      </c>
      <c r="G4142" s="25">
        <v>47.46</v>
      </c>
      <c r="H4142" s="379">
        <v>10.813161873618874</v>
      </c>
      <c r="I4142" s="25">
        <v>53.71</v>
      </c>
      <c r="J4142" s="379">
        <v>6.2391986618732256</v>
      </c>
    </row>
    <row r="4143" spans="1:10" x14ac:dyDescent="0.35">
      <c r="A4143" s="5">
        <v>4139</v>
      </c>
      <c r="B4143" s="5">
        <v>173</v>
      </c>
      <c r="C4143" s="5">
        <v>6</v>
      </c>
      <c r="D4143" s="379">
        <v>58.86055555555555</v>
      </c>
      <c r="E4143" s="25">
        <v>24.99</v>
      </c>
      <c r="F4143" s="379">
        <v>8.5314119037729359</v>
      </c>
      <c r="G4143" s="25">
        <v>47.46</v>
      </c>
      <c r="H4143" s="379">
        <v>10.284435836801149</v>
      </c>
      <c r="I4143" s="25">
        <v>53.27</v>
      </c>
      <c r="J4143" s="379">
        <v>6.3516085193729603</v>
      </c>
    </row>
    <row r="4144" spans="1:10" x14ac:dyDescent="0.35">
      <c r="A4144" s="5">
        <v>4140</v>
      </c>
      <c r="B4144" s="5">
        <v>173</v>
      </c>
      <c r="C4144" s="5">
        <v>6</v>
      </c>
      <c r="D4144" s="379">
        <v>56.756111111111103</v>
      </c>
      <c r="E4144" s="25">
        <v>24.84</v>
      </c>
      <c r="F4144" s="379">
        <v>8.6114493738318458</v>
      </c>
      <c r="G4144" s="25">
        <v>43.56</v>
      </c>
      <c r="H4144" s="379">
        <v>10.047967898286759</v>
      </c>
      <c r="I4144" s="25">
        <v>51.76</v>
      </c>
      <c r="J4144" s="379">
        <v>6.6362518397990549</v>
      </c>
    </row>
    <row r="4145" spans="1:10" x14ac:dyDescent="0.35">
      <c r="A4145" s="5">
        <v>4141</v>
      </c>
      <c r="B4145" s="5">
        <v>173</v>
      </c>
      <c r="C4145" s="5">
        <v>6</v>
      </c>
      <c r="D4145" s="379">
        <v>54.367222222222225</v>
      </c>
      <c r="E4145" s="25">
        <v>24.84</v>
      </c>
      <c r="F4145" s="379">
        <v>8.5986966611065849</v>
      </c>
      <c r="G4145" s="25">
        <v>43.56</v>
      </c>
      <c r="H4145" s="379">
        <v>10.492808896704755</v>
      </c>
      <c r="I4145" s="25">
        <v>51.72</v>
      </c>
      <c r="J4145" s="379">
        <v>6.5626158717417749</v>
      </c>
    </row>
    <row r="4146" spans="1:10" x14ac:dyDescent="0.35">
      <c r="A4146" s="5">
        <v>4142</v>
      </c>
      <c r="B4146" s="5">
        <v>173</v>
      </c>
      <c r="C4146" s="5">
        <v>6</v>
      </c>
      <c r="D4146" s="379">
        <v>50.095555555555549</v>
      </c>
      <c r="E4146" s="25">
        <v>24.84</v>
      </c>
      <c r="F4146" s="379">
        <v>8.1174834595959595</v>
      </c>
      <c r="G4146" s="25">
        <v>43.56</v>
      </c>
      <c r="H4146" s="379">
        <v>9.8381403699356493</v>
      </c>
      <c r="I4146" s="25">
        <v>51.2</v>
      </c>
      <c r="J4146" s="379">
        <v>6.4618769938938661</v>
      </c>
    </row>
    <row r="4147" spans="1:10" x14ac:dyDescent="0.35">
      <c r="A4147" s="5">
        <v>4143</v>
      </c>
      <c r="B4147" s="5">
        <v>173</v>
      </c>
      <c r="C4147" s="5">
        <v>6</v>
      </c>
      <c r="D4147" s="379">
        <v>54.041111111111107</v>
      </c>
      <c r="E4147" s="25">
        <v>24.84</v>
      </c>
      <c r="F4147" s="379">
        <v>8.3669616483025155</v>
      </c>
      <c r="G4147" s="25">
        <v>43.56</v>
      </c>
      <c r="H4147" s="379">
        <v>10.112745363764013</v>
      </c>
      <c r="I4147" s="25">
        <v>51.2</v>
      </c>
      <c r="J4147" s="379">
        <v>6.4767919097913316</v>
      </c>
    </row>
    <row r="4148" spans="1:10" x14ac:dyDescent="0.35">
      <c r="A4148" s="5">
        <v>4144</v>
      </c>
      <c r="B4148" s="5">
        <v>173</v>
      </c>
      <c r="C4148" s="5">
        <v>6</v>
      </c>
      <c r="D4148" s="379">
        <v>60.210555555555551</v>
      </c>
      <c r="E4148" s="25">
        <v>24.88</v>
      </c>
      <c r="F4148" s="379">
        <v>9.832923506848875</v>
      </c>
      <c r="G4148" s="25">
        <v>43.99</v>
      </c>
      <c r="H4148" s="379">
        <v>10.564072129884693</v>
      </c>
      <c r="I4148" s="25">
        <v>51.2</v>
      </c>
      <c r="J4148" s="379">
        <v>6.5369871116050637</v>
      </c>
    </row>
    <row r="4149" spans="1:10" x14ac:dyDescent="0.35">
      <c r="A4149" s="5">
        <v>4145</v>
      </c>
      <c r="B4149" s="5">
        <v>173</v>
      </c>
      <c r="C4149" s="5">
        <v>6</v>
      </c>
      <c r="D4149" s="379">
        <v>71.123888888888885</v>
      </c>
      <c r="E4149" s="25">
        <v>24.99</v>
      </c>
      <c r="F4149" s="379">
        <v>9.8329353166871183</v>
      </c>
      <c r="G4149" s="25">
        <v>47.46</v>
      </c>
      <c r="H4149" s="379">
        <v>10.32287343844814</v>
      </c>
      <c r="I4149" s="25">
        <v>52.73</v>
      </c>
      <c r="J4149" s="379">
        <v>7.494076352792387</v>
      </c>
    </row>
    <row r="4150" spans="1:10" x14ac:dyDescent="0.35">
      <c r="A4150" s="5">
        <v>4146</v>
      </c>
      <c r="B4150" s="5">
        <v>173</v>
      </c>
      <c r="C4150" s="5">
        <v>6</v>
      </c>
      <c r="D4150" s="379">
        <v>81.266111111111101</v>
      </c>
      <c r="E4150" s="25">
        <v>24.99</v>
      </c>
      <c r="F4150" s="379">
        <v>11.180534826449994</v>
      </c>
      <c r="G4150" s="25">
        <v>47.46</v>
      </c>
      <c r="H4150" s="379">
        <v>9.6134826331769911</v>
      </c>
      <c r="I4150" s="25">
        <v>52.73</v>
      </c>
      <c r="J4150" s="379">
        <v>7.2843891724850485</v>
      </c>
    </row>
    <row r="4151" spans="1:10" x14ac:dyDescent="0.35">
      <c r="A4151" s="5">
        <v>4147</v>
      </c>
      <c r="B4151" s="5">
        <v>173</v>
      </c>
      <c r="C4151" s="5">
        <v>6</v>
      </c>
      <c r="D4151" s="379">
        <v>84.548888888888897</v>
      </c>
      <c r="E4151" s="25">
        <v>24.99</v>
      </c>
      <c r="F4151" s="379">
        <v>17.06501382713601</v>
      </c>
      <c r="G4151" s="25">
        <v>47.46</v>
      </c>
      <c r="H4151" s="379">
        <v>11.225619612257898</v>
      </c>
      <c r="I4151" s="25">
        <v>53.27</v>
      </c>
      <c r="J4151" s="379">
        <v>7.4678283435690931</v>
      </c>
    </row>
    <row r="4152" spans="1:10" x14ac:dyDescent="0.35">
      <c r="A4152" s="5">
        <v>4148</v>
      </c>
      <c r="B4152" s="5">
        <v>173</v>
      </c>
      <c r="C4152" s="5">
        <v>6</v>
      </c>
      <c r="D4152" s="379">
        <v>85.960555555555544</v>
      </c>
      <c r="E4152" s="25">
        <v>24.99</v>
      </c>
      <c r="F4152" s="379">
        <v>16.379441907023711</v>
      </c>
      <c r="G4152" s="25">
        <v>47.46</v>
      </c>
      <c r="H4152" s="379">
        <v>11.225619612257898</v>
      </c>
      <c r="I4152" s="25">
        <v>53.27</v>
      </c>
      <c r="J4152" s="379">
        <v>7.4678283435690931</v>
      </c>
    </row>
    <row r="4153" spans="1:10" x14ac:dyDescent="0.35">
      <c r="A4153" s="5">
        <v>4149</v>
      </c>
      <c r="B4153" s="5">
        <v>173</v>
      </c>
      <c r="C4153" s="5">
        <v>6</v>
      </c>
      <c r="D4153" s="379">
        <v>78.391111111111101</v>
      </c>
      <c r="E4153" s="25">
        <v>24.84</v>
      </c>
      <c r="F4153" s="379">
        <v>17.064062526738617</v>
      </c>
      <c r="G4153" s="25">
        <v>47.46</v>
      </c>
      <c r="H4153" s="379">
        <v>10.724129956598576</v>
      </c>
      <c r="I4153" s="25">
        <v>56.77</v>
      </c>
      <c r="J4153" s="379">
        <v>7.4678283435690931</v>
      </c>
    </row>
    <row r="4154" spans="1:10" x14ac:dyDescent="0.35">
      <c r="A4154" s="5">
        <v>4150</v>
      </c>
      <c r="B4154" s="5">
        <v>173</v>
      </c>
      <c r="C4154" s="5">
        <v>6</v>
      </c>
      <c r="D4154" s="379">
        <v>74.271666666666675</v>
      </c>
      <c r="E4154" s="25">
        <v>24.84</v>
      </c>
      <c r="F4154" s="379">
        <v>17.391280542794991</v>
      </c>
      <c r="G4154" s="25">
        <v>47.46</v>
      </c>
      <c r="H4154" s="379">
        <v>10.338121810071032</v>
      </c>
      <c r="I4154" s="25">
        <v>61.76</v>
      </c>
      <c r="J4154" s="379">
        <v>7.3893603409346378</v>
      </c>
    </row>
    <row r="4155" spans="1:10" x14ac:dyDescent="0.35">
      <c r="A4155" s="5">
        <v>4151</v>
      </c>
      <c r="B4155" s="5">
        <v>173</v>
      </c>
      <c r="C4155" s="5">
        <v>6</v>
      </c>
      <c r="D4155" s="379">
        <v>61.844999999999992</v>
      </c>
      <c r="E4155" s="25">
        <v>24.84</v>
      </c>
      <c r="F4155" s="379">
        <v>12.56837026776833</v>
      </c>
      <c r="G4155" s="25">
        <v>43.56</v>
      </c>
      <c r="H4155" s="379">
        <v>9.8414891802026894</v>
      </c>
      <c r="I4155" s="25">
        <v>59.96</v>
      </c>
      <c r="J4155" s="379">
        <v>7.1938610812135826</v>
      </c>
    </row>
    <row r="4156" spans="1:10" x14ac:dyDescent="0.35">
      <c r="A4156" s="5">
        <v>4152</v>
      </c>
      <c r="B4156" s="5">
        <v>173</v>
      </c>
      <c r="C4156" s="5">
        <v>6</v>
      </c>
      <c r="D4156" s="379">
        <v>61.103333333333325</v>
      </c>
      <c r="E4156" s="25">
        <v>24.84</v>
      </c>
      <c r="F4156" s="379">
        <v>9.3351963574204344</v>
      </c>
      <c r="G4156" s="25">
        <v>43.56</v>
      </c>
      <c r="H4156" s="379">
        <v>10.377685208876137</v>
      </c>
      <c r="I4156" s="25">
        <v>53.27</v>
      </c>
      <c r="J4156" s="379">
        <v>7.1860964649520476</v>
      </c>
    </row>
    <row r="4157" spans="1:10" x14ac:dyDescent="0.35">
      <c r="A4157" s="5">
        <v>4153</v>
      </c>
      <c r="B4157" s="5">
        <v>174</v>
      </c>
      <c r="C4157" s="5">
        <v>6</v>
      </c>
      <c r="D4157" s="379">
        <v>57.232777777777777</v>
      </c>
      <c r="E4157" s="25">
        <v>24.84</v>
      </c>
      <c r="F4157" s="379">
        <v>8.9284065128430967</v>
      </c>
      <c r="G4157" s="25">
        <v>42.29</v>
      </c>
      <c r="H4157" s="379">
        <v>10.319053778279175</v>
      </c>
      <c r="I4157" s="25">
        <v>51.72</v>
      </c>
      <c r="J4157" s="379">
        <v>6.7457876902586182</v>
      </c>
    </row>
    <row r="4158" spans="1:10" x14ac:dyDescent="0.35">
      <c r="A4158" s="5">
        <v>4154</v>
      </c>
      <c r="B4158" s="5">
        <v>174</v>
      </c>
      <c r="C4158" s="5">
        <v>6</v>
      </c>
      <c r="D4158" s="379">
        <v>55.709999999999994</v>
      </c>
      <c r="E4158" s="25">
        <v>24.84</v>
      </c>
      <c r="F4158" s="379">
        <v>8.1174834595959577</v>
      </c>
      <c r="G4158" s="25">
        <v>40.340000000000003</v>
      </c>
      <c r="H4158" s="379">
        <v>10.397971779091169</v>
      </c>
      <c r="I4158" s="25">
        <v>51.72</v>
      </c>
      <c r="J4158" s="379">
        <v>6.6225159907076447</v>
      </c>
    </row>
    <row r="4159" spans="1:10" x14ac:dyDescent="0.35">
      <c r="A4159" s="5">
        <v>4155</v>
      </c>
      <c r="B4159" s="5">
        <v>174</v>
      </c>
      <c r="C4159" s="5">
        <v>6</v>
      </c>
      <c r="D4159" s="379">
        <v>54.565555555555555</v>
      </c>
      <c r="E4159" s="25">
        <v>24.73</v>
      </c>
      <c r="F4159" s="379">
        <v>8.1174834595959577</v>
      </c>
      <c r="G4159" s="25">
        <v>40.340000000000003</v>
      </c>
      <c r="H4159" s="379">
        <v>8.3758350450031447</v>
      </c>
      <c r="I4159" s="25">
        <v>51.2</v>
      </c>
      <c r="J4159" s="379">
        <v>6.6617564071166786</v>
      </c>
    </row>
    <row r="4160" spans="1:10" x14ac:dyDescent="0.35">
      <c r="A4160" s="5">
        <v>4156</v>
      </c>
      <c r="B4160" s="5">
        <v>174</v>
      </c>
      <c r="C4160" s="5">
        <v>6</v>
      </c>
      <c r="D4160" s="379">
        <v>55.619444444444433</v>
      </c>
      <c r="E4160" s="25">
        <v>24.73</v>
      </c>
      <c r="F4160" s="379">
        <v>8.1174834595959577</v>
      </c>
      <c r="G4160" s="25">
        <v>40.340000000000003</v>
      </c>
      <c r="H4160" s="379">
        <v>8.2089300894020791</v>
      </c>
      <c r="I4160" s="25">
        <v>51.2</v>
      </c>
      <c r="J4160" s="379">
        <v>6.5322735160601866</v>
      </c>
    </row>
    <row r="4161" spans="1:10" x14ac:dyDescent="0.35">
      <c r="A4161" s="5">
        <v>4157</v>
      </c>
      <c r="B4161" s="5">
        <v>174</v>
      </c>
      <c r="C4161" s="5">
        <v>6</v>
      </c>
      <c r="D4161" s="379">
        <v>58.259444444444441</v>
      </c>
      <c r="E4161" s="25">
        <v>24.84</v>
      </c>
      <c r="F4161" s="379">
        <v>8.1174834595959613</v>
      </c>
      <c r="G4161" s="25">
        <v>40.340000000000003</v>
      </c>
      <c r="H4161" s="379">
        <v>6.1117037845599418</v>
      </c>
      <c r="I4161" s="25">
        <v>51.72</v>
      </c>
      <c r="J4161" s="379">
        <v>6.7329525876351131</v>
      </c>
    </row>
    <row r="4162" spans="1:10" x14ac:dyDescent="0.35">
      <c r="A4162" s="5">
        <v>4158</v>
      </c>
      <c r="B4162" s="5">
        <v>174</v>
      </c>
      <c r="C4162" s="5">
        <v>6</v>
      </c>
      <c r="D4162" s="379">
        <v>67.387222222222221</v>
      </c>
      <c r="E4162" s="25">
        <v>24.84</v>
      </c>
      <c r="F4162" s="379">
        <v>8.1174834595959577</v>
      </c>
      <c r="G4162" s="25">
        <v>42.95</v>
      </c>
      <c r="H4162" s="379">
        <v>4.799693804694658</v>
      </c>
      <c r="I4162" s="25">
        <v>51.76</v>
      </c>
      <c r="J4162" s="379">
        <v>6.3060222008522633</v>
      </c>
    </row>
    <row r="4163" spans="1:10" x14ac:dyDescent="0.35">
      <c r="A4163" s="5">
        <v>4159</v>
      </c>
      <c r="B4163" s="5">
        <v>174</v>
      </c>
      <c r="C4163" s="5">
        <v>6</v>
      </c>
      <c r="D4163" s="379">
        <v>74.216111111111104</v>
      </c>
      <c r="E4163" s="25">
        <v>24.84</v>
      </c>
      <c r="F4163" s="379">
        <v>8.1174834595959595</v>
      </c>
      <c r="G4163" s="25">
        <v>44.69</v>
      </c>
      <c r="H4163" s="379">
        <v>5.1981850821666908</v>
      </c>
      <c r="I4163" s="25">
        <v>53.8</v>
      </c>
      <c r="J4163" s="379">
        <v>0.27777777777777779</v>
      </c>
    </row>
    <row r="4164" spans="1:10" x14ac:dyDescent="0.35">
      <c r="A4164" s="5">
        <v>4160</v>
      </c>
      <c r="B4164" s="5">
        <v>174</v>
      </c>
      <c r="C4164" s="5">
        <v>6</v>
      </c>
      <c r="D4164" s="379">
        <v>73.121111111111105</v>
      </c>
      <c r="E4164" s="25">
        <v>24.99</v>
      </c>
      <c r="F4164" s="379">
        <v>0.47222222222222221</v>
      </c>
      <c r="G4164" s="25">
        <v>47.46</v>
      </c>
      <c r="H4164" s="379">
        <v>5.1965374912461737</v>
      </c>
      <c r="I4164" s="25">
        <v>58.21</v>
      </c>
      <c r="J4164" s="379">
        <v>4.4067054639054364</v>
      </c>
    </row>
    <row r="4165" spans="1:10" x14ac:dyDescent="0.35">
      <c r="A4165" s="5">
        <v>4161</v>
      </c>
      <c r="B4165" s="5">
        <v>174</v>
      </c>
      <c r="C4165" s="5">
        <v>6</v>
      </c>
      <c r="D4165" s="379">
        <v>66.64222222222223</v>
      </c>
      <c r="E4165" s="25">
        <v>24.99</v>
      </c>
      <c r="F4165" s="379">
        <v>5.3837097714493884</v>
      </c>
      <c r="G4165" s="25">
        <v>47.46</v>
      </c>
      <c r="H4165" s="379">
        <v>5.1868158646440277</v>
      </c>
      <c r="I4165" s="25">
        <v>54.04</v>
      </c>
      <c r="J4165" s="379">
        <v>3.8491317262402518</v>
      </c>
    </row>
    <row r="4166" spans="1:10" x14ac:dyDescent="0.35">
      <c r="A4166" s="5">
        <v>4162</v>
      </c>
      <c r="B4166" s="5">
        <v>174</v>
      </c>
      <c r="C4166" s="5">
        <v>6</v>
      </c>
      <c r="D4166" s="379">
        <v>60.844444444444434</v>
      </c>
      <c r="E4166" s="25">
        <v>24.99</v>
      </c>
      <c r="F4166" s="379">
        <v>1.2656869195675584</v>
      </c>
      <c r="G4166" s="25">
        <v>44.74</v>
      </c>
      <c r="H4166" s="379">
        <v>4.6630100068357621</v>
      </c>
      <c r="I4166" s="25">
        <v>53.27</v>
      </c>
      <c r="J4166" s="379">
        <v>3.8314662530208743</v>
      </c>
    </row>
    <row r="4167" spans="1:10" x14ac:dyDescent="0.35">
      <c r="A4167" s="5">
        <v>4163</v>
      </c>
      <c r="B4167" s="5">
        <v>174</v>
      </c>
      <c r="C4167" s="5">
        <v>6</v>
      </c>
      <c r="D4167" s="379">
        <v>59.360555555555557</v>
      </c>
      <c r="E4167" s="25">
        <v>24.84</v>
      </c>
      <c r="F4167" s="379">
        <v>5.2083306482968252</v>
      </c>
      <c r="G4167" s="25">
        <v>44.74</v>
      </c>
      <c r="H4167" s="379">
        <v>4.6055324391534853</v>
      </c>
      <c r="I4167" s="25">
        <v>53.27</v>
      </c>
      <c r="J4167" s="379">
        <v>2.4376625536256378</v>
      </c>
    </row>
    <row r="4168" spans="1:10" x14ac:dyDescent="0.35">
      <c r="A4168" s="5">
        <v>4164</v>
      </c>
      <c r="B4168" s="5">
        <v>174</v>
      </c>
      <c r="C4168" s="5">
        <v>6</v>
      </c>
      <c r="D4168" s="379">
        <v>59.836666666666659</v>
      </c>
      <c r="E4168" s="25">
        <v>24.84</v>
      </c>
      <c r="F4168" s="379">
        <v>5.2083306482968252</v>
      </c>
      <c r="G4168" s="25">
        <v>44.74</v>
      </c>
      <c r="H4168" s="379">
        <v>4.6055324391534853</v>
      </c>
      <c r="I4168" s="25">
        <v>53.19</v>
      </c>
      <c r="J4168" s="379">
        <v>2.4387353084544512</v>
      </c>
    </row>
    <row r="4169" spans="1:10" x14ac:dyDescent="0.35">
      <c r="A4169" s="5">
        <v>4165</v>
      </c>
      <c r="B4169" s="5">
        <v>174</v>
      </c>
      <c r="C4169" s="5">
        <v>6</v>
      </c>
      <c r="D4169" s="379">
        <v>57.545555555555566</v>
      </c>
      <c r="E4169" s="25">
        <v>24.84</v>
      </c>
      <c r="F4169" s="379">
        <v>5.2083306482968252</v>
      </c>
      <c r="G4169" s="25">
        <v>43.56</v>
      </c>
      <c r="H4169" s="379">
        <v>4.4291447908222308</v>
      </c>
      <c r="I4169" s="25">
        <v>52.73</v>
      </c>
      <c r="J4169" s="379">
        <v>2.4261185269776862</v>
      </c>
    </row>
    <row r="4170" spans="1:10" x14ac:dyDescent="0.35">
      <c r="A4170" s="5">
        <v>4166</v>
      </c>
      <c r="B4170" s="5">
        <v>174</v>
      </c>
      <c r="C4170" s="5">
        <v>6</v>
      </c>
      <c r="D4170" s="379">
        <v>58.955555555555556</v>
      </c>
      <c r="E4170" s="25">
        <v>24.84</v>
      </c>
      <c r="F4170" s="379">
        <v>5.1657453923705114</v>
      </c>
      <c r="G4170" s="25">
        <v>43.56</v>
      </c>
      <c r="H4170" s="379">
        <v>4.4291447908222308</v>
      </c>
      <c r="I4170" s="25">
        <v>51.72</v>
      </c>
      <c r="J4170" s="379">
        <v>2.4387353084544547</v>
      </c>
    </row>
    <row r="4171" spans="1:10" x14ac:dyDescent="0.35">
      <c r="A4171" s="5">
        <v>4167</v>
      </c>
      <c r="B4171" s="5">
        <v>174</v>
      </c>
      <c r="C4171" s="5">
        <v>6</v>
      </c>
      <c r="D4171" s="379">
        <v>61.851666666666667</v>
      </c>
      <c r="E4171" s="25">
        <v>24.84</v>
      </c>
      <c r="F4171" s="379">
        <v>5.1657453923705114</v>
      </c>
      <c r="G4171" s="25">
        <v>43.39</v>
      </c>
      <c r="H4171" s="379">
        <v>4.2367760137462032</v>
      </c>
      <c r="I4171" s="25">
        <v>51.72</v>
      </c>
      <c r="J4171" s="379">
        <v>2.4607606803743782</v>
      </c>
    </row>
    <row r="4172" spans="1:10" x14ac:dyDescent="0.35">
      <c r="A4172" s="5">
        <v>4168</v>
      </c>
      <c r="B4172" s="5">
        <v>174</v>
      </c>
      <c r="C4172" s="5">
        <v>6</v>
      </c>
      <c r="D4172" s="379">
        <v>65.562777777777782</v>
      </c>
      <c r="E4172" s="25">
        <v>24.84</v>
      </c>
      <c r="F4172" s="379">
        <v>5.3411245155230764</v>
      </c>
      <c r="G4172" s="25">
        <v>43.39</v>
      </c>
      <c r="H4172" s="379">
        <v>4.3920623604975884</v>
      </c>
      <c r="I4172" s="25">
        <v>51.72</v>
      </c>
      <c r="J4172" s="379">
        <v>2.4709113060135564</v>
      </c>
    </row>
    <row r="4173" spans="1:10" x14ac:dyDescent="0.35">
      <c r="A4173" s="5">
        <v>4169</v>
      </c>
      <c r="B4173" s="5">
        <v>174</v>
      </c>
      <c r="C4173" s="5">
        <v>6</v>
      </c>
      <c r="D4173" s="379">
        <v>76.188333333333318</v>
      </c>
      <c r="E4173" s="25">
        <v>24.84</v>
      </c>
      <c r="F4173" s="379">
        <v>1.7801265075043162</v>
      </c>
      <c r="G4173" s="25">
        <v>43.39</v>
      </c>
      <c r="H4173" s="379">
        <v>4.3920623604975884</v>
      </c>
      <c r="I4173" s="25">
        <v>52.24</v>
      </c>
      <c r="J4173" s="379">
        <v>2.4607606803743782</v>
      </c>
    </row>
    <row r="4174" spans="1:10" x14ac:dyDescent="0.35">
      <c r="A4174" s="5">
        <v>4170</v>
      </c>
      <c r="B4174" s="5">
        <v>174</v>
      </c>
      <c r="C4174" s="5">
        <v>6</v>
      </c>
      <c r="D4174" s="379">
        <v>80.919444444444437</v>
      </c>
      <c r="E4174" s="25">
        <v>24.99</v>
      </c>
      <c r="F4174" s="379">
        <v>2.0458495926207068</v>
      </c>
      <c r="G4174" s="25">
        <v>44.69</v>
      </c>
      <c r="H4174" s="379">
        <v>4.394789959536455</v>
      </c>
      <c r="I4174" s="25">
        <v>52.73</v>
      </c>
      <c r="J4174" s="379">
        <v>2.3299181282560939</v>
      </c>
    </row>
    <row r="4175" spans="1:10" x14ac:dyDescent="0.35">
      <c r="A4175" s="5">
        <v>4171</v>
      </c>
      <c r="B4175" s="5">
        <v>174</v>
      </c>
      <c r="C4175" s="5">
        <v>6</v>
      </c>
      <c r="D4175" s="379">
        <v>88.437222222222232</v>
      </c>
      <c r="E4175" s="25">
        <v>24.99</v>
      </c>
      <c r="F4175" s="379">
        <v>6.3878932156469794</v>
      </c>
      <c r="G4175" s="25">
        <v>44.69</v>
      </c>
      <c r="H4175" s="379">
        <v>0.68847593468182888</v>
      </c>
      <c r="I4175" s="25">
        <v>53.71</v>
      </c>
      <c r="J4175" s="379">
        <v>0.43042876171494954</v>
      </c>
    </row>
    <row r="4176" spans="1:10" x14ac:dyDescent="0.35">
      <c r="A4176" s="5">
        <v>4172</v>
      </c>
      <c r="B4176" s="5">
        <v>174</v>
      </c>
      <c r="C4176" s="5">
        <v>6</v>
      </c>
      <c r="D4176" s="379">
        <v>83.7361111111111</v>
      </c>
      <c r="E4176" s="25">
        <v>24.84</v>
      </c>
      <c r="F4176" s="379">
        <v>8.1174834595959577</v>
      </c>
      <c r="G4176" s="25">
        <v>44.69</v>
      </c>
      <c r="H4176" s="379">
        <v>2.2192243092199271</v>
      </c>
      <c r="I4176" s="25">
        <v>54.87</v>
      </c>
      <c r="J4176" s="379">
        <v>6.256802815506413</v>
      </c>
    </row>
    <row r="4177" spans="1:10" x14ac:dyDescent="0.35">
      <c r="A4177" s="5">
        <v>4173</v>
      </c>
      <c r="B4177" s="5">
        <v>174</v>
      </c>
      <c r="C4177" s="5">
        <v>6</v>
      </c>
      <c r="D4177" s="379">
        <v>74.710555555555544</v>
      </c>
      <c r="E4177" s="25">
        <v>24.84</v>
      </c>
      <c r="F4177" s="379">
        <v>8.1174834595959577</v>
      </c>
      <c r="G4177" s="25">
        <v>46.98</v>
      </c>
      <c r="H4177" s="379">
        <v>2.857604667598292</v>
      </c>
      <c r="I4177" s="25">
        <v>56.41</v>
      </c>
      <c r="J4177" s="379">
        <v>6.2253270352407357</v>
      </c>
    </row>
    <row r="4178" spans="1:10" x14ac:dyDescent="0.35">
      <c r="A4178" s="5">
        <v>4174</v>
      </c>
      <c r="B4178" s="5">
        <v>174</v>
      </c>
      <c r="C4178" s="5">
        <v>6</v>
      </c>
      <c r="D4178" s="379">
        <v>68.915555555555557</v>
      </c>
      <c r="E4178" s="25">
        <v>25.29</v>
      </c>
      <c r="F4178" s="379">
        <v>8.1174834595959577</v>
      </c>
      <c r="G4178" s="25">
        <v>44.69</v>
      </c>
      <c r="H4178" s="379">
        <v>2.6383407420255138</v>
      </c>
      <c r="I4178" s="25">
        <v>58.21</v>
      </c>
      <c r="J4178" s="379">
        <v>6.3831944885413616</v>
      </c>
    </row>
    <row r="4179" spans="1:10" x14ac:dyDescent="0.35">
      <c r="A4179" s="5">
        <v>4175</v>
      </c>
      <c r="B4179" s="5">
        <v>174</v>
      </c>
      <c r="C4179" s="5">
        <v>6</v>
      </c>
      <c r="D4179" s="379">
        <v>59.951111111111111</v>
      </c>
      <c r="E4179" s="25">
        <v>24.84</v>
      </c>
      <c r="F4179" s="379">
        <v>8.1174834595959577</v>
      </c>
      <c r="G4179" s="25">
        <v>44.86</v>
      </c>
      <c r="H4179" s="379">
        <v>2.5547864523208439</v>
      </c>
      <c r="I4179" s="25">
        <v>57.62</v>
      </c>
      <c r="J4179" s="379">
        <v>6.4510474251683156</v>
      </c>
    </row>
    <row r="4180" spans="1:10" x14ac:dyDescent="0.35">
      <c r="A4180" s="5">
        <v>4176</v>
      </c>
      <c r="B4180" s="5">
        <v>174</v>
      </c>
      <c r="C4180" s="5">
        <v>6</v>
      </c>
      <c r="D4180" s="379">
        <v>54.909444444444453</v>
      </c>
      <c r="E4180" s="25">
        <v>24.84</v>
      </c>
      <c r="F4180" s="379">
        <v>8.1174834595959595</v>
      </c>
      <c r="G4180" s="25">
        <v>43.56</v>
      </c>
      <c r="H4180" s="379">
        <v>3.1598220008344766</v>
      </c>
      <c r="I4180" s="25">
        <v>54.76</v>
      </c>
      <c r="J4180" s="379">
        <v>6.2945067872324678</v>
      </c>
    </row>
    <row r="4181" spans="1:10" x14ac:dyDescent="0.35">
      <c r="A4181" s="5">
        <v>4177</v>
      </c>
      <c r="B4181" s="5">
        <v>175</v>
      </c>
      <c r="C4181" s="5">
        <v>6</v>
      </c>
      <c r="D4181" s="379">
        <v>50.139999999999993</v>
      </c>
      <c r="E4181" s="25">
        <v>24.84</v>
      </c>
      <c r="F4181" s="379">
        <v>8.1174834595959595</v>
      </c>
      <c r="G4181" s="25">
        <v>42.79</v>
      </c>
      <c r="H4181" s="379">
        <v>1.4928982747433195</v>
      </c>
      <c r="I4181" s="25">
        <v>53.32</v>
      </c>
      <c r="J4181" s="379">
        <v>6.3703719971200634</v>
      </c>
    </row>
    <row r="4182" spans="1:10" x14ac:dyDescent="0.35">
      <c r="A4182" s="5">
        <v>4178</v>
      </c>
      <c r="B4182" s="5">
        <v>175</v>
      </c>
      <c r="C4182" s="5">
        <v>6</v>
      </c>
      <c r="D4182" s="379">
        <v>48.158888888888889</v>
      </c>
      <c r="E4182" s="25">
        <v>24.84</v>
      </c>
      <c r="F4182" s="379">
        <v>8.1174834595959595</v>
      </c>
      <c r="G4182" s="25">
        <v>42.79</v>
      </c>
      <c r="H4182" s="379">
        <v>3.0509958692094457</v>
      </c>
      <c r="I4182" s="25">
        <v>52.49</v>
      </c>
      <c r="J4182" s="379">
        <v>6.1758290908993265</v>
      </c>
    </row>
    <row r="4183" spans="1:10" x14ac:dyDescent="0.35">
      <c r="A4183" s="5">
        <v>4179</v>
      </c>
      <c r="B4183" s="5">
        <v>175</v>
      </c>
      <c r="C4183" s="5">
        <v>6</v>
      </c>
      <c r="D4183" s="379">
        <v>45.958888888888886</v>
      </c>
      <c r="E4183" s="25">
        <v>24.84</v>
      </c>
      <c r="F4183" s="379">
        <v>8.1174834595959577</v>
      </c>
      <c r="G4183" s="25">
        <v>42.79</v>
      </c>
      <c r="H4183" s="379">
        <v>3.3978797072519522</v>
      </c>
      <c r="I4183" s="25">
        <v>52.49</v>
      </c>
      <c r="J4183" s="379">
        <v>6.3713275340331714</v>
      </c>
    </row>
    <row r="4184" spans="1:10" x14ac:dyDescent="0.35">
      <c r="A4184" s="5">
        <v>4180</v>
      </c>
      <c r="B4184" s="5">
        <v>175</v>
      </c>
      <c r="C4184" s="5">
        <v>6</v>
      </c>
      <c r="D4184" s="379">
        <v>44.999444444444443</v>
      </c>
      <c r="E4184" s="25">
        <v>24.84</v>
      </c>
      <c r="F4184" s="379">
        <v>8.1174834595959595</v>
      </c>
      <c r="G4184" s="25">
        <v>42.79</v>
      </c>
      <c r="H4184" s="379">
        <v>3.9169543364585886</v>
      </c>
      <c r="I4184" s="25">
        <v>52.49</v>
      </c>
      <c r="J4184" s="379">
        <v>6.3013982115720362</v>
      </c>
    </row>
    <row r="4185" spans="1:10" x14ac:dyDescent="0.35">
      <c r="A4185" s="5">
        <v>4181</v>
      </c>
      <c r="B4185" s="5">
        <v>175</v>
      </c>
      <c r="C4185" s="5">
        <v>6</v>
      </c>
      <c r="D4185" s="379">
        <v>46.844444444444449</v>
      </c>
      <c r="E4185" s="25">
        <v>24.84</v>
      </c>
      <c r="F4185" s="379">
        <v>8.1174834595959595</v>
      </c>
      <c r="G4185" s="25">
        <v>42.79</v>
      </c>
      <c r="H4185" s="379">
        <v>3.7386867806450974</v>
      </c>
      <c r="I4185" s="25">
        <v>52.49</v>
      </c>
      <c r="J4185" s="379">
        <v>5.9938617390141005</v>
      </c>
    </row>
    <row r="4186" spans="1:10" x14ac:dyDescent="0.35">
      <c r="A4186" s="5">
        <v>4182</v>
      </c>
      <c r="B4186" s="5">
        <v>175</v>
      </c>
      <c r="C4186" s="5">
        <v>6</v>
      </c>
      <c r="D4186" s="379">
        <v>56.293888888888887</v>
      </c>
      <c r="E4186" s="25">
        <v>24.84</v>
      </c>
      <c r="F4186" s="379">
        <v>8.1174834595959577</v>
      </c>
      <c r="G4186" s="25">
        <v>43.56</v>
      </c>
      <c r="H4186" s="379">
        <v>4.1989892207486639</v>
      </c>
      <c r="I4186" s="25">
        <v>54.87</v>
      </c>
      <c r="J4186" s="379">
        <v>6.2605301221134804</v>
      </c>
    </row>
    <row r="4187" spans="1:10" x14ac:dyDescent="0.35">
      <c r="A4187" s="5">
        <v>4183</v>
      </c>
      <c r="B4187" s="5">
        <v>175</v>
      </c>
      <c r="C4187" s="5">
        <v>6</v>
      </c>
      <c r="D4187" s="379">
        <v>65.843333333333334</v>
      </c>
      <c r="E4187" s="25">
        <v>25.29</v>
      </c>
      <c r="F4187" s="379">
        <v>8.1174834595959595</v>
      </c>
      <c r="G4187" s="25">
        <v>47.15</v>
      </c>
      <c r="H4187" s="379">
        <v>3.1139600048977254</v>
      </c>
      <c r="I4187" s="25">
        <v>56.52</v>
      </c>
      <c r="J4187" s="379">
        <v>6.0588433386606955</v>
      </c>
    </row>
    <row r="4188" spans="1:10" x14ac:dyDescent="0.35">
      <c r="A4188" s="5">
        <v>4184</v>
      </c>
      <c r="B4188" s="5">
        <v>175</v>
      </c>
      <c r="C4188" s="5">
        <v>6</v>
      </c>
      <c r="D4188" s="379">
        <v>68.702777777777783</v>
      </c>
      <c r="E4188" s="25">
        <v>26.51</v>
      </c>
      <c r="F4188" s="379">
        <v>8.1174834595959595</v>
      </c>
      <c r="G4188" s="25">
        <v>47.46</v>
      </c>
      <c r="H4188" s="379">
        <v>2.0888545572865853</v>
      </c>
      <c r="I4188" s="25">
        <v>56.52</v>
      </c>
      <c r="J4188" s="379">
        <v>6.3439305897519347</v>
      </c>
    </row>
    <row r="4189" spans="1:10" x14ac:dyDescent="0.35">
      <c r="A4189" s="5">
        <v>4185</v>
      </c>
      <c r="B4189" s="5">
        <v>175</v>
      </c>
      <c r="C4189" s="5">
        <v>6</v>
      </c>
      <c r="D4189" s="379">
        <v>68.073888888888874</v>
      </c>
      <c r="E4189" s="25">
        <v>25.29</v>
      </c>
      <c r="F4189" s="379">
        <v>3.127539681176625</v>
      </c>
      <c r="G4189" s="25">
        <v>47.15</v>
      </c>
      <c r="H4189" s="379">
        <v>1.6629401886814785</v>
      </c>
      <c r="I4189" s="25">
        <v>55.42</v>
      </c>
      <c r="J4189" s="379">
        <v>2.417724436938069</v>
      </c>
    </row>
    <row r="4190" spans="1:10" x14ac:dyDescent="0.35">
      <c r="A4190" s="5">
        <v>4186</v>
      </c>
      <c r="B4190" s="5">
        <v>175</v>
      </c>
      <c r="C4190" s="5">
        <v>6</v>
      </c>
      <c r="D4190" s="379">
        <v>64.817222222222227</v>
      </c>
      <c r="E4190" s="25">
        <v>25.29</v>
      </c>
      <c r="F4190" s="379">
        <v>4.412317317442378</v>
      </c>
      <c r="G4190" s="25">
        <v>44.74</v>
      </c>
      <c r="H4190" s="379">
        <v>0.99264302294202489</v>
      </c>
      <c r="I4190" s="25">
        <v>53.27</v>
      </c>
      <c r="J4190" s="379">
        <v>0.13141894270460891</v>
      </c>
    </row>
    <row r="4191" spans="1:10" x14ac:dyDescent="0.35">
      <c r="A4191" s="5">
        <v>4187</v>
      </c>
      <c r="B4191" s="5">
        <v>175</v>
      </c>
      <c r="C4191" s="5">
        <v>6</v>
      </c>
      <c r="D4191" s="379">
        <v>58.918333333333329</v>
      </c>
      <c r="E4191" s="25">
        <v>24.99</v>
      </c>
      <c r="F4191" s="379">
        <v>4.412317317442378</v>
      </c>
      <c r="G4191" s="25">
        <v>44.74</v>
      </c>
      <c r="H4191" s="379">
        <v>0.47222222222222221</v>
      </c>
      <c r="I4191" s="25">
        <v>52.49</v>
      </c>
      <c r="J4191" s="379">
        <v>3.7777394007425955E-2</v>
      </c>
    </row>
    <row r="4192" spans="1:10" x14ac:dyDescent="0.35">
      <c r="A4192" s="5">
        <v>4188</v>
      </c>
      <c r="B4192" s="5">
        <v>175</v>
      </c>
      <c r="C4192" s="5">
        <v>6</v>
      </c>
      <c r="D4192" s="379">
        <v>52.409444444444453</v>
      </c>
      <c r="E4192" s="25">
        <v>24.84</v>
      </c>
      <c r="F4192" s="379">
        <v>4.412317317442378</v>
      </c>
      <c r="G4192" s="25">
        <v>44.69</v>
      </c>
      <c r="H4192" s="379">
        <v>0.47222222222222221</v>
      </c>
      <c r="I4192" s="25">
        <v>52.49</v>
      </c>
      <c r="J4192" s="379">
        <v>0.18354347225901191</v>
      </c>
    </row>
    <row r="4193" spans="1:10" x14ac:dyDescent="0.35">
      <c r="A4193" s="5">
        <v>4189</v>
      </c>
      <c r="B4193" s="5">
        <v>175</v>
      </c>
      <c r="C4193" s="5">
        <v>6</v>
      </c>
      <c r="D4193" s="379">
        <v>55.747222222222227</v>
      </c>
      <c r="E4193" s="25">
        <v>24.84</v>
      </c>
      <c r="F4193" s="379">
        <v>4.412317317442378</v>
      </c>
      <c r="G4193" s="25">
        <v>43.56</v>
      </c>
      <c r="H4193" s="379">
        <v>0.84070836062187126</v>
      </c>
      <c r="I4193" s="25">
        <v>51.2</v>
      </c>
      <c r="J4193" s="379">
        <v>0.18354347225901191</v>
      </c>
    </row>
    <row r="4194" spans="1:10" x14ac:dyDescent="0.35">
      <c r="A4194" s="5">
        <v>4190</v>
      </c>
      <c r="B4194" s="5">
        <v>175</v>
      </c>
      <c r="C4194" s="5">
        <v>6</v>
      </c>
      <c r="D4194" s="379">
        <v>53.048888888888897</v>
      </c>
      <c r="E4194" s="25">
        <v>24.84</v>
      </c>
      <c r="F4194" s="379">
        <v>4.412317317442378</v>
      </c>
      <c r="G4194" s="25">
        <v>42.79</v>
      </c>
      <c r="H4194" s="379">
        <v>2.777777777777778E-2</v>
      </c>
      <c r="I4194" s="25">
        <v>51.2</v>
      </c>
      <c r="J4194" s="379">
        <v>0.18354347225901191</v>
      </c>
    </row>
    <row r="4195" spans="1:10" x14ac:dyDescent="0.35">
      <c r="A4195" s="5">
        <v>4191</v>
      </c>
      <c r="B4195" s="5">
        <v>175</v>
      </c>
      <c r="C4195" s="5">
        <v>6</v>
      </c>
      <c r="D4195" s="379">
        <v>51.031666666666666</v>
      </c>
      <c r="E4195" s="25">
        <v>24.84</v>
      </c>
      <c r="F4195" s="379">
        <v>4.5939718124237983</v>
      </c>
      <c r="G4195" s="25">
        <v>43.39</v>
      </c>
      <c r="H4195" s="379">
        <v>2.777777777777778E-2</v>
      </c>
      <c r="I4195" s="25">
        <v>51.2</v>
      </c>
      <c r="J4195" s="379">
        <v>0.18354347225901191</v>
      </c>
    </row>
    <row r="4196" spans="1:10" x14ac:dyDescent="0.35">
      <c r="A4196" s="5">
        <v>4192</v>
      </c>
      <c r="B4196" s="5">
        <v>175</v>
      </c>
      <c r="C4196" s="5">
        <v>6</v>
      </c>
      <c r="D4196" s="379">
        <v>50.52</v>
      </c>
      <c r="E4196" s="25">
        <v>24.84</v>
      </c>
      <c r="F4196" s="379">
        <v>0.47222222222222221</v>
      </c>
      <c r="G4196" s="25">
        <v>43.39</v>
      </c>
      <c r="H4196" s="379">
        <v>0.12806806679822866</v>
      </c>
      <c r="I4196" s="25">
        <v>51.2</v>
      </c>
      <c r="J4196" s="379">
        <v>0.18354347225901191</v>
      </c>
    </row>
    <row r="4197" spans="1:10" x14ac:dyDescent="0.35">
      <c r="A4197" s="5">
        <v>4193</v>
      </c>
      <c r="B4197" s="5">
        <v>175</v>
      </c>
      <c r="C4197" s="5">
        <v>6</v>
      </c>
      <c r="D4197" s="379">
        <v>56.1</v>
      </c>
      <c r="E4197" s="25">
        <v>24.99</v>
      </c>
      <c r="F4197" s="379">
        <v>4.9071379869260259</v>
      </c>
      <c r="G4197" s="25">
        <v>44.69</v>
      </c>
      <c r="H4197" s="379">
        <v>0.47222222222222215</v>
      </c>
      <c r="I4197" s="25">
        <v>53.02</v>
      </c>
      <c r="J4197" s="379">
        <v>1.578358476628102</v>
      </c>
    </row>
    <row r="4198" spans="1:10" x14ac:dyDescent="0.35">
      <c r="A4198" s="5">
        <v>4194</v>
      </c>
      <c r="B4198" s="5">
        <v>175</v>
      </c>
      <c r="C4198" s="5">
        <v>6</v>
      </c>
      <c r="D4198" s="379">
        <v>58.446111111111108</v>
      </c>
      <c r="E4198" s="25">
        <v>24.99</v>
      </c>
      <c r="F4198" s="379">
        <v>7.1146242374875603</v>
      </c>
      <c r="G4198" s="25">
        <v>44.74</v>
      </c>
      <c r="H4198" s="379">
        <v>6.0958638085017363</v>
      </c>
      <c r="I4198" s="25">
        <v>53.32</v>
      </c>
      <c r="J4198" s="379">
        <v>4.8288291319935519</v>
      </c>
    </row>
    <row r="4199" spans="1:10" x14ac:dyDescent="0.35">
      <c r="A4199" s="5">
        <v>4195</v>
      </c>
      <c r="B4199" s="5">
        <v>175</v>
      </c>
      <c r="C4199" s="5">
        <v>6</v>
      </c>
      <c r="D4199" s="379">
        <v>59.238888888888887</v>
      </c>
      <c r="E4199" s="25">
        <v>24.99</v>
      </c>
      <c r="F4199" s="379">
        <v>8.8082197692256585</v>
      </c>
      <c r="G4199" s="25">
        <v>47.46</v>
      </c>
      <c r="H4199" s="379">
        <v>9.1906718735575765</v>
      </c>
      <c r="I4199" s="25">
        <v>55.12</v>
      </c>
      <c r="J4199" s="379">
        <v>6.9268423393535947</v>
      </c>
    </row>
    <row r="4200" spans="1:10" x14ac:dyDescent="0.35">
      <c r="A4200" s="5">
        <v>4196</v>
      </c>
      <c r="B4200" s="5">
        <v>175</v>
      </c>
      <c r="C4200" s="5">
        <v>6</v>
      </c>
      <c r="D4200" s="379">
        <v>62.693888888888893</v>
      </c>
      <c r="E4200" s="25">
        <v>24.99</v>
      </c>
      <c r="F4200" s="379">
        <v>16.658475339331432</v>
      </c>
      <c r="G4200" s="25">
        <v>47.46</v>
      </c>
      <c r="H4200" s="379">
        <v>9.9968702682841251</v>
      </c>
      <c r="I4200" s="25">
        <v>58.21</v>
      </c>
      <c r="J4200" s="379">
        <v>6.9625179357318006</v>
      </c>
    </row>
    <row r="4201" spans="1:10" x14ac:dyDescent="0.35">
      <c r="A4201" s="5">
        <v>4197</v>
      </c>
      <c r="B4201" s="5">
        <v>175</v>
      </c>
      <c r="C4201" s="5">
        <v>6</v>
      </c>
      <c r="D4201" s="379">
        <v>64.311666666666667</v>
      </c>
      <c r="E4201" s="25">
        <v>24.99</v>
      </c>
      <c r="F4201" s="379">
        <v>14.915165545032393</v>
      </c>
      <c r="G4201" s="25">
        <v>44.69</v>
      </c>
      <c r="H4201" s="379">
        <v>9.9334259427894995</v>
      </c>
      <c r="I4201" s="25">
        <v>58.7</v>
      </c>
      <c r="J4201" s="379">
        <v>7.0863406784018999</v>
      </c>
    </row>
    <row r="4202" spans="1:10" x14ac:dyDescent="0.35">
      <c r="A4202" s="5">
        <v>4198</v>
      </c>
      <c r="B4202" s="5">
        <v>175</v>
      </c>
      <c r="C4202" s="5">
        <v>6</v>
      </c>
      <c r="D4202" s="379">
        <v>61.920555555555566</v>
      </c>
      <c r="E4202" s="25">
        <v>24.99</v>
      </c>
      <c r="F4202" s="379">
        <v>15.111571698654528</v>
      </c>
      <c r="G4202" s="25">
        <v>47.46</v>
      </c>
      <c r="H4202" s="379">
        <v>9.6453986711534103</v>
      </c>
      <c r="I4202" s="25">
        <v>62.27</v>
      </c>
      <c r="J4202" s="379">
        <v>7.0863406784018999</v>
      </c>
    </row>
    <row r="4203" spans="1:10" x14ac:dyDescent="0.35">
      <c r="A4203" s="5">
        <v>4199</v>
      </c>
      <c r="B4203" s="5">
        <v>175</v>
      </c>
      <c r="C4203" s="5">
        <v>6</v>
      </c>
      <c r="D4203" s="379">
        <v>58.32</v>
      </c>
      <c r="E4203" s="25">
        <v>24.84</v>
      </c>
      <c r="F4203" s="379">
        <v>16.113073107739272</v>
      </c>
      <c r="G4203" s="25">
        <v>44.74</v>
      </c>
      <c r="H4203" s="379">
        <v>9.8933863388525616</v>
      </c>
      <c r="I4203" s="25">
        <v>58.21</v>
      </c>
      <c r="J4203" s="379">
        <v>6.8796205549757303</v>
      </c>
    </row>
    <row r="4204" spans="1:10" x14ac:dyDescent="0.35">
      <c r="A4204" s="5">
        <v>4200</v>
      </c>
      <c r="B4204" s="5">
        <v>175</v>
      </c>
      <c r="C4204" s="5">
        <v>6</v>
      </c>
      <c r="D4204" s="379">
        <v>56.936666666666675</v>
      </c>
      <c r="E4204" s="25">
        <v>24.84</v>
      </c>
      <c r="F4204" s="379">
        <v>15.259825738837808</v>
      </c>
      <c r="G4204" s="25">
        <v>42.79</v>
      </c>
      <c r="H4204" s="379">
        <v>9.7733524662073474</v>
      </c>
      <c r="I4204" s="25">
        <v>53.71</v>
      </c>
      <c r="J4204" s="379">
        <v>6.9027526979781308</v>
      </c>
    </row>
    <row r="4205" spans="1:10" x14ac:dyDescent="0.35">
      <c r="A4205" s="5">
        <v>4201</v>
      </c>
      <c r="B4205" s="5">
        <v>176</v>
      </c>
      <c r="C4205" s="5">
        <v>6</v>
      </c>
      <c r="D4205" s="379">
        <v>54.193888888888893</v>
      </c>
      <c r="E4205" s="25">
        <v>24.84</v>
      </c>
      <c r="F4205" s="379">
        <v>15.116271974572971</v>
      </c>
      <c r="G4205" s="25">
        <v>43.12</v>
      </c>
      <c r="H4205" s="379">
        <v>8.8256645346239662</v>
      </c>
      <c r="I4205" s="25">
        <v>56.52</v>
      </c>
      <c r="J4205" s="379">
        <v>7.0369158726656922</v>
      </c>
    </row>
    <row r="4206" spans="1:10" x14ac:dyDescent="0.35">
      <c r="A4206" s="5">
        <v>4202</v>
      </c>
      <c r="B4206" s="5">
        <v>176</v>
      </c>
      <c r="C4206" s="5">
        <v>6</v>
      </c>
      <c r="D4206" s="379">
        <v>51.297222222222217</v>
      </c>
      <c r="E4206" s="25">
        <v>24.84</v>
      </c>
      <c r="F4206" s="379">
        <v>14.481395051351713</v>
      </c>
      <c r="G4206" s="25">
        <v>43.12</v>
      </c>
      <c r="H4206" s="379">
        <v>9.1485797358937386</v>
      </c>
      <c r="I4206" s="25">
        <v>54.92</v>
      </c>
      <c r="J4206" s="379">
        <v>6.9966756458212149</v>
      </c>
    </row>
    <row r="4207" spans="1:10" x14ac:dyDescent="0.35">
      <c r="A4207" s="5">
        <v>4203</v>
      </c>
      <c r="B4207" s="5">
        <v>176</v>
      </c>
      <c r="C4207" s="5">
        <v>6</v>
      </c>
      <c r="D4207" s="379">
        <v>50.66</v>
      </c>
      <c r="E4207" s="25">
        <v>24.84</v>
      </c>
      <c r="F4207" s="379">
        <v>14.642507993408485</v>
      </c>
      <c r="G4207" s="25">
        <v>42.29</v>
      </c>
      <c r="H4207" s="379">
        <v>9.0678161710021232</v>
      </c>
      <c r="I4207" s="25">
        <v>54.86</v>
      </c>
      <c r="J4207" s="379">
        <v>7.086881301550874</v>
      </c>
    </row>
    <row r="4208" spans="1:10" x14ac:dyDescent="0.35">
      <c r="A4208" s="5">
        <v>4204</v>
      </c>
      <c r="B4208" s="5">
        <v>176</v>
      </c>
      <c r="C4208" s="5">
        <v>6</v>
      </c>
      <c r="D4208" s="379">
        <v>49.123333333333328</v>
      </c>
      <c r="E4208" s="25">
        <v>24.84</v>
      </c>
      <c r="F4208" s="379">
        <v>14.357871029624276</v>
      </c>
      <c r="G4208" s="25">
        <v>42.29</v>
      </c>
      <c r="H4208" s="379">
        <v>10.07388135548751</v>
      </c>
      <c r="I4208" s="25">
        <v>54.87</v>
      </c>
      <c r="J4208" s="379">
        <v>7.4192958742900394</v>
      </c>
    </row>
    <row r="4209" spans="1:10" x14ac:dyDescent="0.35">
      <c r="A4209" s="5">
        <v>4205</v>
      </c>
      <c r="B4209" s="5">
        <v>176</v>
      </c>
      <c r="C4209" s="5">
        <v>6</v>
      </c>
      <c r="D4209" s="379">
        <v>47.93555555555556</v>
      </c>
      <c r="E4209" s="25">
        <v>24.84</v>
      </c>
      <c r="F4209" s="379">
        <v>14.184132527018512</v>
      </c>
      <c r="G4209" s="25">
        <v>43.56</v>
      </c>
      <c r="H4209" s="379">
        <v>9.0779308891813972</v>
      </c>
      <c r="I4209" s="25">
        <v>54.92</v>
      </c>
      <c r="J4209" s="379">
        <v>7.3712866050277723</v>
      </c>
    </row>
    <row r="4210" spans="1:10" x14ac:dyDescent="0.35">
      <c r="A4210" s="5">
        <v>4206</v>
      </c>
      <c r="B4210" s="5">
        <v>176</v>
      </c>
      <c r="C4210" s="5">
        <v>6</v>
      </c>
      <c r="D4210" s="379">
        <v>50.437777777777775</v>
      </c>
      <c r="E4210" s="25">
        <v>24.84</v>
      </c>
      <c r="F4210" s="379">
        <v>11.956539373834927</v>
      </c>
      <c r="G4210" s="25">
        <v>43.56</v>
      </c>
      <c r="H4210" s="379">
        <v>9.0067493198365494</v>
      </c>
      <c r="I4210" s="25">
        <v>61.76</v>
      </c>
      <c r="J4210" s="379">
        <v>7.3437576949529015</v>
      </c>
    </row>
    <row r="4211" spans="1:10" x14ac:dyDescent="0.35">
      <c r="A4211" s="5">
        <v>4207</v>
      </c>
      <c r="B4211" s="5">
        <v>176</v>
      </c>
      <c r="C4211" s="5">
        <v>6</v>
      </c>
      <c r="D4211" s="379">
        <v>54.49722222222222</v>
      </c>
      <c r="E4211" s="25">
        <v>25.74</v>
      </c>
      <c r="F4211" s="379">
        <v>12.623828707838625</v>
      </c>
      <c r="G4211" s="25">
        <v>47.46</v>
      </c>
      <c r="H4211" s="379">
        <v>8.1795257978713174</v>
      </c>
      <c r="I4211" s="25">
        <v>64.14</v>
      </c>
      <c r="J4211" s="379">
        <v>6.5804609814016111</v>
      </c>
    </row>
    <row r="4212" spans="1:10" x14ac:dyDescent="0.35">
      <c r="A4212" s="5">
        <v>4208</v>
      </c>
      <c r="B4212" s="5">
        <v>176</v>
      </c>
      <c r="C4212" s="5">
        <v>6</v>
      </c>
      <c r="D4212" s="379">
        <v>57.866111111111103</v>
      </c>
      <c r="E4212" s="25">
        <v>25.74</v>
      </c>
      <c r="F4212" s="379">
        <v>8.8365959738383975</v>
      </c>
      <c r="G4212" s="25">
        <v>47.46</v>
      </c>
      <c r="H4212" s="379">
        <v>8.3420167596051851</v>
      </c>
      <c r="I4212" s="25">
        <v>66.06</v>
      </c>
      <c r="J4212" s="379">
        <v>5.5739071799646993</v>
      </c>
    </row>
    <row r="4213" spans="1:10" x14ac:dyDescent="0.35">
      <c r="A4213" s="5">
        <v>4209</v>
      </c>
      <c r="B4213" s="5">
        <v>176</v>
      </c>
      <c r="C4213" s="5">
        <v>6</v>
      </c>
      <c r="D4213" s="379">
        <v>52.862777777777772</v>
      </c>
      <c r="E4213" s="25">
        <v>25.74</v>
      </c>
      <c r="F4213" s="379">
        <v>8.2142724521350683</v>
      </c>
      <c r="G4213" s="25">
        <v>47.46</v>
      </c>
      <c r="H4213" s="379">
        <v>8.1920760403374064</v>
      </c>
      <c r="I4213" s="25">
        <v>61.76</v>
      </c>
      <c r="J4213" s="379">
        <v>3.9613878139260637</v>
      </c>
    </row>
    <row r="4214" spans="1:10" x14ac:dyDescent="0.35">
      <c r="A4214" s="5">
        <v>4210</v>
      </c>
      <c r="B4214" s="5">
        <v>176</v>
      </c>
      <c r="C4214" s="5">
        <v>6</v>
      </c>
      <c r="D4214" s="379">
        <v>48.76</v>
      </c>
      <c r="E4214" s="25">
        <v>24.99</v>
      </c>
      <c r="F4214" s="379">
        <v>8.1174834595959577</v>
      </c>
      <c r="G4214" s="25">
        <v>47.46</v>
      </c>
      <c r="H4214" s="379">
        <v>7.7801822714761268</v>
      </c>
      <c r="I4214" s="25">
        <v>55.84</v>
      </c>
      <c r="J4214" s="379">
        <v>3.6632764520202015</v>
      </c>
    </row>
    <row r="4215" spans="1:10" x14ac:dyDescent="0.35">
      <c r="A4215" s="5">
        <v>4211</v>
      </c>
      <c r="B4215" s="5">
        <v>176</v>
      </c>
      <c r="C4215" s="5">
        <v>6</v>
      </c>
      <c r="D4215" s="379">
        <v>46.632222222222225</v>
      </c>
      <c r="E4215" s="25">
        <v>24.99</v>
      </c>
      <c r="F4215" s="379">
        <v>0.47222222222222221</v>
      </c>
      <c r="G4215" s="25">
        <v>44.74</v>
      </c>
      <c r="H4215" s="379">
        <v>7.1749277286657813</v>
      </c>
      <c r="I4215" s="25">
        <v>54.32</v>
      </c>
      <c r="J4215" s="379">
        <v>1.5558632006643915</v>
      </c>
    </row>
    <row r="4216" spans="1:10" x14ac:dyDescent="0.35">
      <c r="A4216" s="5">
        <v>4212</v>
      </c>
      <c r="B4216" s="5">
        <v>176</v>
      </c>
      <c r="C4216" s="5">
        <v>6</v>
      </c>
      <c r="D4216" s="379">
        <v>47.164444444444442</v>
      </c>
      <c r="E4216" s="25">
        <v>24.99</v>
      </c>
      <c r="F4216" s="379">
        <v>0.47222222222222221</v>
      </c>
      <c r="G4216" s="25">
        <v>44.74</v>
      </c>
      <c r="H4216" s="379">
        <v>7.3894218148076165</v>
      </c>
      <c r="I4216" s="25">
        <v>54.32</v>
      </c>
      <c r="J4216" s="379">
        <v>1.6843264959660831</v>
      </c>
    </row>
    <row r="4217" spans="1:10" x14ac:dyDescent="0.35">
      <c r="A4217" s="5">
        <v>4213</v>
      </c>
      <c r="B4217" s="5">
        <v>176</v>
      </c>
      <c r="C4217" s="5">
        <v>6</v>
      </c>
      <c r="D4217" s="379">
        <v>44.852777777777781</v>
      </c>
      <c r="E4217" s="25">
        <v>24.84</v>
      </c>
      <c r="F4217" s="379">
        <v>7.6934102686452777</v>
      </c>
      <c r="G4217" s="25">
        <v>43.56</v>
      </c>
      <c r="H4217" s="379">
        <v>7.4751578354338832</v>
      </c>
      <c r="I4217" s="25">
        <v>53.71</v>
      </c>
      <c r="J4217" s="379">
        <v>4.2522291743640661</v>
      </c>
    </row>
    <row r="4218" spans="1:10" x14ac:dyDescent="0.35">
      <c r="A4218" s="5">
        <v>4214</v>
      </c>
      <c r="B4218" s="5">
        <v>176</v>
      </c>
      <c r="C4218" s="5">
        <v>6</v>
      </c>
      <c r="D4218" s="379">
        <v>42.879444444444438</v>
      </c>
      <c r="E4218" s="25">
        <v>24.84</v>
      </c>
      <c r="F4218" s="379">
        <v>7.3348672405140407</v>
      </c>
      <c r="G4218" s="25">
        <v>42.29</v>
      </c>
      <c r="H4218" s="379">
        <v>7.6205829814863071</v>
      </c>
      <c r="I4218" s="25">
        <v>53.27</v>
      </c>
      <c r="J4218" s="379">
        <v>3.5925016422916944</v>
      </c>
    </row>
    <row r="4219" spans="1:10" x14ac:dyDescent="0.35">
      <c r="A4219" s="5">
        <v>4215</v>
      </c>
      <c r="B4219" s="5">
        <v>176</v>
      </c>
      <c r="C4219" s="5">
        <v>6</v>
      </c>
      <c r="D4219" s="379">
        <v>46.367777777777782</v>
      </c>
      <c r="E4219" s="25">
        <v>24.84</v>
      </c>
      <c r="F4219" s="379">
        <v>8.1174834595959595</v>
      </c>
      <c r="G4219" s="25">
        <v>43.12</v>
      </c>
      <c r="H4219" s="379">
        <v>7.7184365938861816</v>
      </c>
      <c r="I4219" s="25">
        <v>53.27</v>
      </c>
      <c r="J4219" s="379">
        <v>4.3568794351395779</v>
      </c>
    </row>
    <row r="4220" spans="1:10" x14ac:dyDescent="0.35">
      <c r="A4220" s="5">
        <v>4216</v>
      </c>
      <c r="B4220" s="5">
        <v>176</v>
      </c>
      <c r="C4220" s="5">
        <v>6</v>
      </c>
      <c r="D4220" s="379">
        <v>50.882777777777783</v>
      </c>
      <c r="E4220" s="25">
        <v>24.84</v>
      </c>
      <c r="F4220" s="379">
        <v>8.1174834595959613</v>
      </c>
      <c r="G4220" s="25">
        <v>43.56</v>
      </c>
      <c r="H4220" s="379">
        <v>7.7921774489616702</v>
      </c>
      <c r="I4220" s="25">
        <v>53.27</v>
      </c>
      <c r="J4220" s="379">
        <v>3.5280969991267797</v>
      </c>
    </row>
    <row r="4221" spans="1:10" x14ac:dyDescent="0.35">
      <c r="A4221" s="5">
        <v>4217</v>
      </c>
      <c r="B4221" s="5">
        <v>176</v>
      </c>
      <c r="C4221" s="5">
        <v>6</v>
      </c>
      <c r="D4221" s="379">
        <v>57.261666666666663</v>
      </c>
      <c r="E4221" s="25">
        <v>24.99</v>
      </c>
      <c r="F4221" s="379">
        <v>9.8837451691139258</v>
      </c>
      <c r="G4221" s="25">
        <v>44.69</v>
      </c>
      <c r="H4221" s="379">
        <v>8.9696217251369159</v>
      </c>
      <c r="I4221" s="25">
        <v>54.32</v>
      </c>
      <c r="J4221" s="379">
        <v>6.707766245541996</v>
      </c>
    </row>
    <row r="4222" spans="1:10" x14ac:dyDescent="0.35">
      <c r="A4222" s="5">
        <v>4218</v>
      </c>
      <c r="B4222" s="5">
        <v>176</v>
      </c>
      <c r="C4222" s="5">
        <v>6</v>
      </c>
      <c r="D4222" s="379">
        <v>58.314444444444447</v>
      </c>
      <c r="E4222" s="25">
        <v>24.99</v>
      </c>
      <c r="F4222" s="379">
        <v>14.979028890781541</v>
      </c>
      <c r="G4222" s="25">
        <v>44.69</v>
      </c>
      <c r="H4222" s="379">
        <v>9.4516405814794151</v>
      </c>
      <c r="I4222" s="25">
        <v>54.32</v>
      </c>
      <c r="J4222" s="379">
        <v>7.2831150114327885</v>
      </c>
    </row>
    <row r="4223" spans="1:10" x14ac:dyDescent="0.35">
      <c r="A4223" s="5">
        <v>4219</v>
      </c>
      <c r="B4223" s="5">
        <v>176</v>
      </c>
      <c r="C4223" s="5">
        <v>6</v>
      </c>
      <c r="D4223" s="379">
        <v>63.148333333333333</v>
      </c>
      <c r="E4223" s="25">
        <v>24.99</v>
      </c>
      <c r="F4223" s="379">
        <v>19.99602928834765</v>
      </c>
      <c r="G4223" s="25">
        <v>44.69</v>
      </c>
      <c r="H4223" s="379">
        <v>21.848693125050694</v>
      </c>
      <c r="I4223" s="25">
        <v>56.77</v>
      </c>
      <c r="J4223" s="379">
        <v>7.6300856732583</v>
      </c>
    </row>
    <row r="4224" spans="1:10" x14ac:dyDescent="0.35">
      <c r="A4224" s="5">
        <v>4220</v>
      </c>
      <c r="B4224" s="5">
        <v>176</v>
      </c>
      <c r="C4224" s="5">
        <v>6</v>
      </c>
      <c r="D4224" s="379">
        <v>64.242222222222225</v>
      </c>
      <c r="E4224" s="25">
        <v>24.99</v>
      </c>
      <c r="F4224" s="379">
        <v>17.294865024003297</v>
      </c>
      <c r="G4224" s="25">
        <v>47.46</v>
      </c>
      <c r="H4224" s="379">
        <v>23.488963837785573</v>
      </c>
      <c r="I4224" s="25">
        <v>61.76</v>
      </c>
      <c r="J4224" s="379">
        <v>7.6244796474760346</v>
      </c>
    </row>
    <row r="4225" spans="1:10" x14ac:dyDescent="0.35">
      <c r="A4225" s="5">
        <v>4221</v>
      </c>
      <c r="B4225" s="5">
        <v>176</v>
      </c>
      <c r="C4225" s="5">
        <v>6</v>
      </c>
      <c r="D4225" s="379">
        <v>61.564444444444447</v>
      </c>
      <c r="E4225" s="25">
        <v>24.99</v>
      </c>
      <c r="F4225" s="379">
        <v>17.117124431668707</v>
      </c>
      <c r="G4225" s="25">
        <v>47.46</v>
      </c>
      <c r="H4225" s="379">
        <v>23.541446887852896</v>
      </c>
      <c r="I4225" s="25">
        <v>62.67</v>
      </c>
      <c r="J4225" s="379">
        <v>7.5446549406263568</v>
      </c>
    </row>
    <row r="4226" spans="1:10" x14ac:dyDescent="0.35">
      <c r="A4226" s="5">
        <v>4222</v>
      </c>
      <c r="B4226" s="5">
        <v>176</v>
      </c>
      <c r="C4226" s="5">
        <v>6</v>
      </c>
      <c r="D4226" s="379">
        <v>61.076111111111103</v>
      </c>
      <c r="E4226" s="25">
        <v>25.74</v>
      </c>
      <c r="F4226" s="379">
        <v>20.12093837858308</v>
      </c>
      <c r="G4226" s="25">
        <v>47.46</v>
      </c>
      <c r="H4226" s="379">
        <v>21.567795271275411</v>
      </c>
      <c r="I4226" s="25">
        <v>66.06</v>
      </c>
      <c r="J4226" s="379">
        <v>7.5742749192046182</v>
      </c>
    </row>
    <row r="4227" spans="1:10" x14ac:dyDescent="0.35">
      <c r="A4227" s="5">
        <v>4223</v>
      </c>
      <c r="B4227" s="5">
        <v>176</v>
      </c>
      <c r="C4227" s="5">
        <v>6</v>
      </c>
      <c r="D4227" s="379">
        <v>59.629444444444445</v>
      </c>
      <c r="E4227" s="25">
        <v>25.59</v>
      </c>
      <c r="F4227" s="379">
        <v>20.533365241926877</v>
      </c>
      <c r="G4227" s="25">
        <v>47.46</v>
      </c>
      <c r="H4227" s="379">
        <v>23.543855734933974</v>
      </c>
      <c r="I4227" s="25">
        <v>62.67</v>
      </c>
      <c r="J4227" s="379">
        <v>7.5864058036764801</v>
      </c>
    </row>
    <row r="4228" spans="1:10" x14ac:dyDescent="0.35">
      <c r="A4228" s="5">
        <v>4224</v>
      </c>
      <c r="B4228" s="5">
        <v>176</v>
      </c>
      <c r="C4228" s="5">
        <v>6</v>
      </c>
      <c r="D4228" s="379">
        <v>58.426111111111112</v>
      </c>
      <c r="E4228" s="25">
        <v>24.84</v>
      </c>
      <c r="F4228" s="379">
        <v>20.490396950682317</v>
      </c>
      <c r="G4228" s="25">
        <v>47.46</v>
      </c>
      <c r="H4228" s="379">
        <v>21.665541401285882</v>
      </c>
      <c r="I4228" s="25">
        <v>59.96</v>
      </c>
      <c r="J4228" s="379">
        <v>7.5264767794684495</v>
      </c>
    </row>
    <row r="4229" spans="1:10" x14ac:dyDescent="0.35">
      <c r="A4229" s="5">
        <v>4225</v>
      </c>
      <c r="B4229" s="5">
        <v>177</v>
      </c>
      <c r="C4229" s="5">
        <v>6</v>
      </c>
      <c r="D4229" s="379">
        <v>53.36611111111111</v>
      </c>
      <c r="E4229" s="25">
        <v>24.84</v>
      </c>
      <c r="F4229" s="379">
        <v>20.252295532703073</v>
      </c>
      <c r="G4229" s="25">
        <v>42.29</v>
      </c>
      <c r="H4229" s="379">
        <v>20.540404908951746</v>
      </c>
      <c r="I4229" s="25">
        <v>54.87</v>
      </c>
      <c r="J4229" s="379">
        <v>7.5160786105482575</v>
      </c>
    </row>
    <row r="4230" spans="1:10" x14ac:dyDescent="0.35">
      <c r="A4230" s="5">
        <v>4226</v>
      </c>
      <c r="B4230" s="5">
        <v>177</v>
      </c>
      <c r="C4230" s="5">
        <v>6</v>
      </c>
      <c r="D4230" s="379">
        <v>47.946111111111108</v>
      </c>
      <c r="E4230" s="25">
        <v>24.84</v>
      </c>
      <c r="F4230" s="379">
        <v>19.88622275693357</v>
      </c>
      <c r="G4230" s="25">
        <v>42.29</v>
      </c>
      <c r="H4230" s="379">
        <v>19.673495812844763</v>
      </c>
      <c r="I4230" s="25">
        <v>53.27</v>
      </c>
      <c r="J4230" s="379">
        <v>7.4731188437595657</v>
      </c>
    </row>
    <row r="4231" spans="1:10" x14ac:dyDescent="0.35">
      <c r="A4231" s="5">
        <v>4227</v>
      </c>
      <c r="B4231" s="5">
        <v>177</v>
      </c>
      <c r="C4231" s="5">
        <v>6</v>
      </c>
      <c r="D4231" s="379">
        <v>45.45055555555556</v>
      </c>
      <c r="E4231" s="25">
        <v>24.84</v>
      </c>
      <c r="F4231" s="379">
        <v>20.057177234552448</v>
      </c>
      <c r="G4231" s="25">
        <v>42.29</v>
      </c>
      <c r="H4231" s="379">
        <v>20.215380615794913</v>
      </c>
      <c r="I4231" s="25">
        <v>49.71</v>
      </c>
      <c r="J4231" s="379">
        <v>7.3164627522997279</v>
      </c>
    </row>
    <row r="4232" spans="1:10" x14ac:dyDescent="0.35">
      <c r="A4232" s="5">
        <v>4228</v>
      </c>
      <c r="B4232" s="5">
        <v>177</v>
      </c>
      <c r="C4232" s="5">
        <v>6</v>
      </c>
      <c r="D4232" s="379">
        <v>43.703888888888891</v>
      </c>
      <c r="E4232" s="25">
        <v>24.84</v>
      </c>
      <c r="F4232" s="379">
        <v>19.664775607824467</v>
      </c>
      <c r="G4232" s="25">
        <v>31.84</v>
      </c>
      <c r="H4232" s="379">
        <v>20.106399869360434</v>
      </c>
      <c r="I4232" s="25">
        <v>48.86</v>
      </c>
      <c r="J4232" s="379">
        <v>7.3916271315194439</v>
      </c>
    </row>
    <row r="4233" spans="1:10" x14ac:dyDescent="0.35">
      <c r="A4233" s="5">
        <v>4229</v>
      </c>
      <c r="B4233" s="5">
        <v>177</v>
      </c>
      <c r="C4233" s="5">
        <v>6</v>
      </c>
      <c r="D4233" s="379">
        <v>38.125555555555557</v>
      </c>
      <c r="E4233" s="25">
        <v>24.84</v>
      </c>
      <c r="F4233" s="379">
        <v>19.717755138012929</v>
      </c>
      <c r="G4233" s="25">
        <v>31.84</v>
      </c>
      <c r="H4233" s="379">
        <v>20.786873596201168</v>
      </c>
      <c r="I4233" s="25">
        <v>48.86</v>
      </c>
      <c r="J4233" s="379">
        <v>7.4824293399982658</v>
      </c>
    </row>
    <row r="4234" spans="1:10" x14ac:dyDescent="0.35">
      <c r="A4234" s="5">
        <v>4230</v>
      </c>
      <c r="B4234" s="5">
        <v>177</v>
      </c>
      <c r="C4234" s="5">
        <v>6</v>
      </c>
      <c r="D4234" s="379">
        <v>37.559999999999995</v>
      </c>
      <c r="E4234" s="25">
        <v>24.84</v>
      </c>
      <c r="F4234" s="379">
        <v>19.627291377683452</v>
      </c>
      <c r="G4234" s="25">
        <v>31.84</v>
      </c>
      <c r="H4234" s="379">
        <v>20.106399869360434</v>
      </c>
      <c r="I4234" s="25">
        <v>48.86</v>
      </c>
      <c r="J4234" s="379">
        <v>7.3258966385016837</v>
      </c>
    </row>
    <row r="4235" spans="1:10" x14ac:dyDescent="0.35">
      <c r="A4235" s="5">
        <v>4231</v>
      </c>
      <c r="B4235" s="5">
        <v>177</v>
      </c>
      <c r="C4235" s="5">
        <v>6</v>
      </c>
      <c r="D4235" s="379">
        <v>38.029999999999994</v>
      </c>
      <c r="E4235" s="25">
        <v>24.84</v>
      </c>
      <c r="F4235" s="379">
        <v>18.40759103769912</v>
      </c>
      <c r="G4235" s="25">
        <v>37.46</v>
      </c>
      <c r="H4235" s="379">
        <v>18.153787504250985</v>
      </c>
      <c r="I4235" s="25">
        <v>51.72</v>
      </c>
      <c r="J4235" s="379">
        <v>7.3720713805232041</v>
      </c>
    </row>
    <row r="4236" spans="1:10" x14ac:dyDescent="0.35">
      <c r="A4236" s="5">
        <v>4232</v>
      </c>
      <c r="B4236" s="5">
        <v>177</v>
      </c>
      <c r="C4236" s="5">
        <v>6</v>
      </c>
      <c r="D4236" s="379">
        <v>37.153333333333336</v>
      </c>
      <c r="E4236" s="25">
        <v>24.84</v>
      </c>
      <c r="F4236" s="379">
        <v>16.457457089553571</v>
      </c>
      <c r="G4236" s="25">
        <v>37.46</v>
      </c>
      <c r="H4236" s="379">
        <v>13.233545412108278</v>
      </c>
      <c r="I4236" s="25">
        <v>51.02</v>
      </c>
      <c r="J4236" s="379">
        <v>7.4133459651328275</v>
      </c>
    </row>
    <row r="4237" spans="1:10" x14ac:dyDescent="0.35">
      <c r="A4237" s="5">
        <v>4233</v>
      </c>
      <c r="B4237" s="5">
        <v>177</v>
      </c>
      <c r="C4237" s="5">
        <v>6</v>
      </c>
      <c r="D4237" s="379">
        <v>32.18611111111111</v>
      </c>
      <c r="E4237" s="25">
        <v>24.84</v>
      </c>
      <c r="F4237" s="379">
        <v>8.2599302344310086</v>
      </c>
      <c r="G4237" s="25">
        <v>37.46</v>
      </c>
      <c r="H4237" s="379">
        <v>8.2268644387337861</v>
      </c>
      <c r="I4237" s="25">
        <v>47.31</v>
      </c>
      <c r="J4237" s="379">
        <v>4.0123257074612084</v>
      </c>
    </row>
    <row r="4238" spans="1:10" x14ac:dyDescent="0.35">
      <c r="A4238" s="5">
        <v>4234</v>
      </c>
      <c r="B4238" s="5">
        <v>177</v>
      </c>
      <c r="C4238" s="5">
        <v>6</v>
      </c>
      <c r="D4238" s="379">
        <v>29.486666666666665</v>
      </c>
      <c r="E4238" s="25">
        <v>24.84</v>
      </c>
      <c r="F4238" s="379">
        <v>8.1174834595959613</v>
      </c>
      <c r="G4238" s="25">
        <v>32.79</v>
      </c>
      <c r="H4238" s="379">
        <v>7.9453992334867189</v>
      </c>
      <c r="I4238" s="25">
        <v>44.87</v>
      </c>
      <c r="J4238" s="379">
        <v>5.1443156677268602</v>
      </c>
    </row>
    <row r="4239" spans="1:10" x14ac:dyDescent="0.35">
      <c r="A4239" s="5">
        <v>4235</v>
      </c>
      <c r="B4239" s="5">
        <v>177</v>
      </c>
      <c r="C4239" s="5">
        <v>6</v>
      </c>
      <c r="D4239" s="379">
        <v>29.080555555555559</v>
      </c>
      <c r="E4239" s="25">
        <v>24.84</v>
      </c>
      <c r="F4239" s="379">
        <v>0.47222222222222221</v>
      </c>
      <c r="G4239" s="25">
        <v>32.76</v>
      </c>
      <c r="H4239" s="379">
        <v>7.6334027584016724</v>
      </c>
      <c r="I4239" s="25">
        <v>37.979999999999997</v>
      </c>
      <c r="J4239" s="379">
        <v>5.4520426409362432</v>
      </c>
    </row>
    <row r="4240" spans="1:10" x14ac:dyDescent="0.35">
      <c r="A4240" s="5">
        <v>4236</v>
      </c>
      <c r="B4240" s="5">
        <v>177</v>
      </c>
      <c r="C4240" s="5">
        <v>6</v>
      </c>
      <c r="D4240" s="379">
        <v>27.728333333333328</v>
      </c>
      <c r="E4240" s="25">
        <v>24.84</v>
      </c>
      <c r="F4240" s="379">
        <v>0.47222222222222221</v>
      </c>
      <c r="G4240" s="25">
        <v>32.43</v>
      </c>
      <c r="H4240" s="379">
        <v>7.5283746138664975</v>
      </c>
      <c r="I4240" s="25">
        <v>36.450000000000003</v>
      </c>
      <c r="J4240" s="379">
        <v>5.9883215304271431</v>
      </c>
    </row>
    <row r="4241" spans="1:10" x14ac:dyDescent="0.35">
      <c r="A4241" s="5">
        <v>4237</v>
      </c>
      <c r="B4241" s="5">
        <v>177</v>
      </c>
      <c r="C4241" s="5">
        <v>6</v>
      </c>
      <c r="D4241" s="379">
        <v>25.32</v>
      </c>
      <c r="E4241" s="25">
        <v>24.84</v>
      </c>
      <c r="F4241" s="379">
        <v>5.3294304324054789</v>
      </c>
      <c r="G4241" s="25">
        <v>31.74</v>
      </c>
      <c r="H4241" s="379">
        <v>6.9142940080594961</v>
      </c>
      <c r="I4241" s="25">
        <v>36.08</v>
      </c>
      <c r="J4241" s="379">
        <v>5.0889208781824911</v>
      </c>
    </row>
    <row r="4242" spans="1:10" x14ac:dyDescent="0.35">
      <c r="A4242" s="5">
        <v>4238</v>
      </c>
      <c r="B4242" s="5">
        <v>177</v>
      </c>
      <c r="C4242" s="5">
        <v>6</v>
      </c>
      <c r="D4242" s="379">
        <v>25.192777777777778</v>
      </c>
      <c r="E4242" s="25">
        <v>24</v>
      </c>
      <c r="F4242" s="379">
        <v>0.76034645597761874</v>
      </c>
      <c r="G4242" s="25">
        <v>31.42</v>
      </c>
      <c r="H4242" s="379">
        <v>7.504512420217325</v>
      </c>
      <c r="I4242" s="25">
        <v>35.72</v>
      </c>
      <c r="J4242" s="379">
        <v>5.786808754178618</v>
      </c>
    </row>
    <row r="4243" spans="1:10" x14ac:dyDescent="0.35">
      <c r="A4243" s="5">
        <v>4239</v>
      </c>
      <c r="B4243" s="5">
        <v>177</v>
      </c>
      <c r="C4243" s="5">
        <v>6</v>
      </c>
      <c r="D4243" s="379">
        <v>31.433888888888887</v>
      </c>
      <c r="E4243" s="25">
        <v>24.44</v>
      </c>
      <c r="F4243" s="379">
        <v>8.1174834595959595</v>
      </c>
      <c r="G4243" s="25">
        <v>31.11</v>
      </c>
      <c r="H4243" s="379">
        <v>7.7557629405982684</v>
      </c>
      <c r="I4243" s="25">
        <v>35.72</v>
      </c>
      <c r="J4243" s="379">
        <v>6.3227936583343967</v>
      </c>
    </row>
    <row r="4244" spans="1:10" x14ac:dyDescent="0.35">
      <c r="A4244" s="5">
        <v>4240</v>
      </c>
      <c r="B4244" s="5">
        <v>177</v>
      </c>
      <c r="C4244" s="5">
        <v>6</v>
      </c>
      <c r="D4244" s="379">
        <v>40.551111111111105</v>
      </c>
      <c r="E4244" s="25">
        <v>24</v>
      </c>
      <c r="F4244" s="379">
        <v>8.481172355875108</v>
      </c>
      <c r="G4244" s="25">
        <v>31.11</v>
      </c>
      <c r="H4244" s="379">
        <v>7.5214115803445507</v>
      </c>
      <c r="I4244" s="25">
        <v>35.72</v>
      </c>
      <c r="J4244" s="379">
        <v>6.2537451177770409</v>
      </c>
    </row>
    <row r="4245" spans="1:10" x14ac:dyDescent="0.35">
      <c r="A4245" s="5">
        <v>4241</v>
      </c>
      <c r="B4245" s="5">
        <v>177</v>
      </c>
      <c r="C4245" s="5">
        <v>6</v>
      </c>
      <c r="D4245" s="379">
        <v>46.454999999999998</v>
      </c>
      <c r="E4245" s="25">
        <v>24.26</v>
      </c>
      <c r="F4245" s="379">
        <v>8.4757097305833415</v>
      </c>
      <c r="G4245" s="25">
        <v>31.11</v>
      </c>
      <c r="H4245" s="379">
        <v>7.9337867776990914</v>
      </c>
      <c r="I4245" s="25">
        <v>35.03</v>
      </c>
      <c r="J4245" s="379">
        <v>5.9211436288418087</v>
      </c>
    </row>
    <row r="4246" spans="1:10" x14ac:dyDescent="0.35">
      <c r="A4246" s="5">
        <v>4242</v>
      </c>
      <c r="B4246" s="5">
        <v>177</v>
      </c>
      <c r="C4246" s="5">
        <v>6</v>
      </c>
      <c r="D4246" s="379">
        <v>55.887222222222221</v>
      </c>
      <c r="E4246" s="25">
        <v>24.12</v>
      </c>
      <c r="F4246" s="379">
        <v>11.732801053293139</v>
      </c>
      <c r="G4246" s="25">
        <v>31.42</v>
      </c>
      <c r="H4246" s="379">
        <v>7.6997622796102156</v>
      </c>
      <c r="I4246" s="25">
        <v>35.39</v>
      </c>
      <c r="J4246" s="379">
        <v>5.6425221495332947</v>
      </c>
    </row>
    <row r="4247" spans="1:10" x14ac:dyDescent="0.35">
      <c r="A4247" s="5">
        <v>4243</v>
      </c>
      <c r="B4247" s="5">
        <v>177</v>
      </c>
      <c r="C4247" s="5">
        <v>6</v>
      </c>
      <c r="D4247" s="379">
        <v>60.095555555555549</v>
      </c>
      <c r="E4247" s="25">
        <v>24.84</v>
      </c>
      <c r="F4247" s="379">
        <v>17.19622051804744</v>
      </c>
      <c r="G4247" s="25">
        <v>32.79</v>
      </c>
      <c r="H4247" s="379">
        <v>9.1376114318278621</v>
      </c>
      <c r="I4247" s="25">
        <v>36.869999999999997</v>
      </c>
      <c r="J4247" s="379">
        <v>6.5001490750659334</v>
      </c>
    </row>
    <row r="4248" spans="1:10" x14ac:dyDescent="0.35">
      <c r="A4248" s="5">
        <v>4244</v>
      </c>
      <c r="B4248" s="5">
        <v>177</v>
      </c>
      <c r="C4248" s="5">
        <v>6</v>
      </c>
      <c r="D4248" s="379">
        <v>60.699999999999996</v>
      </c>
      <c r="E4248" s="25">
        <v>24.84</v>
      </c>
      <c r="F4248" s="379">
        <v>15.076243301303359</v>
      </c>
      <c r="G4248" s="25">
        <v>31.84</v>
      </c>
      <c r="H4248" s="379">
        <v>7.8733099099055508</v>
      </c>
      <c r="I4248" s="25">
        <v>42.03</v>
      </c>
      <c r="J4248" s="379">
        <v>6.1462865818091776</v>
      </c>
    </row>
    <row r="4249" spans="1:10" x14ac:dyDescent="0.35">
      <c r="A4249" s="5">
        <v>4245</v>
      </c>
      <c r="B4249" s="5">
        <v>177</v>
      </c>
      <c r="C4249" s="5">
        <v>6</v>
      </c>
      <c r="D4249" s="379">
        <v>63.533888888888896</v>
      </c>
      <c r="E4249" s="25">
        <v>24.84</v>
      </c>
      <c r="F4249" s="379">
        <v>14.022083012049013</v>
      </c>
      <c r="G4249" s="25">
        <v>35.96</v>
      </c>
      <c r="H4249" s="379">
        <v>8.7956957031037053</v>
      </c>
      <c r="I4249" s="25">
        <v>42.03</v>
      </c>
      <c r="J4249" s="379">
        <v>6.5310977290544878</v>
      </c>
    </row>
    <row r="4250" spans="1:10" x14ac:dyDescent="0.35">
      <c r="A4250" s="5">
        <v>4246</v>
      </c>
      <c r="B4250" s="5">
        <v>177</v>
      </c>
      <c r="C4250" s="5">
        <v>6</v>
      </c>
      <c r="D4250" s="379">
        <v>63.121111111111098</v>
      </c>
      <c r="E4250" s="25">
        <v>24.84</v>
      </c>
      <c r="F4250" s="379">
        <v>13.278962060608146</v>
      </c>
      <c r="G4250" s="25">
        <v>36.6</v>
      </c>
      <c r="H4250" s="379">
        <v>9.3412778631044162</v>
      </c>
      <c r="I4250" s="25">
        <v>48.86</v>
      </c>
      <c r="J4250" s="379">
        <v>6.5310977290544878</v>
      </c>
    </row>
    <row r="4251" spans="1:10" x14ac:dyDescent="0.35">
      <c r="A4251" s="5">
        <v>4247</v>
      </c>
      <c r="B4251" s="5">
        <v>177</v>
      </c>
      <c r="C4251" s="5">
        <v>6</v>
      </c>
      <c r="D4251" s="379">
        <v>59.768333333333331</v>
      </c>
      <c r="E4251" s="25">
        <v>24.84</v>
      </c>
      <c r="F4251" s="379">
        <v>11.813104993000199</v>
      </c>
      <c r="G4251" s="25">
        <v>32.79</v>
      </c>
      <c r="H4251" s="379">
        <v>9.7117987678429678</v>
      </c>
      <c r="I4251" s="25">
        <v>50.21</v>
      </c>
      <c r="J4251" s="379">
        <v>6.6492106560272815</v>
      </c>
    </row>
    <row r="4252" spans="1:10" x14ac:dyDescent="0.35">
      <c r="A4252" s="5">
        <v>4248</v>
      </c>
      <c r="B4252" s="5">
        <v>177</v>
      </c>
      <c r="C4252" s="5">
        <v>6</v>
      </c>
      <c r="D4252" s="379">
        <v>56.819444444444443</v>
      </c>
      <c r="E4252" s="25">
        <v>24</v>
      </c>
      <c r="F4252" s="379">
        <v>16.21063787669943</v>
      </c>
      <c r="G4252" s="25">
        <v>31.42</v>
      </c>
      <c r="H4252" s="379">
        <v>8.1408376193683267</v>
      </c>
      <c r="I4252" s="25">
        <v>42.73</v>
      </c>
      <c r="J4252" s="379">
        <v>7.1038964588688591</v>
      </c>
    </row>
    <row r="4253" spans="1:10" x14ac:dyDescent="0.35">
      <c r="A4253" s="5">
        <v>4249</v>
      </c>
      <c r="B4253" s="5">
        <v>178</v>
      </c>
      <c r="C4253" s="5">
        <v>6</v>
      </c>
      <c r="D4253" s="379">
        <v>54.751666666666658</v>
      </c>
      <c r="E4253" s="25">
        <v>24</v>
      </c>
      <c r="F4253" s="379">
        <v>16.377223752322429</v>
      </c>
      <c r="G4253" s="25">
        <v>31.11</v>
      </c>
      <c r="H4253" s="379">
        <v>9.2002080234870558</v>
      </c>
      <c r="I4253" s="25">
        <v>35.03</v>
      </c>
      <c r="J4253" s="379">
        <v>7.0052174465066761</v>
      </c>
    </row>
    <row r="4254" spans="1:10" x14ac:dyDescent="0.35">
      <c r="A4254" s="5">
        <v>4250</v>
      </c>
      <c r="B4254" s="5">
        <v>178</v>
      </c>
      <c r="C4254" s="5">
        <v>6</v>
      </c>
      <c r="D4254" s="379">
        <v>54.49722222222222</v>
      </c>
      <c r="E4254" s="25">
        <v>24</v>
      </c>
      <c r="F4254" s="379">
        <v>14.250553498802626</v>
      </c>
      <c r="G4254" s="25">
        <v>30.91</v>
      </c>
      <c r="H4254" s="379">
        <v>9.6674166255017262</v>
      </c>
      <c r="I4254" s="25">
        <v>35.03</v>
      </c>
      <c r="J4254" s="379">
        <v>6.9761185435231363</v>
      </c>
    </row>
    <row r="4255" spans="1:10" x14ac:dyDescent="0.35">
      <c r="A4255" s="5">
        <v>4251</v>
      </c>
      <c r="B4255" s="5">
        <v>178</v>
      </c>
      <c r="C4255" s="5">
        <v>6</v>
      </c>
      <c r="D4255" s="379">
        <v>54.679444444444442</v>
      </c>
      <c r="E4255" s="25">
        <v>23.59</v>
      </c>
      <c r="F4255" s="379">
        <v>14.87018243565756</v>
      </c>
      <c r="G4255" s="25">
        <v>30.91</v>
      </c>
      <c r="H4255" s="379">
        <v>9.6399990027260607</v>
      </c>
      <c r="I4255" s="25">
        <v>35.03</v>
      </c>
      <c r="J4255" s="379">
        <v>6.9614289139969001</v>
      </c>
    </row>
    <row r="4256" spans="1:10" x14ac:dyDescent="0.35">
      <c r="A4256" s="5">
        <v>4252</v>
      </c>
      <c r="B4256" s="5">
        <v>178</v>
      </c>
      <c r="C4256" s="5">
        <v>6</v>
      </c>
      <c r="D4256" s="379">
        <v>54.796111111111117</v>
      </c>
      <c r="E4256" s="25">
        <v>23.59</v>
      </c>
      <c r="F4256" s="379">
        <v>14.513896895821064</v>
      </c>
      <c r="G4256" s="25">
        <v>30.91</v>
      </c>
      <c r="H4256" s="379">
        <v>9.1761088895395293</v>
      </c>
      <c r="I4256" s="25">
        <v>34.68</v>
      </c>
      <c r="J4256" s="379">
        <v>6.8559216304461659</v>
      </c>
    </row>
    <row r="4257" spans="1:10" x14ac:dyDescent="0.35">
      <c r="A4257" s="5">
        <v>4253</v>
      </c>
      <c r="B4257" s="5">
        <v>178</v>
      </c>
      <c r="C4257" s="5">
        <v>6</v>
      </c>
      <c r="D4257" s="379">
        <v>56.901666666666664</v>
      </c>
      <c r="E4257" s="25">
        <v>23.59</v>
      </c>
      <c r="F4257" s="379">
        <v>14.124823689822621</v>
      </c>
      <c r="G4257" s="25">
        <v>30.91</v>
      </c>
      <c r="H4257" s="379">
        <v>8.9498333596296895</v>
      </c>
      <c r="I4257" s="25">
        <v>34.68</v>
      </c>
      <c r="J4257" s="379">
        <v>6.6638492467395576</v>
      </c>
    </row>
    <row r="4258" spans="1:10" x14ac:dyDescent="0.35">
      <c r="A4258" s="5">
        <v>4254</v>
      </c>
      <c r="B4258" s="5">
        <v>178</v>
      </c>
      <c r="C4258" s="5">
        <v>6</v>
      </c>
      <c r="D4258" s="379">
        <v>65.280555555555551</v>
      </c>
      <c r="E4258" s="25">
        <v>23.59</v>
      </c>
      <c r="F4258" s="379">
        <v>15.005247567825435</v>
      </c>
      <c r="G4258" s="25">
        <v>30.91</v>
      </c>
      <c r="H4258" s="379">
        <v>8.5665983098477199</v>
      </c>
      <c r="I4258" s="25">
        <v>34.68</v>
      </c>
      <c r="J4258" s="379">
        <v>6.5713318829877077</v>
      </c>
    </row>
    <row r="4259" spans="1:10" x14ac:dyDescent="0.35">
      <c r="A4259" s="5">
        <v>4255</v>
      </c>
      <c r="B4259" s="5">
        <v>178</v>
      </c>
      <c r="C4259" s="5">
        <v>6</v>
      </c>
      <c r="D4259" s="379">
        <v>68.455555555555549</v>
      </c>
      <c r="E4259" s="25">
        <v>24</v>
      </c>
      <c r="F4259" s="379">
        <v>16.370935868369827</v>
      </c>
      <c r="G4259" s="25">
        <v>30.91</v>
      </c>
      <c r="H4259" s="379">
        <v>9.3683449004521204</v>
      </c>
      <c r="I4259" s="25">
        <v>35.72</v>
      </c>
      <c r="J4259" s="379">
        <v>6.7129889204056834</v>
      </c>
    </row>
    <row r="4260" spans="1:10" x14ac:dyDescent="0.35">
      <c r="A4260" s="5">
        <v>4256</v>
      </c>
      <c r="B4260" s="5">
        <v>178</v>
      </c>
      <c r="C4260" s="5">
        <v>6</v>
      </c>
      <c r="D4260" s="379">
        <v>73.674444444444433</v>
      </c>
      <c r="E4260" s="25">
        <v>24</v>
      </c>
      <c r="F4260" s="379">
        <v>17.500752397080088</v>
      </c>
      <c r="G4260" s="25">
        <v>30.91</v>
      </c>
      <c r="H4260" s="379">
        <v>10.060608933027062</v>
      </c>
      <c r="I4260" s="25">
        <v>35.72</v>
      </c>
      <c r="J4260" s="379">
        <v>6.8426387322503626</v>
      </c>
    </row>
    <row r="4261" spans="1:10" x14ac:dyDescent="0.35">
      <c r="A4261" s="5">
        <v>4257</v>
      </c>
      <c r="B4261" s="5">
        <v>178</v>
      </c>
      <c r="C4261" s="5">
        <v>6</v>
      </c>
      <c r="D4261" s="379">
        <v>72.471111111111114</v>
      </c>
      <c r="E4261" s="25">
        <v>24</v>
      </c>
      <c r="F4261" s="379">
        <v>8.6420395182615692</v>
      </c>
      <c r="G4261" s="25">
        <v>31.11</v>
      </c>
      <c r="H4261" s="379">
        <v>8.9591637203420191</v>
      </c>
      <c r="I4261" s="25">
        <v>35.72</v>
      </c>
      <c r="J4261" s="379">
        <v>5.2104880163950131</v>
      </c>
    </row>
    <row r="4262" spans="1:10" x14ac:dyDescent="0.35">
      <c r="A4262" s="5">
        <v>4258</v>
      </c>
      <c r="B4262" s="5">
        <v>178</v>
      </c>
      <c r="C4262" s="5">
        <v>6</v>
      </c>
      <c r="D4262" s="379">
        <v>70.55</v>
      </c>
      <c r="E4262" s="25">
        <v>24</v>
      </c>
      <c r="F4262" s="379">
        <v>8.1174834595959595</v>
      </c>
      <c r="G4262" s="25">
        <v>31.11</v>
      </c>
      <c r="H4262" s="379">
        <v>4.799693804694658</v>
      </c>
      <c r="I4262" s="25">
        <v>35.229999999999997</v>
      </c>
      <c r="J4262" s="379">
        <v>0.27777777777777779</v>
      </c>
    </row>
    <row r="4263" spans="1:10" x14ac:dyDescent="0.35">
      <c r="A4263" s="5">
        <v>4259</v>
      </c>
      <c r="B4263" s="5">
        <v>178</v>
      </c>
      <c r="C4263" s="5">
        <v>6</v>
      </c>
      <c r="D4263" s="379">
        <v>66.732222222222219</v>
      </c>
      <c r="E4263" s="25">
        <v>23.84</v>
      </c>
      <c r="F4263" s="379">
        <v>5.4735598143999971</v>
      </c>
      <c r="G4263" s="25">
        <v>31.11</v>
      </c>
      <c r="H4263" s="379">
        <v>6.621711055842785</v>
      </c>
      <c r="I4263" s="25">
        <v>34.68</v>
      </c>
      <c r="J4263" s="379">
        <v>0.27777777777777779</v>
      </c>
    </row>
    <row r="4264" spans="1:10" x14ac:dyDescent="0.35">
      <c r="A4264" s="5">
        <v>4260</v>
      </c>
      <c r="B4264" s="5">
        <v>178</v>
      </c>
      <c r="C4264" s="5">
        <v>6</v>
      </c>
      <c r="D4264" s="379">
        <v>63.012777777777778</v>
      </c>
      <c r="E4264" s="25">
        <v>23.84</v>
      </c>
      <c r="F4264" s="379">
        <v>5.3700520589871017</v>
      </c>
      <c r="G4264" s="25">
        <v>31.11</v>
      </c>
      <c r="H4264" s="379">
        <v>6.4487117380154135</v>
      </c>
      <c r="I4264" s="25">
        <v>34.68</v>
      </c>
      <c r="J4264" s="379">
        <v>0.26974984957188547</v>
      </c>
    </row>
    <row r="4265" spans="1:10" x14ac:dyDescent="0.35">
      <c r="A4265" s="5">
        <v>4261</v>
      </c>
      <c r="B4265" s="5">
        <v>178</v>
      </c>
      <c r="C4265" s="5">
        <v>6</v>
      </c>
      <c r="D4265" s="379">
        <v>57.022222222222226</v>
      </c>
      <c r="E4265" s="25">
        <v>23.84</v>
      </c>
      <c r="F4265" s="379">
        <v>5.3700520589871017</v>
      </c>
      <c r="G4265" s="25">
        <v>30.91</v>
      </c>
      <c r="H4265" s="379">
        <v>8.8350834595959604</v>
      </c>
      <c r="I4265" s="25">
        <v>34.68</v>
      </c>
      <c r="J4265" s="379">
        <v>6.9178420723878573E-2</v>
      </c>
    </row>
    <row r="4266" spans="1:10" x14ac:dyDescent="0.35">
      <c r="A4266" s="5">
        <v>4262</v>
      </c>
      <c r="B4266" s="5">
        <v>178</v>
      </c>
      <c r="C4266" s="5">
        <v>6</v>
      </c>
      <c r="D4266" s="379">
        <v>56.543888888888887</v>
      </c>
      <c r="E4266" s="25">
        <v>23.84</v>
      </c>
      <c r="F4266" s="379">
        <v>5.2110189433060174</v>
      </c>
      <c r="G4266" s="25">
        <v>30.91</v>
      </c>
      <c r="H4266" s="379">
        <v>8.8350834595959604</v>
      </c>
      <c r="I4266" s="25">
        <v>34.68</v>
      </c>
      <c r="J4266" s="379">
        <v>2.777777777777778E-2</v>
      </c>
    </row>
    <row r="4267" spans="1:10" x14ac:dyDescent="0.35">
      <c r="A4267" s="5">
        <v>4263</v>
      </c>
      <c r="B4267" s="5">
        <v>178</v>
      </c>
      <c r="C4267" s="5">
        <v>6</v>
      </c>
      <c r="D4267" s="379">
        <v>56.966666666666669</v>
      </c>
      <c r="E4267" s="25">
        <v>23.59</v>
      </c>
      <c r="F4267" s="379">
        <v>5.0005358186959024</v>
      </c>
      <c r="G4267" s="25">
        <v>30.91</v>
      </c>
      <c r="H4267" s="379">
        <v>8.8350834595959604</v>
      </c>
      <c r="I4267" s="25">
        <v>34.68</v>
      </c>
      <c r="J4267" s="379">
        <v>5.1646794947467829E-2</v>
      </c>
    </row>
    <row r="4268" spans="1:10" x14ac:dyDescent="0.35">
      <c r="A4268" s="5">
        <v>4264</v>
      </c>
      <c r="B4268" s="5">
        <v>178</v>
      </c>
      <c r="C4268" s="5">
        <v>6</v>
      </c>
      <c r="D4268" s="379">
        <v>58.767777777777773</v>
      </c>
      <c r="E4268" s="25">
        <v>23.59</v>
      </c>
      <c r="F4268" s="379">
        <v>5.3700520589871017</v>
      </c>
      <c r="G4268" s="25">
        <v>30.91</v>
      </c>
      <c r="H4268" s="379">
        <v>8.830154574266059</v>
      </c>
      <c r="I4268" s="25">
        <v>34.68</v>
      </c>
      <c r="J4268" s="379">
        <v>5.1646794947467829E-2</v>
      </c>
    </row>
    <row r="4269" spans="1:10" x14ac:dyDescent="0.35">
      <c r="A4269" s="5">
        <v>4265</v>
      </c>
      <c r="B4269" s="5">
        <v>178</v>
      </c>
      <c r="C4269" s="5">
        <v>6</v>
      </c>
      <c r="D4269" s="379">
        <v>69.155000000000001</v>
      </c>
      <c r="E4269" s="25">
        <v>23.84</v>
      </c>
      <c r="F4269" s="379">
        <v>8.1174834595959613</v>
      </c>
      <c r="G4269" s="25">
        <v>30.91</v>
      </c>
      <c r="H4269" s="379">
        <v>6.1577986564089207</v>
      </c>
      <c r="I4269" s="25">
        <v>34.68</v>
      </c>
      <c r="J4269" s="379">
        <v>8.2922668688400314E-2</v>
      </c>
    </row>
    <row r="4270" spans="1:10" x14ac:dyDescent="0.35">
      <c r="A4270" s="5">
        <v>4266</v>
      </c>
      <c r="B4270" s="5">
        <v>178</v>
      </c>
      <c r="C4270" s="5">
        <v>6</v>
      </c>
      <c r="D4270" s="379">
        <v>73.734444444444435</v>
      </c>
      <c r="E4270" s="25">
        <v>24.12</v>
      </c>
      <c r="F4270" s="379">
        <v>8.1977644942370151</v>
      </c>
      <c r="G4270" s="25">
        <v>31.11</v>
      </c>
      <c r="H4270" s="379">
        <v>7.942526607665628</v>
      </c>
      <c r="I4270" s="25">
        <v>35.590000000000003</v>
      </c>
      <c r="J4270" s="379">
        <v>4.7037363716583309</v>
      </c>
    </row>
    <row r="4271" spans="1:10" x14ac:dyDescent="0.35">
      <c r="A4271" s="5">
        <v>4267</v>
      </c>
      <c r="B4271" s="5">
        <v>178</v>
      </c>
      <c r="C4271" s="5">
        <v>6</v>
      </c>
      <c r="D4271" s="379">
        <v>77.372777777777785</v>
      </c>
      <c r="E4271" s="25">
        <v>24.84</v>
      </c>
      <c r="F4271" s="379">
        <v>10.092257215882405</v>
      </c>
      <c r="G4271" s="25">
        <v>32.159999999999997</v>
      </c>
      <c r="H4271" s="379">
        <v>10.947961811259471</v>
      </c>
      <c r="I4271" s="25">
        <v>46.69</v>
      </c>
      <c r="J4271" s="379">
        <v>7.0250938891994466</v>
      </c>
    </row>
    <row r="4272" spans="1:10" x14ac:dyDescent="0.35">
      <c r="A4272" s="5">
        <v>4268</v>
      </c>
      <c r="B4272" s="5">
        <v>178</v>
      </c>
      <c r="C4272" s="5">
        <v>6</v>
      </c>
      <c r="D4272" s="379">
        <v>74.763888888888886</v>
      </c>
      <c r="E4272" s="25">
        <v>24.84</v>
      </c>
      <c r="F4272" s="379">
        <v>11.640507803741489</v>
      </c>
      <c r="G4272" s="25">
        <v>40.340000000000003</v>
      </c>
      <c r="H4272" s="379">
        <v>11.051950549902795</v>
      </c>
      <c r="I4272" s="25">
        <v>50.96</v>
      </c>
      <c r="J4272" s="379">
        <v>7.3103302320157715</v>
      </c>
    </row>
    <row r="4273" spans="1:10" x14ac:dyDescent="0.35">
      <c r="A4273" s="5">
        <v>4269</v>
      </c>
      <c r="B4273" s="5">
        <v>178</v>
      </c>
      <c r="C4273" s="5">
        <v>6</v>
      </c>
      <c r="D4273" s="379">
        <v>72.842777777777783</v>
      </c>
      <c r="E4273" s="25">
        <v>24.84</v>
      </c>
      <c r="F4273" s="379">
        <v>11.653157018826027</v>
      </c>
      <c r="G4273" s="25">
        <v>42.29</v>
      </c>
      <c r="H4273" s="379">
        <v>11.154442677916755</v>
      </c>
      <c r="I4273" s="25">
        <v>54.32</v>
      </c>
      <c r="J4273" s="379">
        <v>7.2218155974444214</v>
      </c>
    </row>
    <row r="4274" spans="1:10" x14ac:dyDescent="0.35">
      <c r="A4274" s="5">
        <v>4270</v>
      </c>
      <c r="B4274" s="5">
        <v>178</v>
      </c>
      <c r="C4274" s="5">
        <v>6</v>
      </c>
      <c r="D4274" s="379">
        <v>70.748333333333335</v>
      </c>
      <c r="E4274" s="25">
        <v>24.84</v>
      </c>
      <c r="F4274" s="379">
        <v>11.638358571733779</v>
      </c>
      <c r="G4274" s="25">
        <v>43.56</v>
      </c>
      <c r="H4274" s="379">
        <v>11.263484392794025</v>
      </c>
      <c r="I4274" s="25">
        <v>56.52</v>
      </c>
      <c r="J4274" s="379">
        <v>7.2218155974444214</v>
      </c>
    </row>
    <row r="4275" spans="1:10" x14ac:dyDescent="0.35">
      <c r="A4275" s="5">
        <v>4271</v>
      </c>
      <c r="B4275" s="5">
        <v>178</v>
      </c>
      <c r="C4275" s="5">
        <v>6</v>
      </c>
      <c r="D4275" s="379">
        <v>67.826666666666668</v>
      </c>
      <c r="E4275" s="25">
        <v>24.84</v>
      </c>
      <c r="F4275" s="379">
        <v>11.639210792241162</v>
      </c>
      <c r="G4275" s="25">
        <v>42.79</v>
      </c>
      <c r="H4275" s="379">
        <v>11.124658466085132</v>
      </c>
      <c r="I4275" s="25">
        <v>55.66</v>
      </c>
      <c r="J4275" s="379">
        <v>7.3743687879026458</v>
      </c>
    </row>
    <row r="4276" spans="1:10" x14ac:dyDescent="0.35">
      <c r="A4276" s="5">
        <v>4272</v>
      </c>
      <c r="B4276" s="5">
        <v>178</v>
      </c>
      <c r="C4276" s="5">
        <v>6</v>
      </c>
      <c r="D4276" s="379">
        <v>59.01</v>
      </c>
      <c r="E4276" s="25">
        <v>24.84</v>
      </c>
      <c r="F4276" s="379">
        <v>9.5061168893172461</v>
      </c>
      <c r="G4276" s="25">
        <v>38.61</v>
      </c>
      <c r="H4276" s="379">
        <v>11.119072067985233</v>
      </c>
      <c r="I4276" s="25">
        <v>50.33</v>
      </c>
      <c r="J4276" s="379">
        <v>7.0997211265168882</v>
      </c>
    </row>
    <row r="4277" spans="1:10" x14ac:dyDescent="0.35">
      <c r="A4277" s="5">
        <v>4273</v>
      </c>
      <c r="B4277" s="5">
        <v>179</v>
      </c>
      <c r="C4277" s="5">
        <v>6</v>
      </c>
      <c r="D4277" s="379">
        <v>57.973333333333336</v>
      </c>
      <c r="E4277" s="25">
        <v>24.84</v>
      </c>
      <c r="F4277" s="379">
        <v>9.5552808249723764</v>
      </c>
      <c r="G4277" s="25">
        <v>40.340000000000003</v>
      </c>
      <c r="H4277" s="379">
        <v>10.559325600284831</v>
      </c>
      <c r="I4277" s="25">
        <v>53.27</v>
      </c>
      <c r="J4277" s="379">
        <v>7.2058037632491327</v>
      </c>
    </row>
    <row r="4278" spans="1:10" x14ac:dyDescent="0.35">
      <c r="A4278" s="5">
        <v>4274</v>
      </c>
      <c r="B4278" s="5">
        <v>179</v>
      </c>
      <c r="C4278" s="5">
        <v>6</v>
      </c>
      <c r="D4278" s="379">
        <v>54.592777777777783</v>
      </c>
      <c r="E4278" s="25">
        <v>24.84</v>
      </c>
      <c r="F4278" s="379">
        <v>9.5061168893172461</v>
      </c>
      <c r="G4278" s="25">
        <v>40.340000000000003</v>
      </c>
      <c r="H4278" s="379">
        <v>10.091642509549963</v>
      </c>
      <c r="I4278" s="25">
        <v>53.27</v>
      </c>
      <c r="J4278" s="379">
        <v>7.2404014742116534</v>
      </c>
    </row>
    <row r="4279" spans="1:10" x14ac:dyDescent="0.35">
      <c r="A4279" s="5">
        <v>4275</v>
      </c>
      <c r="B4279" s="5">
        <v>179</v>
      </c>
      <c r="C4279" s="5">
        <v>6</v>
      </c>
      <c r="D4279" s="379">
        <v>53.521666666666654</v>
      </c>
      <c r="E4279" s="25">
        <v>24.84</v>
      </c>
      <c r="F4279" s="379">
        <v>9.5552808249723764</v>
      </c>
      <c r="G4279" s="25">
        <v>40.340000000000003</v>
      </c>
      <c r="H4279" s="379">
        <v>10.223651219321971</v>
      </c>
      <c r="I4279" s="25">
        <v>53.27</v>
      </c>
      <c r="J4279" s="379">
        <v>7.4427301272430402</v>
      </c>
    </row>
    <row r="4280" spans="1:10" x14ac:dyDescent="0.35">
      <c r="A4280" s="5">
        <v>4276</v>
      </c>
      <c r="B4280" s="5">
        <v>179</v>
      </c>
      <c r="C4280" s="5">
        <v>6</v>
      </c>
      <c r="D4280" s="379">
        <v>54.42166666666666</v>
      </c>
      <c r="E4280" s="25">
        <v>24.84</v>
      </c>
      <c r="F4280" s="379">
        <v>9.4025263870227622</v>
      </c>
      <c r="G4280" s="25">
        <v>40.340000000000003</v>
      </c>
      <c r="H4280" s="379">
        <v>9.9288710492484711</v>
      </c>
      <c r="I4280" s="25">
        <v>53.27</v>
      </c>
      <c r="J4280" s="379">
        <v>7.3804487280653976</v>
      </c>
    </row>
    <row r="4281" spans="1:10" x14ac:dyDescent="0.35">
      <c r="A4281" s="5">
        <v>4277</v>
      </c>
      <c r="B4281" s="5">
        <v>179</v>
      </c>
      <c r="C4281" s="5">
        <v>6</v>
      </c>
      <c r="D4281" s="379">
        <v>55.689999999999991</v>
      </c>
      <c r="E4281" s="25">
        <v>24.84</v>
      </c>
      <c r="F4281" s="379">
        <v>10.2899699321963</v>
      </c>
      <c r="G4281" s="25">
        <v>42.29</v>
      </c>
      <c r="H4281" s="379">
        <v>9.9764297005578815</v>
      </c>
      <c r="I4281" s="25">
        <v>53.27</v>
      </c>
      <c r="J4281" s="379">
        <v>7.2900286808759027</v>
      </c>
    </row>
    <row r="4282" spans="1:10" x14ac:dyDescent="0.35">
      <c r="A4282" s="5">
        <v>4278</v>
      </c>
      <c r="B4282" s="5">
        <v>179</v>
      </c>
      <c r="C4282" s="5">
        <v>6</v>
      </c>
      <c r="D4282" s="379">
        <v>64.606666666666669</v>
      </c>
      <c r="E4282" s="25">
        <v>24.84</v>
      </c>
      <c r="F4282" s="379">
        <v>9.740304041507299</v>
      </c>
      <c r="G4282" s="25">
        <v>45.15</v>
      </c>
      <c r="H4282" s="379">
        <v>8.9940567624767951</v>
      </c>
      <c r="I4282" s="25">
        <v>59.05</v>
      </c>
      <c r="J4282" s="379">
        <v>7.0293082477879585</v>
      </c>
    </row>
    <row r="4283" spans="1:10" x14ac:dyDescent="0.35">
      <c r="A4283" s="5">
        <v>4279</v>
      </c>
      <c r="B4283" s="5">
        <v>179</v>
      </c>
      <c r="C4283" s="5">
        <v>6</v>
      </c>
      <c r="D4283" s="379">
        <v>70.226111111111109</v>
      </c>
      <c r="E4283" s="25">
        <v>25.59</v>
      </c>
      <c r="F4283" s="379">
        <v>9.0712799229439351</v>
      </c>
      <c r="G4283" s="25">
        <v>47.46</v>
      </c>
      <c r="H4283" s="379">
        <v>8.6343588518973657</v>
      </c>
      <c r="I4283" s="25">
        <v>62.67</v>
      </c>
      <c r="J4283" s="379">
        <v>6.364385706772941</v>
      </c>
    </row>
    <row r="4284" spans="1:10" x14ac:dyDescent="0.35">
      <c r="A4284" s="5">
        <v>4280</v>
      </c>
      <c r="B4284" s="5">
        <v>179</v>
      </c>
      <c r="C4284" s="5">
        <v>6</v>
      </c>
      <c r="D4284" s="379">
        <v>72.796666666666667</v>
      </c>
      <c r="E4284" s="25">
        <v>25.59</v>
      </c>
      <c r="F4284" s="379">
        <v>8.5693513684089719</v>
      </c>
      <c r="G4284" s="25">
        <v>47.85</v>
      </c>
      <c r="H4284" s="379">
        <v>6.795381644375845</v>
      </c>
      <c r="I4284" s="25">
        <v>62.67</v>
      </c>
      <c r="J4284" s="379">
        <v>0.27777777777777779</v>
      </c>
    </row>
    <row r="4285" spans="1:10" x14ac:dyDescent="0.35">
      <c r="A4285" s="5">
        <v>4281</v>
      </c>
      <c r="B4285" s="5">
        <v>179</v>
      </c>
      <c r="C4285" s="5">
        <v>6</v>
      </c>
      <c r="D4285" s="379">
        <v>71.091111111111118</v>
      </c>
      <c r="E4285" s="25">
        <v>25.59</v>
      </c>
      <c r="F4285" s="379">
        <v>8.1174834595959595</v>
      </c>
      <c r="G4285" s="25">
        <v>47.85</v>
      </c>
      <c r="H4285" s="379">
        <v>5.2504820877192424</v>
      </c>
      <c r="I4285" s="25">
        <v>61.76</v>
      </c>
      <c r="J4285" s="379">
        <v>0.27777777777777779</v>
      </c>
    </row>
    <row r="4286" spans="1:10" x14ac:dyDescent="0.35">
      <c r="A4286" s="5">
        <v>4282</v>
      </c>
      <c r="B4286" s="5">
        <v>179</v>
      </c>
      <c r="C4286" s="5">
        <v>6</v>
      </c>
      <c r="D4286" s="379">
        <v>62.954444444444448</v>
      </c>
      <c r="E4286" s="25">
        <v>25.59</v>
      </c>
      <c r="F4286" s="379">
        <v>0.47222222222222221</v>
      </c>
      <c r="G4286" s="25">
        <v>47.85</v>
      </c>
      <c r="H4286" s="379">
        <v>4.8601983862073768</v>
      </c>
      <c r="I4286" s="25">
        <v>54.87</v>
      </c>
      <c r="J4286" s="379">
        <v>3.2605597388840839</v>
      </c>
    </row>
    <row r="4287" spans="1:10" x14ac:dyDescent="0.35">
      <c r="A4287" s="5">
        <v>4283</v>
      </c>
      <c r="B4287" s="5">
        <v>179</v>
      </c>
      <c r="C4287" s="5">
        <v>6</v>
      </c>
      <c r="D4287" s="379">
        <v>56.866111111111117</v>
      </c>
      <c r="E4287" s="25">
        <v>25.59</v>
      </c>
      <c r="F4287" s="379">
        <v>5.2110189433060174</v>
      </c>
      <c r="G4287" s="25">
        <v>47.85</v>
      </c>
      <c r="H4287" s="379">
        <v>3.7180652094255962</v>
      </c>
      <c r="I4287" s="25">
        <v>53.81</v>
      </c>
      <c r="J4287" s="379">
        <v>2.1533479600255894</v>
      </c>
    </row>
    <row r="4288" spans="1:10" x14ac:dyDescent="0.35">
      <c r="A4288" s="5">
        <v>4284</v>
      </c>
      <c r="B4288" s="5">
        <v>179</v>
      </c>
      <c r="C4288" s="5">
        <v>6</v>
      </c>
      <c r="D4288" s="379">
        <v>55.082777777777778</v>
      </c>
      <c r="E4288" s="25">
        <v>24.84</v>
      </c>
      <c r="F4288" s="379">
        <v>5.2110189433060174</v>
      </c>
      <c r="G4288" s="25">
        <v>45.61</v>
      </c>
      <c r="H4288" s="379">
        <v>3.7327964222087671</v>
      </c>
      <c r="I4288" s="25">
        <v>53.27</v>
      </c>
      <c r="J4288" s="379">
        <v>2.2045104421946244</v>
      </c>
    </row>
    <row r="4289" spans="1:10" x14ac:dyDescent="0.35">
      <c r="A4289" s="5">
        <v>4285</v>
      </c>
      <c r="B4289" s="5">
        <v>179</v>
      </c>
      <c r="C4289" s="5">
        <v>6</v>
      </c>
      <c r="D4289" s="379">
        <v>53.889999999999993</v>
      </c>
      <c r="E4289" s="25">
        <v>24.84</v>
      </c>
      <c r="F4289" s="379">
        <v>1.2062232062351375</v>
      </c>
      <c r="G4289" s="25">
        <v>45.61</v>
      </c>
      <c r="H4289" s="379">
        <v>3.7327964222087671</v>
      </c>
      <c r="I4289" s="25">
        <v>53.27</v>
      </c>
      <c r="J4289" s="379">
        <v>2.2045104421946244</v>
      </c>
    </row>
    <row r="4290" spans="1:10" x14ac:dyDescent="0.35">
      <c r="A4290" s="5">
        <v>4286</v>
      </c>
      <c r="B4290" s="5">
        <v>179</v>
      </c>
      <c r="C4290" s="5">
        <v>6</v>
      </c>
      <c r="D4290" s="379">
        <v>55.198888888888881</v>
      </c>
      <c r="E4290" s="25">
        <v>24.84</v>
      </c>
      <c r="F4290" s="379">
        <v>5.2110189433060174</v>
      </c>
      <c r="G4290" s="25">
        <v>45.61</v>
      </c>
      <c r="H4290" s="379">
        <v>3.7327964222087671</v>
      </c>
      <c r="I4290" s="25">
        <v>53.27</v>
      </c>
      <c r="J4290" s="379">
        <v>2.2045104421946244</v>
      </c>
    </row>
    <row r="4291" spans="1:10" x14ac:dyDescent="0.35">
      <c r="A4291" s="5">
        <v>4287</v>
      </c>
      <c r="B4291" s="5">
        <v>179</v>
      </c>
      <c r="C4291" s="5">
        <v>6</v>
      </c>
      <c r="D4291" s="379">
        <v>56.903888888888886</v>
      </c>
      <c r="E4291" s="25">
        <v>24.84</v>
      </c>
      <c r="F4291" s="379">
        <v>0.25752328374927536</v>
      </c>
      <c r="G4291" s="25">
        <v>46.98</v>
      </c>
      <c r="H4291" s="379">
        <v>3.7327964222087671</v>
      </c>
      <c r="I4291" s="25">
        <v>53.27</v>
      </c>
      <c r="J4291" s="379">
        <v>2.2045104421946244</v>
      </c>
    </row>
    <row r="4292" spans="1:10" x14ac:dyDescent="0.35">
      <c r="A4292" s="5">
        <v>4288</v>
      </c>
      <c r="B4292" s="5">
        <v>179</v>
      </c>
      <c r="C4292" s="5">
        <v>6</v>
      </c>
      <c r="D4292" s="379">
        <v>61.663333333333334</v>
      </c>
      <c r="E4292" s="25">
        <v>24.84</v>
      </c>
      <c r="F4292" s="379">
        <v>3.2811996166348854</v>
      </c>
      <c r="G4292" s="25">
        <v>45.15</v>
      </c>
      <c r="H4292" s="379">
        <v>4.3092112782118122</v>
      </c>
      <c r="I4292" s="25">
        <v>53.27</v>
      </c>
      <c r="J4292" s="379">
        <v>2.1636241437919868</v>
      </c>
    </row>
    <row r="4293" spans="1:10" x14ac:dyDescent="0.35">
      <c r="A4293" s="5">
        <v>4289</v>
      </c>
      <c r="B4293" s="5">
        <v>179</v>
      </c>
      <c r="C4293" s="5">
        <v>6</v>
      </c>
      <c r="D4293" s="379">
        <v>71.264999999999986</v>
      </c>
      <c r="E4293" s="25">
        <v>24.99</v>
      </c>
      <c r="F4293" s="379">
        <v>8.1174834595959577</v>
      </c>
      <c r="G4293" s="25">
        <v>47.46</v>
      </c>
      <c r="H4293" s="379">
        <v>5.4321315509708885</v>
      </c>
      <c r="I4293" s="25">
        <v>53.27</v>
      </c>
      <c r="J4293" s="379">
        <v>2.5981023441157181</v>
      </c>
    </row>
    <row r="4294" spans="1:10" x14ac:dyDescent="0.35">
      <c r="A4294" s="5">
        <v>4290</v>
      </c>
      <c r="B4294" s="5">
        <v>179</v>
      </c>
      <c r="C4294" s="5">
        <v>6</v>
      </c>
      <c r="D4294" s="379">
        <v>77.336111111111094</v>
      </c>
      <c r="E4294" s="25">
        <v>24.99</v>
      </c>
      <c r="F4294" s="379">
        <v>8.3041960813295503</v>
      </c>
      <c r="G4294" s="25">
        <v>47.46</v>
      </c>
      <c r="H4294" s="379">
        <v>7.7233346658192259</v>
      </c>
      <c r="I4294" s="25">
        <v>53.81</v>
      </c>
      <c r="J4294" s="379">
        <v>6.2056274582841455</v>
      </c>
    </row>
    <row r="4295" spans="1:10" x14ac:dyDescent="0.35">
      <c r="A4295" s="5">
        <v>4291</v>
      </c>
      <c r="B4295" s="5">
        <v>179</v>
      </c>
      <c r="C4295" s="5">
        <v>6</v>
      </c>
      <c r="D4295" s="379">
        <v>83.60222222222221</v>
      </c>
      <c r="E4295" s="25">
        <v>25.59</v>
      </c>
      <c r="F4295" s="379">
        <v>11.949843892441637</v>
      </c>
      <c r="G4295" s="25">
        <v>47.46</v>
      </c>
      <c r="H4295" s="379">
        <v>9.5367459664535605</v>
      </c>
      <c r="I4295" s="25">
        <v>56.56</v>
      </c>
      <c r="J4295" s="379">
        <v>6.7718326208122281</v>
      </c>
    </row>
    <row r="4296" spans="1:10" x14ac:dyDescent="0.35">
      <c r="A4296" s="5">
        <v>4292</v>
      </c>
      <c r="B4296" s="5">
        <v>179</v>
      </c>
      <c r="C4296" s="5">
        <v>6</v>
      </c>
      <c r="D4296" s="379">
        <v>81.61333333333333</v>
      </c>
      <c r="E4296" s="25">
        <v>25.59</v>
      </c>
      <c r="F4296" s="379">
        <v>11.144011850205118</v>
      </c>
      <c r="G4296" s="25">
        <v>47.85</v>
      </c>
      <c r="H4296" s="379">
        <v>9.4140234616351002</v>
      </c>
      <c r="I4296" s="25">
        <v>59.05</v>
      </c>
      <c r="J4296" s="379">
        <v>6.550892934350701</v>
      </c>
    </row>
    <row r="4297" spans="1:10" x14ac:dyDescent="0.35">
      <c r="A4297" s="5">
        <v>4293</v>
      </c>
      <c r="B4297" s="5">
        <v>179</v>
      </c>
      <c r="C4297" s="5">
        <v>6</v>
      </c>
      <c r="D4297" s="379">
        <v>77.348888888888894</v>
      </c>
      <c r="E4297" s="25">
        <v>25.59</v>
      </c>
      <c r="F4297" s="379">
        <v>10.55599788974296</v>
      </c>
      <c r="G4297" s="25">
        <v>47.85</v>
      </c>
      <c r="H4297" s="379">
        <v>9.8888048779942874</v>
      </c>
      <c r="I4297" s="25">
        <v>62.27</v>
      </c>
      <c r="J4297" s="379">
        <v>5.7385099034864844</v>
      </c>
    </row>
    <row r="4298" spans="1:10" x14ac:dyDescent="0.35">
      <c r="A4298" s="5">
        <v>4294</v>
      </c>
      <c r="B4298" s="5">
        <v>179</v>
      </c>
      <c r="C4298" s="5">
        <v>6</v>
      </c>
      <c r="D4298" s="379">
        <v>74.390555555555551</v>
      </c>
      <c r="E4298" s="25">
        <v>25.74</v>
      </c>
      <c r="F4298" s="379">
        <v>11.869135462511132</v>
      </c>
      <c r="G4298" s="25">
        <v>47.85</v>
      </c>
      <c r="H4298" s="379">
        <v>9.1165198308391115</v>
      </c>
      <c r="I4298" s="25">
        <v>64.14</v>
      </c>
      <c r="J4298" s="379">
        <v>5.8661590141252189</v>
      </c>
    </row>
    <row r="4299" spans="1:10" x14ac:dyDescent="0.35">
      <c r="A4299" s="5">
        <v>4295</v>
      </c>
      <c r="B4299" s="5">
        <v>179</v>
      </c>
      <c r="C4299" s="5">
        <v>6</v>
      </c>
      <c r="D4299" s="379">
        <v>69.972222222222229</v>
      </c>
      <c r="E4299" s="25">
        <v>25.59</v>
      </c>
      <c r="F4299" s="379">
        <v>11.646545565498142</v>
      </c>
      <c r="G4299" s="25">
        <v>47.46</v>
      </c>
      <c r="H4299" s="379">
        <v>8.9360946415174087</v>
      </c>
      <c r="I4299" s="25">
        <v>61.76</v>
      </c>
      <c r="J4299" s="379">
        <v>5.2340396082132221</v>
      </c>
    </row>
    <row r="4300" spans="1:10" x14ac:dyDescent="0.35">
      <c r="A4300" s="5">
        <v>4296</v>
      </c>
      <c r="B4300" s="5">
        <v>179</v>
      </c>
      <c r="C4300" s="5">
        <v>6</v>
      </c>
      <c r="D4300" s="379">
        <v>61.123888888888885</v>
      </c>
      <c r="E4300" s="25">
        <v>24.84</v>
      </c>
      <c r="F4300" s="379">
        <v>10.680706063731783</v>
      </c>
      <c r="G4300" s="25">
        <v>45.15</v>
      </c>
      <c r="H4300" s="379">
        <v>8.5707828983139986</v>
      </c>
      <c r="I4300" s="25">
        <v>54.92</v>
      </c>
      <c r="J4300" s="379">
        <v>6.1996678689549114</v>
      </c>
    </row>
    <row r="4301" spans="1:10" x14ac:dyDescent="0.35">
      <c r="A4301" s="5">
        <v>4297</v>
      </c>
      <c r="B4301" s="5">
        <v>180</v>
      </c>
      <c r="C4301" s="5">
        <v>6</v>
      </c>
      <c r="D4301" s="379">
        <v>61.066666666666663</v>
      </c>
      <c r="E4301" s="25">
        <v>24.84</v>
      </c>
      <c r="F4301" s="379">
        <v>11.098060259517238</v>
      </c>
      <c r="G4301" s="25">
        <v>43.56</v>
      </c>
      <c r="H4301" s="379">
        <v>9.2772959999316562</v>
      </c>
      <c r="I4301" s="25">
        <v>54.86</v>
      </c>
      <c r="J4301" s="379">
        <v>5.5499811975408528</v>
      </c>
    </row>
    <row r="4302" spans="1:10" x14ac:dyDescent="0.35">
      <c r="A4302" s="5">
        <v>4298</v>
      </c>
      <c r="B4302" s="5">
        <v>180</v>
      </c>
      <c r="C4302" s="5">
        <v>6</v>
      </c>
      <c r="D4302" s="379">
        <v>59.895555555555546</v>
      </c>
      <c r="E4302" s="25">
        <v>24.84</v>
      </c>
      <c r="F4302" s="379">
        <v>10.988400314424553</v>
      </c>
      <c r="G4302" s="25">
        <v>43.56</v>
      </c>
      <c r="H4302" s="379">
        <v>8.6429868845273123</v>
      </c>
      <c r="I4302" s="25">
        <v>54.32</v>
      </c>
      <c r="J4302" s="379">
        <v>6.3932087036483338</v>
      </c>
    </row>
    <row r="4303" spans="1:10" x14ac:dyDescent="0.35">
      <c r="A4303" s="5">
        <v>4299</v>
      </c>
      <c r="B4303" s="5">
        <v>180</v>
      </c>
      <c r="C4303" s="5">
        <v>6</v>
      </c>
      <c r="D4303" s="379">
        <v>59.826111111111118</v>
      </c>
      <c r="E4303" s="25">
        <v>24.84</v>
      </c>
      <c r="F4303" s="379">
        <v>10.992035630039414</v>
      </c>
      <c r="G4303" s="25">
        <v>42.29</v>
      </c>
      <c r="H4303" s="379">
        <v>8.718764486105659</v>
      </c>
      <c r="I4303" s="25">
        <v>54.32</v>
      </c>
      <c r="J4303" s="379">
        <v>6.5680602124868699</v>
      </c>
    </row>
    <row r="4304" spans="1:10" x14ac:dyDescent="0.35">
      <c r="A4304" s="5">
        <v>4300</v>
      </c>
      <c r="B4304" s="5">
        <v>180</v>
      </c>
      <c r="C4304" s="5">
        <v>6</v>
      </c>
      <c r="D4304" s="379">
        <v>60.307222222222222</v>
      </c>
      <c r="E4304" s="25">
        <v>24.84</v>
      </c>
      <c r="F4304" s="379">
        <v>11.845254728671284</v>
      </c>
      <c r="G4304" s="25">
        <v>43.56</v>
      </c>
      <c r="H4304" s="379">
        <v>8.0362927982483576</v>
      </c>
      <c r="I4304" s="25">
        <v>54.32</v>
      </c>
      <c r="J4304" s="379">
        <v>6.8165426134432199</v>
      </c>
    </row>
    <row r="4305" spans="1:10" x14ac:dyDescent="0.35">
      <c r="A4305" s="5">
        <v>4301</v>
      </c>
      <c r="B4305" s="5">
        <v>180</v>
      </c>
      <c r="C4305" s="5">
        <v>6</v>
      </c>
      <c r="D4305" s="379">
        <v>58.761666666666663</v>
      </c>
      <c r="E4305" s="25">
        <v>24.84</v>
      </c>
      <c r="F4305" s="379">
        <v>10.571475117958617</v>
      </c>
      <c r="G4305" s="25">
        <v>43.56</v>
      </c>
      <c r="H4305" s="379">
        <v>7.9510475596776944</v>
      </c>
      <c r="I4305" s="25">
        <v>54.86</v>
      </c>
      <c r="J4305" s="379">
        <v>6.6750270742695204</v>
      </c>
    </row>
    <row r="4306" spans="1:10" x14ac:dyDescent="0.35">
      <c r="A4306" s="5">
        <v>4302</v>
      </c>
      <c r="B4306" s="5">
        <v>180</v>
      </c>
      <c r="C4306" s="5">
        <v>6</v>
      </c>
      <c r="D4306" s="379">
        <v>68.480555555555569</v>
      </c>
      <c r="E4306" s="25">
        <v>24.84</v>
      </c>
      <c r="F4306" s="379">
        <v>10.386926214758274</v>
      </c>
      <c r="G4306" s="25">
        <v>47.46</v>
      </c>
      <c r="H4306" s="379">
        <v>9.0864451833669513</v>
      </c>
      <c r="I4306" s="25">
        <v>59.05</v>
      </c>
      <c r="J4306" s="379">
        <v>6.0552926710289317</v>
      </c>
    </row>
    <row r="4307" spans="1:10" x14ac:dyDescent="0.35">
      <c r="A4307" s="5">
        <v>4303</v>
      </c>
      <c r="B4307" s="5">
        <v>180</v>
      </c>
      <c r="C4307" s="5">
        <v>6</v>
      </c>
      <c r="D4307" s="379">
        <v>74.040555555555557</v>
      </c>
      <c r="E4307" s="25">
        <v>25.74</v>
      </c>
      <c r="F4307" s="379">
        <v>9.6183474578810539</v>
      </c>
      <c r="G4307" s="25">
        <v>47.85</v>
      </c>
      <c r="H4307" s="379">
        <v>8.196528609245977</v>
      </c>
      <c r="I4307" s="25">
        <v>66.06</v>
      </c>
      <c r="J4307" s="379">
        <v>6.6285478614994737</v>
      </c>
    </row>
    <row r="4308" spans="1:10" x14ac:dyDescent="0.35">
      <c r="A4308" s="5">
        <v>4304</v>
      </c>
      <c r="B4308" s="5">
        <v>180</v>
      </c>
      <c r="C4308" s="5">
        <v>6</v>
      </c>
      <c r="D4308" s="379">
        <v>76.914444444444442</v>
      </c>
      <c r="E4308" s="25">
        <v>25.74</v>
      </c>
      <c r="F4308" s="379">
        <v>8.248610656495849</v>
      </c>
      <c r="G4308" s="25">
        <v>47.85</v>
      </c>
      <c r="H4308" s="379">
        <v>8.1894732009627926</v>
      </c>
      <c r="I4308" s="25">
        <v>66.06</v>
      </c>
      <c r="J4308" s="379">
        <v>4.053276452020202</v>
      </c>
    </row>
    <row r="4309" spans="1:10" x14ac:dyDescent="0.35">
      <c r="A4309" s="5">
        <v>4305</v>
      </c>
      <c r="B4309" s="5">
        <v>180</v>
      </c>
      <c r="C4309" s="5">
        <v>6</v>
      </c>
      <c r="D4309" s="379">
        <v>76.028333333333336</v>
      </c>
      <c r="E4309" s="25">
        <v>25.74</v>
      </c>
      <c r="F4309" s="379">
        <v>8.1174834595959595</v>
      </c>
      <c r="G4309" s="25">
        <v>47.85</v>
      </c>
      <c r="H4309" s="379">
        <v>8.1726007851070577</v>
      </c>
      <c r="I4309" s="25">
        <v>61.76</v>
      </c>
      <c r="J4309" s="379">
        <v>4.053276452020202</v>
      </c>
    </row>
    <row r="4310" spans="1:10" x14ac:dyDescent="0.35">
      <c r="A4310" s="5">
        <v>4306</v>
      </c>
      <c r="B4310" s="5">
        <v>180</v>
      </c>
      <c r="C4310" s="5">
        <v>6</v>
      </c>
      <c r="D4310" s="379">
        <v>71.458333333333343</v>
      </c>
      <c r="E4310" s="25">
        <v>24.99</v>
      </c>
      <c r="F4310" s="379">
        <v>8.1174834595959577</v>
      </c>
      <c r="G4310" s="25">
        <v>47.46</v>
      </c>
      <c r="H4310" s="379">
        <v>6.9918297569942798</v>
      </c>
      <c r="I4310" s="25">
        <v>55.42</v>
      </c>
      <c r="J4310" s="379">
        <v>3.6632764520202015</v>
      </c>
    </row>
    <row r="4311" spans="1:10" x14ac:dyDescent="0.35">
      <c r="A4311" s="5">
        <v>4307</v>
      </c>
      <c r="B4311" s="5">
        <v>180</v>
      </c>
      <c r="C4311" s="5">
        <v>6</v>
      </c>
      <c r="D4311" s="379">
        <v>68.787777777777762</v>
      </c>
      <c r="E4311" s="25">
        <v>24.99</v>
      </c>
      <c r="F4311" s="379">
        <v>0.47222222222222221</v>
      </c>
      <c r="G4311" s="25">
        <v>47.46</v>
      </c>
      <c r="H4311" s="379">
        <v>7.5374522252590541</v>
      </c>
      <c r="I4311" s="25">
        <v>54.86</v>
      </c>
      <c r="J4311" s="379">
        <v>2.0304981520630245</v>
      </c>
    </row>
    <row r="4312" spans="1:10" x14ac:dyDescent="0.35">
      <c r="A4312" s="5">
        <v>4308</v>
      </c>
      <c r="B4312" s="5">
        <v>180</v>
      </c>
      <c r="C4312" s="5">
        <v>6</v>
      </c>
      <c r="D4312" s="379">
        <v>68.012222222222221</v>
      </c>
      <c r="E4312" s="25">
        <v>24.99</v>
      </c>
      <c r="F4312" s="379">
        <v>5.3837097714493884</v>
      </c>
      <c r="G4312" s="25">
        <v>44.69</v>
      </c>
      <c r="H4312" s="379">
        <v>7.3770213980546719</v>
      </c>
      <c r="I4312" s="25">
        <v>54.32</v>
      </c>
      <c r="J4312" s="379">
        <v>1.4862225008761949</v>
      </c>
    </row>
    <row r="4313" spans="1:10" x14ac:dyDescent="0.35">
      <c r="A4313" s="5">
        <v>4309</v>
      </c>
      <c r="B4313" s="5">
        <v>180</v>
      </c>
      <c r="C4313" s="5">
        <v>6</v>
      </c>
      <c r="D4313" s="379">
        <v>64.05</v>
      </c>
      <c r="E4313" s="25">
        <v>24.84</v>
      </c>
      <c r="F4313" s="379">
        <v>5.1916813205015293</v>
      </c>
      <c r="G4313" s="25">
        <v>43.99</v>
      </c>
      <c r="H4313" s="379">
        <v>7.1702877775300431</v>
      </c>
      <c r="I4313" s="25">
        <v>54.32</v>
      </c>
      <c r="J4313" s="379">
        <v>2.2815526541407625</v>
      </c>
    </row>
    <row r="4314" spans="1:10" x14ac:dyDescent="0.35">
      <c r="A4314" s="5">
        <v>4310</v>
      </c>
      <c r="B4314" s="5">
        <v>180</v>
      </c>
      <c r="C4314" s="5">
        <v>6</v>
      </c>
      <c r="D4314" s="379">
        <v>65.403888888888886</v>
      </c>
      <c r="E4314" s="25">
        <v>24.84</v>
      </c>
      <c r="F4314" s="379">
        <v>5.0647323342267399</v>
      </c>
      <c r="G4314" s="25">
        <v>43.56</v>
      </c>
      <c r="H4314" s="379">
        <v>7.321895257275167</v>
      </c>
      <c r="I4314" s="25">
        <v>54.32</v>
      </c>
      <c r="J4314" s="379">
        <v>2.7659350339435225</v>
      </c>
    </row>
    <row r="4315" spans="1:10" x14ac:dyDescent="0.35">
      <c r="A4315" s="5">
        <v>4311</v>
      </c>
      <c r="B4315" s="5">
        <v>180</v>
      </c>
      <c r="C4315" s="5">
        <v>6</v>
      </c>
      <c r="D4315" s="379">
        <v>66.202777777777783</v>
      </c>
      <c r="E4315" s="25">
        <v>24.84</v>
      </c>
      <c r="F4315" s="379">
        <v>0.47222222222222221</v>
      </c>
      <c r="G4315" s="25">
        <v>43.56</v>
      </c>
      <c r="H4315" s="379">
        <v>7.6546376575863553</v>
      </c>
      <c r="I4315" s="25">
        <v>54.32</v>
      </c>
      <c r="J4315" s="379">
        <v>2.6847672707856285</v>
      </c>
    </row>
    <row r="4316" spans="1:10" x14ac:dyDescent="0.35">
      <c r="A4316" s="5">
        <v>4312</v>
      </c>
      <c r="B4316" s="5">
        <v>180</v>
      </c>
      <c r="C4316" s="5">
        <v>6</v>
      </c>
      <c r="D4316" s="379">
        <v>70.558333333333323</v>
      </c>
      <c r="E4316" s="25">
        <v>24.84</v>
      </c>
      <c r="F4316" s="379">
        <v>7.3348672405140407</v>
      </c>
      <c r="G4316" s="25">
        <v>44.69</v>
      </c>
      <c r="H4316" s="379">
        <v>7.6694891384680188</v>
      </c>
      <c r="I4316" s="25">
        <v>54.32</v>
      </c>
      <c r="J4316" s="379">
        <v>2.6847672707856285</v>
      </c>
    </row>
    <row r="4317" spans="1:10" x14ac:dyDescent="0.35">
      <c r="A4317" s="5">
        <v>4313</v>
      </c>
      <c r="B4317" s="5">
        <v>180</v>
      </c>
      <c r="C4317" s="5">
        <v>6</v>
      </c>
      <c r="D4317" s="379">
        <v>76.99166666666666</v>
      </c>
      <c r="E4317" s="25">
        <v>24.99</v>
      </c>
      <c r="F4317" s="379">
        <v>7.7357542589434312</v>
      </c>
      <c r="G4317" s="25">
        <v>44.69</v>
      </c>
      <c r="H4317" s="379">
        <v>7.7776476187719776</v>
      </c>
      <c r="I4317" s="25">
        <v>54.32</v>
      </c>
      <c r="J4317" s="379">
        <v>4.7594719419858107</v>
      </c>
    </row>
    <row r="4318" spans="1:10" x14ac:dyDescent="0.35">
      <c r="A4318" s="5">
        <v>4314</v>
      </c>
      <c r="B4318" s="5">
        <v>180</v>
      </c>
      <c r="C4318" s="5">
        <v>6</v>
      </c>
      <c r="D4318" s="379">
        <v>84.314444444444433</v>
      </c>
      <c r="E4318" s="25">
        <v>25.74</v>
      </c>
      <c r="F4318" s="379">
        <v>10.257457054496738</v>
      </c>
      <c r="G4318" s="25">
        <v>47.46</v>
      </c>
      <c r="H4318" s="379">
        <v>10.270049522217848</v>
      </c>
      <c r="I4318" s="25">
        <v>54.87</v>
      </c>
      <c r="J4318" s="379">
        <v>7.4007700423762834</v>
      </c>
    </row>
    <row r="4319" spans="1:10" x14ac:dyDescent="0.35">
      <c r="A4319" s="5">
        <v>4315</v>
      </c>
      <c r="B4319" s="5">
        <v>180</v>
      </c>
      <c r="C4319" s="5">
        <v>6</v>
      </c>
      <c r="D4319" s="379">
        <v>87.263333333333335</v>
      </c>
      <c r="E4319" s="25">
        <v>25.74</v>
      </c>
      <c r="F4319" s="379">
        <v>17.892791930975964</v>
      </c>
      <c r="G4319" s="25">
        <v>47.46</v>
      </c>
      <c r="H4319" s="379">
        <v>17.847821319914434</v>
      </c>
      <c r="I4319" s="25">
        <v>59.05</v>
      </c>
      <c r="J4319" s="379">
        <v>7.5066112073543865</v>
      </c>
    </row>
    <row r="4320" spans="1:10" x14ac:dyDescent="0.35">
      <c r="A4320" s="5">
        <v>4316</v>
      </c>
      <c r="B4320" s="5">
        <v>180</v>
      </c>
      <c r="C4320" s="5">
        <v>6</v>
      </c>
      <c r="D4320" s="379">
        <v>84.056111111111107</v>
      </c>
      <c r="E4320" s="25">
        <v>26.51</v>
      </c>
      <c r="F4320" s="379">
        <v>17.507220414411123</v>
      </c>
      <c r="G4320" s="25">
        <v>47.85</v>
      </c>
      <c r="H4320" s="379">
        <v>17.06827132133758</v>
      </c>
      <c r="I4320" s="25">
        <v>63.9</v>
      </c>
      <c r="J4320" s="379">
        <v>7.5044507690273301</v>
      </c>
    </row>
    <row r="4321" spans="1:10" x14ac:dyDescent="0.35">
      <c r="A4321" s="5">
        <v>4317</v>
      </c>
      <c r="B4321" s="5">
        <v>180</v>
      </c>
      <c r="C4321" s="5">
        <v>6</v>
      </c>
      <c r="D4321" s="379">
        <v>79.146666666666661</v>
      </c>
      <c r="E4321" s="25">
        <v>26.51</v>
      </c>
      <c r="F4321" s="379">
        <v>16.894288252298061</v>
      </c>
      <c r="G4321" s="25">
        <v>47.85</v>
      </c>
      <c r="H4321" s="379">
        <v>17.817063786255243</v>
      </c>
      <c r="I4321" s="25">
        <v>68.05</v>
      </c>
      <c r="J4321" s="379">
        <v>7.4586402748929626</v>
      </c>
    </row>
    <row r="4322" spans="1:10" x14ac:dyDescent="0.35">
      <c r="A4322" s="5">
        <v>4318</v>
      </c>
      <c r="B4322" s="5">
        <v>180</v>
      </c>
      <c r="C4322" s="5">
        <v>6</v>
      </c>
      <c r="D4322" s="379">
        <v>73.452222222222218</v>
      </c>
      <c r="E4322" s="25">
        <v>26.51</v>
      </c>
      <c r="F4322" s="379">
        <v>18.673581536128019</v>
      </c>
      <c r="G4322" s="25">
        <v>47.85</v>
      </c>
      <c r="H4322" s="379">
        <v>16.384261247380209</v>
      </c>
      <c r="I4322" s="25">
        <v>66.06</v>
      </c>
      <c r="J4322" s="379">
        <v>7.4586402748929626</v>
      </c>
    </row>
    <row r="4323" spans="1:10" x14ac:dyDescent="0.35">
      <c r="A4323" s="5">
        <v>4319</v>
      </c>
      <c r="B4323" s="5">
        <v>180</v>
      </c>
      <c r="C4323" s="5">
        <v>6</v>
      </c>
      <c r="D4323" s="379">
        <v>63.828333333333326</v>
      </c>
      <c r="E4323" s="25">
        <v>25.59</v>
      </c>
      <c r="F4323" s="379">
        <v>18.245805863309272</v>
      </c>
      <c r="G4323" s="25">
        <v>47.85</v>
      </c>
      <c r="H4323" s="379">
        <v>19.016254147114264</v>
      </c>
      <c r="I4323" s="25">
        <v>63.9</v>
      </c>
      <c r="J4323" s="379">
        <v>7.4586402748929626</v>
      </c>
    </row>
    <row r="4324" spans="1:10" x14ac:dyDescent="0.35">
      <c r="A4324" s="5">
        <v>4320</v>
      </c>
      <c r="B4324" s="5">
        <v>180</v>
      </c>
      <c r="C4324" s="5">
        <v>6</v>
      </c>
      <c r="D4324" s="379">
        <v>65.944444444444443</v>
      </c>
      <c r="E4324" s="25">
        <v>24.99</v>
      </c>
      <c r="F4324" s="379">
        <v>19.126974478216827</v>
      </c>
      <c r="G4324" s="25">
        <v>46.98</v>
      </c>
      <c r="H4324" s="379">
        <v>19.906148174211619</v>
      </c>
      <c r="I4324" s="25">
        <v>59.96</v>
      </c>
      <c r="J4324" s="379">
        <v>7.474087506241986</v>
      </c>
    </row>
    <row r="4325" spans="1:10" x14ac:dyDescent="0.35">
      <c r="A4325" s="5">
        <v>4321</v>
      </c>
      <c r="B4325" s="5">
        <v>181</v>
      </c>
      <c r="C4325" s="5">
        <v>6</v>
      </c>
      <c r="D4325" s="379">
        <v>64.455555555555563</v>
      </c>
      <c r="E4325" s="25">
        <v>24.84</v>
      </c>
      <c r="F4325" s="379">
        <v>18.846408376973685</v>
      </c>
      <c r="G4325" s="25">
        <v>44.28</v>
      </c>
      <c r="H4325" s="379">
        <v>19.326528113264551</v>
      </c>
      <c r="I4325" s="25">
        <v>59.36</v>
      </c>
      <c r="J4325" s="379">
        <v>7.4586402748929626</v>
      </c>
    </row>
    <row r="4326" spans="1:10" x14ac:dyDescent="0.35">
      <c r="A4326" s="5">
        <v>4322</v>
      </c>
      <c r="B4326" s="5">
        <v>181</v>
      </c>
      <c r="C4326" s="5">
        <v>6</v>
      </c>
      <c r="D4326" s="379">
        <v>64.265555555555565</v>
      </c>
      <c r="E4326" s="25">
        <v>24.84</v>
      </c>
      <c r="F4326" s="379">
        <v>18.458918326865504</v>
      </c>
      <c r="G4326" s="25">
        <v>43.84</v>
      </c>
      <c r="H4326" s="379">
        <v>19.963157327291647</v>
      </c>
      <c r="I4326" s="25">
        <v>54.32</v>
      </c>
      <c r="J4326" s="379">
        <v>7.4879116556666885</v>
      </c>
    </row>
    <row r="4327" spans="1:10" x14ac:dyDescent="0.35">
      <c r="A4327" s="5">
        <v>4323</v>
      </c>
      <c r="B4327" s="5">
        <v>181</v>
      </c>
      <c r="C4327" s="5">
        <v>6</v>
      </c>
      <c r="D4327" s="379">
        <v>64.362222222222229</v>
      </c>
      <c r="E4327" s="25">
        <v>24.84</v>
      </c>
      <c r="F4327" s="379">
        <v>18.887329337867868</v>
      </c>
      <c r="G4327" s="25">
        <v>43.56</v>
      </c>
      <c r="H4327" s="379">
        <v>18.070147052820353</v>
      </c>
      <c r="I4327" s="25">
        <v>54.32</v>
      </c>
      <c r="J4327" s="379">
        <v>7.4515404826277649</v>
      </c>
    </row>
    <row r="4328" spans="1:10" x14ac:dyDescent="0.35">
      <c r="A4328" s="5">
        <v>4324</v>
      </c>
      <c r="B4328" s="5">
        <v>181</v>
      </c>
      <c r="C4328" s="5">
        <v>6</v>
      </c>
      <c r="D4328" s="379">
        <v>62.204444444444448</v>
      </c>
      <c r="E4328" s="25">
        <v>24.84</v>
      </c>
      <c r="F4328" s="379">
        <v>18.618047225846734</v>
      </c>
      <c r="G4328" s="25">
        <v>43.84</v>
      </c>
      <c r="H4328" s="379">
        <v>17.127435505870846</v>
      </c>
      <c r="I4328" s="25">
        <v>54.32</v>
      </c>
      <c r="J4328" s="379">
        <v>7.4879828868573943</v>
      </c>
    </row>
    <row r="4329" spans="1:10" x14ac:dyDescent="0.35">
      <c r="A4329" s="5">
        <v>4325</v>
      </c>
      <c r="B4329" s="5">
        <v>181</v>
      </c>
      <c r="C4329" s="5">
        <v>6</v>
      </c>
      <c r="D4329" s="379">
        <v>63.563333333333325</v>
      </c>
      <c r="E4329" s="25">
        <v>24.84</v>
      </c>
      <c r="F4329" s="379">
        <v>17.789133812822804</v>
      </c>
      <c r="G4329" s="25">
        <v>44.28</v>
      </c>
      <c r="H4329" s="379">
        <v>17.677875570087004</v>
      </c>
      <c r="I4329" s="25">
        <v>57.63</v>
      </c>
      <c r="J4329" s="379">
        <v>7.4532661214595635</v>
      </c>
    </row>
    <row r="4330" spans="1:10" x14ac:dyDescent="0.35">
      <c r="A4330" s="5">
        <v>4326</v>
      </c>
      <c r="B4330" s="5">
        <v>181</v>
      </c>
      <c r="C4330" s="5">
        <v>6</v>
      </c>
      <c r="D4330" s="379">
        <v>75.047777777777767</v>
      </c>
      <c r="E4330" s="25">
        <v>25.59</v>
      </c>
      <c r="F4330" s="379">
        <v>16.547444273987455</v>
      </c>
      <c r="G4330" s="25">
        <v>47.85</v>
      </c>
      <c r="H4330" s="379">
        <v>16.230213476560628</v>
      </c>
      <c r="I4330" s="25">
        <v>62.27</v>
      </c>
      <c r="J4330" s="379">
        <v>7.401089598802141</v>
      </c>
    </row>
    <row r="4331" spans="1:10" x14ac:dyDescent="0.35">
      <c r="A4331" s="5">
        <v>4327</v>
      </c>
      <c r="B4331" s="5">
        <v>181</v>
      </c>
      <c r="C4331" s="5">
        <v>6</v>
      </c>
      <c r="D4331" s="379">
        <v>81.304999999999993</v>
      </c>
      <c r="E4331" s="25">
        <v>25.74</v>
      </c>
      <c r="F4331" s="379">
        <v>12.718466164734981</v>
      </c>
      <c r="G4331" s="25">
        <v>47.85</v>
      </c>
      <c r="H4331" s="379">
        <v>10.889797172690811</v>
      </c>
      <c r="I4331" s="25">
        <v>68.05</v>
      </c>
      <c r="J4331" s="379">
        <v>7.2838066902484844</v>
      </c>
    </row>
    <row r="4332" spans="1:10" x14ac:dyDescent="0.35">
      <c r="A4332" s="5">
        <v>4328</v>
      </c>
      <c r="B4332" s="5">
        <v>181</v>
      </c>
      <c r="C4332" s="5">
        <v>6</v>
      </c>
      <c r="D4332" s="379">
        <v>88.224444444444444</v>
      </c>
      <c r="E4332" s="25">
        <v>25.74</v>
      </c>
      <c r="F4332" s="379">
        <v>8.1180544661418867</v>
      </c>
      <c r="G4332" s="25">
        <v>47.85</v>
      </c>
      <c r="H4332" s="379">
        <v>8.1717825640835215</v>
      </c>
      <c r="I4332" s="25">
        <v>64.14</v>
      </c>
      <c r="J4332" s="379">
        <v>6.842786968787399</v>
      </c>
    </row>
    <row r="4333" spans="1:10" x14ac:dyDescent="0.35">
      <c r="A4333" s="5">
        <v>4329</v>
      </c>
      <c r="B4333" s="5">
        <v>181</v>
      </c>
      <c r="C4333" s="5">
        <v>6</v>
      </c>
      <c r="D4333" s="379">
        <v>82.126111111111115</v>
      </c>
      <c r="E4333" s="25">
        <v>25.74</v>
      </c>
      <c r="F4333" s="379">
        <v>7.3374834595959593</v>
      </c>
      <c r="G4333" s="25">
        <v>47.85</v>
      </c>
      <c r="H4333" s="379">
        <v>5.8821458111344507</v>
      </c>
      <c r="I4333" s="25">
        <v>56.77</v>
      </c>
      <c r="J4333" s="379">
        <v>5.804262583929134</v>
      </c>
    </row>
    <row r="4334" spans="1:10" x14ac:dyDescent="0.35">
      <c r="A4334" s="5">
        <v>4330</v>
      </c>
      <c r="B4334" s="5">
        <v>181</v>
      </c>
      <c r="C4334" s="5">
        <v>6</v>
      </c>
      <c r="D4334" s="379">
        <v>78.033888888888882</v>
      </c>
      <c r="E4334" s="25">
        <v>24.99</v>
      </c>
      <c r="F4334" s="379">
        <v>3.7913344818322408</v>
      </c>
      <c r="G4334" s="25">
        <v>47.46</v>
      </c>
      <c r="H4334" s="379">
        <v>1.3278399740945745</v>
      </c>
      <c r="I4334" s="25">
        <v>49.29</v>
      </c>
      <c r="J4334" s="379">
        <v>1.6643550660286823</v>
      </c>
    </row>
    <row r="4335" spans="1:10" x14ac:dyDescent="0.35">
      <c r="A4335" s="5">
        <v>4331</v>
      </c>
      <c r="B4335" s="5">
        <v>181</v>
      </c>
      <c r="C4335" s="5">
        <v>6</v>
      </c>
      <c r="D4335" s="379">
        <v>75.757777777777761</v>
      </c>
      <c r="E4335" s="25">
        <v>24.88</v>
      </c>
      <c r="F4335" s="379">
        <v>3.6751220189071332</v>
      </c>
      <c r="G4335" s="25">
        <v>43.56</v>
      </c>
      <c r="H4335" s="379">
        <v>0.18531095686405963</v>
      </c>
      <c r="I4335" s="25">
        <v>48.79</v>
      </c>
      <c r="J4335" s="379">
        <v>1.8577368849212401</v>
      </c>
    </row>
    <row r="4336" spans="1:10" x14ac:dyDescent="0.35">
      <c r="A4336" s="5">
        <v>4332</v>
      </c>
      <c r="B4336" s="5">
        <v>181</v>
      </c>
      <c r="C4336" s="5">
        <v>6</v>
      </c>
      <c r="D4336" s="379">
        <v>76.351666666666659</v>
      </c>
      <c r="E4336" s="25">
        <v>24.84</v>
      </c>
      <c r="F4336" s="379">
        <v>3.6751220189071332</v>
      </c>
      <c r="G4336" s="25">
        <v>43.43</v>
      </c>
      <c r="H4336" s="379">
        <v>0.16359475925877573</v>
      </c>
      <c r="I4336" s="25">
        <v>48.79</v>
      </c>
      <c r="J4336" s="379">
        <v>1.5373159778502778</v>
      </c>
    </row>
    <row r="4337" spans="1:10" x14ac:dyDescent="0.35">
      <c r="A4337" s="5">
        <v>4333</v>
      </c>
      <c r="B4337" s="5">
        <v>181</v>
      </c>
      <c r="C4337" s="5">
        <v>6</v>
      </c>
      <c r="D4337" s="379">
        <v>74.134444444444441</v>
      </c>
      <c r="E4337" s="25">
        <v>24.84</v>
      </c>
      <c r="F4337" s="379">
        <v>3.6751220189071332</v>
      </c>
      <c r="G4337" s="25">
        <v>42.99</v>
      </c>
      <c r="H4337" s="379">
        <v>0.130943053271629</v>
      </c>
      <c r="I4337" s="25">
        <v>37.979999999999997</v>
      </c>
      <c r="J4337" s="379">
        <v>1.86648316118733</v>
      </c>
    </row>
    <row r="4338" spans="1:10" x14ac:dyDescent="0.35">
      <c r="A4338" s="5">
        <v>4334</v>
      </c>
      <c r="B4338" s="5">
        <v>181</v>
      </c>
      <c r="C4338" s="5">
        <v>6</v>
      </c>
      <c r="D4338" s="379">
        <v>75.188888888888869</v>
      </c>
      <c r="E4338" s="25">
        <v>24.84</v>
      </c>
      <c r="F4338" s="379">
        <v>3.3753254617291217</v>
      </c>
      <c r="G4338" s="25">
        <v>42.99</v>
      </c>
      <c r="H4338" s="379">
        <v>8.8109783555212498E-2</v>
      </c>
      <c r="I4338" s="25">
        <v>37.979999999999997</v>
      </c>
      <c r="J4338" s="379">
        <v>1.2462838927991597</v>
      </c>
    </row>
    <row r="4339" spans="1:10" x14ac:dyDescent="0.35">
      <c r="A4339" s="5">
        <v>4335</v>
      </c>
      <c r="B4339" s="5">
        <v>181</v>
      </c>
      <c r="C4339" s="5">
        <v>6</v>
      </c>
      <c r="D4339" s="379">
        <v>75.490555555555545</v>
      </c>
      <c r="E4339" s="25">
        <v>24.84</v>
      </c>
      <c r="F4339" s="379">
        <v>3.6751220189071332</v>
      </c>
      <c r="G4339" s="25">
        <v>42.99</v>
      </c>
      <c r="H4339" s="379">
        <v>0.108403006888262</v>
      </c>
      <c r="I4339" s="25">
        <v>45.49</v>
      </c>
      <c r="J4339" s="379">
        <v>1.3077860207965519</v>
      </c>
    </row>
    <row r="4340" spans="1:10" x14ac:dyDescent="0.35">
      <c r="A4340" s="5">
        <v>4336</v>
      </c>
      <c r="B4340" s="5">
        <v>181</v>
      </c>
      <c r="C4340" s="5">
        <v>6</v>
      </c>
      <c r="D4340" s="379">
        <v>78.793888888888887</v>
      </c>
      <c r="E4340" s="25">
        <v>24.84</v>
      </c>
      <c r="F4340" s="379">
        <v>3.6751220189071332</v>
      </c>
      <c r="G4340" s="25">
        <v>43.12</v>
      </c>
      <c r="H4340" s="379">
        <v>0.23355850301171976</v>
      </c>
      <c r="I4340" s="25">
        <v>46.32</v>
      </c>
      <c r="J4340" s="379">
        <v>1.757182691072992</v>
      </c>
    </row>
    <row r="4341" spans="1:10" x14ac:dyDescent="0.35">
      <c r="A4341" s="5">
        <v>4337</v>
      </c>
      <c r="B4341" s="5">
        <v>181</v>
      </c>
      <c r="C4341" s="5">
        <v>6</v>
      </c>
      <c r="D4341" s="379">
        <v>84.304444444444442</v>
      </c>
      <c r="E4341" s="25">
        <v>24.84</v>
      </c>
      <c r="F4341" s="379">
        <v>0.47222222222222221</v>
      </c>
      <c r="G4341" s="25">
        <v>43.56</v>
      </c>
      <c r="H4341" s="379">
        <v>0.49704069430327635</v>
      </c>
      <c r="I4341" s="25">
        <v>48.79</v>
      </c>
      <c r="J4341" s="379">
        <v>1.5190052142341144</v>
      </c>
    </row>
    <row r="4342" spans="1:10" x14ac:dyDescent="0.35">
      <c r="A4342" s="5">
        <v>4338</v>
      </c>
      <c r="B4342" s="5">
        <v>181</v>
      </c>
      <c r="C4342" s="5">
        <v>6</v>
      </c>
      <c r="D4342" s="379">
        <v>89.903888888888901</v>
      </c>
      <c r="E4342" s="25">
        <v>24.84</v>
      </c>
      <c r="F4342" s="379">
        <v>8.1174834595959613</v>
      </c>
      <c r="G4342" s="25">
        <v>43.56</v>
      </c>
      <c r="H4342" s="379">
        <v>5.0335361653475088</v>
      </c>
      <c r="I4342" s="25">
        <v>50.21</v>
      </c>
      <c r="J4342" s="379">
        <v>6.3397851790360624</v>
      </c>
    </row>
    <row r="4343" spans="1:10" x14ac:dyDescent="0.35">
      <c r="A4343" s="5">
        <v>4339</v>
      </c>
      <c r="B4343" s="5">
        <v>181</v>
      </c>
      <c r="C4343" s="5">
        <v>6</v>
      </c>
      <c r="D4343" s="379">
        <v>97.32</v>
      </c>
      <c r="E4343" s="25">
        <v>24.84</v>
      </c>
      <c r="F4343" s="379">
        <v>8.4756144158480051</v>
      </c>
      <c r="G4343" s="25">
        <v>43.56</v>
      </c>
      <c r="H4343" s="379">
        <v>5.335008221339538</v>
      </c>
      <c r="I4343" s="25">
        <v>53.51</v>
      </c>
      <c r="J4343" s="379">
        <v>5.9162032772663249</v>
      </c>
    </row>
    <row r="4344" spans="1:10" x14ac:dyDescent="0.35">
      <c r="A4344" s="5">
        <v>4340</v>
      </c>
      <c r="B4344" s="5">
        <v>181</v>
      </c>
      <c r="C4344" s="5">
        <v>6</v>
      </c>
      <c r="D4344" s="379">
        <v>91.522777777777762</v>
      </c>
      <c r="E4344" s="25">
        <v>24.84</v>
      </c>
      <c r="F4344" s="379">
        <v>8.4196575803868559</v>
      </c>
      <c r="G4344" s="25">
        <v>43.56</v>
      </c>
      <c r="H4344" s="379">
        <v>5.0982224597253358</v>
      </c>
      <c r="I4344" s="25">
        <v>53.51</v>
      </c>
      <c r="J4344" s="379">
        <v>5.3812921502625422</v>
      </c>
    </row>
    <row r="4345" spans="1:10" x14ac:dyDescent="0.35">
      <c r="A4345" s="5">
        <v>4341</v>
      </c>
      <c r="B4345" s="5">
        <v>181</v>
      </c>
      <c r="C4345" s="5">
        <v>6</v>
      </c>
      <c r="D4345" s="379">
        <v>86.819444444444443</v>
      </c>
      <c r="E4345" s="25">
        <v>24.84</v>
      </c>
      <c r="F4345" s="379">
        <v>8.3867008091839388</v>
      </c>
      <c r="G4345" s="25">
        <v>43.56</v>
      </c>
      <c r="H4345" s="379">
        <v>4.799693804694658</v>
      </c>
      <c r="I4345" s="25">
        <v>53.51</v>
      </c>
      <c r="J4345" s="379">
        <v>3.2985312582292896</v>
      </c>
    </row>
    <row r="4346" spans="1:10" x14ac:dyDescent="0.35">
      <c r="A4346" s="5">
        <v>4342</v>
      </c>
      <c r="B4346" s="5">
        <v>181</v>
      </c>
      <c r="C4346" s="5">
        <v>6</v>
      </c>
      <c r="D4346" s="379">
        <v>78.923333333333332</v>
      </c>
      <c r="E4346" s="25">
        <v>24.84</v>
      </c>
      <c r="F4346" s="379">
        <v>8.4508496737459602</v>
      </c>
      <c r="G4346" s="25">
        <v>43.56</v>
      </c>
      <c r="H4346" s="379">
        <v>4.799693804694658</v>
      </c>
      <c r="I4346" s="25">
        <v>55.12</v>
      </c>
      <c r="J4346" s="379">
        <v>4.4921266710970071</v>
      </c>
    </row>
    <row r="4347" spans="1:10" x14ac:dyDescent="0.35">
      <c r="A4347" s="5">
        <v>4343</v>
      </c>
      <c r="B4347" s="5">
        <v>181</v>
      </c>
      <c r="C4347" s="5">
        <v>6</v>
      </c>
      <c r="D4347" s="379">
        <v>68.327222222222218</v>
      </c>
      <c r="E4347" s="25">
        <v>24.84</v>
      </c>
      <c r="F4347" s="379">
        <v>8.1174834595959577</v>
      </c>
      <c r="G4347" s="25">
        <v>43.56</v>
      </c>
      <c r="H4347" s="379">
        <v>4.7996938046946571</v>
      </c>
      <c r="I4347" s="25">
        <v>53.51</v>
      </c>
      <c r="J4347" s="379">
        <v>4.7429192838531682</v>
      </c>
    </row>
    <row r="4348" spans="1:10" x14ac:dyDescent="0.35">
      <c r="A4348" s="5">
        <v>4344</v>
      </c>
      <c r="B4348" s="5">
        <v>181</v>
      </c>
      <c r="C4348" s="5">
        <v>6</v>
      </c>
      <c r="D4348" s="379">
        <v>68.018333333333331</v>
      </c>
      <c r="E4348" s="25">
        <v>24.84</v>
      </c>
      <c r="F4348" s="379">
        <v>8.1174834595959595</v>
      </c>
      <c r="G4348" s="25">
        <v>38.130000000000003</v>
      </c>
      <c r="H4348" s="379">
        <v>4.799693804694658</v>
      </c>
      <c r="I4348" s="25">
        <v>48.86</v>
      </c>
      <c r="J4348" s="379">
        <v>4.7783755131603405</v>
      </c>
    </row>
    <row r="4349" spans="1:10" x14ac:dyDescent="0.35">
      <c r="A4349" s="5">
        <v>4345</v>
      </c>
      <c r="B4349" s="5">
        <v>182</v>
      </c>
      <c r="C4349" s="5">
        <v>7</v>
      </c>
      <c r="D4349" s="379">
        <v>67.397222222222226</v>
      </c>
      <c r="E4349" s="25">
        <v>24.84</v>
      </c>
      <c r="F4349" s="379">
        <v>8.1174834595959595</v>
      </c>
      <c r="G4349" s="25">
        <v>37.020000000000003</v>
      </c>
      <c r="H4349" s="379">
        <v>4.7996938046946571</v>
      </c>
      <c r="I4349" s="25">
        <v>47.79</v>
      </c>
      <c r="J4349" s="379">
        <v>4.7783755131603405</v>
      </c>
    </row>
    <row r="4350" spans="1:10" x14ac:dyDescent="0.35">
      <c r="A4350" s="5">
        <v>4346</v>
      </c>
      <c r="B4350" s="5">
        <v>182</v>
      </c>
      <c r="C4350" s="5">
        <v>7</v>
      </c>
      <c r="D4350" s="379">
        <v>67.216666666666669</v>
      </c>
      <c r="E4350" s="25">
        <v>24.26</v>
      </c>
      <c r="F4350" s="379">
        <v>8.1174834595959613</v>
      </c>
      <c r="G4350" s="25">
        <v>37.020000000000003</v>
      </c>
      <c r="H4350" s="379">
        <v>4.799693804694658</v>
      </c>
      <c r="I4350" s="25">
        <v>44.6</v>
      </c>
      <c r="J4350" s="379">
        <v>4.7783755131603405</v>
      </c>
    </row>
    <row r="4351" spans="1:10" x14ac:dyDescent="0.35">
      <c r="A4351" s="5">
        <v>4347</v>
      </c>
      <c r="B4351" s="5">
        <v>182</v>
      </c>
      <c r="C4351" s="5">
        <v>7</v>
      </c>
      <c r="D4351" s="379">
        <v>65.219444444444449</v>
      </c>
      <c r="E4351" s="25">
        <v>23.84</v>
      </c>
      <c r="F4351" s="379">
        <v>8.1174834595959595</v>
      </c>
      <c r="G4351" s="25">
        <v>32.79</v>
      </c>
      <c r="H4351" s="379">
        <v>4.7996938046946598</v>
      </c>
      <c r="I4351" s="25">
        <v>44.6</v>
      </c>
      <c r="J4351" s="379">
        <v>2.0046636118919698</v>
      </c>
    </row>
    <row r="4352" spans="1:10" x14ac:dyDescent="0.35">
      <c r="A4352" s="5">
        <v>4348</v>
      </c>
      <c r="B4352" s="5">
        <v>182</v>
      </c>
      <c r="C4352" s="5">
        <v>7</v>
      </c>
      <c r="D4352" s="379">
        <v>64.591111111111118</v>
      </c>
      <c r="E4352" s="25">
        <v>24.26</v>
      </c>
      <c r="F4352" s="379">
        <v>8.1174834595959577</v>
      </c>
      <c r="G4352" s="25">
        <v>37.020000000000003</v>
      </c>
      <c r="H4352" s="379">
        <v>4.7996938046946598</v>
      </c>
      <c r="I4352" s="25">
        <v>44.6</v>
      </c>
      <c r="J4352" s="379">
        <v>0.52888888888888896</v>
      </c>
    </row>
    <row r="4353" spans="1:10" x14ac:dyDescent="0.35">
      <c r="A4353" s="5">
        <v>4349</v>
      </c>
      <c r="B4353" s="5">
        <v>182</v>
      </c>
      <c r="C4353" s="5">
        <v>7</v>
      </c>
      <c r="D4353" s="379">
        <v>68.152777777777771</v>
      </c>
      <c r="E4353" s="25">
        <v>24.56</v>
      </c>
      <c r="F4353" s="379">
        <v>8.1174834595959577</v>
      </c>
      <c r="G4353" s="25">
        <v>37.020000000000003</v>
      </c>
      <c r="H4353" s="379">
        <v>4.7996938046946598</v>
      </c>
      <c r="I4353" s="25">
        <v>44.6</v>
      </c>
      <c r="J4353" s="379">
        <v>0.52888888888888896</v>
      </c>
    </row>
    <row r="4354" spans="1:10" x14ac:dyDescent="0.35">
      <c r="A4354" s="5">
        <v>4350</v>
      </c>
      <c r="B4354" s="5">
        <v>182</v>
      </c>
      <c r="C4354" s="5">
        <v>7</v>
      </c>
      <c r="D4354" s="379">
        <v>78.252777777777766</v>
      </c>
      <c r="E4354" s="25">
        <v>24.84</v>
      </c>
      <c r="F4354" s="379">
        <v>8.1174834595959577</v>
      </c>
      <c r="G4354" s="25">
        <v>38.61</v>
      </c>
      <c r="H4354" s="379">
        <v>4.7996938046946598</v>
      </c>
      <c r="I4354" s="25">
        <v>51.72</v>
      </c>
      <c r="J4354" s="379">
        <v>6.1870616183738623</v>
      </c>
    </row>
    <row r="4355" spans="1:10" x14ac:dyDescent="0.35">
      <c r="A4355" s="5">
        <v>4351</v>
      </c>
      <c r="B4355" s="5">
        <v>182</v>
      </c>
      <c r="C4355" s="5">
        <v>7</v>
      </c>
      <c r="D4355" s="379">
        <v>85.756666666666661</v>
      </c>
      <c r="E4355" s="25">
        <v>24.84</v>
      </c>
      <c r="F4355" s="379">
        <v>8.1174834595959613</v>
      </c>
      <c r="G4355" s="25">
        <v>43.56</v>
      </c>
      <c r="H4355" s="379">
        <v>6.4491529865332078</v>
      </c>
      <c r="I4355" s="25">
        <v>53.71</v>
      </c>
      <c r="J4355" s="379">
        <v>6.1899769124923623</v>
      </c>
    </row>
    <row r="4356" spans="1:10" x14ac:dyDescent="0.35">
      <c r="A4356" s="5">
        <v>4352</v>
      </c>
      <c r="B4356" s="5">
        <v>182</v>
      </c>
      <c r="C4356" s="5">
        <v>7</v>
      </c>
      <c r="D4356" s="379">
        <v>86.672777777777796</v>
      </c>
      <c r="E4356" s="25">
        <v>24.99</v>
      </c>
      <c r="F4356" s="379">
        <v>0.47222222222222221</v>
      </c>
      <c r="G4356" s="25">
        <v>43.56</v>
      </c>
      <c r="H4356" s="379">
        <v>4.3370797939483863</v>
      </c>
      <c r="I4356" s="25">
        <v>53.71</v>
      </c>
      <c r="J4356" s="379">
        <v>3.6911925965288197</v>
      </c>
    </row>
    <row r="4357" spans="1:10" x14ac:dyDescent="0.35">
      <c r="A4357" s="5">
        <v>4353</v>
      </c>
      <c r="B4357" s="5">
        <v>182</v>
      </c>
      <c r="C4357" s="5">
        <v>7</v>
      </c>
      <c r="D4357" s="379">
        <v>85.984999999999999</v>
      </c>
      <c r="E4357" s="25">
        <v>24.88</v>
      </c>
      <c r="F4357" s="379">
        <v>5.0694962416999791</v>
      </c>
      <c r="G4357" s="25">
        <v>43.56</v>
      </c>
      <c r="H4357" s="379">
        <v>4.2271157223272908</v>
      </c>
      <c r="I4357" s="25">
        <v>51.72</v>
      </c>
      <c r="J4357" s="379">
        <v>3.2084515527406134</v>
      </c>
    </row>
    <row r="4358" spans="1:10" x14ac:dyDescent="0.35">
      <c r="A4358" s="5">
        <v>4354</v>
      </c>
      <c r="B4358" s="5">
        <v>182</v>
      </c>
      <c r="C4358" s="5">
        <v>7</v>
      </c>
      <c r="D4358" s="379">
        <v>79.487777777777794</v>
      </c>
      <c r="E4358" s="25">
        <v>24.84</v>
      </c>
      <c r="F4358" s="379">
        <v>4.7666261420830081</v>
      </c>
      <c r="G4358" s="25">
        <v>43.56</v>
      </c>
      <c r="H4358" s="379">
        <v>4.2271157223272908</v>
      </c>
      <c r="I4358" s="25">
        <v>48.09</v>
      </c>
      <c r="J4358" s="379">
        <v>2.2493154458322855</v>
      </c>
    </row>
    <row r="4359" spans="1:10" x14ac:dyDescent="0.35">
      <c r="A4359" s="5">
        <v>4355</v>
      </c>
      <c r="B4359" s="5">
        <v>182</v>
      </c>
      <c r="C4359" s="5">
        <v>7</v>
      </c>
      <c r="D4359" s="379">
        <v>79.530555555555537</v>
      </c>
      <c r="E4359" s="25">
        <v>24.84</v>
      </c>
      <c r="F4359" s="379">
        <v>4.7666261420830081</v>
      </c>
      <c r="G4359" s="25">
        <v>42.29</v>
      </c>
      <c r="H4359" s="379">
        <v>4.199537629064789</v>
      </c>
      <c r="I4359" s="25">
        <v>39.950000000000003</v>
      </c>
      <c r="J4359" s="379">
        <v>2.2377714191843343</v>
      </c>
    </row>
    <row r="4360" spans="1:10" x14ac:dyDescent="0.35">
      <c r="A4360" s="5">
        <v>4356</v>
      </c>
      <c r="B4360" s="5">
        <v>182</v>
      </c>
      <c r="C4360" s="5">
        <v>7</v>
      </c>
      <c r="D4360" s="379">
        <v>74.699444444444438</v>
      </c>
      <c r="E4360" s="25">
        <v>24.84</v>
      </c>
      <c r="F4360" s="379">
        <v>4.7666261420830081</v>
      </c>
      <c r="G4360" s="25">
        <v>41.05</v>
      </c>
      <c r="H4360" s="379">
        <v>4.0994953006370922</v>
      </c>
      <c r="I4360" s="25">
        <v>33.81</v>
      </c>
      <c r="J4360" s="379">
        <v>2.2377714191843343</v>
      </c>
    </row>
    <row r="4361" spans="1:10" x14ac:dyDescent="0.35">
      <c r="A4361" s="5">
        <v>4357</v>
      </c>
      <c r="B4361" s="5">
        <v>182</v>
      </c>
      <c r="C4361" s="5">
        <v>7</v>
      </c>
      <c r="D4361" s="379">
        <v>69.638888888888886</v>
      </c>
      <c r="E4361" s="25">
        <v>24.84</v>
      </c>
      <c r="F4361" s="379">
        <v>4.7666261420830081</v>
      </c>
      <c r="G4361" s="25">
        <v>41.05</v>
      </c>
      <c r="H4361" s="379">
        <v>3.7422610894838484</v>
      </c>
      <c r="I4361" s="25">
        <v>33.67</v>
      </c>
      <c r="J4361" s="379">
        <v>2.1929954833075991</v>
      </c>
    </row>
    <row r="4362" spans="1:10" x14ac:dyDescent="0.35">
      <c r="A4362" s="5">
        <v>4358</v>
      </c>
      <c r="B4362" s="5">
        <v>182</v>
      </c>
      <c r="C4362" s="5">
        <v>7</v>
      </c>
      <c r="D4362" s="379">
        <v>67.836666666666659</v>
      </c>
      <c r="E4362" s="25">
        <v>24.84</v>
      </c>
      <c r="F4362" s="379">
        <v>4.430143266475385</v>
      </c>
      <c r="G4362" s="25">
        <v>41.05</v>
      </c>
      <c r="H4362" s="379">
        <v>3.7422610894838484</v>
      </c>
      <c r="I4362" s="25">
        <v>33.67</v>
      </c>
      <c r="J4362" s="379">
        <v>2.1929954833075991</v>
      </c>
    </row>
    <row r="4363" spans="1:10" x14ac:dyDescent="0.35">
      <c r="A4363" s="5">
        <v>4359</v>
      </c>
      <c r="B4363" s="5">
        <v>182</v>
      </c>
      <c r="C4363" s="5">
        <v>7</v>
      </c>
      <c r="D4363" s="379">
        <v>64.262222222222221</v>
      </c>
      <c r="E4363" s="25">
        <v>24.84</v>
      </c>
      <c r="F4363" s="379">
        <v>4.6230834852916995</v>
      </c>
      <c r="G4363" s="25">
        <v>39.770000000000003</v>
      </c>
      <c r="H4363" s="379">
        <v>4.199537629064789</v>
      </c>
      <c r="I4363" s="25">
        <v>33.67</v>
      </c>
      <c r="J4363" s="379">
        <v>2.1929954833075991</v>
      </c>
    </row>
    <row r="4364" spans="1:10" x14ac:dyDescent="0.35">
      <c r="A4364" s="5">
        <v>4360</v>
      </c>
      <c r="B4364" s="5">
        <v>182</v>
      </c>
      <c r="C4364" s="5">
        <v>7</v>
      </c>
      <c r="D4364" s="379">
        <v>63.392222222222216</v>
      </c>
      <c r="E4364" s="25">
        <v>24.84</v>
      </c>
      <c r="F4364" s="379">
        <v>4.7666261420830081</v>
      </c>
      <c r="G4364" s="25">
        <v>39.770000000000003</v>
      </c>
      <c r="H4364" s="379">
        <v>4.2271157223272908</v>
      </c>
      <c r="I4364" s="25">
        <v>34.25</v>
      </c>
      <c r="J4364" s="379">
        <v>2.2787556460870593</v>
      </c>
    </row>
    <row r="4365" spans="1:10" x14ac:dyDescent="0.35">
      <c r="A4365" s="5">
        <v>4361</v>
      </c>
      <c r="B4365" s="5">
        <v>182</v>
      </c>
      <c r="C4365" s="5">
        <v>7</v>
      </c>
      <c r="D4365" s="379">
        <v>65.877222222222215</v>
      </c>
      <c r="E4365" s="25">
        <v>24.84</v>
      </c>
      <c r="F4365" s="379">
        <v>4.7666261420830081</v>
      </c>
      <c r="G4365" s="25">
        <v>42.29</v>
      </c>
      <c r="H4365" s="379">
        <v>4.2836119202527252</v>
      </c>
      <c r="I4365" s="25">
        <v>39.950000000000003</v>
      </c>
      <c r="J4365" s="379">
        <v>2.2787556460870593</v>
      </c>
    </row>
    <row r="4366" spans="1:10" x14ac:dyDescent="0.35">
      <c r="A4366" s="5">
        <v>4362</v>
      </c>
      <c r="B4366" s="5">
        <v>182</v>
      </c>
      <c r="C4366" s="5">
        <v>7</v>
      </c>
      <c r="D4366" s="379">
        <v>71.198333333333323</v>
      </c>
      <c r="E4366" s="25">
        <v>24.84</v>
      </c>
      <c r="F4366" s="379">
        <v>0.88413667006322649</v>
      </c>
      <c r="G4366" s="25">
        <v>43.56</v>
      </c>
      <c r="H4366" s="379">
        <v>4.492450044780635</v>
      </c>
      <c r="I4366" s="25">
        <v>46.69</v>
      </c>
      <c r="J4366" s="379">
        <v>2.4569521282412365</v>
      </c>
    </row>
    <row r="4367" spans="1:10" x14ac:dyDescent="0.35">
      <c r="A4367" s="5">
        <v>4363</v>
      </c>
      <c r="B4367" s="5">
        <v>182</v>
      </c>
      <c r="C4367" s="5">
        <v>7</v>
      </c>
      <c r="D4367" s="379">
        <v>74.922777777777767</v>
      </c>
      <c r="E4367" s="25">
        <v>24.84</v>
      </c>
      <c r="F4367" s="379">
        <v>8.1174834595959595</v>
      </c>
      <c r="G4367" s="25">
        <v>43.56</v>
      </c>
      <c r="H4367" s="379">
        <v>0.14480167642852412</v>
      </c>
      <c r="I4367" s="25">
        <v>50.21</v>
      </c>
      <c r="J4367" s="379">
        <v>0.14480167642852412</v>
      </c>
    </row>
    <row r="4368" spans="1:10" x14ac:dyDescent="0.35">
      <c r="A4368" s="5">
        <v>4364</v>
      </c>
      <c r="B4368" s="5">
        <v>182</v>
      </c>
      <c r="C4368" s="5">
        <v>7</v>
      </c>
      <c r="D4368" s="379">
        <v>78.598888888888894</v>
      </c>
      <c r="E4368" s="25">
        <v>24.84</v>
      </c>
      <c r="F4368" s="379">
        <v>8.1174834595959595</v>
      </c>
      <c r="G4368" s="25">
        <v>43.56</v>
      </c>
      <c r="H4368" s="379">
        <v>0.14480167642852412</v>
      </c>
      <c r="I4368" s="25">
        <v>51.72</v>
      </c>
      <c r="J4368" s="379">
        <v>3.9080152592739683</v>
      </c>
    </row>
    <row r="4369" spans="1:10" x14ac:dyDescent="0.35">
      <c r="A4369" s="5">
        <v>4365</v>
      </c>
      <c r="B4369" s="5">
        <v>182</v>
      </c>
      <c r="C4369" s="5">
        <v>7</v>
      </c>
      <c r="D4369" s="379">
        <v>71.890555555555551</v>
      </c>
      <c r="E4369" s="25">
        <v>24.84</v>
      </c>
      <c r="F4369" s="379">
        <v>8.1174834595959595</v>
      </c>
      <c r="G4369" s="25">
        <v>43.56</v>
      </c>
      <c r="H4369" s="379">
        <v>0.14480167642852412</v>
      </c>
      <c r="I4369" s="25">
        <v>51.72</v>
      </c>
      <c r="J4369" s="379">
        <v>0.14480167642852412</v>
      </c>
    </row>
    <row r="4370" spans="1:10" x14ac:dyDescent="0.35">
      <c r="A4370" s="5">
        <v>4366</v>
      </c>
      <c r="B4370" s="5">
        <v>182</v>
      </c>
      <c r="C4370" s="5">
        <v>7</v>
      </c>
      <c r="D4370" s="379">
        <v>77.504444444444431</v>
      </c>
      <c r="E4370" s="25">
        <v>24.84</v>
      </c>
      <c r="F4370" s="379">
        <v>8.1174834595959613</v>
      </c>
      <c r="G4370" s="25">
        <v>43.56</v>
      </c>
      <c r="H4370" s="379">
        <v>4.703541910718319</v>
      </c>
      <c r="I4370" s="25">
        <v>51.72</v>
      </c>
      <c r="J4370" s="379">
        <v>3.8838928315319485</v>
      </c>
    </row>
    <row r="4371" spans="1:10" x14ac:dyDescent="0.35">
      <c r="A4371" s="5">
        <v>4367</v>
      </c>
      <c r="B4371" s="5">
        <v>182</v>
      </c>
      <c r="C4371" s="5">
        <v>7</v>
      </c>
      <c r="D4371" s="379">
        <v>75.934999999999988</v>
      </c>
      <c r="E4371" s="25">
        <v>24.84</v>
      </c>
      <c r="F4371" s="379">
        <v>6.167537504812775</v>
      </c>
      <c r="G4371" s="25">
        <v>42.29</v>
      </c>
      <c r="H4371" s="379">
        <v>4.5036270293244325</v>
      </c>
      <c r="I4371" s="25">
        <v>49.03</v>
      </c>
      <c r="J4371" s="379">
        <v>3.6485193575878285</v>
      </c>
    </row>
    <row r="4372" spans="1:10" x14ac:dyDescent="0.35">
      <c r="A4372" s="5">
        <v>4368</v>
      </c>
      <c r="B4372" s="5">
        <v>182</v>
      </c>
      <c r="C4372" s="5">
        <v>7</v>
      </c>
      <c r="D4372" s="379">
        <v>65.073333333333323</v>
      </c>
      <c r="E4372" s="25">
        <v>24.84</v>
      </c>
      <c r="F4372" s="379">
        <v>6.2090771084351006</v>
      </c>
      <c r="G4372" s="25">
        <v>38.61</v>
      </c>
      <c r="H4372" s="379">
        <v>4.5036270293244325</v>
      </c>
      <c r="I4372" s="25">
        <v>46.69</v>
      </c>
      <c r="J4372" s="379">
        <v>3.6485193575878285</v>
      </c>
    </row>
    <row r="4373" spans="1:10" x14ac:dyDescent="0.35">
      <c r="A4373" s="5">
        <v>4369</v>
      </c>
      <c r="B4373" s="5">
        <v>183</v>
      </c>
      <c r="C4373" s="5">
        <v>7</v>
      </c>
      <c r="D4373" s="379">
        <v>60.078888888888891</v>
      </c>
      <c r="E4373" s="25">
        <v>24.73</v>
      </c>
      <c r="F4373" s="379">
        <v>5.566035640254106</v>
      </c>
      <c r="G4373" s="25">
        <v>38.130000000000003</v>
      </c>
      <c r="H4373" s="379">
        <v>4.5036270293244325</v>
      </c>
      <c r="I4373" s="25">
        <v>44.41</v>
      </c>
      <c r="J4373" s="379">
        <v>0.14480167642852412</v>
      </c>
    </row>
    <row r="4374" spans="1:10" x14ac:dyDescent="0.35">
      <c r="A4374" s="5">
        <v>4370</v>
      </c>
      <c r="B4374" s="5">
        <v>183</v>
      </c>
      <c r="C4374" s="5">
        <v>7</v>
      </c>
      <c r="D4374" s="379">
        <v>57.10499999999999</v>
      </c>
      <c r="E4374" s="25">
        <v>24</v>
      </c>
      <c r="F4374" s="379">
        <v>5.9527597141864774</v>
      </c>
      <c r="G4374" s="25">
        <v>37.22</v>
      </c>
      <c r="H4374" s="379">
        <v>4.5956081221174143</v>
      </c>
      <c r="I4374" s="25">
        <v>43.96</v>
      </c>
      <c r="J4374" s="379">
        <v>3.6911925965288197</v>
      </c>
    </row>
    <row r="4375" spans="1:10" x14ac:dyDescent="0.35">
      <c r="A4375" s="5">
        <v>4371</v>
      </c>
      <c r="B4375" s="5">
        <v>183</v>
      </c>
      <c r="C4375" s="5">
        <v>7</v>
      </c>
      <c r="D4375" s="379">
        <v>56.703888888888891</v>
      </c>
      <c r="E4375" s="25">
        <v>24</v>
      </c>
      <c r="F4375" s="379">
        <v>8.1174834595959595</v>
      </c>
      <c r="G4375" s="25">
        <v>37.020000000000003</v>
      </c>
      <c r="H4375" s="379">
        <v>4.6845907537824365</v>
      </c>
      <c r="I4375" s="25">
        <v>45.28</v>
      </c>
      <c r="J4375" s="379">
        <v>3.7688273989847119</v>
      </c>
    </row>
    <row r="4376" spans="1:10" x14ac:dyDescent="0.35">
      <c r="A4376" s="5">
        <v>4372</v>
      </c>
      <c r="B4376" s="5">
        <v>183</v>
      </c>
      <c r="C4376" s="5">
        <v>7</v>
      </c>
      <c r="D4376" s="379">
        <v>55.507777777777775</v>
      </c>
      <c r="E4376" s="25">
        <v>24.84</v>
      </c>
      <c r="F4376" s="379">
        <v>8.1174834595959595</v>
      </c>
      <c r="G4376" s="25">
        <v>37.020000000000003</v>
      </c>
      <c r="H4376" s="379">
        <v>0.14480167642852412</v>
      </c>
      <c r="I4376" s="25">
        <v>45.28</v>
      </c>
      <c r="J4376" s="379">
        <v>0.14480167642852412</v>
      </c>
    </row>
    <row r="4377" spans="1:10" x14ac:dyDescent="0.35">
      <c r="A4377" s="5">
        <v>4373</v>
      </c>
      <c r="B4377" s="5">
        <v>183</v>
      </c>
      <c r="C4377" s="5">
        <v>7</v>
      </c>
      <c r="D4377" s="379">
        <v>52.424999999999997</v>
      </c>
      <c r="E4377" s="25">
        <v>24.84</v>
      </c>
      <c r="F4377" s="379">
        <v>8.1174834595959577</v>
      </c>
      <c r="G4377" s="25">
        <v>38.61</v>
      </c>
      <c r="H4377" s="379">
        <v>0.14480167642852412</v>
      </c>
      <c r="I4377" s="25">
        <v>45.74</v>
      </c>
      <c r="J4377" s="379">
        <v>3.8942833209654064</v>
      </c>
    </row>
    <row r="4378" spans="1:10" x14ac:dyDescent="0.35">
      <c r="A4378" s="5">
        <v>4374</v>
      </c>
      <c r="B4378" s="5">
        <v>183</v>
      </c>
      <c r="C4378" s="5">
        <v>7</v>
      </c>
      <c r="D4378" s="379">
        <v>54.792777777777772</v>
      </c>
      <c r="E4378" s="25">
        <v>24.84</v>
      </c>
      <c r="F4378" s="379">
        <v>8.1174834595959577</v>
      </c>
      <c r="G4378" s="25">
        <v>42.29</v>
      </c>
      <c r="H4378" s="379">
        <v>0.14480167642852412</v>
      </c>
      <c r="I4378" s="25">
        <v>48.86</v>
      </c>
      <c r="J4378" s="379">
        <v>4.1722333103748594</v>
      </c>
    </row>
    <row r="4379" spans="1:10" x14ac:dyDescent="0.35">
      <c r="A4379" s="5">
        <v>4375</v>
      </c>
      <c r="B4379" s="5">
        <v>183</v>
      </c>
      <c r="C4379" s="5">
        <v>7</v>
      </c>
      <c r="D4379" s="379">
        <v>56.989444444444437</v>
      </c>
      <c r="E4379" s="25">
        <v>24.99</v>
      </c>
      <c r="F4379" s="379">
        <v>8.1174834595959613</v>
      </c>
      <c r="G4379" s="25">
        <v>43.56</v>
      </c>
      <c r="H4379" s="379">
        <v>0.14480167642852412</v>
      </c>
      <c r="I4379" s="25">
        <v>53.27</v>
      </c>
      <c r="J4379" s="379">
        <v>4.3779975112088847</v>
      </c>
    </row>
    <row r="4380" spans="1:10" x14ac:dyDescent="0.35">
      <c r="A4380" s="5">
        <v>4376</v>
      </c>
      <c r="B4380" s="5">
        <v>183</v>
      </c>
      <c r="C4380" s="5">
        <v>7</v>
      </c>
      <c r="D4380" s="379">
        <v>52.61999999999999</v>
      </c>
      <c r="E4380" s="25">
        <v>25.29</v>
      </c>
      <c r="F4380" s="379">
        <v>8.1174834595959577</v>
      </c>
      <c r="G4380" s="25">
        <v>45.1</v>
      </c>
      <c r="H4380" s="379">
        <v>4.7942786590328748</v>
      </c>
      <c r="I4380" s="25">
        <v>53.27</v>
      </c>
      <c r="J4380" s="379">
        <v>3.8556006967159266</v>
      </c>
    </row>
    <row r="4381" spans="1:10" x14ac:dyDescent="0.35">
      <c r="A4381" s="5">
        <v>4377</v>
      </c>
      <c r="B4381" s="5">
        <v>183</v>
      </c>
      <c r="C4381" s="5">
        <v>7</v>
      </c>
      <c r="D4381" s="379">
        <v>47.321111111111108</v>
      </c>
      <c r="E4381" s="25">
        <v>26.05</v>
      </c>
      <c r="F4381" s="379">
        <v>0.47222222222222221</v>
      </c>
      <c r="G4381" s="25">
        <v>44.69</v>
      </c>
      <c r="H4381" s="379">
        <v>4.7522861879021878</v>
      </c>
      <c r="I4381" s="25">
        <v>51.02</v>
      </c>
      <c r="J4381" s="379">
        <v>3.3997254387164659</v>
      </c>
    </row>
    <row r="4382" spans="1:10" x14ac:dyDescent="0.35">
      <c r="A4382" s="5">
        <v>4378</v>
      </c>
      <c r="B4382" s="5">
        <v>183</v>
      </c>
      <c r="C4382" s="5">
        <v>7</v>
      </c>
      <c r="D4382" s="379">
        <v>44.330555555555549</v>
      </c>
      <c r="E4382" s="25">
        <v>24.99</v>
      </c>
      <c r="F4382" s="379">
        <v>4.7923216281937044</v>
      </c>
      <c r="G4382" s="25">
        <v>43.56</v>
      </c>
      <c r="H4382" s="379">
        <v>4.5958721477345712</v>
      </c>
      <c r="I4382" s="25">
        <v>49.53</v>
      </c>
      <c r="J4382" s="379">
        <v>2.4700295320629118</v>
      </c>
    </row>
    <row r="4383" spans="1:10" x14ac:dyDescent="0.35">
      <c r="A4383" s="5">
        <v>4379</v>
      </c>
      <c r="B4383" s="5">
        <v>183</v>
      </c>
      <c r="C4383" s="5">
        <v>7</v>
      </c>
      <c r="D4383" s="379">
        <v>40.644444444444439</v>
      </c>
      <c r="E4383" s="25">
        <v>24.84</v>
      </c>
      <c r="F4383" s="379">
        <v>4.7666261420830081</v>
      </c>
      <c r="G4383" s="25">
        <v>43.56</v>
      </c>
      <c r="H4383" s="379">
        <v>4.4682517260443735</v>
      </c>
      <c r="I4383" s="25">
        <v>45.74</v>
      </c>
      <c r="J4383" s="379">
        <v>2.4252367530270469</v>
      </c>
    </row>
    <row r="4384" spans="1:10" x14ac:dyDescent="0.35">
      <c r="A4384" s="5">
        <v>4380</v>
      </c>
      <c r="B4384" s="5">
        <v>183</v>
      </c>
      <c r="C4384" s="5">
        <v>7</v>
      </c>
      <c r="D4384" s="379">
        <v>38.06944444444445</v>
      </c>
      <c r="E4384" s="25">
        <v>24.84</v>
      </c>
      <c r="F4384" s="379">
        <v>4.7666261420830081</v>
      </c>
      <c r="G4384" s="25">
        <v>42.29</v>
      </c>
      <c r="H4384" s="379">
        <v>4.111017514891131</v>
      </c>
      <c r="I4384" s="25">
        <v>45.28</v>
      </c>
      <c r="J4384" s="379">
        <v>2.4252367530270447</v>
      </c>
    </row>
    <row r="4385" spans="1:10" x14ac:dyDescent="0.35">
      <c r="A4385" s="5">
        <v>4381</v>
      </c>
      <c r="B4385" s="5">
        <v>183</v>
      </c>
      <c r="C4385" s="5">
        <v>7</v>
      </c>
      <c r="D4385" s="379">
        <v>36.967777777777776</v>
      </c>
      <c r="E4385" s="25">
        <v>24.84</v>
      </c>
      <c r="F4385" s="379">
        <v>4.7666261420830081</v>
      </c>
      <c r="G4385" s="25">
        <v>42.17</v>
      </c>
      <c r="H4385" s="379">
        <v>0.43304055901061517</v>
      </c>
      <c r="I4385" s="25">
        <v>45.28</v>
      </c>
      <c r="J4385" s="379">
        <v>2.4252367530270447</v>
      </c>
    </row>
    <row r="4386" spans="1:10" x14ac:dyDescent="0.35">
      <c r="A4386" s="5">
        <v>4382</v>
      </c>
      <c r="B4386" s="5">
        <v>183</v>
      </c>
      <c r="C4386" s="5">
        <v>7</v>
      </c>
      <c r="D4386" s="379">
        <v>37.535555555555561</v>
      </c>
      <c r="E4386" s="25">
        <v>24.84</v>
      </c>
      <c r="F4386" s="379">
        <v>4.7666261420830081</v>
      </c>
      <c r="G4386" s="25">
        <v>40.96</v>
      </c>
      <c r="H4386" s="379">
        <v>1.0547692350963325</v>
      </c>
      <c r="I4386" s="25">
        <v>43.96</v>
      </c>
      <c r="J4386" s="379">
        <v>2.4252367530270447</v>
      </c>
    </row>
    <row r="4387" spans="1:10" x14ac:dyDescent="0.35">
      <c r="A4387" s="5">
        <v>4383</v>
      </c>
      <c r="B4387" s="5">
        <v>183</v>
      </c>
      <c r="C4387" s="5">
        <v>7</v>
      </c>
      <c r="D4387" s="379">
        <v>40.403333333333329</v>
      </c>
      <c r="E4387" s="25">
        <v>24.84</v>
      </c>
      <c r="F4387" s="379">
        <v>3.6249828726534886E-2</v>
      </c>
      <c r="G4387" s="25">
        <v>39.770000000000003</v>
      </c>
      <c r="H4387" s="379">
        <v>1.1646664920112411</v>
      </c>
      <c r="I4387" s="25">
        <v>45.28</v>
      </c>
      <c r="J4387" s="379">
        <v>2.4159679013385116</v>
      </c>
    </row>
    <row r="4388" spans="1:10" x14ac:dyDescent="0.35">
      <c r="A4388" s="5">
        <v>4384</v>
      </c>
      <c r="B4388" s="5">
        <v>183</v>
      </c>
      <c r="C4388" s="5">
        <v>7</v>
      </c>
      <c r="D4388" s="379">
        <v>45.594444444444449</v>
      </c>
      <c r="E4388" s="25">
        <v>24.84</v>
      </c>
      <c r="F4388" s="379">
        <v>4.7817411339128304</v>
      </c>
      <c r="G4388" s="25">
        <v>40.96</v>
      </c>
      <c r="H4388" s="379">
        <v>1.3297932878672758</v>
      </c>
      <c r="I4388" s="25">
        <v>45.28</v>
      </c>
      <c r="J4388" s="379">
        <v>0.14629707321889338</v>
      </c>
    </row>
    <row r="4389" spans="1:10" x14ac:dyDescent="0.35">
      <c r="A4389" s="5">
        <v>4385</v>
      </c>
      <c r="B4389" s="5">
        <v>183</v>
      </c>
      <c r="C4389" s="5">
        <v>7</v>
      </c>
      <c r="D4389" s="379">
        <v>58.446111111111108</v>
      </c>
      <c r="E4389" s="25">
        <v>24.84</v>
      </c>
      <c r="F4389" s="379">
        <v>4.6611095852118822</v>
      </c>
      <c r="G4389" s="25">
        <v>43.44</v>
      </c>
      <c r="H4389" s="379">
        <v>4.729289823342655</v>
      </c>
      <c r="I4389" s="25">
        <v>45.74</v>
      </c>
      <c r="J4389" s="379">
        <v>0.30024203011885248</v>
      </c>
    </row>
    <row r="4390" spans="1:10" x14ac:dyDescent="0.35">
      <c r="A4390" s="5">
        <v>4386</v>
      </c>
      <c r="B4390" s="5">
        <v>183</v>
      </c>
      <c r="C4390" s="5">
        <v>7</v>
      </c>
      <c r="D4390" s="379">
        <v>64.912222222222212</v>
      </c>
      <c r="E4390" s="25">
        <v>24.84</v>
      </c>
      <c r="F4390" s="379">
        <v>8.1174834595959577</v>
      </c>
      <c r="G4390" s="25">
        <v>43.56</v>
      </c>
      <c r="H4390" s="379">
        <v>8.3460864666900481</v>
      </c>
      <c r="I4390" s="25">
        <v>48.09</v>
      </c>
      <c r="J4390" s="379">
        <v>6.3433183094776391</v>
      </c>
    </row>
    <row r="4391" spans="1:10" x14ac:dyDescent="0.35">
      <c r="A4391" s="5">
        <v>4387</v>
      </c>
      <c r="B4391" s="5">
        <v>183</v>
      </c>
      <c r="C4391" s="5">
        <v>7</v>
      </c>
      <c r="D4391" s="379">
        <v>73.878888888888909</v>
      </c>
      <c r="E4391" s="25">
        <v>24.84</v>
      </c>
      <c r="F4391" s="379">
        <v>9.5923570210608506</v>
      </c>
      <c r="G4391" s="25">
        <v>43.56</v>
      </c>
      <c r="H4391" s="379">
        <v>10.4897359790232</v>
      </c>
      <c r="I4391" s="25">
        <v>51.72</v>
      </c>
      <c r="J4391" s="379">
        <v>7.2634654966782213</v>
      </c>
    </row>
    <row r="4392" spans="1:10" x14ac:dyDescent="0.35">
      <c r="A4392" s="5">
        <v>4388</v>
      </c>
      <c r="B4392" s="5">
        <v>183</v>
      </c>
      <c r="C4392" s="5">
        <v>7</v>
      </c>
      <c r="D4392" s="379">
        <v>75.775000000000006</v>
      </c>
      <c r="E4392" s="25">
        <v>24.84</v>
      </c>
      <c r="F4392" s="379">
        <v>9.196669533927345</v>
      </c>
      <c r="G4392" s="25">
        <v>43.56</v>
      </c>
      <c r="H4392" s="379">
        <v>10.594588297049816</v>
      </c>
      <c r="I4392" s="25">
        <v>51.72</v>
      </c>
      <c r="J4392" s="379">
        <v>7.319810615794152</v>
      </c>
    </row>
    <row r="4393" spans="1:10" x14ac:dyDescent="0.35">
      <c r="A4393" s="5">
        <v>4389</v>
      </c>
      <c r="B4393" s="5">
        <v>183</v>
      </c>
      <c r="C4393" s="5">
        <v>7</v>
      </c>
      <c r="D4393" s="379">
        <v>78.117777777777775</v>
      </c>
      <c r="E4393" s="25">
        <v>24.84</v>
      </c>
      <c r="F4393" s="379">
        <v>10.849287166193919</v>
      </c>
      <c r="G4393" s="25">
        <v>43.56</v>
      </c>
      <c r="H4393" s="379">
        <v>10.355651510120579</v>
      </c>
      <c r="I4393" s="25">
        <v>53.27</v>
      </c>
      <c r="J4393" s="379">
        <v>6.8679326571936654</v>
      </c>
    </row>
    <row r="4394" spans="1:10" x14ac:dyDescent="0.35">
      <c r="A4394" s="5">
        <v>4390</v>
      </c>
      <c r="B4394" s="5">
        <v>183</v>
      </c>
      <c r="C4394" s="5">
        <v>7</v>
      </c>
      <c r="D4394" s="379">
        <v>77.106666666666669</v>
      </c>
      <c r="E4394" s="25">
        <v>24.84</v>
      </c>
      <c r="F4394" s="379">
        <v>10.46349646684002</v>
      </c>
      <c r="G4394" s="25">
        <v>43.56</v>
      </c>
      <c r="H4394" s="379">
        <v>10.095326701619991</v>
      </c>
      <c r="I4394" s="25">
        <v>53.27</v>
      </c>
      <c r="J4394" s="379">
        <v>6.8360466898224717</v>
      </c>
    </row>
    <row r="4395" spans="1:10" x14ac:dyDescent="0.35">
      <c r="A4395" s="5">
        <v>4391</v>
      </c>
      <c r="B4395" s="5">
        <v>183</v>
      </c>
      <c r="C4395" s="5">
        <v>7</v>
      </c>
      <c r="D4395" s="379">
        <v>71.516666666666666</v>
      </c>
      <c r="E4395" s="25">
        <v>24.84</v>
      </c>
      <c r="F4395" s="379">
        <v>9.2571977301755251</v>
      </c>
      <c r="G4395" s="25">
        <v>43.44</v>
      </c>
      <c r="H4395" s="379">
        <v>9.7484709014655753</v>
      </c>
      <c r="I4395" s="25">
        <v>51.72</v>
      </c>
      <c r="J4395" s="379">
        <v>6.6608158488290705</v>
      </c>
    </row>
    <row r="4396" spans="1:10" x14ac:dyDescent="0.35">
      <c r="A4396" s="5">
        <v>4392</v>
      </c>
      <c r="B4396" s="5">
        <v>183</v>
      </c>
      <c r="C4396" s="5">
        <v>7</v>
      </c>
      <c r="D4396" s="379">
        <v>65.746111111111105</v>
      </c>
      <c r="E4396" s="25">
        <v>24.84</v>
      </c>
      <c r="F4396" s="379">
        <v>9.2571977301755251</v>
      </c>
      <c r="G4396" s="25">
        <v>40.32</v>
      </c>
      <c r="H4396" s="379">
        <v>9.8203056874616159</v>
      </c>
      <c r="I4396" s="25">
        <v>46.69</v>
      </c>
      <c r="J4396" s="379">
        <v>6.8306671173186491</v>
      </c>
    </row>
    <row r="4397" spans="1:10" x14ac:dyDescent="0.35">
      <c r="A4397" s="5">
        <v>4393</v>
      </c>
      <c r="B4397" s="5">
        <v>184</v>
      </c>
      <c r="C4397" s="5">
        <v>7</v>
      </c>
      <c r="D4397" s="379">
        <v>61.087222222222216</v>
      </c>
      <c r="E4397" s="25">
        <v>24.84</v>
      </c>
      <c r="F4397" s="379">
        <v>8.978521502867796</v>
      </c>
      <c r="G4397" s="25">
        <v>38.340000000000003</v>
      </c>
      <c r="H4397" s="379">
        <v>9.4984531988188525</v>
      </c>
      <c r="I4397" s="25">
        <v>46.64</v>
      </c>
      <c r="J4397" s="379">
        <v>6.8581484444983642</v>
      </c>
    </row>
    <row r="4398" spans="1:10" x14ac:dyDescent="0.35">
      <c r="A4398" s="5">
        <v>4394</v>
      </c>
      <c r="B4398" s="5">
        <v>184</v>
      </c>
      <c r="C4398" s="5">
        <v>7</v>
      </c>
      <c r="D4398" s="379">
        <v>55.146111111111111</v>
      </c>
      <c r="E4398" s="25">
        <v>24.84</v>
      </c>
      <c r="F4398" s="379">
        <v>9.2908688880459138</v>
      </c>
      <c r="G4398" s="25">
        <v>38.340000000000003</v>
      </c>
      <c r="H4398" s="379">
        <v>9.0663297954249202</v>
      </c>
      <c r="I4398" s="25">
        <v>46.64</v>
      </c>
      <c r="J4398" s="379">
        <v>7.0590418523526406</v>
      </c>
    </row>
    <row r="4399" spans="1:10" x14ac:dyDescent="0.35">
      <c r="A4399" s="5">
        <v>4395</v>
      </c>
      <c r="B4399" s="5">
        <v>184</v>
      </c>
      <c r="C4399" s="5">
        <v>7</v>
      </c>
      <c r="D4399" s="379">
        <v>53.777777777777771</v>
      </c>
      <c r="E4399" s="25">
        <v>24.84</v>
      </c>
      <c r="F4399" s="379">
        <v>9.2908688880459138</v>
      </c>
      <c r="G4399" s="25">
        <v>38.340000000000003</v>
      </c>
      <c r="H4399" s="379">
        <v>9.1176598995392819</v>
      </c>
      <c r="I4399" s="25">
        <v>46.64</v>
      </c>
      <c r="J4399" s="379">
        <v>7.1880094500606466</v>
      </c>
    </row>
    <row r="4400" spans="1:10" x14ac:dyDescent="0.35">
      <c r="A4400" s="5">
        <v>4396</v>
      </c>
      <c r="B4400" s="5">
        <v>184</v>
      </c>
      <c r="C4400" s="5">
        <v>7</v>
      </c>
      <c r="D4400" s="379">
        <v>51.436111111111117</v>
      </c>
      <c r="E4400" s="25">
        <v>24.84</v>
      </c>
      <c r="F4400" s="379">
        <v>10.497167624710409</v>
      </c>
      <c r="G4400" s="25">
        <v>38.340000000000003</v>
      </c>
      <c r="H4400" s="379">
        <v>9.2969458228076807</v>
      </c>
      <c r="I4400" s="25">
        <v>45.28</v>
      </c>
      <c r="J4400" s="379">
        <v>7.1872928230116546</v>
      </c>
    </row>
    <row r="4401" spans="1:10" x14ac:dyDescent="0.35">
      <c r="A4401" s="5">
        <v>4397</v>
      </c>
      <c r="B4401" s="5">
        <v>184</v>
      </c>
      <c r="C4401" s="5">
        <v>7</v>
      </c>
      <c r="D4401" s="379">
        <v>47.019999999999996</v>
      </c>
      <c r="E4401" s="25">
        <v>24.84</v>
      </c>
      <c r="F4401" s="379">
        <v>10.687365212452018</v>
      </c>
      <c r="G4401" s="25">
        <v>38.340000000000003</v>
      </c>
      <c r="H4401" s="379">
        <v>8.6666132992015132</v>
      </c>
      <c r="I4401" s="25">
        <v>45.28</v>
      </c>
      <c r="J4401" s="379">
        <v>7.1402035817536627</v>
      </c>
    </row>
    <row r="4402" spans="1:10" x14ac:dyDescent="0.35">
      <c r="A4402" s="5">
        <v>4398</v>
      </c>
      <c r="B4402" s="5">
        <v>184</v>
      </c>
      <c r="C4402" s="5">
        <v>7</v>
      </c>
      <c r="D4402" s="379">
        <v>45.891666666666666</v>
      </c>
      <c r="E4402" s="25">
        <v>24.84</v>
      </c>
      <c r="F4402" s="379">
        <v>9.4917536970783054</v>
      </c>
      <c r="G4402" s="25">
        <v>38.340000000000003</v>
      </c>
      <c r="H4402" s="379">
        <v>8.7390821478957772</v>
      </c>
      <c r="I4402" s="25">
        <v>46.64</v>
      </c>
      <c r="J4402" s="379">
        <v>6.9444370473702914</v>
      </c>
    </row>
    <row r="4403" spans="1:10" x14ac:dyDescent="0.35">
      <c r="A4403" s="5">
        <v>4399</v>
      </c>
      <c r="B4403" s="5">
        <v>184</v>
      </c>
      <c r="C4403" s="5">
        <v>7</v>
      </c>
      <c r="D4403" s="379">
        <v>48.323888888888881</v>
      </c>
      <c r="E4403" s="25">
        <v>24.84</v>
      </c>
      <c r="F4403" s="379">
        <v>9.4917536970783054</v>
      </c>
      <c r="G4403" s="25">
        <v>38.72</v>
      </c>
      <c r="H4403" s="379">
        <v>8.4500447720244782</v>
      </c>
      <c r="I4403" s="25">
        <v>48.09</v>
      </c>
      <c r="J4403" s="379">
        <v>6.3946075857315909</v>
      </c>
    </row>
    <row r="4404" spans="1:10" x14ac:dyDescent="0.35">
      <c r="A4404" s="5">
        <v>4400</v>
      </c>
      <c r="B4404" s="5">
        <v>184</v>
      </c>
      <c r="C4404" s="5">
        <v>7</v>
      </c>
      <c r="D4404" s="379">
        <v>46.421111111111109</v>
      </c>
      <c r="E4404" s="25">
        <v>24.84</v>
      </c>
      <c r="F4404" s="379">
        <v>8.8022581442274372</v>
      </c>
      <c r="G4404" s="25">
        <v>43.56</v>
      </c>
      <c r="H4404" s="379">
        <v>8.6899599985951816</v>
      </c>
      <c r="I4404" s="25">
        <v>48.86</v>
      </c>
      <c r="J4404" s="379">
        <v>4.7649402879601954</v>
      </c>
    </row>
    <row r="4405" spans="1:10" x14ac:dyDescent="0.35">
      <c r="A4405" s="5">
        <v>4401</v>
      </c>
      <c r="B4405" s="5">
        <v>184</v>
      </c>
      <c r="C4405" s="5">
        <v>7</v>
      </c>
      <c r="D4405" s="379">
        <v>43.11666666666666</v>
      </c>
      <c r="E4405" s="25">
        <v>24.84</v>
      </c>
      <c r="F4405" s="379">
        <v>8.1174834595959613</v>
      </c>
      <c r="G4405" s="25">
        <v>43.56</v>
      </c>
      <c r="H4405" s="379">
        <v>7.403573531282162</v>
      </c>
      <c r="I4405" s="25">
        <v>47.31</v>
      </c>
      <c r="J4405" s="379">
        <v>2.1852191674475248</v>
      </c>
    </row>
    <row r="4406" spans="1:10" x14ac:dyDescent="0.35">
      <c r="A4406" s="5">
        <v>4402</v>
      </c>
      <c r="B4406" s="5">
        <v>184</v>
      </c>
      <c r="C4406" s="5">
        <v>7</v>
      </c>
      <c r="D4406" s="379">
        <v>37.588888888888889</v>
      </c>
      <c r="E4406" s="25">
        <v>24.84</v>
      </c>
      <c r="F4406" s="379">
        <v>8.1174834595959595</v>
      </c>
      <c r="G4406" s="25">
        <v>41.08</v>
      </c>
      <c r="H4406" s="379">
        <v>6.7842531020036754</v>
      </c>
      <c r="I4406" s="25">
        <v>38.39</v>
      </c>
      <c r="J4406" s="379">
        <v>4.205393503432064</v>
      </c>
    </row>
    <row r="4407" spans="1:10" x14ac:dyDescent="0.35">
      <c r="A4407" s="5">
        <v>4403</v>
      </c>
      <c r="B4407" s="5">
        <v>184</v>
      </c>
      <c r="C4407" s="5">
        <v>7</v>
      </c>
      <c r="D4407" s="379">
        <v>33.957222222222221</v>
      </c>
      <c r="E4407" s="25">
        <v>24.84</v>
      </c>
      <c r="F4407" s="379">
        <v>5.0672179712230774</v>
      </c>
      <c r="G4407" s="25">
        <v>38.61</v>
      </c>
      <c r="H4407" s="379">
        <v>7.240274442555565</v>
      </c>
      <c r="I4407" s="25">
        <v>35.799999999999997</v>
      </c>
      <c r="J4407" s="379">
        <v>3.9283155210562271</v>
      </c>
    </row>
    <row r="4408" spans="1:10" x14ac:dyDescent="0.35">
      <c r="A4408" s="5">
        <v>4404</v>
      </c>
      <c r="B4408" s="5">
        <v>184</v>
      </c>
      <c r="C4408" s="5">
        <v>7</v>
      </c>
      <c r="D4408" s="379">
        <v>32.293333333333329</v>
      </c>
      <c r="E4408" s="25">
        <v>24.84</v>
      </c>
      <c r="F4408" s="379">
        <v>4.908690833878663</v>
      </c>
      <c r="G4408" s="25">
        <v>38.340000000000003</v>
      </c>
      <c r="H4408" s="379">
        <v>7.1607262610392581</v>
      </c>
      <c r="I4408" s="25">
        <v>35.72</v>
      </c>
      <c r="J4408" s="379">
        <v>3.7781911437595941</v>
      </c>
    </row>
    <row r="4409" spans="1:10" x14ac:dyDescent="0.35">
      <c r="A4409" s="5">
        <v>4405</v>
      </c>
      <c r="B4409" s="5">
        <v>184</v>
      </c>
      <c r="C4409" s="5">
        <v>7</v>
      </c>
      <c r="D4409" s="379">
        <v>26.270555555555553</v>
      </c>
      <c r="E4409" s="25">
        <v>23.84</v>
      </c>
      <c r="F4409" s="379">
        <v>4.9082650308526086</v>
      </c>
      <c r="G4409" s="25">
        <v>31.52</v>
      </c>
      <c r="H4409" s="379">
        <v>6.8097415726163426</v>
      </c>
      <c r="I4409" s="25">
        <v>35.72</v>
      </c>
      <c r="J4409" s="379">
        <v>3.7093070039365119</v>
      </c>
    </row>
    <row r="4410" spans="1:10" x14ac:dyDescent="0.35">
      <c r="A4410" s="5">
        <v>4406</v>
      </c>
      <c r="B4410" s="5">
        <v>184</v>
      </c>
      <c r="C4410" s="5">
        <v>7</v>
      </c>
      <c r="D4410" s="379">
        <v>25.872777777777781</v>
      </c>
      <c r="E4410" s="25">
        <v>23.84</v>
      </c>
      <c r="F4410" s="379">
        <v>5.0672179712230774</v>
      </c>
      <c r="G4410" s="25">
        <v>31.52</v>
      </c>
      <c r="H4410" s="379">
        <v>7.0360827618113513</v>
      </c>
      <c r="I4410" s="25">
        <v>35.72</v>
      </c>
      <c r="J4410" s="379">
        <v>3.232664041386327</v>
      </c>
    </row>
    <row r="4411" spans="1:10" x14ac:dyDescent="0.35">
      <c r="A4411" s="5">
        <v>4407</v>
      </c>
      <c r="B4411" s="5">
        <v>184</v>
      </c>
      <c r="C4411" s="5">
        <v>7</v>
      </c>
      <c r="D4411" s="379">
        <v>29.323888888888884</v>
      </c>
      <c r="E4411" s="25">
        <v>23.84</v>
      </c>
      <c r="F4411" s="379">
        <v>5.0672179712230774</v>
      </c>
      <c r="G4411" s="25">
        <v>31.11</v>
      </c>
      <c r="H4411" s="379">
        <v>5.9842563249697127</v>
      </c>
      <c r="I4411" s="25">
        <v>35.72</v>
      </c>
      <c r="J4411" s="379">
        <v>2.5909550129905847</v>
      </c>
    </row>
    <row r="4412" spans="1:10" x14ac:dyDescent="0.35">
      <c r="A4412" s="5">
        <v>4408</v>
      </c>
      <c r="B4412" s="5">
        <v>184</v>
      </c>
      <c r="C4412" s="5">
        <v>7</v>
      </c>
      <c r="D4412" s="379">
        <v>37.546666666666667</v>
      </c>
      <c r="E4412" s="25">
        <v>24.84</v>
      </c>
      <c r="F4412" s="379">
        <v>8.1174834595959595</v>
      </c>
      <c r="G4412" s="25">
        <v>31.11</v>
      </c>
      <c r="H4412" s="379">
        <v>5.3950428386620688</v>
      </c>
      <c r="I4412" s="25">
        <v>35.72</v>
      </c>
      <c r="J4412" s="379">
        <v>2.9684150286619198</v>
      </c>
    </row>
    <row r="4413" spans="1:10" x14ac:dyDescent="0.35">
      <c r="A4413" s="5">
        <v>4409</v>
      </c>
      <c r="B4413" s="5">
        <v>184</v>
      </c>
      <c r="C4413" s="5">
        <v>7</v>
      </c>
      <c r="D4413" s="379">
        <v>51.149444444444434</v>
      </c>
      <c r="E4413" s="25">
        <v>24.84</v>
      </c>
      <c r="F4413" s="379">
        <v>8.1174834595959595</v>
      </c>
      <c r="G4413" s="25">
        <v>31.52</v>
      </c>
      <c r="H4413" s="379">
        <v>5.69369795372981</v>
      </c>
      <c r="I4413" s="25">
        <v>35.72</v>
      </c>
      <c r="J4413" s="379">
        <v>3.0040486034959297</v>
      </c>
    </row>
    <row r="4414" spans="1:10" x14ac:dyDescent="0.35">
      <c r="A4414" s="5">
        <v>4410</v>
      </c>
      <c r="B4414" s="5">
        <v>184</v>
      </c>
      <c r="C4414" s="5">
        <v>7</v>
      </c>
      <c r="D4414" s="379">
        <v>63.335555555555551</v>
      </c>
      <c r="E4414" s="25">
        <v>24.84</v>
      </c>
      <c r="F4414" s="379">
        <v>8.4959659428891037</v>
      </c>
      <c r="G4414" s="25">
        <v>31.84</v>
      </c>
      <c r="H4414" s="379">
        <v>7.1026099641783311</v>
      </c>
      <c r="I4414" s="25">
        <v>35.72</v>
      </c>
      <c r="J4414" s="379">
        <v>6.0123290331994559</v>
      </c>
    </row>
    <row r="4415" spans="1:10" x14ac:dyDescent="0.35">
      <c r="A4415" s="5">
        <v>4411</v>
      </c>
      <c r="B4415" s="5">
        <v>184</v>
      </c>
      <c r="C4415" s="5">
        <v>7</v>
      </c>
      <c r="D4415" s="379">
        <v>70.850555555555545</v>
      </c>
      <c r="E4415" s="25">
        <v>24.84</v>
      </c>
      <c r="F4415" s="379">
        <v>14.846159577830083</v>
      </c>
      <c r="G4415" s="25">
        <v>31.84</v>
      </c>
      <c r="H4415" s="379">
        <v>8.1223525857173424</v>
      </c>
      <c r="I4415" s="25">
        <v>36.08</v>
      </c>
      <c r="J4415" s="379">
        <v>5.8996162869122184</v>
      </c>
    </row>
    <row r="4416" spans="1:10" x14ac:dyDescent="0.35">
      <c r="A4416" s="5">
        <v>4412</v>
      </c>
      <c r="B4416" s="5">
        <v>184</v>
      </c>
      <c r="C4416" s="5">
        <v>7</v>
      </c>
      <c r="D4416" s="379">
        <v>72.320555555555543</v>
      </c>
      <c r="E4416" s="25">
        <v>24.84</v>
      </c>
      <c r="F4416" s="379">
        <v>12.562450881678416</v>
      </c>
      <c r="G4416" s="25">
        <v>31.84</v>
      </c>
      <c r="H4416" s="379">
        <v>7.4010016203677544</v>
      </c>
      <c r="I4416" s="25">
        <v>36.159999999999997</v>
      </c>
      <c r="J4416" s="379">
        <v>5.6867505857107004</v>
      </c>
    </row>
    <row r="4417" spans="1:10" x14ac:dyDescent="0.35">
      <c r="A4417" s="5">
        <v>4413</v>
      </c>
      <c r="B4417" s="5">
        <v>184</v>
      </c>
      <c r="C4417" s="5">
        <v>7</v>
      </c>
      <c r="D4417" s="379">
        <v>72.573333333333338</v>
      </c>
      <c r="E4417" s="25">
        <v>24.84</v>
      </c>
      <c r="F4417" s="379">
        <v>12.157294065102812</v>
      </c>
      <c r="G4417" s="25">
        <v>31.84</v>
      </c>
      <c r="H4417" s="379">
        <v>8.4058679069455522</v>
      </c>
      <c r="I4417" s="25">
        <v>44.6</v>
      </c>
      <c r="J4417" s="379">
        <v>5.4859525119613561</v>
      </c>
    </row>
    <row r="4418" spans="1:10" x14ac:dyDescent="0.35">
      <c r="A4418" s="5">
        <v>4414</v>
      </c>
      <c r="B4418" s="5">
        <v>184</v>
      </c>
      <c r="C4418" s="5">
        <v>7</v>
      </c>
      <c r="D4418" s="379">
        <v>69.165555555555557</v>
      </c>
      <c r="E4418" s="25">
        <v>24.84</v>
      </c>
      <c r="F4418" s="379">
        <v>14.846159577830083</v>
      </c>
      <c r="G4418" s="25">
        <v>35.96</v>
      </c>
      <c r="H4418" s="379">
        <v>6.8556986304496936</v>
      </c>
      <c r="I4418" s="25">
        <v>46.69</v>
      </c>
      <c r="J4418" s="379">
        <v>4.5666851759753877</v>
      </c>
    </row>
    <row r="4419" spans="1:10" x14ac:dyDescent="0.35">
      <c r="A4419" s="5">
        <v>4415</v>
      </c>
      <c r="B4419" s="5">
        <v>184</v>
      </c>
      <c r="C4419" s="5">
        <v>7</v>
      </c>
      <c r="D4419" s="379">
        <v>67.868888888888875</v>
      </c>
      <c r="E4419" s="25">
        <v>24.84</v>
      </c>
      <c r="F4419" s="379">
        <v>9.3646652101607213</v>
      </c>
      <c r="G4419" s="25">
        <v>32.18</v>
      </c>
      <c r="H4419" s="379">
        <v>6.8187799116938557</v>
      </c>
      <c r="I4419" s="25">
        <v>44.6</v>
      </c>
      <c r="J4419" s="379">
        <v>3.642716046378272</v>
      </c>
    </row>
    <row r="4420" spans="1:10" x14ac:dyDescent="0.35">
      <c r="A4420" s="5">
        <v>4416</v>
      </c>
      <c r="B4420" s="5">
        <v>184</v>
      </c>
      <c r="C4420" s="5">
        <v>7</v>
      </c>
      <c r="D4420" s="379">
        <v>63.639444444444429</v>
      </c>
      <c r="E4420" s="25">
        <v>23.55</v>
      </c>
      <c r="F4420" s="379">
        <v>9.3586576831435782</v>
      </c>
      <c r="G4420" s="25">
        <v>31.11</v>
      </c>
      <c r="H4420" s="379">
        <v>8.1012400565638494</v>
      </c>
      <c r="I4420" s="25">
        <v>35.72</v>
      </c>
      <c r="J4420" s="379">
        <v>3.8963448355430601</v>
      </c>
    </row>
    <row r="4421" spans="1:10" x14ac:dyDescent="0.35">
      <c r="A4421" s="5">
        <v>4417</v>
      </c>
      <c r="B4421" s="5">
        <v>185</v>
      </c>
      <c r="C4421" s="5">
        <v>7</v>
      </c>
      <c r="D4421" s="379">
        <v>57.284999999999989</v>
      </c>
      <c r="E4421" s="25">
        <v>22.73</v>
      </c>
      <c r="F4421" s="379">
        <v>8.8527510131492804</v>
      </c>
      <c r="G4421" s="25">
        <v>30.57</v>
      </c>
      <c r="H4421" s="379">
        <v>7.9380003982531049</v>
      </c>
      <c r="I4421" s="25">
        <v>33.67</v>
      </c>
      <c r="J4421" s="379">
        <v>4.3013104541607605</v>
      </c>
    </row>
    <row r="4422" spans="1:10" x14ac:dyDescent="0.35">
      <c r="A4422" s="5">
        <v>4418</v>
      </c>
      <c r="B4422" s="5">
        <v>185</v>
      </c>
      <c r="C4422" s="5">
        <v>7</v>
      </c>
      <c r="D4422" s="379">
        <v>55.461111111111116</v>
      </c>
      <c r="E4422" s="25">
        <v>22.73</v>
      </c>
      <c r="F4422" s="379">
        <v>7.3253731726595266</v>
      </c>
      <c r="G4422" s="25">
        <v>30.57</v>
      </c>
      <c r="H4422" s="379">
        <v>7.5851105117012105</v>
      </c>
      <c r="I4422" s="25">
        <v>33.67</v>
      </c>
      <c r="J4422" s="379">
        <v>3.9935138517546971</v>
      </c>
    </row>
    <row r="4423" spans="1:10" x14ac:dyDescent="0.35">
      <c r="A4423" s="5">
        <v>4419</v>
      </c>
      <c r="B4423" s="5">
        <v>185</v>
      </c>
      <c r="C4423" s="5">
        <v>7</v>
      </c>
      <c r="D4423" s="379">
        <v>53.388888888888886</v>
      </c>
      <c r="E4423" s="25">
        <v>22.73</v>
      </c>
      <c r="F4423" s="379">
        <v>7.2495557983987471</v>
      </c>
      <c r="G4423" s="25">
        <v>30.57</v>
      </c>
      <c r="H4423" s="379">
        <v>8.2479095086092222</v>
      </c>
      <c r="I4423" s="25">
        <v>33.67</v>
      </c>
      <c r="J4423" s="379">
        <v>3.9782128923620124</v>
      </c>
    </row>
    <row r="4424" spans="1:10" x14ac:dyDescent="0.35">
      <c r="A4424" s="5">
        <v>4420</v>
      </c>
      <c r="B4424" s="5">
        <v>185</v>
      </c>
      <c r="C4424" s="5">
        <v>7</v>
      </c>
      <c r="D4424" s="379">
        <v>53.373333333333335</v>
      </c>
      <c r="E4424" s="25">
        <v>22.73</v>
      </c>
      <c r="F4424" s="379">
        <v>6.8908871267182636</v>
      </c>
      <c r="G4424" s="25">
        <v>30.57</v>
      </c>
      <c r="H4424" s="379">
        <v>8.2675468842959265</v>
      </c>
      <c r="I4424" s="25">
        <v>33.67</v>
      </c>
      <c r="J4424" s="379">
        <v>3.6008325966458958</v>
      </c>
    </row>
    <row r="4425" spans="1:10" x14ac:dyDescent="0.35">
      <c r="A4425" s="5">
        <v>4421</v>
      </c>
      <c r="B4425" s="5">
        <v>185</v>
      </c>
      <c r="C4425" s="5">
        <v>7</v>
      </c>
      <c r="D4425" s="379">
        <v>59.066111111111113</v>
      </c>
      <c r="E4425" s="25">
        <v>22.73</v>
      </c>
      <c r="F4425" s="379">
        <v>6.5217036851708157</v>
      </c>
      <c r="G4425" s="25">
        <v>30.57</v>
      </c>
      <c r="H4425" s="379">
        <v>7.0857528867318109</v>
      </c>
      <c r="I4425" s="25">
        <v>33.67</v>
      </c>
      <c r="J4425" s="379">
        <v>2.7912120408447163</v>
      </c>
    </row>
    <row r="4426" spans="1:10" x14ac:dyDescent="0.35">
      <c r="A4426" s="5">
        <v>4422</v>
      </c>
      <c r="B4426" s="5">
        <v>185</v>
      </c>
      <c r="C4426" s="5">
        <v>7</v>
      </c>
      <c r="D4426" s="379">
        <v>67.352222222222224</v>
      </c>
      <c r="E4426" s="25">
        <v>22.73</v>
      </c>
      <c r="F4426" s="379">
        <v>8.5254680734521937</v>
      </c>
      <c r="G4426" s="25">
        <v>30.57</v>
      </c>
      <c r="H4426" s="379">
        <v>6.8736772052893107</v>
      </c>
      <c r="I4426" s="25">
        <v>33.869999999999997</v>
      </c>
      <c r="J4426" s="379">
        <v>2.0046636118919698</v>
      </c>
    </row>
    <row r="4427" spans="1:10" x14ac:dyDescent="0.35">
      <c r="A4427" s="5">
        <v>4423</v>
      </c>
      <c r="B4427" s="5">
        <v>185</v>
      </c>
      <c r="C4427" s="5">
        <v>7</v>
      </c>
      <c r="D4427" s="379">
        <v>71.496111111111119</v>
      </c>
      <c r="E4427" s="25">
        <v>22.73</v>
      </c>
      <c r="F4427" s="379">
        <v>8.2503600206389756</v>
      </c>
      <c r="G4427" s="25">
        <v>30.57</v>
      </c>
      <c r="H4427" s="379">
        <v>6.0685886321453095</v>
      </c>
      <c r="I4427" s="25">
        <v>34</v>
      </c>
      <c r="J4427" s="379">
        <v>6.4987898788026364</v>
      </c>
    </row>
    <row r="4428" spans="1:10" x14ac:dyDescent="0.35">
      <c r="A4428" s="5">
        <v>4424</v>
      </c>
      <c r="B4428" s="5">
        <v>185</v>
      </c>
      <c r="C4428" s="5">
        <v>7</v>
      </c>
      <c r="D4428" s="379">
        <v>73.512777777777799</v>
      </c>
      <c r="E4428" s="25">
        <v>23.41</v>
      </c>
      <c r="F4428" s="379">
        <v>8.1174834595959613</v>
      </c>
      <c r="G4428" s="25">
        <v>30.57</v>
      </c>
      <c r="H4428" s="379">
        <v>7.540352318061073</v>
      </c>
      <c r="I4428" s="25">
        <v>33.67</v>
      </c>
      <c r="J4428" s="379">
        <v>6.1250429537018514</v>
      </c>
    </row>
    <row r="4429" spans="1:10" x14ac:dyDescent="0.35">
      <c r="A4429" s="5">
        <v>4425</v>
      </c>
      <c r="B4429" s="5">
        <v>185</v>
      </c>
      <c r="C4429" s="5">
        <v>7</v>
      </c>
      <c r="D4429" s="379">
        <v>71.992777777777775</v>
      </c>
      <c r="E4429" s="25">
        <v>23.41</v>
      </c>
      <c r="F4429" s="379">
        <v>7.9447926314525876</v>
      </c>
      <c r="G4429" s="25">
        <v>30.88</v>
      </c>
      <c r="H4429" s="379">
        <v>4.0376241608328778</v>
      </c>
      <c r="I4429" s="25">
        <v>33.67</v>
      </c>
      <c r="J4429" s="379">
        <v>3.51390290703291</v>
      </c>
    </row>
    <row r="4430" spans="1:10" x14ac:dyDescent="0.35">
      <c r="A4430" s="5">
        <v>4426</v>
      </c>
      <c r="B4430" s="5">
        <v>185</v>
      </c>
      <c r="C4430" s="5">
        <v>7</v>
      </c>
      <c r="D4430" s="379">
        <v>61.738333333333344</v>
      </c>
      <c r="E4430" s="25">
        <v>23.41</v>
      </c>
      <c r="F4430" s="379">
        <v>5.0356398201534533</v>
      </c>
      <c r="G4430" s="25">
        <v>30.57</v>
      </c>
      <c r="H4430" s="379">
        <v>3.6143546811325868</v>
      </c>
      <c r="I4430" s="25">
        <v>33.67</v>
      </c>
      <c r="J4430" s="379">
        <v>3.51390290703291</v>
      </c>
    </row>
    <row r="4431" spans="1:10" x14ac:dyDescent="0.35">
      <c r="A4431" s="5">
        <v>4427</v>
      </c>
      <c r="B4431" s="5">
        <v>185</v>
      </c>
      <c r="C4431" s="5">
        <v>7</v>
      </c>
      <c r="D4431" s="379">
        <v>55.697777777777773</v>
      </c>
      <c r="E4431" s="25">
        <v>23.41</v>
      </c>
      <c r="F4431" s="379">
        <v>5.0356398201534533</v>
      </c>
      <c r="G4431" s="25">
        <v>30.57</v>
      </c>
      <c r="H4431" s="379">
        <v>3.6001717305534382</v>
      </c>
      <c r="I4431" s="25">
        <v>33.67</v>
      </c>
      <c r="J4431" s="379">
        <v>2.1533479600255894</v>
      </c>
    </row>
    <row r="4432" spans="1:10" x14ac:dyDescent="0.35">
      <c r="A4432" s="5">
        <v>4428</v>
      </c>
      <c r="B4432" s="5">
        <v>185</v>
      </c>
      <c r="C4432" s="5">
        <v>7</v>
      </c>
      <c r="D4432" s="379">
        <v>51.420555555555552</v>
      </c>
      <c r="E4432" s="25">
        <v>21.88</v>
      </c>
      <c r="F4432" s="379">
        <v>5.0356398201534533</v>
      </c>
      <c r="G4432" s="25">
        <v>30.57</v>
      </c>
      <c r="H4432" s="379">
        <v>3.6001717305534382</v>
      </c>
      <c r="I4432" s="25">
        <v>33.67</v>
      </c>
      <c r="J4432" s="379">
        <v>2.1533479600255894</v>
      </c>
    </row>
    <row r="4433" spans="1:10" x14ac:dyDescent="0.35">
      <c r="A4433" s="5">
        <v>4429</v>
      </c>
      <c r="B4433" s="5">
        <v>185</v>
      </c>
      <c r="C4433" s="5">
        <v>7</v>
      </c>
      <c r="D4433" s="379">
        <v>50.083888888888893</v>
      </c>
      <c r="E4433" s="25">
        <v>21.88</v>
      </c>
      <c r="F4433" s="379">
        <v>5.0356398201534533</v>
      </c>
      <c r="G4433" s="25">
        <v>30.28</v>
      </c>
      <c r="H4433" s="379">
        <v>3.6001717305534382</v>
      </c>
      <c r="I4433" s="25">
        <v>33.67</v>
      </c>
      <c r="J4433" s="379">
        <v>2.1533479600255894</v>
      </c>
    </row>
    <row r="4434" spans="1:10" x14ac:dyDescent="0.35">
      <c r="A4434" s="5">
        <v>4430</v>
      </c>
      <c r="B4434" s="5">
        <v>185</v>
      </c>
      <c r="C4434" s="5">
        <v>7</v>
      </c>
      <c r="D4434" s="379">
        <v>48.143888888888888</v>
      </c>
      <c r="E4434" s="25">
        <v>21.88</v>
      </c>
      <c r="F4434" s="379">
        <v>5.0356398201534533</v>
      </c>
      <c r="G4434" s="25">
        <v>30.2</v>
      </c>
      <c r="H4434" s="379">
        <v>3.6001717305534382</v>
      </c>
      <c r="I4434" s="25">
        <v>33.67</v>
      </c>
      <c r="J4434" s="379">
        <v>2.1533479600255894</v>
      </c>
    </row>
    <row r="4435" spans="1:10" x14ac:dyDescent="0.35">
      <c r="A4435" s="5">
        <v>4431</v>
      </c>
      <c r="B4435" s="5">
        <v>185</v>
      </c>
      <c r="C4435" s="5">
        <v>7</v>
      </c>
      <c r="D4435" s="379">
        <v>48.602777777777774</v>
      </c>
      <c r="E4435" s="25">
        <v>21.88</v>
      </c>
      <c r="F4435" s="379">
        <v>5.0356398201534533</v>
      </c>
      <c r="G4435" s="25">
        <v>30.57</v>
      </c>
      <c r="H4435" s="379">
        <v>3.6001717305534382</v>
      </c>
      <c r="I4435" s="25">
        <v>33.67</v>
      </c>
      <c r="J4435" s="379">
        <v>2.1124616616229521</v>
      </c>
    </row>
    <row r="4436" spans="1:10" x14ac:dyDescent="0.35">
      <c r="A4436" s="5">
        <v>4432</v>
      </c>
      <c r="B4436" s="5">
        <v>185</v>
      </c>
      <c r="C4436" s="5">
        <v>7</v>
      </c>
      <c r="D4436" s="379">
        <v>48.795555555555552</v>
      </c>
      <c r="E4436" s="25">
        <v>22.73</v>
      </c>
      <c r="F4436" s="379">
        <v>5.0356398201534533</v>
      </c>
      <c r="G4436" s="25">
        <v>30.57</v>
      </c>
      <c r="H4436" s="379">
        <v>3.6001717305534382</v>
      </c>
      <c r="I4436" s="25">
        <v>33.67</v>
      </c>
      <c r="J4436" s="379">
        <v>2.1125109375246116</v>
      </c>
    </row>
    <row r="4437" spans="1:10" x14ac:dyDescent="0.35">
      <c r="A4437" s="5">
        <v>4433</v>
      </c>
      <c r="B4437" s="5">
        <v>185</v>
      </c>
      <c r="C4437" s="5">
        <v>7</v>
      </c>
      <c r="D4437" s="379">
        <v>55.332777777777785</v>
      </c>
      <c r="E4437" s="25">
        <v>23.59</v>
      </c>
      <c r="F4437" s="379">
        <v>8.1174834595959595</v>
      </c>
      <c r="G4437" s="25">
        <v>30.88</v>
      </c>
      <c r="H4437" s="379">
        <v>1.7453336055150506</v>
      </c>
      <c r="I4437" s="25">
        <v>33.67</v>
      </c>
      <c r="J4437" s="379">
        <v>2.1533479600255894</v>
      </c>
    </row>
    <row r="4438" spans="1:10" x14ac:dyDescent="0.35">
      <c r="A4438" s="5">
        <v>4434</v>
      </c>
      <c r="B4438" s="5">
        <v>185</v>
      </c>
      <c r="C4438" s="5">
        <v>7</v>
      </c>
      <c r="D4438" s="379">
        <v>64.785555555555561</v>
      </c>
      <c r="E4438" s="25">
        <v>24.56</v>
      </c>
      <c r="F4438" s="379">
        <v>8.5107583089189234</v>
      </c>
      <c r="G4438" s="25">
        <v>31.11</v>
      </c>
      <c r="H4438" s="379">
        <v>9.4728973577118527</v>
      </c>
      <c r="I4438" s="25">
        <v>34.25</v>
      </c>
      <c r="J4438" s="379">
        <v>5.3430075036374554</v>
      </c>
    </row>
    <row r="4439" spans="1:10" x14ac:dyDescent="0.35">
      <c r="A4439" s="5">
        <v>4435</v>
      </c>
      <c r="B4439" s="5">
        <v>185</v>
      </c>
      <c r="C4439" s="5">
        <v>7</v>
      </c>
      <c r="D4439" s="379">
        <v>69.13000000000001</v>
      </c>
      <c r="E4439" s="25">
        <v>24.84</v>
      </c>
      <c r="F4439" s="379">
        <v>19.139194851448362</v>
      </c>
      <c r="G4439" s="25">
        <v>32.79</v>
      </c>
      <c r="H4439" s="379">
        <v>10.762536208282938</v>
      </c>
      <c r="I4439" s="25">
        <v>43.24</v>
      </c>
      <c r="J4439" s="379">
        <v>6.7266872576351862</v>
      </c>
    </row>
    <row r="4440" spans="1:10" x14ac:dyDescent="0.35">
      <c r="A4440" s="5">
        <v>4436</v>
      </c>
      <c r="B4440" s="5">
        <v>185</v>
      </c>
      <c r="C4440" s="5">
        <v>7</v>
      </c>
      <c r="D4440" s="379">
        <v>71.948333333333338</v>
      </c>
      <c r="E4440" s="25">
        <v>24.84</v>
      </c>
      <c r="F4440" s="379">
        <v>19.283409057350319</v>
      </c>
      <c r="G4440" s="25">
        <v>33.159999999999997</v>
      </c>
      <c r="H4440" s="379">
        <v>11.681283177365332</v>
      </c>
      <c r="I4440" s="25">
        <v>48.75</v>
      </c>
      <c r="J4440" s="379">
        <v>6.9055390095247393</v>
      </c>
    </row>
    <row r="4441" spans="1:10" x14ac:dyDescent="0.35">
      <c r="A4441" s="5">
        <v>4437</v>
      </c>
      <c r="B4441" s="5">
        <v>185</v>
      </c>
      <c r="C4441" s="5">
        <v>7</v>
      </c>
      <c r="D4441" s="379">
        <v>77.737222222222215</v>
      </c>
      <c r="E4441" s="25">
        <v>24.84</v>
      </c>
      <c r="F4441" s="379">
        <v>18.265872173046684</v>
      </c>
      <c r="G4441" s="25">
        <v>36.6</v>
      </c>
      <c r="H4441" s="379">
        <v>12.002784917109448</v>
      </c>
      <c r="I4441" s="25">
        <v>50.21</v>
      </c>
      <c r="J4441" s="379">
        <v>6.8239190181782243</v>
      </c>
    </row>
    <row r="4442" spans="1:10" x14ac:dyDescent="0.35">
      <c r="A4442" s="5">
        <v>4438</v>
      </c>
      <c r="B4442" s="5">
        <v>185</v>
      </c>
      <c r="C4442" s="5">
        <v>7</v>
      </c>
      <c r="D4442" s="379">
        <v>71.925555555555547</v>
      </c>
      <c r="E4442" s="25">
        <v>24.84</v>
      </c>
      <c r="F4442" s="379">
        <v>19.983647301011153</v>
      </c>
      <c r="G4442" s="25">
        <v>40.96</v>
      </c>
      <c r="H4442" s="379">
        <v>13.865515866691066</v>
      </c>
      <c r="I4442" s="25">
        <v>53.32</v>
      </c>
      <c r="J4442" s="379">
        <v>7.1040884640968596</v>
      </c>
    </row>
    <row r="4443" spans="1:10" x14ac:dyDescent="0.35">
      <c r="A4443" s="5">
        <v>4439</v>
      </c>
      <c r="B4443" s="5">
        <v>185</v>
      </c>
      <c r="C4443" s="5">
        <v>7</v>
      </c>
      <c r="D4443" s="379">
        <v>66.594444444444449</v>
      </c>
      <c r="E4443" s="25">
        <v>24.84</v>
      </c>
      <c r="F4443" s="379">
        <v>20.129923588536769</v>
      </c>
      <c r="G4443" s="25">
        <v>36.6</v>
      </c>
      <c r="H4443" s="379">
        <v>13.863707049944233</v>
      </c>
      <c r="I4443" s="25">
        <v>53.27</v>
      </c>
      <c r="J4443" s="379">
        <v>7.4633430663345308</v>
      </c>
    </row>
    <row r="4444" spans="1:10" x14ac:dyDescent="0.35">
      <c r="A4444" s="5">
        <v>4440</v>
      </c>
      <c r="B4444" s="5">
        <v>185</v>
      </c>
      <c r="C4444" s="5">
        <v>7</v>
      </c>
      <c r="D4444" s="379">
        <v>62.335000000000001</v>
      </c>
      <c r="E4444" s="25">
        <v>24.84</v>
      </c>
      <c r="F4444" s="379">
        <v>20.275521001960946</v>
      </c>
      <c r="G4444" s="25">
        <v>34.82</v>
      </c>
      <c r="H4444" s="379">
        <v>14.371113830852572</v>
      </c>
      <c r="I4444" s="25">
        <v>48.09</v>
      </c>
      <c r="J4444" s="379">
        <v>7.4678167774975925</v>
      </c>
    </row>
    <row r="4445" spans="1:10" x14ac:dyDescent="0.35">
      <c r="A4445" s="5">
        <v>4441</v>
      </c>
      <c r="B4445" s="5">
        <v>186</v>
      </c>
      <c r="C4445" s="5">
        <v>7</v>
      </c>
      <c r="D4445" s="379">
        <v>60.11944444444444</v>
      </c>
      <c r="E4445" s="25">
        <v>24.84</v>
      </c>
      <c r="F4445" s="379">
        <v>20.485091536949103</v>
      </c>
      <c r="G4445" s="25">
        <v>42.29</v>
      </c>
      <c r="H4445" s="379">
        <v>14.429768187229046</v>
      </c>
      <c r="I4445" s="25">
        <v>53.27</v>
      </c>
      <c r="J4445" s="379">
        <v>7.4678167774975925</v>
      </c>
    </row>
    <row r="4446" spans="1:10" x14ac:dyDescent="0.35">
      <c r="A4446" s="5">
        <v>4442</v>
      </c>
      <c r="B4446" s="5">
        <v>186</v>
      </c>
      <c r="C4446" s="5">
        <v>7</v>
      </c>
      <c r="D4446" s="379">
        <v>57.366111111111103</v>
      </c>
      <c r="E4446" s="25">
        <v>24.84</v>
      </c>
      <c r="F4446" s="379">
        <v>20.132667954074567</v>
      </c>
      <c r="G4446" s="25">
        <v>42.29</v>
      </c>
      <c r="H4446" s="379">
        <v>14.834371301752475</v>
      </c>
      <c r="I4446" s="25">
        <v>53.27</v>
      </c>
      <c r="J4446" s="379">
        <v>7.4678167774975925</v>
      </c>
    </row>
    <row r="4447" spans="1:10" x14ac:dyDescent="0.35">
      <c r="A4447" s="5">
        <v>4443</v>
      </c>
      <c r="B4447" s="5">
        <v>186</v>
      </c>
      <c r="C4447" s="5">
        <v>7</v>
      </c>
      <c r="D4447" s="379">
        <v>56.987777777777779</v>
      </c>
      <c r="E4447" s="25">
        <v>24.84</v>
      </c>
      <c r="F4447" s="379">
        <v>20.161714625821414</v>
      </c>
      <c r="G4447" s="25">
        <v>43.56</v>
      </c>
      <c r="H4447" s="379">
        <v>14.541013685370698</v>
      </c>
      <c r="I4447" s="25">
        <v>53.27</v>
      </c>
      <c r="J4447" s="379">
        <v>7.4678283435690931</v>
      </c>
    </row>
    <row r="4448" spans="1:10" x14ac:dyDescent="0.35">
      <c r="A4448" s="5">
        <v>4444</v>
      </c>
      <c r="B4448" s="5">
        <v>186</v>
      </c>
      <c r="C4448" s="5">
        <v>7</v>
      </c>
      <c r="D4448" s="379">
        <v>55.812222222222225</v>
      </c>
      <c r="E4448" s="25">
        <v>24.84</v>
      </c>
      <c r="F4448" s="379">
        <v>20.373936097774738</v>
      </c>
      <c r="G4448" s="25">
        <v>43.56</v>
      </c>
      <c r="H4448" s="379">
        <v>14.947376426124036</v>
      </c>
      <c r="I4448" s="25">
        <v>53.27</v>
      </c>
      <c r="J4448" s="379">
        <v>7.4127634466939272</v>
      </c>
    </row>
    <row r="4449" spans="1:10" x14ac:dyDescent="0.35">
      <c r="A4449" s="5">
        <v>4445</v>
      </c>
      <c r="B4449" s="5">
        <v>186</v>
      </c>
      <c r="C4449" s="5">
        <v>7</v>
      </c>
      <c r="D4449" s="379">
        <v>60.700555555555553</v>
      </c>
      <c r="E4449" s="25">
        <v>24.84</v>
      </c>
      <c r="F4449" s="379">
        <v>19.26599835454299</v>
      </c>
      <c r="G4449" s="25">
        <v>43.56</v>
      </c>
      <c r="H4449" s="379">
        <v>14.639920133769671</v>
      </c>
      <c r="I4449" s="25">
        <v>53.81</v>
      </c>
      <c r="J4449" s="379">
        <v>7.4678283435690931</v>
      </c>
    </row>
    <row r="4450" spans="1:10" x14ac:dyDescent="0.35">
      <c r="A4450" s="5">
        <v>4446</v>
      </c>
      <c r="B4450" s="5">
        <v>186</v>
      </c>
      <c r="C4450" s="5">
        <v>7</v>
      </c>
      <c r="D4450" s="379">
        <v>72.947222222222223</v>
      </c>
      <c r="E4450" s="25">
        <v>25.59</v>
      </c>
      <c r="F4450" s="379">
        <v>17.15509002766543</v>
      </c>
      <c r="G4450" s="25">
        <v>46.98</v>
      </c>
      <c r="H4450" s="379">
        <v>14.233129948384981</v>
      </c>
      <c r="I4450" s="25">
        <v>58.21</v>
      </c>
      <c r="J4450" s="379">
        <v>7.4521923610870191</v>
      </c>
    </row>
    <row r="4451" spans="1:10" x14ac:dyDescent="0.35">
      <c r="A4451" s="5">
        <v>4447</v>
      </c>
      <c r="B4451" s="5">
        <v>186</v>
      </c>
      <c r="C4451" s="5">
        <v>7</v>
      </c>
      <c r="D4451" s="379">
        <v>84.175555555555547</v>
      </c>
      <c r="E4451" s="25">
        <v>25.74</v>
      </c>
      <c r="F4451" s="379">
        <v>17.15509002766543</v>
      </c>
      <c r="G4451" s="25">
        <v>47.85</v>
      </c>
      <c r="H4451" s="379">
        <v>14.250273291784826</v>
      </c>
      <c r="I4451" s="25">
        <v>66.06</v>
      </c>
      <c r="J4451" s="379">
        <v>7.4271508704409817</v>
      </c>
    </row>
    <row r="4452" spans="1:10" x14ac:dyDescent="0.35">
      <c r="A4452" s="5">
        <v>4448</v>
      </c>
      <c r="B4452" s="5">
        <v>186</v>
      </c>
      <c r="C4452" s="5">
        <v>7</v>
      </c>
      <c r="D4452" s="379">
        <v>83.831111111111113</v>
      </c>
      <c r="E4452" s="25">
        <v>25.74</v>
      </c>
      <c r="F4452" s="379">
        <v>18.17592824890756</v>
      </c>
      <c r="G4452" s="25">
        <v>47.85</v>
      </c>
      <c r="H4452" s="379">
        <v>13.935984482804081</v>
      </c>
      <c r="I4452" s="25">
        <v>68.05</v>
      </c>
      <c r="J4452" s="379">
        <v>7.2175446581133338</v>
      </c>
    </row>
    <row r="4453" spans="1:10" x14ac:dyDescent="0.35">
      <c r="A4453" s="5">
        <v>4449</v>
      </c>
      <c r="B4453" s="5">
        <v>186</v>
      </c>
      <c r="C4453" s="5">
        <v>7</v>
      </c>
      <c r="D4453" s="379">
        <v>74.352222222222224</v>
      </c>
      <c r="E4453" s="25">
        <v>25.74</v>
      </c>
      <c r="F4453" s="379">
        <v>13.010973018315617</v>
      </c>
      <c r="G4453" s="25">
        <v>47.85</v>
      </c>
      <c r="H4453" s="379">
        <v>11.825038401852982</v>
      </c>
      <c r="I4453" s="25">
        <v>64.14</v>
      </c>
      <c r="J4453" s="379">
        <v>7.5376629501204606</v>
      </c>
    </row>
    <row r="4454" spans="1:10" x14ac:dyDescent="0.35">
      <c r="A4454" s="5">
        <v>4450</v>
      </c>
      <c r="B4454" s="5">
        <v>186</v>
      </c>
      <c r="C4454" s="5">
        <v>7</v>
      </c>
      <c r="D4454" s="379">
        <v>66.639444444444436</v>
      </c>
      <c r="E4454" s="25">
        <v>25.74</v>
      </c>
      <c r="F4454" s="379">
        <v>8.1174834595959613</v>
      </c>
      <c r="G4454" s="25">
        <v>47.85</v>
      </c>
      <c r="H4454" s="379">
        <v>3.69552363482385</v>
      </c>
      <c r="I4454" s="25">
        <v>56.52</v>
      </c>
      <c r="J4454" s="379">
        <v>3.6632764520202015</v>
      </c>
    </row>
    <row r="4455" spans="1:10" x14ac:dyDescent="0.35">
      <c r="A4455" s="5">
        <v>4451</v>
      </c>
      <c r="B4455" s="5">
        <v>186</v>
      </c>
      <c r="C4455" s="5">
        <v>7</v>
      </c>
      <c r="D4455" s="379">
        <v>67.682222222222222</v>
      </c>
      <c r="E4455" s="25">
        <v>25.74</v>
      </c>
      <c r="F4455" s="379">
        <v>5.9350408370496517</v>
      </c>
      <c r="G4455" s="25">
        <v>47.85</v>
      </c>
      <c r="H4455" s="379">
        <v>2.752329555581877</v>
      </c>
      <c r="I4455" s="25">
        <v>55.66</v>
      </c>
      <c r="J4455" s="379">
        <v>3.622415985238987</v>
      </c>
    </row>
    <row r="4456" spans="1:10" x14ac:dyDescent="0.35">
      <c r="A4456" s="5">
        <v>4452</v>
      </c>
      <c r="B4456" s="5">
        <v>186</v>
      </c>
      <c r="C4456" s="5">
        <v>7</v>
      </c>
      <c r="D4456" s="379">
        <v>66.017222222222216</v>
      </c>
      <c r="E4456" s="25">
        <v>25.74</v>
      </c>
      <c r="F4456" s="379">
        <v>5.7036514943399368</v>
      </c>
      <c r="G4456" s="25">
        <v>47.85</v>
      </c>
      <c r="H4456" s="379">
        <v>0.99396189401668922</v>
      </c>
      <c r="I4456" s="25">
        <v>53.81</v>
      </c>
      <c r="J4456" s="379">
        <v>0.28179196625203851</v>
      </c>
    </row>
    <row r="4457" spans="1:10" x14ac:dyDescent="0.35">
      <c r="A4457" s="5">
        <v>4453</v>
      </c>
      <c r="B4457" s="5">
        <v>186</v>
      </c>
      <c r="C4457" s="5">
        <v>7</v>
      </c>
      <c r="D4457" s="379">
        <v>63.723888888888887</v>
      </c>
      <c r="E4457" s="25">
        <v>25.74</v>
      </c>
      <c r="F4457" s="379">
        <v>0.95621748467600309</v>
      </c>
      <c r="G4457" s="25">
        <v>47.85</v>
      </c>
      <c r="H4457" s="379">
        <v>1.1205469819012603</v>
      </c>
      <c r="I4457" s="25">
        <v>53.81</v>
      </c>
      <c r="J4457" s="379">
        <v>6.6881514512980647E-2</v>
      </c>
    </row>
    <row r="4458" spans="1:10" x14ac:dyDescent="0.35">
      <c r="A4458" s="5">
        <v>4454</v>
      </c>
      <c r="B4458" s="5">
        <v>186</v>
      </c>
      <c r="C4458" s="5">
        <v>7</v>
      </c>
      <c r="D4458" s="379">
        <v>60.262222222222228</v>
      </c>
      <c r="E4458" s="25">
        <v>25.59</v>
      </c>
      <c r="F4458" s="379">
        <v>2.2696493623383893</v>
      </c>
      <c r="G4458" s="25">
        <v>47.85</v>
      </c>
      <c r="H4458" s="379">
        <v>1.8495803924466767</v>
      </c>
      <c r="I4458" s="25">
        <v>53.81</v>
      </c>
      <c r="J4458" s="379">
        <v>0.35402199795143269</v>
      </c>
    </row>
    <row r="4459" spans="1:10" x14ac:dyDescent="0.35">
      <c r="A4459" s="5">
        <v>4455</v>
      </c>
      <c r="B4459" s="5">
        <v>186</v>
      </c>
      <c r="C4459" s="5">
        <v>7</v>
      </c>
      <c r="D4459" s="379">
        <v>61.283888888888882</v>
      </c>
      <c r="E4459" s="25">
        <v>25.59</v>
      </c>
      <c r="F4459" s="379">
        <v>3.8192426193573765</v>
      </c>
      <c r="G4459" s="25">
        <v>47.85</v>
      </c>
      <c r="H4459" s="379">
        <v>1.7542922500312748</v>
      </c>
      <c r="I4459" s="25">
        <v>53.81</v>
      </c>
      <c r="J4459" s="379">
        <v>0.45056440961046712</v>
      </c>
    </row>
    <row r="4460" spans="1:10" x14ac:dyDescent="0.35">
      <c r="A4460" s="5">
        <v>4456</v>
      </c>
      <c r="B4460" s="5">
        <v>186</v>
      </c>
      <c r="C4460" s="5">
        <v>7</v>
      </c>
      <c r="D4460" s="379">
        <v>65.99444444444444</v>
      </c>
      <c r="E4460" s="25">
        <v>25.74</v>
      </c>
      <c r="F4460" s="379">
        <v>5.8840328413926386</v>
      </c>
      <c r="G4460" s="25">
        <v>47.85</v>
      </c>
      <c r="H4460" s="379">
        <v>5.194572673099545</v>
      </c>
      <c r="I4460" s="25">
        <v>53.81</v>
      </c>
      <c r="J4460" s="379">
        <v>2.5226535483100307</v>
      </c>
    </row>
    <row r="4461" spans="1:10" x14ac:dyDescent="0.35">
      <c r="A4461" s="5">
        <v>4457</v>
      </c>
      <c r="B4461" s="5">
        <v>186</v>
      </c>
      <c r="C4461" s="5">
        <v>7</v>
      </c>
      <c r="D4461" s="379">
        <v>69.201111111111118</v>
      </c>
      <c r="E4461" s="25">
        <v>25.74</v>
      </c>
      <c r="F4461" s="379">
        <v>8.1174834595959595</v>
      </c>
      <c r="G4461" s="25">
        <v>47.85</v>
      </c>
      <c r="H4461" s="379">
        <v>3.6523650436371748</v>
      </c>
      <c r="I4461" s="25">
        <v>53.81</v>
      </c>
      <c r="J4461" s="379">
        <v>2.7857897846359623</v>
      </c>
    </row>
    <row r="4462" spans="1:10" x14ac:dyDescent="0.35">
      <c r="A4462" s="5">
        <v>4458</v>
      </c>
      <c r="B4462" s="5">
        <v>186</v>
      </c>
      <c r="C4462" s="5">
        <v>7</v>
      </c>
      <c r="D4462" s="379">
        <v>73.259999999999991</v>
      </c>
      <c r="E4462" s="25">
        <v>25.74</v>
      </c>
      <c r="F4462" s="379">
        <v>10.058547319851991</v>
      </c>
      <c r="G4462" s="25">
        <v>47.85</v>
      </c>
      <c r="H4462" s="379">
        <v>6.0010457065944243</v>
      </c>
      <c r="I4462" s="25">
        <v>53.81</v>
      </c>
      <c r="J4462" s="379">
        <v>4.8966647647389943</v>
      </c>
    </row>
    <row r="4463" spans="1:10" x14ac:dyDescent="0.35">
      <c r="A4463" s="5">
        <v>4459</v>
      </c>
      <c r="B4463" s="5">
        <v>186</v>
      </c>
      <c r="C4463" s="5">
        <v>7</v>
      </c>
      <c r="D4463" s="379">
        <v>76.740555555555545</v>
      </c>
      <c r="E4463" s="25">
        <v>25.74</v>
      </c>
      <c r="F4463" s="379">
        <v>11.462017934773854</v>
      </c>
      <c r="G4463" s="25">
        <v>47.85</v>
      </c>
      <c r="H4463" s="379">
        <v>5.4604651090483092</v>
      </c>
      <c r="I4463" s="25">
        <v>53.81</v>
      </c>
      <c r="J4463" s="379">
        <v>3.622415985238987</v>
      </c>
    </row>
    <row r="4464" spans="1:10" x14ac:dyDescent="0.35">
      <c r="A4464" s="5">
        <v>4460</v>
      </c>
      <c r="B4464" s="5">
        <v>186</v>
      </c>
      <c r="C4464" s="5">
        <v>7</v>
      </c>
      <c r="D4464" s="379">
        <v>74.25333333333333</v>
      </c>
      <c r="E4464" s="25">
        <v>24.99</v>
      </c>
      <c r="F4464" s="379">
        <v>11.492613197356361</v>
      </c>
      <c r="G4464" s="25">
        <v>47.46</v>
      </c>
      <c r="H4464" s="379">
        <v>4.799693804694658</v>
      </c>
      <c r="I4464" s="25">
        <v>55.66</v>
      </c>
      <c r="J4464" s="379">
        <v>2.0046636118919698</v>
      </c>
    </row>
    <row r="4465" spans="1:10" x14ac:dyDescent="0.35">
      <c r="A4465" s="5">
        <v>4461</v>
      </c>
      <c r="B4465" s="5">
        <v>186</v>
      </c>
      <c r="C4465" s="5">
        <v>7</v>
      </c>
      <c r="D4465" s="379">
        <v>72.801666666666648</v>
      </c>
      <c r="E4465" s="25">
        <v>24.84</v>
      </c>
      <c r="F4465" s="379">
        <v>11.320335491575189</v>
      </c>
      <c r="G4465" s="25">
        <v>46.98</v>
      </c>
      <c r="H4465" s="379">
        <v>4.799693804694658</v>
      </c>
      <c r="I4465" s="25">
        <v>56.52</v>
      </c>
      <c r="J4465" s="379">
        <v>0.85673472908934234</v>
      </c>
    </row>
    <row r="4466" spans="1:10" x14ac:dyDescent="0.35">
      <c r="A4466" s="5">
        <v>4462</v>
      </c>
      <c r="B4466" s="5">
        <v>186</v>
      </c>
      <c r="C4466" s="5">
        <v>7</v>
      </c>
      <c r="D4466" s="379">
        <v>70.614999999999995</v>
      </c>
      <c r="E4466" s="25">
        <v>24.84</v>
      </c>
      <c r="F4466" s="379">
        <v>9.6052986137880403</v>
      </c>
      <c r="G4466" s="25">
        <v>45.1</v>
      </c>
      <c r="H4466" s="379">
        <v>4.7996938046946598</v>
      </c>
      <c r="I4466" s="25">
        <v>54.87</v>
      </c>
      <c r="J4466" s="379">
        <v>4.0010547961755298</v>
      </c>
    </row>
    <row r="4467" spans="1:10" x14ac:dyDescent="0.35">
      <c r="A4467" s="5">
        <v>4463</v>
      </c>
      <c r="B4467" s="5">
        <v>186</v>
      </c>
      <c r="C4467" s="5">
        <v>7</v>
      </c>
      <c r="D4467" s="379">
        <v>70.825555555555567</v>
      </c>
      <c r="E4467" s="25">
        <v>24.84</v>
      </c>
      <c r="F4467" s="379">
        <v>8.1174834595959577</v>
      </c>
      <c r="G4467" s="25">
        <v>42.29</v>
      </c>
      <c r="H4467" s="379">
        <v>4.7996938046946571</v>
      </c>
      <c r="I4467" s="25">
        <v>53.27</v>
      </c>
      <c r="J4467" s="379">
        <v>0.27777777777777779</v>
      </c>
    </row>
    <row r="4468" spans="1:10" x14ac:dyDescent="0.35">
      <c r="A4468" s="5">
        <v>4464</v>
      </c>
      <c r="B4468" s="5">
        <v>186</v>
      </c>
      <c r="C4468" s="5">
        <v>7</v>
      </c>
      <c r="D4468" s="379">
        <v>76.74166666666666</v>
      </c>
      <c r="E4468" s="25">
        <v>24.84</v>
      </c>
      <c r="F4468" s="379">
        <v>8.1174834595959577</v>
      </c>
      <c r="G4468" s="25">
        <v>39.93</v>
      </c>
      <c r="H4468" s="379">
        <v>4.7996938046946571</v>
      </c>
      <c r="I4468" s="25">
        <v>51.72</v>
      </c>
      <c r="J4468" s="379">
        <v>4.0010547961755298</v>
      </c>
    </row>
    <row r="4469" spans="1:10" x14ac:dyDescent="0.35">
      <c r="A4469" s="5">
        <v>4465</v>
      </c>
      <c r="B4469" s="5">
        <v>187</v>
      </c>
      <c r="C4469" s="5">
        <v>7</v>
      </c>
      <c r="D4469" s="379">
        <v>69.392222222222216</v>
      </c>
      <c r="E4469" s="25">
        <v>24</v>
      </c>
      <c r="F4469" s="379">
        <v>8.1174834595959595</v>
      </c>
      <c r="G4469" s="25">
        <v>39.369999999999997</v>
      </c>
      <c r="H4469" s="379">
        <v>4.799693804694658</v>
      </c>
      <c r="I4469" s="25">
        <v>46.64</v>
      </c>
      <c r="J4469" s="379">
        <v>0.27777777777777779</v>
      </c>
    </row>
    <row r="4470" spans="1:10" x14ac:dyDescent="0.35">
      <c r="A4470" s="5">
        <v>4466</v>
      </c>
      <c r="B4470" s="5">
        <v>187</v>
      </c>
      <c r="C4470" s="5">
        <v>7</v>
      </c>
      <c r="D4470" s="379">
        <v>64.048888888888897</v>
      </c>
      <c r="E4470" s="25">
        <v>24</v>
      </c>
      <c r="F4470" s="379">
        <v>8.1174834595959595</v>
      </c>
      <c r="G4470" s="25">
        <v>35.94</v>
      </c>
      <c r="H4470" s="379">
        <v>4.799693804694658</v>
      </c>
      <c r="I4470" s="25">
        <v>46.64</v>
      </c>
      <c r="J4470" s="379">
        <v>0.27777777777777779</v>
      </c>
    </row>
    <row r="4471" spans="1:10" x14ac:dyDescent="0.35">
      <c r="A4471" s="5">
        <v>4467</v>
      </c>
      <c r="B4471" s="5">
        <v>187</v>
      </c>
      <c r="C4471" s="5">
        <v>7</v>
      </c>
      <c r="D4471" s="379">
        <v>62.262222222222221</v>
      </c>
      <c r="E4471" s="25">
        <v>24</v>
      </c>
      <c r="F4471" s="379">
        <v>8.1174834595959613</v>
      </c>
      <c r="G4471" s="25">
        <v>34.9</v>
      </c>
      <c r="H4471" s="379">
        <v>4.3085826935835474</v>
      </c>
      <c r="I4471" s="25">
        <v>46.64</v>
      </c>
      <c r="J4471" s="379">
        <v>1.6285912409749048</v>
      </c>
    </row>
    <row r="4472" spans="1:10" x14ac:dyDescent="0.35">
      <c r="A4472" s="5">
        <v>4468</v>
      </c>
      <c r="B4472" s="5">
        <v>187</v>
      </c>
      <c r="C4472" s="5">
        <v>7</v>
      </c>
      <c r="D4472" s="379">
        <v>61.849444444444437</v>
      </c>
      <c r="E4472" s="25">
        <v>24</v>
      </c>
      <c r="F4472" s="379">
        <v>8.1174834595959595</v>
      </c>
      <c r="G4472" s="25">
        <v>34.9</v>
      </c>
      <c r="H4472" s="379">
        <v>4.7996938046946571</v>
      </c>
      <c r="I4472" s="25">
        <v>46.64</v>
      </c>
      <c r="J4472" s="379">
        <v>4.8236050723520574</v>
      </c>
    </row>
    <row r="4473" spans="1:10" x14ac:dyDescent="0.35">
      <c r="A4473" s="5">
        <v>4469</v>
      </c>
      <c r="B4473" s="5">
        <v>187</v>
      </c>
      <c r="C4473" s="5">
        <v>7</v>
      </c>
      <c r="D4473" s="379">
        <v>61.949444444444438</v>
      </c>
      <c r="E4473" s="25">
        <v>24.84</v>
      </c>
      <c r="F4473" s="379">
        <v>8.1174834595959595</v>
      </c>
      <c r="G4473" s="25">
        <v>39.93</v>
      </c>
      <c r="H4473" s="379">
        <v>4.799693804694658</v>
      </c>
      <c r="I4473" s="25">
        <v>46.64</v>
      </c>
      <c r="J4473" s="379">
        <v>2.0046636118919698</v>
      </c>
    </row>
    <row r="4474" spans="1:10" x14ac:dyDescent="0.35">
      <c r="A4474" s="5">
        <v>4470</v>
      </c>
      <c r="B4474" s="5">
        <v>187</v>
      </c>
      <c r="C4474" s="5">
        <v>7</v>
      </c>
      <c r="D4474" s="379">
        <v>76.463888888888889</v>
      </c>
      <c r="E4474" s="25">
        <v>24.84</v>
      </c>
      <c r="F4474" s="379">
        <v>8.1174834595959595</v>
      </c>
      <c r="G4474" s="25">
        <v>40.549999999999997</v>
      </c>
      <c r="H4474" s="379">
        <v>4.799693804694658</v>
      </c>
      <c r="I4474" s="25">
        <v>48.3</v>
      </c>
      <c r="J4474" s="379">
        <v>2.0046636118919698</v>
      </c>
    </row>
    <row r="4475" spans="1:10" x14ac:dyDescent="0.35">
      <c r="A4475" s="5">
        <v>4471</v>
      </c>
      <c r="B4475" s="5">
        <v>187</v>
      </c>
      <c r="C4475" s="5">
        <v>7</v>
      </c>
      <c r="D4475" s="379">
        <v>84.041666666666671</v>
      </c>
      <c r="E4475" s="25">
        <v>24.84</v>
      </c>
      <c r="F4475" s="379">
        <v>8.1174834595959577</v>
      </c>
      <c r="G4475" s="25">
        <v>44.69</v>
      </c>
      <c r="H4475" s="379">
        <v>4.799693804694658</v>
      </c>
      <c r="I4475" s="25">
        <v>53.71</v>
      </c>
      <c r="J4475" s="379">
        <v>6.1940956780053247</v>
      </c>
    </row>
    <row r="4476" spans="1:10" x14ac:dyDescent="0.35">
      <c r="A4476" s="5">
        <v>4472</v>
      </c>
      <c r="B4476" s="5">
        <v>187</v>
      </c>
      <c r="C4476" s="5">
        <v>7</v>
      </c>
      <c r="D4476" s="379">
        <v>85.183888888888887</v>
      </c>
      <c r="E4476" s="25">
        <v>24.99</v>
      </c>
      <c r="F4476" s="379">
        <v>8.1174834595959595</v>
      </c>
      <c r="G4476" s="25">
        <v>44.86</v>
      </c>
      <c r="H4476" s="379">
        <v>4.5641104101555863</v>
      </c>
      <c r="I4476" s="25">
        <v>54.87</v>
      </c>
      <c r="J4476" s="379">
        <v>3.819041890173696</v>
      </c>
    </row>
    <row r="4477" spans="1:10" x14ac:dyDescent="0.35">
      <c r="A4477" s="5">
        <v>4473</v>
      </c>
      <c r="B4477" s="5">
        <v>187</v>
      </c>
      <c r="C4477" s="5">
        <v>7</v>
      </c>
      <c r="D4477" s="379">
        <v>77.867222222222225</v>
      </c>
      <c r="E4477" s="25">
        <v>24.99</v>
      </c>
      <c r="F4477" s="379">
        <v>5.2083306482968252</v>
      </c>
      <c r="G4477" s="25">
        <v>44.86</v>
      </c>
      <c r="H4477" s="379">
        <v>3.9166784947548097</v>
      </c>
      <c r="I4477" s="25">
        <v>50.21</v>
      </c>
      <c r="J4477" s="379">
        <v>2.6069587900784716</v>
      </c>
    </row>
    <row r="4478" spans="1:10" x14ac:dyDescent="0.35">
      <c r="A4478" s="5">
        <v>4474</v>
      </c>
      <c r="B4478" s="5">
        <v>187</v>
      </c>
      <c r="C4478" s="5">
        <v>7</v>
      </c>
      <c r="D4478" s="379">
        <v>69.424999999999997</v>
      </c>
      <c r="E4478" s="25">
        <v>24.84</v>
      </c>
      <c r="F4478" s="379">
        <v>3.3747909930458548</v>
      </c>
      <c r="G4478" s="25">
        <v>44.86</v>
      </c>
      <c r="H4478" s="379">
        <v>1.9525064856283987</v>
      </c>
      <c r="I4478" s="25">
        <v>47.37</v>
      </c>
      <c r="J4478" s="379">
        <v>2.777777777777778E-2</v>
      </c>
    </row>
    <row r="4479" spans="1:10" x14ac:dyDescent="0.35">
      <c r="A4479" s="5">
        <v>4475</v>
      </c>
      <c r="B4479" s="5">
        <v>187</v>
      </c>
      <c r="C4479" s="5">
        <v>7</v>
      </c>
      <c r="D4479" s="379">
        <v>66.199444444444453</v>
      </c>
      <c r="E4479" s="25">
        <v>24.84</v>
      </c>
      <c r="F4479" s="379">
        <v>3.1512364416311915</v>
      </c>
      <c r="G4479" s="25">
        <v>43.56</v>
      </c>
      <c r="H4479" s="379">
        <v>1.2655816667086657</v>
      </c>
      <c r="I4479" s="25">
        <v>47.11</v>
      </c>
      <c r="J4479" s="379">
        <v>2.777777777777778E-2</v>
      </c>
    </row>
    <row r="4480" spans="1:10" x14ac:dyDescent="0.35">
      <c r="A4480" s="5">
        <v>4476</v>
      </c>
      <c r="B4480" s="5">
        <v>187</v>
      </c>
      <c r="C4480" s="5">
        <v>7</v>
      </c>
      <c r="D4480" s="379">
        <v>60.487222222222215</v>
      </c>
      <c r="E4480" s="25">
        <v>24.84</v>
      </c>
      <c r="F4480" s="379">
        <v>3.1512364416311915</v>
      </c>
      <c r="G4480" s="25">
        <v>42.19</v>
      </c>
      <c r="H4480" s="379">
        <v>0.10737189369301019</v>
      </c>
      <c r="I4480" s="25">
        <v>46.64</v>
      </c>
      <c r="J4480" s="379">
        <v>2.777777777777778E-2</v>
      </c>
    </row>
    <row r="4481" spans="1:10" x14ac:dyDescent="0.35">
      <c r="A4481" s="5">
        <v>4477</v>
      </c>
      <c r="B4481" s="5">
        <v>187</v>
      </c>
      <c r="C4481" s="5">
        <v>7</v>
      </c>
      <c r="D4481" s="379">
        <v>56.559999999999995</v>
      </c>
      <c r="E4481" s="25">
        <v>24.84</v>
      </c>
      <c r="F4481" s="379">
        <v>2.8752154517683559</v>
      </c>
      <c r="G4481" s="25">
        <v>42.17</v>
      </c>
      <c r="H4481" s="379">
        <v>0.10737189369301019</v>
      </c>
      <c r="I4481" s="25">
        <v>46.64</v>
      </c>
      <c r="J4481" s="379">
        <v>2.777777777777778E-2</v>
      </c>
    </row>
    <row r="4482" spans="1:10" x14ac:dyDescent="0.35">
      <c r="A4482" s="5">
        <v>4478</v>
      </c>
      <c r="B4482" s="5">
        <v>187</v>
      </c>
      <c r="C4482" s="5">
        <v>7</v>
      </c>
      <c r="D4482" s="379">
        <v>51.748333333333342</v>
      </c>
      <c r="E4482" s="25">
        <v>24.84</v>
      </c>
      <c r="F4482" s="379">
        <v>2.8003964335678027</v>
      </c>
      <c r="G4482" s="25">
        <v>40.96</v>
      </c>
      <c r="H4482" s="379">
        <v>0.10737189369301019</v>
      </c>
      <c r="I4482" s="25">
        <v>46.64</v>
      </c>
      <c r="J4482" s="379">
        <v>2.777777777777778E-2</v>
      </c>
    </row>
    <row r="4483" spans="1:10" x14ac:dyDescent="0.35">
      <c r="A4483" s="5">
        <v>4479</v>
      </c>
      <c r="B4483" s="5">
        <v>187</v>
      </c>
      <c r="C4483" s="5">
        <v>7</v>
      </c>
      <c r="D4483" s="379">
        <v>50.657777777777781</v>
      </c>
      <c r="E4483" s="25">
        <v>24.84</v>
      </c>
      <c r="F4483" s="379">
        <v>2.8003964335678027</v>
      </c>
      <c r="G4483" s="25">
        <v>40.96</v>
      </c>
      <c r="H4483" s="379">
        <v>0.10737189369301019</v>
      </c>
      <c r="I4483" s="25">
        <v>46.64</v>
      </c>
      <c r="J4483" s="379">
        <v>2.777777777777778E-2</v>
      </c>
    </row>
    <row r="4484" spans="1:10" x14ac:dyDescent="0.35">
      <c r="A4484" s="5">
        <v>4480</v>
      </c>
      <c r="B4484" s="5">
        <v>187</v>
      </c>
      <c r="C4484" s="5">
        <v>7</v>
      </c>
      <c r="D4484" s="379">
        <v>53.37555555555555</v>
      </c>
      <c r="E4484" s="25">
        <v>24.84</v>
      </c>
      <c r="F4484" s="379">
        <v>2.8003964335678027</v>
      </c>
      <c r="G4484" s="25">
        <v>42.17</v>
      </c>
      <c r="H4484" s="379">
        <v>0.10737189369301019</v>
      </c>
      <c r="I4484" s="25">
        <v>46.64</v>
      </c>
      <c r="J4484" s="379">
        <v>2.777777777777778E-2</v>
      </c>
    </row>
    <row r="4485" spans="1:10" x14ac:dyDescent="0.35">
      <c r="A4485" s="5">
        <v>4481</v>
      </c>
      <c r="B4485" s="5">
        <v>187</v>
      </c>
      <c r="C4485" s="5">
        <v>7</v>
      </c>
      <c r="D4485" s="379">
        <v>62.457222222222221</v>
      </c>
      <c r="E4485" s="25">
        <v>24.84</v>
      </c>
      <c r="F4485" s="379">
        <v>2.8003964335678027</v>
      </c>
      <c r="G4485" s="25">
        <v>42.42</v>
      </c>
      <c r="H4485" s="379">
        <v>1.2655816667086657</v>
      </c>
      <c r="I4485" s="25">
        <v>47.95</v>
      </c>
      <c r="J4485" s="379">
        <v>2.777777777777778E-2</v>
      </c>
    </row>
    <row r="4486" spans="1:10" x14ac:dyDescent="0.35">
      <c r="A4486" s="5">
        <v>4482</v>
      </c>
      <c r="B4486" s="5">
        <v>187</v>
      </c>
      <c r="C4486" s="5">
        <v>7</v>
      </c>
      <c r="D4486" s="379">
        <v>66.371111111111105</v>
      </c>
      <c r="E4486" s="25">
        <v>24.84</v>
      </c>
      <c r="F4486" s="379">
        <v>4.7902894965944043</v>
      </c>
      <c r="G4486" s="25">
        <v>44.69</v>
      </c>
      <c r="H4486" s="379">
        <v>0.20154747462866185</v>
      </c>
      <c r="I4486" s="25">
        <v>53.27</v>
      </c>
      <c r="J4486" s="379">
        <v>5.1162482169034962E-2</v>
      </c>
    </row>
    <row r="4487" spans="1:10" x14ac:dyDescent="0.35">
      <c r="A4487" s="5">
        <v>4483</v>
      </c>
      <c r="B4487" s="5">
        <v>187</v>
      </c>
      <c r="C4487" s="5">
        <v>7</v>
      </c>
      <c r="D4487" s="379">
        <v>69.997777777777785</v>
      </c>
      <c r="E4487" s="25">
        <v>25.74</v>
      </c>
      <c r="F4487" s="379">
        <v>6.6403849854842836</v>
      </c>
      <c r="G4487" s="25">
        <v>46.79</v>
      </c>
      <c r="H4487" s="379">
        <v>4.5696059864128609</v>
      </c>
      <c r="I4487" s="25">
        <v>54.87</v>
      </c>
      <c r="J4487" s="379">
        <v>4.0645350021080837</v>
      </c>
    </row>
    <row r="4488" spans="1:10" x14ac:dyDescent="0.35">
      <c r="A4488" s="5">
        <v>4484</v>
      </c>
      <c r="B4488" s="5">
        <v>187</v>
      </c>
      <c r="C4488" s="5">
        <v>7</v>
      </c>
      <c r="D4488" s="379">
        <v>68.921666666666667</v>
      </c>
      <c r="E4488" s="25">
        <v>25.59</v>
      </c>
      <c r="F4488" s="379">
        <v>10.951208545041567</v>
      </c>
      <c r="G4488" s="25">
        <v>46.98</v>
      </c>
      <c r="H4488" s="379">
        <v>2.8324006890620974</v>
      </c>
      <c r="I4488" s="25">
        <v>56.52</v>
      </c>
      <c r="J4488" s="379">
        <v>3.4719427878767184</v>
      </c>
    </row>
    <row r="4489" spans="1:10" x14ac:dyDescent="0.35">
      <c r="A4489" s="5">
        <v>4485</v>
      </c>
      <c r="B4489" s="5">
        <v>187</v>
      </c>
      <c r="C4489" s="5">
        <v>7</v>
      </c>
      <c r="D4489" s="379">
        <v>67.403333333333322</v>
      </c>
      <c r="E4489" s="25">
        <v>25.59</v>
      </c>
      <c r="F4489" s="379">
        <v>11.504256978080608</v>
      </c>
      <c r="G4489" s="25">
        <v>46.98</v>
      </c>
      <c r="H4489" s="379">
        <v>6.0189363344101467</v>
      </c>
      <c r="I4489" s="25">
        <v>58.26</v>
      </c>
      <c r="J4489" s="379">
        <v>4.0603763153802079</v>
      </c>
    </row>
    <row r="4490" spans="1:10" x14ac:dyDescent="0.35">
      <c r="A4490" s="5">
        <v>4486</v>
      </c>
      <c r="B4490" s="5">
        <v>187</v>
      </c>
      <c r="C4490" s="5">
        <v>7</v>
      </c>
      <c r="D4490" s="379">
        <v>66.914444444444442</v>
      </c>
      <c r="E4490" s="25">
        <v>25.74</v>
      </c>
      <c r="F4490" s="379">
        <v>12.109347901801391</v>
      </c>
      <c r="G4490" s="25">
        <v>46.98</v>
      </c>
      <c r="H4490" s="379">
        <v>5.4941190497461578</v>
      </c>
      <c r="I4490" s="25">
        <v>66.06</v>
      </c>
      <c r="J4490" s="379">
        <v>4.1187808622791602</v>
      </c>
    </row>
    <row r="4491" spans="1:10" x14ac:dyDescent="0.35">
      <c r="A4491" s="5">
        <v>4487</v>
      </c>
      <c r="B4491" s="5">
        <v>187</v>
      </c>
      <c r="C4491" s="5">
        <v>7</v>
      </c>
      <c r="D4491" s="379">
        <v>60.493333333333332</v>
      </c>
      <c r="E4491" s="25">
        <v>25.29</v>
      </c>
      <c r="F4491" s="379">
        <v>12.527089045620308</v>
      </c>
      <c r="G4491" s="25">
        <v>46.98</v>
      </c>
      <c r="H4491" s="379">
        <v>4.1490059889230979</v>
      </c>
      <c r="I4491" s="25">
        <v>58.21</v>
      </c>
      <c r="J4491" s="379">
        <v>5.1030815131747742</v>
      </c>
    </row>
    <row r="4492" spans="1:10" x14ac:dyDescent="0.35">
      <c r="A4492" s="5">
        <v>4488</v>
      </c>
      <c r="B4492" s="5">
        <v>187</v>
      </c>
      <c r="C4492" s="5">
        <v>7</v>
      </c>
      <c r="D4492" s="379">
        <v>57.818888888888885</v>
      </c>
      <c r="E4492" s="25">
        <v>24.99</v>
      </c>
      <c r="F4492" s="379">
        <v>14.315462868890181</v>
      </c>
      <c r="G4492" s="25">
        <v>43.56</v>
      </c>
      <c r="H4492" s="379">
        <v>4.5043228415428311</v>
      </c>
      <c r="I4492" s="25">
        <v>54.92</v>
      </c>
      <c r="J4492" s="379">
        <v>4.369409377055371</v>
      </c>
    </row>
    <row r="4493" spans="1:10" x14ac:dyDescent="0.35">
      <c r="A4493" s="5">
        <v>4489</v>
      </c>
      <c r="B4493" s="5">
        <v>188</v>
      </c>
      <c r="C4493" s="5">
        <v>7</v>
      </c>
      <c r="D4493" s="379">
        <v>51.75055555555555</v>
      </c>
      <c r="E4493" s="25">
        <v>24.84</v>
      </c>
      <c r="F4493" s="379">
        <v>12.487121382563753</v>
      </c>
      <c r="G4493" s="25">
        <v>43.56</v>
      </c>
      <c r="H4493" s="379">
        <v>4.5043228415428311</v>
      </c>
      <c r="I4493" s="25">
        <v>54.87</v>
      </c>
      <c r="J4493" s="379">
        <v>4.5852518779452902</v>
      </c>
    </row>
    <row r="4494" spans="1:10" x14ac:dyDescent="0.35">
      <c r="A4494" s="5">
        <v>4490</v>
      </c>
      <c r="B4494" s="5">
        <v>188</v>
      </c>
      <c r="C4494" s="5">
        <v>7</v>
      </c>
      <c r="D4494" s="379">
        <v>47.981666666666669</v>
      </c>
      <c r="E4494" s="25">
        <v>24.84</v>
      </c>
      <c r="F4494" s="379">
        <v>7.3340186781233951</v>
      </c>
      <c r="G4494" s="25">
        <v>42.69</v>
      </c>
      <c r="H4494" s="379">
        <v>4.5043228415428311</v>
      </c>
      <c r="I4494" s="25">
        <v>54.32</v>
      </c>
      <c r="J4494" s="379">
        <v>3.322429889811481</v>
      </c>
    </row>
    <row r="4495" spans="1:10" x14ac:dyDescent="0.35">
      <c r="A4495" s="5">
        <v>4491</v>
      </c>
      <c r="B4495" s="5">
        <v>188</v>
      </c>
      <c r="C4495" s="5">
        <v>7</v>
      </c>
      <c r="D4495" s="379">
        <v>44.985555555555557</v>
      </c>
      <c r="E4495" s="25">
        <v>24.84</v>
      </c>
      <c r="F4495" s="379">
        <v>7.6467622265774287</v>
      </c>
      <c r="G4495" s="25">
        <v>42.69</v>
      </c>
      <c r="H4495" s="379">
        <v>4.534584205617965</v>
      </c>
      <c r="I4495" s="25">
        <v>53.27</v>
      </c>
      <c r="J4495" s="379">
        <v>3.6035707913072574</v>
      </c>
    </row>
    <row r="4496" spans="1:10" x14ac:dyDescent="0.35">
      <c r="A4496" s="5">
        <v>4492</v>
      </c>
      <c r="B4496" s="5">
        <v>188</v>
      </c>
      <c r="C4496" s="5">
        <v>7</v>
      </c>
      <c r="D4496" s="379">
        <v>45.113888888888887</v>
      </c>
      <c r="E4496" s="25">
        <v>24.84</v>
      </c>
      <c r="F4496" s="379">
        <v>7.4364749594546993</v>
      </c>
      <c r="G4496" s="25">
        <v>42.69</v>
      </c>
      <c r="H4496" s="379">
        <v>3.6576682319664271</v>
      </c>
      <c r="I4496" s="25">
        <v>53.27</v>
      </c>
      <c r="J4496" s="379">
        <v>2.595595843913904</v>
      </c>
    </row>
    <row r="4497" spans="1:10" x14ac:dyDescent="0.35">
      <c r="A4497" s="5">
        <v>4493</v>
      </c>
      <c r="B4497" s="5">
        <v>188</v>
      </c>
      <c r="C4497" s="5">
        <v>7</v>
      </c>
      <c r="D4497" s="379">
        <v>46.70055555555556</v>
      </c>
      <c r="E4497" s="25">
        <v>24.84</v>
      </c>
      <c r="F4497" s="379">
        <v>5.9111333086085951</v>
      </c>
      <c r="G4497" s="25">
        <v>43.12</v>
      </c>
      <c r="H4497" s="379">
        <v>2.2096547233464929</v>
      </c>
      <c r="I4497" s="25">
        <v>54.87</v>
      </c>
      <c r="J4497" s="379">
        <v>4.0127209765579064</v>
      </c>
    </row>
    <row r="4498" spans="1:10" x14ac:dyDescent="0.35">
      <c r="A4498" s="5">
        <v>4494</v>
      </c>
      <c r="B4498" s="5">
        <v>188</v>
      </c>
      <c r="C4498" s="5">
        <v>7</v>
      </c>
      <c r="D4498" s="379">
        <v>52.352222222222224</v>
      </c>
      <c r="E4498" s="25">
        <v>24.84</v>
      </c>
      <c r="F4498" s="379">
        <v>4.0624653845367389</v>
      </c>
      <c r="G4498" s="25">
        <v>45.1</v>
      </c>
      <c r="H4498" s="379">
        <v>2.2979336032763098</v>
      </c>
      <c r="I4498" s="25">
        <v>54.87</v>
      </c>
      <c r="J4498" s="379">
        <v>2.6758648865723602</v>
      </c>
    </row>
    <row r="4499" spans="1:10" x14ac:dyDescent="0.35">
      <c r="A4499" s="5">
        <v>4495</v>
      </c>
      <c r="B4499" s="5">
        <v>188</v>
      </c>
      <c r="C4499" s="5">
        <v>7</v>
      </c>
      <c r="D4499" s="379">
        <v>60.884999999999991</v>
      </c>
      <c r="E4499" s="25">
        <v>24.99</v>
      </c>
      <c r="F4499" s="379">
        <v>3.3611454949889517</v>
      </c>
      <c r="G4499" s="25">
        <v>46.98</v>
      </c>
      <c r="H4499" s="379">
        <v>1.2164566257089502</v>
      </c>
      <c r="I4499" s="25">
        <v>55.66</v>
      </c>
      <c r="J4499" s="379">
        <v>4.3127566722235056</v>
      </c>
    </row>
    <row r="4500" spans="1:10" x14ac:dyDescent="0.35">
      <c r="A4500" s="5">
        <v>4496</v>
      </c>
      <c r="B4500" s="5">
        <v>188</v>
      </c>
      <c r="C4500" s="5">
        <v>7</v>
      </c>
      <c r="D4500" s="379">
        <v>66.550555555555547</v>
      </c>
      <c r="E4500" s="25">
        <v>25.74</v>
      </c>
      <c r="F4500" s="379">
        <v>6.6236307131217087</v>
      </c>
      <c r="G4500" s="25">
        <v>46.98</v>
      </c>
      <c r="H4500" s="379">
        <v>2.1868096514490536</v>
      </c>
      <c r="I4500" s="25">
        <v>55.66</v>
      </c>
      <c r="J4500" s="379">
        <v>3.902166066915417</v>
      </c>
    </row>
    <row r="4501" spans="1:10" x14ac:dyDescent="0.35">
      <c r="A4501" s="5">
        <v>4497</v>
      </c>
      <c r="B4501" s="5">
        <v>188</v>
      </c>
      <c r="C4501" s="5">
        <v>7</v>
      </c>
      <c r="D4501" s="379">
        <v>62.879444444444438</v>
      </c>
      <c r="E4501" s="25">
        <v>25.59</v>
      </c>
      <c r="F4501" s="379">
        <v>2.777777777777778E-2</v>
      </c>
      <c r="G4501" s="25">
        <v>46.98</v>
      </c>
      <c r="H4501" s="379">
        <v>1.8457190916956596</v>
      </c>
      <c r="I4501" s="25">
        <v>54.87</v>
      </c>
      <c r="J4501" s="379">
        <v>1.4117174291763555</v>
      </c>
    </row>
    <row r="4502" spans="1:10" x14ac:dyDescent="0.35">
      <c r="A4502" s="5">
        <v>4498</v>
      </c>
      <c r="B4502" s="5">
        <v>188</v>
      </c>
      <c r="C4502" s="5">
        <v>7</v>
      </c>
      <c r="D4502" s="379">
        <v>60.268888888888881</v>
      </c>
      <c r="E4502" s="25">
        <v>24.84</v>
      </c>
      <c r="F4502" s="379">
        <v>2.3843848245165407</v>
      </c>
      <c r="G4502" s="25">
        <v>45.1</v>
      </c>
      <c r="H4502" s="379">
        <v>1.8457190916956596</v>
      </c>
      <c r="I4502" s="25">
        <v>51.72</v>
      </c>
      <c r="J4502" s="379">
        <v>5.1162482169034962E-2</v>
      </c>
    </row>
    <row r="4503" spans="1:10" x14ac:dyDescent="0.35">
      <c r="A4503" s="5">
        <v>4499</v>
      </c>
      <c r="B4503" s="5">
        <v>188</v>
      </c>
      <c r="C4503" s="5">
        <v>7</v>
      </c>
      <c r="D4503" s="379">
        <v>57.751666666666665</v>
      </c>
      <c r="E4503" s="25">
        <v>24.84</v>
      </c>
      <c r="F4503" s="379">
        <v>2.777777777777778E-2</v>
      </c>
      <c r="G4503" s="25">
        <v>45.1</v>
      </c>
      <c r="H4503" s="379">
        <v>1.8457190916956596</v>
      </c>
      <c r="I4503" s="25">
        <v>51.72</v>
      </c>
      <c r="J4503" s="379">
        <v>2.777777777777778E-2</v>
      </c>
    </row>
    <row r="4504" spans="1:10" x14ac:dyDescent="0.35">
      <c r="A4504" s="5">
        <v>4500</v>
      </c>
      <c r="B4504" s="5">
        <v>188</v>
      </c>
      <c r="C4504" s="5">
        <v>7</v>
      </c>
      <c r="D4504" s="379">
        <v>54.893333333333338</v>
      </c>
      <c r="E4504" s="25">
        <v>24.84</v>
      </c>
      <c r="F4504" s="379">
        <v>2.107210211010266</v>
      </c>
      <c r="G4504" s="25">
        <v>43.56</v>
      </c>
      <c r="H4504" s="379">
        <v>1.8457190916956596</v>
      </c>
      <c r="I4504" s="25">
        <v>51.2</v>
      </c>
      <c r="J4504" s="379">
        <v>2.777777777777778E-2</v>
      </c>
    </row>
    <row r="4505" spans="1:10" x14ac:dyDescent="0.35">
      <c r="A4505" s="5">
        <v>4501</v>
      </c>
      <c r="B4505" s="5">
        <v>188</v>
      </c>
      <c r="C4505" s="5">
        <v>7</v>
      </c>
      <c r="D4505" s="379">
        <v>51.655555555555551</v>
      </c>
      <c r="E4505" s="25">
        <v>24.84</v>
      </c>
      <c r="F4505" s="379">
        <v>2.107210211010266</v>
      </c>
      <c r="G4505" s="25">
        <v>43.12</v>
      </c>
      <c r="H4505" s="379">
        <v>2.777777777777778E-2</v>
      </c>
      <c r="I4505" s="25">
        <v>51.2</v>
      </c>
      <c r="J4505" s="379">
        <v>2.777777777777778E-2</v>
      </c>
    </row>
    <row r="4506" spans="1:10" x14ac:dyDescent="0.35">
      <c r="A4506" s="5">
        <v>4502</v>
      </c>
      <c r="B4506" s="5">
        <v>188</v>
      </c>
      <c r="C4506" s="5">
        <v>7</v>
      </c>
      <c r="D4506" s="379">
        <v>48.011666666666663</v>
      </c>
      <c r="E4506" s="25">
        <v>24.84</v>
      </c>
      <c r="F4506" s="379">
        <v>1.4760859795202335</v>
      </c>
      <c r="G4506" s="25">
        <v>42.69</v>
      </c>
      <c r="H4506" s="379">
        <v>2.777777777777778E-2</v>
      </c>
      <c r="I4506" s="25">
        <v>48.86</v>
      </c>
      <c r="J4506" s="379">
        <v>2.777777777777778E-2</v>
      </c>
    </row>
    <row r="4507" spans="1:10" x14ac:dyDescent="0.35">
      <c r="A4507" s="5">
        <v>4503</v>
      </c>
      <c r="B4507" s="5">
        <v>188</v>
      </c>
      <c r="C4507" s="5">
        <v>7</v>
      </c>
      <c r="D4507" s="379">
        <v>46.962777777777767</v>
      </c>
      <c r="E4507" s="25">
        <v>24.84</v>
      </c>
      <c r="F4507" s="379">
        <v>0.21608408787337399</v>
      </c>
      <c r="G4507" s="25">
        <v>41.38</v>
      </c>
      <c r="H4507" s="379">
        <v>2.777777777777778E-2</v>
      </c>
      <c r="I4507" s="25">
        <v>48.79</v>
      </c>
      <c r="J4507" s="379">
        <v>2.777777777777778E-2</v>
      </c>
    </row>
    <row r="4508" spans="1:10" x14ac:dyDescent="0.35">
      <c r="A4508" s="5">
        <v>4504</v>
      </c>
      <c r="B4508" s="5">
        <v>188</v>
      </c>
      <c r="C4508" s="5">
        <v>7</v>
      </c>
      <c r="D4508" s="379">
        <v>47.597777777777779</v>
      </c>
      <c r="E4508" s="25">
        <v>24.84</v>
      </c>
      <c r="F4508" s="379">
        <v>0.21608408787337399</v>
      </c>
      <c r="G4508" s="25">
        <v>41.05</v>
      </c>
      <c r="H4508" s="379">
        <v>2.777777777777778E-2</v>
      </c>
      <c r="I4508" s="25">
        <v>43.52</v>
      </c>
      <c r="J4508" s="379">
        <v>2.777777777777778E-2</v>
      </c>
    </row>
    <row r="4509" spans="1:10" x14ac:dyDescent="0.35">
      <c r="A4509" s="5">
        <v>4505</v>
      </c>
      <c r="B4509" s="5">
        <v>188</v>
      </c>
      <c r="C4509" s="5">
        <v>7</v>
      </c>
      <c r="D4509" s="379">
        <v>52.774999999999991</v>
      </c>
      <c r="E4509" s="25">
        <v>24.84</v>
      </c>
      <c r="F4509" s="379">
        <v>0.13942171812913967</v>
      </c>
      <c r="G4509" s="25">
        <v>40.96</v>
      </c>
      <c r="H4509" s="379">
        <v>2.777777777777778E-2</v>
      </c>
      <c r="I4509" s="25">
        <v>43.52</v>
      </c>
      <c r="J4509" s="379">
        <v>2.777777777777778E-2</v>
      </c>
    </row>
    <row r="4510" spans="1:10" x14ac:dyDescent="0.35">
      <c r="A4510" s="5">
        <v>4506</v>
      </c>
      <c r="B4510" s="5">
        <v>188</v>
      </c>
      <c r="C4510" s="5">
        <v>7</v>
      </c>
      <c r="D4510" s="379">
        <v>59.973333333333329</v>
      </c>
      <c r="E4510" s="25">
        <v>24.84</v>
      </c>
      <c r="F4510" s="379">
        <v>0.17586937299959032</v>
      </c>
      <c r="G4510" s="25">
        <v>41.05</v>
      </c>
      <c r="H4510" s="379">
        <v>0.10737189369301019</v>
      </c>
      <c r="I4510" s="25">
        <v>48.3</v>
      </c>
      <c r="J4510" s="379">
        <v>2.777777777777778E-2</v>
      </c>
    </row>
    <row r="4511" spans="1:10" x14ac:dyDescent="0.35">
      <c r="A4511" s="5">
        <v>4507</v>
      </c>
      <c r="B4511" s="5">
        <v>188</v>
      </c>
      <c r="C4511" s="5">
        <v>7</v>
      </c>
      <c r="D4511" s="379">
        <v>62.790555555555549</v>
      </c>
      <c r="E4511" s="25">
        <v>24.84</v>
      </c>
      <c r="F4511" s="379">
        <v>2.8468292476558346</v>
      </c>
      <c r="G4511" s="25">
        <v>40.96</v>
      </c>
      <c r="H4511" s="379">
        <v>4.2202237325668808E-2</v>
      </c>
      <c r="I4511" s="25">
        <v>48.79</v>
      </c>
      <c r="J4511" s="379">
        <v>4.0687893899871694E-2</v>
      </c>
    </row>
    <row r="4512" spans="1:10" x14ac:dyDescent="0.35">
      <c r="A4512" s="5">
        <v>4508</v>
      </c>
      <c r="B4512" s="5">
        <v>188</v>
      </c>
      <c r="C4512" s="5">
        <v>7</v>
      </c>
      <c r="D4512" s="379">
        <v>68.167777777777772</v>
      </c>
      <c r="E4512" s="25">
        <v>24.84</v>
      </c>
      <c r="F4512" s="379">
        <v>1.0597208331423738</v>
      </c>
      <c r="G4512" s="25">
        <v>38.58</v>
      </c>
      <c r="H4512" s="379">
        <v>5.6762636073108122E-2</v>
      </c>
      <c r="I4512" s="25">
        <v>48.79</v>
      </c>
      <c r="J4512" s="379">
        <v>7.817412427067863E-2</v>
      </c>
    </row>
    <row r="4513" spans="1:10" x14ac:dyDescent="0.35">
      <c r="A4513" s="5">
        <v>4509</v>
      </c>
      <c r="B4513" s="5">
        <v>188</v>
      </c>
      <c r="C4513" s="5">
        <v>7</v>
      </c>
      <c r="D4513" s="379">
        <v>68.227222222222224</v>
      </c>
      <c r="E4513" s="25">
        <v>24.84</v>
      </c>
      <c r="F4513" s="379">
        <v>0.46581632828452263</v>
      </c>
      <c r="G4513" s="25">
        <v>38.58</v>
      </c>
      <c r="H4513" s="379">
        <v>0.14480167642852412</v>
      </c>
      <c r="I4513" s="25">
        <v>48.79</v>
      </c>
      <c r="J4513" s="379">
        <v>0.14480167642852412</v>
      </c>
    </row>
    <row r="4514" spans="1:10" x14ac:dyDescent="0.35">
      <c r="A4514" s="5">
        <v>4510</v>
      </c>
      <c r="B4514" s="5">
        <v>188</v>
      </c>
      <c r="C4514" s="5">
        <v>7</v>
      </c>
      <c r="D4514" s="379">
        <v>65.38</v>
      </c>
      <c r="E4514" s="25">
        <v>24.84</v>
      </c>
      <c r="F4514" s="379">
        <v>2.9071492929734921</v>
      </c>
      <c r="G4514" s="25">
        <v>40.96</v>
      </c>
      <c r="H4514" s="379">
        <v>0.14480167642852412</v>
      </c>
      <c r="I4514" s="25">
        <v>48.86</v>
      </c>
      <c r="J4514" s="379">
        <v>0.14480167642852412</v>
      </c>
    </row>
    <row r="4515" spans="1:10" x14ac:dyDescent="0.35">
      <c r="A4515" s="5">
        <v>4511</v>
      </c>
      <c r="B4515" s="5">
        <v>188</v>
      </c>
      <c r="C4515" s="5">
        <v>7</v>
      </c>
      <c r="D4515" s="379">
        <v>60.596111111111114</v>
      </c>
      <c r="E4515" s="25">
        <v>24.26</v>
      </c>
      <c r="F4515" s="379">
        <v>0.33935452524973403</v>
      </c>
      <c r="G4515" s="25">
        <v>39.770000000000003</v>
      </c>
      <c r="H4515" s="379">
        <v>0.14480167642852412</v>
      </c>
      <c r="I4515" s="25">
        <v>48.79</v>
      </c>
      <c r="J4515" s="379">
        <v>0.14480167642852412</v>
      </c>
    </row>
    <row r="4516" spans="1:10" x14ac:dyDescent="0.35">
      <c r="A4516" s="5">
        <v>4512</v>
      </c>
      <c r="B4516" s="5">
        <v>188</v>
      </c>
      <c r="C4516" s="5">
        <v>7</v>
      </c>
      <c r="D4516" s="379">
        <v>59.661111111111104</v>
      </c>
      <c r="E4516" s="25">
        <v>23.84</v>
      </c>
      <c r="F4516" s="379">
        <v>0.33162871502775915</v>
      </c>
      <c r="G4516" s="25">
        <v>38.200000000000003</v>
      </c>
      <c r="H4516" s="379">
        <v>1.9192085730804069</v>
      </c>
      <c r="I4516" s="25">
        <v>48.09</v>
      </c>
      <c r="J4516" s="379">
        <v>0.14480167642852412</v>
      </c>
    </row>
    <row r="4517" spans="1:10" x14ac:dyDescent="0.35">
      <c r="A4517" s="5">
        <v>4513</v>
      </c>
      <c r="B4517" s="5">
        <v>189</v>
      </c>
      <c r="C4517" s="5">
        <v>7</v>
      </c>
      <c r="D4517" s="379">
        <v>52.857222222222212</v>
      </c>
      <c r="E4517" s="25">
        <v>23.41</v>
      </c>
      <c r="F4517" s="379">
        <v>0.30123713562164334</v>
      </c>
      <c r="G4517" s="25">
        <v>32.130000000000003</v>
      </c>
      <c r="H4517" s="379">
        <v>1.9192085730804069</v>
      </c>
      <c r="I4517" s="25">
        <v>33.67</v>
      </c>
      <c r="J4517" s="379">
        <v>0.14480167642852412</v>
      </c>
    </row>
    <row r="4518" spans="1:10" x14ac:dyDescent="0.35">
      <c r="A4518" s="5">
        <v>4514</v>
      </c>
      <c r="B4518" s="5">
        <v>189</v>
      </c>
      <c r="C4518" s="5">
        <v>7</v>
      </c>
      <c r="D4518" s="379">
        <v>48.044444444444437</v>
      </c>
      <c r="E4518" s="25">
        <v>22.07</v>
      </c>
      <c r="F4518" s="379">
        <v>0.14480167642852412</v>
      </c>
      <c r="G4518" s="25">
        <v>32.130000000000003</v>
      </c>
      <c r="H4518" s="379">
        <v>1.917815057382362</v>
      </c>
      <c r="I4518" s="25">
        <v>33.67</v>
      </c>
      <c r="J4518" s="379">
        <v>6.7795680345209108E-2</v>
      </c>
    </row>
    <row r="4519" spans="1:10" x14ac:dyDescent="0.35">
      <c r="A4519" s="5">
        <v>4515</v>
      </c>
      <c r="B4519" s="5">
        <v>189</v>
      </c>
      <c r="C4519" s="5">
        <v>7</v>
      </c>
      <c r="D4519" s="379">
        <v>44.56722222222222</v>
      </c>
      <c r="E4519" s="25">
        <v>21.88</v>
      </c>
      <c r="F4519" s="379">
        <v>3.2727733956087586</v>
      </c>
      <c r="G4519" s="25">
        <v>31.84</v>
      </c>
      <c r="H4519" s="379">
        <v>1.9141986376865017</v>
      </c>
      <c r="I4519" s="25">
        <v>33.67</v>
      </c>
      <c r="J4519" s="379">
        <v>2.777777777777778E-2</v>
      </c>
    </row>
    <row r="4520" spans="1:10" x14ac:dyDescent="0.35">
      <c r="A4520" s="5">
        <v>4516</v>
      </c>
      <c r="B4520" s="5">
        <v>189</v>
      </c>
      <c r="C4520" s="5">
        <v>7</v>
      </c>
      <c r="D4520" s="379">
        <v>42.643333333333331</v>
      </c>
      <c r="E4520" s="25">
        <v>21.88</v>
      </c>
      <c r="F4520" s="379">
        <v>3.2727733956087586</v>
      </c>
      <c r="G4520" s="25">
        <v>31.84</v>
      </c>
      <c r="H4520" s="379">
        <v>0.13720564219326159</v>
      </c>
      <c r="I4520" s="25">
        <v>33.67</v>
      </c>
      <c r="J4520" s="379">
        <v>2.777777777777778E-2</v>
      </c>
    </row>
    <row r="4521" spans="1:10" x14ac:dyDescent="0.35">
      <c r="A4521" s="5">
        <v>4517</v>
      </c>
      <c r="B4521" s="5">
        <v>189</v>
      </c>
      <c r="C4521" s="5">
        <v>7</v>
      </c>
      <c r="D4521" s="379">
        <v>45.425555555555555</v>
      </c>
      <c r="E4521" s="25">
        <v>22.73</v>
      </c>
      <c r="F4521" s="379">
        <v>3.2727733956087586</v>
      </c>
      <c r="G4521" s="25">
        <v>32.130000000000003</v>
      </c>
      <c r="H4521" s="379">
        <v>2.983374850025141E-2</v>
      </c>
      <c r="I4521" s="25">
        <v>33.67</v>
      </c>
      <c r="J4521" s="379">
        <v>2.777777777777778E-2</v>
      </c>
    </row>
    <row r="4522" spans="1:10" x14ac:dyDescent="0.35">
      <c r="A4522" s="5">
        <v>4518</v>
      </c>
      <c r="B4522" s="5">
        <v>189</v>
      </c>
      <c r="C4522" s="5">
        <v>7</v>
      </c>
      <c r="D4522" s="379">
        <v>55.68</v>
      </c>
      <c r="E4522" s="25">
        <v>23.84</v>
      </c>
      <c r="F4522" s="379">
        <v>3.2727733956087586</v>
      </c>
      <c r="G4522" s="25">
        <v>32.450000000000003</v>
      </c>
      <c r="H4522" s="379">
        <v>2.983374850025141E-2</v>
      </c>
      <c r="I4522" s="25">
        <v>33.67</v>
      </c>
      <c r="J4522" s="379">
        <v>2.777777777777778E-2</v>
      </c>
    </row>
    <row r="4523" spans="1:10" x14ac:dyDescent="0.35">
      <c r="A4523" s="5">
        <v>4519</v>
      </c>
      <c r="B4523" s="5">
        <v>189</v>
      </c>
      <c r="C4523" s="5">
        <v>7</v>
      </c>
      <c r="D4523" s="379">
        <v>68.060555555555567</v>
      </c>
      <c r="E4523" s="25">
        <v>24.12</v>
      </c>
      <c r="F4523" s="379">
        <v>3.2727733956087586</v>
      </c>
      <c r="G4523" s="25">
        <v>37.79</v>
      </c>
      <c r="H4523" s="379">
        <v>2.983374850025141E-2</v>
      </c>
      <c r="I4523" s="25">
        <v>35.130000000000003</v>
      </c>
      <c r="J4523" s="379">
        <v>2.777777777777778E-2</v>
      </c>
    </row>
    <row r="4524" spans="1:10" x14ac:dyDescent="0.35">
      <c r="A4524" s="5">
        <v>4520</v>
      </c>
      <c r="B4524" s="5">
        <v>189</v>
      </c>
      <c r="C4524" s="5">
        <v>7</v>
      </c>
      <c r="D4524" s="379">
        <v>70.546666666666667</v>
      </c>
      <c r="E4524" s="25">
        <v>24.12</v>
      </c>
      <c r="F4524" s="379">
        <v>3.2727733956087586</v>
      </c>
      <c r="G4524" s="25">
        <v>38.61</v>
      </c>
      <c r="H4524" s="379">
        <v>2.983374850025141E-2</v>
      </c>
      <c r="I4524" s="25">
        <v>34.11</v>
      </c>
      <c r="J4524" s="379">
        <v>2.777777777777778E-2</v>
      </c>
    </row>
    <row r="4525" spans="1:10" x14ac:dyDescent="0.35">
      <c r="A4525" s="5">
        <v>4521</v>
      </c>
      <c r="B4525" s="5">
        <v>189</v>
      </c>
      <c r="C4525" s="5">
        <v>7</v>
      </c>
      <c r="D4525" s="379">
        <v>67.146111111111097</v>
      </c>
      <c r="E4525" s="25">
        <v>24.12</v>
      </c>
      <c r="F4525" s="379">
        <v>3.2727733956087586</v>
      </c>
      <c r="G4525" s="25">
        <v>37.79</v>
      </c>
      <c r="H4525" s="379">
        <v>2.983374850025141E-2</v>
      </c>
      <c r="I4525" s="25">
        <v>33.67</v>
      </c>
      <c r="J4525" s="379">
        <v>2.777777777777778E-2</v>
      </c>
    </row>
    <row r="4526" spans="1:10" x14ac:dyDescent="0.35">
      <c r="A4526" s="5">
        <v>4522</v>
      </c>
      <c r="B4526" s="5">
        <v>189</v>
      </c>
      <c r="C4526" s="5">
        <v>7</v>
      </c>
      <c r="D4526" s="379">
        <v>63.542777777777772</v>
      </c>
      <c r="E4526" s="25">
        <v>24</v>
      </c>
      <c r="F4526" s="379">
        <v>2.6416491641187259</v>
      </c>
      <c r="G4526" s="25">
        <v>35.94</v>
      </c>
      <c r="H4526" s="379">
        <v>2.777777777777778E-2</v>
      </c>
      <c r="I4526" s="25">
        <v>33.67</v>
      </c>
      <c r="J4526" s="379">
        <v>2.777777777777778E-2</v>
      </c>
    </row>
    <row r="4527" spans="1:10" x14ac:dyDescent="0.35">
      <c r="A4527" s="5">
        <v>4523</v>
      </c>
      <c r="B4527" s="5">
        <v>189</v>
      </c>
      <c r="C4527" s="5">
        <v>7</v>
      </c>
      <c r="D4527" s="379">
        <v>58.668333333333329</v>
      </c>
      <c r="E4527" s="25">
        <v>24</v>
      </c>
      <c r="F4527" s="379">
        <v>1.3816472724718665</v>
      </c>
      <c r="G4527" s="25">
        <v>32.79</v>
      </c>
      <c r="H4527" s="379">
        <v>2.777777777777778E-2</v>
      </c>
      <c r="I4527" s="25">
        <v>33.67</v>
      </c>
      <c r="J4527" s="379">
        <v>2.777777777777778E-2</v>
      </c>
    </row>
    <row r="4528" spans="1:10" x14ac:dyDescent="0.35">
      <c r="A4528" s="5">
        <v>4524</v>
      </c>
      <c r="B4528" s="5">
        <v>189</v>
      </c>
      <c r="C4528" s="5">
        <v>7</v>
      </c>
      <c r="D4528" s="379">
        <v>52.43611111111111</v>
      </c>
      <c r="E4528" s="25">
        <v>23.84</v>
      </c>
      <c r="F4528" s="379">
        <v>1.3816472724718665</v>
      </c>
      <c r="G4528" s="25">
        <v>31.84</v>
      </c>
      <c r="H4528" s="379">
        <v>2.983374850025141E-2</v>
      </c>
      <c r="I4528" s="25">
        <v>33.67</v>
      </c>
      <c r="J4528" s="379">
        <v>2.777777777777778E-2</v>
      </c>
    </row>
    <row r="4529" spans="1:10" x14ac:dyDescent="0.35">
      <c r="A4529" s="5">
        <v>4525</v>
      </c>
      <c r="B4529" s="5">
        <v>189</v>
      </c>
      <c r="C4529" s="5">
        <v>7</v>
      </c>
      <c r="D4529" s="379">
        <v>50.555555555555564</v>
      </c>
      <c r="E4529" s="25">
        <v>23.84</v>
      </c>
      <c r="F4529" s="379">
        <v>1.2648387354391974</v>
      </c>
      <c r="G4529" s="25">
        <v>31.5</v>
      </c>
      <c r="H4529" s="379">
        <v>2.983374850025141E-2</v>
      </c>
      <c r="I4529" s="25">
        <v>33.67</v>
      </c>
      <c r="J4529" s="379">
        <v>2.777777777777778E-2</v>
      </c>
    </row>
    <row r="4530" spans="1:10" x14ac:dyDescent="0.35">
      <c r="A4530" s="5">
        <v>4526</v>
      </c>
      <c r="B4530" s="5">
        <v>189</v>
      </c>
      <c r="C4530" s="5">
        <v>7</v>
      </c>
      <c r="D4530" s="379">
        <v>48.661111111111111</v>
      </c>
      <c r="E4530" s="25">
        <v>24</v>
      </c>
      <c r="F4530" s="379">
        <v>1.2648387354391974</v>
      </c>
      <c r="G4530" s="25">
        <v>31.19</v>
      </c>
      <c r="H4530" s="379">
        <v>2.983374850025141E-2</v>
      </c>
      <c r="I4530" s="25">
        <v>33.67</v>
      </c>
      <c r="J4530" s="379">
        <v>2.777777777777778E-2</v>
      </c>
    </row>
    <row r="4531" spans="1:10" x14ac:dyDescent="0.35">
      <c r="A4531" s="5">
        <v>4527</v>
      </c>
      <c r="B4531" s="5">
        <v>189</v>
      </c>
      <c r="C4531" s="5">
        <v>7</v>
      </c>
      <c r="D4531" s="379">
        <v>47.620555555555562</v>
      </c>
      <c r="E4531" s="25">
        <v>23.84</v>
      </c>
      <c r="F4531" s="379">
        <v>1.1433017814616304</v>
      </c>
      <c r="G4531" s="25">
        <v>31.5</v>
      </c>
      <c r="H4531" s="379">
        <v>2.983374850025141E-2</v>
      </c>
      <c r="I4531" s="25">
        <v>33.67</v>
      </c>
      <c r="J4531" s="379">
        <v>2.777777777777778E-2</v>
      </c>
    </row>
    <row r="4532" spans="1:10" x14ac:dyDescent="0.35">
      <c r="A4532" s="5">
        <v>4528</v>
      </c>
      <c r="B4532" s="5">
        <v>189</v>
      </c>
      <c r="C4532" s="5">
        <v>7</v>
      </c>
      <c r="D4532" s="379">
        <v>49.561111111111117</v>
      </c>
      <c r="E4532" s="25">
        <v>24</v>
      </c>
      <c r="F4532" s="379">
        <v>1.1433017814616304</v>
      </c>
      <c r="G4532" s="25">
        <v>31.84</v>
      </c>
      <c r="H4532" s="379">
        <v>2.983374850025141E-2</v>
      </c>
      <c r="I4532" s="25">
        <v>33.67</v>
      </c>
      <c r="J4532" s="379">
        <v>2.777777777777778E-2</v>
      </c>
    </row>
    <row r="4533" spans="1:10" x14ac:dyDescent="0.35">
      <c r="A4533" s="5">
        <v>4529</v>
      </c>
      <c r="B4533" s="5">
        <v>189</v>
      </c>
      <c r="C4533" s="5">
        <v>7</v>
      </c>
      <c r="D4533" s="379">
        <v>58.998333333333321</v>
      </c>
      <c r="E4533" s="25">
        <v>24</v>
      </c>
      <c r="F4533" s="379">
        <v>1.1433017814616304</v>
      </c>
      <c r="G4533" s="25">
        <v>32.130000000000003</v>
      </c>
      <c r="H4533" s="379">
        <v>9.8933900557974574E-2</v>
      </c>
      <c r="I4533" s="25">
        <v>33.67</v>
      </c>
      <c r="J4533" s="379">
        <v>2.777777777777778E-2</v>
      </c>
    </row>
    <row r="4534" spans="1:10" x14ac:dyDescent="0.35">
      <c r="A4534" s="5">
        <v>4530</v>
      </c>
      <c r="B4534" s="5">
        <v>189</v>
      </c>
      <c r="C4534" s="5">
        <v>7</v>
      </c>
      <c r="D4534" s="379">
        <v>63.957222222222221</v>
      </c>
      <c r="E4534" s="25">
        <v>24.84</v>
      </c>
      <c r="F4534" s="379">
        <v>1.3816472724718665</v>
      </c>
      <c r="G4534" s="25">
        <v>32.79</v>
      </c>
      <c r="H4534" s="379">
        <v>9.8933900557974574E-2</v>
      </c>
      <c r="I4534" s="25">
        <v>33.67</v>
      </c>
      <c r="J4534" s="379">
        <v>2.777777777777778E-2</v>
      </c>
    </row>
    <row r="4535" spans="1:10" x14ac:dyDescent="0.35">
      <c r="A4535" s="5">
        <v>4531</v>
      </c>
      <c r="B4535" s="5">
        <v>189</v>
      </c>
      <c r="C4535" s="5">
        <v>7</v>
      </c>
      <c r="D4535" s="379">
        <v>67.873888888888885</v>
      </c>
      <c r="E4535" s="25">
        <v>24.84</v>
      </c>
      <c r="F4535" s="379">
        <v>3.2727733956087586</v>
      </c>
      <c r="G4535" s="25">
        <v>37.020000000000003</v>
      </c>
      <c r="H4535" s="379">
        <v>0.12996099899823607</v>
      </c>
      <c r="I4535" s="25">
        <v>33.67</v>
      </c>
      <c r="J4535" s="379">
        <v>2.777777777777778E-2</v>
      </c>
    </row>
    <row r="4536" spans="1:10" x14ac:dyDescent="0.35">
      <c r="A4536" s="5">
        <v>4532</v>
      </c>
      <c r="B4536" s="5">
        <v>189</v>
      </c>
      <c r="C4536" s="5">
        <v>7</v>
      </c>
      <c r="D4536" s="379">
        <v>67.973888888888879</v>
      </c>
      <c r="E4536" s="25">
        <v>24.84</v>
      </c>
      <c r="F4536" s="379">
        <v>3.2727733956087586</v>
      </c>
      <c r="G4536" s="25">
        <v>37.020000000000003</v>
      </c>
      <c r="H4536" s="379">
        <v>0.25395360144835583</v>
      </c>
      <c r="I4536" s="25">
        <v>34.25</v>
      </c>
      <c r="J4536" s="379">
        <v>2.777777777777778E-2</v>
      </c>
    </row>
    <row r="4537" spans="1:10" x14ac:dyDescent="0.35">
      <c r="A4537" s="5">
        <v>4533</v>
      </c>
      <c r="B4537" s="5">
        <v>189</v>
      </c>
      <c r="C4537" s="5">
        <v>7</v>
      </c>
      <c r="D4537" s="379">
        <v>69.75</v>
      </c>
      <c r="E4537" s="25">
        <v>24.84</v>
      </c>
      <c r="F4537" s="379">
        <v>3.2727733956087586</v>
      </c>
      <c r="G4537" s="25">
        <v>37.46</v>
      </c>
      <c r="H4537" s="379">
        <v>0.38291397624887041</v>
      </c>
      <c r="I4537" s="25">
        <v>35.799999999999997</v>
      </c>
      <c r="J4537" s="379">
        <v>2.777777777777778E-2</v>
      </c>
    </row>
    <row r="4538" spans="1:10" x14ac:dyDescent="0.35">
      <c r="A4538" s="5">
        <v>4534</v>
      </c>
      <c r="B4538" s="5">
        <v>189</v>
      </c>
      <c r="C4538" s="5">
        <v>7</v>
      </c>
      <c r="D4538" s="379">
        <v>67.778333333333336</v>
      </c>
      <c r="E4538" s="25">
        <v>24.84</v>
      </c>
      <c r="F4538" s="379">
        <v>3.1512364416311915</v>
      </c>
      <c r="G4538" s="25">
        <v>38.58</v>
      </c>
      <c r="H4538" s="379">
        <v>2.1212611742515199</v>
      </c>
      <c r="I4538" s="25">
        <v>35.799999999999997</v>
      </c>
      <c r="J4538" s="379">
        <v>2.777777777777778E-2</v>
      </c>
    </row>
    <row r="4539" spans="1:10" x14ac:dyDescent="0.35">
      <c r="A4539" s="5">
        <v>4535</v>
      </c>
      <c r="B4539" s="5">
        <v>189</v>
      </c>
      <c r="C4539" s="5">
        <v>7</v>
      </c>
      <c r="D4539" s="379">
        <v>64.009444444444441</v>
      </c>
      <c r="E4539" s="25">
        <v>24.84</v>
      </c>
      <c r="F4539" s="379">
        <v>3.1512364416311915</v>
      </c>
      <c r="G4539" s="25">
        <v>34.79</v>
      </c>
      <c r="H4539" s="379">
        <v>2.4964227919803412</v>
      </c>
      <c r="I4539" s="25">
        <v>35.03</v>
      </c>
      <c r="J4539" s="379">
        <v>2.8277465877357716E-2</v>
      </c>
    </row>
    <row r="4540" spans="1:10" x14ac:dyDescent="0.35">
      <c r="A4540" s="5">
        <v>4536</v>
      </c>
      <c r="B4540" s="5">
        <v>189</v>
      </c>
      <c r="C4540" s="5">
        <v>7</v>
      </c>
      <c r="D4540" s="379">
        <v>55.726111111111102</v>
      </c>
      <c r="E4540" s="25">
        <v>24.84</v>
      </c>
      <c r="F4540" s="379">
        <v>2.8752154517683559</v>
      </c>
      <c r="G4540" s="25">
        <v>32.76</v>
      </c>
      <c r="H4540" s="379">
        <v>2.4930855452494614</v>
      </c>
      <c r="I4540" s="25">
        <v>34.01</v>
      </c>
      <c r="J4540" s="379">
        <v>2.8277465877357716E-2</v>
      </c>
    </row>
    <row r="4541" spans="1:10" x14ac:dyDescent="0.35">
      <c r="A4541" s="5">
        <v>4537</v>
      </c>
      <c r="B4541" s="5">
        <v>190</v>
      </c>
      <c r="C4541" s="5">
        <v>7</v>
      </c>
      <c r="D4541" s="379">
        <v>54.185000000000002</v>
      </c>
      <c r="E4541" s="25">
        <v>24.84</v>
      </c>
      <c r="F4541" s="379">
        <v>2.8752154517683559</v>
      </c>
      <c r="G4541" s="25">
        <v>32.19</v>
      </c>
      <c r="H4541" s="379">
        <v>2.4930855452494614</v>
      </c>
      <c r="I4541" s="25">
        <v>34.25</v>
      </c>
      <c r="J4541" s="379">
        <v>4.4792779035866544E-2</v>
      </c>
    </row>
    <row r="4542" spans="1:10" x14ac:dyDescent="0.35">
      <c r="A4542" s="5">
        <v>4538</v>
      </c>
      <c r="B4542" s="5">
        <v>190</v>
      </c>
      <c r="C4542" s="5">
        <v>7</v>
      </c>
      <c r="D4542" s="379">
        <v>51.722222222222236</v>
      </c>
      <c r="E4542" s="25">
        <v>24.84</v>
      </c>
      <c r="F4542" s="379">
        <v>2.8003964335678027</v>
      </c>
      <c r="G4542" s="25">
        <v>31.84</v>
      </c>
      <c r="H4542" s="379">
        <v>2.5010222946986627</v>
      </c>
      <c r="I4542" s="25">
        <v>34.25</v>
      </c>
      <c r="J4542" s="379">
        <v>5.1162482169034962E-2</v>
      </c>
    </row>
    <row r="4543" spans="1:10" x14ac:dyDescent="0.35">
      <c r="A4543" s="5">
        <v>4539</v>
      </c>
      <c r="B4543" s="5">
        <v>190</v>
      </c>
      <c r="C4543" s="5">
        <v>7</v>
      </c>
      <c r="D4543" s="379">
        <v>50.787777777777777</v>
      </c>
      <c r="E4543" s="25">
        <v>24.84</v>
      </c>
      <c r="F4543" s="379">
        <v>2.8003964335678027</v>
      </c>
      <c r="G4543" s="25">
        <v>31.11</v>
      </c>
      <c r="H4543" s="379">
        <v>2.5010222946986627</v>
      </c>
      <c r="I4543" s="25">
        <v>34.25</v>
      </c>
      <c r="J4543" s="379">
        <v>5.1162482169034962E-2</v>
      </c>
    </row>
    <row r="4544" spans="1:10" x14ac:dyDescent="0.35">
      <c r="A4544" s="5">
        <v>4540</v>
      </c>
      <c r="B4544" s="5">
        <v>190</v>
      </c>
      <c r="C4544" s="5">
        <v>7</v>
      </c>
      <c r="D4544" s="379">
        <v>47.716666666666676</v>
      </c>
      <c r="E4544" s="25">
        <v>24.84</v>
      </c>
      <c r="F4544" s="379">
        <v>2.8003964335678027</v>
      </c>
      <c r="G4544" s="25">
        <v>31.11</v>
      </c>
      <c r="H4544" s="379">
        <v>2.5010222946986627</v>
      </c>
      <c r="I4544" s="25">
        <v>34.25</v>
      </c>
      <c r="J4544" s="379">
        <v>3.4402541497978882E-2</v>
      </c>
    </row>
    <row r="4545" spans="1:10" x14ac:dyDescent="0.35">
      <c r="A4545" s="5">
        <v>4541</v>
      </c>
      <c r="B4545" s="5">
        <v>190</v>
      </c>
      <c r="C4545" s="5">
        <v>7</v>
      </c>
      <c r="D4545" s="379">
        <v>48.641111111111108</v>
      </c>
      <c r="E4545" s="25">
        <v>24.84</v>
      </c>
      <c r="F4545" s="379">
        <v>3.1512364416311915</v>
      </c>
      <c r="G4545" s="25">
        <v>32.130000000000003</v>
      </c>
      <c r="H4545" s="379">
        <v>2.5010222946986627</v>
      </c>
      <c r="I4545" s="25">
        <v>34.25</v>
      </c>
      <c r="J4545" s="379">
        <v>7.3070244913224267E-2</v>
      </c>
    </row>
    <row r="4546" spans="1:10" x14ac:dyDescent="0.35">
      <c r="A4546" s="5">
        <v>4542</v>
      </c>
      <c r="B4546" s="5">
        <v>190</v>
      </c>
      <c r="C4546" s="5">
        <v>7</v>
      </c>
      <c r="D4546" s="379">
        <v>46.488333333333337</v>
      </c>
      <c r="E4546" s="25">
        <v>24.84</v>
      </c>
      <c r="F4546" s="379">
        <v>3.2867734903277062</v>
      </c>
      <c r="G4546" s="25">
        <v>33.799999999999997</v>
      </c>
      <c r="H4546" s="379">
        <v>2.5010222946986627</v>
      </c>
      <c r="I4546" s="25">
        <v>35.03</v>
      </c>
      <c r="J4546" s="379">
        <v>7.3070244913224267E-2</v>
      </c>
    </row>
    <row r="4547" spans="1:10" x14ac:dyDescent="0.35">
      <c r="A4547" s="5">
        <v>4543</v>
      </c>
      <c r="B4547" s="5">
        <v>190</v>
      </c>
      <c r="C4547" s="5">
        <v>7</v>
      </c>
      <c r="D4547" s="379">
        <v>51.207222222222221</v>
      </c>
      <c r="E4547" s="25">
        <v>24.84</v>
      </c>
      <c r="F4547" s="379">
        <v>3.3264109548416925</v>
      </c>
      <c r="G4547" s="25">
        <v>39.770000000000003</v>
      </c>
      <c r="H4547" s="379">
        <v>2.5413178433519676</v>
      </c>
      <c r="I4547" s="25">
        <v>36.869999999999997</v>
      </c>
      <c r="J4547" s="379">
        <v>0.12555671137788962</v>
      </c>
    </row>
    <row r="4548" spans="1:10" x14ac:dyDescent="0.35">
      <c r="A4548" s="5">
        <v>4544</v>
      </c>
      <c r="B4548" s="5">
        <v>190</v>
      </c>
      <c r="C4548" s="5">
        <v>7</v>
      </c>
      <c r="D4548" s="379">
        <v>51.966111111111111</v>
      </c>
      <c r="E4548" s="25">
        <v>24.84</v>
      </c>
      <c r="F4548" s="379">
        <v>3.4337939857444368</v>
      </c>
      <c r="G4548" s="25">
        <v>42.17</v>
      </c>
      <c r="H4548" s="379">
        <v>2.4899754106952448</v>
      </c>
      <c r="I4548" s="25">
        <v>40.799999999999997</v>
      </c>
      <c r="J4548" s="379">
        <v>0.12555671137788962</v>
      </c>
    </row>
    <row r="4549" spans="1:10" x14ac:dyDescent="0.35">
      <c r="A4549" s="5">
        <v>4545</v>
      </c>
      <c r="B4549" s="5">
        <v>190</v>
      </c>
      <c r="C4549" s="5">
        <v>7</v>
      </c>
      <c r="D4549" s="379">
        <v>50.13666666666667</v>
      </c>
      <c r="E4549" s="25">
        <v>24.84</v>
      </c>
      <c r="F4549" s="379">
        <v>3.4029133994036584</v>
      </c>
      <c r="G4549" s="25">
        <v>40.96</v>
      </c>
      <c r="H4549" s="379">
        <v>2.1137520965159191</v>
      </c>
      <c r="I4549" s="25">
        <v>40.799999999999997</v>
      </c>
      <c r="J4549" s="379">
        <v>2.777777777777778E-2</v>
      </c>
    </row>
    <row r="4550" spans="1:10" x14ac:dyDescent="0.35">
      <c r="A4550" s="5">
        <v>4546</v>
      </c>
      <c r="B4550" s="5">
        <v>190</v>
      </c>
      <c r="C4550" s="5">
        <v>7</v>
      </c>
      <c r="D4550" s="379">
        <v>44.771111111111104</v>
      </c>
      <c r="E4550" s="25">
        <v>24.84</v>
      </c>
      <c r="F4550" s="379">
        <v>3.3726630056698021</v>
      </c>
      <c r="G4550" s="25">
        <v>39.770000000000003</v>
      </c>
      <c r="H4550" s="379">
        <v>2.0846233531609459</v>
      </c>
      <c r="I4550" s="25">
        <v>35.799999999999997</v>
      </c>
      <c r="J4550" s="379">
        <v>2.777777777777778E-2</v>
      </c>
    </row>
    <row r="4551" spans="1:10" x14ac:dyDescent="0.35">
      <c r="A4551" s="5">
        <v>4547</v>
      </c>
      <c r="B4551" s="5">
        <v>190</v>
      </c>
      <c r="C4551" s="5">
        <v>7</v>
      </c>
      <c r="D4551" s="379">
        <v>42.695</v>
      </c>
      <c r="E4551" s="25">
        <v>24.84</v>
      </c>
      <c r="F4551" s="379">
        <v>3.2420931163598059</v>
      </c>
      <c r="G4551" s="25">
        <v>39.770000000000003</v>
      </c>
      <c r="H4551" s="379">
        <v>0.18193991093962741</v>
      </c>
      <c r="I4551" s="25">
        <v>34.25</v>
      </c>
      <c r="J4551" s="379">
        <v>5.1162482169034962E-2</v>
      </c>
    </row>
    <row r="4552" spans="1:10" x14ac:dyDescent="0.35">
      <c r="A4552" s="5">
        <v>4548</v>
      </c>
      <c r="B4552" s="5">
        <v>190</v>
      </c>
      <c r="C4552" s="5">
        <v>7</v>
      </c>
      <c r="D4552" s="379">
        <v>37.795555555555559</v>
      </c>
      <c r="E4552" s="25">
        <v>24.84</v>
      </c>
      <c r="F4552" s="379">
        <v>3.3596760012160329</v>
      </c>
      <c r="G4552" s="25">
        <v>39.770000000000003</v>
      </c>
      <c r="H4552" s="379">
        <v>7.0951597550756737E-2</v>
      </c>
      <c r="I4552" s="25">
        <v>34.25</v>
      </c>
      <c r="J4552" s="379">
        <v>5.1162482169034962E-2</v>
      </c>
    </row>
    <row r="4553" spans="1:10" x14ac:dyDescent="0.35">
      <c r="A4553" s="5">
        <v>4549</v>
      </c>
      <c r="B4553" s="5">
        <v>190</v>
      </c>
      <c r="C4553" s="5">
        <v>7</v>
      </c>
      <c r="D4553" s="379">
        <v>32.487777777777772</v>
      </c>
      <c r="E4553" s="25">
        <v>24.84</v>
      </c>
      <c r="F4553" s="379">
        <v>3.2381390472384659</v>
      </c>
      <c r="G4553" s="25">
        <v>36.4</v>
      </c>
      <c r="H4553" s="379">
        <v>7.0951597550756737E-2</v>
      </c>
      <c r="I4553" s="25">
        <v>34.25</v>
      </c>
      <c r="J4553" s="379">
        <v>5.1162482169034962E-2</v>
      </c>
    </row>
    <row r="4554" spans="1:10" x14ac:dyDescent="0.35">
      <c r="A4554" s="5">
        <v>4550</v>
      </c>
      <c r="B4554" s="5">
        <v>190</v>
      </c>
      <c r="C4554" s="5">
        <v>7</v>
      </c>
      <c r="D4554" s="379">
        <v>25.376666666666665</v>
      </c>
      <c r="E4554" s="25">
        <v>24.84</v>
      </c>
      <c r="F4554" s="379">
        <v>2.9621180573756303</v>
      </c>
      <c r="G4554" s="25">
        <v>33.799999999999997</v>
      </c>
      <c r="H4554" s="379">
        <v>7.0951597550756737E-2</v>
      </c>
      <c r="I4554" s="25">
        <v>34.25</v>
      </c>
      <c r="J4554" s="379">
        <v>5.1162482169034962E-2</v>
      </c>
    </row>
    <row r="4555" spans="1:10" x14ac:dyDescent="0.35">
      <c r="A4555" s="5">
        <v>4551</v>
      </c>
      <c r="B4555" s="5">
        <v>190</v>
      </c>
      <c r="C4555" s="5">
        <v>7</v>
      </c>
      <c r="D4555" s="379">
        <v>24.556111111111111</v>
      </c>
      <c r="E4555" s="25">
        <v>24.84</v>
      </c>
      <c r="F4555" s="379">
        <v>2.9621180573756303</v>
      </c>
      <c r="G4555" s="25">
        <v>33.799999999999997</v>
      </c>
      <c r="H4555" s="379">
        <v>7.0951597550756737E-2</v>
      </c>
      <c r="I4555" s="25">
        <v>34.25</v>
      </c>
      <c r="J4555" s="379">
        <v>5.1162482169034962E-2</v>
      </c>
    </row>
    <row r="4556" spans="1:10" x14ac:dyDescent="0.35">
      <c r="A4556" s="5">
        <v>4552</v>
      </c>
      <c r="B4556" s="5">
        <v>190</v>
      </c>
      <c r="C4556" s="5">
        <v>7</v>
      </c>
      <c r="D4556" s="379">
        <v>25.681111111111115</v>
      </c>
      <c r="E4556" s="25">
        <v>24.84</v>
      </c>
      <c r="F4556" s="379">
        <v>2.9621180573756303</v>
      </c>
      <c r="G4556" s="25">
        <v>33.799999999999997</v>
      </c>
      <c r="H4556" s="379">
        <v>7.0951597550756737E-2</v>
      </c>
      <c r="I4556" s="25">
        <v>34.25</v>
      </c>
      <c r="J4556" s="379">
        <v>5.1162482169034962E-2</v>
      </c>
    </row>
    <row r="4557" spans="1:10" x14ac:dyDescent="0.35">
      <c r="A4557" s="5">
        <v>4553</v>
      </c>
      <c r="B4557" s="5">
        <v>190</v>
      </c>
      <c r="C4557" s="5">
        <v>7</v>
      </c>
      <c r="D4557" s="379">
        <v>34.906111111111109</v>
      </c>
      <c r="E4557" s="25">
        <v>24.84</v>
      </c>
      <c r="F4557" s="379">
        <v>2.9621180573756303</v>
      </c>
      <c r="G4557" s="25">
        <v>37.49</v>
      </c>
      <c r="H4557" s="379">
        <v>7.0951597550756737E-2</v>
      </c>
      <c r="I4557" s="25">
        <v>34.25</v>
      </c>
      <c r="J4557" s="379">
        <v>5.1162482169034962E-2</v>
      </c>
    </row>
    <row r="4558" spans="1:10" x14ac:dyDescent="0.35">
      <c r="A4558" s="5">
        <v>4554</v>
      </c>
      <c r="B4558" s="5">
        <v>190</v>
      </c>
      <c r="C4558" s="5">
        <v>7</v>
      </c>
      <c r="D4558" s="379">
        <v>41.857777777777777</v>
      </c>
      <c r="E4558" s="25">
        <v>24.84</v>
      </c>
      <c r="F4558" s="379">
        <v>0.14002225510468597</v>
      </c>
      <c r="G4558" s="25">
        <v>39.770000000000003</v>
      </c>
      <c r="H4558" s="379">
        <v>1.632279958964969</v>
      </c>
      <c r="I4558" s="25">
        <v>35.799999999999997</v>
      </c>
      <c r="J4558" s="379">
        <v>5.1162482169034962E-2</v>
      </c>
    </row>
    <row r="4559" spans="1:10" x14ac:dyDescent="0.35">
      <c r="A4559" s="5">
        <v>4555</v>
      </c>
      <c r="B4559" s="5">
        <v>190</v>
      </c>
      <c r="C4559" s="5">
        <v>7</v>
      </c>
      <c r="D4559" s="379">
        <v>47.562777777777768</v>
      </c>
      <c r="E4559" s="25">
        <v>24.84</v>
      </c>
      <c r="F4559" s="379">
        <v>3.8946303109485991</v>
      </c>
      <c r="G4559" s="25">
        <v>39.770000000000003</v>
      </c>
      <c r="H4559" s="379">
        <v>0.31114692852230358</v>
      </c>
      <c r="I4559" s="25">
        <v>48.09</v>
      </c>
      <c r="J4559" s="379">
        <v>0.18379740478156881</v>
      </c>
    </row>
    <row r="4560" spans="1:10" x14ac:dyDescent="0.35">
      <c r="A4560" s="5">
        <v>4556</v>
      </c>
      <c r="B4560" s="5">
        <v>190</v>
      </c>
      <c r="C4560" s="5">
        <v>7</v>
      </c>
      <c r="D4560" s="379">
        <v>50.334999999999994</v>
      </c>
      <c r="E4560" s="25">
        <v>24.84</v>
      </c>
      <c r="F4560" s="379">
        <v>8.1174834595959577</v>
      </c>
      <c r="G4560" s="25">
        <v>39.770000000000003</v>
      </c>
      <c r="H4560" s="379">
        <v>7.1220649310549042</v>
      </c>
      <c r="I4560" s="25">
        <v>50.26</v>
      </c>
      <c r="J4560" s="379">
        <v>6.2677208789924581</v>
      </c>
    </row>
    <row r="4561" spans="1:10" x14ac:dyDescent="0.35">
      <c r="A4561" s="5">
        <v>4557</v>
      </c>
      <c r="B4561" s="5">
        <v>190</v>
      </c>
      <c r="C4561" s="5">
        <v>7</v>
      </c>
      <c r="D4561" s="379">
        <v>48.126666666666672</v>
      </c>
      <c r="E4561" s="25">
        <v>24.84</v>
      </c>
      <c r="F4561" s="379">
        <v>8.1174834595959595</v>
      </c>
      <c r="G4561" s="25">
        <v>39.770000000000003</v>
      </c>
      <c r="H4561" s="379">
        <v>7.117939189073371</v>
      </c>
      <c r="I4561" s="25">
        <v>51.76</v>
      </c>
      <c r="J4561" s="379">
        <v>6.0632796631171999</v>
      </c>
    </row>
    <row r="4562" spans="1:10" x14ac:dyDescent="0.35">
      <c r="A4562" s="5">
        <v>4558</v>
      </c>
      <c r="B4562" s="5">
        <v>190</v>
      </c>
      <c r="C4562" s="5">
        <v>7</v>
      </c>
      <c r="D4562" s="379">
        <v>51.261111111111113</v>
      </c>
      <c r="E4562" s="25">
        <v>24.84</v>
      </c>
      <c r="F4562" s="379">
        <v>8.1174834595959577</v>
      </c>
      <c r="G4562" s="25">
        <v>43.44</v>
      </c>
      <c r="H4562" s="379">
        <v>7.1480140095142977</v>
      </c>
      <c r="I4562" s="25">
        <v>56.52</v>
      </c>
      <c r="J4562" s="379">
        <v>6.3759089233137072</v>
      </c>
    </row>
    <row r="4563" spans="1:10" x14ac:dyDescent="0.35">
      <c r="A4563" s="5">
        <v>4559</v>
      </c>
      <c r="B4563" s="5">
        <v>190</v>
      </c>
      <c r="C4563" s="5">
        <v>7</v>
      </c>
      <c r="D4563" s="379">
        <v>43.76</v>
      </c>
      <c r="E4563" s="25">
        <v>24.84</v>
      </c>
      <c r="F4563" s="379">
        <v>8.1174834595959595</v>
      </c>
      <c r="G4563" s="25">
        <v>39.770000000000003</v>
      </c>
      <c r="H4563" s="379">
        <v>7.2362746077045408</v>
      </c>
      <c r="I4563" s="25">
        <v>54.7</v>
      </c>
      <c r="J4563" s="379">
        <v>6.2526001808507736</v>
      </c>
    </row>
    <row r="4564" spans="1:10" x14ac:dyDescent="0.35">
      <c r="A4564" s="5">
        <v>4560</v>
      </c>
      <c r="B4564" s="5">
        <v>190</v>
      </c>
      <c r="C4564" s="5">
        <v>7</v>
      </c>
      <c r="D4564" s="379">
        <v>37.927222222222227</v>
      </c>
      <c r="E4564" s="25">
        <v>24.84</v>
      </c>
      <c r="F4564" s="379">
        <v>7.1115192744006892</v>
      </c>
      <c r="G4564" s="25">
        <v>33.799999999999997</v>
      </c>
      <c r="H4564" s="379">
        <v>7.2420435758281148</v>
      </c>
      <c r="I4564" s="25">
        <v>48.09</v>
      </c>
      <c r="J4564" s="379">
        <v>6.4239339874162669</v>
      </c>
    </row>
    <row r="4565" spans="1:10" x14ac:dyDescent="0.35">
      <c r="A4565" s="5">
        <v>4561</v>
      </c>
      <c r="B4565" s="5">
        <v>191</v>
      </c>
      <c r="C4565" s="5">
        <v>7</v>
      </c>
      <c r="D4565" s="379">
        <v>31.992777777777771</v>
      </c>
      <c r="E4565" s="25">
        <v>24.84</v>
      </c>
      <c r="F4565" s="379">
        <v>6.0929595279635063</v>
      </c>
      <c r="G4565" s="25">
        <v>31.84</v>
      </c>
      <c r="H4565" s="379">
        <v>7.1745899561501458</v>
      </c>
      <c r="I4565" s="25">
        <v>41.02</v>
      </c>
      <c r="J4565" s="379">
        <v>4.3378749333740245</v>
      </c>
    </row>
    <row r="4566" spans="1:10" x14ac:dyDescent="0.35">
      <c r="A4566" s="5">
        <v>4562</v>
      </c>
      <c r="B4566" s="5">
        <v>191</v>
      </c>
      <c r="C4566" s="5">
        <v>7</v>
      </c>
      <c r="D4566" s="379">
        <v>30.686111111111106</v>
      </c>
      <c r="E4566" s="25">
        <v>24.84</v>
      </c>
      <c r="F4566" s="379">
        <v>5.9067753570215151</v>
      </c>
      <c r="G4566" s="25">
        <v>31.24</v>
      </c>
      <c r="H4566" s="379">
        <v>7.2014424043177723</v>
      </c>
      <c r="I4566" s="25">
        <v>35.72</v>
      </c>
      <c r="J4566" s="379">
        <v>4.3802285013941535</v>
      </c>
    </row>
    <row r="4567" spans="1:10" x14ac:dyDescent="0.35">
      <c r="A4567" s="5">
        <v>4563</v>
      </c>
      <c r="B4567" s="5">
        <v>191</v>
      </c>
      <c r="C4567" s="5">
        <v>7</v>
      </c>
      <c r="D4567" s="379">
        <v>25.285555555555554</v>
      </c>
      <c r="E4567" s="25">
        <v>24.84</v>
      </c>
      <c r="F4567" s="379">
        <v>6.047880016213532</v>
      </c>
      <c r="G4567" s="25">
        <v>31.11</v>
      </c>
      <c r="H4567" s="379">
        <v>6.465028446704804</v>
      </c>
      <c r="I4567" s="25">
        <v>35.450000000000003</v>
      </c>
      <c r="J4567" s="379">
        <v>4.4710002756623739</v>
      </c>
    </row>
    <row r="4568" spans="1:10" x14ac:dyDescent="0.35">
      <c r="A4568" s="5">
        <v>4564</v>
      </c>
      <c r="B4568" s="5">
        <v>191</v>
      </c>
      <c r="C4568" s="5">
        <v>7</v>
      </c>
      <c r="D4568" s="379">
        <v>28.546666666666667</v>
      </c>
      <c r="E4568" s="25">
        <v>24.84</v>
      </c>
      <c r="F4568" s="379">
        <v>5.9449170380632124</v>
      </c>
      <c r="G4568" s="25">
        <v>31.11</v>
      </c>
      <c r="H4568" s="379">
        <v>6.5295726767543441</v>
      </c>
      <c r="I4568" s="25">
        <v>35.450000000000003</v>
      </c>
      <c r="J4568" s="379">
        <v>4.1291643372321296</v>
      </c>
    </row>
    <row r="4569" spans="1:10" x14ac:dyDescent="0.35">
      <c r="A4569" s="5">
        <v>4565</v>
      </c>
      <c r="B4569" s="5">
        <v>191</v>
      </c>
      <c r="C4569" s="5">
        <v>7</v>
      </c>
      <c r="D4569" s="379">
        <v>25.466111111111111</v>
      </c>
      <c r="E4569" s="25">
        <v>24.84</v>
      </c>
      <c r="F4569" s="379">
        <v>5.604153563839092</v>
      </c>
      <c r="G4569" s="25">
        <v>31.11</v>
      </c>
      <c r="H4569" s="379">
        <v>6.4350481508709905</v>
      </c>
      <c r="I4569" s="25">
        <v>35.409999999999997</v>
      </c>
      <c r="J4569" s="379">
        <v>4.6202852107342629</v>
      </c>
    </row>
    <row r="4570" spans="1:10" x14ac:dyDescent="0.35">
      <c r="A4570" s="5">
        <v>4566</v>
      </c>
      <c r="B4570" s="5">
        <v>191</v>
      </c>
      <c r="C4570" s="5">
        <v>7</v>
      </c>
      <c r="D4570" s="379">
        <v>26.833333333333332</v>
      </c>
      <c r="E4570" s="25">
        <v>24.84</v>
      </c>
      <c r="F4570" s="379">
        <v>5.6262304691179912</v>
      </c>
      <c r="G4570" s="25">
        <v>31.11</v>
      </c>
      <c r="H4570" s="379">
        <v>6.4014873845603537</v>
      </c>
      <c r="I4570" s="25">
        <v>35.450000000000003</v>
      </c>
      <c r="J4570" s="379">
        <v>3.4756374559465817</v>
      </c>
    </row>
    <row r="4571" spans="1:10" x14ac:dyDescent="0.35">
      <c r="A4571" s="5">
        <v>4567</v>
      </c>
      <c r="B4571" s="5">
        <v>191</v>
      </c>
      <c r="C4571" s="5">
        <v>7</v>
      </c>
      <c r="D4571" s="379">
        <v>24.774999999999995</v>
      </c>
      <c r="E4571" s="25">
        <v>24.84</v>
      </c>
      <c r="F4571" s="379">
        <v>5.0776377778820354</v>
      </c>
      <c r="G4571" s="25">
        <v>31.11</v>
      </c>
      <c r="H4571" s="379">
        <v>6.3608004567540908</v>
      </c>
      <c r="I4571" s="25">
        <v>35.72</v>
      </c>
      <c r="J4571" s="379">
        <v>3.5507128690837981</v>
      </c>
    </row>
    <row r="4572" spans="1:10" x14ac:dyDescent="0.35">
      <c r="A4572" s="5">
        <v>4568</v>
      </c>
      <c r="B4572" s="5">
        <v>191</v>
      </c>
      <c r="C4572" s="5">
        <v>7</v>
      </c>
      <c r="D4572" s="379">
        <v>22.772222222222219</v>
      </c>
      <c r="E4572" s="25">
        <v>24.84</v>
      </c>
      <c r="F4572" s="379">
        <v>4.531523744060129</v>
      </c>
      <c r="G4572" s="25">
        <v>31.42</v>
      </c>
      <c r="H4572" s="379">
        <v>6.0643389972521531</v>
      </c>
      <c r="I4572" s="25">
        <v>35.72</v>
      </c>
      <c r="J4572" s="379">
        <v>2.686702681683637</v>
      </c>
    </row>
    <row r="4573" spans="1:10" x14ac:dyDescent="0.35">
      <c r="A4573" s="5">
        <v>4569</v>
      </c>
      <c r="B4573" s="5">
        <v>191</v>
      </c>
      <c r="C4573" s="5">
        <v>7</v>
      </c>
      <c r="D4573" s="379">
        <v>22.886666666666667</v>
      </c>
      <c r="E4573" s="25">
        <v>24.84</v>
      </c>
      <c r="F4573" s="379">
        <v>0.47222222222222221</v>
      </c>
      <c r="G4573" s="25">
        <v>31.42</v>
      </c>
      <c r="H4573" s="379">
        <v>0.11559469890609009</v>
      </c>
      <c r="I4573" s="25">
        <v>35.72</v>
      </c>
      <c r="J4573" s="379">
        <v>2.777777777777778E-2</v>
      </c>
    </row>
    <row r="4574" spans="1:10" x14ac:dyDescent="0.35">
      <c r="A4574" s="5">
        <v>4570</v>
      </c>
      <c r="B4574" s="5">
        <v>191</v>
      </c>
      <c r="C4574" s="5">
        <v>7</v>
      </c>
      <c r="D4574" s="379">
        <v>23.72</v>
      </c>
      <c r="E4574" s="25">
        <v>24.84</v>
      </c>
      <c r="F4574" s="379">
        <v>2.9850954935910843</v>
      </c>
      <c r="G4574" s="25">
        <v>31.42</v>
      </c>
      <c r="H4574" s="379">
        <v>9.2108443118131503E-2</v>
      </c>
      <c r="I4574" s="25">
        <v>35.090000000000003</v>
      </c>
      <c r="J4574" s="379">
        <v>2.777777777777778E-2</v>
      </c>
    </row>
    <row r="4575" spans="1:10" x14ac:dyDescent="0.35">
      <c r="A4575" s="5">
        <v>4571</v>
      </c>
      <c r="B4575" s="5">
        <v>191</v>
      </c>
      <c r="C4575" s="5">
        <v>7</v>
      </c>
      <c r="D4575" s="379">
        <v>25.023333333333333</v>
      </c>
      <c r="E4575" s="25">
        <v>24.84</v>
      </c>
      <c r="F4575" s="379">
        <v>2.9777675178887195</v>
      </c>
      <c r="G4575" s="25">
        <v>31.42</v>
      </c>
      <c r="H4575" s="379">
        <v>8.8721532037428691E-2</v>
      </c>
      <c r="I4575" s="25">
        <v>35.090000000000003</v>
      </c>
      <c r="J4575" s="379">
        <v>2.777777777777778E-2</v>
      </c>
    </row>
    <row r="4576" spans="1:10" x14ac:dyDescent="0.35">
      <c r="A4576" s="5">
        <v>4572</v>
      </c>
      <c r="B4576" s="5">
        <v>191</v>
      </c>
      <c r="C4576" s="5">
        <v>7</v>
      </c>
      <c r="D4576" s="379">
        <v>27.657777777777781</v>
      </c>
      <c r="E4576" s="25">
        <v>24.84</v>
      </c>
      <c r="F4576" s="379">
        <v>2.9777675178887195</v>
      </c>
      <c r="G4576" s="25">
        <v>31.11</v>
      </c>
      <c r="H4576" s="379">
        <v>7.6020185438078203E-2</v>
      </c>
      <c r="I4576" s="25">
        <v>35.090000000000003</v>
      </c>
      <c r="J4576" s="379">
        <v>2.777777777777778E-2</v>
      </c>
    </row>
    <row r="4577" spans="1:10" x14ac:dyDescent="0.35">
      <c r="A4577" s="5">
        <v>4573</v>
      </c>
      <c r="B4577" s="5">
        <v>191</v>
      </c>
      <c r="C4577" s="5">
        <v>7</v>
      </c>
      <c r="D4577" s="379">
        <v>24.287777777777777</v>
      </c>
      <c r="E4577" s="25">
        <v>24.84</v>
      </c>
      <c r="F4577" s="379">
        <v>2.9520720317780227</v>
      </c>
      <c r="G4577" s="25">
        <v>31.11</v>
      </c>
      <c r="H4577" s="379">
        <v>0.12182147952260196</v>
      </c>
      <c r="I4577" s="25">
        <v>35.090000000000003</v>
      </c>
      <c r="J4577" s="379">
        <v>2.777777777777778E-2</v>
      </c>
    </row>
    <row r="4578" spans="1:10" x14ac:dyDescent="0.35">
      <c r="A4578" s="5">
        <v>4574</v>
      </c>
      <c r="B4578" s="5">
        <v>191</v>
      </c>
      <c r="C4578" s="5">
        <v>7</v>
      </c>
      <c r="D4578" s="379">
        <v>23.875555555555554</v>
      </c>
      <c r="E4578" s="25">
        <v>24.01</v>
      </c>
      <c r="F4578" s="379">
        <v>2.9777675178887195</v>
      </c>
      <c r="G4578" s="25">
        <v>31.11</v>
      </c>
      <c r="H4578" s="379">
        <v>8.2364969823642456E-2</v>
      </c>
      <c r="I4578" s="25">
        <v>35.090000000000003</v>
      </c>
      <c r="J4578" s="379">
        <v>0.29524718062190825</v>
      </c>
    </row>
    <row r="4579" spans="1:10" x14ac:dyDescent="0.35">
      <c r="A4579" s="5">
        <v>4575</v>
      </c>
      <c r="B4579" s="5">
        <v>191</v>
      </c>
      <c r="C4579" s="5">
        <v>7</v>
      </c>
      <c r="D4579" s="379">
        <v>25.982222222222219</v>
      </c>
      <c r="E4579" s="25">
        <v>24.01</v>
      </c>
      <c r="F4579" s="379">
        <v>2.9029484996881658</v>
      </c>
      <c r="G4579" s="25">
        <v>31.11</v>
      </c>
      <c r="H4579" s="379">
        <v>0.15522395048131726</v>
      </c>
      <c r="I4579" s="25">
        <v>35.090000000000003</v>
      </c>
      <c r="J4579" s="379">
        <v>0.29524718062190825</v>
      </c>
    </row>
    <row r="4580" spans="1:10" x14ac:dyDescent="0.35">
      <c r="A4580" s="5">
        <v>4576</v>
      </c>
      <c r="B4580" s="5">
        <v>191</v>
      </c>
      <c r="C4580" s="5">
        <v>7</v>
      </c>
      <c r="D4580" s="379">
        <v>28.976666666666667</v>
      </c>
      <c r="E4580" s="25">
        <v>24.84</v>
      </c>
      <c r="F4580" s="379">
        <v>2.9777675178887195</v>
      </c>
      <c r="G4580" s="25">
        <v>31.11</v>
      </c>
      <c r="H4580" s="379">
        <v>0.14169634147589424</v>
      </c>
      <c r="I4580" s="25">
        <v>35.090000000000003</v>
      </c>
      <c r="J4580" s="379">
        <v>0.2846924228569902</v>
      </c>
    </row>
    <row r="4581" spans="1:10" x14ac:dyDescent="0.35">
      <c r="A4581" s="5">
        <v>4577</v>
      </c>
      <c r="B4581" s="5">
        <v>191</v>
      </c>
      <c r="C4581" s="5">
        <v>7</v>
      </c>
      <c r="D4581" s="379">
        <v>42.107222222222219</v>
      </c>
      <c r="E4581" s="25">
        <v>24.84</v>
      </c>
      <c r="F4581" s="379">
        <v>7.495403343086568E-2</v>
      </c>
      <c r="G4581" s="25">
        <v>31.84</v>
      </c>
      <c r="H4581" s="379">
        <v>0.15748982129058545</v>
      </c>
      <c r="I4581" s="25">
        <v>35.090000000000003</v>
      </c>
      <c r="J4581" s="379">
        <v>0.32913920732801233</v>
      </c>
    </row>
    <row r="4582" spans="1:10" x14ac:dyDescent="0.35">
      <c r="A4582" s="5">
        <v>4578</v>
      </c>
      <c r="B4582" s="5">
        <v>191</v>
      </c>
      <c r="C4582" s="5">
        <v>7</v>
      </c>
      <c r="D4582" s="379">
        <v>56.532777777777774</v>
      </c>
      <c r="E4582" s="25">
        <v>24.84</v>
      </c>
      <c r="F4582" s="379">
        <v>5.8801119062027842</v>
      </c>
      <c r="G4582" s="25">
        <v>34.9</v>
      </c>
      <c r="H4582" s="379">
        <v>4.8605122622783625</v>
      </c>
      <c r="I4582" s="25">
        <v>43.96</v>
      </c>
      <c r="J4582" s="379">
        <v>0.98896490864349595</v>
      </c>
    </row>
    <row r="4583" spans="1:10" x14ac:dyDescent="0.35">
      <c r="A4583" s="5">
        <v>4579</v>
      </c>
      <c r="B4583" s="5">
        <v>191</v>
      </c>
      <c r="C4583" s="5">
        <v>7</v>
      </c>
      <c r="D4583" s="379">
        <v>74.50277777777778</v>
      </c>
      <c r="E4583" s="25">
        <v>24.84</v>
      </c>
      <c r="F4583" s="379">
        <v>15.485121384261939</v>
      </c>
      <c r="G4583" s="25">
        <v>36.6</v>
      </c>
      <c r="H4583" s="379">
        <v>9.6217009415185348</v>
      </c>
      <c r="I4583" s="25">
        <v>48.86</v>
      </c>
      <c r="J4583" s="379">
        <v>5.1597756175782656</v>
      </c>
    </row>
    <row r="4584" spans="1:10" x14ac:dyDescent="0.35">
      <c r="A4584" s="5">
        <v>4580</v>
      </c>
      <c r="B4584" s="5">
        <v>191</v>
      </c>
      <c r="C4584" s="5">
        <v>7</v>
      </c>
      <c r="D4584" s="379">
        <v>81.877222222222215</v>
      </c>
      <c r="E4584" s="25">
        <v>24.84</v>
      </c>
      <c r="F4584" s="379">
        <v>12.492638313578517</v>
      </c>
      <c r="G4584" s="25">
        <v>36.6</v>
      </c>
      <c r="H4584" s="379">
        <v>9.7545868699369844</v>
      </c>
      <c r="I4584" s="25">
        <v>48.09</v>
      </c>
      <c r="J4584" s="379">
        <v>5.0862168005988257</v>
      </c>
    </row>
    <row r="4585" spans="1:10" x14ac:dyDescent="0.35">
      <c r="A4585" s="5">
        <v>4581</v>
      </c>
      <c r="B4585" s="5">
        <v>191</v>
      </c>
      <c r="C4585" s="5">
        <v>7</v>
      </c>
      <c r="D4585" s="379">
        <v>84.365555555555559</v>
      </c>
      <c r="E4585" s="25">
        <v>24.84</v>
      </c>
      <c r="F4585" s="379">
        <v>12.334455806046423</v>
      </c>
      <c r="G4585" s="25">
        <v>36.6</v>
      </c>
      <c r="H4585" s="379">
        <v>9.6467146075730508</v>
      </c>
      <c r="I4585" s="25">
        <v>48.86</v>
      </c>
      <c r="J4585" s="379">
        <v>5.0862168005988257</v>
      </c>
    </row>
    <row r="4586" spans="1:10" x14ac:dyDescent="0.35">
      <c r="A4586" s="5">
        <v>4582</v>
      </c>
      <c r="B4586" s="5">
        <v>191</v>
      </c>
      <c r="C4586" s="5">
        <v>7</v>
      </c>
      <c r="D4586" s="379">
        <v>84.832222222222228</v>
      </c>
      <c r="E4586" s="25">
        <v>24.84</v>
      </c>
      <c r="F4586" s="379">
        <v>13.695179224471586</v>
      </c>
      <c r="G4586" s="25">
        <v>40.96</v>
      </c>
      <c r="H4586" s="379">
        <v>9.5513466721357769</v>
      </c>
      <c r="I4586" s="25">
        <v>49.71</v>
      </c>
      <c r="J4586" s="379">
        <v>4.9240901252500695</v>
      </c>
    </row>
    <row r="4587" spans="1:10" x14ac:dyDescent="0.35">
      <c r="A4587" s="5">
        <v>4583</v>
      </c>
      <c r="B4587" s="5">
        <v>191</v>
      </c>
      <c r="C4587" s="5">
        <v>7</v>
      </c>
      <c r="D4587" s="379">
        <v>81.796111111111117</v>
      </c>
      <c r="E4587" s="25">
        <v>24.84</v>
      </c>
      <c r="F4587" s="379">
        <v>15.187345570036079</v>
      </c>
      <c r="G4587" s="25">
        <v>36.6</v>
      </c>
      <c r="H4587" s="379">
        <v>9.6697957146627189</v>
      </c>
      <c r="I4587" s="25">
        <v>46.79</v>
      </c>
      <c r="J4587" s="379">
        <v>4.548848630281614</v>
      </c>
    </row>
    <row r="4588" spans="1:10" x14ac:dyDescent="0.35">
      <c r="A4588" s="5">
        <v>4584</v>
      </c>
      <c r="B4588" s="5">
        <v>191</v>
      </c>
      <c r="C4588" s="5">
        <v>7</v>
      </c>
      <c r="D4588" s="379">
        <v>74.540555555555557</v>
      </c>
      <c r="E4588" s="25">
        <v>24.84</v>
      </c>
      <c r="F4588" s="379">
        <v>14.789033065752529</v>
      </c>
      <c r="G4588" s="25">
        <v>31.42</v>
      </c>
      <c r="H4588" s="379">
        <v>9.3064084919583596</v>
      </c>
      <c r="I4588" s="25">
        <v>46.79</v>
      </c>
      <c r="J4588" s="379">
        <v>4.3289470619125261</v>
      </c>
    </row>
    <row r="4589" spans="1:10" x14ac:dyDescent="0.35">
      <c r="A4589" s="5">
        <v>4585</v>
      </c>
      <c r="B4589" s="5">
        <v>192</v>
      </c>
      <c r="C4589" s="5">
        <v>7</v>
      </c>
      <c r="D4589" s="379">
        <v>67.13333333333334</v>
      </c>
      <c r="E4589" s="25">
        <v>24.84</v>
      </c>
      <c r="F4589" s="379">
        <v>13.949250156648981</v>
      </c>
      <c r="G4589" s="25">
        <v>31.11</v>
      </c>
      <c r="H4589" s="379">
        <v>9.1636040426933949</v>
      </c>
      <c r="I4589" s="25">
        <v>42.68</v>
      </c>
      <c r="J4589" s="379">
        <v>4.6090329644070875</v>
      </c>
    </row>
    <row r="4590" spans="1:10" x14ac:dyDescent="0.35">
      <c r="A4590" s="5">
        <v>4586</v>
      </c>
      <c r="B4590" s="5">
        <v>192</v>
      </c>
      <c r="C4590" s="5">
        <v>7</v>
      </c>
      <c r="D4590" s="379">
        <v>65.919444444444437</v>
      </c>
      <c r="E4590" s="25">
        <v>23.59</v>
      </c>
      <c r="F4590" s="379">
        <v>14.142891311808629</v>
      </c>
      <c r="G4590" s="25">
        <v>30.93</v>
      </c>
      <c r="H4590" s="379">
        <v>8.7515828820595924</v>
      </c>
      <c r="I4590" s="25">
        <v>35.72</v>
      </c>
      <c r="J4590" s="379">
        <v>3.3034760886798291</v>
      </c>
    </row>
    <row r="4591" spans="1:10" x14ac:dyDescent="0.35">
      <c r="A4591" s="5">
        <v>4587</v>
      </c>
      <c r="B4591" s="5">
        <v>192</v>
      </c>
      <c r="C4591" s="5">
        <v>7</v>
      </c>
      <c r="D4591" s="379">
        <v>64.839444444444453</v>
      </c>
      <c r="E4591" s="25">
        <v>23.59</v>
      </c>
      <c r="F4591" s="379">
        <v>13.273587155720481</v>
      </c>
      <c r="G4591" s="25">
        <v>30.93</v>
      </c>
      <c r="H4591" s="379">
        <v>8.391591428085917</v>
      </c>
      <c r="I4591" s="25">
        <v>35.72</v>
      </c>
      <c r="J4591" s="379">
        <v>2.6597622081117951</v>
      </c>
    </row>
    <row r="4592" spans="1:10" x14ac:dyDescent="0.35">
      <c r="A4592" s="5">
        <v>4588</v>
      </c>
      <c r="B4592" s="5">
        <v>192</v>
      </c>
      <c r="C4592" s="5">
        <v>7</v>
      </c>
      <c r="D4592" s="379">
        <v>65.552222222222227</v>
      </c>
      <c r="E4592" s="25">
        <v>24.01</v>
      </c>
      <c r="F4592" s="379">
        <v>12.088782274465515</v>
      </c>
      <c r="G4592" s="25">
        <v>30.93</v>
      </c>
      <c r="H4592" s="379">
        <v>7.7936652948474441</v>
      </c>
      <c r="I4592" s="25">
        <v>35.72</v>
      </c>
      <c r="J4592" s="379">
        <v>4.3017336519111176</v>
      </c>
    </row>
    <row r="4593" spans="1:10" x14ac:dyDescent="0.35">
      <c r="A4593" s="5">
        <v>4589</v>
      </c>
      <c r="B4593" s="5">
        <v>192</v>
      </c>
      <c r="C4593" s="5">
        <v>7</v>
      </c>
      <c r="D4593" s="379">
        <v>70.180555555555557</v>
      </c>
      <c r="E4593" s="25">
        <v>24.84</v>
      </c>
      <c r="F4593" s="379">
        <v>12.853006501677264</v>
      </c>
      <c r="G4593" s="25">
        <v>30.93</v>
      </c>
      <c r="H4593" s="379">
        <v>8.7692565639084741</v>
      </c>
      <c r="I4593" s="25">
        <v>35.72</v>
      </c>
      <c r="J4593" s="379">
        <v>3.7817902067900921</v>
      </c>
    </row>
    <row r="4594" spans="1:10" x14ac:dyDescent="0.35">
      <c r="A4594" s="5">
        <v>4590</v>
      </c>
      <c r="B4594" s="5">
        <v>192</v>
      </c>
      <c r="C4594" s="5">
        <v>7</v>
      </c>
      <c r="D4594" s="379">
        <v>85.911666666666662</v>
      </c>
      <c r="E4594" s="25">
        <v>24.84</v>
      </c>
      <c r="F4594" s="379">
        <v>7.2812336791895813</v>
      </c>
      <c r="G4594" s="25">
        <v>30.93</v>
      </c>
      <c r="H4594" s="379">
        <v>7.2265580374481084</v>
      </c>
      <c r="I4594" s="25">
        <v>35.72</v>
      </c>
      <c r="J4594" s="379">
        <v>3.9740962077609043</v>
      </c>
    </row>
    <row r="4595" spans="1:10" x14ac:dyDescent="0.35">
      <c r="A4595" s="5">
        <v>4591</v>
      </c>
      <c r="B4595" s="5">
        <v>192</v>
      </c>
      <c r="C4595" s="5">
        <v>7</v>
      </c>
      <c r="D4595" s="379">
        <v>91.23333333333332</v>
      </c>
      <c r="E4595" s="25">
        <v>24.84</v>
      </c>
      <c r="F4595" s="379">
        <v>13.287100988822996</v>
      </c>
      <c r="G4595" s="25">
        <v>30.93</v>
      </c>
      <c r="H4595" s="379">
        <v>7.7494430973592943</v>
      </c>
      <c r="I4595" s="25">
        <v>35.72</v>
      </c>
      <c r="J4595" s="379">
        <v>6.6414928542873941</v>
      </c>
    </row>
    <row r="4596" spans="1:10" x14ac:dyDescent="0.35">
      <c r="A4596" s="5">
        <v>4592</v>
      </c>
      <c r="B4596" s="5">
        <v>192</v>
      </c>
      <c r="C4596" s="5">
        <v>7</v>
      </c>
      <c r="D4596" s="379">
        <v>93.568333333333328</v>
      </c>
      <c r="E4596" s="25">
        <v>24.84</v>
      </c>
      <c r="F4596" s="379">
        <v>11.066387323673581</v>
      </c>
      <c r="G4596" s="25">
        <v>31.24</v>
      </c>
      <c r="H4596" s="379">
        <v>7.4897935248849032</v>
      </c>
      <c r="I4596" s="25">
        <v>35.72</v>
      </c>
      <c r="J4596" s="379">
        <v>6.7515257122107837</v>
      </c>
    </row>
    <row r="4597" spans="1:10" x14ac:dyDescent="0.35">
      <c r="A4597" s="5">
        <v>4593</v>
      </c>
      <c r="B4597" s="5">
        <v>192</v>
      </c>
      <c r="C4597" s="5">
        <v>7</v>
      </c>
      <c r="D4597" s="379">
        <v>89.842222222222205</v>
      </c>
      <c r="E4597" s="25">
        <v>24.84</v>
      </c>
      <c r="F4597" s="379">
        <v>8.1174834595959595</v>
      </c>
      <c r="G4597" s="25">
        <v>34.9</v>
      </c>
      <c r="H4597" s="379">
        <v>7.6504940790408229</v>
      </c>
      <c r="I4597" s="25">
        <v>35.72</v>
      </c>
      <c r="J4597" s="379">
        <v>5.0921620131294771</v>
      </c>
    </row>
    <row r="4598" spans="1:10" x14ac:dyDescent="0.35">
      <c r="A4598" s="5">
        <v>4594</v>
      </c>
      <c r="B4598" s="5">
        <v>192</v>
      </c>
      <c r="C4598" s="5">
        <v>7</v>
      </c>
      <c r="D4598" s="379">
        <v>87.659444444444446</v>
      </c>
      <c r="E4598" s="25">
        <v>24.84</v>
      </c>
      <c r="F4598" s="379">
        <v>0.47222222222222221</v>
      </c>
      <c r="G4598" s="25">
        <v>31.11</v>
      </c>
      <c r="H4598" s="379">
        <v>1.1652002360796823</v>
      </c>
      <c r="I4598" s="25">
        <v>35.409999999999997</v>
      </c>
      <c r="J4598" s="379">
        <v>4.0409988017068637</v>
      </c>
    </row>
    <row r="4599" spans="1:10" x14ac:dyDescent="0.35">
      <c r="A4599" s="5">
        <v>4595</v>
      </c>
      <c r="B4599" s="5">
        <v>192</v>
      </c>
      <c r="C4599" s="5">
        <v>7</v>
      </c>
      <c r="D4599" s="379">
        <v>85.543333333333322</v>
      </c>
      <c r="E4599" s="25">
        <v>24.84</v>
      </c>
      <c r="F4599" s="379">
        <v>5.2110189433060174</v>
      </c>
      <c r="G4599" s="25">
        <v>31.11</v>
      </c>
      <c r="H4599" s="379">
        <v>0.77036473277899975</v>
      </c>
      <c r="I4599" s="25">
        <v>35.409999999999997</v>
      </c>
      <c r="J4599" s="379">
        <v>0.15799975139466277</v>
      </c>
    </row>
    <row r="4600" spans="1:10" x14ac:dyDescent="0.35">
      <c r="A4600" s="5">
        <v>4596</v>
      </c>
      <c r="B4600" s="5">
        <v>192</v>
      </c>
      <c r="C4600" s="5">
        <v>7</v>
      </c>
      <c r="D4600" s="379">
        <v>80.84666666666665</v>
      </c>
      <c r="E4600" s="25">
        <v>24.56</v>
      </c>
      <c r="F4600" s="379">
        <v>5.2110189433060174</v>
      </c>
      <c r="G4600" s="25">
        <v>31.11</v>
      </c>
      <c r="H4600" s="379">
        <v>1.5140121019048185</v>
      </c>
      <c r="I4600" s="25">
        <v>35.409999999999997</v>
      </c>
      <c r="J4600" s="379">
        <v>0.96666241966074784</v>
      </c>
    </row>
    <row r="4601" spans="1:10" x14ac:dyDescent="0.35">
      <c r="A4601" s="5">
        <v>4597</v>
      </c>
      <c r="B4601" s="5">
        <v>192</v>
      </c>
      <c r="C4601" s="5">
        <v>7</v>
      </c>
      <c r="D4601" s="379">
        <v>78.617222222222225</v>
      </c>
      <c r="E4601" s="25">
        <v>23.59</v>
      </c>
      <c r="F4601" s="379">
        <v>5.2110189433060174</v>
      </c>
      <c r="G4601" s="25">
        <v>31.11</v>
      </c>
      <c r="H4601" s="379">
        <v>1.6275618181830607</v>
      </c>
      <c r="I4601" s="25">
        <v>35.06</v>
      </c>
      <c r="J4601" s="379">
        <v>1.3925490504026943</v>
      </c>
    </row>
    <row r="4602" spans="1:10" x14ac:dyDescent="0.35">
      <c r="A4602" s="5">
        <v>4598</v>
      </c>
      <c r="B4602" s="5">
        <v>192</v>
      </c>
      <c r="C4602" s="5">
        <v>7</v>
      </c>
      <c r="D4602" s="379">
        <v>72.812777777777768</v>
      </c>
      <c r="E4602" s="25">
        <v>23.55</v>
      </c>
      <c r="F4602" s="379">
        <v>5.2110189433060174</v>
      </c>
      <c r="G4602" s="25">
        <v>30.93</v>
      </c>
      <c r="H4602" s="379">
        <v>2.0910412402286958</v>
      </c>
      <c r="I4602" s="25">
        <v>35.06</v>
      </c>
      <c r="J4602" s="379">
        <v>2.0258047102166388</v>
      </c>
    </row>
    <row r="4603" spans="1:10" x14ac:dyDescent="0.35">
      <c r="A4603" s="5">
        <v>4599</v>
      </c>
      <c r="B4603" s="5">
        <v>192</v>
      </c>
      <c r="C4603" s="5">
        <v>7</v>
      </c>
      <c r="D4603" s="379">
        <v>69.910555555555561</v>
      </c>
      <c r="E4603" s="25">
        <v>23.55</v>
      </c>
      <c r="F4603" s="379">
        <v>5.2110189433060174</v>
      </c>
      <c r="G4603" s="25">
        <v>30.93</v>
      </c>
      <c r="H4603" s="379">
        <v>2.4051636594920054</v>
      </c>
      <c r="I4603" s="25">
        <v>34.89</v>
      </c>
      <c r="J4603" s="379">
        <v>1.7883689809652104</v>
      </c>
    </row>
    <row r="4604" spans="1:10" x14ac:dyDescent="0.35">
      <c r="A4604" s="5">
        <v>4600</v>
      </c>
      <c r="B4604" s="5">
        <v>192</v>
      </c>
      <c r="C4604" s="5">
        <v>7</v>
      </c>
      <c r="D4604" s="379">
        <v>72.813888888888883</v>
      </c>
      <c r="E4604" s="25">
        <v>23.84</v>
      </c>
      <c r="F4604" s="379">
        <v>5.2110189433060174</v>
      </c>
      <c r="G4604" s="25">
        <v>30.93</v>
      </c>
      <c r="H4604" s="379">
        <v>6.6948636270401352</v>
      </c>
      <c r="I4604" s="25">
        <v>35.06</v>
      </c>
      <c r="J4604" s="379">
        <v>1.8879946940242149</v>
      </c>
    </row>
    <row r="4605" spans="1:10" x14ac:dyDescent="0.35">
      <c r="A4605" s="5">
        <v>4601</v>
      </c>
      <c r="B4605" s="5">
        <v>192</v>
      </c>
      <c r="C4605" s="5">
        <v>7</v>
      </c>
      <c r="D4605" s="379">
        <v>81.75833333333334</v>
      </c>
      <c r="E4605" s="25">
        <v>24</v>
      </c>
      <c r="F4605" s="379">
        <v>8.1174834595959595</v>
      </c>
      <c r="G4605" s="25">
        <v>30.93</v>
      </c>
      <c r="H4605" s="379">
        <v>2.5923501764644983</v>
      </c>
      <c r="I4605" s="25">
        <v>35.06</v>
      </c>
      <c r="J4605" s="379">
        <v>1.7021220589968493</v>
      </c>
    </row>
    <row r="4606" spans="1:10" x14ac:dyDescent="0.35">
      <c r="A4606" s="5">
        <v>4602</v>
      </c>
      <c r="B4606" s="5">
        <v>192</v>
      </c>
      <c r="C4606" s="5">
        <v>7</v>
      </c>
      <c r="D4606" s="379">
        <v>88.163333333333327</v>
      </c>
      <c r="E4606" s="25">
        <v>24.84</v>
      </c>
      <c r="F4606" s="379">
        <v>8.4429512611752671</v>
      </c>
      <c r="G4606" s="25">
        <v>31.24</v>
      </c>
      <c r="H4606" s="379">
        <v>8.2085179284562635</v>
      </c>
      <c r="I4606" s="25">
        <v>35.72</v>
      </c>
      <c r="J4606" s="379">
        <v>5.6978721500934002</v>
      </c>
    </row>
    <row r="4607" spans="1:10" x14ac:dyDescent="0.35">
      <c r="A4607" s="5">
        <v>4603</v>
      </c>
      <c r="B4607" s="5">
        <v>192</v>
      </c>
      <c r="C4607" s="5">
        <v>7</v>
      </c>
      <c r="D4607" s="379">
        <v>92.816111111111098</v>
      </c>
      <c r="E4607" s="25">
        <v>24.84</v>
      </c>
      <c r="F4607" s="379">
        <v>16.530055510233797</v>
      </c>
      <c r="G4607" s="25">
        <v>32.79</v>
      </c>
      <c r="H4607" s="379">
        <v>9.7002804261153752</v>
      </c>
      <c r="I4607" s="25">
        <v>47.31</v>
      </c>
      <c r="J4607" s="379">
        <v>6.9602543087263662</v>
      </c>
    </row>
    <row r="4608" spans="1:10" x14ac:dyDescent="0.35">
      <c r="A4608" s="5">
        <v>4604</v>
      </c>
      <c r="B4608" s="5">
        <v>192</v>
      </c>
      <c r="C4608" s="5">
        <v>7</v>
      </c>
      <c r="D4608" s="379">
        <v>90.460555555555558</v>
      </c>
      <c r="E4608" s="25">
        <v>24.84</v>
      </c>
      <c r="F4608" s="379">
        <v>13.018148756200498</v>
      </c>
      <c r="G4608" s="25">
        <v>32.79</v>
      </c>
      <c r="H4608" s="379">
        <v>10.188340704698019</v>
      </c>
      <c r="I4608" s="25">
        <v>51.76</v>
      </c>
      <c r="J4608" s="379">
        <v>6.668103545914283</v>
      </c>
    </row>
    <row r="4609" spans="1:10" x14ac:dyDescent="0.35">
      <c r="A4609" s="5">
        <v>4605</v>
      </c>
      <c r="B4609" s="5">
        <v>192</v>
      </c>
      <c r="C4609" s="5">
        <v>7</v>
      </c>
      <c r="D4609" s="379">
        <v>85.003888888888895</v>
      </c>
      <c r="E4609" s="25">
        <v>24.84</v>
      </c>
      <c r="F4609" s="379">
        <v>12.603629376197336</v>
      </c>
      <c r="G4609" s="25">
        <v>32.79</v>
      </c>
      <c r="H4609" s="379">
        <v>9.3266206420943334</v>
      </c>
      <c r="I4609" s="25">
        <v>53.27</v>
      </c>
      <c r="J4609" s="379">
        <v>6.6797717618983796</v>
      </c>
    </row>
    <row r="4610" spans="1:10" x14ac:dyDescent="0.35">
      <c r="A4610" s="5">
        <v>4606</v>
      </c>
      <c r="B4610" s="5">
        <v>192</v>
      </c>
      <c r="C4610" s="5">
        <v>7</v>
      </c>
      <c r="D4610" s="379">
        <v>81.556111111111107</v>
      </c>
      <c r="E4610" s="25">
        <v>24.84</v>
      </c>
      <c r="F4610" s="379">
        <v>16.604727670317363</v>
      </c>
      <c r="G4610" s="25">
        <v>39.770000000000003</v>
      </c>
      <c r="H4610" s="379">
        <v>9.7518190983073598</v>
      </c>
      <c r="I4610" s="25">
        <v>58.7</v>
      </c>
      <c r="J4610" s="379">
        <v>6.5310977290544878</v>
      </c>
    </row>
    <row r="4611" spans="1:10" x14ac:dyDescent="0.35">
      <c r="A4611" s="5">
        <v>4607</v>
      </c>
      <c r="B4611" s="5">
        <v>192</v>
      </c>
      <c r="C4611" s="5">
        <v>7</v>
      </c>
      <c r="D4611" s="379">
        <v>76.636666666666642</v>
      </c>
      <c r="E4611" s="25">
        <v>24.84</v>
      </c>
      <c r="F4611" s="379">
        <v>16.486960096165859</v>
      </c>
      <c r="G4611" s="25">
        <v>36.75</v>
      </c>
      <c r="H4611" s="379">
        <v>8.8500268239536322</v>
      </c>
      <c r="I4611" s="25">
        <v>53.32</v>
      </c>
      <c r="J4611" s="379">
        <v>6.6823373717044703</v>
      </c>
    </row>
    <row r="4612" spans="1:10" x14ac:dyDescent="0.35">
      <c r="A4612" s="5">
        <v>4608</v>
      </c>
      <c r="B4612" s="5">
        <v>192</v>
      </c>
      <c r="C4612" s="5">
        <v>7</v>
      </c>
      <c r="D4612" s="379">
        <v>74.156111111111102</v>
      </c>
      <c r="E4612" s="25">
        <v>24.56</v>
      </c>
      <c r="F4612" s="379">
        <v>16.603812310963267</v>
      </c>
      <c r="G4612" s="25">
        <v>31.24</v>
      </c>
      <c r="H4612" s="379">
        <v>9.4746720112306537</v>
      </c>
      <c r="I4612" s="25">
        <v>50.21</v>
      </c>
      <c r="J4612" s="379">
        <v>6.9771994606533365</v>
      </c>
    </row>
    <row r="4613" spans="1:10" x14ac:dyDescent="0.35">
      <c r="A4613" s="5">
        <v>4609</v>
      </c>
      <c r="B4613" s="5">
        <v>193</v>
      </c>
      <c r="C4613" s="5">
        <v>7</v>
      </c>
      <c r="D4613" s="379">
        <v>69.098888888888894</v>
      </c>
      <c r="E4613" s="25">
        <v>23.59</v>
      </c>
      <c r="F4613" s="379">
        <v>16.893908686888409</v>
      </c>
      <c r="G4613" s="25">
        <v>31.86</v>
      </c>
      <c r="H4613" s="379">
        <v>8.5671287101728471</v>
      </c>
      <c r="I4613" s="25">
        <v>50.21</v>
      </c>
      <c r="J4613" s="379">
        <v>7.1558130994703451</v>
      </c>
    </row>
    <row r="4614" spans="1:10" x14ac:dyDescent="0.35">
      <c r="A4614" s="5">
        <v>4610</v>
      </c>
      <c r="B4614" s="5">
        <v>193</v>
      </c>
      <c r="C4614" s="5">
        <v>7</v>
      </c>
      <c r="D4614" s="379">
        <v>66.673888888888897</v>
      </c>
      <c r="E4614" s="25">
        <v>23.41</v>
      </c>
      <c r="F4614" s="379">
        <v>16.392653502156904</v>
      </c>
      <c r="G4614" s="25">
        <v>31.24</v>
      </c>
      <c r="H4614" s="379">
        <v>8.7303653072133276</v>
      </c>
      <c r="I4614" s="25">
        <v>51.72</v>
      </c>
      <c r="J4614" s="379">
        <v>7.1265209587698912</v>
      </c>
    </row>
    <row r="4615" spans="1:10" x14ac:dyDescent="0.35">
      <c r="A4615" s="5">
        <v>4611</v>
      </c>
      <c r="B4615" s="5">
        <v>193</v>
      </c>
      <c r="C4615" s="5">
        <v>7</v>
      </c>
      <c r="D4615" s="379">
        <v>66.713333333333338</v>
      </c>
      <c r="E4615" s="25">
        <v>23.41</v>
      </c>
      <c r="F4615" s="379">
        <v>15.589965915165131</v>
      </c>
      <c r="G4615" s="25">
        <v>31.24</v>
      </c>
      <c r="H4615" s="379">
        <v>8.8105841003077856</v>
      </c>
      <c r="I4615" s="25">
        <v>51.72</v>
      </c>
      <c r="J4615" s="379">
        <v>7.1409399059528571</v>
      </c>
    </row>
    <row r="4616" spans="1:10" x14ac:dyDescent="0.35">
      <c r="A4616" s="5">
        <v>4612</v>
      </c>
      <c r="B4616" s="5">
        <v>193</v>
      </c>
      <c r="C4616" s="5">
        <v>7</v>
      </c>
      <c r="D4616" s="379">
        <v>67.128888888888881</v>
      </c>
      <c r="E4616" s="25">
        <v>23.73</v>
      </c>
      <c r="F4616" s="379">
        <v>16.75829549749627</v>
      </c>
      <c r="G4616" s="25">
        <v>31.24</v>
      </c>
      <c r="H4616" s="379">
        <v>9.1796038455544764</v>
      </c>
      <c r="I4616" s="25">
        <v>53.27</v>
      </c>
      <c r="J4616" s="379">
        <v>7.2989164289522837</v>
      </c>
    </row>
    <row r="4617" spans="1:10" x14ac:dyDescent="0.35">
      <c r="A4617" s="5">
        <v>4613</v>
      </c>
      <c r="B4617" s="5">
        <v>193</v>
      </c>
      <c r="C4617" s="5">
        <v>7</v>
      </c>
      <c r="D4617" s="379">
        <v>69.583333333333329</v>
      </c>
      <c r="E4617" s="25">
        <v>24.56</v>
      </c>
      <c r="F4617" s="379">
        <v>16.691158402447968</v>
      </c>
      <c r="G4617" s="25">
        <v>41.75</v>
      </c>
      <c r="H4617" s="379">
        <v>8.866802722392876</v>
      </c>
      <c r="I4617" s="25">
        <v>53.27</v>
      </c>
      <c r="J4617" s="379">
        <v>7.3616135392293627</v>
      </c>
    </row>
    <row r="4618" spans="1:10" x14ac:dyDescent="0.35">
      <c r="A4618" s="5">
        <v>4614</v>
      </c>
      <c r="B4618" s="5">
        <v>193</v>
      </c>
      <c r="C4618" s="5">
        <v>7</v>
      </c>
      <c r="D4618" s="379">
        <v>76.785555555555547</v>
      </c>
      <c r="E4618" s="25">
        <v>24.84</v>
      </c>
      <c r="F4618" s="379">
        <v>17.494462153171764</v>
      </c>
      <c r="G4618" s="25">
        <v>43.56</v>
      </c>
      <c r="H4618" s="379">
        <v>8.7622278020696687</v>
      </c>
      <c r="I4618" s="25">
        <v>60.85</v>
      </c>
      <c r="J4618" s="379">
        <v>7.3004410213082052</v>
      </c>
    </row>
    <row r="4619" spans="1:10" x14ac:dyDescent="0.35">
      <c r="A4619" s="5">
        <v>4615</v>
      </c>
      <c r="B4619" s="5">
        <v>193</v>
      </c>
      <c r="C4619" s="5">
        <v>7</v>
      </c>
      <c r="D4619" s="379">
        <v>84.88000000000001</v>
      </c>
      <c r="E4619" s="25">
        <v>24.84</v>
      </c>
      <c r="F4619" s="379">
        <v>18.455453549396957</v>
      </c>
      <c r="G4619" s="25">
        <v>47.46</v>
      </c>
      <c r="H4619" s="379">
        <v>10.167381497799811</v>
      </c>
      <c r="I4619" s="25">
        <v>64.14</v>
      </c>
      <c r="J4619" s="379">
        <v>7.1104914587485464</v>
      </c>
    </row>
    <row r="4620" spans="1:10" x14ac:dyDescent="0.35">
      <c r="A4620" s="5">
        <v>4616</v>
      </c>
      <c r="B4620" s="5">
        <v>193</v>
      </c>
      <c r="C4620" s="5">
        <v>7</v>
      </c>
      <c r="D4620" s="379">
        <v>87.473333333333329</v>
      </c>
      <c r="E4620" s="25">
        <v>25.59</v>
      </c>
      <c r="F4620" s="379">
        <v>10.361851742457231</v>
      </c>
      <c r="G4620" s="25">
        <v>47.46</v>
      </c>
      <c r="H4620" s="379">
        <v>8.7183471258487693</v>
      </c>
      <c r="I4620" s="25">
        <v>66.06</v>
      </c>
      <c r="J4620" s="379">
        <v>6.9876219597804168</v>
      </c>
    </row>
    <row r="4621" spans="1:10" x14ac:dyDescent="0.35">
      <c r="A4621" s="5">
        <v>4617</v>
      </c>
      <c r="B4621" s="5">
        <v>193</v>
      </c>
      <c r="C4621" s="5">
        <v>7</v>
      </c>
      <c r="D4621" s="379">
        <v>77.167222222222208</v>
      </c>
      <c r="E4621" s="25">
        <v>25.59</v>
      </c>
      <c r="F4621" s="379">
        <v>8.1174834595959613</v>
      </c>
      <c r="G4621" s="25">
        <v>47.46</v>
      </c>
      <c r="H4621" s="379">
        <v>6.8617292566741579</v>
      </c>
      <c r="I4621" s="25">
        <v>62.27</v>
      </c>
      <c r="J4621" s="379">
        <v>3.0801342760766355</v>
      </c>
    </row>
    <row r="4622" spans="1:10" x14ac:dyDescent="0.35">
      <c r="A4622" s="5">
        <v>4618</v>
      </c>
      <c r="B4622" s="5">
        <v>193</v>
      </c>
      <c r="C4622" s="5">
        <v>7</v>
      </c>
      <c r="D4622" s="379">
        <v>74.47444444444443</v>
      </c>
      <c r="E4622" s="25">
        <v>24.99</v>
      </c>
      <c r="F4622" s="379">
        <v>1.252223250947837</v>
      </c>
      <c r="G4622" s="25">
        <v>47.46</v>
      </c>
      <c r="H4622" s="379">
        <v>4.5612060461556325</v>
      </c>
      <c r="I4622" s="25">
        <v>56.77</v>
      </c>
      <c r="J4622" s="379">
        <v>0.27777777777777779</v>
      </c>
    </row>
    <row r="4623" spans="1:10" x14ac:dyDescent="0.35">
      <c r="A4623" s="5">
        <v>4619</v>
      </c>
      <c r="B4623" s="5">
        <v>193</v>
      </c>
      <c r="C4623" s="5">
        <v>7</v>
      </c>
      <c r="D4623" s="379">
        <v>73.807777777777773</v>
      </c>
      <c r="E4623" s="25">
        <v>24.99</v>
      </c>
      <c r="F4623" s="379">
        <v>1.657819060232141</v>
      </c>
      <c r="G4623" s="25">
        <v>47.46</v>
      </c>
      <c r="H4623" s="379">
        <v>4.7974913147176208</v>
      </c>
      <c r="I4623" s="25">
        <v>53.71</v>
      </c>
      <c r="J4623" s="379">
        <v>0.27777777777777779</v>
      </c>
    </row>
    <row r="4624" spans="1:10" x14ac:dyDescent="0.35">
      <c r="A4624" s="5">
        <v>4620</v>
      </c>
      <c r="B4624" s="5">
        <v>193</v>
      </c>
      <c r="C4624" s="5">
        <v>7</v>
      </c>
      <c r="D4624" s="379">
        <v>68.040000000000006</v>
      </c>
      <c r="E4624" s="25">
        <v>24.84</v>
      </c>
      <c r="F4624" s="379">
        <v>3.6204379227697792</v>
      </c>
      <c r="G4624" s="25">
        <v>43.56</v>
      </c>
      <c r="H4624" s="379">
        <v>5.1162609588707397</v>
      </c>
      <c r="I4624" s="25">
        <v>53.27</v>
      </c>
      <c r="J4624" s="379">
        <v>0.27777777777777779</v>
      </c>
    </row>
    <row r="4625" spans="1:10" x14ac:dyDescent="0.35">
      <c r="A4625" s="5">
        <v>4621</v>
      </c>
      <c r="B4625" s="5">
        <v>193</v>
      </c>
      <c r="C4625" s="5">
        <v>7</v>
      </c>
      <c r="D4625" s="379">
        <v>66.795555555555552</v>
      </c>
      <c r="E4625" s="25">
        <v>24.84</v>
      </c>
      <c r="F4625" s="379">
        <v>2.4577356375811816</v>
      </c>
      <c r="G4625" s="25">
        <v>43.56</v>
      </c>
      <c r="H4625" s="379">
        <v>4.3614061618562889</v>
      </c>
      <c r="I4625" s="25">
        <v>52.24</v>
      </c>
      <c r="J4625" s="379">
        <v>0.27777777777777779</v>
      </c>
    </row>
    <row r="4626" spans="1:10" x14ac:dyDescent="0.35">
      <c r="A4626" s="5">
        <v>4622</v>
      </c>
      <c r="B4626" s="5">
        <v>193</v>
      </c>
      <c r="C4626" s="5">
        <v>7</v>
      </c>
      <c r="D4626" s="379">
        <v>66.190555555555548</v>
      </c>
      <c r="E4626" s="25">
        <v>24.84</v>
      </c>
      <c r="F4626" s="379">
        <v>3.761853784663336</v>
      </c>
      <c r="G4626" s="25">
        <v>43.56</v>
      </c>
      <c r="H4626" s="379">
        <v>5.0624994896932263</v>
      </c>
      <c r="I4626" s="25">
        <v>51.72</v>
      </c>
      <c r="J4626" s="379">
        <v>0.27777777777777779</v>
      </c>
    </row>
    <row r="4627" spans="1:10" x14ac:dyDescent="0.35">
      <c r="A4627" s="5">
        <v>4623</v>
      </c>
      <c r="B4627" s="5">
        <v>193</v>
      </c>
      <c r="C4627" s="5">
        <v>7</v>
      </c>
      <c r="D4627" s="379">
        <v>68.918888888888887</v>
      </c>
      <c r="E4627" s="25">
        <v>24.84</v>
      </c>
      <c r="F4627" s="379">
        <v>2.5886777874100697</v>
      </c>
      <c r="G4627" s="25">
        <v>42.17</v>
      </c>
      <c r="H4627" s="379">
        <v>5.0846976915155491</v>
      </c>
      <c r="I4627" s="25">
        <v>51.72</v>
      </c>
      <c r="J4627" s="379">
        <v>0.27777777777777779</v>
      </c>
    </row>
    <row r="4628" spans="1:10" x14ac:dyDescent="0.35">
      <c r="A4628" s="5">
        <v>4624</v>
      </c>
      <c r="B4628" s="5">
        <v>193</v>
      </c>
      <c r="C4628" s="5">
        <v>7</v>
      </c>
      <c r="D4628" s="379">
        <v>75.172222222222217</v>
      </c>
      <c r="E4628" s="25">
        <v>24.84</v>
      </c>
      <c r="F4628" s="379">
        <v>8.1174834595959595</v>
      </c>
      <c r="G4628" s="25">
        <v>42.17</v>
      </c>
      <c r="H4628" s="379">
        <v>5.1230631157962652</v>
      </c>
      <c r="I4628" s="25">
        <v>51.72</v>
      </c>
      <c r="J4628" s="379">
        <v>0.27777777777777779</v>
      </c>
    </row>
    <row r="4629" spans="1:10" x14ac:dyDescent="0.35">
      <c r="A4629" s="5">
        <v>4625</v>
      </c>
      <c r="B4629" s="5">
        <v>193</v>
      </c>
      <c r="C4629" s="5">
        <v>7</v>
      </c>
      <c r="D4629" s="379">
        <v>88.159444444444446</v>
      </c>
      <c r="E4629" s="25">
        <v>24.84</v>
      </c>
      <c r="F4629" s="379">
        <v>8.1174834595959577</v>
      </c>
      <c r="G4629" s="25">
        <v>42.29</v>
      </c>
      <c r="H4629" s="379">
        <v>5.1897056995191937</v>
      </c>
      <c r="I4629" s="25">
        <v>51.72</v>
      </c>
      <c r="J4629" s="379">
        <v>0.27777777777777779</v>
      </c>
    </row>
    <row r="4630" spans="1:10" x14ac:dyDescent="0.35">
      <c r="A4630" s="5">
        <v>4626</v>
      </c>
      <c r="B4630" s="5">
        <v>193</v>
      </c>
      <c r="C4630" s="5">
        <v>7</v>
      </c>
      <c r="D4630" s="379">
        <v>92.251666666666651</v>
      </c>
      <c r="E4630" s="25">
        <v>24.84</v>
      </c>
      <c r="F4630" s="379">
        <v>8.1174834595959577</v>
      </c>
      <c r="G4630" s="25">
        <v>43.56</v>
      </c>
      <c r="H4630" s="379">
        <v>6.8763058936426633</v>
      </c>
      <c r="I4630" s="25">
        <v>51.72</v>
      </c>
      <c r="J4630" s="379">
        <v>4.3082045922605028</v>
      </c>
    </row>
    <row r="4631" spans="1:10" x14ac:dyDescent="0.35">
      <c r="A4631" s="5">
        <v>4627</v>
      </c>
      <c r="B4631" s="5">
        <v>193</v>
      </c>
      <c r="C4631" s="5">
        <v>7</v>
      </c>
      <c r="D4631" s="379">
        <v>96.925555555555562</v>
      </c>
      <c r="E4631" s="25">
        <v>24.84</v>
      </c>
      <c r="F4631" s="379">
        <v>9.7708754210824722</v>
      </c>
      <c r="G4631" s="25">
        <v>43.56</v>
      </c>
      <c r="H4631" s="379">
        <v>8.1647868887284893</v>
      </c>
      <c r="I4631" s="25">
        <v>53.71</v>
      </c>
      <c r="J4631" s="379">
        <v>6.0261739417444016</v>
      </c>
    </row>
    <row r="4632" spans="1:10" x14ac:dyDescent="0.35">
      <c r="A4632" s="5">
        <v>4628</v>
      </c>
      <c r="B4632" s="5">
        <v>193</v>
      </c>
      <c r="C4632" s="5">
        <v>7</v>
      </c>
      <c r="D4632" s="379">
        <v>98.687777777777782</v>
      </c>
      <c r="E4632" s="25">
        <v>24.84</v>
      </c>
      <c r="F4632" s="379">
        <v>14.961051733755431</v>
      </c>
      <c r="G4632" s="25">
        <v>43.56</v>
      </c>
      <c r="H4632" s="379">
        <v>9.8995893425708612</v>
      </c>
      <c r="I4632" s="25">
        <v>52.24</v>
      </c>
      <c r="J4632" s="379">
        <v>6.5211692213764572</v>
      </c>
    </row>
    <row r="4633" spans="1:10" x14ac:dyDescent="0.35">
      <c r="A4633" s="5">
        <v>4629</v>
      </c>
      <c r="B4633" s="5">
        <v>193</v>
      </c>
      <c r="C4633" s="5">
        <v>7</v>
      </c>
      <c r="D4633" s="379">
        <v>96.589444444444439</v>
      </c>
      <c r="E4633" s="25">
        <v>24.84</v>
      </c>
      <c r="F4633" s="379">
        <v>14.723383018330882</v>
      </c>
      <c r="G4633" s="25">
        <v>43.39</v>
      </c>
      <c r="H4633" s="379">
        <v>10.185109068457585</v>
      </c>
      <c r="I4633" s="25">
        <v>52.24</v>
      </c>
      <c r="J4633" s="379">
        <v>6.5955190491854232</v>
      </c>
    </row>
    <row r="4634" spans="1:10" x14ac:dyDescent="0.35">
      <c r="A4634" s="5">
        <v>4630</v>
      </c>
      <c r="B4634" s="5">
        <v>193</v>
      </c>
      <c r="C4634" s="5">
        <v>7</v>
      </c>
      <c r="D4634" s="379">
        <v>92.185555555555567</v>
      </c>
      <c r="E4634" s="25">
        <v>24.84</v>
      </c>
      <c r="F4634" s="379">
        <v>15.106415097038109</v>
      </c>
      <c r="G4634" s="25">
        <v>44.74</v>
      </c>
      <c r="H4634" s="379">
        <v>9.9830870660437441</v>
      </c>
      <c r="I4634" s="25">
        <v>53.71</v>
      </c>
      <c r="J4634" s="379">
        <v>6.6398070029653455</v>
      </c>
    </row>
    <row r="4635" spans="1:10" x14ac:dyDescent="0.35">
      <c r="A4635" s="5">
        <v>4631</v>
      </c>
      <c r="B4635" s="5">
        <v>193</v>
      </c>
      <c r="C4635" s="5">
        <v>7</v>
      </c>
      <c r="D4635" s="379">
        <v>84.164444444444428</v>
      </c>
      <c r="E4635" s="25">
        <v>24.84</v>
      </c>
      <c r="F4635" s="379">
        <v>15.178010652130416</v>
      </c>
      <c r="G4635" s="25">
        <v>42.29</v>
      </c>
      <c r="H4635" s="379">
        <v>9.9059629564643359</v>
      </c>
      <c r="I4635" s="25">
        <v>53.27</v>
      </c>
      <c r="J4635" s="379">
        <v>6.8807379069111612</v>
      </c>
    </row>
    <row r="4636" spans="1:10" x14ac:dyDescent="0.35">
      <c r="A4636" s="5">
        <v>4632</v>
      </c>
      <c r="B4636" s="5">
        <v>193</v>
      </c>
      <c r="C4636" s="5">
        <v>7</v>
      </c>
      <c r="D4636" s="379">
        <v>85.778888888888886</v>
      </c>
      <c r="E4636" s="25">
        <v>24.84</v>
      </c>
      <c r="F4636" s="379">
        <v>15.093177498013199</v>
      </c>
      <c r="G4636" s="25">
        <v>40.340000000000003</v>
      </c>
      <c r="H4636" s="379">
        <v>10.391506763261045</v>
      </c>
      <c r="I4636" s="25">
        <v>51.72</v>
      </c>
      <c r="J4636" s="379">
        <v>6.9180887923317691</v>
      </c>
    </row>
    <row r="4637" spans="1:10" x14ac:dyDescent="0.35">
      <c r="A4637" s="5">
        <v>4633</v>
      </c>
      <c r="B4637" s="5">
        <v>194</v>
      </c>
      <c r="C4637" s="5">
        <v>7</v>
      </c>
      <c r="D4637" s="379">
        <v>79.802222222222227</v>
      </c>
      <c r="E4637" s="25">
        <v>24.56</v>
      </c>
      <c r="F4637" s="379">
        <v>13.922278177297546</v>
      </c>
      <c r="G4637" s="25">
        <v>40.340000000000003</v>
      </c>
      <c r="H4637" s="379">
        <v>10.152413593649639</v>
      </c>
      <c r="I4637" s="25">
        <v>51.72</v>
      </c>
      <c r="J4637" s="379">
        <v>7.0073192836001263</v>
      </c>
    </row>
    <row r="4638" spans="1:10" x14ac:dyDescent="0.35">
      <c r="A4638" s="5">
        <v>4634</v>
      </c>
      <c r="B4638" s="5">
        <v>194</v>
      </c>
      <c r="C4638" s="5">
        <v>7</v>
      </c>
      <c r="D4638" s="379">
        <v>73.100555555555545</v>
      </c>
      <c r="E4638" s="25">
        <v>24.26</v>
      </c>
      <c r="F4638" s="379">
        <v>13.955395902466249</v>
      </c>
      <c r="G4638" s="25">
        <v>40.340000000000003</v>
      </c>
      <c r="H4638" s="379">
        <v>10.827321650052509</v>
      </c>
      <c r="I4638" s="25">
        <v>51.72</v>
      </c>
      <c r="J4638" s="379">
        <v>7.0985088037366326</v>
      </c>
    </row>
    <row r="4639" spans="1:10" x14ac:dyDescent="0.35">
      <c r="A4639" s="5">
        <v>4635</v>
      </c>
      <c r="B4639" s="5">
        <v>194</v>
      </c>
      <c r="C4639" s="5">
        <v>7</v>
      </c>
      <c r="D4639" s="379">
        <v>70.591111111111118</v>
      </c>
      <c r="E4639" s="25">
        <v>24.26</v>
      </c>
      <c r="F4639" s="379">
        <v>13.959867142778135</v>
      </c>
      <c r="G4639" s="25">
        <v>40.340000000000003</v>
      </c>
      <c r="H4639" s="379">
        <v>10.96787630838627</v>
      </c>
      <c r="I4639" s="25">
        <v>52.98</v>
      </c>
      <c r="J4639" s="379">
        <v>7.1993564289744088</v>
      </c>
    </row>
    <row r="4640" spans="1:10" x14ac:dyDescent="0.35">
      <c r="A4640" s="5">
        <v>4636</v>
      </c>
      <c r="B4640" s="5">
        <v>194</v>
      </c>
      <c r="C4640" s="5">
        <v>7</v>
      </c>
      <c r="D4640" s="379">
        <v>73.298333333333332</v>
      </c>
      <c r="E4640" s="25">
        <v>24.84</v>
      </c>
      <c r="F4640" s="379">
        <v>14.765673585476675</v>
      </c>
      <c r="G4640" s="25">
        <v>40.340000000000003</v>
      </c>
      <c r="H4640" s="379">
        <v>10.864133929733626</v>
      </c>
      <c r="I4640" s="25">
        <v>52.98</v>
      </c>
      <c r="J4640" s="379">
        <v>7.1741577253720576</v>
      </c>
    </row>
    <row r="4641" spans="1:10" x14ac:dyDescent="0.35">
      <c r="A4641" s="5">
        <v>4637</v>
      </c>
      <c r="B4641" s="5">
        <v>194</v>
      </c>
      <c r="C4641" s="5">
        <v>7</v>
      </c>
      <c r="D4641" s="379">
        <v>76.51722222222223</v>
      </c>
      <c r="E4641" s="25">
        <v>24.84</v>
      </c>
      <c r="F4641" s="379">
        <v>14.685426723885136</v>
      </c>
      <c r="G4641" s="25">
        <v>41.86</v>
      </c>
      <c r="H4641" s="379">
        <v>10.946680903287865</v>
      </c>
      <c r="I4641" s="25">
        <v>53.51</v>
      </c>
      <c r="J4641" s="379">
        <v>7.4126708061249724</v>
      </c>
    </row>
    <row r="4642" spans="1:10" x14ac:dyDescent="0.35">
      <c r="A4642" s="5">
        <v>4638</v>
      </c>
      <c r="B4642" s="5">
        <v>194</v>
      </c>
      <c r="C4642" s="5">
        <v>7</v>
      </c>
      <c r="D4642" s="379">
        <v>85.898333333333341</v>
      </c>
      <c r="E4642" s="25">
        <v>24.84</v>
      </c>
      <c r="F4642" s="379">
        <v>19.080391963832383</v>
      </c>
      <c r="G4642" s="25">
        <v>43.56</v>
      </c>
      <c r="H4642" s="379">
        <v>11.893150821858377</v>
      </c>
      <c r="I4642" s="25">
        <v>56.52</v>
      </c>
      <c r="J4642" s="379">
        <v>7.4678711343618787</v>
      </c>
    </row>
    <row r="4643" spans="1:10" x14ac:dyDescent="0.35">
      <c r="A4643" s="5">
        <v>4639</v>
      </c>
      <c r="B4643" s="5">
        <v>194</v>
      </c>
      <c r="C4643" s="5">
        <v>7</v>
      </c>
      <c r="D4643" s="379">
        <v>95.246111111111105</v>
      </c>
      <c r="E4643" s="25">
        <v>24.99</v>
      </c>
      <c r="F4643" s="379">
        <v>19.28684589492417</v>
      </c>
      <c r="G4643" s="25">
        <v>47.46</v>
      </c>
      <c r="H4643" s="379">
        <v>11.851477589332323</v>
      </c>
      <c r="I4643" s="25">
        <v>62.67</v>
      </c>
      <c r="J4643" s="379">
        <v>7.4566902272737039</v>
      </c>
    </row>
    <row r="4644" spans="1:10" x14ac:dyDescent="0.35">
      <c r="A4644" s="5">
        <v>4640</v>
      </c>
      <c r="B4644" s="5">
        <v>194</v>
      </c>
      <c r="C4644" s="5">
        <v>7</v>
      </c>
      <c r="D4644" s="379">
        <v>98.374999999999986</v>
      </c>
      <c r="E4644" s="25">
        <v>25.74</v>
      </c>
      <c r="F4644" s="379">
        <v>18.471270276221791</v>
      </c>
      <c r="G4644" s="25">
        <v>47.46</v>
      </c>
      <c r="H4644" s="379">
        <v>11.565292041014377</v>
      </c>
      <c r="I4644" s="25">
        <v>66.06</v>
      </c>
      <c r="J4644" s="379">
        <v>7.2285422025522275</v>
      </c>
    </row>
    <row r="4645" spans="1:10" x14ac:dyDescent="0.35">
      <c r="A4645" s="5">
        <v>4641</v>
      </c>
      <c r="B4645" s="5">
        <v>194</v>
      </c>
      <c r="C4645" s="5">
        <v>7</v>
      </c>
      <c r="D4645" s="379">
        <v>94.993333333333325</v>
      </c>
      <c r="E4645" s="25">
        <v>25.74</v>
      </c>
      <c r="F4645" s="379">
        <v>19.119914717584152</v>
      </c>
      <c r="G4645" s="25">
        <v>47.46</v>
      </c>
      <c r="H4645" s="379">
        <v>11.012838122745739</v>
      </c>
      <c r="I4645" s="25">
        <v>62.27</v>
      </c>
      <c r="J4645" s="379">
        <v>7.2054100595498269</v>
      </c>
    </row>
    <row r="4646" spans="1:10" x14ac:dyDescent="0.35">
      <c r="A4646" s="5">
        <v>4642</v>
      </c>
      <c r="B4646" s="5">
        <v>194</v>
      </c>
      <c r="C4646" s="5">
        <v>7</v>
      </c>
      <c r="D4646" s="379">
        <v>88.435555555555553</v>
      </c>
      <c r="E4646" s="25">
        <v>25.74</v>
      </c>
      <c r="F4646" s="379">
        <v>15.706085663716664</v>
      </c>
      <c r="G4646" s="25">
        <v>47.46</v>
      </c>
      <c r="H4646" s="379">
        <v>11.338901979789098</v>
      </c>
      <c r="I4646" s="25">
        <v>56.52</v>
      </c>
      <c r="J4646" s="379">
        <v>7.2054100595498269</v>
      </c>
    </row>
    <row r="4647" spans="1:10" x14ac:dyDescent="0.35">
      <c r="A4647" s="5">
        <v>4643</v>
      </c>
      <c r="B4647" s="5">
        <v>194</v>
      </c>
      <c r="C4647" s="5">
        <v>7</v>
      </c>
      <c r="D4647" s="379">
        <v>83.265555555555551</v>
      </c>
      <c r="E4647" s="25">
        <v>25.74</v>
      </c>
      <c r="F4647" s="379">
        <v>13.449658324766343</v>
      </c>
      <c r="G4647" s="25">
        <v>47.46</v>
      </c>
      <c r="H4647" s="379">
        <v>10.941039357758747</v>
      </c>
      <c r="I4647" s="25">
        <v>53.71</v>
      </c>
      <c r="J4647" s="379">
        <v>7.1377062789087944</v>
      </c>
    </row>
    <row r="4648" spans="1:10" x14ac:dyDescent="0.35">
      <c r="A4648" s="5">
        <v>4644</v>
      </c>
      <c r="B4648" s="5">
        <v>194</v>
      </c>
      <c r="C4648" s="5">
        <v>7</v>
      </c>
      <c r="D4648" s="379">
        <v>65.701111111111103</v>
      </c>
      <c r="E4648" s="25">
        <v>24.99</v>
      </c>
      <c r="F4648" s="379">
        <v>12.797514491031217</v>
      </c>
      <c r="G4648" s="25">
        <v>47.46</v>
      </c>
      <c r="H4648" s="379">
        <v>10.739364366227944</v>
      </c>
      <c r="I4648" s="25">
        <v>53.51</v>
      </c>
      <c r="J4648" s="379">
        <v>6.9008412232730185</v>
      </c>
    </row>
    <row r="4649" spans="1:10" x14ac:dyDescent="0.35">
      <c r="A4649" s="5">
        <v>4645</v>
      </c>
      <c r="B4649" s="5">
        <v>194</v>
      </c>
      <c r="C4649" s="5">
        <v>7</v>
      </c>
      <c r="D4649" s="379">
        <v>57.559444444444452</v>
      </c>
      <c r="E4649" s="25">
        <v>24.99</v>
      </c>
      <c r="F4649" s="379">
        <v>12.011446092110834</v>
      </c>
      <c r="G4649" s="25">
        <v>47.46</v>
      </c>
      <c r="H4649" s="379">
        <v>10.393334395096284</v>
      </c>
      <c r="I4649" s="25">
        <v>53.27</v>
      </c>
      <c r="J4649" s="379">
        <v>6.2715043638926717</v>
      </c>
    </row>
    <row r="4650" spans="1:10" x14ac:dyDescent="0.35">
      <c r="A4650" s="5">
        <v>4646</v>
      </c>
      <c r="B4650" s="5">
        <v>194</v>
      </c>
      <c r="C4650" s="5">
        <v>7</v>
      </c>
      <c r="D4650" s="379">
        <v>51.531111111111109</v>
      </c>
      <c r="E4650" s="25">
        <v>24.99</v>
      </c>
      <c r="F4650" s="379">
        <v>12.354178603198106</v>
      </c>
      <c r="G4650" s="25">
        <v>47.46</v>
      </c>
      <c r="H4650" s="379">
        <v>10.759773711320493</v>
      </c>
      <c r="I4650" s="25">
        <v>53.27</v>
      </c>
      <c r="J4650" s="379">
        <v>6.2670042957211569</v>
      </c>
    </row>
    <row r="4651" spans="1:10" x14ac:dyDescent="0.35">
      <c r="A4651" s="5">
        <v>4647</v>
      </c>
      <c r="B4651" s="5">
        <v>194</v>
      </c>
      <c r="C4651" s="5">
        <v>7</v>
      </c>
      <c r="D4651" s="379">
        <v>57.278888888888886</v>
      </c>
      <c r="E4651" s="25">
        <v>24.84</v>
      </c>
      <c r="F4651" s="379">
        <v>12.617758646483745</v>
      </c>
      <c r="G4651" s="25">
        <v>47.46</v>
      </c>
      <c r="H4651" s="379">
        <v>10.522578695887061</v>
      </c>
      <c r="I4651" s="25">
        <v>53.27</v>
      </c>
      <c r="J4651" s="379">
        <v>6.1992940983685063</v>
      </c>
    </row>
    <row r="4652" spans="1:10" x14ac:dyDescent="0.35">
      <c r="A4652" s="5">
        <v>4648</v>
      </c>
      <c r="B4652" s="5">
        <v>194</v>
      </c>
      <c r="C4652" s="5">
        <v>7</v>
      </c>
      <c r="D4652" s="379">
        <v>64.792222222222222</v>
      </c>
      <c r="E4652" s="25">
        <v>24.84</v>
      </c>
      <c r="F4652" s="379">
        <v>13.287941095463861</v>
      </c>
      <c r="G4652" s="25">
        <v>44.69</v>
      </c>
      <c r="H4652" s="379">
        <v>11.021102861669585</v>
      </c>
      <c r="I4652" s="25">
        <v>53.27</v>
      </c>
      <c r="J4652" s="379">
        <v>6.8727713435552049</v>
      </c>
    </row>
    <row r="4653" spans="1:10" x14ac:dyDescent="0.35">
      <c r="A4653" s="5">
        <v>4649</v>
      </c>
      <c r="B4653" s="5">
        <v>194</v>
      </c>
      <c r="C4653" s="5">
        <v>7</v>
      </c>
      <c r="D4653" s="379">
        <v>66.472777777777779</v>
      </c>
      <c r="E4653" s="25">
        <v>24.99</v>
      </c>
      <c r="F4653" s="379">
        <v>15.098442255883642</v>
      </c>
      <c r="G4653" s="25">
        <v>44.69</v>
      </c>
      <c r="H4653" s="379">
        <v>10.559444685884259</v>
      </c>
      <c r="I4653" s="25">
        <v>53.27</v>
      </c>
      <c r="J4653" s="379">
        <v>6.9841675176594089</v>
      </c>
    </row>
    <row r="4654" spans="1:10" x14ac:dyDescent="0.35">
      <c r="A4654" s="5">
        <v>4650</v>
      </c>
      <c r="B4654" s="5">
        <v>194</v>
      </c>
      <c r="C4654" s="5">
        <v>7</v>
      </c>
      <c r="D4654" s="379">
        <v>74.173333333333332</v>
      </c>
      <c r="E4654" s="25">
        <v>24.99</v>
      </c>
      <c r="F4654" s="379">
        <v>16.181275103643003</v>
      </c>
      <c r="G4654" s="25">
        <v>44.69</v>
      </c>
      <c r="H4654" s="379">
        <v>10.738476146867821</v>
      </c>
      <c r="I4654" s="25">
        <v>53.27</v>
      </c>
      <c r="J4654" s="379">
        <v>6.9841675176594089</v>
      </c>
    </row>
    <row r="4655" spans="1:10" x14ac:dyDescent="0.35">
      <c r="A4655" s="5">
        <v>4651</v>
      </c>
      <c r="B4655" s="5">
        <v>194</v>
      </c>
      <c r="C4655" s="5">
        <v>7</v>
      </c>
      <c r="D4655" s="379">
        <v>78.039444444444442</v>
      </c>
      <c r="E4655" s="25">
        <v>24.84</v>
      </c>
      <c r="F4655" s="379">
        <v>18.556260336083952</v>
      </c>
      <c r="G4655" s="25">
        <v>43.56</v>
      </c>
      <c r="H4655" s="379">
        <v>11.214521641364728</v>
      </c>
      <c r="I4655" s="25">
        <v>53.71</v>
      </c>
      <c r="J4655" s="379">
        <v>6.997833275986979</v>
      </c>
    </row>
    <row r="4656" spans="1:10" x14ac:dyDescent="0.35">
      <c r="A4656" s="5">
        <v>4652</v>
      </c>
      <c r="B4656" s="5">
        <v>194</v>
      </c>
      <c r="C4656" s="5">
        <v>7</v>
      </c>
      <c r="D4656" s="379">
        <v>79.233888888888899</v>
      </c>
      <c r="E4656" s="25">
        <v>24.84</v>
      </c>
      <c r="F4656" s="379">
        <v>18.475205087679655</v>
      </c>
      <c r="G4656" s="25">
        <v>43.56</v>
      </c>
      <c r="H4656" s="379">
        <v>11.086719580114169</v>
      </c>
      <c r="I4656" s="25">
        <v>53.71</v>
      </c>
      <c r="J4656" s="379">
        <v>7.0088640847964045</v>
      </c>
    </row>
    <row r="4657" spans="1:10" x14ac:dyDescent="0.35">
      <c r="A4657" s="5">
        <v>4653</v>
      </c>
      <c r="B4657" s="5">
        <v>194</v>
      </c>
      <c r="C4657" s="5">
        <v>7</v>
      </c>
      <c r="D4657" s="379">
        <v>85.656666666666652</v>
      </c>
      <c r="E4657" s="25">
        <v>24.84</v>
      </c>
      <c r="F4657" s="379">
        <v>18.533260613033214</v>
      </c>
      <c r="G4657" s="25">
        <v>42.35</v>
      </c>
      <c r="H4657" s="379">
        <v>10.962958804430912</v>
      </c>
      <c r="I4657" s="25">
        <v>53.71</v>
      </c>
      <c r="J4657" s="379">
        <v>7.0163389903889009</v>
      </c>
    </row>
    <row r="4658" spans="1:10" x14ac:dyDescent="0.35">
      <c r="A4658" s="5">
        <v>4654</v>
      </c>
      <c r="B4658" s="5">
        <v>194</v>
      </c>
      <c r="C4658" s="5">
        <v>7</v>
      </c>
      <c r="D4658" s="379">
        <v>84.552777777777777</v>
      </c>
      <c r="E4658" s="25">
        <v>24.84</v>
      </c>
      <c r="F4658" s="379">
        <v>19.535863028685078</v>
      </c>
      <c r="G4658" s="25">
        <v>44.69</v>
      </c>
      <c r="H4658" s="379">
        <v>10.194865388289559</v>
      </c>
      <c r="I4658" s="25">
        <v>53.71</v>
      </c>
      <c r="J4658" s="379">
        <v>7.0163389903888991</v>
      </c>
    </row>
    <row r="4659" spans="1:10" x14ac:dyDescent="0.35">
      <c r="A4659" s="5">
        <v>4655</v>
      </c>
      <c r="B4659" s="5">
        <v>194</v>
      </c>
      <c r="C4659" s="5">
        <v>7</v>
      </c>
      <c r="D4659" s="379">
        <v>81.233333333333348</v>
      </c>
      <c r="E4659" s="25">
        <v>24.84</v>
      </c>
      <c r="F4659" s="379">
        <v>15.41113251671417</v>
      </c>
      <c r="G4659" s="25">
        <v>42.29</v>
      </c>
      <c r="H4659" s="379">
        <v>10.046337759017552</v>
      </c>
      <c r="I4659" s="25">
        <v>53.71</v>
      </c>
      <c r="J4659" s="379">
        <v>6.9923934667668028</v>
      </c>
    </row>
    <row r="4660" spans="1:10" x14ac:dyDescent="0.35">
      <c r="A4660" s="5">
        <v>4656</v>
      </c>
      <c r="B4660" s="5">
        <v>194</v>
      </c>
      <c r="C4660" s="5">
        <v>7</v>
      </c>
      <c r="D4660" s="379">
        <v>86.067222222222213</v>
      </c>
      <c r="E4660" s="25">
        <v>24.84</v>
      </c>
      <c r="F4660" s="379">
        <v>15.332577085008898</v>
      </c>
      <c r="G4660" s="25">
        <v>40.340000000000003</v>
      </c>
      <c r="H4660" s="379">
        <v>10.785681558025745</v>
      </c>
      <c r="I4660" s="25">
        <v>52.93</v>
      </c>
      <c r="J4660" s="379">
        <v>6.8095534015770163</v>
      </c>
    </row>
    <row r="4661" spans="1:10" x14ac:dyDescent="0.35">
      <c r="A4661" s="5">
        <v>4657</v>
      </c>
      <c r="B4661" s="5">
        <v>195</v>
      </c>
      <c r="C4661" s="5">
        <v>7</v>
      </c>
      <c r="D4661" s="379">
        <v>78.49166666666666</v>
      </c>
      <c r="E4661" s="25">
        <v>24.26</v>
      </c>
      <c r="F4661" s="379">
        <v>11.611330203044474</v>
      </c>
      <c r="G4661" s="25">
        <v>39.770000000000003</v>
      </c>
      <c r="H4661" s="379">
        <v>10.450655397493579</v>
      </c>
      <c r="I4661" s="25">
        <v>52.93</v>
      </c>
      <c r="J4661" s="379">
        <v>6.6687644440597413</v>
      </c>
    </row>
    <row r="4662" spans="1:10" x14ac:dyDescent="0.35">
      <c r="A4662" s="5">
        <v>4658</v>
      </c>
      <c r="B4662" s="5">
        <v>195</v>
      </c>
      <c r="C4662" s="5">
        <v>7</v>
      </c>
      <c r="D4662" s="379">
        <v>75.960000000000008</v>
      </c>
      <c r="E4662" s="25">
        <v>24.26</v>
      </c>
      <c r="F4662" s="379">
        <v>11.081288587332294</v>
      </c>
      <c r="G4662" s="25">
        <v>39.770000000000003</v>
      </c>
      <c r="H4662" s="379">
        <v>10.394046828517213</v>
      </c>
      <c r="I4662" s="25">
        <v>52.93</v>
      </c>
      <c r="J4662" s="379">
        <v>6.9470114433710384</v>
      </c>
    </row>
    <row r="4663" spans="1:10" x14ac:dyDescent="0.35">
      <c r="A4663" s="5">
        <v>4659</v>
      </c>
      <c r="B4663" s="5">
        <v>195</v>
      </c>
      <c r="C4663" s="5">
        <v>7</v>
      </c>
      <c r="D4663" s="379">
        <v>76.186666666666667</v>
      </c>
      <c r="E4663" s="25">
        <v>24.26</v>
      </c>
      <c r="F4663" s="379">
        <v>11.053454180309865</v>
      </c>
      <c r="G4663" s="25">
        <v>39.119999999999997</v>
      </c>
      <c r="H4663" s="379">
        <v>10.207371612266416</v>
      </c>
      <c r="I4663" s="25">
        <v>52.93</v>
      </c>
      <c r="J4663" s="379">
        <v>6.9654546557296388</v>
      </c>
    </row>
    <row r="4664" spans="1:10" x14ac:dyDescent="0.35">
      <c r="A4664" s="5">
        <v>4660</v>
      </c>
      <c r="B4664" s="5">
        <v>195</v>
      </c>
      <c r="C4664" s="5">
        <v>7</v>
      </c>
      <c r="D4664" s="379">
        <v>77.071666666666658</v>
      </c>
      <c r="E4664" s="25">
        <v>24.56</v>
      </c>
      <c r="F4664" s="379">
        <v>10.954960955875189</v>
      </c>
      <c r="G4664" s="25">
        <v>40.340000000000003</v>
      </c>
      <c r="H4664" s="379">
        <v>10.350645010432039</v>
      </c>
      <c r="I4664" s="25">
        <v>52.93</v>
      </c>
      <c r="J4664" s="379">
        <v>6.9719298753273211</v>
      </c>
    </row>
    <row r="4665" spans="1:10" x14ac:dyDescent="0.35">
      <c r="A4665" s="5">
        <v>4661</v>
      </c>
      <c r="B4665" s="5">
        <v>195</v>
      </c>
      <c r="C4665" s="5">
        <v>7</v>
      </c>
      <c r="D4665" s="379">
        <v>78.639444444444436</v>
      </c>
      <c r="E4665" s="25">
        <v>24.84</v>
      </c>
      <c r="F4665" s="379">
        <v>11.647075204483635</v>
      </c>
      <c r="G4665" s="25">
        <v>40.340000000000003</v>
      </c>
      <c r="H4665" s="379">
        <v>10.130892388252542</v>
      </c>
      <c r="I4665" s="25">
        <v>53.17</v>
      </c>
      <c r="J4665" s="379">
        <v>6.9850787155974841</v>
      </c>
    </row>
    <row r="4666" spans="1:10" x14ac:dyDescent="0.35">
      <c r="A4666" s="5">
        <v>4662</v>
      </c>
      <c r="B4666" s="5">
        <v>195</v>
      </c>
      <c r="C4666" s="5">
        <v>7</v>
      </c>
      <c r="D4666" s="379">
        <v>86.49111111111111</v>
      </c>
      <c r="E4666" s="25">
        <v>24.84</v>
      </c>
      <c r="F4666" s="379">
        <v>11.601150286196219</v>
      </c>
      <c r="G4666" s="25">
        <v>42.42</v>
      </c>
      <c r="H4666" s="379">
        <v>10.465965489818384</v>
      </c>
      <c r="I4666" s="25">
        <v>53.71</v>
      </c>
      <c r="J4666" s="379">
        <v>6.9574554921566261</v>
      </c>
    </row>
    <row r="4667" spans="1:10" x14ac:dyDescent="0.35">
      <c r="A4667" s="5">
        <v>4663</v>
      </c>
      <c r="B4667" s="5">
        <v>195</v>
      </c>
      <c r="C4667" s="5">
        <v>7</v>
      </c>
      <c r="D4667" s="379">
        <v>89.896666666666675</v>
      </c>
      <c r="E4667" s="25">
        <v>24.99</v>
      </c>
      <c r="F4667" s="379">
        <v>11.595528447193484</v>
      </c>
      <c r="G4667" s="25">
        <v>44.69</v>
      </c>
      <c r="H4667" s="379">
        <v>8.589770658601509</v>
      </c>
      <c r="I4667" s="25">
        <v>61.65</v>
      </c>
      <c r="J4667" s="379">
        <v>6.4947643448650414</v>
      </c>
    </row>
    <row r="4668" spans="1:10" x14ac:dyDescent="0.35">
      <c r="A4668" s="5">
        <v>4664</v>
      </c>
      <c r="B4668" s="5">
        <v>195</v>
      </c>
      <c r="C4668" s="5">
        <v>7</v>
      </c>
      <c r="D4668" s="379">
        <v>89.933333333333323</v>
      </c>
      <c r="E4668" s="25">
        <v>25.74</v>
      </c>
      <c r="F4668" s="379">
        <v>10.919575391091845</v>
      </c>
      <c r="G4668" s="25">
        <v>47.46</v>
      </c>
      <c r="H4668" s="379">
        <v>11.03409124772006</v>
      </c>
      <c r="I4668" s="25">
        <v>62.67</v>
      </c>
      <c r="J4668" s="379">
        <v>7.2286768839662408</v>
      </c>
    </row>
    <row r="4669" spans="1:10" x14ac:dyDescent="0.35">
      <c r="A4669" s="5">
        <v>4665</v>
      </c>
      <c r="B4669" s="5">
        <v>195</v>
      </c>
      <c r="C4669" s="5">
        <v>7</v>
      </c>
      <c r="D4669" s="379">
        <v>86.13944444444445</v>
      </c>
      <c r="E4669" s="25">
        <v>25.74</v>
      </c>
      <c r="F4669" s="379">
        <v>8.9571039618825665</v>
      </c>
      <c r="G4669" s="25">
        <v>47.46</v>
      </c>
      <c r="H4669" s="379">
        <v>9.5477704756519479</v>
      </c>
      <c r="I4669" s="25">
        <v>61.65</v>
      </c>
      <c r="J4669" s="379">
        <v>6.8456106512735051</v>
      </c>
    </row>
    <row r="4670" spans="1:10" x14ac:dyDescent="0.35">
      <c r="A4670" s="5">
        <v>4666</v>
      </c>
      <c r="B4670" s="5">
        <v>195</v>
      </c>
      <c r="C4670" s="5">
        <v>7</v>
      </c>
      <c r="D4670" s="379">
        <v>80.474999999999994</v>
      </c>
      <c r="E4670" s="25">
        <v>25.74</v>
      </c>
      <c r="F4670" s="379">
        <v>8.239745792908364</v>
      </c>
      <c r="G4670" s="25">
        <v>47.85</v>
      </c>
      <c r="H4670" s="379">
        <v>10.123700652494232</v>
      </c>
      <c r="I4670" s="25">
        <v>54.32</v>
      </c>
      <c r="J4670" s="379">
        <v>6.2492785558452804</v>
      </c>
    </row>
    <row r="4671" spans="1:10" x14ac:dyDescent="0.35">
      <c r="A4671" s="5">
        <v>4667</v>
      </c>
      <c r="B4671" s="5">
        <v>195</v>
      </c>
      <c r="C4671" s="5">
        <v>7</v>
      </c>
      <c r="D4671" s="379">
        <v>78.173888888888897</v>
      </c>
      <c r="E4671" s="25">
        <v>25.74</v>
      </c>
      <c r="F4671" s="379">
        <v>9.9788594921157863</v>
      </c>
      <c r="G4671" s="25">
        <v>47.85</v>
      </c>
      <c r="H4671" s="379">
        <v>10.306747998048932</v>
      </c>
      <c r="I4671" s="25">
        <v>53.71</v>
      </c>
      <c r="J4671" s="379">
        <v>6.2499277915563152</v>
      </c>
    </row>
    <row r="4672" spans="1:10" x14ac:dyDescent="0.35">
      <c r="A4672" s="5">
        <v>4668</v>
      </c>
      <c r="B4672" s="5">
        <v>195</v>
      </c>
      <c r="C4672" s="5">
        <v>7</v>
      </c>
      <c r="D4672" s="379">
        <v>71.334999999999994</v>
      </c>
      <c r="E4672" s="25">
        <v>25.74</v>
      </c>
      <c r="F4672" s="379">
        <v>9.8858817884444399</v>
      </c>
      <c r="G4672" s="25">
        <v>47.46</v>
      </c>
      <c r="H4672" s="379">
        <v>10.425025319557703</v>
      </c>
      <c r="I4672" s="25">
        <v>53.71</v>
      </c>
      <c r="J4672" s="379">
        <v>6.5582967235306633</v>
      </c>
    </row>
    <row r="4673" spans="1:10" x14ac:dyDescent="0.35">
      <c r="A4673" s="5">
        <v>4669</v>
      </c>
      <c r="B4673" s="5">
        <v>195</v>
      </c>
      <c r="C4673" s="5">
        <v>7</v>
      </c>
      <c r="D4673" s="379">
        <v>63.416111111111107</v>
      </c>
      <c r="E4673" s="25">
        <v>25.74</v>
      </c>
      <c r="F4673" s="379">
        <v>8.2248889431337311</v>
      </c>
      <c r="G4673" s="25">
        <v>47.46</v>
      </c>
      <c r="H4673" s="379">
        <v>10.518605733471025</v>
      </c>
      <c r="I4673" s="25">
        <v>53.71</v>
      </c>
      <c r="J4673" s="379">
        <v>6.6039065588857735</v>
      </c>
    </row>
    <row r="4674" spans="1:10" x14ac:dyDescent="0.35">
      <c r="A4674" s="5">
        <v>4670</v>
      </c>
      <c r="B4674" s="5">
        <v>195</v>
      </c>
      <c r="C4674" s="5">
        <v>7</v>
      </c>
      <c r="D4674" s="379">
        <v>58.126111111111108</v>
      </c>
      <c r="E4674" s="25">
        <v>25.59</v>
      </c>
      <c r="F4674" s="379">
        <v>1.1373831396722556</v>
      </c>
      <c r="G4674" s="25">
        <v>47.46</v>
      </c>
      <c r="H4674" s="379">
        <v>10.34577967127834</v>
      </c>
      <c r="I4674" s="25">
        <v>53.71</v>
      </c>
      <c r="J4674" s="379">
        <v>6.4105618473852886</v>
      </c>
    </row>
    <row r="4675" spans="1:10" x14ac:dyDescent="0.35">
      <c r="A4675" s="5">
        <v>4671</v>
      </c>
      <c r="B4675" s="5">
        <v>195</v>
      </c>
      <c r="C4675" s="5">
        <v>7</v>
      </c>
      <c r="D4675" s="379">
        <v>58.437777777777782</v>
      </c>
      <c r="E4675" s="25">
        <v>25.59</v>
      </c>
      <c r="F4675" s="379">
        <v>3.5548396352019953</v>
      </c>
      <c r="G4675" s="25">
        <v>47.85</v>
      </c>
      <c r="H4675" s="379">
        <v>10.48164623167559</v>
      </c>
      <c r="I4675" s="25">
        <v>53.71</v>
      </c>
      <c r="J4675" s="379">
        <v>6.6114084256209829</v>
      </c>
    </row>
    <row r="4676" spans="1:10" x14ac:dyDescent="0.35">
      <c r="A4676" s="5">
        <v>4672</v>
      </c>
      <c r="B4676" s="5">
        <v>195</v>
      </c>
      <c r="C4676" s="5">
        <v>7</v>
      </c>
      <c r="D4676" s="379">
        <v>61.675000000000004</v>
      </c>
      <c r="E4676" s="25">
        <v>25.74</v>
      </c>
      <c r="F4676" s="379">
        <v>4.7242110818707959</v>
      </c>
      <c r="G4676" s="25">
        <v>47.85</v>
      </c>
      <c r="H4676" s="379">
        <v>10.562243983713824</v>
      </c>
      <c r="I4676" s="25">
        <v>53.71</v>
      </c>
      <c r="J4676" s="379">
        <v>6.5917716081601796</v>
      </c>
    </row>
    <row r="4677" spans="1:10" x14ac:dyDescent="0.35">
      <c r="A4677" s="5">
        <v>4673</v>
      </c>
      <c r="B4677" s="5">
        <v>195</v>
      </c>
      <c r="C4677" s="5">
        <v>7</v>
      </c>
      <c r="D4677" s="379">
        <v>67.887222222222221</v>
      </c>
      <c r="E4677" s="25">
        <v>25.74</v>
      </c>
      <c r="F4677" s="379">
        <v>10.075251681252643</v>
      </c>
      <c r="G4677" s="25">
        <v>47.85</v>
      </c>
      <c r="H4677" s="379">
        <v>10.813161873618874</v>
      </c>
      <c r="I4677" s="25">
        <v>53.71</v>
      </c>
      <c r="J4677" s="379">
        <v>6.5660679322933477</v>
      </c>
    </row>
    <row r="4678" spans="1:10" x14ac:dyDescent="0.35">
      <c r="A4678" s="5">
        <v>4674</v>
      </c>
      <c r="B4678" s="5">
        <v>195</v>
      </c>
      <c r="C4678" s="5">
        <v>7</v>
      </c>
      <c r="D4678" s="379">
        <v>71.074444444444438</v>
      </c>
      <c r="E4678" s="25">
        <v>25.74</v>
      </c>
      <c r="F4678" s="379">
        <v>9.7840535751269329</v>
      </c>
      <c r="G4678" s="25">
        <v>47.85</v>
      </c>
      <c r="H4678" s="379">
        <v>11.025587314617718</v>
      </c>
      <c r="I4678" s="25">
        <v>53.71</v>
      </c>
      <c r="J4678" s="379">
        <v>6.5109515313334034</v>
      </c>
    </row>
    <row r="4679" spans="1:10" x14ac:dyDescent="0.35">
      <c r="A4679" s="5">
        <v>4675</v>
      </c>
      <c r="B4679" s="5">
        <v>195</v>
      </c>
      <c r="C4679" s="5">
        <v>7</v>
      </c>
      <c r="D4679" s="379">
        <v>75.317222222222213</v>
      </c>
      <c r="E4679" s="25">
        <v>25.74</v>
      </c>
      <c r="F4679" s="379">
        <v>11.422767621545887</v>
      </c>
      <c r="G4679" s="25">
        <v>47.85</v>
      </c>
      <c r="H4679" s="379">
        <v>11.820270201006824</v>
      </c>
      <c r="I4679" s="25">
        <v>56.99</v>
      </c>
      <c r="J4679" s="379">
        <v>7.4987270429692314</v>
      </c>
    </row>
    <row r="4680" spans="1:10" x14ac:dyDescent="0.35">
      <c r="A4680" s="5">
        <v>4676</v>
      </c>
      <c r="B4680" s="5">
        <v>195</v>
      </c>
      <c r="C4680" s="5">
        <v>7</v>
      </c>
      <c r="D4680" s="379">
        <v>75.249999999999986</v>
      </c>
      <c r="E4680" s="25">
        <v>25.74</v>
      </c>
      <c r="F4680" s="379">
        <v>14.599348678096138</v>
      </c>
      <c r="G4680" s="25">
        <v>47.46</v>
      </c>
      <c r="H4680" s="379">
        <v>11.890252389430243</v>
      </c>
      <c r="I4680" s="25">
        <v>60.46</v>
      </c>
      <c r="J4680" s="379">
        <v>7.4678711343618787</v>
      </c>
    </row>
    <row r="4681" spans="1:10" x14ac:dyDescent="0.35">
      <c r="A4681" s="5">
        <v>4677</v>
      </c>
      <c r="B4681" s="5">
        <v>195</v>
      </c>
      <c r="C4681" s="5">
        <v>7</v>
      </c>
      <c r="D4681" s="379">
        <v>79.385000000000005</v>
      </c>
      <c r="E4681" s="25">
        <v>25.74</v>
      </c>
      <c r="F4681" s="379">
        <v>14.599348678096138</v>
      </c>
      <c r="G4681" s="25">
        <v>47.46</v>
      </c>
      <c r="H4681" s="379">
        <v>12.026689647765123</v>
      </c>
      <c r="I4681" s="25">
        <v>62.27</v>
      </c>
      <c r="J4681" s="379">
        <v>7.4678711343618804</v>
      </c>
    </row>
    <row r="4682" spans="1:10" x14ac:dyDescent="0.35">
      <c r="A4682" s="5">
        <v>4678</v>
      </c>
      <c r="B4682" s="5">
        <v>195</v>
      </c>
      <c r="C4682" s="5">
        <v>7</v>
      </c>
      <c r="D4682" s="379">
        <v>77.364444444444445</v>
      </c>
      <c r="E4682" s="25">
        <v>25.74</v>
      </c>
      <c r="F4682" s="379">
        <v>14.599348678096138</v>
      </c>
      <c r="G4682" s="25">
        <v>47.85</v>
      </c>
      <c r="H4682" s="379">
        <v>12.030455860495969</v>
      </c>
      <c r="I4682" s="25">
        <v>62.27</v>
      </c>
      <c r="J4682" s="379">
        <v>7.4678711343618787</v>
      </c>
    </row>
    <row r="4683" spans="1:10" x14ac:dyDescent="0.35">
      <c r="A4683" s="5">
        <v>4679</v>
      </c>
      <c r="B4683" s="5">
        <v>195</v>
      </c>
      <c r="C4683" s="5">
        <v>7</v>
      </c>
      <c r="D4683" s="379">
        <v>69.049444444444447</v>
      </c>
      <c r="E4683" s="25">
        <v>25.29</v>
      </c>
      <c r="F4683" s="379">
        <v>14.599348678096138</v>
      </c>
      <c r="G4683" s="25">
        <v>47.46</v>
      </c>
      <c r="H4683" s="379">
        <v>11.972754943468086</v>
      </c>
      <c r="I4683" s="25">
        <v>60.46</v>
      </c>
      <c r="J4683" s="379">
        <v>7.4678711343618787</v>
      </c>
    </row>
    <row r="4684" spans="1:10" x14ac:dyDescent="0.35">
      <c r="A4684" s="5">
        <v>4680</v>
      </c>
      <c r="B4684" s="5">
        <v>195</v>
      </c>
      <c r="C4684" s="5">
        <v>7</v>
      </c>
      <c r="D4684" s="379">
        <v>60.52</v>
      </c>
      <c r="E4684" s="25">
        <v>24.84</v>
      </c>
      <c r="F4684" s="379">
        <v>14.570951657228012</v>
      </c>
      <c r="G4684" s="25">
        <v>46.07</v>
      </c>
      <c r="H4684" s="379">
        <v>11.931988232790161</v>
      </c>
      <c r="I4684" s="25">
        <v>60.46</v>
      </c>
      <c r="J4684" s="379">
        <v>7.4305619711920468</v>
      </c>
    </row>
    <row r="4685" spans="1:10" x14ac:dyDescent="0.35">
      <c r="A4685" s="5">
        <v>4681</v>
      </c>
      <c r="B4685" s="5">
        <v>196</v>
      </c>
      <c r="C4685" s="5">
        <v>7</v>
      </c>
      <c r="D4685" s="379">
        <v>59.883888888888876</v>
      </c>
      <c r="E4685" s="25">
        <v>24.84</v>
      </c>
      <c r="F4685" s="379">
        <v>12.811810960188238</v>
      </c>
      <c r="G4685" s="25">
        <v>43.56</v>
      </c>
      <c r="H4685" s="379">
        <v>11.97902822841411</v>
      </c>
      <c r="I4685" s="25">
        <v>61.65</v>
      </c>
      <c r="J4685" s="379">
        <v>7.4678711343618787</v>
      </c>
    </row>
    <row r="4686" spans="1:10" x14ac:dyDescent="0.35">
      <c r="A4686" s="5">
        <v>4682</v>
      </c>
      <c r="B4686" s="5">
        <v>196</v>
      </c>
      <c r="C4686" s="5">
        <v>7</v>
      </c>
      <c r="D4686" s="379">
        <v>55.766666666666666</v>
      </c>
      <c r="E4686" s="25">
        <v>24.84</v>
      </c>
      <c r="F4686" s="379">
        <v>12.901295366390379</v>
      </c>
      <c r="G4686" s="25">
        <v>43.56</v>
      </c>
      <c r="H4686" s="379">
        <v>11.949457646742431</v>
      </c>
      <c r="I4686" s="25">
        <v>56.15</v>
      </c>
      <c r="J4686" s="379">
        <v>7.4678711343618787</v>
      </c>
    </row>
    <row r="4687" spans="1:10" x14ac:dyDescent="0.35">
      <c r="A4687" s="5">
        <v>4683</v>
      </c>
      <c r="B4687" s="5">
        <v>196</v>
      </c>
      <c r="C4687" s="5">
        <v>7</v>
      </c>
      <c r="D4687" s="379">
        <v>52.792777777777779</v>
      </c>
      <c r="E4687" s="25">
        <v>24.84</v>
      </c>
      <c r="F4687" s="379">
        <v>12.725846229412408</v>
      </c>
      <c r="G4687" s="25">
        <v>43.56</v>
      </c>
      <c r="H4687" s="379">
        <v>11.869207541013639</v>
      </c>
      <c r="I4687" s="25">
        <v>56.15</v>
      </c>
      <c r="J4687" s="379">
        <v>7.4678711343618787</v>
      </c>
    </row>
    <row r="4688" spans="1:10" x14ac:dyDescent="0.35">
      <c r="A4688" s="5">
        <v>4684</v>
      </c>
      <c r="B4688" s="5">
        <v>196</v>
      </c>
      <c r="C4688" s="5">
        <v>7</v>
      </c>
      <c r="D4688" s="379">
        <v>53.291666666666664</v>
      </c>
      <c r="E4688" s="25">
        <v>24.84</v>
      </c>
      <c r="F4688" s="379">
        <v>12.734473325266096</v>
      </c>
      <c r="G4688" s="25">
        <v>43.56</v>
      </c>
      <c r="H4688" s="379">
        <v>10.318503546086889</v>
      </c>
      <c r="I4688" s="25">
        <v>60.46</v>
      </c>
      <c r="J4688" s="379">
        <v>7.3627053772397888</v>
      </c>
    </row>
    <row r="4689" spans="1:10" x14ac:dyDescent="0.35">
      <c r="A4689" s="5">
        <v>4685</v>
      </c>
      <c r="B4689" s="5">
        <v>196</v>
      </c>
      <c r="C4689" s="5">
        <v>7</v>
      </c>
      <c r="D4689" s="379">
        <v>55.367777777777782</v>
      </c>
      <c r="E4689" s="25">
        <v>24.84</v>
      </c>
      <c r="F4689" s="379">
        <v>12.7159580041378</v>
      </c>
      <c r="G4689" s="25">
        <v>46.98</v>
      </c>
      <c r="H4689" s="379">
        <v>9.7794115591767721</v>
      </c>
      <c r="I4689" s="25">
        <v>61.65</v>
      </c>
      <c r="J4689" s="379">
        <v>7.2285422025522275</v>
      </c>
    </row>
    <row r="4690" spans="1:10" x14ac:dyDescent="0.35">
      <c r="A4690" s="5">
        <v>4686</v>
      </c>
      <c r="B4690" s="5">
        <v>196</v>
      </c>
      <c r="C4690" s="5">
        <v>7</v>
      </c>
      <c r="D4690" s="379">
        <v>66.802777777777777</v>
      </c>
      <c r="E4690" s="25">
        <v>25.59</v>
      </c>
      <c r="F4690" s="379">
        <v>12.690388239447852</v>
      </c>
      <c r="G4690" s="25">
        <v>47.46</v>
      </c>
      <c r="H4690" s="379">
        <v>10.180687443400611</v>
      </c>
      <c r="I4690" s="25">
        <v>62.27</v>
      </c>
      <c r="J4690" s="379">
        <v>7.2285422025522275</v>
      </c>
    </row>
    <row r="4691" spans="1:10" x14ac:dyDescent="0.35">
      <c r="A4691" s="5">
        <v>4687</v>
      </c>
      <c r="B4691" s="5">
        <v>196</v>
      </c>
      <c r="C4691" s="5">
        <v>7</v>
      </c>
      <c r="D4691" s="379">
        <v>77.866111111111124</v>
      </c>
      <c r="E4691" s="25">
        <v>25.74</v>
      </c>
      <c r="F4691" s="379">
        <v>11.812464993583147</v>
      </c>
      <c r="G4691" s="25">
        <v>47.85</v>
      </c>
      <c r="H4691" s="379">
        <v>9.6511355453335135</v>
      </c>
      <c r="I4691" s="25">
        <v>66.06</v>
      </c>
      <c r="J4691" s="379">
        <v>7.2198067483903836</v>
      </c>
    </row>
    <row r="4692" spans="1:10" x14ac:dyDescent="0.35">
      <c r="A4692" s="5">
        <v>4688</v>
      </c>
      <c r="B4692" s="5">
        <v>196</v>
      </c>
      <c r="C4692" s="5">
        <v>7</v>
      </c>
      <c r="D4692" s="379">
        <v>80.416666666666686</v>
      </c>
      <c r="E4692" s="25">
        <v>25.74</v>
      </c>
      <c r="F4692" s="379">
        <v>9.4686853295576654</v>
      </c>
      <c r="G4692" s="25">
        <v>47.85</v>
      </c>
      <c r="H4692" s="379">
        <v>9.412053405430326</v>
      </c>
      <c r="I4692" s="25">
        <v>66.06</v>
      </c>
      <c r="J4692" s="379">
        <v>7.0614555607969827</v>
      </c>
    </row>
    <row r="4693" spans="1:10" x14ac:dyDescent="0.35">
      <c r="A4693" s="5">
        <v>4689</v>
      </c>
      <c r="B4693" s="5">
        <v>196</v>
      </c>
      <c r="C4693" s="5">
        <v>7</v>
      </c>
      <c r="D4693" s="379">
        <v>75.515000000000015</v>
      </c>
      <c r="E4693" s="25">
        <v>25.74</v>
      </c>
      <c r="F4693" s="379">
        <v>8.4508189433492031</v>
      </c>
      <c r="G4693" s="25">
        <v>47.85</v>
      </c>
      <c r="H4693" s="379">
        <v>8.3910253387709108</v>
      </c>
      <c r="I4693" s="25">
        <v>66.06</v>
      </c>
      <c r="J4693" s="379">
        <v>6.3297687818967088</v>
      </c>
    </row>
    <row r="4694" spans="1:10" x14ac:dyDescent="0.35">
      <c r="A4694" s="5">
        <v>4690</v>
      </c>
      <c r="B4694" s="5">
        <v>196</v>
      </c>
      <c r="C4694" s="5">
        <v>7</v>
      </c>
      <c r="D4694" s="379">
        <v>70.201666666666668</v>
      </c>
      <c r="E4694" s="25">
        <v>25.74</v>
      </c>
      <c r="F4694" s="379">
        <v>3.838267044447754</v>
      </c>
      <c r="G4694" s="25">
        <v>47.85</v>
      </c>
      <c r="H4694" s="379">
        <v>8.2998532668781664</v>
      </c>
      <c r="I4694" s="25">
        <v>66.06</v>
      </c>
      <c r="J4694" s="379">
        <v>5.9124259249398747</v>
      </c>
    </row>
    <row r="4695" spans="1:10" x14ac:dyDescent="0.35">
      <c r="A4695" s="5">
        <v>4691</v>
      </c>
      <c r="B4695" s="5">
        <v>196</v>
      </c>
      <c r="C4695" s="5">
        <v>7</v>
      </c>
      <c r="D4695" s="379">
        <v>65.210000000000008</v>
      </c>
      <c r="E4695" s="25">
        <v>25.74</v>
      </c>
      <c r="F4695" s="379">
        <v>4.3845817677333985</v>
      </c>
      <c r="G4695" s="25">
        <v>47.85</v>
      </c>
      <c r="H4695" s="379">
        <v>8.424040482167408</v>
      </c>
      <c r="I4695" s="25">
        <v>66.06</v>
      </c>
      <c r="J4695" s="379">
        <v>5.9325391207211036</v>
      </c>
    </row>
    <row r="4696" spans="1:10" x14ac:dyDescent="0.35">
      <c r="A4696" s="5">
        <v>4692</v>
      </c>
      <c r="B4696" s="5">
        <v>196</v>
      </c>
      <c r="C4696" s="5">
        <v>7</v>
      </c>
      <c r="D4696" s="379">
        <v>61.66888888888888</v>
      </c>
      <c r="E4696" s="25">
        <v>25.62</v>
      </c>
      <c r="F4696" s="379">
        <v>3.6498296914257611</v>
      </c>
      <c r="G4696" s="25">
        <v>47.85</v>
      </c>
      <c r="H4696" s="379">
        <v>7.5718715428325183</v>
      </c>
      <c r="I4696" s="25">
        <v>62.27</v>
      </c>
      <c r="J4696" s="379">
        <v>5.8719169446061246</v>
      </c>
    </row>
    <row r="4697" spans="1:10" x14ac:dyDescent="0.35">
      <c r="A4697" s="5">
        <v>4693</v>
      </c>
      <c r="B4697" s="5">
        <v>196</v>
      </c>
      <c r="C4697" s="5">
        <v>7</v>
      </c>
      <c r="D4697" s="379">
        <v>57.010555555555555</v>
      </c>
      <c r="E4697" s="25">
        <v>25.59</v>
      </c>
      <c r="F4697" s="379">
        <v>4.6308856776983056</v>
      </c>
      <c r="G4697" s="25">
        <v>47.85</v>
      </c>
      <c r="H4697" s="379">
        <v>8.1629882879927038</v>
      </c>
      <c r="I4697" s="25">
        <v>62.27</v>
      </c>
      <c r="J4697" s="379">
        <v>5.9124259249398747</v>
      </c>
    </row>
    <row r="4698" spans="1:10" x14ac:dyDescent="0.35">
      <c r="A4698" s="5">
        <v>4694</v>
      </c>
      <c r="B4698" s="5">
        <v>196</v>
      </c>
      <c r="C4698" s="5">
        <v>7</v>
      </c>
      <c r="D4698" s="379">
        <v>55.74722222222222</v>
      </c>
      <c r="E4698" s="25">
        <v>25.29</v>
      </c>
      <c r="F4698" s="379">
        <v>4.5490689222836194</v>
      </c>
      <c r="G4698" s="25">
        <v>47.85</v>
      </c>
      <c r="H4698" s="379">
        <v>8.2055868125722071</v>
      </c>
      <c r="I4698" s="25">
        <v>62.27</v>
      </c>
      <c r="J4698" s="379">
        <v>5.9124259249398747</v>
      </c>
    </row>
    <row r="4699" spans="1:10" x14ac:dyDescent="0.35">
      <c r="A4699" s="5">
        <v>4695</v>
      </c>
      <c r="B4699" s="5">
        <v>196</v>
      </c>
      <c r="C4699" s="5">
        <v>7</v>
      </c>
      <c r="D4699" s="379">
        <v>57.932222222222215</v>
      </c>
      <c r="E4699" s="25">
        <v>25.59</v>
      </c>
      <c r="F4699" s="379">
        <v>4.7804364553607837</v>
      </c>
      <c r="G4699" s="25">
        <v>47.85</v>
      </c>
      <c r="H4699" s="379">
        <v>8.1834725155820554</v>
      </c>
      <c r="I4699" s="25">
        <v>62.27</v>
      </c>
      <c r="J4699" s="379">
        <v>6.3696296580524256</v>
      </c>
    </row>
    <row r="4700" spans="1:10" x14ac:dyDescent="0.35">
      <c r="A4700" s="5">
        <v>4696</v>
      </c>
      <c r="B4700" s="5">
        <v>196</v>
      </c>
      <c r="C4700" s="5">
        <v>7</v>
      </c>
      <c r="D4700" s="379">
        <v>61.296111111111109</v>
      </c>
      <c r="E4700" s="25">
        <v>25.59</v>
      </c>
      <c r="F4700" s="379">
        <v>8.6185852670085268</v>
      </c>
      <c r="G4700" s="25">
        <v>47.85</v>
      </c>
      <c r="H4700" s="379">
        <v>8.2602906403187788</v>
      </c>
      <c r="I4700" s="25">
        <v>62.27</v>
      </c>
      <c r="J4700" s="379">
        <v>6.5244019327517737</v>
      </c>
    </row>
    <row r="4701" spans="1:10" x14ac:dyDescent="0.35">
      <c r="A4701" s="5">
        <v>4697</v>
      </c>
      <c r="B4701" s="5">
        <v>196</v>
      </c>
      <c r="C4701" s="5">
        <v>7</v>
      </c>
      <c r="D4701" s="379">
        <v>69.554999999999993</v>
      </c>
      <c r="E4701" s="25">
        <v>25.74</v>
      </c>
      <c r="F4701" s="379">
        <v>9.9465768946604527</v>
      </c>
      <c r="G4701" s="25">
        <v>47.85</v>
      </c>
      <c r="H4701" s="379">
        <v>10.272847221274056</v>
      </c>
      <c r="I4701" s="25">
        <v>62.27</v>
      </c>
      <c r="J4701" s="379">
        <v>6.7326016638953368</v>
      </c>
    </row>
    <row r="4702" spans="1:10" x14ac:dyDescent="0.35">
      <c r="A4702" s="5">
        <v>4698</v>
      </c>
      <c r="B4702" s="5">
        <v>196</v>
      </c>
      <c r="C4702" s="5">
        <v>7</v>
      </c>
      <c r="D4702" s="379">
        <v>80.392222222222216</v>
      </c>
      <c r="E4702" s="25">
        <v>25.74</v>
      </c>
      <c r="F4702" s="379">
        <v>11.039683569774491</v>
      </c>
      <c r="G4702" s="25">
        <v>47.85</v>
      </c>
      <c r="H4702" s="379">
        <v>9.2211079899487824</v>
      </c>
      <c r="I4702" s="25">
        <v>66.06</v>
      </c>
      <c r="J4702" s="379">
        <v>7.4080848865140521</v>
      </c>
    </row>
    <row r="4703" spans="1:10" x14ac:dyDescent="0.35">
      <c r="A4703" s="5">
        <v>4699</v>
      </c>
      <c r="B4703" s="5">
        <v>196</v>
      </c>
      <c r="C4703" s="5">
        <v>7</v>
      </c>
      <c r="D4703" s="379">
        <v>81.008333333333326</v>
      </c>
      <c r="E4703" s="25">
        <v>25.74</v>
      </c>
      <c r="F4703" s="379">
        <v>18.137766415255367</v>
      </c>
      <c r="G4703" s="25">
        <v>47.85</v>
      </c>
      <c r="H4703" s="379">
        <v>9.9298784924404657</v>
      </c>
      <c r="I4703" s="25">
        <v>66.06</v>
      </c>
      <c r="J4703" s="379">
        <v>7.4555602241575274</v>
      </c>
    </row>
    <row r="4704" spans="1:10" x14ac:dyDescent="0.35">
      <c r="A4704" s="5">
        <v>4700</v>
      </c>
      <c r="B4704" s="5">
        <v>196</v>
      </c>
      <c r="C4704" s="5">
        <v>7</v>
      </c>
      <c r="D4704" s="379">
        <v>91.997777777777785</v>
      </c>
      <c r="E4704" s="25">
        <v>25.74</v>
      </c>
      <c r="F4704" s="379">
        <v>18.355633148075661</v>
      </c>
      <c r="G4704" s="25">
        <v>47.85</v>
      </c>
      <c r="H4704" s="379">
        <v>10.726098465515983</v>
      </c>
      <c r="I4704" s="25">
        <v>66.06</v>
      </c>
      <c r="J4704" s="379">
        <v>7.4678711343618804</v>
      </c>
    </row>
    <row r="4705" spans="1:10" x14ac:dyDescent="0.35">
      <c r="A4705" s="5">
        <v>4701</v>
      </c>
      <c r="B4705" s="5">
        <v>196</v>
      </c>
      <c r="C4705" s="5">
        <v>7</v>
      </c>
      <c r="D4705" s="379">
        <v>91.03444444444446</v>
      </c>
      <c r="E4705" s="25">
        <v>25.74</v>
      </c>
      <c r="F4705" s="379">
        <v>18.333546456763866</v>
      </c>
      <c r="G4705" s="25">
        <v>47.85</v>
      </c>
      <c r="H4705" s="379">
        <v>10.970558801674507</v>
      </c>
      <c r="I4705" s="25">
        <v>66.06</v>
      </c>
      <c r="J4705" s="379">
        <v>7.4104464745679639</v>
      </c>
    </row>
    <row r="4706" spans="1:10" x14ac:dyDescent="0.35">
      <c r="A4706" s="5">
        <v>4702</v>
      </c>
      <c r="B4706" s="5">
        <v>196</v>
      </c>
      <c r="C4706" s="5">
        <v>7</v>
      </c>
      <c r="D4706" s="379">
        <v>87.816666666666663</v>
      </c>
      <c r="E4706" s="25">
        <v>25.74</v>
      </c>
      <c r="F4706" s="379">
        <v>17.677315564064209</v>
      </c>
      <c r="G4706" s="25">
        <v>47.85</v>
      </c>
      <c r="H4706" s="379">
        <v>10.92892150752807</v>
      </c>
      <c r="I4706" s="25">
        <v>66.06</v>
      </c>
      <c r="J4706" s="379">
        <v>7.343649036739972</v>
      </c>
    </row>
    <row r="4707" spans="1:10" x14ac:dyDescent="0.35">
      <c r="A4707" s="5">
        <v>4703</v>
      </c>
      <c r="B4707" s="5">
        <v>196</v>
      </c>
      <c r="C4707" s="5">
        <v>7</v>
      </c>
      <c r="D4707" s="379">
        <v>76.657777777777781</v>
      </c>
      <c r="E4707" s="25">
        <v>25.48</v>
      </c>
      <c r="F4707" s="379">
        <v>17.858684457514393</v>
      </c>
      <c r="G4707" s="25">
        <v>47.85</v>
      </c>
      <c r="H4707" s="379">
        <v>10.600030811556049</v>
      </c>
      <c r="I4707" s="25">
        <v>66.06</v>
      </c>
      <c r="J4707" s="379">
        <v>7.3675429396377057</v>
      </c>
    </row>
    <row r="4708" spans="1:10" x14ac:dyDescent="0.35">
      <c r="A4708" s="5">
        <v>4704</v>
      </c>
      <c r="B4708" s="5">
        <v>196</v>
      </c>
      <c r="C4708" s="5">
        <v>7</v>
      </c>
      <c r="D4708" s="379">
        <v>69.768888888888895</v>
      </c>
      <c r="E4708" s="25">
        <v>25.29</v>
      </c>
      <c r="F4708" s="379">
        <v>18.794213965425016</v>
      </c>
      <c r="G4708" s="25">
        <v>47.85</v>
      </c>
      <c r="H4708" s="379">
        <v>10.338658508955652</v>
      </c>
      <c r="I4708" s="25">
        <v>62.27</v>
      </c>
      <c r="J4708" s="379">
        <v>7.458547173525031</v>
      </c>
    </row>
    <row r="4709" spans="1:10" x14ac:dyDescent="0.35">
      <c r="A4709" s="5">
        <v>4705</v>
      </c>
      <c r="B4709" s="5">
        <v>197</v>
      </c>
      <c r="C4709" s="5">
        <v>7</v>
      </c>
      <c r="D4709" s="379">
        <v>61.671111111111109</v>
      </c>
      <c r="E4709" s="25">
        <v>24.84</v>
      </c>
      <c r="F4709" s="379">
        <v>18.080316719142068</v>
      </c>
      <c r="G4709" s="25">
        <v>46.51</v>
      </c>
      <c r="H4709" s="379">
        <v>10.698335505461596</v>
      </c>
      <c r="I4709" s="25">
        <v>59.85</v>
      </c>
      <c r="J4709" s="379">
        <v>7.458547173525031</v>
      </c>
    </row>
    <row r="4710" spans="1:10" x14ac:dyDescent="0.35">
      <c r="A4710" s="5">
        <v>4706</v>
      </c>
      <c r="B4710" s="5">
        <v>197</v>
      </c>
      <c r="C4710" s="5">
        <v>7</v>
      </c>
      <c r="D4710" s="379">
        <v>55.270555555555553</v>
      </c>
      <c r="E4710" s="25">
        <v>24.84</v>
      </c>
      <c r="F4710" s="379">
        <v>18.520424352535308</v>
      </c>
      <c r="G4710" s="25">
        <v>46.51</v>
      </c>
      <c r="H4710" s="379">
        <v>10.288137187076943</v>
      </c>
      <c r="I4710" s="25">
        <v>59.85</v>
      </c>
      <c r="J4710" s="379">
        <v>7.4200278672173541</v>
      </c>
    </row>
    <row r="4711" spans="1:10" x14ac:dyDescent="0.35">
      <c r="A4711" s="5">
        <v>4707</v>
      </c>
      <c r="B4711" s="5">
        <v>197</v>
      </c>
      <c r="C4711" s="5">
        <v>7</v>
      </c>
      <c r="D4711" s="379">
        <v>53.916666666666664</v>
      </c>
      <c r="E4711" s="25">
        <v>24.84</v>
      </c>
      <c r="F4711" s="379">
        <v>18.651121853949967</v>
      </c>
      <c r="G4711" s="25">
        <v>46.51</v>
      </c>
      <c r="H4711" s="379">
        <v>9.9799469530252338</v>
      </c>
      <c r="I4711" s="25">
        <v>56.15</v>
      </c>
      <c r="J4711" s="379">
        <v>7.4449641098767305</v>
      </c>
    </row>
    <row r="4712" spans="1:10" x14ac:dyDescent="0.35">
      <c r="A4712" s="5">
        <v>4708</v>
      </c>
      <c r="B4712" s="5">
        <v>197</v>
      </c>
      <c r="C4712" s="5">
        <v>7</v>
      </c>
      <c r="D4712" s="379">
        <v>50.360555555555557</v>
      </c>
      <c r="E4712" s="25">
        <v>24.84</v>
      </c>
      <c r="F4712" s="379">
        <v>17.188245577527351</v>
      </c>
      <c r="G4712" s="25">
        <v>46.51</v>
      </c>
      <c r="H4712" s="379">
        <v>10.518130295236222</v>
      </c>
      <c r="I4712" s="25">
        <v>56.15</v>
      </c>
      <c r="J4712" s="379">
        <v>7.4542725538288748</v>
      </c>
    </row>
    <row r="4713" spans="1:10" x14ac:dyDescent="0.35">
      <c r="A4713" s="5">
        <v>4709</v>
      </c>
      <c r="B4713" s="5">
        <v>197</v>
      </c>
      <c r="C4713" s="5">
        <v>7</v>
      </c>
      <c r="D4713" s="379">
        <v>51.706111111111106</v>
      </c>
      <c r="E4713" s="25">
        <v>24.84</v>
      </c>
      <c r="F4713" s="379">
        <v>16.604634789111071</v>
      </c>
      <c r="G4713" s="25">
        <v>46.98</v>
      </c>
      <c r="H4713" s="379">
        <v>9.418701576761304</v>
      </c>
      <c r="I4713" s="25">
        <v>59.85</v>
      </c>
      <c r="J4713" s="379">
        <v>7.4678827004333801</v>
      </c>
    </row>
    <row r="4714" spans="1:10" x14ac:dyDescent="0.35">
      <c r="A4714" s="5">
        <v>4710</v>
      </c>
      <c r="B4714" s="5">
        <v>197</v>
      </c>
      <c r="C4714" s="5">
        <v>7</v>
      </c>
      <c r="D4714" s="379">
        <v>49.962222222222223</v>
      </c>
      <c r="E4714" s="25">
        <v>25.59</v>
      </c>
      <c r="F4714" s="379">
        <v>14.76142763720525</v>
      </c>
      <c r="G4714" s="25">
        <v>47.85</v>
      </c>
      <c r="H4714" s="379">
        <v>9.8525709329472395</v>
      </c>
      <c r="I4714" s="25">
        <v>62.27</v>
      </c>
      <c r="J4714" s="379">
        <v>7.3834785897665043</v>
      </c>
    </row>
    <row r="4715" spans="1:10" x14ac:dyDescent="0.35">
      <c r="A4715" s="5">
        <v>4711</v>
      </c>
      <c r="B4715" s="5">
        <v>197</v>
      </c>
      <c r="C4715" s="5">
        <v>7</v>
      </c>
      <c r="D4715" s="379">
        <v>49.957777777777778</v>
      </c>
      <c r="E4715" s="25">
        <v>25.74</v>
      </c>
      <c r="F4715" s="379">
        <v>13.37928883002823</v>
      </c>
      <c r="G4715" s="25">
        <v>47.85</v>
      </c>
      <c r="H4715" s="379">
        <v>9.2561656319347065</v>
      </c>
      <c r="I4715" s="25">
        <v>66.06</v>
      </c>
      <c r="J4715" s="379">
        <v>6.9008399908173237</v>
      </c>
    </row>
    <row r="4716" spans="1:10" x14ac:dyDescent="0.35">
      <c r="A4716" s="5">
        <v>4712</v>
      </c>
      <c r="B4716" s="5">
        <v>197</v>
      </c>
      <c r="C4716" s="5">
        <v>7</v>
      </c>
      <c r="D4716" s="379">
        <v>43.72</v>
      </c>
      <c r="E4716" s="25">
        <v>25.74</v>
      </c>
      <c r="F4716" s="379">
        <v>10.734648929363409</v>
      </c>
      <c r="G4716" s="25">
        <v>47.85</v>
      </c>
      <c r="H4716" s="379">
        <v>8.81195823030375</v>
      </c>
      <c r="I4716" s="25">
        <v>68.05</v>
      </c>
      <c r="J4716" s="379">
        <v>6.1440435897275805</v>
      </c>
    </row>
    <row r="4717" spans="1:10" x14ac:dyDescent="0.35">
      <c r="A4717" s="5">
        <v>4713</v>
      </c>
      <c r="B4717" s="5">
        <v>197</v>
      </c>
      <c r="C4717" s="5">
        <v>7</v>
      </c>
      <c r="D4717" s="379">
        <v>30.490555555555556</v>
      </c>
      <c r="E4717" s="25">
        <v>25.74</v>
      </c>
      <c r="F4717" s="379">
        <v>8.5754195070722918</v>
      </c>
      <c r="G4717" s="25">
        <v>47.85</v>
      </c>
      <c r="H4717" s="379">
        <v>8.349011704998718</v>
      </c>
      <c r="I4717" s="25">
        <v>66.06</v>
      </c>
      <c r="J4717" s="379">
        <v>4.0532764520202003</v>
      </c>
    </row>
    <row r="4718" spans="1:10" x14ac:dyDescent="0.35">
      <c r="A4718" s="5">
        <v>4714</v>
      </c>
      <c r="B4718" s="5">
        <v>197</v>
      </c>
      <c r="C4718" s="5">
        <v>7</v>
      </c>
      <c r="D4718" s="379">
        <v>25.136666666666667</v>
      </c>
      <c r="E4718" s="25">
        <v>25.74</v>
      </c>
      <c r="F4718" s="379">
        <v>8.1174834595959577</v>
      </c>
      <c r="G4718" s="25">
        <v>47.85</v>
      </c>
      <c r="H4718" s="379">
        <v>7.9984528905041703</v>
      </c>
      <c r="I4718" s="25">
        <v>63.36</v>
      </c>
      <c r="J4718" s="379">
        <v>3.622415985238987</v>
      </c>
    </row>
    <row r="4719" spans="1:10" x14ac:dyDescent="0.35">
      <c r="A4719" s="5">
        <v>4715</v>
      </c>
      <c r="B4719" s="5">
        <v>197</v>
      </c>
      <c r="C4719" s="5">
        <v>7</v>
      </c>
      <c r="D4719" s="379">
        <v>22.826666666666668</v>
      </c>
      <c r="E4719" s="25">
        <v>25.59</v>
      </c>
      <c r="F4719" s="379">
        <v>5.3775661770383989</v>
      </c>
      <c r="G4719" s="25">
        <v>47.85</v>
      </c>
      <c r="H4719" s="379">
        <v>6.9865616624314804</v>
      </c>
      <c r="I4719" s="25">
        <v>62.27</v>
      </c>
      <c r="J4719" s="379">
        <v>1.8765946406181837</v>
      </c>
    </row>
    <row r="4720" spans="1:10" x14ac:dyDescent="0.35">
      <c r="A4720" s="5">
        <v>4716</v>
      </c>
      <c r="B4720" s="5">
        <v>197</v>
      </c>
      <c r="C4720" s="5">
        <v>7</v>
      </c>
      <c r="D4720" s="379">
        <v>20.766111111111108</v>
      </c>
      <c r="E4720" s="25">
        <v>25.59</v>
      </c>
      <c r="F4720" s="379">
        <v>5.2083306482968252</v>
      </c>
      <c r="G4720" s="25">
        <v>47.85</v>
      </c>
      <c r="H4720" s="379">
        <v>7.4630942882304154</v>
      </c>
      <c r="I4720" s="25">
        <v>53.71</v>
      </c>
      <c r="J4720" s="379">
        <v>1.0047351302670711</v>
      </c>
    </row>
    <row r="4721" spans="1:10" x14ac:dyDescent="0.35">
      <c r="A4721" s="5">
        <v>4717</v>
      </c>
      <c r="B4721" s="5">
        <v>197</v>
      </c>
      <c r="C4721" s="5">
        <v>7</v>
      </c>
      <c r="D4721" s="379">
        <v>16.170555555555556</v>
      </c>
      <c r="E4721" s="25">
        <v>24.84</v>
      </c>
      <c r="F4721" s="379">
        <v>5.2083306482968252</v>
      </c>
      <c r="G4721" s="25">
        <v>46.98</v>
      </c>
      <c r="H4721" s="379">
        <v>7.0010607862149774</v>
      </c>
      <c r="I4721" s="25">
        <v>51.76</v>
      </c>
      <c r="J4721" s="379">
        <v>3.062290762047827</v>
      </c>
    </row>
    <row r="4722" spans="1:10" x14ac:dyDescent="0.35">
      <c r="A4722" s="5">
        <v>4718</v>
      </c>
      <c r="B4722" s="5">
        <v>197</v>
      </c>
      <c r="C4722" s="5">
        <v>7</v>
      </c>
      <c r="D4722" s="379">
        <v>14.921111111111113</v>
      </c>
      <c r="E4722" s="25">
        <v>24.84</v>
      </c>
      <c r="F4722" s="379">
        <v>5.064787991505515</v>
      </c>
      <c r="G4722" s="25">
        <v>46.98</v>
      </c>
      <c r="H4722" s="379">
        <v>6.5390603629546291</v>
      </c>
      <c r="I4722" s="25">
        <v>51.72</v>
      </c>
      <c r="J4722" s="379">
        <v>2.1905210773592603</v>
      </c>
    </row>
    <row r="4723" spans="1:10" x14ac:dyDescent="0.35">
      <c r="A4723" s="5">
        <v>4719</v>
      </c>
      <c r="B4723" s="5">
        <v>197</v>
      </c>
      <c r="C4723" s="5">
        <v>7</v>
      </c>
      <c r="D4723" s="379">
        <v>15.806666666666665</v>
      </c>
      <c r="E4723" s="25">
        <v>24.84</v>
      </c>
      <c r="F4723" s="379">
        <v>4.9082650308526086</v>
      </c>
      <c r="G4723" s="25">
        <v>46.51</v>
      </c>
      <c r="H4723" s="379">
        <v>6.6852854483898287</v>
      </c>
      <c r="I4723" s="25">
        <v>51.02</v>
      </c>
      <c r="J4723" s="379">
        <v>2.174874786306269</v>
      </c>
    </row>
    <row r="4724" spans="1:10" x14ac:dyDescent="0.35">
      <c r="A4724" s="5">
        <v>4720</v>
      </c>
      <c r="B4724" s="5">
        <v>197</v>
      </c>
      <c r="C4724" s="5">
        <v>7</v>
      </c>
      <c r="D4724" s="379">
        <v>16.941111111111109</v>
      </c>
      <c r="E4724" s="25">
        <v>24.84</v>
      </c>
      <c r="F4724" s="379">
        <v>7.3348672405140407</v>
      </c>
      <c r="G4724" s="25">
        <v>46.04</v>
      </c>
      <c r="H4724" s="379">
        <v>6.1999281549770942</v>
      </c>
      <c r="I4724" s="25">
        <v>51.72</v>
      </c>
      <c r="J4724" s="379">
        <v>1.878863235053021</v>
      </c>
    </row>
    <row r="4725" spans="1:10" x14ac:dyDescent="0.35">
      <c r="A4725" s="5">
        <v>4721</v>
      </c>
      <c r="B4725" s="5">
        <v>197</v>
      </c>
      <c r="C4725" s="5">
        <v>7</v>
      </c>
      <c r="D4725" s="379">
        <v>23.823333333333334</v>
      </c>
      <c r="E4725" s="25">
        <v>24.84</v>
      </c>
      <c r="F4725" s="379">
        <v>8.1174834595959595</v>
      </c>
      <c r="G4725" s="25">
        <v>46.04</v>
      </c>
      <c r="H4725" s="379">
        <v>6.5604943137562035</v>
      </c>
      <c r="I4725" s="25">
        <v>51.72</v>
      </c>
      <c r="J4725" s="379">
        <v>2.3162009512536796</v>
      </c>
    </row>
    <row r="4726" spans="1:10" x14ac:dyDescent="0.35">
      <c r="A4726" s="5">
        <v>4722</v>
      </c>
      <c r="B4726" s="5">
        <v>197</v>
      </c>
      <c r="C4726" s="5">
        <v>7</v>
      </c>
      <c r="D4726" s="379">
        <v>48.362222222222215</v>
      </c>
      <c r="E4726" s="25">
        <v>24.99</v>
      </c>
      <c r="F4726" s="379">
        <v>8.4709286400454573</v>
      </c>
      <c r="G4726" s="25">
        <v>46.04</v>
      </c>
      <c r="H4726" s="379">
        <v>8.4488818234703853</v>
      </c>
      <c r="I4726" s="25">
        <v>51.76</v>
      </c>
      <c r="J4726" s="379">
        <v>4.0731089967249181</v>
      </c>
    </row>
    <row r="4727" spans="1:10" x14ac:dyDescent="0.35">
      <c r="A4727" s="5">
        <v>4723</v>
      </c>
      <c r="B4727" s="5">
        <v>197</v>
      </c>
      <c r="C4727" s="5">
        <v>7</v>
      </c>
      <c r="D4727" s="379">
        <v>62.482222222222219</v>
      </c>
      <c r="E4727" s="25">
        <v>24.84</v>
      </c>
      <c r="F4727" s="379">
        <v>9.9057836230993779</v>
      </c>
      <c r="G4727" s="25">
        <v>46.04</v>
      </c>
      <c r="H4727" s="379">
        <v>9.2263534160903831</v>
      </c>
      <c r="I4727" s="25">
        <v>53.17</v>
      </c>
      <c r="J4727" s="379">
        <v>4.5181342937901343</v>
      </c>
    </row>
    <row r="4728" spans="1:10" x14ac:dyDescent="0.35">
      <c r="A4728" s="5">
        <v>4724</v>
      </c>
      <c r="B4728" s="5">
        <v>197</v>
      </c>
      <c r="C4728" s="5">
        <v>7</v>
      </c>
      <c r="D4728" s="379">
        <v>64.202777777777783</v>
      </c>
      <c r="E4728" s="25">
        <v>24.84</v>
      </c>
      <c r="F4728" s="379">
        <v>12.504934473931774</v>
      </c>
      <c r="G4728" s="25">
        <v>46.04</v>
      </c>
      <c r="H4728" s="379">
        <v>8.0892478457733361</v>
      </c>
      <c r="I4728" s="25">
        <v>53.27</v>
      </c>
      <c r="J4728" s="379">
        <v>3.2534140172329784</v>
      </c>
    </row>
    <row r="4729" spans="1:10" x14ac:dyDescent="0.35">
      <c r="A4729" s="5">
        <v>4725</v>
      </c>
      <c r="B4729" s="5">
        <v>197</v>
      </c>
      <c r="C4729" s="5">
        <v>7</v>
      </c>
      <c r="D4729" s="379">
        <v>69.925555555555562</v>
      </c>
      <c r="E4729" s="25">
        <v>24.84</v>
      </c>
      <c r="F4729" s="379">
        <v>12.157294065102812</v>
      </c>
      <c r="G4729" s="25">
        <v>46.04</v>
      </c>
      <c r="H4729" s="379">
        <v>8.8453366924135182</v>
      </c>
      <c r="I4729" s="25">
        <v>53.27</v>
      </c>
      <c r="J4729" s="379">
        <v>1.4341412513314722</v>
      </c>
    </row>
    <row r="4730" spans="1:10" x14ac:dyDescent="0.35">
      <c r="A4730" s="5">
        <v>4726</v>
      </c>
      <c r="B4730" s="5">
        <v>197</v>
      </c>
      <c r="C4730" s="5">
        <v>7</v>
      </c>
      <c r="D4730" s="379">
        <v>69.66</v>
      </c>
      <c r="E4730" s="25">
        <v>24.84</v>
      </c>
      <c r="F4730" s="379">
        <v>9.5501679361164822</v>
      </c>
      <c r="G4730" s="25">
        <v>46.04</v>
      </c>
      <c r="H4730" s="379">
        <v>7.6573318024518882</v>
      </c>
      <c r="I4730" s="25">
        <v>56.56</v>
      </c>
      <c r="J4730" s="379">
        <v>0.81664695831691214</v>
      </c>
    </row>
    <row r="4731" spans="1:10" x14ac:dyDescent="0.35">
      <c r="A4731" s="5">
        <v>4727</v>
      </c>
      <c r="B4731" s="5">
        <v>197</v>
      </c>
      <c r="C4731" s="5">
        <v>7</v>
      </c>
      <c r="D4731" s="379">
        <v>65.24722222222222</v>
      </c>
      <c r="E4731" s="25">
        <v>24.84</v>
      </c>
      <c r="F4731" s="379">
        <v>7.2345217700231021</v>
      </c>
      <c r="G4731" s="25">
        <v>43.56</v>
      </c>
      <c r="H4731" s="379">
        <v>8.4142187685221614</v>
      </c>
      <c r="I4731" s="25">
        <v>53.27</v>
      </c>
      <c r="J4731" s="379">
        <v>1.7995632083201114</v>
      </c>
    </row>
    <row r="4732" spans="1:10" x14ac:dyDescent="0.35">
      <c r="A4732" s="5">
        <v>4728</v>
      </c>
      <c r="B4732" s="5">
        <v>197</v>
      </c>
      <c r="C4732" s="5">
        <v>7</v>
      </c>
      <c r="D4732" s="379">
        <v>60.04</v>
      </c>
      <c r="E4732" s="25">
        <v>23.76</v>
      </c>
      <c r="F4732" s="379">
        <v>5.8879604135392087</v>
      </c>
      <c r="G4732" s="25">
        <v>31.86</v>
      </c>
      <c r="H4732" s="379">
        <v>6.7690777757797438</v>
      </c>
      <c r="I4732" s="25">
        <v>51.72</v>
      </c>
      <c r="J4732" s="379">
        <v>1.9098492003367002</v>
      </c>
    </row>
    <row r="4733" spans="1:10" x14ac:dyDescent="0.35">
      <c r="A4733" s="5">
        <v>4729</v>
      </c>
      <c r="B4733" s="5">
        <v>198</v>
      </c>
      <c r="C4733" s="5">
        <v>7</v>
      </c>
      <c r="D4733" s="379">
        <v>50.738888888888894</v>
      </c>
      <c r="E4733" s="25">
        <v>23.41</v>
      </c>
      <c r="F4733" s="379">
        <v>5.1855836404563425</v>
      </c>
      <c r="G4733" s="25">
        <v>30.57</v>
      </c>
      <c r="H4733" s="379">
        <v>6.0058993516232171</v>
      </c>
      <c r="I4733" s="25">
        <v>33.67</v>
      </c>
      <c r="J4733" s="379">
        <v>1.1911915219081728</v>
      </c>
    </row>
    <row r="4734" spans="1:10" x14ac:dyDescent="0.35">
      <c r="A4734" s="5">
        <v>4730</v>
      </c>
      <c r="B4734" s="5">
        <v>198</v>
      </c>
      <c r="C4734" s="5">
        <v>7</v>
      </c>
      <c r="D4734" s="379">
        <v>43.656111111111102</v>
      </c>
      <c r="E4734" s="25">
        <v>23.41</v>
      </c>
      <c r="F4734" s="379">
        <v>4.294429116110277</v>
      </c>
      <c r="G4734" s="25">
        <v>30.57</v>
      </c>
      <c r="H4734" s="379">
        <v>6.7620367938470736</v>
      </c>
      <c r="I4734" s="25">
        <v>33.67</v>
      </c>
      <c r="J4734" s="379">
        <v>3.0166081159046114</v>
      </c>
    </row>
    <row r="4735" spans="1:10" x14ac:dyDescent="0.35">
      <c r="A4735" s="5">
        <v>4731</v>
      </c>
      <c r="B4735" s="5">
        <v>198</v>
      </c>
      <c r="C4735" s="5">
        <v>7</v>
      </c>
      <c r="D4735" s="379">
        <v>42.754999999999995</v>
      </c>
      <c r="E4735" s="25">
        <v>22.73</v>
      </c>
      <c r="F4735" s="379">
        <v>2.4763127167115155</v>
      </c>
      <c r="G4735" s="25">
        <v>30.57</v>
      </c>
      <c r="H4735" s="379">
        <v>6.8897804556358846</v>
      </c>
      <c r="I4735" s="25">
        <v>33.67</v>
      </c>
      <c r="J4735" s="379">
        <v>2.9962876872451538</v>
      </c>
    </row>
    <row r="4736" spans="1:10" x14ac:dyDescent="0.35">
      <c r="A4736" s="5">
        <v>4732</v>
      </c>
      <c r="B4736" s="5">
        <v>198</v>
      </c>
      <c r="C4736" s="5">
        <v>7</v>
      </c>
      <c r="D4736" s="379">
        <v>42.676111111111112</v>
      </c>
      <c r="E4736" s="25">
        <v>22.73</v>
      </c>
      <c r="F4736" s="379">
        <v>3.4051563517304166</v>
      </c>
      <c r="G4736" s="25">
        <v>30.57</v>
      </c>
      <c r="H4736" s="379">
        <v>5.9992393793245666</v>
      </c>
      <c r="I4736" s="25">
        <v>33.67</v>
      </c>
      <c r="J4736" s="379">
        <v>4.5078715963420022</v>
      </c>
    </row>
    <row r="4737" spans="1:10" x14ac:dyDescent="0.35">
      <c r="A4737" s="5">
        <v>4733</v>
      </c>
      <c r="B4737" s="5">
        <v>198</v>
      </c>
      <c r="C4737" s="5">
        <v>7</v>
      </c>
      <c r="D4737" s="379">
        <v>42.012222222222221</v>
      </c>
      <c r="E4737" s="25">
        <v>22.73</v>
      </c>
      <c r="F4737" s="379">
        <v>3.3236119095311971</v>
      </c>
      <c r="G4737" s="25">
        <v>30.57</v>
      </c>
      <c r="H4737" s="379">
        <v>7.2411407479523966</v>
      </c>
      <c r="I4737" s="25">
        <v>33.67</v>
      </c>
      <c r="J4737" s="379">
        <v>4.4971645751958125</v>
      </c>
    </row>
    <row r="4738" spans="1:10" x14ac:dyDescent="0.35">
      <c r="A4738" s="5">
        <v>4734</v>
      </c>
      <c r="B4738" s="5">
        <v>198</v>
      </c>
      <c r="C4738" s="5">
        <v>7</v>
      </c>
      <c r="D4738" s="379">
        <v>42.385555555555563</v>
      </c>
      <c r="E4738" s="25">
        <v>22.73</v>
      </c>
      <c r="F4738" s="379">
        <v>2.6078793014991546</v>
      </c>
      <c r="G4738" s="25">
        <v>30.57</v>
      </c>
      <c r="H4738" s="379">
        <v>3.6373364187723558</v>
      </c>
      <c r="I4738" s="25">
        <v>33.67</v>
      </c>
      <c r="J4738" s="379">
        <v>4.2319331322064553</v>
      </c>
    </row>
    <row r="4739" spans="1:10" x14ac:dyDescent="0.35">
      <c r="A4739" s="5">
        <v>4735</v>
      </c>
      <c r="B4739" s="5">
        <v>198</v>
      </c>
      <c r="C4739" s="5">
        <v>7</v>
      </c>
      <c r="D4739" s="379">
        <v>41.736666666666672</v>
      </c>
      <c r="E4739" s="25">
        <v>23.41</v>
      </c>
      <c r="F4739" s="379">
        <v>0.47222222222222215</v>
      </c>
      <c r="G4739" s="25">
        <v>30.57</v>
      </c>
      <c r="H4739" s="379">
        <v>0.47222222222222221</v>
      </c>
      <c r="I4739" s="25">
        <v>33.67</v>
      </c>
      <c r="J4739" s="379">
        <v>4.1824044591829574</v>
      </c>
    </row>
    <row r="4740" spans="1:10" x14ac:dyDescent="0.35">
      <c r="A4740" s="5">
        <v>4736</v>
      </c>
      <c r="B4740" s="5">
        <v>198</v>
      </c>
      <c r="C4740" s="5">
        <v>7</v>
      </c>
      <c r="D4740" s="379">
        <v>41.614444444444445</v>
      </c>
      <c r="E4740" s="25">
        <v>23.41</v>
      </c>
      <c r="F4740" s="379">
        <v>6.7004872931313759</v>
      </c>
      <c r="G4740" s="25">
        <v>31.11</v>
      </c>
      <c r="H4740" s="379">
        <v>2.2105694202248714</v>
      </c>
      <c r="I4740" s="25">
        <v>33.67</v>
      </c>
      <c r="J4740" s="379">
        <v>3.7041739494010866</v>
      </c>
    </row>
    <row r="4741" spans="1:10" x14ac:dyDescent="0.35">
      <c r="A4741" s="5">
        <v>4737</v>
      </c>
      <c r="B4741" s="5">
        <v>198</v>
      </c>
      <c r="C4741" s="5">
        <v>7</v>
      </c>
      <c r="D4741" s="379">
        <v>37.50333333333333</v>
      </c>
      <c r="E4741" s="25">
        <v>23.41</v>
      </c>
      <c r="F4741" s="379">
        <v>3.8443644249699895</v>
      </c>
      <c r="G4741" s="25">
        <v>31.11</v>
      </c>
      <c r="H4741" s="379">
        <v>1.9525064856283987</v>
      </c>
      <c r="I4741" s="25">
        <v>33.67</v>
      </c>
      <c r="J4741" s="379">
        <v>1.3605549470073204</v>
      </c>
    </row>
    <row r="4742" spans="1:10" x14ac:dyDescent="0.35">
      <c r="A4742" s="5">
        <v>4738</v>
      </c>
      <c r="B4742" s="5">
        <v>198</v>
      </c>
      <c r="C4742" s="5">
        <v>7</v>
      </c>
      <c r="D4742" s="379">
        <v>31.138888888888886</v>
      </c>
      <c r="E4742" s="25">
        <v>23.41</v>
      </c>
      <c r="F4742" s="379">
        <v>3.338190565175911</v>
      </c>
      <c r="G4742" s="25">
        <v>30.93</v>
      </c>
      <c r="H4742" s="379">
        <v>1.9525064856283987</v>
      </c>
      <c r="I4742" s="25">
        <v>33.67</v>
      </c>
      <c r="J4742" s="379">
        <v>0.94089174799097997</v>
      </c>
    </row>
    <row r="4743" spans="1:10" x14ac:dyDescent="0.35">
      <c r="A4743" s="5">
        <v>4739</v>
      </c>
      <c r="B4743" s="5">
        <v>198</v>
      </c>
      <c r="C4743" s="5">
        <v>7</v>
      </c>
      <c r="D4743" s="379">
        <v>30.26722222222222</v>
      </c>
      <c r="E4743" s="25">
        <v>23.41</v>
      </c>
      <c r="F4743" s="379">
        <v>3.321799613383277</v>
      </c>
      <c r="G4743" s="25">
        <v>30.05</v>
      </c>
      <c r="H4743" s="379">
        <v>1.9525064856283987</v>
      </c>
      <c r="I4743" s="25">
        <v>33.67</v>
      </c>
      <c r="J4743" s="379">
        <v>2.777777777777778E-2</v>
      </c>
    </row>
    <row r="4744" spans="1:10" x14ac:dyDescent="0.35">
      <c r="A4744" s="5">
        <v>4740</v>
      </c>
      <c r="B4744" s="5">
        <v>198</v>
      </c>
      <c r="C4744" s="5">
        <v>7</v>
      </c>
      <c r="D4744" s="379">
        <v>25.79111111111111</v>
      </c>
      <c r="E4744" s="25">
        <v>21.88</v>
      </c>
      <c r="F4744" s="379">
        <v>3.3496299756184249</v>
      </c>
      <c r="G4744" s="25">
        <v>30.05</v>
      </c>
      <c r="H4744" s="379">
        <v>1.9525064856283987</v>
      </c>
      <c r="I4744" s="25">
        <v>33.53</v>
      </c>
      <c r="J4744" s="379">
        <v>2.777777777777778E-2</v>
      </c>
    </row>
    <row r="4745" spans="1:10" x14ac:dyDescent="0.35">
      <c r="A4745" s="5">
        <v>4741</v>
      </c>
      <c r="B4745" s="5">
        <v>198</v>
      </c>
      <c r="C4745" s="5">
        <v>7</v>
      </c>
      <c r="D4745" s="379">
        <v>19.992222222222225</v>
      </c>
      <c r="E4745" s="25">
        <v>21.75</v>
      </c>
      <c r="F4745" s="379">
        <v>3.3496299756184245</v>
      </c>
      <c r="G4745" s="25">
        <v>30.03</v>
      </c>
      <c r="H4745" s="379">
        <v>1.9525064856283987</v>
      </c>
      <c r="I4745" s="25">
        <v>33.53</v>
      </c>
      <c r="J4745" s="379">
        <v>2.777777777777778E-2</v>
      </c>
    </row>
    <row r="4746" spans="1:10" x14ac:dyDescent="0.35">
      <c r="A4746" s="5">
        <v>4742</v>
      </c>
      <c r="B4746" s="5">
        <v>198</v>
      </c>
      <c r="C4746" s="5">
        <v>7</v>
      </c>
      <c r="D4746" s="379">
        <v>17.846666666666668</v>
      </c>
      <c r="E4746" s="25">
        <v>21.75</v>
      </c>
      <c r="F4746" s="379">
        <v>3.3496299756184245</v>
      </c>
      <c r="G4746" s="25">
        <v>30.03</v>
      </c>
      <c r="H4746" s="379">
        <v>1.774558516381527</v>
      </c>
      <c r="I4746" s="25">
        <v>33.53</v>
      </c>
      <c r="J4746" s="379">
        <v>2.777777777777778E-2</v>
      </c>
    </row>
    <row r="4747" spans="1:10" x14ac:dyDescent="0.35">
      <c r="A4747" s="5">
        <v>4743</v>
      </c>
      <c r="B4747" s="5">
        <v>198</v>
      </c>
      <c r="C4747" s="5">
        <v>7</v>
      </c>
      <c r="D4747" s="379">
        <v>26.634999999999998</v>
      </c>
      <c r="E4747" s="25">
        <v>21.75</v>
      </c>
      <c r="F4747" s="379">
        <v>3.3496299756184245</v>
      </c>
      <c r="G4747" s="25">
        <v>30.03</v>
      </c>
      <c r="H4747" s="379">
        <v>1.774558516381527</v>
      </c>
      <c r="I4747" s="25">
        <v>33.53</v>
      </c>
      <c r="J4747" s="379">
        <v>2.777777777777778E-2</v>
      </c>
    </row>
    <row r="4748" spans="1:10" x14ac:dyDescent="0.35">
      <c r="A4748" s="5">
        <v>4744</v>
      </c>
      <c r="B4748" s="5">
        <v>198</v>
      </c>
      <c r="C4748" s="5">
        <v>7</v>
      </c>
      <c r="D4748" s="379">
        <v>36.288888888888891</v>
      </c>
      <c r="E4748" s="25">
        <v>21.75</v>
      </c>
      <c r="F4748" s="379">
        <v>3.3496299756184249</v>
      </c>
      <c r="G4748" s="25">
        <v>30.03</v>
      </c>
      <c r="H4748" s="379">
        <v>1.774558516381527</v>
      </c>
      <c r="I4748" s="25">
        <v>33.53</v>
      </c>
      <c r="J4748" s="379">
        <v>0.12887543510916907</v>
      </c>
    </row>
    <row r="4749" spans="1:10" x14ac:dyDescent="0.35">
      <c r="A4749" s="5">
        <v>4745</v>
      </c>
      <c r="B4749" s="5">
        <v>198</v>
      </c>
      <c r="C4749" s="5">
        <v>7</v>
      </c>
      <c r="D4749" s="379">
        <v>51.458333333333329</v>
      </c>
      <c r="E4749" s="25">
        <v>22.07</v>
      </c>
      <c r="F4749" s="379">
        <v>4.3106469673176813</v>
      </c>
      <c r="G4749" s="25">
        <v>30.05</v>
      </c>
      <c r="H4749" s="379">
        <v>3.5513208048077622</v>
      </c>
      <c r="I4749" s="25">
        <v>33.67</v>
      </c>
      <c r="J4749" s="379">
        <v>0.12887543510916907</v>
      </c>
    </row>
    <row r="4750" spans="1:10" x14ac:dyDescent="0.35">
      <c r="A4750" s="5">
        <v>4746</v>
      </c>
      <c r="B4750" s="5">
        <v>198</v>
      </c>
      <c r="C4750" s="5">
        <v>7</v>
      </c>
      <c r="D4750" s="379">
        <v>71.451111111111118</v>
      </c>
      <c r="E4750" s="25">
        <v>23.41</v>
      </c>
      <c r="F4750" s="379">
        <v>5.9818998153686787</v>
      </c>
      <c r="G4750" s="25">
        <v>31.11</v>
      </c>
      <c r="H4750" s="379">
        <v>4.0458357290701166</v>
      </c>
      <c r="I4750" s="25">
        <v>33.67</v>
      </c>
      <c r="J4750" s="379">
        <v>2.0433786186746006</v>
      </c>
    </row>
    <row r="4751" spans="1:10" x14ac:dyDescent="0.35">
      <c r="A4751" s="5">
        <v>4747</v>
      </c>
      <c r="B4751" s="5">
        <v>198</v>
      </c>
      <c r="C4751" s="5">
        <v>7</v>
      </c>
      <c r="D4751" s="379">
        <v>80.305000000000007</v>
      </c>
      <c r="E4751" s="25">
        <v>23.59</v>
      </c>
      <c r="F4751" s="379">
        <v>8.3626109954932843</v>
      </c>
      <c r="G4751" s="25">
        <v>31.86</v>
      </c>
      <c r="H4751" s="379">
        <v>6.998892824116778</v>
      </c>
      <c r="I4751" s="25">
        <v>33.67</v>
      </c>
      <c r="J4751" s="379">
        <v>4.3549438781774068</v>
      </c>
    </row>
    <row r="4752" spans="1:10" x14ac:dyDescent="0.35">
      <c r="A4752" s="5">
        <v>4748</v>
      </c>
      <c r="B4752" s="5">
        <v>198</v>
      </c>
      <c r="C4752" s="5">
        <v>7</v>
      </c>
      <c r="D4752" s="379">
        <v>80.321111111111094</v>
      </c>
      <c r="E4752" s="25">
        <v>23.59</v>
      </c>
      <c r="F4752" s="379">
        <v>8.3913067232653589</v>
      </c>
      <c r="G4752" s="25">
        <v>31.86</v>
      </c>
      <c r="H4752" s="379">
        <v>6.6240514200219227</v>
      </c>
      <c r="I4752" s="25">
        <v>36.25</v>
      </c>
      <c r="J4752" s="379">
        <v>9.5566356110481476E-2</v>
      </c>
    </row>
    <row r="4753" spans="1:10" x14ac:dyDescent="0.35">
      <c r="A4753" s="5">
        <v>4749</v>
      </c>
      <c r="B4753" s="5">
        <v>198</v>
      </c>
      <c r="C4753" s="5">
        <v>7</v>
      </c>
      <c r="D4753" s="379">
        <v>84.291111111111107</v>
      </c>
      <c r="E4753" s="25">
        <v>24.56</v>
      </c>
      <c r="F4753" s="379">
        <v>8.4170988355569492</v>
      </c>
      <c r="G4753" s="25">
        <v>32.79</v>
      </c>
      <c r="H4753" s="379">
        <v>7.1696295313410063</v>
      </c>
      <c r="I4753" s="25">
        <v>41.44</v>
      </c>
      <c r="J4753" s="379">
        <v>4.100790094870093</v>
      </c>
    </row>
    <row r="4754" spans="1:10" x14ac:dyDescent="0.35">
      <c r="A4754" s="5">
        <v>4750</v>
      </c>
      <c r="B4754" s="5">
        <v>198</v>
      </c>
      <c r="C4754" s="5">
        <v>7</v>
      </c>
      <c r="D4754" s="379">
        <v>77.536111111111111</v>
      </c>
      <c r="E4754" s="25">
        <v>24.84</v>
      </c>
      <c r="F4754" s="379">
        <v>8.3863301281129932</v>
      </c>
      <c r="G4754" s="25">
        <v>35.96</v>
      </c>
      <c r="H4754" s="379">
        <v>6.6240514200219227</v>
      </c>
      <c r="I4754" s="25">
        <v>45.28</v>
      </c>
      <c r="J4754" s="379">
        <v>0.1388888888888889</v>
      </c>
    </row>
    <row r="4755" spans="1:10" x14ac:dyDescent="0.35">
      <c r="A4755" s="5">
        <v>4751</v>
      </c>
      <c r="B4755" s="5">
        <v>198</v>
      </c>
      <c r="C4755" s="5">
        <v>7</v>
      </c>
      <c r="D4755" s="379">
        <v>73.240555555555559</v>
      </c>
      <c r="E4755" s="25">
        <v>24.84</v>
      </c>
      <c r="F4755" s="379">
        <v>8.4075855182211843</v>
      </c>
      <c r="G4755" s="25">
        <v>32.81</v>
      </c>
      <c r="H4755" s="379">
        <v>7.1696295313410063</v>
      </c>
      <c r="I4755" s="25">
        <v>42.57</v>
      </c>
      <c r="J4755" s="379">
        <v>3.9654288687235866</v>
      </c>
    </row>
    <row r="4756" spans="1:10" x14ac:dyDescent="0.35">
      <c r="A4756" s="5">
        <v>4752</v>
      </c>
      <c r="B4756" s="5">
        <v>198</v>
      </c>
      <c r="C4756" s="5">
        <v>7</v>
      </c>
      <c r="D4756" s="379">
        <v>71.52277777777779</v>
      </c>
      <c r="E4756" s="25">
        <v>23.59</v>
      </c>
      <c r="F4756" s="379">
        <v>7.802969977193519</v>
      </c>
      <c r="G4756" s="25">
        <v>31.11</v>
      </c>
      <c r="H4756" s="379">
        <v>7.3591141182223199</v>
      </c>
      <c r="I4756" s="25">
        <v>34.25</v>
      </c>
      <c r="J4756" s="379">
        <v>4.0010547961755298</v>
      </c>
    </row>
    <row r="4757" spans="1:10" x14ac:dyDescent="0.35">
      <c r="A4757" s="5">
        <v>4753</v>
      </c>
      <c r="B4757" s="5">
        <v>199</v>
      </c>
      <c r="C4757" s="5">
        <v>7</v>
      </c>
      <c r="D4757" s="379">
        <v>63.028888888888886</v>
      </c>
      <c r="E4757" s="25">
        <v>23.59</v>
      </c>
      <c r="F4757" s="379">
        <v>5.8391084695406663</v>
      </c>
      <c r="G4757" s="25">
        <v>31.11</v>
      </c>
      <c r="H4757" s="379">
        <v>7.3479012038566553</v>
      </c>
      <c r="I4757" s="25">
        <v>33.67</v>
      </c>
      <c r="J4757" s="379">
        <v>0.78020725617045994</v>
      </c>
    </row>
    <row r="4758" spans="1:10" x14ac:dyDescent="0.35">
      <c r="A4758" s="5">
        <v>4754</v>
      </c>
      <c r="B4758" s="5">
        <v>199</v>
      </c>
      <c r="C4758" s="5">
        <v>7</v>
      </c>
      <c r="D4758" s="379">
        <v>58.466111111111104</v>
      </c>
      <c r="E4758" s="25">
        <v>23.41</v>
      </c>
      <c r="F4758" s="379">
        <v>5.8627858701983762</v>
      </c>
      <c r="G4758" s="25">
        <v>30.57</v>
      </c>
      <c r="H4758" s="379">
        <v>7.2180503832008229</v>
      </c>
      <c r="I4758" s="25">
        <v>33.67</v>
      </c>
      <c r="J4758" s="379">
        <v>0.33812727373640161</v>
      </c>
    </row>
    <row r="4759" spans="1:10" x14ac:dyDescent="0.35">
      <c r="A4759" s="5">
        <v>4755</v>
      </c>
      <c r="B4759" s="5">
        <v>199</v>
      </c>
      <c r="C4759" s="5">
        <v>7</v>
      </c>
      <c r="D4759" s="379">
        <v>55.849444444444451</v>
      </c>
      <c r="E4759" s="25">
        <v>23.41</v>
      </c>
      <c r="F4759" s="379">
        <v>4.4074473559044538</v>
      </c>
      <c r="G4759" s="25">
        <v>30.57</v>
      </c>
      <c r="H4759" s="379">
        <v>6.5780933921683857</v>
      </c>
      <c r="I4759" s="25">
        <v>33.67</v>
      </c>
      <c r="J4759" s="379">
        <v>0.27777777777777779</v>
      </c>
    </row>
    <row r="4760" spans="1:10" x14ac:dyDescent="0.35">
      <c r="A4760" s="5">
        <v>4756</v>
      </c>
      <c r="B4760" s="5">
        <v>199</v>
      </c>
      <c r="C4760" s="5">
        <v>7</v>
      </c>
      <c r="D4760" s="379">
        <v>57.531666666666659</v>
      </c>
      <c r="E4760" s="25">
        <v>23.41</v>
      </c>
      <c r="F4760" s="379">
        <v>5.4923016834273852</v>
      </c>
      <c r="G4760" s="25">
        <v>30.57</v>
      </c>
      <c r="H4760" s="379">
        <v>5.8439128216124621</v>
      </c>
      <c r="I4760" s="25">
        <v>33.67</v>
      </c>
      <c r="J4760" s="379">
        <v>3.2548368984771598</v>
      </c>
    </row>
    <row r="4761" spans="1:10" x14ac:dyDescent="0.35">
      <c r="A4761" s="5">
        <v>4757</v>
      </c>
      <c r="B4761" s="5">
        <v>199</v>
      </c>
      <c r="C4761" s="5">
        <v>7</v>
      </c>
      <c r="D4761" s="379">
        <v>60.807777777777787</v>
      </c>
      <c r="E4761" s="25">
        <v>23.41</v>
      </c>
      <c r="F4761" s="379">
        <v>4.2606222715244906</v>
      </c>
      <c r="G4761" s="25">
        <v>30.57</v>
      </c>
      <c r="H4761" s="379">
        <v>5.7741028501622766</v>
      </c>
      <c r="I4761" s="25">
        <v>33.67</v>
      </c>
      <c r="J4761" s="379">
        <v>2.1852191674475248</v>
      </c>
    </row>
    <row r="4762" spans="1:10" x14ac:dyDescent="0.35">
      <c r="A4762" s="5">
        <v>4758</v>
      </c>
      <c r="B4762" s="5">
        <v>199</v>
      </c>
      <c r="C4762" s="5">
        <v>7</v>
      </c>
      <c r="D4762" s="379">
        <v>76.407222222222231</v>
      </c>
      <c r="E4762" s="25">
        <v>23.59</v>
      </c>
      <c r="F4762" s="379">
        <v>4.7877463120779042</v>
      </c>
      <c r="G4762" s="25">
        <v>30.57</v>
      </c>
      <c r="H4762" s="379">
        <v>6.2171395786297428</v>
      </c>
      <c r="I4762" s="25">
        <v>33.869999999999997</v>
      </c>
      <c r="J4762" s="379">
        <v>3.622415985238987</v>
      </c>
    </row>
    <row r="4763" spans="1:10" x14ac:dyDescent="0.35">
      <c r="A4763" s="5">
        <v>4759</v>
      </c>
      <c r="B4763" s="5">
        <v>199</v>
      </c>
      <c r="C4763" s="5">
        <v>7</v>
      </c>
      <c r="D4763" s="379">
        <v>87.586666666666673</v>
      </c>
      <c r="E4763" s="25">
        <v>23.59</v>
      </c>
      <c r="F4763" s="379">
        <v>4.2242582034818899</v>
      </c>
      <c r="G4763" s="25">
        <v>30.57</v>
      </c>
      <c r="H4763" s="379">
        <v>5.1843027260239243</v>
      </c>
      <c r="I4763" s="25">
        <v>34.01</v>
      </c>
      <c r="J4763" s="379">
        <v>3.2324159852389873</v>
      </c>
    </row>
    <row r="4764" spans="1:10" x14ac:dyDescent="0.35">
      <c r="A4764" s="5">
        <v>4760</v>
      </c>
      <c r="B4764" s="5">
        <v>199</v>
      </c>
      <c r="C4764" s="5">
        <v>7</v>
      </c>
      <c r="D4764" s="379">
        <v>83.549444444444447</v>
      </c>
      <c r="E4764" s="25">
        <v>23.59</v>
      </c>
      <c r="F4764" s="379">
        <v>3.3920162094242921</v>
      </c>
      <c r="G4764" s="25">
        <v>31.11</v>
      </c>
      <c r="H4764" s="379">
        <v>2.4491910236489773</v>
      </c>
      <c r="I4764" s="25">
        <v>33.979999999999997</v>
      </c>
      <c r="J4764" s="379">
        <v>3.9409462188030098</v>
      </c>
    </row>
    <row r="4765" spans="1:10" x14ac:dyDescent="0.35">
      <c r="A4765" s="5">
        <v>4761</v>
      </c>
      <c r="B4765" s="5">
        <v>199</v>
      </c>
      <c r="C4765" s="5">
        <v>7</v>
      </c>
      <c r="D4765" s="379">
        <v>85.286666666666662</v>
      </c>
      <c r="E4765" s="25">
        <v>23.84</v>
      </c>
      <c r="F4765" s="379">
        <v>3.2012451389175038</v>
      </c>
      <c r="G4765" s="25">
        <v>31.11</v>
      </c>
      <c r="H4765" s="379">
        <v>2.4614736049556165</v>
      </c>
      <c r="I4765" s="25">
        <v>33.67</v>
      </c>
      <c r="J4765" s="379">
        <v>1.3605549470073204</v>
      </c>
    </row>
    <row r="4766" spans="1:10" x14ac:dyDescent="0.35">
      <c r="A4766" s="5">
        <v>4762</v>
      </c>
      <c r="B4766" s="5">
        <v>199</v>
      </c>
      <c r="C4766" s="5">
        <v>7</v>
      </c>
      <c r="D4766" s="379">
        <v>77.375555555555565</v>
      </c>
      <c r="E4766" s="25">
        <v>23.84</v>
      </c>
      <c r="F4766" s="379">
        <v>3.2984688817194554</v>
      </c>
      <c r="G4766" s="25">
        <v>31.11</v>
      </c>
      <c r="H4766" s="379">
        <v>1.8457190916956596</v>
      </c>
      <c r="I4766" s="25">
        <v>33.67</v>
      </c>
      <c r="J4766" s="379">
        <v>2.777777777777778E-2</v>
      </c>
    </row>
    <row r="4767" spans="1:10" x14ac:dyDescent="0.35">
      <c r="A4767" s="5">
        <v>4763</v>
      </c>
      <c r="B4767" s="5">
        <v>199</v>
      </c>
      <c r="C4767" s="5">
        <v>7</v>
      </c>
      <c r="D4767" s="379">
        <v>76.915000000000006</v>
      </c>
      <c r="E4767" s="25">
        <v>23.84</v>
      </c>
      <c r="F4767" s="379">
        <v>3.1512364416311915</v>
      </c>
      <c r="G4767" s="25">
        <v>30.95</v>
      </c>
      <c r="H4767" s="379">
        <v>1.8457190916956596</v>
      </c>
      <c r="I4767" s="25">
        <v>33.67</v>
      </c>
      <c r="J4767" s="379">
        <v>2.777777777777778E-2</v>
      </c>
    </row>
    <row r="4768" spans="1:10" x14ac:dyDescent="0.35">
      <c r="A4768" s="5">
        <v>4764</v>
      </c>
      <c r="B4768" s="5">
        <v>199</v>
      </c>
      <c r="C4768" s="5">
        <v>7</v>
      </c>
      <c r="D4768" s="379">
        <v>72.422222222222217</v>
      </c>
      <c r="E4768" s="25">
        <v>23.59</v>
      </c>
      <c r="F4768" s="379">
        <v>3.1512364416311915</v>
      </c>
      <c r="G4768" s="25">
        <v>30.95</v>
      </c>
      <c r="H4768" s="379">
        <v>1.8457190916956596</v>
      </c>
      <c r="I4768" s="25">
        <v>33.67</v>
      </c>
      <c r="J4768" s="379">
        <v>2.777777777777778E-2</v>
      </c>
    </row>
    <row r="4769" spans="1:10" x14ac:dyDescent="0.35">
      <c r="A4769" s="5">
        <v>4765</v>
      </c>
      <c r="B4769" s="5">
        <v>199</v>
      </c>
      <c r="C4769" s="5">
        <v>7</v>
      </c>
      <c r="D4769" s="379">
        <v>69.137222222222221</v>
      </c>
      <c r="E4769" s="25">
        <v>22.07</v>
      </c>
      <c r="F4769" s="379">
        <v>2.8003964335678027</v>
      </c>
      <c r="G4769" s="25">
        <v>30.66</v>
      </c>
      <c r="H4769" s="379">
        <v>1.2655816667086657</v>
      </c>
      <c r="I4769" s="25">
        <v>33.67</v>
      </c>
      <c r="J4769" s="379">
        <v>2.777777777777778E-2</v>
      </c>
    </row>
    <row r="4770" spans="1:10" x14ac:dyDescent="0.35">
      <c r="A4770" s="5">
        <v>4766</v>
      </c>
      <c r="B4770" s="5">
        <v>199</v>
      </c>
      <c r="C4770" s="5">
        <v>7</v>
      </c>
      <c r="D4770" s="379">
        <v>69.632222222222225</v>
      </c>
      <c r="E4770" s="25">
        <v>21.88</v>
      </c>
      <c r="F4770" s="379">
        <v>2.8003964335678027</v>
      </c>
      <c r="G4770" s="25">
        <v>30.57</v>
      </c>
      <c r="H4770" s="379">
        <v>1.2655816667086657</v>
      </c>
      <c r="I4770" s="25">
        <v>33.67</v>
      </c>
      <c r="J4770" s="379">
        <v>2.777777777777778E-2</v>
      </c>
    </row>
    <row r="4771" spans="1:10" x14ac:dyDescent="0.35">
      <c r="A4771" s="5">
        <v>4767</v>
      </c>
      <c r="B4771" s="5">
        <v>199</v>
      </c>
      <c r="C4771" s="5">
        <v>7</v>
      </c>
      <c r="D4771" s="379">
        <v>77.010555555555555</v>
      </c>
      <c r="E4771" s="25">
        <v>21.88</v>
      </c>
      <c r="F4771" s="379">
        <v>2.8003964335678027</v>
      </c>
      <c r="G4771" s="25">
        <v>30.57</v>
      </c>
      <c r="H4771" s="379">
        <v>1.2655816667086657</v>
      </c>
      <c r="I4771" s="25">
        <v>33.67</v>
      </c>
      <c r="J4771" s="379">
        <v>2.777777777777778E-2</v>
      </c>
    </row>
    <row r="4772" spans="1:10" x14ac:dyDescent="0.35">
      <c r="A4772" s="5">
        <v>4768</v>
      </c>
      <c r="B4772" s="5">
        <v>199</v>
      </c>
      <c r="C4772" s="5">
        <v>7</v>
      </c>
      <c r="D4772" s="379">
        <v>87.710555555555544</v>
      </c>
      <c r="E4772" s="25">
        <v>21.88</v>
      </c>
      <c r="F4772" s="379">
        <v>2.8003964335678027</v>
      </c>
      <c r="G4772" s="25">
        <v>30.57</v>
      </c>
      <c r="H4772" s="379">
        <v>1.2655816667086657</v>
      </c>
      <c r="I4772" s="25">
        <v>33.67</v>
      </c>
      <c r="J4772" s="379">
        <v>2.777777777777778E-2</v>
      </c>
    </row>
    <row r="4773" spans="1:10" x14ac:dyDescent="0.35">
      <c r="A4773" s="5">
        <v>4769</v>
      </c>
      <c r="B4773" s="5">
        <v>199</v>
      </c>
      <c r="C4773" s="5">
        <v>7</v>
      </c>
      <c r="D4773" s="379">
        <v>99.007777777777775</v>
      </c>
      <c r="E4773" s="25">
        <v>23.59</v>
      </c>
      <c r="F4773" s="379">
        <v>2.8003964335678027</v>
      </c>
      <c r="G4773" s="25">
        <v>30.91</v>
      </c>
      <c r="H4773" s="379">
        <v>1.9166706892464163</v>
      </c>
      <c r="I4773" s="25">
        <v>33.67</v>
      </c>
      <c r="J4773" s="379">
        <v>2.777777777777778E-2</v>
      </c>
    </row>
    <row r="4774" spans="1:10" x14ac:dyDescent="0.35">
      <c r="A4774" s="5">
        <v>4770</v>
      </c>
      <c r="B4774" s="5">
        <v>199</v>
      </c>
      <c r="C4774" s="5">
        <v>7</v>
      </c>
      <c r="D4774" s="379">
        <v>120.04944444444445</v>
      </c>
      <c r="E4774" s="25">
        <v>24.84</v>
      </c>
      <c r="F4774" s="379">
        <v>2.3745469784346804</v>
      </c>
      <c r="G4774" s="25">
        <v>31.11</v>
      </c>
      <c r="H4774" s="379">
        <v>2.2658709933897372</v>
      </c>
      <c r="I4774" s="25">
        <v>34.380000000000003</v>
      </c>
      <c r="J4774" s="379">
        <v>0.18385243541293639</v>
      </c>
    </row>
    <row r="4775" spans="1:10" x14ac:dyDescent="0.35">
      <c r="A4775" s="5">
        <v>4771</v>
      </c>
      <c r="B4775" s="5">
        <v>199</v>
      </c>
      <c r="C4775" s="5">
        <v>7</v>
      </c>
      <c r="D4775" s="379">
        <v>126.04888888888888</v>
      </c>
      <c r="E4775" s="25">
        <v>24.84</v>
      </c>
      <c r="F4775" s="379">
        <v>5.6193018986231893</v>
      </c>
      <c r="G4775" s="25">
        <v>39.93</v>
      </c>
      <c r="H4775" s="379">
        <v>6.5941803740908504</v>
      </c>
      <c r="I4775" s="25">
        <v>45.28</v>
      </c>
      <c r="J4775" s="379">
        <v>5.4882455460599777</v>
      </c>
    </row>
    <row r="4776" spans="1:10" x14ac:dyDescent="0.35">
      <c r="A4776" s="5">
        <v>4772</v>
      </c>
      <c r="B4776" s="5">
        <v>199</v>
      </c>
      <c r="C4776" s="5">
        <v>7</v>
      </c>
      <c r="D4776" s="379">
        <v>127.65388888888887</v>
      </c>
      <c r="E4776" s="25">
        <v>24.84</v>
      </c>
      <c r="F4776" s="379">
        <v>8.1887968374136975</v>
      </c>
      <c r="G4776" s="25">
        <v>42.29</v>
      </c>
      <c r="H4776" s="379">
        <v>6.492892079644359</v>
      </c>
      <c r="I4776" s="25">
        <v>49.53</v>
      </c>
      <c r="J4776" s="379">
        <v>4.7970883594708438</v>
      </c>
    </row>
    <row r="4777" spans="1:10" x14ac:dyDescent="0.35">
      <c r="A4777" s="5">
        <v>4773</v>
      </c>
      <c r="B4777" s="5">
        <v>199</v>
      </c>
      <c r="C4777" s="5">
        <v>7</v>
      </c>
      <c r="D4777" s="379">
        <v>119.47888888888887</v>
      </c>
      <c r="E4777" s="25">
        <v>24.84</v>
      </c>
      <c r="F4777" s="379">
        <v>7.885041472849994</v>
      </c>
      <c r="G4777" s="25">
        <v>43.56</v>
      </c>
      <c r="H4777" s="379">
        <v>9.4062681933698311</v>
      </c>
      <c r="I4777" s="25">
        <v>52.55</v>
      </c>
      <c r="J4777" s="379">
        <v>4.9705615787946957</v>
      </c>
    </row>
    <row r="4778" spans="1:10" x14ac:dyDescent="0.35">
      <c r="A4778" s="5">
        <v>4774</v>
      </c>
      <c r="B4778" s="5">
        <v>199</v>
      </c>
      <c r="C4778" s="5">
        <v>7</v>
      </c>
      <c r="D4778" s="379">
        <v>106.57555555555554</v>
      </c>
      <c r="E4778" s="25">
        <v>24.84</v>
      </c>
      <c r="F4778" s="379">
        <v>9.4113277431834064</v>
      </c>
      <c r="G4778" s="25">
        <v>43.56</v>
      </c>
      <c r="H4778" s="379">
        <v>9.2259123270262968</v>
      </c>
      <c r="I4778" s="25">
        <v>56.52</v>
      </c>
      <c r="J4778" s="379">
        <v>3.2299498492640795</v>
      </c>
    </row>
    <row r="4779" spans="1:10" x14ac:dyDescent="0.35">
      <c r="A4779" s="5">
        <v>4775</v>
      </c>
      <c r="B4779" s="5">
        <v>199</v>
      </c>
      <c r="C4779" s="5">
        <v>7</v>
      </c>
      <c r="D4779" s="379">
        <v>93.061666666666682</v>
      </c>
      <c r="E4779" s="25">
        <v>24.84</v>
      </c>
      <c r="F4779" s="379">
        <v>9.558190879885835</v>
      </c>
      <c r="G4779" s="25">
        <v>43.56</v>
      </c>
      <c r="H4779" s="379">
        <v>8.3162181474087582</v>
      </c>
      <c r="I4779" s="25">
        <v>51.84</v>
      </c>
      <c r="J4779" s="379">
        <v>3.5512016127068904</v>
      </c>
    </row>
    <row r="4780" spans="1:10" x14ac:dyDescent="0.35">
      <c r="A4780" s="5">
        <v>4776</v>
      </c>
      <c r="B4780" s="5">
        <v>199</v>
      </c>
      <c r="C4780" s="5">
        <v>7</v>
      </c>
      <c r="D4780" s="379">
        <v>80.937222222222218</v>
      </c>
      <c r="E4780" s="25">
        <v>24.84</v>
      </c>
      <c r="F4780" s="379">
        <v>10.254564938896971</v>
      </c>
      <c r="G4780" s="25">
        <v>39.93</v>
      </c>
      <c r="H4780" s="379">
        <v>8.0922715672285452</v>
      </c>
      <c r="I4780" s="25">
        <v>48.04</v>
      </c>
      <c r="J4780" s="379">
        <v>4.3412051555730358</v>
      </c>
    </row>
    <row r="4781" spans="1:10" x14ac:dyDescent="0.35">
      <c r="A4781" s="5">
        <v>4777</v>
      </c>
      <c r="B4781" s="5">
        <v>200</v>
      </c>
      <c r="C4781" s="5">
        <v>7</v>
      </c>
      <c r="D4781" s="379">
        <v>76.447777777777773</v>
      </c>
      <c r="E4781" s="25">
        <v>24.84</v>
      </c>
      <c r="F4781" s="379">
        <v>9.9334250416741572</v>
      </c>
      <c r="G4781" s="25">
        <v>42.29</v>
      </c>
      <c r="H4781" s="379">
        <v>6.8701480659923995</v>
      </c>
      <c r="I4781" s="25">
        <v>53.27</v>
      </c>
      <c r="J4781" s="379">
        <v>4.2630222524610781</v>
      </c>
    </row>
    <row r="4782" spans="1:10" x14ac:dyDescent="0.35">
      <c r="A4782" s="5">
        <v>4778</v>
      </c>
      <c r="B4782" s="5">
        <v>200</v>
      </c>
      <c r="C4782" s="5">
        <v>7</v>
      </c>
      <c r="D4782" s="379">
        <v>71.645555555555546</v>
      </c>
      <c r="E4782" s="25">
        <v>24.84</v>
      </c>
      <c r="F4782" s="379">
        <v>9.4631540958447147</v>
      </c>
      <c r="G4782" s="25">
        <v>42.29</v>
      </c>
      <c r="H4782" s="379">
        <v>7.2108053658257552</v>
      </c>
      <c r="I4782" s="25">
        <v>53.27</v>
      </c>
      <c r="J4782" s="379">
        <v>3.2454751371370567</v>
      </c>
    </row>
    <row r="4783" spans="1:10" x14ac:dyDescent="0.35">
      <c r="A4783" s="5">
        <v>4779</v>
      </c>
      <c r="B4783" s="5">
        <v>200</v>
      </c>
      <c r="C4783" s="5">
        <v>7</v>
      </c>
      <c r="D4783" s="379">
        <v>70.204999999999984</v>
      </c>
      <c r="E4783" s="25">
        <v>24.84</v>
      </c>
      <c r="F4783" s="379">
        <v>7.6439731859562823</v>
      </c>
      <c r="G4783" s="25">
        <v>42.29</v>
      </c>
      <c r="H4783" s="379">
        <v>7.7956287011516494</v>
      </c>
      <c r="I4783" s="25">
        <v>53.27</v>
      </c>
      <c r="J4783" s="379">
        <v>4.2335799593943708</v>
      </c>
    </row>
    <row r="4784" spans="1:10" x14ac:dyDescent="0.35">
      <c r="A4784" s="5">
        <v>4780</v>
      </c>
      <c r="B4784" s="5">
        <v>200</v>
      </c>
      <c r="C4784" s="5">
        <v>7</v>
      </c>
      <c r="D4784" s="379">
        <v>69.248333333333335</v>
      </c>
      <c r="E4784" s="25">
        <v>24.84</v>
      </c>
      <c r="F4784" s="379">
        <v>9.0764067869306739</v>
      </c>
      <c r="G4784" s="25">
        <v>42.29</v>
      </c>
      <c r="H4784" s="379">
        <v>6.0167253907305644</v>
      </c>
      <c r="I4784" s="25">
        <v>53.27</v>
      </c>
      <c r="J4784" s="379">
        <v>4.0204573319282364</v>
      </c>
    </row>
    <row r="4785" spans="1:10" x14ac:dyDescent="0.35">
      <c r="A4785" s="5">
        <v>4781</v>
      </c>
      <c r="B4785" s="5">
        <v>200</v>
      </c>
      <c r="C4785" s="5">
        <v>7</v>
      </c>
      <c r="D4785" s="379">
        <v>72.694444444444443</v>
      </c>
      <c r="E4785" s="25">
        <v>24.84</v>
      </c>
      <c r="F4785" s="379">
        <v>7.9393880381371407</v>
      </c>
      <c r="G4785" s="25">
        <v>42.29</v>
      </c>
      <c r="H4785" s="379">
        <v>6.9938423723834386</v>
      </c>
      <c r="I4785" s="25">
        <v>53.27</v>
      </c>
      <c r="J4785" s="379">
        <v>4.1480800099334996</v>
      </c>
    </row>
    <row r="4786" spans="1:10" x14ac:dyDescent="0.35">
      <c r="A4786" s="5">
        <v>4782</v>
      </c>
      <c r="B4786" s="5">
        <v>200</v>
      </c>
      <c r="C4786" s="5">
        <v>7</v>
      </c>
      <c r="D4786" s="379">
        <v>86.529444444444451</v>
      </c>
      <c r="E4786" s="25">
        <v>24.84</v>
      </c>
      <c r="F4786" s="379">
        <v>7.0777176675670042</v>
      </c>
      <c r="G4786" s="25">
        <v>46.98</v>
      </c>
      <c r="H4786" s="379">
        <v>6.2418930926062588</v>
      </c>
      <c r="I4786" s="25">
        <v>54.87</v>
      </c>
      <c r="J4786" s="379">
        <v>4.4228120455455215</v>
      </c>
    </row>
    <row r="4787" spans="1:10" x14ac:dyDescent="0.35">
      <c r="A4787" s="5">
        <v>4783</v>
      </c>
      <c r="B4787" s="5">
        <v>200</v>
      </c>
      <c r="C4787" s="5">
        <v>7</v>
      </c>
      <c r="D4787" s="379">
        <v>95.863333333333344</v>
      </c>
      <c r="E4787" s="25">
        <v>25.59</v>
      </c>
      <c r="F4787" s="379">
        <v>12.218008102310797</v>
      </c>
      <c r="G4787" s="25">
        <v>47.46</v>
      </c>
      <c r="H4787" s="379">
        <v>9.058101013403439</v>
      </c>
      <c r="I4787" s="25">
        <v>61.82</v>
      </c>
      <c r="J4787" s="379">
        <v>6.6025537879077483</v>
      </c>
    </row>
    <row r="4788" spans="1:10" x14ac:dyDescent="0.35">
      <c r="A4788" s="5">
        <v>4784</v>
      </c>
      <c r="B4788" s="5">
        <v>200</v>
      </c>
      <c r="C4788" s="5">
        <v>7</v>
      </c>
      <c r="D4788" s="379">
        <v>88.862777777777779</v>
      </c>
      <c r="E4788" s="25">
        <v>25.59</v>
      </c>
      <c r="F4788" s="379">
        <v>9.5061168893172461</v>
      </c>
      <c r="G4788" s="25">
        <v>47.46</v>
      </c>
      <c r="H4788" s="379">
        <v>10.065599724241768</v>
      </c>
      <c r="I4788" s="25">
        <v>64.14</v>
      </c>
      <c r="J4788" s="379">
        <v>7.2416515990686232</v>
      </c>
    </row>
    <row r="4789" spans="1:10" x14ac:dyDescent="0.35">
      <c r="A4789" s="5">
        <v>4785</v>
      </c>
      <c r="B4789" s="5">
        <v>200</v>
      </c>
      <c r="C4789" s="5">
        <v>7</v>
      </c>
      <c r="D4789" s="379">
        <v>82.091111111111118</v>
      </c>
      <c r="E4789" s="25">
        <v>25.59</v>
      </c>
      <c r="F4789" s="379">
        <v>8.8248521149112467</v>
      </c>
      <c r="G4789" s="25">
        <v>47.46</v>
      </c>
      <c r="H4789" s="379">
        <v>9.9651447698364759</v>
      </c>
      <c r="I4789" s="25">
        <v>64.14</v>
      </c>
      <c r="J4789" s="379">
        <v>6.4338144633402052</v>
      </c>
    </row>
    <row r="4790" spans="1:10" x14ac:dyDescent="0.35">
      <c r="A4790" s="5">
        <v>4786</v>
      </c>
      <c r="B4790" s="5">
        <v>200</v>
      </c>
      <c r="C4790" s="5">
        <v>7</v>
      </c>
      <c r="D4790" s="379">
        <v>78.408333333333331</v>
      </c>
      <c r="E4790" s="25">
        <v>25.59</v>
      </c>
      <c r="F4790" s="379">
        <v>8.5835928554423973</v>
      </c>
      <c r="G4790" s="25">
        <v>47.46</v>
      </c>
      <c r="H4790" s="379">
        <v>7.6062612193457699</v>
      </c>
      <c r="I4790" s="25">
        <v>61.82</v>
      </c>
      <c r="J4790" s="379">
        <v>6.1581377180200318</v>
      </c>
    </row>
    <row r="4791" spans="1:10" x14ac:dyDescent="0.35">
      <c r="A4791" s="5">
        <v>4787</v>
      </c>
      <c r="B4791" s="5">
        <v>200</v>
      </c>
      <c r="C4791" s="5">
        <v>7</v>
      </c>
      <c r="D4791" s="379">
        <v>74.742777777777775</v>
      </c>
      <c r="E4791" s="25">
        <v>25.59</v>
      </c>
      <c r="F4791" s="379">
        <v>8.176097299862418</v>
      </c>
      <c r="G4791" s="25">
        <v>47.46</v>
      </c>
      <c r="H4791" s="379">
        <v>6.0292667869903802</v>
      </c>
      <c r="I4791" s="25">
        <v>54.92</v>
      </c>
      <c r="J4791" s="379">
        <v>4.0002100395281248</v>
      </c>
    </row>
    <row r="4792" spans="1:10" x14ac:dyDescent="0.35">
      <c r="A4792" s="5">
        <v>4788</v>
      </c>
      <c r="B4792" s="5">
        <v>200</v>
      </c>
      <c r="C4792" s="5">
        <v>7</v>
      </c>
      <c r="D4792" s="379">
        <v>76.754444444444431</v>
      </c>
      <c r="E4792" s="25">
        <v>24.99</v>
      </c>
      <c r="F4792" s="379">
        <v>4.0110117068509838</v>
      </c>
      <c r="G4792" s="25">
        <v>46.98</v>
      </c>
      <c r="H4792" s="379">
        <v>5.2477701504309673</v>
      </c>
      <c r="I4792" s="25">
        <v>53.81</v>
      </c>
      <c r="J4792" s="379">
        <v>0.69305988101083915</v>
      </c>
    </row>
    <row r="4793" spans="1:10" x14ac:dyDescent="0.35">
      <c r="A4793" s="5">
        <v>4789</v>
      </c>
      <c r="B4793" s="5">
        <v>200</v>
      </c>
      <c r="C4793" s="5">
        <v>7</v>
      </c>
      <c r="D4793" s="379">
        <v>73.190000000000012</v>
      </c>
      <c r="E4793" s="25">
        <v>24.99</v>
      </c>
      <c r="F4793" s="379">
        <v>4.3405745601621186</v>
      </c>
      <c r="G4793" s="25">
        <v>46.98</v>
      </c>
      <c r="H4793" s="379">
        <v>5.4706222375027309</v>
      </c>
      <c r="I4793" s="25">
        <v>53.27</v>
      </c>
      <c r="J4793" s="379">
        <v>2.4410552300183843</v>
      </c>
    </row>
    <row r="4794" spans="1:10" x14ac:dyDescent="0.35">
      <c r="A4794" s="5">
        <v>4790</v>
      </c>
      <c r="B4794" s="5">
        <v>200</v>
      </c>
      <c r="C4794" s="5">
        <v>7</v>
      </c>
      <c r="D4794" s="379">
        <v>76.23</v>
      </c>
      <c r="E4794" s="25">
        <v>24.84</v>
      </c>
      <c r="F4794" s="379">
        <v>1.4581272983915605</v>
      </c>
      <c r="G4794" s="25">
        <v>43.56</v>
      </c>
      <c r="H4794" s="379">
        <v>5.6423105611473234</v>
      </c>
      <c r="I4794" s="25">
        <v>53.27</v>
      </c>
      <c r="J4794" s="379">
        <v>2.5441973584773661</v>
      </c>
    </row>
    <row r="4795" spans="1:10" x14ac:dyDescent="0.35">
      <c r="A4795" s="5">
        <v>4791</v>
      </c>
      <c r="B4795" s="5">
        <v>200</v>
      </c>
      <c r="C4795" s="5">
        <v>7</v>
      </c>
      <c r="D4795" s="379">
        <v>79.47</v>
      </c>
      <c r="E4795" s="25">
        <v>24.84</v>
      </c>
      <c r="F4795" s="379">
        <v>2.2645876872430666</v>
      </c>
      <c r="G4795" s="25">
        <v>43.56</v>
      </c>
      <c r="H4795" s="379">
        <v>5.5129191483360307</v>
      </c>
      <c r="I4795" s="25">
        <v>53.27</v>
      </c>
      <c r="J4795" s="379">
        <v>2.3513268038589139</v>
      </c>
    </row>
    <row r="4796" spans="1:10" x14ac:dyDescent="0.35">
      <c r="A4796" s="5">
        <v>4792</v>
      </c>
      <c r="B4796" s="5">
        <v>200</v>
      </c>
      <c r="C4796" s="5">
        <v>7</v>
      </c>
      <c r="D4796" s="379">
        <v>79.675000000000011</v>
      </c>
      <c r="E4796" s="25">
        <v>24.84</v>
      </c>
      <c r="F4796" s="379">
        <v>5.3837097714493884</v>
      </c>
      <c r="G4796" s="25">
        <v>42.71</v>
      </c>
      <c r="H4796" s="379">
        <v>5.3204849534103431</v>
      </c>
      <c r="I4796" s="25">
        <v>52.74</v>
      </c>
      <c r="J4796" s="379">
        <v>0.53464756873674779</v>
      </c>
    </row>
    <row r="4797" spans="1:10" x14ac:dyDescent="0.35">
      <c r="A4797" s="5">
        <v>4793</v>
      </c>
      <c r="B4797" s="5">
        <v>200</v>
      </c>
      <c r="C4797" s="5">
        <v>7</v>
      </c>
      <c r="D4797" s="379">
        <v>88.790555555555557</v>
      </c>
      <c r="E4797" s="25">
        <v>24.84</v>
      </c>
      <c r="F4797" s="379">
        <v>0.47222222222222221</v>
      </c>
      <c r="G4797" s="25">
        <v>42.29</v>
      </c>
      <c r="H4797" s="379">
        <v>4.799693804694658</v>
      </c>
      <c r="I4797" s="25">
        <v>50.21</v>
      </c>
      <c r="J4797" s="379">
        <v>0.53332523582734148</v>
      </c>
    </row>
    <row r="4798" spans="1:10" x14ac:dyDescent="0.35">
      <c r="A4798" s="5">
        <v>4794</v>
      </c>
      <c r="B4798" s="5">
        <v>200</v>
      </c>
      <c r="C4798" s="5">
        <v>7</v>
      </c>
      <c r="D4798" s="379">
        <v>94.63666666666667</v>
      </c>
      <c r="E4798" s="25">
        <v>24.84</v>
      </c>
      <c r="F4798" s="379">
        <v>8.1174834595959613</v>
      </c>
      <c r="G4798" s="25">
        <v>43.39</v>
      </c>
      <c r="H4798" s="379">
        <v>4.799693804694658</v>
      </c>
      <c r="I4798" s="25">
        <v>50.72</v>
      </c>
      <c r="J4798" s="379">
        <v>0.375</v>
      </c>
    </row>
    <row r="4799" spans="1:10" x14ac:dyDescent="0.35">
      <c r="A4799" s="5">
        <v>4795</v>
      </c>
      <c r="B4799" s="5">
        <v>200</v>
      </c>
      <c r="C4799" s="5">
        <v>7</v>
      </c>
      <c r="D4799" s="379">
        <v>107.94666666666666</v>
      </c>
      <c r="E4799" s="25">
        <v>24.84</v>
      </c>
      <c r="F4799" s="379">
        <v>8.625890416421905</v>
      </c>
      <c r="G4799" s="25">
        <v>43.56</v>
      </c>
      <c r="H4799" s="379">
        <v>6.9747365479948069</v>
      </c>
      <c r="I4799" s="25">
        <v>51.2</v>
      </c>
      <c r="J4799" s="379">
        <v>4.0448172997479794</v>
      </c>
    </row>
    <row r="4800" spans="1:10" x14ac:dyDescent="0.35">
      <c r="A4800" s="5">
        <v>4796</v>
      </c>
      <c r="B4800" s="5">
        <v>200</v>
      </c>
      <c r="C4800" s="5">
        <v>7</v>
      </c>
      <c r="D4800" s="379">
        <v>103.07</v>
      </c>
      <c r="E4800" s="25">
        <v>24.84</v>
      </c>
      <c r="F4800" s="379">
        <v>9.459048570034124</v>
      </c>
      <c r="G4800" s="25">
        <v>43.39</v>
      </c>
      <c r="H4800" s="379">
        <v>9.7823262413119405</v>
      </c>
      <c r="I4800" s="25">
        <v>53.17</v>
      </c>
      <c r="J4800" s="379">
        <v>6.1222448847310309</v>
      </c>
    </row>
    <row r="4801" spans="1:10" x14ac:dyDescent="0.35">
      <c r="A4801" s="5">
        <v>4797</v>
      </c>
      <c r="B4801" s="5">
        <v>200</v>
      </c>
      <c r="C4801" s="5">
        <v>7</v>
      </c>
      <c r="D4801" s="379">
        <v>89.699444444444438</v>
      </c>
      <c r="E4801" s="25">
        <v>24.84</v>
      </c>
      <c r="F4801" s="379">
        <v>9.484191742751042</v>
      </c>
      <c r="G4801" s="25">
        <v>43.39</v>
      </c>
      <c r="H4801" s="379">
        <v>11.049226826906898</v>
      </c>
      <c r="I4801" s="25">
        <v>53.71</v>
      </c>
      <c r="J4801" s="379">
        <v>6.8349750090248449</v>
      </c>
    </row>
    <row r="4802" spans="1:10" x14ac:dyDescent="0.35">
      <c r="A4802" s="5">
        <v>4798</v>
      </c>
      <c r="B4802" s="5">
        <v>200</v>
      </c>
      <c r="C4802" s="5">
        <v>7</v>
      </c>
      <c r="D4802" s="379">
        <v>74.107222222222219</v>
      </c>
      <c r="E4802" s="25">
        <v>24.99</v>
      </c>
      <c r="F4802" s="379">
        <v>9.5038911390128664</v>
      </c>
      <c r="G4802" s="25">
        <v>44.74</v>
      </c>
      <c r="H4802" s="379">
        <v>10.711324392308534</v>
      </c>
      <c r="I4802" s="25">
        <v>58.21</v>
      </c>
      <c r="J4802" s="379">
        <v>7.1414137089050387</v>
      </c>
    </row>
    <row r="4803" spans="1:10" x14ac:dyDescent="0.35">
      <c r="A4803" s="5">
        <v>4799</v>
      </c>
      <c r="B4803" s="5">
        <v>200</v>
      </c>
      <c r="C4803" s="5">
        <v>7</v>
      </c>
      <c r="D4803" s="379">
        <v>65.87833333333333</v>
      </c>
      <c r="E4803" s="25">
        <v>24.84</v>
      </c>
      <c r="F4803" s="379">
        <v>9.5081049552571191</v>
      </c>
      <c r="G4803" s="25">
        <v>43.56</v>
      </c>
      <c r="H4803" s="379">
        <v>11.079570241030259</v>
      </c>
      <c r="I4803" s="25">
        <v>55.19</v>
      </c>
      <c r="J4803" s="379">
        <v>7.1193884259316755</v>
      </c>
    </row>
    <row r="4804" spans="1:10" x14ac:dyDescent="0.35">
      <c r="A4804" s="5">
        <v>4800</v>
      </c>
      <c r="B4804" s="5">
        <v>200</v>
      </c>
      <c r="C4804" s="5">
        <v>7</v>
      </c>
      <c r="D4804" s="379">
        <v>62.734999999999999</v>
      </c>
      <c r="E4804" s="25">
        <v>24.84</v>
      </c>
      <c r="F4804" s="379">
        <v>8.6729649792930612</v>
      </c>
      <c r="G4804" s="25">
        <v>42.29</v>
      </c>
      <c r="H4804" s="379">
        <v>10.992794812313173</v>
      </c>
      <c r="I4804" s="25">
        <v>53.71</v>
      </c>
      <c r="J4804" s="379">
        <v>7.1621896786302202</v>
      </c>
    </row>
    <row r="4805" spans="1:10" x14ac:dyDescent="0.35">
      <c r="A4805" s="5">
        <v>4801</v>
      </c>
      <c r="B4805" s="5">
        <v>201</v>
      </c>
      <c r="C4805" s="5">
        <v>7</v>
      </c>
      <c r="D4805" s="379">
        <v>57.471666666666664</v>
      </c>
      <c r="E4805" s="25">
        <v>24.84</v>
      </c>
      <c r="F4805" s="379">
        <v>8.6768213572769408</v>
      </c>
      <c r="G4805" s="25">
        <v>41.13</v>
      </c>
      <c r="H4805" s="379">
        <v>11.059764652267377</v>
      </c>
      <c r="I4805" s="25">
        <v>52.98</v>
      </c>
      <c r="J4805" s="379">
        <v>7.1603837250076312</v>
      </c>
    </row>
    <row r="4806" spans="1:10" x14ac:dyDescent="0.35">
      <c r="A4806" s="5">
        <v>4802</v>
      </c>
      <c r="B4806" s="5">
        <v>201</v>
      </c>
      <c r="C4806" s="5">
        <v>7</v>
      </c>
      <c r="D4806" s="379">
        <v>58.761666666666663</v>
      </c>
      <c r="E4806" s="25">
        <v>24.84</v>
      </c>
      <c r="F4806" s="379">
        <v>8.5254012511855279</v>
      </c>
      <c r="G4806" s="25">
        <v>40.340000000000003</v>
      </c>
      <c r="H4806" s="379">
        <v>10.828997334843743</v>
      </c>
      <c r="I4806" s="25">
        <v>52.55</v>
      </c>
      <c r="J4806" s="379">
        <v>7.162189678630221</v>
      </c>
    </row>
    <row r="4807" spans="1:10" x14ac:dyDescent="0.35">
      <c r="A4807" s="5">
        <v>4803</v>
      </c>
      <c r="B4807" s="5">
        <v>201</v>
      </c>
      <c r="C4807" s="5">
        <v>7</v>
      </c>
      <c r="D4807" s="379">
        <v>57.309999999999988</v>
      </c>
      <c r="E4807" s="25">
        <v>24.84</v>
      </c>
      <c r="F4807" s="379">
        <v>8.5335449114484287</v>
      </c>
      <c r="G4807" s="25">
        <v>40.340000000000003</v>
      </c>
      <c r="H4807" s="379">
        <v>10.747392938172171</v>
      </c>
      <c r="I4807" s="25">
        <v>52.55</v>
      </c>
      <c r="J4807" s="379">
        <v>7.162189678630221</v>
      </c>
    </row>
    <row r="4808" spans="1:10" x14ac:dyDescent="0.35">
      <c r="A4808" s="5">
        <v>4804</v>
      </c>
      <c r="B4808" s="5">
        <v>201</v>
      </c>
      <c r="C4808" s="5">
        <v>7</v>
      </c>
      <c r="D4808" s="379">
        <v>48.448333333333331</v>
      </c>
      <c r="E4808" s="25">
        <v>24.84</v>
      </c>
      <c r="F4808" s="379">
        <v>9.0652781906507496</v>
      </c>
      <c r="G4808" s="25">
        <v>41.86</v>
      </c>
      <c r="H4808" s="379">
        <v>10.711756235611544</v>
      </c>
      <c r="I4808" s="25">
        <v>52.55</v>
      </c>
      <c r="J4808" s="379">
        <v>7.162189678630221</v>
      </c>
    </row>
    <row r="4809" spans="1:10" x14ac:dyDescent="0.35">
      <c r="A4809" s="5">
        <v>4805</v>
      </c>
      <c r="B4809" s="5">
        <v>201</v>
      </c>
      <c r="C4809" s="5">
        <v>7</v>
      </c>
      <c r="D4809" s="379">
        <v>48.667777777777779</v>
      </c>
      <c r="E4809" s="25">
        <v>24.84</v>
      </c>
      <c r="F4809" s="379">
        <v>9.2826094485967285</v>
      </c>
      <c r="G4809" s="25">
        <v>41.86</v>
      </c>
      <c r="H4809" s="379">
        <v>10.653157122262913</v>
      </c>
      <c r="I4809" s="25">
        <v>52.98</v>
      </c>
      <c r="J4809" s="379">
        <v>7.162189678630221</v>
      </c>
    </row>
    <row r="4810" spans="1:10" x14ac:dyDescent="0.35">
      <c r="A4810" s="5">
        <v>4806</v>
      </c>
      <c r="B4810" s="5">
        <v>201</v>
      </c>
      <c r="C4810" s="5">
        <v>7</v>
      </c>
      <c r="D4810" s="379">
        <v>59.380555555555546</v>
      </c>
      <c r="E4810" s="25">
        <v>24.84</v>
      </c>
      <c r="F4810" s="379">
        <v>8.9830215662152106</v>
      </c>
      <c r="G4810" s="25">
        <v>43.46</v>
      </c>
      <c r="H4810" s="379">
        <v>10.197306120743484</v>
      </c>
      <c r="I4810" s="25">
        <v>54.87</v>
      </c>
      <c r="J4810" s="379">
        <v>7.097551004407249</v>
      </c>
    </row>
    <row r="4811" spans="1:10" x14ac:dyDescent="0.35">
      <c r="A4811" s="5">
        <v>4807</v>
      </c>
      <c r="B4811" s="5">
        <v>201</v>
      </c>
      <c r="C4811" s="5">
        <v>7</v>
      </c>
      <c r="D4811" s="379">
        <v>73.221666666666664</v>
      </c>
      <c r="E4811" s="25">
        <v>25.29</v>
      </c>
      <c r="F4811" s="379">
        <v>8.5864544025120022</v>
      </c>
      <c r="G4811" s="25">
        <v>47.46</v>
      </c>
      <c r="H4811" s="379">
        <v>9.6442861126110007</v>
      </c>
      <c r="I4811" s="25">
        <v>58.21</v>
      </c>
      <c r="J4811" s="379">
        <v>6.6523524765487272</v>
      </c>
    </row>
    <row r="4812" spans="1:10" x14ac:dyDescent="0.35">
      <c r="A4812" s="5">
        <v>4808</v>
      </c>
      <c r="B4812" s="5">
        <v>201</v>
      </c>
      <c r="C4812" s="5">
        <v>7</v>
      </c>
      <c r="D4812" s="379">
        <v>83.187222222222232</v>
      </c>
      <c r="E4812" s="25">
        <v>25.59</v>
      </c>
      <c r="F4812" s="379">
        <v>8.8625634881265487</v>
      </c>
      <c r="G4812" s="25">
        <v>47.46</v>
      </c>
      <c r="H4812" s="379">
        <v>8.81195823030375</v>
      </c>
      <c r="I4812" s="25">
        <v>58.21</v>
      </c>
      <c r="J4812" s="379">
        <v>4.3268912217853268</v>
      </c>
    </row>
    <row r="4813" spans="1:10" x14ac:dyDescent="0.35">
      <c r="A4813" s="5">
        <v>4809</v>
      </c>
      <c r="B4813" s="5">
        <v>201</v>
      </c>
      <c r="C4813" s="5">
        <v>7</v>
      </c>
      <c r="D4813" s="379">
        <v>84.3</v>
      </c>
      <c r="E4813" s="25">
        <v>25.59</v>
      </c>
      <c r="F4813" s="379">
        <v>8.6560298183774318</v>
      </c>
      <c r="G4813" s="25">
        <v>47.46</v>
      </c>
      <c r="H4813" s="379">
        <v>9.8862019731183093</v>
      </c>
      <c r="I4813" s="25">
        <v>58.21</v>
      </c>
      <c r="J4813" s="379">
        <v>5.0470840327370601</v>
      </c>
    </row>
    <row r="4814" spans="1:10" x14ac:dyDescent="0.35">
      <c r="A4814" s="5">
        <v>4810</v>
      </c>
      <c r="B4814" s="5">
        <v>201</v>
      </c>
      <c r="C4814" s="5">
        <v>7</v>
      </c>
      <c r="D4814" s="379">
        <v>71.343888888888898</v>
      </c>
      <c r="E4814" s="25">
        <v>25.59</v>
      </c>
      <c r="F4814" s="379">
        <v>8.177759033378873</v>
      </c>
      <c r="G4814" s="25">
        <v>47.46</v>
      </c>
      <c r="H4814" s="379">
        <v>10.020516186069615</v>
      </c>
      <c r="I4814" s="25">
        <v>56.52</v>
      </c>
      <c r="J4814" s="379">
        <v>6.2019872962382765</v>
      </c>
    </row>
    <row r="4815" spans="1:10" x14ac:dyDescent="0.35">
      <c r="A4815" s="5">
        <v>4811</v>
      </c>
      <c r="B4815" s="5">
        <v>201</v>
      </c>
      <c r="C4815" s="5">
        <v>7</v>
      </c>
      <c r="D4815" s="379">
        <v>67.342777777777783</v>
      </c>
      <c r="E4815" s="25">
        <v>25.59</v>
      </c>
      <c r="F4815" s="379">
        <v>4.9177318549839297</v>
      </c>
      <c r="G4815" s="25">
        <v>47.46</v>
      </c>
      <c r="H4815" s="379">
        <v>9.9978813417572479</v>
      </c>
      <c r="I4815" s="25">
        <v>56.52</v>
      </c>
      <c r="J4815" s="379">
        <v>6.6468442482402343</v>
      </c>
    </row>
    <row r="4816" spans="1:10" x14ac:dyDescent="0.35">
      <c r="A4816" s="5">
        <v>4812</v>
      </c>
      <c r="B4816" s="5">
        <v>201</v>
      </c>
      <c r="C4816" s="5">
        <v>7</v>
      </c>
      <c r="D4816" s="379">
        <v>62.286111111111111</v>
      </c>
      <c r="E4816" s="25">
        <v>25.59</v>
      </c>
      <c r="F4816" s="379">
        <v>7.4254404837052927</v>
      </c>
      <c r="G4816" s="25">
        <v>46.08</v>
      </c>
      <c r="H4816" s="379">
        <v>9.7483906758449024</v>
      </c>
      <c r="I4816" s="25">
        <v>53.81</v>
      </c>
      <c r="J4816" s="379">
        <v>6.6201038388929065</v>
      </c>
    </row>
    <row r="4817" spans="1:10" x14ac:dyDescent="0.35">
      <c r="A4817" s="5">
        <v>4813</v>
      </c>
      <c r="B4817" s="5">
        <v>201</v>
      </c>
      <c r="C4817" s="5">
        <v>7</v>
      </c>
      <c r="D4817" s="379">
        <v>62.121111111111119</v>
      </c>
      <c r="E4817" s="25">
        <v>24.99</v>
      </c>
      <c r="F4817" s="379">
        <v>5.3782002583167667</v>
      </c>
      <c r="G4817" s="25">
        <v>45.31</v>
      </c>
      <c r="H4817" s="379">
        <v>9.6817381552740951</v>
      </c>
      <c r="I4817" s="25">
        <v>53.71</v>
      </c>
      <c r="J4817" s="379">
        <v>6.807066370334435</v>
      </c>
    </row>
    <row r="4818" spans="1:10" x14ac:dyDescent="0.35">
      <c r="A4818" s="5">
        <v>4814</v>
      </c>
      <c r="B4818" s="5">
        <v>201</v>
      </c>
      <c r="C4818" s="5">
        <v>7</v>
      </c>
      <c r="D4818" s="379">
        <v>66.919444444444451</v>
      </c>
      <c r="E4818" s="25">
        <v>24.99</v>
      </c>
      <c r="F4818" s="379">
        <v>7.681703712696029</v>
      </c>
      <c r="G4818" s="25">
        <v>43.56</v>
      </c>
      <c r="H4818" s="379">
        <v>9.5321865762142188</v>
      </c>
      <c r="I4818" s="25">
        <v>53.27</v>
      </c>
      <c r="J4818" s="379">
        <v>6.6966852594746253</v>
      </c>
    </row>
    <row r="4819" spans="1:10" x14ac:dyDescent="0.35">
      <c r="A4819" s="5">
        <v>4815</v>
      </c>
      <c r="B4819" s="5">
        <v>201</v>
      </c>
      <c r="C4819" s="5">
        <v>7</v>
      </c>
      <c r="D4819" s="379">
        <v>71.885555555555555</v>
      </c>
      <c r="E4819" s="25">
        <v>24.84</v>
      </c>
      <c r="F4819" s="379">
        <v>7.5472555969295154</v>
      </c>
      <c r="G4819" s="25">
        <v>43.56</v>
      </c>
      <c r="H4819" s="379">
        <v>8.5723762089155269</v>
      </c>
      <c r="I4819" s="25">
        <v>53.27</v>
      </c>
      <c r="J4819" s="379">
        <v>6.3637812423664384</v>
      </c>
    </row>
    <row r="4820" spans="1:10" x14ac:dyDescent="0.35">
      <c r="A4820" s="5">
        <v>4816</v>
      </c>
      <c r="B4820" s="5">
        <v>201</v>
      </c>
      <c r="C4820" s="5">
        <v>7</v>
      </c>
      <c r="D4820" s="379">
        <v>80.634999999999977</v>
      </c>
      <c r="E4820" s="25">
        <v>24.84</v>
      </c>
      <c r="F4820" s="379">
        <v>7.355083437850217</v>
      </c>
      <c r="G4820" s="25">
        <v>43.56</v>
      </c>
      <c r="H4820" s="379">
        <v>8.4734716376612873</v>
      </c>
      <c r="I4820" s="25">
        <v>53.27</v>
      </c>
      <c r="J4820" s="379">
        <v>6.3379714538888781</v>
      </c>
    </row>
    <row r="4821" spans="1:10" x14ac:dyDescent="0.35">
      <c r="A4821" s="5">
        <v>4817</v>
      </c>
      <c r="B4821" s="5">
        <v>201</v>
      </c>
      <c r="C4821" s="5">
        <v>7</v>
      </c>
      <c r="D4821" s="379">
        <v>86.854444444444439</v>
      </c>
      <c r="E4821" s="25">
        <v>24.84</v>
      </c>
      <c r="F4821" s="379">
        <v>8.1863748717220624</v>
      </c>
      <c r="G4821" s="25">
        <v>42.29</v>
      </c>
      <c r="H4821" s="379">
        <v>8.4137263679031271</v>
      </c>
      <c r="I4821" s="25">
        <v>52.55</v>
      </c>
      <c r="J4821" s="379">
        <v>6.1098691352241667</v>
      </c>
    </row>
    <row r="4822" spans="1:10" x14ac:dyDescent="0.35">
      <c r="A4822" s="5">
        <v>4818</v>
      </c>
      <c r="B4822" s="5">
        <v>201</v>
      </c>
      <c r="C4822" s="5">
        <v>7</v>
      </c>
      <c r="D4822" s="379">
        <v>80.037777777777762</v>
      </c>
      <c r="E4822" s="25">
        <v>24.84</v>
      </c>
      <c r="F4822" s="379">
        <v>8.2490055888125013</v>
      </c>
      <c r="G4822" s="25">
        <v>42.35</v>
      </c>
      <c r="H4822" s="379">
        <v>6.9105685797768812</v>
      </c>
      <c r="I4822" s="25">
        <v>52.55</v>
      </c>
      <c r="J4822" s="379">
        <v>5.9206193231394124</v>
      </c>
    </row>
    <row r="4823" spans="1:10" x14ac:dyDescent="0.35">
      <c r="A4823" s="5">
        <v>4819</v>
      </c>
      <c r="B4823" s="5">
        <v>201</v>
      </c>
      <c r="C4823" s="5">
        <v>7</v>
      </c>
      <c r="D4823" s="379">
        <v>91.339444444444439</v>
      </c>
      <c r="E4823" s="25">
        <v>24.84</v>
      </c>
      <c r="F4823" s="379">
        <v>9.5453563591312918</v>
      </c>
      <c r="G4823" s="25">
        <v>42.35</v>
      </c>
      <c r="H4823" s="379">
        <v>7.8574495149380841</v>
      </c>
      <c r="I4823" s="25">
        <v>53.08</v>
      </c>
      <c r="J4823" s="379">
        <v>6.4368552289030303</v>
      </c>
    </row>
    <row r="4824" spans="1:10" x14ac:dyDescent="0.35">
      <c r="A4824" s="5">
        <v>4820</v>
      </c>
      <c r="B4824" s="5">
        <v>201</v>
      </c>
      <c r="C4824" s="5">
        <v>7</v>
      </c>
      <c r="D4824" s="379">
        <v>85.89500000000001</v>
      </c>
      <c r="E4824" s="25">
        <v>24.84</v>
      </c>
      <c r="F4824" s="379">
        <v>11.382060725052055</v>
      </c>
      <c r="G4824" s="25">
        <v>42.29</v>
      </c>
      <c r="H4824" s="379">
        <v>7.8905508495567966</v>
      </c>
      <c r="I4824" s="25">
        <v>52.55</v>
      </c>
      <c r="J4824" s="379">
        <v>6.4528341007880563</v>
      </c>
    </row>
    <row r="4825" spans="1:10" x14ac:dyDescent="0.35">
      <c r="A4825" s="5">
        <v>4821</v>
      </c>
      <c r="B4825" s="5">
        <v>201</v>
      </c>
      <c r="C4825" s="5">
        <v>7</v>
      </c>
      <c r="D4825" s="379">
        <v>82.325555555555539</v>
      </c>
      <c r="E4825" s="25">
        <v>24.84</v>
      </c>
      <c r="F4825" s="379">
        <v>11.753138719620658</v>
      </c>
      <c r="G4825" s="25">
        <v>42.29</v>
      </c>
      <c r="H4825" s="379">
        <v>8.4645828105429679</v>
      </c>
      <c r="I4825" s="25">
        <v>52.55</v>
      </c>
      <c r="J4825" s="379">
        <v>6.3592376636149428</v>
      </c>
    </row>
    <row r="4826" spans="1:10" x14ac:dyDescent="0.35">
      <c r="A4826" s="5">
        <v>4822</v>
      </c>
      <c r="B4826" s="5">
        <v>201</v>
      </c>
      <c r="C4826" s="5">
        <v>7</v>
      </c>
      <c r="D4826" s="379">
        <v>82.276666666666671</v>
      </c>
      <c r="E4826" s="25">
        <v>24.99</v>
      </c>
      <c r="F4826" s="379">
        <v>9.8171517686305183</v>
      </c>
      <c r="G4826" s="25">
        <v>43.56</v>
      </c>
      <c r="H4826" s="379">
        <v>7.0902090814242147</v>
      </c>
      <c r="I4826" s="25">
        <v>53.71</v>
      </c>
      <c r="J4826" s="379">
        <v>5.9794367694967905</v>
      </c>
    </row>
    <row r="4827" spans="1:10" x14ac:dyDescent="0.35">
      <c r="A4827" s="5">
        <v>4823</v>
      </c>
      <c r="B4827" s="5">
        <v>201</v>
      </c>
      <c r="C4827" s="5">
        <v>7</v>
      </c>
      <c r="D4827" s="379">
        <v>73.630555555555574</v>
      </c>
      <c r="E4827" s="25">
        <v>24.84</v>
      </c>
      <c r="F4827" s="379">
        <v>8.624691602634428</v>
      </c>
      <c r="G4827" s="25">
        <v>42.19</v>
      </c>
      <c r="H4827" s="379">
        <v>4.9510414299629568</v>
      </c>
      <c r="I4827" s="25">
        <v>53.27</v>
      </c>
      <c r="J4827" s="379">
        <v>3.5696120657117469</v>
      </c>
    </row>
    <row r="4828" spans="1:10" x14ac:dyDescent="0.35">
      <c r="A4828" s="5">
        <v>4824</v>
      </c>
      <c r="B4828" s="5">
        <v>201</v>
      </c>
      <c r="C4828" s="5">
        <v>7</v>
      </c>
      <c r="D4828" s="379">
        <v>68.094999999999999</v>
      </c>
      <c r="E4828" s="25">
        <v>24.81</v>
      </c>
      <c r="F4828" s="379">
        <v>7.4803074122440414</v>
      </c>
      <c r="G4828" s="25">
        <v>41.13</v>
      </c>
      <c r="H4828" s="379">
        <v>7.6191675085186015</v>
      </c>
      <c r="I4828" s="25">
        <v>50.44</v>
      </c>
      <c r="J4828" s="379">
        <v>2.9619264283929123</v>
      </c>
    </row>
    <row r="4829" spans="1:10" x14ac:dyDescent="0.35">
      <c r="A4829" s="5">
        <v>4825</v>
      </c>
      <c r="B4829" s="5">
        <v>202</v>
      </c>
      <c r="C4829" s="5">
        <v>7</v>
      </c>
      <c r="D4829" s="379">
        <v>67.362777777777779</v>
      </c>
      <c r="E4829" s="25">
        <v>23.6</v>
      </c>
      <c r="F4829" s="379">
        <v>7.4385870942343599</v>
      </c>
      <c r="G4829" s="25">
        <v>39.770000000000003</v>
      </c>
      <c r="H4829" s="379">
        <v>6.6250495599536361</v>
      </c>
      <c r="I4829" s="25">
        <v>48.09</v>
      </c>
      <c r="J4829" s="379">
        <v>0.27777777777777779</v>
      </c>
    </row>
    <row r="4830" spans="1:10" x14ac:dyDescent="0.35">
      <c r="A4830" s="5">
        <v>4826</v>
      </c>
      <c r="B4830" s="5">
        <v>202</v>
      </c>
      <c r="C4830" s="5">
        <v>7</v>
      </c>
      <c r="D4830" s="379">
        <v>68.307777777777773</v>
      </c>
      <c r="E4830" s="25">
        <v>23.21</v>
      </c>
      <c r="F4830" s="379">
        <v>7.2203712161919285</v>
      </c>
      <c r="G4830" s="25">
        <v>38.03</v>
      </c>
      <c r="H4830" s="379">
        <v>5.0506737119965113</v>
      </c>
      <c r="I4830" s="25">
        <v>48.09</v>
      </c>
      <c r="J4830" s="379">
        <v>0.27777777777777779</v>
      </c>
    </row>
    <row r="4831" spans="1:10" x14ac:dyDescent="0.35">
      <c r="A4831" s="5">
        <v>4827</v>
      </c>
      <c r="B4831" s="5">
        <v>202</v>
      </c>
      <c r="C4831" s="5">
        <v>7</v>
      </c>
      <c r="D4831" s="379">
        <v>69.058888888888887</v>
      </c>
      <c r="E4831" s="25">
        <v>22.87</v>
      </c>
      <c r="F4831" s="379">
        <v>7.2022954569311377</v>
      </c>
      <c r="G4831" s="25">
        <v>38.03</v>
      </c>
      <c r="H4831" s="379">
        <v>4.799693804694658</v>
      </c>
      <c r="I4831" s="25">
        <v>48.09</v>
      </c>
      <c r="J4831" s="379">
        <v>0.27777777777777779</v>
      </c>
    </row>
    <row r="4832" spans="1:10" x14ac:dyDescent="0.35">
      <c r="A4832" s="5">
        <v>4828</v>
      </c>
      <c r="B4832" s="5">
        <v>202</v>
      </c>
      <c r="C4832" s="5">
        <v>7</v>
      </c>
      <c r="D4832" s="379">
        <v>68.195000000000007</v>
      </c>
      <c r="E4832" s="25">
        <v>22.87</v>
      </c>
      <c r="F4832" s="379">
        <v>7.1519048792415072</v>
      </c>
      <c r="G4832" s="25">
        <v>38.03</v>
      </c>
      <c r="H4832" s="379">
        <v>4.799693804694658</v>
      </c>
      <c r="I4832" s="25">
        <v>48.09</v>
      </c>
      <c r="J4832" s="379">
        <v>1.792988759645153</v>
      </c>
    </row>
    <row r="4833" spans="1:10" x14ac:dyDescent="0.35">
      <c r="A4833" s="5">
        <v>4829</v>
      </c>
      <c r="B4833" s="5">
        <v>202</v>
      </c>
      <c r="C4833" s="5">
        <v>7</v>
      </c>
      <c r="D4833" s="379">
        <v>68.837777777777774</v>
      </c>
      <c r="E4833" s="25">
        <v>23.41</v>
      </c>
      <c r="F4833" s="379">
        <v>7.4509828011196513</v>
      </c>
      <c r="G4833" s="25">
        <v>39.770000000000003</v>
      </c>
      <c r="H4833" s="379">
        <v>4.799693804694658</v>
      </c>
      <c r="I4833" s="25">
        <v>48.09</v>
      </c>
      <c r="J4833" s="379">
        <v>1.0001523549275542</v>
      </c>
    </row>
    <row r="4834" spans="1:10" x14ac:dyDescent="0.35">
      <c r="A4834" s="5">
        <v>4830</v>
      </c>
      <c r="B4834" s="5">
        <v>202</v>
      </c>
      <c r="C4834" s="5">
        <v>7</v>
      </c>
      <c r="D4834" s="379">
        <v>87.033888888888882</v>
      </c>
      <c r="E4834" s="25">
        <v>24.56</v>
      </c>
      <c r="F4834" s="379">
        <v>7.3978397984148803</v>
      </c>
      <c r="G4834" s="25">
        <v>39.770000000000003</v>
      </c>
      <c r="H4834" s="379">
        <v>4.799693804694658</v>
      </c>
      <c r="I4834" s="25">
        <v>48.09</v>
      </c>
      <c r="J4834" s="379">
        <v>5.8316770565309186</v>
      </c>
    </row>
    <row r="4835" spans="1:10" x14ac:dyDescent="0.35">
      <c r="A4835" s="5">
        <v>4831</v>
      </c>
      <c r="B4835" s="5">
        <v>202</v>
      </c>
      <c r="C4835" s="5">
        <v>7</v>
      </c>
      <c r="D4835" s="379">
        <v>93.078333333333333</v>
      </c>
      <c r="E4835" s="25">
        <v>24.84</v>
      </c>
      <c r="F4835" s="379">
        <v>7.3334220893605808</v>
      </c>
      <c r="G4835" s="25">
        <v>42.17</v>
      </c>
      <c r="H4835" s="379">
        <v>3.8927172723808225</v>
      </c>
      <c r="I4835" s="25">
        <v>49.89</v>
      </c>
      <c r="J4835" s="379">
        <v>5.8316770565309186</v>
      </c>
    </row>
    <row r="4836" spans="1:10" x14ac:dyDescent="0.35">
      <c r="A4836" s="5">
        <v>4832</v>
      </c>
      <c r="B4836" s="5">
        <v>202</v>
      </c>
      <c r="C4836" s="5">
        <v>7</v>
      </c>
      <c r="D4836" s="379">
        <v>90.608333333333334</v>
      </c>
      <c r="E4836" s="25">
        <v>24.84</v>
      </c>
      <c r="F4836" s="379">
        <v>5.0294804700033646</v>
      </c>
      <c r="G4836" s="25">
        <v>43.56</v>
      </c>
      <c r="H4836" s="379">
        <v>3.7302289918892448</v>
      </c>
      <c r="I4836" s="25">
        <v>53.27</v>
      </c>
      <c r="J4836" s="379">
        <v>3.4578955135891629</v>
      </c>
    </row>
    <row r="4837" spans="1:10" x14ac:dyDescent="0.35">
      <c r="A4837" s="5">
        <v>4833</v>
      </c>
      <c r="B4837" s="5">
        <v>202</v>
      </c>
      <c r="C4837" s="5">
        <v>7</v>
      </c>
      <c r="D4837" s="379">
        <v>90.798888888888882</v>
      </c>
      <c r="E4837" s="25">
        <v>24.99</v>
      </c>
      <c r="F4837" s="379">
        <v>4.334670465928383</v>
      </c>
      <c r="G4837" s="25">
        <v>44.74</v>
      </c>
      <c r="H4837" s="379">
        <v>3.705605935335107</v>
      </c>
      <c r="I4837" s="25">
        <v>50.44</v>
      </c>
      <c r="J4837" s="379">
        <v>3.3238311122515478</v>
      </c>
    </row>
    <row r="4838" spans="1:10" x14ac:dyDescent="0.35">
      <c r="A4838" s="5">
        <v>4834</v>
      </c>
      <c r="B4838" s="5">
        <v>202</v>
      </c>
      <c r="C4838" s="5">
        <v>7</v>
      </c>
      <c r="D4838" s="379">
        <v>85.691666666666663</v>
      </c>
      <c r="E4838" s="25">
        <v>24.99</v>
      </c>
      <c r="F4838" s="379">
        <v>3.3853714873267298</v>
      </c>
      <c r="G4838" s="25">
        <v>43.56</v>
      </c>
      <c r="H4838" s="379">
        <v>3.578478754121488</v>
      </c>
      <c r="I4838" s="25">
        <v>48.86</v>
      </c>
      <c r="J4838" s="379">
        <v>0.18592852484752873</v>
      </c>
    </row>
    <row r="4839" spans="1:10" x14ac:dyDescent="0.35">
      <c r="A4839" s="5">
        <v>4835</v>
      </c>
      <c r="B4839" s="5">
        <v>202</v>
      </c>
      <c r="C4839" s="5">
        <v>7</v>
      </c>
      <c r="D4839" s="379">
        <v>84.726111111111109</v>
      </c>
      <c r="E4839" s="25">
        <v>24.99</v>
      </c>
      <c r="F4839" s="379">
        <v>3.2727733956087586</v>
      </c>
      <c r="G4839" s="25">
        <v>43.56</v>
      </c>
      <c r="H4839" s="379">
        <v>1.3017025218919585</v>
      </c>
      <c r="I4839" s="25">
        <v>48.79</v>
      </c>
      <c r="J4839" s="379">
        <v>0.14113574581166219</v>
      </c>
    </row>
    <row r="4840" spans="1:10" x14ac:dyDescent="0.35">
      <c r="A4840" s="5">
        <v>4836</v>
      </c>
      <c r="B4840" s="5">
        <v>202</v>
      </c>
      <c r="C4840" s="5">
        <v>7</v>
      </c>
      <c r="D4840" s="379">
        <v>79.209444444444443</v>
      </c>
      <c r="E4840" s="25">
        <v>24.84</v>
      </c>
      <c r="F4840" s="379">
        <v>3.2806526297709397</v>
      </c>
      <c r="G4840" s="25">
        <v>43.56</v>
      </c>
      <c r="H4840" s="379">
        <v>1.4332394971398705</v>
      </c>
      <c r="I4840" s="25">
        <v>48.57</v>
      </c>
      <c r="J4840" s="379">
        <v>2.777777777777778E-2</v>
      </c>
    </row>
    <row r="4841" spans="1:10" x14ac:dyDescent="0.35">
      <c r="A4841" s="5">
        <v>4837</v>
      </c>
      <c r="B4841" s="5">
        <v>202</v>
      </c>
      <c r="C4841" s="5">
        <v>7</v>
      </c>
      <c r="D4841" s="379">
        <v>77.824444444444438</v>
      </c>
      <c r="E4841" s="25">
        <v>24.84</v>
      </c>
      <c r="F4841" s="379">
        <v>3.2727733956087586</v>
      </c>
      <c r="G4841" s="25">
        <v>42.29</v>
      </c>
      <c r="H4841" s="379">
        <v>0.27502972412421511</v>
      </c>
      <c r="I4841" s="25">
        <v>48.09</v>
      </c>
      <c r="J4841" s="379">
        <v>2.777777777777778E-2</v>
      </c>
    </row>
    <row r="4842" spans="1:10" x14ac:dyDescent="0.35">
      <c r="A4842" s="5">
        <v>4838</v>
      </c>
      <c r="B4842" s="5">
        <v>202</v>
      </c>
      <c r="C4842" s="5">
        <v>7</v>
      </c>
      <c r="D4842" s="379">
        <v>79.150555555555542</v>
      </c>
      <c r="E4842" s="25">
        <v>24.84</v>
      </c>
      <c r="F4842" s="379">
        <v>3.2727733956087586</v>
      </c>
      <c r="G4842" s="25">
        <v>42.29</v>
      </c>
      <c r="H4842" s="379">
        <v>0.18003607310515268</v>
      </c>
      <c r="I4842" s="25">
        <v>48.09</v>
      </c>
      <c r="J4842" s="379">
        <v>2.777777777777778E-2</v>
      </c>
    </row>
    <row r="4843" spans="1:10" x14ac:dyDescent="0.35">
      <c r="A4843" s="5">
        <v>4839</v>
      </c>
      <c r="B4843" s="5">
        <v>202</v>
      </c>
      <c r="C4843" s="5">
        <v>7</v>
      </c>
      <c r="D4843" s="379">
        <v>74.186111111111103</v>
      </c>
      <c r="E4843" s="25">
        <v>24.84</v>
      </c>
      <c r="F4843" s="379">
        <v>3.2727733956087586</v>
      </c>
      <c r="G4843" s="25">
        <v>42.29</v>
      </c>
      <c r="H4843" s="379">
        <v>7.2664179412142496E-2</v>
      </c>
      <c r="I4843" s="25">
        <v>48.09</v>
      </c>
      <c r="J4843" s="379">
        <v>2.777777777777778E-2</v>
      </c>
    </row>
    <row r="4844" spans="1:10" x14ac:dyDescent="0.35">
      <c r="A4844" s="5">
        <v>4840</v>
      </c>
      <c r="B4844" s="5">
        <v>202</v>
      </c>
      <c r="C4844" s="5">
        <v>7</v>
      </c>
      <c r="D4844" s="379">
        <v>80.312222222222218</v>
      </c>
      <c r="E4844" s="25">
        <v>24.84</v>
      </c>
      <c r="F4844" s="379">
        <v>3.2727733956087586</v>
      </c>
      <c r="G4844" s="25">
        <v>42.29</v>
      </c>
      <c r="H4844" s="379">
        <v>0.53727028425839518</v>
      </c>
      <c r="I4844" s="25">
        <v>48.09</v>
      </c>
      <c r="J4844" s="379">
        <v>2.777777777777778E-2</v>
      </c>
    </row>
    <row r="4845" spans="1:10" x14ac:dyDescent="0.35">
      <c r="A4845" s="5">
        <v>4841</v>
      </c>
      <c r="B4845" s="5">
        <v>202</v>
      </c>
      <c r="C4845" s="5">
        <v>7</v>
      </c>
      <c r="D4845" s="379">
        <v>81.00888888888889</v>
      </c>
      <c r="E4845" s="25">
        <v>24.84</v>
      </c>
      <c r="F4845" s="379">
        <v>3.2727733956087586</v>
      </c>
      <c r="G4845" s="25">
        <v>42.29</v>
      </c>
      <c r="H4845" s="379">
        <v>0.63731261268609318</v>
      </c>
      <c r="I4845" s="25">
        <v>48.09</v>
      </c>
      <c r="J4845" s="379">
        <v>2.777777777777778E-2</v>
      </c>
    </row>
    <row r="4846" spans="1:10" x14ac:dyDescent="0.35">
      <c r="A4846" s="5">
        <v>4842</v>
      </c>
      <c r="B4846" s="5">
        <v>202</v>
      </c>
      <c r="C4846" s="5">
        <v>7</v>
      </c>
      <c r="D4846" s="379">
        <v>95.796666666666667</v>
      </c>
      <c r="E4846" s="25">
        <v>24.84</v>
      </c>
      <c r="F4846" s="379">
        <v>3.2727733956087586</v>
      </c>
      <c r="G4846" s="25">
        <v>44.74</v>
      </c>
      <c r="H4846" s="379">
        <v>2.4128981953701567</v>
      </c>
      <c r="I4846" s="25">
        <v>49.36</v>
      </c>
      <c r="J4846" s="379">
        <v>2.777777777777778E-2</v>
      </c>
    </row>
    <row r="4847" spans="1:10" x14ac:dyDescent="0.35">
      <c r="A4847" s="5">
        <v>4843</v>
      </c>
      <c r="B4847" s="5">
        <v>202</v>
      </c>
      <c r="C4847" s="5">
        <v>7</v>
      </c>
      <c r="D4847" s="379">
        <v>96.252222222222215</v>
      </c>
      <c r="E4847" s="25">
        <v>24.84</v>
      </c>
      <c r="F4847" s="379">
        <v>5.3153163153258243</v>
      </c>
      <c r="G4847" s="25">
        <v>44.74</v>
      </c>
      <c r="H4847" s="379">
        <v>0.37895969783612005</v>
      </c>
      <c r="I4847" s="25">
        <v>51.72</v>
      </c>
      <c r="J4847" s="379">
        <v>0.1388888888888889</v>
      </c>
    </row>
    <row r="4848" spans="1:10" x14ac:dyDescent="0.35">
      <c r="A4848" s="5">
        <v>4844</v>
      </c>
      <c r="B4848" s="5">
        <v>202</v>
      </c>
      <c r="C4848" s="5">
        <v>7</v>
      </c>
      <c r="D4848" s="379">
        <v>98.428333333333327</v>
      </c>
      <c r="E4848" s="25">
        <v>24.84</v>
      </c>
      <c r="F4848" s="379">
        <v>6.3984413143080445</v>
      </c>
      <c r="G4848" s="25">
        <v>43.56</v>
      </c>
      <c r="H4848" s="379">
        <v>6.7630688905394942</v>
      </c>
      <c r="I4848" s="25">
        <v>51.72</v>
      </c>
      <c r="J4848" s="379">
        <v>4.2680584870426106</v>
      </c>
    </row>
    <row r="4849" spans="1:10" x14ac:dyDescent="0.35">
      <c r="A4849" s="5">
        <v>4845</v>
      </c>
      <c r="B4849" s="5">
        <v>202</v>
      </c>
      <c r="C4849" s="5">
        <v>7</v>
      </c>
      <c r="D4849" s="379">
        <v>96.964444444444439</v>
      </c>
      <c r="E4849" s="25">
        <v>24.99</v>
      </c>
      <c r="F4849" s="379">
        <v>8.044884698359164</v>
      </c>
      <c r="G4849" s="25">
        <v>44.69</v>
      </c>
      <c r="H4849" s="379">
        <v>7.2733511670345017</v>
      </c>
      <c r="I4849" s="25">
        <v>53.27</v>
      </c>
      <c r="J4849" s="379">
        <v>4.3570230591751695</v>
      </c>
    </row>
    <row r="4850" spans="1:10" x14ac:dyDescent="0.35">
      <c r="A4850" s="5">
        <v>4846</v>
      </c>
      <c r="B4850" s="5">
        <v>202</v>
      </c>
      <c r="C4850" s="5">
        <v>7</v>
      </c>
      <c r="D4850" s="379">
        <v>93.453888888888898</v>
      </c>
      <c r="E4850" s="25">
        <v>24.99</v>
      </c>
      <c r="F4850" s="379">
        <v>8.721930150975469</v>
      </c>
      <c r="G4850" s="25">
        <v>44.74</v>
      </c>
      <c r="H4850" s="379">
        <v>8.2588840421684804</v>
      </c>
      <c r="I4850" s="25">
        <v>53.27</v>
      </c>
      <c r="J4850" s="379">
        <v>2.994459298850582</v>
      </c>
    </row>
    <row r="4851" spans="1:10" x14ac:dyDescent="0.35">
      <c r="A4851" s="5">
        <v>4847</v>
      </c>
      <c r="B4851" s="5">
        <v>202</v>
      </c>
      <c r="C4851" s="5">
        <v>7</v>
      </c>
      <c r="D4851" s="379">
        <v>79.081111111111113</v>
      </c>
      <c r="E4851" s="25">
        <v>24.84</v>
      </c>
      <c r="F4851" s="379">
        <v>8.6541288532046305</v>
      </c>
      <c r="G4851" s="25">
        <v>42.29</v>
      </c>
      <c r="H4851" s="379">
        <v>8.721699966075187</v>
      </c>
      <c r="I4851" s="25">
        <v>51.72</v>
      </c>
      <c r="J4851" s="379">
        <v>3.5154344633407524</v>
      </c>
    </row>
    <row r="4852" spans="1:10" x14ac:dyDescent="0.35">
      <c r="A4852" s="5">
        <v>4848</v>
      </c>
      <c r="B4852" s="5">
        <v>202</v>
      </c>
      <c r="C4852" s="5">
        <v>7</v>
      </c>
      <c r="D4852" s="379">
        <v>77.411111111111111</v>
      </c>
      <c r="E4852" s="25">
        <v>24.84</v>
      </c>
      <c r="F4852" s="379">
        <v>8.378253489598352</v>
      </c>
      <c r="G4852" s="25">
        <v>39.770000000000003</v>
      </c>
      <c r="H4852" s="379">
        <v>8.2475640199964353</v>
      </c>
      <c r="I4852" s="25">
        <v>48.44</v>
      </c>
      <c r="J4852" s="379">
        <v>1.1613952941283476</v>
      </c>
    </row>
    <row r="4853" spans="1:10" x14ac:dyDescent="0.35">
      <c r="A4853" s="5">
        <v>4849</v>
      </c>
      <c r="B4853" s="5">
        <v>203</v>
      </c>
      <c r="C4853" s="5">
        <v>7</v>
      </c>
      <c r="D4853" s="379">
        <v>70.431111111111107</v>
      </c>
      <c r="E4853" s="25">
        <v>24.56</v>
      </c>
      <c r="F4853" s="379">
        <v>8.8194767158010006</v>
      </c>
      <c r="G4853" s="25">
        <v>40.96</v>
      </c>
      <c r="H4853" s="379">
        <v>8.3241569778594098</v>
      </c>
      <c r="I4853" s="25">
        <v>50.69</v>
      </c>
      <c r="J4853" s="379">
        <v>4.8748246345819259</v>
      </c>
    </row>
    <row r="4854" spans="1:10" x14ac:dyDescent="0.35">
      <c r="A4854" s="5">
        <v>4850</v>
      </c>
      <c r="B4854" s="5">
        <v>203</v>
      </c>
      <c r="C4854" s="5">
        <v>7</v>
      </c>
      <c r="D4854" s="379">
        <v>67.023888888888877</v>
      </c>
      <c r="E4854" s="25">
        <v>24.26</v>
      </c>
      <c r="F4854" s="379">
        <v>8.6800250432285235</v>
      </c>
      <c r="G4854" s="25">
        <v>39.770000000000003</v>
      </c>
      <c r="H4854" s="379">
        <v>9.0693339069596863</v>
      </c>
      <c r="I4854" s="25">
        <v>50.69</v>
      </c>
      <c r="J4854" s="379">
        <v>4.6762745601367</v>
      </c>
    </row>
    <row r="4855" spans="1:10" x14ac:dyDescent="0.35">
      <c r="A4855" s="5">
        <v>4851</v>
      </c>
      <c r="B4855" s="5">
        <v>203</v>
      </c>
      <c r="C4855" s="5">
        <v>7</v>
      </c>
      <c r="D4855" s="379">
        <v>66.512222222222206</v>
      </c>
      <c r="E4855" s="25">
        <v>24.26</v>
      </c>
      <c r="F4855" s="379">
        <v>8.3809261402129245</v>
      </c>
      <c r="G4855" s="25">
        <v>39.770000000000003</v>
      </c>
      <c r="H4855" s="379">
        <v>8.7061640517219292</v>
      </c>
      <c r="I4855" s="25">
        <v>50.69</v>
      </c>
      <c r="J4855" s="379">
        <v>4.7976960678916649</v>
      </c>
    </row>
    <row r="4856" spans="1:10" x14ac:dyDescent="0.35">
      <c r="A4856" s="5">
        <v>4852</v>
      </c>
      <c r="B4856" s="5">
        <v>203</v>
      </c>
      <c r="C4856" s="5">
        <v>7</v>
      </c>
      <c r="D4856" s="379">
        <v>59.909444444444439</v>
      </c>
      <c r="E4856" s="25">
        <v>24.26</v>
      </c>
      <c r="F4856" s="379">
        <v>8.8032905238911994</v>
      </c>
      <c r="G4856" s="25">
        <v>39.770000000000003</v>
      </c>
      <c r="H4856" s="379">
        <v>8.3728802883560913</v>
      </c>
      <c r="I4856" s="25">
        <v>50.69</v>
      </c>
      <c r="J4856" s="379">
        <v>4.2463536068427619</v>
      </c>
    </row>
    <row r="4857" spans="1:10" x14ac:dyDescent="0.35">
      <c r="A4857" s="5">
        <v>4853</v>
      </c>
      <c r="B4857" s="5">
        <v>203</v>
      </c>
      <c r="C4857" s="5">
        <v>7</v>
      </c>
      <c r="D4857" s="379">
        <v>57.146666666666661</v>
      </c>
      <c r="E4857" s="25">
        <v>24.84</v>
      </c>
      <c r="F4857" s="379">
        <v>8.7519164623493673</v>
      </c>
      <c r="G4857" s="25">
        <v>40.96</v>
      </c>
      <c r="H4857" s="379">
        <v>8.7721833186940081</v>
      </c>
      <c r="I4857" s="25">
        <v>51.2</v>
      </c>
      <c r="J4857" s="379">
        <v>5.3607471272257863</v>
      </c>
    </row>
    <row r="4858" spans="1:10" x14ac:dyDescent="0.35">
      <c r="A4858" s="5">
        <v>4854</v>
      </c>
      <c r="B4858" s="5">
        <v>203</v>
      </c>
      <c r="C4858" s="5">
        <v>7</v>
      </c>
      <c r="D4858" s="379">
        <v>78.413888888888877</v>
      </c>
      <c r="E4858" s="25">
        <v>24.84</v>
      </c>
      <c r="F4858" s="379">
        <v>8.5320161599268864</v>
      </c>
      <c r="G4858" s="25">
        <v>42.17</v>
      </c>
      <c r="H4858" s="379">
        <v>8.5332479039570153</v>
      </c>
      <c r="I4858" s="25">
        <v>51.72</v>
      </c>
      <c r="J4858" s="379">
        <v>5.5330570808855555</v>
      </c>
    </row>
    <row r="4859" spans="1:10" x14ac:dyDescent="0.35">
      <c r="A4859" s="5">
        <v>4855</v>
      </c>
      <c r="B4859" s="5">
        <v>203</v>
      </c>
      <c r="C4859" s="5">
        <v>7</v>
      </c>
      <c r="D4859" s="379">
        <v>88.056111111111107</v>
      </c>
      <c r="E4859" s="25">
        <v>24.99</v>
      </c>
      <c r="F4859" s="379">
        <v>8.6331356819865999</v>
      </c>
      <c r="G4859" s="25">
        <v>43.56</v>
      </c>
      <c r="H4859" s="379">
        <v>8.9787053102144512</v>
      </c>
      <c r="I4859" s="25">
        <v>51.76</v>
      </c>
      <c r="J4859" s="379">
        <v>5.9676603994992377</v>
      </c>
    </row>
    <row r="4860" spans="1:10" x14ac:dyDescent="0.35">
      <c r="A4860" s="5">
        <v>4856</v>
      </c>
      <c r="B4860" s="5">
        <v>203</v>
      </c>
      <c r="C4860" s="5">
        <v>7</v>
      </c>
      <c r="D4860" s="379">
        <v>85.674444444444447</v>
      </c>
      <c r="E4860" s="25">
        <v>24.99</v>
      </c>
      <c r="F4860" s="379">
        <v>7.9489790631756687</v>
      </c>
      <c r="G4860" s="25">
        <v>44.74</v>
      </c>
      <c r="H4860" s="379">
        <v>7.4897935248849015</v>
      </c>
      <c r="I4860" s="25">
        <v>55.33</v>
      </c>
      <c r="J4860" s="379">
        <v>3.622415985238987</v>
      </c>
    </row>
    <row r="4861" spans="1:10" x14ac:dyDescent="0.35">
      <c r="A4861" s="5">
        <v>4857</v>
      </c>
      <c r="B4861" s="5">
        <v>203</v>
      </c>
      <c r="C4861" s="5">
        <v>7</v>
      </c>
      <c r="D4861" s="379">
        <v>80.121666666666655</v>
      </c>
      <c r="E4861" s="25">
        <v>24.99</v>
      </c>
      <c r="F4861" s="379">
        <v>7.6426908472999591</v>
      </c>
      <c r="G4861" s="25">
        <v>44.74</v>
      </c>
      <c r="H4861" s="379">
        <v>6.5418286124881009</v>
      </c>
      <c r="I4861" s="25">
        <v>51.72</v>
      </c>
      <c r="J4861" s="379">
        <v>3.622415985238987</v>
      </c>
    </row>
    <row r="4862" spans="1:10" x14ac:dyDescent="0.35">
      <c r="A4862" s="5">
        <v>4858</v>
      </c>
      <c r="B4862" s="5">
        <v>203</v>
      </c>
      <c r="C4862" s="5">
        <v>7</v>
      </c>
      <c r="D4862" s="379">
        <v>78.236666666666679</v>
      </c>
      <c r="E4862" s="25">
        <v>24.99</v>
      </c>
      <c r="F4862" s="379">
        <v>0.47222222222222221</v>
      </c>
      <c r="G4862" s="25">
        <v>44.74</v>
      </c>
      <c r="H4862" s="379">
        <v>1.3510124082354156</v>
      </c>
      <c r="I4862" s="25">
        <v>51.2</v>
      </c>
      <c r="J4862" s="379">
        <v>2.229860956157744</v>
      </c>
    </row>
    <row r="4863" spans="1:10" x14ac:dyDescent="0.35">
      <c r="A4863" s="5">
        <v>4859</v>
      </c>
      <c r="B4863" s="5">
        <v>203</v>
      </c>
      <c r="C4863" s="5">
        <v>7</v>
      </c>
      <c r="D4863" s="379">
        <v>74.666111111111107</v>
      </c>
      <c r="E4863" s="25">
        <v>24.99</v>
      </c>
      <c r="F4863" s="379">
        <v>3.1270400898051753</v>
      </c>
      <c r="G4863" s="25">
        <v>44.74</v>
      </c>
      <c r="H4863" s="379">
        <v>1.8967027371853149</v>
      </c>
      <c r="I4863" s="25">
        <v>51.2</v>
      </c>
      <c r="J4863" s="379">
        <v>1.0795951038864038</v>
      </c>
    </row>
    <row r="4864" spans="1:10" x14ac:dyDescent="0.35">
      <c r="A4864" s="5">
        <v>4860</v>
      </c>
      <c r="B4864" s="5">
        <v>203</v>
      </c>
      <c r="C4864" s="5">
        <v>7</v>
      </c>
      <c r="D4864" s="379">
        <v>68.900555555555556</v>
      </c>
      <c r="E4864" s="25">
        <v>24.84</v>
      </c>
      <c r="F4864" s="379">
        <v>4.8581993310190041</v>
      </c>
      <c r="G4864" s="25">
        <v>44.74</v>
      </c>
      <c r="H4864" s="379">
        <v>1.0031261934754712</v>
      </c>
      <c r="I4864" s="25">
        <v>50.69</v>
      </c>
      <c r="J4864" s="379">
        <v>0.16064174172643586</v>
      </c>
    </row>
    <row r="4865" spans="1:10" x14ac:dyDescent="0.35">
      <c r="A4865" s="5">
        <v>4861</v>
      </c>
      <c r="B4865" s="5">
        <v>203</v>
      </c>
      <c r="C4865" s="5">
        <v>7</v>
      </c>
      <c r="D4865" s="379">
        <v>61.605000000000004</v>
      </c>
      <c r="E4865" s="25">
        <v>24.84</v>
      </c>
      <c r="F4865" s="379">
        <v>4.8581993310190041</v>
      </c>
      <c r="G4865" s="25">
        <v>44.74</v>
      </c>
      <c r="H4865" s="379">
        <v>0.56992022146480181</v>
      </c>
      <c r="I4865" s="25">
        <v>48.86</v>
      </c>
      <c r="J4865" s="379">
        <v>0.86603981291159471</v>
      </c>
    </row>
    <row r="4866" spans="1:10" x14ac:dyDescent="0.35">
      <c r="A4866" s="5">
        <v>4862</v>
      </c>
      <c r="B4866" s="5">
        <v>203</v>
      </c>
      <c r="C4866" s="5">
        <v>7</v>
      </c>
      <c r="D4866" s="379">
        <v>60.820555555555558</v>
      </c>
      <c r="E4866" s="25">
        <v>24.84</v>
      </c>
      <c r="F4866" s="379">
        <v>4.7366623770414362</v>
      </c>
      <c r="G4866" s="25">
        <v>44.74</v>
      </c>
      <c r="H4866" s="379">
        <v>0.77124301375157622</v>
      </c>
      <c r="I4866" s="25">
        <v>50.69</v>
      </c>
      <c r="J4866" s="379">
        <v>0.55206196624659842</v>
      </c>
    </row>
    <row r="4867" spans="1:10" x14ac:dyDescent="0.35">
      <c r="A4867" s="5">
        <v>4863</v>
      </c>
      <c r="B4867" s="5">
        <v>203</v>
      </c>
      <c r="C4867" s="5">
        <v>7</v>
      </c>
      <c r="D4867" s="379">
        <v>64.677777777777777</v>
      </c>
      <c r="E4867" s="25">
        <v>24.84</v>
      </c>
      <c r="F4867" s="379">
        <v>4.8581993310190041</v>
      </c>
      <c r="G4867" s="25">
        <v>43.62</v>
      </c>
      <c r="H4867" s="379">
        <v>0.65777336795355468</v>
      </c>
      <c r="I4867" s="25">
        <v>50.69</v>
      </c>
      <c r="J4867" s="379">
        <v>0.41028145102250624</v>
      </c>
    </row>
    <row r="4868" spans="1:10" x14ac:dyDescent="0.35">
      <c r="A4868" s="5">
        <v>4864</v>
      </c>
      <c r="B4868" s="5">
        <v>203</v>
      </c>
      <c r="C4868" s="5">
        <v>7</v>
      </c>
      <c r="D4868" s="379">
        <v>67.081111111111113</v>
      </c>
      <c r="E4868" s="25">
        <v>24.84</v>
      </c>
      <c r="F4868" s="379">
        <v>4.8581993310190041</v>
      </c>
      <c r="G4868" s="25">
        <v>43.39</v>
      </c>
      <c r="H4868" s="379">
        <v>0.37934522646059038</v>
      </c>
      <c r="I4868" s="25">
        <v>50.69</v>
      </c>
      <c r="J4868" s="379">
        <v>1.2170508460439009</v>
      </c>
    </row>
    <row r="4869" spans="1:10" x14ac:dyDescent="0.35">
      <c r="A4869" s="5">
        <v>4865</v>
      </c>
      <c r="B4869" s="5">
        <v>203</v>
      </c>
      <c r="C4869" s="5">
        <v>7</v>
      </c>
      <c r="D4869" s="379">
        <v>77.157777777777767</v>
      </c>
      <c r="E4869" s="25">
        <v>24.84</v>
      </c>
      <c r="F4869" s="379">
        <v>2.2113711568983474</v>
      </c>
      <c r="G4869" s="25">
        <v>43.39</v>
      </c>
      <c r="H4869" s="379">
        <v>0.11499397850899576</v>
      </c>
      <c r="I4869" s="25">
        <v>50.69</v>
      </c>
      <c r="J4869" s="379">
        <v>0.4328898085077002</v>
      </c>
    </row>
    <row r="4870" spans="1:10" x14ac:dyDescent="0.35">
      <c r="A4870" s="5">
        <v>4866</v>
      </c>
      <c r="B4870" s="5">
        <v>203</v>
      </c>
      <c r="C4870" s="5">
        <v>7</v>
      </c>
      <c r="D4870" s="379">
        <v>89.544999999999987</v>
      </c>
      <c r="E4870" s="25">
        <v>24.84</v>
      </c>
      <c r="F4870" s="379">
        <v>8.1174834595959577</v>
      </c>
      <c r="G4870" s="25">
        <v>43.39</v>
      </c>
      <c r="H4870" s="379">
        <v>6.6688344364336452</v>
      </c>
      <c r="I4870" s="25">
        <v>51.2</v>
      </c>
      <c r="J4870" s="379">
        <v>5.782906879800791</v>
      </c>
    </row>
    <row r="4871" spans="1:10" x14ac:dyDescent="0.35">
      <c r="A4871" s="5">
        <v>4867</v>
      </c>
      <c r="B4871" s="5">
        <v>203</v>
      </c>
      <c r="C4871" s="5">
        <v>7</v>
      </c>
      <c r="D4871" s="379">
        <v>90.232777777777784</v>
      </c>
      <c r="E4871" s="25">
        <v>24.84</v>
      </c>
      <c r="F4871" s="379">
        <v>8.5335346750437253</v>
      </c>
      <c r="G4871" s="25">
        <v>43.39</v>
      </c>
      <c r="H4871" s="379">
        <v>9.031826281291945</v>
      </c>
      <c r="I4871" s="25">
        <v>53.71</v>
      </c>
      <c r="J4871" s="379">
        <v>6.7698256701235513</v>
      </c>
    </row>
    <row r="4872" spans="1:10" x14ac:dyDescent="0.35">
      <c r="A4872" s="5">
        <v>4868</v>
      </c>
      <c r="B4872" s="5">
        <v>203</v>
      </c>
      <c r="C4872" s="5">
        <v>7</v>
      </c>
      <c r="D4872" s="379">
        <v>90.408888888888896</v>
      </c>
      <c r="E4872" s="25">
        <v>24.84</v>
      </c>
      <c r="F4872" s="379">
        <v>10.551650477120521</v>
      </c>
      <c r="G4872" s="25">
        <v>43.39</v>
      </c>
      <c r="H4872" s="379">
        <v>9.3229949853144838</v>
      </c>
      <c r="I4872" s="25">
        <v>53.71</v>
      </c>
      <c r="J4872" s="379">
        <v>6.9029398392782353</v>
      </c>
    </row>
    <row r="4873" spans="1:10" x14ac:dyDescent="0.35">
      <c r="A4873" s="5">
        <v>4869</v>
      </c>
      <c r="B4873" s="5">
        <v>203</v>
      </c>
      <c r="C4873" s="5">
        <v>7</v>
      </c>
      <c r="D4873" s="379">
        <v>89.789444444444442</v>
      </c>
      <c r="E4873" s="25">
        <v>24.84</v>
      </c>
      <c r="F4873" s="379">
        <v>10.492769603945534</v>
      </c>
      <c r="G4873" s="25">
        <v>43.39</v>
      </c>
      <c r="H4873" s="379">
        <v>9.9430552952924121</v>
      </c>
      <c r="I4873" s="25">
        <v>53.71</v>
      </c>
      <c r="J4873" s="379">
        <v>6.8189105329770481</v>
      </c>
    </row>
    <row r="4874" spans="1:10" x14ac:dyDescent="0.35">
      <c r="A4874" s="5">
        <v>4870</v>
      </c>
      <c r="B4874" s="5">
        <v>203</v>
      </c>
      <c r="C4874" s="5">
        <v>7</v>
      </c>
      <c r="D4874" s="379">
        <v>88.408333333333346</v>
      </c>
      <c r="E4874" s="25">
        <v>24.99</v>
      </c>
      <c r="F4874" s="379">
        <v>10.726226694435356</v>
      </c>
      <c r="G4874" s="25">
        <v>44.74</v>
      </c>
      <c r="H4874" s="379">
        <v>10.877609001777858</v>
      </c>
      <c r="I4874" s="25">
        <v>58.7</v>
      </c>
      <c r="J4874" s="379">
        <v>7.1341783457242816</v>
      </c>
    </row>
    <row r="4875" spans="1:10" x14ac:dyDescent="0.35">
      <c r="A4875" s="5">
        <v>4871</v>
      </c>
      <c r="B4875" s="5">
        <v>203</v>
      </c>
      <c r="C4875" s="5">
        <v>7</v>
      </c>
      <c r="D4875" s="379">
        <v>82.139444444444464</v>
      </c>
      <c r="E4875" s="25">
        <v>24.84</v>
      </c>
      <c r="F4875" s="379">
        <v>10.651145815187308</v>
      </c>
      <c r="G4875" s="25">
        <v>42.29</v>
      </c>
      <c r="H4875" s="379">
        <v>10.468721221676134</v>
      </c>
      <c r="I4875" s="25">
        <v>51.72</v>
      </c>
      <c r="J4875" s="379">
        <v>7.2525467743604599</v>
      </c>
    </row>
    <row r="4876" spans="1:10" x14ac:dyDescent="0.35">
      <c r="A4876" s="5">
        <v>4872</v>
      </c>
      <c r="B4876" s="5">
        <v>203</v>
      </c>
      <c r="C4876" s="5">
        <v>7</v>
      </c>
      <c r="D4876" s="379">
        <v>80.759999999999991</v>
      </c>
      <c r="E4876" s="25">
        <v>24.84</v>
      </c>
      <c r="F4876" s="379">
        <v>10.411580142131333</v>
      </c>
      <c r="G4876" s="25">
        <v>40.96</v>
      </c>
      <c r="H4876" s="379">
        <v>10.493753455326766</v>
      </c>
      <c r="I4876" s="25">
        <v>51.2</v>
      </c>
      <c r="J4876" s="379">
        <v>7.3117615903500983</v>
      </c>
    </row>
    <row r="4877" spans="1:10" x14ac:dyDescent="0.35">
      <c r="A4877" s="5">
        <v>4873</v>
      </c>
      <c r="B4877" s="5">
        <v>204</v>
      </c>
      <c r="C4877" s="5">
        <v>7</v>
      </c>
      <c r="D4877" s="379">
        <v>78.207777777777778</v>
      </c>
      <c r="E4877" s="25">
        <v>24.84</v>
      </c>
      <c r="F4877" s="379">
        <v>10.450948789485185</v>
      </c>
      <c r="G4877" s="25">
        <v>39.770000000000003</v>
      </c>
      <c r="H4877" s="379">
        <v>10.128746868826523</v>
      </c>
      <c r="I4877" s="25">
        <v>51.2</v>
      </c>
      <c r="J4877" s="379">
        <v>7.3089592006847459</v>
      </c>
    </row>
    <row r="4878" spans="1:10" x14ac:dyDescent="0.35">
      <c r="A4878" s="5">
        <v>4874</v>
      </c>
      <c r="B4878" s="5">
        <v>204</v>
      </c>
      <c r="C4878" s="5">
        <v>7</v>
      </c>
      <c r="D4878" s="379">
        <v>78.940555555555548</v>
      </c>
      <c r="E4878" s="25">
        <v>24.84</v>
      </c>
      <c r="F4878" s="379">
        <v>9.927751227397474</v>
      </c>
      <c r="G4878" s="25">
        <v>39.770000000000003</v>
      </c>
      <c r="H4878" s="379">
        <v>10.604195646888952</v>
      </c>
      <c r="I4878" s="25">
        <v>50.21</v>
      </c>
      <c r="J4878" s="379">
        <v>7.3534005337075214</v>
      </c>
    </row>
    <row r="4879" spans="1:10" x14ac:dyDescent="0.35">
      <c r="A4879" s="5">
        <v>4875</v>
      </c>
      <c r="B4879" s="5">
        <v>204</v>
      </c>
      <c r="C4879" s="5">
        <v>7</v>
      </c>
      <c r="D4879" s="379">
        <v>76.053888888888878</v>
      </c>
      <c r="E4879" s="25">
        <v>24.84</v>
      </c>
      <c r="F4879" s="379">
        <v>9.8365003140098892</v>
      </c>
      <c r="G4879" s="25">
        <v>39.119999999999997</v>
      </c>
      <c r="H4879" s="379">
        <v>10.100017522565894</v>
      </c>
      <c r="I4879" s="25">
        <v>50.21</v>
      </c>
      <c r="J4879" s="379">
        <v>7.3140835704105536</v>
      </c>
    </row>
    <row r="4880" spans="1:10" x14ac:dyDescent="0.35">
      <c r="A4880" s="5">
        <v>4876</v>
      </c>
      <c r="B4880" s="5">
        <v>204</v>
      </c>
      <c r="C4880" s="5">
        <v>7</v>
      </c>
      <c r="D4880" s="379">
        <v>75.126666666666665</v>
      </c>
      <c r="E4880" s="25">
        <v>24.84</v>
      </c>
      <c r="F4880" s="379">
        <v>10.300296822050697</v>
      </c>
      <c r="G4880" s="25">
        <v>39.770000000000003</v>
      </c>
      <c r="H4880" s="379">
        <v>10.334210270090948</v>
      </c>
      <c r="I4880" s="25">
        <v>51.2</v>
      </c>
      <c r="J4880" s="379">
        <v>7.3166965024038779</v>
      </c>
    </row>
    <row r="4881" spans="1:10" x14ac:dyDescent="0.35">
      <c r="A4881" s="5">
        <v>4877</v>
      </c>
      <c r="B4881" s="5">
        <v>204</v>
      </c>
      <c r="C4881" s="5">
        <v>7</v>
      </c>
      <c r="D4881" s="379">
        <v>73.478888888888889</v>
      </c>
      <c r="E4881" s="25">
        <v>24.84</v>
      </c>
      <c r="F4881" s="379">
        <v>10.446589787399201</v>
      </c>
      <c r="G4881" s="25">
        <v>39.770000000000003</v>
      </c>
      <c r="H4881" s="379">
        <v>10.167995773696173</v>
      </c>
      <c r="I4881" s="25">
        <v>51.72</v>
      </c>
      <c r="J4881" s="379">
        <v>7.1833596519783987</v>
      </c>
    </row>
    <row r="4882" spans="1:10" x14ac:dyDescent="0.35">
      <c r="A4882" s="5">
        <v>4878</v>
      </c>
      <c r="B4882" s="5">
        <v>204</v>
      </c>
      <c r="C4882" s="5">
        <v>7</v>
      </c>
      <c r="D4882" s="379">
        <v>75.87555555555555</v>
      </c>
      <c r="E4882" s="25">
        <v>24.84</v>
      </c>
      <c r="F4882" s="379">
        <v>9.2385893968351915</v>
      </c>
      <c r="G4882" s="25">
        <v>39.770000000000003</v>
      </c>
      <c r="H4882" s="379">
        <v>9.9001886565442998</v>
      </c>
      <c r="I4882" s="25">
        <v>53.27</v>
      </c>
      <c r="J4882" s="379">
        <v>7.0807495123473432</v>
      </c>
    </row>
    <row r="4883" spans="1:10" x14ac:dyDescent="0.35">
      <c r="A4883" s="5">
        <v>4879</v>
      </c>
      <c r="B4883" s="5">
        <v>204</v>
      </c>
      <c r="C4883" s="5">
        <v>7</v>
      </c>
      <c r="D4883" s="379">
        <v>75.873333333333335</v>
      </c>
      <c r="E4883" s="25">
        <v>24.84</v>
      </c>
      <c r="F4883" s="379">
        <v>9.1648035309146163</v>
      </c>
      <c r="G4883" s="25">
        <v>43.56</v>
      </c>
      <c r="H4883" s="379">
        <v>9.1877920921232104</v>
      </c>
      <c r="I4883" s="25">
        <v>60.46</v>
      </c>
      <c r="J4883" s="379">
        <v>6.654751020961446</v>
      </c>
    </row>
    <row r="4884" spans="1:10" x14ac:dyDescent="0.35">
      <c r="A4884" s="5">
        <v>4880</v>
      </c>
      <c r="B4884" s="5">
        <v>204</v>
      </c>
      <c r="C4884" s="5">
        <v>7</v>
      </c>
      <c r="D4884" s="379">
        <v>76.26444444444445</v>
      </c>
      <c r="E4884" s="25">
        <v>24.99</v>
      </c>
      <c r="F4884" s="379">
        <v>9.204084241619535</v>
      </c>
      <c r="G4884" s="25">
        <v>44.74</v>
      </c>
      <c r="H4884" s="379">
        <v>8.9764009418468973</v>
      </c>
      <c r="I4884" s="25">
        <v>60.46</v>
      </c>
      <c r="J4884" s="379">
        <v>5.8661957441833756</v>
      </c>
    </row>
    <row r="4885" spans="1:10" x14ac:dyDescent="0.35">
      <c r="A4885" s="5">
        <v>4881</v>
      </c>
      <c r="B4885" s="5">
        <v>204</v>
      </c>
      <c r="C4885" s="5">
        <v>7</v>
      </c>
      <c r="D4885" s="379">
        <v>74.862777777777765</v>
      </c>
      <c r="E4885" s="25">
        <v>24.99</v>
      </c>
      <c r="F4885" s="379">
        <v>8.3139970729766652</v>
      </c>
      <c r="G4885" s="25">
        <v>44.74</v>
      </c>
      <c r="H4885" s="379">
        <v>9.8260456565448155</v>
      </c>
      <c r="I4885" s="25">
        <v>53.71</v>
      </c>
      <c r="J4885" s="379">
        <v>4.0532764520202003</v>
      </c>
    </row>
    <row r="4886" spans="1:10" x14ac:dyDescent="0.35">
      <c r="A4886" s="5">
        <v>4882</v>
      </c>
      <c r="B4886" s="5">
        <v>204</v>
      </c>
      <c r="C4886" s="5">
        <v>7</v>
      </c>
      <c r="D4886" s="379">
        <v>72.173333333333318</v>
      </c>
      <c r="E4886" s="25">
        <v>24.99</v>
      </c>
      <c r="F4886" s="379">
        <v>8.1174834595959595</v>
      </c>
      <c r="G4886" s="25">
        <v>44.74</v>
      </c>
      <c r="H4886" s="379">
        <v>6.754921997886763</v>
      </c>
      <c r="I4886" s="25">
        <v>52.05</v>
      </c>
      <c r="J4886" s="379">
        <v>3.622415985238987</v>
      </c>
    </row>
    <row r="4887" spans="1:10" x14ac:dyDescent="0.35">
      <c r="A4887" s="5">
        <v>4883</v>
      </c>
      <c r="B4887" s="5">
        <v>204</v>
      </c>
      <c r="C4887" s="5">
        <v>7</v>
      </c>
      <c r="D4887" s="379">
        <v>67.799444444444433</v>
      </c>
      <c r="E4887" s="25">
        <v>24.99</v>
      </c>
      <c r="F4887" s="379">
        <v>5.3775661770383989</v>
      </c>
      <c r="G4887" s="25">
        <v>44.74</v>
      </c>
      <c r="H4887" s="379">
        <v>4.799693804694658</v>
      </c>
      <c r="I4887" s="25">
        <v>51.72</v>
      </c>
      <c r="J4887" s="379">
        <v>1.9380303535366601</v>
      </c>
    </row>
    <row r="4888" spans="1:10" x14ac:dyDescent="0.35">
      <c r="A4888" s="5">
        <v>4884</v>
      </c>
      <c r="B4888" s="5">
        <v>204</v>
      </c>
      <c r="C4888" s="5">
        <v>7</v>
      </c>
      <c r="D4888" s="379">
        <v>63.479444444444439</v>
      </c>
      <c r="E4888" s="25">
        <v>24.88</v>
      </c>
      <c r="F4888" s="379">
        <v>0.47222222222222221</v>
      </c>
      <c r="G4888" s="25">
        <v>42.37</v>
      </c>
      <c r="H4888" s="379">
        <v>4.799693804694658</v>
      </c>
      <c r="I4888" s="25">
        <v>51.72</v>
      </c>
      <c r="J4888" s="379">
        <v>1.7674690179621524</v>
      </c>
    </row>
    <row r="4889" spans="1:10" x14ac:dyDescent="0.35">
      <c r="A4889" s="5">
        <v>4885</v>
      </c>
      <c r="B4889" s="5">
        <v>204</v>
      </c>
      <c r="C4889" s="5">
        <v>7</v>
      </c>
      <c r="D4889" s="379">
        <v>56.349444444444444</v>
      </c>
      <c r="E4889" s="25">
        <v>24.84</v>
      </c>
      <c r="F4889" s="379">
        <v>0.47222222222222227</v>
      </c>
      <c r="G4889" s="25">
        <v>42.29</v>
      </c>
      <c r="H4889" s="379">
        <v>4.799693804694658</v>
      </c>
      <c r="I4889" s="25">
        <v>51.72</v>
      </c>
      <c r="J4889" s="379">
        <v>0.65349041415085773</v>
      </c>
    </row>
    <row r="4890" spans="1:10" x14ac:dyDescent="0.35">
      <c r="A4890" s="5">
        <v>4886</v>
      </c>
      <c r="B4890" s="5">
        <v>204</v>
      </c>
      <c r="C4890" s="5">
        <v>7</v>
      </c>
      <c r="D4890" s="379">
        <v>47.343333333333327</v>
      </c>
      <c r="E4890" s="25">
        <v>24.84</v>
      </c>
      <c r="F4890" s="379">
        <v>5.0643065312006845</v>
      </c>
      <c r="G4890" s="25">
        <v>42.17</v>
      </c>
      <c r="H4890" s="379">
        <v>4.799693804694658</v>
      </c>
      <c r="I4890" s="25">
        <v>51.53</v>
      </c>
      <c r="J4890" s="379">
        <v>0.24529462193459009</v>
      </c>
    </row>
    <row r="4891" spans="1:10" x14ac:dyDescent="0.35">
      <c r="A4891" s="5">
        <v>4887</v>
      </c>
      <c r="B4891" s="5">
        <v>204</v>
      </c>
      <c r="C4891" s="5">
        <v>7</v>
      </c>
      <c r="D4891" s="379">
        <v>47.061111111111117</v>
      </c>
      <c r="E4891" s="25">
        <v>24.84</v>
      </c>
      <c r="F4891" s="379">
        <v>0.47222222222222221</v>
      </c>
      <c r="G4891" s="25">
        <v>42.17</v>
      </c>
      <c r="H4891" s="379">
        <v>4.799693804694658</v>
      </c>
      <c r="I4891" s="25">
        <v>51.53</v>
      </c>
      <c r="J4891" s="379">
        <v>0.2194739714132154</v>
      </c>
    </row>
    <row r="4892" spans="1:10" x14ac:dyDescent="0.35">
      <c r="A4892" s="5">
        <v>4888</v>
      </c>
      <c r="B4892" s="5">
        <v>204</v>
      </c>
      <c r="C4892" s="5">
        <v>7</v>
      </c>
      <c r="D4892" s="379">
        <v>53.571666666666665</v>
      </c>
      <c r="E4892" s="25">
        <v>24.84</v>
      </c>
      <c r="F4892" s="379">
        <v>0.47222222222222221</v>
      </c>
      <c r="G4892" s="25">
        <v>43.56</v>
      </c>
      <c r="H4892" s="379">
        <v>4.799693804694658</v>
      </c>
      <c r="I4892" s="25">
        <v>52.05</v>
      </c>
      <c r="J4892" s="379">
        <v>0.20226022712256203</v>
      </c>
    </row>
    <row r="4893" spans="1:10" x14ac:dyDescent="0.35">
      <c r="A4893" s="5">
        <v>4889</v>
      </c>
      <c r="B4893" s="5">
        <v>204</v>
      </c>
      <c r="C4893" s="5">
        <v>7</v>
      </c>
      <c r="D4893" s="379">
        <v>67.001666666666665</v>
      </c>
      <c r="E4893" s="25">
        <v>24.84</v>
      </c>
      <c r="F4893" s="379">
        <v>7.6604522095959595</v>
      </c>
      <c r="G4893" s="25">
        <v>43.56</v>
      </c>
      <c r="H4893" s="379">
        <v>4.799693804694658</v>
      </c>
      <c r="I4893" s="25">
        <v>53.27</v>
      </c>
      <c r="J4893" s="379">
        <v>0.90275911776316509</v>
      </c>
    </row>
    <row r="4894" spans="1:10" x14ac:dyDescent="0.35">
      <c r="A4894" s="5">
        <v>4890</v>
      </c>
      <c r="B4894" s="5">
        <v>204</v>
      </c>
      <c r="C4894" s="5">
        <v>7</v>
      </c>
      <c r="D4894" s="379">
        <v>74.503888888888909</v>
      </c>
      <c r="E4894" s="25">
        <v>24.99</v>
      </c>
      <c r="F4894" s="379">
        <v>8.4648222634013148</v>
      </c>
      <c r="G4894" s="25">
        <v>44.74</v>
      </c>
      <c r="H4894" s="379">
        <v>8.0836993119039224</v>
      </c>
      <c r="I4894" s="25">
        <v>53.81</v>
      </c>
      <c r="J4894" s="379">
        <v>6.4238128966473749</v>
      </c>
    </row>
    <row r="4895" spans="1:10" x14ac:dyDescent="0.35">
      <c r="A4895" s="5">
        <v>4891</v>
      </c>
      <c r="B4895" s="5">
        <v>204</v>
      </c>
      <c r="C4895" s="5">
        <v>7</v>
      </c>
      <c r="D4895" s="379">
        <v>79.019444444444431</v>
      </c>
      <c r="E4895" s="25">
        <v>24.99</v>
      </c>
      <c r="F4895" s="379">
        <v>19.034365460207493</v>
      </c>
      <c r="G4895" s="25">
        <v>44.74</v>
      </c>
      <c r="H4895" s="379">
        <v>13.925926863071689</v>
      </c>
      <c r="I4895" s="25">
        <v>60.46</v>
      </c>
      <c r="J4895" s="379">
        <v>7.400858727896086</v>
      </c>
    </row>
    <row r="4896" spans="1:10" x14ac:dyDescent="0.35">
      <c r="A4896" s="5">
        <v>4892</v>
      </c>
      <c r="B4896" s="5">
        <v>204</v>
      </c>
      <c r="C4896" s="5">
        <v>7</v>
      </c>
      <c r="D4896" s="379">
        <v>78.271666666666661</v>
      </c>
      <c r="E4896" s="25">
        <v>24.99</v>
      </c>
      <c r="F4896" s="379">
        <v>20.198584572190477</v>
      </c>
      <c r="G4896" s="25">
        <v>44.74</v>
      </c>
      <c r="H4896" s="379">
        <v>20.580282040202317</v>
      </c>
      <c r="I4896" s="25">
        <v>61.82</v>
      </c>
      <c r="J4896" s="379">
        <v>7.5115366817161311</v>
      </c>
    </row>
    <row r="4897" spans="1:10" x14ac:dyDescent="0.35">
      <c r="A4897" s="5">
        <v>4893</v>
      </c>
      <c r="B4897" s="5">
        <v>204</v>
      </c>
      <c r="C4897" s="5">
        <v>7</v>
      </c>
      <c r="D4897" s="379">
        <v>78.11666666666666</v>
      </c>
      <c r="E4897" s="25">
        <v>24.99</v>
      </c>
      <c r="F4897" s="379">
        <v>19.091775782043232</v>
      </c>
      <c r="G4897" s="25">
        <v>44.74</v>
      </c>
      <c r="H4897" s="379">
        <v>19.734889659292211</v>
      </c>
      <c r="I4897" s="25">
        <v>62.27</v>
      </c>
      <c r="J4897" s="379">
        <v>7.4585587395965316</v>
      </c>
    </row>
    <row r="4898" spans="1:10" x14ac:dyDescent="0.35">
      <c r="A4898" s="5">
        <v>4894</v>
      </c>
      <c r="B4898" s="5">
        <v>204</v>
      </c>
      <c r="C4898" s="5">
        <v>7</v>
      </c>
      <c r="D4898" s="379">
        <v>72.079444444444434</v>
      </c>
      <c r="E4898" s="25">
        <v>25.59</v>
      </c>
      <c r="F4898" s="379">
        <v>19.717190547773967</v>
      </c>
      <c r="G4898" s="25">
        <v>44.74</v>
      </c>
      <c r="H4898" s="379">
        <v>20.759036711128299</v>
      </c>
      <c r="I4898" s="25">
        <v>65.58</v>
      </c>
      <c r="J4898" s="379">
        <v>7.4585587395965316</v>
      </c>
    </row>
    <row r="4899" spans="1:10" x14ac:dyDescent="0.35">
      <c r="A4899" s="5">
        <v>4895</v>
      </c>
      <c r="B4899" s="5">
        <v>204</v>
      </c>
      <c r="C4899" s="5">
        <v>7</v>
      </c>
      <c r="D4899" s="379">
        <v>72.194444444444443</v>
      </c>
      <c r="E4899" s="25">
        <v>24.84</v>
      </c>
      <c r="F4899" s="379">
        <v>20.416857030044998</v>
      </c>
      <c r="G4899" s="25">
        <v>44.74</v>
      </c>
      <c r="H4899" s="379">
        <v>20.106618813328257</v>
      </c>
      <c r="I4899" s="25">
        <v>60.46</v>
      </c>
      <c r="J4899" s="379">
        <v>7.4065573111886245</v>
      </c>
    </row>
    <row r="4900" spans="1:10" x14ac:dyDescent="0.35">
      <c r="A4900" s="5">
        <v>4896</v>
      </c>
      <c r="B4900" s="5">
        <v>204</v>
      </c>
      <c r="C4900" s="5">
        <v>7</v>
      </c>
      <c r="D4900" s="379">
        <v>82.13666666666667</v>
      </c>
      <c r="E4900" s="25">
        <v>24.84</v>
      </c>
      <c r="F4900" s="379">
        <v>20.307105750102476</v>
      </c>
      <c r="G4900" s="25">
        <v>44.74</v>
      </c>
      <c r="H4900" s="379">
        <v>18.670998387989179</v>
      </c>
      <c r="I4900" s="25">
        <v>54.87</v>
      </c>
      <c r="J4900" s="379">
        <v>7.3886716336094498</v>
      </c>
    </row>
    <row r="4901" spans="1:10" x14ac:dyDescent="0.35">
      <c r="A4901" s="5">
        <v>4897</v>
      </c>
      <c r="B4901" s="5">
        <v>205</v>
      </c>
      <c r="C4901" s="5">
        <v>7</v>
      </c>
      <c r="D4901" s="379">
        <v>78.73277777777777</v>
      </c>
      <c r="E4901" s="25">
        <v>24.84</v>
      </c>
      <c r="F4901" s="379">
        <v>19.746326464339834</v>
      </c>
      <c r="G4901" s="25">
        <v>42.29</v>
      </c>
      <c r="H4901" s="379">
        <v>18.940376593602046</v>
      </c>
      <c r="I4901" s="25">
        <v>54.87</v>
      </c>
      <c r="J4901" s="379">
        <v>7.4119853871991692</v>
      </c>
    </row>
    <row r="4902" spans="1:10" x14ac:dyDescent="0.35">
      <c r="A4902" s="5">
        <v>4898</v>
      </c>
      <c r="B4902" s="5">
        <v>205</v>
      </c>
      <c r="C4902" s="5">
        <v>7</v>
      </c>
      <c r="D4902" s="379">
        <v>74.373333333333335</v>
      </c>
      <c r="E4902" s="25">
        <v>24.84</v>
      </c>
      <c r="F4902" s="379">
        <v>18.386907485836797</v>
      </c>
      <c r="G4902" s="25">
        <v>42.29</v>
      </c>
      <c r="H4902" s="379">
        <v>18.438015528953319</v>
      </c>
      <c r="I4902" s="25">
        <v>51.02</v>
      </c>
      <c r="J4902" s="379">
        <v>7.4267431057920543</v>
      </c>
    </row>
    <row r="4903" spans="1:10" x14ac:dyDescent="0.35">
      <c r="A4903" s="5">
        <v>4899</v>
      </c>
      <c r="B4903" s="5">
        <v>205</v>
      </c>
      <c r="C4903" s="5">
        <v>7</v>
      </c>
      <c r="D4903" s="379">
        <v>69.233888888888899</v>
      </c>
      <c r="E4903" s="25">
        <v>24.84</v>
      </c>
      <c r="F4903" s="379">
        <v>18.363953185165013</v>
      </c>
      <c r="G4903" s="25">
        <v>39</v>
      </c>
      <c r="H4903" s="379">
        <v>18.792722332797542</v>
      </c>
      <c r="I4903" s="25">
        <v>49.53</v>
      </c>
      <c r="J4903" s="379">
        <v>7.4318227374791554</v>
      </c>
    </row>
    <row r="4904" spans="1:10" x14ac:dyDescent="0.35">
      <c r="A4904" s="5">
        <v>4900</v>
      </c>
      <c r="B4904" s="5">
        <v>205</v>
      </c>
      <c r="C4904" s="5">
        <v>7</v>
      </c>
      <c r="D4904" s="379">
        <v>66.334444444444443</v>
      </c>
      <c r="E4904" s="25">
        <v>24.84</v>
      </c>
      <c r="F4904" s="379">
        <v>19.426556900366698</v>
      </c>
      <c r="G4904" s="25">
        <v>39</v>
      </c>
      <c r="H4904" s="379">
        <v>14.940639277143829</v>
      </c>
      <c r="I4904" s="25">
        <v>49.53</v>
      </c>
      <c r="J4904" s="379">
        <v>7.391981539249354</v>
      </c>
    </row>
    <row r="4905" spans="1:10" x14ac:dyDescent="0.35">
      <c r="A4905" s="5">
        <v>4901</v>
      </c>
      <c r="B4905" s="5">
        <v>205</v>
      </c>
      <c r="C4905" s="5">
        <v>7</v>
      </c>
      <c r="D4905" s="379">
        <v>63.134444444444448</v>
      </c>
      <c r="E4905" s="25">
        <v>24.84</v>
      </c>
      <c r="F4905" s="379">
        <v>19.8148082389027</v>
      </c>
      <c r="G4905" s="25">
        <v>39.770000000000003</v>
      </c>
      <c r="H4905" s="379">
        <v>16.889415664378955</v>
      </c>
      <c r="I4905" s="25">
        <v>49.53</v>
      </c>
      <c r="J4905" s="379">
        <v>7.3886716336094498</v>
      </c>
    </row>
    <row r="4906" spans="1:10" x14ac:dyDescent="0.35">
      <c r="A4906" s="5">
        <v>4902</v>
      </c>
      <c r="B4906" s="5">
        <v>205</v>
      </c>
      <c r="C4906" s="5">
        <v>7</v>
      </c>
      <c r="D4906" s="379">
        <v>57.682222222222222</v>
      </c>
      <c r="E4906" s="25">
        <v>24.84</v>
      </c>
      <c r="F4906" s="379">
        <v>17.673288638706875</v>
      </c>
      <c r="G4906" s="25">
        <v>42.29</v>
      </c>
      <c r="H4906" s="379">
        <v>15.177975347685361</v>
      </c>
      <c r="I4906" s="25">
        <v>51.02</v>
      </c>
      <c r="J4906" s="379">
        <v>7.46895224227619</v>
      </c>
    </row>
    <row r="4907" spans="1:10" x14ac:dyDescent="0.35">
      <c r="A4907" s="5">
        <v>4903</v>
      </c>
      <c r="B4907" s="5">
        <v>205</v>
      </c>
      <c r="C4907" s="5">
        <v>7</v>
      </c>
      <c r="D4907" s="379">
        <v>56.12833333333333</v>
      </c>
      <c r="E4907" s="25">
        <v>24.84</v>
      </c>
      <c r="F4907" s="379">
        <v>19.098223403849381</v>
      </c>
      <c r="G4907" s="25">
        <v>42.29</v>
      </c>
      <c r="H4907" s="379">
        <v>20.382972354121804</v>
      </c>
      <c r="I4907" s="25">
        <v>52.55</v>
      </c>
      <c r="J4907" s="379">
        <v>7.4580832335206386</v>
      </c>
    </row>
    <row r="4908" spans="1:10" x14ac:dyDescent="0.35">
      <c r="A4908" s="5">
        <v>4904</v>
      </c>
      <c r="B4908" s="5">
        <v>205</v>
      </c>
      <c r="C4908" s="5">
        <v>7</v>
      </c>
      <c r="D4908" s="379">
        <v>49.608888888888892</v>
      </c>
      <c r="E4908" s="25">
        <v>24.84</v>
      </c>
      <c r="F4908" s="379">
        <v>17.91464889552697</v>
      </c>
      <c r="G4908" s="25">
        <v>43.56</v>
      </c>
      <c r="H4908" s="379">
        <v>16.644926396375162</v>
      </c>
      <c r="I4908" s="25">
        <v>51.72</v>
      </c>
      <c r="J4908" s="379">
        <v>7.401911613455729</v>
      </c>
    </row>
    <row r="4909" spans="1:10" x14ac:dyDescent="0.35">
      <c r="A4909" s="5">
        <v>4905</v>
      </c>
      <c r="B4909" s="5">
        <v>205</v>
      </c>
      <c r="C4909" s="5">
        <v>7</v>
      </c>
      <c r="D4909" s="379">
        <v>40.594444444444441</v>
      </c>
      <c r="E4909" s="25">
        <v>24.84</v>
      </c>
      <c r="F4909" s="379">
        <v>9.05834246305057</v>
      </c>
      <c r="G4909" s="25">
        <v>42.29</v>
      </c>
      <c r="H4909" s="379">
        <v>9.7641320267634466</v>
      </c>
      <c r="I4909" s="25">
        <v>47.31</v>
      </c>
      <c r="J4909" s="379">
        <v>6.4378088300429344</v>
      </c>
    </row>
    <row r="4910" spans="1:10" x14ac:dyDescent="0.35">
      <c r="A4910" s="5">
        <v>4906</v>
      </c>
      <c r="B4910" s="5">
        <v>205</v>
      </c>
      <c r="C4910" s="5">
        <v>7</v>
      </c>
      <c r="D4910" s="379">
        <v>39.770555555555553</v>
      </c>
      <c r="E4910" s="25">
        <v>24.84</v>
      </c>
      <c r="F4910" s="379">
        <v>8.1174834595959595</v>
      </c>
      <c r="G4910" s="25">
        <v>41.05</v>
      </c>
      <c r="H4910" s="379">
        <v>9.3079032613451265</v>
      </c>
      <c r="I4910" s="25">
        <v>44.6</v>
      </c>
      <c r="J4910" s="379">
        <v>6.2782298644025074</v>
      </c>
    </row>
    <row r="4911" spans="1:10" x14ac:dyDescent="0.35">
      <c r="A4911" s="5">
        <v>4907</v>
      </c>
      <c r="B4911" s="5">
        <v>205</v>
      </c>
      <c r="C4911" s="5">
        <v>7</v>
      </c>
      <c r="D4911" s="379">
        <v>31.351666666666663</v>
      </c>
      <c r="E4911" s="25">
        <v>24.84</v>
      </c>
      <c r="F4911" s="379">
        <v>8.5839816774886444</v>
      </c>
      <c r="G4911" s="25">
        <v>41.05</v>
      </c>
      <c r="H4911" s="379">
        <v>9.4676182529845416</v>
      </c>
      <c r="I4911" s="25">
        <v>36.869999999999997</v>
      </c>
      <c r="J4911" s="379">
        <v>6.624259264173201</v>
      </c>
    </row>
    <row r="4912" spans="1:10" x14ac:dyDescent="0.35">
      <c r="A4912" s="5">
        <v>4908</v>
      </c>
      <c r="B4912" s="5">
        <v>205</v>
      </c>
      <c r="C4912" s="5">
        <v>7</v>
      </c>
      <c r="D4912" s="379">
        <v>28.223888888888887</v>
      </c>
      <c r="E4912" s="25">
        <v>24.84</v>
      </c>
      <c r="F4912" s="379">
        <v>5.126905931337177</v>
      </c>
      <c r="G4912" s="25">
        <v>38.61</v>
      </c>
      <c r="H4912" s="379">
        <v>9.3497338754506707</v>
      </c>
      <c r="I4912" s="25">
        <v>36.869999999999997</v>
      </c>
      <c r="J4912" s="379">
        <v>6.5150225207863599</v>
      </c>
    </row>
    <row r="4913" spans="1:10" x14ac:dyDescent="0.35">
      <c r="A4913" s="5">
        <v>4909</v>
      </c>
      <c r="B4913" s="5">
        <v>205</v>
      </c>
      <c r="C4913" s="5">
        <v>7</v>
      </c>
      <c r="D4913" s="379">
        <v>12.831666666666667</v>
      </c>
      <c r="E4913" s="25">
        <v>24.84</v>
      </c>
      <c r="F4913" s="379">
        <v>4.1120117323846346</v>
      </c>
      <c r="G4913" s="25">
        <v>37.49</v>
      </c>
      <c r="H4913" s="379">
        <v>9.1804378225523831</v>
      </c>
      <c r="I4913" s="25">
        <v>36.869999999999997</v>
      </c>
      <c r="J4913" s="379">
        <v>6.4659374135448209</v>
      </c>
    </row>
    <row r="4914" spans="1:10" x14ac:dyDescent="0.35">
      <c r="A4914" s="5">
        <v>4910</v>
      </c>
      <c r="B4914" s="5">
        <v>205</v>
      </c>
      <c r="C4914" s="5">
        <v>7</v>
      </c>
      <c r="D4914" s="379">
        <v>12.059999999999999</v>
      </c>
      <c r="E4914" s="25">
        <v>24.84</v>
      </c>
      <c r="F4914" s="379">
        <v>8.5004945491908916</v>
      </c>
      <c r="G4914" s="25">
        <v>37.49</v>
      </c>
      <c r="H4914" s="379">
        <v>9.3049661817006903</v>
      </c>
      <c r="I4914" s="25">
        <v>36.869999999999997</v>
      </c>
      <c r="J4914" s="379">
        <v>6.511959770651119</v>
      </c>
    </row>
    <row r="4915" spans="1:10" x14ac:dyDescent="0.35">
      <c r="A4915" s="5">
        <v>4911</v>
      </c>
      <c r="B4915" s="5">
        <v>205</v>
      </c>
      <c r="C4915" s="5">
        <v>7</v>
      </c>
      <c r="D4915" s="379">
        <v>18.319444444444446</v>
      </c>
      <c r="E4915" s="25">
        <v>24.84</v>
      </c>
      <c r="F4915" s="379">
        <v>8.7878119290530403</v>
      </c>
      <c r="G4915" s="25">
        <v>37.49</v>
      </c>
      <c r="H4915" s="379">
        <v>9.3751733267633863</v>
      </c>
      <c r="I4915" s="25">
        <v>36.869999999999997</v>
      </c>
      <c r="J4915" s="379">
        <v>6.5522608512612077</v>
      </c>
    </row>
    <row r="4916" spans="1:10" x14ac:dyDescent="0.35">
      <c r="A4916" s="5">
        <v>4912</v>
      </c>
      <c r="B4916" s="5">
        <v>205</v>
      </c>
      <c r="C4916" s="5">
        <v>7</v>
      </c>
      <c r="D4916" s="379">
        <v>36.767777777777773</v>
      </c>
      <c r="E4916" s="25">
        <v>24.84</v>
      </c>
      <c r="F4916" s="379">
        <v>8.934785011851778</v>
      </c>
      <c r="G4916" s="25">
        <v>38.229999999999997</v>
      </c>
      <c r="H4916" s="379">
        <v>9.9609161358008773</v>
      </c>
      <c r="I4916" s="25">
        <v>37.24</v>
      </c>
      <c r="J4916" s="379">
        <v>6.5418764894511376</v>
      </c>
    </row>
    <row r="4917" spans="1:10" x14ac:dyDescent="0.35">
      <c r="A4917" s="5">
        <v>4913</v>
      </c>
      <c r="B4917" s="5">
        <v>205</v>
      </c>
      <c r="C4917" s="5">
        <v>7</v>
      </c>
      <c r="D4917" s="379">
        <v>62.393888888888888</v>
      </c>
      <c r="E4917" s="25">
        <v>24.84</v>
      </c>
      <c r="F4917" s="379">
        <v>9.92448348232573</v>
      </c>
      <c r="G4917" s="25">
        <v>42.29</v>
      </c>
      <c r="H4917" s="379">
        <v>10.158784144211326</v>
      </c>
      <c r="I4917" s="25">
        <v>37.6</v>
      </c>
      <c r="J4917" s="379">
        <v>7.201684078314746</v>
      </c>
    </row>
    <row r="4918" spans="1:10" x14ac:dyDescent="0.35">
      <c r="A4918" s="5">
        <v>4914</v>
      </c>
      <c r="B4918" s="5">
        <v>205</v>
      </c>
      <c r="C4918" s="5">
        <v>7</v>
      </c>
      <c r="D4918" s="379">
        <v>76.617222222222225</v>
      </c>
      <c r="E4918" s="25">
        <v>24.84</v>
      </c>
      <c r="F4918" s="379">
        <v>11.367220400807932</v>
      </c>
      <c r="G4918" s="25">
        <v>42.29</v>
      </c>
      <c r="H4918" s="379">
        <v>10.030987613166351</v>
      </c>
      <c r="I4918" s="25">
        <v>43.38</v>
      </c>
      <c r="J4918" s="379">
        <v>7.0219444878348147</v>
      </c>
    </row>
    <row r="4919" spans="1:10" x14ac:dyDescent="0.35">
      <c r="A4919" s="5">
        <v>4915</v>
      </c>
      <c r="B4919" s="5">
        <v>205</v>
      </c>
      <c r="C4919" s="5">
        <v>7</v>
      </c>
      <c r="D4919" s="379">
        <v>81.343888888888884</v>
      </c>
      <c r="E4919" s="25">
        <v>24.84</v>
      </c>
      <c r="F4919" s="379">
        <v>12.877354899171648</v>
      </c>
      <c r="G4919" s="25">
        <v>42.29</v>
      </c>
      <c r="H4919" s="379">
        <v>9.8275641810558998</v>
      </c>
      <c r="I4919" s="25">
        <v>37.979999999999997</v>
      </c>
      <c r="J4919" s="379">
        <v>6.6151207289538512</v>
      </c>
    </row>
    <row r="4920" spans="1:10" x14ac:dyDescent="0.35">
      <c r="A4920" s="5">
        <v>4916</v>
      </c>
      <c r="B4920" s="5">
        <v>205</v>
      </c>
      <c r="C4920" s="5">
        <v>7</v>
      </c>
      <c r="D4920" s="379">
        <v>82.006666666666661</v>
      </c>
      <c r="E4920" s="25">
        <v>24.84</v>
      </c>
      <c r="F4920" s="379">
        <v>13.311827067776157</v>
      </c>
      <c r="G4920" s="25">
        <v>37.869999999999997</v>
      </c>
      <c r="H4920" s="379">
        <v>9.8143707636270268</v>
      </c>
      <c r="I4920" s="25">
        <v>37.979999999999997</v>
      </c>
      <c r="J4920" s="379">
        <v>6.5138091911171703</v>
      </c>
    </row>
    <row r="4921" spans="1:10" x14ac:dyDescent="0.35">
      <c r="A4921" s="5">
        <v>4917</v>
      </c>
      <c r="B4921" s="5">
        <v>205</v>
      </c>
      <c r="C4921" s="5">
        <v>7</v>
      </c>
      <c r="D4921" s="379">
        <v>84.346111111111114</v>
      </c>
      <c r="E4921" s="25">
        <v>24.84</v>
      </c>
      <c r="F4921" s="379">
        <v>10.865557922996983</v>
      </c>
      <c r="G4921" s="25">
        <v>37.49</v>
      </c>
      <c r="H4921" s="379">
        <v>9.8448287805113015</v>
      </c>
      <c r="I4921" s="25">
        <v>37.979999999999997</v>
      </c>
      <c r="J4921" s="379">
        <v>6.5138091911171703</v>
      </c>
    </row>
    <row r="4922" spans="1:10" x14ac:dyDescent="0.35">
      <c r="A4922" s="5">
        <v>4918</v>
      </c>
      <c r="B4922" s="5">
        <v>205</v>
      </c>
      <c r="C4922" s="5">
        <v>7</v>
      </c>
      <c r="D4922" s="379">
        <v>80.930555555555557</v>
      </c>
      <c r="E4922" s="25">
        <v>24.84</v>
      </c>
      <c r="F4922" s="379">
        <v>8.5057689601636355</v>
      </c>
      <c r="G4922" s="25">
        <v>37.49</v>
      </c>
      <c r="H4922" s="379">
        <v>9.3308342642882298</v>
      </c>
      <c r="I4922" s="25">
        <v>44.6</v>
      </c>
      <c r="J4922" s="379">
        <v>6.50506738574735</v>
      </c>
    </row>
    <row r="4923" spans="1:10" x14ac:dyDescent="0.35">
      <c r="A4923" s="5">
        <v>4919</v>
      </c>
      <c r="B4923" s="5">
        <v>205</v>
      </c>
      <c r="C4923" s="5">
        <v>7</v>
      </c>
      <c r="D4923" s="379">
        <v>75.161666666666662</v>
      </c>
      <c r="E4923" s="25">
        <v>24.84</v>
      </c>
      <c r="F4923" s="379">
        <v>8.1174834595959613</v>
      </c>
      <c r="G4923" s="25">
        <v>35.94</v>
      </c>
      <c r="H4923" s="379">
        <v>7.0410835040071014</v>
      </c>
      <c r="I4923" s="25">
        <v>36.869999999999997</v>
      </c>
      <c r="J4923" s="379">
        <v>5.8752107083960761</v>
      </c>
    </row>
    <row r="4924" spans="1:10" x14ac:dyDescent="0.35">
      <c r="A4924" s="5">
        <v>4920</v>
      </c>
      <c r="B4924" s="5">
        <v>205</v>
      </c>
      <c r="C4924" s="5">
        <v>7</v>
      </c>
      <c r="D4924" s="379">
        <v>63.919999999999995</v>
      </c>
      <c r="E4924" s="25">
        <v>24</v>
      </c>
      <c r="F4924" s="379">
        <v>8.1174834595959595</v>
      </c>
      <c r="G4924" s="25">
        <v>31.84</v>
      </c>
      <c r="H4924" s="379">
        <v>1.0377759139885867</v>
      </c>
      <c r="I4924" s="25">
        <v>35.44</v>
      </c>
      <c r="J4924" s="379">
        <v>5.7556865260784509</v>
      </c>
    </row>
    <row r="4925" spans="1:10" x14ac:dyDescent="0.35">
      <c r="A4925" s="5">
        <v>4921</v>
      </c>
      <c r="B4925" s="5">
        <v>206</v>
      </c>
      <c r="C4925" s="5">
        <v>7</v>
      </c>
      <c r="D4925" s="379">
        <v>55.827777777777783</v>
      </c>
      <c r="E4925" s="25">
        <v>24</v>
      </c>
      <c r="F4925" s="379">
        <v>6.3939234410506529</v>
      </c>
      <c r="G4925" s="25">
        <v>30.03</v>
      </c>
      <c r="H4925" s="379">
        <v>1.1214916585387293</v>
      </c>
      <c r="I4925" s="25">
        <v>33.67</v>
      </c>
      <c r="J4925" s="379">
        <v>5.6514421835810609</v>
      </c>
    </row>
    <row r="4926" spans="1:10" x14ac:dyDescent="0.35">
      <c r="A4926" s="5">
        <v>4922</v>
      </c>
      <c r="B4926" s="5">
        <v>206</v>
      </c>
      <c r="C4926" s="5">
        <v>7</v>
      </c>
      <c r="D4926" s="379">
        <v>51.643333333333331</v>
      </c>
      <c r="E4926" s="25">
        <v>24</v>
      </c>
      <c r="F4926" s="379">
        <v>6.1409413691442101</v>
      </c>
      <c r="G4926" s="25">
        <v>30.03</v>
      </c>
      <c r="H4926" s="379">
        <v>0.86676342263995954</v>
      </c>
      <c r="I4926" s="25">
        <v>33.67</v>
      </c>
      <c r="J4926" s="379">
        <v>5.7082271331392569</v>
      </c>
    </row>
    <row r="4927" spans="1:10" x14ac:dyDescent="0.35">
      <c r="A4927" s="5">
        <v>4923</v>
      </c>
      <c r="B4927" s="5">
        <v>206</v>
      </c>
      <c r="C4927" s="5">
        <v>7</v>
      </c>
      <c r="D4927" s="379">
        <v>48.662777777777769</v>
      </c>
      <c r="E4927" s="25">
        <v>23.59</v>
      </c>
      <c r="F4927" s="379">
        <v>7.5442697698664354</v>
      </c>
      <c r="G4927" s="25">
        <v>30.03</v>
      </c>
      <c r="H4927" s="379">
        <v>1.0151900819945978</v>
      </c>
      <c r="I4927" s="25">
        <v>33.67</v>
      </c>
      <c r="J4927" s="379">
        <v>4.9437330397551351</v>
      </c>
    </row>
    <row r="4928" spans="1:10" x14ac:dyDescent="0.35">
      <c r="A4928" s="5">
        <v>4924</v>
      </c>
      <c r="B4928" s="5">
        <v>206</v>
      </c>
      <c r="C4928" s="5">
        <v>7</v>
      </c>
      <c r="D4928" s="379">
        <v>47.635555555555555</v>
      </c>
      <c r="E4928" s="25">
        <v>21.12</v>
      </c>
      <c r="F4928" s="379">
        <v>8.1174834595959595</v>
      </c>
      <c r="G4928" s="25">
        <v>30.03</v>
      </c>
      <c r="H4928" s="379">
        <v>1.1281995445133222</v>
      </c>
      <c r="I4928" s="25">
        <v>33.67</v>
      </c>
      <c r="J4928" s="379">
        <v>4.1238000158632433</v>
      </c>
    </row>
    <row r="4929" spans="1:10" x14ac:dyDescent="0.35">
      <c r="A4929" s="5">
        <v>4925</v>
      </c>
      <c r="B4929" s="5">
        <v>206</v>
      </c>
      <c r="C4929" s="5">
        <v>7</v>
      </c>
      <c r="D4929" s="379">
        <v>52.668888888888894</v>
      </c>
      <c r="E4929" s="25">
        <v>21.12</v>
      </c>
      <c r="F4929" s="379">
        <v>8.1174834595959595</v>
      </c>
      <c r="G4929" s="25">
        <v>30.03</v>
      </c>
      <c r="H4929" s="379">
        <v>0.65808670058311347</v>
      </c>
      <c r="I4929" s="25">
        <v>33.67</v>
      </c>
      <c r="J4929" s="379">
        <v>4.4552625887150548</v>
      </c>
    </row>
    <row r="4930" spans="1:10" x14ac:dyDescent="0.35">
      <c r="A4930" s="5">
        <v>4926</v>
      </c>
      <c r="B4930" s="5">
        <v>206</v>
      </c>
      <c r="C4930" s="5">
        <v>7</v>
      </c>
      <c r="D4930" s="379">
        <v>61.131111111111117</v>
      </c>
      <c r="E4930" s="25">
        <v>21.12</v>
      </c>
      <c r="F4930" s="379">
        <v>8.1174834595959577</v>
      </c>
      <c r="G4930" s="25">
        <v>30.03</v>
      </c>
      <c r="H4930" s="379">
        <v>0.65808670058311358</v>
      </c>
      <c r="I4930" s="25">
        <v>33.67</v>
      </c>
      <c r="J4930" s="379">
        <v>3.1584077366687158</v>
      </c>
    </row>
    <row r="4931" spans="1:10" x14ac:dyDescent="0.35">
      <c r="A4931" s="5">
        <v>4927</v>
      </c>
      <c r="B4931" s="5">
        <v>206</v>
      </c>
      <c r="C4931" s="5">
        <v>7</v>
      </c>
      <c r="D4931" s="379">
        <v>70.796666666666667</v>
      </c>
      <c r="E4931" s="25">
        <v>22.73</v>
      </c>
      <c r="F4931" s="379">
        <v>8.1174834595959595</v>
      </c>
      <c r="G4931" s="25">
        <v>30.03</v>
      </c>
      <c r="H4931" s="379">
        <v>0.65808670058311347</v>
      </c>
      <c r="I4931" s="25">
        <v>33.67</v>
      </c>
      <c r="J4931" s="379">
        <v>0.32979576367589486</v>
      </c>
    </row>
    <row r="4932" spans="1:10" x14ac:dyDescent="0.35">
      <c r="A4932" s="5">
        <v>4928</v>
      </c>
      <c r="B4932" s="5">
        <v>206</v>
      </c>
      <c r="C4932" s="5">
        <v>7</v>
      </c>
      <c r="D4932" s="379">
        <v>88.414444444444456</v>
      </c>
      <c r="E4932" s="25">
        <v>23.59</v>
      </c>
      <c r="F4932" s="379">
        <v>3.6817978326295431</v>
      </c>
      <c r="G4932" s="25">
        <v>30.03</v>
      </c>
      <c r="H4932" s="379">
        <v>3.5498029152869108</v>
      </c>
      <c r="I4932" s="25">
        <v>33.67</v>
      </c>
      <c r="J4932" s="379">
        <v>4.0984226902725053E-2</v>
      </c>
    </row>
    <row r="4933" spans="1:10" x14ac:dyDescent="0.35">
      <c r="A4933" s="5">
        <v>4929</v>
      </c>
      <c r="B4933" s="5">
        <v>206</v>
      </c>
      <c r="C4933" s="5">
        <v>7</v>
      </c>
      <c r="D4933" s="379">
        <v>79.043333333333322</v>
      </c>
      <c r="E4933" s="25">
        <v>23.84</v>
      </c>
      <c r="F4933" s="379">
        <v>2.1850550359420526</v>
      </c>
      <c r="G4933" s="25">
        <v>30.03</v>
      </c>
      <c r="H4933" s="379">
        <v>1.9910596753606291</v>
      </c>
      <c r="I4933" s="25">
        <v>33.409999999999997</v>
      </c>
      <c r="J4933" s="379">
        <v>4.0984226902725053E-2</v>
      </c>
    </row>
    <row r="4934" spans="1:10" x14ac:dyDescent="0.35">
      <c r="A4934" s="5">
        <v>4930</v>
      </c>
      <c r="B4934" s="5">
        <v>206</v>
      </c>
      <c r="C4934" s="5">
        <v>7</v>
      </c>
      <c r="D4934" s="379">
        <v>67.717777777777783</v>
      </c>
      <c r="E4934" s="25">
        <v>23.63</v>
      </c>
      <c r="F4934" s="379">
        <v>0.54679326505314629</v>
      </c>
      <c r="G4934" s="25">
        <v>30.03</v>
      </c>
      <c r="H4934" s="379">
        <v>0.55202334447126611</v>
      </c>
      <c r="I4934" s="25">
        <v>33.08</v>
      </c>
      <c r="J4934" s="379">
        <v>4.0984226902725053E-2</v>
      </c>
    </row>
    <row r="4935" spans="1:10" x14ac:dyDescent="0.35">
      <c r="A4935" s="5">
        <v>4931</v>
      </c>
      <c r="B4935" s="5">
        <v>206</v>
      </c>
      <c r="C4935" s="5">
        <v>7</v>
      </c>
      <c r="D4935" s="379">
        <v>62.271666666666654</v>
      </c>
      <c r="E4935" s="25">
        <v>23.15</v>
      </c>
      <c r="F4935" s="379">
        <v>2.6347907990726998</v>
      </c>
      <c r="G4935" s="25">
        <v>30.03</v>
      </c>
      <c r="H4935" s="379">
        <v>0.55202334447126611</v>
      </c>
      <c r="I4935" s="25">
        <v>33.08</v>
      </c>
      <c r="J4935" s="379">
        <v>4.0984226902725053E-2</v>
      </c>
    </row>
    <row r="4936" spans="1:10" x14ac:dyDescent="0.35">
      <c r="A4936" s="5">
        <v>4932</v>
      </c>
      <c r="B4936" s="5">
        <v>206</v>
      </c>
      <c r="C4936" s="5">
        <v>7</v>
      </c>
      <c r="D4936" s="379">
        <v>58.248333333333335</v>
      </c>
      <c r="E4936" s="25">
        <v>21.12</v>
      </c>
      <c r="F4936" s="379">
        <v>1.0332752605494309</v>
      </c>
      <c r="G4936" s="25">
        <v>30.03</v>
      </c>
      <c r="H4936" s="379">
        <v>0.55202334447126611</v>
      </c>
      <c r="I4936" s="25">
        <v>33.08</v>
      </c>
      <c r="J4936" s="379">
        <v>4.0984226902725053E-2</v>
      </c>
    </row>
    <row r="4937" spans="1:10" x14ac:dyDescent="0.35">
      <c r="A4937" s="5">
        <v>4933</v>
      </c>
      <c r="B4937" s="5">
        <v>206</v>
      </c>
      <c r="C4937" s="5">
        <v>7</v>
      </c>
      <c r="D4937" s="379">
        <v>54.765000000000001</v>
      </c>
      <c r="E4937" s="25">
        <v>21.12</v>
      </c>
      <c r="F4937" s="379">
        <v>1.4851830465492433</v>
      </c>
      <c r="G4937" s="25">
        <v>30.03</v>
      </c>
      <c r="H4937" s="379">
        <v>0.55202334447126611</v>
      </c>
      <c r="I4937" s="25">
        <v>33.08</v>
      </c>
      <c r="J4937" s="379">
        <v>4.0984226902725053E-2</v>
      </c>
    </row>
    <row r="4938" spans="1:10" x14ac:dyDescent="0.35">
      <c r="A4938" s="5">
        <v>4934</v>
      </c>
      <c r="B4938" s="5">
        <v>206</v>
      </c>
      <c r="C4938" s="5">
        <v>7</v>
      </c>
      <c r="D4938" s="379">
        <v>52.105555555555547</v>
      </c>
      <c r="E4938" s="25">
        <v>20.5</v>
      </c>
      <c r="F4938" s="379">
        <v>1.4537799974727863</v>
      </c>
      <c r="G4938" s="25">
        <v>30.03</v>
      </c>
      <c r="H4938" s="379">
        <v>0.55202334447126611</v>
      </c>
      <c r="I4938" s="25">
        <v>32.75</v>
      </c>
      <c r="J4938" s="379">
        <v>4.0984226902725053E-2</v>
      </c>
    </row>
    <row r="4939" spans="1:10" x14ac:dyDescent="0.35">
      <c r="A4939" s="5">
        <v>4935</v>
      </c>
      <c r="B4939" s="5">
        <v>206</v>
      </c>
      <c r="C4939" s="5">
        <v>7</v>
      </c>
      <c r="D4939" s="379">
        <v>47.019444444444439</v>
      </c>
      <c r="E4939" s="25">
        <v>20.5</v>
      </c>
      <c r="F4939" s="379">
        <v>0.90883551166400633</v>
      </c>
      <c r="G4939" s="25">
        <v>30.03</v>
      </c>
      <c r="H4939" s="379">
        <v>0.55202334447126611</v>
      </c>
      <c r="I4939" s="25">
        <v>32.75</v>
      </c>
      <c r="J4939" s="379">
        <v>4.0984226902725053E-2</v>
      </c>
    </row>
    <row r="4940" spans="1:10" x14ac:dyDescent="0.35">
      <c r="A4940" s="5">
        <v>4936</v>
      </c>
      <c r="B4940" s="5">
        <v>206</v>
      </c>
      <c r="C4940" s="5">
        <v>7</v>
      </c>
      <c r="D4940" s="379">
        <v>54.663888888888891</v>
      </c>
      <c r="E4940" s="25">
        <v>21.12</v>
      </c>
      <c r="F4940" s="379">
        <v>5.0217212752743734</v>
      </c>
      <c r="G4940" s="25">
        <v>30.03</v>
      </c>
      <c r="H4940" s="379">
        <v>0.60222126726734138</v>
      </c>
      <c r="I4940" s="25">
        <v>32.75</v>
      </c>
      <c r="J4940" s="379">
        <v>4.0984226902725053E-2</v>
      </c>
    </row>
    <row r="4941" spans="1:10" x14ac:dyDescent="0.35">
      <c r="A4941" s="5">
        <v>4937</v>
      </c>
      <c r="B4941" s="5">
        <v>206</v>
      </c>
      <c r="C4941" s="5">
        <v>7</v>
      </c>
      <c r="D4941" s="379">
        <v>61.489444444444445</v>
      </c>
      <c r="E4941" s="25">
        <v>21.12</v>
      </c>
      <c r="F4941" s="379">
        <v>1.2068211967516993</v>
      </c>
      <c r="G4941" s="25">
        <v>30.03</v>
      </c>
      <c r="H4941" s="379">
        <v>1.8842722814278901</v>
      </c>
      <c r="I4941" s="25">
        <v>33.08</v>
      </c>
      <c r="J4941" s="379">
        <v>4.0984226902725053E-2</v>
      </c>
    </row>
    <row r="4942" spans="1:10" x14ac:dyDescent="0.35">
      <c r="A4942" s="5">
        <v>4938</v>
      </c>
      <c r="B4942" s="5">
        <v>206</v>
      </c>
      <c r="C4942" s="5">
        <v>7</v>
      </c>
      <c r="D4942" s="379">
        <v>73.699444444444453</v>
      </c>
      <c r="E4942" s="25">
        <v>23.59</v>
      </c>
      <c r="F4942" s="379">
        <v>5.3411245155230764</v>
      </c>
      <c r="G4942" s="25">
        <v>30.03</v>
      </c>
      <c r="H4942" s="379">
        <v>2.5711971003476233</v>
      </c>
      <c r="I4942" s="25">
        <v>33.08</v>
      </c>
      <c r="J4942" s="379">
        <v>4.0984226902725053E-2</v>
      </c>
    </row>
    <row r="4943" spans="1:10" x14ac:dyDescent="0.35">
      <c r="A4943" s="5">
        <v>4939</v>
      </c>
      <c r="B4943" s="5">
        <v>206</v>
      </c>
      <c r="C4943" s="5">
        <v>7</v>
      </c>
      <c r="D4943" s="379">
        <v>83.081666666666663</v>
      </c>
      <c r="E4943" s="25">
        <v>23.84</v>
      </c>
      <c r="F4943" s="379">
        <v>5.3837097714493884</v>
      </c>
      <c r="G4943" s="25">
        <v>30.03</v>
      </c>
      <c r="H4943" s="379">
        <v>4.4126322548374919</v>
      </c>
      <c r="I4943" s="25">
        <v>33.67</v>
      </c>
      <c r="J4943" s="379">
        <v>0.17361914951525889</v>
      </c>
    </row>
    <row r="4944" spans="1:10" x14ac:dyDescent="0.35">
      <c r="A4944" s="5">
        <v>4940</v>
      </c>
      <c r="B4944" s="5">
        <v>206</v>
      </c>
      <c r="C4944" s="5">
        <v>7</v>
      </c>
      <c r="D4944" s="379">
        <v>82.855000000000004</v>
      </c>
      <c r="E4944" s="25">
        <v>24.12</v>
      </c>
      <c r="F4944" s="379">
        <v>5.3837097714493884</v>
      </c>
      <c r="G4944" s="25">
        <v>31.11</v>
      </c>
      <c r="H4944" s="379">
        <v>4.4271698245461106</v>
      </c>
      <c r="I4944" s="25">
        <v>34.25</v>
      </c>
      <c r="J4944" s="379">
        <v>3.4998397622570461</v>
      </c>
    </row>
    <row r="4945" spans="1:10" x14ac:dyDescent="0.35">
      <c r="A4945" s="5">
        <v>4941</v>
      </c>
      <c r="B4945" s="5">
        <v>206</v>
      </c>
      <c r="C4945" s="5">
        <v>7</v>
      </c>
      <c r="D4945" s="379">
        <v>84.655555555555566</v>
      </c>
      <c r="E4945" s="25">
        <v>24.84</v>
      </c>
      <c r="F4945" s="379">
        <v>5.3837097714493884</v>
      </c>
      <c r="G4945" s="25">
        <v>31.49</v>
      </c>
      <c r="H4945" s="379">
        <v>4.6528169298648905</v>
      </c>
      <c r="I4945" s="25">
        <v>40.450000000000003</v>
      </c>
      <c r="J4945" s="379">
        <v>3.7650665077140748</v>
      </c>
    </row>
    <row r="4946" spans="1:10" x14ac:dyDescent="0.35">
      <c r="A4946" s="5">
        <v>4942</v>
      </c>
      <c r="B4946" s="5">
        <v>206</v>
      </c>
      <c r="C4946" s="5">
        <v>7</v>
      </c>
      <c r="D4946" s="379">
        <v>82.451111111111118</v>
      </c>
      <c r="E4946" s="25">
        <v>24.84</v>
      </c>
      <c r="F4946" s="379">
        <v>5.3837097714493884</v>
      </c>
      <c r="G4946" s="25">
        <v>35.53</v>
      </c>
      <c r="H4946" s="379">
        <v>4.896645552783597</v>
      </c>
      <c r="I4946" s="25">
        <v>44.11</v>
      </c>
      <c r="J4946" s="379">
        <v>3.9872757942071435</v>
      </c>
    </row>
    <row r="4947" spans="1:10" x14ac:dyDescent="0.35">
      <c r="A4947" s="5">
        <v>4943</v>
      </c>
      <c r="B4947" s="5">
        <v>206</v>
      </c>
      <c r="C4947" s="5">
        <v>7</v>
      </c>
      <c r="D4947" s="379">
        <v>70.569999999999993</v>
      </c>
      <c r="E4947" s="25">
        <v>24.84</v>
      </c>
      <c r="F4947" s="379">
        <v>5.3837097714493884</v>
      </c>
      <c r="G4947" s="25">
        <v>31.11</v>
      </c>
      <c r="H4947" s="379">
        <v>4.896645552783597</v>
      </c>
      <c r="I4947" s="25">
        <v>37.979999999999997</v>
      </c>
      <c r="J4947" s="379">
        <v>3.9872757942071435</v>
      </c>
    </row>
    <row r="4948" spans="1:10" x14ac:dyDescent="0.35">
      <c r="A4948" s="5">
        <v>4944</v>
      </c>
      <c r="B4948" s="5">
        <v>206</v>
      </c>
      <c r="C4948" s="5">
        <v>7</v>
      </c>
      <c r="D4948" s="379">
        <v>58.83</v>
      </c>
      <c r="E4948" s="25">
        <v>24.84</v>
      </c>
      <c r="F4948" s="379">
        <v>1.9275974446416164</v>
      </c>
      <c r="G4948" s="25">
        <v>30.91</v>
      </c>
      <c r="H4948" s="379">
        <v>2.8008001657974546</v>
      </c>
      <c r="I4948" s="25">
        <v>35.72</v>
      </c>
      <c r="J4948" s="379">
        <v>1.6165595134342772</v>
      </c>
    </row>
    <row r="4949" spans="1:10" x14ac:dyDescent="0.35">
      <c r="A4949" s="5">
        <v>4945</v>
      </c>
      <c r="B4949" s="5">
        <v>207</v>
      </c>
      <c r="C4949" s="5">
        <v>7</v>
      </c>
      <c r="D4949" s="379">
        <v>56.920555555555566</v>
      </c>
      <c r="E4949" s="25">
        <v>24.84</v>
      </c>
      <c r="F4949" s="379">
        <v>0.17973441596887421</v>
      </c>
      <c r="G4949" s="25">
        <v>31.11</v>
      </c>
      <c r="H4949" s="379">
        <v>2.6982856571891256</v>
      </c>
      <c r="I4949" s="25">
        <v>35.72</v>
      </c>
      <c r="J4949" s="379">
        <v>0.14480167642852412</v>
      </c>
    </row>
    <row r="4950" spans="1:10" x14ac:dyDescent="0.35">
      <c r="A4950" s="5">
        <v>4946</v>
      </c>
      <c r="B4950" s="5">
        <v>207</v>
      </c>
      <c r="C4950" s="5">
        <v>7</v>
      </c>
      <c r="D4950" s="379">
        <v>54.744999999999997</v>
      </c>
      <c r="E4950" s="25">
        <v>24.84</v>
      </c>
      <c r="F4950" s="379">
        <v>3.8898570249751385</v>
      </c>
      <c r="G4950" s="25">
        <v>31.11</v>
      </c>
      <c r="H4950" s="379">
        <v>2.6943668348435437</v>
      </c>
      <c r="I4950" s="25">
        <v>35.72</v>
      </c>
      <c r="J4950" s="379">
        <v>1.5421165289402525</v>
      </c>
    </row>
    <row r="4951" spans="1:10" x14ac:dyDescent="0.35">
      <c r="A4951" s="5">
        <v>4947</v>
      </c>
      <c r="B4951" s="5">
        <v>207</v>
      </c>
      <c r="C4951" s="5">
        <v>7</v>
      </c>
      <c r="D4951" s="379">
        <v>58.241111111111103</v>
      </c>
      <c r="E4951" s="25">
        <v>24.84</v>
      </c>
      <c r="F4951" s="379">
        <v>0.27171531122656173</v>
      </c>
      <c r="G4951" s="25">
        <v>30.95</v>
      </c>
      <c r="H4951" s="379">
        <v>2.777777777777778E-2</v>
      </c>
      <c r="I4951" s="25">
        <v>35.72</v>
      </c>
      <c r="J4951" s="379">
        <v>0.14480167642852412</v>
      </c>
    </row>
    <row r="4952" spans="1:10" x14ac:dyDescent="0.35">
      <c r="A4952" s="5">
        <v>4948</v>
      </c>
      <c r="B4952" s="5">
        <v>207</v>
      </c>
      <c r="C4952" s="5">
        <v>7</v>
      </c>
      <c r="D4952" s="379">
        <v>59.371111111111112</v>
      </c>
      <c r="E4952" s="25">
        <v>24.84</v>
      </c>
      <c r="F4952" s="379">
        <v>0.10797415289923006</v>
      </c>
      <c r="G4952" s="25">
        <v>31.11</v>
      </c>
      <c r="H4952" s="379">
        <v>0.14480167642852412</v>
      </c>
      <c r="I4952" s="25">
        <v>35.72</v>
      </c>
      <c r="J4952" s="379">
        <v>0.27777777777777779</v>
      </c>
    </row>
    <row r="4953" spans="1:10" x14ac:dyDescent="0.35">
      <c r="A4953" s="5">
        <v>4949</v>
      </c>
      <c r="B4953" s="5">
        <v>207</v>
      </c>
      <c r="C4953" s="5">
        <v>7</v>
      </c>
      <c r="D4953" s="379">
        <v>55.621111111111112</v>
      </c>
      <c r="E4953" s="25">
        <v>24.84</v>
      </c>
      <c r="F4953" s="379">
        <v>0.3071480359408581</v>
      </c>
      <c r="G4953" s="25">
        <v>31.11</v>
      </c>
      <c r="H4953" s="379">
        <v>9.3263630677863515E-2</v>
      </c>
      <c r="I4953" s="25">
        <v>35.72</v>
      </c>
      <c r="J4953" s="379">
        <v>9.4917436863749524E-2</v>
      </c>
    </row>
    <row r="4954" spans="1:10" x14ac:dyDescent="0.35">
      <c r="A4954" s="5">
        <v>4950</v>
      </c>
      <c r="B4954" s="5">
        <v>207</v>
      </c>
      <c r="C4954" s="5">
        <v>7</v>
      </c>
      <c r="D4954" s="379">
        <v>63.029999999999994</v>
      </c>
      <c r="E4954" s="25">
        <v>24.84</v>
      </c>
      <c r="F4954" s="379">
        <v>3.6514228379617384</v>
      </c>
      <c r="G4954" s="25">
        <v>32.19</v>
      </c>
      <c r="H4954" s="379">
        <v>7.797470282722932E-2</v>
      </c>
      <c r="I4954" s="25">
        <v>42.03</v>
      </c>
      <c r="J4954" s="379">
        <v>6.8871042346534225E-2</v>
      </c>
    </row>
    <row r="4955" spans="1:10" x14ac:dyDescent="0.35">
      <c r="A4955" s="5">
        <v>4951</v>
      </c>
      <c r="B4955" s="5">
        <v>207</v>
      </c>
      <c r="C4955" s="5">
        <v>7</v>
      </c>
      <c r="D4955" s="379">
        <v>66.557777777777773</v>
      </c>
      <c r="E4955" s="25">
        <v>24.84</v>
      </c>
      <c r="F4955" s="379">
        <v>3.6964029883386025</v>
      </c>
      <c r="G4955" s="25">
        <v>35.94</v>
      </c>
      <c r="H4955" s="379">
        <v>0.14480167642852412</v>
      </c>
      <c r="I4955" s="25">
        <v>44.11</v>
      </c>
      <c r="J4955" s="379">
        <v>0.52173914678546029</v>
      </c>
    </row>
    <row r="4956" spans="1:10" x14ac:dyDescent="0.35">
      <c r="A4956" s="5">
        <v>4952</v>
      </c>
      <c r="B4956" s="5">
        <v>207</v>
      </c>
      <c r="C4956" s="5">
        <v>7</v>
      </c>
      <c r="D4956" s="379">
        <v>72.16</v>
      </c>
      <c r="E4956" s="25">
        <v>24.84</v>
      </c>
      <c r="F4956" s="379">
        <v>0.28155553074936834</v>
      </c>
      <c r="G4956" s="25">
        <v>39.770000000000003</v>
      </c>
      <c r="H4956" s="379">
        <v>0.515408343691513</v>
      </c>
      <c r="I4956" s="25">
        <v>45.05</v>
      </c>
      <c r="J4956" s="379">
        <v>1.6967729408781238</v>
      </c>
    </row>
    <row r="4957" spans="1:10" x14ac:dyDescent="0.35">
      <c r="A4957" s="5">
        <v>4953</v>
      </c>
      <c r="B4957" s="5">
        <v>207</v>
      </c>
      <c r="C4957" s="5">
        <v>7</v>
      </c>
      <c r="D4957" s="379">
        <v>68.374444444444435</v>
      </c>
      <c r="E4957" s="25">
        <v>24.84</v>
      </c>
      <c r="F4957" s="379">
        <v>3.2727733956087586</v>
      </c>
      <c r="G4957" s="25">
        <v>39.770000000000003</v>
      </c>
      <c r="H4957" s="379">
        <v>1.8457190916956596</v>
      </c>
      <c r="I4957" s="25">
        <v>41.22</v>
      </c>
      <c r="J4957" s="379">
        <v>2.777777777777778E-2</v>
      </c>
    </row>
    <row r="4958" spans="1:10" x14ac:dyDescent="0.35">
      <c r="A4958" s="5">
        <v>4954</v>
      </c>
      <c r="B4958" s="5">
        <v>207</v>
      </c>
      <c r="C4958" s="5">
        <v>7</v>
      </c>
      <c r="D4958" s="379">
        <v>63.270555555555546</v>
      </c>
      <c r="E4958" s="25">
        <v>24.84</v>
      </c>
      <c r="F4958" s="379">
        <v>3.2727733956087586</v>
      </c>
      <c r="G4958" s="25">
        <v>39.770000000000003</v>
      </c>
      <c r="H4958" s="379">
        <v>1.8457190916956596</v>
      </c>
      <c r="I4958" s="25">
        <v>35.799999999999997</v>
      </c>
      <c r="J4958" s="379">
        <v>2.777777777777778E-2</v>
      </c>
    </row>
    <row r="4959" spans="1:10" x14ac:dyDescent="0.35">
      <c r="A4959" s="5">
        <v>4955</v>
      </c>
      <c r="B4959" s="5">
        <v>207</v>
      </c>
      <c r="C4959" s="5">
        <v>7</v>
      </c>
      <c r="D4959" s="379">
        <v>62.658333333333331</v>
      </c>
      <c r="E4959" s="25">
        <v>24.84</v>
      </c>
      <c r="F4959" s="379">
        <v>3.2727733956087586</v>
      </c>
      <c r="G4959" s="25">
        <v>39.770000000000003</v>
      </c>
      <c r="H4959" s="379">
        <v>1.8457190916956596</v>
      </c>
      <c r="I4959" s="25">
        <v>35.03</v>
      </c>
      <c r="J4959" s="379">
        <v>2.777777777777778E-2</v>
      </c>
    </row>
    <row r="4960" spans="1:10" x14ac:dyDescent="0.35">
      <c r="A4960" s="5">
        <v>4956</v>
      </c>
      <c r="B4960" s="5">
        <v>207</v>
      </c>
      <c r="C4960" s="5">
        <v>7</v>
      </c>
      <c r="D4960" s="379">
        <v>58.661666666666655</v>
      </c>
      <c r="E4960" s="25">
        <v>24.84</v>
      </c>
      <c r="F4960" s="379">
        <v>3.2727733956087586</v>
      </c>
      <c r="G4960" s="25">
        <v>39.770000000000003</v>
      </c>
      <c r="H4960" s="379">
        <v>1.8457190916956596</v>
      </c>
      <c r="I4960" s="25">
        <v>34.29</v>
      </c>
      <c r="J4960" s="379">
        <v>2.777777777777778E-2</v>
      </c>
    </row>
    <row r="4961" spans="1:10" x14ac:dyDescent="0.35">
      <c r="A4961" s="5">
        <v>4957</v>
      </c>
      <c r="B4961" s="5">
        <v>207</v>
      </c>
      <c r="C4961" s="5">
        <v>7</v>
      </c>
      <c r="D4961" s="379">
        <v>55.083333333333336</v>
      </c>
      <c r="E4961" s="25">
        <v>24.84</v>
      </c>
      <c r="F4961" s="379">
        <v>2.8903304435981778</v>
      </c>
      <c r="G4961" s="25">
        <v>39.770000000000003</v>
      </c>
      <c r="H4961" s="379">
        <v>1.8457190916956596</v>
      </c>
      <c r="I4961" s="25">
        <v>34.29</v>
      </c>
      <c r="J4961" s="379">
        <v>2.777777777777778E-2</v>
      </c>
    </row>
    <row r="4962" spans="1:10" x14ac:dyDescent="0.35">
      <c r="A4962" s="5">
        <v>4958</v>
      </c>
      <c r="B4962" s="5">
        <v>207</v>
      </c>
      <c r="C4962" s="5">
        <v>7</v>
      </c>
      <c r="D4962" s="379">
        <v>50.796666666666667</v>
      </c>
      <c r="E4962" s="25">
        <v>24.84</v>
      </c>
      <c r="F4962" s="379">
        <v>3.3169199579821713</v>
      </c>
      <c r="G4962" s="25">
        <v>39.770000000000003</v>
      </c>
      <c r="H4962" s="379">
        <v>1.8457190916956596</v>
      </c>
      <c r="I4962" s="25">
        <v>34.68</v>
      </c>
      <c r="J4962" s="379">
        <v>2.777777777777778E-2</v>
      </c>
    </row>
    <row r="4963" spans="1:10" x14ac:dyDescent="0.35">
      <c r="A4963" s="5">
        <v>4959</v>
      </c>
      <c r="B4963" s="5">
        <v>207</v>
      </c>
      <c r="C4963" s="5">
        <v>7</v>
      </c>
      <c r="D4963" s="379">
        <v>52.749444444444443</v>
      </c>
      <c r="E4963" s="25">
        <v>24.84</v>
      </c>
      <c r="F4963" s="379">
        <v>2.9309207866838571</v>
      </c>
      <c r="G4963" s="25">
        <v>39.770000000000003</v>
      </c>
      <c r="H4963" s="379">
        <v>0.36547134330078218</v>
      </c>
      <c r="I4963" s="25">
        <v>35.369999999999997</v>
      </c>
      <c r="J4963" s="379">
        <v>2.777777777777778E-2</v>
      </c>
    </row>
    <row r="4964" spans="1:10" x14ac:dyDescent="0.35">
      <c r="A4964" s="5">
        <v>4960</v>
      </c>
      <c r="B4964" s="5">
        <v>207</v>
      </c>
      <c r="C4964" s="5">
        <v>7</v>
      </c>
      <c r="D4964" s="379">
        <v>52.129444444444445</v>
      </c>
      <c r="E4964" s="25">
        <v>24.84</v>
      </c>
      <c r="F4964" s="379">
        <v>2.4550282345516239</v>
      </c>
      <c r="G4964" s="25">
        <v>39.770000000000003</v>
      </c>
      <c r="H4964" s="379">
        <v>2.2689885713959508</v>
      </c>
      <c r="I4964" s="25">
        <v>36.049999999999997</v>
      </c>
      <c r="J4964" s="379">
        <v>2.777777777777778E-2</v>
      </c>
    </row>
    <row r="4965" spans="1:10" x14ac:dyDescent="0.35">
      <c r="A4965" s="5">
        <v>4961</v>
      </c>
      <c r="B4965" s="5">
        <v>207</v>
      </c>
      <c r="C4965" s="5">
        <v>7</v>
      </c>
      <c r="D4965" s="379">
        <v>57.621111111111112</v>
      </c>
      <c r="E4965" s="25">
        <v>24.84</v>
      </c>
      <c r="F4965" s="379">
        <v>2.5884085476945677</v>
      </c>
      <c r="G4965" s="25">
        <v>39.770000000000003</v>
      </c>
      <c r="H4965" s="379">
        <v>1.0777717510196243</v>
      </c>
      <c r="I4965" s="25">
        <v>37.979999999999997</v>
      </c>
      <c r="J4965" s="379">
        <v>4.2106809329671613</v>
      </c>
    </row>
    <row r="4966" spans="1:10" x14ac:dyDescent="0.35">
      <c r="A4966" s="5">
        <v>4962</v>
      </c>
      <c r="B4966" s="5">
        <v>207</v>
      </c>
      <c r="C4966" s="5">
        <v>7</v>
      </c>
      <c r="D4966" s="379">
        <v>67.936111111111117</v>
      </c>
      <c r="E4966" s="25">
        <v>24.84</v>
      </c>
      <c r="F4966" s="379">
        <v>6.6249304675403931</v>
      </c>
      <c r="G4966" s="25">
        <v>39.770000000000003</v>
      </c>
      <c r="H4966" s="379">
        <v>4.358148305657882</v>
      </c>
      <c r="I4966" s="25">
        <v>42.03</v>
      </c>
      <c r="J4966" s="379">
        <v>1.9181078581287467</v>
      </c>
    </row>
    <row r="4967" spans="1:10" x14ac:dyDescent="0.35">
      <c r="A4967" s="5">
        <v>4963</v>
      </c>
      <c r="B4967" s="5">
        <v>207</v>
      </c>
      <c r="C4967" s="5">
        <v>7</v>
      </c>
      <c r="D4967" s="379">
        <v>70.00833333333334</v>
      </c>
      <c r="E4967" s="25">
        <v>24.84</v>
      </c>
      <c r="F4967" s="379">
        <v>5.8034247445980069</v>
      </c>
      <c r="G4967" s="25">
        <v>39.770000000000003</v>
      </c>
      <c r="H4967" s="379">
        <v>4.3601111168185165</v>
      </c>
      <c r="I4967" s="25">
        <v>47.31</v>
      </c>
      <c r="J4967" s="379">
        <v>0.19478110643444801</v>
      </c>
    </row>
    <row r="4968" spans="1:10" x14ac:dyDescent="0.35">
      <c r="A4968" s="5">
        <v>4964</v>
      </c>
      <c r="B4968" s="5">
        <v>207</v>
      </c>
      <c r="C4968" s="5">
        <v>7</v>
      </c>
      <c r="D4968" s="379">
        <v>72.260000000000005</v>
      </c>
      <c r="E4968" s="25">
        <v>24.84</v>
      </c>
      <c r="F4968" s="379">
        <v>6.4603616940517306</v>
      </c>
      <c r="G4968" s="25">
        <v>33.799999999999997</v>
      </c>
      <c r="H4968" s="379">
        <v>5.2397968557999093</v>
      </c>
      <c r="I4968" s="25">
        <v>41.22</v>
      </c>
      <c r="J4968" s="379">
        <v>1.7647422949412068</v>
      </c>
    </row>
    <row r="4969" spans="1:10" x14ac:dyDescent="0.35">
      <c r="A4969" s="5">
        <v>4965</v>
      </c>
      <c r="B4969" s="5">
        <v>207</v>
      </c>
      <c r="C4969" s="5">
        <v>7</v>
      </c>
      <c r="D4969" s="379">
        <v>71.317222222222227</v>
      </c>
      <c r="E4969" s="25">
        <v>24.84</v>
      </c>
      <c r="F4969" s="379">
        <v>7.1499297195790721</v>
      </c>
      <c r="G4969" s="25">
        <v>37.700000000000003</v>
      </c>
      <c r="H4969" s="379">
        <v>4.3480140396543971</v>
      </c>
      <c r="I4969" s="25">
        <v>44.11</v>
      </c>
      <c r="J4969" s="379">
        <v>2.3886476693608452</v>
      </c>
    </row>
    <row r="4970" spans="1:10" x14ac:dyDescent="0.35">
      <c r="A4970" s="5">
        <v>4966</v>
      </c>
      <c r="B4970" s="5">
        <v>207</v>
      </c>
      <c r="C4970" s="5">
        <v>7</v>
      </c>
      <c r="D4970" s="379">
        <v>67.820555555555558</v>
      </c>
      <c r="E4970" s="25">
        <v>24.84</v>
      </c>
      <c r="F4970" s="379">
        <v>7.4807229005768994</v>
      </c>
      <c r="G4970" s="25">
        <v>39.770000000000003</v>
      </c>
      <c r="H4970" s="379">
        <v>4.1273373240902771</v>
      </c>
      <c r="I4970" s="25">
        <v>41.22</v>
      </c>
      <c r="J4970" s="379">
        <v>1.8322702501950741</v>
      </c>
    </row>
    <row r="4971" spans="1:10" x14ac:dyDescent="0.35">
      <c r="A4971" s="5">
        <v>4967</v>
      </c>
      <c r="B4971" s="5">
        <v>207</v>
      </c>
      <c r="C4971" s="5">
        <v>7</v>
      </c>
      <c r="D4971" s="379">
        <v>64.133888888888876</v>
      </c>
      <c r="E4971" s="25">
        <v>24.84</v>
      </c>
      <c r="F4971" s="379">
        <v>5.455910051834107</v>
      </c>
      <c r="G4971" s="25">
        <v>37.49</v>
      </c>
      <c r="H4971" s="379">
        <v>4.242932631363793</v>
      </c>
      <c r="I4971" s="25">
        <v>35.369999999999997</v>
      </c>
      <c r="J4971" s="379">
        <v>1.9181078581287467</v>
      </c>
    </row>
    <row r="4972" spans="1:10" x14ac:dyDescent="0.35">
      <c r="A4972" s="5">
        <v>4968</v>
      </c>
      <c r="B4972" s="5">
        <v>207</v>
      </c>
      <c r="C4972" s="5">
        <v>7</v>
      </c>
      <c r="D4972" s="379">
        <v>67.349444444444444</v>
      </c>
      <c r="E4972" s="25">
        <v>23.76</v>
      </c>
      <c r="F4972" s="379">
        <v>4.8834263043784452</v>
      </c>
      <c r="G4972" s="25">
        <v>31.11</v>
      </c>
      <c r="H4972" s="379">
        <v>4.0135269639452957</v>
      </c>
      <c r="I4972" s="25">
        <v>33.67</v>
      </c>
      <c r="J4972" s="379">
        <v>1.7198482935020301</v>
      </c>
    </row>
    <row r="4973" spans="1:10" x14ac:dyDescent="0.35">
      <c r="A4973" s="5">
        <v>4969</v>
      </c>
      <c r="B4973" s="5">
        <v>208</v>
      </c>
      <c r="C4973" s="5">
        <v>7</v>
      </c>
      <c r="D4973" s="379">
        <v>60.698333333333323</v>
      </c>
      <c r="E4973" s="25">
        <v>23.41</v>
      </c>
      <c r="F4973" s="379">
        <v>4.4796721071311989</v>
      </c>
      <c r="G4973" s="25">
        <v>31.11</v>
      </c>
      <c r="H4973" s="379">
        <v>5.6051724369864369</v>
      </c>
      <c r="I4973" s="25">
        <v>33.67</v>
      </c>
      <c r="J4973" s="379">
        <v>1.4809749695436807</v>
      </c>
    </row>
    <row r="4974" spans="1:10" x14ac:dyDescent="0.35">
      <c r="A4974" s="5">
        <v>4970</v>
      </c>
      <c r="B4974" s="5">
        <v>208</v>
      </c>
      <c r="C4974" s="5">
        <v>7</v>
      </c>
      <c r="D4974" s="379">
        <v>56.305</v>
      </c>
      <c r="E4974" s="25">
        <v>22.73</v>
      </c>
      <c r="F4974" s="379">
        <v>4.1631829079248366</v>
      </c>
      <c r="G4974" s="25">
        <v>31.11</v>
      </c>
      <c r="H4974" s="379">
        <v>5.118375543223455</v>
      </c>
      <c r="I4974" s="25">
        <v>33.67</v>
      </c>
      <c r="J4974" s="379">
        <v>1.5925624829819318</v>
      </c>
    </row>
    <row r="4975" spans="1:10" x14ac:dyDescent="0.35">
      <c r="A4975" s="5">
        <v>4971</v>
      </c>
      <c r="B4975" s="5">
        <v>208</v>
      </c>
      <c r="C4975" s="5">
        <v>7</v>
      </c>
      <c r="D4975" s="379">
        <v>56.687222222222225</v>
      </c>
      <c r="E4975" s="25">
        <v>22.73</v>
      </c>
      <c r="F4975" s="379">
        <v>3.6604370123519532</v>
      </c>
      <c r="G4975" s="25">
        <v>31.11</v>
      </c>
      <c r="H4975" s="379">
        <v>3.6068769710370359</v>
      </c>
      <c r="I4975" s="25">
        <v>33.67</v>
      </c>
      <c r="J4975" s="379">
        <v>1.9853507261375414</v>
      </c>
    </row>
    <row r="4976" spans="1:10" x14ac:dyDescent="0.35">
      <c r="A4976" s="5">
        <v>4972</v>
      </c>
      <c r="B4976" s="5">
        <v>208</v>
      </c>
      <c r="C4976" s="5">
        <v>7</v>
      </c>
      <c r="D4976" s="379">
        <v>56.972222222222221</v>
      </c>
      <c r="E4976" s="25">
        <v>22.73</v>
      </c>
      <c r="F4976" s="379">
        <v>4.3546401161028188</v>
      </c>
      <c r="G4976" s="25">
        <v>31.11</v>
      </c>
      <c r="H4976" s="379">
        <v>3.8690109299601865</v>
      </c>
      <c r="I4976" s="25">
        <v>33.67</v>
      </c>
      <c r="J4976" s="379">
        <v>1.9782915159458387</v>
      </c>
    </row>
    <row r="4977" spans="1:10" x14ac:dyDescent="0.35">
      <c r="A4977" s="5">
        <v>4973</v>
      </c>
      <c r="B4977" s="5">
        <v>208</v>
      </c>
      <c r="C4977" s="5">
        <v>7</v>
      </c>
      <c r="D4977" s="379">
        <v>57.724444444444444</v>
      </c>
      <c r="E4977" s="25">
        <v>22.73</v>
      </c>
      <c r="F4977" s="379">
        <v>4.5519709590413653</v>
      </c>
      <c r="G4977" s="25">
        <v>31.11</v>
      </c>
      <c r="H4977" s="379">
        <v>2.7455989763931461</v>
      </c>
      <c r="I4977" s="25">
        <v>33.67</v>
      </c>
      <c r="J4977" s="379">
        <v>2.7173423462237691</v>
      </c>
    </row>
    <row r="4978" spans="1:10" x14ac:dyDescent="0.35">
      <c r="A4978" s="5">
        <v>4974</v>
      </c>
      <c r="B4978" s="5">
        <v>208</v>
      </c>
      <c r="C4978" s="5">
        <v>7</v>
      </c>
      <c r="D4978" s="379">
        <v>69.091666666666654</v>
      </c>
      <c r="E4978" s="25">
        <v>23.84</v>
      </c>
      <c r="F4978" s="379">
        <v>3.3611454949889517</v>
      </c>
      <c r="G4978" s="25">
        <v>31.11</v>
      </c>
      <c r="H4978" s="379">
        <v>3.4504482104586351</v>
      </c>
      <c r="I4978" s="25">
        <v>33.67</v>
      </c>
      <c r="J4978" s="379">
        <v>3.1841538478402369</v>
      </c>
    </row>
    <row r="4979" spans="1:10" x14ac:dyDescent="0.35">
      <c r="A4979" s="5">
        <v>4975</v>
      </c>
      <c r="B4979" s="5">
        <v>208</v>
      </c>
      <c r="C4979" s="5">
        <v>7</v>
      </c>
      <c r="D4979" s="379">
        <v>80.890555555555565</v>
      </c>
      <c r="E4979" s="25">
        <v>24.12</v>
      </c>
      <c r="F4979" s="379">
        <v>7.7657976181648252</v>
      </c>
      <c r="G4979" s="25">
        <v>31.11</v>
      </c>
      <c r="H4979" s="379">
        <v>4.671927481670604</v>
      </c>
      <c r="I4979" s="25">
        <v>33.67</v>
      </c>
      <c r="J4979" s="379">
        <v>3.0354179434203883</v>
      </c>
    </row>
    <row r="4980" spans="1:10" x14ac:dyDescent="0.35">
      <c r="A4980" s="5">
        <v>4976</v>
      </c>
      <c r="B4980" s="5">
        <v>208</v>
      </c>
      <c r="C4980" s="5">
        <v>7</v>
      </c>
      <c r="D4980" s="379">
        <v>77.509444444444441</v>
      </c>
      <c r="E4980" s="25">
        <v>24.84</v>
      </c>
      <c r="F4980" s="379">
        <v>8.1174834595959613</v>
      </c>
      <c r="G4980" s="25">
        <v>33.11</v>
      </c>
      <c r="H4980" s="379">
        <v>5.0621452149715154</v>
      </c>
      <c r="I4980" s="25">
        <v>33.67</v>
      </c>
      <c r="J4980" s="379">
        <v>4.9069225419596583</v>
      </c>
    </row>
    <row r="4981" spans="1:10" x14ac:dyDescent="0.35">
      <c r="A4981" s="5">
        <v>4977</v>
      </c>
      <c r="B4981" s="5">
        <v>208</v>
      </c>
      <c r="C4981" s="5">
        <v>7</v>
      </c>
      <c r="D4981" s="379">
        <v>74.667222222222222</v>
      </c>
      <c r="E4981" s="25">
        <v>24.84</v>
      </c>
      <c r="F4981" s="379">
        <v>8.1174834595959613</v>
      </c>
      <c r="G4981" s="25">
        <v>36.6</v>
      </c>
      <c r="H4981" s="379">
        <v>0.56830235530197526</v>
      </c>
      <c r="I4981" s="25">
        <v>33.67</v>
      </c>
      <c r="J4981" s="379">
        <v>1.0957758909976998</v>
      </c>
    </row>
    <row r="4982" spans="1:10" x14ac:dyDescent="0.35">
      <c r="A4982" s="5">
        <v>4978</v>
      </c>
      <c r="B4982" s="5">
        <v>208</v>
      </c>
      <c r="C4982" s="5">
        <v>7</v>
      </c>
      <c r="D4982" s="379">
        <v>74.593888888888884</v>
      </c>
      <c r="E4982" s="25">
        <v>24.84</v>
      </c>
      <c r="F4982" s="379">
        <v>0.47222222222222221</v>
      </c>
      <c r="G4982" s="25">
        <v>32.79</v>
      </c>
      <c r="H4982" s="379">
        <v>0.32749562167190754</v>
      </c>
      <c r="I4982" s="25">
        <v>33.67</v>
      </c>
      <c r="J4982" s="379">
        <v>1.6817536353239952</v>
      </c>
    </row>
    <row r="4983" spans="1:10" x14ac:dyDescent="0.35">
      <c r="A4983" s="5">
        <v>4979</v>
      </c>
      <c r="B4983" s="5">
        <v>208</v>
      </c>
      <c r="C4983" s="5">
        <v>7</v>
      </c>
      <c r="D4983" s="379">
        <v>75.546666666666667</v>
      </c>
      <c r="E4983" s="25">
        <v>24.84</v>
      </c>
      <c r="F4983" s="379">
        <v>3.3522000169186907</v>
      </c>
      <c r="G4983" s="25">
        <v>32.79</v>
      </c>
      <c r="H4983" s="379">
        <v>0.91104755725846909</v>
      </c>
      <c r="I4983" s="25">
        <v>33.67</v>
      </c>
      <c r="J4983" s="379">
        <v>0.2666485090424332</v>
      </c>
    </row>
    <row r="4984" spans="1:10" x14ac:dyDescent="0.35">
      <c r="A4984" s="5">
        <v>4980</v>
      </c>
      <c r="B4984" s="5">
        <v>208</v>
      </c>
      <c r="C4984" s="5">
        <v>7</v>
      </c>
      <c r="D4984" s="379">
        <v>68.653888888888886</v>
      </c>
      <c r="E4984" s="25">
        <v>24</v>
      </c>
      <c r="F4984" s="379">
        <v>0.59793442707526179</v>
      </c>
      <c r="G4984" s="25">
        <v>32.79</v>
      </c>
      <c r="H4984" s="379">
        <v>3.0126042854447151E-2</v>
      </c>
      <c r="I4984" s="25">
        <v>33.67</v>
      </c>
      <c r="J4984" s="379">
        <v>1.9013974740283732</v>
      </c>
    </row>
    <row r="4985" spans="1:10" x14ac:dyDescent="0.35">
      <c r="A4985" s="5">
        <v>4981</v>
      </c>
      <c r="B4985" s="5">
        <v>208</v>
      </c>
      <c r="C4985" s="5">
        <v>7</v>
      </c>
      <c r="D4985" s="379">
        <v>72.51111111111112</v>
      </c>
      <c r="E4985" s="25">
        <v>23.84</v>
      </c>
      <c r="F4985" s="379">
        <v>0.22899088703937531</v>
      </c>
      <c r="G4985" s="25">
        <v>31.42</v>
      </c>
      <c r="H4985" s="379">
        <v>3.1854021159180755E-2</v>
      </c>
      <c r="I4985" s="25">
        <v>33.67</v>
      </c>
      <c r="J4985" s="379">
        <v>1.9013974740283732</v>
      </c>
    </row>
    <row r="4986" spans="1:10" x14ac:dyDescent="0.35">
      <c r="A4986" s="5">
        <v>4982</v>
      </c>
      <c r="B4986" s="5">
        <v>208</v>
      </c>
      <c r="C4986" s="5">
        <v>7</v>
      </c>
      <c r="D4986" s="379">
        <v>70.61722222222221</v>
      </c>
      <c r="E4986" s="25">
        <v>23.84</v>
      </c>
      <c r="F4986" s="379">
        <v>4.9930545642271413</v>
      </c>
      <c r="G4986" s="25">
        <v>31.11</v>
      </c>
      <c r="H4986" s="379">
        <v>2.3852622371862329</v>
      </c>
      <c r="I4986" s="25">
        <v>33.67</v>
      </c>
      <c r="J4986" s="379">
        <v>1.9013974740283732</v>
      </c>
    </row>
    <row r="4987" spans="1:10" x14ac:dyDescent="0.35">
      <c r="A4987" s="5">
        <v>4983</v>
      </c>
      <c r="B4987" s="5">
        <v>208</v>
      </c>
      <c r="C4987" s="5">
        <v>7</v>
      </c>
      <c r="D4987" s="379">
        <v>74.373888888888885</v>
      </c>
      <c r="E4987" s="25">
        <v>23.84</v>
      </c>
      <c r="F4987" s="379">
        <v>5.0356398201534533</v>
      </c>
      <c r="G4987" s="25">
        <v>31.11</v>
      </c>
      <c r="H4987" s="379">
        <v>0.34931785639882584</v>
      </c>
      <c r="I4987" s="25">
        <v>33.340000000000003</v>
      </c>
      <c r="J4987" s="379">
        <v>1.9013974740283732</v>
      </c>
    </row>
    <row r="4988" spans="1:10" x14ac:dyDescent="0.35">
      <c r="A4988" s="5">
        <v>4984</v>
      </c>
      <c r="B4988" s="5">
        <v>208</v>
      </c>
      <c r="C4988" s="5">
        <v>7</v>
      </c>
      <c r="D4988" s="379">
        <v>79.431111111111107</v>
      </c>
      <c r="E4988" s="25">
        <v>23.84</v>
      </c>
      <c r="F4988" s="379">
        <v>5.0356398201534533</v>
      </c>
      <c r="G4988" s="25">
        <v>31.11</v>
      </c>
      <c r="H4988" s="379">
        <v>2.4098852937403716</v>
      </c>
      <c r="I4988" s="25">
        <v>33.340000000000003</v>
      </c>
      <c r="J4988" s="379">
        <v>1.9013974740283732</v>
      </c>
    </row>
    <row r="4989" spans="1:10" x14ac:dyDescent="0.35">
      <c r="A4989" s="5">
        <v>4985</v>
      </c>
      <c r="B4989" s="5">
        <v>208</v>
      </c>
      <c r="C4989" s="5">
        <v>7</v>
      </c>
      <c r="D4989" s="379">
        <v>82.267222222222216</v>
      </c>
      <c r="E4989" s="25">
        <v>23.84</v>
      </c>
      <c r="F4989" s="379">
        <v>2.777777777777778E-2</v>
      </c>
      <c r="G4989" s="25">
        <v>31.11</v>
      </c>
      <c r="H4989" s="379">
        <v>2.4707557302388365</v>
      </c>
      <c r="I4989" s="25">
        <v>33.67</v>
      </c>
      <c r="J4989" s="379">
        <v>1.9013974740283732</v>
      </c>
    </row>
    <row r="4990" spans="1:10" x14ac:dyDescent="0.35">
      <c r="A4990" s="5">
        <v>4986</v>
      </c>
      <c r="B4990" s="5">
        <v>208</v>
      </c>
      <c r="C4990" s="5">
        <v>7</v>
      </c>
      <c r="D4990" s="379">
        <v>85.539444444444442</v>
      </c>
      <c r="E4990" s="25">
        <v>24.12</v>
      </c>
      <c r="F4990" s="379">
        <v>3.5041280132050923</v>
      </c>
      <c r="G4990" s="25">
        <v>31.11</v>
      </c>
      <c r="H4990" s="379">
        <v>3.7436114057847765</v>
      </c>
      <c r="I4990" s="25">
        <v>33.67</v>
      </c>
      <c r="J4990" s="379">
        <v>1.901397474028373</v>
      </c>
    </row>
    <row r="4991" spans="1:10" x14ac:dyDescent="0.35">
      <c r="A4991" s="5">
        <v>4987</v>
      </c>
      <c r="B4991" s="5">
        <v>208</v>
      </c>
      <c r="C4991" s="5">
        <v>7</v>
      </c>
      <c r="D4991" s="379">
        <v>92.384999999999991</v>
      </c>
      <c r="E4991" s="25">
        <v>23.84</v>
      </c>
      <c r="F4991" s="379">
        <v>3.089628314994656</v>
      </c>
      <c r="G4991" s="25">
        <v>31.11</v>
      </c>
      <c r="H4991" s="379">
        <v>0.23757446098400789</v>
      </c>
      <c r="I4991" s="25">
        <v>33.67</v>
      </c>
      <c r="J4991" s="379">
        <v>1.901397474028373</v>
      </c>
    </row>
    <row r="4992" spans="1:10" x14ac:dyDescent="0.35">
      <c r="A4992" s="5">
        <v>4988</v>
      </c>
      <c r="B4992" s="5">
        <v>208</v>
      </c>
      <c r="C4992" s="5">
        <v>7</v>
      </c>
      <c r="D4992" s="379">
        <v>103.0811111111111</v>
      </c>
      <c r="E4992" s="25">
        <v>24.12</v>
      </c>
      <c r="F4992" s="379">
        <v>3.2660632043676392</v>
      </c>
      <c r="G4992" s="25">
        <v>31.11</v>
      </c>
      <c r="H4992" s="379">
        <v>0.79196436176294416</v>
      </c>
      <c r="I4992" s="25">
        <v>33.67</v>
      </c>
      <c r="J4992" s="379">
        <v>0.14480167642852412</v>
      </c>
    </row>
    <row r="4993" spans="1:10" x14ac:dyDescent="0.35">
      <c r="A4993" s="5">
        <v>4989</v>
      </c>
      <c r="B4993" s="5">
        <v>208</v>
      </c>
      <c r="C4993" s="5">
        <v>7</v>
      </c>
      <c r="D4993" s="379">
        <v>99.963888888888889</v>
      </c>
      <c r="E4993" s="25">
        <v>24.12</v>
      </c>
      <c r="F4993" s="379">
        <v>3.2861362895644537</v>
      </c>
      <c r="G4993" s="25">
        <v>31.42</v>
      </c>
      <c r="H4993" s="379">
        <v>0.77841204778932349</v>
      </c>
      <c r="I4993" s="25">
        <v>33.67</v>
      </c>
      <c r="J4993" s="379">
        <v>0.14480167642852412</v>
      </c>
    </row>
    <row r="4994" spans="1:10" x14ac:dyDescent="0.35">
      <c r="A4994" s="5">
        <v>4990</v>
      </c>
      <c r="B4994" s="5">
        <v>208</v>
      </c>
      <c r="C4994" s="5">
        <v>7</v>
      </c>
      <c r="D4994" s="379">
        <v>92.209444444444443</v>
      </c>
      <c r="E4994" s="25">
        <v>24.26</v>
      </c>
      <c r="F4994" s="379">
        <v>3.4679827679921491</v>
      </c>
      <c r="G4994" s="25">
        <v>36.6</v>
      </c>
      <c r="H4994" s="379">
        <v>0.66689029214535889</v>
      </c>
      <c r="I4994" s="25">
        <v>33.67</v>
      </c>
      <c r="J4994" s="379">
        <v>0.14480167642852412</v>
      </c>
    </row>
    <row r="4995" spans="1:10" x14ac:dyDescent="0.35">
      <c r="A4995" s="5">
        <v>4991</v>
      </c>
      <c r="B4995" s="5">
        <v>208</v>
      </c>
      <c r="C4995" s="5">
        <v>7</v>
      </c>
      <c r="D4995" s="379">
        <v>88.409999999999982</v>
      </c>
      <c r="E4995" s="25">
        <v>23.41</v>
      </c>
      <c r="F4995" s="379">
        <v>3.1182462701753311</v>
      </c>
      <c r="G4995" s="25">
        <v>32.79</v>
      </c>
      <c r="H4995" s="379">
        <v>0.97681115611506075</v>
      </c>
      <c r="I4995" s="25">
        <v>33.67</v>
      </c>
      <c r="J4995" s="379">
        <v>0.1448016764285241</v>
      </c>
    </row>
    <row r="4996" spans="1:10" x14ac:dyDescent="0.35">
      <c r="A4996" s="5">
        <v>4992</v>
      </c>
      <c r="B4996" s="5">
        <v>208</v>
      </c>
      <c r="C4996" s="5">
        <v>7</v>
      </c>
      <c r="D4996" s="379">
        <v>95.599444444444444</v>
      </c>
      <c r="E4996" s="25">
        <v>23.41</v>
      </c>
      <c r="F4996" s="379">
        <v>2.5142828639595489</v>
      </c>
      <c r="G4996" s="25">
        <v>31.11</v>
      </c>
      <c r="H4996" s="379">
        <v>0.54024502367598803</v>
      </c>
      <c r="I4996" s="25">
        <v>33.67</v>
      </c>
      <c r="J4996" s="379">
        <v>0.14480167642852412</v>
      </c>
    </row>
    <row r="4997" spans="1:10" x14ac:dyDescent="0.35">
      <c r="A4997" s="5">
        <v>4993</v>
      </c>
      <c r="B4997" s="5">
        <v>209</v>
      </c>
      <c r="C4997" s="5">
        <v>7</v>
      </c>
      <c r="D4997" s="379">
        <v>88.968333333333334</v>
      </c>
      <c r="E4997" s="25">
        <v>22.87</v>
      </c>
      <c r="F4997" s="379">
        <v>2.8578358361301901</v>
      </c>
      <c r="G4997" s="25">
        <v>31.11</v>
      </c>
      <c r="H4997" s="379">
        <v>0.1989256616347605</v>
      </c>
      <c r="I4997" s="25">
        <v>33.67</v>
      </c>
      <c r="J4997" s="379">
        <v>3.4726405387351833</v>
      </c>
    </row>
    <row r="4998" spans="1:10" x14ac:dyDescent="0.35">
      <c r="A4998" s="5">
        <v>4994</v>
      </c>
      <c r="B4998" s="5">
        <v>209</v>
      </c>
      <c r="C4998" s="5">
        <v>7</v>
      </c>
      <c r="D4998" s="379">
        <v>88.33</v>
      </c>
      <c r="E4998" s="25">
        <v>22.87</v>
      </c>
      <c r="F4998" s="379">
        <v>2.3952188845032332</v>
      </c>
      <c r="G4998" s="25">
        <v>31.11</v>
      </c>
      <c r="H4998" s="379">
        <v>0.31624148292838239</v>
      </c>
      <c r="I4998" s="25">
        <v>33.67</v>
      </c>
      <c r="J4998" s="379">
        <v>3.4726405387351833</v>
      </c>
    </row>
    <row r="4999" spans="1:10" x14ac:dyDescent="0.35">
      <c r="A4999" s="5">
        <v>4995</v>
      </c>
      <c r="B4999" s="5">
        <v>209</v>
      </c>
      <c r="C4999" s="5">
        <v>7</v>
      </c>
      <c r="D4999" s="379">
        <v>87.836666666666659</v>
      </c>
      <c r="E4999" s="25">
        <v>22.07</v>
      </c>
      <c r="F4999" s="379">
        <v>2.6317708068498864</v>
      </c>
      <c r="G4999" s="25">
        <v>31.11</v>
      </c>
      <c r="H4999" s="379">
        <v>0.40541019812989554</v>
      </c>
      <c r="I4999" s="25">
        <v>33.67</v>
      </c>
      <c r="J4999" s="379">
        <v>0.4861894896512286</v>
      </c>
    </row>
    <row r="5000" spans="1:10" x14ac:dyDescent="0.35">
      <c r="A5000" s="5">
        <v>4996</v>
      </c>
      <c r="B5000" s="5">
        <v>209</v>
      </c>
      <c r="C5000" s="5">
        <v>7</v>
      </c>
      <c r="D5000" s="379">
        <v>88.576666666666668</v>
      </c>
      <c r="E5000" s="25">
        <v>22.07</v>
      </c>
      <c r="F5000" s="379">
        <v>2.4817836494718493</v>
      </c>
      <c r="G5000" s="25">
        <v>31.11</v>
      </c>
      <c r="H5000" s="379">
        <v>0.54024502367598803</v>
      </c>
      <c r="I5000" s="25">
        <v>33.67</v>
      </c>
      <c r="J5000" s="379">
        <v>0.14480167642852412</v>
      </c>
    </row>
    <row r="5001" spans="1:10" x14ac:dyDescent="0.35">
      <c r="A5001" s="5">
        <v>4997</v>
      </c>
      <c r="B5001" s="5">
        <v>209</v>
      </c>
      <c r="C5001" s="5">
        <v>7</v>
      </c>
      <c r="D5001" s="379">
        <v>88.709444444444443</v>
      </c>
      <c r="E5001" s="25">
        <v>22.87</v>
      </c>
      <c r="F5001" s="379">
        <v>2.6705921951932989</v>
      </c>
      <c r="G5001" s="25">
        <v>31.11</v>
      </c>
      <c r="H5001" s="379">
        <v>0.15300918545179515</v>
      </c>
      <c r="I5001" s="25">
        <v>33.67</v>
      </c>
      <c r="J5001" s="379">
        <v>0.14480167642852412</v>
      </c>
    </row>
    <row r="5002" spans="1:10" x14ac:dyDescent="0.35">
      <c r="A5002" s="5">
        <v>4998</v>
      </c>
      <c r="B5002" s="5">
        <v>209</v>
      </c>
      <c r="C5002" s="5">
        <v>7</v>
      </c>
      <c r="D5002" s="379">
        <v>100.6722222222222</v>
      </c>
      <c r="E5002" s="25">
        <v>23.41</v>
      </c>
      <c r="F5002" s="379">
        <v>1.7838519440871472</v>
      </c>
      <c r="G5002" s="25">
        <v>31.11</v>
      </c>
      <c r="H5002" s="379">
        <v>0.54024502367598803</v>
      </c>
      <c r="I5002" s="25">
        <v>33.67</v>
      </c>
      <c r="J5002" s="379">
        <v>0.14480167642852412</v>
      </c>
    </row>
    <row r="5003" spans="1:10" x14ac:dyDescent="0.35">
      <c r="A5003" s="5">
        <v>4999</v>
      </c>
      <c r="B5003" s="5">
        <v>209</v>
      </c>
      <c r="C5003" s="5">
        <v>7</v>
      </c>
      <c r="D5003" s="379">
        <v>101.77111111111111</v>
      </c>
      <c r="E5003" s="25">
        <v>23.84</v>
      </c>
      <c r="F5003" s="379">
        <v>5.2140994449840878</v>
      </c>
      <c r="G5003" s="25">
        <v>33.880000000000003</v>
      </c>
      <c r="H5003" s="379">
        <v>4.3284426230751896</v>
      </c>
      <c r="I5003" s="25">
        <v>33.67</v>
      </c>
      <c r="J5003" s="379">
        <v>3.3930785717522274</v>
      </c>
    </row>
    <row r="5004" spans="1:10" x14ac:dyDescent="0.35">
      <c r="A5004" s="5">
        <v>5000</v>
      </c>
      <c r="B5004" s="5">
        <v>209</v>
      </c>
      <c r="C5004" s="5">
        <v>7</v>
      </c>
      <c r="D5004" s="379">
        <v>96.874444444444435</v>
      </c>
      <c r="E5004" s="25">
        <v>24.11</v>
      </c>
      <c r="F5004" s="379">
        <v>5.2140994449840878</v>
      </c>
      <c r="G5004" s="25">
        <v>38.6</v>
      </c>
      <c r="H5004" s="379">
        <v>2.777777777777778E-2</v>
      </c>
      <c r="I5004" s="25">
        <v>33.67</v>
      </c>
      <c r="J5004" s="379">
        <v>3.3630472672792835</v>
      </c>
    </row>
    <row r="5005" spans="1:10" x14ac:dyDescent="0.35">
      <c r="A5005" s="5">
        <v>5001</v>
      </c>
      <c r="B5005" s="5">
        <v>209</v>
      </c>
      <c r="C5005" s="5">
        <v>7</v>
      </c>
      <c r="D5005" s="379">
        <v>97.415000000000006</v>
      </c>
      <c r="E5005" s="25">
        <v>24.11</v>
      </c>
      <c r="F5005" s="379">
        <v>5.2140994449840878</v>
      </c>
      <c r="G5005" s="25">
        <v>38.58</v>
      </c>
      <c r="H5005" s="379">
        <v>3.5431434815899459</v>
      </c>
      <c r="I5005" s="25">
        <v>33.67</v>
      </c>
      <c r="J5005" s="379">
        <v>2.9321882269255175</v>
      </c>
    </row>
    <row r="5006" spans="1:10" x14ac:dyDescent="0.35">
      <c r="A5006" s="5">
        <v>5002</v>
      </c>
      <c r="B5006" s="5">
        <v>209</v>
      </c>
      <c r="C5006" s="5">
        <v>7</v>
      </c>
      <c r="D5006" s="379">
        <v>93.726666666666659</v>
      </c>
      <c r="E5006" s="25">
        <v>24.11</v>
      </c>
      <c r="F5006" s="379">
        <v>5.0356398201534533</v>
      </c>
      <c r="G5006" s="25">
        <v>37.46</v>
      </c>
      <c r="H5006" s="379">
        <v>0.32691237993686717</v>
      </c>
      <c r="I5006" s="25">
        <v>33.67</v>
      </c>
      <c r="J5006" s="379">
        <v>2.0024923202719629</v>
      </c>
    </row>
    <row r="5007" spans="1:10" x14ac:dyDescent="0.35">
      <c r="A5007" s="5">
        <v>5003</v>
      </c>
      <c r="B5007" s="5">
        <v>209</v>
      </c>
      <c r="C5007" s="5">
        <v>7</v>
      </c>
      <c r="D5007" s="379">
        <v>87.470555555555549</v>
      </c>
      <c r="E5007" s="25">
        <v>24.11</v>
      </c>
      <c r="F5007" s="379">
        <v>0.70386518827317102</v>
      </c>
      <c r="G5007" s="25">
        <v>34.81</v>
      </c>
      <c r="H5007" s="379">
        <v>0.52428742796318761</v>
      </c>
      <c r="I5007" s="25">
        <v>33.67</v>
      </c>
      <c r="J5007" s="379">
        <v>2.0024923202719629</v>
      </c>
    </row>
    <row r="5008" spans="1:10" x14ac:dyDescent="0.35">
      <c r="A5008" s="5">
        <v>5004</v>
      </c>
      <c r="B5008" s="5">
        <v>209</v>
      </c>
      <c r="C5008" s="5">
        <v>7</v>
      </c>
      <c r="D5008" s="379">
        <v>87.890000000000015</v>
      </c>
      <c r="E5008" s="25">
        <v>24.11</v>
      </c>
      <c r="F5008" s="379">
        <v>4.5939353139396379</v>
      </c>
      <c r="G5008" s="25">
        <v>32.79</v>
      </c>
      <c r="H5008" s="379">
        <v>3.4786566253956201</v>
      </c>
      <c r="I5008" s="25">
        <v>33.67</v>
      </c>
      <c r="J5008" s="379">
        <v>2.0024923202719629</v>
      </c>
    </row>
    <row r="5009" spans="1:10" x14ac:dyDescent="0.35">
      <c r="A5009" s="5">
        <v>5005</v>
      </c>
      <c r="B5009" s="5">
        <v>209</v>
      </c>
      <c r="C5009" s="5">
        <v>7</v>
      </c>
      <c r="D5009" s="379">
        <v>90.873888888888871</v>
      </c>
      <c r="E5009" s="25">
        <v>23.84</v>
      </c>
      <c r="F5009" s="379">
        <v>4.5939353139396379</v>
      </c>
      <c r="G5009" s="25">
        <v>32.79</v>
      </c>
      <c r="H5009" s="379">
        <v>3.4786566253956201</v>
      </c>
      <c r="I5009" s="25">
        <v>33.67</v>
      </c>
      <c r="J5009" s="379">
        <v>2.0024923202719629</v>
      </c>
    </row>
    <row r="5010" spans="1:10" x14ac:dyDescent="0.35">
      <c r="A5010" s="5">
        <v>5006</v>
      </c>
      <c r="B5010" s="5">
        <v>209</v>
      </c>
      <c r="C5010" s="5">
        <v>7</v>
      </c>
      <c r="D5010" s="379">
        <v>89.974444444444444</v>
      </c>
      <c r="E5010" s="25">
        <v>23.84</v>
      </c>
      <c r="F5010" s="379">
        <v>4.5939353139396379</v>
      </c>
      <c r="G5010" s="25">
        <v>32.79</v>
      </c>
      <c r="H5010" s="379">
        <v>3.4786566253956201</v>
      </c>
      <c r="I5010" s="25">
        <v>33.67</v>
      </c>
      <c r="J5010" s="379">
        <v>2.0024923202719629</v>
      </c>
    </row>
    <row r="5011" spans="1:10" x14ac:dyDescent="0.35">
      <c r="A5011" s="5">
        <v>5007</v>
      </c>
      <c r="B5011" s="5">
        <v>209</v>
      </c>
      <c r="C5011" s="5">
        <v>7</v>
      </c>
      <c r="D5011" s="379">
        <v>86.077222222222233</v>
      </c>
      <c r="E5011" s="25">
        <v>23.84</v>
      </c>
      <c r="F5011" s="379">
        <v>4.5939353139396379</v>
      </c>
      <c r="G5011" s="25">
        <v>32.79</v>
      </c>
      <c r="H5011" s="379">
        <v>3.5395270618940851</v>
      </c>
      <c r="I5011" s="25">
        <v>33.67</v>
      </c>
      <c r="J5011" s="379">
        <v>2.0024923202719629</v>
      </c>
    </row>
    <row r="5012" spans="1:10" x14ac:dyDescent="0.35">
      <c r="A5012" s="5">
        <v>5008</v>
      </c>
      <c r="B5012" s="5">
        <v>209</v>
      </c>
      <c r="C5012" s="5">
        <v>7</v>
      </c>
      <c r="D5012" s="379">
        <v>100.03444444444445</v>
      </c>
      <c r="E5012" s="25">
        <v>23.84</v>
      </c>
      <c r="F5012" s="379">
        <v>4.4669863276648476</v>
      </c>
      <c r="G5012" s="25">
        <v>32.79</v>
      </c>
      <c r="H5012" s="379">
        <v>3.5395270618940851</v>
      </c>
      <c r="I5012" s="25">
        <v>33.67</v>
      </c>
      <c r="J5012" s="379">
        <v>2.0024923202719629</v>
      </c>
    </row>
    <row r="5013" spans="1:10" x14ac:dyDescent="0.35">
      <c r="A5013" s="5">
        <v>5009</v>
      </c>
      <c r="B5013" s="5">
        <v>209</v>
      </c>
      <c r="C5013" s="5">
        <v>7</v>
      </c>
      <c r="D5013" s="379">
        <v>110.69777777777779</v>
      </c>
      <c r="E5013" s="25">
        <v>23.84</v>
      </c>
      <c r="F5013" s="379">
        <v>5.0356398201534533</v>
      </c>
      <c r="G5013" s="25">
        <v>33.799999999999997</v>
      </c>
      <c r="H5013" s="379">
        <v>3.9968036014750261</v>
      </c>
      <c r="I5013" s="25">
        <v>33.67</v>
      </c>
      <c r="J5013" s="379">
        <v>1.901397474028373</v>
      </c>
    </row>
    <row r="5014" spans="1:10" x14ac:dyDescent="0.35">
      <c r="A5014" s="5">
        <v>5010</v>
      </c>
      <c r="B5014" s="5">
        <v>209</v>
      </c>
      <c r="C5014" s="5">
        <v>7</v>
      </c>
      <c r="D5014" s="379">
        <v>115.57888888888888</v>
      </c>
      <c r="E5014" s="25">
        <v>24.12</v>
      </c>
      <c r="F5014" s="379">
        <v>5.0356398201534533</v>
      </c>
      <c r="G5014" s="25">
        <v>37.79</v>
      </c>
      <c r="H5014" s="379">
        <v>4.0175726387045581</v>
      </c>
      <c r="I5014" s="25">
        <v>33.67</v>
      </c>
      <c r="J5014" s="379">
        <v>3.3630472672792835</v>
      </c>
    </row>
    <row r="5015" spans="1:10" x14ac:dyDescent="0.35">
      <c r="A5015" s="5">
        <v>5011</v>
      </c>
      <c r="B5015" s="5">
        <v>209</v>
      </c>
      <c r="C5015" s="5">
        <v>7</v>
      </c>
      <c r="D5015" s="379">
        <v>121.61</v>
      </c>
      <c r="E5015" s="25">
        <v>24.26</v>
      </c>
      <c r="F5015" s="379">
        <v>0.66471653688176191</v>
      </c>
      <c r="G5015" s="25">
        <v>38.93</v>
      </c>
      <c r="H5015" s="379">
        <v>2.777777777777778E-2</v>
      </c>
      <c r="I5015" s="25">
        <v>33.67</v>
      </c>
      <c r="J5015" s="379">
        <v>3.2619524210356938</v>
      </c>
    </row>
    <row r="5016" spans="1:10" x14ac:dyDescent="0.35">
      <c r="A5016" s="5">
        <v>5012</v>
      </c>
      <c r="B5016" s="5">
        <v>209</v>
      </c>
      <c r="C5016" s="5">
        <v>7</v>
      </c>
      <c r="D5016" s="379">
        <v>118.57555555555555</v>
      </c>
      <c r="E5016" s="25">
        <v>24.26</v>
      </c>
      <c r="F5016" s="379">
        <v>1.8164079293720532</v>
      </c>
      <c r="G5016" s="25">
        <v>39.770000000000003</v>
      </c>
      <c r="H5016" s="379">
        <v>0.18063872773818873</v>
      </c>
      <c r="I5016" s="25">
        <v>33.74</v>
      </c>
      <c r="J5016" s="379">
        <v>0.14480167642852412</v>
      </c>
    </row>
    <row r="5017" spans="1:10" x14ac:dyDescent="0.35">
      <c r="A5017" s="5">
        <v>5013</v>
      </c>
      <c r="B5017" s="5">
        <v>209</v>
      </c>
      <c r="C5017" s="5">
        <v>7</v>
      </c>
      <c r="D5017" s="379">
        <v>114.39277777777777</v>
      </c>
      <c r="E5017" s="25">
        <v>24.26</v>
      </c>
      <c r="F5017" s="379">
        <v>1.9529183051312917</v>
      </c>
      <c r="G5017" s="25">
        <v>39.770000000000003</v>
      </c>
      <c r="H5017" s="379">
        <v>0.14480167642852412</v>
      </c>
      <c r="I5017" s="25">
        <v>37.340000000000003</v>
      </c>
      <c r="J5017" s="379">
        <v>0.17704823435702974</v>
      </c>
    </row>
    <row r="5018" spans="1:10" x14ac:dyDescent="0.35">
      <c r="A5018" s="5">
        <v>5014</v>
      </c>
      <c r="B5018" s="5">
        <v>209</v>
      </c>
      <c r="C5018" s="5">
        <v>7</v>
      </c>
      <c r="D5018" s="379">
        <v>106.94777777777777</v>
      </c>
      <c r="E5018" s="25">
        <v>24.84</v>
      </c>
      <c r="F5018" s="379">
        <v>1.9010358939155179</v>
      </c>
      <c r="G5018" s="25">
        <v>39.76</v>
      </c>
      <c r="H5018" s="379">
        <v>0.14480167642852412</v>
      </c>
      <c r="I5018" s="25">
        <v>34.25</v>
      </c>
      <c r="J5018" s="379">
        <v>0.18646283754168635</v>
      </c>
    </row>
    <row r="5019" spans="1:10" x14ac:dyDescent="0.35">
      <c r="A5019" s="5">
        <v>5015</v>
      </c>
      <c r="B5019" s="5">
        <v>209</v>
      </c>
      <c r="C5019" s="5">
        <v>7</v>
      </c>
      <c r="D5019" s="379">
        <v>92.869444444444454</v>
      </c>
      <c r="E5019" s="25">
        <v>24.26</v>
      </c>
      <c r="F5019" s="379">
        <v>3.3903371663846955</v>
      </c>
      <c r="G5019" s="25">
        <v>34.9</v>
      </c>
      <c r="H5019" s="379">
        <v>0.14480167642852412</v>
      </c>
      <c r="I5019" s="25">
        <v>33.67</v>
      </c>
      <c r="J5019" s="379">
        <v>0.14770435125501105</v>
      </c>
    </row>
    <row r="5020" spans="1:10" x14ac:dyDescent="0.35">
      <c r="A5020" s="5">
        <v>5016</v>
      </c>
      <c r="B5020" s="5">
        <v>209</v>
      </c>
      <c r="C5020" s="5">
        <v>7</v>
      </c>
      <c r="D5020" s="379">
        <v>85.857222222222219</v>
      </c>
      <c r="E5020" s="25">
        <v>24</v>
      </c>
      <c r="F5020" s="379">
        <v>3.3215008388747584</v>
      </c>
      <c r="G5020" s="25">
        <v>33.090000000000003</v>
      </c>
      <c r="H5020" s="379">
        <v>3.388582079616866</v>
      </c>
      <c r="I5020" s="25">
        <v>33.67</v>
      </c>
      <c r="J5020" s="379">
        <v>0.14480167642852412</v>
      </c>
    </row>
    <row r="5021" spans="1:10" x14ac:dyDescent="0.35">
      <c r="A5021" s="5">
        <v>5017</v>
      </c>
      <c r="B5021" s="5">
        <v>210</v>
      </c>
      <c r="C5021" s="5">
        <v>7</v>
      </c>
      <c r="D5021" s="379">
        <v>84.700555555555567</v>
      </c>
      <c r="E5021" s="25">
        <v>24</v>
      </c>
      <c r="F5021" s="379">
        <v>1.1567733196281926</v>
      </c>
      <c r="G5021" s="25">
        <v>33.090000000000003</v>
      </c>
      <c r="H5021" s="379">
        <v>2.61684819957018</v>
      </c>
      <c r="I5021" s="25">
        <v>33.67</v>
      </c>
      <c r="J5021" s="379">
        <v>0.14480167642852412</v>
      </c>
    </row>
    <row r="5022" spans="1:10" x14ac:dyDescent="0.35">
      <c r="A5022" s="5">
        <v>5018</v>
      </c>
      <c r="B5022" s="5">
        <v>210</v>
      </c>
      <c r="C5022" s="5">
        <v>7</v>
      </c>
      <c r="D5022" s="379">
        <v>83.898888888888905</v>
      </c>
      <c r="E5022" s="25">
        <v>23.84</v>
      </c>
      <c r="F5022" s="379">
        <v>0.29640215595810671</v>
      </c>
      <c r="G5022" s="25">
        <v>32.79</v>
      </c>
      <c r="H5022" s="379">
        <v>2.4343747585611974</v>
      </c>
      <c r="I5022" s="25">
        <v>33.67</v>
      </c>
      <c r="J5022" s="379">
        <v>0.14480167642852412</v>
      </c>
    </row>
    <row r="5023" spans="1:10" x14ac:dyDescent="0.35">
      <c r="A5023" s="5">
        <v>5019</v>
      </c>
      <c r="B5023" s="5">
        <v>210</v>
      </c>
      <c r="C5023" s="5">
        <v>7</v>
      </c>
      <c r="D5023" s="379">
        <v>87.852777777777774</v>
      </c>
      <c r="E5023" s="25">
        <v>23.84</v>
      </c>
      <c r="F5023" s="379">
        <v>2.777777777777778E-2</v>
      </c>
      <c r="G5023" s="25">
        <v>32.79</v>
      </c>
      <c r="H5023" s="379">
        <v>2.4343747585611974</v>
      </c>
      <c r="I5023" s="25">
        <v>33.67</v>
      </c>
      <c r="J5023" s="379">
        <v>0.1448016764285241</v>
      </c>
    </row>
    <row r="5024" spans="1:10" x14ac:dyDescent="0.35">
      <c r="A5024" s="5">
        <v>5020</v>
      </c>
      <c r="B5024" s="5">
        <v>210</v>
      </c>
      <c r="C5024" s="5">
        <v>7</v>
      </c>
      <c r="D5024" s="379">
        <v>85.936666666666667</v>
      </c>
      <c r="E5024" s="25">
        <v>24</v>
      </c>
      <c r="F5024" s="379">
        <v>9.0142437745295068E-2</v>
      </c>
      <c r="G5024" s="25">
        <v>32.79</v>
      </c>
      <c r="H5024" s="379">
        <v>2.4930855452494614</v>
      </c>
      <c r="I5024" s="25">
        <v>33.67</v>
      </c>
      <c r="J5024" s="379">
        <v>0.14480167642852418</v>
      </c>
    </row>
    <row r="5025" spans="1:10" x14ac:dyDescent="0.35">
      <c r="A5025" s="5">
        <v>5021</v>
      </c>
      <c r="B5025" s="5">
        <v>210</v>
      </c>
      <c r="C5025" s="5">
        <v>7</v>
      </c>
      <c r="D5025" s="379">
        <v>93.527777777777771</v>
      </c>
      <c r="E5025" s="25">
        <v>24</v>
      </c>
      <c r="F5025" s="379">
        <v>2.777777777777778E-2</v>
      </c>
      <c r="G5025" s="25">
        <v>33.090000000000003</v>
      </c>
      <c r="H5025" s="379">
        <v>2.4738885987587125</v>
      </c>
      <c r="I5025" s="25">
        <v>33.67</v>
      </c>
      <c r="J5025" s="379">
        <v>1.5004806631824681</v>
      </c>
    </row>
    <row r="5026" spans="1:10" x14ac:dyDescent="0.35">
      <c r="A5026" s="5">
        <v>5022</v>
      </c>
      <c r="B5026" s="5">
        <v>210</v>
      </c>
      <c r="C5026" s="5">
        <v>7</v>
      </c>
      <c r="D5026" s="379">
        <v>107.55555555555557</v>
      </c>
      <c r="E5026" s="25">
        <v>24.84</v>
      </c>
      <c r="F5026" s="379">
        <v>8.3653735219733072E-2</v>
      </c>
      <c r="G5026" s="25">
        <v>33.159999999999997</v>
      </c>
      <c r="H5026" s="379">
        <v>2.0996726931440155</v>
      </c>
      <c r="I5026" s="25">
        <v>34.01</v>
      </c>
      <c r="J5026" s="379">
        <v>0.14480167642852412</v>
      </c>
    </row>
    <row r="5027" spans="1:10" x14ac:dyDescent="0.35">
      <c r="A5027" s="5">
        <v>5023</v>
      </c>
      <c r="B5027" s="5">
        <v>210</v>
      </c>
      <c r="C5027" s="5">
        <v>7</v>
      </c>
      <c r="D5027" s="379">
        <v>115.85888888888888</v>
      </c>
      <c r="E5027" s="25">
        <v>24.84</v>
      </c>
      <c r="F5027" s="379">
        <v>3.1512364416311915</v>
      </c>
      <c r="G5027" s="25">
        <v>39.770000000000003</v>
      </c>
      <c r="H5027" s="379">
        <v>1.875552840195911</v>
      </c>
      <c r="I5027" s="25">
        <v>36.909999999999997</v>
      </c>
      <c r="J5027" s="379">
        <v>1.4170761341955558</v>
      </c>
    </row>
    <row r="5028" spans="1:10" x14ac:dyDescent="0.35">
      <c r="A5028" s="5">
        <v>5024</v>
      </c>
      <c r="B5028" s="5">
        <v>210</v>
      </c>
      <c r="C5028" s="5">
        <v>7</v>
      </c>
      <c r="D5028" s="379">
        <v>117.18499999999999</v>
      </c>
      <c r="E5028" s="25">
        <v>24.84</v>
      </c>
      <c r="F5028" s="379">
        <v>3.1512364416311915</v>
      </c>
      <c r="G5028" s="25">
        <v>39.770000000000003</v>
      </c>
      <c r="H5028" s="379">
        <v>1.875552840195911</v>
      </c>
      <c r="I5028" s="25">
        <v>36.869999999999997</v>
      </c>
      <c r="J5028" s="379">
        <v>1.4170761341955558</v>
      </c>
    </row>
    <row r="5029" spans="1:10" x14ac:dyDescent="0.35">
      <c r="A5029" s="5">
        <v>5025</v>
      </c>
      <c r="B5029" s="5">
        <v>210</v>
      </c>
      <c r="C5029" s="5">
        <v>7</v>
      </c>
      <c r="D5029" s="379">
        <v>113.095</v>
      </c>
      <c r="E5029" s="25">
        <v>24.84</v>
      </c>
      <c r="F5029" s="379">
        <v>3.2727733956087586</v>
      </c>
      <c r="G5029" s="25">
        <v>39.76</v>
      </c>
      <c r="H5029" s="379">
        <v>1.875552840195911</v>
      </c>
      <c r="I5029" s="25">
        <v>33.67</v>
      </c>
      <c r="J5029" s="379">
        <v>1.3605549470073204</v>
      </c>
    </row>
    <row r="5030" spans="1:10" x14ac:dyDescent="0.35">
      <c r="A5030" s="5">
        <v>5026</v>
      </c>
      <c r="B5030" s="5">
        <v>210</v>
      </c>
      <c r="C5030" s="5">
        <v>7</v>
      </c>
      <c r="D5030" s="379">
        <v>105.08722222222221</v>
      </c>
      <c r="E5030" s="25">
        <v>24.84</v>
      </c>
      <c r="F5030" s="379">
        <v>3.2727733956087586</v>
      </c>
      <c r="G5030" s="25">
        <v>39.76</v>
      </c>
      <c r="H5030" s="379">
        <v>1.8457190916956596</v>
      </c>
      <c r="I5030" s="25">
        <v>33.67</v>
      </c>
      <c r="J5030" s="379">
        <v>1.3605549470073204</v>
      </c>
    </row>
    <row r="5031" spans="1:10" x14ac:dyDescent="0.35">
      <c r="A5031" s="5">
        <v>5027</v>
      </c>
      <c r="B5031" s="5">
        <v>210</v>
      </c>
      <c r="C5031" s="5">
        <v>7</v>
      </c>
      <c r="D5031" s="379">
        <v>99.326666666666668</v>
      </c>
      <c r="E5031" s="25">
        <v>24.84</v>
      </c>
      <c r="F5031" s="379">
        <v>3.1512364416311915</v>
      </c>
      <c r="G5031" s="25">
        <v>37.49</v>
      </c>
      <c r="H5031" s="379">
        <v>1.8457190916956596</v>
      </c>
      <c r="I5031" s="25">
        <v>33.67</v>
      </c>
      <c r="J5031" s="379">
        <v>2.777777777777778E-2</v>
      </c>
    </row>
    <row r="5032" spans="1:10" x14ac:dyDescent="0.35">
      <c r="A5032" s="5">
        <v>5028</v>
      </c>
      <c r="B5032" s="5">
        <v>210</v>
      </c>
      <c r="C5032" s="5">
        <v>7</v>
      </c>
      <c r="D5032" s="379">
        <v>86.49</v>
      </c>
      <c r="E5032" s="25">
        <v>24.73</v>
      </c>
      <c r="F5032" s="379">
        <v>3.1512364416311915</v>
      </c>
      <c r="G5032" s="25">
        <v>33.880000000000003</v>
      </c>
      <c r="H5032" s="379">
        <v>1.8457190916956596</v>
      </c>
      <c r="I5032" s="25">
        <v>33.67</v>
      </c>
      <c r="J5032" s="379">
        <v>2.777777777777778E-2</v>
      </c>
    </row>
    <row r="5033" spans="1:10" x14ac:dyDescent="0.35">
      <c r="A5033" s="5">
        <v>5029</v>
      </c>
      <c r="B5033" s="5">
        <v>210</v>
      </c>
      <c r="C5033" s="5">
        <v>7</v>
      </c>
      <c r="D5033" s="379">
        <v>87.816111111111098</v>
      </c>
      <c r="E5033" s="25">
        <v>24.26</v>
      </c>
      <c r="F5033" s="379">
        <v>3.1512364416311915</v>
      </c>
      <c r="G5033" s="25">
        <v>33.799999999999997</v>
      </c>
      <c r="H5033" s="379">
        <v>1.8457190916956596</v>
      </c>
      <c r="I5033" s="25">
        <v>33.67</v>
      </c>
      <c r="J5033" s="379">
        <v>2.777777777777778E-2</v>
      </c>
    </row>
    <row r="5034" spans="1:10" x14ac:dyDescent="0.35">
      <c r="A5034" s="5">
        <v>5030</v>
      </c>
      <c r="B5034" s="5">
        <v>210</v>
      </c>
      <c r="C5034" s="5">
        <v>7</v>
      </c>
      <c r="D5034" s="379">
        <v>86.379999999999981</v>
      </c>
      <c r="E5034" s="25">
        <v>24.26</v>
      </c>
      <c r="F5034" s="379">
        <v>3.1512364416311915</v>
      </c>
      <c r="G5034" s="25">
        <v>33.46</v>
      </c>
      <c r="H5034" s="379">
        <v>1.8457190916956596</v>
      </c>
      <c r="I5034" s="25">
        <v>33.67</v>
      </c>
      <c r="J5034" s="379">
        <v>2.777777777777778E-2</v>
      </c>
    </row>
    <row r="5035" spans="1:10" x14ac:dyDescent="0.35">
      <c r="A5035" s="5">
        <v>5031</v>
      </c>
      <c r="B5035" s="5">
        <v>210</v>
      </c>
      <c r="C5035" s="5">
        <v>7</v>
      </c>
      <c r="D5035" s="379">
        <v>93.141666666666666</v>
      </c>
      <c r="E5035" s="25">
        <v>24.11</v>
      </c>
      <c r="F5035" s="379">
        <v>3.1512364416311915</v>
      </c>
      <c r="G5035" s="25">
        <v>33.46</v>
      </c>
      <c r="H5035" s="379">
        <v>1.8457190916956596</v>
      </c>
      <c r="I5035" s="25">
        <v>33.67</v>
      </c>
      <c r="J5035" s="379">
        <v>2.777777777777778E-2</v>
      </c>
    </row>
    <row r="5036" spans="1:10" x14ac:dyDescent="0.35">
      <c r="A5036" s="5">
        <v>5032</v>
      </c>
      <c r="B5036" s="5">
        <v>210</v>
      </c>
      <c r="C5036" s="5">
        <v>7</v>
      </c>
      <c r="D5036" s="379">
        <v>94.013888888888886</v>
      </c>
      <c r="E5036" s="25">
        <v>24.11</v>
      </c>
      <c r="F5036" s="379">
        <v>3.1512364416311915</v>
      </c>
      <c r="G5036" s="25">
        <v>33.46</v>
      </c>
      <c r="H5036" s="379">
        <v>1.875552840195911</v>
      </c>
      <c r="I5036" s="25">
        <v>33.67</v>
      </c>
      <c r="J5036" s="379">
        <v>2.777777777777778E-2</v>
      </c>
    </row>
    <row r="5037" spans="1:10" x14ac:dyDescent="0.35">
      <c r="A5037" s="5">
        <v>5033</v>
      </c>
      <c r="B5037" s="5">
        <v>210</v>
      </c>
      <c r="C5037" s="5">
        <v>7</v>
      </c>
      <c r="D5037" s="379">
        <v>106.39166666666668</v>
      </c>
      <c r="E5037" s="25">
        <v>24.84</v>
      </c>
      <c r="F5037" s="379">
        <v>3.2727733956087586</v>
      </c>
      <c r="G5037" s="25">
        <v>34.81</v>
      </c>
      <c r="H5037" s="379">
        <v>1.875552840195911</v>
      </c>
      <c r="I5037" s="25">
        <v>33.67</v>
      </c>
      <c r="J5037" s="379">
        <v>2.777777777777778E-2</v>
      </c>
    </row>
    <row r="5038" spans="1:10" x14ac:dyDescent="0.35">
      <c r="A5038" s="5">
        <v>5034</v>
      </c>
      <c r="B5038" s="5">
        <v>210</v>
      </c>
      <c r="C5038" s="5">
        <v>7</v>
      </c>
      <c r="D5038" s="379">
        <v>111.61555555555555</v>
      </c>
      <c r="E5038" s="25">
        <v>24.84</v>
      </c>
      <c r="F5038" s="379">
        <v>3.2727733956087586</v>
      </c>
      <c r="G5038" s="25">
        <v>39.76</v>
      </c>
      <c r="H5038" s="379">
        <v>2.4738885987587125</v>
      </c>
      <c r="I5038" s="25">
        <v>34.29</v>
      </c>
      <c r="J5038" s="379">
        <v>0.13701027336860824</v>
      </c>
    </row>
    <row r="5039" spans="1:10" x14ac:dyDescent="0.35">
      <c r="A5039" s="5">
        <v>5035</v>
      </c>
      <c r="B5039" s="5">
        <v>210</v>
      </c>
      <c r="C5039" s="5">
        <v>7</v>
      </c>
      <c r="D5039" s="379">
        <v>112.10277777777777</v>
      </c>
      <c r="E5039" s="25">
        <v>24.84</v>
      </c>
      <c r="F5039" s="379">
        <v>3.4481525187613222</v>
      </c>
      <c r="G5039" s="25">
        <v>39.770000000000003</v>
      </c>
      <c r="H5039" s="379">
        <v>2.5668752067022482</v>
      </c>
      <c r="I5039" s="25">
        <v>35.799999999999997</v>
      </c>
      <c r="J5039" s="379">
        <v>1.4527016560790804</v>
      </c>
    </row>
    <row r="5040" spans="1:10" x14ac:dyDescent="0.35">
      <c r="A5040" s="5">
        <v>5036</v>
      </c>
      <c r="B5040" s="5">
        <v>210</v>
      </c>
      <c r="C5040" s="5">
        <v>7</v>
      </c>
      <c r="D5040" s="379">
        <v>113.67333333333333</v>
      </c>
      <c r="E5040" s="25">
        <v>24.84</v>
      </c>
      <c r="F5040" s="379">
        <v>2.0247584800008442</v>
      </c>
      <c r="G5040" s="25">
        <v>39.770000000000003</v>
      </c>
      <c r="H5040" s="379">
        <v>3.902538577447193</v>
      </c>
      <c r="I5040" s="25">
        <v>35.869999999999997</v>
      </c>
      <c r="J5040" s="379">
        <v>1.6064568834660409</v>
      </c>
    </row>
    <row r="5041" spans="1:10" x14ac:dyDescent="0.35">
      <c r="A5041" s="5">
        <v>5037</v>
      </c>
      <c r="B5041" s="5">
        <v>210</v>
      </c>
      <c r="C5041" s="5">
        <v>7</v>
      </c>
      <c r="D5041" s="379">
        <v>107.95055555555554</v>
      </c>
      <c r="E5041" s="25">
        <v>24.84</v>
      </c>
      <c r="F5041" s="379">
        <v>0.14480167642852412</v>
      </c>
      <c r="G5041" s="25">
        <v>39.770000000000003</v>
      </c>
      <c r="H5041" s="379">
        <v>4.896645552783597</v>
      </c>
      <c r="I5041" s="25">
        <v>36.869999999999997</v>
      </c>
      <c r="J5041" s="379">
        <v>3.9711239687761961</v>
      </c>
    </row>
    <row r="5042" spans="1:10" x14ac:dyDescent="0.35">
      <c r="A5042" s="5">
        <v>5038</v>
      </c>
      <c r="B5042" s="5">
        <v>210</v>
      </c>
      <c r="C5042" s="5">
        <v>7</v>
      </c>
      <c r="D5042" s="379">
        <v>99.911111111111097</v>
      </c>
      <c r="E5042" s="25">
        <v>24.84</v>
      </c>
      <c r="F5042" s="379">
        <v>0.30042727351247522</v>
      </c>
      <c r="G5042" s="25">
        <v>39.76</v>
      </c>
      <c r="H5042" s="379">
        <v>4.896645552783597</v>
      </c>
      <c r="I5042" s="25">
        <v>40.799999999999997</v>
      </c>
      <c r="J5042" s="379">
        <v>3.9673644812728313</v>
      </c>
    </row>
    <row r="5043" spans="1:10" x14ac:dyDescent="0.35">
      <c r="A5043" s="5">
        <v>5039</v>
      </c>
      <c r="B5043" s="5">
        <v>210</v>
      </c>
      <c r="C5043" s="5">
        <v>7</v>
      </c>
      <c r="D5043" s="379">
        <v>93.166666666666657</v>
      </c>
      <c r="E5043" s="25">
        <v>24.84</v>
      </c>
      <c r="F5043" s="379">
        <v>1.6367985402930731</v>
      </c>
      <c r="G5043" s="25">
        <v>34.81</v>
      </c>
      <c r="H5043" s="379">
        <v>4.896645552783597</v>
      </c>
      <c r="I5043" s="25">
        <v>40.799999999999997</v>
      </c>
      <c r="J5043" s="379">
        <v>3.9673644812728313</v>
      </c>
    </row>
    <row r="5044" spans="1:10" x14ac:dyDescent="0.35">
      <c r="A5044" s="5">
        <v>5040</v>
      </c>
      <c r="B5044" s="5">
        <v>210</v>
      </c>
      <c r="C5044" s="5">
        <v>7</v>
      </c>
      <c r="D5044" s="379">
        <v>95.907777777777781</v>
      </c>
      <c r="E5044" s="25">
        <v>24.84</v>
      </c>
      <c r="F5044" s="379">
        <v>1.2431436156225255</v>
      </c>
      <c r="G5044" s="25">
        <v>33.090000000000003</v>
      </c>
      <c r="H5044" s="379">
        <v>4.896645552783597</v>
      </c>
      <c r="I5044" s="25">
        <v>34.68</v>
      </c>
      <c r="J5044" s="379">
        <v>3.7327779032588913</v>
      </c>
    </row>
    <row r="5045" spans="1:10" x14ac:dyDescent="0.35">
      <c r="A5045" s="5">
        <v>5041</v>
      </c>
      <c r="B5045" s="5">
        <v>211</v>
      </c>
      <c r="C5045" s="5">
        <v>7</v>
      </c>
      <c r="D5045" s="379">
        <v>90.607222222222219</v>
      </c>
      <c r="E5045" s="25">
        <v>24.84</v>
      </c>
      <c r="F5045" s="379">
        <v>1.0302832313175994</v>
      </c>
      <c r="G5045" s="25">
        <v>33.090000000000003</v>
      </c>
      <c r="H5045" s="379">
        <v>4.896645552783597</v>
      </c>
      <c r="I5045" s="25">
        <v>34.68</v>
      </c>
      <c r="J5045" s="379">
        <v>3.9673644812728313</v>
      </c>
    </row>
    <row r="5046" spans="1:10" x14ac:dyDescent="0.35">
      <c r="A5046" s="5">
        <v>5042</v>
      </c>
      <c r="B5046" s="5">
        <v>211</v>
      </c>
      <c r="C5046" s="5">
        <v>7</v>
      </c>
      <c r="D5046" s="379">
        <v>89.286111111111111</v>
      </c>
      <c r="E5046" s="25">
        <v>24.84</v>
      </c>
      <c r="F5046" s="379">
        <v>1.5355261510029976</v>
      </c>
      <c r="G5046" s="25">
        <v>31.49</v>
      </c>
      <c r="H5046" s="379">
        <v>4.896645552783597</v>
      </c>
      <c r="I5046" s="25">
        <v>34.68</v>
      </c>
      <c r="J5046" s="379">
        <v>0.14480167642852412</v>
      </c>
    </row>
    <row r="5047" spans="1:10" x14ac:dyDescent="0.35">
      <c r="A5047" s="5">
        <v>5043</v>
      </c>
      <c r="B5047" s="5">
        <v>211</v>
      </c>
      <c r="C5047" s="5">
        <v>7</v>
      </c>
      <c r="D5047" s="379">
        <v>86.846666666666678</v>
      </c>
      <c r="E5047" s="25">
        <v>24.84</v>
      </c>
      <c r="F5047" s="379">
        <v>1.6518588381824417</v>
      </c>
      <c r="G5047" s="25">
        <v>31.11</v>
      </c>
      <c r="H5047" s="379">
        <v>4.896645552783597</v>
      </c>
      <c r="I5047" s="25">
        <v>34.68</v>
      </c>
      <c r="J5047" s="379">
        <v>4.07733382262382</v>
      </c>
    </row>
    <row r="5048" spans="1:10" x14ac:dyDescent="0.35">
      <c r="A5048" s="5">
        <v>5044</v>
      </c>
      <c r="B5048" s="5">
        <v>211</v>
      </c>
      <c r="C5048" s="5">
        <v>7</v>
      </c>
      <c r="D5048" s="379">
        <v>84.004999999999995</v>
      </c>
      <c r="E5048" s="25">
        <v>24.84</v>
      </c>
      <c r="F5048" s="379">
        <v>1.462055366121213</v>
      </c>
      <c r="G5048" s="25">
        <v>31.49</v>
      </c>
      <c r="H5048" s="379">
        <v>4.896645552783597</v>
      </c>
      <c r="I5048" s="25">
        <v>34.68</v>
      </c>
      <c r="J5048" s="379">
        <v>0.14480167642852412</v>
      </c>
    </row>
    <row r="5049" spans="1:10" x14ac:dyDescent="0.35">
      <c r="A5049" s="5">
        <v>5045</v>
      </c>
      <c r="B5049" s="5">
        <v>211</v>
      </c>
      <c r="C5049" s="5">
        <v>7</v>
      </c>
      <c r="D5049" s="379">
        <v>85.264444444444436</v>
      </c>
      <c r="E5049" s="25">
        <v>24.84</v>
      </c>
      <c r="F5049" s="379">
        <v>1.881367798582664</v>
      </c>
      <c r="G5049" s="25">
        <v>33.090000000000003</v>
      </c>
      <c r="H5049" s="379">
        <v>4.896645552783597</v>
      </c>
      <c r="I5049" s="25">
        <v>34.68</v>
      </c>
      <c r="J5049" s="379">
        <v>4.1491425772984263</v>
      </c>
    </row>
    <row r="5050" spans="1:10" x14ac:dyDescent="0.35">
      <c r="A5050" s="5">
        <v>5046</v>
      </c>
      <c r="B5050" s="5">
        <v>211</v>
      </c>
      <c r="C5050" s="5">
        <v>7</v>
      </c>
      <c r="D5050" s="379">
        <v>90.605000000000004</v>
      </c>
      <c r="E5050" s="25">
        <v>24.84</v>
      </c>
      <c r="F5050" s="379">
        <v>0.93351913491060956</v>
      </c>
      <c r="G5050" s="25">
        <v>33.090000000000003</v>
      </c>
      <c r="H5050" s="379">
        <v>0.14480167642852412</v>
      </c>
      <c r="I5050" s="25">
        <v>35.090000000000003</v>
      </c>
      <c r="J5050" s="379">
        <v>4.1844575927350327</v>
      </c>
    </row>
    <row r="5051" spans="1:10" x14ac:dyDescent="0.35">
      <c r="A5051" s="5">
        <v>5047</v>
      </c>
      <c r="B5051" s="5">
        <v>211</v>
      </c>
      <c r="C5051" s="5">
        <v>7</v>
      </c>
      <c r="D5051" s="379">
        <v>94.783888888888882</v>
      </c>
      <c r="E5051" s="25">
        <v>24.84</v>
      </c>
      <c r="F5051" s="379">
        <v>0.47222222222222221</v>
      </c>
      <c r="G5051" s="25">
        <v>39.770000000000003</v>
      </c>
      <c r="H5051" s="379">
        <v>4.896645552783597</v>
      </c>
      <c r="I5051" s="25">
        <v>44.9</v>
      </c>
      <c r="J5051" s="379">
        <v>4.2253438911376708</v>
      </c>
    </row>
    <row r="5052" spans="1:10" x14ac:dyDescent="0.35">
      <c r="A5052" s="5">
        <v>5048</v>
      </c>
      <c r="B5052" s="5">
        <v>211</v>
      </c>
      <c r="C5052" s="5">
        <v>7</v>
      </c>
      <c r="D5052" s="379">
        <v>93.865555555555559</v>
      </c>
      <c r="E5052" s="25">
        <v>24.84</v>
      </c>
      <c r="F5052" s="379">
        <v>5.3837097714493884</v>
      </c>
      <c r="G5052" s="25">
        <v>40.96</v>
      </c>
      <c r="H5052" s="379">
        <v>4.839322350996035</v>
      </c>
      <c r="I5052" s="25">
        <v>44.9</v>
      </c>
      <c r="J5052" s="379">
        <v>4.1714465576847823</v>
      </c>
    </row>
    <row r="5053" spans="1:10" x14ac:dyDescent="0.35">
      <c r="A5053" s="5">
        <v>5049</v>
      </c>
      <c r="B5053" s="5">
        <v>211</v>
      </c>
      <c r="C5053" s="5">
        <v>7</v>
      </c>
      <c r="D5053" s="379">
        <v>88.204444444444434</v>
      </c>
      <c r="E5053" s="25">
        <v>24.84</v>
      </c>
      <c r="F5053" s="379">
        <v>2.3781617026441113</v>
      </c>
      <c r="G5053" s="25">
        <v>40.96</v>
      </c>
      <c r="H5053" s="379">
        <v>4.6528169298648905</v>
      </c>
      <c r="I5053" s="25">
        <v>42.03</v>
      </c>
      <c r="J5053" s="379">
        <v>3.9424673193591064</v>
      </c>
    </row>
    <row r="5054" spans="1:10" x14ac:dyDescent="0.35">
      <c r="A5054" s="5">
        <v>5050</v>
      </c>
      <c r="B5054" s="5">
        <v>211</v>
      </c>
      <c r="C5054" s="5">
        <v>7</v>
      </c>
      <c r="D5054" s="379">
        <v>76.489999999999995</v>
      </c>
      <c r="E5054" s="25">
        <v>24.84</v>
      </c>
      <c r="F5054" s="379">
        <v>1.180913355058314</v>
      </c>
      <c r="G5054" s="25">
        <v>40.96</v>
      </c>
      <c r="H5054" s="379">
        <v>4.5534192895957988</v>
      </c>
      <c r="I5054" s="25">
        <v>35.799999999999997</v>
      </c>
      <c r="J5054" s="379">
        <v>3.2015085808931638</v>
      </c>
    </row>
    <row r="5055" spans="1:10" x14ac:dyDescent="0.35">
      <c r="A5055" s="5">
        <v>5051</v>
      </c>
      <c r="B5055" s="5">
        <v>211</v>
      </c>
      <c r="C5055" s="5">
        <v>7</v>
      </c>
      <c r="D5055" s="379">
        <v>72.786666666666676</v>
      </c>
      <c r="E5055" s="25">
        <v>24.84</v>
      </c>
      <c r="F5055" s="379">
        <v>1.09952617570403</v>
      </c>
      <c r="G5055" s="25">
        <v>40.96</v>
      </c>
      <c r="H5055" s="379">
        <v>4.328757106539185</v>
      </c>
      <c r="I5055" s="25">
        <v>35.090000000000003</v>
      </c>
      <c r="J5055" s="379">
        <v>2.2606168329021838</v>
      </c>
    </row>
    <row r="5056" spans="1:10" x14ac:dyDescent="0.35">
      <c r="A5056" s="5">
        <v>5052</v>
      </c>
      <c r="B5056" s="5">
        <v>211</v>
      </c>
      <c r="C5056" s="5">
        <v>7</v>
      </c>
      <c r="D5056" s="379">
        <v>67.033333333333331</v>
      </c>
      <c r="E5056" s="25">
        <v>24.84</v>
      </c>
      <c r="F5056" s="379">
        <v>5.1688738485194472</v>
      </c>
      <c r="G5056" s="25">
        <v>39.770000000000003</v>
      </c>
      <c r="H5056" s="379">
        <v>4.328757106539185</v>
      </c>
      <c r="I5056" s="25">
        <v>34.68</v>
      </c>
      <c r="J5056" s="379">
        <v>2.2606168329021838</v>
      </c>
    </row>
    <row r="5057" spans="1:10" x14ac:dyDescent="0.35">
      <c r="A5057" s="5">
        <v>5053</v>
      </c>
      <c r="B5057" s="5">
        <v>211</v>
      </c>
      <c r="C5057" s="5">
        <v>7</v>
      </c>
      <c r="D5057" s="379">
        <v>59.382777777777768</v>
      </c>
      <c r="E5057" s="25">
        <v>24.84</v>
      </c>
      <c r="F5057" s="379">
        <v>1.5633410141594792</v>
      </c>
      <c r="G5057" s="25">
        <v>38.229999999999997</v>
      </c>
      <c r="H5057" s="379">
        <v>4.3248382841936026</v>
      </c>
      <c r="I5057" s="25">
        <v>34.68</v>
      </c>
      <c r="J5057" s="379">
        <v>2.2311766326474101</v>
      </c>
    </row>
    <row r="5058" spans="1:10" x14ac:dyDescent="0.35">
      <c r="A5058" s="5">
        <v>5054</v>
      </c>
      <c r="B5058" s="5">
        <v>211</v>
      </c>
      <c r="C5058" s="5">
        <v>7</v>
      </c>
      <c r="D5058" s="379">
        <v>62.452777777777783</v>
      </c>
      <c r="E5058" s="25">
        <v>24.84</v>
      </c>
      <c r="F5058" s="379">
        <v>1.550456711822948</v>
      </c>
      <c r="G5058" s="25">
        <v>34.82</v>
      </c>
      <c r="H5058" s="379">
        <v>4.3248382841936026</v>
      </c>
      <c r="I5058" s="25">
        <v>34.68</v>
      </c>
      <c r="J5058" s="379">
        <v>2.2196326059994589</v>
      </c>
    </row>
    <row r="5059" spans="1:10" x14ac:dyDescent="0.35">
      <c r="A5059" s="5">
        <v>5055</v>
      </c>
      <c r="B5059" s="5">
        <v>211</v>
      </c>
      <c r="C5059" s="5">
        <v>7</v>
      </c>
      <c r="D5059" s="379">
        <v>71.168888888888873</v>
      </c>
      <c r="E5059" s="25">
        <v>24.84</v>
      </c>
      <c r="F5059" s="379">
        <v>0.84895455568948275</v>
      </c>
      <c r="G5059" s="25">
        <v>34.82</v>
      </c>
      <c r="H5059" s="379">
        <v>4.328757106539185</v>
      </c>
      <c r="I5059" s="25">
        <v>34.68</v>
      </c>
      <c r="J5059" s="379">
        <v>2.2196326059994589</v>
      </c>
    </row>
    <row r="5060" spans="1:10" x14ac:dyDescent="0.35">
      <c r="A5060" s="5">
        <v>5056</v>
      </c>
      <c r="B5060" s="5">
        <v>211</v>
      </c>
      <c r="C5060" s="5">
        <v>7</v>
      </c>
      <c r="D5060" s="379">
        <v>76.691666666666677</v>
      </c>
      <c r="E5060" s="25">
        <v>24.84</v>
      </c>
      <c r="F5060" s="379">
        <v>5.3411245155230764</v>
      </c>
      <c r="G5060" s="25">
        <v>35.85</v>
      </c>
      <c r="H5060" s="379">
        <v>4.3366938559883863</v>
      </c>
      <c r="I5060" s="25">
        <v>34.68</v>
      </c>
      <c r="J5060" s="379">
        <v>2.2196326059994589</v>
      </c>
    </row>
    <row r="5061" spans="1:10" x14ac:dyDescent="0.35">
      <c r="A5061" s="5">
        <v>5057</v>
      </c>
      <c r="B5061" s="5">
        <v>211</v>
      </c>
      <c r="C5061" s="5">
        <v>7</v>
      </c>
      <c r="D5061" s="379">
        <v>90.402777777777786</v>
      </c>
      <c r="E5061" s="25">
        <v>24.84</v>
      </c>
      <c r="F5061" s="379">
        <v>5.3411245155230764</v>
      </c>
      <c r="G5061" s="25">
        <v>39.770000000000003</v>
      </c>
      <c r="H5061" s="379">
        <v>4.3366938559883863</v>
      </c>
      <c r="I5061" s="25">
        <v>35.03</v>
      </c>
      <c r="J5061" s="379">
        <v>2.2606168329021838</v>
      </c>
    </row>
    <row r="5062" spans="1:10" x14ac:dyDescent="0.35">
      <c r="A5062" s="5">
        <v>5058</v>
      </c>
      <c r="B5062" s="5">
        <v>211</v>
      </c>
      <c r="C5062" s="5">
        <v>7</v>
      </c>
      <c r="D5062" s="379">
        <v>99.853333333333339</v>
      </c>
      <c r="E5062" s="25">
        <v>24.84</v>
      </c>
      <c r="F5062" s="379">
        <v>1.3251109451453547</v>
      </c>
      <c r="G5062" s="25">
        <v>40.96</v>
      </c>
      <c r="H5062" s="379">
        <v>4.6528169298648905</v>
      </c>
      <c r="I5062" s="25">
        <v>37.979999999999997</v>
      </c>
      <c r="J5062" s="379">
        <v>2.2606168329021838</v>
      </c>
    </row>
    <row r="5063" spans="1:10" x14ac:dyDescent="0.35">
      <c r="A5063" s="5">
        <v>5059</v>
      </c>
      <c r="B5063" s="5">
        <v>211</v>
      </c>
      <c r="C5063" s="5">
        <v>7</v>
      </c>
      <c r="D5063" s="379">
        <v>104.875</v>
      </c>
      <c r="E5063" s="25">
        <v>24.84</v>
      </c>
      <c r="F5063" s="379">
        <v>8.1174834595959577</v>
      </c>
      <c r="G5063" s="25">
        <v>40.96</v>
      </c>
      <c r="H5063" s="379">
        <v>7.6674349223558043</v>
      </c>
      <c r="I5063" s="25">
        <v>42.2</v>
      </c>
      <c r="J5063" s="379">
        <v>5.4992506445308393</v>
      </c>
    </row>
    <row r="5064" spans="1:10" x14ac:dyDescent="0.35">
      <c r="A5064" s="5">
        <v>5060</v>
      </c>
      <c r="B5064" s="5">
        <v>211</v>
      </c>
      <c r="C5064" s="5">
        <v>7</v>
      </c>
      <c r="D5064" s="379">
        <v>107.00944444444445</v>
      </c>
      <c r="E5064" s="25">
        <v>24.84</v>
      </c>
      <c r="F5064" s="379">
        <v>8.430191288514246</v>
      </c>
      <c r="G5064" s="25">
        <v>40.96</v>
      </c>
      <c r="H5064" s="379">
        <v>7.8043321843694438</v>
      </c>
      <c r="I5064" s="25">
        <v>49.53</v>
      </c>
      <c r="J5064" s="379">
        <v>6.0521438700728174</v>
      </c>
    </row>
    <row r="5065" spans="1:10" x14ac:dyDescent="0.35">
      <c r="A5065" s="5">
        <v>5061</v>
      </c>
      <c r="B5065" s="5">
        <v>211</v>
      </c>
      <c r="C5065" s="5">
        <v>7</v>
      </c>
      <c r="D5065" s="379">
        <v>108.22055555555555</v>
      </c>
      <c r="E5065" s="25">
        <v>24.84</v>
      </c>
      <c r="F5065" s="379">
        <v>8.3679085763032646</v>
      </c>
      <c r="G5065" s="25">
        <v>40.96</v>
      </c>
      <c r="H5065" s="379">
        <v>7.7351833764473508</v>
      </c>
      <c r="I5065" s="25">
        <v>51.64</v>
      </c>
      <c r="J5065" s="379">
        <v>6.0686367578487319</v>
      </c>
    </row>
    <row r="5066" spans="1:10" x14ac:dyDescent="0.35">
      <c r="A5066" s="5">
        <v>5062</v>
      </c>
      <c r="B5066" s="5">
        <v>211</v>
      </c>
      <c r="C5066" s="5">
        <v>7</v>
      </c>
      <c r="D5066" s="379">
        <v>105.4211111111111</v>
      </c>
      <c r="E5066" s="25">
        <v>24.84</v>
      </c>
      <c r="F5066" s="379">
        <v>8.4149290498325247</v>
      </c>
      <c r="G5066" s="25">
        <v>42.17</v>
      </c>
      <c r="H5066" s="379">
        <v>7.8018742923022968</v>
      </c>
      <c r="I5066" s="25">
        <v>51.76</v>
      </c>
      <c r="J5066" s="379">
        <v>6.3354519592508849</v>
      </c>
    </row>
    <row r="5067" spans="1:10" x14ac:dyDescent="0.35">
      <c r="A5067" s="5">
        <v>5063</v>
      </c>
      <c r="B5067" s="5">
        <v>211</v>
      </c>
      <c r="C5067" s="5">
        <v>7</v>
      </c>
      <c r="D5067" s="379">
        <v>100.43166666666666</v>
      </c>
      <c r="E5067" s="25">
        <v>24.84</v>
      </c>
      <c r="F5067" s="379">
        <v>8.4249856188809247</v>
      </c>
      <c r="G5067" s="25">
        <v>40.950000000000003</v>
      </c>
      <c r="H5067" s="379">
        <v>7.8113402810981238</v>
      </c>
      <c r="I5067" s="25">
        <v>48.86</v>
      </c>
      <c r="J5067" s="379">
        <v>5.5725401443729519</v>
      </c>
    </row>
    <row r="5068" spans="1:10" x14ac:dyDescent="0.35">
      <c r="A5068" s="5">
        <v>5064</v>
      </c>
      <c r="B5068" s="5">
        <v>211</v>
      </c>
      <c r="C5068" s="5">
        <v>7</v>
      </c>
      <c r="D5068" s="379">
        <v>90.129444444444445</v>
      </c>
      <c r="E5068" s="25">
        <v>24.84</v>
      </c>
      <c r="F5068" s="379">
        <v>8.4423347720528312</v>
      </c>
      <c r="G5068" s="25">
        <v>34.81</v>
      </c>
      <c r="H5068" s="379">
        <v>7.8567442134080583</v>
      </c>
      <c r="I5068" s="25">
        <v>37.979999999999997</v>
      </c>
      <c r="J5068" s="379">
        <v>6.1759348895984312</v>
      </c>
    </row>
    <row r="5069" spans="1:10" x14ac:dyDescent="0.35">
      <c r="A5069" s="5">
        <v>5065</v>
      </c>
      <c r="B5069" s="5">
        <v>212</v>
      </c>
      <c r="C5069" s="5">
        <v>7</v>
      </c>
      <c r="D5069" s="379">
        <v>81.865000000000009</v>
      </c>
      <c r="E5069" s="25">
        <v>24.84</v>
      </c>
      <c r="F5069" s="379">
        <v>7.9016430228628387</v>
      </c>
      <c r="G5069" s="25">
        <v>31.54</v>
      </c>
      <c r="H5069" s="379">
        <v>7.8455770282750423</v>
      </c>
      <c r="I5069" s="25">
        <v>34.68</v>
      </c>
      <c r="J5069" s="379">
        <v>6.0844056315331079</v>
      </c>
    </row>
    <row r="5070" spans="1:10" x14ac:dyDescent="0.35">
      <c r="A5070" s="5">
        <v>5066</v>
      </c>
      <c r="B5070" s="5">
        <v>212</v>
      </c>
      <c r="C5070" s="5">
        <v>7</v>
      </c>
      <c r="D5070" s="379">
        <v>74.681111111111107</v>
      </c>
      <c r="E5070" s="25">
        <v>24.84</v>
      </c>
      <c r="F5070" s="379">
        <v>8.320540522163304</v>
      </c>
      <c r="G5070" s="25">
        <v>31.12</v>
      </c>
      <c r="H5070" s="379">
        <v>7.8529331453249398</v>
      </c>
      <c r="I5070" s="25">
        <v>34.25</v>
      </c>
      <c r="J5070" s="379">
        <v>5.9208833864203756</v>
      </c>
    </row>
    <row r="5071" spans="1:10" x14ac:dyDescent="0.35">
      <c r="A5071" s="5">
        <v>5067</v>
      </c>
      <c r="B5071" s="5">
        <v>212</v>
      </c>
      <c r="C5071" s="5">
        <v>7</v>
      </c>
      <c r="D5071" s="379">
        <v>73.166111111111121</v>
      </c>
      <c r="E5071" s="25">
        <v>24.84</v>
      </c>
      <c r="F5071" s="379">
        <v>8.3205801664463301</v>
      </c>
      <c r="G5071" s="25">
        <v>31.12</v>
      </c>
      <c r="H5071" s="379">
        <v>7.7709905497067204</v>
      </c>
      <c r="I5071" s="25">
        <v>34.25</v>
      </c>
      <c r="J5071" s="379">
        <v>5.8450555908587551</v>
      </c>
    </row>
    <row r="5072" spans="1:10" x14ac:dyDescent="0.35">
      <c r="A5072" s="5">
        <v>5068</v>
      </c>
      <c r="B5072" s="5">
        <v>212</v>
      </c>
      <c r="C5072" s="5">
        <v>7</v>
      </c>
      <c r="D5072" s="379">
        <v>68.899444444444441</v>
      </c>
      <c r="E5072" s="25">
        <v>24.84</v>
      </c>
      <c r="F5072" s="379">
        <v>8.2734862723330398</v>
      </c>
      <c r="G5072" s="25">
        <v>31.12</v>
      </c>
      <c r="H5072" s="379">
        <v>7.7155408914213632</v>
      </c>
      <c r="I5072" s="25">
        <v>34.25</v>
      </c>
      <c r="J5072" s="379">
        <v>6.0643159220194907</v>
      </c>
    </row>
    <row r="5073" spans="1:10" x14ac:dyDescent="0.35">
      <c r="A5073" s="5">
        <v>5069</v>
      </c>
      <c r="B5073" s="5">
        <v>212</v>
      </c>
      <c r="C5073" s="5">
        <v>7</v>
      </c>
      <c r="D5073" s="379">
        <v>67.327777777777783</v>
      </c>
      <c r="E5073" s="25">
        <v>24.84</v>
      </c>
      <c r="F5073" s="379">
        <v>8.2383703895303348</v>
      </c>
      <c r="G5073" s="25">
        <v>31.42</v>
      </c>
      <c r="H5073" s="379">
        <v>7.7685065972221121</v>
      </c>
      <c r="I5073" s="25">
        <v>34.25</v>
      </c>
      <c r="J5073" s="379">
        <v>6.4037752832185326</v>
      </c>
    </row>
    <row r="5074" spans="1:10" x14ac:dyDescent="0.35">
      <c r="A5074" s="5">
        <v>5070</v>
      </c>
      <c r="B5074" s="5">
        <v>212</v>
      </c>
      <c r="C5074" s="5">
        <v>7</v>
      </c>
      <c r="D5074" s="379">
        <v>65.800000000000011</v>
      </c>
      <c r="E5074" s="25">
        <v>24.84</v>
      </c>
      <c r="F5074" s="379">
        <v>8.144864763919216</v>
      </c>
      <c r="G5074" s="25">
        <v>31.84</v>
      </c>
      <c r="H5074" s="379">
        <v>7.6403270311854579</v>
      </c>
      <c r="I5074" s="25">
        <v>34.29</v>
      </c>
      <c r="J5074" s="379">
        <v>4.886818405607527</v>
      </c>
    </row>
    <row r="5075" spans="1:10" x14ac:dyDescent="0.35">
      <c r="A5075" s="5">
        <v>5071</v>
      </c>
      <c r="B5075" s="5">
        <v>212</v>
      </c>
      <c r="C5075" s="5">
        <v>7</v>
      </c>
      <c r="D5075" s="379">
        <v>66.017777777777766</v>
      </c>
      <c r="E5075" s="25">
        <v>24.84</v>
      </c>
      <c r="F5075" s="379">
        <v>8.3805036892757823</v>
      </c>
      <c r="G5075" s="25">
        <v>31.84</v>
      </c>
      <c r="H5075" s="379">
        <v>7.5237796390257845</v>
      </c>
      <c r="I5075" s="25">
        <v>34.68</v>
      </c>
      <c r="J5075" s="379">
        <v>3.6632764520202015</v>
      </c>
    </row>
    <row r="5076" spans="1:10" x14ac:dyDescent="0.35">
      <c r="A5076" s="5">
        <v>5072</v>
      </c>
      <c r="B5076" s="5">
        <v>212</v>
      </c>
      <c r="C5076" s="5">
        <v>7</v>
      </c>
      <c r="D5076" s="379">
        <v>71.62555555555555</v>
      </c>
      <c r="E5076" s="25">
        <v>24.84</v>
      </c>
      <c r="F5076" s="379">
        <v>8.1174834595959595</v>
      </c>
      <c r="G5076" s="25">
        <v>31.84</v>
      </c>
      <c r="H5076" s="379">
        <v>7.0677962506694634</v>
      </c>
      <c r="I5076" s="25">
        <v>34.25</v>
      </c>
      <c r="J5076" s="379">
        <v>0.93111632331396244</v>
      </c>
    </row>
    <row r="5077" spans="1:10" x14ac:dyDescent="0.35">
      <c r="A5077" s="5">
        <v>5073</v>
      </c>
      <c r="B5077" s="5">
        <v>212</v>
      </c>
      <c r="C5077" s="5">
        <v>7</v>
      </c>
      <c r="D5077" s="379">
        <v>68.554999999999993</v>
      </c>
      <c r="E5077" s="25">
        <v>24.84</v>
      </c>
      <c r="F5077" s="379">
        <v>8.1174834595959595</v>
      </c>
      <c r="G5077" s="25">
        <v>31.84</v>
      </c>
      <c r="H5077" s="379">
        <v>6.6757229610303099</v>
      </c>
      <c r="I5077" s="25">
        <v>34.01</v>
      </c>
      <c r="J5077" s="379">
        <v>2.5479219867937188</v>
      </c>
    </row>
    <row r="5078" spans="1:10" x14ac:dyDescent="0.35">
      <c r="A5078" s="5">
        <v>5074</v>
      </c>
      <c r="B5078" s="5">
        <v>212</v>
      </c>
      <c r="C5078" s="5">
        <v>7</v>
      </c>
      <c r="D5078" s="379">
        <v>64.13388888888889</v>
      </c>
      <c r="E5078" s="25">
        <v>24.84</v>
      </c>
      <c r="F5078" s="379">
        <v>0.47222222222222221</v>
      </c>
      <c r="G5078" s="25">
        <v>31.42</v>
      </c>
      <c r="H5078" s="379">
        <v>6.7041599505263783</v>
      </c>
      <c r="I5078" s="25">
        <v>33.67</v>
      </c>
      <c r="J5078" s="379">
        <v>0.63394140924201448</v>
      </c>
    </row>
    <row r="5079" spans="1:10" x14ac:dyDescent="0.35">
      <c r="A5079" s="5">
        <v>5075</v>
      </c>
      <c r="B5079" s="5">
        <v>212</v>
      </c>
      <c r="C5079" s="5">
        <v>7</v>
      </c>
      <c r="D5079" s="379">
        <v>63.463333333333331</v>
      </c>
      <c r="E5079" s="25">
        <v>24.84</v>
      </c>
      <c r="F5079" s="379">
        <v>5.0754688575764222</v>
      </c>
      <c r="G5079" s="25">
        <v>31.11</v>
      </c>
      <c r="H5079" s="379">
        <v>5.7050963028108459</v>
      </c>
      <c r="I5079" s="25">
        <v>33.67</v>
      </c>
      <c r="J5079" s="379">
        <v>1.3521453772317615</v>
      </c>
    </row>
    <row r="5080" spans="1:10" x14ac:dyDescent="0.35">
      <c r="A5080" s="5">
        <v>5076</v>
      </c>
      <c r="B5080" s="5">
        <v>212</v>
      </c>
      <c r="C5080" s="5">
        <v>7</v>
      </c>
      <c r="D5080" s="379">
        <v>63.97999999999999</v>
      </c>
      <c r="E5080" s="25">
        <v>24.84</v>
      </c>
      <c r="F5080" s="379">
        <v>5.1490960645752182</v>
      </c>
      <c r="G5080" s="25">
        <v>31.11</v>
      </c>
      <c r="H5080" s="379">
        <v>6.0229394091343735</v>
      </c>
      <c r="I5080" s="25">
        <v>33.67</v>
      </c>
      <c r="J5080" s="379">
        <v>2.684777752831502</v>
      </c>
    </row>
    <row r="5081" spans="1:10" x14ac:dyDescent="0.35">
      <c r="A5081" s="5">
        <v>5077</v>
      </c>
      <c r="B5081" s="5">
        <v>212</v>
      </c>
      <c r="C5081" s="5">
        <v>7</v>
      </c>
      <c r="D5081" s="379">
        <v>55.418888888888887</v>
      </c>
      <c r="E5081" s="25">
        <v>23.21</v>
      </c>
      <c r="F5081" s="379">
        <v>5.0222894371686007</v>
      </c>
      <c r="G5081" s="25">
        <v>31.11</v>
      </c>
      <c r="H5081" s="379">
        <v>5.4127338946324777</v>
      </c>
      <c r="I5081" s="25">
        <v>33.67</v>
      </c>
      <c r="J5081" s="379">
        <v>1.9699690690477352</v>
      </c>
    </row>
    <row r="5082" spans="1:10" x14ac:dyDescent="0.35">
      <c r="A5082" s="5">
        <v>5078</v>
      </c>
      <c r="B5082" s="5">
        <v>212</v>
      </c>
      <c r="C5082" s="5">
        <v>7</v>
      </c>
      <c r="D5082" s="379">
        <v>53.862222222222222</v>
      </c>
      <c r="E5082" s="25">
        <v>23.21</v>
      </c>
      <c r="F5082" s="379">
        <v>0.11231714933372318</v>
      </c>
      <c r="G5082" s="25">
        <v>31.11</v>
      </c>
      <c r="H5082" s="379">
        <v>5.0682227023949329</v>
      </c>
      <c r="I5082" s="25">
        <v>33.67</v>
      </c>
      <c r="J5082" s="379">
        <v>1.8818204562842318</v>
      </c>
    </row>
    <row r="5083" spans="1:10" x14ac:dyDescent="0.35">
      <c r="A5083" s="5">
        <v>5079</v>
      </c>
      <c r="B5083" s="5">
        <v>212</v>
      </c>
      <c r="C5083" s="5">
        <v>7</v>
      </c>
      <c r="D5083" s="379">
        <v>57.245000000000005</v>
      </c>
      <c r="E5083" s="25">
        <v>23.21</v>
      </c>
      <c r="F5083" s="379">
        <v>5.0643065312006845</v>
      </c>
      <c r="G5083" s="25">
        <v>31.11</v>
      </c>
      <c r="H5083" s="379">
        <v>5.2161835045413767</v>
      </c>
      <c r="I5083" s="25">
        <v>33.67</v>
      </c>
      <c r="J5083" s="379">
        <v>2.3879325518254131</v>
      </c>
    </row>
    <row r="5084" spans="1:10" x14ac:dyDescent="0.35">
      <c r="A5084" s="5">
        <v>5080</v>
      </c>
      <c r="B5084" s="5">
        <v>212</v>
      </c>
      <c r="C5084" s="5">
        <v>7</v>
      </c>
      <c r="D5084" s="379">
        <v>64.88944444444445</v>
      </c>
      <c r="E5084" s="25">
        <v>24.56</v>
      </c>
      <c r="F5084" s="379">
        <v>3.4082656108759903</v>
      </c>
      <c r="G5084" s="25">
        <v>31.11</v>
      </c>
      <c r="H5084" s="379">
        <v>5.1095141812246121</v>
      </c>
      <c r="I5084" s="25">
        <v>33.67</v>
      </c>
      <c r="J5084" s="379">
        <v>1.9830268312053498</v>
      </c>
    </row>
    <row r="5085" spans="1:10" x14ac:dyDescent="0.35">
      <c r="A5085" s="5">
        <v>5081</v>
      </c>
      <c r="B5085" s="5">
        <v>212</v>
      </c>
      <c r="C5085" s="5">
        <v>7</v>
      </c>
      <c r="D5085" s="379">
        <v>78.119444444444454</v>
      </c>
      <c r="E5085" s="25">
        <v>24.84</v>
      </c>
      <c r="F5085" s="379">
        <v>8.1174834595959577</v>
      </c>
      <c r="G5085" s="25">
        <v>31.86</v>
      </c>
      <c r="H5085" s="379">
        <v>5.3191913310431529</v>
      </c>
      <c r="I5085" s="25">
        <v>33.67</v>
      </c>
      <c r="J5085" s="379">
        <v>4.3840271968722559</v>
      </c>
    </row>
    <row r="5086" spans="1:10" x14ac:dyDescent="0.35">
      <c r="A5086" s="5">
        <v>5082</v>
      </c>
      <c r="B5086" s="5">
        <v>212</v>
      </c>
      <c r="C5086" s="5">
        <v>7</v>
      </c>
      <c r="D5086" s="379">
        <v>93.59</v>
      </c>
      <c r="E5086" s="25">
        <v>24.84</v>
      </c>
      <c r="F5086" s="379">
        <v>8.5112631316014369</v>
      </c>
      <c r="G5086" s="25">
        <v>35.94</v>
      </c>
      <c r="H5086" s="379">
        <v>9.1156955624057101</v>
      </c>
      <c r="I5086" s="25">
        <v>41.44</v>
      </c>
      <c r="J5086" s="379">
        <v>6.568513438408111</v>
      </c>
    </row>
    <row r="5087" spans="1:10" x14ac:dyDescent="0.35">
      <c r="A5087" s="5">
        <v>5083</v>
      </c>
      <c r="B5087" s="5">
        <v>212</v>
      </c>
      <c r="C5087" s="5">
        <v>7</v>
      </c>
      <c r="D5087" s="379">
        <v>102.96388888888887</v>
      </c>
      <c r="E5087" s="25">
        <v>24.84</v>
      </c>
      <c r="F5087" s="379">
        <v>17.125277178382557</v>
      </c>
      <c r="G5087" s="25">
        <v>36.6</v>
      </c>
      <c r="H5087" s="379">
        <v>10.005381711151887</v>
      </c>
      <c r="I5087" s="25">
        <v>45.88</v>
      </c>
      <c r="J5087" s="379">
        <v>7.1198983530642224</v>
      </c>
    </row>
    <row r="5088" spans="1:10" x14ac:dyDescent="0.35">
      <c r="A5088" s="5">
        <v>5084</v>
      </c>
      <c r="B5088" s="5">
        <v>212</v>
      </c>
      <c r="C5088" s="5">
        <v>7</v>
      </c>
      <c r="D5088" s="379">
        <v>103.58277777777778</v>
      </c>
      <c r="E5088" s="25">
        <v>24.84</v>
      </c>
      <c r="F5088" s="379">
        <v>16.721389763053285</v>
      </c>
      <c r="G5088" s="25">
        <v>36.6</v>
      </c>
      <c r="H5088" s="379">
        <v>10.527941416176555</v>
      </c>
      <c r="I5088" s="25">
        <v>46.24</v>
      </c>
      <c r="J5088" s="379">
        <v>7.3125938805156414</v>
      </c>
    </row>
    <row r="5089" spans="1:10" x14ac:dyDescent="0.35">
      <c r="A5089" s="5">
        <v>5085</v>
      </c>
      <c r="B5089" s="5">
        <v>212</v>
      </c>
      <c r="C5089" s="5">
        <v>7</v>
      </c>
      <c r="D5089" s="379">
        <v>105.20166666666667</v>
      </c>
      <c r="E5089" s="25">
        <v>24.84</v>
      </c>
      <c r="F5089" s="379">
        <v>15.967535079403278</v>
      </c>
      <c r="G5089" s="25">
        <v>36.6</v>
      </c>
      <c r="H5089" s="379">
        <v>10.262824457959953</v>
      </c>
      <c r="I5089" s="25">
        <v>48.09</v>
      </c>
      <c r="J5089" s="379">
        <v>7.0871178724964095</v>
      </c>
    </row>
    <row r="5090" spans="1:10" x14ac:dyDescent="0.35">
      <c r="A5090" s="5">
        <v>5086</v>
      </c>
      <c r="B5090" s="5">
        <v>212</v>
      </c>
      <c r="C5090" s="5">
        <v>7</v>
      </c>
      <c r="D5090" s="379">
        <v>102.13222222222221</v>
      </c>
      <c r="E5090" s="25">
        <v>24.84</v>
      </c>
      <c r="F5090" s="379">
        <v>16.91746771545964</v>
      </c>
      <c r="G5090" s="25">
        <v>37.479999999999997</v>
      </c>
      <c r="H5090" s="379">
        <v>10.242117951474036</v>
      </c>
      <c r="I5090" s="25">
        <v>47.63</v>
      </c>
      <c r="J5090" s="379">
        <v>7.1240569297637588</v>
      </c>
    </row>
    <row r="5091" spans="1:10" x14ac:dyDescent="0.35">
      <c r="A5091" s="5">
        <v>5087</v>
      </c>
      <c r="B5091" s="5">
        <v>212</v>
      </c>
      <c r="C5091" s="5">
        <v>7</v>
      </c>
      <c r="D5091" s="379">
        <v>90.471111111111114</v>
      </c>
      <c r="E5091" s="25">
        <v>24.84</v>
      </c>
      <c r="F5091" s="379">
        <v>11.78546722870848</v>
      </c>
      <c r="G5091" s="25">
        <v>34.9</v>
      </c>
      <c r="H5091" s="379">
        <v>8.9369754999203526</v>
      </c>
      <c r="I5091" s="25">
        <v>45.88</v>
      </c>
      <c r="J5091" s="379">
        <v>7.315936792272252</v>
      </c>
    </row>
    <row r="5092" spans="1:10" x14ac:dyDescent="0.35">
      <c r="A5092" s="5">
        <v>5088</v>
      </c>
      <c r="B5092" s="5">
        <v>212</v>
      </c>
      <c r="C5092" s="5">
        <v>7</v>
      </c>
      <c r="D5092" s="379">
        <v>85.211666666666687</v>
      </c>
      <c r="E5092" s="25">
        <v>24.84</v>
      </c>
      <c r="F5092" s="379">
        <v>10.244087347334723</v>
      </c>
      <c r="G5092" s="25">
        <v>32.81</v>
      </c>
      <c r="H5092" s="379">
        <v>8.2896088126926628</v>
      </c>
      <c r="I5092" s="25">
        <v>43.96</v>
      </c>
      <c r="J5092" s="379">
        <v>6.0461198735494213</v>
      </c>
    </row>
    <row r="5093" spans="1:10" x14ac:dyDescent="0.35">
      <c r="A5093" s="5">
        <v>5089</v>
      </c>
      <c r="B5093" s="5">
        <v>213</v>
      </c>
      <c r="C5093" s="5">
        <v>8</v>
      </c>
      <c r="D5093" s="379">
        <v>77.834444444444443</v>
      </c>
      <c r="E5093" s="25">
        <v>24.84</v>
      </c>
      <c r="F5093" s="379">
        <v>9.1428066679049671</v>
      </c>
      <c r="G5093" s="25">
        <v>31.11</v>
      </c>
      <c r="H5093" s="379">
        <v>9.2201834816344483</v>
      </c>
      <c r="I5093" s="25">
        <v>39</v>
      </c>
      <c r="J5093" s="379">
        <v>5.4711088343237906</v>
      </c>
    </row>
    <row r="5094" spans="1:10" x14ac:dyDescent="0.35">
      <c r="A5094" s="5">
        <v>5090</v>
      </c>
      <c r="B5094" s="5">
        <v>213</v>
      </c>
      <c r="C5094" s="5">
        <v>8</v>
      </c>
      <c r="D5094" s="379">
        <v>76.880555555555546</v>
      </c>
      <c r="E5094" s="25">
        <v>24.84</v>
      </c>
      <c r="F5094" s="379">
        <v>9.1831422852431164</v>
      </c>
      <c r="G5094" s="25">
        <v>31.11</v>
      </c>
      <c r="H5094" s="379">
        <v>9.0023707561176067</v>
      </c>
      <c r="I5094" s="25">
        <v>37.57</v>
      </c>
      <c r="J5094" s="379">
        <v>5.8842442323303219</v>
      </c>
    </row>
    <row r="5095" spans="1:10" x14ac:dyDescent="0.35">
      <c r="A5095" s="5">
        <v>5091</v>
      </c>
      <c r="B5095" s="5">
        <v>213</v>
      </c>
      <c r="C5095" s="5">
        <v>8</v>
      </c>
      <c r="D5095" s="379">
        <v>73.871111111111119</v>
      </c>
      <c r="E5095" s="25">
        <v>24.84</v>
      </c>
      <c r="F5095" s="379">
        <v>9.1428066679049671</v>
      </c>
      <c r="G5095" s="25">
        <v>31.11</v>
      </c>
      <c r="H5095" s="379">
        <v>9.2658493901883592</v>
      </c>
      <c r="I5095" s="25">
        <v>35.72</v>
      </c>
      <c r="J5095" s="379">
        <v>5.4190230700337514</v>
      </c>
    </row>
    <row r="5096" spans="1:10" x14ac:dyDescent="0.35">
      <c r="A5096" s="5">
        <v>5092</v>
      </c>
      <c r="B5096" s="5">
        <v>213</v>
      </c>
      <c r="C5096" s="5">
        <v>8</v>
      </c>
      <c r="D5096" s="379">
        <v>75.907222222222217</v>
      </c>
      <c r="E5096" s="25">
        <v>24.84</v>
      </c>
      <c r="F5096" s="379">
        <v>9.155247699065642</v>
      </c>
      <c r="G5096" s="25">
        <v>31.11</v>
      </c>
      <c r="H5096" s="379">
        <v>7.7518620184962739</v>
      </c>
      <c r="I5096" s="25">
        <v>35.72</v>
      </c>
      <c r="J5096" s="379">
        <v>6.0201651046997418</v>
      </c>
    </row>
    <row r="5097" spans="1:10" x14ac:dyDescent="0.35">
      <c r="A5097" s="5">
        <v>5093</v>
      </c>
      <c r="B5097" s="5">
        <v>213</v>
      </c>
      <c r="C5097" s="5">
        <v>8</v>
      </c>
      <c r="D5097" s="379">
        <v>83.827222222222233</v>
      </c>
      <c r="E5097" s="25">
        <v>24.84</v>
      </c>
      <c r="F5097" s="379">
        <v>10.171384556864624</v>
      </c>
      <c r="G5097" s="25">
        <v>31.11</v>
      </c>
      <c r="H5097" s="379">
        <v>7.2485600858935664</v>
      </c>
      <c r="I5097" s="25">
        <v>35.770000000000003</v>
      </c>
      <c r="J5097" s="379">
        <v>6.697565368219828</v>
      </c>
    </row>
    <row r="5098" spans="1:10" x14ac:dyDescent="0.35">
      <c r="A5098" s="5">
        <v>5094</v>
      </c>
      <c r="B5098" s="5">
        <v>213</v>
      </c>
      <c r="C5098" s="5">
        <v>8</v>
      </c>
      <c r="D5098" s="379">
        <v>95.015555555555551</v>
      </c>
      <c r="E5098" s="25">
        <v>24.84</v>
      </c>
      <c r="F5098" s="379">
        <v>10.038206919795565</v>
      </c>
      <c r="G5098" s="25">
        <v>31.11</v>
      </c>
      <c r="H5098" s="379">
        <v>7.2324655733141991</v>
      </c>
      <c r="I5098" s="25">
        <v>35.72</v>
      </c>
      <c r="J5098" s="379">
        <v>6.3374809307336939</v>
      </c>
    </row>
    <row r="5099" spans="1:10" x14ac:dyDescent="0.35">
      <c r="A5099" s="5">
        <v>5095</v>
      </c>
      <c r="B5099" s="5">
        <v>213</v>
      </c>
      <c r="C5099" s="5">
        <v>8</v>
      </c>
      <c r="D5099" s="379">
        <v>102.03722222222223</v>
      </c>
      <c r="E5099" s="25">
        <v>24.84</v>
      </c>
      <c r="F5099" s="379">
        <v>9.4497648910123839</v>
      </c>
      <c r="G5099" s="25">
        <v>31.42</v>
      </c>
      <c r="H5099" s="379">
        <v>7.2132663464741889</v>
      </c>
      <c r="I5099" s="25">
        <v>35.72</v>
      </c>
      <c r="J5099" s="379">
        <v>3.6876140987463519</v>
      </c>
    </row>
    <row r="5100" spans="1:10" x14ac:dyDescent="0.35">
      <c r="A5100" s="5">
        <v>5096</v>
      </c>
      <c r="B5100" s="5">
        <v>213</v>
      </c>
      <c r="C5100" s="5">
        <v>8</v>
      </c>
      <c r="D5100" s="379">
        <v>105.64888888888888</v>
      </c>
      <c r="E5100" s="25">
        <v>24.84</v>
      </c>
      <c r="F5100" s="379">
        <v>8.1308482602130532</v>
      </c>
      <c r="G5100" s="25">
        <v>31.86</v>
      </c>
      <c r="H5100" s="379">
        <v>6.9528917251309972</v>
      </c>
      <c r="I5100" s="25">
        <v>35.770000000000003</v>
      </c>
      <c r="J5100" s="379">
        <v>0.27777777777777779</v>
      </c>
    </row>
    <row r="5101" spans="1:10" x14ac:dyDescent="0.35">
      <c r="A5101" s="5">
        <v>5097</v>
      </c>
      <c r="B5101" s="5">
        <v>213</v>
      </c>
      <c r="C5101" s="5">
        <v>8</v>
      </c>
      <c r="D5101" s="379">
        <v>101.97999999999999</v>
      </c>
      <c r="E5101" s="25">
        <v>24.84</v>
      </c>
      <c r="F5101" s="379">
        <v>8.1174834595959595</v>
      </c>
      <c r="G5101" s="25">
        <v>31.86</v>
      </c>
      <c r="H5101" s="379">
        <v>7.6898134029993885</v>
      </c>
      <c r="I5101" s="25">
        <v>35.03</v>
      </c>
      <c r="J5101" s="379">
        <v>0.27777777777777779</v>
      </c>
    </row>
    <row r="5102" spans="1:10" x14ac:dyDescent="0.35">
      <c r="A5102" s="5">
        <v>5098</v>
      </c>
      <c r="B5102" s="5">
        <v>213</v>
      </c>
      <c r="C5102" s="5">
        <v>8</v>
      </c>
      <c r="D5102" s="379">
        <v>94.793333333333322</v>
      </c>
      <c r="E5102" s="25">
        <v>24.84</v>
      </c>
      <c r="F5102" s="379">
        <v>5.5427428871304736</v>
      </c>
      <c r="G5102" s="25">
        <v>31.54</v>
      </c>
      <c r="H5102" s="379">
        <v>4.5534192895957988</v>
      </c>
      <c r="I5102" s="25">
        <v>34.68</v>
      </c>
      <c r="J5102" s="379">
        <v>3.4459921327784429</v>
      </c>
    </row>
    <row r="5103" spans="1:10" x14ac:dyDescent="0.35">
      <c r="A5103" s="5">
        <v>5099</v>
      </c>
      <c r="B5103" s="5">
        <v>213</v>
      </c>
      <c r="C5103" s="5">
        <v>8</v>
      </c>
      <c r="D5103" s="379">
        <v>86.921111111111102</v>
      </c>
      <c r="E5103" s="25">
        <v>24.84</v>
      </c>
      <c r="F5103" s="379">
        <v>5.3837097714493884</v>
      </c>
      <c r="G5103" s="25">
        <v>31.11</v>
      </c>
      <c r="H5103" s="379">
        <v>4.1517778316292393</v>
      </c>
      <c r="I5103" s="25">
        <v>34.68</v>
      </c>
      <c r="J5103" s="379">
        <v>2.6190125599281848</v>
      </c>
    </row>
    <row r="5104" spans="1:10" x14ac:dyDescent="0.35">
      <c r="A5104" s="5">
        <v>5100</v>
      </c>
      <c r="B5104" s="5">
        <v>213</v>
      </c>
      <c r="C5104" s="5">
        <v>8</v>
      </c>
      <c r="D5104" s="379">
        <v>83.658333333333317</v>
      </c>
      <c r="E5104" s="25">
        <v>24.84</v>
      </c>
      <c r="F5104" s="379">
        <v>5.2232594715711551</v>
      </c>
      <c r="G5104" s="25">
        <v>31.11</v>
      </c>
      <c r="H5104" s="379">
        <v>4.1517778316292393</v>
      </c>
      <c r="I5104" s="25">
        <v>34.68</v>
      </c>
      <c r="J5104" s="379">
        <v>1.3439353818982986</v>
      </c>
    </row>
    <row r="5105" spans="1:10" x14ac:dyDescent="0.35">
      <c r="A5105" s="5">
        <v>5101</v>
      </c>
      <c r="B5105" s="5">
        <v>213</v>
      </c>
      <c r="C5105" s="5">
        <v>8</v>
      </c>
      <c r="D5105" s="379">
        <v>77.50055555555555</v>
      </c>
      <c r="E5105" s="25">
        <v>23.59</v>
      </c>
      <c r="F5105" s="379">
        <v>5.2227771448440237</v>
      </c>
      <c r="G5105" s="25">
        <v>31.11</v>
      </c>
      <c r="H5105" s="379">
        <v>4.1478590092836569</v>
      </c>
      <c r="I5105" s="25">
        <v>34.68</v>
      </c>
      <c r="J5105" s="379">
        <v>1.3439353818982986</v>
      </c>
    </row>
    <row r="5106" spans="1:10" x14ac:dyDescent="0.35">
      <c r="A5106" s="5">
        <v>5102</v>
      </c>
      <c r="B5106" s="5">
        <v>213</v>
      </c>
      <c r="C5106" s="5">
        <v>8</v>
      </c>
      <c r="D5106" s="379">
        <v>66.597222222222214</v>
      </c>
      <c r="E5106" s="25">
        <v>23.41</v>
      </c>
      <c r="F5106" s="379">
        <v>5.1801918889177117</v>
      </c>
      <c r="G5106" s="25">
        <v>31.11</v>
      </c>
      <c r="H5106" s="379">
        <v>7.3348672405140407</v>
      </c>
      <c r="I5106" s="25">
        <v>34.68</v>
      </c>
      <c r="J5106" s="379">
        <v>0.18353661098812402</v>
      </c>
    </row>
    <row r="5107" spans="1:10" x14ac:dyDescent="0.35">
      <c r="A5107" s="5">
        <v>5103</v>
      </c>
      <c r="B5107" s="5">
        <v>213</v>
      </c>
      <c r="C5107" s="5">
        <v>8</v>
      </c>
      <c r="D5107" s="379">
        <v>65.919444444444437</v>
      </c>
      <c r="E5107" s="25">
        <v>23.41</v>
      </c>
      <c r="F5107" s="379">
        <v>5.2232594715711551</v>
      </c>
      <c r="G5107" s="25">
        <v>31.11</v>
      </c>
      <c r="H5107" s="379">
        <v>1.5395327891808952</v>
      </c>
      <c r="I5107" s="25">
        <v>34.68</v>
      </c>
      <c r="J5107" s="379">
        <v>0.58234804630173809</v>
      </c>
    </row>
    <row r="5108" spans="1:10" x14ac:dyDescent="0.35">
      <c r="A5108" s="5">
        <v>5104</v>
      </c>
      <c r="B5108" s="5">
        <v>213</v>
      </c>
      <c r="C5108" s="5">
        <v>8</v>
      </c>
      <c r="D5108" s="379">
        <v>70.087222222222223</v>
      </c>
      <c r="E5108" s="25">
        <v>23.76</v>
      </c>
      <c r="F5108" s="379">
        <v>0.47222222222222221</v>
      </c>
      <c r="G5108" s="25">
        <v>31.11</v>
      </c>
      <c r="H5108" s="379">
        <v>2.6479400745513901</v>
      </c>
      <c r="I5108" s="25">
        <v>34.68</v>
      </c>
      <c r="J5108" s="379">
        <v>2.0938422867784965</v>
      </c>
    </row>
    <row r="5109" spans="1:10" x14ac:dyDescent="0.35">
      <c r="A5109" s="5">
        <v>5105</v>
      </c>
      <c r="B5109" s="5">
        <v>213</v>
      </c>
      <c r="C5109" s="5">
        <v>8</v>
      </c>
      <c r="D5109" s="379">
        <v>86.473888888888879</v>
      </c>
      <c r="E5109" s="25">
        <v>24.84</v>
      </c>
      <c r="F5109" s="379">
        <v>8.1174834595959577</v>
      </c>
      <c r="G5109" s="25">
        <v>31.11</v>
      </c>
      <c r="H5109" s="379">
        <v>7.4694391438409093</v>
      </c>
      <c r="I5109" s="25">
        <v>34.68</v>
      </c>
      <c r="J5109" s="379">
        <v>5.3727811642802381</v>
      </c>
    </row>
    <row r="5110" spans="1:10" x14ac:dyDescent="0.35">
      <c r="A5110" s="5">
        <v>5106</v>
      </c>
      <c r="B5110" s="5">
        <v>213</v>
      </c>
      <c r="C5110" s="5">
        <v>8</v>
      </c>
      <c r="D5110" s="379">
        <v>100.51611111111112</v>
      </c>
      <c r="E5110" s="25">
        <v>24.84</v>
      </c>
      <c r="F5110" s="379">
        <v>13.869494895116011</v>
      </c>
      <c r="G5110" s="25">
        <v>31.84</v>
      </c>
      <c r="H5110" s="379">
        <v>9.1805105129993922</v>
      </c>
      <c r="I5110" s="25">
        <v>34.729999999999997</v>
      </c>
      <c r="J5110" s="379">
        <v>7.2102390098835922</v>
      </c>
    </row>
    <row r="5111" spans="1:10" x14ac:dyDescent="0.35">
      <c r="A5111" s="5">
        <v>5107</v>
      </c>
      <c r="B5111" s="5">
        <v>213</v>
      </c>
      <c r="C5111" s="5">
        <v>8</v>
      </c>
      <c r="D5111" s="379">
        <v>102.75222222222223</v>
      </c>
      <c r="E5111" s="25">
        <v>24.84</v>
      </c>
      <c r="F5111" s="379">
        <v>16.148739461121</v>
      </c>
      <c r="G5111" s="25">
        <v>42.29</v>
      </c>
      <c r="H5111" s="379">
        <v>10.649117846662378</v>
      </c>
      <c r="I5111" s="25">
        <v>51.02</v>
      </c>
      <c r="J5111" s="379">
        <v>7.3795889979395088</v>
      </c>
    </row>
    <row r="5112" spans="1:10" x14ac:dyDescent="0.35">
      <c r="A5112" s="5">
        <v>5108</v>
      </c>
      <c r="B5112" s="5">
        <v>213</v>
      </c>
      <c r="C5112" s="5">
        <v>8</v>
      </c>
      <c r="D5112" s="379">
        <v>104.79777777777778</v>
      </c>
      <c r="E5112" s="25">
        <v>24.84</v>
      </c>
      <c r="F5112" s="379">
        <v>16.281953842796355</v>
      </c>
      <c r="G5112" s="25">
        <v>42.29</v>
      </c>
      <c r="H5112" s="379">
        <v>10.749628300355946</v>
      </c>
      <c r="I5112" s="25">
        <v>53.27</v>
      </c>
      <c r="J5112" s="379">
        <v>7.1924222286724042</v>
      </c>
    </row>
    <row r="5113" spans="1:10" x14ac:dyDescent="0.35">
      <c r="A5113" s="5">
        <v>5109</v>
      </c>
      <c r="B5113" s="5">
        <v>213</v>
      </c>
      <c r="C5113" s="5">
        <v>8</v>
      </c>
      <c r="D5113" s="379">
        <v>100.01444444444445</v>
      </c>
      <c r="E5113" s="25">
        <v>24.84</v>
      </c>
      <c r="F5113" s="379">
        <v>16.915335549545318</v>
      </c>
      <c r="G5113" s="25">
        <v>43.56</v>
      </c>
      <c r="H5113" s="379">
        <v>11.242218904550761</v>
      </c>
      <c r="I5113" s="25">
        <v>54.87</v>
      </c>
      <c r="J5113" s="379">
        <v>7.1073743559689175</v>
      </c>
    </row>
    <row r="5114" spans="1:10" x14ac:dyDescent="0.35">
      <c r="A5114" s="5">
        <v>5110</v>
      </c>
      <c r="B5114" s="5">
        <v>213</v>
      </c>
      <c r="C5114" s="5">
        <v>8</v>
      </c>
      <c r="D5114" s="379">
        <v>95.725000000000009</v>
      </c>
      <c r="E5114" s="25">
        <v>24.84</v>
      </c>
      <c r="F5114" s="379">
        <v>18.365828026141141</v>
      </c>
      <c r="G5114" s="25">
        <v>43.56</v>
      </c>
      <c r="H5114" s="379">
        <v>11.021680941643449</v>
      </c>
      <c r="I5114" s="25">
        <v>54.87</v>
      </c>
      <c r="J5114" s="379">
        <v>7.1881030929355081</v>
      </c>
    </row>
    <row r="5115" spans="1:10" x14ac:dyDescent="0.35">
      <c r="A5115" s="5">
        <v>5111</v>
      </c>
      <c r="B5115" s="5">
        <v>213</v>
      </c>
      <c r="C5115" s="5">
        <v>8</v>
      </c>
      <c r="D5115" s="379">
        <v>92.704999999999998</v>
      </c>
      <c r="E5115" s="25">
        <v>24.84</v>
      </c>
      <c r="F5115" s="379">
        <v>18.121864140208501</v>
      </c>
      <c r="G5115" s="25">
        <v>38.61</v>
      </c>
      <c r="H5115" s="379">
        <v>10.933964496147924</v>
      </c>
      <c r="I5115" s="25">
        <v>54.87</v>
      </c>
      <c r="J5115" s="379">
        <v>7.0903093646428168</v>
      </c>
    </row>
    <row r="5116" spans="1:10" x14ac:dyDescent="0.35">
      <c r="A5116" s="5">
        <v>5112</v>
      </c>
      <c r="B5116" s="5">
        <v>213</v>
      </c>
      <c r="C5116" s="5">
        <v>8</v>
      </c>
      <c r="D5116" s="379">
        <v>93.513333333333335</v>
      </c>
      <c r="E5116" s="25">
        <v>24.84</v>
      </c>
      <c r="F5116" s="379">
        <v>17.326288212870924</v>
      </c>
      <c r="G5116" s="25">
        <v>38.61</v>
      </c>
      <c r="H5116" s="379">
        <v>11.170818235126051</v>
      </c>
      <c r="I5116" s="25">
        <v>48.09</v>
      </c>
      <c r="J5116" s="379">
        <v>7.1877888853150456</v>
      </c>
    </row>
    <row r="5117" spans="1:10" x14ac:dyDescent="0.35">
      <c r="A5117" s="5">
        <v>5113</v>
      </c>
      <c r="B5117" s="5">
        <v>214</v>
      </c>
      <c r="C5117" s="5">
        <v>8</v>
      </c>
      <c r="D5117" s="379">
        <v>85.616666666666674</v>
      </c>
      <c r="E5117" s="25">
        <v>24.84</v>
      </c>
      <c r="F5117" s="379">
        <v>16.959386770711774</v>
      </c>
      <c r="G5117" s="25">
        <v>39.770000000000003</v>
      </c>
      <c r="H5117" s="379">
        <v>10.743978143859646</v>
      </c>
      <c r="I5117" s="25">
        <v>49.53</v>
      </c>
      <c r="J5117" s="379">
        <v>7.1987449538158215</v>
      </c>
    </row>
    <row r="5118" spans="1:10" x14ac:dyDescent="0.35">
      <c r="A5118" s="5">
        <v>5114</v>
      </c>
      <c r="B5118" s="5">
        <v>214</v>
      </c>
      <c r="C5118" s="5">
        <v>8</v>
      </c>
      <c r="D5118" s="379">
        <v>83.73833333333333</v>
      </c>
      <c r="E5118" s="25">
        <v>24.84</v>
      </c>
      <c r="F5118" s="379">
        <v>16.905542531884397</v>
      </c>
      <c r="G5118" s="25">
        <v>39.770000000000003</v>
      </c>
      <c r="H5118" s="379">
        <v>10.557457948684176</v>
      </c>
      <c r="I5118" s="25">
        <v>47.31</v>
      </c>
      <c r="J5118" s="379">
        <v>7.3636158985918287</v>
      </c>
    </row>
    <row r="5119" spans="1:10" x14ac:dyDescent="0.35">
      <c r="A5119" s="5">
        <v>5115</v>
      </c>
      <c r="B5119" s="5">
        <v>214</v>
      </c>
      <c r="C5119" s="5">
        <v>8</v>
      </c>
      <c r="D5119" s="379">
        <v>79.14500000000001</v>
      </c>
      <c r="E5119" s="25">
        <v>24.84</v>
      </c>
      <c r="F5119" s="379">
        <v>16.941623719108147</v>
      </c>
      <c r="G5119" s="25">
        <v>39.770000000000003</v>
      </c>
      <c r="H5119" s="379">
        <v>10.255311684038888</v>
      </c>
      <c r="I5119" s="25">
        <v>47.31</v>
      </c>
      <c r="J5119" s="379">
        <v>7.3134003122321545</v>
      </c>
    </row>
    <row r="5120" spans="1:10" x14ac:dyDescent="0.35">
      <c r="A5120" s="5">
        <v>5116</v>
      </c>
      <c r="B5120" s="5">
        <v>214</v>
      </c>
      <c r="C5120" s="5">
        <v>8</v>
      </c>
      <c r="D5120" s="379">
        <v>78.004444444444431</v>
      </c>
      <c r="E5120" s="25">
        <v>24.84</v>
      </c>
      <c r="F5120" s="379">
        <v>16.417229764066246</v>
      </c>
      <c r="G5120" s="25">
        <v>39.770000000000003</v>
      </c>
      <c r="H5120" s="379">
        <v>10.591550700679248</v>
      </c>
      <c r="I5120" s="25">
        <v>48.86</v>
      </c>
      <c r="J5120" s="379">
        <v>7.2249762147355758</v>
      </c>
    </row>
    <row r="5121" spans="1:10" x14ac:dyDescent="0.35">
      <c r="A5121" s="5">
        <v>5117</v>
      </c>
      <c r="B5121" s="5">
        <v>214</v>
      </c>
      <c r="C5121" s="5">
        <v>8</v>
      </c>
      <c r="D5121" s="379">
        <v>86.331666666666663</v>
      </c>
      <c r="E5121" s="25">
        <v>24.84</v>
      </c>
      <c r="F5121" s="379">
        <v>16.633738029051102</v>
      </c>
      <c r="G5121" s="25">
        <v>42.29</v>
      </c>
      <c r="H5121" s="379">
        <v>9.4141099481422295</v>
      </c>
      <c r="I5121" s="25">
        <v>49.53</v>
      </c>
      <c r="J5121" s="379">
        <v>7.2028103516401423</v>
      </c>
    </row>
    <row r="5122" spans="1:10" x14ac:dyDescent="0.35">
      <c r="A5122" s="5">
        <v>5118</v>
      </c>
      <c r="B5122" s="5">
        <v>214</v>
      </c>
      <c r="C5122" s="5">
        <v>8</v>
      </c>
      <c r="D5122" s="379">
        <v>95.326666666666682</v>
      </c>
      <c r="E5122" s="25">
        <v>24.84</v>
      </c>
      <c r="F5122" s="379">
        <v>15.351491545483082</v>
      </c>
      <c r="G5122" s="25">
        <v>43.56</v>
      </c>
      <c r="H5122" s="379">
        <v>10.177730794771062</v>
      </c>
      <c r="I5122" s="25">
        <v>53.27</v>
      </c>
      <c r="J5122" s="379">
        <v>7.1787433418409883</v>
      </c>
    </row>
    <row r="5123" spans="1:10" x14ac:dyDescent="0.35">
      <c r="A5123" s="5">
        <v>5119</v>
      </c>
      <c r="B5123" s="5">
        <v>214</v>
      </c>
      <c r="C5123" s="5">
        <v>8</v>
      </c>
      <c r="D5123" s="379">
        <v>99.802222222222213</v>
      </c>
      <c r="E5123" s="25">
        <v>24.99</v>
      </c>
      <c r="F5123" s="379">
        <v>14.053405304729933</v>
      </c>
      <c r="G5123" s="25">
        <v>43.56</v>
      </c>
      <c r="H5123" s="379">
        <v>9.6166613472396296</v>
      </c>
      <c r="I5123" s="25">
        <v>54.87</v>
      </c>
      <c r="J5123" s="379">
        <v>7.0258204186561226</v>
      </c>
    </row>
    <row r="5124" spans="1:10" x14ac:dyDescent="0.35">
      <c r="A5124" s="5">
        <v>5120</v>
      </c>
      <c r="B5124" s="5">
        <v>214</v>
      </c>
      <c r="C5124" s="5">
        <v>8</v>
      </c>
      <c r="D5124" s="379">
        <v>102.86944444444444</v>
      </c>
      <c r="E5124" s="25">
        <v>24.99</v>
      </c>
      <c r="F5124" s="379">
        <v>10.915514459664173</v>
      </c>
      <c r="G5124" s="25">
        <v>43.56</v>
      </c>
      <c r="H5124" s="379">
        <v>9.6166613472396296</v>
      </c>
      <c r="I5124" s="25">
        <v>54.92</v>
      </c>
      <c r="J5124" s="379">
        <v>5.9633806044792763</v>
      </c>
    </row>
    <row r="5125" spans="1:10" x14ac:dyDescent="0.35">
      <c r="A5125" s="5">
        <v>5121</v>
      </c>
      <c r="B5125" s="5">
        <v>214</v>
      </c>
      <c r="C5125" s="5">
        <v>8</v>
      </c>
      <c r="D5125" s="379">
        <v>86.471666666666664</v>
      </c>
      <c r="E5125" s="25">
        <v>24.99</v>
      </c>
      <c r="F5125" s="379">
        <v>8.2630866899400797</v>
      </c>
      <c r="G5125" s="25">
        <v>43.56</v>
      </c>
      <c r="H5125" s="379">
        <v>9.5640789293956114</v>
      </c>
      <c r="I5125" s="25">
        <v>53.27</v>
      </c>
      <c r="J5125" s="379">
        <v>4.053366729797979</v>
      </c>
    </row>
    <row r="5126" spans="1:10" x14ac:dyDescent="0.35">
      <c r="A5126" s="5">
        <v>5122</v>
      </c>
      <c r="B5126" s="5">
        <v>214</v>
      </c>
      <c r="C5126" s="5">
        <v>8</v>
      </c>
      <c r="D5126" s="379">
        <v>75.700555555555567</v>
      </c>
      <c r="E5126" s="25">
        <v>24.84</v>
      </c>
      <c r="F5126" s="379">
        <v>7.6427313737860993</v>
      </c>
      <c r="G5126" s="25">
        <v>43.56</v>
      </c>
      <c r="H5126" s="379">
        <v>7.803956395449033</v>
      </c>
      <c r="I5126" s="25">
        <v>51.02</v>
      </c>
      <c r="J5126" s="379">
        <v>3.6632764520202015</v>
      </c>
    </row>
    <row r="5127" spans="1:10" x14ac:dyDescent="0.35">
      <c r="A5127" s="5">
        <v>5123</v>
      </c>
      <c r="B5127" s="5">
        <v>214</v>
      </c>
      <c r="C5127" s="5">
        <v>8</v>
      </c>
      <c r="D5127" s="379">
        <v>66.209444444444443</v>
      </c>
      <c r="E5127" s="25">
        <v>24.84</v>
      </c>
      <c r="F5127" s="379">
        <v>5.2110189433060174</v>
      </c>
      <c r="G5127" s="25">
        <v>42.17</v>
      </c>
      <c r="H5127" s="379">
        <v>6.0694115858693545</v>
      </c>
      <c r="I5127" s="25">
        <v>47.31</v>
      </c>
      <c r="J5127" s="379">
        <v>1.1584500375327413</v>
      </c>
    </row>
    <row r="5128" spans="1:10" x14ac:dyDescent="0.35">
      <c r="A5128" s="5">
        <v>5124</v>
      </c>
      <c r="B5128" s="5">
        <v>214</v>
      </c>
      <c r="C5128" s="5">
        <v>8</v>
      </c>
      <c r="D5128" s="379">
        <v>48.791111111111107</v>
      </c>
      <c r="E5128" s="25">
        <v>24.84</v>
      </c>
      <c r="F5128" s="379">
        <v>5.2110189433060174</v>
      </c>
      <c r="G5128" s="25">
        <v>42.17</v>
      </c>
      <c r="H5128" s="379">
        <v>7.9304688031410366</v>
      </c>
      <c r="I5128" s="25">
        <v>46.84</v>
      </c>
      <c r="J5128" s="379">
        <v>0.90160988334169501</v>
      </c>
    </row>
    <row r="5129" spans="1:10" x14ac:dyDescent="0.35">
      <c r="A5129" s="5">
        <v>5125</v>
      </c>
      <c r="B5129" s="5">
        <v>214</v>
      </c>
      <c r="C5129" s="5">
        <v>8</v>
      </c>
      <c r="D5129" s="379">
        <v>48.833888888888886</v>
      </c>
      <c r="E5129" s="25">
        <v>24.84</v>
      </c>
      <c r="F5129" s="379">
        <v>5.2110189433060166</v>
      </c>
      <c r="G5129" s="25">
        <v>39.770000000000003</v>
      </c>
      <c r="H5129" s="379">
        <v>8.0205138502406204</v>
      </c>
      <c r="I5129" s="25">
        <v>46.84</v>
      </c>
      <c r="J5129" s="379">
        <v>1.1486483002054189</v>
      </c>
    </row>
    <row r="5130" spans="1:10" x14ac:dyDescent="0.35">
      <c r="A5130" s="5">
        <v>5126</v>
      </c>
      <c r="B5130" s="5">
        <v>214</v>
      </c>
      <c r="C5130" s="5">
        <v>8</v>
      </c>
      <c r="D5130" s="379">
        <v>38.814444444444455</v>
      </c>
      <c r="E5130" s="25">
        <v>24.84</v>
      </c>
      <c r="F5130" s="379">
        <v>5.2110189433060174</v>
      </c>
      <c r="G5130" s="25">
        <v>39.770000000000003</v>
      </c>
      <c r="H5130" s="379">
        <v>5.8491691584033862</v>
      </c>
      <c r="I5130" s="25">
        <v>46.64</v>
      </c>
      <c r="J5130" s="379">
        <v>2.2869468931367627</v>
      </c>
    </row>
    <row r="5131" spans="1:10" x14ac:dyDescent="0.35">
      <c r="A5131" s="5">
        <v>5127</v>
      </c>
      <c r="B5131" s="5">
        <v>214</v>
      </c>
      <c r="C5131" s="5">
        <v>8</v>
      </c>
      <c r="D5131" s="379">
        <v>40.38388888888889</v>
      </c>
      <c r="E5131" s="25">
        <v>24.84</v>
      </c>
      <c r="F5131" s="379">
        <v>5.2110189433060174</v>
      </c>
      <c r="G5131" s="25">
        <v>39.770000000000003</v>
      </c>
      <c r="H5131" s="379">
        <v>4.7700699395486925</v>
      </c>
      <c r="I5131" s="25">
        <v>46.64</v>
      </c>
      <c r="J5131" s="379">
        <v>3.7876302420344707</v>
      </c>
    </row>
    <row r="5132" spans="1:10" x14ac:dyDescent="0.35">
      <c r="A5132" s="5">
        <v>5128</v>
      </c>
      <c r="B5132" s="5">
        <v>214</v>
      </c>
      <c r="C5132" s="5">
        <v>8</v>
      </c>
      <c r="D5132" s="379">
        <v>55.573333333333331</v>
      </c>
      <c r="E5132" s="25">
        <v>24.84</v>
      </c>
      <c r="F5132" s="379">
        <v>0.47222222222222215</v>
      </c>
      <c r="G5132" s="25">
        <v>39.770000000000003</v>
      </c>
      <c r="H5132" s="379">
        <v>6.0143894691662094</v>
      </c>
      <c r="I5132" s="25">
        <v>46.84</v>
      </c>
      <c r="J5132" s="379">
        <v>2.5747661446908947</v>
      </c>
    </row>
    <row r="5133" spans="1:10" x14ac:dyDescent="0.35">
      <c r="A5133" s="5">
        <v>5129</v>
      </c>
      <c r="B5133" s="5">
        <v>214</v>
      </c>
      <c r="C5133" s="5">
        <v>8</v>
      </c>
      <c r="D5133" s="379">
        <v>60.247777777777777</v>
      </c>
      <c r="E5133" s="25">
        <v>24.84</v>
      </c>
      <c r="F5133" s="379">
        <v>8.1174834595959595</v>
      </c>
      <c r="G5133" s="25">
        <v>40.17</v>
      </c>
      <c r="H5133" s="379">
        <v>7.9402976208253433</v>
      </c>
      <c r="I5133" s="25">
        <v>46.84</v>
      </c>
      <c r="J5133" s="379">
        <v>2.3850280740119882</v>
      </c>
    </row>
    <row r="5134" spans="1:10" x14ac:dyDescent="0.35">
      <c r="A5134" s="5">
        <v>5130</v>
      </c>
      <c r="B5134" s="5">
        <v>214</v>
      </c>
      <c r="C5134" s="5">
        <v>8</v>
      </c>
      <c r="D5134" s="379">
        <v>77.819999999999993</v>
      </c>
      <c r="E5134" s="25">
        <v>24.84</v>
      </c>
      <c r="F5134" s="379">
        <v>9.730289347618303</v>
      </c>
      <c r="G5134" s="25">
        <v>43.56</v>
      </c>
      <c r="H5134" s="379">
        <v>10.117736289661446</v>
      </c>
      <c r="I5134" s="25">
        <v>51.02</v>
      </c>
      <c r="J5134" s="379">
        <v>7.1532000611236137</v>
      </c>
    </row>
    <row r="5135" spans="1:10" x14ac:dyDescent="0.35">
      <c r="A5135" s="5">
        <v>5131</v>
      </c>
      <c r="B5135" s="5">
        <v>214</v>
      </c>
      <c r="C5135" s="5">
        <v>8</v>
      </c>
      <c r="D5135" s="379">
        <v>84.592777777777769</v>
      </c>
      <c r="E5135" s="25">
        <v>24.99</v>
      </c>
      <c r="F5135" s="379">
        <v>15.917419878530525</v>
      </c>
      <c r="G5135" s="25">
        <v>43.56</v>
      </c>
      <c r="H5135" s="379">
        <v>10.336098561055074</v>
      </c>
      <c r="I5135" s="25">
        <v>53.71</v>
      </c>
      <c r="J5135" s="379">
        <v>6.9167696013025042</v>
      </c>
    </row>
    <row r="5136" spans="1:10" x14ac:dyDescent="0.35">
      <c r="A5136" s="5">
        <v>5132</v>
      </c>
      <c r="B5136" s="5">
        <v>214</v>
      </c>
      <c r="C5136" s="5">
        <v>8</v>
      </c>
      <c r="D5136" s="379">
        <v>84.385555555555555</v>
      </c>
      <c r="E5136" s="25">
        <v>24.84</v>
      </c>
      <c r="F5136" s="379">
        <v>17.480483641234457</v>
      </c>
      <c r="G5136" s="25">
        <v>43.56</v>
      </c>
      <c r="H5136" s="379">
        <v>10.386730256272264</v>
      </c>
      <c r="I5136" s="25">
        <v>56.52</v>
      </c>
      <c r="J5136" s="379">
        <v>7.2056626734317479</v>
      </c>
    </row>
    <row r="5137" spans="1:10" x14ac:dyDescent="0.35">
      <c r="A5137" s="5">
        <v>5133</v>
      </c>
      <c r="B5137" s="5">
        <v>214</v>
      </c>
      <c r="C5137" s="5">
        <v>8</v>
      </c>
      <c r="D5137" s="379">
        <v>83.398888888888891</v>
      </c>
      <c r="E5137" s="25">
        <v>24.84</v>
      </c>
      <c r="F5137" s="379">
        <v>15.931427330277524</v>
      </c>
      <c r="G5137" s="25">
        <v>43.56</v>
      </c>
      <c r="H5137" s="379">
        <v>10.670709654374958</v>
      </c>
      <c r="I5137" s="25">
        <v>62.27</v>
      </c>
      <c r="J5137" s="379">
        <v>6.987601014736712</v>
      </c>
    </row>
    <row r="5138" spans="1:10" x14ac:dyDescent="0.35">
      <c r="A5138" s="5">
        <v>5134</v>
      </c>
      <c r="B5138" s="5">
        <v>214</v>
      </c>
      <c r="C5138" s="5">
        <v>8</v>
      </c>
      <c r="D5138" s="379">
        <v>79.587222222222223</v>
      </c>
      <c r="E5138" s="25">
        <v>24.84</v>
      </c>
      <c r="F5138" s="379">
        <v>17.295297051881843</v>
      </c>
      <c r="G5138" s="25">
        <v>43.56</v>
      </c>
      <c r="H5138" s="379">
        <v>9.7879991937673125</v>
      </c>
      <c r="I5138" s="25">
        <v>57.31</v>
      </c>
      <c r="J5138" s="379">
        <v>6.4806224267545023</v>
      </c>
    </row>
    <row r="5139" spans="1:10" x14ac:dyDescent="0.35">
      <c r="A5139" s="5">
        <v>5135</v>
      </c>
      <c r="B5139" s="5">
        <v>214</v>
      </c>
      <c r="C5139" s="5">
        <v>8</v>
      </c>
      <c r="D5139" s="379">
        <v>73.176666666666677</v>
      </c>
      <c r="E5139" s="25">
        <v>24.84</v>
      </c>
      <c r="F5139" s="379">
        <v>9.2623439841165194</v>
      </c>
      <c r="G5139" s="25">
        <v>42.29</v>
      </c>
      <c r="H5139" s="379">
        <v>8.1227015579248665</v>
      </c>
      <c r="I5139" s="25">
        <v>54.87</v>
      </c>
      <c r="J5139" s="379">
        <v>6.1425396490699899</v>
      </c>
    </row>
    <row r="5140" spans="1:10" x14ac:dyDescent="0.35">
      <c r="A5140" s="5">
        <v>5136</v>
      </c>
      <c r="B5140" s="5">
        <v>214</v>
      </c>
      <c r="C5140" s="5">
        <v>8</v>
      </c>
      <c r="D5140" s="379">
        <v>61.067222222222227</v>
      </c>
      <c r="E5140" s="25">
        <v>23.59</v>
      </c>
      <c r="F5140" s="379">
        <v>8.4101712662613899</v>
      </c>
      <c r="G5140" s="25">
        <v>39.770000000000003</v>
      </c>
      <c r="H5140" s="379">
        <v>6.2022278235896131</v>
      </c>
      <c r="I5140" s="25">
        <v>53.27</v>
      </c>
      <c r="J5140" s="379">
        <v>5.9335913203036377</v>
      </c>
    </row>
    <row r="5141" spans="1:10" x14ac:dyDescent="0.35">
      <c r="A5141" s="5">
        <v>5137</v>
      </c>
      <c r="B5141" s="5">
        <v>215</v>
      </c>
      <c r="C5141" s="5">
        <v>8</v>
      </c>
      <c r="D5141" s="379">
        <v>62.434444444444438</v>
      </c>
      <c r="E5141" s="25">
        <v>23.59</v>
      </c>
      <c r="F5141" s="379">
        <v>8.047050343278535</v>
      </c>
      <c r="G5141" s="25">
        <v>32.79</v>
      </c>
      <c r="H5141" s="379">
        <v>8.5949496108087455</v>
      </c>
      <c r="I5141" s="25">
        <v>46.69</v>
      </c>
      <c r="J5141" s="379">
        <v>4.8387824144919183</v>
      </c>
    </row>
    <row r="5142" spans="1:10" x14ac:dyDescent="0.35">
      <c r="A5142" s="5">
        <v>5138</v>
      </c>
      <c r="B5142" s="5">
        <v>215</v>
      </c>
      <c r="C5142" s="5">
        <v>8</v>
      </c>
      <c r="D5142" s="379">
        <v>57.390555555555551</v>
      </c>
      <c r="E5142" s="25">
        <v>23.41</v>
      </c>
      <c r="F5142" s="379">
        <v>7.7461287040886351</v>
      </c>
      <c r="G5142" s="25">
        <v>32.79</v>
      </c>
      <c r="H5142" s="379">
        <v>6.7690815397332678</v>
      </c>
      <c r="I5142" s="25">
        <v>42.98</v>
      </c>
      <c r="J5142" s="379">
        <v>2.4101581412621398</v>
      </c>
    </row>
    <row r="5143" spans="1:10" x14ac:dyDescent="0.35">
      <c r="A5143" s="5">
        <v>5139</v>
      </c>
      <c r="B5143" s="5">
        <v>215</v>
      </c>
      <c r="C5143" s="5">
        <v>8</v>
      </c>
      <c r="D5143" s="379">
        <v>63.028888888888886</v>
      </c>
      <c r="E5143" s="25">
        <v>22.73</v>
      </c>
      <c r="F5143" s="379">
        <v>7.7737281657093185</v>
      </c>
      <c r="G5143" s="25">
        <v>31.11</v>
      </c>
      <c r="H5143" s="379">
        <v>6.8023838377211394</v>
      </c>
      <c r="I5143" s="25">
        <v>42.98</v>
      </c>
      <c r="J5143" s="379">
        <v>0.27777777777777779</v>
      </c>
    </row>
    <row r="5144" spans="1:10" x14ac:dyDescent="0.35">
      <c r="A5144" s="5">
        <v>5140</v>
      </c>
      <c r="B5144" s="5">
        <v>215</v>
      </c>
      <c r="C5144" s="5">
        <v>8</v>
      </c>
      <c r="D5144" s="379">
        <v>62.578888888888891</v>
      </c>
      <c r="E5144" s="25">
        <v>22.73</v>
      </c>
      <c r="F5144" s="379">
        <v>7.6589192687276491</v>
      </c>
      <c r="G5144" s="25">
        <v>31.11</v>
      </c>
      <c r="H5144" s="379">
        <v>6.6744287996419818</v>
      </c>
      <c r="I5144" s="25">
        <v>42.98</v>
      </c>
      <c r="J5144" s="379">
        <v>0.74113620593710372</v>
      </c>
    </row>
    <row r="5145" spans="1:10" x14ac:dyDescent="0.35">
      <c r="A5145" s="5">
        <v>5141</v>
      </c>
      <c r="B5145" s="5">
        <v>215</v>
      </c>
      <c r="C5145" s="5">
        <v>8</v>
      </c>
      <c r="D5145" s="379">
        <v>63.098333333333343</v>
      </c>
      <c r="E5145" s="25">
        <v>22.73</v>
      </c>
      <c r="F5145" s="379">
        <v>7.9224880498759145</v>
      </c>
      <c r="G5145" s="25">
        <v>31.86</v>
      </c>
      <c r="H5145" s="379">
        <v>6.714726968799118</v>
      </c>
      <c r="I5145" s="25">
        <v>42.98</v>
      </c>
      <c r="J5145" s="379">
        <v>3.2742259535548439</v>
      </c>
    </row>
    <row r="5146" spans="1:10" x14ac:dyDescent="0.35">
      <c r="A5146" s="5">
        <v>5142</v>
      </c>
      <c r="B5146" s="5">
        <v>215</v>
      </c>
      <c r="C5146" s="5">
        <v>8</v>
      </c>
      <c r="D5146" s="379">
        <v>68.304444444444442</v>
      </c>
      <c r="E5146" s="25">
        <v>24.44</v>
      </c>
      <c r="F5146" s="379">
        <v>7.5862959805810819</v>
      </c>
      <c r="G5146" s="25">
        <v>32.79</v>
      </c>
      <c r="H5146" s="379">
        <v>6.5098768030883107</v>
      </c>
      <c r="I5146" s="25">
        <v>44.72</v>
      </c>
      <c r="J5146" s="379">
        <v>6.2432080830860954</v>
      </c>
    </row>
    <row r="5147" spans="1:10" x14ac:dyDescent="0.35">
      <c r="A5147" s="5">
        <v>5143</v>
      </c>
      <c r="B5147" s="5">
        <v>215</v>
      </c>
      <c r="C5147" s="5">
        <v>8</v>
      </c>
      <c r="D5147" s="379">
        <v>69.313888888888897</v>
      </c>
      <c r="E5147" s="25">
        <v>24.84</v>
      </c>
      <c r="F5147" s="379">
        <v>8.1174834595959595</v>
      </c>
      <c r="G5147" s="25">
        <v>32.79</v>
      </c>
      <c r="H5147" s="379">
        <v>4.799693804694658</v>
      </c>
      <c r="I5147" s="25">
        <v>47.81</v>
      </c>
      <c r="J5147" s="379">
        <v>6.3452260949191182</v>
      </c>
    </row>
    <row r="5148" spans="1:10" x14ac:dyDescent="0.35">
      <c r="A5148" s="5">
        <v>5144</v>
      </c>
      <c r="B5148" s="5">
        <v>215</v>
      </c>
      <c r="C5148" s="5">
        <v>8</v>
      </c>
      <c r="D5148" s="379">
        <v>74.460555555555558</v>
      </c>
      <c r="E5148" s="25">
        <v>24.84</v>
      </c>
      <c r="F5148" s="379">
        <v>7.947873133130658</v>
      </c>
      <c r="G5148" s="25">
        <v>39.770000000000003</v>
      </c>
      <c r="H5148" s="379">
        <v>6.0359716988017844</v>
      </c>
      <c r="I5148" s="25">
        <v>47.37</v>
      </c>
      <c r="J5148" s="379">
        <v>5.850514449765198</v>
      </c>
    </row>
    <row r="5149" spans="1:10" x14ac:dyDescent="0.35">
      <c r="A5149" s="5">
        <v>5145</v>
      </c>
      <c r="B5149" s="5">
        <v>215</v>
      </c>
      <c r="C5149" s="5">
        <v>8</v>
      </c>
      <c r="D5149" s="379">
        <v>70.191111111111113</v>
      </c>
      <c r="E5149" s="25">
        <v>24.84</v>
      </c>
      <c r="F5149" s="379">
        <v>5.0983439853742087</v>
      </c>
      <c r="G5149" s="25">
        <v>39.770000000000003</v>
      </c>
      <c r="H5149" s="379">
        <v>3.7422610894838493</v>
      </c>
      <c r="I5149" s="25">
        <v>46.06</v>
      </c>
      <c r="J5149" s="379">
        <v>3.3668067547826483</v>
      </c>
    </row>
    <row r="5150" spans="1:10" x14ac:dyDescent="0.35">
      <c r="A5150" s="5">
        <v>5146</v>
      </c>
      <c r="B5150" s="5">
        <v>215</v>
      </c>
      <c r="C5150" s="5">
        <v>8</v>
      </c>
      <c r="D5150" s="379">
        <v>59.529444444444437</v>
      </c>
      <c r="E5150" s="25">
        <v>24.84</v>
      </c>
      <c r="F5150" s="379">
        <v>4.5939353139396379</v>
      </c>
      <c r="G5150" s="25">
        <v>39.770000000000003</v>
      </c>
      <c r="H5150" s="379">
        <v>3.7227152611564756</v>
      </c>
      <c r="I5150" s="25">
        <v>43.96</v>
      </c>
      <c r="J5150" s="379">
        <v>2.0984693021080694</v>
      </c>
    </row>
    <row r="5151" spans="1:10" x14ac:dyDescent="0.35">
      <c r="A5151" s="5">
        <v>5147</v>
      </c>
      <c r="B5151" s="5">
        <v>215</v>
      </c>
      <c r="C5151" s="5">
        <v>8</v>
      </c>
      <c r="D5151" s="379">
        <v>53.697777777777773</v>
      </c>
      <c r="E5151" s="25">
        <v>24.84</v>
      </c>
      <c r="F5151" s="379">
        <v>4.5939353139396379</v>
      </c>
      <c r="G5151" s="25">
        <v>40.96</v>
      </c>
      <c r="H5151" s="379">
        <v>3.6618448246580106</v>
      </c>
      <c r="I5151" s="25">
        <v>43.96</v>
      </c>
      <c r="J5151" s="379">
        <v>2.0024923202719629</v>
      </c>
    </row>
    <row r="5152" spans="1:10" x14ac:dyDescent="0.35">
      <c r="A5152" s="5">
        <v>5148</v>
      </c>
      <c r="B5152" s="5">
        <v>215</v>
      </c>
      <c r="C5152" s="5">
        <v>8</v>
      </c>
      <c r="D5152" s="379">
        <v>53.231111111111112</v>
      </c>
      <c r="E5152" s="25">
        <v>24.84</v>
      </c>
      <c r="F5152" s="379">
        <v>4.5939353139396379</v>
      </c>
      <c r="G5152" s="25">
        <v>39.770000000000003</v>
      </c>
      <c r="H5152" s="379">
        <v>3.6618448246580106</v>
      </c>
      <c r="I5152" s="25">
        <v>42.98</v>
      </c>
      <c r="J5152" s="379">
        <v>2.0433786186746006</v>
      </c>
    </row>
    <row r="5153" spans="1:10" x14ac:dyDescent="0.35">
      <c r="A5153" s="5">
        <v>5149</v>
      </c>
      <c r="B5153" s="5">
        <v>215</v>
      </c>
      <c r="C5153" s="5">
        <v>8</v>
      </c>
      <c r="D5153" s="379">
        <v>52.193888888888885</v>
      </c>
      <c r="E5153" s="25">
        <v>24.26</v>
      </c>
      <c r="F5153" s="379">
        <v>4.5939353139396379</v>
      </c>
      <c r="G5153" s="25">
        <v>39.770000000000003</v>
      </c>
      <c r="H5153" s="379">
        <v>3.6618448246580106</v>
      </c>
      <c r="I5153" s="25">
        <v>42.98</v>
      </c>
      <c r="J5153" s="379">
        <v>2.0024923202719629</v>
      </c>
    </row>
    <row r="5154" spans="1:10" x14ac:dyDescent="0.35">
      <c r="A5154" s="5">
        <v>5150</v>
      </c>
      <c r="B5154" s="5">
        <v>215</v>
      </c>
      <c r="C5154" s="5">
        <v>8</v>
      </c>
      <c r="D5154" s="379">
        <v>56.317222222222227</v>
      </c>
      <c r="E5154" s="25">
        <v>24.26</v>
      </c>
      <c r="F5154" s="379">
        <v>4.5939353139396379</v>
      </c>
      <c r="G5154" s="25">
        <v>39.770000000000003</v>
      </c>
      <c r="H5154" s="379">
        <v>3.6618448246580106</v>
      </c>
      <c r="I5154" s="25">
        <v>42.98</v>
      </c>
      <c r="J5154" s="379">
        <v>2.0024923202719629</v>
      </c>
    </row>
    <row r="5155" spans="1:10" x14ac:dyDescent="0.35">
      <c r="A5155" s="5">
        <v>5151</v>
      </c>
      <c r="B5155" s="5">
        <v>215</v>
      </c>
      <c r="C5155" s="5">
        <v>8</v>
      </c>
      <c r="D5155" s="379">
        <v>60.08</v>
      </c>
      <c r="E5155" s="25">
        <v>24.26</v>
      </c>
      <c r="F5155" s="379">
        <v>4.5939353139396379</v>
      </c>
      <c r="G5155" s="25">
        <v>39.770000000000003</v>
      </c>
      <c r="H5155" s="379">
        <v>3.6618448246580106</v>
      </c>
      <c r="I5155" s="25">
        <v>42.98</v>
      </c>
      <c r="J5155" s="379">
        <v>2.0024923202719629</v>
      </c>
    </row>
    <row r="5156" spans="1:10" x14ac:dyDescent="0.35">
      <c r="A5156" s="5">
        <v>5152</v>
      </c>
      <c r="B5156" s="5">
        <v>215</v>
      </c>
      <c r="C5156" s="5">
        <v>8</v>
      </c>
      <c r="D5156" s="379">
        <v>64.697222222222223</v>
      </c>
      <c r="E5156" s="25">
        <v>24.56</v>
      </c>
      <c r="F5156" s="379">
        <v>4.5939353139396379</v>
      </c>
      <c r="G5156" s="25">
        <v>39.770000000000003</v>
      </c>
      <c r="H5156" s="379">
        <v>3.722715261156476</v>
      </c>
      <c r="I5156" s="25">
        <v>42.98</v>
      </c>
      <c r="J5156" s="379">
        <v>1.993250977341404</v>
      </c>
    </row>
    <row r="5157" spans="1:10" x14ac:dyDescent="0.35">
      <c r="A5157" s="5">
        <v>5153</v>
      </c>
      <c r="B5157" s="5">
        <v>215</v>
      </c>
      <c r="C5157" s="5">
        <v>8</v>
      </c>
      <c r="D5157" s="379">
        <v>82.448888888888874</v>
      </c>
      <c r="E5157" s="25">
        <v>24.84</v>
      </c>
      <c r="F5157" s="379">
        <v>4.6196308000503334</v>
      </c>
      <c r="G5157" s="25">
        <v>39.770000000000003</v>
      </c>
      <c r="H5157" s="379">
        <v>4.0799494723097185</v>
      </c>
      <c r="I5157" s="25">
        <v>42.98</v>
      </c>
      <c r="J5157" s="379">
        <v>2.0024923202719629</v>
      </c>
    </row>
    <row r="5158" spans="1:10" x14ac:dyDescent="0.35">
      <c r="A5158" s="5">
        <v>5154</v>
      </c>
      <c r="B5158" s="5">
        <v>215</v>
      </c>
      <c r="C5158" s="5">
        <v>8</v>
      </c>
      <c r="D5158" s="379">
        <v>95.87277777777777</v>
      </c>
      <c r="E5158" s="25">
        <v>24.84</v>
      </c>
      <c r="F5158" s="379">
        <v>8.1174834595959577</v>
      </c>
      <c r="G5158" s="25">
        <v>39.770000000000003</v>
      </c>
      <c r="H5158" s="379">
        <v>7.1250965039334622</v>
      </c>
      <c r="I5158" s="25">
        <v>48.66</v>
      </c>
      <c r="J5158" s="379">
        <v>3.3274951539550983</v>
      </c>
    </row>
    <row r="5159" spans="1:10" x14ac:dyDescent="0.35">
      <c r="A5159" s="5">
        <v>5155</v>
      </c>
      <c r="B5159" s="5">
        <v>215</v>
      </c>
      <c r="C5159" s="5">
        <v>8</v>
      </c>
      <c r="D5159" s="379">
        <v>107.99666666666667</v>
      </c>
      <c r="E5159" s="25">
        <v>24.84</v>
      </c>
      <c r="F5159" s="379">
        <v>8.6242577488720098</v>
      </c>
      <c r="G5159" s="25">
        <v>42.29</v>
      </c>
      <c r="H5159" s="379">
        <v>8.2524202333424679</v>
      </c>
      <c r="I5159" s="25">
        <v>51.72</v>
      </c>
      <c r="J5159" s="379">
        <v>6.0843526273407065</v>
      </c>
    </row>
    <row r="5160" spans="1:10" x14ac:dyDescent="0.35">
      <c r="A5160" s="5">
        <v>5156</v>
      </c>
      <c r="B5160" s="5">
        <v>215</v>
      </c>
      <c r="C5160" s="5">
        <v>8</v>
      </c>
      <c r="D5160" s="379">
        <v>112.00999999999999</v>
      </c>
      <c r="E5160" s="25">
        <v>24.84</v>
      </c>
      <c r="F5160" s="379">
        <v>9.4451253052546527</v>
      </c>
      <c r="G5160" s="25">
        <v>42.29</v>
      </c>
      <c r="H5160" s="379">
        <v>8.6677841417845656</v>
      </c>
      <c r="I5160" s="25">
        <v>53.27</v>
      </c>
      <c r="J5160" s="379">
        <v>6.9822164451329494</v>
      </c>
    </row>
    <row r="5161" spans="1:10" x14ac:dyDescent="0.35">
      <c r="A5161" s="5">
        <v>5157</v>
      </c>
      <c r="B5161" s="5">
        <v>215</v>
      </c>
      <c r="C5161" s="5">
        <v>8</v>
      </c>
      <c r="D5161" s="379">
        <v>114.6561111111111</v>
      </c>
      <c r="E5161" s="25">
        <v>24.84</v>
      </c>
      <c r="F5161" s="379">
        <v>8.5232399976076501</v>
      </c>
      <c r="G5161" s="25">
        <v>43.56</v>
      </c>
      <c r="H5161" s="379">
        <v>8.6187869491523319</v>
      </c>
      <c r="I5161" s="25">
        <v>53.71</v>
      </c>
      <c r="J5161" s="379">
        <v>5.7127409150422119</v>
      </c>
    </row>
    <row r="5162" spans="1:10" x14ac:dyDescent="0.35">
      <c r="A5162" s="5">
        <v>5158</v>
      </c>
      <c r="B5162" s="5">
        <v>215</v>
      </c>
      <c r="C5162" s="5">
        <v>8</v>
      </c>
      <c r="D5162" s="379">
        <v>107.83500000000001</v>
      </c>
      <c r="E5162" s="25">
        <v>24.84</v>
      </c>
      <c r="F5162" s="379">
        <v>8.5343002721456482</v>
      </c>
      <c r="G5162" s="25">
        <v>42.29</v>
      </c>
      <c r="H5162" s="379">
        <v>8.6296589321844586</v>
      </c>
      <c r="I5162" s="25">
        <v>56.52</v>
      </c>
      <c r="J5162" s="379">
        <v>6.9920042357897092</v>
      </c>
    </row>
    <row r="5163" spans="1:10" x14ac:dyDescent="0.35">
      <c r="A5163" s="5">
        <v>5159</v>
      </c>
      <c r="B5163" s="5">
        <v>215</v>
      </c>
      <c r="C5163" s="5">
        <v>8</v>
      </c>
      <c r="D5163" s="379">
        <v>99.378333333333345</v>
      </c>
      <c r="E5163" s="25">
        <v>24.84</v>
      </c>
      <c r="F5163" s="379">
        <v>8.5382472289842255</v>
      </c>
      <c r="G5163" s="25">
        <v>42.29</v>
      </c>
      <c r="H5163" s="379">
        <v>8.6496491971970961</v>
      </c>
      <c r="I5163" s="25">
        <v>54.92</v>
      </c>
      <c r="J5163" s="379">
        <v>5.8028466168246808</v>
      </c>
    </row>
    <row r="5164" spans="1:10" x14ac:dyDescent="0.35">
      <c r="A5164" s="5">
        <v>5160</v>
      </c>
      <c r="B5164" s="5">
        <v>215</v>
      </c>
      <c r="C5164" s="5">
        <v>8</v>
      </c>
      <c r="D5164" s="379">
        <v>102.64777777777778</v>
      </c>
      <c r="E5164" s="25">
        <v>24.26</v>
      </c>
      <c r="F5164" s="379">
        <v>8.5356282833203139</v>
      </c>
      <c r="G5164" s="25">
        <v>35.94</v>
      </c>
      <c r="H5164" s="379">
        <v>8.4218888227121305</v>
      </c>
      <c r="I5164" s="25">
        <v>45.14</v>
      </c>
      <c r="J5164" s="379">
        <v>6.9941420724097778</v>
      </c>
    </row>
    <row r="5165" spans="1:10" x14ac:dyDescent="0.35">
      <c r="A5165" s="5">
        <v>5161</v>
      </c>
      <c r="B5165" s="5">
        <v>216</v>
      </c>
      <c r="C5165" s="5">
        <v>8</v>
      </c>
      <c r="D5165" s="379">
        <v>97.163333333333327</v>
      </c>
      <c r="E5165" s="25">
        <v>24.11</v>
      </c>
      <c r="F5165" s="379">
        <v>7.5866177769652428</v>
      </c>
      <c r="G5165" s="25">
        <v>35.94</v>
      </c>
      <c r="H5165" s="379">
        <v>8.4295037441350633</v>
      </c>
      <c r="I5165" s="25">
        <v>46.06</v>
      </c>
      <c r="J5165" s="379">
        <v>6.9570164016530516</v>
      </c>
    </row>
    <row r="5166" spans="1:10" x14ac:dyDescent="0.35">
      <c r="A5166" s="5">
        <v>5162</v>
      </c>
      <c r="B5166" s="5">
        <v>216</v>
      </c>
      <c r="C5166" s="5">
        <v>8</v>
      </c>
      <c r="D5166" s="379">
        <v>89.50333333333333</v>
      </c>
      <c r="E5166" s="25">
        <v>24.11</v>
      </c>
      <c r="F5166" s="379">
        <v>6.2306635349862063</v>
      </c>
      <c r="G5166" s="25">
        <v>35.94</v>
      </c>
      <c r="H5166" s="379">
        <v>8.4169846999959486</v>
      </c>
      <c r="I5166" s="25">
        <v>45.42</v>
      </c>
      <c r="J5166" s="379">
        <v>6.977748199407622</v>
      </c>
    </row>
    <row r="5167" spans="1:10" x14ac:dyDescent="0.35">
      <c r="A5167" s="5">
        <v>5163</v>
      </c>
      <c r="B5167" s="5">
        <v>216</v>
      </c>
      <c r="C5167" s="5">
        <v>8</v>
      </c>
      <c r="D5167" s="379">
        <v>84.190555555555562</v>
      </c>
      <c r="E5167" s="25">
        <v>24.11</v>
      </c>
      <c r="F5167" s="379">
        <v>6.214777002954933</v>
      </c>
      <c r="G5167" s="25">
        <v>35.94</v>
      </c>
      <c r="H5167" s="379">
        <v>8.3787285804485343</v>
      </c>
      <c r="I5167" s="25">
        <v>44.97</v>
      </c>
      <c r="J5167" s="379">
        <v>7.1310657649889224</v>
      </c>
    </row>
    <row r="5168" spans="1:10" x14ac:dyDescent="0.35">
      <c r="A5168" s="5">
        <v>5164</v>
      </c>
      <c r="B5168" s="5">
        <v>216</v>
      </c>
      <c r="C5168" s="5">
        <v>8</v>
      </c>
      <c r="D5168" s="379">
        <v>83.653333333333322</v>
      </c>
      <c r="E5168" s="25">
        <v>24.11</v>
      </c>
      <c r="F5168" s="379">
        <v>6.3017577042907291</v>
      </c>
      <c r="G5168" s="25">
        <v>35.94</v>
      </c>
      <c r="H5168" s="379">
        <v>8.3946332976572169</v>
      </c>
      <c r="I5168" s="25">
        <v>44.97</v>
      </c>
      <c r="J5168" s="379">
        <v>6.8830595383288875</v>
      </c>
    </row>
    <row r="5169" spans="1:10" x14ac:dyDescent="0.35">
      <c r="A5169" s="5">
        <v>5165</v>
      </c>
      <c r="B5169" s="5">
        <v>216</v>
      </c>
      <c r="C5169" s="5">
        <v>8</v>
      </c>
      <c r="D5169" s="379">
        <v>88.401666666666657</v>
      </c>
      <c r="E5169" s="25">
        <v>24.11</v>
      </c>
      <c r="F5169" s="379">
        <v>6.4281544876343277</v>
      </c>
      <c r="G5169" s="25">
        <v>37.49</v>
      </c>
      <c r="H5169" s="379">
        <v>7.1150164488239298</v>
      </c>
      <c r="I5169" s="25">
        <v>45.42</v>
      </c>
      <c r="J5169" s="379">
        <v>5.758004087245391</v>
      </c>
    </row>
    <row r="5170" spans="1:10" x14ac:dyDescent="0.35">
      <c r="A5170" s="5">
        <v>5166</v>
      </c>
      <c r="B5170" s="5">
        <v>216</v>
      </c>
      <c r="C5170" s="5">
        <v>8</v>
      </c>
      <c r="D5170" s="379">
        <v>100.59333333333332</v>
      </c>
      <c r="E5170" s="25">
        <v>24.84</v>
      </c>
      <c r="F5170" s="379">
        <v>6.5016309943176376</v>
      </c>
      <c r="G5170" s="25">
        <v>41.05</v>
      </c>
      <c r="H5170" s="379">
        <v>6.9701112518289587</v>
      </c>
      <c r="I5170" s="25">
        <v>46.32</v>
      </c>
      <c r="J5170" s="379">
        <v>5.9279909940308135</v>
      </c>
    </row>
    <row r="5171" spans="1:10" x14ac:dyDescent="0.35">
      <c r="A5171" s="5">
        <v>5167</v>
      </c>
      <c r="B5171" s="5">
        <v>216</v>
      </c>
      <c r="C5171" s="5">
        <v>8</v>
      </c>
      <c r="D5171" s="379">
        <v>107.69166666666666</v>
      </c>
      <c r="E5171" s="25">
        <v>24.84</v>
      </c>
      <c r="F5171" s="379">
        <v>6.45690015104746</v>
      </c>
      <c r="G5171" s="25">
        <v>42.29</v>
      </c>
      <c r="H5171" s="379">
        <v>6.8517052427446457</v>
      </c>
      <c r="I5171" s="25">
        <v>48.86</v>
      </c>
      <c r="J5171" s="379">
        <v>5.9881752236256345</v>
      </c>
    </row>
    <row r="5172" spans="1:10" x14ac:dyDescent="0.35">
      <c r="A5172" s="5">
        <v>5168</v>
      </c>
      <c r="B5172" s="5">
        <v>216</v>
      </c>
      <c r="C5172" s="5">
        <v>8</v>
      </c>
      <c r="D5172" s="379">
        <v>109.52444444444443</v>
      </c>
      <c r="E5172" s="25">
        <v>24.84</v>
      </c>
      <c r="F5172" s="379">
        <v>6.3160852320609697</v>
      </c>
      <c r="G5172" s="25">
        <v>43.56</v>
      </c>
      <c r="H5172" s="379">
        <v>6.7902753503574296</v>
      </c>
      <c r="I5172" s="25">
        <v>51.02</v>
      </c>
      <c r="J5172" s="379">
        <v>5.7936167548887409</v>
      </c>
    </row>
    <row r="5173" spans="1:10" x14ac:dyDescent="0.35">
      <c r="A5173" s="5">
        <v>5169</v>
      </c>
      <c r="B5173" s="5">
        <v>216</v>
      </c>
      <c r="C5173" s="5">
        <v>8</v>
      </c>
      <c r="D5173" s="379">
        <v>97.068888888888878</v>
      </c>
      <c r="E5173" s="25">
        <v>25.29</v>
      </c>
      <c r="F5173" s="379">
        <v>5.3701112039170154</v>
      </c>
      <c r="G5173" s="25">
        <v>43.56</v>
      </c>
      <c r="H5173" s="379">
        <v>2.0775277627236406</v>
      </c>
      <c r="I5173" s="25">
        <v>51.72</v>
      </c>
      <c r="J5173" s="379">
        <v>4.8890490800065622</v>
      </c>
    </row>
    <row r="5174" spans="1:10" x14ac:dyDescent="0.35">
      <c r="A5174" s="5">
        <v>5170</v>
      </c>
      <c r="B5174" s="5">
        <v>216</v>
      </c>
      <c r="C5174" s="5">
        <v>8</v>
      </c>
      <c r="D5174" s="379">
        <v>83.967777777777769</v>
      </c>
      <c r="E5174" s="25">
        <v>24.99</v>
      </c>
      <c r="F5174" s="379">
        <v>2.3600663433801103</v>
      </c>
      <c r="G5174" s="25">
        <v>43.56</v>
      </c>
      <c r="H5174" s="379">
        <v>1.4437251354759393</v>
      </c>
      <c r="I5174" s="25">
        <v>48.86</v>
      </c>
      <c r="J5174" s="379">
        <v>1.7113163879110043</v>
      </c>
    </row>
    <row r="5175" spans="1:10" x14ac:dyDescent="0.35">
      <c r="A5175" s="5">
        <v>5171</v>
      </c>
      <c r="B5175" s="5">
        <v>216</v>
      </c>
      <c r="C5175" s="5">
        <v>8</v>
      </c>
      <c r="D5175" s="379">
        <v>70.668333333333322</v>
      </c>
      <c r="E5175" s="25">
        <v>24.99</v>
      </c>
      <c r="F5175" s="379">
        <v>2.5152683512657625</v>
      </c>
      <c r="G5175" s="25">
        <v>43.56</v>
      </c>
      <c r="H5175" s="379">
        <v>2.1831821300616849</v>
      </c>
      <c r="I5175" s="25">
        <v>48.86</v>
      </c>
      <c r="J5175" s="379">
        <v>1.2881284881336768</v>
      </c>
    </row>
    <row r="5176" spans="1:10" x14ac:dyDescent="0.35">
      <c r="A5176" s="5">
        <v>5172</v>
      </c>
      <c r="B5176" s="5">
        <v>216</v>
      </c>
      <c r="C5176" s="5">
        <v>8</v>
      </c>
      <c r="D5176" s="379">
        <v>64.354444444444454</v>
      </c>
      <c r="E5176" s="25">
        <v>24.84</v>
      </c>
      <c r="F5176" s="379">
        <v>2.4981860258060853</v>
      </c>
      <c r="G5176" s="25">
        <v>43.56</v>
      </c>
      <c r="H5176" s="379">
        <v>1.4120391379169741</v>
      </c>
      <c r="I5176" s="25">
        <v>46.06</v>
      </c>
      <c r="J5176" s="379">
        <v>2.777777777777778E-2</v>
      </c>
    </row>
    <row r="5177" spans="1:10" x14ac:dyDescent="0.35">
      <c r="A5177" s="5">
        <v>5173</v>
      </c>
      <c r="B5177" s="5">
        <v>216</v>
      </c>
      <c r="C5177" s="5">
        <v>8</v>
      </c>
      <c r="D5177" s="379">
        <v>61.392777777777773</v>
      </c>
      <c r="E5177" s="25">
        <v>24.84</v>
      </c>
      <c r="F5177" s="379">
        <v>1.9922395679482865</v>
      </c>
      <c r="G5177" s="25">
        <v>42.29</v>
      </c>
      <c r="H5177" s="379">
        <v>0.51281906949253719</v>
      </c>
      <c r="I5177" s="25">
        <v>46.06</v>
      </c>
      <c r="J5177" s="379">
        <v>2.777777777777778E-2</v>
      </c>
    </row>
    <row r="5178" spans="1:10" x14ac:dyDescent="0.35">
      <c r="A5178" s="5">
        <v>5174</v>
      </c>
      <c r="B5178" s="5">
        <v>216</v>
      </c>
      <c r="C5178" s="5">
        <v>8</v>
      </c>
      <c r="D5178" s="379">
        <v>62.147777777777783</v>
      </c>
      <c r="E5178" s="25">
        <v>24.84</v>
      </c>
      <c r="F5178" s="379">
        <v>3.579688777698701</v>
      </c>
      <c r="G5178" s="25">
        <v>42.29</v>
      </c>
      <c r="H5178" s="379">
        <v>1.8457190916956596</v>
      </c>
      <c r="I5178" s="25">
        <v>44.97</v>
      </c>
      <c r="J5178" s="379">
        <v>2.777777777777778E-2</v>
      </c>
    </row>
    <row r="5179" spans="1:10" x14ac:dyDescent="0.35">
      <c r="A5179" s="5">
        <v>5175</v>
      </c>
      <c r="B5179" s="5">
        <v>216</v>
      </c>
      <c r="C5179" s="5">
        <v>8</v>
      </c>
      <c r="D5179" s="379">
        <v>70.725000000000009</v>
      </c>
      <c r="E5179" s="25">
        <v>24.84</v>
      </c>
      <c r="F5179" s="379">
        <v>3.5222924921863301</v>
      </c>
      <c r="G5179" s="25">
        <v>39.770000000000003</v>
      </c>
      <c r="H5179" s="379">
        <v>1.8457190916956596</v>
      </c>
      <c r="I5179" s="25">
        <v>43.96</v>
      </c>
      <c r="J5179" s="379">
        <v>2.777777777777778E-2</v>
      </c>
    </row>
    <row r="5180" spans="1:10" x14ac:dyDescent="0.35">
      <c r="A5180" s="5">
        <v>5176</v>
      </c>
      <c r="B5180" s="5">
        <v>216</v>
      </c>
      <c r="C5180" s="5">
        <v>8</v>
      </c>
      <c r="D5180" s="379">
        <v>75.344999999999999</v>
      </c>
      <c r="E5180" s="25">
        <v>24.84</v>
      </c>
      <c r="F5180" s="379">
        <v>3.4833290826461201</v>
      </c>
      <c r="G5180" s="25">
        <v>37.11</v>
      </c>
      <c r="H5180" s="379">
        <v>1.8457190916956596</v>
      </c>
      <c r="I5180" s="25">
        <v>39.950000000000003</v>
      </c>
      <c r="J5180" s="379">
        <v>2.777777777777778E-2</v>
      </c>
    </row>
    <row r="5181" spans="1:10" x14ac:dyDescent="0.35">
      <c r="A5181" s="5">
        <v>5177</v>
      </c>
      <c r="B5181" s="5">
        <v>216</v>
      </c>
      <c r="C5181" s="5">
        <v>8</v>
      </c>
      <c r="D5181" s="379">
        <v>90.101666666666674</v>
      </c>
      <c r="E5181" s="25">
        <v>24.84</v>
      </c>
      <c r="F5181" s="379">
        <v>0.27546296296296297</v>
      </c>
      <c r="G5181" s="25">
        <v>37.49</v>
      </c>
      <c r="H5181" s="379">
        <v>1.8457190916956596</v>
      </c>
      <c r="I5181" s="25">
        <v>39.950000000000003</v>
      </c>
      <c r="J5181" s="379">
        <v>2.777777777777778E-2</v>
      </c>
    </row>
    <row r="5182" spans="1:10" x14ac:dyDescent="0.35">
      <c r="A5182" s="5">
        <v>5178</v>
      </c>
      <c r="B5182" s="5">
        <v>216</v>
      </c>
      <c r="C5182" s="5">
        <v>8</v>
      </c>
      <c r="D5182" s="379">
        <v>103.50444444444443</v>
      </c>
      <c r="E5182" s="25">
        <v>24.84</v>
      </c>
      <c r="F5182" s="379">
        <v>3.8340307088987347</v>
      </c>
      <c r="G5182" s="25">
        <v>39.770000000000003</v>
      </c>
      <c r="H5182" s="379">
        <v>1.8457190916956596</v>
      </c>
      <c r="I5182" s="25">
        <v>39.950000000000003</v>
      </c>
      <c r="J5182" s="379">
        <v>2.777777777777778E-2</v>
      </c>
    </row>
    <row r="5183" spans="1:10" x14ac:dyDescent="0.35">
      <c r="A5183" s="5">
        <v>5179</v>
      </c>
      <c r="B5183" s="5">
        <v>216</v>
      </c>
      <c r="C5183" s="5">
        <v>8</v>
      </c>
      <c r="D5183" s="379">
        <v>110.42444444444443</v>
      </c>
      <c r="E5183" s="25">
        <v>24.84</v>
      </c>
      <c r="F5183" s="379">
        <v>5.4943091200482188</v>
      </c>
      <c r="G5183" s="25">
        <v>39.770000000000003</v>
      </c>
      <c r="H5183" s="379">
        <v>3.1288901991241929</v>
      </c>
      <c r="I5183" s="25">
        <v>44.97</v>
      </c>
      <c r="J5183" s="379">
        <v>1.8958214518920247</v>
      </c>
    </row>
    <row r="5184" spans="1:10" x14ac:dyDescent="0.35">
      <c r="A5184" s="5">
        <v>5180</v>
      </c>
      <c r="B5184" s="5">
        <v>216</v>
      </c>
      <c r="C5184" s="5">
        <v>8</v>
      </c>
      <c r="D5184" s="379">
        <v>111.00166666666667</v>
      </c>
      <c r="E5184" s="25">
        <v>24.84</v>
      </c>
      <c r="F5184" s="379">
        <v>5.8149397873741719</v>
      </c>
      <c r="G5184" s="25">
        <v>39.770000000000003</v>
      </c>
      <c r="H5184" s="379">
        <v>4.433462485239934</v>
      </c>
      <c r="I5184" s="25">
        <v>46.01</v>
      </c>
      <c r="J5184" s="379">
        <v>3.3965503352228734</v>
      </c>
    </row>
    <row r="5185" spans="1:10" x14ac:dyDescent="0.35">
      <c r="A5185" s="5">
        <v>5181</v>
      </c>
      <c r="B5185" s="5">
        <v>216</v>
      </c>
      <c r="C5185" s="5">
        <v>8</v>
      </c>
      <c r="D5185" s="379">
        <v>106.41333333333334</v>
      </c>
      <c r="E5185" s="25">
        <v>24.84</v>
      </c>
      <c r="F5185" s="379">
        <v>5.8008088996587395</v>
      </c>
      <c r="G5185" s="25">
        <v>39.770000000000003</v>
      </c>
      <c r="H5185" s="379">
        <v>3.2713489789331218</v>
      </c>
      <c r="I5185" s="25">
        <v>51.72</v>
      </c>
      <c r="J5185" s="379">
        <v>5.358301327482951</v>
      </c>
    </row>
    <row r="5186" spans="1:10" x14ac:dyDescent="0.35">
      <c r="A5186" s="5">
        <v>5182</v>
      </c>
      <c r="B5186" s="5">
        <v>216</v>
      </c>
      <c r="C5186" s="5">
        <v>8</v>
      </c>
      <c r="D5186" s="379">
        <v>103.25666666666666</v>
      </c>
      <c r="E5186" s="25">
        <v>24.84</v>
      </c>
      <c r="F5186" s="379">
        <v>5.5545163297460904</v>
      </c>
      <c r="G5186" s="25">
        <v>42.17</v>
      </c>
      <c r="H5186" s="379">
        <v>3.8927943912924206</v>
      </c>
      <c r="I5186" s="25">
        <v>50.26</v>
      </c>
      <c r="J5186" s="379">
        <v>4.690699729206889</v>
      </c>
    </row>
    <row r="5187" spans="1:10" x14ac:dyDescent="0.35">
      <c r="A5187" s="5">
        <v>5183</v>
      </c>
      <c r="B5187" s="5">
        <v>216</v>
      </c>
      <c r="C5187" s="5">
        <v>8</v>
      </c>
      <c r="D5187" s="379">
        <v>88.498333333333335</v>
      </c>
      <c r="E5187" s="25">
        <v>24.84</v>
      </c>
      <c r="F5187" s="379">
        <v>5.4171143830475783</v>
      </c>
      <c r="G5187" s="25">
        <v>39.770000000000003</v>
      </c>
      <c r="H5187" s="379">
        <v>4.8541286009672406</v>
      </c>
      <c r="I5187" s="25">
        <v>49.71</v>
      </c>
      <c r="J5187" s="379">
        <v>3.1554853463287391</v>
      </c>
    </row>
    <row r="5188" spans="1:10" x14ac:dyDescent="0.35">
      <c r="A5188" s="5">
        <v>5184</v>
      </c>
      <c r="B5188" s="5">
        <v>216</v>
      </c>
      <c r="C5188" s="5">
        <v>8</v>
      </c>
      <c r="D5188" s="379">
        <v>90.581666666666663</v>
      </c>
      <c r="E5188" s="25">
        <v>23.41</v>
      </c>
      <c r="F5188" s="379">
        <v>4.8834263043784452</v>
      </c>
      <c r="G5188" s="25">
        <v>37.020000000000003</v>
      </c>
      <c r="H5188" s="379">
        <v>5.398780024975375</v>
      </c>
      <c r="I5188" s="25">
        <v>47.44</v>
      </c>
      <c r="J5188" s="379">
        <v>4.1567757447450049</v>
      </c>
    </row>
    <row r="5189" spans="1:10" x14ac:dyDescent="0.35">
      <c r="A5189" s="5">
        <v>5185</v>
      </c>
      <c r="B5189" s="5">
        <v>217</v>
      </c>
      <c r="C5189" s="5">
        <v>8</v>
      </c>
      <c r="D5189" s="379">
        <v>82.555555555555557</v>
      </c>
      <c r="E5189" s="25">
        <v>23.41</v>
      </c>
      <c r="F5189" s="379">
        <v>4.3989779867850825</v>
      </c>
      <c r="G5189" s="25">
        <v>37.020000000000003</v>
      </c>
      <c r="H5189" s="379">
        <v>5.8589033014932763</v>
      </c>
      <c r="I5189" s="25">
        <v>46.69</v>
      </c>
      <c r="J5189" s="379">
        <v>0.59365559368279852</v>
      </c>
    </row>
    <row r="5190" spans="1:10" x14ac:dyDescent="0.35">
      <c r="A5190" s="5">
        <v>5186</v>
      </c>
      <c r="B5190" s="5">
        <v>217</v>
      </c>
      <c r="C5190" s="5">
        <v>8</v>
      </c>
      <c r="D5190" s="379">
        <v>77.64</v>
      </c>
      <c r="E5190" s="25">
        <v>23.41</v>
      </c>
      <c r="F5190" s="379">
        <v>5.1936067606544709</v>
      </c>
      <c r="G5190" s="25">
        <v>37.020000000000003</v>
      </c>
      <c r="H5190" s="379">
        <v>5.0324467839631053</v>
      </c>
      <c r="I5190" s="25">
        <v>46.06</v>
      </c>
      <c r="J5190" s="379">
        <v>0.59365559368279852</v>
      </c>
    </row>
    <row r="5191" spans="1:10" x14ac:dyDescent="0.35">
      <c r="A5191" s="5">
        <v>5187</v>
      </c>
      <c r="B5191" s="5">
        <v>217</v>
      </c>
      <c r="C5191" s="5">
        <v>8</v>
      </c>
      <c r="D5191" s="379">
        <v>77.562777777777782</v>
      </c>
      <c r="E5191" s="25">
        <v>23.59</v>
      </c>
      <c r="F5191" s="379">
        <v>5.6379320105049997</v>
      </c>
      <c r="G5191" s="25">
        <v>37.020000000000003</v>
      </c>
      <c r="H5191" s="379">
        <v>5.4242353986643055</v>
      </c>
      <c r="I5191" s="25">
        <v>46.06</v>
      </c>
      <c r="J5191" s="379">
        <v>0.65110508863229322</v>
      </c>
    </row>
    <row r="5192" spans="1:10" x14ac:dyDescent="0.35">
      <c r="A5192" s="5">
        <v>5188</v>
      </c>
      <c r="B5192" s="5">
        <v>217</v>
      </c>
      <c r="C5192" s="5">
        <v>8</v>
      </c>
      <c r="D5192" s="379">
        <v>77.326666666666654</v>
      </c>
      <c r="E5192" s="25">
        <v>23.59</v>
      </c>
      <c r="F5192" s="379">
        <v>5.0790793587357097</v>
      </c>
      <c r="G5192" s="25">
        <v>39.770000000000003</v>
      </c>
      <c r="H5192" s="379">
        <v>5.183459709707587</v>
      </c>
      <c r="I5192" s="25">
        <v>46.06</v>
      </c>
      <c r="J5192" s="379">
        <v>3.0167636188702662</v>
      </c>
    </row>
    <row r="5193" spans="1:10" x14ac:dyDescent="0.35">
      <c r="A5193" s="5">
        <v>5189</v>
      </c>
      <c r="B5193" s="5">
        <v>217</v>
      </c>
      <c r="C5193" s="5">
        <v>8</v>
      </c>
      <c r="D5193" s="379">
        <v>84.813333333333347</v>
      </c>
      <c r="E5193" s="25">
        <v>24.84</v>
      </c>
      <c r="F5193" s="379">
        <v>5.1856004251693424</v>
      </c>
      <c r="G5193" s="25">
        <v>40.17</v>
      </c>
      <c r="H5193" s="379">
        <v>5.3697816787039914</v>
      </c>
      <c r="I5193" s="25">
        <v>46.86</v>
      </c>
      <c r="J5193" s="379">
        <v>2.1245093164628459</v>
      </c>
    </row>
    <row r="5194" spans="1:10" x14ac:dyDescent="0.35">
      <c r="A5194" s="5">
        <v>5190</v>
      </c>
      <c r="B5194" s="5">
        <v>217</v>
      </c>
      <c r="C5194" s="5">
        <v>8</v>
      </c>
      <c r="D5194" s="379">
        <v>95.472222222222214</v>
      </c>
      <c r="E5194" s="25">
        <v>24.84</v>
      </c>
      <c r="F5194" s="379">
        <v>5.1856004251693424</v>
      </c>
      <c r="G5194" s="25">
        <v>43.56</v>
      </c>
      <c r="H5194" s="379">
        <v>6.3542721526861268</v>
      </c>
      <c r="I5194" s="25">
        <v>51.2</v>
      </c>
      <c r="J5194" s="379">
        <v>1.7249159689632279</v>
      </c>
    </row>
    <row r="5195" spans="1:10" x14ac:dyDescent="0.35">
      <c r="A5195" s="5">
        <v>5191</v>
      </c>
      <c r="B5195" s="5">
        <v>217</v>
      </c>
      <c r="C5195" s="5">
        <v>8</v>
      </c>
      <c r="D5195" s="379">
        <v>106.10277777777776</v>
      </c>
      <c r="E5195" s="25">
        <v>24.84</v>
      </c>
      <c r="F5195" s="379">
        <v>4.3930316806951364</v>
      </c>
      <c r="G5195" s="25">
        <v>43.56</v>
      </c>
      <c r="H5195" s="379">
        <v>5.8587041090338445</v>
      </c>
      <c r="I5195" s="25">
        <v>51.72</v>
      </c>
      <c r="J5195" s="379">
        <v>1.6144935450948485</v>
      </c>
    </row>
    <row r="5196" spans="1:10" x14ac:dyDescent="0.35">
      <c r="A5196" s="5">
        <v>5192</v>
      </c>
      <c r="B5196" s="5">
        <v>217</v>
      </c>
      <c r="C5196" s="5">
        <v>8</v>
      </c>
      <c r="D5196" s="379">
        <v>107.17277777777778</v>
      </c>
      <c r="E5196" s="25">
        <v>25.59</v>
      </c>
      <c r="F5196" s="379">
        <v>2.4253899702568011</v>
      </c>
      <c r="G5196" s="25">
        <v>43.56</v>
      </c>
      <c r="H5196" s="379">
        <v>3.9029365551818418</v>
      </c>
      <c r="I5196" s="25">
        <v>51.72</v>
      </c>
      <c r="J5196" s="379">
        <v>2.8014949715865014</v>
      </c>
    </row>
    <row r="5197" spans="1:10" x14ac:dyDescent="0.35">
      <c r="A5197" s="5">
        <v>5193</v>
      </c>
      <c r="B5197" s="5">
        <v>217</v>
      </c>
      <c r="C5197" s="5">
        <v>8</v>
      </c>
      <c r="D5197" s="379">
        <v>98.38111111111111</v>
      </c>
      <c r="E5197" s="25">
        <v>24.84</v>
      </c>
      <c r="F5197" s="379">
        <v>0.47222222222222221</v>
      </c>
      <c r="G5197" s="25">
        <v>43.56</v>
      </c>
      <c r="H5197" s="379">
        <v>3.6704352436276491</v>
      </c>
      <c r="I5197" s="25">
        <v>51.72</v>
      </c>
      <c r="J5197" s="379">
        <v>3.0773770391609041</v>
      </c>
    </row>
    <row r="5198" spans="1:10" x14ac:dyDescent="0.35">
      <c r="A5198" s="5">
        <v>5194</v>
      </c>
      <c r="B5198" s="5">
        <v>217</v>
      </c>
      <c r="C5198" s="5">
        <v>8</v>
      </c>
      <c r="D5198" s="379">
        <v>93.318333333333342</v>
      </c>
      <c r="E5198" s="25">
        <v>24.84</v>
      </c>
      <c r="F5198" s="379">
        <v>2.9980159565468165</v>
      </c>
      <c r="G5198" s="25">
        <v>43.56</v>
      </c>
      <c r="H5198" s="379">
        <v>0.2178944876910178</v>
      </c>
      <c r="I5198" s="25">
        <v>48.79</v>
      </c>
      <c r="J5198" s="379">
        <v>0.47474770610429584</v>
      </c>
    </row>
    <row r="5199" spans="1:10" x14ac:dyDescent="0.35">
      <c r="A5199" s="5">
        <v>5195</v>
      </c>
      <c r="B5199" s="5">
        <v>217</v>
      </c>
      <c r="C5199" s="5">
        <v>8</v>
      </c>
      <c r="D5199" s="379">
        <v>86.233888888888885</v>
      </c>
      <c r="E5199" s="25">
        <v>24.84</v>
      </c>
      <c r="F5199" s="379">
        <v>2.9535489437001123</v>
      </c>
      <c r="G5199" s="25">
        <v>42.29</v>
      </c>
      <c r="H5199" s="379">
        <v>0.17253256095420008</v>
      </c>
      <c r="I5199" s="25">
        <v>46.06</v>
      </c>
      <c r="J5199" s="379">
        <v>3.8362231244945352E-2</v>
      </c>
    </row>
    <row r="5200" spans="1:10" x14ac:dyDescent="0.35">
      <c r="A5200" s="5">
        <v>5196</v>
      </c>
      <c r="B5200" s="5">
        <v>217</v>
      </c>
      <c r="C5200" s="5">
        <v>8</v>
      </c>
      <c r="D5200" s="379">
        <v>80.981111111111119</v>
      </c>
      <c r="E5200" s="25">
        <v>24.84</v>
      </c>
      <c r="F5200" s="379">
        <v>2.9470409033414833</v>
      </c>
      <c r="G5200" s="25">
        <v>41.05</v>
      </c>
      <c r="H5200" s="379">
        <v>0.13502685832909975</v>
      </c>
      <c r="I5200" s="25">
        <v>43.96</v>
      </c>
      <c r="J5200" s="379">
        <v>3.261417707005828E-2</v>
      </c>
    </row>
    <row r="5201" spans="1:10" x14ac:dyDescent="0.35">
      <c r="A5201" s="5">
        <v>5197</v>
      </c>
      <c r="B5201" s="5">
        <v>217</v>
      </c>
      <c r="C5201" s="5">
        <v>8</v>
      </c>
      <c r="D5201" s="379">
        <v>72.50611111111111</v>
      </c>
      <c r="E5201" s="25">
        <v>24.84</v>
      </c>
      <c r="F5201" s="379">
        <v>2.9470409033414833</v>
      </c>
      <c r="G5201" s="25">
        <v>40.96</v>
      </c>
      <c r="H5201" s="379">
        <v>0.39863226116809569</v>
      </c>
      <c r="I5201" s="25">
        <v>43.96</v>
      </c>
      <c r="J5201" s="379">
        <v>7.7924103671275849E-2</v>
      </c>
    </row>
    <row r="5202" spans="1:10" x14ac:dyDescent="0.35">
      <c r="A5202" s="5">
        <v>5198</v>
      </c>
      <c r="B5202" s="5">
        <v>217</v>
      </c>
      <c r="C5202" s="5">
        <v>8</v>
      </c>
      <c r="D5202" s="379">
        <v>68.034444444444432</v>
      </c>
      <c r="E5202" s="25">
        <v>24.84</v>
      </c>
      <c r="F5202" s="379">
        <v>2.9470409033414833</v>
      </c>
      <c r="G5202" s="25">
        <v>39.770000000000003</v>
      </c>
      <c r="H5202" s="379">
        <v>0.35589939578765944</v>
      </c>
      <c r="I5202" s="25">
        <v>34.68</v>
      </c>
      <c r="J5202" s="379">
        <v>0.35330481170248662</v>
      </c>
    </row>
    <row r="5203" spans="1:10" x14ac:dyDescent="0.35">
      <c r="A5203" s="5">
        <v>5199</v>
      </c>
      <c r="B5203" s="5">
        <v>217</v>
      </c>
      <c r="C5203" s="5">
        <v>8</v>
      </c>
      <c r="D5203" s="379">
        <v>62.307777777777773</v>
      </c>
      <c r="E5203" s="25">
        <v>24.84</v>
      </c>
      <c r="F5203" s="379">
        <v>3.2230618932043189</v>
      </c>
      <c r="G5203" s="25">
        <v>39.770000000000003</v>
      </c>
      <c r="H5203" s="379">
        <v>0.57022238314910767</v>
      </c>
      <c r="I5203" s="25">
        <v>34.68</v>
      </c>
      <c r="J5203" s="379">
        <v>0.35768379445977566</v>
      </c>
    </row>
    <row r="5204" spans="1:10" x14ac:dyDescent="0.35">
      <c r="A5204" s="5">
        <v>5200</v>
      </c>
      <c r="B5204" s="5">
        <v>217</v>
      </c>
      <c r="C5204" s="5">
        <v>8</v>
      </c>
      <c r="D5204" s="379">
        <v>62.564999999999998</v>
      </c>
      <c r="E5204" s="25">
        <v>24.84</v>
      </c>
      <c r="F5204" s="379">
        <v>3.229569933562948</v>
      </c>
      <c r="G5204" s="25">
        <v>39.770000000000003</v>
      </c>
      <c r="H5204" s="379">
        <v>0.96733108626353148</v>
      </c>
      <c r="I5204" s="25">
        <v>43.96</v>
      </c>
      <c r="J5204" s="379">
        <v>0.29847955204369248</v>
      </c>
    </row>
    <row r="5205" spans="1:10" x14ac:dyDescent="0.35">
      <c r="A5205" s="5">
        <v>5201</v>
      </c>
      <c r="B5205" s="5">
        <v>217</v>
      </c>
      <c r="C5205" s="5">
        <v>8</v>
      </c>
      <c r="D5205" s="379">
        <v>72.60499999999999</v>
      </c>
      <c r="E5205" s="25">
        <v>24.84</v>
      </c>
      <c r="F5205" s="379">
        <v>3.0008715557843599</v>
      </c>
      <c r="G5205" s="25">
        <v>40.17</v>
      </c>
      <c r="H5205" s="379">
        <v>1.2066875620380553</v>
      </c>
      <c r="I5205" s="25">
        <v>43.96</v>
      </c>
      <c r="J5205" s="379">
        <v>0.45097531221917198</v>
      </c>
    </row>
    <row r="5206" spans="1:10" x14ac:dyDescent="0.35">
      <c r="A5206" s="5">
        <v>5202</v>
      </c>
      <c r="B5206" s="5">
        <v>217</v>
      </c>
      <c r="C5206" s="5">
        <v>8</v>
      </c>
      <c r="D5206" s="379">
        <v>84.253888888888895</v>
      </c>
      <c r="E5206" s="25">
        <v>24.84</v>
      </c>
      <c r="F5206" s="379">
        <v>8.3079323977992985</v>
      </c>
      <c r="G5206" s="25">
        <v>43.56</v>
      </c>
      <c r="H5206" s="379">
        <v>7.8843553394132204</v>
      </c>
      <c r="I5206" s="25">
        <v>48.79</v>
      </c>
      <c r="J5206" s="379">
        <v>6.5442679371475387</v>
      </c>
    </row>
    <row r="5207" spans="1:10" x14ac:dyDescent="0.35">
      <c r="A5207" s="5">
        <v>5203</v>
      </c>
      <c r="B5207" s="5">
        <v>217</v>
      </c>
      <c r="C5207" s="5">
        <v>8</v>
      </c>
      <c r="D5207" s="379">
        <v>94.762777777777785</v>
      </c>
      <c r="E5207" s="25">
        <v>24.84</v>
      </c>
      <c r="F5207" s="379">
        <v>9.0879786662135533</v>
      </c>
      <c r="G5207" s="25">
        <v>43.56</v>
      </c>
      <c r="H5207" s="379">
        <v>9.6114525671065696</v>
      </c>
      <c r="I5207" s="25">
        <v>53.27</v>
      </c>
      <c r="J5207" s="379">
        <v>6.9083759187201297</v>
      </c>
    </row>
    <row r="5208" spans="1:10" x14ac:dyDescent="0.35">
      <c r="A5208" s="5">
        <v>5204</v>
      </c>
      <c r="B5208" s="5">
        <v>217</v>
      </c>
      <c r="C5208" s="5">
        <v>8</v>
      </c>
      <c r="D5208" s="379">
        <v>98.262777777777771</v>
      </c>
      <c r="E5208" s="25">
        <v>24.84</v>
      </c>
      <c r="F5208" s="379">
        <v>14.021156336567</v>
      </c>
      <c r="G5208" s="25">
        <v>43.56</v>
      </c>
      <c r="H5208" s="379">
        <v>10.320266062014381</v>
      </c>
      <c r="I5208" s="25">
        <v>53.71</v>
      </c>
      <c r="J5208" s="379">
        <v>6.6736475120685643</v>
      </c>
    </row>
    <row r="5209" spans="1:10" x14ac:dyDescent="0.35">
      <c r="A5209" s="5">
        <v>5205</v>
      </c>
      <c r="B5209" s="5">
        <v>217</v>
      </c>
      <c r="C5209" s="5">
        <v>8</v>
      </c>
      <c r="D5209" s="379">
        <v>97.807777777777773</v>
      </c>
      <c r="E5209" s="25">
        <v>25.59</v>
      </c>
      <c r="F5209" s="379">
        <v>8.9830215662152106</v>
      </c>
      <c r="G5209" s="25">
        <v>43.56</v>
      </c>
      <c r="H5209" s="379">
        <v>9.4113049369006063</v>
      </c>
      <c r="I5209" s="25">
        <v>53.71</v>
      </c>
      <c r="J5209" s="379">
        <v>5.9290986212968324</v>
      </c>
    </row>
    <row r="5210" spans="1:10" x14ac:dyDescent="0.35">
      <c r="A5210" s="5">
        <v>5206</v>
      </c>
      <c r="B5210" s="5">
        <v>217</v>
      </c>
      <c r="C5210" s="5">
        <v>8</v>
      </c>
      <c r="D5210" s="379">
        <v>89.882777777777775</v>
      </c>
      <c r="E5210" s="25">
        <v>25.59</v>
      </c>
      <c r="F5210" s="379">
        <v>9.032898670278783</v>
      </c>
      <c r="G5210" s="25">
        <v>43.56</v>
      </c>
      <c r="H5210" s="379">
        <v>10.367498930698922</v>
      </c>
      <c r="I5210" s="25">
        <v>53.71</v>
      </c>
      <c r="J5210" s="379">
        <v>5.9820756950667553</v>
      </c>
    </row>
    <row r="5211" spans="1:10" x14ac:dyDescent="0.35">
      <c r="A5211" s="5">
        <v>5207</v>
      </c>
      <c r="B5211" s="5">
        <v>217</v>
      </c>
      <c r="C5211" s="5">
        <v>8</v>
      </c>
      <c r="D5211" s="379">
        <v>74.87166666666667</v>
      </c>
      <c r="E5211" s="25">
        <v>24.84</v>
      </c>
      <c r="F5211" s="379">
        <v>8.4776928142460672</v>
      </c>
      <c r="G5211" s="25">
        <v>43.56</v>
      </c>
      <c r="H5211" s="379">
        <v>9.5879343113805273</v>
      </c>
      <c r="I5211" s="25">
        <v>53.71</v>
      </c>
      <c r="J5211" s="379">
        <v>5.1460605571441214</v>
      </c>
    </row>
    <row r="5212" spans="1:10" x14ac:dyDescent="0.35">
      <c r="A5212" s="5">
        <v>5208</v>
      </c>
      <c r="B5212" s="5">
        <v>217</v>
      </c>
      <c r="C5212" s="5">
        <v>8</v>
      </c>
      <c r="D5212" s="379">
        <v>75.022777777777776</v>
      </c>
      <c r="E5212" s="25">
        <v>24.84</v>
      </c>
      <c r="F5212" s="379">
        <v>8.4324499054323283</v>
      </c>
      <c r="G5212" s="25">
        <v>41.86</v>
      </c>
      <c r="H5212" s="379">
        <v>9.9602097384861512</v>
      </c>
      <c r="I5212" s="25">
        <v>49.71</v>
      </c>
      <c r="J5212" s="379">
        <v>5.1572482794233689</v>
      </c>
    </row>
    <row r="5213" spans="1:10" x14ac:dyDescent="0.35">
      <c r="A5213" s="5">
        <v>5209</v>
      </c>
      <c r="B5213" s="5">
        <v>218</v>
      </c>
      <c r="C5213" s="5">
        <v>8</v>
      </c>
      <c r="D5213" s="379">
        <v>76.933333333333323</v>
      </c>
      <c r="E5213" s="25">
        <v>24.84</v>
      </c>
      <c r="F5213" s="379">
        <v>8.4757232916229217</v>
      </c>
      <c r="G5213" s="25">
        <v>39.93</v>
      </c>
      <c r="H5213" s="379">
        <v>9.6321400117275502</v>
      </c>
      <c r="I5213" s="25">
        <v>46.97</v>
      </c>
      <c r="J5213" s="379">
        <v>6.0454128844799939</v>
      </c>
    </row>
    <row r="5214" spans="1:10" x14ac:dyDescent="0.35">
      <c r="A5214" s="5">
        <v>5210</v>
      </c>
      <c r="B5214" s="5">
        <v>218</v>
      </c>
      <c r="C5214" s="5">
        <v>8</v>
      </c>
      <c r="D5214" s="379">
        <v>73.934444444444438</v>
      </c>
      <c r="E5214" s="25">
        <v>24.84</v>
      </c>
      <c r="F5214" s="379">
        <v>8.4511816557588304</v>
      </c>
      <c r="G5214" s="25">
        <v>38.229999999999997</v>
      </c>
      <c r="H5214" s="379">
        <v>10.129673645576274</v>
      </c>
      <c r="I5214" s="25">
        <v>46.06</v>
      </c>
      <c r="J5214" s="379">
        <v>4.7637319050713716</v>
      </c>
    </row>
    <row r="5215" spans="1:10" x14ac:dyDescent="0.35">
      <c r="A5215" s="5">
        <v>5211</v>
      </c>
      <c r="B5215" s="5">
        <v>218</v>
      </c>
      <c r="C5215" s="5">
        <v>8</v>
      </c>
      <c r="D5215" s="379">
        <v>67.955555555555563</v>
      </c>
      <c r="E5215" s="25">
        <v>24.84</v>
      </c>
      <c r="F5215" s="379">
        <v>8.4993247498757167</v>
      </c>
      <c r="G5215" s="25">
        <v>38.229999999999997</v>
      </c>
      <c r="H5215" s="379">
        <v>10.436300382453991</v>
      </c>
      <c r="I5215" s="25">
        <v>46.06</v>
      </c>
      <c r="J5215" s="379">
        <v>5.936689202036435</v>
      </c>
    </row>
    <row r="5216" spans="1:10" x14ac:dyDescent="0.35">
      <c r="A5216" s="5">
        <v>5212</v>
      </c>
      <c r="B5216" s="5">
        <v>218</v>
      </c>
      <c r="C5216" s="5">
        <v>8</v>
      </c>
      <c r="D5216" s="379">
        <v>67.110555555555564</v>
      </c>
      <c r="E5216" s="25">
        <v>24.84</v>
      </c>
      <c r="F5216" s="379">
        <v>8.5209044622345989</v>
      </c>
      <c r="G5216" s="25">
        <v>38.61</v>
      </c>
      <c r="H5216" s="379">
        <v>10.161364530686235</v>
      </c>
      <c r="I5216" s="25">
        <v>46.64</v>
      </c>
      <c r="J5216" s="379">
        <v>5.9969422848955238</v>
      </c>
    </row>
    <row r="5217" spans="1:10" x14ac:dyDescent="0.35">
      <c r="A5217" s="5">
        <v>5213</v>
      </c>
      <c r="B5217" s="5">
        <v>218</v>
      </c>
      <c r="C5217" s="5">
        <v>8</v>
      </c>
      <c r="D5217" s="379">
        <v>67.591666666666654</v>
      </c>
      <c r="E5217" s="25">
        <v>24.84</v>
      </c>
      <c r="F5217" s="379">
        <v>8.4702849460659699</v>
      </c>
      <c r="G5217" s="25">
        <v>41.86</v>
      </c>
      <c r="H5217" s="379">
        <v>9.8466951361710873</v>
      </c>
      <c r="I5217" s="25">
        <v>48.37</v>
      </c>
      <c r="J5217" s="379">
        <v>4.053366729797979</v>
      </c>
    </row>
    <row r="5218" spans="1:10" x14ac:dyDescent="0.35">
      <c r="A5218" s="5">
        <v>5214</v>
      </c>
      <c r="B5218" s="5">
        <v>218</v>
      </c>
      <c r="C5218" s="5">
        <v>8</v>
      </c>
      <c r="D5218" s="379">
        <v>69.228888888888889</v>
      </c>
      <c r="E5218" s="25">
        <v>24.84</v>
      </c>
      <c r="F5218" s="379">
        <v>8.7241505210907295</v>
      </c>
      <c r="G5218" s="25">
        <v>42.29</v>
      </c>
      <c r="H5218" s="379">
        <v>10.13439007567184</v>
      </c>
      <c r="I5218" s="25">
        <v>49.53</v>
      </c>
      <c r="J5218" s="379">
        <v>6.1481602041807779</v>
      </c>
    </row>
    <row r="5219" spans="1:10" x14ac:dyDescent="0.35">
      <c r="A5219" s="5">
        <v>5215</v>
      </c>
      <c r="B5219" s="5">
        <v>218</v>
      </c>
      <c r="C5219" s="5">
        <v>8</v>
      </c>
      <c r="D5219" s="379">
        <v>77.660555555555547</v>
      </c>
      <c r="E5219" s="25">
        <v>24.84</v>
      </c>
      <c r="F5219" s="379">
        <v>9.478773233071573</v>
      </c>
      <c r="G5219" s="25">
        <v>43.56</v>
      </c>
      <c r="H5219" s="379">
        <v>10.194943401795106</v>
      </c>
      <c r="I5219" s="25">
        <v>53.71</v>
      </c>
      <c r="J5219" s="379">
        <v>4.4101107166594087</v>
      </c>
    </row>
    <row r="5220" spans="1:10" x14ac:dyDescent="0.35">
      <c r="A5220" s="5">
        <v>5216</v>
      </c>
      <c r="B5220" s="5">
        <v>218</v>
      </c>
      <c r="C5220" s="5">
        <v>8</v>
      </c>
      <c r="D5220" s="379">
        <v>78.643888888888881</v>
      </c>
      <c r="E5220" s="25">
        <v>24.84</v>
      </c>
      <c r="F5220" s="379">
        <v>9.3685830174549043</v>
      </c>
      <c r="G5220" s="25">
        <v>43.56</v>
      </c>
      <c r="H5220" s="379">
        <v>10.42026417728191</v>
      </c>
      <c r="I5220" s="25">
        <v>53.71</v>
      </c>
      <c r="J5220" s="379">
        <v>5.6299244258218808</v>
      </c>
    </row>
    <row r="5221" spans="1:10" x14ac:dyDescent="0.35">
      <c r="A5221" s="5">
        <v>5217</v>
      </c>
      <c r="B5221" s="5">
        <v>218</v>
      </c>
      <c r="C5221" s="5">
        <v>8</v>
      </c>
      <c r="D5221" s="379">
        <v>68.957777777777778</v>
      </c>
      <c r="E5221" s="25">
        <v>24.84</v>
      </c>
      <c r="F5221" s="379">
        <v>8.1174834595959595</v>
      </c>
      <c r="G5221" s="25">
        <v>43.56</v>
      </c>
      <c r="H5221" s="379">
        <v>7.9087826365198826</v>
      </c>
      <c r="I5221" s="25">
        <v>53.27</v>
      </c>
      <c r="J5221" s="379">
        <v>3.6632764520202015</v>
      </c>
    </row>
    <row r="5222" spans="1:10" x14ac:dyDescent="0.35">
      <c r="A5222" s="5">
        <v>5218</v>
      </c>
      <c r="B5222" s="5">
        <v>218</v>
      </c>
      <c r="C5222" s="5">
        <v>8</v>
      </c>
      <c r="D5222" s="379">
        <v>64.596111111111114</v>
      </c>
      <c r="E5222" s="25">
        <v>24.84</v>
      </c>
      <c r="F5222" s="379">
        <v>5.8470612057607712</v>
      </c>
      <c r="G5222" s="25">
        <v>43.56</v>
      </c>
      <c r="H5222" s="379">
        <v>2.1795545957407461</v>
      </c>
      <c r="I5222" s="25">
        <v>49.48</v>
      </c>
      <c r="J5222" s="379">
        <v>0.375</v>
      </c>
    </row>
    <row r="5223" spans="1:10" x14ac:dyDescent="0.35">
      <c r="A5223" s="5">
        <v>5219</v>
      </c>
      <c r="B5223" s="5">
        <v>218</v>
      </c>
      <c r="C5223" s="5">
        <v>8</v>
      </c>
      <c r="D5223" s="379">
        <v>58.160555555555547</v>
      </c>
      <c r="E5223" s="25">
        <v>24.84</v>
      </c>
      <c r="F5223" s="379">
        <v>5.6778256770191975</v>
      </c>
      <c r="G5223" s="25">
        <v>42.17</v>
      </c>
      <c r="H5223" s="379">
        <v>1.8240933299423014</v>
      </c>
      <c r="I5223" s="25">
        <v>46.69</v>
      </c>
      <c r="J5223" s="379">
        <v>4.5048421678109123E-2</v>
      </c>
    </row>
    <row r="5224" spans="1:10" x14ac:dyDescent="0.35">
      <c r="A5224" s="5">
        <v>5220</v>
      </c>
      <c r="B5224" s="5">
        <v>218</v>
      </c>
      <c r="C5224" s="5">
        <v>8</v>
      </c>
      <c r="D5224" s="379">
        <v>55.303333333333327</v>
      </c>
      <c r="E5224" s="25">
        <v>24.84</v>
      </c>
      <c r="F5224" s="379">
        <v>5.6778256770191975</v>
      </c>
      <c r="G5224" s="25">
        <v>39.770000000000003</v>
      </c>
      <c r="H5224" s="379">
        <v>1.50801055166807</v>
      </c>
      <c r="I5224" s="25">
        <v>46.06</v>
      </c>
      <c r="J5224" s="379">
        <v>8.1783344237779235E-2</v>
      </c>
    </row>
    <row r="5225" spans="1:10" x14ac:dyDescent="0.35">
      <c r="A5225" s="5">
        <v>5221</v>
      </c>
      <c r="B5225" s="5">
        <v>218</v>
      </c>
      <c r="C5225" s="5">
        <v>8</v>
      </c>
      <c r="D5225" s="379">
        <v>46.829444444444448</v>
      </c>
      <c r="E5225" s="25">
        <v>24.84</v>
      </c>
      <c r="F5225" s="379">
        <v>5.1555220914498081</v>
      </c>
      <c r="G5225" s="25">
        <v>37.020000000000003</v>
      </c>
      <c r="H5225" s="379">
        <v>1.9727484835140792</v>
      </c>
      <c r="I5225" s="25">
        <v>46.06</v>
      </c>
      <c r="J5225" s="379">
        <v>6.2985698783133634E-2</v>
      </c>
    </row>
    <row r="5226" spans="1:10" x14ac:dyDescent="0.35">
      <c r="A5226" s="5">
        <v>5222</v>
      </c>
      <c r="B5226" s="5">
        <v>218</v>
      </c>
      <c r="C5226" s="5">
        <v>8</v>
      </c>
      <c r="D5226" s="379">
        <v>41.672777777777775</v>
      </c>
      <c r="E5226" s="25">
        <v>24.84</v>
      </c>
      <c r="F5226" s="379">
        <v>5.1555220914498081</v>
      </c>
      <c r="G5226" s="25">
        <v>37.020000000000003</v>
      </c>
      <c r="H5226" s="379">
        <v>2.7134185724915976</v>
      </c>
      <c r="I5226" s="25">
        <v>46.06</v>
      </c>
      <c r="J5226" s="379">
        <v>4.3549671511049173E-2</v>
      </c>
    </row>
    <row r="5227" spans="1:10" x14ac:dyDescent="0.35">
      <c r="A5227" s="5">
        <v>5223</v>
      </c>
      <c r="B5227" s="5">
        <v>218</v>
      </c>
      <c r="C5227" s="5">
        <v>8</v>
      </c>
      <c r="D5227" s="379">
        <v>44.38388888888889</v>
      </c>
      <c r="E5227" s="25">
        <v>24.56</v>
      </c>
      <c r="F5227" s="379">
        <v>5.4896950746750379</v>
      </c>
      <c r="G5227" s="25">
        <v>37.020000000000003</v>
      </c>
      <c r="H5227" s="379">
        <v>5.9943240570370513</v>
      </c>
      <c r="I5227" s="25">
        <v>46.06</v>
      </c>
      <c r="J5227" s="379">
        <v>3.3254788689571296E-2</v>
      </c>
    </row>
    <row r="5228" spans="1:10" x14ac:dyDescent="0.35">
      <c r="A5228" s="5">
        <v>5224</v>
      </c>
      <c r="B5228" s="5">
        <v>218</v>
      </c>
      <c r="C5228" s="5">
        <v>8</v>
      </c>
      <c r="D5228" s="379">
        <v>51.736666666666665</v>
      </c>
      <c r="E5228" s="25">
        <v>24.84</v>
      </c>
      <c r="F5228" s="379">
        <v>5.4896950746750379</v>
      </c>
      <c r="G5228" s="25">
        <v>37.020000000000003</v>
      </c>
      <c r="H5228" s="379">
        <v>4.1481219886224618</v>
      </c>
      <c r="I5228" s="25">
        <v>46.06</v>
      </c>
      <c r="J5228" s="379">
        <v>3.1488412264286739E-2</v>
      </c>
    </row>
    <row r="5229" spans="1:10" x14ac:dyDescent="0.35">
      <c r="A5229" s="5">
        <v>5225</v>
      </c>
      <c r="B5229" s="5">
        <v>218</v>
      </c>
      <c r="C5229" s="5">
        <v>8</v>
      </c>
      <c r="D5229" s="379">
        <v>64.100555555555559</v>
      </c>
      <c r="E5229" s="25">
        <v>24.84</v>
      </c>
      <c r="F5229" s="379">
        <v>8.1174834595959613</v>
      </c>
      <c r="G5229" s="25">
        <v>39.770000000000003</v>
      </c>
      <c r="H5229" s="379">
        <v>3.449119099601722</v>
      </c>
      <c r="I5229" s="25">
        <v>46.52</v>
      </c>
      <c r="J5229" s="379">
        <v>8.1038996211698619E-2</v>
      </c>
    </row>
    <row r="5230" spans="1:10" x14ac:dyDescent="0.35">
      <c r="A5230" s="5">
        <v>5226</v>
      </c>
      <c r="B5230" s="5">
        <v>218</v>
      </c>
      <c r="C5230" s="5">
        <v>8</v>
      </c>
      <c r="D5230" s="379">
        <v>78.998333333333321</v>
      </c>
      <c r="E5230" s="25">
        <v>24.84</v>
      </c>
      <c r="F5230" s="379">
        <v>9.0636645849555428</v>
      </c>
      <c r="G5230" s="25">
        <v>43.44</v>
      </c>
      <c r="H5230" s="379">
        <v>9.6352245106757763</v>
      </c>
      <c r="I5230" s="25">
        <v>51.2</v>
      </c>
      <c r="J5230" s="379">
        <v>5.6124856931133218</v>
      </c>
    </row>
    <row r="5231" spans="1:10" x14ac:dyDescent="0.35">
      <c r="A5231" s="5">
        <v>5227</v>
      </c>
      <c r="B5231" s="5">
        <v>218</v>
      </c>
      <c r="C5231" s="5">
        <v>8</v>
      </c>
      <c r="D5231" s="379">
        <v>89.47999999999999</v>
      </c>
      <c r="E5231" s="25">
        <v>24.84</v>
      </c>
      <c r="F5231" s="379">
        <v>20.699035685000165</v>
      </c>
      <c r="G5231" s="25">
        <v>43.56</v>
      </c>
      <c r="H5231" s="379">
        <v>10.244418942161206</v>
      </c>
      <c r="I5231" s="25">
        <v>53.27</v>
      </c>
      <c r="J5231" s="379">
        <v>6.8561396904064642</v>
      </c>
    </row>
    <row r="5232" spans="1:10" x14ac:dyDescent="0.35">
      <c r="A5232" s="5">
        <v>5228</v>
      </c>
      <c r="B5232" s="5">
        <v>218</v>
      </c>
      <c r="C5232" s="5">
        <v>8</v>
      </c>
      <c r="D5232" s="379">
        <v>93.109444444444449</v>
      </c>
      <c r="E5232" s="25">
        <v>24.84</v>
      </c>
      <c r="F5232" s="379">
        <v>19.920241707025191</v>
      </c>
      <c r="G5232" s="25">
        <v>43.56</v>
      </c>
      <c r="H5232" s="379">
        <v>11.512765679160378</v>
      </c>
      <c r="I5232" s="25">
        <v>53.71</v>
      </c>
      <c r="J5232" s="379">
        <v>6.8457125116826045</v>
      </c>
    </row>
    <row r="5233" spans="1:10" x14ac:dyDescent="0.35">
      <c r="A5233" s="5">
        <v>5229</v>
      </c>
      <c r="B5233" s="5">
        <v>218</v>
      </c>
      <c r="C5233" s="5">
        <v>8</v>
      </c>
      <c r="D5233" s="379">
        <v>89.801111111111112</v>
      </c>
      <c r="E5233" s="25">
        <v>24.84</v>
      </c>
      <c r="F5233" s="379">
        <v>20.632774528629874</v>
      </c>
      <c r="G5233" s="25">
        <v>43.56</v>
      </c>
      <c r="H5233" s="379">
        <v>11.431615074701634</v>
      </c>
      <c r="I5233" s="25">
        <v>53.71</v>
      </c>
      <c r="J5233" s="379">
        <v>7.0306629750638736</v>
      </c>
    </row>
    <row r="5234" spans="1:10" x14ac:dyDescent="0.35">
      <c r="A5234" s="5">
        <v>5230</v>
      </c>
      <c r="B5234" s="5">
        <v>218</v>
      </c>
      <c r="C5234" s="5">
        <v>8</v>
      </c>
      <c r="D5234" s="379">
        <v>85.071111111111108</v>
      </c>
      <c r="E5234" s="25">
        <v>24.84</v>
      </c>
      <c r="F5234" s="379">
        <v>21.348929671101008</v>
      </c>
      <c r="G5234" s="25">
        <v>43.56</v>
      </c>
      <c r="H5234" s="379">
        <v>11.072545431329885</v>
      </c>
      <c r="I5234" s="25">
        <v>53.27</v>
      </c>
      <c r="J5234" s="379">
        <v>7.0532215815087032</v>
      </c>
    </row>
    <row r="5235" spans="1:10" x14ac:dyDescent="0.35">
      <c r="A5235" s="5">
        <v>5231</v>
      </c>
      <c r="B5235" s="5">
        <v>218</v>
      </c>
      <c r="C5235" s="5">
        <v>8</v>
      </c>
      <c r="D5235" s="379">
        <v>77.629999999999981</v>
      </c>
      <c r="E5235" s="25">
        <v>24.84</v>
      </c>
      <c r="F5235" s="379">
        <v>21.464689707800925</v>
      </c>
      <c r="G5235" s="25">
        <v>42.29</v>
      </c>
      <c r="H5235" s="379">
        <v>11.154634504303392</v>
      </c>
      <c r="I5235" s="25">
        <v>49.53</v>
      </c>
      <c r="J5235" s="379">
        <v>7.0956907226360837</v>
      </c>
    </row>
    <row r="5236" spans="1:10" x14ac:dyDescent="0.35">
      <c r="A5236" s="5">
        <v>5232</v>
      </c>
      <c r="B5236" s="5">
        <v>218</v>
      </c>
      <c r="C5236" s="5">
        <v>8</v>
      </c>
      <c r="D5236" s="379">
        <v>68.436666666666667</v>
      </c>
      <c r="E5236" s="25">
        <v>24.84</v>
      </c>
      <c r="F5236" s="379">
        <v>19.504555759780942</v>
      </c>
      <c r="G5236" s="25">
        <v>41.86</v>
      </c>
      <c r="H5236" s="379">
        <v>11.46197054327857</v>
      </c>
      <c r="I5236" s="25">
        <v>48.37</v>
      </c>
      <c r="J5236" s="379">
        <v>7.1751372509150766</v>
      </c>
    </row>
    <row r="5237" spans="1:10" x14ac:dyDescent="0.35">
      <c r="A5237" s="5">
        <v>5233</v>
      </c>
      <c r="B5237" s="5">
        <v>219</v>
      </c>
      <c r="C5237" s="5">
        <v>8</v>
      </c>
      <c r="D5237" s="379">
        <v>59.344444444444434</v>
      </c>
      <c r="E5237" s="25">
        <v>24.84</v>
      </c>
      <c r="F5237" s="379">
        <v>18.858473623450362</v>
      </c>
      <c r="G5237" s="25">
        <v>35.94</v>
      </c>
      <c r="H5237" s="379">
        <v>12.018503731982923</v>
      </c>
      <c r="I5237" s="25">
        <v>42.68</v>
      </c>
      <c r="J5237" s="379">
        <v>7.3851457240144294</v>
      </c>
    </row>
    <row r="5238" spans="1:10" x14ac:dyDescent="0.35">
      <c r="A5238" s="5">
        <v>5234</v>
      </c>
      <c r="B5238" s="5">
        <v>219</v>
      </c>
      <c r="C5238" s="5">
        <v>8</v>
      </c>
      <c r="D5238" s="379">
        <v>57.122777777777777</v>
      </c>
      <c r="E5238" s="25">
        <v>24.84</v>
      </c>
      <c r="F5238" s="379">
        <v>19.065722728604822</v>
      </c>
      <c r="G5238" s="25">
        <v>35.94</v>
      </c>
      <c r="H5238" s="379">
        <v>11.905985624942433</v>
      </c>
      <c r="I5238" s="25">
        <v>40.869999999999997</v>
      </c>
      <c r="J5238" s="379">
        <v>7.4678711343618787</v>
      </c>
    </row>
    <row r="5239" spans="1:10" x14ac:dyDescent="0.35">
      <c r="A5239" s="5">
        <v>5235</v>
      </c>
      <c r="B5239" s="5">
        <v>219</v>
      </c>
      <c r="C5239" s="5">
        <v>8</v>
      </c>
      <c r="D5239" s="379">
        <v>54.316111111111113</v>
      </c>
      <c r="E5239" s="25">
        <v>24.84</v>
      </c>
      <c r="F5239" s="379">
        <v>19.364707216473793</v>
      </c>
      <c r="G5239" s="25">
        <v>35.94</v>
      </c>
      <c r="H5239" s="379">
        <v>11.997104854436731</v>
      </c>
      <c r="I5239" s="25">
        <v>43.96</v>
      </c>
      <c r="J5239" s="379">
        <v>7.4678711343618787</v>
      </c>
    </row>
    <row r="5240" spans="1:10" x14ac:dyDescent="0.35">
      <c r="A5240" s="5">
        <v>5236</v>
      </c>
      <c r="B5240" s="5">
        <v>219</v>
      </c>
      <c r="C5240" s="5">
        <v>8</v>
      </c>
      <c r="D5240" s="379">
        <v>53.528333333333329</v>
      </c>
      <c r="E5240" s="25">
        <v>24.84</v>
      </c>
      <c r="F5240" s="379">
        <v>19.8261049149291</v>
      </c>
      <c r="G5240" s="25">
        <v>35.94</v>
      </c>
      <c r="H5240" s="379">
        <v>11.843117943852082</v>
      </c>
      <c r="I5240" s="25">
        <v>43.96</v>
      </c>
      <c r="J5240" s="379">
        <v>7.4640150697292533</v>
      </c>
    </row>
    <row r="5241" spans="1:10" x14ac:dyDescent="0.35">
      <c r="A5241" s="5">
        <v>5237</v>
      </c>
      <c r="B5241" s="5">
        <v>219</v>
      </c>
      <c r="C5241" s="5">
        <v>8</v>
      </c>
      <c r="D5241" s="379">
        <v>54.155555555555559</v>
      </c>
      <c r="E5241" s="25">
        <v>24.84</v>
      </c>
      <c r="F5241" s="379">
        <v>19.726899594682514</v>
      </c>
      <c r="G5241" s="25">
        <v>37.020000000000003</v>
      </c>
      <c r="H5241" s="379">
        <v>12.045778940115031</v>
      </c>
      <c r="I5241" s="25">
        <v>43.96</v>
      </c>
      <c r="J5241" s="379">
        <v>7.4568616056865258</v>
      </c>
    </row>
    <row r="5242" spans="1:10" x14ac:dyDescent="0.35">
      <c r="A5242" s="5">
        <v>5238</v>
      </c>
      <c r="B5242" s="5">
        <v>219</v>
      </c>
      <c r="C5242" s="5">
        <v>8</v>
      </c>
      <c r="D5242" s="379">
        <v>54.229444444444439</v>
      </c>
      <c r="E5242" s="25">
        <v>24.84</v>
      </c>
      <c r="F5242" s="379">
        <v>19.411969508555465</v>
      </c>
      <c r="G5242" s="25">
        <v>38.61</v>
      </c>
      <c r="H5242" s="379">
        <v>11.756328149113576</v>
      </c>
      <c r="I5242" s="25">
        <v>47.44</v>
      </c>
      <c r="J5242" s="379">
        <v>7.3967306014068761</v>
      </c>
    </row>
    <row r="5243" spans="1:10" x14ac:dyDescent="0.35">
      <c r="A5243" s="5">
        <v>5239</v>
      </c>
      <c r="B5243" s="5">
        <v>219</v>
      </c>
      <c r="C5243" s="5">
        <v>8</v>
      </c>
      <c r="D5243" s="379">
        <v>53.522777777777776</v>
      </c>
      <c r="E5243" s="25">
        <v>24.84</v>
      </c>
      <c r="F5243" s="379">
        <v>17.376281067849501</v>
      </c>
      <c r="G5243" s="25">
        <v>42.29</v>
      </c>
      <c r="H5243" s="379">
        <v>10.08946694948949</v>
      </c>
      <c r="I5243" s="25">
        <v>48.09</v>
      </c>
      <c r="J5243" s="379">
        <v>7.2905876492441841</v>
      </c>
    </row>
    <row r="5244" spans="1:10" x14ac:dyDescent="0.35">
      <c r="A5244" s="5">
        <v>5240</v>
      </c>
      <c r="B5244" s="5">
        <v>219</v>
      </c>
      <c r="C5244" s="5">
        <v>8</v>
      </c>
      <c r="D5244" s="379">
        <v>45.716666666666669</v>
      </c>
      <c r="E5244" s="25">
        <v>24.84</v>
      </c>
      <c r="F5244" s="379">
        <v>16.909171412188527</v>
      </c>
      <c r="G5244" s="25">
        <v>42.29</v>
      </c>
      <c r="H5244" s="379">
        <v>4.799693804694658</v>
      </c>
      <c r="I5244" s="25">
        <v>46.69</v>
      </c>
      <c r="J5244" s="379">
        <v>6.185114480456873</v>
      </c>
    </row>
    <row r="5245" spans="1:10" x14ac:dyDescent="0.35">
      <c r="A5245" s="5">
        <v>5241</v>
      </c>
      <c r="B5245" s="5">
        <v>219</v>
      </c>
      <c r="C5245" s="5">
        <v>8</v>
      </c>
      <c r="D5245" s="379">
        <v>42.417222222222222</v>
      </c>
      <c r="E5245" s="25">
        <v>24.84</v>
      </c>
      <c r="F5245" s="379">
        <v>14.495732744675562</v>
      </c>
      <c r="G5245" s="25">
        <v>38.61</v>
      </c>
      <c r="H5245" s="379">
        <v>4.799693804694658</v>
      </c>
      <c r="I5245" s="25">
        <v>37.979999999999997</v>
      </c>
      <c r="J5245" s="379">
        <v>4.053276452020202</v>
      </c>
    </row>
    <row r="5246" spans="1:10" x14ac:dyDescent="0.35">
      <c r="A5246" s="5">
        <v>5242</v>
      </c>
      <c r="B5246" s="5">
        <v>219</v>
      </c>
      <c r="C5246" s="5">
        <v>8</v>
      </c>
      <c r="D5246" s="379">
        <v>35.228333333333332</v>
      </c>
      <c r="E5246" s="25">
        <v>24.84</v>
      </c>
      <c r="F5246" s="379">
        <v>8.1174834595959595</v>
      </c>
      <c r="G5246" s="25">
        <v>31.84</v>
      </c>
      <c r="H5246" s="379">
        <v>8.4019908297920072</v>
      </c>
      <c r="I5246" s="25">
        <v>35.72</v>
      </c>
      <c r="J5246" s="379">
        <v>3.6632764520202015</v>
      </c>
    </row>
    <row r="5247" spans="1:10" x14ac:dyDescent="0.35">
      <c r="A5247" s="5">
        <v>5243</v>
      </c>
      <c r="B5247" s="5">
        <v>219</v>
      </c>
      <c r="C5247" s="5">
        <v>8</v>
      </c>
      <c r="D5247" s="379">
        <v>35.754444444444445</v>
      </c>
      <c r="E5247" s="25">
        <v>24.84</v>
      </c>
      <c r="F5247" s="379">
        <v>5.5427428871304736</v>
      </c>
      <c r="G5247" s="25">
        <v>31.84</v>
      </c>
      <c r="H5247" s="379">
        <v>7.6511918126606986</v>
      </c>
      <c r="I5247" s="25">
        <v>35.72</v>
      </c>
      <c r="J5247" s="379">
        <v>3.6632764520202015</v>
      </c>
    </row>
    <row r="5248" spans="1:10" x14ac:dyDescent="0.35">
      <c r="A5248" s="5">
        <v>5244</v>
      </c>
      <c r="B5248" s="5">
        <v>219</v>
      </c>
      <c r="C5248" s="5">
        <v>8</v>
      </c>
      <c r="D5248" s="379">
        <v>39.03</v>
      </c>
      <c r="E5248" s="25">
        <v>24</v>
      </c>
      <c r="F5248" s="379">
        <v>0.47222222222222227</v>
      </c>
      <c r="G5248" s="25">
        <v>31.52</v>
      </c>
      <c r="H5248" s="379">
        <v>8.0876694116363801</v>
      </c>
      <c r="I5248" s="25">
        <v>35.72</v>
      </c>
      <c r="J5248" s="379">
        <v>1.7886273448611587</v>
      </c>
    </row>
    <row r="5249" spans="1:10" x14ac:dyDescent="0.35">
      <c r="A5249" s="5">
        <v>5245</v>
      </c>
      <c r="B5249" s="5">
        <v>219</v>
      </c>
      <c r="C5249" s="5">
        <v>8</v>
      </c>
      <c r="D5249" s="379">
        <v>38.786111111111119</v>
      </c>
      <c r="E5249" s="25">
        <v>23.84</v>
      </c>
      <c r="F5249" s="379">
        <v>5.3837097714493884</v>
      </c>
      <c r="G5249" s="25">
        <v>31.52</v>
      </c>
      <c r="H5249" s="379">
        <v>8.0437517158884884</v>
      </c>
      <c r="I5249" s="25">
        <v>34.68</v>
      </c>
      <c r="J5249" s="379">
        <v>1.6843264959660831</v>
      </c>
    </row>
    <row r="5250" spans="1:10" x14ac:dyDescent="0.35">
      <c r="A5250" s="5">
        <v>5246</v>
      </c>
      <c r="B5250" s="5">
        <v>219</v>
      </c>
      <c r="C5250" s="5">
        <v>8</v>
      </c>
      <c r="D5250" s="379">
        <v>38.860555555555557</v>
      </c>
      <c r="E5250" s="25">
        <v>23.84</v>
      </c>
      <c r="F5250" s="379">
        <v>5.3837097714493884</v>
      </c>
      <c r="G5250" s="25">
        <v>31.52</v>
      </c>
      <c r="H5250" s="379">
        <v>7.999568440370016</v>
      </c>
      <c r="I5250" s="25">
        <v>35.72</v>
      </c>
      <c r="J5250" s="379">
        <v>1.6843264959660831</v>
      </c>
    </row>
    <row r="5251" spans="1:10" x14ac:dyDescent="0.35">
      <c r="A5251" s="5">
        <v>5247</v>
      </c>
      <c r="B5251" s="5">
        <v>219</v>
      </c>
      <c r="C5251" s="5">
        <v>8</v>
      </c>
      <c r="D5251" s="379">
        <v>37.364999999999995</v>
      </c>
      <c r="E5251" s="25">
        <v>23.84</v>
      </c>
      <c r="F5251" s="379">
        <v>5.3837097714493884</v>
      </c>
      <c r="G5251" s="25">
        <v>31.52</v>
      </c>
      <c r="H5251" s="379">
        <v>8.0149934938911418</v>
      </c>
      <c r="I5251" s="25">
        <v>35.72</v>
      </c>
      <c r="J5251" s="379">
        <v>1.6843264959660831</v>
      </c>
    </row>
    <row r="5252" spans="1:10" x14ac:dyDescent="0.35">
      <c r="A5252" s="5">
        <v>5248</v>
      </c>
      <c r="B5252" s="5">
        <v>219</v>
      </c>
      <c r="C5252" s="5">
        <v>8</v>
      </c>
      <c r="D5252" s="379">
        <v>40.754999999999995</v>
      </c>
      <c r="E5252" s="25">
        <v>24</v>
      </c>
      <c r="F5252" s="379">
        <v>0.47222222222222221</v>
      </c>
      <c r="G5252" s="25">
        <v>31.52</v>
      </c>
      <c r="H5252" s="379">
        <v>7.6832292330676317</v>
      </c>
      <c r="I5252" s="25">
        <v>35.72</v>
      </c>
      <c r="J5252" s="379">
        <v>2.8581863266695593</v>
      </c>
    </row>
    <row r="5253" spans="1:10" x14ac:dyDescent="0.35">
      <c r="A5253" s="5">
        <v>5249</v>
      </c>
      <c r="B5253" s="5">
        <v>219</v>
      </c>
      <c r="C5253" s="5">
        <v>8</v>
      </c>
      <c r="D5253" s="379">
        <v>59.172222222222217</v>
      </c>
      <c r="E5253" s="25">
        <v>24.84</v>
      </c>
      <c r="F5253" s="379">
        <v>8.1174834595959595</v>
      </c>
      <c r="G5253" s="25">
        <v>31.84</v>
      </c>
      <c r="H5253" s="379">
        <v>7.9735036565341941</v>
      </c>
      <c r="I5253" s="25">
        <v>35.72</v>
      </c>
      <c r="J5253" s="379">
        <v>5.9205743775356492</v>
      </c>
    </row>
    <row r="5254" spans="1:10" x14ac:dyDescent="0.35">
      <c r="A5254" s="5">
        <v>5250</v>
      </c>
      <c r="B5254" s="5">
        <v>219</v>
      </c>
      <c r="C5254" s="5">
        <v>8</v>
      </c>
      <c r="D5254" s="379">
        <v>76.212222222222223</v>
      </c>
      <c r="E5254" s="25">
        <v>24.84</v>
      </c>
      <c r="F5254" s="379">
        <v>12.441623604713763</v>
      </c>
      <c r="G5254" s="25">
        <v>32.04</v>
      </c>
      <c r="H5254" s="379">
        <v>9.1827672671381837</v>
      </c>
      <c r="I5254" s="25">
        <v>37.979999999999997</v>
      </c>
      <c r="J5254" s="379">
        <v>7.1852164897817206</v>
      </c>
    </row>
    <row r="5255" spans="1:10" x14ac:dyDescent="0.35">
      <c r="A5255" s="5">
        <v>5251</v>
      </c>
      <c r="B5255" s="5">
        <v>219</v>
      </c>
      <c r="C5255" s="5">
        <v>8</v>
      </c>
      <c r="D5255" s="379">
        <v>87.508333333333326</v>
      </c>
      <c r="E5255" s="25">
        <v>24.84</v>
      </c>
      <c r="F5255" s="379">
        <v>18.945937495221141</v>
      </c>
      <c r="G5255" s="25">
        <v>37.08</v>
      </c>
      <c r="H5255" s="379">
        <v>10.22901803291</v>
      </c>
      <c r="I5255" s="25">
        <v>47.31</v>
      </c>
      <c r="J5255" s="379">
        <v>7.4678827004333801</v>
      </c>
    </row>
    <row r="5256" spans="1:10" x14ac:dyDescent="0.35">
      <c r="A5256" s="5">
        <v>5252</v>
      </c>
      <c r="B5256" s="5">
        <v>219</v>
      </c>
      <c r="C5256" s="5">
        <v>8</v>
      </c>
      <c r="D5256" s="379">
        <v>95.428888888888878</v>
      </c>
      <c r="E5256" s="25">
        <v>24.84</v>
      </c>
      <c r="F5256" s="379">
        <v>17.713175233653427</v>
      </c>
      <c r="G5256" s="25">
        <v>37.08</v>
      </c>
      <c r="H5256" s="379">
        <v>11.811222387262482</v>
      </c>
      <c r="I5256" s="25">
        <v>48.09</v>
      </c>
      <c r="J5256" s="379">
        <v>7.4525252319272832</v>
      </c>
    </row>
    <row r="5257" spans="1:10" x14ac:dyDescent="0.35">
      <c r="A5257" s="5">
        <v>5253</v>
      </c>
      <c r="B5257" s="5">
        <v>219</v>
      </c>
      <c r="C5257" s="5">
        <v>8</v>
      </c>
      <c r="D5257" s="379">
        <v>98.962222222222223</v>
      </c>
      <c r="E5257" s="25">
        <v>24.84</v>
      </c>
      <c r="F5257" s="379">
        <v>17.718551819486464</v>
      </c>
      <c r="G5257" s="25">
        <v>37.08</v>
      </c>
      <c r="H5257" s="379">
        <v>11.632348845369922</v>
      </c>
      <c r="I5257" s="25">
        <v>48.86</v>
      </c>
      <c r="J5257" s="379">
        <v>7.2995550954069923</v>
      </c>
    </row>
    <row r="5258" spans="1:10" x14ac:dyDescent="0.35">
      <c r="A5258" s="5">
        <v>5254</v>
      </c>
      <c r="B5258" s="5">
        <v>219</v>
      </c>
      <c r="C5258" s="5">
        <v>8</v>
      </c>
      <c r="D5258" s="379">
        <v>93.50500000000001</v>
      </c>
      <c r="E5258" s="25">
        <v>24.84</v>
      </c>
      <c r="F5258" s="379">
        <v>18.73933634312742</v>
      </c>
      <c r="G5258" s="25">
        <v>37.08</v>
      </c>
      <c r="H5258" s="379">
        <v>11.728493540052348</v>
      </c>
      <c r="I5258" s="25">
        <v>47.44</v>
      </c>
      <c r="J5258" s="379">
        <v>7.4396894798272717</v>
      </c>
    </row>
    <row r="5259" spans="1:10" x14ac:dyDescent="0.35">
      <c r="A5259" s="5">
        <v>5255</v>
      </c>
      <c r="B5259" s="5">
        <v>219</v>
      </c>
      <c r="C5259" s="5">
        <v>8</v>
      </c>
      <c r="D5259" s="379">
        <v>83.642777777777781</v>
      </c>
      <c r="E5259" s="25">
        <v>24.84</v>
      </c>
      <c r="F5259" s="379">
        <v>18.507928677970824</v>
      </c>
      <c r="G5259" s="25">
        <v>35.94</v>
      </c>
      <c r="H5259" s="379">
        <v>11.881948247980304</v>
      </c>
      <c r="I5259" s="25">
        <v>41.66</v>
      </c>
      <c r="J5259" s="379">
        <v>7.3939119721302271</v>
      </c>
    </row>
    <row r="5260" spans="1:10" x14ac:dyDescent="0.35">
      <c r="A5260" s="5">
        <v>5256</v>
      </c>
      <c r="B5260" s="5">
        <v>219</v>
      </c>
      <c r="C5260" s="5">
        <v>8</v>
      </c>
      <c r="D5260" s="379">
        <v>73.949444444444438</v>
      </c>
      <c r="E5260" s="25">
        <v>24.84</v>
      </c>
      <c r="F5260" s="379">
        <v>17.749163322423563</v>
      </c>
      <c r="G5260" s="25">
        <v>36.31</v>
      </c>
      <c r="H5260" s="379">
        <v>11.86442693473353</v>
      </c>
      <c r="I5260" s="25">
        <v>36.08</v>
      </c>
      <c r="J5260" s="379">
        <v>7.4256689597114027</v>
      </c>
    </row>
    <row r="5261" spans="1:10" x14ac:dyDescent="0.35">
      <c r="A5261" s="5">
        <v>5257</v>
      </c>
      <c r="B5261" s="5">
        <v>220</v>
      </c>
      <c r="C5261" s="5">
        <v>8</v>
      </c>
      <c r="D5261" s="379">
        <v>67.601666666666659</v>
      </c>
      <c r="E5261" s="25">
        <v>24.84</v>
      </c>
      <c r="F5261" s="379">
        <v>17.693344462026893</v>
      </c>
      <c r="G5261" s="25">
        <v>31.8</v>
      </c>
      <c r="H5261" s="379">
        <v>11.786524789766991</v>
      </c>
      <c r="I5261" s="25">
        <v>35.72</v>
      </c>
      <c r="J5261" s="379">
        <v>7.3904471668296425</v>
      </c>
    </row>
    <row r="5262" spans="1:10" x14ac:dyDescent="0.35">
      <c r="A5262" s="5">
        <v>5258</v>
      </c>
      <c r="B5262" s="5">
        <v>220</v>
      </c>
      <c r="C5262" s="5">
        <v>8</v>
      </c>
      <c r="D5262" s="379">
        <v>67.508888888888876</v>
      </c>
      <c r="E5262" s="25">
        <v>24.84</v>
      </c>
      <c r="F5262" s="379">
        <v>17.693344462026893</v>
      </c>
      <c r="G5262" s="25">
        <v>30.93</v>
      </c>
      <c r="H5262" s="379">
        <v>11.850422288704957</v>
      </c>
      <c r="I5262" s="25">
        <v>35.72</v>
      </c>
      <c r="J5262" s="379">
        <v>7.3596924191184767</v>
      </c>
    </row>
    <row r="5263" spans="1:10" x14ac:dyDescent="0.35">
      <c r="A5263" s="5">
        <v>5259</v>
      </c>
      <c r="B5263" s="5">
        <v>220</v>
      </c>
      <c r="C5263" s="5">
        <v>8</v>
      </c>
      <c r="D5263" s="379">
        <v>67.99944444444445</v>
      </c>
      <c r="E5263" s="25">
        <v>24.73</v>
      </c>
      <c r="F5263" s="379">
        <v>17.060206266005267</v>
      </c>
      <c r="G5263" s="25">
        <v>30.93</v>
      </c>
      <c r="H5263" s="379">
        <v>11.865868134595607</v>
      </c>
      <c r="I5263" s="25">
        <v>35.72</v>
      </c>
      <c r="J5263" s="379">
        <v>7.4355189210287236</v>
      </c>
    </row>
    <row r="5264" spans="1:10" x14ac:dyDescent="0.35">
      <c r="A5264" s="5">
        <v>5260</v>
      </c>
      <c r="B5264" s="5">
        <v>220</v>
      </c>
      <c r="C5264" s="5">
        <v>8</v>
      </c>
      <c r="D5264" s="379">
        <v>68.607222222222219</v>
      </c>
      <c r="E5264" s="25">
        <v>24.73</v>
      </c>
      <c r="F5264" s="379">
        <v>16.520267600794853</v>
      </c>
      <c r="G5264" s="25">
        <v>30.93</v>
      </c>
      <c r="H5264" s="379">
        <v>11.30906762280993</v>
      </c>
      <c r="I5264" s="25">
        <v>35.72</v>
      </c>
      <c r="J5264" s="379">
        <v>7.4597460245976057</v>
      </c>
    </row>
    <row r="5265" spans="1:10" x14ac:dyDescent="0.35">
      <c r="A5265" s="5">
        <v>5261</v>
      </c>
      <c r="B5265" s="5">
        <v>220</v>
      </c>
      <c r="C5265" s="5">
        <v>8</v>
      </c>
      <c r="D5265" s="379">
        <v>76.335000000000008</v>
      </c>
      <c r="E5265" s="25">
        <v>24.73</v>
      </c>
      <c r="F5265" s="379">
        <v>17.318101617432031</v>
      </c>
      <c r="G5265" s="25">
        <v>30.93</v>
      </c>
      <c r="H5265" s="379">
        <v>11.294141536713663</v>
      </c>
      <c r="I5265" s="25">
        <v>35.72</v>
      </c>
      <c r="J5265" s="379">
        <v>7.4626178921296216</v>
      </c>
    </row>
    <row r="5266" spans="1:10" x14ac:dyDescent="0.35">
      <c r="A5266" s="5">
        <v>5262</v>
      </c>
      <c r="B5266" s="5">
        <v>220</v>
      </c>
      <c r="C5266" s="5">
        <v>8</v>
      </c>
      <c r="D5266" s="379">
        <v>88.587777777777788</v>
      </c>
      <c r="E5266" s="25">
        <v>24.73</v>
      </c>
      <c r="F5266" s="379">
        <v>17.107589324932217</v>
      </c>
      <c r="G5266" s="25">
        <v>30.93</v>
      </c>
      <c r="H5266" s="379">
        <v>11.762779436041255</v>
      </c>
      <c r="I5266" s="25">
        <v>35.72</v>
      </c>
      <c r="J5266" s="379">
        <v>7.4304618072031232</v>
      </c>
    </row>
    <row r="5267" spans="1:10" x14ac:dyDescent="0.35">
      <c r="A5267" s="5">
        <v>5263</v>
      </c>
      <c r="B5267" s="5">
        <v>220</v>
      </c>
      <c r="C5267" s="5">
        <v>8</v>
      </c>
      <c r="D5267" s="379">
        <v>98.066111111111113</v>
      </c>
      <c r="E5267" s="25">
        <v>24.84</v>
      </c>
      <c r="F5267" s="379">
        <v>15.259636722440526</v>
      </c>
      <c r="G5267" s="25">
        <v>30.93</v>
      </c>
      <c r="H5267" s="379">
        <v>11.491834431913359</v>
      </c>
      <c r="I5267" s="25">
        <v>35.72</v>
      </c>
      <c r="J5267" s="379">
        <v>7.077347933952546</v>
      </c>
    </row>
    <row r="5268" spans="1:10" x14ac:dyDescent="0.35">
      <c r="A5268" s="5">
        <v>5264</v>
      </c>
      <c r="B5268" s="5">
        <v>220</v>
      </c>
      <c r="C5268" s="5">
        <v>8</v>
      </c>
      <c r="D5268" s="379">
        <v>96.766666666666666</v>
      </c>
      <c r="E5268" s="25">
        <v>24.84</v>
      </c>
      <c r="F5268" s="379">
        <v>16.6576260382997</v>
      </c>
      <c r="G5268" s="25">
        <v>30.93</v>
      </c>
      <c r="H5268" s="379">
        <v>11.408277453016225</v>
      </c>
      <c r="I5268" s="25">
        <v>35.72</v>
      </c>
      <c r="J5268" s="379">
        <v>6.8018604943655836</v>
      </c>
    </row>
    <row r="5269" spans="1:10" x14ac:dyDescent="0.35">
      <c r="A5269" s="5">
        <v>5265</v>
      </c>
      <c r="B5269" s="5">
        <v>220</v>
      </c>
      <c r="C5269" s="5">
        <v>8</v>
      </c>
      <c r="D5269" s="379">
        <v>87.591111111111118</v>
      </c>
      <c r="E5269" s="25">
        <v>24.84</v>
      </c>
      <c r="F5269" s="379">
        <v>9.6316590780458959</v>
      </c>
      <c r="G5269" s="25">
        <v>30.95</v>
      </c>
      <c r="H5269" s="379">
        <v>10.437959579925987</v>
      </c>
      <c r="I5269" s="25">
        <v>35.72</v>
      </c>
      <c r="J5269" s="379">
        <v>6.4926575190221074</v>
      </c>
    </row>
    <row r="5270" spans="1:10" x14ac:dyDescent="0.35">
      <c r="A5270" s="5">
        <v>5266</v>
      </c>
      <c r="B5270" s="5">
        <v>220</v>
      </c>
      <c r="C5270" s="5">
        <v>8</v>
      </c>
      <c r="D5270" s="379">
        <v>78.13666666666667</v>
      </c>
      <c r="E5270" s="25">
        <v>24.84</v>
      </c>
      <c r="F5270" s="379">
        <v>8.1174834595959613</v>
      </c>
      <c r="G5270" s="25">
        <v>31.11</v>
      </c>
      <c r="H5270" s="379">
        <v>8.3228262380754856</v>
      </c>
      <c r="I5270" s="25">
        <v>34.35</v>
      </c>
      <c r="J5270" s="379">
        <v>3.6632764520202015</v>
      </c>
    </row>
    <row r="5271" spans="1:10" x14ac:dyDescent="0.35">
      <c r="A5271" s="5">
        <v>5267</v>
      </c>
      <c r="B5271" s="5">
        <v>220</v>
      </c>
      <c r="C5271" s="5">
        <v>8</v>
      </c>
      <c r="D5271" s="379">
        <v>70.725555555555559</v>
      </c>
      <c r="E5271" s="25">
        <v>23.59</v>
      </c>
      <c r="F5271" s="379">
        <v>5.5427428871304736</v>
      </c>
      <c r="G5271" s="25">
        <v>30.95</v>
      </c>
      <c r="H5271" s="379">
        <v>7.7154559168044878</v>
      </c>
      <c r="I5271" s="25">
        <v>34.25</v>
      </c>
      <c r="J5271" s="379">
        <v>3.8562125973523642</v>
      </c>
    </row>
    <row r="5272" spans="1:10" x14ac:dyDescent="0.35">
      <c r="A5272" s="5">
        <v>5268</v>
      </c>
      <c r="B5272" s="5">
        <v>220</v>
      </c>
      <c r="C5272" s="5">
        <v>8</v>
      </c>
      <c r="D5272" s="379">
        <v>67.661111111111111</v>
      </c>
      <c r="E5272" s="25">
        <v>22.07</v>
      </c>
      <c r="F5272" s="379">
        <v>5.0356398201534533</v>
      </c>
      <c r="G5272" s="25">
        <v>31.11</v>
      </c>
      <c r="H5272" s="379">
        <v>8.0531357824577547</v>
      </c>
      <c r="I5272" s="25">
        <v>34.25</v>
      </c>
      <c r="J5272" s="379">
        <v>3.2353554419914481</v>
      </c>
    </row>
    <row r="5273" spans="1:10" x14ac:dyDescent="0.35">
      <c r="A5273" s="5">
        <v>5269</v>
      </c>
      <c r="B5273" s="5">
        <v>220</v>
      </c>
      <c r="C5273" s="5">
        <v>8</v>
      </c>
      <c r="D5273" s="379">
        <v>68.780555555555551</v>
      </c>
      <c r="E5273" s="25">
        <v>21.88</v>
      </c>
      <c r="F5273" s="379">
        <v>5.0356398201534533</v>
      </c>
      <c r="G5273" s="25">
        <v>30.88</v>
      </c>
      <c r="H5273" s="379">
        <v>7.3959167538270236</v>
      </c>
      <c r="I5273" s="25">
        <v>34.25</v>
      </c>
      <c r="J5273" s="379">
        <v>4.3502998157904909</v>
      </c>
    </row>
    <row r="5274" spans="1:10" x14ac:dyDescent="0.35">
      <c r="A5274" s="5">
        <v>5270</v>
      </c>
      <c r="B5274" s="5">
        <v>220</v>
      </c>
      <c r="C5274" s="5">
        <v>8</v>
      </c>
      <c r="D5274" s="379">
        <v>68.945555555555558</v>
      </c>
      <c r="E5274" s="25">
        <v>21.88</v>
      </c>
      <c r="F5274" s="379">
        <v>5.0356398201534533</v>
      </c>
      <c r="G5274" s="25">
        <v>30.57</v>
      </c>
      <c r="H5274" s="379">
        <v>6.7488950089099333</v>
      </c>
      <c r="I5274" s="25">
        <v>34.25</v>
      </c>
      <c r="J5274" s="379">
        <v>4.3502998157904909</v>
      </c>
    </row>
    <row r="5275" spans="1:10" x14ac:dyDescent="0.35">
      <c r="A5275" s="5">
        <v>5271</v>
      </c>
      <c r="B5275" s="5">
        <v>220</v>
      </c>
      <c r="C5275" s="5">
        <v>8</v>
      </c>
      <c r="D5275" s="379">
        <v>73.774444444444455</v>
      </c>
      <c r="E5275" s="25">
        <v>21.88</v>
      </c>
      <c r="F5275" s="379">
        <v>5.0356398201534533</v>
      </c>
      <c r="G5275" s="25">
        <v>30.62</v>
      </c>
      <c r="H5275" s="379">
        <v>7.1976212909140873</v>
      </c>
      <c r="I5275" s="25">
        <v>34.25</v>
      </c>
      <c r="J5275" s="379">
        <v>4.3502998157904909</v>
      </c>
    </row>
    <row r="5276" spans="1:10" x14ac:dyDescent="0.35">
      <c r="A5276" s="5">
        <v>5272</v>
      </c>
      <c r="B5276" s="5">
        <v>220</v>
      </c>
      <c r="C5276" s="5">
        <v>8</v>
      </c>
      <c r="D5276" s="379">
        <v>81.460555555555544</v>
      </c>
      <c r="E5276" s="25">
        <v>21.88</v>
      </c>
      <c r="F5276" s="379">
        <v>8.1174834595959577</v>
      </c>
      <c r="G5276" s="25">
        <v>30.8</v>
      </c>
      <c r="H5276" s="379">
        <v>6.7270244845843949</v>
      </c>
      <c r="I5276" s="25">
        <v>34.01</v>
      </c>
      <c r="J5276" s="379">
        <v>4.2533475183628164</v>
      </c>
    </row>
    <row r="5277" spans="1:10" x14ac:dyDescent="0.35">
      <c r="A5277" s="5">
        <v>5273</v>
      </c>
      <c r="B5277" s="5">
        <v>220</v>
      </c>
      <c r="C5277" s="5">
        <v>8</v>
      </c>
      <c r="D5277" s="379">
        <v>97.987777777777765</v>
      </c>
      <c r="E5277" s="25">
        <v>23.59</v>
      </c>
      <c r="F5277" s="379">
        <v>8.1174834595959613</v>
      </c>
      <c r="G5277" s="25">
        <v>30.93</v>
      </c>
      <c r="H5277" s="379">
        <v>8.0981253557905664</v>
      </c>
      <c r="I5277" s="25">
        <v>34.25</v>
      </c>
      <c r="J5277" s="379">
        <v>5.7322012698721085</v>
      </c>
    </row>
    <row r="5278" spans="1:10" x14ac:dyDescent="0.35">
      <c r="A5278" s="5">
        <v>5274</v>
      </c>
      <c r="B5278" s="5">
        <v>220</v>
      </c>
      <c r="C5278" s="5">
        <v>8</v>
      </c>
      <c r="D5278" s="379">
        <v>105.23888888888889</v>
      </c>
      <c r="E5278" s="25">
        <v>24.84</v>
      </c>
      <c r="F5278" s="379">
        <v>9.2106023975744478</v>
      </c>
      <c r="G5278" s="25">
        <v>31.11</v>
      </c>
      <c r="H5278" s="379">
        <v>10.409057329693598</v>
      </c>
      <c r="I5278" s="25">
        <v>35.72</v>
      </c>
      <c r="J5278" s="379">
        <v>7.48028110760806</v>
      </c>
    </row>
    <row r="5279" spans="1:10" x14ac:dyDescent="0.35">
      <c r="A5279" s="5">
        <v>5275</v>
      </c>
      <c r="B5279" s="5">
        <v>220</v>
      </c>
      <c r="C5279" s="5">
        <v>8</v>
      </c>
      <c r="D5279" s="379">
        <v>111.46166666666666</v>
      </c>
      <c r="E5279" s="25">
        <v>24.84</v>
      </c>
      <c r="F5279" s="379">
        <v>16.987353935664146</v>
      </c>
      <c r="G5279" s="25">
        <v>37.020000000000003</v>
      </c>
      <c r="H5279" s="379">
        <v>10.720020322216998</v>
      </c>
      <c r="I5279" s="25">
        <v>46.06</v>
      </c>
      <c r="J5279" s="379">
        <v>7.441135542075612</v>
      </c>
    </row>
    <row r="5280" spans="1:10" x14ac:dyDescent="0.35">
      <c r="A5280" s="5">
        <v>5276</v>
      </c>
      <c r="B5280" s="5">
        <v>220</v>
      </c>
      <c r="C5280" s="5">
        <v>8</v>
      </c>
      <c r="D5280" s="379">
        <v>109.29555555555557</v>
      </c>
      <c r="E5280" s="25">
        <v>24.84</v>
      </c>
      <c r="F5280" s="379">
        <v>15.574922200465837</v>
      </c>
      <c r="G5280" s="25">
        <v>38.61</v>
      </c>
      <c r="H5280" s="379">
        <v>11.26804649221334</v>
      </c>
      <c r="I5280" s="25">
        <v>51.02</v>
      </c>
      <c r="J5280" s="379">
        <v>7.4239527434366792</v>
      </c>
    </row>
    <row r="5281" spans="1:10" x14ac:dyDescent="0.35">
      <c r="A5281" s="5">
        <v>5277</v>
      </c>
      <c r="B5281" s="5">
        <v>220</v>
      </c>
      <c r="C5281" s="5">
        <v>8</v>
      </c>
      <c r="D5281" s="379">
        <v>102.80555555555556</v>
      </c>
      <c r="E5281" s="25">
        <v>24.84</v>
      </c>
      <c r="F5281" s="379">
        <v>16.839193232059401</v>
      </c>
      <c r="G5281" s="25">
        <v>43.56</v>
      </c>
      <c r="H5281" s="379">
        <v>10.560839569510655</v>
      </c>
      <c r="I5281" s="25">
        <v>54.87</v>
      </c>
      <c r="J5281" s="379">
        <v>7.3557206233914219</v>
      </c>
    </row>
    <row r="5282" spans="1:10" x14ac:dyDescent="0.35">
      <c r="A5282" s="5">
        <v>5278</v>
      </c>
      <c r="B5282" s="5">
        <v>220</v>
      </c>
      <c r="C5282" s="5">
        <v>8</v>
      </c>
      <c r="D5282" s="379">
        <v>96.293888888888887</v>
      </c>
      <c r="E5282" s="25">
        <v>24.84</v>
      </c>
      <c r="F5282" s="379">
        <v>16.789043104160225</v>
      </c>
      <c r="G5282" s="25">
        <v>43.56</v>
      </c>
      <c r="H5282" s="379">
        <v>10.693470373664715</v>
      </c>
      <c r="I5282" s="25">
        <v>54.87</v>
      </c>
      <c r="J5282" s="379">
        <v>6.987601014736712</v>
      </c>
    </row>
    <row r="5283" spans="1:10" x14ac:dyDescent="0.35">
      <c r="A5283" s="5">
        <v>5279</v>
      </c>
      <c r="B5283" s="5">
        <v>220</v>
      </c>
      <c r="C5283" s="5">
        <v>8</v>
      </c>
      <c r="D5283" s="379">
        <v>88.205555555555563</v>
      </c>
      <c r="E5283" s="25">
        <v>24.84</v>
      </c>
      <c r="F5283" s="379">
        <v>15.939849995715129</v>
      </c>
      <c r="G5283" s="25">
        <v>38.61</v>
      </c>
      <c r="H5283" s="379">
        <v>10.996292033150111</v>
      </c>
      <c r="I5283" s="25">
        <v>50.19</v>
      </c>
      <c r="J5283" s="379">
        <v>7.3419513680142821</v>
      </c>
    </row>
    <row r="5284" spans="1:10" x14ac:dyDescent="0.35">
      <c r="A5284" s="5">
        <v>5280</v>
      </c>
      <c r="B5284" s="5">
        <v>220</v>
      </c>
      <c r="C5284" s="5">
        <v>8</v>
      </c>
      <c r="D5284" s="379">
        <v>79.606111111111105</v>
      </c>
      <c r="E5284" s="25">
        <v>24.84</v>
      </c>
      <c r="F5284" s="379">
        <v>15.567874010308653</v>
      </c>
      <c r="G5284" s="25">
        <v>37.020000000000003</v>
      </c>
      <c r="H5284" s="379">
        <v>10.600181789731458</v>
      </c>
      <c r="I5284" s="25">
        <v>47.53</v>
      </c>
      <c r="J5284" s="379">
        <v>7.4692815113726407</v>
      </c>
    </row>
    <row r="5285" spans="1:10" x14ac:dyDescent="0.35">
      <c r="A5285" s="5">
        <v>5281</v>
      </c>
      <c r="B5285" s="5">
        <v>221</v>
      </c>
      <c r="C5285" s="5">
        <v>8</v>
      </c>
      <c r="D5285" s="379">
        <v>71.703888888888898</v>
      </c>
      <c r="E5285" s="25">
        <v>24.84</v>
      </c>
      <c r="F5285" s="379">
        <v>16.219875804700788</v>
      </c>
      <c r="G5285" s="25">
        <v>42.29</v>
      </c>
      <c r="H5285" s="379">
        <v>10.496269497736039</v>
      </c>
      <c r="I5285" s="25">
        <v>48.86</v>
      </c>
      <c r="J5285" s="379">
        <v>7.4210938253374783</v>
      </c>
    </row>
    <row r="5286" spans="1:10" x14ac:dyDescent="0.35">
      <c r="A5286" s="5">
        <v>5282</v>
      </c>
      <c r="B5286" s="5">
        <v>221</v>
      </c>
      <c r="C5286" s="5">
        <v>8</v>
      </c>
      <c r="D5286" s="379">
        <v>70.083333333333329</v>
      </c>
      <c r="E5286" s="25">
        <v>24.84</v>
      </c>
      <c r="F5286" s="379">
        <v>16.109408983577541</v>
      </c>
      <c r="G5286" s="25">
        <v>42.29</v>
      </c>
      <c r="H5286" s="379">
        <v>10.278743292004453</v>
      </c>
      <c r="I5286" s="25">
        <v>48.86</v>
      </c>
      <c r="J5286" s="379">
        <v>7.3648822025387721</v>
      </c>
    </row>
    <row r="5287" spans="1:10" x14ac:dyDescent="0.35">
      <c r="A5287" s="5">
        <v>5283</v>
      </c>
      <c r="B5287" s="5">
        <v>221</v>
      </c>
      <c r="C5287" s="5">
        <v>8</v>
      </c>
      <c r="D5287" s="379">
        <v>68.206111111111113</v>
      </c>
      <c r="E5287" s="25">
        <v>24.84</v>
      </c>
      <c r="F5287" s="379">
        <v>15.531440937341955</v>
      </c>
      <c r="G5287" s="25">
        <v>42.29</v>
      </c>
      <c r="H5287" s="379">
        <v>9.2135696642061014</v>
      </c>
      <c r="I5287" s="25">
        <v>48.86</v>
      </c>
      <c r="J5287" s="379">
        <v>7.301180743391936</v>
      </c>
    </row>
    <row r="5288" spans="1:10" x14ac:dyDescent="0.35">
      <c r="A5288" s="5">
        <v>5284</v>
      </c>
      <c r="B5288" s="5">
        <v>221</v>
      </c>
      <c r="C5288" s="5">
        <v>8</v>
      </c>
      <c r="D5288" s="379">
        <v>70.098333333333329</v>
      </c>
      <c r="E5288" s="25">
        <v>24.84</v>
      </c>
      <c r="F5288" s="379">
        <v>15.693379708541517</v>
      </c>
      <c r="G5288" s="25">
        <v>42.29</v>
      </c>
      <c r="H5288" s="379">
        <v>8.8133300027233865</v>
      </c>
      <c r="I5288" s="25">
        <v>48.86</v>
      </c>
      <c r="J5288" s="379">
        <v>7.2789700153625869</v>
      </c>
    </row>
    <row r="5289" spans="1:10" x14ac:dyDescent="0.35">
      <c r="A5289" s="5">
        <v>5285</v>
      </c>
      <c r="B5289" s="5">
        <v>221</v>
      </c>
      <c r="C5289" s="5">
        <v>8</v>
      </c>
      <c r="D5289" s="379">
        <v>74.527777777777786</v>
      </c>
      <c r="E5289" s="25">
        <v>24.84</v>
      </c>
      <c r="F5289" s="379">
        <v>15.399979609433991</v>
      </c>
      <c r="G5289" s="25">
        <v>43.12</v>
      </c>
      <c r="H5289" s="379">
        <v>8.3349020808490533</v>
      </c>
      <c r="I5289" s="25">
        <v>53.27</v>
      </c>
      <c r="J5289" s="379">
        <v>7.32120871096493</v>
      </c>
    </row>
    <row r="5290" spans="1:10" x14ac:dyDescent="0.35">
      <c r="A5290" s="5">
        <v>5286</v>
      </c>
      <c r="B5290" s="5">
        <v>221</v>
      </c>
      <c r="C5290" s="5">
        <v>8</v>
      </c>
      <c r="D5290" s="379">
        <v>89.38111111111111</v>
      </c>
      <c r="E5290" s="25">
        <v>24.84</v>
      </c>
      <c r="F5290" s="379">
        <v>14.417805834104829</v>
      </c>
      <c r="G5290" s="25">
        <v>43.56</v>
      </c>
      <c r="H5290" s="379">
        <v>8.7309693975843086</v>
      </c>
      <c r="I5290" s="25">
        <v>53.32</v>
      </c>
      <c r="J5290" s="379">
        <v>7.0936783577620357</v>
      </c>
    </row>
    <row r="5291" spans="1:10" x14ac:dyDescent="0.35">
      <c r="A5291" s="5">
        <v>5287</v>
      </c>
      <c r="B5291" s="5">
        <v>221</v>
      </c>
      <c r="C5291" s="5">
        <v>8</v>
      </c>
      <c r="D5291" s="379">
        <v>96.232222222222219</v>
      </c>
      <c r="E5291" s="25">
        <v>25.59</v>
      </c>
      <c r="F5291" s="379">
        <v>12.364575877169999</v>
      </c>
      <c r="G5291" s="25">
        <v>47.46</v>
      </c>
      <c r="H5291" s="379">
        <v>8.6874225841446986</v>
      </c>
      <c r="I5291" s="25">
        <v>57.49</v>
      </c>
      <c r="J5291" s="379">
        <v>6.7503138172377666</v>
      </c>
    </row>
    <row r="5292" spans="1:10" x14ac:dyDescent="0.35">
      <c r="A5292" s="5">
        <v>5288</v>
      </c>
      <c r="B5292" s="5">
        <v>221</v>
      </c>
      <c r="C5292" s="5">
        <v>8</v>
      </c>
      <c r="D5292" s="379">
        <v>95.016111111111101</v>
      </c>
      <c r="E5292" s="25">
        <v>25.59</v>
      </c>
      <c r="F5292" s="379">
        <v>8.8072157325823728</v>
      </c>
      <c r="G5292" s="25">
        <v>47.46</v>
      </c>
      <c r="H5292" s="379">
        <v>8.6349927321233544</v>
      </c>
      <c r="I5292" s="25">
        <v>57.49</v>
      </c>
      <c r="J5292" s="379">
        <v>0.60895147426391338</v>
      </c>
    </row>
    <row r="5293" spans="1:10" x14ac:dyDescent="0.35">
      <c r="A5293" s="5">
        <v>5289</v>
      </c>
      <c r="B5293" s="5">
        <v>221</v>
      </c>
      <c r="C5293" s="5">
        <v>8</v>
      </c>
      <c r="D5293" s="379">
        <v>86.515555555555565</v>
      </c>
      <c r="E5293" s="25">
        <v>25.59</v>
      </c>
      <c r="F5293" s="379">
        <v>8.4451362247031661</v>
      </c>
      <c r="G5293" s="25">
        <v>47.46</v>
      </c>
      <c r="H5293" s="379">
        <v>8.0400649596390448</v>
      </c>
      <c r="I5293" s="25">
        <v>57.49</v>
      </c>
      <c r="J5293" s="379">
        <v>0.27777777777777779</v>
      </c>
    </row>
    <row r="5294" spans="1:10" x14ac:dyDescent="0.35">
      <c r="A5294" s="5">
        <v>5290</v>
      </c>
      <c r="B5294" s="5">
        <v>221</v>
      </c>
      <c r="C5294" s="5">
        <v>8</v>
      </c>
      <c r="D5294" s="379">
        <v>77.313888888888883</v>
      </c>
      <c r="E5294" s="25">
        <v>24.99</v>
      </c>
      <c r="F5294" s="379">
        <v>0.47222222222222221</v>
      </c>
      <c r="G5294" s="25">
        <v>46.98</v>
      </c>
      <c r="H5294" s="379">
        <v>5.2647664233707108</v>
      </c>
      <c r="I5294" s="25">
        <v>53.71</v>
      </c>
      <c r="J5294" s="379">
        <v>0.27777777777777779</v>
      </c>
    </row>
    <row r="5295" spans="1:10" x14ac:dyDescent="0.35">
      <c r="A5295" s="5">
        <v>5291</v>
      </c>
      <c r="B5295" s="5">
        <v>221</v>
      </c>
      <c r="C5295" s="5">
        <v>8</v>
      </c>
      <c r="D5295" s="379">
        <v>69.188333333333318</v>
      </c>
      <c r="E5295" s="25">
        <v>24.99</v>
      </c>
      <c r="F5295" s="379">
        <v>5.2083306482968252</v>
      </c>
      <c r="G5295" s="25">
        <v>44.28</v>
      </c>
      <c r="H5295" s="379">
        <v>0.47222222222222221</v>
      </c>
      <c r="I5295" s="25">
        <v>48.86</v>
      </c>
      <c r="J5295" s="379">
        <v>0.27777777777777779</v>
      </c>
    </row>
    <row r="5296" spans="1:10" x14ac:dyDescent="0.35">
      <c r="A5296" s="5">
        <v>5292</v>
      </c>
      <c r="B5296" s="5">
        <v>221</v>
      </c>
      <c r="C5296" s="5">
        <v>8</v>
      </c>
      <c r="D5296" s="379">
        <v>67.037222222222212</v>
      </c>
      <c r="E5296" s="25">
        <v>24.84</v>
      </c>
      <c r="F5296" s="379">
        <v>5.2083306482968252</v>
      </c>
      <c r="G5296" s="25">
        <v>43.56</v>
      </c>
      <c r="H5296" s="379">
        <v>3.6663994985607968</v>
      </c>
      <c r="I5296" s="25">
        <v>48.86</v>
      </c>
      <c r="J5296" s="379">
        <v>0.83833236226451691</v>
      </c>
    </row>
    <row r="5297" spans="1:10" x14ac:dyDescent="0.35">
      <c r="A5297" s="5">
        <v>5293</v>
      </c>
      <c r="B5297" s="5">
        <v>221</v>
      </c>
      <c r="C5297" s="5">
        <v>8</v>
      </c>
      <c r="D5297" s="379">
        <v>63.336111111111109</v>
      </c>
      <c r="E5297" s="25">
        <v>24.84</v>
      </c>
      <c r="F5297" s="379">
        <v>5.2083306482968252</v>
      </c>
      <c r="G5297" s="25">
        <v>43.56</v>
      </c>
      <c r="H5297" s="379">
        <v>4.4928104817417873</v>
      </c>
      <c r="I5297" s="25">
        <v>48.86</v>
      </c>
      <c r="J5297" s="379">
        <v>0.51749298592962445</v>
      </c>
    </row>
    <row r="5298" spans="1:10" x14ac:dyDescent="0.35">
      <c r="A5298" s="5">
        <v>5294</v>
      </c>
      <c r="B5298" s="5">
        <v>221</v>
      </c>
      <c r="C5298" s="5">
        <v>8</v>
      </c>
      <c r="D5298" s="379">
        <v>64.295555555555552</v>
      </c>
      <c r="E5298" s="25">
        <v>24.84</v>
      </c>
      <c r="F5298" s="379">
        <v>3.4080314232183149</v>
      </c>
      <c r="G5298" s="25">
        <v>43.56</v>
      </c>
      <c r="H5298" s="379">
        <v>2.94981579220569</v>
      </c>
      <c r="I5298" s="25">
        <v>48.86</v>
      </c>
      <c r="J5298" s="379">
        <v>1.1741966388537171</v>
      </c>
    </row>
    <row r="5299" spans="1:10" x14ac:dyDescent="0.35">
      <c r="A5299" s="5">
        <v>5295</v>
      </c>
      <c r="B5299" s="5">
        <v>221</v>
      </c>
      <c r="C5299" s="5">
        <v>8</v>
      </c>
      <c r="D5299" s="379">
        <v>66.222777777777779</v>
      </c>
      <c r="E5299" s="25">
        <v>24.84</v>
      </c>
      <c r="F5299" s="379">
        <v>6.1981115990780538</v>
      </c>
      <c r="G5299" s="25">
        <v>43.56</v>
      </c>
      <c r="H5299" s="379">
        <v>5.0032232851690148</v>
      </c>
      <c r="I5299" s="25">
        <v>48.86</v>
      </c>
      <c r="J5299" s="379">
        <v>2.3765642401254659</v>
      </c>
    </row>
    <row r="5300" spans="1:10" x14ac:dyDescent="0.35">
      <c r="A5300" s="5">
        <v>5296</v>
      </c>
      <c r="B5300" s="5">
        <v>221</v>
      </c>
      <c r="C5300" s="5">
        <v>8</v>
      </c>
      <c r="D5300" s="379">
        <v>73.974444444444444</v>
      </c>
      <c r="E5300" s="25">
        <v>24.88</v>
      </c>
      <c r="F5300" s="379">
        <v>6.1669958197764068</v>
      </c>
      <c r="G5300" s="25">
        <v>43.56</v>
      </c>
      <c r="H5300" s="379">
        <v>5.0562551282185586</v>
      </c>
      <c r="I5300" s="25">
        <v>48.86</v>
      </c>
      <c r="J5300" s="379">
        <v>2.4604205652137221</v>
      </c>
    </row>
    <row r="5301" spans="1:10" x14ac:dyDescent="0.35">
      <c r="A5301" s="5">
        <v>5297</v>
      </c>
      <c r="B5301" s="5">
        <v>221</v>
      </c>
      <c r="C5301" s="5">
        <v>8</v>
      </c>
      <c r="D5301" s="379">
        <v>86.543333333333322</v>
      </c>
      <c r="E5301" s="25">
        <v>24.99</v>
      </c>
      <c r="F5301" s="379">
        <v>9.484070630992127</v>
      </c>
      <c r="G5301" s="25">
        <v>46.98</v>
      </c>
      <c r="H5301" s="379">
        <v>8.9088790650631626</v>
      </c>
      <c r="I5301" s="25">
        <v>51.72</v>
      </c>
      <c r="J5301" s="379">
        <v>6.5111013852575192</v>
      </c>
    </row>
    <row r="5302" spans="1:10" x14ac:dyDescent="0.35">
      <c r="A5302" s="5">
        <v>5298</v>
      </c>
      <c r="B5302" s="5">
        <v>221</v>
      </c>
      <c r="C5302" s="5">
        <v>8</v>
      </c>
      <c r="D5302" s="379">
        <v>99.838888888888874</v>
      </c>
      <c r="E5302" s="25">
        <v>24.99</v>
      </c>
      <c r="F5302" s="379">
        <v>15.721025968380777</v>
      </c>
      <c r="G5302" s="25">
        <v>47.46</v>
      </c>
      <c r="H5302" s="379">
        <v>10.627620673892132</v>
      </c>
      <c r="I5302" s="25">
        <v>53.71</v>
      </c>
      <c r="J5302" s="379">
        <v>7.5240007319258471</v>
      </c>
    </row>
    <row r="5303" spans="1:10" x14ac:dyDescent="0.35">
      <c r="A5303" s="5">
        <v>5299</v>
      </c>
      <c r="B5303" s="5">
        <v>221</v>
      </c>
      <c r="C5303" s="5">
        <v>8</v>
      </c>
      <c r="D5303" s="379">
        <v>107.00055555555555</v>
      </c>
      <c r="E5303" s="25">
        <v>25.59</v>
      </c>
      <c r="F5303" s="379">
        <v>19.837017781253941</v>
      </c>
      <c r="G5303" s="25">
        <v>47.46</v>
      </c>
      <c r="H5303" s="379">
        <v>11.815576866443148</v>
      </c>
      <c r="I5303" s="25">
        <v>57.49</v>
      </c>
      <c r="J5303" s="379">
        <v>7.3378918371219024</v>
      </c>
    </row>
    <row r="5304" spans="1:10" x14ac:dyDescent="0.35">
      <c r="A5304" s="5">
        <v>5300</v>
      </c>
      <c r="B5304" s="5">
        <v>221</v>
      </c>
      <c r="C5304" s="5">
        <v>8</v>
      </c>
      <c r="D5304" s="379">
        <v>105.87333333333333</v>
      </c>
      <c r="E5304" s="25">
        <v>25.59</v>
      </c>
      <c r="F5304" s="379">
        <v>19.836085250643372</v>
      </c>
      <c r="G5304" s="25">
        <v>47.46</v>
      </c>
      <c r="H5304" s="379">
        <v>11.950718862124381</v>
      </c>
      <c r="I5304" s="25">
        <v>57.49</v>
      </c>
      <c r="J5304" s="379">
        <v>7.2450660117085723</v>
      </c>
    </row>
    <row r="5305" spans="1:10" x14ac:dyDescent="0.35">
      <c r="A5305" s="5">
        <v>5301</v>
      </c>
      <c r="B5305" s="5">
        <v>221</v>
      </c>
      <c r="C5305" s="5">
        <v>8</v>
      </c>
      <c r="D5305" s="379">
        <v>98.695000000000007</v>
      </c>
      <c r="E5305" s="25">
        <v>25.59</v>
      </c>
      <c r="F5305" s="379">
        <v>20.154351057148656</v>
      </c>
      <c r="G5305" s="25">
        <v>47.46</v>
      </c>
      <c r="H5305" s="379">
        <v>11.986779647639414</v>
      </c>
      <c r="I5305" s="25">
        <v>62.27</v>
      </c>
      <c r="J5305" s="379">
        <v>7.1034342453640198</v>
      </c>
    </row>
    <row r="5306" spans="1:10" x14ac:dyDescent="0.35">
      <c r="A5306" s="5">
        <v>5302</v>
      </c>
      <c r="B5306" s="5">
        <v>221</v>
      </c>
      <c r="C5306" s="5">
        <v>8</v>
      </c>
      <c r="D5306" s="379">
        <v>93.080555555555563</v>
      </c>
      <c r="E5306" s="25">
        <v>25.59</v>
      </c>
      <c r="F5306" s="379">
        <v>20.650665697951066</v>
      </c>
      <c r="G5306" s="25">
        <v>46.21</v>
      </c>
      <c r="H5306" s="379">
        <v>11.778854125783282</v>
      </c>
      <c r="I5306" s="25">
        <v>62.27</v>
      </c>
      <c r="J5306" s="379">
        <v>7.2787007227006049</v>
      </c>
    </row>
    <row r="5307" spans="1:10" x14ac:dyDescent="0.35">
      <c r="A5307" s="5">
        <v>5303</v>
      </c>
      <c r="B5307" s="5">
        <v>221</v>
      </c>
      <c r="C5307" s="5">
        <v>8</v>
      </c>
      <c r="D5307" s="379">
        <v>79.068333333333342</v>
      </c>
      <c r="E5307" s="25">
        <v>24.99</v>
      </c>
      <c r="F5307" s="379">
        <v>20.635372130007806</v>
      </c>
      <c r="G5307" s="25">
        <v>44.86</v>
      </c>
      <c r="H5307" s="379">
        <v>11.870951935718805</v>
      </c>
      <c r="I5307" s="25">
        <v>55.66</v>
      </c>
      <c r="J5307" s="379">
        <v>7.4666084399967785</v>
      </c>
    </row>
    <row r="5308" spans="1:10" x14ac:dyDescent="0.35">
      <c r="A5308" s="5">
        <v>5304</v>
      </c>
      <c r="B5308" s="5">
        <v>221</v>
      </c>
      <c r="C5308" s="5">
        <v>8</v>
      </c>
      <c r="D5308" s="379">
        <v>70.652222222222221</v>
      </c>
      <c r="E5308" s="25">
        <v>24.84</v>
      </c>
      <c r="F5308" s="379">
        <v>18.347632284794493</v>
      </c>
      <c r="G5308" s="25">
        <v>43.56</v>
      </c>
      <c r="H5308" s="379">
        <v>11.814789283120524</v>
      </c>
      <c r="I5308" s="25">
        <v>53.71</v>
      </c>
      <c r="J5308" s="379">
        <v>7.4524656408488497</v>
      </c>
    </row>
    <row r="5309" spans="1:10" x14ac:dyDescent="0.35">
      <c r="A5309" s="5">
        <v>5305</v>
      </c>
      <c r="B5309" s="5">
        <v>222</v>
      </c>
      <c r="C5309" s="5">
        <v>8</v>
      </c>
      <c r="D5309" s="379">
        <v>69.427222222222227</v>
      </c>
      <c r="E5309" s="25">
        <v>24.84</v>
      </c>
      <c r="F5309" s="379">
        <v>17.138730725090248</v>
      </c>
      <c r="G5309" s="25">
        <v>42.29</v>
      </c>
      <c r="H5309" s="379">
        <v>11.782233850597413</v>
      </c>
      <c r="I5309" s="25">
        <v>53.27</v>
      </c>
      <c r="J5309" s="379">
        <v>7.4604991560090417</v>
      </c>
    </row>
    <row r="5310" spans="1:10" x14ac:dyDescent="0.35">
      <c r="A5310" s="5">
        <v>5306</v>
      </c>
      <c r="B5310" s="5">
        <v>222</v>
      </c>
      <c r="C5310" s="5">
        <v>8</v>
      </c>
      <c r="D5310" s="379">
        <v>70.844999999999999</v>
      </c>
      <c r="E5310" s="25">
        <v>24.84</v>
      </c>
      <c r="F5310" s="379">
        <v>16.588741407265559</v>
      </c>
      <c r="G5310" s="25">
        <v>42.29</v>
      </c>
      <c r="H5310" s="379">
        <v>11.07531624255366</v>
      </c>
      <c r="I5310" s="25">
        <v>51.2</v>
      </c>
      <c r="J5310" s="379">
        <v>7.4471666617702077</v>
      </c>
    </row>
    <row r="5311" spans="1:10" x14ac:dyDescent="0.35">
      <c r="A5311" s="5">
        <v>5307</v>
      </c>
      <c r="B5311" s="5">
        <v>222</v>
      </c>
      <c r="C5311" s="5">
        <v>8</v>
      </c>
      <c r="D5311" s="379">
        <v>68.855555555555554</v>
      </c>
      <c r="E5311" s="25">
        <v>24.84</v>
      </c>
      <c r="F5311" s="379">
        <v>17.061769395440272</v>
      </c>
      <c r="G5311" s="25">
        <v>42.29</v>
      </c>
      <c r="H5311" s="379">
        <v>11.111101817423293</v>
      </c>
      <c r="I5311" s="25">
        <v>51.02</v>
      </c>
      <c r="J5311" s="379">
        <v>7.4467537013555418</v>
      </c>
    </row>
    <row r="5312" spans="1:10" x14ac:dyDescent="0.35">
      <c r="A5312" s="5">
        <v>5308</v>
      </c>
      <c r="B5312" s="5">
        <v>222</v>
      </c>
      <c r="C5312" s="5">
        <v>8</v>
      </c>
      <c r="D5312" s="379">
        <v>69.665555555555557</v>
      </c>
      <c r="E5312" s="25">
        <v>24.84</v>
      </c>
      <c r="F5312" s="379">
        <v>17.101188885099145</v>
      </c>
      <c r="G5312" s="25">
        <v>42.29</v>
      </c>
      <c r="H5312" s="379">
        <v>10.937537293771372</v>
      </c>
      <c r="I5312" s="25">
        <v>51.02</v>
      </c>
      <c r="J5312" s="379">
        <v>7.4557338526177386</v>
      </c>
    </row>
    <row r="5313" spans="1:10" x14ac:dyDescent="0.35">
      <c r="A5313" s="5">
        <v>5309</v>
      </c>
      <c r="B5313" s="5">
        <v>222</v>
      </c>
      <c r="C5313" s="5">
        <v>8</v>
      </c>
      <c r="D5313" s="379">
        <v>72.888333333333335</v>
      </c>
      <c r="E5313" s="25">
        <v>24.84</v>
      </c>
      <c r="F5313" s="379">
        <v>17.693344462026893</v>
      </c>
      <c r="G5313" s="25">
        <v>42.29</v>
      </c>
      <c r="H5313" s="379">
        <v>10.584579602669226</v>
      </c>
      <c r="I5313" s="25">
        <v>53.27</v>
      </c>
      <c r="J5313" s="379">
        <v>7.4606192375849689</v>
      </c>
    </row>
    <row r="5314" spans="1:10" x14ac:dyDescent="0.35">
      <c r="A5314" s="5">
        <v>5310</v>
      </c>
      <c r="B5314" s="5">
        <v>222</v>
      </c>
      <c r="C5314" s="5">
        <v>8</v>
      </c>
      <c r="D5314" s="379">
        <v>81.894999999999996</v>
      </c>
      <c r="E5314" s="25">
        <v>24.84</v>
      </c>
      <c r="F5314" s="379">
        <v>16.636610512559685</v>
      </c>
      <c r="G5314" s="25">
        <v>43.56</v>
      </c>
      <c r="H5314" s="379">
        <v>10.231063544067712</v>
      </c>
      <c r="I5314" s="25">
        <v>53.71</v>
      </c>
      <c r="J5314" s="379">
        <v>7.4576990994365842</v>
      </c>
    </row>
    <row r="5315" spans="1:10" x14ac:dyDescent="0.35">
      <c r="A5315" s="5">
        <v>5311</v>
      </c>
      <c r="B5315" s="5">
        <v>222</v>
      </c>
      <c r="C5315" s="5">
        <v>8</v>
      </c>
      <c r="D5315" s="379">
        <v>93.144999999999996</v>
      </c>
      <c r="E5315" s="25">
        <v>25.59</v>
      </c>
      <c r="F5315" s="379">
        <v>16.521255237731197</v>
      </c>
      <c r="G5315" s="25">
        <v>47.46</v>
      </c>
      <c r="H5315" s="379">
        <v>11.395434402212775</v>
      </c>
      <c r="I5315" s="25">
        <v>57.49</v>
      </c>
      <c r="J5315" s="379">
        <v>7.4678827004333792</v>
      </c>
    </row>
    <row r="5316" spans="1:10" x14ac:dyDescent="0.35">
      <c r="A5316" s="5">
        <v>5312</v>
      </c>
      <c r="B5316" s="5">
        <v>222</v>
      </c>
      <c r="C5316" s="5">
        <v>8</v>
      </c>
      <c r="D5316" s="379">
        <v>93.075555555555553</v>
      </c>
      <c r="E5316" s="25">
        <v>25.59</v>
      </c>
      <c r="F5316" s="379">
        <v>17.801676637671488</v>
      </c>
      <c r="G5316" s="25">
        <v>47.46</v>
      </c>
      <c r="H5316" s="379">
        <v>11.179531537884342</v>
      </c>
      <c r="I5316" s="25">
        <v>57.49</v>
      </c>
      <c r="J5316" s="379">
        <v>7.4147482272581042</v>
      </c>
    </row>
    <row r="5317" spans="1:10" x14ac:dyDescent="0.35">
      <c r="A5317" s="5">
        <v>5313</v>
      </c>
      <c r="B5317" s="5">
        <v>222</v>
      </c>
      <c r="C5317" s="5">
        <v>8</v>
      </c>
      <c r="D5317" s="379">
        <v>83.087222222222209</v>
      </c>
      <c r="E5317" s="25">
        <v>24.99</v>
      </c>
      <c r="F5317" s="379">
        <v>9.5309211405069796</v>
      </c>
      <c r="G5317" s="25">
        <v>47.46</v>
      </c>
      <c r="H5317" s="379">
        <v>4.799693804694658</v>
      </c>
      <c r="I5317" s="25">
        <v>53.71</v>
      </c>
      <c r="J5317" s="379">
        <v>5.3636048156495724</v>
      </c>
    </row>
    <row r="5318" spans="1:10" x14ac:dyDescent="0.35">
      <c r="A5318" s="5">
        <v>5314</v>
      </c>
      <c r="B5318" s="5">
        <v>222</v>
      </c>
      <c r="C5318" s="5">
        <v>8</v>
      </c>
      <c r="D5318" s="379">
        <v>72.681666666666658</v>
      </c>
      <c r="E5318" s="25">
        <v>24.99</v>
      </c>
      <c r="F5318" s="379">
        <v>8.6296967825903934</v>
      </c>
      <c r="G5318" s="25">
        <v>46.98</v>
      </c>
      <c r="H5318" s="379">
        <v>8.6335808005603454</v>
      </c>
      <c r="I5318" s="25">
        <v>52.73</v>
      </c>
      <c r="J5318" s="379">
        <v>5.5845056158177897</v>
      </c>
    </row>
    <row r="5319" spans="1:10" x14ac:dyDescent="0.35">
      <c r="A5319" s="5">
        <v>5315</v>
      </c>
      <c r="B5319" s="5">
        <v>222</v>
      </c>
      <c r="C5319" s="5">
        <v>8</v>
      </c>
      <c r="D5319" s="379">
        <v>69.202222222222218</v>
      </c>
      <c r="E5319" s="25">
        <v>24.99</v>
      </c>
      <c r="F5319" s="379">
        <v>8.1174834595959595</v>
      </c>
      <c r="G5319" s="25">
        <v>43.56</v>
      </c>
      <c r="H5319" s="379">
        <v>8.4721638784736424</v>
      </c>
      <c r="I5319" s="25">
        <v>51.02</v>
      </c>
      <c r="J5319" s="379">
        <v>5.4922647500033168</v>
      </c>
    </row>
    <row r="5320" spans="1:10" x14ac:dyDescent="0.35">
      <c r="A5320" s="5">
        <v>5316</v>
      </c>
      <c r="B5320" s="5">
        <v>222</v>
      </c>
      <c r="C5320" s="5">
        <v>8</v>
      </c>
      <c r="D5320" s="379">
        <v>67.11</v>
      </c>
      <c r="E5320" s="25">
        <v>24.84</v>
      </c>
      <c r="F5320" s="379">
        <v>0.47222222222222221</v>
      </c>
      <c r="G5320" s="25">
        <v>43.56</v>
      </c>
      <c r="H5320" s="379">
        <v>8.6474033530154983</v>
      </c>
      <c r="I5320" s="25">
        <v>50.51</v>
      </c>
      <c r="J5320" s="379">
        <v>6.1337623433076871</v>
      </c>
    </row>
    <row r="5321" spans="1:10" x14ac:dyDescent="0.35">
      <c r="A5321" s="5">
        <v>5317</v>
      </c>
      <c r="B5321" s="5">
        <v>222</v>
      </c>
      <c r="C5321" s="5">
        <v>8</v>
      </c>
      <c r="D5321" s="379">
        <v>61.275555555555556</v>
      </c>
      <c r="E5321" s="25">
        <v>24.84</v>
      </c>
      <c r="F5321" s="379">
        <v>2.6420430846664247</v>
      </c>
      <c r="G5321" s="25">
        <v>42.71</v>
      </c>
      <c r="H5321" s="379">
        <v>8.5870369936566444</v>
      </c>
      <c r="I5321" s="25">
        <v>50.51</v>
      </c>
      <c r="J5321" s="379">
        <v>6.0559226725975659</v>
      </c>
    </row>
    <row r="5322" spans="1:10" x14ac:dyDescent="0.35">
      <c r="A5322" s="5">
        <v>5318</v>
      </c>
      <c r="B5322" s="5">
        <v>222</v>
      </c>
      <c r="C5322" s="5">
        <v>8</v>
      </c>
      <c r="D5322" s="379">
        <v>61.936111111111103</v>
      </c>
      <c r="E5322" s="25">
        <v>24.84</v>
      </c>
      <c r="F5322" s="379">
        <v>0.47222222222222221</v>
      </c>
      <c r="G5322" s="25">
        <v>42.29</v>
      </c>
      <c r="H5322" s="379">
        <v>8.3035935384143702</v>
      </c>
      <c r="I5322" s="25">
        <v>49.53</v>
      </c>
      <c r="J5322" s="379">
        <v>5.9311294581648619</v>
      </c>
    </row>
    <row r="5323" spans="1:10" x14ac:dyDescent="0.35">
      <c r="A5323" s="5">
        <v>5319</v>
      </c>
      <c r="B5323" s="5">
        <v>222</v>
      </c>
      <c r="C5323" s="5">
        <v>8</v>
      </c>
      <c r="D5323" s="379">
        <v>65.893333333333331</v>
      </c>
      <c r="E5323" s="25">
        <v>24.84</v>
      </c>
      <c r="F5323" s="379">
        <v>2.2743563654927974</v>
      </c>
      <c r="G5323" s="25">
        <v>42.29</v>
      </c>
      <c r="H5323" s="379">
        <v>8.2952000779663315</v>
      </c>
      <c r="I5323" s="25">
        <v>49.53</v>
      </c>
      <c r="J5323" s="379">
        <v>5.9311294581648619</v>
      </c>
    </row>
    <row r="5324" spans="1:10" x14ac:dyDescent="0.35">
      <c r="A5324" s="5">
        <v>5320</v>
      </c>
      <c r="B5324" s="5">
        <v>222</v>
      </c>
      <c r="C5324" s="5">
        <v>8</v>
      </c>
      <c r="D5324" s="379">
        <v>74.854444444444439</v>
      </c>
      <c r="E5324" s="25">
        <v>24.84</v>
      </c>
      <c r="F5324" s="379">
        <v>8.1174834595959595</v>
      </c>
      <c r="G5324" s="25">
        <v>42.29</v>
      </c>
      <c r="H5324" s="379">
        <v>8.4548732525313124</v>
      </c>
      <c r="I5324" s="25">
        <v>50.51</v>
      </c>
      <c r="J5324" s="379">
        <v>6.3242909986000555</v>
      </c>
    </row>
    <row r="5325" spans="1:10" x14ac:dyDescent="0.35">
      <c r="A5325" s="5">
        <v>5321</v>
      </c>
      <c r="B5325" s="5">
        <v>222</v>
      </c>
      <c r="C5325" s="5">
        <v>8</v>
      </c>
      <c r="D5325" s="379">
        <v>86.467777777777769</v>
      </c>
      <c r="E5325" s="25">
        <v>24.84</v>
      </c>
      <c r="F5325" s="379">
        <v>8.4004406333156307</v>
      </c>
      <c r="G5325" s="25">
        <v>42.71</v>
      </c>
      <c r="H5325" s="379">
        <v>8.6784863445599409</v>
      </c>
      <c r="I5325" s="25">
        <v>50.51</v>
      </c>
      <c r="J5325" s="379">
        <v>5.8468331399655034</v>
      </c>
    </row>
    <row r="5326" spans="1:10" x14ac:dyDescent="0.35">
      <c r="A5326" s="5">
        <v>5322</v>
      </c>
      <c r="B5326" s="5">
        <v>222</v>
      </c>
      <c r="C5326" s="5">
        <v>8</v>
      </c>
      <c r="D5326" s="379">
        <v>98.08</v>
      </c>
      <c r="E5326" s="25">
        <v>24.84</v>
      </c>
      <c r="F5326" s="379">
        <v>11.557928940294126</v>
      </c>
      <c r="G5326" s="25">
        <v>43.56</v>
      </c>
      <c r="H5326" s="379">
        <v>10.72769571673097</v>
      </c>
      <c r="I5326" s="25">
        <v>51.76</v>
      </c>
      <c r="J5326" s="379">
        <v>7.5376527141763239</v>
      </c>
    </row>
    <row r="5327" spans="1:10" x14ac:dyDescent="0.35">
      <c r="A5327" s="5">
        <v>5323</v>
      </c>
      <c r="B5327" s="5">
        <v>222</v>
      </c>
      <c r="C5327" s="5">
        <v>8</v>
      </c>
      <c r="D5327" s="379">
        <v>103.50166666666667</v>
      </c>
      <c r="E5327" s="25">
        <v>24.84</v>
      </c>
      <c r="F5327" s="379">
        <v>15.763349991130143</v>
      </c>
      <c r="G5327" s="25">
        <v>43.56</v>
      </c>
      <c r="H5327" s="379">
        <v>10.958682887301988</v>
      </c>
      <c r="I5327" s="25">
        <v>54.92</v>
      </c>
      <c r="J5327" s="379">
        <v>7.4179057054766959</v>
      </c>
    </row>
    <row r="5328" spans="1:10" x14ac:dyDescent="0.35">
      <c r="A5328" s="5">
        <v>5324</v>
      </c>
      <c r="B5328" s="5">
        <v>222</v>
      </c>
      <c r="C5328" s="5">
        <v>8</v>
      </c>
      <c r="D5328" s="379">
        <v>102.16499999999999</v>
      </c>
      <c r="E5328" s="25">
        <v>24.84</v>
      </c>
      <c r="F5328" s="379">
        <v>16.315861284266859</v>
      </c>
      <c r="G5328" s="25">
        <v>43.56</v>
      </c>
      <c r="H5328" s="379">
        <v>10.701079809218704</v>
      </c>
      <c r="I5328" s="25">
        <v>56.52</v>
      </c>
      <c r="J5328" s="379">
        <v>7.2939405006507174</v>
      </c>
    </row>
    <row r="5329" spans="1:10" x14ac:dyDescent="0.35">
      <c r="A5329" s="5">
        <v>5325</v>
      </c>
      <c r="B5329" s="5">
        <v>222</v>
      </c>
      <c r="C5329" s="5">
        <v>8</v>
      </c>
      <c r="D5329" s="379">
        <v>96.621111111111105</v>
      </c>
      <c r="E5329" s="25">
        <v>24.84</v>
      </c>
      <c r="F5329" s="379">
        <v>16.686616337133053</v>
      </c>
      <c r="G5329" s="25">
        <v>43.56</v>
      </c>
      <c r="H5329" s="379">
        <v>10.715947845736407</v>
      </c>
      <c r="I5329" s="25">
        <v>57.49</v>
      </c>
      <c r="J5329" s="379">
        <v>7.2628140179520804</v>
      </c>
    </row>
    <row r="5330" spans="1:10" x14ac:dyDescent="0.35">
      <c r="A5330" s="5">
        <v>5326</v>
      </c>
      <c r="B5330" s="5">
        <v>222</v>
      </c>
      <c r="C5330" s="5">
        <v>8</v>
      </c>
      <c r="D5330" s="379">
        <v>91.907777777777753</v>
      </c>
      <c r="E5330" s="25">
        <v>24.84</v>
      </c>
      <c r="F5330" s="379">
        <v>13.906917282139693</v>
      </c>
      <c r="G5330" s="25">
        <v>43.56</v>
      </c>
      <c r="H5330" s="379">
        <v>11.199479781208927</v>
      </c>
      <c r="I5330" s="25">
        <v>56.52</v>
      </c>
      <c r="J5330" s="379">
        <v>7.2311646979346893</v>
      </c>
    </row>
    <row r="5331" spans="1:10" x14ac:dyDescent="0.35">
      <c r="A5331" s="5">
        <v>5327</v>
      </c>
      <c r="B5331" s="5">
        <v>222</v>
      </c>
      <c r="C5331" s="5">
        <v>8</v>
      </c>
      <c r="D5331" s="379">
        <v>81.375</v>
      </c>
      <c r="E5331" s="25">
        <v>24.84</v>
      </c>
      <c r="F5331" s="379">
        <v>13.505334059020484</v>
      </c>
      <c r="G5331" s="25">
        <v>42.29</v>
      </c>
      <c r="H5331" s="379">
        <v>11.313126633852312</v>
      </c>
      <c r="I5331" s="25">
        <v>54.87</v>
      </c>
      <c r="J5331" s="379">
        <v>7.1750749374102316</v>
      </c>
    </row>
    <row r="5332" spans="1:10" x14ac:dyDescent="0.35">
      <c r="A5332" s="5">
        <v>5328</v>
      </c>
      <c r="B5332" s="5">
        <v>222</v>
      </c>
      <c r="C5332" s="5">
        <v>8</v>
      </c>
      <c r="D5332" s="379">
        <v>72.576666666666668</v>
      </c>
      <c r="E5332" s="25">
        <v>24.84</v>
      </c>
      <c r="F5332" s="379">
        <v>12.774949229747996</v>
      </c>
      <c r="G5332" s="25">
        <v>41.05</v>
      </c>
      <c r="H5332" s="379">
        <v>10.959150483115863</v>
      </c>
      <c r="I5332" s="25">
        <v>49.75</v>
      </c>
      <c r="J5332" s="379">
        <v>7.2728011049184804</v>
      </c>
    </row>
    <row r="5333" spans="1:10" x14ac:dyDescent="0.35">
      <c r="A5333" s="5">
        <v>5329</v>
      </c>
      <c r="B5333" s="5">
        <v>223</v>
      </c>
      <c r="C5333" s="5">
        <v>8</v>
      </c>
      <c r="D5333" s="379">
        <v>70.554999999999993</v>
      </c>
      <c r="E5333" s="25">
        <v>24.84</v>
      </c>
      <c r="F5333" s="379">
        <v>12.522212436840574</v>
      </c>
      <c r="G5333" s="25">
        <v>38.770000000000003</v>
      </c>
      <c r="H5333" s="379">
        <v>10.419577378586371</v>
      </c>
      <c r="I5333" s="25">
        <v>45.32</v>
      </c>
      <c r="J5333" s="379">
        <v>7.4037544999176159</v>
      </c>
    </row>
    <row r="5334" spans="1:10" x14ac:dyDescent="0.35">
      <c r="A5334" s="5">
        <v>5330</v>
      </c>
      <c r="B5334" s="5">
        <v>223</v>
      </c>
      <c r="C5334" s="5">
        <v>8</v>
      </c>
      <c r="D5334" s="379">
        <v>71.557222222222222</v>
      </c>
      <c r="E5334" s="25">
        <v>24.84</v>
      </c>
      <c r="F5334" s="379">
        <v>12.571165889204723</v>
      </c>
      <c r="G5334" s="25">
        <v>38.770000000000003</v>
      </c>
      <c r="H5334" s="379">
        <v>10.57895666127339</v>
      </c>
      <c r="I5334" s="25">
        <v>45.32</v>
      </c>
      <c r="J5334" s="379">
        <v>7.4180099807897033</v>
      </c>
    </row>
    <row r="5335" spans="1:10" x14ac:dyDescent="0.35">
      <c r="A5335" s="5">
        <v>5331</v>
      </c>
      <c r="B5335" s="5">
        <v>223</v>
      </c>
      <c r="C5335" s="5">
        <v>8</v>
      </c>
      <c r="D5335" s="379">
        <v>70.862777777777779</v>
      </c>
      <c r="E5335" s="25">
        <v>24.73</v>
      </c>
      <c r="F5335" s="379">
        <v>12.304236731598142</v>
      </c>
      <c r="G5335" s="25">
        <v>38.770000000000003</v>
      </c>
      <c r="H5335" s="379">
        <v>10.970558801674507</v>
      </c>
      <c r="I5335" s="25">
        <v>45.32</v>
      </c>
      <c r="J5335" s="379">
        <v>7.4617609272521976</v>
      </c>
    </row>
    <row r="5336" spans="1:10" x14ac:dyDescent="0.35">
      <c r="A5336" s="5">
        <v>5332</v>
      </c>
      <c r="B5336" s="5">
        <v>223</v>
      </c>
      <c r="C5336" s="5">
        <v>8</v>
      </c>
      <c r="D5336" s="379">
        <v>72.49111111111111</v>
      </c>
      <c r="E5336" s="25">
        <v>24.84</v>
      </c>
      <c r="F5336" s="379">
        <v>12.998905565195034</v>
      </c>
      <c r="G5336" s="25">
        <v>40.64</v>
      </c>
      <c r="H5336" s="379">
        <v>9.9967469170967345</v>
      </c>
      <c r="I5336" s="25">
        <v>45.33</v>
      </c>
      <c r="J5336" s="379">
        <v>7.4678827004333801</v>
      </c>
    </row>
    <row r="5337" spans="1:10" x14ac:dyDescent="0.35">
      <c r="A5337" s="5">
        <v>5333</v>
      </c>
      <c r="B5337" s="5">
        <v>223</v>
      </c>
      <c r="C5337" s="5">
        <v>8</v>
      </c>
      <c r="D5337" s="379">
        <v>80.290000000000006</v>
      </c>
      <c r="E5337" s="25">
        <v>24.84</v>
      </c>
      <c r="F5337" s="379">
        <v>13.471232491554593</v>
      </c>
      <c r="G5337" s="25">
        <v>40.64</v>
      </c>
      <c r="H5337" s="379">
        <v>11.011827756872613</v>
      </c>
      <c r="I5337" s="25">
        <v>46.22</v>
      </c>
      <c r="J5337" s="379">
        <v>7.4384619828659568</v>
      </c>
    </row>
    <row r="5338" spans="1:10" x14ac:dyDescent="0.35">
      <c r="A5338" s="5">
        <v>5334</v>
      </c>
      <c r="B5338" s="5">
        <v>223</v>
      </c>
      <c r="C5338" s="5">
        <v>8</v>
      </c>
      <c r="D5338" s="379">
        <v>90.975555555555559</v>
      </c>
      <c r="E5338" s="25">
        <v>24.84</v>
      </c>
      <c r="F5338" s="379">
        <v>12.854515603802463</v>
      </c>
      <c r="G5338" s="25">
        <v>42.29</v>
      </c>
      <c r="H5338" s="379">
        <v>9.6166613472396296</v>
      </c>
      <c r="I5338" s="25">
        <v>48.86</v>
      </c>
      <c r="J5338" s="379">
        <v>7.3968792587135548</v>
      </c>
    </row>
    <row r="5339" spans="1:10" x14ac:dyDescent="0.35">
      <c r="A5339" s="5">
        <v>5335</v>
      </c>
      <c r="B5339" s="5">
        <v>223</v>
      </c>
      <c r="C5339" s="5">
        <v>8</v>
      </c>
      <c r="D5339" s="379">
        <v>96.38</v>
      </c>
      <c r="E5339" s="25">
        <v>25.29</v>
      </c>
      <c r="F5339" s="379">
        <v>12.558982862780772</v>
      </c>
      <c r="G5339" s="25">
        <v>45.61</v>
      </c>
      <c r="H5339" s="379">
        <v>9.8606637670327881</v>
      </c>
      <c r="I5339" s="25">
        <v>53.27</v>
      </c>
      <c r="J5339" s="379">
        <v>7.2287785862484899</v>
      </c>
    </row>
    <row r="5340" spans="1:10" x14ac:dyDescent="0.35">
      <c r="A5340" s="5">
        <v>5336</v>
      </c>
      <c r="B5340" s="5">
        <v>223</v>
      </c>
      <c r="C5340" s="5">
        <v>8</v>
      </c>
      <c r="D5340" s="379">
        <v>94.184999999999988</v>
      </c>
      <c r="E5340" s="25">
        <v>25.59</v>
      </c>
      <c r="F5340" s="379">
        <v>13.598586840730029</v>
      </c>
      <c r="G5340" s="25">
        <v>45.61</v>
      </c>
      <c r="H5340" s="379">
        <v>9.8087168011755104</v>
      </c>
      <c r="I5340" s="25">
        <v>53.32</v>
      </c>
      <c r="J5340" s="379">
        <v>7.4667528612367464</v>
      </c>
    </row>
    <row r="5341" spans="1:10" x14ac:dyDescent="0.35">
      <c r="A5341" s="5">
        <v>5337</v>
      </c>
      <c r="B5341" s="5">
        <v>223</v>
      </c>
      <c r="C5341" s="5">
        <v>8</v>
      </c>
      <c r="D5341" s="379">
        <v>88.333333333333343</v>
      </c>
      <c r="E5341" s="25">
        <v>25.59</v>
      </c>
      <c r="F5341" s="379">
        <v>8.8841035866727722</v>
      </c>
      <c r="G5341" s="25">
        <v>45.61</v>
      </c>
      <c r="H5341" s="379">
        <v>10.566776570994746</v>
      </c>
      <c r="I5341" s="25">
        <v>53.27</v>
      </c>
      <c r="J5341" s="379">
        <v>6.7017816486123536</v>
      </c>
    </row>
    <row r="5342" spans="1:10" x14ac:dyDescent="0.35">
      <c r="A5342" s="5">
        <v>5338</v>
      </c>
      <c r="B5342" s="5">
        <v>223</v>
      </c>
      <c r="C5342" s="5">
        <v>8</v>
      </c>
      <c r="D5342" s="379">
        <v>79.895555555555561</v>
      </c>
      <c r="E5342" s="25">
        <v>25.59</v>
      </c>
      <c r="F5342" s="379">
        <v>8.1174834595959613</v>
      </c>
      <c r="G5342" s="25">
        <v>43.56</v>
      </c>
      <c r="H5342" s="379">
        <v>8.149471652692835</v>
      </c>
      <c r="I5342" s="25">
        <v>48.86</v>
      </c>
      <c r="J5342" s="379">
        <v>5.8570511021850962</v>
      </c>
    </row>
    <row r="5343" spans="1:10" x14ac:dyDescent="0.35">
      <c r="A5343" s="5">
        <v>5339</v>
      </c>
      <c r="B5343" s="5">
        <v>223</v>
      </c>
      <c r="C5343" s="5">
        <v>8</v>
      </c>
      <c r="D5343" s="379">
        <v>74.296666666666653</v>
      </c>
      <c r="E5343" s="25">
        <v>25.59</v>
      </c>
      <c r="F5343" s="379">
        <v>2.7646661898643168</v>
      </c>
      <c r="G5343" s="25">
        <v>42.29</v>
      </c>
      <c r="H5343" s="379">
        <v>8.1135629164909755</v>
      </c>
      <c r="I5343" s="25">
        <v>45.33</v>
      </c>
      <c r="J5343" s="379">
        <v>5.49216721152556</v>
      </c>
    </row>
    <row r="5344" spans="1:10" x14ac:dyDescent="0.35">
      <c r="A5344" s="5">
        <v>5340</v>
      </c>
      <c r="B5344" s="5">
        <v>223</v>
      </c>
      <c r="C5344" s="5">
        <v>8</v>
      </c>
      <c r="D5344" s="379">
        <v>70.650555555555556</v>
      </c>
      <c r="E5344" s="25">
        <v>24.84</v>
      </c>
      <c r="F5344" s="379">
        <v>0.37893403417092886</v>
      </c>
      <c r="G5344" s="25">
        <v>41.39</v>
      </c>
      <c r="H5344" s="379">
        <v>8.2863452534093227</v>
      </c>
      <c r="I5344" s="25">
        <v>44.87</v>
      </c>
      <c r="J5344" s="379">
        <v>6.0661602939715706</v>
      </c>
    </row>
    <row r="5345" spans="1:10" x14ac:dyDescent="0.35">
      <c r="A5345" s="5">
        <v>5341</v>
      </c>
      <c r="B5345" s="5">
        <v>223</v>
      </c>
      <c r="C5345" s="5">
        <v>8</v>
      </c>
      <c r="D5345" s="379">
        <v>66.620555555555555</v>
      </c>
      <c r="E5345" s="25">
        <v>24.84</v>
      </c>
      <c r="F5345" s="379">
        <v>5.3837097714493884</v>
      </c>
      <c r="G5345" s="25">
        <v>41.05</v>
      </c>
      <c r="H5345" s="379">
        <v>8.1013532901396932</v>
      </c>
      <c r="I5345" s="25">
        <v>44.87</v>
      </c>
      <c r="J5345" s="379">
        <v>5.9311294581648619</v>
      </c>
    </row>
    <row r="5346" spans="1:10" x14ac:dyDescent="0.35">
      <c r="A5346" s="5">
        <v>5342</v>
      </c>
      <c r="B5346" s="5">
        <v>223</v>
      </c>
      <c r="C5346" s="5">
        <v>8</v>
      </c>
      <c r="D5346" s="379">
        <v>67.492777777777775</v>
      </c>
      <c r="E5346" s="25">
        <v>24.84</v>
      </c>
      <c r="F5346" s="379">
        <v>1.8214170923194422</v>
      </c>
      <c r="G5346" s="25">
        <v>41.05</v>
      </c>
      <c r="H5346" s="379">
        <v>8.1460910529091315</v>
      </c>
      <c r="I5346" s="25">
        <v>43.52</v>
      </c>
      <c r="J5346" s="379">
        <v>6.1785316196681697</v>
      </c>
    </row>
    <row r="5347" spans="1:10" x14ac:dyDescent="0.35">
      <c r="A5347" s="5">
        <v>5343</v>
      </c>
      <c r="B5347" s="5">
        <v>223</v>
      </c>
      <c r="C5347" s="5">
        <v>8</v>
      </c>
      <c r="D5347" s="379">
        <v>72.830555555555549</v>
      </c>
      <c r="E5347" s="25">
        <v>24.84</v>
      </c>
      <c r="F5347" s="379">
        <v>4.2859728650839465E-2</v>
      </c>
      <c r="G5347" s="25">
        <v>40.64</v>
      </c>
      <c r="H5347" s="379">
        <v>8.3475611292917531</v>
      </c>
      <c r="I5347" s="25">
        <v>43.52</v>
      </c>
      <c r="J5347" s="379">
        <v>5.5164449081026481</v>
      </c>
    </row>
    <row r="5348" spans="1:10" x14ac:dyDescent="0.35">
      <c r="A5348" s="5">
        <v>5344</v>
      </c>
      <c r="B5348" s="5">
        <v>223</v>
      </c>
      <c r="C5348" s="5">
        <v>8</v>
      </c>
      <c r="D5348" s="379">
        <v>84.017777777777795</v>
      </c>
      <c r="E5348" s="25">
        <v>24.84</v>
      </c>
      <c r="F5348" s="379">
        <v>3.1952079004877523</v>
      </c>
      <c r="G5348" s="25">
        <v>40.64</v>
      </c>
      <c r="H5348" s="379">
        <v>8.3446063512681441</v>
      </c>
      <c r="I5348" s="25">
        <v>43.52</v>
      </c>
      <c r="J5348" s="379">
        <v>6.3246411666059652</v>
      </c>
    </row>
    <row r="5349" spans="1:10" x14ac:dyDescent="0.35">
      <c r="A5349" s="5">
        <v>5345</v>
      </c>
      <c r="B5349" s="5">
        <v>223</v>
      </c>
      <c r="C5349" s="5">
        <v>8</v>
      </c>
      <c r="D5349" s="379">
        <v>96.345555555555549</v>
      </c>
      <c r="E5349" s="25">
        <v>24.84</v>
      </c>
      <c r="F5349" s="379">
        <v>8.8129333032020778</v>
      </c>
      <c r="G5349" s="25">
        <v>41.05</v>
      </c>
      <c r="H5349" s="379">
        <v>8.8747898188299938</v>
      </c>
      <c r="I5349" s="25">
        <v>44.87</v>
      </c>
      <c r="J5349" s="379">
        <v>6.4387983008232812</v>
      </c>
    </row>
    <row r="5350" spans="1:10" x14ac:dyDescent="0.35">
      <c r="A5350" s="5">
        <v>5346</v>
      </c>
      <c r="B5350" s="5">
        <v>223</v>
      </c>
      <c r="C5350" s="5">
        <v>8</v>
      </c>
      <c r="D5350" s="379">
        <v>104.89055555555555</v>
      </c>
      <c r="E5350" s="25">
        <v>24.84</v>
      </c>
      <c r="F5350" s="379">
        <v>10.473168211628588</v>
      </c>
      <c r="G5350" s="25">
        <v>42.29</v>
      </c>
      <c r="H5350" s="379">
        <v>10.982361440690443</v>
      </c>
      <c r="I5350" s="25">
        <v>48.09</v>
      </c>
      <c r="J5350" s="379">
        <v>7.5376527141763239</v>
      </c>
    </row>
    <row r="5351" spans="1:10" x14ac:dyDescent="0.35">
      <c r="A5351" s="5">
        <v>5347</v>
      </c>
      <c r="B5351" s="5">
        <v>223</v>
      </c>
      <c r="C5351" s="5">
        <v>8</v>
      </c>
      <c r="D5351" s="379">
        <v>115.60222222222222</v>
      </c>
      <c r="E5351" s="25">
        <v>25.74</v>
      </c>
      <c r="F5351" s="379">
        <v>12.159360439243942</v>
      </c>
      <c r="G5351" s="25">
        <v>43.56</v>
      </c>
      <c r="H5351" s="379">
        <v>11.307546492289658</v>
      </c>
      <c r="I5351" s="25">
        <v>48.86</v>
      </c>
      <c r="J5351" s="379">
        <v>7.4833855064325387</v>
      </c>
    </row>
    <row r="5352" spans="1:10" x14ac:dyDescent="0.35">
      <c r="A5352" s="5">
        <v>5348</v>
      </c>
      <c r="B5352" s="5">
        <v>223</v>
      </c>
      <c r="C5352" s="5">
        <v>8</v>
      </c>
      <c r="D5352" s="379">
        <v>113.04777777777777</v>
      </c>
      <c r="E5352" s="25">
        <v>25.74</v>
      </c>
      <c r="F5352" s="379">
        <v>14.613226205642436</v>
      </c>
      <c r="G5352" s="25">
        <v>43.56</v>
      </c>
      <c r="H5352" s="379">
        <v>11.253165430306078</v>
      </c>
      <c r="I5352" s="25">
        <v>50.21</v>
      </c>
      <c r="J5352" s="379">
        <v>7.4677624206333046</v>
      </c>
    </row>
    <row r="5353" spans="1:10" x14ac:dyDescent="0.35">
      <c r="A5353" s="5">
        <v>5349</v>
      </c>
      <c r="B5353" s="5">
        <v>223</v>
      </c>
      <c r="C5353" s="5">
        <v>8</v>
      </c>
      <c r="D5353" s="379">
        <v>103.75944444444444</v>
      </c>
      <c r="E5353" s="25">
        <v>25.74</v>
      </c>
      <c r="F5353" s="379">
        <v>11.907770631867281</v>
      </c>
      <c r="G5353" s="25">
        <v>43.56</v>
      </c>
      <c r="H5353" s="379">
        <v>11.348434803827248</v>
      </c>
      <c r="I5353" s="25">
        <v>51.2</v>
      </c>
      <c r="J5353" s="379">
        <v>7.4410694192133917</v>
      </c>
    </row>
    <row r="5354" spans="1:10" x14ac:dyDescent="0.35">
      <c r="A5354" s="5">
        <v>5350</v>
      </c>
      <c r="B5354" s="5">
        <v>223</v>
      </c>
      <c r="C5354" s="5">
        <v>8</v>
      </c>
      <c r="D5354" s="379">
        <v>96.73555555555555</v>
      </c>
      <c r="E5354" s="25">
        <v>25.29</v>
      </c>
      <c r="F5354" s="379">
        <v>11.965441829660497</v>
      </c>
      <c r="G5354" s="25">
        <v>43.44</v>
      </c>
      <c r="H5354" s="379">
        <v>11.115503091624531</v>
      </c>
      <c r="I5354" s="25">
        <v>51.2</v>
      </c>
      <c r="J5354" s="379">
        <v>7.4318729898038205</v>
      </c>
    </row>
    <row r="5355" spans="1:10" x14ac:dyDescent="0.35">
      <c r="A5355" s="5">
        <v>5351</v>
      </c>
      <c r="B5355" s="5">
        <v>223</v>
      </c>
      <c r="C5355" s="5">
        <v>8</v>
      </c>
      <c r="D5355" s="379">
        <v>92.21611111111109</v>
      </c>
      <c r="E5355" s="25">
        <v>24.84</v>
      </c>
      <c r="F5355" s="379">
        <v>11.669309651672018</v>
      </c>
      <c r="G5355" s="25">
        <v>41.05</v>
      </c>
      <c r="H5355" s="379">
        <v>11.127823620257889</v>
      </c>
      <c r="I5355" s="25">
        <v>50.21</v>
      </c>
      <c r="J5355" s="379">
        <v>7.4677624206333046</v>
      </c>
    </row>
    <row r="5356" spans="1:10" x14ac:dyDescent="0.35">
      <c r="A5356" s="5">
        <v>5352</v>
      </c>
      <c r="B5356" s="5">
        <v>223</v>
      </c>
      <c r="C5356" s="5">
        <v>8</v>
      </c>
      <c r="D5356" s="379">
        <v>96.268888888888881</v>
      </c>
      <c r="E5356" s="25">
        <v>24.84</v>
      </c>
      <c r="F5356" s="379">
        <v>11.669309651672018</v>
      </c>
      <c r="G5356" s="25">
        <v>40.64</v>
      </c>
      <c r="H5356" s="379">
        <v>10.467826161379923</v>
      </c>
      <c r="I5356" s="25">
        <v>45.49</v>
      </c>
      <c r="J5356" s="379">
        <v>7.421817977855885</v>
      </c>
    </row>
    <row r="5357" spans="1:10" x14ac:dyDescent="0.35">
      <c r="A5357" s="5">
        <v>5353</v>
      </c>
      <c r="B5357" s="5">
        <v>224</v>
      </c>
      <c r="C5357" s="5">
        <v>8</v>
      </c>
      <c r="D5357" s="379">
        <v>95.655000000000001</v>
      </c>
      <c r="E5357" s="25">
        <v>24.84</v>
      </c>
      <c r="F5357" s="379">
        <v>11.441279392237698</v>
      </c>
      <c r="G5357" s="25">
        <v>41.05</v>
      </c>
      <c r="H5357" s="379">
        <v>10.462181924833425</v>
      </c>
      <c r="I5357" s="25">
        <v>37.979999999999997</v>
      </c>
      <c r="J5357" s="379">
        <v>7.2284334888236526</v>
      </c>
    </row>
    <row r="5358" spans="1:10" x14ac:dyDescent="0.35">
      <c r="A5358" s="5">
        <v>5354</v>
      </c>
      <c r="B5358" s="5">
        <v>224</v>
      </c>
      <c r="C5358" s="5">
        <v>8</v>
      </c>
      <c r="D5358" s="379">
        <v>93.676666666666662</v>
      </c>
      <c r="E5358" s="25">
        <v>24.84</v>
      </c>
      <c r="F5358" s="379">
        <v>10.939484155455817</v>
      </c>
      <c r="G5358" s="25">
        <v>41.05</v>
      </c>
      <c r="H5358" s="379">
        <v>10.135682622877557</v>
      </c>
      <c r="I5358" s="25">
        <v>37.979999999999997</v>
      </c>
      <c r="J5358" s="379">
        <v>7.2040781452345479</v>
      </c>
    </row>
    <row r="5359" spans="1:10" x14ac:dyDescent="0.35">
      <c r="A5359" s="5">
        <v>5355</v>
      </c>
      <c r="B5359" s="5">
        <v>224</v>
      </c>
      <c r="C5359" s="5">
        <v>8</v>
      </c>
      <c r="D5359" s="379">
        <v>93.063888888888897</v>
      </c>
      <c r="E5359" s="25">
        <v>24.84</v>
      </c>
      <c r="F5359" s="379">
        <v>11.019563558699966</v>
      </c>
      <c r="G5359" s="25">
        <v>41.05</v>
      </c>
      <c r="H5359" s="379">
        <v>9.7534497828498257</v>
      </c>
      <c r="I5359" s="25">
        <v>37.979999999999997</v>
      </c>
      <c r="J5359" s="379">
        <v>7.1978936287744428</v>
      </c>
    </row>
    <row r="5360" spans="1:10" x14ac:dyDescent="0.35">
      <c r="A5360" s="5">
        <v>5356</v>
      </c>
      <c r="B5360" s="5">
        <v>224</v>
      </c>
      <c r="C5360" s="5">
        <v>8</v>
      </c>
      <c r="D5360" s="379">
        <v>96.007222222222211</v>
      </c>
      <c r="E5360" s="25">
        <v>24.84</v>
      </c>
      <c r="F5360" s="379">
        <v>11.006069846735331</v>
      </c>
      <c r="G5360" s="25">
        <v>41.05</v>
      </c>
      <c r="H5360" s="379">
        <v>9.5237565727896332</v>
      </c>
      <c r="I5360" s="25">
        <v>37.979999999999997</v>
      </c>
      <c r="J5360" s="379">
        <v>7.1911736547568772</v>
      </c>
    </row>
    <row r="5361" spans="1:10" x14ac:dyDescent="0.35">
      <c r="A5361" s="5">
        <v>5357</v>
      </c>
      <c r="B5361" s="5">
        <v>224</v>
      </c>
      <c r="C5361" s="5">
        <v>8</v>
      </c>
      <c r="D5361" s="379">
        <v>99.255555555555546</v>
      </c>
      <c r="E5361" s="25">
        <v>24.84</v>
      </c>
      <c r="F5361" s="379">
        <v>10.751286926120692</v>
      </c>
      <c r="G5361" s="25">
        <v>41.05</v>
      </c>
      <c r="H5361" s="379">
        <v>9.2520886796237356</v>
      </c>
      <c r="I5361" s="25">
        <v>37.979999999999997</v>
      </c>
      <c r="J5361" s="379">
        <v>7.1859704589938396</v>
      </c>
    </row>
    <row r="5362" spans="1:10" x14ac:dyDescent="0.35">
      <c r="A5362" s="5">
        <v>5358</v>
      </c>
      <c r="B5362" s="5">
        <v>224</v>
      </c>
      <c r="C5362" s="5">
        <v>8</v>
      </c>
      <c r="D5362" s="379">
        <v>110.03</v>
      </c>
      <c r="E5362" s="25">
        <v>24.84</v>
      </c>
      <c r="F5362" s="379">
        <v>10.976397582111476</v>
      </c>
      <c r="G5362" s="25">
        <v>41.5</v>
      </c>
      <c r="H5362" s="379">
        <v>9.2520886796237356</v>
      </c>
      <c r="I5362" s="25">
        <v>37.979999999999997</v>
      </c>
      <c r="J5362" s="379">
        <v>7.1295693248546677</v>
      </c>
    </row>
    <row r="5363" spans="1:10" x14ac:dyDescent="0.35">
      <c r="A5363" s="5">
        <v>5359</v>
      </c>
      <c r="B5363" s="5">
        <v>224</v>
      </c>
      <c r="C5363" s="5">
        <v>8</v>
      </c>
      <c r="D5363" s="379">
        <v>117.31555555555553</v>
      </c>
      <c r="E5363" s="25">
        <v>24.84</v>
      </c>
      <c r="F5363" s="379">
        <v>10.803868032207445</v>
      </c>
      <c r="G5363" s="25">
        <v>45.61</v>
      </c>
      <c r="H5363" s="379">
        <v>9.3764089963732662</v>
      </c>
      <c r="I5363" s="25">
        <v>44.68</v>
      </c>
      <c r="J5363" s="379">
        <v>6.7222273005525466</v>
      </c>
    </row>
    <row r="5364" spans="1:10" x14ac:dyDescent="0.35">
      <c r="A5364" s="5">
        <v>5360</v>
      </c>
      <c r="B5364" s="5">
        <v>224</v>
      </c>
      <c r="C5364" s="5">
        <v>8</v>
      </c>
      <c r="D5364" s="379">
        <v>117.80055555555555</v>
      </c>
      <c r="E5364" s="25">
        <v>24.84</v>
      </c>
      <c r="F5364" s="379">
        <v>9.0208334280436695</v>
      </c>
      <c r="G5364" s="25">
        <v>45.61</v>
      </c>
      <c r="H5364" s="379">
        <v>8.2893979325962341</v>
      </c>
      <c r="I5364" s="25">
        <v>48.86</v>
      </c>
      <c r="J5364" s="379">
        <v>6.5511730268722541</v>
      </c>
    </row>
    <row r="5365" spans="1:10" x14ac:dyDescent="0.35">
      <c r="A5365" s="5">
        <v>5361</v>
      </c>
      <c r="B5365" s="5">
        <v>224</v>
      </c>
      <c r="C5365" s="5">
        <v>8</v>
      </c>
      <c r="D5365" s="379">
        <v>107.86333333333333</v>
      </c>
      <c r="E5365" s="25">
        <v>24.84</v>
      </c>
      <c r="F5365" s="379">
        <v>8.1174834595959595</v>
      </c>
      <c r="G5365" s="25">
        <v>45.61</v>
      </c>
      <c r="H5365" s="379">
        <v>7.5541492136945401</v>
      </c>
      <c r="I5365" s="25">
        <v>46.06</v>
      </c>
      <c r="J5365" s="379">
        <v>3.6362121952669337</v>
      </c>
    </row>
    <row r="5366" spans="1:10" x14ac:dyDescent="0.35">
      <c r="A5366" s="5">
        <v>5362</v>
      </c>
      <c r="B5366" s="5">
        <v>224</v>
      </c>
      <c r="C5366" s="5">
        <v>8</v>
      </c>
      <c r="D5366" s="379">
        <v>99.245000000000005</v>
      </c>
      <c r="E5366" s="25">
        <v>24.84</v>
      </c>
      <c r="F5366" s="379">
        <v>7.0834865585409084</v>
      </c>
      <c r="G5366" s="25">
        <v>43.56</v>
      </c>
      <c r="H5366" s="379">
        <v>5.4608414517202855</v>
      </c>
      <c r="I5366" s="25">
        <v>38.36</v>
      </c>
      <c r="J5366" s="379">
        <v>3.6257905574723517</v>
      </c>
    </row>
    <row r="5367" spans="1:10" x14ac:dyDescent="0.35">
      <c r="A5367" s="5">
        <v>5363</v>
      </c>
      <c r="B5367" s="5">
        <v>224</v>
      </c>
      <c r="C5367" s="5">
        <v>8</v>
      </c>
      <c r="D5367" s="379">
        <v>94.452777777777783</v>
      </c>
      <c r="E5367" s="25">
        <v>24.84</v>
      </c>
      <c r="F5367" s="379">
        <v>1.8744367596294311</v>
      </c>
      <c r="G5367" s="25">
        <v>43.56</v>
      </c>
      <c r="H5367" s="379">
        <v>5.8158237909048411</v>
      </c>
      <c r="I5367" s="25">
        <v>36.869999999999997</v>
      </c>
      <c r="J5367" s="379">
        <v>3.7351565812791101</v>
      </c>
    </row>
    <row r="5368" spans="1:10" x14ac:dyDescent="0.35">
      <c r="A5368" s="5">
        <v>5364</v>
      </c>
      <c r="B5368" s="5">
        <v>224</v>
      </c>
      <c r="C5368" s="5">
        <v>8</v>
      </c>
      <c r="D5368" s="379">
        <v>90.168888888888887</v>
      </c>
      <c r="E5368" s="25">
        <v>24.84</v>
      </c>
      <c r="F5368" s="379">
        <v>2.777919048691408</v>
      </c>
      <c r="G5368" s="25">
        <v>42.71</v>
      </c>
      <c r="H5368" s="379">
        <v>5.4830130159209967</v>
      </c>
      <c r="I5368" s="25">
        <v>36.869999999999997</v>
      </c>
      <c r="J5368" s="379">
        <v>0.50070987960732249</v>
      </c>
    </row>
    <row r="5369" spans="1:10" x14ac:dyDescent="0.35">
      <c r="A5369" s="5">
        <v>5365</v>
      </c>
      <c r="B5369" s="5">
        <v>224</v>
      </c>
      <c r="C5369" s="5">
        <v>8</v>
      </c>
      <c r="D5369" s="379">
        <v>81.901111111111092</v>
      </c>
      <c r="E5369" s="25">
        <v>24.84</v>
      </c>
      <c r="F5369" s="379">
        <v>4.1802450313245672</v>
      </c>
      <c r="G5369" s="25">
        <v>41.05</v>
      </c>
      <c r="H5369" s="379">
        <v>5.5491271603558827</v>
      </c>
      <c r="I5369" s="25">
        <v>36.869999999999997</v>
      </c>
      <c r="J5369" s="379">
        <v>1.5352038252608577</v>
      </c>
    </row>
    <row r="5370" spans="1:10" x14ac:dyDescent="0.35">
      <c r="A5370" s="5">
        <v>5366</v>
      </c>
      <c r="B5370" s="5">
        <v>224</v>
      </c>
      <c r="C5370" s="5">
        <v>8</v>
      </c>
      <c r="D5370" s="379">
        <v>82.548888888888882</v>
      </c>
      <c r="E5370" s="25">
        <v>24.84</v>
      </c>
      <c r="F5370" s="379">
        <v>2.837619480166381</v>
      </c>
      <c r="G5370" s="25">
        <v>41.05</v>
      </c>
      <c r="H5370" s="379">
        <v>5.1762864138413862</v>
      </c>
      <c r="I5370" s="25">
        <v>36.869999999999997</v>
      </c>
      <c r="J5370" s="379">
        <v>2.3572918958931415</v>
      </c>
    </row>
    <row r="5371" spans="1:10" x14ac:dyDescent="0.35">
      <c r="A5371" s="5">
        <v>5367</v>
      </c>
      <c r="B5371" s="5">
        <v>224</v>
      </c>
      <c r="C5371" s="5">
        <v>8</v>
      </c>
      <c r="D5371" s="379">
        <v>90.125</v>
      </c>
      <c r="E5371" s="25">
        <v>24.84</v>
      </c>
      <c r="F5371" s="379">
        <v>1.4208612440186679</v>
      </c>
      <c r="G5371" s="25">
        <v>41.05</v>
      </c>
      <c r="H5371" s="379">
        <v>5.5180865950579419</v>
      </c>
      <c r="I5371" s="25">
        <v>36.869999999999997</v>
      </c>
      <c r="J5371" s="379">
        <v>3.7412132690724595</v>
      </c>
    </row>
    <row r="5372" spans="1:10" x14ac:dyDescent="0.35">
      <c r="A5372" s="5">
        <v>5368</v>
      </c>
      <c r="B5372" s="5">
        <v>224</v>
      </c>
      <c r="C5372" s="5">
        <v>8</v>
      </c>
      <c r="D5372" s="379">
        <v>97.471111111111114</v>
      </c>
      <c r="E5372" s="25">
        <v>24.84</v>
      </c>
      <c r="F5372" s="379">
        <v>1.9386537045859422</v>
      </c>
      <c r="G5372" s="25">
        <v>41.05</v>
      </c>
      <c r="H5372" s="379">
        <v>5.6810478267309916</v>
      </c>
      <c r="I5372" s="25">
        <v>35.799999999999997</v>
      </c>
      <c r="J5372" s="379">
        <v>3.741262544974119</v>
      </c>
    </row>
    <row r="5373" spans="1:10" x14ac:dyDescent="0.35">
      <c r="A5373" s="5">
        <v>5369</v>
      </c>
      <c r="B5373" s="5">
        <v>224</v>
      </c>
      <c r="C5373" s="5">
        <v>8</v>
      </c>
      <c r="D5373" s="379">
        <v>106.46333333333331</v>
      </c>
      <c r="E5373" s="25">
        <v>24.84</v>
      </c>
      <c r="F5373" s="379">
        <v>8.1174834595959595</v>
      </c>
      <c r="G5373" s="25">
        <v>43.56</v>
      </c>
      <c r="H5373" s="379">
        <v>5.6408545657228002</v>
      </c>
      <c r="I5373" s="25">
        <v>36.869999999999997</v>
      </c>
      <c r="J5373" s="379">
        <v>2.9157261144193871</v>
      </c>
    </row>
    <row r="5374" spans="1:10" x14ac:dyDescent="0.35">
      <c r="A5374" s="5">
        <v>5370</v>
      </c>
      <c r="B5374" s="5">
        <v>224</v>
      </c>
      <c r="C5374" s="5">
        <v>8</v>
      </c>
      <c r="D5374" s="379">
        <v>115.77666666666666</v>
      </c>
      <c r="E5374" s="25">
        <v>24.84</v>
      </c>
      <c r="F5374" s="379">
        <v>8.7208121849013587</v>
      </c>
      <c r="G5374" s="25">
        <v>43.56</v>
      </c>
      <c r="H5374" s="379">
        <v>9.9581557074764877</v>
      </c>
      <c r="I5374" s="25">
        <v>43.38</v>
      </c>
      <c r="J5374" s="379">
        <v>6.3178023209063419</v>
      </c>
    </row>
    <row r="5375" spans="1:10" x14ac:dyDescent="0.35">
      <c r="A5375" s="5">
        <v>5371</v>
      </c>
      <c r="B5375" s="5">
        <v>224</v>
      </c>
      <c r="C5375" s="5">
        <v>8</v>
      </c>
      <c r="D5375" s="379">
        <v>123.68611111111113</v>
      </c>
      <c r="E5375" s="25">
        <v>24.84</v>
      </c>
      <c r="F5375" s="379">
        <v>9.2422155285161605</v>
      </c>
      <c r="G5375" s="25">
        <v>43.56</v>
      </c>
      <c r="H5375" s="379">
        <v>10.34751523823364</v>
      </c>
      <c r="I5375" s="25">
        <v>46.69</v>
      </c>
      <c r="J5375" s="379">
        <v>6.0246195396617548</v>
      </c>
    </row>
    <row r="5376" spans="1:10" x14ac:dyDescent="0.35">
      <c r="A5376" s="5">
        <v>5372</v>
      </c>
      <c r="B5376" s="5">
        <v>224</v>
      </c>
      <c r="C5376" s="5">
        <v>8</v>
      </c>
      <c r="D5376" s="379">
        <v>121.09888888888888</v>
      </c>
      <c r="E5376" s="25">
        <v>24.84</v>
      </c>
      <c r="F5376" s="379">
        <v>9.3546427777549894</v>
      </c>
      <c r="G5376" s="25">
        <v>43.56</v>
      </c>
      <c r="H5376" s="379">
        <v>9.8668410210242996</v>
      </c>
      <c r="I5376" s="25">
        <v>48.79</v>
      </c>
      <c r="J5376" s="379">
        <v>4.3570230591751695</v>
      </c>
    </row>
    <row r="5377" spans="1:10" x14ac:dyDescent="0.35">
      <c r="A5377" s="5">
        <v>5373</v>
      </c>
      <c r="B5377" s="5">
        <v>224</v>
      </c>
      <c r="C5377" s="5">
        <v>8</v>
      </c>
      <c r="D5377" s="379">
        <v>113.73888888888887</v>
      </c>
      <c r="E5377" s="25">
        <v>24.84</v>
      </c>
      <c r="F5377" s="379">
        <v>9.2435189417225736</v>
      </c>
      <c r="G5377" s="25">
        <v>44.69</v>
      </c>
      <c r="H5377" s="379">
        <v>10.198950920179152</v>
      </c>
      <c r="I5377" s="25">
        <v>48.86</v>
      </c>
      <c r="J5377" s="379">
        <v>6.2178779543122458</v>
      </c>
    </row>
    <row r="5378" spans="1:10" x14ac:dyDescent="0.35">
      <c r="A5378" s="5">
        <v>5374</v>
      </c>
      <c r="B5378" s="5">
        <v>224</v>
      </c>
      <c r="C5378" s="5">
        <v>8</v>
      </c>
      <c r="D5378" s="379">
        <v>106.94777777777777</v>
      </c>
      <c r="E5378" s="25">
        <v>24.84</v>
      </c>
      <c r="F5378" s="379">
        <v>9.0413845478080468</v>
      </c>
      <c r="G5378" s="25">
        <v>42.71</v>
      </c>
      <c r="H5378" s="379">
        <v>10.077748484539251</v>
      </c>
      <c r="I5378" s="25">
        <v>46.06</v>
      </c>
      <c r="J5378" s="379">
        <v>5.4797239352571392</v>
      </c>
    </row>
    <row r="5379" spans="1:10" x14ac:dyDescent="0.35">
      <c r="A5379" s="5">
        <v>5375</v>
      </c>
      <c r="B5379" s="5">
        <v>224</v>
      </c>
      <c r="C5379" s="5">
        <v>8</v>
      </c>
      <c r="D5379" s="379">
        <v>99.075555555555553</v>
      </c>
      <c r="E5379" s="25">
        <v>24.84</v>
      </c>
      <c r="F5379" s="379">
        <v>8.6433368504062269</v>
      </c>
      <c r="G5379" s="25">
        <v>41.05</v>
      </c>
      <c r="H5379" s="379">
        <v>10.295898716417872</v>
      </c>
      <c r="I5379" s="25">
        <v>43.38</v>
      </c>
      <c r="J5379" s="379">
        <v>6.4937930892250444</v>
      </c>
    </row>
    <row r="5380" spans="1:10" x14ac:dyDescent="0.35">
      <c r="A5380" s="5">
        <v>5376</v>
      </c>
      <c r="B5380" s="5">
        <v>224</v>
      </c>
      <c r="C5380" s="5">
        <v>8</v>
      </c>
      <c r="D5380" s="379">
        <v>97.975555555555545</v>
      </c>
      <c r="E5380" s="25">
        <v>24.84</v>
      </c>
      <c r="F5380" s="379">
        <v>8.9936939949330057</v>
      </c>
      <c r="G5380" s="25">
        <v>31.84</v>
      </c>
      <c r="H5380" s="379">
        <v>9.5335043438039992</v>
      </c>
      <c r="I5380" s="25">
        <v>36.869999999999997</v>
      </c>
      <c r="J5380" s="379">
        <v>6.6473490577338268</v>
      </c>
    </row>
    <row r="5381" spans="1:10" x14ac:dyDescent="0.35">
      <c r="A5381" s="5">
        <v>5377</v>
      </c>
      <c r="B5381" s="5">
        <v>225</v>
      </c>
      <c r="C5381" s="5">
        <v>8</v>
      </c>
      <c r="D5381" s="379">
        <v>94.056111111111107</v>
      </c>
      <c r="E5381" s="25">
        <v>24</v>
      </c>
      <c r="F5381" s="379">
        <v>8.5000909424093845</v>
      </c>
      <c r="G5381" s="25">
        <v>30.93</v>
      </c>
      <c r="H5381" s="379">
        <v>9.202168675974832</v>
      </c>
      <c r="I5381" s="25">
        <v>34.25</v>
      </c>
      <c r="J5381" s="379">
        <v>6.3400646827848384</v>
      </c>
    </row>
    <row r="5382" spans="1:10" x14ac:dyDescent="0.35">
      <c r="A5382" s="5">
        <v>5378</v>
      </c>
      <c r="B5382" s="5">
        <v>225</v>
      </c>
      <c r="C5382" s="5">
        <v>8</v>
      </c>
      <c r="D5382" s="379">
        <v>91.262777777777771</v>
      </c>
      <c r="E5382" s="25">
        <v>23.59</v>
      </c>
      <c r="F5382" s="379">
        <v>8.439951184165583</v>
      </c>
      <c r="G5382" s="25">
        <v>30.91</v>
      </c>
      <c r="H5382" s="379">
        <v>8.3679517294952941</v>
      </c>
      <c r="I5382" s="25">
        <v>34.25</v>
      </c>
      <c r="J5382" s="379">
        <v>6.2787334565459405</v>
      </c>
    </row>
    <row r="5383" spans="1:10" x14ac:dyDescent="0.35">
      <c r="A5383" s="5">
        <v>5379</v>
      </c>
      <c r="B5383" s="5">
        <v>225</v>
      </c>
      <c r="C5383" s="5">
        <v>8</v>
      </c>
      <c r="D5383" s="379">
        <v>88.734444444444449</v>
      </c>
      <c r="E5383" s="25">
        <v>23.59</v>
      </c>
      <c r="F5383" s="379">
        <v>8.3923260958562302</v>
      </c>
      <c r="G5383" s="25">
        <v>30.91</v>
      </c>
      <c r="H5383" s="379">
        <v>8.2315122438530572</v>
      </c>
      <c r="I5383" s="25">
        <v>34.54</v>
      </c>
      <c r="J5383" s="379">
        <v>5.6611764682438839</v>
      </c>
    </row>
    <row r="5384" spans="1:10" x14ac:dyDescent="0.35">
      <c r="A5384" s="5">
        <v>5380</v>
      </c>
      <c r="B5384" s="5">
        <v>225</v>
      </c>
      <c r="C5384" s="5">
        <v>8</v>
      </c>
      <c r="D5384" s="379">
        <v>89.334999999999994</v>
      </c>
      <c r="E5384" s="25">
        <v>24</v>
      </c>
      <c r="F5384" s="379">
        <v>8.3930505443563739</v>
      </c>
      <c r="G5384" s="25">
        <v>30.91</v>
      </c>
      <c r="H5384" s="379">
        <v>8.8658277883317869</v>
      </c>
      <c r="I5384" s="25">
        <v>34.68</v>
      </c>
      <c r="J5384" s="379">
        <v>6.2073407482059606</v>
      </c>
    </row>
    <row r="5385" spans="1:10" x14ac:dyDescent="0.35">
      <c r="A5385" s="5">
        <v>5381</v>
      </c>
      <c r="B5385" s="5">
        <v>225</v>
      </c>
      <c r="C5385" s="5">
        <v>8</v>
      </c>
      <c r="D5385" s="379">
        <v>91.373888888888899</v>
      </c>
      <c r="E5385" s="25">
        <v>24.44</v>
      </c>
      <c r="F5385" s="379">
        <v>8.9306588203674924</v>
      </c>
      <c r="G5385" s="25">
        <v>30.91</v>
      </c>
      <c r="H5385" s="379">
        <v>8.2408032826486721</v>
      </c>
      <c r="I5385" s="25">
        <v>34.68</v>
      </c>
      <c r="J5385" s="379">
        <v>6.1093288290182217</v>
      </c>
    </row>
    <row r="5386" spans="1:10" x14ac:dyDescent="0.35">
      <c r="A5386" s="5">
        <v>5382</v>
      </c>
      <c r="B5386" s="5">
        <v>225</v>
      </c>
      <c r="C5386" s="5">
        <v>8</v>
      </c>
      <c r="D5386" s="379">
        <v>91.740555555555545</v>
      </c>
      <c r="E5386" s="25">
        <v>24.84</v>
      </c>
      <c r="F5386" s="379">
        <v>8.9238289897451022</v>
      </c>
      <c r="G5386" s="25">
        <v>31.84</v>
      </c>
      <c r="H5386" s="379">
        <v>7.3827046624330688</v>
      </c>
      <c r="I5386" s="25">
        <v>35.869999999999997</v>
      </c>
      <c r="J5386" s="379">
        <v>5.9211314533829142</v>
      </c>
    </row>
    <row r="5387" spans="1:10" x14ac:dyDescent="0.35">
      <c r="A5387" s="5">
        <v>5383</v>
      </c>
      <c r="B5387" s="5">
        <v>225</v>
      </c>
      <c r="C5387" s="5">
        <v>8</v>
      </c>
      <c r="D5387" s="379">
        <v>93.648333333333341</v>
      </c>
      <c r="E5387" s="25">
        <v>24.84</v>
      </c>
      <c r="F5387" s="379">
        <v>8.6594025769220977</v>
      </c>
      <c r="G5387" s="25">
        <v>31.84</v>
      </c>
      <c r="H5387" s="379">
        <v>7.6787667590012854</v>
      </c>
      <c r="I5387" s="25">
        <v>37.979999999999997</v>
      </c>
      <c r="J5387" s="379">
        <v>0.27777777777777779</v>
      </c>
    </row>
    <row r="5388" spans="1:10" x14ac:dyDescent="0.35">
      <c r="A5388" s="5">
        <v>5384</v>
      </c>
      <c r="B5388" s="5">
        <v>225</v>
      </c>
      <c r="C5388" s="5">
        <v>8</v>
      </c>
      <c r="D5388" s="379">
        <v>94.872777777777785</v>
      </c>
      <c r="E5388" s="25">
        <v>24.84</v>
      </c>
      <c r="F5388" s="379">
        <v>8.1174834595959613</v>
      </c>
      <c r="G5388" s="25">
        <v>36.369999999999997</v>
      </c>
      <c r="H5388" s="379">
        <v>4.799693804694658</v>
      </c>
      <c r="I5388" s="25">
        <v>42.03</v>
      </c>
      <c r="J5388" s="379">
        <v>0.27777777777777779</v>
      </c>
    </row>
    <row r="5389" spans="1:10" x14ac:dyDescent="0.35">
      <c r="A5389" s="5">
        <v>5385</v>
      </c>
      <c r="B5389" s="5">
        <v>225</v>
      </c>
      <c r="C5389" s="5">
        <v>8</v>
      </c>
      <c r="D5389" s="379">
        <v>90.294444444444437</v>
      </c>
      <c r="E5389" s="25">
        <v>24.84</v>
      </c>
      <c r="F5389" s="379">
        <v>8.1174834595959595</v>
      </c>
      <c r="G5389" s="25">
        <v>35.64</v>
      </c>
      <c r="H5389" s="379">
        <v>4.7068813999530157</v>
      </c>
      <c r="I5389" s="25">
        <v>39.119999999999997</v>
      </c>
      <c r="J5389" s="379">
        <v>0.27777777777777779</v>
      </c>
    </row>
    <row r="5390" spans="1:10" x14ac:dyDescent="0.35">
      <c r="A5390" s="5">
        <v>5386</v>
      </c>
      <c r="B5390" s="5">
        <v>225</v>
      </c>
      <c r="C5390" s="5">
        <v>8</v>
      </c>
      <c r="D5390" s="379">
        <v>83.691666666666677</v>
      </c>
      <c r="E5390" s="25">
        <v>24.84</v>
      </c>
      <c r="F5390" s="379">
        <v>5.2083306482968252</v>
      </c>
      <c r="G5390" s="25">
        <v>32.43</v>
      </c>
      <c r="H5390" s="379">
        <v>4.6228071087650804</v>
      </c>
      <c r="I5390" s="25">
        <v>37.57</v>
      </c>
      <c r="J5390" s="379">
        <v>3.6100716175031549</v>
      </c>
    </row>
    <row r="5391" spans="1:10" x14ac:dyDescent="0.35">
      <c r="A5391" s="5">
        <v>5387</v>
      </c>
      <c r="B5391" s="5">
        <v>225</v>
      </c>
      <c r="C5391" s="5">
        <v>8</v>
      </c>
      <c r="D5391" s="379">
        <v>76.193333333333328</v>
      </c>
      <c r="E5391" s="25">
        <v>24.84</v>
      </c>
      <c r="F5391" s="379">
        <v>5.2083306482968252</v>
      </c>
      <c r="G5391" s="25">
        <v>32.43</v>
      </c>
      <c r="H5391" s="379">
        <v>3.7422610894838484</v>
      </c>
      <c r="I5391" s="25">
        <v>34.75</v>
      </c>
      <c r="J5391" s="379">
        <v>3.5527685060132725</v>
      </c>
    </row>
    <row r="5392" spans="1:10" x14ac:dyDescent="0.35">
      <c r="A5392" s="5">
        <v>5388</v>
      </c>
      <c r="B5392" s="5">
        <v>225</v>
      </c>
      <c r="C5392" s="5">
        <v>8</v>
      </c>
      <c r="D5392" s="379">
        <v>65.055000000000007</v>
      </c>
      <c r="E5392" s="25">
        <v>24.84</v>
      </c>
      <c r="F5392" s="379">
        <v>5.2083306482968252</v>
      </c>
      <c r="G5392" s="25">
        <v>32.43</v>
      </c>
      <c r="H5392" s="379">
        <v>3.7422610894838484</v>
      </c>
      <c r="I5392" s="25">
        <v>34.25</v>
      </c>
      <c r="J5392" s="379">
        <v>3.5535504303149201</v>
      </c>
    </row>
    <row r="5393" spans="1:10" x14ac:dyDescent="0.35">
      <c r="A5393" s="5">
        <v>5389</v>
      </c>
      <c r="B5393" s="5">
        <v>225</v>
      </c>
      <c r="C5393" s="5">
        <v>8</v>
      </c>
      <c r="D5393" s="379">
        <v>53.519999999999989</v>
      </c>
      <c r="E5393" s="25">
        <v>24</v>
      </c>
      <c r="F5393" s="379">
        <v>5.2083306482968252</v>
      </c>
      <c r="G5393" s="25">
        <v>31.11</v>
      </c>
      <c r="H5393" s="379">
        <v>3.681390652985383</v>
      </c>
      <c r="I5393" s="25">
        <v>34.25</v>
      </c>
      <c r="J5393" s="379">
        <v>3.5527685060132725</v>
      </c>
    </row>
    <row r="5394" spans="1:10" x14ac:dyDescent="0.35">
      <c r="A5394" s="5">
        <v>5390</v>
      </c>
      <c r="B5394" s="5">
        <v>225</v>
      </c>
      <c r="C5394" s="5">
        <v>8</v>
      </c>
      <c r="D5394" s="379">
        <v>59.850555555555552</v>
      </c>
      <c r="E5394" s="25">
        <v>23.84</v>
      </c>
      <c r="F5394" s="379">
        <v>5.2083306482968252</v>
      </c>
      <c r="G5394" s="25">
        <v>31.11</v>
      </c>
      <c r="H5394" s="379">
        <v>3.7422610894838484</v>
      </c>
      <c r="I5394" s="25">
        <v>34.25</v>
      </c>
      <c r="J5394" s="379">
        <v>3.5534825053903809</v>
      </c>
    </row>
    <row r="5395" spans="1:10" x14ac:dyDescent="0.35">
      <c r="A5395" s="5">
        <v>5391</v>
      </c>
      <c r="B5395" s="5">
        <v>225</v>
      </c>
      <c r="C5395" s="5">
        <v>8</v>
      </c>
      <c r="D5395" s="379">
        <v>75.028888888888886</v>
      </c>
      <c r="E5395" s="25">
        <v>23.84</v>
      </c>
      <c r="F5395" s="379">
        <v>5.2083306482968252</v>
      </c>
      <c r="G5395" s="25">
        <v>31.11</v>
      </c>
      <c r="H5395" s="379">
        <v>3.7422610894838484</v>
      </c>
      <c r="I5395" s="25">
        <v>34.25</v>
      </c>
      <c r="J5395" s="379">
        <v>3.5534825053903809</v>
      </c>
    </row>
    <row r="5396" spans="1:10" x14ac:dyDescent="0.35">
      <c r="A5396" s="5">
        <v>5392</v>
      </c>
      <c r="B5396" s="5">
        <v>225</v>
      </c>
      <c r="C5396" s="5">
        <v>8</v>
      </c>
      <c r="D5396" s="379">
        <v>90.936111111111117</v>
      </c>
      <c r="E5396" s="25">
        <v>23.84</v>
      </c>
      <c r="F5396" s="379">
        <v>5.2083306482968252</v>
      </c>
      <c r="G5396" s="25">
        <v>31.11</v>
      </c>
      <c r="H5396" s="379">
        <v>4.3897247813831957</v>
      </c>
      <c r="I5396" s="25">
        <v>34.25</v>
      </c>
      <c r="J5396" s="379">
        <v>3.5535504303149201</v>
      </c>
    </row>
    <row r="5397" spans="1:10" x14ac:dyDescent="0.35">
      <c r="A5397" s="5">
        <v>5393</v>
      </c>
      <c r="B5397" s="5">
        <v>225</v>
      </c>
      <c r="C5397" s="5">
        <v>8</v>
      </c>
      <c r="D5397" s="379">
        <v>102.27055555555555</v>
      </c>
      <c r="E5397" s="25">
        <v>24.12</v>
      </c>
      <c r="F5397" s="379">
        <v>5.2083306482968252</v>
      </c>
      <c r="G5397" s="25">
        <v>31.11</v>
      </c>
      <c r="H5397" s="379">
        <v>4.6600454934464945</v>
      </c>
      <c r="I5397" s="25">
        <v>34.25</v>
      </c>
      <c r="J5397" s="379">
        <v>3.5983263661916545</v>
      </c>
    </row>
    <row r="5398" spans="1:10" x14ac:dyDescent="0.35">
      <c r="A5398" s="5">
        <v>5394</v>
      </c>
      <c r="B5398" s="5">
        <v>225</v>
      </c>
      <c r="C5398" s="5">
        <v>8</v>
      </c>
      <c r="D5398" s="379">
        <v>112.16166666666666</v>
      </c>
      <c r="E5398" s="25">
        <v>24.84</v>
      </c>
      <c r="F5398" s="379">
        <v>8.1174834595959595</v>
      </c>
      <c r="G5398" s="25">
        <v>31.22</v>
      </c>
      <c r="H5398" s="379">
        <v>4.7233507474048988</v>
      </c>
      <c r="I5398" s="25">
        <v>35.799999999999997</v>
      </c>
      <c r="J5398" s="379">
        <v>4.1573130334363242</v>
      </c>
    </row>
    <row r="5399" spans="1:10" x14ac:dyDescent="0.35">
      <c r="A5399" s="5">
        <v>5395</v>
      </c>
      <c r="B5399" s="5">
        <v>225</v>
      </c>
      <c r="C5399" s="5">
        <v>8</v>
      </c>
      <c r="D5399" s="379">
        <v>117.61833333333334</v>
      </c>
      <c r="E5399" s="25">
        <v>24.84</v>
      </c>
      <c r="F5399" s="379">
        <v>8.1174834595959595</v>
      </c>
      <c r="G5399" s="25">
        <v>35.85</v>
      </c>
      <c r="H5399" s="379">
        <v>0.68291066940536105</v>
      </c>
      <c r="I5399" s="25">
        <v>40.21</v>
      </c>
      <c r="J5399" s="379">
        <v>0.27777777777777779</v>
      </c>
    </row>
    <row r="5400" spans="1:10" x14ac:dyDescent="0.35">
      <c r="A5400" s="5">
        <v>5396</v>
      </c>
      <c r="B5400" s="5">
        <v>225</v>
      </c>
      <c r="C5400" s="5">
        <v>8</v>
      </c>
      <c r="D5400" s="379">
        <v>117.61722222222222</v>
      </c>
      <c r="E5400" s="25">
        <v>24.84</v>
      </c>
      <c r="F5400" s="379">
        <v>8.1174834595959595</v>
      </c>
      <c r="G5400" s="25">
        <v>35.96</v>
      </c>
      <c r="H5400" s="379">
        <v>0.68291066940536105</v>
      </c>
      <c r="I5400" s="25">
        <v>40.29</v>
      </c>
      <c r="J5400" s="379">
        <v>1.9368601576814946</v>
      </c>
    </row>
    <row r="5401" spans="1:10" x14ac:dyDescent="0.35">
      <c r="A5401" s="5">
        <v>5397</v>
      </c>
      <c r="B5401" s="5">
        <v>225</v>
      </c>
      <c r="C5401" s="5">
        <v>8</v>
      </c>
      <c r="D5401" s="379">
        <v>116.15833333333332</v>
      </c>
      <c r="E5401" s="25">
        <v>24.84</v>
      </c>
      <c r="F5401" s="379">
        <v>8.1174834595959595</v>
      </c>
      <c r="G5401" s="25">
        <v>36.369999999999997</v>
      </c>
      <c r="H5401" s="379">
        <v>0.68291066940536105</v>
      </c>
      <c r="I5401" s="25">
        <v>44.72</v>
      </c>
      <c r="J5401" s="379">
        <v>2.1463782792484651</v>
      </c>
    </row>
    <row r="5402" spans="1:10" x14ac:dyDescent="0.35">
      <c r="A5402" s="5">
        <v>5398</v>
      </c>
      <c r="B5402" s="5">
        <v>225</v>
      </c>
      <c r="C5402" s="5">
        <v>8</v>
      </c>
      <c r="D5402" s="379">
        <v>111.19555555555554</v>
      </c>
      <c r="E5402" s="25">
        <v>24.84</v>
      </c>
      <c r="F5402" s="379">
        <v>6.3385391216886582</v>
      </c>
      <c r="G5402" s="25">
        <v>36.369999999999997</v>
      </c>
      <c r="H5402" s="379">
        <v>0.28331256342759448</v>
      </c>
      <c r="I5402" s="25">
        <v>44.2</v>
      </c>
      <c r="J5402" s="379">
        <v>2.179562704323792</v>
      </c>
    </row>
    <row r="5403" spans="1:10" x14ac:dyDescent="0.35">
      <c r="A5403" s="5">
        <v>5399</v>
      </c>
      <c r="B5403" s="5">
        <v>225</v>
      </c>
      <c r="C5403" s="5">
        <v>8</v>
      </c>
      <c r="D5403" s="379">
        <v>105.46111111111109</v>
      </c>
      <c r="E5403" s="25">
        <v>24.84</v>
      </c>
      <c r="F5403" s="379">
        <v>6.3649337811513629</v>
      </c>
      <c r="G5403" s="25">
        <v>32.76</v>
      </c>
      <c r="H5403" s="379">
        <v>0.40293578817179165</v>
      </c>
      <c r="I5403" s="25">
        <v>40.869999999999997</v>
      </c>
      <c r="J5403" s="379">
        <v>2.8453170659592986</v>
      </c>
    </row>
    <row r="5404" spans="1:10" x14ac:dyDescent="0.35">
      <c r="A5404" s="5">
        <v>5400</v>
      </c>
      <c r="B5404" s="5">
        <v>225</v>
      </c>
      <c r="C5404" s="5">
        <v>8</v>
      </c>
      <c r="D5404" s="379">
        <v>102.85166666666666</v>
      </c>
      <c r="E5404" s="25">
        <v>24.84</v>
      </c>
      <c r="F5404" s="379">
        <v>6.6229976888126307</v>
      </c>
      <c r="G5404" s="25">
        <v>31.11</v>
      </c>
      <c r="H5404" s="379">
        <v>0.60182451575464435</v>
      </c>
      <c r="I5404" s="25">
        <v>34.25</v>
      </c>
      <c r="J5404" s="379">
        <v>3.1775756130775665</v>
      </c>
    </row>
    <row r="5405" spans="1:10" x14ac:dyDescent="0.35">
      <c r="A5405" s="5">
        <v>5401</v>
      </c>
      <c r="B5405" s="5">
        <v>226</v>
      </c>
      <c r="C5405" s="5">
        <v>8</v>
      </c>
      <c r="D5405" s="379">
        <v>99.545555555555552</v>
      </c>
      <c r="E5405" s="25">
        <v>24.84</v>
      </c>
      <c r="F5405" s="379">
        <v>6.403811638488154</v>
      </c>
      <c r="G5405" s="25">
        <v>30.2</v>
      </c>
      <c r="H5405" s="379">
        <v>0.60182451575464435</v>
      </c>
      <c r="I5405" s="25">
        <v>33.67</v>
      </c>
      <c r="J5405" s="379">
        <v>3.1493815469772857</v>
      </c>
    </row>
    <row r="5406" spans="1:10" x14ac:dyDescent="0.35">
      <c r="A5406" s="5">
        <v>5402</v>
      </c>
      <c r="B5406" s="5">
        <v>226</v>
      </c>
      <c r="C5406" s="5">
        <v>8</v>
      </c>
      <c r="D5406" s="379">
        <v>95.747777777777785</v>
      </c>
      <c r="E5406" s="25">
        <v>24.73</v>
      </c>
      <c r="F5406" s="379">
        <v>6.1858497744238168</v>
      </c>
      <c r="G5406" s="25">
        <v>30.2</v>
      </c>
      <c r="H5406" s="379">
        <v>0.60182451575464435</v>
      </c>
      <c r="I5406" s="25">
        <v>33.67</v>
      </c>
      <c r="J5406" s="379">
        <v>3.1034712058043121</v>
      </c>
    </row>
    <row r="5407" spans="1:10" x14ac:dyDescent="0.35">
      <c r="A5407" s="5">
        <v>5403</v>
      </c>
      <c r="B5407" s="5">
        <v>226</v>
      </c>
      <c r="C5407" s="5">
        <v>8</v>
      </c>
      <c r="D5407" s="379">
        <v>91.24166666666666</v>
      </c>
      <c r="E5407" s="25">
        <v>24.73</v>
      </c>
      <c r="F5407" s="379">
        <v>6.6769644062795566</v>
      </c>
      <c r="G5407" s="25">
        <v>30.03</v>
      </c>
      <c r="H5407" s="379">
        <v>1.055759790335383</v>
      </c>
      <c r="I5407" s="25">
        <v>33.67</v>
      </c>
      <c r="J5407" s="379">
        <v>3.1559817412701863</v>
      </c>
    </row>
    <row r="5408" spans="1:10" x14ac:dyDescent="0.35">
      <c r="A5408" s="5">
        <v>5404</v>
      </c>
      <c r="B5408" s="5">
        <v>226</v>
      </c>
      <c r="C5408" s="5">
        <v>8</v>
      </c>
      <c r="D5408" s="379">
        <v>91.100555555555545</v>
      </c>
      <c r="E5408" s="25">
        <v>24</v>
      </c>
      <c r="F5408" s="379">
        <v>8.1174834595959577</v>
      </c>
      <c r="G5408" s="25">
        <v>30.03</v>
      </c>
      <c r="H5408" s="379">
        <v>1.1820760258936009</v>
      </c>
      <c r="I5408" s="25">
        <v>33.67</v>
      </c>
      <c r="J5408" s="379">
        <v>2.0046636118919698</v>
      </c>
    </row>
    <row r="5409" spans="1:10" x14ac:dyDescent="0.35">
      <c r="A5409" s="5">
        <v>5405</v>
      </c>
      <c r="B5409" s="5">
        <v>226</v>
      </c>
      <c r="C5409" s="5">
        <v>8</v>
      </c>
      <c r="D5409" s="379">
        <v>93.143888888888895</v>
      </c>
      <c r="E5409" s="25">
        <v>24.73</v>
      </c>
      <c r="F5409" s="379">
        <v>8.1174834595959577</v>
      </c>
      <c r="G5409" s="25">
        <v>30.03</v>
      </c>
      <c r="H5409" s="379">
        <v>1.1820760258936009</v>
      </c>
      <c r="I5409" s="25">
        <v>33.67</v>
      </c>
      <c r="J5409" s="379">
        <v>3.1933925032420438</v>
      </c>
    </row>
    <row r="5410" spans="1:10" x14ac:dyDescent="0.35">
      <c r="A5410" s="5">
        <v>5406</v>
      </c>
      <c r="B5410" s="5">
        <v>226</v>
      </c>
      <c r="C5410" s="5">
        <v>8</v>
      </c>
      <c r="D5410" s="379">
        <v>92.783333333333331</v>
      </c>
      <c r="E5410" s="25">
        <v>24.73</v>
      </c>
      <c r="F5410" s="379">
        <v>8.1174834595959595</v>
      </c>
      <c r="G5410" s="25">
        <v>30.2</v>
      </c>
      <c r="H5410" s="379">
        <v>1.1820760258936009</v>
      </c>
      <c r="I5410" s="25">
        <v>33.869999999999997</v>
      </c>
      <c r="J5410" s="379">
        <v>3.1834854802746939</v>
      </c>
    </row>
    <row r="5411" spans="1:10" x14ac:dyDescent="0.35">
      <c r="A5411" s="5">
        <v>5407</v>
      </c>
      <c r="B5411" s="5">
        <v>226</v>
      </c>
      <c r="C5411" s="5">
        <v>8</v>
      </c>
      <c r="D5411" s="379">
        <v>91.831666666666663</v>
      </c>
      <c r="E5411" s="25">
        <v>24.84</v>
      </c>
      <c r="F5411" s="379">
        <v>8.1174834595959613</v>
      </c>
      <c r="G5411" s="25">
        <v>30.2</v>
      </c>
      <c r="H5411" s="379">
        <v>1.1467536713339772</v>
      </c>
      <c r="I5411" s="25">
        <v>34.01</v>
      </c>
      <c r="J5411" s="379">
        <v>0.95287941079638683</v>
      </c>
    </row>
    <row r="5412" spans="1:10" x14ac:dyDescent="0.35">
      <c r="A5412" s="5">
        <v>5408</v>
      </c>
      <c r="B5412" s="5">
        <v>226</v>
      </c>
      <c r="C5412" s="5">
        <v>8</v>
      </c>
      <c r="D5412" s="379">
        <v>92.271666666666661</v>
      </c>
      <c r="E5412" s="25">
        <v>24.84</v>
      </c>
      <c r="F5412" s="379">
        <v>8.1174834595959595</v>
      </c>
      <c r="G5412" s="25">
        <v>30.93</v>
      </c>
      <c r="H5412" s="379">
        <v>0.68767803316636056</v>
      </c>
      <c r="I5412" s="25">
        <v>34.07</v>
      </c>
      <c r="J5412" s="379">
        <v>0.27777777777777779</v>
      </c>
    </row>
    <row r="5413" spans="1:10" x14ac:dyDescent="0.35">
      <c r="A5413" s="5">
        <v>5409</v>
      </c>
      <c r="B5413" s="5">
        <v>226</v>
      </c>
      <c r="C5413" s="5">
        <v>8</v>
      </c>
      <c r="D5413" s="379">
        <v>90.285555555555547</v>
      </c>
      <c r="E5413" s="25">
        <v>24.84</v>
      </c>
      <c r="F5413" s="379">
        <v>8.1174834595959577</v>
      </c>
      <c r="G5413" s="25">
        <v>31.11</v>
      </c>
      <c r="H5413" s="379">
        <v>1.2653294002725548</v>
      </c>
      <c r="I5413" s="25">
        <v>33.67</v>
      </c>
      <c r="J5413" s="379">
        <v>1.9611393953693224</v>
      </c>
    </row>
    <row r="5414" spans="1:10" x14ac:dyDescent="0.35">
      <c r="A5414" s="5">
        <v>5410</v>
      </c>
      <c r="B5414" s="5">
        <v>226</v>
      </c>
      <c r="C5414" s="5">
        <v>8</v>
      </c>
      <c r="D5414" s="379">
        <v>84.688888888888883</v>
      </c>
      <c r="E5414" s="25">
        <v>24.84</v>
      </c>
      <c r="F5414" s="379">
        <v>6.3382143062699212</v>
      </c>
      <c r="G5414" s="25">
        <v>30.91</v>
      </c>
      <c r="H5414" s="379">
        <v>1.9923979890062657</v>
      </c>
      <c r="I5414" s="25">
        <v>33.67</v>
      </c>
      <c r="J5414" s="379">
        <v>4.8837665595199531E-2</v>
      </c>
    </row>
    <row r="5415" spans="1:10" x14ac:dyDescent="0.35">
      <c r="A5415" s="5">
        <v>5411</v>
      </c>
      <c r="B5415" s="5">
        <v>226</v>
      </c>
      <c r="C5415" s="5">
        <v>8</v>
      </c>
      <c r="D5415" s="379">
        <v>74.187222222222218</v>
      </c>
      <c r="E5415" s="25">
        <v>24.84</v>
      </c>
      <c r="F5415" s="379">
        <v>1.1022140324306271</v>
      </c>
      <c r="G5415" s="25">
        <v>30.03</v>
      </c>
      <c r="H5415" s="379">
        <v>2.1283758581764647</v>
      </c>
      <c r="I5415" s="25">
        <v>33.67</v>
      </c>
      <c r="J5415" s="379">
        <v>2.3253335567915121</v>
      </c>
    </row>
    <row r="5416" spans="1:10" x14ac:dyDescent="0.35">
      <c r="A5416" s="5">
        <v>5412</v>
      </c>
      <c r="B5416" s="5">
        <v>226</v>
      </c>
      <c r="C5416" s="5">
        <v>8</v>
      </c>
      <c r="D5416" s="379">
        <v>60.876666666666665</v>
      </c>
      <c r="E5416" s="25">
        <v>24</v>
      </c>
      <c r="F5416" s="379">
        <v>5.1540513092529139</v>
      </c>
      <c r="G5416" s="25">
        <v>30.03</v>
      </c>
      <c r="H5416" s="379">
        <v>0.65543771078483204</v>
      </c>
      <c r="I5416" s="25">
        <v>33.67</v>
      </c>
      <c r="J5416" s="379">
        <v>2.3253335567915085</v>
      </c>
    </row>
    <row r="5417" spans="1:10" x14ac:dyDescent="0.35">
      <c r="A5417" s="5">
        <v>5413</v>
      </c>
      <c r="B5417" s="5">
        <v>226</v>
      </c>
      <c r="C5417" s="5">
        <v>8</v>
      </c>
      <c r="D5417" s="379">
        <v>53.889444444444443</v>
      </c>
      <c r="E5417" s="25">
        <v>23.59</v>
      </c>
      <c r="F5417" s="379">
        <v>5.1540513092529139</v>
      </c>
      <c r="G5417" s="25">
        <v>30.03</v>
      </c>
      <c r="H5417" s="379">
        <v>1.2488137980831644</v>
      </c>
      <c r="I5417" s="25">
        <v>33.67</v>
      </c>
      <c r="J5417" s="379">
        <v>2.3253335567915085</v>
      </c>
    </row>
    <row r="5418" spans="1:10" x14ac:dyDescent="0.35">
      <c r="A5418" s="5">
        <v>5414</v>
      </c>
      <c r="B5418" s="5">
        <v>226</v>
      </c>
      <c r="C5418" s="5">
        <v>8</v>
      </c>
      <c r="D5418" s="379">
        <v>54.747777777777777</v>
      </c>
      <c r="E5418" s="25">
        <v>23.59</v>
      </c>
      <c r="F5418" s="379">
        <v>4.7380422891497949</v>
      </c>
      <c r="G5418" s="25">
        <v>30.03</v>
      </c>
      <c r="H5418" s="379">
        <v>0.92050549374429846</v>
      </c>
      <c r="I5418" s="25">
        <v>33.67</v>
      </c>
      <c r="J5418" s="379">
        <v>2.316064705102975</v>
      </c>
    </row>
    <row r="5419" spans="1:10" x14ac:dyDescent="0.35">
      <c r="A5419" s="5">
        <v>5415</v>
      </c>
      <c r="B5419" s="5">
        <v>226</v>
      </c>
      <c r="C5419" s="5">
        <v>8</v>
      </c>
      <c r="D5419" s="379">
        <v>64.069444444444443</v>
      </c>
      <c r="E5419" s="25">
        <v>23.59</v>
      </c>
      <c r="F5419" s="379">
        <v>1.5627835127282088</v>
      </c>
      <c r="G5419" s="25">
        <v>30.03</v>
      </c>
      <c r="H5419" s="379">
        <v>1.3245507189946262</v>
      </c>
      <c r="I5419" s="25">
        <v>33.67</v>
      </c>
      <c r="J5419" s="379">
        <v>2.1535450636322264</v>
      </c>
    </row>
    <row r="5420" spans="1:10" x14ac:dyDescent="0.35">
      <c r="A5420" s="5">
        <v>5416</v>
      </c>
      <c r="B5420" s="5">
        <v>226</v>
      </c>
      <c r="C5420" s="5">
        <v>8</v>
      </c>
      <c r="D5420" s="379">
        <v>81.387222222222235</v>
      </c>
      <c r="E5420" s="25">
        <v>23.84</v>
      </c>
      <c r="F5420" s="379">
        <v>0.47222222222222221</v>
      </c>
      <c r="G5420" s="25">
        <v>30.2</v>
      </c>
      <c r="H5420" s="379">
        <v>1.3462371703077991</v>
      </c>
      <c r="I5420" s="25">
        <v>33.67</v>
      </c>
      <c r="J5420" s="379">
        <v>4.1907595325616172E-2</v>
      </c>
    </row>
    <row r="5421" spans="1:10" x14ac:dyDescent="0.35">
      <c r="A5421" s="5">
        <v>5417</v>
      </c>
      <c r="B5421" s="5">
        <v>226</v>
      </c>
      <c r="C5421" s="5">
        <v>8</v>
      </c>
      <c r="D5421" s="379">
        <v>95.512222222222221</v>
      </c>
      <c r="E5421" s="25">
        <v>24</v>
      </c>
      <c r="F5421" s="379">
        <v>8.1174834595959595</v>
      </c>
      <c r="G5421" s="25">
        <v>30.57</v>
      </c>
      <c r="H5421" s="379">
        <v>5.504846541021176</v>
      </c>
      <c r="I5421" s="25">
        <v>33.67</v>
      </c>
      <c r="J5421" s="379">
        <v>0.7652526299502993</v>
      </c>
    </row>
    <row r="5422" spans="1:10" x14ac:dyDescent="0.35">
      <c r="A5422" s="5">
        <v>5418</v>
      </c>
      <c r="B5422" s="5">
        <v>226</v>
      </c>
      <c r="C5422" s="5">
        <v>8</v>
      </c>
      <c r="D5422" s="379">
        <v>106.9711111111111</v>
      </c>
      <c r="E5422" s="25">
        <v>24.84</v>
      </c>
      <c r="F5422" s="379">
        <v>9.3907370647433392</v>
      </c>
      <c r="G5422" s="25">
        <v>31.84</v>
      </c>
      <c r="H5422" s="379">
        <v>9.65705445025778</v>
      </c>
      <c r="I5422" s="25">
        <v>34.25</v>
      </c>
      <c r="J5422" s="379">
        <v>7.3965447409166369</v>
      </c>
    </row>
    <row r="5423" spans="1:10" x14ac:dyDescent="0.35">
      <c r="A5423" s="5">
        <v>5419</v>
      </c>
      <c r="B5423" s="5">
        <v>226</v>
      </c>
      <c r="C5423" s="5">
        <v>8</v>
      </c>
      <c r="D5423" s="379">
        <v>114.07666666666668</v>
      </c>
      <c r="E5423" s="25">
        <v>24.84</v>
      </c>
      <c r="F5423" s="379">
        <v>18.391675995539519</v>
      </c>
      <c r="G5423" s="25">
        <v>31.84</v>
      </c>
      <c r="H5423" s="379">
        <v>10.339843515059201</v>
      </c>
      <c r="I5423" s="25">
        <v>37.979999999999997</v>
      </c>
      <c r="J5423" s="379">
        <v>7.4673285564768141</v>
      </c>
    </row>
    <row r="5424" spans="1:10" x14ac:dyDescent="0.35">
      <c r="A5424" s="5">
        <v>5420</v>
      </c>
      <c r="B5424" s="5">
        <v>226</v>
      </c>
      <c r="C5424" s="5">
        <v>8</v>
      </c>
      <c r="D5424" s="379">
        <v>114.77000000000001</v>
      </c>
      <c r="E5424" s="25">
        <v>24.84</v>
      </c>
      <c r="F5424" s="379">
        <v>16.020706942330467</v>
      </c>
      <c r="G5424" s="25">
        <v>36.39</v>
      </c>
      <c r="H5424" s="379">
        <v>10.200572576145058</v>
      </c>
      <c r="I5424" s="25">
        <v>40.869999999999997</v>
      </c>
      <c r="J5424" s="379">
        <v>7.3643152487706462</v>
      </c>
    </row>
    <row r="5425" spans="1:10" x14ac:dyDescent="0.35">
      <c r="A5425" s="5">
        <v>5421</v>
      </c>
      <c r="B5425" s="5">
        <v>226</v>
      </c>
      <c r="C5425" s="5">
        <v>8</v>
      </c>
      <c r="D5425" s="379">
        <v>112.47055555555555</v>
      </c>
      <c r="E5425" s="25">
        <v>24.84</v>
      </c>
      <c r="F5425" s="379">
        <v>17.090416476613363</v>
      </c>
      <c r="G5425" s="25">
        <v>36.39</v>
      </c>
      <c r="H5425" s="379">
        <v>10.449008540508723</v>
      </c>
      <c r="I5425" s="25">
        <v>41.04</v>
      </c>
      <c r="J5425" s="379">
        <v>7.1113201589082999</v>
      </c>
    </row>
    <row r="5426" spans="1:10" x14ac:dyDescent="0.35">
      <c r="A5426" s="5">
        <v>5422</v>
      </c>
      <c r="B5426" s="5">
        <v>226</v>
      </c>
      <c r="C5426" s="5">
        <v>8</v>
      </c>
      <c r="D5426" s="379">
        <v>108.07555555555555</v>
      </c>
      <c r="E5426" s="25">
        <v>24.84</v>
      </c>
      <c r="F5426" s="379">
        <v>17.844112662009042</v>
      </c>
      <c r="G5426" s="25">
        <v>36.39</v>
      </c>
      <c r="H5426" s="379">
        <v>9.5380027454913279</v>
      </c>
      <c r="I5426" s="25">
        <v>40.61</v>
      </c>
      <c r="J5426" s="379">
        <v>7.358131072024495</v>
      </c>
    </row>
    <row r="5427" spans="1:10" x14ac:dyDescent="0.35">
      <c r="A5427" s="5">
        <v>5423</v>
      </c>
      <c r="B5427" s="5">
        <v>226</v>
      </c>
      <c r="C5427" s="5">
        <v>8</v>
      </c>
      <c r="D5427" s="379">
        <v>100.32611111111112</v>
      </c>
      <c r="E5427" s="25">
        <v>24.84</v>
      </c>
      <c r="F5427" s="379">
        <v>17.54788006691599</v>
      </c>
      <c r="G5427" s="25">
        <v>31.84</v>
      </c>
      <c r="H5427" s="379">
        <v>10.074437228362177</v>
      </c>
      <c r="I5427" s="25">
        <v>36.47</v>
      </c>
      <c r="J5427" s="379">
        <v>7.4327843194789294</v>
      </c>
    </row>
    <row r="5428" spans="1:10" x14ac:dyDescent="0.35">
      <c r="A5428" s="5">
        <v>5424</v>
      </c>
      <c r="B5428" s="5">
        <v>226</v>
      </c>
      <c r="C5428" s="5">
        <v>8</v>
      </c>
      <c r="D5428" s="379">
        <v>93.50777777777779</v>
      </c>
      <c r="E5428" s="25">
        <v>24.84</v>
      </c>
      <c r="F5428" s="379">
        <v>16.845544479503484</v>
      </c>
      <c r="G5428" s="25">
        <v>31.58</v>
      </c>
      <c r="H5428" s="379">
        <v>10.403069568192763</v>
      </c>
      <c r="I5428" s="25">
        <v>34.68</v>
      </c>
      <c r="J5428" s="379">
        <v>7.4280528606258152</v>
      </c>
    </row>
    <row r="5429" spans="1:10" x14ac:dyDescent="0.35">
      <c r="A5429" s="5">
        <v>5425</v>
      </c>
      <c r="B5429" s="5">
        <v>227</v>
      </c>
      <c r="C5429" s="5">
        <v>8</v>
      </c>
      <c r="D5429" s="379">
        <v>89.317777777777778</v>
      </c>
      <c r="E5429" s="25">
        <v>24.84</v>
      </c>
      <c r="F5429" s="379">
        <v>17.111901589214131</v>
      </c>
      <c r="G5429" s="25">
        <v>32.81</v>
      </c>
      <c r="H5429" s="379">
        <v>10.656611457748175</v>
      </c>
      <c r="I5429" s="25">
        <v>34.89</v>
      </c>
      <c r="J5429" s="379">
        <v>7.4466570387590192</v>
      </c>
    </row>
    <row r="5430" spans="1:10" x14ac:dyDescent="0.35">
      <c r="A5430" s="5">
        <v>5426</v>
      </c>
      <c r="B5430" s="5">
        <v>227</v>
      </c>
      <c r="C5430" s="5">
        <v>8</v>
      </c>
      <c r="D5430" s="379">
        <v>88.826111111111103</v>
      </c>
      <c r="E5430" s="25">
        <v>24.84</v>
      </c>
      <c r="F5430" s="379">
        <v>17.044841570556791</v>
      </c>
      <c r="G5430" s="25">
        <v>31.24</v>
      </c>
      <c r="H5430" s="379">
        <v>10.413476710076335</v>
      </c>
      <c r="I5430" s="25">
        <v>34.89</v>
      </c>
      <c r="J5430" s="379">
        <v>7.4393381438475386</v>
      </c>
    </row>
    <row r="5431" spans="1:10" x14ac:dyDescent="0.35">
      <c r="A5431" s="5">
        <v>5427</v>
      </c>
      <c r="B5431" s="5">
        <v>227</v>
      </c>
      <c r="C5431" s="5">
        <v>8</v>
      </c>
      <c r="D5431" s="379">
        <v>87.081666666666678</v>
      </c>
      <c r="E5431" s="25">
        <v>24.84</v>
      </c>
      <c r="F5431" s="379">
        <v>17.684488308938569</v>
      </c>
      <c r="G5431" s="25">
        <v>31.24</v>
      </c>
      <c r="H5431" s="379">
        <v>10.57837487091566</v>
      </c>
      <c r="I5431" s="25">
        <v>34.89</v>
      </c>
      <c r="J5431" s="379">
        <v>7.4525775567784267</v>
      </c>
    </row>
    <row r="5432" spans="1:10" x14ac:dyDescent="0.35">
      <c r="A5432" s="5">
        <v>5428</v>
      </c>
      <c r="B5432" s="5">
        <v>227</v>
      </c>
      <c r="C5432" s="5">
        <v>8</v>
      </c>
      <c r="D5432" s="379">
        <v>88.25611111111111</v>
      </c>
      <c r="E5432" s="25">
        <v>24.84</v>
      </c>
      <c r="F5432" s="379">
        <v>17.831883837437772</v>
      </c>
      <c r="G5432" s="25">
        <v>30.93</v>
      </c>
      <c r="H5432" s="379">
        <v>10.624712728503285</v>
      </c>
      <c r="I5432" s="25">
        <v>34.89</v>
      </c>
      <c r="J5432" s="379">
        <v>7.4282830914897024</v>
      </c>
    </row>
    <row r="5433" spans="1:10" x14ac:dyDescent="0.35">
      <c r="A5433" s="5">
        <v>5429</v>
      </c>
      <c r="B5433" s="5">
        <v>227</v>
      </c>
      <c r="C5433" s="5">
        <v>8</v>
      </c>
      <c r="D5433" s="379">
        <v>91.029999999999987</v>
      </c>
      <c r="E5433" s="25">
        <v>24.84</v>
      </c>
      <c r="F5433" s="379">
        <v>16.942148017337857</v>
      </c>
      <c r="G5433" s="25">
        <v>30.93</v>
      </c>
      <c r="H5433" s="379">
        <v>10.435418436642264</v>
      </c>
      <c r="I5433" s="25">
        <v>34.68</v>
      </c>
      <c r="J5433" s="379">
        <v>7.4426189392093605</v>
      </c>
    </row>
    <row r="5434" spans="1:10" x14ac:dyDescent="0.35">
      <c r="A5434" s="5">
        <v>5430</v>
      </c>
      <c r="B5434" s="5">
        <v>227</v>
      </c>
      <c r="C5434" s="5">
        <v>8</v>
      </c>
      <c r="D5434" s="379">
        <v>93.353333333333339</v>
      </c>
      <c r="E5434" s="25">
        <v>24.84</v>
      </c>
      <c r="F5434" s="379">
        <v>16.058053078459931</v>
      </c>
      <c r="G5434" s="25">
        <v>30.93</v>
      </c>
      <c r="H5434" s="379">
        <v>10.285175742393537</v>
      </c>
      <c r="I5434" s="25">
        <v>34.68</v>
      </c>
      <c r="J5434" s="379">
        <v>7.3886104986600856</v>
      </c>
    </row>
    <row r="5435" spans="1:10" x14ac:dyDescent="0.35">
      <c r="A5435" s="5">
        <v>5431</v>
      </c>
      <c r="B5435" s="5">
        <v>227</v>
      </c>
      <c r="C5435" s="5">
        <v>8</v>
      </c>
      <c r="D5435" s="379">
        <v>102.73055555555557</v>
      </c>
      <c r="E5435" s="25">
        <v>24.84</v>
      </c>
      <c r="F5435" s="379">
        <v>14.860214472042097</v>
      </c>
      <c r="G5435" s="25">
        <v>30.93</v>
      </c>
      <c r="H5435" s="379">
        <v>9.7887796726444662</v>
      </c>
      <c r="I5435" s="25">
        <v>34.68</v>
      </c>
      <c r="J5435" s="379">
        <v>7.4327843194789294</v>
      </c>
    </row>
    <row r="5436" spans="1:10" x14ac:dyDescent="0.35">
      <c r="A5436" s="5">
        <v>5432</v>
      </c>
      <c r="B5436" s="5">
        <v>227</v>
      </c>
      <c r="C5436" s="5">
        <v>8</v>
      </c>
      <c r="D5436" s="379">
        <v>109.26944444444445</v>
      </c>
      <c r="E5436" s="25">
        <v>24.84</v>
      </c>
      <c r="F5436" s="379">
        <v>16.642749927189158</v>
      </c>
      <c r="G5436" s="25">
        <v>31.11</v>
      </c>
      <c r="H5436" s="379">
        <v>9.8399203529353532</v>
      </c>
      <c r="I5436" s="25">
        <v>34.68</v>
      </c>
      <c r="J5436" s="379">
        <v>7.4647490543219561</v>
      </c>
    </row>
    <row r="5437" spans="1:10" x14ac:dyDescent="0.35">
      <c r="A5437" s="5">
        <v>5433</v>
      </c>
      <c r="B5437" s="5">
        <v>227</v>
      </c>
      <c r="C5437" s="5">
        <v>8</v>
      </c>
      <c r="D5437" s="379">
        <v>106.97444444444444</v>
      </c>
      <c r="E5437" s="25">
        <v>24.84</v>
      </c>
      <c r="F5437" s="379">
        <v>15.021163885861496</v>
      </c>
      <c r="G5437" s="25">
        <v>31.24</v>
      </c>
      <c r="H5437" s="379">
        <v>8.3049892582240847</v>
      </c>
      <c r="I5437" s="25">
        <v>34.68</v>
      </c>
      <c r="J5437" s="379">
        <v>5.9251980087500904</v>
      </c>
    </row>
    <row r="5438" spans="1:10" x14ac:dyDescent="0.35">
      <c r="A5438" s="5">
        <v>5434</v>
      </c>
      <c r="B5438" s="5">
        <v>227</v>
      </c>
      <c r="C5438" s="5">
        <v>8</v>
      </c>
      <c r="D5438" s="379">
        <v>102.35555555555555</v>
      </c>
      <c r="E5438" s="25">
        <v>24.84</v>
      </c>
      <c r="F5438" s="379">
        <v>8.4333136699502074</v>
      </c>
      <c r="G5438" s="25">
        <v>30.93</v>
      </c>
      <c r="H5438" s="379">
        <v>9.6292065176944117</v>
      </c>
      <c r="I5438" s="25">
        <v>34.68</v>
      </c>
      <c r="J5438" s="379">
        <v>6.3761791434336015</v>
      </c>
    </row>
    <row r="5439" spans="1:10" x14ac:dyDescent="0.35">
      <c r="A5439" s="5">
        <v>5435</v>
      </c>
      <c r="B5439" s="5">
        <v>227</v>
      </c>
      <c r="C5439" s="5">
        <v>8</v>
      </c>
      <c r="D5439" s="379">
        <v>98.237777777777765</v>
      </c>
      <c r="E5439" s="25">
        <v>24.84</v>
      </c>
      <c r="F5439" s="379">
        <v>9.4489782874534374</v>
      </c>
      <c r="G5439" s="25">
        <v>30.95</v>
      </c>
      <c r="H5439" s="379">
        <v>9.887419774788194</v>
      </c>
      <c r="I5439" s="25">
        <v>34.68</v>
      </c>
      <c r="J5439" s="379">
        <v>6.7219128262398078</v>
      </c>
    </row>
    <row r="5440" spans="1:10" x14ac:dyDescent="0.35">
      <c r="A5440" s="5">
        <v>5436</v>
      </c>
      <c r="B5440" s="5">
        <v>227</v>
      </c>
      <c r="C5440" s="5">
        <v>8</v>
      </c>
      <c r="D5440" s="379">
        <v>96.728888888888903</v>
      </c>
      <c r="E5440" s="25">
        <v>24.84</v>
      </c>
      <c r="F5440" s="379">
        <v>9.9011161075575416</v>
      </c>
      <c r="G5440" s="25">
        <v>31.11</v>
      </c>
      <c r="H5440" s="379">
        <v>9.9519282624898207</v>
      </c>
      <c r="I5440" s="25">
        <v>34.89</v>
      </c>
      <c r="J5440" s="379">
        <v>6.7169008028455064</v>
      </c>
    </row>
    <row r="5441" spans="1:10" x14ac:dyDescent="0.35">
      <c r="A5441" s="5">
        <v>5437</v>
      </c>
      <c r="B5441" s="5">
        <v>227</v>
      </c>
      <c r="C5441" s="5">
        <v>8</v>
      </c>
      <c r="D5441" s="379">
        <v>96.251666666666651</v>
      </c>
      <c r="E5441" s="25">
        <v>24</v>
      </c>
      <c r="F5441" s="379">
        <v>6.344642315389061</v>
      </c>
      <c r="G5441" s="25">
        <v>30.93</v>
      </c>
      <c r="H5441" s="379">
        <v>9.9632785832136239</v>
      </c>
      <c r="I5441" s="25">
        <v>34.74</v>
      </c>
      <c r="J5441" s="379">
        <v>6.7114443018247227</v>
      </c>
    </row>
    <row r="5442" spans="1:10" x14ac:dyDescent="0.35">
      <c r="A5442" s="5">
        <v>5438</v>
      </c>
      <c r="B5442" s="5">
        <v>227</v>
      </c>
      <c r="C5442" s="5">
        <v>8</v>
      </c>
      <c r="D5442" s="379">
        <v>96.612222222222215</v>
      </c>
      <c r="E5442" s="25">
        <v>24</v>
      </c>
      <c r="F5442" s="379">
        <v>7.9729184333718948</v>
      </c>
      <c r="G5442" s="25">
        <v>30.93</v>
      </c>
      <c r="H5442" s="379">
        <v>10.210592770472083</v>
      </c>
      <c r="I5442" s="25">
        <v>34.68</v>
      </c>
      <c r="J5442" s="379">
        <v>6.7826039599358534</v>
      </c>
    </row>
    <row r="5443" spans="1:10" x14ac:dyDescent="0.35">
      <c r="A5443" s="5">
        <v>5439</v>
      </c>
      <c r="B5443" s="5">
        <v>227</v>
      </c>
      <c r="C5443" s="5">
        <v>8</v>
      </c>
      <c r="D5443" s="379">
        <v>96.413888888888877</v>
      </c>
      <c r="E5443" s="25">
        <v>24</v>
      </c>
      <c r="F5443" s="379">
        <v>9.9521543726684634</v>
      </c>
      <c r="G5443" s="25">
        <v>30.93</v>
      </c>
      <c r="H5443" s="379">
        <v>10.184712587877117</v>
      </c>
      <c r="I5443" s="25">
        <v>34.74</v>
      </c>
      <c r="J5443" s="379">
        <v>6.7629036109192135</v>
      </c>
    </row>
    <row r="5444" spans="1:10" x14ac:dyDescent="0.35">
      <c r="A5444" s="5">
        <v>5440</v>
      </c>
      <c r="B5444" s="5">
        <v>227</v>
      </c>
      <c r="C5444" s="5">
        <v>8</v>
      </c>
      <c r="D5444" s="379">
        <v>102.0461111111111</v>
      </c>
      <c r="E5444" s="25">
        <v>24</v>
      </c>
      <c r="F5444" s="379">
        <v>9.9521543726684634</v>
      </c>
      <c r="G5444" s="25">
        <v>30.93</v>
      </c>
      <c r="H5444" s="379">
        <v>10.107103188060153</v>
      </c>
      <c r="I5444" s="25">
        <v>34.74</v>
      </c>
      <c r="J5444" s="379">
        <v>6.7542239656324279</v>
      </c>
    </row>
    <row r="5445" spans="1:10" x14ac:dyDescent="0.35">
      <c r="A5445" s="5">
        <v>5441</v>
      </c>
      <c r="B5445" s="5">
        <v>227</v>
      </c>
      <c r="C5445" s="5">
        <v>8</v>
      </c>
      <c r="D5445" s="379">
        <v>113.13055555555555</v>
      </c>
      <c r="E5445" s="25">
        <v>24.84</v>
      </c>
      <c r="F5445" s="379">
        <v>10.361070534716095</v>
      </c>
      <c r="G5445" s="25">
        <v>30.93</v>
      </c>
      <c r="H5445" s="379">
        <v>9.9505038093196472</v>
      </c>
      <c r="I5445" s="25">
        <v>34.89</v>
      </c>
      <c r="J5445" s="379">
        <v>6.7512876479183976</v>
      </c>
    </row>
    <row r="5446" spans="1:10" x14ac:dyDescent="0.35">
      <c r="A5446" s="5">
        <v>5442</v>
      </c>
      <c r="B5446" s="5">
        <v>227</v>
      </c>
      <c r="C5446" s="5">
        <v>8</v>
      </c>
      <c r="D5446" s="379">
        <v>123.13666666666667</v>
      </c>
      <c r="E5446" s="25">
        <v>24.84</v>
      </c>
      <c r="F5446" s="379">
        <v>17.841955075631375</v>
      </c>
      <c r="G5446" s="25">
        <v>32.04</v>
      </c>
      <c r="H5446" s="379">
        <v>9.8744010998185576</v>
      </c>
      <c r="I5446" s="25">
        <v>35.869999999999997</v>
      </c>
      <c r="J5446" s="379">
        <v>7.3163127766886928</v>
      </c>
    </row>
    <row r="5447" spans="1:10" x14ac:dyDescent="0.35">
      <c r="A5447" s="5">
        <v>5443</v>
      </c>
      <c r="B5447" s="5">
        <v>227</v>
      </c>
      <c r="C5447" s="5">
        <v>8</v>
      </c>
      <c r="D5447" s="379">
        <v>125.32722222222222</v>
      </c>
      <c r="E5447" s="25">
        <v>24.84</v>
      </c>
      <c r="F5447" s="379">
        <v>14.450801023839194</v>
      </c>
      <c r="G5447" s="25">
        <v>37.46</v>
      </c>
      <c r="H5447" s="379">
        <v>9.8690362158073182</v>
      </c>
      <c r="I5447" s="25">
        <v>40.21</v>
      </c>
      <c r="J5447" s="379">
        <v>7.3094429919628361</v>
      </c>
    </row>
    <row r="5448" spans="1:10" x14ac:dyDescent="0.35">
      <c r="A5448" s="5">
        <v>5444</v>
      </c>
      <c r="B5448" s="5">
        <v>227</v>
      </c>
      <c r="C5448" s="5">
        <v>8</v>
      </c>
      <c r="D5448" s="379">
        <v>127.84166666666667</v>
      </c>
      <c r="E5448" s="25">
        <v>24.84</v>
      </c>
      <c r="F5448" s="379">
        <v>15.398294401955441</v>
      </c>
      <c r="G5448" s="25">
        <v>37.700000000000003</v>
      </c>
      <c r="H5448" s="379">
        <v>8.8068721199888316</v>
      </c>
      <c r="I5448" s="25">
        <v>47.31</v>
      </c>
      <c r="J5448" s="379">
        <v>7.2997632390380849</v>
      </c>
    </row>
    <row r="5449" spans="1:10" x14ac:dyDescent="0.35">
      <c r="A5449" s="5">
        <v>5445</v>
      </c>
      <c r="B5449" s="5">
        <v>227</v>
      </c>
      <c r="C5449" s="5">
        <v>8</v>
      </c>
      <c r="D5449" s="379">
        <v>126.0338888888889</v>
      </c>
      <c r="E5449" s="25">
        <v>24.84</v>
      </c>
      <c r="F5449" s="379">
        <v>12.634120070443176</v>
      </c>
      <c r="G5449" s="25">
        <v>42.29</v>
      </c>
      <c r="H5449" s="379">
        <v>9.7141785017809337</v>
      </c>
      <c r="I5449" s="25">
        <v>49.53</v>
      </c>
      <c r="J5449" s="379">
        <v>7.2915736845939936</v>
      </c>
    </row>
    <row r="5450" spans="1:10" x14ac:dyDescent="0.35">
      <c r="A5450" s="5">
        <v>5446</v>
      </c>
      <c r="B5450" s="5">
        <v>227</v>
      </c>
      <c r="C5450" s="5">
        <v>8</v>
      </c>
      <c r="D5450" s="379">
        <v>120.04944444444445</v>
      </c>
      <c r="E5450" s="25">
        <v>24.84</v>
      </c>
      <c r="F5450" s="379">
        <v>15.914198145347829</v>
      </c>
      <c r="G5450" s="25">
        <v>42.19</v>
      </c>
      <c r="H5450" s="379">
        <v>10.019838135048326</v>
      </c>
      <c r="I5450" s="25">
        <v>49.53</v>
      </c>
      <c r="J5450" s="379">
        <v>7.2893856952115081</v>
      </c>
    </row>
    <row r="5451" spans="1:10" x14ac:dyDescent="0.35">
      <c r="A5451" s="5">
        <v>5447</v>
      </c>
      <c r="B5451" s="5">
        <v>227</v>
      </c>
      <c r="C5451" s="5">
        <v>8</v>
      </c>
      <c r="D5451" s="379">
        <v>115.0911111111111</v>
      </c>
      <c r="E5451" s="25">
        <v>24.84</v>
      </c>
      <c r="F5451" s="379">
        <v>16.53025898897145</v>
      </c>
      <c r="G5451" s="25">
        <v>37.700000000000003</v>
      </c>
      <c r="H5451" s="379">
        <v>9.6895075034190352</v>
      </c>
      <c r="I5451" s="25">
        <v>49.53</v>
      </c>
      <c r="J5451" s="379">
        <v>7.328990954005957</v>
      </c>
    </row>
    <row r="5452" spans="1:10" x14ac:dyDescent="0.35">
      <c r="A5452" s="5">
        <v>5448</v>
      </c>
      <c r="B5452" s="5">
        <v>227</v>
      </c>
      <c r="C5452" s="5">
        <v>8</v>
      </c>
      <c r="D5452" s="379">
        <v>107.77277777777776</v>
      </c>
      <c r="E5452" s="25">
        <v>24.84</v>
      </c>
      <c r="F5452" s="379">
        <v>16.994160276463287</v>
      </c>
      <c r="G5452" s="25">
        <v>37.700000000000003</v>
      </c>
      <c r="H5452" s="379">
        <v>9.7894790375686949</v>
      </c>
      <c r="I5452" s="25">
        <v>46.97</v>
      </c>
      <c r="J5452" s="379">
        <v>7.398211675568267</v>
      </c>
    </row>
    <row r="5453" spans="1:10" x14ac:dyDescent="0.35">
      <c r="A5453" s="5">
        <v>5449</v>
      </c>
      <c r="B5453" s="5">
        <v>228</v>
      </c>
      <c r="C5453" s="5">
        <v>8</v>
      </c>
      <c r="D5453" s="379">
        <v>101.34555555555553</v>
      </c>
      <c r="E5453" s="25">
        <v>24.84</v>
      </c>
      <c r="F5453" s="379">
        <v>16.336958076444635</v>
      </c>
      <c r="G5453" s="25">
        <v>37.700000000000003</v>
      </c>
      <c r="H5453" s="379">
        <v>10.030763387799695</v>
      </c>
      <c r="I5453" s="25">
        <v>46.97</v>
      </c>
      <c r="J5453" s="379">
        <v>7.3899161359142278</v>
      </c>
    </row>
    <row r="5454" spans="1:10" x14ac:dyDescent="0.35">
      <c r="A5454" s="5">
        <v>5450</v>
      </c>
      <c r="B5454" s="5">
        <v>228</v>
      </c>
      <c r="C5454" s="5">
        <v>8</v>
      </c>
      <c r="D5454" s="379">
        <v>99.419999999999987</v>
      </c>
      <c r="E5454" s="25">
        <v>24.84</v>
      </c>
      <c r="F5454" s="379">
        <v>17.196934424175939</v>
      </c>
      <c r="G5454" s="25">
        <v>32.04</v>
      </c>
      <c r="H5454" s="379">
        <v>10.203362328515471</v>
      </c>
      <c r="I5454" s="25">
        <v>46.97</v>
      </c>
      <c r="J5454" s="379">
        <v>7.4130519512523705</v>
      </c>
    </row>
    <row r="5455" spans="1:10" x14ac:dyDescent="0.35">
      <c r="A5455" s="5">
        <v>5451</v>
      </c>
      <c r="B5455" s="5">
        <v>228</v>
      </c>
      <c r="C5455" s="5">
        <v>8</v>
      </c>
      <c r="D5455" s="379">
        <v>97.742777777777761</v>
      </c>
      <c r="E5455" s="25">
        <v>24.84</v>
      </c>
      <c r="F5455" s="379">
        <v>17.073473997427435</v>
      </c>
      <c r="G5455" s="25">
        <v>32.04</v>
      </c>
      <c r="H5455" s="379">
        <v>10.25830546879963</v>
      </c>
      <c r="I5455" s="25">
        <v>46.97</v>
      </c>
      <c r="J5455" s="379">
        <v>7.3975372828974155</v>
      </c>
    </row>
    <row r="5456" spans="1:10" x14ac:dyDescent="0.35">
      <c r="A5456" s="5">
        <v>5452</v>
      </c>
      <c r="B5456" s="5">
        <v>228</v>
      </c>
      <c r="C5456" s="5">
        <v>8</v>
      </c>
      <c r="D5456" s="379">
        <v>98.411111111111097</v>
      </c>
      <c r="E5456" s="25">
        <v>24.84</v>
      </c>
      <c r="F5456" s="379">
        <v>16.596438505939489</v>
      </c>
      <c r="G5456" s="25">
        <v>32.04</v>
      </c>
      <c r="H5456" s="379">
        <v>9.6650451073992816</v>
      </c>
      <c r="I5456" s="25">
        <v>46.97</v>
      </c>
      <c r="J5456" s="379">
        <v>7.370567816245555</v>
      </c>
    </row>
    <row r="5457" spans="1:10" x14ac:dyDescent="0.35">
      <c r="A5457" s="5">
        <v>5453</v>
      </c>
      <c r="B5457" s="5">
        <v>228</v>
      </c>
      <c r="C5457" s="5">
        <v>8</v>
      </c>
      <c r="D5457" s="379">
        <v>101.38333333333334</v>
      </c>
      <c r="E5457" s="25">
        <v>24.84</v>
      </c>
      <c r="F5457" s="379">
        <v>15.886115733906758</v>
      </c>
      <c r="G5457" s="25">
        <v>32.04</v>
      </c>
      <c r="H5457" s="379">
        <v>9.4849234563950269</v>
      </c>
      <c r="I5457" s="25">
        <v>47.31</v>
      </c>
      <c r="J5457" s="379">
        <v>7.3746831770239689</v>
      </c>
    </row>
    <row r="5458" spans="1:10" x14ac:dyDescent="0.35">
      <c r="A5458" s="5">
        <v>5454</v>
      </c>
      <c r="B5458" s="5">
        <v>228</v>
      </c>
      <c r="C5458" s="5">
        <v>8</v>
      </c>
      <c r="D5458" s="379">
        <v>109.44000000000001</v>
      </c>
      <c r="E5458" s="25">
        <v>24.84</v>
      </c>
      <c r="F5458" s="379">
        <v>14.337712490555797</v>
      </c>
      <c r="G5458" s="25">
        <v>32.04</v>
      </c>
      <c r="H5458" s="379">
        <v>9.3777542930667561</v>
      </c>
      <c r="I5458" s="25">
        <v>47.31</v>
      </c>
      <c r="J5458" s="379">
        <v>7.4274447317327024</v>
      </c>
    </row>
    <row r="5459" spans="1:10" x14ac:dyDescent="0.35">
      <c r="A5459" s="5">
        <v>5455</v>
      </c>
      <c r="B5459" s="5">
        <v>228</v>
      </c>
      <c r="C5459" s="5">
        <v>8</v>
      </c>
      <c r="D5459" s="379">
        <v>119.7961111111111</v>
      </c>
      <c r="E5459" s="25">
        <v>24.84</v>
      </c>
      <c r="F5459" s="379">
        <v>13.908245179637975</v>
      </c>
      <c r="G5459" s="25">
        <v>37.700000000000003</v>
      </c>
      <c r="H5459" s="379">
        <v>9.7979195593458694</v>
      </c>
      <c r="I5459" s="25">
        <v>47.31</v>
      </c>
      <c r="J5459" s="379">
        <v>7.1768188871417626</v>
      </c>
    </row>
    <row r="5460" spans="1:10" x14ac:dyDescent="0.35">
      <c r="A5460" s="5">
        <v>5456</v>
      </c>
      <c r="B5460" s="5">
        <v>228</v>
      </c>
      <c r="C5460" s="5">
        <v>8</v>
      </c>
      <c r="D5460" s="379">
        <v>122.92555555555555</v>
      </c>
      <c r="E5460" s="25">
        <v>24.99</v>
      </c>
      <c r="F5460" s="379">
        <v>16.194690739571517</v>
      </c>
      <c r="G5460" s="25">
        <v>37.700000000000003</v>
      </c>
      <c r="H5460" s="379">
        <v>9.8665125791476118</v>
      </c>
      <c r="I5460" s="25">
        <v>47.31</v>
      </c>
      <c r="J5460" s="379">
        <v>6.9876211318136789</v>
      </c>
    </row>
    <row r="5461" spans="1:10" x14ac:dyDescent="0.35">
      <c r="A5461" s="5">
        <v>5457</v>
      </c>
      <c r="B5461" s="5">
        <v>228</v>
      </c>
      <c r="C5461" s="5">
        <v>8</v>
      </c>
      <c r="D5461" s="379">
        <v>117.59333333333335</v>
      </c>
      <c r="E5461" s="25">
        <v>24.84</v>
      </c>
      <c r="F5461" s="379">
        <v>15.572903067368262</v>
      </c>
      <c r="G5461" s="25">
        <v>37.700000000000003</v>
      </c>
      <c r="H5461" s="379">
        <v>9.8269923353006625</v>
      </c>
      <c r="I5461" s="25">
        <v>44.68</v>
      </c>
      <c r="J5461" s="379">
        <v>7.1890122334495974</v>
      </c>
    </row>
    <row r="5462" spans="1:10" x14ac:dyDescent="0.35">
      <c r="A5462" s="5">
        <v>5458</v>
      </c>
      <c r="B5462" s="5">
        <v>228</v>
      </c>
      <c r="C5462" s="5">
        <v>8</v>
      </c>
      <c r="D5462" s="379">
        <v>112.04722222222222</v>
      </c>
      <c r="E5462" s="25">
        <v>24.84</v>
      </c>
      <c r="F5462" s="379">
        <v>13.965063103377808</v>
      </c>
      <c r="G5462" s="25">
        <v>32.04</v>
      </c>
      <c r="H5462" s="379">
        <v>9.4037332154755813</v>
      </c>
      <c r="I5462" s="25">
        <v>37.64</v>
      </c>
      <c r="J5462" s="379">
        <v>7.0871488656124546</v>
      </c>
    </row>
    <row r="5463" spans="1:10" x14ac:dyDescent="0.35">
      <c r="A5463" s="5">
        <v>5459</v>
      </c>
      <c r="B5463" s="5">
        <v>228</v>
      </c>
      <c r="C5463" s="5">
        <v>8</v>
      </c>
      <c r="D5463" s="379">
        <v>108.18944444444445</v>
      </c>
      <c r="E5463" s="25">
        <v>24.84</v>
      </c>
      <c r="F5463" s="379">
        <v>16.660692303769579</v>
      </c>
      <c r="G5463" s="25">
        <v>32.04</v>
      </c>
      <c r="H5463" s="379">
        <v>9.2824265504551917</v>
      </c>
      <c r="I5463" s="25">
        <v>37.270000000000003</v>
      </c>
      <c r="J5463" s="379">
        <v>7.2633554000242997</v>
      </c>
    </row>
    <row r="5464" spans="1:10" x14ac:dyDescent="0.35">
      <c r="A5464" s="5">
        <v>5460</v>
      </c>
      <c r="B5464" s="5">
        <v>228</v>
      </c>
      <c r="C5464" s="5">
        <v>8</v>
      </c>
      <c r="D5464" s="379">
        <v>105.10222222222224</v>
      </c>
      <c r="E5464" s="25">
        <v>24.84</v>
      </c>
      <c r="F5464" s="379">
        <v>13.707962445180808</v>
      </c>
      <c r="G5464" s="25">
        <v>32.04</v>
      </c>
      <c r="H5464" s="379">
        <v>9.624291564082629</v>
      </c>
      <c r="I5464" s="25">
        <v>37.270000000000003</v>
      </c>
      <c r="J5464" s="379">
        <v>7.2991663333703309</v>
      </c>
    </row>
    <row r="5465" spans="1:10" x14ac:dyDescent="0.35">
      <c r="A5465" s="5">
        <v>5461</v>
      </c>
      <c r="B5465" s="5">
        <v>228</v>
      </c>
      <c r="C5465" s="5">
        <v>8</v>
      </c>
      <c r="D5465" s="379">
        <v>102.41999999999999</v>
      </c>
      <c r="E5465" s="25">
        <v>24.84</v>
      </c>
      <c r="F5465" s="379">
        <v>13.707962445180808</v>
      </c>
      <c r="G5465" s="25">
        <v>32.04</v>
      </c>
      <c r="H5465" s="379">
        <v>9.8565904108830082</v>
      </c>
      <c r="I5465" s="25">
        <v>37.270000000000003</v>
      </c>
      <c r="J5465" s="379">
        <v>7.3654301536222979</v>
      </c>
    </row>
    <row r="5466" spans="1:10" x14ac:dyDescent="0.35">
      <c r="A5466" s="5">
        <v>5462</v>
      </c>
      <c r="B5466" s="5">
        <v>228</v>
      </c>
      <c r="C5466" s="5">
        <v>8</v>
      </c>
      <c r="D5466" s="379">
        <v>104.85444444444444</v>
      </c>
      <c r="E5466" s="25">
        <v>24.56</v>
      </c>
      <c r="F5466" s="379">
        <v>13.707962445180808</v>
      </c>
      <c r="G5466" s="25">
        <v>32.04</v>
      </c>
      <c r="H5466" s="379">
        <v>9.8153704328713669</v>
      </c>
      <c r="I5466" s="25">
        <v>37.270000000000003</v>
      </c>
      <c r="J5466" s="379">
        <v>7.353370896845</v>
      </c>
    </row>
    <row r="5467" spans="1:10" x14ac:dyDescent="0.35">
      <c r="A5467" s="5">
        <v>5463</v>
      </c>
      <c r="B5467" s="5">
        <v>228</v>
      </c>
      <c r="C5467" s="5">
        <v>8</v>
      </c>
      <c r="D5467" s="379">
        <v>107.68388888888887</v>
      </c>
      <c r="E5467" s="25">
        <v>24.56</v>
      </c>
      <c r="F5467" s="379">
        <v>13.707962445180808</v>
      </c>
      <c r="G5467" s="25">
        <v>32.04</v>
      </c>
      <c r="H5467" s="379">
        <v>10.005952324571515</v>
      </c>
      <c r="I5467" s="25">
        <v>37.270000000000003</v>
      </c>
      <c r="J5467" s="379">
        <v>7.4008689638402227</v>
      </c>
    </row>
    <row r="5468" spans="1:10" x14ac:dyDescent="0.35">
      <c r="A5468" s="5">
        <v>5464</v>
      </c>
      <c r="B5468" s="5">
        <v>228</v>
      </c>
      <c r="C5468" s="5">
        <v>8</v>
      </c>
      <c r="D5468" s="379">
        <v>113.48888888888888</v>
      </c>
      <c r="E5468" s="25">
        <v>24.84</v>
      </c>
      <c r="F5468" s="379">
        <v>13.707962445180808</v>
      </c>
      <c r="G5468" s="25">
        <v>32.04</v>
      </c>
      <c r="H5468" s="379">
        <v>10.278175700261473</v>
      </c>
      <c r="I5468" s="25">
        <v>37.270000000000003</v>
      </c>
      <c r="J5468" s="379">
        <v>7.4008689638402227</v>
      </c>
    </row>
    <row r="5469" spans="1:10" x14ac:dyDescent="0.35">
      <c r="A5469" s="5">
        <v>5465</v>
      </c>
      <c r="B5469" s="5">
        <v>228</v>
      </c>
      <c r="C5469" s="5">
        <v>8</v>
      </c>
      <c r="D5469" s="379">
        <v>125.15000000000002</v>
      </c>
      <c r="E5469" s="25">
        <v>24.84</v>
      </c>
      <c r="F5469" s="379">
        <v>17.835407501044106</v>
      </c>
      <c r="G5469" s="25">
        <v>32.04</v>
      </c>
      <c r="H5469" s="379">
        <v>10.019922993796047</v>
      </c>
      <c r="I5469" s="25">
        <v>37.270000000000003</v>
      </c>
      <c r="J5469" s="379">
        <v>7.416697743432735</v>
      </c>
    </row>
    <row r="5470" spans="1:10" x14ac:dyDescent="0.35">
      <c r="A5470" s="5">
        <v>5466</v>
      </c>
      <c r="B5470" s="5">
        <v>228</v>
      </c>
      <c r="C5470" s="5">
        <v>8</v>
      </c>
      <c r="D5470" s="379">
        <v>137.05055555555555</v>
      </c>
      <c r="E5470" s="25">
        <v>24.84</v>
      </c>
      <c r="F5470" s="379">
        <v>16.620487319324209</v>
      </c>
      <c r="G5470" s="25">
        <v>42.29</v>
      </c>
      <c r="H5470" s="379">
        <v>9.8608944780464878</v>
      </c>
      <c r="I5470" s="25">
        <v>44.68</v>
      </c>
      <c r="J5470" s="379">
        <v>7.5259065799644125</v>
      </c>
    </row>
    <row r="5471" spans="1:10" x14ac:dyDescent="0.35">
      <c r="A5471" s="5">
        <v>5467</v>
      </c>
      <c r="B5471" s="5">
        <v>228</v>
      </c>
      <c r="C5471" s="5">
        <v>8</v>
      </c>
      <c r="D5471" s="379">
        <v>138.88888888888889</v>
      </c>
      <c r="E5471" s="25">
        <v>24.84</v>
      </c>
      <c r="F5471" s="379">
        <v>15.570341991398424</v>
      </c>
      <c r="G5471" s="25">
        <v>43.56</v>
      </c>
      <c r="H5471" s="379">
        <v>9.4037832914304431</v>
      </c>
      <c r="I5471" s="25">
        <v>48.86</v>
      </c>
      <c r="J5471" s="379">
        <v>7.3834856739597647</v>
      </c>
    </row>
    <row r="5472" spans="1:10" x14ac:dyDescent="0.35">
      <c r="A5472" s="5">
        <v>5468</v>
      </c>
      <c r="B5472" s="5">
        <v>228</v>
      </c>
      <c r="C5472" s="5">
        <v>8</v>
      </c>
      <c r="D5472" s="379">
        <v>138.88888888888889</v>
      </c>
      <c r="E5472" s="25">
        <v>24.84</v>
      </c>
      <c r="F5472" s="379">
        <v>14.976792635750567</v>
      </c>
      <c r="G5472" s="25">
        <v>43.56</v>
      </c>
      <c r="H5472" s="379">
        <v>9.964956815962287</v>
      </c>
      <c r="I5472" s="25">
        <v>50.33</v>
      </c>
      <c r="J5472" s="379">
        <v>7.2383643896240137</v>
      </c>
    </row>
    <row r="5473" spans="1:10" x14ac:dyDescent="0.35">
      <c r="A5473" s="5">
        <v>5469</v>
      </c>
      <c r="B5473" s="5">
        <v>228</v>
      </c>
      <c r="C5473" s="5">
        <v>8</v>
      </c>
      <c r="D5473" s="379">
        <v>136.47555555555556</v>
      </c>
      <c r="E5473" s="25">
        <v>24.99</v>
      </c>
      <c r="F5473" s="379">
        <v>15.704245034695443</v>
      </c>
      <c r="G5473" s="25">
        <v>43.56</v>
      </c>
      <c r="H5473" s="379">
        <v>9.4049457122996216</v>
      </c>
      <c r="I5473" s="25">
        <v>51.64</v>
      </c>
      <c r="J5473" s="379">
        <v>7.3030385518485836</v>
      </c>
    </row>
    <row r="5474" spans="1:10" x14ac:dyDescent="0.35">
      <c r="A5474" s="5">
        <v>5470</v>
      </c>
      <c r="B5474" s="5">
        <v>228</v>
      </c>
      <c r="C5474" s="5">
        <v>8</v>
      </c>
      <c r="D5474" s="379">
        <v>124.8411111111111</v>
      </c>
      <c r="E5474" s="25">
        <v>24.84</v>
      </c>
      <c r="F5474" s="379">
        <v>14.035183482414283</v>
      </c>
      <c r="G5474" s="25">
        <v>43.56</v>
      </c>
      <c r="H5474" s="379">
        <v>10.079469347098419</v>
      </c>
      <c r="I5474" s="25">
        <v>51.64</v>
      </c>
      <c r="J5474" s="379">
        <v>7.4251345260404911</v>
      </c>
    </row>
    <row r="5475" spans="1:10" x14ac:dyDescent="0.35">
      <c r="A5475" s="5">
        <v>5471</v>
      </c>
      <c r="B5475" s="5">
        <v>228</v>
      </c>
      <c r="C5475" s="5">
        <v>8</v>
      </c>
      <c r="D5475" s="379">
        <v>116.33</v>
      </c>
      <c r="E5475" s="25">
        <v>24.84</v>
      </c>
      <c r="F5475" s="379">
        <v>10.37562476833004</v>
      </c>
      <c r="G5475" s="25">
        <v>43.56</v>
      </c>
      <c r="H5475" s="379">
        <v>10.016529634532349</v>
      </c>
      <c r="I5475" s="25">
        <v>45.28</v>
      </c>
      <c r="J5475" s="379">
        <v>7.3357292073163656</v>
      </c>
    </row>
    <row r="5476" spans="1:10" x14ac:dyDescent="0.35">
      <c r="A5476" s="5">
        <v>5472</v>
      </c>
      <c r="B5476" s="5">
        <v>228</v>
      </c>
      <c r="C5476" s="5">
        <v>8</v>
      </c>
      <c r="D5476" s="379">
        <v>117.96666666666667</v>
      </c>
      <c r="E5476" s="25">
        <v>24.84</v>
      </c>
      <c r="F5476" s="379">
        <v>9.2240391149867378</v>
      </c>
      <c r="G5476" s="25">
        <v>37.020000000000003</v>
      </c>
      <c r="H5476" s="379">
        <v>9.3058139081103484</v>
      </c>
      <c r="I5476" s="25">
        <v>41.53</v>
      </c>
      <c r="J5476" s="379">
        <v>7.2254207646780824</v>
      </c>
    </row>
    <row r="5477" spans="1:10" x14ac:dyDescent="0.35">
      <c r="A5477" s="5">
        <v>5473</v>
      </c>
      <c r="B5477" s="5">
        <v>229</v>
      </c>
      <c r="C5477" s="5">
        <v>8</v>
      </c>
      <c r="D5477" s="379">
        <v>110.57222222222222</v>
      </c>
      <c r="E5477" s="25">
        <v>24.84</v>
      </c>
      <c r="F5477" s="379">
        <v>8.289526262617839</v>
      </c>
      <c r="G5477" s="25">
        <v>37.020000000000003</v>
      </c>
      <c r="H5477" s="379">
        <v>9.8544668363126586</v>
      </c>
      <c r="I5477" s="25">
        <v>41.53</v>
      </c>
      <c r="J5477" s="379">
        <v>7.1057063925310278</v>
      </c>
    </row>
    <row r="5478" spans="1:10" x14ac:dyDescent="0.35">
      <c r="A5478" s="5">
        <v>5474</v>
      </c>
      <c r="B5478" s="5">
        <v>229</v>
      </c>
      <c r="C5478" s="5">
        <v>8</v>
      </c>
      <c r="D5478" s="379">
        <v>107.035</v>
      </c>
      <c r="E5478" s="25">
        <v>24.84</v>
      </c>
      <c r="F5478" s="379">
        <v>8.2166451256422093</v>
      </c>
      <c r="G5478" s="25">
        <v>37.020000000000003</v>
      </c>
      <c r="H5478" s="379">
        <v>9.1611213755006577</v>
      </c>
      <c r="I5478" s="25">
        <v>41.53</v>
      </c>
      <c r="J5478" s="379">
        <v>6.7704344752830972</v>
      </c>
    </row>
    <row r="5479" spans="1:10" x14ac:dyDescent="0.35">
      <c r="A5479" s="5">
        <v>5475</v>
      </c>
      <c r="B5479" s="5">
        <v>229</v>
      </c>
      <c r="C5479" s="5">
        <v>8</v>
      </c>
      <c r="D5479" s="379">
        <v>102.405</v>
      </c>
      <c r="E5479" s="25">
        <v>24.84</v>
      </c>
      <c r="F5479" s="379">
        <v>8.2678045151414175</v>
      </c>
      <c r="G5479" s="25">
        <v>37.020000000000003</v>
      </c>
      <c r="H5479" s="379">
        <v>8.9504601753751558</v>
      </c>
      <c r="I5479" s="25">
        <v>41.53</v>
      </c>
      <c r="J5479" s="379">
        <v>6.1833314352219935</v>
      </c>
    </row>
    <row r="5480" spans="1:10" x14ac:dyDescent="0.35">
      <c r="A5480" s="5">
        <v>5476</v>
      </c>
      <c r="B5480" s="5">
        <v>229</v>
      </c>
      <c r="C5480" s="5">
        <v>8</v>
      </c>
      <c r="D5480" s="379">
        <v>100.03666666666666</v>
      </c>
      <c r="E5480" s="25">
        <v>24.84</v>
      </c>
      <c r="F5480" s="379">
        <v>8.2012953626689331</v>
      </c>
      <c r="G5480" s="25">
        <v>37.020000000000003</v>
      </c>
      <c r="H5480" s="379">
        <v>9.2721732903068936</v>
      </c>
      <c r="I5480" s="25">
        <v>41.53</v>
      </c>
      <c r="J5480" s="379">
        <v>6.2980488398749435</v>
      </c>
    </row>
    <row r="5481" spans="1:10" x14ac:dyDescent="0.35">
      <c r="A5481" s="5">
        <v>5477</v>
      </c>
      <c r="B5481" s="5">
        <v>229</v>
      </c>
      <c r="C5481" s="5">
        <v>8</v>
      </c>
      <c r="D5481" s="379">
        <v>104.48222222222222</v>
      </c>
      <c r="E5481" s="25">
        <v>24.84</v>
      </c>
      <c r="F5481" s="379">
        <v>8.4548063494824763</v>
      </c>
      <c r="G5481" s="25">
        <v>38.61</v>
      </c>
      <c r="H5481" s="379">
        <v>9.4027056022581412</v>
      </c>
      <c r="I5481" s="25">
        <v>41.53</v>
      </c>
      <c r="J5481" s="379">
        <v>5.9280018801902523</v>
      </c>
    </row>
    <row r="5482" spans="1:10" x14ac:dyDescent="0.35">
      <c r="A5482" s="5">
        <v>5478</v>
      </c>
      <c r="B5482" s="5">
        <v>229</v>
      </c>
      <c r="C5482" s="5">
        <v>8</v>
      </c>
      <c r="D5482" s="379">
        <v>113.92666666666665</v>
      </c>
      <c r="E5482" s="25">
        <v>24.84</v>
      </c>
      <c r="F5482" s="379">
        <v>8.4204010518905381</v>
      </c>
      <c r="G5482" s="25">
        <v>43.56</v>
      </c>
      <c r="H5482" s="379">
        <v>8.3199215997019813</v>
      </c>
      <c r="I5482" s="25">
        <v>41.53</v>
      </c>
      <c r="J5482" s="379">
        <v>5.6623532766492461</v>
      </c>
    </row>
    <row r="5483" spans="1:10" x14ac:dyDescent="0.35">
      <c r="A5483" s="5">
        <v>5479</v>
      </c>
      <c r="B5483" s="5">
        <v>229</v>
      </c>
      <c r="C5483" s="5">
        <v>8</v>
      </c>
      <c r="D5483" s="379">
        <v>130.39333333333332</v>
      </c>
      <c r="E5483" s="25">
        <v>24.84</v>
      </c>
      <c r="F5483" s="379">
        <v>8.8419315964161829</v>
      </c>
      <c r="G5483" s="25">
        <v>43.56</v>
      </c>
      <c r="H5483" s="379">
        <v>9.1313173807970021</v>
      </c>
      <c r="I5483" s="25">
        <v>45.28</v>
      </c>
      <c r="J5483" s="379">
        <v>4.5116804786028597</v>
      </c>
    </row>
    <row r="5484" spans="1:10" x14ac:dyDescent="0.35">
      <c r="A5484" s="5">
        <v>5480</v>
      </c>
      <c r="B5484" s="5">
        <v>229</v>
      </c>
      <c r="C5484" s="5">
        <v>8</v>
      </c>
      <c r="D5484" s="379">
        <v>136.28888888888889</v>
      </c>
      <c r="E5484" s="25">
        <v>25.29</v>
      </c>
      <c r="F5484" s="379">
        <v>8.7584158525626457</v>
      </c>
      <c r="G5484" s="25">
        <v>44.69</v>
      </c>
      <c r="H5484" s="379">
        <v>8.4521883560596578</v>
      </c>
      <c r="I5484" s="25">
        <v>50.33</v>
      </c>
      <c r="J5484" s="379">
        <v>6.0728826738127255</v>
      </c>
    </row>
    <row r="5485" spans="1:10" x14ac:dyDescent="0.35">
      <c r="A5485" s="5">
        <v>5481</v>
      </c>
      <c r="B5485" s="5">
        <v>229</v>
      </c>
      <c r="C5485" s="5">
        <v>8</v>
      </c>
      <c r="D5485" s="379">
        <v>132.19111111111113</v>
      </c>
      <c r="E5485" s="25">
        <v>24.84</v>
      </c>
      <c r="F5485" s="379">
        <v>8.7787817204283414</v>
      </c>
      <c r="G5485" s="25">
        <v>43.56</v>
      </c>
      <c r="H5485" s="379">
        <v>7.9057225154715987</v>
      </c>
      <c r="I5485" s="25">
        <v>49.36</v>
      </c>
      <c r="J5485" s="379">
        <v>6.6410099502951168</v>
      </c>
    </row>
    <row r="5486" spans="1:10" x14ac:dyDescent="0.35">
      <c r="A5486" s="5">
        <v>5482</v>
      </c>
      <c r="B5486" s="5">
        <v>229</v>
      </c>
      <c r="C5486" s="5">
        <v>8</v>
      </c>
      <c r="D5486" s="379">
        <v>128.85777777777778</v>
      </c>
      <c r="E5486" s="25">
        <v>24.84</v>
      </c>
      <c r="F5486" s="379">
        <v>8.4311026719754363</v>
      </c>
      <c r="G5486" s="25">
        <v>43.56</v>
      </c>
      <c r="H5486" s="379">
        <v>8.1122230748765727</v>
      </c>
      <c r="I5486" s="25">
        <v>45.8</v>
      </c>
      <c r="J5486" s="379">
        <v>6.0828029611078271</v>
      </c>
    </row>
    <row r="5487" spans="1:10" x14ac:dyDescent="0.35">
      <c r="A5487" s="5">
        <v>5483</v>
      </c>
      <c r="B5487" s="5">
        <v>229</v>
      </c>
      <c r="C5487" s="5">
        <v>8</v>
      </c>
      <c r="D5487" s="379">
        <v>124.66555555555556</v>
      </c>
      <c r="E5487" s="25">
        <v>24.84</v>
      </c>
      <c r="F5487" s="379">
        <v>8.4535468206887892</v>
      </c>
      <c r="G5487" s="25">
        <v>43.56</v>
      </c>
      <c r="H5487" s="379">
        <v>9.0560655733039539</v>
      </c>
      <c r="I5487" s="25">
        <v>44.02</v>
      </c>
      <c r="J5487" s="379">
        <v>6.2488282584053492</v>
      </c>
    </row>
    <row r="5488" spans="1:10" x14ac:dyDescent="0.35">
      <c r="A5488" s="5">
        <v>5484</v>
      </c>
      <c r="B5488" s="5">
        <v>229</v>
      </c>
      <c r="C5488" s="5">
        <v>8</v>
      </c>
      <c r="D5488" s="379">
        <v>121.95888888888888</v>
      </c>
      <c r="E5488" s="25">
        <v>24.84</v>
      </c>
      <c r="F5488" s="379">
        <v>8.4606111961551651</v>
      </c>
      <c r="G5488" s="25">
        <v>43.56</v>
      </c>
      <c r="H5488" s="379">
        <v>9.1162019012986608</v>
      </c>
      <c r="I5488" s="25">
        <v>41.95</v>
      </c>
      <c r="J5488" s="379">
        <v>5.8068965101899224</v>
      </c>
    </row>
    <row r="5489" spans="1:10" x14ac:dyDescent="0.35">
      <c r="A5489" s="5">
        <v>5485</v>
      </c>
      <c r="B5489" s="5">
        <v>229</v>
      </c>
      <c r="C5489" s="5">
        <v>8</v>
      </c>
      <c r="D5489" s="379">
        <v>120.72555555555554</v>
      </c>
      <c r="E5489" s="25">
        <v>24.84</v>
      </c>
      <c r="F5489" s="379">
        <v>8.4998635171733365</v>
      </c>
      <c r="G5489" s="25">
        <v>43.56</v>
      </c>
      <c r="H5489" s="379">
        <v>9.3340996073163627</v>
      </c>
      <c r="I5489" s="25">
        <v>41.95</v>
      </c>
      <c r="J5489" s="379">
        <v>6.0795971322183329</v>
      </c>
    </row>
    <row r="5490" spans="1:10" x14ac:dyDescent="0.35">
      <c r="A5490" s="5">
        <v>5486</v>
      </c>
      <c r="B5490" s="5">
        <v>229</v>
      </c>
      <c r="C5490" s="5">
        <v>8</v>
      </c>
      <c r="D5490" s="379">
        <v>118.98166666666667</v>
      </c>
      <c r="E5490" s="25">
        <v>24.84</v>
      </c>
      <c r="F5490" s="379">
        <v>8.352387126525965</v>
      </c>
      <c r="G5490" s="25">
        <v>43.56</v>
      </c>
      <c r="H5490" s="379">
        <v>9.4528710150324908</v>
      </c>
      <c r="I5490" s="25">
        <v>41.95</v>
      </c>
      <c r="J5490" s="379">
        <v>6.0064018266979806</v>
      </c>
    </row>
    <row r="5491" spans="1:10" x14ac:dyDescent="0.35">
      <c r="A5491" s="5">
        <v>5487</v>
      </c>
      <c r="B5491" s="5">
        <v>229</v>
      </c>
      <c r="C5491" s="5">
        <v>8</v>
      </c>
      <c r="D5491" s="379">
        <v>122.49055555555556</v>
      </c>
      <c r="E5491" s="25">
        <v>24.84</v>
      </c>
      <c r="F5491" s="379">
        <v>8.2996602796349919</v>
      </c>
      <c r="G5491" s="25">
        <v>43.56</v>
      </c>
      <c r="H5491" s="379">
        <v>9.5307280713851874</v>
      </c>
      <c r="I5491" s="25">
        <v>41.95</v>
      </c>
      <c r="J5491" s="379">
        <v>6.0467888815953756</v>
      </c>
    </row>
    <row r="5492" spans="1:10" x14ac:dyDescent="0.35">
      <c r="A5492" s="5">
        <v>5488</v>
      </c>
      <c r="B5492" s="5">
        <v>229</v>
      </c>
      <c r="C5492" s="5">
        <v>8</v>
      </c>
      <c r="D5492" s="379">
        <v>130.93388888888887</v>
      </c>
      <c r="E5492" s="25">
        <v>24.84</v>
      </c>
      <c r="F5492" s="379">
        <v>8.352387126525965</v>
      </c>
      <c r="G5492" s="25">
        <v>43.56</v>
      </c>
      <c r="H5492" s="379">
        <v>8.7784025390023572</v>
      </c>
      <c r="I5492" s="25">
        <v>41.95</v>
      </c>
      <c r="J5492" s="379">
        <v>6.0106119442079731</v>
      </c>
    </row>
    <row r="5493" spans="1:10" x14ac:dyDescent="0.35">
      <c r="A5493" s="5">
        <v>5489</v>
      </c>
      <c r="B5493" s="5">
        <v>229</v>
      </c>
      <c r="C5493" s="5">
        <v>8</v>
      </c>
      <c r="D5493" s="379">
        <v>138.88888888888889</v>
      </c>
      <c r="E5493" s="25">
        <v>24.84</v>
      </c>
      <c r="F5493" s="379">
        <v>8.3395992392435403</v>
      </c>
      <c r="G5493" s="25">
        <v>43.56</v>
      </c>
      <c r="H5493" s="379">
        <v>8.3825565669553104</v>
      </c>
      <c r="I5493" s="25">
        <v>47.44</v>
      </c>
      <c r="J5493" s="379">
        <v>6.0899841650473192</v>
      </c>
    </row>
    <row r="5494" spans="1:10" x14ac:dyDescent="0.35">
      <c r="A5494" s="5">
        <v>5490</v>
      </c>
      <c r="B5494" s="5">
        <v>229</v>
      </c>
      <c r="C5494" s="5">
        <v>8</v>
      </c>
      <c r="D5494" s="379">
        <v>138.88888888888889</v>
      </c>
      <c r="E5494" s="25">
        <v>25.29</v>
      </c>
      <c r="F5494" s="379">
        <v>9.5436544224135282</v>
      </c>
      <c r="G5494" s="25">
        <v>44.69</v>
      </c>
      <c r="H5494" s="379">
        <v>9.0158855473107504</v>
      </c>
      <c r="I5494" s="25">
        <v>49.53</v>
      </c>
      <c r="J5494" s="379">
        <v>6.6918314153572442</v>
      </c>
    </row>
    <row r="5495" spans="1:10" x14ac:dyDescent="0.35">
      <c r="A5495" s="5">
        <v>5491</v>
      </c>
      <c r="B5495" s="5">
        <v>229</v>
      </c>
      <c r="C5495" s="5">
        <v>8</v>
      </c>
      <c r="D5495" s="379">
        <v>138.88888888888889</v>
      </c>
      <c r="E5495" s="25">
        <v>25.29</v>
      </c>
      <c r="F5495" s="379">
        <v>8.8161711021826417</v>
      </c>
      <c r="G5495" s="25">
        <v>44.69</v>
      </c>
      <c r="H5495" s="379">
        <v>9.2863672383756679</v>
      </c>
      <c r="I5495" s="25">
        <v>51.64</v>
      </c>
      <c r="J5495" s="379">
        <v>6.6924260192932774</v>
      </c>
    </row>
    <row r="5496" spans="1:10" x14ac:dyDescent="0.35">
      <c r="A5496" s="5">
        <v>5492</v>
      </c>
      <c r="B5496" s="5">
        <v>229</v>
      </c>
      <c r="C5496" s="5">
        <v>8</v>
      </c>
      <c r="D5496" s="379">
        <v>138.88888888888889</v>
      </c>
      <c r="E5496" s="25">
        <v>26.05</v>
      </c>
      <c r="F5496" s="379">
        <v>8.8718627011412057</v>
      </c>
      <c r="G5496" s="25">
        <v>44.69</v>
      </c>
      <c r="H5496" s="379">
        <v>10.189650416316789</v>
      </c>
      <c r="I5496" s="25">
        <v>52.55</v>
      </c>
      <c r="J5496" s="379">
        <v>6.9674137779165601</v>
      </c>
    </row>
    <row r="5497" spans="1:10" x14ac:dyDescent="0.35">
      <c r="A5497" s="5">
        <v>5493</v>
      </c>
      <c r="B5497" s="5">
        <v>229</v>
      </c>
      <c r="C5497" s="5">
        <v>8</v>
      </c>
      <c r="D5497" s="379">
        <v>138.88888888888889</v>
      </c>
      <c r="E5497" s="25">
        <v>26.05</v>
      </c>
      <c r="F5497" s="379">
        <v>9.9891092707239206</v>
      </c>
      <c r="G5497" s="25">
        <v>44.69</v>
      </c>
      <c r="H5497" s="379">
        <v>9.8432477614055234</v>
      </c>
      <c r="I5497" s="25">
        <v>53.19</v>
      </c>
      <c r="J5497" s="379">
        <v>6.8643929295893438</v>
      </c>
    </row>
    <row r="5498" spans="1:10" x14ac:dyDescent="0.35">
      <c r="A5498" s="5">
        <v>5494</v>
      </c>
      <c r="B5498" s="5">
        <v>229</v>
      </c>
      <c r="C5498" s="5">
        <v>8</v>
      </c>
      <c r="D5498" s="379">
        <v>126.72</v>
      </c>
      <c r="E5498" s="25">
        <v>24.99</v>
      </c>
      <c r="F5498" s="379">
        <v>9.2464321024416734</v>
      </c>
      <c r="G5498" s="25">
        <v>44.69</v>
      </c>
      <c r="H5498" s="379">
        <v>10.057457507839638</v>
      </c>
      <c r="I5498" s="25">
        <v>53.19</v>
      </c>
      <c r="J5498" s="379">
        <v>7.034758568315139</v>
      </c>
    </row>
    <row r="5499" spans="1:10" x14ac:dyDescent="0.35">
      <c r="A5499" s="5">
        <v>5495</v>
      </c>
      <c r="B5499" s="5">
        <v>229</v>
      </c>
      <c r="C5499" s="5">
        <v>8</v>
      </c>
      <c r="D5499" s="379">
        <v>117.87666666666665</v>
      </c>
      <c r="E5499" s="25">
        <v>24.84</v>
      </c>
      <c r="F5499" s="379">
        <v>8.5335346750437253</v>
      </c>
      <c r="G5499" s="25">
        <v>43.56</v>
      </c>
      <c r="H5499" s="379">
        <v>9.6153168548621633</v>
      </c>
      <c r="I5499" s="25">
        <v>49.53</v>
      </c>
      <c r="J5499" s="379">
        <v>7.0060850103013905</v>
      </c>
    </row>
    <row r="5500" spans="1:10" x14ac:dyDescent="0.35">
      <c r="A5500" s="5">
        <v>5496</v>
      </c>
      <c r="B5500" s="5">
        <v>229</v>
      </c>
      <c r="C5500" s="5">
        <v>8</v>
      </c>
      <c r="D5500" s="379">
        <v>118.36499999999998</v>
      </c>
      <c r="E5500" s="25">
        <v>24.84</v>
      </c>
      <c r="F5500" s="379">
        <v>8.2927105419375504</v>
      </c>
      <c r="G5500" s="25">
        <v>38.130000000000003</v>
      </c>
      <c r="H5500" s="379">
        <v>9.4541140652607147</v>
      </c>
      <c r="I5500" s="25">
        <v>39.86</v>
      </c>
      <c r="J5500" s="379">
        <v>6.5498383779061733</v>
      </c>
    </row>
    <row r="5501" spans="1:10" x14ac:dyDescent="0.35">
      <c r="A5501" s="5">
        <v>5497</v>
      </c>
      <c r="B5501" s="5">
        <v>230</v>
      </c>
      <c r="C5501" s="5">
        <v>8</v>
      </c>
      <c r="D5501" s="379">
        <v>110.53999999999999</v>
      </c>
      <c r="E5501" s="25">
        <v>24.84</v>
      </c>
      <c r="F5501" s="379">
        <v>7.8623468612947356</v>
      </c>
      <c r="G5501" s="25">
        <v>38.130000000000003</v>
      </c>
      <c r="H5501" s="379">
        <v>8.1969221154215575</v>
      </c>
      <c r="I5501" s="25">
        <v>39.29</v>
      </c>
      <c r="J5501" s="379">
        <v>5.4753226530431034</v>
      </c>
    </row>
    <row r="5502" spans="1:10" x14ac:dyDescent="0.35">
      <c r="A5502" s="5">
        <v>5498</v>
      </c>
      <c r="B5502" s="5">
        <v>230</v>
      </c>
      <c r="C5502" s="5">
        <v>8</v>
      </c>
      <c r="D5502" s="379">
        <v>109.13833333333334</v>
      </c>
      <c r="E5502" s="25">
        <v>24.84</v>
      </c>
      <c r="F5502" s="379">
        <v>7.8461998386613727</v>
      </c>
      <c r="G5502" s="25">
        <v>35.94</v>
      </c>
      <c r="H5502" s="379">
        <v>8.1669645105061175</v>
      </c>
      <c r="I5502" s="25">
        <v>39.29</v>
      </c>
      <c r="J5502" s="379">
        <v>5.7259845312791207</v>
      </c>
    </row>
    <row r="5503" spans="1:10" x14ac:dyDescent="0.35">
      <c r="A5503" s="5">
        <v>5499</v>
      </c>
      <c r="B5503" s="5">
        <v>230</v>
      </c>
      <c r="C5503" s="5">
        <v>8</v>
      </c>
      <c r="D5503" s="379">
        <v>105.03222222222222</v>
      </c>
      <c r="E5503" s="25">
        <v>24.84</v>
      </c>
      <c r="F5503" s="379">
        <v>7.8448263231585669</v>
      </c>
      <c r="G5503" s="25">
        <v>37.020000000000003</v>
      </c>
      <c r="H5503" s="379">
        <v>7.9598791431435023</v>
      </c>
      <c r="I5503" s="25">
        <v>39.29</v>
      </c>
      <c r="J5503" s="379">
        <v>5.5705522190203434</v>
      </c>
    </row>
    <row r="5504" spans="1:10" x14ac:dyDescent="0.35">
      <c r="A5504" s="5">
        <v>5500</v>
      </c>
      <c r="B5504" s="5">
        <v>230</v>
      </c>
      <c r="C5504" s="5">
        <v>8</v>
      </c>
      <c r="D5504" s="379">
        <v>103.92277777777778</v>
      </c>
      <c r="E5504" s="25">
        <v>24.84</v>
      </c>
      <c r="F5504" s="379">
        <v>7.8316367800923716</v>
      </c>
      <c r="G5504" s="25">
        <v>37.979999999999997</v>
      </c>
      <c r="H5504" s="379">
        <v>7.5562898204021964</v>
      </c>
      <c r="I5504" s="25">
        <v>39.29</v>
      </c>
      <c r="J5504" s="379">
        <v>5.564294888848619</v>
      </c>
    </row>
    <row r="5505" spans="1:10" x14ac:dyDescent="0.35">
      <c r="A5505" s="5">
        <v>5501</v>
      </c>
      <c r="B5505" s="5">
        <v>230</v>
      </c>
      <c r="C5505" s="5">
        <v>8</v>
      </c>
      <c r="D5505" s="379">
        <v>107.405</v>
      </c>
      <c r="E5505" s="25">
        <v>24.84</v>
      </c>
      <c r="F5505" s="379">
        <v>7.8404511696554575</v>
      </c>
      <c r="G5505" s="25">
        <v>38.61</v>
      </c>
      <c r="H5505" s="379">
        <v>7.6406337145143119</v>
      </c>
      <c r="I5505" s="25">
        <v>39.68</v>
      </c>
      <c r="J5505" s="379">
        <v>5.6496063449983875</v>
      </c>
    </row>
    <row r="5506" spans="1:10" x14ac:dyDescent="0.35">
      <c r="A5506" s="5">
        <v>5502</v>
      </c>
      <c r="B5506" s="5">
        <v>230</v>
      </c>
      <c r="C5506" s="5">
        <v>8</v>
      </c>
      <c r="D5506" s="379">
        <v>122.96499999999999</v>
      </c>
      <c r="E5506" s="25">
        <v>24.84</v>
      </c>
      <c r="F5506" s="379">
        <v>7.7902669829131739</v>
      </c>
      <c r="G5506" s="25">
        <v>41.95</v>
      </c>
      <c r="H5506" s="379">
        <v>7.2863522252617994</v>
      </c>
      <c r="I5506" s="25">
        <v>42.1</v>
      </c>
      <c r="J5506" s="379">
        <v>4.2548135720178974</v>
      </c>
    </row>
    <row r="5507" spans="1:10" x14ac:dyDescent="0.35">
      <c r="A5507" s="5">
        <v>5503</v>
      </c>
      <c r="B5507" s="5">
        <v>230</v>
      </c>
      <c r="C5507" s="5">
        <v>8</v>
      </c>
      <c r="D5507" s="379">
        <v>137.42722222222221</v>
      </c>
      <c r="E5507" s="25">
        <v>24.84</v>
      </c>
      <c r="F5507" s="379">
        <v>8.1174834595959577</v>
      </c>
      <c r="G5507" s="25">
        <v>43.56</v>
      </c>
      <c r="H5507" s="379">
        <v>7.9611629875150749</v>
      </c>
      <c r="I5507" s="25">
        <v>45.33</v>
      </c>
      <c r="J5507" s="379">
        <v>5.5159048678856211</v>
      </c>
    </row>
    <row r="5508" spans="1:10" x14ac:dyDescent="0.35">
      <c r="A5508" s="5">
        <v>5504</v>
      </c>
      <c r="B5508" s="5">
        <v>230</v>
      </c>
      <c r="C5508" s="5">
        <v>8</v>
      </c>
      <c r="D5508" s="379">
        <v>138.88888888888889</v>
      </c>
      <c r="E5508" s="25">
        <v>25.29</v>
      </c>
      <c r="F5508" s="379">
        <v>8.1174834595959595</v>
      </c>
      <c r="G5508" s="25">
        <v>43.56</v>
      </c>
      <c r="H5508" s="379">
        <v>7.868698493863671</v>
      </c>
      <c r="I5508" s="25">
        <v>46.69</v>
      </c>
      <c r="J5508" s="379">
        <v>3.9611776762946804</v>
      </c>
    </row>
    <row r="5509" spans="1:10" x14ac:dyDescent="0.35">
      <c r="A5509" s="5">
        <v>5505</v>
      </c>
      <c r="B5509" s="5">
        <v>230</v>
      </c>
      <c r="C5509" s="5">
        <v>8</v>
      </c>
      <c r="D5509" s="379">
        <v>138.88888888888889</v>
      </c>
      <c r="E5509" s="25">
        <v>24.84</v>
      </c>
      <c r="F5509" s="379">
        <v>8.1174834595959595</v>
      </c>
      <c r="G5509" s="25">
        <v>43.56</v>
      </c>
      <c r="H5509" s="379">
        <v>7.5580325280924026</v>
      </c>
      <c r="I5509" s="25">
        <v>46.06</v>
      </c>
      <c r="J5509" s="379">
        <v>5.9967202961312775</v>
      </c>
    </row>
    <row r="5510" spans="1:10" x14ac:dyDescent="0.35">
      <c r="A5510" s="5">
        <v>5506</v>
      </c>
      <c r="B5510" s="5">
        <v>230</v>
      </c>
      <c r="C5510" s="5">
        <v>8</v>
      </c>
      <c r="D5510" s="379">
        <v>137.27222222222221</v>
      </c>
      <c r="E5510" s="25">
        <v>24.84</v>
      </c>
      <c r="F5510" s="379">
        <v>8.1174834595959595</v>
      </c>
      <c r="G5510" s="25">
        <v>43.56</v>
      </c>
      <c r="H5510" s="379">
        <v>7.6483616797242178</v>
      </c>
      <c r="I5510" s="25">
        <v>42.68</v>
      </c>
      <c r="J5510" s="379">
        <v>5.3192686488725522</v>
      </c>
    </row>
    <row r="5511" spans="1:10" x14ac:dyDescent="0.35">
      <c r="A5511" s="5">
        <v>5507</v>
      </c>
      <c r="B5511" s="5">
        <v>230</v>
      </c>
      <c r="C5511" s="5">
        <v>8</v>
      </c>
      <c r="D5511" s="379">
        <v>131.82333333333332</v>
      </c>
      <c r="E5511" s="25">
        <v>24.84</v>
      </c>
      <c r="F5511" s="379">
        <v>8.1174834595959595</v>
      </c>
      <c r="G5511" s="25">
        <v>43.56</v>
      </c>
      <c r="H5511" s="379">
        <v>7.3431298936086113</v>
      </c>
      <c r="I5511" s="25">
        <v>39.68</v>
      </c>
      <c r="J5511" s="379">
        <v>3.1362802581605735</v>
      </c>
    </row>
    <row r="5512" spans="1:10" x14ac:dyDescent="0.35">
      <c r="A5512" s="5">
        <v>5508</v>
      </c>
      <c r="B5512" s="5">
        <v>230</v>
      </c>
      <c r="C5512" s="5">
        <v>8</v>
      </c>
      <c r="D5512" s="379">
        <v>127.52499999999999</v>
      </c>
      <c r="E5512" s="25">
        <v>24.84</v>
      </c>
      <c r="F5512" s="379">
        <v>8.1174834595959577</v>
      </c>
      <c r="G5512" s="25">
        <v>42.29</v>
      </c>
      <c r="H5512" s="379">
        <v>7.5957397866173597</v>
      </c>
      <c r="I5512" s="25">
        <v>39.68</v>
      </c>
      <c r="J5512" s="379">
        <v>3.6926905016619389</v>
      </c>
    </row>
    <row r="5513" spans="1:10" x14ac:dyDescent="0.35">
      <c r="A5513" s="5">
        <v>5509</v>
      </c>
      <c r="B5513" s="5">
        <v>230</v>
      </c>
      <c r="C5513" s="5">
        <v>8</v>
      </c>
      <c r="D5513" s="379">
        <v>126.2127777777778</v>
      </c>
      <c r="E5513" s="25">
        <v>24.84</v>
      </c>
      <c r="F5513" s="379">
        <v>7.5326407826560828</v>
      </c>
      <c r="G5513" s="25">
        <v>41.53</v>
      </c>
      <c r="H5513" s="379">
        <v>6.6587144879773197</v>
      </c>
      <c r="I5513" s="25">
        <v>39.29</v>
      </c>
      <c r="J5513" s="379">
        <v>2.8770539687125543</v>
      </c>
    </row>
    <row r="5514" spans="1:10" x14ac:dyDescent="0.35">
      <c r="A5514" s="5">
        <v>5510</v>
      </c>
      <c r="B5514" s="5">
        <v>230</v>
      </c>
      <c r="C5514" s="5">
        <v>8</v>
      </c>
      <c r="D5514" s="379">
        <v>125.14277777777778</v>
      </c>
      <c r="E5514" s="25">
        <v>24.84</v>
      </c>
      <c r="F5514" s="379">
        <v>7.1202311381853818</v>
      </c>
      <c r="G5514" s="25">
        <v>41.05</v>
      </c>
      <c r="H5514" s="379">
        <v>6.6459926199289834</v>
      </c>
      <c r="I5514" s="25">
        <v>39.29</v>
      </c>
      <c r="J5514" s="379">
        <v>1.3195093220201826</v>
      </c>
    </row>
    <row r="5515" spans="1:10" x14ac:dyDescent="0.35">
      <c r="A5515" s="5">
        <v>5511</v>
      </c>
      <c r="B5515" s="5">
        <v>230</v>
      </c>
      <c r="C5515" s="5">
        <v>8</v>
      </c>
      <c r="D5515" s="379">
        <v>125.67944444444441</v>
      </c>
      <c r="E5515" s="25">
        <v>24.84</v>
      </c>
      <c r="F5515" s="379">
        <v>8.1174834595959577</v>
      </c>
      <c r="G5515" s="25">
        <v>41.05</v>
      </c>
      <c r="H5515" s="379">
        <v>6.4798388500616078</v>
      </c>
      <c r="I5515" s="25">
        <v>39.29</v>
      </c>
      <c r="J5515" s="379">
        <v>4.0699805369662707</v>
      </c>
    </row>
    <row r="5516" spans="1:10" x14ac:dyDescent="0.35">
      <c r="A5516" s="5">
        <v>5512</v>
      </c>
      <c r="B5516" s="5">
        <v>230</v>
      </c>
      <c r="C5516" s="5">
        <v>8</v>
      </c>
      <c r="D5516" s="379">
        <v>131.16888888888889</v>
      </c>
      <c r="E5516" s="25">
        <v>24.84</v>
      </c>
      <c r="F5516" s="379">
        <v>8.2914847355880923</v>
      </c>
      <c r="G5516" s="25">
        <v>41.53</v>
      </c>
      <c r="H5516" s="379">
        <v>8.1589970422049074</v>
      </c>
      <c r="I5516" s="25">
        <v>39.29</v>
      </c>
      <c r="J5516" s="379">
        <v>5.9239767584952849</v>
      </c>
    </row>
    <row r="5517" spans="1:10" x14ac:dyDescent="0.35">
      <c r="A5517" s="5">
        <v>5513</v>
      </c>
      <c r="B5517" s="5">
        <v>230</v>
      </c>
      <c r="C5517" s="5">
        <v>8</v>
      </c>
      <c r="D5517" s="379">
        <v>135.38444444444443</v>
      </c>
      <c r="E5517" s="25">
        <v>24.84</v>
      </c>
      <c r="F5517" s="379">
        <v>8.4696537153557276</v>
      </c>
      <c r="G5517" s="25">
        <v>42.29</v>
      </c>
      <c r="H5517" s="379">
        <v>8.8129577151466947</v>
      </c>
      <c r="I5517" s="25">
        <v>42.1</v>
      </c>
      <c r="J5517" s="379">
        <v>5.5187365189522755</v>
      </c>
    </row>
    <row r="5518" spans="1:10" x14ac:dyDescent="0.35">
      <c r="A5518" s="5">
        <v>5514</v>
      </c>
      <c r="B5518" s="5">
        <v>230</v>
      </c>
      <c r="C5518" s="5">
        <v>8</v>
      </c>
      <c r="D5518" s="379">
        <v>138.88888888888889</v>
      </c>
      <c r="E5518" s="25">
        <v>25.29</v>
      </c>
      <c r="F5518" s="379">
        <v>10.041628657505511</v>
      </c>
      <c r="G5518" s="25">
        <v>43.39</v>
      </c>
      <c r="H5518" s="379">
        <v>7.877565192838123</v>
      </c>
      <c r="I5518" s="25">
        <v>47.44</v>
      </c>
      <c r="J5518" s="379">
        <v>4.2278552170807382</v>
      </c>
    </row>
    <row r="5519" spans="1:10" x14ac:dyDescent="0.35">
      <c r="A5519" s="5">
        <v>5515</v>
      </c>
      <c r="B5519" s="5">
        <v>230</v>
      </c>
      <c r="C5519" s="5">
        <v>8</v>
      </c>
      <c r="D5519" s="379">
        <v>138.88888888888889</v>
      </c>
      <c r="E5519" s="25">
        <v>25.59</v>
      </c>
      <c r="F5519" s="379">
        <v>9.854789417918921</v>
      </c>
      <c r="G5519" s="25">
        <v>43.56</v>
      </c>
      <c r="H5519" s="379">
        <v>8.416994778447318</v>
      </c>
      <c r="I5519" s="25">
        <v>48.2</v>
      </c>
      <c r="J5519" s="379">
        <v>4.7167719344159877</v>
      </c>
    </row>
    <row r="5520" spans="1:10" x14ac:dyDescent="0.35">
      <c r="A5520" s="5">
        <v>5516</v>
      </c>
      <c r="B5520" s="5">
        <v>230</v>
      </c>
      <c r="C5520" s="5">
        <v>8</v>
      </c>
      <c r="D5520" s="379">
        <v>138.88888888888889</v>
      </c>
      <c r="E5520" s="25">
        <v>26.35</v>
      </c>
      <c r="F5520" s="379">
        <v>9.9988974918337892</v>
      </c>
      <c r="G5520" s="25">
        <v>43.56</v>
      </c>
      <c r="H5520" s="379">
        <v>7.505041730352394</v>
      </c>
      <c r="I5520" s="25">
        <v>49.53</v>
      </c>
      <c r="J5520" s="379">
        <v>4.7280403040882426</v>
      </c>
    </row>
    <row r="5521" spans="1:10" x14ac:dyDescent="0.35">
      <c r="A5521" s="5">
        <v>5517</v>
      </c>
      <c r="B5521" s="5">
        <v>230</v>
      </c>
      <c r="C5521" s="5">
        <v>8</v>
      </c>
      <c r="D5521" s="379">
        <v>134.14666666666668</v>
      </c>
      <c r="E5521" s="25">
        <v>26.35</v>
      </c>
      <c r="F5521" s="379">
        <v>10.166752486285151</v>
      </c>
      <c r="G5521" s="25">
        <v>44.69</v>
      </c>
      <c r="H5521" s="379">
        <v>7.3891023007758276</v>
      </c>
      <c r="I5521" s="25">
        <v>50.13</v>
      </c>
      <c r="J5521" s="379">
        <v>6.2997216305181611</v>
      </c>
    </row>
    <row r="5522" spans="1:10" x14ac:dyDescent="0.35">
      <c r="A5522" s="5">
        <v>5518</v>
      </c>
      <c r="B5522" s="5">
        <v>230</v>
      </c>
      <c r="C5522" s="5">
        <v>8</v>
      </c>
      <c r="D5522" s="379">
        <v>121.15555555555557</v>
      </c>
      <c r="E5522" s="25">
        <v>25.29</v>
      </c>
      <c r="F5522" s="379">
        <v>10.198843148505146</v>
      </c>
      <c r="G5522" s="25">
        <v>43.56</v>
      </c>
      <c r="H5522" s="379">
        <v>7.860966044294492</v>
      </c>
      <c r="I5522" s="25">
        <v>49.53</v>
      </c>
      <c r="J5522" s="379">
        <v>5.7628378863545286</v>
      </c>
    </row>
    <row r="5523" spans="1:10" x14ac:dyDescent="0.35">
      <c r="A5523" s="5">
        <v>5519</v>
      </c>
      <c r="B5523" s="5">
        <v>230</v>
      </c>
      <c r="C5523" s="5">
        <v>8</v>
      </c>
      <c r="D5523" s="379">
        <v>116.70722222222223</v>
      </c>
      <c r="E5523" s="25">
        <v>24.84</v>
      </c>
      <c r="F5523" s="379">
        <v>9.5880015037929613</v>
      </c>
      <c r="G5523" s="25">
        <v>42.17</v>
      </c>
      <c r="H5523" s="379">
        <v>8.1969273486360628</v>
      </c>
      <c r="I5523" s="25">
        <v>46.69</v>
      </c>
      <c r="J5523" s="379">
        <v>6.2181358166884069</v>
      </c>
    </row>
    <row r="5524" spans="1:10" x14ac:dyDescent="0.35">
      <c r="A5524" s="5">
        <v>5520</v>
      </c>
      <c r="B5524" s="5">
        <v>230</v>
      </c>
      <c r="C5524" s="5">
        <v>8</v>
      </c>
      <c r="D5524" s="379">
        <v>112.33722222222224</v>
      </c>
      <c r="E5524" s="25">
        <v>24.84</v>
      </c>
      <c r="F5524" s="379">
        <v>9.881037544260348</v>
      </c>
      <c r="G5524" s="25">
        <v>41.53</v>
      </c>
      <c r="H5524" s="379">
        <v>7.294876927800134</v>
      </c>
      <c r="I5524" s="25">
        <v>42.1</v>
      </c>
      <c r="J5524" s="379">
        <v>5.9149180445317198</v>
      </c>
    </row>
    <row r="5525" spans="1:10" x14ac:dyDescent="0.35">
      <c r="A5525" s="5">
        <v>5521</v>
      </c>
      <c r="B5525" s="5">
        <v>231</v>
      </c>
      <c r="C5525" s="5">
        <v>8</v>
      </c>
      <c r="D5525" s="379">
        <v>102.08444444444443</v>
      </c>
      <c r="E5525" s="25">
        <v>24.84</v>
      </c>
      <c r="F5525" s="379">
        <v>9.5297299957606576</v>
      </c>
      <c r="G5525" s="25">
        <v>42.29</v>
      </c>
      <c r="H5525" s="379">
        <v>6.8182960385948661</v>
      </c>
      <c r="I5525" s="25">
        <v>46.69</v>
      </c>
      <c r="J5525" s="379">
        <v>6.106885559544363</v>
      </c>
    </row>
    <row r="5526" spans="1:10" x14ac:dyDescent="0.35">
      <c r="A5526" s="5">
        <v>5522</v>
      </c>
      <c r="B5526" s="5">
        <v>231</v>
      </c>
      <c r="C5526" s="5">
        <v>8</v>
      </c>
      <c r="D5526" s="379">
        <v>98.787777777777777</v>
      </c>
      <c r="E5526" s="25">
        <v>24.84</v>
      </c>
      <c r="F5526" s="379">
        <v>9.4221489420861957</v>
      </c>
      <c r="G5526" s="25">
        <v>42.29</v>
      </c>
      <c r="H5526" s="379">
        <v>8.1741340330424919</v>
      </c>
      <c r="I5526" s="25">
        <v>42.68</v>
      </c>
      <c r="J5526" s="379">
        <v>5.073808694777548</v>
      </c>
    </row>
    <row r="5527" spans="1:10" x14ac:dyDescent="0.35">
      <c r="A5527" s="5">
        <v>5523</v>
      </c>
      <c r="B5527" s="5">
        <v>231</v>
      </c>
      <c r="C5527" s="5">
        <v>8</v>
      </c>
      <c r="D5527" s="379">
        <v>94.821666666666673</v>
      </c>
      <c r="E5527" s="25">
        <v>24.84</v>
      </c>
      <c r="F5527" s="379">
        <v>9.729976938224576</v>
      </c>
      <c r="G5527" s="25">
        <v>42.29</v>
      </c>
      <c r="H5527" s="379">
        <v>8.2694865081967102</v>
      </c>
      <c r="I5527" s="25">
        <v>42.68</v>
      </c>
      <c r="J5527" s="379">
        <v>4.6398279756998946</v>
      </c>
    </row>
    <row r="5528" spans="1:10" x14ac:dyDescent="0.35">
      <c r="A5528" s="5">
        <v>5524</v>
      </c>
      <c r="B5528" s="5">
        <v>231</v>
      </c>
      <c r="C5528" s="5">
        <v>8</v>
      </c>
      <c r="D5528" s="379">
        <v>97.314999999999998</v>
      </c>
      <c r="E5528" s="25">
        <v>24.84</v>
      </c>
      <c r="F5528" s="379">
        <v>10.041477924173511</v>
      </c>
      <c r="G5528" s="25">
        <v>42.29</v>
      </c>
      <c r="H5528" s="379">
        <v>8.6964111134017994</v>
      </c>
      <c r="I5528" s="25">
        <v>42.53</v>
      </c>
      <c r="J5528" s="379">
        <v>5.9660088463070968</v>
      </c>
    </row>
    <row r="5529" spans="1:10" x14ac:dyDescent="0.35">
      <c r="A5529" s="5">
        <v>5525</v>
      </c>
      <c r="B5529" s="5">
        <v>231</v>
      </c>
      <c r="C5529" s="5">
        <v>8</v>
      </c>
      <c r="D5529" s="379">
        <v>103.45555555555553</v>
      </c>
      <c r="E5529" s="25">
        <v>24.84</v>
      </c>
      <c r="F5529" s="379">
        <v>10.183274683075064</v>
      </c>
      <c r="G5529" s="25">
        <v>42.29</v>
      </c>
      <c r="H5529" s="379">
        <v>9.1743730891086788</v>
      </c>
      <c r="I5529" s="25">
        <v>43.36</v>
      </c>
      <c r="J5529" s="379">
        <v>6.6538508621591754</v>
      </c>
    </row>
    <row r="5530" spans="1:10" x14ac:dyDescent="0.35">
      <c r="A5530" s="5">
        <v>5526</v>
      </c>
      <c r="B5530" s="5">
        <v>231</v>
      </c>
      <c r="C5530" s="5">
        <v>8</v>
      </c>
      <c r="D5530" s="379">
        <v>114.96666666666667</v>
      </c>
      <c r="E5530" s="25">
        <v>24.84</v>
      </c>
      <c r="F5530" s="379">
        <v>10.12237320130196</v>
      </c>
      <c r="G5530" s="25">
        <v>43.56</v>
      </c>
      <c r="H5530" s="379">
        <v>8.7596142867544788</v>
      </c>
      <c r="I5530" s="25">
        <v>48.09</v>
      </c>
      <c r="J5530" s="379">
        <v>6.0083394755785324</v>
      </c>
    </row>
    <row r="5531" spans="1:10" x14ac:dyDescent="0.35">
      <c r="A5531" s="5">
        <v>5527</v>
      </c>
      <c r="B5531" s="5">
        <v>231</v>
      </c>
      <c r="C5531" s="5">
        <v>8</v>
      </c>
      <c r="D5531" s="379">
        <v>124.1861111111111</v>
      </c>
      <c r="E5531" s="25">
        <v>25.59</v>
      </c>
      <c r="F5531" s="379">
        <v>10.041283463465179</v>
      </c>
      <c r="G5531" s="25">
        <v>46.98</v>
      </c>
      <c r="H5531" s="379">
        <v>9.0354471184172578</v>
      </c>
      <c r="I5531" s="25">
        <v>50.13</v>
      </c>
      <c r="J5531" s="379">
        <v>6.4952577415436474</v>
      </c>
    </row>
    <row r="5532" spans="1:10" x14ac:dyDescent="0.35">
      <c r="A5532" s="5">
        <v>5528</v>
      </c>
      <c r="B5532" s="5">
        <v>231</v>
      </c>
      <c r="C5532" s="5">
        <v>8</v>
      </c>
      <c r="D5532" s="379">
        <v>129.49555555555557</v>
      </c>
      <c r="E5532" s="25">
        <v>25.74</v>
      </c>
      <c r="F5532" s="379">
        <v>8.5316905070369966</v>
      </c>
      <c r="G5532" s="25">
        <v>47.85</v>
      </c>
      <c r="H5532" s="379">
        <v>9.1569519221264049</v>
      </c>
      <c r="I5532" s="25">
        <v>51.72</v>
      </c>
      <c r="J5532" s="379">
        <v>6.5092434105187014</v>
      </c>
    </row>
    <row r="5533" spans="1:10" x14ac:dyDescent="0.35">
      <c r="A5533" s="5">
        <v>5529</v>
      </c>
      <c r="B5533" s="5">
        <v>231</v>
      </c>
      <c r="C5533" s="5">
        <v>8</v>
      </c>
      <c r="D5533" s="379">
        <v>126.64388888888888</v>
      </c>
      <c r="E5533" s="25">
        <v>25.74</v>
      </c>
      <c r="F5533" s="379">
        <v>8.1174834595959613</v>
      </c>
      <c r="G5533" s="25">
        <v>46.98</v>
      </c>
      <c r="H5533" s="379">
        <v>8.4548601876133223</v>
      </c>
      <c r="I5533" s="25">
        <v>49.71</v>
      </c>
      <c r="J5533" s="379">
        <v>5.6747653925842805</v>
      </c>
    </row>
    <row r="5534" spans="1:10" x14ac:dyDescent="0.35">
      <c r="A5534" s="5">
        <v>5530</v>
      </c>
      <c r="B5534" s="5">
        <v>231</v>
      </c>
      <c r="C5534" s="5">
        <v>8</v>
      </c>
      <c r="D5534" s="379">
        <v>122.43777777777778</v>
      </c>
      <c r="E5534" s="25">
        <v>24.84</v>
      </c>
      <c r="F5534" s="379">
        <v>8.1174834595959595</v>
      </c>
      <c r="G5534" s="25">
        <v>43.56</v>
      </c>
      <c r="H5534" s="379">
        <v>6.898784097428444</v>
      </c>
      <c r="I5534" s="25">
        <v>42.11</v>
      </c>
      <c r="J5534" s="379">
        <v>3.01934759494238</v>
      </c>
    </row>
    <row r="5535" spans="1:10" x14ac:dyDescent="0.35">
      <c r="A5535" s="5">
        <v>5531</v>
      </c>
      <c r="B5535" s="5">
        <v>231</v>
      </c>
      <c r="C5535" s="5">
        <v>8</v>
      </c>
      <c r="D5535" s="379">
        <v>119.17888888888889</v>
      </c>
      <c r="E5535" s="25">
        <v>24.84</v>
      </c>
      <c r="F5535" s="379">
        <v>8.1174834595959577</v>
      </c>
      <c r="G5535" s="25">
        <v>42.71</v>
      </c>
      <c r="H5535" s="379">
        <v>6.7964799454583229</v>
      </c>
      <c r="I5535" s="25">
        <v>42.1</v>
      </c>
      <c r="J5535" s="379">
        <v>1.502970996895739</v>
      </c>
    </row>
    <row r="5536" spans="1:10" x14ac:dyDescent="0.35">
      <c r="A5536" s="5">
        <v>5532</v>
      </c>
      <c r="B5536" s="5">
        <v>231</v>
      </c>
      <c r="C5536" s="5">
        <v>8</v>
      </c>
      <c r="D5536" s="379">
        <v>115.6861111111111</v>
      </c>
      <c r="E5536" s="25">
        <v>24.84</v>
      </c>
      <c r="F5536" s="379">
        <v>7.3348672405140398</v>
      </c>
      <c r="G5536" s="25">
        <v>42.29</v>
      </c>
      <c r="H5536" s="379">
        <v>7.4155524237666084</v>
      </c>
      <c r="I5536" s="25">
        <v>42.1</v>
      </c>
      <c r="J5536" s="379">
        <v>2.5868022713250118</v>
      </c>
    </row>
    <row r="5537" spans="1:10" x14ac:dyDescent="0.35">
      <c r="A5537" s="5">
        <v>5533</v>
      </c>
      <c r="B5537" s="5">
        <v>231</v>
      </c>
      <c r="C5537" s="5">
        <v>8</v>
      </c>
      <c r="D5537" s="379">
        <v>112.94</v>
      </c>
      <c r="E5537" s="25">
        <v>24.84</v>
      </c>
      <c r="F5537" s="379">
        <v>7.3374834595959593</v>
      </c>
      <c r="G5537" s="25">
        <v>42.29</v>
      </c>
      <c r="H5537" s="379">
        <v>7.0825287579894756</v>
      </c>
      <c r="I5537" s="25">
        <v>40.270000000000003</v>
      </c>
      <c r="J5537" s="379">
        <v>2.5868022713250118</v>
      </c>
    </row>
    <row r="5538" spans="1:10" x14ac:dyDescent="0.35">
      <c r="A5538" s="5">
        <v>5534</v>
      </c>
      <c r="B5538" s="5">
        <v>231</v>
      </c>
      <c r="C5538" s="5">
        <v>8</v>
      </c>
      <c r="D5538" s="379">
        <v>107.5311111111111</v>
      </c>
      <c r="E5538" s="25">
        <v>24.84</v>
      </c>
      <c r="F5538" s="379">
        <v>7.6835003436540461</v>
      </c>
      <c r="G5538" s="25">
        <v>42.29</v>
      </c>
      <c r="H5538" s="379">
        <v>6.8719657996373833</v>
      </c>
      <c r="I5538" s="25">
        <v>39.68</v>
      </c>
      <c r="J5538" s="379">
        <v>3.1944659178865447</v>
      </c>
    </row>
    <row r="5539" spans="1:10" x14ac:dyDescent="0.35">
      <c r="A5539" s="5">
        <v>5535</v>
      </c>
      <c r="B5539" s="5">
        <v>231</v>
      </c>
      <c r="C5539" s="5">
        <v>8</v>
      </c>
      <c r="D5539" s="379">
        <v>108.73111111111109</v>
      </c>
      <c r="E5539" s="25">
        <v>24.84</v>
      </c>
      <c r="F5539" s="379">
        <v>7.7063814405637698</v>
      </c>
      <c r="G5539" s="25">
        <v>42.29</v>
      </c>
      <c r="H5539" s="379">
        <v>7.2024113472752438</v>
      </c>
      <c r="I5539" s="25">
        <v>40.270000000000003</v>
      </c>
      <c r="J5539" s="379">
        <v>3.1721327688840639</v>
      </c>
    </row>
    <row r="5540" spans="1:10" x14ac:dyDescent="0.35">
      <c r="A5540" s="5">
        <v>5536</v>
      </c>
      <c r="B5540" s="5">
        <v>231</v>
      </c>
      <c r="C5540" s="5">
        <v>8</v>
      </c>
      <c r="D5540" s="379">
        <v>117.13166666666666</v>
      </c>
      <c r="E5540" s="25">
        <v>24.84</v>
      </c>
      <c r="F5540" s="379">
        <v>7.927328064986277</v>
      </c>
      <c r="G5540" s="25">
        <v>42.29</v>
      </c>
      <c r="H5540" s="379">
        <v>8.5467489698580366</v>
      </c>
      <c r="I5540" s="25">
        <v>42.1</v>
      </c>
      <c r="J5540" s="379">
        <v>5.5535067969354062</v>
      </c>
    </row>
    <row r="5541" spans="1:10" x14ac:dyDescent="0.35">
      <c r="A5541" s="5">
        <v>5537</v>
      </c>
      <c r="B5541" s="5">
        <v>231</v>
      </c>
      <c r="C5541" s="5">
        <v>8</v>
      </c>
      <c r="D5541" s="379">
        <v>125.27666666666666</v>
      </c>
      <c r="E5541" s="25">
        <v>24.84</v>
      </c>
      <c r="F5541" s="379">
        <v>8.3103437957835258</v>
      </c>
      <c r="G5541" s="25">
        <v>43.44</v>
      </c>
      <c r="H5541" s="379">
        <v>8.7839670891007593</v>
      </c>
      <c r="I5541" s="25">
        <v>42.1</v>
      </c>
      <c r="J5541" s="379">
        <v>6.4253226107817882</v>
      </c>
    </row>
    <row r="5542" spans="1:10" x14ac:dyDescent="0.35">
      <c r="A5542" s="5">
        <v>5538</v>
      </c>
      <c r="B5542" s="5">
        <v>231</v>
      </c>
      <c r="C5542" s="5">
        <v>8</v>
      </c>
      <c r="D5542" s="379">
        <v>132.17722222222221</v>
      </c>
      <c r="E5542" s="25">
        <v>25.59</v>
      </c>
      <c r="F5542" s="379">
        <v>17.699288273572666</v>
      </c>
      <c r="G5542" s="25">
        <v>46.98</v>
      </c>
      <c r="H5542" s="379">
        <v>9.0942516932381317</v>
      </c>
      <c r="I5542" s="25">
        <v>48.86</v>
      </c>
      <c r="J5542" s="379">
        <v>7.1907380102820273</v>
      </c>
    </row>
    <row r="5543" spans="1:10" x14ac:dyDescent="0.35">
      <c r="A5543" s="5">
        <v>5539</v>
      </c>
      <c r="B5543" s="5">
        <v>231</v>
      </c>
      <c r="C5543" s="5">
        <v>8</v>
      </c>
      <c r="D5543" s="379">
        <v>136.04</v>
      </c>
      <c r="E5543" s="25">
        <v>25.59</v>
      </c>
      <c r="F5543" s="379">
        <v>17.757815934089194</v>
      </c>
      <c r="G5543" s="25">
        <v>47.46</v>
      </c>
      <c r="H5543" s="379">
        <v>8.9053439535301049</v>
      </c>
      <c r="I5543" s="25">
        <v>53.27</v>
      </c>
      <c r="J5543" s="379">
        <v>7.315936792272252</v>
      </c>
    </row>
    <row r="5544" spans="1:10" x14ac:dyDescent="0.35">
      <c r="A5544" s="5">
        <v>5540</v>
      </c>
      <c r="B5544" s="5">
        <v>231</v>
      </c>
      <c r="C5544" s="5">
        <v>8</v>
      </c>
      <c r="D5544" s="379">
        <v>133.77555555555554</v>
      </c>
      <c r="E5544" s="25">
        <v>25.59</v>
      </c>
      <c r="F5544" s="379">
        <v>17.565347849909791</v>
      </c>
      <c r="G5544" s="25">
        <v>47.85</v>
      </c>
      <c r="H5544" s="379">
        <v>9.1893805624370639</v>
      </c>
      <c r="I5544" s="25">
        <v>53.71</v>
      </c>
      <c r="J5544" s="379">
        <v>7.0713099759559519</v>
      </c>
    </row>
    <row r="5545" spans="1:10" x14ac:dyDescent="0.35">
      <c r="A5545" s="5">
        <v>5541</v>
      </c>
      <c r="B5545" s="5">
        <v>231</v>
      </c>
      <c r="C5545" s="5">
        <v>8</v>
      </c>
      <c r="D5545" s="379">
        <v>133.01666666666668</v>
      </c>
      <c r="E5545" s="25">
        <v>25.74</v>
      </c>
      <c r="F5545" s="379">
        <v>17.376507177831808</v>
      </c>
      <c r="G5545" s="25">
        <v>47.85</v>
      </c>
      <c r="H5545" s="379">
        <v>8.9053439535301049</v>
      </c>
      <c r="I5545" s="25">
        <v>53.71</v>
      </c>
      <c r="J5545" s="379">
        <v>7.0118498054875253</v>
      </c>
    </row>
    <row r="5546" spans="1:10" x14ac:dyDescent="0.35">
      <c r="A5546" s="5">
        <v>5542</v>
      </c>
      <c r="B5546" s="5">
        <v>231</v>
      </c>
      <c r="C5546" s="5">
        <v>8</v>
      </c>
      <c r="D5546" s="379">
        <v>127.67277777777778</v>
      </c>
      <c r="E5546" s="25">
        <v>25.59</v>
      </c>
      <c r="F5546" s="379">
        <v>18.0376609969512</v>
      </c>
      <c r="G5546" s="25">
        <v>44.86</v>
      </c>
      <c r="H5546" s="379">
        <v>8.5818003398571285</v>
      </c>
      <c r="I5546" s="25">
        <v>54.32</v>
      </c>
      <c r="J5546" s="379">
        <v>7.1743895765368553</v>
      </c>
    </row>
    <row r="5547" spans="1:10" x14ac:dyDescent="0.35">
      <c r="A5547" s="5">
        <v>5543</v>
      </c>
      <c r="B5547" s="5">
        <v>231</v>
      </c>
      <c r="C5547" s="5">
        <v>8</v>
      </c>
      <c r="D5547" s="379">
        <v>123.66944444444445</v>
      </c>
      <c r="E5547" s="25">
        <v>24.99</v>
      </c>
      <c r="F5547" s="379">
        <v>17.996035946367893</v>
      </c>
      <c r="G5547" s="25">
        <v>43.56</v>
      </c>
      <c r="H5547" s="379">
        <v>9.1419815188137115</v>
      </c>
      <c r="I5547" s="25">
        <v>49.53</v>
      </c>
      <c r="J5547" s="379">
        <v>6.5778005371206758</v>
      </c>
    </row>
    <row r="5548" spans="1:10" x14ac:dyDescent="0.35">
      <c r="A5548" s="5">
        <v>5544</v>
      </c>
      <c r="B5548" s="5">
        <v>231</v>
      </c>
      <c r="C5548" s="5">
        <v>8</v>
      </c>
      <c r="D5548" s="379">
        <v>122.43</v>
      </c>
      <c r="E5548" s="25">
        <v>24.84</v>
      </c>
      <c r="F5548" s="379">
        <v>17.25790124546975</v>
      </c>
      <c r="G5548" s="25">
        <v>43.56</v>
      </c>
      <c r="H5548" s="379">
        <v>7.65345938317658</v>
      </c>
      <c r="I5548" s="25">
        <v>49.03</v>
      </c>
      <c r="J5548" s="379">
        <v>6.1565046180888157</v>
      </c>
    </row>
    <row r="5549" spans="1:10" x14ac:dyDescent="0.35">
      <c r="A5549" s="5">
        <v>5545</v>
      </c>
      <c r="B5549" s="5">
        <v>232</v>
      </c>
      <c r="C5549" s="5">
        <v>8</v>
      </c>
      <c r="D5549" s="379">
        <v>121.11222222222223</v>
      </c>
      <c r="E5549" s="25">
        <v>24.84</v>
      </c>
      <c r="F5549" s="379">
        <v>16.907923630361381</v>
      </c>
      <c r="G5549" s="25">
        <v>42.29</v>
      </c>
      <c r="H5549" s="379">
        <v>9.0188125898096665</v>
      </c>
      <c r="I5549" s="25">
        <v>48.57</v>
      </c>
      <c r="J5549" s="379">
        <v>6.6169462615299262</v>
      </c>
    </row>
    <row r="5550" spans="1:10" x14ac:dyDescent="0.35">
      <c r="A5550" s="5">
        <v>5546</v>
      </c>
      <c r="B5550" s="5">
        <v>232</v>
      </c>
      <c r="C5550" s="5">
        <v>8</v>
      </c>
      <c r="D5550" s="379">
        <v>116.50166666666668</v>
      </c>
      <c r="E5550" s="25">
        <v>24.84</v>
      </c>
      <c r="F5550" s="379">
        <v>15.655735788932395</v>
      </c>
      <c r="G5550" s="25">
        <v>41.53</v>
      </c>
      <c r="H5550" s="379">
        <v>7.8881200325212175</v>
      </c>
      <c r="I5550" s="25">
        <v>48.09</v>
      </c>
      <c r="J5550" s="379">
        <v>6.4112538715060774</v>
      </c>
    </row>
    <row r="5551" spans="1:10" x14ac:dyDescent="0.35">
      <c r="A5551" s="5">
        <v>5547</v>
      </c>
      <c r="B5551" s="5">
        <v>232</v>
      </c>
      <c r="C5551" s="5">
        <v>8</v>
      </c>
      <c r="D5551" s="379">
        <v>112.89222222222223</v>
      </c>
      <c r="E5551" s="25">
        <v>24.84</v>
      </c>
      <c r="F5551" s="379">
        <v>15.617059378194242</v>
      </c>
      <c r="G5551" s="25">
        <v>41.53</v>
      </c>
      <c r="H5551" s="379">
        <v>8.9235686942308075</v>
      </c>
      <c r="I5551" s="25">
        <v>48.09</v>
      </c>
      <c r="J5551" s="379">
        <v>6.4162018258204645</v>
      </c>
    </row>
    <row r="5552" spans="1:10" x14ac:dyDescent="0.35">
      <c r="A5552" s="5">
        <v>5548</v>
      </c>
      <c r="B5552" s="5">
        <v>232</v>
      </c>
      <c r="C5552" s="5">
        <v>8</v>
      </c>
      <c r="D5552" s="379">
        <v>109.94611111111111</v>
      </c>
      <c r="E5552" s="25">
        <v>24.84</v>
      </c>
      <c r="F5552" s="379">
        <v>15.81373407744605</v>
      </c>
      <c r="G5552" s="25">
        <v>43.56</v>
      </c>
      <c r="H5552" s="379">
        <v>7.835408056801489</v>
      </c>
      <c r="I5552" s="25">
        <v>48.26</v>
      </c>
      <c r="J5552" s="379">
        <v>6.8926996103932447</v>
      </c>
    </row>
    <row r="5553" spans="1:10" x14ac:dyDescent="0.35">
      <c r="A5553" s="5">
        <v>5549</v>
      </c>
      <c r="B5553" s="5">
        <v>232</v>
      </c>
      <c r="C5553" s="5">
        <v>8</v>
      </c>
      <c r="D5553" s="379">
        <v>108.74777777777778</v>
      </c>
      <c r="E5553" s="25">
        <v>24.84</v>
      </c>
      <c r="F5553" s="379">
        <v>16.194690739571517</v>
      </c>
      <c r="G5553" s="25">
        <v>43.56</v>
      </c>
      <c r="H5553" s="379">
        <v>9.0028127686284751</v>
      </c>
      <c r="I5553" s="25">
        <v>49.06</v>
      </c>
      <c r="J5553" s="379">
        <v>6.9954819585300543</v>
      </c>
    </row>
    <row r="5554" spans="1:10" x14ac:dyDescent="0.35">
      <c r="A5554" s="5">
        <v>5550</v>
      </c>
      <c r="B5554" s="5">
        <v>232</v>
      </c>
      <c r="C5554" s="5">
        <v>8</v>
      </c>
      <c r="D5554" s="379">
        <v>110.69388888888888</v>
      </c>
      <c r="E5554" s="25">
        <v>25.59</v>
      </c>
      <c r="F5554" s="379">
        <v>13.444704575493633</v>
      </c>
      <c r="G5554" s="25">
        <v>44.86</v>
      </c>
      <c r="H5554" s="379">
        <v>8.4813088175878697</v>
      </c>
      <c r="I5554" s="25">
        <v>53.27</v>
      </c>
      <c r="J5554" s="379">
        <v>6.6853930478870485</v>
      </c>
    </row>
    <row r="5555" spans="1:10" x14ac:dyDescent="0.35">
      <c r="A5555" s="5">
        <v>5551</v>
      </c>
      <c r="B5555" s="5">
        <v>232</v>
      </c>
      <c r="C5555" s="5">
        <v>8</v>
      </c>
      <c r="D5555" s="379">
        <v>112.97166666666666</v>
      </c>
      <c r="E5555" s="25">
        <v>25.59</v>
      </c>
      <c r="F5555" s="379">
        <v>12.521772509952246</v>
      </c>
      <c r="G5555" s="25">
        <v>47.85</v>
      </c>
      <c r="H5555" s="379">
        <v>7.9020354920939626</v>
      </c>
      <c r="I5555" s="25">
        <v>53.71</v>
      </c>
      <c r="J5555" s="379">
        <v>3.6563277715110454</v>
      </c>
    </row>
    <row r="5556" spans="1:10" x14ac:dyDescent="0.35">
      <c r="A5556" s="5">
        <v>5552</v>
      </c>
      <c r="B5556" s="5">
        <v>232</v>
      </c>
      <c r="C5556" s="5">
        <v>8</v>
      </c>
      <c r="D5556" s="379">
        <v>116.69277777777779</v>
      </c>
      <c r="E5556" s="25">
        <v>25.74</v>
      </c>
      <c r="F5556" s="379">
        <v>8.1174834595959595</v>
      </c>
      <c r="G5556" s="25">
        <v>47.85</v>
      </c>
      <c r="H5556" s="379">
        <v>7.6485830529925929</v>
      </c>
      <c r="I5556" s="25">
        <v>56.56</v>
      </c>
      <c r="J5556" s="379">
        <v>0.27777777777777779</v>
      </c>
    </row>
    <row r="5557" spans="1:10" x14ac:dyDescent="0.35">
      <c r="A5557" s="5">
        <v>5553</v>
      </c>
      <c r="B5557" s="5">
        <v>232</v>
      </c>
      <c r="C5557" s="5">
        <v>8</v>
      </c>
      <c r="D5557" s="379">
        <v>111.5338888888889</v>
      </c>
      <c r="E5557" s="25">
        <v>25.74</v>
      </c>
      <c r="F5557" s="379">
        <v>8.1174834595959595</v>
      </c>
      <c r="G5557" s="25">
        <v>47.85</v>
      </c>
      <c r="H5557" s="379">
        <v>9.2165578081223085</v>
      </c>
      <c r="I5557" s="25">
        <v>53.71</v>
      </c>
      <c r="J5557" s="379">
        <v>6.6698056042292064</v>
      </c>
    </row>
    <row r="5558" spans="1:10" x14ac:dyDescent="0.35">
      <c r="A5558" s="5">
        <v>5554</v>
      </c>
      <c r="B5558" s="5">
        <v>232</v>
      </c>
      <c r="C5558" s="5">
        <v>8</v>
      </c>
      <c r="D5558" s="379">
        <v>108.03111111111112</v>
      </c>
      <c r="E5558" s="25">
        <v>25.74</v>
      </c>
      <c r="F5558" s="379">
        <v>8.0483003868654848</v>
      </c>
      <c r="G5558" s="25">
        <v>47.85</v>
      </c>
      <c r="H5558" s="379">
        <v>7.6898134029993885</v>
      </c>
      <c r="I5558" s="25">
        <v>51.72</v>
      </c>
      <c r="J5558" s="379">
        <v>6.0752956119647594</v>
      </c>
    </row>
    <row r="5559" spans="1:10" x14ac:dyDescent="0.35">
      <c r="A5559" s="5">
        <v>5555</v>
      </c>
      <c r="B5559" s="5">
        <v>232</v>
      </c>
      <c r="C5559" s="5">
        <v>8</v>
      </c>
      <c r="D5559" s="379">
        <v>102.90166666666667</v>
      </c>
      <c r="E5559" s="25">
        <v>25.59</v>
      </c>
      <c r="F5559" s="379">
        <v>7.9447926314525876</v>
      </c>
      <c r="G5559" s="25">
        <v>46.98</v>
      </c>
      <c r="H5559" s="379">
        <v>7.5994382695806815</v>
      </c>
      <c r="I5559" s="25">
        <v>48.86</v>
      </c>
      <c r="J5559" s="379">
        <v>5.5507060125159908</v>
      </c>
    </row>
    <row r="5560" spans="1:10" x14ac:dyDescent="0.35">
      <c r="A5560" s="5">
        <v>5556</v>
      </c>
      <c r="B5560" s="5">
        <v>232</v>
      </c>
      <c r="C5560" s="5">
        <v>8</v>
      </c>
      <c r="D5560" s="379">
        <v>98.551666666666648</v>
      </c>
      <c r="E5560" s="25">
        <v>24.99</v>
      </c>
      <c r="F5560" s="379">
        <v>5.204875348895027</v>
      </c>
      <c r="G5560" s="25">
        <v>43.56</v>
      </c>
      <c r="H5560" s="379">
        <v>7.5256486081278942</v>
      </c>
      <c r="I5560" s="25">
        <v>47.78</v>
      </c>
      <c r="J5560" s="379">
        <v>5.5507060125159908</v>
      </c>
    </row>
    <row r="5561" spans="1:10" x14ac:dyDescent="0.35">
      <c r="A5561" s="5">
        <v>5557</v>
      </c>
      <c r="B5561" s="5">
        <v>232</v>
      </c>
      <c r="C5561" s="5">
        <v>8</v>
      </c>
      <c r="D5561" s="379">
        <v>85.922777777777782</v>
      </c>
      <c r="E5561" s="25">
        <v>24.84</v>
      </c>
      <c r="F5561" s="379">
        <v>5.204875348895027</v>
      </c>
      <c r="G5561" s="25">
        <v>43.56</v>
      </c>
      <c r="H5561" s="379">
        <v>8.1174834595959595</v>
      </c>
      <c r="I5561" s="25">
        <v>47.16</v>
      </c>
      <c r="J5561" s="379">
        <v>5.5098197141133536</v>
      </c>
    </row>
    <row r="5562" spans="1:10" x14ac:dyDescent="0.35">
      <c r="A5562" s="5">
        <v>5558</v>
      </c>
      <c r="B5562" s="5">
        <v>232</v>
      </c>
      <c r="C5562" s="5">
        <v>8</v>
      </c>
      <c r="D5562" s="379">
        <v>83.687777777777768</v>
      </c>
      <c r="E5562" s="25">
        <v>24.84</v>
      </c>
      <c r="F5562" s="379">
        <v>5.204875348895027</v>
      </c>
      <c r="G5562" s="25">
        <v>43.56</v>
      </c>
      <c r="H5562" s="379">
        <v>7.5256486081278942</v>
      </c>
      <c r="I5562" s="25">
        <v>46.68</v>
      </c>
      <c r="J5562" s="379">
        <v>5.5048685963402688</v>
      </c>
    </row>
    <row r="5563" spans="1:10" x14ac:dyDescent="0.35">
      <c r="A5563" s="5">
        <v>5559</v>
      </c>
      <c r="B5563" s="5">
        <v>232</v>
      </c>
      <c r="C5563" s="5">
        <v>8</v>
      </c>
      <c r="D5563" s="379">
        <v>84.819444444444443</v>
      </c>
      <c r="E5563" s="25">
        <v>24.84</v>
      </c>
      <c r="F5563" s="379">
        <v>0.47222222222222221</v>
      </c>
      <c r="G5563" s="25">
        <v>43.56</v>
      </c>
      <c r="H5563" s="379">
        <v>7.5256486081278942</v>
      </c>
      <c r="I5563" s="25">
        <v>46.68</v>
      </c>
      <c r="J5563" s="379">
        <v>5.7421791088390224</v>
      </c>
    </row>
    <row r="5564" spans="1:10" x14ac:dyDescent="0.35">
      <c r="A5564" s="5">
        <v>5560</v>
      </c>
      <c r="B5564" s="5">
        <v>232</v>
      </c>
      <c r="C5564" s="5">
        <v>8</v>
      </c>
      <c r="D5564" s="379">
        <v>87.98055555555554</v>
      </c>
      <c r="E5564" s="25">
        <v>24.84</v>
      </c>
      <c r="F5564" s="379">
        <v>8.1174834595959595</v>
      </c>
      <c r="G5564" s="25">
        <v>43.56</v>
      </c>
      <c r="H5564" s="379">
        <v>6.5420709117604154</v>
      </c>
      <c r="I5564" s="25">
        <v>47.16</v>
      </c>
      <c r="J5564" s="379">
        <v>0.27777777777777779</v>
      </c>
    </row>
    <row r="5565" spans="1:10" x14ac:dyDescent="0.35">
      <c r="A5565" s="5">
        <v>5561</v>
      </c>
      <c r="B5565" s="5">
        <v>232</v>
      </c>
      <c r="C5565" s="5">
        <v>8</v>
      </c>
      <c r="D5565" s="379">
        <v>98.911111111111126</v>
      </c>
      <c r="E5565" s="25">
        <v>25.59</v>
      </c>
      <c r="F5565" s="379">
        <v>10.210973457754745</v>
      </c>
      <c r="G5565" s="25">
        <v>47.85</v>
      </c>
      <c r="H5565" s="379">
        <v>9.8419722454888774</v>
      </c>
      <c r="I5565" s="25">
        <v>48.26</v>
      </c>
      <c r="J5565" s="379">
        <v>6.5062492041363793</v>
      </c>
    </row>
    <row r="5566" spans="1:10" x14ac:dyDescent="0.35">
      <c r="A5566" s="5">
        <v>5562</v>
      </c>
      <c r="B5566" s="5">
        <v>232</v>
      </c>
      <c r="C5566" s="5">
        <v>8</v>
      </c>
      <c r="D5566" s="379">
        <v>113.87166666666666</v>
      </c>
      <c r="E5566" s="25">
        <v>25.59</v>
      </c>
      <c r="F5566" s="379">
        <v>16.603812310963267</v>
      </c>
      <c r="G5566" s="25">
        <v>47.85</v>
      </c>
      <c r="H5566" s="379">
        <v>9.2548285947073659</v>
      </c>
      <c r="I5566" s="25">
        <v>53.27</v>
      </c>
      <c r="J5566" s="379">
        <v>6.5069975012654959</v>
      </c>
    </row>
    <row r="5567" spans="1:10" x14ac:dyDescent="0.35">
      <c r="A5567" s="5">
        <v>5563</v>
      </c>
      <c r="B5567" s="5">
        <v>232</v>
      </c>
      <c r="C5567" s="5">
        <v>8</v>
      </c>
      <c r="D5567" s="379">
        <v>124.16222222222223</v>
      </c>
      <c r="E5567" s="25">
        <v>25.59</v>
      </c>
      <c r="F5567" s="379">
        <v>16.538523624650779</v>
      </c>
      <c r="G5567" s="25">
        <v>47.85</v>
      </c>
      <c r="H5567" s="379">
        <v>10.339341465145145</v>
      </c>
      <c r="I5567" s="25">
        <v>53.71</v>
      </c>
      <c r="J5567" s="379">
        <v>6.4286470525147692</v>
      </c>
    </row>
    <row r="5568" spans="1:10" x14ac:dyDescent="0.35">
      <c r="A5568" s="5">
        <v>5564</v>
      </c>
      <c r="B5568" s="5">
        <v>232</v>
      </c>
      <c r="C5568" s="5">
        <v>8</v>
      </c>
      <c r="D5568" s="379">
        <v>120.73111111111109</v>
      </c>
      <c r="E5568" s="25">
        <v>25.59</v>
      </c>
      <c r="F5568" s="379">
        <v>16.81831132567271</v>
      </c>
      <c r="G5568" s="25">
        <v>47.85</v>
      </c>
      <c r="H5568" s="379">
        <v>10.540409516193943</v>
      </c>
      <c r="I5568" s="25">
        <v>53.71</v>
      </c>
      <c r="J5568" s="379">
        <v>5.3802910992007371</v>
      </c>
    </row>
    <row r="5569" spans="1:10" x14ac:dyDescent="0.35">
      <c r="A5569" s="5">
        <v>5565</v>
      </c>
      <c r="B5569" s="5">
        <v>232</v>
      </c>
      <c r="C5569" s="5">
        <v>8</v>
      </c>
      <c r="D5569" s="379">
        <v>120.35333333333334</v>
      </c>
      <c r="E5569" s="25">
        <v>25.59</v>
      </c>
      <c r="F5569" s="379">
        <v>16.194690739571517</v>
      </c>
      <c r="G5569" s="25">
        <v>47.85</v>
      </c>
      <c r="H5569" s="379">
        <v>8.4040249759797412</v>
      </c>
      <c r="I5569" s="25">
        <v>53.71</v>
      </c>
      <c r="J5569" s="379">
        <v>7.097650099560707</v>
      </c>
    </row>
    <row r="5570" spans="1:10" x14ac:dyDescent="0.35">
      <c r="A5570" s="5">
        <v>5566</v>
      </c>
      <c r="B5570" s="5">
        <v>232</v>
      </c>
      <c r="C5570" s="5">
        <v>8</v>
      </c>
      <c r="D5570" s="379">
        <v>111.49055555555556</v>
      </c>
      <c r="E5570" s="25">
        <v>25.29</v>
      </c>
      <c r="F5570" s="379">
        <v>16.127116416899565</v>
      </c>
      <c r="G5570" s="25">
        <v>44.86</v>
      </c>
      <c r="H5570" s="379">
        <v>7.322595681655474</v>
      </c>
      <c r="I5570" s="25">
        <v>53.27</v>
      </c>
      <c r="J5570" s="379">
        <v>6.6714867239816291</v>
      </c>
    </row>
    <row r="5571" spans="1:10" x14ac:dyDescent="0.35">
      <c r="A5571" s="5">
        <v>5567</v>
      </c>
      <c r="B5571" s="5">
        <v>232</v>
      </c>
      <c r="C5571" s="5">
        <v>8</v>
      </c>
      <c r="D5571" s="379">
        <v>104.15722222222222</v>
      </c>
      <c r="E5571" s="25">
        <v>24.99</v>
      </c>
      <c r="F5571" s="379">
        <v>15.805822782806301</v>
      </c>
      <c r="G5571" s="25">
        <v>44.41</v>
      </c>
      <c r="H5571" s="379">
        <v>8.1842179517131424</v>
      </c>
      <c r="I5571" s="25">
        <v>52.55</v>
      </c>
      <c r="J5571" s="379">
        <v>6.1590323209551414</v>
      </c>
    </row>
    <row r="5572" spans="1:10" x14ac:dyDescent="0.35">
      <c r="A5572" s="5">
        <v>5568</v>
      </c>
      <c r="B5572" s="5">
        <v>232</v>
      </c>
      <c r="C5572" s="5">
        <v>8</v>
      </c>
      <c r="D5572" s="379">
        <v>102.20666666666666</v>
      </c>
      <c r="E5572" s="25">
        <v>24.84</v>
      </c>
      <c r="F5572" s="379">
        <v>16.35189721898411</v>
      </c>
      <c r="G5572" s="25">
        <v>43.56</v>
      </c>
      <c r="H5572" s="379">
        <v>8.0342382929949743</v>
      </c>
      <c r="I5572" s="25">
        <v>51.02</v>
      </c>
      <c r="J5572" s="379">
        <v>6.6616106883576034</v>
      </c>
    </row>
    <row r="5573" spans="1:10" x14ac:dyDescent="0.35">
      <c r="A5573" s="5">
        <v>5569</v>
      </c>
      <c r="B5573" s="5">
        <v>233</v>
      </c>
      <c r="C5573" s="5">
        <v>8</v>
      </c>
      <c r="D5573" s="379">
        <v>92.992777777777775</v>
      </c>
      <c r="E5573" s="25">
        <v>24.84</v>
      </c>
      <c r="F5573" s="379">
        <v>14.962444427174933</v>
      </c>
      <c r="G5573" s="25">
        <v>42.29</v>
      </c>
      <c r="H5573" s="379">
        <v>7.4117374928979736</v>
      </c>
      <c r="I5573" s="25">
        <v>48.86</v>
      </c>
      <c r="J5573" s="379">
        <v>6.6820277019729568</v>
      </c>
    </row>
    <row r="5574" spans="1:10" x14ac:dyDescent="0.35">
      <c r="A5574" s="5">
        <v>5570</v>
      </c>
      <c r="B5574" s="5">
        <v>233</v>
      </c>
      <c r="C5574" s="5">
        <v>8</v>
      </c>
      <c r="D5574" s="379">
        <v>90.914999999999992</v>
      </c>
      <c r="E5574" s="25">
        <v>24.84</v>
      </c>
      <c r="F5574" s="379">
        <v>13.680973270566026</v>
      </c>
      <c r="G5574" s="25">
        <v>38.61</v>
      </c>
      <c r="H5574" s="379">
        <v>8.252692664807098</v>
      </c>
      <c r="I5574" s="25">
        <v>48.86</v>
      </c>
      <c r="J5574" s="379">
        <v>6.4470008073358107</v>
      </c>
    </row>
    <row r="5575" spans="1:10" x14ac:dyDescent="0.35">
      <c r="A5575" s="5">
        <v>5571</v>
      </c>
      <c r="B5575" s="5">
        <v>233</v>
      </c>
      <c r="C5575" s="5">
        <v>8</v>
      </c>
      <c r="D5575" s="379">
        <v>85.478333333333325</v>
      </c>
      <c r="E5575" s="25">
        <v>24.84</v>
      </c>
      <c r="F5575" s="379">
        <v>13.865266904270861</v>
      </c>
      <c r="G5575" s="25">
        <v>38.61</v>
      </c>
      <c r="H5575" s="379">
        <v>9.305998448512284</v>
      </c>
      <c r="I5575" s="25">
        <v>47.44</v>
      </c>
      <c r="J5575" s="379">
        <v>6.3948627043894168</v>
      </c>
    </row>
    <row r="5576" spans="1:10" x14ac:dyDescent="0.35">
      <c r="A5576" s="5">
        <v>5572</v>
      </c>
      <c r="B5576" s="5">
        <v>233</v>
      </c>
      <c r="C5576" s="5">
        <v>8</v>
      </c>
      <c r="D5576" s="379">
        <v>81.620555555555555</v>
      </c>
      <c r="E5576" s="25">
        <v>24.84</v>
      </c>
      <c r="F5576" s="379">
        <v>13.725253134218335</v>
      </c>
      <c r="G5576" s="25">
        <v>38.61</v>
      </c>
      <c r="H5576" s="379">
        <v>8.9760543654172267</v>
      </c>
      <c r="I5576" s="25">
        <v>47.44</v>
      </c>
      <c r="J5576" s="379">
        <v>6.6409854080964692</v>
      </c>
    </row>
    <row r="5577" spans="1:10" x14ac:dyDescent="0.35">
      <c r="A5577" s="5">
        <v>5573</v>
      </c>
      <c r="B5577" s="5">
        <v>233</v>
      </c>
      <c r="C5577" s="5">
        <v>8</v>
      </c>
      <c r="D5577" s="379">
        <v>81.962222222222223</v>
      </c>
      <c r="E5577" s="25">
        <v>24.84</v>
      </c>
      <c r="F5577" s="379">
        <v>13.782971900733965</v>
      </c>
      <c r="G5577" s="25">
        <v>39</v>
      </c>
      <c r="H5577" s="379">
        <v>7.8564257408813534</v>
      </c>
      <c r="I5577" s="25">
        <v>47.44</v>
      </c>
      <c r="J5577" s="379">
        <v>7.0394872034055345</v>
      </c>
    </row>
    <row r="5578" spans="1:10" x14ac:dyDescent="0.35">
      <c r="A5578" s="5">
        <v>5574</v>
      </c>
      <c r="B5578" s="5">
        <v>233</v>
      </c>
      <c r="C5578" s="5">
        <v>8</v>
      </c>
      <c r="D5578" s="379">
        <v>89.183888888888887</v>
      </c>
      <c r="E5578" s="25">
        <v>24.84</v>
      </c>
      <c r="F5578" s="379">
        <v>15.263707962603263</v>
      </c>
      <c r="G5578" s="25">
        <v>42.29</v>
      </c>
      <c r="H5578" s="379">
        <v>7.1089263326877061</v>
      </c>
      <c r="I5578" s="25">
        <v>47.44</v>
      </c>
      <c r="J5578" s="379">
        <v>6.8113486097250542</v>
      </c>
    </row>
    <row r="5579" spans="1:10" x14ac:dyDescent="0.35">
      <c r="A5579" s="5">
        <v>5575</v>
      </c>
      <c r="B5579" s="5">
        <v>233</v>
      </c>
      <c r="C5579" s="5">
        <v>8</v>
      </c>
      <c r="D5579" s="379">
        <v>87.058333333333323</v>
      </c>
      <c r="E5579" s="25">
        <v>24.84</v>
      </c>
      <c r="F5579" s="379">
        <v>12.521772509952246</v>
      </c>
      <c r="G5579" s="25">
        <v>42.29</v>
      </c>
      <c r="H5579" s="379">
        <v>8.0139367359389144</v>
      </c>
      <c r="I5579" s="25">
        <v>49.53</v>
      </c>
      <c r="J5579" s="379">
        <v>5.5530526947991747</v>
      </c>
    </row>
    <row r="5580" spans="1:10" x14ac:dyDescent="0.35">
      <c r="A5580" s="5">
        <v>5576</v>
      </c>
      <c r="B5580" s="5">
        <v>233</v>
      </c>
      <c r="C5580" s="5">
        <v>8</v>
      </c>
      <c r="D5580" s="379">
        <v>85.23833333333333</v>
      </c>
      <c r="E5580" s="25">
        <v>24.84</v>
      </c>
      <c r="F5580" s="379">
        <v>8.3422660490987859</v>
      </c>
      <c r="G5580" s="25">
        <v>42.29</v>
      </c>
      <c r="H5580" s="379">
        <v>7.3200565042152892</v>
      </c>
      <c r="I5580" s="25">
        <v>49.53</v>
      </c>
      <c r="J5580" s="379">
        <v>6.556590780894429</v>
      </c>
    </row>
    <row r="5581" spans="1:10" x14ac:dyDescent="0.35">
      <c r="A5581" s="5">
        <v>5577</v>
      </c>
      <c r="B5581" s="5">
        <v>233</v>
      </c>
      <c r="C5581" s="5">
        <v>8</v>
      </c>
      <c r="D5581" s="379">
        <v>82.036111111111126</v>
      </c>
      <c r="E5581" s="25">
        <v>24.84</v>
      </c>
      <c r="F5581" s="379">
        <v>8.1174834595959595</v>
      </c>
      <c r="G5581" s="25">
        <v>42.29</v>
      </c>
      <c r="H5581" s="379">
        <v>7.6189840979080543</v>
      </c>
      <c r="I5581" s="25">
        <v>47.92</v>
      </c>
      <c r="J5581" s="379">
        <v>6.0559675946304674</v>
      </c>
    </row>
    <row r="5582" spans="1:10" x14ac:dyDescent="0.35">
      <c r="A5582" s="5">
        <v>5578</v>
      </c>
      <c r="B5582" s="5">
        <v>233</v>
      </c>
      <c r="C5582" s="5">
        <v>8</v>
      </c>
      <c r="D5582" s="379">
        <v>72.420555555555552</v>
      </c>
      <c r="E5582" s="25">
        <v>24.84</v>
      </c>
      <c r="F5582" s="379">
        <v>5.3731325606651721</v>
      </c>
      <c r="G5582" s="25">
        <v>42.29</v>
      </c>
      <c r="H5582" s="379">
        <v>4.3378703724953365</v>
      </c>
      <c r="I5582" s="25">
        <v>36.049999999999997</v>
      </c>
      <c r="J5582" s="379">
        <v>2.1636241437919868</v>
      </c>
    </row>
    <row r="5583" spans="1:10" x14ac:dyDescent="0.35">
      <c r="A5583" s="5">
        <v>5579</v>
      </c>
      <c r="B5583" s="5">
        <v>233</v>
      </c>
      <c r="C5583" s="5">
        <v>8</v>
      </c>
      <c r="D5583" s="379">
        <v>61.712222222222216</v>
      </c>
      <c r="E5583" s="25">
        <v>24.84</v>
      </c>
      <c r="F5583" s="379">
        <v>5.0387203218315237</v>
      </c>
      <c r="G5583" s="25">
        <v>35.94</v>
      </c>
      <c r="H5583" s="379">
        <v>3.681390652985383</v>
      </c>
      <c r="I5583" s="25">
        <v>35.72</v>
      </c>
      <c r="J5583" s="379">
        <v>2.1124616616229521</v>
      </c>
    </row>
    <row r="5584" spans="1:10" x14ac:dyDescent="0.35">
      <c r="A5584" s="5">
        <v>5580</v>
      </c>
      <c r="B5584" s="5">
        <v>233</v>
      </c>
      <c r="C5584" s="5">
        <v>8</v>
      </c>
      <c r="D5584" s="379">
        <v>55.662777777777777</v>
      </c>
      <c r="E5584" s="25">
        <v>24.56</v>
      </c>
      <c r="F5584" s="379">
        <v>5.0387203218315237</v>
      </c>
      <c r="G5584" s="25">
        <v>35.94</v>
      </c>
      <c r="H5584" s="379">
        <v>3.681390652985383</v>
      </c>
      <c r="I5584" s="25">
        <v>35.72</v>
      </c>
      <c r="J5584" s="379">
        <v>1.6290110789364032</v>
      </c>
    </row>
    <row r="5585" spans="1:10" x14ac:dyDescent="0.35">
      <c r="A5585" s="5">
        <v>5581</v>
      </c>
      <c r="B5585" s="5">
        <v>233</v>
      </c>
      <c r="C5585" s="5">
        <v>8</v>
      </c>
      <c r="D5585" s="379">
        <v>47.126666666666665</v>
      </c>
      <c r="E5585" s="25">
        <v>23.84</v>
      </c>
      <c r="F5585" s="379">
        <v>4.8656797749262966</v>
      </c>
      <c r="G5585" s="25">
        <v>35.94</v>
      </c>
      <c r="H5585" s="379">
        <v>0.34821049995188774</v>
      </c>
      <c r="I5585" s="25">
        <v>35.72</v>
      </c>
      <c r="J5585" s="379">
        <v>0.43961318227506957</v>
      </c>
    </row>
    <row r="5586" spans="1:10" x14ac:dyDescent="0.35">
      <c r="A5586" s="5">
        <v>5582</v>
      </c>
      <c r="B5586" s="5">
        <v>233</v>
      </c>
      <c r="C5586" s="5">
        <v>8</v>
      </c>
      <c r="D5586" s="379">
        <v>50.035555555555561</v>
      </c>
      <c r="E5586" s="25">
        <v>23.84</v>
      </c>
      <c r="F5586" s="379">
        <v>4.8656797749262966</v>
      </c>
      <c r="G5586" s="25">
        <v>35.94</v>
      </c>
      <c r="H5586" s="379">
        <v>3.6618448246580106</v>
      </c>
      <c r="I5586" s="25">
        <v>35.72</v>
      </c>
      <c r="J5586" s="379">
        <v>1.6290110789364032</v>
      </c>
    </row>
    <row r="5587" spans="1:10" x14ac:dyDescent="0.35">
      <c r="A5587" s="5">
        <v>5583</v>
      </c>
      <c r="B5587" s="5">
        <v>233</v>
      </c>
      <c r="C5587" s="5">
        <v>8</v>
      </c>
      <c r="D5587" s="379">
        <v>71.446111111111108</v>
      </c>
      <c r="E5587" s="25">
        <v>23.84</v>
      </c>
      <c r="F5587" s="379">
        <v>4.9082650308526086</v>
      </c>
      <c r="G5587" s="25">
        <v>35.94</v>
      </c>
      <c r="H5587" s="379">
        <v>1.0111172902874759</v>
      </c>
      <c r="I5587" s="25">
        <v>35.72</v>
      </c>
      <c r="J5587" s="379">
        <v>1.6290110789364032</v>
      </c>
    </row>
    <row r="5588" spans="1:10" x14ac:dyDescent="0.35">
      <c r="A5588" s="5">
        <v>5584</v>
      </c>
      <c r="B5588" s="5">
        <v>233</v>
      </c>
      <c r="C5588" s="5">
        <v>8</v>
      </c>
      <c r="D5588" s="379">
        <v>89.32</v>
      </c>
      <c r="E5588" s="25">
        <v>24.56</v>
      </c>
      <c r="F5588" s="379">
        <v>0.47222222222222215</v>
      </c>
      <c r="G5588" s="25">
        <v>35.94</v>
      </c>
      <c r="H5588" s="379">
        <v>0.10243186834219666</v>
      </c>
      <c r="I5588" s="25">
        <v>35.72</v>
      </c>
      <c r="J5588" s="379">
        <v>1.6290110789364032</v>
      </c>
    </row>
    <row r="5589" spans="1:10" x14ac:dyDescent="0.35">
      <c r="A5589" s="5">
        <v>5585</v>
      </c>
      <c r="B5589" s="5">
        <v>233</v>
      </c>
      <c r="C5589" s="5">
        <v>8</v>
      </c>
      <c r="D5589" s="379">
        <v>113.39277777777779</v>
      </c>
      <c r="E5589" s="25">
        <v>24.84</v>
      </c>
      <c r="F5589" s="379">
        <v>8.1174834595959577</v>
      </c>
      <c r="G5589" s="25">
        <v>35.94</v>
      </c>
      <c r="H5589" s="379">
        <v>7.0955108207413797</v>
      </c>
      <c r="I5589" s="25">
        <v>35.72</v>
      </c>
      <c r="J5589" s="379">
        <v>0.27777777777777779</v>
      </c>
    </row>
    <row r="5590" spans="1:10" x14ac:dyDescent="0.35">
      <c r="A5590" s="5">
        <v>5586</v>
      </c>
      <c r="B5590" s="5">
        <v>233</v>
      </c>
      <c r="C5590" s="5">
        <v>8</v>
      </c>
      <c r="D5590" s="379">
        <v>125.4211111111111</v>
      </c>
      <c r="E5590" s="25">
        <v>24.84</v>
      </c>
      <c r="F5590" s="379">
        <v>10.311757423863503</v>
      </c>
      <c r="G5590" s="25">
        <v>42.29</v>
      </c>
      <c r="H5590" s="379">
        <v>8.7816134755918096</v>
      </c>
      <c r="I5590" s="25">
        <v>47.03</v>
      </c>
      <c r="J5590" s="379">
        <v>7.035868321358679</v>
      </c>
    </row>
    <row r="5591" spans="1:10" x14ac:dyDescent="0.35">
      <c r="A5591" s="5">
        <v>5587</v>
      </c>
      <c r="B5591" s="5">
        <v>233</v>
      </c>
      <c r="C5591" s="5">
        <v>8</v>
      </c>
      <c r="D5591" s="379">
        <v>138.31333333333333</v>
      </c>
      <c r="E5591" s="25">
        <v>24.84</v>
      </c>
      <c r="F5591" s="379">
        <v>15.840994513459943</v>
      </c>
      <c r="G5591" s="25">
        <v>42.29</v>
      </c>
      <c r="H5591" s="379">
        <v>9.6003146813607163</v>
      </c>
      <c r="I5591" s="25">
        <v>50.7</v>
      </c>
      <c r="J5591" s="379">
        <v>7.0852781500735178</v>
      </c>
    </row>
    <row r="5592" spans="1:10" x14ac:dyDescent="0.35">
      <c r="A5592" s="5">
        <v>5588</v>
      </c>
      <c r="B5592" s="5">
        <v>233</v>
      </c>
      <c r="C5592" s="5">
        <v>8</v>
      </c>
      <c r="D5592" s="379">
        <v>138.88888888888889</v>
      </c>
      <c r="E5592" s="25">
        <v>24.84</v>
      </c>
      <c r="F5592" s="379">
        <v>16.892630280864541</v>
      </c>
      <c r="G5592" s="25">
        <v>42.29</v>
      </c>
      <c r="H5592" s="379">
        <v>9.5544492013978548</v>
      </c>
      <c r="I5592" s="25">
        <v>53.71</v>
      </c>
      <c r="J5592" s="379">
        <v>6.987601014736712</v>
      </c>
    </row>
    <row r="5593" spans="1:10" x14ac:dyDescent="0.35">
      <c r="A5593" s="5">
        <v>5589</v>
      </c>
      <c r="B5593" s="5">
        <v>233</v>
      </c>
      <c r="C5593" s="5">
        <v>8</v>
      </c>
      <c r="D5593" s="379">
        <v>138.88888888888889</v>
      </c>
      <c r="E5593" s="25">
        <v>24.84</v>
      </c>
      <c r="F5593" s="379">
        <v>12.121656953819684</v>
      </c>
      <c r="G5593" s="25">
        <v>42.29</v>
      </c>
      <c r="H5593" s="379">
        <v>9.6858422745890298</v>
      </c>
      <c r="I5593" s="25">
        <v>53.71</v>
      </c>
      <c r="J5593" s="379">
        <v>6.5732014527124552</v>
      </c>
    </row>
    <row r="5594" spans="1:10" x14ac:dyDescent="0.35">
      <c r="A5594" s="5">
        <v>5590</v>
      </c>
      <c r="B5594" s="5">
        <v>233</v>
      </c>
      <c r="C5594" s="5">
        <v>8</v>
      </c>
      <c r="D5594" s="379">
        <v>138.88888888888889</v>
      </c>
      <c r="E5594" s="25">
        <v>24.84</v>
      </c>
      <c r="F5594" s="379">
        <v>10.625725531839096</v>
      </c>
      <c r="G5594" s="25">
        <v>42.29</v>
      </c>
      <c r="H5594" s="379">
        <v>9.4679801871471714</v>
      </c>
      <c r="I5594" s="25">
        <v>51.02</v>
      </c>
      <c r="J5594" s="379">
        <v>5.2072751987848047</v>
      </c>
    </row>
    <row r="5595" spans="1:10" x14ac:dyDescent="0.35">
      <c r="A5595" s="5">
        <v>5591</v>
      </c>
      <c r="B5595" s="5">
        <v>233</v>
      </c>
      <c r="C5595" s="5">
        <v>8</v>
      </c>
      <c r="D5595" s="379">
        <v>133.8138888888889</v>
      </c>
      <c r="E5595" s="25">
        <v>24.84</v>
      </c>
      <c r="F5595" s="379">
        <v>10.08657925027271</v>
      </c>
      <c r="G5595" s="25">
        <v>38.61</v>
      </c>
      <c r="H5595" s="379">
        <v>8.8299361732758559</v>
      </c>
      <c r="I5595" s="25">
        <v>49.36</v>
      </c>
      <c r="J5595" s="379">
        <v>4.4143581437565551</v>
      </c>
    </row>
    <row r="5596" spans="1:10" x14ac:dyDescent="0.35">
      <c r="A5596" s="5">
        <v>5592</v>
      </c>
      <c r="B5596" s="5">
        <v>233</v>
      </c>
      <c r="C5596" s="5">
        <v>8</v>
      </c>
      <c r="D5596" s="379">
        <v>121.39444444444447</v>
      </c>
      <c r="E5596" s="25">
        <v>24.84</v>
      </c>
      <c r="F5596" s="379">
        <v>8.5040237064232205</v>
      </c>
      <c r="G5596" s="25">
        <v>38.61</v>
      </c>
      <c r="H5596" s="379">
        <v>9.1180448249530155</v>
      </c>
      <c r="I5596" s="25">
        <v>47.44</v>
      </c>
      <c r="J5596" s="379">
        <v>6.2355153740631692</v>
      </c>
    </row>
    <row r="5597" spans="1:10" x14ac:dyDescent="0.35">
      <c r="A5597" s="5">
        <v>5593</v>
      </c>
      <c r="B5597" s="5">
        <v>234</v>
      </c>
      <c r="C5597" s="5">
        <v>8</v>
      </c>
      <c r="D5597" s="379">
        <v>119.53777777777776</v>
      </c>
      <c r="E5597" s="25">
        <v>24.84</v>
      </c>
      <c r="F5597" s="379">
        <v>8.4988128216700662</v>
      </c>
      <c r="G5597" s="25">
        <v>37.020000000000003</v>
      </c>
      <c r="H5597" s="379">
        <v>8.9903654889230911</v>
      </c>
      <c r="I5597" s="25">
        <v>37.159999999999997</v>
      </c>
      <c r="J5597" s="379">
        <v>6.4578165257595721</v>
      </c>
    </row>
    <row r="5598" spans="1:10" x14ac:dyDescent="0.35">
      <c r="A5598" s="5">
        <v>5594</v>
      </c>
      <c r="B5598" s="5">
        <v>234</v>
      </c>
      <c r="C5598" s="5">
        <v>8</v>
      </c>
      <c r="D5598" s="379">
        <v>117.43666666666668</v>
      </c>
      <c r="E5598" s="25">
        <v>24.84</v>
      </c>
      <c r="F5598" s="379">
        <v>8.533050786123173</v>
      </c>
      <c r="G5598" s="25">
        <v>30.93</v>
      </c>
      <c r="H5598" s="379">
        <v>9.4415817988324857</v>
      </c>
      <c r="I5598" s="25">
        <v>35.72</v>
      </c>
      <c r="J5598" s="379">
        <v>4.8063980108650117</v>
      </c>
    </row>
    <row r="5599" spans="1:10" x14ac:dyDescent="0.35">
      <c r="A5599" s="5">
        <v>5595</v>
      </c>
      <c r="B5599" s="5">
        <v>234</v>
      </c>
      <c r="C5599" s="5">
        <v>8</v>
      </c>
      <c r="D5599" s="379">
        <v>113.62333333333333</v>
      </c>
      <c r="E5599" s="25">
        <v>24.84</v>
      </c>
      <c r="F5599" s="379">
        <v>8.4947756221298807</v>
      </c>
      <c r="G5599" s="25">
        <v>30.93</v>
      </c>
      <c r="H5599" s="379">
        <v>9.4344028408668006</v>
      </c>
      <c r="I5599" s="25">
        <v>35.56</v>
      </c>
      <c r="J5599" s="379">
        <v>5.3706828867317027</v>
      </c>
    </row>
    <row r="5600" spans="1:10" x14ac:dyDescent="0.35">
      <c r="A5600" s="5">
        <v>5596</v>
      </c>
      <c r="B5600" s="5">
        <v>234</v>
      </c>
      <c r="C5600" s="5">
        <v>8</v>
      </c>
      <c r="D5600" s="379">
        <v>115.67944444444444</v>
      </c>
      <c r="E5600" s="25">
        <v>24.84</v>
      </c>
      <c r="F5600" s="379">
        <v>8.4348237386987979</v>
      </c>
      <c r="G5600" s="25">
        <v>30.93</v>
      </c>
      <c r="H5600" s="379">
        <v>9.386509920639627</v>
      </c>
      <c r="I5600" s="25">
        <v>35.56</v>
      </c>
      <c r="J5600" s="379">
        <v>5.8700179759685289</v>
      </c>
    </row>
    <row r="5601" spans="1:10" x14ac:dyDescent="0.35">
      <c r="A5601" s="5">
        <v>5597</v>
      </c>
      <c r="B5601" s="5">
        <v>234</v>
      </c>
      <c r="C5601" s="5">
        <v>8</v>
      </c>
      <c r="D5601" s="379">
        <v>128.86999999999998</v>
      </c>
      <c r="E5601" s="25">
        <v>24.84</v>
      </c>
      <c r="F5601" s="379">
        <v>8.5706588127096364</v>
      </c>
      <c r="G5601" s="25">
        <v>30.93</v>
      </c>
      <c r="H5601" s="379">
        <v>9.5678430014356763</v>
      </c>
      <c r="I5601" s="25">
        <v>35.56</v>
      </c>
      <c r="J5601" s="379">
        <v>6.0644919207106724</v>
      </c>
    </row>
    <row r="5602" spans="1:10" x14ac:dyDescent="0.35">
      <c r="A5602" s="5">
        <v>5598</v>
      </c>
      <c r="B5602" s="5">
        <v>234</v>
      </c>
      <c r="C5602" s="5">
        <v>8</v>
      </c>
      <c r="D5602" s="379">
        <v>138.88888888888889</v>
      </c>
      <c r="E5602" s="25">
        <v>24.84</v>
      </c>
      <c r="F5602" s="379">
        <v>9.0309459834041128</v>
      </c>
      <c r="G5602" s="25">
        <v>30.93</v>
      </c>
      <c r="H5602" s="379">
        <v>7.7636500968047999</v>
      </c>
      <c r="I5602" s="25">
        <v>35.72</v>
      </c>
      <c r="J5602" s="379">
        <v>4.0785402379124136</v>
      </c>
    </row>
    <row r="5603" spans="1:10" x14ac:dyDescent="0.35">
      <c r="A5603" s="5">
        <v>5599</v>
      </c>
      <c r="B5603" s="5">
        <v>234</v>
      </c>
      <c r="C5603" s="5">
        <v>8</v>
      </c>
      <c r="D5603" s="379">
        <v>138.88888888888889</v>
      </c>
      <c r="E5603" s="25">
        <v>24.84</v>
      </c>
      <c r="F5603" s="379">
        <v>9.0309459834041128</v>
      </c>
      <c r="G5603" s="25">
        <v>30.93</v>
      </c>
      <c r="H5603" s="379">
        <v>8.8988480008943949</v>
      </c>
      <c r="I5603" s="25">
        <v>35.72</v>
      </c>
      <c r="J5603" s="379">
        <v>5.0675344903522683</v>
      </c>
    </row>
    <row r="5604" spans="1:10" x14ac:dyDescent="0.35">
      <c r="A5604" s="5">
        <v>5600</v>
      </c>
      <c r="B5604" s="5">
        <v>234</v>
      </c>
      <c r="C5604" s="5">
        <v>8</v>
      </c>
      <c r="D5604" s="379">
        <v>138.88888888888889</v>
      </c>
      <c r="E5604" s="25">
        <v>24.84</v>
      </c>
      <c r="F5604" s="379">
        <v>9.1920965602410796</v>
      </c>
      <c r="G5604" s="25">
        <v>31.8</v>
      </c>
      <c r="H5604" s="379">
        <v>7.9192241470721401</v>
      </c>
      <c r="I5604" s="25">
        <v>35.56</v>
      </c>
      <c r="J5604" s="379">
        <v>6.7850565263718314</v>
      </c>
    </row>
    <row r="5605" spans="1:10" x14ac:dyDescent="0.35">
      <c r="A5605" s="5">
        <v>5601</v>
      </c>
      <c r="B5605" s="5">
        <v>234</v>
      </c>
      <c r="C5605" s="5">
        <v>8</v>
      </c>
      <c r="D5605" s="379">
        <v>138.88888888888889</v>
      </c>
      <c r="E5605" s="25">
        <v>24.84</v>
      </c>
      <c r="F5605" s="379">
        <v>8.1174834595959595</v>
      </c>
      <c r="G5605" s="25">
        <v>31.84</v>
      </c>
      <c r="H5605" s="379">
        <v>5.194572673099545</v>
      </c>
      <c r="I5605" s="25">
        <v>35.56</v>
      </c>
      <c r="J5605" s="379">
        <v>6.3239321810525233</v>
      </c>
    </row>
    <row r="5606" spans="1:10" x14ac:dyDescent="0.35">
      <c r="A5606" s="5">
        <v>5602</v>
      </c>
      <c r="B5606" s="5">
        <v>234</v>
      </c>
      <c r="C5606" s="5">
        <v>8</v>
      </c>
      <c r="D5606" s="379">
        <v>138.88888888888889</v>
      </c>
      <c r="E5606" s="25">
        <v>24.84</v>
      </c>
      <c r="F5606" s="379">
        <v>5.5402577248147562</v>
      </c>
      <c r="G5606" s="25">
        <v>31.84</v>
      </c>
      <c r="H5606" s="379">
        <v>4.7221365885006055</v>
      </c>
      <c r="I5606" s="25">
        <v>34.21</v>
      </c>
      <c r="J5606" s="379">
        <v>2.5182652360494462</v>
      </c>
    </row>
    <row r="5607" spans="1:10" x14ac:dyDescent="0.35">
      <c r="A5607" s="5">
        <v>5603</v>
      </c>
      <c r="B5607" s="5">
        <v>234</v>
      </c>
      <c r="C5607" s="5">
        <v>8</v>
      </c>
      <c r="D5607" s="379">
        <v>138.88888888888889</v>
      </c>
      <c r="E5607" s="25">
        <v>24.84</v>
      </c>
      <c r="F5607" s="379">
        <v>5.2083306482968252</v>
      </c>
      <c r="G5607" s="25">
        <v>31.24</v>
      </c>
      <c r="H5607" s="379">
        <v>4.6862533349049178</v>
      </c>
      <c r="I5607" s="25">
        <v>33.67</v>
      </c>
      <c r="J5607" s="379">
        <v>2.4888250357946724</v>
      </c>
    </row>
    <row r="5608" spans="1:10" x14ac:dyDescent="0.35">
      <c r="A5608" s="5">
        <v>5604</v>
      </c>
      <c r="B5608" s="5">
        <v>234</v>
      </c>
      <c r="C5608" s="5">
        <v>8</v>
      </c>
      <c r="D5608" s="379">
        <v>138.88888888888889</v>
      </c>
      <c r="E5608" s="25">
        <v>24</v>
      </c>
      <c r="F5608" s="379">
        <v>5.1335706888504884</v>
      </c>
      <c r="G5608" s="25">
        <v>31.11</v>
      </c>
      <c r="H5608" s="379">
        <v>4.5682940544720712</v>
      </c>
      <c r="I5608" s="25">
        <v>33.67</v>
      </c>
      <c r="J5608" s="379">
        <v>2.4261185269776888</v>
      </c>
    </row>
    <row r="5609" spans="1:10" x14ac:dyDescent="0.35">
      <c r="A5609" s="5">
        <v>5605</v>
      </c>
      <c r="B5609" s="5">
        <v>234</v>
      </c>
      <c r="C5609" s="5">
        <v>8</v>
      </c>
      <c r="D5609" s="379">
        <v>136.45166666666665</v>
      </c>
      <c r="E5609" s="25">
        <v>23.84</v>
      </c>
      <c r="F5609" s="379">
        <v>5.1018980668613034</v>
      </c>
      <c r="G5609" s="25">
        <v>30.62</v>
      </c>
      <c r="H5609" s="379">
        <v>4.5682940544720712</v>
      </c>
      <c r="I5609" s="25">
        <v>33.67</v>
      </c>
      <c r="J5609" s="379">
        <v>2.4261185269776888</v>
      </c>
    </row>
    <row r="5610" spans="1:10" x14ac:dyDescent="0.35">
      <c r="A5610" s="5">
        <v>5606</v>
      </c>
      <c r="B5610" s="5">
        <v>234</v>
      </c>
      <c r="C5610" s="5">
        <v>8</v>
      </c>
      <c r="D5610" s="379">
        <v>137.76166666666666</v>
      </c>
      <c r="E5610" s="25">
        <v>23.84</v>
      </c>
      <c r="F5610" s="379">
        <v>5.1018980668613034</v>
      </c>
      <c r="G5610" s="25">
        <v>30.57</v>
      </c>
      <c r="H5610" s="379">
        <v>4.4194844994033176</v>
      </c>
      <c r="I5610" s="25">
        <v>33.67</v>
      </c>
      <c r="J5610" s="379">
        <v>2.4261185269776888</v>
      </c>
    </row>
    <row r="5611" spans="1:10" x14ac:dyDescent="0.35">
      <c r="A5611" s="5">
        <v>5607</v>
      </c>
      <c r="B5611" s="5">
        <v>234</v>
      </c>
      <c r="C5611" s="5">
        <v>8</v>
      </c>
      <c r="D5611" s="379">
        <v>138.88888888888889</v>
      </c>
      <c r="E5611" s="25">
        <v>23.84</v>
      </c>
      <c r="F5611" s="379">
        <v>5.1018980668613034</v>
      </c>
      <c r="G5611" s="25">
        <v>30.57</v>
      </c>
      <c r="H5611" s="379">
        <v>4.4194844994033176</v>
      </c>
      <c r="I5611" s="25">
        <v>33.67</v>
      </c>
      <c r="J5611" s="379">
        <v>2.4261185269776888</v>
      </c>
    </row>
    <row r="5612" spans="1:10" x14ac:dyDescent="0.35">
      <c r="A5612" s="5">
        <v>5608</v>
      </c>
      <c r="B5612" s="5">
        <v>234</v>
      </c>
      <c r="C5612" s="5">
        <v>8</v>
      </c>
      <c r="D5612" s="379">
        <v>138.88888888888889</v>
      </c>
      <c r="E5612" s="25">
        <v>23.84</v>
      </c>
      <c r="F5612" s="379">
        <v>5.1018980668613034</v>
      </c>
      <c r="G5612" s="25">
        <v>30.62</v>
      </c>
      <c r="H5612" s="379">
        <v>4.492450044780635</v>
      </c>
      <c r="I5612" s="25">
        <v>33.67</v>
      </c>
      <c r="J5612" s="379">
        <v>2.43766255362564</v>
      </c>
    </row>
    <row r="5613" spans="1:10" x14ac:dyDescent="0.35">
      <c r="A5613" s="5">
        <v>5609</v>
      </c>
      <c r="B5613" s="5">
        <v>234</v>
      </c>
      <c r="C5613" s="5">
        <v>8</v>
      </c>
      <c r="D5613" s="379">
        <v>138.88888888888889</v>
      </c>
      <c r="E5613" s="25">
        <v>24</v>
      </c>
      <c r="F5613" s="379">
        <v>0.47222222222222221</v>
      </c>
      <c r="G5613" s="25">
        <v>30.91</v>
      </c>
      <c r="H5613" s="379">
        <v>4.6688376931118896</v>
      </c>
      <c r="I5613" s="25">
        <v>33.67</v>
      </c>
      <c r="J5613" s="379">
        <v>2.4671027538804138</v>
      </c>
    </row>
    <row r="5614" spans="1:10" x14ac:dyDescent="0.35">
      <c r="A5614" s="5">
        <v>5610</v>
      </c>
      <c r="B5614" s="5">
        <v>234</v>
      </c>
      <c r="C5614" s="5">
        <v>8</v>
      </c>
      <c r="D5614" s="379">
        <v>138.88888888888889</v>
      </c>
      <c r="E5614" s="25">
        <v>24.84</v>
      </c>
      <c r="F5614" s="379">
        <v>8.1174834595959613</v>
      </c>
      <c r="G5614" s="25">
        <v>31.84</v>
      </c>
      <c r="H5614" s="379">
        <v>0.14480167642852412</v>
      </c>
      <c r="I5614" s="25">
        <v>34.68</v>
      </c>
      <c r="J5614" s="379">
        <v>3.8943932803756596</v>
      </c>
    </row>
    <row r="5615" spans="1:10" x14ac:dyDescent="0.35">
      <c r="A5615" s="5">
        <v>5611</v>
      </c>
      <c r="B5615" s="5">
        <v>234</v>
      </c>
      <c r="C5615" s="5">
        <v>8</v>
      </c>
      <c r="D5615" s="379">
        <v>138.88888888888889</v>
      </c>
      <c r="E5615" s="25">
        <v>24.84</v>
      </c>
      <c r="F5615" s="379">
        <v>8.6202809366449831</v>
      </c>
      <c r="G5615" s="25">
        <v>32.04</v>
      </c>
      <c r="H5615" s="379">
        <v>0.14480167642852412</v>
      </c>
      <c r="I5615" s="25">
        <v>37.979999999999997</v>
      </c>
      <c r="J5615" s="379">
        <v>0.14480167642852412</v>
      </c>
    </row>
    <row r="5616" spans="1:10" x14ac:dyDescent="0.35">
      <c r="A5616" s="5">
        <v>5612</v>
      </c>
      <c r="B5616" s="5">
        <v>234</v>
      </c>
      <c r="C5616" s="5">
        <v>8</v>
      </c>
      <c r="D5616" s="379">
        <v>138.88888888888889</v>
      </c>
      <c r="E5616" s="25">
        <v>24.84</v>
      </c>
      <c r="F5616" s="379">
        <v>8.8435588929049516</v>
      </c>
      <c r="G5616" s="25">
        <v>36.39</v>
      </c>
      <c r="H5616" s="379">
        <v>0.14480167642852412</v>
      </c>
      <c r="I5616" s="25">
        <v>42.68</v>
      </c>
      <c r="J5616" s="379">
        <v>0.14480167642852412</v>
      </c>
    </row>
    <row r="5617" spans="1:10" x14ac:dyDescent="0.35">
      <c r="A5617" s="5">
        <v>5613</v>
      </c>
      <c r="B5617" s="5">
        <v>234</v>
      </c>
      <c r="C5617" s="5">
        <v>8</v>
      </c>
      <c r="D5617" s="379">
        <v>138.88888888888889</v>
      </c>
      <c r="E5617" s="25">
        <v>24.84</v>
      </c>
      <c r="F5617" s="379">
        <v>8.1174834595959595</v>
      </c>
      <c r="G5617" s="25">
        <v>36.020000000000003</v>
      </c>
      <c r="H5617" s="379">
        <v>0.14480167642852412</v>
      </c>
      <c r="I5617" s="25">
        <v>41.84</v>
      </c>
      <c r="J5617" s="379">
        <v>0.14480167642852412</v>
      </c>
    </row>
    <row r="5618" spans="1:10" x14ac:dyDescent="0.35">
      <c r="A5618" s="5">
        <v>5614</v>
      </c>
      <c r="B5618" s="5">
        <v>234</v>
      </c>
      <c r="C5618" s="5">
        <v>8</v>
      </c>
      <c r="D5618" s="379">
        <v>135.02277777777778</v>
      </c>
      <c r="E5618" s="25">
        <v>24.84</v>
      </c>
      <c r="F5618" s="379">
        <v>8.1174834595959577</v>
      </c>
      <c r="G5618" s="25">
        <v>36.020000000000003</v>
      </c>
      <c r="H5618" s="379">
        <v>0.14480167642852412</v>
      </c>
      <c r="I5618" s="25">
        <v>34.83</v>
      </c>
      <c r="J5618" s="379">
        <v>3.804503515017692</v>
      </c>
    </row>
    <row r="5619" spans="1:10" x14ac:dyDescent="0.35">
      <c r="A5619" s="5">
        <v>5615</v>
      </c>
      <c r="B5619" s="5">
        <v>234</v>
      </c>
      <c r="C5619" s="5">
        <v>8</v>
      </c>
      <c r="D5619" s="379">
        <v>126.98444444444442</v>
      </c>
      <c r="E5619" s="25">
        <v>24.84</v>
      </c>
      <c r="F5619" s="379">
        <v>8.1174834595959577</v>
      </c>
      <c r="G5619" s="25">
        <v>31.11</v>
      </c>
      <c r="H5619" s="379">
        <v>0.14480167642852412</v>
      </c>
      <c r="I5619" s="25">
        <v>33.67</v>
      </c>
      <c r="J5619" s="379">
        <v>3.5945346572176446</v>
      </c>
    </row>
    <row r="5620" spans="1:10" x14ac:dyDescent="0.35">
      <c r="A5620" s="5">
        <v>5616</v>
      </c>
      <c r="B5620" s="5">
        <v>234</v>
      </c>
      <c r="C5620" s="5">
        <v>8</v>
      </c>
      <c r="D5620" s="379">
        <v>125.99777777777777</v>
      </c>
      <c r="E5620" s="25">
        <v>24</v>
      </c>
      <c r="F5620" s="379">
        <v>7.3348672405140407</v>
      </c>
      <c r="G5620" s="25">
        <v>30.62</v>
      </c>
      <c r="H5620" s="379">
        <v>3.3159898530876415</v>
      </c>
      <c r="I5620" s="25">
        <v>33.67</v>
      </c>
      <c r="J5620" s="379">
        <v>0.28919104310061416</v>
      </c>
    </row>
    <row r="5621" spans="1:10" x14ac:dyDescent="0.35">
      <c r="A5621" s="5">
        <v>5617</v>
      </c>
      <c r="B5621" s="5">
        <v>235</v>
      </c>
      <c r="C5621" s="5">
        <v>8</v>
      </c>
      <c r="D5621" s="379">
        <v>117.11</v>
      </c>
      <c r="E5621" s="25">
        <v>23.41</v>
      </c>
      <c r="F5621" s="379">
        <v>7.3348672405140407</v>
      </c>
      <c r="G5621" s="25">
        <v>30.62</v>
      </c>
      <c r="H5621" s="379">
        <v>3.223896167707712</v>
      </c>
      <c r="I5621" s="25">
        <v>33.67</v>
      </c>
      <c r="J5621" s="379">
        <v>0.20469202946837387</v>
      </c>
    </row>
    <row r="5622" spans="1:10" x14ac:dyDescent="0.35">
      <c r="A5622" s="5">
        <v>5618</v>
      </c>
      <c r="B5622" s="5">
        <v>235</v>
      </c>
      <c r="C5622" s="5">
        <v>8</v>
      </c>
      <c r="D5622" s="379">
        <v>116.63944444444442</v>
      </c>
      <c r="E5622" s="25">
        <v>22.47</v>
      </c>
      <c r="F5622" s="379">
        <v>7.3348672405140398</v>
      </c>
      <c r="G5622" s="25">
        <v>30.57</v>
      </c>
      <c r="H5622" s="379">
        <v>3.2434419960350849</v>
      </c>
      <c r="I5622" s="25">
        <v>33.67</v>
      </c>
      <c r="J5622" s="379">
        <v>0.20469202946837387</v>
      </c>
    </row>
    <row r="5623" spans="1:10" x14ac:dyDescent="0.35">
      <c r="A5623" s="5">
        <v>5619</v>
      </c>
      <c r="B5623" s="5">
        <v>235</v>
      </c>
      <c r="C5623" s="5">
        <v>8</v>
      </c>
      <c r="D5623" s="379">
        <v>115.22222222222223</v>
      </c>
      <c r="E5623" s="25">
        <v>22.47</v>
      </c>
      <c r="F5623" s="379">
        <v>7.3348672405140407</v>
      </c>
      <c r="G5623" s="25">
        <v>30.57</v>
      </c>
      <c r="H5623" s="379">
        <v>3.2434419960350849</v>
      </c>
      <c r="I5623" s="25">
        <v>33.67</v>
      </c>
      <c r="J5623" s="379">
        <v>0.25801695171943861</v>
      </c>
    </row>
    <row r="5624" spans="1:10" x14ac:dyDescent="0.35">
      <c r="A5624" s="5">
        <v>5620</v>
      </c>
      <c r="B5624" s="5">
        <v>235</v>
      </c>
      <c r="C5624" s="5">
        <v>8</v>
      </c>
      <c r="D5624" s="379">
        <v>116.07333333333334</v>
      </c>
      <c r="E5624" s="25">
        <v>22.73</v>
      </c>
      <c r="F5624" s="379">
        <v>7.6190017913909163</v>
      </c>
      <c r="G5624" s="25">
        <v>30.57</v>
      </c>
      <c r="H5624" s="379">
        <v>0.14480167642852412</v>
      </c>
      <c r="I5624" s="25">
        <v>33.67</v>
      </c>
      <c r="J5624" s="379">
        <v>0.14480167642852412</v>
      </c>
    </row>
    <row r="5625" spans="1:10" x14ac:dyDescent="0.35">
      <c r="A5625" s="5">
        <v>5621</v>
      </c>
      <c r="B5625" s="5">
        <v>235</v>
      </c>
      <c r="C5625" s="5">
        <v>8</v>
      </c>
      <c r="D5625" s="379">
        <v>121.31944444444444</v>
      </c>
      <c r="E5625" s="25">
        <v>23.41</v>
      </c>
      <c r="F5625" s="379">
        <v>7.3348672405140407</v>
      </c>
      <c r="G5625" s="25">
        <v>30.62</v>
      </c>
      <c r="H5625" s="379">
        <v>0.14480167642852412</v>
      </c>
      <c r="I5625" s="25">
        <v>33.67</v>
      </c>
      <c r="J5625" s="379">
        <v>0.14480167642852412</v>
      </c>
    </row>
    <row r="5626" spans="1:10" x14ac:dyDescent="0.35">
      <c r="A5626" s="5">
        <v>5622</v>
      </c>
      <c r="B5626" s="5">
        <v>235</v>
      </c>
      <c r="C5626" s="5">
        <v>8</v>
      </c>
      <c r="D5626" s="379">
        <v>138.88888888888889</v>
      </c>
      <c r="E5626" s="25">
        <v>24.26</v>
      </c>
      <c r="F5626" s="379">
        <v>8.1174834595959595</v>
      </c>
      <c r="G5626" s="25">
        <v>30.93</v>
      </c>
      <c r="H5626" s="379">
        <v>0.14480167642852412</v>
      </c>
      <c r="I5626" s="25">
        <v>33.67</v>
      </c>
      <c r="J5626" s="379">
        <v>0.36458413548828555</v>
      </c>
    </row>
    <row r="5627" spans="1:10" x14ac:dyDescent="0.35">
      <c r="A5627" s="5">
        <v>5623</v>
      </c>
      <c r="B5627" s="5">
        <v>235</v>
      </c>
      <c r="C5627" s="5">
        <v>8</v>
      </c>
      <c r="D5627" s="379">
        <v>138.88888888888889</v>
      </c>
      <c r="E5627" s="25">
        <v>24.84</v>
      </c>
      <c r="F5627" s="379">
        <v>8.1174834595959595</v>
      </c>
      <c r="G5627" s="25">
        <v>31.11</v>
      </c>
      <c r="H5627" s="379">
        <v>3.3019315890105809</v>
      </c>
      <c r="I5627" s="25">
        <v>33.72</v>
      </c>
      <c r="J5627" s="379">
        <v>0.34053062031055942</v>
      </c>
    </row>
    <row r="5628" spans="1:10" x14ac:dyDescent="0.35">
      <c r="A5628" s="5">
        <v>5624</v>
      </c>
      <c r="B5628" s="5">
        <v>235</v>
      </c>
      <c r="C5628" s="5">
        <v>8</v>
      </c>
      <c r="D5628" s="379">
        <v>138.88888888888889</v>
      </c>
      <c r="E5628" s="25">
        <v>24.84</v>
      </c>
      <c r="F5628" s="379">
        <v>8.1174834595959577</v>
      </c>
      <c r="G5628" s="25">
        <v>33.159999999999997</v>
      </c>
      <c r="H5628" s="379">
        <v>3.2401454439811603</v>
      </c>
      <c r="I5628" s="25">
        <v>33.81</v>
      </c>
      <c r="J5628" s="379">
        <v>0.27433746704712897</v>
      </c>
    </row>
    <row r="5629" spans="1:10" x14ac:dyDescent="0.35">
      <c r="A5629" s="5">
        <v>5625</v>
      </c>
      <c r="B5629" s="5">
        <v>235</v>
      </c>
      <c r="C5629" s="5">
        <v>8</v>
      </c>
      <c r="D5629" s="379">
        <v>138.88888888888889</v>
      </c>
      <c r="E5629" s="25">
        <v>24.84</v>
      </c>
      <c r="F5629" s="379">
        <v>4.7923216281937044</v>
      </c>
      <c r="G5629" s="25">
        <v>36.6</v>
      </c>
      <c r="H5629" s="379">
        <v>3.1396018053413415</v>
      </c>
      <c r="I5629" s="25">
        <v>33.67</v>
      </c>
      <c r="J5629" s="379">
        <v>0.18211997271438723</v>
      </c>
    </row>
    <row r="5630" spans="1:10" x14ac:dyDescent="0.35">
      <c r="A5630" s="5">
        <v>5626</v>
      </c>
      <c r="B5630" s="5">
        <v>235</v>
      </c>
      <c r="C5630" s="5">
        <v>8</v>
      </c>
      <c r="D5630" s="379">
        <v>138.88888888888889</v>
      </c>
      <c r="E5630" s="25">
        <v>24.26</v>
      </c>
      <c r="F5630" s="379">
        <v>4.6230834852916995</v>
      </c>
      <c r="G5630" s="25">
        <v>35.96</v>
      </c>
      <c r="H5630" s="379">
        <v>3.0409283907082618</v>
      </c>
      <c r="I5630" s="25">
        <v>33.67</v>
      </c>
      <c r="J5630" s="379">
        <v>0.14113574581166219</v>
      </c>
    </row>
    <row r="5631" spans="1:10" x14ac:dyDescent="0.35">
      <c r="A5631" s="5">
        <v>5627</v>
      </c>
      <c r="B5631" s="5">
        <v>235</v>
      </c>
      <c r="C5631" s="5">
        <v>8</v>
      </c>
      <c r="D5631" s="379">
        <v>136.10611111111109</v>
      </c>
      <c r="E5631" s="25">
        <v>24.26</v>
      </c>
      <c r="F5631" s="379">
        <v>4.6226020249868691</v>
      </c>
      <c r="G5631" s="25">
        <v>33.42</v>
      </c>
      <c r="H5631" s="379">
        <v>2.5898431823911086</v>
      </c>
      <c r="I5631" s="25">
        <v>33.67</v>
      </c>
      <c r="J5631" s="379">
        <v>2.777777777777778E-2</v>
      </c>
    </row>
    <row r="5632" spans="1:10" x14ac:dyDescent="0.35">
      <c r="A5632" s="5">
        <v>5628</v>
      </c>
      <c r="B5632" s="5">
        <v>235</v>
      </c>
      <c r="C5632" s="5">
        <v>8</v>
      </c>
      <c r="D5632" s="379">
        <v>129.20055555555555</v>
      </c>
      <c r="E5632" s="25">
        <v>23.84</v>
      </c>
      <c r="F5632" s="379">
        <v>4.6226020249868691</v>
      </c>
      <c r="G5632" s="25">
        <v>30.93</v>
      </c>
      <c r="H5632" s="379">
        <v>2.5898431823911086</v>
      </c>
      <c r="I5632" s="25">
        <v>32.32</v>
      </c>
      <c r="J5632" s="379">
        <v>2.777777777777778E-2</v>
      </c>
    </row>
    <row r="5633" spans="1:10" x14ac:dyDescent="0.35">
      <c r="A5633" s="5">
        <v>5629</v>
      </c>
      <c r="B5633" s="5">
        <v>235</v>
      </c>
      <c r="C5633" s="5">
        <v>8</v>
      </c>
      <c r="D5633" s="379">
        <v>130.72666666666666</v>
      </c>
      <c r="E5633" s="25">
        <v>23.41</v>
      </c>
      <c r="F5633" s="379">
        <v>4.6226020249868691</v>
      </c>
      <c r="G5633" s="25">
        <v>30.93</v>
      </c>
      <c r="H5633" s="379">
        <v>2.7203076327817088</v>
      </c>
      <c r="I5633" s="25">
        <v>32.119999999999997</v>
      </c>
      <c r="J5633" s="379">
        <v>2.777777777777778E-2</v>
      </c>
    </row>
    <row r="5634" spans="1:10" x14ac:dyDescent="0.35">
      <c r="A5634" s="5">
        <v>5630</v>
      </c>
      <c r="B5634" s="5">
        <v>235</v>
      </c>
      <c r="C5634" s="5">
        <v>8</v>
      </c>
      <c r="D5634" s="379">
        <v>137.8422222222222</v>
      </c>
      <c r="E5634" s="25">
        <v>23.41</v>
      </c>
      <c r="F5634" s="379">
        <v>4.6226020249868691</v>
      </c>
      <c r="G5634" s="25">
        <v>30.93</v>
      </c>
      <c r="H5634" s="379">
        <v>2.7203076327817088</v>
      </c>
      <c r="I5634" s="25">
        <v>33.08</v>
      </c>
      <c r="J5634" s="379">
        <v>2.777777777777778E-2</v>
      </c>
    </row>
    <row r="5635" spans="1:10" x14ac:dyDescent="0.35">
      <c r="A5635" s="5">
        <v>5631</v>
      </c>
      <c r="B5635" s="5">
        <v>235</v>
      </c>
      <c r="C5635" s="5">
        <v>8</v>
      </c>
      <c r="D5635" s="379">
        <v>138.88888888888889</v>
      </c>
      <c r="E5635" s="25">
        <v>23.59</v>
      </c>
      <c r="F5635" s="379">
        <v>4.6226020249868691</v>
      </c>
      <c r="G5635" s="25">
        <v>30.93</v>
      </c>
      <c r="H5635" s="379">
        <v>2.7203076327817088</v>
      </c>
      <c r="I5635" s="25">
        <v>33.340000000000003</v>
      </c>
      <c r="J5635" s="379">
        <v>2.777777777777778E-2</v>
      </c>
    </row>
    <row r="5636" spans="1:10" x14ac:dyDescent="0.35">
      <c r="A5636" s="5">
        <v>5632</v>
      </c>
      <c r="B5636" s="5">
        <v>235</v>
      </c>
      <c r="C5636" s="5">
        <v>8</v>
      </c>
      <c r="D5636" s="379">
        <v>138.88888888888889</v>
      </c>
      <c r="E5636" s="25">
        <v>23.84</v>
      </c>
      <c r="F5636" s="379">
        <v>5.0217212752743734</v>
      </c>
      <c r="G5636" s="25">
        <v>31.86</v>
      </c>
      <c r="H5636" s="379">
        <v>2.8181620555283526</v>
      </c>
      <c r="I5636" s="25">
        <v>33.67</v>
      </c>
      <c r="J5636" s="379">
        <v>2.777777777777778E-2</v>
      </c>
    </row>
    <row r="5637" spans="1:10" x14ac:dyDescent="0.35">
      <c r="A5637" s="5">
        <v>5633</v>
      </c>
      <c r="B5637" s="5">
        <v>235</v>
      </c>
      <c r="C5637" s="5">
        <v>8</v>
      </c>
      <c r="D5637" s="379">
        <v>138.88888888888889</v>
      </c>
      <c r="E5637" s="25">
        <v>24.26</v>
      </c>
      <c r="F5637" s="379">
        <v>1.8186758437742192</v>
      </c>
      <c r="G5637" s="25">
        <v>32.79</v>
      </c>
      <c r="H5637" s="379">
        <v>3.9531196395253279E-2</v>
      </c>
      <c r="I5637" s="25">
        <v>33.67</v>
      </c>
      <c r="J5637" s="379">
        <v>2.777777777777778E-2</v>
      </c>
    </row>
    <row r="5638" spans="1:10" x14ac:dyDescent="0.35">
      <c r="A5638" s="5">
        <v>5634</v>
      </c>
      <c r="B5638" s="5">
        <v>235</v>
      </c>
      <c r="C5638" s="5">
        <v>8</v>
      </c>
      <c r="D5638" s="379">
        <v>138.88888888888889</v>
      </c>
      <c r="E5638" s="25">
        <v>24.84</v>
      </c>
      <c r="F5638" s="379">
        <v>8.1174834595959577</v>
      </c>
      <c r="G5638" s="25">
        <v>36.6</v>
      </c>
      <c r="H5638" s="379">
        <v>3.733976375324334</v>
      </c>
      <c r="I5638" s="25">
        <v>33.81</v>
      </c>
      <c r="J5638" s="379">
        <v>0.12555671137788962</v>
      </c>
    </row>
    <row r="5639" spans="1:10" x14ac:dyDescent="0.35">
      <c r="A5639" s="5">
        <v>5635</v>
      </c>
      <c r="B5639" s="5">
        <v>235</v>
      </c>
      <c r="C5639" s="5">
        <v>8</v>
      </c>
      <c r="D5639" s="379">
        <v>138.88888888888889</v>
      </c>
      <c r="E5639" s="25">
        <v>24.84</v>
      </c>
      <c r="F5639" s="379">
        <v>8.1174834595959613</v>
      </c>
      <c r="G5639" s="25">
        <v>41.3</v>
      </c>
      <c r="H5639" s="379">
        <v>4.799693804694658</v>
      </c>
      <c r="I5639" s="25">
        <v>36.159999999999997</v>
      </c>
      <c r="J5639" s="379">
        <v>2.8829306918617981</v>
      </c>
    </row>
    <row r="5640" spans="1:10" x14ac:dyDescent="0.35">
      <c r="A5640" s="5">
        <v>5636</v>
      </c>
      <c r="B5640" s="5">
        <v>235</v>
      </c>
      <c r="C5640" s="5">
        <v>8</v>
      </c>
      <c r="D5640" s="379">
        <v>138.88888888888889</v>
      </c>
      <c r="E5640" s="25">
        <v>24.84</v>
      </c>
      <c r="F5640" s="379">
        <v>8.1174834595959577</v>
      </c>
      <c r="G5640" s="25">
        <v>42.29</v>
      </c>
      <c r="H5640" s="379">
        <v>4.799693804694658</v>
      </c>
      <c r="I5640" s="25">
        <v>36.869999999999997</v>
      </c>
      <c r="J5640" s="379">
        <v>4.9551325727069431</v>
      </c>
    </row>
    <row r="5641" spans="1:10" x14ac:dyDescent="0.35">
      <c r="A5641" s="5">
        <v>5637</v>
      </c>
      <c r="B5641" s="5">
        <v>235</v>
      </c>
      <c r="C5641" s="5">
        <v>8</v>
      </c>
      <c r="D5641" s="379">
        <v>138.88888888888889</v>
      </c>
      <c r="E5641" s="25">
        <v>24.84</v>
      </c>
      <c r="F5641" s="379">
        <v>8.1174834595959577</v>
      </c>
      <c r="G5641" s="25">
        <v>42.29</v>
      </c>
      <c r="H5641" s="379">
        <v>4.799693804694658</v>
      </c>
      <c r="I5641" s="25">
        <v>44.11</v>
      </c>
      <c r="J5641" s="379">
        <v>5.3887491436638406</v>
      </c>
    </row>
    <row r="5642" spans="1:10" x14ac:dyDescent="0.35">
      <c r="A5642" s="5">
        <v>5638</v>
      </c>
      <c r="B5642" s="5">
        <v>235</v>
      </c>
      <c r="C5642" s="5">
        <v>8</v>
      </c>
      <c r="D5642" s="379">
        <v>138.88888888888889</v>
      </c>
      <c r="E5642" s="25">
        <v>24.84</v>
      </c>
      <c r="F5642" s="379">
        <v>8.1174834595959595</v>
      </c>
      <c r="G5642" s="25">
        <v>39.28</v>
      </c>
      <c r="H5642" s="379">
        <v>4.799693804694658</v>
      </c>
      <c r="I5642" s="25">
        <v>43.86</v>
      </c>
      <c r="J5642" s="379">
        <v>4.5498281275229804</v>
      </c>
    </row>
    <row r="5643" spans="1:10" x14ac:dyDescent="0.35">
      <c r="A5643" s="5">
        <v>5639</v>
      </c>
      <c r="B5643" s="5">
        <v>235</v>
      </c>
      <c r="C5643" s="5">
        <v>8</v>
      </c>
      <c r="D5643" s="379">
        <v>138.88888888888889</v>
      </c>
      <c r="E5643" s="25">
        <v>24.84</v>
      </c>
      <c r="F5643" s="379">
        <v>7.7936016781586837</v>
      </c>
      <c r="G5643" s="25">
        <v>34.450000000000003</v>
      </c>
      <c r="H5643" s="379">
        <v>4.799693804694658</v>
      </c>
      <c r="I5643" s="25">
        <v>39.619999999999997</v>
      </c>
      <c r="J5643" s="379">
        <v>5.2564354808811498</v>
      </c>
    </row>
    <row r="5644" spans="1:10" x14ac:dyDescent="0.35">
      <c r="A5644" s="5">
        <v>5640</v>
      </c>
      <c r="B5644" s="5">
        <v>235</v>
      </c>
      <c r="C5644" s="5">
        <v>8</v>
      </c>
      <c r="D5644" s="379">
        <v>138.88888888888889</v>
      </c>
      <c r="E5644" s="25">
        <v>24.84</v>
      </c>
      <c r="F5644" s="379">
        <v>7.8458858010911703</v>
      </c>
      <c r="G5644" s="25">
        <v>34.08</v>
      </c>
      <c r="H5644" s="379">
        <v>4.799693804694658</v>
      </c>
      <c r="I5644" s="25">
        <v>35.72</v>
      </c>
      <c r="J5644" s="379">
        <v>5.5571771216841581</v>
      </c>
    </row>
    <row r="5645" spans="1:10" x14ac:dyDescent="0.35">
      <c r="A5645" s="5">
        <v>5641</v>
      </c>
      <c r="B5645" s="5">
        <v>236</v>
      </c>
      <c r="C5645" s="5">
        <v>8</v>
      </c>
      <c r="D5645" s="379">
        <v>135.94555555555556</v>
      </c>
      <c r="E5645" s="25">
        <v>24.84</v>
      </c>
      <c r="F5645" s="379">
        <v>7.8549011093545449</v>
      </c>
      <c r="G5645" s="25">
        <v>35.1</v>
      </c>
      <c r="H5645" s="379">
        <v>4.799693804694658</v>
      </c>
      <c r="I5645" s="25">
        <v>35.72</v>
      </c>
      <c r="J5645" s="379">
        <v>5.3808182961001974</v>
      </c>
    </row>
    <row r="5646" spans="1:10" x14ac:dyDescent="0.35">
      <c r="A5646" s="5">
        <v>5642</v>
      </c>
      <c r="B5646" s="5">
        <v>236</v>
      </c>
      <c r="C5646" s="5">
        <v>8</v>
      </c>
      <c r="D5646" s="379">
        <v>135.07888888888888</v>
      </c>
      <c r="E5646" s="25">
        <v>24.84</v>
      </c>
      <c r="F5646" s="379">
        <v>7.8728367992996651</v>
      </c>
      <c r="G5646" s="25">
        <v>35.1</v>
      </c>
      <c r="H5646" s="379">
        <v>4.799693804694658</v>
      </c>
      <c r="I5646" s="25">
        <v>35.72</v>
      </c>
      <c r="J5646" s="379">
        <v>4.9100373203760501</v>
      </c>
    </row>
    <row r="5647" spans="1:10" x14ac:dyDescent="0.35">
      <c r="A5647" s="5">
        <v>5643</v>
      </c>
      <c r="B5647" s="5">
        <v>236</v>
      </c>
      <c r="C5647" s="5">
        <v>8</v>
      </c>
      <c r="D5647" s="379">
        <v>132.67111111111112</v>
      </c>
      <c r="E5647" s="25">
        <v>24.84</v>
      </c>
      <c r="F5647" s="379">
        <v>7.8652090079572092</v>
      </c>
      <c r="G5647" s="25">
        <v>35.46</v>
      </c>
      <c r="H5647" s="379">
        <v>4.799693804694658</v>
      </c>
      <c r="I5647" s="25">
        <v>35.72</v>
      </c>
      <c r="J5647" s="379">
        <v>3.9104277877201294</v>
      </c>
    </row>
    <row r="5648" spans="1:10" x14ac:dyDescent="0.35">
      <c r="A5648" s="5">
        <v>5644</v>
      </c>
      <c r="B5648" s="5">
        <v>236</v>
      </c>
      <c r="C5648" s="5">
        <v>8</v>
      </c>
      <c r="D5648" s="379">
        <v>133.065</v>
      </c>
      <c r="E5648" s="25">
        <v>24.84</v>
      </c>
      <c r="F5648" s="379">
        <v>7.8615871481795283</v>
      </c>
      <c r="G5648" s="25">
        <v>35.58</v>
      </c>
      <c r="H5648" s="379">
        <v>4.799693804694658</v>
      </c>
      <c r="I5648" s="25">
        <v>35.72</v>
      </c>
      <c r="J5648" s="379">
        <v>3.0308200520080222</v>
      </c>
    </row>
    <row r="5649" spans="1:10" x14ac:dyDescent="0.35">
      <c r="A5649" s="5">
        <v>5645</v>
      </c>
      <c r="B5649" s="5">
        <v>236</v>
      </c>
      <c r="C5649" s="5">
        <v>8</v>
      </c>
      <c r="D5649" s="379">
        <v>137.48333333333332</v>
      </c>
      <c r="E5649" s="25">
        <v>24.84</v>
      </c>
      <c r="F5649" s="379">
        <v>7.7704252693157301</v>
      </c>
      <c r="G5649" s="25">
        <v>38.130000000000003</v>
      </c>
      <c r="H5649" s="379">
        <v>4.799693804694658</v>
      </c>
      <c r="I5649" s="25">
        <v>35.72</v>
      </c>
      <c r="J5649" s="379">
        <v>5.5690185209074876</v>
      </c>
    </row>
    <row r="5650" spans="1:10" x14ac:dyDescent="0.35">
      <c r="A5650" s="5">
        <v>5646</v>
      </c>
      <c r="B5650" s="5">
        <v>236</v>
      </c>
      <c r="C5650" s="5">
        <v>8</v>
      </c>
      <c r="D5650" s="379">
        <v>138.88888888888889</v>
      </c>
      <c r="E5650" s="25">
        <v>24.84</v>
      </c>
      <c r="F5650" s="379">
        <v>8.1174834595959595</v>
      </c>
      <c r="G5650" s="25">
        <v>43.44</v>
      </c>
      <c r="H5650" s="379">
        <v>4.799693804694658</v>
      </c>
      <c r="I5650" s="25">
        <v>42.03</v>
      </c>
      <c r="J5650" s="379">
        <v>5.3388758425539198</v>
      </c>
    </row>
    <row r="5651" spans="1:10" x14ac:dyDescent="0.35">
      <c r="A5651" s="5">
        <v>5647</v>
      </c>
      <c r="B5651" s="5">
        <v>236</v>
      </c>
      <c r="C5651" s="5">
        <v>8</v>
      </c>
      <c r="D5651" s="379">
        <v>138.88888888888889</v>
      </c>
      <c r="E5651" s="25">
        <v>24.84</v>
      </c>
      <c r="F5651" s="379">
        <v>8.1174834595959595</v>
      </c>
      <c r="G5651" s="25">
        <v>43.56</v>
      </c>
      <c r="H5651" s="379">
        <v>4.7996938046946598</v>
      </c>
      <c r="I5651" s="25">
        <v>44.11</v>
      </c>
      <c r="J5651" s="379">
        <v>3.6224159852389866</v>
      </c>
    </row>
    <row r="5652" spans="1:10" x14ac:dyDescent="0.35">
      <c r="A5652" s="5">
        <v>5648</v>
      </c>
      <c r="B5652" s="5">
        <v>236</v>
      </c>
      <c r="C5652" s="5">
        <v>8</v>
      </c>
      <c r="D5652" s="379">
        <v>138.88888888888889</v>
      </c>
      <c r="E5652" s="25">
        <v>24.99</v>
      </c>
      <c r="F5652" s="379">
        <v>8.1174834595959595</v>
      </c>
      <c r="G5652" s="25">
        <v>43.56</v>
      </c>
      <c r="H5652" s="379">
        <v>4.799693804694658</v>
      </c>
      <c r="I5652" s="25">
        <v>45.28</v>
      </c>
      <c r="J5652" s="379">
        <v>0.27777777777777779</v>
      </c>
    </row>
    <row r="5653" spans="1:10" x14ac:dyDescent="0.35">
      <c r="A5653" s="5">
        <v>5649</v>
      </c>
      <c r="B5653" s="5">
        <v>236</v>
      </c>
      <c r="C5653" s="5">
        <v>8</v>
      </c>
      <c r="D5653" s="379">
        <v>138.88888888888889</v>
      </c>
      <c r="E5653" s="25">
        <v>24.99</v>
      </c>
      <c r="F5653" s="379">
        <v>8.1174834595959595</v>
      </c>
      <c r="G5653" s="25">
        <v>43.56</v>
      </c>
      <c r="H5653" s="379">
        <v>4.7996938046946571</v>
      </c>
      <c r="I5653" s="25">
        <v>42.57</v>
      </c>
      <c r="J5653" s="379">
        <v>0.14088965633649972</v>
      </c>
    </row>
    <row r="5654" spans="1:10" x14ac:dyDescent="0.35">
      <c r="A5654" s="5">
        <v>5650</v>
      </c>
      <c r="B5654" s="5">
        <v>236</v>
      </c>
      <c r="C5654" s="5">
        <v>8</v>
      </c>
      <c r="D5654" s="379">
        <v>138.88888888888889</v>
      </c>
      <c r="E5654" s="25">
        <v>24.84</v>
      </c>
      <c r="F5654" s="379">
        <v>8.1174834595959595</v>
      </c>
      <c r="G5654" s="25">
        <v>43.44</v>
      </c>
      <c r="H5654" s="379">
        <v>0.47222222222222221</v>
      </c>
      <c r="I5654" s="25">
        <v>41.84</v>
      </c>
      <c r="J5654" s="379">
        <v>0.22941235476016922</v>
      </c>
    </row>
    <row r="5655" spans="1:10" x14ac:dyDescent="0.35">
      <c r="A5655" s="5">
        <v>5651</v>
      </c>
      <c r="B5655" s="5">
        <v>236</v>
      </c>
      <c r="C5655" s="5">
        <v>8</v>
      </c>
      <c r="D5655" s="379">
        <v>138.63888888888889</v>
      </c>
      <c r="E5655" s="25">
        <v>24.84</v>
      </c>
      <c r="F5655" s="379">
        <v>2.5516609767826468</v>
      </c>
      <c r="G5655" s="25">
        <v>43.44</v>
      </c>
      <c r="H5655" s="379">
        <v>0.22016810433068423</v>
      </c>
      <c r="I5655" s="25">
        <v>36.869999999999997</v>
      </c>
      <c r="J5655" s="379">
        <v>2.777777777777778E-2</v>
      </c>
    </row>
    <row r="5656" spans="1:10" x14ac:dyDescent="0.35">
      <c r="A5656" s="5">
        <v>5652</v>
      </c>
      <c r="B5656" s="5">
        <v>236</v>
      </c>
      <c r="C5656" s="5">
        <v>8</v>
      </c>
      <c r="D5656" s="379">
        <v>129.71833333333333</v>
      </c>
      <c r="E5656" s="25">
        <v>24.84</v>
      </c>
      <c r="F5656" s="379">
        <v>4.5712795929518881</v>
      </c>
      <c r="G5656" s="25">
        <v>42.29</v>
      </c>
      <c r="H5656" s="379">
        <v>0.28548860573192875</v>
      </c>
      <c r="I5656" s="25">
        <v>34.520000000000003</v>
      </c>
      <c r="J5656" s="379">
        <v>2.777777777777778E-2</v>
      </c>
    </row>
    <row r="5657" spans="1:10" x14ac:dyDescent="0.35">
      <c r="A5657" s="5">
        <v>5653</v>
      </c>
      <c r="B5657" s="5">
        <v>236</v>
      </c>
      <c r="C5657" s="5">
        <v>8</v>
      </c>
      <c r="D5657" s="379">
        <v>130.11944444444444</v>
      </c>
      <c r="E5657" s="25">
        <v>24.84</v>
      </c>
      <c r="F5657" s="379">
        <v>3.2413630476976665</v>
      </c>
      <c r="G5657" s="25">
        <v>35.46</v>
      </c>
      <c r="H5657" s="379">
        <v>0.23083457457775039</v>
      </c>
      <c r="I5657" s="25">
        <v>34.01</v>
      </c>
      <c r="J5657" s="379">
        <v>2.777777777777778E-2</v>
      </c>
    </row>
    <row r="5658" spans="1:10" x14ac:dyDescent="0.35">
      <c r="A5658" s="5">
        <v>5654</v>
      </c>
      <c r="B5658" s="5">
        <v>236</v>
      </c>
      <c r="C5658" s="5">
        <v>8</v>
      </c>
      <c r="D5658" s="379">
        <v>130.65222222222221</v>
      </c>
      <c r="E5658" s="25">
        <v>24.84</v>
      </c>
      <c r="F5658" s="379">
        <v>3.8195217492674214</v>
      </c>
      <c r="G5658" s="25">
        <v>35.1</v>
      </c>
      <c r="H5658" s="379">
        <v>0.27007614611782166</v>
      </c>
      <c r="I5658" s="25">
        <v>33.67</v>
      </c>
      <c r="J5658" s="379">
        <v>0.2208881662721465</v>
      </c>
    </row>
    <row r="5659" spans="1:10" x14ac:dyDescent="0.35">
      <c r="A5659" s="5">
        <v>5655</v>
      </c>
      <c r="B5659" s="5">
        <v>236</v>
      </c>
      <c r="C5659" s="5">
        <v>8</v>
      </c>
      <c r="D5659" s="379">
        <v>137.5661111111111</v>
      </c>
      <c r="E5659" s="25">
        <v>24.56</v>
      </c>
      <c r="F5659" s="379">
        <v>3.6659613994997415</v>
      </c>
      <c r="G5659" s="25">
        <v>35.1</v>
      </c>
      <c r="H5659" s="379">
        <v>4.8477006123500116E-2</v>
      </c>
      <c r="I5659" s="25">
        <v>33.67</v>
      </c>
      <c r="J5659" s="379">
        <v>0.4054145706212785</v>
      </c>
    </row>
    <row r="5660" spans="1:10" x14ac:dyDescent="0.35">
      <c r="A5660" s="5">
        <v>5656</v>
      </c>
      <c r="B5660" s="5">
        <v>236</v>
      </c>
      <c r="C5660" s="5">
        <v>8</v>
      </c>
      <c r="D5660" s="379">
        <v>138.88888888888889</v>
      </c>
      <c r="E5660" s="25">
        <v>24.56</v>
      </c>
      <c r="F5660" s="379">
        <v>3.8565032472947758</v>
      </c>
      <c r="G5660" s="25">
        <v>35.46</v>
      </c>
      <c r="H5660" s="379">
        <v>0.40697860786610551</v>
      </c>
      <c r="I5660" s="25">
        <v>33.67</v>
      </c>
      <c r="J5660" s="379">
        <v>0.24712617677210647</v>
      </c>
    </row>
    <row r="5661" spans="1:10" x14ac:dyDescent="0.35">
      <c r="A5661" s="5">
        <v>5657</v>
      </c>
      <c r="B5661" s="5">
        <v>236</v>
      </c>
      <c r="C5661" s="5">
        <v>8</v>
      </c>
      <c r="D5661" s="379">
        <v>138.88888888888889</v>
      </c>
      <c r="E5661" s="25">
        <v>24.84</v>
      </c>
      <c r="F5661" s="379">
        <v>4.5066939549287843</v>
      </c>
      <c r="G5661" s="25">
        <v>41.05</v>
      </c>
      <c r="H5661" s="379">
        <v>0.40119482592225353</v>
      </c>
      <c r="I5661" s="25">
        <v>33.67</v>
      </c>
      <c r="J5661" s="379">
        <v>0.21699380027016779</v>
      </c>
    </row>
    <row r="5662" spans="1:10" x14ac:dyDescent="0.35">
      <c r="A5662" s="5">
        <v>5658</v>
      </c>
      <c r="B5662" s="5">
        <v>236</v>
      </c>
      <c r="C5662" s="5">
        <v>8</v>
      </c>
      <c r="D5662" s="379">
        <v>138.88888888888889</v>
      </c>
      <c r="E5662" s="25">
        <v>24.84</v>
      </c>
      <c r="F5662" s="379">
        <v>8.1174834595959595</v>
      </c>
      <c r="G5662" s="25">
        <v>41.05</v>
      </c>
      <c r="H5662" s="379">
        <v>0.66810696654644675</v>
      </c>
      <c r="I5662" s="25">
        <v>33.67</v>
      </c>
      <c r="J5662" s="379">
        <v>0.63527887219127077</v>
      </c>
    </row>
    <row r="5663" spans="1:10" x14ac:dyDescent="0.35">
      <c r="A5663" s="5">
        <v>5659</v>
      </c>
      <c r="B5663" s="5">
        <v>236</v>
      </c>
      <c r="C5663" s="5">
        <v>8</v>
      </c>
      <c r="D5663" s="379">
        <v>138.88888888888889</v>
      </c>
      <c r="E5663" s="25">
        <v>24.84</v>
      </c>
      <c r="F5663" s="379">
        <v>8.1174834595959613</v>
      </c>
      <c r="G5663" s="25">
        <v>41.3</v>
      </c>
      <c r="H5663" s="379">
        <v>0.6995950848629634</v>
      </c>
      <c r="I5663" s="25">
        <v>34.25</v>
      </c>
      <c r="J5663" s="379">
        <v>0.5741324402532566</v>
      </c>
    </row>
    <row r="5664" spans="1:10" x14ac:dyDescent="0.35">
      <c r="A5664" s="5">
        <v>5660</v>
      </c>
      <c r="B5664" s="5">
        <v>236</v>
      </c>
      <c r="C5664" s="5">
        <v>8</v>
      </c>
      <c r="D5664" s="379">
        <v>138.88888888888889</v>
      </c>
      <c r="E5664" s="25">
        <v>24.84</v>
      </c>
      <c r="F5664" s="379">
        <v>8.1174834595959613</v>
      </c>
      <c r="G5664" s="25">
        <v>41.3</v>
      </c>
      <c r="H5664" s="379">
        <v>0.63281889625140775</v>
      </c>
      <c r="I5664" s="25">
        <v>35.450000000000003</v>
      </c>
      <c r="J5664" s="379">
        <v>0.90755278788094418</v>
      </c>
    </row>
    <row r="5665" spans="1:10" x14ac:dyDescent="0.35">
      <c r="A5665" s="5">
        <v>5661</v>
      </c>
      <c r="B5665" s="5">
        <v>236</v>
      </c>
      <c r="C5665" s="5">
        <v>8</v>
      </c>
      <c r="D5665" s="379">
        <v>138.88888888888889</v>
      </c>
      <c r="E5665" s="25">
        <v>24.84</v>
      </c>
      <c r="F5665" s="379">
        <v>8.1174834595959613</v>
      </c>
      <c r="G5665" s="25">
        <v>40.96</v>
      </c>
      <c r="H5665" s="379">
        <v>0.50833766223422439</v>
      </c>
      <c r="I5665" s="25">
        <v>34.520000000000003</v>
      </c>
      <c r="J5665" s="379">
        <v>0.80379462440722116</v>
      </c>
    </row>
    <row r="5666" spans="1:10" x14ac:dyDescent="0.35">
      <c r="A5666" s="5">
        <v>5662</v>
      </c>
      <c r="B5666" s="5">
        <v>236</v>
      </c>
      <c r="C5666" s="5">
        <v>8</v>
      </c>
      <c r="D5666" s="379">
        <v>138.88888888888889</v>
      </c>
      <c r="E5666" s="25">
        <v>24.84</v>
      </c>
      <c r="F5666" s="379">
        <v>4.4220176675105298</v>
      </c>
      <c r="G5666" s="25">
        <v>35.1</v>
      </c>
      <c r="H5666" s="379">
        <v>0.37327247510117606</v>
      </c>
      <c r="I5666" s="25">
        <v>33.67</v>
      </c>
      <c r="J5666" s="379">
        <v>0.35585952563479356</v>
      </c>
    </row>
    <row r="5667" spans="1:10" x14ac:dyDescent="0.35">
      <c r="A5667" s="5">
        <v>5663</v>
      </c>
      <c r="B5667" s="5">
        <v>236</v>
      </c>
      <c r="C5667" s="5">
        <v>8</v>
      </c>
      <c r="D5667" s="379">
        <v>131.14888888888888</v>
      </c>
      <c r="E5667" s="25">
        <v>24</v>
      </c>
      <c r="F5667" s="379">
        <v>3.9995562159611824</v>
      </c>
      <c r="G5667" s="25">
        <v>31.19</v>
      </c>
      <c r="H5667" s="379">
        <v>0.40775482896462795</v>
      </c>
      <c r="I5667" s="25">
        <v>33.67</v>
      </c>
      <c r="J5667" s="379">
        <v>0.27782103243981082</v>
      </c>
    </row>
    <row r="5668" spans="1:10" x14ac:dyDescent="0.35">
      <c r="A5668" s="5">
        <v>5664</v>
      </c>
      <c r="B5668" s="5">
        <v>236</v>
      </c>
      <c r="C5668" s="5">
        <v>8</v>
      </c>
      <c r="D5668" s="379">
        <v>120.95666666666668</v>
      </c>
      <c r="E5668" s="25">
        <v>23.84</v>
      </c>
      <c r="F5668" s="379">
        <v>0.47222222222222221</v>
      </c>
      <c r="G5668" s="25">
        <v>31.11</v>
      </c>
      <c r="H5668" s="379">
        <v>0.43654932779538957</v>
      </c>
      <c r="I5668" s="25">
        <v>33.67</v>
      </c>
      <c r="J5668" s="379">
        <v>0.14480167642852412</v>
      </c>
    </row>
    <row r="5669" spans="1:10" x14ac:dyDescent="0.35">
      <c r="A5669" s="5">
        <v>5665</v>
      </c>
      <c r="B5669" s="5">
        <v>237</v>
      </c>
      <c r="C5669" s="5">
        <v>8</v>
      </c>
      <c r="D5669" s="379">
        <v>120.68555555555555</v>
      </c>
      <c r="E5669" s="25">
        <v>23.84</v>
      </c>
      <c r="F5669" s="379">
        <v>3.1512364416311915</v>
      </c>
      <c r="G5669" s="25">
        <v>31.11</v>
      </c>
      <c r="H5669" s="379">
        <v>2.3052422886182931</v>
      </c>
      <c r="I5669" s="25">
        <v>33.67</v>
      </c>
      <c r="J5669" s="379">
        <v>4.9689403228965957E-2</v>
      </c>
    </row>
    <row r="5670" spans="1:10" x14ac:dyDescent="0.35">
      <c r="A5670" s="5">
        <v>5666</v>
      </c>
      <c r="B5670" s="5">
        <v>237</v>
      </c>
      <c r="C5670" s="5">
        <v>8</v>
      </c>
      <c r="D5670" s="379">
        <v>119.25944444444444</v>
      </c>
      <c r="E5670" s="25">
        <v>23.59</v>
      </c>
      <c r="F5670" s="379">
        <v>3.1512364416311915</v>
      </c>
      <c r="G5670" s="25">
        <v>31.11</v>
      </c>
      <c r="H5670" s="379">
        <v>2.3638660677750654</v>
      </c>
      <c r="I5670" s="25">
        <v>33.67</v>
      </c>
      <c r="J5670" s="379">
        <v>6.5658249903835425E-2</v>
      </c>
    </row>
    <row r="5671" spans="1:10" x14ac:dyDescent="0.35">
      <c r="A5671" s="5">
        <v>5667</v>
      </c>
      <c r="B5671" s="5">
        <v>237</v>
      </c>
      <c r="C5671" s="5">
        <v>8</v>
      </c>
      <c r="D5671" s="379">
        <v>117.01944444444443</v>
      </c>
      <c r="E5671" s="25">
        <v>22.94</v>
      </c>
      <c r="F5671" s="379">
        <v>3.1512364416311915</v>
      </c>
      <c r="G5671" s="25">
        <v>30.57</v>
      </c>
      <c r="H5671" s="379">
        <v>2.3638660677750654</v>
      </c>
      <c r="I5671" s="25">
        <v>33.67</v>
      </c>
      <c r="J5671" s="379">
        <v>8.6675732252456658E-2</v>
      </c>
    </row>
    <row r="5672" spans="1:10" x14ac:dyDescent="0.35">
      <c r="A5672" s="5">
        <v>5668</v>
      </c>
      <c r="B5672" s="5">
        <v>237</v>
      </c>
      <c r="C5672" s="5">
        <v>8</v>
      </c>
      <c r="D5672" s="379">
        <v>119.20944444444447</v>
      </c>
      <c r="E5672" s="25">
        <v>22.94</v>
      </c>
      <c r="F5672" s="379">
        <v>3.1512364416311915</v>
      </c>
      <c r="G5672" s="25">
        <v>31.11</v>
      </c>
      <c r="H5672" s="379">
        <v>2.3638660677750654</v>
      </c>
      <c r="I5672" s="25">
        <v>33.67</v>
      </c>
      <c r="J5672" s="379">
        <v>3.24179375022427E-2</v>
      </c>
    </row>
    <row r="5673" spans="1:10" x14ac:dyDescent="0.35">
      <c r="A5673" s="5">
        <v>5669</v>
      </c>
      <c r="B5673" s="5">
        <v>237</v>
      </c>
      <c r="C5673" s="5">
        <v>8</v>
      </c>
      <c r="D5673" s="379">
        <v>125.17944444444446</v>
      </c>
      <c r="E5673" s="25">
        <v>23.59</v>
      </c>
      <c r="F5673" s="379">
        <v>3.1512364416311915</v>
      </c>
      <c r="G5673" s="25">
        <v>31.11</v>
      </c>
      <c r="H5673" s="379">
        <v>2.3638660677750654</v>
      </c>
      <c r="I5673" s="25">
        <v>33.67</v>
      </c>
      <c r="J5673" s="379">
        <v>8.0114959641853709E-2</v>
      </c>
    </row>
    <row r="5674" spans="1:10" x14ac:dyDescent="0.35">
      <c r="A5674" s="5">
        <v>5670</v>
      </c>
      <c r="B5674" s="5">
        <v>237</v>
      </c>
      <c r="C5674" s="5">
        <v>8</v>
      </c>
      <c r="D5674" s="379">
        <v>138.88888888888889</v>
      </c>
      <c r="E5674" s="25">
        <v>23.84</v>
      </c>
      <c r="F5674" s="379">
        <v>3.2727733956087586</v>
      </c>
      <c r="G5674" s="25">
        <v>31.11</v>
      </c>
      <c r="H5674" s="379">
        <v>2.3638660677750654</v>
      </c>
      <c r="I5674" s="25">
        <v>33.67</v>
      </c>
      <c r="J5674" s="379">
        <v>3.24179375022427E-2</v>
      </c>
    </row>
    <row r="5675" spans="1:10" x14ac:dyDescent="0.35">
      <c r="A5675" s="5">
        <v>5671</v>
      </c>
      <c r="B5675" s="5">
        <v>237</v>
      </c>
      <c r="C5675" s="5">
        <v>8</v>
      </c>
      <c r="D5675" s="379">
        <v>138.88888888888889</v>
      </c>
      <c r="E5675" s="25">
        <v>24.12</v>
      </c>
      <c r="F5675" s="379">
        <v>3.2727733956087586</v>
      </c>
      <c r="G5675" s="25">
        <v>31.87</v>
      </c>
      <c r="H5675" s="379">
        <v>2.3638660677750654</v>
      </c>
      <c r="I5675" s="25">
        <v>35.799999999999997</v>
      </c>
      <c r="J5675" s="379">
        <v>3.24179375022427E-2</v>
      </c>
    </row>
    <row r="5676" spans="1:10" x14ac:dyDescent="0.35">
      <c r="A5676" s="5">
        <v>5672</v>
      </c>
      <c r="B5676" s="5">
        <v>237</v>
      </c>
      <c r="C5676" s="5">
        <v>8</v>
      </c>
      <c r="D5676" s="379">
        <v>138.88888888888889</v>
      </c>
      <c r="E5676" s="25">
        <v>24.84</v>
      </c>
      <c r="F5676" s="379">
        <v>3.2727733956087586</v>
      </c>
      <c r="G5676" s="25">
        <v>39.01</v>
      </c>
      <c r="H5676" s="379">
        <v>2.3005608138166616</v>
      </c>
      <c r="I5676" s="25">
        <v>37.72</v>
      </c>
      <c r="J5676" s="379">
        <v>3.24179375022427E-2</v>
      </c>
    </row>
    <row r="5677" spans="1:10" x14ac:dyDescent="0.35">
      <c r="A5677" s="5">
        <v>5673</v>
      </c>
      <c r="B5677" s="5">
        <v>237</v>
      </c>
      <c r="C5677" s="5">
        <v>8</v>
      </c>
      <c r="D5677" s="379">
        <v>138.88888888888889</v>
      </c>
      <c r="E5677" s="25">
        <v>24.26</v>
      </c>
      <c r="F5677" s="379">
        <v>3.2727733956087586</v>
      </c>
      <c r="G5677" s="25">
        <v>38.130000000000003</v>
      </c>
      <c r="H5677" s="379">
        <v>2.1934431922994948</v>
      </c>
      <c r="I5677" s="25">
        <v>34.01</v>
      </c>
      <c r="J5677" s="379">
        <v>2.777777777777778E-2</v>
      </c>
    </row>
    <row r="5678" spans="1:10" x14ac:dyDescent="0.35">
      <c r="A5678" s="5">
        <v>5674</v>
      </c>
      <c r="B5678" s="5">
        <v>237</v>
      </c>
      <c r="C5678" s="5">
        <v>8</v>
      </c>
      <c r="D5678" s="379">
        <v>138.88888888888889</v>
      </c>
      <c r="E5678" s="25">
        <v>24.26</v>
      </c>
      <c r="F5678" s="379">
        <v>3.2727733956087586</v>
      </c>
      <c r="G5678" s="25">
        <v>38.130000000000003</v>
      </c>
      <c r="H5678" s="379">
        <v>0.10737189369301019</v>
      </c>
      <c r="I5678" s="25">
        <v>33.67</v>
      </c>
      <c r="J5678" s="379">
        <v>2.777777777777778E-2</v>
      </c>
    </row>
    <row r="5679" spans="1:10" x14ac:dyDescent="0.35">
      <c r="A5679" s="5">
        <v>5675</v>
      </c>
      <c r="B5679" s="5">
        <v>237</v>
      </c>
      <c r="C5679" s="5">
        <v>8</v>
      </c>
      <c r="D5679" s="379">
        <v>131.25444444444443</v>
      </c>
      <c r="E5679" s="25">
        <v>24.26</v>
      </c>
      <c r="F5679" s="379">
        <v>2.5201122101411588</v>
      </c>
      <c r="G5679" s="25">
        <v>38.130000000000003</v>
      </c>
      <c r="H5679" s="379">
        <v>2.777777777777778E-2</v>
      </c>
      <c r="I5679" s="25">
        <v>33.67</v>
      </c>
      <c r="J5679" s="379">
        <v>2.777777777777778E-2</v>
      </c>
    </row>
    <row r="5680" spans="1:10" x14ac:dyDescent="0.35">
      <c r="A5680" s="5">
        <v>5676</v>
      </c>
      <c r="B5680" s="5">
        <v>237</v>
      </c>
      <c r="C5680" s="5">
        <v>8</v>
      </c>
      <c r="D5680" s="379">
        <v>123.20777777777776</v>
      </c>
      <c r="E5680" s="25">
        <v>24.26</v>
      </c>
      <c r="F5680" s="379">
        <v>2.5201122101411588</v>
      </c>
      <c r="G5680" s="25">
        <v>32.409999999999997</v>
      </c>
      <c r="H5680" s="379">
        <v>2.777777777777778E-2</v>
      </c>
      <c r="I5680" s="25">
        <v>33.67</v>
      </c>
      <c r="J5680" s="379">
        <v>2.777777777777778E-2</v>
      </c>
    </row>
    <row r="5681" spans="1:10" x14ac:dyDescent="0.35">
      <c r="A5681" s="5">
        <v>5677</v>
      </c>
      <c r="B5681" s="5">
        <v>237</v>
      </c>
      <c r="C5681" s="5">
        <v>8</v>
      </c>
      <c r="D5681" s="379">
        <v>126.87222222222221</v>
      </c>
      <c r="E5681" s="25">
        <v>23.84</v>
      </c>
      <c r="F5681" s="379">
        <v>2.2440912202783236</v>
      </c>
      <c r="G5681" s="25">
        <v>32.19</v>
      </c>
      <c r="H5681" s="379">
        <v>2.777777777777778E-2</v>
      </c>
      <c r="I5681" s="25">
        <v>33.67</v>
      </c>
      <c r="J5681" s="379">
        <v>2.777777777777778E-2</v>
      </c>
    </row>
    <row r="5682" spans="1:10" x14ac:dyDescent="0.35">
      <c r="A5682" s="5">
        <v>5678</v>
      </c>
      <c r="B5682" s="5">
        <v>237</v>
      </c>
      <c r="C5682" s="5">
        <v>8</v>
      </c>
      <c r="D5682" s="379">
        <v>122.57055555555556</v>
      </c>
      <c r="E5682" s="25">
        <v>23.59</v>
      </c>
      <c r="F5682" s="379">
        <v>0.98408932863146381</v>
      </c>
      <c r="G5682" s="25">
        <v>32.409999999999997</v>
      </c>
      <c r="H5682" s="379">
        <v>2.777777777777778E-2</v>
      </c>
      <c r="I5682" s="25">
        <v>33.67</v>
      </c>
      <c r="J5682" s="379">
        <v>2.777777777777778E-2</v>
      </c>
    </row>
    <row r="5683" spans="1:10" x14ac:dyDescent="0.35">
      <c r="A5683" s="5">
        <v>5679</v>
      </c>
      <c r="B5683" s="5">
        <v>237</v>
      </c>
      <c r="C5683" s="5">
        <v>8</v>
      </c>
      <c r="D5683" s="379">
        <v>129.66777777777776</v>
      </c>
      <c r="E5683" s="25">
        <v>23.84</v>
      </c>
      <c r="F5683" s="379">
        <v>0.98408932863146381</v>
      </c>
      <c r="G5683" s="25">
        <v>32.409999999999997</v>
      </c>
      <c r="H5683" s="379">
        <v>2.777777777777778E-2</v>
      </c>
      <c r="I5683" s="25">
        <v>33.67</v>
      </c>
      <c r="J5683" s="379">
        <v>2.777777777777778E-2</v>
      </c>
    </row>
    <row r="5684" spans="1:10" x14ac:dyDescent="0.35">
      <c r="A5684" s="5">
        <v>5680</v>
      </c>
      <c r="B5684" s="5">
        <v>237</v>
      </c>
      <c r="C5684" s="5">
        <v>8</v>
      </c>
      <c r="D5684" s="379">
        <v>138.56944444444446</v>
      </c>
      <c r="E5684" s="25">
        <v>23.84</v>
      </c>
      <c r="F5684" s="379">
        <v>1.2601103184942994</v>
      </c>
      <c r="G5684" s="25">
        <v>34.9</v>
      </c>
      <c r="H5684" s="379">
        <v>2.777777777777778E-2</v>
      </c>
      <c r="I5684" s="25">
        <v>33.67</v>
      </c>
      <c r="J5684" s="379">
        <v>2.777777777777778E-2</v>
      </c>
    </row>
    <row r="5685" spans="1:10" x14ac:dyDescent="0.35">
      <c r="A5685" s="5">
        <v>5681</v>
      </c>
      <c r="B5685" s="5">
        <v>237</v>
      </c>
      <c r="C5685" s="5">
        <v>8</v>
      </c>
      <c r="D5685" s="379">
        <v>138.88888888888889</v>
      </c>
      <c r="E5685" s="25">
        <v>24.84</v>
      </c>
      <c r="F5685" s="379">
        <v>2.6416491641187259</v>
      </c>
      <c r="G5685" s="25">
        <v>39.01</v>
      </c>
      <c r="H5685" s="379">
        <v>6.0870436498465595E-2</v>
      </c>
      <c r="I5685" s="25">
        <v>33.67</v>
      </c>
      <c r="J5685" s="379">
        <v>2.777777777777778E-2</v>
      </c>
    </row>
    <row r="5686" spans="1:10" x14ac:dyDescent="0.35">
      <c r="A5686" s="5">
        <v>5682</v>
      </c>
      <c r="B5686" s="5">
        <v>237</v>
      </c>
      <c r="C5686" s="5">
        <v>8</v>
      </c>
      <c r="D5686" s="379">
        <v>138.88888888888889</v>
      </c>
      <c r="E5686" s="25">
        <v>24.84</v>
      </c>
      <c r="F5686" s="379">
        <v>3.2727733956087586</v>
      </c>
      <c r="G5686" s="25">
        <v>42.17</v>
      </c>
      <c r="H5686" s="379">
        <v>0.34772410060383513</v>
      </c>
      <c r="I5686" s="25">
        <v>33.67</v>
      </c>
      <c r="J5686" s="379">
        <v>2.777777777777778E-2</v>
      </c>
    </row>
    <row r="5687" spans="1:10" x14ac:dyDescent="0.35">
      <c r="A5687" s="5">
        <v>5683</v>
      </c>
      <c r="B5687" s="5">
        <v>237</v>
      </c>
      <c r="C5687" s="5">
        <v>8</v>
      </c>
      <c r="D5687" s="379">
        <v>138.88888888888889</v>
      </c>
      <c r="E5687" s="25">
        <v>24.84</v>
      </c>
      <c r="F5687" s="379">
        <v>0.23425180043170313</v>
      </c>
      <c r="G5687" s="25">
        <v>42.17</v>
      </c>
      <c r="H5687" s="379">
        <v>1.7204233888296674</v>
      </c>
      <c r="I5687" s="25">
        <v>35.56</v>
      </c>
      <c r="J5687" s="379">
        <v>2.777777777777778E-2</v>
      </c>
    </row>
    <row r="5688" spans="1:10" x14ac:dyDescent="0.35">
      <c r="A5688" s="5">
        <v>5684</v>
      </c>
      <c r="B5688" s="5">
        <v>237</v>
      </c>
      <c r="C5688" s="5">
        <v>8</v>
      </c>
      <c r="D5688" s="379">
        <v>138.88888888888889</v>
      </c>
      <c r="E5688" s="25">
        <v>24.84</v>
      </c>
      <c r="F5688" s="379">
        <v>0.24999108254324162</v>
      </c>
      <c r="G5688" s="25">
        <v>42.17</v>
      </c>
      <c r="H5688" s="379">
        <v>0.14480167642852412</v>
      </c>
      <c r="I5688" s="25">
        <v>39.619999999999997</v>
      </c>
      <c r="J5688" s="379">
        <v>7.817412427067863E-2</v>
      </c>
    </row>
    <row r="5689" spans="1:10" x14ac:dyDescent="0.35">
      <c r="A5689" s="5">
        <v>5685</v>
      </c>
      <c r="B5689" s="5">
        <v>237</v>
      </c>
      <c r="C5689" s="5">
        <v>8</v>
      </c>
      <c r="D5689" s="379">
        <v>138.88888888888889</v>
      </c>
      <c r="E5689" s="25">
        <v>24.84</v>
      </c>
      <c r="F5689" s="379">
        <v>0.24999108254324162</v>
      </c>
      <c r="G5689" s="25">
        <v>42.17</v>
      </c>
      <c r="H5689" s="379">
        <v>0.14480167642852412</v>
      </c>
      <c r="I5689" s="25">
        <v>37.340000000000003</v>
      </c>
      <c r="J5689" s="379">
        <v>7.817412427067863E-2</v>
      </c>
    </row>
    <row r="5690" spans="1:10" x14ac:dyDescent="0.35">
      <c r="A5690" s="5">
        <v>5686</v>
      </c>
      <c r="B5690" s="5">
        <v>237</v>
      </c>
      <c r="C5690" s="5">
        <v>8</v>
      </c>
      <c r="D5690" s="379">
        <v>138.88888888888889</v>
      </c>
      <c r="E5690" s="25">
        <v>24.56</v>
      </c>
      <c r="F5690" s="379">
        <v>0.18455696128006277</v>
      </c>
      <c r="G5690" s="25">
        <v>39.01</v>
      </c>
      <c r="H5690" s="379">
        <v>7.1374489235697836E-2</v>
      </c>
      <c r="I5690" s="25">
        <v>33.74</v>
      </c>
      <c r="J5690" s="379">
        <v>7.817412427067863E-2</v>
      </c>
    </row>
    <row r="5691" spans="1:10" x14ac:dyDescent="0.35">
      <c r="A5691" s="5">
        <v>5687</v>
      </c>
      <c r="B5691" s="5">
        <v>237</v>
      </c>
      <c r="C5691" s="5">
        <v>8</v>
      </c>
      <c r="D5691" s="379">
        <v>138.88888888888889</v>
      </c>
      <c r="E5691" s="25">
        <v>24.26</v>
      </c>
      <c r="F5691" s="379">
        <v>0.1517094017094017</v>
      </c>
      <c r="G5691" s="25">
        <v>33.159999999999997</v>
      </c>
      <c r="H5691" s="379">
        <v>2.3005608138166616</v>
      </c>
      <c r="I5691" s="25">
        <v>33.67</v>
      </c>
      <c r="J5691" s="379">
        <v>7.817412427067863E-2</v>
      </c>
    </row>
    <row r="5692" spans="1:10" x14ac:dyDescent="0.35">
      <c r="A5692" s="5">
        <v>5688</v>
      </c>
      <c r="B5692" s="5">
        <v>237</v>
      </c>
      <c r="C5692" s="5">
        <v>8</v>
      </c>
      <c r="D5692" s="379">
        <v>138.88888888888889</v>
      </c>
      <c r="E5692" s="25">
        <v>23.84</v>
      </c>
      <c r="F5692" s="379">
        <v>2.8003964335678027</v>
      </c>
      <c r="G5692" s="25">
        <v>31.87</v>
      </c>
      <c r="H5692" s="379">
        <v>2.3005608138166616</v>
      </c>
      <c r="I5692" s="25">
        <v>33.67</v>
      </c>
      <c r="J5692" s="379">
        <v>2.8277465877357716E-2</v>
      </c>
    </row>
    <row r="5693" spans="1:10" x14ac:dyDescent="0.35">
      <c r="A5693" s="5">
        <v>5689</v>
      </c>
      <c r="B5693" s="5">
        <v>238</v>
      </c>
      <c r="C5693" s="5">
        <v>8</v>
      </c>
      <c r="D5693" s="379">
        <v>138.88888888888889</v>
      </c>
      <c r="E5693" s="25">
        <v>23.84</v>
      </c>
      <c r="F5693" s="379">
        <v>2.8003964335678027</v>
      </c>
      <c r="G5693" s="25">
        <v>32.79</v>
      </c>
      <c r="H5693" s="379">
        <v>2.3638660677750654</v>
      </c>
      <c r="I5693" s="25">
        <v>33.67</v>
      </c>
      <c r="J5693" s="379">
        <v>2.8277465877357716E-2</v>
      </c>
    </row>
    <row r="5694" spans="1:10" x14ac:dyDescent="0.35">
      <c r="A5694" s="5">
        <v>5690</v>
      </c>
      <c r="B5694" s="5">
        <v>238</v>
      </c>
      <c r="C5694" s="5">
        <v>8</v>
      </c>
      <c r="D5694" s="379">
        <v>138.86055555555555</v>
      </c>
      <c r="E5694" s="25">
        <v>23.84</v>
      </c>
      <c r="F5694" s="379">
        <v>2.8003964335678027</v>
      </c>
      <c r="G5694" s="25">
        <v>32.79</v>
      </c>
      <c r="H5694" s="379">
        <v>2.3638660677750654</v>
      </c>
      <c r="I5694" s="25">
        <v>33.67</v>
      </c>
      <c r="J5694" s="379">
        <v>2.777777777777778E-2</v>
      </c>
    </row>
    <row r="5695" spans="1:10" x14ac:dyDescent="0.35">
      <c r="A5695" s="5">
        <v>5691</v>
      </c>
      <c r="B5695" s="5">
        <v>238</v>
      </c>
      <c r="C5695" s="5">
        <v>8</v>
      </c>
      <c r="D5695" s="379">
        <v>137.95055555555555</v>
      </c>
      <c r="E5695" s="25">
        <v>23.84</v>
      </c>
      <c r="F5695" s="379">
        <v>2.8003964335678027</v>
      </c>
      <c r="G5695" s="25">
        <v>31.84</v>
      </c>
      <c r="H5695" s="379">
        <v>2.3638660677750654</v>
      </c>
      <c r="I5695" s="25">
        <v>33.67</v>
      </c>
      <c r="J5695" s="379">
        <v>2.777777777777778E-2</v>
      </c>
    </row>
    <row r="5696" spans="1:10" x14ac:dyDescent="0.35">
      <c r="A5696" s="5">
        <v>5692</v>
      </c>
      <c r="B5696" s="5">
        <v>238</v>
      </c>
      <c r="C5696" s="5">
        <v>8</v>
      </c>
      <c r="D5696" s="379">
        <v>138.87222222222223</v>
      </c>
      <c r="E5696" s="25">
        <v>23.84</v>
      </c>
      <c r="F5696" s="379">
        <v>5.4812358835232423E-2</v>
      </c>
      <c r="G5696" s="25">
        <v>31.84</v>
      </c>
      <c r="H5696" s="379">
        <v>2.3638660677750654</v>
      </c>
      <c r="I5696" s="25">
        <v>33.67</v>
      </c>
      <c r="J5696" s="379">
        <v>7.8773831565959657E-2</v>
      </c>
    </row>
    <row r="5697" spans="1:10" x14ac:dyDescent="0.35">
      <c r="A5697" s="5">
        <v>5693</v>
      </c>
      <c r="B5697" s="5">
        <v>238</v>
      </c>
      <c r="C5697" s="5">
        <v>8</v>
      </c>
      <c r="D5697" s="379">
        <v>138.88888888888889</v>
      </c>
      <c r="E5697" s="25">
        <v>24</v>
      </c>
      <c r="F5697" s="379">
        <v>5.6718078634303878E-2</v>
      </c>
      <c r="G5697" s="25">
        <v>32.79</v>
      </c>
      <c r="H5697" s="379">
        <v>2.3638660677750654</v>
      </c>
      <c r="I5697" s="25">
        <v>33.81</v>
      </c>
      <c r="J5697" s="379">
        <v>2.8277465877357716E-2</v>
      </c>
    </row>
    <row r="5698" spans="1:10" x14ac:dyDescent="0.35">
      <c r="A5698" s="5">
        <v>5694</v>
      </c>
      <c r="B5698" s="5">
        <v>238</v>
      </c>
      <c r="C5698" s="5">
        <v>8</v>
      </c>
      <c r="D5698" s="379">
        <v>138.88888888888889</v>
      </c>
      <c r="E5698" s="25">
        <v>24.84</v>
      </c>
      <c r="F5698" s="379">
        <v>0.14480167642852412</v>
      </c>
      <c r="G5698" s="25">
        <v>32.79</v>
      </c>
      <c r="H5698" s="379">
        <v>2.3638660677750654</v>
      </c>
      <c r="I5698" s="25">
        <v>34.68</v>
      </c>
      <c r="J5698" s="379">
        <v>2.8277465877357716E-2</v>
      </c>
    </row>
    <row r="5699" spans="1:10" x14ac:dyDescent="0.35">
      <c r="A5699" s="5">
        <v>5695</v>
      </c>
      <c r="B5699" s="5">
        <v>238</v>
      </c>
      <c r="C5699" s="5">
        <v>8</v>
      </c>
      <c r="D5699" s="379">
        <v>138.88888888888889</v>
      </c>
      <c r="E5699" s="25">
        <v>24.84</v>
      </c>
      <c r="F5699" s="379">
        <v>0.14480167642852412</v>
      </c>
      <c r="G5699" s="25">
        <v>38.58</v>
      </c>
      <c r="H5699" s="379">
        <v>2.3966112308258993</v>
      </c>
      <c r="I5699" s="25">
        <v>40.119999999999997</v>
      </c>
      <c r="J5699" s="379">
        <v>2.8277465877357716E-2</v>
      </c>
    </row>
    <row r="5700" spans="1:10" x14ac:dyDescent="0.35">
      <c r="A5700" s="5">
        <v>5696</v>
      </c>
      <c r="B5700" s="5">
        <v>238</v>
      </c>
      <c r="C5700" s="5">
        <v>8</v>
      </c>
      <c r="D5700" s="379">
        <v>138.88888888888889</v>
      </c>
      <c r="E5700" s="25">
        <v>24.84</v>
      </c>
      <c r="F5700" s="379">
        <v>3.1512364416311915</v>
      </c>
      <c r="G5700" s="25">
        <v>39.770000000000003</v>
      </c>
      <c r="H5700" s="379">
        <v>2.3966112308258993</v>
      </c>
      <c r="I5700" s="25">
        <v>40.619999999999997</v>
      </c>
      <c r="J5700" s="379">
        <v>7.1555167848573867E-2</v>
      </c>
    </row>
    <row r="5701" spans="1:10" x14ac:dyDescent="0.35">
      <c r="A5701" s="5">
        <v>5697</v>
      </c>
      <c r="B5701" s="5">
        <v>238</v>
      </c>
      <c r="C5701" s="5">
        <v>8</v>
      </c>
      <c r="D5701" s="379">
        <v>138.88888888888889</v>
      </c>
      <c r="E5701" s="25">
        <v>24.84</v>
      </c>
      <c r="F5701" s="379">
        <v>3.1512364416311915</v>
      </c>
      <c r="G5701" s="25">
        <v>39.770000000000003</v>
      </c>
      <c r="H5701" s="379">
        <v>0.52051127855359569</v>
      </c>
      <c r="I5701" s="25">
        <v>35.799999999999997</v>
      </c>
      <c r="J5701" s="379">
        <v>2.777777777777778E-2</v>
      </c>
    </row>
    <row r="5702" spans="1:10" x14ac:dyDescent="0.35">
      <c r="A5702" s="5">
        <v>5698</v>
      </c>
      <c r="B5702" s="5">
        <v>238</v>
      </c>
      <c r="C5702" s="5">
        <v>8</v>
      </c>
      <c r="D5702" s="379">
        <v>138.88888888888889</v>
      </c>
      <c r="E5702" s="25">
        <v>24.26</v>
      </c>
      <c r="F5702" s="379">
        <v>2.5201122101411588</v>
      </c>
      <c r="G5702" s="25">
        <v>39.770000000000003</v>
      </c>
      <c r="H5702" s="379">
        <v>0.3776297575035662</v>
      </c>
      <c r="I5702" s="25">
        <v>34.01</v>
      </c>
      <c r="J5702" s="379">
        <v>2.777777777777778E-2</v>
      </c>
    </row>
    <row r="5703" spans="1:10" x14ac:dyDescent="0.35">
      <c r="A5703" s="5">
        <v>5699</v>
      </c>
      <c r="B5703" s="5">
        <v>238</v>
      </c>
      <c r="C5703" s="5">
        <v>8</v>
      </c>
      <c r="D5703" s="379">
        <v>138.88888888888889</v>
      </c>
      <c r="E5703" s="25">
        <v>24.26</v>
      </c>
      <c r="F5703" s="379">
        <v>0.86728079159879479</v>
      </c>
      <c r="G5703" s="25">
        <v>39.770000000000003</v>
      </c>
      <c r="H5703" s="379">
        <v>2.983374850025141E-2</v>
      </c>
      <c r="I5703" s="25">
        <v>33.67</v>
      </c>
      <c r="J5703" s="379">
        <v>2.777777777777778E-2</v>
      </c>
    </row>
    <row r="5704" spans="1:10" x14ac:dyDescent="0.35">
      <c r="A5704" s="5">
        <v>5700</v>
      </c>
      <c r="B5704" s="5">
        <v>238</v>
      </c>
      <c r="C5704" s="5">
        <v>8</v>
      </c>
      <c r="D5704" s="379">
        <v>138.88888888888889</v>
      </c>
      <c r="E5704" s="25">
        <v>24.11</v>
      </c>
      <c r="F5704" s="379">
        <v>0.86728079159879479</v>
      </c>
      <c r="G5704" s="25">
        <v>38.61</v>
      </c>
      <c r="H5704" s="379">
        <v>2.983374850025141E-2</v>
      </c>
      <c r="I5704" s="25">
        <v>33.67</v>
      </c>
      <c r="J5704" s="379">
        <v>2.777777777777778E-2</v>
      </c>
    </row>
    <row r="5705" spans="1:10" x14ac:dyDescent="0.35">
      <c r="A5705" s="5">
        <v>5701</v>
      </c>
      <c r="B5705" s="5">
        <v>238</v>
      </c>
      <c r="C5705" s="5">
        <v>8</v>
      </c>
      <c r="D5705" s="379">
        <v>138.88888888888889</v>
      </c>
      <c r="E5705" s="25">
        <v>24</v>
      </c>
      <c r="F5705" s="379">
        <v>0.79246177339824175</v>
      </c>
      <c r="G5705" s="25">
        <v>33.799999999999997</v>
      </c>
      <c r="H5705" s="379">
        <v>2.983374850025141E-2</v>
      </c>
      <c r="I5705" s="25">
        <v>33.67</v>
      </c>
      <c r="J5705" s="379">
        <v>2.777777777777778E-2</v>
      </c>
    </row>
    <row r="5706" spans="1:10" x14ac:dyDescent="0.35">
      <c r="A5706" s="5">
        <v>5702</v>
      </c>
      <c r="B5706" s="5">
        <v>238</v>
      </c>
      <c r="C5706" s="5">
        <v>8</v>
      </c>
      <c r="D5706" s="379">
        <v>138.88888888888889</v>
      </c>
      <c r="E5706" s="25">
        <v>23.59</v>
      </c>
      <c r="F5706" s="379">
        <v>0.79246177339824175</v>
      </c>
      <c r="G5706" s="25">
        <v>33.799999999999997</v>
      </c>
      <c r="H5706" s="379">
        <v>2.983374850025141E-2</v>
      </c>
      <c r="I5706" s="25">
        <v>33.67</v>
      </c>
      <c r="J5706" s="379">
        <v>2.777777777777778E-2</v>
      </c>
    </row>
    <row r="5707" spans="1:10" x14ac:dyDescent="0.35">
      <c r="A5707" s="5">
        <v>5703</v>
      </c>
      <c r="B5707" s="5">
        <v>238</v>
      </c>
      <c r="C5707" s="5">
        <v>8</v>
      </c>
      <c r="D5707" s="379">
        <v>138.88888888888889</v>
      </c>
      <c r="E5707" s="25">
        <v>23.59</v>
      </c>
      <c r="F5707" s="379">
        <v>0.86728079159879479</v>
      </c>
      <c r="G5707" s="25">
        <v>33.799999999999997</v>
      </c>
      <c r="H5707" s="379">
        <v>2.983374850025141E-2</v>
      </c>
      <c r="I5707" s="25">
        <v>33.67</v>
      </c>
      <c r="J5707" s="379">
        <v>2.777777777777778E-2</v>
      </c>
    </row>
    <row r="5708" spans="1:10" x14ac:dyDescent="0.35">
      <c r="A5708" s="5">
        <v>5704</v>
      </c>
      <c r="B5708" s="5">
        <v>238</v>
      </c>
      <c r="C5708" s="5">
        <v>8</v>
      </c>
      <c r="D5708" s="379">
        <v>138.88888888888889</v>
      </c>
      <c r="E5708" s="25">
        <v>24</v>
      </c>
      <c r="F5708" s="379">
        <v>1.1433017814616304</v>
      </c>
      <c r="G5708" s="25">
        <v>33.130000000000003</v>
      </c>
      <c r="H5708" s="379">
        <v>6.0870436498465595E-2</v>
      </c>
      <c r="I5708" s="25">
        <v>33.67</v>
      </c>
      <c r="J5708" s="379">
        <v>2.777777777777778E-2</v>
      </c>
    </row>
    <row r="5709" spans="1:10" x14ac:dyDescent="0.35">
      <c r="A5709" s="5">
        <v>5705</v>
      </c>
      <c r="B5709" s="5">
        <v>238</v>
      </c>
      <c r="C5709" s="5">
        <v>8</v>
      </c>
      <c r="D5709" s="379">
        <v>138.88888888888889</v>
      </c>
      <c r="E5709" s="25">
        <v>24.84</v>
      </c>
      <c r="F5709" s="379">
        <v>1.2648387354391974</v>
      </c>
      <c r="G5709" s="25">
        <v>33.799999999999997</v>
      </c>
      <c r="H5709" s="379">
        <v>0.45484172212100188</v>
      </c>
      <c r="I5709" s="25">
        <v>33.67</v>
      </c>
      <c r="J5709" s="379">
        <v>2.777777777777778E-2</v>
      </c>
    </row>
    <row r="5710" spans="1:10" x14ac:dyDescent="0.35">
      <c r="A5710" s="5">
        <v>5706</v>
      </c>
      <c r="B5710" s="5">
        <v>238</v>
      </c>
      <c r="C5710" s="5">
        <v>8</v>
      </c>
      <c r="D5710" s="379">
        <v>138.88888888888889</v>
      </c>
      <c r="E5710" s="25">
        <v>24.84</v>
      </c>
      <c r="F5710" s="379">
        <v>2.6416491641187259</v>
      </c>
      <c r="G5710" s="25">
        <v>39.770000000000003</v>
      </c>
      <c r="H5710" s="379">
        <v>0.45484172212100188</v>
      </c>
      <c r="I5710" s="25">
        <v>35.03</v>
      </c>
      <c r="J5710" s="379">
        <v>2.777777777777778E-2</v>
      </c>
    </row>
    <row r="5711" spans="1:10" x14ac:dyDescent="0.35">
      <c r="A5711" s="5">
        <v>5707</v>
      </c>
      <c r="B5711" s="5">
        <v>238</v>
      </c>
      <c r="C5711" s="5">
        <v>8</v>
      </c>
      <c r="D5711" s="379">
        <v>138.88888888888889</v>
      </c>
      <c r="E5711" s="25">
        <v>24.84</v>
      </c>
      <c r="F5711" s="379">
        <v>0.42271501829440783</v>
      </c>
      <c r="G5711" s="25">
        <v>39.770000000000003</v>
      </c>
      <c r="H5711" s="379">
        <v>0.14480167642852412</v>
      </c>
      <c r="I5711" s="25">
        <v>39.869999999999997</v>
      </c>
      <c r="J5711" s="379">
        <v>4.0687893899871694E-2</v>
      </c>
    </row>
    <row r="5712" spans="1:10" x14ac:dyDescent="0.35">
      <c r="A5712" s="5">
        <v>5708</v>
      </c>
      <c r="B5712" s="5">
        <v>238</v>
      </c>
      <c r="C5712" s="5">
        <v>8</v>
      </c>
      <c r="D5712" s="379">
        <v>138.88888888888889</v>
      </c>
      <c r="E5712" s="25">
        <v>24.84</v>
      </c>
      <c r="F5712" s="379">
        <v>0.30996474729798956</v>
      </c>
      <c r="G5712" s="25">
        <v>39.770000000000003</v>
      </c>
      <c r="H5712" s="379">
        <v>0.14480167642852412</v>
      </c>
      <c r="I5712" s="25">
        <v>47.37</v>
      </c>
      <c r="J5712" s="379">
        <v>0.14480167642852412</v>
      </c>
    </row>
    <row r="5713" spans="1:10" x14ac:dyDescent="0.35">
      <c r="A5713" s="5">
        <v>5709</v>
      </c>
      <c r="B5713" s="5">
        <v>238</v>
      </c>
      <c r="C5713" s="5">
        <v>8</v>
      </c>
      <c r="D5713" s="379">
        <v>138.88888888888889</v>
      </c>
      <c r="E5713" s="25">
        <v>24.84</v>
      </c>
      <c r="F5713" s="379">
        <v>0.34124985700017579</v>
      </c>
      <c r="G5713" s="25">
        <v>39.770000000000003</v>
      </c>
      <c r="H5713" s="379">
        <v>0.14480167642852412</v>
      </c>
      <c r="I5713" s="25">
        <v>46.69</v>
      </c>
      <c r="J5713" s="379">
        <v>0.11769233873853001</v>
      </c>
    </row>
    <row r="5714" spans="1:10" x14ac:dyDescent="0.35">
      <c r="A5714" s="5">
        <v>5710</v>
      </c>
      <c r="B5714" s="5">
        <v>238</v>
      </c>
      <c r="C5714" s="5">
        <v>8</v>
      </c>
      <c r="D5714" s="379">
        <v>138.88888888888889</v>
      </c>
      <c r="E5714" s="25">
        <v>24.84</v>
      </c>
      <c r="F5714" s="379">
        <v>0.33579699480818131</v>
      </c>
      <c r="G5714" s="25">
        <v>39.770000000000003</v>
      </c>
      <c r="H5714" s="379">
        <v>1.9393346912449589</v>
      </c>
      <c r="I5714" s="25">
        <v>46.69</v>
      </c>
      <c r="J5714" s="379">
        <v>2.777777777777778E-2</v>
      </c>
    </row>
    <row r="5715" spans="1:10" x14ac:dyDescent="0.35">
      <c r="A5715" s="5">
        <v>5711</v>
      </c>
      <c r="B5715" s="5">
        <v>238</v>
      </c>
      <c r="C5715" s="5">
        <v>8</v>
      </c>
      <c r="D5715" s="379">
        <v>138.88888888888889</v>
      </c>
      <c r="E5715" s="25">
        <v>24.84</v>
      </c>
      <c r="F5715" s="379">
        <v>0.19003987581797357</v>
      </c>
      <c r="G5715" s="25">
        <v>35.94</v>
      </c>
      <c r="H5715" s="379">
        <v>1.9393346912449589</v>
      </c>
      <c r="I5715" s="25">
        <v>36.28</v>
      </c>
      <c r="J5715" s="379">
        <v>2.777777777777778E-2</v>
      </c>
    </row>
    <row r="5716" spans="1:10" x14ac:dyDescent="0.35">
      <c r="A5716" s="5">
        <v>5712</v>
      </c>
      <c r="B5716" s="5">
        <v>238</v>
      </c>
      <c r="C5716" s="5">
        <v>8</v>
      </c>
      <c r="D5716" s="379">
        <v>138.88888888888889</v>
      </c>
      <c r="E5716" s="25">
        <v>24</v>
      </c>
      <c r="F5716" s="379">
        <v>2.777777777777778E-2</v>
      </c>
      <c r="G5716" s="25">
        <v>33.130000000000003</v>
      </c>
      <c r="H5716" s="379">
        <v>1.9393346912449589</v>
      </c>
      <c r="I5716" s="25">
        <v>33.67</v>
      </c>
      <c r="J5716" s="379">
        <v>2.777777777777778E-2</v>
      </c>
    </row>
    <row r="5717" spans="1:10" x14ac:dyDescent="0.35">
      <c r="A5717" s="5">
        <v>5713</v>
      </c>
      <c r="B5717" s="5">
        <v>239</v>
      </c>
      <c r="C5717" s="5">
        <v>8</v>
      </c>
      <c r="D5717" s="379">
        <v>138.88888888888889</v>
      </c>
      <c r="E5717" s="25">
        <v>23.59</v>
      </c>
      <c r="F5717" s="379">
        <v>0.21889834259517099</v>
      </c>
      <c r="G5717" s="25">
        <v>33.799999999999997</v>
      </c>
      <c r="H5717" s="379">
        <v>1.917815057382362</v>
      </c>
      <c r="I5717" s="25">
        <v>34.25</v>
      </c>
      <c r="J5717" s="379">
        <v>2.777777777777778E-2</v>
      </c>
    </row>
    <row r="5718" spans="1:10" x14ac:dyDescent="0.35">
      <c r="A5718" s="5">
        <v>5714</v>
      </c>
      <c r="B5718" s="5">
        <v>239</v>
      </c>
      <c r="C5718" s="5">
        <v>8</v>
      </c>
      <c r="D5718" s="379">
        <v>138.88888888888889</v>
      </c>
      <c r="E5718" s="25">
        <v>23.41</v>
      </c>
      <c r="F5718" s="379">
        <v>0.16639438121705571</v>
      </c>
      <c r="G5718" s="25">
        <v>32.47</v>
      </c>
      <c r="H5718" s="379">
        <v>1.917815057382362</v>
      </c>
      <c r="I5718" s="25">
        <v>34.25</v>
      </c>
      <c r="J5718" s="379">
        <v>2.777777777777778E-2</v>
      </c>
    </row>
    <row r="5719" spans="1:10" x14ac:dyDescent="0.35">
      <c r="A5719" s="5">
        <v>5715</v>
      </c>
      <c r="B5719" s="5">
        <v>239</v>
      </c>
      <c r="C5719" s="5">
        <v>8</v>
      </c>
      <c r="D5719" s="379">
        <v>137.86500000000001</v>
      </c>
      <c r="E5719" s="25">
        <v>23.59</v>
      </c>
      <c r="F5719" s="379">
        <v>0.3221853493182753</v>
      </c>
      <c r="G5719" s="25">
        <v>32.130000000000003</v>
      </c>
      <c r="H5719" s="379">
        <v>1.875552840195911</v>
      </c>
      <c r="I5719" s="25">
        <v>34.25</v>
      </c>
      <c r="J5719" s="379">
        <v>2.777777777777778E-2</v>
      </c>
    </row>
    <row r="5720" spans="1:10" x14ac:dyDescent="0.35">
      <c r="A5720" s="5">
        <v>5716</v>
      </c>
      <c r="B5720" s="5">
        <v>239</v>
      </c>
      <c r="C5720" s="5">
        <v>8</v>
      </c>
      <c r="D5720" s="379">
        <v>133.64500000000001</v>
      </c>
      <c r="E5720" s="25">
        <v>23.59</v>
      </c>
      <c r="F5720" s="379">
        <v>0.29053564696165035</v>
      </c>
      <c r="G5720" s="25">
        <v>33.799999999999997</v>
      </c>
      <c r="H5720" s="379">
        <v>1.875552840195911</v>
      </c>
      <c r="I5720" s="25">
        <v>34.68</v>
      </c>
      <c r="J5720" s="379">
        <v>7.2694993263698424E-2</v>
      </c>
    </row>
    <row r="5721" spans="1:10" x14ac:dyDescent="0.35">
      <c r="A5721" s="5">
        <v>5717</v>
      </c>
      <c r="B5721" s="5">
        <v>239</v>
      </c>
      <c r="C5721" s="5">
        <v>8</v>
      </c>
      <c r="D5721" s="379">
        <v>136.29944444444445</v>
      </c>
      <c r="E5721" s="25">
        <v>23.84</v>
      </c>
      <c r="F5721" s="379">
        <v>0.28713586393704243</v>
      </c>
      <c r="G5721" s="25">
        <v>33.799999999999997</v>
      </c>
      <c r="H5721" s="379">
        <v>1.906589528194125</v>
      </c>
      <c r="I5721" s="25">
        <v>35.92</v>
      </c>
      <c r="J5721" s="379">
        <v>4.571950557227334E-2</v>
      </c>
    </row>
    <row r="5722" spans="1:10" x14ac:dyDescent="0.35">
      <c r="A5722" s="5">
        <v>5718</v>
      </c>
      <c r="B5722" s="5">
        <v>239</v>
      </c>
      <c r="C5722" s="5">
        <v>8</v>
      </c>
      <c r="D5722" s="379">
        <v>138.88888888888889</v>
      </c>
      <c r="E5722" s="25">
        <v>24.84</v>
      </c>
      <c r="F5722" s="379">
        <v>0.29248780625334797</v>
      </c>
      <c r="G5722" s="25">
        <v>41.77</v>
      </c>
      <c r="H5722" s="379">
        <v>9.8670187019100089E-2</v>
      </c>
      <c r="I5722" s="25">
        <v>36.549999999999997</v>
      </c>
      <c r="J5722" s="379">
        <v>1.4104516054006415</v>
      </c>
    </row>
    <row r="5723" spans="1:10" x14ac:dyDescent="0.35">
      <c r="A5723" s="5">
        <v>5719</v>
      </c>
      <c r="B5723" s="5">
        <v>239</v>
      </c>
      <c r="C5723" s="5">
        <v>8</v>
      </c>
      <c r="D5723" s="379">
        <v>138.88888888888889</v>
      </c>
      <c r="E5723" s="25">
        <v>24.84</v>
      </c>
      <c r="F5723" s="379">
        <v>4.2895022932529328</v>
      </c>
      <c r="G5723" s="25">
        <v>42.29</v>
      </c>
      <c r="H5723" s="379">
        <v>9.1959893670668438E-2</v>
      </c>
      <c r="I5723" s="25">
        <v>42.68</v>
      </c>
      <c r="J5723" s="379">
        <v>1.4104516054006415</v>
      </c>
    </row>
    <row r="5724" spans="1:10" x14ac:dyDescent="0.35">
      <c r="A5724" s="5">
        <v>5720</v>
      </c>
      <c r="B5724" s="5">
        <v>239</v>
      </c>
      <c r="C5724" s="5">
        <v>8</v>
      </c>
      <c r="D5724" s="379">
        <v>138.88888888888889</v>
      </c>
      <c r="E5724" s="25">
        <v>24.84</v>
      </c>
      <c r="F5724" s="379">
        <v>1.4588687779953122</v>
      </c>
      <c r="G5724" s="25">
        <v>43.56</v>
      </c>
      <c r="H5724" s="379">
        <v>2.3005608138166616</v>
      </c>
      <c r="I5724" s="25">
        <v>43.96</v>
      </c>
      <c r="J5724" s="379">
        <v>1.3605549470073204</v>
      </c>
    </row>
    <row r="5725" spans="1:10" x14ac:dyDescent="0.35">
      <c r="A5725" s="5">
        <v>5721</v>
      </c>
      <c r="B5725" s="5">
        <v>239</v>
      </c>
      <c r="C5725" s="5">
        <v>8</v>
      </c>
      <c r="D5725" s="379">
        <v>138.88888888888889</v>
      </c>
      <c r="E5725" s="25">
        <v>24.84</v>
      </c>
      <c r="F5725" s="379">
        <v>0.92469699095535463</v>
      </c>
      <c r="G5725" s="25">
        <v>42.29</v>
      </c>
      <c r="H5725" s="379">
        <v>2.3005608138166616</v>
      </c>
      <c r="I5725" s="25">
        <v>43.96</v>
      </c>
      <c r="J5725" s="379">
        <v>1.3605549470073204</v>
      </c>
    </row>
    <row r="5726" spans="1:10" x14ac:dyDescent="0.35">
      <c r="A5726" s="5">
        <v>5722</v>
      </c>
      <c r="B5726" s="5">
        <v>239</v>
      </c>
      <c r="C5726" s="5">
        <v>8</v>
      </c>
      <c r="D5726" s="379">
        <v>138.88888888888889</v>
      </c>
      <c r="E5726" s="25">
        <v>24.84</v>
      </c>
      <c r="F5726" s="379">
        <v>1.4510223215363689</v>
      </c>
      <c r="G5726" s="25">
        <v>42.29</v>
      </c>
      <c r="H5726" s="379">
        <v>2.1491295145286116</v>
      </c>
      <c r="I5726" s="25">
        <v>41.44</v>
      </c>
      <c r="J5726" s="379">
        <v>2.777777777777778E-2</v>
      </c>
    </row>
    <row r="5727" spans="1:10" x14ac:dyDescent="0.35">
      <c r="A5727" s="5">
        <v>5723</v>
      </c>
      <c r="B5727" s="5">
        <v>239</v>
      </c>
      <c r="C5727" s="5">
        <v>8</v>
      </c>
      <c r="D5727" s="379">
        <v>137.69611111111109</v>
      </c>
      <c r="E5727" s="25">
        <v>24.84</v>
      </c>
      <c r="F5727" s="379">
        <v>1.1524521608304601</v>
      </c>
      <c r="G5727" s="25">
        <v>42.29</v>
      </c>
      <c r="H5727" s="379">
        <v>1.906589528194125</v>
      </c>
      <c r="I5727" s="25">
        <v>36.92</v>
      </c>
      <c r="J5727" s="379">
        <v>2.777777777777778E-2</v>
      </c>
    </row>
    <row r="5728" spans="1:10" x14ac:dyDescent="0.35">
      <c r="A5728" s="5">
        <v>5724</v>
      </c>
      <c r="B5728" s="5">
        <v>239</v>
      </c>
      <c r="C5728" s="5">
        <v>8</v>
      </c>
      <c r="D5728" s="379">
        <v>131.02000000000001</v>
      </c>
      <c r="E5728" s="25">
        <v>24.84</v>
      </c>
      <c r="F5728" s="379">
        <v>0.44120553008189928</v>
      </c>
      <c r="G5728" s="25">
        <v>42.29</v>
      </c>
      <c r="H5728" s="379">
        <v>1.906589528194125</v>
      </c>
      <c r="I5728" s="25">
        <v>36.92</v>
      </c>
      <c r="J5728" s="379">
        <v>2.777777777777778E-2</v>
      </c>
    </row>
    <row r="5729" spans="1:10" x14ac:dyDescent="0.35">
      <c r="A5729" s="5">
        <v>5725</v>
      </c>
      <c r="B5729" s="5">
        <v>239</v>
      </c>
      <c r="C5729" s="5">
        <v>8</v>
      </c>
      <c r="D5729" s="379">
        <v>122.60111111111112</v>
      </c>
      <c r="E5729" s="25">
        <v>24.84</v>
      </c>
      <c r="F5729" s="379">
        <v>3.714477901822574</v>
      </c>
      <c r="G5729" s="25">
        <v>42.19</v>
      </c>
      <c r="H5729" s="379">
        <v>1.906589528194125</v>
      </c>
      <c r="I5729" s="25">
        <v>36.92</v>
      </c>
      <c r="J5729" s="379">
        <v>2.777777777777778E-2</v>
      </c>
    </row>
    <row r="5730" spans="1:10" x14ac:dyDescent="0.35">
      <c r="A5730" s="5">
        <v>5726</v>
      </c>
      <c r="B5730" s="5">
        <v>239</v>
      </c>
      <c r="C5730" s="5">
        <v>8</v>
      </c>
      <c r="D5730" s="379">
        <v>123.41777777777777</v>
      </c>
      <c r="E5730" s="25">
        <v>24.84</v>
      </c>
      <c r="F5730" s="379">
        <v>3.714477901822574</v>
      </c>
      <c r="G5730" s="25">
        <v>42.19</v>
      </c>
      <c r="H5730" s="379">
        <v>1.7286415589472539</v>
      </c>
      <c r="I5730" s="25">
        <v>36.92</v>
      </c>
      <c r="J5730" s="379">
        <v>2.777777777777778E-2</v>
      </c>
    </row>
    <row r="5731" spans="1:10" x14ac:dyDescent="0.35">
      <c r="A5731" s="5">
        <v>5727</v>
      </c>
      <c r="B5731" s="5">
        <v>239</v>
      </c>
      <c r="C5731" s="5">
        <v>8</v>
      </c>
      <c r="D5731" s="379">
        <v>117.81555555555555</v>
      </c>
      <c r="E5731" s="25">
        <v>24.84</v>
      </c>
      <c r="F5731" s="379">
        <v>3.714477901822574</v>
      </c>
      <c r="G5731" s="25">
        <v>42.17</v>
      </c>
      <c r="H5731" s="379">
        <v>1.7286415589472539</v>
      </c>
      <c r="I5731" s="25">
        <v>36.92</v>
      </c>
      <c r="J5731" s="379">
        <v>2.777777777777778E-2</v>
      </c>
    </row>
    <row r="5732" spans="1:10" x14ac:dyDescent="0.35">
      <c r="A5732" s="5">
        <v>5728</v>
      </c>
      <c r="B5732" s="5">
        <v>239</v>
      </c>
      <c r="C5732" s="5">
        <v>8</v>
      </c>
      <c r="D5732" s="379">
        <v>125.96944444444446</v>
      </c>
      <c r="E5732" s="25">
        <v>24.84</v>
      </c>
      <c r="F5732" s="379">
        <v>0.30468645427228225</v>
      </c>
      <c r="G5732" s="25">
        <v>42.29</v>
      </c>
      <c r="H5732" s="379">
        <v>1.906589528194125</v>
      </c>
      <c r="I5732" s="25">
        <v>36.92</v>
      </c>
      <c r="J5732" s="379">
        <v>2.777777777777778E-2</v>
      </c>
    </row>
    <row r="5733" spans="1:10" x14ac:dyDescent="0.35">
      <c r="A5733" s="5">
        <v>5729</v>
      </c>
      <c r="B5733" s="5">
        <v>239</v>
      </c>
      <c r="C5733" s="5">
        <v>8</v>
      </c>
      <c r="D5733" s="379">
        <v>138.88888888888889</v>
      </c>
      <c r="E5733" s="25">
        <v>24.84</v>
      </c>
      <c r="F5733" s="379">
        <v>4.8637133978469542</v>
      </c>
      <c r="G5733" s="25">
        <v>43.56</v>
      </c>
      <c r="H5733" s="379">
        <v>0.32758638391119749</v>
      </c>
      <c r="I5733" s="25">
        <v>48.86</v>
      </c>
      <c r="J5733" s="379">
        <v>2.777777777777778E-2</v>
      </c>
    </row>
    <row r="5734" spans="1:10" x14ac:dyDescent="0.35">
      <c r="A5734" s="5">
        <v>5730</v>
      </c>
      <c r="B5734" s="5">
        <v>239</v>
      </c>
      <c r="C5734" s="5">
        <v>8</v>
      </c>
      <c r="D5734" s="379">
        <v>138.88888888888889</v>
      </c>
      <c r="E5734" s="25">
        <v>24.84</v>
      </c>
      <c r="F5734" s="379">
        <v>6.4450077470095195</v>
      </c>
      <c r="G5734" s="25">
        <v>43.56</v>
      </c>
      <c r="H5734" s="379">
        <v>2.5269161013587222</v>
      </c>
      <c r="I5734" s="25">
        <v>49.53</v>
      </c>
      <c r="J5734" s="379">
        <v>4.6216694567667735</v>
      </c>
    </row>
    <row r="5735" spans="1:10" x14ac:dyDescent="0.35">
      <c r="A5735" s="5">
        <v>5731</v>
      </c>
      <c r="B5735" s="5">
        <v>239</v>
      </c>
      <c r="C5735" s="5">
        <v>8</v>
      </c>
      <c r="D5735" s="379">
        <v>138.88888888888889</v>
      </c>
      <c r="E5735" s="25">
        <v>24.84</v>
      </c>
      <c r="F5735" s="379">
        <v>6.9705015532401271</v>
      </c>
      <c r="G5735" s="25">
        <v>43.56</v>
      </c>
      <c r="H5735" s="379">
        <v>4.3849457236236011</v>
      </c>
      <c r="I5735" s="25">
        <v>51.72</v>
      </c>
      <c r="J5735" s="379">
        <v>3.2404801401491703</v>
      </c>
    </row>
    <row r="5736" spans="1:10" x14ac:dyDescent="0.35">
      <c r="A5736" s="5">
        <v>5732</v>
      </c>
      <c r="B5736" s="5">
        <v>239</v>
      </c>
      <c r="C5736" s="5">
        <v>8</v>
      </c>
      <c r="D5736" s="379">
        <v>138.88888888888889</v>
      </c>
      <c r="E5736" s="25">
        <v>24.84</v>
      </c>
      <c r="F5736" s="379">
        <v>10.230592307364807</v>
      </c>
      <c r="G5736" s="25">
        <v>43.56</v>
      </c>
      <c r="H5736" s="379">
        <v>7.5693107858755537</v>
      </c>
      <c r="I5736" s="25">
        <v>53.51</v>
      </c>
      <c r="J5736" s="379">
        <v>0.24062502442532271</v>
      </c>
    </row>
    <row r="5737" spans="1:10" x14ac:dyDescent="0.35">
      <c r="A5737" s="5">
        <v>5733</v>
      </c>
      <c r="B5737" s="5">
        <v>239</v>
      </c>
      <c r="C5737" s="5">
        <v>8</v>
      </c>
      <c r="D5737" s="379">
        <v>138.88888888888889</v>
      </c>
      <c r="E5737" s="25">
        <v>24.84</v>
      </c>
      <c r="F5737" s="379">
        <v>10.812360692797593</v>
      </c>
      <c r="G5737" s="25">
        <v>43.56</v>
      </c>
      <c r="H5737" s="379">
        <v>7.6217883775684863</v>
      </c>
      <c r="I5737" s="25">
        <v>53.51</v>
      </c>
      <c r="J5737" s="379">
        <v>2.9255242268691135</v>
      </c>
    </row>
    <row r="5738" spans="1:10" x14ac:dyDescent="0.35">
      <c r="A5738" s="5">
        <v>5734</v>
      </c>
      <c r="B5738" s="5">
        <v>239</v>
      </c>
      <c r="C5738" s="5">
        <v>8</v>
      </c>
      <c r="D5738" s="379">
        <v>138.88888888888889</v>
      </c>
      <c r="E5738" s="25">
        <v>24.84</v>
      </c>
      <c r="F5738" s="379">
        <v>11.39471147115554</v>
      </c>
      <c r="G5738" s="25">
        <v>43.56</v>
      </c>
      <c r="H5738" s="379">
        <v>8.4496931755800126</v>
      </c>
      <c r="I5738" s="25">
        <v>53.51</v>
      </c>
      <c r="J5738" s="379">
        <v>0.35923047816374942</v>
      </c>
    </row>
    <row r="5739" spans="1:10" x14ac:dyDescent="0.35">
      <c r="A5739" s="5">
        <v>5735</v>
      </c>
      <c r="B5739" s="5">
        <v>239</v>
      </c>
      <c r="C5739" s="5">
        <v>8</v>
      </c>
      <c r="D5739" s="379">
        <v>138.88888888888889</v>
      </c>
      <c r="E5739" s="25">
        <v>24.84</v>
      </c>
      <c r="F5739" s="379">
        <v>9.3518037000009251</v>
      </c>
      <c r="G5739" s="25">
        <v>43.56</v>
      </c>
      <c r="H5739" s="379">
        <v>8.4364757692505332</v>
      </c>
      <c r="I5739" s="25">
        <v>53.27</v>
      </c>
      <c r="J5739" s="379">
        <v>5.5233164000573325</v>
      </c>
    </row>
    <row r="5740" spans="1:10" x14ac:dyDescent="0.35">
      <c r="A5740" s="5">
        <v>5736</v>
      </c>
      <c r="B5740" s="5">
        <v>239</v>
      </c>
      <c r="C5740" s="5">
        <v>8</v>
      </c>
      <c r="D5740" s="379">
        <v>138.88888888888889</v>
      </c>
      <c r="E5740" s="25">
        <v>24.84</v>
      </c>
      <c r="F5740" s="379">
        <v>9.3417389012513095</v>
      </c>
      <c r="G5740" s="25">
        <v>43.56</v>
      </c>
      <c r="H5740" s="379">
        <v>8.8492415744595352</v>
      </c>
      <c r="I5740" s="25">
        <v>52.55</v>
      </c>
      <c r="J5740" s="379">
        <v>6.2354857888082549</v>
      </c>
    </row>
    <row r="5741" spans="1:10" x14ac:dyDescent="0.35">
      <c r="A5741" s="5">
        <v>5737</v>
      </c>
      <c r="B5741" s="5">
        <v>240</v>
      </c>
      <c r="C5741" s="5">
        <v>8</v>
      </c>
      <c r="D5741" s="379">
        <v>130.67333333333332</v>
      </c>
      <c r="E5741" s="25">
        <v>24.84</v>
      </c>
      <c r="F5741" s="379">
        <v>9.4028222012156526</v>
      </c>
      <c r="G5741" s="25">
        <v>42.29</v>
      </c>
      <c r="H5741" s="379">
        <v>8.5589607291593204</v>
      </c>
      <c r="I5741" s="25">
        <v>49.53</v>
      </c>
      <c r="J5741" s="379">
        <v>4.5422085562496388</v>
      </c>
    </row>
    <row r="5742" spans="1:10" x14ac:dyDescent="0.35">
      <c r="A5742" s="5">
        <v>5738</v>
      </c>
      <c r="B5742" s="5">
        <v>240</v>
      </c>
      <c r="C5742" s="5">
        <v>8</v>
      </c>
      <c r="D5742" s="379">
        <v>124.48111111111112</v>
      </c>
      <c r="E5742" s="25">
        <v>24.84</v>
      </c>
      <c r="F5742" s="379">
        <v>9.4028222012156526</v>
      </c>
      <c r="G5742" s="25">
        <v>41.86</v>
      </c>
      <c r="H5742" s="379">
        <v>9.2412263035324695</v>
      </c>
      <c r="I5742" s="25">
        <v>48.86</v>
      </c>
      <c r="J5742" s="379">
        <v>5.9190981670478484</v>
      </c>
    </row>
    <row r="5743" spans="1:10" x14ac:dyDescent="0.35">
      <c r="A5743" s="5">
        <v>5739</v>
      </c>
      <c r="B5743" s="5">
        <v>240</v>
      </c>
      <c r="C5743" s="5">
        <v>8</v>
      </c>
      <c r="D5743" s="379">
        <v>117.90722222222222</v>
      </c>
      <c r="E5743" s="25">
        <v>24.84</v>
      </c>
      <c r="F5743" s="379">
        <v>9.4028222012156526</v>
      </c>
      <c r="G5743" s="25">
        <v>41.86</v>
      </c>
      <c r="H5743" s="379">
        <v>9.2314655261655698</v>
      </c>
      <c r="I5743" s="25">
        <v>47.79</v>
      </c>
      <c r="J5743" s="379">
        <v>6.3269446239521345</v>
      </c>
    </row>
    <row r="5744" spans="1:10" x14ac:dyDescent="0.35">
      <c r="A5744" s="5">
        <v>5740</v>
      </c>
      <c r="B5744" s="5">
        <v>240</v>
      </c>
      <c r="C5744" s="5">
        <v>8</v>
      </c>
      <c r="D5744" s="379">
        <v>117.85166666666666</v>
      </c>
      <c r="E5744" s="25">
        <v>24.84</v>
      </c>
      <c r="F5744" s="379">
        <v>10.797308593476661</v>
      </c>
      <c r="G5744" s="25">
        <v>41.86</v>
      </c>
      <c r="H5744" s="379">
        <v>8.7185336749686115</v>
      </c>
      <c r="I5744" s="25">
        <v>47.79</v>
      </c>
      <c r="J5744" s="379">
        <v>6.4184825136848049</v>
      </c>
    </row>
    <row r="5745" spans="1:10" x14ac:dyDescent="0.35">
      <c r="A5745" s="5">
        <v>5741</v>
      </c>
      <c r="B5745" s="5">
        <v>240</v>
      </c>
      <c r="C5745" s="5">
        <v>8</v>
      </c>
      <c r="D5745" s="379">
        <v>114.53555555555558</v>
      </c>
      <c r="E5745" s="25">
        <v>24.84</v>
      </c>
      <c r="F5745" s="379">
        <v>10.697750327682604</v>
      </c>
      <c r="G5745" s="25">
        <v>42.29</v>
      </c>
      <c r="H5745" s="379">
        <v>8.8235091868459428</v>
      </c>
      <c r="I5745" s="25">
        <v>47.79</v>
      </c>
      <c r="J5745" s="379">
        <v>6.8118419833074366</v>
      </c>
    </row>
    <row r="5746" spans="1:10" x14ac:dyDescent="0.35">
      <c r="A5746" s="5">
        <v>5742</v>
      </c>
      <c r="B5746" s="5">
        <v>240</v>
      </c>
      <c r="C5746" s="5">
        <v>8</v>
      </c>
      <c r="D5746" s="379">
        <v>118.60000000000001</v>
      </c>
      <c r="E5746" s="25">
        <v>24.84</v>
      </c>
      <c r="F5746" s="379">
        <v>10.410217567380684</v>
      </c>
      <c r="G5746" s="25">
        <v>42.29</v>
      </c>
      <c r="H5746" s="379">
        <v>8.6371640282141104</v>
      </c>
      <c r="I5746" s="25">
        <v>48.86</v>
      </c>
      <c r="J5746" s="379">
        <v>6.8986585265167886</v>
      </c>
    </row>
    <row r="5747" spans="1:10" x14ac:dyDescent="0.35">
      <c r="A5747" s="5">
        <v>5743</v>
      </c>
      <c r="B5747" s="5">
        <v>240</v>
      </c>
      <c r="C5747" s="5">
        <v>8</v>
      </c>
      <c r="D5747" s="379">
        <v>122.17666666666665</v>
      </c>
      <c r="E5747" s="25">
        <v>24.84</v>
      </c>
      <c r="F5747" s="379">
        <v>12.064741259952248</v>
      </c>
      <c r="G5747" s="25">
        <v>42.29</v>
      </c>
      <c r="H5747" s="379">
        <v>8.9053439535301049</v>
      </c>
      <c r="I5747" s="25">
        <v>51.02</v>
      </c>
      <c r="J5747" s="379">
        <v>6.7994953585088052</v>
      </c>
    </row>
    <row r="5748" spans="1:10" x14ac:dyDescent="0.35">
      <c r="A5748" s="5">
        <v>5744</v>
      </c>
      <c r="B5748" s="5">
        <v>240</v>
      </c>
      <c r="C5748" s="5">
        <v>8</v>
      </c>
      <c r="D5748" s="379">
        <v>124.72611111111111</v>
      </c>
      <c r="E5748" s="25">
        <v>24.84</v>
      </c>
      <c r="F5748" s="379">
        <v>9.291734333054869</v>
      </c>
      <c r="G5748" s="25">
        <v>43.56</v>
      </c>
      <c r="H5748" s="379">
        <v>7.4897935248849032</v>
      </c>
      <c r="I5748" s="25">
        <v>53.51</v>
      </c>
      <c r="J5748" s="379">
        <v>5.9693324783178339</v>
      </c>
    </row>
    <row r="5749" spans="1:10" x14ac:dyDescent="0.35">
      <c r="A5749" s="5">
        <v>5745</v>
      </c>
      <c r="B5749" s="5">
        <v>240</v>
      </c>
      <c r="C5749" s="5">
        <v>8</v>
      </c>
      <c r="D5749" s="379">
        <v>118.06833333333333</v>
      </c>
      <c r="E5749" s="25">
        <v>24.84</v>
      </c>
      <c r="F5749" s="379">
        <v>7.8042420473745242</v>
      </c>
      <c r="G5749" s="25">
        <v>43.56</v>
      </c>
      <c r="H5749" s="379">
        <v>7.4897935248849032</v>
      </c>
      <c r="I5749" s="25">
        <v>53.51</v>
      </c>
      <c r="J5749" s="379">
        <v>6.2586979638405724</v>
      </c>
    </row>
    <row r="5750" spans="1:10" x14ac:dyDescent="0.35">
      <c r="A5750" s="5">
        <v>5746</v>
      </c>
      <c r="B5750" s="5">
        <v>240</v>
      </c>
      <c r="C5750" s="5">
        <v>8</v>
      </c>
      <c r="D5750" s="379">
        <v>98.513333333333321</v>
      </c>
      <c r="E5750" s="25">
        <v>24.84</v>
      </c>
      <c r="F5750" s="379">
        <v>7.3971104788481536</v>
      </c>
      <c r="G5750" s="25">
        <v>42.29</v>
      </c>
      <c r="H5750" s="379">
        <v>4.7891821424395529</v>
      </c>
      <c r="I5750" s="25">
        <v>47.92</v>
      </c>
      <c r="J5750" s="379">
        <v>6.5222764388570997E-2</v>
      </c>
    </row>
    <row r="5751" spans="1:10" x14ac:dyDescent="0.35">
      <c r="A5751" s="5">
        <v>5747</v>
      </c>
      <c r="B5751" s="5">
        <v>240</v>
      </c>
      <c r="C5751" s="5">
        <v>8</v>
      </c>
      <c r="D5751" s="379">
        <v>101.52611111111112</v>
      </c>
      <c r="E5751" s="25">
        <v>24.84</v>
      </c>
      <c r="F5751" s="379">
        <v>7.3374834595959593</v>
      </c>
      <c r="G5751" s="25">
        <v>42.29</v>
      </c>
      <c r="H5751" s="379">
        <v>0.47222222222222221</v>
      </c>
      <c r="I5751" s="25">
        <v>47.31</v>
      </c>
      <c r="J5751" s="379">
        <v>3.1390105422568277</v>
      </c>
    </row>
    <row r="5752" spans="1:10" x14ac:dyDescent="0.35">
      <c r="A5752" s="5">
        <v>5748</v>
      </c>
      <c r="B5752" s="5">
        <v>240</v>
      </c>
      <c r="C5752" s="5">
        <v>8</v>
      </c>
      <c r="D5752" s="379">
        <v>82.229444444444439</v>
      </c>
      <c r="E5752" s="25">
        <v>24.84</v>
      </c>
      <c r="F5752" s="379">
        <v>7.3374834595959584</v>
      </c>
      <c r="G5752" s="25">
        <v>41.86</v>
      </c>
      <c r="H5752" s="379">
        <v>0.84297541096738238</v>
      </c>
      <c r="I5752" s="25">
        <v>47.31</v>
      </c>
      <c r="J5752" s="379">
        <v>6.6735129848084884E-2</v>
      </c>
    </row>
    <row r="5753" spans="1:10" x14ac:dyDescent="0.35">
      <c r="A5753" s="5">
        <v>5749</v>
      </c>
      <c r="B5753" s="5">
        <v>240</v>
      </c>
      <c r="C5753" s="5">
        <v>8</v>
      </c>
      <c r="D5753" s="379">
        <v>74.892222222222216</v>
      </c>
      <c r="E5753" s="25">
        <v>23.84</v>
      </c>
      <c r="F5753" s="379">
        <v>5.0200356402541049</v>
      </c>
      <c r="G5753" s="25">
        <v>37.020000000000003</v>
      </c>
      <c r="H5753" s="379">
        <v>6.5213733573551398</v>
      </c>
      <c r="I5753" s="25">
        <v>47.31</v>
      </c>
      <c r="J5753" s="379">
        <v>2.1363297927452316</v>
      </c>
    </row>
    <row r="5754" spans="1:10" x14ac:dyDescent="0.35">
      <c r="A5754" s="5">
        <v>5750</v>
      </c>
      <c r="B5754" s="5">
        <v>240</v>
      </c>
      <c r="C5754" s="5">
        <v>8</v>
      </c>
      <c r="D5754" s="379">
        <v>77.578888888888883</v>
      </c>
      <c r="E5754" s="25">
        <v>23.84</v>
      </c>
      <c r="F5754" s="379">
        <v>6.1212734620039031</v>
      </c>
      <c r="G5754" s="25">
        <v>37.020000000000003</v>
      </c>
      <c r="H5754" s="379">
        <v>6.8211506758427456</v>
      </c>
      <c r="I5754" s="25">
        <v>47.31</v>
      </c>
      <c r="J5754" s="379">
        <v>2.1363297927452316</v>
      </c>
    </row>
    <row r="5755" spans="1:10" x14ac:dyDescent="0.35">
      <c r="A5755" s="5">
        <v>5751</v>
      </c>
      <c r="B5755" s="5">
        <v>240</v>
      </c>
      <c r="C5755" s="5">
        <v>8</v>
      </c>
      <c r="D5755" s="379">
        <v>74.666111111111107</v>
      </c>
      <c r="E5755" s="25">
        <v>24.44</v>
      </c>
      <c r="F5755" s="379">
        <v>5.6882479298547706</v>
      </c>
      <c r="G5755" s="25">
        <v>37.020000000000003</v>
      </c>
      <c r="H5755" s="379">
        <v>6.8211506758427456</v>
      </c>
      <c r="I5755" s="25">
        <v>47.31</v>
      </c>
      <c r="J5755" s="379">
        <v>2.1363297927452316</v>
      </c>
    </row>
    <row r="5756" spans="1:10" x14ac:dyDescent="0.35">
      <c r="A5756" s="5">
        <v>5752</v>
      </c>
      <c r="B5756" s="5">
        <v>240</v>
      </c>
      <c r="C5756" s="5">
        <v>8</v>
      </c>
      <c r="D5756" s="379">
        <v>84.562777777777782</v>
      </c>
      <c r="E5756" s="25">
        <v>24.84</v>
      </c>
      <c r="F5756" s="379">
        <v>5.0200356402541049</v>
      </c>
      <c r="G5756" s="25">
        <v>41.86</v>
      </c>
      <c r="H5756" s="379">
        <v>0.77502001585007652</v>
      </c>
      <c r="I5756" s="25">
        <v>47.31</v>
      </c>
      <c r="J5756" s="379">
        <v>2.1363297927452316</v>
      </c>
    </row>
    <row r="5757" spans="1:10" x14ac:dyDescent="0.35">
      <c r="A5757" s="5">
        <v>5753</v>
      </c>
      <c r="B5757" s="5">
        <v>240</v>
      </c>
      <c r="C5757" s="5">
        <v>8</v>
      </c>
      <c r="D5757" s="379">
        <v>115.52888888888889</v>
      </c>
      <c r="E5757" s="25">
        <v>24.84</v>
      </c>
      <c r="F5757" s="379">
        <v>5.7431069783162627</v>
      </c>
      <c r="G5757" s="25">
        <v>42.29</v>
      </c>
      <c r="H5757" s="379">
        <v>0.41951296814422467</v>
      </c>
      <c r="I5757" s="25">
        <v>47.31</v>
      </c>
      <c r="J5757" s="379">
        <v>3.3177438392474072</v>
      </c>
    </row>
    <row r="5758" spans="1:10" x14ac:dyDescent="0.35">
      <c r="A5758" s="5">
        <v>5754</v>
      </c>
      <c r="B5758" s="5">
        <v>240</v>
      </c>
      <c r="C5758" s="5">
        <v>8</v>
      </c>
      <c r="D5758" s="379">
        <v>138.88888888888889</v>
      </c>
      <c r="E5758" s="25">
        <v>24.84</v>
      </c>
      <c r="F5758" s="379">
        <v>11.696924028134161</v>
      </c>
      <c r="G5758" s="25">
        <v>43.56</v>
      </c>
      <c r="H5758" s="379">
        <v>5.4013199838766326</v>
      </c>
      <c r="I5758" s="25">
        <v>51.02</v>
      </c>
      <c r="J5758" s="379">
        <v>4.2958638460760055</v>
      </c>
    </row>
    <row r="5759" spans="1:10" x14ac:dyDescent="0.35">
      <c r="A5759" s="5">
        <v>5755</v>
      </c>
      <c r="B5759" s="5">
        <v>240</v>
      </c>
      <c r="C5759" s="5">
        <v>8</v>
      </c>
      <c r="D5759" s="379">
        <v>138.88888888888889</v>
      </c>
      <c r="E5759" s="25">
        <v>24.84</v>
      </c>
      <c r="F5759" s="379">
        <v>12.131103303368731</v>
      </c>
      <c r="G5759" s="25">
        <v>43.56</v>
      </c>
      <c r="H5759" s="379">
        <v>6.9022940516248799</v>
      </c>
      <c r="I5759" s="25">
        <v>53.71</v>
      </c>
      <c r="J5759" s="379">
        <v>4.5057012529770537</v>
      </c>
    </row>
    <row r="5760" spans="1:10" x14ac:dyDescent="0.35">
      <c r="A5760" s="5">
        <v>5756</v>
      </c>
      <c r="B5760" s="5">
        <v>240</v>
      </c>
      <c r="C5760" s="5">
        <v>8</v>
      </c>
      <c r="D5760" s="379">
        <v>138.88888888888889</v>
      </c>
      <c r="E5760" s="25">
        <v>25.59</v>
      </c>
      <c r="F5760" s="379">
        <v>13.748316876274503</v>
      </c>
      <c r="G5760" s="25">
        <v>43.56</v>
      </c>
      <c r="H5760" s="379">
        <v>10.144094909335987</v>
      </c>
      <c r="I5760" s="25">
        <v>55.66</v>
      </c>
      <c r="J5760" s="379">
        <v>4.659473950450125</v>
      </c>
    </row>
    <row r="5761" spans="1:10" x14ac:dyDescent="0.35">
      <c r="A5761" s="5">
        <v>5757</v>
      </c>
      <c r="B5761" s="5">
        <v>240</v>
      </c>
      <c r="C5761" s="5">
        <v>8</v>
      </c>
      <c r="D5761" s="379">
        <v>138.88888888888889</v>
      </c>
      <c r="E5761" s="25">
        <v>25.48</v>
      </c>
      <c r="F5761" s="379">
        <v>14.807164427825342</v>
      </c>
      <c r="G5761" s="25">
        <v>43.56</v>
      </c>
      <c r="H5761" s="379">
        <v>9.4659448998440787</v>
      </c>
      <c r="I5761" s="25">
        <v>58.21</v>
      </c>
      <c r="J5761" s="379">
        <v>1.504776999691644</v>
      </c>
    </row>
    <row r="5762" spans="1:10" x14ac:dyDescent="0.35">
      <c r="A5762" s="5">
        <v>5758</v>
      </c>
      <c r="B5762" s="5">
        <v>240</v>
      </c>
      <c r="C5762" s="5">
        <v>8</v>
      </c>
      <c r="D5762" s="379">
        <v>138.88888888888889</v>
      </c>
      <c r="E5762" s="25">
        <v>25.29</v>
      </c>
      <c r="F5762" s="379">
        <v>13.950464738781127</v>
      </c>
      <c r="G5762" s="25">
        <v>43.56</v>
      </c>
      <c r="H5762" s="379">
        <v>9.6937398859157877</v>
      </c>
      <c r="I5762" s="25">
        <v>58.21</v>
      </c>
      <c r="J5762" s="379">
        <v>1.6290526386842086</v>
      </c>
    </row>
    <row r="5763" spans="1:10" x14ac:dyDescent="0.35">
      <c r="A5763" s="5">
        <v>5759</v>
      </c>
      <c r="B5763" s="5">
        <v>240</v>
      </c>
      <c r="C5763" s="5">
        <v>8</v>
      </c>
      <c r="D5763" s="379">
        <v>138.88888888888889</v>
      </c>
      <c r="E5763" s="25">
        <v>24.84</v>
      </c>
      <c r="F5763" s="379">
        <v>12.968740685637497</v>
      </c>
      <c r="G5763" s="25">
        <v>43.56</v>
      </c>
      <c r="H5763" s="379">
        <v>9.4043257356022547</v>
      </c>
      <c r="I5763" s="25">
        <v>55.95</v>
      </c>
      <c r="J5763" s="379">
        <v>3.8038746573841968</v>
      </c>
    </row>
    <row r="5764" spans="1:10" x14ac:dyDescent="0.35">
      <c r="A5764" s="5">
        <v>5760</v>
      </c>
      <c r="B5764" s="5">
        <v>240</v>
      </c>
      <c r="C5764" s="5">
        <v>8</v>
      </c>
      <c r="D5764" s="379">
        <v>138.88888888888889</v>
      </c>
      <c r="E5764" s="25">
        <v>24.84</v>
      </c>
      <c r="F5764" s="379">
        <v>13.961828811460734</v>
      </c>
      <c r="G5764" s="25">
        <v>42.29</v>
      </c>
      <c r="H5764" s="379">
        <v>8.3848245021047205</v>
      </c>
      <c r="I5764" s="25">
        <v>48.86</v>
      </c>
      <c r="J5764" s="379">
        <v>5.8346911574906528</v>
      </c>
    </row>
    <row r="5765" spans="1:10" x14ac:dyDescent="0.35">
      <c r="A5765" s="5">
        <v>5761</v>
      </c>
      <c r="B5765" s="5">
        <v>241</v>
      </c>
      <c r="C5765" s="5">
        <v>8</v>
      </c>
      <c r="D5765" s="379">
        <v>131.01444444444442</v>
      </c>
      <c r="E5765" s="25">
        <v>24.84</v>
      </c>
      <c r="F5765" s="379">
        <v>13.125511415282498</v>
      </c>
      <c r="G5765" s="25">
        <v>37.020000000000003</v>
      </c>
      <c r="H5765" s="379">
        <v>7.6054076697559658</v>
      </c>
      <c r="I5765" s="25">
        <v>45.49</v>
      </c>
      <c r="J5765" s="379">
        <v>5.3490755794663025</v>
      </c>
    </row>
    <row r="5766" spans="1:10" x14ac:dyDescent="0.35">
      <c r="A5766" s="5">
        <v>5762</v>
      </c>
      <c r="B5766" s="5">
        <v>241</v>
      </c>
      <c r="C5766" s="5">
        <v>8</v>
      </c>
      <c r="D5766" s="379">
        <v>127.25</v>
      </c>
      <c r="E5766" s="25">
        <v>24.84</v>
      </c>
      <c r="F5766" s="379">
        <v>13.824569866489123</v>
      </c>
      <c r="G5766" s="25">
        <v>37.020000000000003</v>
      </c>
      <c r="H5766" s="379">
        <v>8.7676192173889209</v>
      </c>
      <c r="I5766" s="25">
        <v>45.28</v>
      </c>
      <c r="J5766" s="379">
        <v>5.4978793665276005</v>
      </c>
    </row>
    <row r="5767" spans="1:10" x14ac:dyDescent="0.35">
      <c r="A5767" s="5">
        <v>5763</v>
      </c>
      <c r="B5767" s="5">
        <v>241</v>
      </c>
      <c r="C5767" s="5">
        <v>8</v>
      </c>
      <c r="D5767" s="379">
        <v>126.97499999999999</v>
      </c>
      <c r="E5767" s="25">
        <v>24.84</v>
      </c>
      <c r="F5767" s="379">
        <v>15.043940880984261</v>
      </c>
      <c r="G5767" s="25">
        <v>37.020000000000003</v>
      </c>
      <c r="H5767" s="379">
        <v>9.098669107426085</v>
      </c>
      <c r="I5767" s="25">
        <v>44.16</v>
      </c>
      <c r="J5767" s="379">
        <v>5.0118025867958504</v>
      </c>
    </row>
    <row r="5768" spans="1:10" x14ac:dyDescent="0.35">
      <c r="A5768" s="5">
        <v>5764</v>
      </c>
      <c r="B5768" s="5">
        <v>241</v>
      </c>
      <c r="C5768" s="5">
        <v>8</v>
      </c>
      <c r="D5768" s="379">
        <v>128.32277777777776</v>
      </c>
      <c r="E5768" s="25">
        <v>24.84</v>
      </c>
      <c r="F5768" s="379">
        <v>15.964352822828685</v>
      </c>
      <c r="G5768" s="25">
        <v>37.020000000000003</v>
      </c>
      <c r="H5768" s="379">
        <v>8.3714439440051951</v>
      </c>
      <c r="I5768" s="25">
        <v>44.16</v>
      </c>
      <c r="J5768" s="379">
        <v>4.2543502161239237</v>
      </c>
    </row>
    <row r="5769" spans="1:10" x14ac:dyDescent="0.35">
      <c r="A5769" s="5">
        <v>5765</v>
      </c>
      <c r="B5769" s="5">
        <v>241</v>
      </c>
      <c r="C5769" s="5">
        <v>8</v>
      </c>
      <c r="D5769" s="379">
        <v>138.88888888888889</v>
      </c>
      <c r="E5769" s="25">
        <v>24.84</v>
      </c>
      <c r="F5769" s="379">
        <v>15.36671704522891</v>
      </c>
      <c r="G5769" s="25">
        <v>37.020000000000003</v>
      </c>
      <c r="H5769" s="379">
        <v>9.0606647457127227</v>
      </c>
      <c r="I5769" s="25">
        <v>46.85</v>
      </c>
      <c r="J5769" s="379">
        <v>5.4385796806415643</v>
      </c>
    </row>
    <row r="5770" spans="1:10" x14ac:dyDescent="0.35">
      <c r="A5770" s="5">
        <v>5766</v>
      </c>
      <c r="B5770" s="5">
        <v>241</v>
      </c>
      <c r="C5770" s="5">
        <v>8</v>
      </c>
      <c r="D5770" s="379">
        <v>138.88888888888889</v>
      </c>
      <c r="E5770" s="25">
        <v>24.84</v>
      </c>
      <c r="F5770" s="379">
        <v>15.487451915532432</v>
      </c>
      <c r="G5770" s="25">
        <v>37.020000000000003</v>
      </c>
      <c r="H5770" s="379">
        <v>7.3914243766367029</v>
      </c>
      <c r="I5770" s="25">
        <v>46.85</v>
      </c>
      <c r="J5770" s="379">
        <v>5.6464965655387536</v>
      </c>
    </row>
    <row r="5771" spans="1:10" x14ac:dyDescent="0.35">
      <c r="A5771" s="5">
        <v>5767</v>
      </c>
      <c r="B5771" s="5">
        <v>241</v>
      </c>
      <c r="C5771" s="5">
        <v>8</v>
      </c>
      <c r="D5771" s="379">
        <v>138.88888888888889</v>
      </c>
      <c r="E5771" s="25">
        <v>24.84</v>
      </c>
      <c r="F5771" s="379">
        <v>15.253980339652959</v>
      </c>
      <c r="G5771" s="25">
        <v>37.020000000000003</v>
      </c>
      <c r="H5771" s="379">
        <v>7.4003609693551384</v>
      </c>
      <c r="I5771" s="25">
        <v>46.85</v>
      </c>
      <c r="J5771" s="379">
        <v>4.1737517547450613</v>
      </c>
    </row>
    <row r="5772" spans="1:10" x14ac:dyDescent="0.35">
      <c r="A5772" s="5">
        <v>5768</v>
      </c>
      <c r="B5772" s="5">
        <v>241</v>
      </c>
      <c r="C5772" s="5">
        <v>8</v>
      </c>
      <c r="D5772" s="379">
        <v>138.88888888888889</v>
      </c>
      <c r="E5772" s="25">
        <v>24.84</v>
      </c>
      <c r="F5772" s="379">
        <v>12.521772509952246</v>
      </c>
      <c r="G5772" s="25">
        <v>37.020000000000003</v>
      </c>
      <c r="H5772" s="379">
        <v>7.4495628076312563</v>
      </c>
      <c r="I5772" s="25">
        <v>47.32</v>
      </c>
      <c r="J5772" s="379">
        <v>4.4662577839358066</v>
      </c>
    </row>
    <row r="5773" spans="1:10" x14ac:dyDescent="0.35">
      <c r="A5773" s="5">
        <v>5769</v>
      </c>
      <c r="B5773" s="5">
        <v>241</v>
      </c>
      <c r="C5773" s="5">
        <v>8</v>
      </c>
      <c r="D5773" s="379">
        <v>138.88888888888889</v>
      </c>
      <c r="E5773" s="25">
        <v>24.84</v>
      </c>
      <c r="F5773" s="379">
        <v>8.1174834595959577</v>
      </c>
      <c r="G5773" s="25">
        <v>37.020000000000003</v>
      </c>
      <c r="H5773" s="379">
        <v>7.352616658648147</v>
      </c>
      <c r="I5773" s="25">
        <v>44.16</v>
      </c>
      <c r="J5773" s="379">
        <v>5.7009212643916332</v>
      </c>
    </row>
    <row r="5774" spans="1:10" x14ac:dyDescent="0.35">
      <c r="A5774" s="5">
        <v>5770</v>
      </c>
      <c r="B5774" s="5">
        <v>241</v>
      </c>
      <c r="C5774" s="5">
        <v>8</v>
      </c>
      <c r="D5774" s="379">
        <v>138.88888888888889</v>
      </c>
      <c r="E5774" s="25">
        <v>24.84</v>
      </c>
      <c r="F5774" s="379">
        <v>8.1174834595959577</v>
      </c>
      <c r="G5774" s="25">
        <v>31.84</v>
      </c>
      <c r="H5774" s="379">
        <v>7.3021485579210053</v>
      </c>
      <c r="I5774" s="25">
        <v>35.72</v>
      </c>
      <c r="J5774" s="379">
        <v>3.5594590289585795</v>
      </c>
    </row>
    <row r="5775" spans="1:10" x14ac:dyDescent="0.35">
      <c r="A5775" s="5">
        <v>5771</v>
      </c>
      <c r="B5775" s="5">
        <v>241</v>
      </c>
      <c r="C5775" s="5">
        <v>8</v>
      </c>
      <c r="D5775" s="379">
        <v>138.88888888888889</v>
      </c>
      <c r="E5775" s="25">
        <v>24.84</v>
      </c>
      <c r="F5775" s="379">
        <v>5.1017781748723623</v>
      </c>
      <c r="G5775" s="25">
        <v>31.84</v>
      </c>
      <c r="H5775" s="379">
        <v>7.3021485579210053</v>
      </c>
      <c r="I5775" s="25">
        <v>35.72</v>
      </c>
      <c r="J5775" s="379">
        <v>1.3220362494254645</v>
      </c>
    </row>
    <row r="5776" spans="1:10" x14ac:dyDescent="0.35">
      <c r="A5776" s="5">
        <v>5772</v>
      </c>
      <c r="B5776" s="5">
        <v>241</v>
      </c>
      <c r="C5776" s="5">
        <v>8</v>
      </c>
      <c r="D5776" s="379">
        <v>133.22499999999999</v>
      </c>
      <c r="E5776" s="25">
        <v>24.84</v>
      </c>
      <c r="F5776" s="379">
        <v>5.3837097714493884</v>
      </c>
      <c r="G5776" s="25">
        <v>31.84</v>
      </c>
      <c r="H5776" s="379">
        <v>3.4863360196119562</v>
      </c>
      <c r="I5776" s="25">
        <v>35.72</v>
      </c>
      <c r="J5776" s="379">
        <v>1.2334984902755124</v>
      </c>
    </row>
    <row r="5777" spans="1:10" x14ac:dyDescent="0.35">
      <c r="A5777" s="5">
        <v>5773</v>
      </c>
      <c r="B5777" s="5">
        <v>241</v>
      </c>
      <c r="C5777" s="5">
        <v>8</v>
      </c>
      <c r="D5777" s="379">
        <v>134.32222222222219</v>
      </c>
      <c r="E5777" s="25">
        <v>23.84</v>
      </c>
      <c r="F5777" s="379">
        <v>5.1017781748723623</v>
      </c>
      <c r="G5777" s="25">
        <v>31.11</v>
      </c>
      <c r="H5777" s="379">
        <v>7.2195739696901056</v>
      </c>
      <c r="I5777" s="25">
        <v>35.72</v>
      </c>
      <c r="J5777" s="379">
        <v>1.1014585456954511</v>
      </c>
    </row>
    <row r="5778" spans="1:10" x14ac:dyDescent="0.35">
      <c r="A5778" s="5">
        <v>5774</v>
      </c>
      <c r="B5778" s="5">
        <v>241</v>
      </c>
      <c r="C5778" s="5">
        <v>8</v>
      </c>
      <c r="D5778" s="379">
        <v>134.86555555555555</v>
      </c>
      <c r="E5778" s="25">
        <v>23.84</v>
      </c>
      <c r="F5778" s="379">
        <v>4.899776670914556</v>
      </c>
      <c r="G5778" s="25">
        <v>31.11</v>
      </c>
      <c r="H5778" s="379">
        <v>7.3021485579210053</v>
      </c>
      <c r="I5778" s="25">
        <v>35.72</v>
      </c>
      <c r="J5778" s="379">
        <v>1.164197375301212</v>
      </c>
    </row>
    <row r="5779" spans="1:10" x14ac:dyDescent="0.35">
      <c r="A5779" s="5">
        <v>5775</v>
      </c>
      <c r="B5779" s="5">
        <v>241</v>
      </c>
      <c r="C5779" s="5">
        <v>8</v>
      </c>
      <c r="D5779" s="379">
        <v>138.88888888888889</v>
      </c>
      <c r="E5779" s="25">
        <v>23.84</v>
      </c>
      <c r="F5779" s="379">
        <v>5.1017781748723623</v>
      </c>
      <c r="G5779" s="25">
        <v>31.24</v>
      </c>
      <c r="H5779" s="379">
        <v>7.2219482186876363</v>
      </c>
      <c r="I5779" s="25">
        <v>35.72</v>
      </c>
      <c r="J5779" s="379">
        <v>1.2836792411116966</v>
      </c>
    </row>
    <row r="5780" spans="1:10" x14ac:dyDescent="0.35">
      <c r="A5780" s="5">
        <v>5776</v>
      </c>
      <c r="B5780" s="5">
        <v>241</v>
      </c>
      <c r="C5780" s="5">
        <v>8</v>
      </c>
      <c r="D5780" s="379">
        <v>138.88888888888889</v>
      </c>
      <c r="E5780" s="25">
        <v>24</v>
      </c>
      <c r="F5780" s="379">
        <v>8.1174834595959613</v>
      </c>
      <c r="G5780" s="25">
        <v>31.84</v>
      </c>
      <c r="H5780" s="379">
        <v>4.6303600709426185</v>
      </c>
      <c r="I5780" s="25">
        <v>35.72</v>
      </c>
      <c r="J5780" s="379">
        <v>1.7061013786045673</v>
      </c>
    </row>
    <row r="5781" spans="1:10" x14ac:dyDescent="0.35">
      <c r="A5781" s="5">
        <v>5777</v>
      </c>
      <c r="B5781" s="5">
        <v>241</v>
      </c>
      <c r="C5781" s="5">
        <v>8</v>
      </c>
      <c r="D5781" s="379">
        <v>138.88888888888889</v>
      </c>
      <c r="E5781" s="25">
        <v>24.84</v>
      </c>
      <c r="F5781" s="379">
        <v>8.4090485103212895</v>
      </c>
      <c r="G5781" s="25">
        <v>31.84</v>
      </c>
      <c r="H5781" s="379">
        <v>7.7002976119946185</v>
      </c>
      <c r="I5781" s="25">
        <v>35.72</v>
      </c>
      <c r="J5781" s="379">
        <v>3.7967438187791491</v>
      </c>
    </row>
    <row r="5782" spans="1:10" x14ac:dyDescent="0.35">
      <c r="A5782" s="5">
        <v>5778</v>
      </c>
      <c r="B5782" s="5">
        <v>241</v>
      </c>
      <c r="C5782" s="5">
        <v>8</v>
      </c>
      <c r="D5782" s="379">
        <v>138.88888888888889</v>
      </c>
      <c r="E5782" s="25">
        <v>24.84</v>
      </c>
      <c r="F5782" s="379">
        <v>15.997515872053423</v>
      </c>
      <c r="G5782" s="25">
        <v>32.159999999999997</v>
      </c>
      <c r="H5782" s="379">
        <v>9.3729825839567109</v>
      </c>
      <c r="I5782" s="25">
        <v>37.979999999999997</v>
      </c>
      <c r="J5782" s="379">
        <v>7.3454000908735129</v>
      </c>
    </row>
    <row r="5783" spans="1:10" x14ac:dyDescent="0.35">
      <c r="A5783" s="5">
        <v>5779</v>
      </c>
      <c r="B5783" s="5">
        <v>241</v>
      </c>
      <c r="C5783" s="5">
        <v>8</v>
      </c>
      <c r="D5783" s="379">
        <v>138.88888888888889</v>
      </c>
      <c r="E5783" s="25">
        <v>24.84</v>
      </c>
      <c r="F5783" s="379">
        <v>17.400652004440136</v>
      </c>
      <c r="G5783" s="25">
        <v>43.62</v>
      </c>
      <c r="H5783" s="379">
        <v>17.541117088532431</v>
      </c>
      <c r="I5783" s="25">
        <v>51.76</v>
      </c>
      <c r="J5783" s="379">
        <v>7.4678827004333792</v>
      </c>
    </row>
    <row r="5784" spans="1:10" x14ac:dyDescent="0.35">
      <c r="A5784" s="5">
        <v>5780</v>
      </c>
      <c r="B5784" s="5">
        <v>241</v>
      </c>
      <c r="C5784" s="5">
        <v>8</v>
      </c>
      <c r="D5784" s="379">
        <v>138.88888888888889</v>
      </c>
      <c r="E5784" s="25">
        <v>24.84</v>
      </c>
      <c r="F5784" s="379">
        <v>15.945744548857713</v>
      </c>
      <c r="G5784" s="25">
        <v>43.62</v>
      </c>
      <c r="H5784" s="379">
        <v>21.11773679897707</v>
      </c>
      <c r="I5784" s="25">
        <v>55.66</v>
      </c>
      <c r="J5784" s="379">
        <v>7.4678827004333792</v>
      </c>
    </row>
    <row r="5785" spans="1:10" x14ac:dyDescent="0.35">
      <c r="A5785" s="5">
        <v>5781</v>
      </c>
      <c r="B5785" s="5">
        <v>241</v>
      </c>
      <c r="C5785" s="5">
        <v>8</v>
      </c>
      <c r="D5785" s="379">
        <v>138.88888888888889</v>
      </c>
      <c r="E5785" s="25">
        <v>25.29</v>
      </c>
      <c r="F5785" s="379">
        <v>20.513000071004058</v>
      </c>
      <c r="G5785" s="25">
        <v>43.62</v>
      </c>
      <c r="H5785" s="379">
        <v>20.619094940267978</v>
      </c>
      <c r="I5785" s="25">
        <v>54.92</v>
      </c>
      <c r="J5785" s="379">
        <v>7.4678827004333792</v>
      </c>
    </row>
    <row r="5786" spans="1:10" x14ac:dyDescent="0.35">
      <c r="A5786" s="5">
        <v>5782</v>
      </c>
      <c r="B5786" s="5">
        <v>241</v>
      </c>
      <c r="C5786" s="5">
        <v>8</v>
      </c>
      <c r="D5786" s="379">
        <v>138.88888888888889</v>
      </c>
      <c r="E5786" s="25">
        <v>24.84</v>
      </c>
      <c r="F5786" s="379">
        <v>20.070524663210168</v>
      </c>
      <c r="G5786" s="25">
        <v>43.49</v>
      </c>
      <c r="H5786" s="379">
        <v>17.465125694806865</v>
      </c>
      <c r="I5786" s="25">
        <v>54.87</v>
      </c>
      <c r="J5786" s="379">
        <v>7.4678711343618778</v>
      </c>
    </row>
    <row r="5787" spans="1:10" x14ac:dyDescent="0.35">
      <c r="A5787" s="5">
        <v>5783</v>
      </c>
      <c r="B5787" s="5">
        <v>241</v>
      </c>
      <c r="C5787" s="5">
        <v>8</v>
      </c>
      <c r="D5787" s="379">
        <v>138.88888888888889</v>
      </c>
      <c r="E5787" s="25">
        <v>24.84</v>
      </c>
      <c r="F5787" s="379">
        <v>19.255335034962226</v>
      </c>
      <c r="G5787" s="25">
        <v>42.29</v>
      </c>
      <c r="H5787" s="379">
        <v>14.878742162801569</v>
      </c>
      <c r="I5787" s="25">
        <v>50.44</v>
      </c>
      <c r="J5787" s="379">
        <v>7.4678711343618804</v>
      </c>
    </row>
    <row r="5788" spans="1:10" x14ac:dyDescent="0.35">
      <c r="A5788" s="5">
        <v>5784</v>
      </c>
      <c r="B5788" s="5">
        <v>241</v>
      </c>
      <c r="C5788" s="5">
        <v>8</v>
      </c>
      <c r="D5788" s="379">
        <v>138.88888888888889</v>
      </c>
      <c r="E5788" s="25">
        <v>24.84</v>
      </c>
      <c r="F5788" s="379">
        <v>17.40395462544873</v>
      </c>
      <c r="G5788" s="25">
        <v>37.08</v>
      </c>
      <c r="H5788" s="379">
        <v>18.088380561352977</v>
      </c>
      <c r="I5788" s="25">
        <v>47.31</v>
      </c>
      <c r="J5788" s="379">
        <v>7.233775969136321</v>
      </c>
    </row>
    <row r="5789" spans="1:10" x14ac:dyDescent="0.35">
      <c r="A5789" s="5">
        <v>5785</v>
      </c>
      <c r="B5789" s="5">
        <v>242</v>
      </c>
      <c r="C5789" s="5">
        <v>8</v>
      </c>
      <c r="D5789" s="379">
        <v>138.88888888888889</v>
      </c>
      <c r="E5789" s="25">
        <v>24.84</v>
      </c>
      <c r="F5789" s="379">
        <v>17.520421710749019</v>
      </c>
      <c r="G5789" s="25">
        <v>42.29</v>
      </c>
      <c r="H5789" s="379">
        <v>17.247191643312394</v>
      </c>
      <c r="I5789" s="25">
        <v>52.55</v>
      </c>
      <c r="J5789" s="379">
        <v>7.2285422025522248</v>
      </c>
    </row>
    <row r="5790" spans="1:10" x14ac:dyDescent="0.35">
      <c r="A5790" s="5">
        <v>5786</v>
      </c>
      <c r="B5790" s="5">
        <v>242</v>
      </c>
      <c r="C5790" s="5">
        <v>8</v>
      </c>
      <c r="D5790" s="379">
        <v>138.88888888888889</v>
      </c>
      <c r="E5790" s="25">
        <v>24.84</v>
      </c>
      <c r="F5790" s="379">
        <v>16.743277177334335</v>
      </c>
      <c r="G5790" s="25">
        <v>37.08</v>
      </c>
      <c r="H5790" s="379">
        <v>16.183757379526575</v>
      </c>
      <c r="I5790" s="25">
        <v>52.55</v>
      </c>
      <c r="J5790" s="379">
        <v>7.2285422025522248</v>
      </c>
    </row>
    <row r="5791" spans="1:10" x14ac:dyDescent="0.35">
      <c r="A5791" s="5">
        <v>5787</v>
      </c>
      <c r="B5791" s="5">
        <v>242</v>
      </c>
      <c r="C5791" s="5">
        <v>8</v>
      </c>
      <c r="D5791" s="379">
        <v>138.88888888888889</v>
      </c>
      <c r="E5791" s="25">
        <v>24.84</v>
      </c>
      <c r="F5791" s="379">
        <v>17.332399694756468</v>
      </c>
      <c r="G5791" s="25">
        <v>37.08</v>
      </c>
      <c r="H5791" s="379">
        <v>15.1545853530749</v>
      </c>
      <c r="I5791" s="25">
        <v>51.02</v>
      </c>
      <c r="J5791" s="379">
        <v>7.2285422025522248</v>
      </c>
    </row>
    <row r="5792" spans="1:10" x14ac:dyDescent="0.35">
      <c r="A5792" s="5">
        <v>5788</v>
      </c>
      <c r="B5792" s="5">
        <v>242</v>
      </c>
      <c r="C5792" s="5">
        <v>8</v>
      </c>
      <c r="D5792" s="379">
        <v>138.37444444444444</v>
      </c>
      <c r="E5792" s="25">
        <v>24.84</v>
      </c>
      <c r="F5792" s="379">
        <v>17.155252123577196</v>
      </c>
      <c r="G5792" s="25">
        <v>37.08</v>
      </c>
      <c r="H5792" s="379">
        <v>14.458876032674354</v>
      </c>
      <c r="I5792" s="25">
        <v>52.55</v>
      </c>
      <c r="J5792" s="379">
        <v>7.2285422025522248</v>
      </c>
    </row>
    <row r="5793" spans="1:10" x14ac:dyDescent="0.35">
      <c r="A5793" s="5">
        <v>5789</v>
      </c>
      <c r="B5793" s="5">
        <v>242</v>
      </c>
      <c r="C5793" s="5">
        <v>8</v>
      </c>
      <c r="D5793" s="379">
        <v>138.88888888888889</v>
      </c>
      <c r="E5793" s="25">
        <v>24.84</v>
      </c>
      <c r="F5793" s="379">
        <v>19.296517968080209</v>
      </c>
      <c r="G5793" s="25">
        <v>43.12</v>
      </c>
      <c r="H5793" s="379">
        <v>15.91461674070214</v>
      </c>
      <c r="I5793" s="25">
        <v>52.55</v>
      </c>
      <c r="J5793" s="379">
        <v>7.1992919172408536</v>
      </c>
    </row>
    <row r="5794" spans="1:10" x14ac:dyDescent="0.35">
      <c r="A5794" s="5">
        <v>5790</v>
      </c>
      <c r="B5794" s="5">
        <v>242</v>
      </c>
      <c r="C5794" s="5">
        <v>8</v>
      </c>
      <c r="D5794" s="379">
        <v>138.88888888888889</v>
      </c>
      <c r="E5794" s="25">
        <v>24.84</v>
      </c>
      <c r="F5794" s="379">
        <v>18.968643671056821</v>
      </c>
      <c r="G5794" s="25">
        <v>43.56</v>
      </c>
      <c r="H5794" s="379">
        <v>16.861323352118063</v>
      </c>
      <c r="I5794" s="25">
        <v>53.27</v>
      </c>
      <c r="J5794" s="379">
        <v>7.1427397007073399</v>
      </c>
    </row>
    <row r="5795" spans="1:10" x14ac:dyDescent="0.35">
      <c r="A5795" s="5">
        <v>5791</v>
      </c>
      <c r="B5795" s="5">
        <v>242</v>
      </c>
      <c r="C5795" s="5">
        <v>8</v>
      </c>
      <c r="D5795" s="379">
        <v>138.88888888888889</v>
      </c>
      <c r="E5795" s="25">
        <v>24.99</v>
      </c>
      <c r="F5795" s="379">
        <v>22.367296488017629</v>
      </c>
      <c r="G5795" s="25">
        <v>47.46</v>
      </c>
      <c r="H5795" s="379">
        <v>16.002202455401108</v>
      </c>
      <c r="I5795" s="25">
        <v>62.44</v>
      </c>
      <c r="J5795" s="379">
        <v>7.0987122678356593</v>
      </c>
    </row>
    <row r="5796" spans="1:10" x14ac:dyDescent="0.35">
      <c r="A5796" s="5">
        <v>5792</v>
      </c>
      <c r="B5796" s="5">
        <v>242</v>
      </c>
      <c r="C5796" s="5">
        <v>8</v>
      </c>
      <c r="D5796" s="379">
        <v>138.88888888888889</v>
      </c>
      <c r="E5796" s="25">
        <v>25.59</v>
      </c>
      <c r="F5796" s="379">
        <v>23.5513350270461</v>
      </c>
      <c r="G5796" s="25">
        <v>47.46</v>
      </c>
      <c r="H5796" s="379">
        <v>12.127909944057357</v>
      </c>
      <c r="I5796" s="25">
        <v>66.06</v>
      </c>
      <c r="J5796" s="379">
        <v>7.2304379655470186</v>
      </c>
    </row>
    <row r="5797" spans="1:10" x14ac:dyDescent="0.35">
      <c r="A5797" s="5">
        <v>5793</v>
      </c>
      <c r="B5797" s="5">
        <v>242</v>
      </c>
      <c r="C5797" s="5">
        <v>8</v>
      </c>
      <c r="D5797" s="379">
        <v>138.88888888888889</v>
      </c>
      <c r="E5797" s="25">
        <v>25.59</v>
      </c>
      <c r="F5797" s="379">
        <v>18.263772015854247</v>
      </c>
      <c r="G5797" s="25">
        <v>47.46</v>
      </c>
      <c r="H5797" s="379">
        <v>8.9274438502302544</v>
      </c>
      <c r="I5797" s="25">
        <v>62.44</v>
      </c>
      <c r="J5797" s="379">
        <v>4.7448957574093411</v>
      </c>
    </row>
    <row r="5798" spans="1:10" x14ac:dyDescent="0.35">
      <c r="A5798" s="5">
        <v>5794</v>
      </c>
      <c r="B5798" s="5">
        <v>242</v>
      </c>
      <c r="C5798" s="5">
        <v>8</v>
      </c>
      <c r="D5798" s="379">
        <v>138.88888888888889</v>
      </c>
      <c r="E5798" s="25">
        <v>24.99</v>
      </c>
      <c r="F5798" s="379">
        <v>8.4958979336366145</v>
      </c>
      <c r="G5798" s="25">
        <v>46.98</v>
      </c>
      <c r="H5798" s="379">
        <v>4.799693804694658</v>
      </c>
      <c r="I5798" s="25">
        <v>56.77</v>
      </c>
      <c r="J5798" s="379">
        <v>3.2732764520202022</v>
      </c>
    </row>
    <row r="5799" spans="1:10" x14ac:dyDescent="0.35">
      <c r="A5799" s="5">
        <v>5795</v>
      </c>
      <c r="B5799" s="5">
        <v>242</v>
      </c>
      <c r="C5799" s="5">
        <v>8</v>
      </c>
      <c r="D5799" s="379">
        <v>138.88888888888889</v>
      </c>
      <c r="E5799" s="25">
        <v>24.99</v>
      </c>
      <c r="F5799" s="379">
        <v>8.1174834595959595</v>
      </c>
      <c r="G5799" s="25">
        <v>46.98</v>
      </c>
      <c r="H5799" s="379">
        <v>5.962012371850272</v>
      </c>
      <c r="I5799" s="25">
        <v>53.51</v>
      </c>
      <c r="J5799" s="379">
        <v>2.9375499747669696</v>
      </c>
    </row>
    <row r="5800" spans="1:10" x14ac:dyDescent="0.35">
      <c r="A5800" s="5">
        <v>5796</v>
      </c>
      <c r="B5800" s="5">
        <v>242</v>
      </c>
      <c r="C5800" s="5">
        <v>8</v>
      </c>
      <c r="D5800" s="379">
        <v>138.88888888888889</v>
      </c>
      <c r="E5800" s="25">
        <v>24.88</v>
      </c>
      <c r="F5800" s="379">
        <v>7.3392314664960541</v>
      </c>
      <c r="G5800" s="25">
        <v>44.74</v>
      </c>
      <c r="H5800" s="379">
        <v>4.799693804694658</v>
      </c>
      <c r="I5800" s="25">
        <v>53.08</v>
      </c>
      <c r="J5800" s="379">
        <v>2.8880274851386503</v>
      </c>
    </row>
    <row r="5801" spans="1:10" x14ac:dyDescent="0.35">
      <c r="A5801" s="5">
        <v>5797</v>
      </c>
      <c r="B5801" s="5">
        <v>242</v>
      </c>
      <c r="C5801" s="5">
        <v>8</v>
      </c>
      <c r="D5801" s="379">
        <v>138.68333333333334</v>
      </c>
      <c r="E5801" s="25">
        <v>24.84</v>
      </c>
      <c r="F5801" s="379">
        <v>7.3392314664960541</v>
      </c>
      <c r="G5801" s="25">
        <v>43.56</v>
      </c>
      <c r="H5801" s="379">
        <v>4.799693804694658</v>
      </c>
      <c r="I5801" s="25">
        <v>53.08</v>
      </c>
      <c r="J5801" s="379">
        <v>2.9375499747669696</v>
      </c>
    </row>
    <row r="5802" spans="1:10" x14ac:dyDescent="0.35">
      <c r="A5802" s="5">
        <v>5798</v>
      </c>
      <c r="B5802" s="5">
        <v>242</v>
      </c>
      <c r="C5802" s="5">
        <v>8</v>
      </c>
      <c r="D5802" s="379">
        <v>138.88888888888889</v>
      </c>
      <c r="E5802" s="25">
        <v>24.84</v>
      </c>
      <c r="F5802" s="379">
        <v>0.97679892798626233</v>
      </c>
      <c r="G5802" s="25">
        <v>43.56</v>
      </c>
      <c r="H5802" s="379">
        <v>4.799693804694658</v>
      </c>
      <c r="I5802" s="25">
        <v>53.08</v>
      </c>
      <c r="J5802" s="379">
        <v>2.9375499747669696</v>
      </c>
    </row>
    <row r="5803" spans="1:10" x14ac:dyDescent="0.35">
      <c r="A5803" s="5">
        <v>5799</v>
      </c>
      <c r="B5803" s="5">
        <v>242</v>
      </c>
      <c r="C5803" s="5">
        <v>8</v>
      </c>
      <c r="D5803" s="379">
        <v>138.88888888888889</v>
      </c>
      <c r="E5803" s="25">
        <v>24.84</v>
      </c>
      <c r="F5803" s="379">
        <v>0.19440489982822617</v>
      </c>
      <c r="G5803" s="25">
        <v>43.56</v>
      </c>
      <c r="H5803" s="379">
        <v>4.7996938046946598</v>
      </c>
      <c r="I5803" s="25">
        <v>53.08</v>
      </c>
      <c r="J5803" s="379">
        <v>3.1900712081543099</v>
      </c>
    </row>
    <row r="5804" spans="1:10" x14ac:dyDescent="0.35">
      <c r="A5804" s="5">
        <v>5800</v>
      </c>
      <c r="B5804" s="5">
        <v>242</v>
      </c>
      <c r="C5804" s="5">
        <v>8</v>
      </c>
      <c r="D5804" s="379">
        <v>138.88888888888889</v>
      </c>
      <c r="E5804" s="25">
        <v>24.88</v>
      </c>
      <c r="F5804" s="379">
        <v>1.0650506519418934</v>
      </c>
      <c r="G5804" s="25">
        <v>43.56</v>
      </c>
      <c r="H5804" s="379">
        <v>4.7996938046946598</v>
      </c>
      <c r="I5804" s="25">
        <v>53.08</v>
      </c>
      <c r="J5804" s="379">
        <v>3.3411454005719783</v>
      </c>
    </row>
    <row r="5805" spans="1:10" x14ac:dyDescent="0.35">
      <c r="A5805" s="5">
        <v>5801</v>
      </c>
      <c r="B5805" s="5">
        <v>242</v>
      </c>
      <c r="C5805" s="5">
        <v>8</v>
      </c>
      <c r="D5805" s="379">
        <v>138.88888888888889</v>
      </c>
      <c r="E5805" s="25">
        <v>24.99</v>
      </c>
      <c r="F5805" s="379">
        <v>13.025906622187446</v>
      </c>
      <c r="G5805" s="25">
        <v>46.98</v>
      </c>
      <c r="H5805" s="379">
        <v>11.715500624641781</v>
      </c>
      <c r="I5805" s="25">
        <v>53.27</v>
      </c>
      <c r="J5805" s="379">
        <v>6.6245269329303724</v>
      </c>
    </row>
    <row r="5806" spans="1:10" x14ac:dyDescent="0.35">
      <c r="A5806" s="5">
        <v>5802</v>
      </c>
      <c r="B5806" s="5">
        <v>242</v>
      </c>
      <c r="C5806" s="5">
        <v>8</v>
      </c>
      <c r="D5806" s="379">
        <v>138.88888888888889</v>
      </c>
      <c r="E5806" s="25">
        <v>25.74</v>
      </c>
      <c r="F5806" s="379">
        <v>23.922272320352601</v>
      </c>
      <c r="G5806" s="25">
        <v>47.46</v>
      </c>
      <c r="H5806" s="379">
        <v>24.848246652848061</v>
      </c>
      <c r="I5806" s="25">
        <v>58.7</v>
      </c>
      <c r="J5806" s="379">
        <v>7.2485578391323644</v>
      </c>
    </row>
    <row r="5807" spans="1:10" x14ac:dyDescent="0.35">
      <c r="A5807" s="5">
        <v>5803</v>
      </c>
      <c r="B5807" s="5">
        <v>242</v>
      </c>
      <c r="C5807" s="5">
        <v>8</v>
      </c>
      <c r="D5807" s="379">
        <v>138.88888888888889</v>
      </c>
      <c r="E5807" s="25">
        <v>25.74</v>
      </c>
      <c r="F5807" s="379">
        <v>24.285238860149132</v>
      </c>
      <c r="G5807" s="25">
        <v>47.46</v>
      </c>
      <c r="H5807" s="379">
        <v>26.675918483259387</v>
      </c>
      <c r="I5807" s="25">
        <v>64.14</v>
      </c>
      <c r="J5807" s="379">
        <v>7.1750321941455226</v>
      </c>
    </row>
    <row r="5808" spans="1:10" x14ac:dyDescent="0.35">
      <c r="A5808" s="5">
        <v>5804</v>
      </c>
      <c r="B5808" s="5">
        <v>242</v>
      </c>
      <c r="C5808" s="5">
        <v>8</v>
      </c>
      <c r="D5808" s="379">
        <v>138.88888888888889</v>
      </c>
      <c r="E5808" s="25">
        <v>26.51</v>
      </c>
      <c r="F5808" s="379">
        <v>23.328911020935788</v>
      </c>
      <c r="G5808" s="25">
        <v>47.46</v>
      </c>
      <c r="H5808" s="379">
        <v>27.131239138471987</v>
      </c>
      <c r="I5808" s="25">
        <v>66.06</v>
      </c>
      <c r="J5808" s="379">
        <v>6.987601014736712</v>
      </c>
    </row>
    <row r="5809" spans="1:10" x14ac:dyDescent="0.35">
      <c r="A5809" s="5">
        <v>5805</v>
      </c>
      <c r="B5809" s="5">
        <v>242</v>
      </c>
      <c r="C5809" s="5">
        <v>8</v>
      </c>
      <c r="D5809" s="379">
        <v>138.88888888888889</v>
      </c>
      <c r="E5809" s="25">
        <v>26.51</v>
      </c>
      <c r="F5809" s="379">
        <v>23.735435792380528</v>
      </c>
      <c r="G5809" s="25">
        <v>47.46</v>
      </c>
      <c r="H5809" s="379">
        <v>26.6444263598502</v>
      </c>
      <c r="I5809" s="25">
        <v>62.44</v>
      </c>
      <c r="J5809" s="379">
        <v>6.987601014736712</v>
      </c>
    </row>
    <row r="5810" spans="1:10" x14ac:dyDescent="0.35">
      <c r="A5810" s="5">
        <v>5806</v>
      </c>
      <c r="B5810" s="5">
        <v>242</v>
      </c>
      <c r="C5810" s="5">
        <v>8</v>
      </c>
      <c r="D5810" s="379">
        <v>138.88888888888889</v>
      </c>
      <c r="E5810" s="25">
        <v>25.74</v>
      </c>
      <c r="F5810" s="379">
        <v>24.571792418030711</v>
      </c>
      <c r="G5810" s="25">
        <v>47.46</v>
      </c>
      <c r="H5810" s="379">
        <v>24.515980109528048</v>
      </c>
      <c r="I5810" s="25">
        <v>62.27</v>
      </c>
      <c r="J5810" s="379">
        <v>7.0117183795300893</v>
      </c>
    </row>
    <row r="5811" spans="1:10" x14ac:dyDescent="0.35">
      <c r="A5811" s="5">
        <v>5807</v>
      </c>
      <c r="B5811" s="5">
        <v>242</v>
      </c>
      <c r="C5811" s="5">
        <v>8</v>
      </c>
      <c r="D5811" s="379">
        <v>138.64833333333334</v>
      </c>
      <c r="E5811" s="25">
        <v>25.29</v>
      </c>
      <c r="F5811" s="379">
        <v>24.029263519281908</v>
      </c>
      <c r="G5811" s="25">
        <v>43.62</v>
      </c>
      <c r="H5811" s="379">
        <v>25.538580285616664</v>
      </c>
      <c r="I5811" s="25">
        <v>56.77</v>
      </c>
      <c r="J5811" s="379">
        <v>7.0955876462040921</v>
      </c>
    </row>
    <row r="5812" spans="1:10" x14ac:dyDescent="0.35">
      <c r="A5812" s="5">
        <v>5808</v>
      </c>
      <c r="B5812" s="5">
        <v>242</v>
      </c>
      <c r="C5812" s="5">
        <v>8</v>
      </c>
      <c r="D5812" s="379">
        <v>123.56888888888888</v>
      </c>
      <c r="E5812" s="25">
        <v>24.84</v>
      </c>
      <c r="F5812" s="379">
        <v>22.893019707512117</v>
      </c>
      <c r="G5812" s="25">
        <v>43.56</v>
      </c>
      <c r="H5812" s="379">
        <v>25.541544874781948</v>
      </c>
      <c r="I5812" s="25">
        <v>53.71</v>
      </c>
      <c r="J5812" s="379">
        <v>7.3047403074702739</v>
      </c>
    </row>
    <row r="5813" spans="1:10" x14ac:dyDescent="0.35">
      <c r="A5813" s="5">
        <v>5809</v>
      </c>
      <c r="B5813" s="5">
        <v>243</v>
      </c>
      <c r="C5813" s="5">
        <v>8</v>
      </c>
      <c r="D5813" s="379">
        <v>123.58277777777778</v>
      </c>
      <c r="E5813" s="25">
        <v>24.84</v>
      </c>
      <c r="F5813" s="379">
        <v>22.847531761654018</v>
      </c>
      <c r="G5813" s="25">
        <v>42.35</v>
      </c>
      <c r="H5813" s="379">
        <v>24.285324392606999</v>
      </c>
      <c r="I5813" s="25">
        <v>53.81</v>
      </c>
      <c r="J5813" s="379">
        <v>7.2583624424365665</v>
      </c>
    </row>
    <row r="5814" spans="1:10" x14ac:dyDescent="0.35">
      <c r="A5814" s="5">
        <v>5810</v>
      </c>
      <c r="B5814" s="5">
        <v>243</v>
      </c>
      <c r="C5814" s="5">
        <v>8</v>
      </c>
      <c r="D5814" s="379">
        <v>126.06777777777776</v>
      </c>
      <c r="E5814" s="25">
        <v>24.84</v>
      </c>
      <c r="F5814" s="379">
        <v>22.085963804385401</v>
      </c>
      <c r="G5814" s="25">
        <v>42.35</v>
      </c>
      <c r="H5814" s="379">
        <v>21.228119411779616</v>
      </c>
      <c r="I5814" s="25">
        <v>53.27</v>
      </c>
      <c r="J5814" s="379">
        <v>7.4175268065657605</v>
      </c>
    </row>
    <row r="5815" spans="1:10" x14ac:dyDescent="0.35">
      <c r="A5815" s="5">
        <v>5811</v>
      </c>
      <c r="B5815" s="5">
        <v>243</v>
      </c>
      <c r="C5815" s="5">
        <v>8</v>
      </c>
      <c r="D5815" s="379">
        <v>115.0772222222222</v>
      </c>
      <c r="E5815" s="25">
        <v>24.84</v>
      </c>
      <c r="F5815" s="379">
        <v>21.869519641005219</v>
      </c>
      <c r="G5815" s="25">
        <v>42.35</v>
      </c>
      <c r="H5815" s="379">
        <v>25.442600451376922</v>
      </c>
      <c r="I5815" s="25">
        <v>53.27</v>
      </c>
      <c r="J5815" s="379">
        <v>7.4672857173981724</v>
      </c>
    </row>
    <row r="5816" spans="1:10" x14ac:dyDescent="0.35">
      <c r="A5816" s="5">
        <v>5812</v>
      </c>
      <c r="B5816" s="5">
        <v>243</v>
      </c>
      <c r="C5816" s="5">
        <v>8</v>
      </c>
      <c r="D5816" s="379">
        <v>126.48333333333332</v>
      </c>
      <c r="E5816" s="25">
        <v>24.84</v>
      </c>
      <c r="F5816" s="379">
        <v>22.103055036877297</v>
      </c>
      <c r="G5816" s="25">
        <v>42.35</v>
      </c>
      <c r="H5816" s="379">
        <v>25.969725493653822</v>
      </c>
      <c r="I5816" s="25">
        <v>53.27</v>
      </c>
      <c r="J5816" s="379">
        <v>7.4629691241650455</v>
      </c>
    </row>
    <row r="5817" spans="1:10" x14ac:dyDescent="0.35">
      <c r="A5817" s="5">
        <v>5813</v>
      </c>
      <c r="B5817" s="5">
        <v>243</v>
      </c>
      <c r="C5817" s="5">
        <v>8</v>
      </c>
      <c r="D5817" s="379">
        <v>126.78722222222223</v>
      </c>
      <c r="E5817" s="25">
        <v>24.84</v>
      </c>
      <c r="F5817" s="379">
        <v>23.197163333905173</v>
      </c>
      <c r="G5817" s="25">
        <v>43.56</v>
      </c>
      <c r="H5817" s="379">
        <v>25.340087759795146</v>
      </c>
      <c r="I5817" s="25">
        <v>54.32</v>
      </c>
      <c r="J5817" s="379">
        <v>7.4317029818860734</v>
      </c>
    </row>
    <row r="5818" spans="1:10" x14ac:dyDescent="0.35">
      <c r="A5818" s="5">
        <v>5814</v>
      </c>
      <c r="B5818" s="5">
        <v>243</v>
      </c>
      <c r="C5818" s="5">
        <v>8</v>
      </c>
      <c r="D5818" s="379">
        <v>138.88888888888889</v>
      </c>
      <c r="E5818" s="25">
        <v>24.84</v>
      </c>
      <c r="F5818" s="379">
        <v>24.048019303330573</v>
      </c>
      <c r="G5818" s="25">
        <v>46.98</v>
      </c>
      <c r="H5818" s="379">
        <v>25.963826218653882</v>
      </c>
      <c r="I5818" s="25">
        <v>56.52</v>
      </c>
      <c r="J5818" s="379">
        <v>7.4271454156174945</v>
      </c>
    </row>
    <row r="5819" spans="1:10" x14ac:dyDescent="0.35">
      <c r="A5819" s="5">
        <v>5815</v>
      </c>
      <c r="B5819" s="5">
        <v>243</v>
      </c>
      <c r="C5819" s="5">
        <v>8</v>
      </c>
      <c r="D5819" s="379">
        <v>138.88888888888889</v>
      </c>
      <c r="E5819" s="25">
        <v>25.74</v>
      </c>
      <c r="F5819" s="379">
        <v>23.631723691925441</v>
      </c>
      <c r="G5819" s="25">
        <v>47.46</v>
      </c>
      <c r="H5819" s="379">
        <v>24.735526482450773</v>
      </c>
      <c r="I5819" s="25">
        <v>64.14</v>
      </c>
      <c r="J5819" s="379">
        <v>7.4006185487848501</v>
      </c>
    </row>
    <row r="5820" spans="1:10" x14ac:dyDescent="0.35">
      <c r="A5820" s="5">
        <v>5816</v>
      </c>
      <c r="B5820" s="5">
        <v>243</v>
      </c>
      <c r="C5820" s="5">
        <v>8</v>
      </c>
      <c r="D5820" s="379">
        <v>138.88888888888889</v>
      </c>
      <c r="E5820" s="25">
        <v>25.74</v>
      </c>
      <c r="F5820" s="379">
        <v>20.20865363150558</v>
      </c>
      <c r="G5820" s="25">
        <v>47.46</v>
      </c>
      <c r="H5820" s="379">
        <v>20.118054472910483</v>
      </c>
      <c r="I5820" s="25">
        <v>64.14</v>
      </c>
      <c r="J5820" s="379">
        <v>5.9905733627846525</v>
      </c>
    </row>
    <row r="5821" spans="1:10" x14ac:dyDescent="0.35">
      <c r="A5821" s="5">
        <v>5817</v>
      </c>
      <c r="B5821" s="5">
        <v>243</v>
      </c>
      <c r="C5821" s="5">
        <v>8</v>
      </c>
      <c r="D5821" s="379">
        <v>138.88888888888889</v>
      </c>
      <c r="E5821" s="25">
        <v>25.74</v>
      </c>
      <c r="F5821" s="379">
        <v>8.619772892168907</v>
      </c>
      <c r="G5821" s="25">
        <v>46.98</v>
      </c>
      <c r="H5821" s="379">
        <v>7.0970122429145022</v>
      </c>
      <c r="I5821" s="25">
        <v>58.21</v>
      </c>
      <c r="J5821" s="379">
        <v>4.0123257074612084</v>
      </c>
    </row>
    <row r="5822" spans="1:10" x14ac:dyDescent="0.35">
      <c r="A5822" s="5">
        <v>5818</v>
      </c>
      <c r="B5822" s="5">
        <v>243</v>
      </c>
      <c r="C5822" s="5">
        <v>8</v>
      </c>
      <c r="D5822" s="379">
        <v>136.95277777777778</v>
      </c>
      <c r="E5822" s="25">
        <v>24.99</v>
      </c>
      <c r="F5822" s="379">
        <v>10.333486988194291</v>
      </c>
      <c r="G5822" s="25">
        <v>44.74</v>
      </c>
      <c r="H5822" s="379">
        <v>2.6852075613679349</v>
      </c>
      <c r="I5822" s="25">
        <v>54.32</v>
      </c>
      <c r="J5822" s="379">
        <v>0.27777777777777779</v>
      </c>
    </row>
    <row r="5823" spans="1:10" x14ac:dyDescent="0.35">
      <c r="A5823" s="5">
        <v>5819</v>
      </c>
      <c r="B5823" s="5">
        <v>243</v>
      </c>
      <c r="C5823" s="5">
        <v>8</v>
      </c>
      <c r="D5823" s="379">
        <v>133.4661111111111</v>
      </c>
      <c r="E5823" s="25">
        <v>24.99</v>
      </c>
      <c r="F5823" s="379">
        <v>5.3837097714493884</v>
      </c>
      <c r="G5823" s="25">
        <v>44.74</v>
      </c>
      <c r="H5823" s="379">
        <v>5.0615326741453597</v>
      </c>
      <c r="I5823" s="25">
        <v>53.51</v>
      </c>
      <c r="J5823" s="379">
        <v>6.0808138914185419E-2</v>
      </c>
    </row>
    <row r="5824" spans="1:10" x14ac:dyDescent="0.35">
      <c r="A5824" s="5">
        <v>5820</v>
      </c>
      <c r="B5824" s="5">
        <v>243</v>
      </c>
      <c r="C5824" s="5">
        <v>8</v>
      </c>
      <c r="D5824" s="379">
        <v>122.80833333333332</v>
      </c>
      <c r="E5824" s="25">
        <v>24.84</v>
      </c>
      <c r="F5824" s="379">
        <v>5.3837097714493884</v>
      </c>
      <c r="G5824" s="25">
        <v>44.74</v>
      </c>
      <c r="H5824" s="379">
        <v>5.0778928010132285</v>
      </c>
      <c r="I5824" s="25">
        <v>53.27</v>
      </c>
      <c r="J5824" s="379">
        <v>2.777777777777778E-2</v>
      </c>
    </row>
    <row r="5825" spans="1:10" x14ac:dyDescent="0.35">
      <c r="A5825" s="5">
        <v>5821</v>
      </c>
      <c r="B5825" s="5">
        <v>243</v>
      </c>
      <c r="C5825" s="5">
        <v>8</v>
      </c>
      <c r="D5825" s="379">
        <v>118.55111111111111</v>
      </c>
      <c r="E5825" s="25">
        <v>24.84</v>
      </c>
      <c r="F5825" s="379">
        <v>5.3837097714493884</v>
      </c>
      <c r="G5825" s="25">
        <v>43.62</v>
      </c>
      <c r="H5825" s="379">
        <v>5.0215733552721717</v>
      </c>
      <c r="I5825" s="25">
        <v>53.27</v>
      </c>
      <c r="J5825" s="379">
        <v>2.777777777777778E-2</v>
      </c>
    </row>
    <row r="5826" spans="1:10" x14ac:dyDescent="0.35">
      <c r="A5826" s="5">
        <v>5822</v>
      </c>
      <c r="B5826" s="5">
        <v>243</v>
      </c>
      <c r="C5826" s="5">
        <v>8</v>
      </c>
      <c r="D5826" s="379">
        <v>116.67111111111113</v>
      </c>
      <c r="E5826" s="25">
        <v>24.84</v>
      </c>
      <c r="F5826" s="379">
        <v>5.3837097714493884</v>
      </c>
      <c r="G5826" s="25">
        <v>43.56</v>
      </c>
      <c r="H5826" s="379">
        <v>4.8451857069409163</v>
      </c>
      <c r="I5826" s="25">
        <v>53.27</v>
      </c>
      <c r="J5826" s="379">
        <v>7.792189371364347E-2</v>
      </c>
    </row>
    <row r="5827" spans="1:10" x14ac:dyDescent="0.35">
      <c r="A5827" s="5">
        <v>5823</v>
      </c>
      <c r="B5827" s="5">
        <v>243</v>
      </c>
      <c r="C5827" s="5">
        <v>8</v>
      </c>
      <c r="D5827" s="379">
        <v>123.87444444444444</v>
      </c>
      <c r="E5827" s="25">
        <v>24.84</v>
      </c>
      <c r="F5827" s="379">
        <v>4.9078329979658086</v>
      </c>
      <c r="G5827" s="25">
        <v>42.35</v>
      </c>
      <c r="H5827" s="379">
        <v>2.823908746417056</v>
      </c>
      <c r="I5827" s="25">
        <v>53.27</v>
      </c>
      <c r="J5827" s="379">
        <v>0.74112216478733728</v>
      </c>
    </row>
    <row r="5828" spans="1:10" x14ac:dyDescent="0.35">
      <c r="A5828" s="5">
        <v>5824</v>
      </c>
      <c r="B5828" s="5">
        <v>243</v>
      </c>
      <c r="C5828" s="5">
        <v>8</v>
      </c>
      <c r="D5828" s="379">
        <v>132.47111111111107</v>
      </c>
      <c r="E5828" s="25">
        <v>24.84</v>
      </c>
      <c r="F5828" s="379">
        <v>4.9078329979658086</v>
      </c>
      <c r="G5828" s="25">
        <v>43.62</v>
      </c>
      <c r="H5828" s="379">
        <v>2.8727377696335501</v>
      </c>
      <c r="I5828" s="25">
        <v>53.27</v>
      </c>
      <c r="J5828" s="379">
        <v>0.75283326348368884</v>
      </c>
    </row>
    <row r="5829" spans="1:10" x14ac:dyDescent="0.35">
      <c r="A5829" s="5">
        <v>5825</v>
      </c>
      <c r="B5829" s="5">
        <v>243</v>
      </c>
      <c r="C5829" s="5">
        <v>8</v>
      </c>
      <c r="D5829" s="379">
        <v>138.88888888888889</v>
      </c>
      <c r="E5829" s="25">
        <v>24.84</v>
      </c>
      <c r="F5829" s="379">
        <v>7.3899652501609863</v>
      </c>
      <c r="G5829" s="25">
        <v>43.62</v>
      </c>
      <c r="H5829" s="379">
        <v>2.1664107283365071</v>
      </c>
      <c r="I5829" s="25">
        <v>53.51</v>
      </c>
      <c r="J5829" s="379">
        <v>6.3836096738269568</v>
      </c>
    </row>
    <row r="5830" spans="1:10" x14ac:dyDescent="0.35">
      <c r="A5830" s="5">
        <v>5826</v>
      </c>
      <c r="B5830" s="5">
        <v>243</v>
      </c>
      <c r="C5830" s="5">
        <v>8</v>
      </c>
      <c r="D5830" s="379">
        <v>138.88888888888889</v>
      </c>
      <c r="E5830" s="25">
        <v>24.99</v>
      </c>
      <c r="F5830" s="379">
        <v>8.5023550435800637</v>
      </c>
      <c r="G5830" s="25">
        <v>46.98</v>
      </c>
      <c r="H5830" s="379">
        <v>7.7014720985204441</v>
      </c>
      <c r="I5830" s="25">
        <v>53.81</v>
      </c>
      <c r="J5830" s="379">
        <v>5.3276057209605456</v>
      </c>
    </row>
    <row r="5831" spans="1:10" x14ac:dyDescent="0.35">
      <c r="A5831" s="5">
        <v>5827</v>
      </c>
      <c r="B5831" s="5">
        <v>243</v>
      </c>
      <c r="C5831" s="5">
        <v>8</v>
      </c>
      <c r="D5831" s="379">
        <v>138.88888888888889</v>
      </c>
      <c r="E5831" s="25">
        <v>24.99</v>
      </c>
      <c r="F5831" s="379">
        <v>8.8162988117576688</v>
      </c>
      <c r="G5831" s="25">
        <v>46.98</v>
      </c>
      <c r="H5831" s="379">
        <v>7.7858308379616901</v>
      </c>
      <c r="I5831" s="25">
        <v>56.52</v>
      </c>
      <c r="J5831" s="379">
        <v>3.0235404339334226</v>
      </c>
    </row>
    <row r="5832" spans="1:10" x14ac:dyDescent="0.35">
      <c r="A5832" s="5">
        <v>5828</v>
      </c>
      <c r="B5832" s="5">
        <v>243</v>
      </c>
      <c r="C5832" s="5">
        <v>8</v>
      </c>
      <c r="D5832" s="379">
        <v>138.88888888888889</v>
      </c>
      <c r="E5832" s="25">
        <v>25.74</v>
      </c>
      <c r="F5832" s="379">
        <v>8.5180117403049227</v>
      </c>
      <c r="G5832" s="25">
        <v>46.98</v>
      </c>
      <c r="H5832" s="379">
        <v>7.7510730701383519</v>
      </c>
      <c r="I5832" s="25">
        <v>56.52</v>
      </c>
      <c r="J5832" s="379">
        <v>3.3464915465508112</v>
      </c>
    </row>
    <row r="5833" spans="1:10" x14ac:dyDescent="0.35">
      <c r="A5833" s="5">
        <v>5829</v>
      </c>
      <c r="B5833" s="5">
        <v>243</v>
      </c>
      <c r="C5833" s="5">
        <v>8</v>
      </c>
      <c r="D5833" s="379">
        <v>138.88888888888889</v>
      </c>
      <c r="E5833" s="25">
        <v>24.99</v>
      </c>
      <c r="F5833" s="379">
        <v>8.4757097305833415</v>
      </c>
      <c r="G5833" s="25">
        <v>44.74</v>
      </c>
      <c r="H5833" s="379">
        <v>7.5039334810087803</v>
      </c>
      <c r="I5833" s="25">
        <v>54.87</v>
      </c>
      <c r="J5833" s="379">
        <v>3.6417335735550389</v>
      </c>
    </row>
    <row r="5834" spans="1:10" x14ac:dyDescent="0.35">
      <c r="A5834" s="5">
        <v>5830</v>
      </c>
      <c r="B5834" s="5">
        <v>243</v>
      </c>
      <c r="C5834" s="5">
        <v>8</v>
      </c>
      <c r="D5834" s="379">
        <v>133.77388888888888</v>
      </c>
      <c r="E5834" s="25">
        <v>24.84</v>
      </c>
      <c r="F5834" s="379">
        <v>8.4837697243950405</v>
      </c>
      <c r="G5834" s="25">
        <v>44.74</v>
      </c>
      <c r="H5834" s="379">
        <v>7.169629531341009</v>
      </c>
      <c r="I5834" s="25">
        <v>53.71</v>
      </c>
      <c r="J5834" s="379">
        <v>2.1895945535386074</v>
      </c>
    </row>
    <row r="5835" spans="1:10" x14ac:dyDescent="0.35">
      <c r="A5835" s="5">
        <v>5831</v>
      </c>
      <c r="B5835" s="5">
        <v>243</v>
      </c>
      <c r="C5835" s="5">
        <v>8</v>
      </c>
      <c r="D5835" s="379">
        <v>119.78333333333332</v>
      </c>
      <c r="E5835" s="25">
        <v>24.84</v>
      </c>
      <c r="F5835" s="379">
        <v>8.1174834595959613</v>
      </c>
      <c r="G5835" s="25">
        <v>42.35</v>
      </c>
      <c r="H5835" s="379">
        <v>7.1703799752883723</v>
      </c>
      <c r="I5835" s="25">
        <v>53.27</v>
      </c>
      <c r="J5835" s="379">
        <v>1.9001560396416197</v>
      </c>
    </row>
    <row r="5836" spans="1:10" x14ac:dyDescent="0.35">
      <c r="A5836" s="5">
        <v>5832</v>
      </c>
      <c r="B5836" s="5">
        <v>243</v>
      </c>
      <c r="C5836" s="5">
        <v>8</v>
      </c>
      <c r="D5836" s="379">
        <v>110.4788888888889</v>
      </c>
      <c r="E5836" s="25">
        <v>24.84</v>
      </c>
      <c r="F5836" s="379">
        <v>8.1174834595959595</v>
      </c>
      <c r="G5836" s="25">
        <v>42.19</v>
      </c>
      <c r="H5836" s="379">
        <v>7.0587854423765286</v>
      </c>
      <c r="I5836" s="25">
        <v>50.21</v>
      </c>
      <c r="J5836" s="379">
        <v>4.7783755131603405</v>
      </c>
    </row>
    <row r="5837" spans="1:10" x14ac:dyDescent="0.35">
      <c r="A5837" s="5">
        <v>5833</v>
      </c>
      <c r="B5837" s="5">
        <v>244</v>
      </c>
      <c r="C5837" s="5">
        <v>9</v>
      </c>
      <c r="D5837" s="379">
        <v>116.61944444444443</v>
      </c>
      <c r="E5837" s="25">
        <v>24.84</v>
      </c>
      <c r="F5837" s="379">
        <v>8.1174834595959613</v>
      </c>
      <c r="G5837" s="25">
        <v>39.770000000000003</v>
      </c>
      <c r="H5837" s="379">
        <v>7.6681683171491883</v>
      </c>
      <c r="I5837" s="25">
        <v>45.49</v>
      </c>
      <c r="J5837" s="379">
        <v>2.8294281993127695</v>
      </c>
    </row>
    <row r="5838" spans="1:10" x14ac:dyDescent="0.35">
      <c r="A5838" s="5">
        <v>5834</v>
      </c>
      <c r="B5838" s="5">
        <v>244</v>
      </c>
      <c r="C5838" s="5">
        <v>9</v>
      </c>
      <c r="D5838" s="379">
        <v>116.36055555555555</v>
      </c>
      <c r="E5838" s="25">
        <v>24.84</v>
      </c>
      <c r="F5838" s="379">
        <v>8.1174834595959577</v>
      </c>
      <c r="G5838" s="25">
        <v>39.119999999999997</v>
      </c>
      <c r="H5838" s="379">
        <v>7.6346392132863885</v>
      </c>
      <c r="I5838" s="25">
        <v>45.49</v>
      </c>
      <c r="J5838" s="379">
        <v>2.3078249010828396</v>
      </c>
    </row>
    <row r="5839" spans="1:10" x14ac:dyDescent="0.35">
      <c r="A5839" s="5">
        <v>5835</v>
      </c>
      <c r="B5839" s="5">
        <v>244</v>
      </c>
      <c r="C5839" s="5">
        <v>9</v>
      </c>
      <c r="D5839" s="379">
        <v>116.83611111111109</v>
      </c>
      <c r="E5839" s="25">
        <v>24.84</v>
      </c>
      <c r="F5839" s="379">
        <v>8.1174834595959595</v>
      </c>
      <c r="G5839" s="25">
        <v>38.19</v>
      </c>
      <c r="H5839" s="379">
        <v>6.9900047396151885</v>
      </c>
      <c r="I5839" s="25">
        <v>45.49</v>
      </c>
      <c r="J5839" s="379">
        <v>2.9990675158210114</v>
      </c>
    </row>
    <row r="5840" spans="1:10" x14ac:dyDescent="0.35">
      <c r="A5840" s="5">
        <v>5836</v>
      </c>
      <c r="B5840" s="5">
        <v>244</v>
      </c>
      <c r="C5840" s="5">
        <v>9</v>
      </c>
      <c r="D5840" s="379">
        <v>123.32499999999999</v>
      </c>
      <c r="E5840" s="25">
        <v>24.84</v>
      </c>
      <c r="F5840" s="379">
        <v>8.1174834595959613</v>
      </c>
      <c r="G5840" s="25">
        <v>38.19</v>
      </c>
      <c r="H5840" s="379">
        <v>7.6008632856088916</v>
      </c>
      <c r="I5840" s="25">
        <v>45.49</v>
      </c>
      <c r="J5840" s="379">
        <v>3.8834023215245943</v>
      </c>
    </row>
    <row r="5841" spans="1:10" x14ac:dyDescent="0.35">
      <c r="A5841" s="5">
        <v>5837</v>
      </c>
      <c r="B5841" s="5">
        <v>244</v>
      </c>
      <c r="C5841" s="5">
        <v>9</v>
      </c>
      <c r="D5841" s="379">
        <v>132.13611111111109</v>
      </c>
      <c r="E5841" s="25">
        <v>24.84</v>
      </c>
      <c r="F5841" s="379">
        <v>8.1174834595959595</v>
      </c>
      <c r="G5841" s="25">
        <v>40.299999999999997</v>
      </c>
      <c r="H5841" s="379">
        <v>7.5632571000452069</v>
      </c>
      <c r="I5841" s="25">
        <v>45.49</v>
      </c>
      <c r="J5841" s="379">
        <v>4.5072918136496565</v>
      </c>
    </row>
    <row r="5842" spans="1:10" x14ac:dyDescent="0.35">
      <c r="A5842" s="5">
        <v>5838</v>
      </c>
      <c r="B5842" s="5">
        <v>244</v>
      </c>
      <c r="C5842" s="5">
        <v>9</v>
      </c>
      <c r="D5842" s="379">
        <v>138.88888888888889</v>
      </c>
      <c r="E5842" s="25">
        <v>24.84</v>
      </c>
      <c r="F5842" s="379">
        <v>8.1174834595959595</v>
      </c>
      <c r="G5842" s="25">
        <v>41.92</v>
      </c>
      <c r="H5842" s="379">
        <v>7.4354457446812416</v>
      </c>
      <c r="I5842" s="25">
        <v>45.95</v>
      </c>
      <c r="J5842" s="379">
        <v>4.4841179797998842</v>
      </c>
    </row>
    <row r="5843" spans="1:10" x14ac:dyDescent="0.35">
      <c r="A5843" s="5">
        <v>5839</v>
      </c>
      <c r="B5843" s="5">
        <v>244</v>
      </c>
      <c r="C5843" s="5">
        <v>9</v>
      </c>
      <c r="D5843" s="379">
        <v>138.88888888888889</v>
      </c>
      <c r="E5843" s="25">
        <v>24.84</v>
      </c>
      <c r="F5843" s="379">
        <v>8.1731750585545235</v>
      </c>
      <c r="G5843" s="25">
        <v>44.69</v>
      </c>
      <c r="H5843" s="379">
        <v>7.4768301754775637</v>
      </c>
      <c r="I5843" s="25">
        <v>50.44</v>
      </c>
      <c r="J5843" s="379">
        <v>4.6672004289491458</v>
      </c>
    </row>
    <row r="5844" spans="1:10" x14ac:dyDescent="0.35">
      <c r="A5844" s="5">
        <v>5840</v>
      </c>
      <c r="B5844" s="5">
        <v>244</v>
      </c>
      <c r="C5844" s="5">
        <v>9</v>
      </c>
      <c r="D5844" s="379">
        <v>138.88888888888889</v>
      </c>
      <c r="E5844" s="25">
        <v>24.99</v>
      </c>
      <c r="F5844" s="379">
        <v>8.1174834595959613</v>
      </c>
      <c r="G5844" s="25">
        <v>44.74</v>
      </c>
      <c r="H5844" s="379">
        <v>7.6795577838082671</v>
      </c>
      <c r="I5844" s="25">
        <v>50.44</v>
      </c>
      <c r="J5844" s="379">
        <v>4.1205810844841846</v>
      </c>
    </row>
    <row r="5845" spans="1:10" x14ac:dyDescent="0.35">
      <c r="A5845" s="5">
        <v>5841</v>
      </c>
      <c r="B5845" s="5">
        <v>244</v>
      </c>
      <c r="C5845" s="5">
        <v>9</v>
      </c>
      <c r="D5845" s="379">
        <v>138.88888888888889</v>
      </c>
      <c r="E5845" s="25">
        <v>24.84</v>
      </c>
      <c r="F5845" s="379">
        <v>8.1174834595959595</v>
      </c>
      <c r="G5845" s="25">
        <v>44.74</v>
      </c>
      <c r="H5845" s="379">
        <v>4.3085826935835474</v>
      </c>
      <c r="I5845" s="25">
        <v>48.86</v>
      </c>
      <c r="J5845" s="379">
        <v>2.2696203251296794</v>
      </c>
    </row>
    <row r="5846" spans="1:10" x14ac:dyDescent="0.35">
      <c r="A5846" s="5">
        <v>5842</v>
      </c>
      <c r="B5846" s="5">
        <v>244</v>
      </c>
      <c r="C5846" s="5">
        <v>9</v>
      </c>
      <c r="D5846" s="379">
        <v>134.39388888888885</v>
      </c>
      <c r="E5846" s="25">
        <v>24.84</v>
      </c>
      <c r="F5846" s="379">
        <v>0.47222222222222221</v>
      </c>
      <c r="G5846" s="25">
        <v>44.74</v>
      </c>
      <c r="H5846" s="379">
        <v>4.5534192895957988</v>
      </c>
      <c r="I5846" s="25">
        <v>46.79</v>
      </c>
      <c r="J5846" s="379">
        <v>2.3072184124526927</v>
      </c>
    </row>
    <row r="5847" spans="1:10" x14ac:dyDescent="0.35">
      <c r="A5847" s="5">
        <v>5843</v>
      </c>
      <c r="B5847" s="5">
        <v>244</v>
      </c>
      <c r="C5847" s="5">
        <v>9</v>
      </c>
      <c r="D5847" s="379">
        <v>122.93499999999999</v>
      </c>
      <c r="E5847" s="25">
        <v>24.84</v>
      </c>
      <c r="F5847" s="379">
        <v>0.47222222222222221</v>
      </c>
      <c r="G5847" s="25">
        <v>44.74</v>
      </c>
      <c r="H5847" s="379">
        <v>4.5534192895957988</v>
      </c>
      <c r="I5847" s="25">
        <v>45.95</v>
      </c>
      <c r="J5847" s="379">
        <v>2.1375983236832052</v>
      </c>
    </row>
    <row r="5848" spans="1:10" x14ac:dyDescent="0.35">
      <c r="A5848" s="5">
        <v>5844</v>
      </c>
      <c r="B5848" s="5">
        <v>244</v>
      </c>
      <c r="C5848" s="5">
        <v>9</v>
      </c>
      <c r="D5848" s="379">
        <v>119.89166666666667</v>
      </c>
      <c r="E5848" s="25">
        <v>24.84</v>
      </c>
      <c r="F5848" s="379">
        <v>5.3837097714493884</v>
      </c>
      <c r="G5848" s="25">
        <v>43.56</v>
      </c>
      <c r="H5848" s="379">
        <v>4.5534192895957988</v>
      </c>
      <c r="I5848" s="25">
        <v>45.49</v>
      </c>
      <c r="J5848" s="379">
        <v>2.1424239251607</v>
      </c>
    </row>
    <row r="5849" spans="1:10" x14ac:dyDescent="0.35">
      <c r="A5849" s="5">
        <v>5845</v>
      </c>
      <c r="B5849" s="5">
        <v>244</v>
      </c>
      <c r="C5849" s="5">
        <v>9</v>
      </c>
      <c r="D5849" s="379">
        <v>120.66166666666665</v>
      </c>
      <c r="E5849" s="25">
        <v>24.84</v>
      </c>
      <c r="F5849" s="379">
        <v>5.3837097714493884</v>
      </c>
      <c r="G5849" s="25">
        <v>42.35</v>
      </c>
      <c r="H5849" s="379">
        <v>4.2853514233316634</v>
      </c>
      <c r="I5849" s="25">
        <v>45.49</v>
      </c>
      <c r="J5849" s="379">
        <v>2.1375983236832052</v>
      </c>
    </row>
    <row r="5850" spans="1:10" x14ac:dyDescent="0.35">
      <c r="A5850" s="5">
        <v>5846</v>
      </c>
      <c r="B5850" s="5">
        <v>244</v>
      </c>
      <c r="C5850" s="5">
        <v>9</v>
      </c>
      <c r="D5850" s="379">
        <v>121.72555555555559</v>
      </c>
      <c r="E5850" s="25">
        <v>24.84</v>
      </c>
      <c r="F5850" s="379">
        <v>0.47222222222222221</v>
      </c>
      <c r="G5850" s="25">
        <v>42.35</v>
      </c>
      <c r="H5850" s="379">
        <v>4.328757106539185</v>
      </c>
      <c r="I5850" s="25">
        <v>45.49</v>
      </c>
      <c r="J5850" s="379">
        <v>1.9883961107869188</v>
      </c>
    </row>
    <row r="5851" spans="1:10" x14ac:dyDescent="0.35">
      <c r="A5851" s="5">
        <v>5847</v>
      </c>
      <c r="B5851" s="5">
        <v>244</v>
      </c>
      <c r="C5851" s="5">
        <v>9</v>
      </c>
      <c r="D5851" s="379">
        <v>127.74222222222222</v>
      </c>
      <c r="E5851" s="25">
        <v>24.84</v>
      </c>
      <c r="F5851" s="379">
        <v>0.47222222222222221</v>
      </c>
      <c r="G5851" s="25">
        <v>42.35</v>
      </c>
      <c r="H5851" s="379">
        <v>4.3366938559883863</v>
      </c>
      <c r="I5851" s="25">
        <v>45.49</v>
      </c>
      <c r="J5851" s="379">
        <v>1.9883961107869188</v>
      </c>
    </row>
    <row r="5852" spans="1:10" x14ac:dyDescent="0.35">
      <c r="A5852" s="5">
        <v>5848</v>
      </c>
      <c r="B5852" s="5">
        <v>244</v>
      </c>
      <c r="C5852" s="5">
        <v>9</v>
      </c>
      <c r="D5852" s="379">
        <v>137.30777777777777</v>
      </c>
      <c r="E5852" s="25">
        <v>24.84</v>
      </c>
      <c r="F5852" s="379">
        <v>0.47222222222222221</v>
      </c>
      <c r="G5852" s="25">
        <v>42.35</v>
      </c>
      <c r="H5852" s="379">
        <v>4.3366938559883863</v>
      </c>
      <c r="I5852" s="25">
        <v>45.49</v>
      </c>
      <c r="J5852" s="379">
        <v>1.9883961107869188</v>
      </c>
    </row>
    <row r="5853" spans="1:10" x14ac:dyDescent="0.35">
      <c r="A5853" s="5">
        <v>5849</v>
      </c>
      <c r="B5853" s="5">
        <v>244</v>
      </c>
      <c r="C5853" s="5">
        <v>9</v>
      </c>
      <c r="D5853" s="379">
        <v>138.88888888888889</v>
      </c>
      <c r="E5853" s="25">
        <v>24.84</v>
      </c>
      <c r="F5853" s="379">
        <v>5.566035640254106</v>
      </c>
      <c r="G5853" s="25">
        <v>44.69</v>
      </c>
      <c r="H5853" s="379">
        <v>4.4025467679919723</v>
      </c>
      <c r="I5853" s="25">
        <v>45.95</v>
      </c>
      <c r="J5853" s="379">
        <v>2.1849522537190991</v>
      </c>
    </row>
    <row r="5854" spans="1:10" x14ac:dyDescent="0.35">
      <c r="A5854" s="5">
        <v>5850</v>
      </c>
      <c r="B5854" s="5">
        <v>244</v>
      </c>
      <c r="C5854" s="5">
        <v>9</v>
      </c>
      <c r="D5854" s="379">
        <v>138.88888888888889</v>
      </c>
      <c r="E5854" s="25">
        <v>24.99</v>
      </c>
      <c r="F5854" s="379">
        <v>8.1174834595959613</v>
      </c>
      <c r="G5854" s="25">
        <v>44.74</v>
      </c>
      <c r="H5854" s="379">
        <v>0.14480167642852412</v>
      </c>
      <c r="I5854" s="25">
        <v>48.97</v>
      </c>
      <c r="J5854" s="379">
        <v>4.8148575187492133</v>
      </c>
    </row>
    <row r="5855" spans="1:10" x14ac:dyDescent="0.35">
      <c r="A5855" s="5">
        <v>5851</v>
      </c>
      <c r="B5855" s="5">
        <v>244</v>
      </c>
      <c r="C5855" s="5">
        <v>9</v>
      </c>
      <c r="D5855" s="379">
        <v>138.88888888888889</v>
      </c>
      <c r="E5855" s="25">
        <v>25.29</v>
      </c>
      <c r="F5855" s="379">
        <v>8.1174834595959577</v>
      </c>
      <c r="G5855" s="25">
        <v>44.74</v>
      </c>
      <c r="H5855" s="379">
        <v>0.14480167642852412</v>
      </c>
      <c r="I5855" s="25">
        <v>50.44</v>
      </c>
      <c r="J5855" s="379">
        <v>3.5296886718581573</v>
      </c>
    </row>
    <row r="5856" spans="1:10" x14ac:dyDescent="0.35">
      <c r="A5856" s="5">
        <v>5852</v>
      </c>
      <c r="B5856" s="5">
        <v>244</v>
      </c>
      <c r="C5856" s="5">
        <v>9</v>
      </c>
      <c r="D5856" s="379">
        <v>138.88888888888889</v>
      </c>
      <c r="E5856" s="25">
        <v>26.05</v>
      </c>
      <c r="F5856" s="379">
        <v>8.1174834595959595</v>
      </c>
      <c r="G5856" s="25">
        <v>44.93</v>
      </c>
      <c r="H5856" s="379">
        <v>0.14480167642852412</v>
      </c>
      <c r="I5856" s="25">
        <v>53.71</v>
      </c>
      <c r="J5856" s="379">
        <v>1.603441286240739</v>
      </c>
    </row>
    <row r="5857" spans="1:10" x14ac:dyDescent="0.35">
      <c r="A5857" s="5">
        <v>5853</v>
      </c>
      <c r="B5857" s="5">
        <v>244</v>
      </c>
      <c r="C5857" s="5">
        <v>9</v>
      </c>
      <c r="D5857" s="379">
        <v>138.88888888888889</v>
      </c>
      <c r="E5857" s="25">
        <v>26.05</v>
      </c>
      <c r="F5857" s="379">
        <v>8.1174834595959595</v>
      </c>
      <c r="G5857" s="25">
        <v>44.93</v>
      </c>
      <c r="H5857" s="379">
        <v>0.14480167642852412</v>
      </c>
      <c r="I5857" s="25">
        <v>53.51</v>
      </c>
      <c r="J5857" s="379">
        <v>1.8709939924995198</v>
      </c>
    </row>
    <row r="5858" spans="1:10" x14ac:dyDescent="0.35">
      <c r="A5858" s="5">
        <v>5854</v>
      </c>
      <c r="B5858" s="5">
        <v>244</v>
      </c>
      <c r="C5858" s="5">
        <v>9</v>
      </c>
      <c r="D5858" s="379">
        <v>126.28333333333333</v>
      </c>
      <c r="E5858" s="25">
        <v>25.29</v>
      </c>
      <c r="F5858" s="379">
        <v>8.1174834595959577</v>
      </c>
      <c r="G5858" s="25">
        <v>44.69</v>
      </c>
      <c r="H5858" s="379">
        <v>0.27992964240966478</v>
      </c>
      <c r="I5858" s="25">
        <v>53.71</v>
      </c>
      <c r="J5858" s="379">
        <v>3.0070886300084667</v>
      </c>
    </row>
    <row r="5859" spans="1:10" x14ac:dyDescent="0.35">
      <c r="A5859" s="5">
        <v>5855</v>
      </c>
      <c r="B5859" s="5">
        <v>244</v>
      </c>
      <c r="C5859" s="5">
        <v>9</v>
      </c>
      <c r="D5859" s="379">
        <v>112.7961111111111</v>
      </c>
      <c r="E5859" s="25">
        <v>24.84</v>
      </c>
      <c r="F5859" s="379">
        <v>8.1174834595959595</v>
      </c>
      <c r="G5859" s="25">
        <v>42.35</v>
      </c>
      <c r="H5859" s="379">
        <v>0.14480167642852412</v>
      </c>
      <c r="I5859" s="25">
        <v>53.51</v>
      </c>
      <c r="J5859" s="379">
        <v>0.27777777777777779</v>
      </c>
    </row>
    <row r="5860" spans="1:10" x14ac:dyDescent="0.35">
      <c r="A5860" s="5">
        <v>5856</v>
      </c>
      <c r="B5860" s="5">
        <v>244</v>
      </c>
      <c r="C5860" s="5">
        <v>9</v>
      </c>
      <c r="D5860" s="379">
        <v>105.52888888888889</v>
      </c>
      <c r="E5860" s="25">
        <v>24.84</v>
      </c>
      <c r="F5860" s="379">
        <v>8.1174834595959577</v>
      </c>
      <c r="G5860" s="25">
        <v>39.770000000000003</v>
      </c>
      <c r="H5860" s="379">
        <v>0.14480167642852412</v>
      </c>
      <c r="I5860" s="25">
        <v>46.85</v>
      </c>
      <c r="J5860" s="379">
        <v>0.27777777777777779</v>
      </c>
    </row>
    <row r="5861" spans="1:10" x14ac:dyDescent="0.35">
      <c r="A5861" s="5">
        <v>5857</v>
      </c>
      <c r="B5861" s="5">
        <v>245</v>
      </c>
      <c r="C5861" s="5">
        <v>9</v>
      </c>
      <c r="D5861" s="379">
        <v>103.26444444444446</v>
      </c>
      <c r="E5861" s="25">
        <v>24.84</v>
      </c>
      <c r="F5861" s="379">
        <v>7.8191409245638557</v>
      </c>
      <c r="G5861" s="25">
        <v>39.770000000000003</v>
      </c>
      <c r="H5861" s="379">
        <v>0.14480167642852412</v>
      </c>
      <c r="I5861" s="25">
        <v>46.69</v>
      </c>
      <c r="J5861" s="379">
        <v>0.27777777777777779</v>
      </c>
    </row>
    <row r="5862" spans="1:10" x14ac:dyDescent="0.35">
      <c r="A5862" s="5">
        <v>5858</v>
      </c>
      <c r="B5862" s="5">
        <v>245</v>
      </c>
      <c r="C5862" s="5">
        <v>9</v>
      </c>
      <c r="D5862" s="379">
        <v>98.730000000000018</v>
      </c>
      <c r="E5862" s="25">
        <v>24.84</v>
      </c>
      <c r="F5862" s="379">
        <v>6.7264919165801471</v>
      </c>
      <c r="G5862" s="25">
        <v>38.19</v>
      </c>
      <c r="H5862" s="379">
        <v>0.14480167642852412</v>
      </c>
      <c r="I5862" s="25">
        <v>46.69</v>
      </c>
      <c r="J5862" s="379">
        <v>2.6504264477908852</v>
      </c>
    </row>
    <row r="5863" spans="1:10" x14ac:dyDescent="0.35">
      <c r="A5863" s="5">
        <v>5859</v>
      </c>
      <c r="B5863" s="5">
        <v>245</v>
      </c>
      <c r="C5863" s="5">
        <v>9</v>
      </c>
      <c r="D5863" s="379">
        <v>93.617777777777775</v>
      </c>
      <c r="E5863" s="25">
        <v>24.84</v>
      </c>
      <c r="F5863" s="379">
        <v>4.1718985784746669</v>
      </c>
      <c r="G5863" s="25">
        <v>38.03</v>
      </c>
      <c r="H5863" s="379">
        <v>0.14480167642852412</v>
      </c>
      <c r="I5863" s="25">
        <v>46.69</v>
      </c>
      <c r="J5863" s="379">
        <v>4.6396089891933423</v>
      </c>
    </row>
    <row r="5864" spans="1:10" x14ac:dyDescent="0.35">
      <c r="A5864" s="5">
        <v>5860</v>
      </c>
      <c r="B5864" s="5">
        <v>245</v>
      </c>
      <c r="C5864" s="5">
        <v>9</v>
      </c>
      <c r="D5864" s="379">
        <v>99.02000000000001</v>
      </c>
      <c r="E5864" s="25">
        <v>24.84</v>
      </c>
      <c r="F5864" s="379">
        <v>4.5441531979403349</v>
      </c>
      <c r="G5864" s="25">
        <v>38.03</v>
      </c>
      <c r="H5864" s="379">
        <v>0.14480167642852412</v>
      </c>
      <c r="I5864" s="25">
        <v>46.69</v>
      </c>
      <c r="J5864" s="379">
        <v>4.6440268653271533</v>
      </c>
    </row>
    <row r="5865" spans="1:10" x14ac:dyDescent="0.35">
      <c r="A5865" s="5">
        <v>5861</v>
      </c>
      <c r="B5865" s="5">
        <v>245</v>
      </c>
      <c r="C5865" s="5">
        <v>9</v>
      </c>
      <c r="D5865" s="379">
        <v>108.75444444444443</v>
      </c>
      <c r="E5865" s="25">
        <v>24.84</v>
      </c>
      <c r="F5865" s="379">
        <v>4.6656832641618164</v>
      </c>
      <c r="G5865" s="25">
        <v>39.119999999999997</v>
      </c>
      <c r="H5865" s="379">
        <v>0.12575792144152298</v>
      </c>
      <c r="I5865" s="25">
        <v>46.69</v>
      </c>
      <c r="J5865" s="379">
        <v>0.27777777777777779</v>
      </c>
    </row>
    <row r="5866" spans="1:10" x14ac:dyDescent="0.35">
      <c r="A5866" s="5">
        <v>5862</v>
      </c>
      <c r="B5866" s="5">
        <v>245</v>
      </c>
      <c r="C5866" s="5">
        <v>9</v>
      </c>
      <c r="D5866" s="379">
        <v>132.72388888888889</v>
      </c>
      <c r="E5866" s="25">
        <v>25.29</v>
      </c>
      <c r="F5866" s="379">
        <v>4.8913679082378305</v>
      </c>
      <c r="G5866" s="25">
        <v>43.56</v>
      </c>
      <c r="H5866" s="379">
        <v>9.1024630415873942E-2</v>
      </c>
      <c r="I5866" s="25">
        <v>50.21</v>
      </c>
      <c r="J5866" s="379">
        <v>0.27777777777777779</v>
      </c>
    </row>
    <row r="5867" spans="1:10" x14ac:dyDescent="0.35">
      <c r="A5867" s="5">
        <v>5863</v>
      </c>
      <c r="B5867" s="5">
        <v>245</v>
      </c>
      <c r="C5867" s="5">
        <v>9</v>
      </c>
      <c r="D5867" s="379">
        <v>138.88888888888889</v>
      </c>
      <c r="E5867" s="25">
        <v>25.74</v>
      </c>
      <c r="F5867" s="379">
        <v>4.4071291547013294</v>
      </c>
      <c r="G5867" s="25">
        <v>44.69</v>
      </c>
      <c r="H5867" s="379">
        <v>0.10290899028543946</v>
      </c>
      <c r="I5867" s="25">
        <v>53.71</v>
      </c>
      <c r="J5867" s="379">
        <v>0.27777777777777779</v>
      </c>
    </row>
    <row r="5868" spans="1:10" x14ac:dyDescent="0.35">
      <c r="A5868" s="5">
        <v>5864</v>
      </c>
      <c r="B5868" s="5">
        <v>245</v>
      </c>
      <c r="C5868" s="5">
        <v>9</v>
      </c>
      <c r="D5868" s="379">
        <v>138.88888888888889</v>
      </c>
      <c r="E5868" s="25">
        <v>26.05</v>
      </c>
      <c r="F5868" s="379">
        <v>5.6632158621637485</v>
      </c>
      <c r="G5868" s="25">
        <v>44.74</v>
      </c>
      <c r="H5868" s="379">
        <v>9.9569916782386469E-2</v>
      </c>
      <c r="I5868" s="25">
        <v>54.87</v>
      </c>
      <c r="J5868" s="379">
        <v>4.8130684545931004</v>
      </c>
    </row>
    <row r="5869" spans="1:10" x14ac:dyDescent="0.35">
      <c r="A5869" s="5">
        <v>5865</v>
      </c>
      <c r="B5869" s="5">
        <v>245</v>
      </c>
      <c r="C5869" s="5">
        <v>9</v>
      </c>
      <c r="D5869" s="379">
        <v>133.54666666666668</v>
      </c>
      <c r="E5869" s="25">
        <v>25.59</v>
      </c>
      <c r="F5869" s="379">
        <v>1.4303392401609696</v>
      </c>
      <c r="G5869" s="25">
        <v>44.74</v>
      </c>
      <c r="H5869" s="379">
        <v>2.4930855452494614</v>
      </c>
      <c r="I5869" s="25">
        <v>53.51</v>
      </c>
      <c r="J5869" s="379">
        <v>1.4239777398788485</v>
      </c>
    </row>
    <row r="5870" spans="1:10" x14ac:dyDescent="0.35">
      <c r="A5870" s="5">
        <v>5866</v>
      </c>
      <c r="B5870" s="5">
        <v>245</v>
      </c>
      <c r="C5870" s="5">
        <v>9</v>
      </c>
      <c r="D5870" s="379">
        <v>125.47499999999998</v>
      </c>
      <c r="E5870" s="25">
        <v>25.29</v>
      </c>
      <c r="F5870" s="379">
        <v>0.22122095352878784</v>
      </c>
      <c r="G5870" s="25">
        <v>44.74</v>
      </c>
      <c r="H5870" s="379">
        <v>1.9166706892464163</v>
      </c>
      <c r="I5870" s="25">
        <v>50.44</v>
      </c>
      <c r="J5870" s="379">
        <v>6.3422792871528078E-2</v>
      </c>
    </row>
    <row r="5871" spans="1:10" x14ac:dyDescent="0.35">
      <c r="A5871" s="5">
        <v>5867</v>
      </c>
      <c r="B5871" s="5">
        <v>245</v>
      </c>
      <c r="C5871" s="5">
        <v>9</v>
      </c>
      <c r="D5871" s="379">
        <v>110.23666666666665</v>
      </c>
      <c r="E5871" s="25">
        <v>25.29</v>
      </c>
      <c r="F5871" s="379">
        <v>2.8003964335678027</v>
      </c>
      <c r="G5871" s="25">
        <v>44.74</v>
      </c>
      <c r="H5871" s="379">
        <v>0.17832349124376695</v>
      </c>
      <c r="I5871" s="25">
        <v>50.21</v>
      </c>
      <c r="J5871" s="379">
        <v>6.3422792871528078E-2</v>
      </c>
    </row>
    <row r="5872" spans="1:10" x14ac:dyDescent="0.35">
      <c r="A5872" s="5">
        <v>5868</v>
      </c>
      <c r="B5872" s="5">
        <v>245</v>
      </c>
      <c r="C5872" s="5">
        <v>9</v>
      </c>
      <c r="D5872" s="379">
        <v>88.338333333333338</v>
      </c>
      <c r="E5872" s="25">
        <v>25.29</v>
      </c>
      <c r="F5872" s="379">
        <v>2.8003964335678027</v>
      </c>
      <c r="G5872" s="25">
        <v>43.56</v>
      </c>
      <c r="H5872" s="379">
        <v>2.983374850025141E-2</v>
      </c>
      <c r="I5872" s="25">
        <v>46.69</v>
      </c>
      <c r="J5872" s="379">
        <v>6.3422792871528078E-2</v>
      </c>
    </row>
    <row r="5873" spans="1:10" x14ac:dyDescent="0.35">
      <c r="A5873" s="5">
        <v>5869</v>
      </c>
      <c r="B5873" s="5">
        <v>245</v>
      </c>
      <c r="C5873" s="5">
        <v>9</v>
      </c>
      <c r="D5873" s="379">
        <v>82.010555555555555</v>
      </c>
      <c r="E5873" s="25">
        <v>24.99</v>
      </c>
      <c r="F5873" s="379">
        <v>2.8003964335678027</v>
      </c>
      <c r="G5873" s="25">
        <v>43.56</v>
      </c>
      <c r="H5873" s="379">
        <v>2.983374850025141E-2</v>
      </c>
      <c r="I5873" s="25">
        <v>46.69</v>
      </c>
      <c r="J5873" s="379">
        <v>6.3422792871528078E-2</v>
      </c>
    </row>
    <row r="5874" spans="1:10" x14ac:dyDescent="0.35">
      <c r="A5874" s="5">
        <v>5870</v>
      </c>
      <c r="B5874" s="5">
        <v>245</v>
      </c>
      <c r="C5874" s="5">
        <v>9</v>
      </c>
      <c r="D5874" s="379">
        <v>83.203333333333347</v>
      </c>
      <c r="E5874" s="25">
        <v>24.99</v>
      </c>
      <c r="F5874" s="379">
        <v>2.8003964335678027</v>
      </c>
      <c r="G5874" s="25">
        <v>43.56</v>
      </c>
      <c r="H5874" s="379">
        <v>2.983374850025141E-2</v>
      </c>
      <c r="I5874" s="25">
        <v>46.69</v>
      </c>
      <c r="J5874" s="379">
        <v>6.3422792871528078E-2</v>
      </c>
    </row>
    <row r="5875" spans="1:10" x14ac:dyDescent="0.35">
      <c r="A5875" s="5">
        <v>5871</v>
      </c>
      <c r="B5875" s="5">
        <v>245</v>
      </c>
      <c r="C5875" s="5">
        <v>9</v>
      </c>
      <c r="D5875" s="379">
        <v>89.572777777777773</v>
      </c>
      <c r="E5875" s="25">
        <v>24.84</v>
      </c>
      <c r="F5875" s="379">
        <v>2.8752154517683559</v>
      </c>
      <c r="G5875" s="25">
        <v>43.56</v>
      </c>
      <c r="H5875" s="379">
        <v>0.60396077034628004</v>
      </c>
      <c r="I5875" s="25">
        <v>46.69</v>
      </c>
      <c r="J5875" s="379">
        <v>6.3422792871528078E-2</v>
      </c>
    </row>
    <row r="5876" spans="1:10" x14ac:dyDescent="0.35">
      <c r="A5876" s="5">
        <v>5872</v>
      </c>
      <c r="B5876" s="5">
        <v>245</v>
      </c>
      <c r="C5876" s="5">
        <v>9</v>
      </c>
      <c r="D5876" s="379">
        <v>107.13999999999999</v>
      </c>
      <c r="E5876" s="25">
        <v>25.59</v>
      </c>
      <c r="F5876" s="379">
        <v>3.1512364416311915</v>
      </c>
      <c r="G5876" s="25">
        <v>43.56</v>
      </c>
      <c r="H5876" s="379">
        <v>0.64736645355380174</v>
      </c>
      <c r="I5876" s="25">
        <v>46.69</v>
      </c>
      <c r="J5876" s="379">
        <v>6.3422792871528078E-2</v>
      </c>
    </row>
    <row r="5877" spans="1:10" x14ac:dyDescent="0.35">
      <c r="A5877" s="5">
        <v>5873</v>
      </c>
      <c r="B5877" s="5">
        <v>245</v>
      </c>
      <c r="C5877" s="5">
        <v>9</v>
      </c>
      <c r="D5877" s="379">
        <v>125.59333333333332</v>
      </c>
      <c r="E5877" s="25">
        <v>25.74</v>
      </c>
      <c r="F5877" s="379">
        <v>3.8475659161876251E-2</v>
      </c>
      <c r="G5877" s="25">
        <v>44.93</v>
      </c>
      <c r="H5877" s="379">
        <v>1.9208848697116683</v>
      </c>
      <c r="I5877" s="25">
        <v>48.86</v>
      </c>
      <c r="J5877" s="379">
        <v>0.18245993344713632</v>
      </c>
    </row>
    <row r="5878" spans="1:10" x14ac:dyDescent="0.35">
      <c r="A5878" s="5">
        <v>5874</v>
      </c>
      <c r="B5878" s="5">
        <v>245</v>
      </c>
      <c r="C5878" s="5">
        <v>9</v>
      </c>
      <c r="D5878" s="379">
        <v>135.65166666666667</v>
      </c>
      <c r="E5878" s="25">
        <v>25.74</v>
      </c>
      <c r="F5878" s="379">
        <v>5.6605108790242493</v>
      </c>
      <c r="G5878" s="25">
        <v>44.93</v>
      </c>
      <c r="H5878" s="379">
        <v>5.2632970922274156</v>
      </c>
      <c r="I5878" s="25">
        <v>51.72</v>
      </c>
      <c r="J5878" s="379">
        <v>4.7553484532815595</v>
      </c>
    </row>
    <row r="5879" spans="1:10" x14ac:dyDescent="0.35">
      <c r="A5879" s="5">
        <v>5875</v>
      </c>
      <c r="B5879" s="5">
        <v>245</v>
      </c>
      <c r="C5879" s="5">
        <v>9</v>
      </c>
      <c r="D5879" s="379">
        <v>138.88888888888889</v>
      </c>
      <c r="E5879" s="25">
        <v>26.51</v>
      </c>
      <c r="F5879" s="379">
        <v>7.8961202412659759</v>
      </c>
      <c r="G5879" s="25">
        <v>47.85</v>
      </c>
      <c r="H5879" s="379">
        <v>6.4637609594757421</v>
      </c>
      <c r="I5879" s="25">
        <v>54.87</v>
      </c>
      <c r="J5879" s="379">
        <v>5.5747659170600992</v>
      </c>
    </row>
    <row r="5880" spans="1:10" x14ac:dyDescent="0.35">
      <c r="A5880" s="5">
        <v>5876</v>
      </c>
      <c r="B5880" s="5">
        <v>245</v>
      </c>
      <c r="C5880" s="5">
        <v>9</v>
      </c>
      <c r="D5880" s="379">
        <v>131.67222222222222</v>
      </c>
      <c r="E5880" s="25">
        <v>26.51</v>
      </c>
      <c r="F5880" s="379">
        <v>8.2526449564679325</v>
      </c>
      <c r="G5880" s="25">
        <v>47.85</v>
      </c>
      <c r="H5880" s="379">
        <v>7.7951300176124718</v>
      </c>
      <c r="I5880" s="25">
        <v>56.52</v>
      </c>
      <c r="J5880" s="379">
        <v>2.7875392801237497</v>
      </c>
    </row>
    <row r="5881" spans="1:10" x14ac:dyDescent="0.35">
      <c r="A5881" s="5">
        <v>5877</v>
      </c>
      <c r="B5881" s="5">
        <v>245</v>
      </c>
      <c r="C5881" s="5">
        <v>9</v>
      </c>
      <c r="D5881" s="379">
        <v>107.72444444444444</v>
      </c>
      <c r="E5881" s="25">
        <v>26.51</v>
      </c>
      <c r="F5881" s="379">
        <v>8.8061521341055951</v>
      </c>
      <c r="G5881" s="25">
        <v>47.85</v>
      </c>
      <c r="H5881" s="379">
        <v>7.7570985289221497</v>
      </c>
      <c r="I5881" s="25">
        <v>55.12</v>
      </c>
      <c r="J5881" s="379">
        <v>5.0890776832771456</v>
      </c>
    </row>
    <row r="5882" spans="1:10" x14ac:dyDescent="0.35">
      <c r="A5882" s="5">
        <v>5878</v>
      </c>
      <c r="B5882" s="5">
        <v>245</v>
      </c>
      <c r="C5882" s="5">
        <v>9</v>
      </c>
      <c r="D5882" s="379">
        <v>87.346666666666664</v>
      </c>
      <c r="E5882" s="25">
        <v>25.74</v>
      </c>
      <c r="F5882" s="379">
        <v>8.8353605835759321</v>
      </c>
      <c r="G5882" s="25">
        <v>44.93</v>
      </c>
      <c r="H5882" s="379">
        <v>7.2211379300066536</v>
      </c>
      <c r="I5882" s="25">
        <v>54.87</v>
      </c>
      <c r="J5882" s="379">
        <v>5.2139910153808113</v>
      </c>
    </row>
    <row r="5883" spans="1:10" x14ac:dyDescent="0.35">
      <c r="A5883" s="5">
        <v>5879</v>
      </c>
      <c r="B5883" s="5">
        <v>245</v>
      </c>
      <c r="C5883" s="5">
        <v>9</v>
      </c>
      <c r="D5883" s="379">
        <v>76.083888888888879</v>
      </c>
      <c r="E5883" s="25">
        <v>24.84</v>
      </c>
      <c r="F5883" s="379">
        <v>8.3841647893595646</v>
      </c>
      <c r="G5883" s="25">
        <v>43.56</v>
      </c>
      <c r="H5883" s="379">
        <v>7.8444462521849108</v>
      </c>
      <c r="I5883" s="25">
        <v>53.51</v>
      </c>
      <c r="J5883" s="379">
        <v>2.2571204189337544</v>
      </c>
    </row>
    <row r="5884" spans="1:10" x14ac:dyDescent="0.35">
      <c r="A5884" s="5">
        <v>5880</v>
      </c>
      <c r="B5884" s="5">
        <v>245</v>
      </c>
      <c r="C5884" s="5">
        <v>9</v>
      </c>
      <c r="D5884" s="379">
        <v>77.650555555555556</v>
      </c>
      <c r="E5884" s="25">
        <v>24.84</v>
      </c>
      <c r="F5884" s="379">
        <v>8.376830930984239</v>
      </c>
      <c r="G5884" s="25">
        <v>43.56</v>
      </c>
      <c r="H5884" s="379">
        <v>6.2948446656406354</v>
      </c>
      <c r="I5884" s="25">
        <v>48.86</v>
      </c>
      <c r="J5884" s="379">
        <v>4.8737271817750205</v>
      </c>
    </row>
    <row r="5885" spans="1:10" x14ac:dyDescent="0.35">
      <c r="A5885" s="5">
        <v>5881</v>
      </c>
      <c r="B5885" s="5">
        <v>246</v>
      </c>
      <c r="C5885" s="5">
        <v>9</v>
      </c>
      <c r="D5885" s="379">
        <v>80.330555555555534</v>
      </c>
      <c r="E5885" s="25">
        <v>24.84</v>
      </c>
      <c r="F5885" s="379">
        <v>8.3007535329860502</v>
      </c>
      <c r="G5885" s="25">
        <v>43.56</v>
      </c>
      <c r="H5885" s="379">
        <v>9.0815272869983641</v>
      </c>
      <c r="I5885" s="25">
        <v>50.21</v>
      </c>
      <c r="J5885" s="379">
        <v>4.6116303856485148</v>
      </c>
    </row>
    <row r="5886" spans="1:10" x14ac:dyDescent="0.35">
      <c r="A5886" s="5">
        <v>5882</v>
      </c>
      <c r="B5886" s="5">
        <v>246</v>
      </c>
      <c r="C5886" s="5">
        <v>9</v>
      </c>
      <c r="D5886" s="379">
        <v>79.101666666666659</v>
      </c>
      <c r="E5886" s="25">
        <v>24.84</v>
      </c>
      <c r="F5886" s="379">
        <v>8.2179491939654969</v>
      </c>
      <c r="G5886" s="25">
        <v>42.29</v>
      </c>
      <c r="H5886" s="379">
        <v>9.0899483358261968</v>
      </c>
      <c r="I5886" s="25">
        <v>50.21</v>
      </c>
      <c r="J5886" s="379">
        <v>5.3356422229369151</v>
      </c>
    </row>
    <row r="5887" spans="1:10" x14ac:dyDescent="0.35">
      <c r="A5887" s="5">
        <v>5883</v>
      </c>
      <c r="B5887" s="5">
        <v>246</v>
      </c>
      <c r="C5887" s="5">
        <v>9</v>
      </c>
      <c r="D5887" s="379">
        <v>75.275555555555556</v>
      </c>
      <c r="E5887" s="25">
        <v>24.84</v>
      </c>
      <c r="F5887" s="379">
        <v>8.7453237197234639</v>
      </c>
      <c r="G5887" s="25">
        <v>42.29</v>
      </c>
      <c r="H5887" s="379">
        <v>9.1110294322819652</v>
      </c>
      <c r="I5887" s="25">
        <v>50.21</v>
      </c>
      <c r="J5887" s="379">
        <v>3.9741581518961819</v>
      </c>
    </row>
    <row r="5888" spans="1:10" x14ac:dyDescent="0.35">
      <c r="A5888" s="5">
        <v>5884</v>
      </c>
      <c r="B5888" s="5">
        <v>246</v>
      </c>
      <c r="C5888" s="5">
        <v>9</v>
      </c>
      <c r="D5888" s="379">
        <v>74.123333333333335</v>
      </c>
      <c r="E5888" s="25">
        <v>24.84</v>
      </c>
      <c r="F5888" s="379">
        <v>8.9255959477669577</v>
      </c>
      <c r="G5888" s="25">
        <v>42.29</v>
      </c>
      <c r="H5888" s="379">
        <v>9.1074041935959915</v>
      </c>
      <c r="I5888" s="25">
        <v>50.21</v>
      </c>
      <c r="J5888" s="379">
        <v>4.8250115564312646</v>
      </c>
    </row>
    <row r="5889" spans="1:10" x14ac:dyDescent="0.35">
      <c r="A5889" s="5">
        <v>5885</v>
      </c>
      <c r="B5889" s="5">
        <v>246</v>
      </c>
      <c r="C5889" s="5">
        <v>9</v>
      </c>
      <c r="D5889" s="379">
        <v>86.356111111111105</v>
      </c>
      <c r="E5889" s="25">
        <v>24.84</v>
      </c>
      <c r="F5889" s="379">
        <v>8.9580860765896002</v>
      </c>
      <c r="G5889" s="25">
        <v>43.56</v>
      </c>
      <c r="H5889" s="379">
        <v>9.1235156841041682</v>
      </c>
      <c r="I5889" s="25">
        <v>50.44</v>
      </c>
      <c r="J5889" s="379">
        <v>5.8416496626042216</v>
      </c>
    </row>
    <row r="5890" spans="1:10" x14ac:dyDescent="0.35">
      <c r="A5890" s="5">
        <v>5886</v>
      </c>
      <c r="B5890" s="5">
        <v>246</v>
      </c>
      <c r="C5890" s="5">
        <v>9</v>
      </c>
      <c r="D5890" s="379">
        <v>87.612222222222215</v>
      </c>
      <c r="E5890" s="25">
        <v>25.59</v>
      </c>
      <c r="F5890" s="379">
        <v>9.1597561565219738</v>
      </c>
      <c r="G5890" s="25">
        <v>43.99</v>
      </c>
      <c r="H5890" s="379">
        <v>7.8741743153748516</v>
      </c>
      <c r="I5890" s="25">
        <v>53.51</v>
      </c>
      <c r="J5890" s="379">
        <v>4.0532764520202003</v>
      </c>
    </row>
    <row r="5891" spans="1:10" x14ac:dyDescent="0.35">
      <c r="A5891" s="5">
        <v>5887</v>
      </c>
      <c r="B5891" s="5">
        <v>246</v>
      </c>
      <c r="C5891" s="5">
        <v>9</v>
      </c>
      <c r="D5891" s="379">
        <v>102.90888888888888</v>
      </c>
      <c r="E5891" s="25">
        <v>25.74</v>
      </c>
      <c r="F5891" s="379">
        <v>9.2767541347668896</v>
      </c>
      <c r="G5891" s="25">
        <v>47.85</v>
      </c>
      <c r="H5891" s="379">
        <v>8.9336970542915548</v>
      </c>
      <c r="I5891" s="25">
        <v>54.87</v>
      </c>
      <c r="J5891" s="379">
        <v>4.053276452020202</v>
      </c>
    </row>
    <row r="5892" spans="1:10" x14ac:dyDescent="0.35">
      <c r="A5892" s="5">
        <v>5888</v>
      </c>
      <c r="B5892" s="5">
        <v>246</v>
      </c>
      <c r="C5892" s="5">
        <v>9</v>
      </c>
      <c r="D5892" s="379">
        <v>109.05722222222222</v>
      </c>
      <c r="E5892" s="25">
        <v>25.74</v>
      </c>
      <c r="F5892" s="379">
        <v>8.9969684605656255</v>
      </c>
      <c r="G5892" s="25">
        <v>47.85</v>
      </c>
      <c r="H5892" s="379">
        <v>7.2001474575180158</v>
      </c>
      <c r="I5892" s="25">
        <v>56.52</v>
      </c>
      <c r="J5892" s="379">
        <v>0.27777777777777779</v>
      </c>
    </row>
    <row r="5893" spans="1:10" x14ac:dyDescent="0.35">
      <c r="A5893" s="5">
        <v>5889</v>
      </c>
      <c r="B5893" s="5">
        <v>246</v>
      </c>
      <c r="C5893" s="5">
        <v>9</v>
      </c>
      <c r="D5893" s="379">
        <v>106.18333333333332</v>
      </c>
      <c r="E5893" s="25">
        <v>25.74</v>
      </c>
      <c r="F5893" s="379">
        <v>8.6213443505984788</v>
      </c>
      <c r="G5893" s="25">
        <v>47.85</v>
      </c>
      <c r="H5893" s="379">
        <v>4.799693804694658</v>
      </c>
      <c r="I5893" s="25">
        <v>54.87</v>
      </c>
      <c r="J5893" s="379">
        <v>0.27777777777777779</v>
      </c>
    </row>
    <row r="5894" spans="1:10" x14ac:dyDescent="0.35">
      <c r="A5894" s="5">
        <v>5890</v>
      </c>
      <c r="B5894" s="5">
        <v>246</v>
      </c>
      <c r="C5894" s="5">
        <v>9</v>
      </c>
      <c r="D5894" s="379">
        <v>89.704999999999998</v>
      </c>
      <c r="E5894" s="25">
        <v>25.74</v>
      </c>
      <c r="F5894" s="379">
        <v>8.1174834595959577</v>
      </c>
      <c r="G5894" s="25">
        <v>47.85</v>
      </c>
      <c r="H5894" s="379">
        <v>7.5123277051299295</v>
      </c>
      <c r="I5894" s="25">
        <v>53.51</v>
      </c>
      <c r="J5894" s="379">
        <v>6.0180487692768994</v>
      </c>
    </row>
    <row r="5895" spans="1:10" x14ac:dyDescent="0.35">
      <c r="A5895" s="5">
        <v>5891</v>
      </c>
      <c r="B5895" s="5">
        <v>246</v>
      </c>
      <c r="C5895" s="5">
        <v>9</v>
      </c>
      <c r="D5895" s="379">
        <v>85.972222222222214</v>
      </c>
      <c r="E5895" s="25">
        <v>25.59</v>
      </c>
      <c r="F5895" s="379">
        <v>8.1174834595959595</v>
      </c>
      <c r="G5895" s="25">
        <v>44.93</v>
      </c>
      <c r="H5895" s="379">
        <v>7.4006159384814207</v>
      </c>
      <c r="I5895" s="25">
        <v>53.27</v>
      </c>
      <c r="J5895" s="379">
        <v>6.1245165122869194</v>
      </c>
    </row>
    <row r="5896" spans="1:10" x14ac:dyDescent="0.35">
      <c r="A5896" s="5">
        <v>5892</v>
      </c>
      <c r="B5896" s="5">
        <v>246</v>
      </c>
      <c r="C5896" s="5">
        <v>9</v>
      </c>
      <c r="D5896" s="379">
        <v>79.415555555555557</v>
      </c>
      <c r="E5896" s="25">
        <v>24.99</v>
      </c>
      <c r="F5896" s="379">
        <v>8.1174834595959577</v>
      </c>
      <c r="G5896" s="25">
        <v>44.74</v>
      </c>
      <c r="H5896" s="379">
        <v>6.6484196063804788</v>
      </c>
      <c r="I5896" s="25">
        <v>50.21</v>
      </c>
      <c r="J5896" s="379">
        <v>0.57970869262728031</v>
      </c>
    </row>
    <row r="5897" spans="1:10" x14ac:dyDescent="0.35">
      <c r="A5897" s="5">
        <v>5893</v>
      </c>
      <c r="B5897" s="5">
        <v>246</v>
      </c>
      <c r="C5897" s="5">
        <v>9</v>
      </c>
      <c r="D5897" s="379">
        <v>72.181111111111107</v>
      </c>
      <c r="E5897" s="25">
        <v>24.99</v>
      </c>
      <c r="F5897" s="379">
        <v>8.1174834595959577</v>
      </c>
      <c r="G5897" s="25">
        <v>44.74</v>
      </c>
      <c r="H5897" s="379">
        <v>7.3727575329607822</v>
      </c>
      <c r="I5897" s="25">
        <v>49.53</v>
      </c>
      <c r="J5897" s="379">
        <v>0.95273091995860537</v>
      </c>
    </row>
    <row r="5898" spans="1:10" x14ac:dyDescent="0.35">
      <c r="A5898" s="5">
        <v>5894</v>
      </c>
      <c r="B5898" s="5">
        <v>246</v>
      </c>
      <c r="C5898" s="5">
        <v>9</v>
      </c>
      <c r="D5898" s="379">
        <v>76.281111111111102</v>
      </c>
      <c r="E5898" s="25">
        <v>24.84</v>
      </c>
      <c r="F5898" s="379">
        <v>8.1174834595959595</v>
      </c>
      <c r="G5898" s="25">
        <v>43.56</v>
      </c>
      <c r="H5898" s="379">
        <v>7.2252214732762621</v>
      </c>
      <c r="I5898" s="25">
        <v>49.53</v>
      </c>
      <c r="J5898" s="379">
        <v>1.009345492922969</v>
      </c>
    </row>
    <row r="5899" spans="1:10" x14ac:dyDescent="0.35">
      <c r="A5899" s="5">
        <v>5895</v>
      </c>
      <c r="B5899" s="5">
        <v>246</v>
      </c>
      <c r="C5899" s="5">
        <v>9</v>
      </c>
      <c r="D5899" s="379">
        <v>79.026111111111106</v>
      </c>
      <c r="E5899" s="25">
        <v>24.84</v>
      </c>
      <c r="F5899" s="379">
        <v>8.1174834595959595</v>
      </c>
      <c r="G5899" s="25">
        <v>43.62</v>
      </c>
      <c r="H5899" s="379">
        <v>7.0771651823772563</v>
      </c>
      <c r="I5899" s="25">
        <v>50.21</v>
      </c>
      <c r="J5899" s="379">
        <v>1.009345492922969</v>
      </c>
    </row>
    <row r="5900" spans="1:10" x14ac:dyDescent="0.35">
      <c r="A5900" s="5">
        <v>5896</v>
      </c>
      <c r="B5900" s="5">
        <v>246</v>
      </c>
      <c r="C5900" s="5">
        <v>9</v>
      </c>
      <c r="D5900" s="379">
        <v>84.407777777777781</v>
      </c>
      <c r="E5900" s="25">
        <v>24.84</v>
      </c>
      <c r="F5900" s="379">
        <v>8.1174834595959595</v>
      </c>
      <c r="G5900" s="25">
        <v>43.99</v>
      </c>
      <c r="H5900" s="379">
        <v>6.7855995690889035</v>
      </c>
      <c r="I5900" s="25">
        <v>50.21</v>
      </c>
      <c r="J5900" s="379">
        <v>1.4728016392900736</v>
      </c>
    </row>
    <row r="5901" spans="1:10" x14ac:dyDescent="0.35">
      <c r="A5901" s="5">
        <v>5897</v>
      </c>
      <c r="B5901" s="5">
        <v>246</v>
      </c>
      <c r="C5901" s="5">
        <v>9</v>
      </c>
      <c r="D5901" s="379">
        <v>106.13555555555554</v>
      </c>
      <c r="E5901" s="25">
        <v>25.59</v>
      </c>
      <c r="F5901" s="379">
        <v>8.660778891426121</v>
      </c>
      <c r="G5901" s="25">
        <v>46.98</v>
      </c>
      <c r="H5901" s="379">
        <v>7.6411890143460814</v>
      </c>
      <c r="I5901" s="25">
        <v>50.72</v>
      </c>
      <c r="J5901" s="379">
        <v>6.0543672521177792</v>
      </c>
    </row>
    <row r="5902" spans="1:10" x14ac:dyDescent="0.35">
      <c r="A5902" s="5">
        <v>5898</v>
      </c>
      <c r="B5902" s="5">
        <v>246</v>
      </c>
      <c r="C5902" s="5">
        <v>9</v>
      </c>
      <c r="D5902" s="379">
        <v>116.81333333333332</v>
      </c>
      <c r="E5902" s="25">
        <v>25.74</v>
      </c>
      <c r="F5902" s="379">
        <v>12.603127767970831</v>
      </c>
      <c r="G5902" s="25">
        <v>47.85</v>
      </c>
      <c r="H5902" s="379">
        <v>9.5019598119426973</v>
      </c>
      <c r="I5902" s="25">
        <v>52.48</v>
      </c>
      <c r="J5902" s="379">
        <v>6.234620018837707</v>
      </c>
    </row>
    <row r="5903" spans="1:10" x14ac:dyDescent="0.35">
      <c r="A5903" s="5">
        <v>5899</v>
      </c>
      <c r="B5903" s="5">
        <v>246</v>
      </c>
      <c r="C5903" s="5">
        <v>9</v>
      </c>
      <c r="D5903" s="379">
        <v>128.39999999999998</v>
      </c>
      <c r="E5903" s="25">
        <v>25.74</v>
      </c>
      <c r="F5903" s="379">
        <v>16.237819115864845</v>
      </c>
      <c r="G5903" s="25">
        <v>47.85</v>
      </c>
      <c r="H5903" s="379">
        <v>9.5848719834881813</v>
      </c>
      <c r="I5903" s="25">
        <v>54.87</v>
      </c>
      <c r="J5903" s="379">
        <v>6.092947861957775</v>
      </c>
    </row>
    <row r="5904" spans="1:10" x14ac:dyDescent="0.35">
      <c r="A5904" s="5">
        <v>5900</v>
      </c>
      <c r="B5904" s="5">
        <v>246</v>
      </c>
      <c r="C5904" s="5">
        <v>9</v>
      </c>
      <c r="D5904" s="379">
        <v>123.46444444444442</v>
      </c>
      <c r="E5904" s="25">
        <v>25.74</v>
      </c>
      <c r="F5904" s="379">
        <v>15.824286912656284</v>
      </c>
      <c r="G5904" s="25">
        <v>47.85</v>
      </c>
      <c r="H5904" s="379">
        <v>9.1915110349472311</v>
      </c>
      <c r="I5904" s="25">
        <v>54.87</v>
      </c>
      <c r="J5904" s="379">
        <v>6.482455533452339</v>
      </c>
    </row>
    <row r="5905" spans="1:10" x14ac:dyDescent="0.35">
      <c r="A5905" s="5">
        <v>5901</v>
      </c>
      <c r="B5905" s="5">
        <v>246</v>
      </c>
      <c r="C5905" s="5">
        <v>9</v>
      </c>
      <c r="D5905" s="379">
        <v>103.83833333333332</v>
      </c>
      <c r="E5905" s="25">
        <v>25.74</v>
      </c>
      <c r="F5905" s="379">
        <v>15.972442914368557</v>
      </c>
      <c r="G5905" s="25">
        <v>47.85</v>
      </c>
      <c r="H5905" s="379">
        <v>9.5866355002143422</v>
      </c>
      <c r="I5905" s="25">
        <v>54.87</v>
      </c>
      <c r="J5905" s="379">
        <v>6.3550778768304861</v>
      </c>
    </row>
    <row r="5906" spans="1:10" x14ac:dyDescent="0.35">
      <c r="A5906" s="5">
        <v>5902</v>
      </c>
      <c r="B5906" s="5">
        <v>246</v>
      </c>
      <c r="C5906" s="5">
        <v>9</v>
      </c>
      <c r="D5906" s="379">
        <v>94.890000000000015</v>
      </c>
      <c r="E5906" s="25">
        <v>25.29</v>
      </c>
      <c r="F5906" s="379">
        <v>16.343753326414603</v>
      </c>
      <c r="G5906" s="25">
        <v>44.93</v>
      </c>
      <c r="H5906" s="379">
        <v>8.0698755054523854</v>
      </c>
      <c r="I5906" s="25">
        <v>53.71</v>
      </c>
      <c r="J5906" s="379">
        <v>5.6018558546267627</v>
      </c>
    </row>
    <row r="5907" spans="1:10" x14ac:dyDescent="0.35">
      <c r="A5907" s="5">
        <v>5903</v>
      </c>
      <c r="B5907" s="5">
        <v>246</v>
      </c>
      <c r="C5907" s="5">
        <v>9</v>
      </c>
      <c r="D5907" s="379">
        <v>83.934444444444452</v>
      </c>
      <c r="E5907" s="25">
        <v>24.84</v>
      </c>
      <c r="F5907" s="379">
        <v>10.704087541330548</v>
      </c>
      <c r="G5907" s="25">
        <v>43.56</v>
      </c>
      <c r="H5907" s="379">
        <v>9.5821118689479352</v>
      </c>
      <c r="I5907" s="25">
        <v>53.27</v>
      </c>
      <c r="J5907" s="379">
        <v>6.1253800009440154</v>
      </c>
    </row>
    <row r="5908" spans="1:10" x14ac:dyDescent="0.35">
      <c r="A5908" s="5">
        <v>5904</v>
      </c>
      <c r="B5908" s="5">
        <v>246</v>
      </c>
      <c r="C5908" s="5">
        <v>9</v>
      </c>
      <c r="D5908" s="379">
        <v>72.38111111111111</v>
      </c>
      <c r="E5908" s="25">
        <v>24.84</v>
      </c>
      <c r="F5908" s="379">
        <v>9.6852618898146172</v>
      </c>
      <c r="G5908" s="25">
        <v>43.56</v>
      </c>
      <c r="H5908" s="379">
        <v>8.4060747109598868</v>
      </c>
      <c r="I5908" s="25">
        <v>51.02</v>
      </c>
      <c r="J5908" s="379">
        <v>6.4113637785188029</v>
      </c>
    </row>
    <row r="5909" spans="1:10" x14ac:dyDescent="0.35">
      <c r="A5909" s="5">
        <v>5905</v>
      </c>
      <c r="B5909" s="5">
        <v>247</v>
      </c>
      <c r="C5909" s="5">
        <v>9</v>
      </c>
      <c r="D5909" s="379">
        <v>65.673333333333332</v>
      </c>
      <c r="E5909" s="25">
        <v>24.84</v>
      </c>
      <c r="F5909" s="379">
        <v>9.6939301070060182</v>
      </c>
      <c r="G5909" s="25">
        <v>38.61</v>
      </c>
      <c r="H5909" s="379">
        <v>8.9768923601125259</v>
      </c>
      <c r="I5909" s="25">
        <v>48.09</v>
      </c>
      <c r="J5909" s="379">
        <v>6.8855550961439853</v>
      </c>
    </row>
    <row r="5910" spans="1:10" x14ac:dyDescent="0.35">
      <c r="A5910" s="5">
        <v>5906</v>
      </c>
      <c r="B5910" s="5">
        <v>247</v>
      </c>
      <c r="C5910" s="5">
        <v>9</v>
      </c>
      <c r="D5910" s="379">
        <v>61.503333333333345</v>
      </c>
      <c r="E5910" s="25">
        <v>24.84</v>
      </c>
      <c r="F5910" s="379">
        <v>9.669162224450309</v>
      </c>
      <c r="G5910" s="25">
        <v>32.18</v>
      </c>
      <c r="H5910" s="379">
        <v>9.6089530156191998</v>
      </c>
      <c r="I5910" s="25">
        <v>45.49</v>
      </c>
      <c r="J5910" s="379">
        <v>6.6024962394531341</v>
      </c>
    </row>
    <row r="5911" spans="1:10" x14ac:dyDescent="0.35">
      <c r="A5911" s="5">
        <v>5907</v>
      </c>
      <c r="B5911" s="5">
        <v>247</v>
      </c>
      <c r="C5911" s="5">
        <v>9</v>
      </c>
      <c r="D5911" s="379">
        <v>62.023888888888891</v>
      </c>
      <c r="E5911" s="25">
        <v>24.84</v>
      </c>
      <c r="F5911" s="379">
        <v>9.5329950423882988</v>
      </c>
      <c r="G5911" s="25">
        <v>31.86</v>
      </c>
      <c r="H5911" s="379">
        <v>9.2271185022543794</v>
      </c>
      <c r="I5911" s="25">
        <v>45.49</v>
      </c>
      <c r="J5911" s="379">
        <v>5.5789160275891954</v>
      </c>
    </row>
    <row r="5912" spans="1:10" x14ac:dyDescent="0.35">
      <c r="A5912" s="5">
        <v>5908</v>
      </c>
      <c r="B5912" s="5">
        <v>247</v>
      </c>
      <c r="C5912" s="5">
        <v>9</v>
      </c>
      <c r="D5912" s="379">
        <v>63.997222222222227</v>
      </c>
      <c r="E5912" s="25">
        <v>24.56</v>
      </c>
      <c r="F5912" s="379">
        <v>9.3435684058749189</v>
      </c>
      <c r="G5912" s="25">
        <v>31.86</v>
      </c>
      <c r="H5912" s="379">
        <v>8.7453381588750698</v>
      </c>
      <c r="I5912" s="25">
        <v>45.49</v>
      </c>
      <c r="J5912" s="379">
        <v>6.3905200410348337</v>
      </c>
    </row>
    <row r="5913" spans="1:10" x14ac:dyDescent="0.35">
      <c r="A5913" s="5">
        <v>5909</v>
      </c>
      <c r="B5913" s="5">
        <v>247</v>
      </c>
      <c r="C5913" s="5">
        <v>9</v>
      </c>
      <c r="D5913" s="379">
        <v>63.67722222222222</v>
      </c>
      <c r="E5913" s="25">
        <v>24.84</v>
      </c>
      <c r="F5913" s="379">
        <v>9.9978720914201364</v>
      </c>
      <c r="G5913" s="25">
        <v>31.86</v>
      </c>
      <c r="H5913" s="379">
        <v>8.6486644625173348</v>
      </c>
      <c r="I5913" s="25">
        <v>45.49</v>
      </c>
      <c r="J5913" s="379">
        <v>6.3844022476560198</v>
      </c>
    </row>
    <row r="5914" spans="1:10" x14ac:dyDescent="0.35">
      <c r="A5914" s="5">
        <v>5910</v>
      </c>
      <c r="B5914" s="5">
        <v>247</v>
      </c>
      <c r="C5914" s="5">
        <v>9</v>
      </c>
      <c r="D5914" s="379">
        <v>62.736111111111107</v>
      </c>
      <c r="E5914" s="25">
        <v>24.84</v>
      </c>
      <c r="F5914" s="379">
        <v>9.8546053184380735</v>
      </c>
      <c r="G5914" s="25">
        <v>31.86</v>
      </c>
      <c r="H5914" s="379">
        <v>8.7168829042233291</v>
      </c>
      <c r="I5914" s="25">
        <v>48.86</v>
      </c>
      <c r="J5914" s="379">
        <v>4.793984854688075</v>
      </c>
    </row>
    <row r="5915" spans="1:10" x14ac:dyDescent="0.35">
      <c r="A5915" s="5">
        <v>5911</v>
      </c>
      <c r="B5915" s="5">
        <v>247</v>
      </c>
      <c r="C5915" s="5">
        <v>9</v>
      </c>
      <c r="D5915" s="379">
        <v>63.837222222222216</v>
      </c>
      <c r="E5915" s="25">
        <v>24.84</v>
      </c>
      <c r="F5915" s="379">
        <v>9.7963893620358533</v>
      </c>
      <c r="G5915" s="25">
        <v>32.18</v>
      </c>
      <c r="H5915" s="379">
        <v>8.9055366391091599</v>
      </c>
      <c r="I5915" s="25">
        <v>49.53</v>
      </c>
      <c r="J5915" s="379">
        <v>3.8771736263365515</v>
      </c>
    </row>
    <row r="5916" spans="1:10" x14ac:dyDescent="0.35">
      <c r="A5916" s="5">
        <v>5912</v>
      </c>
      <c r="B5916" s="5">
        <v>247</v>
      </c>
      <c r="C5916" s="5">
        <v>9</v>
      </c>
      <c r="D5916" s="379">
        <v>64.346666666666664</v>
      </c>
      <c r="E5916" s="25">
        <v>24.84</v>
      </c>
      <c r="F5916" s="379">
        <v>10.181165309760106</v>
      </c>
      <c r="G5916" s="25">
        <v>33.159999999999997</v>
      </c>
      <c r="H5916" s="379">
        <v>8.2111321998575395</v>
      </c>
      <c r="I5916" s="25">
        <v>51.72</v>
      </c>
      <c r="J5916" s="379">
        <v>5.8838616777024271</v>
      </c>
    </row>
    <row r="5917" spans="1:10" x14ac:dyDescent="0.35">
      <c r="A5917" s="5">
        <v>5913</v>
      </c>
      <c r="B5917" s="5">
        <v>247</v>
      </c>
      <c r="C5917" s="5">
        <v>9</v>
      </c>
      <c r="D5917" s="379">
        <v>63.206666666666649</v>
      </c>
      <c r="E5917" s="25">
        <v>24.84</v>
      </c>
      <c r="F5917" s="379">
        <v>8.6358333831331944</v>
      </c>
      <c r="G5917" s="25">
        <v>37.479999999999997</v>
      </c>
      <c r="H5917" s="379">
        <v>4.799693804694658</v>
      </c>
      <c r="I5917" s="25">
        <v>49.53</v>
      </c>
      <c r="J5917" s="379">
        <v>0.27777777777777779</v>
      </c>
    </row>
    <row r="5918" spans="1:10" x14ac:dyDescent="0.35">
      <c r="A5918" s="5">
        <v>5914</v>
      </c>
      <c r="B5918" s="5">
        <v>247</v>
      </c>
      <c r="C5918" s="5">
        <v>9</v>
      </c>
      <c r="D5918" s="379">
        <v>59.955555555555549</v>
      </c>
      <c r="E5918" s="25">
        <v>24.84</v>
      </c>
      <c r="F5918" s="379">
        <v>7.3757288832526102</v>
      </c>
      <c r="G5918" s="25">
        <v>37.479999999999997</v>
      </c>
      <c r="H5918" s="379">
        <v>0.527962787950919</v>
      </c>
      <c r="I5918" s="25">
        <v>47.44</v>
      </c>
      <c r="J5918" s="379">
        <v>3.7268727307015537</v>
      </c>
    </row>
    <row r="5919" spans="1:10" x14ac:dyDescent="0.35">
      <c r="A5919" s="5">
        <v>5915</v>
      </c>
      <c r="B5919" s="5">
        <v>247</v>
      </c>
      <c r="C5919" s="5">
        <v>9</v>
      </c>
      <c r="D5919" s="379">
        <v>51.940555555555548</v>
      </c>
      <c r="E5919" s="25">
        <v>24.84</v>
      </c>
      <c r="F5919" s="379">
        <v>5.20330536185359</v>
      </c>
      <c r="G5919" s="25">
        <v>37.08</v>
      </c>
      <c r="H5919" s="379">
        <v>4.8311688049492902</v>
      </c>
      <c r="I5919" s="25">
        <v>42.88</v>
      </c>
      <c r="J5919" s="379">
        <v>3.6564039672384405</v>
      </c>
    </row>
    <row r="5920" spans="1:10" x14ac:dyDescent="0.35">
      <c r="A5920" s="5">
        <v>5916</v>
      </c>
      <c r="B5920" s="5">
        <v>247</v>
      </c>
      <c r="C5920" s="5">
        <v>9</v>
      </c>
      <c r="D5920" s="379">
        <v>56.587222222222223</v>
      </c>
      <c r="E5920" s="25">
        <v>24.84</v>
      </c>
      <c r="F5920" s="379">
        <v>5.2083306482968252</v>
      </c>
      <c r="G5920" s="25">
        <v>34.15</v>
      </c>
      <c r="H5920" s="379">
        <v>4.7193742715683351</v>
      </c>
      <c r="I5920" s="25">
        <v>42.45</v>
      </c>
      <c r="J5920" s="379">
        <v>3.6564039672384441</v>
      </c>
    </row>
    <row r="5921" spans="1:10" x14ac:dyDescent="0.35">
      <c r="A5921" s="5">
        <v>5917</v>
      </c>
      <c r="B5921" s="5">
        <v>247</v>
      </c>
      <c r="C5921" s="5">
        <v>9</v>
      </c>
      <c r="D5921" s="379">
        <v>64.517777777777766</v>
      </c>
      <c r="E5921" s="25">
        <v>24.11</v>
      </c>
      <c r="F5921" s="379">
        <v>2.3405371683744871</v>
      </c>
      <c r="G5921" s="25">
        <v>32.18</v>
      </c>
      <c r="H5921" s="379">
        <v>4.7193742715683351</v>
      </c>
      <c r="I5921" s="25">
        <v>42.45</v>
      </c>
      <c r="J5921" s="379">
        <v>3.6564039672384423</v>
      </c>
    </row>
    <row r="5922" spans="1:10" x14ac:dyDescent="0.35">
      <c r="A5922" s="5">
        <v>5918</v>
      </c>
      <c r="B5922" s="5">
        <v>247</v>
      </c>
      <c r="C5922" s="5">
        <v>9</v>
      </c>
      <c r="D5922" s="379">
        <v>66.483333333333334</v>
      </c>
      <c r="E5922" s="25">
        <v>23.84</v>
      </c>
      <c r="F5922" s="379">
        <v>5.2083306482968252</v>
      </c>
      <c r="G5922" s="25">
        <v>31.86</v>
      </c>
      <c r="H5922" s="379">
        <v>4.5270054944923084</v>
      </c>
      <c r="I5922" s="25">
        <v>41.63</v>
      </c>
      <c r="J5922" s="379">
        <v>3.6881193424526333</v>
      </c>
    </row>
    <row r="5923" spans="1:10" x14ac:dyDescent="0.35">
      <c r="A5923" s="5">
        <v>5919</v>
      </c>
      <c r="B5923" s="5">
        <v>247</v>
      </c>
      <c r="C5923" s="5">
        <v>9</v>
      </c>
      <c r="D5923" s="379">
        <v>66.254444444444445</v>
      </c>
      <c r="E5923" s="25">
        <v>23.84</v>
      </c>
      <c r="F5923" s="379">
        <v>3.8259098584149962</v>
      </c>
      <c r="G5923" s="25">
        <v>31.86</v>
      </c>
      <c r="H5923" s="379">
        <v>4.5270054944923084</v>
      </c>
      <c r="I5923" s="25">
        <v>41.63</v>
      </c>
      <c r="J5923" s="379">
        <v>3.5254518732769071</v>
      </c>
    </row>
    <row r="5924" spans="1:10" x14ac:dyDescent="0.35">
      <c r="A5924" s="5">
        <v>5920</v>
      </c>
      <c r="B5924" s="5">
        <v>247</v>
      </c>
      <c r="C5924" s="5">
        <v>9</v>
      </c>
      <c r="D5924" s="379">
        <v>72.800000000000011</v>
      </c>
      <c r="E5924" s="25">
        <v>23.84</v>
      </c>
      <c r="F5924" s="379">
        <v>2.9992654370691607</v>
      </c>
      <c r="G5924" s="25">
        <v>32.18</v>
      </c>
      <c r="H5924" s="379">
        <v>4.5806504570317985</v>
      </c>
      <c r="I5924" s="25">
        <v>41.63</v>
      </c>
      <c r="J5924" s="379">
        <v>3.5548871339356349</v>
      </c>
    </row>
    <row r="5925" spans="1:10" x14ac:dyDescent="0.35">
      <c r="A5925" s="5">
        <v>5921</v>
      </c>
      <c r="B5925" s="5">
        <v>247</v>
      </c>
      <c r="C5925" s="5">
        <v>9</v>
      </c>
      <c r="D5925" s="379">
        <v>104.38666666666667</v>
      </c>
      <c r="E5925" s="25">
        <v>23.84</v>
      </c>
      <c r="F5925" s="379">
        <v>6.3374084028945941</v>
      </c>
      <c r="G5925" s="25">
        <v>32.79</v>
      </c>
      <c r="H5925" s="379">
        <v>4.723767170564714</v>
      </c>
      <c r="I5925" s="25">
        <v>42.45</v>
      </c>
      <c r="J5925" s="379">
        <v>3.6257778844579649</v>
      </c>
    </row>
    <row r="5926" spans="1:10" x14ac:dyDescent="0.35">
      <c r="A5926" s="5">
        <v>5922</v>
      </c>
      <c r="B5926" s="5">
        <v>247</v>
      </c>
      <c r="C5926" s="5">
        <v>9</v>
      </c>
      <c r="D5926" s="379">
        <v>117.96888888888888</v>
      </c>
      <c r="E5926" s="25">
        <v>24.26</v>
      </c>
      <c r="F5926" s="379">
        <v>8.1174834595959577</v>
      </c>
      <c r="G5926" s="25">
        <v>37.479999999999997</v>
      </c>
      <c r="H5926" s="379">
        <v>0.16600397351866578</v>
      </c>
      <c r="I5926" s="25">
        <v>42.88</v>
      </c>
      <c r="J5926" s="379">
        <v>0.27777777777777779</v>
      </c>
    </row>
    <row r="5927" spans="1:10" x14ac:dyDescent="0.35">
      <c r="A5927" s="5">
        <v>5923</v>
      </c>
      <c r="B5927" s="5">
        <v>247</v>
      </c>
      <c r="C5927" s="5">
        <v>9</v>
      </c>
      <c r="D5927" s="379">
        <v>125.88333333333333</v>
      </c>
      <c r="E5927" s="25">
        <v>24.84</v>
      </c>
      <c r="F5927" s="379">
        <v>8.6546452902122599</v>
      </c>
      <c r="G5927" s="25">
        <v>37.479999999999997</v>
      </c>
      <c r="H5927" s="379">
        <v>0.16600397351866578</v>
      </c>
      <c r="I5927" s="25">
        <v>48.86</v>
      </c>
      <c r="J5927" s="379">
        <v>0.27777777777777779</v>
      </c>
    </row>
    <row r="5928" spans="1:10" x14ac:dyDescent="0.35">
      <c r="A5928" s="5">
        <v>5924</v>
      </c>
      <c r="B5928" s="5">
        <v>247</v>
      </c>
      <c r="C5928" s="5">
        <v>9</v>
      </c>
      <c r="D5928" s="379">
        <v>124.14777777777776</v>
      </c>
      <c r="E5928" s="25">
        <v>24.84</v>
      </c>
      <c r="F5928" s="379">
        <v>8.8778465272570859</v>
      </c>
      <c r="G5928" s="25">
        <v>39.770000000000003</v>
      </c>
      <c r="H5928" s="379">
        <v>0.16600397351866578</v>
      </c>
      <c r="I5928" s="25">
        <v>48.86</v>
      </c>
      <c r="J5928" s="379">
        <v>0.31076657792409534</v>
      </c>
    </row>
    <row r="5929" spans="1:10" x14ac:dyDescent="0.35">
      <c r="A5929" s="5">
        <v>5925</v>
      </c>
      <c r="B5929" s="5">
        <v>247</v>
      </c>
      <c r="C5929" s="5">
        <v>9</v>
      </c>
      <c r="D5929" s="379">
        <v>111.95944444444443</v>
      </c>
      <c r="E5929" s="25">
        <v>24.84</v>
      </c>
      <c r="F5929" s="379">
        <v>8.6572591862307728</v>
      </c>
      <c r="G5929" s="25">
        <v>37.479999999999997</v>
      </c>
      <c r="H5929" s="379">
        <v>0.16600397351866578</v>
      </c>
      <c r="I5929" s="25">
        <v>48.97</v>
      </c>
      <c r="J5929" s="379">
        <v>0.27777777777777779</v>
      </c>
    </row>
    <row r="5930" spans="1:10" x14ac:dyDescent="0.35">
      <c r="A5930" s="5">
        <v>5926</v>
      </c>
      <c r="B5930" s="5">
        <v>247</v>
      </c>
      <c r="C5930" s="5">
        <v>9</v>
      </c>
      <c r="D5930" s="379">
        <v>104.02388888888888</v>
      </c>
      <c r="E5930" s="25">
        <v>24.84</v>
      </c>
      <c r="F5930" s="379">
        <v>8.1174834595959577</v>
      </c>
      <c r="G5930" s="25">
        <v>37.479999999999997</v>
      </c>
      <c r="H5930" s="379">
        <v>0.16600397351866578</v>
      </c>
      <c r="I5930" s="25">
        <v>48.97</v>
      </c>
      <c r="J5930" s="379">
        <v>0.27777777777777779</v>
      </c>
    </row>
    <row r="5931" spans="1:10" x14ac:dyDescent="0.35">
      <c r="A5931" s="5">
        <v>5927</v>
      </c>
      <c r="B5931" s="5">
        <v>247</v>
      </c>
      <c r="C5931" s="5">
        <v>9</v>
      </c>
      <c r="D5931" s="379">
        <v>95.49722222222222</v>
      </c>
      <c r="E5931" s="25">
        <v>24.26</v>
      </c>
      <c r="F5931" s="379">
        <v>8.1174834595959577</v>
      </c>
      <c r="G5931" s="25">
        <v>32.79</v>
      </c>
      <c r="H5931" s="379">
        <v>0.16600397351866578</v>
      </c>
      <c r="I5931" s="25">
        <v>47.33</v>
      </c>
      <c r="J5931" s="379">
        <v>0.27777777777777779</v>
      </c>
    </row>
    <row r="5932" spans="1:10" x14ac:dyDescent="0.35">
      <c r="A5932" s="5">
        <v>5928</v>
      </c>
      <c r="B5932" s="5">
        <v>247</v>
      </c>
      <c r="C5932" s="5">
        <v>9</v>
      </c>
      <c r="D5932" s="379">
        <v>82.392222222222216</v>
      </c>
      <c r="E5932" s="25">
        <v>23.59</v>
      </c>
      <c r="F5932" s="379">
        <v>8.1174834595959577</v>
      </c>
      <c r="G5932" s="25">
        <v>31.86</v>
      </c>
      <c r="H5932" s="379">
        <v>0.16600397351866578</v>
      </c>
      <c r="I5932" s="25">
        <v>42.88</v>
      </c>
      <c r="J5932" s="379">
        <v>0.27777777777777779</v>
      </c>
    </row>
    <row r="5933" spans="1:10" x14ac:dyDescent="0.35">
      <c r="A5933" s="5">
        <v>5929</v>
      </c>
      <c r="B5933" s="5">
        <v>248</v>
      </c>
      <c r="C5933" s="5">
        <v>9</v>
      </c>
      <c r="D5933" s="379">
        <v>72.920555555555552</v>
      </c>
      <c r="E5933" s="25">
        <v>23.59</v>
      </c>
      <c r="F5933" s="379">
        <v>8.1174834595959595</v>
      </c>
      <c r="G5933" s="25">
        <v>30.33</v>
      </c>
      <c r="H5933" s="379">
        <v>0.16600397351866578</v>
      </c>
      <c r="I5933" s="25">
        <v>33.67</v>
      </c>
      <c r="J5933" s="379">
        <v>0.27777777777777779</v>
      </c>
    </row>
    <row r="5934" spans="1:10" x14ac:dyDescent="0.35">
      <c r="A5934" s="5">
        <v>5930</v>
      </c>
      <c r="B5934" s="5">
        <v>248</v>
      </c>
      <c r="C5934" s="5">
        <v>9</v>
      </c>
      <c r="D5934" s="379">
        <v>71.231111111111105</v>
      </c>
      <c r="E5934" s="25">
        <v>23.59</v>
      </c>
      <c r="F5934" s="379">
        <v>7.5838432136111082</v>
      </c>
      <c r="G5934" s="25">
        <v>30.03</v>
      </c>
      <c r="H5934" s="379">
        <v>0.16600397351866578</v>
      </c>
      <c r="I5934" s="25">
        <v>33.67</v>
      </c>
      <c r="J5934" s="379">
        <v>0.27777777777777779</v>
      </c>
    </row>
    <row r="5935" spans="1:10" x14ac:dyDescent="0.35">
      <c r="A5935" s="5">
        <v>5931</v>
      </c>
      <c r="B5935" s="5">
        <v>248</v>
      </c>
      <c r="C5935" s="5">
        <v>9</v>
      </c>
      <c r="D5935" s="379">
        <v>72.949444444444453</v>
      </c>
      <c r="E5935" s="25">
        <v>23.59</v>
      </c>
      <c r="F5935" s="379">
        <v>7.5300955165006522</v>
      </c>
      <c r="G5935" s="25">
        <v>30.33</v>
      </c>
      <c r="H5935" s="379">
        <v>0.16600397351866578</v>
      </c>
      <c r="I5935" s="25">
        <v>33.67</v>
      </c>
      <c r="J5935" s="379">
        <v>0.27777777777777779</v>
      </c>
    </row>
    <row r="5936" spans="1:10" x14ac:dyDescent="0.35">
      <c r="A5936" s="5">
        <v>5932</v>
      </c>
      <c r="B5936" s="5">
        <v>248</v>
      </c>
      <c r="C5936" s="5">
        <v>9</v>
      </c>
      <c r="D5936" s="379">
        <v>76.115555555555559</v>
      </c>
      <c r="E5936" s="25">
        <v>23.84</v>
      </c>
      <c r="F5936" s="379">
        <v>7.4377743148047584</v>
      </c>
      <c r="G5936" s="25">
        <v>30.33</v>
      </c>
      <c r="H5936" s="379">
        <v>0.16600397351866578</v>
      </c>
      <c r="I5936" s="25">
        <v>33.67</v>
      </c>
      <c r="J5936" s="379">
        <v>0.27777777777777779</v>
      </c>
    </row>
    <row r="5937" spans="1:10" x14ac:dyDescent="0.35">
      <c r="A5937" s="5">
        <v>5933</v>
      </c>
      <c r="B5937" s="5">
        <v>248</v>
      </c>
      <c r="C5937" s="5">
        <v>9</v>
      </c>
      <c r="D5937" s="379">
        <v>98.37222222222222</v>
      </c>
      <c r="E5937" s="25">
        <v>23.84</v>
      </c>
      <c r="F5937" s="379">
        <v>8.1174834595959577</v>
      </c>
      <c r="G5937" s="25">
        <v>30.57</v>
      </c>
      <c r="H5937" s="379">
        <v>0.16600397351866578</v>
      </c>
      <c r="I5937" s="25">
        <v>33.67</v>
      </c>
      <c r="J5937" s="379">
        <v>0.27777777777777779</v>
      </c>
    </row>
    <row r="5938" spans="1:10" x14ac:dyDescent="0.35">
      <c r="A5938" s="5">
        <v>5934</v>
      </c>
      <c r="B5938" s="5">
        <v>248</v>
      </c>
      <c r="C5938" s="5">
        <v>9</v>
      </c>
      <c r="D5938" s="379">
        <v>116.19055555555553</v>
      </c>
      <c r="E5938" s="25">
        <v>23.84</v>
      </c>
      <c r="F5938" s="379">
        <v>8.1174834595959577</v>
      </c>
      <c r="G5938" s="25">
        <v>30.57</v>
      </c>
      <c r="H5938" s="379">
        <v>0.16600397351866578</v>
      </c>
      <c r="I5938" s="25">
        <v>33.67</v>
      </c>
      <c r="J5938" s="379">
        <v>0.27777777777777779</v>
      </c>
    </row>
    <row r="5939" spans="1:10" x14ac:dyDescent="0.35">
      <c r="A5939" s="5">
        <v>5935</v>
      </c>
      <c r="B5939" s="5">
        <v>248</v>
      </c>
      <c r="C5939" s="5">
        <v>9</v>
      </c>
      <c r="D5939" s="379">
        <v>126</v>
      </c>
      <c r="E5939" s="25">
        <v>24.84</v>
      </c>
      <c r="F5939" s="379">
        <v>8.1174834595959613</v>
      </c>
      <c r="G5939" s="25">
        <v>30.57</v>
      </c>
      <c r="H5939" s="379">
        <v>0.16600397351866578</v>
      </c>
      <c r="I5939" s="25">
        <v>33.67</v>
      </c>
      <c r="J5939" s="379">
        <v>4.2086037114577737</v>
      </c>
    </row>
    <row r="5940" spans="1:10" x14ac:dyDescent="0.35">
      <c r="A5940" s="5">
        <v>5936</v>
      </c>
      <c r="B5940" s="5">
        <v>248</v>
      </c>
      <c r="C5940" s="5">
        <v>9</v>
      </c>
      <c r="D5940" s="379">
        <v>132.2561111111111</v>
      </c>
      <c r="E5940" s="25">
        <v>24.84</v>
      </c>
      <c r="F5940" s="379">
        <v>8.1174834595959577</v>
      </c>
      <c r="G5940" s="25">
        <v>30.57</v>
      </c>
      <c r="H5940" s="379">
        <v>0.16600397351866578</v>
      </c>
      <c r="I5940" s="25">
        <v>33.67</v>
      </c>
      <c r="J5940" s="379">
        <v>4.1639157679150802</v>
      </c>
    </row>
    <row r="5941" spans="1:10" x14ac:dyDescent="0.35">
      <c r="A5941" s="5">
        <v>5937</v>
      </c>
      <c r="B5941" s="5">
        <v>248</v>
      </c>
      <c r="C5941" s="5">
        <v>9</v>
      </c>
      <c r="D5941" s="379">
        <v>118.73388888888888</v>
      </c>
      <c r="E5941" s="25">
        <v>24.84</v>
      </c>
      <c r="F5941" s="379">
        <v>3.5482972594953703</v>
      </c>
      <c r="G5941" s="25">
        <v>30.57</v>
      </c>
      <c r="H5941" s="379">
        <v>4.6261142547290284</v>
      </c>
      <c r="I5941" s="25">
        <v>33.67</v>
      </c>
      <c r="J5941" s="379">
        <v>3.4343800146419281</v>
      </c>
    </row>
    <row r="5942" spans="1:10" x14ac:dyDescent="0.35">
      <c r="A5942" s="5">
        <v>5938</v>
      </c>
      <c r="B5942" s="5">
        <v>248</v>
      </c>
      <c r="C5942" s="5">
        <v>9</v>
      </c>
      <c r="D5942" s="379">
        <v>107.37777777777779</v>
      </c>
      <c r="E5942" s="25">
        <v>24.84</v>
      </c>
      <c r="F5942" s="379">
        <v>1.9657264867126429</v>
      </c>
      <c r="G5942" s="25">
        <v>30.33</v>
      </c>
      <c r="H5942" s="379">
        <v>3.723101933482023</v>
      </c>
      <c r="I5942" s="25">
        <v>33.67</v>
      </c>
      <c r="J5942" s="379">
        <v>1.1658175786138842</v>
      </c>
    </row>
    <row r="5943" spans="1:10" x14ac:dyDescent="0.35">
      <c r="A5943" s="5">
        <v>5939</v>
      </c>
      <c r="B5943" s="5">
        <v>248</v>
      </c>
      <c r="C5943" s="5">
        <v>9</v>
      </c>
      <c r="D5943" s="379">
        <v>91.415555555555557</v>
      </c>
      <c r="E5943" s="25">
        <v>24.84</v>
      </c>
      <c r="F5943" s="379">
        <v>1.4943184609386848</v>
      </c>
      <c r="G5943" s="25">
        <v>30.33</v>
      </c>
      <c r="H5943" s="379">
        <v>3.3702606843741272</v>
      </c>
      <c r="I5943" s="25">
        <v>33.67</v>
      </c>
      <c r="J5943" s="379">
        <v>0.26757272755170847</v>
      </c>
    </row>
    <row r="5944" spans="1:10" x14ac:dyDescent="0.35">
      <c r="A5944" s="5">
        <v>5940</v>
      </c>
      <c r="B5944" s="5">
        <v>248</v>
      </c>
      <c r="C5944" s="5">
        <v>9</v>
      </c>
      <c r="D5944" s="379">
        <v>86.75</v>
      </c>
      <c r="E5944" s="25">
        <v>24.84</v>
      </c>
      <c r="F5944" s="379">
        <v>5.0217212752743734</v>
      </c>
      <c r="G5944" s="25">
        <v>30.2</v>
      </c>
      <c r="H5944" s="379">
        <v>3.3770697404070971</v>
      </c>
      <c r="I5944" s="25">
        <v>33.67</v>
      </c>
      <c r="J5944" s="379">
        <v>0.26757272755170847</v>
      </c>
    </row>
    <row r="5945" spans="1:10" x14ac:dyDescent="0.35">
      <c r="A5945" s="5">
        <v>5941</v>
      </c>
      <c r="B5945" s="5">
        <v>248</v>
      </c>
      <c r="C5945" s="5">
        <v>9</v>
      </c>
      <c r="D5945" s="379">
        <v>79.865555555555545</v>
      </c>
      <c r="E5945" s="25">
        <v>24.84</v>
      </c>
      <c r="F5945" s="379">
        <v>5.0217212752743734</v>
      </c>
      <c r="G5945" s="25">
        <v>30.03</v>
      </c>
      <c r="H5945" s="379">
        <v>3.3770697404070971</v>
      </c>
      <c r="I5945" s="25">
        <v>33.67</v>
      </c>
      <c r="J5945" s="379">
        <v>0.25337505513059616</v>
      </c>
    </row>
    <row r="5946" spans="1:10" x14ac:dyDescent="0.35">
      <c r="A5946" s="5">
        <v>5942</v>
      </c>
      <c r="B5946" s="5">
        <v>248</v>
      </c>
      <c r="C5946" s="5">
        <v>9</v>
      </c>
      <c r="D5946" s="379">
        <v>80.068888888888878</v>
      </c>
      <c r="E5946" s="25">
        <v>24.84</v>
      </c>
      <c r="F5946" s="379">
        <v>5.0217212752743734</v>
      </c>
      <c r="G5946" s="25">
        <v>30.03</v>
      </c>
      <c r="H5946" s="379">
        <v>3.3770697404070971</v>
      </c>
      <c r="I5946" s="25">
        <v>33.67</v>
      </c>
      <c r="J5946" s="379">
        <v>0.25337505513059616</v>
      </c>
    </row>
    <row r="5947" spans="1:10" x14ac:dyDescent="0.35">
      <c r="A5947" s="5">
        <v>5943</v>
      </c>
      <c r="B5947" s="5">
        <v>248</v>
      </c>
      <c r="C5947" s="5">
        <v>9</v>
      </c>
      <c r="D5947" s="379">
        <v>93.630555555555546</v>
      </c>
      <c r="E5947" s="25">
        <v>23.63</v>
      </c>
      <c r="F5947" s="379">
        <v>1.7783984234858883</v>
      </c>
      <c r="G5947" s="25">
        <v>30.03</v>
      </c>
      <c r="H5947" s="379">
        <v>3.3770697404070971</v>
      </c>
      <c r="I5947" s="25">
        <v>33.67</v>
      </c>
      <c r="J5947" s="379">
        <v>0.25337505513059616</v>
      </c>
    </row>
    <row r="5948" spans="1:10" x14ac:dyDescent="0.35">
      <c r="A5948" s="5">
        <v>5944</v>
      </c>
      <c r="B5948" s="5">
        <v>248</v>
      </c>
      <c r="C5948" s="5">
        <v>9</v>
      </c>
      <c r="D5948" s="379">
        <v>105.45555555555555</v>
      </c>
      <c r="E5948" s="25">
        <v>24</v>
      </c>
      <c r="F5948" s="379">
        <v>5.0217212752743734</v>
      </c>
      <c r="G5948" s="25">
        <v>30.03</v>
      </c>
      <c r="H5948" s="379">
        <v>3.5646780010728811</v>
      </c>
      <c r="I5948" s="25">
        <v>33.67</v>
      </c>
      <c r="J5948" s="379">
        <v>0.25337505513059616</v>
      </c>
    </row>
    <row r="5949" spans="1:10" x14ac:dyDescent="0.35">
      <c r="A5949" s="5">
        <v>5945</v>
      </c>
      <c r="B5949" s="5">
        <v>248</v>
      </c>
      <c r="C5949" s="5">
        <v>9</v>
      </c>
      <c r="D5949" s="379">
        <v>125.7272222222222</v>
      </c>
      <c r="E5949" s="25">
        <v>24</v>
      </c>
      <c r="F5949" s="379">
        <v>0.90766359851654088</v>
      </c>
      <c r="G5949" s="25">
        <v>30.03</v>
      </c>
      <c r="H5949" s="379">
        <v>3.5646780010728811</v>
      </c>
      <c r="I5949" s="25">
        <v>33.67</v>
      </c>
      <c r="J5949" s="379">
        <v>0.26757272755170847</v>
      </c>
    </row>
    <row r="5950" spans="1:10" x14ac:dyDescent="0.35">
      <c r="A5950" s="5">
        <v>5946</v>
      </c>
      <c r="B5950" s="5">
        <v>248</v>
      </c>
      <c r="C5950" s="5">
        <v>9</v>
      </c>
      <c r="D5950" s="379">
        <v>138.88888888888889</v>
      </c>
      <c r="E5950" s="25">
        <v>24.84</v>
      </c>
      <c r="F5950" s="379">
        <v>5.2083306482968252</v>
      </c>
      <c r="G5950" s="25">
        <v>30.33</v>
      </c>
      <c r="H5950" s="379">
        <v>3.5733339368501662</v>
      </c>
      <c r="I5950" s="25">
        <v>33.67</v>
      </c>
      <c r="J5950" s="379">
        <v>1.9007788929156746</v>
      </c>
    </row>
    <row r="5951" spans="1:10" x14ac:dyDescent="0.35">
      <c r="A5951" s="5">
        <v>5947</v>
      </c>
      <c r="B5951" s="5">
        <v>248</v>
      </c>
      <c r="C5951" s="5">
        <v>9</v>
      </c>
      <c r="D5951" s="379">
        <v>138.88888888888889</v>
      </c>
      <c r="E5951" s="25">
        <v>24.84</v>
      </c>
      <c r="F5951" s="379">
        <v>2.4063819428415303</v>
      </c>
      <c r="G5951" s="25">
        <v>30.91</v>
      </c>
      <c r="H5951" s="379">
        <v>4.3087372034818916</v>
      </c>
      <c r="I5951" s="25">
        <v>33.67</v>
      </c>
      <c r="J5951" s="379">
        <v>3.2187321138346587</v>
      </c>
    </row>
    <row r="5952" spans="1:10" x14ac:dyDescent="0.35">
      <c r="A5952" s="5">
        <v>5948</v>
      </c>
      <c r="B5952" s="5">
        <v>248</v>
      </c>
      <c r="C5952" s="5">
        <v>9</v>
      </c>
      <c r="D5952" s="379">
        <v>126.07666666666667</v>
      </c>
      <c r="E5952" s="25">
        <v>24.84</v>
      </c>
      <c r="F5952" s="379">
        <v>0.47222222222222221</v>
      </c>
      <c r="G5952" s="25">
        <v>34.659999999999997</v>
      </c>
      <c r="H5952" s="379">
        <v>0.14480167642852412</v>
      </c>
      <c r="I5952" s="25">
        <v>33.67</v>
      </c>
      <c r="J5952" s="379">
        <v>7.4042704022251299E-2</v>
      </c>
    </row>
    <row r="5953" spans="1:10" x14ac:dyDescent="0.35">
      <c r="A5953" s="5">
        <v>5949</v>
      </c>
      <c r="B5953" s="5">
        <v>248</v>
      </c>
      <c r="C5953" s="5">
        <v>9</v>
      </c>
      <c r="D5953" s="379">
        <v>106.66055555555558</v>
      </c>
      <c r="E5953" s="25">
        <v>24.84</v>
      </c>
      <c r="F5953" s="379">
        <v>0.16600397351866578</v>
      </c>
      <c r="G5953" s="25">
        <v>31.26</v>
      </c>
      <c r="H5953" s="379">
        <v>4.3087372034818916</v>
      </c>
      <c r="I5953" s="25">
        <v>33.67</v>
      </c>
      <c r="J5953" s="379">
        <v>3.2187321138346587</v>
      </c>
    </row>
    <row r="5954" spans="1:10" x14ac:dyDescent="0.35">
      <c r="A5954" s="5">
        <v>5950</v>
      </c>
      <c r="B5954" s="5">
        <v>248</v>
      </c>
      <c r="C5954" s="5">
        <v>9</v>
      </c>
      <c r="D5954" s="379">
        <v>85.692777777777778</v>
      </c>
      <c r="E5954" s="25">
        <v>24.84</v>
      </c>
      <c r="F5954" s="379">
        <v>5.2083306482968252</v>
      </c>
      <c r="G5954" s="25">
        <v>30.57</v>
      </c>
      <c r="H5954" s="379">
        <v>4.3087372034818916</v>
      </c>
      <c r="I5954" s="25">
        <v>33.67</v>
      </c>
      <c r="J5954" s="379">
        <v>3.1777478869319342</v>
      </c>
    </row>
    <row r="5955" spans="1:10" x14ac:dyDescent="0.35">
      <c r="A5955" s="5">
        <v>5951</v>
      </c>
      <c r="B5955" s="5">
        <v>248</v>
      </c>
      <c r="C5955" s="5">
        <v>9</v>
      </c>
      <c r="D5955" s="379">
        <v>73.61388888888888</v>
      </c>
      <c r="E5955" s="25">
        <v>24</v>
      </c>
      <c r="F5955" s="379">
        <v>0.22129900444660355</v>
      </c>
      <c r="G5955" s="25">
        <v>30.03</v>
      </c>
      <c r="H5955" s="379">
        <v>4.3087372034818916</v>
      </c>
      <c r="I5955" s="25">
        <v>33.67</v>
      </c>
      <c r="J5955" s="379">
        <v>2.6370347359852819</v>
      </c>
    </row>
    <row r="5956" spans="1:10" x14ac:dyDescent="0.35">
      <c r="A5956" s="5">
        <v>5952</v>
      </c>
      <c r="B5956" s="5">
        <v>248</v>
      </c>
      <c r="C5956" s="5">
        <v>9</v>
      </c>
      <c r="D5956" s="379">
        <v>86.018333333333331</v>
      </c>
      <c r="E5956" s="25">
        <v>23.59</v>
      </c>
      <c r="F5956" s="379">
        <v>0.69537245295158578</v>
      </c>
      <c r="G5956" s="25">
        <v>30.03</v>
      </c>
      <c r="H5956" s="379">
        <v>4.1220976371530336</v>
      </c>
      <c r="I5956" s="25">
        <v>33.67</v>
      </c>
      <c r="J5956" s="379">
        <v>2.6370347359852819</v>
      </c>
    </row>
    <row r="5957" spans="1:10" x14ac:dyDescent="0.35">
      <c r="A5957" s="5">
        <v>5953</v>
      </c>
      <c r="B5957" s="5">
        <v>249</v>
      </c>
      <c r="C5957" s="5">
        <v>9</v>
      </c>
      <c r="D5957" s="379">
        <v>89.487777777777779</v>
      </c>
      <c r="E5957" s="25">
        <v>23.41</v>
      </c>
      <c r="F5957" s="379">
        <v>4.899776670914556</v>
      </c>
      <c r="G5957" s="25">
        <v>30.03</v>
      </c>
      <c r="H5957" s="379">
        <v>4.1134417013757485</v>
      </c>
      <c r="I5957" s="25">
        <v>33.67</v>
      </c>
      <c r="J5957" s="379">
        <v>2.6370347359852819</v>
      </c>
    </row>
    <row r="5958" spans="1:10" x14ac:dyDescent="0.35">
      <c r="A5958" s="5">
        <v>5954</v>
      </c>
      <c r="B5958" s="5">
        <v>249</v>
      </c>
      <c r="C5958" s="5">
        <v>9</v>
      </c>
      <c r="D5958" s="379">
        <v>84.84333333333332</v>
      </c>
      <c r="E5958" s="25">
        <v>22.53</v>
      </c>
      <c r="F5958" s="379">
        <v>0.25730695448623364</v>
      </c>
      <c r="G5958" s="25">
        <v>30.03</v>
      </c>
      <c r="H5958" s="379">
        <v>4.2367760137462032</v>
      </c>
      <c r="I5958" s="25">
        <v>33.67</v>
      </c>
      <c r="J5958" s="379">
        <v>2.6264775964906661</v>
      </c>
    </row>
    <row r="5959" spans="1:10" x14ac:dyDescent="0.35">
      <c r="A5959" s="5">
        <v>5955</v>
      </c>
      <c r="B5959" s="5">
        <v>249</v>
      </c>
      <c r="C5959" s="5">
        <v>9</v>
      </c>
      <c r="D5959" s="379">
        <v>86.194444444444443</v>
      </c>
      <c r="E5959" s="25">
        <v>22.53</v>
      </c>
      <c r="F5959" s="379">
        <v>0.21279974715729755</v>
      </c>
      <c r="G5959" s="25">
        <v>30.03</v>
      </c>
      <c r="H5959" s="379">
        <v>4.2367760137462032</v>
      </c>
      <c r="I5959" s="25">
        <v>33.67</v>
      </c>
      <c r="J5959" s="379">
        <v>2.6264775964906661</v>
      </c>
    </row>
    <row r="5960" spans="1:10" x14ac:dyDescent="0.35">
      <c r="A5960" s="5">
        <v>5956</v>
      </c>
      <c r="B5960" s="5">
        <v>249</v>
      </c>
      <c r="C5960" s="5">
        <v>9</v>
      </c>
      <c r="D5960" s="379">
        <v>85.05</v>
      </c>
      <c r="E5960" s="25">
        <v>22.53</v>
      </c>
      <c r="F5960" s="379">
        <v>1.0059423771308225</v>
      </c>
      <c r="G5960" s="25">
        <v>30.03</v>
      </c>
      <c r="H5960" s="379">
        <v>4.2367760137462032</v>
      </c>
      <c r="I5960" s="25">
        <v>33.67</v>
      </c>
      <c r="J5960" s="379">
        <v>2.6264775964906661</v>
      </c>
    </row>
    <row r="5961" spans="1:10" x14ac:dyDescent="0.35">
      <c r="A5961" s="5">
        <v>5957</v>
      </c>
      <c r="B5961" s="5">
        <v>249</v>
      </c>
      <c r="C5961" s="5">
        <v>9</v>
      </c>
      <c r="D5961" s="379">
        <v>97.075555555555553</v>
      </c>
      <c r="E5961" s="25">
        <v>24</v>
      </c>
      <c r="F5961" s="379">
        <v>4.899776670914556</v>
      </c>
      <c r="G5961" s="25">
        <v>30.03</v>
      </c>
      <c r="H5961" s="379">
        <v>4.3000812677046074</v>
      </c>
      <c r="I5961" s="25">
        <v>33.67</v>
      </c>
      <c r="J5961" s="379">
        <v>2.6264775964906661</v>
      </c>
    </row>
    <row r="5962" spans="1:10" x14ac:dyDescent="0.35">
      <c r="A5962" s="5">
        <v>5958</v>
      </c>
      <c r="B5962" s="5">
        <v>249</v>
      </c>
      <c r="C5962" s="5">
        <v>9</v>
      </c>
      <c r="D5962" s="379">
        <v>128.62277777777774</v>
      </c>
      <c r="E5962" s="25">
        <v>24.84</v>
      </c>
      <c r="F5962" s="379">
        <v>5.2083306482968252</v>
      </c>
      <c r="G5962" s="25">
        <v>32.79</v>
      </c>
      <c r="H5962" s="379">
        <v>4.3000812677046074</v>
      </c>
      <c r="I5962" s="25">
        <v>33.67</v>
      </c>
      <c r="J5962" s="379">
        <v>3.3811305268801322</v>
      </c>
    </row>
    <row r="5963" spans="1:10" x14ac:dyDescent="0.35">
      <c r="A5963" s="5">
        <v>5959</v>
      </c>
      <c r="B5963" s="5">
        <v>249</v>
      </c>
      <c r="C5963" s="5">
        <v>9</v>
      </c>
      <c r="D5963" s="379">
        <v>138.39888888888891</v>
      </c>
      <c r="E5963" s="25">
        <v>24.84</v>
      </c>
      <c r="F5963" s="379">
        <v>1.8214381560916872</v>
      </c>
      <c r="G5963" s="25">
        <v>42.17</v>
      </c>
      <c r="H5963" s="379">
        <v>4.3076316533070793</v>
      </c>
      <c r="I5963" s="25">
        <v>38.270000000000003</v>
      </c>
      <c r="J5963" s="379">
        <v>3.5439342115058539</v>
      </c>
    </row>
    <row r="5964" spans="1:10" x14ac:dyDescent="0.35">
      <c r="A5964" s="5">
        <v>5960</v>
      </c>
      <c r="B5964" s="5">
        <v>249</v>
      </c>
      <c r="C5964" s="5">
        <v>9</v>
      </c>
      <c r="D5964" s="379">
        <v>138.88888888888889</v>
      </c>
      <c r="E5964" s="25">
        <v>24.84</v>
      </c>
      <c r="F5964" s="379">
        <v>5.2083306482968252</v>
      </c>
      <c r="G5964" s="25">
        <v>43.56</v>
      </c>
      <c r="H5964" s="379">
        <v>4.3076316533070793</v>
      </c>
      <c r="I5964" s="25">
        <v>39.619999999999997</v>
      </c>
      <c r="J5964" s="379">
        <v>3.5244600465275258</v>
      </c>
    </row>
    <row r="5965" spans="1:10" x14ac:dyDescent="0.35">
      <c r="A5965" s="5">
        <v>5961</v>
      </c>
      <c r="B5965" s="5">
        <v>249</v>
      </c>
      <c r="C5965" s="5">
        <v>9</v>
      </c>
      <c r="D5965" s="379">
        <v>122.63944444444446</v>
      </c>
      <c r="E5965" s="25">
        <v>24.84</v>
      </c>
      <c r="F5965" s="379">
        <v>0.79147215022676831</v>
      </c>
      <c r="G5965" s="25">
        <v>43.73</v>
      </c>
      <c r="H5965" s="379">
        <v>4.2367760137462032</v>
      </c>
      <c r="I5965" s="25">
        <v>37.159999999999997</v>
      </c>
      <c r="J5965" s="379">
        <v>3.51390290703291</v>
      </c>
    </row>
    <row r="5966" spans="1:10" x14ac:dyDescent="0.35">
      <c r="A5966" s="5">
        <v>5962</v>
      </c>
      <c r="B5966" s="5">
        <v>249</v>
      </c>
      <c r="C5966" s="5">
        <v>9</v>
      </c>
      <c r="D5966" s="379">
        <v>110.18111111111111</v>
      </c>
      <c r="E5966" s="25">
        <v>24.84</v>
      </c>
      <c r="F5966" s="379">
        <v>5.2083306482968252</v>
      </c>
      <c r="G5966" s="25">
        <v>43.56</v>
      </c>
      <c r="H5966" s="379">
        <v>4.2367760137462032</v>
      </c>
      <c r="I5966" s="25">
        <v>34.29</v>
      </c>
      <c r="J5966" s="379">
        <v>2.1533479600255894</v>
      </c>
    </row>
    <row r="5967" spans="1:10" x14ac:dyDescent="0.35">
      <c r="A5967" s="5">
        <v>5963</v>
      </c>
      <c r="B5967" s="5">
        <v>249</v>
      </c>
      <c r="C5967" s="5">
        <v>9</v>
      </c>
      <c r="D5967" s="379">
        <v>89.47</v>
      </c>
      <c r="E5967" s="25">
        <v>24.84</v>
      </c>
      <c r="F5967" s="379">
        <v>1.6462191534741877</v>
      </c>
      <c r="G5967" s="25">
        <v>42.35</v>
      </c>
      <c r="H5967" s="379">
        <v>4.199537629064789</v>
      </c>
      <c r="I5967" s="25">
        <v>34.25</v>
      </c>
      <c r="J5967" s="379">
        <v>1.8066358004299972</v>
      </c>
    </row>
    <row r="5968" spans="1:10" x14ac:dyDescent="0.35">
      <c r="A5968" s="5">
        <v>5964</v>
      </c>
      <c r="B5968" s="5">
        <v>249</v>
      </c>
      <c r="C5968" s="5">
        <v>9</v>
      </c>
      <c r="D5968" s="379">
        <v>84.565555555555548</v>
      </c>
      <c r="E5968" s="25">
        <v>24.84</v>
      </c>
      <c r="F5968" s="379">
        <v>5.1657453923705114</v>
      </c>
      <c r="G5968" s="25">
        <v>42.17</v>
      </c>
      <c r="H5968" s="379">
        <v>4.199537629064789</v>
      </c>
      <c r="I5968" s="25">
        <v>34.01</v>
      </c>
      <c r="J5968" s="379">
        <v>1.8066358004299972</v>
      </c>
    </row>
    <row r="5969" spans="1:10" x14ac:dyDescent="0.35">
      <c r="A5969" s="5">
        <v>5965</v>
      </c>
      <c r="B5969" s="5">
        <v>249</v>
      </c>
      <c r="C5969" s="5">
        <v>9</v>
      </c>
      <c r="D5969" s="379">
        <v>79.279444444444451</v>
      </c>
      <c r="E5969" s="25">
        <v>24.84</v>
      </c>
      <c r="F5969" s="379">
        <v>5.1657453923705114</v>
      </c>
      <c r="G5969" s="25">
        <v>40.96</v>
      </c>
      <c r="H5969" s="379">
        <v>4.199537629064789</v>
      </c>
      <c r="I5969" s="25">
        <v>33.67</v>
      </c>
      <c r="J5969" s="379">
        <v>1.2659226494833453</v>
      </c>
    </row>
    <row r="5970" spans="1:10" x14ac:dyDescent="0.35">
      <c r="A5970" s="5">
        <v>5966</v>
      </c>
      <c r="B5970" s="5">
        <v>249</v>
      </c>
      <c r="C5970" s="5">
        <v>9</v>
      </c>
      <c r="D5970" s="379">
        <v>83.804444444444457</v>
      </c>
      <c r="E5970" s="25">
        <v>24.84</v>
      </c>
      <c r="F5970" s="379">
        <v>0.6633801666312048</v>
      </c>
      <c r="G5970" s="25">
        <v>42.17</v>
      </c>
      <c r="H5970" s="379">
        <v>3.844610384907972</v>
      </c>
      <c r="I5970" s="25">
        <v>33.67</v>
      </c>
      <c r="J5970" s="379">
        <v>1.2659226494833453</v>
      </c>
    </row>
    <row r="5971" spans="1:10" x14ac:dyDescent="0.35">
      <c r="A5971" s="5">
        <v>5967</v>
      </c>
      <c r="B5971" s="5">
        <v>249</v>
      </c>
      <c r="C5971" s="5">
        <v>9</v>
      </c>
      <c r="D5971" s="379">
        <v>102.9788888888889</v>
      </c>
      <c r="E5971" s="25">
        <v>24.84</v>
      </c>
      <c r="F5971" s="379">
        <v>1.2886974621375651</v>
      </c>
      <c r="G5971" s="25">
        <v>42.35</v>
      </c>
      <c r="H5971" s="379">
        <v>3.8818487695893866</v>
      </c>
      <c r="I5971" s="25">
        <v>33.67</v>
      </c>
      <c r="J5971" s="379">
        <v>1.2659226494833453</v>
      </c>
    </row>
    <row r="5972" spans="1:10" x14ac:dyDescent="0.35">
      <c r="A5972" s="5">
        <v>5968</v>
      </c>
      <c r="B5972" s="5">
        <v>249</v>
      </c>
      <c r="C5972" s="5">
        <v>9</v>
      </c>
      <c r="D5972" s="379">
        <v>120.38777777777774</v>
      </c>
      <c r="E5972" s="25">
        <v>24.84</v>
      </c>
      <c r="F5972" s="379">
        <v>4.9006657816016359</v>
      </c>
      <c r="G5972" s="25">
        <v>43.56</v>
      </c>
      <c r="H5972" s="379">
        <v>4.0597967388362584</v>
      </c>
      <c r="I5972" s="25">
        <v>34.25</v>
      </c>
      <c r="J5972" s="379">
        <v>1.2659226494833453</v>
      </c>
    </row>
    <row r="5973" spans="1:10" x14ac:dyDescent="0.35">
      <c r="A5973" s="5">
        <v>5969</v>
      </c>
      <c r="B5973" s="5">
        <v>249</v>
      </c>
      <c r="C5973" s="5">
        <v>9</v>
      </c>
      <c r="D5973" s="379">
        <v>132.62888888888887</v>
      </c>
      <c r="E5973" s="25">
        <v>24.84</v>
      </c>
      <c r="F5973" s="379">
        <v>1.0133829728795707</v>
      </c>
      <c r="G5973" s="25">
        <v>43.56</v>
      </c>
      <c r="H5973" s="379">
        <v>4.2065504875849618</v>
      </c>
      <c r="I5973" s="25">
        <v>49.53</v>
      </c>
      <c r="J5973" s="379">
        <v>1.2659226494833453</v>
      </c>
    </row>
    <row r="5974" spans="1:10" x14ac:dyDescent="0.35">
      <c r="A5974" s="5">
        <v>5970</v>
      </c>
      <c r="B5974" s="5">
        <v>249</v>
      </c>
      <c r="C5974" s="5">
        <v>9</v>
      </c>
      <c r="D5974" s="379">
        <v>138.73888888888891</v>
      </c>
      <c r="E5974" s="25">
        <v>24.99</v>
      </c>
      <c r="F5974" s="379">
        <v>3.6374228917518785</v>
      </c>
      <c r="G5974" s="25">
        <v>44.69</v>
      </c>
      <c r="H5974" s="379">
        <v>4.6528169298648905</v>
      </c>
      <c r="I5974" s="25">
        <v>53.27</v>
      </c>
      <c r="J5974" s="379">
        <v>1.3580693585551056</v>
      </c>
    </row>
    <row r="5975" spans="1:10" x14ac:dyDescent="0.35">
      <c r="A5975" s="5">
        <v>5971</v>
      </c>
      <c r="B5975" s="5">
        <v>249</v>
      </c>
      <c r="C5975" s="5">
        <v>9</v>
      </c>
      <c r="D5975" s="379">
        <v>138.88888888888889</v>
      </c>
      <c r="E5975" s="25">
        <v>24.99</v>
      </c>
      <c r="F5975" s="379">
        <v>8.1174834595959577</v>
      </c>
      <c r="G5975" s="25">
        <v>44.86</v>
      </c>
      <c r="H5975" s="379">
        <v>0.47222222222222221</v>
      </c>
      <c r="I5975" s="25">
        <v>56.52</v>
      </c>
      <c r="J5975" s="379">
        <v>3.5862611172225782</v>
      </c>
    </row>
    <row r="5976" spans="1:10" x14ac:dyDescent="0.35">
      <c r="A5976" s="5">
        <v>5972</v>
      </c>
      <c r="B5976" s="5">
        <v>249</v>
      </c>
      <c r="C5976" s="5">
        <v>9</v>
      </c>
      <c r="D5976" s="379">
        <v>135.99222222222221</v>
      </c>
      <c r="E5976" s="25">
        <v>25.74</v>
      </c>
      <c r="F5976" s="379">
        <v>8.1174834595959577</v>
      </c>
      <c r="G5976" s="25">
        <v>44.86</v>
      </c>
      <c r="H5976" s="379">
        <v>0.47222222222222221</v>
      </c>
      <c r="I5976" s="25">
        <v>56.77</v>
      </c>
      <c r="J5976" s="379">
        <v>0.27777777777777779</v>
      </c>
    </row>
    <row r="5977" spans="1:10" x14ac:dyDescent="0.35">
      <c r="A5977" s="5">
        <v>5973</v>
      </c>
      <c r="B5977" s="5">
        <v>249</v>
      </c>
      <c r="C5977" s="5">
        <v>9</v>
      </c>
      <c r="D5977" s="379">
        <v>128.155</v>
      </c>
      <c r="E5977" s="25">
        <v>25.74</v>
      </c>
      <c r="F5977" s="379">
        <v>8.1174834595959577</v>
      </c>
      <c r="G5977" s="25">
        <v>44.69</v>
      </c>
      <c r="H5977" s="379">
        <v>0.47222222222222221</v>
      </c>
      <c r="I5977" s="25">
        <v>56.52</v>
      </c>
      <c r="J5977" s="379">
        <v>0.27777777777777779</v>
      </c>
    </row>
    <row r="5978" spans="1:10" x14ac:dyDescent="0.35">
      <c r="A5978" s="5">
        <v>5974</v>
      </c>
      <c r="B5978" s="5">
        <v>249</v>
      </c>
      <c r="C5978" s="5">
        <v>9</v>
      </c>
      <c r="D5978" s="379">
        <v>112.91611111111109</v>
      </c>
      <c r="E5978" s="25">
        <v>24.84</v>
      </c>
      <c r="F5978" s="379">
        <v>8.1174834595959595</v>
      </c>
      <c r="G5978" s="25">
        <v>44.69</v>
      </c>
      <c r="H5978" s="379">
        <v>0.47222222222222221</v>
      </c>
      <c r="I5978" s="25">
        <v>56.77</v>
      </c>
      <c r="J5978" s="379">
        <v>0.27777777777777779</v>
      </c>
    </row>
    <row r="5979" spans="1:10" x14ac:dyDescent="0.35">
      <c r="A5979" s="5">
        <v>5975</v>
      </c>
      <c r="B5979" s="5">
        <v>249</v>
      </c>
      <c r="C5979" s="5">
        <v>9</v>
      </c>
      <c r="D5979" s="379">
        <v>108.98</v>
      </c>
      <c r="E5979" s="25">
        <v>24.84</v>
      </c>
      <c r="F5979" s="379">
        <v>8.1174834595959577</v>
      </c>
      <c r="G5979" s="25">
        <v>42.17</v>
      </c>
      <c r="H5979" s="379">
        <v>0.47222222222222221</v>
      </c>
      <c r="I5979" s="25">
        <v>53.27</v>
      </c>
      <c r="J5979" s="379">
        <v>0.27777777777777779</v>
      </c>
    </row>
    <row r="5980" spans="1:10" x14ac:dyDescent="0.35">
      <c r="A5980" s="5">
        <v>5976</v>
      </c>
      <c r="B5980" s="5">
        <v>249</v>
      </c>
      <c r="C5980" s="5">
        <v>9</v>
      </c>
      <c r="D5980" s="379">
        <v>101.22666666666666</v>
      </c>
      <c r="E5980" s="25">
        <v>24.84</v>
      </c>
      <c r="F5980" s="379">
        <v>7.7921532221264558</v>
      </c>
      <c r="G5980" s="25">
        <v>38.130000000000003</v>
      </c>
      <c r="H5980" s="379">
        <v>0.47222222222222221</v>
      </c>
      <c r="I5980" s="25">
        <v>45.49</v>
      </c>
      <c r="J5980" s="379">
        <v>0.27777777777777779</v>
      </c>
    </row>
    <row r="5981" spans="1:10" x14ac:dyDescent="0.35">
      <c r="A5981" s="5">
        <v>5977</v>
      </c>
      <c r="B5981" s="5">
        <v>250</v>
      </c>
      <c r="C5981" s="5">
        <v>9</v>
      </c>
      <c r="D5981" s="379">
        <v>98.454999999999998</v>
      </c>
      <c r="E5981" s="25">
        <v>24.84</v>
      </c>
      <c r="F5981" s="379">
        <v>7.7635768400478913</v>
      </c>
      <c r="G5981" s="25">
        <v>40.96</v>
      </c>
      <c r="H5981" s="379">
        <v>0.47222222222222221</v>
      </c>
      <c r="I5981" s="25">
        <v>51.12</v>
      </c>
      <c r="J5981" s="379">
        <v>2.1344311772190112</v>
      </c>
    </row>
    <row r="5982" spans="1:10" x14ac:dyDescent="0.35">
      <c r="A5982" s="5">
        <v>5978</v>
      </c>
      <c r="B5982" s="5">
        <v>250</v>
      </c>
      <c r="C5982" s="5">
        <v>9</v>
      </c>
      <c r="D5982" s="379">
        <v>95.547222222222217</v>
      </c>
      <c r="E5982" s="25">
        <v>24.84</v>
      </c>
      <c r="F5982" s="379">
        <v>7.7562759738658427</v>
      </c>
      <c r="G5982" s="25">
        <v>38.19</v>
      </c>
      <c r="H5982" s="379">
        <v>0.47222222222222221</v>
      </c>
      <c r="I5982" s="25">
        <v>51.02</v>
      </c>
      <c r="J5982" s="379">
        <v>0.27777777777777779</v>
      </c>
    </row>
    <row r="5983" spans="1:10" x14ac:dyDescent="0.35">
      <c r="A5983" s="5">
        <v>5979</v>
      </c>
      <c r="B5983" s="5">
        <v>250</v>
      </c>
      <c r="C5983" s="5">
        <v>9</v>
      </c>
      <c r="D5983" s="379">
        <v>95.26</v>
      </c>
      <c r="E5983" s="25">
        <v>24.84</v>
      </c>
      <c r="F5983" s="379">
        <v>7.7505801450670599</v>
      </c>
      <c r="G5983" s="25">
        <v>38.130000000000003</v>
      </c>
      <c r="H5983" s="379">
        <v>0.47222222222222221</v>
      </c>
      <c r="I5983" s="25">
        <v>49.53</v>
      </c>
      <c r="J5983" s="379">
        <v>0.27777777777777779</v>
      </c>
    </row>
    <row r="5984" spans="1:10" x14ac:dyDescent="0.35">
      <c r="A5984" s="5">
        <v>5980</v>
      </c>
      <c r="B5984" s="5">
        <v>250</v>
      </c>
      <c r="C5984" s="5">
        <v>9</v>
      </c>
      <c r="D5984" s="379">
        <v>99.103888888888889</v>
      </c>
      <c r="E5984" s="25">
        <v>24.84</v>
      </c>
      <c r="F5984" s="379">
        <v>7.7003301394976598</v>
      </c>
      <c r="G5984" s="25">
        <v>39.119999999999997</v>
      </c>
      <c r="H5984" s="379">
        <v>0.47222222222222221</v>
      </c>
      <c r="I5984" s="25">
        <v>48.86</v>
      </c>
      <c r="J5984" s="379">
        <v>0.27777777777777779</v>
      </c>
    </row>
    <row r="5985" spans="1:10" x14ac:dyDescent="0.35">
      <c r="A5985" s="5">
        <v>5981</v>
      </c>
      <c r="B5985" s="5">
        <v>250</v>
      </c>
      <c r="C5985" s="5">
        <v>9</v>
      </c>
      <c r="D5985" s="379">
        <v>101.54</v>
      </c>
      <c r="E5985" s="25">
        <v>24.84</v>
      </c>
      <c r="F5985" s="379">
        <v>7.7101704044614765</v>
      </c>
      <c r="G5985" s="25">
        <v>42.29</v>
      </c>
      <c r="H5985" s="379">
        <v>0.47222222222222221</v>
      </c>
      <c r="I5985" s="25">
        <v>49.53</v>
      </c>
      <c r="J5985" s="379">
        <v>0.27777777777777779</v>
      </c>
    </row>
    <row r="5986" spans="1:10" x14ac:dyDescent="0.35">
      <c r="A5986" s="5">
        <v>5982</v>
      </c>
      <c r="B5986" s="5">
        <v>250</v>
      </c>
      <c r="C5986" s="5">
        <v>9</v>
      </c>
      <c r="D5986" s="379">
        <v>117.56555555555556</v>
      </c>
      <c r="E5986" s="25">
        <v>24.84</v>
      </c>
      <c r="F5986" s="379">
        <v>7.7113295688120154</v>
      </c>
      <c r="G5986" s="25">
        <v>44.69</v>
      </c>
      <c r="H5986" s="379">
        <v>0.47222222222222221</v>
      </c>
      <c r="I5986" s="25">
        <v>53.27</v>
      </c>
      <c r="J5986" s="379">
        <v>0.27777777777777779</v>
      </c>
    </row>
    <row r="5987" spans="1:10" x14ac:dyDescent="0.35">
      <c r="A5987" s="5">
        <v>5983</v>
      </c>
      <c r="B5987" s="5">
        <v>250</v>
      </c>
      <c r="C5987" s="5">
        <v>9</v>
      </c>
      <c r="D5987" s="379">
        <v>129.75388888888887</v>
      </c>
      <c r="E5987" s="25">
        <v>25.74</v>
      </c>
      <c r="F5987" s="379">
        <v>8.1174834595959595</v>
      </c>
      <c r="G5987" s="25">
        <v>44.86</v>
      </c>
      <c r="H5987" s="379">
        <v>0.47222222222222215</v>
      </c>
      <c r="I5987" s="25">
        <v>54.87</v>
      </c>
      <c r="J5987" s="379">
        <v>0.27777777777777779</v>
      </c>
    </row>
    <row r="5988" spans="1:10" x14ac:dyDescent="0.35">
      <c r="A5988" s="5">
        <v>5984</v>
      </c>
      <c r="B5988" s="5">
        <v>250</v>
      </c>
      <c r="C5988" s="5">
        <v>9</v>
      </c>
      <c r="D5988" s="379">
        <v>132.27277777777778</v>
      </c>
      <c r="E5988" s="25">
        <v>25.74</v>
      </c>
      <c r="F5988" s="379">
        <v>8.1174834595959595</v>
      </c>
      <c r="G5988" s="25">
        <v>46.98</v>
      </c>
      <c r="H5988" s="379">
        <v>3.1843613852708477</v>
      </c>
      <c r="I5988" s="25">
        <v>54.87</v>
      </c>
      <c r="J5988" s="379">
        <v>2.1461078063999728</v>
      </c>
    </row>
    <row r="5989" spans="1:10" x14ac:dyDescent="0.35">
      <c r="A5989" s="5">
        <v>5985</v>
      </c>
      <c r="B5989" s="5">
        <v>250</v>
      </c>
      <c r="C5989" s="5">
        <v>9</v>
      </c>
      <c r="D5989" s="379">
        <v>126.48277777777778</v>
      </c>
      <c r="E5989" s="25">
        <v>25.74</v>
      </c>
      <c r="F5989" s="379">
        <v>8.1174834595959577</v>
      </c>
      <c r="G5989" s="25">
        <v>45.61</v>
      </c>
      <c r="H5989" s="379">
        <v>3.0997338544912916</v>
      </c>
      <c r="I5989" s="25">
        <v>54.87</v>
      </c>
      <c r="J5989" s="379">
        <v>2.1461078063999728</v>
      </c>
    </row>
    <row r="5990" spans="1:10" x14ac:dyDescent="0.35">
      <c r="A5990" s="5">
        <v>5986</v>
      </c>
      <c r="B5990" s="5">
        <v>250</v>
      </c>
      <c r="C5990" s="5">
        <v>9</v>
      </c>
      <c r="D5990" s="379">
        <v>114.11833333333334</v>
      </c>
      <c r="E5990" s="25">
        <v>25.74</v>
      </c>
      <c r="F5990" s="379">
        <v>8.1174834595959595</v>
      </c>
      <c r="G5990" s="25">
        <v>44.86</v>
      </c>
      <c r="H5990" s="379">
        <v>0.3012269021302022</v>
      </c>
      <c r="I5990" s="25">
        <v>53.27</v>
      </c>
      <c r="J5990" s="379">
        <v>7.8241662981378399E-2</v>
      </c>
    </row>
    <row r="5991" spans="1:10" x14ac:dyDescent="0.35">
      <c r="A5991" s="5">
        <v>5987</v>
      </c>
      <c r="B5991" s="5">
        <v>250</v>
      </c>
      <c r="C5991" s="5">
        <v>9</v>
      </c>
      <c r="D5991" s="379">
        <v>109.09833333333331</v>
      </c>
      <c r="E5991" s="25">
        <v>25.74</v>
      </c>
      <c r="F5991" s="379">
        <v>0.47222222222222221</v>
      </c>
      <c r="G5991" s="25">
        <v>47.59</v>
      </c>
      <c r="H5991" s="379">
        <v>0.3012269021302022</v>
      </c>
      <c r="I5991" s="25">
        <v>53.27</v>
      </c>
      <c r="J5991" s="379">
        <v>7.8241662981378413E-2</v>
      </c>
    </row>
    <row r="5992" spans="1:10" x14ac:dyDescent="0.35">
      <c r="A5992" s="5">
        <v>5988</v>
      </c>
      <c r="B5992" s="5">
        <v>250</v>
      </c>
      <c r="C5992" s="5">
        <v>9</v>
      </c>
      <c r="D5992" s="379">
        <v>98.581111111111113</v>
      </c>
      <c r="E5992" s="25">
        <v>24.99</v>
      </c>
      <c r="F5992" s="379">
        <v>3.3709119283958255</v>
      </c>
      <c r="G5992" s="25">
        <v>44.86</v>
      </c>
      <c r="H5992" s="379">
        <v>0.33432041371416099</v>
      </c>
      <c r="I5992" s="25">
        <v>51.72</v>
      </c>
      <c r="J5992" s="379">
        <v>7.8241662981378413E-2</v>
      </c>
    </row>
    <row r="5993" spans="1:10" x14ac:dyDescent="0.35">
      <c r="A5993" s="5">
        <v>5989</v>
      </c>
      <c r="B5993" s="5">
        <v>250</v>
      </c>
      <c r="C5993" s="5">
        <v>9</v>
      </c>
      <c r="D5993" s="379">
        <v>97.37833333333333</v>
      </c>
      <c r="E5993" s="25">
        <v>24.99</v>
      </c>
      <c r="F5993" s="379">
        <v>2.871189252620201</v>
      </c>
      <c r="G5993" s="25">
        <v>44.86</v>
      </c>
      <c r="H5993" s="379">
        <v>0.33822018811612919</v>
      </c>
      <c r="I5993" s="25">
        <v>51.64</v>
      </c>
      <c r="J5993" s="379">
        <v>7.8241662981378413E-2</v>
      </c>
    </row>
    <row r="5994" spans="1:10" x14ac:dyDescent="0.35">
      <c r="A5994" s="5">
        <v>5990</v>
      </c>
      <c r="B5994" s="5">
        <v>250</v>
      </c>
      <c r="C5994" s="5">
        <v>9</v>
      </c>
      <c r="D5994" s="379">
        <v>100.54555555555555</v>
      </c>
      <c r="E5994" s="25">
        <v>24.99</v>
      </c>
      <c r="F5994" s="379">
        <v>2.871189252620201</v>
      </c>
      <c r="G5994" s="25">
        <v>44.86</v>
      </c>
      <c r="H5994" s="379">
        <v>0.33678016525270293</v>
      </c>
      <c r="I5994" s="25">
        <v>51.64</v>
      </c>
      <c r="J5994" s="379">
        <v>7.8241662981378413E-2</v>
      </c>
    </row>
    <row r="5995" spans="1:10" x14ac:dyDescent="0.35">
      <c r="A5995" s="5">
        <v>5991</v>
      </c>
      <c r="B5995" s="5">
        <v>250</v>
      </c>
      <c r="C5995" s="5">
        <v>9</v>
      </c>
      <c r="D5995" s="379">
        <v>106.89055555555557</v>
      </c>
      <c r="E5995" s="25">
        <v>24.99</v>
      </c>
      <c r="F5995" s="379">
        <v>2.871189252620201</v>
      </c>
      <c r="G5995" s="25">
        <v>44.86</v>
      </c>
      <c r="H5995" s="379">
        <v>0.33796568576844394</v>
      </c>
      <c r="I5995" s="25">
        <v>51.64</v>
      </c>
      <c r="J5995" s="379">
        <v>7.8241662981378426E-2</v>
      </c>
    </row>
    <row r="5996" spans="1:10" x14ac:dyDescent="0.35">
      <c r="A5996" s="5">
        <v>5992</v>
      </c>
      <c r="B5996" s="5">
        <v>250</v>
      </c>
      <c r="C5996" s="5">
        <v>9</v>
      </c>
      <c r="D5996" s="379">
        <v>122.05055555555558</v>
      </c>
      <c r="E5996" s="25">
        <v>25.29</v>
      </c>
      <c r="F5996" s="379">
        <v>6.067931938190311</v>
      </c>
      <c r="G5996" s="25">
        <v>44.86</v>
      </c>
      <c r="H5996" s="379">
        <v>0.350833211085612</v>
      </c>
      <c r="I5996" s="25">
        <v>51.64</v>
      </c>
      <c r="J5996" s="379">
        <v>7.8241662981378413E-2</v>
      </c>
    </row>
    <row r="5997" spans="1:10" x14ac:dyDescent="0.35">
      <c r="A5997" s="5">
        <v>5993</v>
      </c>
      <c r="B5997" s="5">
        <v>250</v>
      </c>
      <c r="C5997" s="5">
        <v>9</v>
      </c>
      <c r="D5997" s="379">
        <v>134.69611111111109</v>
      </c>
      <c r="E5997" s="25">
        <v>25.74</v>
      </c>
      <c r="F5997" s="379">
        <v>8.1174834595959595</v>
      </c>
      <c r="G5997" s="25">
        <v>47.59</v>
      </c>
      <c r="H5997" s="379">
        <v>4.7225172729674005</v>
      </c>
      <c r="I5997" s="25">
        <v>53.27</v>
      </c>
      <c r="J5997" s="379">
        <v>7.8241662981378413E-2</v>
      </c>
    </row>
    <row r="5998" spans="1:10" x14ac:dyDescent="0.35">
      <c r="A5998" s="5">
        <v>5994</v>
      </c>
      <c r="B5998" s="5">
        <v>250</v>
      </c>
      <c r="C5998" s="5">
        <v>9</v>
      </c>
      <c r="D5998" s="379">
        <v>138.88888888888889</v>
      </c>
      <c r="E5998" s="25">
        <v>25.74</v>
      </c>
      <c r="F5998" s="379">
        <v>8.4967198399734158</v>
      </c>
      <c r="G5998" s="25">
        <v>47.85</v>
      </c>
      <c r="H5998" s="379">
        <v>8.8640014039365873</v>
      </c>
      <c r="I5998" s="25">
        <v>54.87</v>
      </c>
      <c r="J5998" s="379">
        <v>4.4729313171008664</v>
      </c>
    </row>
    <row r="5999" spans="1:10" x14ac:dyDescent="0.35">
      <c r="A5999" s="5">
        <v>5995</v>
      </c>
      <c r="B5999" s="5">
        <v>250</v>
      </c>
      <c r="C5999" s="5">
        <v>9</v>
      </c>
      <c r="D5999" s="379">
        <v>138.88888888888889</v>
      </c>
      <c r="E5999" s="25">
        <v>25.74</v>
      </c>
      <c r="F5999" s="379">
        <v>10.302463930020131</v>
      </c>
      <c r="G5999" s="25">
        <v>47.85</v>
      </c>
      <c r="H5999" s="379">
        <v>8.8770170059165032</v>
      </c>
      <c r="I5999" s="25">
        <v>58.21</v>
      </c>
      <c r="J5999" s="379">
        <v>3.0303952686868678</v>
      </c>
    </row>
    <row r="6000" spans="1:10" x14ac:dyDescent="0.35">
      <c r="A6000" s="5">
        <v>5996</v>
      </c>
      <c r="B6000" s="5">
        <v>250</v>
      </c>
      <c r="C6000" s="5">
        <v>9</v>
      </c>
      <c r="D6000" s="379">
        <v>138.88888888888889</v>
      </c>
      <c r="E6000" s="25">
        <v>27.3</v>
      </c>
      <c r="F6000" s="379">
        <v>9.6961092219397464</v>
      </c>
      <c r="G6000" s="25">
        <v>47.85</v>
      </c>
      <c r="H6000" s="379">
        <v>7.2326181921933355</v>
      </c>
      <c r="I6000" s="25">
        <v>58.27</v>
      </c>
      <c r="J6000" s="379">
        <v>2.0046636118919698</v>
      </c>
    </row>
    <row r="6001" spans="1:10" x14ac:dyDescent="0.35">
      <c r="A6001" s="5">
        <v>5997</v>
      </c>
      <c r="B6001" s="5">
        <v>250</v>
      </c>
      <c r="C6001" s="5">
        <v>9</v>
      </c>
      <c r="D6001" s="379">
        <v>129.48722222222221</v>
      </c>
      <c r="E6001" s="25">
        <v>26.51</v>
      </c>
      <c r="F6001" s="379">
        <v>10.569811416970515</v>
      </c>
      <c r="G6001" s="25">
        <v>47.85</v>
      </c>
      <c r="H6001" s="379">
        <v>7.7038381637191353</v>
      </c>
      <c r="I6001" s="25">
        <v>58.21</v>
      </c>
      <c r="J6001" s="379">
        <v>5.047283659804596</v>
      </c>
    </row>
    <row r="6002" spans="1:10" x14ac:dyDescent="0.35">
      <c r="A6002" s="5">
        <v>5998</v>
      </c>
      <c r="B6002" s="5">
        <v>250</v>
      </c>
      <c r="C6002" s="5">
        <v>9</v>
      </c>
      <c r="D6002" s="379">
        <v>114.62777777777778</v>
      </c>
      <c r="E6002" s="25">
        <v>25.29</v>
      </c>
      <c r="F6002" s="379">
        <v>10.182874193524466</v>
      </c>
      <c r="G6002" s="25">
        <v>47.59</v>
      </c>
      <c r="H6002" s="379">
        <v>8.8027489780384904</v>
      </c>
      <c r="I6002" s="25">
        <v>58.21</v>
      </c>
      <c r="J6002" s="379">
        <v>2.7797797874344665</v>
      </c>
    </row>
    <row r="6003" spans="1:10" x14ac:dyDescent="0.35">
      <c r="A6003" s="5">
        <v>5999</v>
      </c>
      <c r="B6003" s="5">
        <v>250</v>
      </c>
      <c r="C6003" s="5">
        <v>9</v>
      </c>
      <c r="D6003" s="379">
        <v>104.81166666666667</v>
      </c>
      <c r="E6003" s="25">
        <v>24.84</v>
      </c>
      <c r="F6003" s="379">
        <v>10.654206109553657</v>
      </c>
      <c r="G6003" s="25">
        <v>44.69</v>
      </c>
      <c r="H6003" s="379">
        <v>8.7998946989516416</v>
      </c>
      <c r="I6003" s="25">
        <v>56.52</v>
      </c>
      <c r="J6003" s="379">
        <v>6.2226274367471079</v>
      </c>
    </row>
    <row r="6004" spans="1:10" x14ac:dyDescent="0.35">
      <c r="A6004" s="5">
        <v>6000</v>
      </c>
      <c r="B6004" s="5">
        <v>250</v>
      </c>
      <c r="C6004" s="5">
        <v>9</v>
      </c>
      <c r="D6004" s="379">
        <v>102.01222222222222</v>
      </c>
      <c r="E6004" s="25">
        <v>24.84</v>
      </c>
      <c r="F6004" s="379">
        <v>9.1395608975751852</v>
      </c>
      <c r="G6004" s="25">
        <v>43.56</v>
      </c>
      <c r="H6004" s="379">
        <v>8.3035876887752362</v>
      </c>
      <c r="I6004" s="25">
        <v>49.53</v>
      </c>
      <c r="J6004" s="379">
        <v>5.1460520168205468</v>
      </c>
    </row>
    <row r="6005" spans="1:10" x14ac:dyDescent="0.35">
      <c r="A6005" s="5">
        <v>6001</v>
      </c>
      <c r="B6005" s="5">
        <v>251</v>
      </c>
      <c r="C6005" s="5">
        <v>9</v>
      </c>
      <c r="D6005" s="379">
        <v>93.633333333333326</v>
      </c>
      <c r="E6005" s="25">
        <v>24.84</v>
      </c>
      <c r="F6005" s="379">
        <v>9.1987597142263269</v>
      </c>
      <c r="G6005" s="25">
        <v>43.56</v>
      </c>
      <c r="H6005" s="379">
        <v>8.1230705078246661</v>
      </c>
      <c r="I6005" s="25">
        <v>49.94</v>
      </c>
      <c r="J6005" s="379">
        <v>4.9323031110898023</v>
      </c>
    </row>
    <row r="6006" spans="1:10" x14ac:dyDescent="0.35">
      <c r="A6006" s="5">
        <v>6002</v>
      </c>
      <c r="B6006" s="5">
        <v>251</v>
      </c>
      <c r="C6006" s="5">
        <v>9</v>
      </c>
      <c r="D6006" s="379">
        <v>92.265555555555551</v>
      </c>
      <c r="E6006" s="25">
        <v>24.84</v>
      </c>
      <c r="F6006" s="379">
        <v>9.2267852540250992</v>
      </c>
      <c r="G6006" s="25">
        <v>42.29</v>
      </c>
      <c r="H6006" s="379">
        <v>7.4363445348172812</v>
      </c>
      <c r="I6006" s="25">
        <v>49.94</v>
      </c>
      <c r="J6006" s="379">
        <v>3.1703082293921758</v>
      </c>
    </row>
    <row r="6007" spans="1:10" x14ac:dyDescent="0.35">
      <c r="A6007" s="5">
        <v>6003</v>
      </c>
      <c r="B6007" s="5">
        <v>251</v>
      </c>
      <c r="C6007" s="5">
        <v>9</v>
      </c>
      <c r="D6007" s="379">
        <v>89.196666666666687</v>
      </c>
      <c r="E6007" s="25">
        <v>24.84</v>
      </c>
      <c r="F6007" s="379">
        <v>9.0146819119853614</v>
      </c>
      <c r="G6007" s="25">
        <v>42.29</v>
      </c>
      <c r="H6007" s="379">
        <v>6.6755747913146486</v>
      </c>
      <c r="I6007" s="25">
        <v>49.53</v>
      </c>
      <c r="J6007" s="379">
        <v>5.1604551659339561</v>
      </c>
    </row>
    <row r="6008" spans="1:10" x14ac:dyDescent="0.35">
      <c r="A6008" s="5">
        <v>6004</v>
      </c>
      <c r="B6008" s="5">
        <v>251</v>
      </c>
      <c r="C6008" s="5">
        <v>9</v>
      </c>
      <c r="D6008" s="379">
        <v>88.851666666666674</v>
      </c>
      <c r="E6008" s="25">
        <v>24.84</v>
      </c>
      <c r="F6008" s="379">
        <v>8.7243962902474141</v>
      </c>
      <c r="G6008" s="25">
        <v>42.29</v>
      </c>
      <c r="H6008" s="379">
        <v>7.2922129743944613</v>
      </c>
      <c r="I6008" s="25">
        <v>49.94</v>
      </c>
      <c r="J6008" s="379">
        <v>5.1751212389555956</v>
      </c>
    </row>
    <row r="6009" spans="1:10" x14ac:dyDescent="0.35">
      <c r="A6009" s="5">
        <v>6005</v>
      </c>
      <c r="B6009" s="5">
        <v>251</v>
      </c>
      <c r="C6009" s="5">
        <v>9</v>
      </c>
      <c r="D6009" s="379">
        <v>94.261666666666656</v>
      </c>
      <c r="E6009" s="25">
        <v>24.84</v>
      </c>
      <c r="F6009" s="379">
        <v>8.6729646516150005</v>
      </c>
      <c r="G6009" s="25">
        <v>43.44</v>
      </c>
      <c r="H6009" s="379">
        <v>7.2516119351270127</v>
      </c>
      <c r="I6009" s="25">
        <v>51.72</v>
      </c>
      <c r="J6009" s="379">
        <v>3.8332951024963182</v>
      </c>
    </row>
    <row r="6010" spans="1:10" x14ac:dyDescent="0.35">
      <c r="A6010" s="5">
        <v>6006</v>
      </c>
      <c r="B6010" s="5">
        <v>251</v>
      </c>
      <c r="C6010" s="5">
        <v>9</v>
      </c>
      <c r="D6010" s="379">
        <v>110.49</v>
      </c>
      <c r="E6010" s="25">
        <v>25.59</v>
      </c>
      <c r="F6010" s="379">
        <v>9.0850063234076881</v>
      </c>
      <c r="G6010" s="25">
        <v>44.74</v>
      </c>
      <c r="H6010" s="379">
        <v>6.2580246176973455</v>
      </c>
      <c r="I6010" s="25">
        <v>53.27</v>
      </c>
      <c r="J6010" s="379">
        <v>3.3435499244841145</v>
      </c>
    </row>
    <row r="6011" spans="1:10" x14ac:dyDescent="0.35">
      <c r="A6011" s="5">
        <v>6007</v>
      </c>
      <c r="B6011" s="5">
        <v>251</v>
      </c>
      <c r="C6011" s="5">
        <v>9</v>
      </c>
      <c r="D6011" s="379">
        <v>120.78055555555557</v>
      </c>
      <c r="E6011" s="25">
        <v>26.51</v>
      </c>
      <c r="F6011" s="379">
        <v>8.3970389539319825</v>
      </c>
      <c r="G6011" s="25">
        <v>47.85</v>
      </c>
      <c r="H6011" s="379">
        <v>6.5152452180137423</v>
      </c>
      <c r="I6011" s="25">
        <v>54.87</v>
      </c>
      <c r="J6011" s="379">
        <v>4.0218284833633033</v>
      </c>
    </row>
    <row r="6012" spans="1:10" x14ac:dyDescent="0.35">
      <c r="A6012" s="5">
        <v>6008</v>
      </c>
      <c r="B6012" s="5">
        <v>251</v>
      </c>
      <c r="C6012" s="5">
        <v>9</v>
      </c>
      <c r="D6012" s="379">
        <v>126.26444444444445</v>
      </c>
      <c r="E6012" s="25">
        <v>26.51</v>
      </c>
      <c r="F6012" s="379">
        <v>6.7342451908951286</v>
      </c>
      <c r="G6012" s="25">
        <v>47.85</v>
      </c>
      <c r="H6012" s="379">
        <v>5.5764072916757357</v>
      </c>
      <c r="I6012" s="25">
        <v>54.87</v>
      </c>
      <c r="J6012" s="379">
        <v>0.41585513806004909</v>
      </c>
    </row>
    <row r="6013" spans="1:10" x14ac:dyDescent="0.35">
      <c r="A6013" s="5">
        <v>6009</v>
      </c>
      <c r="B6013" s="5">
        <v>251</v>
      </c>
      <c r="C6013" s="5">
        <v>9</v>
      </c>
      <c r="D6013" s="379">
        <v>121.21555555555557</v>
      </c>
      <c r="E6013" s="25">
        <v>27.3</v>
      </c>
      <c r="F6013" s="379">
        <v>6.3336313238701694</v>
      </c>
      <c r="G6013" s="25">
        <v>47.85</v>
      </c>
      <c r="H6013" s="379">
        <v>6.9679105632946827</v>
      </c>
      <c r="I6013" s="25">
        <v>54.87</v>
      </c>
      <c r="J6013" s="379">
        <v>4.7116614886910249</v>
      </c>
    </row>
    <row r="6014" spans="1:10" x14ac:dyDescent="0.35">
      <c r="A6014" s="5">
        <v>6010</v>
      </c>
      <c r="B6014" s="5">
        <v>251</v>
      </c>
      <c r="C6014" s="5">
        <v>9</v>
      </c>
      <c r="D6014" s="379">
        <v>117.22055555555555</v>
      </c>
      <c r="E6014" s="25">
        <v>26.51</v>
      </c>
      <c r="F6014" s="379">
        <v>6.5770007680287925</v>
      </c>
      <c r="G6014" s="25">
        <v>44.86</v>
      </c>
      <c r="H6014" s="379">
        <v>5.8485781326818138</v>
      </c>
      <c r="I6014" s="25">
        <v>53.27</v>
      </c>
      <c r="J6014" s="379">
        <v>4.7093586286801985</v>
      </c>
    </row>
    <row r="6015" spans="1:10" x14ac:dyDescent="0.35">
      <c r="A6015" s="5">
        <v>6011</v>
      </c>
      <c r="B6015" s="5">
        <v>251</v>
      </c>
      <c r="C6015" s="5">
        <v>9</v>
      </c>
      <c r="D6015" s="379">
        <v>111.78055555555554</v>
      </c>
      <c r="E6015" s="25">
        <v>26.51</v>
      </c>
      <c r="F6015" s="379">
        <v>2.9381605014322303</v>
      </c>
      <c r="G6015" s="25">
        <v>44.74</v>
      </c>
      <c r="H6015" s="379">
        <v>6.6878780648590306</v>
      </c>
      <c r="I6015" s="25">
        <v>53.27</v>
      </c>
      <c r="J6015" s="379">
        <v>5.1290831890799016</v>
      </c>
    </row>
    <row r="6016" spans="1:10" x14ac:dyDescent="0.35">
      <c r="A6016" s="5">
        <v>6012</v>
      </c>
      <c r="B6016" s="5">
        <v>251</v>
      </c>
      <c r="C6016" s="5">
        <v>9</v>
      </c>
      <c r="D6016" s="379">
        <v>108.22833333333334</v>
      </c>
      <c r="E6016" s="25">
        <v>26.51</v>
      </c>
      <c r="F6016" s="379">
        <v>2.7611330685042828</v>
      </c>
      <c r="G6016" s="25">
        <v>44.74</v>
      </c>
      <c r="H6016" s="379">
        <v>6.6369153700174222</v>
      </c>
      <c r="I6016" s="25">
        <v>53.27</v>
      </c>
      <c r="J6016" s="379">
        <v>5.0671298400052267</v>
      </c>
    </row>
    <row r="6017" spans="1:10" x14ac:dyDescent="0.35">
      <c r="A6017" s="5">
        <v>6013</v>
      </c>
      <c r="B6017" s="5">
        <v>251</v>
      </c>
      <c r="C6017" s="5">
        <v>9</v>
      </c>
      <c r="D6017" s="379">
        <v>103.56611111111111</v>
      </c>
      <c r="E6017" s="25">
        <v>25.74</v>
      </c>
      <c r="F6017" s="379">
        <v>2.9768818963666228</v>
      </c>
      <c r="G6017" s="25">
        <v>44.74</v>
      </c>
      <c r="H6017" s="379">
        <v>6.6159677780287289</v>
      </c>
      <c r="I6017" s="25">
        <v>53.27</v>
      </c>
      <c r="J6017" s="379">
        <v>4.8179883318055179</v>
      </c>
    </row>
    <row r="6018" spans="1:10" x14ac:dyDescent="0.35">
      <c r="A6018" s="5">
        <v>6014</v>
      </c>
      <c r="B6018" s="5">
        <v>251</v>
      </c>
      <c r="C6018" s="5">
        <v>9</v>
      </c>
      <c r="D6018" s="379">
        <v>101.44388888888888</v>
      </c>
      <c r="E6018" s="25">
        <v>25.74</v>
      </c>
      <c r="F6018" s="379">
        <v>3.0817449583082648</v>
      </c>
      <c r="G6018" s="25">
        <v>44.74</v>
      </c>
      <c r="H6018" s="379">
        <v>6.6830628515309325</v>
      </c>
      <c r="I6018" s="25">
        <v>52.98</v>
      </c>
      <c r="J6018" s="379">
        <v>5.0558626789047585</v>
      </c>
    </row>
    <row r="6019" spans="1:10" x14ac:dyDescent="0.35">
      <c r="A6019" s="5">
        <v>6015</v>
      </c>
      <c r="B6019" s="5">
        <v>251</v>
      </c>
      <c r="C6019" s="5">
        <v>9</v>
      </c>
      <c r="D6019" s="379">
        <v>103.0311111111111</v>
      </c>
      <c r="E6019" s="25">
        <v>25.74</v>
      </c>
      <c r="F6019" s="379">
        <v>7.1949293314412044</v>
      </c>
      <c r="G6019" s="25">
        <v>44.74</v>
      </c>
      <c r="H6019" s="379">
        <v>6.9014083668149206</v>
      </c>
      <c r="I6019" s="25">
        <v>53.27</v>
      </c>
      <c r="J6019" s="379">
        <v>5.000324789170512</v>
      </c>
    </row>
    <row r="6020" spans="1:10" x14ac:dyDescent="0.35">
      <c r="A6020" s="5">
        <v>6016</v>
      </c>
      <c r="B6020" s="5">
        <v>251</v>
      </c>
      <c r="C6020" s="5">
        <v>9</v>
      </c>
      <c r="D6020" s="379">
        <v>107.00055555555556</v>
      </c>
      <c r="E6020" s="25">
        <v>26.51</v>
      </c>
      <c r="F6020" s="379">
        <v>7.531502021516606</v>
      </c>
      <c r="G6020" s="25">
        <v>44.86</v>
      </c>
      <c r="H6020" s="379">
        <v>8.6590879328826755</v>
      </c>
      <c r="I6020" s="25">
        <v>53.27</v>
      </c>
      <c r="J6020" s="379">
        <v>4.9511170417422319</v>
      </c>
    </row>
    <row r="6021" spans="1:10" x14ac:dyDescent="0.35">
      <c r="A6021" s="5">
        <v>6017</v>
      </c>
      <c r="B6021" s="5">
        <v>251</v>
      </c>
      <c r="C6021" s="5">
        <v>9</v>
      </c>
      <c r="D6021" s="379">
        <v>120.44666666666666</v>
      </c>
      <c r="E6021" s="25">
        <v>26.51</v>
      </c>
      <c r="F6021" s="379">
        <v>8.7097439835131709</v>
      </c>
      <c r="G6021" s="25">
        <v>47.85</v>
      </c>
      <c r="H6021" s="379">
        <v>7.163349359255351</v>
      </c>
      <c r="I6021" s="25">
        <v>53.27</v>
      </c>
      <c r="J6021" s="379">
        <v>7.1086065287938158</v>
      </c>
    </row>
    <row r="6022" spans="1:10" x14ac:dyDescent="0.35">
      <c r="A6022" s="5">
        <v>6018</v>
      </c>
      <c r="B6022" s="5">
        <v>251</v>
      </c>
      <c r="C6022" s="5">
        <v>9</v>
      </c>
      <c r="D6022" s="379">
        <v>126.47999999999999</v>
      </c>
      <c r="E6022" s="25">
        <v>26.51</v>
      </c>
      <c r="F6022" s="379">
        <v>18.433922550120652</v>
      </c>
      <c r="G6022" s="25">
        <v>47.85</v>
      </c>
      <c r="H6022" s="379">
        <v>9.3283587370503227</v>
      </c>
      <c r="I6022" s="25">
        <v>55.12</v>
      </c>
      <c r="J6022" s="379">
        <v>7.376337892370362</v>
      </c>
    </row>
    <row r="6023" spans="1:10" x14ac:dyDescent="0.35">
      <c r="A6023" s="5">
        <v>6019</v>
      </c>
      <c r="B6023" s="5">
        <v>251</v>
      </c>
      <c r="C6023" s="5">
        <v>9</v>
      </c>
      <c r="D6023" s="379">
        <v>129.4988888888889</v>
      </c>
      <c r="E6023" s="25">
        <v>26.51</v>
      </c>
      <c r="F6023" s="379">
        <v>16.395729734800284</v>
      </c>
      <c r="G6023" s="25">
        <v>47.85</v>
      </c>
      <c r="H6023" s="379">
        <v>10.068779485496441</v>
      </c>
      <c r="I6023" s="25">
        <v>64.849999999999994</v>
      </c>
      <c r="J6023" s="379">
        <v>7.3889935996534444</v>
      </c>
    </row>
    <row r="6024" spans="1:10" x14ac:dyDescent="0.35">
      <c r="A6024" s="5">
        <v>6020</v>
      </c>
      <c r="B6024" s="5">
        <v>251</v>
      </c>
      <c r="C6024" s="5">
        <v>9</v>
      </c>
      <c r="D6024" s="379">
        <v>124.19444444444444</v>
      </c>
      <c r="E6024" s="25">
        <v>27.3</v>
      </c>
      <c r="F6024" s="379">
        <v>17.35488621804987</v>
      </c>
      <c r="G6024" s="25">
        <v>47.85</v>
      </c>
      <c r="H6024" s="379">
        <v>10.013746558496715</v>
      </c>
      <c r="I6024" s="25">
        <v>70.09</v>
      </c>
      <c r="J6024" s="379">
        <v>7.3150638796146765</v>
      </c>
    </row>
    <row r="6025" spans="1:10" x14ac:dyDescent="0.35">
      <c r="A6025" s="5">
        <v>6021</v>
      </c>
      <c r="B6025" s="5">
        <v>251</v>
      </c>
      <c r="C6025" s="5">
        <v>9</v>
      </c>
      <c r="D6025" s="379">
        <v>116.19166666666669</v>
      </c>
      <c r="E6025" s="25">
        <v>26.51</v>
      </c>
      <c r="F6025" s="379">
        <v>18.285869784939884</v>
      </c>
      <c r="G6025" s="25">
        <v>47.85</v>
      </c>
      <c r="H6025" s="379">
        <v>10.052592696996413</v>
      </c>
      <c r="I6025" s="25">
        <v>64.849999999999994</v>
      </c>
      <c r="J6025" s="379">
        <v>7.3889820335819438</v>
      </c>
    </row>
    <row r="6026" spans="1:10" x14ac:dyDescent="0.35">
      <c r="A6026" s="5">
        <v>6022</v>
      </c>
      <c r="B6026" s="5">
        <v>251</v>
      </c>
      <c r="C6026" s="5">
        <v>9</v>
      </c>
      <c r="D6026" s="379">
        <v>94.733888888888899</v>
      </c>
      <c r="E6026" s="25">
        <v>25.74</v>
      </c>
      <c r="F6026" s="379">
        <v>18.582983880888609</v>
      </c>
      <c r="G6026" s="25">
        <v>46.21</v>
      </c>
      <c r="H6026" s="379">
        <v>9.8745969496338795</v>
      </c>
      <c r="I6026" s="25">
        <v>58.26</v>
      </c>
      <c r="J6026" s="379">
        <v>7.3710963560027691</v>
      </c>
    </row>
    <row r="6027" spans="1:10" x14ac:dyDescent="0.35">
      <c r="A6027" s="5">
        <v>6023</v>
      </c>
      <c r="B6027" s="5">
        <v>251</v>
      </c>
      <c r="C6027" s="5">
        <v>9</v>
      </c>
      <c r="D6027" s="379">
        <v>84.132222222222225</v>
      </c>
      <c r="E6027" s="25">
        <v>25.29</v>
      </c>
      <c r="F6027" s="379">
        <v>18.725207578218175</v>
      </c>
      <c r="G6027" s="25">
        <v>44.86</v>
      </c>
      <c r="H6027" s="379">
        <v>10.249408087103012</v>
      </c>
      <c r="I6027" s="25">
        <v>53.71</v>
      </c>
      <c r="J6027" s="379">
        <v>7.3486115041889484</v>
      </c>
    </row>
    <row r="6028" spans="1:10" x14ac:dyDescent="0.35">
      <c r="A6028" s="5">
        <v>6024</v>
      </c>
      <c r="B6028" s="5">
        <v>251</v>
      </c>
      <c r="C6028" s="5">
        <v>9</v>
      </c>
      <c r="D6028" s="379">
        <v>86.105000000000004</v>
      </c>
      <c r="E6028" s="25">
        <v>24.84</v>
      </c>
      <c r="F6028" s="379">
        <v>17.863827556717105</v>
      </c>
      <c r="G6028" s="25">
        <v>44.86</v>
      </c>
      <c r="H6028" s="379">
        <v>9.9441077931114705</v>
      </c>
      <c r="I6028" s="25">
        <v>55.12</v>
      </c>
      <c r="J6028" s="379">
        <v>7.3725753207300304</v>
      </c>
    </row>
    <row r="6029" spans="1:10" x14ac:dyDescent="0.35">
      <c r="A6029" s="5">
        <v>6025</v>
      </c>
      <c r="B6029" s="5">
        <v>252</v>
      </c>
      <c r="C6029" s="5">
        <v>9</v>
      </c>
      <c r="D6029" s="379">
        <v>76.550000000000011</v>
      </c>
      <c r="E6029" s="25">
        <v>24.84</v>
      </c>
      <c r="F6029" s="379">
        <v>17.609902180528628</v>
      </c>
      <c r="G6029" s="25">
        <v>44.86</v>
      </c>
      <c r="H6029" s="379">
        <v>10.252572231737641</v>
      </c>
      <c r="I6029" s="25">
        <v>55.68</v>
      </c>
      <c r="J6029" s="379">
        <v>7.3835295613774656</v>
      </c>
    </row>
    <row r="6030" spans="1:10" x14ac:dyDescent="0.35">
      <c r="A6030" s="5">
        <v>6026</v>
      </c>
      <c r="B6030" s="5">
        <v>252</v>
      </c>
      <c r="C6030" s="5">
        <v>9</v>
      </c>
      <c r="D6030" s="379">
        <v>70.185000000000002</v>
      </c>
      <c r="E6030" s="25">
        <v>24.84</v>
      </c>
      <c r="F6030" s="379">
        <v>17.979336879522229</v>
      </c>
      <c r="G6030" s="25">
        <v>44.86</v>
      </c>
      <c r="H6030" s="379">
        <v>9.9470303254433059</v>
      </c>
      <c r="I6030" s="25">
        <v>55.12</v>
      </c>
      <c r="J6030" s="379">
        <v>7.3839652035415391</v>
      </c>
    </row>
    <row r="6031" spans="1:10" x14ac:dyDescent="0.35">
      <c r="A6031" s="5">
        <v>6027</v>
      </c>
      <c r="B6031" s="5">
        <v>252</v>
      </c>
      <c r="C6031" s="5">
        <v>9</v>
      </c>
      <c r="D6031" s="379">
        <v>68.154444444444437</v>
      </c>
      <c r="E6031" s="25">
        <v>24.84</v>
      </c>
      <c r="F6031" s="379">
        <v>17.299748498975021</v>
      </c>
      <c r="G6031" s="25">
        <v>44.86</v>
      </c>
      <c r="H6031" s="379">
        <v>9.9470303254433059</v>
      </c>
      <c r="I6031" s="25">
        <v>55.12</v>
      </c>
      <c r="J6031" s="379">
        <v>7.3871619418520504</v>
      </c>
    </row>
    <row r="6032" spans="1:10" x14ac:dyDescent="0.35">
      <c r="A6032" s="5">
        <v>6028</v>
      </c>
      <c r="B6032" s="5">
        <v>252</v>
      </c>
      <c r="C6032" s="5">
        <v>9</v>
      </c>
      <c r="D6032" s="379">
        <v>74.581666666666663</v>
      </c>
      <c r="E6032" s="25">
        <v>24.84</v>
      </c>
      <c r="F6032" s="379">
        <v>18.148671880658537</v>
      </c>
      <c r="G6032" s="25">
        <v>44.86</v>
      </c>
      <c r="H6032" s="379">
        <v>9.6894138649806436</v>
      </c>
      <c r="I6032" s="25">
        <v>55.12</v>
      </c>
      <c r="J6032" s="379">
        <v>7.4017448343015566</v>
      </c>
    </row>
    <row r="6033" spans="1:10" x14ac:dyDescent="0.35">
      <c r="A6033" s="5">
        <v>6029</v>
      </c>
      <c r="B6033" s="5">
        <v>252</v>
      </c>
      <c r="C6033" s="5">
        <v>9</v>
      </c>
      <c r="D6033" s="379">
        <v>84.348888888888894</v>
      </c>
      <c r="E6033" s="25">
        <v>24.84</v>
      </c>
      <c r="F6033" s="379">
        <v>17.845484045851652</v>
      </c>
      <c r="G6033" s="25">
        <v>44.86</v>
      </c>
      <c r="H6033" s="379">
        <v>9.3742510476060286</v>
      </c>
      <c r="I6033" s="25">
        <v>56.21</v>
      </c>
      <c r="J6033" s="379">
        <v>7.3711079220742679</v>
      </c>
    </row>
    <row r="6034" spans="1:10" x14ac:dyDescent="0.35">
      <c r="A6034" s="5">
        <v>6030</v>
      </c>
      <c r="B6034" s="5">
        <v>252</v>
      </c>
      <c r="C6034" s="5">
        <v>9</v>
      </c>
      <c r="D6034" s="379">
        <v>105.18777777777778</v>
      </c>
      <c r="E6034" s="25">
        <v>25.59</v>
      </c>
      <c r="F6034" s="379">
        <v>17.857516489494536</v>
      </c>
      <c r="G6034" s="25">
        <v>47.85</v>
      </c>
      <c r="H6034" s="379">
        <v>10.216346017854866</v>
      </c>
      <c r="I6034" s="25">
        <v>66.06</v>
      </c>
      <c r="J6034" s="379">
        <v>7.4182857403538982</v>
      </c>
    </row>
    <row r="6035" spans="1:10" x14ac:dyDescent="0.35">
      <c r="A6035" s="5">
        <v>6031</v>
      </c>
      <c r="B6035" s="5">
        <v>252</v>
      </c>
      <c r="C6035" s="5">
        <v>9</v>
      </c>
      <c r="D6035" s="379">
        <v>116.8911111111111</v>
      </c>
      <c r="E6035" s="25">
        <v>27.3</v>
      </c>
      <c r="F6035" s="379">
        <v>16.55165472391981</v>
      </c>
      <c r="G6035" s="25">
        <v>52.2</v>
      </c>
      <c r="H6035" s="379">
        <v>9.6056786111844819</v>
      </c>
      <c r="I6035" s="25">
        <v>603.30999999999995</v>
      </c>
      <c r="J6035" s="379">
        <v>7.3138245274237157</v>
      </c>
    </row>
    <row r="6036" spans="1:10" x14ac:dyDescent="0.35">
      <c r="A6036" s="5">
        <v>6032</v>
      </c>
      <c r="B6036" s="5">
        <v>252</v>
      </c>
      <c r="C6036" s="5">
        <v>9</v>
      </c>
      <c r="D6036" s="379">
        <v>116.37611111111111</v>
      </c>
      <c r="E6036" s="25">
        <v>28.12</v>
      </c>
      <c r="F6036" s="379">
        <v>9.0913947062137463</v>
      </c>
      <c r="G6036" s="25">
        <v>47.85</v>
      </c>
      <c r="H6036" s="379">
        <v>8.1795257978713174</v>
      </c>
      <c r="I6036" s="25">
        <v>603.30999999999995</v>
      </c>
      <c r="J6036" s="379">
        <v>6.687005246705886</v>
      </c>
    </row>
    <row r="6037" spans="1:10" x14ac:dyDescent="0.35">
      <c r="A6037" s="5">
        <v>6033</v>
      </c>
      <c r="B6037" s="5">
        <v>252</v>
      </c>
      <c r="C6037" s="5">
        <v>9</v>
      </c>
      <c r="D6037" s="379">
        <v>109.55944444444445</v>
      </c>
      <c r="E6037" s="25">
        <v>27.3</v>
      </c>
      <c r="F6037" s="379">
        <v>8.1174834595959577</v>
      </c>
      <c r="G6037" s="25">
        <v>47.85</v>
      </c>
      <c r="H6037" s="379">
        <v>6.9674573118368004</v>
      </c>
      <c r="I6037" s="25">
        <v>66.06</v>
      </c>
      <c r="J6037" s="379">
        <v>3.6632764520202015</v>
      </c>
    </row>
    <row r="6038" spans="1:10" x14ac:dyDescent="0.35">
      <c r="A6038" s="5">
        <v>6034</v>
      </c>
      <c r="B6038" s="5">
        <v>252</v>
      </c>
      <c r="C6038" s="5">
        <v>9</v>
      </c>
      <c r="D6038" s="379">
        <v>100.72277777777776</v>
      </c>
      <c r="E6038" s="25">
        <v>25.74</v>
      </c>
      <c r="F6038" s="379">
        <v>0.47222222222222221</v>
      </c>
      <c r="G6038" s="25">
        <v>47.85</v>
      </c>
      <c r="H6038" s="379">
        <v>6.8244836930958508</v>
      </c>
      <c r="I6038" s="25">
        <v>64.14</v>
      </c>
      <c r="J6038" s="379">
        <v>2.1504511100493247</v>
      </c>
    </row>
    <row r="6039" spans="1:10" x14ac:dyDescent="0.35">
      <c r="A6039" s="5">
        <v>6035</v>
      </c>
      <c r="B6039" s="5">
        <v>252</v>
      </c>
      <c r="C6039" s="5">
        <v>9</v>
      </c>
      <c r="D6039" s="379">
        <v>94.814999999999998</v>
      </c>
      <c r="E6039" s="25">
        <v>25.74</v>
      </c>
      <c r="F6039" s="379">
        <v>5.0456858457510601</v>
      </c>
      <c r="G6039" s="25">
        <v>47.85</v>
      </c>
      <c r="H6039" s="379">
        <v>6.7185317223187297</v>
      </c>
      <c r="I6039" s="25">
        <v>58.48</v>
      </c>
      <c r="J6039" s="379">
        <v>0.99000735811900042</v>
      </c>
    </row>
    <row r="6040" spans="1:10" x14ac:dyDescent="0.35">
      <c r="A6040" s="5">
        <v>6036</v>
      </c>
      <c r="B6040" s="5">
        <v>252</v>
      </c>
      <c r="C6040" s="5">
        <v>9</v>
      </c>
      <c r="D6040" s="379">
        <v>95.206111111111099</v>
      </c>
      <c r="E6040" s="25">
        <v>25.59</v>
      </c>
      <c r="F6040" s="379">
        <v>5.0456858457510601</v>
      </c>
      <c r="G6040" s="25">
        <v>47.85</v>
      </c>
      <c r="H6040" s="379">
        <v>6.4594350621828882</v>
      </c>
      <c r="I6040" s="25">
        <v>55.12</v>
      </c>
      <c r="J6040" s="379">
        <v>0.85785876185370091</v>
      </c>
    </row>
    <row r="6041" spans="1:10" x14ac:dyDescent="0.35">
      <c r="A6041" s="5">
        <v>6037</v>
      </c>
      <c r="B6041" s="5">
        <v>252</v>
      </c>
      <c r="C6041" s="5">
        <v>9</v>
      </c>
      <c r="D6041" s="379">
        <v>86.030555555555537</v>
      </c>
      <c r="E6041" s="25">
        <v>24.99</v>
      </c>
      <c r="F6041" s="379">
        <v>5.0456858457510601</v>
      </c>
      <c r="G6041" s="25">
        <v>45.31</v>
      </c>
      <c r="H6041" s="379">
        <v>5.1556410198100258</v>
      </c>
      <c r="I6041" s="25">
        <v>55.12</v>
      </c>
      <c r="J6041" s="379">
        <v>0.58502790936290117</v>
      </c>
    </row>
    <row r="6042" spans="1:10" x14ac:dyDescent="0.35">
      <c r="A6042" s="5">
        <v>6038</v>
      </c>
      <c r="B6042" s="5">
        <v>252</v>
      </c>
      <c r="C6042" s="5">
        <v>9</v>
      </c>
      <c r="D6042" s="379">
        <v>86.392222222222216</v>
      </c>
      <c r="E6042" s="25">
        <v>24.99</v>
      </c>
      <c r="F6042" s="379">
        <v>5.0456858457510601</v>
      </c>
      <c r="G6042" s="25">
        <v>45.31</v>
      </c>
      <c r="H6042" s="379">
        <v>5.3840782439643009</v>
      </c>
      <c r="I6042" s="25">
        <v>54.32</v>
      </c>
      <c r="J6042" s="379">
        <v>0.85785876185370091</v>
      </c>
    </row>
    <row r="6043" spans="1:10" x14ac:dyDescent="0.35">
      <c r="A6043" s="5">
        <v>6039</v>
      </c>
      <c r="B6043" s="5">
        <v>252</v>
      </c>
      <c r="C6043" s="5">
        <v>9</v>
      </c>
      <c r="D6043" s="379">
        <v>87.277777777777771</v>
      </c>
      <c r="E6043" s="25">
        <v>24.99</v>
      </c>
      <c r="F6043" s="379">
        <v>5.0456858457510601</v>
      </c>
      <c r="G6043" s="25">
        <v>46.98</v>
      </c>
      <c r="H6043" s="379">
        <v>6.0497696811508455</v>
      </c>
      <c r="I6043" s="25">
        <v>55.12</v>
      </c>
      <c r="J6043" s="379">
        <v>0.85785876185370091</v>
      </c>
    </row>
    <row r="6044" spans="1:10" x14ac:dyDescent="0.35">
      <c r="A6044" s="5">
        <v>6040</v>
      </c>
      <c r="B6044" s="5">
        <v>252</v>
      </c>
      <c r="C6044" s="5">
        <v>9</v>
      </c>
      <c r="D6044" s="379">
        <v>103.43999999999998</v>
      </c>
      <c r="E6044" s="25">
        <v>24.99</v>
      </c>
      <c r="F6044" s="379">
        <v>6.757223984899035</v>
      </c>
      <c r="G6044" s="25">
        <v>46.98</v>
      </c>
      <c r="H6044" s="379">
        <v>7.7140639784766849</v>
      </c>
      <c r="I6044" s="25">
        <v>55.12</v>
      </c>
      <c r="J6044" s="379">
        <v>0.85747504040260936</v>
      </c>
    </row>
    <row r="6045" spans="1:10" x14ac:dyDescent="0.35">
      <c r="A6045" s="5">
        <v>6041</v>
      </c>
      <c r="B6045" s="5">
        <v>252</v>
      </c>
      <c r="C6045" s="5">
        <v>9</v>
      </c>
      <c r="D6045" s="379">
        <v>108.34277777777777</v>
      </c>
      <c r="E6045" s="25">
        <v>24.99</v>
      </c>
      <c r="F6045" s="379">
        <v>8.1174834595959577</v>
      </c>
      <c r="G6045" s="25">
        <v>47.46</v>
      </c>
      <c r="H6045" s="379">
        <v>6.3619971282188059</v>
      </c>
      <c r="I6045" s="25">
        <v>55.12</v>
      </c>
      <c r="J6045" s="379">
        <v>2.0046636118919698</v>
      </c>
    </row>
    <row r="6046" spans="1:10" x14ac:dyDescent="0.35">
      <c r="A6046" s="5">
        <v>6042</v>
      </c>
      <c r="B6046" s="5">
        <v>252</v>
      </c>
      <c r="C6046" s="5">
        <v>9</v>
      </c>
      <c r="D6046" s="379">
        <v>116.02222222222223</v>
      </c>
      <c r="E6046" s="25">
        <v>25.74</v>
      </c>
      <c r="F6046" s="379">
        <v>8.8326139750450494</v>
      </c>
      <c r="G6046" s="25">
        <v>47.46</v>
      </c>
      <c r="H6046" s="379">
        <v>8.6234933392025734</v>
      </c>
      <c r="I6046" s="25">
        <v>62.27</v>
      </c>
      <c r="J6046" s="379">
        <v>6.4540003411349742</v>
      </c>
    </row>
    <row r="6047" spans="1:10" x14ac:dyDescent="0.35">
      <c r="A6047" s="5">
        <v>6043</v>
      </c>
      <c r="B6047" s="5">
        <v>252</v>
      </c>
      <c r="C6047" s="5">
        <v>9</v>
      </c>
      <c r="D6047" s="379">
        <v>121.84333333333332</v>
      </c>
      <c r="E6047" s="25">
        <v>25.74</v>
      </c>
      <c r="F6047" s="379">
        <v>9.4025263870227622</v>
      </c>
      <c r="G6047" s="25">
        <v>47.67</v>
      </c>
      <c r="H6047" s="379">
        <v>8.6781837524816634</v>
      </c>
      <c r="I6047" s="25">
        <v>66.06</v>
      </c>
      <c r="J6047" s="379">
        <v>6.4517676126272763</v>
      </c>
    </row>
    <row r="6048" spans="1:10" x14ac:dyDescent="0.35">
      <c r="A6048" s="5">
        <v>6044</v>
      </c>
      <c r="B6048" s="5">
        <v>252</v>
      </c>
      <c r="C6048" s="5">
        <v>9</v>
      </c>
      <c r="D6048" s="379">
        <v>120.02944444444442</v>
      </c>
      <c r="E6048" s="25">
        <v>26.51</v>
      </c>
      <c r="F6048" s="379">
        <v>9.4025263870227622</v>
      </c>
      <c r="G6048" s="25">
        <v>47.85</v>
      </c>
      <c r="H6048" s="379">
        <v>8.6952495487408825</v>
      </c>
      <c r="I6048" s="25">
        <v>72.19</v>
      </c>
      <c r="J6048" s="379">
        <v>6.3705667004812661</v>
      </c>
    </row>
    <row r="6049" spans="1:10" x14ac:dyDescent="0.35">
      <c r="A6049" s="5">
        <v>6045</v>
      </c>
      <c r="B6049" s="5">
        <v>252</v>
      </c>
      <c r="C6049" s="5">
        <v>9</v>
      </c>
      <c r="D6049" s="379">
        <v>110.15888888888888</v>
      </c>
      <c r="E6049" s="25">
        <v>25.74</v>
      </c>
      <c r="F6049" s="379">
        <v>8.8248160105486146</v>
      </c>
      <c r="G6049" s="25">
        <v>47.85</v>
      </c>
      <c r="H6049" s="379">
        <v>8.6310694864533115</v>
      </c>
      <c r="I6049" s="25">
        <v>66.06</v>
      </c>
      <c r="J6049" s="379">
        <v>6.4183694858440923</v>
      </c>
    </row>
    <row r="6050" spans="1:10" x14ac:dyDescent="0.35">
      <c r="A6050" s="5">
        <v>6046</v>
      </c>
      <c r="B6050" s="5">
        <v>252</v>
      </c>
      <c r="C6050" s="5">
        <v>9</v>
      </c>
      <c r="D6050" s="379">
        <v>102.35444444444444</v>
      </c>
      <c r="E6050" s="25">
        <v>24.86</v>
      </c>
      <c r="F6050" s="379">
        <v>8.8248160105486129</v>
      </c>
      <c r="G6050" s="25">
        <v>45.31</v>
      </c>
      <c r="H6050" s="379">
        <v>8.6389745084593503</v>
      </c>
      <c r="I6050" s="25">
        <v>63.5</v>
      </c>
      <c r="J6050" s="379">
        <v>6.3764049425393647</v>
      </c>
    </row>
    <row r="6051" spans="1:10" x14ac:dyDescent="0.35">
      <c r="A6051" s="5">
        <v>6047</v>
      </c>
      <c r="B6051" s="5">
        <v>252</v>
      </c>
      <c r="C6051" s="5">
        <v>9</v>
      </c>
      <c r="D6051" s="379">
        <v>102.83388888888888</v>
      </c>
      <c r="E6051" s="25">
        <v>24.84</v>
      </c>
      <c r="F6051" s="379">
        <v>8.7167934498097228</v>
      </c>
      <c r="G6051" s="25">
        <v>44.86</v>
      </c>
      <c r="H6051" s="379">
        <v>8.5670428547806559</v>
      </c>
      <c r="I6051" s="25">
        <v>55.68</v>
      </c>
      <c r="J6051" s="379">
        <v>6.5553522622361005</v>
      </c>
    </row>
    <row r="6052" spans="1:10" x14ac:dyDescent="0.35">
      <c r="A6052" s="5">
        <v>6048</v>
      </c>
      <c r="B6052" s="5">
        <v>252</v>
      </c>
      <c r="C6052" s="5">
        <v>9</v>
      </c>
      <c r="D6052" s="379">
        <v>104.29111111111111</v>
      </c>
      <c r="E6052" s="25">
        <v>24.84</v>
      </c>
      <c r="F6052" s="379">
        <v>8.6531431860670249</v>
      </c>
      <c r="G6052" s="25">
        <v>43.56</v>
      </c>
      <c r="H6052" s="379">
        <v>7.8261138673035546</v>
      </c>
      <c r="I6052" s="25">
        <v>53.71</v>
      </c>
      <c r="J6052" s="379">
        <v>6.1387455941966387</v>
      </c>
    </row>
    <row r="6053" spans="1:10" x14ac:dyDescent="0.35">
      <c r="A6053" s="5">
        <v>6049</v>
      </c>
      <c r="B6053" s="5">
        <v>253</v>
      </c>
      <c r="C6053" s="5">
        <v>9</v>
      </c>
      <c r="D6053" s="379">
        <v>96.802777777777763</v>
      </c>
      <c r="E6053" s="25">
        <v>24.84</v>
      </c>
      <c r="F6053" s="379">
        <v>8.6443440454286335</v>
      </c>
      <c r="G6053" s="25">
        <v>42.29</v>
      </c>
      <c r="H6053" s="379">
        <v>8.5999332301096292</v>
      </c>
      <c r="I6053" s="25">
        <v>51.72</v>
      </c>
      <c r="J6053" s="379">
        <v>6.7413826171131532</v>
      </c>
    </row>
    <row r="6054" spans="1:10" x14ac:dyDescent="0.35">
      <c r="A6054" s="5">
        <v>6050</v>
      </c>
      <c r="B6054" s="5">
        <v>253</v>
      </c>
      <c r="C6054" s="5">
        <v>9</v>
      </c>
      <c r="D6054" s="379">
        <v>94.773333333333341</v>
      </c>
      <c r="E6054" s="25">
        <v>24.84</v>
      </c>
      <c r="F6054" s="379">
        <v>8.6663076796042731</v>
      </c>
      <c r="G6054" s="25">
        <v>42.29</v>
      </c>
      <c r="H6054" s="379">
        <v>8.5744546852780701</v>
      </c>
      <c r="I6054" s="25">
        <v>51.72</v>
      </c>
      <c r="J6054" s="379">
        <v>6.3053829548145925</v>
      </c>
    </row>
    <row r="6055" spans="1:10" x14ac:dyDescent="0.35">
      <c r="A6055" s="5">
        <v>6051</v>
      </c>
      <c r="B6055" s="5">
        <v>253</v>
      </c>
      <c r="C6055" s="5">
        <v>9</v>
      </c>
      <c r="D6055" s="379">
        <v>94.076111111111103</v>
      </c>
      <c r="E6055" s="25">
        <v>24.84</v>
      </c>
      <c r="F6055" s="379">
        <v>8.6531431860670249</v>
      </c>
      <c r="G6055" s="25">
        <v>42.29</v>
      </c>
      <c r="H6055" s="379">
        <v>8.36414182967515</v>
      </c>
      <c r="I6055" s="25">
        <v>51.72</v>
      </c>
      <c r="J6055" s="379">
        <v>6.5385410787381462</v>
      </c>
    </row>
    <row r="6056" spans="1:10" x14ac:dyDescent="0.35">
      <c r="A6056" s="5">
        <v>6052</v>
      </c>
      <c r="B6056" s="5">
        <v>253</v>
      </c>
      <c r="C6056" s="5">
        <v>9</v>
      </c>
      <c r="D6056" s="379">
        <v>94.742222222222225</v>
      </c>
      <c r="E6056" s="25">
        <v>24.84</v>
      </c>
      <c r="F6056" s="379">
        <v>9.0598851164434873</v>
      </c>
      <c r="G6056" s="25">
        <v>42.29</v>
      </c>
      <c r="H6056" s="379">
        <v>8.4599488229929829</v>
      </c>
      <c r="I6056" s="25">
        <v>51.72</v>
      </c>
      <c r="J6056" s="379">
        <v>6.6527795113580925</v>
      </c>
    </row>
    <row r="6057" spans="1:10" x14ac:dyDescent="0.35">
      <c r="A6057" s="5">
        <v>6053</v>
      </c>
      <c r="B6057" s="5">
        <v>253</v>
      </c>
      <c r="C6057" s="5">
        <v>9</v>
      </c>
      <c r="D6057" s="379">
        <v>97.223888888888879</v>
      </c>
      <c r="E6057" s="25">
        <v>24.84</v>
      </c>
      <c r="F6057" s="379">
        <v>9.1867912990855629</v>
      </c>
      <c r="G6057" s="25">
        <v>42.71</v>
      </c>
      <c r="H6057" s="379">
        <v>8.5296995646445364</v>
      </c>
      <c r="I6057" s="25">
        <v>51.72</v>
      </c>
      <c r="J6057" s="379">
        <v>5.8127033044407748</v>
      </c>
    </row>
    <row r="6058" spans="1:10" x14ac:dyDescent="0.35">
      <c r="A6058" s="5">
        <v>6054</v>
      </c>
      <c r="B6058" s="5">
        <v>253</v>
      </c>
      <c r="C6058" s="5">
        <v>9</v>
      </c>
      <c r="D6058" s="379">
        <v>103.90888888888888</v>
      </c>
      <c r="E6058" s="25">
        <v>24.84</v>
      </c>
      <c r="F6058" s="379">
        <v>9.6357386765411626</v>
      </c>
      <c r="G6058" s="25">
        <v>46.98</v>
      </c>
      <c r="H6058" s="379">
        <v>8.4975757395130529</v>
      </c>
      <c r="I6058" s="25">
        <v>53.81</v>
      </c>
      <c r="J6058" s="379">
        <v>6.5827565966261474</v>
      </c>
    </row>
    <row r="6059" spans="1:10" x14ac:dyDescent="0.35">
      <c r="A6059" s="5">
        <v>6055</v>
      </c>
      <c r="B6059" s="5">
        <v>253</v>
      </c>
      <c r="C6059" s="5">
        <v>9</v>
      </c>
      <c r="D6059" s="379">
        <v>108.85111111111109</v>
      </c>
      <c r="E6059" s="25">
        <v>25.59</v>
      </c>
      <c r="F6059" s="379">
        <v>9.0451304362766152</v>
      </c>
      <c r="G6059" s="25">
        <v>47.46</v>
      </c>
      <c r="H6059" s="379">
        <v>8.4467765907834718</v>
      </c>
      <c r="I6059" s="25">
        <v>60.85</v>
      </c>
      <c r="J6059" s="379">
        <v>6.0829826771715183</v>
      </c>
    </row>
    <row r="6060" spans="1:10" x14ac:dyDescent="0.35">
      <c r="A6060" s="5">
        <v>6056</v>
      </c>
      <c r="B6060" s="5">
        <v>253</v>
      </c>
      <c r="C6060" s="5">
        <v>9</v>
      </c>
      <c r="D6060" s="379">
        <v>111.57833333333332</v>
      </c>
      <c r="E6060" s="25">
        <v>25.74</v>
      </c>
      <c r="F6060" s="379">
        <v>8.7587137921870966</v>
      </c>
      <c r="G6060" s="25">
        <v>47.85</v>
      </c>
      <c r="H6060" s="379">
        <v>7.8685911304647069</v>
      </c>
      <c r="I6060" s="25">
        <v>64.14</v>
      </c>
      <c r="J6060" s="379">
        <v>1.3813756806232911</v>
      </c>
    </row>
    <row r="6061" spans="1:10" x14ac:dyDescent="0.35">
      <c r="A6061" s="5">
        <v>6057</v>
      </c>
      <c r="B6061" s="5">
        <v>253</v>
      </c>
      <c r="C6061" s="5">
        <v>9</v>
      </c>
      <c r="D6061" s="379">
        <v>110.90555555555557</v>
      </c>
      <c r="E6061" s="25">
        <v>25.59</v>
      </c>
      <c r="F6061" s="379">
        <v>8.1174834595959595</v>
      </c>
      <c r="G6061" s="25">
        <v>47.85</v>
      </c>
      <c r="H6061" s="379">
        <v>4.8671572739092408</v>
      </c>
      <c r="I6061" s="25">
        <v>59.34</v>
      </c>
      <c r="J6061" s="379">
        <v>0.68117518256536835</v>
      </c>
    </row>
    <row r="6062" spans="1:10" x14ac:dyDescent="0.35">
      <c r="A6062" s="5">
        <v>6058</v>
      </c>
      <c r="B6062" s="5">
        <v>253</v>
      </c>
      <c r="C6062" s="5">
        <v>9</v>
      </c>
      <c r="D6062" s="379">
        <v>110.31888888888888</v>
      </c>
      <c r="E6062" s="25">
        <v>24.99</v>
      </c>
      <c r="F6062" s="379">
        <v>6.757223984899035</v>
      </c>
      <c r="G6062" s="25">
        <v>46.07</v>
      </c>
      <c r="H6062" s="379">
        <v>2.212166040364909</v>
      </c>
      <c r="I6062" s="25">
        <v>51.72</v>
      </c>
      <c r="J6062" s="379">
        <v>3.5847936575552399</v>
      </c>
    </row>
    <row r="6063" spans="1:10" x14ac:dyDescent="0.35">
      <c r="A6063" s="5">
        <v>6059</v>
      </c>
      <c r="B6063" s="5">
        <v>253</v>
      </c>
      <c r="C6063" s="5">
        <v>9</v>
      </c>
      <c r="D6063" s="379">
        <v>108.58000000000001</v>
      </c>
      <c r="E6063" s="25">
        <v>24.99</v>
      </c>
      <c r="F6063" s="379">
        <v>5.3294304324054789</v>
      </c>
      <c r="G6063" s="25">
        <v>44.86</v>
      </c>
      <c r="H6063" s="379">
        <v>3.5498311870853843</v>
      </c>
      <c r="I6063" s="25">
        <v>51.72</v>
      </c>
      <c r="J6063" s="379">
        <v>2.1533479600255894</v>
      </c>
    </row>
    <row r="6064" spans="1:10" x14ac:dyDescent="0.35">
      <c r="A6064" s="5">
        <v>6060</v>
      </c>
      <c r="B6064" s="5">
        <v>253</v>
      </c>
      <c r="C6064" s="5">
        <v>9</v>
      </c>
      <c r="D6064" s="379">
        <v>104.44888888888887</v>
      </c>
      <c r="E6064" s="25">
        <v>24.84</v>
      </c>
      <c r="F6064" s="379">
        <v>5.2110189433060174</v>
      </c>
      <c r="G6064" s="25">
        <v>43.62</v>
      </c>
      <c r="H6064" s="379">
        <v>7.6448594265082468</v>
      </c>
      <c r="I6064" s="25">
        <v>51.2</v>
      </c>
      <c r="J6064" s="379">
        <v>2.1533479600255894</v>
      </c>
    </row>
    <row r="6065" spans="1:10" x14ac:dyDescent="0.35">
      <c r="A6065" s="5">
        <v>6061</v>
      </c>
      <c r="B6065" s="5">
        <v>253</v>
      </c>
      <c r="C6065" s="5">
        <v>9</v>
      </c>
      <c r="D6065" s="379">
        <v>94.463888888888903</v>
      </c>
      <c r="E6065" s="25">
        <v>24.84</v>
      </c>
      <c r="F6065" s="379">
        <v>5.0356398201534533</v>
      </c>
      <c r="G6065" s="25">
        <v>43.56</v>
      </c>
      <c r="H6065" s="379">
        <v>7.8006093875226439</v>
      </c>
      <c r="I6065" s="25">
        <v>46.64</v>
      </c>
      <c r="J6065" s="379">
        <v>2.1125109375246116</v>
      </c>
    </row>
    <row r="6066" spans="1:10" x14ac:dyDescent="0.35">
      <c r="A6066" s="5">
        <v>6062</v>
      </c>
      <c r="B6066" s="5">
        <v>253</v>
      </c>
      <c r="C6066" s="5">
        <v>9</v>
      </c>
      <c r="D6066" s="379">
        <v>94.115555555555559</v>
      </c>
      <c r="E6066" s="25">
        <v>24.84</v>
      </c>
      <c r="F6066" s="379">
        <v>5.2110189433060174</v>
      </c>
      <c r="G6066" s="25">
        <v>42.71</v>
      </c>
      <c r="H6066" s="379">
        <v>5.9815914605360012</v>
      </c>
      <c r="I6066" s="25">
        <v>45.17</v>
      </c>
      <c r="J6066" s="379">
        <v>0.18975868306831789</v>
      </c>
    </row>
    <row r="6067" spans="1:10" x14ac:dyDescent="0.35">
      <c r="A6067" s="5">
        <v>6063</v>
      </c>
      <c r="B6067" s="5">
        <v>253</v>
      </c>
      <c r="C6067" s="5">
        <v>9</v>
      </c>
      <c r="D6067" s="379">
        <v>96.691111111111113</v>
      </c>
      <c r="E6067" s="25">
        <v>24.84</v>
      </c>
      <c r="F6067" s="379">
        <v>5.2110189433060174</v>
      </c>
      <c r="G6067" s="25">
        <v>42.35</v>
      </c>
      <c r="H6067" s="379">
        <v>8.1174834595959595</v>
      </c>
      <c r="I6067" s="25">
        <v>46.64</v>
      </c>
      <c r="J6067" s="379">
        <v>0.28809537076869773</v>
      </c>
    </row>
    <row r="6068" spans="1:10" x14ac:dyDescent="0.35">
      <c r="A6068" s="5">
        <v>6064</v>
      </c>
      <c r="B6068" s="5">
        <v>253</v>
      </c>
      <c r="C6068" s="5">
        <v>9</v>
      </c>
      <c r="D6068" s="379">
        <v>103.40222222222222</v>
      </c>
      <c r="E6068" s="25">
        <v>24.84</v>
      </c>
      <c r="F6068" s="379">
        <v>0.47222222222222221</v>
      </c>
      <c r="G6068" s="25">
        <v>42.71</v>
      </c>
      <c r="H6068" s="379">
        <v>8.1174834595959595</v>
      </c>
      <c r="I6068" s="25">
        <v>50.44</v>
      </c>
      <c r="J6068" s="379">
        <v>2.1124616616229517</v>
      </c>
    </row>
    <row r="6069" spans="1:10" x14ac:dyDescent="0.35">
      <c r="A6069" s="5">
        <v>6065</v>
      </c>
      <c r="B6069" s="5">
        <v>253</v>
      </c>
      <c r="C6069" s="5">
        <v>9</v>
      </c>
      <c r="D6069" s="379">
        <v>117.41833333333332</v>
      </c>
      <c r="E6069" s="25">
        <v>24.84</v>
      </c>
      <c r="F6069" s="379">
        <v>8.1174834595959577</v>
      </c>
      <c r="G6069" s="25">
        <v>43.56</v>
      </c>
      <c r="H6069" s="379">
        <v>4.8984886499787317</v>
      </c>
      <c r="I6069" s="25">
        <v>51.72</v>
      </c>
      <c r="J6069" s="379">
        <v>0.6100553666160865</v>
      </c>
    </row>
    <row r="6070" spans="1:10" x14ac:dyDescent="0.35">
      <c r="A6070" s="5">
        <v>6066</v>
      </c>
      <c r="B6070" s="5">
        <v>253</v>
      </c>
      <c r="C6070" s="5">
        <v>9</v>
      </c>
      <c r="D6070" s="379">
        <v>121.87611111111111</v>
      </c>
      <c r="E6070" s="25">
        <v>24.99</v>
      </c>
      <c r="F6070" s="379">
        <v>8.6344201410251795</v>
      </c>
      <c r="G6070" s="25">
        <v>43.56</v>
      </c>
      <c r="H6070" s="379">
        <v>7.77068273179278</v>
      </c>
      <c r="I6070" s="25">
        <v>51.72</v>
      </c>
      <c r="J6070" s="379">
        <v>3.4261938025232777</v>
      </c>
    </row>
    <row r="6071" spans="1:10" x14ac:dyDescent="0.35">
      <c r="A6071" s="5">
        <v>6067</v>
      </c>
      <c r="B6071" s="5">
        <v>253</v>
      </c>
      <c r="C6071" s="5">
        <v>9</v>
      </c>
      <c r="D6071" s="379">
        <v>127.52444444444444</v>
      </c>
      <c r="E6071" s="25">
        <v>24.99</v>
      </c>
      <c r="F6071" s="379">
        <v>9.7030635648662535</v>
      </c>
      <c r="G6071" s="25">
        <v>44.74</v>
      </c>
      <c r="H6071" s="379">
        <v>7.7307688863696802</v>
      </c>
      <c r="I6071" s="25">
        <v>53.71</v>
      </c>
      <c r="J6071" s="379">
        <v>5.8848169159086972</v>
      </c>
    </row>
    <row r="6072" spans="1:10" x14ac:dyDescent="0.35">
      <c r="A6072" s="5">
        <v>6068</v>
      </c>
      <c r="B6072" s="5">
        <v>253</v>
      </c>
      <c r="C6072" s="5">
        <v>9</v>
      </c>
      <c r="D6072" s="379">
        <v>124.92444444444443</v>
      </c>
      <c r="E6072" s="25">
        <v>24.99</v>
      </c>
      <c r="F6072" s="379">
        <v>9.0427238730985948</v>
      </c>
      <c r="G6072" s="25">
        <v>46.98</v>
      </c>
      <c r="H6072" s="379">
        <v>7.7227035453717665</v>
      </c>
      <c r="I6072" s="25">
        <v>56.77</v>
      </c>
      <c r="J6072" s="379">
        <v>5.4090284049961195</v>
      </c>
    </row>
    <row r="6073" spans="1:10" x14ac:dyDescent="0.35">
      <c r="A6073" s="5">
        <v>6069</v>
      </c>
      <c r="B6073" s="5">
        <v>253</v>
      </c>
      <c r="C6073" s="5">
        <v>9</v>
      </c>
      <c r="D6073" s="379">
        <v>120.0938888888889</v>
      </c>
      <c r="E6073" s="25">
        <v>24.84</v>
      </c>
      <c r="F6073" s="379">
        <v>8.6977525213776161</v>
      </c>
      <c r="G6073" s="25">
        <v>44.86</v>
      </c>
      <c r="H6073" s="379">
        <v>7.3825817358817973</v>
      </c>
      <c r="I6073" s="25">
        <v>54.87</v>
      </c>
      <c r="J6073" s="379">
        <v>4.6414732666484015</v>
      </c>
    </row>
    <row r="6074" spans="1:10" x14ac:dyDescent="0.35">
      <c r="A6074" s="5">
        <v>6070</v>
      </c>
      <c r="B6074" s="5">
        <v>253</v>
      </c>
      <c r="C6074" s="5">
        <v>9</v>
      </c>
      <c r="D6074" s="379">
        <v>115.18388888888887</v>
      </c>
      <c r="E6074" s="25">
        <v>24.84</v>
      </c>
      <c r="F6074" s="379">
        <v>8.5036323210761946</v>
      </c>
      <c r="G6074" s="25">
        <v>43.56</v>
      </c>
      <c r="H6074" s="379">
        <v>7.3410028198367545</v>
      </c>
      <c r="I6074" s="25">
        <v>53.71</v>
      </c>
      <c r="J6074" s="379">
        <v>4.9388240635230405</v>
      </c>
    </row>
    <row r="6075" spans="1:10" x14ac:dyDescent="0.35">
      <c r="A6075" s="5">
        <v>6071</v>
      </c>
      <c r="B6075" s="5">
        <v>253</v>
      </c>
      <c r="C6075" s="5">
        <v>9</v>
      </c>
      <c r="D6075" s="379">
        <v>115.88888888888889</v>
      </c>
      <c r="E6075" s="25">
        <v>24.84</v>
      </c>
      <c r="F6075" s="379">
        <v>8.1174834595959577</v>
      </c>
      <c r="G6075" s="25">
        <v>42.29</v>
      </c>
      <c r="H6075" s="379">
        <v>7.3978074623638364</v>
      </c>
      <c r="I6075" s="25">
        <v>51.2</v>
      </c>
      <c r="J6075" s="379">
        <v>5.1145088835479768</v>
      </c>
    </row>
    <row r="6076" spans="1:10" x14ac:dyDescent="0.35">
      <c r="A6076" s="5">
        <v>6072</v>
      </c>
      <c r="B6076" s="5">
        <v>253</v>
      </c>
      <c r="C6076" s="5">
        <v>9</v>
      </c>
      <c r="D6076" s="379">
        <v>110.45944444444444</v>
      </c>
      <c r="E6076" s="25">
        <v>24.56</v>
      </c>
      <c r="F6076" s="379">
        <v>7.9056019944763056</v>
      </c>
      <c r="G6076" s="25">
        <v>38.61</v>
      </c>
      <c r="H6076" s="379">
        <v>6.7485501475710592</v>
      </c>
      <c r="I6076" s="25">
        <v>48.86</v>
      </c>
      <c r="J6076" s="379">
        <v>4.8314517253075469</v>
      </c>
    </row>
    <row r="6077" spans="1:10" x14ac:dyDescent="0.35">
      <c r="A6077" s="5">
        <v>6073</v>
      </c>
      <c r="B6077" s="5">
        <v>254</v>
      </c>
      <c r="C6077" s="5">
        <v>9</v>
      </c>
      <c r="D6077" s="379">
        <v>104.62944444444443</v>
      </c>
      <c r="E6077" s="25">
        <v>23.59</v>
      </c>
      <c r="F6077" s="379">
        <v>7.9122295314786237</v>
      </c>
      <c r="G6077" s="25">
        <v>31.86</v>
      </c>
      <c r="H6077" s="379">
        <v>7.332706514284121</v>
      </c>
      <c r="I6077" s="25">
        <v>34.159999999999997</v>
      </c>
      <c r="J6077" s="379">
        <v>4.4724633426131604</v>
      </c>
    </row>
    <row r="6078" spans="1:10" x14ac:dyDescent="0.35">
      <c r="A6078" s="5">
        <v>6074</v>
      </c>
      <c r="B6078" s="5">
        <v>254</v>
      </c>
      <c r="C6078" s="5">
        <v>9</v>
      </c>
      <c r="D6078" s="379">
        <v>104.40333333333332</v>
      </c>
      <c r="E6078" s="25">
        <v>23.59</v>
      </c>
      <c r="F6078" s="379">
        <v>7.908248747652876</v>
      </c>
      <c r="G6078" s="25">
        <v>31.86</v>
      </c>
      <c r="H6078" s="379">
        <v>7.4357602248255201</v>
      </c>
      <c r="I6078" s="25">
        <v>34.159999999999997</v>
      </c>
      <c r="J6078" s="379">
        <v>5.2490090919721295</v>
      </c>
    </row>
    <row r="6079" spans="1:10" x14ac:dyDescent="0.35">
      <c r="A6079" s="5">
        <v>6075</v>
      </c>
      <c r="B6079" s="5">
        <v>254</v>
      </c>
      <c r="C6079" s="5">
        <v>9</v>
      </c>
      <c r="D6079" s="379">
        <v>101.30888888888889</v>
      </c>
      <c r="E6079" s="25">
        <v>23.59</v>
      </c>
      <c r="F6079" s="379">
        <v>8.0221624587802918</v>
      </c>
      <c r="G6079" s="25">
        <v>31.86</v>
      </c>
      <c r="H6079" s="379">
        <v>7.8241608550626056</v>
      </c>
      <c r="I6079" s="25">
        <v>34.159999999999997</v>
      </c>
      <c r="J6079" s="379">
        <v>5.3490926015674063</v>
      </c>
    </row>
    <row r="6080" spans="1:10" x14ac:dyDescent="0.35">
      <c r="A6080" s="5">
        <v>6076</v>
      </c>
      <c r="B6080" s="5">
        <v>254</v>
      </c>
      <c r="C6080" s="5">
        <v>9</v>
      </c>
      <c r="D6080" s="379">
        <v>99.103888888888889</v>
      </c>
      <c r="E6080" s="25">
        <v>23.59</v>
      </c>
      <c r="F6080" s="379">
        <v>8.0502486957751067</v>
      </c>
      <c r="G6080" s="25">
        <v>31.86</v>
      </c>
      <c r="H6080" s="379">
        <v>7.7915703934643465</v>
      </c>
      <c r="I6080" s="25">
        <v>34.159999999999997</v>
      </c>
      <c r="J6080" s="379">
        <v>4.68316924773307</v>
      </c>
    </row>
    <row r="6081" spans="1:10" x14ac:dyDescent="0.35">
      <c r="A6081" s="5">
        <v>6077</v>
      </c>
      <c r="B6081" s="5">
        <v>254</v>
      </c>
      <c r="C6081" s="5">
        <v>9</v>
      </c>
      <c r="D6081" s="379">
        <v>102.43444444444442</v>
      </c>
      <c r="E6081" s="25">
        <v>23.59</v>
      </c>
      <c r="F6081" s="379">
        <v>8.1215500851083231</v>
      </c>
      <c r="G6081" s="25">
        <v>31.86</v>
      </c>
      <c r="H6081" s="379">
        <v>7.7994348249448198</v>
      </c>
      <c r="I6081" s="25">
        <v>35.130000000000003</v>
      </c>
      <c r="J6081" s="379">
        <v>2.8071411518048648</v>
      </c>
    </row>
    <row r="6082" spans="1:10" x14ac:dyDescent="0.35">
      <c r="A6082" s="5">
        <v>6078</v>
      </c>
      <c r="B6082" s="5">
        <v>254</v>
      </c>
      <c r="C6082" s="5">
        <v>9</v>
      </c>
      <c r="D6082" s="379">
        <v>104.40277777777777</v>
      </c>
      <c r="E6082" s="25">
        <v>24.84</v>
      </c>
      <c r="F6082" s="379">
        <v>8.5028940948165772</v>
      </c>
      <c r="G6082" s="25">
        <v>32.18</v>
      </c>
      <c r="H6082" s="379">
        <v>7.6733220565664437</v>
      </c>
      <c r="I6082" s="25">
        <v>36.549999999999997</v>
      </c>
      <c r="J6082" s="379">
        <v>3.1539371228319637</v>
      </c>
    </row>
    <row r="6083" spans="1:10" x14ac:dyDescent="0.35">
      <c r="A6083" s="5">
        <v>6079</v>
      </c>
      <c r="B6083" s="5">
        <v>254</v>
      </c>
      <c r="C6083" s="5">
        <v>9</v>
      </c>
      <c r="D6083" s="379">
        <v>106.31277777777777</v>
      </c>
      <c r="E6083" s="25">
        <v>24.84</v>
      </c>
      <c r="F6083" s="379">
        <v>8.3579017727970495</v>
      </c>
      <c r="G6083" s="25">
        <v>37.08</v>
      </c>
      <c r="H6083" s="379">
        <v>7.353949435308901</v>
      </c>
      <c r="I6083" s="25">
        <v>36.549999999999997</v>
      </c>
      <c r="J6083" s="379">
        <v>3.2732764520202022</v>
      </c>
    </row>
    <row r="6084" spans="1:10" x14ac:dyDescent="0.35">
      <c r="A6084" s="5">
        <v>6080</v>
      </c>
      <c r="B6084" s="5">
        <v>254</v>
      </c>
      <c r="C6084" s="5">
        <v>9</v>
      </c>
      <c r="D6084" s="379">
        <v>109.63555555555556</v>
      </c>
      <c r="E6084" s="25">
        <v>24.84</v>
      </c>
      <c r="F6084" s="379">
        <v>8.2822510736201487</v>
      </c>
      <c r="G6084" s="25">
        <v>37.479999999999997</v>
      </c>
      <c r="H6084" s="379">
        <v>6.9537126205998456</v>
      </c>
      <c r="I6084" s="25">
        <v>41.33</v>
      </c>
      <c r="J6084" s="379">
        <v>5.9917191095643823</v>
      </c>
    </row>
    <row r="6085" spans="1:10" x14ac:dyDescent="0.35">
      <c r="A6085" s="5">
        <v>6081</v>
      </c>
      <c r="B6085" s="5">
        <v>254</v>
      </c>
      <c r="C6085" s="5">
        <v>9</v>
      </c>
      <c r="D6085" s="379">
        <v>108.18277777777777</v>
      </c>
      <c r="E6085" s="25">
        <v>24.84</v>
      </c>
      <c r="F6085" s="379">
        <v>8.1174834595959595</v>
      </c>
      <c r="G6085" s="25">
        <v>37.479999999999997</v>
      </c>
      <c r="H6085" s="379">
        <v>6.6080092000457311</v>
      </c>
      <c r="I6085" s="25">
        <v>38.770000000000003</v>
      </c>
      <c r="J6085" s="379">
        <v>5.9313872876030436</v>
      </c>
    </row>
    <row r="6086" spans="1:10" x14ac:dyDescent="0.35">
      <c r="A6086" s="5">
        <v>6082</v>
      </c>
      <c r="B6086" s="5">
        <v>254</v>
      </c>
      <c r="C6086" s="5">
        <v>9</v>
      </c>
      <c r="D6086" s="379">
        <v>104.75222222222222</v>
      </c>
      <c r="E6086" s="25">
        <v>24.84</v>
      </c>
      <c r="F6086" s="379">
        <v>7.6299921459878108</v>
      </c>
      <c r="G6086" s="25">
        <v>36</v>
      </c>
      <c r="H6086" s="379">
        <v>4.5158684435848997</v>
      </c>
      <c r="I6086" s="25">
        <v>34.25</v>
      </c>
      <c r="J6086" s="379">
        <v>2.0930711091669973</v>
      </c>
    </row>
    <row r="6087" spans="1:10" x14ac:dyDescent="0.35">
      <c r="A6087" s="5">
        <v>6083</v>
      </c>
      <c r="B6087" s="5">
        <v>254</v>
      </c>
      <c r="C6087" s="5">
        <v>9</v>
      </c>
      <c r="D6087" s="379">
        <v>102.96777777777778</v>
      </c>
      <c r="E6087" s="25">
        <v>24.84</v>
      </c>
      <c r="F6087" s="379">
        <v>4.490542780738866</v>
      </c>
      <c r="G6087" s="25">
        <v>34.9</v>
      </c>
      <c r="H6087" s="379">
        <v>4.3085826935835474</v>
      </c>
      <c r="I6087" s="25">
        <v>33.81</v>
      </c>
      <c r="J6087" s="379">
        <v>2.777777777777778E-2</v>
      </c>
    </row>
    <row r="6088" spans="1:10" x14ac:dyDescent="0.35">
      <c r="A6088" s="5">
        <v>6084</v>
      </c>
      <c r="B6088" s="5">
        <v>254</v>
      </c>
      <c r="C6088" s="5">
        <v>9</v>
      </c>
      <c r="D6088" s="379">
        <v>97.070555555555558</v>
      </c>
      <c r="E6088" s="25">
        <v>24.84</v>
      </c>
      <c r="F6088" s="379">
        <v>4.490542780738866</v>
      </c>
      <c r="G6088" s="25">
        <v>33.880000000000003</v>
      </c>
      <c r="H6088" s="379">
        <v>4.3085826935835474</v>
      </c>
      <c r="I6088" s="25">
        <v>33.67</v>
      </c>
      <c r="J6088" s="379">
        <v>2.777777777777778E-2</v>
      </c>
    </row>
    <row r="6089" spans="1:10" x14ac:dyDescent="0.35">
      <c r="A6089" s="5">
        <v>6085</v>
      </c>
      <c r="B6089" s="5">
        <v>254</v>
      </c>
      <c r="C6089" s="5">
        <v>9</v>
      </c>
      <c r="D6089" s="379">
        <v>85.21833333333332</v>
      </c>
      <c r="E6089" s="25">
        <v>24.84</v>
      </c>
      <c r="F6089" s="379">
        <v>4.490542780738866</v>
      </c>
      <c r="G6089" s="25">
        <v>31.86</v>
      </c>
      <c r="H6089" s="379">
        <v>4.3085826935835474</v>
      </c>
      <c r="I6089" s="25">
        <v>33.67</v>
      </c>
      <c r="J6089" s="379">
        <v>2.777777777777778E-2</v>
      </c>
    </row>
    <row r="6090" spans="1:10" x14ac:dyDescent="0.35">
      <c r="A6090" s="5">
        <v>6086</v>
      </c>
      <c r="B6090" s="5">
        <v>254</v>
      </c>
      <c r="C6090" s="5">
        <v>9</v>
      </c>
      <c r="D6090" s="379">
        <v>77.078888888888898</v>
      </c>
      <c r="E6090" s="25">
        <v>23.59</v>
      </c>
      <c r="F6090" s="379">
        <v>4.490542780738866</v>
      </c>
      <c r="G6090" s="25">
        <v>31.86</v>
      </c>
      <c r="H6090" s="379">
        <v>4.3085826935835474</v>
      </c>
      <c r="I6090" s="25">
        <v>33.67</v>
      </c>
      <c r="J6090" s="379">
        <v>2.777777777777778E-2</v>
      </c>
    </row>
    <row r="6091" spans="1:10" x14ac:dyDescent="0.35">
      <c r="A6091" s="5">
        <v>6087</v>
      </c>
      <c r="B6091" s="5">
        <v>254</v>
      </c>
      <c r="C6091" s="5">
        <v>9</v>
      </c>
      <c r="D6091" s="379">
        <v>84.876111111111101</v>
      </c>
      <c r="E6091" s="25">
        <v>24.56</v>
      </c>
      <c r="F6091" s="379">
        <v>4.490542780738866</v>
      </c>
      <c r="G6091" s="25">
        <v>31.86</v>
      </c>
      <c r="H6091" s="379">
        <v>4.3085826935835465</v>
      </c>
      <c r="I6091" s="25">
        <v>33.67</v>
      </c>
      <c r="J6091" s="379">
        <v>2.777777777777778E-2</v>
      </c>
    </row>
    <row r="6092" spans="1:10" x14ac:dyDescent="0.35">
      <c r="A6092" s="5">
        <v>6088</v>
      </c>
      <c r="B6092" s="5">
        <v>254</v>
      </c>
      <c r="C6092" s="5">
        <v>9</v>
      </c>
      <c r="D6092" s="379">
        <v>98.696666666666658</v>
      </c>
      <c r="E6092" s="25">
        <v>24.84</v>
      </c>
      <c r="F6092" s="379">
        <v>6.6172672405140407</v>
      </c>
      <c r="G6092" s="25">
        <v>31.86</v>
      </c>
      <c r="H6092" s="379">
        <v>3.1253426864805469</v>
      </c>
      <c r="I6092" s="25">
        <v>33.81</v>
      </c>
      <c r="J6092" s="379">
        <v>5.1162482169034962E-2</v>
      </c>
    </row>
    <row r="6093" spans="1:10" x14ac:dyDescent="0.35">
      <c r="A6093" s="5">
        <v>6089</v>
      </c>
      <c r="B6093" s="5">
        <v>254</v>
      </c>
      <c r="C6093" s="5">
        <v>9</v>
      </c>
      <c r="D6093" s="379">
        <v>110.61944444444444</v>
      </c>
      <c r="E6093" s="25">
        <v>24.84</v>
      </c>
      <c r="F6093" s="379">
        <v>7.7884510299577689</v>
      </c>
      <c r="G6093" s="25">
        <v>36</v>
      </c>
      <c r="H6093" s="379">
        <v>6.5829892294289234</v>
      </c>
      <c r="I6093" s="25">
        <v>34.21</v>
      </c>
      <c r="J6093" s="379">
        <v>0.44138005782823858</v>
      </c>
    </row>
    <row r="6094" spans="1:10" x14ac:dyDescent="0.35">
      <c r="A6094" s="5">
        <v>6090</v>
      </c>
      <c r="B6094" s="5">
        <v>254</v>
      </c>
      <c r="C6094" s="5">
        <v>9</v>
      </c>
      <c r="D6094" s="379">
        <v>121.03833333333333</v>
      </c>
      <c r="E6094" s="25">
        <v>24.84</v>
      </c>
      <c r="F6094" s="379">
        <v>17.317448625212595</v>
      </c>
      <c r="G6094" s="25">
        <v>37.479999999999997</v>
      </c>
      <c r="H6094" s="379">
        <v>7.5355692607175149</v>
      </c>
      <c r="I6094" s="25">
        <v>39.619999999999997</v>
      </c>
      <c r="J6094" s="379">
        <v>6.4058933377723308</v>
      </c>
    </row>
    <row r="6095" spans="1:10" x14ac:dyDescent="0.35">
      <c r="A6095" s="5">
        <v>6091</v>
      </c>
      <c r="B6095" s="5">
        <v>254</v>
      </c>
      <c r="C6095" s="5">
        <v>9</v>
      </c>
      <c r="D6095" s="379">
        <v>127.55888888888889</v>
      </c>
      <c r="E6095" s="25">
        <v>24.84</v>
      </c>
      <c r="F6095" s="379">
        <v>15.380602374170191</v>
      </c>
      <c r="G6095" s="25">
        <v>42.29</v>
      </c>
      <c r="H6095" s="379">
        <v>7.7886647541116201</v>
      </c>
      <c r="I6095" s="25">
        <v>46.98</v>
      </c>
      <c r="J6095" s="379">
        <v>6.3899872568065579</v>
      </c>
    </row>
    <row r="6096" spans="1:10" x14ac:dyDescent="0.35">
      <c r="A6096" s="5">
        <v>6092</v>
      </c>
      <c r="B6096" s="5">
        <v>254</v>
      </c>
      <c r="C6096" s="5">
        <v>9</v>
      </c>
      <c r="D6096" s="379">
        <v>128.10499999999999</v>
      </c>
      <c r="E6096" s="25">
        <v>24.84</v>
      </c>
      <c r="F6096" s="379">
        <v>14.841115011237289</v>
      </c>
      <c r="G6096" s="25">
        <v>42.29</v>
      </c>
      <c r="H6096" s="379">
        <v>7.2435496015273984</v>
      </c>
      <c r="I6096" s="25">
        <v>48.86</v>
      </c>
      <c r="J6096" s="379">
        <v>6.4312127618313513</v>
      </c>
    </row>
    <row r="6097" spans="1:10" x14ac:dyDescent="0.35">
      <c r="A6097" s="5">
        <v>6093</v>
      </c>
      <c r="B6097" s="5">
        <v>254</v>
      </c>
      <c r="C6097" s="5">
        <v>9</v>
      </c>
      <c r="D6097" s="379">
        <v>120.50611111111111</v>
      </c>
      <c r="E6097" s="25">
        <v>24.84</v>
      </c>
      <c r="F6097" s="379">
        <v>13.306773753902393</v>
      </c>
      <c r="G6097" s="25">
        <v>38.61</v>
      </c>
      <c r="H6097" s="379">
        <v>7.647103302892198</v>
      </c>
      <c r="I6097" s="25">
        <v>45.62</v>
      </c>
      <c r="J6097" s="379">
        <v>6.3524118309833337</v>
      </c>
    </row>
    <row r="6098" spans="1:10" x14ac:dyDescent="0.35">
      <c r="A6098" s="5">
        <v>6094</v>
      </c>
      <c r="B6098" s="5">
        <v>254</v>
      </c>
      <c r="C6098" s="5">
        <v>9</v>
      </c>
      <c r="D6098" s="379">
        <v>109.47388888888888</v>
      </c>
      <c r="E6098" s="25">
        <v>24.84</v>
      </c>
      <c r="F6098" s="379">
        <v>8.1847609957648437</v>
      </c>
      <c r="G6098" s="25">
        <v>37.479999999999997</v>
      </c>
      <c r="H6098" s="379">
        <v>6.3342180041425094</v>
      </c>
      <c r="I6098" s="25">
        <v>40.119999999999997</v>
      </c>
      <c r="J6098" s="379">
        <v>3.8795756557983241</v>
      </c>
    </row>
    <row r="6099" spans="1:10" x14ac:dyDescent="0.35">
      <c r="A6099" s="5">
        <v>6095</v>
      </c>
      <c r="B6099" s="5">
        <v>254</v>
      </c>
      <c r="C6099" s="5">
        <v>9</v>
      </c>
      <c r="D6099" s="379">
        <v>102.29222222222222</v>
      </c>
      <c r="E6099" s="25">
        <v>24.84</v>
      </c>
      <c r="F6099" s="379">
        <v>6.6042263607817562</v>
      </c>
      <c r="G6099" s="25">
        <v>35.94</v>
      </c>
      <c r="H6099" s="379">
        <v>4.7883107407611387</v>
      </c>
      <c r="I6099" s="25">
        <v>38.270000000000003</v>
      </c>
      <c r="J6099" s="379">
        <v>3.4179987506604896</v>
      </c>
    </row>
    <row r="6100" spans="1:10" x14ac:dyDescent="0.35">
      <c r="A6100" s="5">
        <v>6096</v>
      </c>
      <c r="B6100" s="5">
        <v>254</v>
      </c>
      <c r="C6100" s="5">
        <v>9</v>
      </c>
      <c r="D6100" s="379">
        <v>91.24722222222222</v>
      </c>
      <c r="E6100" s="25">
        <v>23.59</v>
      </c>
      <c r="F6100" s="379">
        <v>7.8632570199271097</v>
      </c>
      <c r="G6100" s="25">
        <v>31.86</v>
      </c>
      <c r="H6100" s="379">
        <v>5.1642936880796251</v>
      </c>
      <c r="I6100" s="25">
        <v>34.01</v>
      </c>
      <c r="J6100" s="379">
        <v>3.0696727390370899</v>
      </c>
    </row>
    <row r="6101" spans="1:10" x14ac:dyDescent="0.35">
      <c r="A6101" s="5">
        <v>6097</v>
      </c>
      <c r="B6101" s="5">
        <v>255</v>
      </c>
      <c r="C6101" s="5">
        <v>9</v>
      </c>
      <c r="D6101" s="379">
        <v>91.149444444444455</v>
      </c>
      <c r="E6101" s="25">
        <v>23.59</v>
      </c>
      <c r="F6101" s="379">
        <v>7.9114063493876063</v>
      </c>
      <c r="G6101" s="25">
        <v>31.11</v>
      </c>
      <c r="H6101" s="379">
        <v>4.2639840896544321</v>
      </c>
      <c r="I6101" s="25">
        <v>33.67</v>
      </c>
      <c r="J6101" s="379">
        <v>2.4577680221232687</v>
      </c>
    </row>
    <row r="6102" spans="1:10" x14ac:dyDescent="0.35">
      <c r="A6102" s="5">
        <v>6098</v>
      </c>
      <c r="B6102" s="5">
        <v>255</v>
      </c>
      <c r="C6102" s="5">
        <v>9</v>
      </c>
      <c r="D6102" s="379">
        <v>90.751666666666665</v>
      </c>
      <c r="E6102" s="25">
        <v>23.41</v>
      </c>
      <c r="F6102" s="379">
        <v>7.7260633907272265</v>
      </c>
      <c r="G6102" s="25">
        <v>31.11</v>
      </c>
      <c r="H6102" s="379">
        <v>4.2922128162670807</v>
      </c>
      <c r="I6102" s="25">
        <v>33.67</v>
      </c>
      <c r="J6102" s="379">
        <v>2.4899347745679417</v>
      </c>
    </row>
    <row r="6103" spans="1:10" x14ac:dyDescent="0.35">
      <c r="A6103" s="5">
        <v>6099</v>
      </c>
      <c r="B6103" s="5">
        <v>255</v>
      </c>
      <c r="C6103" s="5">
        <v>9</v>
      </c>
      <c r="D6103" s="379">
        <v>89.827777777777769</v>
      </c>
      <c r="E6103" s="25">
        <v>23.41</v>
      </c>
      <c r="F6103" s="379">
        <v>7.5500430678951762</v>
      </c>
      <c r="G6103" s="25">
        <v>31.11</v>
      </c>
      <c r="H6103" s="379">
        <v>4.041971172612417</v>
      </c>
      <c r="I6103" s="25">
        <v>33.67</v>
      </c>
      <c r="J6103" s="379">
        <v>1.4947338558789756</v>
      </c>
    </row>
    <row r="6104" spans="1:10" x14ac:dyDescent="0.35">
      <c r="A6104" s="5">
        <v>6100</v>
      </c>
      <c r="B6104" s="5">
        <v>255</v>
      </c>
      <c r="C6104" s="5">
        <v>9</v>
      </c>
      <c r="D6104" s="379">
        <v>91.292777777777772</v>
      </c>
      <c r="E6104" s="25">
        <v>23.41</v>
      </c>
      <c r="F6104" s="379">
        <v>6.3291979207163003</v>
      </c>
      <c r="G6104" s="25">
        <v>31.11</v>
      </c>
      <c r="H6104" s="379">
        <v>4.0369581317134919</v>
      </c>
      <c r="I6104" s="25">
        <v>33.67</v>
      </c>
      <c r="J6104" s="379">
        <v>2.4899347745679417</v>
      </c>
    </row>
    <row r="6105" spans="1:10" x14ac:dyDescent="0.35">
      <c r="A6105" s="5">
        <v>6101</v>
      </c>
      <c r="B6105" s="5">
        <v>255</v>
      </c>
      <c r="C6105" s="5">
        <v>9</v>
      </c>
      <c r="D6105" s="379">
        <v>98.61333333333333</v>
      </c>
      <c r="E6105" s="25">
        <v>23.41</v>
      </c>
      <c r="F6105" s="379">
        <v>5.0412684399903496</v>
      </c>
      <c r="G6105" s="25">
        <v>31.11</v>
      </c>
      <c r="H6105" s="379">
        <v>4.071533512828708</v>
      </c>
      <c r="I6105" s="25">
        <v>33.67</v>
      </c>
      <c r="J6105" s="379">
        <v>2.0554874090395057</v>
      </c>
    </row>
    <row r="6106" spans="1:10" x14ac:dyDescent="0.35">
      <c r="A6106" s="5">
        <v>6102</v>
      </c>
      <c r="B6106" s="5">
        <v>255</v>
      </c>
      <c r="C6106" s="5">
        <v>9</v>
      </c>
      <c r="D6106" s="379">
        <v>113.15111111111111</v>
      </c>
      <c r="E6106" s="25">
        <v>23.59</v>
      </c>
      <c r="F6106" s="379">
        <v>5.0199025232329193</v>
      </c>
      <c r="G6106" s="25">
        <v>31.11</v>
      </c>
      <c r="H6106" s="379">
        <v>3.946292518874257</v>
      </c>
      <c r="I6106" s="25">
        <v>33.979999999999997</v>
      </c>
      <c r="J6106" s="379">
        <v>1.6056890764449505</v>
      </c>
    </row>
    <row r="6107" spans="1:10" x14ac:dyDescent="0.35">
      <c r="A6107" s="5">
        <v>6103</v>
      </c>
      <c r="B6107" s="5">
        <v>255</v>
      </c>
      <c r="C6107" s="5">
        <v>9</v>
      </c>
      <c r="D6107" s="379">
        <v>122.60944444444442</v>
      </c>
      <c r="E6107" s="25">
        <v>23.59</v>
      </c>
      <c r="F6107" s="379">
        <v>4.9845307332869311</v>
      </c>
      <c r="G6107" s="25">
        <v>31.11</v>
      </c>
      <c r="H6107" s="379">
        <v>6.414702601979009</v>
      </c>
      <c r="I6107" s="25">
        <v>33.979999999999997</v>
      </c>
      <c r="J6107" s="379">
        <v>2.0688923080594948</v>
      </c>
    </row>
    <row r="6108" spans="1:10" x14ac:dyDescent="0.35">
      <c r="A6108" s="5">
        <v>6104</v>
      </c>
      <c r="B6108" s="5">
        <v>255</v>
      </c>
      <c r="C6108" s="5">
        <v>9</v>
      </c>
      <c r="D6108" s="379">
        <v>121.69666666666666</v>
      </c>
      <c r="E6108" s="25">
        <v>23.59</v>
      </c>
      <c r="F6108" s="379">
        <v>5.4569222192367421</v>
      </c>
      <c r="G6108" s="25">
        <v>31.11</v>
      </c>
      <c r="H6108" s="379">
        <v>4.1133051291648624</v>
      </c>
      <c r="I6108" s="25">
        <v>34.21</v>
      </c>
      <c r="J6108" s="379">
        <v>3.8863919772134587</v>
      </c>
    </row>
    <row r="6109" spans="1:10" x14ac:dyDescent="0.35">
      <c r="A6109" s="5">
        <v>6105</v>
      </c>
      <c r="B6109" s="5">
        <v>255</v>
      </c>
      <c r="C6109" s="5">
        <v>9</v>
      </c>
      <c r="D6109" s="379">
        <v>114.03833333333333</v>
      </c>
      <c r="E6109" s="25">
        <v>24.84</v>
      </c>
      <c r="F6109" s="379">
        <v>5.3761904635856892</v>
      </c>
      <c r="G6109" s="25">
        <v>31.42</v>
      </c>
      <c r="H6109" s="379">
        <v>5.2057350986212958</v>
      </c>
      <c r="I6109" s="25">
        <v>34.01</v>
      </c>
      <c r="J6109" s="379">
        <v>2.327832654697406</v>
      </c>
    </row>
    <row r="6110" spans="1:10" x14ac:dyDescent="0.35">
      <c r="A6110" s="5">
        <v>6106</v>
      </c>
      <c r="B6110" s="5">
        <v>255</v>
      </c>
      <c r="C6110" s="5">
        <v>9</v>
      </c>
      <c r="D6110" s="379">
        <v>104.12388888888889</v>
      </c>
      <c r="E6110" s="25">
        <v>24.84</v>
      </c>
      <c r="F6110" s="379">
        <v>2.9471118292800615</v>
      </c>
      <c r="G6110" s="25">
        <v>32.450000000000003</v>
      </c>
      <c r="H6110" s="379">
        <v>1.875552840195911</v>
      </c>
      <c r="I6110" s="25">
        <v>33.67</v>
      </c>
      <c r="J6110" s="379">
        <v>2.777777777777778E-2</v>
      </c>
    </row>
    <row r="6111" spans="1:10" x14ac:dyDescent="0.35">
      <c r="A6111" s="5">
        <v>6107</v>
      </c>
      <c r="B6111" s="5">
        <v>255</v>
      </c>
      <c r="C6111" s="5">
        <v>9</v>
      </c>
      <c r="D6111" s="379">
        <v>96.251666666666651</v>
      </c>
      <c r="E6111" s="25">
        <v>24.84</v>
      </c>
      <c r="F6111" s="379">
        <v>3.714477901822574</v>
      </c>
      <c r="G6111" s="25">
        <v>32.130000000000003</v>
      </c>
      <c r="H6111" s="379">
        <v>1.875552840195911</v>
      </c>
      <c r="I6111" s="25">
        <v>33.67</v>
      </c>
      <c r="J6111" s="379">
        <v>2.777777777777778E-2</v>
      </c>
    </row>
    <row r="6112" spans="1:10" x14ac:dyDescent="0.35">
      <c r="A6112" s="5">
        <v>6108</v>
      </c>
      <c r="B6112" s="5">
        <v>255</v>
      </c>
      <c r="C6112" s="5">
        <v>9</v>
      </c>
      <c r="D6112" s="379">
        <v>93.414999999999992</v>
      </c>
      <c r="E6112" s="25">
        <v>24.84</v>
      </c>
      <c r="F6112" s="379">
        <v>3.714477901822574</v>
      </c>
      <c r="G6112" s="25">
        <v>31.8</v>
      </c>
      <c r="H6112" s="379">
        <v>1.875552840195911</v>
      </c>
      <c r="I6112" s="25">
        <v>33.67</v>
      </c>
      <c r="J6112" s="379">
        <v>2.777777777777778E-2</v>
      </c>
    </row>
    <row r="6113" spans="1:10" x14ac:dyDescent="0.35">
      <c r="A6113" s="5">
        <v>6109</v>
      </c>
      <c r="B6113" s="5">
        <v>255</v>
      </c>
      <c r="C6113" s="5">
        <v>9</v>
      </c>
      <c r="D6113" s="379">
        <v>92.041111111111135</v>
      </c>
      <c r="E6113" s="25">
        <v>23.76</v>
      </c>
      <c r="F6113" s="379">
        <v>3.714477901822574</v>
      </c>
      <c r="G6113" s="25">
        <v>31.11</v>
      </c>
      <c r="H6113" s="379">
        <v>1.875552840195911</v>
      </c>
      <c r="I6113" s="25">
        <v>33.67</v>
      </c>
      <c r="J6113" s="379">
        <v>2.777777777777778E-2</v>
      </c>
    </row>
    <row r="6114" spans="1:10" x14ac:dyDescent="0.35">
      <c r="A6114" s="5">
        <v>6110</v>
      </c>
      <c r="B6114" s="5">
        <v>255</v>
      </c>
      <c r="C6114" s="5">
        <v>9</v>
      </c>
      <c r="D6114" s="379">
        <v>92.436666666666667</v>
      </c>
      <c r="E6114" s="25">
        <v>23.41</v>
      </c>
      <c r="F6114" s="379">
        <v>0.25814263295437401</v>
      </c>
      <c r="G6114" s="25">
        <v>31.11</v>
      </c>
      <c r="H6114" s="379">
        <v>1.8457190916956596</v>
      </c>
      <c r="I6114" s="25">
        <v>33.67</v>
      </c>
      <c r="J6114" s="379">
        <v>2.777777777777778E-2</v>
      </c>
    </row>
    <row r="6115" spans="1:10" x14ac:dyDescent="0.35">
      <c r="A6115" s="5">
        <v>6111</v>
      </c>
      <c r="B6115" s="5">
        <v>255</v>
      </c>
      <c r="C6115" s="5">
        <v>9</v>
      </c>
      <c r="D6115" s="379">
        <v>96.228888888888875</v>
      </c>
      <c r="E6115" s="25">
        <v>23.41</v>
      </c>
      <c r="F6115" s="379">
        <v>3.5929409478450069</v>
      </c>
      <c r="G6115" s="25">
        <v>31.11</v>
      </c>
      <c r="H6115" s="379">
        <v>1.8457190916956596</v>
      </c>
      <c r="I6115" s="25">
        <v>33.67</v>
      </c>
      <c r="J6115" s="379">
        <v>2.777777777777778E-2</v>
      </c>
    </row>
    <row r="6116" spans="1:10" x14ac:dyDescent="0.35">
      <c r="A6116" s="5">
        <v>6112</v>
      </c>
      <c r="B6116" s="5">
        <v>255</v>
      </c>
      <c r="C6116" s="5">
        <v>9</v>
      </c>
      <c r="D6116" s="379">
        <v>106.75055555555556</v>
      </c>
      <c r="E6116" s="25">
        <v>23.59</v>
      </c>
      <c r="F6116" s="379">
        <v>1.0667323690799908</v>
      </c>
      <c r="G6116" s="25">
        <v>31.11</v>
      </c>
      <c r="H6116" s="379">
        <v>1.875552840195911</v>
      </c>
      <c r="I6116" s="25">
        <v>33.67</v>
      </c>
      <c r="J6116" s="379">
        <v>2.777777777777778E-2</v>
      </c>
    </row>
    <row r="6117" spans="1:10" x14ac:dyDescent="0.35">
      <c r="A6117" s="5">
        <v>6113</v>
      </c>
      <c r="B6117" s="5">
        <v>255</v>
      </c>
      <c r="C6117" s="5">
        <v>9</v>
      </c>
      <c r="D6117" s="379">
        <v>123.50277777777777</v>
      </c>
      <c r="E6117" s="25">
        <v>24.84</v>
      </c>
      <c r="F6117" s="379">
        <v>7.8384143152061885</v>
      </c>
      <c r="G6117" s="25">
        <v>31.42</v>
      </c>
      <c r="H6117" s="379">
        <v>3.6930885392980541</v>
      </c>
      <c r="I6117" s="25">
        <v>33.67</v>
      </c>
      <c r="J6117" s="379">
        <v>0.99365651847771674</v>
      </c>
    </row>
    <row r="6118" spans="1:10" x14ac:dyDescent="0.35">
      <c r="A6118" s="5">
        <v>6114</v>
      </c>
      <c r="B6118" s="5">
        <v>255</v>
      </c>
      <c r="C6118" s="5">
        <v>9</v>
      </c>
      <c r="D6118" s="379">
        <v>132.12333333333333</v>
      </c>
      <c r="E6118" s="25">
        <v>24.84</v>
      </c>
      <c r="F6118" s="379">
        <v>9.1371879999550867</v>
      </c>
      <c r="G6118" s="25">
        <v>37.08</v>
      </c>
      <c r="H6118" s="379">
        <v>5.7521264578900713</v>
      </c>
      <c r="I6118" s="25">
        <v>34.68</v>
      </c>
      <c r="J6118" s="379">
        <v>4.6435905163874702</v>
      </c>
    </row>
    <row r="6119" spans="1:10" x14ac:dyDescent="0.35">
      <c r="A6119" s="5">
        <v>6115</v>
      </c>
      <c r="B6119" s="5">
        <v>255</v>
      </c>
      <c r="C6119" s="5">
        <v>9</v>
      </c>
      <c r="D6119" s="379">
        <v>132.90277777777777</v>
      </c>
      <c r="E6119" s="25">
        <v>24.84</v>
      </c>
      <c r="F6119" s="379">
        <v>9.6943933692879511</v>
      </c>
      <c r="G6119" s="25">
        <v>37.479999999999997</v>
      </c>
      <c r="H6119" s="379">
        <v>9.2096365699457721</v>
      </c>
      <c r="I6119" s="25">
        <v>43.41</v>
      </c>
      <c r="J6119" s="379">
        <v>5.3323371180197903</v>
      </c>
    </row>
    <row r="6120" spans="1:10" x14ac:dyDescent="0.35">
      <c r="A6120" s="5">
        <v>6116</v>
      </c>
      <c r="B6120" s="5">
        <v>255</v>
      </c>
      <c r="C6120" s="5">
        <v>9</v>
      </c>
      <c r="D6120" s="379">
        <v>128.74611111111111</v>
      </c>
      <c r="E6120" s="25">
        <v>24.84</v>
      </c>
      <c r="F6120" s="379">
        <v>9.9989030445460934</v>
      </c>
      <c r="G6120" s="25">
        <v>38.61</v>
      </c>
      <c r="H6120" s="379">
        <v>9.0693033103506657</v>
      </c>
      <c r="I6120" s="25">
        <v>44.29</v>
      </c>
      <c r="J6120" s="379">
        <v>5.8629851891949594</v>
      </c>
    </row>
    <row r="6121" spans="1:10" x14ac:dyDescent="0.35">
      <c r="A6121" s="5">
        <v>6117</v>
      </c>
      <c r="B6121" s="5">
        <v>255</v>
      </c>
      <c r="C6121" s="5">
        <v>9</v>
      </c>
      <c r="D6121" s="379">
        <v>117.84277777777778</v>
      </c>
      <c r="E6121" s="25">
        <v>24.84</v>
      </c>
      <c r="F6121" s="379">
        <v>8.5335346750437253</v>
      </c>
      <c r="G6121" s="25">
        <v>37.08</v>
      </c>
      <c r="H6121" s="379">
        <v>10.246899401478814</v>
      </c>
      <c r="I6121" s="25">
        <v>38.770000000000003</v>
      </c>
      <c r="J6121" s="379">
        <v>6.0095623143697638</v>
      </c>
    </row>
    <row r="6122" spans="1:10" x14ac:dyDescent="0.35">
      <c r="A6122" s="5">
        <v>6118</v>
      </c>
      <c r="B6122" s="5">
        <v>255</v>
      </c>
      <c r="C6122" s="5">
        <v>9</v>
      </c>
      <c r="D6122" s="379">
        <v>101.36055555555556</v>
      </c>
      <c r="E6122" s="25">
        <v>24.84</v>
      </c>
      <c r="F6122" s="379">
        <v>8.5335346750437253</v>
      </c>
      <c r="G6122" s="25">
        <v>37.020000000000003</v>
      </c>
      <c r="H6122" s="379">
        <v>10.005812442325153</v>
      </c>
      <c r="I6122" s="25">
        <v>38.770000000000003</v>
      </c>
      <c r="J6122" s="379">
        <v>5.7381606979151494</v>
      </c>
    </row>
    <row r="6123" spans="1:10" x14ac:dyDescent="0.35">
      <c r="A6123" s="5">
        <v>6119</v>
      </c>
      <c r="B6123" s="5">
        <v>255</v>
      </c>
      <c r="C6123" s="5">
        <v>9</v>
      </c>
      <c r="D6123" s="379">
        <v>95.076111111111103</v>
      </c>
      <c r="E6123" s="25">
        <v>24.84</v>
      </c>
      <c r="F6123" s="379">
        <v>8.5335346750437253</v>
      </c>
      <c r="G6123" s="25">
        <v>32.81</v>
      </c>
      <c r="H6123" s="379">
        <v>10.032830665893984</v>
      </c>
      <c r="I6123" s="25">
        <v>35.24</v>
      </c>
      <c r="J6123" s="379">
        <v>5.503026375066451</v>
      </c>
    </row>
    <row r="6124" spans="1:10" x14ac:dyDescent="0.35">
      <c r="A6124" s="5">
        <v>6120</v>
      </c>
      <c r="B6124" s="5">
        <v>255</v>
      </c>
      <c r="C6124" s="5">
        <v>9</v>
      </c>
      <c r="D6124" s="379">
        <v>88.542222222222222</v>
      </c>
      <c r="E6124" s="25">
        <v>24.84</v>
      </c>
      <c r="F6124" s="379">
        <v>8.3433792804340428</v>
      </c>
      <c r="G6124" s="25">
        <v>32.47</v>
      </c>
      <c r="H6124" s="379">
        <v>9.2011142696180528</v>
      </c>
      <c r="I6124" s="25">
        <v>39.42</v>
      </c>
      <c r="J6124" s="379">
        <v>4.798943838077971</v>
      </c>
    </row>
    <row r="6125" spans="1:10" x14ac:dyDescent="0.35">
      <c r="A6125" s="5">
        <v>6121</v>
      </c>
      <c r="B6125" s="5">
        <v>256</v>
      </c>
      <c r="C6125" s="5">
        <v>9</v>
      </c>
      <c r="D6125" s="379">
        <v>89.106666666666669</v>
      </c>
      <c r="E6125" s="25">
        <v>24.84</v>
      </c>
      <c r="F6125" s="379">
        <v>8.3433792804340428</v>
      </c>
      <c r="G6125" s="25">
        <v>37.08</v>
      </c>
      <c r="H6125" s="379">
        <v>9.3903765091588962</v>
      </c>
      <c r="I6125" s="25">
        <v>48.39</v>
      </c>
      <c r="J6125" s="379">
        <v>5.2225388691789281</v>
      </c>
    </row>
    <row r="6126" spans="1:10" x14ac:dyDescent="0.35">
      <c r="A6126" s="5">
        <v>6122</v>
      </c>
      <c r="B6126" s="5">
        <v>256</v>
      </c>
      <c r="C6126" s="5">
        <v>9</v>
      </c>
      <c r="D6126" s="379">
        <v>86.852222222222224</v>
      </c>
      <c r="E6126" s="25">
        <v>24.84</v>
      </c>
      <c r="F6126" s="379">
        <v>9.5507765656370172</v>
      </c>
      <c r="G6126" s="25">
        <v>37.08</v>
      </c>
      <c r="H6126" s="379">
        <v>8.8903972613312892</v>
      </c>
      <c r="I6126" s="25">
        <v>48.39</v>
      </c>
      <c r="J6126" s="379">
        <v>4.0218781139467534</v>
      </c>
    </row>
    <row r="6127" spans="1:10" x14ac:dyDescent="0.35">
      <c r="A6127" s="5">
        <v>6123</v>
      </c>
      <c r="B6127" s="5">
        <v>256</v>
      </c>
      <c r="C6127" s="5">
        <v>9</v>
      </c>
      <c r="D6127" s="379">
        <v>88.546111111111117</v>
      </c>
      <c r="E6127" s="25">
        <v>24.84</v>
      </c>
      <c r="F6127" s="379">
        <v>10.834575700956448</v>
      </c>
      <c r="G6127" s="25">
        <v>38.61</v>
      </c>
      <c r="H6127" s="379">
        <v>10.112250144230964</v>
      </c>
      <c r="I6127" s="25">
        <v>47.31</v>
      </c>
      <c r="J6127" s="379">
        <v>4.6928387954496396</v>
      </c>
    </row>
    <row r="6128" spans="1:10" x14ac:dyDescent="0.35">
      <c r="A6128" s="5">
        <v>6124</v>
      </c>
      <c r="B6128" s="5">
        <v>256</v>
      </c>
      <c r="C6128" s="5">
        <v>9</v>
      </c>
      <c r="D6128" s="379">
        <v>90.186666666666667</v>
      </c>
      <c r="E6128" s="25">
        <v>24.84</v>
      </c>
      <c r="F6128" s="379">
        <v>16.352739349589879</v>
      </c>
      <c r="G6128" s="25">
        <v>43.56</v>
      </c>
      <c r="H6128" s="379">
        <v>10.539219566296598</v>
      </c>
      <c r="I6128" s="25">
        <v>50.19</v>
      </c>
      <c r="J6128" s="379">
        <v>7.3159863611501157</v>
      </c>
    </row>
    <row r="6129" spans="1:10" x14ac:dyDescent="0.35">
      <c r="A6129" s="5">
        <v>6125</v>
      </c>
      <c r="B6129" s="5">
        <v>256</v>
      </c>
      <c r="C6129" s="5">
        <v>9</v>
      </c>
      <c r="D6129" s="379">
        <v>92.847222222222214</v>
      </c>
      <c r="E6129" s="25">
        <v>24.84</v>
      </c>
      <c r="F6129" s="379">
        <v>14.091076765012193</v>
      </c>
      <c r="G6129" s="25">
        <v>43.56</v>
      </c>
      <c r="H6129" s="379">
        <v>9.9760172732736088</v>
      </c>
      <c r="I6129" s="25">
        <v>50.33</v>
      </c>
      <c r="J6129" s="379">
        <v>7.3227440811588886</v>
      </c>
    </row>
    <row r="6130" spans="1:10" x14ac:dyDescent="0.35">
      <c r="A6130" s="5">
        <v>6126</v>
      </c>
      <c r="B6130" s="5">
        <v>256</v>
      </c>
      <c r="C6130" s="5">
        <v>9</v>
      </c>
      <c r="D6130" s="379">
        <v>113.69</v>
      </c>
      <c r="E6130" s="25">
        <v>25.29</v>
      </c>
      <c r="F6130" s="379">
        <v>12.581287758228513</v>
      </c>
      <c r="G6130" s="25">
        <v>46.27</v>
      </c>
      <c r="H6130" s="379">
        <v>10.256103513111642</v>
      </c>
      <c r="I6130" s="25">
        <v>54.87</v>
      </c>
      <c r="J6130" s="379">
        <v>7.302593200632753</v>
      </c>
    </row>
    <row r="6131" spans="1:10" x14ac:dyDescent="0.35">
      <c r="A6131" s="5">
        <v>6127</v>
      </c>
      <c r="B6131" s="5">
        <v>256</v>
      </c>
      <c r="C6131" s="5">
        <v>9</v>
      </c>
      <c r="D6131" s="379">
        <v>122.96666666666667</v>
      </c>
      <c r="E6131" s="25">
        <v>25.74</v>
      </c>
      <c r="F6131" s="379">
        <v>13.608145873839266</v>
      </c>
      <c r="G6131" s="25">
        <v>47.85</v>
      </c>
      <c r="H6131" s="379">
        <v>9.0188367162340786</v>
      </c>
      <c r="I6131" s="25">
        <v>58.21</v>
      </c>
      <c r="J6131" s="379">
        <v>7.1185501246411444</v>
      </c>
    </row>
    <row r="6132" spans="1:10" x14ac:dyDescent="0.35">
      <c r="A6132" s="5">
        <v>6128</v>
      </c>
      <c r="B6132" s="5">
        <v>256</v>
      </c>
      <c r="C6132" s="5">
        <v>9</v>
      </c>
      <c r="D6132" s="379">
        <v>125.91833333333331</v>
      </c>
      <c r="E6132" s="25">
        <v>27.3</v>
      </c>
      <c r="F6132" s="379">
        <v>11.119529909149152</v>
      </c>
      <c r="G6132" s="25">
        <v>47.85</v>
      </c>
      <c r="H6132" s="379">
        <v>7.4897935248849032</v>
      </c>
      <c r="I6132" s="25">
        <v>59.05</v>
      </c>
      <c r="J6132" s="379">
        <v>6.9445657662941453</v>
      </c>
    </row>
    <row r="6133" spans="1:10" x14ac:dyDescent="0.35">
      <c r="A6133" s="5">
        <v>6129</v>
      </c>
      <c r="B6133" s="5">
        <v>256</v>
      </c>
      <c r="C6133" s="5">
        <v>9</v>
      </c>
      <c r="D6133" s="379">
        <v>121.64222222222224</v>
      </c>
      <c r="E6133" s="25">
        <v>27.3</v>
      </c>
      <c r="F6133" s="379">
        <v>8.1174834595959595</v>
      </c>
      <c r="G6133" s="25">
        <v>47.85</v>
      </c>
      <c r="H6133" s="379">
        <v>7.4897935248849032</v>
      </c>
      <c r="I6133" s="25">
        <v>58.21</v>
      </c>
      <c r="J6133" s="379">
        <v>6.6291862292662387</v>
      </c>
    </row>
    <row r="6134" spans="1:10" x14ac:dyDescent="0.35">
      <c r="A6134" s="5">
        <v>6130</v>
      </c>
      <c r="B6134" s="5">
        <v>256</v>
      </c>
      <c r="C6134" s="5">
        <v>9</v>
      </c>
      <c r="D6134" s="379">
        <v>117.44666666666666</v>
      </c>
      <c r="E6134" s="25">
        <v>26.51</v>
      </c>
      <c r="F6134" s="379">
        <v>8.3199091039337425</v>
      </c>
      <c r="G6134" s="25">
        <v>47.85</v>
      </c>
      <c r="H6134" s="379">
        <v>7.1227799586375191</v>
      </c>
      <c r="I6134" s="25">
        <v>56.77</v>
      </c>
      <c r="J6134" s="379">
        <v>6.4200004838873337</v>
      </c>
    </row>
    <row r="6135" spans="1:10" x14ac:dyDescent="0.35">
      <c r="A6135" s="5">
        <v>6131</v>
      </c>
      <c r="B6135" s="5">
        <v>256</v>
      </c>
      <c r="C6135" s="5">
        <v>9</v>
      </c>
      <c r="D6135" s="379">
        <v>116.47222222222223</v>
      </c>
      <c r="E6135" s="25">
        <v>25.74</v>
      </c>
      <c r="F6135" s="379">
        <v>8.2511675263965536</v>
      </c>
      <c r="G6135" s="25">
        <v>47.85</v>
      </c>
      <c r="H6135" s="379">
        <v>7.3277022870734525</v>
      </c>
      <c r="I6135" s="25">
        <v>56.52</v>
      </c>
      <c r="J6135" s="379">
        <v>6.2422796674335954</v>
      </c>
    </row>
    <row r="6136" spans="1:10" x14ac:dyDescent="0.35">
      <c r="A6136" s="5">
        <v>6132</v>
      </c>
      <c r="B6136" s="5">
        <v>256</v>
      </c>
      <c r="C6136" s="5">
        <v>9</v>
      </c>
      <c r="D6136" s="379">
        <v>104.0461111111111</v>
      </c>
      <c r="E6136" s="25">
        <v>25.74</v>
      </c>
      <c r="F6136" s="379">
        <v>8.1174834595959613</v>
      </c>
      <c r="G6136" s="25">
        <v>47.85</v>
      </c>
      <c r="H6136" s="379">
        <v>7.4528959535524493</v>
      </c>
      <c r="I6136" s="25">
        <v>55.95</v>
      </c>
      <c r="J6136" s="379">
        <v>6.0777759398652211</v>
      </c>
    </row>
    <row r="6137" spans="1:10" x14ac:dyDescent="0.35">
      <c r="A6137" s="5">
        <v>6133</v>
      </c>
      <c r="B6137" s="5">
        <v>256</v>
      </c>
      <c r="C6137" s="5">
        <v>9</v>
      </c>
      <c r="D6137" s="379">
        <v>99.787777777777777</v>
      </c>
      <c r="E6137" s="25">
        <v>25.74</v>
      </c>
      <c r="F6137" s="379">
        <v>8.4904979428512615</v>
      </c>
      <c r="G6137" s="25">
        <v>47.85</v>
      </c>
      <c r="H6137" s="379">
        <v>9.5852405590909644</v>
      </c>
      <c r="I6137" s="25">
        <v>53.71</v>
      </c>
      <c r="J6137" s="379">
        <v>6.4850322436579715</v>
      </c>
    </row>
    <row r="6138" spans="1:10" x14ac:dyDescent="0.35">
      <c r="A6138" s="5">
        <v>6134</v>
      </c>
      <c r="B6138" s="5">
        <v>256</v>
      </c>
      <c r="C6138" s="5">
        <v>9</v>
      </c>
      <c r="D6138" s="379">
        <v>99.788333333333313</v>
      </c>
      <c r="E6138" s="25">
        <v>25.74</v>
      </c>
      <c r="F6138" s="379">
        <v>8.4340101801016001</v>
      </c>
      <c r="G6138" s="25">
        <v>47.85</v>
      </c>
      <c r="H6138" s="379">
        <v>9.1282076311235336</v>
      </c>
      <c r="I6138" s="25">
        <v>53.71</v>
      </c>
      <c r="J6138" s="379">
        <v>6.2422796674335954</v>
      </c>
    </row>
    <row r="6139" spans="1:10" x14ac:dyDescent="0.35">
      <c r="A6139" s="5">
        <v>6135</v>
      </c>
      <c r="B6139" s="5">
        <v>256</v>
      </c>
      <c r="C6139" s="5">
        <v>9</v>
      </c>
      <c r="D6139" s="379">
        <v>104.0011111111111</v>
      </c>
      <c r="E6139" s="25">
        <v>25.74</v>
      </c>
      <c r="F6139" s="379">
        <v>8.3134051427658022</v>
      </c>
      <c r="G6139" s="25">
        <v>47.85</v>
      </c>
      <c r="H6139" s="379">
        <v>8.7566164410715146</v>
      </c>
      <c r="I6139" s="25">
        <v>53.71</v>
      </c>
      <c r="J6139" s="379">
        <v>6.4863927287434588</v>
      </c>
    </row>
    <row r="6140" spans="1:10" x14ac:dyDescent="0.35">
      <c r="A6140" s="5">
        <v>6136</v>
      </c>
      <c r="B6140" s="5">
        <v>256</v>
      </c>
      <c r="C6140" s="5">
        <v>9</v>
      </c>
      <c r="D6140" s="379">
        <v>111.83666666666666</v>
      </c>
      <c r="E6140" s="25">
        <v>27.3</v>
      </c>
      <c r="F6140" s="379">
        <v>10.064881842017178</v>
      </c>
      <c r="G6140" s="25">
        <v>47.85</v>
      </c>
      <c r="H6140" s="379">
        <v>9.1940506705694869</v>
      </c>
      <c r="I6140" s="25">
        <v>53.71</v>
      </c>
      <c r="J6140" s="379">
        <v>7.2453018675930245</v>
      </c>
    </row>
    <row r="6141" spans="1:10" x14ac:dyDescent="0.35">
      <c r="A6141" s="5">
        <v>6137</v>
      </c>
      <c r="B6141" s="5">
        <v>256</v>
      </c>
      <c r="C6141" s="5">
        <v>9</v>
      </c>
      <c r="D6141" s="379">
        <v>120.64166666666665</v>
      </c>
      <c r="E6141" s="25">
        <v>27.3</v>
      </c>
      <c r="F6141" s="379">
        <v>15.649750659205166</v>
      </c>
      <c r="G6141" s="25">
        <v>47.85</v>
      </c>
      <c r="H6141" s="379">
        <v>9.2777274634870786</v>
      </c>
      <c r="I6141" s="25">
        <v>55.95</v>
      </c>
      <c r="J6141" s="379">
        <v>7.1977938029224511</v>
      </c>
    </row>
    <row r="6142" spans="1:10" x14ac:dyDescent="0.35">
      <c r="A6142" s="5">
        <v>6138</v>
      </c>
      <c r="B6142" s="5">
        <v>256</v>
      </c>
      <c r="C6142" s="5">
        <v>9</v>
      </c>
      <c r="D6142" s="379">
        <v>130.75944444444445</v>
      </c>
      <c r="E6142" s="25">
        <v>27.3</v>
      </c>
      <c r="F6142" s="379">
        <v>16.92491993421925</v>
      </c>
      <c r="G6142" s="25">
        <v>47.85</v>
      </c>
      <c r="H6142" s="379">
        <v>9.9664260905321171</v>
      </c>
      <c r="I6142" s="25">
        <v>54.87</v>
      </c>
      <c r="J6142" s="379">
        <v>7.3523027786327351</v>
      </c>
    </row>
    <row r="6143" spans="1:10" x14ac:dyDescent="0.35">
      <c r="A6143" s="5">
        <v>6139</v>
      </c>
      <c r="B6143" s="5">
        <v>256</v>
      </c>
      <c r="C6143" s="5">
        <v>9</v>
      </c>
      <c r="D6143" s="379">
        <v>134.00611111111112</v>
      </c>
      <c r="E6143" s="25">
        <v>25.74</v>
      </c>
      <c r="F6143" s="379">
        <v>15.897613696852753</v>
      </c>
      <c r="G6143" s="25">
        <v>47.85</v>
      </c>
      <c r="H6143" s="379">
        <v>9.3489666738958999</v>
      </c>
      <c r="I6143" s="25">
        <v>56.77</v>
      </c>
      <c r="J6143" s="379">
        <v>7.3884539328156054</v>
      </c>
    </row>
    <row r="6144" spans="1:10" x14ac:dyDescent="0.35">
      <c r="A6144" s="5">
        <v>6140</v>
      </c>
      <c r="B6144" s="5">
        <v>256</v>
      </c>
      <c r="C6144" s="5">
        <v>9</v>
      </c>
      <c r="D6144" s="379">
        <v>130.31166666666667</v>
      </c>
      <c r="E6144" s="25">
        <v>25.74</v>
      </c>
      <c r="F6144" s="379">
        <v>15.27163950272327</v>
      </c>
      <c r="G6144" s="25">
        <v>47.85</v>
      </c>
      <c r="H6144" s="379">
        <v>8.9902751611270002</v>
      </c>
      <c r="I6144" s="25">
        <v>56.77</v>
      </c>
      <c r="J6144" s="379">
        <v>7.3106110989581943</v>
      </c>
    </row>
    <row r="6145" spans="1:10" x14ac:dyDescent="0.35">
      <c r="A6145" s="5">
        <v>6141</v>
      </c>
      <c r="B6145" s="5">
        <v>256</v>
      </c>
      <c r="C6145" s="5">
        <v>9</v>
      </c>
      <c r="D6145" s="379">
        <v>117.29833333333333</v>
      </c>
      <c r="E6145" s="25">
        <v>25.74</v>
      </c>
      <c r="F6145" s="379">
        <v>10.629481012919229</v>
      </c>
      <c r="G6145" s="25">
        <v>44.74</v>
      </c>
      <c r="H6145" s="379">
        <v>9.3225224458225657</v>
      </c>
      <c r="I6145" s="25">
        <v>56.52</v>
      </c>
      <c r="J6145" s="379">
        <v>7.1509037349763576</v>
      </c>
    </row>
    <row r="6146" spans="1:10" x14ac:dyDescent="0.35">
      <c r="A6146" s="5">
        <v>6142</v>
      </c>
      <c r="B6146" s="5">
        <v>256</v>
      </c>
      <c r="C6146" s="5">
        <v>9</v>
      </c>
      <c r="D6146" s="379">
        <v>107.26388888888889</v>
      </c>
      <c r="E6146" s="25">
        <v>24.84</v>
      </c>
      <c r="F6146" s="379">
        <v>8.5628267432790572</v>
      </c>
      <c r="G6146" s="25">
        <v>44.74</v>
      </c>
      <c r="H6146" s="379">
        <v>9.2452703686227533</v>
      </c>
      <c r="I6146" s="25">
        <v>53.71</v>
      </c>
      <c r="J6146" s="379">
        <v>7.2224198262545727</v>
      </c>
    </row>
    <row r="6147" spans="1:10" x14ac:dyDescent="0.35">
      <c r="A6147" s="5">
        <v>6143</v>
      </c>
      <c r="B6147" s="5">
        <v>256</v>
      </c>
      <c r="C6147" s="5">
        <v>9</v>
      </c>
      <c r="D6147" s="379">
        <v>96.780555555555566</v>
      </c>
      <c r="E6147" s="25">
        <v>24.84</v>
      </c>
      <c r="F6147" s="379">
        <v>8.1677612998799543</v>
      </c>
      <c r="G6147" s="25">
        <v>42.71</v>
      </c>
      <c r="H6147" s="379">
        <v>9.291595784885196</v>
      </c>
      <c r="I6147" s="25">
        <v>50.33</v>
      </c>
      <c r="J6147" s="379">
        <v>5.4429848770547347</v>
      </c>
    </row>
    <row r="6148" spans="1:10" x14ac:dyDescent="0.35">
      <c r="A6148" s="5">
        <v>6144</v>
      </c>
      <c r="B6148" s="5">
        <v>256</v>
      </c>
      <c r="C6148" s="5">
        <v>9</v>
      </c>
      <c r="D6148" s="379">
        <v>95.207222222222214</v>
      </c>
      <c r="E6148" s="25">
        <v>24.84</v>
      </c>
      <c r="F6148" s="379">
        <v>5.6002681096689946</v>
      </c>
      <c r="G6148" s="25">
        <v>38.19</v>
      </c>
      <c r="H6148" s="379">
        <v>8.4718370270661492</v>
      </c>
      <c r="I6148" s="25">
        <v>42.88</v>
      </c>
      <c r="J6148" s="379">
        <v>5.2866786564034696</v>
      </c>
    </row>
    <row r="6149" spans="1:10" x14ac:dyDescent="0.35">
      <c r="A6149" s="5">
        <v>6145</v>
      </c>
      <c r="B6149" s="5">
        <v>257</v>
      </c>
      <c r="C6149" s="5">
        <v>9</v>
      </c>
      <c r="D6149" s="379">
        <v>91.872222222222234</v>
      </c>
      <c r="E6149" s="25">
        <v>24.84</v>
      </c>
      <c r="F6149" s="379">
        <v>5.3917394114706854</v>
      </c>
      <c r="G6149" s="25">
        <v>38.19</v>
      </c>
      <c r="H6149" s="379">
        <v>7.9869116479964113</v>
      </c>
      <c r="I6149" s="25">
        <v>37.159999999999997</v>
      </c>
      <c r="J6149" s="379">
        <v>3.821043441984624</v>
      </c>
    </row>
    <row r="6150" spans="1:10" x14ac:dyDescent="0.35">
      <c r="A6150" s="5">
        <v>6146</v>
      </c>
      <c r="B6150" s="5">
        <v>257</v>
      </c>
      <c r="C6150" s="5">
        <v>9</v>
      </c>
      <c r="D6150" s="379">
        <v>92.415000000000006</v>
      </c>
      <c r="E6150" s="25">
        <v>24.84</v>
      </c>
      <c r="F6150" s="379">
        <v>5.3678222165882046</v>
      </c>
      <c r="G6150" s="25">
        <v>38.19</v>
      </c>
      <c r="H6150" s="379">
        <v>7.7226662160793573</v>
      </c>
      <c r="I6150" s="25">
        <v>36.869999999999997</v>
      </c>
      <c r="J6150" s="379">
        <v>5.5408461011445178</v>
      </c>
    </row>
    <row r="6151" spans="1:10" x14ac:dyDescent="0.35">
      <c r="A6151" s="5">
        <v>6147</v>
      </c>
      <c r="B6151" s="5">
        <v>257</v>
      </c>
      <c r="C6151" s="5">
        <v>9</v>
      </c>
      <c r="D6151" s="379">
        <v>91.617777777777775</v>
      </c>
      <c r="E6151" s="25">
        <v>24.84</v>
      </c>
      <c r="F6151" s="379">
        <v>5.4660446179163173</v>
      </c>
      <c r="G6151" s="25">
        <v>38.19</v>
      </c>
      <c r="H6151" s="379">
        <v>7.7415743957274827</v>
      </c>
      <c r="I6151" s="25">
        <v>36.65</v>
      </c>
      <c r="J6151" s="379">
        <v>5.14474794904074</v>
      </c>
    </row>
    <row r="6152" spans="1:10" x14ac:dyDescent="0.35">
      <c r="A6152" s="5">
        <v>6148</v>
      </c>
      <c r="B6152" s="5">
        <v>257</v>
      </c>
      <c r="C6152" s="5">
        <v>9</v>
      </c>
      <c r="D6152" s="379">
        <v>93.173333333333346</v>
      </c>
      <c r="E6152" s="25">
        <v>24.84</v>
      </c>
      <c r="F6152" s="379">
        <v>4.9800541169538022</v>
      </c>
      <c r="G6152" s="25">
        <v>38.19</v>
      </c>
      <c r="H6152" s="379">
        <v>7.7840025788553868</v>
      </c>
      <c r="I6152" s="25">
        <v>37.6</v>
      </c>
      <c r="J6152" s="379">
        <v>4.3765381913036308</v>
      </c>
    </row>
    <row r="6153" spans="1:10" x14ac:dyDescent="0.35">
      <c r="A6153" s="5">
        <v>6149</v>
      </c>
      <c r="B6153" s="5">
        <v>257</v>
      </c>
      <c r="C6153" s="5">
        <v>9</v>
      </c>
      <c r="D6153" s="379">
        <v>94.894444444444446</v>
      </c>
      <c r="E6153" s="25">
        <v>24.84</v>
      </c>
      <c r="F6153" s="379">
        <v>5.1821577965961367</v>
      </c>
      <c r="G6153" s="25">
        <v>38.19</v>
      </c>
      <c r="H6153" s="379">
        <v>7.764816240762916</v>
      </c>
      <c r="I6153" s="25">
        <v>37.979999999999997</v>
      </c>
      <c r="J6153" s="379">
        <v>5.8203284391930659</v>
      </c>
    </row>
    <row r="6154" spans="1:10" x14ac:dyDescent="0.35">
      <c r="A6154" s="5">
        <v>6150</v>
      </c>
      <c r="B6154" s="5">
        <v>257</v>
      </c>
      <c r="C6154" s="5">
        <v>9</v>
      </c>
      <c r="D6154" s="379">
        <v>112.16499999999999</v>
      </c>
      <c r="E6154" s="25">
        <v>24.84</v>
      </c>
      <c r="F6154" s="379">
        <v>5.5828358668652385</v>
      </c>
      <c r="G6154" s="25">
        <v>43.56</v>
      </c>
      <c r="H6154" s="379">
        <v>7.3885896087365701</v>
      </c>
      <c r="I6154" s="25">
        <v>44.68</v>
      </c>
      <c r="J6154" s="379">
        <v>5.3769972659089555</v>
      </c>
    </row>
    <row r="6155" spans="1:10" x14ac:dyDescent="0.35">
      <c r="A6155" s="5">
        <v>6151</v>
      </c>
      <c r="B6155" s="5">
        <v>257</v>
      </c>
      <c r="C6155" s="5">
        <v>9</v>
      </c>
      <c r="D6155" s="379">
        <v>129.72833333333332</v>
      </c>
      <c r="E6155" s="25">
        <v>26.05</v>
      </c>
      <c r="F6155" s="379">
        <v>5.1811280635830395</v>
      </c>
      <c r="G6155" s="25">
        <v>44.93</v>
      </c>
      <c r="H6155" s="379">
        <v>7.1635435893225106</v>
      </c>
      <c r="I6155" s="25">
        <v>49.53</v>
      </c>
      <c r="J6155" s="379">
        <v>4.5354152857659669</v>
      </c>
    </row>
    <row r="6156" spans="1:10" x14ac:dyDescent="0.35">
      <c r="A6156" s="5">
        <v>6152</v>
      </c>
      <c r="B6156" s="5">
        <v>257</v>
      </c>
      <c r="C6156" s="5">
        <v>9</v>
      </c>
      <c r="D6156" s="379">
        <v>132.58388888888888</v>
      </c>
      <c r="E6156" s="25">
        <v>26.51</v>
      </c>
      <c r="F6156" s="379">
        <v>5.6182589094540996</v>
      </c>
      <c r="G6156" s="25">
        <v>44.93</v>
      </c>
      <c r="H6156" s="379">
        <v>6.5011435925436754</v>
      </c>
      <c r="I6156" s="25">
        <v>50.13</v>
      </c>
      <c r="J6156" s="379">
        <v>4.3568329647237993</v>
      </c>
    </row>
    <row r="6157" spans="1:10" x14ac:dyDescent="0.35">
      <c r="A6157" s="5">
        <v>6153</v>
      </c>
      <c r="B6157" s="5">
        <v>257</v>
      </c>
      <c r="C6157" s="5">
        <v>9</v>
      </c>
      <c r="D6157" s="379">
        <v>130.22999999999999</v>
      </c>
      <c r="E6157" s="25">
        <v>26.51</v>
      </c>
      <c r="F6157" s="379">
        <v>4.8337186809944788</v>
      </c>
      <c r="G6157" s="25">
        <v>44.93</v>
      </c>
      <c r="H6157" s="379">
        <v>3.9992681841236521</v>
      </c>
      <c r="I6157" s="25">
        <v>50.13</v>
      </c>
      <c r="J6157" s="379">
        <v>1.9806895055409619</v>
      </c>
    </row>
    <row r="6158" spans="1:10" x14ac:dyDescent="0.35">
      <c r="A6158" s="5">
        <v>6154</v>
      </c>
      <c r="B6158" s="5">
        <v>257</v>
      </c>
      <c r="C6158" s="5">
        <v>9</v>
      </c>
      <c r="D6158" s="379">
        <v>124.95166666666667</v>
      </c>
      <c r="E6158" s="25">
        <v>25.29</v>
      </c>
      <c r="F6158" s="379">
        <v>5.5281523024371095</v>
      </c>
      <c r="G6158" s="25">
        <v>44.93</v>
      </c>
      <c r="H6158" s="379">
        <v>4.1992616522693247</v>
      </c>
      <c r="I6158" s="25">
        <v>44.68</v>
      </c>
      <c r="J6158" s="379">
        <v>1.9806895055409619</v>
      </c>
    </row>
    <row r="6159" spans="1:10" x14ac:dyDescent="0.35">
      <c r="A6159" s="5">
        <v>6155</v>
      </c>
      <c r="B6159" s="5">
        <v>257</v>
      </c>
      <c r="C6159" s="5">
        <v>9</v>
      </c>
      <c r="D6159" s="379">
        <v>122.68166666666666</v>
      </c>
      <c r="E6159" s="25">
        <v>25.29</v>
      </c>
      <c r="F6159" s="379">
        <v>0.65808670058311347</v>
      </c>
      <c r="G6159" s="25">
        <v>44.69</v>
      </c>
      <c r="H6159" s="379">
        <v>2.777777777777778E-2</v>
      </c>
      <c r="I6159" s="25">
        <v>37.979999999999997</v>
      </c>
      <c r="J6159" s="379">
        <v>2.777777777777778E-2</v>
      </c>
    </row>
    <row r="6160" spans="1:10" x14ac:dyDescent="0.35">
      <c r="A6160" s="5">
        <v>6156</v>
      </c>
      <c r="B6160" s="5">
        <v>257</v>
      </c>
      <c r="C6160" s="5">
        <v>9</v>
      </c>
      <c r="D6160" s="379">
        <v>118.03222222222222</v>
      </c>
      <c r="E6160" s="25">
        <v>24.84</v>
      </c>
      <c r="F6160" s="379">
        <v>0.47222222222222221</v>
      </c>
      <c r="G6160" s="25">
        <v>43.62</v>
      </c>
      <c r="H6160" s="379">
        <v>2.777777777777778E-2</v>
      </c>
      <c r="I6160" s="25">
        <v>35.72</v>
      </c>
      <c r="J6160" s="379">
        <v>2.777777777777778E-2</v>
      </c>
    </row>
    <row r="6161" spans="1:10" x14ac:dyDescent="0.35">
      <c r="A6161" s="5">
        <v>6157</v>
      </c>
      <c r="B6161" s="5">
        <v>257</v>
      </c>
      <c r="C6161" s="5">
        <v>9</v>
      </c>
      <c r="D6161" s="379">
        <v>113.67944444444444</v>
      </c>
      <c r="E6161" s="25">
        <v>24.84</v>
      </c>
      <c r="F6161" s="379">
        <v>0.47222222222222221</v>
      </c>
      <c r="G6161" s="25">
        <v>43.62</v>
      </c>
      <c r="H6161" s="379">
        <v>2.777777777777778E-2</v>
      </c>
      <c r="I6161" s="25">
        <v>34.89</v>
      </c>
      <c r="J6161" s="379">
        <v>2.777777777777778E-2</v>
      </c>
    </row>
    <row r="6162" spans="1:10" x14ac:dyDescent="0.35">
      <c r="A6162" s="5">
        <v>6158</v>
      </c>
      <c r="B6162" s="5">
        <v>257</v>
      </c>
      <c r="C6162" s="5">
        <v>9</v>
      </c>
      <c r="D6162" s="379">
        <v>103.76222222222223</v>
      </c>
      <c r="E6162" s="25">
        <v>24.84</v>
      </c>
      <c r="F6162" s="379">
        <v>6.0936302872386285</v>
      </c>
      <c r="G6162" s="25">
        <v>43.44</v>
      </c>
      <c r="H6162" s="379">
        <v>2.777777777777778E-2</v>
      </c>
      <c r="I6162" s="25">
        <v>34.89</v>
      </c>
      <c r="J6162" s="379">
        <v>2.777777777777778E-2</v>
      </c>
    </row>
    <row r="6163" spans="1:10" x14ac:dyDescent="0.35">
      <c r="A6163" s="5">
        <v>6159</v>
      </c>
      <c r="B6163" s="5">
        <v>257</v>
      </c>
      <c r="C6163" s="5">
        <v>9</v>
      </c>
      <c r="D6163" s="379">
        <v>107.31611111111111</v>
      </c>
      <c r="E6163" s="25">
        <v>24.84</v>
      </c>
      <c r="F6163" s="379">
        <v>2.9329780627263262</v>
      </c>
      <c r="G6163" s="25">
        <v>42.35</v>
      </c>
      <c r="H6163" s="379">
        <v>6.0870436498465588E-2</v>
      </c>
      <c r="I6163" s="25">
        <v>34.25</v>
      </c>
      <c r="J6163" s="379">
        <v>2.777777777777778E-2</v>
      </c>
    </row>
    <row r="6164" spans="1:10" x14ac:dyDescent="0.35">
      <c r="A6164" s="5">
        <v>6160</v>
      </c>
      <c r="B6164" s="5">
        <v>257</v>
      </c>
      <c r="C6164" s="5">
        <v>9</v>
      </c>
      <c r="D6164" s="379">
        <v>115.85499999999999</v>
      </c>
      <c r="E6164" s="25">
        <v>24.84</v>
      </c>
      <c r="F6164" s="379">
        <v>3.6292469144994857</v>
      </c>
      <c r="G6164" s="25">
        <v>42.35</v>
      </c>
      <c r="H6164" s="379">
        <v>6.0870436498465595E-2</v>
      </c>
      <c r="I6164" s="25">
        <v>34.25</v>
      </c>
      <c r="J6164" s="379">
        <v>2.777777777777778E-2</v>
      </c>
    </row>
    <row r="6165" spans="1:10" x14ac:dyDescent="0.35">
      <c r="A6165" s="5">
        <v>6161</v>
      </c>
      <c r="B6165" s="5">
        <v>257</v>
      </c>
      <c r="C6165" s="5">
        <v>9</v>
      </c>
      <c r="D6165" s="379">
        <v>123.125</v>
      </c>
      <c r="E6165" s="25">
        <v>24.84</v>
      </c>
      <c r="F6165" s="379">
        <v>4.5420704970563488</v>
      </c>
      <c r="G6165" s="25">
        <v>43.39</v>
      </c>
      <c r="H6165" s="379">
        <v>6.076158456560278E-2</v>
      </c>
      <c r="I6165" s="25">
        <v>33.74</v>
      </c>
      <c r="J6165" s="379">
        <v>2.777777777777778E-2</v>
      </c>
    </row>
    <row r="6166" spans="1:10" x14ac:dyDescent="0.35">
      <c r="A6166" s="5">
        <v>6162</v>
      </c>
      <c r="B6166" s="5">
        <v>257</v>
      </c>
      <c r="C6166" s="5">
        <v>9</v>
      </c>
      <c r="D6166" s="379">
        <v>127.64</v>
      </c>
      <c r="E6166" s="25">
        <v>24.84</v>
      </c>
      <c r="F6166" s="379">
        <v>3.4055896217011066</v>
      </c>
      <c r="G6166" s="25">
        <v>43.39</v>
      </c>
      <c r="H6166" s="379">
        <v>7.802259880495574E-2</v>
      </c>
      <c r="I6166" s="25">
        <v>34.89</v>
      </c>
      <c r="J6166" s="379">
        <v>2.777777777777778E-2</v>
      </c>
    </row>
    <row r="6167" spans="1:10" x14ac:dyDescent="0.35">
      <c r="A6167" s="5">
        <v>6163</v>
      </c>
      <c r="B6167" s="5">
        <v>257</v>
      </c>
      <c r="C6167" s="5">
        <v>9</v>
      </c>
      <c r="D6167" s="379">
        <v>135.01111111111112</v>
      </c>
      <c r="E6167" s="25">
        <v>24.84</v>
      </c>
      <c r="F6167" s="379">
        <v>3.5659414545461585</v>
      </c>
      <c r="G6167" s="25">
        <v>43.39</v>
      </c>
      <c r="H6167" s="379">
        <v>0.14480167642852412</v>
      </c>
      <c r="I6167" s="25">
        <v>40.29</v>
      </c>
      <c r="J6167" s="379">
        <v>0.97959256504687542</v>
      </c>
    </row>
    <row r="6168" spans="1:10" x14ac:dyDescent="0.35">
      <c r="A6168" s="5">
        <v>6164</v>
      </c>
      <c r="B6168" s="5">
        <v>257</v>
      </c>
      <c r="C6168" s="5">
        <v>9</v>
      </c>
      <c r="D6168" s="379">
        <v>127.72944444444445</v>
      </c>
      <c r="E6168" s="25">
        <v>24.84</v>
      </c>
      <c r="F6168" s="379">
        <v>4.8410280749636696</v>
      </c>
      <c r="G6168" s="25">
        <v>43.56</v>
      </c>
      <c r="H6168" s="379">
        <v>0.14480167642852412</v>
      </c>
      <c r="I6168" s="25">
        <v>43.04</v>
      </c>
      <c r="J6168" s="379">
        <v>7.709613843752916E-2</v>
      </c>
    </row>
    <row r="6169" spans="1:10" x14ac:dyDescent="0.35">
      <c r="A6169" s="5">
        <v>6165</v>
      </c>
      <c r="B6169" s="5">
        <v>257</v>
      </c>
      <c r="C6169" s="5">
        <v>9</v>
      </c>
      <c r="D6169" s="379">
        <v>118.85333333333332</v>
      </c>
      <c r="E6169" s="25">
        <v>24.84</v>
      </c>
      <c r="F6169" s="379">
        <v>4.5568050491239269</v>
      </c>
      <c r="G6169" s="25">
        <v>42.35</v>
      </c>
      <c r="H6169" s="379">
        <v>0.14480167642852412</v>
      </c>
      <c r="I6169" s="25">
        <v>39.700000000000003</v>
      </c>
      <c r="J6169" s="379">
        <v>4.6883716388875216E-2</v>
      </c>
    </row>
    <row r="6170" spans="1:10" x14ac:dyDescent="0.35">
      <c r="A6170" s="5">
        <v>6166</v>
      </c>
      <c r="B6170" s="5">
        <v>257</v>
      </c>
      <c r="C6170" s="5">
        <v>9</v>
      </c>
      <c r="D6170" s="379">
        <v>108.24666666666666</v>
      </c>
      <c r="E6170" s="25">
        <v>24.12</v>
      </c>
      <c r="F6170" s="379">
        <v>0.27546296296296297</v>
      </c>
      <c r="G6170" s="25">
        <v>39.770000000000003</v>
      </c>
      <c r="H6170" s="379">
        <v>1.875552840195911</v>
      </c>
      <c r="I6170" s="25">
        <v>34.89</v>
      </c>
      <c r="J6170" s="379">
        <v>1.3605549470073204</v>
      </c>
    </row>
    <row r="6171" spans="1:10" x14ac:dyDescent="0.35">
      <c r="A6171" s="5">
        <v>6167</v>
      </c>
      <c r="B6171" s="5">
        <v>257</v>
      </c>
      <c r="C6171" s="5">
        <v>9</v>
      </c>
      <c r="D6171" s="379">
        <v>98.41</v>
      </c>
      <c r="E6171" s="25">
        <v>23.59</v>
      </c>
      <c r="F6171" s="379">
        <v>0.27546296296296297</v>
      </c>
      <c r="G6171" s="25">
        <v>36</v>
      </c>
      <c r="H6171" s="379">
        <v>1.875552840195911</v>
      </c>
      <c r="I6171" s="25">
        <v>33.67</v>
      </c>
      <c r="J6171" s="379">
        <v>1.3605549470073204</v>
      </c>
    </row>
    <row r="6172" spans="1:10" x14ac:dyDescent="0.35">
      <c r="A6172" s="5">
        <v>6168</v>
      </c>
      <c r="B6172" s="5">
        <v>257</v>
      </c>
      <c r="C6172" s="5">
        <v>9</v>
      </c>
      <c r="D6172" s="379">
        <v>103.12111111111111</v>
      </c>
      <c r="E6172" s="25">
        <v>23.41</v>
      </c>
      <c r="F6172" s="379">
        <v>2.0815147248995691</v>
      </c>
      <c r="G6172" s="25">
        <v>32.79</v>
      </c>
      <c r="H6172" s="379">
        <v>1.875552840195911</v>
      </c>
      <c r="I6172" s="25">
        <v>33.67</v>
      </c>
      <c r="J6172" s="379">
        <v>1.3605549470073204</v>
      </c>
    </row>
    <row r="6173" spans="1:10" x14ac:dyDescent="0.35">
      <c r="A6173" s="5">
        <v>6169</v>
      </c>
      <c r="B6173" s="5">
        <v>258</v>
      </c>
      <c r="C6173" s="5">
        <v>9</v>
      </c>
      <c r="D6173" s="379">
        <v>94.11888888888889</v>
      </c>
      <c r="E6173" s="25">
        <v>23.21</v>
      </c>
      <c r="F6173" s="379">
        <v>2.0815147248995691</v>
      </c>
      <c r="G6173" s="25">
        <v>30.91</v>
      </c>
      <c r="H6173" s="379">
        <v>1.875552840195911</v>
      </c>
      <c r="I6173" s="25">
        <v>33.409999999999997</v>
      </c>
      <c r="J6173" s="379">
        <v>1.3605549470073204</v>
      </c>
    </row>
    <row r="6174" spans="1:10" x14ac:dyDescent="0.35">
      <c r="A6174" s="5">
        <v>6170</v>
      </c>
      <c r="B6174" s="5">
        <v>258</v>
      </c>
      <c r="C6174" s="5">
        <v>9</v>
      </c>
      <c r="D6174" s="379">
        <v>89.822222222222223</v>
      </c>
      <c r="E6174" s="25">
        <v>22.53</v>
      </c>
      <c r="F6174" s="379">
        <v>2.0815147248995691</v>
      </c>
      <c r="G6174" s="25">
        <v>30.03</v>
      </c>
      <c r="H6174" s="379">
        <v>1.875552840195911</v>
      </c>
      <c r="I6174" s="25">
        <v>33.409999999999997</v>
      </c>
      <c r="J6174" s="379">
        <v>1.3605549470073204</v>
      </c>
    </row>
    <row r="6175" spans="1:10" x14ac:dyDescent="0.35">
      <c r="A6175" s="5">
        <v>6171</v>
      </c>
      <c r="B6175" s="5">
        <v>258</v>
      </c>
      <c r="C6175" s="5">
        <v>9</v>
      </c>
      <c r="D6175" s="379">
        <v>87.191111111111113</v>
      </c>
      <c r="E6175" s="25">
        <v>18.16</v>
      </c>
      <c r="F6175" s="379">
        <v>2.0815147248995691</v>
      </c>
      <c r="G6175" s="25">
        <v>30.03</v>
      </c>
      <c r="H6175" s="379">
        <v>1.875552840195911</v>
      </c>
      <c r="I6175" s="25">
        <v>33.409999999999997</v>
      </c>
      <c r="J6175" s="379">
        <v>1.3605549470073204</v>
      </c>
    </row>
    <row r="6176" spans="1:10" x14ac:dyDescent="0.35">
      <c r="A6176" s="5">
        <v>6172</v>
      </c>
      <c r="B6176" s="5">
        <v>258</v>
      </c>
      <c r="C6176" s="5">
        <v>9</v>
      </c>
      <c r="D6176" s="379">
        <v>82.50555555555556</v>
      </c>
      <c r="E6176" s="25">
        <v>22.53</v>
      </c>
      <c r="F6176" s="379">
        <v>2.0815147248995691</v>
      </c>
      <c r="G6176" s="25">
        <v>30.03</v>
      </c>
      <c r="H6176" s="379">
        <v>1.875552840195911</v>
      </c>
      <c r="I6176" s="25">
        <v>33.409999999999997</v>
      </c>
      <c r="J6176" s="379">
        <v>1.3605549470073204</v>
      </c>
    </row>
    <row r="6177" spans="1:10" x14ac:dyDescent="0.35">
      <c r="A6177" s="5">
        <v>6173</v>
      </c>
      <c r="B6177" s="5">
        <v>258</v>
      </c>
      <c r="C6177" s="5">
        <v>9</v>
      </c>
      <c r="D6177" s="379">
        <v>93.166666666666657</v>
      </c>
      <c r="E6177" s="25">
        <v>23.41</v>
      </c>
      <c r="F6177" s="379">
        <v>4.24638277044612E-2</v>
      </c>
      <c r="G6177" s="25">
        <v>31.84</v>
      </c>
      <c r="H6177" s="379">
        <v>1.3071578403672566</v>
      </c>
      <c r="I6177" s="25">
        <v>33.409999999999997</v>
      </c>
      <c r="J6177" s="379">
        <v>2.777777777777778E-2</v>
      </c>
    </row>
    <row r="6178" spans="1:10" x14ac:dyDescent="0.35">
      <c r="A6178" s="5">
        <v>6174</v>
      </c>
      <c r="B6178" s="5">
        <v>258</v>
      </c>
      <c r="C6178" s="5">
        <v>9</v>
      </c>
      <c r="D6178" s="379">
        <v>113.11055555555555</v>
      </c>
      <c r="E6178" s="25">
        <v>23.59</v>
      </c>
      <c r="F6178" s="379">
        <v>2.9389722079518638E-2</v>
      </c>
      <c r="G6178" s="25">
        <v>35.85</v>
      </c>
      <c r="H6178" s="379">
        <v>1.3381945283654708</v>
      </c>
      <c r="I6178" s="25">
        <v>33.67</v>
      </c>
      <c r="J6178" s="379">
        <v>2.777777777777778E-2</v>
      </c>
    </row>
    <row r="6179" spans="1:10" x14ac:dyDescent="0.35">
      <c r="A6179" s="5">
        <v>6175</v>
      </c>
      <c r="B6179" s="5">
        <v>258</v>
      </c>
      <c r="C6179" s="5">
        <v>9</v>
      </c>
      <c r="D6179" s="379">
        <v>119.63111111111108</v>
      </c>
      <c r="E6179" s="25">
        <v>24.56</v>
      </c>
      <c r="F6179" s="379">
        <v>2.777777777777778E-2</v>
      </c>
      <c r="G6179" s="25">
        <v>42.35</v>
      </c>
      <c r="H6179" s="379">
        <v>1.3504104249357156</v>
      </c>
      <c r="I6179" s="25">
        <v>33.67</v>
      </c>
      <c r="J6179" s="379">
        <v>2.777777777777778E-2</v>
      </c>
    </row>
    <row r="6180" spans="1:10" x14ac:dyDescent="0.35">
      <c r="A6180" s="5">
        <v>6176</v>
      </c>
      <c r="B6180" s="5">
        <v>258</v>
      </c>
      <c r="C6180" s="5">
        <v>9</v>
      </c>
      <c r="D6180" s="379">
        <v>120.09555555555556</v>
      </c>
      <c r="E6180" s="25">
        <v>24.84</v>
      </c>
      <c r="F6180" s="379">
        <v>2.8003964335678027</v>
      </c>
      <c r="G6180" s="25">
        <v>42.35</v>
      </c>
      <c r="H6180" s="379">
        <v>1.4694270763026878</v>
      </c>
      <c r="I6180" s="25">
        <v>33.67</v>
      </c>
      <c r="J6180" s="379">
        <v>2.777777777777778E-2</v>
      </c>
    </row>
    <row r="6181" spans="1:10" x14ac:dyDescent="0.35">
      <c r="A6181" s="5">
        <v>6177</v>
      </c>
      <c r="B6181" s="5">
        <v>258</v>
      </c>
      <c r="C6181" s="5">
        <v>9</v>
      </c>
      <c r="D6181" s="379">
        <v>117.19944444444444</v>
      </c>
      <c r="E6181" s="25">
        <v>24.84</v>
      </c>
      <c r="F6181" s="379">
        <v>2.8003964335678027</v>
      </c>
      <c r="G6181" s="25">
        <v>42.35</v>
      </c>
      <c r="H6181" s="379">
        <v>1.3264521032071313</v>
      </c>
      <c r="I6181" s="25">
        <v>33.67</v>
      </c>
      <c r="J6181" s="379">
        <v>2.777777777777778E-2</v>
      </c>
    </row>
    <row r="6182" spans="1:10" x14ac:dyDescent="0.35">
      <c r="A6182" s="5">
        <v>6178</v>
      </c>
      <c r="B6182" s="5">
        <v>258</v>
      </c>
      <c r="C6182" s="5">
        <v>9</v>
      </c>
      <c r="D6182" s="379">
        <v>109.04277777777777</v>
      </c>
      <c r="E6182" s="25">
        <v>24.26</v>
      </c>
      <c r="F6182" s="379">
        <v>2.8003964335678027</v>
      </c>
      <c r="G6182" s="25">
        <v>39.770000000000003</v>
      </c>
      <c r="H6182" s="379">
        <v>0.16824233019147578</v>
      </c>
      <c r="I6182" s="25">
        <v>33.67</v>
      </c>
      <c r="J6182" s="379">
        <v>2.777777777777778E-2</v>
      </c>
    </row>
    <row r="6183" spans="1:10" x14ac:dyDescent="0.35">
      <c r="A6183" s="5">
        <v>6179</v>
      </c>
      <c r="B6183" s="5">
        <v>258</v>
      </c>
      <c r="C6183" s="5">
        <v>9</v>
      </c>
      <c r="D6183" s="379">
        <v>103.31</v>
      </c>
      <c r="E6183" s="25">
        <v>24.26</v>
      </c>
      <c r="F6183" s="379">
        <v>2.8003964335678027</v>
      </c>
      <c r="G6183" s="25">
        <v>37.49</v>
      </c>
      <c r="H6183" s="379">
        <v>6.0870436498465595E-2</v>
      </c>
      <c r="I6183" s="25">
        <v>33.67</v>
      </c>
      <c r="J6183" s="379">
        <v>2.777777777777778E-2</v>
      </c>
    </row>
    <row r="6184" spans="1:10" x14ac:dyDescent="0.35">
      <c r="A6184" s="5">
        <v>6180</v>
      </c>
      <c r="B6184" s="5">
        <v>258</v>
      </c>
      <c r="C6184" s="5">
        <v>9</v>
      </c>
      <c r="D6184" s="379">
        <v>92.854444444444425</v>
      </c>
      <c r="E6184" s="25">
        <v>24.11</v>
      </c>
      <c r="F6184" s="379">
        <v>2.8003964335678027</v>
      </c>
      <c r="G6184" s="25">
        <v>36.549999999999997</v>
      </c>
      <c r="H6184" s="379">
        <v>6.0870436498465595E-2</v>
      </c>
      <c r="I6184" s="25">
        <v>33.409999999999997</v>
      </c>
      <c r="J6184" s="379">
        <v>2.777777777777778E-2</v>
      </c>
    </row>
    <row r="6185" spans="1:10" x14ac:dyDescent="0.35">
      <c r="A6185" s="5">
        <v>6181</v>
      </c>
      <c r="B6185" s="5">
        <v>258</v>
      </c>
      <c r="C6185" s="5">
        <v>9</v>
      </c>
      <c r="D6185" s="379">
        <v>84.672777777777782</v>
      </c>
      <c r="E6185" s="25">
        <v>24.11</v>
      </c>
      <c r="F6185" s="379">
        <v>2.8003964335678027</v>
      </c>
      <c r="G6185" s="25">
        <v>36.700000000000003</v>
      </c>
      <c r="H6185" s="379">
        <v>6.0870436498465595E-2</v>
      </c>
      <c r="I6185" s="25">
        <v>33.409999999999997</v>
      </c>
      <c r="J6185" s="379">
        <v>2.777777777777778E-2</v>
      </c>
    </row>
    <row r="6186" spans="1:10" x14ac:dyDescent="0.35">
      <c r="A6186" s="5">
        <v>6182</v>
      </c>
      <c r="B6186" s="5">
        <v>258</v>
      </c>
      <c r="C6186" s="5">
        <v>9</v>
      </c>
      <c r="D6186" s="379">
        <v>82.293333333333337</v>
      </c>
      <c r="E6186" s="25">
        <v>24.11</v>
      </c>
      <c r="F6186" s="379">
        <v>2.8003964335678027</v>
      </c>
      <c r="G6186" s="25">
        <v>36.92</v>
      </c>
      <c r="H6186" s="379">
        <v>6.0870436498465595E-2</v>
      </c>
      <c r="I6186" s="25">
        <v>33.409999999999997</v>
      </c>
      <c r="J6186" s="379">
        <v>2.777777777777778E-2</v>
      </c>
    </row>
    <row r="6187" spans="1:10" x14ac:dyDescent="0.35">
      <c r="A6187" s="5">
        <v>6183</v>
      </c>
      <c r="B6187" s="5">
        <v>258</v>
      </c>
      <c r="C6187" s="5">
        <v>9</v>
      </c>
      <c r="D6187" s="379">
        <v>78.472777777777779</v>
      </c>
      <c r="E6187" s="25">
        <v>24.11</v>
      </c>
      <c r="F6187" s="379">
        <v>2.1692722020777699</v>
      </c>
      <c r="G6187" s="25">
        <v>37.08</v>
      </c>
      <c r="H6187" s="379">
        <v>6.0870436498465595E-2</v>
      </c>
      <c r="I6187" s="25">
        <v>33.409999999999997</v>
      </c>
      <c r="J6187" s="379">
        <v>2.777777777777778E-2</v>
      </c>
    </row>
    <row r="6188" spans="1:10" x14ac:dyDescent="0.35">
      <c r="A6188" s="5">
        <v>6184</v>
      </c>
      <c r="B6188" s="5">
        <v>258</v>
      </c>
      <c r="C6188" s="5">
        <v>9</v>
      </c>
      <c r="D6188" s="379">
        <v>81.513888888888886</v>
      </c>
      <c r="E6188" s="25">
        <v>24.11</v>
      </c>
      <c r="F6188" s="379">
        <v>2.8003964335678027</v>
      </c>
      <c r="G6188" s="25">
        <v>38.19</v>
      </c>
      <c r="H6188" s="379">
        <v>0.55538536076082035</v>
      </c>
      <c r="I6188" s="25">
        <v>33.67</v>
      </c>
      <c r="J6188" s="379">
        <v>2.777777777777778E-2</v>
      </c>
    </row>
    <row r="6189" spans="1:10" x14ac:dyDescent="0.35">
      <c r="A6189" s="5">
        <v>6185</v>
      </c>
      <c r="B6189" s="5">
        <v>258</v>
      </c>
      <c r="C6189" s="5">
        <v>9</v>
      </c>
      <c r="D6189" s="379">
        <v>96.87</v>
      </c>
      <c r="E6189" s="25">
        <v>24.26</v>
      </c>
      <c r="F6189" s="379">
        <v>4.5015465313141316</v>
      </c>
      <c r="G6189" s="25">
        <v>42.35</v>
      </c>
      <c r="H6189" s="379">
        <v>0.76954464838657</v>
      </c>
      <c r="I6189" s="25">
        <v>33.67</v>
      </c>
      <c r="J6189" s="379">
        <v>2.777777777777778E-2</v>
      </c>
    </row>
    <row r="6190" spans="1:10" x14ac:dyDescent="0.35">
      <c r="A6190" s="5">
        <v>6186</v>
      </c>
      <c r="B6190" s="5">
        <v>258</v>
      </c>
      <c r="C6190" s="5">
        <v>9</v>
      </c>
      <c r="D6190" s="379">
        <v>110.41055555555556</v>
      </c>
      <c r="E6190" s="25">
        <v>24.84</v>
      </c>
      <c r="F6190" s="379">
        <v>1.72555147994777</v>
      </c>
      <c r="G6190" s="25">
        <v>43.39</v>
      </c>
      <c r="H6190" s="379">
        <v>3.5646780010728811</v>
      </c>
      <c r="I6190" s="25">
        <v>33.869999999999997</v>
      </c>
      <c r="J6190" s="379">
        <v>4.3277701971216151E-2</v>
      </c>
    </row>
    <row r="6191" spans="1:10" x14ac:dyDescent="0.35">
      <c r="A6191" s="5">
        <v>6187</v>
      </c>
      <c r="B6191" s="5">
        <v>258</v>
      </c>
      <c r="C6191" s="5">
        <v>9</v>
      </c>
      <c r="D6191" s="379">
        <v>112.8472222222222</v>
      </c>
      <c r="E6191" s="25">
        <v>24.84</v>
      </c>
      <c r="F6191" s="379">
        <v>8.1174834595959595</v>
      </c>
      <c r="G6191" s="25">
        <v>43.56</v>
      </c>
      <c r="H6191" s="379">
        <v>4.8259896931627795</v>
      </c>
      <c r="I6191" s="25">
        <v>40.799999999999997</v>
      </c>
      <c r="J6191" s="379">
        <v>4.7770742791864684</v>
      </c>
    </row>
    <row r="6192" spans="1:10" x14ac:dyDescent="0.35">
      <c r="A6192" s="5">
        <v>6188</v>
      </c>
      <c r="B6192" s="5">
        <v>258</v>
      </c>
      <c r="C6192" s="5">
        <v>9</v>
      </c>
      <c r="D6192" s="379">
        <v>108.96222222222222</v>
      </c>
      <c r="E6192" s="25">
        <v>24.84</v>
      </c>
      <c r="F6192" s="379">
        <v>8.1174834595959577</v>
      </c>
      <c r="G6192" s="25">
        <v>43.62</v>
      </c>
      <c r="H6192" s="379">
        <v>5.2114072344220332</v>
      </c>
      <c r="I6192" s="25">
        <v>42.32</v>
      </c>
      <c r="J6192" s="379">
        <v>4.3710493951716796</v>
      </c>
    </row>
    <row r="6193" spans="1:10" x14ac:dyDescent="0.35">
      <c r="A6193" s="5">
        <v>6189</v>
      </c>
      <c r="B6193" s="5">
        <v>258</v>
      </c>
      <c r="C6193" s="5">
        <v>9</v>
      </c>
      <c r="D6193" s="379">
        <v>100.81055555555555</v>
      </c>
      <c r="E6193" s="25">
        <v>24.84</v>
      </c>
      <c r="F6193" s="379">
        <v>8.1174834595959595</v>
      </c>
      <c r="G6193" s="25">
        <v>43.56</v>
      </c>
      <c r="H6193" s="379">
        <v>4.7996938046946571</v>
      </c>
      <c r="I6193" s="25">
        <v>42.27</v>
      </c>
      <c r="J6193" s="379">
        <v>4.791062298565504</v>
      </c>
    </row>
    <row r="6194" spans="1:10" x14ac:dyDescent="0.35">
      <c r="A6194" s="5">
        <v>6190</v>
      </c>
      <c r="B6194" s="5">
        <v>258</v>
      </c>
      <c r="C6194" s="5">
        <v>9</v>
      </c>
      <c r="D6194" s="379">
        <v>91.16500000000002</v>
      </c>
      <c r="E6194" s="25">
        <v>24.84</v>
      </c>
      <c r="F6194" s="379">
        <v>8.1174834595959577</v>
      </c>
      <c r="G6194" s="25">
        <v>43.62</v>
      </c>
      <c r="H6194" s="379">
        <v>5.3904861361653085</v>
      </c>
      <c r="I6194" s="25">
        <v>39.08</v>
      </c>
      <c r="J6194" s="379">
        <v>5.759820688247804</v>
      </c>
    </row>
    <row r="6195" spans="1:10" x14ac:dyDescent="0.35">
      <c r="A6195" s="5">
        <v>6191</v>
      </c>
      <c r="B6195" s="5">
        <v>258</v>
      </c>
      <c r="C6195" s="5">
        <v>9</v>
      </c>
      <c r="D6195" s="379">
        <v>83.718888888888898</v>
      </c>
      <c r="E6195" s="25">
        <v>24.84</v>
      </c>
      <c r="F6195" s="379">
        <v>8.1174834595959595</v>
      </c>
      <c r="G6195" s="25">
        <v>39.33</v>
      </c>
      <c r="H6195" s="379">
        <v>5.5956217059704771</v>
      </c>
      <c r="I6195" s="25">
        <v>35.799999999999997</v>
      </c>
      <c r="J6195" s="379">
        <v>5.7574204290703728</v>
      </c>
    </row>
    <row r="6196" spans="1:10" x14ac:dyDescent="0.35">
      <c r="A6196" s="5">
        <v>6192</v>
      </c>
      <c r="B6196" s="5">
        <v>258</v>
      </c>
      <c r="C6196" s="5">
        <v>9</v>
      </c>
      <c r="D6196" s="379">
        <v>71.956666666666663</v>
      </c>
      <c r="E6196" s="25">
        <v>24.84</v>
      </c>
      <c r="F6196" s="379">
        <v>8.1174834595959595</v>
      </c>
      <c r="G6196" s="25">
        <v>37.08</v>
      </c>
      <c r="H6196" s="379">
        <v>6.0726225843630726</v>
      </c>
      <c r="I6196" s="25">
        <v>34.68</v>
      </c>
      <c r="J6196" s="379">
        <v>6.0415272671466971</v>
      </c>
    </row>
    <row r="6197" spans="1:10" x14ac:dyDescent="0.35">
      <c r="A6197" s="5">
        <v>6193</v>
      </c>
      <c r="B6197" s="5">
        <v>259</v>
      </c>
      <c r="C6197" s="5">
        <v>9</v>
      </c>
      <c r="D6197" s="379">
        <v>66.396666666666675</v>
      </c>
      <c r="E6197" s="25">
        <v>24.84</v>
      </c>
      <c r="F6197" s="379">
        <v>8.1174834595959577</v>
      </c>
      <c r="G6197" s="25">
        <v>37.08</v>
      </c>
      <c r="H6197" s="379">
        <v>5.5431928763238689</v>
      </c>
      <c r="I6197" s="25">
        <v>34.68</v>
      </c>
      <c r="J6197" s="379">
        <v>6.3253174309255726</v>
      </c>
    </row>
    <row r="6198" spans="1:10" x14ac:dyDescent="0.35">
      <c r="A6198" s="5">
        <v>6194</v>
      </c>
      <c r="B6198" s="5">
        <v>259</v>
      </c>
      <c r="C6198" s="5">
        <v>9</v>
      </c>
      <c r="D6198" s="379">
        <v>65.811111111111103</v>
      </c>
      <c r="E6198" s="25">
        <v>24.84</v>
      </c>
      <c r="F6198" s="379">
        <v>8.1174834595959577</v>
      </c>
      <c r="G6198" s="25">
        <v>37.08</v>
      </c>
      <c r="H6198" s="379">
        <v>5.5727513954952101</v>
      </c>
      <c r="I6198" s="25">
        <v>34.68</v>
      </c>
      <c r="J6198" s="379">
        <v>6.2139188468210902</v>
      </c>
    </row>
    <row r="6199" spans="1:10" x14ac:dyDescent="0.35">
      <c r="A6199" s="5">
        <v>6195</v>
      </c>
      <c r="B6199" s="5">
        <v>259</v>
      </c>
      <c r="C6199" s="5">
        <v>9</v>
      </c>
      <c r="D6199" s="379">
        <v>61.451666666666654</v>
      </c>
      <c r="E6199" s="25">
        <v>24.84</v>
      </c>
      <c r="F6199" s="379">
        <v>8.1174834595959595</v>
      </c>
      <c r="G6199" s="25">
        <v>37.08</v>
      </c>
      <c r="H6199" s="379">
        <v>5.9729119703674671</v>
      </c>
      <c r="I6199" s="25">
        <v>34.68</v>
      </c>
      <c r="J6199" s="379">
        <v>5.9297632192636742</v>
      </c>
    </row>
    <row r="6200" spans="1:10" x14ac:dyDescent="0.35">
      <c r="A6200" s="5">
        <v>6196</v>
      </c>
      <c r="B6200" s="5">
        <v>259</v>
      </c>
      <c r="C6200" s="5">
        <v>9</v>
      </c>
      <c r="D6200" s="379">
        <v>60.782777777777788</v>
      </c>
      <c r="E6200" s="25">
        <v>24.84</v>
      </c>
      <c r="F6200" s="379">
        <v>8.1174834595959595</v>
      </c>
      <c r="G6200" s="25">
        <v>37.08</v>
      </c>
      <c r="H6200" s="379">
        <v>5.7788611620522472</v>
      </c>
      <c r="I6200" s="25">
        <v>34.68</v>
      </c>
      <c r="J6200" s="379">
        <v>6.0656026174151627</v>
      </c>
    </row>
    <row r="6201" spans="1:10" x14ac:dyDescent="0.35">
      <c r="A6201" s="5">
        <v>6197</v>
      </c>
      <c r="B6201" s="5">
        <v>259</v>
      </c>
      <c r="C6201" s="5">
        <v>9</v>
      </c>
      <c r="D6201" s="379">
        <v>69.387222222222221</v>
      </c>
      <c r="E6201" s="25">
        <v>24.84</v>
      </c>
      <c r="F6201" s="379">
        <v>8.1174834595959577</v>
      </c>
      <c r="G6201" s="25">
        <v>37.450000000000003</v>
      </c>
      <c r="H6201" s="379">
        <v>5.5642271981462352</v>
      </c>
      <c r="I6201" s="25">
        <v>35.24</v>
      </c>
      <c r="J6201" s="379">
        <v>5.5618349395051565</v>
      </c>
    </row>
    <row r="6202" spans="1:10" x14ac:dyDescent="0.35">
      <c r="A6202" s="5">
        <v>6198</v>
      </c>
      <c r="B6202" s="5">
        <v>259</v>
      </c>
      <c r="C6202" s="5">
        <v>9</v>
      </c>
      <c r="D6202" s="379">
        <v>96.697222222222223</v>
      </c>
      <c r="E6202" s="25">
        <v>24.84</v>
      </c>
      <c r="F6202" s="379">
        <v>8.1174834595959577</v>
      </c>
      <c r="G6202" s="25">
        <v>43.62</v>
      </c>
      <c r="H6202" s="379">
        <v>5.5850941127761544</v>
      </c>
      <c r="I6202" s="25">
        <v>42.32</v>
      </c>
      <c r="J6202" s="379">
        <v>4.7932974190396491</v>
      </c>
    </row>
    <row r="6203" spans="1:10" x14ac:dyDescent="0.35">
      <c r="A6203" s="5">
        <v>6199</v>
      </c>
      <c r="B6203" s="5">
        <v>259</v>
      </c>
      <c r="C6203" s="5">
        <v>9</v>
      </c>
      <c r="D6203" s="379">
        <v>111.145</v>
      </c>
      <c r="E6203" s="25">
        <v>25.74</v>
      </c>
      <c r="F6203" s="379">
        <v>8.1174834595959613</v>
      </c>
      <c r="G6203" s="25">
        <v>44.69</v>
      </c>
      <c r="H6203" s="379">
        <v>4.799693804694658</v>
      </c>
      <c r="I6203" s="25">
        <v>48.86</v>
      </c>
      <c r="J6203" s="379">
        <v>4.7684291263528147</v>
      </c>
    </row>
    <row r="6204" spans="1:10" x14ac:dyDescent="0.35">
      <c r="A6204" s="5">
        <v>6200</v>
      </c>
      <c r="B6204" s="5">
        <v>259</v>
      </c>
      <c r="C6204" s="5">
        <v>9</v>
      </c>
      <c r="D6204" s="379">
        <v>113.10111111111111</v>
      </c>
      <c r="E6204" s="25">
        <v>25.74</v>
      </c>
      <c r="F6204" s="379">
        <v>8.1174834595959577</v>
      </c>
      <c r="G6204" s="25">
        <v>44.69</v>
      </c>
      <c r="H6204" s="379">
        <v>5.7218301273333196</v>
      </c>
      <c r="I6204" s="25">
        <v>50.21</v>
      </c>
      <c r="J6204" s="379">
        <v>5.9685363997082579</v>
      </c>
    </row>
    <row r="6205" spans="1:10" x14ac:dyDescent="0.35">
      <c r="A6205" s="5">
        <v>6201</v>
      </c>
      <c r="B6205" s="5">
        <v>259</v>
      </c>
      <c r="C6205" s="5">
        <v>9</v>
      </c>
      <c r="D6205" s="379">
        <v>97.759444444444426</v>
      </c>
      <c r="E6205" s="25">
        <v>25.74</v>
      </c>
      <c r="F6205" s="379">
        <v>8.1174834595959613</v>
      </c>
      <c r="G6205" s="25">
        <v>44.69</v>
      </c>
      <c r="H6205" s="379">
        <v>5.0409328492437506</v>
      </c>
      <c r="I6205" s="25">
        <v>50.19</v>
      </c>
      <c r="J6205" s="379">
        <v>3.8914125773147612</v>
      </c>
    </row>
    <row r="6206" spans="1:10" x14ac:dyDescent="0.35">
      <c r="A6206" s="5">
        <v>6202</v>
      </c>
      <c r="B6206" s="5">
        <v>259</v>
      </c>
      <c r="C6206" s="5">
        <v>9</v>
      </c>
      <c r="D6206" s="379">
        <v>73.906111111111116</v>
      </c>
      <c r="E6206" s="25">
        <v>25.74</v>
      </c>
      <c r="F6206" s="379">
        <v>8.1174834595959595</v>
      </c>
      <c r="G6206" s="25">
        <v>44.69</v>
      </c>
      <c r="H6206" s="379">
        <v>1.4185370054168163</v>
      </c>
      <c r="I6206" s="25">
        <v>46.69</v>
      </c>
      <c r="J6206" s="379">
        <v>2.0433786186746006</v>
      </c>
    </row>
    <row r="6207" spans="1:10" x14ac:dyDescent="0.35">
      <c r="A6207" s="5">
        <v>6203</v>
      </c>
      <c r="B6207" s="5">
        <v>259</v>
      </c>
      <c r="C6207" s="5">
        <v>9</v>
      </c>
      <c r="D6207" s="379">
        <v>66.167777777777772</v>
      </c>
      <c r="E6207" s="25">
        <v>25.59</v>
      </c>
      <c r="F6207" s="379">
        <v>1.5855976401308269</v>
      </c>
      <c r="G6207" s="25">
        <v>43.62</v>
      </c>
      <c r="H6207" s="379">
        <v>1.6377545491535916</v>
      </c>
      <c r="I6207" s="25">
        <v>46.06</v>
      </c>
      <c r="J6207" s="379">
        <v>6.2549145757380797E-2</v>
      </c>
    </row>
    <row r="6208" spans="1:10" x14ac:dyDescent="0.35">
      <c r="A6208" s="5">
        <v>6204</v>
      </c>
      <c r="B6208" s="5">
        <v>259</v>
      </c>
      <c r="C6208" s="5">
        <v>9</v>
      </c>
      <c r="D6208" s="379">
        <v>60.857222222222227</v>
      </c>
      <c r="E6208" s="25">
        <v>25.29</v>
      </c>
      <c r="F6208" s="379">
        <v>2.5539930191059903</v>
      </c>
      <c r="G6208" s="25">
        <v>43.62</v>
      </c>
      <c r="H6208" s="379">
        <v>1.345416473967314</v>
      </c>
      <c r="I6208" s="25">
        <v>46.06</v>
      </c>
      <c r="J6208" s="379">
        <v>0.15903474020182792</v>
      </c>
    </row>
    <row r="6209" spans="1:10" x14ac:dyDescent="0.35">
      <c r="A6209" s="5">
        <v>6205</v>
      </c>
      <c r="B6209" s="5">
        <v>259</v>
      </c>
      <c r="C6209" s="5">
        <v>9</v>
      </c>
      <c r="D6209" s="379">
        <v>57.24499999999999</v>
      </c>
      <c r="E6209" s="25">
        <v>24.84</v>
      </c>
      <c r="F6209" s="379">
        <v>2.9674497115928569</v>
      </c>
      <c r="G6209" s="25">
        <v>43.56</v>
      </c>
      <c r="H6209" s="379">
        <v>1.6780998027483442</v>
      </c>
      <c r="I6209" s="25">
        <v>38.69</v>
      </c>
      <c r="J6209" s="379">
        <v>0.10680944056107711</v>
      </c>
    </row>
    <row r="6210" spans="1:10" x14ac:dyDescent="0.35">
      <c r="A6210" s="5">
        <v>6206</v>
      </c>
      <c r="B6210" s="5">
        <v>259</v>
      </c>
      <c r="C6210" s="5">
        <v>9</v>
      </c>
      <c r="D6210" s="379">
        <v>57.070555555555558</v>
      </c>
      <c r="E6210" s="25">
        <v>24.84</v>
      </c>
      <c r="F6210" s="379">
        <v>4.8662205616705245</v>
      </c>
      <c r="G6210" s="25">
        <v>43.56</v>
      </c>
      <c r="H6210" s="379">
        <v>2.5150269813788424</v>
      </c>
      <c r="I6210" s="25">
        <v>34.89</v>
      </c>
      <c r="J6210" s="379">
        <v>0.29726609890353017</v>
      </c>
    </row>
    <row r="6211" spans="1:10" x14ac:dyDescent="0.35">
      <c r="A6211" s="5">
        <v>6207</v>
      </c>
      <c r="B6211" s="5">
        <v>259</v>
      </c>
      <c r="C6211" s="5">
        <v>9</v>
      </c>
      <c r="D6211" s="379">
        <v>61.811111111111103</v>
      </c>
      <c r="E6211" s="25">
        <v>24.84</v>
      </c>
      <c r="F6211" s="379">
        <v>3.0841909358157005</v>
      </c>
      <c r="G6211" s="25">
        <v>43.56</v>
      </c>
      <c r="H6211" s="379">
        <v>1.9802460243020981</v>
      </c>
      <c r="I6211" s="25">
        <v>34.89</v>
      </c>
      <c r="J6211" s="379">
        <v>0.37209823397944947</v>
      </c>
    </row>
    <row r="6212" spans="1:10" x14ac:dyDescent="0.35">
      <c r="A6212" s="5">
        <v>6208</v>
      </c>
      <c r="B6212" s="5">
        <v>259</v>
      </c>
      <c r="C6212" s="5">
        <v>9</v>
      </c>
      <c r="D6212" s="379">
        <v>65.186111111111103</v>
      </c>
      <c r="E6212" s="25">
        <v>24.84</v>
      </c>
      <c r="F6212" s="379">
        <v>3.3470225182706463</v>
      </c>
      <c r="G6212" s="25">
        <v>43.56</v>
      </c>
      <c r="H6212" s="379">
        <v>1.3192515416232191</v>
      </c>
      <c r="I6212" s="25">
        <v>34.89</v>
      </c>
      <c r="J6212" s="379">
        <v>0.28744601302287537</v>
      </c>
    </row>
    <row r="6213" spans="1:10" x14ac:dyDescent="0.35">
      <c r="A6213" s="5">
        <v>6209</v>
      </c>
      <c r="B6213" s="5">
        <v>259</v>
      </c>
      <c r="C6213" s="5">
        <v>9</v>
      </c>
      <c r="D6213" s="379">
        <v>70.717777777777769</v>
      </c>
      <c r="E6213" s="25">
        <v>24.84</v>
      </c>
      <c r="F6213" s="379">
        <v>5.2402088056219851</v>
      </c>
      <c r="G6213" s="25">
        <v>43.56</v>
      </c>
      <c r="H6213" s="379">
        <v>2.3867825957557156</v>
      </c>
      <c r="I6213" s="25">
        <v>34.89</v>
      </c>
      <c r="J6213" s="379">
        <v>0.73250934293375625</v>
      </c>
    </row>
    <row r="6214" spans="1:10" x14ac:dyDescent="0.35">
      <c r="A6214" s="5">
        <v>6210</v>
      </c>
      <c r="B6214" s="5">
        <v>259</v>
      </c>
      <c r="C6214" s="5">
        <v>9</v>
      </c>
      <c r="D6214" s="379">
        <v>94.830000000000013</v>
      </c>
      <c r="E6214" s="25">
        <v>24.84</v>
      </c>
      <c r="F6214" s="379">
        <v>8.1174834595959595</v>
      </c>
      <c r="G6214" s="25">
        <v>43.56</v>
      </c>
      <c r="H6214" s="379">
        <v>1.7599461810642429</v>
      </c>
      <c r="I6214" s="25">
        <v>34.54</v>
      </c>
      <c r="J6214" s="379">
        <v>1.6187779799521453</v>
      </c>
    </row>
    <row r="6215" spans="1:10" x14ac:dyDescent="0.35">
      <c r="A6215" s="5">
        <v>6211</v>
      </c>
      <c r="B6215" s="5">
        <v>259</v>
      </c>
      <c r="C6215" s="5">
        <v>9</v>
      </c>
      <c r="D6215" s="379">
        <v>103.43000000000002</v>
      </c>
      <c r="E6215" s="25">
        <v>24.84</v>
      </c>
      <c r="F6215" s="379">
        <v>8.1174834595959577</v>
      </c>
      <c r="G6215" s="25">
        <v>43.56</v>
      </c>
      <c r="H6215" s="379">
        <v>1.6975181940399913</v>
      </c>
      <c r="I6215" s="25">
        <v>34.89</v>
      </c>
      <c r="J6215" s="379">
        <v>0.15693372039917233</v>
      </c>
    </row>
    <row r="6216" spans="1:10" x14ac:dyDescent="0.35">
      <c r="A6216" s="5">
        <v>6212</v>
      </c>
      <c r="B6216" s="5">
        <v>259</v>
      </c>
      <c r="C6216" s="5">
        <v>9</v>
      </c>
      <c r="D6216" s="379">
        <v>98.000555555555565</v>
      </c>
      <c r="E6216" s="25">
        <v>24.84</v>
      </c>
      <c r="F6216" s="379">
        <v>4.9817953160455266</v>
      </c>
      <c r="G6216" s="25">
        <v>42.35</v>
      </c>
      <c r="H6216" s="379">
        <v>1.3231281574595428</v>
      </c>
      <c r="I6216" s="25">
        <v>34.89</v>
      </c>
      <c r="J6216" s="379">
        <v>0.11760603603084639</v>
      </c>
    </row>
    <row r="6217" spans="1:10" x14ac:dyDescent="0.35">
      <c r="A6217" s="5">
        <v>6213</v>
      </c>
      <c r="B6217" s="5">
        <v>259</v>
      </c>
      <c r="C6217" s="5">
        <v>9</v>
      </c>
      <c r="D6217" s="379">
        <v>77.943888888888878</v>
      </c>
      <c r="E6217" s="25">
        <v>24.12</v>
      </c>
      <c r="F6217" s="379">
        <v>4.3457041864090753</v>
      </c>
      <c r="G6217" s="25">
        <v>39.770000000000003</v>
      </c>
      <c r="H6217" s="379">
        <v>1.1474298857105909</v>
      </c>
      <c r="I6217" s="25">
        <v>34.01</v>
      </c>
      <c r="J6217" s="379">
        <v>0.11258447800515219</v>
      </c>
    </row>
    <row r="6218" spans="1:10" x14ac:dyDescent="0.35">
      <c r="A6218" s="5">
        <v>6214</v>
      </c>
      <c r="B6218" s="5">
        <v>259</v>
      </c>
      <c r="C6218" s="5">
        <v>9</v>
      </c>
      <c r="D6218" s="379">
        <v>71.784444444444446</v>
      </c>
      <c r="E6218" s="25">
        <v>23.84</v>
      </c>
      <c r="F6218" s="379">
        <v>3.5933190533074781</v>
      </c>
      <c r="G6218" s="25">
        <v>37.08</v>
      </c>
      <c r="H6218" s="379">
        <v>0.49355488044155243</v>
      </c>
      <c r="I6218" s="25">
        <v>33.67</v>
      </c>
      <c r="J6218" s="379">
        <v>0.1080406890591244</v>
      </c>
    </row>
    <row r="6219" spans="1:10" x14ac:dyDescent="0.35">
      <c r="A6219" s="5">
        <v>6215</v>
      </c>
      <c r="B6219" s="5">
        <v>259</v>
      </c>
      <c r="C6219" s="5">
        <v>9</v>
      </c>
      <c r="D6219" s="379">
        <v>68.577777777777769</v>
      </c>
      <c r="E6219" s="25">
        <v>23.84</v>
      </c>
      <c r="F6219" s="379">
        <v>2.6991289598545332</v>
      </c>
      <c r="G6219" s="25">
        <v>31.42</v>
      </c>
      <c r="H6219" s="379">
        <v>0.47222222222222215</v>
      </c>
      <c r="I6219" s="25">
        <v>33.67</v>
      </c>
      <c r="J6219" s="379">
        <v>0.11021833589942481</v>
      </c>
    </row>
    <row r="6220" spans="1:10" x14ac:dyDescent="0.35">
      <c r="A6220" s="5">
        <v>6216</v>
      </c>
      <c r="B6220" s="5">
        <v>259</v>
      </c>
      <c r="C6220" s="5">
        <v>9</v>
      </c>
      <c r="D6220" s="379">
        <v>69.135555555555555</v>
      </c>
      <c r="E6220" s="25">
        <v>23.59</v>
      </c>
      <c r="F6220" s="379">
        <v>1.4072194536265081</v>
      </c>
      <c r="G6220" s="25">
        <v>30.95</v>
      </c>
      <c r="H6220" s="379">
        <v>0.47222222222222215</v>
      </c>
      <c r="I6220" s="25">
        <v>33.67</v>
      </c>
      <c r="J6220" s="379">
        <v>2.777777777777778E-2</v>
      </c>
    </row>
    <row r="6221" spans="1:10" x14ac:dyDescent="0.35">
      <c r="A6221" s="5">
        <v>6217</v>
      </c>
      <c r="B6221" s="5">
        <v>260</v>
      </c>
      <c r="C6221" s="5">
        <v>9</v>
      </c>
      <c r="D6221" s="379">
        <v>67.368333333333325</v>
      </c>
      <c r="E6221" s="25">
        <v>23.31</v>
      </c>
      <c r="F6221" s="379">
        <v>1.6409606190974406</v>
      </c>
      <c r="G6221" s="25">
        <v>30.91</v>
      </c>
      <c r="H6221" s="379">
        <v>0.47222222222222215</v>
      </c>
      <c r="I6221" s="25">
        <v>33.67</v>
      </c>
      <c r="J6221" s="379">
        <v>2.777777777777778E-2</v>
      </c>
    </row>
    <row r="6222" spans="1:10" x14ac:dyDescent="0.35">
      <c r="A6222" s="5">
        <v>6218</v>
      </c>
      <c r="B6222" s="5">
        <v>260</v>
      </c>
      <c r="C6222" s="5">
        <v>9</v>
      </c>
      <c r="D6222" s="379">
        <v>58.967777777777783</v>
      </c>
      <c r="E6222" s="25">
        <v>23.31</v>
      </c>
      <c r="F6222" s="379">
        <v>1.6340892974694079</v>
      </c>
      <c r="G6222" s="25">
        <v>30.03</v>
      </c>
      <c r="H6222" s="379">
        <v>0.4722222222222221</v>
      </c>
      <c r="I6222" s="25">
        <v>33.67</v>
      </c>
      <c r="J6222" s="379">
        <v>2.777777777777778E-2</v>
      </c>
    </row>
    <row r="6223" spans="1:10" x14ac:dyDescent="0.35">
      <c r="A6223" s="5">
        <v>6219</v>
      </c>
      <c r="B6223" s="5">
        <v>260</v>
      </c>
      <c r="C6223" s="5">
        <v>9</v>
      </c>
      <c r="D6223" s="379">
        <v>58.209999999999994</v>
      </c>
      <c r="E6223" s="25">
        <v>23.31</v>
      </c>
      <c r="F6223" s="379">
        <v>1.755275502982909</v>
      </c>
      <c r="G6223" s="25">
        <v>30.03</v>
      </c>
      <c r="H6223" s="379">
        <v>0.47222222222222221</v>
      </c>
      <c r="I6223" s="25">
        <v>33.67</v>
      </c>
      <c r="J6223" s="379">
        <v>2.777777777777778E-2</v>
      </c>
    </row>
    <row r="6224" spans="1:10" x14ac:dyDescent="0.35">
      <c r="A6224" s="5">
        <v>6220</v>
      </c>
      <c r="B6224" s="5">
        <v>260</v>
      </c>
      <c r="C6224" s="5">
        <v>9</v>
      </c>
      <c r="D6224" s="379">
        <v>56.422222222222217</v>
      </c>
      <c r="E6224" s="25">
        <v>23.21</v>
      </c>
      <c r="F6224" s="379">
        <v>2.2346188554452642</v>
      </c>
      <c r="G6224" s="25">
        <v>30.2</v>
      </c>
      <c r="H6224" s="379">
        <v>0.47222222222222215</v>
      </c>
      <c r="I6224" s="25">
        <v>33.67</v>
      </c>
      <c r="J6224" s="379">
        <v>6.4037744086501036E-2</v>
      </c>
    </row>
    <row r="6225" spans="1:10" x14ac:dyDescent="0.35">
      <c r="A6225" s="5">
        <v>6221</v>
      </c>
      <c r="B6225" s="5">
        <v>260</v>
      </c>
      <c r="C6225" s="5">
        <v>9</v>
      </c>
      <c r="D6225" s="379">
        <v>58.18666666666666</v>
      </c>
      <c r="E6225" s="25">
        <v>23.31</v>
      </c>
      <c r="F6225" s="379">
        <v>2.1259839760330843</v>
      </c>
      <c r="G6225" s="25">
        <v>31.11</v>
      </c>
      <c r="H6225" s="379">
        <v>0.65808670058311347</v>
      </c>
      <c r="I6225" s="25">
        <v>33.67</v>
      </c>
      <c r="J6225" s="379">
        <v>0.14480167642852412</v>
      </c>
    </row>
    <row r="6226" spans="1:10" x14ac:dyDescent="0.35">
      <c r="A6226" s="5">
        <v>6222</v>
      </c>
      <c r="B6226" s="5">
        <v>260</v>
      </c>
      <c r="C6226" s="5">
        <v>9</v>
      </c>
      <c r="D6226" s="379">
        <v>54.913333333333334</v>
      </c>
      <c r="E6226" s="25">
        <v>23.84</v>
      </c>
      <c r="F6226" s="379">
        <v>8.1174834595959595</v>
      </c>
      <c r="G6226" s="25">
        <v>31.42</v>
      </c>
      <c r="H6226" s="379">
        <v>0.65808670058311347</v>
      </c>
      <c r="I6226" s="25">
        <v>33.67</v>
      </c>
      <c r="J6226" s="379">
        <v>0.21359853531365477</v>
      </c>
    </row>
    <row r="6227" spans="1:10" x14ac:dyDescent="0.35">
      <c r="A6227" s="5">
        <v>6223</v>
      </c>
      <c r="B6227" s="5">
        <v>260</v>
      </c>
      <c r="C6227" s="5">
        <v>9</v>
      </c>
      <c r="D6227" s="379">
        <v>64.804444444444442</v>
      </c>
      <c r="E6227" s="25">
        <v>24.84</v>
      </c>
      <c r="F6227" s="379">
        <v>8.1174834595959577</v>
      </c>
      <c r="G6227" s="25">
        <v>42.35</v>
      </c>
      <c r="H6227" s="379">
        <v>0.65808670058311347</v>
      </c>
      <c r="I6227" s="25">
        <v>34.01</v>
      </c>
      <c r="J6227" s="379">
        <v>0.14480167642852412</v>
      </c>
    </row>
    <row r="6228" spans="1:10" x14ac:dyDescent="0.35">
      <c r="A6228" s="5">
        <v>6224</v>
      </c>
      <c r="B6228" s="5">
        <v>260</v>
      </c>
      <c r="C6228" s="5">
        <v>9</v>
      </c>
      <c r="D6228" s="379">
        <v>66.319444444444443</v>
      </c>
      <c r="E6228" s="25">
        <v>24.84</v>
      </c>
      <c r="F6228" s="379">
        <v>1.8542037992266529</v>
      </c>
      <c r="G6228" s="25">
        <v>43.56</v>
      </c>
      <c r="H6228" s="379">
        <v>0.65808670058311347</v>
      </c>
      <c r="I6228" s="25">
        <v>39.619999999999997</v>
      </c>
      <c r="J6228" s="379">
        <v>0.14480167642852412</v>
      </c>
    </row>
    <row r="6229" spans="1:10" x14ac:dyDescent="0.35">
      <c r="A6229" s="5">
        <v>6225</v>
      </c>
      <c r="B6229" s="5">
        <v>260</v>
      </c>
      <c r="C6229" s="5">
        <v>9</v>
      </c>
      <c r="D6229" s="379">
        <v>69.60499999999999</v>
      </c>
      <c r="E6229" s="25">
        <v>24.84</v>
      </c>
      <c r="F6229" s="379">
        <v>3.9521160574749841</v>
      </c>
      <c r="G6229" s="25">
        <v>43.56</v>
      </c>
      <c r="H6229" s="379">
        <v>0.47222222222222215</v>
      </c>
      <c r="I6229" s="25">
        <v>39.619999999999997</v>
      </c>
      <c r="J6229" s="379">
        <v>2.777777777777778E-2</v>
      </c>
    </row>
    <row r="6230" spans="1:10" x14ac:dyDescent="0.35">
      <c r="A6230" s="5">
        <v>6226</v>
      </c>
      <c r="B6230" s="5">
        <v>260</v>
      </c>
      <c r="C6230" s="5">
        <v>9</v>
      </c>
      <c r="D6230" s="379">
        <v>68.678888888888892</v>
      </c>
      <c r="E6230" s="25">
        <v>24.84</v>
      </c>
      <c r="F6230" s="379">
        <v>1.456295436586351</v>
      </c>
      <c r="G6230" s="25">
        <v>43.56</v>
      </c>
      <c r="H6230" s="379">
        <v>0.47222222222222215</v>
      </c>
      <c r="I6230" s="25">
        <v>38.92</v>
      </c>
      <c r="J6230" s="379">
        <v>2.777777777777778E-2</v>
      </c>
    </row>
    <row r="6231" spans="1:10" x14ac:dyDescent="0.35">
      <c r="A6231" s="5">
        <v>6227</v>
      </c>
      <c r="B6231" s="5">
        <v>260</v>
      </c>
      <c r="C6231" s="5">
        <v>9</v>
      </c>
      <c r="D6231" s="379">
        <v>65.439444444444433</v>
      </c>
      <c r="E6231" s="25">
        <v>24.84</v>
      </c>
      <c r="F6231" s="379">
        <v>2.3231795451587591</v>
      </c>
      <c r="G6231" s="25">
        <v>43.56</v>
      </c>
      <c r="H6231" s="379">
        <v>0.47222222222222215</v>
      </c>
      <c r="I6231" s="25">
        <v>35.799999999999997</v>
      </c>
      <c r="J6231" s="379">
        <v>2.777777777777778E-2</v>
      </c>
    </row>
    <row r="6232" spans="1:10" x14ac:dyDescent="0.35">
      <c r="A6232" s="5">
        <v>6228</v>
      </c>
      <c r="B6232" s="5">
        <v>260</v>
      </c>
      <c r="C6232" s="5">
        <v>9</v>
      </c>
      <c r="D6232" s="379">
        <v>62.903333333333329</v>
      </c>
      <c r="E6232" s="25">
        <v>24.84</v>
      </c>
      <c r="F6232" s="379">
        <v>1.6624361041443567</v>
      </c>
      <c r="G6232" s="25">
        <v>42.19</v>
      </c>
      <c r="H6232" s="379">
        <v>0.47222222222222215</v>
      </c>
      <c r="I6232" s="25">
        <v>34.01</v>
      </c>
      <c r="J6232" s="379">
        <v>2.777777777777778E-2</v>
      </c>
    </row>
    <row r="6233" spans="1:10" x14ac:dyDescent="0.35">
      <c r="A6233" s="5">
        <v>6229</v>
      </c>
      <c r="B6233" s="5">
        <v>260</v>
      </c>
      <c r="C6233" s="5">
        <v>9</v>
      </c>
      <c r="D6233" s="379">
        <v>46.347222222222221</v>
      </c>
      <c r="E6233" s="25">
        <v>24.84</v>
      </c>
      <c r="F6233" s="379">
        <v>2.8757278967505893</v>
      </c>
      <c r="G6233" s="25">
        <v>39.33</v>
      </c>
      <c r="H6233" s="379">
        <v>0.47222222222222215</v>
      </c>
      <c r="I6233" s="25">
        <v>33.67</v>
      </c>
      <c r="J6233" s="379">
        <v>2.777777777777778E-2</v>
      </c>
    </row>
    <row r="6234" spans="1:10" x14ac:dyDescent="0.35">
      <c r="A6234" s="5">
        <v>6230</v>
      </c>
      <c r="B6234" s="5">
        <v>260</v>
      </c>
      <c r="C6234" s="5">
        <v>9</v>
      </c>
      <c r="D6234" s="379">
        <v>42.631666666666661</v>
      </c>
      <c r="E6234" s="25">
        <v>24.84</v>
      </c>
      <c r="F6234" s="379">
        <v>3.2115775415748589</v>
      </c>
      <c r="G6234" s="25">
        <v>38.19</v>
      </c>
      <c r="H6234" s="379">
        <v>0.47222222222222215</v>
      </c>
      <c r="I6234" s="25">
        <v>33.67</v>
      </c>
      <c r="J6234" s="379">
        <v>2.777777777777778E-2</v>
      </c>
    </row>
    <row r="6235" spans="1:10" x14ac:dyDescent="0.35">
      <c r="A6235" s="5">
        <v>6231</v>
      </c>
      <c r="B6235" s="5">
        <v>260</v>
      </c>
      <c r="C6235" s="5">
        <v>9</v>
      </c>
      <c r="D6235" s="379">
        <v>43.639999999999993</v>
      </c>
      <c r="E6235" s="25">
        <v>24.84</v>
      </c>
      <c r="F6235" s="379">
        <v>1.5964638801446491</v>
      </c>
      <c r="G6235" s="25">
        <v>38.19</v>
      </c>
      <c r="H6235" s="379">
        <v>0.47222222222222215</v>
      </c>
      <c r="I6235" s="25">
        <v>33.67</v>
      </c>
      <c r="J6235" s="379">
        <v>2.777777777777778E-2</v>
      </c>
    </row>
    <row r="6236" spans="1:10" x14ac:dyDescent="0.35">
      <c r="A6236" s="5">
        <v>6232</v>
      </c>
      <c r="B6236" s="5">
        <v>260</v>
      </c>
      <c r="C6236" s="5">
        <v>9</v>
      </c>
      <c r="D6236" s="379">
        <v>41.354999999999997</v>
      </c>
      <c r="E6236" s="25">
        <v>24.84</v>
      </c>
      <c r="F6236" s="379">
        <v>0.62862968509505557</v>
      </c>
      <c r="G6236" s="25">
        <v>40.96</v>
      </c>
      <c r="H6236" s="379">
        <v>0.47222222222222215</v>
      </c>
      <c r="I6236" s="25">
        <v>33.67</v>
      </c>
      <c r="J6236" s="379">
        <v>2.777777777777778E-2</v>
      </c>
    </row>
    <row r="6237" spans="1:10" x14ac:dyDescent="0.35">
      <c r="A6237" s="5">
        <v>6233</v>
      </c>
      <c r="B6237" s="5">
        <v>260</v>
      </c>
      <c r="C6237" s="5">
        <v>9</v>
      </c>
      <c r="D6237" s="379">
        <v>52.29388888888888</v>
      </c>
      <c r="E6237" s="25">
        <v>24.84</v>
      </c>
      <c r="F6237" s="379">
        <v>0.99101787839604061</v>
      </c>
      <c r="G6237" s="25">
        <v>42.35</v>
      </c>
      <c r="H6237" s="379">
        <v>0.47222222222222215</v>
      </c>
      <c r="I6237" s="25">
        <v>33.67</v>
      </c>
      <c r="J6237" s="379">
        <v>0.13263492261253382</v>
      </c>
    </row>
    <row r="6238" spans="1:10" x14ac:dyDescent="0.35">
      <c r="A6238" s="5">
        <v>6234</v>
      </c>
      <c r="B6238" s="5">
        <v>260</v>
      </c>
      <c r="C6238" s="5">
        <v>9</v>
      </c>
      <c r="D6238" s="379">
        <v>67.208333333333329</v>
      </c>
      <c r="E6238" s="25">
        <v>24.84</v>
      </c>
      <c r="F6238" s="379">
        <v>8.1174834595959595</v>
      </c>
      <c r="G6238" s="25">
        <v>43.39</v>
      </c>
      <c r="H6238" s="379">
        <v>1.0148356879012355</v>
      </c>
      <c r="I6238" s="25">
        <v>34.21</v>
      </c>
      <c r="J6238" s="379">
        <v>2.0471381061779654</v>
      </c>
    </row>
    <row r="6239" spans="1:10" x14ac:dyDescent="0.35">
      <c r="A6239" s="5">
        <v>6235</v>
      </c>
      <c r="B6239" s="5">
        <v>260</v>
      </c>
      <c r="C6239" s="5">
        <v>9</v>
      </c>
      <c r="D6239" s="379">
        <v>73.057777777777773</v>
      </c>
      <c r="E6239" s="25">
        <v>24.84</v>
      </c>
      <c r="F6239" s="379">
        <v>8.1174834595959577</v>
      </c>
      <c r="G6239" s="25">
        <v>43.56</v>
      </c>
      <c r="H6239" s="379">
        <v>4.7996938046946571</v>
      </c>
      <c r="I6239" s="25">
        <v>34.29</v>
      </c>
      <c r="J6239" s="379">
        <v>5.0947512845214771</v>
      </c>
    </row>
    <row r="6240" spans="1:10" x14ac:dyDescent="0.35">
      <c r="A6240" s="5">
        <v>6236</v>
      </c>
      <c r="B6240" s="5">
        <v>260</v>
      </c>
      <c r="C6240" s="5">
        <v>9</v>
      </c>
      <c r="D6240" s="379">
        <v>75.24444444444444</v>
      </c>
      <c r="E6240" s="25">
        <v>24.84</v>
      </c>
      <c r="F6240" s="379">
        <v>8.1174834595959577</v>
      </c>
      <c r="G6240" s="25">
        <v>43.56</v>
      </c>
      <c r="H6240" s="379">
        <v>5.2913711852457697</v>
      </c>
      <c r="I6240" s="25">
        <v>35.31</v>
      </c>
      <c r="J6240" s="379">
        <v>5.5252723341525218</v>
      </c>
    </row>
    <row r="6241" spans="1:10" x14ac:dyDescent="0.35">
      <c r="A6241" s="5">
        <v>6237</v>
      </c>
      <c r="B6241" s="5">
        <v>260</v>
      </c>
      <c r="C6241" s="5">
        <v>9</v>
      </c>
      <c r="D6241" s="379">
        <v>69.822222222222223</v>
      </c>
      <c r="E6241" s="25">
        <v>24.84</v>
      </c>
      <c r="F6241" s="379">
        <v>8.1174834595959577</v>
      </c>
      <c r="G6241" s="25">
        <v>42.35</v>
      </c>
      <c r="H6241" s="379">
        <v>5.2913711852457697</v>
      </c>
      <c r="I6241" s="25">
        <v>35.090000000000003</v>
      </c>
      <c r="J6241" s="379">
        <v>4.8932973633748036</v>
      </c>
    </row>
    <row r="6242" spans="1:10" x14ac:dyDescent="0.35">
      <c r="A6242" s="5">
        <v>6238</v>
      </c>
      <c r="B6242" s="5">
        <v>260</v>
      </c>
      <c r="C6242" s="5">
        <v>9</v>
      </c>
      <c r="D6242" s="379">
        <v>59.632222222222218</v>
      </c>
      <c r="E6242" s="25">
        <v>24.84</v>
      </c>
      <c r="F6242" s="379">
        <v>8.1174834595959595</v>
      </c>
      <c r="G6242" s="25">
        <v>36.659999999999997</v>
      </c>
      <c r="H6242" s="379">
        <v>4.799693804694658</v>
      </c>
      <c r="I6242" s="25">
        <v>34.01</v>
      </c>
      <c r="J6242" s="379">
        <v>4.6854120485539523</v>
      </c>
    </row>
    <row r="6243" spans="1:10" x14ac:dyDescent="0.35">
      <c r="A6243" s="5">
        <v>6239</v>
      </c>
      <c r="B6243" s="5">
        <v>260</v>
      </c>
      <c r="C6243" s="5">
        <v>9</v>
      </c>
      <c r="D6243" s="379">
        <v>63.54999999999999</v>
      </c>
      <c r="E6243" s="25">
        <v>24.84</v>
      </c>
      <c r="F6243" s="379">
        <v>8.1174834595959577</v>
      </c>
      <c r="G6243" s="25">
        <v>31.84</v>
      </c>
      <c r="H6243" s="379">
        <v>4.799693804694658</v>
      </c>
      <c r="I6243" s="25">
        <v>33.67</v>
      </c>
      <c r="J6243" s="379">
        <v>4.2097368802888324</v>
      </c>
    </row>
    <row r="6244" spans="1:10" x14ac:dyDescent="0.35">
      <c r="A6244" s="5">
        <v>6240</v>
      </c>
      <c r="B6244" s="5">
        <v>260</v>
      </c>
      <c r="C6244" s="5">
        <v>9</v>
      </c>
      <c r="D6244" s="379">
        <v>44.576666666666668</v>
      </c>
      <c r="E6244" s="25">
        <v>24.84</v>
      </c>
      <c r="F6244" s="379">
        <v>5.5857603823442386</v>
      </c>
      <c r="G6244" s="25">
        <v>31.11</v>
      </c>
      <c r="H6244" s="379">
        <v>4.799693804694658</v>
      </c>
      <c r="I6244" s="25">
        <v>33.67</v>
      </c>
      <c r="J6244" s="379">
        <v>4.6981887984637778</v>
      </c>
    </row>
    <row r="6245" spans="1:10" x14ac:dyDescent="0.35">
      <c r="A6245" s="5">
        <v>6241</v>
      </c>
      <c r="B6245" s="5">
        <v>261</v>
      </c>
      <c r="C6245" s="5">
        <v>9</v>
      </c>
      <c r="D6245" s="379">
        <v>42.648888888888891</v>
      </c>
      <c r="E6245" s="25">
        <v>24.73</v>
      </c>
      <c r="F6245" s="379">
        <v>5.566035640254106</v>
      </c>
      <c r="G6245" s="25">
        <v>31.11</v>
      </c>
      <c r="H6245" s="379">
        <v>4.799693804694658</v>
      </c>
      <c r="I6245" s="25">
        <v>33.67</v>
      </c>
      <c r="J6245" s="379">
        <v>3.2442961766080085</v>
      </c>
    </row>
    <row r="6246" spans="1:10" x14ac:dyDescent="0.35">
      <c r="A6246" s="5">
        <v>6242</v>
      </c>
      <c r="B6246" s="5">
        <v>261</v>
      </c>
      <c r="C6246" s="5">
        <v>9</v>
      </c>
      <c r="D6246" s="379">
        <v>41.575555555555553</v>
      </c>
      <c r="E6246" s="25">
        <v>24.73</v>
      </c>
      <c r="F6246" s="379">
        <v>6.7631698907209126</v>
      </c>
      <c r="G6246" s="25">
        <v>31.11</v>
      </c>
      <c r="H6246" s="379">
        <v>4.7996938046946571</v>
      </c>
      <c r="I6246" s="25">
        <v>33.67</v>
      </c>
      <c r="J6246" s="379">
        <v>3.7432656079105415</v>
      </c>
    </row>
    <row r="6247" spans="1:10" x14ac:dyDescent="0.35">
      <c r="A6247" s="5">
        <v>6243</v>
      </c>
      <c r="B6247" s="5">
        <v>261</v>
      </c>
      <c r="C6247" s="5">
        <v>9</v>
      </c>
      <c r="D6247" s="379">
        <v>39.972777777777772</v>
      </c>
      <c r="E6247" s="25">
        <v>24.73</v>
      </c>
      <c r="F6247" s="379">
        <v>7.1427748873555821</v>
      </c>
      <c r="G6247" s="25">
        <v>31.11</v>
      </c>
      <c r="H6247" s="379">
        <v>5.0840976942440426</v>
      </c>
      <c r="I6247" s="25">
        <v>33.67</v>
      </c>
      <c r="J6247" s="379">
        <v>3.5851103717841277</v>
      </c>
    </row>
    <row r="6248" spans="1:10" x14ac:dyDescent="0.35">
      <c r="A6248" s="5">
        <v>6244</v>
      </c>
      <c r="B6248" s="5">
        <v>261</v>
      </c>
      <c r="C6248" s="5">
        <v>9</v>
      </c>
      <c r="D6248" s="379">
        <v>41.54944444444444</v>
      </c>
      <c r="E6248" s="25">
        <v>24</v>
      </c>
      <c r="F6248" s="379">
        <v>7.1486483683204129</v>
      </c>
      <c r="G6248" s="25">
        <v>31.11</v>
      </c>
      <c r="H6248" s="379">
        <v>5.074455232806522</v>
      </c>
      <c r="I6248" s="25">
        <v>33.67</v>
      </c>
      <c r="J6248" s="379">
        <v>1.1654794048461099</v>
      </c>
    </row>
    <row r="6249" spans="1:10" x14ac:dyDescent="0.35">
      <c r="A6249" s="5">
        <v>6245</v>
      </c>
      <c r="B6249" s="5">
        <v>261</v>
      </c>
      <c r="C6249" s="5">
        <v>9</v>
      </c>
      <c r="D6249" s="379">
        <v>41.325555555555553</v>
      </c>
      <c r="E6249" s="25">
        <v>24.73</v>
      </c>
      <c r="F6249" s="379">
        <v>7.0921192991102844</v>
      </c>
      <c r="G6249" s="25">
        <v>31.54</v>
      </c>
      <c r="H6249" s="379">
        <v>4.9944518228618113</v>
      </c>
      <c r="I6249" s="25">
        <v>33.67</v>
      </c>
      <c r="J6249" s="379">
        <v>2.2549139436655889</v>
      </c>
    </row>
    <row r="6250" spans="1:10" x14ac:dyDescent="0.35">
      <c r="A6250" s="5">
        <v>6246</v>
      </c>
      <c r="B6250" s="5">
        <v>261</v>
      </c>
      <c r="C6250" s="5">
        <v>9</v>
      </c>
      <c r="D6250" s="379">
        <v>41.62833333333333</v>
      </c>
      <c r="E6250" s="25">
        <v>24.84</v>
      </c>
      <c r="F6250" s="379">
        <v>7.3843469637150259</v>
      </c>
      <c r="G6250" s="25">
        <v>31.84</v>
      </c>
      <c r="H6250" s="379">
        <v>5.0448947422059334</v>
      </c>
      <c r="I6250" s="25">
        <v>33.67</v>
      </c>
      <c r="J6250" s="379">
        <v>2.4237169969579546</v>
      </c>
    </row>
    <row r="6251" spans="1:10" x14ac:dyDescent="0.35">
      <c r="A6251" s="5">
        <v>6247</v>
      </c>
      <c r="B6251" s="5">
        <v>261</v>
      </c>
      <c r="C6251" s="5">
        <v>9</v>
      </c>
      <c r="D6251" s="379">
        <v>46.62222222222222</v>
      </c>
      <c r="E6251" s="25">
        <v>24.84</v>
      </c>
      <c r="F6251" s="379">
        <v>8.4494365457661527</v>
      </c>
      <c r="G6251" s="25">
        <v>31.84</v>
      </c>
      <c r="H6251" s="379">
        <v>5.0493425387566413</v>
      </c>
      <c r="I6251" s="25">
        <v>33.67</v>
      </c>
      <c r="J6251" s="379">
        <v>2.383202793557063</v>
      </c>
    </row>
    <row r="6252" spans="1:10" x14ac:dyDescent="0.35">
      <c r="A6252" s="5">
        <v>6248</v>
      </c>
      <c r="B6252" s="5">
        <v>261</v>
      </c>
      <c r="C6252" s="5">
        <v>9</v>
      </c>
      <c r="D6252" s="379">
        <v>49.564999999999998</v>
      </c>
      <c r="E6252" s="25">
        <v>24.84</v>
      </c>
      <c r="F6252" s="379">
        <v>8.4991592924740313</v>
      </c>
      <c r="G6252" s="25">
        <v>37.08</v>
      </c>
      <c r="H6252" s="379">
        <v>5.250700206708653</v>
      </c>
      <c r="I6252" s="25">
        <v>34.89</v>
      </c>
      <c r="J6252" s="379">
        <v>2.1905651970829938</v>
      </c>
    </row>
    <row r="6253" spans="1:10" x14ac:dyDescent="0.35">
      <c r="A6253" s="5">
        <v>6249</v>
      </c>
      <c r="B6253" s="5">
        <v>261</v>
      </c>
      <c r="C6253" s="5">
        <v>9</v>
      </c>
      <c r="D6253" s="379">
        <v>48.817222222222227</v>
      </c>
      <c r="E6253" s="25">
        <v>24.84</v>
      </c>
      <c r="F6253" s="379">
        <v>8.1174834595959613</v>
      </c>
      <c r="G6253" s="25">
        <v>37.08</v>
      </c>
      <c r="H6253" s="379">
        <v>5.1781098208887091</v>
      </c>
      <c r="I6253" s="25">
        <v>34.25</v>
      </c>
      <c r="J6253" s="379">
        <v>1.0228397372738489</v>
      </c>
    </row>
    <row r="6254" spans="1:10" x14ac:dyDescent="0.35">
      <c r="A6254" s="5">
        <v>6250</v>
      </c>
      <c r="B6254" s="5">
        <v>261</v>
      </c>
      <c r="C6254" s="5">
        <v>9</v>
      </c>
      <c r="D6254" s="379">
        <v>57.345555555555556</v>
      </c>
      <c r="E6254" s="25">
        <v>24.84</v>
      </c>
      <c r="F6254" s="379">
        <v>8.1174834595959577</v>
      </c>
      <c r="G6254" s="25">
        <v>37.08</v>
      </c>
      <c r="H6254" s="379">
        <v>4.759244444470875</v>
      </c>
      <c r="I6254" s="25">
        <v>33.67</v>
      </c>
      <c r="J6254" s="379">
        <v>0.33298847925012309</v>
      </c>
    </row>
    <row r="6255" spans="1:10" x14ac:dyDescent="0.35">
      <c r="A6255" s="5">
        <v>6251</v>
      </c>
      <c r="B6255" s="5">
        <v>261</v>
      </c>
      <c r="C6255" s="5">
        <v>9</v>
      </c>
      <c r="D6255" s="379">
        <v>63.151666666666664</v>
      </c>
      <c r="E6255" s="25">
        <v>24.84</v>
      </c>
      <c r="F6255" s="379">
        <v>0.47222222222222227</v>
      </c>
      <c r="G6255" s="25">
        <v>33.799999999999997</v>
      </c>
      <c r="H6255" s="379">
        <v>4.6960091098088421</v>
      </c>
      <c r="I6255" s="25">
        <v>33.67</v>
      </c>
      <c r="J6255" s="379">
        <v>0.12808885036689813</v>
      </c>
    </row>
    <row r="6256" spans="1:10" x14ac:dyDescent="0.35">
      <c r="A6256" s="5">
        <v>6252</v>
      </c>
      <c r="B6256" s="5">
        <v>261</v>
      </c>
      <c r="C6256" s="5">
        <v>9</v>
      </c>
      <c r="D6256" s="379">
        <v>47.517777777777773</v>
      </c>
      <c r="E6256" s="25">
        <v>24.84</v>
      </c>
      <c r="F6256" s="379">
        <v>1.5929076139166496</v>
      </c>
      <c r="G6256" s="25">
        <v>31.84</v>
      </c>
      <c r="H6256" s="379">
        <v>4.7409788648910611</v>
      </c>
      <c r="I6256" s="25">
        <v>33.67</v>
      </c>
      <c r="J6256" s="379">
        <v>0.11219226155776998</v>
      </c>
    </row>
    <row r="6257" spans="1:10" x14ac:dyDescent="0.35">
      <c r="A6257" s="5">
        <v>6253</v>
      </c>
      <c r="B6257" s="5">
        <v>261</v>
      </c>
      <c r="C6257" s="5">
        <v>9</v>
      </c>
      <c r="D6257" s="379">
        <v>51.069444444444443</v>
      </c>
      <c r="E6257" s="25">
        <v>24.12</v>
      </c>
      <c r="F6257" s="379">
        <v>6.7044377640073431</v>
      </c>
      <c r="G6257" s="25">
        <v>31.54</v>
      </c>
      <c r="H6257" s="379">
        <v>4.7632142692292083</v>
      </c>
      <c r="I6257" s="25">
        <v>33.67</v>
      </c>
      <c r="J6257" s="379">
        <v>0.12634510975920735</v>
      </c>
    </row>
    <row r="6258" spans="1:10" x14ac:dyDescent="0.35">
      <c r="A6258" s="5">
        <v>6254</v>
      </c>
      <c r="B6258" s="5">
        <v>261</v>
      </c>
      <c r="C6258" s="5">
        <v>9</v>
      </c>
      <c r="D6258" s="379">
        <v>39.117222222222217</v>
      </c>
      <c r="E6258" s="25">
        <v>24.12</v>
      </c>
      <c r="F6258" s="379">
        <v>6.6631381163504608</v>
      </c>
      <c r="G6258" s="25">
        <v>31.54</v>
      </c>
      <c r="H6258" s="379">
        <v>4.799693804694658</v>
      </c>
      <c r="I6258" s="25">
        <v>33.67</v>
      </c>
      <c r="J6258" s="379">
        <v>0.80533460184071282</v>
      </c>
    </row>
    <row r="6259" spans="1:10" x14ac:dyDescent="0.35">
      <c r="A6259" s="5">
        <v>6255</v>
      </c>
      <c r="B6259" s="5">
        <v>261</v>
      </c>
      <c r="C6259" s="5">
        <v>9</v>
      </c>
      <c r="D6259" s="379">
        <v>38.212222222222216</v>
      </c>
      <c r="E6259" s="25">
        <v>24.12</v>
      </c>
      <c r="F6259" s="379">
        <v>7.8425377235806151</v>
      </c>
      <c r="G6259" s="25">
        <v>31.54</v>
      </c>
      <c r="H6259" s="379">
        <v>4.799693804694658</v>
      </c>
      <c r="I6259" s="25">
        <v>33.67</v>
      </c>
      <c r="J6259" s="379">
        <v>0.46210833547177965</v>
      </c>
    </row>
    <row r="6260" spans="1:10" x14ac:dyDescent="0.35">
      <c r="A6260" s="5">
        <v>6256</v>
      </c>
      <c r="B6260" s="5">
        <v>261</v>
      </c>
      <c r="C6260" s="5">
        <v>9</v>
      </c>
      <c r="D6260" s="379">
        <v>47.862777777777772</v>
      </c>
      <c r="E6260" s="25">
        <v>24.84</v>
      </c>
      <c r="F6260" s="379">
        <v>7.8453757693916852</v>
      </c>
      <c r="G6260" s="25">
        <v>32.04</v>
      </c>
      <c r="H6260" s="379">
        <v>6.2620068881972468</v>
      </c>
      <c r="I6260" s="25">
        <v>33.67</v>
      </c>
      <c r="J6260" s="379">
        <v>0.46210833547177965</v>
      </c>
    </row>
    <row r="6261" spans="1:10" x14ac:dyDescent="0.35">
      <c r="A6261" s="5">
        <v>6257</v>
      </c>
      <c r="B6261" s="5">
        <v>261</v>
      </c>
      <c r="C6261" s="5">
        <v>9</v>
      </c>
      <c r="D6261" s="379">
        <v>52.103333333333332</v>
      </c>
      <c r="E6261" s="25">
        <v>24.84</v>
      </c>
      <c r="F6261" s="379">
        <v>14.074485139035735</v>
      </c>
      <c r="G6261" s="25">
        <v>42.29</v>
      </c>
      <c r="H6261" s="379">
        <v>7.7124233911812246</v>
      </c>
      <c r="I6261" s="25">
        <v>36.86</v>
      </c>
      <c r="J6261" s="379">
        <v>3.7576045901898927</v>
      </c>
    </row>
    <row r="6262" spans="1:10" x14ac:dyDescent="0.35">
      <c r="A6262" s="5">
        <v>6258</v>
      </c>
      <c r="B6262" s="5">
        <v>261</v>
      </c>
      <c r="C6262" s="5">
        <v>9</v>
      </c>
      <c r="D6262" s="379">
        <v>69.714444444444439</v>
      </c>
      <c r="E6262" s="25">
        <v>24.84</v>
      </c>
      <c r="F6262" s="379">
        <v>17.258393251417807</v>
      </c>
      <c r="G6262" s="25">
        <v>43.56</v>
      </c>
      <c r="H6262" s="379">
        <v>17.311261195811642</v>
      </c>
      <c r="I6262" s="25">
        <v>48.75</v>
      </c>
      <c r="J6262" s="379">
        <v>7.6685156894209303</v>
      </c>
    </row>
    <row r="6263" spans="1:10" x14ac:dyDescent="0.35">
      <c r="A6263" s="5">
        <v>6259</v>
      </c>
      <c r="B6263" s="5">
        <v>261</v>
      </c>
      <c r="C6263" s="5">
        <v>9</v>
      </c>
      <c r="D6263" s="379">
        <v>76.047777777777753</v>
      </c>
      <c r="E6263" s="25">
        <v>25.74</v>
      </c>
      <c r="F6263" s="379">
        <v>16.45333710759094</v>
      </c>
      <c r="G6263" s="25">
        <v>43.62</v>
      </c>
      <c r="H6263" s="379">
        <v>18.150910469706854</v>
      </c>
      <c r="I6263" s="25">
        <v>50.13</v>
      </c>
      <c r="J6263" s="379">
        <v>7.732882786917596</v>
      </c>
    </row>
    <row r="6264" spans="1:10" x14ac:dyDescent="0.35">
      <c r="A6264" s="5">
        <v>6260</v>
      </c>
      <c r="B6264" s="5">
        <v>261</v>
      </c>
      <c r="C6264" s="5">
        <v>9</v>
      </c>
      <c r="D6264" s="379">
        <v>76.423888888888897</v>
      </c>
      <c r="E6264" s="25">
        <v>25.58</v>
      </c>
      <c r="F6264" s="379">
        <v>17.5123974017569</v>
      </c>
      <c r="G6264" s="25">
        <v>43.62</v>
      </c>
      <c r="H6264" s="379">
        <v>20.420345063111498</v>
      </c>
      <c r="I6264" s="25">
        <v>52.73</v>
      </c>
      <c r="J6264" s="379">
        <v>7.7467010385727697</v>
      </c>
    </row>
    <row r="6265" spans="1:10" x14ac:dyDescent="0.35">
      <c r="A6265" s="5">
        <v>6261</v>
      </c>
      <c r="B6265" s="5">
        <v>261</v>
      </c>
      <c r="C6265" s="5">
        <v>9</v>
      </c>
      <c r="D6265" s="379">
        <v>69.28</v>
      </c>
      <c r="E6265" s="25">
        <v>25.01</v>
      </c>
      <c r="F6265" s="379">
        <v>18.14556472634024</v>
      </c>
      <c r="G6265" s="25">
        <v>43.56</v>
      </c>
      <c r="H6265" s="379">
        <v>19.788379100209752</v>
      </c>
      <c r="I6265" s="25">
        <v>50.21</v>
      </c>
      <c r="J6265" s="379">
        <v>7.6979703282663001</v>
      </c>
    </row>
    <row r="6266" spans="1:10" x14ac:dyDescent="0.35">
      <c r="A6266" s="5">
        <v>6262</v>
      </c>
      <c r="B6266" s="5">
        <v>261</v>
      </c>
      <c r="C6266" s="5">
        <v>9</v>
      </c>
      <c r="D6266" s="379">
        <v>63.258888888888897</v>
      </c>
      <c r="E6266" s="25">
        <v>24.84</v>
      </c>
      <c r="F6266" s="379">
        <v>20.901623195959406</v>
      </c>
      <c r="G6266" s="25">
        <v>43.56</v>
      </c>
      <c r="H6266" s="379">
        <v>18.799377020174038</v>
      </c>
      <c r="I6266" s="25">
        <v>48.75</v>
      </c>
      <c r="J6266" s="379">
        <v>7.687579249877496</v>
      </c>
    </row>
    <row r="6267" spans="1:10" x14ac:dyDescent="0.35">
      <c r="A6267" s="5">
        <v>6263</v>
      </c>
      <c r="B6267" s="5">
        <v>261</v>
      </c>
      <c r="C6267" s="5">
        <v>9</v>
      </c>
      <c r="D6267" s="379">
        <v>58.551666666666662</v>
      </c>
      <c r="E6267" s="25">
        <v>24.84</v>
      </c>
      <c r="F6267" s="379">
        <v>20.340899865676779</v>
      </c>
      <c r="G6267" s="25">
        <v>38.19</v>
      </c>
      <c r="H6267" s="379">
        <v>14.270938494613999</v>
      </c>
      <c r="I6267" s="25">
        <v>48.75</v>
      </c>
      <c r="J6267" s="379">
        <v>7.5314730439479103</v>
      </c>
    </row>
    <row r="6268" spans="1:10" x14ac:dyDescent="0.35">
      <c r="A6268" s="5">
        <v>6264</v>
      </c>
      <c r="B6268" s="5">
        <v>261</v>
      </c>
      <c r="C6268" s="5">
        <v>9</v>
      </c>
      <c r="D6268" s="379">
        <v>49.739444444444445</v>
      </c>
      <c r="E6268" s="25">
        <v>24.84</v>
      </c>
      <c r="F6268" s="379">
        <v>18.872452440735227</v>
      </c>
      <c r="G6268" s="25">
        <v>37.020000000000003</v>
      </c>
      <c r="H6268" s="379">
        <v>20.152020841554339</v>
      </c>
      <c r="I6268" s="25">
        <v>43.96</v>
      </c>
      <c r="J6268" s="379">
        <v>7.5078641329307461</v>
      </c>
    </row>
    <row r="6269" spans="1:10" x14ac:dyDescent="0.35">
      <c r="A6269" s="5">
        <v>6265</v>
      </c>
      <c r="B6269" s="5">
        <v>262</v>
      </c>
      <c r="C6269" s="5">
        <v>9</v>
      </c>
      <c r="D6269" s="379">
        <v>56.99722222222222</v>
      </c>
      <c r="E6269" s="25">
        <v>24.84</v>
      </c>
      <c r="F6269" s="379">
        <v>18.48233008230569</v>
      </c>
      <c r="G6269" s="25">
        <v>37.020000000000003</v>
      </c>
      <c r="H6269" s="379">
        <v>18.432320100383993</v>
      </c>
      <c r="I6269" s="25">
        <v>40.21</v>
      </c>
      <c r="J6269" s="379">
        <v>7.5314730439479103</v>
      </c>
    </row>
    <row r="6270" spans="1:10" x14ac:dyDescent="0.35">
      <c r="A6270" s="5">
        <v>6266</v>
      </c>
      <c r="B6270" s="5">
        <v>262</v>
      </c>
      <c r="C6270" s="5">
        <v>9</v>
      </c>
      <c r="D6270" s="379">
        <v>56.211666666666666</v>
      </c>
      <c r="E6270" s="25">
        <v>24.84</v>
      </c>
      <c r="F6270" s="379">
        <v>18.45987738248958</v>
      </c>
      <c r="G6270" s="25">
        <v>37.020000000000003</v>
      </c>
      <c r="H6270" s="379">
        <v>17.040758752847573</v>
      </c>
      <c r="I6270" s="25">
        <v>37.57</v>
      </c>
      <c r="J6270" s="379">
        <v>7.5314730439479103</v>
      </c>
    </row>
    <row r="6271" spans="1:10" x14ac:dyDescent="0.35">
      <c r="A6271" s="5">
        <v>6267</v>
      </c>
      <c r="B6271" s="5">
        <v>262</v>
      </c>
      <c r="C6271" s="5">
        <v>9</v>
      </c>
      <c r="D6271" s="379">
        <v>53.854999999999997</v>
      </c>
      <c r="E6271" s="25">
        <v>24.84</v>
      </c>
      <c r="F6271" s="379">
        <v>18.189902044476153</v>
      </c>
      <c r="G6271" s="25">
        <v>37.020000000000003</v>
      </c>
      <c r="H6271" s="379">
        <v>17.243969760056835</v>
      </c>
      <c r="I6271" s="25">
        <v>37.57</v>
      </c>
      <c r="J6271" s="379">
        <v>7.5314730439479103</v>
      </c>
    </row>
    <row r="6272" spans="1:10" x14ac:dyDescent="0.35">
      <c r="A6272" s="5">
        <v>6268</v>
      </c>
      <c r="B6272" s="5">
        <v>262</v>
      </c>
      <c r="C6272" s="5">
        <v>9</v>
      </c>
      <c r="D6272" s="379">
        <v>55.083888888888886</v>
      </c>
      <c r="E6272" s="25">
        <v>24.84</v>
      </c>
      <c r="F6272" s="379">
        <v>18.395488163526306</v>
      </c>
      <c r="G6272" s="25">
        <v>37.020000000000003</v>
      </c>
      <c r="H6272" s="379">
        <v>17.018404260608701</v>
      </c>
      <c r="I6272" s="25">
        <v>37.57</v>
      </c>
      <c r="J6272" s="379">
        <v>7.5123747845940407</v>
      </c>
    </row>
    <row r="6273" spans="1:10" x14ac:dyDescent="0.35">
      <c r="A6273" s="5">
        <v>6269</v>
      </c>
      <c r="B6273" s="5">
        <v>262</v>
      </c>
      <c r="C6273" s="5">
        <v>9</v>
      </c>
      <c r="D6273" s="379">
        <v>70.293333333333322</v>
      </c>
      <c r="E6273" s="25">
        <v>24.84</v>
      </c>
      <c r="F6273" s="379">
        <v>17.098185676903473</v>
      </c>
      <c r="G6273" s="25">
        <v>37.020000000000003</v>
      </c>
      <c r="H6273" s="379">
        <v>13.735263645879517</v>
      </c>
      <c r="I6273" s="25">
        <v>37.57</v>
      </c>
      <c r="J6273" s="379">
        <v>7.650714789240725</v>
      </c>
    </row>
    <row r="6274" spans="1:10" x14ac:dyDescent="0.35">
      <c r="A6274" s="5">
        <v>6270</v>
      </c>
      <c r="B6274" s="5">
        <v>262</v>
      </c>
      <c r="C6274" s="5">
        <v>9</v>
      </c>
      <c r="D6274" s="379">
        <v>100.96777777777777</v>
      </c>
      <c r="E6274" s="25">
        <v>24.84</v>
      </c>
      <c r="F6274" s="379">
        <v>16.931648930695477</v>
      </c>
      <c r="G6274" s="25">
        <v>37.020000000000003</v>
      </c>
      <c r="H6274" s="379">
        <v>16.535963307566536</v>
      </c>
      <c r="I6274" s="25">
        <v>37.57</v>
      </c>
      <c r="J6274" s="379">
        <v>7.6472170396932384</v>
      </c>
    </row>
    <row r="6275" spans="1:10" x14ac:dyDescent="0.35">
      <c r="A6275" s="5">
        <v>6271</v>
      </c>
      <c r="B6275" s="5">
        <v>262</v>
      </c>
      <c r="C6275" s="5">
        <v>9</v>
      </c>
      <c r="D6275" s="379">
        <v>108.73722222222221</v>
      </c>
      <c r="E6275" s="25">
        <v>24.84</v>
      </c>
      <c r="F6275" s="379">
        <v>17.04026445602149</v>
      </c>
      <c r="G6275" s="25">
        <v>37.020000000000003</v>
      </c>
      <c r="H6275" s="379">
        <v>13.685889542908852</v>
      </c>
      <c r="I6275" s="25">
        <v>37.57</v>
      </c>
      <c r="J6275" s="379">
        <v>7.7286059695649767</v>
      </c>
    </row>
    <row r="6276" spans="1:10" x14ac:dyDescent="0.35">
      <c r="A6276" s="5">
        <v>6272</v>
      </c>
      <c r="B6276" s="5">
        <v>262</v>
      </c>
      <c r="C6276" s="5">
        <v>9</v>
      </c>
      <c r="D6276" s="379">
        <v>112.62888888888888</v>
      </c>
      <c r="E6276" s="25">
        <v>24.84</v>
      </c>
      <c r="F6276" s="379">
        <v>19.874566123486339</v>
      </c>
      <c r="G6276" s="25">
        <v>37.020000000000003</v>
      </c>
      <c r="H6276" s="379">
        <v>13.653759798951743</v>
      </c>
      <c r="I6276" s="25">
        <v>37.57</v>
      </c>
      <c r="J6276" s="379">
        <v>7.4989870866490982</v>
      </c>
    </row>
    <row r="6277" spans="1:10" x14ac:dyDescent="0.35">
      <c r="A6277" s="5">
        <v>6273</v>
      </c>
      <c r="B6277" s="5">
        <v>262</v>
      </c>
      <c r="C6277" s="5">
        <v>9</v>
      </c>
      <c r="D6277" s="379">
        <v>103.46055555555554</v>
      </c>
      <c r="E6277" s="25">
        <v>24.84</v>
      </c>
      <c r="F6277" s="379">
        <v>19.699873505761214</v>
      </c>
      <c r="G6277" s="25">
        <v>37.08</v>
      </c>
      <c r="H6277" s="379">
        <v>14.114608929560967</v>
      </c>
      <c r="I6277" s="25">
        <v>40.21</v>
      </c>
      <c r="J6277" s="379">
        <v>7.4993482543659864</v>
      </c>
    </row>
    <row r="6278" spans="1:10" x14ac:dyDescent="0.35">
      <c r="A6278" s="5">
        <v>6274</v>
      </c>
      <c r="B6278" s="5">
        <v>262</v>
      </c>
      <c r="C6278" s="5">
        <v>9</v>
      </c>
      <c r="D6278" s="379">
        <v>98.323888888888888</v>
      </c>
      <c r="E6278" s="25">
        <v>24.84</v>
      </c>
      <c r="F6278" s="379">
        <v>16.425517793770208</v>
      </c>
      <c r="G6278" s="25">
        <v>37.08</v>
      </c>
      <c r="H6278" s="379">
        <v>9.6740028928068345</v>
      </c>
      <c r="I6278" s="25">
        <v>37.57</v>
      </c>
      <c r="J6278" s="379">
        <v>7.4598203949647761</v>
      </c>
    </row>
    <row r="6279" spans="1:10" x14ac:dyDescent="0.35">
      <c r="A6279" s="5">
        <v>6275</v>
      </c>
      <c r="B6279" s="5">
        <v>262</v>
      </c>
      <c r="C6279" s="5">
        <v>9</v>
      </c>
      <c r="D6279" s="379">
        <v>83.316666666666663</v>
      </c>
      <c r="E6279" s="25">
        <v>24.84</v>
      </c>
      <c r="F6279" s="379">
        <v>8.5646627724897488</v>
      </c>
      <c r="G6279" s="25">
        <v>37.08</v>
      </c>
      <c r="H6279" s="379">
        <v>8.1615535246177533</v>
      </c>
      <c r="I6279" s="25">
        <v>37.57</v>
      </c>
      <c r="J6279" s="379">
        <v>7.0554161562551956</v>
      </c>
    </row>
    <row r="6280" spans="1:10" x14ac:dyDescent="0.35">
      <c r="A6280" s="5">
        <v>6276</v>
      </c>
      <c r="B6280" s="5">
        <v>262</v>
      </c>
      <c r="C6280" s="5">
        <v>9</v>
      </c>
      <c r="D6280" s="379">
        <v>79.302777777777777</v>
      </c>
      <c r="E6280" s="25">
        <v>24.84</v>
      </c>
      <c r="F6280" s="379">
        <v>8.1174834595959613</v>
      </c>
      <c r="G6280" s="25">
        <v>37.020000000000003</v>
      </c>
      <c r="H6280" s="379">
        <v>8.0559285929797486</v>
      </c>
      <c r="I6280" s="25">
        <v>37.57</v>
      </c>
      <c r="J6280" s="379">
        <v>6.6181813730878538</v>
      </c>
    </row>
    <row r="6281" spans="1:10" x14ac:dyDescent="0.35">
      <c r="A6281" s="5">
        <v>6277</v>
      </c>
      <c r="B6281" s="5">
        <v>262</v>
      </c>
      <c r="C6281" s="5">
        <v>9</v>
      </c>
      <c r="D6281" s="379">
        <v>74.667222222222222</v>
      </c>
      <c r="E6281" s="25">
        <v>24.84</v>
      </c>
      <c r="F6281" s="379">
        <v>11.065334286723317</v>
      </c>
      <c r="G6281" s="25">
        <v>37.08</v>
      </c>
      <c r="H6281" s="379">
        <v>9.8603038974211152</v>
      </c>
      <c r="I6281" s="25">
        <v>37.19</v>
      </c>
      <c r="J6281" s="379">
        <v>6.9909885647091334</v>
      </c>
    </row>
    <row r="6282" spans="1:10" x14ac:dyDescent="0.35">
      <c r="A6282" s="5">
        <v>6278</v>
      </c>
      <c r="B6282" s="5">
        <v>262</v>
      </c>
      <c r="C6282" s="5">
        <v>9</v>
      </c>
      <c r="D6282" s="379">
        <v>73.826111111111103</v>
      </c>
      <c r="E6282" s="25">
        <v>24.84</v>
      </c>
      <c r="F6282" s="379">
        <v>10.26193096782306</v>
      </c>
      <c r="G6282" s="25">
        <v>37.020000000000003</v>
      </c>
      <c r="H6282" s="379">
        <v>9.5560563392038542</v>
      </c>
      <c r="I6282" s="25">
        <v>37.19</v>
      </c>
      <c r="J6282" s="379">
        <v>7.1844538130791546</v>
      </c>
    </row>
    <row r="6283" spans="1:10" x14ac:dyDescent="0.35">
      <c r="A6283" s="5">
        <v>6279</v>
      </c>
      <c r="B6283" s="5">
        <v>262</v>
      </c>
      <c r="C6283" s="5">
        <v>9</v>
      </c>
      <c r="D6283" s="379">
        <v>73.555555555555557</v>
      </c>
      <c r="E6283" s="25">
        <v>24.84</v>
      </c>
      <c r="F6283" s="379">
        <v>8.603180279445354</v>
      </c>
      <c r="G6283" s="25">
        <v>37.020000000000003</v>
      </c>
      <c r="H6283" s="379">
        <v>8.6514495301142116</v>
      </c>
      <c r="I6283" s="25">
        <v>37.19</v>
      </c>
      <c r="J6283" s="379">
        <v>7.1615354971039817</v>
      </c>
    </row>
    <row r="6284" spans="1:10" x14ac:dyDescent="0.35">
      <c r="A6284" s="5">
        <v>6280</v>
      </c>
      <c r="B6284" s="5">
        <v>262</v>
      </c>
      <c r="C6284" s="5">
        <v>9</v>
      </c>
      <c r="D6284" s="379">
        <v>81.47999999999999</v>
      </c>
      <c r="E6284" s="25">
        <v>24.84</v>
      </c>
      <c r="F6284" s="379">
        <v>12.799926241270862</v>
      </c>
      <c r="G6284" s="25">
        <v>37.020000000000003</v>
      </c>
      <c r="H6284" s="379">
        <v>9.6741915123500348</v>
      </c>
      <c r="I6284" s="25">
        <v>37.19</v>
      </c>
      <c r="J6284" s="379">
        <v>7.2529666229514058</v>
      </c>
    </row>
    <row r="6285" spans="1:10" x14ac:dyDescent="0.35">
      <c r="A6285" s="5">
        <v>6281</v>
      </c>
      <c r="B6285" s="5">
        <v>262</v>
      </c>
      <c r="C6285" s="5">
        <v>9</v>
      </c>
      <c r="D6285" s="379">
        <v>100.65</v>
      </c>
      <c r="E6285" s="25">
        <v>24.84</v>
      </c>
      <c r="F6285" s="379">
        <v>15.844973030265948</v>
      </c>
      <c r="G6285" s="25">
        <v>42.29</v>
      </c>
      <c r="H6285" s="379">
        <v>9.4205735078777018</v>
      </c>
      <c r="I6285" s="25">
        <v>37.57</v>
      </c>
      <c r="J6285" s="379">
        <v>7.4871636614828621</v>
      </c>
    </row>
    <row r="6286" spans="1:10" x14ac:dyDescent="0.35">
      <c r="A6286" s="5">
        <v>6282</v>
      </c>
      <c r="B6286" s="5">
        <v>262</v>
      </c>
      <c r="C6286" s="5">
        <v>9</v>
      </c>
      <c r="D6286" s="379">
        <v>112.74888888888889</v>
      </c>
      <c r="E6286" s="25">
        <v>24.84</v>
      </c>
      <c r="F6286" s="379">
        <v>19.015782983449085</v>
      </c>
      <c r="G6286" s="25">
        <v>43.56</v>
      </c>
      <c r="H6286" s="379">
        <v>12.357330060242415</v>
      </c>
      <c r="I6286" s="25">
        <v>49.53</v>
      </c>
      <c r="J6286" s="379">
        <v>8.0392598589168287</v>
      </c>
    </row>
    <row r="6287" spans="1:10" x14ac:dyDescent="0.35">
      <c r="A6287" s="5">
        <v>6283</v>
      </c>
      <c r="B6287" s="5">
        <v>262</v>
      </c>
      <c r="C6287" s="5">
        <v>9</v>
      </c>
      <c r="D6287" s="379">
        <v>118.65666666666664</v>
      </c>
      <c r="E6287" s="25">
        <v>25.29</v>
      </c>
      <c r="F6287" s="379">
        <v>17.64834331775349</v>
      </c>
      <c r="G6287" s="25">
        <v>45.43</v>
      </c>
      <c r="H6287" s="379">
        <v>12.333362618763243</v>
      </c>
      <c r="I6287" s="25">
        <v>53.71</v>
      </c>
      <c r="J6287" s="379">
        <v>7.7842924832527967</v>
      </c>
    </row>
    <row r="6288" spans="1:10" x14ac:dyDescent="0.35">
      <c r="A6288" s="5">
        <v>6284</v>
      </c>
      <c r="B6288" s="5">
        <v>262</v>
      </c>
      <c r="C6288" s="5">
        <v>9</v>
      </c>
      <c r="D6288" s="379">
        <v>111.625</v>
      </c>
      <c r="E6288" s="25">
        <v>25.29</v>
      </c>
      <c r="F6288" s="379">
        <v>17.570704136598856</v>
      </c>
      <c r="G6288" s="25">
        <v>45.43</v>
      </c>
      <c r="H6288" s="379">
        <v>12.535628868062709</v>
      </c>
      <c r="I6288" s="25">
        <v>55.81</v>
      </c>
      <c r="J6288" s="379">
        <v>7.5928929105048661</v>
      </c>
    </row>
    <row r="6289" spans="1:10" x14ac:dyDescent="0.35">
      <c r="A6289" s="5">
        <v>6285</v>
      </c>
      <c r="B6289" s="5">
        <v>262</v>
      </c>
      <c r="C6289" s="5">
        <v>9</v>
      </c>
      <c r="D6289" s="379">
        <v>99.553333333333327</v>
      </c>
      <c r="E6289" s="25">
        <v>25.29</v>
      </c>
      <c r="F6289" s="379">
        <v>17.814806741836886</v>
      </c>
      <c r="G6289" s="25">
        <v>44.69</v>
      </c>
      <c r="H6289" s="379">
        <v>11.290738223428365</v>
      </c>
      <c r="I6289" s="25">
        <v>55.66</v>
      </c>
      <c r="J6289" s="379">
        <v>7.6841793791010762</v>
      </c>
    </row>
    <row r="6290" spans="1:10" x14ac:dyDescent="0.35">
      <c r="A6290" s="5">
        <v>6286</v>
      </c>
      <c r="B6290" s="5">
        <v>262</v>
      </c>
      <c r="C6290" s="5">
        <v>9</v>
      </c>
      <c r="D6290" s="379">
        <v>90.552777777777791</v>
      </c>
      <c r="E6290" s="25">
        <v>24.84</v>
      </c>
      <c r="F6290" s="379">
        <v>20.403244082092911</v>
      </c>
      <c r="G6290" s="25">
        <v>43.56</v>
      </c>
      <c r="H6290" s="379">
        <v>11.925162198843983</v>
      </c>
      <c r="I6290" s="25">
        <v>53.27</v>
      </c>
      <c r="J6290" s="379">
        <v>7.9339540656381295</v>
      </c>
    </row>
    <row r="6291" spans="1:10" x14ac:dyDescent="0.35">
      <c r="A6291" s="5">
        <v>6287</v>
      </c>
      <c r="B6291" s="5">
        <v>262</v>
      </c>
      <c r="C6291" s="5">
        <v>9</v>
      </c>
      <c r="D6291" s="379">
        <v>82.216666666666669</v>
      </c>
      <c r="E6291" s="25">
        <v>24.84</v>
      </c>
      <c r="F6291" s="379">
        <v>19.405617826747243</v>
      </c>
      <c r="G6291" s="25">
        <v>39.770000000000003</v>
      </c>
      <c r="H6291" s="379">
        <v>12.327538742853671</v>
      </c>
      <c r="I6291" s="25">
        <v>48.86</v>
      </c>
      <c r="J6291" s="379">
        <v>8.0522974627195367</v>
      </c>
    </row>
    <row r="6292" spans="1:10" x14ac:dyDescent="0.35">
      <c r="A6292" s="5">
        <v>6288</v>
      </c>
      <c r="B6292" s="5">
        <v>262</v>
      </c>
      <c r="C6292" s="5">
        <v>9</v>
      </c>
      <c r="D6292" s="379">
        <v>76.008333333333326</v>
      </c>
      <c r="E6292" s="25">
        <v>24.84</v>
      </c>
      <c r="F6292" s="379">
        <v>19.265707674656955</v>
      </c>
      <c r="G6292" s="25">
        <v>38.61</v>
      </c>
      <c r="H6292" s="379">
        <v>11.937851183195434</v>
      </c>
      <c r="I6292" s="25">
        <v>48.86</v>
      </c>
      <c r="J6292" s="379">
        <v>7.9905702598481634</v>
      </c>
    </row>
    <row r="6293" spans="1:10" x14ac:dyDescent="0.35">
      <c r="A6293" s="5">
        <v>6289</v>
      </c>
      <c r="B6293" s="5">
        <v>263</v>
      </c>
      <c r="C6293" s="5">
        <v>9</v>
      </c>
      <c r="D6293" s="379">
        <v>75.446666666666673</v>
      </c>
      <c r="E6293" s="25">
        <v>24.84</v>
      </c>
      <c r="F6293" s="379">
        <v>18.937120624087054</v>
      </c>
      <c r="G6293" s="25">
        <v>43.56</v>
      </c>
      <c r="H6293" s="379">
        <v>11.88506492012591</v>
      </c>
      <c r="I6293" s="25">
        <v>53.27</v>
      </c>
      <c r="J6293" s="379">
        <v>8.0274861721075119</v>
      </c>
    </row>
    <row r="6294" spans="1:10" x14ac:dyDescent="0.35">
      <c r="A6294" s="5">
        <v>6290</v>
      </c>
      <c r="B6294" s="5">
        <v>263</v>
      </c>
      <c r="C6294" s="5">
        <v>9</v>
      </c>
      <c r="D6294" s="379">
        <v>78.023888888888877</v>
      </c>
      <c r="E6294" s="25">
        <v>24.84</v>
      </c>
      <c r="F6294" s="379">
        <v>18.309624413387215</v>
      </c>
      <c r="G6294" s="25">
        <v>40.96</v>
      </c>
      <c r="H6294" s="379">
        <v>12.333362618763243</v>
      </c>
      <c r="I6294" s="25">
        <v>51.02</v>
      </c>
      <c r="J6294" s="379">
        <v>8.0394349891739836</v>
      </c>
    </row>
    <row r="6295" spans="1:10" x14ac:dyDescent="0.35">
      <c r="A6295" s="5">
        <v>6291</v>
      </c>
      <c r="B6295" s="5">
        <v>263</v>
      </c>
      <c r="C6295" s="5">
        <v>9</v>
      </c>
      <c r="D6295" s="379">
        <v>75.697222222222237</v>
      </c>
      <c r="E6295" s="25">
        <v>24.84</v>
      </c>
      <c r="F6295" s="379">
        <v>17.575040308158929</v>
      </c>
      <c r="G6295" s="25">
        <v>40.96</v>
      </c>
      <c r="H6295" s="379">
        <v>11.944018188804062</v>
      </c>
      <c r="I6295" s="25">
        <v>50.33</v>
      </c>
      <c r="J6295" s="379">
        <v>8.0358669962783704</v>
      </c>
    </row>
    <row r="6296" spans="1:10" x14ac:dyDescent="0.35">
      <c r="A6296" s="5">
        <v>6292</v>
      </c>
      <c r="B6296" s="5">
        <v>263</v>
      </c>
      <c r="C6296" s="5">
        <v>9</v>
      </c>
      <c r="D6296" s="379">
        <v>75.274444444444441</v>
      </c>
      <c r="E6296" s="25">
        <v>24.84</v>
      </c>
      <c r="F6296" s="379">
        <v>17.028671175911061</v>
      </c>
      <c r="G6296" s="25">
        <v>40.96</v>
      </c>
      <c r="H6296" s="379">
        <v>11.898434174096922</v>
      </c>
      <c r="I6296" s="25">
        <v>50.33</v>
      </c>
      <c r="J6296" s="379">
        <v>7.9989482032601469</v>
      </c>
    </row>
    <row r="6297" spans="1:10" x14ac:dyDescent="0.35">
      <c r="A6297" s="5">
        <v>6293</v>
      </c>
      <c r="B6297" s="5">
        <v>263</v>
      </c>
      <c r="C6297" s="5">
        <v>9</v>
      </c>
      <c r="D6297" s="379">
        <v>78.289999999999992</v>
      </c>
      <c r="E6297" s="25">
        <v>24.84</v>
      </c>
      <c r="F6297" s="379">
        <v>16.171030265621336</v>
      </c>
      <c r="G6297" s="25">
        <v>43.56</v>
      </c>
      <c r="H6297" s="379">
        <v>11.837010567823816</v>
      </c>
      <c r="I6297" s="25">
        <v>53.27</v>
      </c>
      <c r="J6297" s="379">
        <v>7.9779850196661641</v>
      </c>
    </row>
    <row r="6298" spans="1:10" x14ac:dyDescent="0.35">
      <c r="A6298" s="5">
        <v>6294</v>
      </c>
      <c r="B6298" s="5">
        <v>263</v>
      </c>
      <c r="C6298" s="5">
        <v>9</v>
      </c>
      <c r="D6298" s="379">
        <v>98.340555555555554</v>
      </c>
      <c r="E6298" s="25">
        <v>25.29</v>
      </c>
      <c r="F6298" s="379">
        <v>18.35251437747068</v>
      </c>
      <c r="G6298" s="25">
        <v>47.85</v>
      </c>
      <c r="H6298" s="379">
        <v>11.818312851346489</v>
      </c>
      <c r="I6298" s="25">
        <v>58.21</v>
      </c>
      <c r="J6298" s="379">
        <v>7.7598991630539764</v>
      </c>
    </row>
    <row r="6299" spans="1:10" x14ac:dyDescent="0.35">
      <c r="A6299" s="5">
        <v>6295</v>
      </c>
      <c r="B6299" s="5">
        <v>263</v>
      </c>
      <c r="C6299" s="5">
        <v>9</v>
      </c>
      <c r="D6299" s="379">
        <v>111.68777777777777</v>
      </c>
      <c r="E6299" s="25">
        <v>27.3</v>
      </c>
      <c r="F6299" s="379">
        <v>20.504052420782745</v>
      </c>
      <c r="G6299" s="25">
        <v>47.85</v>
      </c>
      <c r="H6299" s="379">
        <v>12.017489017944218</v>
      </c>
      <c r="I6299" s="25">
        <v>62.67</v>
      </c>
      <c r="J6299" s="379">
        <v>7.5928929105048661</v>
      </c>
    </row>
    <row r="6300" spans="1:10" x14ac:dyDescent="0.35">
      <c r="A6300" s="5">
        <v>6296</v>
      </c>
      <c r="B6300" s="5">
        <v>263</v>
      </c>
      <c r="C6300" s="5">
        <v>9</v>
      </c>
      <c r="D6300" s="379">
        <v>112.16333333333333</v>
      </c>
      <c r="E6300" s="25">
        <v>28.37</v>
      </c>
      <c r="F6300" s="379">
        <v>20.858662277057089</v>
      </c>
      <c r="G6300" s="25">
        <v>47.85</v>
      </c>
      <c r="H6300" s="379">
        <v>12.427099088312627</v>
      </c>
      <c r="I6300" s="25">
        <v>66.06</v>
      </c>
      <c r="J6300" s="379">
        <v>7.5928929105048661</v>
      </c>
    </row>
    <row r="6301" spans="1:10" x14ac:dyDescent="0.35">
      <c r="A6301" s="5">
        <v>6297</v>
      </c>
      <c r="B6301" s="5">
        <v>263</v>
      </c>
      <c r="C6301" s="5">
        <v>9</v>
      </c>
      <c r="D6301" s="379">
        <v>102.64277777777778</v>
      </c>
      <c r="E6301" s="25">
        <v>28.37</v>
      </c>
      <c r="F6301" s="379">
        <v>19.472131254680782</v>
      </c>
      <c r="G6301" s="25">
        <v>47.85</v>
      </c>
      <c r="H6301" s="379">
        <v>12.073041447308308</v>
      </c>
      <c r="I6301" s="25">
        <v>62.67</v>
      </c>
      <c r="J6301" s="379">
        <v>7.2800345530558106</v>
      </c>
    </row>
    <row r="6302" spans="1:10" x14ac:dyDescent="0.35">
      <c r="A6302" s="5">
        <v>6298</v>
      </c>
      <c r="B6302" s="5">
        <v>263</v>
      </c>
      <c r="C6302" s="5">
        <v>9</v>
      </c>
      <c r="D6302" s="379">
        <v>97.765000000000015</v>
      </c>
      <c r="E6302" s="25">
        <v>28.37</v>
      </c>
      <c r="F6302" s="379">
        <v>16.220291746098216</v>
      </c>
      <c r="G6302" s="25">
        <v>47.85</v>
      </c>
      <c r="H6302" s="379">
        <v>10.511038223916568</v>
      </c>
      <c r="I6302" s="25">
        <v>59.21</v>
      </c>
      <c r="J6302" s="379">
        <v>6.9359975253364441</v>
      </c>
    </row>
    <row r="6303" spans="1:10" x14ac:dyDescent="0.35">
      <c r="A6303" s="5">
        <v>6299</v>
      </c>
      <c r="B6303" s="5">
        <v>263</v>
      </c>
      <c r="C6303" s="5">
        <v>9</v>
      </c>
      <c r="D6303" s="379">
        <v>93.492777777777775</v>
      </c>
      <c r="E6303" s="25">
        <v>26.59</v>
      </c>
      <c r="F6303" s="379">
        <v>8.808158750049218</v>
      </c>
      <c r="G6303" s="25">
        <v>47.85</v>
      </c>
      <c r="H6303" s="379">
        <v>11.118391223568551</v>
      </c>
      <c r="I6303" s="25">
        <v>55.81</v>
      </c>
      <c r="J6303" s="379">
        <v>6.8468463129826889</v>
      </c>
    </row>
    <row r="6304" spans="1:10" x14ac:dyDescent="0.35">
      <c r="A6304" s="5">
        <v>6300</v>
      </c>
      <c r="B6304" s="5">
        <v>263</v>
      </c>
      <c r="C6304" s="5">
        <v>9</v>
      </c>
      <c r="D6304" s="379">
        <v>91.078333333333319</v>
      </c>
      <c r="E6304" s="25">
        <v>25.29</v>
      </c>
      <c r="F6304" s="379">
        <v>10.202824281881989</v>
      </c>
      <c r="G6304" s="25">
        <v>47.85</v>
      </c>
      <c r="H6304" s="379">
        <v>9.1542031751340698</v>
      </c>
      <c r="I6304" s="25">
        <v>53.27</v>
      </c>
      <c r="J6304" s="379">
        <v>7.1351571147483099</v>
      </c>
    </row>
    <row r="6305" spans="1:10" x14ac:dyDescent="0.35">
      <c r="A6305" s="5">
        <v>6301</v>
      </c>
      <c r="B6305" s="5">
        <v>263</v>
      </c>
      <c r="C6305" s="5">
        <v>9</v>
      </c>
      <c r="D6305" s="379">
        <v>91.107222222222219</v>
      </c>
      <c r="E6305" s="25">
        <v>25.29</v>
      </c>
      <c r="F6305" s="379">
        <v>11.00192939192196</v>
      </c>
      <c r="G6305" s="25">
        <v>45.43</v>
      </c>
      <c r="H6305" s="379">
        <v>11.327991582145621</v>
      </c>
      <c r="I6305" s="25">
        <v>53.27</v>
      </c>
      <c r="J6305" s="379">
        <v>7.1405861553982719</v>
      </c>
    </row>
    <row r="6306" spans="1:10" x14ac:dyDescent="0.35">
      <c r="A6306" s="5">
        <v>6302</v>
      </c>
      <c r="B6306" s="5">
        <v>263</v>
      </c>
      <c r="C6306" s="5">
        <v>9</v>
      </c>
      <c r="D6306" s="379">
        <v>91.388888888888886</v>
      </c>
      <c r="E6306" s="25">
        <v>24.84</v>
      </c>
      <c r="F6306" s="379">
        <v>10.049160863761276</v>
      </c>
      <c r="G6306" s="25">
        <v>45.43</v>
      </c>
      <c r="H6306" s="379">
        <v>11.060443856415572</v>
      </c>
      <c r="I6306" s="25">
        <v>53.27</v>
      </c>
      <c r="J6306" s="379">
        <v>7.1405861553982719</v>
      </c>
    </row>
    <row r="6307" spans="1:10" x14ac:dyDescent="0.35">
      <c r="A6307" s="5">
        <v>6303</v>
      </c>
      <c r="B6307" s="5">
        <v>263</v>
      </c>
      <c r="C6307" s="5">
        <v>9</v>
      </c>
      <c r="D6307" s="379">
        <v>95.285555555555561</v>
      </c>
      <c r="E6307" s="25">
        <v>24.84</v>
      </c>
      <c r="F6307" s="379">
        <v>9.4969002009364925</v>
      </c>
      <c r="G6307" s="25">
        <v>45.43</v>
      </c>
      <c r="H6307" s="379">
        <v>11.79063081362346</v>
      </c>
      <c r="I6307" s="25">
        <v>53.27</v>
      </c>
      <c r="J6307" s="379">
        <v>7.1405861553982719</v>
      </c>
    </row>
    <row r="6308" spans="1:10" x14ac:dyDescent="0.35">
      <c r="A6308" s="5">
        <v>6304</v>
      </c>
      <c r="B6308" s="5">
        <v>263</v>
      </c>
      <c r="C6308" s="5">
        <v>9</v>
      </c>
      <c r="D6308" s="379">
        <v>103.29333333333335</v>
      </c>
      <c r="E6308" s="25">
        <v>25.74</v>
      </c>
      <c r="F6308" s="379">
        <v>10.060734622954</v>
      </c>
      <c r="G6308" s="25">
        <v>47.85</v>
      </c>
      <c r="H6308" s="379">
        <v>11.606572521523164</v>
      </c>
      <c r="I6308" s="25">
        <v>53.27</v>
      </c>
      <c r="J6308" s="379">
        <v>7.0720870695900242</v>
      </c>
    </row>
    <row r="6309" spans="1:10" x14ac:dyDescent="0.35">
      <c r="A6309" s="5">
        <v>6305</v>
      </c>
      <c r="B6309" s="5">
        <v>263</v>
      </c>
      <c r="C6309" s="5">
        <v>9</v>
      </c>
      <c r="D6309" s="379">
        <v>119.97111111111111</v>
      </c>
      <c r="E6309" s="25">
        <v>28.37</v>
      </c>
      <c r="F6309" s="379">
        <v>18.27474572434425</v>
      </c>
      <c r="G6309" s="25">
        <v>47.85</v>
      </c>
      <c r="H6309" s="379">
        <v>11.433190286398931</v>
      </c>
      <c r="I6309" s="25">
        <v>53.81</v>
      </c>
      <c r="J6309" s="379">
        <v>7.0527977735178276</v>
      </c>
    </row>
    <row r="6310" spans="1:10" x14ac:dyDescent="0.35">
      <c r="A6310" s="5">
        <v>6306</v>
      </c>
      <c r="B6310" s="5">
        <v>263</v>
      </c>
      <c r="C6310" s="5">
        <v>9</v>
      </c>
      <c r="D6310" s="379">
        <v>130.82777777777775</v>
      </c>
      <c r="E6310" s="25">
        <v>28.37</v>
      </c>
      <c r="F6310" s="379">
        <v>24.112024399933052</v>
      </c>
      <c r="G6310" s="25">
        <v>47.85</v>
      </c>
      <c r="H6310" s="379">
        <v>16.970070500327317</v>
      </c>
      <c r="I6310" s="25">
        <v>59.21</v>
      </c>
      <c r="J6310" s="379">
        <v>7.6981977556061887</v>
      </c>
    </row>
    <row r="6311" spans="1:10" x14ac:dyDescent="0.35">
      <c r="A6311" s="5">
        <v>6307</v>
      </c>
      <c r="B6311" s="5">
        <v>263</v>
      </c>
      <c r="C6311" s="5">
        <v>9</v>
      </c>
      <c r="D6311" s="379">
        <v>138.88888888888889</v>
      </c>
      <c r="E6311" s="25">
        <v>28.37</v>
      </c>
      <c r="F6311" s="379">
        <v>23.668434506289088</v>
      </c>
      <c r="G6311" s="25">
        <v>47.85</v>
      </c>
      <c r="H6311" s="379">
        <v>17.129761917715093</v>
      </c>
      <c r="I6311" s="25">
        <v>66.06</v>
      </c>
      <c r="J6311" s="379">
        <v>7.5928929105048661</v>
      </c>
    </row>
    <row r="6312" spans="1:10" x14ac:dyDescent="0.35">
      <c r="A6312" s="5">
        <v>6308</v>
      </c>
      <c r="B6312" s="5">
        <v>263</v>
      </c>
      <c r="C6312" s="5">
        <v>9</v>
      </c>
      <c r="D6312" s="379">
        <v>127.81277777777778</v>
      </c>
      <c r="E6312" s="25">
        <v>28.37</v>
      </c>
      <c r="F6312" s="379">
        <v>23.517903790388853</v>
      </c>
      <c r="G6312" s="25">
        <v>47.85</v>
      </c>
      <c r="H6312" s="379">
        <v>17.121868233171483</v>
      </c>
      <c r="I6312" s="25">
        <v>66.06</v>
      </c>
      <c r="J6312" s="379">
        <v>7.5928929105048661</v>
      </c>
    </row>
    <row r="6313" spans="1:10" x14ac:dyDescent="0.35">
      <c r="A6313" s="5">
        <v>6309</v>
      </c>
      <c r="B6313" s="5">
        <v>263</v>
      </c>
      <c r="C6313" s="5">
        <v>9</v>
      </c>
      <c r="D6313" s="379">
        <v>119.61833333333334</v>
      </c>
      <c r="E6313" s="25">
        <v>27.3</v>
      </c>
      <c r="F6313" s="379">
        <v>23.543372308514041</v>
      </c>
      <c r="G6313" s="25">
        <v>47.85</v>
      </c>
      <c r="H6313" s="379">
        <v>16.07676793350355</v>
      </c>
      <c r="I6313" s="25">
        <v>66.06</v>
      </c>
      <c r="J6313" s="379">
        <v>7.7690935157457801</v>
      </c>
    </row>
    <row r="6314" spans="1:10" x14ac:dyDescent="0.35">
      <c r="A6314" s="5">
        <v>6310</v>
      </c>
      <c r="B6314" s="5">
        <v>263</v>
      </c>
      <c r="C6314" s="5">
        <v>9</v>
      </c>
      <c r="D6314" s="379">
        <v>106.71277777777777</v>
      </c>
      <c r="E6314" s="25">
        <v>25.29</v>
      </c>
      <c r="F6314" s="379">
        <v>24.381783804364993</v>
      </c>
      <c r="G6314" s="25">
        <v>47.85</v>
      </c>
      <c r="H6314" s="379">
        <v>16.296092712949648</v>
      </c>
      <c r="I6314" s="25">
        <v>62.27</v>
      </c>
      <c r="J6314" s="379">
        <v>7.5596749632260298</v>
      </c>
    </row>
    <row r="6315" spans="1:10" x14ac:dyDescent="0.35">
      <c r="A6315" s="5">
        <v>6311</v>
      </c>
      <c r="B6315" s="5">
        <v>263</v>
      </c>
      <c r="C6315" s="5">
        <v>9</v>
      </c>
      <c r="D6315" s="379">
        <v>98.127222222222215</v>
      </c>
      <c r="E6315" s="25">
        <v>24.84</v>
      </c>
      <c r="F6315" s="379">
        <v>24.075834666026772</v>
      </c>
      <c r="G6315" s="25">
        <v>43.56</v>
      </c>
      <c r="H6315" s="379">
        <v>15.193608350062712</v>
      </c>
      <c r="I6315" s="25">
        <v>60.99</v>
      </c>
      <c r="J6315" s="379">
        <v>7.8408907461090482</v>
      </c>
    </row>
    <row r="6316" spans="1:10" x14ac:dyDescent="0.35">
      <c r="A6316" s="5">
        <v>6312</v>
      </c>
      <c r="B6316" s="5">
        <v>263</v>
      </c>
      <c r="C6316" s="5">
        <v>9</v>
      </c>
      <c r="D6316" s="379">
        <v>91.321111111111122</v>
      </c>
      <c r="E6316" s="25">
        <v>24.84</v>
      </c>
      <c r="F6316" s="379">
        <v>23.037635316825984</v>
      </c>
      <c r="G6316" s="25">
        <v>43.56</v>
      </c>
      <c r="H6316" s="379">
        <v>15.501577426467277</v>
      </c>
      <c r="I6316" s="25">
        <v>56.15</v>
      </c>
      <c r="J6316" s="379">
        <v>7.9806928831196018</v>
      </c>
    </row>
    <row r="6317" spans="1:10" x14ac:dyDescent="0.35">
      <c r="A6317" s="5">
        <v>6313</v>
      </c>
      <c r="B6317" s="5">
        <v>264</v>
      </c>
      <c r="C6317" s="5">
        <v>9</v>
      </c>
      <c r="D6317" s="379">
        <v>91.555555555555557</v>
      </c>
      <c r="E6317" s="25">
        <v>24.84</v>
      </c>
      <c r="F6317" s="379">
        <v>22.80914448564809</v>
      </c>
      <c r="G6317" s="25">
        <v>43.56</v>
      </c>
      <c r="H6317" s="379">
        <v>15.132021239672106</v>
      </c>
      <c r="I6317" s="25">
        <v>56.91</v>
      </c>
      <c r="J6317" s="379">
        <v>8.033173793100449</v>
      </c>
    </row>
    <row r="6318" spans="1:10" x14ac:dyDescent="0.35">
      <c r="A6318" s="5">
        <v>6314</v>
      </c>
      <c r="B6318" s="5">
        <v>264</v>
      </c>
      <c r="C6318" s="5">
        <v>9</v>
      </c>
      <c r="D6318" s="379">
        <v>90.739444444444459</v>
      </c>
      <c r="E6318" s="25">
        <v>24.84</v>
      </c>
      <c r="F6318" s="379">
        <v>22.778207238521084</v>
      </c>
      <c r="G6318" s="25">
        <v>43.56</v>
      </c>
      <c r="H6318" s="379">
        <v>15.41588896245489</v>
      </c>
      <c r="I6318" s="25">
        <v>56.15</v>
      </c>
      <c r="J6318" s="379">
        <v>7.9268140581673894</v>
      </c>
    </row>
    <row r="6319" spans="1:10" x14ac:dyDescent="0.35">
      <c r="A6319" s="5">
        <v>6315</v>
      </c>
      <c r="B6319" s="5">
        <v>264</v>
      </c>
      <c r="C6319" s="5">
        <v>9</v>
      </c>
      <c r="D6319" s="379">
        <v>90.404999999999987</v>
      </c>
      <c r="E6319" s="25">
        <v>24.84</v>
      </c>
      <c r="F6319" s="379">
        <v>22.431118861891584</v>
      </c>
      <c r="G6319" s="25">
        <v>42.29</v>
      </c>
      <c r="H6319" s="379">
        <v>14.817111371814647</v>
      </c>
      <c r="I6319" s="25">
        <v>56.15</v>
      </c>
      <c r="J6319" s="379">
        <v>7.9815549990712089</v>
      </c>
    </row>
    <row r="6320" spans="1:10" x14ac:dyDescent="0.35">
      <c r="A6320" s="5">
        <v>6316</v>
      </c>
      <c r="B6320" s="5">
        <v>264</v>
      </c>
      <c r="C6320" s="5">
        <v>9</v>
      </c>
      <c r="D6320" s="379">
        <v>90.069444444444443</v>
      </c>
      <c r="E6320" s="25">
        <v>24.84</v>
      </c>
      <c r="F6320" s="379">
        <v>22.752205591877846</v>
      </c>
      <c r="G6320" s="25">
        <v>43.56</v>
      </c>
      <c r="H6320" s="379">
        <v>15.241593624619517</v>
      </c>
      <c r="I6320" s="25">
        <v>56.15</v>
      </c>
      <c r="J6320" s="379">
        <v>8.011461167929669</v>
      </c>
    </row>
    <row r="6321" spans="1:10" x14ac:dyDescent="0.35">
      <c r="A6321" s="5">
        <v>6317</v>
      </c>
      <c r="B6321" s="5">
        <v>264</v>
      </c>
      <c r="C6321" s="5">
        <v>9</v>
      </c>
      <c r="D6321" s="379">
        <v>98.037222222222212</v>
      </c>
      <c r="E6321" s="25">
        <v>24.84</v>
      </c>
      <c r="F6321" s="379">
        <v>22.63967111314405</v>
      </c>
      <c r="G6321" s="25">
        <v>43.56</v>
      </c>
      <c r="H6321" s="379">
        <v>14.876824144324226</v>
      </c>
      <c r="I6321" s="25">
        <v>57.26</v>
      </c>
      <c r="J6321" s="379">
        <v>7.9056938153426772</v>
      </c>
    </row>
    <row r="6322" spans="1:10" x14ac:dyDescent="0.35">
      <c r="A6322" s="5">
        <v>6318</v>
      </c>
      <c r="B6322" s="5">
        <v>264</v>
      </c>
      <c r="C6322" s="5">
        <v>9</v>
      </c>
      <c r="D6322" s="379">
        <v>110.5938888888889</v>
      </c>
      <c r="E6322" s="25">
        <v>24.84</v>
      </c>
      <c r="F6322" s="379">
        <v>23.310165992161647</v>
      </c>
      <c r="G6322" s="25">
        <v>47.46</v>
      </c>
      <c r="H6322" s="379">
        <v>15.562661805433564</v>
      </c>
      <c r="I6322" s="25">
        <v>66.06</v>
      </c>
      <c r="J6322" s="379">
        <v>7.7228633788057204</v>
      </c>
    </row>
    <row r="6323" spans="1:10" x14ac:dyDescent="0.35">
      <c r="A6323" s="5">
        <v>6319</v>
      </c>
      <c r="B6323" s="5">
        <v>264</v>
      </c>
      <c r="C6323" s="5">
        <v>9</v>
      </c>
      <c r="D6323" s="379">
        <v>136.01222222222219</v>
      </c>
      <c r="E6323" s="25">
        <v>28.12</v>
      </c>
      <c r="F6323" s="379">
        <v>22.612361657248062</v>
      </c>
      <c r="G6323" s="25">
        <v>47.85</v>
      </c>
      <c r="H6323" s="379">
        <v>13.57696494788591</v>
      </c>
      <c r="I6323" s="25">
        <v>70.09</v>
      </c>
      <c r="J6323" s="379">
        <v>7.5928929105048661</v>
      </c>
    </row>
    <row r="6324" spans="1:10" x14ac:dyDescent="0.35">
      <c r="A6324" s="5">
        <v>6320</v>
      </c>
      <c r="B6324" s="5">
        <v>264</v>
      </c>
      <c r="C6324" s="5">
        <v>9</v>
      </c>
      <c r="D6324" s="379">
        <v>135.07333333333332</v>
      </c>
      <c r="E6324" s="25">
        <v>28.12</v>
      </c>
      <c r="F6324" s="379">
        <v>17.698609948928521</v>
      </c>
      <c r="G6324" s="25">
        <v>47.85</v>
      </c>
      <c r="H6324" s="379">
        <v>6.2059513296298139</v>
      </c>
      <c r="I6324" s="25">
        <v>72.19</v>
      </c>
      <c r="J6324" s="379">
        <v>6.3769001249080928</v>
      </c>
    </row>
    <row r="6325" spans="1:10" x14ac:dyDescent="0.35">
      <c r="A6325" s="5">
        <v>6321</v>
      </c>
      <c r="B6325" s="5">
        <v>264</v>
      </c>
      <c r="C6325" s="5">
        <v>9</v>
      </c>
      <c r="D6325" s="379">
        <v>113.62277777777777</v>
      </c>
      <c r="E6325" s="25">
        <v>28.12</v>
      </c>
      <c r="F6325" s="379">
        <v>8.1174834595959595</v>
      </c>
      <c r="G6325" s="25">
        <v>47.85</v>
      </c>
      <c r="H6325" s="379">
        <v>4.799693804694658</v>
      </c>
      <c r="I6325" s="25">
        <v>66.06</v>
      </c>
      <c r="J6325" s="379">
        <v>4.3938706021109049</v>
      </c>
    </row>
    <row r="6326" spans="1:10" x14ac:dyDescent="0.35">
      <c r="A6326" s="5">
        <v>6322</v>
      </c>
      <c r="B6326" s="5">
        <v>264</v>
      </c>
      <c r="C6326" s="5">
        <v>9</v>
      </c>
      <c r="D6326" s="379">
        <v>101.18055555555556</v>
      </c>
      <c r="E6326" s="25">
        <v>26.51</v>
      </c>
      <c r="F6326" s="379">
        <v>11.313929967573973</v>
      </c>
      <c r="G6326" s="25">
        <v>47.85</v>
      </c>
      <c r="H6326" s="379">
        <v>5.8723930445581445</v>
      </c>
      <c r="I6326" s="25">
        <v>64.14</v>
      </c>
      <c r="J6326" s="379">
        <v>1.6871915573891725</v>
      </c>
    </row>
    <row r="6327" spans="1:10" x14ac:dyDescent="0.35">
      <c r="A6327" s="5">
        <v>6323</v>
      </c>
      <c r="B6327" s="5">
        <v>264</v>
      </c>
      <c r="C6327" s="5">
        <v>9</v>
      </c>
      <c r="D6327" s="379">
        <v>94.081111111111113</v>
      </c>
      <c r="E6327" s="25">
        <v>25.48</v>
      </c>
      <c r="F6327" s="379">
        <v>8.1174834595959595</v>
      </c>
      <c r="G6327" s="25">
        <v>47.46</v>
      </c>
      <c r="H6327" s="379">
        <v>8.1255526620749325</v>
      </c>
      <c r="I6327" s="25">
        <v>56.15</v>
      </c>
      <c r="J6327" s="379">
        <v>1.4217432319987948</v>
      </c>
    </row>
    <row r="6328" spans="1:10" x14ac:dyDescent="0.35">
      <c r="A6328" s="5">
        <v>6324</v>
      </c>
      <c r="B6328" s="5">
        <v>264</v>
      </c>
      <c r="C6328" s="5">
        <v>9</v>
      </c>
      <c r="D6328" s="379">
        <v>88.257222222222225</v>
      </c>
      <c r="E6328" s="25">
        <v>24.99</v>
      </c>
      <c r="F6328" s="379">
        <v>8.1174834595959595</v>
      </c>
      <c r="G6328" s="25">
        <v>47.46</v>
      </c>
      <c r="H6328" s="379">
        <v>7.3401089320186985</v>
      </c>
      <c r="I6328" s="25">
        <v>55.59</v>
      </c>
      <c r="J6328" s="379">
        <v>0.27777777777777779</v>
      </c>
    </row>
    <row r="6329" spans="1:10" x14ac:dyDescent="0.35">
      <c r="A6329" s="5">
        <v>6325</v>
      </c>
      <c r="B6329" s="5">
        <v>264</v>
      </c>
      <c r="C6329" s="5">
        <v>9</v>
      </c>
      <c r="D6329" s="379">
        <v>85.53166666666668</v>
      </c>
      <c r="E6329" s="25">
        <v>24.84</v>
      </c>
      <c r="F6329" s="379">
        <v>8.1174834595959595</v>
      </c>
      <c r="G6329" s="25">
        <v>44.74</v>
      </c>
      <c r="H6329" s="379">
        <v>8.1499565306689021</v>
      </c>
      <c r="I6329" s="25">
        <v>55.59</v>
      </c>
      <c r="J6329" s="379">
        <v>4.853883940564895</v>
      </c>
    </row>
    <row r="6330" spans="1:10" x14ac:dyDescent="0.35">
      <c r="A6330" s="5">
        <v>6326</v>
      </c>
      <c r="B6330" s="5">
        <v>264</v>
      </c>
      <c r="C6330" s="5">
        <v>9</v>
      </c>
      <c r="D6330" s="379">
        <v>86.842777777777783</v>
      </c>
      <c r="E6330" s="25">
        <v>24.84</v>
      </c>
      <c r="F6330" s="379">
        <v>8.1174834595959595</v>
      </c>
      <c r="G6330" s="25">
        <v>44.74</v>
      </c>
      <c r="H6330" s="379">
        <v>6.5402483287538917</v>
      </c>
      <c r="I6330" s="25">
        <v>55.59</v>
      </c>
      <c r="J6330" s="379">
        <v>2.0046636118919698</v>
      </c>
    </row>
    <row r="6331" spans="1:10" x14ac:dyDescent="0.35">
      <c r="A6331" s="5">
        <v>6327</v>
      </c>
      <c r="B6331" s="5">
        <v>264</v>
      </c>
      <c r="C6331" s="5">
        <v>9</v>
      </c>
      <c r="D6331" s="379">
        <v>90.774444444444441</v>
      </c>
      <c r="E6331" s="25">
        <v>24.84</v>
      </c>
      <c r="F6331" s="379">
        <v>8.1174834595959595</v>
      </c>
      <c r="G6331" s="25">
        <v>44.74</v>
      </c>
      <c r="H6331" s="379">
        <v>6.2138401068561464</v>
      </c>
      <c r="I6331" s="25">
        <v>55.59</v>
      </c>
      <c r="J6331" s="379">
        <v>3.9361140807449169</v>
      </c>
    </row>
    <row r="6332" spans="1:10" x14ac:dyDescent="0.35">
      <c r="A6332" s="5">
        <v>6328</v>
      </c>
      <c r="B6332" s="5">
        <v>264</v>
      </c>
      <c r="C6332" s="5">
        <v>9</v>
      </c>
      <c r="D6332" s="379">
        <v>100.50166666666668</v>
      </c>
      <c r="E6332" s="25">
        <v>25.48</v>
      </c>
      <c r="F6332" s="379">
        <v>8.9262241580803963</v>
      </c>
      <c r="G6332" s="25">
        <v>47.46</v>
      </c>
      <c r="H6332" s="379">
        <v>8.7888746120550234</v>
      </c>
      <c r="I6332" s="25">
        <v>55.59</v>
      </c>
      <c r="J6332" s="379">
        <v>0.38444444444444448</v>
      </c>
    </row>
    <row r="6333" spans="1:10" x14ac:dyDescent="0.35">
      <c r="A6333" s="5">
        <v>6329</v>
      </c>
      <c r="B6333" s="5">
        <v>264</v>
      </c>
      <c r="C6333" s="5">
        <v>9</v>
      </c>
      <c r="D6333" s="379">
        <v>107.83500000000001</v>
      </c>
      <c r="E6333" s="25">
        <v>26.35</v>
      </c>
      <c r="F6333" s="379">
        <v>10.143614307238495</v>
      </c>
      <c r="G6333" s="25">
        <v>47.46</v>
      </c>
      <c r="H6333" s="379">
        <v>8.7356289056247629</v>
      </c>
      <c r="I6333" s="25">
        <v>55.59</v>
      </c>
      <c r="J6333" s="379">
        <v>5.918460779322479</v>
      </c>
    </row>
    <row r="6334" spans="1:10" x14ac:dyDescent="0.35">
      <c r="A6334" s="5">
        <v>6330</v>
      </c>
      <c r="B6334" s="5">
        <v>264</v>
      </c>
      <c r="C6334" s="5">
        <v>9</v>
      </c>
      <c r="D6334" s="379">
        <v>120.78611111111113</v>
      </c>
      <c r="E6334" s="25">
        <v>26.51</v>
      </c>
      <c r="F6334" s="379">
        <v>20.812493546930657</v>
      </c>
      <c r="G6334" s="25">
        <v>47.85</v>
      </c>
      <c r="H6334" s="379">
        <v>10.998704378805778</v>
      </c>
      <c r="I6334" s="25">
        <v>56.15</v>
      </c>
      <c r="J6334" s="379">
        <v>6.7893722634900566</v>
      </c>
    </row>
    <row r="6335" spans="1:10" x14ac:dyDescent="0.35">
      <c r="A6335" s="5">
        <v>6331</v>
      </c>
      <c r="B6335" s="5">
        <v>264</v>
      </c>
      <c r="C6335" s="5">
        <v>9</v>
      </c>
      <c r="D6335" s="379">
        <v>133.0638888888889</v>
      </c>
      <c r="E6335" s="25">
        <v>26.53</v>
      </c>
      <c r="F6335" s="379">
        <v>21.820309944457819</v>
      </c>
      <c r="G6335" s="25">
        <v>47.85</v>
      </c>
      <c r="H6335" s="379">
        <v>10.740288732752651</v>
      </c>
      <c r="I6335" s="25">
        <v>65.400000000000006</v>
      </c>
      <c r="J6335" s="379">
        <v>7.0143508121538369</v>
      </c>
    </row>
    <row r="6336" spans="1:10" x14ac:dyDescent="0.35">
      <c r="A6336" s="5">
        <v>6332</v>
      </c>
      <c r="B6336" s="5">
        <v>264</v>
      </c>
      <c r="C6336" s="5">
        <v>9</v>
      </c>
      <c r="D6336" s="379">
        <v>116.99055555555555</v>
      </c>
      <c r="E6336" s="25">
        <v>27.3</v>
      </c>
      <c r="F6336" s="379">
        <v>21.090766821352823</v>
      </c>
      <c r="G6336" s="25">
        <v>47.85</v>
      </c>
      <c r="H6336" s="379">
        <v>10.7151325360746</v>
      </c>
      <c r="I6336" s="25">
        <v>65.400000000000006</v>
      </c>
      <c r="J6336" s="379">
        <v>7.0604932204093913</v>
      </c>
    </row>
    <row r="6337" spans="1:10" x14ac:dyDescent="0.35">
      <c r="A6337" s="5">
        <v>6333</v>
      </c>
      <c r="B6337" s="5">
        <v>264</v>
      </c>
      <c r="C6337" s="5">
        <v>9</v>
      </c>
      <c r="D6337" s="379">
        <v>99.292777777777772</v>
      </c>
      <c r="E6337" s="25">
        <v>25.59</v>
      </c>
      <c r="F6337" s="379">
        <v>21.909106346237959</v>
      </c>
      <c r="G6337" s="25">
        <v>44.74</v>
      </c>
      <c r="H6337" s="379">
        <v>10.014662339326911</v>
      </c>
      <c r="I6337" s="25">
        <v>57.49</v>
      </c>
      <c r="J6337" s="379">
        <v>6.7371402269750327</v>
      </c>
    </row>
    <row r="6338" spans="1:10" x14ac:dyDescent="0.35">
      <c r="A6338" s="5">
        <v>6334</v>
      </c>
      <c r="B6338" s="5">
        <v>264</v>
      </c>
      <c r="C6338" s="5">
        <v>9</v>
      </c>
      <c r="D6338" s="379">
        <v>91.070000000000007</v>
      </c>
      <c r="E6338" s="25">
        <v>24.84</v>
      </c>
      <c r="F6338" s="379">
        <v>20.500363258359378</v>
      </c>
      <c r="G6338" s="25">
        <v>44.74</v>
      </c>
      <c r="H6338" s="379">
        <v>9.9071854226340417</v>
      </c>
      <c r="I6338" s="25">
        <v>55.59</v>
      </c>
      <c r="J6338" s="379">
        <v>6.853962935915626</v>
      </c>
    </row>
    <row r="6339" spans="1:10" x14ac:dyDescent="0.35">
      <c r="A6339" s="5">
        <v>6335</v>
      </c>
      <c r="B6339" s="5">
        <v>264</v>
      </c>
      <c r="C6339" s="5">
        <v>9</v>
      </c>
      <c r="D6339" s="379">
        <v>91.69</v>
      </c>
      <c r="E6339" s="25">
        <v>24.84</v>
      </c>
      <c r="F6339" s="379">
        <v>9.8467403642419615</v>
      </c>
      <c r="G6339" s="25">
        <v>43.56</v>
      </c>
      <c r="H6339" s="379">
        <v>9.0875108568059169</v>
      </c>
      <c r="I6339" s="25">
        <v>54.19</v>
      </c>
      <c r="J6339" s="379">
        <v>6.8772853024730374</v>
      </c>
    </row>
    <row r="6340" spans="1:10" x14ac:dyDescent="0.35">
      <c r="A6340" s="5">
        <v>6336</v>
      </c>
      <c r="B6340" s="5">
        <v>264</v>
      </c>
      <c r="C6340" s="5">
        <v>9</v>
      </c>
      <c r="D6340" s="379">
        <v>94.333333333333343</v>
      </c>
      <c r="E6340" s="25">
        <v>24.84</v>
      </c>
      <c r="F6340" s="379">
        <v>8.7832216946134487</v>
      </c>
      <c r="G6340" s="25">
        <v>40.340000000000003</v>
      </c>
      <c r="H6340" s="379">
        <v>9.8202193720794302</v>
      </c>
      <c r="I6340" s="25">
        <v>47.66</v>
      </c>
      <c r="J6340" s="379">
        <v>6.4431918338702596</v>
      </c>
    </row>
    <row r="6341" spans="1:10" x14ac:dyDescent="0.35">
      <c r="A6341" s="5">
        <v>6337</v>
      </c>
      <c r="B6341" s="5">
        <v>265</v>
      </c>
      <c r="C6341" s="5">
        <v>9</v>
      </c>
      <c r="D6341" s="379">
        <v>93.818333333333328</v>
      </c>
      <c r="E6341" s="25">
        <v>24.11</v>
      </c>
      <c r="F6341" s="379">
        <v>8.2278820543229312</v>
      </c>
      <c r="G6341" s="25">
        <v>38.03</v>
      </c>
      <c r="H6341" s="379">
        <v>10.582313569416705</v>
      </c>
      <c r="I6341" s="25">
        <v>44.72</v>
      </c>
      <c r="J6341" s="379">
        <v>6.2967408358635799</v>
      </c>
    </row>
    <row r="6342" spans="1:10" x14ac:dyDescent="0.35">
      <c r="A6342" s="5">
        <v>6338</v>
      </c>
      <c r="B6342" s="5">
        <v>265</v>
      </c>
      <c r="C6342" s="5">
        <v>9</v>
      </c>
      <c r="D6342" s="379">
        <v>92.443333333333328</v>
      </c>
      <c r="E6342" s="25">
        <v>24.11</v>
      </c>
      <c r="F6342" s="379">
        <v>8.2731754176475931</v>
      </c>
      <c r="G6342" s="25">
        <v>37.49</v>
      </c>
      <c r="H6342" s="379">
        <v>10.509490335412938</v>
      </c>
      <c r="I6342" s="25">
        <v>43.41</v>
      </c>
      <c r="J6342" s="379">
        <v>6.4277879314699007</v>
      </c>
    </row>
    <row r="6343" spans="1:10" x14ac:dyDescent="0.35">
      <c r="A6343" s="5">
        <v>6339</v>
      </c>
      <c r="B6343" s="5">
        <v>265</v>
      </c>
      <c r="C6343" s="5">
        <v>9</v>
      </c>
      <c r="D6343" s="379">
        <v>89.24944444444445</v>
      </c>
      <c r="E6343" s="25">
        <v>24.11</v>
      </c>
      <c r="F6343" s="379">
        <v>8.2847280719814389</v>
      </c>
      <c r="G6343" s="25">
        <v>37.49</v>
      </c>
      <c r="H6343" s="379">
        <v>10.509637320551775</v>
      </c>
      <c r="I6343" s="25">
        <v>43.41</v>
      </c>
      <c r="J6343" s="379">
        <v>7.0511042981245557</v>
      </c>
    </row>
    <row r="6344" spans="1:10" x14ac:dyDescent="0.35">
      <c r="A6344" s="5">
        <v>6340</v>
      </c>
      <c r="B6344" s="5">
        <v>265</v>
      </c>
      <c r="C6344" s="5">
        <v>9</v>
      </c>
      <c r="D6344" s="379">
        <v>91.615555555555545</v>
      </c>
      <c r="E6344" s="25">
        <v>24.73</v>
      </c>
      <c r="F6344" s="379">
        <v>8.3096327927286797</v>
      </c>
      <c r="G6344" s="25">
        <v>38.380000000000003</v>
      </c>
      <c r="H6344" s="379">
        <v>10.874396543496001</v>
      </c>
      <c r="I6344" s="25">
        <v>44.72</v>
      </c>
      <c r="J6344" s="379">
        <v>7.2493090389692769</v>
      </c>
    </row>
    <row r="6345" spans="1:10" x14ac:dyDescent="0.35">
      <c r="A6345" s="5">
        <v>6341</v>
      </c>
      <c r="B6345" s="5">
        <v>265</v>
      </c>
      <c r="C6345" s="5">
        <v>9</v>
      </c>
      <c r="D6345" s="379">
        <v>98.231666666666669</v>
      </c>
      <c r="E6345" s="25">
        <v>24.84</v>
      </c>
      <c r="F6345" s="379">
        <v>8.357116660321914</v>
      </c>
      <c r="G6345" s="25">
        <v>40.340000000000003</v>
      </c>
      <c r="H6345" s="379">
        <v>11.558294246179713</v>
      </c>
      <c r="I6345" s="25">
        <v>48.1</v>
      </c>
      <c r="J6345" s="379">
        <v>7.5696234461566512</v>
      </c>
    </row>
    <row r="6346" spans="1:10" x14ac:dyDescent="0.35">
      <c r="A6346" s="5">
        <v>6342</v>
      </c>
      <c r="B6346" s="5">
        <v>265</v>
      </c>
      <c r="C6346" s="5">
        <v>9</v>
      </c>
      <c r="D6346" s="379">
        <v>111.25055555555556</v>
      </c>
      <c r="E6346" s="25">
        <v>24.84</v>
      </c>
      <c r="F6346" s="379">
        <v>8.40330107521625</v>
      </c>
      <c r="G6346" s="25">
        <v>44.45</v>
      </c>
      <c r="H6346" s="379">
        <v>11.576998070211085</v>
      </c>
      <c r="I6346" s="25">
        <v>49.05</v>
      </c>
      <c r="J6346" s="379">
        <v>7.7139597171931467</v>
      </c>
    </row>
    <row r="6347" spans="1:10" x14ac:dyDescent="0.35">
      <c r="A6347" s="5">
        <v>6343</v>
      </c>
      <c r="B6347" s="5">
        <v>265</v>
      </c>
      <c r="C6347" s="5">
        <v>9</v>
      </c>
      <c r="D6347" s="379">
        <v>124.47611111111108</v>
      </c>
      <c r="E6347" s="25">
        <v>26.37</v>
      </c>
      <c r="F6347" s="379">
        <v>8.570638903967561</v>
      </c>
      <c r="G6347" s="25">
        <v>47.85</v>
      </c>
      <c r="H6347" s="379">
        <v>11.464847873610418</v>
      </c>
      <c r="I6347" s="25">
        <v>53.71</v>
      </c>
      <c r="J6347" s="379">
        <v>7.7578594867521922</v>
      </c>
    </row>
    <row r="6348" spans="1:10" x14ac:dyDescent="0.35">
      <c r="A6348" s="5">
        <v>6344</v>
      </c>
      <c r="B6348" s="5">
        <v>265</v>
      </c>
      <c r="C6348" s="5">
        <v>9</v>
      </c>
      <c r="D6348" s="379">
        <v>124.77944444444445</v>
      </c>
      <c r="E6348" s="25">
        <v>27.03</v>
      </c>
      <c r="F6348" s="379">
        <v>8.8578593055385166</v>
      </c>
      <c r="G6348" s="25">
        <v>47.85</v>
      </c>
      <c r="H6348" s="379">
        <v>11.521565724062507</v>
      </c>
      <c r="I6348" s="25">
        <v>56.52</v>
      </c>
      <c r="J6348" s="379">
        <v>7.3388592593122155</v>
      </c>
    </row>
    <row r="6349" spans="1:10" x14ac:dyDescent="0.35">
      <c r="A6349" s="5">
        <v>6345</v>
      </c>
      <c r="B6349" s="5">
        <v>265</v>
      </c>
      <c r="C6349" s="5">
        <v>9</v>
      </c>
      <c r="D6349" s="379">
        <v>106.03388888888888</v>
      </c>
      <c r="E6349" s="25">
        <v>27.3</v>
      </c>
      <c r="F6349" s="379">
        <v>8.1174834595959613</v>
      </c>
      <c r="G6349" s="25">
        <v>47.85</v>
      </c>
      <c r="H6349" s="379">
        <v>10.771925003084547</v>
      </c>
      <c r="I6349" s="25">
        <v>55.81</v>
      </c>
      <c r="J6349" s="379">
        <v>6.6484421809148309</v>
      </c>
    </row>
    <row r="6350" spans="1:10" x14ac:dyDescent="0.35">
      <c r="A6350" s="5">
        <v>6346</v>
      </c>
      <c r="B6350" s="5">
        <v>265</v>
      </c>
      <c r="C6350" s="5">
        <v>9</v>
      </c>
      <c r="D6350" s="379">
        <v>95.614999999999981</v>
      </c>
      <c r="E6350" s="25">
        <v>25.59</v>
      </c>
      <c r="F6350" s="379">
        <v>8.1174834595959577</v>
      </c>
      <c r="G6350" s="25">
        <v>47.85</v>
      </c>
      <c r="H6350" s="379">
        <v>10.80029741480168</v>
      </c>
      <c r="I6350" s="25">
        <v>53.51</v>
      </c>
      <c r="J6350" s="379">
        <v>6.7679882038392813</v>
      </c>
    </row>
    <row r="6351" spans="1:10" x14ac:dyDescent="0.35">
      <c r="A6351" s="5">
        <v>6347</v>
      </c>
      <c r="B6351" s="5">
        <v>265</v>
      </c>
      <c r="C6351" s="5">
        <v>9</v>
      </c>
      <c r="D6351" s="379">
        <v>90.74388888888889</v>
      </c>
      <c r="E6351" s="25">
        <v>25.59</v>
      </c>
      <c r="F6351" s="379">
        <v>8.1174834595959577</v>
      </c>
      <c r="G6351" s="25">
        <v>47.85</v>
      </c>
      <c r="H6351" s="379">
        <v>9.7318156726564471</v>
      </c>
      <c r="I6351" s="25">
        <v>48.86</v>
      </c>
      <c r="J6351" s="379">
        <v>7.0361504018848784</v>
      </c>
    </row>
    <row r="6352" spans="1:10" x14ac:dyDescent="0.35">
      <c r="A6352" s="5">
        <v>6348</v>
      </c>
      <c r="B6352" s="5">
        <v>265</v>
      </c>
      <c r="C6352" s="5">
        <v>9</v>
      </c>
      <c r="D6352" s="379">
        <v>85.757777777777761</v>
      </c>
      <c r="E6352" s="25">
        <v>25.48</v>
      </c>
      <c r="F6352" s="379">
        <v>8.1174834595959613</v>
      </c>
      <c r="G6352" s="25">
        <v>47.46</v>
      </c>
      <c r="H6352" s="379">
        <v>8.7094798121205557</v>
      </c>
      <c r="I6352" s="25">
        <v>48.1</v>
      </c>
      <c r="J6352" s="379">
        <v>5.998469379613832</v>
      </c>
    </row>
    <row r="6353" spans="1:10" x14ac:dyDescent="0.35">
      <c r="A6353" s="5">
        <v>6349</v>
      </c>
      <c r="B6353" s="5">
        <v>265</v>
      </c>
      <c r="C6353" s="5">
        <v>9</v>
      </c>
      <c r="D6353" s="379">
        <v>80.118333333333325</v>
      </c>
      <c r="E6353" s="25">
        <v>25.29</v>
      </c>
      <c r="F6353" s="379">
        <v>8.1174834595959613</v>
      </c>
      <c r="G6353" s="25">
        <v>47.85</v>
      </c>
      <c r="H6353" s="379">
        <v>9.0725885618896651</v>
      </c>
      <c r="I6353" s="25">
        <v>48.1</v>
      </c>
      <c r="J6353" s="379">
        <v>6.515218485832591</v>
      </c>
    </row>
    <row r="6354" spans="1:10" x14ac:dyDescent="0.35">
      <c r="A6354" s="5">
        <v>6350</v>
      </c>
      <c r="B6354" s="5">
        <v>265</v>
      </c>
      <c r="C6354" s="5">
        <v>9</v>
      </c>
      <c r="D6354" s="379">
        <v>88.180555555555557</v>
      </c>
      <c r="E6354" s="25">
        <v>25.59</v>
      </c>
      <c r="F6354" s="379">
        <v>8.1174834595959613</v>
      </c>
      <c r="G6354" s="25">
        <v>47.85</v>
      </c>
      <c r="H6354" s="379">
        <v>8.7094798121205557</v>
      </c>
      <c r="I6354" s="25">
        <v>48.1</v>
      </c>
      <c r="J6354" s="379">
        <v>6.8662693566988233</v>
      </c>
    </row>
    <row r="6355" spans="1:10" x14ac:dyDescent="0.35">
      <c r="A6355" s="5">
        <v>6351</v>
      </c>
      <c r="B6355" s="5">
        <v>265</v>
      </c>
      <c r="C6355" s="5">
        <v>9</v>
      </c>
      <c r="D6355" s="379">
        <v>90.761111111111092</v>
      </c>
      <c r="E6355" s="25">
        <v>25.59</v>
      </c>
      <c r="F6355" s="379">
        <v>8.5018573481406676</v>
      </c>
      <c r="G6355" s="25">
        <v>47.85</v>
      </c>
      <c r="H6355" s="379">
        <v>10.354610522170889</v>
      </c>
      <c r="I6355" s="25">
        <v>50.44</v>
      </c>
      <c r="J6355" s="379">
        <v>7.3075601144680746</v>
      </c>
    </row>
    <row r="6356" spans="1:10" x14ac:dyDescent="0.35">
      <c r="A6356" s="5">
        <v>6352</v>
      </c>
      <c r="B6356" s="5">
        <v>265</v>
      </c>
      <c r="C6356" s="5">
        <v>9</v>
      </c>
      <c r="D6356" s="379">
        <v>105.85000000000001</v>
      </c>
      <c r="E6356" s="25">
        <v>26.24</v>
      </c>
      <c r="F6356" s="379">
        <v>8.7129118032444897</v>
      </c>
      <c r="G6356" s="25">
        <v>47.85</v>
      </c>
      <c r="H6356" s="379">
        <v>10.553281212527217</v>
      </c>
      <c r="I6356" s="25">
        <v>51.72</v>
      </c>
      <c r="J6356" s="379">
        <v>7.3280891345080947</v>
      </c>
    </row>
    <row r="6357" spans="1:10" x14ac:dyDescent="0.35">
      <c r="A6357" s="5">
        <v>6353</v>
      </c>
      <c r="B6357" s="5">
        <v>265</v>
      </c>
      <c r="C6357" s="5">
        <v>9</v>
      </c>
      <c r="D6357" s="379">
        <v>117.90777777777778</v>
      </c>
      <c r="E6357" s="25">
        <v>27.3</v>
      </c>
      <c r="F6357" s="379">
        <v>11.961606102611848</v>
      </c>
      <c r="G6357" s="25">
        <v>47.85</v>
      </c>
      <c r="H6357" s="379">
        <v>10.217113082811377</v>
      </c>
      <c r="I6357" s="25">
        <v>53.71</v>
      </c>
      <c r="J6357" s="379">
        <v>7.536332313235703</v>
      </c>
    </row>
    <row r="6358" spans="1:10" x14ac:dyDescent="0.35">
      <c r="A6358" s="5">
        <v>6354</v>
      </c>
      <c r="B6358" s="5">
        <v>265</v>
      </c>
      <c r="C6358" s="5">
        <v>9</v>
      </c>
      <c r="D6358" s="379">
        <v>124.06166666666667</v>
      </c>
      <c r="E6358" s="25">
        <v>28.12</v>
      </c>
      <c r="F6358" s="379">
        <v>18.895274314029212</v>
      </c>
      <c r="G6358" s="25">
        <v>47.85</v>
      </c>
      <c r="H6358" s="379">
        <v>10.553281212527217</v>
      </c>
      <c r="I6358" s="25">
        <v>54.19</v>
      </c>
      <c r="J6358" s="379">
        <v>7.7909281368304066</v>
      </c>
    </row>
    <row r="6359" spans="1:10" x14ac:dyDescent="0.35">
      <c r="A6359" s="5">
        <v>6355</v>
      </c>
      <c r="B6359" s="5">
        <v>265</v>
      </c>
      <c r="C6359" s="5">
        <v>9</v>
      </c>
      <c r="D6359" s="379">
        <v>135.94277777777779</v>
      </c>
      <c r="E6359" s="25">
        <v>28.12</v>
      </c>
      <c r="F6359" s="379">
        <v>17.469875063434362</v>
      </c>
      <c r="G6359" s="25">
        <v>52.2</v>
      </c>
      <c r="H6359" s="379">
        <v>10.666041089657226</v>
      </c>
      <c r="I6359" s="25">
        <v>59.44</v>
      </c>
      <c r="J6359" s="379">
        <v>7.9895778501725312</v>
      </c>
    </row>
    <row r="6360" spans="1:10" x14ac:dyDescent="0.35">
      <c r="A6360" s="5">
        <v>6356</v>
      </c>
      <c r="B6360" s="5">
        <v>265</v>
      </c>
      <c r="C6360" s="5">
        <v>9</v>
      </c>
      <c r="D6360" s="379">
        <v>122.86500000000001</v>
      </c>
      <c r="E6360" s="25">
        <v>28.12</v>
      </c>
      <c r="F6360" s="379">
        <v>18.958828039990543</v>
      </c>
      <c r="G6360" s="25">
        <v>48.39</v>
      </c>
      <c r="H6360" s="379">
        <v>10.66407602023423</v>
      </c>
      <c r="I6360" s="25">
        <v>55.81</v>
      </c>
      <c r="J6360" s="379">
        <v>7.9076785983495075</v>
      </c>
    </row>
    <row r="6361" spans="1:10" x14ac:dyDescent="0.35">
      <c r="A6361" s="5">
        <v>6357</v>
      </c>
      <c r="B6361" s="5">
        <v>265</v>
      </c>
      <c r="C6361" s="5">
        <v>9</v>
      </c>
      <c r="D6361" s="379">
        <v>110.00722222222221</v>
      </c>
      <c r="E6361" s="25">
        <v>25.59</v>
      </c>
      <c r="F6361" s="379">
        <v>13.599415524929361</v>
      </c>
      <c r="G6361" s="25">
        <v>47.85</v>
      </c>
      <c r="H6361" s="379">
        <v>10.182197198985836</v>
      </c>
      <c r="I6361" s="25">
        <v>53.71</v>
      </c>
      <c r="J6361" s="379">
        <v>7.7301173190881833</v>
      </c>
    </row>
    <row r="6362" spans="1:10" x14ac:dyDescent="0.35">
      <c r="A6362" s="5">
        <v>6358</v>
      </c>
      <c r="B6362" s="5">
        <v>265</v>
      </c>
      <c r="C6362" s="5">
        <v>9</v>
      </c>
      <c r="D6362" s="379">
        <v>102.67833333333333</v>
      </c>
      <c r="E6362" s="25">
        <v>25.29</v>
      </c>
      <c r="F6362" s="379">
        <v>14.181565310588656</v>
      </c>
      <c r="G6362" s="25">
        <v>46.79</v>
      </c>
      <c r="H6362" s="379">
        <v>10.634714571377096</v>
      </c>
      <c r="I6362" s="25">
        <v>53.51</v>
      </c>
      <c r="J6362" s="379">
        <v>5.520494643218198</v>
      </c>
    </row>
    <row r="6363" spans="1:10" x14ac:dyDescent="0.35">
      <c r="A6363" s="5">
        <v>6359</v>
      </c>
      <c r="B6363" s="5">
        <v>265</v>
      </c>
      <c r="C6363" s="5">
        <v>9</v>
      </c>
      <c r="D6363" s="379">
        <v>101.50444444444446</v>
      </c>
      <c r="E6363" s="25">
        <v>24.84</v>
      </c>
      <c r="F6363" s="379">
        <v>14.504616914314559</v>
      </c>
      <c r="G6363" s="25">
        <v>43.56</v>
      </c>
      <c r="H6363" s="379">
        <v>10.44707233351695</v>
      </c>
      <c r="I6363" s="25">
        <v>51.03</v>
      </c>
      <c r="J6363" s="379">
        <v>5.4703814414255421</v>
      </c>
    </row>
    <row r="6364" spans="1:10" x14ac:dyDescent="0.35">
      <c r="A6364" s="5">
        <v>6360</v>
      </c>
      <c r="B6364" s="5">
        <v>265</v>
      </c>
      <c r="C6364" s="5">
        <v>9</v>
      </c>
      <c r="D6364" s="379">
        <v>95.812222222222218</v>
      </c>
      <c r="E6364" s="25">
        <v>24.84</v>
      </c>
      <c r="F6364" s="379">
        <v>12.901605672724816</v>
      </c>
      <c r="G6364" s="25">
        <v>43.56</v>
      </c>
      <c r="H6364" s="379">
        <v>9.5627127151853433</v>
      </c>
      <c r="I6364" s="25">
        <v>50.52</v>
      </c>
      <c r="J6364" s="379">
        <v>5.0957249098927031</v>
      </c>
    </row>
    <row r="6365" spans="1:10" x14ac:dyDescent="0.35">
      <c r="A6365" s="5">
        <v>6361</v>
      </c>
      <c r="B6365" s="5">
        <v>266</v>
      </c>
      <c r="C6365" s="5">
        <v>9</v>
      </c>
      <c r="D6365" s="379">
        <v>99.23333333333332</v>
      </c>
      <c r="E6365" s="25">
        <v>24.84</v>
      </c>
      <c r="F6365" s="379">
        <v>12.744053732983671</v>
      </c>
      <c r="G6365" s="25">
        <v>42.36</v>
      </c>
      <c r="H6365" s="379">
        <v>9.7806451988241907</v>
      </c>
      <c r="I6365" s="25">
        <v>51.64</v>
      </c>
      <c r="J6365" s="379">
        <v>5.2212614483173683</v>
      </c>
    </row>
    <row r="6366" spans="1:10" x14ac:dyDescent="0.35">
      <c r="A6366" s="5">
        <v>6362</v>
      </c>
      <c r="B6366" s="5">
        <v>266</v>
      </c>
      <c r="C6366" s="5">
        <v>9</v>
      </c>
      <c r="D6366" s="379">
        <v>98.102222222222224</v>
      </c>
      <c r="E6366" s="25">
        <v>24.84</v>
      </c>
      <c r="F6366" s="379">
        <v>10.914969876486499</v>
      </c>
      <c r="G6366" s="25">
        <v>40.67</v>
      </c>
      <c r="H6366" s="379">
        <v>9.703115882314858</v>
      </c>
      <c r="I6366" s="25">
        <v>51.64</v>
      </c>
      <c r="J6366" s="379">
        <v>5.2212614483173683</v>
      </c>
    </row>
    <row r="6367" spans="1:10" x14ac:dyDescent="0.35">
      <c r="A6367" s="5">
        <v>6363</v>
      </c>
      <c r="B6367" s="5">
        <v>266</v>
      </c>
      <c r="C6367" s="5">
        <v>9</v>
      </c>
      <c r="D6367" s="379">
        <v>95.73888888888888</v>
      </c>
      <c r="E6367" s="25">
        <v>24.84</v>
      </c>
      <c r="F6367" s="379">
        <v>10.170901201921803</v>
      </c>
      <c r="G6367" s="25">
        <v>40.67</v>
      </c>
      <c r="H6367" s="379">
        <v>9.8909660020754178</v>
      </c>
      <c r="I6367" s="25">
        <v>51.64</v>
      </c>
      <c r="J6367" s="379">
        <v>5.2207773917020841</v>
      </c>
    </row>
    <row r="6368" spans="1:10" x14ac:dyDescent="0.35">
      <c r="A6368" s="5">
        <v>6364</v>
      </c>
      <c r="B6368" s="5">
        <v>266</v>
      </c>
      <c r="C6368" s="5">
        <v>9</v>
      </c>
      <c r="D6368" s="379">
        <v>97.247222222222234</v>
      </c>
      <c r="E6368" s="25">
        <v>24.84</v>
      </c>
      <c r="F6368" s="379">
        <v>9.4503287385540844</v>
      </c>
      <c r="G6368" s="25">
        <v>40.67</v>
      </c>
      <c r="H6368" s="379">
        <v>9.7616891732872482</v>
      </c>
      <c r="I6368" s="25">
        <v>51.64</v>
      </c>
      <c r="J6368" s="379">
        <v>5.3694694670306209</v>
      </c>
    </row>
    <row r="6369" spans="1:10" x14ac:dyDescent="0.35">
      <c r="A6369" s="5">
        <v>6365</v>
      </c>
      <c r="B6369" s="5">
        <v>266</v>
      </c>
      <c r="C6369" s="5">
        <v>9</v>
      </c>
      <c r="D6369" s="379">
        <v>105.72</v>
      </c>
      <c r="E6369" s="25">
        <v>24.84</v>
      </c>
      <c r="F6369" s="379">
        <v>10.170901201921803</v>
      </c>
      <c r="G6369" s="25">
        <v>40.67</v>
      </c>
      <c r="H6369" s="379">
        <v>9.301341166525761</v>
      </c>
      <c r="I6369" s="25">
        <v>51.64</v>
      </c>
      <c r="J6369" s="379">
        <v>5.3288166869763911</v>
      </c>
    </row>
    <row r="6370" spans="1:10" x14ac:dyDescent="0.35">
      <c r="A6370" s="5">
        <v>6366</v>
      </c>
      <c r="B6370" s="5">
        <v>266</v>
      </c>
      <c r="C6370" s="5">
        <v>9</v>
      </c>
      <c r="D6370" s="379">
        <v>121.06055555555557</v>
      </c>
      <c r="E6370" s="25">
        <v>24.84</v>
      </c>
      <c r="F6370" s="379">
        <v>10.683153196470867</v>
      </c>
      <c r="G6370" s="25">
        <v>43.56</v>
      </c>
      <c r="H6370" s="379">
        <v>9.1610001823458109</v>
      </c>
      <c r="I6370" s="25">
        <v>53.51</v>
      </c>
      <c r="J6370" s="379">
        <v>5.3850329334506437</v>
      </c>
    </row>
    <row r="6371" spans="1:10" x14ac:dyDescent="0.35">
      <c r="A6371" s="5">
        <v>6367</v>
      </c>
      <c r="B6371" s="5">
        <v>266</v>
      </c>
      <c r="C6371" s="5">
        <v>9</v>
      </c>
      <c r="D6371" s="379">
        <v>130.67777777777778</v>
      </c>
      <c r="E6371" s="25">
        <v>25.74</v>
      </c>
      <c r="F6371" s="379">
        <v>11.064007566341262</v>
      </c>
      <c r="G6371" s="25">
        <v>47.85</v>
      </c>
      <c r="H6371" s="379">
        <v>8.4115372345980077</v>
      </c>
      <c r="I6371" s="25">
        <v>60.75</v>
      </c>
      <c r="J6371" s="379">
        <v>7.1600626545940109</v>
      </c>
    </row>
    <row r="6372" spans="1:10" x14ac:dyDescent="0.35">
      <c r="A6372" s="5">
        <v>6368</v>
      </c>
      <c r="B6372" s="5">
        <v>266</v>
      </c>
      <c r="C6372" s="5">
        <v>9</v>
      </c>
      <c r="D6372" s="379">
        <v>129.36277777777775</v>
      </c>
      <c r="E6372" s="25">
        <v>26.51</v>
      </c>
      <c r="F6372" s="379">
        <v>9.7368086866282244</v>
      </c>
      <c r="G6372" s="25">
        <v>47.85</v>
      </c>
      <c r="H6372" s="379">
        <v>7.9563393362904087</v>
      </c>
      <c r="I6372" s="25">
        <v>62.27</v>
      </c>
      <c r="J6372" s="379">
        <v>6.0181913800855664</v>
      </c>
    </row>
    <row r="6373" spans="1:10" x14ac:dyDescent="0.35">
      <c r="A6373" s="5">
        <v>6369</v>
      </c>
      <c r="B6373" s="5">
        <v>266</v>
      </c>
      <c r="C6373" s="5">
        <v>9</v>
      </c>
      <c r="D6373" s="379">
        <v>116.15333333333331</v>
      </c>
      <c r="E6373" s="25">
        <v>26.51</v>
      </c>
      <c r="F6373" s="379">
        <v>8.9590640160524906</v>
      </c>
      <c r="G6373" s="25">
        <v>47.85</v>
      </c>
      <c r="H6373" s="379">
        <v>7.8473526666772555</v>
      </c>
      <c r="I6373" s="25">
        <v>62.27</v>
      </c>
      <c r="J6373" s="379">
        <v>5.3504429305388079</v>
      </c>
    </row>
    <row r="6374" spans="1:10" x14ac:dyDescent="0.35">
      <c r="A6374" s="5">
        <v>6370</v>
      </c>
      <c r="B6374" s="5">
        <v>266</v>
      </c>
      <c r="C6374" s="5">
        <v>9</v>
      </c>
      <c r="D6374" s="379">
        <v>115.11166666666665</v>
      </c>
      <c r="E6374" s="25">
        <v>25.74</v>
      </c>
      <c r="F6374" s="379">
        <v>9.0124072384010958</v>
      </c>
      <c r="G6374" s="25">
        <v>47.85</v>
      </c>
      <c r="H6374" s="379">
        <v>8.2567253851154998</v>
      </c>
      <c r="I6374" s="25">
        <v>57.26</v>
      </c>
      <c r="J6374" s="379">
        <v>6.3671745228785301</v>
      </c>
    </row>
    <row r="6375" spans="1:10" x14ac:dyDescent="0.35">
      <c r="A6375" s="5">
        <v>6371</v>
      </c>
      <c r="B6375" s="5">
        <v>266</v>
      </c>
      <c r="C6375" s="5">
        <v>9</v>
      </c>
      <c r="D6375" s="379">
        <v>110.79166666666667</v>
      </c>
      <c r="E6375" s="25">
        <v>25.74</v>
      </c>
      <c r="F6375" s="379">
        <v>8.6078676662768192</v>
      </c>
      <c r="G6375" s="25">
        <v>47.85</v>
      </c>
      <c r="H6375" s="379">
        <v>8.3613509318374994</v>
      </c>
      <c r="I6375" s="25">
        <v>53.51</v>
      </c>
      <c r="J6375" s="379">
        <v>6.0430692237331645</v>
      </c>
    </row>
    <row r="6376" spans="1:10" x14ac:dyDescent="0.35">
      <c r="A6376" s="5">
        <v>6372</v>
      </c>
      <c r="B6376" s="5">
        <v>266</v>
      </c>
      <c r="C6376" s="5">
        <v>9</v>
      </c>
      <c r="D6376" s="379">
        <v>106.28777777777776</v>
      </c>
      <c r="E6376" s="25">
        <v>25.73</v>
      </c>
      <c r="F6376" s="379">
        <v>9.2107184925828438</v>
      </c>
      <c r="G6376" s="25">
        <v>47.85</v>
      </c>
      <c r="H6376" s="379">
        <v>9.3629336149118494</v>
      </c>
      <c r="I6376" s="25">
        <v>52.16</v>
      </c>
      <c r="J6376" s="379">
        <v>6.8955705443921476</v>
      </c>
    </row>
    <row r="6377" spans="1:10" x14ac:dyDescent="0.35">
      <c r="A6377" s="5">
        <v>6373</v>
      </c>
      <c r="B6377" s="5">
        <v>266</v>
      </c>
      <c r="C6377" s="5">
        <v>9</v>
      </c>
      <c r="D6377" s="379">
        <v>96.196111111111122</v>
      </c>
      <c r="E6377" s="25">
        <v>25.73</v>
      </c>
      <c r="F6377" s="379">
        <v>9.0548934041974452</v>
      </c>
      <c r="G6377" s="25">
        <v>47.85</v>
      </c>
      <c r="H6377" s="379">
        <v>9.2020403752838522</v>
      </c>
      <c r="I6377" s="25">
        <v>51.64</v>
      </c>
      <c r="J6377" s="379">
        <v>6.532243681990777</v>
      </c>
    </row>
    <row r="6378" spans="1:10" x14ac:dyDescent="0.35">
      <c r="A6378" s="5">
        <v>6374</v>
      </c>
      <c r="B6378" s="5">
        <v>266</v>
      </c>
      <c r="C6378" s="5">
        <v>9</v>
      </c>
      <c r="D6378" s="379">
        <v>99.646666666666647</v>
      </c>
      <c r="E6378" s="25">
        <v>25.59</v>
      </c>
      <c r="F6378" s="379">
        <v>9.3277329850744781</v>
      </c>
      <c r="G6378" s="25">
        <v>47.85</v>
      </c>
      <c r="H6378" s="379">
        <v>9.8355972901466373</v>
      </c>
      <c r="I6378" s="25">
        <v>51.64</v>
      </c>
      <c r="J6378" s="379">
        <v>6.8955705443921476</v>
      </c>
    </row>
    <row r="6379" spans="1:10" x14ac:dyDescent="0.35">
      <c r="A6379" s="5">
        <v>6375</v>
      </c>
      <c r="B6379" s="5">
        <v>266</v>
      </c>
      <c r="C6379" s="5">
        <v>9</v>
      </c>
      <c r="D6379" s="379">
        <v>99.920555555555538</v>
      </c>
      <c r="E6379" s="25">
        <v>25.74</v>
      </c>
      <c r="F6379" s="379">
        <v>9.6387676018668937</v>
      </c>
      <c r="G6379" s="25">
        <v>47.85</v>
      </c>
      <c r="H6379" s="379">
        <v>9.8193495136368973</v>
      </c>
      <c r="I6379" s="25">
        <v>51.64</v>
      </c>
      <c r="J6379" s="379">
        <v>6.7061577164096908</v>
      </c>
    </row>
    <row r="6380" spans="1:10" x14ac:dyDescent="0.35">
      <c r="A6380" s="5">
        <v>6376</v>
      </c>
      <c r="B6380" s="5">
        <v>266</v>
      </c>
      <c r="C6380" s="5">
        <v>9</v>
      </c>
      <c r="D6380" s="379">
        <v>110.42722222222223</v>
      </c>
      <c r="E6380" s="25">
        <v>25.74</v>
      </c>
      <c r="F6380" s="379">
        <v>9.1853386296617821</v>
      </c>
      <c r="G6380" s="25">
        <v>47.85</v>
      </c>
      <c r="H6380" s="379">
        <v>8.8863608106987435</v>
      </c>
      <c r="I6380" s="25">
        <v>51.64</v>
      </c>
      <c r="J6380" s="379">
        <v>7.0572466870079928</v>
      </c>
    </row>
    <row r="6381" spans="1:10" x14ac:dyDescent="0.35">
      <c r="A6381" s="5">
        <v>6377</v>
      </c>
      <c r="B6381" s="5">
        <v>266</v>
      </c>
      <c r="C6381" s="5">
        <v>9</v>
      </c>
      <c r="D6381" s="379">
        <v>107.97777777777776</v>
      </c>
      <c r="E6381" s="25">
        <v>27.3</v>
      </c>
      <c r="F6381" s="379">
        <v>9.5083866024813464</v>
      </c>
      <c r="G6381" s="25">
        <v>47.85</v>
      </c>
      <c r="H6381" s="379">
        <v>8.7489000599952362</v>
      </c>
      <c r="I6381" s="25">
        <v>53.71</v>
      </c>
      <c r="J6381" s="379">
        <v>6.9982024359546022</v>
      </c>
    </row>
    <row r="6382" spans="1:10" x14ac:dyDescent="0.35">
      <c r="A6382" s="5">
        <v>6378</v>
      </c>
      <c r="B6382" s="5">
        <v>266</v>
      </c>
      <c r="C6382" s="5">
        <v>9</v>
      </c>
      <c r="D6382" s="379">
        <v>114.11111111111111</v>
      </c>
      <c r="E6382" s="25">
        <v>27.54</v>
      </c>
      <c r="F6382" s="379">
        <v>18.631881871385065</v>
      </c>
      <c r="G6382" s="25">
        <v>47.85</v>
      </c>
      <c r="H6382" s="379">
        <v>9.5133713205537713</v>
      </c>
      <c r="I6382" s="25">
        <v>56.77</v>
      </c>
      <c r="J6382" s="379">
        <v>7.9459557068488156</v>
      </c>
    </row>
    <row r="6383" spans="1:10" x14ac:dyDescent="0.35">
      <c r="A6383" s="5">
        <v>6379</v>
      </c>
      <c r="B6383" s="5">
        <v>266</v>
      </c>
      <c r="C6383" s="5">
        <v>9</v>
      </c>
      <c r="D6383" s="379">
        <v>115.93333333333334</v>
      </c>
      <c r="E6383" s="25">
        <v>28.37</v>
      </c>
      <c r="F6383" s="379">
        <v>16.599913833405875</v>
      </c>
      <c r="G6383" s="25">
        <v>47.85</v>
      </c>
      <c r="H6383" s="379">
        <v>10.326089933915425</v>
      </c>
      <c r="I6383" s="25">
        <v>66.06</v>
      </c>
      <c r="J6383" s="379">
        <v>7.9164151964173373</v>
      </c>
    </row>
    <row r="6384" spans="1:10" x14ac:dyDescent="0.35">
      <c r="A6384" s="5">
        <v>6380</v>
      </c>
      <c r="B6384" s="5">
        <v>266</v>
      </c>
      <c r="C6384" s="5">
        <v>9</v>
      </c>
      <c r="D6384" s="379">
        <v>108.32055555555556</v>
      </c>
      <c r="E6384" s="25">
        <v>28.37</v>
      </c>
      <c r="F6384" s="379">
        <v>17.436534131152513</v>
      </c>
      <c r="G6384" s="25">
        <v>47.85</v>
      </c>
      <c r="H6384" s="379">
        <v>9.7388758501899719</v>
      </c>
      <c r="I6384" s="25">
        <v>66.06</v>
      </c>
      <c r="J6384" s="379">
        <v>7.8814868921435668</v>
      </c>
    </row>
    <row r="6385" spans="1:10" x14ac:dyDescent="0.35">
      <c r="A6385" s="5">
        <v>6381</v>
      </c>
      <c r="B6385" s="5">
        <v>266</v>
      </c>
      <c r="C6385" s="5">
        <v>9</v>
      </c>
      <c r="D6385" s="379">
        <v>98.124444444444421</v>
      </c>
      <c r="E6385" s="25">
        <v>27.15</v>
      </c>
      <c r="F6385" s="379">
        <v>17.893972417615977</v>
      </c>
      <c r="G6385" s="25">
        <v>47.85</v>
      </c>
      <c r="H6385" s="379">
        <v>9.8832900549354168</v>
      </c>
      <c r="I6385" s="25">
        <v>62.27</v>
      </c>
      <c r="J6385" s="379">
        <v>7.9491866038412393</v>
      </c>
    </row>
    <row r="6386" spans="1:10" x14ac:dyDescent="0.35">
      <c r="A6386" s="5">
        <v>6382</v>
      </c>
      <c r="B6386" s="5">
        <v>266</v>
      </c>
      <c r="C6386" s="5">
        <v>9</v>
      </c>
      <c r="D6386" s="379">
        <v>95.643333333333331</v>
      </c>
      <c r="E6386" s="25">
        <v>25.59</v>
      </c>
      <c r="F6386" s="379">
        <v>17.986599908399754</v>
      </c>
      <c r="G6386" s="25">
        <v>47.46</v>
      </c>
      <c r="H6386" s="379">
        <v>8.8224583846627436</v>
      </c>
      <c r="I6386" s="25">
        <v>55.81</v>
      </c>
      <c r="J6386" s="379">
        <v>7.7137121207704977</v>
      </c>
    </row>
    <row r="6387" spans="1:10" x14ac:dyDescent="0.35">
      <c r="A6387" s="5">
        <v>6383</v>
      </c>
      <c r="B6387" s="5">
        <v>266</v>
      </c>
      <c r="C6387" s="5">
        <v>9</v>
      </c>
      <c r="D6387" s="379">
        <v>95.323333333333338</v>
      </c>
      <c r="E6387" s="25">
        <v>24.84</v>
      </c>
      <c r="F6387" s="379">
        <v>17.792049107604655</v>
      </c>
      <c r="G6387" s="25">
        <v>46.98</v>
      </c>
      <c r="H6387" s="379">
        <v>8.6506493783131084</v>
      </c>
      <c r="I6387" s="25">
        <v>54.19</v>
      </c>
      <c r="J6387" s="379">
        <v>7.6825218521405096</v>
      </c>
    </row>
    <row r="6388" spans="1:10" x14ac:dyDescent="0.35">
      <c r="A6388" s="5">
        <v>6384</v>
      </c>
      <c r="B6388" s="5">
        <v>266</v>
      </c>
      <c r="C6388" s="5">
        <v>9</v>
      </c>
      <c r="D6388" s="379">
        <v>96.463888888888874</v>
      </c>
      <c r="E6388" s="25">
        <v>24.84</v>
      </c>
      <c r="F6388" s="379">
        <v>12.223303544023935</v>
      </c>
      <c r="G6388" s="25">
        <v>43.56</v>
      </c>
      <c r="H6388" s="379">
        <v>9.9285492052629625</v>
      </c>
      <c r="I6388" s="25">
        <v>53.64</v>
      </c>
      <c r="J6388" s="379">
        <v>7.3436089865251581</v>
      </c>
    </row>
    <row r="6389" spans="1:10" x14ac:dyDescent="0.35">
      <c r="A6389" s="5">
        <v>6385</v>
      </c>
      <c r="B6389" s="5">
        <v>267</v>
      </c>
      <c r="C6389" s="5">
        <v>9</v>
      </c>
      <c r="D6389" s="379">
        <v>90.107222222222234</v>
      </c>
      <c r="E6389" s="25">
        <v>24.84</v>
      </c>
      <c r="F6389" s="379">
        <v>11.243410798932599</v>
      </c>
      <c r="G6389" s="25">
        <v>41.34</v>
      </c>
      <c r="H6389" s="379">
        <v>9.0424027467466725</v>
      </c>
      <c r="I6389" s="25">
        <v>46.06</v>
      </c>
      <c r="J6389" s="379">
        <v>7.2093048610232611</v>
      </c>
    </row>
    <row r="6390" spans="1:10" x14ac:dyDescent="0.35">
      <c r="A6390" s="5">
        <v>6386</v>
      </c>
      <c r="B6390" s="5">
        <v>267</v>
      </c>
      <c r="C6390" s="5">
        <v>9</v>
      </c>
      <c r="D6390" s="379">
        <v>81.317777777777778</v>
      </c>
      <c r="E6390" s="25">
        <v>24.73</v>
      </c>
      <c r="F6390" s="379">
        <v>9.1296435889136607</v>
      </c>
      <c r="G6390" s="25">
        <v>40.340000000000003</v>
      </c>
      <c r="H6390" s="379">
        <v>7.2866139193300672</v>
      </c>
      <c r="I6390" s="25">
        <v>46.06</v>
      </c>
      <c r="J6390" s="379">
        <v>6.7146663477110575</v>
      </c>
    </row>
    <row r="6391" spans="1:10" x14ac:dyDescent="0.35">
      <c r="A6391" s="5">
        <v>6387</v>
      </c>
      <c r="B6391" s="5">
        <v>267</v>
      </c>
      <c r="C6391" s="5">
        <v>9</v>
      </c>
      <c r="D6391" s="379">
        <v>79.966666666666669</v>
      </c>
      <c r="E6391" s="25">
        <v>24.73</v>
      </c>
      <c r="F6391" s="379">
        <v>9.082894411234399</v>
      </c>
      <c r="G6391" s="25">
        <v>40.340000000000003</v>
      </c>
      <c r="H6391" s="379">
        <v>7.2757087304363868</v>
      </c>
      <c r="I6391" s="25">
        <v>46.06</v>
      </c>
      <c r="J6391" s="379">
        <v>6.2750953444804907</v>
      </c>
    </row>
    <row r="6392" spans="1:10" x14ac:dyDescent="0.35">
      <c r="A6392" s="5">
        <v>6388</v>
      </c>
      <c r="B6392" s="5">
        <v>267</v>
      </c>
      <c r="C6392" s="5">
        <v>9</v>
      </c>
      <c r="D6392" s="379">
        <v>79.754444444444445</v>
      </c>
      <c r="E6392" s="25">
        <v>24.73</v>
      </c>
      <c r="F6392" s="379">
        <v>8.9669457910417538</v>
      </c>
      <c r="G6392" s="25">
        <v>40.340000000000003</v>
      </c>
      <c r="H6392" s="379">
        <v>7.7164600559355172</v>
      </c>
      <c r="I6392" s="25">
        <v>46.06</v>
      </c>
      <c r="J6392" s="379">
        <v>5.2026531242895491</v>
      </c>
    </row>
    <row r="6393" spans="1:10" x14ac:dyDescent="0.35">
      <c r="A6393" s="5">
        <v>6389</v>
      </c>
      <c r="B6393" s="5">
        <v>267</v>
      </c>
      <c r="C6393" s="5">
        <v>9</v>
      </c>
      <c r="D6393" s="379">
        <v>79.897777777777762</v>
      </c>
      <c r="E6393" s="25">
        <v>24.84</v>
      </c>
      <c r="F6393" s="379">
        <v>8.7791508930794357</v>
      </c>
      <c r="G6393" s="25">
        <v>40.340000000000003</v>
      </c>
      <c r="H6393" s="379">
        <v>8.2869407089796336</v>
      </c>
      <c r="I6393" s="25">
        <v>46.06</v>
      </c>
      <c r="J6393" s="379">
        <v>3.7825359486280412</v>
      </c>
    </row>
    <row r="6394" spans="1:10" x14ac:dyDescent="0.35">
      <c r="A6394" s="5">
        <v>6390</v>
      </c>
      <c r="B6394" s="5">
        <v>267</v>
      </c>
      <c r="C6394" s="5">
        <v>9</v>
      </c>
      <c r="D6394" s="379">
        <v>86.63666666666667</v>
      </c>
      <c r="E6394" s="25">
        <v>24.84</v>
      </c>
      <c r="F6394" s="379">
        <v>9.0063237425135814</v>
      </c>
      <c r="G6394" s="25">
        <v>42.17</v>
      </c>
      <c r="H6394" s="379">
        <v>8.3008517015735617</v>
      </c>
      <c r="I6394" s="25">
        <v>51.72</v>
      </c>
      <c r="J6394" s="379">
        <v>2.9965463376427532</v>
      </c>
    </row>
    <row r="6395" spans="1:10" x14ac:dyDescent="0.35">
      <c r="A6395" s="5">
        <v>6391</v>
      </c>
      <c r="B6395" s="5">
        <v>267</v>
      </c>
      <c r="C6395" s="5">
        <v>9</v>
      </c>
      <c r="D6395" s="379">
        <v>90.320555555555558</v>
      </c>
      <c r="E6395" s="25">
        <v>24.84</v>
      </c>
      <c r="F6395" s="379">
        <v>8.9791196571966267</v>
      </c>
      <c r="G6395" s="25">
        <v>47.46</v>
      </c>
      <c r="H6395" s="379">
        <v>8.3172193292564067</v>
      </c>
      <c r="I6395" s="25">
        <v>54.19</v>
      </c>
      <c r="J6395" s="379">
        <v>1.227030732762473</v>
      </c>
    </row>
    <row r="6396" spans="1:10" x14ac:dyDescent="0.35">
      <c r="A6396" s="5">
        <v>6392</v>
      </c>
      <c r="B6396" s="5">
        <v>267</v>
      </c>
      <c r="C6396" s="5">
        <v>9</v>
      </c>
      <c r="D6396" s="379">
        <v>96.151111111111106</v>
      </c>
      <c r="E6396" s="25">
        <v>25.48</v>
      </c>
      <c r="F6396" s="379">
        <v>8.7519950417916217</v>
      </c>
      <c r="G6396" s="25">
        <v>47.46</v>
      </c>
      <c r="H6396" s="379">
        <v>6.5828847553597596</v>
      </c>
      <c r="I6396" s="25">
        <v>56.41</v>
      </c>
      <c r="J6396" s="379">
        <v>0.27777777777777779</v>
      </c>
    </row>
    <row r="6397" spans="1:10" x14ac:dyDescent="0.35">
      <c r="A6397" s="5">
        <v>6393</v>
      </c>
      <c r="B6397" s="5">
        <v>267</v>
      </c>
      <c r="C6397" s="5">
        <v>9</v>
      </c>
      <c r="D6397" s="379">
        <v>97.309999999999988</v>
      </c>
      <c r="E6397" s="25">
        <v>24.99</v>
      </c>
      <c r="F6397" s="379">
        <v>8.1174834595959577</v>
      </c>
      <c r="G6397" s="25">
        <v>47.46</v>
      </c>
      <c r="H6397" s="379">
        <v>5.9839590503154145</v>
      </c>
      <c r="I6397" s="25">
        <v>54.19</v>
      </c>
      <c r="J6397" s="379">
        <v>0.27777777777777779</v>
      </c>
    </row>
    <row r="6398" spans="1:10" x14ac:dyDescent="0.35">
      <c r="A6398" s="5">
        <v>6394</v>
      </c>
      <c r="B6398" s="5">
        <v>267</v>
      </c>
      <c r="C6398" s="5">
        <v>9</v>
      </c>
      <c r="D6398" s="379">
        <v>95.460555555555558</v>
      </c>
      <c r="E6398" s="25">
        <v>24.84</v>
      </c>
      <c r="F6398" s="379">
        <v>8.1174834595959613</v>
      </c>
      <c r="G6398" s="25">
        <v>46.98</v>
      </c>
      <c r="H6398" s="379">
        <v>6.942402640395442</v>
      </c>
      <c r="I6398" s="25">
        <v>52.73</v>
      </c>
      <c r="J6398" s="379">
        <v>3.6594795367812876</v>
      </c>
    </row>
    <row r="6399" spans="1:10" x14ac:dyDescent="0.35">
      <c r="A6399" s="5">
        <v>6395</v>
      </c>
      <c r="B6399" s="5">
        <v>267</v>
      </c>
      <c r="C6399" s="5">
        <v>9</v>
      </c>
      <c r="D6399" s="379">
        <v>93.026111111111106</v>
      </c>
      <c r="E6399" s="25">
        <v>24.84</v>
      </c>
      <c r="F6399" s="379">
        <v>4.0963031585100076</v>
      </c>
      <c r="G6399" s="25">
        <v>44.76</v>
      </c>
      <c r="H6399" s="379">
        <v>6.8349516998872852</v>
      </c>
      <c r="I6399" s="25">
        <v>48.86</v>
      </c>
      <c r="J6399" s="379">
        <v>1.6412367881861583</v>
      </c>
    </row>
    <row r="6400" spans="1:10" x14ac:dyDescent="0.35">
      <c r="A6400" s="5">
        <v>6396</v>
      </c>
      <c r="B6400" s="5">
        <v>267</v>
      </c>
      <c r="C6400" s="5">
        <v>9</v>
      </c>
      <c r="D6400" s="379">
        <v>87.88555555555557</v>
      </c>
      <c r="E6400" s="25">
        <v>24.84</v>
      </c>
      <c r="F6400" s="379">
        <v>4.1727888394186206</v>
      </c>
      <c r="G6400" s="25">
        <v>42.35</v>
      </c>
      <c r="H6400" s="379">
        <v>7.0377007980465383</v>
      </c>
      <c r="I6400" s="25">
        <v>47.44</v>
      </c>
      <c r="J6400" s="379">
        <v>0.88843288605290571</v>
      </c>
    </row>
    <row r="6401" spans="1:10" x14ac:dyDescent="0.35">
      <c r="A6401" s="5">
        <v>6397</v>
      </c>
      <c r="B6401" s="5">
        <v>267</v>
      </c>
      <c r="C6401" s="5">
        <v>9</v>
      </c>
      <c r="D6401" s="379">
        <v>83.853333333333339</v>
      </c>
      <c r="E6401" s="25">
        <v>24.84</v>
      </c>
      <c r="F6401" s="379">
        <v>4.2517929912980321</v>
      </c>
      <c r="G6401" s="25">
        <v>42.29</v>
      </c>
      <c r="H6401" s="379">
        <v>7.0673250516712498</v>
      </c>
      <c r="I6401" s="25">
        <v>47.44</v>
      </c>
      <c r="J6401" s="379">
        <v>1.7312308040376498</v>
      </c>
    </row>
    <row r="6402" spans="1:10" x14ac:dyDescent="0.35">
      <c r="A6402" s="5">
        <v>6398</v>
      </c>
      <c r="B6402" s="5">
        <v>267</v>
      </c>
      <c r="C6402" s="5">
        <v>9</v>
      </c>
      <c r="D6402" s="379">
        <v>82.157222222222217</v>
      </c>
      <c r="E6402" s="25">
        <v>24.84</v>
      </c>
      <c r="F6402" s="379">
        <v>7.915899475973931</v>
      </c>
      <c r="G6402" s="25">
        <v>42.29</v>
      </c>
      <c r="H6402" s="379">
        <v>7.3525626026424646</v>
      </c>
      <c r="I6402" s="25">
        <v>46.52</v>
      </c>
      <c r="J6402" s="379">
        <v>2.1580311021544714</v>
      </c>
    </row>
    <row r="6403" spans="1:10" x14ac:dyDescent="0.35">
      <c r="A6403" s="5">
        <v>6399</v>
      </c>
      <c r="B6403" s="5">
        <v>267</v>
      </c>
      <c r="C6403" s="5">
        <v>9</v>
      </c>
      <c r="D6403" s="379">
        <v>85.328333333333333</v>
      </c>
      <c r="E6403" s="25">
        <v>24.84</v>
      </c>
      <c r="F6403" s="379">
        <v>7.9122884446239263</v>
      </c>
      <c r="G6403" s="25">
        <v>42.29</v>
      </c>
      <c r="H6403" s="379">
        <v>7.7828459856456202</v>
      </c>
      <c r="I6403" s="25">
        <v>46.06</v>
      </c>
      <c r="J6403" s="379">
        <v>1.6874237021016525</v>
      </c>
    </row>
    <row r="6404" spans="1:10" x14ac:dyDescent="0.35">
      <c r="A6404" s="5">
        <v>6400</v>
      </c>
      <c r="B6404" s="5">
        <v>267</v>
      </c>
      <c r="C6404" s="5">
        <v>9</v>
      </c>
      <c r="D6404" s="379">
        <v>91.215555555555568</v>
      </c>
      <c r="E6404" s="25">
        <v>24.84</v>
      </c>
      <c r="F6404" s="379">
        <v>8.3719189885830456</v>
      </c>
      <c r="G6404" s="25">
        <v>42.29</v>
      </c>
      <c r="H6404" s="379">
        <v>7.7395721561372568</v>
      </c>
      <c r="I6404" s="25">
        <v>46.06</v>
      </c>
      <c r="J6404" s="379">
        <v>0.57022291053647367</v>
      </c>
    </row>
    <row r="6405" spans="1:10" x14ac:dyDescent="0.35">
      <c r="A6405" s="5">
        <v>6401</v>
      </c>
      <c r="B6405" s="5">
        <v>267</v>
      </c>
      <c r="C6405" s="5">
        <v>9</v>
      </c>
      <c r="D6405" s="379">
        <v>107.75444444444445</v>
      </c>
      <c r="E6405" s="25">
        <v>24.84</v>
      </c>
      <c r="F6405" s="379">
        <v>8.9432186481165754</v>
      </c>
      <c r="G6405" s="25">
        <v>45.43</v>
      </c>
      <c r="H6405" s="379">
        <v>9.4050677120103519</v>
      </c>
      <c r="I6405" s="25">
        <v>47.92</v>
      </c>
      <c r="J6405" s="379">
        <v>5.1247867942112686</v>
      </c>
    </row>
    <row r="6406" spans="1:10" x14ac:dyDescent="0.35">
      <c r="A6406" s="5">
        <v>6402</v>
      </c>
      <c r="B6406" s="5">
        <v>267</v>
      </c>
      <c r="C6406" s="5">
        <v>9</v>
      </c>
      <c r="D6406" s="379">
        <v>114.06277777777778</v>
      </c>
      <c r="E6406" s="25">
        <v>24.84</v>
      </c>
      <c r="F6406" s="379">
        <v>9.0369342397055945</v>
      </c>
      <c r="G6406" s="25">
        <v>46.98</v>
      </c>
      <c r="H6406" s="379">
        <v>9.319400790093848</v>
      </c>
      <c r="I6406" s="25">
        <v>51.96</v>
      </c>
      <c r="J6406" s="379">
        <v>6.8194584630346284</v>
      </c>
    </row>
    <row r="6407" spans="1:10" x14ac:dyDescent="0.35">
      <c r="A6407" s="5">
        <v>6403</v>
      </c>
      <c r="B6407" s="5">
        <v>267</v>
      </c>
      <c r="C6407" s="5">
        <v>9</v>
      </c>
      <c r="D6407" s="379">
        <v>117.59944444444444</v>
      </c>
      <c r="E6407" s="25">
        <v>24.99</v>
      </c>
      <c r="F6407" s="379">
        <v>13.777683559190827</v>
      </c>
      <c r="G6407" s="25">
        <v>47.46</v>
      </c>
      <c r="H6407" s="379">
        <v>10.258682370934478</v>
      </c>
      <c r="I6407" s="25">
        <v>54.19</v>
      </c>
      <c r="J6407" s="379">
        <v>6.4374676526421517</v>
      </c>
    </row>
    <row r="6408" spans="1:10" x14ac:dyDescent="0.35">
      <c r="A6408" s="5">
        <v>6404</v>
      </c>
      <c r="B6408" s="5">
        <v>267</v>
      </c>
      <c r="C6408" s="5">
        <v>9</v>
      </c>
      <c r="D6408" s="379">
        <v>113.25999999999999</v>
      </c>
      <c r="E6408" s="25">
        <v>25.59</v>
      </c>
      <c r="F6408" s="379">
        <v>14.973005125637915</v>
      </c>
      <c r="G6408" s="25">
        <v>47.46</v>
      </c>
      <c r="H6408" s="379">
        <v>10.563292498993729</v>
      </c>
      <c r="I6408" s="25">
        <v>54.87</v>
      </c>
      <c r="J6408" s="379">
        <v>6.6886731491772036</v>
      </c>
    </row>
    <row r="6409" spans="1:10" x14ac:dyDescent="0.35">
      <c r="A6409" s="5">
        <v>6405</v>
      </c>
      <c r="B6409" s="5">
        <v>267</v>
      </c>
      <c r="C6409" s="5">
        <v>9</v>
      </c>
      <c r="D6409" s="379">
        <v>110.17277777777778</v>
      </c>
      <c r="E6409" s="25">
        <v>24.84</v>
      </c>
      <c r="F6409" s="379">
        <v>11.966610000258866</v>
      </c>
      <c r="G6409" s="25">
        <v>44.28</v>
      </c>
      <c r="H6409" s="379">
        <v>10.511680988843764</v>
      </c>
      <c r="I6409" s="25">
        <v>50.44</v>
      </c>
      <c r="J6409" s="379">
        <v>6.7727471724005328</v>
      </c>
    </row>
    <row r="6410" spans="1:10" x14ac:dyDescent="0.35">
      <c r="A6410" s="5">
        <v>6406</v>
      </c>
      <c r="B6410" s="5">
        <v>267</v>
      </c>
      <c r="C6410" s="5">
        <v>9</v>
      </c>
      <c r="D6410" s="379">
        <v>107.80833333333334</v>
      </c>
      <c r="E6410" s="25">
        <v>24.84</v>
      </c>
      <c r="F6410" s="379">
        <v>12.609164703440985</v>
      </c>
      <c r="G6410" s="25">
        <v>42.58</v>
      </c>
      <c r="H6410" s="379">
        <v>9.9768585469723838</v>
      </c>
      <c r="I6410" s="25">
        <v>48.86</v>
      </c>
      <c r="J6410" s="379">
        <v>6.615408311150766</v>
      </c>
    </row>
    <row r="6411" spans="1:10" x14ac:dyDescent="0.35">
      <c r="A6411" s="5">
        <v>6407</v>
      </c>
      <c r="B6411" s="5">
        <v>267</v>
      </c>
      <c r="C6411" s="5">
        <v>9</v>
      </c>
      <c r="D6411" s="379">
        <v>103.3261111111111</v>
      </c>
      <c r="E6411" s="25">
        <v>24.84</v>
      </c>
      <c r="F6411" s="379">
        <v>12.80340128916739</v>
      </c>
      <c r="G6411" s="25">
        <v>41.34</v>
      </c>
      <c r="H6411" s="379">
        <v>10.354127720976253</v>
      </c>
      <c r="I6411" s="25">
        <v>47.44</v>
      </c>
      <c r="J6411" s="379">
        <v>6.3997363727702306</v>
      </c>
    </row>
    <row r="6412" spans="1:10" x14ac:dyDescent="0.35">
      <c r="A6412" s="5">
        <v>6408</v>
      </c>
      <c r="B6412" s="5">
        <v>267</v>
      </c>
      <c r="C6412" s="5">
        <v>9</v>
      </c>
      <c r="D6412" s="379">
        <v>96.058333333333337</v>
      </c>
      <c r="E6412" s="25">
        <v>24.84</v>
      </c>
      <c r="F6412" s="379">
        <v>12.785511258811104</v>
      </c>
      <c r="G6412" s="25">
        <v>37.49</v>
      </c>
      <c r="H6412" s="379">
        <v>9.033079004202083</v>
      </c>
      <c r="I6412" s="25">
        <v>46.06</v>
      </c>
      <c r="J6412" s="379">
        <v>6.4111317141600237</v>
      </c>
    </row>
    <row r="6413" spans="1:10" x14ac:dyDescent="0.35">
      <c r="A6413" s="5">
        <v>6409</v>
      </c>
      <c r="B6413" s="5">
        <v>268</v>
      </c>
      <c r="C6413" s="5">
        <v>9</v>
      </c>
      <c r="D6413" s="379">
        <v>94.47166666666665</v>
      </c>
      <c r="E6413" s="25">
        <v>24.11</v>
      </c>
      <c r="F6413" s="379">
        <v>12.384419031418187</v>
      </c>
      <c r="G6413" s="25">
        <v>37.49</v>
      </c>
      <c r="H6413" s="379">
        <v>9.3508301510587923</v>
      </c>
      <c r="I6413" s="25">
        <v>35.369999999999997</v>
      </c>
      <c r="J6413" s="379">
        <v>5.4949159006552089</v>
      </c>
    </row>
    <row r="6414" spans="1:10" x14ac:dyDescent="0.35">
      <c r="A6414" s="5">
        <v>6410</v>
      </c>
      <c r="B6414" s="5">
        <v>268</v>
      </c>
      <c r="C6414" s="5">
        <v>9</v>
      </c>
      <c r="D6414" s="379">
        <v>90.058888888888887</v>
      </c>
      <c r="E6414" s="25">
        <v>24.11</v>
      </c>
      <c r="F6414" s="379">
        <v>11.878882915140847</v>
      </c>
      <c r="G6414" s="25">
        <v>37.49</v>
      </c>
      <c r="H6414" s="379">
        <v>8.8422449870244293</v>
      </c>
      <c r="I6414" s="25">
        <v>35.369999999999997</v>
      </c>
      <c r="J6414" s="379">
        <v>4.8984540459922048</v>
      </c>
    </row>
    <row r="6415" spans="1:10" x14ac:dyDescent="0.35">
      <c r="A6415" s="5">
        <v>6411</v>
      </c>
      <c r="B6415" s="5">
        <v>268</v>
      </c>
      <c r="C6415" s="5">
        <v>9</v>
      </c>
      <c r="D6415" s="379">
        <v>87.424999999999997</v>
      </c>
      <c r="E6415" s="25">
        <v>24.11</v>
      </c>
      <c r="F6415" s="379">
        <v>11.900122943951786</v>
      </c>
      <c r="G6415" s="25">
        <v>37.49</v>
      </c>
      <c r="H6415" s="379">
        <v>9.1755066266955776</v>
      </c>
      <c r="I6415" s="25">
        <v>35.72</v>
      </c>
      <c r="J6415" s="379">
        <v>5.5853436504041474</v>
      </c>
    </row>
    <row r="6416" spans="1:10" x14ac:dyDescent="0.35">
      <c r="A6416" s="5">
        <v>6412</v>
      </c>
      <c r="B6416" s="5">
        <v>268</v>
      </c>
      <c r="C6416" s="5">
        <v>9</v>
      </c>
      <c r="D6416" s="379">
        <v>81.127222222222215</v>
      </c>
      <c r="E6416" s="25">
        <v>24.11</v>
      </c>
      <c r="F6416" s="379">
        <v>11.636473536579372</v>
      </c>
      <c r="G6416" s="25">
        <v>37.49</v>
      </c>
      <c r="H6416" s="379">
        <v>9.3505602245773769</v>
      </c>
      <c r="I6416" s="25">
        <v>35.72</v>
      </c>
      <c r="J6416" s="379">
        <v>6.5875883262663653</v>
      </c>
    </row>
    <row r="6417" spans="1:10" x14ac:dyDescent="0.35">
      <c r="A6417" s="5">
        <v>6413</v>
      </c>
      <c r="B6417" s="5">
        <v>268</v>
      </c>
      <c r="C6417" s="5">
        <v>9</v>
      </c>
      <c r="D6417" s="379">
        <v>82.710555555555558</v>
      </c>
      <c r="E6417" s="25">
        <v>24.34</v>
      </c>
      <c r="F6417" s="379">
        <v>14.068123336612404</v>
      </c>
      <c r="G6417" s="25">
        <v>37.49</v>
      </c>
      <c r="H6417" s="379">
        <v>9.1672910127501233</v>
      </c>
      <c r="I6417" s="25">
        <v>35.72</v>
      </c>
      <c r="J6417" s="379">
        <v>5.9845754340597113</v>
      </c>
    </row>
    <row r="6418" spans="1:10" x14ac:dyDescent="0.35">
      <c r="A6418" s="5">
        <v>6414</v>
      </c>
      <c r="B6418" s="5">
        <v>268</v>
      </c>
      <c r="C6418" s="5">
        <v>9</v>
      </c>
      <c r="D6418" s="379">
        <v>90.206666666666663</v>
      </c>
      <c r="E6418" s="25">
        <v>24.84</v>
      </c>
      <c r="F6418" s="379">
        <v>13.150009275959784</v>
      </c>
      <c r="G6418" s="25">
        <v>37.49</v>
      </c>
      <c r="H6418" s="379">
        <v>8.602905858600181</v>
      </c>
      <c r="I6418" s="25">
        <v>36.549999999999997</v>
      </c>
      <c r="J6418" s="379">
        <v>7.4831316977152706</v>
      </c>
    </row>
    <row r="6419" spans="1:10" x14ac:dyDescent="0.35">
      <c r="A6419" s="5">
        <v>6415</v>
      </c>
      <c r="B6419" s="5">
        <v>268</v>
      </c>
      <c r="C6419" s="5">
        <v>9</v>
      </c>
      <c r="D6419" s="379">
        <v>93.829444444444434</v>
      </c>
      <c r="E6419" s="25">
        <v>24.84</v>
      </c>
      <c r="F6419" s="379">
        <v>12.793466624022136</v>
      </c>
      <c r="G6419" s="25">
        <v>39.159999999999997</v>
      </c>
      <c r="H6419" s="379">
        <v>9.0203858675361168</v>
      </c>
      <c r="I6419" s="25">
        <v>43</v>
      </c>
      <c r="J6419" s="379">
        <v>7.3242345557067239</v>
      </c>
    </row>
    <row r="6420" spans="1:10" x14ac:dyDescent="0.35">
      <c r="A6420" s="5">
        <v>6416</v>
      </c>
      <c r="B6420" s="5">
        <v>268</v>
      </c>
      <c r="C6420" s="5">
        <v>9</v>
      </c>
      <c r="D6420" s="379">
        <v>101.13055555555556</v>
      </c>
      <c r="E6420" s="25">
        <v>24.84</v>
      </c>
      <c r="F6420" s="379">
        <v>12.159407117259306</v>
      </c>
      <c r="G6420" s="25">
        <v>42.29</v>
      </c>
      <c r="H6420" s="379">
        <v>8.7609537834886169</v>
      </c>
      <c r="I6420" s="25">
        <v>46.06</v>
      </c>
      <c r="J6420" s="379">
        <v>7.8897403468544702</v>
      </c>
    </row>
    <row r="6421" spans="1:10" x14ac:dyDescent="0.35">
      <c r="A6421" s="5">
        <v>6417</v>
      </c>
      <c r="B6421" s="5">
        <v>268</v>
      </c>
      <c r="C6421" s="5">
        <v>9</v>
      </c>
      <c r="D6421" s="379">
        <v>98.290555555555557</v>
      </c>
      <c r="E6421" s="25">
        <v>24.84</v>
      </c>
      <c r="F6421" s="379">
        <v>13.460315770118497</v>
      </c>
      <c r="G6421" s="25">
        <v>41.05</v>
      </c>
      <c r="H6421" s="379">
        <v>9.7403077734114412</v>
      </c>
      <c r="I6421" s="25">
        <v>46.06</v>
      </c>
      <c r="J6421" s="379">
        <v>7.6495144625817524</v>
      </c>
    </row>
    <row r="6422" spans="1:10" x14ac:dyDescent="0.35">
      <c r="A6422" s="5">
        <v>6418</v>
      </c>
      <c r="B6422" s="5">
        <v>268</v>
      </c>
      <c r="C6422" s="5">
        <v>9</v>
      </c>
      <c r="D6422" s="379">
        <v>94.555000000000007</v>
      </c>
      <c r="E6422" s="25">
        <v>24.84</v>
      </c>
      <c r="F6422" s="379">
        <v>10.746382555431046</v>
      </c>
      <c r="G6422" s="25">
        <v>39.159999999999997</v>
      </c>
      <c r="H6422" s="379">
        <v>8.9318180552341868</v>
      </c>
      <c r="I6422" s="25">
        <v>41.33</v>
      </c>
      <c r="J6422" s="379">
        <v>4.4024673132731422</v>
      </c>
    </row>
    <row r="6423" spans="1:10" x14ac:dyDescent="0.35">
      <c r="A6423" s="5">
        <v>6419</v>
      </c>
      <c r="B6423" s="5">
        <v>268</v>
      </c>
      <c r="C6423" s="5">
        <v>9</v>
      </c>
      <c r="D6423" s="379">
        <v>93.393888888888881</v>
      </c>
      <c r="E6423" s="25">
        <v>24.84</v>
      </c>
      <c r="F6423" s="379">
        <v>8.6647101332370902</v>
      </c>
      <c r="G6423" s="25">
        <v>39.159999999999997</v>
      </c>
      <c r="H6423" s="379">
        <v>10.110627242482256</v>
      </c>
      <c r="I6423" s="25">
        <v>35.72</v>
      </c>
      <c r="J6423" s="379">
        <v>7.224097446798007</v>
      </c>
    </row>
    <row r="6424" spans="1:10" x14ac:dyDescent="0.35">
      <c r="A6424" s="5">
        <v>6420</v>
      </c>
      <c r="B6424" s="5">
        <v>268</v>
      </c>
      <c r="C6424" s="5">
        <v>9</v>
      </c>
      <c r="D6424" s="379">
        <v>87.048888888888897</v>
      </c>
      <c r="E6424" s="25">
        <v>24.84</v>
      </c>
      <c r="F6424" s="379">
        <v>8.1174834595959577</v>
      </c>
      <c r="G6424" s="25">
        <v>37.49</v>
      </c>
      <c r="H6424" s="379">
        <v>10.141677025747889</v>
      </c>
      <c r="I6424" s="25">
        <v>35.369999999999997</v>
      </c>
      <c r="J6424" s="379">
        <v>6.9630451519225129</v>
      </c>
    </row>
    <row r="6425" spans="1:10" x14ac:dyDescent="0.35">
      <c r="A6425" s="5">
        <v>6421</v>
      </c>
      <c r="B6425" s="5">
        <v>268</v>
      </c>
      <c r="C6425" s="5">
        <v>9</v>
      </c>
      <c r="D6425" s="379">
        <v>77.572222222222223</v>
      </c>
      <c r="E6425" s="25">
        <v>24.84</v>
      </c>
      <c r="F6425" s="379">
        <v>8.1174834595959613</v>
      </c>
      <c r="G6425" s="25">
        <v>37.49</v>
      </c>
      <c r="H6425" s="379">
        <v>7.7666907817367017</v>
      </c>
      <c r="I6425" s="25">
        <v>34.68</v>
      </c>
      <c r="J6425" s="379">
        <v>6.2506149524208796</v>
      </c>
    </row>
    <row r="6426" spans="1:10" x14ac:dyDescent="0.35">
      <c r="A6426" s="5">
        <v>6422</v>
      </c>
      <c r="B6426" s="5">
        <v>268</v>
      </c>
      <c r="C6426" s="5">
        <v>9</v>
      </c>
      <c r="D6426" s="379">
        <v>74.48</v>
      </c>
      <c r="E6426" s="25">
        <v>24.84</v>
      </c>
      <c r="F6426" s="379">
        <v>8.1174834595959577</v>
      </c>
      <c r="G6426" s="25">
        <v>37.49</v>
      </c>
      <c r="H6426" s="379">
        <v>7.7751252208879986</v>
      </c>
      <c r="I6426" s="25">
        <v>34.68</v>
      </c>
      <c r="J6426" s="379">
        <v>5.963567090711293</v>
      </c>
    </row>
    <row r="6427" spans="1:10" x14ac:dyDescent="0.35">
      <c r="A6427" s="5">
        <v>6423</v>
      </c>
      <c r="B6427" s="5">
        <v>268</v>
      </c>
      <c r="C6427" s="5">
        <v>9</v>
      </c>
      <c r="D6427" s="379">
        <v>77.810555555555553</v>
      </c>
      <c r="E6427" s="25">
        <v>24.84</v>
      </c>
      <c r="F6427" s="379">
        <v>12.261524598617072</v>
      </c>
      <c r="G6427" s="25">
        <v>37.49</v>
      </c>
      <c r="H6427" s="379">
        <v>9.9611299579440242</v>
      </c>
      <c r="I6427" s="25">
        <v>35.369999999999997</v>
      </c>
      <c r="J6427" s="379">
        <v>7.1395532614006125</v>
      </c>
    </row>
    <row r="6428" spans="1:10" x14ac:dyDescent="0.35">
      <c r="A6428" s="5">
        <v>6424</v>
      </c>
      <c r="B6428" s="5">
        <v>268</v>
      </c>
      <c r="C6428" s="5">
        <v>9</v>
      </c>
      <c r="D6428" s="379">
        <v>86.158888888888882</v>
      </c>
      <c r="E6428" s="25">
        <v>24.84</v>
      </c>
      <c r="F6428" s="379">
        <v>12.468312467345102</v>
      </c>
      <c r="G6428" s="25">
        <v>39.159999999999997</v>
      </c>
      <c r="H6428" s="379">
        <v>11.092568405965546</v>
      </c>
      <c r="I6428" s="25">
        <v>35.72</v>
      </c>
      <c r="J6428" s="379">
        <v>7.7714867731565631</v>
      </c>
    </row>
    <row r="6429" spans="1:10" x14ac:dyDescent="0.35">
      <c r="A6429" s="5">
        <v>6425</v>
      </c>
      <c r="B6429" s="5">
        <v>268</v>
      </c>
      <c r="C6429" s="5">
        <v>9</v>
      </c>
      <c r="D6429" s="379">
        <v>98.201666666666654</v>
      </c>
      <c r="E6429" s="25">
        <v>24.84</v>
      </c>
      <c r="F6429" s="379">
        <v>16.561656962770687</v>
      </c>
      <c r="G6429" s="25">
        <v>43.01</v>
      </c>
      <c r="H6429" s="379">
        <v>12.78781507369372</v>
      </c>
      <c r="I6429" s="25">
        <v>39.159999999999997</v>
      </c>
      <c r="J6429" s="379">
        <v>7.8583042522529238</v>
      </c>
    </row>
    <row r="6430" spans="1:10" x14ac:dyDescent="0.35">
      <c r="A6430" s="5">
        <v>6426</v>
      </c>
      <c r="B6430" s="5">
        <v>268</v>
      </c>
      <c r="C6430" s="5">
        <v>9</v>
      </c>
      <c r="D6430" s="379">
        <v>104.42777777777776</v>
      </c>
      <c r="E6430" s="25">
        <v>24.84</v>
      </c>
      <c r="F6430" s="379">
        <v>17.701306814924468</v>
      </c>
      <c r="G6430" s="25">
        <v>44.1</v>
      </c>
      <c r="H6430" s="379">
        <v>23.218311705433052</v>
      </c>
      <c r="I6430" s="25">
        <v>48.86</v>
      </c>
      <c r="J6430" s="379">
        <v>7.8013568332931342</v>
      </c>
    </row>
    <row r="6431" spans="1:10" x14ac:dyDescent="0.35">
      <c r="A6431" s="5">
        <v>6427</v>
      </c>
      <c r="B6431" s="5">
        <v>268</v>
      </c>
      <c r="C6431" s="5">
        <v>9</v>
      </c>
      <c r="D6431" s="379">
        <v>107.06499999999998</v>
      </c>
      <c r="E6431" s="25">
        <v>25.74</v>
      </c>
      <c r="F6431" s="379">
        <v>17.180269368113564</v>
      </c>
      <c r="G6431" s="25">
        <v>47.46</v>
      </c>
      <c r="H6431" s="379">
        <v>23.256170145528753</v>
      </c>
      <c r="I6431" s="25">
        <v>53.71</v>
      </c>
      <c r="J6431" s="379">
        <v>7.7757477422140839</v>
      </c>
    </row>
    <row r="6432" spans="1:10" x14ac:dyDescent="0.35">
      <c r="A6432" s="5">
        <v>6428</v>
      </c>
      <c r="B6432" s="5">
        <v>268</v>
      </c>
      <c r="C6432" s="5">
        <v>9</v>
      </c>
      <c r="D6432" s="379">
        <v>102.75777777777778</v>
      </c>
      <c r="E6432" s="25">
        <v>26.51</v>
      </c>
      <c r="F6432" s="379">
        <v>18.9979081870258</v>
      </c>
      <c r="G6432" s="25">
        <v>47.46</v>
      </c>
      <c r="H6432" s="379">
        <v>23.328536515671232</v>
      </c>
      <c r="I6432" s="25">
        <v>57.49</v>
      </c>
      <c r="J6432" s="379">
        <v>7.4935931305788595</v>
      </c>
    </row>
    <row r="6433" spans="1:10" x14ac:dyDescent="0.35">
      <c r="A6433" s="5">
        <v>6429</v>
      </c>
      <c r="B6433" s="5">
        <v>268</v>
      </c>
      <c r="C6433" s="5">
        <v>9</v>
      </c>
      <c r="D6433" s="379">
        <v>94.663888888888906</v>
      </c>
      <c r="E6433" s="25">
        <v>24.99</v>
      </c>
      <c r="F6433" s="379">
        <v>18.38662520893763</v>
      </c>
      <c r="G6433" s="25">
        <v>44.86</v>
      </c>
      <c r="H6433" s="379">
        <v>23.806272425621607</v>
      </c>
      <c r="I6433" s="25">
        <v>53.27</v>
      </c>
      <c r="J6433" s="379">
        <v>7.9056828671026977</v>
      </c>
    </row>
    <row r="6434" spans="1:10" x14ac:dyDescent="0.35">
      <c r="A6434" s="5">
        <v>6430</v>
      </c>
      <c r="B6434" s="5">
        <v>268</v>
      </c>
      <c r="C6434" s="5">
        <v>9</v>
      </c>
      <c r="D6434" s="379">
        <v>90.027777777777786</v>
      </c>
      <c r="E6434" s="25">
        <v>24.99</v>
      </c>
      <c r="F6434" s="379">
        <v>18.942176913433926</v>
      </c>
      <c r="G6434" s="25">
        <v>43.56</v>
      </c>
      <c r="H6434" s="379">
        <v>23.649878092375737</v>
      </c>
      <c r="I6434" s="25">
        <v>52.73</v>
      </c>
      <c r="J6434" s="379">
        <v>7.7901988917915093</v>
      </c>
    </row>
    <row r="6435" spans="1:10" x14ac:dyDescent="0.35">
      <c r="A6435" s="5">
        <v>6431</v>
      </c>
      <c r="B6435" s="5">
        <v>268</v>
      </c>
      <c r="C6435" s="5">
        <v>9</v>
      </c>
      <c r="D6435" s="379">
        <v>83.092222222222219</v>
      </c>
      <c r="E6435" s="25">
        <v>24.84</v>
      </c>
      <c r="F6435" s="379">
        <v>17.638105114596435</v>
      </c>
      <c r="G6435" s="25">
        <v>41.55</v>
      </c>
      <c r="H6435" s="379">
        <v>23.315857644973306</v>
      </c>
      <c r="I6435" s="25">
        <v>48.86</v>
      </c>
      <c r="J6435" s="379">
        <v>8.0304818892509537</v>
      </c>
    </row>
    <row r="6436" spans="1:10" x14ac:dyDescent="0.35">
      <c r="A6436" s="5">
        <v>6432</v>
      </c>
      <c r="B6436" s="5">
        <v>268</v>
      </c>
      <c r="C6436" s="5">
        <v>9</v>
      </c>
      <c r="D6436" s="379">
        <v>73.607222222222219</v>
      </c>
      <c r="E6436" s="25">
        <v>24.84</v>
      </c>
      <c r="F6436" s="379">
        <v>18.33542742325945</v>
      </c>
      <c r="G6436" s="25">
        <v>40.340000000000003</v>
      </c>
      <c r="H6436" s="379">
        <v>23.849860791688016</v>
      </c>
      <c r="I6436" s="25">
        <v>47.44</v>
      </c>
      <c r="J6436" s="379">
        <v>8.0555366858589839</v>
      </c>
    </row>
    <row r="6437" spans="1:10" x14ac:dyDescent="0.35">
      <c r="A6437" s="5">
        <v>6433</v>
      </c>
      <c r="B6437" s="5">
        <v>269</v>
      </c>
      <c r="C6437" s="5">
        <v>9</v>
      </c>
      <c r="D6437" s="379">
        <v>61.875555555555557</v>
      </c>
      <c r="E6437" s="25">
        <v>24.84</v>
      </c>
      <c r="F6437" s="379">
        <v>19.395938226483956</v>
      </c>
      <c r="G6437" s="25">
        <v>38.61</v>
      </c>
      <c r="H6437" s="379">
        <v>24.510110460917687</v>
      </c>
      <c r="I6437" s="25">
        <v>46.06</v>
      </c>
      <c r="J6437" s="379">
        <v>7.9721827891797536</v>
      </c>
    </row>
    <row r="6438" spans="1:10" x14ac:dyDescent="0.35">
      <c r="A6438" s="5">
        <v>6434</v>
      </c>
      <c r="B6438" s="5">
        <v>269</v>
      </c>
      <c r="C6438" s="5">
        <v>9</v>
      </c>
      <c r="D6438" s="379">
        <v>56.556111111111107</v>
      </c>
      <c r="E6438" s="25">
        <v>24.84</v>
      </c>
      <c r="F6438" s="379">
        <v>19.302089407407632</v>
      </c>
      <c r="G6438" s="25">
        <v>38.61</v>
      </c>
      <c r="H6438" s="379">
        <v>24.052213824481299</v>
      </c>
      <c r="I6438" s="25">
        <v>46.06</v>
      </c>
      <c r="J6438" s="379">
        <v>8.0891300394613239</v>
      </c>
    </row>
    <row r="6439" spans="1:10" x14ac:dyDescent="0.35">
      <c r="A6439" s="5">
        <v>6435</v>
      </c>
      <c r="B6439" s="5">
        <v>269</v>
      </c>
      <c r="C6439" s="5">
        <v>9</v>
      </c>
      <c r="D6439" s="379">
        <v>50.335555555555551</v>
      </c>
      <c r="E6439" s="25">
        <v>24.84</v>
      </c>
      <c r="F6439" s="379">
        <v>17.610671955793773</v>
      </c>
      <c r="G6439" s="25">
        <v>38.61</v>
      </c>
      <c r="H6439" s="379">
        <v>24.341802698625706</v>
      </c>
      <c r="I6439" s="25">
        <v>46.06</v>
      </c>
      <c r="J6439" s="379">
        <v>8.0535769624856606</v>
      </c>
    </row>
    <row r="6440" spans="1:10" x14ac:dyDescent="0.35">
      <c r="A6440" s="5">
        <v>6436</v>
      </c>
      <c r="B6440" s="5">
        <v>269</v>
      </c>
      <c r="C6440" s="5">
        <v>9</v>
      </c>
      <c r="D6440" s="379">
        <v>47.68</v>
      </c>
      <c r="E6440" s="25">
        <v>24.84</v>
      </c>
      <c r="F6440" s="379">
        <v>17.481042330984376</v>
      </c>
      <c r="G6440" s="25">
        <v>37.869999999999997</v>
      </c>
      <c r="H6440" s="379">
        <v>23.661860586355502</v>
      </c>
      <c r="I6440" s="25">
        <v>46.06</v>
      </c>
      <c r="J6440" s="379">
        <v>8.0480914904096323</v>
      </c>
    </row>
    <row r="6441" spans="1:10" x14ac:dyDescent="0.35">
      <c r="A6441" s="5">
        <v>6437</v>
      </c>
      <c r="B6441" s="5">
        <v>269</v>
      </c>
      <c r="C6441" s="5">
        <v>9</v>
      </c>
      <c r="D6441" s="379">
        <v>57.989999999999995</v>
      </c>
      <c r="E6441" s="25">
        <v>24.84</v>
      </c>
      <c r="F6441" s="379">
        <v>16.881525478278448</v>
      </c>
      <c r="G6441" s="25">
        <v>38.61</v>
      </c>
      <c r="H6441" s="379">
        <v>20.760587624998561</v>
      </c>
      <c r="I6441" s="25">
        <v>46.06</v>
      </c>
      <c r="J6441" s="379">
        <v>8.0580750480855823</v>
      </c>
    </row>
    <row r="6442" spans="1:10" x14ac:dyDescent="0.35">
      <c r="A6442" s="5">
        <v>6438</v>
      </c>
      <c r="B6442" s="5">
        <v>269</v>
      </c>
      <c r="C6442" s="5">
        <v>9</v>
      </c>
      <c r="D6442" s="379">
        <v>76.327222222222204</v>
      </c>
      <c r="E6442" s="25">
        <v>24.84</v>
      </c>
      <c r="F6442" s="379">
        <v>20.412674269361244</v>
      </c>
      <c r="G6442" s="25">
        <v>40.020000000000003</v>
      </c>
      <c r="H6442" s="379">
        <v>21.897063504903794</v>
      </c>
      <c r="I6442" s="25">
        <v>46.06</v>
      </c>
      <c r="J6442" s="379">
        <v>7.8647316448637863</v>
      </c>
    </row>
    <row r="6443" spans="1:10" x14ac:dyDescent="0.35">
      <c r="A6443" s="5">
        <v>6439</v>
      </c>
      <c r="B6443" s="5">
        <v>269</v>
      </c>
      <c r="C6443" s="5">
        <v>9</v>
      </c>
      <c r="D6443" s="379">
        <v>85.555555555555557</v>
      </c>
      <c r="E6443" s="25">
        <v>24.84</v>
      </c>
      <c r="F6443" s="379">
        <v>19.843814781875469</v>
      </c>
      <c r="G6443" s="25">
        <v>39.159999999999997</v>
      </c>
      <c r="H6443" s="379">
        <v>22.144400717156209</v>
      </c>
      <c r="I6443" s="25">
        <v>35.770000000000003</v>
      </c>
      <c r="J6443" s="379">
        <v>7.8627342544651793</v>
      </c>
    </row>
    <row r="6444" spans="1:10" x14ac:dyDescent="0.35">
      <c r="A6444" s="5">
        <v>6440</v>
      </c>
      <c r="B6444" s="5">
        <v>269</v>
      </c>
      <c r="C6444" s="5">
        <v>9</v>
      </c>
      <c r="D6444" s="379">
        <v>88.762222222222221</v>
      </c>
      <c r="E6444" s="25">
        <v>24.84</v>
      </c>
      <c r="F6444" s="379">
        <v>17.700529186946472</v>
      </c>
      <c r="G6444" s="25">
        <v>39.159999999999997</v>
      </c>
      <c r="H6444" s="379">
        <v>17.700847443331551</v>
      </c>
      <c r="I6444" s="25">
        <v>37.57</v>
      </c>
      <c r="J6444" s="379">
        <v>6.5824324521285895</v>
      </c>
    </row>
    <row r="6445" spans="1:10" x14ac:dyDescent="0.35">
      <c r="A6445" s="5">
        <v>6441</v>
      </c>
      <c r="B6445" s="5">
        <v>269</v>
      </c>
      <c r="C6445" s="5">
        <v>9</v>
      </c>
      <c r="D6445" s="379">
        <v>84.671111111111102</v>
      </c>
      <c r="E6445" s="25">
        <v>24.84</v>
      </c>
      <c r="F6445" s="379">
        <v>14.316559531632402</v>
      </c>
      <c r="G6445" s="25">
        <v>38.61</v>
      </c>
      <c r="H6445" s="379">
        <v>9.4692653379469025</v>
      </c>
      <c r="I6445" s="25">
        <v>37.17</v>
      </c>
      <c r="J6445" s="379">
        <v>4.5171531914630867</v>
      </c>
    </row>
    <row r="6446" spans="1:10" x14ac:dyDescent="0.35">
      <c r="A6446" s="5">
        <v>6442</v>
      </c>
      <c r="B6446" s="5">
        <v>269</v>
      </c>
      <c r="C6446" s="5">
        <v>9</v>
      </c>
      <c r="D6446" s="379">
        <v>78.061111111111103</v>
      </c>
      <c r="E6446" s="25">
        <v>24.84</v>
      </c>
      <c r="F6446" s="379">
        <v>13.369060918586467</v>
      </c>
      <c r="G6446" s="25">
        <v>37.49</v>
      </c>
      <c r="H6446" s="379">
        <v>10.748870833794596</v>
      </c>
      <c r="I6446" s="25">
        <v>34.729999999999997</v>
      </c>
      <c r="J6446" s="379">
        <v>4.3938706021109049</v>
      </c>
    </row>
    <row r="6447" spans="1:10" x14ac:dyDescent="0.35">
      <c r="A6447" s="5">
        <v>6443</v>
      </c>
      <c r="B6447" s="5">
        <v>269</v>
      </c>
      <c r="C6447" s="5">
        <v>9</v>
      </c>
      <c r="D6447" s="379">
        <v>71.49111111111111</v>
      </c>
      <c r="E6447" s="25">
        <v>24.84</v>
      </c>
      <c r="F6447" s="379">
        <v>9.9167346654946886</v>
      </c>
      <c r="G6447" s="25">
        <v>37.49</v>
      </c>
      <c r="H6447" s="379">
        <v>11.587685526475617</v>
      </c>
      <c r="I6447" s="25">
        <v>34.68</v>
      </c>
      <c r="J6447" s="379">
        <v>7.1286939700482641</v>
      </c>
    </row>
    <row r="6448" spans="1:10" x14ac:dyDescent="0.35">
      <c r="A6448" s="5">
        <v>6444</v>
      </c>
      <c r="B6448" s="5">
        <v>269</v>
      </c>
      <c r="C6448" s="5">
        <v>9</v>
      </c>
      <c r="D6448" s="379">
        <v>65.576111111111103</v>
      </c>
      <c r="E6448" s="25">
        <v>24.84</v>
      </c>
      <c r="F6448" s="379">
        <v>11.051905435301597</v>
      </c>
      <c r="G6448" s="25">
        <v>37.11</v>
      </c>
      <c r="H6448" s="379">
        <v>11.506834383657274</v>
      </c>
      <c r="I6448" s="25">
        <v>34.68</v>
      </c>
      <c r="J6448" s="379">
        <v>7.1517679867558819</v>
      </c>
    </row>
    <row r="6449" spans="1:10" x14ac:dyDescent="0.35">
      <c r="A6449" s="5">
        <v>6445</v>
      </c>
      <c r="B6449" s="5">
        <v>269</v>
      </c>
      <c r="C6449" s="5">
        <v>9</v>
      </c>
      <c r="D6449" s="379">
        <v>63.617777777777768</v>
      </c>
      <c r="E6449" s="25">
        <v>24.84</v>
      </c>
      <c r="F6449" s="379">
        <v>10.838478964676598</v>
      </c>
      <c r="G6449" s="25">
        <v>35.340000000000003</v>
      </c>
      <c r="H6449" s="379">
        <v>10.961696527035484</v>
      </c>
      <c r="I6449" s="25">
        <v>34.25</v>
      </c>
      <c r="J6449" s="379">
        <v>7.1000631892660664</v>
      </c>
    </row>
    <row r="6450" spans="1:10" x14ac:dyDescent="0.35">
      <c r="A6450" s="5">
        <v>6446</v>
      </c>
      <c r="B6450" s="5">
        <v>269</v>
      </c>
      <c r="C6450" s="5">
        <v>9</v>
      </c>
      <c r="D6450" s="379">
        <v>59.751111111111108</v>
      </c>
      <c r="E6450" s="25">
        <v>24.84</v>
      </c>
      <c r="F6450" s="379">
        <v>10.065281455480978</v>
      </c>
      <c r="G6450" s="25">
        <v>32.130000000000003</v>
      </c>
      <c r="H6450" s="379">
        <v>10.901322572260078</v>
      </c>
      <c r="I6450" s="25">
        <v>33.67</v>
      </c>
      <c r="J6450" s="379">
        <v>6.2890521483433401</v>
      </c>
    </row>
    <row r="6451" spans="1:10" x14ac:dyDescent="0.35">
      <c r="A6451" s="5">
        <v>6447</v>
      </c>
      <c r="B6451" s="5">
        <v>269</v>
      </c>
      <c r="C6451" s="5">
        <v>9</v>
      </c>
      <c r="D6451" s="379">
        <v>64.285555555555547</v>
      </c>
      <c r="E6451" s="25">
        <v>24.84</v>
      </c>
      <c r="F6451" s="379">
        <v>12.584625875645088</v>
      </c>
      <c r="G6451" s="25">
        <v>37.11</v>
      </c>
      <c r="H6451" s="379">
        <v>11.359716975269739</v>
      </c>
      <c r="I6451" s="25">
        <v>34.25</v>
      </c>
      <c r="J6451" s="379">
        <v>7.2154147020606842</v>
      </c>
    </row>
    <row r="6452" spans="1:10" x14ac:dyDescent="0.35">
      <c r="A6452" s="5">
        <v>6448</v>
      </c>
      <c r="B6452" s="5">
        <v>269</v>
      </c>
      <c r="C6452" s="5">
        <v>9</v>
      </c>
      <c r="D6452" s="379">
        <v>71.936111111111117</v>
      </c>
      <c r="E6452" s="25">
        <v>24.84</v>
      </c>
      <c r="F6452" s="379">
        <v>16.397712387735602</v>
      </c>
      <c r="G6452" s="25">
        <v>37.49</v>
      </c>
      <c r="H6452" s="379">
        <v>12.073007133214011</v>
      </c>
      <c r="I6452" s="25">
        <v>34.68</v>
      </c>
      <c r="J6452" s="379">
        <v>7.9643637951486621</v>
      </c>
    </row>
    <row r="6453" spans="1:10" x14ac:dyDescent="0.35">
      <c r="A6453" s="5">
        <v>6449</v>
      </c>
      <c r="B6453" s="5">
        <v>269</v>
      </c>
      <c r="C6453" s="5">
        <v>9</v>
      </c>
      <c r="D6453" s="379">
        <v>88.392777777777781</v>
      </c>
      <c r="E6453" s="25">
        <v>24.84</v>
      </c>
      <c r="F6453" s="379">
        <v>19.601853500467968</v>
      </c>
      <c r="G6453" s="25">
        <v>39.159999999999997</v>
      </c>
      <c r="H6453" s="379">
        <v>11.32419424517202</v>
      </c>
      <c r="I6453" s="25">
        <v>35.03</v>
      </c>
      <c r="J6453" s="379">
        <v>7.3694210493035417</v>
      </c>
    </row>
    <row r="6454" spans="1:10" x14ac:dyDescent="0.35">
      <c r="A6454" s="5">
        <v>6450</v>
      </c>
      <c r="B6454" s="5">
        <v>269</v>
      </c>
      <c r="C6454" s="5">
        <v>9</v>
      </c>
      <c r="D6454" s="379">
        <v>101.44166666666665</v>
      </c>
      <c r="E6454" s="25">
        <v>24.84</v>
      </c>
      <c r="F6454" s="379">
        <v>19.5344047444236</v>
      </c>
      <c r="G6454" s="25">
        <v>42.29</v>
      </c>
      <c r="H6454" s="379">
        <v>14.463433532954936</v>
      </c>
      <c r="I6454" s="25">
        <v>46.69</v>
      </c>
      <c r="J6454" s="379">
        <v>7.7750979064922037</v>
      </c>
    </row>
    <row r="6455" spans="1:10" x14ac:dyDescent="0.35">
      <c r="A6455" s="5">
        <v>6451</v>
      </c>
      <c r="B6455" s="5">
        <v>269</v>
      </c>
      <c r="C6455" s="5">
        <v>9</v>
      </c>
      <c r="D6455" s="379">
        <v>105.30500000000001</v>
      </c>
      <c r="E6455" s="25">
        <v>25.29</v>
      </c>
      <c r="F6455" s="379">
        <v>20.253247502474188</v>
      </c>
      <c r="G6455" s="25">
        <v>46.07</v>
      </c>
      <c r="H6455" s="379">
        <v>14.241483630712843</v>
      </c>
      <c r="I6455" s="25">
        <v>54.32</v>
      </c>
      <c r="J6455" s="379">
        <v>7.6216387631201492</v>
      </c>
    </row>
    <row r="6456" spans="1:10" x14ac:dyDescent="0.35">
      <c r="A6456" s="5">
        <v>6452</v>
      </c>
      <c r="B6456" s="5">
        <v>269</v>
      </c>
      <c r="C6456" s="5">
        <v>9</v>
      </c>
      <c r="D6456" s="379">
        <v>99.85777777777777</v>
      </c>
      <c r="E6456" s="25">
        <v>25.29</v>
      </c>
      <c r="F6456" s="379">
        <v>20.004198356889027</v>
      </c>
      <c r="G6456" s="25">
        <v>46.07</v>
      </c>
      <c r="H6456" s="379">
        <v>14.231373470548561</v>
      </c>
      <c r="I6456" s="25">
        <v>55.81</v>
      </c>
      <c r="J6456" s="379">
        <v>7.6216387631201492</v>
      </c>
    </row>
    <row r="6457" spans="1:10" x14ac:dyDescent="0.35">
      <c r="A6457" s="5">
        <v>6453</v>
      </c>
      <c r="B6457" s="5">
        <v>269</v>
      </c>
      <c r="C6457" s="5">
        <v>9</v>
      </c>
      <c r="D6457" s="379">
        <v>90.407777777777781</v>
      </c>
      <c r="E6457" s="25">
        <v>24.84</v>
      </c>
      <c r="F6457" s="379">
        <v>20.30455148753515</v>
      </c>
      <c r="G6457" s="25">
        <v>43.56</v>
      </c>
      <c r="H6457" s="379">
        <v>14.223636424498675</v>
      </c>
      <c r="I6457" s="25">
        <v>53.27</v>
      </c>
      <c r="J6457" s="379">
        <v>7.5928929105048661</v>
      </c>
    </row>
    <row r="6458" spans="1:10" x14ac:dyDescent="0.35">
      <c r="A6458" s="5">
        <v>6454</v>
      </c>
      <c r="B6458" s="5">
        <v>269</v>
      </c>
      <c r="C6458" s="5">
        <v>9</v>
      </c>
      <c r="D6458" s="379">
        <v>84.387222222222221</v>
      </c>
      <c r="E6458" s="25">
        <v>24.84</v>
      </c>
      <c r="F6458" s="379">
        <v>19.47719633326135</v>
      </c>
      <c r="G6458" s="25">
        <v>42.29</v>
      </c>
      <c r="H6458" s="379">
        <v>14.295167098913511</v>
      </c>
      <c r="I6458" s="25">
        <v>48.86</v>
      </c>
      <c r="J6458" s="379">
        <v>7.9337297554680273</v>
      </c>
    </row>
    <row r="6459" spans="1:10" x14ac:dyDescent="0.35">
      <c r="A6459" s="5">
        <v>6455</v>
      </c>
      <c r="B6459" s="5">
        <v>269</v>
      </c>
      <c r="C6459" s="5">
        <v>9</v>
      </c>
      <c r="D6459" s="379">
        <v>80.99388888888889</v>
      </c>
      <c r="E6459" s="25">
        <v>24.84</v>
      </c>
      <c r="F6459" s="379">
        <v>18.608138869706785</v>
      </c>
      <c r="G6459" s="25">
        <v>40.340000000000003</v>
      </c>
      <c r="H6459" s="379">
        <v>14.181044246527403</v>
      </c>
      <c r="I6459" s="25">
        <v>47.44</v>
      </c>
      <c r="J6459" s="379">
        <v>8.0087576448228326</v>
      </c>
    </row>
    <row r="6460" spans="1:10" x14ac:dyDescent="0.35">
      <c r="A6460" s="5">
        <v>6456</v>
      </c>
      <c r="B6460" s="5">
        <v>269</v>
      </c>
      <c r="C6460" s="5">
        <v>9</v>
      </c>
      <c r="D6460" s="379">
        <v>72.035000000000011</v>
      </c>
      <c r="E6460" s="25">
        <v>24.84</v>
      </c>
      <c r="F6460" s="379">
        <v>17.504940349194225</v>
      </c>
      <c r="G6460" s="25">
        <v>39.159999999999997</v>
      </c>
      <c r="H6460" s="379">
        <v>13.378380822163985</v>
      </c>
      <c r="I6460" s="25">
        <v>47.44</v>
      </c>
      <c r="J6460" s="379">
        <v>7.8568854833436177</v>
      </c>
    </row>
    <row r="6461" spans="1:10" x14ac:dyDescent="0.35">
      <c r="A6461" s="5">
        <v>6457</v>
      </c>
      <c r="B6461" s="5">
        <v>270</v>
      </c>
      <c r="C6461" s="5">
        <v>9</v>
      </c>
      <c r="D6461" s="379">
        <v>71.560555555555553</v>
      </c>
      <c r="E6461" s="25">
        <v>24.84</v>
      </c>
      <c r="F6461" s="379">
        <v>16.789773145881146</v>
      </c>
      <c r="G6461" s="25">
        <v>42.29</v>
      </c>
      <c r="H6461" s="379">
        <v>13.946583998102563</v>
      </c>
      <c r="I6461" s="25">
        <v>49.53</v>
      </c>
      <c r="J6461" s="379">
        <v>7.9100296770301988</v>
      </c>
    </row>
    <row r="6462" spans="1:10" x14ac:dyDescent="0.35">
      <c r="A6462" s="5">
        <v>6458</v>
      </c>
      <c r="B6462" s="5">
        <v>270</v>
      </c>
      <c r="C6462" s="5">
        <v>9</v>
      </c>
      <c r="D6462" s="379">
        <v>66.319444444444443</v>
      </c>
      <c r="E6462" s="25">
        <v>24.84</v>
      </c>
      <c r="F6462" s="379">
        <v>17.208405627074995</v>
      </c>
      <c r="G6462" s="25">
        <v>39.159999999999997</v>
      </c>
      <c r="H6462" s="379">
        <v>13.503178685450855</v>
      </c>
      <c r="I6462" s="25">
        <v>49.53</v>
      </c>
      <c r="J6462" s="379">
        <v>7.9382993720378963</v>
      </c>
    </row>
    <row r="6463" spans="1:10" x14ac:dyDescent="0.35">
      <c r="A6463" s="5">
        <v>6459</v>
      </c>
      <c r="B6463" s="5">
        <v>270</v>
      </c>
      <c r="C6463" s="5">
        <v>9</v>
      </c>
      <c r="D6463" s="379">
        <v>62.706666666666663</v>
      </c>
      <c r="E6463" s="25">
        <v>24.84</v>
      </c>
      <c r="F6463" s="379">
        <v>17.414682832813188</v>
      </c>
      <c r="G6463" s="25">
        <v>39.159999999999997</v>
      </c>
      <c r="H6463" s="379">
        <v>12.555961887260013</v>
      </c>
      <c r="I6463" s="25">
        <v>49.53</v>
      </c>
      <c r="J6463" s="379">
        <v>7.9382993720378963</v>
      </c>
    </row>
    <row r="6464" spans="1:10" x14ac:dyDescent="0.35">
      <c r="A6464" s="5">
        <v>6460</v>
      </c>
      <c r="B6464" s="5">
        <v>270</v>
      </c>
      <c r="C6464" s="5">
        <v>9</v>
      </c>
      <c r="D6464" s="379">
        <v>68.994444444444454</v>
      </c>
      <c r="E6464" s="25">
        <v>24.84</v>
      </c>
      <c r="F6464" s="379">
        <v>18.771994152255044</v>
      </c>
      <c r="G6464" s="25">
        <v>42.29</v>
      </c>
      <c r="H6464" s="379">
        <v>13.800672886044545</v>
      </c>
      <c r="I6464" s="25">
        <v>49.53</v>
      </c>
      <c r="J6464" s="379">
        <v>7.8747430076441924</v>
      </c>
    </row>
    <row r="6465" spans="1:10" x14ac:dyDescent="0.35">
      <c r="A6465" s="5">
        <v>6461</v>
      </c>
      <c r="B6465" s="5">
        <v>270</v>
      </c>
      <c r="C6465" s="5">
        <v>9</v>
      </c>
      <c r="D6465" s="379">
        <v>81.725555555555545</v>
      </c>
      <c r="E6465" s="25">
        <v>24.84</v>
      </c>
      <c r="F6465" s="379">
        <v>16.854785787763884</v>
      </c>
      <c r="G6465" s="25">
        <v>43.56</v>
      </c>
      <c r="H6465" s="379">
        <v>12.598329194828414</v>
      </c>
      <c r="I6465" s="25">
        <v>49.53</v>
      </c>
      <c r="J6465" s="379">
        <v>7.9436021058476332</v>
      </c>
    </row>
    <row r="6466" spans="1:10" x14ac:dyDescent="0.35">
      <c r="A6466" s="5">
        <v>6462</v>
      </c>
      <c r="B6466" s="5">
        <v>270</v>
      </c>
      <c r="C6466" s="5">
        <v>9</v>
      </c>
      <c r="D6466" s="379">
        <v>94.456666666666663</v>
      </c>
      <c r="E6466" s="25">
        <v>24.84</v>
      </c>
      <c r="F6466" s="379">
        <v>17.105833388619534</v>
      </c>
      <c r="G6466" s="25">
        <v>47.85</v>
      </c>
      <c r="H6466" s="379">
        <v>14.181077462085428</v>
      </c>
      <c r="I6466" s="25">
        <v>62.27</v>
      </c>
      <c r="J6466" s="379">
        <v>7.9955424509891948</v>
      </c>
    </row>
    <row r="6467" spans="1:10" x14ac:dyDescent="0.35">
      <c r="A6467" s="5">
        <v>6463</v>
      </c>
      <c r="B6467" s="5">
        <v>270</v>
      </c>
      <c r="C6467" s="5">
        <v>9</v>
      </c>
      <c r="D6467" s="379">
        <v>106.09611111111111</v>
      </c>
      <c r="E6467" s="25">
        <v>28.12</v>
      </c>
      <c r="F6467" s="379">
        <v>16.757798991410866</v>
      </c>
      <c r="G6467" s="25">
        <v>49.82</v>
      </c>
      <c r="H6467" s="379">
        <v>13.330882798724311</v>
      </c>
      <c r="I6467" s="25">
        <v>66.06</v>
      </c>
      <c r="J6467" s="379">
        <v>8.052324641151678</v>
      </c>
    </row>
    <row r="6468" spans="1:10" x14ac:dyDescent="0.35">
      <c r="A6468" s="5">
        <v>6464</v>
      </c>
      <c r="B6468" s="5">
        <v>270</v>
      </c>
      <c r="C6468" s="5">
        <v>9</v>
      </c>
      <c r="D6468" s="379">
        <v>109.83944444444447</v>
      </c>
      <c r="E6468" s="25">
        <v>28.12</v>
      </c>
      <c r="F6468" s="379">
        <v>13.706329367172755</v>
      </c>
      <c r="G6468" s="25">
        <v>49.82</v>
      </c>
      <c r="H6468" s="379">
        <v>11.031662838317361</v>
      </c>
      <c r="I6468" s="25">
        <v>68.05</v>
      </c>
      <c r="J6468" s="379">
        <v>7.623985872700743</v>
      </c>
    </row>
    <row r="6469" spans="1:10" x14ac:dyDescent="0.35">
      <c r="A6469" s="5">
        <v>6465</v>
      </c>
      <c r="B6469" s="5">
        <v>270</v>
      </c>
      <c r="C6469" s="5">
        <v>9</v>
      </c>
      <c r="D6469" s="379">
        <v>92.341666666666654</v>
      </c>
      <c r="E6469" s="25">
        <v>28.11</v>
      </c>
      <c r="F6469" s="379">
        <v>9.4651889139433028</v>
      </c>
      <c r="G6469" s="25">
        <v>49.82</v>
      </c>
      <c r="H6469" s="379">
        <v>8.9537297990649751</v>
      </c>
      <c r="I6469" s="25">
        <v>66.06</v>
      </c>
      <c r="J6469" s="379">
        <v>5.5835497389295821</v>
      </c>
    </row>
    <row r="6470" spans="1:10" x14ac:dyDescent="0.35">
      <c r="A6470" s="5">
        <v>6466</v>
      </c>
      <c r="B6470" s="5">
        <v>270</v>
      </c>
      <c r="C6470" s="5">
        <v>9</v>
      </c>
      <c r="D6470" s="379">
        <v>88.44</v>
      </c>
      <c r="E6470" s="25">
        <v>26.24</v>
      </c>
      <c r="F6470" s="379">
        <v>8.1174834595959595</v>
      </c>
      <c r="G6470" s="25">
        <v>48.39</v>
      </c>
      <c r="H6470" s="379">
        <v>10.937773065865288</v>
      </c>
      <c r="I6470" s="25">
        <v>58.7</v>
      </c>
      <c r="J6470" s="379">
        <v>5.4676733117977561</v>
      </c>
    </row>
    <row r="6471" spans="1:10" x14ac:dyDescent="0.35">
      <c r="A6471" s="5">
        <v>6467</v>
      </c>
      <c r="B6471" s="5">
        <v>270</v>
      </c>
      <c r="C6471" s="5">
        <v>9</v>
      </c>
      <c r="D6471" s="379">
        <v>87.51166666666667</v>
      </c>
      <c r="E6471" s="25">
        <v>24.99</v>
      </c>
      <c r="F6471" s="379">
        <v>8.1174834595959595</v>
      </c>
      <c r="G6471" s="25">
        <v>47.46</v>
      </c>
      <c r="H6471" s="379">
        <v>8.0757784664958745</v>
      </c>
      <c r="I6471" s="25">
        <v>53.51</v>
      </c>
      <c r="J6471" s="379">
        <v>2.9915210592657986</v>
      </c>
    </row>
    <row r="6472" spans="1:10" x14ac:dyDescent="0.35">
      <c r="A6472" s="5">
        <v>6468</v>
      </c>
      <c r="B6472" s="5">
        <v>270</v>
      </c>
      <c r="C6472" s="5">
        <v>9</v>
      </c>
      <c r="D6472" s="379">
        <v>86.526111111111121</v>
      </c>
      <c r="E6472" s="25">
        <v>24.84</v>
      </c>
      <c r="F6472" s="379">
        <v>3.6577477377946126</v>
      </c>
      <c r="G6472" s="25">
        <v>46.98</v>
      </c>
      <c r="H6472" s="379">
        <v>7.4952497484183525</v>
      </c>
      <c r="I6472" s="25">
        <v>50.03</v>
      </c>
      <c r="J6472" s="379">
        <v>2.9919392377254281</v>
      </c>
    </row>
    <row r="6473" spans="1:10" x14ac:dyDescent="0.35">
      <c r="A6473" s="5">
        <v>6469</v>
      </c>
      <c r="B6473" s="5">
        <v>270</v>
      </c>
      <c r="C6473" s="5">
        <v>9</v>
      </c>
      <c r="D6473" s="379">
        <v>80.747222222222206</v>
      </c>
      <c r="E6473" s="25">
        <v>24.84</v>
      </c>
      <c r="F6473" s="379">
        <v>4.6611095852118822</v>
      </c>
      <c r="G6473" s="25">
        <v>44.69</v>
      </c>
      <c r="H6473" s="379">
        <v>8.7727589275388986</v>
      </c>
      <c r="I6473" s="25">
        <v>49.53</v>
      </c>
      <c r="J6473" s="379">
        <v>5.1533392898158707</v>
      </c>
    </row>
    <row r="6474" spans="1:10" x14ac:dyDescent="0.35">
      <c r="A6474" s="5">
        <v>6470</v>
      </c>
      <c r="B6474" s="5">
        <v>270</v>
      </c>
      <c r="C6474" s="5">
        <v>9</v>
      </c>
      <c r="D6474" s="379">
        <v>83.426666666666648</v>
      </c>
      <c r="E6474" s="25">
        <v>24.84</v>
      </c>
      <c r="F6474" s="379">
        <v>8.1174834595959577</v>
      </c>
      <c r="G6474" s="25">
        <v>44.69</v>
      </c>
      <c r="H6474" s="379">
        <v>8.624637955392263</v>
      </c>
      <c r="I6474" s="25">
        <v>49.53</v>
      </c>
      <c r="J6474" s="379">
        <v>5.1880580726489463</v>
      </c>
    </row>
    <row r="6475" spans="1:10" x14ac:dyDescent="0.35">
      <c r="A6475" s="5">
        <v>6471</v>
      </c>
      <c r="B6475" s="5">
        <v>270</v>
      </c>
      <c r="C6475" s="5">
        <v>9</v>
      </c>
      <c r="D6475" s="379">
        <v>84.63388888888889</v>
      </c>
      <c r="E6475" s="25">
        <v>24.84</v>
      </c>
      <c r="F6475" s="379">
        <v>8.1174834595959577</v>
      </c>
      <c r="G6475" s="25">
        <v>44.69</v>
      </c>
      <c r="H6475" s="379">
        <v>9.2025827642994731</v>
      </c>
      <c r="I6475" s="25">
        <v>49.53</v>
      </c>
      <c r="J6475" s="379">
        <v>5.1993700509372012</v>
      </c>
    </row>
    <row r="6476" spans="1:10" x14ac:dyDescent="0.35">
      <c r="A6476" s="5">
        <v>6472</v>
      </c>
      <c r="B6476" s="5">
        <v>270</v>
      </c>
      <c r="C6476" s="5">
        <v>9</v>
      </c>
      <c r="D6476" s="379">
        <v>89.089444444444439</v>
      </c>
      <c r="E6476" s="25">
        <v>24.99</v>
      </c>
      <c r="F6476" s="379">
        <v>8.607182240295657</v>
      </c>
      <c r="G6476" s="25">
        <v>44.69</v>
      </c>
      <c r="H6476" s="379">
        <v>8.1668334682134027</v>
      </c>
      <c r="I6476" s="25">
        <v>49.89</v>
      </c>
      <c r="J6476" s="379">
        <v>3.5662884157926862</v>
      </c>
    </row>
    <row r="6477" spans="1:10" x14ac:dyDescent="0.35">
      <c r="A6477" s="5">
        <v>6473</v>
      </c>
      <c r="B6477" s="5">
        <v>270</v>
      </c>
      <c r="C6477" s="5">
        <v>9</v>
      </c>
      <c r="D6477" s="379">
        <v>96.539999999999992</v>
      </c>
      <c r="E6477" s="25">
        <v>26.05</v>
      </c>
      <c r="F6477" s="379">
        <v>16.230761363099937</v>
      </c>
      <c r="G6477" s="25">
        <v>47.85</v>
      </c>
      <c r="H6477" s="379">
        <v>9.668004660637731</v>
      </c>
      <c r="I6477" s="25">
        <v>50.03</v>
      </c>
      <c r="J6477" s="379">
        <v>6.3559315604097497</v>
      </c>
    </row>
    <row r="6478" spans="1:10" x14ac:dyDescent="0.35">
      <c r="A6478" s="5">
        <v>6474</v>
      </c>
      <c r="B6478" s="5">
        <v>270</v>
      </c>
      <c r="C6478" s="5">
        <v>9</v>
      </c>
      <c r="D6478" s="379">
        <v>101.18444444444444</v>
      </c>
      <c r="E6478" s="25">
        <v>27.3</v>
      </c>
      <c r="F6478" s="379">
        <v>18.996447212130128</v>
      </c>
      <c r="G6478" s="25">
        <v>47.85</v>
      </c>
      <c r="H6478" s="379">
        <v>12.271333953015166</v>
      </c>
      <c r="I6478" s="25">
        <v>53.51</v>
      </c>
      <c r="J6478" s="379">
        <v>7.9072190967345479</v>
      </c>
    </row>
    <row r="6479" spans="1:10" x14ac:dyDescent="0.35">
      <c r="A6479" s="5">
        <v>6475</v>
      </c>
      <c r="B6479" s="5">
        <v>270</v>
      </c>
      <c r="C6479" s="5">
        <v>9</v>
      </c>
      <c r="D6479" s="379">
        <v>107.11999999999998</v>
      </c>
      <c r="E6479" s="25">
        <v>27.54</v>
      </c>
      <c r="F6479" s="379">
        <v>17.579299573358963</v>
      </c>
      <c r="G6479" s="25">
        <v>49.82</v>
      </c>
      <c r="H6479" s="379">
        <v>13.157596623484453</v>
      </c>
      <c r="I6479" s="25">
        <v>62.27</v>
      </c>
      <c r="J6479" s="379">
        <v>7.7811896639551872</v>
      </c>
    </row>
    <row r="6480" spans="1:10" x14ac:dyDescent="0.35">
      <c r="A6480" s="5">
        <v>6476</v>
      </c>
      <c r="B6480" s="5">
        <v>270</v>
      </c>
      <c r="C6480" s="5">
        <v>9</v>
      </c>
      <c r="D6480" s="379">
        <v>101.88555555555556</v>
      </c>
      <c r="E6480" s="25">
        <v>28.12</v>
      </c>
      <c r="F6480" s="379">
        <v>18.456006905474066</v>
      </c>
      <c r="G6480" s="25">
        <v>49.82</v>
      </c>
      <c r="H6480" s="379">
        <v>12.916490947521439</v>
      </c>
      <c r="I6480" s="25">
        <v>62.27</v>
      </c>
      <c r="J6480" s="379">
        <v>7.7811896639551872</v>
      </c>
    </row>
    <row r="6481" spans="1:10" x14ac:dyDescent="0.35">
      <c r="A6481" s="5">
        <v>6477</v>
      </c>
      <c r="B6481" s="5">
        <v>270</v>
      </c>
      <c r="C6481" s="5">
        <v>9</v>
      </c>
      <c r="D6481" s="379">
        <v>90.86333333333333</v>
      </c>
      <c r="E6481" s="25">
        <v>26.51</v>
      </c>
      <c r="F6481" s="379">
        <v>19.070468253072015</v>
      </c>
      <c r="G6481" s="25">
        <v>47.85</v>
      </c>
      <c r="H6481" s="379">
        <v>11.102125995277063</v>
      </c>
      <c r="I6481" s="25">
        <v>58.7</v>
      </c>
      <c r="J6481" s="379">
        <v>7.7450465933148056</v>
      </c>
    </row>
    <row r="6482" spans="1:10" x14ac:dyDescent="0.35">
      <c r="A6482" s="5">
        <v>6478</v>
      </c>
      <c r="B6482" s="5">
        <v>270</v>
      </c>
      <c r="C6482" s="5">
        <v>9</v>
      </c>
      <c r="D6482" s="379">
        <v>84.492777777777789</v>
      </c>
      <c r="E6482" s="25">
        <v>24.84</v>
      </c>
      <c r="F6482" s="379">
        <v>19.49815290899739</v>
      </c>
      <c r="G6482" s="25">
        <v>47.46</v>
      </c>
      <c r="H6482" s="379">
        <v>10.25662605701236</v>
      </c>
      <c r="I6482" s="25">
        <v>58.7</v>
      </c>
      <c r="J6482" s="379">
        <v>7.7549665268349042</v>
      </c>
    </row>
    <row r="6483" spans="1:10" x14ac:dyDescent="0.35">
      <c r="A6483" s="5">
        <v>6479</v>
      </c>
      <c r="B6483" s="5">
        <v>270</v>
      </c>
      <c r="C6483" s="5">
        <v>9</v>
      </c>
      <c r="D6483" s="379">
        <v>82.058333333333337</v>
      </c>
      <c r="E6483" s="25">
        <v>24.84</v>
      </c>
      <c r="F6483" s="379">
        <v>18.574710391821476</v>
      </c>
      <c r="G6483" s="25">
        <v>43.56</v>
      </c>
      <c r="H6483" s="379">
        <v>10.579270580108714</v>
      </c>
      <c r="I6483" s="25">
        <v>53.17</v>
      </c>
      <c r="J6483" s="379">
        <v>7.6187326399424613</v>
      </c>
    </row>
    <row r="6484" spans="1:10" x14ac:dyDescent="0.35">
      <c r="A6484" s="5">
        <v>6480</v>
      </c>
      <c r="B6484" s="5">
        <v>270</v>
      </c>
      <c r="C6484" s="5">
        <v>9</v>
      </c>
      <c r="D6484" s="379">
        <v>79.312777777777782</v>
      </c>
      <c r="E6484" s="25">
        <v>24.84</v>
      </c>
      <c r="F6484" s="379">
        <v>17.018894749541165</v>
      </c>
      <c r="G6484" s="25">
        <v>43.56</v>
      </c>
      <c r="H6484" s="379">
        <v>11.340591484563594</v>
      </c>
      <c r="I6484" s="25">
        <v>49.89</v>
      </c>
      <c r="J6484" s="379">
        <v>7.6089106993690034</v>
      </c>
    </row>
    <row r="6485" spans="1:10" x14ac:dyDescent="0.35">
      <c r="A6485" s="5">
        <v>6481</v>
      </c>
      <c r="B6485" s="5">
        <v>271</v>
      </c>
      <c r="C6485" s="5">
        <v>9</v>
      </c>
      <c r="D6485" s="379">
        <v>71.913888888888877</v>
      </c>
      <c r="E6485" s="25">
        <v>24.84</v>
      </c>
      <c r="F6485" s="379">
        <v>18.503991156508715</v>
      </c>
      <c r="G6485" s="25">
        <v>43.56</v>
      </c>
      <c r="H6485" s="379">
        <v>11.44375450378395</v>
      </c>
      <c r="I6485" s="25">
        <v>49.89</v>
      </c>
      <c r="J6485" s="379">
        <v>7.6089106993690034</v>
      </c>
    </row>
    <row r="6486" spans="1:10" x14ac:dyDescent="0.35">
      <c r="A6486" s="5">
        <v>6482</v>
      </c>
      <c r="B6486" s="5">
        <v>271</v>
      </c>
      <c r="C6486" s="5">
        <v>9</v>
      </c>
      <c r="D6486" s="379">
        <v>67.161111111111097</v>
      </c>
      <c r="E6486" s="25">
        <v>24.84</v>
      </c>
      <c r="F6486" s="379">
        <v>19.060293062380541</v>
      </c>
      <c r="G6486" s="25">
        <v>43.56</v>
      </c>
      <c r="H6486" s="379">
        <v>11.119214209857496</v>
      </c>
      <c r="I6486" s="25">
        <v>49.75</v>
      </c>
      <c r="J6486" s="379">
        <v>7.6149737551041197</v>
      </c>
    </row>
    <row r="6487" spans="1:10" x14ac:dyDescent="0.35">
      <c r="A6487" s="5">
        <v>6483</v>
      </c>
      <c r="B6487" s="5">
        <v>271</v>
      </c>
      <c r="C6487" s="5">
        <v>9</v>
      </c>
      <c r="D6487" s="379">
        <v>66.326666666666668</v>
      </c>
      <c r="E6487" s="25">
        <v>24.84</v>
      </c>
      <c r="F6487" s="379">
        <v>18.462939551027741</v>
      </c>
      <c r="G6487" s="25">
        <v>43.56</v>
      </c>
      <c r="H6487" s="379">
        <v>12.401985203756638</v>
      </c>
      <c r="I6487" s="25">
        <v>49.89</v>
      </c>
      <c r="J6487" s="379">
        <v>7.8250899166595049</v>
      </c>
    </row>
    <row r="6488" spans="1:10" x14ac:dyDescent="0.35">
      <c r="A6488" s="5">
        <v>6484</v>
      </c>
      <c r="B6488" s="5">
        <v>271</v>
      </c>
      <c r="C6488" s="5">
        <v>9</v>
      </c>
      <c r="D6488" s="379">
        <v>71.508888888888876</v>
      </c>
      <c r="E6488" s="25">
        <v>24.84</v>
      </c>
      <c r="F6488" s="379">
        <v>17.736866868213891</v>
      </c>
      <c r="G6488" s="25">
        <v>43.56</v>
      </c>
      <c r="H6488" s="379">
        <v>10.839258563040069</v>
      </c>
      <c r="I6488" s="25">
        <v>49.89</v>
      </c>
      <c r="J6488" s="379">
        <v>7.7904661097873138</v>
      </c>
    </row>
    <row r="6489" spans="1:10" x14ac:dyDescent="0.35">
      <c r="A6489" s="5">
        <v>6485</v>
      </c>
      <c r="B6489" s="5">
        <v>271</v>
      </c>
      <c r="C6489" s="5">
        <v>9</v>
      </c>
      <c r="D6489" s="379">
        <v>77.561666666666653</v>
      </c>
      <c r="E6489" s="25">
        <v>24.84</v>
      </c>
      <c r="F6489" s="379">
        <v>17.397101938222416</v>
      </c>
      <c r="G6489" s="25">
        <v>43.56</v>
      </c>
      <c r="H6489" s="379">
        <v>11.988445804338822</v>
      </c>
      <c r="I6489" s="25">
        <v>51.02</v>
      </c>
      <c r="J6489" s="379">
        <v>7.8245665873911587</v>
      </c>
    </row>
    <row r="6490" spans="1:10" x14ac:dyDescent="0.35">
      <c r="A6490" s="5">
        <v>6486</v>
      </c>
      <c r="B6490" s="5">
        <v>271</v>
      </c>
      <c r="C6490" s="5">
        <v>9</v>
      </c>
      <c r="D6490" s="379">
        <v>91.256111111111125</v>
      </c>
      <c r="E6490" s="25">
        <v>24.99</v>
      </c>
      <c r="F6490" s="379">
        <v>18.634181967730466</v>
      </c>
      <c r="G6490" s="25">
        <v>47.85</v>
      </c>
      <c r="H6490" s="379">
        <v>12.24119783971927</v>
      </c>
      <c r="I6490" s="25">
        <v>58.7</v>
      </c>
      <c r="J6490" s="379">
        <v>7.7991538288950943</v>
      </c>
    </row>
    <row r="6491" spans="1:10" x14ac:dyDescent="0.35">
      <c r="A6491" s="5">
        <v>6487</v>
      </c>
      <c r="B6491" s="5">
        <v>271</v>
      </c>
      <c r="C6491" s="5">
        <v>9</v>
      </c>
      <c r="D6491" s="379">
        <v>104.29333333333334</v>
      </c>
      <c r="E6491" s="25">
        <v>27.3</v>
      </c>
      <c r="F6491" s="379">
        <v>18.484066079817723</v>
      </c>
      <c r="G6491" s="25">
        <v>49.82</v>
      </c>
      <c r="H6491" s="379">
        <v>10.138899619052735</v>
      </c>
      <c r="I6491" s="25">
        <v>66.06</v>
      </c>
      <c r="J6491" s="379">
        <v>8.0085993622163976</v>
      </c>
    </row>
    <row r="6492" spans="1:10" x14ac:dyDescent="0.35">
      <c r="A6492" s="5">
        <v>6488</v>
      </c>
      <c r="B6492" s="5">
        <v>271</v>
      </c>
      <c r="C6492" s="5">
        <v>9</v>
      </c>
      <c r="D6492" s="379">
        <v>108.72055555555553</v>
      </c>
      <c r="E6492" s="25">
        <v>28.12</v>
      </c>
      <c r="F6492" s="379">
        <v>17.714315722104633</v>
      </c>
      <c r="G6492" s="25">
        <v>53.77</v>
      </c>
      <c r="H6492" s="379">
        <v>10.308862828869549</v>
      </c>
      <c r="I6492" s="25">
        <v>70.09</v>
      </c>
      <c r="J6492" s="379">
        <v>7.9749860468619707</v>
      </c>
    </row>
    <row r="6493" spans="1:10" x14ac:dyDescent="0.35">
      <c r="A6493" s="5">
        <v>6489</v>
      </c>
      <c r="B6493" s="5">
        <v>271</v>
      </c>
      <c r="C6493" s="5">
        <v>9</v>
      </c>
      <c r="D6493" s="379">
        <v>100.12722222222222</v>
      </c>
      <c r="E6493" s="25">
        <v>27.29</v>
      </c>
      <c r="F6493" s="379">
        <v>14.80872116966005</v>
      </c>
      <c r="G6493" s="25">
        <v>49.82</v>
      </c>
      <c r="H6493" s="379">
        <v>9.3360120462169114</v>
      </c>
      <c r="I6493" s="25">
        <v>66.28</v>
      </c>
      <c r="J6493" s="379">
        <v>7.4450374237242345</v>
      </c>
    </row>
    <row r="6494" spans="1:10" x14ac:dyDescent="0.35">
      <c r="A6494" s="5">
        <v>6490</v>
      </c>
      <c r="B6494" s="5">
        <v>271</v>
      </c>
      <c r="C6494" s="5">
        <v>9</v>
      </c>
      <c r="D6494" s="379">
        <v>95.786111111111126</v>
      </c>
      <c r="E6494" s="25">
        <v>25.59</v>
      </c>
      <c r="F6494" s="379">
        <v>8.8357144509294852</v>
      </c>
      <c r="G6494" s="25">
        <v>49.82</v>
      </c>
      <c r="H6494" s="379">
        <v>7.9297088681170314</v>
      </c>
      <c r="I6494" s="25">
        <v>58.7</v>
      </c>
      <c r="J6494" s="379">
        <v>7.1967491951554416</v>
      </c>
    </row>
    <row r="6495" spans="1:10" x14ac:dyDescent="0.35">
      <c r="A6495" s="5">
        <v>6491</v>
      </c>
      <c r="B6495" s="5">
        <v>271</v>
      </c>
      <c r="C6495" s="5">
        <v>9</v>
      </c>
      <c r="D6495" s="379">
        <v>93.696111111111122</v>
      </c>
      <c r="E6495" s="25">
        <v>25.59</v>
      </c>
      <c r="F6495" s="379">
        <v>8.6469548436354948</v>
      </c>
      <c r="G6495" s="25">
        <v>47.85</v>
      </c>
      <c r="H6495" s="379">
        <v>7.9478487407685563</v>
      </c>
      <c r="I6495" s="25">
        <v>53.51</v>
      </c>
      <c r="J6495" s="379">
        <v>5.1268302720395464</v>
      </c>
    </row>
    <row r="6496" spans="1:10" x14ac:dyDescent="0.35">
      <c r="A6496" s="5">
        <v>6492</v>
      </c>
      <c r="B6496" s="5">
        <v>271</v>
      </c>
      <c r="C6496" s="5">
        <v>9</v>
      </c>
      <c r="D6496" s="379">
        <v>87.348888888888894</v>
      </c>
      <c r="E6496" s="25">
        <v>24.84</v>
      </c>
      <c r="F6496" s="379">
        <v>5.8165569964352537</v>
      </c>
      <c r="G6496" s="25">
        <v>47.45</v>
      </c>
      <c r="H6496" s="379">
        <v>7.737967193443489</v>
      </c>
      <c r="I6496" s="25">
        <v>49.39</v>
      </c>
      <c r="J6496" s="379">
        <v>4.8451989028630056</v>
      </c>
    </row>
    <row r="6497" spans="1:10" x14ac:dyDescent="0.35">
      <c r="A6497" s="5">
        <v>6493</v>
      </c>
      <c r="B6497" s="5">
        <v>271</v>
      </c>
      <c r="C6497" s="5">
        <v>9</v>
      </c>
      <c r="D6497" s="379">
        <v>88.259444444444455</v>
      </c>
      <c r="E6497" s="25">
        <v>24.84</v>
      </c>
      <c r="F6497" s="379">
        <v>4.9078329979658086</v>
      </c>
      <c r="G6497" s="25">
        <v>43.99</v>
      </c>
      <c r="H6497" s="379">
        <v>7.7555147673774885</v>
      </c>
      <c r="I6497" s="25">
        <v>48.86</v>
      </c>
      <c r="J6497" s="379">
        <v>5.0245430308566812</v>
      </c>
    </row>
    <row r="6498" spans="1:10" x14ac:dyDescent="0.35">
      <c r="A6498" s="5">
        <v>6494</v>
      </c>
      <c r="B6498" s="5">
        <v>271</v>
      </c>
      <c r="C6498" s="5">
        <v>9</v>
      </c>
      <c r="D6498" s="379">
        <v>83.737777777777779</v>
      </c>
      <c r="E6498" s="25">
        <v>24.84</v>
      </c>
      <c r="F6498" s="379">
        <v>5.0945495192980266</v>
      </c>
      <c r="G6498" s="25">
        <v>43.56</v>
      </c>
      <c r="H6498" s="379">
        <v>7.7149089690878112</v>
      </c>
      <c r="I6498" s="25">
        <v>48.86</v>
      </c>
      <c r="J6498" s="379">
        <v>5.0682180947694979</v>
      </c>
    </row>
    <row r="6499" spans="1:10" x14ac:dyDescent="0.35">
      <c r="A6499" s="5">
        <v>6495</v>
      </c>
      <c r="B6499" s="5">
        <v>271</v>
      </c>
      <c r="C6499" s="5">
        <v>9</v>
      </c>
      <c r="D6499" s="379">
        <v>89.223333333333329</v>
      </c>
      <c r="E6499" s="25">
        <v>24.84</v>
      </c>
      <c r="F6499" s="379">
        <v>9.1713801516121123</v>
      </c>
      <c r="G6499" s="25">
        <v>43.56</v>
      </c>
      <c r="H6499" s="379">
        <v>7.9525255077175121</v>
      </c>
      <c r="I6499" s="25">
        <v>48.86</v>
      </c>
      <c r="J6499" s="379">
        <v>5.0682180947694979</v>
      </c>
    </row>
    <row r="6500" spans="1:10" x14ac:dyDescent="0.35">
      <c r="A6500" s="5">
        <v>6496</v>
      </c>
      <c r="B6500" s="5">
        <v>271</v>
      </c>
      <c r="C6500" s="5">
        <v>9</v>
      </c>
      <c r="D6500" s="379">
        <v>96.51166666666667</v>
      </c>
      <c r="E6500" s="25">
        <v>24.99</v>
      </c>
      <c r="F6500" s="379">
        <v>8.6687410869096837</v>
      </c>
      <c r="G6500" s="25">
        <v>43.62</v>
      </c>
      <c r="H6500" s="379">
        <v>7.9202262454448817</v>
      </c>
      <c r="I6500" s="25">
        <v>48.86</v>
      </c>
      <c r="J6500" s="379">
        <v>6.276782339327954</v>
      </c>
    </row>
    <row r="6501" spans="1:10" x14ac:dyDescent="0.35">
      <c r="A6501" s="5">
        <v>6497</v>
      </c>
      <c r="B6501" s="5">
        <v>271</v>
      </c>
      <c r="C6501" s="5">
        <v>9</v>
      </c>
      <c r="D6501" s="379">
        <v>106.02444444444444</v>
      </c>
      <c r="E6501" s="25">
        <v>25.74</v>
      </c>
      <c r="F6501" s="379">
        <v>8.9964893902321368</v>
      </c>
      <c r="G6501" s="25">
        <v>47.85</v>
      </c>
      <c r="H6501" s="379">
        <v>9.1503024068785912</v>
      </c>
      <c r="I6501" s="25">
        <v>49.39</v>
      </c>
      <c r="J6501" s="379">
        <v>7.1478411323279234</v>
      </c>
    </row>
    <row r="6502" spans="1:10" x14ac:dyDescent="0.35">
      <c r="A6502" s="5">
        <v>6498</v>
      </c>
      <c r="B6502" s="5">
        <v>271</v>
      </c>
      <c r="C6502" s="5">
        <v>9</v>
      </c>
      <c r="D6502" s="379">
        <v>115.41277777777778</v>
      </c>
      <c r="E6502" s="25">
        <v>27.3</v>
      </c>
      <c r="F6502" s="379">
        <v>16.930398166298357</v>
      </c>
      <c r="G6502" s="25">
        <v>47.85</v>
      </c>
      <c r="H6502" s="379">
        <v>10.431490041045246</v>
      </c>
      <c r="I6502" s="25">
        <v>53.71</v>
      </c>
      <c r="J6502" s="379">
        <v>7.5632572767781934</v>
      </c>
    </row>
    <row r="6503" spans="1:10" x14ac:dyDescent="0.35">
      <c r="A6503" s="5">
        <v>6499</v>
      </c>
      <c r="B6503" s="5">
        <v>271</v>
      </c>
      <c r="C6503" s="5">
        <v>9</v>
      </c>
      <c r="D6503" s="379">
        <v>131.51444444444442</v>
      </c>
      <c r="E6503" s="25">
        <v>27.54</v>
      </c>
      <c r="F6503" s="379">
        <v>18.041356787054763</v>
      </c>
      <c r="G6503" s="25">
        <v>49.82</v>
      </c>
      <c r="H6503" s="379">
        <v>10.371033827298589</v>
      </c>
      <c r="I6503" s="25">
        <v>62.27</v>
      </c>
      <c r="J6503" s="379">
        <v>6.9794604901815926</v>
      </c>
    </row>
    <row r="6504" spans="1:10" x14ac:dyDescent="0.35">
      <c r="A6504" s="5">
        <v>6500</v>
      </c>
      <c r="B6504" s="5">
        <v>271</v>
      </c>
      <c r="C6504" s="5">
        <v>9</v>
      </c>
      <c r="D6504" s="379">
        <v>111.87833333333333</v>
      </c>
      <c r="E6504" s="25">
        <v>27.3</v>
      </c>
      <c r="F6504" s="379">
        <v>17.320009681690408</v>
      </c>
      <c r="G6504" s="25">
        <v>49.82</v>
      </c>
      <c r="H6504" s="379">
        <v>10.23918222983689</v>
      </c>
      <c r="I6504" s="25">
        <v>62.27</v>
      </c>
      <c r="J6504" s="379">
        <v>6.7927324727370051</v>
      </c>
    </row>
    <row r="6505" spans="1:10" x14ac:dyDescent="0.35">
      <c r="A6505" s="5">
        <v>6501</v>
      </c>
      <c r="B6505" s="5">
        <v>271</v>
      </c>
      <c r="C6505" s="5">
        <v>9</v>
      </c>
      <c r="D6505" s="379">
        <v>104.68999999999998</v>
      </c>
      <c r="E6505" s="25">
        <v>25.48</v>
      </c>
      <c r="F6505" s="379">
        <v>17.314084388163892</v>
      </c>
      <c r="G6505" s="25">
        <v>47.85</v>
      </c>
      <c r="H6505" s="379">
        <v>10.298799572875044</v>
      </c>
      <c r="I6505" s="25">
        <v>56.77</v>
      </c>
      <c r="J6505" s="379">
        <v>7.2405859691642087</v>
      </c>
    </row>
    <row r="6506" spans="1:10" x14ac:dyDescent="0.35">
      <c r="A6506" s="5">
        <v>6502</v>
      </c>
      <c r="B6506" s="5">
        <v>271</v>
      </c>
      <c r="C6506" s="5">
        <v>9</v>
      </c>
      <c r="D6506" s="379">
        <v>95.896111111111111</v>
      </c>
      <c r="E6506" s="25">
        <v>24.84</v>
      </c>
      <c r="F6506" s="379">
        <v>11.112142040940556</v>
      </c>
      <c r="G6506" s="25">
        <v>43.99</v>
      </c>
      <c r="H6506" s="379">
        <v>9.7703280540965221</v>
      </c>
      <c r="I6506" s="25">
        <v>56.77</v>
      </c>
      <c r="J6506" s="379">
        <v>7.279891299981621</v>
      </c>
    </row>
    <row r="6507" spans="1:10" x14ac:dyDescent="0.35">
      <c r="A6507" s="5">
        <v>6503</v>
      </c>
      <c r="B6507" s="5">
        <v>271</v>
      </c>
      <c r="C6507" s="5">
        <v>9</v>
      </c>
      <c r="D6507" s="379">
        <v>96.197222222222223</v>
      </c>
      <c r="E6507" s="25">
        <v>24.84</v>
      </c>
      <c r="F6507" s="379">
        <v>10.344571947761382</v>
      </c>
      <c r="G6507" s="25">
        <v>43.56</v>
      </c>
      <c r="H6507" s="379">
        <v>9.3455591567922127</v>
      </c>
      <c r="I6507" s="25">
        <v>53.17</v>
      </c>
      <c r="J6507" s="379">
        <v>7.1953572870870852</v>
      </c>
    </row>
    <row r="6508" spans="1:10" x14ac:dyDescent="0.35">
      <c r="A6508" s="5">
        <v>6504</v>
      </c>
      <c r="B6508" s="5">
        <v>271</v>
      </c>
      <c r="C6508" s="5">
        <v>9</v>
      </c>
      <c r="D6508" s="379">
        <v>95.787777777777762</v>
      </c>
      <c r="E6508" s="25">
        <v>24.84</v>
      </c>
      <c r="F6508" s="379">
        <v>9.1544602493887837</v>
      </c>
      <c r="G6508" s="25">
        <v>41.11</v>
      </c>
      <c r="H6508" s="379">
        <v>9.5816116087350842</v>
      </c>
      <c r="I6508" s="25">
        <v>48.86</v>
      </c>
      <c r="J6508" s="379">
        <v>7.156867306288313</v>
      </c>
    </row>
    <row r="6509" spans="1:10" x14ac:dyDescent="0.35">
      <c r="A6509" s="5">
        <v>6505</v>
      </c>
      <c r="B6509" s="5">
        <v>272</v>
      </c>
      <c r="C6509" s="5">
        <v>9</v>
      </c>
      <c r="D6509" s="379">
        <v>96.382777777777761</v>
      </c>
      <c r="E6509" s="25">
        <v>24.84</v>
      </c>
      <c r="F6509" s="379">
        <v>9.1306544942886703</v>
      </c>
      <c r="G6509" s="25">
        <v>41.11</v>
      </c>
      <c r="H6509" s="379">
        <v>9.5831354891924594</v>
      </c>
      <c r="I6509" s="25">
        <v>38.75</v>
      </c>
      <c r="J6509" s="379">
        <v>7.1751575672357077</v>
      </c>
    </row>
    <row r="6510" spans="1:10" x14ac:dyDescent="0.35">
      <c r="A6510" s="5">
        <v>6506</v>
      </c>
      <c r="B6510" s="5">
        <v>272</v>
      </c>
      <c r="C6510" s="5">
        <v>9</v>
      </c>
      <c r="D6510" s="379">
        <v>95.376111111111101</v>
      </c>
      <c r="E6510" s="25">
        <v>24.84</v>
      </c>
      <c r="F6510" s="379">
        <v>9.1544602493887837</v>
      </c>
      <c r="G6510" s="25">
        <v>41.11</v>
      </c>
      <c r="H6510" s="379">
        <v>9.77181784103845</v>
      </c>
      <c r="I6510" s="25">
        <v>38.36</v>
      </c>
      <c r="J6510" s="379">
        <v>7.2892805609668008</v>
      </c>
    </row>
    <row r="6511" spans="1:10" x14ac:dyDescent="0.35">
      <c r="A6511" s="5">
        <v>6507</v>
      </c>
      <c r="B6511" s="5">
        <v>272</v>
      </c>
      <c r="C6511" s="5">
        <v>9</v>
      </c>
      <c r="D6511" s="379">
        <v>93.996111111111119</v>
      </c>
      <c r="E6511" s="25">
        <v>24.84</v>
      </c>
      <c r="F6511" s="379">
        <v>9.4087373921038502</v>
      </c>
      <c r="G6511" s="25">
        <v>41.11</v>
      </c>
      <c r="H6511" s="379">
        <v>9.7114769152407199</v>
      </c>
      <c r="I6511" s="25">
        <v>38.36</v>
      </c>
      <c r="J6511" s="379">
        <v>7.3126793726061692</v>
      </c>
    </row>
    <row r="6512" spans="1:10" x14ac:dyDescent="0.35">
      <c r="A6512" s="5">
        <v>6508</v>
      </c>
      <c r="B6512" s="5">
        <v>272</v>
      </c>
      <c r="C6512" s="5">
        <v>9</v>
      </c>
      <c r="D6512" s="379">
        <v>94.822222222222209</v>
      </c>
      <c r="E6512" s="25">
        <v>24.84</v>
      </c>
      <c r="F6512" s="379">
        <v>9.4595475226684673</v>
      </c>
      <c r="G6512" s="25">
        <v>41.75</v>
      </c>
      <c r="H6512" s="379">
        <v>9.7281477019033087</v>
      </c>
      <c r="I6512" s="25">
        <v>38.75</v>
      </c>
      <c r="J6512" s="379">
        <v>7.3207514450010667</v>
      </c>
    </row>
    <row r="6513" spans="1:10" x14ac:dyDescent="0.35">
      <c r="A6513" s="5">
        <v>6509</v>
      </c>
      <c r="B6513" s="5">
        <v>272</v>
      </c>
      <c r="C6513" s="5">
        <v>9</v>
      </c>
      <c r="D6513" s="379">
        <v>101.49777777777776</v>
      </c>
      <c r="E6513" s="25">
        <v>24.84</v>
      </c>
      <c r="F6513" s="379">
        <v>9.5403470849173857</v>
      </c>
      <c r="G6513" s="25">
        <v>41.75</v>
      </c>
      <c r="H6513" s="379">
        <v>9.429826499915249</v>
      </c>
      <c r="I6513" s="25">
        <v>49.94</v>
      </c>
      <c r="J6513" s="379">
        <v>7.338574059086806</v>
      </c>
    </row>
    <row r="6514" spans="1:10" x14ac:dyDescent="0.35">
      <c r="A6514" s="5">
        <v>6510</v>
      </c>
      <c r="B6514" s="5">
        <v>272</v>
      </c>
      <c r="C6514" s="5">
        <v>9</v>
      </c>
      <c r="D6514" s="379">
        <v>114.81888888888888</v>
      </c>
      <c r="E6514" s="25">
        <v>24.84</v>
      </c>
      <c r="F6514" s="379">
        <v>9.6247582306925281</v>
      </c>
      <c r="G6514" s="25">
        <v>47.85</v>
      </c>
      <c r="H6514" s="379">
        <v>9.8747602109527044</v>
      </c>
      <c r="I6514" s="25">
        <v>56.77</v>
      </c>
      <c r="J6514" s="379">
        <v>7.3386745582965487</v>
      </c>
    </row>
    <row r="6515" spans="1:10" x14ac:dyDescent="0.35">
      <c r="A6515" s="5">
        <v>6511</v>
      </c>
      <c r="B6515" s="5">
        <v>272</v>
      </c>
      <c r="C6515" s="5">
        <v>9</v>
      </c>
      <c r="D6515" s="379">
        <v>134.59333333333333</v>
      </c>
      <c r="E6515" s="25">
        <v>27.3</v>
      </c>
      <c r="F6515" s="379">
        <v>9.2608347231991512</v>
      </c>
      <c r="G6515" s="25">
        <v>48.37</v>
      </c>
      <c r="H6515" s="379">
        <v>9.1213322133184427</v>
      </c>
      <c r="I6515" s="25">
        <v>62.27</v>
      </c>
      <c r="J6515" s="379">
        <v>7.2350570773992233</v>
      </c>
    </row>
    <row r="6516" spans="1:10" x14ac:dyDescent="0.35">
      <c r="A6516" s="5">
        <v>6512</v>
      </c>
      <c r="B6516" s="5">
        <v>272</v>
      </c>
      <c r="C6516" s="5">
        <v>9</v>
      </c>
      <c r="D6516" s="379">
        <v>138.75333333333333</v>
      </c>
      <c r="E6516" s="25">
        <v>27.3</v>
      </c>
      <c r="F6516" s="379">
        <v>8.463944323065185</v>
      </c>
      <c r="G6516" s="25">
        <v>48.37</v>
      </c>
      <c r="H6516" s="379">
        <v>9.9549080432258599</v>
      </c>
      <c r="I6516" s="25">
        <v>62.27</v>
      </c>
      <c r="J6516" s="379">
        <v>6.6573086219461928</v>
      </c>
    </row>
    <row r="6517" spans="1:10" x14ac:dyDescent="0.35">
      <c r="A6517" s="5">
        <v>6513</v>
      </c>
      <c r="B6517" s="5">
        <v>272</v>
      </c>
      <c r="C6517" s="5">
        <v>9</v>
      </c>
      <c r="D6517" s="379">
        <v>112.4861111111111</v>
      </c>
      <c r="E6517" s="25">
        <v>25.74</v>
      </c>
      <c r="F6517" s="379">
        <v>8.1174834595959595</v>
      </c>
      <c r="G6517" s="25">
        <v>48.37</v>
      </c>
      <c r="H6517" s="379">
        <v>5.6851175738335309</v>
      </c>
      <c r="I6517" s="25">
        <v>62.27</v>
      </c>
      <c r="J6517" s="379">
        <v>4.0540036346273736</v>
      </c>
    </row>
    <row r="6518" spans="1:10" x14ac:dyDescent="0.35">
      <c r="A6518" s="5">
        <v>6514</v>
      </c>
      <c r="B6518" s="5">
        <v>272</v>
      </c>
      <c r="C6518" s="5">
        <v>9</v>
      </c>
      <c r="D6518" s="379">
        <v>107.2511111111111</v>
      </c>
      <c r="E6518" s="25">
        <v>25.59</v>
      </c>
      <c r="F6518" s="379">
        <v>5.3632186488773064</v>
      </c>
      <c r="G6518" s="25">
        <v>47.85</v>
      </c>
      <c r="H6518" s="379">
        <v>1.9319847852756511</v>
      </c>
      <c r="I6518" s="25">
        <v>53.51</v>
      </c>
      <c r="J6518" s="379">
        <v>9.4852984875031882E-2</v>
      </c>
    </row>
    <row r="6519" spans="1:10" x14ac:dyDescent="0.35">
      <c r="A6519" s="5">
        <v>6515</v>
      </c>
      <c r="B6519" s="5">
        <v>272</v>
      </c>
      <c r="C6519" s="5">
        <v>9</v>
      </c>
      <c r="D6519" s="379">
        <v>105.91222222222221</v>
      </c>
      <c r="E6519" s="25">
        <v>24.84</v>
      </c>
      <c r="F6519" s="379">
        <v>4.7387901372035897</v>
      </c>
      <c r="G6519" s="25">
        <v>46.98</v>
      </c>
      <c r="H6519" s="379">
        <v>0.9197777149557731</v>
      </c>
      <c r="I6519" s="25">
        <v>38.36</v>
      </c>
      <c r="J6519" s="379">
        <v>0.17087026143195785</v>
      </c>
    </row>
    <row r="6520" spans="1:10" x14ac:dyDescent="0.35">
      <c r="A6520" s="5">
        <v>6516</v>
      </c>
      <c r="B6520" s="5">
        <v>272</v>
      </c>
      <c r="C6520" s="5">
        <v>9</v>
      </c>
      <c r="D6520" s="379">
        <v>100.13888888888889</v>
      </c>
      <c r="E6520" s="25">
        <v>24.84</v>
      </c>
      <c r="F6520" s="379">
        <v>3.57127355527631</v>
      </c>
      <c r="G6520" s="25">
        <v>43.93</v>
      </c>
      <c r="H6520" s="379">
        <v>1.2712929043789072</v>
      </c>
      <c r="I6520" s="25">
        <v>38.36</v>
      </c>
      <c r="J6520" s="379">
        <v>0.14659736544405813</v>
      </c>
    </row>
    <row r="6521" spans="1:10" x14ac:dyDescent="0.35">
      <c r="A6521" s="5">
        <v>6517</v>
      </c>
      <c r="B6521" s="5">
        <v>272</v>
      </c>
      <c r="C6521" s="5">
        <v>9</v>
      </c>
      <c r="D6521" s="379">
        <v>99.528333333333322</v>
      </c>
      <c r="E6521" s="25">
        <v>24.84</v>
      </c>
      <c r="F6521" s="379">
        <v>3.57127355527631</v>
      </c>
      <c r="G6521" s="25">
        <v>43.18</v>
      </c>
      <c r="H6521" s="379">
        <v>1.0228316280223224</v>
      </c>
      <c r="I6521" s="25">
        <v>37.979999999999997</v>
      </c>
      <c r="J6521" s="379">
        <v>0.12851167068759561</v>
      </c>
    </row>
    <row r="6522" spans="1:10" x14ac:dyDescent="0.35">
      <c r="A6522" s="5">
        <v>6518</v>
      </c>
      <c r="B6522" s="5">
        <v>272</v>
      </c>
      <c r="C6522" s="5">
        <v>9</v>
      </c>
      <c r="D6522" s="379">
        <v>97.847777777777779</v>
      </c>
      <c r="E6522" s="25">
        <v>24.84</v>
      </c>
      <c r="F6522" s="379">
        <v>3.57127355527631</v>
      </c>
      <c r="G6522" s="25">
        <v>43.18</v>
      </c>
      <c r="H6522" s="379">
        <v>1.8240026210447737</v>
      </c>
      <c r="I6522" s="25">
        <v>36.869999999999997</v>
      </c>
      <c r="J6522" s="379">
        <v>0.13568359726631801</v>
      </c>
    </row>
    <row r="6523" spans="1:10" x14ac:dyDescent="0.35">
      <c r="A6523" s="5">
        <v>6519</v>
      </c>
      <c r="B6523" s="5">
        <v>272</v>
      </c>
      <c r="C6523" s="5">
        <v>9</v>
      </c>
      <c r="D6523" s="379">
        <v>100.07777777777777</v>
      </c>
      <c r="E6523" s="25">
        <v>24.84</v>
      </c>
      <c r="F6523" s="379">
        <v>3.57127355527631</v>
      </c>
      <c r="G6523" s="25">
        <v>43.44</v>
      </c>
      <c r="H6523" s="379">
        <v>1.0134639769940879</v>
      </c>
      <c r="I6523" s="25">
        <v>34.89</v>
      </c>
      <c r="J6523" s="379">
        <v>0.1038169538491982</v>
      </c>
    </row>
    <row r="6524" spans="1:10" x14ac:dyDescent="0.35">
      <c r="A6524" s="5">
        <v>6520</v>
      </c>
      <c r="B6524" s="5">
        <v>272</v>
      </c>
      <c r="C6524" s="5">
        <v>9</v>
      </c>
      <c r="D6524" s="379">
        <v>106.54833333333332</v>
      </c>
      <c r="E6524" s="25">
        <v>24.84</v>
      </c>
      <c r="F6524" s="379">
        <v>3.57127355527631</v>
      </c>
      <c r="G6524" s="25">
        <v>43.56</v>
      </c>
      <c r="H6524" s="379">
        <v>1.7209012109863604</v>
      </c>
      <c r="I6524" s="25">
        <v>36.869999999999997</v>
      </c>
      <c r="J6524" s="379">
        <v>0.11425689267738086</v>
      </c>
    </row>
    <row r="6525" spans="1:10" x14ac:dyDescent="0.35">
      <c r="A6525" s="5">
        <v>6521</v>
      </c>
      <c r="B6525" s="5">
        <v>272</v>
      </c>
      <c r="C6525" s="5">
        <v>9</v>
      </c>
      <c r="D6525" s="379">
        <v>121.44499999999998</v>
      </c>
      <c r="E6525" s="25">
        <v>24.84</v>
      </c>
      <c r="F6525" s="379">
        <v>6.8053723584447887</v>
      </c>
      <c r="G6525" s="25">
        <v>43.56</v>
      </c>
      <c r="H6525" s="379">
        <v>3.7472734460578176</v>
      </c>
      <c r="I6525" s="25">
        <v>38.36</v>
      </c>
      <c r="J6525" s="379">
        <v>0.72090871058154249</v>
      </c>
    </row>
    <row r="6526" spans="1:10" x14ac:dyDescent="0.35">
      <c r="A6526" s="5">
        <v>6522</v>
      </c>
      <c r="B6526" s="5">
        <v>272</v>
      </c>
      <c r="C6526" s="5">
        <v>9</v>
      </c>
      <c r="D6526" s="379">
        <v>133.3127777777778</v>
      </c>
      <c r="E6526" s="25">
        <v>25.74</v>
      </c>
      <c r="F6526" s="379">
        <v>8.1174834595959577</v>
      </c>
      <c r="G6526" s="25">
        <v>44.69</v>
      </c>
      <c r="H6526" s="379">
        <v>4.8764297908994116</v>
      </c>
      <c r="I6526" s="25">
        <v>51.64</v>
      </c>
      <c r="J6526" s="379">
        <v>6.1810887155196559</v>
      </c>
    </row>
    <row r="6527" spans="1:10" x14ac:dyDescent="0.35">
      <c r="A6527" s="5">
        <v>6523</v>
      </c>
      <c r="B6527" s="5">
        <v>272</v>
      </c>
      <c r="C6527" s="5">
        <v>9</v>
      </c>
      <c r="D6527" s="379">
        <v>138.88888888888889</v>
      </c>
      <c r="E6527" s="25">
        <v>26.51</v>
      </c>
      <c r="F6527" s="379">
        <v>8.1174834595959613</v>
      </c>
      <c r="G6527" s="25">
        <v>44.69</v>
      </c>
      <c r="H6527" s="379">
        <v>4.8472286937286029</v>
      </c>
      <c r="I6527" s="25">
        <v>56.99</v>
      </c>
      <c r="J6527" s="379">
        <v>6.0536829636044782</v>
      </c>
    </row>
    <row r="6528" spans="1:10" x14ac:dyDescent="0.35">
      <c r="A6528" s="5">
        <v>6524</v>
      </c>
      <c r="B6528" s="5">
        <v>272</v>
      </c>
      <c r="C6528" s="5">
        <v>9</v>
      </c>
      <c r="D6528" s="379">
        <v>124.61166666666668</v>
      </c>
      <c r="E6528" s="25">
        <v>26.35</v>
      </c>
      <c r="F6528" s="379">
        <v>8.1174834595959577</v>
      </c>
      <c r="G6528" s="25">
        <v>44.69</v>
      </c>
      <c r="H6528" s="379">
        <v>5.1151393394897564</v>
      </c>
      <c r="I6528" s="25">
        <v>54.93</v>
      </c>
      <c r="J6528" s="379">
        <v>5.8925132846193709</v>
      </c>
    </row>
    <row r="6529" spans="1:10" x14ac:dyDescent="0.35">
      <c r="A6529" s="5">
        <v>6525</v>
      </c>
      <c r="B6529" s="5">
        <v>272</v>
      </c>
      <c r="C6529" s="5">
        <v>9</v>
      </c>
      <c r="D6529" s="379">
        <v>109.13388888888889</v>
      </c>
      <c r="E6529" s="25">
        <v>24.84</v>
      </c>
      <c r="F6529" s="379">
        <v>8.1174834595959595</v>
      </c>
      <c r="G6529" s="25">
        <v>44.69</v>
      </c>
      <c r="H6529" s="379">
        <v>4.6892445369685243</v>
      </c>
      <c r="I6529" s="25">
        <v>50.44</v>
      </c>
      <c r="J6529" s="379">
        <v>5.8971445286915092</v>
      </c>
    </row>
    <row r="6530" spans="1:10" x14ac:dyDescent="0.35">
      <c r="A6530" s="5">
        <v>6526</v>
      </c>
      <c r="B6530" s="5">
        <v>272</v>
      </c>
      <c r="C6530" s="5">
        <v>9</v>
      </c>
      <c r="D6530" s="379">
        <v>98.942222222222227</v>
      </c>
      <c r="E6530" s="25">
        <v>24.84</v>
      </c>
      <c r="F6530" s="379">
        <v>8.1174834595959577</v>
      </c>
      <c r="G6530" s="25">
        <v>42.17</v>
      </c>
      <c r="H6530" s="379">
        <v>5.5094107436000588</v>
      </c>
      <c r="I6530" s="25">
        <v>50.63</v>
      </c>
      <c r="J6530" s="379">
        <v>5.2371174220701624</v>
      </c>
    </row>
    <row r="6531" spans="1:10" x14ac:dyDescent="0.35">
      <c r="A6531" s="5">
        <v>6527</v>
      </c>
      <c r="B6531" s="5">
        <v>272</v>
      </c>
      <c r="C6531" s="5">
        <v>9</v>
      </c>
      <c r="D6531" s="379">
        <v>99.74166666666666</v>
      </c>
      <c r="E6531" s="25">
        <v>24.84</v>
      </c>
      <c r="F6531" s="379">
        <v>8.1174834595959613</v>
      </c>
      <c r="G6531" s="25">
        <v>39.770000000000003</v>
      </c>
      <c r="H6531" s="379">
        <v>4.7306198917219184</v>
      </c>
      <c r="I6531" s="25">
        <v>49.94</v>
      </c>
      <c r="J6531" s="379">
        <v>6.1349204734735654</v>
      </c>
    </row>
    <row r="6532" spans="1:10" x14ac:dyDescent="0.35">
      <c r="A6532" s="5">
        <v>6528</v>
      </c>
      <c r="B6532" s="5">
        <v>272</v>
      </c>
      <c r="C6532" s="5">
        <v>9</v>
      </c>
      <c r="D6532" s="379">
        <v>91.727777777777774</v>
      </c>
      <c r="E6532" s="25">
        <v>24.11</v>
      </c>
      <c r="F6532" s="379">
        <v>7.6439172864766736</v>
      </c>
      <c r="G6532" s="25">
        <v>39.770000000000003</v>
      </c>
      <c r="H6532" s="379">
        <v>4.4759470863858697</v>
      </c>
      <c r="I6532" s="25">
        <v>45.65</v>
      </c>
      <c r="J6532" s="379">
        <v>6.0224432961559513</v>
      </c>
    </row>
    <row r="6533" spans="1:10" x14ac:dyDescent="0.35">
      <c r="A6533" s="5">
        <v>6529</v>
      </c>
      <c r="B6533" s="5">
        <v>273</v>
      </c>
      <c r="C6533" s="5">
        <v>9</v>
      </c>
      <c r="D6533" s="379">
        <v>86.393333333333331</v>
      </c>
      <c r="E6533" s="25">
        <v>24.11</v>
      </c>
      <c r="F6533" s="379">
        <v>8.1174834595959577</v>
      </c>
      <c r="G6533" s="25">
        <v>39.770000000000003</v>
      </c>
      <c r="H6533" s="379">
        <v>4.8185886491641261</v>
      </c>
      <c r="I6533" s="25">
        <v>45.65</v>
      </c>
      <c r="J6533" s="379">
        <v>5.3784406736592869</v>
      </c>
    </row>
    <row r="6534" spans="1:10" x14ac:dyDescent="0.35">
      <c r="A6534" s="5">
        <v>6530</v>
      </c>
      <c r="B6534" s="5">
        <v>273</v>
      </c>
      <c r="C6534" s="5">
        <v>9</v>
      </c>
      <c r="D6534" s="379">
        <v>83.37277777777777</v>
      </c>
      <c r="E6534" s="25">
        <v>24.11</v>
      </c>
      <c r="F6534" s="379">
        <v>8.1174834595959577</v>
      </c>
      <c r="G6534" s="25">
        <v>39.770000000000003</v>
      </c>
      <c r="H6534" s="379">
        <v>4.9797335871358834</v>
      </c>
      <c r="I6534" s="25">
        <v>45.65</v>
      </c>
      <c r="J6534" s="379">
        <v>4.9751733148985169</v>
      </c>
    </row>
    <row r="6535" spans="1:10" x14ac:dyDescent="0.35">
      <c r="A6535" s="5">
        <v>6531</v>
      </c>
      <c r="B6535" s="5">
        <v>273</v>
      </c>
      <c r="C6535" s="5">
        <v>9</v>
      </c>
      <c r="D6535" s="379">
        <v>81.789444444444442</v>
      </c>
      <c r="E6535" s="25">
        <v>24.11</v>
      </c>
      <c r="F6535" s="379">
        <v>8.1174834595959595</v>
      </c>
      <c r="G6535" s="25">
        <v>39.770000000000003</v>
      </c>
      <c r="H6535" s="379">
        <v>5.3251503324363103</v>
      </c>
      <c r="I6535" s="25">
        <v>45.65</v>
      </c>
      <c r="J6535" s="379">
        <v>5.5230702952842696</v>
      </c>
    </row>
    <row r="6536" spans="1:10" x14ac:dyDescent="0.35">
      <c r="A6536" s="5">
        <v>6532</v>
      </c>
      <c r="B6536" s="5">
        <v>273</v>
      </c>
      <c r="C6536" s="5">
        <v>9</v>
      </c>
      <c r="D6536" s="379">
        <v>81.408333333333331</v>
      </c>
      <c r="E6536" s="25">
        <v>24.26</v>
      </c>
      <c r="F6536" s="379">
        <v>8.1174834595959595</v>
      </c>
      <c r="G6536" s="25">
        <v>39.770000000000003</v>
      </c>
      <c r="H6536" s="379">
        <v>5.0747438819134159</v>
      </c>
      <c r="I6536" s="25">
        <v>45.65</v>
      </c>
      <c r="J6536" s="379">
        <v>5.2856149645014741</v>
      </c>
    </row>
    <row r="6537" spans="1:10" x14ac:dyDescent="0.35">
      <c r="A6537" s="5">
        <v>6533</v>
      </c>
      <c r="B6537" s="5">
        <v>273</v>
      </c>
      <c r="C6537" s="5">
        <v>9</v>
      </c>
      <c r="D6537" s="379">
        <v>82.221666666666664</v>
      </c>
      <c r="E6537" s="25">
        <v>24.84</v>
      </c>
      <c r="F6537" s="379">
        <v>8.1174834595959577</v>
      </c>
      <c r="G6537" s="25">
        <v>39.770000000000003</v>
      </c>
      <c r="H6537" s="379">
        <v>5.4029408954914153</v>
      </c>
      <c r="I6537" s="25">
        <v>46.12</v>
      </c>
      <c r="J6537" s="379">
        <v>1.051282840587717</v>
      </c>
    </row>
    <row r="6538" spans="1:10" x14ac:dyDescent="0.35">
      <c r="A6538" s="5">
        <v>6534</v>
      </c>
      <c r="B6538" s="5">
        <v>273</v>
      </c>
      <c r="C6538" s="5">
        <v>9</v>
      </c>
      <c r="D6538" s="379">
        <v>93.680555555555557</v>
      </c>
      <c r="E6538" s="25">
        <v>24.84</v>
      </c>
      <c r="F6538" s="379">
        <v>8.1174834595959577</v>
      </c>
      <c r="G6538" s="25">
        <v>40.17</v>
      </c>
      <c r="H6538" s="379">
        <v>5.4654943747524944</v>
      </c>
      <c r="I6538" s="25">
        <v>53.71</v>
      </c>
      <c r="J6538" s="379">
        <v>5.9919487979091031</v>
      </c>
    </row>
    <row r="6539" spans="1:10" x14ac:dyDescent="0.35">
      <c r="A6539" s="5">
        <v>6535</v>
      </c>
      <c r="B6539" s="5">
        <v>273</v>
      </c>
      <c r="C6539" s="5">
        <v>9</v>
      </c>
      <c r="D6539" s="379">
        <v>111.45166666666667</v>
      </c>
      <c r="E6539" s="25">
        <v>25.74</v>
      </c>
      <c r="F6539" s="379">
        <v>8.1174834595959577</v>
      </c>
      <c r="G6539" s="25">
        <v>46.79</v>
      </c>
      <c r="H6539" s="379">
        <v>5.0754180220712763</v>
      </c>
      <c r="I6539" s="25">
        <v>58.7</v>
      </c>
      <c r="J6539" s="379">
        <v>5.472044525541782</v>
      </c>
    </row>
    <row r="6540" spans="1:10" x14ac:dyDescent="0.35">
      <c r="A6540" s="5">
        <v>6536</v>
      </c>
      <c r="B6540" s="5">
        <v>273</v>
      </c>
      <c r="C6540" s="5">
        <v>9</v>
      </c>
      <c r="D6540" s="379">
        <v>112.82555555555555</v>
      </c>
      <c r="E6540" s="25">
        <v>26.51</v>
      </c>
      <c r="F6540" s="379">
        <v>8.1174834595959613</v>
      </c>
      <c r="G6540" s="25">
        <v>46.79</v>
      </c>
      <c r="H6540" s="379">
        <v>4.5712838220929024</v>
      </c>
      <c r="I6540" s="25">
        <v>62.27</v>
      </c>
      <c r="J6540" s="379">
        <v>1.9333174815133929</v>
      </c>
    </row>
    <row r="6541" spans="1:10" x14ac:dyDescent="0.35">
      <c r="A6541" s="5">
        <v>6537</v>
      </c>
      <c r="B6541" s="5">
        <v>273</v>
      </c>
      <c r="C6541" s="5">
        <v>9</v>
      </c>
      <c r="D6541" s="379">
        <v>90.282777777777767</v>
      </c>
      <c r="E6541" s="25">
        <v>25.74</v>
      </c>
      <c r="F6541" s="379">
        <v>0.47222222222222227</v>
      </c>
      <c r="G6541" s="25">
        <v>46.79</v>
      </c>
      <c r="H6541" s="379">
        <v>0.11158319119990198</v>
      </c>
      <c r="I6541" s="25">
        <v>58.7</v>
      </c>
      <c r="J6541" s="379">
        <v>2.777777777777778E-2</v>
      </c>
    </row>
    <row r="6542" spans="1:10" x14ac:dyDescent="0.35">
      <c r="A6542" s="5">
        <v>6538</v>
      </c>
      <c r="B6542" s="5">
        <v>273</v>
      </c>
      <c r="C6542" s="5">
        <v>9</v>
      </c>
      <c r="D6542" s="379">
        <v>87.153888888888886</v>
      </c>
      <c r="E6542" s="25">
        <v>25.48</v>
      </c>
      <c r="F6542" s="379">
        <v>3.6900459665127716</v>
      </c>
      <c r="G6542" s="25">
        <v>44.74</v>
      </c>
      <c r="H6542" s="379">
        <v>2.4011044524564795</v>
      </c>
      <c r="I6542" s="25">
        <v>53.71</v>
      </c>
      <c r="J6542" s="379">
        <v>2.777777777777778E-2</v>
      </c>
    </row>
    <row r="6543" spans="1:10" x14ac:dyDescent="0.35">
      <c r="A6543" s="5">
        <v>6539</v>
      </c>
      <c r="B6543" s="5">
        <v>273</v>
      </c>
      <c r="C6543" s="5">
        <v>9</v>
      </c>
      <c r="D6543" s="379">
        <v>77.881666666666675</v>
      </c>
      <c r="E6543" s="25">
        <v>24.84</v>
      </c>
      <c r="F6543" s="379">
        <v>3.4038225635894461</v>
      </c>
      <c r="G6543" s="25">
        <v>44.74</v>
      </c>
      <c r="H6543" s="379">
        <v>0.41810464765170813</v>
      </c>
      <c r="I6543" s="25">
        <v>48.86</v>
      </c>
      <c r="J6543" s="379">
        <v>2.777777777777778E-2</v>
      </c>
    </row>
    <row r="6544" spans="1:10" x14ac:dyDescent="0.35">
      <c r="A6544" s="5">
        <v>6540</v>
      </c>
      <c r="B6544" s="5">
        <v>273</v>
      </c>
      <c r="C6544" s="5">
        <v>9</v>
      </c>
      <c r="D6544" s="379">
        <v>66.161111111111097</v>
      </c>
      <c r="E6544" s="25">
        <v>24.84</v>
      </c>
      <c r="F6544" s="379">
        <v>2.4810190136399854</v>
      </c>
      <c r="G6544" s="25">
        <v>42.17</v>
      </c>
      <c r="H6544" s="379">
        <v>2.777777777777778E-2</v>
      </c>
      <c r="I6544" s="25">
        <v>45.65</v>
      </c>
      <c r="J6544" s="379">
        <v>2.777777777777778E-2</v>
      </c>
    </row>
    <row r="6545" spans="1:10" x14ac:dyDescent="0.35">
      <c r="A6545" s="5">
        <v>6541</v>
      </c>
      <c r="B6545" s="5">
        <v>273</v>
      </c>
      <c r="C6545" s="5">
        <v>9</v>
      </c>
      <c r="D6545" s="379">
        <v>65.334999999999994</v>
      </c>
      <c r="E6545" s="25">
        <v>24.84</v>
      </c>
      <c r="F6545" s="379">
        <v>2.2818702937957411</v>
      </c>
      <c r="G6545" s="25">
        <v>42.17</v>
      </c>
      <c r="H6545" s="379">
        <v>6.0870436498465595E-2</v>
      </c>
      <c r="I6545" s="25">
        <v>45.65</v>
      </c>
      <c r="J6545" s="379">
        <v>2.777777777777778E-2</v>
      </c>
    </row>
    <row r="6546" spans="1:10" x14ac:dyDescent="0.35">
      <c r="A6546" s="5">
        <v>6542</v>
      </c>
      <c r="B6546" s="5">
        <v>273</v>
      </c>
      <c r="C6546" s="5">
        <v>9</v>
      </c>
      <c r="D6546" s="379">
        <v>53.851666666666667</v>
      </c>
      <c r="E6546" s="25">
        <v>24.84</v>
      </c>
      <c r="F6546" s="379">
        <v>4.6206744806463987E-2</v>
      </c>
      <c r="G6546" s="25">
        <v>42.17</v>
      </c>
      <c r="H6546" s="379">
        <v>6.0870436498465595E-2</v>
      </c>
      <c r="I6546" s="25">
        <v>37.979999999999997</v>
      </c>
      <c r="J6546" s="379">
        <v>2.777777777777778E-2</v>
      </c>
    </row>
    <row r="6547" spans="1:10" x14ac:dyDescent="0.35">
      <c r="A6547" s="5">
        <v>6543</v>
      </c>
      <c r="B6547" s="5">
        <v>273</v>
      </c>
      <c r="C6547" s="5">
        <v>9</v>
      </c>
      <c r="D6547" s="379">
        <v>52.01166666666667</v>
      </c>
      <c r="E6547" s="25">
        <v>24.84</v>
      </c>
      <c r="F6547" s="379">
        <v>0.11156969737474241</v>
      </c>
      <c r="G6547" s="25">
        <v>42.17</v>
      </c>
      <c r="H6547" s="379">
        <v>0.41810464765170813</v>
      </c>
      <c r="I6547" s="25">
        <v>37.979999999999997</v>
      </c>
      <c r="J6547" s="379">
        <v>2.777777777777778E-2</v>
      </c>
    </row>
    <row r="6548" spans="1:10" x14ac:dyDescent="0.35">
      <c r="A6548" s="5">
        <v>6544</v>
      </c>
      <c r="B6548" s="5">
        <v>273</v>
      </c>
      <c r="C6548" s="5">
        <v>9</v>
      </c>
      <c r="D6548" s="379">
        <v>63.639999999999993</v>
      </c>
      <c r="E6548" s="25">
        <v>24.84</v>
      </c>
      <c r="F6548" s="379">
        <v>2.7542472558366971</v>
      </c>
      <c r="G6548" s="25">
        <v>43.56</v>
      </c>
      <c r="H6548" s="379">
        <v>0.55538536076082035</v>
      </c>
      <c r="I6548" s="25">
        <v>45.65</v>
      </c>
      <c r="J6548" s="379">
        <v>2.777777777777778E-2</v>
      </c>
    </row>
    <row r="6549" spans="1:10" x14ac:dyDescent="0.35">
      <c r="A6549" s="5">
        <v>6545</v>
      </c>
      <c r="B6549" s="5">
        <v>273</v>
      </c>
      <c r="C6549" s="5">
        <v>9</v>
      </c>
      <c r="D6549" s="379">
        <v>78.393888888888881</v>
      </c>
      <c r="E6549" s="25">
        <v>24.84</v>
      </c>
      <c r="F6549" s="379">
        <v>4.4004303262538835</v>
      </c>
      <c r="G6549" s="25">
        <v>43.56</v>
      </c>
      <c r="H6549" s="379">
        <v>1.8842722814278901</v>
      </c>
      <c r="I6549" s="25">
        <v>45.65</v>
      </c>
      <c r="J6549" s="379">
        <v>2.777777777777778E-2</v>
      </c>
    </row>
    <row r="6550" spans="1:10" x14ac:dyDescent="0.35">
      <c r="A6550" s="5">
        <v>6546</v>
      </c>
      <c r="B6550" s="5">
        <v>273</v>
      </c>
      <c r="C6550" s="5">
        <v>9</v>
      </c>
      <c r="D6550" s="379">
        <v>86.184444444444452</v>
      </c>
      <c r="E6550" s="25">
        <v>26.51</v>
      </c>
      <c r="F6550" s="379">
        <v>7.6865913048199994</v>
      </c>
      <c r="G6550" s="25">
        <v>44.74</v>
      </c>
      <c r="H6550" s="379">
        <v>7.6187605342432976</v>
      </c>
      <c r="I6550" s="25">
        <v>53.71</v>
      </c>
      <c r="J6550" s="379">
        <v>4.4277000692058834</v>
      </c>
    </row>
    <row r="6551" spans="1:10" x14ac:dyDescent="0.35">
      <c r="A6551" s="5">
        <v>6547</v>
      </c>
      <c r="B6551" s="5">
        <v>273</v>
      </c>
      <c r="C6551" s="5">
        <v>9</v>
      </c>
      <c r="D6551" s="379">
        <v>86.344999999999999</v>
      </c>
      <c r="E6551" s="25">
        <v>26.74</v>
      </c>
      <c r="F6551" s="379">
        <v>7.4172636219029826</v>
      </c>
      <c r="G6551" s="25">
        <v>46.79</v>
      </c>
      <c r="H6551" s="379">
        <v>5.5680925455290149</v>
      </c>
      <c r="I6551" s="25">
        <v>62.27</v>
      </c>
      <c r="J6551" s="379">
        <v>4.3469688738151806</v>
      </c>
    </row>
    <row r="6552" spans="1:10" x14ac:dyDescent="0.35">
      <c r="A6552" s="5">
        <v>6548</v>
      </c>
      <c r="B6552" s="5">
        <v>273</v>
      </c>
      <c r="C6552" s="5">
        <v>9</v>
      </c>
      <c r="D6552" s="379">
        <v>78.546666666666653</v>
      </c>
      <c r="E6552" s="25">
        <v>26.51</v>
      </c>
      <c r="F6552" s="379">
        <v>7.1417812202149573</v>
      </c>
      <c r="G6552" s="25">
        <v>46.79</v>
      </c>
      <c r="H6552" s="379">
        <v>5.8143462958570051</v>
      </c>
      <c r="I6552" s="25">
        <v>58.7</v>
      </c>
      <c r="J6552" s="379">
        <v>4.633765860758575</v>
      </c>
    </row>
    <row r="6553" spans="1:10" x14ac:dyDescent="0.35">
      <c r="A6553" s="5">
        <v>6549</v>
      </c>
      <c r="B6553" s="5">
        <v>273</v>
      </c>
      <c r="C6553" s="5">
        <v>9</v>
      </c>
      <c r="D6553" s="379">
        <v>59.982777777777784</v>
      </c>
      <c r="E6553" s="25">
        <v>24.84</v>
      </c>
      <c r="F6553" s="379">
        <v>7.0964444143961867</v>
      </c>
      <c r="G6553" s="25">
        <v>44.69</v>
      </c>
      <c r="H6553" s="379">
        <v>6.5706312300802665</v>
      </c>
      <c r="I6553" s="25">
        <v>54.93</v>
      </c>
      <c r="J6553" s="379">
        <v>4.8469418780770752</v>
      </c>
    </row>
    <row r="6554" spans="1:10" x14ac:dyDescent="0.35">
      <c r="A6554" s="5">
        <v>6550</v>
      </c>
      <c r="B6554" s="5">
        <v>273</v>
      </c>
      <c r="C6554" s="5">
        <v>9</v>
      </c>
      <c r="D6554" s="379">
        <v>51.371111111111105</v>
      </c>
      <c r="E6554" s="25">
        <v>24.84</v>
      </c>
      <c r="F6554" s="379">
        <v>7.1660066295109601</v>
      </c>
      <c r="G6554" s="25">
        <v>44.69</v>
      </c>
      <c r="H6554" s="379">
        <v>5.8856851617262693</v>
      </c>
      <c r="I6554" s="25">
        <v>57.49</v>
      </c>
      <c r="J6554" s="379">
        <v>4.7179881591426396</v>
      </c>
    </row>
    <row r="6555" spans="1:10" x14ac:dyDescent="0.35">
      <c r="A6555" s="5">
        <v>6551</v>
      </c>
      <c r="B6555" s="5">
        <v>273</v>
      </c>
      <c r="C6555" s="5">
        <v>9</v>
      </c>
      <c r="D6555" s="379">
        <v>44.403888888888886</v>
      </c>
      <c r="E6555" s="25">
        <v>24.84</v>
      </c>
      <c r="F6555" s="379">
        <v>6.9117746111463951</v>
      </c>
      <c r="G6555" s="25">
        <v>39.770000000000003</v>
      </c>
      <c r="H6555" s="379">
        <v>7.0583106729418104</v>
      </c>
      <c r="I6555" s="25">
        <v>53.51</v>
      </c>
      <c r="J6555" s="379">
        <v>4.2887225917212985</v>
      </c>
    </row>
    <row r="6556" spans="1:10" x14ac:dyDescent="0.35">
      <c r="A6556" s="5">
        <v>6552</v>
      </c>
      <c r="B6556" s="5">
        <v>273</v>
      </c>
      <c r="C6556" s="5">
        <v>9</v>
      </c>
      <c r="D6556" s="379">
        <v>39.288888888888884</v>
      </c>
      <c r="E6556" s="25">
        <v>24.56</v>
      </c>
      <c r="F6556" s="379">
        <v>6.7418546135850868</v>
      </c>
      <c r="G6556" s="25">
        <v>39.770000000000003</v>
      </c>
      <c r="H6556" s="379">
        <v>7.1445423431704285</v>
      </c>
      <c r="I6556" s="25">
        <v>48.86</v>
      </c>
      <c r="J6556" s="379">
        <v>4.8309021714689155</v>
      </c>
    </row>
    <row r="6557" spans="1:10" x14ac:dyDescent="0.35">
      <c r="A6557" s="5">
        <v>6553</v>
      </c>
      <c r="B6557" s="5">
        <v>274</v>
      </c>
      <c r="C6557" s="5">
        <v>10</v>
      </c>
      <c r="D6557" s="379">
        <v>38.209999999999994</v>
      </c>
      <c r="E6557" s="25">
        <v>24.56</v>
      </c>
      <c r="F6557" s="379">
        <v>6.9598409415403353</v>
      </c>
      <c r="G6557" s="25">
        <v>39.770000000000003</v>
      </c>
      <c r="H6557" s="379">
        <v>6.6157739490452387</v>
      </c>
      <c r="I6557" s="25">
        <v>48.86</v>
      </c>
      <c r="J6557" s="379">
        <v>4.0343716926021118</v>
      </c>
    </row>
    <row r="6558" spans="1:10" x14ac:dyDescent="0.35">
      <c r="A6558" s="5">
        <v>6554</v>
      </c>
      <c r="B6558" s="5">
        <v>274</v>
      </c>
      <c r="C6558" s="5">
        <v>10</v>
      </c>
      <c r="D6558" s="379">
        <v>34.755555555555567</v>
      </c>
      <c r="E6558" s="25">
        <v>24.56</v>
      </c>
      <c r="F6558" s="379">
        <v>6.9077391442050073</v>
      </c>
      <c r="G6558" s="25">
        <v>39.770000000000003</v>
      </c>
      <c r="H6558" s="379">
        <v>7.39492402914275</v>
      </c>
      <c r="I6558" s="25">
        <v>48.86</v>
      </c>
      <c r="J6558" s="379">
        <v>4.7824909620052702</v>
      </c>
    </row>
    <row r="6559" spans="1:10" x14ac:dyDescent="0.35">
      <c r="A6559" s="5">
        <v>6555</v>
      </c>
      <c r="B6559" s="5">
        <v>274</v>
      </c>
      <c r="C6559" s="5">
        <v>10</v>
      </c>
      <c r="D6559" s="379">
        <v>29.06444444444444</v>
      </c>
      <c r="E6559" s="25">
        <v>24.56</v>
      </c>
      <c r="F6559" s="379">
        <v>7.0086805601143123</v>
      </c>
      <c r="G6559" s="25">
        <v>39.770000000000003</v>
      </c>
      <c r="H6559" s="379">
        <v>6.9771916768193991</v>
      </c>
      <c r="I6559" s="25">
        <v>48.86</v>
      </c>
      <c r="J6559" s="379">
        <v>3.5304985185602966</v>
      </c>
    </row>
    <row r="6560" spans="1:10" x14ac:dyDescent="0.35">
      <c r="A6560" s="5">
        <v>6556</v>
      </c>
      <c r="B6560" s="5">
        <v>274</v>
      </c>
      <c r="C6560" s="5">
        <v>10</v>
      </c>
      <c r="D6560" s="379">
        <v>28.03</v>
      </c>
      <c r="E6560" s="25">
        <v>24.84</v>
      </c>
      <c r="F6560" s="379">
        <v>7.4209052511951894</v>
      </c>
      <c r="G6560" s="25">
        <v>39.770000000000003</v>
      </c>
      <c r="H6560" s="379">
        <v>7.9934682488346507</v>
      </c>
      <c r="I6560" s="25">
        <v>48.86</v>
      </c>
      <c r="J6560" s="379">
        <v>4.2208951480840424</v>
      </c>
    </row>
    <row r="6561" spans="1:10" x14ac:dyDescent="0.35">
      <c r="A6561" s="5">
        <v>6557</v>
      </c>
      <c r="B6561" s="5">
        <v>274</v>
      </c>
      <c r="C6561" s="5">
        <v>10</v>
      </c>
      <c r="D6561" s="379">
        <v>31.009444444444441</v>
      </c>
      <c r="E6561" s="25">
        <v>24.84</v>
      </c>
      <c r="F6561" s="379">
        <v>7.4021749699193409</v>
      </c>
      <c r="G6561" s="25">
        <v>42.17</v>
      </c>
      <c r="H6561" s="379">
        <v>7.5120225293496201</v>
      </c>
      <c r="I6561" s="25">
        <v>49.53</v>
      </c>
      <c r="J6561" s="379">
        <v>3.1200635860213408</v>
      </c>
    </row>
    <row r="6562" spans="1:10" x14ac:dyDescent="0.35">
      <c r="A6562" s="5">
        <v>6558</v>
      </c>
      <c r="B6562" s="5">
        <v>274</v>
      </c>
      <c r="C6562" s="5">
        <v>10</v>
      </c>
      <c r="D6562" s="379">
        <v>33.077222222222225</v>
      </c>
      <c r="E6562" s="25">
        <v>24.84</v>
      </c>
      <c r="F6562" s="379">
        <v>8.6445999911790228</v>
      </c>
      <c r="G6562" s="25">
        <v>44.94</v>
      </c>
      <c r="H6562" s="379">
        <v>7.798734240053494</v>
      </c>
      <c r="I6562" s="25">
        <v>58.7</v>
      </c>
      <c r="J6562" s="379">
        <v>4.9571154118219587</v>
      </c>
    </row>
    <row r="6563" spans="1:10" x14ac:dyDescent="0.35">
      <c r="A6563" s="5">
        <v>6559</v>
      </c>
      <c r="B6563" s="5">
        <v>274</v>
      </c>
      <c r="C6563" s="5">
        <v>10</v>
      </c>
      <c r="D6563" s="379">
        <v>38.450000000000003</v>
      </c>
      <c r="E6563" s="25">
        <v>27.3</v>
      </c>
      <c r="F6563" s="379">
        <v>6.9707249606123494</v>
      </c>
      <c r="G6563" s="25">
        <v>47.85</v>
      </c>
      <c r="H6563" s="379">
        <v>8.1159495394433883</v>
      </c>
      <c r="I6563" s="25">
        <v>64.55</v>
      </c>
      <c r="J6563" s="379">
        <v>4.4699545251030344</v>
      </c>
    </row>
    <row r="6564" spans="1:10" x14ac:dyDescent="0.35">
      <c r="A6564" s="5">
        <v>6560</v>
      </c>
      <c r="B6564" s="5">
        <v>274</v>
      </c>
      <c r="C6564" s="5">
        <v>10</v>
      </c>
      <c r="D6564" s="379">
        <v>44.677777777777777</v>
      </c>
      <c r="E6564" s="25">
        <v>28.12</v>
      </c>
      <c r="F6564" s="379">
        <v>7.6122216316346236</v>
      </c>
      <c r="G6564" s="25">
        <v>47.85</v>
      </c>
      <c r="H6564" s="379">
        <v>7.9081095565734438</v>
      </c>
      <c r="I6564" s="25">
        <v>66.06</v>
      </c>
      <c r="J6564" s="379">
        <v>5.0557233556629368</v>
      </c>
    </row>
    <row r="6565" spans="1:10" x14ac:dyDescent="0.35">
      <c r="A6565" s="5">
        <v>6561</v>
      </c>
      <c r="B6565" s="5">
        <v>274</v>
      </c>
      <c r="C6565" s="5">
        <v>10</v>
      </c>
      <c r="D6565" s="379">
        <v>47.268333333333331</v>
      </c>
      <c r="E6565" s="25">
        <v>26.51</v>
      </c>
      <c r="F6565" s="379">
        <v>3.3431254388348792</v>
      </c>
      <c r="G6565" s="25">
        <v>47.85</v>
      </c>
      <c r="H6565" s="379">
        <v>1.4044923271138849</v>
      </c>
      <c r="I6565" s="25">
        <v>64.14</v>
      </c>
      <c r="J6565" s="379">
        <v>1.1236192929789768</v>
      </c>
    </row>
    <row r="6566" spans="1:10" x14ac:dyDescent="0.35">
      <c r="A6566" s="5">
        <v>6562</v>
      </c>
      <c r="B6566" s="5">
        <v>274</v>
      </c>
      <c r="C6566" s="5">
        <v>10</v>
      </c>
      <c r="D6566" s="379">
        <v>47.726111111111116</v>
      </c>
      <c r="E6566" s="25">
        <v>24.99</v>
      </c>
      <c r="F6566" s="379">
        <v>0.47222222222222221</v>
      </c>
      <c r="G6566" s="25">
        <v>47.85</v>
      </c>
      <c r="H6566" s="379">
        <v>0.58666968178485923</v>
      </c>
      <c r="I6566" s="25">
        <v>58.7</v>
      </c>
      <c r="J6566" s="379">
        <v>2.777777777777778E-2</v>
      </c>
    </row>
    <row r="6567" spans="1:10" x14ac:dyDescent="0.35">
      <c r="A6567" s="5">
        <v>6563</v>
      </c>
      <c r="B6567" s="5">
        <v>274</v>
      </c>
      <c r="C6567" s="5">
        <v>10</v>
      </c>
      <c r="D6567" s="379">
        <v>45.961111111111116</v>
      </c>
      <c r="E6567" s="25">
        <v>24.84</v>
      </c>
      <c r="F6567" s="379">
        <v>3.8013805074298483</v>
      </c>
      <c r="G6567" s="25">
        <v>46.98</v>
      </c>
      <c r="H6567" s="379">
        <v>0.49264380125525975</v>
      </c>
      <c r="I6567" s="25">
        <v>52.24</v>
      </c>
      <c r="J6567" s="379">
        <v>2.777777777777778E-2</v>
      </c>
    </row>
    <row r="6568" spans="1:10" x14ac:dyDescent="0.35">
      <c r="A6568" s="5">
        <v>6564</v>
      </c>
      <c r="B6568" s="5">
        <v>274</v>
      </c>
      <c r="C6568" s="5">
        <v>10</v>
      </c>
      <c r="D6568" s="379">
        <v>42.344999999999999</v>
      </c>
      <c r="E6568" s="25">
        <v>24.84</v>
      </c>
      <c r="F6568" s="379">
        <v>3.5579791069735927</v>
      </c>
      <c r="G6568" s="25">
        <v>44.74</v>
      </c>
      <c r="H6568" s="379">
        <v>0.55255388390822813</v>
      </c>
      <c r="I6568" s="25">
        <v>48.86</v>
      </c>
      <c r="J6568" s="379">
        <v>2.777777777777778E-2</v>
      </c>
    </row>
    <row r="6569" spans="1:10" x14ac:dyDescent="0.35">
      <c r="A6569" s="5">
        <v>6565</v>
      </c>
      <c r="B6569" s="5">
        <v>274</v>
      </c>
      <c r="C6569" s="5">
        <v>10</v>
      </c>
      <c r="D6569" s="379">
        <v>33.144444444444446</v>
      </c>
      <c r="E6569" s="25">
        <v>24.84</v>
      </c>
      <c r="F6569" s="379">
        <v>3.3853714873267293</v>
      </c>
      <c r="G6569" s="25">
        <v>42.35</v>
      </c>
      <c r="H6569" s="379">
        <v>1.8209670274694856</v>
      </c>
      <c r="I6569" s="25">
        <v>48.86</v>
      </c>
      <c r="J6569" s="379">
        <v>2.777777777777778E-2</v>
      </c>
    </row>
    <row r="6570" spans="1:10" x14ac:dyDescent="0.35">
      <c r="A6570" s="5">
        <v>6566</v>
      </c>
      <c r="B6570" s="5">
        <v>274</v>
      </c>
      <c r="C6570" s="5">
        <v>10</v>
      </c>
      <c r="D6570" s="379">
        <v>32.051111111111105</v>
      </c>
      <c r="E6570" s="25">
        <v>24.84</v>
      </c>
      <c r="F6570" s="379">
        <v>3.3853714873267293</v>
      </c>
      <c r="G6570" s="25">
        <v>42.17</v>
      </c>
      <c r="H6570" s="379">
        <v>0.71640221699332152</v>
      </c>
      <c r="I6570" s="25">
        <v>37.979999999999997</v>
      </c>
      <c r="J6570" s="379">
        <v>2.777777777777778E-2</v>
      </c>
    </row>
    <row r="6571" spans="1:10" x14ac:dyDescent="0.35">
      <c r="A6571" s="5">
        <v>6567</v>
      </c>
      <c r="B6571" s="5">
        <v>274</v>
      </c>
      <c r="C6571" s="5">
        <v>10</v>
      </c>
      <c r="D6571" s="379">
        <v>32.275000000000006</v>
      </c>
      <c r="E6571" s="25">
        <v>24.84</v>
      </c>
      <c r="F6571" s="379">
        <v>3.3853714873267293</v>
      </c>
      <c r="G6571" s="25">
        <v>42.17</v>
      </c>
      <c r="H6571" s="379">
        <v>0.72606250841223485</v>
      </c>
      <c r="I6571" s="25">
        <v>38.36</v>
      </c>
      <c r="J6571" s="379">
        <v>2.777777777777778E-2</v>
      </c>
    </row>
    <row r="6572" spans="1:10" x14ac:dyDescent="0.35">
      <c r="A6572" s="5">
        <v>6568</v>
      </c>
      <c r="B6572" s="5">
        <v>274</v>
      </c>
      <c r="C6572" s="5">
        <v>10</v>
      </c>
      <c r="D6572" s="379">
        <v>36.787222222222219</v>
      </c>
      <c r="E6572" s="25">
        <v>24.84</v>
      </c>
      <c r="F6572" s="379">
        <v>0.47222222222222215</v>
      </c>
      <c r="G6572" s="25">
        <v>43.56</v>
      </c>
      <c r="H6572" s="379">
        <v>1.8842722814278901</v>
      </c>
      <c r="I6572" s="25">
        <v>48.86</v>
      </c>
      <c r="J6572" s="379">
        <v>2.777777777777778E-2</v>
      </c>
    </row>
    <row r="6573" spans="1:10" x14ac:dyDescent="0.35">
      <c r="A6573" s="5">
        <v>6569</v>
      </c>
      <c r="B6573" s="5">
        <v>274</v>
      </c>
      <c r="C6573" s="5">
        <v>10</v>
      </c>
      <c r="D6573" s="379">
        <v>47.452777777777783</v>
      </c>
      <c r="E6573" s="25">
        <v>24.84</v>
      </c>
      <c r="F6573" s="379">
        <v>8.0802092218108985</v>
      </c>
      <c r="G6573" s="25">
        <v>43.56</v>
      </c>
      <c r="H6573" s="379">
        <v>5.0544073075707496</v>
      </c>
      <c r="I6573" s="25">
        <v>48.86</v>
      </c>
      <c r="J6573" s="379">
        <v>0.84922298796659113</v>
      </c>
    </row>
    <row r="6574" spans="1:10" x14ac:dyDescent="0.35">
      <c r="A6574" s="5">
        <v>6570</v>
      </c>
      <c r="B6574" s="5">
        <v>274</v>
      </c>
      <c r="C6574" s="5">
        <v>10</v>
      </c>
      <c r="D6574" s="379">
        <v>55.821666666666673</v>
      </c>
      <c r="E6574" s="25">
        <v>25.74</v>
      </c>
      <c r="F6574" s="379">
        <v>18.643292340234122</v>
      </c>
      <c r="G6574" s="25">
        <v>44.69</v>
      </c>
      <c r="H6574" s="379">
        <v>7.1448648798287255</v>
      </c>
      <c r="I6574" s="25">
        <v>50.44</v>
      </c>
      <c r="J6574" s="379">
        <v>7.2018217006278489</v>
      </c>
    </row>
    <row r="6575" spans="1:10" x14ac:dyDescent="0.35">
      <c r="A6575" s="5">
        <v>6571</v>
      </c>
      <c r="B6575" s="5">
        <v>274</v>
      </c>
      <c r="C6575" s="5">
        <v>10</v>
      </c>
      <c r="D6575" s="379">
        <v>62.32500000000001</v>
      </c>
      <c r="E6575" s="25">
        <v>26.51</v>
      </c>
      <c r="F6575" s="379">
        <v>15.824559459215017</v>
      </c>
      <c r="G6575" s="25">
        <v>47.85</v>
      </c>
      <c r="H6575" s="379">
        <v>8.3630283722824998</v>
      </c>
      <c r="I6575" s="25">
        <v>58.7</v>
      </c>
      <c r="J6575" s="379">
        <v>7.2718416655348541</v>
      </c>
    </row>
    <row r="6576" spans="1:10" x14ac:dyDescent="0.35">
      <c r="A6576" s="5">
        <v>6572</v>
      </c>
      <c r="B6576" s="5">
        <v>274</v>
      </c>
      <c r="C6576" s="5">
        <v>10</v>
      </c>
      <c r="D6576" s="379">
        <v>56.603888888888889</v>
      </c>
      <c r="E6576" s="25">
        <v>26.51</v>
      </c>
      <c r="F6576" s="379">
        <v>18.484106784213036</v>
      </c>
      <c r="G6576" s="25">
        <v>47.85</v>
      </c>
      <c r="H6576" s="379">
        <v>9.0133698322849352</v>
      </c>
      <c r="I6576" s="25">
        <v>58.7</v>
      </c>
      <c r="J6576" s="379">
        <v>7.2718416655348541</v>
      </c>
    </row>
    <row r="6577" spans="1:10" x14ac:dyDescent="0.35">
      <c r="A6577" s="5">
        <v>6573</v>
      </c>
      <c r="B6577" s="5">
        <v>274</v>
      </c>
      <c r="C6577" s="5">
        <v>10</v>
      </c>
      <c r="D6577" s="379">
        <v>45.926111111111112</v>
      </c>
      <c r="E6577" s="25">
        <v>25.48</v>
      </c>
      <c r="F6577" s="379">
        <v>18.673490664376764</v>
      </c>
      <c r="G6577" s="25">
        <v>44.69</v>
      </c>
      <c r="H6577" s="379">
        <v>7.5951975262776115</v>
      </c>
      <c r="I6577" s="25">
        <v>57.49</v>
      </c>
      <c r="J6577" s="379">
        <v>7.0577041131697831</v>
      </c>
    </row>
    <row r="6578" spans="1:10" x14ac:dyDescent="0.35">
      <c r="A6578" s="5">
        <v>6574</v>
      </c>
      <c r="B6578" s="5">
        <v>274</v>
      </c>
      <c r="C6578" s="5">
        <v>10</v>
      </c>
      <c r="D6578" s="379">
        <v>38.409444444444453</v>
      </c>
      <c r="E6578" s="25">
        <v>24.84</v>
      </c>
      <c r="F6578" s="379">
        <v>19.184320133678224</v>
      </c>
      <c r="G6578" s="25">
        <v>44.74</v>
      </c>
      <c r="H6578" s="379">
        <v>9.0452612677591215</v>
      </c>
      <c r="I6578" s="25">
        <v>57.49</v>
      </c>
      <c r="J6578" s="379">
        <v>7.2789466550602011</v>
      </c>
    </row>
    <row r="6579" spans="1:10" x14ac:dyDescent="0.35">
      <c r="A6579" s="5">
        <v>6575</v>
      </c>
      <c r="B6579" s="5">
        <v>274</v>
      </c>
      <c r="C6579" s="5">
        <v>10</v>
      </c>
      <c r="D6579" s="379">
        <v>34.43</v>
      </c>
      <c r="E6579" s="25">
        <v>24.84</v>
      </c>
      <c r="F6579" s="379">
        <v>18.507410679109345</v>
      </c>
      <c r="G6579" s="25">
        <v>44.69</v>
      </c>
      <c r="H6579" s="379">
        <v>8.4268116849835693</v>
      </c>
      <c r="I6579" s="25">
        <v>53.81</v>
      </c>
      <c r="J6579" s="379">
        <v>6.7180229815067536</v>
      </c>
    </row>
    <row r="6580" spans="1:10" x14ac:dyDescent="0.35">
      <c r="A6580" s="5">
        <v>6576</v>
      </c>
      <c r="B6580" s="5">
        <v>274</v>
      </c>
      <c r="C6580" s="5">
        <v>10</v>
      </c>
      <c r="D6580" s="379">
        <v>30.323888888888892</v>
      </c>
      <c r="E6580" s="25">
        <v>24.84</v>
      </c>
      <c r="F6580" s="379">
        <v>17.514000900050949</v>
      </c>
      <c r="G6580" s="25">
        <v>42.17</v>
      </c>
      <c r="H6580" s="379">
        <v>7.4501449112708782</v>
      </c>
      <c r="I6580" s="25">
        <v>49.53</v>
      </c>
      <c r="J6580" s="379">
        <v>5.8094337696829941</v>
      </c>
    </row>
    <row r="6581" spans="1:10" x14ac:dyDescent="0.35">
      <c r="A6581" s="5">
        <v>6577</v>
      </c>
      <c r="B6581" s="5">
        <v>275</v>
      </c>
      <c r="C6581" s="5">
        <v>10</v>
      </c>
      <c r="D6581" s="379">
        <v>25.097777777777779</v>
      </c>
      <c r="E6581" s="25">
        <v>24.84</v>
      </c>
      <c r="F6581" s="379">
        <v>17.307761599955768</v>
      </c>
      <c r="G6581" s="25">
        <v>40.67</v>
      </c>
      <c r="H6581" s="379">
        <v>7.710207318252567</v>
      </c>
      <c r="I6581" s="25">
        <v>46.34</v>
      </c>
      <c r="J6581" s="379">
        <v>5.6233137180098618</v>
      </c>
    </row>
    <row r="6582" spans="1:10" x14ac:dyDescent="0.35">
      <c r="A6582" s="5">
        <v>6578</v>
      </c>
      <c r="B6582" s="5">
        <v>275</v>
      </c>
      <c r="C6582" s="5">
        <v>10</v>
      </c>
      <c r="D6582" s="379">
        <v>26.447777777777777</v>
      </c>
      <c r="E6582" s="25">
        <v>24.84</v>
      </c>
      <c r="F6582" s="379">
        <v>15.56684084018416</v>
      </c>
      <c r="G6582" s="25">
        <v>40.67</v>
      </c>
      <c r="H6582" s="379">
        <v>7.2486720599805743</v>
      </c>
      <c r="I6582" s="25">
        <v>46.34</v>
      </c>
      <c r="J6582" s="379">
        <v>5.8691747005015404</v>
      </c>
    </row>
    <row r="6583" spans="1:10" x14ac:dyDescent="0.35">
      <c r="A6583" s="5">
        <v>6579</v>
      </c>
      <c r="B6583" s="5">
        <v>275</v>
      </c>
      <c r="C6583" s="5">
        <v>10</v>
      </c>
      <c r="D6583" s="379">
        <v>25.751666666666665</v>
      </c>
      <c r="E6583" s="25">
        <v>24.84</v>
      </c>
      <c r="F6583" s="379">
        <v>15.237819259275586</v>
      </c>
      <c r="G6583" s="25">
        <v>40.67</v>
      </c>
      <c r="H6583" s="379">
        <v>6.8612976666430949</v>
      </c>
      <c r="I6583" s="25">
        <v>46.34</v>
      </c>
      <c r="J6583" s="379">
        <v>5.9335083547357064</v>
      </c>
    </row>
    <row r="6584" spans="1:10" x14ac:dyDescent="0.35">
      <c r="A6584" s="5">
        <v>6580</v>
      </c>
      <c r="B6584" s="5">
        <v>275</v>
      </c>
      <c r="C6584" s="5">
        <v>10</v>
      </c>
      <c r="D6584" s="379">
        <v>26.032777777777774</v>
      </c>
      <c r="E6584" s="25">
        <v>24.84</v>
      </c>
      <c r="F6584" s="379">
        <v>17.81938203162041</v>
      </c>
      <c r="G6584" s="25">
        <v>40.67</v>
      </c>
      <c r="H6584" s="379">
        <v>6.8977773647950551</v>
      </c>
      <c r="I6584" s="25">
        <v>46.34</v>
      </c>
      <c r="J6584" s="379">
        <v>5.8019826585768284</v>
      </c>
    </row>
    <row r="6585" spans="1:10" x14ac:dyDescent="0.35">
      <c r="A6585" s="5">
        <v>6581</v>
      </c>
      <c r="B6585" s="5">
        <v>275</v>
      </c>
      <c r="C6585" s="5">
        <v>10</v>
      </c>
      <c r="D6585" s="379">
        <v>27.919999999999998</v>
      </c>
      <c r="E6585" s="25">
        <v>24.84</v>
      </c>
      <c r="F6585" s="379">
        <v>17.4505683386996</v>
      </c>
      <c r="G6585" s="25">
        <v>40.67</v>
      </c>
      <c r="H6585" s="379">
        <v>6.4015789517521773</v>
      </c>
      <c r="I6585" s="25">
        <v>46.81</v>
      </c>
      <c r="J6585" s="379">
        <v>5.8019826585768284</v>
      </c>
    </row>
    <row r="6586" spans="1:10" x14ac:dyDescent="0.35">
      <c r="A6586" s="5">
        <v>6582</v>
      </c>
      <c r="B6586" s="5">
        <v>275</v>
      </c>
      <c r="C6586" s="5">
        <v>10</v>
      </c>
      <c r="D6586" s="379">
        <v>32.145555555555553</v>
      </c>
      <c r="E6586" s="25">
        <v>24.84</v>
      </c>
      <c r="F6586" s="379">
        <v>15.895823549278107</v>
      </c>
      <c r="G6586" s="25">
        <v>42.35</v>
      </c>
      <c r="H6586" s="379">
        <v>7.3447974261605156</v>
      </c>
      <c r="I6586" s="25">
        <v>48.86</v>
      </c>
      <c r="J6586" s="379">
        <v>5.7914246116880888</v>
      </c>
    </row>
    <row r="6587" spans="1:10" x14ac:dyDescent="0.35">
      <c r="A6587" s="5">
        <v>6583</v>
      </c>
      <c r="B6587" s="5">
        <v>275</v>
      </c>
      <c r="C6587" s="5">
        <v>10</v>
      </c>
      <c r="D6587" s="379">
        <v>37.340555555555554</v>
      </c>
      <c r="E6587" s="25">
        <v>24.84</v>
      </c>
      <c r="F6587" s="379">
        <v>16.121024855150242</v>
      </c>
      <c r="G6587" s="25">
        <v>43.56</v>
      </c>
      <c r="H6587" s="379">
        <v>7.116977048952144</v>
      </c>
      <c r="I6587" s="25">
        <v>52.93</v>
      </c>
      <c r="J6587" s="379">
        <v>5.765869776031896</v>
      </c>
    </row>
    <row r="6588" spans="1:10" x14ac:dyDescent="0.35">
      <c r="A6588" s="5">
        <v>6584</v>
      </c>
      <c r="B6588" s="5">
        <v>275</v>
      </c>
      <c r="C6588" s="5">
        <v>10</v>
      </c>
      <c r="D6588" s="379">
        <v>37.610555555555557</v>
      </c>
      <c r="E6588" s="25">
        <v>24.84</v>
      </c>
      <c r="F6588" s="379">
        <v>14.86259909806318</v>
      </c>
      <c r="G6588" s="25">
        <v>43.56</v>
      </c>
      <c r="H6588" s="379">
        <v>1.4416339905501625</v>
      </c>
      <c r="I6588" s="25">
        <v>54.52</v>
      </c>
      <c r="J6588" s="379">
        <v>6.375051490222714</v>
      </c>
    </row>
    <row r="6589" spans="1:10" x14ac:dyDescent="0.35">
      <c r="A6589" s="5">
        <v>6585</v>
      </c>
      <c r="B6589" s="5">
        <v>275</v>
      </c>
      <c r="C6589" s="5">
        <v>10</v>
      </c>
      <c r="D6589" s="379">
        <v>48.694444444444443</v>
      </c>
      <c r="E6589" s="25">
        <v>24.84</v>
      </c>
      <c r="F6589" s="379">
        <v>6.482770061207745</v>
      </c>
      <c r="G6589" s="25">
        <v>43.56</v>
      </c>
      <c r="H6589" s="379">
        <v>1.4416339905501625</v>
      </c>
      <c r="I6589" s="25">
        <v>54.52</v>
      </c>
      <c r="J6589" s="379">
        <v>4.8756963800711874</v>
      </c>
    </row>
    <row r="6590" spans="1:10" x14ac:dyDescent="0.35">
      <c r="A6590" s="5">
        <v>6586</v>
      </c>
      <c r="B6590" s="5">
        <v>275</v>
      </c>
      <c r="C6590" s="5">
        <v>10</v>
      </c>
      <c r="D6590" s="379">
        <v>48.125</v>
      </c>
      <c r="E6590" s="25">
        <v>24.84</v>
      </c>
      <c r="F6590" s="379">
        <v>5.3394796724698352</v>
      </c>
      <c r="G6590" s="25">
        <v>43.56</v>
      </c>
      <c r="H6590" s="379">
        <v>1.6869163924057682</v>
      </c>
      <c r="I6590" s="25">
        <v>52.93</v>
      </c>
      <c r="J6590" s="379">
        <v>1.1646743036763352</v>
      </c>
    </row>
    <row r="6591" spans="1:10" x14ac:dyDescent="0.35">
      <c r="A6591" s="5">
        <v>6587</v>
      </c>
      <c r="B6591" s="5">
        <v>275</v>
      </c>
      <c r="C6591" s="5">
        <v>10</v>
      </c>
      <c r="D6591" s="379">
        <v>45.88055555555556</v>
      </c>
      <c r="E6591" s="25">
        <v>24.84</v>
      </c>
      <c r="F6591" s="379">
        <v>0.47222222222222227</v>
      </c>
      <c r="G6591" s="25">
        <v>43.56</v>
      </c>
      <c r="H6591" s="379">
        <v>1.1555910443869502</v>
      </c>
      <c r="I6591" s="25">
        <v>48.86</v>
      </c>
      <c r="J6591" s="379">
        <v>0.39798278843035745</v>
      </c>
    </row>
    <row r="6592" spans="1:10" x14ac:dyDescent="0.35">
      <c r="A6592" s="5">
        <v>6588</v>
      </c>
      <c r="B6592" s="5">
        <v>275</v>
      </c>
      <c r="C6592" s="5">
        <v>10</v>
      </c>
      <c r="D6592" s="379">
        <v>49.986666666666665</v>
      </c>
      <c r="E6592" s="25">
        <v>24.84</v>
      </c>
      <c r="F6592" s="379">
        <v>4.204640713766497</v>
      </c>
      <c r="G6592" s="25">
        <v>43.44</v>
      </c>
      <c r="H6592" s="379">
        <v>1.4224427308536345</v>
      </c>
      <c r="I6592" s="25">
        <v>46.34</v>
      </c>
      <c r="J6592" s="379">
        <v>0.39596870549295687</v>
      </c>
    </row>
    <row r="6593" spans="1:10" x14ac:dyDescent="0.35">
      <c r="A6593" s="5">
        <v>6589</v>
      </c>
      <c r="B6593" s="5">
        <v>275</v>
      </c>
      <c r="C6593" s="5">
        <v>10</v>
      </c>
      <c r="D6593" s="379">
        <v>49.568888888888893</v>
      </c>
      <c r="E6593" s="25">
        <v>24.84</v>
      </c>
      <c r="F6593" s="379">
        <v>2.777777777777778E-2</v>
      </c>
      <c r="G6593" s="25">
        <v>40.67</v>
      </c>
      <c r="H6593" s="379">
        <v>1.7052266787499084</v>
      </c>
      <c r="I6593" s="25">
        <v>44.66</v>
      </c>
      <c r="J6593" s="379">
        <v>0.24690235872625074</v>
      </c>
    </row>
    <row r="6594" spans="1:10" x14ac:dyDescent="0.35">
      <c r="A6594" s="5">
        <v>6590</v>
      </c>
      <c r="B6594" s="5">
        <v>275</v>
      </c>
      <c r="C6594" s="5">
        <v>10</v>
      </c>
      <c r="D6594" s="379">
        <v>42.136111111111113</v>
      </c>
      <c r="E6594" s="25">
        <v>24.84</v>
      </c>
      <c r="F6594" s="379">
        <v>3.9943115056248022</v>
      </c>
      <c r="G6594" s="25">
        <v>40.67</v>
      </c>
      <c r="H6594" s="379">
        <v>1.2151839441924752</v>
      </c>
      <c r="I6594" s="25">
        <v>44.66</v>
      </c>
      <c r="J6594" s="379">
        <v>0.29863641772362387</v>
      </c>
    </row>
    <row r="6595" spans="1:10" x14ac:dyDescent="0.35">
      <c r="A6595" s="5">
        <v>6591</v>
      </c>
      <c r="B6595" s="5">
        <v>275</v>
      </c>
      <c r="C6595" s="5">
        <v>10</v>
      </c>
      <c r="D6595" s="379">
        <v>42.609444444444435</v>
      </c>
      <c r="E6595" s="25">
        <v>24.84</v>
      </c>
      <c r="F6595" s="379">
        <v>4.1262444804963687</v>
      </c>
      <c r="G6595" s="25">
        <v>40.67</v>
      </c>
      <c r="H6595" s="379">
        <v>0.72196151151958932</v>
      </c>
      <c r="I6595" s="25">
        <v>44.66</v>
      </c>
      <c r="J6595" s="379">
        <v>0.34991607391400958</v>
      </c>
    </row>
    <row r="6596" spans="1:10" x14ac:dyDescent="0.35">
      <c r="A6596" s="5">
        <v>6592</v>
      </c>
      <c r="B6596" s="5">
        <v>275</v>
      </c>
      <c r="C6596" s="5">
        <v>10</v>
      </c>
      <c r="D6596" s="379">
        <v>44.907777777777774</v>
      </c>
      <c r="E6596" s="25">
        <v>24.84</v>
      </c>
      <c r="F6596" s="379">
        <v>5.2538516682811958</v>
      </c>
      <c r="G6596" s="25">
        <v>40.67</v>
      </c>
      <c r="H6596" s="379">
        <v>0.64692446170689621</v>
      </c>
      <c r="I6596" s="25">
        <v>46.34</v>
      </c>
      <c r="J6596" s="379">
        <v>0.32540956418814498</v>
      </c>
    </row>
    <row r="6597" spans="1:10" x14ac:dyDescent="0.35">
      <c r="A6597" s="5">
        <v>6593</v>
      </c>
      <c r="B6597" s="5">
        <v>275</v>
      </c>
      <c r="C6597" s="5">
        <v>10</v>
      </c>
      <c r="D6597" s="379">
        <v>63.979444444444432</v>
      </c>
      <c r="E6597" s="25">
        <v>24.84</v>
      </c>
      <c r="F6597" s="379">
        <v>9.5120866692687169</v>
      </c>
      <c r="G6597" s="25">
        <v>43.56</v>
      </c>
      <c r="H6597" s="379">
        <v>6.6417366711285819</v>
      </c>
      <c r="I6597" s="25">
        <v>51.02</v>
      </c>
      <c r="J6597" s="379">
        <v>6.7042271124147685</v>
      </c>
    </row>
    <row r="6598" spans="1:10" x14ac:dyDescent="0.35">
      <c r="A6598" s="5">
        <v>6594</v>
      </c>
      <c r="B6598" s="5">
        <v>275</v>
      </c>
      <c r="C6598" s="5">
        <v>10</v>
      </c>
      <c r="D6598" s="379">
        <v>80.72</v>
      </c>
      <c r="E6598" s="25">
        <v>25.48</v>
      </c>
      <c r="F6598" s="379">
        <v>18.581964274941043</v>
      </c>
      <c r="G6598" s="25">
        <v>47.46</v>
      </c>
      <c r="H6598" s="379">
        <v>18.05540457252896</v>
      </c>
      <c r="I6598" s="25">
        <v>53.17</v>
      </c>
      <c r="J6598" s="379">
        <v>8.0146931895054951</v>
      </c>
    </row>
    <row r="6599" spans="1:10" x14ac:dyDescent="0.35">
      <c r="A6599" s="5">
        <v>6595</v>
      </c>
      <c r="B6599" s="5">
        <v>275</v>
      </c>
      <c r="C6599" s="5">
        <v>10</v>
      </c>
      <c r="D6599" s="379">
        <v>89.964999999999989</v>
      </c>
      <c r="E6599" s="25">
        <v>25.74</v>
      </c>
      <c r="F6599" s="379">
        <v>17.347453782236787</v>
      </c>
      <c r="G6599" s="25">
        <v>47.85</v>
      </c>
      <c r="H6599" s="379">
        <v>20.299104218467601</v>
      </c>
      <c r="I6599" s="25">
        <v>62.27</v>
      </c>
      <c r="J6599" s="379">
        <v>7.5928929105048661</v>
      </c>
    </row>
    <row r="6600" spans="1:10" x14ac:dyDescent="0.35">
      <c r="A6600" s="5">
        <v>6596</v>
      </c>
      <c r="B6600" s="5">
        <v>275</v>
      </c>
      <c r="C6600" s="5">
        <v>10</v>
      </c>
      <c r="D6600" s="379">
        <v>84.210555555555558</v>
      </c>
      <c r="E6600" s="25">
        <v>25.29</v>
      </c>
      <c r="F6600" s="379">
        <v>19.08364406343896</v>
      </c>
      <c r="G6600" s="25">
        <v>47.85</v>
      </c>
      <c r="H6600" s="379">
        <v>18.05540457252896</v>
      </c>
      <c r="I6600" s="25">
        <v>64.14</v>
      </c>
      <c r="J6600" s="379">
        <v>7.7623708962929703</v>
      </c>
    </row>
    <row r="6601" spans="1:10" x14ac:dyDescent="0.35">
      <c r="A6601" s="5">
        <v>6597</v>
      </c>
      <c r="B6601" s="5">
        <v>275</v>
      </c>
      <c r="C6601" s="5">
        <v>10</v>
      </c>
      <c r="D6601" s="379">
        <v>78.174999999999997</v>
      </c>
      <c r="E6601" s="25">
        <v>25.29</v>
      </c>
      <c r="F6601" s="379">
        <v>19.605659951982833</v>
      </c>
      <c r="G6601" s="25">
        <v>44.69</v>
      </c>
      <c r="H6601" s="379">
        <v>17.334483398269384</v>
      </c>
      <c r="I6601" s="25">
        <v>59.85</v>
      </c>
      <c r="J6601" s="379">
        <v>7.8892745049982764</v>
      </c>
    </row>
    <row r="6602" spans="1:10" x14ac:dyDescent="0.35">
      <c r="A6602" s="5">
        <v>6598</v>
      </c>
      <c r="B6602" s="5">
        <v>275</v>
      </c>
      <c r="C6602" s="5">
        <v>10</v>
      </c>
      <c r="D6602" s="379">
        <v>66.943333333333328</v>
      </c>
      <c r="E6602" s="25">
        <v>24.84</v>
      </c>
      <c r="F6602" s="379">
        <v>19.2341035856725</v>
      </c>
      <c r="G6602" s="25">
        <v>43.62</v>
      </c>
      <c r="H6602" s="379">
        <v>15.298320534450964</v>
      </c>
      <c r="I6602" s="25">
        <v>59.85</v>
      </c>
      <c r="J6602" s="379">
        <v>7.7624316544656482</v>
      </c>
    </row>
    <row r="6603" spans="1:10" x14ac:dyDescent="0.35">
      <c r="A6603" s="5">
        <v>6599</v>
      </c>
      <c r="B6603" s="5">
        <v>275</v>
      </c>
      <c r="C6603" s="5">
        <v>10</v>
      </c>
      <c r="D6603" s="379">
        <v>63.819444444444443</v>
      </c>
      <c r="E6603" s="25">
        <v>24.84</v>
      </c>
      <c r="F6603" s="379">
        <v>19.430078998764202</v>
      </c>
      <c r="G6603" s="25">
        <v>43.56</v>
      </c>
      <c r="H6603" s="379">
        <v>13.531795693577189</v>
      </c>
      <c r="I6603" s="25">
        <v>54.87</v>
      </c>
      <c r="J6603" s="379">
        <v>7.7624316544656482</v>
      </c>
    </row>
    <row r="6604" spans="1:10" x14ac:dyDescent="0.35">
      <c r="A6604" s="5">
        <v>6600</v>
      </c>
      <c r="B6604" s="5">
        <v>275</v>
      </c>
      <c r="C6604" s="5">
        <v>10</v>
      </c>
      <c r="D6604" s="379">
        <v>58.193333333333335</v>
      </c>
      <c r="E6604" s="25">
        <v>24.84</v>
      </c>
      <c r="F6604" s="379">
        <v>19.189950992408686</v>
      </c>
      <c r="G6604" s="25">
        <v>42.29</v>
      </c>
      <c r="H6604" s="379">
        <v>15.109739968814861</v>
      </c>
      <c r="I6604" s="25">
        <v>53.46</v>
      </c>
      <c r="J6604" s="379">
        <v>7.7053235749601363</v>
      </c>
    </row>
    <row r="6605" spans="1:10" x14ac:dyDescent="0.35">
      <c r="A6605" s="5">
        <v>6601</v>
      </c>
      <c r="B6605" s="5">
        <v>276</v>
      </c>
      <c r="C6605" s="5">
        <v>10</v>
      </c>
      <c r="D6605" s="379">
        <v>59.58</v>
      </c>
      <c r="E6605" s="25">
        <v>24.84</v>
      </c>
      <c r="F6605" s="379">
        <v>19.002330646603472</v>
      </c>
      <c r="G6605" s="25">
        <v>42.29</v>
      </c>
      <c r="H6605" s="379">
        <v>17.429832552720725</v>
      </c>
      <c r="I6605" s="25">
        <v>52.55</v>
      </c>
      <c r="J6605" s="379">
        <v>7.7624316544656482</v>
      </c>
    </row>
    <row r="6606" spans="1:10" x14ac:dyDescent="0.35">
      <c r="A6606" s="5">
        <v>6602</v>
      </c>
      <c r="B6606" s="5">
        <v>276</v>
      </c>
      <c r="C6606" s="5">
        <v>10</v>
      </c>
      <c r="D6606" s="379">
        <v>58.856111111111105</v>
      </c>
      <c r="E6606" s="25">
        <v>24.84</v>
      </c>
      <c r="F6606" s="379">
        <v>18.137880911115325</v>
      </c>
      <c r="G6606" s="25">
        <v>42.29</v>
      </c>
      <c r="H6606" s="379">
        <v>19.848736504339076</v>
      </c>
      <c r="I6606" s="25">
        <v>51.02</v>
      </c>
      <c r="J6606" s="379">
        <v>7.8893464730630081</v>
      </c>
    </row>
    <row r="6607" spans="1:10" x14ac:dyDescent="0.35">
      <c r="A6607" s="5">
        <v>6603</v>
      </c>
      <c r="B6607" s="5">
        <v>276</v>
      </c>
      <c r="C6607" s="5">
        <v>10</v>
      </c>
      <c r="D6607" s="379">
        <v>53.814999999999991</v>
      </c>
      <c r="E6607" s="25">
        <v>24.84</v>
      </c>
      <c r="F6607" s="379">
        <v>19.117050716856429</v>
      </c>
      <c r="G6607" s="25">
        <v>42.29</v>
      </c>
      <c r="H6607" s="379">
        <v>19.055790018288423</v>
      </c>
      <c r="I6607" s="25">
        <v>50.87</v>
      </c>
      <c r="J6607" s="379">
        <v>7.9104014933942901</v>
      </c>
    </row>
    <row r="6608" spans="1:10" x14ac:dyDescent="0.35">
      <c r="A6608" s="5">
        <v>6604</v>
      </c>
      <c r="B6608" s="5">
        <v>276</v>
      </c>
      <c r="C6608" s="5">
        <v>10</v>
      </c>
      <c r="D6608" s="379">
        <v>55.970555555555556</v>
      </c>
      <c r="E6608" s="25">
        <v>24.84</v>
      </c>
      <c r="F6608" s="379">
        <v>17.678548139670497</v>
      </c>
      <c r="G6608" s="25">
        <v>42.29</v>
      </c>
      <c r="H6608" s="379">
        <v>19.043193422825293</v>
      </c>
      <c r="I6608" s="25">
        <v>50.87</v>
      </c>
      <c r="J6608" s="379">
        <v>7.7027261434911187</v>
      </c>
    </row>
    <row r="6609" spans="1:10" x14ac:dyDescent="0.35">
      <c r="A6609" s="5">
        <v>6605</v>
      </c>
      <c r="B6609" s="5">
        <v>276</v>
      </c>
      <c r="C6609" s="5">
        <v>10</v>
      </c>
      <c r="D6609" s="379">
        <v>57.954444444444448</v>
      </c>
      <c r="E6609" s="25">
        <v>24.84</v>
      </c>
      <c r="F6609" s="379">
        <v>15.760992970620689</v>
      </c>
      <c r="G6609" s="25">
        <v>42.29</v>
      </c>
      <c r="H6609" s="379">
        <v>21.288632855497429</v>
      </c>
      <c r="I6609" s="25">
        <v>50.87</v>
      </c>
      <c r="J6609" s="379">
        <v>7.5929130275818322</v>
      </c>
    </row>
    <row r="6610" spans="1:10" x14ac:dyDescent="0.35">
      <c r="A6610" s="5">
        <v>6606</v>
      </c>
      <c r="B6610" s="5">
        <v>276</v>
      </c>
      <c r="C6610" s="5">
        <v>10</v>
      </c>
      <c r="D6610" s="379">
        <v>74.085555555555544</v>
      </c>
      <c r="E6610" s="25">
        <v>24.84</v>
      </c>
      <c r="F6610" s="379">
        <v>23.965070905734322</v>
      </c>
      <c r="G6610" s="25">
        <v>42.29</v>
      </c>
      <c r="H6610" s="379">
        <v>26.347303657387549</v>
      </c>
      <c r="I6610" s="25">
        <v>52.93</v>
      </c>
      <c r="J6610" s="379">
        <v>7.5929130275818322</v>
      </c>
    </row>
    <row r="6611" spans="1:10" x14ac:dyDescent="0.35">
      <c r="A6611" s="5">
        <v>6607</v>
      </c>
      <c r="B6611" s="5">
        <v>276</v>
      </c>
      <c r="C6611" s="5">
        <v>10</v>
      </c>
      <c r="D6611" s="379">
        <v>86.032222222222217</v>
      </c>
      <c r="E6611" s="25">
        <v>24.84</v>
      </c>
      <c r="F6611" s="379">
        <v>24.823077418988476</v>
      </c>
      <c r="G6611" s="25">
        <v>42.29</v>
      </c>
      <c r="H6611" s="379">
        <v>26.909201130069683</v>
      </c>
      <c r="I6611" s="25">
        <v>52.93</v>
      </c>
      <c r="J6611" s="379">
        <v>7.5929130275818322</v>
      </c>
    </row>
    <row r="6612" spans="1:10" x14ac:dyDescent="0.35">
      <c r="A6612" s="5">
        <v>6608</v>
      </c>
      <c r="B6612" s="5">
        <v>276</v>
      </c>
      <c r="C6612" s="5">
        <v>10</v>
      </c>
      <c r="D6612" s="379">
        <v>91.678333333333342</v>
      </c>
      <c r="E6612" s="25">
        <v>24.84</v>
      </c>
      <c r="F6612" s="379">
        <v>24.41278585941425</v>
      </c>
      <c r="G6612" s="25">
        <v>43.56</v>
      </c>
      <c r="H6612" s="379">
        <v>22.326634159546462</v>
      </c>
      <c r="I6612" s="25">
        <v>52.55</v>
      </c>
      <c r="J6612" s="379">
        <v>7.3389703102425674</v>
      </c>
    </row>
    <row r="6613" spans="1:10" x14ac:dyDescent="0.35">
      <c r="A6613" s="5">
        <v>6609</v>
      </c>
      <c r="B6613" s="5">
        <v>276</v>
      </c>
      <c r="C6613" s="5">
        <v>10</v>
      </c>
      <c r="D6613" s="379">
        <v>75.825555555555553</v>
      </c>
      <c r="E6613" s="25">
        <v>24.84</v>
      </c>
      <c r="F6613" s="379">
        <v>20.7851962935393</v>
      </c>
      <c r="G6613" s="25">
        <v>43.56</v>
      </c>
      <c r="H6613" s="379">
        <v>6.8438615064911943</v>
      </c>
      <c r="I6613" s="25">
        <v>52.93</v>
      </c>
      <c r="J6613" s="379">
        <v>5.9989232246424988</v>
      </c>
    </row>
    <row r="6614" spans="1:10" x14ac:dyDescent="0.35">
      <c r="A6614" s="5">
        <v>6610</v>
      </c>
      <c r="B6614" s="5">
        <v>276</v>
      </c>
      <c r="C6614" s="5">
        <v>10</v>
      </c>
      <c r="D6614" s="379">
        <v>62.312222222222218</v>
      </c>
      <c r="E6614" s="25">
        <v>24.84</v>
      </c>
      <c r="F6614" s="379">
        <v>8.1174834595959595</v>
      </c>
      <c r="G6614" s="25">
        <v>43.56</v>
      </c>
      <c r="H6614" s="379">
        <v>10.601983735395462</v>
      </c>
      <c r="I6614" s="25">
        <v>51.39</v>
      </c>
      <c r="J6614" s="379">
        <v>6.2753545465114611</v>
      </c>
    </row>
    <row r="6615" spans="1:10" x14ac:dyDescent="0.35">
      <c r="A6615" s="5">
        <v>6611</v>
      </c>
      <c r="B6615" s="5">
        <v>276</v>
      </c>
      <c r="C6615" s="5">
        <v>10</v>
      </c>
      <c r="D6615" s="379">
        <v>52.572222222222223</v>
      </c>
      <c r="E6615" s="25">
        <v>24.84</v>
      </c>
      <c r="F6615" s="379">
        <v>6.2188418877185319</v>
      </c>
      <c r="G6615" s="25">
        <v>43.56</v>
      </c>
      <c r="H6615" s="379">
        <v>11.09604257838507</v>
      </c>
      <c r="I6615" s="25">
        <v>51.2</v>
      </c>
      <c r="J6615" s="379">
        <v>7.1580901307248741</v>
      </c>
    </row>
    <row r="6616" spans="1:10" x14ac:dyDescent="0.35">
      <c r="A6616" s="5">
        <v>6612</v>
      </c>
      <c r="B6616" s="5">
        <v>276</v>
      </c>
      <c r="C6616" s="5">
        <v>10</v>
      </c>
      <c r="D6616" s="379">
        <v>47.733333333333334</v>
      </c>
      <c r="E6616" s="25">
        <v>24.84</v>
      </c>
      <c r="F6616" s="379">
        <v>9.9988735403602007</v>
      </c>
      <c r="G6616" s="25">
        <v>42.71</v>
      </c>
      <c r="H6616" s="379">
        <v>11.457510368594535</v>
      </c>
      <c r="I6616" s="25">
        <v>50.87</v>
      </c>
      <c r="J6616" s="379">
        <v>7.1431209307822998</v>
      </c>
    </row>
    <row r="6617" spans="1:10" x14ac:dyDescent="0.35">
      <c r="A6617" s="5">
        <v>6613</v>
      </c>
      <c r="B6617" s="5">
        <v>276</v>
      </c>
      <c r="C6617" s="5">
        <v>10</v>
      </c>
      <c r="D6617" s="379">
        <v>45.50222222222223</v>
      </c>
      <c r="E6617" s="25">
        <v>24.84</v>
      </c>
      <c r="F6617" s="379">
        <v>4.5815822208471806</v>
      </c>
      <c r="G6617" s="25">
        <v>42.29</v>
      </c>
      <c r="H6617" s="379">
        <v>11.093983963653326</v>
      </c>
      <c r="I6617" s="25">
        <v>50.87</v>
      </c>
      <c r="J6617" s="379">
        <v>7.1000008783892969</v>
      </c>
    </row>
    <row r="6618" spans="1:10" x14ac:dyDescent="0.35">
      <c r="A6618" s="5">
        <v>6614</v>
      </c>
      <c r="B6618" s="5">
        <v>276</v>
      </c>
      <c r="C6618" s="5">
        <v>10</v>
      </c>
      <c r="D6618" s="379">
        <v>45.522777777777776</v>
      </c>
      <c r="E6618" s="25">
        <v>24.84</v>
      </c>
      <c r="F6618" s="379">
        <v>0.13199969980939841</v>
      </c>
      <c r="G6618" s="25">
        <v>42.29</v>
      </c>
      <c r="H6618" s="379">
        <v>10.358810589913032</v>
      </c>
      <c r="I6618" s="25">
        <v>50.87</v>
      </c>
      <c r="J6618" s="379">
        <v>6.9058286374147935</v>
      </c>
    </row>
    <row r="6619" spans="1:10" x14ac:dyDescent="0.35">
      <c r="A6619" s="5">
        <v>6615</v>
      </c>
      <c r="B6619" s="5">
        <v>276</v>
      </c>
      <c r="C6619" s="5">
        <v>10</v>
      </c>
      <c r="D6619" s="379">
        <v>49.242777777777775</v>
      </c>
      <c r="E6619" s="25">
        <v>24.84</v>
      </c>
      <c r="F6619" s="379">
        <v>7.9258026436751763</v>
      </c>
      <c r="G6619" s="25">
        <v>41.92</v>
      </c>
      <c r="H6619" s="379">
        <v>11.158933864988059</v>
      </c>
      <c r="I6619" s="25">
        <v>50.87</v>
      </c>
      <c r="J6619" s="379">
        <v>7.113042525450588</v>
      </c>
    </row>
    <row r="6620" spans="1:10" x14ac:dyDescent="0.35">
      <c r="A6620" s="5">
        <v>6616</v>
      </c>
      <c r="B6620" s="5">
        <v>276</v>
      </c>
      <c r="C6620" s="5">
        <v>10</v>
      </c>
      <c r="D6620" s="379">
        <v>59.568888888888893</v>
      </c>
      <c r="E6620" s="25">
        <v>24.84</v>
      </c>
      <c r="F6620" s="379">
        <v>13.920942509916987</v>
      </c>
      <c r="G6620" s="25">
        <v>43.56</v>
      </c>
      <c r="H6620" s="379">
        <v>11.592580526262362</v>
      </c>
      <c r="I6620" s="25">
        <v>50.87</v>
      </c>
      <c r="J6620" s="379">
        <v>7.2140955582711213</v>
      </c>
    </row>
    <row r="6621" spans="1:10" x14ac:dyDescent="0.35">
      <c r="A6621" s="5">
        <v>6617</v>
      </c>
      <c r="B6621" s="5">
        <v>276</v>
      </c>
      <c r="C6621" s="5">
        <v>10</v>
      </c>
      <c r="D6621" s="379">
        <v>79.451111111111103</v>
      </c>
      <c r="E6621" s="25">
        <v>24.84</v>
      </c>
      <c r="F6621" s="379">
        <v>24.107229525235354</v>
      </c>
      <c r="G6621" s="25">
        <v>44.69</v>
      </c>
      <c r="H6621" s="379">
        <v>25.81962448377373</v>
      </c>
      <c r="I6621" s="25">
        <v>50.87</v>
      </c>
      <c r="J6621" s="379">
        <v>7.8922479577739439</v>
      </c>
    </row>
    <row r="6622" spans="1:10" x14ac:dyDescent="0.35">
      <c r="A6622" s="5">
        <v>6618</v>
      </c>
      <c r="B6622" s="5">
        <v>276</v>
      </c>
      <c r="C6622" s="5">
        <v>10</v>
      </c>
      <c r="D6622" s="379">
        <v>89.086111111111123</v>
      </c>
      <c r="E6622" s="25">
        <v>25.74</v>
      </c>
      <c r="F6622" s="379">
        <v>25.631310749277411</v>
      </c>
      <c r="G6622" s="25">
        <v>47.46</v>
      </c>
      <c r="H6622" s="379">
        <v>31.054861181241744</v>
      </c>
      <c r="I6622" s="25">
        <v>56.41</v>
      </c>
      <c r="J6622" s="379">
        <v>20.165178672044647</v>
      </c>
    </row>
    <row r="6623" spans="1:10" x14ac:dyDescent="0.35">
      <c r="A6623" s="5">
        <v>6619</v>
      </c>
      <c r="B6623" s="5">
        <v>276</v>
      </c>
      <c r="C6623" s="5">
        <v>10</v>
      </c>
      <c r="D6623" s="379">
        <v>98.686111111111103</v>
      </c>
      <c r="E6623" s="25">
        <v>27.03</v>
      </c>
      <c r="F6623" s="379">
        <v>25.553140534073716</v>
      </c>
      <c r="G6623" s="25">
        <v>47.85</v>
      </c>
      <c r="H6623" s="379">
        <v>30.137215144761235</v>
      </c>
      <c r="I6623" s="25">
        <v>66.06</v>
      </c>
      <c r="J6623" s="379">
        <v>19.708700627208771</v>
      </c>
    </row>
    <row r="6624" spans="1:10" x14ac:dyDescent="0.35">
      <c r="A6624" s="5">
        <v>6620</v>
      </c>
      <c r="B6624" s="5">
        <v>276</v>
      </c>
      <c r="C6624" s="5">
        <v>10</v>
      </c>
      <c r="D6624" s="379">
        <v>83.36944444444444</v>
      </c>
      <c r="E6624" s="25">
        <v>26.51</v>
      </c>
      <c r="F6624" s="379">
        <v>25.668338889901342</v>
      </c>
      <c r="G6624" s="25">
        <v>50.35</v>
      </c>
      <c r="H6624" s="379">
        <v>30.953187615083596</v>
      </c>
      <c r="I6624" s="25">
        <v>66.06</v>
      </c>
      <c r="J6624" s="379">
        <v>20.083801526193845</v>
      </c>
    </row>
    <row r="6625" spans="1:10" x14ac:dyDescent="0.35">
      <c r="A6625" s="5">
        <v>6621</v>
      </c>
      <c r="B6625" s="5">
        <v>276</v>
      </c>
      <c r="C6625" s="5">
        <v>10</v>
      </c>
      <c r="D6625" s="379">
        <v>71.193333333333328</v>
      </c>
      <c r="E6625" s="25">
        <v>26.05</v>
      </c>
      <c r="F6625" s="379">
        <v>25.636132780466109</v>
      </c>
      <c r="G6625" s="25">
        <v>47.85</v>
      </c>
      <c r="H6625" s="379">
        <v>30.725131097274321</v>
      </c>
      <c r="I6625" s="25">
        <v>64.14</v>
      </c>
      <c r="J6625" s="379">
        <v>19.93200708609363</v>
      </c>
    </row>
    <row r="6626" spans="1:10" x14ac:dyDescent="0.35">
      <c r="A6626" s="5">
        <v>6622</v>
      </c>
      <c r="B6626" s="5">
        <v>276</v>
      </c>
      <c r="C6626" s="5">
        <v>10</v>
      </c>
      <c r="D6626" s="379">
        <v>67.504999999999995</v>
      </c>
      <c r="E6626" s="25">
        <v>25.29</v>
      </c>
      <c r="F6626" s="379">
        <v>25.48935232296758</v>
      </c>
      <c r="G6626" s="25">
        <v>46.03</v>
      </c>
      <c r="H6626" s="379">
        <v>31.041791252567116</v>
      </c>
      <c r="I6626" s="25">
        <v>64.14</v>
      </c>
      <c r="J6626" s="379">
        <v>20.605831160971714</v>
      </c>
    </row>
    <row r="6627" spans="1:10" x14ac:dyDescent="0.35">
      <c r="A6627" s="5">
        <v>6623</v>
      </c>
      <c r="B6627" s="5">
        <v>276</v>
      </c>
      <c r="C6627" s="5">
        <v>10</v>
      </c>
      <c r="D6627" s="379">
        <v>65.52833333333335</v>
      </c>
      <c r="E6627" s="25">
        <v>24.84</v>
      </c>
      <c r="F6627" s="379">
        <v>24.687805064125257</v>
      </c>
      <c r="G6627" s="25">
        <v>43.62</v>
      </c>
      <c r="H6627" s="379">
        <v>30.869065180572555</v>
      </c>
      <c r="I6627" s="25">
        <v>64.14</v>
      </c>
      <c r="J6627" s="379">
        <v>20.703162822408878</v>
      </c>
    </row>
    <row r="6628" spans="1:10" x14ac:dyDescent="0.35">
      <c r="A6628" s="5">
        <v>6624</v>
      </c>
      <c r="B6628" s="5">
        <v>276</v>
      </c>
      <c r="C6628" s="5">
        <v>10</v>
      </c>
      <c r="D6628" s="379">
        <v>51.99111111111111</v>
      </c>
      <c r="E6628" s="25">
        <v>24.84</v>
      </c>
      <c r="F6628" s="379">
        <v>24.352604907132079</v>
      </c>
      <c r="G6628" s="25">
        <v>43.49</v>
      </c>
      <c r="H6628" s="379">
        <v>29.662456960279755</v>
      </c>
      <c r="I6628" s="25">
        <v>56.15</v>
      </c>
      <c r="J6628" s="379">
        <v>20.698646251631789</v>
      </c>
    </row>
    <row r="6629" spans="1:10" x14ac:dyDescent="0.35">
      <c r="A6629" s="5">
        <v>6625</v>
      </c>
      <c r="B6629" s="5">
        <v>277</v>
      </c>
      <c r="C6629" s="5">
        <v>10</v>
      </c>
      <c r="D6629" s="379">
        <v>46.452777777777783</v>
      </c>
      <c r="E6629" s="25">
        <v>24.84</v>
      </c>
      <c r="F6629" s="379">
        <v>24.137644308049861</v>
      </c>
      <c r="G6629" s="25">
        <v>43.56</v>
      </c>
      <c r="H6629" s="379">
        <v>30.314066404908193</v>
      </c>
      <c r="I6629" s="25">
        <v>62.27</v>
      </c>
      <c r="J6629" s="379">
        <v>20.687567429409093</v>
      </c>
    </row>
    <row r="6630" spans="1:10" x14ac:dyDescent="0.35">
      <c r="A6630" s="5">
        <v>6626</v>
      </c>
      <c r="B6630" s="5">
        <v>277</v>
      </c>
      <c r="C6630" s="5">
        <v>10</v>
      </c>
      <c r="D6630" s="379">
        <v>45.759444444444441</v>
      </c>
      <c r="E6630" s="25">
        <v>24.84</v>
      </c>
      <c r="F6630" s="379">
        <v>23.275804026416075</v>
      </c>
      <c r="G6630" s="25">
        <v>43.56</v>
      </c>
      <c r="H6630" s="379">
        <v>30.424951999869329</v>
      </c>
      <c r="I6630" s="25">
        <v>62.27</v>
      </c>
      <c r="J6630" s="379">
        <v>20.688695252187067</v>
      </c>
    </row>
    <row r="6631" spans="1:10" x14ac:dyDescent="0.35">
      <c r="A6631" s="5">
        <v>6627</v>
      </c>
      <c r="B6631" s="5">
        <v>277</v>
      </c>
      <c r="C6631" s="5">
        <v>10</v>
      </c>
      <c r="D6631" s="379">
        <v>39.55888888888888</v>
      </c>
      <c r="E6631" s="25">
        <v>24.84</v>
      </c>
      <c r="F6631" s="379">
        <v>22.790832666396636</v>
      </c>
      <c r="G6631" s="25">
        <v>43.56</v>
      </c>
      <c r="H6631" s="379">
        <v>29.798320454231231</v>
      </c>
      <c r="I6631" s="25">
        <v>62.27</v>
      </c>
      <c r="J6631" s="379">
        <v>20.698029828955747</v>
      </c>
    </row>
    <row r="6632" spans="1:10" x14ac:dyDescent="0.35">
      <c r="A6632" s="5">
        <v>6628</v>
      </c>
      <c r="B6632" s="5">
        <v>277</v>
      </c>
      <c r="C6632" s="5">
        <v>10</v>
      </c>
      <c r="D6632" s="379">
        <v>41.825555555555553</v>
      </c>
      <c r="E6632" s="25">
        <v>24.84</v>
      </c>
      <c r="F6632" s="379">
        <v>23.689225871537026</v>
      </c>
      <c r="G6632" s="25">
        <v>43.56</v>
      </c>
      <c r="H6632" s="379">
        <v>30.157487471682778</v>
      </c>
      <c r="I6632" s="25">
        <v>62.27</v>
      </c>
      <c r="J6632" s="379">
        <v>20.683226552291252</v>
      </c>
    </row>
    <row r="6633" spans="1:10" x14ac:dyDescent="0.35">
      <c r="A6633" s="5">
        <v>6629</v>
      </c>
      <c r="B6633" s="5">
        <v>277</v>
      </c>
      <c r="C6633" s="5">
        <v>10</v>
      </c>
      <c r="D6633" s="379">
        <v>44.274444444444434</v>
      </c>
      <c r="E6633" s="25">
        <v>24.84</v>
      </c>
      <c r="F6633" s="379">
        <v>23.804816430602934</v>
      </c>
      <c r="G6633" s="25">
        <v>43.56</v>
      </c>
      <c r="H6633" s="379">
        <v>27.694545217255495</v>
      </c>
      <c r="I6633" s="25">
        <v>62.27</v>
      </c>
      <c r="J6633" s="379">
        <v>20.617054269152362</v>
      </c>
    </row>
    <row r="6634" spans="1:10" x14ac:dyDescent="0.35">
      <c r="A6634" s="5">
        <v>6630</v>
      </c>
      <c r="B6634" s="5">
        <v>277</v>
      </c>
      <c r="C6634" s="5">
        <v>10</v>
      </c>
      <c r="D6634" s="379">
        <v>66.077777777777783</v>
      </c>
      <c r="E6634" s="25">
        <v>25</v>
      </c>
      <c r="F6634" s="379">
        <v>23.367296118129527</v>
      </c>
      <c r="G6634" s="25">
        <v>47.41</v>
      </c>
      <c r="H6634" s="379">
        <v>30.172136591459815</v>
      </c>
      <c r="I6634" s="25">
        <v>66.06</v>
      </c>
      <c r="J6634" s="379">
        <v>20.655231807982407</v>
      </c>
    </row>
    <row r="6635" spans="1:10" x14ac:dyDescent="0.35">
      <c r="A6635" s="5">
        <v>6631</v>
      </c>
      <c r="B6635" s="5">
        <v>277</v>
      </c>
      <c r="C6635" s="5">
        <v>10</v>
      </c>
      <c r="D6635" s="379">
        <v>77.624444444444435</v>
      </c>
      <c r="E6635" s="25">
        <v>29.76</v>
      </c>
      <c r="F6635" s="379">
        <v>24.669707666799507</v>
      </c>
      <c r="G6635" s="25">
        <v>49.84</v>
      </c>
      <c r="H6635" s="379">
        <v>29.300762202267251</v>
      </c>
      <c r="I6635" s="25">
        <v>73.260000000000005</v>
      </c>
      <c r="J6635" s="379">
        <v>18.590227289770336</v>
      </c>
    </row>
    <row r="6636" spans="1:10" x14ac:dyDescent="0.35">
      <c r="A6636" s="5">
        <v>6632</v>
      </c>
      <c r="B6636" s="5">
        <v>277</v>
      </c>
      <c r="C6636" s="5">
        <v>10</v>
      </c>
      <c r="D6636" s="379">
        <v>89.592777777777769</v>
      </c>
      <c r="E6636" s="25">
        <v>34.82</v>
      </c>
      <c r="F6636" s="379">
        <v>23.766558728574271</v>
      </c>
      <c r="G6636" s="25">
        <v>52.2</v>
      </c>
      <c r="H6636" s="379">
        <v>25.718352702670686</v>
      </c>
      <c r="I6636" s="25">
        <v>603.30999999999995</v>
      </c>
      <c r="J6636" s="379">
        <v>14.550011732876033</v>
      </c>
    </row>
    <row r="6637" spans="1:10" x14ac:dyDescent="0.35">
      <c r="A6637" s="5">
        <v>6633</v>
      </c>
      <c r="B6637" s="5">
        <v>277</v>
      </c>
      <c r="C6637" s="5">
        <v>10</v>
      </c>
      <c r="D6637" s="379">
        <v>63.726111111111109</v>
      </c>
      <c r="E6637" s="25">
        <v>35.869999999999997</v>
      </c>
      <c r="F6637" s="379">
        <v>22.913313072766041</v>
      </c>
      <c r="G6637" s="25">
        <v>52.2</v>
      </c>
      <c r="H6637" s="379">
        <v>6.675993754968105</v>
      </c>
      <c r="I6637" s="25">
        <v>603.30999999999995</v>
      </c>
      <c r="J6637" s="379">
        <v>5.2275281395817368</v>
      </c>
    </row>
    <row r="6638" spans="1:10" x14ac:dyDescent="0.35">
      <c r="A6638" s="5">
        <v>6634</v>
      </c>
      <c r="B6638" s="5">
        <v>277</v>
      </c>
      <c r="C6638" s="5">
        <v>10</v>
      </c>
      <c r="D6638" s="379">
        <v>55.089999999999996</v>
      </c>
      <c r="E6638" s="25">
        <v>29.23</v>
      </c>
      <c r="F6638" s="379">
        <v>8.1174834595959595</v>
      </c>
      <c r="G6638" s="25">
        <v>52.2</v>
      </c>
      <c r="H6638" s="379">
        <v>4.799693804694658</v>
      </c>
      <c r="I6638" s="25">
        <v>68.260000000000005</v>
      </c>
      <c r="J6638" s="379">
        <v>4.3939608798886818</v>
      </c>
    </row>
    <row r="6639" spans="1:10" x14ac:dyDescent="0.35">
      <c r="A6639" s="5">
        <v>6635</v>
      </c>
      <c r="B6639" s="5">
        <v>277</v>
      </c>
      <c r="C6639" s="5">
        <v>10</v>
      </c>
      <c r="D6639" s="379">
        <v>46.259444444444448</v>
      </c>
      <c r="E6639" s="25">
        <v>25.74</v>
      </c>
      <c r="F6639" s="379">
        <v>8.8678922666747653</v>
      </c>
      <c r="G6639" s="25">
        <v>50.35</v>
      </c>
      <c r="H6639" s="379">
        <v>4.799693804694658</v>
      </c>
      <c r="I6639" s="25">
        <v>66.06</v>
      </c>
      <c r="J6639" s="379">
        <v>5.4191975288035614</v>
      </c>
    </row>
    <row r="6640" spans="1:10" x14ac:dyDescent="0.35">
      <c r="A6640" s="5">
        <v>6636</v>
      </c>
      <c r="B6640" s="5">
        <v>277</v>
      </c>
      <c r="C6640" s="5">
        <v>10</v>
      </c>
      <c r="D6640" s="379">
        <v>39.797222222222224</v>
      </c>
      <c r="E6640" s="25">
        <v>25.59</v>
      </c>
      <c r="F6640" s="379">
        <v>8.8194523972705063</v>
      </c>
      <c r="G6640" s="25">
        <v>47.85</v>
      </c>
      <c r="H6640" s="379">
        <v>4.799693804694658</v>
      </c>
      <c r="I6640" s="25">
        <v>62.27</v>
      </c>
      <c r="J6640" s="379">
        <v>5.472199854098216</v>
      </c>
    </row>
    <row r="6641" spans="1:10" x14ac:dyDescent="0.35">
      <c r="A6641" s="5">
        <v>6637</v>
      </c>
      <c r="B6641" s="5">
        <v>277</v>
      </c>
      <c r="C6641" s="5">
        <v>10</v>
      </c>
      <c r="D6641" s="379">
        <v>39.009999999999991</v>
      </c>
      <c r="E6641" s="25">
        <v>25.29</v>
      </c>
      <c r="F6641" s="379">
        <v>8.7632828249229942</v>
      </c>
      <c r="G6641" s="25">
        <v>47.85</v>
      </c>
      <c r="H6641" s="379">
        <v>4.799693804694658</v>
      </c>
      <c r="I6641" s="25">
        <v>62.27</v>
      </c>
      <c r="J6641" s="379">
        <v>6.6175769448299251</v>
      </c>
    </row>
    <row r="6642" spans="1:10" x14ac:dyDescent="0.35">
      <c r="A6642" s="5">
        <v>6638</v>
      </c>
      <c r="B6642" s="5">
        <v>277</v>
      </c>
      <c r="C6642" s="5">
        <v>10</v>
      </c>
      <c r="D6642" s="379">
        <v>37.61944444444444</v>
      </c>
      <c r="E6642" s="25">
        <v>25.29</v>
      </c>
      <c r="F6642" s="379">
        <v>8.7557395619644627</v>
      </c>
      <c r="G6642" s="25">
        <v>47.41</v>
      </c>
      <c r="H6642" s="379">
        <v>4.799693804694658</v>
      </c>
      <c r="I6642" s="25">
        <v>62.27</v>
      </c>
      <c r="J6642" s="379">
        <v>6.5918276146265962</v>
      </c>
    </row>
    <row r="6643" spans="1:10" x14ac:dyDescent="0.35">
      <c r="A6643" s="5">
        <v>6639</v>
      </c>
      <c r="B6643" s="5">
        <v>277</v>
      </c>
      <c r="C6643" s="5">
        <v>10</v>
      </c>
      <c r="D6643" s="379">
        <v>40.11333333333333</v>
      </c>
      <c r="E6643" s="25">
        <v>25.29</v>
      </c>
      <c r="F6643" s="379">
        <v>8.7571581113367625</v>
      </c>
      <c r="G6643" s="25">
        <v>47.85</v>
      </c>
      <c r="H6643" s="379">
        <v>4.799693804694658</v>
      </c>
      <c r="I6643" s="25">
        <v>62.27</v>
      </c>
      <c r="J6643" s="379">
        <v>9.2348058516874953</v>
      </c>
    </row>
    <row r="6644" spans="1:10" x14ac:dyDescent="0.35">
      <c r="A6644" s="5">
        <v>6640</v>
      </c>
      <c r="B6644" s="5">
        <v>277</v>
      </c>
      <c r="C6644" s="5">
        <v>10</v>
      </c>
      <c r="D6644" s="379">
        <v>45.945555555555565</v>
      </c>
      <c r="E6644" s="25">
        <v>26.51</v>
      </c>
      <c r="F6644" s="379">
        <v>21.189414163081643</v>
      </c>
      <c r="G6644" s="25">
        <v>47.85</v>
      </c>
      <c r="H6644" s="379">
        <v>14.23258373837692</v>
      </c>
      <c r="I6644" s="25">
        <v>62.27</v>
      </c>
      <c r="J6644" s="379">
        <v>8.1374707396134216</v>
      </c>
    </row>
    <row r="6645" spans="1:10" x14ac:dyDescent="0.35">
      <c r="A6645" s="5">
        <v>6641</v>
      </c>
      <c r="B6645" s="5">
        <v>277</v>
      </c>
      <c r="C6645" s="5">
        <v>10</v>
      </c>
      <c r="D6645" s="379">
        <v>52.907777777777774</v>
      </c>
      <c r="E6645" s="25">
        <v>29.76</v>
      </c>
      <c r="F6645" s="379">
        <v>24.686357032740357</v>
      </c>
      <c r="G6645" s="25">
        <v>47.85</v>
      </c>
      <c r="H6645" s="379">
        <v>26.926860512736361</v>
      </c>
      <c r="I6645" s="25">
        <v>64.14</v>
      </c>
      <c r="J6645" s="379">
        <v>13.770215447935072</v>
      </c>
    </row>
    <row r="6646" spans="1:10" x14ac:dyDescent="0.35">
      <c r="A6646" s="5">
        <v>6642</v>
      </c>
      <c r="B6646" s="5">
        <v>277</v>
      </c>
      <c r="C6646" s="5">
        <v>10</v>
      </c>
      <c r="D6646" s="379">
        <v>66.788888888888891</v>
      </c>
      <c r="E6646" s="25">
        <v>29.76</v>
      </c>
      <c r="F6646" s="379">
        <v>30.934856313352245</v>
      </c>
      <c r="G6646" s="25">
        <v>52.2</v>
      </c>
      <c r="H6646" s="379">
        <v>26.119790806948281</v>
      </c>
      <c r="I6646" s="25">
        <v>73.260000000000005</v>
      </c>
      <c r="J6646" s="379">
        <v>18.817422054599398</v>
      </c>
    </row>
    <row r="6647" spans="1:10" x14ac:dyDescent="0.35">
      <c r="A6647" s="5">
        <v>6643</v>
      </c>
      <c r="B6647" s="5">
        <v>277</v>
      </c>
      <c r="C6647" s="5">
        <v>10</v>
      </c>
      <c r="D6647" s="379">
        <v>57.141111111111108</v>
      </c>
      <c r="E6647" s="25">
        <v>35.869999999999997</v>
      </c>
      <c r="F6647" s="379">
        <v>27.648798983542562</v>
      </c>
      <c r="G6647" s="25">
        <v>55.38</v>
      </c>
      <c r="H6647" s="379">
        <v>27.90168807281065</v>
      </c>
      <c r="I6647" s="25">
        <v>843.72</v>
      </c>
      <c r="J6647" s="379">
        <v>18.351771615396665</v>
      </c>
    </row>
    <row r="6648" spans="1:10" x14ac:dyDescent="0.35">
      <c r="A6648" s="5">
        <v>6644</v>
      </c>
      <c r="B6648" s="5">
        <v>277</v>
      </c>
      <c r="C6648" s="5">
        <v>10</v>
      </c>
      <c r="D6648" s="379">
        <v>49.588888888888881</v>
      </c>
      <c r="E6648" s="25">
        <v>34.82</v>
      </c>
      <c r="F6648" s="379">
        <v>27.648798983542562</v>
      </c>
      <c r="G6648" s="25">
        <v>52.86</v>
      </c>
      <c r="H6648" s="379">
        <v>27.181242198540364</v>
      </c>
      <c r="I6648" s="25">
        <v>603.30999999999995</v>
      </c>
      <c r="J6648" s="379">
        <v>20.623654973795503</v>
      </c>
    </row>
    <row r="6649" spans="1:10" x14ac:dyDescent="0.35">
      <c r="A6649" s="5">
        <v>6645</v>
      </c>
      <c r="B6649" s="5">
        <v>277</v>
      </c>
      <c r="C6649" s="5">
        <v>10</v>
      </c>
      <c r="D6649" s="379">
        <v>43.274444444444441</v>
      </c>
      <c r="E6649" s="25">
        <v>28.12</v>
      </c>
      <c r="F6649" s="379">
        <v>29.679813560635012</v>
      </c>
      <c r="G6649" s="25">
        <v>52.2</v>
      </c>
      <c r="H6649" s="379">
        <v>25.445264272565936</v>
      </c>
      <c r="I6649" s="25">
        <v>70.09</v>
      </c>
      <c r="J6649" s="379">
        <v>19.900270821879786</v>
      </c>
    </row>
    <row r="6650" spans="1:10" x14ac:dyDescent="0.35">
      <c r="A6650" s="5">
        <v>6646</v>
      </c>
      <c r="B6650" s="5">
        <v>277</v>
      </c>
      <c r="C6650" s="5">
        <v>10</v>
      </c>
      <c r="D6650" s="379">
        <v>41.935000000000002</v>
      </c>
      <c r="E6650" s="25">
        <v>25.74</v>
      </c>
      <c r="F6650" s="379">
        <v>21.421830049745544</v>
      </c>
      <c r="G6650" s="25">
        <v>50.35</v>
      </c>
      <c r="H6650" s="379">
        <v>22.988042104236186</v>
      </c>
      <c r="I6650" s="25">
        <v>66.73</v>
      </c>
      <c r="J6650" s="379">
        <v>15.093904804456743</v>
      </c>
    </row>
    <row r="6651" spans="1:10" x14ac:dyDescent="0.35">
      <c r="A6651" s="5">
        <v>6647</v>
      </c>
      <c r="B6651" s="5">
        <v>277</v>
      </c>
      <c r="C6651" s="5">
        <v>10</v>
      </c>
      <c r="D6651" s="379">
        <v>38.723888888888887</v>
      </c>
      <c r="E6651" s="25">
        <v>25.29</v>
      </c>
      <c r="F6651" s="379">
        <v>20.216829701766326</v>
      </c>
      <c r="G6651" s="25">
        <v>47.85</v>
      </c>
      <c r="H6651" s="379">
        <v>23.136882678834876</v>
      </c>
      <c r="I6651" s="25">
        <v>64.14</v>
      </c>
      <c r="J6651" s="379">
        <v>15.596404743579287</v>
      </c>
    </row>
    <row r="6652" spans="1:10" x14ac:dyDescent="0.35">
      <c r="A6652" s="5">
        <v>6648</v>
      </c>
      <c r="B6652" s="5">
        <v>277</v>
      </c>
      <c r="C6652" s="5">
        <v>10</v>
      </c>
      <c r="D6652" s="379">
        <v>28.480555555555554</v>
      </c>
      <c r="E6652" s="25">
        <v>24.84</v>
      </c>
      <c r="F6652" s="379">
        <v>18.671793163464258</v>
      </c>
      <c r="G6652" s="25">
        <v>46.93</v>
      </c>
      <c r="H6652" s="379">
        <v>24.163338560886782</v>
      </c>
      <c r="I6652" s="25">
        <v>62.27</v>
      </c>
      <c r="J6652" s="379">
        <v>15.411474057587874</v>
      </c>
    </row>
    <row r="6653" spans="1:10" x14ac:dyDescent="0.35">
      <c r="A6653" s="5">
        <v>6649</v>
      </c>
      <c r="B6653" s="5">
        <v>278</v>
      </c>
      <c r="C6653" s="5">
        <v>10</v>
      </c>
      <c r="D6653" s="379">
        <v>34.229999999999997</v>
      </c>
      <c r="E6653" s="25">
        <v>24.84</v>
      </c>
      <c r="F6653" s="379">
        <v>17.81344654628246</v>
      </c>
      <c r="G6653" s="25">
        <v>44.37</v>
      </c>
      <c r="H6653" s="379">
        <v>21.804758115156531</v>
      </c>
      <c r="I6653" s="25">
        <v>53.71</v>
      </c>
      <c r="J6653" s="379">
        <v>14.778518783686208</v>
      </c>
    </row>
    <row r="6654" spans="1:10" x14ac:dyDescent="0.35">
      <c r="A6654" s="5">
        <v>6650</v>
      </c>
      <c r="B6654" s="5">
        <v>278</v>
      </c>
      <c r="C6654" s="5">
        <v>10</v>
      </c>
      <c r="D6654" s="379">
        <v>28.696666666666665</v>
      </c>
      <c r="E6654" s="25">
        <v>24.84</v>
      </c>
      <c r="F6654" s="379">
        <v>16.993523426148066</v>
      </c>
      <c r="G6654" s="25">
        <v>44.37</v>
      </c>
      <c r="H6654" s="379">
        <v>21.278678954443397</v>
      </c>
      <c r="I6654" s="25">
        <v>53.71</v>
      </c>
      <c r="J6654" s="379">
        <v>14.000165231551223</v>
      </c>
    </row>
    <row r="6655" spans="1:10" x14ac:dyDescent="0.35">
      <c r="A6655" s="5">
        <v>6651</v>
      </c>
      <c r="B6655" s="5">
        <v>278</v>
      </c>
      <c r="C6655" s="5">
        <v>10</v>
      </c>
      <c r="D6655" s="379">
        <v>24.930555555555554</v>
      </c>
      <c r="E6655" s="25">
        <v>24.84</v>
      </c>
      <c r="F6655" s="379">
        <v>17.237436290030132</v>
      </c>
      <c r="G6655" s="25">
        <v>44.37</v>
      </c>
      <c r="H6655" s="379">
        <v>19.722054180521301</v>
      </c>
      <c r="I6655" s="25">
        <v>53.71</v>
      </c>
      <c r="J6655" s="379">
        <v>14.33848266878244</v>
      </c>
    </row>
    <row r="6656" spans="1:10" x14ac:dyDescent="0.35">
      <c r="A6656" s="5">
        <v>6652</v>
      </c>
      <c r="B6656" s="5">
        <v>278</v>
      </c>
      <c r="C6656" s="5">
        <v>10</v>
      </c>
      <c r="D6656" s="379">
        <v>25.48277777777778</v>
      </c>
      <c r="E6656" s="25">
        <v>24.84</v>
      </c>
      <c r="F6656" s="379">
        <v>17.127700853548632</v>
      </c>
      <c r="G6656" s="25">
        <v>44.37</v>
      </c>
      <c r="H6656" s="379">
        <v>19.62983770134565</v>
      </c>
      <c r="I6656" s="25">
        <v>53.71</v>
      </c>
      <c r="J6656" s="379">
        <v>12.956272532177707</v>
      </c>
    </row>
    <row r="6657" spans="1:10" x14ac:dyDescent="0.35">
      <c r="A6657" s="5">
        <v>6653</v>
      </c>
      <c r="B6657" s="5">
        <v>278</v>
      </c>
      <c r="C6657" s="5">
        <v>10</v>
      </c>
      <c r="D6657" s="379">
        <v>28.258333333333333</v>
      </c>
      <c r="E6657" s="25">
        <v>24.84</v>
      </c>
      <c r="F6657" s="379">
        <v>17.265660706212678</v>
      </c>
      <c r="G6657" s="25">
        <v>44.37</v>
      </c>
      <c r="H6657" s="379">
        <v>19.629803839116551</v>
      </c>
      <c r="I6657" s="25">
        <v>53.71</v>
      </c>
      <c r="J6657" s="379">
        <v>11.834379174075233</v>
      </c>
    </row>
    <row r="6658" spans="1:10" x14ac:dyDescent="0.35">
      <c r="A6658" s="5">
        <v>6654</v>
      </c>
      <c r="B6658" s="5">
        <v>278</v>
      </c>
      <c r="C6658" s="5">
        <v>10</v>
      </c>
      <c r="D6658" s="379">
        <v>42.057222222222222</v>
      </c>
      <c r="E6658" s="25">
        <v>24.99</v>
      </c>
      <c r="F6658" s="379">
        <v>17.360090538866213</v>
      </c>
      <c r="G6658" s="25">
        <v>47.85</v>
      </c>
      <c r="H6658" s="379">
        <v>20.174442167663923</v>
      </c>
      <c r="I6658" s="25">
        <v>54.25</v>
      </c>
      <c r="J6658" s="379">
        <v>11.168866996121547</v>
      </c>
    </row>
    <row r="6659" spans="1:10" x14ac:dyDescent="0.35">
      <c r="A6659" s="5">
        <v>6655</v>
      </c>
      <c r="B6659" s="5">
        <v>278</v>
      </c>
      <c r="C6659" s="5">
        <v>10</v>
      </c>
      <c r="D6659" s="379">
        <v>52.589444444444446</v>
      </c>
      <c r="E6659" s="25">
        <v>25.76</v>
      </c>
      <c r="F6659" s="379">
        <v>18.988023528365829</v>
      </c>
      <c r="G6659" s="25">
        <v>52.2</v>
      </c>
      <c r="H6659" s="379">
        <v>20.085894777310116</v>
      </c>
      <c r="I6659" s="25">
        <v>63.19</v>
      </c>
      <c r="J6659" s="379">
        <v>11.550029839364232</v>
      </c>
    </row>
    <row r="6660" spans="1:10" x14ac:dyDescent="0.35">
      <c r="A6660" s="5">
        <v>6656</v>
      </c>
      <c r="B6660" s="5">
        <v>278</v>
      </c>
      <c r="C6660" s="5">
        <v>10</v>
      </c>
      <c r="D6660" s="379">
        <v>51.211111111111109</v>
      </c>
      <c r="E6660" s="25">
        <v>26.51</v>
      </c>
      <c r="F6660" s="379">
        <v>16.794646857567557</v>
      </c>
      <c r="G6660" s="25">
        <v>52.2</v>
      </c>
      <c r="H6660" s="379">
        <v>14.674689494803623</v>
      </c>
      <c r="I6660" s="25">
        <v>62.27</v>
      </c>
      <c r="J6660" s="379">
        <v>2.2502191674475243</v>
      </c>
    </row>
    <row r="6661" spans="1:10" x14ac:dyDescent="0.35">
      <c r="A6661" s="5">
        <v>6657</v>
      </c>
      <c r="B6661" s="5">
        <v>278</v>
      </c>
      <c r="C6661" s="5">
        <v>10</v>
      </c>
      <c r="D6661" s="379">
        <v>38.336666666666666</v>
      </c>
      <c r="E6661" s="25">
        <v>26.51</v>
      </c>
      <c r="F6661" s="379">
        <v>18.482947075588605</v>
      </c>
      <c r="G6661" s="25">
        <v>52.2</v>
      </c>
      <c r="H6661" s="379">
        <v>15.909109642847032</v>
      </c>
      <c r="I6661" s="25">
        <v>62.27</v>
      </c>
      <c r="J6661" s="379">
        <v>7.321277534115592</v>
      </c>
    </row>
    <row r="6662" spans="1:10" x14ac:dyDescent="0.35">
      <c r="A6662" s="5">
        <v>6658</v>
      </c>
      <c r="B6662" s="5">
        <v>278</v>
      </c>
      <c r="C6662" s="5">
        <v>10</v>
      </c>
      <c r="D6662" s="379">
        <v>30.548333333333332</v>
      </c>
      <c r="E6662" s="25">
        <v>25.74</v>
      </c>
      <c r="F6662" s="379">
        <v>8.3748124573004414</v>
      </c>
      <c r="G6662" s="25">
        <v>52.2</v>
      </c>
      <c r="H6662" s="379">
        <v>6.0968428862899602</v>
      </c>
      <c r="I6662" s="25">
        <v>61.51</v>
      </c>
      <c r="J6662" s="379">
        <v>2.2502191674475251</v>
      </c>
    </row>
    <row r="6663" spans="1:10" x14ac:dyDescent="0.35">
      <c r="A6663" s="5">
        <v>6659</v>
      </c>
      <c r="B6663" s="5">
        <v>278</v>
      </c>
      <c r="C6663" s="5">
        <v>10</v>
      </c>
      <c r="D6663" s="379">
        <v>22.59277777777778</v>
      </c>
      <c r="E6663" s="25">
        <v>25.74</v>
      </c>
      <c r="F6663" s="379">
        <v>8.1174834595959613</v>
      </c>
      <c r="G6663" s="25">
        <v>49.82</v>
      </c>
      <c r="H6663" s="379">
        <v>6.2741829081094362</v>
      </c>
      <c r="I6663" s="25">
        <v>58.27</v>
      </c>
      <c r="J6663" s="379">
        <v>2.2502191674475251</v>
      </c>
    </row>
    <row r="6664" spans="1:10" x14ac:dyDescent="0.35">
      <c r="A6664" s="5">
        <v>6660</v>
      </c>
      <c r="B6664" s="5">
        <v>278</v>
      </c>
      <c r="C6664" s="5">
        <v>10</v>
      </c>
      <c r="D6664" s="379">
        <v>17.284444444444446</v>
      </c>
      <c r="E6664" s="25">
        <v>25.59</v>
      </c>
      <c r="F6664" s="379">
        <v>8.1174834595959577</v>
      </c>
      <c r="G6664" s="25">
        <v>47.85</v>
      </c>
      <c r="H6664" s="379">
        <v>6.9140554206423035</v>
      </c>
      <c r="I6664" s="25">
        <v>53.71</v>
      </c>
      <c r="J6664" s="379">
        <v>5.525142267917639</v>
      </c>
    </row>
    <row r="6665" spans="1:10" x14ac:dyDescent="0.35">
      <c r="A6665" s="5">
        <v>6661</v>
      </c>
      <c r="B6665" s="5">
        <v>278</v>
      </c>
      <c r="C6665" s="5">
        <v>10</v>
      </c>
      <c r="D6665" s="379">
        <v>12.385555555555555</v>
      </c>
      <c r="E6665" s="25">
        <v>25.59</v>
      </c>
      <c r="F6665" s="379">
        <v>0.47222222222222221</v>
      </c>
      <c r="G6665" s="25">
        <v>47.85</v>
      </c>
      <c r="H6665" s="379">
        <v>6.7151320802690266</v>
      </c>
      <c r="I6665" s="25">
        <v>53.71</v>
      </c>
      <c r="J6665" s="379">
        <v>4.8536155354679691</v>
      </c>
    </row>
    <row r="6666" spans="1:10" x14ac:dyDescent="0.35">
      <c r="A6666" s="5">
        <v>6662</v>
      </c>
      <c r="B6666" s="5">
        <v>278</v>
      </c>
      <c r="C6666" s="5">
        <v>10</v>
      </c>
      <c r="D6666" s="379">
        <v>10.20611111111111</v>
      </c>
      <c r="E6666" s="25">
        <v>25.59</v>
      </c>
      <c r="F6666" s="379">
        <v>4.3201856027429963</v>
      </c>
      <c r="G6666" s="25">
        <v>47.85</v>
      </c>
      <c r="H6666" s="379">
        <v>6.7764054219553804</v>
      </c>
      <c r="I6666" s="25">
        <v>53.71</v>
      </c>
      <c r="J6666" s="379">
        <v>5.6740279971048651</v>
      </c>
    </row>
    <row r="6667" spans="1:10" x14ac:dyDescent="0.35">
      <c r="A6667" s="5">
        <v>6663</v>
      </c>
      <c r="B6667" s="5">
        <v>278</v>
      </c>
      <c r="C6667" s="5">
        <v>10</v>
      </c>
      <c r="D6667" s="379">
        <v>12.853333333333335</v>
      </c>
      <c r="E6667" s="25">
        <v>25.59</v>
      </c>
      <c r="F6667" s="379">
        <v>8.1174834595959577</v>
      </c>
      <c r="G6667" s="25">
        <v>47.85</v>
      </c>
      <c r="H6667" s="379">
        <v>6.9024447881538418</v>
      </c>
      <c r="I6667" s="25">
        <v>53.71</v>
      </c>
      <c r="J6667" s="379">
        <v>6.0780738537471795</v>
      </c>
    </row>
    <row r="6668" spans="1:10" x14ac:dyDescent="0.35">
      <c r="A6668" s="5">
        <v>6664</v>
      </c>
      <c r="B6668" s="5">
        <v>278</v>
      </c>
      <c r="C6668" s="5">
        <v>10</v>
      </c>
      <c r="D6668" s="379">
        <v>19.780555555555559</v>
      </c>
      <c r="E6668" s="25">
        <v>25.74</v>
      </c>
      <c r="F6668" s="379">
        <v>8.1174834595959595</v>
      </c>
      <c r="G6668" s="25">
        <v>49.82</v>
      </c>
      <c r="H6668" s="379">
        <v>6.8511851290145227</v>
      </c>
      <c r="I6668" s="25">
        <v>53.71</v>
      </c>
      <c r="J6668" s="379">
        <v>5.3998840105496075</v>
      </c>
    </row>
    <row r="6669" spans="1:10" x14ac:dyDescent="0.35">
      <c r="A6669" s="5">
        <v>6665</v>
      </c>
      <c r="B6669" s="5">
        <v>278</v>
      </c>
      <c r="C6669" s="5">
        <v>10</v>
      </c>
      <c r="D6669" s="379">
        <v>23.919999999999998</v>
      </c>
      <c r="E6669" s="25">
        <v>25.74</v>
      </c>
      <c r="F6669" s="379">
        <v>9.1537723405285085</v>
      </c>
      <c r="G6669" s="25">
        <v>52.2</v>
      </c>
      <c r="H6669" s="379">
        <v>7.6386683291155615</v>
      </c>
      <c r="I6669" s="25">
        <v>54.25</v>
      </c>
      <c r="J6669" s="379">
        <v>5.7791332965594959</v>
      </c>
    </row>
    <row r="6670" spans="1:10" x14ac:dyDescent="0.35">
      <c r="A6670" s="5">
        <v>6666</v>
      </c>
      <c r="B6670" s="5">
        <v>278</v>
      </c>
      <c r="C6670" s="5">
        <v>10</v>
      </c>
      <c r="D6670" s="379">
        <v>26.581111111111113</v>
      </c>
      <c r="E6670" s="25">
        <v>28.11</v>
      </c>
      <c r="F6670" s="379">
        <v>10.439748408582309</v>
      </c>
      <c r="G6670" s="25">
        <v>52.2</v>
      </c>
      <c r="H6670" s="379">
        <v>7.9217847979485363</v>
      </c>
      <c r="I6670" s="25">
        <v>62.27</v>
      </c>
      <c r="J6670" s="379">
        <v>2.2354035257321585</v>
      </c>
    </row>
    <row r="6671" spans="1:10" x14ac:dyDescent="0.35">
      <c r="A6671" s="5">
        <v>6667</v>
      </c>
      <c r="B6671" s="5">
        <v>278</v>
      </c>
      <c r="C6671" s="5">
        <v>10</v>
      </c>
      <c r="D6671" s="379">
        <v>27.854999999999997</v>
      </c>
      <c r="E6671" s="25">
        <v>28.12</v>
      </c>
      <c r="F6671" s="379">
        <v>9.4050515676284867</v>
      </c>
      <c r="G6671" s="25">
        <v>52.2</v>
      </c>
      <c r="H6671" s="379">
        <v>7.9242728740784001</v>
      </c>
      <c r="I6671" s="25">
        <v>68.05</v>
      </c>
      <c r="J6671" s="379">
        <v>4.2985682019751197</v>
      </c>
    </row>
    <row r="6672" spans="1:10" x14ac:dyDescent="0.35">
      <c r="A6672" s="5">
        <v>6668</v>
      </c>
      <c r="B6672" s="5">
        <v>278</v>
      </c>
      <c r="C6672" s="5">
        <v>10</v>
      </c>
      <c r="D6672" s="379">
        <v>21.563333333333333</v>
      </c>
      <c r="E6672" s="25">
        <v>26.51</v>
      </c>
      <c r="F6672" s="379">
        <v>9.1262769388454892</v>
      </c>
      <c r="G6672" s="25">
        <v>49.82</v>
      </c>
      <c r="H6672" s="379">
        <v>7.8821347846824983</v>
      </c>
      <c r="I6672" s="25">
        <v>64.14</v>
      </c>
      <c r="J6672" s="379">
        <v>3.8888232068045583</v>
      </c>
    </row>
    <row r="6673" spans="1:10" x14ac:dyDescent="0.35">
      <c r="A6673" s="5">
        <v>6669</v>
      </c>
      <c r="B6673" s="5">
        <v>278</v>
      </c>
      <c r="C6673" s="5">
        <v>10</v>
      </c>
      <c r="D6673" s="379">
        <v>19.69222222222222</v>
      </c>
      <c r="E6673" s="25">
        <v>25.29</v>
      </c>
      <c r="F6673" s="379">
        <v>9.2444096307427515</v>
      </c>
      <c r="G6673" s="25">
        <v>47.46</v>
      </c>
      <c r="H6673" s="379">
        <v>7.8889063254909608</v>
      </c>
      <c r="I6673" s="25">
        <v>61.51</v>
      </c>
      <c r="J6673" s="379">
        <v>6.2058958346587927</v>
      </c>
    </row>
    <row r="6674" spans="1:10" x14ac:dyDescent="0.35">
      <c r="A6674" s="5">
        <v>6670</v>
      </c>
      <c r="B6674" s="5">
        <v>278</v>
      </c>
      <c r="C6674" s="5">
        <v>10</v>
      </c>
      <c r="D6674" s="379">
        <v>17.187222222222221</v>
      </c>
      <c r="E6674" s="25">
        <v>24.84</v>
      </c>
      <c r="F6674" s="379">
        <v>8.7027073035083635</v>
      </c>
      <c r="G6674" s="25">
        <v>46.98</v>
      </c>
      <c r="H6674" s="379">
        <v>7.7533853513765294</v>
      </c>
      <c r="I6674" s="25">
        <v>54.87</v>
      </c>
      <c r="J6674" s="379">
        <v>6.3501634621884673</v>
      </c>
    </row>
    <row r="6675" spans="1:10" x14ac:dyDescent="0.35">
      <c r="A6675" s="5">
        <v>6671</v>
      </c>
      <c r="B6675" s="5">
        <v>278</v>
      </c>
      <c r="C6675" s="5">
        <v>10</v>
      </c>
      <c r="D6675" s="379">
        <v>13.310555555555553</v>
      </c>
      <c r="E6675" s="25">
        <v>24.84</v>
      </c>
      <c r="F6675" s="379">
        <v>8.0902637291278836</v>
      </c>
      <c r="G6675" s="25">
        <v>43.56</v>
      </c>
      <c r="H6675" s="379">
        <v>7.3335223799639984</v>
      </c>
      <c r="I6675" s="25">
        <v>52.29</v>
      </c>
      <c r="J6675" s="379">
        <v>6.4180610414523835</v>
      </c>
    </row>
    <row r="6676" spans="1:10" x14ac:dyDescent="0.35">
      <c r="A6676" s="5">
        <v>6672</v>
      </c>
      <c r="B6676" s="5">
        <v>278</v>
      </c>
      <c r="C6676" s="5">
        <v>10</v>
      </c>
      <c r="D6676" s="379">
        <v>9.7966666666666686</v>
      </c>
      <c r="E6676" s="25">
        <v>24.84</v>
      </c>
      <c r="F6676" s="379">
        <v>7.8949933478976142</v>
      </c>
      <c r="G6676" s="25">
        <v>41.05</v>
      </c>
      <c r="H6676" s="379">
        <v>7.1317046451177575</v>
      </c>
      <c r="I6676" s="25">
        <v>47.44</v>
      </c>
      <c r="J6676" s="379">
        <v>5.6737819530016456</v>
      </c>
    </row>
    <row r="6677" spans="1:10" x14ac:dyDescent="0.35">
      <c r="A6677" s="5">
        <v>6673</v>
      </c>
      <c r="B6677" s="5">
        <v>279</v>
      </c>
      <c r="C6677" s="5">
        <v>10</v>
      </c>
      <c r="D6677" s="379">
        <v>10.312222222222221</v>
      </c>
      <c r="E6677" s="25">
        <v>24.84</v>
      </c>
      <c r="F6677" s="379">
        <v>7.8674934582868259</v>
      </c>
      <c r="G6677" s="25">
        <v>39.159999999999997</v>
      </c>
      <c r="H6677" s="379">
        <v>7.2120989728206384</v>
      </c>
      <c r="I6677" s="25">
        <v>34.68</v>
      </c>
      <c r="J6677" s="379">
        <v>5.4392452087961098</v>
      </c>
    </row>
    <row r="6678" spans="1:10" x14ac:dyDescent="0.35">
      <c r="A6678" s="5">
        <v>6674</v>
      </c>
      <c r="B6678" s="5">
        <v>279</v>
      </c>
      <c r="C6678" s="5">
        <v>10</v>
      </c>
      <c r="D6678" s="379">
        <v>9.8277777777777775</v>
      </c>
      <c r="E6678" s="25">
        <v>24.84</v>
      </c>
      <c r="F6678" s="379">
        <v>7.8655683676168007</v>
      </c>
      <c r="G6678" s="25">
        <v>37.49</v>
      </c>
      <c r="H6678" s="379">
        <v>6.7508511403975602</v>
      </c>
      <c r="I6678" s="25">
        <v>34.25</v>
      </c>
      <c r="J6678" s="379">
        <v>5.2578639246305352</v>
      </c>
    </row>
    <row r="6679" spans="1:10" x14ac:dyDescent="0.35">
      <c r="A6679" s="5">
        <v>6675</v>
      </c>
      <c r="B6679" s="5">
        <v>279</v>
      </c>
      <c r="C6679" s="5">
        <v>10</v>
      </c>
      <c r="D6679" s="379">
        <v>6.0555555555555545</v>
      </c>
      <c r="E6679" s="25">
        <v>24.84</v>
      </c>
      <c r="F6679" s="379">
        <v>7.8918364914661145</v>
      </c>
      <c r="G6679" s="25">
        <v>40.67</v>
      </c>
      <c r="H6679" s="379">
        <v>6.8239168256792224</v>
      </c>
      <c r="I6679" s="25">
        <v>34.83</v>
      </c>
      <c r="J6679" s="379">
        <v>5.5473463420493587</v>
      </c>
    </row>
    <row r="6680" spans="1:10" x14ac:dyDescent="0.35">
      <c r="A6680" s="5">
        <v>6676</v>
      </c>
      <c r="B6680" s="5">
        <v>279</v>
      </c>
      <c r="C6680" s="5">
        <v>10</v>
      </c>
      <c r="D6680" s="379">
        <v>9.8955555555555534</v>
      </c>
      <c r="E6680" s="25">
        <v>24.84</v>
      </c>
      <c r="F6680" s="379">
        <v>7.8984105192164691</v>
      </c>
      <c r="G6680" s="25">
        <v>40.67</v>
      </c>
      <c r="H6680" s="379">
        <v>6.7403127577275104</v>
      </c>
      <c r="I6680" s="25">
        <v>34.83</v>
      </c>
      <c r="J6680" s="379">
        <v>6.013642212428822</v>
      </c>
    </row>
    <row r="6681" spans="1:10" x14ac:dyDescent="0.35">
      <c r="A6681" s="5">
        <v>6677</v>
      </c>
      <c r="B6681" s="5">
        <v>279</v>
      </c>
      <c r="C6681" s="5">
        <v>10</v>
      </c>
      <c r="D6681" s="379">
        <v>11.338333333333335</v>
      </c>
      <c r="E6681" s="25">
        <v>24.84</v>
      </c>
      <c r="F6681" s="379">
        <v>7.8950861253868307</v>
      </c>
      <c r="G6681" s="25">
        <v>41.55</v>
      </c>
      <c r="H6681" s="379">
        <v>6.7643921622992744</v>
      </c>
      <c r="I6681" s="25">
        <v>34.83</v>
      </c>
      <c r="J6681" s="379">
        <v>6.3537017353986691</v>
      </c>
    </row>
    <row r="6682" spans="1:10" x14ac:dyDescent="0.35">
      <c r="A6682" s="5">
        <v>6678</v>
      </c>
      <c r="B6682" s="5">
        <v>279</v>
      </c>
      <c r="C6682" s="5">
        <v>10</v>
      </c>
      <c r="D6682" s="379">
        <v>21.78777777777778</v>
      </c>
      <c r="E6682" s="25">
        <v>24.99</v>
      </c>
      <c r="F6682" s="379">
        <v>8.0901325728273719</v>
      </c>
      <c r="G6682" s="25">
        <v>45.56</v>
      </c>
      <c r="H6682" s="379">
        <v>7.102718432976606</v>
      </c>
      <c r="I6682" s="25">
        <v>48.86</v>
      </c>
      <c r="J6682" s="379">
        <v>5.944798567614753</v>
      </c>
    </row>
    <row r="6683" spans="1:10" x14ac:dyDescent="0.35">
      <c r="A6683" s="5">
        <v>6679</v>
      </c>
      <c r="B6683" s="5">
        <v>279</v>
      </c>
      <c r="C6683" s="5">
        <v>10</v>
      </c>
      <c r="D6683" s="379">
        <v>30.685000000000002</v>
      </c>
      <c r="E6683" s="25">
        <v>25.74</v>
      </c>
      <c r="F6683" s="379">
        <v>8.1174834595959577</v>
      </c>
      <c r="G6683" s="25">
        <v>47.85</v>
      </c>
      <c r="H6683" s="379">
        <v>7.133724796874878</v>
      </c>
      <c r="I6683" s="25">
        <v>51.02</v>
      </c>
      <c r="J6683" s="379">
        <v>5.9522614850625883</v>
      </c>
    </row>
    <row r="6684" spans="1:10" x14ac:dyDescent="0.35">
      <c r="A6684" s="5">
        <v>6680</v>
      </c>
      <c r="B6684" s="5">
        <v>279</v>
      </c>
      <c r="C6684" s="5">
        <v>10</v>
      </c>
      <c r="D6684" s="379">
        <v>33.19222222222222</v>
      </c>
      <c r="E6684" s="25">
        <v>25.74</v>
      </c>
      <c r="F6684" s="379">
        <v>8.1174834595959577</v>
      </c>
      <c r="G6684" s="25">
        <v>47.85</v>
      </c>
      <c r="H6684" s="379">
        <v>7.1716314207735525</v>
      </c>
      <c r="I6684" s="25">
        <v>51.39</v>
      </c>
      <c r="J6684" s="379">
        <v>5.6672262955668122</v>
      </c>
    </row>
    <row r="6685" spans="1:10" x14ac:dyDescent="0.35">
      <c r="A6685" s="5">
        <v>6681</v>
      </c>
      <c r="B6685" s="5">
        <v>279</v>
      </c>
      <c r="C6685" s="5">
        <v>10</v>
      </c>
      <c r="D6685" s="379">
        <v>21.262777777777778</v>
      </c>
      <c r="E6685" s="25">
        <v>25.74</v>
      </c>
      <c r="F6685" s="379">
        <v>8.1174834595959613</v>
      </c>
      <c r="G6685" s="25">
        <v>47.85</v>
      </c>
      <c r="H6685" s="379">
        <v>6.7673386742037982</v>
      </c>
      <c r="I6685" s="25">
        <v>49.53</v>
      </c>
      <c r="J6685" s="379">
        <v>4.8446026289138429</v>
      </c>
    </row>
    <row r="6686" spans="1:10" x14ac:dyDescent="0.35">
      <c r="A6686" s="5">
        <v>6682</v>
      </c>
      <c r="B6686" s="5">
        <v>279</v>
      </c>
      <c r="C6686" s="5">
        <v>10</v>
      </c>
      <c r="D6686" s="379">
        <v>16.497777777777781</v>
      </c>
      <c r="E6686" s="25">
        <v>25.59</v>
      </c>
      <c r="F6686" s="379">
        <v>8.1174834595959613</v>
      </c>
      <c r="G6686" s="25">
        <v>47.85</v>
      </c>
      <c r="H6686" s="379">
        <v>6.8728424232050855</v>
      </c>
      <c r="I6686" s="25">
        <v>48.86</v>
      </c>
      <c r="J6686" s="379">
        <v>5.541643858879266</v>
      </c>
    </row>
    <row r="6687" spans="1:10" x14ac:dyDescent="0.35">
      <c r="A6687" s="5">
        <v>6683</v>
      </c>
      <c r="B6687" s="5">
        <v>279</v>
      </c>
      <c r="C6687" s="5">
        <v>10</v>
      </c>
      <c r="D6687" s="379">
        <v>14.371111111111112</v>
      </c>
      <c r="E6687" s="25">
        <v>25.29</v>
      </c>
      <c r="F6687" s="379">
        <v>8.1174834595959577</v>
      </c>
      <c r="G6687" s="25">
        <v>47.85</v>
      </c>
      <c r="H6687" s="379">
        <v>5.9616201661578083</v>
      </c>
      <c r="I6687" s="25">
        <v>38.36</v>
      </c>
      <c r="J6687" s="379">
        <v>2.6965852952299842</v>
      </c>
    </row>
    <row r="6688" spans="1:10" x14ac:dyDescent="0.35">
      <c r="A6688" s="5">
        <v>6684</v>
      </c>
      <c r="B6688" s="5">
        <v>279</v>
      </c>
      <c r="C6688" s="5">
        <v>10</v>
      </c>
      <c r="D6688" s="379">
        <v>14.747222222222225</v>
      </c>
      <c r="E6688" s="25">
        <v>25.29</v>
      </c>
      <c r="F6688" s="379">
        <v>8.1174834595959577</v>
      </c>
      <c r="G6688" s="25">
        <v>47.46</v>
      </c>
      <c r="H6688" s="379">
        <v>5.6244715233440541</v>
      </c>
      <c r="I6688" s="25">
        <v>36.869999999999997</v>
      </c>
      <c r="J6688" s="379">
        <v>2.8667667546758406</v>
      </c>
    </row>
    <row r="6689" spans="1:10" x14ac:dyDescent="0.35">
      <c r="A6689" s="5">
        <v>6685</v>
      </c>
      <c r="B6689" s="5">
        <v>279</v>
      </c>
      <c r="C6689" s="5">
        <v>10</v>
      </c>
      <c r="D6689" s="379">
        <v>14.103333333333332</v>
      </c>
      <c r="E6689" s="25">
        <v>24.84</v>
      </c>
      <c r="F6689" s="379">
        <v>4.4273685954977822</v>
      </c>
      <c r="G6689" s="25">
        <v>43.56</v>
      </c>
      <c r="H6689" s="379">
        <v>6.2404502312974195</v>
      </c>
      <c r="I6689" s="25">
        <v>35.18</v>
      </c>
      <c r="J6689" s="379">
        <v>2.6312391597408444</v>
      </c>
    </row>
    <row r="6690" spans="1:10" x14ac:dyDescent="0.35">
      <c r="A6690" s="5">
        <v>6686</v>
      </c>
      <c r="B6690" s="5">
        <v>279</v>
      </c>
      <c r="C6690" s="5">
        <v>10</v>
      </c>
      <c r="D6690" s="379">
        <v>14.607222222222219</v>
      </c>
      <c r="E6690" s="25">
        <v>24.84</v>
      </c>
      <c r="F6690" s="379">
        <v>8.1174834595959577</v>
      </c>
      <c r="G6690" s="25">
        <v>43.56</v>
      </c>
      <c r="H6690" s="379">
        <v>6.2481897878749058</v>
      </c>
      <c r="I6690" s="25">
        <v>34.83</v>
      </c>
      <c r="J6690" s="379">
        <v>3.0916433813376329</v>
      </c>
    </row>
    <row r="6691" spans="1:10" x14ac:dyDescent="0.35">
      <c r="A6691" s="5">
        <v>6687</v>
      </c>
      <c r="B6691" s="5">
        <v>279</v>
      </c>
      <c r="C6691" s="5">
        <v>10</v>
      </c>
      <c r="D6691" s="379">
        <v>16.575555555555557</v>
      </c>
      <c r="E6691" s="25">
        <v>24.84</v>
      </c>
      <c r="F6691" s="379">
        <v>8.1174834595959577</v>
      </c>
      <c r="G6691" s="25">
        <v>43.56</v>
      </c>
      <c r="H6691" s="379">
        <v>5.6976257375392168</v>
      </c>
      <c r="I6691" s="25">
        <v>34.83</v>
      </c>
      <c r="J6691" s="379">
        <v>0.3730108819699357</v>
      </c>
    </row>
    <row r="6692" spans="1:10" x14ac:dyDescent="0.35">
      <c r="A6692" s="5">
        <v>6688</v>
      </c>
      <c r="B6692" s="5">
        <v>279</v>
      </c>
      <c r="C6692" s="5">
        <v>10</v>
      </c>
      <c r="D6692" s="379">
        <v>17.536111111111108</v>
      </c>
      <c r="E6692" s="25">
        <v>24.84</v>
      </c>
      <c r="F6692" s="379">
        <v>8.1174834595959577</v>
      </c>
      <c r="G6692" s="25">
        <v>43.49</v>
      </c>
      <c r="H6692" s="379">
        <v>6.5844555341787725</v>
      </c>
      <c r="I6692" s="25">
        <v>35.18</v>
      </c>
      <c r="J6692" s="379">
        <v>3.1845254937710945</v>
      </c>
    </row>
    <row r="6693" spans="1:10" x14ac:dyDescent="0.35">
      <c r="A6693" s="5">
        <v>6689</v>
      </c>
      <c r="B6693" s="5">
        <v>279</v>
      </c>
      <c r="C6693" s="5">
        <v>10</v>
      </c>
      <c r="D6693" s="379">
        <v>17.86888888888889</v>
      </c>
      <c r="E6693" s="25">
        <v>24.84</v>
      </c>
      <c r="F6693" s="379">
        <v>8.5018471117359624</v>
      </c>
      <c r="G6693" s="25">
        <v>43.62</v>
      </c>
      <c r="H6693" s="379">
        <v>7.1117469325240306</v>
      </c>
      <c r="I6693" s="25">
        <v>35.799999999999997</v>
      </c>
      <c r="J6693" s="379">
        <v>4.9599396759654457</v>
      </c>
    </row>
    <row r="6694" spans="1:10" x14ac:dyDescent="0.35">
      <c r="A6694" s="5">
        <v>6690</v>
      </c>
      <c r="B6694" s="5">
        <v>279</v>
      </c>
      <c r="C6694" s="5">
        <v>10</v>
      </c>
      <c r="D6694" s="379">
        <v>28.818888888888889</v>
      </c>
      <c r="E6694" s="25">
        <v>25.29</v>
      </c>
      <c r="F6694" s="379">
        <v>9.6068977696025648</v>
      </c>
      <c r="G6694" s="25">
        <v>47.46</v>
      </c>
      <c r="H6694" s="379">
        <v>7.2459006841469842</v>
      </c>
      <c r="I6694" s="25">
        <v>42.5</v>
      </c>
      <c r="J6694" s="379">
        <v>3.596396003391062</v>
      </c>
    </row>
    <row r="6695" spans="1:10" x14ac:dyDescent="0.35">
      <c r="A6695" s="5">
        <v>6691</v>
      </c>
      <c r="B6695" s="5">
        <v>279</v>
      </c>
      <c r="C6695" s="5">
        <v>10</v>
      </c>
      <c r="D6695" s="379">
        <v>37.583888888888886</v>
      </c>
      <c r="E6695" s="25">
        <v>26.51</v>
      </c>
      <c r="F6695" s="379">
        <v>8.5020499444444635</v>
      </c>
      <c r="G6695" s="25">
        <v>47.85</v>
      </c>
      <c r="H6695" s="379">
        <v>7.1799770759613093</v>
      </c>
      <c r="I6695" s="25">
        <v>50.13</v>
      </c>
      <c r="J6695" s="379">
        <v>5.7922024698838124</v>
      </c>
    </row>
    <row r="6696" spans="1:10" x14ac:dyDescent="0.35">
      <c r="A6696" s="5">
        <v>6692</v>
      </c>
      <c r="B6696" s="5">
        <v>279</v>
      </c>
      <c r="C6696" s="5">
        <v>10</v>
      </c>
      <c r="D6696" s="379">
        <v>23.865555555555556</v>
      </c>
      <c r="E6696" s="25">
        <v>26.05</v>
      </c>
      <c r="F6696" s="379">
        <v>8.5018471117359624</v>
      </c>
      <c r="G6696" s="25">
        <v>46.07</v>
      </c>
      <c r="H6696" s="379">
        <v>7.2379457787433035</v>
      </c>
      <c r="I6696" s="25">
        <v>50.13</v>
      </c>
      <c r="J6696" s="379">
        <v>5.3413323744294141</v>
      </c>
    </row>
    <row r="6697" spans="1:10" x14ac:dyDescent="0.35">
      <c r="A6697" s="5">
        <v>6693</v>
      </c>
      <c r="B6697" s="5">
        <v>279</v>
      </c>
      <c r="C6697" s="5">
        <v>10</v>
      </c>
      <c r="D6697" s="379">
        <v>27.926666666666666</v>
      </c>
      <c r="E6697" s="25">
        <v>24.84</v>
      </c>
      <c r="F6697" s="379">
        <v>8.1174834595959577</v>
      </c>
      <c r="G6697" s="25">
        <v>43.62</v>
      </c>
      <c r="H6697" s="379">
        <v>7.1213762013254129</v>
      </c>
      <c r="I6697" s="25">
        <v>35.799999999999997</v>
      </c>
      <c r="J6697" s="379">
        <v>5.182379152938319</v>
      </c>
    </row>
    <row r="6698" spans="1:10" x14ac:dyDescent="0.35">
      <c r="A6698" s="5">
        <v>6694</v>
      </c>
      <c r="B6698" s="5">
        <v>279</v>
      </c>
      <c r="C6698" s="5">
        <v>10</v>
      </c>
      <c r="D6698" s="379">
        <v>24.398333333333333</v>
      </c>
      <c r="E6698" s="25">
        <v>24.84</v>
      </c>
      <c r="F6698" s="379">
        <v>8.09327147983225</v>
      </c>
      <c r="G6698" s="25">
        <v>42.17</v>
      </c>
      <c r="H6698" s="379">
        <v>6.8726254640476174</v>
      </c>
      <c r="I6698" s="25">
        <v>35.799999999999997</v>
      </c>
      <c r="J6698" s="379">
        <v>4.01912971744611</v>
      </c>
    </row>
    <row r="6699" spans="1:10" x14ac:dyDescent="0.35">
      <c r="A6699" s="5">
        <v>6695</v>
      </c>
      <c r="B6699" s="5">
        <v>279</v>
      </c>
      <c r="C6699" s="5">
        <v>10</v>
      </c>
      <c r="D6699" s="379">
        <v>25.074444444444445</v>
      </c>
      <c r="E6699" s="25">
        <v>24.84</v>
      </c>
      <c r="F6699" s="379">
        <v>7.3063439836330639</v>
      </c>
      <c r="G6699" s="25">
        <v>40.96</v>
      </c>
      <c r="H6699" s="379">
        <v>6.8241802703510546</v>
      </c>
      <c r="I6699" s="25">
        <v>35.03</v>
      </c>
      <c r="J6699" s="379">
        <v>3.7121143413308806</v>
      </c>
    </row>
    <row r="6700" spans="1:10" x14ac:dyDescent="0.35">
      <c r="A6700" s="5">
        <v>6696</v>
      </c>
      <c r="B6700" s="5">
        <v>279</v>
      </c>
      <c r="C6700" s="5">
        <v>10</v>
      </c>
      <c r="D6700" s="379">
        <v>19.087222222222227</v>
      </c>
      <c r="E6700" s="25">
        <v>24.84</v>
      </c>
      <c r="F6700" s="379">
        <v>6.2598837420839146</v>
      </c>
      <c r="G6700" s="25">
        <v>40.340000000000003</v>
      </c>
      <c r="H6700" s="379">
        <v>6.4311489020310084</v>
      </c>
      <c r="I6700" s="25">
        <v>34.83</v>
      </c>
      <c r="J6700" s="379">
        <v>2.6052169855677314</v>
      </c>
    </row>
    <row r="6701" spans="1:10" x14ac:dyDescent="0.35">
      <c r="A6701" s="5">
        <v>6697</v>
      </c>
      <c r="B6701" s="5">
        <v>280</v>
      </c>
      <c r="C6701" s="5">
        <v>10</v>
      </c>
      <c r="D6701" s="379">
        <v>19.136111111111109</v>
      </c>
      <c r="E6701" s="25">
        <v>24.84</v>
      </c>
      <c r="F6701" s="379">
        <v>6.1229008982886093</v>
      </c>
      <c r="G6701" s="25">
        <v>39.159999999999997</v>
      </c>
      <c r="H6701" s="379">
        <v>6.7521049652171765</v>
      </c>
      <c r="I6701" s="25">
        <v>35.799999999999997</v>
      </c>
      <c r="J6701" s="379">
        <v>2.6196550351207524</v>
      </c>
    </row>
    <row r="6702" spans="1:10" x14ac:dyDescent="0.35">
      <c r="A6702" s="5">
        <v>6698</v>
      </c>
      <c r="B6702" s="5">
        <v>280</v>
      </c>
      <c r="C6702" s="5">
        <v>10</v>
      </c>
      <c r="D6702" s="379">
        <v>16.148333333333333</v>
      </c>
      <c r="E6702" s="25">
        <v>24.84</v>
      </c>
      <c r="F6702" s="379">
        <v>5.7440934496720066</v>
      </c>
      <c r="G6702" s="25">
        <v>38.020000000000003</v>
      </c>
      <c r="H6702" s="379">
        <v>6.8570591444186961</v>
      </c>
      <c r="I6702" s="25">
        <v>35.799999999999997</v>
      </c>
      <c r="J6702" s="379">
        <v>2.4264332011279066</v>
      </c>
    </row>
    <row r="6703" spans="1:10" x14ac:dyDescent="0.35">
      <c r="A6703" s="5">
        <v>6699</v>
      </c>
      <c r="B6703" s="5">
        <v>280</v>
      </c>
      <c r="C6703" s="5">
        <v>10</v>
      </c>
      <c r="D6703" s="379">
        <v>18.792222222222222</v>
      </c>
      <c r="E6703" s="25">
        <v>24.84</v>
      </c>
      <c r="F6703" s="379">
        <v>5.6453743864422323</v>
      </c>
      <c r="G6703" s="25">
        <v>38.61</v>
      </c>
      <c r="H6703" s="379">
        <v>6.4028955184134659</v>
      </c>
      <c r="I6703" s="25">
        <v>35.799999999999997</v>
      </c>
      <c r="J6703" s="379">
        <v>1.8555021572498052</v>
      </c>
    </row>
    <row r="6704" spans="1:10" x14ac:dyDescent="0.35">
      <c r="A6704" s="5">
        <v>6700</v>
      </c>
      <c r="B6704" s="5">
        <v>280</v>
      </c>
      <c r="C6704" s="5">
        <v>10</v>
      </c>
      <c r="D6704" s="379">
        <v>18.314999999999998</v>
      </c>
      <c r="E6704" s="25">
        <v>24.84</v>
      </c>
      <c r="F6704" s="379">
        <v>5.6519158212952805</v>
      </c>
      <c r="G6704" s="25">
        <v>40.67</v>
      </c>
      <c r="H6704" s="379">
        <v>6.4151278550120114</v>
      </c>
      <c r="I6704" s="25">
        <v>37.15</v>
      </c>
      <c r="J6704" s="379">
        <v>1.5682037165228744</v>
      </c>
    </row>
    <row r="6705" spans="1:10" x14ac:dyDescent="0.35">
      <c r="A6705" s="5">
        <v>6701</v>
      </c>
      <c r="B6705" s="5">
        <v>280</v>
      </c>
      <c r="C6705" s="5">
        <v>10</v>
      </c>
      <c r="D6705" s="379">
        <v>16.247777777777777</v>
      </c>
      <c r="E6705" s="25">
        <v>24.84</v>
      </c>
      <c r="F6705" s="379">
        <v>5.7655849807065112</v>
      </c>
      <c r="G6705" s="25">
        <v>40.67</v>
      </c>
      <c r="H6705" s="379">
        <v>6.2759671958493817</v>
      </c>
      <c r="I6705" s="25">
        <v>46.06</v>
      </c>
      <c r="J6705" s="379">
        <v>0.838678652678853</v>
      </c>
    </row>
    <row r="6706" spans="1:10" x14ac:dyDescent="0.35">
      <c r="A6706" s="5">
        <v>6702</v>
      </c>
      <c r="B6706" s="5">
        <v>280</v>
      </c>
      <c r="C6706" s="5">
        <v>10</v>
      </c>
      <c r="D6706" s="379">
        <v>27.560555555555553</v>
      </c>
      <c r="E6706" s="25">
        <v>24.84</v>
      </c>
      <c r="F6706" s="379">
        <v>6.0257567188644314</v>
      </c>
      <c r="G6706" s="25">
        <v>43.92</v>
      </c>
      <c r="H6706" s="379">
        <v>6.4761310299209507</v>
      </c>
      <c r="I6706" s="25">
        <v>50.51</v>
      </c>
      <c r="J6706" s="379">
        <v>1.5200401520126683</v>
      </c>
    </row>
    <row r="6707" spans="1:10" x14ac:dyDescent="0.35">
      <c r="A6707" s="5">
        <v>6703</v>
      </c>
      <c r="B6707" s="5">
        <v>280</v>
      </c>
      <c r="C6707" s="5">
        <v>10</v>
      </c>
      <c r="D6707" s="379">
        <v>45.297777777777775</v>
      </c>
      <c r="E6707" s="25">
        <v>25.74</v>
      </c>
      <c r="F6707" s="379">
        <v>5.9253739645391734</v>
      </c>
      <c r="G6707" s="25">
        <v>47.85</v>
      </c>
      <c r="H6707" s="379">
        <v>6.815249511030963</v>
      </c>
      <c r="I6707" s="25">
        <v>53.71</v>
      </c>
      <c r="J6707" s="379">
        <v>0.46900870536853423</v>
      </c>
    </row>
    <row r="6708" spans="1:10" x14ac:dyDescent="0.35">
      <c r="A6708" s="5">
        <v>6704</v>
      </c>
      <c r="B6708" s="5">
        <v>280</v>
      </c>
      <c r="C6708" s="5">
        <v>10</v>
      </c>
      <c r="D6708" s="379">
        <v>44.25333333333333</v>
      </c>
      <c r="E6708" s="25">
        <v>26.51</v>
      </c>
      <c r="F6708" s="379">
        <v>5.9444922444450334</v>
      </c>
      <c r="G6708" s="25">
        <v>47.85</v>
      </c>
      <c r="H6708" s="379">
        <v>6.4273993305702293</v>
      </c>
      <c r="I6708" s="25">
        <v>56.57</v>
      </c>
      <c r="J6708" s="379">
        <v>9.4248148085777778E-2</v>
      </c>
    </row>
    <row r="6709" spans="1:10" x14ac:dyDescent="0.35">
      <c r="A6709" s="5">
        <v>6705</v>
      </c>
      <c r="B6709" s="5">
        <v>280</v>
      </c>
      <c r="C6709" s="5">
        <v>10</v>
      </c>
      <c r="D6709" s="379">
        <v>28.408888888888889</v>
      </c>
      <c r="E6709" s="25">
        <v>26.51</v>
      </c>
      <c r="F6709" s="379">
        <v>8.0814074994503198</v>
      </c>
      <c r="G6709" s="25">
        <v>49.82</v>
      </c>
      <c r="H6709" s="379">
        <v>6.0358068637361137</v>
      </c>
      <c r="I6709" s="25">
        <v>56.57</v>
      </c>
      <c r="J6709" s="379">
        <v>2.1720969392614959</v>
      </c>
    </row>
    <row r="6710" spans="1:10" x14ac:dyDescent="0.35">
      <c r="A6710" s="5">
        <v>6706</v>
      </c>
      <c r="B6710" s="5">
        <v>280</v>
      </c>
      <c r="C6710" s="5">
        <v>10</v>
      </c>
      <c r="D6710" s="379">
        <v>26.583333333333332</v>
      </c>
      <c r="E6710" s="25">
        <v>25.74</v>
      </c>
      <c r="F6710" s="379">
        <v>8.1174834595959595</v>
      </c>
      <c r="G6710" s="25">
        <v>47.85</v>
      </c>
      <c r="H6710" s="379">
        <v>4.799693804694658</v>
      </c>
      <c r="I6710" s="25">
        <v>54.87</v>
      </c>
      <c r="J6710" s="379">
        <v>2.1720969392614959</v>
      </c>
    </row>
    <row r="6711" spans="1:10" x14ac:dyDescent="0.35">
      <c r="A6711" s="5">
        <v>6707</v>
      </c>
      <c r="B6711" s="5">
        <v>280</v>
      </c>
      <c r="C6711" s="5">
        <v>10</v>
      </c>
      <c r="D6711" s="379">
        <v>25.073888888888884</v>
      </c>
      <c r="E6711" s="25">
        <v>25.59</v>
      </c>
      <c r="F6711" s="379">
        <v>8.1174834595959595</v>
      </c>
      <c r="G6711" s="25">
        <v>49.82</v>
      </c>
      <c r="H6711" s="379">
        <v>5.9330467660633213</v>
      </c>
      <c r="I6711" s="25">
        <v>54.52</v>
      </c>
      <c r="J6711" s="379">
        <v>1.7868616817980669</v>
      </c>
    </row>
    <row r="6712" spans="1:10" x14ac:dyDescent="0.35">
      <c r="A6712" s="5">
        <v>6708</v>
      </c>
      <c r="B6712" s="5">
        <v>280</v>
      </c>
      <c r="C6712" s="5">
        <v>10</v>
      </c>
      <c r="D6712" s="379">
        <v>17.567777777777778</v>
      </c>
      <c r="E6712" s="25">
        <v>24.99</v>
      </c>
      <c r="F6712" s="379">
        <v>8.1174834595959595</v>
      </c>
      <c r="G6712" s="25">
        <v>47.85</v>
      </c>
      <c r="H6712" s="379">
        <v>6.322018205610239</v>
      </c>
      <c r="I6712" s="25">
        <v>53.27</v>
      </c>
      <c r="J6712" s="379">
        <v>1.9864402577757823</v>
      </c>
    </row>
    <row r="6713" spans="1:10" x14ac:dyDescent="0.35">
      <c r="A6713" s="5">
        <v>6709</v>
      </c>
      <c r="B6713" s="5">
        <v>280</v>
      </c>
      <c r="C6713" s="5">
        <v>10</v>
      </c>
      <c r="D6713" s="379">
        <v>12.566666666666665</v>
      </c>
      <c r="E6713" s="25">
        <v>24.84</v>
      </c>
      <c r="F6713" s="379">
        <v>8.1174834595959577</v>
      </c>
      <c r="G6713" s="25">
        <v>47.85</v>
      </c>
      <c r="H6713" s="379">
        <v>5.9835214537012211</v>
      </c>
      <c r="I6713" s="25">
        <v>51.02</v>
      </c>
      <c r="J6713" s="379">
        <v>1.9864402577757823</v>
      </c>
    </row>
    <row r="6714" spans="1:10" x14ac:dyDescent="0.35">
      <c r="A6714" s="5">
        <v>6710</v>
      </c>
      <c r="B6714" s="5">
        <v>280</v>
      </c>
      <c r="C6714" s="5">
        <v>10</v>
      </c>
      <c r="D6714" s="379">
        <v>18.523333333333333</v>
      </c>
      <c r="E6714" s="25">
        <v>24.84</v>
      </c>
      <c r="F6714" s="379">
        <v>8.1174834595959613</v>
      </c>
      <c r="G6714" s="25">
        <v>47.85</v>
      </c>
      <c r="H6714" s="379">
        <v>6.3702274297006722</v>
      </c>
      <c r="I6714" s="25">
        <v>51.02</v>
      </c>
      <c r="J6714" s="379">
        <v>2.0232791350726709</v>
      </c>
    </row>
    <row r="6715" spans="1:10" x14ac:dyDescent="0.35">
      <c r="A6715" s="5">
        <v>6711</v>
      </c>
      <c r="B6715" s="5">
        <v>280</v>
      </c>
      <c r="C6715" s="5">
        <v>10</v>
      </c>
      <c r="D6715" s="379">
        <v>20.471666666666668</v>
      </c>
      <c r="E6715" s="25">
        <v>24.99</v>
      </c>
      <c r="F6715" s="379">
        <v>8.1174834595959577</v>
      </c>
      <c r="G6715" s="25">
        <v>47.85</v>
      </c>
      <c r="H6715" s="379">
        <v>6.2624686021199842</v>
      </c>
      <c r="I6715" s="25">
        <v>51.02</v>
      </c>
      <c r="J6715" s="379">
        <v>1.9864402577757823</v>
      </c>
    </row>
    <row r="6716" spans="1:10" x14ac:dyDescent="0.35">
      <c r="A6716" s="5">
        <v>6712</v>
      </c>
      <c r="B6716" s="5">
        <v>280</v>
      </c>
      <c r="C6716" s="5">
        <v>10</v>
      </c>
      <c r="D6716" s="379">
        <v>22.376111111111111</v>
      </c>
      <c r="E6716" s="25">
        <v>24.99</v>
      </c>
      <c r="F6716" s="379">
        <v>8.1174834595959577</v>
      </c>
      <c r="G6716" s="25">
        <v>47.85</v>
      </c>
      <c r="H6716" s="379">
        <v>6.1797604654044358</v>
      </c>
      <c r="I6716" s="25">
        <v>52.93</v>
      </c>
      <c r="J6716" s="379">
        <v>1.9864402577757823</v>
      </c>
    </row>
    <row r="6717" spans="1:10" x14ac:dyDescent="0.35">
      <c r="A6717" s="5">
        <v>6713</v>
      </c>
      <c r="B6717" s="5">
        <v>280</v>
      </c>
      <c r="C6717" s="5">
        <v>10</v>
      </c>
      <c r="D6717" s="379">
        <v>24.321111111111115</v>
      </c>
      <c r="E6717" s="25">
        <v>25.74</v>
      </c>
      <c r="F6717" s="379">
        <v>8.449242681495198</v>
      </c>
      <c r="G6717" s="25">
        <v>47.85</v>
      </c>
      <c r="H6717" s="379">
        <v>7.3877720775514613</v>
      </c>
      <c r="I6717" s="25">
        <v>58.27</v>
      </c>
      <c r="J6717" s="379">
        <v>0.41125268210675331</v>
      </c>
    </row>
    <row r="6718" spans="1:10" x14ac:dyDescent="0.35">
      <c r="A6718" s="5">
        <v>6714</v>
      </c>
      <c r="B6718" s="5">
        <v>280</v>
      </c>
      <c r="C6718" s="5">
        <v>10</v>
      </c>
      <c r="D6718" s="379">
        <v>37.984444444444435</v>
      </c>
      <c r="E6718" s="25">
        <v>27.29</v>
      </c>
      <c r="F6718" s="379">
        <v>8.8674340570016952</v>
      </c>
      <c r="G6718" s="25">
        <v>47.85</v>
      </c>
      <c r="H6718" s="379">
        <v>9.3112268098795834</v>
      </c>
      <c r="I6718" s="25">
        <v>64.14</v>
      </c>
      <c r="J6718" s="379">
        <v>5.7677537788002526</v>
      </c>
    </row>
    <row r="6719" spans="1:10" x14ac:dyDescent="0.35">
      <c r="A6719" s="5">
        <v>6715</v>
      </c>
      <c r="B6719" s="5">
        <v>280</v>
      </c>
      <c r="C6719" s="5">
        <v>10</v>
      </c>
      <c r="D6719" s="379">
        <v>37.081666666666663</v>
      </c>
      <c r="E6719" s="25">
        <v>27.3</v>
      </c>
      <c r="F6719" s="379">
        <v>9.9008729765446333</v>
      </c>
      <c r="G6719" s="25">
        <v>49.82</v>
      </c>
      <c r="H6719" s="379">
        <v>8.6586971896116207</v>
      </c>
      <c r="I6719" s="25">
        <v>64.14</v>
      </c>
      <c r="J6719" s="379">
        <v>6.3264722974420993</v>
      </c>
    </row>
    <row r="6720" spans="1:10" x14ac:dyDescent="0.35">
      <c r="A6720" s="5">
        <v>6716</v>
      </c>
      <c r="B6720" s="5">
        <v>280</v>
      </c>
      <c r="C6720" s="5">
        <v>10</v>
      </c>
      <c r="D6720" s="379">
        <v>30.158888888888889</v>
      </c>
      <c r="E6720" s="25">
        <v>26.51</v>
      </c>
      <c r="F6720" s="379">
        <v>9.0786030006533913</v>
      </c>
      <c r="G6720" s="25">
        <v>47.85</v>
      </c>
      <c r="H6720" s="379">
        <v>8.6656101569788291</v>
      </c>
      <c r="I6720" s="25">
        <v>64.14</v>
      </c>
      <c r="J6720" s="379">
        <v>6.9816527995513686</v>
      </c>
    </row>
    <row r="6721" spans="1:10" x14ac:dyDescent="0.35">
      <c r="A6721" s="5">
        <v>6717</v>
      </c>
      <c r="B6721" s="5">
        <v>280</v>
      </c>
      <c r="C6721" s="5">
        <v>10</v>
      </c>
      <c r="D6721" s="379">
        <v>26.918888888888883</v>
      </c>
      <c r="E6721" s="25">
        <v>24.99</v>
      </c>
      <c r="F6721" s="379">
        <v>8.8385256144330224</v>
      </c>
      <c r="G6721" s="25">
        <v>47.85</v>
      </c>
      <c r="H6721" s="379">
        <v>8.6130524831347497</v>
      </c>
      <c r="I6721" s="25">
        <v>60.02</v>
      </c>
      <c r="J6721" s="379">
        <v>6.6925899788988827</v>
      </c>
    </row>
    <row r="6722" spans="1:10" x14ac:dyDescent="0.35">
      <c r="A6722" s="5">
        <v>6718</v>
      </c>
      <c r="B6722" s="5">
        <v>280</v>
      </c>
      <c r="C6722" s="5">
        <v>10</v>
      </c>
      <c r="D6722" s="379">
        <v>26.065000000000001</v>
      </c>
      <c r="E6722" s="25">
        <v>24.99</v>
      </c>
      <c r="F6722" s="379">
        <v>8.5018471117359624</v>
      </c>
      <c r="G6722" s="25">
        <v>47.46</v>
      </c>
      <c r="H6722" s="379">
        <v>8.9096538111322587</v>
      </c>
      <c r="I6722" s="25">
        <v>54.93</v>
      </c>
      <c r="J6722" s="379">
        <v>6.3300686549062348</v>
      </c>
    </row>
    <row r="6723" spans="1:10" x14ac:dyDescent="0.35">
      <c r="A6723" s="5">
        <v>6719</v>
      </c>
      <c r="B6723" s="5">
        <v>280</v>
      </c>
      <c r="C6723" s="5">
        <v>10</v>
      </c>
      <c r="D6723" s="379">
        <v>25.327222222222222</v>
      </c>
      <c r="E6723" s="25">
        <v>24.84</v>
      </c>
      <c r="F6723" s="379">
        <v>8.7129015668397845</v>
      </c>
      <c r="G6723" s="25">
        <v>44.49</v>
      </c>
      <c r="H6723" s="379">
        <v>9.1086608431824896</v>
      </c>
      <c r="I6723" s="25">
        <v>54.52</v>
      </c>
      <c r="J6723" s="379">
        <v>6.6017686622357044</v>
      </c>
    </row>
    <row r="6724" spans="1:10" x14ac:dyDescent="0.35">
      <c r="A6724" s="5">
        <v>6720</v>
      </c>
      <c r="B6724" s="5">
        <v>280</v>
      </c>
      <c r="C6724" s="5">
        <v>10</v>
      </c>
      <c r="D6724" s="379">
        <v>23.525555555555556</v>
      </c>
      <c r="E6724" s="25">
        <v>24.84</v>
      </c>
      <c r="F6724" s="379">
        <v>9.260588049838482</v>
      </c>
      <c r="G6724" s="25">
        <v>42.62</v>
      </c>
      <c r="H6724" s="379">
        <v>9.4278013622243915</v>
      </c>
      <c r="I6724" s="25">
        <v>53.51</v>
      </c>
      <c r="J6724" s="379">
        <v>6.5495660828263702</v>
      </c>
    </row>
    <row r="6725" spans="1:10" x14ac:dyDescent="0.35">
      <c r="A6725" s="5">
        <v>6721</v>
      </c>
      <c r="B6725" s="5">
        <v>281</v>
      </c>
      <c r="C6725" s="5">
        <v>10</v>
      </c>
      <c r="D6725" s="379">
        <v>23.146111111111107</v>
      </c>
      <c r="E6725" s="25">
        <v>24.84</v>
      </c>
      <c r="F6725" s="379">
        <v>9.3040361024414633</v>
      </c>
      <c r="G6725" s="25">
        <v>42.35</v>
      </c>
      <c r="H6725" s="379">
        <v>9.4482529507634734</v>
      </c>
      <c r="I6725" s="25">
        <v>56.52</v>
      </c>
      <c r="J6725" s="379">
        <v>6.4765201117761961</v>
      </c>
    </row>
    <row r="6726" spans="1:10" x14ac:dyDescent="0.35">
      <c r="A6726" s="5">
        <v>6722</v>
      </c>
      <c r="B6726" s="5">
        <v>281</v>
      </c>
      <c r="C6726" s="5">
        <v>10</v>
      </c>
      <c r="D6726" s="379">
        <v>22.831666666666663</v>
      </c>
      <c r="E6726" s="25">
        <v>24.84</v>
      </c>
      <c r="F6726" s="379">
        <v>9.654538864078047</v>
      </c>
      <c r="G6726" s="25">
        <v>42.35</v>
      </c>
      <c r="H6726" s="379">
        <v>9.2394781202119329</v>
      </c>
      <c r="I6726" s="25">
        <v>54.87</v>
      </c>
      <c r="J6726" s="379">
        <v>6.8848109044945405</v>
      </c>
    </row>
    <row r="6727" spans="1:10" x14ac:dyDescent="0.35">
      <c r="A6727" s="5">
        <v>6723</v>
      </c>
      <c r="B6727" s="5">
        <v>281</v>
      </c>
      <c r="C6727" s="5">
        <v>10</v>
      </c>
      <c r="D6727" s="379">
        <v>22.535555555555554</v>
      </c>
      <c r="E6727" s="25">
        <v>24.84</v>
      </c>
      <c r="F6727" s="379">
        <v>10.366012637198068</v>
      </c>
      <c r="G6727" s="25">
        <v>42.36</v>
      </c>
      <c r="H6727" s="379">
        <v>9.3674493432057577</v>
      </c>
      <c r="I6727" s="25">
        <v>56.99</v>
      </c>
      <c r="J6727" s="379">
        <v>7.3482950368399145</v>
      </c>
    </row>
    <row r="6728" spans="1:10" x14ac:dyDescent="0.35">
      <c r="A6728" s="5">
        <v>6724</v>
      </c>
      <c r="B6728" s="5">
        <v>281</v>
      </c>
      <c r="C6728" s="5">
        <v>10</v>
      </c>
      <c r="D6728" s="379">
        <v>23.187777777777779</v>
      </c>
      <c r="E6728" s="25">
        <v>24.84</v>
      </c>
      <c r="F6728" s="379">
        <v>14.772491683090623</v>
      </c>
      <c r="G6728" s="25">
        <v>47.46</v>
      </c>
      <c r="H6728" s="379">
        <v>9.8107072639983866</v>
      </c>
      <c r="I6728" s="25">
        <v>64.14</v>
      </c>
      <c r="J6728" s="379">
        <v>7.4734336970218971</v>
      </c>
    </row>
    <row r="6729" spans="1:10" x14ac:dyDescent="0.35">
      <c r="A6729" s="5">
        <v>6725</v>
      </c>
      <c r="B6729" s="5">
        <v>281</v>
      </c>
      <c r="C6729" s="5">
        <v>10</v>
      </c>
      <c r="D6729" s="379">
        <v>24.858333333333334</v>
      </c>
      <c r="E6729" s="25">
        <v>24.84</v>
      </c>
      <c r="F6729" s="379">
        <v>16.034451146935353</v>
      </c>
      <c r="G6729" s="25">
        <v>47.85</v>
      </c>
      <c r="H6729" s="379">
        <v>16.03163708410144</v>
      </c>
      <c r="I6729" s="25">
        <v>65.400000000000006</v>
      </c>
      <c r="J6729" s="379">
        <v>7.9635192707671667</v>
      </c>
    </row>
    <row r="6730" spans="1:10" x14ac:dyDescent="0.35">
      <c r="A6730" s="5">
        <v>6726</v>
      </c>
      <c r="B6730" s="5">
        <v>281</v>
      </c>
      <c r="C6730" s="5">
        <v>10</v>
      </c>
      <c r="D6730" s="379">
        <v>28.022222222222226</v>
      </c>
      <c r="E6730" s="25">
        <v>25.74</v>
      </c>
      <c r="F6730" s="379">
        <v>15.579693432979891</v>
      </c>
      <c r="G6730" s="25">
        <v>50.32</v>
      </c>
      <c r="H6730" s="379">
        <v>15.251434757720062</v>
      </c>
      <c r="I6730" s="25">
        <v>66.06</v>
      </c>
      <c r="J6730" s="379">
        <v>7.5678562195246579</v>
      </c>
    </row>
    <row r="6731" spans="1:10" x14ac:dyDescent="0.35">
      <c r="A6731" s="5">
        <v>6727</v>
      </c>
      <c r="B6731" s="5">
        <v>281</v>
      </c>
      <c r="C6731" s="5">
        <v>10</v>
      </c>
      <c r="D6731" s="379">
        <v>29.157777777777778</v>
      </c>
      <c r="E6731" s="25">
        <v>28.37</v>
      </c>
      <c r="F6731" s="379">
        <v>20.607993170061548</v>
      </c>
      <c r="G6731" s="25">
        <v>58.63</v>
      </c>
      <c r="H6731" s="379">
        <v>15.946372629478654</v>
      </c>
      <c r="I6731" s="25">
        <v>72.19</v>
      </c>
      <c r="J6731" s="379">
        <v>7.6917394403617703</v>
      </c>
    </row>
    <row r="6732" spans="1:10" x14ac:dyDescent="0.35">
      <c r="A6732" s="5">
        <v>6728</v>
      </c>
      <c r="B6732" s="5">
        <v>281</v>
      </c>
      <c r="C6732" s="5">
        <v>10</v>
      </c>
      <c r="D6732" s="379">
        <v>32.106111111111119</v>
      </c>
      <c r="E6732" s="25">
        <v>35.869999999999997</v>
      </c>
      <c r="F6732" s="379">
        <v>19.271381443691979</v>
      </c>
      <c r="G6732" s="25">
        <v>58.63</v>
      </c>
      <c r="H6732" s="379">
        <v>17.440803462912758</v>
      </c>
      <c r="I6732" s="25">
        <v>72.19</v>
      </c>
      <c r="J6732" s="379">
        <v>7.3215884273800169</v>
      </c>
    </row>
    <row r="6733" spans="1:10" x14ac:dyDescent="0.35">
      <c r="A6733" s="5">
        <v>6729</v>
      </c>
      <c r="B6733" s="5">
        <v>281</v>
      </c>
      <c r="C6733" s="5">
        <v>10</v>
      </c>
      <c r="D6733" s="379">
        <v>32.495000000000005</v>
      </c>
      <c r="E6733" s="25">
        <v>35.869999999999997</v>
      </c>
      <c r="F6733" s="379">
        <v>18.52392590224251</v>
      </c>
      <c r="G6733" s="25">
        <v>58.63</v>
      </c>
      <c r="H6733" s="379">
        <v>11.813176012262355</v>
      </c>
      <c r="I6733" s="25">
        <v>72.19</v>
      </c>
      <c r="J6733" s="379">
        <v>3.9152025837045743</v>
      </c>
    </row>
    <row r="6734" spans="1:10" x14ac:dyDescent="0.35">
      <c r="A6734" s="5">
        <v>6730</v>
      </c>
      <c r="B6734" s="5">
        <v>281</v>
      </c>
      <c r="C6734" s="5">
        <v>10</v>
      </c>
      <c r="D6734" s="379">
        <v>24.775555555555552</v>
      </c>
      <c r="E6734" s="25">
        <v>35.869999999999997</v>
      </c>
      <c r="F6734" s="379">
        <v>19.648488628551249</v>
      </c>
      <c r="G6734" s="25">
        <v>58.63</v>
      </c>
      <c r="H6734" s="379">
        <v>10.959059976283974</v>
      </c>
      <c r="I6734" s="25">
        <v>72.19</v>
      </c>
      <c r="J6734" s="379">
        <v>7.1639766747945499</v>
      </c>
    </row>
    <row r="6735" spans="1:10" x14ac:dyDescent="0.35">
      <c r="A6735" s="5">
        <v>6731</v>
      </c>
      <c r="B6735" s="5">
        <v>281</v>
      </c>
      <c r="C6735" s="5">
        <v>10</v>
      </c>
      <c r="D6735" s="379">
        <v>17.982777777777773</v>
      </c>
      <c r="E6735" s="25">
        <v>35.869999999999997</v>
      </c>
      <c r="F6735" s="379">
        <v>19.052458954327612</v>
      </c>
      <c r="G6735" s="25">
        <v>58.63</v>
      </c>
      <c r="H6735" s="379">
        <v>15.706571568194398</v>
      </c>
      <c r="I6735" s="25">
        <v>72.19</v>
      </c>
      <c r="J6735" s="379">
        <v>6.5373567938064649</v>
      </c>
    </row>
    <row r="6736" spans="1:10" x14ac:dyDescent="0.35">
      <c r="A6736" s="5">
        <v>6732</v>
      </c>
      <c r="B6736" s="5">
        <v>281</v>
      </c>
      <c r="C6736" s="5">
        <v>10</v>
      </c>
      <c r="D6736" s="379">
        <v>13.022777777777776</v>
      </c>
      <c r="E6736" s="25">
        <v>35.869999999999997</v>
      </c>
      <c r="F6736" s="379">
        <v>19.151090111836552</v>
      </c>
      <c r="G6736" s="25">
        <v>58.63</v>
      </c>
      <c r="H6736" s="379">
        <v>16.174849669344265</v>
      </c>
      <c r="I6736" s="25">
        <v>68.05</v>
      </c>
      <c r="J6736" s="379">
        <v>7.277486214327447</v>
      </c>
    </row>
    <row r="6737" spans="1:10" x14ac:dyDescent="0.35">
      <c r="A6737" s="5">
        <v>6733</v>
      </c>
      <c r="B6737" s="5">
        <v>281</v>
      </c>
      <c r="C6737" s="5">
        <v>10</v>
      </c>
      <c r="D6737" s="379">
        <v>14.816111111111111</v>
      </c>
      <c r="E6737" s="25">
        <v>35.869999999999997</v>
      </c>
      <c r="F6737" s="379">
        <v>20.966092186113091</v>
      </c>
      <c r="G6737" s="25">
        <v>58.63</v>
      </c>
      <c r="H6737" s="379">
        <v>17.972571579337512</v>
      </c>
      <c r="I6737" s="25">
        <v>66.06</v>
      </c>
      <c r="J6737" s="379">
        <v>7.9895318959158299</v>
      </c>
    </row>
    <row r="6738" spans="1:10" x14ac:dyDescent="0.35">
      <c r="A6738" s="5">
        <v>6734</v>
      </c>
      <c r="B6738" s="5">
        <v>281</v>
      </c>
      <c r="C6738" s="5">
        <v>10</v>
      </c>
      <c r="D6738" s="379">
        <v>14.92</v>
      </c>
      <c r="E6738" s="25">
        <v>34.82</v>
      </c>
      <c r="F6738" s="379">
        <v>19.401911462357582</v>
      </c>
      <c r="G6738" s="25">
        <v>53.77</v>
      </c>
      <c r="H6738" s="379">
        <v>22.583522965645244</v>
      </c>
      <c r="I6738" s="25">
        <v>65.400000000000006</v>
      </c>
      <c r="J6738" s="379">
        <v>7.6707983918532303</v>
      </c>
    </row>
    <row r="6739" spans="1:10" x14ac:dyDescent="0.35">
      <c r="A6739" s="5">
        <v>6735</v>
      </c>
      <c r="B6739" s="5">
        <v>281</v>
      </c>
      <c r="C6739" s="5">
        <v>10</v>
      </c>
      <c r="D6739" s="379">
        <v>17.983888888888888</v>
      </c>
      <c r="E6739" s="25">
        <v>30.49</v>
      </c>
      <c r="F6739" s="379">
        <v>20.181896787384677</v>
      </c>
      <c r="G6739" s="25">
        <v>53.77</v>
      </c>
      <c r="H6739" s="379">
        <v>22.011242777918046</v>
      </c>
      <c r="I6739" s="25">
        <v>65.400000000000006</v>
      </c>
      <c r="J6739" s="379">
        <v>7.854738497571133</v>
      </c>
    </row>
    <row r="6740" spans="1:10" x14ac:dyDescent="0.35">
      <c r="A6740" s="5">
        <v>6736</v>
      </c>
      <c r="B6740" s="5">
        <v>281</v>
      </c>
      <c r="C6740" s="5">
        <v>10</v>
      </c>
      <c r="D6740" s="379">
        <v>26.854999999999997</v>
      </c>
      <c r="E6740" s="25">
        <v>30.91</v>
      </c>
      <c r="F6740" s="379">
        <v>24.299059713613591</v>
      </c>
      <c r="G6740" s="25">
        <v>53.77</v>
      </c>
      <c r="H6740" s="379">
        <v>22.591619374794629</v>
      </c>
      <c r="I6740" s="25">
        <v>66.06</v>
      </c>
      <c r="J6740" s="379">
        <v>13.287268244584236</v>
      </c>
    </row>
    <row r="6741" spans="1:10" x14ac:dyDescent="0.35">
      <c r="A6741" s="5">
        <v>6737</v>
      </c>
      <c r="B6741" s="5">
        <v>281</v>
      </c>
      <c r="C6741" s="5">
        <v>10</v>
      </c>
      <c r="D6741" s="379">
        <v>32.50611111111111</v>
      </c>
      <c r="E6741" s="25">
        <v>35.869999999999997</v>
      </c>
      <c r="F6741" s="379">
        <v>26.211588223318468</v>
      </c>
      <c r="G6741" s="25">
        <v>58.63</v>
      </c>
      <c r="H6741" s="379">
        <v>29.453733493950562</v>
      </c>
      <c r="I6741" s="25">
        <v>68.05</v>
      </c>
      <c r="J6741" s="379">
        <v>18.767593848753489</v>
      </c>
    </row>
    <row r="6742" spans="1:10" x14ac:dyDescent="0.35">
      <c r="A6742" s="5">
        <v>6738</v>
      </c>
      <c r="B6742" s="5">
        <v>281</v>
      </c>
      <c r="C6742" s="5">
        <v>10</v>
      </c>
      <c r="D6742" s="379">
        <v>39.661111111111111</v>
      </c>
      <c r="E6742" s="25">
        <v>35.869999999999997</v>
      </c>
      <c r="F6742" s="379">
        <v>25.805120986026076</v>
      </c>
      <c r="G6742" s="25">
        <v>58.63</v>
      </c>
      <c r="H6742" s="379">
        <v>30.12611293288872</v>
      </c>
      <c r="I6742" s="25">
        <v>72.19</v>
      </c>
      <c r="J6742" s="379">
        <v>16.421343898874177</v>
      </c>
    </row>
    <row r="6743" spans="1:10" x14ac:dyDescent="0.35">
      <c r="A6743" s="5">
        <v>6739</v>
      </c>
      <c r="B6743" s="5">
        <v>281</v>
      </c>
      <c r="C6743" s="5">
        <v>10</v>
      </c>
      <c r="D6743" s="379">
        <v>42.589999999999996</v>
      </c>
      <c r="E6743" s="25">
        <v>35.869999999999997</v>
      </c>
      <c r="F6743" s="379">
        <v>25.780846723198636</v>
      </c>
      <c r="G6743" s="25">
        <v>58.63</v>
      </c>
      <c r="H6743" s="379">
        <v>30.394661230394782</v>
      </c>
      <c r="I6743" s="25">
        <v>74.349999999999994</v>
      </c>
      <c r="J6743" s="379">
        <v>16.41883952282166</v>
      </c>
    </row>
    <row r="6744" spans="1:10" x14ac:dyDescent="0.35">
      <c r="A6744" s="5">
        <v>6740</v>
      </c>
      <c r="B6744" s="5">
        <v>281</v>
      </c>
      <c r="C6744" s="5">
        <v>10</v>
      </c>
      <c r="D6744" s="379">
        <v>36.906111111111109</v>
      </c>
      <c r="E6744" s="25">
        <v>35.869999999999997</v>
      </c>
      <c r="F6744" s="379">
        <v>26.452270980431322</v>
      </c>
      <c r="G6744" s="25">
        <v>58.63</v>
      </c>
      <c r="H6744" s="379">
        <v>29.94952442897419</v>
      </c>
      <c r="I6744" s="25">
        <v>72.19</v>
      </c>
      <c r="J6744" s="379">
        <v>16.144406357249977</v>
      </c>
    </row>
    <row r="6745" spans="1:10" x14ac:dyDescent="0.35">
      <c r="A6745" s="5">
        <v>6741</v>
      </c>
      <c r="B6745" s="5">
        <v>281</v>
      </c>
      <c r="C6745" s="5">
        <v>10</v>
      </c>
      <c r="D6745" s="379">
        <v>33.666111111111114</v>
      </c>
      <c r="E6745" s="25">
        <v>28.12</v>
      </c>
      <c r="F6745" s="379">
        <v>26.654624399943025</v>
      </c>
      <c r="G6745" s="25">
        <v>54.44</v>
      </c>
      <c r="H6745" s="379">
        <v>30.243348519063883</v>
      </c>
      <c r="I6745" s="25">
        <v>68.05</v>
      </c>
      <c r="J6745" s="379">
        <v>16.926871645969229</v>
      </c>
    </row>
    <row r="6746" spans="1:10" x14ac:dyDescent="0.35">
      <c r="A6746" s="5">
        <v>6742</v>
      </c>
      <c r="B6746" s="5">
        <v>281</v>
      </c>
      <c r="C6746" s="5">
        <v>10</v>
      </c>
      <c r="D6746" s="379">
        <v>34.24</v>
      </c>
      <c r="E6746" s="25">
        <v>27.3</v>
      </c>
      <c r="F6746" s="379">
        <v>25.751403012064387</v>
      </c>
      <c r="G6746" s="25">
        <v>50.32</v>
      </c>
      <c r="H6746" s="379">
        <v>30.21422408512834</v>
      </c>
      <c r="I6746" s="25">
        <v>68.05</v>
      </c>
      <c r="J6746" s="379">
        <v>19.213304093078651</v>
      </c>
    </row>
    <row r="6747" spans="1:10" x14ac:dyDescent="0.35">
      <c r="A6747" s="5">
        <v>6743</v>
      </c>
      <c r="B6747" s="5">
        <v>281</v>
      </c>
      <c r="C6747" s="5">
        <v>10</v>
      </c>
      <c r="D6747" s="379">
        <v>36.818888888888885</v>
      </c>
      <c r="E6747" s="25">
        <v>25.29</v>
      </c>
      <c r="F6747" s="379">
        <v>24.391275227435806</v>
      </c>
      <c r="G6747" s="25">
        <v>49.82</v>
      </c>
      <c r="H6747" s="379">
        <v>30.382941833918313</v>
      </c>
      <c r="I6747" s="25">
        <v>66.06</v>
      </c>
      <c r="J6747" s="379">
        <v>19.658842308215718</v>
      </c>
    </row>
    <row r="6748" spans="1:10" x14ac:dyDescent="0.35">
      <c r="A6748" s="5">
        <v>6744</v>
      </c>
      <c r="B6748" s="5">
        <v>281</v>
      </c>
      <c r="C6748" s="5">
        <v>10</v>
      </c>
      <c r="D6748" s="379">
        <v>38.356111111111112</v>
      </c>
      <c r="E6748" s="25">
        <v>25.29</v>
      </c>
      <c r="F6748" s="379">
        <v>24.01446858143035</v>
      </c>
      <c r="G6748" s="25">
        <v>49.82</v>
      </c>
      <c r="H6748" s="379">
        <v>30.079101683995802</v>
      </c>
      <c r="I6748" s="25">
        <v>66.06</v>
      </c>
      <c r="J6748" s="379">
        <v>16.728840239250786</v>
      </c>
    </row>
    <row r="6749" spans="1:10" x14ac:dyDescent="0.35">
      <c r="A6749" s="5">
        <v>6745</v>
      </c>
      <c r="B6749" s="5">
        <v>282</v>
      </c>
      <c r="C6749" s="5">
        <v>10</v>
      </c>
      <c r="D6749" s="379">
        <v>38.048333333333332</v>
      </c>
      <c r="E6749" s="25">
        <v>24.84</v>
      </c>
      <c r="F6749" s="379">
        <v>24.030640764612553</v>
      </c>
      <c r="G6749" s="25">
        <v>47.46</v>
      </c>
      <c r="H6749" s="379">
        <v>30.024899119514231</v>
      </c>
      <c r="I6749" s="25">
        <v>64.14</v>
      </c>
      <c r="J6749" s="379">
        <v>17.567645508397209</v>
      </c>
    </row>
    <row r="6750" spans="1:10" x14ac:dyDescent="0.35">
      <c r="A6750" s="5">
        <v>6746</v>
      </c>
      <c r="B6750" s="5">
        <v>282</v>
      </c>
      <c r="C6750" s="5">
        <v>10</v>
      </c>
      <c r="D6750" s="379">
        <v>36.022777777777776</v>
      </c>
      <c r="E6750" s="25">
        <v>24.84</v>
      </c>
      <c r="F6750" s="379">
        <v>23.803567224106136</v>
      </c>
      <c r="G6750" s="25">
        <v>47.46</v>
      </c>
      <c r="H6750" s="379">
        <v>30.024899119514231</v>
      </c>
      <c r="I6750" s="25">
        <v>64.14</v>
      </c>
      <c r="J6750" s="379">
        <v>17.237945745167632</v>
      </c>
    </row>
    <row r="6751" spans="1:10" x14ac:dyDescent="0.35">
      <c r="A6751" s="5">
        <v>6747</v>
      </c>
      <c r="B6751" s="5">
        <v>282</v>
      </c>
      <c r="C6751" s="5">
        <v>10</v>
      </c>
      <c r="D6751" s="379">
        <v>34.171666666666667</v>
      </c>
      <c r="E6751" s="25">
        <v>24.84</v>
      </c>
      <c r="F6751" s="379">
        <v>23.77803299774871</v>
      </c>
      <c r="G6751" s="25">
        <v>47.46</v>
      </c>
      <c r="H6751" s="379">
        <v>30.030094640217492</v>
      </c>
      <c r="I6751" s="25">
        <v>64.14</v>
      </c>
      <c r="J6751" s="379">
        <v>17.944938012734912</v>
      </c>
    </row>
    <row r="6752" spans="1:10" x14ac:dyDescent="0.35">
      <c r="A6752" s="5">
        <v>6748</v>
      </c>
      <c r="B6752" s="5">
        <v>282</v>
      </c>
      <c r="C6752" s="5">
        <v>10</v>
      </c>
      <c r="D6752" s="379">
        <v>31.734444444444442</v>
      </c>
      <c r="E6752" s="25">
        <v>24.84</v>
      </c>
      <c r="F6752" s="379">
        <v>23.856562211254065</v>
      </c>
      <c r="G6752" s="25">
        <v>47.46</v>
      </c>
      <c r="H6752" s="379">
        <v>29.462525212685311</v>
      </c>
      <c r="I6752" s="25">
        <v>64.14</v>
      </c>
      <c r="J6752" s="379">
        <v>17.86824787637206</v>
      </c>
    </row>
    <row r="6753" spans="1:10" x14ac:dyDescent="0.35">
      <c r="A6753" s="5">
        <v>6749</v>
      </c>
      <c r="B6753" s="5">
        <v>282</v>
      </c>
      <c r="C6753" s="5">
        <v>10</v>
      </c>
      <c r="D6753" s="379">
        <v>29.312777777777775</v>
      </c>
      <c r="E6753" s="25">
        <v>24.84</v>
      </c>
      <c r="F6753" s="379">
        <v>23.975416265217692</v>
      </c>
      <c r="G6753" s="25">
        <v>47.46</v>
      </c>
      <c r="H6753" s="379">
        <v>28.705378592735773</v>
      </c>
      <c r="I6753" s="25">
        <v>64.14</v>
      </c>
      <c r="J6753" s="379">
        <v>17.623115365273325</v>
      </c>
    </row>
    <row r="6754" spans="1:10" x14ac:dyDescent="0.35">
      <c r="A6754" s="5">
        <v>6750</v>
      </c>
      <c r="B6754" s="5">
        <v>282</v>
      </c>
      <c r="C6754" s="5">
        <v>10</v>
      </c>
      <c r="D6754" s="379">
        <v>30.915000000000003</v>
      </c>
      <c r="E6754" s="25">
        <v>24.84</v>
      </c>
      <c r="F6754" s="379">
        <v>24.532059912154985</v>
      </c>
      <c r="G6754" s="25">
        <v>47.46</v>
      </c>
      <c r="H6754" s="379">
        <v>30.463166570969079</v>
      </c>
      <c r="I6754" s="25">
        <v>64.14</v>
      </c>
      <c r="J6754" s="379">
        <v>19.706002434394815</v>
      </c>
    </row>
    <row r="6755" spans="1:10" x14ac:dyDescent="0.35">
      <c r="A6755" s="5">
        <v>6751</v>
      </c>
      <c r="B6755" s="5">
        <v>282</v>
      </c>
      <c r="C6755" s="5">
        <v>10</v>
      </c>
      <c r="D6755" s="379">
        <v>39.32</v>
      </c>
      <c r="E6755" s="25">
        <v>25.59</v>
      </c>
      <c r="F6755" s="379">
        <v>25.382909053204237</v>
      </c>
      <c r="G6755" s="25">
        <v>47.93</v>
      </c>
      <c r="H6755" s="379">
        <v>30.683360406073007</v>
      </c>
      <c r="I6755" s="25">
        <v>66.06</v>
      </c>
      <c r="J6755" s="379">
        <v>19.717908111834422</v>
      </c>
    </row>
    <row r="6756" spans="1:10" x14ac:dyDescent="0.35">
      <c r="A6756" s="5">
        <v>6752</v>
      </c>
      <c r="B6756" s="5">
        <v>282</v>
      </c>
      <c r="C6756" s="5">
        <v>10</v>
      </c>
      <c r="D6756" s="379">
        <v>39.230555555555547</v>
      </c>
      <c r="E6756" s="25">
        <v>26.51</v>
      </c>
      <c r="F6756" s="379">
        <v>25.328268028382567</v>
      </c>
      <c r="G6756" s="25">
        <v>49.82</v>
      </c>
      <c r="H6756" s="379">
        <v>28.598799181792138</v>
      </c>
      <c r="I6756" s="25">
        <v>66.06</v>
      </c>
      <c r="J6756" s="379">
        <v>17.807198280179382</v>
      </c>
    </row>
    <row r="6757" spans="1:10" x14ac:dyDescent="0.35">
      <c r="A6757" s="5">
        <v>6753</v>
      </c>
      <c r="B6757" s="5">
        <v>282</v>
      </c>
      <c r="C6757" s="5">
        <v>10</v>
      </c>
      <c r="D6757" s="379">
        <v>31.572777777777773</v>
      </c>
      <c r="E6757" s="25">
        <v>27.3</v>
      </c>
      <c r="F6757" s="379">
        <v>24.951744039083845</v>
      </c>
      <c r="G6757" s="25">
        <v>49.82</v>
      </c>
      <c r="H6757" s="379">
        <v>22.338721267315886</v>
      </c>
      <c r="I6757" s="25">
        <v>68.05</v>
      </c>
      <c r="J6757" s="379">
        <v>11.210205824994949</v>
      </c>
    </row>
    <row r="6758" spans="1:10" x14ac:dyDescent="0.35">
      <c r="A6758" s="5">
        <v>6754</v>
      </c>
      <c r="B6758" s="5">
        <v>282</v>
      </c>
      <c r="C6758" s="5">
        <v>10</v>
      </c>
      <c r="D6758" s="379">
        <v>25.293333333333333</v>
      </c>
      <c r="E6758" s="25">
        <v>26.51</v>
      </c>
      <c r="F6758" s="379">
        <v>24.819654156675945</v>
      </c>
      <c r="G6758" s="25">
        <v>49.82</v>
      </c>
      <c r="H6758" s="379">
        <v>25.055805601083989</v>
      </c>
      <c r="I6758" s="25">
        <v>68.05</v>
      </c>
      <c r="J6758" s="379">
        <v>4.3938706021109049</v>
      </c>
    </row>
    <row r="6759" spans="1:10" x14ac:dyDescent="0.35">
      <c r="A6759" s="5">
        <v>6755</v>
      </c>
      <c r="B6759" s="5">
        <v>282</v>
      </c>
      <c r="C6759" s="5">
        <v>10</v>
      </c>
      <c r="D6759" s="379">
        <v>21.651111111111106</v>
      </c>
      <c r="E6759" s="25">
        <v>25.74</v>
      </c>
      <c r="F6759" s="379">
        <v>21.918095169701935</v>
      </c>
      <c r="G6759" s="25">
        <v>49.82</v>
      </c>
      <c r="H6759" s="379">
        <v>20.589177312617732</v>
      </c>
      <c r="I6759" s="25">
        <v>64.14</v>
      </c>
      <c r="J6759" s="379">
        <v>6.3722590841052043</v>
      </c>
    </row>
    <row r="6760" spans="1:10" x14ac:dyDescent="0.35">
      <c r="A6760" s="5">
        <v>6756</v>
      </c>
      <c r="B6760" s="5">
        <v>282</v>
      </c>
      <c r="C6760" s="5">
        <v>10</v>
      </c>
      <c r="D6760" s="379">
        <v>17.676666666666666</v>
      </c>
      <c r="E6760" s="25">
        <v>25.74</v>
      </c>
      <c r="F6760" s="379">
        <v>21.332638762795469</v>
      </c>
      <c r="G6760" s="25">
        <v>47.93</v>
      </c>
      <c r="H6760" s="379">
        <v>11.29834983198703</v>
      </c>
      <c r="I6760" s="25">
        <v>63.5</v>
      </c>
      <c r="J6760" s="379">
        <v>7.2628911964428422</v>
      </c>
    </row>
    <row r="6761" spans="1:10" x14ac:dyDescent="0.35">
      <c r="A6761" s="5">
        <v>6757</v>
      </c>
      <c r="B6761" s="5">
        <v>282</v>
      </c>
      <c r="C6761" s="5">
        <v>10</v>
      </c>
      <c r="D6761" s="379">
        <v>14.827222222222222</v>
      </c>
      <c r="E6761" s="25">
        <v>24.84</v>
      </c>
      <c r="F6761" s="379">
        <v>19.56075575271662</v>
      </c>
      <c r="G6761" s="25">
        <v>47.67</v>
      </c>
      <c r="H6761" s="379">
        <v>5.9664805031241572</v>
      </c>
      <c r="I6761" s="25">
        <v>62.27</v>
      </c>
      <c r="J6761" s="379">
        <v>6.6175354362910257</v>
      </c>
    </row>
    <row r="6762" spans="1:10" x14ac:dyDescent="0.35">
      <c r="A6762" s="5">
        <v>6758</v>
      </c>
      <c r="B6762" s="5">
        <v>282</v>
      </c>
      <c r="C6762" s="5">
        <v>10</v>
      </c>
      <c r="D6762" s="379">
        <v>16.644444444444446</v>
      </c>
      <c r="E6762" s="25">
        <v>24.84</v>
      </c>
      <c r="F6762" s="379">
        <v>21.025071539348968</v>
      </c>
      <c r="G6762" s="25">
        <v>47.46</v>
      </c>
      <c r="H6762" s="379">
        <v>4.799693804694658</v>
      </c>
      <c r="I6762" s="25">
        <v>57.84</v>
      </c>
      <c r="J6762" s="379">
        <v>6.9191074449721786</v>
      </c>
    </row>
    <row r="6763" spans="1:10" x14ac:dyDescent="0.35">
      <c r="A6763" s="5">
        <v>6759</v>
      </c>
      <c r="B6763" s="5">
        <v>282</v>
      </c>
      <c r="C6763" s="5">
        <v>10</v>
      </c>
      <c r="D6763" s="379">
        <v>21.049444444444443</v>
      </c>
      <c r="E6763" s="25">
        <v>24.84</v>
      </c>
      <c r="F6763" s="379">
        <v>22.433314926003241</v>
      </c>
      <c r="G6763" s="25">
        <v>47.85</v>
      </c>
      <c r="H6763" s="379">
        <v>4.8654225300110898</v>
      </c>
      <c r="I6763" s="25">
        <v>57.84</v>
      </c>
      <c r="J6763" s="379">
        <v>6.7692458989933346</v>
      </c>
    </row>
    <row r="6764" spans="1:10" x14ac:dyDescent="0.35">
      <c r="A6764" s="5">
        <v>6760</v>
      </c>
      <c r="B6764" s="5">
        <v>282</v>
      </c>
      <c r="C6764" s="5">
        <v>10</v>
      </c>
      <c r="D6764" s="379">
        <v>32.643333333333331</v>
      </c>
      <c r="E6764" s="25">
        <v>24.84</v>
      </c>
      <c r="F6764" s="379">
        <v>23.84814772510353</v>
      </c>
      <c r="G6764" s="25">
        <v>47.85</v>
      </c>
      <c r="H6764" s="379">
        <v>22.226222391971699</v>
      </c>
      <c r="I6764" s="25">
        <v>62.27</v>
      </c>
      <c r="J6764" s="379">
        <v>7.0702970710673263</v>
      </c>
    </row>
    <row r="6765" spans="1:10" x14ac:dyDescent="0.35">
      <c r="A6765" s="5">
        <v>6761</v>
      </c>
      <c r="B6765" s="5">
        <v>282</v>
      </c>
      <c r="C6765" s="5">
        <v>10</v>
      </c>
      <c r="D6765" s="379">
        <v>41.504999999999995</v>
      </c>
      <c r="E6765" s="25">
        <v>26.51</v>
      </c>
      <c r="F6765" s="379">
        <v>26.421872700605231</v>
      </c>
      <c r="G6765" s="25">
        <v>47.85</v>
      </c>
      <c r="H6765" s="379">
        <v>27.477688706765058</v>
      </c>
      <c r="I6765" s="25">
        <v>63.5</v>
      </c>
      <c r="J6765" s="379">
        <v>7.9877485615890063</v>
      </c>
    </row>
    <row r="6766" spans="1:10" x14ac:dyDescent="0.35">
      <c r="A6766" s="5">
        <v>6762</v>
      </c>
      <c r="B6766" s="5">
        <v>282</v>
      </c>
      <c r="C6766" s="5">
        <v>10</v>
      </c>
      <c r="D6766" s="379">
        <v>46.558333333333337</v>
      </c>
      <c r="E6766" s="25">
        <v>27.3</v>
      </c>
      <c r="F6766" s="379">
        <v>25.427739681031895</v>
      </c>
      <c r="G6766" s="25">
        <v>49.82</v>
      </c>
      <c r="H6766" s="379">
        <v>29.869952313872204</v>
      </c>
      <c r="I6766" s="25">
        <v>66.06</v>
      </c>
      <c r="J6766" s="379">
        <v>8.2345328489349203</v>
      </c>
    </row>
    <row r="6767" spans="1:10" x14ac:dyDescent="0.35">
      <c r="A6767" s="5">
        <v>6763</v>
      </c>
      <c r="B6767" s="5">
        <v>282</v>
      </c>
      <c r="C6767" s="5">
        <v>10</v>
      </c>
      <c r="D6767" s="379">
        <v>52.395000000000003</v>
      </c>
      <c r="E6767" s="25">
        <v>28.11</v>
      </c>
      <c r="F6767" s="379">
        <v>26.074914391459405</v>
      </c>
      <c r="G6767" s="25">
        <v>52.87</v>
      </c>
      <c r="H6767" s="379">
        <v>28.695478730302064</v>
      </c>
      <c r="I6767" s="25">
        <v>68.05</v>
      </c>
      <c r="J6767" s="379">
        <v>8.0900503814399585</v>
      </c>
    </row>
    <row r="6768" spans="1:10" x14ac:dyDescent="0.35">
      <c r="A6768" s="5">
        <v>6764</v>
      </c>
      <c r="B6768" s="5">
        <v>282</v>
      </c>
      <c r="C6768" s="5">
        <v>10</v>
      </c>
      <c r="D6768" s="379">
        <v>38.343333333333334</v>
      </c>
      <c r="E6768" s="25">
        <v>27.3</v>
      </c>
      <c r="F6768" s="379">
        <v>26.595694981131423</v>
      </c>
      <c r="G6768" s="25">
        <v>49.82</v>
      </c>
      <c r="H6768" s="379">
        <v>28.807984894495899</v>
      </c>
      <c r="I6768" s="25">
        <v>66.73</v>
      </c>
      <c r="J6768" s="379">
        <v>7.8876695820344542</v>
      </c>
    </row>
    <row r="6769" spans="1:10" x14ac:dyDescent="0.35">
      <c r="A6769" s="5">
        <v>6765</v>
      </c>
      <c r="B6769" s="5">
        <v>282</v>
      </c>
      <c r="C6769" s="5">
        <v>10</v>
      </c>
      <c r="D6769" s="379">
        <v>32.185000000000002</v>
      </c>
      <c r="E6769" s="25">
        <v>26.5</v>
      </c>
      <c r="F6769" s="379">
        <v>26.751290609954328</v>
      </c>
      <c r="G6769" s="25">
        <v>47.93</v>
      </c>
      <c r="H6769" s="379">
        <v>29.333162341251203</v>
      </c>
      <c r="I6769" s="25">
        <v>64.14</v>
      </c>
      <c r="J6769" s="379">
        <v>7.886780623951446</v>
      </c>
    </row>
    <row r="6770" spans="1:10" x14ac:dyDescent="0.35">
      <c r="A6770" s="5">
        <v>6766</v>
      </c>
      <c r="B6770" s="5">
        <v>282</v>
      </c>
      <c r="C6770" s="5">
        <v>10</v>
      </c>
      <c r="D6770" s="379">
        <v>30.780000000000005</v>
      </c>
      <c r="E6770" s="25">
        <v>25.29</v>
      </c>
      <c r="F6770" s="379">
        <v>25.633273365338809</v>
      </c>
      <c r="G6770" s="25">
        <v>47.85</v>
      </c>
      <c r="H6770" s="379">
        <v>30.089252739664232</v>
      </c>
      <c r="I6770" s="25">
        <v>66.06</v>
      </c>
      <c r="J6770" s="379">
        <v>7.5928929105048661</v>
      </c>
    </row>
    <row r="6771" spans="1:10" x14ac:dyDescent="0.35">
      <c r="A6771" s="5">
        <v>6767</v>
      </c>
      <c r="B6771" s="5">
        <v>282</v>
      </c>
      <c r="C6771" s="5">
        <v>10</v>
      </c>
      <c r="D6771" s="379">
        <v>25.949444444444445</v>
      </c>
      <c r="E6771" s="25">
        <v>24.84</v>
      </c>
      <c r="F6771" s="379">
        <v>25.39925080286627</v>
      </c>
      <c r="G6771" s="25">
        <v>47.85</v>
      </c>
      <c r="H6771" s="379">
        <v>30.669652604148684</v>
      </c>
      <c r="I6771" s="25">
        <v>66.06</v>
      </c>
      <c r="J6771" s="379">
        <v>7.7346703487340323</v>
      </c>
    </row>
    <row r="6772" spans="1:10" x14ac:dyDescent="0.35">
      <c r="A6772" s="5">
        <v>6768</v>
      </c>
      <c r="B6772" s="5">
        <v>282</v>
      </c>
      <c r="C6772" s="5">
        <v>10</v>
      </c>
      <c r="D6772" s="379">
        <v>25.262777777777778</v>
      </c>
      <c r="E6772" s="25">
        <v>24.84</v>
      </c>
      <c r="F6772" s="379">
        <v>24.088201134125601</v>
      </c>
      <c r="G6772" s="25">
        <v>47.46</v>
      </c>
      <c r="H6772" s="379">
        <v>30.067507045005584</v>
      </c>
      <c r="I6772" s="25">
        <v>64.14</v>
      </c>
      <c r="J6772" s="379">
        <v>8.1046892789826686</v>
      </c>
    </row>
    <row r="6773" spans="1:10" x14ac:dyDescent="0.35">
      <c r="A6773" s="5">
        <v>6769</v>
      </c>
      <c r="B6773" s="5">
        <v>283</v>
      </c>
      <c r="C6773" s="5">
        <v>10</v>
      </c>
      <c r="D6773" s="379">
        <v>25.30777777777778</v>
      </c>
      <c r="E6773" s="25">
        <v>24.84</v>
      </c>
      <c r="F6773" s="379">
        <v>23.910645834671627</v>
      </c>
      <c r="G6773" s="25">
        <v>42.35</v>
      </c>
      <c r="H6773" s="379">
        <v>29.999199478921245</v>
      </c>
      <c r="I6773" s="25">
        <v>54.32</v>
      </c>
      <c r="J6773" s="379">
        <v>8.1196607310641244</v>
      </c>
    </row>
    <row r="6774" spans="1:10" x14ac:dyDescent="0.35">
      <c r="A6774" s="5">
        <v>6770</v>
      </c>
      <c r="B6774" s="5">
        <v>283</v>
      </c>
      <c r="C6774" s="5">
        <v>10</v>
      </c>
      <c r="D6774" s="379">
        <v>24.346666666666664</v>
      </c>
      <c r="E6774" s="25">
        <v>24.84</v>
      </c>
      <c r="F6774" s="379">
        <v>23.671696776928265</v>
      </c>
      <c r="G6774" s="25">
        <v>42.29</v>
      </c>
      <c r="H6774" s="379">
        <v>29.725097925410466</v>
      </c>
      <c r="I6774" s="25">
        <v>52.73</v>
      </c>
      <c r="J6774" s="379">
        <v>8.1907731511028974</v>
      </c>
    </row>
    <row r="6775" spans="1:10" x14ac:dyDescent="0.35">
      <c r="A6775" s="5">
        <v>6771</v>
      </c>
      <c r="B6775" s="5">
        <v>283</v>
      </c>
      <c r="C6775" s="5">
        <v>10</v>
      </c>
      <c r="D6775" s="379">
        <v>22.293333333333333</v>
      </c>
      <c r="E6775" s="25">
        <v>24.84</v>
      </c>
      <c r="F6775" s="379">
        <v>23.491172271840639</v>
      </c>
      <c r="G6775" s="25">
        <v>42.29</v>
      </c>
      <c r="H6775" s="379">
        <v>29.654485791519058</v>
      </c>
      <c r="I6775" s="25">
        <v>49.36</v>
      </c>
      <c r="J6775" s="379">
        <v>8.235031894937185</v>
      </c>
    </row>
    <row r="6776" spans="1:10" x14ac:dyDescent="0.35">
      <c r="A6776" s="5">
        <v>6772</v>
      </c>
      <c r="B6776" s="5">
        <v>283</v>
      </c>
      <c r="C6776" s="5">
        <v>10</v>
      </c>
      <c r="D6776" s="379">
        <v>24.963333333333335</v>
      </c>
      <c r="E6776" s="25">
        <v>24.84</v>
      </c>
      <c r="F6776" s="379">
        <v>24.397886596163985</v>
      </c>
      <c r="G6776" s="25">
        <v>42.29</v>
      </c>
      <c r="H6776" s="379">
        <v>29.585003540997327</v>
      </c>
      <c r="I6776" s="25">
        <v>49.36</v>
      </c>
      <c r="J6776" s="379">
        <v>8.2009816377850324</v>
      </c>
    </row>
    <row r="6777" spans="1:10" x14ac:dyDescent="0.35">
      <c r="A6777" s="5">
        <v>6773</v>
      </c>
      <c r="B6777" s="5">
        <v>283</v>
      </c>
      <c r="C6777" s="5">
        <v>10</v>
      </c>
      <c r="D6777" s="379">
        <v>31.63111111111111</v>
      </c>
      <c r="E6777" s="25">
        <v>24.84</v>
      </c>
      <c r="F6777" s="379">
        <v>24.173386632096111</v>
      </c>
      <c r="G6777" s="25">
        <v>42.29</v>
      </c>
      <c r="H6777" s="379">
        <v>28.913944985503516</v>
      </c>
      <c r="I6777" s="25">
        <v>52.73</v>
      </c>
      <c r="J6777" s="379">
        <v>8.1395471076562007</v>
      </c>
    </row>
    <row r="6778" spans="1:10" x14ac:dyDescent="0.35">
      <c r="A6778" s="5">
        <v>6774</v>
      </c>
      <c r="B6778" s="5">
        <v>283</v>
      </c>
      <c r="C6778" s="5">
        <v>10</v>
      </c>
      <c r="D6778" s="379">
        <v>39.763333333333328</v>
      </c>
      <c r="E6778" s="25">
        <v>24.84</v>
      </c>
      <c r="F6778" s="379">
        <v>24.065424785113279</v>
      </c>
      <c r="G6778" s="25">
        <v>42.29</v>
      </c>
      <c r="H6778" s="379">
        <v>30.497408878623652</v>
      </c>
      <c r="I6778" s="25">
        <v>52.73</v>
      </c>
      <c r="J6778" s="379">
        <v>8.585938999953175</v>
      </c>
    </row>
    <row r="6779" spans="1:10" x14ac:dyDescent="0.35">
      <c r="A6779" s="5">
        <v>6775</v>
      </c>
      <c r="B6779" s="5">
        <v>283</v>
      </c>
      <c r="C6779" s="5">
        <v>10</v>
      </c>
      <c r="D6779" s="379">
        <v>52.579444444444441</v>
      </c>
      <c r="E6779" s="25">
        <v>24.84</v>
      </c>
      <c r="F6779" s="379">
        <v>25.106748861650949</v>
      </c>
      <c r="G6779" s="25">
        <v>42.35</v>
      </c>
      <c r="H6779" s="379">
        <v>29.775938069200635</v>
      </c>
      <c r="I6779" s="25">
        <v>52.73</v>
      </c>
      <c r="J6779" s="379">
        <v>8.0713436683082715</v>
      </c>
    </row>
    <row r="6780" spans="1:10" x14ac:dyDescent="0.35">
      <c r="A6780" s="5">
        <v>6776</v>
      </c>
      <c r="B6780" s="5">
        <v>283</v>
      </c>
      <c r="C6780" s="5">
        <v>10</v>
      </c>
      <c r="D6780" s="379">
        <v>54.373888888888899</v>
      </c>
      <c r="E6780" s="25">
        <v>24.84</v>
      </c>
      <c r="F6780" s="379">
        <v>25.44080085897702</v>
      </c>
      <c r="G6780" s="25">
        <v>42.71</v>
      </c>
      <c r="H6780" s="379">
        <v>29.455070810260523</v>
      </c>
      <c r="I6780" s="25">
        <v>54.32</v>
      </c>
      <c r="J6780" s="379">
        <v>7.7674536915864802</v>
      </c>
    </row>
    <row r="6781" spans="1:10" x14ac:dyDescent="0.35">
      <c r="A6781" s="5">
        <v>6777</v>
      </c>
      <c r="B6781" s="5">
        <v>283</v>
      </c>
      <c r="C6781" s="5">
        <v>10</v>
      </c>
      <c r="D6781" s="379">
        <v>50.736111111111114</v>
      </c>
      <c r="E6781" s="25">
        <v>24.84</v>
      </c>
      <c r="F6781" s="379">
        <v>25.124412148439287</v>
      </c>
      <c r="G6781" s="25">
        <v>43.56</v>
      </c>
      <c r="H6781" s="379">
        <v>27.775163315436949</v>
      </c>
      <c r="I6781" s="25">
        <v>54.32</v>
      </c>
      <c r="J6781" s="379">
        <v>7.5928929105048661</v>
      </c>
    </row>
    <row r="6782" spans="1:10" x14ac:dyDescent="0.35">
      <c r="A6782" s="5">
        <v>6778</v>
      </c>
      <c r="B6782" s="5">
        <v>283</v>
      </c>
      <c r="C6782" s="5">
        <v>10</v>
      </c>
      <c r="D6782" s="379">
        <v>43.434999999999995</v>
      </c>
      <c r="E6782" s="25">
        <v>24.84</v>
      </c>
      <c r="F6782" s="379">
        <v>8.7840153522744338</v>
      </c>
      <c r="G6782" s="25">
        <v>43.56</v>
      </c>
      <c r="H6782" s="379">
        <v>6.9468701294439601</v>
      </c>
      <c r="I6782" s="25">
        <v>51.39</v>
      </c>
      <c r="J6782" s="379">
        <v>4.0038706021109043</v>
      </c>
    </row>
    <row r="6783" spans="1:10" x14ac:dyDescent="0.35">
      <c r="A6783" s="5">
        <v>6779</v>
      </c>
      <c r="B6783" s="5">
        <v>283</v>
      </c>
      <c r="C6783" s="5">
        <v>10</v>
      </c>
      <c r="D6783" s="379">
        <v>38.614444444444445</v>
      </c>
      <c r="E6783" s="25">
        <v>24.84</v>
      </c>
      <c r="F6783" s="379">
        <v>8.1174834595959577</v>
      </c>
      <c r="G6783" s="25">
        <v>43.56</v>
      </c>
      <c r="H6783" s="379">
        <v>5.9369587038961313</v>
      </c>
      <c r="I6783" s="25">
        <v>48.86</v>
      </c>
      <c r="J6783" s="379">
        <v>2.2502191674475251</v>
      </c>
    </row>
    <row r="6784" spans="1:10" x14ac:dyDescent="0.35">
      <c r="A6784" s="5">
        <v>6780</v>
      </c>
      <c r="B6784" s="5">
        <v>283</v>
      </c>
      <c r="C6784" s="5">
        <v>10</v>
      </c>
      <c r="D6784" s="379">
        <v>34.195555555555558</v>
      </c>
      <c r="E6784" s="25">
        <v>24.84</v>
      </c>
      <c r="F6784" s="379">
        <v>0.47222222222222221</v>
      </c>
      <c r="G6784" s="25">
        <v>42.71</v>
      </c>
      <c r="H6784" s="379">
        <v>4.799693804694658</v>
      </c>
      <c r="I6784" s="25">
        <v>48.86</v>
      </c>
      <c r="J6784" s="379">
        <v>4.4699670195619055</v>
      </c>
    </row>
    <row r="6785" spans="1:10" x14ac:dyDescent="0.35">
      <c r="A6785" s="5">
        <v>6781</v>
      </c>
      <c r="B6785" s="5">
        <v>283</v>
      </c>
      <c r="C6785" s="5">
        <v>10</v>
      </c>
      <c r="D6785" s="379">
        <v>36.24</v>
      </c>
      <c r="E6785" s="25">
        <v>24.84</v>
      </c>
      <c r="F6785" s="379">
        <v>0.47222222222222221</v>
      </c>
      <c r="G6785" s="25">
        <v>42.29</v>
      </c>
      <c r="H6785" s="379">
        <v>4.799693804694658</v>
      </c>
      <c r="I6785" s="25">
        <v>48.86</v>
      </c>
      <c r="J6785" s="379">
        <v>5.0535948576800749</v>
      </c>
    </row>
    <row r="6786" spans="1:10" x14ac:dyDescent="0.35">
      <c r="A6786" s="5">
        <v>6782</v>
      </c>
      <c r="B6786" s="5">
        <v>283</v>
      </c>
      <c r="C6786" s="5">
        <v>10</v>
      </c>
      <c r="D6786" s="379">
        <v>35.475555555555559</v>
      </c>
      <c r="E6786" s="25">
        <v>24.84</v>
      </c>
      <c r="F6786" s="379">
        <v>0.47222222222222221</v>
      </c>
      <c r="G6786" s="25">
        <v>42.29</v>
      </c>
      <c r="H6786" s="379">
        <v>4.799693804694658</v>
      </c>
      <c r="I6786" s="25">
        <v>48.09</v>
      </c>
      <c r="J6786" s="379">
        <v>4.0816819153189039</v>
      </c>
    </row>
    <row r="6787" spans="1:10" x14ac:dyDescent="0.35">
      <c r="A6787" s="5">
        <v>6783</v>
      </c>
      <c r="B6787" s="5">
        <v>283</v>
      </c>
      <c r="C6787" s="5">
        <v>10</v>
      </c>
      <c r="D6787" s="379">
        <v>36.667222222222222</v>
      </c>
      <c r="E6787" s="25">
        <v>24.84</v>
      </c>
      <c r="F6787" s="379">
        <v>6.7572239848990332</v>
      </c>
      <c r="G6787" s="25">
        <v>42.29</v>
      </c>
      <c r="H6787" s="379">
        <v>6.9435192117540749</v>
      </c>
      <c r="I6787" s="25">
        <v>48.09</v>
      </c>
      <c r="J6787" s="379">
        <v>3.6281463494515771</v>
      </c>
    </row>
    <row r="6788" spans="1:10" x14ac:dyDescent="0.35">
      <c r="A6788" s="5">
        <v>6784</v>
      </c>
      <c r="B6788" s="5">
        <v>283</v>
      </c>
      <c r="C6788" s="5">
        <v>10</v>
      </c>
      <c r="D6788" s="379">
        <v>41.309444444444445</v>
      </c>
      <c r="E6788" s="25">
        <v>24.84</v>
      </c>
      <c r="F6788" s="379">
        <v>8.1174834595959595</v>
      </c>
      <c r="G6788" s="25">
        <v>42.29</v>
      </c>
      <c r="H6788" s="379">
        <v>7.4500494237696069</v>
      </c>
      <c r="I6788" s="25">
        <v>48.09</v>
      </c>
      <c r="J6788" s="379">
        <v>5.4704181790887292</v>
      </c>
    </row>
    <row r="6789" spans="1:10" x14ac:dyDescent="0.35">
      <c r="A6789" s="5">
        <v>6785</v>
      </c>
      <c r="B6789" s="5">
        <v>283</v>
      </c>
      <c r="C6789" s="5">
        <v>10</v>
      </c>
      <c r="D6789" s="379">
        <v>53.717222222222212</v>
      </c>
      <c r="E6789" s="25">
        <v>24.84</v>
      </c>
      <c r="F6789" s="379">
        <v>10.379482779379249</v>
      </c>
      <c r="G6789" s="25">
        <v>42.71</v>
      </c>
      <c r="H6789" s="379">
        <v>8.5622252910569276</v>
      </c>
      <c r="I6789" s="25">
        <v>48.86</v>
      </c>
      <c r="J6789" s="379">
        <v>6.5731907526265783</v>
      </c>
    </row>
    <row r="6790" spans="1:10" x14ac:dyDescent="0.35">
      <c r="A6790" s="5">
        <v>6786</v>
      </c>
      <c r="B6790" s="5">
        <v>283</v>
      </c>
      <c r="C6790" s="5">
        <v>10</v>
      </c>
      <c r="D6790" s="379">
        <v>63.037222222222226</v>
      </c>
      <c r="E6790" s="25">
        <v>24.84</v>
      </c>
      <c r="F6790" s="379">
        <v>22.140370182279945</v>
      </c>
      <c r="G6790" s="25">
        <v>44.4</v>
      </c>
      <c r="H6790" s="379">
        <v>8.5431024733248737</v>
      </c>
      <c r="I6790" s="25">
        <v>52.55</v>
      </c>
      <c r="J6790" s="379">
        <v>6.8997986830006228</v>
      </c>
    </row>
    <row r="6791" spans="1:10" x14ac:dyDescent="0.35">
      <c r="A6791" s="5">
        <v>6787</v>
      </c>
      <c r="B6791" s="5">
        <v>283</v>
      </c>
      <c r="C6791" s="5">
        <v>10</v>
      </c>
      <c r="D6791" s="379">
        <v>63.577777777777783</v>
      </c>
      <c r="E6791" s="25">
        <v>25.29</v>
      </c>
      <c r="F6791" s="379">
        <v>22.019769421965641</v>
      </c>
      <c r="G6791" s="25">
        <v>46.28</v>
      </c>
      <c r="H6791" s="379">
        <v>8.5037132766169474</v>
      </c>
      <c r="I6791" s="25">
        <v>57.62</v>
      </c>
      <c r="J6791" s="379">
        <v>6.8997986830006228</v>
      </c>
    </row>
    <row r="6792" spans="1:10" x14ac:dyDescent="0.35">
      <c r="A6792" s="5">
        <v>6788</v>
      </c>
      <c r="B6792" s="5">
        <v>283</v>
      </c>
      <c r="C6792" s="5">
        <v>10</v>
      </c>
      <c r="D6792" s="379">
        <v>53.684444444444452</v>
      </c>
      <c r="E6792" s="25">
        <v>24.99</v>
      </c>
      <c r="F6792" s="379">
        <v>12.278589164289532</v>
      </c>
      <c r="G6792" s="25">
        <v>44.69</v>
      </c>
      <c r="H6792" s="379">
        <v>8.5265404118900516</v>
      </c>
      <c r="I6792" s="25">
        <v>57.62</v>
      </c>
      <c r="J6792" s="379">
        <v>6.5689092029484044</v>
      </c>
    </row>
    <row r="6793" spans="1:10" x14ac:dyDescent="0.35">
      <c r="A6793" s="5">
        <v>6789</v>
      </c>
      <c r="B6793" s="5">
        <v>283</v>
      </c>
      <c r="C6793" s="5">
        <v>10</v>
      </c>
      <c r="D6793" s="379">
        <v>55.11055555555555</v>
      </c>
      <c r="E6793" s="25">
        <v>24.84</v>
      </c>
      <c r="F6793" s="379">
        <v>13.166628639637901</v>
      </c>
      <c r="G6793" s="25">
        <v>44.69</v>
      </c>
      <c r="H6793" s="379">
        <v>8.5893335960630779</v>
      </c>
      <c r="I6793" s="25">
        <v>53.71</v>
      </c>
      <c r="J6793" s="379">
        <v>6.500752953189413</v>
      </c>
    </row>
    <row r="6794" spans="1:10" x14ac:dyDescent="0.35">
      <c r="A6794" s="5">
        <v>6790</v>
      </c>
      <c r="B6794" s="5">
        <v>283</v>
      </c>
      <c r="C6794" s="5">
        <v>10</v>
      </c>
      <c r="D6794" s="379">
        <v>52.634444444444441</v>
      </c>
      <c r="E6794" s="25">
        <v>24.84</v>
      </c>
      <c r="F6794" s="379">
        <v>9.6616609537695552</v>
      </c>
      <c r="G6794" s="25">
        <v>43.56</v>
      </c>
      <c r="H6794" s="379">
        <v>7.7997626479908648</v>
      </c>
      <c r="I6794" s="25">
        <v>51.53</v>
      </c>
      <c r="J6794" s="379">
        <v>6.3800156182092129</v>
      </c>
    </row>
    <row r="6795" spans="1:10" x14ac:dyDescent="0.35">
      <c r="A6795" s="5">
        <v>6791</v>
      </c>
      <c r="B6795" s="5">
        <v>283</v>
      </c>
      <c r="C6795" s="5">
        <v>10</v>
      </c>
      <c r="D6795" s="379">
        <v>46.961111111111109</v>
      </c>
      <c r="E6795" s="25">
        <v>24.84</v>
      </c>
      <c r="F6795" s="379">
        <v>8.7844379258153698</v>
      </c>
      <c r="G6795" s="25">
        <v>42.29</v>
      </c>
      <c r="H6795" s="379">
        <v>7.8159706382659992</v>
      </c>
      <c r="I6795" s="25">
        <v>51.02</v>
      </c>
      <c r="J6795" s="379">
        <v>6.396320516382473</v>
      </c>
    </row>
    <row r="6796" spans="1:10" x14ac:dyDescent="0.35">
      <c r="A6796" s="5">
        <v>6792</v>
      </c>
      <c r="B6796" s="5">
        <v>283</v>
      </c>
      <c r="C6796" s="5">
        <v>10</v>
      </c>
      <c r="D6796" s="379">
        <v>47.357222222222219</v>
      </c>
      <c r="E6796" s="25">
        <v>24.84</v>
      </c>
      <c r="F6796" s="379">
        <v>8.773798737083661</v>
      </c>
      <c r="G6796" s="25">
        <v>42.29</v>
      </c>
      <c r="H6796" s="379">
        <v>7.8135957905782476</v>
      </c>
      <c r="I6796" s="25">
        <v>48.98</v>
      </c>
      <c r="J6796" s="379">
        <v>6.3156185523637074</v>
      </c>
    </row>
    <row r="6797" spans="1:10" x14ac:dyDescent="0.35">
      <c r="A6797" s="5">
        <v>6793</v>
      </c>
      <c r="B6797" s="5">
        <v>284</v>
      </c>
      <c r="C6797" s="5">
        <v>10</v>
      </c>
      <c r="D6797" s="379">
        <v>49.056666666666658</v>
      </c>
      <c r="E6797" s="25">
        <v>24.84</v>
      </c>
      <c r="F6797" s="379">
        <v>8.7779709950316036</v>
      </c>
      <c r="G6797" s="25">
        <v>42.29</v>
      </c>
      <c r="H6797" s="379">
        <v>7.8031984064842046</v>
      </c>
      <c r="I6797" s="25">
        <v>52.93</v>
      </c>
      <c r="J6797" s="379">
        <v>6.4934752293859903</v>
      </c>
    </row>
    <row r="6798" spans="1:10" x14ac:dyDescent="0.35">
      <c r="A6798" s="5">
        <v>6794</v>
      </c>
      <c r="B6798" s="5">
        <v>284</v>
      </c>
      <c r="C6798" s="5">
        <v>10</v>
      </c>
      <c r="D6798" s="379">
        <v>48.143333333333331</v>
      </c>
      <c r="E6798" s="25">
        <v>24.84</v>
      </c>
      <c r="F6798" s="379">
        <v>8.7840541332494606</v>
      </c>
      <c r="G6798" s="25">
        <v>42.29</v>
      </c>
      <c r="H6798" s="379">
        <v>8.5077438112554162</v>
      </c>
      <c r="I6798" s="25">
        <v>52.93</v>
      </c>
      <c r="J6798" s="379">
        <v>6.2784885571886155</v>
      </c>
    </row>
    <row r="6799" spans="1:10" x14ac:dyDescent="0.35">
      <c r="A6799" s="5">
        <v>6795</v>
      </c>
      <c r="B6799" s="5">
        <v>284</v>
      </c>
      <c r="C6799" s="5">
        <v>10</v>
      </c>
      <c r="D6799" s="379">
        <v>48.439444444444447</v>
      </c>
      <c r="E6799" s="25">
        <v>24.84</v>
      </c>
      <c r="F6799" s="379">
        <v>8.7765929012720481</v>
      </c>
      <c r="G6799" s="25">
        <v>42.29</v>
      </c>
      <c r="H6799" s="379">
        <v>8.2708541461314198</v>
      </c>
      <c r="I6799" s="25">
        <v>52.55</v>
      </c>
      <c r="J6799" s="379">
        <v>6.1578026242699071</v>
      </c>
    </row>
    <row r="6800" spans="1:10" x14ac:dyDescent="0.35">
      <c r="A6800" s="5">
        <v>6796</v>
      </c>
      <c r="B6800" s="5">
        <v>284</v>
      </c>
      <c r="C6800" s="5">
        <v>10</v>
      </c>
      <c r="D6800" s="379">
        <v>49.911666666666662</v>
      </c>
      <c r="E6800" s="25">
        <v>24.84</v>
      </c>
      <c r="F6800" s="379">
        <v>8.7800106209089108</v>
      </c>
      <c r="G6800" s="25">
        <v>42.29</v>
      </c>
      <c r="H6800" s="379">
        <v>8.475513440051099</v>
      </c>
      <c r="I6800" s="25">
        <v>52.93</v>
      </c>
      <c r="J6800" s="379">
        <v>6.5689092029484044</v>
      </c>
    </row>
    <row r="6801" spans="1:10" x14ac:dyDescent="0.35">
      <c r="A6801" s="5">
        <v>6797</v>
      </c>
      <c r="B6801" s="5">
        <v>284</v>
      </c>
      <c r="C6801" s="5">
        <v>10</v>
      </c>
      <c r="D6801" s="379">
        <v>47.096666666666664</v>
      </c>
      <c r="E6801" s="25">
        <v>24.84</v>
      </c>
      <c r="F6801" s="379">
        <v>8.8586258281249481</v>
      </c>
      <c r="G6801" s="25">
        <v>43.56</v>
      </c>
      <c r="H6801" s="379">
        <v>8.5525780579684429</v>
      </c>
      <c r="I6801" s="25">
        <v>52.93</v>
      </c>
      <c r="J6801" s="379">
        <v>6.8997986830006228</v>
      </c>
    </row>
    <row r="6802" spans="1:10" x14ac:dyDescent="0.35">
      <c r="A6802" s="5">
        <v>6798</v>
      </c>
      <c r="B6802" s="5">
        <v>284</v>
      </c>
      <c r="C6802" s="5">
        <v>10</v>
      </c>
      <c r="D6802" s="379">
        <v>58.671666666666667</v>
      </c>
      <c r="E6802" s="25">
        <v>24.99</v>
      </c>
      <c r="F6802" s="379">
        <v>9.5157037952299905</v>
      </c>
      <c r="G6802" s="25">
        <v>47.46</v>
      </c>
      <c r="H6802" s="379">
        <v>8.4904873223018686</v>
      </c>
      <c r="I6802" s="25">
        <v>56.52</v>
      </c>
      <c r="J6802" s="379">
        <v>6.052841731835346</v>
      </c>
    </row>
    <row r="6803" spans="1:10" x14ac:dyDescent="0.35">
      <c r="A6803" s="5">
        <v>6799</v>
      </c>
      <c r="B6803" s="5">
        <v>284</v>
      </c>
      <c r="C6803" s="5">
        <v>10</v>
      </c>
      <c r="D6803" s="379">
        <v>72.811666666666667</v>
      </c>
      <c r="E6803" s="25">
        <v>26.51</v>
      </c>
      <c r="F6803" s="379">
        <v>9.5256539842339336</v>
      </c>
      <c r="G6803" s="25">
        <v>49.82</v>
      </c>
      <c r="H6803" s="379">
        <v>8.5512211793280706</v>
      </c>
      <c r="I6803" s="25">
        <v>64.14</v>
      </c>
      <c r="J6803" s="379">
        <v>6.7484846966313885</v>
      </c>
    </row>
    <row r="6804" spans="1:10" x14ac:dyDescent="0.35">
      <c r="A6804" s="5">
        <v>6800</v>
      </c>
      <c r="B6804" s="5">
        <v>284</v>
      </c>
      <c r="C6804" s="5">
        <v>10</v>
      </c>
      <c r="D6804" s="379">
        <v>77.709444444444443</v>
      </c>
      <c r="E6804" s="25">
        <v>27.3</v>
      </c>
      <c r="F6804" s="379">
        <v>8.8071032530124906</v>
      </c>
      <c r="G6804" s="25">
        <v>49.82</v>
      </c>
      <c r="H6804" s="379">
        <v>6.8940420940890261</v>
      </c>
      <c r="I6804" s="25">
        <v>66.06</v>
      </c>
      <c r="J6804" s="379">
        <v>7.369088400021619</v>
      </c>
    </row>
    <row r="6805" spans="1:10" x14ac:dyDescent="0.35">
      <c r="A6805" s="5">
        <v>6801</v>
      </c>
      <c r="B6805" s="5">
        <v>284</v>
      </c>
      <c r="C6805" s="5">
        <v>10</v>
      </c>
      <c r="D6805" s="379">
        <v>68.814444444444433</v>
      </c>
      <c r="E6805" s="25">
        <v>27.3</v>
      </c>
      <c r="F6805" s="379">
        <v>8.1174834595959595</v>
      </c>
      <c r="G6805" s="25">
        <v>50.35</v>
      </c>
      <c r="H6805" s="379">
        <v>5.8380702584175808</v>
      </c>
      <c r="I6805" s="25">
        <v>62.27</v>
      </c>
      <c r="J6805" s="379">
        <v>4.5801251050360277</v>
      </c>
    </row>
    <row r="6806" spans="1:10" x14ac:dyDescent="0.35">
      <c r="A6806" s="5">
        <v>6802</v>
      </c>
      <c r="B6806" s="5">
        <v>284</v>
      </c>
      <c r="C6806" s="5">
        <v>10</v>
      </c>
      <c r="D6806" s="379">
        <v>62.779444444444444</v>
      </c>
      <c r="E6806" s="25">
        <v>25.74</v>
      </c>
      <c r="F6806" s="379">
        <v>5.6837155066829679</v>
      </c>
      <c r="G6806" s="25">
        <v>47.85</v>
      </c>
      <c r="H6806" s="379">
        <v>5.4316670268159113</v>
      </c>
      <c r="I6806" s="25">
        <v>56.52</v>
      </c>
      <c r="J6806" s="379">
        <v>4.0625869820688232</v>
      </c>
    </row>
    <row r="6807" spans="1:10" x14ac:dyDescent="0.35">
      <c r="A6807" s="5">
        <v>6803</v>
      </c>
      <c r="B6807" s="5">
        <v>284</v>
      </c>
      <c r="C6807" s="5">
        <v>10</v>
      </c>
      <c r="D6807" s="379">
        <v>57.38666666666667</v>
      </c>
      <c r="E6807" s="25">
        <v>25.74</v>
      </c>
      <c r="F6807" s="379">
        <v>5.5272524282406978</v>
      </c>
      <c r="G6807" s="25">
        <v>47.85</v>
      </c>
      <c r="H6807" s="379">
        <v>5.4054440646391377</v>
      </c>
      <c r="I6807" s="25">
        <v>53.46</v>
      </c>
      <c r="J6807" s="379">
        <v>3.55586728339112</v>
      </c>
    </row>
    <row r="6808" spans="1:10" x14ac:dyDescent="0.35">
      <c r="A6808" s="5">
        <v>6804</v>
      </c>
      <c r="B6808" s="5">
        <v>284</v>
      </c>
      <c r="C6808" s="5">
        <v>10</v>
      </c>
      <c r="D6808" s="379">
        <v>50.607222222222212</v>
      </c>
      <c r="E6808" s="25">
        <v>24.99</v>
      </c>
      <c r="F6808" s="379">
        <v>5.469417880302478</v>
      </c>
      <c r="G6808" s="25">
        <v>44.93</v>
      </c>
      <c r="H6808" s="379">
        <v>5.4054440646391377</v>
      </c>
      <c r="I6808" s="25">
        <v>52.93</v>
      </c>
      <c r="J6808" s="379">
        <v>3.5383477208444356</v>
      </c>
    </row>
    <row r="6809" spans="1:10" x14ac:dyDescent="0.35">
      <c r="A6809" s="5">
        <v>6805</v>
      </c>
      <c r="B6809" s="5">
        <v>284</v>
      </c>
      <c r="C6809" s="5">
        <v>10</v>
      </c>
      <c r="D6809" s="379">
        <v>52.123333333333335</v>
      </c>
      <c r="E6809" s="25">
        <v>24.99</v>
      </c>
      <c r="F6809" s="379">
        <v>5.099681910665022</v>
      </c>
      <c r="G6809" s="25">
        <v>44.74</v>
      </c>
      <c r="H6809" s="379">
        <v>5.3662134961110199</v>
      </c>
      <c r="I6809" s="25">
        <v>52.93</v>
      </c>
      <c r="J6809" s="379">
        <v>3.55586728339112</v>
      </c>
    </row>
    <row r="6810" spans="1:10" x14ac:dyDescent="0.35">
      <c r="A6810" s="5">
        <v>6806</v>
      </c>
      <c r="B6810" s="5">
        <v>284</v>
      </c>
      <c r="C6810" s="5">
        <v>10</v>
      </c>
      <c r="D6810" s="379">
        <v>52.905555555555551</v>
      </c>
      <c r="E6810" s="25">
        <v>24.99</v>
      </c>
      <c r="F6810" s="379">
        <v>5.099681910665022</v>
      </c>
      <c r="G6810" s="25">
        <v>44.74</v>
      </c>
      <c r="H6810" s="379">
        <v>5.3723227136460183</v>
      </c>
      <c r="I6810" s="25">
        <v>52.93</v>
      </c>
      <c r="J6810" s="379">
        <v>3.6005552269338144</v>
      </c>
    </row>
    <row r="6811" spans="1:10" x14ac:dyDescent="0.35">
      <c r="A6811" s="5">
        <v>6807</v>
      </c>
      <c r="B6811" s="5">
        <v>284</v>
      </c>
      <c r="C6811" s="5">
        <v>10</v>
      </c>
      <c r="D6811" s="379">
        <v>53.256666666666661</v>
      </c>
      <c r="E6811" s="25">
        <v>24.99</v>
      </c>
      <c r="F6811" s="379">
        <v>5.5156909307681428</v>
      </c>
      <c r="G6811" s="25">
        <v>44.74</v>
      </c>
      <c r="H6811" s="379">
        <v>5.3723227136460183</v>
      </c>
      <c r="I6811" s="25">
        <v>52.93</v>
      </c>
      <c r="J6811" s="379">
        <v>3.6232175401125599</v>
      </c>
    </row>
    <row r="6812" spans="1:10" x14ac:dyDescent="0.35">
      <c r="A6812" s="5">
        <v>6808</v>
      </c>
      <c r="B6812" s="5">
        <v>284</v>
      </c>
      <c r="C6812" s="5">
        <v>10</v>
      </c>
      <c r="D6812" s="379">
        <v>62.438888888888897</v>
      </c>
      <c r="E6812" s="25">
        <v>24.99</v>
      </c>
      <c r="F6812" s="379">
        <v>5.5156909307681428</v>
      </c>
      <c r="G6812" s="25">
        <v>44.74</v>
      </c>
      <c r="H6812" s="379">
        <v>5.4292849296314882</v>
      </c>
      <c r="I6812" s="25">
        <v>53.27</v>
      </c>
      <c r="J6812" s="379">
        <v>3.6334375674166921</v>
      </c>
    </row>
    <row r="6813" spans="1:10" x14ac:dyDescent="0.35">
      <c r="A6813" s="5">
        <v>6809</v>
      </c>
      <c r="B6813" s="5">
        <v>284</v>
      </c>
      <c r="C6813" s="5">
        <v>10</v>
      </c>
      <c r="D6813" s="379">
        <v>72.295555555555552</v>
      </c>
      <c r="E6813" s="25">
        <v>27.3</v>
      </c>
      <c r="F6813" s="379">
        <v>7.0645728949572932</v>
      </c>
      <c r="G6813" s="25">
        <v>47.85</v>
      </c>
      <c r="H6813" s="379">
        <v>5.8622588279763308</v>
      </c>
      <c r="I6813" s="25">
        <v>58.21</v>
      </c>
      <c r="J6813" s="379">
        <v>4.221878862540029</v>
      </c>
    </row>
    <row r="6814" spans="1:10" x14ac:dyDescent="0.35">
      <c r="A6814" s="5">
        <v>6810</v>
      </c>
      <c r="B6814" s="5">
        <v>284</v>
      </c>
      <c r="C6814" s="5">
        <v>10</v>
      </c>
      <c r="D6814" s="379">
        <v>88.775000000000006</v>
      </c>
      <c r="E6814" s="25">
        <v>28.12</v>
      </c>
      <c r="F6814" s="379">
        <v>9.6079450073230763</v>
      </c>
      <c r="G6814" s="25">
        <v>52.11</v>
      </c>
      <c r="H6814" s="379">
        <v>8.329695495282726</v>
      </c>
      <c r="I6814" s="25">
        <v>66.06</v>
      </c>
      <c r="J6814" s="379">
        <v>5.8075736213438445</v>
      </c>
    </row>
    <row r="6815" spans="1:10" x14ac:dyDescent="0.35">
      <c r="A6815" s="5">
        <v>6811</v>
      </c>
      <c r="B6815" s="5">
        <v>284</v>
      </c>
      <c r="C6815" s="5">
        <v>10</v>
      </c>
      <c r="D6815" s="379">
        <v>91.184999999999988</v>
      </c>
      <c r="E6815" s="25">
        <v>29.23</v>
      </c>
      <c r="F6815" s="379">
        <v>9.5653944189054201</v>
      </c>
      <c r="G6815" s="25">
        <v>52.11</v>
      </c>
      <c r="H6815" s="379">
        <v>8.2448131321424878</v>
      </c>
      <c r="I6815" s="25">
        <v>68.05</v>
      </c>
      <c r="J6815" s="379">
        <v>5.9084072789388946</v>
      </c>
    </row>
    <row r="6816" spans="1:10" x14ac:dyDescent="0.35">
      <c r="A6816" s="5">
        <v>6812</v>
      </c>
      <c r="B6816" s="5">
        <v>284</v>
      </c>
      <c r="C6816" s="5">
        <v>10</v>
      </c>
      <c r="D6816" s="379">
        <v>72.282777777777767</v>
      </c>
      <c r="E6816" s="25">
        <v>27.3</v>
      </c>
      <c r="F6816" s="379">
        <v>9.1042395578957027</v>
      </c>
      <c r="G6816" s="25">
        <v>51.24</v>
      </c>
      <c r="H6816" s="379">
        <v>8.323522929946483</v>
      </c>
      <c r="I6816" s="25">
        <v>66.06</v>
      </c>
      <c r="J6816" s="379">
        <v>6.665591002981869</v>
      </c>
    </row>
    <row r="6817" spans="1:10" x14ac:dyDescent="0.35">
      <c r="A6817" s="5">
        <v>6813</v>
      </c>
      <c r="B6817" s="5">
        <v>284</v>
      </c>
      <c r="C6817" s="5">
        <v>10</v>
      </c>
      <c r="D6817" s="379">
        <v>62.347777777777779</v>
      </c>
      <c r="E6817" s="25">
        <v>25.29</v>
      </c>
      <c r="F6817" s="379">
        <v>8.8843561456119851</v>
      </c>
      <c r="G6817" s="25">
        <v>47.85</v>
      </c>
      <c r="H6817" s="379">
        <v>7.6604805522141151</v>
      </c>
      <c r="I6817" s="25">
        <v>64.14</v>
      </c>
      <c r="J6817" s="379">
        <v>6.2750483284414829</v>
      </c>
    </row>
    <row r="6818" spans="1:10" x14ac:dyDescent="0.35">
      <c r="A6818" s="5">
        <v>6814</v>
      </c>
      <c r="B6818" s="5">
        <v>284</v>
      </c>
      <c r="C6818" s="5">
        <v>10</v>
      </c>
      <c r="D6818" s="379">
        <v>56.989444444444437</v>
      </c>
      <c r="E6818" s="25">
        <v>24.99</v>
      </c>
      <c r="F6818" s="379">
        <v>8.29290457147391</v>
      </c>
      <c r="G6818" s="25">
        <v>44.74</v>
      </c>
      <c r="H6818" s="379">
        <v>7.7144525634751169</v>
      </c>
      <c r="I6818" s="25">
        <v>60.46</v>
      </c>
      <c r="J6818" s="379">
        <v>5.5808024631737174</v>
      </c>
    </row>
    <row r="6819" spans="1:10" x14ac:dyDescent="0.35">
      <c r="A6819" s="5">
        <v>6815</v>
      </c>
      <c r="B6819" s="5">
        <v>284</v>
      </c>
      <c r="C6819" s="5">
        <v>10</v>
      </c>
      <c r="D6819" s="379">
        <v>58.77000000000001</v>
      </c>
      <c r="E6819" s="25">
        <v>24.99</v>
      </c>
      <c r="F6819" s="379">
        <v>8.3205696859660563</v>
      </c>
      <c r="G6819" s="25">
        <v>44.74</v>
      </c>
      <c r="H6819" s="379">
        <v>7.7083173703705601</v>
      </c>
      <c r="I6819" s="25">
        <v>54.52</v>
      </c>
      <c r="J6819" s="379">
        <v>6.4094071175077421</v>
      </c>
    </row>
    <row r="6820" spans="1:10" x14ac:dyDescent="0.35">
      <c r="A6820" s="5">
        <v>6816</v>
      </c>
      <c r="B6820" s="5">
        <v>284</v>
      </c>
      <c r="C6820" s="5">
        <v>10</v>
      </c>
      <c r="D6820" s="379">
        <v>55.878333333333323</v>
      </c>
      <c r="E6820" s="25">
        <v>24.84</v>
      </c>
      <c r="F6820" s="379">
        <v>8.3852967479826699</v>
      </c>
      <c r="G6820" s="25">
        <v>44.29</v>
      </c>
      <c r="H6820" s="379">
        <v>7.7967745023334034</v>
      </c>
      <c r="I6820" s="25">
        <v>53.71</v>
      </c>
      <c r="J6820" s="379">
        <v>6.508934247747816</v>
      </c>
    </row>
    <row r="6821" spans="1:10" x14ac:dyDescent="0.35">
      <c r="A6821" s="5">
        <v>6817</v>
      </c>
      <c r="B6821" s="5">
        <v>285</v>
      </c>
      <c r="C6821" s="5">
        <v>10</v>
      </c>
      <c r="D6821" s="379">
        <v>52.830555555555556</v>
      </c>
      <c r="E6821" s="25">
        <v>24.84</v>
      </c>
      <c r="F6821" s="379">
        <v>8.7756901484004999</v>
      </c>
      <c r="G6821" s="25">
        <v>44.74</v>
      </c>
      <c r="H6821" s="379">
        <v>8.4572162897841316</v>
      </c>
      <c r="I6821" s="25">
        <v>62.27</v>
      </c>
      <c r="J6821" s="379">
        <v>6.8141202401410474</v>
      </c>
    </row>
    <row r="6822" spans="1:10" x14ac:dyDescent="0.35">
      <c r="A6822" s="5">
        <v>6818</v>
      </c>
      <c r="B6822" s="5">
        <v>285</v>
      </c>
      <c r="C6822" s="5">
        <v>10</v>
      </c>
      <c r="D6822" s="379">
        <v>51.950555555555553</v>
      </c>
      <c r="E6822" s="25">
        <v>24.84</v>
      </c>
      <c r="F6822" s="379">
        <v>8.7670913272066375</v>
      </c>
      <c r="G6822" s="25">
        <v>44.29</v>
      </c>
      <c r="H6822" s="379">
        <v>8.4683333088192736</v>
      </c>
      <c r="I6822" s="25">
        <v>62.27</v>
      </c>
      <c r="J6822" s="379">
        <v>6.1561186668012429</v>
      </c>
    </row>
    <row r="6823" spans="1:10" x14ac:dyDescent="0.35">
      <c r="A6823" s="5">
        <v>6819</v>
      </c>
      <c r="B6823" s="5">
        <v>285</v>
      </c>
      <c r="C6823" s="5">
        <v>10</v>
      </c>
      <c r="D6823" s="379">
        <v>50.106666666666669</v>
      </c>
      <c r="E6823" s="25">
        <v>24.84</v>
      </c>
      <c r="F6823" s="379">
        <v>8.8515385988188857</v>
      </c>
      <c r="G6823" s="25">
        <v>44.29</v>
      </c>
      <c r="H6823" s="379">
        <v>8.5514660551046937</v>
      </c>
      <c r="I6823" s="25">
        <v>62.27</v>
      </c>
      <c r="J6823" s="379">
        <v>4.012415985238988</v>
      </c>
    </row>
    <row r="6824" spans="1:10" x14ac:dyDescent="0.35">
      <c r="A6824" s="5">
        <v>6820</v>
      </c>
      <c r="B6824" s="5">
        <v>285</v>
      </c>
      <c r="C6824" s="5">
        <v>10</v>
      </c>
      <c r="D6824" s="379">
        <v>52.553888888888892</v>
      </c>
      <c r="E6824" s="25">
        <v>24.84</v>
      </c>
      <c r="F6824" s="379">
        <v>8.8399230504743418</v>
      </c>
      <c r="G6824" s="25">
        <v>44.29</v>
      </c>
      <c r="H6824" s="379">
        <v>8.5201890098743291</v>
      </c>
      <c r="I6824" s="25">
        <v>62.27</v>
      </c>
      <c r="J6824" s="379">
        <v>6.1374300924639336</v>
      </c>
    </row>
    <row r="6825" spans="1:10" x14ac:dyDescent="0.35">
      <c r="A6825" s="5">
        <v>6821</v>
      </c>
      <c r="B6825" s="5">
        <v>285</v>
      </c>
      <c r="C6825" s="5">
        <v>10</v>
      </c>
      <c r="D6825" s="379">
        <v>53.272777777777776</v>
      </c>
      <c r="E6825" s="25">
        <v>24.84</v>
      </c>
      <c r="F6825" s="379">
        <v>9.3190146691253837</v>
      </c>
      <c r="G6825" s="25">
        <v>47.85</v>
      </c>
      <c r="H6825" s="379">
        <v>8.5261110223709604</v>
      </c>
      <c r="I6825" s="25">
        <v>62.27</v>
      </c>
      <c r="J6825" s="379">
        <v>6.45514702170885</v>
      </c>
    </row>
    <row r="6826" spans="1:10" x14ac:dyDescent="0.35">
      <c r="A6826" s="5">
        <v>6822</v>
      </c>
      <c r="B6826" s="5">
        <v>285</v>
      </c>
      <c r="C6826" s="5">
        <v>10</v>
      </c>
      <c r="D6826" s="379">
        <v>62.213333333333331</v>
      </c>
      <c r="E6826" s="25">
        <v>26.51</v>
      </c>
      <c r="F6826" s="379">
        <v>9.6124081964857044</v>
      </c>
      <c r="G6826" s="25">
        <v>52.86</v>
      </c>
      <c r="H6826" s="379">
        <v>8.5230854463651564</v>
      </c>
      <c r="I6826" s="25">
        <v>66.06</v>
      </c>
      <c r="J6826" s="379">
        <v>4.0123257074612102</v>
      </c>
    </row>
    <row r="6827" spans="1:10" x14ac:dyDescent="0.35">
      <c r="A6827" s="5">
        <v>6823</v>
      </c>
      <c r="B6827" s="5">
        <v>285</v>
      </c>
      <c r="C6827" s="5">
        <v>10</v>
      </c>
      <c r="D6827" s="379">
        <v>82.786111111111097</v>
      </c>
      <c r="E6827" s="25">
        <v>31.19</v>
      </c>
      <c r="F6827" s="379">
        <v>9.5730281119926612</v>
      </c>
      <c r="G6827" s="25">
        <v>58.63</v>
      </c>
      <c r="H6827" s="379">
        <v>8.4777765644758851</v>
      </c>
      <c r="I6827" s="25">
        <v>73.260000000000005</v>
      </c>
      <c r="J6827" s="379">
        <v>6.3896227582355571</v>
      </c>
    </row>
    <row r="6828" spans="1:10" x14ac:dyDescent="0.35">
      <c r="A6828" s="5">
        <v>6824</v>
      </c>
      <c r="B6828" s="5">
        <v>285</v>
      </c>
      <c r="C6828" s="5">
        <v>10</v>
      </c>
      <c r="D6828" s="379">
        <v>85.703333333333347</v>
      </c>
      <c r="E6828" s="25">
        <v>35.869999999999997</v>
      </c>
      <c r="F6828" s="379">
        <v>9.5493184286346793</v>
      </c>
      <c r="G6828" s="25">
        <v>58.63</v>
      </c>
      <c r="H6828" s="379">
        <v>8.4880911007302711</v>
      </c>
      <c r="I6828" s="25">
        <v>603.30999999999995</v>
      </c>
      <c r="J6828" s="379">
        <v>6.2029359165955613</v>
      </c>
    </row>
    <row r="6829" spans="1:10" x14ac:dyDescent="0.35">
      <c r="A6829" s="5">
        <v>6825</v>
      </c>
      <c r="B6829" s="5">
        <v>285</v>
      </c>
      <c r="C6829" s="5">
        <v>10</v>
      </c>
      <c r="D6829" s="379">
        <v>68</v>
      </c>
      <c r="E6829" s="25">
        <v>35.869999999999997</v>
      </c>
      <c r="F6829" s="379">
        <v>8.8910609913615257</v>
      </c>
      <c r="G6829" s="25">
        <v>58.63</v>
      </c>
      <c r="H6829" s="379">
        <v>8.2710153705904883</v>
      </c>
      <c r="I6829" s="25">
        <v>603.30999999999995</v>
      </c>
      <c r="J6829" s="379">
        <v>6.3322903564636501</v>
      </c>
    </row>
    <row r="6830" spans="1:10" x14ac:dyDescent="0.35">
      <c r="A6830" s="5">
        <v>6826</v>
      </c>
      <c r="B6830" s="5">
        <v>285</v>
      </c>
      <c r="C6830" s="5">
        <v>10</v>
      </c>
      <c r="D6830" s="379">
        <v>60.409444444444446</v>
      </c>
      <c r="E6830" s="25">
        <v>31.19</v>
      </c>
      <c r="F6830" s="379">
        <v>0.47222222222222221</v>
      </c>
      <c r="G6830" s="25">
        <v>58.63</v>
      </c>
      <c r="H6830" s="379">
        <v>5.8380702584175808</v>
      </c>
      <c r="I6830" s="25">
        <v>73.150000000000006</v>
      </c>
      <c r="J6830" s="379">
        <v>5.6489966597943725E-2</v>
      </c>
    </row>
    <row r="6831" spans="1:10" x14ac:dyDescent="0.35">
      <c r="A6831" s="5">
        <v>6827</v>
      </c>
      <c r="B6831" s="5">
        <v>285</v>
      </c>
      <c r="C6831" s="5">
        <v>10</v>
      </c>
      <c r="D6831" s="379">
        <v>51.986111111111114</v>
      </c>
      <c r="E6831" s="25">
        <v>30.28</v>
      </c>
      <c r="F6831" s="379">
        <v>5.3837097714493884</v>
      </c>
      <c r="G6831" s="25">
        <v>50.35</v>
      </c>
      <c r="H6831" s="379">
        <v>0.88198472112208315</v>
      </c>
      <c r="I6831" s="25">
        <v>66.06</v>
      </c>
      <c r="J6831" s="379">
        <v>2.777777777777778E-2</v>
      </c>
    </row>
    <row r="6832" spans="1:10" x14ac:dyDescent="0.35">
      <c r="A6832" s="5">
        <v>6828</v>
      </c>
      <c r="B6832" s="5">
        <v>285</v>
      </c>
      <c r="C6832" s="5">
        <v>10</v>
      </c>
      <c r="D6832" s="379">
        <v>49.195555555555551</v>
      </c>
      <c r="E6832" s="25">
        <v>26.51</v>
      </c>
      <c r="F6832" s="379">
        <v>5.3837097714493884</v>
      </c>
      <c r="G6832" s="25">
        <v>49.84</v>
      </c>
      <c r="H6832" s="379">
        <v>1.3822140458904382</v>
      </c>
      <c r="I6832" s="25">
        <v>62.9</v>
      </c>
      <c r="J6832" s="379">
        <v>2.777777777777778E-2</v>
      </c>
    </row>
    <row r="6833" spans="1:10" x14ac:dyDescent="0.35">
      <c r="A6833" s="5">
        <v>6829</v>
      </c>
      <c r="B6833" s="5">
        <v>285</v>
      </c>
      <c r="C6833" s="5">
        <v>10</v>
      </c>
      <c r="D6833" s="379">
        <v>48.557777777777773</v>
      </c>
      <c r="E6833" s="25">
        <v>26.51</v>
      </c>
      <c r="F6833" s="379">
        <v>5.3837097714493884</v>
      </c>
      <c r="G6833" s="25">
        <v>49.84</v>
      </c>
      <c r="H6833" s="379">
        <v>4.2929624360656966</v>
      </c>
      <c r="I6833" s="25">
        <v>62.27</v>
      </c>
      <c r="J6833" s="379">
        <v>3.0380161180540856E-2</v>
      </c>
    </row>
    <row r="6834" spans="1:10" x14ac:dyDescent="0.35">
      <c r="A6834" s="5">
        <v>6830</v>
      </c>
      <c r="B6834" s="5">
        <v>285</v>
      </c>
      <c r="C6834" s="5">
        <v>10</v>
      </c>
      <c r="D6834" s="379">
        <v>50.897777777777776</v>
      </c>
      <c r="E6834" s="25">
        <v>26.51</v>
      </c>
      <c r="F6834" s="379">
        <v>5.3837097714493884</v>
      </c>
      <c r="G6834" s="25">
        <v>49.84</v>
      </c>
      <c r="H6834" s="379">
        <v>1.7119340154584251</v>
      </c>
      <c r="I6834" s="25">
        <v>62.27</v>
      </c>
      <c r="J6834" s="379">
        <v>4.795046032441911E-2</v>
      </c>
    </row>
    <row r="6835" spans="1:10" x14ac:dyDescent="0.35">
      <c r="A6835" s="5">
        <v>6831</v>
      </c>
      <c r="B6835" s="5">
        <v>285</v>
      </c>
      <c r="C6835" s="5">
        <v>10</v>
      </c>
      <c r="D6835" s="379">
        <v>51.42444444444444</v>
      </c>
      <c r="E6835" s="25">
        <v>26.51</v>
      </c>
      <c r="F6835" s="379">
        <v>5.3837097714493884</v>
      </c>
      <c r="G6835" s="25">
        <v>49.84</v>
      </c>
      <c r="H6835" s="379">
        <v>1.5098527456880519</v>
      </c>
      <c r="I6835" s="25">
        <v>62.27</v>
      </c>
      <c r="J6835" s="379">
        <v>0.14062664710826869</v>
      </c>
    </row>
    <row r="6836" spans="1:10" x14ac:dyDescent="0.35">
      <c r="A6836" s="5">
        <v>6832</v>
      </c>
      <c r="B6836" s="5">
        <v>285</v>
      </c>
      <c r="C6836" s="5">
        <v>10</v>
      </c>
      <c r="D6836" s="379">
        <v>53.156666666666659</v>
      </c>
      <c r="E6836" s="25">
        <v>28.12</v>
      </c>
      <c r="F6836" s="379">
        <v>8.1174834595959613</v>
      </c>
      <c r="G6836" s="25">
        <v>52.67</v>
      </c>
      <c r="H6836" s="379">
        <v>6.9022694641629165</v>
      </c>
      <c r="I6836" s="25">
        <v>64.14</v>
      </c>
      <c r="J6836" s="379">
        <v>4.588509829689861</v>
      </c>
    </row>
    <row r="6837" spans="1:10" x14ac:dyDescent="0.35">
      <c r="A6837" s="5">
        <v>6833</v>
      </c>
      <c r="B6837" s="5">
        <v>285</v>
      </c>
      <c r="C6837" s="5">
        <v>10</v>
      </c>
      <c r="D6837" s="379">
        <v>65.073888888888888</v>
      </c>
      <c r="E6837" s="25">
        <v>31.19</v>
      </c>
      <c r="F6837" s="379">
        <v>10.859661350564151</v>
      </c>
      <c r="G6837" s="25">
        <v>58.63</v>
      </c>
      <c r="H6837" s="379">
        <v>11.562138728453833</v>
      </c>
      <c r="I6837" s="25">
        <v>68.05</v>
      </c>
      <c r="J6837" s="379">
        <v>7.8157559396971337</v>
      </c>
    </row>
    <row r="6838" spans="1:10" x14ac:dyDescent="0.35">
      <c r="A6838" s="5">
        <v>6834</v>
      </c>
      <c r="B6838" s="5">
        <v>285</v>
      </c>
      <c r="C6838" s="5">
        <v>10</v>
      </c>
      <c r="D6838" s="379">
        <v>77.439444444444447</v>
      </c>
      <c r="E6838" s="25">
        <v>34.82</v>
      </c>
      <c r="F6838" s="379">
        <v>17.623720372010688</v>
      </c>
      <c r="G6838" s="25">
        <v>58.63</v>
      </c>
      <c r="H6838" s="379">
        <v>11.829103275968237</v>
      </c>
      <c r="I6838" s="25">
        <v>74.349999999999994</v>
      </c>
      <c r="J6838" s="379">
        <v>6.6913834283525988</v>
      </c>
    </row>
    <row r="6839" spans="1:10" x14ac:dyDescent="0.35">
      <c r="A6839" s="5">
        <v>6835</v>
      </c>
      <c r="B6839" s="5">
        <v>285</v>
      </c>
      <c r="C6839" s="5">
        <v>10</v>
      </c>
      <c r="D6839" s="379">
        <v>87.492222222222225</v>
      </c>
      <c r="E6839" s="25">
        <v>35.869999999999997</v>
      </c>
      <c r="F6839" s="379">
        <v>18.455006185195309</v>
      </c>
      <c r="G6839" s="25">
        <v>58.63</v>
      </c>
      <c r="H6839" s="379">
        <v>11.889512092757046</v>
      </c>
      <c r="I6839" s="25">
        <v>640.05999999999995</v>
      </c>
      <c r="J6839" s="379">
        <v>7.0970053212667459</v>
      </c>
    </row>
    <row r="6840" spans="1:10" x14ac:dyDescent="0.35">
      <c r="A6840" s="5">
        <v>6836</v>
      </c>
      <c r="B6840" s="5">
        <v>285</v>
      </c>
      <c r="C6840" s="5">
        <v>10</v>
      </c>
      <c r="D6840" s="379">
        <v>64.751666666666665</v>
      </c>
      <c r="E6840" s="25">
        <v>35.869999999999997</v>
      </c>
      <c r="F6840" s="379">
        <v>17.730592064262208</v>
      </c>
      <c r="G6840" s="25">
        <v>58.63</v>
      </c>
      <c r="H6840" s="379">
        <v>11.490835630374841</v>
      </c>
      <c r="I6840" s="25">
        <v>603.30999999999995</v>
      </c>
      <c r="J6840" s="379">
        <v>7.6107190568722425</v>
      </c>
    </row>
    <row r="6841" spans="1:10" x14ac:dyDescent="0.35">
      <c r="A6841" s="5">
        <v>6837</v>
      </c>
      <c r="B6841" s="5">
        <v>285</v>
      </c>
      <c r="C6841" s="5">
        <v>10</v>
      </c>
      <c r="D6841" s="379">
        <v>58.153333333333336</v>
      </c>
      <c r="E6841" s="25">
        <v>31.19</v>
      </c>
      <c r="F6841" s="379">
        <v>19.076181680705346</v>
      </c>
      <c r="G6841" s="25">
        <v>55.88</v>
      </c>
      <c r="H6841" s="379">
        <v>11.714316329235569</v>
      </c>
      <c r="I6841" s="25">
        <v>73.260000000000005</v>
      </c>
      <c r="J6841" s="379">
        <v>7.7594814426153995</v>
      </c>
    </row>
    <row r="6842" spans="1:10" x14ac:dyDescent="0.35">
      <c r="A6842" s="5">
        <v>6838</v>
      </c>
      <c r="B6842" s="5">
        <v>285</v>
      </c>
      <c r="C6842" s="5">
        <v>10</v>
      </c>
      <c r="D6842" s="379">
        <v>52.767222222222223</v>
      </c>
      <c r="E6842" s="25">
        <v>26.51</v>
      </c>
      <c r="F6842" s="379">
        <v>10.67014162917434</v>
      </c>
      <c r="G6842" s="25">
        <v>52.87</v>
      </c>
      <c r="H6842" s="379">
        <v>11.100365368708641</v>
      </c>
      <c r="I6842" s="25">
        <v>73.150000000000006</v>
      </c>
      <c r="J6842" s="379">
        <v>7.8436288658073625</v>
      </c>
    </row>
    <row r="6843" spans="1:10" x14ac:dyDescent="0.35">
      <c r="A6843" s="5">
        <v>6839</v>
      </c>
      <c r="B6843" s="5">
        <v>285</v>
      </c>
      <c r="C6843" s="5">
        <v>10</v>
      </c>
      <c r="D6843" s="379">
        <v>49.972222222222221</v>
      </c>
      <c r="E6843" s="25">
        <v>26.05</v>
      </c>
      <c r="F6843" s="379">
        <v>10.686185758953053</v>
      </c>
      <c r="G6843" s="25">
        <v>50.35</v>
      </c>
      <c r="H6843" s="379">
        <v>10.983145847951556</v>
      </c>
      <c r="I6843" s="25">
        <v>67.790000000000006</v>
      </c>
      <c r="J6843" s="379">
        <v>7.383899304230038</v>
      </c>
    </row>
    <row r="6844" spans="1:10" x14ac:dyDescent="0.35">
      <c r="A6844" s="5">
        <v>6840</v>
      </c>
      <c r="B6844" s="5">
        <v>285</v>
      </c>
      <c r="C6844" s="5">
        <v>10</v>
      </c>
      <c r="D6844" s="379">
        <v>49.788333333333334</v>
      </c>
      <c r="E6844" s="25">
        <v>24.84</v>
      </c>
      <c r="F6844" s="379">
        <v>9.7916207174712984</v>
      </c>
      <c r="G6844" s="25">
        <v>48.39</v>
      </c>
      <c r="H6844" s="379">
        <v>10.451281090516378</v>
      </c>
      <c r="I6844" s="25">
        <v>58.7</v>
      </c>
      <c r="J6844" s="379">
        <v>7.2346577792194386</v>
      </c>
    </row>
    <row r="6845" spans="1:10" x14ac:dyDescent="0.35">
      <c r="A6845" s="5">
        <v>6841</v>
      </c>
      <c r="B6845" s="5">
        <v>286</v>
      </c>
      <c r="C6845" s="5">
        <v>10</v>
      </c>
      <c r="D6845" s="379">
        <v>47.158888888888889</v>
      </c>
      <c r="E6845" s="25">
        <v>24.84</v>
      </c>
      <c r="F6845" s="379">
        <v>9.261876873715357</v>
      </c>
      <c r="G6845" s="25">
        <v>47.85</v>
      </c>
      <c r="H6845" s="379">
        <v>11.068729010512204</v>
      </c>
      <c r="I6845" s="25">
        <v>56.52</v>
      </c>
      <c r="J6845" s="379">
        <v>7.2926407945667249</v>
      </c>
    </row>
    <row r="6846" spans="1:10" x14ac:dyDescent="0.35">
      <c r="A6846" s="5">
        <v>6842</v>
      </c>
      <c r="B6846" s="5">
        <v>286</v>
      </c>
      <c r="C6846" s="5">
        <v>10</v>
      </c>
      <c r="D6846" s="379">
        <v>45.624444444444443</v>
      </c>
      <c r="E6846" s="25">
        <v>24.84</v>
      </c>
      <c r="F6846" s="379">
        <v>9.1246621535450796</v>
      </c>
      <c r="G6846" s="25">
        <v>47.85</v>
      </c>
      <c r="H6846" s="379">
        <v>10.31849940013028</v>
      </c>
      <c r="I6846" s="25">
        <v>55.98</v>
      </c>
      <c r="J6846" s="379">
        <v>7.1732666982978195</v>
      </c>
    </row>
    <row r="6847" spans="1:10" x14ac:dyDescent="0.35">
      <c r="A6847" s="5">
        <v>6843</v>
      </c>
      <c r="B6847" s="5">
        <v>286</v>
      </c>
      <c r="C6847" s="5">
        <v>10</v>
      </c>
      <c r="D6847" s="379">
        <v>45.025555555555556</v>
      </c>
      <c r="E6847" s="25">
        <v>24.84</v>
      </c>
      <c r="F6847" s="379">
        <v>8.6355631209254025</v>
      </c>
      <c r="G6847" s="25">
        <v>47.85</v>
      </c>
      <c r="H6847" s="379">
        <v>9.2690717229711304</v>
      </c>
      <c r="I6847" s="25">
        <v>57.63</v>
      </c>
      <c r="J6847" s="379">
        <v>6.7634466502612067</v>
      </c>
    </row>
    <row r="6848" spans="1:10" x14ac:dyDescent="0.35">
      <c r="A6848" s="5">
        <v>6844</v>
      </c>
      <c r="B6848" s="5">
        <v>286</v>
      </c>
      <c r="C6848" s="5">
        <v>10</v>
      </c>
      <c r="D6848" s="379">
        <v>46.613888888888887</v>
      </c>
      <c r="E6848" s="25">
        <v>24.84</v>
      </c>
      <c r="F6848" s="379">
        <v>8.5943332030931732</v>
      </c>
      <c r="G6848" s="25">
        <v>47.85</v>
      </c>
      <c r="H6848" s="379">
        <v>10.248281838726269</v>
      </c>
      <c r="I6848" s="25">
        <v>57.63</v>
      </c>
      <c r="J6848" s="379">
        <v>5.3710993537239062</v>
      </c>
    </row>
    <row r="6849" spans="1:10" x14ac:dyDescent="0.35">
      <c r="A6849" s="5">
        <v>6845</v>
      </c>
      <c r="B6849" s="5">
        <v>286</v>
      </c>
      <c r="C6849" s="5">
        <v>10</v>
      </c>
      <c r="D6849" s="379">
        <v>49.428333333333335</v>
      </c>
      <c r="E6849" s="25">
        <v>24.99</v>
      </c>
      <c r="F6849" s="379">
        <v>8.4687596867477879</v>
      </c>
      <c r="G6849" s="25">
        <v>47.85</v>
      </c>
      <c r="H6849" s="379">
        <v>10.322824394245293</v>
      </c>
      <c r="I6849" s="25">
        <v>57.63</v>
      </c>
      <c r="J6849" s="379">
        <v>4.0178733982523758</v>
      </c>
    </row>
    <row r="6850" spans="1:10" x14ac:dyDescent="0.35">
      <c r="A6850" s="5">
        <v>6846</v>
      </c>
      <c r="B6850" s="5">
        <v>286</v>
      </c>
      <c r="C6850" s="5">
        <v>10</v>
      </c>
      <c r="D6850" s="379">
        <v>57.941111111111113</v>
      </c>
      <c r="E6850" s="25">
        <v>26.01</v>
      </c>
      <c r="F6850" s="379">
        <v>8.4967017107199005</v>
      </c>
      <c r="G6850" s="25">
        <v>48.33</v>
      </c>
      <c r="H6850" s="379">
        <v>8.6613446038534541</v>
      </c>
      <c r="I6850" s="25">
        <v>63.9</v>
      </c>
      <c r="J6850" s="379">
        <v>2.0046636118919698</v>
      </c>
    </row>
    <row r="6851" spans="1:10" x14ac:dyDescent="0.35">
      <c r="A6851" s="5">
        <v>6847</v>
      </c>
      <c r="B6851" s="5">
        <v>286</v>
      </c>
      <c r="C6851" s="5">
        <v>10</v>
      </c>
      <c r="D6851" s="379">
        <v>68.726111111111123</v>
      </c>
      <c r="E6851" s="25">
        <v>28.12</v>
      </c>
      <c r="F6851" s="379">
        <v>8.5357648137206681</v>
      </c>
      <c r="G6851" s="25">
        <v>56.29</v>
      </c>
      <c r="H6851" s="379">
        <v>8.7146817322522843</v>
      </c>
      <c r="I6851" s="25">
        <v>72.19</v>
      </c>
      <c r="J6851" s="379">
        <v>0.375</v>
      </c>
    </row>
    <row r="6852" spans="1:10" x14ac:dyDescent="0.35">
      <c r="A6852" s="5">
        <v>6848</v>
      </c>
      <c r="B6852" s="5">
        <v>286</v>
      </c>
      <c r="C6852" s="5">
        <v>10</v>
      </c>
      <c r="D6852" s="379">
        <v>72.863888888888866</v>
      </c>
      <c r="E6852" s="25">
        <v>29.23</v>
      </c>
      <c r="F6852" s="379">
        <v>8.3847018804123188</v>
      </c>
      <c r="G6852" s="25">
        <v>56.29</v>
      </c>
      <c r="H6852" s="379">
        <v>8.7541716169251309</v>
      </c>
      <c r="I6852" s="25">
        <v>72.19</v>
      </c>
      <c r="J6852" s="379">
        <v>0.375</v>
      </c>
    </row>
    <row r="6853" spans="1:10" x14ac:dyDescent="0.35">
      <c r="A6853" s="5">
        <v>6849</v>
      </c>
      <c r="B6853" s="5">
        <v>286</v>
      </c>
      <c r="C6853" s="5">
        <v>10</v>
      </c>
      <c r="D6853" s="379">
        <v>67.75833333333334</v>
      </c>
      <c r="E6853" s="25">
        <v>29.23</v>
      </c>
      <c r="F6853" s="379">
        <v>8.1174834595959595</v>
      </c>
      <c r="G6853" s="25">
        <v>55.27</v>
      </c>
      <c r="H6853" s="379">
        <v>6.3416935815864788</v>
      </c>
      <c r="I6853" s="25">
        <v>68.05</v>
      </c>
      <c r="J6853" s="379">
        <v>0.27777777777777779</v>
      </c>
    </row>
    <row r="6854" spans="1:10" x14ac:dyDescent="0.35">
      <c r="A6854" s="5">
        <v>6850</v>
      </c>
      <c r="B6854" s="5">
        <v>286</v>
      </c>
      <c r="C6854" s="5">
        <v>10</v>
      </c>
      <c r="D6854" s="379">
        <v>64.028888888888886</v>
      </c>
      <c r="E6854" s="25">
        <v>27.3</v>
      </c>
      <c r="F6854" s="379">
        <v>8.1174834595959595</v>
      </c>
      <c r="G6854" s="25">
        <v>55.27</v>
      </c>
      <c r="H6854" s="379">
        <v>6.5870531036388558</v>
      </c>
      <c r="I6854" s="25">
        <v>64.14</v>
      </c>
      <c r="J6854" s="379">
        <v>5.9154098484363962</v>
      </c>
    </row>
    <row r="6855" spans="1:10" x14ac:dyDescent="0.35">
      <c r="A6855" s="5">
        <v>6851</v>
      </c>
      <c r="B6855" s="5">
        <v>286</v>
      </c>
      <c r="C6855" s="5">
        <v>10</v>
      </c>
      <c r="D6855" s="379">
        <v>62.919444444444437</v>
      </c>
      <c r="E6855" s="25">
        <v>26.5</v>
      </c>
      <c r="F6855" s="379">
        <v>8.1174834595959613</v>
      </c>
      <c r="G6855" s="25">
        <v>47.85</v>
      </c>
      <c r="H6855" s="379">
        <v>9.046076200047942</v>
      </c>
      <c r="I6855" s="25">
        <v>62.27</v>
      </c>
      <c r="J6855" s="379">
        <v>4.888126884733496</v>
      </c>
    </row>
    <row r="6856" spans="1:10" x14ac:dyDescent="0.35">
      <c r="A6856" s="5">
        <v>6852</v>
      </c>
      <c r="B6856" s="5">
        <v>286</v>
      </c>
      <c r="C6856" s="5">
        <v>10</v>
      </c>
      <c r="D6856" s="379">
        <v>60.707222222222221</v>
      </c>
      <c r="E6856" s="25">
        <v>25.74</v>
      </c>
      <c r="F6856" s="379">
        <v>8.1174834595959577</v>
      </c>
      <c r="G6856" s="25">
        <v>47.85</v>
      </c>
      <c r="H6856" s="379">
        <v>8.9637959981962965</v>
      </c>
      <c r="I6856" s="25">
        <v>55.42</v>
      </c>
      <c r="J6856" s="379">
        <v>4.8445772132224469</v>
      </c>
    </row>
    <row r="6857" spans="1:10" x14ac:dyDescent="0.35">
      <c r="A6857" s="5">
        <v>6853</v>
      </c>
      <c r="B6857" s="5">
        <v>286</v>
      </c>
      <c r="C6857" s="5">
        <v>10</v>
      </c>
      <c r="D6857" s="379">
        <v>58.864999999999995</v>
      </c>
      <c r="E6857" s="25">
        <v>25.74</v>
      </c>
      <c r="F6857" s="379">
        <v>8.1174834595959595</v>
      </c>
      <c r="G6857" s="25">
        <v>47.85</v>
      </c>
      <c r="H6857" s="379">
        <v>9.1824380391693214</v>
      </c>
      <c r="I6857" s="25">
        <v>54.87</v>
      </c>
      <c r="J6857" s="379">
        <v>4.8260308294704917</v>
      </c>
    </row>
    <row r="6858" spans="1:10" x14ac:dyDescent="0.35">
      <c r="A6858" s="5">
        <v>6854</v>
      </c>
      <c r="B6858" s="5">
        <v>286</v>
      </c>
      <c r="C6858" s="5">
        <v>10</v>
      </c>
      <c r="D6858" s="379">
        <v>58.531111111111109</v>
      </c>
      <c r="E6858" s="25">
        <v>25.74</v>
      </c>
      <c r="F6858" s="379">
        <v>8.1174834595959577</v>
      </c>
      <c r="G6858" s="25">
        <v>47.85</v>
      </c>
      <c r="H6858" s="379">
        <v>9.5769436720830505</v>
      </c>
      <c r="I6858" s="25">
        <v>54.87</v>
      </c>
      <c r="J6858" s="379">
        <v>4.8865935725023153</v>
      </c>
    </row>
    <row r="6859" spans="1:10" x14ac:dyDescent="0.35">
      <c r="A6859" s="5">
        <v>6855</v>
      </c>
      <c r="B6859" s="5">
        <v>286</v>
      </c>
      <c r="C6859" s="5">
        <v>10</v>
      </c>
      <c r="D6859" s="379">
        <v>58.701111111111111</v>
      </c>
      <c r="E6859" s="25">
        <v>25.74</v>
      </c>
      <c r="F6859" s="379">
        <v>8.1174834595959613</v>
      </c>
      <c r="G6859" s="25">
        <v>47.85</v>
      </c>
      <c r="H6859" s="379">
        <v>9.3897618836327901</v>
      </c>
      <c r="I6859" s="25">
        <v>54.87</v>
      </c>
      <c r="J6859" s="379">
        <v>4.8646706355804739</v>
      </c>
    </row>
    <row r="6860" spans="1:10" x14ac:dyDescent="0.35">
      <c r="A6860" s="5">
        <v>6856</v>
      </c>
      <c r="B6860" s="5">
        <v>286</v>
      </c>
      <c r="C6860" s="5">
        <v>10</v>
      </c>
      <c r="D6860" s="379">
        <v>61.281666666666673</v>
      </c>
      <c r="E6860" s="25">
        <v>26.51</v>
      </c>
      <c r="F6860" s="379">
        <v>8.1473578758529559</v>
      </c>
      <c r="G6860" s="25">
        <v>47.85</v>
      </c>
      <c r="H6860" s="379">
        <v>8.5232371194221273</v>
      </c>
      <c r="I6860" s="25">
        <v>54.87</v>
      </c>
      <c r="J6860" s="379">
        <v>5.0596393674431912</v>
      </c>
    </row>
    <row r="6861" spans="1:10" x14ac:dyDescent="0.35">
      <c r="A6861" s="5">
        <v>6857</v>
      </c>
      <c r="B6861" s="5">
        <v>286</v>
      </c>
      <c r="C6861" s="5">
        <v>10</v>
      </c>
      <c r="D6861" s="379">
        <v>65.914444444444442</v>
      </c>
      <c r="E6861" s="25">
        <v>26.51</v>
      </c>
      <c r="F6861" s="379">
        <v>9.1354684051790347</v>
      </c>
      <c r="G6861" s="25">
        <v>47.85</v>
      </c>
      <c r="H6861" s="379">
        <v>8.5746908885075701</v>
      </c>
      <c r="I6861" s="25">
        <v>55.42</v>
      </c>
      <c r="J6861" s="379">
        <v>3.8889864195551409</v>
      </c>
    </row>
    <row r="6862" spans="1:10" x14ac:dyDescent="0.35">
      <c r="A6862" s="5">
        <v>6858</v>
      </c>
      <c r="B6862" s="5">
        <v>286</v>
      </c>
      <c r="C6862" s="5">
        <v>10</v>
      </c>
      <c r="D6862" s="379">
        <v>72.106111111111105</v>
      </c>
      <c r="E6862" s="25">
        <v>26.74</v>
      </c>
      <c r="F6862" s="379">
        <v>10.026701481972472</v>
      </c>
      <c r="G6862" s="25">
        <v>47.85</v>
      </c>
      <c r="H6862" s="379">
        <v>9.5370877499773563</v>
      </c>
      <c r="I6862" s="25">
        <v>60.46</v>
      </c>
      <c r="J6862" s="379">
        <v>3.877862115104282</v>
      </c>
    </row>
    <row r="6863" spans="1:10" x14ac:dyDescent="0.35">
      <c r="A6863" s="5">
        <v>6859</v>
      </c>
      <c r="B6863" s="5">
        <v>286</v>
      </c>
      <c r="C6863" s="5">
        <v>10</v>
      </c>
      <c r="D6863" s="379">
        <v>71.50055555555555</v>
      </c>
      <c r="E6863" s="25">
        <v>27.54</v>
      </c>
      <c r="F6863" s="379">
        <v>9.3198684307290272</v>
      </c>
      <c r="G6863" s="25">
        <v>49.28</v>
      </c>
      <c r="H6863" s="379">
        <v>9.5604196594520374</v>
      </c>
      <c r="I6863" s="25">
        <v>64.55</v>
      </c>
      <c r="J6863" s="379">
        <v>5.3034264956688366</v>
      </c>
    </row>
    <row r="6864" spans="1:10" x14ac:dyDescent="0.35">
      <c r="A6864" s="5">
        <v>6860</v>
      </c>
      <c r="B6864" s="5">
        <v>286</v>
      </c>
      <c r="C6864" s="5">
        <v>10</v>
      </c>
      <c r="D6864" s="379">
        <v>61.640555555555558</v>
      </c>
      <c r="E6864" s="25">
        <v>27.3</v>
      </c>
      <c r="F6864" s="379">
        <v>9.4198914706897696</v>
      </c>
      <c r="G6864" s="25">
        <v>47.85</v>
      </c>
      <c r="H6864" s="379">
        <v>9.6114126991664666</v>
      </c>
      <c r="I6864" s="25">
        <v>62.27</v>
      </c>
      <c r="J6864" s="379">
        <v>5.8978353266320909</v>
      </c>
    </row>
    <row r="6865" spans="1:10" x14ac:dyDescent="0.35">
      <c r="A6865" s="5">
        <v>6861</v>
      </c>
      <c r="B6865" s="5">
        <v>286</v>
      </c>
      <c r="C6865" s="5">
        <v>10</v>
      </c>
      <c r="D6865" s="379">
        <v>53.893333333333338</v>
      </c>
      <c r="E6865" s="25">
        <v>26.5</v>
      </c>
      <c r="F6865" s="379">
        <v>9.4836595105527586</v>
      </c>
      <c r="G6865" s="25">
        <v>47.85</v>
      </c>
      <c r="H6865" s="379">
        <v>9.6724886540306834</v>
      </c>
      <c r="I6865" s="25">
        <v>60.46</v>
      </c>
      <c r="J6865" s="379">
        <v>4.7385327584644887</v>
      </c>
    </row>
    <row r="6866" spans="1:10" x14ac:dyDescent="0.35">
      <c r="A6866" s="5">
        <v>6862</v>
      </c>
      <c r="B6866" s="5">
        <v>286</v>
      </c>
      <c r="C6866" s="5">
        <v>10</v>
      </c>
      <c r="D6866" s="379">
        <v>48.032222222222231</v>
      </c>
      <c r="E6866" s="25">
        <v>25.74</v>
      </c>
      <c r="F6866" s="379">
        <v>9.4556334591831686</v>
      </c>
      <c r="G6866" s="25">
        <v>47.85</v>
      </c>
      <c r="H6866" s="379">
        <v>9.7319868504518041</v>
      </c>
      <c r="I6866" s="25">
        <v>57.63</v>
      </c>
      <c r="J6866" s="379">
        <v>5.9611202516311117</v>
      </c>
    </row>
    <row r="6867" spans="1:10" x14ac:dyDescent="0.35">
      <c r="A6867" s="5">
        <v>6863</v>
      </c>
      <c r="B6867" s="5">
        <v>286</v>
      </c>
      <c r="C6867" s="5">
        <v>10</v>
      </c>
      <c r="D6867" s="379">
        <v>44.657777777777767</v>
      </c>
      <c r="E6867" s="25">
        <v>25.29</v>
      </c>
      <c r="F6867" s="379">
        <v>9.2466123952973032</v>
      </c>
      <c r="G6867" s="25">
        <v>47.85</v>
      </c>
      <c r="H6867" s="379">
        <v>11.157060424304706</v>
      </c>
      <c r="I6867" s="25">
        <v>54.86</v>
      </c>
      <c r="J6867" s="379">
        <v>6.1990788458801473</v>
      </c>
    </row>
    <row r="6868" spans="1:10" x14ac:dyDescent="0.35">
      <c r="A6868" s="5">
        <v>6864</v>
      </c>
      <c r="B6868" s="5">
        <v>286</v>
      </c>
      <c r="C6868" s="5">
        <v>10</v>
      </c>
      <c r="D6868" s="379">
        <v>47.562222222222218</v>
      </c>
      <c r="E6868" s="25">
        <v>24.84</v>
      </c>
      <c r="F6868" s="379">
        <v>9.2935964405613234</v>
      </c>
      <c r="G6868" s="25">
        <v>47.85</v>
      </c>
      <c r="H6868" s="379">
        <v>10.675590307757329</v>
      </c>
      <c r="I6868" s="25">
        <v>54.86</v>
      </c>
      <c r="J6868" s="379">
        <v>7.2216102032844702</v>
      </c>
    </row>
    <row r="6869" spans="1:10" x14ac:dyDescent="0.35">
      <c r="A6869" s="5">
        <v>6865</v>
      </c>
      <c r="B6869" s="5">
        <v>287</v>
      </c>
      <c r="C6869" s="5">
        <v>10</v>
      </c>
      <c r="D6869" s="379">
        <v>45.393888888888881</v>
      </c>
      <c r="E6869" s="25">
        <v>24.84</v>
      </c>
      <c r="F6869" s="379">
        <v>9.2602996291783946</v>
      </c>
      <c r="G6869" s="25">
        <v>47.85</v>
      </c>
      <c r="H6869" s="379">
        <v>11.086026692223102</v>
      </c>
      <c r="I6869" s="25">
        <v>54.32</v>
      </c>
      <c r="J6869" s="379">
        <v>6.1436302521583368</v>
      </c>
    </row>
    <row r="6870" spans="1:10" x14ac:dyDescent="0.35">
      <c r="A6870" s="5">
        <v>6866</v>
      </c>
      <c r="B6870" s="5">
        <v>287</v>
      </c>
      <c r="C6870" s="5">
        <v>10</v>
      </c>
      <c r="D6870" s="379">
        <v>44.56388888888889</v>
      </c>
      <c r="E6870" s="25">
        <v>24.84</v>
      </c>
      <c r="F6870" s="379">
        <v>8.4432139156672221</v>
      </c>
      <c r="G6870" s="25">
        <v>47.85</v>
      </c>
      <c r="H6870" s="379">
        <v>11.329629000671698</v>
      </c>
      <c r="I6870" s="25">
        <v>54.86</v>
      </c>
      <c r="J6870" s="379">
        <v>6.3793299109126034</v>
      </c>
    </row>
    <row r="6871" spans="1:10" x14ac:dyDescent="0.35">
      <c r="A6871" s="5">
        <v>6867</v>
      </c>
      <c r="B6871" s="5">
        <v>287</v>
      </c>
      <c r="C6871" s="5">
        <v>10</v>
      </c>
      <c r="D6871" s="379">
        <v>44.664999999999999</v>
      </c>
      <c r="E6871" s="25">
        <v>24.84</v>
      </c>
      <c r="F6871" s="379">
        <v>8.4072421680662277</v>
      </c>
      <c r="G6871" s="25">
        <v>47.85</v>
      </c>
      <c r="H6871" s="379">
        <v>11.223929230942659</v>
      </c>
      <c r="I6871" s="25">
        <v>54.86</v>
      </c>
      <c r="J6871" s="379">
        <v>6.5472967626248106</v>
      </c>
    </row>
    <row r="6872" spans="1:10" x14ac:dyDescent="0.35">
      <c r="A6872" s="5">
        <v>6868</v>
      </c>
      <c r="B6872" s="5">
        <v>287</v>
      </c>
      <c r="C6872" s="5">
        <v>10</v>
      </c>
      <c r="D6872" s="379">
        <v>45.335555555555551</v>
      </c>
      <c r="E6872" s="25">
        <v>24.84</v>
      </c>
      <c r="F6872" s="379">
        <v>8.340808007231777</v>
      </c>
      <c r="G6872" s="25">
        <v>47.85</v>
      </c>
      <c r="H6872" s="379">
        <v>11.125035338801448</v>
      </c>
      <c r="I6872" s="25">
        <v>54.86</v>
      </c>
      <c r="J6872" s="379">
        <v>6.0077321268081016</v>
      </c>
    </row>
    <row r="6873" spans="1:10" x14ac:dyDescent="0.35">
      <c r="A6873" s="5">
        <v>6869</v>
      </c>
      <c r="B6873" s="5">
        <v>287</v>
      </c>
      <c r="C6873" s="5">
        <v>10</v>
      </c>
      <c r="D6873" s="379">
        <v>46.806666666666665</v>
      </c>
      <c r="E6873" s="25">
        <v>24.84</v>
      </c>
      <c r="F6873" s="379">
        <v>8.2453490562894931</v>
      </c>
      <c r="G6873" s="25">
        <v>47.85</v>
      </c>
      <c r="H6873" s="379">
        <v>11.172229286993989</v>
      </c>
      <c r="I6873" s="25">
        <v>54.86</v>
      </c>
      <c r="J6873" s="379">
        <v>5.5231651583115005</v>
      </c>
    </row>
    <row r="6874" spans="1:10" x14ac:dyDescent="0.35">
      <c r="A6874" s="5">
        <v>6870</v>
      </c>
      <c r="B6874" s="5">
        <v>287</v>
      </c>
      <c r="C6874" s="5">
        <v>10</v>
      </c>
      <c r="D6874" s="379">
        <v>52.457222222222221</v>
      </c>
      <c r="E6874" s="25">
        <v>26.51</v>
      </c>
      <c r="F6874" s="379">
        <v>8.2773740816122814</v>
      </c>
      <c r="G6874" s="25">
        <v>54.25</v>
      </c>
      <c r="H6874" s="379">
        <v>11.169697117641721</v>
      </c>
      <c r="I6874" s="25">
        <v>56.52</v>
      </c>
      <c r="J6874" s="379">
        <v>6.3149496072653504</v>
      </c>
    </row>
    <row r="6875" spans="1:10" x14ac:dyDescent="0.35">
      <c r="A6875" s="5">
        <v>6871</v>
      </c>
      <c r="B6875" s="5">
        <v>287</v>
      </c>
      <c r="C6875" s="5">
        <v>10</v>
      </c>
      <c r="D6875" s="379">
        <v>64.168333333333337</v>
      </c>
      <c r="E6875" s="25">
        <v>29.23</v>
      </c>
      <c r="F6875" s="379">
        <v>8.7376771054707749</v>
      </c>
      <c r="G6875" s="25">
        <v>56.93</v>
      </c>
      <c r="H6875" s="379">
        <v>11.101594639947912</v>
      </c>
      <c r="I6875" s="25">
        <v>67.790000000000006</v>
      </c>
      <c r="J6875" s="379">
        <v>6.3697163679133304</v>
      </c>
    </row>
    <row r="6876" spans="1:10" x14ac:dyDescent="0.35">
      <c r="A6876" s="5">
        <v>6872</v>
      </c>
      <c r="B6876" s="5">
        <v>287</v>
      </c>
      <c r="C6876" s="5">
        <v>10</v>
      </c>
      <c r="D6876" s="379">
        <v>67.568333333333328</v>
      </c>
      <c r="E6876" s="25">
        <v>29.23</v>
      </c>
      <c r="F6876" s="379">
        <v>8.7759128316572159</v>
      </c>
      <c r="G6876" s="25">
        <v>56.29</v>
      </c>
      <c r="H6876" s="379">
        <v>8.6699970319586868</v>
      </c>
      <c r="I6876" s="25">
        <v>67.790000000000006</v>
      </c>
      <c r="J6876" s="379">
        <v>2.0046636118919698</v>
      </c>
    </row>
    <row r="6877" spans="1:10" x14ac:dyDescent="0.35">
      <c r="A6877" s="5">
        <v>6873</v>
      </c>
      <c r="B6877" s="5">
        <v>287</v>
      </c>
      <c r="C6877" s="5">
        <v>10</v>
      </c>
      <c r="D6877" s="379">
        <v>65.85833333333332</v>
      </c>
      <c r="E6877" s="25">
        <v>29.23</v>
      </c>
      <c r="F6877" s="379">
        <v>9.142735116346584</v>
      </c>
      <c r="G6877" s="25">
        <v>56.93</v>
      </c>
      <c r="H6877" s="379">
        <v>9.3999723102910604</v>
      </c>
      <c r="I6877" s="25">
        <v>65.819999999999993</v>
      </c>
      <c r="J6877" s="379">
        <v>3.651344346576928</v>
      </c>
    </row>
    <row r="6878" spans="1:10" x14ac:dyDescent="0.35">
      <c r="A6878" s="5">
        <v>6874</v>
      </c>
      <c r="B6878" s="5">
        <v>287</v>
      </c>
      <c r="C6878" s="5">
        <v>10</v>
      </c>
      <c r="D6878" s="379">
        <v>61.286111111111097</v>
      </c>
      <c r="E6878" s="25">
        <v>28.12</v>
      </c>
      <c r="F6878" s="379">
        <v>8.8760399195228565</v>
      </c>
      <c r="G6878" s="25">
        <v>56.29</v>
      </c>
      <c r="H6878" s="379">
        <v>8.8502124032074718</v>
      </c>
      <c r="I6878" s="25">
        <v>62.27</v>
      </c>
      <c r="J6878" s="379">
        <v>3.5468216673163382</v>
      </c>
    </row>
    <row r="6879" spans="1:10" x14ac:dyDescent="0.35">
      <c r="A6879" s="5">
        <v>6875</v>
      </c>
      <c r="B6879" s="5">
        <v>287</v>
      </c>
      <c r="C6879" s="5">
        <v>10</v>
      </c>
      <c r="D6879" s="379">
        <v>57.852777777777774</v>
      </c>
      <c r="E6879" s="25">
        <v>27.3</v>
      </c>
      <c r="F6879" s="379">
        <v>8.1174834595959595</v>
      </c>
      <c r="G6879" s="25">
        <v>56.29</v>
      </c>
      <c r="H6879" s="379">
        <v>9.4966300391336453</v>
      </c>
      <c r="I6879" s="25">
        <v>58.21</v>
      </c>
      <c r="J6879" s="379">
        <v>4.1575421577995932</v>
      </c>
    </row>
    <row r="6880" spans="1:10" x14ac:dyDescent="0.35">
      <c r="A6880" s="5">
        <v>6876</v>
      </c>
      <c r="B6880" s="5">
        <v>287</v>
      </c>
      <c r="C6880" s="5">
        <v>10</v>
      </c>
      <c r="D6880" s="379">
        <v>53.724444444444437</v>
      </c>
      <c r="E6880" s="25">
        <v>26.51</v>
      </c>
      <c r="F6880" s="379">
        <v>8.1174834595959577</v>
      </c>
      <c r="G6880" s="25">
        <v>54.25</v>
      </c>
      <c r="H6880" s="379">
        <v>9.2588860690551265</v>
      </c>
      <c r="I6880" s="25">
        <v>54.86</v>
      </c>
      <c r="J6880" s="379">
        <v>4.1388485782413742</v>
      </c>
    </row>
    <row r="6881" spans="1:10" x14ac:dyDescent="0.35">
      <c r="A6881" s="5">
        <v>6877</v>
      </c>
      <c r="B6881" s="5">
        <v>287</v>
      </c>
      <c r="C6881" s="5">
        <v>10</v>
      </c>
      <c r="D6881" s="379">
        <v>50.94</v>
      </c>
      <c r="E6881" s="25">
        <v>26.51</v>
      </c>
      <c r="F6881" s="379">
        <v>8.1174834595959577</v>
      </c>
      <c r="G6881" s="25">
        <v>52.67</v>
      </c>
      <c r="H6881" s="379">
        <v>9.6360596493509476</v>
      </c>
      <c r="I6881" s="25">
        <v>54.86</v>
      </c>
      <c r="J6881" s="379">
        <v>4.4336128248336983</v>
      </c>
    </row>
    <row r="6882" spans="1:10" x14ac:dyDescent="0.35">
      <c r="A6882" s="5">
        <v>6878</v>
      </c>
      <c r="B6882" s="5">
        <v>287</v>
      </c>
      <c r="C6882" s="5">
        <v>10</v>
      </c>
      <c r="D6882" s="379">
        <v>47.80833333333333</v>
      </c>
      <c r="E6882" s="25">
        <v>26.51</v>
      </c>
      <c r="F6882" s="379">
        <v>8.1174834595959613</v>
      </c>
      <c r="G6882" s="25">
        <v>52.67</v>
      </c>
      <c r="H6882" s="379">
        <v>9.5583795389128809</v>
      </c>
      <c r="I6882" s="25">
        <v>54.32</v>
      </c>
      <c r="J6882" s="379">
        <v>3.0646741997105824</v>
      </c>
    </row>
    <row r="6883" spans="1:10" x14ac:dyDescent="0.35">
      <c r="A6883" s="5">
        <v>6879</v>
      </c>
      <c r="B6883" s="5">
        <v>287</v>
      </c>
      <c r="C6883" s="5">
        <v>10</v>
      </c>
      <c r="D6883" s="379">
        <v>48.610000000000007</v>
      </c>
      <c r="E6883" s="25">
        <v>26.51</v>
      </c>
      <c r="F6883" s="379">
        <v>8.1174834595959577</v>
      </c>
      <c r="G6883" s="25">
        <v>52.2</v>
      </c>
      <c r="H6883" s="379">
        <v>9.6154479406193687</v>
      </c>
      <c r="I6883" s="25">
        <v>54.32</v>
      </c>
      <c r="J6883" s="379">
        <v>3.9821353220435696</v>
      </c>
    </row>
    <row r="6884" spans="1:10" x14ac:dyDescent="0.35">
      <c r="A6884" s="5">
        <v>6880</v>
      </c>
      <c r="B6884" s="5">
        <v>287</v>
      </c>
      <c r="C6884" s="5">
        <v>10</v>
      </c>
      <c r="D6884" s="379">
        <v>55.046111111111117</v>
      </c>
      <c r="E6884" s="25">
        <v>27.3</v>
      </c>
      <c r="F6884" s="379">
        <v>8.1808516063514318</v>
      </c>
      <c r="G6884" s="25">
        <v>52.2</v>
      </c>
      <c r="H6884" s="379">
        <v>9.6108928772327484</v>
      </c>
      <c r="I6884" s="25">
        <v>54.86</v>
      </c>
      <c r="J6884" s="379">
        <v>4.0132525095343698</v>
      </c>
    </row>
    <row r="6885" spans="1:10" x14ac:dyDescent="0.35">
      <c r="A6885" s="5">
        <v>6881</v>
      </c>
      <c r="B6885" s="5">
        <v>287</v>
      </c>
      <c r="C6885" s="5">
        <v>10</v>
      </c>
      <c r="D6885" s="379">
        <v>63.338333333333324</v>
      </c>
      <c r="E6885" s="25">
        <v>28.11</v>
      </c>
      <c r="F6885" s="379">
        <v>8.9526132777281013</v>
      </c>
      <c r="G6885" s="25">
        <v>52.67</v>
      </c>
      <c r="H6885" s="379">
        <v>10.613780296200293</v>
      </c>
      <c r="I6885" s="25">
        <v>54.86</v>
      </c>
      <c r="J6885" s="379">
        <v>4.5744435781316177</v>
      </c>
    </row>
    <row r="6886" spans="1:10" x14ac:dyDescent="0.35">
      <c r="A6886" s="5">
        <v>6882</v>
      </c>
      <c r="B6886" s="5">
        <v>287</v>
      </c>
      <c r="C6886" s="5">
        <v>10</v>
      </c>
      <c r="D6886" s="379">
        <v>67.743333333333325</v>
      </c>
      <c r="E6886" s="25">
        <v>28.12</v>
      </c>
      <c r="F6886" s="379">
        <v>8.9614663113052231</v>
      </c>
      <c r="G6886" s="25">
        <v>56.29</v>
      </c>
      <c r="H6886" s="379">
        <v>10.576741034053866</v>
      </c>
      <c r="I6886" s="25">
        <v>62.27</v>
      </c>
      <c r="J6886" s="379">
        <v>6.1405227739619299</v>
      </c>
    </row>
    <row r="6887" spans="1:10" x14ac:dyDescent="0.35">
      <c r="A6887" s="5">
        <v>6883</v>
      </c>
      <c r="B6887" s="5">
        <v>287</v>
      </c>
      <c r="C6887" s="5">
        <v>10</v>
      </c>
      <c r="D6887" s="379">
        <v>67.297222222222217</v>
      </c>
      <c r="E6887" s="25">
        <v>29.23</v>
      </c>
      <c r="F6887" s="379">
        <v>8.961500173030311</v>
      </c>
      <c r="G6887" s="25">
        <v>56.29</v>
      </c>
      <c r="H6887" s="379">
        <v>11.414871525611098</v>
      </c>
      <c r="I6887" s="25">
        <v>65.819999999999993</v>
      </c>
      <c r="J6887" s="379">
        <v>6.9806869175100967</v>
      </c>
    </row>
    <row r="6888" spans="1:10" x14ac:dyDescent="0.35">
      <c r="A6888" s="5">
        <v>6884</v>
      </c>
      <c r="B6888" s="5">
        <v>287</v>
      </c>
      <c r="C6888" s="5">
        <v>10</v>
      </c>
      <c r="D6888" s="379">
        <v>59.690555555555562</v>
      </c>
      <c r="E6888" s="25">
        <v>28.12</v>
      </c>
      <c r="F6888" s="379">
        <v>10.120593169588952</v>
      </c>
      <c r="G6888" s="25">
        <v>55.38</v>
      </c>
      <c r="H6888" s="379">
        <v>11.341992955798981</v>
      </c>
      <c r="I6888" s="25">
        <v>62.27</v>
      </c>
      <c r="J6888" s="379">
        <v>6.2714283828437454</v>
      </c>
    </row>
    <row r="6889" spans="1:10" x14ac:dyDescent="0.35">
      <c r="A6889" s="5">
        <v>6885</v>
      </c>
      <c r="B6889" s="5">
        <v>287</v>
      </c>
      <c r="C6889" s="5">
        <v>10</v>
      </c>
      <c r="D6889" s="379">
        <v>58.486666666666665</v>
      </c>
      <c r="E6889" s="25">
        <v>26.51</v>
      </c>
      <c r="F6889" s="379">
        <v>9.8270031838517671</v>
      </c>
      <c r="G6889" s="25">
        <v>52.2</v>
      </c>
      <c r="H6889" s="379">
        <v>11.140351514215924</v>
      </c>
      <c r="I6889" s="25">
        <v>56.51</v>
      </c>
      <c r="J6889" s="379">
        <v>5.9440530971015919</v>
      </c>
    </row>
    <row r="6890" spans="1:10" x14ac:dyDescent="0.35">
      <c r="A6890" s="5">
        <v>6886</v>
      </c>
      <c r="B6890" s="5">
        <v>287</v>
      </c>
      <c r="C6890" s="5">
        <v>10</v>
      </c>
      <c r="D6890" s="379">
        <v>57.19222222222222</v>
      </c>
      <c r="E6890" s="25">
        <v>25.74</v>
      </c>
      <c r="F6890" s="379">
        <v>9.9785954826248222</v>
      </c>
      <c r="G6890" s="25">
        <v>47.85</v>
      </c>
      <c r="H6890" s="379">
        <v>10.92202437909531</v>
      </c>
      <c r="I6890" s="25">
        <v>55.95</v>
      </c>
      <c r="J6890" s="379">
        <v>5.7535258640803821</v>
      </c>
    </row>
    <row r="6891" spans="1:10" x14ac:dyDescent="0.35">
      <c r="A6891" s="5">
        <v>6887</v>
      </c>
      <c r="B6891" s="5">
        <v>287</v>
      </c>
      <c r="C6891" s="5">
        <v>10</v>
      </c>
      <c r="D6891" s="379">
        <v>53.142777777777781</v>
      </c>
      <c r="E6891" s="25">
        <v>24.99</v>
      </c>
      <c r="F6891" s="379">
        <v>9.9741632181906574</v>
      </c>
      <c r="G6891" s="25">
        <v>47.85</v>
      </c>
      <c r="H6891" s="379">
        <v>9.6216766073713238</v>
      </c>
      <c r="I6891" s="25">
        <v>54.87</v>
      </c>
      <c r="J6891" s="379">
        <v>6.9817954206596458</v>
      </c>
    </row>
    <row r="6892" spans="1:10" x14ac:dyDescent="0.35">
      <c r="A6892" s="5">
        <v>6888</v>
      </c>
      <c r="B6892" s="5">
        <v>287</v>
      </c>
      <c r="C6892" s="5">
        <v>10</v>
      </c>
      <c r="D6892" s="379">
        <v>52.223333333333329</v>
      </c>
      <c r="E6892" s="25">
        <v>24.84</v>
      </c>
      <c r="F6892" s="379">
        <v>9.9785954826248222</v>
      </c>
      <c r="G6892" s="25">
        <v>47.85</v>
      </c>
      <c r="H6892" s="379">
        <v>9.3667150193341886</v>
      </c>
      <c r="I6892" s="25">
        <v>56.41</v>
      </c>
      <c r="J6892" s="379">
        <v>6.7560267298140699</v>
      </c>
    </row>
    <row r="6893" spans="1:10" x14ac:dyDescent="0.35">
      <c r="A6893" s="5">
        <v>6889</v>
      </c>
      <c r="B6893" s="5">
        <v>288</v>
      </c>
      <c r="C6893" s="5">
        <v>10</v>
      </c>
      <c r="D6893" s="379">
        <v>50.473888888888894</v>
      </c>
      <c r="E6893" s="25">
        <v>24.84</v>
      </c>
      <c r="F6893" s="379">
        <v>9.7583297132769857</v>
      </c>
      <c r="G6893" s="25">
        <v>47.85</v>
      </c>
      <c r="H6893" s="379">
        <v>10.038431109903446</v>
      </c>
      <c r="I6893" s="25">
        <v>58.7</v>
      </c>
      <c r="J6893" s="379">
        <v>7.2558701784588457</v>
      </c>
    </row>
    <row r="6894" spans="1:10" x14ac:dyDescent="0.35">
      <c r="A6894" s="5">
        <v>6890</v>
      </c>
      <c r="B6894" s="5">
        <v>288</v>
      </c>
      <c r="C6894" s="5">
        <v>10</v>
      </c>
      <c r="D6894" s="379">
        <v>48.102222222222224</v>
      </c>
      <c r="E6894" s="25">
        <v>24.84</v>
      </c>
      <c r="F6894" s="379">
        <v>9.6075520971815536</v>
      </c>
      <c r="G6894" s="25">
        <v>47.85</v>
      </c>
      <c r="H6894" s="379">
        <v>10.041418917830299</v>
      </c>
      <c r="I6894" s="25">
        <v>56.41</v>
      </c>
      <c r="J6894" s="379">
        <v>6.8965460178918256</v>
      </c>
    </row>
    <row r="6895" spans="1:10" x14ac:dyDescent="0.35">
      <c r="A6895" s="5">
        <v>6891</v>
      </c>
      <c r="B6895" s="5">
        <v>288</v>
      </c>
      <c r="C6895" s="5">
        <v>10</v>
      </c>
      <c r="D6895" s="379">
        <v>44.770555555555568</v>
      </c>
      <c r="E6895" s="25">
        <v>24.84</v>
      </c>
      <c r="F6895" s="379">
        <v>9.5853586772737263</v>
      </c>
      <c r="G6895" s="25">
        <v>47.85</v>
      </c>
      <c r="H6895" s="379">
        <v>10.045696484862153</v>
      </c>
      <c r="I6895" s="25">
        <v>56.15</v>
      </c>
      <c r="J6895" s="379">
        <v>7.2681107751765595</v>
      </c>
    </row>
    <row r="6896" spans="1:10" x14ac:dyDescent="0.35">
      <c r="A6896" s="5">
        <v>6892</v>
      </c>
      <c r="B6896" s="5">
        <v>288</v>
      </c>
      <c r="C6896" s="5">
        <v>10</v>
      </c>
      <c r="D6896" s="379">
        <v>43.82</v>
      </c>
      <c r="E6896" s="25">
        <v>24.84</v>
      </c>
      <c r="F6896" s="379">
        <v>11.412578795074303</v>
      </c>
      <c r="G6896" s="25">
        <v>47.85</v>
      </c>
      <c r="H6896" s="379">
        <v>10.335019469129461</v>
      </c>
      <c r="I6896" s="25">
        <v>56.15</v>
      </c>
      <c r="J6896" s="379">
        <v>7.4993917974649307</v>
      </c>
    </row>
    <row r="6897" spans="1:10" x14ac:dyDescent="0.35">
      <c r="A6897" s="5">
        <v>6893</v>
      </c>
      <c r="B6897" s="5">
        <v>288</v>
      </c>
      <c r="C6897" s="5">
        <v>10</v>
      </c>
      <c r="D6897" s="379">
        <v>41.111666666666672</v>
      </c>
      <c r="E6897" s="25">
        <v>24.84</v>
      </c>
      <c r="F6897" s="379">
        <v>11.704231818674542</v>
      </c>
      <c r="G6897" s="25">
        <v>47.85</v>
      </c>
      <c r="H6897" s="379">
        <v>10.383402169123958</v>
      </c>
      <c r="I6897" s="25">
        <v>58.7</v>
      </c>
      <c r="J6897" s="379">
        <v>7.4996945151362588</v>
      </c>
    </row>
    <row r="6898" spans="1:10" x14ac:dyDescent="0.35">
      <c r="A6898" s="5">
        <v>6894</v>
      </c>
      <c r="B6898" s="5">
        <v>288</v>
      </c>
      <c r="C6898" s="5">
        <v>10</v>
      </c>
      <c r="D6898" s="379">
        <v>43.239444444444437</v>
      </c>
      <c r="E6898" s="25">
        <v>25.74</v>
      </c>
      <c r="F6898" s="379">
        <v>16.547274207967462</v>
      </c>
      <c r="G6898" s="25">
        <v>52.2</v>
      </c>
      <c r="H6898" s="379">
        <v>10.169765783926415</v>
      </c>
      <c r="I6898" s="25">
        <v>66.06</v>
      </c>
      <c r="J6898" s="379">
        <v>7.3613935828386783</v>
      </c>
    </row>
    <row r="6899" spans="1:10" x14ac:dyDescent="0.35">
      <c r="A6899" s="5">
        <v>6895</v>
      </c>
      <c r="B6899" s="5">
        <v>288</v>
      </c>
      <c r="C6899" s="5">
        <v>10</v>
      </c>
      <c r="D6899" s="379">
        <v>46.233888888888892</v>
      </c>
      <c r="E6899" s="25">
        <v>34.82</v>
      </c>
      <c r="F6899" s="379">
        <v>15.253671744783251</v>
      </c>
      <c r="G6899" s="25">
        <v>56.29</v>
      </c>
      <c r="H6899" s="379">
        <v>10.27970214605754</v>
      </c>
      <c r="I6899" s="25">
        <v>68.05</v>
      </c>
      <c r="J6899" s="379">
        <v>7.5219670697575332</v>
      </c>
    </row>
    <row r="6900" spans="1:10" x14ac:dyDescent="0.35">
      <c r="A6900" s="5">
        <v>6896</v>
      </c>
      <c r="B6900" s="5">
        <v>288</v>
      </c>
      <c r="C6900" s="5">
        <v>10</v>
      </c>
      <c r="D6900" s="379">
        <v>51.75888888888889</v>
      </c>
      <c r="E6900" s="25">
        <v>34.82</v>
      </c>
      <c r="F6900" s="379">
        <v>17.5151055051344</v>
      </c>
      <c r="G6900" s="25">
        <v>56.29</v>
      </c>
      <c r="H6900" s="379">
        <v>10.225803506290282</v>
      </c>
      <c r="I6900" s="25">
        <v>72.19</v>
      </c>
      <c r="J6900" s="379">
        <v>7.4962023068581995</v>
      </c>
    </row>
    <row r="6901" spans="1:10" x14ac:dyDescent="0.35">
      <c r="A6901" s="5">
        <v>6897</v>
      </c>
      <c r="B6901" s="5">
        <v>288</v>
      </c>
      <c r="C6901" s="5">
        <v>10</v>
      </c>
      <c r="D6901" s="379">
        <v>51.449999999999996</v>
      </c>
      <c r="E6901" s="25">
        <v>35.869999999999997</v>
      </c>
      <c r="F6901" s="379">
        <v>16.655779889278037</v>
      </c>
      <c r="G6901" s="25">
        <v>58.63</v>
      </c>
      <c r="H6901" s="379">
        <v>9.9656028172589082</v>
      </c>
      <c r="I6901" s="25">
        <v>72.19</v>
      </c>
      <c r="J6901" s="379">
        <v>7.4719687013164684</v>
      </c>
    </row>
    <row r="6902" spans="1:10" x14ac:dyDescent="0.35">
      <c r="A6902" s="5">
        <v>6898</v>
      </c>
      <c r="B6902" s="5">
        <v>288</v>
      </c>
      <c r="C6902" s="5">
        <v>10</v>
      </c>
      <c r="D6902" s="379">
        <v>47.672222222222217</v>
      </c>
      <c r="E6902" s="25">
        <v>35.869999999999997</v>
      </c>
      <c r="F6902" s="379">
        <v>16.308496377524314</v>
      </c>
      <c r="G6902" s="25">
        <v>58.63</v>
      </c>
      <c r="H6902" s="379">
        <v>10.08853427377014</v>
      </c>
      <c r="I6902" s="25">
        <v>66.06</v>
      </c>
      <c r="J6902" s="379">
        <v>7.506393563705017</v>
      </c>
    </row>
    <row r="6903" spans="1:10" x14ac:dyDescent="0.35">
      <c r="A6903" s="5">
        <v>6899</v>
      </c>
      <c r="B6903" s="5">
        <v>288</v>
      </c>
      <c r="C6903" s="5">
        <v>10</v>
      </c>
      <c r="D6903" s="379">
        <v>42.693333333333335</v>
      </c>
      <c r="E6903" s="25">
        <v>35.869999999999997</v>
      </c>
      <c r="F6903" s="379">
        <v>17.770660099615327</v>
      </c>
      <c r="G6903" s="25">
        <v>57.56</v>
      </c>
      <c r="H6903" s="379">
        <v>9.9703561424473133</v>
      </c>
      <c r="I6903" s="25">
        <v>66.06</v>
      </c>
      <c r="J6903" s="379">
        <v>7.2228944034047791</v>
      </c>
    </row>
    <row r="6904" spans="1:10" x14ac:dyDescent="0.35">
      <c r="A6904" s="5">
        <v>6900</v>
      </c>
      <c r="B6904" s="5">
        <v>288</v>
      </c>
      <c r="C6904" s="5">
        <v>10</v>
      </c>
      <c r="D6904" s="379">
        <v>39.87777777777778</v>
      </c>
      <c r="E6904" s="25">
        <v>34.82</v>
      </c>
      <c r="F6904" s="379">
        <v>15.024829408140647</v>
      </c>
      <c r="G6904" s="25">
        <v>55.88</v>
      </c>
      <c r="H6904" s="379">
        <v>10.319319230340406</v>
      </c>
      <c r="I6904" s="25">
        <v>64.14</v>
      </c>
      <c r="J6904" s="379">
        <v>7.1575611140484083</v>
      </c>
    </row>
    <row r="6905" spans="1:10" x14ac:dyDescent="0.35">
      <c r="A6905" s="5">
        <v>6901</v>
      </c>
      <c r="B6905" s="5">
        <v>288</v>
      </c>
      <c r="C6905" s="5">
        <v>10</v>
      </c>
      <c r="D6905" s="379">
        <v>37.356666666666662</v>
      </c>
      <c r="E6905" s="25">
        <v>34.82</v>
      </c>
      <c r="F6905" s="379">
        <v>14.623437486021853</v>
      </c>
      <c r="G6905" s="25">
        <v>55.88</v>
      </c>
      <c r="H6905" s="379">
        <v>9.5378417433145994</v>
      </c>
      <c r="I6905" s="25">
        <v>58.7</v>
      </c>
      <c r="J6905" s="379">
        <v>7.0720083930759658</v>
      </c>
    </row>
    <row r="6906" spans="1:10" x14ac:dyDescent="0.35">
      <c r="A6906" s="5">
        <v>6902</v>
      </c>
      <c r="B6906" s="5">
        <v>288</v>
      </c>
      <c r="C6906" s="5">
        <v>10</v>
      </c>
      <c r="D6906" s="379">
        <v>34.119999999999997</v>
      </c>
      <c r="E6906" s="25">
        <v>29.6</v>
      </c>
      <c r="F6906" s="379">
        <v>14.637819023039924</v>
      </c>
      <c r="G6906" s="25">
        <v>51.33</v>
      </c>
      <c r="H6906" s="379">
        <v>9.8632513494906959</v>
      </c>
      <c r="I6906" s="25">
        <v>58.7</v>
      </c>
      <c r="J6906" s="379">
        <v>6.5613092576862471</v>
      </c>
    </row>
    <row r="6907" spans="1:10" x14ac:dyDescent="0.35">
      <c r="A6907" s="5">
        <v>6903</v>
      </c>
      <c r="B6907" s="5">
        <v>288</v>
      </c>
      <c r="C6907" s="5">
        <v>10</v>
      </c>
      <c r="D6907" s="379">
        <v>35.191111111111113</v>
      </c>
      <c r="E6907" s="25">
        <v>34.82</v>
      </c>
      <c r="F6907" s="379">
        <v>14.020304906274561</v>
      </c>
      <c r="G6907" s="25">
        <v>50.35</v>
      </c>
      <c r="H6907" s="379">
        <v>10.018785120033426</v>
      </c>
      <c r="I6907" s="25">
        <v>58.7</v>
      </c>
      <c r="J6907" s="379">
        <v>7.0017866342636648</v>
      </c>
    </row>
    <row r="6908" spans="1:10" x14ac:dyDescent="0.35">
      <c r="A6908" s="5">
        <v>6904</v>
      </c>
      <c r="B6908" s="5">
        <v>288</v>
      </c>
      <c r="C6908" s="5">
        <v>10</v>
      </c>
      <c r="D6908" s="379">
        <v>39.614999999999995</v>
      </c>
      <c r="E6908" s="25">
        <v>29.6</v>
      </c>
      <c r="F6908" s="379">
        <v>13.616924931042758</v>
      </c>
      <c r="G6908" s="25">
        <v>50.35</v>
      </c>
      <c r="H6908" s="379">
        <v>9.3819536879696717</v>
      </c>
      <c r="I6908" s="25">
        <v>58.7</v>
      </c>
      <c r="J6908" s="379">
        <v>6.7726618974457606</v>
      </c>
    </row>
    <row r="6909" spans="1:10" x14ac:dyDescent="0.35">
      <c r="A6909" s="5">
        <v>6905</v>
      </c>
      <c r="B6909" s="5">
        <v>288</v>
      </c>
      <c r="C6909" s="5">
        <v>10</v>
      </c>
      <c r="D6909" s="379">
        <v>48.468888888888884</v>
      </c>
      <c r="E6909" s="25">
        <v>34.82</v>
      </c>
      <c r="F6909" s="379">
        <v>15.874447790176969</v>
      </c>
      <c r="G6909" s="25">
        <v>51.33</v>
      </c>
      <c r="H6909" s="379">
        <v>9.6417378848523096</v>
      </c>
      <c r="I6909" s="25">
        <v>64.14</v>
      </c>
      <c r="J6909" s="379">
        <v>5.8879636432563256</v>
      </c>
    </row>
    <row r="6910" spans="1:10" x14ac:dyDescent="0.35">
      <c r="A6910" s="5">
        <v>6906</v>
      </c>
      <c r="B6910" s="5">
        <v>288</v>
      </c>
      <c r="C6910" s="5">
        <v>10</v>
      </c>
      <c r="D6910" s="379">
        <v>52.043888888888887</v>
      </c>
      <c r="E6910" s="25">
        <v>34.82</v>
      </c>
      <c r="F6910" s="379">
        <v>17.452948164592179</v>
      </c>
      <c r="G6910" s="25">
        <v>55.88</v>
      </c>
      <c r="H6910" s="379">
        <v>10.051785846781236</v>
      </c>
      <c r="I6910" s="25">
        <v>66.06</v>
      </c>
      <c r="J6910" s="379">
        <v>7.5839043332920095</v>
      </c>
    </row>
    <row r="6911" spans="1:10" x14ac:dyDescent="0.35">
      <c r="A6911" s="5">
        <v>6907</v>
      </c>
      <c r="B6911" s="5">
        <v>288</v>
      </c>
      <c r="C6911" s="5">
        <v>10</v>
      </c>
      <c r="D6911" s="379">
        <v>51.396666666666668</v>
      </c>
      <c r="E6911" s="25">
        <v>27.3</v>
      </c>
      <c r="F6911" s="379">
        <v>16.954544805954981</v>
      </c>
      <c r="G6911" s="25">
        <v>55.88</v>
      </c>
      <c r="H6911" s="379">
        <v>10.034576327780716</v>
      </c>
      <c r="I6911" s="25">
        <v>72.19</v>
      </c>
      <c r="J6911" s="379">
        <v>7.4022318335191839</v>
      </c>
    </row>
    <row r="6912" spans="1:10" x14ac:dyDescent="0.35">
      <c r="A6912" s="5">
        <v>6908</v>
      </c>
      <c r="B6912" s="5">
        <v>288</v>
      </c>
      <c r="C6912" s="5">
        <v>10</v>
      </c>
      <c r="D6912" s="379">
        <v>43.444444444444443</v>
      </c>
      <c r="E6912" s="25">
        <v>26.51</v>
      </c>
      <c r="F6912" s="379">
        <v>16.555050275640912</v>
      </c>
      <c r="G6912" s="25">
        <v>51.14</v>
      </c>
      <c r="H6912" s="379">
        <v>10.065733188610352</v>
      </c>
      <c r="I6912" s="25">
        <v>66.06</v>
      </c>
      <c r="J6912" s="379">
        <v>6.9383582595152635</v>
      </c>
    </row>
    <row r="6913" spans="1:10" x14ac:dyDescent="0.35">
      <c r="A6913" s="5">
        <v>6909</v>
      </c>
      <c r="B6913" s="5">
        <v>288</v>
      </c>
      <c r="C6913" s="5">
        <v>10</v>
      </c>
      <c r="D6913" s="379">
        <v>40.863888888888887</v>
      </c>
      <c r="E6913" s="25">
        <v>25.74</v>
      </c>
      <c r="F6913" s="379">
        <v>15.089826878803551</v>
      </c>
      <c r="G6913" s="25">
        <v>47.85</v>
      </c>
      <c r="H6913" s="379">
        <v>9.6329141075286291</v>
      </c>
      <c r="I6913" s="25">
        <v>62.27</v>
      </c>
      <c r="J6913" s="379">
        <v>6.7724106803821114</v>
      </c>
    </row>
    <row r="6914" spans="1:10" x14ac:dyDescent="0.35">
      <c r="A6914" s="5">
        <v>6910</v>
      </c>
      <c r="B6914" s="5">
        <v>288</v>
      </c>
      <c r="C6914" s="5">
        <v>10</v>
      </c>
      <c r="D6914" s="379">
        <v>41.112777777777787</v>
      </c>
      <c r="E6914" s="25">
        <v>25.59</v>
      </c>
      <c r="F6914" s="379">
        <v>13.208897241297112</v>
      </c>
      <c r="G6914" s="25">
        <v>47.85</v>
      </c>
      <c r="H6914" s="379">
        <v>10.116119833525486</v>
      </c>
      <c r="I6914" s="25">
        <v>62.27</v>
      </c>
      <c r="J6914" s="379">
        <v>6.4568714649113961</v>
      </c>
    </row>
    <row r="6915" spans="1:10" x14ac:dyDescent="0.35">
      <c r="A6915" s="5">
        <v>6911</v>
      </c>
      <c r="B6915" s="5">
        <v>288</v>
      </c>
      <c r="C6915" s="5">
        <v>10</v>
      </c>
      <c r="D6915" s="379">
        <v>38.730555555555554</v>
      </c>
      <c r="E6915" s="25">
        <v>24.99</v>
      </c>
      <c r="F6915" s="379">
        <v>13.15704919823475</v>
      </c>
      <c r="G6915" s="25">
        <v>47.85</v>
      </c>
      <c r="H6915" s="379">
        <v>9.4969739960185944</v>
      </c>
      <c r="I6915" s="25">
        <v>62.27</v>
      </c>
      <c r="J6915" s="379">
        <v>6.2723009290071383</v>
      </c>
    </row>
    <row r="6916" spans="1:10" x14ac:dyDescent="0.35">
      <c r="A6916" s="5">
        <v>6912</v>
      </c>
      <c r="B6916" s="5">
        <v>288</v>
      </c>
      <c r="C6916" s="5">
        <v>10</v>
      </c>
      <c r="D6916" s="379">
        <v>30.762222222222221</v>
      </c>
      <c r="E6916" s="25">
        <v>24.84</v>
      </c>
      <c r="F6916" s="379">
        <v>13.104036242727648</v>
      </c>
      <c r="G6916" s="25">
        <v>46.98</v>
      </c>
      <c r="H6916" s="379">
        <v>10.998410131630497</v>
      </c>
      <c r="I6916" s="25">
        <v>58.7</v>
      </c>
      <c r="J6916" s="379">
        <v>6.3788719577249999</v>
      </c>
    </row>
    <row r="6917" spans="1:10" x14ac:dyDescent="0.35">
      <c r="A6917" s="5">
        <v>6913</v>
      </c>
      <c r="B6917" s="5">
        <v>289</v>
      </c>
      <c r="C6917" s="5">
        <v>10</v>
      </c>
      <c r="D6917" s="379">
        <v>28.203333333333337</v>
      </c>
      <c r="E6917" s="25">
        <v>24.84</v>
      </c>
      <c r="F6917" s="379">
        <v>13.132980546537718</v>
      </c>
      <c r="G6917" s="25">
        <v>46.98</v>
      </c>
      <c r="H6917" s="379">
        <v>10.563046672919457</v>
      </c>
      <c r="I6917" s="25">
        <v>54.87</v>
      </c>
      <c r="J6917" s="379">
        <v>5.7107487356887914</v>
      </c>
    </row>
    <row r="6918" spans="1:10" x14ac:dyDescent="0.35">
      <c r="A6918" s="5">
        <v>6914</v>
      </c>
      <c r="B6918" s="5">
        <v>289</v>
      </c>
      <c r="C6918" s="5">
        <v>10</v>
      </c>
      <c r="D6918" s="379">
        <v>26.432777777777773</v>
      </c>
      <c r="E6918" s="25">
        <v>24.84</v>
      </c>
      <c r="F6918" s="379">
        <v>12.134693543795191</v>
      </c>
      <c r="G6918" s="25">
        <v>44.77</v>
      </c>
      <c r="H6918" s="379">
        <v>8.6841810751768893</v>
      </c>
      <c r="I6918" s="25">
        <v>54.52</v>
      </c>
      <c r="J6918" s="379">
        <v>5.8394552784346594</v>
      </c>
    </row>
    <row r="6919" spans="1:10" x14ac:dyDescent="0.35">
      <c r="A6919" s="5">
        <v>6915</v>
      </c>
      <c r="B6919" s="5">
        <v>289</v>
      </c>
      <c r="C6919" s="5">
        <v>10</v>
      </c>
      <c r="D6919" s="379">
        <v>26.052777777777774</v>
      </c>
      <c r="E6919" s="25">
        <v>24.84</v>
      </c>
      <c r="F6919" s="379">
        <v>12.575826919597729</v>
      </c>
      <c r="G6919" s="25">
        <v>44.77</v>
      </c>
      <c r="H6919" s="379">
        <v>10.047425259637826</v>
      </c>
      <c r="I6919" s="25">
        <v>54.52</v>
      </c>
      <c r="J6919" s="379">
        <v>5.3067747370645328</v>
      </c>
    </row>
    <row r="6920" spans="1:10" x14ac:dyDescent="0.35">
      <c r="A6920" s="5">
        <v>6916</v>
      </c>
      <c r="B6920" s="5">
        <v>289</v>
      </c>
      <c r="C6920" s="5">
        <v>10</v>
      </c>
      <c r="D6920" s="379">
        <v>27.431666666666668</v>
      </c>
      <c r="E6920" s="25">
        <v>24.84</v>
      </c>
      <c r="F6920" s="379">
        <v>13.178073701047648</v>
      </c>
      <c r="G6920" s="25">
        <v>44.77</v>
      </c>
      <c r="H6920" s="379">
        <v>8.638694413996225</v>
      </c>
      <c r="I6920" s="25">
        <v>54.32</v>
      </c>
      <c r="J6920" s="379">
        <v>4.9781393250584642</v>
      </c>
    </row>
    <row r="6921" spans="1:10" x14ac:dyDescent="0.35">
      <c r="A6921" s="5">
        <v>6917</v>
      </c>
      <c r="B6921" s="5">
        <v>289</v>
      </c>
      <c r="C6921" s="5">
        <v>10</v>
      </c>
      <c r="D6921" s="379">
        <v>27.080555555555552</v>
      </c>
      <c r="E6921" s="25">
        <v>24.84</v>
      </c>
      <c r="F6921" s="379">
        <v>11.824607371472927</v>
      </c>
      <c r="G6921" s="25">
        <v>46.98</v>
      </c>
      <c r="H6921" s="379">
        <v>8.9675956762201992</v>
      </c>
      <c r="I6921" s="25">
        <v>54.52</v>
      </c>
      <c r="J6921" s="379">
        <v>5.1240409933241517</v>
      </c>
    </row>
    <row r="6922" spans="1:10" x14ac:dyDescent="0.35">
      <c r="A6922" s="5">
        <v>6918</v>
      </c>
      <c r="B6922" s="5">
        <v>289</v>
      </c>
      <c r="C6922" s="5">
        <v>10</v>
      </c>
      <c r="D6922" s="379">
        <v>27.857777777777777</v>
      </c>
      <c r="E6922" s="25">
        <v>24.84</v>
      </c>
      <c r="F6922" s="379">
        <v>14.025226295050983</v>
      </c>
      <c r="G6922" s="25">
        <v>46.98</v>
      </c>
      <c r="H6922" s="379">
        <v>8.86315795654391</v>
      </c>
      <c r="I6922" s="25">
        <v>54.52</v>
      </c>
      <c r="J6922" s="379">
        <v>5.1375782058627477</v>
      </c>
    </row>
    <row r="6923" spans="1:10" x14ac:dyDescent="0.35">
      <c r="A6923" s="5">
        <v>6919</v>
      </c>
      <c r="B6923" s="5">
        <v>289</v>
      </c>
      <c r="C6923" s="5">
        <v>10</v>
      </c>
      <c r="D6923" s="379">
        <v>29.875</v>
      </c>
      <c r="E6923" s="25">
        <v>24.99</v>
      </c>
      <c r="F6923" s="379">
        <v>15.824559459215017</v>
      </c>
      <c r="G6923" s="25">
        <v>46.98</v>
      </c>
      <c r="H6923" s="379">
        <v>8.8876939732273179</v>
      </c>
      <c r="I6923" s="25">
        <v>55.07</v>
      </c>
      <c r="J6923" s="379">
        <v>6.487629893360964</v>
      </c>
    </row>
    <row r="6924" spans="1:10" x14ac:dyDescent="0.35">
      <c r="A6924" s="5">
        <v>6920</v>
      </c>
      <c r="B6924" s="5">
        <v>289</v>
      </c>
      <c r="C6924" s="5">
        <v>10</v>
      </c>
      <c r="D6924" s="379">
        <v>33.079444444444441</v>
      </c>
      <c r="E6924" s="25">
        <v>25.29</v>
      </c>
      <c r="F6924" s="379">
        <v>15.824559459215017</v>
      </c>
      <c r="G6924" s="25">
        <v>47.85</v>
      </c>
      <c r="H6924" s="379">
        <v>9.1950560770393697</v>
      </c>
      <c r="I6924" s="25">
        <v>64.14</v>
      </c>
      <c r="J6924" s="379">
        <v>6.3562645901174033</v>
      </c>
    </row>
    <row r="6925" spans="1:10" x14ac:dyDescent="0.35">
      <c r="A6925" s="5">
        <v>6921</v>
      </c>
      <c r="B6925" s="5">
        <v>289</v>
      </c>
      <c r="C6925" s="5">
        <v>10</v>
      </c>
      <c r="D6925" s="379">
        <v>33.324444444444445</v>
      </c>
      <c r="E6925" s="25">
        <v>26.35</v>
      </c>
      <c r="F6925" s="379">
        <v>15.672421161752887</v>
      </c>
      <c r="G6925" s="25">
        <v>49.84</v>
      </c>
      <c r="H6925" s="379">
        <v>9.3228704416612729</v>
      </c>
      <c r="I6925" s="25">
        <v>66.06</v>
      </c>
      <c r="J6925" s="379">
        <v>6.0474386645089666</v>
      </c>
    </row>
    <row r="6926" spans="1:10" x14ac:dyDescent="0.35">
      <c r="A6926" s="5">
        <v>6922</v>
      </c>
      <c r="B6926" s="5">
        <v>289</v>
      </c>
      <c r="C6926" s="5">
        <v>10</v>
      </c>
      <c r="D6926" s="379">
        <v>32.133888888888883</v>
      </c>
      <c r="E6926" s="25">
        <v>25.59</v>
      </c>
      <c r="F6926" s="379">
        <v>15.517331280269307</v>
      </c>
      <c r="G6926" s="25">
        <v>52.67</v>
      </c>
      <c r="H6926" s="379">
        <v>10.05091857855791</v>
      </c>
      <c r="I6926" s="25">
        <v>62.27</v>
      </c>
      <c r="J6926" s="379">
        <v>6.7136614838230058</v>
      </c>
    </row>
    <row r="6927" spans="1:10" x14ac:dyDescent="0.35">
      <c r="A6927" s="5">
        <v>6923</v>
      </c>
      <c r="B6927" s="5">
        <v>289</v>
      </c>
      <c r="C6927" s="5">
        <v>10</v>
      </c>
      <c r="D6927" s="379">
        <v>32.893888888888881</v>
      </c>
      <c r="E6927" s="25">
        <v>25.59</v>
      </c>
      <c r="F6927" s="379">
        <v>15.564113387668723</v>
      </c>
      <c r="G6927" s="25">
        <v>52.67</v>
      </c>
      <c r="H6927" s="379">
        <v>14.206431977249466</v>
      </c>
      <c r="I6927" s="25">
        <v>55.95</v>
      </c>
      <c r="J6927" s="379">
        <v>7.1646312260005152</v>
      </c>
    </row>
    <row r="6928" spans="1:10" x14ac:dyDescent="0.35">
      <c r="A6928" s="5">
        <v>6924</v>
      </c>
      <c r="B6928" s="5">
        <v>289</v>
      </c>
      <c r="C6928" s="5">
        <v>10</v>
      </c>
      <c r="D6928" s="379">
        <v>32.938333333333333</v>
      </c>
      <c r="E6928" s="25">
        <v>25.59</v>
      </c>
      <c r="F6928" s="379">
        <v>14.830605946983273</v>
      </c>
      <c r="G6928" s="25">
        <v>52.67</v>
      </c>
      <c r="H6928" s="379">
        <v>17.656420236688103</v>
      </c>
      <c r="I6928" s="25">
        <v>54.52</v>
      </c>
      <c r="J6928" s="379">
        <v>7.8278628232701832</v>
      </c>
    </row>
    <row r="6929" spans="1:10" x14ac:dyDescent="0.35">
      <c r="A6929" s="5">
        <v>6925</v>
      </c>
      <c r="B6929" s="5">
        <v>289</v>
      </c>
      <c r="C6929" s="5">
        <v>10</v>
      </c>
      <c r="D6929" s="379">
        <v>31.031111111111116</v>
      </c>
      <c r="E6929" s="25">
        <v>25.59</v>
      </c>
      <c r="F6929" s="379">
        <v>14.827416559741565</v>
      </c>
      <c r="G6929" s="25">
        <v>47.85</v>
      </c>
      <c r="H6929" s="379">
        <v>16.128863080180125</v>
      </c>
      <c r="I6929" s="25">
        <v>54.52</v>
      </c>
      <c r="J6929" s="379">
        <v>7.4743270695473383</v>
      </c>
    </row>
    <row r="6930" spans="1:10" x14ac:dyDescent="0.35">
      <c r="A6930" s="5">
        <v>6926</v>
      </c>
      <c r="B6930" s="5">
        <v>289</v>
      </c>
      <c r="C6930" s="5">
        <v>10</v>
      </c>
      <c r="D6930" s="379">
        <v>32.398333333333333</v>
      </c>
      <c r="E6930" s="25">
        <v>25.29</v>
      </c>
      <c r="F6930" s="379">
        <v>15.178530945368045</v>
      </c>
      <c r="G6930" s="25">
        <v>47.85</v>
      </c>
      <c r="H6930" s="379">
        <v>15.6039845532291</v>
      </c>
      <c r="I6930" s="25">
        <v>54.52</v>
      </c>
      <c r="J6930" s="379">
        <v>7.1641070080824703</v>
      </c>
    </row>
    <row r="6931" spans="1:10" x14ac:dyDescent="0.35">
      <c r="A6931" s="5">
        <v>6927</v>
      </c>
      <c r="B6931" s="5">
        <v>289</v>
      </c>
      <c r="C6931" s="5">
        <v>10</v>
      </c>
      <c r="D6931" s="379">
        <v>33.407777777777774</v>
      </c>
      <c r="E6931" s="25">
        <v>25.29</v>
      </c>
      <c r="F6931" s="379">
        <v>16.600260989966664</v>
      </c>
      <c r="G6931" s="25">
        <v>47.85</v>
      </c>
      <c r="H6931" s="379">
        <v>15.529281491648657</v>
      </c>
      <c r="I6931" s="25">
        <v>54.52</v>
      </c>
      <c r="J6931" s="379">
        <v>7.4557133993584204</v>
      </c>
    </row>
    <row r="6932" spans="1:10" x14ac:dyDescent="0.35">
      <c r="A6932" s="5">
        <v>6928</v>
      </c>
      <c r="B6932" s="5">
        <v>289</v>
      </c>
      <c r="C6932" s="5">
        <v>10</v>
      </c>
      <c r="D6932" s="379">
        <v>36.404999999999994</v>
      </c>
      <c r="E6932" s="25">
        <v>25.29</v>
      </c>
      <c r="F6932" s="379">
        <v>15.494436077038925</v>
      </c>
      <c r="G6932" s="25">
        <v>47.85</v>
      </c>
      <c r="H6932" s="379">
        <v>16.947883468904603</v>
      </c>
      <c r="I6932" s="25">
        <v>55.07</v>
      </c>
      <c r="J6932" s="379">
        <v>7.2397591778795931</v>
      </c>
    </row>
    <row r="6933" spans="1:10" x14ac:dyDescent="0.35">
      <c r="A6933" s="5">
        <v>6929</v>
      </c>
      <c r="B6933" s="5">
        <v>289</v>
      </c>
      <c r="C6933" s="5">
        <v>10</v>
      </c>
      <c r="D6933" s="379">
        <v>49.466111111111111</v>
      </c>
      <c r="E6933" s="25">
        <v>25.59</v>
      </c>
      <c r="F6933" s="379">
        <v>21.915462900078523</v>
      </c>
      <c r="G6933" s="25">
        <v>49.84</v>
      </c>
      <c r="H6933" s="379">
        <v>18.588327818854278</v>
      </c>
      <c r="I6933" s="25">
        <v>56.52</v>
      </c>
      <c r="J6933" s="379">
        <v>6.6287568093334119</v>
      </c>
    </row>
    <row r="6934" spans="1:10" x14ac:dyDescent="0.35">
      <c r="A6934" s="5">
        <v>6930</v>
      </c>
      <c r="B6934" s="5">
        <v>289</v>
      </c>
      <c r="C6934" s="5">
        <v>10</v>
      </c>
      <c r="D6934" s="379">
        <v>56.363888888888887</v>
      </c>
      <c r="E6934" s="25">
        <v>27.3</v>
      </c>
      <c r="F6934" s="379">
        <v>21.55268352816454</v>
      </c>
      <c r="G6934" s="25">
        <v>52.67</v>
      </c>
      <c r="H6934" s="379">
        <v>18.640438436972754</v>
      </c>
      <c r="I6934" s="25">
        <v>66.06</v>
      </c>
      <c r="J6934" s="379">
        <v>5.7080139446929508</v>
      </c>
    </row>
    <row r="6935" spans="1:10" x14ac:dyDescent="0.35">
      <c r="A6935" s="5">
        <v>6931</v>
      </c>
      <c r="B6935" s="5">
        <v>289</v>
      </c>
      <c r="C6935" s="5">
        <v>10</v>
      </c>
      <c r="D6935" s="379">
        <v>57.097222222222221</v>
      </c>
      <c r="E6935" s="25">
        <v>28.12</v>
      </c>
      <c r="F6935" s="379">
        <v>21.430758494995949</v>
      </c>
      <c r="G6935" s="25">
        <v>52.67</v>
      </c>
      <c r="H6935" s="379">
        <v>20.859392458183958</v>
      </c>
      <c r="I6935" s="25">
        <v>66.06</v>
      </c>
      <c r="J6935" s="379">
        <v>6.8343621302342346</v>
      </c>
    </row>
    <row r="6936" spans="1:10" x14ac:dyDescent="0.35">
      <c r="A6936" s="5">
        <v>6932</v>
      </c>
      <c r="B6936" s="5">
        <v>289</v>
      </c>
      <c r="C6936" s="5">
        <v>10</v>
      </c>
      <c r="D6936" s="379">
        <v>49.454444444444441</v>
      </c>
      <c r="E6936" s="25">
        <v>25.74</v>
      </c>
      <c r="F6936" s="379">
        <v>21.905493281209484</v>
      </c>
      <c r="G6936" s="25">
        <v>52.2</v>
      </c>
      <c r="H6936" s="379">
        <v>21.463048198083548</v>
      </c>
      <c r="I6936" s="25">
        <v>66.06</v>
      </c>
      <c r="J6936" s="379">
        <v>5.8694432935395149</v>
      </c>
    </row>
    <row r="6937" spans="1:10" x14ac:dyDescent="0.35">
      <c r="A6937" s="5">
        <v>6933</v>
      </c>
      <c r="B6937" s="5">
        <v>289</v>
      </c>
      <c r="C6937" s="5">
        <v>10</v>
      </c>
      <c r="D6937" s="379">
        <v>44.712222222222223</v>
      </c>
      <c r="E6937" s="25">
        <v>25.29</v>
      </c>
      <c r="F6937" s="379">
        <v>21.877835205151523</v>
      </c>
      <c r="G6937" s="25">
        <v>47.85</v>
      </c>
      <c r="H6937" s="379">
        <v>17.496662858573622</v>
      </c>
      <c r="I6937" s="25">
        <v>64.14</v>
      </c>
      <c r="J6937" s="379">
        <v>5.3378861767351999</v>
      </c>
    </row>
    <row r="6938" spans="1:10" x14ac:dyDescent="0.35">
      <c r="A6938" s="5">
        <v>6934</v>
      </c>
      <c r="B6938" s="5">
        <v>289</v>
      </c>
      <c r="C6938" s="5">
        <v>10</v>
      </c>
      <c r="D6938" s="379">
        <v>43.188333333333333</v>
      </c>
      <c r="E6938" s="25">
        <v>25.29</v>
      </c>
      <c r="F6938" s="379">
        <v>21.833918852788454</v>
      </c>
      <c r="G6938" s="25">
        <v>47.85</v>
      </c>
      <c r="H6938" s="379">
        <v>16.137498181842172</v>
      </c>
      <c r="I6938" s="25">
        <v>64.14</v>
      </c>
      <c r="J6938" s="379">
        <v>6.4340886747772386</v>
      </c>
    </row>
    <row r="6939" spans="1:10" x14ac:dyDescent="0.35">
      <c r="A6939" s="5">
        <v>6935</v>
      </c>
      <c r="B6939" s="5">
        <v>289</v>
      </c>
      <c r="C6939" s="5">
        <v>10</v>
      </c>
      <c r="D6939" s="379">
        <v>42.369444444444454</v>
      </c>
      <c r="E6939" s="25">
        <v>24.99</v>
      </c>
      <c r="F6939" s="379">
        <v>20.585000386225797</v>
      </c>
      <c r="G6939" s="25">
        <v>47.45</v>
      </c>
      <c r="H6939" s="379">
        <v>16.137498181842172</v>
      </c>
      <c r="I6939" s="25">
        <v>64.14</v>
      </c>
      <c r="J6939" s="379">
        <v>6.4844753937234847</v>
      </c>
    </row>
    <row r="6940" spans="1:10" x14ac:dyDescent="0.35">
      <c r="A6940" s="5">
        <v>6936</v>
      </c>
      <c r="B6940" s="5">
        <v>289</v>
      </c>
      <c r="C6940" s="5">
        <v>10</v>
      </c>
      <c r="D6940" s="379">
        <v>40.26</v>
      </c>
      <c r="E6940" s="25">
        <v>24.84</v>
      </c>
      <c r="F6940" s="379">
        <v>21.093146713171084</v>
      </c>
      <c r="G6940" s="25">
        <v>46.98</v>
      </c>
      <c r="H6940" s="379">
        <v>18.273842045510072</v>
      </c>
      <c r="I6940" s="25">
        <v>56.15</v>
      </c>
      <c r="J6940" s="379">
        <v>6.7312389762867229</v>
      </c>
    </row>
    <row r="6941" spans="1:10" x14ac:dyDescent="0.35">
      <c r="A6941" s="5">
        <v>6937</v>
      </c>
      <c r="B6941" s="5">
        <v>290</v>
      </c>
      <c r="C6941" s="5">
        <v>10</v>
      </c>
      <c r="D6941" s="379">
        <v>41.312777777777782</v>
      </c>
      <c r="E6941" s="25">
        <v>24.84</v>
      </c>
      <c r="F6941" s="379">
        <v>20.575053451036244</v>
      </c>
      <c r="G6941" s="25">
        <v>43.56</v>
      </c>
      <c r="H6941" s="379">
        <v>15.531552577628807</v>
      </c>
      <c r="I6941" s="25">
        <v>53.71</v>
      </c>
      <c r="J6941" s="379">
        <v>6.2646370819005446</v>
      </c>
    </row>
    <row r="6942" spans="1:10" x14ac:dyDescent="0.35">
      <c r="A6942" s="5">
        <v>6938</v>
      </c>
      <c r="B6942" s="5">
        <v>290</v>
      </c>
      <c r="C6942" s="5">
        <v>10</v>
      </c>
      <c r="D6942" s="379">
        <v>39.00611111111111</v>
      </c>
      <c r="E6942" s="25">
        <v>24.84</v>
      </c>
      <c r="F6942" s="379">
        <v>20.567234770955171</v>
      </c>
      <c r="G6942" s="25">
        <v>43.56</v>
      </c>
      <c r="H6942" s="379">
        <v>16.941411081263361</v>
      </c>
      <c r="I6942" s="25">
        <v>53.17</v>
      </c>
      <c r="J6942" s="379">
        <v>7.0285928380175058</v>
      </c>
    </row>
    <row r="6943" spans="1:10" x14ac:dyDescent="0.35">
      <c r="A6943" s="5">
        <v>6939</v>
      </c>
      <c r="B6943" s="5">
        <v>290</v>
      </c>
      <c r="C6943" s="5">
        <v>10</v>
      </c>
      <c r="D6943" s="379">
        <v>34.985555555555557</v>
      </c>
      <c r="E6943" s="25">
        <v>24.84</v>
      </c>
      <c r="F6943" s="379">
        <v>21.139716214401034</v>
      </c>
      <c r="G6943" s="25">
        <v>43.56</v>
      </c>
      <c r="H6943" s="379">
        <v>16.917852476643041</v>
      </c>
      <c r="I6943" s="25">
        <v>51.02</v>
      </c>
      <c r="J6943" s="379">
        <v>6.8639373260456216</v>
      </c>
    </row>
    <row r="6944" spans="1:10" x14ac:dyDescent="0.35">
      <c r="A6944" s="5">
        <v>6940</v>
      </c>
      <c r="B6944" s="5">
        <v>290</v>
      </c>
      <c r="C6944" s="5">
        <v>10</v>
      </c>
      <c r="D6944" s="379">
        <v>33.995555555555548</v>
      </c>
      <c r="E6944" s="25">
        <v>24.84</v>
      </c>
      <c r="F6944" s="379">
        <v>19.87318587242984</v>
      </c>
      <c r="G6944" s="25">
        <v>43.56</v>
      </c>
      <c r="H6944" s="379">
        <v>15.191671348423291</v>
      </c>
      <c r="I6944" s="25">
        <v>51.02</v>
      </c>
      <c r="J6944" s="379">
        <v>4.9890883153947456</v>
      </c>
    </row>
    <row r="6945" spans="1:10" x14ac:dyDescent="0.35">
      <c r="A6945" s="5">
        <v>6941</v>
      </c>
      <c r="B6945" s="5">
        <v>290</v>
      </c>
      <c r="C6945" s="5">
        <v>10</v>
      </c>
      <c r="D6945" s="379">
        <v>41.744444444444433</v>
      </c>
      <c r="E6945" s="25">
        <v>24.84</v>
      </c>
      <c r="F6945" s="379">
        <v>19.860611697444384</v>
      </c>
      <c r="G6945" s="25">
        <v>43.56</v>
      </c>
      <c r="H6945" s="379">
        <v>15.338268057233529</v>
      </c>
      <c r="I6945" s="25">
        <v>51.02</v>
      </c>
      <c r="J6945" s="379">
        <v>4.8243209127870026</v>
      </c>
    </row>
    <row r="6946" spans="1:10" x14ac:dyDescent="0.35">
      <c r="A6946" s="5">
        <v>6942</v>
      </c>
      <c r="B6946" s="5">
        <v>290</v>
      </c>
      <c r="C6946" s="5">
        <v>10</v>
      </c>
      <c r="D6946" s="379">
        <v>49.198333333333323</v>
      </c>
      <c r="E6946" s="25">
        <v>24.84</v>
      </c>
      <c r="F6946" s="379">
        <v>21.274356211303981</v>
      </c>
      <c r="G6946" s="25">
        <v>43.56</v>
      </c>
      <c r="H6946" s="379">
        <v>15.408421847358019</v>
      </c>
      <c r="I6946" s="25">
        <v>51.02</v>
      </c>
      <c r="J6946" s="379">
        <v>3.573308896267013</v>
      </c>
    </row>
    <row r="6947" spans="1:10" x14ac:dyDescent="0.35">
      <c r="A6947" s="5">
        <v>6943</v>
      </c>
      <c r="B6947" s="5">
        <v>290</v>
      </c>
      <c r="C6947" s="5">
        <v>10</v>
      </c>
      <c r="D6947" s="379">
        <v>53.679999999999993</v>
      </c>
      <c r="E6947" s="25">
        <v>24.84</v>
      </c>
      <c r="F6947" s="379">
        <v>23.478037408166923</v>
      </c>
      <c r="G6947" s="25">
        <v>43.56</v>
      </c>
      <c r="H6947" s="379">
        <v>18.62944535317212</v>
      </c>
      <c r="I6947" s="25">
        <v>53.71</v>
      </c>
      <c r="J6947" s="379">
        <v>5.5497378110099964</v>
      </c>
    </row>
    <row r="6948" spans="1:10" x14ac:dyDescent="0.35">
      <c r="A6948" s="5">
        <v>6944</v>
      </c>
      <c r="B6948" s="5">
        <v>290</v>
      </c>
      <c r="C6948" s="5">
        <v>10</v>
      </c>
      <c r="D6948" s="379">
        <v>58.651666666666671</v>
      </c>
      <c r="E6948" s="25">
        <v>24.84</v>
      </c>
      <c r="F6948" s="379">
        <v>23.098536624899438</v>
      </c>
      <c r="G6948" s="25">
        <v>46.98</v>
      </c>
      <c r="H6948" s="379">
        <v>19.283058075053507</v>
      </c>
      <c r="I6948" s="25">
        <v>54.32</v>
      </c>
      <c r="J6948" s="379">
        <v>5.7666522417211459</v>
      </c>
    </row>
    <row r="6949" spans="1:10" x14ac:dyDescent="0.35">
      <c r="A6949" s="5">
        <v>6945</v>
      </c>
      <c r="B6949" s="5">
        <v>290</v>
      </c>
      <c r="C6949" s="5">
        <v>10</v>
      </c>
      <c r="D6949" s="379">
        <v>55.317777777777771</v>
      </c>
      <c r="E6949" s="25">
        <v>25.03</v>
      </c>
      <c r="F6949" s="379">
        <v>23.495541848038247</v>
      </c>
      <c r="G6949" s="25">
        <v>47.46</v>
      </c>
      <c r="H6949" s="379">
        <v>21.715799477732869</v>
      </c>
      <c r="I6949" s="25">
        <v>54.87</v>
      </c>
      <c r="J6949" s="379">
        <v>5.2335311022960562</v>
      </c>
    </row>
    <row r="6950" spans="1:10" x14ac:dyDescent="0.35">
      <c r="A6950" s="5">
        <v>6946</v>
      </c>
      <c r="B6950" s="5">
        <v>290</v>
      </c>
      <c r="C6950" s="5">
        <v>10</v>
      </c>
      <c r="D6950" s="379">
        <v>50.819444444444443</v>
      </c>
      <c r="E6950" s="25">
        <v>25.29</v>
      </c>
      <c r="F6950" s="379">
        <v>23.403514897463371</v>
      </c>
      <c r="G6950" s="25">
        <v>47.85</v>
      </c>
      <c r="H6950" s="379">
        <v>24.755896283357998</v>
      </c>
      <c r="I6950" s="25">
        <v>54.86</v>
      </c>
      <c r="J6950" s="379">
        <v>7.1881085514866925</v>
      </c>
    </row>
    <row r="6951" spans="1:10" x14ac:dyDescent="0.35">
      <c r="A6951" s="5">
        <v>6947</v>
      </c>
      <c r="B6951" s="5">
        <v>290</v>
      </c>
      <c r="C6951" s="5">
        <v>10</v>
      </c>
      <c r="D6951" s="379">
        <v>48.87222222222222</v>
      </c>
      <c r="E6951" s="25">
        <v>25.29</v>
      </c>
      <c r="F6951" s="379">
        <v>23.087869707894519</v>
      </c>
      <c r="G6951" s="25">
        <v>47.85</v>
      </c>
      <c r="H6951" s="379">
        <v>23.95876351350012</v>
      </c>
      <c r="I6951" s="25">
        <v>53.71</v>
      </c>
      <c r="J6951" s="379">
        <v>7.826986304050501</v>
      </c>
    </row>
    <row r="6952" spans="1:10" x14ac:dyDescent="0.35">
      <c r="A6952" s="5">
        <v>6948</v>
      </c>
      <c r="B6952" s="5">
        <v>290</v>
      </c>
      <c r="C6952" s="5">
        <v>10</v>
      </c>
      <c r="D6952" s="379">
        <v>48.174999999999997</v>
      </c>
      <c r="E6952" s="25">
        <v>25.29</v>
      </c>
      <c r="F6952" s="379">
        <v>23.496307342821762</v>
      </c>
      <c r="G6952" s="25">
        <v>47.85</v>
      </c>
      <c r="H6952" s="379">
        <v>24.223800540665163</v>
      </c>
      <c r="I6952" s="25">
        <v>53.71</v>
      </c>
      <c r="J6952" s="379">
        <v>7.628232279643278</v>
      </c>
    </row>
    <row r="6953" spans="1:10" x14ac:dyDescent="0.35">
      <c r="A6953" s="5">
        <v>6949</v>
      </c>
      <c r="B6953" s="5">
        <v>290</v>
      </c>
      <c r="C6953" s="5">
        <v>10</v>
      </c>
      <c r="D6953" s="379">
        <v>45.267222222222216</v>
      </c>
      <c r="E6953" s="25">
        <v>24.99</v>
      </c>
      <c r="F6953" s="379">
        <v>23.713192869038757</v>
      </c>
      <c r="G6953" s="25">
        <v>46.98</v>
      </c>
      <c r="H6953" s="379">
        <v>23.583952577814173</v>
      </c>
      <c r="I6953" s="25">
        <v>53.71</v>
      </c>
      <c r="J6953" s="379">
        <v>7.8827992531080646</v>
      </c>
    </row>
    <row r="6954" spans="1:10" x14ac:dyDescent="0.35">
      <c r="A6954" s="5">
        <v>6950</v>
      </c>
      <c r="B6954" s="5">
        <v>290</v>
      </c>
      <c r="C6954" s="5">
        <v>10</v>
      </c>
      <c r="D6954" s="379">
        <v>45.443333333333328</v>
      </c>
      <c r="E6954" s="25">
        <v>24.84</v>
      </c>
      <c r="F6954" s="379">
        <v>24.177706611160271</v>
      </c>
      <c r="G6954" s="25">
        <v>46.98</v>
      </c>
      <c r="H6954" s="379">
        <v>25.825804458127497</v>
      </c>
      <c r="I6954" s="25">
        <v>53.71</v>
      </c>
      <c r="J6954" s="379">
        <v>8.9567440484202834</v>
      </c>
    </row>
    <row r="6955" spans="1:10" x14ac:dyDescent="0.35">
      <c r="A6955" s="5">
        <v>6951</v>
      </c>
      <c r="B6955" s="5">
        <v>290</v>
      </c>
      <c r="C6955" s="5">
        <v>10</v>
      </c>
      <c r="D6955" s="379">
        <v>45.935555555555553</v>
      </c>
      <c r="E6955" s="25">
        <v>24.84</v>
      </c>
      <c r="F6955" s="379">
        <v>24.352604907132079</v>
      </c>
      <c r="G6955" s="25">
        <v>46.98</v>
      </c>
      <c r="H6955" s="379">
        <v>138.88888888888889</v>
      </c>
      <c r="I6955" s="25">
        <v>53.71</v>
      </c>
      <c r="J6955" s="379">
        <v>14.095958164530741</v>
      </c>
    </row>
    <row r="6956" spans="1:10" x14ac:dyDescent="0.35">
      <c r="A6956" s="5">
        <v>6952</v>
      </c>
      <c r="B6956" s="5">
        <v>290</v>
      </c>
      <c r="C6956" s="5">
        <v>10</v>
      </c>
      <c r="D6956" s="379">
        <v>51.882777777777768</v>
      </c>
      <c r="E6956" s="25">
        <v>24.84</v>
      </c>
      <c r="F6956" s="379">
        <v>30.431466504408021</v>
      </c>
      <c r="G6956" s="25">
        <v>47.46</v>
      </c>
      <c r="H6956" s="379">
        <v>138.88888888888889</v>
      </c>
      <c r="I6956" s="25">
        <v>53.71</v>
      </c>
      <c r="J6956" s="379">
        <v>13.65244555178008</v>
      </c>
    </row>
    <row r="6957" spans="1:10" x14ac:dyDescent="0.35">
      <c r="A6957" s="5">
        <v>6953</v>
      </c>
      <c r="B6957" s="5">
        <v>290</v>
      </c>
      <c r="C6957" s="5">
        <v>10</v>
      </c>
      <c r="D6957" s="379">
        <v>57.413888888888877</v>
      </c>
      <c r="E6957" s="25">
        <v>25.6</v>
      </c>
      <c r="F6957" s="379">
        <v>26.861696701383785</v>
      </c>
      <c r="G6957" s="25">
        <v>47.85</v>
      </c>
      <c r="H6957" s="379">
        <v>138.88888888888889</v>
      </c>
      <c r="I6957" s="25">
        <v>64.14</v>
      </c>
      <c r="J6957" s="379">
        <v>15.447402317020266</v>
      </c>
    </row>
    <row r="6958" spans="1:10" x14ac:dyDescent="0.35">
      <c r="A6958" s="5">
        <v>6954</v>
      </c>
      <c r="B6958" s="5">
        <v>290</v>
      </c>
      <c r="C6958" s="5">
        <v>10</v>
      </c>
      <c r="D6958" s="379">
        <v>65.743333333333339</v>
      </c>
      <c r="E6958" s="25">
        <v>28.12</v>
      </c>
      <c r="F6958" s="379">
        <v>26.341243469826615</v>
      </c>
      <c r="G6958" s="25">
        <v>53.77</v>
      </c>
      <c r="H6958" s="379">
        <v>138.88888888888889</v>
      </c>
      <c r="I6958" s="25">
        <v>74.349999999999994</v>
      </c>
      <c r="J6958" s="379">
        <v>15.200355134970374</v>
      </c>
    </row>
    <row r="6959" spans="1:10" x14ac:dyDescent="0.35">
      <c r="A6959" s="5">
        <v>6955</v>
      </c>
      <c r="B6959" s="5">
        <v>290</v>
      </c>
      <c r="C6959" s="5">
        <v>10</v>
      </c>
      <c r="D6959" s="379">
        <v>66.704444444444448</v>
      </c>
      <c r="E6959" s="25">
        <v>28.12</v>
      </c>
      <c r="F6959" s="379">
        <v>26.341243469826615</v>
      </c>
      <c r="G6959" s="25">
        <v>56.29</v>
      </c>
      <c r="H6959" s="379">
        <v>138.88888888888889</v>
      </c>
      <c r="I6959" s="25">
        <v>74.349999999999994</v>
      </c>
      <c r="J6959" s="379">
        <v>15.503967362755555</v>
      </c>
    </row>
    <row r="6960" spans="1:10" x14ac:dyDescent="0.35">
      <c r="A6960" s="5">
        <v>6956</v>
      </c>
      <c r="B6960" s="5">
        <v>290</v>
      </c>
      <c r="C6960" s="5">
        <v>10</v>
      </c>
      <c r="D6960" s="379">
        <v>57.168333333333329</v>
      </c>
      <c r="E6960" s="25">
        <v>28.12</v>
      </c>
      <c r="F6960" s="379">
        <v>26.881324243257811</v>
      </c>
      <c r="G6960" s="25">
        <v>56.29</v>
      </c>
      <c r="H6960" s="379">
        <v>138.88888888888889</v>
      </c>
      <c r="I6960" s="25">
        <v>72.19</v>
      </c>
      <c r="J6960" s="379">
        <v>15.77496542489874</v>
      </c>
    </row>
    <row r="6961" spans="1:10" x14ac:dyDescent="0.35">
      <c r="A6961" s="5">
        <v>6957</v>
      </c>
      <c r="B6961" s="5">
        <v>290</v>
      </c>
      <c r="C6961" s="5">
        <v>10</v>
      </c>
      <c r="D6961" s="379">
        <v>50.570555555555558</v>
      </c>
      <c r="E6961" s="25">
        <v>25.74</v>
      </c>
      <c r="F6961" s="379">
        <v>29.38367002324544</v>
      </c>
      <c r="G6961" s="25">
        <v>52.2</v>
      </c>
      <c r="H6961" s="379">
        <v>138.88888888888889</v>
      </c>
      <c r="I6961" s="25">
        <v>70.09</v>
      </c>
      <c r="J6961" s="379">
        <v>14.296814409941666</v>
      </c>
    </row>
    <row r="6962" spans="1:10" x14ac:dyDescent="0.35">
      <c r="A6962" s="5">
        <v>6958</v>
      </c>
      <c r="B6962" s="5">
        <v>290</v>
      </c>
      <c r="C6962" s="5">
        <v>10</v>
      </c>
      <c r="D6962" s="379">
        <v>49.356111111111098</v>
      </c>
      <c r="E6962" s="25">
        <v>25.59</v>
      </c>
      <c r="F6962" s="379">
        <v>29.596569411329913</v>
      </c>
      <c r="G6962" s="25">
        <v>52.2</v>
      </c>
      <c r="H6962" s="379">
        <v>138.88888888888889</v>
      </c>
      <c r="I6962" s="25">
        <v>66.06</v>
      </c>
      <c r="J6962" s="379">
        <v>14.981315703048054</v>
      </c>
    </row>
    <row r="6963" spans="1:10" x14ac:dyDescent="0.35">
      <c r="A6963" s="5">
        <v>6959</v>
      </c>
      <c r="B6963" s="5">
        <v>290</v>
      </c>
      <c r="C6963" s="5">
        <v>10</v>
      </c>
      <c r="D6963" s="379">
        <v>43.244999999999997</v>
      </c>
      <c r="E6963" s="25">
        <v>25.29</v>
      </c>
      <c r="F6963" s="379">
        <v>21.230224620726869</v>
      </c>
      <c r="G6963" s="25">
        <v>47.85</v>
      </c>
      <c r="H6963" s="379">
        <v>138.88888888888889</v>
      </c>
      <c r="I6963" s="25">
        <v>64.14</v>
      </c>
      <c r="J6963" s="379">
        <v>12.030291177639043</v>
      </c>
    </row>
    <row r="6964" spans="1:10" x14ac:dyDescent="0.35">
      <c r="A6964" s="5">
        <v>6960</v>
      </c>
      <c r="B6964" s="5">
        <v>290</v>
      </c>
      <c r="C6964" s="5">
        <v>10</v>
      </c>
      <c r="D6964" s="379">
        <v>42.758888888888883</v>
      </c>
      <c r="E6964" s="25">
        <v>24.99</v>
      </c>
      <c r="F6964" s="379">
        <v>20.813486951308107</v>
      </c>
      <c r="G6964" s="25">
        <v>47.85</v>
      </c>
      <c r="H6964" s="379">
        <v>138.88888888888889</v>
      </c>
      <c r="I6964" s="25">
        <v>66.06</v>
      </c>
      <c r="J6964" s="379">
        <v>14.46822471888345</v>
      </c>
    </row>
    <row r="6965" spans="1:10" x14ac:dyDescent="0.35">
      <c r="A6965" s="5">
        <v>6961</v>
      </c>
      <c r="B6965" s="5">
        <v>291</v>
      </c>
      <c r="C6965" s="5">
        <v>10</v>
      </c>
      <c r="D6965" s="379">
        <v>40.988333333333337</v>
      </c>
      <c r="E6965" s="25">
        <v>24.84</v>
      </c>
      <c r="F6965" s="379">
        <v>21.716618340535923</v>
      </c>
      <c r="G6965" s="25">
        <v>47.85</v>
      </c>
      <c r="H6965" s="379">
        <v>138.88888888888889</v>
      </c>
      <c r="I6965" s="25">
        <v>82.45</v>
      </c>
      <c r="J6965" s="379">
        <v>15.642516195516862</v>
      </c>
    </row>
    <row r="6966" spans="1:10" x14ac:dyDescent="0.35">
      <c r="A6966" s="5">
        <v>6962</v>
      </c>
      <c r="B6966" s="5">
        <v>291</v>
      </c>
      <c r="C6966" s="5">
        <v>10</v>
      </c>
      <c r="D6966" s="379">
        <v>42.134999999999991</v>
      </c>
      <c r="E6966" s="25">
        <v>24.84</v>
      </c>
      <c r="F6966" s="379">
        <v>21.773305677216246</v>
      </c>
      <c r="G6966" s="25">
        <v>47.85</v>
      </c>
      <c r="H6966" s="379">
        <v>138.88888888888889</v>
      </c>
      <c r="I6966" s="25">
        <v>82.45</v>
      </c>
      <c r="J6966" s="379">
        <v>14.496521348354323</v>
      </c>
    </row>
    <row r="6967" spans="1:10" x14ac:dyDescent="0.35">
      <c r="A6967" s="5">
        <v>6963</v>
      </c>
      <c r="B6967" s="5">
        <v>291</v>
      </c>
      <c r="C6967" s="5">
        <v>10</v>
      </c>
      <c r="D6967" s="379">
        <v>42.084444444444443</v>
      </c>
      <c r="E6967" s="25">
        <v>24.84</v>
      </c>
      <c r="F6967" s="379">
        <v>20.92450118584409</v>
      </c>
      <c r="G6967" s="25">
        <v>47.85</v>
      </c>
      <c r="H6967" s="379">
        <v>138.88888888888889</v>
      </c>
      <c r="I6967" s="25">
        <v>77.72</v>
      </c>
      <c r="J6967" s="379">
        <v>16.17457059856827</v>
      </c>
    </row>
    <row r="6968" spans="1:10" x14ac:dyDescent="0.35">
      <c r="A6968" s="5">
        <v>6964</v>
      </c>
      <c r="B6968" s="5">
        <v>291</v>
      </c>
      <c r="C6968" s="5">
        <v>10</v>
      </c>
      <c r="D6968" s="379">
        <v>42.384999999999998</v>
      </c>
      <c r="E6968" s="25">
        <v>24.84</v>
      </c>
      <c r="F6968" s="379">
        <v>21.450948395138482</v>
      </c>
      <c r="G6968" s="25">
        <v>47.85</v>
      </c>
      <c r="H6968" s="379">
        <v>138.88888888888889</v>
      </c>
      <c r="I6968" s="25">
        <v>82.45</v>
      </c>
      <c r="J6968" s="379">
        <v>16.693206046159688</v>
      </c>
    </row>
    <row r="6969" spans="1:10" x14ac:dyDescent="0.35">
      <c r="A6969" s="5">
        <v>6965</v>
      </c>
      <c r="B6969" s="5">
        <v>291</v>
      </c>
      <c r="C6969" s="5">
        <v>10</v>
      </c>
      <c r="D6969" s="379">
        <v>42.351111111111109</v>
      </c>
      <c r="E6969" s="25">
        <v>25.29</v>
      </c>
      <c r="F6969" s="379">
        <v>20.424665420966299</v>
      </c>
      <c r="G6969" s="25">
        <v>53.77</v>
      </c>
      <c r="H6969" s="379">
        <v>138.88888888888889</v>
      </c>
      <c r="I6969" s="25">
        <v>528.20000000000005</v>
      </c>
      <c r="J6969" s="379">
        <v>15.30975869230047</v>
      </c>
    </row>
    <row r="6970" spans="1:10" x14ac:dyDescent="0.35">
      <c r="A6970" s="5">
        <v>6966</v>
      </c>
      <c r="B6970" s="5">
        <v>291</v>
      </c>
      <c r="C6970" s="5">
        <v>10</v>
      </c>
      <c r="D6970" s="379">
        <v>48.956111111111106</v>
      </c>
      <c r="E6970" s="25">
        <v>27.3</v>
      </c>
      <c r="F6970" s="379">
        <v>20.562601944866724</v>
      </c>
      <c r="G6970" s="25">
        <v>62.12</v>
      </c>
      <c r="H6970" s="379">
        <v>138.88888888888889</v>
      </c>
      <c r="I6970" s="25">
        <v>603.30999999999995</v>
      </c>
      <c r="J6970" s="379">
        <v>14.999726119638661</v>
      </c>
    </row>
    <row r="6971" spans="1:10" x14ac:dyDescent="0.35">
      <c r="A6971" s="5">
        <v>6967</v>
      </c>
      <c r="B6971" s="5">
        <v>291</v>
      </c>
      <c r="C6971" s="5">
        <v>10</v>
      </c>
      <c r="D6971" s="379">
        <v>57.858333333333334</v>
      </c>
      <c r="E6971" s="25">
        <v>35.869999999999997</v>
      </c>
      <c r="F6971" s="379">
        <v>24.184979998732192</v>
      </c>
      <c r="G6971" s="25">
        <v>62.12</v>
      </c>
      <c r="H6971" s="379">
        <v>138.88888888888889</v>
      </c>
      <c r="I6971" s="25">
        <v>843.72</v>
      </c>
      <c r="J6971" s="379">
        <v>17.241483014974193</v>
      </c>
    </row>
    <row r="6972" spans="1:10" x14ac:dyDescent="0.35">
      <c r="A6972" s="5">
        <v>6968</v>
      </c>
      <c r="B6972" s="5">
        <v>291</v>
      </c>
      <c r="C6972" s="5">
        <v>10</v>
      </c>
      <c r="D6972" s="379">
        <v>64.663333333333341</v>
      </c>
      <c r="E6972" s="25">
        <v>35.869999999999997</v>
      </c>
      <c r="F6972" s="379">
        <v>25.481579147813932</v>
      </c>
      <c r="G6972" s="25">
        <v>62.12</v>
      </c>
      <c r="H6972" s="379">
        <v>138.88888888888889</v>
      </c>
      <c r="I6972" s="25">
        <v>843.72</v>
      </c>
      <c r="J6972" s="379">
        <v>15.286958642756403</v>
      </c>
    </row>
    <row r="6973" spans="1:10" x14ac:dyDescent="0.35">
      <c r="A6973" s="5">
        <v>6969</v>
      </c>
      <c r="B6973" s="5">
        <v>291</v>
      </c>
      <c r="C6973" s="5">
        <v>10</v>
      </c>
      <c r="D6973" s="379">
        <v>58.419444444444451</v>
      </c>
      <c r="E6973" s="25">
        <v>36.01</v>
      </c>
      <c r="F6973" s="379">
        <v>24.582106503218132</v>
      </c>
      <c r="G6973" s="25">
        <v>62.12</v>
      </c>
      <c r="H6973" s="379">
        <v>138.88888888888889</v>
      </c>
      <c r="I6973" s="25">
        <v>843.72</v>
      </c>
      <c r="J6973" s="379">
        <v>13.901584995986108</v>
      </c>
    </row>
    <row r="6974" spans="1:10" x14ac:dyDescent="0.35">
      <c r="A6974" s="5">
        <v>6970</v>
      </c>
      <c r="B6974" s="5">
        <v>291</v>
      </c>
      <c r="C6974" s="5">
        <v>10</v>
      </c>
      <c r="D6974" s="379">
        <v>54.456111111111113</v>
      </c>
      <c r="E6974" s="25">
        <v>35.869999999999997</v>
      </c>
      <c r="F6974" s="379">
        <v>26.670799385661311</v>
      </c>
      <c r="G6974" s="25">
        <v>62.12</v>
      </c>
      <c r="H6974" s="379">
        <v>43.447802770104005</v>
      </c>
      <c r="I6974" s="25">
        <v>843.72</v>
      </c>
      <c r="J6974" s="379">
        <v>17.852917382063691</v>
      </c>
    </row>
    <row r="6975" spans="1:10" x14ac:dyDescent="0.35">
      <c r="A6975" s="5">
        <v>6971</v>
      </c>
      <c r="B6975" s="5">
        <v>291</v>
      </c>
      <c r="C6975" s="5">
        <v>10</v>
      </c>
      <c r="D6975" s="379">
        <v>50.657222222222224</v>
      </c>
      <c r="E6975" s="25">
        <v>35.869999999999997</v>
      </c>
      <c r="F6975" s="379">
        <v>25.018422396729058</v>
      </c>
      <c r="G6975" s="25">
        <v>62.12</v>
      </c>
      <c r="H6975" s="379">
        <v>138.88888888888889</v>
      </c>
      <c r="I6975" s="25">
        <v>843.72</v>
      </c>
      <c r="J6975" s="379">
        <v>14.419679254005167</v>
      </c>
    </row>
    <row r="6976" spans="1:10" x14ac:dyDescent="0.35">
      <c r="A6976" s="5">
        <v>6972</v>
      </c>
      <c r="B6976" s="5">
        <v>291</v>
      </c>
      <c r="C6976" s="5">
        <v>10</v>
      </c>
      <c r="D6976" s="379">
        <v>43.094999999999999</v>
      </c>
      <c r="E6976" s="25">
        <v>35.869999999999997</v>
      </c>
      <c r="F6976" s="379">
        <v>24.972283823811644</v>
      </c>
      <c r="G6976" s="25">
        <v>62.12</v>
      </c>
      <c r="H6976" s="379">
        <v>132.61341135113608</v>
      </c>
      <c r="I6976" s="25">
        <v>843.72</v>
      </c>
      <c r="J6976" s="379">
        <v>16.064485545535568</v>
      </c>
    </row>
    <row r="6977" spans="1:10" x14ac:dyDescent="0.35">
      <c r="A6977" s="5">
        <v>6973</v>
      </c>
      <c r="B6977" s="5">
        <v>291</v>
      </c>
      <c r="C6977" s="5">
        <v>10</v>
      </c>
      <c r="D6977" s="379">
        <v>46.366666666666667</v>
      </c>
      <c r="E6977" s="25">
        <v>35.869999999999997</v>
      </c>
      <c r="F6977" s="379">
        <v>24.878266789929956</v>
      </c>
      <c r="G6977" s="25">
        <v>62.12</v>
      </c>
      <c r="H6977" s="379">
        <v>138.88888888888889</v>
      </c>
      <c r="I6977" s="25">
        <v>819.14</v>
      </c>
      <c r="J6977" s="379">
        <v>15.54170509895259</v>
      </c>
    </row>
    <row r="6978" spans="1:10" x14ac:dyDescent="0.35">
      <c r="A6978" s="5">
        <v>6974</v>
      </c>
      <c r="B6978" s="5">
        <v>291</v>
      </c>
      <c r="C6978" s="5">
        <v>10</v>
      </c>
      <c r="D6978" s="379">
        <v>43.620000000000005</v>
      </c>
      <c r="E6978" s="25">
        <v>35.869999999999997</v>
      </c>
      <c r="F6978" s="379">
        <v>25.498610977950733</v>
      </c>
      <c r="G6978" s="25">
        <v>62.12</v>
      </c>
      <c r="H6978" s="379">
        <v>28.797390503551775</v>
      </c>
      <c r="I6978" s="25">
        <v>819.14</v>
      </c>
      <c r="J6978" s="379">
        <v>16.088858770429223</v>
      </c>
    </row>
    <row r="6979" spans="1:10" x14ac:dyDescent="0.35">
      <c r="A6979" s="5">
        <v>6975</v>
      </c>
      <c r="B6979" s="5">
        <v>291</v>
      </c>
      <c r="C6979" s="5">
        <v>10</v>
      </c>
      <c r="D6979" s="379">
        <v>46.556666666666665</v>
      </c>
      <c r="E6979" s="25">
        <v>35.869999999999997</v>
      </c>
      <c r="F6979" s="379">
        <v>25.62398204211452</v>
      </c>
      <c r="G6979" s="25">
        <v>62.12</v>
      </c>
      <c r="H6979" s="379">
        <v>77.263622236622936</v>
      </c>
      <c r="I6979" s="25">
        <v>819.14</v>
      </c>
      <c r="J6979" s="379">
        <v>18.695050728657119</v>
      </c>
    </row>
    <row r="6980" spans="1:10" x14ac:dyDescent="0.35">
      <c r="A6980" s="5">
        <v>6976</v>
      </c>
      <c r="B6980" s="5">
        <v>291</v>
      </c>
      <c r="C6980" s="5">
        <v>10</v>
      </c>
      <c r="D6980" s="379">
        <v>50.501111111111108</v>
      </c>
      <c r="E6980" s="25">
        <v>35.869999999999997</v>
      </c>
      <c r="F6980" s="379">
        <v>25.874207329773508</v>
      </c>
      <c r="G6980" s="25">
        <v>62.12</v>
      </c>
      <c r="H6980" s="379">
        <v>44.136426435987914</v>
      </c>
      <c r="I6980" s="25">
        <v>819.14</v>
      </c>
      <c r="J6980" s="379">
        <v>19.75860394137251</v>
      </c>
    </row>
    <row r="6981" spans="1:10" x14ac:dyDescent="0.35">
      <c r="A6981" s="5">
        <v>6977</v>
      </c>
      <c r="B6981" s="5">
        <v>291</v>
      </c>
      <c r="C6981" s="5">
        <v>10</v>
      </c>
      <c r="D6981" s="379">
        <v>62.977222222222224</v>
      </c>
      <c r="E6981" s="25">
        <v>35.869999999999997</v>
      </c>
      <c r="F6981" s="379">
        <v>29.74753605170573</v>
      </c>
      <c r="G6981" s="25">
        <v>62.12</v>
      </c>
      <c r="H6981" s="379">
        <v>138.88888888888889</v>
      </c>
      <c r="I6981" s="25">
        <v>819.14</v>
      </c>
      <c r="J6981" s="379">
        <v>19.869589510107559</v>
      </c>
    </row>
    <row r="6982" spans="1:10" x14ac:dyDescent="0.35">
      <c r="A6982" s="5">
        <v>6978</v>
      </c>
      <c r="B6982" s="5">
        <v>291</v>
      </c>
      <c r="C6982" s="5">
        <v>10</v>
      </c>
      <c r="D6982" s="379">
        <v>68.60499999999999</v>
      </c>
      <c r="E6982" s="25">
        <v>35.869999999999997</v>
      </c>
      <c r="F6982" s="379">
        <v>28.162364665527939</v>
      </c>
      <c r="G6982" s="25">
        <v>62.12</v>
      </c>
      <c r="H6982" s="379">
        <v>138.88888888888889</v>
      </c>
      <c r="I6982" s="25">
        <v>843.72</v>
      </c>
      <c r="J6982" s="379">
        <v>20.045032223626826</v>
      </c>
    </row>
    <row r="6983" spans="1:10" x14ac:dyDescent="0.35">
      <c r="A6983" s="5">
        <v>6979</v>
      </c>
      <c r="B6983" s="5">
        <v>291</v>
      </c>
      <c r="C6983" s="5">
        <v>10</v>
      </c>
      <c r="D6983" s="379">
        <v>67.512222222222221</v>
      </c>
      <c r="E6983" s="25">
        <v>36.01</v>
      </c>
      <c r="F6983" s="379">
        <v>28.27367960269569</v>
      </c>
      <c r="G6983" s="25">
        <v>62.53</v>
      </c>
      <c r="H6983" s="379">
        <v>138.88888888888889</v>
      </c>
      <c r="I6983" s="25">
        <v>843.72</v>
      </c>
      <c r="J6983" s="379">
        <v>17.956533385699316</v>
      </c>
    </row>
    <row r="6984" spans="1:10" x14ac:dyDescent="0.35">
      <c r="A6984" s="5">
        <v>6980</v>
      </c>
      <c r="B6984" s="5">
        <v>291</v>
      </c>
      <c r="C6984" s="5">
        <v>10</v>
      </c>
      <c r="D6984" s="379">
        <v>58.027222222222214</v>
      </c>
      <c r="E6984" s="25">
        <v>35.869999999999997</v>
      </c>
      <c r="F6984" s="379">
        <v>28.977640581184804</v>
      </c>
      <c r="G6984" s="25">
        <v>62.12</v>
      </c>
      <c r="H6984" s="379">
        <v>138.88888888888889</v>
      </c>
      <c r="I6984" s="25">
        <v>843.72</v>
      </c>
      <c r="J6984" s="379">
        <v>18.334736436649965</v>
      </c>
    </row>
    <row r="6985" spans="1:10" x14ac:dyDescent="0.35">
      <c r="A6985" s="5">
        <v>6981</v>
      </c>
      <c r="B6985" s="5">
        <v>291</v>
      </c>
      <c r="C6985" s="5">
        <v>10</v>
      </c>
      <c r="D6985" s="379">
        <v>54.568888888888893</v>
      </c>
      <c r="E6985" s="25">
        <v>28.99</v>
      </c>
      <c r="F6985" s="379">
        <v>29.105863739193762</v>
      </c>
      <c r="G6985" s="25">
        <v>62.12</v>
      </c>
      <c r="H6985" s="379">
        <v>138.88888888888889</v>
      </c>
      <c r="I6985" s="25">
        <v>603.30999999999995</v>
      </c>
      <c r="J6985" s="379">
        <v>16.446732565177342</v>
      </c>
    </row>
    <row r="6986" spans="1:10" x14ac:dyDescent="0.35">
      <c r="A6986" s="5">
        <v>6982</v>
      </c>
      <c r="B6986" s="5">
        <v>291</v>
      </c>
      <c r="C6986" s="5">
        <v>10</v>
      </c>
      <c r="D6986" s="379">
        <v>52.802222222222227</v>
      </c>
      <c r="E6986" s="25">
        <v>28.12</v>
      </c>
      <c r="F6986" s="379">
        <v>25.146734253963679</v>
      </c>
      <c r="G6986" s="25">
        <v>57.04</v>
      </c>
      <c r="H6986" s="379">
        <v>138.88888888888889</v>
      </c>
      <c r="I6986" s="25">
        <v>603.30999999999995</v>
      </c>
      <c r="J6986" s="379">
        <v>17.486576307547363</v>
      </c>
    </row>
    <row r="6987" spans="1:10" x14ac:dyDescent="0.35">
      <c r="A6987" s="5">
        <v>6983</v>
      </c>
      <c r="B6987" s="5">
        <v>291</v>
      </c>
      <c r="C6987" s="5">
        <v>10</v>
      </c>
      <c r="D6987" s="379">
        <v>49.051111111111105</v>
      </c>
      <c r="E6987" s="25">
        <v>26.51</v>
      </c>
      <c r="F6987" s="379">
        <v>23.821263277529656</v>
      </c>
      <c r="G6987" s="25">
        <v>53.77</v>
      </c>
      <c r="H6987" s="379">
        <v>138.88888888888889</v>
      </c>
      <c r="I6987" s="25">
        <v>603.30999999999995</v>
      </c>
      <c r="J6987" s="379">
        <v>16.07619212184877</v>
      </c>
    </row>
    <row r="6988" spans="1:10" x14ac:dyDescent="0.35">
      <c r="A6988" s="5">
        <v>6984</v>
      </c>
      <c r="B6988" s="5">
        <v>291</v>
      </c>
      <c r="C6988" s="5">
        <v>10</v>
      </c>
      <c r="D6988" s="379">
        <v>44.17166666666666</v>
      </c>
      <c r="E6988" s="25">
        <v>25.59</v>
      </c>
      <c r="F6988" s="379">
        <v>24.434725986664773</v>
      </c>
      <c r="G6988" s="25">
        <v>52.8</v>
      </c>
      <c r="H6988" s="379">
        <v>138.88888888888889</v>
      </c>
      <c r="I6988" s="25">
        <v>597.28</v>
      </c>
      <c r="J6988" s="379">
        <v>16.103477344860877</v>
      </c>
    </row>
    <row r="6989" spans="1:10" x14ac:dyDescent="0.35">
      <c r="A6989" s="5">
        <v>6985</v>
      </c>
      <c r="B6989" s="5">
        <v>292</v>
      </c>
      <c r="C6989" s="5">
        <v>10</v>
      </c>
      <c r="D6989" s="379">
        <v>45.774444444444441</v>
      </c>
      <c r="E6989" s="25">
        <v>25.29</v>
      </c>
      <c r="F6989" s="379">
        <v>23.805617967913367</v>
      </c>
      <c r="G6989" s="25">
        <v>52.8</v>
      </c>
      <c r="H6989" s="379">
        <v>138.88888888888889</v>
      </c>
      <c r="I6989" s="25">
        <v>603.30999999999995</v>
      </c>
      <c r="J6989" s="379">
        <v>16.359009022508392</v>
      </c>
    </row>
    <row r="6990" spans="1:10" x14ac:dyDescent="0.35">
      <c r="A6990" s="5">
        <v>6986</v>
      </c>
      <c r="B6990" s="5">
        <v>292</v>
      </c>
      <c r="C6990" s="5">
        <v>10</v>
      </c>
      <c r="D6990" s="379">
        <v>44.848333333333336</v>
      </c>
      <c r="E6990" s="25">
        <v>25.29</v>
      </c>
      <c r="F6990" s="379">
        <v>23.746967360760081</v>
      </c>
      <c r="G6990" s="25">
        <v>52.2</v>
      </c>
      <c r="H6990" s="379">
        <v>138.88888888888889</v>
      </c>
      <c r="I6990" s="25">
        <v>528.20000000000005</v>
      </c>
      <c r="J6990" s="379">
        <v>16.017250100750388</v>
      </c>
    </row>
    <row r="6991" spans="1:10" x14ac:dyDescent="0.35">
      <c r="A6991" s="5">
        <v>6987</v>
      </c>
      <c r="B6991" s="5">
        <v>292</v>
      </c>
      <c r="C6991" s="5">
        <v>10</v>
      </c>
      <c r="D6991" s="379">
        <v>45.000555555555557</v>
      </c>
      <c r="E6991" s="25">
        <v>25.29</v>
      </c>
      <c r="F6991" s="379">
        <v>23.873608609404865</v>
      </c>
      <c r="G6991" s="25">
        <v>52.2</v>
      </c>
      <c r="H6991" s="379">
        <v>138.88888888888889</v>
      </c>
      <c r="I6991" s="25">
        <v>603.30999999999995</v>
      </c>
      <c r="J6991" s="379">
        <v>15.642285612053188</v>
      </c>
    </row>
    <row r="6992" spans="1:10" x14ac:dyDescent="0.35">
      <c r="A6992" s="5">
        <v>6988</v>
      </c>
      <c r="B6992" s="5">
        <v>292</v>
      </c>
      <c r="C6992" s="5">
        <v>10</v>
      </c>
      <c r="D6992" s="379">
        <v>45.632777777777775</v>
      </c>
      <c r="E6992" s="25">
        <v>25.29</v>
      </c>
      <c r="F6992" s="379">
        <v>23.48836328501562</v>
      </c>
      <c r="G6992" s="25">
        <v>52.8</v>
      </c>
      <c r="H6992" s="379">
        <v>138.88888888888889</v>
      </c>
      <c r="I6992" s="25">
        <v>603.30999999999995</v>
      </c>
      <c r="J6992" s="379">
        <v>15.513501244827912</v>
      </c>
    </row>
    <row r="6993" spans="1:10" x14ac:dyDescent="0.35">
      <c r="A6993" s="5">
        <v>6989</v>
      </c>
      <c r="B6993" s="5">
        <v>292</v>
      </c>
      <c r="C6993" s="5">
        <v>10</v>
      </c>
      <c r="D6993" s="379">
        <v>50.427777777777784</v>
      </c>
      <c r="E6993" s="25">
        <v>25.74</v>
      </c>
      <c r="F6993" s="379">
        <v>23.599501145274434</v>
      </c>
      <c r="G6993" s="25">
        <v>57.04</v>
      </c>
      <c r="H6993" s="379">
        <v>138.88888888888889</v>
      </c>
      <c r="I6993" s="25">
        <v>603.30999999999995</v>
      </c>
      <c r="J6993" s="379">
        <v>15.553539757814301</v>
      </c>
    </row>
    <row r="6994" spans="1:10" x14ac:dyDescent="0.35">
      <c r="A6994" s="5">
        <v>6990</v>
      </c>
      <c r="B6994" s="5">
        <v>292</v>
      </c>
      <c r="C6994" s="5">
        <v>10</v>
      </c>
      <c r="D6994" s="379">
        <v>53.38111111111111</v>
      </c>
      <c r="E6994" s="25">
        <v>28.99</v>
      </c>
      <c r="F6994" s="379">
        <v>23.656484429824026</v>
      </c>
      <c r="G6994" s="25">
        <v>62.12</v>
      </c>
      <c r="H6994" s="379">
        <v>138.88888888888889</v>
      </c>
      <c r="I6994" s="25">
        <v>843.72</v>
      </c>
      <c r="J6994" s="379">
        <v>14.505606224751224</v>
      </c>
    </row>
    <row r="6995" spans="1:10" x14ac:dyDescent="0.35">
      <c r="A6995" s="5">
        <v>6991</v>
      </c>
      <c r="B6995" s="5">
        <v>292</v>
      </c>
      <c r="C6995" s="5">
        <v>10</v>
      </c>
      <c r="D6995" s="379">
        <v>66.228333333333325</v>
      </c>
      <c r="E6995" s="25">
        <v>36.94</v>
      </c>
      <c r="F6995" s="379">
        <v>24.739003225383435</v>
      </c>
      <c r="G6995" s="25">
        <v>62.53</v>
      </c>
      <c r="H6995" s="379">
        <v>138.88888888888889</v>
      </c>
      <c r="I6995" s="25">
        <v>843.72</v>
      </c>
      <c r="J6995" s="379">
        <v>17.832286550252579</v>
      </c>
    </row>
    <row r="6996" spans="1:10" x14ac:dyDescent="0.35">
      <c r="A6996" s="5">
        <v>6992</v>
      </c>
      <c r="B6996" s="5">
        <v>292</v>
      </c>
      <c r="C6996" s="5">
        <v>10</v>
      </c>
      <c r="D6996" s="379">
        <v>67.961666666666659</v>
      </c>
      <c r="E6996" s="25">
        <v>36.94</v>
      </c>
      <c r="F6996" s="379">
        <v>24.739003225383435</v>
      </c>
      <c r="G6996" s="25">
        <v>66.12</v>
      </c>
      <c r="H6996" s="379">
        <v>138.88888888888889</v>
      </c>
      <c r="I6996" s="25">
        <v>843.72</v>
      </c>
      <c r="J6996" s="379">
        <v>17.96338584109181</v>
      </c>
    </row>
    <row r="6997" spans="1:10" x14ac:dyDescent="0.35">
      <c r="A6997" s="5">
        <v>6993</v>
      </c>
      <c r="B6997" s="5">
        <v>292</v>
      </c>
      <c r="C6997" s="5">
        <v>10</v>
      </c>
      <c r="D6997" s="379">
        <v>59.109444444444449</v>
      </c>
      <c r="E6997" s="25">
        <v>36.94</v>
      </c>
      <c r="F6997" s="379">
        <v>25.349631638074325</v>
      </c>
      <c r="G6997" s="25">
        <v>62.53</v>
      </c>
      <c r="H6997" s="379">
        <v>138.88888888888889</v>
      </c>
      <c r="I6997" s="25">
        <v>843.72</v>
      </c>
      <c r="J6997" s="379">
        <v>16.995022375106075</v>
      </c>
    </row>
    <row r="6998" spans="1:10" x14ac:dyDescent="0.35">
      <c r="A6998" s="5">
        <v>6994</v>
      </c>
      <c r="B6998" s="5">
        <v>292</v>
      </c>
      <c r="C6998" s="5">
        <v>10</v>
      </c>
      <c r="D6998" s="379">
        <v>53.310555555555545</v>
      </c>
      <c r="E6998" s="25">
        <v>36.94</v>
      </c>
      <c r="F6998" s="379">
        <v>25.806648196198569</v>
      </c>
      <c r="G6998" s="25">
        <v>62.53</v>
      </c>
      <c r="H6998" s="379">
        <v>138.88888888888889</v>
      </c>
      <c r="I6998" s="25">
        <v>843.72</v>
      </c>
      <c r="J6998" s="379">
        <v>17.354164776086595</v>
      </c>
    </row>
    <row r="6999" spans="1:10" x14ac:dyDescent="0.35">
      <c r="A6999" s="5">
        <v>6995</v>
      </c>
      <c r="B6999" s="5">
        <v>292</v>
      </c>
      <c r="C6999" s="5">
        <v>10</v>
      </c>
      <c r="D6999" s="379">
        <v>51.431111111111107</v>
      </c>
      <c r="E6999" s="25">
        <v>36.94</v>
      </c>
      <c r="F6999" s="379">
        <v>25.194167632597413</v>
      </c>
      <c r="G6999" s="25">
        <v>62.53</v>
      </c>
      <c r="H6999" s="379">
        <v>138.88888888888889</v>
      </c>
      <c r="I6999" s="25">
        <v>843.72</v>
      </c>
      <c r="J6999" s="379">
        <v>17.077192261875556</v>
      </c>
    </row>
    <row r="7000" spans="1:10" x14ac:dyDescent="0.35">
      <c r="A7000" s="5">
        <v>6996</v>
      </c>
      <c r="B7000" s="5">
        <v>292</v>
      </c>
      <c r="C7000" s="5">
        <v>10</v>
      </c>
      <c r="D7000" s="379">
        <v>47.949444444444438</v>
      </c>
      <c r="E7000" s="25">
        <v>36.94</v>
      </c>
      <c r="F7000" s="379">
        <v>24.813155116981495</v>
      </c>
      <c r="G7000" s="25">
        <v>62.12</v>
      </c>
      <c r="H7000" s="379">
        <v>138.88888888888889</v>
      </c>
      <c r="I7000" s="25">
        <v>843.72</v>
      </c>
      <c r="J7000" s="379">
        <v>17.493954134462236</v>
      </c>
    </row>
    <row r="7001" spans="1:10" x14ac:dyDescent="0.35">
      <c r="A7001" s="5">
        <v>6997</v>
      </c>
      <c r="B7001" s="5">
        <v>292</v>
      </c>
      <c r="C7001" s="5">
        <v>10</v>
      </c>
      <c r="D7001" s="379">
        <v>44.199444444444445</v>
      </c>
      <c r="E7001" s="25">
        <v>36.01</v>
      </c>
      <c r="F7001" s="379">
        <v>25.314244544233929</v>
      </c>
      <c r="G7001" s="25">
        <v>62.12</v>
      </c>
      <c r="H7001" s="379">
        <v>138.88888888888889</v>
      </c>
      <c r="I7001" s="25">
        <v>843.72</v>
      </c>
      <c r="J7001" s="379">
        <v>17.596939675497918</v>
      </c>
    </row>
    <row r="7002" spans="1:10" x14ac:dyDescent="0.35">
      <c r="A7002" s="5">
        <v>6998</v>
      </c>
      <c r="B7002" s="5">
        <v>292</v>
      </c>
      <c r="C7002" s="5">
        <v>10</v>
      </c>
      <c r="D7002" s="379">
        <v>43.543333333333322</v>
      </c>
      <c r="E7002" s="25">
        <v>36.94</v>
      </c>
      <c r="F7002" s="379">
        <v>25.431524891250032</v>
      </c>
      <c r="G7002" s="25">
        <v>62.12</v>
      </c>
      <c r="H7002" s="379">
        <v>138.88888888888889</v>
      </c>
      <c r="I7002" s="25">
        <v>843.72</v>
      </c>
      <c r="J7002" s="379">
        <v>17.73375395538509</v>
      </c>
    </row>
    <row r="7003" spans="1:10" x14ac:dyDescent="0.35">
      <c r="A7003" s="5">
        <v>6999</v>
      </c>
      <c r="B7003" s="5">
        <v>292</v>
      </c>
      <c r="C7003" s="5">
        <v>10</v>
      </c>
      <c r="D7003" s="379">
        <v>44.258333333333326</v>
      </c>
      <c r="E7003" s="25">
        <v>36.94</v>
      </c>
      <c r="F7003" s="379">
        <v>25.497562822927399</v>
      </c>
      <c r="G7003" s="25">
        <v>62.12</v>
      </c>
      <c r="H7003" s="379">
        <v>138.88888888888889</v>
      </c>
      <c r="I7003" s="25">
        <v>843.72</v>
      </c>
      <c r="J7003" s="379">
        <v>17.709153783946434</v>
      </c>
    </row>
    <row r="7004" spans="1:10" x14ac:dyDescent="0.35">
      <c r="A7004" s="5">
        <v>7000</v>
      </c>
      <c r="B7004" s="5">
        <v>292</v>
      </c>
      <c r="C7004" s="5">
        <v>10</v>
      </c>
      <c r="D7004" s="379">
        <v>46.355555555555554</v>
      </c>
      <c r="E7004" s="25">
        <v>36.94</v>
      </c>
      <c r="F7004" s="379">
        <v>25.25073400012969</v>
      </c>
      <c r="G7004" s="25">
        <v>62.12</v>
      </c>
      <c r="H7004" s="379">
        <v>138.88888888888889</v>
      </c>
      <c r="I7004" s="25">
        <v>843.72</v>
      </c>
      <c r="J7004" s="379">
        <v>18.087635102002817</v>
      </c>
    </row>
    <row r="7005" spans="1:10" x14ac:dyDescent="0.35">
      <c r="A7005" s="5">
        <v>7001</v>
      </c>
      <c r="B7005" s="5">
        <v>292</v>
      </c>
      <c r="C7005" s="5">
        <v>10</v>
      </c>
      <c r="D7005" s="379">
        <v>51.483333333333334</v>
      </c>
      <c r="E7005" s="25">
        <v>36.94</v>
      </c>
      <c r="F7005" s="379">
        <v>32.291004218071585</v>
      </c>
      <c r="G7005" s="25">
        <v>62.53</v>
      </c>
      <c r="H7005" s="379">
        <v>138.88888888888889</v>
      </c>
      <c r="I7005" s="25">
        <v>843.72</v>
      </c>
      <c r="J7005" s="379">
        <v>18.714252500718775</v>
      </c>
    </row>
    <row r="7006" spans="1:10" x14ac:dyDescent="0.35">
      <c r="A7006" s="5">
        <v>7002</v>
      </c>
      <c r="B7006" s="5">
        <v>292</v>
      </c>
      <c r="C7006" s="5">
        <v>10</v>
      </c>
      <c r="D7006" s="379">
        <v>57.422777777777789</v>
      </c>
      <c r="E7006" s="25">
        <v>36.94</v>
      </c>
      <c r="F7006" s="379">
        <v>28.412461187920435</v>
      </c>
      <c r="G7006" s="25">
        <v>819.14</v>
      </c>
      <c r="H7006" s="379">
        <v>138.88888888888889</v>
      </c>
      <c r="I7006" s="25">
        <v>843.72</v>
      </c>
      <c r="J7006" s="379">
        <v>19.108299891849942</v>
      </c>
    </row>
    <row r="7007" spans="1:10" x14ac:dyDescent="0.35">
      <c r="A7007" s="5">
        <v>7003</v>
      </c>
      <c r="B7007" s="5">
        <v>292</v>
      </c>
      <c r="C7007" s="5">
        <v>10</v>
      </c>
      <c r="D7007" s="379">
        <v>55.258888888888883</v>
      </c>
      <c r="E7007" s="25">
        <v>37.090000000000003</v>
      </c>
      <c r="F7007" s="379">
        <v>28.412461187920435</v>
      </c>
      <c r="G7007" s="25">
        <v>819.14</v>
      </c>
      <c r="H7007" s="379">
        <v>138.88888888888889</v>
      </c>
      <c r="I7007" s="25">
        <v>869.03</v>
      </c>
      <c r="J7007" s="379">
        <v>18.926910912329539</v>
      </c>
    </row>
    <row r="7008" spans="1:10" x14ac:dyDescent="0.35">
      <c r="A7008" s="5">
        <v>7004</v>
      </c>
      <c r="B7008" s="5">
        <v>292</v>
      </c>
      <c r="C7008" s="5">
        <v>10</v>
      </c>
      <c r="D7008" s="379">
        <v>46.972777777777779</v>
      </c>
      <c r="E7008" s="25">
        <v>36.94</v>
      </c>
      <c r="F7008" s="379">
        <v>30.912067586702815</v>
      </c>
      <c r="G7008" s="25">
        <v>62.53</v>
      </c>
      <c r="H7008" s="379">
        <v>138.88888888888889</v>
      </c>
      <c r="I7008" s="25">
        <v>843.72</v>
      </c>
      <c r="J7008" s="379">
        <v>18.955937720340309</v>
      </c>
    </row>
    <row r="7009" spans="1:10" x14ac:dyDescent="0.35">
      <c r="A7009" s="5">
        <v>7005</v>
      </c>
      <c r="B7009" s="5">
        <v>292</v>
      </c>
      <c r="C7009" s="5">
        <v>10</v>
      </c>
      <c r="D7009" s="379">
        <v>41.631666666666675</v>
      </c>
      <c r="E7009" s="25">
        <v>35.869999999999997</v>
      </c>
      <c r="F7009" s="379">
        <v>31.502221630555617</v>
      </c>
      <c r="G7009" s="25">
        <v>62.12</v>
      </c>
      <c r="H7009" s="379">
        <v>138.88888888888889</v>
      </c>
      <c r="I7009" s="25">
        <v>843.72</v>
      </c>
      <c r="J7009" s="379">
        <v>19.661563784583571</v>
      </c>
    </row>
    <row r="7010" spans="1:10" x14ac:dyDescent="0.35">
      <c r="A7010" s="5">
        <v>7006</v>
      </c>
      <c r="B7010" s="5">
        <v>292</v>
      </c>
      <c r="C7010" s="5">
        <v>10</v>
      </c>
      <c r="D7010" s="379">
        <v>40.681666666666665</v>
      </c>
      <c r="E7010" s="25">
        <v>29.6</v>
      </c>
      <c r="F7010" s="379">
        <v>31.856765630946889</v>
      </c>
      <c r="G7010" s="25">
        <v>62.12</v>
      </c>
      <c r="H7010" s="379">
        <v>138.88888888888889</v>
      </c>
      <c r="I7010" s="25">
        <v>843.72</v>
      </c>
      <c r="J7010" s="379">
        <v>20.328637448183013</v>
      </c>
    </row>
    <row r="7011" spans="1:10" x14ac:dyDescent="0.35">
      <c r="A7011" s="5">
        <v>7007</v>
      </c>
      <c r="B7011" s="5">
        <v>292</v>
      </c>
      <c r="C7011" s="5">
        <v>10</v>
      </c>
      <c r="D7011" s="379">
        <v>39.785555555555547</v>
      </c>
      <c r="E7011" s="25">
        <v>26.51</v>
      </c>
      <c r="F7011" s="379">
        <v>24.352604907132079</v>
      </c>
      <c r="G7011" s="25">
        <v>61.5</v>
      </c>
      <c r="H7011" s="379">
        <v>138.88888888888889</v>
      </c>
      <c r="I7011" s="25">
        <v>843.72</v>
      </c>
      <c r="J7011" s="379">
        <v>20.439237804754246</v>
      </c>
    </row>
    <row r="7012" spans="1:10" x14ac:dyDescent="0.35">
      <c r="A7012" s="5">
        <v>7008</v>
      </c>
      <c r="B7012" s="5">
        <v>292</v>
      </c>
      <c r="C7012" s="5">
        <v>10</v>
      </c>
      <c r="D7012" s="379">
        <v>34.645000000000003</v>
      </c>
      <c r="E7012" s="25">
        <v>26.35</v>
      </c>
      <c r="F7012" s="379">
        <v>20.285135783449864</v>
      </c>
      <c r="G7012" s="25">
        <v>57.56</v>
      </c>
      <c r="H7012" s="379">
        <v>138.88888888888889</v>
      </c>
      <c r="I7012" s="25">
        <v>835.28</v>
      </c>
      <c r="J7012" s="379">
        <v>14.803975022715948</v>
      </c>
    </row>
    <row r="7013" spans="1:10" x14ac:dyDescent="0.35">
      <c r="A7013" s="5">
        <v>7009</v>
      </c>
      <c r="B7013" s="5">
        <v>293</v>
      </c>
      <c r="C7013" s="5">
        <v>10</v>
      </c>
      <c r="D7013" s="379">
        <v>31.153888888888886</v>
      </c>
      <c r="E7013" s="25">
        <v>25.59</v>
      </c>
      <c r="F7013" s="379">
        <v>17.914255877889712</v>
      </c>
      <c r="G7013" s="25">
        <v>53.15</v>
      </c>
      <c r="H7013" s="379">
        <v>39.029464176879678</v>
      </c>
      <c r="I7013" s="25">
        <v>621.41</v>
      </c>
      <c r="J7013" s="379">
        <v>15.190762207318167</v>
      </c>
    </row>
    <row r="7014" spans="1:10" x14ac:dyDescent="0.35">
      <c r="A7014" s="5">
        <v>7010</v>
      </c>
      <c r="B7014" s="5">
        <v>293</v>
      </c>
      <c r="C7014" s="5">
        <v>10</v>
      </c>
      <c r="D7014" s="379">
        <v>29.887222222222224</v>
      </c>
      <c r="E7014" s="25">
        <v>25.29</v>
      </c>
      <c r="F7014" s="379">
        <v>17.754072935887862</v>
      </c>
      <c r="G7014" s="25">
        <v>53.15</v>
      </c>
      <c r="H7014" s="379">
        <v>30.953671431623306</v>
      </c>
      <c r="I7014" s="25">
        <v>621.41</v>
      </c>
      <c r="J7014" s="379">
        <v>14.803525962243556</v>
      </c>
    </row>
    <row r="7015" spans="1:10" x14ac:dyDescent="0.35">
      <c r="A7015" s="5">
        <v>7011</v>
      </c>
      <c r="B7015" s="5">
        <v>293</v>
      </c>
      <c r="C7015" s="5">
        <v>10</v>
      </c>
      <c r="D7015" s="379">
        <v>28.637777777777778</v>
      </c>
      <c r="E7015" s="25">
        <v>25.29</v>
      </c>
      <c r="F7015" s="379">
        <v>18.95954780378921</v>
      </c>
      <c r="G7015" s="25">
        <v>53.15</v>
      </c>
      <c r="H7015" s="379">
        <v>29.31262650039298</v>
      </c>
      <c r="I7015" s="25">
        <v>621.41</v>
      </c>
      <c r="J7015" s="379">
        <v>13.824430279759646</v>
      </c>
    </row>
    <row r="7016" spans="1:10" x14ac:dyDescent="0.35">
      <c r="A7016" s="5">
        <v>7012</v>
      </c>
      <c r="B7016" s="5">
        <v>293</v>
      </c>
      <c r="C7016" s="5">
        <v>10</v>
      </c>
      <c r="D7016" s="379">
        <v>28.405000000000001</v>
      </c>
      <c r="E7016" s="25">
        <v>25.47</v>
      </c>
      <c r="F7016" s="379">
        <v>19.225518377652477</v>
      </c>
      <c r="G7016" s="25">
        <v>53.15</v>
      </c>
      <c r="H7016" s="379">
        <v>28.476617389752455</v>
      </c>
      <c r="I7016" s="25">
        <v>621.41</v>
      </c>
      <c r="J7016" s="379">
        <v>12.644795719215665</v>
      </c>
    </row>
    <row r="7017" spans="1:10" x14ac:dyDescent="0.35">
      <c r="A7017" s="5">
        <v>7013</v>
      </c>
      <c r="B7017" s="5">
        <v>293</v>
      </c>
      <c r="C7017" s="5">
        <v>10</v>
      </c>
      <c r="D7017" s="379">
        <v>32.564444444444447</v>
      </c>
      <c r="E7017" s="25">
        <v>25.74</v>
      </c>
      <c r="F7017" s="379">
        <v>19.225518377652477</v>
      </c>
      <c r="G7017" s="25">
        <v>57.04</v>
      </c>
      <c r="H7017" s="379">
        <v>23.004694253660041</v>
      </c>
      <c r="I7017" s="25">
        <v>621.41</v>
      </c>
      <c r="J7017" s="379">
        <v>14.352731545022074</v>
      </c>
    </row>
    <row r="7018" spans="1:10" x14ac:dyDescent="0.35">
      <c r="A7018" s="5">
        <v>7014</v>
      </c>
      <c r="B7018" s="5">
        <v>293</v>
      </c>
      <c r="C7018" s="5">
        <v>10</v>
      </c>
      <c r="D7018" s="379">
        <v>37.949444444444445</v>
      </c>
      <c r="E7018" s="25">
        <v>28.99</v>
      </c>
      <c r="F7018" s="379">
        <v>20.014688740248936</v>
      </c>
      <c r="G7018" s="25">
        <v>62.12</v>
      </c>
      <c r="H7018" s="379">
        <v>23.031726550246841</v>
      </c>
      <c r="I7018" s="25">
        <v>717.16</v>
      </c>
      <c r="J7018" s="379">
        <v>14.37981706148002</v>
      </c>
    </row>
    <row r="7019" spans="1:10" x14ac:dyDescent="0.35">
      <c r="A7019" s="5">
        <v>7015</v>
      </c>
      <c r="B7019" s="5">
        <v>293</v>
      </c>
      <c r="C7019" s="5">
        <v>10</v>
      </c>
      <c r="D7019" s="379">
        <v>44.526666666666664</v>
      </c>
      <c r="E7019" s="25">
        <v>36.01</v>
      </c>
      <c r="F7019" s="379">
        <v>21.75543212999705</v>
      </c>
      <c r="G7019" s="25">
        <v>62.33</v>
      </c>
      <c r="H7019" s="379">
        <v>22.828901864850152</v>
      </c>
      <c r="I7019" s="25">
        <v>843.72</v>
      </c>
      <c r="J7019" s="379">
        <v>13.028913939552819</v>
      </c>
    </row>
    <row r="7020" spans="1:10" x14ac:dyDescent="0.35">
      <c r="A7020" s="5">
        <v>7016</v>
      </c>
      <c r="B7020" s="5">
        <v>293</v>
      </c>
      <c r="C7020" s="5">
        <v>10</v>
      </c>
      <c r="D7020" s="379">
        <v>53.072222222222223</v>
      </c>
      <c r="E7020" s="25">
        <v>36.01</v>
      </c>
      <c r="F7020" s="379">
        <v>22.389160361033717</v>
      </c>
      <c r="G7020" s="25">
        <v>62.53</v>
      </c>
      <c r="H7020" s="379">
        <v>25.291305510539566</v>
      </c>
      <c r="I7020" s="25">
        <v>843.72</v>
      </c>
      <c r="J7020" s="379">
        <v>13.6392033164419</v>
      </c>
    </row>
    <row r="7021" spans="1:10" x14ac:dyDescent="0.35">
      <c r="A7021" s="5">
        <v>7017</v>
      </c>
      <c r="B7021" s="5">
        <v>293</v>
      </c>
      <c r="C7021" s="5">
        <v>10</v>
      </c>
      <c r="D7021" s="379">
        <v>49.095555555555556</v>
      </c>
      <c r="E7021" s="25">
        <v>36.01</v>
      </c>
      <c r="F7021" s="379">
        <v>21.699562307314334</v>
      </c>
      <c r="G7021" s="25">
        <v>62.33</v>
      </c>
      <c r="H7021" s="379">
        <v>21.960359645011998</v>
      </c>
      <c r="I7021" s="25">
        <v>843.72</v>
      </c>
      <c r="J7021" s="379">
        <v>12.834366247481366</v>
      </c>
    </row>
    <row r="7022" spans="1:10" x14ac:dyDescent="0.35">
      <c r="A7022" s="5">
        <v>7018</v>
      </c>
      <c r="B7022" s="5">
        <v>293</v>
      </c>
      <c r="C7022" s="5">
        <v>10</v>
      </c>
      <c r="D7022" s="379">
        <v>48.12</v>
      </c>
      <c r="E7022" s="25">
        <v>36.01</v>
      </c>
      <c r="F7022" s="379">
        <v>21.748018008506346</v>
      </c>
      <c r="G7022" s="25">
        <v>62.33</v>
      </c>
      <c r="H7022" s="379">
        <v>22.432751430610171</v>
      </c>
      <c r="I7022" s="25">
        <v>843.72</v>
      </c>
      <c r="J7022" s="379">
        <v>7.693246880619701</v>
      </c>
    </row>
    <row r="7023" spans="1:10" x14ac:dyDescent="0.35">
      <c r="A7023" s="5">
        <v>7019</v>
      </c>
      <c r="B7023" s="5">
        <v>293</v>
      </c>
      <c r="C7023" s="5">
        <v>10</v>
      </c>
      <c r="D7023" s="379">
        <v>45.027222222222228</v>
      </c>
      <c r="E7023" s="25">
        <v>36.01</v>
      </c>
      <c r="F7023" s="379">
        <v>21.56296048675636</v>
      </c>
      <c r="G7023" s="25">
        <v>62.33</v>
      </c>
      <c r="H7023" s="379">
        <v>20.554381978165814</v>
      </c>
      <c r="I7023" s="25">
        <v>843.72</v>
      </c>
      <c r="J7023" s="379">
        <v>7.6064519906924177</v>
      </c>
    </row>
    <row r="7024" spans="1:10" x14ac:dyDescent="0.35">
      <c r="A7024" s="5">
        <v>7020</v>
      </c>
      <c r="B7024" s="5">
        <v>293</v>
      </c>
      <c r="C7024" s="5">
        <v>10</v>
      </c>
      <c r="D7024" s="379">
        <v>41.214999999999989</v>
      </c>
      <c r="E7024" s="25">
        <v>36.01</v>
      </c>
      <c r="F7024" s="379">
        <v>20.403076780989739</v>
      </c>
      <c r="G7024" s="25">
        <v>62.33</v>
      </c>
      <c r="H7024" s="379">
        <v>21.420561985741084</v>
      </c>
      <c r="I7024" s="25">
        <v>843.72</v>
      </c>
      <c r="J7024" s="379">
        <v>8.1117021252342774</v>
      </c>
    </row>
    <row r="7025" spans="1:10" x14ac:dyDescent="0.35">
      <c r="A7025" s="5">
        <v>7021</v>
      </c>
      <c r="B7025" s="5">
        <v>293</v>
      </c>
      <c r="C7025" s="5">
        <v>10</v>
      </c>
      <c r="D7025" s="379">
        <v>41.197777777777773</v>
      </c>
      <c r="E7025" s="25">
        <v>35.869999999999997</v>
      </c>
      <c r="F7025" s="379">
        <v>19.44548729702456</v>
      </c>
      <c r="G7025" s="25">
        <v>62.12</v>
      </c>
      <c r="H7025" s="379">
        <v>19.463804911669545</v>
      </c>
      <c r="I7025" s="25">
        <v>717.16</v>
      </c>
      <c r="J7025" s="379">
        <v>8.0441981935081746</v>
      </c>
    </row>
    <row r="7026" spans="1:10" x14ac:dyDescent="0.35">
      <c r="A7026" s="5">
        <v>7022</v>
      </c>
      <c r="B7026" s="5">
        <v>293</v>
      </c>
      <c r="C7026" s="5">
        <v>10</v>
      </c>
      <c r="D7026" s="379">
        <v>41.247222222222227</v>
      </c>
      <c r="E7026" s="25">
        <v>35.869999999999997</v>
      </c>
      <c r="F7026" s="379">
        <v>19.178991578824714</v>
      </c>
      <c r="G7026" s="25">
        <v>62.12</v>
      </c>
      <c r="H7026" s="379">
        <v>21.493358062726777</v>
      </c>
      <c r="I7026" s="25">
        <v>717.16</v>
      </c>
      <c r="J7026" s="379">
        <v>8.0539823277597087</v>
      </c>
    </row>
    <row r="7027" spans="1:10" x14ac:dyDescent="0.35">
      <c r="A7027" s="5">
        <v>7023</v>
      </c>
      <c r="B7027" s="5">
        <v>293</v>
      </c>
      <c r="C7027" s="5">
        <v>10</v>
      </c>
      <c r="D7027" s="379">
        <v>41.251666666666665</v>
      </c>
      <c r="E7027" s="25">
        <v>35.869999999999997</v>
      </c>
      <c r="F7027" s="379">
        <v>19.87238746623343</v>
      </c>
      <c r="G7027" s="25">
        <v>62.12</v>
      </c>
      <c r="H7027" s="379">
        <v>20.761885599614889</v>
      </c>
      <c r="I7027" s="25">
        <v>717.16</v>
      </c>
      <c r="J7027" s="379">
        <v>8.0230096110767928</v>
      </c>
    </row>
    <row r="7028" spans="1:10" x14ac:dyDescent="0.35">
      <c r="A7028" s="5">
        <v>7024</v>
      </c>
      <c r="B7028" s="5">
        <v>293</v>
      </c>
      <c r="C7028" s="5">
        <v>10</v>
      </c>
      <c r="D7028" s="379">
        <v>45.689999999999991</v>
      </c>
      <c r="E7028" s="25">
        <v>35.869999999999997</v>
      </c>
      <c r="F7028" s="379">
        <v>22.036444885905247</v>
      </c>
      <c r="G7028" s="25">
        <v>62.12</v>
      </c>
      <c r="H7028" s="379">
        <v>20.460742667367004</v>
      </c>
      <c r="I7028" s="25">
        <v>843.72</v>
      </c>
      <c r="J7028" s="379">
        <v>7.9054688674913196</v>
      </c>
    </row>
    <row r="7029" spans="1:10" x14ac:dyDescent="0.35">
      <c r="A7029" s="5">
        <v>7025</v>
      </c>
      <c r="B7029" s="5">
        <v>293</v>
      </c>
      <c r="C7029" s="5">
        <v>10</v>
      </c>
      <c r="D7029" s="379">
        <v>51.168333333333337</v>
      </c>
      <c r="E7029" s="25">
        <v>36.01</v>
      </c>
      <c r="F7029" s="379">
        <v>22.963185356252243</v>
      </c>
      <c r="G7029" s="25">
        <v>62.12</v>
      </c>
      <c r="H7029" s="379">
        <v>22.909797639806079</v>
      </c>
      <c r="I7029" s="25">
        <v>843.72</v>
      </c>
      <c r="J7029" s="379">
        <v>8.0395429608735025</v>
      </c>
    </row>
    <row r="7030" spans="1:10" x14ac:dyDescent="0.35">
      <c r="A7030" s="5">
        <v>7026</v>
      </c>
      <c r="B7030" s="5">
        <v>293</v>
      </c>
      <c r="C7030" s="5">
        <v>10</v>
      </c>
      <c r="D7030" s="379">
        <v>53.67222222222221</v>
      </c>
      <c r="E7030" s="25">
        <v>36.01</v>
      </c>
      <c r="F7030" s="379">
        <v>22.303314554261494</v>
      </c>
      <c r="G7030" s="25">
        <v>62.53</v>
      </c>
      <c r="H7030" s="379">
        <v>22.653368296624958</v>
      </c>
      <c r="I7030" s="25">
        <v>843.72</v>
      </c>
      <c r="J7030" s="379">
        <v>8.6642682296668294</v>
      </c>
    </row>
    <row r="7031" spans="1:10" x14ac:dyDescent="0.35">
      <c r="A7031" s="5">
        <v>7027</v>
      </c>
      <c r="B7031" s="5">
        <v>293</v>
      </c>
      <c r="C7031" s="5">
        <v>10</v>
      </c>
      <c r="D7031" s="379">
        <v>53.182777777777787</v>
      </c>
      <c r="E7031" s="25">
        <v>36.01</v>
      </c>
      <c r="F7031" s="379">
        <v>22.717606901299984</v>
      </c>
      <c r="G7031" s="25">
        <v>62.53</v>
      </c>
      <c r="H7031" s="379">
        <v>20.139517022579245</v>
      </c>
      <c r="I7031" s="25">
        <v>869.03</v>
      </c>
      <c r="J7031" s="379">
        <v>8.5908753080284246</v>
      </c>
    </row>
    <row r="7032" spans="1:10" x14ac:dyDescent="0.35">
      <c r="A7032" s="5">
        <v>7028</v>
      </c>
      <c r="B7032" s="5">
        <v>293</v>
      </c>
      <c r="C7032" s="5">
        <v>10</v>
      </c>
      <c r="D7032" s="379">
        <v>47.065000000000005</v>
      </c>
      <c r="E7032" s="25">
        <v>36.01</v>
      </c>
      <c r="F7032" s="379">
        <v>23.211529621471573</v>
      </c>
      <c r="G7032" s="25">
        <v>62.12</v>
      </c>
      <c r="H7032" s="379">
        <v>20.515052923125268</v>
      </c>
      <c r="I7032" s="25">
        <v>843.72</v>
      </c>
      <c r="J7032" s="379">
        <v>8.6382446328745779</v>
      </c>
    </row>
    <row r="7033" spans="1:10" x14ac:dyDescent="0.35">
      <c r="A7033" s="5">
        <v>7029</v>
      </c>
      <c r="B7033" s="5">
        <v>293</v>
      </c>
      <c r="C7033" s="5">
        <v>10</v>
      </c>
      <c r="D7033" s="379">
        <v>44.17444444444444</v>
      </c>
      <c r="E7033" s="25">
        <v>35.869999999999997</v>
      </c>
      <c r="F7033" s="379">
        <v>21.248344411024544</v>
      </c>
      <c r="G7033" s="25">
        <v>62.12</v>
      </c>
      <c r="H7033" s="379">
        <v>17.430657362076616</v>
      </c>
      <c r="I7033" s="25">
        <v>843.72</v>
      </c>
      <c r="J7033" s="379">
        <v>8.1327939643759741</v>
      </c>
    </row>
    <row r="7034" spans="1:10" x14ac:dyDescent="0.35">
      <c r="A7034" s="5">
        <v>7030</v>
      </c>
      <c r="B7034" s="5">
        <v>293</v>
      </c>
      <c r="C7034" s="5">
        <v>10</v>
      </c>
      <c r="D7034" s="379">
        <v>39.86055555555555</v>
      </c>
      <c r="E7034" s="25">
        <v>27.3</v>
      </c>
      <c r="F7034" s="379">
        <v>21.246643530590966</v>
      </c>
      <c r="G7034" s="25">
        <v>62.12</v>
      </c>
      <c r="H7034" s="379">
        <v>21.691132574219658</v>
      </c>
      <c r="I7034" s="25">
        <v>627.69000000000005</v>
      </c>
      <c r="J7034" s="379">
        <v>8.4759940180835329</v>
      </c>
    </row>
    <row r="7035" spans="1:10" x14ac:dyDescent="0.35">
      <c r="A7035" s="5">
        <v>7031</v>
      </c>
      <c r="B7035" s="5">
        <v>293</v>
      </c>
      <c r="C7035" s="5">
        <v>10</v>
      </c>
      <c r="D7035" s="379">
        <v>41.122777777777777</v>
      </c>
      <c r="E7035" s="25">
        <v>26.51</v>
      </c>
      <c r="F7035" s="379">
        <v>19.788817496079826</v>
      </c>
      <c r="G7035" s="25">
        <v>61.5</v>
      </c>
      <c r="H7035" s="379">
        <v>23.297129308412146</v>
      </c>
      <c r="I7035" s="25">
        <v>627.69000000000005</v>
      </c>
      <c r="J7035" s="379">
        <v>8.4496022400507123</v>
      </c>
    </row>
    <row r="7036" spans="1:10" x14ac:dyDescent="0.35">
      <c r="A7036" s="5">
        <v>7032</v>
      </c>
      <c r="B7036" s="5">
        <v>293</v>
      </c>
      <c r="C7036" s="5">
        <v>10</v>
      </c>
      <c r="D7036" s="379">
        <v>41.570555555555551</v>
      </c>
      <c r="E7036" s="25">
        <v>25.48</v>
      </c>
      <c r="F7036" s="379">
        <v>19.513420760859979</v>
      </c>
      <c r="G7036" s="25">
        <v>53.77</v>
      </c>
      <c r="H7036" s="379">
        <v>22.110234185142144</v>
      </c>
      <c r="I7036" s="25">
        <v>75.459999999999994</v>
      </c>
      <c r="J7036" s="379">
        <v>8.0221798749940056</v>
      </c>
    </row>
    <row r="7037" spans="1:10" x14ac:dyDescent="0.35">
      <c r="A7037" s="5">
        <v>7033</v>
      </c>
      <c r="B7037" s="5">
        <v>294</v>
      </c>
      <c r="C7037" s="5">
        <v>10</v>
      </c>
      <c r="D7037" s="379">
        <v>42.463888888888896</v>
      </c>
      <c r="E7037" s="25">
        <v>25.29</v>
      </c>
      <c r="F7037" s="379">
        <v>19.971961683761144</v>
      </c>
      <c r="G7037" s="25">
        <v>52.2</v>
      </c>
      <c r="H7037" s="379">
        <v>22.47379985915482</v>
      </c>
      <c r="I7037" s="25">
        <v>72.19</v>
      </c>
      <c r="J7037" s="379">
        <v>8.3991387597076006</v>
      </c>
    </row>
    <row r="7038" spans="1:10" x14ac:dyDescent="0.35">
      <c r="A7038" s="5">
        <v>7034</v>
      </c>
      <c r="B7038" s="5">
        <v>294</v>
      </c>
      <c r="C7038" s="5">
        <v>10</v>
      </c>
      <c r="D7038" s="379">
        <v>41.503888888888888</v>
      </c>
      <c r="E7038" s="25">
        <v>25.29</v>
      </c>
      <c r="F7038" s="379">
        <v>19.828055190450318</v>
      </c>
      <c r="G7038" s="25">
        <v>52.2</v>
      </c>
      <c r="H7038" s="379">
        <v>20.770407083193451</v>
      </c>
      <c r="I7038" s="25">
        <v>72.19</v>
      </c>
      <c r="J7038" s="379">
        <v>7.989560727001952</v>
      </c>
    </row>
    <row r="7039" spans="1:10" x14ac:dyDescent="0.35">
      <c r="A7039" s="5">
        <v>7035</v>
      </c>
      <c r="B7039" s="5">
        <v>294</v>
      </c>
      <c r="C7039" s="5">
        <v>10</v>
      </c>
      <c r="D7039" s="379">
        <v>41.002222222222223</v>
      </c>
      <c r="E7039" s="25">
        <v>25.29</v>
      </c>
      <c r="F7039" s="379">
        <v>18.06114024891372</v>
      </c>
      <c r="G7039" s="25">
        <v>52.2</v>
      </c>
      <c r="H7039" s="379">
        <v>15.966196898392431</v>
      </c>
      <c r="I7039" s="25">
        <v>67.400000000000006</v>
      </c>
      <c r="J7039" s="379">
        <v>7.8164540649177328</v>
      </c>
    </row>
    <row r="7040" spans="1:10" x14ac:dyDescent="0.35">
      <c r="A7040" s="5">
        <v>7036</v>
      </c>
      <c r="B7040" s="5">
        <v>294</v>
      </c>
      <c r="C7040" s="5">
        <v>10</v>
      </c>
      <c r="D7040" s="379">
        <v>41.859444444444442</v>
      </c>
      <c r="E7040" s="25">
        <v>25.29</v>
      </c>
      <c r="F7040" s="379">
        <v>17.308805192700113</v>
      </c>
      <c r="G7040" s="25">
        <v>52.2</v>
      </c>
      <c r="H7040" s="379">
        <v>9.7118181595276596</v>
      </c>
      <c r="I7040" s="25">
        <v>70.09</v>
      </c>
      <c r="J7040" s="379">
        <v>7.6002022002812488</v>
      </c>
    </row>
    <row r="7041" spans="1:10" x14ac:dyDescent="0.35">
      <c r="A7041" s="5">
        <v>7037</v>
      </c>
      <c r="B7041" s="5">
        <v>294</v>
      </c>
      <c r="C7041" s="5">
        <v>10</v>
      </c>
      <c r="D7041" s="379">
        <v>45.159444444444446</v>
      </c>
      <c r="E7041" s="25">
        <v>25.47</v>
      </c>
      <c r="F7041" s="379">
        <v>17.223681002842458</v>
      </c>
      <c r="G7041" s="25">
        <v>52.73</v>
      </c>
      <c r="H7041" s="379">
        <v>9.3339549606434922</v>
      </c>
      <c r="I7041" s="25">
        <v>72.19</v>
      </c>
      <c r="J7041" s="379">
        <v>7.5590558722255654</v>
      </c>
    </row>
    <row r="7042" spans="1:10" x14ac:dyDescent="0.35">
      <c r="A7042" s="5">
        <v>7038</v>
      </c>
      <c r="B7042" s="5">
        <v>294</v>
      </c>
      <c r="C7042" s="5">
        <v>10</v>
      </c>
      <c r="D7042" s="379">
        <v>50.870555555555548</v>
      </c>
      <c r="E7042" s="25">
        <v>26.51</v>
      </c>
      <c r="F7042" s="379">
        <v>16.74244543395648</v>
      </c>
      <c r="G7042" s="25">
        <v>60.51</v>
      </c>
      <c r="H7042" s="379">
        <v>8.3512226837326455</v>
      </c>
      <c r="I7042" s="25">
        <v>82.45</v>
      </c>
      <c r="J7042" s="379">
        <v>7.2331998562068955</v>
      </c>
    </row>
    <row r="7043" spans="1:10" x14ac:dyDescent="0.35">
      <c r="A7043" s="5">
        <v>7039</v>
      </c>
      <c r="B7043" s="5">
        <v>294</v>
      </c>
      <c r="C7043" s="5">
        <v>10</v>
      </c>
      <c r="D7043" s="379">
        <v>56.269999999999996</v>
      </c>
      <c r="E7043" s="25">
        <v>29.76</v>
      </c>
      <c r="F7043" s="379">
        <v>16.219875804700788</v>
      </c>
      <c r="G7043" s="25">
        <v>62.12</v>
      </c>
      <c r="H7043" s="379">
        <v>8.7911397760083574</v>
      </c>
      <c r="I7043" s="25">
        <v>843.72</v>
      </c>
      <c r="J7043" s="379">
        <v>6.3347370366040554</v>
      </c>
    </row>
    <row r="7044" spans="1:10" x14ac:dyDescent="0.35">
      <c r="A7044" s="5">
        <v>7040</v>
      </c>
      <c r="B7044" s="5">
        <v>294</v>
      </c>
      <c r="C7044" s="5">
        <v>10</v>
      </c>
      <c r="D7044" s="379">
        <v>59.843888888888891</v>
      </c>
      <c r="E7044" s="25">
        <v>31.84</v>
      </c>
      <c r="F7044" s="379">
        <v>16.077967366233342</v>
      </c>
      <c r="G7044" s="25">
        <v>62.12</v>
      </c>
      <c r="H7044" s="379">
        <v>9.520550551742236</v>
      </c>
      <c r="I7044" s="25">
        <v>843.72</v>
      </c>
      <c r="J7044" s="379">
        <v>2.6361966401800041</v>
      </c>
    </row>
    <row r="7045" spans="1:10" x14ac:dyDescent="0.35">
      <c r="A7045" s="5">
        <v>7041</v>
      </c>
      <c r="B7045" s="5">
        <v>294</v>
      </c>
      <c r="C7045" s="5">
        <v>10</v>
      </c>
      <c r="D7045" s="379">
        <v>59.711666666666659</v>
      </c>
      <c r="E7045" s="25">
        <v>29.76</v>
      </c>
      <c r="F7045" s="379">
        <v>9.2285560803181479</v>
      </c>
      <c r="G7045" s="25">
        <v>62.12</v>
      </c>
      <c r="H7045" s="379">
        <v>8.7224361323683048</v>
      </c>
      <c r="I7045" s="25">
        <v>603.30999999999995</v>
      </c>
      <c r="J7045" s="379">
        <v>1.3431125473646555</v>
      </c>
    </row>
    <row r="7046" spans="1:10" x14ac:dyDescent="0.35">
      <c r="A7046" s="5">
        <v>7042</v>
      </c>
      <c r="B7046" s="5">
        <v>294</v>
      </c>
      <c r="C7046" s="5">
        <v>10</v>
      </c>
      <c r="D7046" s="379">
        <v>56.731111111111112</v>
      </c>
      <c r="E7046" s="25">
        <v>28.99</v>
      </c>
      <c r="F7046" s="379">
        <v>8.6901661443469518</v>
      </c>
      <c r="G7046" s="25">
        <v>62.12</v>
      </c>
      <c r="H7046" s="379">
        <v>8.0226047097756847</v>
      </c>
      <c r="I7046" s="25">
        <v>84.93</v>
      </c>
      <c r="J7046" s="379">
        <v>2.1386966496935029</v>
      </c>
    </row>
    <row r="7047" spans="1:10" x14ac:dyDescent="0.35">
      <c r="A7047" s="5">
        <v>7043</v>
      </c>
      <c r="B7047" s="5">
        <v>294</v>
      </c>
      <c r="C7047" s="5">
        <v>10</v>
      </c>
      <c r="D7047" s="379">
        <v>55.309444444444438</v>
      </c>
      <c r="E7047" s="25">
        <v>28.99</v>
      </c>
      <c r="F7047" s="379">
        <v>8.1174834595959595</v>
      </c>
      <c r="G7047" s="25">
        <v>61.12</v>
      </c>
      <c r="H7047" s="379">
        <v>8.8290173914236956</v>
      </c>
      <c r="I7047" s="25">
        <v>70.09</v>
      </c>
      <c r="J7047" s="379">
        <v>3.8753486482262529</v>
      </c>
    </row>
    <row r="7048" spans="1:10" x14ac:dyDescent="0.35">
      <c r="A7048" s="5">
        <v>7044</v>
      </c>
      <c r="B7048" s="5">
        <v>294</v>
      </c>
      <c r="C7048" s="5">
        <v>10</v>
      </c>
      <c r="D7048" s="379">
        <v>51.757777777777775</v>
      </c>
      <c r="E7048" s="25">
        <v>27.3</v>
      </c>
      <c r="F7048" s="379">
        <v>8.1174834595959613</v>
      </c>
      <c r="G7048" s="25">
        <v>58.75</v>
      </c>
      <c r="H7048" s="379">
        <v>8.6450795858811169</v>
      </c>
      <c r="I7048" s="25">
        <v>63.54</v>
      </c>
      <c r="J7048" s="379">
        <v>5.9235153884794736</v>
      </c>
    </row>
    <row r="7049" spans="1:10" x14ac:dyDescent="0.35">
      <c r="A7049" s="5">
        <v>7045</v>
      </c>
      <c r="B7049" s="5">
        <v>294</v>
      </c>
      <c r="C7049" s="5">
        <v>10</v>
      </c>
      <c r="D7049" s="379">
        <v>49.342777777777783</v>
      </c>
      <c r="E7049" s="25">
        <v>26.51</v>
      </c>
      <c r="F7049" s="379">
        <v>8.1174834595959595</v>
      </c>
      <c r="G7049" s="25">
        <v>54.25</v>
      </c>
      <c r="H7049" s="379">
        <v>8.7286025439160877</v>
      </c>
      <c r="I7049" s="25">
        <v>62.9</v>
      </c>
      <c r="J7049" s="379">
        <v>5.2493509135613241</v>
      </c>
    </row>
    <row r="7050" spans="1:10" x14ac:dyDescent="0.35">
      <c r="A7050" s="5">
        <v>7046</v>
      </c>
      <c r="B7050" s="5">
        <v>294</v>
      </c>
      <c r="C7050" s="5">
        <v>10</v>
      </c>
      <c r="D7050" s="379">
        <v>48.93888888888889</v>
      </c>
      <c r="E7050" s="25">
        <v>26.51</v>
      </c>
      <c r="F7050" s="379">
        <v>8.1174834595959577</v>
      </c>
      <c r="G7050" s="25">
        <v>53.77</v>
      </c>
      <c r="H7050" s="379">
        <v>9.0525283306737663</v>
      </c>
      <c r="I7050" s="25">
        <v>62.27</v>
      </c>
      <c r="J7050" s="379">
        <v>5.8079061163199208</v>
      </c>
    </row>
    <row r="7051" spans="1:10" x14ac:dyDescent="0.35">
      <c r="A7051" s="5">
        <v>7047</v>
      </c>
      <c r="B7051" s="5">
        <v>294</v>
      </c>
      <c r="C7051" s="5">
        <v>10</v>
      </c>
      <c r="D7051" s="379">
        <v>46.393888888888881</v>
      </c>
      <c r="E7051" s="25">
        <v>26.51</v>
      </c>
      <c r="F7051" s="379">
        <v>8.1174834595959595</v>
      </c>
      <c r="G7051" s="25">
        <v>54.25</v>
      </c>
      <c r="H7051" s="379">
        <v>9.2906253794205487</v>
      </c>
      <c r="I7051" s="25">
        <v>62.9</v>
      </c>
      <c r="J7051" s="379">
        <v>4.9842080954147843</v>
      </c>
    </row>
    <row r="7052" spans="1:10" x14ac:dyDescent="0.35">
      <c r="A7052" s="5">
        <v>7048</v>
      </c>
      <c r="B7052" s="5">
        <v>294</v>
      </c>
      <c r="C7052" s="5">
        <v>10</v>
      </c>
      <c r="D7052" s="379">
        <v>48.252222222222223</v>
      </c>
      <c r="E7052" s="25">
        <v>27.3</v>
      </c>
      <c r="F7052" s="379">
        <v>8.6348782896677694</v>
      </c>
      <c r="G7052" s="25">
        <v>55.38</v>
      </c>
      <c r="H7052" s="379">
        <v>8.8656803335420395</v>
      </c>
      <c r="I7052" s="25">
        <v>62.9</v>
      </c>
      <c r="J7052" s="379">
        <v>4.5933070333164716</v>
      </c>
    </row>
    <row r="7053" spans="1:10" x14ac:dyDescent="0.35">
      <c r="A7053" s="5">
        <v>7049</v>
      </c>
      <c r="B7053" s="5">
        <v>294</v>
      </c>
      <c r="C7053" s="5">
        <v>10</v>
      </c>
      <c r="D7053" s="379">
        <v>55.379999999999995</v>
      </c>
      <c r="E7053" s="25">
        <v>28.15</v>
      </c>
      <c r="F7053" s="379">
        <v>8.969020349428785</v>
      </c>
      <c r="G7053" s="25">
        <v>58.75</v>
      </c>
      <c r="H7053" s="379">
        <v>8.5095556126333172</v>
      </c>
      <c r="I7053" s="25">
        <v>63.54</v>
      </c>
      <c r="J7053" s="379">
        <v>2.7407354968558479</v>
      </c>
    </row>
    <row r="7054" spans="1:10" x14ac:dyDescent="0.35">
      <c r="A7054" s="5">
        <v>7050</v>
      </c>
      <c r="B7054" s="5">
        <v>294</v>
      </c>
      <c r="C7054" s="5">
        <v>10</v>
      </c>
      <c r="D7054" s="379">
        <v>58.202777777777783</v>
      </c>
      <c r="E7054" s="25">
        <v>28.99</v>
      </c>
      <c r="F7054" s="379">
        <v>9.2726165801636018</v>
      </c>
      <c r="G7054" s="25">
        <v>59.34</v>
      </c>
      <c r="H7054" s="379">
        <v>9.1519605671337612</v>
      </c>
      <c r="I7054" s="25">
        <v>71.13</v>
      </c>
      <c r="J7054" s="379">
        <v>3.172802515643999</v>
      </c>
    </row>
    <row r="7055" spans="1:10" x14ac:dyDescent="0.35">
      <c r="A7055" s="5">
        <v>7051</v>
      </c>
      <c r="B7055" s="5">
        <v>294</v>
      </c>
      <c r="C7055" s="5">
        <v>10</v>
      </c>
      <c r="D7055" s="379">
        <v>56.467222222222226</v>
      </c>
      <c r="E7055" s="25">
        <v>28.97</v>
      </c>
      <c r="F7055" s="379">
        <v>11.001293878140087</v>
      </c>
      <c r="G7055" s="25">
        <v>61.12</v>
      </c>
      <c r="H7055" s="379">
        <v>9.751263628220137</v>
      </c>
      <c r="I7055" s="25">
        <v>73.260000000000005</v>
      </c>
      <c r="J7055" s="379">
        <v>5.4551500882849471</v>
      </c>
    </row>
    <row r="7056" spans="1:10" x14ac:dyDescent="0.35">
      <c r="A7056" s="5">
        <v>7052</v>
      </c>
      <c r="B7056" s="5">
        <v>294</v>
      </c>
      <c r="C7056" s="5">
        <v>10</v>
      </c>
      <c r="D7056" s="379">
        <v>51.573333333333331</v>
      </c>
      <c r="E7056" s="25">
        <v>27.3</v>
      </c>
      <c r="F7056" s="379">
        <v>8.9992338731201063</v>
      </c>
      <c r="G7056" s="25">
        <v>54.25</v>
      </c>
      <c r="H7056" s="379">
        <v>10.242524582956154</v>
      </c>
      <c r="I7056" s="25">
        <v>67.400000000000006</v>
      </c>
      <c r="J7056" s="379">
        <v>6.5413012632983456</v>
      </c>
    </row>
    <row r="7057" spans="1:10" x14ac:dyDescent="0.35">
      <c r="A7057" s="5">
        <v>7053</v>
      </c>
      <c r="B7057" s="5">
        <v>294</v>
      </c>
      <c r="C7057" s="5">
        <v>10</v>
      </c>
      <c r="D7057" s="379">
        <v>48.247777777777777</v>
      </c>
      <c r="E7057" s="25">
        <v>24.99</v>
      </c>
      <c r="F7057" s="379">
        <v>8.9708387114110995</v>
      </c>
      <c r="G7057" s="25">
        <v>50.68</v>
      </c>
      <c r="H7057" s="379">
        <v>9.6350421368080656</v>
      </c>
      <c r="I7057" s="25">
        <v>62.9</v>
      </c>
      <c r="J7057" s="379">
        <v>6.4756689780495504</v>
      </c>
    </row>
    <row r="7058" spans="1:10" x14ac:dyDescent="0.35">
      <c r="A7058" s="5">
        <v>7054</v>
      </c>
      <c r="B7058" s="5">
        <v>294</v>
      </c>
      <c r="C7058" s="5">
        <v>10</v>
      </c>
      <c r="D7058" s="379">
        <v>46.589999999999996</v>
      </c>
      <c r="E7058" s="25">
        <v>24.99</v>
      </c>
      <c r="F7058" s="379">
        <v>9.7486895361329005</v>
      </c>
      <c r="G7058" s="25">
        <v>47.85</v>
      </c>
      <c r="H7058" s="379">
        <v>9.4704154508066054</v>
      </c>
      <c r="I7058" s="25">
        <v>62.27</v>
      </c>
      <c r="J7058" s="379">
        <v>6.9818706938295989</v>
      </c>
    </row>
    <row r="7059" spans="1:10" x14ac:dyDescent="0.35">
      <c r="A7059" s="5">
        <v>7055</v>
      </c>
      <c r="B7059" s="5">
        <v>294</v>
      </c>
      <c r="C7059" s="5">
        <v>10</v>
      </c>
      <c r="D7059" s="379">
        <v>46.955555555555563</v>
      </c>
      <c r="E7059" s="25">
        <v>24.99</v>
      </c>
      <c r="F7059" s="379">
        <v>7.7102444094890199</v>
      </c>
      <c r="G7059" s="25">
        <v>47.46</v>
      </c>
      <c r="H7059" s="379">
        <v>8.3381282717663439</v>
      </c>
      <c r="I7059" s="25">
        <v>54.87</v>
      </c>
      <c r="J7059" s="379">
        <v>7.2235973853507307</v>
      </c>
    </row>
    <row r="7060" spans="1:10" x14ac:dyDescent="0.35">
      <c r="A7060" s="5">
        <v>7056</v>
      </c>
      <c r="B7060" s="5">
        <v>294</v>
      </c>
      <c r="C7060" s="5">
        <v>10</v>
      </c>
      <c r="D7060" s="379">
        <v>46.477777777777781</v>
      </c>
      <c r="E7060" s="25">
        <v>24.84</v>
      </c>
      <c r="F7060" s="379">
        <v>7.0169260948665118</v>
      </c>
      <c r="G7060" s="25">
        <v>46.98</v>
      </c>
      <c r="H7060" s="379">
        <v>5.5696850060184726</v>
      </c>
      <c r="I7060" s="25">
        <v>53.71</v>
      </c>
      <c r="J7060" s="379">
        <v>4.8106496664243394</v>
      </c>
    </row>
    <row r="7061" spans="1:10" x14ac:dyDescent="0.35">
      <c r="A7061" s="5">
        <v>7057</v>
      </c>
      <c r="B7061" s="5">
        <v>295</v>
      </c>
      <c r="C7061" s="5">
        <v>10</v>
      </c>
      <c r="D7061" s="379">
        <v>42.488888888888887</v>
      </c>
      <c r="E7061" s="25">
        <v>24.84</v>
      </c>
      <c r="F7061" s="379">
        <v>6.7392347752760902</v>
      </c>
      <c r="G7061" s="25">
        <v>44.77</v>
      </c>
      <c r="H7061" s="379">
        <v>4.8852823836434895</v>
      </c>
      <c r="I7061" s="25">
        <v>52.93</v>
      </c>
      <c r="J7061" s="379">
        <v>3.8122732202261966</v>
      </c>
    </row>
    <row r="7062" spans="1:10" x14ac:dyDescent="0.35">
      <c r="A7062" s="5">
        <v>7058</v>
      </c>
      <c r="B7062" s="5">
        <v>295</v>
      </c>
      <c r="C7062" s="5">
        <v>10</v>
      </c>
      <c r="D7062" s="379">
        <v>40.403888888888893</v>
      </c>
      <c r="E7062" s="25">
        <v>24.84</v>
      </c>
      <c r="F7062" s="379">
        <v>6.4228295303547203</v>
      </c>
      <c r="G7062" s="25">
        <v>44.77</v>
      </c>
      <c r="H7062" s="379">
        <v>5.5128641349406591</v>
      </c>
      <c r="I7062" s="25">
        <v>52.93</v>
      </c>
      <c r="J7062" s="379">
        <v>4.7315924166833279</v>
      </c>
    </row>
    <row r="7063" spans="1:10" x14ac:dyDescent="0.35">
      <c r="A7063" s="5">
        <v>7059</v>
      </c>
      <c r="B7063" s="5">
        <v>295</v>
      </c>
      <c r="C7063" s="5">
        <v>10</v>
      </c>
      <c r="D7063" s="379">
        <v>40.89</v>
      </c>
      <c r="E7063" s="25">
        <v>24.84</v>
      </c>
      <c r="F7063" s="379">
        <v>6.5421330750049052</v>
      </c>
      <c r="G7063" s="25">
        <v>44.77</v>
      </c>
      <c r="H7063" s="379">
        <v>6.446095235084</v>
      </c>
      <c r="I7063" s="25">
        <v>52.93</v>
      </c>
      <c r="J7063" s="379">
        <v>4.7251753062351929</v>
      </c>
    </row>
    <row r="7064" spans="1:10" x14ac:dyDescent="0.35">
      <c r="A7064" s="5">
        <v>7060</v>
      </c>
      <c r="B7064" s="5">
        <v>295</v>
      </c>
      <c r="C7064" s="5">
        <v>10</v>
      </c>
      <c r="D7064" s="379">
        <v>40.426666666666669</v>
      </c>
      <c r="E7064" s="25">
        <v>24.84</v>
      </c>
      <c r="F7064" s="379">
        <v>6.5447798042652794</v>
      </c>
      <c r="G7064" s="25">
        <v>44.77</v>
      </c>
      <c r="H7064" s="379">
        <v>6.7207993676975031</v>
      </c>
      <c r="I7064" s="25">
        <v>52.93</v>
      </c>
      <c r="J7064" s="379">
        <v>3.4787347009240235</v>
      </c>
    </row>
    <row r="7065" spans="1:10" x14ac:dyDescent="0.35">
      <c r="A7065" s="5">
        <v>7061</v>
      </c>
      <c r="B7065" s="5">
        <v>295</v>
      </c>
      <c r="C7065" s="5">
        <v>10</v>
      </c>
      <c r="D7065" s="379">
        <v>41.915555555555557</v>
      </c>
      <c r="E7065" s="25">
        <v>24.84</v>
      </c>
      <c r="F7065" s="379">
        <v>6.4601135159652507</v>
      </c>
      <c r="G7065" s="25">
        <v>44.77</v>
      </c>
      <c r="H7065" s="379">
        <v>6.1116229242716891</v>
      </c>
      <c r="I7065" s="25">
        <v>52.93</v>
      </c>
      <c r="J7065" s="379">
        <v>3.1519970725398778</v>
      </c>
    </row>
    <row r="7066" spans="1:10" x14ac:dyDescent="0.35">
      <c r="A7066" s="5">
        <v>7062</v>
      </c>
      <c r="B7066" s="5">
        <v>295</v>
      </c>
      <c r="C7066" s="5">
        <v>10</v>
      </c>
      <c r="D7066" s="379">
        <v>43.003888888888888</v>
      </c>
      <c r="E7066" s="25">
        <v>25.29</v>
      </c>
      <c r="F7066" s="379">
        <v>4.9030778105101582</v>
      </c>
      <c r="G7066" s="25">
        <v>47.85</v>
      </c>
      <c r="H7066" s="379">
        <v>6.0998624997280162</v>
      </c>
      <c r="I7066" s="25">
        <v>53.51</v>
      </c>
      <c r="J7066" s="379">
        <v>2.4243277573213291</v>
      </c>
    </row>
    <row r="7067" spans="1:10" x14ac:dyDescent="0.35">
      <c r="A7067" s="5">
        <v>7063</v>
      </c>
      <c r="B7067" s="5">
        <v>295</v>
      </c>
      <c r="C7067" s="5">
        <v>10</v>
      </c>
      <c r="D7067" s="379">
        <v>41.903333333333336</v>
      </c>
      <c r="E7067" s="25">
        <v>26.51</v>
      </c>
      <c r="F7067" s="379">
        <v>5.5880967922986438</v>
      </c>
      <c r="G7067" s="25">
        <v>52.67</v>
      </c>
      <c r="H7067" s="379">
        <v>4.786036186272498</v>
      </c>
      <c r="I7067" s="25">
        <v>62.27</v>
      </c>
      <c r="J7067" s="379">
        <v>1.7167883180439711</v>
      </c>
    </row>
    <row r="7068" spans="1:10" x14ac:dyDescent="0.35">
      <c r="A7068" s="5">
        <v>7064</v>
      </c>
      <c r="B7068" s="5">
        <v>295</v>
      </c>
      <c r="C7068" s="5">
        <v>10</v>
      </c>
      <c r="D7068" s="379">
        <v>44.681111111111115</v>
      </c>
      <c r="E7068" s="25">
        <v>26.51</v>
      </c>
      <c r="F7068" s="379">
        <v>6.3860022577846571</v>
      </c>
      <c r="G7068" s="25">
        <v>52.67</v>
      </c>
      <c r="H7068" s="379">
        <v>4.5485281985142381</v>
      </c>
      <c r="I7068" s="25">
        <v>62.96</v>
      </c>
      <c r="J7068" s="379">
        <v>2.0995335804971185</v>
      </c>
    </row>
    <row r="7069" spans="1:10" x14ac:dyDescent="0.35">
      <c r="A7069" s="5">
        <v>7065</v>
      </c>
      <c r="B7069" s="5">
        <v>295</v>
      </c>
      <c r="C7069" s="5">
        <v>10</v>
      </c>
      <c r="D7069" s="379">
        <v>47.110555555555557</v>
      </c>
      <c r="E7069" s="25">
        <v>26.51</v>
      </c>
      <c r="F7069" s="379">
        <v>6.2304170728214547</v>
      </c>
      <c r="G7069" s="25">
        <v>52.67</v>
      </c>
      <c r="H7069" s="379">
        <v>4.3262792614357908</v>
      </c>
      <c r="I7069" s="25">
        <v>62.27</v>
      </c>
      <c r="J7069" s="379">
        <v>4.0044151051308319</v>
      </c>
    </row>
    <row r="7070" spans="1:10" x14ac:dyDescent="0.35">
      <c r="A7070" s="5">
        <v>7066</v>
      </c>
      <c r="B7070" s="5">
        <v>295</v>
      </c>
      <c r="C7070" s="5">
        <v>10</v>
      </c>
      <c r="D7070" s="379">
        <v>45.422222222222224</v>
      </c>
      <c r="E7070" s="25">
        <v>26.51</v>
      </c>
      <c r="F7070" s="379">
        <v>6.686533584307961</v>
      </c>
      <c r="G7070" s="25">
        <v>52.67</v>
      </c>
      <c r="H7070" s="379">
        <v>5.3692186607401293</v>
      </c>
      <c r="I7070" s="25">
        <v>61.12</v>
      </c>
      <c r="J7070" s="379">
        <v>1.7493671297167697</v>
      </c>
    </row>
    <row r="7071" spans="1:10" x14ac:dyDescent="0.35">
      <c r="A7071" s="5">
        <v>7067</v>
      </c>
      <c r="B7071" s="5">
        <v>295</v>
      </c>
      <c r="C7071" s="5">
        <v>10</v>
      </c>
      <c r="D7071" s="379">
        <v>43.492222222222225</v>
      </c>
      <c r="E7071" s="25">
        <v>26.01</v>
      </c>
      <c r="F7071" s="379">
        <v>6.4601019893907967</v>
      </c>
      <c r="G7071" s="25">
        <v>52.67</v>
      </c>
      <c r="H7071" s="379">
        <v>4.6466778788297276</v>
      </c>
      <c r="I7071" s="25">
        <v>56.52</v>
      </c>
      <c r="J7071" s="379">
        <v>2.2202875683737444</v>
      </c>
    </row>
    <row r="7072" spans="1:10" x14ac:dyDescent="0.35">
      <c r="A7072" s="5">
        <v>7068</v>
      </c>
      <c r="B7072" s="5">
        <v>295</v>
      </c>
      <c r="C7072" s="5">
        <v>10</v>
      </c>
      <c r="D7072" s="379">
        <v>42.741666666666667</v>
      </c>
      <c r="E7072" s="25">
        <v>25.74</v>
      </c>
      <c r="F7072" s="379">
        <v>6.4572919548897767</v>
      </c>
      <c r="G7072" s="25">
        <v>52.67</v>
      </c>
      <c r="H7072" s="379">
        <v>4.0164820172836828</v>
      </c>
      <c r="I7072" s="25">
        <v>53.46</v>
      </c>
      <c r="J7072" s="379">
        <v>1.8812800552973397</v>
      </c>
    </row>
    <row r="7073" spans="1:10" x14ac:dyDescent="0.35">
      <c r="A7073" s="5">
        <v>7069</v>
      </c>
      <c r="B7073" s="5">
        <v>295</v>
      </c>
      <c r="C7073" s="5">
        <v>10</v>
      </c>
      <c r="D7073" s="379">
        <v>41.586666666666666</v>
      </c>
      <c r="E7073" s="25">
        <v>25.59</v>
      </c>
      <c r="F7073" s="379">
        <v>6.6959085675239365</v>
      </c>
      <c r="G7073" s="25">
        <v>52.2</v>
      </c>
      <c r="H7073" s="379">
        <v>4.2717851284103014</v>
      </c>
      <c r="I7073" s="25">
        <v>52.93</v>
      </c>
      <c r="J7073" s="379">
        <v>2.3594228475447121</v>
      </c>
    </row>
    <row r="7074" spans="1:10" x14ac:dyDescent="0.35">
      <c r="A7074" s="5">
        <v>7070</v>
      </c>
      <c r="B7074" s="5">
        <v>295</v>
      </c>
      <c r="C7074" s="5">
        <v>10</v>
      </c>
      <c r="D7074" s="379">
        <v>40.68888888888889</v>
      </c>
      <c r="E7074" s="25">
        <v>24.99</v>
      </c>
      <c r="F7074" s="379">
        <v>6.1129994118552302</v>
      </c>
      <c r="G7074" s="25">
        <v>47.85</v>
      </c>
      <c r="H7074" s="379">
        <v>4.7523943942218425</v>
      </c>
      <c r="I7074" s="25">
        <v>52.4</v>
      </c>
      <c r="J7074" s="379">
        <v>2.8683774078068778</v>
      </c>
    </row>
    <row r="7075" spans="1:10" x14ac:dyDescent="0.35">
      <c r="A7075" s="5">
        <v>7071</v>
      </c>
      <c r="B7075" s="5">
        <v>295</v>
      </c>
      <c r="C7075" s="5">
        <v>10</v>
      </c>
      <c r="D7075" s="379">
        <v>41.507222222222218</v>
      </c>
      <c r="E7075" s="25">
        <v>24.99</v>
      </c>
      <c r="F7075" s="379">
        <v>6.4582640064523993</v>
      </c>
      <c r="G7075" s="25">
        <v>47.85</v>
      </c>
      <c r="H7075" s="379">
        <v>4.7770291426480922</v>
      </c>
      <c r="I7075" s="25">
        <v>52.4</v>
      </c>
      <c r="J7075" s="379">
        <v>2.9025378242522244</v>
      </c>
    </row>
    <row r="7076" spans="1:10" x14ac:dyDescent="0.35">
      <c r="A7076" s="5">
        <v>7072</v>
      </c>
      <c r="B7076" s="5">
        <v>295</v>
      </c>
      <c r="C7076" s="5">
        <v>10</v>
      </c>
      <c r="D7076" s="379">
        <v>45.294999999999995</v>
      </c>
      <c r="E7076" s="25">
        <v>25.29</v>
      </c>
      <c r="F7076" s="379">
        <v>6.6561428404348799</v>
      </c>
      <c r="G7076" s="25">
        <v>47.85</v>
      </c>
      <c r="H7076" s="379">
        <v>3.8702279384732297</v>
      </c>
      <c r="I7076" s="25">
        <v>52.93</v>
      </c>
      <c r="J7076" s="379">
        <v>2.622476411787678</v>
      </c>
    </row>
    <row r="7077" spans="1:10" x14ac:dyDescent="0.35">
      <c r="A7077" s="5">
        <v>7073</v>
      </c>
      <c r="B7077" s="5">
        <v>295</v>
      </c>
      <c r="C7077" s="5">
        <v>10</v>
      </c>
      <c r="D7077" s="379">
        <v>52.839444444444439</v>
      </c>
      <c r="E7077" s="25">
        <v>26.05</v>
      </c>
      <c r="F7077" s="379">
        <v>7.7826636115295287</v>
      </c>
      <c r="G7077" s="25">
        <v>47.85</v>
      </c>
      <c r="H7077" s="379">
        <v>4.9550160072776794</v>
      </c>
      <c r="I7077" s="25">
        <v>53.71</v>
      </c>
      <c r="J7077" s="379">
        <v>1.5588569257878013</v>
      </c>
    </row>
    <row r="7078" spans="1:10" x14ac:dyDescent="0.35">
      <c r="A7078" s="5">
        <v>7074</v>
      </c>
      <c r="B7078" s="5">
        <v>295</v>
      </c>
      <c r="C7078" s="5">
        <v>10</v>
      </c>
      <c r="D7078" s="379">
        <v>57.765555555555551</v>
      </c>
      <c r="E7078" s="25">
        <v>27.3</v>
      </c>
      <c r="F7078" s="379">
        <v>7.2364297779831945</v>
      </c>
      <c r="G7078" s="25">
        <v>50.35</v>
      </c>
      <c r="H7078" s="379">
        <v>8.5968770506995238</v>
      </c>
      <c r="I7078" s="25">
        <v>66.06</v>
      </c>
      <c r="J7078" s="379">
        <v>5.0840120831538664</v>
      </c>
    </row>
    <row r="7079" spans="1:10" x14ac:dyDescent="0.35">
      <c r="A7079" s="5">
        <v>7075</v>
      </c>
      <c r="B7079" s="5">
        <v>295</v>
      </c>
      <c r="C7079" s="5">
        <v>10</v>
      </c>
      <c r="D7079" s="379">
        <v>57.086111111111109</v>
      </c>
      <c r="E7079" s="25">
        <v>29.23</v>
      </c>
      <c r="F7079" s="379">
        <v>8.4819788429656384</v>
      </c>
      <c r="G7079" s="25">
        <v>50.35</v>
      </c>
      <c r="H7079" s="379">
        <v>6.5014843390263559</v>
      </c>
      <c r="I7079" s="25">
        <v>67.83</v>
      </c>
      <c r="J7079" s="379">
        <v>6.1901359775685707</v>
      </c>
    </row>
    <row r="7080" spans="1:10" x14ac:dyDescent="0.35">
      <c r="A7080" s="5">
        <v>7076</v>
      </c>
      <c r="B7080" s="5">
        <v>295</v>
      </c>
      <c r="C7080" s="5">
        <v>10</v>
      </c>
      <c r="D7080" s="379">
        <v>52.497777777777785</v>
      </c>
      <c r="E7080" s="25">
        <v>27.3</v>
      </c>
      <c r="F7080" s="379">
        <v>7.4475944017956337</v>
      </c>
      <c r="G7080" s="25">
        <v>49.84</v>
      </c>
      <c r="H7080" s="379">
        <v>7.155537999751334</v>
      </c>
      <c r="I7080" s="25">
        <v>66.06</v>
      </c>
      <c r="J7080" s="379">
        <v>6.2922708496350612</v>
      </c>
    </row>
    <row r="7081" spans="1:10" x14ac:dyDescent="0.35">
      <c r="A7081" s="5">
        <v>7077</v>
      </c>
      <c r="B7081" s="5">
        <v>295</v>
      </c>
      <c r="C7081" s="5">
        <v>10</v>
      </c>
      <c r="D7081" s="379">
        <v>49.552777777777777</v>
      </c>
      <c r="E7081" s="25">
        <v>25.38</v>
      </c>
      <c r="F7081" s="379">
        <v>6.8555649834223908</v>
      </c>
      <c r="G7081" s="25">
        <v>47.85</v>
      </c>
      <c r="H7081" s="379">
        <v>9.6679199353434058</v>
      </c>
      <c r="I7081" s="25">
        <v>66.06</v>
      </c>
      <c r="J7081" s="379">
        <v>6.7030692560023084</v>
      </c>
    </row>
    <row r="7082" spans="1:10" x14ac:dyDescent="0.35">
      <c r="A7082" s="5">
        <v>7078</v>
      </c>
      <c r="B7082" s="5">
        <v>295</v>
      </c>
      <c r="C7082" s="5">
        <v>10</v>
      </c>
      <c r="D7082" s="379">
        <v>48.168888888888887</v>
      </c>
      <c r="E7082" s="25">
        <v>25.38</v>
      </c>
      <c r="F7082" s="379">
        <v>6.8554017273907863</v>
      </c>
      <c r="G7082" s="25">
        <v>47.85</v>
      </c>
      <c r="H7082" s="379">
        <v>8.719368671909038</v>
      </c>
      <c r="I7082" s="25">
        <v>66.06</v>
      </c>
      <c r="J7082" s="379">
        <v>6.7301541085861629</v>
      </c>
    </row>
    <row r="7083" spans="1:10" x14ac:dyDescent="0.35">
      <c r="A7083" s="5">
        <v>7079</v>
      </c>
      <c r="B7083" s="5">
        <v>295</v>
      </c>
      <c r="C7083" s="5">
        <v>10</v>
      </c>
      <c r="D7083" s="379">
        <v>46.794999999999995</v>
      </c>
      <c r="E7083" s="25">
        <v>25.29</v>
      </c>
      <c r="F7083" s="379">
        <v>6.7927461556414386</v>
      </c>
      <c r="G7083" s="25">
        <v>47.85</v>
      </c>
      <c r="H7083" s="379">
        <v>9.0258807055387056</v>
      </c>
      <c r="I7083" s="25">
        <v>66.06</v>
      </c>
      <c r="J7083" s="379">
        <v>6.4795115187818757</v>
      </c>
    </row>
    <row r="7084" spans="1:10" x14ac:dyDescent="0.35">
      <c r="A7084" s="5">
        <v>7080</v>
      </c>
      <c r="B7084" s="5">
        <v>295</v>
      </c>
      <c r="C7084" s="5">
        <v>10</v>
      </c>
      <c r="D7084" s="379">
        <v>42.822777777777787</v>
      </c>
      <c r="E7084" s="25">
        <v>24.84</v>
      </c>
      <c r="F7084" s="379">
        <v>6.7927359192367343</v>
      </c>
      <c r="G7084" s="25">
        <v>46.98</v>
      </c>
      <c r="H7084" s="379">
        <v>8.3322516704508214</v>
      </c>
      <c r="I7084" s="25">
        <v>55.59</v>
      </c>
      <c r="J7084" s="379">
        <v>6.0086314037975255</v>
      </c>
    </row>
    <row r="7085" spans="1:10" x14ac:dyDescent="0.35">
      <c r="A7085" s="5">
        <v>7081</v>
      </c>
      <c r="B7085" s="5">
        <v>296</v>
      </c>
      <c r="C7085" s="5">
        <v>10</v>
      </c>
      <c r="D7085" s="379">
        <v>42.836111111111101</v>
      </c>
      <c r="E7085" s="25">
        <v>24.84</v>
      </c>
      <c r="F7085" s="379">
        <v>6.7927359192367343</v>
      </c>
      <c r="G7085" s="25">
        <v>43.56</v>
      </c>
      <c r="H7085" s="379">
        <v>7.2642320773572351</v>
      </c>
      <c r="I7085" s="25">
        <v>55.89</v>
      </c>
      <c r="J7085" s="379">
        <v>6.1442580503960551</v>
      </c>
    </row>
    <row r="7086" spans="1:10" x14ac:dyDescent="0.35">
      <c r="A7086" s="5">
        <v>7082</v>
      </c>
      <c r="B7086" s="5">
        <v>296</v>
      </c>
      <c r="C7086" s="5">
        <v>10</v>
      </c>
      <c r="D7086" s="379">
        <v>41.762777777777778</v>
      </c>
      <c r="E7086" s="25">
        <v>24.84</v>
      </c>
      <c r="F7086" s="379">
        <v>6.7928991752683388</v>
      </c>
      <c r="G7086" s="25">
        <v>43.56</v>
      </c>
      <c r="H7086" s="379">
        <v>7.1985240484327084</v>
      </c>
      <c r="I7086" s="25">
        <v>55.89</v>
      </c>
      <c r="J7086" s="379">
        <v>5.7618305858249474</v>
      </c>
    </row>
    <row r="7087" spans="1:10" x14ac:dyDescent="0.35">
      <c r="A7087" s="5">
        <v>7083</v>
      </c>
      <c r="B7087" s="5">
        <v>296</v>
      </c>
      <c r="C7087" s="5">
        <v>10</v>
      </c>
      <c r="D7087" s="379">
        <v>41.007222222222232</v>
      </c>
      <c r="E7087" s="25">
        <v>24.84</v>
      </c>
      <c r="F7087" s="379">
        <v>6.7928991752683388</v>
      </c>
      <c r="G7087" s="25">
        <v>43.56</v>
      </c>
      <c r="H7087" s="379">
        <v>7.0602419924904254</v>
      </c>
      <c r="I7087" s="25">
        <v>55.89</v>
      </c>
      <c r="J7087" s="379">
        <v>5.8877468708258958</v>
      </c>
    </row>
    <row r="7088" spans="1:10" x14ac:dyDescent="0.35">
      <c r="A7088" s="5">
        <v>7084</v>
      </c>
      <c r="B7088" s="5">
        <v>296</v>
      </c>
      <c r="C7088" s="5">
        <v>10</v>
      </c>
      <c r="D7088" s="379">
        <v>41.338333333333345</v>
      </c>
      <c r="E7088" s="25">
        <v>24.84</v>
      </c>
      <c r="F7088" s="379">
        <v>7.3849183572368755</v>
      </c>
      <c r="G7088" s="25">
        <v>43.56</v>
      </c>
      <c r="H7088" s="379">
        <v>6.312706237183388</v>
      </c>
      <c r="I7088" s="25">
        <v>55.89</v>
      </c>
      <c r="J7088" s="379">
        <v>5.8601258498710864</v>
      </c>
    </row>
    <row r="7089" spans="1:10" x14ac:dyDescent="0.35">
      <c r="A7089" s="5">
        <v>7085</v>
      </c>
      <c r="B7089" s="5">
        <v>296</v>
      </c>
      <c r="C7089" s="5">
        <v>10</v>
      </c>
      <c r="D7089" s="379">
        <v>42.443333333333328</v>
      </c>
      <c r="E7089" s="25">
        <v>24.84</v>
      </c>
      <c r="F7089" s="379">
        <v>12.115999722751896</v>
      </c>
      <c r="G7089" s="25">
        <v>43.56</v>
      </c>
      <c r="H7089" s="379">
        <v>5.8894143450364282</v>
      </c>
      <c r="I7089" s="25">
        <v>55.89</v>
      </c>
      <c r="J7089" s="379">
        <v>5.646446376551725</v>
      </c>
    </row>
    <row r="7090" spans="1:10" x14ac:dyDescent="0.35">
      <c r="A7090" s="5">
        <v>7086</v>
      </c>
      <c r="B7090" s="5">
        <v>296</v>
      </c>
      <c r="C7090" s="5">
        <v>10</v>
      </c>
      <c r="D7090" s="379">
        <v>44.714444444444446</v>
      </c>
      <c r="E7090" s="25">
        <v>24.84</v>
      </c>
      <c r="F7090" s="379">
        <v>16.291759032333349</v>
      </c>
      <c r="G7090" s="25">
        <v>44.74</v>
      </c>
      <c r="H7090" s="379">
        <v>4.5739322998435945</v>
      </c>
      <c r="I7090" s="25">
        <v>62.27</v>
      </c>
      <c r="J7090" s="379">
        <v>5.6920203311314213</v>
      </c>
    </row>
    <row r="7091" spans="1:10" x14ac:dyDescent="0.35">
      <c r="A7091" s="5">
        <v>7087</v>
      </c>
      <c r="B7091" s="5">
        <v>296</v>
      </c>
      <c r="C7091" s="5">
        <v>10</v>
      </c>
      <c r="D7091" s="379">
        <v>45.147777777777769</v>
      </c>
      <c r="E7091" s="25">
        <v>24.99</v>
      </c>
      <c r="F7091" s="379">
        <v>15.748549774845353</v>
      </c>
      <c r="G7091" s="25">
        <v>44.86</v>
      </c>
      <c r="H7091" s="379">
        <v>6.7900819898041078</v>
      </c>
      <c r="I7091" s="25">
        <v>66.06</v>
      </c>
      <c r="J7091" s="379">
        <v>5.3881226364404116</v>
      </c>
    </row>
    <row r="7092" spans="1:10" x14ac:dyDescent="0.35">
      <c r="A7092" s="5">
        <v>7088</v>
      </c>
      <c r="B7092" s="5">
        <v>296</v>
      </c>
      <c r="C7092" s="5">
        <v>10</v>
      </c>
      <c r="D7092" s="379">
        <v>46.611666666666665</v>
      </c>
      <c r="E7092" s="25">
        <v>25.29</v>
      </c>
      <c r="F7092" s="379">
        <v>15.797551961111576</v>
      </c>
      <c r="G7092" s="25">
        <v>47.85</v>
      </c>
      <c r="H7092" s="379">
        <v>4.9338585144543687</v>
      </c>
      <c r="I7092" s="25">
        <v>66.06</v>
      </c>
      <c r="J7092" s="379">
        <v>5.1926487122545142</v>
      </c>
    </row>
    <row r="7093" spans="1:10" x14ac:dyDescent="0.35">
      <c r="A7093" s="5">
        <v>7089</v>
      </c>
      <c r="B7093" s="5">
        <v>296</v>
      </c>
      <c r="C7093" s="5">
        <v>10</v>
      </c>
      <c r="D7093" s="379">
        <v>43.101666666666667</v>
      </c>
      <c r="E7093" s="25">
        <v>25.74</v>
      </c>
      <c r="F7093" s="379">
        <v>15.410726407683548</v>
      </c>
      <c r="G7093" s="25">
        <v>47.85</v>
      </c>
      <c r="H7093" s="379">
        <v>5.0341485958474319</v>
      </c>
      <c r="I7093" s="25">
        <v>66.06</v>
      </c>
      <c r="J7093" s="379">
        <v>5.325302183532286</v>
      </c>
    </row>
    <row r="7094" spans="1:10" x14ac:dyDescent="0.35">
      <c r="A7094" s="5">
        <v>7090</v>
      </c>
      <c r="B7094" s="5">
        <v>296</v>
      </c>
      <c r="C7094" s="5">
        <v>10</v>
      </c>
      <c r="D7094" s="379">
        <v>40.024999999999991</v>
      </c>
      <c r="E7094" s="25">
        <v>25.59</v>
      </c>
      <c r="F7094" s="379">
        <v>16.126672357160793</v>
      </c>
      <c r="G7094" s="25">
        <v>47.85</v>
      </c>
      <c r="H7094" s="379">
        <v>7.2993927518377557</v>
      </c>
      <c r="I7094" s="25">
        <v>66.06</v>
      </c>
      <c r="J7094" s="379">
        <v>5.4589621436239746</v>
      </c>
    </row>
    <row r="7095" spans="1:10" x14ac:dyDescent="0.35">
      <c r="A7095" s="5">
        <v>7091</v>
      </c>
      <c r="B7095" s="5">
        <v>296</v>
      </c>
      <c r="C7095" s="5">
        <v>10</v>
      </c>
      <c r="D7095" s="379">
        <v>39.181111111111107</v>
      </c>
      <c r="E7095" s="25">
        <v>25.29</v>
      </c>
      <c r="F7095" s="379">
        <v>8.6502505171224371</v>
      </c>
      <c r="G7095" s="25">
        <v>47.85</v>
      </c>
      <c r="H7095" s="379">
        <v>6.9008506924489108</v>
      </c>
      <c r="I7095" s="25">
        <v>62.27</v>
      </c>
      <c r="J7095" s="379">
        <v>4.7596576803958701</v>
      </c>
    </row>
    <row r="7096" spans="1:10" x14ac:dyDescent="0.35">
      <c r="A7096" s="5">
        <v>7092</v>
      </c>
      <c r="B7096" s="5">
        <v>296</v>
      </c>
      <c r="C7096" s="5">
        <v>10</v>
      </c>
      <c r="D7096" s="379">
        <v>37.33</v>
      </c>
      <c r="E7096" s="25">
        <v>25.29</v>
      </c>
      <c r="F7096" s="379">
        <v>8.2723166063838818</v>
      </c>
      <c r="G7096" s="25">
        <v>47.46</v>
      </c>
      <c r="H7096" s="379">
        <v>6.4226470722874733</v>
      </c>
      <c r="I7096" s="25">
        <v>55.89</v>
      </c>
      <c r="J7096" s="379">
        <v>3.7010928508676422</v>
      </c>
    </row>
    <row r="7097" spans="1:10" x14ac:dyDescent="0.35">
      <c r="A7097" s="5">
        <v>7093</v>
      </c>
      <c r="B7097" s="5">
        <v>296</v>
      </c>
      <c r="C7097" s="5">
        <v>10</v>
      </c>
      <c r="D7097" s="379">
        <v>34.819999999999993</v>
      </c>
      <c r="E7097" s="25">
        <v>24.84</v>
      </c>
      <c r="F7097" s="379">
        <v>8.92831945108483</v>
      </c>
      <c r="G7097" s="25">
        <v>44.86</v>
      </c>
      <c r="H7097" s="379">
        <v>5.5884050209974232</v>
      </c>
      <c r="I7097" s="25">
        <v>54.52</v>
      </c>
      <c r="J7097" s="379">
        <v>4.4581930818702888</v>
      </c>
    </row>
    <row r="7098" spans="1:10" x14ac:dyDescent="0.35">
      <c r="A7098" s="5">
        <v>7094</v>
      </c>
      <c r="B7098" s="5">
        <v>296</v>
      </c>
      <c r="C7098" s="5">
        <v>10</v>
      </c>
      <c r="D7098" s="379">
        <v>35.199444444444445</v>
      </c>
      <c r="E7098" s="25">
        <v>24.84</v>
      </c>
      <c r="F7098" s="379">
        <v>10.242382429631046</v>
      </c>
      <c r="G7098" s="25">
        <v>44.86</v>
      </c>
      <c r="H7098" s="379">
        <v>7.0780668945206777</v>
      </c>
      <c r="I7098" s="25">
        <v>51.02</v>
      </c>
      <c r="J7098" s="379">
        <v>3.2900477857744641</v>
      </c>
    </row>
    <row r="7099" spans="1:10" x14ac:dyDescent="0.35">
      <c r="A7099" s="5">
        <v>7095</v>
      </c>
      <c r="B7099" s="5">
        <v>296</v>
      </c>
      <c r="C7099" s="5">
        <v>10</v>
      </c>
      <c r="D7099" s="379">
        <v>35.905555555555551</v>
      </c>
      <c r="E7099" s="25">
        <v>24.84</v>
      </c>
      <c r="F7099" s="379">
        <v>13.627527230176771</v>
      </c>
      <c r="G7099" s="25">
        <v>44.86</v>
      </c>
      <c r="H7099" s="379">
        <v>5.6785441513421224</v>
      </c>
      <c r="I7099" s="25">
        <v>51.02</v>
      </c>
      <c r="J7099" s="379">
        <v>2.8703803338607607</v>
      </c>
    </row>
    <row r="7100" spans="1:10" x14ac:dyDescent="0.35">
      <c r="A7100" s="5">
        <v>7096</v>
      </c>
      <c r="B7100" s="5">
        <v>296</v>
      </c>
      <c r="C7100" s="5">
        <v>10</v>
      </c>
      <c r="D7100" s="379">
        <v>37.783888888888889</v>
      </c>
      <c r="E7100" s="25">
        <v>24.84</v>
      </c>
      <c r="F7100" s="379">
        <v>14.729043805659284</v>
      </c>
      <c r="G7100" s="25">
        <v>47.85</v>
      </c>
      <c r="H7100" s="379">
        <v>6.4868053919352473</v>
      </c>
      <c r="I7100" s="25">
        <v>54.52</v>
      </c>
      <c r="J7100" s="379">
        <v>5.2999404903693881</v>
      </c>
    </row>
    <row r="7101" spans="1:10" x14ac:dyDescent="0.35">
      <c r="A7101" s="5">
        <v>7097</v>
      </c>
      <c r="B7101" s="5">
        <v>296</v>
      </c>
      <c r="C7101" s="5">
        <v>10</v>
      </c>
      <c r="D7101" s="379">
        <v>39.192222222222227</v>
      </c>
      <c r="E7101" s="25">
        <v>25.29</v>
      </c>
      <c r="F7101" s="379">
        <v>19.686499335139487</v>
      </c>
      <c r="G7101" s="25">
        <v>47.85</v>
      </c>
      <c r="H7101" s="379">
        <v>1.585411706170099</v>
      </c>
      <c r="I7101" s="25">
        <v>58.7</v>
      </c>
      <c r="J7101" s="379">
        <v>6.1231689577996304</v>
      </c>
    </row>
    <row r="7102" spans="1:10" x14ac:dyDescent="0.35">
      <c r="A7102" s="5">
        <v>7098</v>
      </c>
      <c r="B7102" s="5">
        <v>296</v>
      </c>
      <c r="C7102" s="5">
        <v>10</v>
      </c>
      <c r="D7102" s="379">
        <v>42.272222222222226</v>
      </c>
      <c r="E7102" s="25">
        <v>27.3</v>
      </c>
      <c r="F7102" s="379">
        <v>16.453337107590936</v>
      </c>
      <c r="G7102" s="25">
        <v>52.67</v>
      </c>
      <c r="H7102" s="379">
        <v>8.2096553444081781</v>
      </c>
      <c r="I7102" s="25">
        <v>66.06</v>
      </c>
      <c r="J7102" s="379">
        <v>7.0823769221100461</v>
      </c>
    </row>
    <row r="7103" spans="1:10" x14ac:dyDescent="0.35">
      <c r="A7103" s="5">
        <v>7099</v>
      </c>
      <c r="B7103" s="5">
        <v>296</v>
      </c>
      <c r="C7103" s="5">
        <v>10</v>
      </c>
      <c r="D7103" s="379">
        <v>42.286111111111104</v>
      </c>
      <c r="E7103" s="25">
        <v>26.59</v>
      </c>
      <c r="F7103" s="379">
        <v>16.95665073087687</v>
      </c>
      <c r="G7103" s="25">
        <v>52.67</v>
      </c>
      <c r="H7103" s="379">
        <v>8.7401150258250944</v>
      </c>
      <c r="I7103" s="25">
        <v>66.06</v>
      </c>
      <c r="J7103" s="379">
        <v>7.0720985425298393</v>
      </c>
    </row>
    <row r="7104" spans="1:10" x14ac:dyDescent="0.35">
      <c r="A7104" s="5">
        <v>7100</v>
      </c>
      <c r="B7104" s="5">
        <v>296</v>
      </c>
      <c r="C7104" s="5">
        <v>10</v>
      </c>
      <c r="D7104" s="379">
        <v>38.81</v>
      </c>
      <c r="E7104" s="25">
        <v>26.51</v>
      </c>
      <c r="F7104" s="379">
        <v>17.174045575892119</v>
      </c>
      <c r="G7104" s="25">
        <v>50.35</v>
      </c>
      <c r="H7104" s="379">
        <v>10.281120667075951</v>
      </c>
      <c r="I7104" s="25">
        <v>64.14</v>
      </c>
      <c r="J7104" s="379">
        <v>7.3459556972012638</v>
      </c>
    </row>
    <row r="7105" spans="1:10" x14ac:dyDescent="0.35">
      <c r="A7105" s="5">
        <v>7101</v>
      </c>
      <c r="B7105" s="5">
        <v>296</v>
      </c>
      <c r="C7105" s="5">
        <v>10</v>
      </c>
      <c r="D7105" s="379">
        <v>34.528888888888893</v>
      </c>
      <c r="E7105" s="25">
        <v>25.29</v>
      </c>
      <c r="F7105" s="379">
        <v>17.401442543160901</v>
      </c>
      <c r="G7105" s="25">
        <v>47.85</v>
      </c>
      <c r="H7105" s="379">
        <v>9.3613950772513057</v>
      </c>
      <c r="I7105" s="25">
        <v>61.13</v>
      </c>
      <c r="J7105" s="379">
        <v>6.9910984706120978</v>
      </c>
    </row>
    <row r="7106" spans="1:10" x14ac:dyDescent="0.35">
      <c r="A7106" s="5">
        <v>7102</v>
      </c>
      <c r="B7106" s="5">
        <v>296</v>
      </c>
      <c r="C7106" s="5">
        <v>10</v>
      </c>
      <c r="D7106" s="379">
        <v>32.527777777777779</v>
      </c>
      <c r="E7106" s="25">
        <v>24.99</v>
      </c>
      <c r="F7106" s="379">
        <v>18.105847691747346</v>
      </c>
      <c r="G7106" s="25">
        <v>47.85</v>
      </c>
      <c r="H7106" s="379">
        <v>8.4664163313867746</v>
      </c>
      <c r="I7106" s="25">
        <v>58.21</v>
      </c>
      <c r="J7106" s="379">
        <v>7.3247650579062675</v>
      </c>
    </row>
    <row r="7107" spans="1:10" x14ac:dyDescent="0.35">
      <c r="A7107" s="5">
        <v>7103</v>
      </c>
      <c r="B7107" s="5">
        <v>296</v>
      </c>
      <c r="C7107" s="5">
        <v>10</v>
      </c>
      <c r="D7107" s="379">
        <v>29.895555555555553</v>
      </c>
      <c r="E7107" s="25">
        <v>24.99</v>
      </c>
      <c r="F7107" s="379">
        <v>16.926209750074324</v>
      </c>
      <c r="G7107" s="25">
        <v>47.85</v>
      </c>
      <c r="H7107" s="379">
        <v>9.397159189168022</v>
      </c>
      <c r="I7107" s="25">
        <v>56.45</v>
      </c>
      <c r="J7107" s="379">
        <v>7.2548042197094382</v>
      </c>
    </row>
    <row r="7108" spans="1:10" x14ac:dyDescent="0.35">
      <c r="A7108" s="5">
        <v>7104</v>
      </c>
      <c r="B7108" s="5">
        <v>296</v>
      </c>
      <c r="C7108" s="5">
        <v>10</v>
      </c>
      <c r="D7108" s="379">
        <v>25.937222222222221</v>
      </c>
      <c r="E7108" s="25">
        <v>24.84</v>
      </c>
      <c r="F7108" s="379">
        <v>15.387690959894956</v>
      </c>
      <c r="G7108" s="25">
        <v>44.41</v>
      </c>
      <c r="H7108" s="379">
        <v>8.9421122920735225</v>
      </c>
      <c r="I7108" s="25">
        <v>59.29</v>
      </c>
      <c r="J7108" s="379">
        <v>7.1011636548730159</v>
      </c>
    </row>
    <row r="7109" spans="1:10" x14ac:dyDescent="0.35">
      <c r="A7109" s="5">
        <v>7105</v>
      </c>
      <c r="B7109" s="5">
        <v>297</v>
      </c>
      <c r="C7109" s="5">
        <v>10</v>
      </c>
      <c r="D7109" s="379">
        <v>24.724444444444448</v>
      </c>
      <c r="E7109" s="25">
        <v>24.84</v>
      </c>
      <c r="F7109" s="379">
        <v>13.858712880178805</v>
      </c>
      <c r="G7109" s="25">
        <v>43.56</v>
      </c>
      <c r="H7109" s="379">
        <v>8.0758099529108964</v>
      </c>
      <c r="I7109" s="25">
        <v>51.02</v>
      </c>
      <c r="J7109" s="379">
        <v>7.0890592854137306</v>
      </c>
    </row>
    <row r="7110" spans="1:10" x14ac:dyDescent="0.35">
      <c r="A7110" s="5">
        <v>7106</v>
      </c>
      <c r="B7110" s="5">
        <v>297</v>
      </c>
      <c r="C7110" s="5">
        <v>10</v>
      </c>
      <c r="D7110" s="379">
        <v>22.601666666666667</v>
      </c>
      <c r="E7110" s="25">
        <v>24.84</v>
      </c>
      <c r="F7110" s="379">
        <v>15.347795587774844</v>
      </c>
      <c r="G7110" s="25">
        <v>43.56</v>
      </c>
      <c r="H7110" s="379">
        <v>9.3727964403323742</v>
      </c>
      <c r="I7110" s="25">
        <v>50.87</v>
      </c>
      <c r="J7110" s="379">
        <v>6.6729599725047493</v>
      </c>
    </row>
    <row r="7111" spans="1:10" x14ac:dyDescent="0.35">
      <c r="A7111" s="5">
        <v>7107</v>
      </c>
      <c r="B7111" s="5">
        <v>297</v>
      </c>
      <c r="C7111" s="5">
        <v>10</v>
      </c>
      <c r="D7111" s="379">
        <v>20.53777777777778</v>
      </c>
      <c r="E7111" s="25">
        <v>24.84</v>
      </c>
      <c r="F7111" s="379">
        <v>14.605474056347367</v>
      </c>
      <c r="G7111" s="25">
        <v>43.56</v>
      </c>
      <c r="H7111" s="379">
        <v>9.3638427001756455</v>
      </c>
      <c r="I7111" s="25">
        <v>50.87</v>
      </c>
      <c r="J7111" s="379">
        <v>7.0890592854137306</v>
      </c>
    </row>
    <row r="7112" spans="1:10" x14ac:dyDescent="0.35">
      <c r="A7112" s="5">
        <v>7108</v>
      </c>
      <c r="B7112" s="5">
        <v>297</v>
      </c>
      <c r="C7112" s="5">
        <v>10</v>
      </c>
      <c r="D7112" s="379">
        <v>23.19222222222222</v>
      </c>
      <c r="E7112" s="25">
        <v>24.84</v>
      </c>
      <c r="F7112" s="379">
        <v>14.992371787442993</v>
      </c>
      <c r="G7112" s="25">
        <v>43.56</v>
      </c>
      <c r="H7112" s="379">
        <v>9.0935026754515409</v>
      </c>
      <c r="I7112" s="25">
        <v>50.87</v>
      </c>
      <c r="J7112" s="379">
        <v>7.2529675952282879</v>
      </c>
    </row>
    <row r="7113" spans="1:10" x14ac:dyDescent="0.35">
      <c r="A7113" s="5">
        <v>7109</v>
      </c>
      <c r="B7113" s="5">
        <v>297</v>
      </c>
      <c r="C7113" s="5">
        <v>10</v>
      </c>
      <c r="D7113" s="379">
        <v>27.096666666666668</v>
      </c>
      <c r="E7113" s="25">
        <v>24.84</v>
      </c>
      <c r="F7113" s="379">
        <v>15.642802710064428</v>
      </c>
      <c r="G7113" s="25">
        <v>43.56</v>
      </c>
      <c r="H7113" s="379">
        <v>9.0580064806138143</v>
      </c>
      <c r="I7113" s="25">
        <v>50.87</v>
      </c>
      <c r="J7113" s="379">
        <v>7.1068360341898646</v>
      </c>
    </row>
    <row r="7114" spans="1:10" x14ac:dyDescent="0.35">
      <c r="A7114" s="5">
        <v>7110</v>
      </c>
      <c r="B7114" s="5">
        <v>297</v>
      </c>
      <c r="C7114" s="5">
        <v>10</v>
      </c>
      <c r="D7114" s="379">
        <v>29.519444444444446</v>
      </c>
      <c r="E7114" s="25">
        <v>24.84</v>
      </c>
      <c r="F7114" s="379">
        <v>16.153047609558673</v>
      </c>
      <c r="G7114" s="25">
        <v>43.56</v>
      </c>
      <c r="H7114" s="379">
        <v>9.3820781109853026</v>
      </c>
      <c r="I7114" s="25">
        <v>50.87</v>
      </c>
      <c r="J7114" s="379">
        <v>6.8580025332610806</v>
      </c>
    </row>
    <row r="7115" spans="1:10" x14ac:dyDescent="0.35">
      <c r="A7115" s="5">
        <v>7111</v>
      </c>
      <c r="B7115" s="5">
        <v>297</v>
      </c>
      <c r="C7115" s="5">
        <v>10</v>
      </c>
      <c r="D7115" s="379">
        <v>36.143333333333338</v>
      </c>
      <c r="E7115" s="25">
        <v>24.84</v>
      </c>
      <c r="F7115" s="379">
        <v>15.857776728967272</v>
      </c>
      <c r="G7115" s="25">
        <v>43.56</v>
      </c>
      <c r="H7115" s="379">
        <v>9.6336232249029372</v>
      </c>
      <c r="I7115" s="25">
        <v>50.87</v>
      </c>
      <c r="J7115" s="379">
        <v>6.8802289701981998</v>
      </c>
    </row>
    <row r="7116" spans="1:10" x14ac:dyDescent="0.35">
      <c r="A7116" s="5">
        <v>7112</v>
      </c>
      <c r="B7116" s="5">
        <v>297</v>
      </c>
      <c r="C7116" s="5">
        <v>10</v>
      </c>
      <c r="D7116" s="379">
        <v>39.907222222222224</v>
      </c>
      <c r="E7116" s="25">
        <v>24.84</v>
      </c>
      <c r="F7116" s="379">
        <v>16.676779420982534</v>
      </c>
      <c r="G7116" s="25">
        <v>43.56</v>
      </c>
      <c r="H7116" s="379">
        <v>9.4867188790324111</v>
      </c>
      <c r="I7116" s="25">
        <v>51.02</v>
      </c>
      <c r="J7116" s="379">
        <v>5.955130794518614</v>
      </c>
    </row>
    <row r="7117" spans="1:10" x14ac:dyDescent="0.35">
      <c r="A7117" s="5">
        <v>7113</v>
      </c>
      <c r="B7117" s="5">
        <v>297</v>
      </c>
      <c r="C7117" s="5">
        <v>10</v>
      </c>
      <c r="D7117" s="379">
        <v>37.01</v>
      </c>
      <c r="E7117" s="25">
        <v>24.84</v>
      </c>
      <c r="F7117" s="379">
        <v>17.022652620569513</v>
      </c>
      <c r="G7117" s="25">
        <v>43.99</v>
      </c>
      <c r="H7117" s="379">
        <v>9.7107364418204671</v>
      </c>
      <c r="I7117" s="25">
        <v>52.93</v>
      </c>
      <c r="J7117" s="379">
        <v>5.4806791056341932</v>
      </c>
    </row>
    <row r="7118" spans="1:10" x14ac:dyDescent="0.35">
      <c r="A7118" s="5">
        <v>7114</v>
      </c>
      <c r="B7118" s="5">
        <v>297</v>
      </c>
      <c r="C7118" s="5">
        <v>10</v>
      </c>
      <c r="D7118" s="379">
        <v>34.695</v>
      </c>
      <c r="E7118" s="25">
        <v>24.84</v>
      </c>
      <c r="F7118" s="379">
        <v>9.1005062416387474</v>
      </c>
      <c r="G7118" s="25">
        <v>43.99</v>
      </c>
      <c r="H7118" s="379">
        <v>7.5111772456449302</v>
      </c>
      <c r="I7118" s="25">
        <v>50.87</v>
      </c>
      <c r="J7118" s="379">
        <v>2.2502191674475243</v>
      </c>
    </row>
    <row r="7119" spans="1:10" x14ac:dyDescent="0.35">
      <c r="A7119" s="5">
        <v>7115</v>
      </c>
      <c r="B7119" s="5">
        <v>297</v>
      </c>
      <c r="C7119" s="5">
        <v>10</v>
      </c>
      <c r="D7119" s="379">
        <v>29.611111111111107</v>
      </c>
      <c r="E7119" s="25">
        <v>24.84</v>
      </c>
      <c r="F7119" s="379">
        <v>8.1174834595959595</v>
      </c>
      <c r="G7119" s="25">
        <v>43.99</v>
      </c>
      <c r="H7119" s="379">
        <v>7.7475976780920783</v>
      </c>
      <c r="I7119" s="25">
        <v>50.87</v>
      </c>
      <c r="J7119" s="379">
        <v>6.438491619545994</v>
      </c>
    </row>
    <row r="7120" spans="1:10" x14ac:dyDescent="0.35">
      <c r="A7120" s="5">
        <v>7116</v>
      </c>
      <c r="B7120" s="5">
        <v>297</v>
      </c>
      <c r="C7120" s="5">
        <v>10</v>
      </c>
      <c r="D7120" s="379">
        <v>26.538888888888884</v>
      </c>
      <c r="E7120" s="25">
        <v>24.84</v>
      </c>
      <c r="F7120" s="379">
        <v>8.1174834595959577</v>
      </c>
      <c r="G7120" s="25">
        <v>43.99</v>
      </c>
      <c r="H7120" s="379">
        <v>7.6714111430284362</v>
      </c>
      <c r="I7120" s="25">
        <v>50.37</v>
      </c>
      <c r="J7120" s="379">
        <v>6.0722596912620475</v>
      </c>
    </row>
    <row r="7121" spans="1:10" x14ac:dyDescent="0.35">
      <c r="A7121" s="5">
        <v>7117</v>
      </c>
      <c r="B7121" s="5">
        <v>297</v>
      </c>
      <c r="C7121" s="5">
        <v>10</v>
      </c>
      <c r="D7121" s="379">
        <v>26.455555555555552</v>
      </c>
      <c r="E7121" s="25">
        <v>24.84</v>
      </c>
      <c r="F7121" s="379">
        <v>4.5471151274229751</v>
      </c>
      <c r="G7121" s="25">
        <v>43.56</v>
      </c>
      <c r="H7121" s="379">
        <v>7.2543890920520671</v>
      </c>
      <c r="I7121" s="25">
        <v>50.37</v>
      </c>
      <c r="J7121" s="379">
        <v>5.7484191568464977</v>
      </c>
    </row>
    <row r="7122" spans="1:10" x14ac:dyDescent="0.35">
      <c r="A7122" s="5">
        <v>7118</v>
      </c>
      <c r="B7122" s="5">
        <v>297</v>
      </c>
      <c r="C7122" s="5">
        <v>10</v>
      </c>
      <c r="D7122" s="379">
        <v>27.111111111111107</v>
      </c>
      <c r="E7122" s="25">
        <v>24.84</v>
      </c>
      <c r="F7122" s="379">
        <v>4.8329027426841149</v>
      </c>
      <c r="G7122" s="25">
        <v>43.56</v>
      </c>
      <c r="H7122" s="379">
        <v>7.6009801045943259</v>
      </c>
      <c r="I7122" s="25">
        <v>50.37</v>
      </c>
      <c r="J7122" s="379">
        <v>5.8910666698137168</v>
      </c>
    </row>
    <row r="7123" spans="1:10" x14ac:dyDescent="0.35">
      <c r="A7123" s="5">
        <v>7119</v>
      </c>
      <c r="B7123" s="5">
        <v>297</v>
      </c>
      <c r="C7123" s="5">
        <v>10</v>
      </c>
      <c r="D7123" s="379">
        <v>29.520555555555553</v>
      </c>
      <c r="E7123" s="25">
        <v>24.84</v>
      </c>
      <c r="F7123" s="379">
        <v>8.1174834595959577</v>
      </c>
      <c r="G7123" s="25">
        <v>43.56</v>
      </c>
      <c r="H7123" s="379">
        <v>7.5973131424646478</v>
      </c>
      <c r="I7123" s="25">
        <v>50.37</v>
      </c>
      <c r="J7123" s="379">
        <v>6.1472111647539096</v>
      </c>
    </row>
    <row r="7124" spans="1:10" x14ac:dyDescent="0.35">
      <c r="A7124" s="5">
        <v>7120</v>
      </c>
      <c r="B7124" s="5">
        <v>297</v>
      </c>
      <c r="C7124" s="5">
        <v>10</v>
      </c>
      <c r="D7124" s="379">
        <v>31.755555555555549</v>
      </c>
      <c r="E7124" s="25">
        <v>24.84</v>
      </c>
      <c r="F7124" s="379">
        <v>8.572127457571213</v>
      </c>
      <c r="G7124" s="25">
        <v>43.56</v>
      </c>
      <c r="H7124" s="379">
        <v>7.6535565070284743</v>
      </c>
      <c r="I7124" s="25">
        <v>50.87</v>
      </c>
      <c r="J7124" s="379">
        <v>5.3359600577642601</v>
      </c>
    </row>
    <row r="7125" spans="1:10" x14ac:dyDescent="0.35">
      <c r="A7125" s="5">
        <v>7121</v>
      </c>
      <c r="B7125" s="5">
        <v>297</v>
      </c>
      <c r="C7125" s="5">
        <v>10</v>
      </c>
      <c r="D7125" s="379">
        <v>36.366666666666667</v>
      </c>
      <c r="E7125" s="25">
        <v>24.84</v>
      </c>
      <c r="F7125" s="379">
        <v>15.076740331877023</v>
      </c>
      <c r="G7125" s="25">
        <v>47.46</v>
      </c>
      <c r="H7125" s="379">
        <v>9.063477652595731</v>
      </c>
      <c r="I7125" s="25">
        <v>52.73</v>
      </c>
      <c r="J7125" s="379">
        <v>6.1762507770276001</v>
      </c>
    </row>
    <row r="7126" spans="1:10" x14ac:dyDescent="0.35">
      <c r="A7126" s="5">
        <v>7122</v>
      </c>
      <c r="B7126" s="5">
        <v>297</v>
      </c>
      <c r="C7126" s="5">
        <v>10</v>
      </c>
      <c r="D7126" s="379">
        <v>40.470555555555556</v>
      </c>
      <c r="E7126" s="25">
        <v>25.29</v>
      </c>
      <c r="F7126" s="379">
        <v>13.608145873839266</v>
      </c>
      <c r="G7126" s="25">
        <v>47.85</v>
      </c>
      <c r="H7126" s="379">
        <v>7.6842454025577478</v>
      </c>
      <c r="I7126" s="25">
        <v>60.46</v>
      </c>
      <c r="J7126" s="379">
        <v>5.2918945523441954</v>
      </c>
    </row>
    <row r="7127" spans="1:10" x14ac:dyDescent="0.35">
      <c r="A7127" s="5">
        <v>7123</v>
      </c>
      <c r="B7127" s="5">
        <v>297</v>
      </c>
      <c r="C7127" s="5">
        <v>10</v>
      </c>
      <c r="D7127" s="379">
        <v>41.462777777777774</v>
      </c>
      <c r="E7127" s="25">
        <v>25.13</v>
      </c>
      <c r="F7127" s="379">
        <v>13.608145873839266</v>
      </c>
      <c r="G7127" s="25">
        <v>47.85</v>
      </c>
      <c r="H7127" s="379">
        <v>8.4308434841368065</v>
      </c>
      <c r="I7127" s="25">
        <v>59.85</v>
      </c>
      <c r="J7127" s="379">
        <v>5.9386171936981302</v>
      </c>
    </row>
    <row r="7128" spans="1:10" x14ac:dyDescent="0.35">
      <c r="A7128" s="5">
        <v>7124</v>
      </c>
      <c r="B7128" s="5">
        <v>297</v>
      </c>
      <c r="C7128" s="5">
        <v>10</v>
      </c>
      <c r="D7128" s="379">
        <v>35.79944444444444</v>
      </c>
      <c r="E7128" s="25">
        <v>24.99</v>
      </c>
      <c r="F7128" s="379">
        <v>14.023881582627567</v>
      </c>
      <c r="G7128" s="25">
        <v>47.85</v>
      </c>
      <c r="H7128" s="379">
        <v>8.1303524118407946</v>
      </c>
      <c r="I7128" s="25">
        <v>53.71</v>
      </c>
      <c r="J7128" s="379">
        <v>6.4192235552134544</v>
      </c>
    </row>
    <row r="7129" spans="1:10" x14ac:dyDescent="0.35">
      <c r="A7129" s="5">
        <v>7125</v>
      </c>
      <c r="B7129" s="5">
        <v>297</v>
      </c>
      <c r="C7129" s="5">
        <v>10</v>
      </c>
      <c r="D7129" s="379">
        <v>32.531111111111116</v>
      </c>
      <c r="E7129" s="25">
        <v>24.84</v>
      </c>
      <c r="F7129" s="379">
        <v>14.389947777609306</v>
      </c>
      <c r="G7129" s="25">
        <v>43.56</v>
      </c>
      <c r="H7129" s="379">
        <v>9.778161001121715</v>
      </c>
      <c r="I7129" s="25">
        <v>50.87</v>
      </c>
      <c r="J7129" s="379">
        <v>6.8310966312096655</v>
      </c>
    </row>
    <row r="7130" spans="1:10" x14ac:dyDescent="0.35">
      <c r="A7130" s="5">
        <v>7126</v>
      </c>
      <c r="B7130" s="5">
        <v>297</v>
      </c>
      <c r="C7130" s="5">
        <v>10</v>
      </c>
      <c r="D7130" s="379">
        <v>30.18944444444444</v>
      </c>
      <c r="E7130" s="25">
        <v>24.84</v>
      </c>
      <c r="F7130" s="379">
        <v>12.51055103985709</v>
      </c>
      <c r="G7130" s="25">
        <v>44</v>
      </c>
      <c r="H7130" s="379">
        <v>9.0215631154183225</v>
      </c>
      <c r="I7130" s="25">
        <v>50.87</v>
      </c>
      <c r="J7130" s="379">
        <v>6.129068435673398</v>
      </c>
    </row>
    <row r="7131" spans="1:10" x14ac:dyDescent="0.35">
      <c r="A7131" s="5">
        <v>7127</v>
      </c>
      <c r="B7131" s="5">
        <v>297</v>
      </c>
      <c r="C7131" s="5">
        <v>10</v>
      </c>
      <c r="D7131" s="379">
        <v>30.436111111111114</v>
      </c>
      <c r="E7131" s="25">
        <v>24.84</v>
      </c>
      <c r="F7131" s="379">
        <v>12.55703054644596</v>
      </c>
      <c r="G7131" s="25">
        <v>43.56</v>
      </c>
      <c r="H7131" s="379">
        <v>7.9940613543239971</v>
      </c>
      <c r="I7131" s="25">
        <v>50.87</v>
      </c>
      <c r="J7131" s="379">
        <v>5.5746269995756927</v>
      </c>
    </row>
    <row r="7132" spans="1:10" x14ac:dyDescent="0.35">
      <c r="A7132" s="5">
        <v>7128</v>
      </c>
      <c r="B7132" s="5">
        <v>297</v>
      </c>
      <c r="C7132" s="5">
        <v>10</v>
      </c>
      <c r="D7132" s="379">
        <v>23.916666666666664</v>
      </c>
      <c r="E7132" s="25">
        <v>24.84</v>
      </c>
      <c r="F7132" s="379">
        <v>11.329304370671867</v>
      </c>
      <c r="G7132" s="25">
        <v>43.56</v>
      </c>
      <c r="H7132" s="379">
        <v>7.8685895720077861</v>
      </c>
      <c r="I7132" s="25">
        <v>48.86</v>
      </c>
      <c r="J7132" s="379">
        <v>4.2531288820808664</v>
      </c>
    </row>
    <row r="7133" spans="1:10" x14ac:dyDescent="0.35">
      <c r="A7133" s="5">
        <v>7129</v>
      </c>
      <c r="B7133" s="5">
        <v>298</v>
      </c>
      <c r="C7133" s="5">
        <v>10</v>
      </c>
      <c r="D7133" s="379">
        <v>27.983333333333327</v>
      </c>
      <c r="E7133" s="25">
        <v>24.84</v>
      </c>
      <c r="F7133" s="379">
        <v>11.619400274687488</v>
      </c>
      <c r="G7133" s="25">
        <v>43.56</v>
      </c>
      <c r="H7133" s="379">
        <v>5.3983319957442246</v>
      </c>
      <c r="I7133" s="25">
        <v>53.71</v>
      </c>
      <c r="J7133" s="379">
        <v>3.6817626752315249</v>
      </c>
    </row>
    <row r="7134" spans="1:10" x14ac:dyDescent="0.35">
      <c r="A7134" s="5">
        <v>7130</v>
      </c>
      <c r="B7134" s="5">
        <v>298</v>
      </c>
      <c r="C7134" s="5">
        <v>10</v>
      </c>
      <c r="D7134" s="379">
        <v>28.865555555555559</v>
      </c>
      <c r="E7134" s="25">
        <v>24.84</v>
      </c>
      <c r="F7134" s="379">
        <v>11.641139179952122</v>
      </c>
      <c r="G7134" s="25">
        <v>43.56</v>
      </c>
      <c r="H7134" s="379">
        <v>6.8753037565851418</v>
      </c>
      <c r="I7134" s="25">
        <v>51.39</v>
      </c>
      <c r="J7134" s="379">
        <v>4.8445889855211499</v>
      </c>
    </row>
    <row r="7135" spans="1:10" x14ac:dyDescent="0.35">
      <c r="A7135" s="5">
        <v>7131</v>
      </c>
      <c r="B7135" s="5">
        <v>298</v>
      </c>
      <c r="C7135" s="5">
        <v>10</v>
      </c>
      <c r="D7135" s="379">
        <v>29.148333333333333</v>
      </c>
      <c r="E7135" s="25">
        <v>24.84</v>
      </c>
      <c r="F7135" s="379">
        <v>12.377845060385479</v>
      </c>
      <c r="G7135" s="25">
        <v>43.56</v>
      </c>
      <c r="H7135" s="379">
        <v>7.7887882482167647</v>
      </c>
      <c r="I7135" s="25">
        <v>51.39</v>
      </c>
      <c r="J7135" s="379">
        <v>5.0344567948833872</v>
      </c>
    </row>
    <row r="7136" spans="1:10" x14ac:dyDescent="0.35">
      <c r="A7136" s="5">
        <v>7132</v>
      </c>
      <c r="B7136" s="5">
        <v>298</v>
      </c>
      <c r="C7136" s="5">
        <v>10</v>
      </c>
      <c r="D7136" s="379">
        <v>31.201111111111111</v>
      </c>
      <c r="E7136" s="25">
        <v>24.84</v>
      </c>
      <c r="F7136" s="379">
        <v>12.379506813106733</v>
      </c>
      <c r="G7136" s="25">
        <v>43.56</v>
      </c>
      <c r="H7136" s="379">
        <v>7.2918325174234333</v>
      </c>
      <c r="I7136" s="25">
        <v>53.51</v>
      </c>
      <c r="J7136" s="379">
        <v>6.1572090899750807</v>
      </c>
    </row>
    <row r="7137" spans="1:10" x14ac:dyDescent="0.35">
      <c r="A7137" s="5">
        <v>7133</v>
      </c>
      <c r="B7137" s="5">
        <v>298</v>
      </c>
      <c r="C7137" s="5">
        <v>10</v>
      </c>
      <c r="D7137" s="379">
        <v>33.248333333333328</v>
      </c>
      <c r="E7137" s="25">
        <v>24.84</v>
      </c>
      <c r="F7137" s="379">
        <v>11.164748120885962</v>
      </c>
      <c r="G7137" s="25">
        <v>47.46</v>
      </c>
      <c r="H7137" s="379">
        <v>7.6420663499420609</v>
      </c>
      <c r="I7137" s="25">
        <v>54.87</v>
      </c>
      <c r="J7137" s="379">
        <v>5.4707132147938449</v>
      </c>
    </row>
    <row r="7138" spans="1:10" x14ac:dyDescent="0.35">
      <c r="A7138" s="5">
        <v>7134</v>
      </c>
      <c r="B7138" s="5">
        <v>298</v>
      </c>
      <c r="C7138" s="5">
        <v>10</v>
      </c>
      <c r="D7138" s="379">
        <v>36.358888888888885</v>
      </c>
      <c r="E7138" s="25">
        <v>24.99</v>
      </c>
      <c r="F7138" s="379">
        <v>11.017187338552327</v>
      </c>
      <c r="G7138" s="25">
        <v>52.67</v>
      </c>
      <c r="H7138" s="379">
        <v>8.6629118128183666</v>
      </c>
      <c r="I7138" s="25">
        <v>66.06</v>
      </c>
      <c r="J7138" s="379">
        <v>6.6081793109044131</v>
      </c>
    </row>
    <row r="7139" spans="1:10" x14ac:dyDescent="0.35">
      <c r="A7139" s="5">
        <v>7135</v>
      </c>
      <c r="B7139" s="5">
        <v>298</v>
      </c>
      <c r="C7139" s="5">
        <v>10</v>
      </c>
      <c r="D7139" s="379">
        <v>41.385555555555555</v>
      </c>
      <c r="E7139" s="25">
        <v>28.12</v>
      </c>
      <c r="F7139" s="379">
        <v>11.190726460974053</v>
      </c>
      <c r="G7139" s="25">
        <v>59.23</v>
      </c>
      <c r="H7139" s="379">
        <v>7.2687759860378822</v>
      </c>
      <c r="I7139" s="25">
        <v>72.510000000000005</v>
      </c>
      <c r="J7139" s="379">
        <v>6.2420593609350687</v>
      </c>
    </row>
    <row r="7140" spans="1:10" x14ac:dyDescent="0.35">
      <c r="A7140" s="5">
        <v>7136</v>
      </c>
      <c r="B7140" s="5">
        <v>298</v>
      </c>
      <c r="C7140" s="5">
        <v>10</v>
      </c>
      <c r="D7140" s="379">
        <v>44.315555555555555</v>
      </c>
      <c r="E7140" s="25">
        <v>35.869999999999997</v>
      </c>
      <c r="F7140" s="379">
        <v>10.776527731186651</v>
      </c>
      <c r="G7140" s="25">
        <v>62.12</v>
      </c>
      <c r="H7140" s="379">
        <v>7.0228110449986936</v>
      </c>
      <c r="I7140" s="25">
        <v>82.45</v>
      </c>
      <c r="J7140" s="379">
        <v>6.7247735268109352</v>
      </c>
    </row>
    <row r="7141" spans="1:10" x14ac:dyDescent="0.35">
      <c r="A7141" s="5">
        <v>7137</v>
      </c>
      <c r="B7141" s="5">
        <v>298</v>
      </c>
      <c r="C7141" s="5">
        <v>10</v>
      </c>
      <c r="D7141" s="379">
        <v>44.595555555555556</v>
      </c>
      <c r="E7141" s="25">
        <v>35.869999999999997</v>
      </c>
      <c r="F7141" s="379">
        <v>10.488204008196522</v>
      </c>
      <c r="G7141" s="25">
        <v>62.12</v>
      </c>
      <c r="H7141" s="379">
        <v>6.2139707274258136</v>
      </c>
      <c r="I7141" s="25">
        <v>93.45</v>
      </c>
      <c r="J7141" s="379">
        <v>2.1369828619052584</v>
      </c>
    </row>
    <row r="7142" spans="1:10" x14ac:dyDescent="0.35">
      <c r="A7142" s="5">
        <v>7138</v>
      </c>
      <c r="B7142" s="5">
        <v>298</v>
      </c>
      <c r="C7142" s="5">
        <v>10</v>
      </c>
      <c r="D7142" s="379">
        <v>40.147222222222219</v>
      </c>
      <c r="E7142" s="25">
        <v>36.01</v>
      </c>
      <c r="F7142" s="379">
        <v>8.6595485413578164</v>
      </c>
      <c r="G7142" s="25">
        <v>62.12</v>
      </c>
      <c r="H7142" s="379">
        <v>5.2779630542308213</v>
      </c>
      <c r="I7142" s="25">
        <v>93.45</v>
      </c>
      <c r="J7142" s="379">
        <v>3.6507099775978307</v>
      </c>
    </row>
    <row r="7143" spans="1:10" x14ac:dyDescent="0.35">
      <c r="A7143" s="5">
        <v>7139</v>
      </c>
      <c r="B7143" s="5">
        <v>298</v>
      </c>
      <c r="C7143" s="5">
        <v>10</v>
      </c>
      <c r="D7143" s="379">
        <v>39.227222222222217</v>
      </c>
      <c r="E7143" s="25">
        <v>35.869999999999997</v>
      </c>
      <c r="F7143" s="379">
        <v>8.9313646062427665</v>
      </c>
      <c r="G7143" s="25">
        <v>62.12</v>
      </c>
      <c r="H7143" s="379">
        <v>5.6134169850903586</v>
      </c>
      <c r="I7143" s="25">
        <v>82.45</v>
      </c>
      <c r="J7143" s="379">
        <v>3.5666449327516379</v>
      </c>
    </row>
    <row r="7144" spans="1:10" x14ac:dyDescent="0.35">
      <c r="A7144" s="5">
        <v>7140</v>
      </c>
      <c r="B7144" s="5">
        <v>298</v>
      </c>
      <c r="C7144" s="5">
        <v>10</v>
      </c>
      <c r="D7144" s="379">
        <v>37.74111111111111</v>
      </c>
      <c r="E7144" s="25">
        <v>30.49</v>
      </c>
      <c r="F7144" s="379">
        <v>8.514073945438712</v>
      </c>
      <c r="G7144" s="25">
        <v>62.12</v>
      </c>
      <c r="H7144" s="379">
        <v>6.5729626656111133</v>
      </c>
      <c r="I7144" s="25">
        <v>70.09</v>
      </c>
      <c r="J7144" s="379">
        <v>4.7573974233109082</v>
      </c>
    </row>
    <row r="7145" spans="1:10" x14ac:dyDescent="0.35">
      <c r="A7145" s="5">
        <v>7141</v>
      </c>
      <c r="B7145" s="5">
        <v>298</v>
      </c>
      <c r="C7145" s="5">
        <v>10</v>
      </c>
      <c r="D7145" s="379">
        <v>33.99388888888889</v>
      </c>
      <c r="E7145" s="25">
        <v>30.49</v>
      </c>
      <c r="F7145" s="379">
        <v>8.7589790703895893</v>
      </c>
      <c r="G7145" s="25">
        <v>62.12</v>
      </c>
      <c r="H7145" s="379">
        <v>5.4013328689501074</v>
      </c>
      <c r="I7145" s="25">
        <v>70.09</v>
      </c>
      <c r="J7145" s="379">
        <v>4.8320608521508541</v>
      </c>
    </row>
    <row r="7146" spans="1:10" x14ac:dyDescent="0.35">
      <c r="A7146" s="5">
        <v>7142</v>
      </c>
      <c r="B7146" s="5">
        <v>298</v>
      </c>
      <c r="C7146" s="5">
        <v>10</v>
      </c>
      <c r="D7146" s="379">
        <v>34.746111111111112</v>
      </c>
      <c r="E7146" s="25">
        <v>30.49</v>
      </c>
      <c r="F7146" s="379">
        <v>8.6223931772775231</v>
      </c>
      <c r="G7146" s="25">
        <v>57.56</v>
      </c>
      <c r="H7146" s="379">
        <v>6.6052892569597565</v>
      </c>
      <c r="I7146" s="25">
        <v>70.09</v>
      </c>
      <c r="J7146" s="379">
        <v>5.1283268446779831</v>
      </c>
    </row>
    <row r="7147" spans="1:10" x14ac:dyDescent="0.35">
      <c r="A7147" s="5">
        <v>7143</v>
      </c>
      <c r="B7147" s="5">
        <v>298</v>
      </c>
      <c r="C7147" s="5">
        <v>10</v>
      </c>
      <c r="D7147" s="379">
        <v>37.560555555555553</v>
      </c>
      <c r="E7147" s="25">
        <v>30.49</v>
      </c>
      <c r="F7147" s="379">
        <v>10.403211240301108</v>
      </c>
      <c r="G7147" s="25">
        <v>59.23</v>
      </c>
      <c r="H7147" s="379">
        <v>6.889626116259298</v>
      </c>
      <c r="I7147" s="25">
        <v>70.09</v>
      </c>
      <c r="J7147" s="379">
        <v>4.3997923405750452</v>
      </c>
    </row>
    <row r="7148" spans="1:10" x14ac:dyDescent="0.35">
      <c r="A7148" s="5">
        <v>7144</v>
      </c>
      <c r="B7148" s="5">
        <v>298</v>
      </c>
      <c r="C7148" s="5">
        <v>10</v>
      </c>
      <c r="D7148" s="379">
        <v>42.243333333333332</v>
      </c>
      <c r="E7148" s="25">
        <v>35.869999999999997</v>
      </c>
      <c r="F7148" s="379">
        <v>16.472553265802947</v>
      </c>
      <c r="G7148" s="25">
        <v>62.12</v>
      </c>
      <c r="H7148" s="379">
        <v>15.906373565568943</v>
      </c>
      <c r="I7148" s="25">
        <v>603.30999999999995</v>
      </c>
      <c r="J7148" s="379">
        <v>7.0907543802263904</v>
      </c>
    </row>
    <row r="7149" spans="1:10" x14ac:dyDescent="0.35">
      <c r="A7149" s="5">
        <v>7145</v>
      </c>
      <c r="B7149" s="5">
        <v>298</v>
      </c>
      <c r="C7149" s="5">
        <v>10</v>
      </c>
      <c r="D7149" s="379">
        <v>49.028888888888886</v>
      </c>
      <c r="E7149" s="25">
        <v>36.94</v>
      </c>
      <c r="F7149" s="379">
        <v>19.471716127351606</v>
      </c>
      <c r="G7149" s="25">
        <v>62.12</v>
      </c>
      <c r="H7149" s="379">
        <v>21.687343172973666</v>
      </c>
      <c r="I7149" s="25">
        <v>603.30999999999995</v>
      </c>
      <c r="J7149" s="379">
        <v>6.7182425958379905</v>
      </c>
    </row>
    <row r="7150" spans="1:10" x14ac:dyDescent="0.35">
      <c r="A7150" s="5">
        <v>7146</v>
      </c>
      <c r="B7150" s="5">
        <v>298</v>
      </c>
      <c r="C7150" s="5">
        <v>10</v>
      </c>
      <c r="D7150" s="379">
        <v>54.024999999999991</v>
      </c>
      <c r="E7150" s="25">
        <v>37.090000000000003</v>
      </c>
      <c r="F7150" s="379">
        <v>16.810694092178842</v>
      </c>
      <c r="G7150" s="25">
        <v>64.2</v>
      </c>
      <c r="H7150" s="379">
        <v>21.25542091127808</v>
      </c>
      <c r="I7150" s="25">
        <v>843.72</v>
      </c>
      <c r="J7150" s="379">
        <v>6.8073292167412678</v>
      </c>
    </row>
    <row r="7151" spans="1:10" x14ac:dyDescent="0.35">
      <c r="A7151" s="5">
        <v>7147</v>
      </c>
      <c r="B7151" s="5">
        <v>298</v>
      </c>
      <c r="C7151" s="5">
        <v>10</v>
      </c>
      <c r="D7151" s="379">
        <v>53.761111111111113</v>
      </c>
      <c r="E7151" s="25">
        <v>37.090000000000003</v>
      </c>
      <c r="F7151" s="379">
        <v>21.141231303271287</v>
      </c>
      <c r="G7151" s="25">
        <v>64.2</v>
      </c>
      <c r="H7151" s="379">
        <v>22.814191378028152</v>
      </c>
      <c r="I7151" s="25">
        <v>843.72</v>
      </c>
      <c r="J7151" s="379">
        <v>6.7979028963344392</v>
      </c>
    </row>
    <row r="7152" spans="1:10" x14ac:dyDescent="0.35">
      <c r="A7152" s="5">
        <v>7148</v>
      </c>
      <c r="B7152" s="5">
        <v>298</v>
      </c>
      <c r="C7152" s="5">
        <v>10</v>
      </c>
      <c r="D7152" s="379">
        <v>46.573888888888888</v>
      </c>
      <c r="E7152" s="25">
        <v>36.94</v>
      </c>
      <c r="F7152" s="379">
        <v>16.21304073890704</v>
      </c>
      <c r="G7152" s="25">
        <v>62.12</v>
      </c>
      <c r="H7152" s="379">
        <v>22.468703212319745</v>
      </c>
      <c r="I7152" s="25">
        <v>843.72</v>
      </c>
      <c r="J7152" s="379">
        <v>6.7675100466945235</v>
      </c>
    </row>
    <row r="7153" spans="1:10" x14ac:dyDescent="0.35">
      <c r="A7153" s="5">
        <v>7149</v>
      </c>
      <c r="B7153" s="5">
        <v>298</v>
      </c>
      <c r="C7153" s="5">
        <v>10</v>
      </c>
      <c r="D7153" s="379">
        <v>40.035555555555561</v>
      </c>
      <c r="E7153" s="25">
        <v>29.83</v>
      </c>
      <c r="F7153" s="379">
        <v>18.887351483347995</v>
      </c>
      <c r="G7153" s="25">
        <v>62.12</v>
      </c>
      <c r="H7153" s="379">
        <v>19.962992742460358</v>
      </c>
      <c r="I7153" s="25">
        <v>603.30999999999995</v>
      </c>
      <c r="J7153" s="379">
        <v>5.1104243029338452</v>
      </c>
    </row>
    <row r="7154" spans="1:10" x14ac:dyDescent="0.35">
      <c r="A7154" s="5">
        <v>7150</v>
      </c>
      <c r="B7154" s="5">
        <v>298</v>
      </c>
      <c r="C7154" s="5">
        <v>10</v>
      </c>
      <c r="D7154" s="379">
        <v>37.648888888888891</v>
      </c>
      <c r="E7154" s="25">
        <v>27.96</v>
      </c>
      <c r="F7154" s="379">
        <v>15.959036121963527</v>
      </c>
      <c r="G7154" s="25">
        <v>62.12</v>
      </c>
      <c r="H7154" s="379">
        <v>19.483860508526483</v>
      </c>
      <c r="I7154" s="25">
        <v>603.30999999999995</v>
      </c>
      <c r="J7154" s="379">
        <v>4.9279898624310032</v>
      </c>
    </row>
    <row r="7155" spans="1:10" x14ac:dyDescent="0.35">
      <c r="A7155" s="5">
        <v>7151</v>
      </c>
      <c r="B7155" s="5">
        <v>298</v>
      </c>
      <c r="C7155" s="5">
        <v>10</v>
      </c>
      <c r="D7155" s="379">
        <v>38.159999999999989</v>
      </c>
      <c r="E7155" s="25">
        <v>25.59</v>
      </c>
      <c r="F7155" s="379">
        <v>15.774686268897581</v>
      </c>
      <c r="G7155" s="25">
        <v>55.88</v>
      </c>
      <c r="H7155" s="379">
        <v>16.950048892469127</v>
      </c>
      <c r="I7155" s="25">
        <v>93.45</v>
      </c>
      <c r="J7155" s="379">
        <v>4.9265446755165767</v>
      </c>
    </row>
    <row r="7156" spans="1:10" x14ac:dyDescent="0.35">
      <c r="A7156" s="5">
        <v>7152</v>
      </c>
      <c r="B7156" s="5">
        <v>298</v>
      </c>
      <c r="C7156" s="5">
        <v>10</v>
      </c>
      <c r="D7156" s="379">
        <v>34.888888888888886</v>
      </c>
      <c r="E7156" s="25">
        <v>25.59</v>
      </c>
      <c r="F7156" s="379">
        <v>11.797631586745453</v>
      </c>
      <c r="G7156" s="25">
        <v>55.38</v>
      </c>
      <c r="H7156" s="379">
        <v>19.848315787926854</v>
      </c>
      <c r="I7156" s="25">
        <v>70.09</v>
      </c>
      <c r="J7156" s="379">
        <v>5.2230936970275366</v>
      </c>
    </row>
    <row r="7157" spans="1:10" x14ac:dyDescent="0.35">
      <c r="A7157" s="5">
        <v>7153</v>
      </c>
      <c r="B7157" s="5">
        <v>299</v>
      </c>
      <c r="C7157" s="5">
        <v>10</v>
      </c>
      <c r="D7157" s="379">
        <v>30.822777777777773</v>
      </c>
      <c r="E7157" s="25">
        <v>25.59</v>
      </c>
      <c r="F7157" s="379">
        <v>15.086738507568255</v>
      </c>
      <c r="G7157" s="25">
        <v>52.8</v>
      </c>
      <c r="H7157" s="379">
        <v>16.844134249434696</v>
      </c>
      <c r="I7157" s="25">
        <v>70.09</v>
      </c>
      <c r="J7157" s="379">
        <v>4.5664851489458087</v>
      </c>
    </row>
    <row r="7158" spans="1:10" x14ac:dyDescent="0.35">
      <c r="A7158" s="5">
        <v>7154</v>
      </c>
      <c r="B7158" s="5">
        <v>299</v>
      </c>
      <c r="C7158" s="5">
        <v>10</v>
      </c>
      <c r="D7158" s="379">
        <v>30.188333333333333</v>
      </c>
      <c r="E7158" s="25">
        <v>25.29</v>
      </c>
      <c r="F7158" s="379">
        <v>15.267140602110546</v>
      </c>
      <c r="G7158" s="25">
        <v>52.8</v>
      </c>
      <c r="H7158" s="379">
        <v>15.027076979186871</v>
      </c>
      <c r="I7158" s="25">
        <v>70.09</v>
      </c>
      <c r="J7158" s="379">
        <v>5.0920127809017908</v>
      </c>
    </row>
    <row r="7159" spans="1:10" x14ac:dyDescent="0.35">
      <c r="A7159" s="5">
        <v>7155</v>
      </c>
      <c r="B7159" s="5">
        <v>299</v>
      </c>
      <c r="C7159" s="5">
        <v>10</v>
      </c>
      <c r="D7159" s="379">
        <v>29.408333333333335</v>
      </c>
      <c r="E7159" s="25">
        <v>25.29</v>
      </c>
      <c r="F7159" s="379">
        <v>15.520643733375051</v>
      </c>
      <c r="G7159" s="25">
        <v>52.8</v>
      </c>
      <c r="H7159" s="379">
        <v>15.027043116957769</v>
      </c>
      <c r="I7159" s="25">
        <v>68.05</v>
      </c>
      <c r="J7159" s="379">
        <v>5.231529839722433</v>
      </c>
    </row>
    <row r="7160" spans="1:10" x14ac:dyDescent="0.35">
      <c r="A7160" s="5">
        <v>7156</v>
      </c>
      <c r="B7160" s="5">
        <v>299</v>
      </c>
      <c r="C7160" s="5">
        <v>10</v>
      </c>
      <c r="D7160" s="379">
        <v>28.006666666666664</v>
      </c>
      <c r="E7160" s="25">
        <v>25.29</v>
      </c>
      <c r="F7160" s="379">
        <v>13.975219226562231</v>
      </c>
      <c r="G7160" s="25">
        <v>52.8</v>
      </c>
      <c r="H7160" s="379">
        <v>15.027076979186871</v>
      </c>
      <c r="I7160" s="25">
        <v>68.05</v>
      </c>
      <c r="J7160" s="379">
        <v>4.4058245163472831</v>
      </c>
    </row>
    <row r="7161" spans="1:10" x14ac:dyDescent="0.35">
      <c r="A7161" s="5">
        <v>7157</v>
      </c>
      <c r="B7161" s="5">
        <v>299</v>
      </c>
      <c r="C7161" s="5">
        <v>10</v>
      </c>
      <c r="D7161" s="379">
        <v>29.182777777777776</v>
      </c>
      <c r="E7161" s="25">
        <v>25.59</v>
      </c>
      <c r="F7161" s="379">
        <v>13.284802450820637</v>
      </c>
      <c r="G7161" s="25">
        <v>52.8</v>
      </c>
      <c r="H7161" s="379">
        <v>15.027076979186871</v>
      </c>
      <c r="I7161" s="25">
        <v>70.09</v>
      </c>
      <c r="J7161" s="379">
        <v>4.2706307775643841</v>
      </c>
    </row>
    <row r="7162" spans="1:10" x14ac:dyDescent="0.35">
      <c r="A7162" s="5">
        <v>7158</v>
      </c>
      <c r="B7162" s="5">
        <v>299</v>
      </c>
      <c r="C7162" s="5">
        <v>10</v>
      </c>
      <c r="D7162" s="379">
        <v>33.515555555555551</v>
      </c>
      <c r="E7162" s="25">
        <v>26.51</v>
      </c>
      <c r="F7162" s="379">
        <v>11.511569593874697</v>
      </c>
      <c r="G7162" s="25">
        <v>59.23</v>
      </c>
      <c r="H7162" s="379">
        <v>16.093965726263605</v>
      </c>
      <c r="I7162" s="25">
        <v>90.73</v>
      </c>
      <c r="J7162" s="379">
        <v>3.9706606978535359</v>
      </c>
    </row>
    <row r="7163" spans="1:10" x14ac:dyDescent="0.35">
      <c r="A7163" s="5">
        <v>7159</v>
      </c>
      <c r="B7163" s="5">
        <v>299</v>
      </c>
      <c r="C7163" s="5">
        <v>10</v>
      </c>
      <c r="D7163" s="379">
        <v>39.241666666666667</v>
      </c>
      <c r="E7163" s="25">
        <v>30.28</v>
      </c>
      <c r="F7163" s="379">
        <v>11.662053435303946</v>
      </c>
      <c r="G7163" s="25">
        <v>62.12</v>
      </c>
      <c r="H7163" s="379">
        <v>16.770456394885358</v>
      </c>
      <c r="I7163" s="25">
        <v>843.72</v>
      </c>
      <c r="J7163" s="379">
        <v>3.7340448047604906</v>
      </c>
    </row>
    <row r="7164" spans="1:10" x14ac:dyDescent="0.35">
      <c r="A7164" s="5">
        <v>7160</v>
      </c>
      <c r="B7164" s="5">
        <v>299</v>
      </c>
      <c r="C7164" s="5">
        <v>10</v>
      </c>
      <c r="D7164" s="379">
        <v>43.829999999999984</v>
      </c>
      <c r="E7164" s="25">
        <v>31.84</v>
      </c>
      <c r="F7164" s="379">
        <v>16.197010133020175</v>
      </c>
      <c r="G7164" s="25">
        <v>62.12</v>
      </c>
      <c r="H7164" s="379">
        <v>17.301116765238188</v>
      </c>
      <c r="I7164" s="25">
        <v>843.72</v>
      </c>
      <c r="J7164" s="379">
        <v>7.6985919668169807</v>
      </c>
    </row>
    <row r="7165" spans="1:10" x14ac:dyDescent="0.35">
      <c r="A7165" s="5">
        <v>7161</v>
      </c>
      <c r="B7165" s="5">
        <v>299</v>
      </c>
      <c r="C7165" s="5">
        <v>10</v>
      </c>
      <c r="D7165" s="379">
        <v>40.572222222222223</v>
      </c>
      <c r="E7165" s="25">
        <v>30.28</v>
      </c>
      <c r="F7165" s="379">
        <v>10.273658192299086</v>
      </c>
      <c r="G7165" s="25">
        <v>62.12</v>
      </c>
      <c r="H7165" s="379">
        <v>7.754619161038681</v>
      </c>
      <c r="I7165" s="25">
        <v>625.54</v>
      </c>
      <c r="J7165" s="379">
        <v>5.3383223035767839</v>
      </c>
    </row>
    <row r="7166" spans="1:10" x14ac:dyDescent="0.35">
      <c r="A7166" s="5">
        <v>7162</v>
      </c>
      <c r="B7166" s="5">
        <v>299</v>
      </c>
      <c r="C7166" s="5">
        <v>10</v>
      </c>
      <c r="D7166" s="379">
        <v>36.451666666666668</v>
      </c>
      <c r="E7166" s="25">
        <v>30.28</v>
      </c>
      <c r="F7166" s="379">
        <v>8.1174834595959595</v>
      </c>
      <c r="G7166" s="25">
        <v>62.12</v>
      </c>
      <c r="H7166" s="379">
        <v>5.2605082848806637</v>
      </c>
      <c r="I7166" s="25">
        <v>82.45</v>
      </c>
      <c r="J7166" s="379">
        <v>2.03727707807667</v>
      </c>
    </row>
    <row r="7167" spans="1:10" x14ac:dyDescent="0.35">
      <c r="A7167" s="5">
        <v>7163</v>
      </c>
      <c r="B7167" s="5">
        <v>299</v>
      </c>
      <c r="C7167" s="5">
        <v>10</v>
      </c>
      <c r="D7167" s="379">
        <v>32.22</v>
      </c>
      <c r="E7167" s="25">
        <v>27.3</v>
      </c>
      <c r="F7167" s="379">
        <v>8.2494874403520075</v>
      </c>
      <c r="G7167" s="25">
        <v>60.51</v>
      </c>
      <c r="H7167" s="379">
        <v>4.799693804694658</v>
      </c>
      <c r="I7167" s="25">
        <v>75.459999999999994</v>
      </c>
      <c r="J7167" s="379">
        <v>7.7301439819995865</v>
      </c>
    </row>
    <row r="7168" spans="1:10" x14ac:dyDescent="0.35">
      <c r="A7168" s="5">
        <v>7164</v>
      </c>
      <c r="B7168" s="5">
        <v>299</v>
      </c>
      <c r="C7168" s="5">
        <v>10</v>
      </c>
      <c r="D7168" s="379">
        <v>31.156111111111109</v>
      </c>
      <c r="E7168" s="25">
        <v>26.59</v>
      </c>
      <c r="F7168" s="379">
        <v>8.1174834595959595</v>
      </c>
      <c r="G7168" s="25">
        <v>55.83</v>
      </c>
      <c r="H7168" s="379">
        <v>6.025332189892957</v>
      </c>
      <c r="I7168" s="25">
        <v>68.05</v>
      </c>
      <c r="J7168" s="379">
        <v>2.777777777777778E-2</v>
      </c>
    </row>
    <row r="7169" spans="1:10" x14ac:dyDescent="0.35">
      <c r="A7169" s="5">
        <v>7165</v>
      </c>
      <c r="B7169" s="5">
        <v>299</v>
      </c>
      <c r="C7169" s="5">
        <v>10</v>
      </c>
      <c r="D7169" s="379">
        <v>31.174444444444443</v>
      </c>
      <c r="E7169" s="25">
        <v>26.51</v>
      </c>
      <c r="F7169" s="379">
        <v>8.1174834595959613</v>
      </c>
      <c r="G7169" s="25">
        <v>55.83</v>
      </c>
      <c r="H7169" s="379">
        <v>6.4863989775945656</v>
      </c>
      <c r="I7169" s="25">
        <v>68.05</v>
      </c>
      <c r="J7169" s="379">
        <v>7.665274831944234E-2</v>
      </c>
    </row>
    <row r="7170" spans="1:10" x14ac:dyDescent="0.35">
      <c r="A7170" s="5">
        <v>7166</v>
      </c>
      <c r="B7170" s="5">
        <v>299</v>
      </c>
      <c r="C7170" s="5">
        <v>10</v>
      </c>
      <c r="D7170" s="379">
        <v>31.447777777777773</v>
      </c>
      <c r="E7170" s="25">
        <v>26.51</v>
      </c>
      <c r="F7170" s="379">
        <v>8.1174834595959595</v>
      </c>
      <c r="G7170" s="25">
        <v>55.38</v>
      </c>
      <c r="H7170" s="379">
        <v>6.4467280114756562</v>
      </c>
      <c r="I7170" s="25">
        <v>67.03</v>
      </c>
      <c r="J7170" s="379">
        <v>8.2922668688400314E-2</v>
      </c>
    </row>
    <row r="7171" spans="1:10" x14ac:dyDescent="0.35">
      <c r="A7171" s="5">
        <v>7167</v>
      </c>
      <c r="B7171" s="5">
        <v>299</v>
      </c>
      <c r="C7171" s="5">
        <v>10</v>
      </c>
      <c r="D7171" s="379">
        <v>31.553888888888892</v>
      </c>
      <c r="E7171" s="25">
        <v>26.59</v>
      </c>
      <c r="F7171" s="379">
        <v>8.1174834595959577</v>
      </c>
      <c r="G7171" s="25">
        <v>55.83</v>
      </c>
      <c r="H7171" s="379">
        <v>9.40389692319388</v>
      </c>
      <c r="I7171" s="25">
        <v>68.05</v>
      </c>
      <c r="J7171" s="379">
        <v>0.11680578883360994</v>
      </c>
    </row>
    <row r="7172" spans="1:10" x14ac:dyDescent="0.35">
      <c r="A7172" s="5">
        <v>7168</v>
      </c>
      <c r="B7172" s="5">
        <v>299</v>
      </c>
      <c r="C7172" s="5">
        <v>10</v>
      </c>
      <c r="D7172" s="379">
        <v>33.903888888888879</v>
      </c>
      <c r="E7172" s="25">
        <v>28.54</v>
      </c>
      <c r="F7172" s="379">
        <v>8.8705034724348266</v>
      </c>
      <c r="G7172" s="25">
        <v>55.83</v>
      </c>
      <c r="H7172" s="379">
        <v>11.21753137353417</v>
      </c>
      <c r="I7172" s="25">
        <v>68.05</v>
      </c>
      <c r="J7172" s="379">
        <v>1.1266383141552434</v>
      </c>
    </row>
    <row r="7173" spans="1:10" x14ac:dyDescent="0.35">
      <c r="A7173" s="5">
        <v>7169</v>
      </c>
      <c r="B7173" s="5">
        <v>299</v>
      </c>
      <c r="C7173" s="5">
        <v>10</v>
      </c>
      <c r="D7173" s="379">
        <v>41.039444444444442</v>
      </c>
      <c r="E7173" s="25">
        <v>30.28</v>
      </c>
      <c r="F7173" s="379">
        <v>10.774026861463978</v>
      </c>
      <c r="G7173" s="25">
        <v>62.12</v>
      </c>
      <c r="H7173" s="379">
        <v>11.218895264875657</v>
      </c>
      <c r="I7173" s="25">
        <v>80.05</v>
      </c>
      <c r="J7173" s="379">
        <v>5.6319126047059074</v>
      </c>
    </row>
    <row r="7174" spans="1:10" x14ac:dyDescent="0.35">
      <c r="A7174" s="5">
        <v>7170</v>
      </c>
      <c r="B7174" s="5">
        <v>299</v>
      </c>
      <c r="C7174" s="5">
        <v>10</v>
      </c>
      <c r="D7174" s="379">
        <v>45.153888888888886</v>
      </c>
      <c r="E7174" s="25">
        <v>30.28</v>
      </c>
      <c r="F7174" s="379">
        <v>13.61206195303364</v>
      </c>
      <c r="G7174" s="25">
        <v>62.12</v>
      </c>
      <c r="H7174" s="379">
        <v>11.121385069905651</v>
      </c>
      <c r="I7174" s="25">
        <v>603.30999999999995</v>
      </c>
      <c r="J7174" s="379">
        <v>3.3919737317177994</v>
      </c>
    </row>
    <row r="7175" spans="1:10" x14ac:dyDescent="0.35">
      <c r="A7175" s="5">
        <v>7171</v>
      </c>
      <c r="B7175" s="5">
        <v>299</v>
      </c>
      <c r="C7175" s="5">
        <v>10</v>
      </c>
      <c r="D7175" s="379">
        <v>43.731666666666676</v>
      </c>
      <c r="E7175" s="25">
        <v>34.82</v>
      </c>
      <c r="F7175" s="379">
        <v>10.184913336918337</v>
      </c>
      <c r="G7175" s="25">
        <v>62.12</v>
      </c>
      <c r="H7175" s="379">
        <v>10.980438885442153</v>
      </c>
      <c r="I7175" s="25">
        <v>93.45</v>
      </c>
      <c r="J7175" s="379">
        <v>2.2502191674475243</v>
      </c>
    </row>
    <row r="7176" spans="1:10" x14ac:dyDescent="0.35">
      <c r="A7176" s="5">
        <v>7172</v>
      </c>
      <c r="B7176" s="5">
        <v>299</v>
      </c>
      <c r="C7176" s="5">
        <v>10</v>
      </c>
      <c r="D7176" s="379">
        <v>39.056111111111115</v>
      </c>
      <c r="E7176" s="25">
        <v>28.12</v>
      </c>
      <c r="F7176" s="379">
        <v>10.909531270993254</v>
      </c>
      <c r="G7176" s="25">
        <v>57.56</v>
      </c>
      <c r="H7176" s="379">
        <v>11.120905632614924</v>
      </c>
      <c r="I7176" s="25">
        <v>72.19</v>
      </c>
      <c r="J7176" s="379">
        <v>6.6186904134555942</v>
      </c>
    </row>
    <row r="7177" spans="1:10" x14ac:dyDescent="0.35">
      <c r="A7177" s="5">
        <v>7173</v>
      </c>
      <c r="B7177" s="5">
        <v>299</v>
      </c>
      <c r="C7177" s="5">
        <v>10</v>
      </c>
      <c r="D7177" s="379">
        <v>39.003333333333323</v>
      </c>
      <c r="E7177" s="25">
        <v>25.73</v>
      </c>
      <c r="F7177" s="379">
        <v>9.3853163685271426</v>
      </c>
      <c r="G7177" s="25">
        <v>52.8</v>
      </c>
      <c r="H7177" s="379">
        <v>10.913462772716615</v>
      </c>
      <c r="I7177" s="25">
        <v>68.05</v>
      </c>
      <c r="J7177" s="379">
        <v>6.0629822396468969</v>
      </c>
    </row>
    <row r="7178" spans="1:10" x14ac:dyDescent="0.35">
      <c r="A7178" s="5">
        <v>7174</v>
      </c>
      <c r="B7178" s="5">
        <v>299</v>
      </c>
      <c r="C7178" s="5">
        <v>10</v>
      </c>
      <c r="D7178" s="379">
        <v>36.608888888888892</v>
      </c>
      <c r="E7178" s="25">
        <v>25.29</v>
      </c>
      <c r="F7178" s="379">
        <v>8.6692585826182071</v>
      </c>
      <c r="G7178" s="25">
        <v>47.85</v>
      </c>
      <c r="H7178" s="379">
        <v>10.95732201960425</v>
      </c>
      <c r="I7178" s="25">
        <v>68.05</v>
      </c>
      <c r="J7178" s="379">
        <v>6.176672338034324</v>
      </c>
    </row>
    <row r="7179" spans="1:10" x14ac:dyDescent="0.35">
      <c r="A7179" s="5">
        <v>7175</v>
      </c>
      <c r="B7179" s="5">
        <v>299</v>
      </c>
      <c r="C7179" s="5">
        <v>10</v>
      </c>
      <c r="D7179" s="379">
        <v>35.043888888888887</v>
      </c>
      <c r="E7179" s="25">
        <v>24.99</v>
      </c>
      <c r="F7179" s="379">
        <v>8.6701829202406646</v>
      </c>
      <c r="G7179" s="25">
        <v>47.85</v>
      </c>
      <c r="H7179" s="379">
        <v>10.67900354595788</v>
      </c>
      <c r="I7179" s="25">
        <v>66.06</v>
      </c>
      <c r="J7179" s="379">
        <v>6.1360906039256404</v>
      </c>
    </row>
    <row r="7180" spans="1:10" x14ac:dyDescent="0.35">
      <c r="A7180" s="5">
        <v>7176</v>
      </c>
      <c r="B7180" s="5">
        <v>299</v>
      </c>
      <c r="C7180" s="5">
        <v>10</v>
      </c>
      <c r="D7180" s="379">
        <v>35.526111111111113</v>
      </c>
      <c r="E7180" s="25">
        <v>24.84</v>
      </c>
      <c r="F7180" s="379">
        <v>8.6864096549986787</v>
      </c>
      <c r="G7180" s="25">
        <v>47.85</v>
      </c>
      <c r="H7180" s="379">
        <v>9.9199240045472159</v>
      </c>
      <c r="I7180" s="25">
        <v>61.98</v>
      </c>
      <c r="J7180" s="379">
        <v>5.9983849205401061</v>
      </c>
    </row>
    <row r="7181" spans="1:10" x14ac:dyDescent="0.35">
      <c r="A7181" s="5">
        <v>7177</v>
      </c>
      <c r="B7181" s="5">
        <v>300</v>
      </c>
      <c r="C7181" s="5">
        <v>10</v>
      </c>
      <c r="D7181" s="379">
        <v>37.706666666666663</v>
      </c>
      <c r="E7181" s="25">
        <v>24.84</v>
      </c>
      <c r="F7181" s="379">
        <v>8.6791773832467083</v>
      </c>
      <c r="G7181" s="25">
        <v>47.85</v>
      </c>
      <c r="H7181" s="379">
        <v>10.27581472744067</v>
      </c>
      <c r="I7181" s="25">
        <v>59.57</v>
      </c>
      <c r="J7181" s="379">
        <v>6.9916575509114338</v>
      </c>
    </row>
    <row r="7182" spans="1:10" x14ac:dyDescent="0.35">
      <c r="A7182" s="5">
        <v>7178</v>
      </c>
      <c r="B7182" s="5">
        <v>300</v>
      </c>
      <c r="C7182" s="5">
        <v>10</v>
      </c>
      <c r="D7182" s="379">
        <v>37.982777777777777</v>
      </c>
      <c r="E7182" s="25">
        <v>24.84</v>
      </c>
      <c r="F7182" s="379">
        <v>8.6991446547464513</v>
      </c>
      <c r="G7182" s="25">
        <v>47.85</v>
      </c>
      <c r="H7182" s="379">
        <v>9.8511293190666862</v>
      </c>
      <c r="I7182" s="25">
        <v>58.1</v>
      </c>
      <c r="J7182" s="379">
        <v>6.9829635647229269</v>
      </c>
    </row>
    <row r="7183" spans="1:10" x14ac:dyDescent="0.35">
      <c r="A7183" s="5">
        <v>7179</v>
      </c>
      <c r="B7183" s="5">
        <v>300</v>
      </c>
      <c r="C7183" s="5">
        <v>10</v>
      </c>
      <c r="D7183" s="379">
        <v>37.621111111111112</v>
      </c>
      <c r="E7183" s="25">
        <v>24.84</v>
      </c>
      <c r="F7183" s="379">
        <v>8.6146487170980439</v>
      </c>
      <c r="G7183" s="25">
        <v>47.85</v>
      </c>
      <c r="H7183" s="379">
        <v>9.020098949052219</v>
      </c>
      <c r="I7183" s="25">
        <v>58.1</v>
      </c>
      <c r="J7183" s="379">
        <v>6.9951917172712799</v>
      </c>
    </row>
    <row r="7184" spans="1:10" x14ac:dyDescent="0.35">
      <c r="A7184" s="5">
        <v>7180</v>
      </c>
      <c r="B7184" s="5">
        <v>300</v>
      </c>
      <c r="C7184" s="5">
        <v>10</v>
      </c>
      <c r="D7184" s="379">
        <v>37.771111111111111</v>
      </c>
      <c r="E7184" s="25">
        <v>24.84</v>
      </c>
      <c r="F7184" s="379">
        <v>9.0691458614994094</v>
      </c>
      <c r="G7184" s="25">
        <v>47.85</v>
      </c>
      <c r="H7184" s="379">
        <v>8.6685987801399964</v>
      </c>
      <c r="I7184" s="25">
        <v>58.1</v>
      </c>
      <c r="J7184" s="379">
        <v>7.0765900812157518</v>
      </c>
    </row>
    <row r="7185" spans="1:10" x14ac:dyDescent="0.35">
      <c r="A7185" s="5">
        <v>7181</v>
      </c>
      <c r="B7185" s="5">
        <v>300</v>
      </c>
      <c r="C7185" s="5">
        <v>10</v>
      </c>
      <c r="D7185" s="379">
        <v>38.17722222222222</v>
      </c>
      <c r="E7185" s="25">
        <v>24.84</v>
      </c>
      <c r="F7185" s="379">
        <v>9.1411173361561868</v>
      </c>
      <c r="G7185" s="25">
        <v>47.85</v>
      </c>
      <c r="H7185" s="379">
        <v>9.1223660837394327</v>
      </c>
      <c r="I7185" s="25">
        <v>59.24</v>
      </c>
      <c r="J7185" s="379">
        <v>5.8045775286941419</v>
      </c>
    </row>
    <row r="7186" spans="1:10" x14ac:dyDescent="0.35">
      <c r="A7186" s="5">
        <v>7182</v>
      </c>
      <c r="B7186" s="5">
        <v>300</v>
      </c>
      <c r="C7186" s="5">
        <v>10</v>
      </c>
      <c r="D7186" s="379">
        <v>40.897222222222219</v>
      </c>
      <c r="E7186" s="25">
        <v>25.74</v>
      </c>
      <c r="F7186" s="379">
        <v>9.1084600754553531</v>
      </c>
      <c r="G7186" s="25">
        <v>51.14</v>
      </c>
      <c r="H7186" s="379">
        <v>8.8147591389909632</v>
      </c>
      <c r="I7186" s="25">
        <v>60.18</v>
      </c>
      <c r="J7186" s="379">
        <v>6.4172204696377424</v>
      </c>
    </row>
    <row r="7187" spans="1:10" x14ac:dyDescent="0.35">
      <c r="A7187" s="5">
        <v>7183</v>
      </c>
      <c r="B7187" s="5">
        <v>300</v>
      </c>
      <c r="C7187" s="5">
        <v>10</v>
      </c>
      <c r="D7187" s="379">
        <v>48.399444444444441</v>
      </c>
      <c r="E7187" s="25">
        <v>28.12</v>
      </c>
      <c r="F7187" s="379">
        <v>8.7265534636649953</v>
      </c>
      <c r="G7187" s="25">
        <v>56.86</v>
      </c>
      <c r="H7187" s="379">
        <v>7.4906945623409253</v>
      </c>
      <c r="I7187" s="25">
        <v>68.349999999999994</v>
      </c>
      <c r="J7187" s="379">
        <v>6.6265177592423834</v>
      </c>
    </row>
    <row r="7188" spans="1:10" x14ac:dyDescent="0.35">
      <c r="A7188" s="5">
        <v>7184</v>
      </c>
      <c r="B7188" s="5">
        <v>300</v>
      </c>
      <c r="C7188" s="5">
        <v>10</v>
      </c>
      <c r="D7188" s="379">
        <v>50.031111111111109</v>
      </c>
      <c r="E7188" s="25">
        <v>29.23</v>
      </c>
      <c r="F7188" s="379">
        <v>8.4380190605273633</v>
      </c>
      <c r="G7188" s="25">
        <v>57.5</v>
      </c>
      <c r="H7188" s="379">
        <v>8.1565815412260658</v>
      </c>
      <c r="I7188" s="25">
        <v>70.09</v>
      </c>
      <c r="J7188" s="379">
        <v>6.4615597371778719</v>
      </c>
    </row>
    <row r="7189" spans="1:10" x14ac:dyDescent="0.35">
      <c r="A7189" s="5">
        <v>7185</v>
      </c>
      <c r="B7189" s="5">
        <v>300</v>
      </c>
      <c r="C7189" s="5">
        <v>10</v>
      </c>
      <c r="D7189" s="379">
        <v>41.431111111111107</v>
      </c>
      <c r="E7189" s="25">
        <v>29.23</v>
      </c>
      <c r="F7189" s="379">
        <v>8.1174834595959577</v>
      </c>
      <c r="G7189" s="25">
        <v>57.5</v>
      </c>
      <c r="H7189" s="379">
        <v>7.0226793390088851</v>
      </c>
      <c r="I7189" s="25">
        <v>68.349999999999994</v>
      </c>
      <c r="J7189" s="379">
        <v>0.27777777777777779</v>
      </c>
    </row>
    <row r="7190" spans="1:10" x14ac:dyDescent="0.35">
      <c r="A7190" s="5">
        <v>7186</v>
      </c>
      <c r="B7190" s="5">
        <v>300</v>
      </c>
      <c r="C7190" s="5">
        <v>10</v>
      </c>
      <c r="D7190" s="379">
        <v>38.307222222222222</v>
      </c>
      <c r="E7190" s="25">
        <v>28.54</v>
      </c>
      <c r="F7190" s="379">
        <v>8.1174834595959595</v>
      </c>
      <c r="G7190" s="25">
        <v>56.86</v>
      </c>
      <c r="H7190" s="379">
        <v>6.5247097902671314</v>
      </c>
      <c r="I7190" s="25">
        <v>66.36</v>
      </c>
      <c r="J7190" s="379">
        <v>0.27777777777777779</v>
      </c>
    </row>
    <row r="7191" spans="1:10" x14ac:dyDescent="0.35">
      <c r="A7191" s="5">
        <v>7187</v>
      </c>
      <c r="B7191" s="5">
        <v>300</v>
      </c>
      <c r="C7191" s="5">
        <v>10</v>
      </c>
      <c r="D7191" s="379">
        <v>36.317777777777778</v>
      </c>
      <c r="E7191" s="25">
        <v>27.3</v>
      </c>
      <c r="F7191" s="379">
        <v>8.1174834595959577</v>
      </c>
      <c r="G7191" s="25">
        <v>53.77</v>
      </c>
      <c r="H7191" s="379">
        <v>4.799693804694658</v>
      </c>
      <c r="I7191" s="25">
        <v>62.27</v>
      </c>
      <c r="J7191" s="379">
        <v>0.27777777777777779</v>
      </c>
    </row>
    <row r="7192" spans="1:10" x14ac:dyDescent="0.35">
      <c r="A7192" s="5">
        <v>7188</v>
      </c>
      <c r="B7192" s="5">
        <v>300</v>
      </c>
      <c r="C7192" s="5">
        <v>10</v>
      </c>
      <c r="D7192" s="379">
        <v>34.12222222222222</v>
      </c>
      <c r="E7192" s="25">
        <v>26.51</v>
      </c>
      <c r="F7192" s="379">
        <v>0.63888888888888884</v>
      </c>
      <c r="G7192" s="25">
        <v>52.2</v>
      </c>
      <c r="H7192" s="379">
        <v>8.1174834595959613</v>
      </c>
      <c r="I7192" s="25">
        <v>60.46</v>
      </c>
      <c r="J7192" s="379">
        <v>7.5342084187009259E-2</v>
      </c>
    </row>
    <row r="7193" spans="1:10" x14ac:dyDescent="0.35">
      <c r="A7193" s="5">
        <v>7189</v>
      </c>
      <c r="B7193" s="5">
        <v>300</v>
      </c>
      <c r="C7193" s="5">
        <v>10</v>
      </c>
      <c r="D7193" s="379">
        <v>30.167777777777779</v>
      </c>
      <c r="E7193" s="25">
        <v>25.74</v>
      </c>
      <c r="F7193" s="379">
        <v>5.2083306482968252</v>
      </c>
      <c r="G7193" s="25">
        <v>48.33</v>
      </c>
      <c r="H7193" s="379">
        <v>4.799693804694658</v>
      </c>
      <c r="I7193" s="25">
        <v>58.1</v>
      </c>
      <c r="J7193" s="379">
        <v>3.9832749090626347E-2</v>
      </c>
    </row>
    <row r="7194" spans="1:10" x14ac:dyDescent="0.35">
      <c r="A7194" s="5">
        <v>7190</v>
      </c>
      <c r="B7194" s="5">
        <v>300</v>
      </c>
      <c r="C7194" s="5">
        <v>10</v>
      </c>
      <c r="D7194" s="379">
        <v>31.093333333333334</v>
      </c>
      <c r="E7194" s="25">
        <v>24.99</v>
      </c>
      <c r="F7194" s="379">
        <v>5.2083306482968252</v>
      </c>
      <c r="G7194" s="25">
        <v>48.33</v>
      </c>
      <c r="H7194" s="379">
        <v>7.0080601814629375</v>
      </c>
      <c r="I7194" s="25">
        <v>58.1</v>
      </c>
      <c r="J7194" s="379">
        <v>4.2200322908447219E-2</v>
      </c>
    </row>
    <row r="7195" spans="1:10" x14ac:dyDescent="0.35">
      <c r="A7195" s="5">
        <v>7191</v>
      </c>
      <c r="B7195" s="5">
        <v>300</v>
      </c>
      <c r="C7195" s="5">
        <v>10</v>
      </c>
      <c r="D7195" s="379">
        <v>33.666111111111114</v>
      </c>
      <c r="E7195" s="25">
        <v>24.99</v>
      </c>
      <c r="F7195" s="379">
        <v>0.47222222222222221</v>
      </c>
      <c r="G7195" s="25">
        <v>48.33</v>
      </c>
      <c r="H7195" s="379">
        <v>5.0287941598128079</v>
      </c>
      <c r="I7195" s="25">
        <v>59.57</v>
      </c>
      <c r="J7195" s="379">
        <v>8.2922668688400314E-2</v>
      </c>
    </row>
    <row r="7196" spans="1:10" x14ac:dyDescent="0.35">
      <c r="A7196" s="5">
        <v>7192</v>
      </c>
      <c r="B7196" s="5">
        <v>300</v>
      </c>
      <c r="C7196" s="5">
        <v>10</v>
      </c>
      <c r="D7196" s="379">
        <v>37.780555555555551</v>
      </c>
      <c r="E7196" s="25">
        <v>27.15</v>
      </c>
      <c r="F7196" s="379">
        <v>8.1174834595959577</v>
      </c>
      <c r="G7196" s="25">
        <v>52.67</v>
      </c>
      <c r="H7196" s="379">
        <v>7.4446070717040707</v>
      </c>
      <c r="I7196" s="25">
        <v>64.14</v>
      </c>
      <c r="J7196" s="379">
        <v>4.801369221688045</v>
      </c>
    </row>
    <row r="7197" spans="1:10" x14ac:dyDescent="0.35">
      <c r="A7197" s="5">
        <v>7193</v>
      </c>
      <c r="B7197" s="5">
        <v>300</v>
      </c>
      <c r="C7197" s="5">
        <v>10</v>
      </c>
      <c r="D7197" s="379">
        <v>39.918333333333337</v>
      </c>
      <c r="E7197" s="25">
        <v>29.23</v>
      </c>
      <c r="F7197" s="379">
        <v>12.636454979030947</v>
      </c>
      <c r="G7197" s="25">
        <v>55.38</v>
      </c>
      <c r="H7197" s="379">
        <v>11.275769948545092</v>
      </c>
      <c r="I7197" s="25">
        <v>66.06</v>
      </c>
      <c r="J7197" s="379">
        <v>7.4134627816922869</v>
      </c>
    </row>
    <row r="7198" spans="1:10" x14ac:dyDescent="0.35">
      <c r="A7198" s="5">
        <v>7194</v>
      </c>
      <c r="B7198" s="5">
        <v>300</v>
      </c>
      <c r="C7198" s="5">
        <v>10</v>
      </c>
      <c r="D7198" s="379">
        <v>41.352777777777781</v>
      </c>
      <c r="E7198" s="25">
        <v>29.23</v>
      </c>
      <c r="F7198" s="379">
        <v>13.672586722332955</v>
      </c>
      <c r="G7198" s="25">
        <v>56.86</v>
      </c>
      <c r="H7198" s="379">
        <v>11.471178864503496</v>
      </c>
      <c r="I7198" s="25">
        <v>70.400000000000006</v>
      </c>
      <c r="J7198" s="379">
        <v>7.4046462432633069</v>
      </c>
    </row>
    <row r="7199" spans="1:10" x14ac:dyDescent="0.35">
      <c r="A7199" s="5">
        <v>7195</v>
      </c>
      <c r="B7199" s="5">
        <v>300</v>
      </c>
      <c r="C7199" s="5">
        <v>10</v>
      </c>
      <c r="D7199" s="379">
        <v>38.73833333333333</v>
      </c>
      <c r="E7199" s="25">
        <v>34.82</v>
      </c>
      <c r="F7199" s="379">
        <v>12.604832604046086</v>
      </c>
      <c r="G7199" s="25">
        <v>56.86</v>
      </c>
      <c r="H7199" s="379">
        <v>11.139384080276246</v>
      </c>
      <c r="I7199" s="25">
        <v>68.349999999999994</v>
      </c>
      <c r="J7199" s="379">
        <v>7.3919125772682435</v>
      </c>
    </row>
    <row r="7200" spans="1:10" x14ac:dyDescent="0.35">
      <c r="A7200" s="5">
        <v>7196</v>
      </c>
      <c r="B7200" s="5">
        <v>300</v>
      </c>
      <c r="C7200" s="5">
        <v>10</v>
      </c>
      <c r="D7200" s="379">
        <v>36.016111111111115</v>
      </c>
      <c r="E7200" s="25">
        <v>28.54</v>
      </c>
      <c r="F7200" s="379">
        <v>12.671742275071646</v>
      </c>
      <c r="G7200" s="25">
        <v>55.38</v>
      </c>
      <c r="H7200" s="379">
        <v>10.611846510263373</v>
      </c>
      <c r="I7200" s="25">
        <v>62.27</v>
      </c>
      <c r="J7200" s="379">
        <v>7.4046462432633069</v>
      </c>
    </row>
    <row r="7201" spans="1:10" x14ac:dyDescent="0.35">
      <c r="A7201" s="5">
        <v>7197</v>
      </c>
      <c r="B7201" s="5">
        <v>300</v>
      </c>
      <c r="C7201" s="5">
        <v>10</v>
      </c>
      <c r="D7201" s="379">
        <v>33.211666666666659</v>
      </c>
      <c r="E7201" s="25">
        <v>25.29</v>
      </c>
      <c r="F7201" s="379">
        <v>12.588218201217771</v>
      </c>
      <c r="G7201" s="25">
        <v>47.85</v>
      </c>
      <c r="H7201" s="379">
        <v>11.147410984155496</v>
      </c>
      <c r="I7201" s="25">
        <v>62.27</v>
      </c>
      <c r="J7201" s="379">
        <v>7.3126382893688788</v>
      </c>
    </row>
    <row r="7202" spans="1:10" x14ac:dyDescent="0.35">
      <c r="A7202" s="5">
        <v>7198</v>
      </c>
      <c r="B7202" s="5">
        <v>300</v>
      </c>
      <c r="C7202" s="5">
        <v>10</v>
      </c>
      <c r="D7202" s="379">
        <v>31.479444444444443</v>
      </c>
      <c r="E7202" s="25">
        <v>25.29</v>
      </c>
      <c r="F7202" s="379">
        <v>12.645555794210473</v>
      </c>
      <c r="G7202" s="25">
        <v>47.85</v>
      </c>
      <c r="H7202" s="379">
        <v>11.181160623213813</v>
      </c>
      <c r="I7202" s="25">
        <v>60.46</v>
      </c>
      <c r="J7202" s="379">
        <v>7.4046462432633069</v>
      </c>
    </row>
    <row r="7203" spans="1:10" x14ac:dyDescent="0.35">
      <c r="A7203" s="5">
        <v>7199</v>
      </c>
      <c r="B7203" s="5">
        <v>300</v>
      </c>
      <c r="C7203" s="5">
        <v>10</v>
      </c>
      <c r="D7203" s="379">
        <v>28.285555555555554</v>
      </c>
      <c r="E7203" s="25">
        <v>24.99</v>
      </c>
      <c r="F7203" s="379">
        <v>10.979881337760151</v>
      </c>
      <c r="G7203" s="25">
        <v>47.85</v>
      </c>
      <c r="H7203" s="379">
        <v>11.33611540570538</v>
      </c>
      <c r="I7203" s="25">
        <v>59.84</v>
      </c>
      <c r="J7203" s="379">
        <v>7.4046462432633069</v>
      </c>
    </row>
    <row r="7204" spans="1:10" x14ac:dyDescent="0.35">
      <c r="A7204" s="5">
        <v>7200</v>
      </c>
      <c r="B7204" s="5">
        <v>300</v>
      </c>
      <c r="C7204" s="5">
        <v>10</v>
      </c>
      <c r="D7204" s="379">
        <v>26.487222222222226</v>
      </c>
      <c r="E7204" s="25">
        <v>24.84</v>
      </c>
      <c r="F7204" s="379">
        <v>9.7100651794381161</v>
      </c>
      <c r="G7204" s="25">
        <v>47.85</v>
      </c>
      <c r="H7204" s="379">
        <v>11.368270233935418</v>
      </c>
      <c r="I7204" s="25">
        <v>59.57</v>
      </c>
      <c r="J7204" s="379">
        <v>7.5178642695760622</v>
      </c>
    </row>
    <row r="7205" spans="1:10" x14ac:dyDescent="0.35">
      <c r="A7205" s="5">
        <v>7201</v>
      </c>
      <c r="B7205" s="5">
        <v>301</v>
      </c>
      <c r="C7205" s="5">
        <v>10</v>
      </c>
      <c r="D7205" s="379">
        <v>27.877222222222223</v>
      </c>
      <c r="E7205" s="25">
        <v>24.84</v>
      </c>
      <c r="F7205" s="379">
        <v>10.407008880074518</v>
      </c>
      <c r="G7205" s="25">
        <v>47.85</v>
      </c>
      <c r="H7205" s="379">
        <v>11.506914598812612</v>
      </c>
      <c r="I7205" s="25">
        <v>57.09</v>
      </c>
      <c r="J7205" s="379">
        <v>7.8686782018879811</v>
      </c>
    </row>
    <row r="7206" spans="1:10" x14ac:dyDescent="0.35">
      <c r="A7206" s="5">
        <v>7202</v>
      </c>
      <c r="B7206" s="5">
        <v>301</v>
      </c>
      <c r="C7206" s="5">
        <v>10</v>
      </c>
      <c r="D7206" s="379">
        <v>27.863333333333337</v>
      </c>
      <c r="E7206" s="25">
        <v>24.84</v>
      </c>
      <c r="F7206" s="379">
        <v>10.234022877479392</v>
      </c>
      <c r="G7206" s="25">
        <v>47.85</v>
      </c>
      <c r="H7206" s="379">
        <v>11.838042090136819</v>
      </c>
      <c r="I7206" s="25">
        <v>56.52</v>
      </c>
      <c r="J7206" s="379">
        <v>7.7023486792803739</v>
      </c>
    </row>
    <row r="7207" spans="1:10" x14ac:dyDescent="0.35">
      <c r="A7207" s="5">
        <v>7203</v>
      </c>
      <c r="B7207" s="5">
        <v>301</v>
      </c>
      <c r="C7207" s="5">
        <v>10</v>
      </c>
      <c r="D7207" s="379">
        <v>27.831111111111113</v>
      </c>
      <c r="E7207" s="25">
        <v>24.84</v>
      </c>
      <c r="F7207" s="379">
        <v>10.85976871844022</v>
      </c>
      <c r="G7207" s="25">
        <v>47.85</v>
      </c>
      <c r="H7207" s="379">
        <v>11.179576034246354</v>
      </c>
      <c r="I7207" s="25">
        <v>56.52</v>
      </c>
      <c r="J7207" s="379">
        <v>7.5359608586098066</v>
      </c>
    </row>
    <row r="7208" spans="1:10" x14ac:dyDescent="0.35">
      <c r="A7208" s="5">
        <v>7204</v>
      </c>
      <c r="B7208" s="5">
        <v>301</v>
      </c>
      <c r="C7208" s="5">
        <v>10</v>
      </c>
      <c r="D7208" s="379">
        <v>28.115555555555552</v>
      </c>
      <c r="E7208" s="25">
        <v>24.84</v>
      </c>
      <c r="F7208" s="379">
        <v>9.8816661502485985</v>
      </c>
      <c r="G7208" s="25">
        <v>47.85</v>
      </c>
      <c r="H7208" s="379">
        <v>11.23833134980606</v>
      </c>
      <c r="I7208" s="25">
        <v>56.52</v>
      </c>
      <c r="J7208" s="379">
        <v>7.4656212809482314</v>
      </c>
    </row>
    <row r="7209" spans="1:10" x14ac:dyDescent="0.35">
      <c r="A7209" s="5">
        <v>7205</v>
      </c>
      <c r="B7209" s="5">
        <v>301</v>
      </c>
      <c r="C7209" s="5">
        <v>10</v>
      </c>
      <c r="D7209" s="379">
        <v>27.634444444444448</v>
      </c>
      <c r="E7209" s="25">
        <v>24.84</v>
      </c>
      <c r="F7209" s="379">
        <v>9.3595798147774403</v>
      </c>
      <c r="G7209" s="25">
        <v>47.85</v>
      </c>
      <c r="H7209" s="379">
        <v>11.313967923384343</v>
      </c>
      <c r="I7209" s="25">
        <v>56.52</v>
      </c>
      <c r="J7209" s="379">
        <v>7.5706089259535716</v>
      </c>
    </row>
    <row r="7210" spans="1:10" x14ac:dyDescent="0.35">
      <c r="A7210" s="5">
        <v>7206</v>
      </c>
      <c r="B7210" s="5">
        <v>301</v>
      </c>
      <c r="C7210" s="5">
        <v>10</v>
      </c>
      <c r="D7210" s="379">
        <v>30.414999999999999</v>
      </c>
      <c r="E7210" s="25">
        <v>25.29</v>
      </c>
      <c r="F7210" s="379">
        <v>9.0345954968269027</v>
      </c>
      <c r="G7210" s="25">
        <v>47.93</v>
      </c>
      <c r="H7210" s="379">
        <v>11.317405156418646</v>
      </c>
      <c r="I7210" s="25">
        <v>57.09</v>
      </c>
      <c r="J7210" s="379">
        <v>7.5977265740890783</v>
      </c>
    </row>
    <row r="7211" spans="1:10" x14ac:dyDescent="0.35">
      <c r="A7211" s="5">
        <v>7207</v>
      </c>
      <c r="B7211" s="5">
        <v>301</v>
      </c>
      <c r="C7211" s="5">
        <v>10</v>
      </c>
      <c r="D7211" s="379">
        <v>33.414444444444442</v>
      </c>
      <c r="E7211" s="25">
        <v>28.54</v>
      </c>
      <c r="F7211" s="379">
        <v>9.1774020057763952</v>
      </c>
      <c r="G7211" s="25">
        <v>55.38</v>
      </c>
      <c r="H7211" s="379">
        <v>11.344496158204143</v>
      </c>
      <c r="I7211" s="25">
        <v>66.06</v>
      </c>
      <c r="J7211" s="379">
        <v>7.5730090777275114</v>
      </c>
    </row>
    <row r="7212" spans="1:10" x14ac:dyDescent="0.35">
      <c r="A7212" s="5">
        <v>7208</v>
      </c>
      <c r="B7212" s="5">
        <v>301</v>
      </c>
      <c r="C7212" s="5">
        <v>10</v>
      </c>
      <c r="D7212" s="379">
        <v>34.837777777777781</v>
      </c>
      <c r="E7212" s="25">
        <v>29.23</v>
      </c>
      <c r="F7212" s="379">
        <v>9.5153318479222762</v>
      </c>
      <c r="G7212" s="25">
        <v>56.29</v>
      </c>
      <c r="H7212" s="379">
        <v>10.13224602114421</v>
      </c>
      <c r="I7212" s="25">
        <v>67.790000000000006</v>
      </c>
      <c r="J7212" s="379">
        <v>7.2859104564233013</v>
      </c>
    </row>
    <row r="7213" spans="1:10" x14ac:dyDescent="0.35">
      <c r="A7213" s="5">
        <v>7209</v>
      </c>
      <c r="B7213" s="5">
        <v>301</v>
      </c>
      <c r="C7213" s="5">
        <v>10</v>
      </c>
      <c r="D7213" s="379">
        <v>32.142222222222216</v>
      </c>
      <c r="E7213" s="25">
        <v>29.23</v>
      </c>
      <c r="F7213" s="379">
        <v>8.5018471117359624</v>
      </c>
      <c r="G7213" s="25">
        <v>54.25</v>
      </c>
      <c r="H7213" s="379">
        <v>10.198166412871736</v>
      </c>
      <c r="I7213" s="25">
        <v>61.64</v>
      </c>
      <c r="J7213" s="379">
        <v>7.2340611198519875</v>
      </c>
    </row>
    <row r="7214" spans="1:10" x14ac:dyDescent="0.35">
      <c r="A7214" s="5">
        <v>7210</v>
      </c>
      <c r="B7214" s="5">
        <v>301</v>
      </c>
      <c r="C7214" s="5">
        <v>10</v>
      </c>
      <c r="D7214" s="379">
        <v>29.868333333333332</v>
      </c>
      <c r="E7214" s="25">
        <v>29.23</v>
      </c>
      <c r="F7214" s="379">
        <v>8.4536556781332699</v>
      </c>
      <c r="G7214" s="25">
        <v>53.77</v>
      </c>
      <c r="H7214" s="379">
        <v>9.5285691750565285</v>
      </c>
      <c r="I7214" s="25">
        <v>59.96</v>
      </c>
      <c r="J7214" s="379">
        <v>5.1815149920891113</v>
      </c>
    </row>
    <row r="7215" spans="1:10" x14ac:dyDescent="0.35">
      <c r="A7215" s="5">
        <v>7211</v>
      </c>
      <c r="B7215" s="5">
        <v>301</v>
      </c>
      <c r="C7215" s="5">
        <v>10</v>
      </c>
      <c r="D7215" s="379">
        <v>27.458333333333332</v>
      </c>
      <c r="E7215" s="25">
        <v>27.3</v>
      </c>
      <c r="F7215" s="379">
        <v>8.1174834595959577</v>
      </c>
      <c r="G7215" s="25">
        <v>52.67</v>
      </c>
      <c r="H7215" s="379">
        <v>9.4609320706535414</v>
      </c>
      <c r="I7215" s="25">
        <v>58.8</v>
      </c>
      <c r="J7215" s="379">
        <v>6.0256765766014695</v>
      </c>
    </row>
    <row r="7216" spans="1:10" x14ac:dyDescent="0.35">
      <c r="A7216" s="5">
        <v>7212</v>
      </c>
      <c r="B7216" s="5">
        <v>301</v>
      </c>
      <c r="C7216" s="5">
        <v>10</v>
      </c>
      <c r="D7216" s="379">
        <v>26.806111111111107</v>
      </c>
      <c r="E7216" s="25">
        <v>26.53</v>
      </c>
      <c r="F7216" s="379">
        <v>8.1174834595959595</v>
      </c>
      <c r="G7216" s="25">
        <v>49.37</v>
      </c>
      <c r="H7216" s="379">
        <v>8.9004386928803036</v>
      </c>
      <c r="I7216" s="25">
        <v>56.52</v>
      </c>
      <c r="J7216" s="379">
        <v>6.0357651981223261</v>
      </c>
    </row>
    <row r="7217" spans="1:10" x14ac:dyDescent="0.35">
      <c r="A7217" s="5">
        <v>7213</v>
      </c>
      <c r="B7217" s="5">
        <v>301</v>
      </c>
      <c r="C7217" s="5">
        <v>10</v>
      </c>
      <c r="D7217" s="379">
        <v>24.87</v>
      </c>
      <c r="E7217" s="25">
        <v>26.51</v>
      </c>
      <c r="F7217" s="379">
        <v>4.6611095852118822</v>
      </c>
      <c r="G7217" s="25">
        <v>48.88</v>
      </c>
      <c r="H7217" s="379">
        <v>9.606659596123027</v>
      </c>
      <c r="I7217" s="25">
        <v>56.52</v>
      </c>
      <c r="J7217" s="379">
        <v>6.5872236345848769</v>
      </c>
    </row>
    <row r="7218" spans="1:10" x14ac:dyDescent="0.35">
      <c r="A7218" s="5">
        <v>7214</v>
      </c>
      <c r="B7218" s="5">
        <v>301</v>
      </c>
      <c r="C7218" s="5">
        <v>10</v>
      </c>
      <c r="D7218" s="379">
        <v>25.732222222222219</v>
      </c>
      <c r="E7218" s="25">
        <v>25.74</v>
      </c>
      <c r="F7218" s="379">
        <v>8.1174834595959577</v>
      </c>
      <c r="G7218" s="25">
        <v>48.33</v>
      </c>
      <c r="H7218" s="379">
        <v>9.7751682111470508</v>
      </c>
      <c r="I7218" s="25">
        <v>56.52</v>
      </c>
      <c r="J7218" s="379">
        <v>6.7343740664925766</v>
      </c>
    </row>
    <row r="7219" spans="1:10" x14ac:dyDescent="0.35">
      <c r="A7219" s="5">
        <v>7215</v>
      </c>
      <c r="B7219" s="5">
        <v>301</v>
      </c>
      <c r="C7219" s="5">
        <v>10</v>
      </c>
      <c r="D7219" s="379">
        <v>25.702222222222218</v>
      </c>
      <c r="E7219" s="25">
        <v>27.3</v>
      </c>
      <c r="F7219" s="379">
        <v>8.1174834595959577</v>
      </c>
      <c r="G7219" s="25">
        <v>48.33</v>
      </c>
      <c r="H7219" s="379">
        <v>9.7377625258515028</v>
      </c>
      <c r="I7219" s="25">
        <v>56.52</v>
      </c>
      <c r="J7219" s="379">
        <v>6.7220417847754907</v>
      </c>
    </row>
    <row r="7220" spans="1:10" x14ac:dyDescent="0.35">
      <c r="A7220" s="5">
        <v>7216</v>
      </c>
      <c r="B7220" s="5">
        <v>301</v>
      </c>
      <c r="C7220" s="5">
        <v>10</v>
      </c>
      <c r="D7220" s="379">
        <v>28.380555555555553</v>
      </c>
      <c r="E7220" s="25">
        <v>27.3</v>
      </c>
      <c r="F7220" s="379">
        <v>8.6647101332370902</v>
      </c>
      <c r="G7220" s="25">
        <v>52.2</v>
      </c>
      <c r="H7220" s="379">
        <v>10.090755213865746</v>
      </c>
      <c r="I7220" s="25">
        <v>56.52</v>
      </c>
      <c r="J7220" s="379">
        <v>6.7190379976537384</v>
      </c>
    </row>
    <row r="7221" spans="1:10" x14ac:dyDescent="0.35">
      <c r="A7221" s="5">
        <v>7217</v>
      </c>
      <c r="B7221" s="5">
        <v>301</v>
      </c>
      <c r="C7221" s="5">
        <v>10</v>
      </c>
      <c r="D7221" s="379">
        <v>34.019444444444446</v>
      </c>
      <c r="E7221" s="25">
        <v>28.12</v>
      </c>
      <c r="F7221" s="379">
        <v>18.082645167482596</v>
      </c>
      <c r="G7221" s="25">
        <v>54.25</v>
      </c>
      <c r="H7221" s="379">
        <v>9.3695907204636679</v>
      </c>
      <c r="I7221" s="25">
        <v>60.46</v>
      </c>
      <c r="J7221" s="379">
        <v>7.3985801896554531</v>
      </c>
    </row>
    <row r="7222" spans="1:10" x14ac:dyDescent="0.35">
      <c r="A7222" s="5">
        <v>7218</v>
      </c>
      <c r="B7222" s="5">
        <v>301</v>
      </c>
      <c r="C7222" s="5">
        <v>10</v>
      </c>
      <c r="D7222" s="379">
        <v>36.129444444444438</v>
      </c>
      <c r="E7222" s="25">
        <v>29.23</v>
      </c>
      <c r="F7222" s="379">
        <v>20.040239826104798</v>
      </c>
      <c r="G7222" s="25">
        <v>57.04</v>
      </c>
      <c r="H7222" s="379">
        <v>18.021513755783126</v>
      </c>
      <c r="I7222" s="25">
        <v>68.05</v>
      </c>
      <c r="J7222" s="379">
        <v>7.842827848432794</v>
      </c>
    </row>
    <row r="7223" spans="1:10" x14ac:dyDescent="0.35">
      <c r="A7223" s="5">
        <v>7219</v>
      </c>
      <c r="B7223" s="5">
        <v>301</v>
      </c>
      <c r="C7223" s="5">
        <v>10</v>
      </c>
      <c r="D7223" s="379">
        <v>35.400555555555556</v>
      </c>
      <c r="E7223" s="25">
        <v>29.23</v>
      </c>
      <c r="F7223" s="379">
        <v>20.023068901179737</v>
      </c>
      <c r="G7223" s="25">
        <v>57.04</v>
      </c>
      <c r="H7223" s="379">
        <v>17.818413184162903</v>
      </c>
      <c r="I7223" s="25">
        <v>68.05</v>
      </c>
      <c r="J7223" s="379">
        <v>7.8720771354078698</v>
      </c>
    </row>
    <row r="7224" spans="1:10" x14ac:dyDescent="0.35">
      <c r="A7224" s="5">
        <v>7220</v>
      </c>
      <c r="B7224" s="5">
        <v>301</v>
      </c>
      <c r="C7224" s="5">
        <v>10</v>
      </c>
      <c r="D7224" s="379">
        <v>32.142222222222223</v>
      </c>
      <c r="E7224" s="25">
        <v>29.23</v>
      </c>
      <c r="F7224" s="379">
        <v>19.833549179789927</v>
      </c>
      <c r="G7224" s="25">
        <v>54.25</v>
      </c>
      <c r="H7224" s="379">
        <v>15.991555665705238</v>
      </c>
      <c r="I7224" s="25">
        <v>66.06</v>
      </c>
      <c r="J7224" s="379">
        <v>7.8392955279537011</v>
      </c>
    </row>
    <row r="7225" spans="1:10" x14ac:dyDescent="0.35">
      <c r="A7225" s="5">
        <v>7221</v>
      </c>
      <c r="B7225" s="5">
        <v>301</v>
      </c>
      <c r="C7225" s="5">
        <v>10</v>
      </c>
      <c r="D7225" s="379">
        <v>31.78777777777778</v>
      </c>
      <c r="E7225" s="25">
        <v>26.51</v>
      </c>
      <c r="F7225" s="379">
        <v>18.909579510071364</v>
      </c>
      <c r="G7225" s="25">
        <v>53.77</v>
      </c>
      <c r="H7225" s="379">
        <v>15.430785499607286</v>
      </c>
      <c r="I7225" s="25">
        <v>62.27</v>
      </c>
      <c r="J7225" s="379">
        <v>7.7376515260897163</v>
      </c>
    </row>
    <row r="7226" spans="1:10" x14ac:dyDescent="0.35">
      <c r="A7226" s="5">
        <v>7222</v>
      </c>
      <c r="B7226" s="5">
        <v>301</v>
      </c>
      <c r="C7226" s="5">
        <v>10</v>
      </c>
      <c r="D7226" s="379">
        <v>30.63</v>
      </c>
      <c r="E7226" s="25">
        <v>25.74</v>
      </c>
      <c r="F7226" s="379">
        <v>18.909579510071364</v>
      </c>
      <c r="G7226" s="25">
        <v>49.37</v>
      </c>
      <c r="H7226" s="379">
        <v>14.716590147980579</v>
      </c>
      <c r="I7226" s="25">
        <v>61.64</v>
      </c>
      <c r="J7226" s="379">
        <v>7.7570850197368255</v>
      </c>
    </row>
    <row r="7227" spans="1:10" x14ac:dyDescent="0.35">
      <c r="A7227" s="5">
        <v>7223</v>
      </c>
      <c r="B7227" s="5">
        <v>301</v>
      </c>
      <c r="C7227" s="5">
        <v>10</v>
      </c>
      <c r="D7227" s="379">
        <v>29.421666666666667</v>
      </c>
      <c r="E7227" s="25">
        <v>24.99</v>
      </c>
      <c r="F7227" s="379">
        <v>18.398866670827914</v>
      </c>
      <c r="G7227" s="25">
        <v>47.85</v>
      </c>
      <c r="H7227" s="379">
        <v>15.558539884263052</v>
      </c>
      <c r="I7227" s="25">
        <v>59.84</v>
      </c>
      <c r="J7227" s="379">
        <v>5.8627562106839539</v>
      </c>
    </row>
    <row r="7228" spans="1:10" x14ac:dyDescent="0.35">
      <c r="A7228" s="5">
        <v>7224</v>
      </c>
      <c r="B7228" s="5">
        <v>301</v>
      </c>
      <c r="C7228" s="5">
        <v>10</v>
      </c>
      <c r="D7228" s="379">
        <v>30.186666666666664</v>
      </c>
      <c r="E7228" s="25">
        <v>24.84</v>
      </c>
      <c r="F7228" s="379">
        <v>18.398866670827914</v>
      </c>
      <c r="G7228" s="25">
        <v>47.85</v>
      </c>
      <c r="H7228" s="379">
        <v>14.727316257140746</v>
      </c>
      <c r="I7228" s="25">
        <v>58.1</v>
      </c>
      <c r="J7228" s="379">
        <v>5.7465111298776623</v>
      </c>
    </row>
    <row r="7229" spans="1:10" x14ac:dyDescent="0.35">
      <c r="A7229" s="5">
        <v>7225</v>
      </c>
      <c r="B7229" s="5">
        <v>302</v>
      </c>
      <c r="C7229" s="5">
        <v>10</v>
      </c>
      <c r="D7229" s="379">
        <v>31.767777777777773</v>
      </c>
      <c r="E7229" s="25">
        <v>24.84</v>
      </c>
      <c r="F7229" s="379">
        <v>17.921403795786308</v>
      </c>
      <c r="G7229" s="25">
        <v>47.85</v>
      </c>
      <c r="H7229" s="379">
        <v>17.664876646146368</v>
      </c>
      <c r="I7229" s="25">
        <v>61.65</v>
      </c>
      <c r="J7229" s="379">
        <v>4.4119934444701263</v>
      </c>
    </row>
    <row r="7230" spans="1:10" x14ac:dyDescent="0.35">
      <c r="A7230" s="5">
        <v>7226</v>
      </c>
      <c r="B7230" s="5">
        <v>302</v>
      </c>
      <c r="C7230" s="5">
        <v>10</v>
      </c>
      <c r="D7230" s="379">
        <v>31.465</v>
      </c>
      <c r="E7230" s="25">
        <v>24.84</v>
      </c>
      <c r="F7230" s="379">
        <v>17.255360788656738</v>
      </c>
      <c r="G7230" s="25">
        <v>47.85</v>
      </c>
      <c r="H7230" s="379">
        <v>17.664927439490022</v>
      </c>
      <c r="I7230" s="25">
        <v>62.27</v>
      </c>
      <c r="J7230" s="379">
        <v>2.635531252894264</v>
      </c>
    </row>
    <row r="7231" spans="1:10" x14ac:dyDescent="0.35">
      <c r="A7231" s="5">
        <v>7227</v>
      </c>
      <c r="B7231" s="5">
        <v>302</v>
      </c>
      <c r="C7231" s="5">
        <v>10</v>
      </c>
      <c r="D7231" s="379">
        <v>31.468333333333337</v>
      </c>
      <c r="E7231" s="25">
        <v>24.84</v>
      </c>
      <c r="F7231" s="379">
        <v>15.590036189943454</v>
      </c>
      <c r="G7231" s="25">
        <v>47.85</v>
      </c>
      <c r="H7231" s="379">
        <v>17.664927439490022</v>
      </c>
      <c r="I7231" s="25">
        <v>64.14</v>
      </c>
      <c r="J7231" s="379">
        <v>2.0688152705447718</v>
      </c>
    </row>
    <row r="7232" spans="1:10" x14ac:dyDescent="0.35">
      <c r="A7232" s="5">
        <v>7228</v>
      </c>
      <c r="B7232" s="5">
        <v>302</v>
      </c>
      <c r="C7232" s="5">
        <v>10</v>
      </c>
      <c r="D7232" s="379">
        <v>31.20888888888889</v>
      </c>
      <c r="E7232" s="25">
        <v>24.84</v>
      </c>
      <c r="F7232" s="379">
        <v>17.131310012582826</v>
      </c>
      <c r="G7232" s="25">
        <v>47.85</v>
      </c>
      <c r="H7232" s="379">
        <v>19.339372488681352</v>
      </c>
      <c r="I7232" s="25">
        <v>66.06</v>
      </c>
      <c r="J7232" s="379">
        <v>1.7500914183304148</v>
      </c>
    </row>
    <row r="7233" spans="1:10" x14ac:dyDescent="0.35">
      <c r="A7233" s="5">
        <v>7229</v>
      </c>
      <c r="B7233" s="5">
        <v>302</v>
      </c>
      <c r="C7233" s="5">
        <v>10</v>
      </c>
      <c r="D7233" s="379">
        <v>34.43277777777778</v>
      </c>
      <c r="E7233" s="25">
        <v>24.84</v>
      </c>
      <c r="F7233" s="379">
        <v>16.002098426281801</v>
      </c>
      <c r="G7233" s="25">
        <v>47.85</v>
      </c>
      <c r="H7233" s="379">
        <v>19.339372488681352</v>
      </c>
      <c r="I7233" s="25">
        <v>66.73</v>
      </c>
      <c r="J7233" s="379">
        <v>5.921431454523419</v>
      </c>
    </row>
    <row r="7234" spans="1:10" x14ac:dyDescent="0.35">
      <c r="A7234" s="5">
        <v>7230</v>
      </c>
      <c r="B7234" s="5">
        <v>302</v>
      </c>
      <c r="C7234" s="5">
        <v>10</v>
      </c>
      <c r="D7234" s="379">
        <v>35.124999999999993</v>
      </c>
      <c r="E7234" s="25">
        <v>25.74</v>
      </c>
      <c r="F7234" s="379">
        <v>16.555521888963998</v>
      </c>
      <c r="G7234" s="25">
        <v>55.83</v>
      </c>
      <c r="H7234" s="379">
        <v>17.531198758686145</v>
      </c>
      <c r="I7234" s="25">
        <v>72.19</v>
      </c>
      <c r="J7234" s="379">
        <v>6.6801321411490582</v>
      </c>
    </row>
    <row r="7235" spans="1:10" x14ac:dyDescent="0.35">
      <c r="A7235" s="5">
        <v>7231</v>
      </c>
      <c r="B7235" s="5">
        <v>302</v>
      </c>
      <c r="C7235" s="5">
        <v>10</v>
      </c>
      <c r="D7235" s="379">
        <v>37.36055555555555</v>
      </c>
      <c r="E7235" s="25">
        <v>30.91</v>
      </c>
      <c r="F7235" s="379">
        <v>16.086507385092716</v>
      </c>
      <c r="G7235" s="25">
        <v>60.51</v>
      </c>
      <c r="H7235" s="379">
        <v>16.618862384791353</v>
      </c>
      <c r="I7235" s="25">
        <v>623.48</v>
      </c>
      <c r="J7235" s="379">
        <v>7.4199809275114186</v>
      </c>
    </row>
    <row r="7236" spans="1:10" x14ac:dyDescent="0.35">
      <c r="A7236" s="5">
        <v>7232</v>
      </c>
      <c r="B7236" s="5">
        <v>302</v>
      </c>
      <c r="C7236" s="5">
        <v>10</v>
      </c>
      <c r="D7236" s="379">
        <v>40.168888888888887</v>
      </c>
      <c r="E7236" s="25">
        <v>30.91</v>
      </c>
      <c r="F7236" s="379">
        <v>16.99523460985931</v>
      </c>
      <c r="G7236" s="25">
        <v>62.12</v>
      </c>
      <c r="H7236" s="379">
        <v>15.683427358635949</v>
      </c>
      <c r="I7236" s="25">
        <v>843.72</v>
      </c>
      <c r="J7236" s="379">
        <v>7.4199809275114186</v>
      </c>
    </row>
    <row r="7237" spans="1:10" x14ac:dyDescent="0.35">
      <c r="A7237" s="5">
        <v>7233</v>
      </c>
      <c r="B7237" s="5">
        <v>302</v>
      </c>
      <c r="C7237" s="5">
        <v>10</v>
      </c>
      <c r="D7237" s="379">
        <v>39.387777777777778</v>
      </c>
      <c r="E7237" s="25">
        <v>30.91</v>
      </c>
      <c r="F7237" s="379">
        <v>17.380014958142215</v>
      </c>
      <c r="G7237" s="25">
        <v>60.51</v>
      </c>
      <c r="H7237" s="379">
        <v>16.93667687818154</v>
      </c>
      <c r="I7237" s="25">
        <v>819.14</v>
      </c>
      <c r="J7237" s="379">
        <v>7.4199809275114186</v>
      </c>
    </row>
    <row r="7238" spans="1:10" x14ac:dyDescent="0.35">
      <c r="A7238" s="5">
        <v>7234</v>
      </c>
      <c r="B7238" s="5">
        <v>302</v>
      </c>
      <c r="C7238" s="5">
        <v>10</v>
      </c>
      <c r="D7238" s="379">
        <v>36.866111111111117</v>
      </c>
      <c r="E7238" s="25">
        <v>30.91</v>
      </c>
      <c r="F7238" s="379">
        <v>14.98470741924393</v>
      </c>
      <c r="G7238" s="25">
        <v>60.51</v>
      </c>
      <c r="H7238" s="379">
        <v>14.326463474753753</v>
      </c>
      <c r="I7238" s="25">
        <v>623.48</v>
      </c>
      <c r="J7238" s="379">
        <v>4.2954124008607302</v>
      </c>
    </row>
    <row r="7239" spans="1:10" x14ac:dyDescent="0.35">
      <c r="A7239" s="5">
        <v>7235</v>
      </c>
      <c r="B7239" s="5">
        <v>302</v>
      </c>
      <c r="C7239" s="5">
        <v>10</v>
      </c>
      <c r="D7239" s="379">
        <v>35.239999999999995</v>
      </c>
      <c r="E7239" s="25">
        <v>27.33</v>
      </c>
      <c r="F7239" s="379">
        <v>12.30216977223315</v>
      </c>
      <c r="G7239" s="25">
        <v>56.29</v>
      </c>
      <c r="H7239" s="379">
        <v>11.114793415682913</v>
      </c>
      <c r="I7239" s="25">
        <v>77.72</v>
      </c>
      <c r="J7239" s="379">
        <v>5.6778392666509392</v>
      </c>
    </row>
    <row r="7240" spans="1:10" x14ac:dyDescent="0.35">
      <c r="A7240" s="5">
        <v>7236</v>
      </c>
      <c r="B7240" s="5">
        <v>302</v>
      </c>
      <c r="C7240" s="5">
        <v>10</v>
      </c>
      <c r="D7240" s="379">
        <v>34.176111111111105</v>
      </c>
      <c r="E7240" s="25">
        <v>27.33</v>
      </c>
      <c r="F7240" s="379">
        <v>13.02854871924662</v>
      </c>
      <c r="G7240" s="25">
        <v>48.33</v>
      </c>
      <c r="H7240" s="379">
        <v>10.745889964996556</v>
      </c>
      <c r="I7240" s="25">
        <v>72.19</v>
      </c>
      <c r="J7240" s="379">
        <v>5.7175189220256852</v>
      </c>
    </row>
    <row r="7241" spans="1:10" x14ac:dyDescent="0.35">
      <c r="A7241" s="5">
        <v>7237</v>
      </c>
      <c r="B7241" s="5">
        <v>302</v>
      </c>
      <c r="C7241" s="5">
        <v>10</v>
      </c>
      <c r="D7241" s="379">
        <v>32.653333333333329</v>
      </c>
      <c r="E7241" s="25">
        <v>27.3</v>
      </c>
      <c r="F7241" s="379">
        <v>22.124683939149524</v>
      </c>
      <c r="G7241" s="25">
        <v>47.85</v>
      </c>
      <c r="H7241" s="379">
        <v>10.973899141695549</v>
      </c>
      <c r="I7241" s="25">
        <v>66.06</v>
      </c>
      <c r="J7241" s="379">
        <v>6.6113122434128133</v>
      </c>
    </row>
    <row r="7242" spans="1:10" x14ac:dyDescent="0.35">
      <c r="A7242" s="5">
        <v>7238</v>
      </c>
      <c r="B7242" s="5">
        <v>302</v>
      </c>
      <c r="C7242" s="5">
        <v>10</v>
      </c>
      <c r="D7242" s="379">
        <v>33.088888888888881</v>
      </c>
      <c r="E7242" s="25">
        <v>26.51</v>
      </c>
      <c r="F7242" s="379">
        <v>21.401266521047084</v>
      </c>
      <c r="G7242" s="25">
        <v>47.85</v>
      </c>
      <c r="H7242" s="379">
        <v>10.849119727880282</v>
      </c>
      <c r="I7242" s="25">
        <v>66.06</v>
      </c>
      <c r="J7242" s="379">
        <v>6.4294191963448917</v>
      </c>
    </row>
    <row r="7243" spans="1:10" x14ac:dyDescent="0.35">
      <c r="A7243" s="5">
        <v>7239</v>
      </c>
      <c r="B7243" s="5">
        <v>302</v>
      </c>
      <c r="C7243" s="5">
        <v>10</v>
      </c>
      <c r="D7243" s="379">
        <v>34.008333333333333</v>
      </c>
      <c r="E7243" s="25">
        <v>26.51</v>
      </c>
      <c r="F7243" s="379">
        <v>24.382366223901926</v>
      </c>
      <c r="G7243" s="25">
        <v>47.85</v>
      </c>
      <c r="H7243" s="379">
        <v>9.1482467061372024</v>
      </c>
      <c r="I7243" s="25">
        <v>66.06</v>
      </c>
      <c r="J7243" s="379">
        <v>6.5305472381145355</v>
      </c>
    </row>
    <row r="7244" spans="1:10" x14ac:dyDescent="0.35">
      <c r="A7244" s="5">
        <v>7240</v>
      </c>
      <c r="B7244" s="5">
        <v>302</v>
      </c>
      <c r="C7244" s="5">
        <v>10</v>
      </c>
      <c r="D7244" s="379">
        <v>36.527777777777779</v>
      </c>
      <c r="E7244" s="25">
        <v>27.33</v>
      </c>
      <c r="F7244" s="379">
        <v>26.022652701247168</v>
      </c>
      <c r="G7244" s="25">
        <v>47.85</v>
      </c>
      <c r="H7244" s="379">
        <v>6.2774327765569806</v>
      </c>
      <c r="I7244" s="25">
        <v>66.06</v>
      </c>
      <c r="J7244" s="379">
        <v>2.2502191674475251</v>
      </c>
    </row>
    <row r="7245" spans="1:10" x14ac:dyDescent="0.35">
      <c r="A7245" s="5">
        <v>7241</v>
      </c>
      <c r="B7245" s="5">
        <v>302</v>
      </c>
      <c r="C7245" s="5">
        <v>10</v>
      </c>
      <c r="D7245" s="379">
        <v>38.059444444444445</v>
      </c>
      <c r="E7245" s="25">
        <v>30.91</v>
      </c>
      <c r="F7245" s="379">
        <v>25.797812417671473</v>
      </c>
      <c r="G7245" s="25">
        <v>48.33</v>
      </c>
      <c r="H7245" s="379">
        <v>22.260427641562533</v>
      </c>
      <c r="I7245" s="25">
        <v>70.09</v>
      </c>
      <c r="J7245" s="379">
        <v>2.2502191674475251</v>
      </c>
    </row>
    <row r="7246" spans="1:10" x14ac:dyDescent="0.35">
      <c r="A7246" s="5">
        <v>7242</v>
      </c>
      <c r="B7246" s="5">
        <v>302</v>
      </c>
      <c r="C7246" s="5">
        <v>10</v>
      </c>
      <c r="D7246" s="379">
        <v>41.626111111111108</v>
      </c>
      <c r="E7246" s="25">
        <v>30.91</v>
      </c>
      <c r="F7246" s="379">
        <v>28.649726650287555</v>
      </c>
      <c r="G7246" s="25">
        <v>56.29</v>
      </c>
      <c r="H7246" s="379">
        <v>22.593900992759664</v>
      </c>
      <c r="I7246" s="25">
        <v>603.30999999999995</v>
      </c>
      <c r="J7246" s="379">
        <v>3.780389687642649</v>
      </c>
    </row>
    <row r="7247" spans="1:10" x14ac:dyDescent="0.35">
      <c r="A7247" s="5">
        <v>7243</v>
      </c>
      <c r="B7247" s="5">
        <v>302</v>
      </c>
      <c r="C7247" s="5">
        <v>10</v>
      </c>
      <c r="D7247" s="379">
        <v>40.216111111111097</v>
      </c>
      <c r="E7247" s="25">
        <v>30.91</v>
      </c>
      <c r="F7247" s="379">
        <v>26.218936121019897</v>
      </c>
      <c r="G7247" s="25">
        <v>56.29</v>
      </c>
      <c r="H7247" s="379">
        <v>22.119562879965695</v>
      </c>
      <c r="I7247" s="25">
        <v>623.48</v>
      </c>
      <c r="J7247" s="379">
        <v>2.672280349728672</v>
      </c>
    </row>
    <row r="7248" spans="1:10" x14ac:dyDescent="0.35">
      <c r="A7248" s="5">
        <v>7244</v>
      </c>
      <c r="B7248" s="5">
        <v>302</v>
      </c>
      <c r="C7248" s="5">
        <v>10</v>
      </c>
      <c r="D7248" s="379">
        <v>36.962777777777767</v>
      </c>
      <c r="E7248" s="25">
        <v>28.15</v>
      </c>
      <c r="F7248" s="379">
        <v>25.681837839119211</v>
      </c>
      <c r="G7248" s="25">
        <v>48.33</v>
      </c>
      <c r="H7248" s="379">
        <v>20.470796014864174</v>
      </c>
      <c r="I7248" s="25">
        <v>77.72</v>
      </c>
      <c r="J7248" s="379">
        <v>2.2502191674475251</v>
      </c>
    </row>
    <row r="7249" spans="1:10" x14ac:dyDescent="0.35">
      <c r="A7249" s="5">
        <v>7245</v>
      </c>
      <c r="B7249" s="5">
        <v>302</v>
      </c>
      <c r="C7249" s="5">
        <v>10</v>
      </c>
      <c r="D7249" s="379">
        <v>35.642222222222223</v>
      </c>
      <c r="E7249" s="25">
        <v>26.51</v>
      </c>
      <c r="F7249" s="379">
        <v>25.681837839119211</v>
      </c>
      <c r="G7249" s="25">
        <v>47.85</v>
      </c>
      <c r="H7249" s="379">
        <v>19.703333397684549</v>
      </c>
      <c r="I7249" s="25">
        <v>70.09</v>
      </c>
      <c r="J7249" s="379">
        <v>2.0147039740057124</v>
      </c>
    </row>
    <row r="7250" spans="1:10" x14ac:dyDescent="0.35">
      <c r="A7250" s="5">
        <v>7246</v>
      </c>
      <c r="B7250" s="5">
        <v>302</v>
      </c>
      <c r="C7250" s="5">
        <v>10</v>
      </c>
      <c r="D7250" s="379">
        <v>34.268333333333338</v>
      </c>
      <c r="E7250" s="25">
        <v>25.74</v>
      </c>
      <c r="F7250" s="379">
        <v>26.381234349980911</v>
      </c>
      <c r="G7250" s="25">
        <v>47.85</v>
      </c>
      <c r="H7250" s="379">
        <v>17.985061968083667</v>
      </c>
      <c r="I7250" s="25">
        <v>68.73</v>
      </c>
      <c r="J7250" s="379">
        <v>2.0147039740057124</v>
      </c>
    </row>
    <row r="7251" spans="1:10" x14ac:dyDescent="0.35">
      <c r="A7251" s="5">
        <v>7247</v>
      </c>
      <c r="B7251" s="5">
        <v>302</v>
      </c>
      <c r="C7251" s="5">
        <v>10</v>
      </c>
      <c r="D7251" s="379">
        <v>33.969444444444441</v>
      </c>
      <c r="E7251" s="25">
        <v>24.99</v>
      </c>
      <c r="F7251" s="379">
        <v>24.428573937656321</v>
      </c>
      <c r="G7251" s="25">
        <v>47.85</v>
      </c>
      <c r="H7251" s="379">
        <v>17.902194141161271</v>
      </c>
      <c r="I7251" s="25">
        <v>66.73</v>
      </c>
      <c r="J7251" s="379">
        <v>2.0147039740057124</v>
      </c>
    </row>
    <row r="7252" spans="1:10" x14ac:dyDescent="0.35">
      <c r="A7252" s="5">
        <v>7248</v>
      </c>
      <c r="B7252" s="5">
        <v>302</v>
      </c>
      <c r="C7252" s="5">
        <v>10</v>
      </c>
      <c r="D7252" s="379">
        <v>34.223888888888887</v>
      </c>
      <c r="E7252" s="25">
        <v>24.84</v>
      </c>
      <c r="F7252" s="379">
        <v>23.569048971064063</v>
      </c>
      <c r="G7252" s="25">
        <v>44.48</v>
      </c>
      <c r="H7252" s="379">
        <v>17.406290757278718</v>
      </c>
      <c r="I7252" s="25">
        <v>64.14</v>
      </c>
      <c r="J7252" s="379">
        <v>6.1780895346881364</v>
      </c>
    </row>
    <row r="7253" spans="1:10" x14ac:dyDescent="0.35">
      <c r="A7253" s="5">
        <v>7249</v>
      </c>
      <c r="B7253" s="5">
        <v>303</v>
      </c>
      <c r="C7253" s="5">
        <v>10</v>
      </c>
      <c r="D7253" s="379">
        <v>32.922222222222224</v>
      </c>
      <c r="E7253" s="25">
        <v>24.84</v>
      </c>
      <c r="F7253" s="379">
        <v>23.261737155930255</v>
      </c>
      <c r="G7253" s="25">
        <v>42.29</v>
      </c>
      <c r="H7253" s="379">
        <v>17.374530238095588</v>
      </c>
      <c r="I7253" s="25">
        <v>50.7</v>
      </c>
      <c r="J7253" s="379">
        <v>4.3035516607528601</v>
      </c>
    </row>
    <row r="7254" spans="1:10" x14ac:dyDescent="0.35">
      <c r="A7254" s="5">
        <v>7250</v>
      </c>
      <c r="B7254" s="5">
        <v>303</v>
      </c>
      <c r="C7254" s="5">
        <v>10</v>
      </c>
      <c r="D7254" s="379">
        <v>32.713333333333331</v>
      </c>
      <c r="E7254" s="25">
        <v>24.84</v>
      </c>
      <c r="F7254" s="379">
        <v>23.224868312427521</v>
      </c>
      <c r="G7254" s="25">
        <v>42.29</v>
      </c>
      <c r="H7254" s="379">
        <v>16.685792549053247</v>
      </c>
      <c r="I7254" s="25">
        <v>50.7</v>
      </c>
      <c r="J7254" s="379">
        <v>2.6430669906709756</v>
      </c>
    </row>
    <row r="7255" spans="1:10" x14ac:dyDescent="0.35">
      <c r="A7255" s="5">
        <v>7251</v>
      </c>
      <c r="B7255" s="5">
        <v>303</v>
      </c>
      <c r="C7255" s="5">
        <v>10</v>
      </c>
      <c r="D7255" s="379">
        <v>32.186666666666667</v>
      </c>
      <c r="E7255" s="25">
        <v>24.84</v>
      </c>
      <c r="F7255" s="379">
        <v>23.095377560654114</v>
      </c>
      <c r="G7255" s="25">
        <v>42.29</v>
      </c>
      <c r="H7255" s="379">
        <v>13.750576902175268</v>
      </c>
      <c r="I7255" s="25">
        <v>50.19</v>
      </c>
      <c r="J7255" s="379">
        <v>3.9095642030306688</v>
      </c>
    </row>
    <row r="7256" spans="1:10" x14ac:dyDescent="0.35">
      <c r="A7256" s="5">
        <v>7252</v>
      </c>
      <c r="B7256" s="5">
        <v>303</v>
      </c>
      <c r="C7256" s="5">
        <v>10</v>
      </c>
      <c r="D7256" s="379">
        <v>32.391111111111108</v>
      </c>
      <c r="E7256" s="25">
        <v>24.84</v>
      </c>
      <c r="F7256" s="379">
        <v>23.25473949072024</v>
      </c>
      <c r="G7256" s="25">
        <v>42.29</v>
      </c>
      <c r="H7256" s="379">
        <v>11.083128544657979</v>
      </c>
      <c r="I7256" s="25">
        <v>50.19</v>
      </c>
      <c r="J7256" s="379">
        <v>2.2502191674475243</v>
      </c>
    </row>
    <row r="7257" spans="1:10" x14ac:dyDescent="0.35">
      <c r="A7257" s="5">
        <v>7253</v>
      </c>
      <c r="B7257" s="5">
        <v>303</v>
      </c>
      <c r="C7257" s="5">
        <v>10</v>
      </c>
      <c r="D7257" s="379">
        <v>32.68555555555556</v>
      </c>
      <c r="E7257" s="25">
        <v>24.84</v>
      </c>
      <c r="F7257" s="379">
        <v>22.945464128129647</v>
      </c>
      <c r="G7257" s="25">
        <v>42.29</v>
      </c>
      <c r="H7257" s="379">
        <v>11.074229687615514</v>
      </c>
      <c r="I7257" s="25">
        <v>50.19</v>
      </c>
      <c r="J7257" s="379">
        <v>4.5063019991301374</v>
      </c>
    </row>
    <row r="7258" spans="1:10" x14ac:dyDescent="0.35">
      <c r="A7258" s="5">
        <v>7254</v>
      </c>
      <c r="B7258" s="5">
        <v>303</v>
      </c>
      <c r="C7258" s="5">
        <v>10</v>
      </c>
      <c r="D7258" s="379">
        <v>33.150555555555556</v>
      </c>
      <c r="E7258" s="25">
        <v>24.84</v>
      </c>
      <c r="F7258" s="379">
        <v>22.848568677175187</v>
      </c>
      <c r="G7258" s="25">
        <v>42.29</v>
      </c>
      <c r="H7258" s="379">
        <v>12.26200085011339</v>
      </c>
      <c r="I7258" s="25">
        <v>50.7</v>
      </c>
      <c r="J7258" s="379">
        <v>2.8610889760566391</v>
      </c>
    </row>
    <row r="7259" spans="1:10" x14ac:dyDescent="0.35">
      <c r="A7259" s="5">
        <v>7255</v>
      </c>
      <c r="B7259" s="5">
        <v>303</v>
      </c>
      <c r="C7259" s="5">
        <v>10</v>
      </c>
      <c r="D7259" s="379">
        <v>34.102222222222217</v>
      </c>
      <c r="E7259" s="25">
        <v>24.84</v>
      </c>
      <c r="F7259" s="379">
        <v>22.868918959715455</v>
      </c>
      <c r="G7259" s="25">
        <v>42.71</v>
      </c>
      <c r="H7259" s="379">
        <v>11.180684916160967</v>
      </c>
      <c r="I7259" s="25">
        <v>51.02</v>
      </c>
      <c r="J7259" s="379">
        <v>3.6667384383273789</v>
      </c>
    </row>
    <row r="7260" spans="1:10" x14ac:dyDescent="0.35">
      <c r="A7260" s="5">
        <v>7256</v>
      </c>
      <c r="B7260" s="5">
        <v>303</v>
      </c>
      <c r="C7260" s="5">
        <v>10</v>
      </c>
      <c r="D7260" s="379">
        <v>35.636666666666663</v>
      </c>
      <c r="E7260" s="25">
        <v>24.84</v>
      </c>
      <c r="F7260" s="379">
        <v>23.75230646004719</v>
      </c>
      <c r="G7260" s="25">
        <v>43.56</v>
      </c>
      <c r="H7260" s="379">
        <v>9.7318887691618627</v>
      </c>
      <c r="I7260" s="25">
        <v>56.77</v>
      </c>
      <c r="J7260" s="379">
        <v>3.700328977423935</v>
      </c>
    </row>
    <row r="7261" spans="1:10" x14ac:dyDescent="0.35">
      <c r="A7261" s="5">
        <v>7257</v>
      </c>
      <c r="B7261" s="5">
        <v>303</v>
      </c>
      <c r="C7261" s="5">
        <v>10</v>
      </c>
      <c r="D7261" s="379">
        <v>37.140555555555551</v>
      </c>
      <c r="E7261" s="25">
        <v>24.99</v>
      </c>
      <c r="F7261" s="379">
        <v>20.140960190488673</v>
      </c>
      <c r="G7261" s="25">
        <v>43.56</v>
      </c>
      <c r="H7261" s="379">
        <v>6.3581250561305049</v>
      </c>
      <c r="I7261" s="25">
        <v>59.05</v>
      </c>
      <c r="J7261" s="379">
        <v>6.9891791513239765</v>
      </c>
    </row>
    <row r="7262" spans="1:10" x14ac:dyDescent="0.35">
      <c r="A7262" s="5">
        <v>7258</v>
      </c>
      <c r="B7262" s="5">
        <v>303</v>
      </c>
      <c r="C7262" s="5">
        <v>10</v>
      </c>
      <c r="D7262" s="379">
        <v>35.571111111111108</v>
      </c>
      <c r="E7262" s="25">
        <v>24.99</v>
      </c>
      <c r="F7262" s="379">
        <v>14.989116267227375</v>
      </c>
      <c r="G7262" s="25">
        <v>43.56</v>
      </c>
      <c r="H7262" s="379">
        <v>5.604727324858807</v>
      </c>
      <c r="I7262" s="25">
        <v>56.41</v>
      </c>
      <c r="J7262" s="379">
        <v>6.772822102661948</v>
      </c>
    </row>
    <row r="7263" spans="1:10" x14ac:dyDescent="0.35">
      <c r="A7263" s="5">
        <v>7259</v>
      </c>
      <c r="B7263" s="5">
        <v>303</v>
      </c>
      <c r="C7263" s="5">
        <v>10</v>
      </c>
      <c r="D7263" s="379">
        <v>34.647777777777776</v>
      </c>
      <c r="E7263" s="25">
        <v>24.84</v>
      </c>
      <c r="F7263" s="379">
        <v>15.944344964163944</v>
      </c>
      <c r="G7263" s="25">
        <v>43.56</v>
      </c>
      <c r="H7263" s="379">
        <v>4.799693804694658</v>
      </c>
      <c r="I7263" s="25">
        <v>50.7</v>
      </c>
      <c r="J7263" s="379">
        <v>0.27777777777777779</v>
      </c>
    </row>
    <row r="7264" spans="1:10" x14ac:dyDescent="0.35">
      <c r="A7264" s="5">
        <v>7260</v>
      </c>
      <c r="B7264" s="5">
        <v>303</v>
      </c>
      <c r="C7264" s="5">
        <v>10</v>
      </c>
      <c r="D7264" s="379">
        <v>34.80888888888888</v>
      </c>
      <c r="E7264" s="25">
        <v>24.84</v>
      </c>
      <c r="F7264" s="379">
        <v>14.97736382652017</v>
      </c>
      <c r="G7264" s="25">
        <v>43.56</v>
      </c>
      <c r="H7264" s="379">
        <v>4.799693804694658</v>
      </c>
      <c r="I7264" s="25">
        <v>50.19</v>
      </c>
      <c r="J7264" s="379">
        <v>4.821930918849386</v>
      </c>
    </row>
    <row r="7265" spans="1:10" x14ac:dyDescent="0.35">
      <c r="A7265" s="5">
        <v>7261</v>
      </c>
      <c r="B7265" s="5">
        <v>303</v>
      </c>
      <c r="C7265" s="5">
        <v>10</v>
      </c>
      <c r="D7265" s="379">
        <v>35.662777777777784</v>
      </c>
      <c r="E7265" s="25">
        <v>24.84</v>
      </c>
      <c r="F7265" s="379">
        <v>16.912667398386667</v>
      </c>
      <c r="G7265" s="25">
        <v>43.56</v>
      </c>
      <c r="H7265" s="379">
        <v>6.3598686767947514</v>
      </c>
      <c r="I7265" s="25">
        <v>50.19</v>
      </c>
      <c r="J7265" s="379">
        <v>0.27777777777777779</v>
      </c>
    </row>
    <row r="7266" spans="1:10" x14ac:dyDescent="0.35">
      <c r="A7266" s="5">
        <v>7262</v>
      </c>
      <c r="B7266" s="5">
        <v>303</v>
      </c>
      <c r="C7266" s="5">
        <v>10</v>
      </c>
      <c r="D7266" s="379">
        <v>35.949444444444438</v>
      </c>
      <c r="E7266" s="25">
        <v>24.84</v>
      </c>
      <c r="F7266" s="379">
        <v>17.090448465549539</v>
      </c>
      <c r="G7266" s="25">
        <v>42.71</v>
      </c>
      <c r="H7266" s="379">
        <v>6.4475576321380412</v>
      </c>
      <c r="I7266" s="25">
        <v>50.19</v>
      </c>
      <c r="J7266" s="379">
        <v>0.27777777777777779</v>
      </c>
    </row>
    <row r="7267" spans="1:10" x14ac:dyDescent="0.35">
      <c r="A7267" s="5">
        <v>7263</v>
      </c>
      <c r="B7267" s="5">
        <v>303</v>
      </c>
      <c r="C7267" s="5">
        <v>10</v>
      </c>
      <c r="D7267" s="379">
        <v>37.63111111111111</v>
      </c>
      <c r="E7267" s="25">
        <v>24.84</v>
      </c>
      <c r="F7267" s="379">
        <v>16.501517339329535</v>
      </c>
      <c r="G7267" s="25">
        <v>43.56</v>
      </c>
      <c r="H7267" s="379">
        <v>6.0859000695607826</v>
      </c>
      <c r="I7267" s="25">
        <v>50.19</v>
      </c>
      <c r="J7267" s="379">
        <v>4.8496960667223066</v>
      </c>
    </row>
    <row r="7268" spans="1:10" x14ac:dyDescent="0.35">
      <c r="A7268" s="5">
        <v>7264</v>
      </c>
      <c r="B7268" s="5">
        <v>303</v>
      </c>
      <c r="C7268" s="5">
        <v>10</v>
      </c>
      <c r="D7268" s="379">
        <v>39.816111111111105</v>
      </c>
      <c r="E7268" s="25">
        <v>24.84</v>
      </c>
      <c r="F7268" s="379">
        <v>20.425209509577829</v>
      </c>
      <c r="G7268" s="25">
        <v>43.56</v>
      </c>
      <c r="H7268" s="379">
        <v>8.5736891131147974</v>
      </c>
      <c r="I7268" s="25">
        <v>50.19</v>
      </c>
      <c r="J7268" s="379">
        <v>6.3453155499922183</v>
      </c>
    </row>
    <row r="7269" spans="1:10" x14ac:dyDescent="0.35">
      <c r="A7269" s="5">
        <v>7265</v>
      </c>
      <c r="B7269" s="5">
        <v>303</v>
      </c>
      <c r="C7269" s="5">
        <v>10</v>
      </c>
      <c r="D7269" s="379">
        <v>43.964444444444439</v>
      </c>
      <c r="E7269" s="25">
        <v>24.84</v>
      </c>
      <c r="F7269" s="379">
        <v>23.553777510658865</v>
      </c>
      <c r="G7269" s="25">
        <v>47.85</v>
      </c>
      <c r="H7269" s="379">
        <v>7.4216165309052009</v>
      </c>
      <c r="I7269" s="25">
        <v>50.7</v>
      </c>
      <c r="J7269" s="379">
        <v>0.27777777777777779</v>
      </c>
    </row>
    <row r="7270" spans="1:10" x14ac:dyDescent="0.35">
      <c r="A7270" s="5">
        <v>7266</v>
      </c>
      <c r="B7270" s="5">
        <v>303</v>
      </c>
      <c r="C7270" s="5">
        <v>10</v>
      </c>
      <c r="D7270" s="379">
        <v>48.213333333333324</v>
      </c>
      <c r="E7270" s="25">
        <v>26.51</v>
      </c>
      <c r="F7270" s="379">
        <v>24.050901367426011</v>
      </c>
      <c r="G7270" s="25">
        <v>49.75</v>
      </c>
      <c r="H7270" s="379">
        <v>9.6385171575100834</v>
      </c>
      <c r="I7270" s="25">
        <v>66.06</v>
      </c>
      <c r="J7270" s="379">
        <v>1.8550584787347022</v>
      </c>
    </row>
    <row r="7271" spans="1:10" x14ac:dyDescent="0.35">
      <c r="A7271" s="5">
        <v>7267</v>
      </c>
      <c r="B7271" s="5">
        <v>303</v>
      </c>
      <c r="C7271" s="5">
        <v>10</v>
      </c>
      <c r="D7271" s="379">
        <v>50.281111111111109</v>
      </c>
      <c r="E7271" s="25">
        <v>25.74</v>
      </c>
      <c r="F7271" s="379">
        <v>23.502745233437885</v>
      </c>
      <c r="G7271" s="25">
        <v>49.75</v>
      </c>
      <c r="H7271" s="379">
        <v>4.799693804694658</v>
      </c>
      <c r="I7271" s="25">
        <v>64.14</v>
      </c>
      <c r="J7271" s="379">
        <v>0.27777777777777779</v>
      </c>
    </row>
    <row r="7272" spans="1:10" x14ac:dyDescent="0.35">
      <c r="A7272" s="5">
        <v>7268</v>
      </c>
      <c r="B7272" s="5">
        <v>303</v>
      </c>
      <c r="C7272" s="5">
        <v>10</v>
      </c>
      <c r="D7272" s="379">
        <v>48.476111111111109</v>
      </c>
      <c r="E7272" s="25">
        <v>24.99</v>
      </c>
      <c r="F7272" s="379">
        <v>23.571974390031649</v>
      </c>
      <c r="G7272" s="25">
        <v>47.46</v>
      </c>
      <c r="H7272" s="379">
        <v>8.2928157772341091</v>
      </c>
      <c r="I7272" s="25">
        <v>58.1</v>
      </c>
      <c r="J7272" s="379">
        <v>0.27777777777777779</v>
      </c>
    </row>
    <row r="7273" spans="1:10" x14ac:dyDescent="0.35">
      <c r="A7273" s="5">
        <v>7269</v>
      </c>
      <c r="B7273" s="5">
        <v>303</v>
      </c>
      <c r="C7273" s="5">
        <v>10</v>
      </c>
      <c r="D7273" s="379">
        <v>45.684999999999995</v>
      </c>
      <c r="E7273" s="25">
        <v>24.84</v>
      </c>
      <c r="F7273" s="379">
        <v>21.885702693576526</v>
      </c>
      <c r="G7273" s="25">
        <v>43.56</v>
      </c>
      <c r="H7273" s="379">
        <v>8.9673252933901413</v>
      </c>
      <c r="I7273" s="25">
        <v>56.77</v>
      </c>
      <c r="J7273" s="379">
        <v>0.27777777777777779</v>
      </c>
    </row>
    <row r="7274" spans="1:10" x14ac:dyDescent="0.35">
      <c r="A7274" s="5">
        <v>7270</v>
      </c>
      <c r="B7274" s="5">
        <v>303</v>
      </c>
      <c r="C7274" s="5">
        <v>10</v>
      </c>
      <c r="D7274" s="379">
        <v>44.091111111111111</v>
      </c>
      <c r="E7274" s="25">
        <v>24.84</v>
      </c>
      <c r="F7274" s="379">
        <v>9.1866914002105826</v>
      </c>
      <c r="G7274" s="25">
        <v>43.56</v>
      </c>
      <c r="H7274" s="379">
        <v>8.5753911310830215</v>
      </c>
      <c r="I7274" s="25">
        <v>55.84</v>
      </c>
      <c r="J7274" s="379">
        <v>3.9352151542034406</v>
      </c>
    </row>
    <row r="7275" spans="1:10" x14ac:dyDescent="0.35">
      <c r="A7275" s="5">
        <v>7271</v>
      </c>
      <c r="B7275" s="5">
        <v>303</v>
      </c>
      <c r="C7275" s="5">
        <v>10</v>
      </c>
      <c r="D7275" s="379">
        <v>41.453888888888883</v>
      </c>
      <c r="E7275" s="25">
        <v>24.84</v>
      </c>
      <c r="F7275" s="379">
        <v>9.0712452983900729</v>
      </c>
      <c r="G7275" s="25">
        <v>43.56</v>
      </c>
      <c r="H7275" s="379">
        <v>7.5572237242092219</v>
      </c>
      <c r="I7275" s="25">
        <v>53.71</v>
      </c>
      <c r="J7275" s="379">
        <v>3.2676287810621183</v>
      </c>
    </row>
    <row r="7276" spans="1:10" x14ac:dyDescent="0.35">
      <c r="A7276" s="5">
        <v>7272</v>
      </c>
      <c r="B7276" s="5">
        <v>303</v>
      </c>
      <c r="C7276" s="5">
        <v>10</v>
      </c>
      <c r="D7276" s="379">
        <v>39.403888888888886</v>
      </c>
      <c r="E7276" s="25">
        <v>24.84</v>
      </c>
      <c r="F7276" s="379">
        <v>9.0439868815970694</v>
      </c>
      <c r="G7276" s="25">
        <v>42.29</v>
      </c>
      <c r="H7276" s="379">
        <v>9.5211521439350335</v>
      </c>
      <c r="I7276" s="25">
        <v>50.7</v>
      </c>
      <c r="J7276" s="379">
        <v>4.5151689817379541</v>
      </c>
    </row>
    <row r="7277" spans="1:10" x14ac:dyDescent="0.35">
      <c r="A7277" s="5">
        <v>7273</v>
      </c>
      <c r="B7277" s="5">
        <v>304</v>
      </c>
      <c r="C7277" s="5">
        <v>10</v>
      </c>
      <c r="D7277" s="379">
        <v>43.746111111111105</v>
      </c>
      <c r="E7277" s="25">
        <v>24.84</v>
      </c>
      <c r="F7277" s="379">
        <v>8.9884362277121408</v>
      </c>
      <c r="G7277" s="25">
        <v>42.2</v>
      </c>
      <c r="H7277" s="379">
        <v>9.8579869410084608</v>
      </c>
      <c r="I7277" s="25">
        <v>37.979999999999997</v>
      </c>
      <c r="J7277" s="379">
        <v>5.8377399609656981</v>
      </c>
    </row>
    <row r="7278" spans="1:10" x14ac:dyDescent="0.35">
      <c r="A7278" s="5">
        <v>7274</v>
      </c>
      <c r="B7278" s="5">
        <v>304</v>
      </c>
      <c r="C7278" s="5">
        <v>10</v>
      </c>
      <c r="D7278" s="379">
        <v>42.339444444444446</v>
      </c>
      <c r="E7278" s="25">
        <v>24.84</v>
      </c>
      <c r="F7278" s="379">
        <v>9.0723876883331336</v>
      </c>
      <c r="G7278" s="25">
        <v>42.2</v>
      </c>
      <c r="H7278" s="379">
        <v>9.1081264760255145</v>
      </c>
      <c r="I7278" s="25">
        <v>37.979999999999997</v>
      </c>
      <c r="J7278" s="379">
        <v>5.7902939854484456</v>
      </c>
    </row>
    <row r="7279" spans="1:10" x14ac:dyDescent="0.35">
      <c r="A7279" s="5">
        <v>7275</v>
      </c>
      <c r="B7279" s="5">
        <v>304</v>
      </c>
      <c r="C7279" s="5">
        <v>10</v>
      </c>
      <c r="D7279" s="379">
        <v>41.597777777777779</v>
      </c>
      <c r="E7279" s="25">
        <v>24.84</v>
      </c>
      <c r="F7279" s="379">
        <v>9.1146956198483373</v>
      </c>
      <c r="G7279" s="25">
        <v>42.2</v>
      </c>
      <c r="H7279" s="379">
        <v>9.0873892341220337</v>
      </c>
      <c r="I7279" s="25">
        <v>37.979999999999997</v>
      </c>
      <c r="J7279" s="379">
        <v>5.2779173000985695</v>
      </c>
    </row>
    <row r="7280" spans="1:10" x14ac:dyDescent="0.35">
      <c r="A7280" s="5">
        <v>7276</v>
      </c>
      <c r="B7280" s="5">
        <v>304</v>
      </c>
      <c r="C7280" s="5">
        <v>10</v>
      </c>
      <c r="D7280" s="379">
        <v>41.311666666666667</v>
      </c>
      <c r="E7280" s="25">
        <v>24.84</v>
      </c>
      <c r="F7280" s="379">
        <v>9.1318122528164825</v>
      </c>
      <c r="G7280" s="25">
        <v>42.2</v>
      </c>
      <c r="H7280" s="379">
        <v>8.5292782913922718</v>
      </c>
      <c r="I7280" s="25">
        <v>37.979999999999997</v>
      </c>
      <c r="J7280" s="379">
        <v>5.7297705266617092</v>
      </c>
    </row>
    <row r="7281" spans="1:10" x14ac:dyDescent="0.35">
      <c r="A7281" s="5">
        <v>7277</v>
      </c>
      <c r="B7281" s="5">
        <v>304</v>
      </c>
      <c r="C7281" s="5">
        <v>10</v>
      </c>
      <c r="D7281" s="379">
        <v>44.04666666666666</v>
      </c>
      <c r="E7281" s="25">
        <v>24.84</v>
      </c>
      <c r="F7281" s="379">
        <v>9.1329379067631038</v>
      </c>
      <c r="G7281" s="25">
        <v>42.2</v>
      </c>
      <c r="H7281" s="379">
        <v>9.2835181147471992</v>
      </c>
      <c r="I7281" s="25">
        <v>37.979999999999997</v>
      </c>
      <c r="J7281" s="379">
        <v>5.635176918386426</v>
      </c>
    </row>
    <row r="7282" spans="1:10" x14ac:dyDescent="0.35">
      <c r="A7282" s="5">
        <v>7278</v>
      </c>
      <c r="B7282" s="5">
        <v>304</v>
      </c>
      <c r="C7282" s="5">
        <v>10</v>
      </c>
      <c r="D7282" s="379">
        <v>46.092222222222219</v>
      </c>
      <c r="E7282" s="25">
        <v>24.84</v>
      </c>
      <c r="F7282" s="379">
        <v>9.0446471341545944</v>
      </c>
      <c r="G7282" s="25">
        <v>42.2</v>
      </c>
      <c r="H7282" s="379">
        <v>8.8005307727045388</v>
      </c>
      <c r="I7282" s="25">
        <v>37.979999999999997</v>
      </c>
      <c r="J7282" s="379">
        <v>5.5685405372602839</v>
      </c>
    </row>
    <row r="7283" spans="1:10" x14ac:dyDescent="0.35">
      <c r="A7283" s="5">
        <v>7279</v>
      </c>
      <c r="B7283" s="5">
        <v>304</v>
      </c>
      <c r="C7283" s="5">
        <v>10</v>
      </c>
      <c r="D7283" s="379">
        <v>50.458333333333336</v>
      </c>
      <c r="E7283" s="25">
        <v>24.84</v>
      </c>
      <c r="F7283" s="379">
        <v>9.0027249503937483</v>
      </c>
      <c r="G7283" s="25">
        <v>42.2</v>
      </c>
      <c r="H7283" s="379">
        <v>7.2119942377126671</v>
      </c>
      <c r="I7283" s="25">
        <v>37.979999999999997</v>
      </c>
      <c r="J7283" s="379">
        <v>4.0038706021109043</v>
      </c>
    </row>
    <row r="7284" spans="1:10" x14ac:dyDescent="0.35">
      <c r="A7284" s="5">
        <v>7280</v>
      </c>
      <c r="B7284" s="5">
        <v>304</v>
      </c>
      <c r="C7284" s="5">
        <v>10</v>
      </c>
      <c r="D7284" s="379">
        <v>54.12444444444445</v>
      </c>
      <c r="E7284" s="25">
        <v>24.84</v>
      </c>
      <c r="F7284" s="379">
        <v>9.8385362586535745</v>
      </c>
      <c r="G7284" s="25">
        <v>42.2</v>
      </c>
      <c r="H7284" s="379">
        <v>6.9274240381137231</v>
      </c>
      <c r="I7284" s="25">
        <v>38.270000000000003</v>
      </c>
      <c r="J7284" s="379">
        <v>4.0532764520202003</v>
      </c>
    </row>
    <row r="7285" spans="1:10" x14ac:dyDescent="0.35">
      <c r="A7285" s="5">
        <v>7281</v>
      </c>
      <c r="B7285" s="5">
        <v>304</v>
      </c>
      <c r="C7285" s="5">
        <v>10</v>
      </c>
      <c r="D7285" s="379">
        <v>51.430555555555564</v>
      </c>
      <c r="E7285" s="25">
        <v>24.84</v>
      </c>
      <c r="F7285" s="379">
        <v>8.7368566088310899</v>
      </c>
      <c r="G7285" s="25">
        <v>42.29</v>
      </c>
      <c r="H7285" s="379">
        <v>4.799693804694658</v>
      </c>
      <c r="I7285" s="25">
        <v>38.36</v>
      </c>
      <c r="J7285" s="379">
        <v>6.8138076837362007</v>
      </c>
    </row>
    <row r="7286" spans="1:10" x14ac:dyDescent="0.35">
      <c r="A7286" s="5">
        <v>7282</v>
      </c>
      <c r="B7286" s="5">
        <v>304</v>
      </c>
      <c r="C7286" s="5">
        <v>10</v>
      </c>
      <c r="D7286" s="379">
        <v>48.702222222222218</v>
      </c>
      <c r="E7286" s="25">
        <v>24.84</v>
      </c>
      <c r="F7286" s="379">
        <v>8.1174834595959595</v>
      </c>
      <c r="G7286" s="25">
        <v>42.29</v>
      </c>
      <c r="H7286" s="379">
        <v>4.8258162476922628</v>
      </c>
      <c r="I7286" s="25">
        <v>37.979999999999997</v>
      </c>
      <c r="J7286" s="379">
        <v>2.4413620471981057</v>
      </c>
    </row>
    <row r="7287" spans="1:10" x14ac:dyDescent="0.35">
      <c r="A7287" s="5">
        <v>7283</v>
      </c>
      <c r="B7287" s="5">
        <v>304</v>
      </c>
      <c r="C7287" s="5">
        <v>10</v>
      </c>
      <c r="D7287" s="379">
        <v>46.713888888888881</v>
      </c>
      <c r="E7287" s="25">
        <v>24.84</v>
      </c>
      <c r="F7287" s="379">
        <v>0.47222222222222221</v>
      </c>
      <c r="G7287" s="25">
        <v>42.2</v>
      </c>
      <c r="H7287" s="379">
        <v>4.626278410518796</v>
      </c>
      <c r="I7287" s="25">
        <v>37.979999999999997</v>
      </c>
      <c r="J7287" s="379">
        <v>2.4065966498088649</v>
      </c>
    </row>
    <row r="7288" spans="1:10" x14ac:dyDescent="0.35">
      <c r="A7288" s="5">
        <v>7284</v>
      </c>
      <c r="B7288" s="5">
        <v>304</v>
      </c>
      <c r="C7288" s="5">
        <v>10</v>
      </c>
      <c r="D7288" s="379">
        <v>46.107777777777777</v>
      </c>
      <c r="E7288" s="25">
        <v>24.84</v>
      </c>
      <c r="F7288" s="379">
        <v>5.3837097714493884</v>
      </c>
      <c r="G7288" s="25">
        <v>42.2</v>
      </c>
      <c r="H7288" s="379">
        <v>4.3948376448343378</v>
      </c>
      <c r="I7288" s="25">
        <v>37.979999999999997</v>
      </c>
      <c r="J7288" s="379">
        <v>2.4065966498088649</v>
      </c>
    </row>
    <row r="7289" spans="1:10" x14ac:dyDescent="0.35">
      <c r="A7289" s="5">
        <v>7285</v>
      </c>
      <c r="B7289" s="5">
        <v>304</v>
      </c>
      <c r="C7289" s="5">
        <v>10</v>
      </c>
      <c r="D7289" s="379">
        <v>44.436666666666675</v>
      </c>
      <c r="E7289" s="25">
        <v>24.84</v>
      </c>
      <c r="F7289" s="379">
        <v>5.3837097714493884</v>
      </c>
      <c r="G7289" s="25">
        <v>42.2</v>
      </c>
      <c r="H7289" s="379">
        <v>4.4025467679919723</v>
      </c>
      <c r="I7289" s="25">
        <v>37.979999999999997</v>
      </c>
      <c r="J7289" s="379">
        <v>2.4065966498088649</v>
      </c>
    </row>
    <row r="7290" spans="1:10" x14ac:dyDescent="0.35">
      <c r="A7290" s="5">
        <v>7286</v>
      </c>
      <c r="B7290" s="5">
        <v>304</v>
      </c>
      <c r="C7290" s="5">
        <v>10</v>
      </c>
      <c r="D7290" s="379">
        <v>45.501666666666672</v>
      </c>
      <c r="E7290" s="25">
        <v>24.84</v>
      </c>
      <c r="F7290" s="379">
        <v>5.3837097714493884</v>
      </c>
      <c r="G7290" s="25">
        <v>42.2</v>
      </c>
      <c r="H7290" s="379">
        <v>4.4025467679919723</v>
      </c>
      <c r="I7290" s="25">
        <v>37.979999999999997</v>
      </c>
      <c r="J7290" s="379">
        <v>2.4987433588806249</v>
      </c>
    </row>
    <row r="7291" spans="1:10" x14ac:dyDescent="0.35">
      <c r="A7291" s="5">
        <v>7287</v>
      </c>
      <c r="B7291" s="5">
        <v>304</v>
      </c>
      <c r="C7291" s="5">
        <v>10</v>
      </c>
      <c r="D7291" s="379">
        <v>46.956111111111106</v>
      </c>
      <c r="E7291" s="25">
        <v>24.84</v>
      </c>
      <c r="F7291" s="379">
        <v>0.81369126356577759</v>
      </c>
      <c r="G7291" s="25">
        <v>42.2</v>
      </c>
      <c r="H7291" s="379">
        <v>0.35336413083672158</v>
      </c>
      <c r="I7291" s="25">
        <v>37.979999999999997</v>
      </c>
      <c r="J7291" s="379">
        <v>2.4607549068428014</v>
      </c>
    </row>
    <row r="7292" spans="1:10" x14ac:dyDescent="0.35">
      <c r="A7292" s="5">
        <v>7288</v>
      </c>
      <c r="B7292" s="5">
        <v>304</v>
      </c>
      <c r="C7292" s="5">
        <v>10</v>
      </c>
      <c r="D7292" s="379">
        <v>50.168333333333337</v>
      </c>
      <c r="E7292" s="25">
        <v>24.84</v>
      </c>
      <c r="F7292" s="379">
        <v>8.1174834595959595</v>
      </c>
      <c r="G7292" s="25">
        <v>42.63</v>
      </c>
      <c r="H7292" s="379">
        <v>7.8312070414379509</v>
      </c>
      <c r="I7292" s="25">
        <v>37.979999999999997</v>
      </c>
      <c r="J7292" s="379">
        <v>0.43748485020564681</v>
      </c>
    </row>
    <row r="7293" spans="1:10" x14ac:dyDescent="0.35">
      <c r="A7293" s="5">
        <v>7289</v>
      </c>
      <c r="B7293" s="5">
        <v>304</v>
      </c>
      <c r="C7293" s="5">
        <v>10</v>
      </c>
      <c r="D7293" s="379">
        <v>51.467222222222219</v>
      </c>
      <c r="E7293" s="25">
        <v>24.84</v>
      </c>
      <c r="F7293" s="379">
        <v>19.445624807989674</v>
      </c>
      <c r="G7293" s="25">
        <v>44.48</v>
      </c>
      <c r="H7293" s="379">
        <v>10.775415180164233</v>
      </c>
      <c r="I7293" s="25">
        <v>50.13</v>
      </c>
      <c r="J7293" s="379">
        <v>8.0560170176128558</v>
      </c>
    </row>
    <row r="7294" spans="1:10" x14ac:dyDescent="0.35">
      <c r="A7294" s="5">
        <v>7290</v>
      </c>
      <c r="B7294" s="5">
        <v>304</v>
      </c>
      <c r="C7294" s="5">
        <v>10</v>
      </c>
      <c r="D7294" s="379">
        <v>54.87222222222222</v>
      </c>
      <c r="E7294" s="25">
        <v>26.05</v>
      </c>
      <c r="F7294" s="379">
        <v>20.88204105375608</v>
      </c>
      <c r="G7294" s="25">
        <v>47.85</v>
      </c>
      <c r="H7294" s="379">
        <v>12.253601951612513</v>
      </c>
      <c r="I7294" s="25">
        <v>56.98</v>
      </c>
      <c r="J7294" s="379">
        <v>7.8936836217631274</v>
      </c>
    </row>
    <row r="7295" spans="1:10" x14ac:dyDescent="0.35">
      <c r="A7295" s="5">
        <v>7291</v>
      </c>
      <c r="B7295" s="5">
        <v>304</v>
      </c>
      <c r="C7295" s="5">
        <v>10</v>
      </c>
      <c r="D7295" s="379">
        <v>52.925555555555555</v>
      </c>
      <c r="E7295" s="25">
        <v>27.3</v>
      </c>
      <c r="F7295" s="379">
        <v>21.306512711630116</v>
      </c>
      <c r="G7295" s="25">
        <v>50.35</v>
      </c>
      <c r="H7295" s="379">
        <v>11.043316019564124</v>
      </c>
      <c r="I7295" s="25">
        <v>66.06</v>
      </c>
      <c r="J7295" s="379">
        <v>8.0048811094612748</v>
      </c>
    </row>
    <row r="7296" spans="1:10" x14ac:dyDescent="0.35">
      <c r="A7296" s="5">
        <v>7292</v>
      </c>
      <c r="B7296" s="5">
        <v>304</v>
      </c>
      <c r="C7296" s="5">
        <v>10</v>
      </c>
      <c r="D7296" s="379">
        <v>49.942777777777778</v>
      </c>
      <c r="E7296" s="25">
        <v>26.84</v>
      </c>
      <c r="F7296" s="379">
        <v>21.114106462275874</v>
      </c>
      <c r="G7296" s="25">
        <v>47.85</v>
      </c>
      <c r="H7296" s="379">
        <v>11.342539194711126</v>
      </c>
      <c r="I7296" s="25">
        <v>66.06</v>
      </c>
      <c r="J7296" s="379">
        <v>7.9879216016776731</v>
      </c>
    </row>
    <row r="7297" spans="1:10" x14ac:dyDescent="0.35">
      <c r="A7297" s="5">
        <v>7293</v>
      </c>
      <c r="B7297" s="5">
        <v>304</v>
      </c>
      <c r="C7297" s="5">
        <v>10</v>
      </c>
      <c r="D7297" s="379">
        <v>45.019444444444439</v>
      </c>
      <c r="E7297" s="25">
        <v>25.29</v>
      </c>
      <c r="F7297" s="379">
        <v>19.983944731396068</v>
      </c>
      <c r="G7297" s="25">
        <v>46.58</v>
      </c>
      <c r="H7297" s="379">
        <v>11.704343204913904</v>
      </c>
      <c r="I7297" s="25">
        <v>61.64</v>
      </c>
      <c r="J7297" s="379">
        <v>8.0204189475490733</v>
      </c>
    </row>
    <row r="7298" spans="1:10" x14ac:dyDescent="0.35">
      <c r="A7298" s="5">
        <v>7294</v>
      </c>
      <c r="B7298" s="5">
        <v>304</v>
      </c>
      <c r="C7298" s="5">
        <v>10</v>
      </c>
      <c r="D7298" s="379">
        <v>42.665555555555549</v>
      </c>
      <c r="E7298" s="25">
        <v>24.84</v>
      </c>
      <c r="F7298" s="379">
        <v>19.898541126478548</v>
      </c>
      <c r="G7298" s="25">
        <v>44.74</v>
      </c>
      <c r="H7298" s="379">
        <v>11.132261474578392</v>
      </c>
      <c r="I7298" s="25">
        <v>59.65</v>
      </c>
      <c r="J7298" s="379">
        <v>8.0044448806327413</v>
      </c>
    </row>
    <row r="7299" spans="1:10" x14ac:dyDescent="0.35">
      <c r="A7299" s="5">
        <v>7295</v>
      </c>
      <c r="B7299" s="5">
        <v>304</v>
      </c>
      <c r="C7299" s="5">
        <v>10</v>
      </c>
      <c r="D7299" s="379">
        <v>39.330000000000005</v>
      </c>
      <c r="E7299" s="25">
        <v>24.84</v>
      </c>
      <c r="F7299" s="379">
        <v>19.898541126478545</v>
      </c>
      <c r="G7299" s="25">
        <v>44.74</v>
      </c>
      <c r="H7299" s="379">
        <v>11.567691427127036</v>
      </c>
      <c r="I7299" s="25">
        <v>61.64</v>
      </c>
      <c r="J7299" s="379">
        <v>7.7993168994879545</v>
      </c>
    </row>
    <row r="7300" spans="1:10" x14ac:dyDescent="0.35">
      <c r="A7300" s="5">
        <v>7296</v>
      </c>
      <c r="B7300" s="5">
        <v>304</v>
      </c>
      <c r="C7300" s="5">
        <v>10</v>
      </c>
      <c r="D7300" s="379">
        <v>36.009444444444448</v>
      </c>
      <c r="E7300" s="25">
        <v>24.84</v>
      </c>
      <c r="F7300" s="379">
        <v>19.336129995055149</v>
      </c>
      <c r="G7300" s="25">
        <v>44.74</v>
      </c>
      <c r="H7300" s="379">
        <v>12.421391118675318</v>
      </c>
      <c r="I7300" s="25">
        <v>59.65</v>
      </c>
      <c r="J7300" s="379">
        <v>7.8038389082459219</v>
      </c>
    </row>
    <row r="7301" spans="1:10" x14ac:dyDescent="0.35">
      <c r="A7301" s="5">
        <v>7297</v>
      </c>
      <c r="B7301" s="5">
        <v>305</v>
      </c>
      <c r="C7301" s="5">
        <v>11</v>
      </c>
      <c r="D7301" s="379">
        <v>30.926666666666669</v>
      </c>
      <c r="E7301" s="25">
        <v>24.84</v>
      </c>
      <c r="F7301" s="379">
        <v>19.863645912334714</v>
      </c>
      <c r="G7301" s="25">
        <v>43.56</v>
      </c>
      <c r="H7301" s="379">
        <v>12.382265062014843</v>
      </c>
      <c r="I7301" s="25">
        <v>58.1</v>
      </c>
      <c r="J7301" s="379">
        <v>7.8184116362796008</v>
      </c>
    </row>
    <row r="7302" spans="1:10" x14ac:dyDescent="0.35">
      <c r="A7302" s="5">
        <v>7298</v>
      </c>
      <c r="B7302" s="5">
        <v>305</v>
      </c>
      <c r="C7302" s="5">
        <v>11</v>
      </c>
      <c r="D7302" s="379">
        <v>29.549444444444443</v>
      </c>
      <c r="E7302" s="25">
        <v>24.84</v>
      </c>
      <c r="F7302" s="379">
        <v>19.336129995055149</v>
      </c>
      <c r="G7302" s="25">
        <v>43.56</v>
      </c>
      <c r="H7302" s="379">
        <v>11.817481367491556</v>
      </c>
      <c r="I7302" s="25">
        <v>58.1</v>
      </c>
      <c r="J7302" s="379">
        <v>7.8029561109147716</v>
      </c>
    </row>
    <row r="7303" spans="1:10" x14ac:dyDescent="0.35">
      <c r="A7303" s="5">
        <v>7299</v>
      </c>
      <c r="B7303" s="5">
        <v>305</v>
      </c>
      <c r="C7303" s="5">
        <v>11</v>
      </c>
      <c r="D7303" s="379">
        <v>24.975000000000001</v>
      </c>
      <c r="E7303" s="25">
        <v>24.84</v>
      </c>
      <c r="F7303" s="379">
        <v>19.398729348436113</v>
      </c>
      <c r="G7303" s="25">
        <v>43.47</v>
      </c>
      <c r="H7303" s="379">
        <v>11.085661423032111</v>
      </c>
      <c r="I7303" s="25">
        <v>58.1</v>
      </c>
      <c r="J7303" s="379">
        <v>7.799328465559455</v>
      </c>
    </row>
    <row r="7304" spans="1:10" x14ac:dyDescent="0.35">
      <c r="A7304" s="5">
        <v>7300</v>
      </c>
      <c r="B7304" s="5">
        <v>305</v>
      </c>
      <c r="C7304" s="5">
        <v>11</v>
      </c>
      <c r="D7304" s="379">
        <v>21.576111111111114</v>
      </c>
      <c r="E7304" s="25">
        <v>24.84</v>
      </c>
      <c r="F7304" s="379">
        <v>19.25086279172989</v>
      </c>
      <c r="G7304" s="25">
        <v>43.64</v>
      </c>
      <c r="H7304" s="379">
        <v>12.489423795551582</v>
      </c>
      <c r="I7304" s="25">
        <v>58.1</v>
      </c>
      <c r="J7304" s="379">
        <v>7.799328465559455</v>
      </c>
    </row>
    <row r="7305" spans="1:10" x14ac:dyDescent="0.35">
      <c r="A7305" s="5">
        <v>7301</v>
      </c>
      <c r="B7305" s="5">
        <v>305</v>
      </c>
      <c r="C7305" s="5">
        <v>11</v>
      </c>
      <c r="D7305" s="379">
        <v>21.841666666666665</v>
      </c>
      <c r="E7305" s="25">
        <v>24.84</v>
      </c>
      <c r="F7305" s="379">
        <v>20.502569332929806</v>
      </c>
      <c r="G7305" s="25">
        <v>47.46</v>
      </c>
      <c r="H7305" s="379">
        <v>12.234371312106699</v>
      </c>
      <c r="I7305" s="25">
        <v>58.1</v>
      </c>
      <c r="J7305" s="379">
        <v>7.7070234036885523</v>
      </c>
    </row>
    <row r="7306" spans="1:10" x14ac:dyDescent="0.35">
      <c r="A7306" s="5">
        <v>7302</v>
      </c>
      <c r="B7306" s="5">
        <v>305</v>
      </c>
      <c r="C7306" s="5">
        <v>11</v>
      </c>
      <c r="D7306" s="379">
        <v>25.058333333333334</v>
      </c>
      <c r="E7306" s="25">
        <v>24.84</v>
      </c>
      <c r="F7306" s="379">
        <v>20.936422672937869</v>
      </c>
      <c r="G7306" s="25">
        <v>47.46</v>
      </c>
      <c r="H7306" s="379">
        <v>12.180201314356408</v>
      </c>
      <c r="I7306" s="25">
        <v>64.14</v>
      </c>
      <c r="J7306" s="379">
        <v>7.6427288307298236</v>
      </c>
    </row>
    <row r="7307" spans="1:10" x14ac:dyDescent="0.35">
      <c r="A7307" s="5">
        <v>7303</v>
      </c>
      <c r="B7307" s="5">
        <v>305</v>
      </c>
      <c r="C7307" s="5">
        <v>11</v>
      </c>
      <c r="D7307" s="379">
        <v>27.733888888888888</v>
      </c>
      <c r="E7307" s="25">
        <v>26.51</v>
      </c>
      <c r="F7307" s="379">
        <v>21.300493634694437</v>
      </c>
      <c r="G7307" s="25">
        <v>51.14</v>
      </c>
      <c r="H7307" s="379">
        <v>12.715152013359329</v>
      </c>
      <c r="I7307" s="25">
        <v>68.349999999999994</v>
      </c>
      <c r="J7307" s="379">
        <v>7.6427288307298236</v>
      </c>
    </row>
    <row r="7308" spans="1:10" x14ac:dyDescent="0.35">
      <c r="A7308" s="5">
        <v>7304</v>
      </c>
      <c r="B7308" s="5">
        <v>305</v>
      </c>
      <c r="C7308" s="5">
        <v>11</v>
      </c>
      <c r="D7308" s="379">
        <v>31.117222222222225</v>
      </c>
      <c r="E7308" s="25">
        <v>28.12</v>
      </c>
      <c r="F7308" s="379">
        <v>19.045781164041024</v>
      </c>
      <c r="G7308" s="25">
        <v>53.77</v>
      </c>
      <c r="H7308" s="379">
        <v>12.024777737144248</v>
      </c>
      <c r="I7308" s="25">
        <v>72.19</v>
      </c>
      <c r="J7308" s="379">
        <v>7.8893464730630081</v>
      </c>
    </row>
    <row r="7309" spans="1:10" x14ac:dyDescent="0.35">
      <c r="A7309" s="5">
        <v>7305</v>
      </c>
      <c r="B7309" s="5">
        <v>305</v>
      </c>
      <c r="C7309" s="5">
        <v>11</v>
      </c>
      <c r="D7309" s="379">
        <v>32.164999999999999</v>
      </c>
      <c r="E7309" s="25">
        <v>28.97</v>
      </c>
      <c r="F7309" s="379">
        <v>20.167415513780252</v>
      </c>
      <c r="G7309" s="25">
        <v>55.38</v>
      </c>
      <c r="H7309" s="379">
        <v>11.342364347764823</v>
      </c>
      <c r="I7309" s="25">
        <v>77.72</v>
      </c>
      <c r="J7309" s="379">
        <v>7.9072407190073504</v>
      </c>
    </row>
    <row r="7310" spans="1:10" x14ac:dyDescent="0.35">
      <c r="A7310" s="5">
        <v>7306</v>
      </c>
      <c r="B7310" s="5">
        <v>305</v>
      </c>
      <c r="C7310" s="5">
        <v>11</v>
      </c>
      <c r="D7310" s="379">
        <v>28.378888888888891</v>
      </c>
      <c r="E7310" s="25">
        <v>28.12</v>
      </c>
      <c r="F7310" s="379">
        <v>9.1579302640113163</v>
      </c>
      <c r="G7310" s="25">
        <v>52.67</v>
      </c>
      <c r="H7310" s="379">
        <v>7.4897935248849032</v>
      </c>
      <c r="I7310" s="25">
        <v>68.349999999999994</v>
      </c>
      <c r="J7310" s="379">
        <v>7.4695382627777667</v>
      </c>
    </row>
    <row r="7311" spans="1:10" x14ac:dyDescent="0.35">
      <c r="A7311" s="5">
        <v>7307</v>
      </c>
      <c r="B7311" s="5">
        <v>305</v>
      </c>
      <c r="C7311" s="5">
        <v>11</v>
      </c>
      <c r="D7311" s="379">
        <v>25.880555555555553</v>
      </c>
      <c r="E7311" s="25">
        <v>26.51</v>
      </c>
      <c r="F7311" s="379">
        <v>8.1174834595959595</v>
      </c>
      <c r="G7311" s="25">
        <v>51.14</v>
      </c>
      <c r="H7311" s="379">
        <v>8.4065238017980999</v>
      </c>
      <c r="I7311" s="25">
        <v>64.14</v>
      </c>
      <c r="J7311" s="379">
        <v>6.955286576250411</v>
      </c>
    </row>
    <row r="7312" spans="1:10" x14ac:dyDescent="0.35">
      <c r="A7312" s="5">
        <v>7308</v>
      </c>
      <c r="B7312" s="5">
        <v>305</v>
      </c>
      <c r="C7312" s="5">
        <v>11</v>
      </c>
      <c r="D7312" s="379">
        <v>24.377222222222223</v>
      </c>
      <c r="E7312" s="25">
        <v>26.51</v>
      </c>
      <c r="F7312" s="379">
        <v>8.1174834595959613</v>
      </c>
      <c r="G7312" s="25">
        <v>47.85</v>
      </c>
      <c r="H7312" s="379">
        <v>8.9050434978009374</v>
      </c>
      <c r="I7312" s="25">
        <v>58.1</v>
      </c>
      <c r="J7312" s="379">
        <v>6.6261358498392493</v>
      </c>
    </row>
    <row r="7313" spans="1:10" x14ac:dyDescent="0.35">
      <c r="A7313" s="5">
        <v>7309</v>
      </c>
      <c r="B7313" s="5">
        <v>305</v>
      </c>
      <c r="C7313" s="5">
        <v>11</v>
      </c>
      <c r="D7313" s="379">
        <v>22.47944444444445</v>
      </c>
      <c r="E7313" s="25">
        <v>25.74</v>
      </c>
      <c r="F7313" s="379">
        <v>3.7527747008879082</v>
      </c>
      <c r="G7313" s="25">
        <v>47.85</v>
      </c>
      <c r="H7313" s="379">
        <v>9.0602020977881352</v>
      </c>
      <c r="I7313" s="25">
        <v>58.1</v>
      </c>
      <c r="J7313" s="379">
        <v>6.7247924452391183</v>
      </c>
    </row>
    <row r="7314" spans="1:10" x14ac:dyDescent="0.35">
      <c r="A7314" s="5">
        <v>7310</v>
      </c>
      <c r="B7314" s="5">
        <v>305</v>
      </c>
      <c r="C7314" s="5">
        <v>11</v>
      </c>
      <c r="D7314" s="379">
        <v>23.364444444444448</v>
      </c>
      <c r="E7314" s="25">
        <v>25.74</v>
      </c>
      <c r="F7314" s="379">
        <v>8.1174834595959595</v>
      </c>
      <c r="G7314" s="25">
        <v>47.85</v>
      </c>
      <c r="H7314" s="379">
        <v>8.9922677734482335</v>
      </c>
      <c r="I7314" s="25">
        <v>53.71</v>
      </c>
      <c r="J7314" s="379">
        <v>6.7247924452391183</v>
      </c>
    </row>
    <row r="7315" spans="1:10" x14ac:dyDescent="0.35">
      <c r="A7315" s="5">
        <v>7311</v>
      </c>
      <c r="B7315" s="5">
        <v>305</v>
      </c>
      <c r="C7315" s="5">
        <v>11</v>
      </c>
      <c r="D7315" s="379">
        <v>28.298888888888889</v>
      </c>
      <c r="E7315" s="25">
        <v>25.74</v>
      </c>
      <c r="F7315" s="379">
        <v>8.1174834595959613</v>
      </c>
      <c r="G7315" s="25">
        <v>47.85</v>
      </c>
      <c r="H7315" s="379">
        <v>8.9050434978009374</v>
      </c>
      <c r="I7315" s="25">
        <v>58.1</v>
      </c>
      <c r="J7315" s="379">
        <v>7.0104173911390006</v>
      </c>
    </row>
    <row r="7316" spans="1:10" x14ac:dyDescent="0.35">
      <c r="A7316" s="5">
        <v>7312</v>
      </c>
      <c r="B7316" s="5">
        <v>305</v>
      </c>
      <c r="C7316" s="5">
        <v>11</v>
      </c>
      <c r="D7316" s="379">
        <v>29.908888888888889</v>
      </c>
      <c r="E7316" s="25">
        <v>27.3</v>
      </c>
      <c r="F7316" s="379">
        <v>12.582804620932901</v>
      </c>
      <c r="G7316" s="25">
        <v>49.28</v>
      </c>
      <c r="H7316" s="379">
        <v>9.8728019086611365</v>
      </c>
      <c r="I7316" s="25">
        <v>58.1</v>
      </c>
      <c r="J7316" s="379">
        <v>7.9494589970680423</v>
      </c>
    </row>
    <row r="7317" spans="1:10" x14ac:dyDescent="0.35">
      <c r="A7317" s="5">
        <v>7313</v>
      </c>
      <c r="B7317" s="5">
        <v>305</v>
      </c>
      <c r="C7317" s="5">
        <v>11</v>
      </c>
      <c r="D7317" s="379">
        <v>33.286666666666669</v>
      </c>
      <c r="E7317" s="25">
        <v>29.23</v>
      </c>
      <c r="F7317" s="379">
        <v>27.176659568859222</v>
      </c>
      <c r="G7317" s="25">
        <v>57.04</v>
      </c>
      <c r="H7317" s="379">
        <v>138.88888888888889</v>
      </c>
      <c r="I7317" s="25">
        <v>93.24</v>
      </c>
      <c r="J7317" s="379">
        <v>8.9750077572353621</v>
      </c>
    </row>
    <row r="7318" spans="1:10" x14ac:dyDescent="0.35">
      <c r="A7318" s="5">
        <v>7314</v>
      </c>
      <c r="B7318" s="5">
        <v>305</v>
      </c>
      <c r="C7318" s="5">
        <v>11</v>
      </c>
      <c r="D7318" s="379">
        <v>38.628888888888888</v>
      </c>
      <c r="E7318" s="25">
        <v>34.82</v>
      </c>
      <c r="F7318" s="379">
        <v>138.88888888888889</v>
      </c>
      <c r="G7318" s="25">
        <v>60.31</v>
      </c>
      <c r="H7318" s="379">
        <v>138.88888888888889</v>
      </c>
      <c r="I7318" s="25">
        <v>843.72</v>
      </c>
      <c r="J7318" s="379">
        <v>16.566778394067679</v>
      </c>
    </row>
    <row r="7319" spans="1:10" x14ac:dyDescent="0.35">
      <c r="A7319" s="5">
        <v>7315</v>
      </c>
      <c r="B7319" s="5">
        <v>305</v>
      </c>
      <c r="C7319" s="5">
        <v>11</v>
      </c>
      <c r="D7319" s="379">
        <v>40.142777777777773</v>
      </c>
      <c r="E7319" s="25">
        <v>36.01</v>
      </c>
      <c r="F7319" s="379">
        <v>24.541360092175086</v>
      </c>
      <c r="G7319" s="25">
        <v>62.12</v>
      </c>
      <c r="H7319" s="379">
        <v>138.88888888888889</v>
      </c>
      <c r="I7319" s="25">
        <v>843.72</v>
      </c>
      <c r="J7319" s="379">
        <v>14.957804004066478</v>
      </c>
    </row>
    <row r="7320" spans="1:10" x14ac:dyDescent="0.35">
      <c r="A7320" s="5">
        <v>7316</v>
      </c>
      <c r="B7320" s="5">
        <v>305</v>
      </c>
      <c r="C7320" s="5">
        <v>11</v>
      </c>
      <c r="D7320" s="379">
        <v>36.06611111111112</v>
      </c>
      <c r="E7320" s="25">
        <v>34.82</v>
      </c>
      <c r="F7320" s="379">
        <v>24.442949771791081</v>
      </c>
      <c r="G7320" s="25">
        <v>58.75</v>
      </c>
      <c r="H7320" s="379">
        <v>138.88888888888889</v>
      </c>
      <c r="I7320" s="25">
        <v>843.72</v>
      </c>
      <c r="J7320" s="379">
        <v>16.062041389736486</v>
      </c>
    </row>
    <row r="7321" spans="1:10" x14ac:dyDescent="0.35">
      <c r="A7321" s="5">
        <v>7317</v>
      </c>
      <c r="B7321" s="5">
        <v>305</v>
      </c>
      <c r="C7321" s="5">
        <v>11</v>
      </c>
      <c r="D7321" s="379">
        <v>32.675555555555562</v>
      </c>
      <c r="E7321" s="25">
        <v>29.23</v>
      </c>
      <c r="F7321" s="379">
        <v>32.051036356103261</v>
      </c>
      <c r="G7321" s="25">
        <v>57.04</v>
      </c>
      <c r="H7321" s="379">
        <v>138.88888888888889</v>
      </c>
      <c r="I7321" s="25">
        <v>614.36</v>
      </c>
      <c r="J7321" s="379">
        <v>16.170739006634683</v>
      </c>
    </row>
    <row r="7322" spans="1:10" x14ac:dyDescent="0.35">
      <c r="A7322" s="5">
        <v>7318</v>
      </c>
      <c r="B7322" s="5">
        <v>305</v>
      </c>
      <c r="C7322" s="5">
        <v>11</v>
      </c>
      <c r="D7322" s="379">
        <v>30.547222222222217</v>
      </c>
      <c r="E7322" s="25">
        <v>28.12</v>
      </c>
      <c r="F7322" s="379">
        <v>23.870019330313941</v>
      </c>
      <c r="G7322" s="25">
        <v>55.38</v>
      </c>
      <c r="H7322" s="379">
        <v>138.88888888888889</v>
      </c>
      <c r="I7322" s="25">
        <v>93.24</v>
      </c>
      <c r="J7322" s="379">
        <v>16.167909863064068</v>
      </c>
    </row>
    <row r="7323" spans="1:10" x14ac:dyDescent="0.35">
      <c r="A7323" s="5">
        <v>7319</v>
      </c>
      <c r="B7323" s="5">
        <v>305</v>
      </c>
      <c r="C7323" s="5">
        <v>11</v>
      </c>
      <c r="D7323" s="379">
        <v>29.383333333333336</v>
      </c>
      <c r="E7323" s="25">
        <v>26.51</v>
      </c>
      <c r="F7323" s="379">
        <v>19.951893692419418</v>
      </c>
      <c r="G7323" s="25">
        <v>52.67</v>
      </c>
      <c r="H7323" s="379">
        <v>138.88888888888889</v>
      </c>
      <c r="I7323" s="25">
        <v>81.63</v>
      </c>
      <c r="J7323" s="379">
        <v>16.170739006634683</v>
      </c>
    </row>
    <row r="7324" spans="1:10" x14ac:dyDescent="0.35">
      <c r="A7324" s="5">
        <v>7320</v>
      </c>
      <c r="B7324" s="5">
        <v>305</v>
      </c>
      <c r="C7324" s="5">
        <v>11</v>
      </c>
      <c r="D7324" s="379">
        <v>21.14833333333333</v>
      </c>
      <c r="E7324" s="25">
        <v>25.74</v>
      </c>
      <c r="F7324" s="379">
        <v>18.559703848908597</v>
      </c>
      <c r="G7324" s="25">
        <v>48.48</v>
      </c>
      <c r="H7324" s="379">
        <v>138.88888888888889</v>
      </c>
      <c r="I7324" s="25">
        <v>79.25</v>
      </c>
      <c r="J7324" s="379">
        <v>17.232158442621266</v>
      </c>
    </row>
    <row r="7325" spans="1:10" x14ac:dyDescent="0.35">
      <c r="A7325" s="5">
        <v>7321</v>
      </c>
      <c r="B7325" s="5">
        <v>306</v>
      </c>
      <c r="C7325" s="5">
        <v>11</v>
      </c>
      <c r="D7325" s="379">
        <v>25.186111111111114</v>
      </c>
      <c r="E7325" s="25">
        <v>25.17</v>
      </c>
      <c r="F7325" s="379">
        <v>16.226193749491792</v>
      </c>
      <c r="G7325" s="25">
        <v>48.48</v>
      </c>
      <c r="H7325" s="379">
        <v>138.88888888888889</v>
      </c>
      <c r="I7325" s="25">
        <v>79.25</v>
      </c>
      <c r="J7325" s="379">
        <v>16.97677112430388</v>
      </c>
    </row>
    <row r="7326" spans="1:10" x14ac:dyDescent="0.35">
      <c r="A7326" s="5">
        <v>7322</v>
      </c>
      <c r="B7326" s="5">
        <v>306</v>
      </c>
      <c r="C7326" s="5">
        <v>11</v>
      </c>
      <c r="D7326" s="379">
        <v>20.835555555555558</v>
      </c>
      <c r="E7326" s="25">
        <v>24.84</v>
      </c>
      <c r="F7326" s="379">
        <v>18.133585231029574</v>
      </c>
      <c r="G7326" s="25">
        <v>47.85</v>
      </c>
      <c r="H7326" s="379">
        <v>138.88888888888889</v>
      </c>
      <c r="I7326" s="25">
        <v>79.25</v>
      </c>
      <c r="J7326" s="379">
        <v>16.60207259599094</v>
      </c>
    </row>
    <row r="7327" spans="1:10" x14ac:dyDescent="0.35">
      <c r="A7327" s="5">
        <v>7323</v>
      </c>
      <c r="B7327" s="5">
        <v>306</v>
      </c>
      <c r="C7327" s="5">
        <v>11</v>
      </c>
      <c r="D7327" s="379">
        <v>18.171666666666667</v>
      </c>
      <c r="E7327" s="25">
        <v>24.84</v>
      </c>
      <c r="F7327" s="379">
        <v>19.240935332880692</v>
      </c>
      <c r="G7327" s="25">
        <v>47.85</v>
      </c>
      <c r="H7327" s="379">
        <v>138.88888888888889</v>
      </c>
      <c r="I7327" s="25">
        <v>79.25</v>
      </c>
      <c r="J7327" s="379">
        <v>15.062035906218558</v>
      </c>
    </row>
    <row r="7328" spans="1:10" x14ac:dyDescent="0.35">
      <c r="A7328" s="5">
        <v>7324</v>
      </c>
      <c r="B7328" s="5">
        <v>306</v>
      </c>
      <c r="C7328" s="5">
        <v>11</v>
      </c>
      <c r="D7328" s="379">
        <v>18.815000000000001</v>
      </c>
      <c r="E7328" s="25">
        <v>24.84</v>
      </c>
      <c r="F7328" s="379">
        <v>18.356896270041545</v>
      </c>
      <c r="G7328" s="25">
        <v>47.85</v>
      </c>
      <c r="H7328" s="379">
        <v>138.88888888888889</v>
      </c>
      <c r="I7328" s="25">
        <v>79.25</v>
      </c>
      <c r="J7328" s="379">
        <v>15.409285504797436</v>
      </c>
    </row>
    <row r="7329" spans="1:10" x14ac:dyDescent="0.35">
      <c r="A7329" s="5">
        <v>7325</v>
      </c>
      <c r="B7329" s="5">
        <v>306</v>
      </c>
      <c r="C7329" s="5">
        <v>11</v>
      </c>
      <c r="D7329" s="379">
        <v>22.600555555555555</v>
      </c>
      <c r="E7329" s="25">
        <v>24.84</v>
      </c>
      <c r="F7329" s="379">
        <v>17.12143260724072</v>
      </c>
      <c r="G7329" s="25">
        <v>47.85</v>
      </c>
      <c r="H7329" s="379">
        <v>138.88888888888889</v>
      </c>
      <c r="I7329" s="25">
        <v>79.25</v>
      </c>
      <c r="J7329" s="379">
        <v>16.380714173032583</v>
      </c>
    </row>
    <row r="7330" spans="1:10" x14ac:dyDescent="0.35">
      <c r="A7330" s="5">
        <v>7326</v>
      </c>
      <c r="B7330" s="5">
        <v>306</v>
      </c>
      <c r="C7330" s="5">
        <v>11</v>
      </c>
      <c r="D7330" s="379">
        <v>25.954999999999995</v>
      </c>
      <c r="E7330" s="25">
        <v>24.84</v>
      </c>
      <c r="F7330" s="379">
        <v>13.914370923368134</v>
      </c>
      <c r="G7330" s="25">
        <v>47.85</v>
      </c>
      <c r="H7330" s="379">
        <v>138.88888888888889</v>
      </c>
      <c r="I7330" s="25">
        <v>79.25</v>
      </c>
      <c r="J7330" s="379">
        <v>15.806094613531672</v>
      </c>
    </row>
    <row r="7331" spans="1:10" x14ac:dyDescent="0.35">
      <c r="A7331" s="5">
        <v>7327</v>
      </c>
      <c r="B7331" s="5">
        <v>306</v>
      </c>
      <c r="C7331" s="5">
        <v>11</v>
      </c>
      <c r="D7331" s="379">
        <v>34.158888888888889</v>
      </c>
      <c r="E7331" s="25">
        <v>25.74</v>
      </c>
      <c r="F7331" s="379">
        <v>13.914370923368134</v>
      </c>
      <c r="G7331" s="25">
        <v>47.85</v>
      </c>
      <c r="H7331" s="379">
        <v>138.88888888888889</v>
      </c>
      <c r="I7331" s="25">
        <v>80.05</v>
      </c>
      <c r="J7331" s="379">
        <v>16.138288610811703</v>
      </c>
    </row>
    <row r="7332" spans="1:10" x14ac:dyDescent="0.35">
      <c r="A7332" s="5">
        <v>7328</v>
      </c>
      <c r="B7332" s="5">
        <v>306</v>
      </c>
      <c r="C7332" s="5">
        <v>11</v>
      </c>
      <c r="D7332" s="379">
        <v>39.494999999999997</v>
      </c>
      <c r="E7332" s="25">
        <v>26.51</v>
      </c>
      <c r="F7332" s="379">
        <v>13.914370923368134</v>
      </c>
      <c r="G7332" s="25">
        <v>47.85</v>
      </c>
      <c r="H7332" s="379">
        <v>138.88888888888889</v>
      </c>
      <c r="I7332" s="25">
        <v>93.24</v>
      </c>
      <c r="J7332" s="379">
        <v>15.770149561754678</v>
      </c>
    </row>
    <row r="7333" spans="1:10" x14ac:dyDescent="0.35">
      <c r="A7333" s="5">
        <v>7329</v>
      </c>
      <c r="B7333" s="5">
        <v>306</v>
      </c>
      <c r="C7333" s="5">
        <v>11</v>
      </c>
      <c r="D7333" s="379">
        <v>39.94444444444445</v>
      </c>
      <c r="E7333" s="25">
        <v>29.23</v>
      </c>
      <c r="F7333" s="379">
        <v>11.802752890548609</v>
      </c>
      <c r="G7333" s="25">
        <v>48.33</v>
      </c>
      <c r="H7333" s="379">
        <v>19.346404673456462</v>
      </c>
      <c r="I7333" s="25">
        <v>93.24</v>
      </c>
      <c r="J7333" s="379">
        <v>7.2613735561359052</v>
      </c>
    </row>
    <row r="7334" spans="1:10" x14ac:dyDescent="0.35">
      <c r="A7334" s="5">
        <v>7330</v>
      </c>
      <c r="B7334" s="5">
        <v>306</v>
      </c>
      <c r="C7334" s="5">
        <v>11</v>
      </c>
      <c r="D7334" s="379">
        <v>35.055555555555557</v>
      </c>
      <c r="E7334" s="25">
        <v>29.23</v>
      </c>
      <c r="F7334" s="379">
        <v>8.7499158920283904</v>
      </c>
      <c r="G7334" s="25">
        <v>48.33</v>
      </c>
      <c r="H7334" s="379">
        <v>8.2569698629862636</v>
      </c>
      <c r="I7334" s="25">
        <v>80.05</v>
      </c>
      <c r="J7334" s="379">
        <v>7.3621242881599924</v>
      </c>
    </row>
    <row r="7335" spans="1:10" x14ac:dyDescent="0.35">
      <c r="A7335" s="5">
        <v>7331</v>
      </c>
      <c r="B7335" s="5">
        <v>306</v>
      </c>
      <c r="C7335" s="5">
        <v>11</v>
      </c>
      <c r="D7335" s="379">
        <v>29.566111111111116</v>
      </c>
      <c r="E7335" s="25">
        <v>25.74</v>
      </c>
      <c r="F7335" s="379">
        <v>8.1174834595959595</v>
      </c>
      <c r="G7335" s="25">
        <v>47.85</v>
      </c>
      <c r="H7335" s="379">
        <v>7.7936525333954512</v>
      </c>
      <c r="I7335" s="25">
        <v>53.71</v>
      </c>
      <c r="J7335" s="379">
        <v>7.1859210596591581</v>
      </c>
    </row>
    <row r="7336" spans="1:10" x14ac:dyDescent="0.35">
      <c r="A7336" s="5">
        <v>7332</v>
      </c>
      <c r="B7336" s="5">
        <v>306</v>
      </c>
      <c r="C7336" s="5">
        <v>11</v>
      </c>
      <c r="D7336" s="379">
        <v>27.75611111111111</v>
      </c>
      <c r="E7336" s="25">
        <v>25.29</v>
      </c>
      <c r="F7336" s="379">
        <v>8.3856276499191615</v>
      </c>
      <c r="G7336" s="25">
        <v>47.85</v>
      </c>
      <c r="H7336" s="379">
        <v>7.8386936247043266</v>
      </c>
      <c r="I7336" s="25">
        <v>53.71</v>
      </c>
      <c r="J7336" s="379">
        <v>7.4855032652855034</v>
      </c>
    </row>
    <row r="7337" spans="1:10" x14ac:dyDescent="0.35">
      <c r="A7337" s="5">
        <v>7333</v>
      </c>
      <c r="B7337" s="5">
        <v>306</v>
      </c>
      <c r="C7337" s="5">
        <v>11</v>
      </c>
      <c r="D7337" s="379">
        <v>25.585555555555558</v>
      </c>
      <c r="E7337" s="25">
        <v>25.29</v>
      </c>
      <c r="F7337" s="379">
        <v>8.1174834595959595</v>
      </c>
      <c r="G7337" s="25">
        <v>47.85</v>
      </c>
      <c r="H7337" s="379">
        <v>9.1136433659696792</v>
      </c>
      <c r="I7337" s="25">
        <v>53.71</v>
      </c>
      <c r="J7337" s="379">
        <v>7.8191311472140299</v>
      </c>
    </row>
    <row r="7338" spans="1:10" x14ac:dyDescent="0.35">
      <c r="A7338" s="5">
        <v>7334</v>
      </c>
      <c r="B7338" s="5">
        <v>306</v>
      </c>
      <c r="C7338" s="5">
        <v>11</v>
      </c>
      <c r="D7338" s="379">
        <v>27.678888888888885</v>
      </c>
      <c r="E7338" s="25">
        <v>25.29</v>
      </c>
      <c r="F7338" s="379">
        <v>8.1174834595959577</v>
      </c>
      <c r="G7338" s="25">
        <v>47.85</v>
      </c>
      <c r="H7338" s="379">
        <v>8.9532046926973088</v>
      </c>
      <c r="I7338" s="25">
        <v>53.71</v>
      </c>
      <c r="J7338" s="379">
        <v>6.7690535929566291</v>
      </c>
    </row>
    <row r="7339" spans="1:10" x14ac:dyDescent="0.35">
      <c r="A7339" s="5">
        <v>7335</v>
      </c>
      <c r="B7339" s="5">
        <v>306</v>
      </c>
      <c r="C7339" s="5">
        <v>11</v>
      </c>
      <c r="D7339" s="379">
        <v>31.310000000000002</v>
      </c>
      <c r="E7339" s="25">
        <v>25.74</v>
      </c>
      <c r="F7339" s="379">
        <v>8.4653333633209353</v>
      </c>
      <c r="G7339" s="25">
        <v>47.85</v>
      </c>
      <c r="H7339" s="379">
        <v>8.9532046926973088</v>
      </c>
      <c r="I7339" s="25">
        <v>53.71</v>
      </c>
      <c r="J7339" s="379">
        <v>7.1309672811536533</v>
      </c>
    </row>
    <row r="7340" spans="1:10" x14ac:dyDescent="0.35">
      <c r="A7340" s="5">
        <v>7336</v>
      </c>
      <c r="B7340" s="5">
        <v>306</v>
      </c>
      <c r="C7340" s="5">
        <v>11</v>
      </c>
      <c r="D7340" s="379">
        <v>34.25277777777778</v>
      </c>
      <c r="E7340" s="25">
        <v>26.71</v>
      </c>
      <c r="F7340" s="379">
        <v>16.153250960814198</v>
      </c>
      <c r="G7340" s="25">
        <v>47.85</v>
      </c>
      <c r="H7340" s="379">
        <v>10.299550256502322</v>
      </c>
      <c r="I7340" s="25">
        <v>53.71</v>
      </c>
      <c r="J7340" s="379">
        <v>7.8324024403401289</v>
      </c>
    </row>
    <row r="7341" spans="1:10" x14ac:dyDescent="0.35">
      <c r="A7341" s="5">
        <v>7337</v>
      </c>
      <c r="B7341" s="5">
        <v>306</v>
      </c>
      <c r="C7341" s="5">
        <v>11</v>
      </c>
      <c r="D7341" s="379">
        <v>36.051666666666669</v>
      </c>
      <c r="E7341" s="25">
        <v>29.23</v>
      </c>
      <c r="F7341" s="379">
        <v>25.227276807646291</v>
      </c>
      <c r="G7341" s="25">
        <v>56.29</v>
      </c>
      <c r="H7341" s="379">
        <v>22.724161948043907</v>
      </c>
      <c r="I7341" s="25">
        <v>55.32</v>
      </c>
      <c r="J7341" s="379">
        <v>8.7066066222953165</v>
      </c>
    </row>
    <row r="7342" spans="1:10" x14ac:dyDescent="0.35">
      <c r="A7342" s="5">
        <v>7338</v>
      </c>
      <c r="B7342" s="5">
        <v>306</v>
      </c>
      <c r="C7342" s="5">
        <v>11</v>
      </c>
      <c r="D7342" s="379">
        <v>43.271111111111111</v>
      </c>
      <c r="E7342" s="25">
        <v>34.96</v>
      </c>
      <c r="F7342" s="379">
        <v>17.534846785847474</v>
      </c>
      <c r="G7342" s="25">
        <v>60.31</v>
      </c>
      <c r="H7342" s="379">
        <v>23.623175053611565</v>
      </c>
      <c r="I7342" s="25">
        <v>603.30999999999995</v>
      </c>
      <c r="J7342" s="379">
        <v>8.4703147175654276</v>
      </c>
    </row>
    <row r="7343" spans="1:10" x14ac:dyDescent="0.35">
      <c r="A7343" s="5">
        <v>7339</v>
      </c>
      <c r="B7343" s="5">
        <v>306</v>
      </c>
      <c r="C7343" s="5">
        <v>11</v>
      </c>
      <c r="D7343" s="379">
        <v>40.982777777777777</v>
      </c>
      <c r="E7343" s="25">
        <v>34.96</v>
      </c>
      <c r="F7343" s="379">
        <v>18.788366295638351</v>
      </c>
      <c r="G7343" s="25">
        <v>62.12</v>
      </c>
      <c r="H7343" s="379">
        <v>22.549369896609385</v>
      </c>
      <c r="I7343" s="25">
        <v>603.30999999999995</v>
      </c>
      <c r="J7343" s="379">
        <v>8.5211735436542391</v>
      </c>
    </row>
    <row r="7344" spans="1:10" x14ac:dyDescent="0.35">
      <c r="A7344" s="5">
        <v>7340</v>
      </c>
      <c r="B7344" s="5">
        <v>306</v>
      </c>
      <c r="C7344" s="5">
        <v>11</v>
      </c>
      <c r="D7344" s="379">
        <v>33.74444444444444</v>
      </c>
      <c r="E7344" s="25">
        <v>29.23</v>
      </c>
      <c r="F7344" s="379">
        <v>18.575630040286004</v>
      </c>
      <c r="G7344" s="25">
        <v>57.04</v>
      </c>
      <c r="H7344" s="379">
        <v>24.024514101392157</v>
      </c>
      <c r="I7344" s="25">
        <v>72.19</v>
      </c>
      <c r="J7344" s="379">
        <v>8.4818806432381102</v>
      </c>
    </row>
    <row r="7345" spans="1:10" x14ac:dyDescent="0.35">
      <c r="A7345" s="5">
        <v>7341</v>
      </c>
      <c r="B7345" s="5">
        <v>306</v>
      </c>
      <c r="C7345" s="5">
        <v>11</v>
      </c>
      <c r="D7345" s="379">
        <v>31.572777777777773</v>
      </c>
      <c r="E7345" s="25">
        <v>28.12</v>
      </c>
      <c r="F7345" s="379">
        <v>20.81511287550537</v>
      </c>
      <c r="G7345" s="25">
        <v>56.29</v>
      </c>
      <c r="H7345" s="379">
        <v>23.234311550477845</v>
      </c>
      <c r="I7345" s="25">
        <v>63.19</v>
      </c>
      <c r="J7345" s="379">
        <v>8.4845761519783114</v>
      </c>
    </row>
    <row r="7346" spans="1:10" x14ac:dyDescent="0.35">
      <c r="A7346" s="5">
        <v>7342</v>
      </c>
      <c r="B7346" s="5">
        <v>306</v>
      </c>
      <c r="C7346" s="5">
        <v>11</v>
      </c>
      <c r="D7346" s="379">
        <v>30.561666666666667</v>
      </c>
      <c r="E7346" s="25">
        <v>27.3</v>
      </c>
      <c r="F7346" s="379">
        <v>19.768941790935894</v>
      </c>
      <c r="G7346" s="25">
        <v>47.85</v>
      </c>
      <c r="H7346" s="379">
        <v>23.013326941968451</v>
      </c>
      <c r="I7346" s="25">
        <v>53.71</v>
      </c>
      <c r="J7346" s="379">
        <v>7.8978426411646963</v>
      </c>
    </row>
    <row r="7347" spans="1:10" x14ac:dyDescent="0.35">
      <c r="A7347" s="5">
        <v>7343</v>
      </c>
      <c r="B7347" s="5">
        <v>306</v>
      </c>
      <c r="C7347" s="5">
        <v>11</v>
      </c>
      <c r="D7347" s="379">
        <v>30.41</v>
      </c>
      <c r="E7347" s="25">
        <v>26.51</v>
      </c>
      <c r="F7347" s="379">
        <v>17.803951637963472</v>
      </c>
      <c r="G7347" s="25">
        <v>47.85</v>
      </c>
      <c r="H7347" s="379">
        <v>23.399755774661944</v>
      </c>
      <c r="I7347" s="25">
        <v>53.71</v>
      </c>
      <c r="J7347" s="379">
        <v>8.1725605939680364</v>
      </c>
    </row>
    <row r="7348" spans="1:10" x14ac:dyDescent="0.35">
      <c r="A7348" s="5">
        <v>7344</v>
      </c>
      <c r="B7348" s="5">
        <v>306</v>
      </c>
      <c r="C7348" s="5">
        <v>11</v>
      </c>
      <c r="D7348" s="379">
        <v>27.198333333333338</v>
      </c>
      <c r="E7348" s="25">
        <v>24.84</v>
      </c>
      <c r="F7348" s="379">
        <v>17.495823153041176</v>
      </c>
      <c r="G7348" s="25">
        <v>47.85</v>
      </c>
      <c r="H7348" s="379">
        <v>22.78348144965716</v>
      </c>
      <c r="I7348" s="25">
        <v>53.71</v>
      </c>
      <c r="J7348" s="379">
        <v>8.219921566750612</v>
      </c>
    </row>
    <row r="7349" spans="1:10" x14ac:dyDescent="0.35">
      <c r="A7349" s="5">
        <v>7345</v>
      </c>
      <c r="B7349" s="5">
        <v>307</v>
      </c>
      <c r="C7349" s="5">
        <v>11</v>
      </c>
      <c r="D7349" s="379">
        <v>25.600555555555555</v>
      </c>
      <c r="E7349" s="25">
        <v>24.84</v>
      </c>
      <c r="F7349" s="379">
        <v>19.069034765451459</v>
      </c>
      <c r="G7349" s="25">
        <v>47.85</v>
      </c>
      <c r="H7349" s="379">
        <v>23.967901603512054</v>
      </c>
      <c r="I7349" s="25">
        <v>53.71</v>
      </c>
      <c r="J7349" s="379">
        <v>8.4038701407766858</v>
      </c>
    </row>
    <row r="7350" spans="1:10" x14ac:dyDescent="0.35">
      <c r="A7350" s="5">
        <v>7346</v>
      </c>
      <c r="B7350" s="5">
        <v>307</v>
      </c>
      <c r="C7350" s="5">
        <v>11</v>
      </c>
      <c r="D7350" s="379">
        <v>22.536111111111119</v>
      </c>
      <c r="E7350" s="25">
        <v>24.84</v>
      </c>
      <c r="F7350" s="379">
        <v>18.785959497672845</v>
      </c>
      <c r="G7350" s="25">
        <v>47.85</v>
      </c>
      <c r="H7350" s="379">
        <v>23.381102592963455</v>
      </c>
      <c r="I7350" s="25">
        <v>53.71</v>
      </c>
      <c r="J7350" s="379">
        <v>8.3768970184698741</v>
      </c>
    </row>
    <row r="7351" spans="1:10" x14ac:dyDescent="0.35">
      <c r="A7351" s="5">
        <v>7347</v>
      </c>
      <c r="B7351" s="5">
        <v>307</v>
      </c>
      <c r="C7351" s="5">
        <v>11</v>
      </c>
      <c r="D7351" s="379">
        <v>20.288333333333327</v>
      </c>
      <c r="E7351" s="25">
        <v>24.84</v>
      </c>
      <c r="F7351" s="379">
        <v>19.391522141428339</v>
      </c>
      <c r="G7351" s="25">
        <v>47.85</v>
      </c>
      <c r="H7351" s="379">
        <v>22.881365968001873</v>
      </c>
      <c r="I7351" s="25">
        <v>53.71</v>
      </c>
      <c r="J7351" s="379">
        <v>8.352954555107619</v>
      </c>
    </row>
    <row r="7352" spans="1:10" x14ac:dyDescent="0.35">
      <c r="A7352" s="5">
        <v>7348</v>
      </c>
      <c r="B7352" s="5">
        <v>307</v>
      </c>
      <c r="C7352" s="5">
        <v>11</v>
      </c>
      <c r="D7352" s="379">
        <v>21.13</v>
      </c>
      <c r="E7352" s="25">
        <v>24.84</v>
      </c>
      <c r="F7352" s="379">
        <v>18.472073232683218</v>
      </c>
      <c r="G7352" s="25">
        <v>47.85</v>
      </c>
      <c r="H7352" s="379">
        <v>22.095563313328068</v>
      </c>
      <c r="I7352" s="25">
        <v>53.71</v>
      </c>
      <c r="J7352" s="379">
        <v>8.2427361081620614</v>
      </c>
    </row>
    <row r="7353" spans="1:10" x14ac:dyDescent="0.35">
      <c r="A7353" s="5">
        <v>7349</v>
      </c>
      <c r="B7353" s="5">
        <v>307</v>
      </c>
      <c r="C7353" s="5">
        <v>11</v>
      </c>
      <c r="D7353" s="379">
        <v>21.590555555555554</v>
      </c>
      <c r="E7353" s="25">
        <v>24.84</v>
      </c>
      <c r="F7353" s="379">
        <v>17.098702845700807</v>
      </c>
      <c r="G7353" s="25">
        <v>47.85</v>
      </c>
      <c r="H7353" s="379">
        <v>23.80760557945705</v>
      </c>
      <c r="I7353" s="25">
        <v>51.64</v>
      </c>
      <c r="J7353" s="379">
        <v>7.9746436447316809</v>
      </c>
    </row>
    <row r="7354" spans="1:10" x14ac:dyDescent="0.35">
      <c r="A7354" s="5">
        <v>7350</v>
      </c>
      <c r="B7354" s="5">
        <v>307</v>
      </c>
      <c r="C7354" s="5">
        <v>11</v>
      </c>
      <c r="D7354" s="379">
        <v>25.433888888888887</v>
      </c>
      <c r="E7354" s="25">
        <v>24.84</v>
      </c>
      <c r="F7354" s="379">
        <v>18.211843794190319</v>
      </c>
      <c r="G7354" s="25">
        <v>47.85</v>
      </c>
      <c r="H7354" s="379">
        <v>23.014581712228349</v>
      </c>
      <c r="I7354" s="25">
        <v>53.71</v>
      </c>
      <c r="J7354" s="379">
        <v>8.1200295764278874</v>
      </c>
    </row>
    <row r="7355" spans="1:10" x14ac:dyDescent="0.35">
      <c r="A7355" s="5">
        <v>7351</v>
      </c>
      <c r="B7355" s="5">
        <v>307</v>
      </c>
      <c r="C7355" s="5">
        <v>11</v>
      </c>
      <c r="D7355" s="379">
        <v>30.906666666666659</v>
      </c>
      <c r="E7355" s="25">
        <v>26.53</v>
      </c>
      <c r="F7355" s="379">
        <v>24.516751500037408</v>
      </c>
      <c r="G7355" s="25">
        <v>47.85</v>
      </c>
      <c r="H7355" s="379">
        <v>20.088270864635792</v>
      </c>
      <c r="I7355" s="25">
        <v>60.75</v>
      </c>
      <c r="J7355" s="379">
        <v>7.8350998602154691</v>
      </c>
    </row>
    <row r="7356" spans="1:10" x14ac:dyDescent="0.35">
      <c r="A7356" s="5">
        <v>7352</v>
      </c>
      <c r="B7356" s="5">
        <v>307</v>
      </c>
      <c r="C7356" s="5">
        <v>11</v>
      </c>
      <c r="D7356" s="379">
        <v>32.165555555555557</v>
      </c>
      <c r="E7356" s="25">
        <v>30.91</v>
      </c>
      <c r="F7356" s="379">
        <v>24.925639534510864</v>
      </c>
      <c r="G7356" s="25">
        <v>47.85</v>
      </c>
      <c r="H7356" s="379">
        <v>21.486755262176462</v>
      </c>
      <c r="I7356" s="25">
        <v>72.19</v>
      </c>
      <c r="J7356" s="379">
        <v>5.9757152804574742</v>
      </c>
    </row>
    <row r="7357" spans="1:10" x14ac:dyDescent="0.35">
      <c r="A7357" s="5">
        <v>7353</v>
      </c>
      <c r="B7357" s="5">
        <v>307</v>
      </c>
      <c r="C7357" s="5">
        <v>11</v>
      </c>
      <c r="D7357" s="379">
        <v>32.923333333333332</v>
      </c>
      <c r="E7357" s="25">
        <v>30.91</v>
      </c>
      <c r="F7357" s="379">
        <v>21.826608531831724</v>
      </c>
      <c r="G7357" s="25">
        <v>60.31</v>
      </c>
      <c r="H7357" s="379">
        <v>10.31909726581223</v>
      </c>
      <c r="I7357" s="25">
        <v>72.19</v>
      </c>
      <c r="J7357" s="379">
        <v>7.2227540720912478</v>
      </c>
    </row>
    <row r="7358" spans="1:10" x14ac:dyDescent="0.35">
      <c r="A7358" s="5">
        <v>7354</v>
      </c>
      <c r="B7358" s="5">
        <v>307</v>
      </c>
      <c r="C7358" s="5">
        <v>11</v>
      </c>
      <c r="D7358" s="379">
        <v>33.762777777777778</v>
      </c>
      <c r="E7358" s="25">
        <v>28.99</v>
      </c>
      <c r="F7358" s="379">
        <v>8.1174834595959595</v>
      </c>
      <c r="G7358" s="25">
        <v>60.31</v>
      </c>
      <c r="H7358" s="379">
        <v>4.799693804694658</v>
      </c>
      <c r="I7358" s="25">
        <v>72.19</v>
      </c>
      <c r="J7358" s="379">
        <v>4.0038706021109043</v>
      </c>
    </row>
    <row r="7359" spans="1:10" x14ac:dyDescent="0.35">
      <c r="A7359" s="5">
        <v>7355</v>
      </c>
      <c r="B7359" s="5">
        <v>307</v>
      </c>
      <c r="C7359" s="5">
        <v>11</v>
      </c>
      <c r="D7359" s="379">
        <v>33.142777777777781</v>
      </c>
      <c r="E7359" s="25">
        <v>28.15</v>
      </c>
      <c r="F7359" s="379">
        <v>8.1174834595959577</v>
      </c>
      <c r="G7359" s="25">
        <v>57.04</v>
      </c>
      <c r="H7359" s="379">
        <v>10.197007682215663</v>
      </c>
      <c r="I7359" s="25">
        <v>72.19</v>
      </c>
      <c r="J7359" s="379">
        <v>5.2514616042422926</v>
      </c>
    </row>
    <row r="7360" spans="1:10" x14ac:dyDescent="0.35">
      <c r="A7360" s="5">
        <v>7356</v>
      </c>
      <c r="B7360" s="5">
        <v>307</v>
      </c>
      <c r="C7360" s="5">
        <v>11</v>
      </c>
      <c r="D7360" s="379">
        <v>35.139444444444443</v>
      </c>
      <c r="E7360" s="25">
        <v>28.15</v>
      </c>
      <c r="F7360" s="379">
        <v>8.1174834595959595</v>
      </c>
      <c r="G7360" s="25">
        <v>57.04</v>
      </c>
      <c r="H7360" s="379">
        <v>10.019757126288068</v>
      </c>
      <c r="I7360" s="25">
        <v>70.09</v>
      </c>
      <c r="J7360" s="379">
        <v>6.5616185731044574</v>
      </c>
    </row>
    <row r="7361" spans="1:10" x14ac:dyDescent="0.35">
      <c r="A7361" s="5">
        <v>7357</v>
      </c>
      <c r="B7361" s="5">
        <v>307</v>
      </c>
      <c r="C7361" s="5">
        <v>11</v>
      </c>
      <c r="D7361" s="379">
        <v>35.268888888888888</v>
      </c>
      <c r="E7361" s="25">
        <v>28.15</v>
      </c>
      <c r="F7361" s="379">
        <v>0.47222222222222221</v>
      </c>
      <c r="G7361" s="25">
        <v>51.26</v>
      </c>
      <c r="H7361" s="379">
        <v>9.5790842689894777</v>
      </c>
      <c r="I7361" s="25">
        <v>61.36</v>
      </c>
      <c r="J7361" s="379">
        <v>6.5197809100543243</v>
      </c>
    </row>
    <row r="7362" spans="1:10" x14ac:dyDescent="0.35">
      <c r="A7362" s="5">
        <v>7358</v>
      </c>
      <c r="B7362" s="5">
        <v>307</v>
      </c>
      <c r="C7362" s="5">
        <v>11</v>
      </c>
      <c r="D7362" s="379">
        <v>37.802222222222227</v>
      </c>
      <c r="E7362" s="25">
        <v>28.15</v>
      </c>
      <c r="F7362" s="379">
        <v>0.47222222222222221</v>
      </c>
      <c r="G7362" s="25">
        <v>58.75</v>
      </c>
      <c r="H7362" s="379">
        <v>11.035747626245794</v>
      </c>
      <c r="I7362" s="25">
        <v>61.36</v>
      </c>
      <c r="J7362" s="379">
        <v>6.5758776209687682</v>
      </c>
    </row>
    <row r="7363" spans="1:10" x14ac:dyDescent="0.35">
      <c r="A7363" s="5">
        <v>7359</v>
      </c>
      <c r="B7363" s="5">
        <v>307</v>
      </c>
      <c r="C7363" s="5">
        <v>11</v>
      </c>
      <c r="D7363" s="379">
        <v>37.152777777777779</v>
      </c>
      <c r="E7363" s="25">
        <v>29.66</v>
      </c>
      <c r="F7363" s="379">
        <v>8.1174834595959613</v>
      </c>
      <c r="G7363" s="25">
        <v>60.31</v>
      </c>
      <c r="H7363" s="379">
        <v>10.720946439565628</v>
      </c>
      <c r="I7363" s="25">
        <v>66.06</v>
      </c>
      <c r="J7363" s="379">
        <v>5.8433299607329703</v>
      </c>
    </row>
    <row r="7364" spans="1:10" x14ac:dyDescent="0.35">
      <c r="A7364" s="5">
        <v>7360</v>
      </c>
      <c r="B7364" s="5">
        <v>307</v>
      </c>
      <c r="C7364" s="5">
        <v>11</v>
      </c>
      <c r="D7364" s="379">
        <v>38.250555555555543</v>
      </c>
      <c r="E7364" s="25">
        <v>30.91</v>
      </c>
      <c r="F7364" s="379">
        <v>18.356881825517785</v>
      </c>
      <c r="G7364" s="25">
        <v>60.31</v>
      </c>
      <c r="H7364" s="379">
        <v>11.580647790662946</v>
      </c>
      <c r="I7364" s="25">
        <v>66.06</v>
      </c>
      <c r="J7364" s="379">
        <v>7.431684224741546</v>
      </c>
    </row>
    <row r="7365" spans="1:10" x14ac:dyDescent="0.35">
      <c r="A7365" s="5">
        <v>7361</v>
      </c>
      <c r="B7365" s="5">
        <v>307</v>
      </c>
      <c r="C7365" s="5">
        <v>11</v>
      </c>
      <c r="D7365" s="379">
        <v>41.124444444444443</v>
      </c>
      <c r="E7365" s="25">
        <v>34.82</v>
      </c>
      <c r="F7365" s="379">
        <v>25.437013733031471</v>
      </c>
      <c r="G7365" s="25">
        <v>60.51</v>
      </c>
      <c r="H7365" s="379">
        <v>15.094849959211915</v>
      </c>
      <c r="I7365" s="25">
        <v>80.86</v>
      </c>
      <c r="J7365" s="379">
        <v>7.3289746153987538</v>
      </c>
    </row>
    <row r="7366" spans="1:10" x14ac:dyDescent="0.35">
      <c r="A7366" s="5">
        <v>7362</v>
      </c>
      <c r="B7366" s="5">
        <v>307</v>
      </c>
      <c r="C7366" s="5">
        <v>11</v>
      </c>
      <c r="D7366" s="379">
        <v>43.629444444444438</v>
      </c>
      <c r="E7366" s="25">
        <v>37.090000000000003</v>
      </c>
      <c r="F7366" s="379">
        <v>25.473830916323394</v>
      </c>
      <c r="G7366" s="25">
        <v>843.72</v>
      </c>
      <c r="H7366" s="379">
        <v>14.925299742524622</v>
      </c>
      <c r="I7366" s="25">
        <v>843.72</v>
      </c>
      <c r="J7366" s="379">
        <v>7.1582423251866611</v>
      </c>
    </row>
    <row r="7367" spans="1:10" x14ac:dyDescent="0.35">
      <c r="A7367" s="5">
        <v>7363</v>
      </c>
      <c r="B7367" s="5">
        <v>307</v>
      </c>
      <c r="C7367" s="5">
        <v>11</v>
      </c>
      <c r="D7367" s="379">
        <v>43.061111111111103</v>
      </c>
      <c r="E7367" s="25">
        <v>37.090000000000003</v>
      </c>
      <c r="F7367" s="379">
        <v>25.611069113363715</v>
      </c>
      <c r="G7367" s="25">
        <v>843.72</v>
      </c>
      <c r="H7367" s="379">
        <v>14.7134601457348</v>
      </c>
      <c r="I7367" s="25">
        <v>843.72</v>
      </c>
      <c r="J7367" s="379">
        <v>7.1582423251866611</v>
      </c>
    </row>
    <row r="7368" spans="1:10" x14ac:dyDescent="0.35">
      <c r="A7368" s="5">
        <v>7364</v>
      </c>
      <c r="B7368" s="5">
        <v>307</v>
      </c>
      <c r="C7368" s="5">
        <v>11</v>
      </c>
      <c r="D7368" s="379">
        <v>38.272222222222219</v>
      </c>
      <c r="E7368" s="25">
        <v>34.82</v>
      </c>
      <c r="F7368" s="379">
        <v>25.363151890779786</v>
      </c>
      <c r="G7368" s="25">
        <v>62.12</v>
      </c>
      <c r="H7368" s="379">
        <v>15.096644040499337</v>
      </c>
      <c r="I7368" s="25">
        <v>843.72</v>
      </c>
      <c r="J7368" s="379">
        <v>7.1582423251866611</v>
      </c>
    </row>
    <row r="7369" spans="1:10" x14ac:dyDescent="0.35">
      <c r="A7369" s="5">
        <v>7365</v>
      </c>
      <c r="B7369" s="5">
        <v>307</v>
      </c>
      <c r="C7369" s="5">
        <v>11</v>
      </c>
      <c r="D7369" s="379">
        <v>38.428888888888885</v>
      </c>
      <c r="E7369" s="25">
        <v>30.91</v>
      </c>
      <c r="F7369" s="379">
        <v>25.325542418852148</v>
      </c>
      <c r="G7369" s="25">
        <v>60.31</v>
      </c>
      <c r="H7369" s="379">
        <v>14.14344085770778</v>
      </c>
      <c r="I7369" s="25">
        <v>80.86</v>
      </c>
      <c r="J7369" s="379">
        <v>7.1582423251866611</v>
      </c>
    </row>
    <row r="7370" spans="1:10" x14ac:dyDescent="0.35">
      <c r="A7370" s="5">
        <v>7366</v>
      </c>
      <c r="B7370" s="5">
        <v>307</v>
      </c>
      <c r="C7370" s="5">
        <v>11</v>
      </c>
      <c r="D7370" s="379">
        <v>37.383888888888876</v>
      </c>
      <c r="E7370" s="25">
        <v>28.15</v>
      </c>
      <c r="F7370" s="379">
        <v>24.280273688388018</v>
      </c>
      <c r="G7370" s="25">
        <v>47.85</v>
      </c>
      <c r="H7370" s="379">
        <v>14.02244028658998</v>
      </c>
      <c r="I7370" s="25">
        <v>72.19</v>
      </c>
      <c r="J7370" s="379">
        <v>7.1582423251866611</v>
      </c>
    </row>
    <row r="7371" spans="1:10" x14ac:dyDescent="0.35">
      <c r="A7371" s="5">
        <v>7367</v>
      </c>
      <c r="B7371" s="5">
        <v>307</v>
      </c>
      <c r="C7371" s="5">
        <v>11</v>
      </c>
      <c r="D7371" s="379">
        <v>37.197777777777773</v>
      </c>
      <c r="E7371" s="25">
        <v>28.04</v>
      </c>
      <c r="F7371" s="379">
        <v>23.837461446678351</v>
      </c>
      <c r="G7371" s="25">
        <v>47.85</v>
      </c>
      <c r="H7371" s="379">
        <v>13.441413829833362</v>
      </c>
      <c r="I7371" s="25">
        <v>72.19</v>
      </c>
      <c r="J7371" s="379">
        <v>7.6885429216378762</v>
      </c>
    </row>
    <row r="7372" spans="1:10" x14ac:dyDescent="0.35">
      <c r="A7372" s="5">
        <v>7368</v>
      </c>
      <c r="B7372" s="5">
        <v>307</v>
      </c>
      <c r="C7372" s="5">
        <v>11</v>
      </c>
      <c r="D7372" s="379">
        <v>39.501666666666665</v>
      </c>
      <c r="E7372" s="25">
        <v>25.74</v>
      </c>
      <c r="F7372" s="379">
        <v>24.161963759283722</v>
      </c>
      <c r="G7372" s="25">
        <v>47.85</v>
      </c>
      <c r="H7372" s="379">
        <v>14.416698369818713</v>
      </c>
      <c r="I7372" s="25">
        <v>72.19</v>
      </c>
      <c r="J7372" s="379">
        <v>7.7499631332511845</v>
      </c>
    </row>
    <row r="7373" spans="1:10" x14ac:dyDescent="0.35">
      <c r="A7373" s="5">
        <v>7369</v>
      </c>
      <c r="B7373" s="5">
        <v>308</v>
      </c>
      <c r="C7373" s="5">
        <v>11</v>
      </c>
      <c r="D7373" s="379">
        <v>37.258333333333333</v>
      </c>
      <c r="E7373" s="25">
        <v>25.51</v>
      </c>
      <c r="F7373" s="379">
        <v>22.755062657016765</v>
      </c>
      <c r="G7373" s="25">
        <v>47.37</v>
      </c>
      <c r="H7373" s="379">
        <v>14.020697118622888</v>
      </c>
      <c r="I7373" s="25">
        <v>69.430000000000007</v>
      </c>
      <c r="J7373" s="379">
        <v>7.842656803293651</v>
      </c>
    </row>
    <row r="7374" spans="1:10" x14ac:dyDescent="0.35">
      <c r="A7374" s="5">
        <v>7370</v>
      </c>
      <c r="B7374" s="5">
        <v>308</v>
      </c>
      <c r="C7374" s="5">
        <v>11</v>
      </c>
      <c r="D7374" s="379">
        <v>36.849444444444437</v>
      </c>
      <c r="E7374" s="25">
        <v>24.99</v>
      </c>
      <c r="F7374" s="379">
        <v>22.607236446961149</v>
      </c>
      <c r="G7374" s="25">
        <v>47.37</v>
      </c>
      <c r="H7374" s="379">
        <v>12.177465767256146</v>
      </c>
      <c r="I7374" s="25">
        <v>68.73</v>
      </c>
      <c r="J7374" s="379">
        <v>7.8529719535487388</v>
      </c>
    </row>
    <row r="7375" spans="1:10" x14ac:dyDescent="0.35">
      <c r="A7375" s="5">
        <v>7371</v>
      </c>
      <c r="B7375" s="5">
        <v>308</v>
      </c>
      <c r="C7375" s="5">
        <v>11</v>
      </c>
      <c r="D7375" s="379">
        <v>35.879444444444445</v>
      </c>
      <c r="E7375" s="25">
        <v>24.84</v>
      </c>
      <c r="F7375" s="379">
        <v>22.952858257569886</v>
      </c>
      <c r="G7375" s="25">
        <v>44.74</v>
      </c>
      <c r="H7375" s="379">
        <v>12.377880342036748</v>
      </c>
      <c r="I7375" s="25">
        <v>68.73</v>
      </c>
      <c r="J7375" s="379">
        <v>7.8188697309142441</v>
      </c>
    </row>
    <row r="7376" spans="1:10" x14ac:dyDescent="0.35">
      <c r="A7376" s="5">
        <v>7372</v>
      </c>
      <c r="B7376" s="5">
        <v>308</v>
      </c>
      <c r="C7376" s="5">
        <v>11</v>
      </c>
      <c r="D7376" s="379">
        <v>35.237222222222222</v>
      </c>
      <c r="E7376" s="25">
        <v>24.84</v>
      </c>
      <c r="F7376" s="379">
        <v>22.866929585503613</v>
      </c>
      <c r="G7376" s="25">
        <v>44.74</v>
      </c>
      <c r="H7376" s="379">
        <v>12.815827955234408</v>
      </c>
      <c r="I7376" s="25">
        <v>68.73</v>
      </c>
      <c r="J7376" s="379">
        <v>7.817016723140811</v>
      </c>
    </row>
    <row r="7377" spans="1:10" x14ac:dyDescent="0.35">
      <c r="A7377" s="5">
        <v>7373</v>
      </c>
      <c r="B7377" s="5">
        <v>308</v>
      </c>
      <c r="C7377" s="5">
        <v>11</v>
      </c>
      <c r="D7377" s="379">
        <v>35.604999999999997</v>
      </c>
      <c r="E7377" s="25">
        <v>24.84</v>
      </c>
      <c r="F7377" s="379">
        <v>22.961438979554956</v>
      </c>
      <c r="G7377" s="25">
        <v>44.74</v>
      </c>
      <c r="H7377" s="379">
        <v>13.010301874757461</v>
      </c>
      <c r="I7377" s="25">
        <v>68.73</v>
      </c>
      <c r="J7377" s="379">
        <v>7.8188697309142441</v>
      </c>
    </row>
    <row r="7378" spans="1:10" x14ac:dyDescent="0.35">
      <c r="A7378" s="5">
        <v>7374</v>
      </c>
      <c r="B7378" s="5">
        <v>308</v>
      </c>
      <c r="C7378" s="5">
        <v>11</v>
      </c>
      <c r="D7378" s="379">
        <v>37.680555555555557</v>
      </c>
      <c r="E7378" s="25">
        <v>25.25</v>
      </c>
      <c r="F7378" s="379">
        <v>22.955676047820521</v>
      </c>
      <c r="G7378" s="25">
        <v>47.37</v>
      </c>
      <c r="H7378" s="379">
        <v>14.268935658226276</v>
      </c>
      <c r="I7378" s="25">
        <v>68.73</v>
      </c>
      <c r="J7378" s="379">
        <v>7.8044222526920697</v>
      </c>
    </row>
    <row r="7379" spans="1:10" x14ac:dyDescent="0.35">
      <c r="A7379" s="5">
        <v>7375</v>
      </c>
      <c r="B7379" s="5">
        <v>308</v>
      </c>
      <c r="C7379" s="5">
        <v>11</v>
      </c>
      <c r="D7379" s="379">
        <v>43.588333333333331</v>
      </c>
      <c r="E7379" s="25">
        <v>26.51</v>
      </c>
      <c r="F7379" s="379">
        <v>23.067468600471479</v>
      </c>
      <c r="G7379" s="25">
        <v>47.37</v>
      </c>
      <c r="H7379" s="379">
        <v>13.865637446575706</v>
      </c>
      <c r="I7379" s="25">
        <v>74.7</v>
      </c>
      <c r="J7379" s="379">
        <v>7.7606724274565213</v>
      </c>
    </row>
    <row r="7380" spans="1:10" x14ac:dyDescent="0.35">
      <c r="A7380" s="5">
        <v>7376</v>
      </c>
      <c r="B7380" s="5">
        <v>308</v>
      </c>
      <c r="C7380" s="5">
        <v>11</v>
      </c>
      <c r="D7380" s="379">
        <v>49.155000000000001</v>
      </c>
      <c r="E7380" s="25">
        <v>30.01</v>
      </c>
      <c r="F7380" s="379">
        <v>24.652044158043754</v>
      </c>
      <c r="G7380" s="25">
        <v>52.67</v>
      </c>
      <c r="H7380" s="379">
        <v>14.294507119809074</v>
      </c>
      <c r="I7380" s="25">
        <v>80.05</v>
      </c>
      <c r="J7380" s="379">
        <v>7.7896185553534378</v>
      </c>
    </row>
    <row r="7381" spans="1:10" x14ac:dyDescent="0.35">
      <c r="A7381" s="5">
        <v>7377</v>
      </c>
      <c r="B7381" s="5">
        <v>308</v>
      </c>
      <c r="C7381" s="5">
        <v>11</v>
      </c>
      <c r="D7381" s="379">
        <v>48.498333333333328</v>
      </c>
      <c r="E7381" s="25">
        <v>29.14</v>
      </c>
      <c r="F7381" s="379">
        <v>25.133800397914754</v>
      </c>
      <c r="G7381" s="25">
        <v>54.15</v>
      </c>
      <c r="H7381" s="379">
        <v>13.403698554378616</v>
      </c>
      <c r="I7381" s="25">
        <v>566.79999999999995</v>
      </c>
      <c r="J7381" s="379">
        <v>7.6868652853035195</v>
      </c>
    </row>
    <row r="7382" spans="1:10" x14ac:dyDescent="0.35">
      <c r="A7382" s="5">
        <v>7378</v>
      </c>
      <c r="B7382" s="5">
        <v>308</v>
      </c>
      <c r="C7382" s="5">
        <v>11</v>
      </c>
      <c r="D7382" s="379">
        <v>46.895000000000003</v>
      </c>
      <c r="E7382" s="25">
        <v>27.33</v>
      </c>
      <c r="F7382" s="379">
        <v>23.098212675596567</v>
      </c>
      <c r="G7382" s="25">
        <v>52.67</v>
      </c>
      <c r="H7382" s="379">
        <v>11.453419481372084</v>
      </c>
      <c r="I7382" s="25">
        <v>80.05</v>
      </c>
      <c r="J7382" s="379">
        <v>7.4188646332669252</v>
      </c>
    </row>
    <row r="7383" spans="1:10" x14ac:dyDescent="0.35">
      <c r="A7383" s="5">
        <v>7379</v>
      </c>
      <c r="B7383" s="5">
        <v>308</v>
      </c>
      <c r="C7383" s="5">
        <v>11</v>
      </c>
      <c r="D7383" s="379">
        <v>44.891666666666659</v>
      </c>
      <c r="E7383" s="25">
        <v>27.3</v>
      </c>
      <c r="F7383" s="379">
        <v>14.107933176802009</v>
      </c>
      <c r="G7383" s="25">
        <v>51.04</v>
      </c>
      <c r="H7383" s="379">
        <v>10.476316974672834</v>
      </c>
      <c r="I7383" s="25">
        <v>68.73</v>
      </c>
      <c r="J7383" s="379">
        <v>5.14497720642286</v>
      </c>
    </row>
    <row r="7384" spans="1:10" x14ac:dyDescent="0.35">
      <c r="A7384" s="5">
        <v>7380</v>
      </c>
      <c r="B7384" s="5">
        <v>308</v>
      </c>
      <c r="C7384" s="5">
        <v>11</v>
      </c>
      <c r="D7384" s="379">
        <v>42.893888888888881</v>
      </c>
      <c r="E7384" s="25">
        <v>27.3</v>
      </c>
      <c r="F7384" s="379">
        <v>13.324820242312349</v>
      </c>
      <c r="G7384" s="25">
        <v>47.85</v>
      </c>
      <c r="H7384" s="379">
        <v>10.790060018949148</v>
      </c>
      <c r="I7384" s="25">
        <v>68.73</v>
      </c>
      <c r="J7384" s="379">
        <v>6.8804734403301486</v>
      </c>
    </row>
    <row r="7385" spans="1:10" x14ac:dyDescent="0.35">
      <c r="A7385" s="5">
        <v>7381</v>
      </c>
      <c r="B7385" s="5">
        <v>308</v>
      </c>
      <c r="C7385" s="5">
        <v>11</v>
      </c>
      <c r="D7385" s="379">
        <v>39.882777777777775</v>
      </c>
      <c r="E7385" s="25">
        <v>27.3</v>
      </c>
      <c r="F7385" s="379">
        <v>7.5219005735571898</v>
      </c>
      <c r="G7385" s="25">
        <v>47.85</v>
      </c>
      <c r="H7385" s="379">
        <v>11.284809871312204</v>
      </c>
      <c r="I7385" s="25">
        <v>68.73</v>
      </c>
      <c r="J7385" s="379">
        <v>6.6135094895861446</v>
      </c>
    </row>
    <row r="7386" spans="1:10" x14ac:dyDescent="0.35">
      <c r="A7386" s="5">
        <v>7382</v>
      </c>
      <c r="B7386" s="5">
        <v>308</v>
      </c>
      <c r="C7386" s="5">
        <v>11</v>
      </c>
      <c r="D7386" s="379">
        <v>40.234999999999999</v>
      </c>
      <c r="E7386" s="25">
        <v>27.33</v>
      </c>
      <c r="F7386" s="379">
        <v>8.7375895788889011</v>
      </c>
      <c r="G7386" s="25">
        <v>47.85</v>
      </c>
      <c r="H7386" s="379">
        <v>10.871847058953195</v>
      </c>
      <c r="I7386" s="25">
        <v>68.73</v>
      </c>
      <c r="J7386" s="379">
        <v>6.8393945333187141</v>
      </c>
    </row>
    <row r="7387" spans="1:10" x14ac:dyDescent="0.35">
      <c r="A7387" s="5">
        <v>7383</v>
      </c>
      <c r="B7387" s="5">
        <v>308</v>
      </c>
      <c r="C7387" s="5">
        <v>11</v>
      </c>
      <c r="D7387" s="379">
        <v>40.214444444444439</v>
      </c>
      <c r="E7387" s="25">
        <v>27.33</v>
      </c>
      <c r="F7387" s="379">
        <v>13.63338839335049</v>
      </c>
      <c r="G7387" s="25">
        <v>47.85</v>
      </c>
      <c r="H7387" s="379">
        <v>11.249325464736469</v>
      </c>
      <c r="I7387" s="25">
        <v>68.73</v>
      </c>
      <c r="J7387" s="379">
        <v>6.8804734403301486</v>
      </c>
    </row>
    <row r="7388" spans="1:10" x14ac:dyDescent="0.35">
      <c r="A7388" s="5">
        <v>7384</v>
      </c>
      <c r="B7388" s="5">
        <v>308</v>
      </c>
      <c r="C7388" s="5">
        <v>11</v>
      </c>
      <c r="D7388" s="379">
        <v>41.599999999999994</v>
      </c>
      <c r="E7388" s="25">
        <v>28.97</v>
      </c>
      <c r="F7388" s="379">
        <v>15.538672004116012</v>
      </c>
      <c r="G7388" s="25">
        <v>47.85</v>
      </c>
      <c r="H7388" s="379">
        <v>11.272060624290955</v>
      </c>
      <c r="I7388" s="25">
        <v>68.73</v>
      </c>
      <c r="J7388" s="379">
        <v>7.372369868224327</v>
      </c>
    </row>
    <row r="7389" spans="1:10" x14ac:dyDescent="0.35">
      <c r="A7389" s="5">
        <v>7385</v>
      </c>
      <c r="B7389" s="5">
        <v>308</v>
      </c>
      <c r="C7389" s="5">
        <v>11</v>
      </c>
      <c r="D7389" s="379">
        <v>44.784999999999997</v>
      </c>
      <c r="E7389" s="25">
        <v>30.01</v>
      </c>
      <c r="F7389" s="379">
        <v>25.111563789611552</v>
      </c>
      <c r="G7389" s="25">
        <v>56.29</v>
      </c>
      <c r="H7389" s="379">
        <v>12.5050589770321</v>
      </c>
      <c r="I7389" s="25">
        <v>553.95000000000005</v>
      </c>
      <c r="J7389" s="379">
        <v>7.4301550171602626</v>
      </c>
    </row>
    <row r="7390" spans="1:10" x14ac:dyDescent="0.35">
      <c r="A7390" s="5">
        <v>7386</v>
      </c>
      <c r="B7390" s="5">
        <v>308</v>
      </c>
      <c r="C7390" s="5">
        <v>11</v>
      </c>
      <c r="D7390" s="379">
        <v>51.458888888888893</v>
      </c>
      <c r="E7390" s="25">
        <v>32.119999999999997</v>
      </c>
      <c r="F7390" s="379">
        <v>24.964170954712454</v>
      </c>
      <c r="G7390" s="25">
        <v>64.2</v>
      </c>
      <c r="H7390" s="379">
        <v>11.543158518467687</v>
      </c>
      <c r="I7390" s="25">
        <v>819.14</v>
      </c>
      <c r="J7390" s="379">
        <v>7.1473989929051465</v>
      </c>
    </row>
    <row r="7391" spans="1:10" x14ac:dyDescent="0.35">
      <c r="A7391" s="5">
        <v>7387</v>
      </c>
      <c r="B7391" s="5">
        <v>308</v>
      </c>
      <c r="C7391" s="5">
        <v>11</v>
      </c>
      <c r="D7391" s="379">
        <v>56.857777777777784</v>
      </c>
      <c r="E7391" s="25">
        <v>30.91</v>
      </c>
      <c r="F7391" s="379">
        <v>25.057224979363951</v>
      </c>
      <c r="G7391" s="25">
        <v>843.72</v>
      </c>
      <c r="H7391" s="379">
        <v>11.459572854028961</v>
      </c>
      <c r="I7391" s="25">
        <v>819.14</v>
      </c>
      <c r="J7391" s="379">
        <v>7.1152116697585699</v>
      </c>
    </row>
    <row r="7392" spans="1:10" x14ac:dyDescent="0.35">
      <c r="A7392" s="5">
        <v>7388</v>
      </c>
      <c r="B7392" s="5">
        <v>308</v>
      </c>
      <c r="C7392" s="5">
        <v>11</v>
      </c>
      <c r="D7392" s="379">
        <v>52.234999999999999</v>
      </c>
      <c r="E7392" s="25">
        <v>30.01</v>
      </c>
      <c r="F7392" s="379">
        <v>25.019449324597133</v>
      </c>
      <c r="G7392" s="25">
        <v>62.12</v>
      </c>
      <c r="H7392" s="379">
        <v>12.036325225753311</v>
      </c>
      <c r="I7392" s="25">
        <v>819.14</v>
      </c>
      <c r="J7392" s="379">
        <v>7.1473989929051465</v>
      </c>
    </row>
    <row r="7393" spans="1:10" x14ac:dyDescent="0.35">
      <c r="A7393" s="5">
        <v>7389</v>
      </c>
      <c r="B7393" s="5">
        <v>308</v>
      </c>
      <c r="C7393" s="5">
        <v>11</v>
      </c>
      <c r="D7393" s="379">
        <v>47.376666666666658</v>
      </c>
      <c r="E7393" s="25">
        <v>28.15</v>
      </c>
      <c r="F7393" s="379">
        <v>25.186730654406688</v>
      </c>
      <c r="G7393" s="25">
        <v>54.25</v>
      </c>
      <c r="H7393" s="379">
        <v>11.13627547480451</v>
      </c>
      <c r="I7393" s="25">
        <v>585.74</v>
      </c>
      <c r="J7393" s="379">
        <v>7.1569715772844926</v>
      </c>
    </row>
    <row r="7394" spans="1:10" x14ac:dyDescent="0.35">
      <c r="A7394" s="5">
        <v>7390</v>
      </c>
      <c r="B7394" s="5">
        <v>308</v>
      </c>
      <c r="C7394" s="5">
        <v>11</v>
      </c>
      <c r="D7394" s="379">
        <v>46.148333333333326</v>
      </c>
      <c r="E7394" s="25">
        <v>26.51</v>
      </c>
      <c r="F7394" s="379">
        <v>22.61856830219309</v>
      </c>
      <c r="G7394" s="25">
        <v>47.85</v>
      </c>
      <c r="H7394" s="379">
        <v>11.345294307548118</v>
      </c>
      <c r="I7394" s="25">
        <v>93.24</v>
      </c>
      <c r="J7394" s="379">
        <v>7.180978544151329</v>
      </c>
    </row>
    <row r="7395" spans="1:10" x14ac:dyDescent="0.35">
      <c r="A7395" s="5">
        <v>7391</v>
      </c>
      <c r="B7395" s="5">
        <v>308</v>
      </c>
      <c r="C7395" s="5">
        <v>11</v>
      </c>
      <c r="D7395" s="379">
        <v>44.548333333333339</v>
      </c>
      <c r="E7395" s="25">
        <v>26.51</v>
      </c>
      <c r="F7395" s="379">
        <v>22.614314719473338</v>
      </c>
      <c r="G7395" s="25">
        <v>47.85</v>
      </c>
      <c r="H7395" s="379">
        <v>10.781836550170087</v>
      </c>
      <c r="I7395" s="25">
        <v>96.04</v>
      </c>
      <c r="J7395" s="379">
        <v>7.1470381048277245</v>
      </c>
    </row>
    <row r="7396" spans="1:10" x14ac:dyDescent="0.35">
      <c r="A7396" s="5">
        <v>7392</v>
      </c>
      <c r="B7396" s="5">
        <v>308</v>
      </c>
      <c r="C7396" s="5">
        <v>11</v>
      </c>
      <c r="D7396" s="379">
        <v>41.559444444444445</v>
      </c>
      <c r="E7396" s="25">
        <v>25.74</v>
      </c>
      <c r="F7396" s="379">
        <v>22.636242112259158</v>
      </c>
      <c r="G7396" s="25">
        <v>47.85</v>
      </c>
      <c r="H7396" s="379">
        <v>10.529203218002392</v>
      </c>
      <c r="I7396" s="25">
        <v>81.63</v>
      </c>
      <c r="J7396" s="379">
        <v>6.9102088710871259</v>
      </c>
    </row>
    <row r="7397" spans="1:10" x14ac:dyDescent="0.35">
      <c r="A7397" s="5">
        <v>7393</v>
      </c>
      <c r="B7397" s="5">
        <v>309</v>
      </c>
      <c r="C7397" s="5">
        <v>11</v>
      </c>
      <c r="D7397" s="379">
        <v>31.768333333333327</v>
      </c>
      <c r="E7397" s="25">
        <v>25.74</v>
      </c>
      <c r="F7397" s="379">
        <v>22.64785491172276</v>
      </c>
      <c r="G7397" s="25">
        <v>47.85</v>
      </c>
      <c r="H7397" s="379">
        <v>10.502626241392401</v>
      </c>
      <c r="I7397" s="25">
        <v>81.63</v>
      </c>
      <c r="J7397" s="379">
        <v>7.090510856195559</v>
      </c>
    </row>
    <row r="7398" spans="1:10" x14ac:dyDescent="0.35">
      <c r="A7398" s="5">
        <v>7394</v>
      </c>
      <c r="B7398" s="5">
        <v>309</v>
      </c>
      <c r="C7398" s="5">
        <v>11</v>
      </c>
      <c r="D7398" s="379">
        <v>32.121111111111112</v>
      </c>
      <c r="E7398" s="25">
        <v>25.29</v>
      </c>
      <c r="F7398" s="379">
        <v>22.912626331330561</v>
      </c>
      <c r="G7398" s="25">
        <v>47.85</v>
      </c>
      <c r="H7398" s="379">
        <v>10.707425819951228</v>
      </c>
      <c r="I7398" s="25">
        <v>81.63</v>
      </c>
      <c r="J7398" s="379">
        <v>7.3247785805338381</v>
      </c>
    </row>
    <row r="7399" spans="1:10" x14ac:dyDescent="0.35">
      <c r="A7399" s="5">
        <v>7395</v>
      </c>
      <c r="B7399" s="5">
        <v>309</v>
      </c>
      <c r="C7399" s="5">
        <v>11</v>
      </c>
      <c r="D7399" s="379">
        <v>30.968888888888891</v>
      </c>
      <c r="E7399" s="25">
        <v>24.99</v>
      </c>
      <c r="F7399" s="379">
        <v>22.723042936702708</v>
      </c>
      <c r="G7399" s="25">
        <v>47.85</v>
      </c>
      <c r="H7399" s="379">
        <v>11.516411610189824</v>
      </c>
      <c r="I7399" s="25">
        <v>80.81</v>
      </c>
      <c r="J7399" s="379">
        <v>7.3383096072109222</v>
      </c>
    </row>
    <row r="7400" spans="1:10" x14ac:dyDescent="0.35">
      <c r="A7400" s="5">
        <v>7396</v>
      </c>
      <c r="B7400" s="5">
        <v>309</v>
      </c>
      <c r="C7400" s="5">
        <v>11</v>
      </c>
      <c r="D7400" s="379">
        <v>29.165555555555557</v>
      </c>
      <c r="E7400" s="25">
        <v>24.99</v>
      </c>
      <c r="F7400" s="379">
        <v>22.408550684278698</v>
      </c>
      <c r="G7400" s="25">
        <v>47.85</v>
      </c>
      <c r="H7400" s="379">
        <v>10.333188050110218</v>
      </c>
      <c r="I7400" s="25">
        <v>80.81</v>
      </c>
      <c r="J7400" s="379">
        <v>7.4046462432633069</v>
      </c>
    </row>
    <row r="7401" spans="1:10" x14ac:dyDescent="0.35">
      <c r="A7401" s="5">
        <v>7397</v>
      </c>
      <c r="B7401" s="5">
        <v>309</v>
      </c>
      <c r="C7401" s="5">
        <v>11</v>
      </c>
      <c r="D7401" s="379">
        <v>29.071111111111108</v>
      </c>
      <c r="E7401" s="25">
        <v>25.29</v>
      </c>
      <c r="F7401" s="379">
        <v>22.100045845836576</v>
      </c>
      <c r="G7401" s="25">
        <v>47.85</v>
      </c>
      <c r="H7401" s="379">
        <v>10.574540817508131</v>
      </c>
      <c r="I7401" s="25">
        <v>80.81</v>
      </c>
      <c r="J7401" s="379">
        <v>7.2729198484588498</v>
      </c>
    </row>
    <row r="7402" spans="1:10" x14ac:dyDescent="0.35">
      <c r="A7402" s="5">
        <v>7398</v>
      </c>
      <c r="B7402" s="5">
        <v>309</v>
      </c>
      <c r="C7402" s="5">
        <v>11</v>
      </c>
      <c r="D7402" s="379">
        <v>29.830555555555559</v>
      </c>
      <c r="E7402" s="25">
        <v>25.74</v>
      </c>
      <c r="F7402" s="379">
        <v>23.178202911901444</v>
      </c>
      <c r="G7402" s="25">
        <v>47.85</v>
      </c>
      <c r="H7402" s="379">
        <v>7.9706690623745589</v>
      </c>
      <c r="I7402" s="25">
        <v>81.63</v>
      </c>
      <c r="J7402" s="379">
        <v>7.0930624719489135</v>
      </c>
    </row>
    <row r="7403" spans="1:10" x14ac:dyDescent="0.35">
      <c r="A7403" s="5">
        <v>7399</v>
      </c>
      <c r="B7403" s="5">
        <v>309</v>
      </c>
      <c r="C7403" s="5">
        <v>11</v>
      </c>
      <c r="D7403" s="379">
        <v>31.001111111111111</v>
      </c>
      <c r="E7403" s="25">
        <v>27.96</v>
      </c>
      <c r="F7403" s="379">
        <v>24.061440730815505</v>
      </c>
      <c r="G7403" s="25">
        <v>57.04</v>
      </c>
      <c r="H7403" s="379">
        <v>11.787764877232764</v>
      </c>
      <c r="I7403" s="25">
        <v>553.95000000000005</v>
      </c>
      <c r="J7403" s="379">
        <v>6.6549119102018324</v>
      </c>
    </row>
    <row r="7404" spans="1:10" x14ac:dyDescent="0.35">
      <c r="A7404" s="5">
        <v>7400</v>
      </c>
      <c r="B7404" s="5">
        <v>309</v>
      </c>
      <c r="C7404" s="5">
        <v>11</v>
      </c>
      <c r="D7404" s="379">
        <v>35.768333333333338</v>
      </c>
      <c r="E7404" s="25">
        <v>31.84</v>
      </c>
      <c r="F7404" s="379">
        <v>23.818176472374702</v>
      </c>
      <c r="G7404" s="25">
        <v>60.51</v>
      </c>
      <c r="H7404" s="379">
        <v>12.371562590936492</v>
      </c>
      <c r="I7404" s="25">
        <v>843.72</v>
      </c>
      <c r="J7404" s="379">
        <v>7.100229425706309</v>
      </c>
    </row>
    <row r="7405" spans="1:10" x14ac:dyDescent="0.35">
      <c r="A7405" s="5">
        <v>7401</v>
      </c>
      <c r="B7405" s="5">
        <v>309</v>
      </c>
      <c r="C7405" s="5">
        <v>11</v>
      </c>
      <c r="D7405" s="379">
        <v>36.323333333333338</v>
      </c>
      <c r="E7405" s="25">
        <v>32.79</v>
      </c>
      <c r="F7405" s="379">
        <v>24.808715184309104</v>
      </c>
      <c r="G7405" s="25">
        <v>60.51</v>
      </c>
      <c r="H7405" s="379">
        <v>11.893338092083299</v>
      </c>
      <c r="I7405" s="25">
        <v>843.72</v>
      </c>
      <c r="J7405" s="379">
        <v>7.0725892237361476</v>
      </c>
    </row>
    <row r="7406" spans="1:10" x14ac:dyDescent="0.35">
      <c r="A7406" s="5">
        <v>7402</v>
      </c>
      <c r="B7406" s="5">
        <v>309</v>
      </c>
      <c r="C7406" s="5">
        <v>11</v>
      </c>
      <c r="D7406" s="379">
        <v>37.183333333333337</v>
      </c>
      <c r="E7406" s="25">
        <v>34.82</v>
      </c>
      <c r="F7406" s="379">
        <v>23.191874399518948</v>
      </c>
      <c r="G7406" s="25">
        <v>60.51</v>
      </c>
      <c r="H7406" s="379">
        <v>11.145497575302734</v>
      </c>
      <c r="I7406" s="25">
        <v>843.72</v>
      </c>
      <c r="J7406" s="379">
        <v>7.3612813276384825</v>
      </c>
    </row>
    <row r="7407" spans="1:10" x14ac:dyDescent="0.35">
      <c r="A7407" s="5">
        <v>7403</v>
      </c>
      <c r="B7407" s="5">
        <v>309</v>
      </c>
      <c r="C7407" s="5">
        <v>11</v>
      </c>
      <c r="D7407" s="379">
        <v>35.798888888888889</v>
      </c>
      <c r="E7407" s="25">
        <v>31.84</v>
      </c>
      <c r="F7407" s="379">
        <v>14.017881882112931</v>
      </c>
      <c r="G7407" s="25">
        <v>60.51</v>
      </c>
      <c r="H7407" s="379">
        <v>10.736765643905576</v>
      </c>
      <c r="I7407" s="25">
        <v>97.01</v>
      </c>
      <c r="J7407" s="379">
        <v>6.330650980891054</v>
      </c>
    </row>
    <row r="7408" spans="1:10" x14ac:dyDescent="0.35">
      <c r="A7408" s="5">
        <v>7404</v>
      </c>
      <c r="B7408" s="5">
        <v>309</v>
      </c>
      <c r="C7408" s="5">
        <v>11</v>
      </c>
      <c r="D7408" s="379">
        <v>33.93555555555556</v>
      </c>
      <c r="E7408" s="25">
        <v>31.84</v>
      </c>
      <c r="F7408" s="379">
        <v>13.324820242312349</v>
      </c>
      <c r="G7408" s="25">
        <v>60.51</v>
      </c>
      <c r="H7408" s="379">
        <v>10.485571083736533</v>
      </c>
      <c r="I7408" s="25">
        <v>82.45</v>
      </c>
      <c r="J7408" s="379">
        <v>6.5850573896711673</v>
      </c>
    </row>
    <row r="7409" spans="1:10" x14ac:dyDescent="0.35">
      <c r="A7409" s="5">
        <v>7405</v>
      </c>
      <c r="B7409" s="5">
        <v>309</v>
      </c>
      <c r="C7409" s="5">
        <v>11</v>
      </c>
      <c r="D7409" s="379">
        <v>32.805</v>
      </c>
      <c r="E7409" s="25">
        <v>31.84</v>
      </c>
      <c r="F7409" s="379">
        <v>13.324820242312349</v>
      </c>
      <c r="G7409" s="25">
        <v>57.04</v>
      </c>
      <c r="H7409" s="379">
        <v>10.215403407761398</v>
      </c>
      <c r="I7409" s="25">
        <v>82.45</v>
      </c>
      <c r="J7409" s="379">
        <v>6.3362591249460856</v>
      </c>
    </row>
    <row r="7410" spans="1:10" x14ac:dyDescent="0.35">
      <c r="A7410" s="5">
        <v>7406</v>
      </c>
      <c r="B7410" s="5">
        <v>309</v>
      </c>
      <c r="C7410" s="5">
        <v>11</v>
      </c>
      <c r="D7410" s="379">
        <v>31.480555555555554</v>
      </c>
      <c r="E7410" s="25">
        <v>29.83</v>
      </c>
      <c r="F7410" s="379">
        <v>13.362231591589701</v>
      </c>
      <c r="G7410" s="25">
        <v>57.04</v>
      </c>
      <c r="H7410" s="379">
        <v>10.400724230365007</v>
      </c>
      <c r="I7410" s="25">
        <v>82.45</v>
      </c>
      <c r="J7410" s="379">
        <v>6.3860424873335422</v>
      </c>
    </row>
    <row r="7411" spans="1:10" x14ac:dyDescent="0.35">
      <c r="A7411" s="5">
        <v>7407</v>
      </c>
      <c r="B7411" s="5">
        <v>309</v>
      </c>
      <c r="C7411" s="5">
        <v>11</v>
      </c>
      <c r="D7411" s="379">
        <v>32.956666666666656</v>
      </c>
      <c r="E7411" s="25">
        <v>28.99</v>
      </c>
      <c r="F7411" s="379">
        <v>13.832562234594526</v>
      </c>
      <c r="G7411" s="25">
        <v>58.75</v>
      </c>
      <c r="H7411" s="379">
        <v>10.438804451471167</v>
      </c>
      <c r="I7411" s="25">
        <v>82.45</v>
      </c>
      <c r="J7411" s="379">
        <v>5.6042301632748801</v>
      </c>
    </row>
    <row r="7412" spans="1:10" x14ac:dyDescent="0.35">
      <c r="A7412" s="5">
        <v>7408</v>
      </c>
      <c r="B7412" s="5">
        <v>309</v>
      </c>
      <c r="C7412" s="5">
        <v>11</v>
      </c>
      <c r="D7412" s="379">
        <v>35.766666666666666</v>
      </c>
      <c r="E7412" s="25">
        <v>28.99</v>
      </c>
      <c r="F7412" s="379">
        <v>22.591380404107792</v>
      </c>
      <c r="G7412" s="25">
        <v>60.51</v>
      </c>
      <c r="H7412" s="379">
        <v>10.230901773052235</v>
      </c>
      <c r="I7412" s="25">
        <v>82.45</v>
      </c>
      <c r="J7412" s="379">
        <v>5.1440520114849972</v>
      </c>
    </row>
    <row r="7413" spans="1:10" x14ac:dyDescent="0.35">
      <c r="A7413" s="5">
        <v>7409</v>
      </c>
      <c r="B7413" s="5">
        <v>309</v>
      </c>
      <c r="C7413" s="5">
        <v>11</v>
      </c>
      <c r="D7413" s="379">
        <v>39.045555555555552</v>
      </c>
      <c r="E7413" s="25">
        <v>31.84</v>
      </c>
      <c r="F7413" s="379">
        <v>24.427267939417536</v>
      </c>
      <c r="G7413" s="25">
        <v>60.51</v>
      </c>
      <c r="H7413" s="379">
        <v>9.2430852841079592</v>
      </c>
      <c r="I7413" s="25">
        <v>97.01</v>
      </c>
      <c r="J7413" s="379">
        <v>6.4505920491100186</v>
      </c>
    </row>
    <row r="7414" spans="1:10" x14ac:dyDescent="0.35">
      <c r="A7414" s="5">
        <v>7410</v>
      </c>
      <c r="B7414" s="5">
        <v>309</v>
      </c>
      <c r="C7414" s="5">
        <v>11</v>
      </c>
      <c r="D7414" s="379">
        <v>41.77</v>
      </c>
      <c r="E7414" s="25">
        <v>33.81</v>
      </c>
      <c r="F7414" s="379">
        <v>24.415151195679133</v>
      </c>
      <c r="G7414" s="25">
        <v>62.12</v>
      </c>
      <c r="H7414" s="379">
        <v>9.2298285538292255</v>
      </c>
      <c r="I7414" s="25">
        <v>843.72</v>
      </c>
      <c r="J7414" s="379">
        <v>6.4443152146826161</v>
      </c>
    </row>
    <row r="7415" spans="1:10" x14ac:dyDescent="0.35">
      <c r="A7415" s="5">
        <v>7411</v>
      </c>
      <c r="B7415" s="5">
        <v>309</v>
      </c>
      <c r="C7415" s="5">
        <v>11</v>
      </c>
      <c r="D7415" s="379">
        <v>39.766111111111108</v>
      </c>
      <c r="E7415" s="25">
        <v>31.84</v>
      </c>
      <c r="F7415" s="379">
        <v>23.771700163662192</v>
      </c>
      <c r="G7415" s="25">
        <v>60.51</v>
      </c>
      <c r="H7415" s="379">
        <v>8.5441709673066946</v>
      </c>
      <c r="I7415" s="25">
        <v>843.72</v>
      </c>
      <c r="J7415" s="379">
        <v>4.5188379327867318</v>
      </c>
    </row>
    <row r="7416" spans="1:10" x14ac:dyDescent="0.35">
      <c r="A7416" s="5">
        <v>7412</v>
      </c>
      <c r="B7416" s="5">
        <v>309</v>
      </c>
      <c r="C7416" s="5">
        <v>11</v>
      </c>
      <c r="D7416" s="379">
        <v>31.817777777777781</v>
      </c>
      <c r="E7416" s="25">
        <v>28.97</v>
      </c>
      <c r="F7416" s="379">
        <v>24.680740186795138</v>
      </c>
      <c r="G7416" s="25">
        <v>60.51</v>
      </c>
      <c r="H7416" s="379">
        <v>9.7453577198155212</v>
      </c>
      <c r="I7416" s="25">
        <v>795.29</v>
      </c>
      <c r="J7416" s="379">
        <v>5.5795655985632022</v>
      </c>
    </row>
    <row r="7417" spans="1:10" x14ac:dyDescent="0.35">
      <c r="A7417" s="5">
        <v>7413</v>
      </c>
      <c r="B7417" s="5">
        <v>309</v>
      </c>
      <c r="C7417" s="5">
        <v>11</v>
      </c>
      <c r="D7417" s="379">
        <v>28.439999999999998</v>
      </c>
      <c r="E7417" s="25">
        <v>27.72</v>
      </c>
      <c r="F7417" s="379">
        <v>23.87458549673876</v>
      </c>
      <c r="G7417" s="25">
        <v>47.85</v>
      </c>
      <c r="H7417" s="379">
        <v>10.372775335560668</v>
      </c>
      <c r="I7417" s="25">
        <v>93.24</v>
      </c>
      <c r="J7417" s="379">
        <v>5.5855716864525276</v>
      </c>
    </row>
    <row r="7418" spans="1:10" x14ac:dyDescent="0.35">
      <c r="A7418" s="5">
        <v>7414</v>
      </c>
      <c r="B7418" s="5">
        <v>309</v>
      </c>
      <c r="C7418" s="5">
        <v>11</v>
      </c>
      <c r="D7418" s="379">
        <v>28.18611111111111</v>
      </c>
      <c r="E7418" s="25">
        <v>25.74</v>
      </c>
      <c r="F7418" s="379">
        <v>22.253385574053119</v>
      </c>
      <c r="G7418" s="25">
        <v>47.85</v>
      </c>
      <c r="H7418" s="379">
        <v>8.8639052394116522</v>
      </c>
      <c r="I7418" s="25">
        <v>80.81</v>
      </c>
      <c r="J7418" s="379">
        <v>2.8397782353264018</v>
      </c>
    </row>
    <row r="7419" spans="1:10" x14ac:dyDescent="0.35">
      <c r="A7419" s="5">
        <v>7415</v>
      </c>
      <c r="B7419" s="5">
        <v>309</v>
      </c>
      <c r="C7419" s="5">
        <v>11</v>
      </c>
      <c r="D7419" s="379">
        <v>26.926111111111108</v>
      </c>
      <c r="E7419" s="25">
        <v>25.74</v>
      </c>
      <c r="F7419" s="379">
        <v>12.127370329493106</v>
      </c>
      <c r="G7419" s="25">
        <v>47.85</v>
      </c>
      <c r="H7419" s="379">
        <v>8.9938685671775627</v>
      </c>
      <c r="I7419" s="25">
        <v>79.25</v>
      </c>
      <c r="J7419" s="379">
        <v>4.2885724990112557</v>
      </c>
    </row>
    <row r="7420" spans="1:10" x14ac:dyDescent="0.35">
      <c r="A7420" s="5">
        <v>7416</v>
      </c>
      <c r="B7420" s="5">
        <v>309</v>
      </c>
      <c r="C7420" s="5">
        <v>11</v>
      </c>
      <c r="D7420" s="379">
        <v>26.806111111111107</v>
      </c>
      <c r="E7420" s="25">
        <v>25.29</v>
      </c>
      <c r="F7420" s="379">
        <v>11.453615138521155</v>
      </c>
      <c r="G7420" s="25">
        <v>47.46</v>
      </c>
      <c r="H7420" s="379">
        <v>8.1970008918162893</v>
      </c>
      <c r="I7420" s="25">
        <v>68.05</v>
      </c>
      <c r="J7420" s="379">
        <v>5.5536492917685676</v>
      </c>
    </row>
    <row r="7421" spans="1:10" x14ac:dyDescent="0.35">
      <c r="A7421" s="5">
        <v>7417</v>
      </c>
      <c r="B7421" s="5">
        <v>310</v>
      </c>
      <c r="C7421" s="5">
        <v>11</v>
      </c>
      <c r="D7421" s="379">
        <v>26.696111111111108</v>
      </c>
      <c r="E7421" s="25">
        <v>24.84</v>
      </c>
      <c r="F7421" s="379">
        <v>11.569770693996727</v>
      </c>
      <c r="G7421" s="25">
        <v>42.29</v>
      </c>
      <c r="H7421" s="379">
        <v>6.6301592593805836</v>
      </c>
      <c r="I7421" s="25">
        <v>47.16</v>
      </c>
      <c r="J7421" s="379">
        <v>4.8046661125372925</v>
      </c>
    </row>
    <row r="7422" spans="1:10" x14ac:dyDescent="0.35">
      <c r="A7422" s="5">
        <v>7418</v>
      </c>
      <c r="B7422" s="5">
        <v>310</v>
      </c>
      <c r="C7422" s="5">
        <v>11</v>
      </c>
      <c r="D7422" s="379">
        <v>24.848333333333329</v>
      </c>
      <c r="E7422" s="25">
        <v>24.84</v>
      </c>
      <c r="F7422" s="379">
        <v>11.489296699320358</v>
      </c>
      <c r="G7422" s="25">
        <v>41.86</v>
      </c>
      <c r="H7422" s="379">
        <v>9.653249081437254</v>
      </c>
      <c r="I7422" s="25">
        <v>46.69</v>
      </c>
      <c r="J7422" s="379">
        <v>5.3244921059367094</v>
      </c>
    </row>
    <row r="7423" spans="1:10" x14ac:dyDescent="0.35">
      <c r="A7423" s="5">
        <v>7419</v>
      </c>
      <c r="B7423" s="5">
        <v>310</v>
      </c>
      <c r="C7423" s="5">
        <v>11</v>
      </c>
      <c r="D7423" s="379">
        <v>23.772777777777776</v>
      </c>
      <c r="E7423" s="25">
        <v>24.26</v>
      </c>
      <c r="F7423" s="379">
        <v>11.505294464581954</v>
      </c>
      <c r="G7423" s="25">
        <v>40.96</v>
      </c>
      <c r="H7423" s="379">
        <v>9.215788711424711</v>
      </c>
      <c r="I7423" s="25">
        <v>46.69</v>
      </c>
      <c r="J7423" s="379">
        <v>5.5211977099751577</v>
      </c>
    </row>
    <row r="7424" spans="1:10" x14ac:dyDescent="0.35">
      <c r="A7424" s="5">
        <v>7420</v>
      </c>
      <c r="B7424" s="5">
        <v>310</v>
      </c>
      <c r="C7424" s="5">
        <v>11</v>
      </c>
      <c r="D7424" s="379">
        <v>21.424444444444443</v>
      </c>
      <c r="E7424" s="25">
        <v>24.11</v>
      </c>
      <c r="F7424" s="379">
        <v>11.459953147971316</v>
      </c>
      <c r="G7424" s="25">
        <v>39.119999999999997</v>
      </c>
      <c r="H7424" s="379">
        <v>9.2833497233143412</v>
      </c>
      <c r="I7424" s="25">
        <v>46.69</v>
      </c>
      <c r="J7424" s="379">
        <v>5.1356024138744427</v>
      </c>
    </row>
    <row r="7425" spans="1:10" x14ac:dyDescent="0.35">
      <c r="A7425" s="5">
        <v>7421</v>
      </c>
      <c r="B7425" s="5">
        <v>310</v>
      </c>
      <c r="C7425" s="5">
        <v>11</v>
      </c>
      <c r="D7425" s="379">
        <v>22.659444444444439</v>
      </c>
      <c r="E7425" s="25">
        <v>24.84</v>
      </c>
      <c r="F7425" s="379">
        <v>11.557090735977267</v>
      </c>
      <c r="G7425" s="25">
        <v>39.119999999999997</v>
      </c>
      <c r="H7425" s="379">
        <v>9.6668474033644749</v>
      </c>
      <c r="I7425" s="25">
        <v>46.69</v>
      </c>
      <c r="J7425" s="379">
        <v>5.6318679078253497</v>
      </c>
    </row>
    <row r="7426" spans="1:10" x14ac:dyDescent="0.35">
      <c r="A7426" s="5">
        <v>7422</v>
      </c>
      <c r="B7426" s="5">
        <v>310</v>
      </c>
      <c r="C7426" s="5">
        <v>11</v>
      </c>
      <c r="D7426" s="379">
        <v>22.122777777777781</v>
      </c>
      <c r="E7426" s="25">
        <v>24.84</v>
      </c>
      <c r="F7426" s="379">
        <v>11.482010813762816</v>
      </c>
      <c r="G7426" s="25">
        <v>39.770000000000003</v>
      </c>
      <c r="H7426" s="379">
        <v>9.197835256059971</v>
      </c>
      <c r="I7426" s="25">
        <v>46.69</v>
      </c>
      <c r="J7426" s="379">
        <v>4.7250099076602643</v>
      </c>
    </row>
    <row r="7427" spans="1:10" x14ac:dyDescent="0.35">
      <c r="A7427" s="5">
        <v>7423</v>
      </c>
      <c r="B7427" s="5">
        <v>310</v>
      </c>
      <c r="C7427" s="5">
        <v>11</v>
      </c>
      <c r="D7427" s="379">
        <v>23.87777777777778</v>
      </c>
      <c r="E7427" s="25">
        <v>24.84</v>
      </c>
      <c r="F7427" s="379">
        <v>15.743459738541649</v>
      </c>
      <c r="G7427" s="25">
        <v>41.86</v>
      </c>
      <c r="H7427" s="379">
        <v>10.186851238780939</v>
      </c>
      <c r="I7427" s="25">
        <v>47.16</v>
      </c>
      <c r="J7427" s="379">
        <v>6.1308235392676247</v>
      </c>
    </row>
    <row r="7428" spans="1:10" x14ac:dyDescent="0.35">
      <c r="A7428" s="5">
        <v>7424</v>
      </c>
      <c r="B7428" s="5">
        <v>310</v>
      </c>
      <c r="C7428" s="5">
        <v>11</v>
      </c>
      <c r="D7428" s="379">
        <v>23.951111111111111</v>
      </c>
      <c r="E7428" s="25">
        <v>24.84</v>
      </c>
      <c r="F7428" s="379">
        <v>15.938209460896715</v>
      </c>
      <c r="G7428" s="25">
        <v>42.29</v>
      </c>
      <c r="H7428" s="379">
        <v>9.3827317133423644</v>
      </c>
      <c r="I7428" s="25">
        <v>48.86</v>
      </c>
      <c r="J7428" s="379">
        <v>6.5808162044559575</v>
      </c>
    </row>
    <row r="7429" spans="1:10" x14ac:dyDescent="0.35">
      <c r="A7429" s="5">
        <v>7425</v>
      </c>
      <c r="B7429" s="5">
        <v>310</v>
      </c>
      <c r="C7429" s="5">
        <v>11</v>
      </c>
      <c r="D7429" s="379">
        <v>24.883888888888887</v>
      </c>
      <c r="E7429" s="25">
        <v>24.99</v>
      </c>
      <c r="F7429" s="379">
        <v>16.133419506928167</v>
      </c>
      <c r="G7429" s="25">
        <v>44.74</v>
      </c>
      <c r="H7429" s="379">
        <v>9.3511925533953484</v>
      </c>
      <c r="I7429" s="25">
        <v>53.51</v>
      </c>
      <c r="J7429" s="379">
        <v>6.8536603590307985</v>
      </c>
    </row>
    <row r="7430" spans="1:10" x14ac:dyDescent="0.35">
      <c r="A7430" s="5">
        <v>7426</v>
      </c>
      <c r="B7430" s="5">
        <v>310</v>
      </c>
      <c r="C7430" s="5">
        <v>11</v>
      </c>
      <c r="D7430" s="379">
        <v>26.601666666666663</v>
      </c>
      <c r="E7430" s="25">
        <v>24.99</v>
      </c>
      <c r="F7430" s="379">
        <v>16.435253041017006</v>
      </c>
      <c r="G7430" s="25">
        <v>44.93</v>
      </c>
      <c r="H7430" s="379">
        <v>10.687190807423249</v>
      </c>
      <c r="I7430" s="25">
        <v>53.71</v>
      </c>
      <c r="J7430" s="379">
        <v>6.8419848854417431</v>
      </c>
    </row>
    <row r="7431" spans="1:10" x14ac:dyDescent="0.35">
      <c r="A7431" s="5">
        <v>7427</v>
      </c>
      <c r="B7431" s="5">
        <v>310</v>
      </c>
      <c r="C7431" s="5">
        <v>11</v>
      </c>
      <c r="D7431" s="379">
        <v>28.279444444444444</v>
      </c>
      <c r="E7431" s="25">
        <v>24.99</v>
      </c>
      <c r="F7431" s="379">
        <v>11.439044950003735</v>
      </c>
      <c r="G7431" s="25">
        <v>45.61</v>
      </c>
      <c r="H7431" s="379">
        <v>9.4489308069133369</v>
      </c>
      <c r="I7431" s="25">
        <v>50.03</v>
      </c>
      <c r="J7431" s="379">
        <v>4.3306341681130727</v>
      </c>
    </row>
    <row r="7432" spans="1:10" x14ac:dyDescent="0.35">
      <c r="A7432" s="5">
        <v>7428</v>
      </c>
      <c r="B7432" s="5">
        <v>310</v>
      </c>
      <c r="C7432" s="5">
        <v>11</v>
      </c>
      <c r="D7432" s="379">
        <v>27.293333333333333</v>
      </c>
      <c r="E7432" s="25">
        <v>24.99</v>
      </c>
      <c r="F7432" s="379">
        <v>12.081292119489589</v>
      </c>
      <c r="G7432" s="25">
        <v>45.61</v>
      </c>
      <c r="H7432" s="379">
        <v>10.453880153477808</v>
      </c>
      <c r="I7432" s="25">
        <v>48.57</v>
      </c>
      <c r="J7432" s="379">
        <v>6.2255989083312517</v>
      </c>
    </row>
    <row r="7433" spans="1:10" x14ac:dyDescent="0.35">
      <c r="A7433" s="5">
        <v>7429</v>
      </c>
      <c r="B7433" s="5">
        <v>310</v>
      </c>
      <c r="C7433" s="5">
        <v>11</v>
      </c>
      <c r="D7433" s="379">
        <v>26.242777777777775</v>
      </c>
      <c r="E7433" s="25">
        <v>24.99</v>
      </c>
      <c r="F7433" s="379">
        <v>11.981873472626473</v>
      </c>
      <c r="G7433" s="25">
        <v>44.74</v>
      </c>
      <c r="H7433" s="379">
        <v>9.5265670879898341</v>
      </c>
      <c r="I7433" s="25">
        <v>48.57</v>
      </c>
      <c r="J7433" s="379">
        <v>4.7957390968585534</v>
      </c>
    </row>
    <row r="7434" spans="1:10" x14ac:dyDescent="0.35">
      <c r="A7434" s="5">
        <v>7430</v>
      </c>
      <c r="B7434" s="5">
        <v>310</v>
      </c>
      <c r="C7434" s="5">
        <v>11</v>
      </c>
      <c r="D7434" s="379">
        <v>22.823333333333334</v>
      </c>
      <c r="E7434" s="25">
        <v>24.84</v>
      </c>
      <c r="F7434" s="379">
        <v>12.079650255558676</v>
      </c>
      <c r="G7434" s="25">
        <v>42.29</v>
      </c>
      <c r="H7434" s="379">
        <v>10.116853075552457</v>
      </c>
      <c r="I7434" s="25">
        <v>46.69</v>
      </c>
      <c r="J7434" s="379">
        <v>5.4308888442203971</v>
      </c>
    </row>
    <row r="7435" spans="1:10" x14ac:dyDescent="0.35">
      <c r="A7435" s="5">
        <v>7431</v>
      </c>
      <c r="B7435" s="5">
        <v>310</v>
      </c>
      <c r="C7435" s="5">
        <v>11</v>
      </c>
      <c r="D7435" s="379">
        <v>24.52055555555555</v>
      </c>
      <c r="E7435" s="25">
        <v>24.84</v>
      </c>
      <c r="F7435" s="379">
        <v>10.043741924918844</v>
      </c>
      <c r="G7435" s="25">
        <v>41.86</v>
      </c>
      <c r="H7435" s="379">
        <v>7.5278280756135931</v>
      </c>
      <c r="I7435" s="25">
        <v>46.69</v>
      </c>
      <c r="J7435" s="379">
        <v>0.27777777777777779</v>
      </c>
    </row>
    <row r="7436" spans="1:10" x14ac:dyDescent="0.35">
      <c r="A7436" s="5">
        <v>7432</v>
      </c>
      <c r="B7436" s="5">
        <v>310</v>
      </c>
      <c r="C7436" s="5">
        <v>11</v>
      </c>
      <c r="D7436" s="379">
        <v>22.940555555555559</v>
      </c>
      <c r="E7436" s="25">
        <v>24.84</v>
      </c>
      <c r="F7436" s="379">
        <v>14.815197869999281</v>
      </c>
      <c r="G7436" s="25">
        <v>41.86</v>
      </c>
      <c r="H7436" s="379">
        <v>8.2154062987093415</v>
      </c>
      <c r="I7436" s="25">
        <v>48.86</v>
      </c>
      <c r="J7436" s="379">
        <v>2.2307862955354327</v>
      </c>
    </row>
    <row r="7437" spans="1:10" x14ac:dyDescent="0.35">
      <c r="A7437" s="5">
        <v>7433</v>
      </c>
      <c r="B7437" s="5">
        <v>310</v>
      </c>
      <c r="C7437" s="5">
        <v>11</v>
      </c>
      <c r="D7437" s="379">
        <v>23.408888888888889</v>
      </c>
      <c r="E7437" s="25">
        <v>24.84</v>
      </c>
      <c r="F7437" s="379">
        <v>15.351059953214239</v>
      </c>
      <c r="G7437" s="25">
        <v>44.74</v>
      </c>
      <c r="H7437" s="379">
        <v>8.7243603994938024</v>
      </c>
      <c r="I7437" s="25">
        <v>50.44</v>
      </c>
      <c r="J7437" s="379">
        <v>0.27777777777777779</v>
      </c>
    </row>
    <row r="7438" spans="1:10" x14ac:dyDescent="0.35">
      <c r="A7438" s="5">
        <v>7434</v>
      </c>
      <c r="B7438" s="5">
        <v>310</v>
      </c>
      <c r="C7438" s="5">
        <v>11</v>
      </c>
      <c r="D7438" s="379">
        <v>27.898888888888887</v>
      </c>
      <c r="E7438" s="25">
        <v>25.74</v>
      </c>
      <c r="F7438" s="379">
        <v>15.953612425619371</v>
      </c>
      <c r="G7438" s="25">
        <v>46.03</v>
      </c>
      <c r="H7438" s="379">
        <v>7.4221253945638681</v>
      </c>
      <c r="I7438" s="25">
        <v>54.93</v>
      </c>
      <c r="J7438" s="379">
        <v>0.27777777777777779</v>
      </c>
    </row>
    <row r="7439" spans="1:10" x14ac:dyDescent="0.35">
      <c r="A7439" s="5">
        <v>7435</v>
      </c>
      <c r="B7439" s="5">
        <v>310</v>
      </c>
      <c r="C7439" s="5">
        <v>11</v>
      </c>
      <c r="D7439" s="379">
        <v>26.261666666666667</v>
      </c>
      <c r="E7439" s="25">
        <v>25.74</v>
      </c>
      <c r="F7439" s="379">
        <v>15.861501665548481</v>
      </c>
      <c r="G7439" s="25">
        <v>46.03</v>
      </c>
      <c r="H7439" s="379">
        <v>4.799693804694658</v>
      </c>
      <c r="I7439" s="25">
        <v>53.71</v>
      </c>
      <c r="J7439" s="379">
        <v>0.27777777777777779</v>
      </c>
    </row>
    <row r="7440" spans="1:10" x14ac:dyDescent="0.35">
      <c r="A7440" s="5">
        <v>7436</v>
      </c>
      <c r="B7440" s="5">
        <v>310</v>
      </c>
      <c r="C7440" s="5">
        <v>11</v>
      </c>
      <c r="D7440" s="379">
        <v>24.901111111111113</v>
      </c>
      <c r="E7440" s="25">
        <v>24.99</v>
      </c>
      <c r="F7440" s="379">
        <v>15.103180184881806</v>
      </c>
      <c r="G7440" s="25">
        <v>46.03</v>
      </c>
      <c r="H7440" s="379">
        <v>8.7243603994938024</v>
      </c>
      <c r="I7440" s="25">
        <v>48.86</v>
      </c>
      <c r="J7440" s="379">
        <v>3.2563067280774409</v>
      </c>
    </row>
    <row r="7441" spans="1:10" x14ac:dyDescent="0.35">
      <c r="A7441" s="5">
        <v>7437</v>
      </c>
      <c r="B7441" s="5">
        <v>310</v>
      </c>
      <c r="C7441" s="5">
        <v>11</v>
      </c>
      <c r="D7441" s="379">
        <v>21.678888888888892</v>
      </c>
      <c r="E7441" s="25">
        <v>24.99</v>
      </c>
      <c r="F7441" s="379">
        <v>9.600550162791242</v>
      </c>
      <c r="G7441" s="25">
        <v>43.91</v>
      </c>
      <c r="H7441" s="379">
        <v>9.6059724840530141</v>
      </c>
      <c r="I7441" s="25">
        <v>47.16</v>
      </c>
      <c r="J7441" s="379">
        <v>4.6811557965803221</v>
      </c>
    </row>
    <row r="7442" spans="1:10" x14ac:dyDescent="0.35">
      <c r="A7442" s="5">
        <v>7438</v>
      </c>
      <c r="B7442" s="5">
        <v>310</v>
      </c>
      <c r="C7442" s="5">
        <v>11</v>
      </c>
      <c r="D7442" s="379">
        <v>18.973333333333333</v>
      </c>
      <c r="E7442" s="25">
        <v>24.84</v>
      </c>
      <c r="F7442" s="379">
        <v>8.719714531575935</v>
      </c>
      <c r="G7442" s="25">
        <v>43.56</v>
      </c>
      <c r="H7442" s="379">
        <v>6.9417515115004962</v>
      </c>
      <c r="I7442" s="25">
        <v>46.69</v>
      </c>
      <c r="J7442" s="379">
        <v>4.3756207548920267</v>
      </c>
    </row>
    <row r="7443" spans="1:10" x14ac:dyDescent="0.35">
      <c r="A7443" s="5">
        <v>7439</v>
      </c>
      <c r="B7443" s="5">
        <v>310</v>
      </c>
      <c r="C7443" s="5">
        <v>11</v>
      </c>
      <c r="D7443" s="379">
        <v>17.998888888888889</v>
      </c>
      <c r="E7443" s="25">
        <v>24.84</v>
      </c>
      <c r="F7443" s="379">
        <v>8.1174834595959577</v>
      </c>
      <c r="G7443" s="25">
        <v>43.47</v>
      </c>
      <c r="H7443" s="379">
        <v>6.6105976665224713</v>
      </c>
      <c r="I7443" s="25">
        <v>46.22</v>
      </c>
      <c r="J7443" s="379">
        <v>4.5674568427051048</v>
      </c>
    </row>
    <row r="7444" spans="1:10" x14ac:dyDescent="0.35">
      <c r="A7444" s="5">
        <v>7440</v>
      </c>
      <c r="B7444" s="5">
        <v>310</v>
      </c>
      <c r="C7444" s="5">
        <v>11</v>
      </c>
      <c r="D7444" s="379">
        <v>15.971111111111112</v>
      </c>
      <c r="E7444" s="25">
        <v>24.84</v>
      </c>
      <c r="F7444" s="379">
        <v>8.1174834595959577</v>
      </c>
      <c r="G7444" s="25">
        <v>42.17</v>
      </c>
      <c r="H7444" s="379">
        <v>6.6690061073661413</v>
      </c>
      <c r="I7444" s="25">
        <v>45.9</v>
      </c>
      <c r="J7444" s="379">
        <v>4.8012010135847163</v>
      </c>
    </row>
    <row r="7445" spans="1:10" x14ac:dyDescent="0.35">
      <c r="A7445" s="5">
        <v>7441</v>
      </c>
      <c r="B7445" s="5">
        <v>311</v>
      </c>
      <c r="C7445" s="5">
        <v>11</v>
      </c>
      <c r="D7445" s="379">
        <v>9.7050000000000001</v>
      </c>
      <c r="E7445" s="25">
        <v>24.84</v>
      </c>
      <c r="F7445" s="379">
        <v>8.1174834595959595</v>
      </c>
      <c r="G7445" s="25">
        <v>36.92</v>
      </c>
      <c r="H7445" s="379">
        <v>6.6697248530400195</v>
      </c>
      <c r="I7445" s="25">
        <v>35.799999999999997</v>
      </c>
      <c r="J7445" s="379">
        <v>4.9179069378149292</v>
      </c>
    </row>
    <row r="7446" spans="1:10" x14ac:dyDescent="0.35">
      <c r="A7446" s="5">
        <v>7442</v>
      </c>
      <c r="B7446" s="5">
        <v>311</v>
      </c>
      <c r="C7446" s="5">
        <v>11</v>
      </c>
      <c r="D7446" s="379">
        <v>8.1288888888888877</v>
      </c>
      <c r="E7446" s="25">
        <v>24.84</v>
      </c>
      <c r="F7446" s="379">
        <v>8.1174834595959577</v>
      </c>
      <c r="G7446" s="25">
        <v>36.92</v>
      </c>
      <c r="H7446" s="379">
        <v>6.6491891547441275</v>
      </c>
      <c r="I7446" s="25">
        <v>35.799999999999997</v>
      </c>
      <c r="J7446" s="379">
        <v>5.2257621379045105</v>
      </c>
    </row>
    <row r="7447" spans="1:10" x14ac:dyDescent="0.35">
      <c r="A7447" s="5">
        <v>7443</v>
      </c>
      <c r="B7447" s="5">
        <v>311</v>
      </c>
      <c r="C7447" s="5">
        <v>11</v>
      </c>
      <c r="D7447" s="379">
        <v>6.7305555555555543</v>
      </c>
      <c r="E7447" s="25">
        <v>24.84</v>
      </c>
      <c r="F7447" s="379">
        <v>8.1174834595959577</v>
      </c>
      <c r="G7447" s="25">
        <v>36.92</v>
      </c>
      <c r="H7447" s="379">
        <v>6.7700238473228946</v>
      </c>
      <c r="I7447" s="25">
        <v>35.799999999999997</v>
      </c>
      <c r="J7447" s="379">
        <v>4.9785860898980419</v>
      </c>
    </row>
    <row r="7448" spans="1:10" x14ac:dyDescent="0.35">
      <c r="A7448" s="5">
        <v>7444</v>
      </c>
      <c r="B7448" s="5">
        <v>311</v>
      </c>
      <c r="C7448" s="5">
        <v>11</v>
      </c>
      <c r="D7448" s="379">
        <v>6.2877777777777766</v>
      </c>
      <c r="E7448" s="25">
        <v>24.84</v>
      </c>
      <c r="F7448" s="379">
        <v>8.1174834595959577</v>
      </c>
      <c r="G7448" s="25">
        <v>35.85</v>
      </c>
      <c r="H7448" s="379">
        <v>6.7511447231489212</v>
      </c>
      <c r="I7448" s="25">
        <v>35.799999999999997</v>
      </c>
      <c r="J7448" s="379">
        <v>4.8530003292763668</v>
      </c>
    </row>
    <row r="7449" spans="1:10" x14ac:dyDescent="0.35">
      <c r="A7449" s="5">
        <v>7445</v>
      </c>
      <c r="B7449" s="5">
        <v>311</v>
      </c>
      <c r="C7449" s="5">
        <v>11</v>
      </c>
      <c r="D7449" s="379">
        <v>4.3483333333333336</v>
      </c>
      <c r="E7449" s="25">
        <v>24.84</v>
      </c>
      <c r="F7449" s="379">
        <v>8.0969120144150715</v>
      </c>
      <c r="G7449" s="25">
        <v>35.85</v>
      </c>
      <c r="H7449" s="379">
        <v>6.7741723718348901</v>
      </c>
      <c r="I7449" s="25">
        <v>36.159999999999997</v>
      </c>
      <c r="J7449" s="379">
        <v>4.074796242897329</v>
      </c>
    </row>
    <row r="7450" spans="1:10" x14ac:dyDescent="0.35">
      <c r="A7450" s="5">
        <v>7446</v>
      </c>
      <c r="B7450" s="5">
        <v>311</v>
      </c>
      <c r="C7450" s="5">
        <v>11</v>
      </c>
      <c r="D7450" s="379">
        <v>7.9894444444444446</v>
      </c>
      <c r="E7450" s="25">
        <v>24.84</v>
      </c>
      <c r="F7450" s="379">
        <v>8.0934869670622493</v>
      </c>
      <c r="G7450" s="25">
        <v>36.92</v>
      </c>
      <c r="H7450" s="379">
        <v>7.2863563715639676</v>
      </c>
      <c r="I7450" s="25">
        <v>36.18</v>
      </c>
      <c r="J7450" s="379">
        <v>5.6207176148533664</v>
      </c>
    </row>
    <row r="7451" spans="1:10" x14ac:dyDescent="0.35">
      <c r="A7451" s="5">
        <v>7447</v>
      </c>
      <c r="B7451" s="5">
        <v>311</v>
      </c>
      <c r="C7451" s="5">
        <v>11</v>
      </c>
      <c r="D7451" s="379">
        <v>15.953333333333331</v>
      </c>
      <c r="E7451" s="25">
        <v>24.84</v>
      </c>
      <c r="F7451" s="379">
        <v>9.2645423035358512</v>
      </c>
      <c r="G7451" s="25">
        <v>38.03</v>
      </c>
      <c r="H7451" s="379">
        <v>7.6320115209780042</v>
      </c>
      <c r="I7451" s="25">
        <v>36.5</v>
      </c>
      <c r="J7451" s="379">
        <v>6.187813505232227</v>
      </c>
    </row>
    <row r="7452" spans="1:10" x14ac:dyDescent="0.35">
      <c r="A7452" s="5">
        <v>7448</v>
      </c>
      <c r="B7452" s="5">
        <v>311</v>
      </c>
      <c r="C7452" s="5">
        <v>11</v>
      </c>
      <c r="D7452" s="379">
        <v>19.841666666666665</v>
      </c>
      <c r="E7452" s="25">
        <v>24.84</v>
      </c>
      <c r="F7452" s="379">
        <v>10.315389153143046</v>
      </c>
      <c r="G7452" s="25">
        <v>38.03</v>
      </c>
      <c r="H7452" s="379">
        <v>7.7051300147696127</v>
      </c>
      <c r="I7452" s="25">
        <v>36.869999999999997</v>
      </c>
      <c r="J7452" s="379">
        <v>6.4920247036420795</v>
      </c>
    </row>
    <row r="7453" spans="1:10" x14ac:dyDescent="0.35">
      <c r="A7453" s="5">
        <v>7449</v>
      </c>
      <c r="B7453" s="5">
        <v>311</v>
      </c>
      <c r="C7453" s="5">
        <v>11</v>
      </c>
      <c r="D7453" s="379">
        <v>20.895000000000003</v>
      </c>
      <c r="E7453" s="25">
        <v>24.84</v>
      </c>
      <c r="F7453" s="379">
        <v>10.271065825861729</v>
      </c>
      <c r="G7453" s="25">
        <v>39.119999999999997</v>
      </c>
      <c r="H7453" s="379">
        <v>7.5169078190704264</v>
      </c>
      <c r="I7453" s="25">
        <v>38.39</v>
      </c>
      <c r="J7453" s="379">
        <v>5.1993731861094732</v>
      </c>
    </row>
    <row r="7454" spans="1:10" x14ac:dyDescent="0.35">
      <c r="A7454" s="5">
        <v>7450</v>
      </c>
      <c r="B7454" s="5">
        <v>311</v>
      </c>
      <c r="C7454" s="5">
        <v>11</v>
      </c>
      <c r="D7454" s="379">
        <v>21.91611111111111</v>
      </c>
      <c r="E7454" s="25">
        <v>24.84</v>
      </c>
      <c r="F7454" s="379">
        <v>10.190775352872082</v>
      </c>
      <c r="G7454" s="25">
        <v>43.56</v>
      </c>
      <c r="H7454" s="379">
        <v>7.3997941162174383</v>
      </c>
      <c r="I7454" s="25">
        <v>40.89</v>
      </c>
      <c r="J7454" s="379">
        <v>4.426448837266074</v>
      </c>
    </row>
    <row r="7455" spans="1:10" x14ac:dyDescent="0.35">
      <c r="A7455" s="5">
        <v>7451</v>
      </c>
      <c r="B7455" s="5">
        <v>311</v>
      </c>
      <c r="C7455" s="5">
        <v>11</v>
      </c>
      <c r="D7455" s="379">
        <v>18.753333333333337</v>
      </c>
      <c r="E7455" s="25">
        <v>24.84</v>
      </c>
      <c r="F7455" s="379">
        <v>9.6295720568831715</v>
      </c>
      <c r="G7455" s="25">
        <v>43.56</v>
      </c>
      <c r="H7455" s="379">
        <v>6.470353843687513</v>
      </c>
      <c r="I7455" s="25">
        <v>36.869999999999997</v>
      </c>
      <c r="J7455" s="379">
        <v>3.0245458256455358</v>
      </c>
    </row>
    <row r="7456" spans="1:10" x14ac:dyDescent="0.35">
      <c r="A7456" s="5">
        <v>7452</v>
      </c>
      <c r="B7456" s="5">
        <v>311</v>
      </c>
      <c r="C7456" s="5">
        <v>11</v>
      </c>
      <c r="D7456" s="379">
        <v>18.725555555555555</v>
      </c>
      <c r="E7456" s="25">
        <v>24.84</v>
      </c>
      <c r="F7456" s="379">
        <v>9.6238799021170749</v>
      </c>
      <c r="G7456" s="25">
        <v>43.56</v>
      </c>
      <c r="H7456" s="379">
        <v>7.0751809736469937</v>
      </c>
      <c r="I7456" s="25">
        <v>36.5</v>
      </c>
      <c r="J7456" s="379">
        <v>4.1312934403135086</v>
      </c>
    </row>
    <row r="7457" spans="1:10" x14ac:dyDescent="0.35">
      <c r="A7457" s="5">
        <v>7453</v>
      </c>
      <c r="B7457" s="5">
        <v>311</v>
      </c>
      <c r="C7457" s="5">
        <v>11</v>
      </c>
      <c r="D7457" s="379">
        <v>18.822222222222223</v>
      </c>
      <c r="E7457" s="25">
        <v>24.84</v>
      </c>
      <c r="F7457" s="379">
        <v>8.2844011991447744</v>
      </c>
      <c r="G7457" s="25">
        <v>43.56</v>
      </c>
      <c r="H7457" s="379">
        <v>6.8530749044097581</v>
      </c>
      <c r="I7457" s="25">
        <v>36.18</v>
      </c>
      <c r="J7457" s="379">
        <v>5.3755834170646892</v>
      </c>
    </row>
    <row r="7458" spans="1:10" x14ac:dyDescent="0.35">
      <c r="A7458" s="5">
        <v>7454</v>
      </c>
      <c r="B7458" s="5">
        <v>311</v>
      </c>
      <c r="C7458" s="5">
        <v>11</v>
      </c>
      <c r="D7458" s="379">
        <v>17.906111111111112</v>
      </c>
      <c r="E7458" s="25">
        <v>24.84</v>
      </c>
      <c r="F7458" s="379">
        <v>8.1174834595959613</v>
      </c>
      <c r="G7458" s="25">
        <v>43.39</v>
      </c>
      <c r="H7458" s="379">
        <v>6.2446688387221796</v>
      </c>
      <c r="I7458" s="25">
        <v>35.799999999999997</v>
      </c>
      <c r="J7458" s="379">
        <v>5.6887428112783294</v>
      </c>
    </row>
    <row r="7459" spans="1:10" x14ac:dyDescent="0.35">
      <c r="A7459" s="5">
        <v>7455</v>
      </c>
      <c r="B7459" s="5">
        <v>311</v>
      </c>
      <c r="C7459" s="5">
        <v>11</v>
      </c>
      <c r="D7459" s="379">
        <v>18.823888888888884</v>
      </c>
      <c r="E7459" s="25">
        <v>24.84</v>
      </c>
      <c r="F7459" s="379">
        <v>8.3206521855294628</v>
      </c>
      <c r="G7459" s="25">
        <v>40.96</v>
      </c>
      <c r="H7459" s="379">
        <v>6.5873012715793386</v>
      </c>
      <c r="I7459" s="25">
        <v>35.799999999999997</v>
      </c>
      <c r="J7459" s="379">
        <v>5.723327318245846</v>
      </c>
    </row>
    <row r="7460" spans="1:10" x14ac:dyDescent="0.35">
      <c r="A7460" s="5">
        <v>7456</v>
      </c>
      <c r="B7460" s="5">
        <v>311</v>
      </c>
      <c r="C7460" s="5">
        <v>11</v>
      </c>
      <c r="D7460" s="379">
        <v>22.450555555555557</v>
      </c>
      <c r="E7460" s="25">
        <v>24.84</v>
      </c>
      <c r="F7460" s="379">
        <v>8.3535260576253645</v>
      </c>
      <c r="G7460" s="25">
        <v>43.39</v>
      </c>
      <c r="H7460" s="379">
        <v>7.217234175883708</v>
      </c>
      <c r="I7460" s="25">
        <v>35.799999999999997</v>
      </c>
      <c r="J7460" s="379">
        <v>5.3070736901300917</v>
      </c>
    </row>
    <row r="7461" spans="1:10" x14ac:dyDescent="0.35">
      <c r="A7461" s="5">
        <v>7457</v>
      </c>
      <c r="B7461" s="5">
        <v>311</v>
      </c>
      <c r="C7461" s="5">
        <v>11</v>
      </c>
      <c r="D7461" s="379">
        <v>27.342222222222219</v>
      </c>
      <c r="E7461" s="25">
        <v>24.84</v>
      </c>
      <c r="F7461" s="379">
        <v>8.2873792488908276</v>
      </c>
      <c r="G7461" s="25">
        <v>43.39</v>
      </c>
      <c r="H7461" s="379">
        <v>6.8001130931379228</v>
      </c>
      <c r="I7461" s="25">
        <v>36.5</v>
      </c>
      <c r="J7461" s="379">
        <v>3.9891465350286399</v>
      </c>
    </row>
    <row r="7462" spans="1:10" x14ac:dyDescent="0.35">
      <c r="A7462" s="5">
        <v>7458</v>
      </c>
      <c r="B7462" s="5">
        <v>311</v>
      </c>
      <c r="C7462" s="5">
        <v>11</v>
      </c>
      <c r="D7462" s="379">
        <v>34.599999999999994</v>
      </c>
      <c r="E7462" s="25">
        <v>25.59</v>
      </c>
      <c r="F7462" s="379">
        <v>8.8930195967449759</v>
      </c>
      <c r="G7462" s="25">
        <v>43.56</v>
      </c>
      <c r="H7462" s="379">
        <v>6.457547547004574</v>
      </c>
      <c r="I7462" s="25">
        <v>40.89</v>
      </c>
      <c r="J7462" s="379">
        <v>3.0690803831379254</v>
      </c>
    </row>
    <row r="7463" spans="1:10" x14ac:dyDescent="0.35">
      <c r="A7463" s="5">
        <v>7459</v>
      </c>
      <c r="B7463" s="5">
        <v>311</v>
      </c>
      <c r="C7463" s="5">
        <v>11</v>
      </c>
      <c r="D7463" s="379">
        <v>32.212222222222223</v>
      </c>
      <c r="E7463" s="25">
        <v>25.29</v>
      </c>
      <c r="F7463" s="379">
        <v>9.072105127587248</v>
      </c>
      <c r="G7463" s="25">
        <v>43.56</v>
      </c>
      <c r="H7463" s="379">
        <v>6.470353843687513</v>
      </c>
      <c r="I7463" s="25">
        <v>40.89</v>
      </c>
      <c r="J7463" s="379">
        <v>4.3758528388469555</v>
      </c>
    </row>
    <row r="7464" spans="1:10" x14ac:dyDescent="0.35">
      <c r="A7464" s="5">
        <v>7460</v>
      </c>
      <c r="B7464" s="5">
        <v>311</v>
      </c>
      <c r="C7464" s="5">
        <v>11</v>
      </c>
      <c r="D7464" s="379">
        <v>28.14555555555555</v>
      </c>
      <c r="E7464" s="25">
        <v>24.99</v>
      </c>
      <c r="F7464" s="379">
        <v>8.8655529083845401</v>
      </c>
      <c r="G7464" s="25">
        <v>43.39</v>
      </c>
      <c r="H7464" s="379">
        <v>7.1903640257390977</v>
      </c>
      <c r="I7464" s="25">
        <v>36.5</v>
      </c>
      <c r="J7464" s="379">
        <v>4.3131028926456709</v>
      </c>
    </row>
    <row r="7465" spans="1:10" x14ac:dyDescent="0.35">
      <c r="A7465" s="5">
        <v>7461</v>
      </c>
      <c r="B7465" s="5">
        <v>311</v>
      </c>
      <c r="C7465" s="5">
        <v>11</v>
      </c>
      <c r="D7465" s="379">
        <v>25.312777777777775</v>
      </c>
      <c r="E7465" s="25">
        <v>24.84</v>
      </c>
      <c r="F7465" s="379">
        <v>8.1174834595959577</v>
      </c>
      <c r="G7465" s="25">
        <v>42.17</v>
      </c>
      <c r="H7465" s="379">
        <v>6.6382912524846143</v>
      </c>
      <c r="I7465" s="25">
        <v>35.799999999999997</v>
      </c>
      <c r="J7465" s="379">
        <v>4.5455000813729525</v>
      </c>
    </row>
    <row r="7466" spans="1:10" x14ac:dyDescent="0.35">
      <c r="A7466" s="5">
        <v>7462</v>
      </c>
      <c r="B7466" s="5">
        <v>311</v>
      </c>
      <c r="C7466" s="5">
        <v>11</v>
      </c>
      <c r="D7466" s="379">
        <v>23.618888888888886</v>
      </c>
      <c r="E7466" s="25">
        <v>24.84</v>
      </c>
      <c r="F7466" s="379">
        <v>8.1174834595959577</v>
      </c>
      <c r="G7466" s="25">
        <v>42.17</v>
      </c>
      <c r="H7466" s="379">
        <v>6.6105976665224713</v>
      </c>
      <c r="I7466" s="25">
        <v>34.25</v>
      </c>
      <c r="J7466" s="379">
        <v>3.7852261802154259</v>
      </c>
    </row>
    <row r="7467" spans="1:10" x14ac:dyDescent="0.35">
      <c r="A7467" s="5">
        <v>7463</v>
      </c>
      <c r="B7467" s="5">
        <v>311</v>
      </c>
      <c r="C7467" s="5">
        <v>11</v>
      </c>
      <c r="D7467" s="379">
        <v>22.462777777777781</v>
      </c>
      <c r="E7467" s="25">
        <v>24.84</v>
      </c>
      <c r="F7467" s="379">
        <v>2.5200496508090078</v>
      </c>
      <c r="G7467" s="25">
        <v>42.17</v>
      </c>
      <c r="H7467" s="379">
        <v>6.6559005104362683</v>
      </c>
      <c r="I7467" s="25">
        <v>35.799999999999997</v>
      </c>
      <c r="J7467" s="379">
        <v>3.9436755340048659</v>
      </c>
    </row>
    <row r="7468" spans="1:10" x14ac:dyDescent="0.35">
      <c r="A7468" s="5">
        <v>7464</v>
      </c>
      <c r="B7468" s="5">
        <v>311</v>
      </c>
      <c r="C7468" s="5">
        <v>11</v>
      </c>
      <c r="D7468" s="379">
        <v>18.815555555555552</v>
      </c>
      <c r="E7468" s="25">
        <v>24.99</v>
      </c>
      <c r="F7468" s="379">
        <v>3.9710460248831279</v>
      </c>
      <c r="G7468" s="25">
        <v>42.17</v>
      </c>
      <c r="H7468" s="379">
        <v>6.6885040125972246</v>
      </c>
      <c r="I7468" s="25">
        <v>35.799999999999997</v>
      </c>
      <c r="J7468" s="379">
        <v>4.6679226401770242</v>
      </c>
    </row>
    <row r="7469" spans="1:10" x14ac:dyDescent="0.35">
      <c r="A7469" s="5">
        <v>7465</v>
      </c>
      <c r="B7469" s="5">
        <v>312</v>
      </c>
      <c r="C7469" s="5">
        <v>11</v>
      </c>
      <c r="D7469" s="379">
        <v>20.074444444444445</v>
      </c>
      <c r="E7469" s="25">
        <v>24.84</v>
      </c>
      <c r="F7469" s="379">
        <v>2.8219289575473483</v>
      </c>
      <c r="G7469" s="25">
        <v>44.74</v>
      </c>
      <c r="H7469" s="379">
        <v>6.5442095421546291</v>
      </c>
      <c r="I7469" s="25">
        <v>48.86</v>
      </c>
      <c r="J7469" s="379">
        <v>4.5278730538544867</v>
      </c>
    </row>
    <row r="7470" spans="1:10" x14ac:dyDescent="0.35">
      <c r="A7470" s="5">
        <v>7466</v>
      </c>
      <c r="B7470" s="5">
        <v>312</v>
      </c>
      <c r="C7470" s="5">
        <v>11</v>
      </c>
      <c r="D7470" s="379">
        <v>18.164999999999996</v>
      </c>
      <c r="E7470" s="25">
        <v>24.84</v>
      </c>
      <c r="F7470" s="379">
        <v>2.5071828187077574</v>
      </c>
      <c r="G7470" s="25">
        <v>44.29</v>
      </c>
      <c r="H7470" s="379">
        <v>6.6760995917575263</v>
      </c>
      <c r="I7470" s="25">
        <v>53.71</v>
      </c>
      <c r="J7470" s="379">
        <v>4.5856514223739202</v>
      </c>
    </row>
    <row r="7471" spans="1:10" x14ac:dyDescent="0.35">
      <c r="A7471" s="5">
        <v>7467</v>
      </c>
      <c r="B7471" s="5">
        <v>312</v>
      </c>
      <c r="C7471" s="5">
        <v>11</v>
      </c>
      <c r="D7471" s="379">
        <v>17.528333333333332</v>
      </c>
      <c r="E7471" s="25">
        <v>24.84</v>
      </c>
      <c r="F7471" s="379">
        <v>4.0825997380780903</v>
      </c>
      <c r="G7471" s="25">
        <v>42.19</v>
      </c>
      <c r="H7471" s="379">
        <v>6.4890471607966251</v>
      </c>
      <c r="I7471" s="25">
        <v>67.36</v>
      </c>
      <c r="J7471" s="379">
        <v>5.0852130107832982</v>
      </c>
    </row>
    <row r="7472" spans="1:10" x14ac:dyDescent="0.35">
      <c r="A7472" s="5">
        <v>7468</v>
      </c>
      <c r="B7472" s="5">
        <v>312</v>
      </c>
      <c r="C7472" s="5">
        <v>11</v>
      </c>
      <c r="D7472" s="379">
        <v>17.464444444444442</v>
      </c>
      <c r="E7472" s="25">
        <v>24.84</v>
      </c>
      <c r="F7472" s="379">
        <v>3.6205319680058627</v>
      </c>
      <c r="G7472" s="25">
        <v>39.119999999999997</v>
      </c>
      <c r="H7472" s="379">
        <v>6.6794948885526999</v>
      </c>
      <c r="I7472" s="25">
        <v>67.36</v>
      </c>
      <c r="J7472" s="379">
        <v>5.3707517651660579</v>
      </c>
    </row>
    <row r="7473" spans="1:10" x14ac:dyDescent="0.35">
      <c r="A7473" s="5">
        <v>7469</v>
      </c>
      <c r="B7473" s="5">
        <v>312</v>
      </c>
      <c r="C7473" s="5">
        <v>11</v>
      </c>
      <c r="D7473" s="379">
        <v>17.576111111111111</v>
      </c>
      <c r="E7473" s="25">
        <v>24.84</v>
      </c>
      <c r="F7473" s="379">
        <v>7.4392209918599335</v>
      </c>
      <c r="G7473" s="25">
        <v>42.19</v>
      </c>
      <c r="H7473" s="379">
        <v>6.7208375236295392</v>
      </c>
      <c r="I7473" s="25">
        <v>68.05</v>
      </c>
      <c r="J7473" s="379">
        <v>5.9004901677323032</v>
      </c>
    </row>
    <row r="7474" spans="1:10" x14ac:dyDescent="0.35">
      <c r="A7474" s="5">
        <v>7470</v>
      </c>
      <c r="B7474" s="5">
        <v>312</v>
      </c>
      <c r="C7474" s="5">
        <v>11</v>
      </c>
      <c r="D7474" s="379">
        <v>20.234444444444442</v>
      </c>
      <c r="E7474" s="25">
        <v>24.99</v>
      </c>
      <c r="F7474" s="379">
        <v>8.0929763162415291</v>
      </c>
      <c r="G7474" s="25">
        <v>45.04</v>
      </c>
      <c r="H7474" s="379">
        <v>7.1130174029524804</v>
      </c>
      <c r="I7474" s="25">
        <v>68.05</v>
      </c>
      <c r="J7474" s="379">
        <v>3.3316097924652288</v>
      </c>
    </row>
    <row r="7475" spans="1:10" x14ac:dyDescent="0.35">
      <c r="A7475" s="5">
        <v>7471</v>
      </c>
      <c r="B7475" s="5">
        <v>312</v>
      </c>
      <c r="C7475" s="5">
        <v>11</v>
      </c>
      <c r="D7475" s="379">
        <v>26.818333333333335</v>
      </c>
      <c r="E7475" s="25">
        <v>25.74</v>
      </c>
      <c r="F7475" s="379">
        <v>10.088756894426483</v>
      </c>
      <c r="G7475" s="25">
        <v>47.85</v>
      </c>
      <c r="H7475" s="379">
        <v>7.0994089412220642</v>
      </c>
      <c r="I7475" s="25">
        <v>603.30999999999995</v>
      </c>
      <c r="J7475" s="379">
        <v>4.0154405359311225</v>
      </c>
    </row>
    <row r="7476" spans="1:10" x14ac:dyDescent="0.35">
      <c r="A7476" s="5">
        <v>7472</v>
      </c>
      <c r="B7476" s="5">
        <v>312</v>
      </c>
      <c r="C7476" s="5">
        <v>11</v>
      </c>
      <c r="D7476" s="379">
        <v>31.501111111111108</v>
      </c>
      <c r="E7476" s="25">
        <v>35.869999999999997</v>
      </c>
      <c r="F7476" s="379">
        <v>9.5260732752481658</v>
      </c>
      <c r="G7476" s="25">
        <v>62.12</v>
      </c>
      <c r="H7476" s="379">
        <v>7.1654686666334602</v>
      </c>
      <c r="I7476" s="25">
        <v>843.72</v>
      </c>
      <c r="J7476" s="379">
        <v>4.2719057042239434</v>
      </c>
    </row>
    <row r="7477" spans="1:10" x14ac:dyDescent="0.35">
      <c r="A7477" s="5">
        <v>7473</v>
      </c>
      <c r="B7477" s="5">
        <v>312</v>
      </c>
      <c r="C7477" s="5">
        <v>11</v>
      </c>
      <c r="D7477" s="379">
        <v>31.398888888888891</v>
      </c>
      <c r="E7477" s="25">
        <v>36.94</v>
      </c>
      <c r="F7477" s="379">
        <v>14.86289781184683</v>
      </c>
      <c r="G7477" s="25">
        <v>62.12</v>
      </c>
      <c r="H7477" s="379">
        <v>7.1280737183001524</v>
      </c>
      <c r="I7477" s="25">
        <v>843.72</v>
      </c>
      <c r="J7477" s="379">
        <v>3.9725368849659115</v>
      </c>
    </row>
    <row r="7478" spans="1:10" x14ac:dyDescent="0.35">
      <c r="A7478" s="5">
        <v>7474</v>
      </c>
      <c r="B7478" s="5">
        <v>312</v>
      </c>
      <c r="C7478" s="5">
        <v>11</v>
      </c>
      <c r="D7478" s="379">
        <v>26.032777777777778</v>
      </c>
      <c r="E7478" s="25">
        <v>30.1</v>
      </c>
      <c r="F7478" s="379">
        <v>10.019878959189713</v>
      </c>
      <c r="G7478" s="25">
        <v>62.12</v>
      </c>
      <c r="H7478" s="379">
        <v>6.7587845641114663</v>
      </c>
      <c r="I7478" s="25">
        <v>623.48</v>
      </c>
      <c r="J7478" s="379">
        <v>4.172786294137615</v>
      </c>
    </row>
    <row r="7479" spans="1:10" x14ac:dyDescent="0.35">
      <c r="A7479" s="5">
        <v>7475</v>
      </c>
      <c r="B7479" s="5">
        <v>312</v>
      </c>
      <c r="C7479" s="5">
        <v>11</v>
      </c>
      <c r="D7479" s="379">
        <v>25.146111111111111</v>
      </c>
      <c r="E7479" s="25">
        <v>28.12</v>
      </c>
      <c r="F7479" s="379">
        <v>8.4963804175816016</v>
      </c>
      <c r="G7479" s="25">
        <v>62.12</v>
      </c>
      <c r="H7479" s="379">
        <v>6.7837588707633127</v>
      </c>
      <c r="I7479" s="25">
        <v>72.19</v>
      </c>
      <c r="J7479" s="379">
        <v>4.6466141914596975</v>
      </c>
    </row>
    <row r="7480" spans="1:10" x14ac:dyDescent="0.35">
      <c r="A7480" s="5">
        <v>7476</v>
      </c>
      <c r="B7480" s="5">
        <v>312</v>
      </c>
      <c r="C7480" s="5">
        <v>11</v>
      </c>
      <c r="D7480" s="379">
        <v>24.211666666666666</v>
      </c>
      <c r="E7480" s="25">
        <v>28.12</v>
      </c>
      <c r="F7480" s="379">
        <v>7.0006332880682169</v>
      </c>
      <c r="G7480" s="25">
        <v>62.12</v>
      </c>
      <c r="H7480" s="379">
        <v>5.258909879480389</v>
      </c>
      <c r="I7480" s="25">
        <v>68.05</v>
      </c>
      <c r="J7480" s="379">
        <v>2.0165305043469659</v>
      </c>
    </row>
    <row r="7481" spans="1:10" x14ac:dyDescent="0.35">
      <c r="A7481" s="5">
        <v>7477</v>
      </c>
      <c r="B7481" s="5">
        <v>312</v>
      </c>
      <c r="C7481" s="5">
        <v>11</v>
      </c>
      <c r="D7481" s="379">
        <v>22.731666666666662</v>
      </c>
      <c r="E7481" s="25">
        <v>27.3</v>
      </c>
      <c r="F7481" s="379">
        <v>5.9200476263338668</v>
      </c>
      <c r="G7481" s="25">
        <v>55.88</v>
      </c>
      <c r="H7481" s="379">
        <v>5.7441688076411976</v>
      </c>
      <c r="I7481" s="25">
        <v>68.05</v>
      </c>
      <c r="J7481" s="379">
        <v>3.1771309133320988</v>
      </c>
    </row>
    <row r="7482" spans="1:10" x14ac:dyDescent="0.35">
      <c r="A7482" s="5">
        <v>7478</v>
      </c>
      <c r="B7482" s="5">
        <v>312</v>
      </c>
      <c r="C7482" s="5">
        <v>11</v>
      </c>
      <c r="D7482" s="379">
        <v>22.762777777777778</v>
      </c>
      <c r="E7482" s="25">
        <v>27.3</v>
      </c>
      <c r="F7482" s="379">
        <v>7.2848201571821223</v>
      </c>
      <c r="G7482" s="25">
        <v>57.56</v>
      </c>
      <c r="H7482" s="379">
        <v>5.8562215024405644</v>
      </c>
      <c r="I7482" s="25">
        <v>68.05</v>
      </c>
      <c r="J7482" s="379">
        <v>2.6869903190983644</v>
      </c>
    </row>
    <row r="7483" spans="1:10" x14ac:dyDescent="0.35">
      <c r="A7483" s="5">
        <v>7479</v>
      </c>
      <c r="B7483" s="5">
        <v>312</v>
      </c>
      <c r="C7483" s="5">
        <v>11</v>
      </c>
      <c r="D7483" s="379">
        <v>23.536666666666665</v>
      </c>
      <c r="E7483" s="25">
        <v>27.3</v>
      </c>
      <c r="F7483" s="379">
        <v>7.3488745712868031</v>
      </c>
      <c r="G7483" s="25">
        <v>60.51</v>
      </c>
      <c r="H7483" s="379">
        <v>6.1792887031236026</v>
      </c>
      <c r="I7483" s="25">
        <v>68.05</v>
      </c>
      <c r="J7483" s="379">
        <v>2.3972496162646957</v>
      </c>
    </row>
    <row r="7484" spans="1:10" x14ac:dyDescent="0.35">
      <c r="A7484" s="5">
        <v>7480</v>
      </c>
      <c r="B7484" s="5">
        <v>312</v>
      </c>
      <c r="C7484" s="5">
        <v>11</v>
      </c>
      <c r="D7484" s="379">
        <v>24.921666666666667</v>
      </c>
      <c r="E7484" s="25">
        <v>27.3</v>
      </c>
      <c r="F7484" s="379">
        <v>8.3304493410586868</v>
      </c>
      <c r="G7484" s="25">
        <v>62.12</v>
      </c>
      <c r="H7484" s="379">
        <v>6.9678548829388482</v>
      </c>
      <c r="I7484" s="25">
        <v>68.05</v>
      </c>
      <c r="J7484" s="379">
        <v>3.8527091611064859</v>
      </c>
    </row>
    <row r="7485" spans="1:10" x14ac:dyDescent="0.35">
      <c r="A7485" s="5">
        <v>7481</v>
      </c>
      <c r="B7485" s="5">
        <v>312</v>
      </c>
      <c r="C7485" s="5">
        <v>11</v>
      </c>
      <c r="D7485" s="379">
        <v>27.076666666666664</v>
      </c>
      <c r="E7485" s="25">
        <v>29.23</v>
      </c>
      <c r="F7485" s="379">
        <v>8.7446525750496402</v>
      </c>
      <c r="G7485" s="25">
        <v>62.12</v>
      </c>
      <c r="H7485" s="379">
        <v>7.1177725206428359</v>
      </c>
      <c r="I7485" s="25">
        <v>74.7</v>
      </c>
      <c r="J7485" s="379">
        <v>4.42317702469854</v>
      </c>
    </row>
    <row r="7486" spans="1:10" x14ac:dyDescent="0.35">
      <c r="A7486" s="5">
        <v>7482</v>
      </c>
      <c r="B7486" s="5">
        <v>312</v>
      </c>
      <c r="C7486" s="5">
        <v>11</v>
      </c>
      <c r="D7486" s="379">
        <v>28.597777777777775</v>
      </c>
      <c r="E7486" s="25">
        <v>32.79</v>
      </c>
      <c r="F7486" s="379">
        <v>8.7536094887207518</v>
      </c>
      <c r="G7486" s="25">
        <v>62.12</v>
      </c>
      <c r="H7486" s="379">
        <v>6.7323149807168159</v>
      </c>
      <c r="I7486" s="25">
        <v>587.69000000000005</v>
      </c>
      <c r="J7486" s="379">
        <v>2.0529750333253434</v>
      </c>
    </row>
    <row r="7487" spans="1:10" x14ac:dyDescent="0.35">
      <c r="A7487" s="5">
        <v>7483</v>
      </c>
      <c r="B7487" s="5">
        <v>312</v>
      </c>
      <c r="C7487" s="5">
        <v>11</v>
      </c>
      <c r="D7487" s="379">
        <v>27.962222222222227</v>
      </c>
      <c r="E7487" s="25">
        <v>28.95</v>
      </c>
      <c r="F7487" s="379">
        <v>8.8127928047440882</v>
      </c>
      <c r="G7487" s="25">
        <v>62.12</v>
      </c>
      <c r="H7487" s="379">
        <v>7.2118419698096705</v>
      </c>
      <c r="I7487" s="25">
        <v>553.95000000000005</v>
      </c>
      <c r="J7487" s="379">
        <v>3.9571951016505755</v>
      </c>
    </row>
    <row r="7488" spans="1:10" x14ac:dyDescent="0.35">
      <c r="A7488" s="5">
        <v>7484</v>
      </c>
      <c r="B7488" s="5">
        <v>312</v>
      </c>
      <c r="C7488" s="5">
        <v>11</v>
      </c>
      <c r="D7488" s="379">
        <v>24.96833333333333</v>
      </c>
      <c r="E7488" s="25">
        <v>27.3</v>
      </c>
      <c r="F7488" s="379">
        <v>8.9349363709232943</v>
      </c>
      <c r="G7488" s="25">
        <v>52.67</v>
      </c>
      <c r="H7488" s="379">
        <v>7.0993143763381266</v>
      </c>
      <c r="I7488" s="25">
        <v>68.05</v>
      </c>
      <c r="J7488" s="379">
        <v>9.2513409779374819E-2</v>
      </c>
    </row>
    <row r="7489" spans="1:10" x14ac:dyDescent="0.35">
      <c r="A7489" s="5">
        <v>7485</v>
      </c>
      <c r="B7489" s="5">
        <v>312</v>
      </c>
      <c r="C7489" s="5">
        <v>11</v>
      </c>
      <c r="D7489" s="379">
        <v>22.297777777777778</v>
      </c>
      <c r="E7489" s="25">
        <v>25.74</v>
      </c>
      <c r="F7489" s="379">
        <v>8.1971913806532193</v>
      </c>
      <c r="G7489" s="25">
        <v>46.11</v>
      </c>
      <c r="H7489" s="379">
        <v>7.2583514032615053</v>
      </c>
      <c r="I7489" s="25">
        <v>51.72</v>
      </c>
      <c r="J7489" s="379">
        <v>4.7775400571565187E-2</v>
      </c>
    </row>
    <row r="7490" spans="1:10" x14ac:dyDescent="0.35">
      <c r="A7490" s="5">
        <v>7486</v>
      </c>
      <c r="B7490" s="5">
        <v>312</v>
      </c>
      <c r="C7490" s="5">
        <v>11</v>
      </c>
      <c r="D7490" s="379">
        <v>21.274444444444441</v>
      </c>
      <c r="E7490" s="25">
        <v>25.29</v>
      </c>
      <c r="F7490" s="379">
        <v>8.1174834595959613</v>
      </c>
      <c r="G7490" s="25">
        <v>46.11</v>
      </c>
      <c r="H7490" s="379">
        <v>4.7996938046946598</v>
      </c>
      <c r="I7490" s="25">
        <v>46.01</v>
      </c>
      <c r="J7490" s="379">
        <v>1.8663860209055727</v>
      </c>
    </row>
    <row r="7491" spans="1:10" x14ac:dyDescent="0.35">
      <c r="A7491" s="5">
        <v>7487</v>
      </c>
      <c r="B7491" s="5">
        <v>312</v>
      </c>
      <c r="C7491" s="5">
        <v>11</v>
      </c>
      <c r="D7491" s="379">
        <v>20.379444444444445</v>
      </c>
      <c r="E7491" s="25">
        <v>24.84</v>
      </c>
      <c r="F7491" s="379">
        <v>8.1174834595959595</v>
      </c>
      <c r="G7491" s="25">
        <v>43.56</v>
      </c>
      <c r="H7491" s="379">
        <v>0.69768641214536953</v>
      </c>
      <c r="I7491" s="25">
        <v>35.799999999999997</v>
      </c>
      <c r="J7491" s="379">
        <v>2.8093666954590977</v>
      </c>
    </row>
    <row r="7492" spans="1:10" x14ac:dyDescent="0.35">
      <c r="A7492" s="5">
        <v>7488</v>
      </c>
      <c r="B7492" s="5">
        <v>312</v>
      </c>
      <c r="C7492" s="5">
        <v>11</v>
      </c>
      <c r="D7492" s="379">
        <v>19.674444444444443</v>
      </c>
      <c r="E7492" s="25">
        <v>24.84</v>
      </c>
      <c r="F7492" s="379">
        <v>1.9560973604563532</v>
      </c>
      <c r="G7492" s="25">
        <v>42.17</v>
      </c>
      <c r="H7492" s="379">
        <v>4.3000812677046074</v>
      </c>
      <c r="I7492" s="25">
        <v>33.67</v>
      </c>
      <c r="J7492" s="379">
        <v>3.2790383332156816</v>
      </c>
    </row>
    <row r="7493" spans="1:10" x14ac:dyDescent="0.35">
      <c r="A7493" s="5">
        <v>7489</v>
      </c>
      <c r="B7493" s="5">
        <v>313</v>
      </c>
      <c r="C7493" s="5">
        <v>11</v>
      </c>
      <c r="D7493" s="379">
        <v>19.173333333333332</v>
      </c>
      <c r="E7493" s="25">
        <v>24.84</v>
      </c>
      <c r="F7493" s="379">
        <v>0.62461847384966462</v>
      </c>
      <c r="G7493" s="25">
        <v>40.96</v>
      </c>
      <c r="H7493" s="379">
        <v>4.2367760137462032</v>
      </c>
      <c r="I7493" s="25">
        <v>33.67</v>
      </c>
      <c r="J7493" s="379">
        <v>3.2790383332156816</v>
      </c>
    </row>
    <row r="7494" spans="1:10" x14ac:dyDescent="0.35">
      <c r="A7494" s="5">
        <v>7490</v>
      </c>
      <c r="B7494" s="5">
        <v>313</v>
      </c>
      <c r="C7494" s="5">
        <v>11</v>
      </c>
      <c r="D7494" s="379">
        <v>15.315555555555555</v>
      </c>
      <c r="E7494" s="25">
        <v>24.84</v>
      </c>
      <c r="F7494" s="379">
        <v>3.1512364416311915</v>
      </c>
      <c r="G7494" s="25">
        <v>41.89</v>
      </c>
      <c r="H7494" s="379">
        <v>4.2367760137462032</v>
      </c>
      <c r="I7494" s="25">
        <v>33.67</v>
      </c>
      <c r="J7494" s="379">
        <v>2.9557101136152344</v>
      </c>
    </row>
    <row r="7495" spans="1:10" x14ac:dyDescent="0.35">
      <c r="A7495" s="5">
        <v>7491</v>
      </c>
      <c r="B7495" s="5">
        <v>313</v>
      </c>
      <c r="C7495" s="5">
        <v>11</v>
      </c>
      <c r="D7495" s="379">
        <v>12.506111111111112</v>
      </c>
      <c r="E7495" s="25">
        <v>24.84</v>
      </c>
      <c r="F7495" s="379">
        <v>2.8752154517683559</v>
      </c>
      <c r="G7495" s="25">
        <v>40.96</v>
      </c>
      <c r="H7495" s="379">
        <v>4.2367760137462032</v>
      </c>
      <c r="I7495" s="25">
        <v>33.67</v>
      </c>
      <c r="J7495" s="379">
        <v>1.3668310284512279</v>
      </c>
    </row>
    <row r="7496" spans="1:10" x14ac:dyDescent="0.35">
      <c r="A7496" s="5">
        <v>7492</v>
      </c>
      <c r="B7496" s="5">
        <v>313</v>
      </c>
      <c r="C7496" s="5">
        <v>11</v>
      </c>
      <c r="D7496" s="379">
        <v>12.102777777777778</v>
      </c>
      <c r="E7496" s="25">
        <v>24.84</v>
      </c>
      <c r="F7496" s="379">
        <v>2.8265756025195632</v>
      </c>
      <c r="G7496" s="25">
        <v>40.96</v>
      </c>
      <c r="H7496" s="379">
        <v>2.0133769221268643</v>
      </c>
      <c r="I7496" s="25">
        <v>33.67</v>
      </c>
      <c r="J7496" s="379">
        <v>1.2256952826395657</v>
      </c>
    </row>
    <row r="7497" spans="1:10" x14ac:dyDescent="0.35">
      <c r="A7497" s="5">
        <v>7493</v>
      </c>
      <c r="B7497" s="5">
        <v>313</v>
      </c>
      <c r="C7497" s="5">
        <v>11</v>
      </c>
      <c r="D7497" s="379">
        <v>13.365555555555556</v>
      </c>
      <c r="E7497" s="25">
        <v>24.84</v>
      </c>
      <c r="F7497" s="379">
        <v>2.8265756025195632</v>
      </c>
      <c r="G7497" s="25">
        <v>41.89</v>
      </c>
      <c r="H7497" s="379">
        <v>1.8457190916956596</v>
      </c>
      <c r="I7497" s="25">
        <v>33.729999999999997</v>
      </c>
      <c r="J7497" s="379">
        <v>1.3605549470073204</v>
      </c>
    </row>
    <row r="7498" spans="1:10" x14ac:dyDescent="0.35">
      <c r="A7498" s="5">
        <v>7494</v>
      </c>
      <c r="B7498" s="5">
        <v>313</v>
      </c>
      <c r="C7498" s="5">
        <v>11</v>
      </c>
      <c r="D7498" s="379">
        <v>17.146111111111111</v>
      </c>
      <c r="E7498" s="25">
        <v>24.84</v>
      </c>
      <c r="F7498" s="379">
        <v>2.8752154517683559</v>
      </c>
      <c r="G7498" s="25">
        <v>41.89</v>
      </c>
      <c r="H7498" s="379">
        <v>1.906589528194125</v>
      </c>
      <c r="I7498" s="25">
        <v>33.729999999999997</v>
      </c>
      <c r="J7498" s="379">
        <v>1.3605549470073204</v>
      </c>
    </row>
    <row r="7499" spans="1:10" x14ac:dyDescent="0.35">
      <c r="A7499" s="5">
        <v>7495</v>
      </c>
      <c r="B7499" s="5">
        <v>313</v>
      </c>
      <c r="C7499" s="5">
        <v>11</v>
      </c>
      <c r="D7499" s="379">
        <v>21.611666666666665</v>
      </c>
      <c r="E7499" s="25">
        <v>25.59</v>
      </c>
      <c r="F7499" s="379">
        <v>2.777777777777778E-2</v>
      </c>
      <c r="G7499" s="25">
        <v>44.45</v>
      </c>
      <c r="H7499" s="379">
        <v>1.906589528194125</v>
      </c>
      <c r="I7499" s="25">
        <v>34.25</v>
      </c>
      <c r="J7499" s="379">
        <v>1.3605549470073204</v>
      </c>
    </row>
    <row r="7500" spans="1:10" x14ac:dyDescent="0.35">
      <c r="A7500" s="5">
        <v>7496</v>
      </c>
      <c r="B7500" s="5">
        <v>313</v>
      </c>
      <c r="C7500" s="5">
        <v>11</v>
      </c>
      <c r="D7500" s="379">
        <v>24.930555555555554</v>
      </c>
      <c r="E7500" s="25">
        <v>25.74</v>
      </c>
      <c r="F7500" s="379">
        <v>3.2837810859198759</v>
      </c>
      <c r="G7500" s="25">
        <v>50.35</v>
      </c>
      <c r="H7500" s="379">
        <v>1.906589528194125</v>
      </c>
      <c r="I7500" s="25">
        <v>39.619999999999997</v>
      </c>
      <c r="J7500" s="379">
        <v>1.3605549470073204</v>
      </c>
    </row>
    <row r="7501" spans="1:10" x14ac:dyDescent="0.35">
      <c r="A7501" s="5">
        <v>7497</v>
      </c>
      <c r="B7501" s="5">
        <v>313</v>
      </c>
      <c r="C7501" s="5">
        <v>11</v>
      </c>
      <c r="D7501" s="379">
        <v>26.593333333333334</v>
      </c>
      <c r="E7501" s="25">
        <v>26.05</v>
      </c>
      <c r="F7501" s="379">
        <v>3.4481525187613222</v>
      </c>
      <c r="G7501" s="25">
        <v>50.35</v>
      </c>
      <c r="H7501" s="379">
        <v>1.906589528194125</v>
      </c>
      <c r="I7501" s="25">
        <v>39.619999999999997</v>
      </c>
      <c r="J7501" s="379">
        <v>1.3605549470073204</v>
      </c>
    </row>
    <row r="7502" spans="1:10" x14ac:dyDescent="0.35">
      <c r="A7502" s="5">
        <v>7498</v>
      </c>
      <c r="B7502" s="5">
        <v>313</v>
      </c>
      <c r="C7502" s="5">
        <v>11</v>
      </c>
      <c r="D7502" s="379">
        <v>25.321111111111112</v>
      </c>
      <c r="E7502" s="25">
        <v>25.74</v>
      </c>
      <c r="F7502" s="379">
        <v>3.2727733956087586</v>
      </c>
      <c r="G7502" s="25">
        <v>49.28</v>
      </c>
      <c r="H7502" s="379">
        <v>1.906589528194125</v>
      </c>
      <c r="I7502" s="25">
        <v>39.619999999999997</v>
      </c>
      <c r="J7502" s="379">
        <v>9.2217494332741706E-2</v>
      </c>
    </row>
    <row r="7503" spans="1:10" x14ac:dyDescent="0.35">
      <c r="A7503" s="5">
        <v>7499</v>
      </c>
      <c r="B7503" s="5">
        <v>313</v>
      </c>
      <c r="C7503" s="5">
        <v>11</v>
      </c>
      <c r="D7503" s="379">
        <v>23.457777777777778</v>
      </c>
      <c r="E7503" s="25">
        <v>25.74</v>
      </c>
      <c r="F7503" s="379">
        <v>3.2727733956087586</v>
      </c>
      <c r="G7503" s="25">
        <v>44.86</v>
      </c>
      <c r="H7503" s="379">
        <v>1.906589528194125</v>
      </c>
      <c r="I7503" s="25">
        <v>35.090000000000003</v>
      </c>
      <c r="J7503" s="379">
        <v>2.777777777777778E-2</v>
      </c>
    </row>
    <row r="7504" spans="1:10" x14ac:dyDescent="0.35">
      <c r="A7504" s="5">
        <v>7500</v>
      </c>
      <c r="B7504" s="5">
        <v>313</v>
      </c>
      <c r="C7504" s="5">
        <v>11</v>
      </c>
      <c r="D7504" s="379">
        <v>21.957222222222224</v>
      </c>
      <c r="E7504" s="25">
        <v>25.74</v>
      </c>
      <c r="F7504" s="379">
        <v>3.2727733956087586</v>
      </c>
      <c r="G7504" s="25">
        <v>44.69</v>
      </c>
      <c r="H7504" s="379">
        <v>1.906589528194125</v>
      </c>
      <c r="I7504" s="25">
        <v>34.74</v>
      </c>
      <c r="J7504" s="379">
        <v>2.777777777777778E-2</v>
      </c>
    </row>
    <row r="7505" spans="1:10" x14ac:dyDescent="0.35">
      <c r="A7505" s="5">
        <v>7501</v>
      </c>
      <c r="B7505" s="5">
        <v>313</v>
      </c>
      <c r="C7505" s="5">
        <v>11</v>
      </c>
      <c r="D7505" s="379">
        <v>21.146666666666665</v>
      </c>
      <c r="E7505" s="25">
        <v>25.74</v>
      </c>
      <c r="F7505" s="379">
        <v>3.2727733956087586</v>
      </c>
      <c r="G7505" s="25">
        <v>43.56</v>
      </c>
      <c r="H7505" s="379">
        <v>1.906589528194125</v>
      </c>
      <c r="I7505" s="25">
        <v>34.07</v>
      </c>
      <c r="J7505" s="379">
        <v>2.777777777777778E-2</v>
      </c>
    </row>
    <row r="7506" spans="1:10" x14ac:dyDescent="0.35">
      <c r="A7506" s="5">
        <v>7502</v>
      </c>
      <c r="B7506" s="5">
        <v>313</v>
      </c>
      <c r="C7506" s="5">
        <v>11</v>
      </c>
      <c r="D7506" s="379">
        <v>21.433888888888891</v>
      </c>
      <c r="E7506" s="25">
        <v>25.29</v>
      </c>
      <c r="F7506" s="379">
        <v>3.2727733956087586</v>
      </c>
      <c r="G7506" s="25">
        <v>43.56</v>
      </c>
      <c r="H7506" s="379">
        <v>2.2195100615764849</v>
      </c>
      <c r="I7506" s="25">
        <v>34.07</v>
      </c>
      <c r="J7506" s="379">
        <v>2.777777777777778E-2</v>
      </c>
    </row>
    <row r="7507" spans="1:10" x14ac:dyDescent="0.35">
      <c r="A7507" s="5">
        <v>7503</v>
      </c>
      <c r="B7507" s="5">
        <v>313</v>
      </c>
      <c r="C7507" s="5">
        <v>11</v>
      </c>
      <c r="D7507" s="379">
        <v>25.364999999999998</v>
      </c>
      <c r="E7507" s="25">
        <v>25.29</v>
      </c>
      <c r="F7507" s="379">
        <v>3.2727733956087586</v>
      </c>
      <c r="G7507" s="25">
        <v>43.56</v>
      </c>
      <c r="H7507" s="379">
        <v>2.4011044524564795</v>
      </c>
      <c r="I7507" s="25">
        <v>34.07</v>
      </c>
      <c r="J7507" s="379">
        <v>2.777777777777778E-2</v>
      </c>
    </row>
    <row r="7508" spans="1:10" x14ac:dyDescent="0.35">
      <c r="A7508" s="5">
        <v>7504</v>
      </c>
      <c r="B7508" s="5">
        <v>313</v>
      </c>
      <c r="C7508" s="5">
        <v>11</v>
      </c>
      <c r="D7508" s="379">
        <v>26.83111111111111</v>
      </c>
      <c r="E7508" s="25">
        <v>25.74</v>
      </c>
      <c r="F7508" s="379">
        <v>3.2727733956087586</v>
      </c>
      <c r="G7508" s="25">
        <v>44.69</v>
      </c>
      <c r="H7508" s="379">
        <v>2.4011044524564795</v>
      </c>
      <c r="I7508" s="25">
        <v>34.07</v>
      </c>
      <c r="J7508" s="379">
        <v>2.777777777777778E-2</v>
      </c>
    </row>
    <row r="7509" spans="1:10" x14ac:dyDescent="0.35">
      <c r="A7509" s="5">
        <v>7505</v>
      </c>
      <c r="B7509" s="5">
        <v>313</v>
      </c>
      <c r="C7509" s="5">
        <v>11</v>
      </c>
      <c r="D7509" s="379">
        <v>34.546111111111117</v>
      </c>
      <c r="E7509" s="25">
        <v>25.74</v>
      </c>
      <c r="F7509" s="379">
        <v>0.14480167642852412</v>
      </c>
      <c r="G7509" s="25">
        <v>44.86</v>
      </c>
      <c r="H7509" s="379">
        <v>2.4011044524564795</v>
      </c>
      <c r="I7509" s="25">
        <v>34.07</v>
      </c>
      <c r="J7509" s="379">
        <v>2.777777777777778E-2</v>
      </c>
    </row>
    <row r="7510" spans="1:10" x14ac:dyDescent="0.35">
      <c r="A7510" s="5">
        <v>7506</v>
      </c>
      <c r="B7510" s="5">
        <v>313</v>
      </c>
      <c r="C7510" s="5">
        <v>11</v>
      </c>
      <c r="D7510" s="379">
        <v>39.356111111111112</v>
      </c>
      <c r="E7510" s="25">
        <v>25.74</v>
      </c>
      <c r="F7510" s="379">
        <v>0.14480167642852412</v>
      </c>
      <c r="G7510" s="25">
        <v>49.28</v>
      </c>
      <c r="H7510" s="379">
        <v>2.4011044524564795</v>
      </c>
      <c r="I7510" s="25">
        <v>35.090000000000003</v>
      </c>
      <c r="J7510" s="379">
        <v>1.3605549470073204</v>
      </c>
    </row>
    <row r="7511" spans="1:10" x14ac:dyDescent="0.35">
      <c r="A7511" s="5">
        <v>7507</v>
      </c>
      <c r="B7511" s="5">
        <v>313</v>
      </c>
      <c r="C7511" s="5">
        <v>11</v>
      </c>
      <c r="D7511" s="379">
        <v>38.783333333333331</v>
      </c>
      <c r="E7511" s="25">
        <v>26.51</v>
      </c>
      <c r="F7511" s="379">
        <v>0.14480167642852412</v>
      </c>
      <c r="G7511" s="25">
        <v>49.62</v>
      </c>
      <c r="H7511" s="379">
        <v>2.4444912766830695</v>
      </c>
      <c r="I7511" s="25">
        <v>35.090000000000003</v>
      </c>
      <c r="J7511" s="379">
        <v>1.3605549470073204</v>
      </c>
    </row>
    <row r="7512" spans="1:10" x14ac:dyDescent="0.35">
      <c r="A7512" s="5">
        <v>7508</v>
      </c>
      <c r="B7512" s="5">
        <v>313</v>
      </c>
      <c r="C7512" s="5">
        <v>11</v>
      </c>
      <c r="D7512" s="379">
        <v>33.760555555555555</v>
      </c>
      <c r="E7512" s="25">
        <v>25.74</v>
      </c>
      <c r="F7512" s="379">
        <v>0.14480167642852418</v>
      </c>
      <c r="G7512" s="25">
        <v>46.21</v>
      </c>
      <c r="H7512" s="379">
        <v>2.4011044524564795</v>
      </c>
      <c r="I7512" s="25">
        <v>35.090000000000003</v>
      </c>
      <c r="J7512" s="379">
        <v>1.3605549470073204</v>
      </c>
    </row>
    <row r="7513" spans="1:10" x14ac:dyDescent="0.35">
      <c r="A7513" s="5">
        <v>7509</v>
      </c>
      <c r="B7513" s="5">
        <v>313</v>
      </c>
      <c r="C7513" s="5">
        <v>11</v>
      </c>
      <c r="D7513" s="379">
        <v>30.643333333333331</v>
      </c>
      <c r="E7513" s="25">
        <v>25.74</v>
      </c>
      <c r="F7513" s="379">
        <v>3.2806526297709397</v>
      </c>
      <c r="G7513" s="25">
        <v>43.47</v>
      </c>
      <c r="H7513" s="379">
        <v>2.4011044524564795</v>
      </c>
      <c r="I7513" s="25">
        <v>34.25</v>
      </c>
      <c r="J7513" s="379">
        <v>1.3605549470073204</v>
      </c>
    </row>
    <row r="7514" spans="1:10" x14ac:dyDescent="0.35">
      <c r="A7514" s="5">
        <v>7510</v>
      </c>
      <c r="B7514" s="5">
        <v>313</v>
      </c>
      <c r="C7514" s="5">
        <v>11</v>
      </c>
      <c r="D7514" s="379">
        <v>29.691111111111113</v>
      </c>
      <c r="E7514" s="25">
        <v>24.99</v>
      </c>
      <c r="F7514" s="379">
        <v>3.2727733956087586</v>
      </c>
      <c r="G7514" s="25">
        <v>43.39</v>
      </c>
      <c r="H7514" s="379">
        <v>2.4011044524564795</v>
      </c>
      <c r="I7514" s="25">
        <v>33.729999999999997</v>
      </c>
      <c r="J7514" s="379">
        <v>1.3605549470073204</v>
      </c>
    </row>
    <row r="7515" spans="1:10" x14ac:dyDescent="0.35">
      <c r="A7515" s="5">
        <v>7511</v>
      </c>
      <c r="B7515" s="5">
        <v>313</v>
      </c>
      <c r="C7515" s="5">
        <v>11</v>
      </c>
      <c r="D7515" s="379">
        <v>27.659999999999997</v>
      </c>
      <c r="E7515" s="25">
        <v>25.29</v>
      </c>
      <c r="F7515" s="379">
        <v>3.2727733956087586</v>
      </c>
      <c r="G7515" s="25">
        <v>42.35</v>
      </c>
      <c r="H7515" s="379">
        <v>2.4011044524564795</v>
      </c>
      <c r="I7515" s="25">
        <v>33.729999999999997</v>
      </c>
      <c r="J7515" s="379">
        <v>1.3605549470073204</v>
      </c>
    </row>
    <row r="7516" spans="1:10" x14ac:dyDescent="0.35">
      <c r="A7516" s="5">
        <v>7512</v>
      </c>
      <c r="B7516" s="5">
        <v>313</v>
      </c>
      <c r="C7516" s="5">
        <v>11</v>
      </c>
      <c r="D7516" s="379">
        <v>25.633888888888887</v>
      </c>
      <c r="E7516" s="25">
        <v>24.84</v>
      </c>
      <c r="F7516" s="379">
        <v>3.2727733956087586</v>
      </c>
      <c r="G7516" s="25">
        <v>31.49</v>
      </c>
      <c r="H7516" s="379">
        <v>2.2195100615764849</v>
      </c>
      <c r="I7516" s="25">
        <v>33.67</v>
      </c>
      <c r="J7516" s="379">
        <v>1.3605549470073204</v>
      </c>
    </row>
    <row r="7517" spans="1:10" x14ac:dyDescent="0.35">
      <c r="A7517" s="5">
        <v>7513</v>
      </c>
      <c r="B7517" s="5">
        <v>314</v>
      </c>
      <c r="C7517" s="5">
        <v>11</v>
      </c>
      <c r="D7517" s="379">
        <v>22.197222222222219</v>
      </c>
      <c r="E7517" s="25">
        <v>24.84</v>
      </c>
      <c r="F7517" s="379">
        <v>3.2727733956087586</v>
      </c>
      <c r="G7517" s="25">
        <v>30.91</v>
      </c>
      <c r="H7517" s="379">
        <v>1.906589528194125</v>
      </c>
      <c r="I7517" s="25">
        <v>33.67</v>
      </c>
      <c r="J7517" s="379">
        <v>1.3605549470073204</v>
      </c>
    </row>
    <row r="7518" spans="1:10" x14ac:dyDescent="0.35">
      <c r="A7518" s="5">
        <v>7514</v>
      </c>
      <c r="B7518" s="5">
        <v>314</v>
      </c>
      <c r="C7518" s="5">
        <v>11</v>
      </c>
      <c r="D7518" s="379">
        <v>19.095555555555556</v>
      </c>
      <c r="E7518" s="25">
        <v>24.84</v>
      </c>
      <c r="F7518" s="379">
        <v>3.1512364416311915</v>
      </c>
      <c r="G7518" s="25">
        <v>30.23</v>
      </c>
      <c r="H7518" s="379">
        <v>1.906589528194125</v>
      </c>
      <c r="I7518" s="25">
        <v>33.67</v>
      </c>
      <c r="J7518" s="379">
        <v>1.3605549470073204</v>
      </c>
    </row>
    <row r="7519" spans="1:10" x14ac:dyDescent="0.35">
      <c r="A7519" s="5">
        <v>7515</v>
      </c>
      <c r="B7519" s="5">
        <v>314</v>
      </c>
      <c r="C7519" s="5">
        <v>11</v>
      </c>
      <c r="D7519" s="379">
        <v>16.837777777777781</v>
      </c>
      <c r="E7519" s="25">
        <v>24.73</v>
      </c>
      <c r="F7519" s="379">
        <v>3.1512364416311915</v>
      </c>
      <c r="G7519" s="25">
        <v>30.23</v>
      </c>
      <c r="H7519" s="379">
        <v>1.906589528194125</v>
      </c>
      <c r="I7519" s="25">
        <v>33.67</v>
      </c>
      <c r="J7519" s="379">
        <v>1.3605549470073204</v>
      </c>
    </row>
    <row r="7520" spans="1:10" x14ac:dyDescent="0.35">
      <c r="A7520" s="5">
        <v>7516</v>
      </c>
      <c r="B7520" s="5">
        <v>314</v>
      </c>
      <c r="C7520" s="5">
        <v>11</v>
      </c>
      <c r="D7520" s="379">
        <v>15.643333333333336</v>
      </c>
      <c r="E7520" s="25">
        <v>24.73</v>
      </c>
      <c r="F7520" s="379">
        <v>3.1512364416311915</v>
      </c>
      <c r="G7520" s="25">
        <v>30.03</v>
      </c>
      <c r="H7520" s="379">
        <v>1.906589528194125</v>
      </c>
      <c r="I7520" s="25">
        <v>33.67</v>
      </c>
      <c r="J7520" s="379">
        <v>1.3605549470073204</v>
      </c>
    </row>
    <row r="7521" spans="1:10" x14ac:dyDescent="0.35">
      <c r="A7521" s="5">
        <v>7517</v>
      </c>
      <c r="B7521" s="5">
        <v>314</v>
      </c>
      <c r="C7521" s="5">
        <v>11</v>
      </c>
      <c r="D7521" s="379">
        <v>13.05</v>
      </c>
      <c r="E7521" s="25">
        <v>24.73</v>
      </c>
      <c r="F7521" s="379">
        <v>3.1512364416311915</v>
      </c>
      <c r="G7521" s="25">
        <v>30.23</v>
      </c>
      <c r="H7521" s="379">
        <v>1.906589528194125</v>
      </c>
      <c r="I7521" s="25">
        <v>33.67</v>
      </c>
      <c r="J7521" s="379">
        <v>1.3605549470073204</v>
      </c>
    </row>
    <row r="7522" spans="1:10" x14ac:dyDescent="0.35">
      <c r="A7522" s="5">
        <v>7518</v>
      </c>
      <c r="B7522" s="5">
        <v>314</v>
      </c>
      <c r="C7522" s="5">
        <v>11</v>
      </c>
      <c r="D7522" s="379">
        <v>14.461111111111112</v>
      </c>
      <c r="E7522" s="25">
        <v>24.84</v>
      </c>
      <c r="F7522" s="379">
        <v>3.2727733956087586</v>
      </c>
      <c r="G7522" s="25">
        <v>30.91</v>
      </c>
      <c r="H7522" s="379">
        <v>1.906589528194125</v>
      </c>
      <c r="I7522" s="25">
        <v>33.67</v>
      </c>
      <c r="J7522" s="379">
        <v>1.3605549470073204</v>
      </c>
    </row>
    <row r="7523" spans="1:10" x14ac:dyDescent="0.35">
      <c r="A7523" s="5">
        <v>7519</v>
      </c>
      <c r="B7523" s="5">
        <v>314</v>
      </c>
      <c r="C7523" s="5">
        <v>11</v>
      </c>
      <c r="D7523" s="379">
        <v>25.738888888888887</v>
      </c>
      <c r="E7523" s="25">
        <v>24.84</v>
      </c>
      <c r="F7523" s="379">
        <v>3.2727733956087586</v>
      </c>
      <c r="G7523" s="25">
        <v>43.47</v>
      </c>
      <c r="H7523" s="379">
        <v>2.4011044524564795</v>
      </c>
      <c r="I7523" s="25">
        <v>33.67</v>
      </c>
      <c r="J7523" s="379">
        <v>1.3605549470073204</v>
      </c>
    </row>
    <row r="7524" spans="1:10" x14ac:dyDescent="0.35">
      <c r="A7524" s="5">
        <v>7520</v>
      </c>
      <c r="B7524" s="5">
        <v>314</v>
      </c>
      <c r="C7524" s="5">
        <v>11</v>
      </c>
      <c r="D7524" s="379">
        <v>30.298333333333328</v>
      </c>
      <c r="E7524" s="25">
        <v>25.29</v>
      </c>
      <c r="F7524" s="379">
        <v>3.2727733956087586</v>
      </c>
      <c r="G7524" s="25">
        <v>43.56</v>
      </c>
      <c r="H7524" s="379">
        <v>2.4011044524564795</v>
      </c>
      <c r="I7524" s="25">
        <v>34.07</v>
      </c>
      <c r="J7524" s="379">
        <v>1.3605549470073204</v>
      </c>
    </row>
    <row r="7525" spans="1:10" x14ac:dyDescent="0.35">
      <c r="A7525" s="5">
        <v>7521</v>
      </c>
      <c r="B7525" s="5">
        <v>314</v>
      </c>
      <c r="C7525" s="5">
        <v>11</v>
      </c>
      <c r="D7525" s="379">
        <v>33.199999999999996</v>
      </c>
      <c r="E7525" s="25">
        <v>25.74</v>
      </c>
      <c r="F7525" s="379">
        <v>3.2727733956087586</v>
      </c>
      <c r="G7525" s="25">
        <v>44.69</v>
      </c>
      <c r="H7525" s="379">
        <v>2.4644097064148842</v>
      </c>
      <c r="I7525" s="25">
        <v>34.07</v>
      </c>
      <c r="J7525" s="379">
        <v>1.3605549470073204</v>
      </c>
    </row>
    <row r="7526" spans="1:10" x14ac:dyDescent="0.35">
      <c r="A7526" s="5">
        <v>7522</v>
      </c>
      <c r="B7526" s="5">
        <v>314</v>
      </c>
      <c r="C7526" s="5">
        <v>11</v>
      </c>
      <c r="D7526" s="379">
        <v>27.25611111111111</v>
      </c>
      <c r="E7526" s="25">
        <v>25.74</v>
      </c>
      <c r="F7526" s="379">
        <v>3.2727733956087586</v>
      </c>
      <c r="G7526" s="25">
        <v>44.69</v>
      </c>
      <c r="H7526" s="379">
        <v>2.4644097064148842</v>
      </c>
      <c r="I7526" s="25">
        <v>34.07</v>
      </c>
      <c r="J7526" s="379">
        <v>1.3605549470073204</v>
      </c>
    </row>
    <row r="7527" spans="1:10" x14ac:dyDescent="0.35">
      <c r="A7527" s="5">
        <v>7523</v>
      </c>
      <c r="B7527" s="5">
        <v>314</v>
      </c>
      <c r="C7527" s="5">
        <v>11</v>
      </c>
      <c r="D7527" s="379">
        <v>19.09277777777778</v>
      </c>
      <c r="E7527" s="25">
        <v>25.74</v>
      </c>
      <c r="F7527" s="379">
        <v>3.2727733956087586</v>
      </c>
      <c r="G7527" s="25">
        <v>44.69</v>
      </c>
      <c r="H7527" s="379">
        <v>2.4644097064148842</v>
      </c>
      <c r="I7527" s="25">
        <v>34.07</v>
      </c>
      <c r="J7527" s="379">
        <v>2.777777777777778E-2</v>
      </c>
    </row>
    <row r="7528" spans="1:10" x14ac:dyDescent="0.35">
      <c r="A7528" s="5">
        <v>7524</v>
      </c>
      <c r="B7528" s="5">
        <v>314</v>
      </c>
      <c r="C7528" s="5">
        <v>11</v>
      </c>
      <c r="D7528" s="379">
        <v>17.111111111111111</v>
      </c>
      <c r="E7528" s="25">
        <v>25.74</v>
      </c>
      <c r="F7528" s="379">
        <v>3.2727733956087586</v>
      </c>
      <c r="G7528" s="25">
        <v>44.69</v>
      </c>
      <c r="H7528" s="379">
        <v>2.4011044524564795</v>
      </c>
      <c r="I7528" s="25">
        <v>34.07</v>
      </c>
      <c r="J7528" s="379">
        <v>2.777777777777778E-2</v>
      </c>
    </row>
    <row r="7529" spans="1:10" x14ac:dyDescent="0.35">
      <c r="A7529" s="5">
        <v>7525</v>
      </c>
      <c r="B7529" s="5">
        <v>314</v>
      </c>
      <c r="C7529" s="5">
        <v>11</v>
      </c>
      <c r="D7529" s="379">
        <v>14.814999999999996</v>
      </c>
      <c r="E7529" s="25">
        <v>25.74</v>
      </c>
      <c r="F7529" s="379">
        <v>3.2727733956087586</v>
      </c>
      <c r="G7529" s="25">
        <v>44.69</v>
      </c>
      <c r="H7529" s="379">
        <v>2.4011044524564795</v>
      </c>
      <c r="I7529" s="25">
        <v>34.07</v>
      </c>
      <c r="J7529" s="379">
        <v>2.777777777777778E-2</v>
      </c>
    </row>
    <row r="7530" spans="1:10" x14ac:dyDescent="0.35">
      <c r="A7530" s="5">
        <v>7526</v>
      </c>
      <c r="B7530" s="5">
        <v>314</v>
      </c>
      <c r="C7530" s="5">
        <v>11</v>
      </c>
      <c r="D7530" s="379">
        <v>15.891111111111108</v>
      </c>
      <c r="E7530" s="25">
        <v>25.74</v>
      </c>
      <c r="F7530" s="379">
        <v>3.2727733956087586</v>
      </c>
      <c r="G7530" s="25">
        <v>46.11</v>
      </c>
      <c r="H7530" s="379">
        <v>2.4011044524564795</v>
      </c>
      <c r="I7530" s="25">
        <v>34.07</v>
      </c>
      <c r="J7530" s="379">
        <v>2.777777777777778E-2</v>
      </c>
    </row>
    <row r="7531" spans="1:10" x14ac:dyDescent="0.35">
      <c r="A7531" s="5">
        <v>7527</v>
      </c>
      <c r="B7531" s="5">
        <v>314</v>
      </c>
      <c r="C7531" s="5">
        <v>11</v>
      </c>
      <c r="D7531" s="379">
        <v>17.113888888888887</v>
      </c>
      <c r="E7531" s="25">
        <v>25.74</v>
      </c>
      <c r="F7531" s="379">
        <v>3.2727733956087586</v>
      </c>
      <c r="G7531" s="25">
        <v>46.11</v>
      </c>
      <c r="H7531" s="379">
        <v>2.4011044524564795</v>
      </c>
      <c r="I7531" s="25">
        <v>34.07</v>
      </c>
      <c r="J7531" s="379">
        <v>2.777777777777778E-2</v>
      </c>
    </row>
    <row r="7532" spans="1:10" x14ac:dyDescent="0.35">
      <c r="A7532" s="5">
        <v>7528</v>
      </c>
      <c r="B7532" s="5">
        <v>314</v>
      </c>
      <c r="C7532" s="5">
        <v>11</v>
      </c>
      <c r="D7532" s="379">
        <v>17.136666666666663</v>
      </c>
      <c r="E7532" s="25">
        <v>25.74</v>
      </c>
      <c r="F7532" s="379">
        <v>3.2727733956087586</v>
      </c>
      <c r="G7532" s="25">
        <v>46.11</v>
      </c>
      <c r="H7532" s="379">
        <v>2.4644097064148842</v>
      </c>
      <c r="I7532" s="25">
        <v>34.07</v>
      </c>
      <c r="J7532" s="379">
        <v>2.777777777777778E-2</v>
      </c>
    </row>
    <row r="7533" spans="1:10" x14ac:dyDescent="0.35">
      <c r="A7533" s="5">
        <v>7529</v>
      </c>
      <c r="B7533" s="5">
        <v>314</v>
      </c>
      <c r="C7533" s="5">
        <v>11</v>
      </c>
      <c r="D7533" s="379">
        <v>22.321666666666662</v>
      </c>
      <c r="E7533" s="25">
        <v>25.74</v>
      </c>
      <c r="F7533" s="379">
        <v>0.14480167642852418</v>
      </c>
      <c r="G7533" s="25">
        <v>47.85</v>
      </c>
      <c r="H7533" s="379">
        <v>2.4644097064148842</v>
      </c>
      <c r="I7533" s="25">
        <v>34.25</v>
      </c>
      <c r="J7533" s="379">
        <v>1.3605549470073204</v>
      </c>
    </row>
    <row r="7534" spans="1:10" x14ac:dyDescent="0.35">
      <c r="A7534" s="5">
        <v>7530</v>
      </c>
      <c r="B7534" s="5">
        <v>314</v>
      </c>
      <c r="C7534" s="5">
        <v>11</v>
      </c>
      <c r="D7534" s="379">
        <v>23.748888888888892</v>
      </c>
      <c r="E7534" s="25">
        <v>26.51</v>
      </c>
      <c r="F7534" s="379">
        <v>0.14480167642852418</v>
      </c>
      <c r="G7534" s="25">
        <v>52.67</v>
      </c>
      <c r="H7534" s="379">
        <v>2.5077965306414733</v>
      </c>
      <c r="I7534" s="25">
        <v>44.11</v>
      </c>
      <c r="J7534" s="379">
        <v>1.6081190604946798</v>
      </c>
    </row>
    <row r="7535" spans="1:10" x14ac:dyDescent="0.35">
      <c r="A7535" s="5">
        <v>7531</v>
      </c>
      <c r="B7535" s="5">
        <v>314</v>
      </c>
      <c r="C7535" s="5">
        <v>11</v>
      </c>
      <c r="D7535" s="379">
        <v>20.69</v>
      </c>
      <c r="E7535" s="25">
        <v>26.51</v>
      </c>
      <c r="F7535" s="379">
        <v>0.14480167642852412</v>
      </c>
      <c r="G7535" s="25">
        <v>53.22</v>
      </c>
      <c r="H7535" s="379">
        <v>2.5077965306414733</v>
      </c>
      <c r="I7535" s="25">
        <v>40.08</v>
      </c>
      <c r="J7535" s="379">
        <v>9.1086938947882792E-2</v>
      </c>
    </row>
    <row r="7536" spans="1:10" x14ac:dyDescent="0.35">
      <c r="A7536" s="5">
        <v>7532</v>
      </c>
      <c r="B7536" s="5">
        <v>314</v>
      </c>
      <c r="C7536" s="5">
        <v>11</v>
      </c>
      <c r="D7536" s="379">
        <v>18.111666666666665</v>
      </c>
      <c r="E7536" s="25">
        <v>26.51</v>
      </c>
      <c r="F7536" s="379">
        <v>0.14480167642852412</v>
      </c>
      <c r="G7536" s="25">
        <v>52.2</v>
      </c>
      <c r="H7536" s="379">
        <v>2.4981362392225606</v>
      </c>
      <c r="I7536" s="25">
        <v>34.29</v>
      </c>
      <c r="J7536" s="379">
        <v>1.4935801949846332</v>
      </c>
    </row>
    <row r="7537" spans="1:10" x14ac:dyDescent="0.35">
      <c r="A7537" s="5">
        <v>7533</v>
      </c>
      <c r="B7537" s="5">
        <v>314</v>
      </c>
      <c r="C7537" s="5">
        <v>11</v>
      </c>
      <c r="D7537" s="379">
        <v>15.950555555555557</v>
      </c>
      <c r="E7537" s="25">
        <v>25.74</v>
      </c>
      <c r="F7537" s="379">
        <v>0.14480167642852412</v>
      </c>
      <c r="G7537" s="25">
        <v>46.3</v>
      </c>
      <c r="H7537" s="379">
        <v>2.4011044524564795</v>
      </c>
      <c r="I7537" s="25">
        <v>34.07</v>
      </c>
      <c r="J7537" s="379">
        <v>1.4935801949846335</v>
      </c>
    </row>
    <row r="7538" spans="1:10" x14ac:dyDescent="0.35">
      <c r="A7538" s="5">
        <v>7534</v>
      </c>
      <c r="B7538" s="5">
        <v>314</v>
      </c>
      <c r="C7538" s="5">
        <v>11</v>
      </c>
      <c r="D7538" s="379">
        <v>13.778888888888888</v>
      </c>
      <c r="E7538" s="25">
        <v>25.29</v>
      </c>
      <c r="F7538" s="379">
        <v>3.2727733956087586</v>
      </c>
      <c r="G7538" s="25">
        <v>44.77</v>
      </c>
      <c r="H7538" s="379">
        <v>2.4011044524564795</v>
      </c>
      <c r="I7538" s="25">
        <v>34.07</v>
      </c>
      <c r="J7538" s="379">
        <v>1.4935801949846335</v>
      </c>
    </row>
    <row r="7539" spans="1:10" x14ac:dyDescent="0.35">
      <c r="A7539" s="5">
        <v>7535</v>
      </c>
      <c r="B7539" s="5">
        <v>314</v>
      </c>
      <c r="C7539" s="5">
        <v>11</v>
      </c>
      <c r="D7539" s="379">
        <v>12.009444444444444</v>
      </c>
      <c r="E7539" s="25">
        <v>25.29</v>
      </c>
      <c r="F7539" s="379">
        <v>3.2727733956087586</v>
      </c>
      <c r="G7539" s="25">
        <v>43.56</v>
      </c>
      <c r="H7539" s="379">
        <v>2.4011044524564795</v>
      </c>
      <c r="I7539" s="25">
        <v>34.07</v>
      </c>
      <c r="J7539" s="379">
        <v>1.4935801949846335</v>
      </c>
    </row>
    <row r="7540" spans="1:10" x14ac:dyDescent="0.35">
      <c r="A7540" s="5">
        <v>7536</v>
      </c>
      <c r="B7540" s="5">
        <v>314</v>
      </c>
      <c r="C7540" s="5">
        <v>11</v>
      </c>
      <c r="D7540" s="379">
        <v>8.4316666666666649</v>
      </c>
      <c r="E7540" s="25">
        <v>25.29</v>
      </c>
      <c r="F7540" s="379">
        <v>3.2727733956087586</v>
      </c>
      <c r="G7540" s="25">
        <v>43.47</v>
      </c>
      <c r="H7540" s="379">
        <v>2.2638237393473677</v>
      </c>
      <c r="I7540" s="25">
        <v>34.07</v>
      </c>
      <c r="J7540" s="379">
        <v>1.4935801949846332</v>
      </c>
    </row>
    <row r="7541" spans="1:10" x14ac:dyDescent="0.35">
      <c r="A7541" s="5">
        <v>7537</v>
      </c>
      <c r="B7541" s="5">
        <v>315</v>
      </c>
      <c r="C7541" s="5">
        <v>11</v>
      </c>
      <c r="D7541" s="379">
        <v>2.6133333333333337</v>
      </c>
      <c r="E7541" s="25">
        <v>24.99</v>
      </c>
      <c r="F7541" s="379">
        <v>3.2727733956087586</v>
      </c>
      <c r="G7541" s="25">
        <v>42.17</v>
      </c>
      <c r="H7541" s="379">
        <v>1.906589528194125</v>
      </c>
      <c r="I7541" s="25">
        <v>34.07</v>
      </c>
      <c r="J7541" s="379">
        <v>1.4935801949846335</v>
      </c>
    </row>
    <row r="7542" spans="1:10" x14ac:dyDescent="0.35">
      <c r="A7542" s="5">
        <v>7538</v>
      </c>
      <c r="B7542" s="5">
        <v>315</v>
      </c>
      <c r="C7542" s="5">
        <v>11</v>
      </c>
      <c r="D7542" s="379">
        <v>0.65055555555555555</v>
      </c>
      <c r="E7542" s="25">
        <v>24.84</v>
      </c>
      <c r="F7542" s="379">
        <v>3.2727733956087586</v>
      </c>
      <c r="G7542" s="25">
        <v>40.299999999999997</v>
      </c>
      <c r="H7542" s="379">
        <v>1.875552840195911</v>
      </c>
      <c r="I7542" s="25">
        <v>34.07</v>
      </c>
      <c r="J7542" s="379">
        <v>1.4935801949846332</v>
      </c>
    </row>
    <row r="7543" spans="1:10" x14ac:dyDescent="0.35">
      <c r="A7543" s="5">
        <v>7539</v>
      </c>
      <c r="B7543" s="5">
        <v>315</v>
      </c>
      <c r="C7543" s="5">
        <v>11</v>
      </c>
      <c r="D7543" s="379">
        <v>0.80055555555555558</v>
      </c>
      <c r="E7543" s="25">
        <v>24.84</v>
      </c>
      <c r="F7543" s="379">
        <v>3.1512364416311915</v>
      </c>
      <c r="G7543" s="25">
        <v>40.299999999999997</v>
      </c>
      <c r="H7543" s="379">
        <v>1.875552840195911</v>
      </c>
      <c r="I7543" s="25">
        <v>34.07</v>
      </c>
      <c r="J7543" s="379">
        <v>1.4935801949846332</v>
      </c>
    </row>
    <row r="7544" spans="1:10" x14ac:dyDescent="0.35">
      <c r="A7544" s="5">
        <v>7540</v>
      </c>
      <c r="B7544" s="5">
        <v>315</v>
      </c>
      <c r="C7544" s="5">
        <v>11</v>
      </c>
      <c r="D7544" s="379">
        <v>2.7872222222222218</v>
      </c>
      <c r="E7544" s="25">
        <v>24.84</v>
      </c>
      <c r="F7544" s="379">
        <v>3.1512364416311915</v>
      </c>
      <c r="G7544" s="25">
        <v>35.1</v>
      </c>
      <c r="H7544" s="379">
        <v>1.875552840195911</v>
      </c>
      <c r="I7544" s="25">
        <v>34.07</v>
      </c>
      <c r="J7544" s="379">
        <v>1.4935801949846332</v>
      </c>
    </row>
    <row r="7545" spans="1:10" x14ac:dyDescent="0.35">
      <c r="A7545" s="5">
        <v>7541</v>
      </c>
      <c r="B7545" s="5">
        <v>315</v>
      </c>
      <c r="C7545" s="5">
        <v>11</v>
      </c>
      <c r="D7545" s="379">
        <v>2.777777777777778E-2</v>
      </c>
      <c r="E7545" s="25">
        <v>24.84</v>
      </c>
      <c r="F7545" s="379">
        <v>3.1512364416311915</v>
      </c>
      <c r="G7545" s="25">
        <v>42.17</v>
      </c>
      <c r="H7545" s="379">
        <v>1.906589528194125</v>
      </c>
      <c r="I7545" s="25">
        <v>34.07</v>
      </c>
      <c r="J7545" s="379">
        <v>1.4935801949846332</v>
      </c>
    </row>
    <row r="7546" spans="1:10" x14ac:dyDescent="0.35">
      <c r="A7546" s="5">
        <v>7542</v>
      </c>
      <c r="B7546" s="5">
        <v>315</v>
      </c>
      <c r="C7546" s="5">
        <v>11</v>
      </c>
      <c r="D7546" s="379">
        <v>1.3805555555555558</v>
      </c>
      <c r="E7546" s="25">
        <v>24.99</v>
      </c>
      <c r="F7546" s="379">
        <v>3.2727733956087586</v>
      </c>
      <c r="G7546" s="25">
        <v>42.17</v>
      </c>
      <c r="H7546" s="379">
        <v>1.906589528194125</v>
      </c>
      <c r="I7546" s="25">
        <v>34.25</v>
      </c>
      <c r="J7546" s="379">
        <v>1.4935801949846332</v>
      </c>
    </row>
    <row r="7547" spans="1:10" x14ac:dyDescent="0.35">
      <c r="A7547" s="5">
        <v>7543</v>
      </c>
      <c r="B7547" s="5">
        <v>315</v>
      </c>
      <c r="C7547" s="5">
        <v>11</v>
      </c>
      <c r="D7547" s="379">
        <v>9.6605555555555558</v>
      </c>
      <c r="E7547" s="25">
        <v>25.59</v>
      </c>
      <c r="F7547" s="379">
        <v>3.2727733956087586</v>
      </c>
      <c r="G7547" s="25">
        <v>44.86</v>
      </c>
      <c r="H7547" s="379">
        <v>2.4011044524564795</v>
      </c>
      <c r="I7547" s="25">
        <v>35.31</v>
      </c>
      <c r="J7547" s="379">
        <v>1.4935801949846335</v>
      </c>
    </row>
    <row r="7548" spans="1:10" x14ac:dyDescent="0.35">
      <c r="A7548" s="5">
        <v>7544</v>
      </c>
      <c r="B7548" s="5">
        <v>315</v>
      </c>
      <c r="C7548" s="5">
        <v>11</v>
      </c>
      <c r="D7548" s="379">
        <v>13.548333333333334</v>
      </c>
      <c r="E7548" s="25">
        <v>26.05</v>
      </c>
      <c r="F7548" s="379">
        <v>0.18334897044625217</v>
      </c>
      <c r="G7548" s="25">
        <v>52.2</v>
      </c>
      <c r="H7548" s="379">
        <v>2.4011044524564795</v>
      </c>
      <c r="I7548" s="25">
        <v>50.13</v>
      </c>
      <c r="J7548" s="379">
        <v>1.4935801949846335</v>
      </c>
    </row>
    <row r="7549" spans="1:10" x14ac:dyDescent="0.35">
      <c r="A7549" s="5">
        <v>7545</v>
      </c>
      <c r="B7549" s="5">
        <v>315</v>
      </c>
      <c r="C7549" s="5">
        <v>11</v>
      </c>
      <c r="D7549" s="379">
        <v>14.76</v>
      </c>
      <c r="E7549" s="25">
        <v>27.3</v>
      </c>
      <c r="F7549" s="379">
        <v>0.18199957039296061</v>
      </c>
      <c r="G7549" s="25">
        <v>52.64</v>
      </c>
      <c r="H7549" s="379">
        <v>2.4011044524564795</v>
      </c>
      <c r="I7549" s="25">
        <v>50.13</v>
      </c>
      <c r="J7549" s="379">
        <v>1.4935801949846335</v>
      </c>
    </row>
    <row r="7550" spans="1:10" x14ac:dyDescent="0.35">
      <c r="A7550" s="5">
        <v>7546</v>
      </c>
      <c r="B7550" s="5">
        <v>315</v>
      </c>
      <c r="C7550" s="5">
        <v>11</v>
      </c>
      <c r="D7550" s="379">
        <v>12.342222222222222</v>
      </c>
      <c r="E7550" s="25">
        <v>27.3</v>
      </c>
      <c r="F7550" s="379">
        <v>9.8529398183688569E-2</v>
      </c>
      <c r="G7550" s="25">
        <v>52.64</v>
      </c>
      <c r="H7550" s="379">
        <v>2.4011044524564795</v>
      </c>
      <c r="I7550" s="25">
        <v>50.13</v>
      </c>
      <c r="J7550" s="379">
        <v>1.4935801949846332</v>
      </c>
    </row>
    <row r="7551" spans="1:10" x14ac:dyDescent="0.35">
      <c r="A7551" s="5">
        <v>7547</v>
      </c>
      <c r="B7551" s="5">
        <v>315</v>
      </c>
      <c r="C7551" s="5">
        <v>11</v>
      </c>
      <c r="D7551" s="379">
        <v>10.635</v>
      </c>
      <c r="E7551" s="25">
        <v>26.51</v>
      </c>
      <c r="F7551" s="379">
        <v>1.7300833612863409</v>
      </c>
      <c r="G7551" s="25">
        <v>51.86</v>
      </c>
      <c r="H7551" s="379">
        <v>2.4011044524564795</v>
      </c>
      <c r="I7551" s="25">
        <v>50.13</v>
      </c>
      <c r="J7551" s="379">
        <v>1.3605549470073204</v>
      </c>
    </row>
    <row r="7552" spans="1:10" x14ac:dyDescent="0.35">
      <c r="A7552" s="5">
        <v>7548</v>
      </c>
      <c r="B7552" s="5">
        <v>315</v>
      </c>
      <c r="C7552" s="5">
        <v>11</v>
      </c>
      <c r="D7552" s="379">
        <v>10.089444444444444</v>
      </c>
      <c r="E7552" s="25">
        <v>25.82</v>
      </c>
      <c r="F7552" s="379">
        <v>1.8015893154430671</v>
      </c>
      <c r="G7552" s="25">
        <v>51.86</v>
      </c>
      <c r="H7552" s="379">
        <v>2.4011044524564795</v>
      </c>
      <c r="I7552" s="25">
        <v>48.86</v>
      </c>
      <c r="J7552" s="379">
        <v>1.3605549470073204</v>
      </c>
    </row>
    <row r="7553" spans="1:10" x14ac:dyDescent="0.35">
      <c r="A7553" s="5">
        <v>7549</v>
      </c>
      <c r="B7553" s="5">
        <v>315</v>
      </c>
      <c r="C7553" s="5">
        <v>11</v>
      </c>
      <c r="D7553" s="379">
        <v>11.024444444444445</v>
      </c>
      <c r="E7553" s="25">
        <v>25.74</v>
      </c>
      <c r="F7553" s="379">
        <v>1.6365893315428528</v>
      </c>
      <c r="G7553" s="25">
        <v>50.35</v>
      </c>
      <c r="H7553" s="379">
        <v>2.339501602525194</v>
      </c>
      <c r="I7553" s="25">
        <v>48.67</v>
      </c>
      <c r="J7553" s="379">
        <v>1.3480785107786937</v>
      </c>
    </row>
    <row r="7554" spans="1:10" x14ac:dyDescent="0.35">
      <c r="A7554" s="5">
        <v>7550</v>
      </c>
      <c r="B7554" s="5">
        <v>315</v>
      </c>
      <c r="C7554" s="5">
        <v>11</v>
      </c>
      <c r="D7554" s="379">
        <v>11.002222222222221</v>
      </c>
      <c r="E7554" s="25">
        <v>25.74</v>
      </c>
      <c r="F7554" s="379">
        <v>2.0536556218302304</v>
      </c>
      <c r="G7554" s="25">
        <v>48.88</v>
      </c>
      <c r="H7554" s="379">
        <v>2.4011044524564795</v>
      </c>
      <c r="I7554" s="25">
        <v>48.86</v>
      </c>
      <c r="J7554" s="379">
        <v>1.3480785107786937</v>
      </c>
    </row>
    <row r="7555" spans="1:10" x14ac:dyDescent="0.35">
      <c r="A7555" s="5">
        <v>7551</v>
      </c>
      <c r="B7555" s="5">
        <v>315</v>
      </c>
      <c r="C7555" s="5">
        <v>11</v>
      </c>
      <c r="D7555" s="379">
        <v>13.882777777777775</v>
      </c>
      <c r="E7555" s="25">
        <v>25.74</v>
      </c>
      <c r="F7555" s="379">
        <v>2.1011960993480012</v>
      </c>
      <c r="G7555" s="25">
        <v>47.85</v>
      </c>
      <c r="H7555" s="379">
        <v>2.4011044524564795</v>
      </c>
      <c r="I7555" s="25">
        <v>50.13</v>
      </c>
      <c r="J7555" s="379">
        <v>1.3480785107786937</v>
      </c>
    </row>
    <row r="7556" spans="1:10" x14ac:dyDescent="0.35">
      <c r="A7556" s="5">
        <v>7552</v>
      </c>
      <c r="B7556" s="5">
        <v>315</v>
      </c>
      <c r="C7556" s="5">
        <v>11</v>
      </c>
      <c r="D7556" s="379">
        <v>13.181111111111111</v>
      </c>
      <c r="E7556" s="25">
        <v>25.74</v>
      </c>
      <c r="F7556" s="379">
        <v>1.9151324964302281</v>
      </c>
      <c r="G7556" s="25">
        <v>47.85</v>
      </c>
      <c r="H7556" s="379">
        <v>2.4644097064148842</v>
      </c>
      <c r="I7556" s="25">
        <v>50.13</v>
      </c>
      <c r="J7556" s="379">
        <v>1.3480785107786937</v>
      </c>
    </row>
    <row r="7557" spans="1:10" x14ac:dyDescent="0.35">
      <c r="A7557" s="5">
        <v>7553</v>
      </c>
      <c r="B7557" s="5">
        <v>315</v>
      </c>
      <c r="C7557" s="5">
        <v>11</v>
      </c>
      <c r="D7557" s="379">
        <v>13.537777777777778</v>
      </c>
      <c r="E7557" s="25">
        <v>25.76</v>
      </c>
      <c r="F7557" s="379">
        <v>8.1174834595959577</v>
      </c>
      <c r="G7557" s="25">
        <v>52.64</v>
      </c>
      <c r="H7557" s="379">
        <v>0.47222222222222221</v>
      </c>
      <c r="I7557" s="25">
        <v>51.2</v>
      </c>
      <c r="J7557" s="379">
        <v>2.777777777777778E-2</v>
      </c>
    </row>
    <row r="7558" spans="1:10" x14ac:dyDescent="0.35">
      <c r="A7558" s="5">
        <v>7554</v>
      </c>
      <c r="B7558" s="5">
        <v>315</v>
      </c>
      <c r="C7558" s="5">
        <v>11</v>
      </c>
      <c r="D7558" s="379">
        <v>19.757222222222222</v>
      </c>
      <c r="E7558" s="25">
        <v>29.1</v>
      </c>
      <c r="F7558" s="379">
        <v>8.1174834595959595</v>
      </c>
      <c r="G7558" s="25">
        <v>58.75</v>
      </c>
      <c r="H7558" s="379">
        <v>4.7996938046946571</v>
      </c>
      <c r="I7558" s="25">
        <v>54.87</v>
      </c>
      <c r="J7558" s="379">
        <v>2.777777777777778E-2</v>
      </c>
    </row>
    <row r="7559" spans="1:10" x14ac:dyDescent="0.35">
      <c r="A7559" s="5">
        <v>7555</v>
      </c>
      <c r="B7559" s="5">
        <v>315</v>
      </c>
      <c r="C7559" s="5">
        <v>11</v>
      </c>
      <c r="D7559" s="379">
        <v>20.92722222222222</v>
      </c>
      <c r="E7559" s="25">
        <v>28.15</v>
      </c>
      <c r="F7559" s="379">
        <v>8.1174834595959595</v>
      </c>
      <c r="G7559" s="25">
        <v>57.04</v>
      </c>
      <c r="H7559" s="379">
        <v>4.799693804694658</v>
      </c>
      <c r="I7559" s="25">
        <v>54.87</v>
      </c>
      <c r="J7559" s="379">
        <v>2.777777777777778E-2</v>
      </c>
    </row>
    <row r="7560" spans="1:10" x14ac:dyDescent="0.35">
      <c r="A7560" s="5">
        <v>7556</v>
      </c>
      <c r="B7560" s="5">
        <v>315</v>
      </c>
      <c r="C7560" s="5">
        <v>11</v>
      </c>
      <c r="D7560" s="379">
        <v>18.613333333333337</v>
      </c>
      <c r="E7560" s="25">
        <v>26.51</v>
      </c>
      <c r="F7560" s="379">
        <v>8.1174834595959595</v>
      </c>
      <c r="G7560" s="25">
        <v>53.77</v>
      </c>
      <c r="H7560" s="379">
        <v>4.799693804694658</v>
      </c>
      <c r="I7560" s="25">
        <v>53.27</v>
      </c>
      <c r="J7560" s="379">
        <v>2.777777777777778E-2</v>
      </c>
    </row>
    <row r="7561" spans="1:10" x14ac:dyDescent="0.35">
      <c r="A7561" s="5">
        <v>7557</v>
      </c>
      <c r="B7561" s="5">
        <v>315</v>
      </c>
      <c r="C7561" s="5">
        <v>11</v>
      </c>
      <c r="D7561" s="379">
        <v>20.374444444444443</v>
      </c>
      <c r="E7561" s="25">
        <v>25.74</v>
      </c>
      <c r="F7561" s="379">
        <v>8.1174834595959577</v>
      </c>
      <c r="G7561" s="25">
        <v>50.35</v>
      </c>
      <c r="H7561" s="379">
        <v>4.799693804694658</v>
      </c>
      <c r="I7561" s="25">
        <v>50.13</v>
      </c>
      <c r="J7561" s="379">
        <v>6.4229395797711701</v>
      </c>
    </row>
    <row r="7562" spans="1:10" x14ac:dyDescent="0.35">
      <c r="A7562" s="5">
        <v>7558</v>
      </c>
      <c r="B7562" s="5">
        <v>315</v>
      </c>
      <c r="C7562" s="5">
        <v>11</v>
      </c>
      <c r="D7562" s="379">
        <v>17.628333333333334</v>
      </c>
      <c r="E7562" s="25">
        <v>25.74</v>
      </c>
      <c r="F7562" s="379">
        <v>8.1174834595959577</v>
      </c>
      <c r="G7562" s="25">
        <v>46.98</v>
      </c>
      <c r="H7562" s="379">
        <v>4.799693804694658</v>
      </c>
      <c r="I7562" s="25">
        <v>40.08</v>
      </c>
      <c r="J7562" s="379">
        <v>6.4229395797711701</v>
      </c>
    </row>
    <row r="7563" spans="1:10" x14ac:dyDescent="0.35">
      <c r="A7563" s="5">
        <v>7559</v>
      </c>
      <c r="B7563" s="5">
        <v>315</v>
      </c>
      <c r="C7563" s="5">
        <v>11</v>
      </c>
      <c r="D7563" s="379">
        <v>17.947222222222223</v>
      </c>
      <c r="E7563" s="25">
        <v>25.59</v>
      </c>
      <c r="F7563" s="379">
        <v>8.1174834595959577</v>
      </c>
      <c r="G7563" s="25">
        <v>44.69</v>
      </c>
      <c r="H7563" s="379">
        <v>4.2825007580048435</v>
      </c>
      <c r="I7563" s="25">
        <v>35.31</v>
      </c>
      <c r="J7563" s="379">
        <v>6.4229395797711701</v>
      </c>
    </row>
    <row r="7564" spans="1:10" x14ac:dyDescent="0.35">
      <c r="A7564" s="5">
        <v>7560</v>
      </c>
      <c r="B7564" s="5">
        <v>315</v>
      </c>
      <c r="C7564" s="5">
        <v>11</v>
      </c>
      <c r="D7564" s="379">
        <v>16.362777777777776</v>
      </c>
      <c r="E7564" s="25">
        <v>25.29</v>
      </c>
      <c r="F7564" s="379">
        <v>8.1174834595959595</v>
      </c>
      <c r="G7564" s="25">
        <v>43.56</v>
      </c>
      <c r="H7564" s="379">
        <v>4.2825007580048435</v>
      </c>
      <c r="I7564" s="25">
        <v>35.31</v>
      </c>
      <c r="J7564" s="379">
        <v>4.9517472647041227</v>
      </c>
    </row>
    <row r="7565" spans="1:10" x14ac:dyDescent="0.35">
      <c r="A7565" s="5">
        <v>7561</v>
      </c>
      <c r="B7565" s="5">
        <v>316</v>
      </c>
      <c r="C7565" s="5">
        <v>11</v>
      </c>
      <c r="D7565" s="379">
        <v>20.402222222222221</v>
      </c>
      <c r="E7565" s="25">
        <v>24.99</v>
      </c>
      <c r="F7565" s="379">
        <v>8.1174834595959613</v>
      </c>
      <c r="G7565" s="25">
        <v>42.17</v>
      </c>
      <c r="H7565" s="379">
        <v>4.2825007580048435</v>
      </c>
      <c r="I7565" s="25">
        <v>35.090000000000003</v>
      </c>
      <c r="J7565" s="379">
        <v>6.4229395797711701</v>
      </c>
    </row>
    <row r="7566" spans="1:10" x14ac:dyDescent="0.35">
      <c r="A7566" s="5">
        <v>7562</v>
      </c>
      <c r="B7566" s="5">
        <v>316</v>
      </c>
      <c r="C7566" s="5">
        <v>11</v>
      </c>
      <c r="D7566" s="379">
        <v>20.663333333333334</v>
      </c>
      <c r="E7566" s="25">
        <v>24.99</v>
      </c>
      <c r="F7566" s="379">
        <v>7.3348672405140407</v>
      </c>
      <c r="G7566" s="25">
        <v>42.17</v>
      </c>
      <c r="H7566" s="379">
        <v>4.2825007580048435</v>
      </c>
      <c r="I7566" s="25">
        <v>34.25</v>
      </c>
      <c r="J7566" s="379">
        <v>1.2455401714356984</v>
      </c>
    </row>
    <row r="7567" spans="1:10" x14ac:dyDescent="0.35">
      <c r="A7567" s="5">
        <v>7563</v>
      </c>
      <c r="B7567" s="5">
        <v>316</v>
      </c>
      <c r="C7567" s="5">
        <v>11</v>
      </c>
      <c r="D7567" s="379">
        <v>20.231111111111112</v>
      </c>
      <c r="E7567" s="25">
        <v>24.84</v>
      </c>
      <c r="F7567" s="379">
        <v>7.3348672405140416</v>
      </c>
      <c r="G7567" s="25">
        <v>42.17</v>
      </c>
      <c r="H7567" s="379">
        <v>4.2825007580048426</v>
      </c>
      <c r="I7567" s="25">
        <v>34.25</v>
      </c>
      <c r="J7567" s="379">
        <v>5.9395131228869706</v>
      </c>
    </row>
    <row r="7568" spans="1:10" x14ac:dyDescent="0.35">
      <c r="A7568" s="5">
        <v>7564</v>
      </c>
      <c r="B7568" s="5">
        <v>316</v>
      </c>
      <c r="C7568" s="5">
        <v>11</v>
      </c>
      <c r="D7568" s="379">
        <v>22.485555555555553</v>
      </c>
      <c r="E7568" s="25">
        <v>24.84</v>
      </c>
      <c r="F7568" s="379">
        <v>7.3348672405140398</v>
      </c>
      <c r="G7568" s="25">
        <v>41.58</v>
      </c>
      <c r="H7568" s="379">
        <v>4.2825007580048435</v>
      </c>
      <c r="I7568" s="25">
        <v>34.25</v>
      </c>
      <c r="J7568" s="379">
        <v>5.9395131228869706</v>
      </c>
    </row>
    <row r="7569" spans="1:10" x14ac:dyDescent="0.35">
      <c r="A7569" s="5">
        <v>7565</v>
      </c>
      <c r="B7569" s="5">
        <v>316</v>
      </c>
      <c r="C7569" s="5">
        <v>11</v>
      </c>
      <c r="D7569" s="379">
        <v>25.976666666666663</v>
      </c>
      <c r="E7569" s="25">
        <v>24.84</v>
      </c>
      <c r="F7569" s="379">
        <v>7.3348672405140407</v>
      </c>
      <c r="G7569" s="25">
        <v>42.17</v>
      </c>
      <c r="H7569" s="379">
        <v>4.2825007580048435</v>
      </c>
      <c r="I7569" s="25">
        <v>35.31</v>
      </c>
      <c r="J7569" s="379">
        <v>0.27777777777777779</v>
      </c>
    </row>
    <row r="7570" spans="1:10" x14ac:dyDescent="0.35">
      <c r="A7570" s="5">
        <v>7566</v>
      </c>
      <c r="B7570" s="5">
        <v>316</v>
      </c>
      <c r="C7570" s="5">
        <v>11</v>
      </c>
      <c r="D7570" s="379">
        <v>27</v>
      </c>
      <c r="E7570" s="25">
        <v>24.99</v>
      </c>
      <c r="F7570" s="379">
        <v>8.1174834595959577</v>
      </c>
      <c r="G7570" s="25">
        <v>43.44</v>
      </c>
      <c r="H7570" s="379">
        <v>4.7996938046946571</v>
      </c>
      <c r="I7570" s="25">
        <v>36.869999999999997</v>
      </c>
      <c r="J7570" s="379">
        <v>0.36989420778843113</v>
      </c>
    </row>
    <row r="7571" spans="1:10" x14ac:dyDescent="0.35">
      <c r="A7571" s="5">
        <v>7567</v>
      </c>
      <c r="B7571" s="5">
        <v>316</v>
      </c>
      <c r="C7571" s="5">
        <v>11</v>
      </c>
      <c r="D7571" s="379">
        <v>31.397777777777776</v>
      </c>
      <c r="E7571" s="25">
        <v>24.99</v>
      </c>
      <c r="F7571" s="379">
        <v>8.1174834595959595</v>
      </c>
      <c r="G7571" s="25">
        <v>46.03</v>
      </c>
      <c r="H7571" s="379">
        <v>4.799693804694658</v>
      </c>
      <c r="I7571" s="25">
        <v>48.86</v>
      </c>
      <c r="J7571" s="379">
        <v>0.44870715569104297</v>
      </c>
    </row>
    <row r="7572" spans="1:10" x14ac:dyDescent="0.35">
      <c r="A7572" s="5">
        <v>7568</v>
      </c>
      <c r="B7572" s="5">
        <v>316</v>
      </c>
      <c r="C7572" s="5">
        <v>11</v>
      </c>
      <c r="D7572" s="379">
        <v>32.339999999999996</v>
      </c>
      <c r="E7572" s="25">
        <v>25.74</v>
      </c>
      <c r="F7572" s="379">
        <v>8.6577599238758882</v>
      </c>
      <c r="G7572" s="25">
        <v>47.46</v>
      </c>
      <c r="H7572" s="379">
        <v>4.799693804694658</v>
      </c>
      <c r="I7572" s="25">
        <v>53.27</v>
      </c>
      <c r="J7572" s="379">
        <v>0.79831535223971117</v>
      </c>
    </row>
    <row r="7573" spans="1:10" x14ac:dyDescent="0.35">
      <c r="A7573" s="5">
        <v>7569</v>
      </c>
      <c r="B7573" s="5">
        <v>316</v>
      </c>
      <c r="C7573" s="5">
        <v>11</v>
      </c>
      <c r="D7573" s="379">
        <v>31.051666666666669</v>
      </c>
      <c r="E7573" s="25">
        <v>25.74</v>
      </c>
      <c r="F7573" s="379">
        <v>8.443133229646044</v>
      </c>
      <c r="G7573" s="25">
        <v>47.46</v>
      </c>
      <c r="H7573" s="379">
        <v>4.799693804694658</v>
      </c>
      <c r="I7573" s="25">
        <v>64.14</v>
      </c>
      <c r="J7573" s="379">
        <v>0.27777777777777779</v>
      </c>
    </row>
    <row r="7574" spans="1:10" x14ac:dyDescent="0.35">
      <c r="A7574" s="5">
        <v>7570</v>
      </c>
      <c r="B7574" s="5">
        <v>316</v>
      </c>
      <c r="C7574" s="5">
        <v>11</v>
      </c>
      <c r="D7574" s="379">
        <v>30.133333333333329</v>
      </c>
      <c r="E7574" s="25">
        <v>28.37</v>
      </c>
      <c r="F7574" s="379">
        <v>8.1174834595959595</v>
      </c>
      <c r="G7574" s="25">
        <v>47.85</v>
      </c>
      <c r="H7574" s="379">
        <v>4.799693804694658</v>
      </c>
      <c r="I7574" s="25">
        <v>64.14</v>
      </c>
      <c r="J7574" s="379">
        <v>0.82423426247431664</v>
      </c>
    </row>
    <row r="7575" spans="1:10" x14ac:dyDescent="0.35">
      <c r="A7575" s="5">
        <v>7571</v>
      </c>
      <c r="B7575" s="5">
        <v>316</v>
      </c>
      <c r="C7575" s="5">
        <v>11</v>
      </c>
      <c r="D7575" s="379">
        <v>26.499444444444443</v>
      </c>
      <c r="E7575" s="25">
        <v>25.74</v>
      </c>
      <c r="F7575" s="379">
        <v>8.1174834595959613</v>
      </c>
      <c r="G7575" s="25">
        <v>47.85</v>
      </c>
      <c r="H7575" s="379">
        <v>4.2825007580048435</v>
      </c>
      <c r="I7575" s="25">
        <v>56.52</v>
      </c>
      <c r="J7575" s="379">
        <v>0.91883615611448555</v>
      </c>
    </row>
    <row r="7576" spans="1:10" x14ac:dyDescent="0.35">
      <c r="A7576" s="5">
        <v>7572</v>
      </c>
      <c r="B7576" s="5">
        <v>316</v>
      </c>
      <c r="C7576" s="5">
        <v>11</v>
      </c>
      <c r="D7576" s="379">
        <v>25.388333333333332</v>
      </c>
      <c r="E7576" s="25">
        <v>25.74</v>
      </c>
      <c r="F7576" s="379">
        <v>8.1174834595959577</v>
      </c>
      <c r="G7576" s="25">
        <v>47.85</v>
      </c>
      <c r="H7576" s="379">
        <v>4.6566859645241703</v>
      </c>
      <c r="I7576" s="25">
        <v>56.52</v>
      </c>
      <c r="J7576" s="379">
        <v>4.5987791127926885</v>
      </c>
    </row>
    <row r="7577" spans="1:10" x14ac:dyDescent="0.35">
      <c r="A7577" s="5">
        <v>7573</v>
      </c>
      <c r="B7577" s="5">
        <v>316</v>
      </c>
      <c r="C7577" s="5">
        <v>11</v>
      </c>
      <c r="D7577" s="379">
        <v>26.071111111111108</v>
      </c>
      <c r="E7577" s="25">
        <v>25.74</v>
      </c>
      <c r="F7577" s="379">
        <v>8.1174834595959577</v>
      </c>
      <c r="G7577" s="25">
        <v>47.85</v>
      </c>
      <c r="H7577" s="379">
        <v>4.3858356756341355</v>
      </c>
      <c r="I7577" s="25">
        <v>56.52</v>
      </c>
      <c r="J7577" s="379">
        <v>4.6759899936862199</v>
      </c>
    </row>
    <row r="7578" spans="1:10" x14ac:dyDescent="0.35">
      <c r="A7578" s="5">
        <v>7574</v>
      </c>
      <c r="B7578" s="5">
        <v>316</v>
      </c>
      <c r="C7578" s="5">
        <v>11</v>
      </c>
      <c r="D7578" s="379">
        <v>26.785555555555554</v>
      </c>
      <c r="E7578" s="25">
        <v>25.59</v>
      </c>
      <c r="F7578" s="379">
        <v>7.7484411000427267</v>
      </c>
      <c r="G7578" s="25">
        <v>47.85</v>
      </c>
      <c r="H7578" s="379">
        <v>4.2825007580048435</v>
      </c>
      <c r="I7578" s="25">
        <v>54.52</v>
      </c>
      <c r="J7578" s="379">
        <v>4.5092967679685518</v>
      </c>
    </row>
    <row r="7579" spans="1:10" x14ac:dyDescent="0.35">
      <c r="A7579" s="5">
        <v>7575</v>
      </c>
      <c r="B7579" s="5">
        <v>316</v>
      </c>
      <c r="C7579" s="5">
        <v>11</v>
      </c>
      <c r="D7579" s="379">
        <v>28.370555555555551</v>
      </c>
      <c r="E7579" s="25">
        <v>25.59</v>
      </c>
      <c r="F7579" s="379">
        <v>7.7766260557526898</v>
      </c>
      <c r="G7579" s="25">
        <v>47.85</v>
      </c>
      <c r="H7579" s="379">
        <v>4.4339568984133129</v>
      </c>
      <c r="I7579" s="25">
        <v>54.52</v>
      </c>
      <c r="J7579" s="379">
        <v>3.770801914212313</v>
      </c>
    </row>
    <row r="7580" spans="1:10" x14ac:dyDescent="0.35">
      <c r="A7580" s="5">
        <v>7576</v>
      </c>
      <c r="B7580" s="5">
        <v>316</v>
      </c>
      <c r="C7580" s="5">
        <v>11</v>
      </c>
      <c r="D7580" s="379">
        <v>31.393888888888888</v>
      </c>
      <c r="E7580" s="25">
        <v>24.99</v>
      </c>
      <c r="F7580" s="379">
        <v>9.2640042925550592</v>
      </c>
      <c r="G7580" s="25">
        <v>47.85</v>
      </c>
      <c r="H7580" s="379">
        <v>5.2728119193068066</v>
      </c>
      <c r="I7580" s="25">
        <v>66.06</v>
      </c>
      <c r="J7580" s="379">
        <v>3.5119283505493937</v>
      </c>
    </row>
    <row r="7581" spans="1:10" x14ac:dyDescent="0.35">
      <c r="A7581" s="5">
        <v>7577</v>
      </c>
      <c r="B7581" s="5">
        <v>316</v>
      </c>
      <c r="C7581" s="5">
        <v>11</v>
      </c>
      <c r="D7581" s="379">
        <v>35.045555555555552</v>
      </c>
      <c r="E7581" s="25">
        <v>27.3</v>
      </c>
      <c r="F7581" s="379">
        <v>13.922214707128415</v>
      </c>
      <c r="G7581" s="25">
        <v>47.85</v>
      </c>
      <c r="H7581" s="379">
        <v>6.1984836171175184</v>
      </c>
      <c r="I7581" s="25">
        <v>72.19</v>
      </c>
      <c r="J7581" s="379">
        <v>0.94973042141126673</v>
      </c>
    </row>
    <row r="7582" spans="1:10" x14ac:dyDescent="0.35">
      <c r="A7582" s="5">
        <v>7578</v>
      </c>
      <c r="B7582" s="5">
        <v>316</v>
      </c>
      <c r="C7582" s="5">
        <v>11</v>
      </c>
      <c r="D7582" s="379">
        <v>42.871111111111098</v>
      </c>
      <c r="E7582" s="25">
        <v>30.01</v>
      </c>
      <c r="F7582" s="379">
        <v>14.263256796772508</v>
      </c>
      <c r="G7582" s="25">
        <v>49.62</v>
      </c>
      <c r="H7582" s="379">
        <v>6.5006369757061311</v>
      </c>
      <c r="I7582" s="25">
        <v>603.30999999999995</v>
      </c>
      <c r="J7582" s="379">
        <v>0.27777777777777779</v>
      </c>
    </row>
    <row r="7583" spans="1:10" x14ac:dyDescent="0.35">
      <c r="A7583" s="5">
        <v>7579</v>
      </c>
      <c r="B7583" s="5">
        <v>316</v>
      </c>
      <c r="C7583" s="5">
        <v>11</v>
      </c>
      <c r="D7583" s="379">
        <v>41.308888888888887</v>
      </c>
      <c r="E7583" s="25">
        <v>28.12</v>
      </c>
      <c r="F7583" s="379">
        <v>14.790490363647205</v>
      </c>
      <c r="G7583" s="25">
        <v>51.9</v>
      </c>
      <c r="H7583" s="379">
        <v>7.169019170884269</v>
      </c>
      <c r="I7583" s="25">
        <v>568.67999999999995</v>
      </c>
      <c r="J7583" s="379">
        <v>0.27777777777777779</v>
      </c>
    </row>
    <row r="7584" spans="1:10" x14ac:dyDescent="0.35">
      <c r="A7584" s="5">
        <v>7580</v>
      </c>
      <c r="B7584" s="5">
        <v>316</v>
      </c>
      <c r="C7584" s="5">
        <v>11</v>
      </c>
      <c r="D7584" s="379">
        <v>35.11333333333333</v>
      </c>
      <c r="E7584" s="25">
        <v>26.51</v>
      </c>
      <c r="F7584" s="379">
        <v>8.969020349428785</v>
      </c>
      <c r="G7584" s="25">
        <v>49.62</v>
      </c>
      <c r="H7584" s="379">
        <v>6.7349037433055292</v>
      </c>
      <c r="I7584" s="25">
        <v>64.14</v>
      </c>
      <c r="J7584" s="379">
        <v>0.27777777777777779</v>
      </c>
    </row>
    <row r="7585" spans="1:10" x14ac:dyDescent="0.35">
      <c r="A7585" s="5">
        <v>7581</v>
      </c>
      <c r="B7585" s="5">
        <v>316</v>
      </c>
      <c r="C7585" s="5">
        <v>11</v>
      </c>
      <c r="D7585" s="379">
        <v>31.830000000000002</v>
      </c>
      <c r="E7585" s="25">
        <v>25.74</v>
      </c>
      <c r="F7585" s="379">
        <v>8.2703327068421029</v>
      </c>
      <c r="G7585" s="25">
        <v>47.85</v>
      </c>
      <c r="H7585" s="379">
        <v>6.8660444964951655</v>
      </c>
      <c r="I7585" s="25">
        <v>54.87</v>
      </c>
      <c r="J7585" s="379">
        <v>0.27777777777777779</v>
      </c>
    </row>
    <row r="7586" spans="1:10" x14ac:dyDescent="0.35">
      <c r="A7586" s="5">
        <v>7582</v>
      </c>
      <c r="B7586" s="5">
        <v>316</v>
      </c>
      <c r="C7586" s="5">
        <v>11</v>
      </c>
      <c r="D7586" s="379">
        <v>29.960555555555558</v>
      </c>
      <c r="E7586" s="25">
        <v>25.62</v>
      </c>
      <c r="F7586" s="379">
        <v>8.4006614050085169</v>
      </c>
      <c r="G7586" s="25">
        <v>46.11</v>
      </c>
      <c r="H7586" s="379">
        <v>4.799693804694658</v>
      </c>
      <c r="I7586" s="25">
        <v>51.02</v>
      </c>
      <c r="J7586" s="379">
        <v>5.7970026545074979E-2</v>
      </c>
    </row>
    <row r="7587" spans="1:10" x14ac:dyDescent="0.35">
      <c r="A7587" s="5">
        <v>7583</v>
      </c>
      <c r="B7587" s="5">
        <v>316</v>
      </c>
      <c r="C7587" s="5">
        <v>11</v>
      </c>
      <c r="D7587" s="379">
        <v>28.194444444444443</v>
      </c>
      <c r="E7587" s="25">
        <v>25.74</v>
      </c>
      <c r="F7587" s="379">
        <v>5.4905913021570232</v>
      </c>
      <c r="G7587" s="25">
        <v>47.46</v>
      </c>
      <c r="H7587" s="379">
        <v>6.1578905647260225</v>
      </c>
      <c r="I7587" s="25">
        <v>48.86</v>
      </c>
      <c r="J7587" s="379">
        <v>5.831158483856462E-2</v>
      </c>
    </row>
    <row r="7588" spans="1:10" x14ac:dyDescent="0.35">
      <c r="A7588" s="5">
        <v>7584</v>
      </c>
      <c r="B7588" s="5">
        <v>316</v>
      </c>
      <c r="C7588" s="5">
        <v>11</v>
      </c>
      <c r="D7588" s="379">
        <v>30.287777777777773</v>
      </c>
      <c r="E7588" s="25">
        <v>25.74</v>
      </c>
      <c r="F7588" s="379">
        <v>5.3486290993941283</v>
      </c>
      <c r="G7588" s="25">
        <v>46.11</v>
      </c>
      <c r="H7588" s="379">
        <v>6.2032331310074316</v>
      </c>
      <c r="I7588" s="25">
        <v>48.86</v>
      </c>
      <c r="J7588" s="379">
        <v>1.5833295483561862</v>
      </c>
    </row>
    <row r="7589" spans="1:10" x14ac:dyDescent="0.35">
      <c r="A7589" s="5">
        <v>7585</v>
      </c>
      <c r="B7589" s="5">
        <v>317</v>
      </c>
      <c r="C7589" s="5">
        <v>11</v>
      </c>
      <c r="D7589" s="379">
        <v>34.543888888888887</v>
      </c>
      <c r="E7589" s="25">
        <v>24.99</v>
      </c>
      <c r="F7589" s="379">
        <v>4.9461324314284543</v>
      </c>
      <c r="G7589" s="25">
        <v>43.47</v>
      </c>
      <c r="H7589" s="379">
        <v>6.1683900762015664</v>
      </c>
      <c r="I7589" s="25">
        <v>36.68</v>
      </c>
      <c r="J7589" s="379">
        <v>4.8079729122242592</v>
      </c>
    </row>
    <row r="7590" spans="1:10" x14ac:dyDescent="0.35">
      <c r="A7590" s="5">
        <v>7586</v>
      </c>
      <c r="B7590" s="5">
        <v>317</v>
      </c>
      <c r="C7590" s="5">
        <v>11</v>
      </c>
      <c r="D7590" s="379">
        <v>31.946666666666669</v>
      </c>
      <c r="E7590" s="25">
        <v>24.84</v>
      </c>
      <c r="F7590" s="379">
        <v>4.7593892118476129</v>
      </c>
      <c r="G7590" s="25">
        <v>39.770000000000003</v>
      </c>
      <c r="H7590" s="379">
        <v>4.7891850948822139</v>
      </c>
      <c r="I7590" s="25">
        <v>33.67</v>
      </c>
      <c r="J7590" s="379">
        <v>4.6978309222456343</v>
      </c>
    </row>
    <row r="7591" spans="1:10" x14ac:dyDescent="0.35">
      <c r="A7591" s="5">
        <v>7587</v>
      </c>
      <c r="B7591" s="5">
        <v>317</v>
      </c>
      <c r="C7591" s="5">
        <v>11</v>
      </c>
      <c r="D7591" s="379">
        <v>30.673333333333336</v>
      </c>
      <c r="E7591" s="25">
        <v>24.73</v>
      </c>
      <c r="F7591" s="379">
        <v>4.7593892118476129</v>
      </c>
      <c r="G7591" s="25">
        <v>39.200000000000003</v>
      </c>
      <c r="H7591" s="379">
        <v>4.7996938046946598</v>
      </c>
      <c r="I7591" s="25">
        <v>33.67</v>
      </c>
      <c r="J7591" s="379">
        <v>4.5398535685541201</v>
      </c>
    </row>
    <row r="7592" spans="1:10" x14ac:dyDescent="0.35">
      <c r="A7592" s="5">
        <v>7588</v>
      </c>
      <c r="B7592" s="5">
        <v>317</v>
      </c>
      <c r="C7592" s="5">
        <v>11</v>
      </c>
      <c r="D7592" s="379">
        <v>27.270555555555557</v>
      </c>
      <c r="E7592" s="25">
        <v>24.26</v>
      </c>
      <c r="F7592" s="379">
        <v>4.0430939720285357</v>
      </c>
      <c r="G7592" s="25">
        <v>38.049999999999997</v>
      </c>
      <c r="H7592" s="379">
        <v>4.799693804694658</v>
      </c>
      <c r="I7592" s="25">
        <v>33.67</v>
      </c>
      <c r="J7592" s="379">
        <v>4.4205050471151601</v>
      </c>
    </row>
    <row r="7593" spans="1:10" x14ac:dyDescent="0.35">
      <c r="A7593" s="5">
        <v>7589</v>
      </c>
      <c r="B7593" s="5">
        <v>317</v>
      </c>
      <c r="C7593" s="5">
        <v>11</v>
      </c>
      <c r="D7593" s="379">
        <v>28.004444444444445</v>
      </c>
      <c r="E7593" s="25">
        <v>24.11</v>
      </c>
      <c r="F7593" s="379">
        <v>3.5182683767419758</v>
      </c>
      <c r="G7593" s="25">
        <v>37.67</v>
      </c>
      <c r="H7593" s="379">
        <v>4.7996938046946598</v>
      </c>
      <c r="I7593" s="25">
        <v>33.67</v>
      </c>
      <c r="J7593" s="379">
        <v>4.3782646935626248</v>
      </c>
    </row>
    <row r="7594" spans="1:10" x14ac:dyDescent="0.35">
      <c r="A7594" s="5">
        <v>7590</v>
      </c>
      <c r="B7594" s="5">
        <v>317</v>
      </c>
      <c r="C7594" s="5">
        <v>11</v>
      </c>
      <c r="D7594" s="379">
        <v>27.889444444444443</v>
      </c>
      <c r="E7594" s="25">
        <v>24.26</v>
      </c>
      <c r="F7594" s="379">
        <v>3.8164984221244547</v>
      </c>
      <c r="G7594" s="25">
        <v>37.67</v>
      </c>
      <c r="H7594" s="379">
        <v>4.799693804694658</v>
      </c>
      <c r="I7594" s="25">
        <v>33.67</v>
      </c>
      <c r="J7594" s="379">
        <v>5.1569085768440175</v>
      </c>
    </row>
    <row r="7595" spans="1:10" x14ac:dyDescent="0.35">
      <c r="A7595" s="5">
        <v>7591</v>
      </c>
      <c r="B7595" s="5">
        <v>317</v>
      </c>
      <c r="C7595" s="5">
        <v>11</v>
      </c>
      <c r="D7595" s="379">
        <v>28.18055555555555</v>
      </c>
      <c r="E7595" s="25">
        <v>24.84</v>
      </c>
      <c r="F7595" s="379">
        <v>4.3101035565117698</v>
      </c>
      <c r="G7595" s="25">
        <v>38.049999999999997</v>
      </c>
      <c r="H7595" s="379">
        <v>4.799693804694658</v>
      </c>
      <c r="I7595" s="25">
        <v>33.67</v>
      </c>
      <c r="J7595" s="379">
        <v>5.1569085768440175</v>
      </c>
    </row>
    <row r="7596" spans="1:10" x14ac:dyDescent="0.35">
      <c r="A7596" s="5">
        <v>7592</v>
      </c>
      <c r="B7596" s="5">
        <v>317</v>
      </c>
      <c r="C7596" s="5">
        <v>11</v>
      </c>
      <c r="D7596" s="379">
        <v>30.824999999999996</v>
      </c>
      <c r="E7596" s="25">
        <v>24.84</v>
      </c>
      <c r="F7596" s="379">
        <v>5.4806387985711424</v>
      </c>
      <c r="G7596" s="25">
        <v>39.200000000000003</v>
      </c>
      <c r="H7596" s="379">
        <v>4.799693804694658</v>
      </c>
      <c r="I7596" s="25">
        <v>33.67</v>
      </c>
      <c r="J7596" s="379">
        <v>4.8732108525639317</v>
      </c>
    </row>
    <row r="7597" spans="1:10" x14ac:dyDescent="0.35">
      <c r="A7597" s="5">
        <v>7593</v>
      </c>
      <c r="B7597" s="5">
        <v>317</v>
      </c>
      <c r="C7597" s="5">
        <v>11</v>
      </c>
      <c r="D7597" s="379">
        <v>31.520000000000003</v>
      </c>
      <c r="E7597" s="25">
        <v>24.84</v>
      </c>
      <c r="F7597" s="379">
        <v>1.5080141517044467</v>
      </c>
      <c r="G7597" s="25">
        <v>42.17</v>
      </c>
      <c r="H7597" s="379">
        <v>2.7683895984456304</v>
      </c>
      <c r="I7597" s="25">
        <v>33.67</v>
      </c>
      <c r="J7597" s="379">
        <v>2.6368092473832911</v>
      </c>
    </row>
    <row r="7598" spans="1:10" x14ac:dyDescent="0.35">
      <c r="A7598" s="5">
        <v>7594</v>
      </c>
      <c r="B7598" s="5">
        <v>317</v>
      </c>
      <c r="C7598" s="5">
        <v>11</v>
      </c>
      <c r="D7598" s="379">
        <v>29.256666666666675</v>
      </c>
      <c r="E7598" s="25">
        <v>24.99</v>
      </c>
      <c r="F7598" s="379">
        <v>0.47222222222222215</v>
      </c>
      <c r="G7598" s="25">
        <v>42.17</v>
      </c>
      <c r="H7598" s="379">
        <v>2.4011044524564795</v>
      </c>
      <c r="I7598" s="25">
        <v>33.67</v>
      </c>
      <c r="J7598" s="379">
        <v>1.5317219972919263</v>
      </c>
    </row>
    <row r="7599" spans="1:10" x14ac:dyDescent="0.35">
      <c r="A7599" s="5">
        <v>7595</v>
      </c>
      <c r="B7599" s="5">
        <v>317</v>
      </c>
      <c r="C7599" s="5">
        <v>11</v>
      </c>
      <c r="D7599" s="379">
        <v>28.204444444444441</v>
      </c>
      <c r="E7599" s="25">
        <v>24.99</v>
      </c>
      <c r="F7599" s="379">
        <v>3.5756434952257288</v>
      </c>
      <c r="G7599" s="25">
        <v>39.200000000000003</v>
      </c>
      <c r="H7599" s="379">
        <v>2.4011044524564795</v>
      </c>
      <c r="I7599" s="25">
        <v>33.67</v>
      </c>
      <c r="J7599" s="379">
        <v>0.92969590665355439</v>
      </c>
    </row>
    <row r="7600" spans="1:10" x14ac:dyDescent="0.35">
      <c r="A7600" s="5">
        <v>7596</v>
      </c>
      <c r="B7600" s="5">
        <v>317</v>
      </c>
      <c r="C7600" s="5">
        <v>11</v>
      </c>
      <c r="D7600" s="379">
        <v>29.574444444444445</v>
      </c>
      <c r="E7600" s="25">
        <v>24.99</v>
      </c>
      <c r="F7600" s="379">
        <v>3.5756434952257288</v>
      </c>
      <c r="G7600" s="25">
        <v>39.200000000000003</v>
      </c>
      <c r="H7600" s="379">
        <v>2.4011044524564795</v>
      </c>
      <c r="I7600" s="25">
        <v>33.67</v>
      </c>
      <c r="J7600" s="379">
        <v>2.777777777777778E-2</v>
      </c>
    </row>
    <row r="7601" spans="1:10" x14ac:dyDescent="0.35">
      <c r="A7601" s="5">
        <v>7597</v>
      </c>
      <c r="B7601" s="5">
        <v>317</v>
      </c>
      <c r="C7601" s="5">
        <v>11</v>
      </c>
      <c r="D7601" s="379">
        <v>29.180555555555554</v>
      </c>
      <c r="E7601" s="25">
        <v>24.84</v>
      </c>
      <c r="F7601" s="379">
        <v>3.2984688817194554</v>
      </c>
      <c r="G7601" s="25">
        <v>39.200000000000003</v>
      </c>
      <c r="H7601" s="379">
        <v>2.4011044524564795</v>
      </c>
      <c r="I7601" s="25">
        <v>33.67</v>
      </c>
      <c r="J7601" s="379">
        <v>2.777777777777778E-2</v>
      </c>
    </row>
    <row r="7602" spans="1:10" x14ac:dyDescent="0.35">
      <c r="A7602" s="5">
        <v>7598</v>
      </c>
      <c r="B7602" s="5">
        <v>317</v>
      </c>
      <c r="C7602" s="5">
        <v>11</v>
      </c>
      <c r="D7602" s="379">
        <v>28.98833333333333</v>
      </c>
      <c r="E7602" s="25">
        <v>24.84</v>
      </c>
      <c r="F7602" s="379">
        <v>3.28788838743858</v>
      </c>
      <c r="G7602" s="25">
        <v>37.67</v>
      </c>
      <c r="H7602" s="379">
        <v>2.4011044524564795</v>
      </c>
      <c r="I7602" s="25">
        <v>33.67</v>
      </c>
      <c r="J7602" s="379">
        <v>2.777777777777778E-2</v>
      </c>
    </row>
    <row r="7603" spans="1:10" x14ac:dyDescent="0.35">
      <c r="A7603" s="5">
        <v>7599</v>
      </c>
      <c r="B7603" s="5">
        <v>317</v>
      </c>
      <c r="C7603" s="5">
        <v>11</v>
      </c>
      <c r="D7603" s="379">
        <v>30.831666666666667</v>
      </c>
      <c r="E7603" s="25">
        <v>24.84</v>
      </c>
      <c r="F7603" s="379">
        <v>3.2984688817194554</v>
      </c>
      <c r="G7603" s="25">
        <v>37.67</v>
      </c>
      <c r="H7603" s="379">
        <v>2.4011044524564795</v>
      </c>
      <c r="I7603" s="25">
        <v>33.67</v>
      </c>
      <c r="J7603" s="379">
        <v>2.777777777777778E-2</v>
      </c>
    </row>
    <row r="7604" spans="1:10" x14ac:dyDescent="0.35">
      <c r="A7604" s="5">
        <v>7600</v>
      </c>
      <c r="B7604" s="5">
        <v>317</v>
      </c>
      <c r="C7604" s="5">
        <v>11</v>
      </c>
      <c r="D7604" s="379">
        <v>30.959999999999997</v>
      </c>
      <c r="E7604" s="25">
        <v>24.84</v>
      </c>
      <c r="F7604" s="379">
        <v>0.41852815317419012</v>
      </c>
      <c r="G7604" s="25">
        <v>39.200000000000003</v>
      </c>
      <c r="H7604" s="379">
        <v>2.4644097064148842</v>
      </c>
      <c r="I7604" s="25">
        <v>33.67</v>
      </c>
      <c r="J7604" s="379">
        <v>2.777777777777778E-2</v>
      </c>
    </row>
    <row r="7605" spans="1:10" x14ac:dyDescent="0.35">
      <c r="A7605" s="5">
        <v>7601</v>
      </c>
      <c r="B7605" s="5">
        <v>317</v>
      </c>
      <c r="C7605" s="5">
        <v>11</v>
      </c>
      <c r="D7605" s="379">
        <v>35.557777777777773</v>
      </c>
      <c r="E7605" s="25">
        <v>24.84</v>
      </c>
      <c r="F7605" s="379">
        <v>3.9683154313748572</v>
      </c>
      <c r="G7605" s="25">
        <v>39.770000000000003</v>
      </c>
      <c r="H7605" s="379">
        <v>5.4115898372063015E-2</v>
      </c>
      <c r="I7605" s="25">
        <v>33.67</v>
      </c>
      <c r="J7605" s="379">
        <v>2.777777777777778E-2</v>
      </c>
    </row>
    <row r="7606" spans="1:10" x14ac:dyDescent="0.35">
      <c r="A7606" s="5">
        <v>7602</v>
      </c>
      <c r="B7606" s="5">
        <v>317</v>
      </c>
      <c r="C7606" s="5">
        <v>11</v>
      </c>
      <c r="D7606" s="379">
        <v>40.661666666666669</v>
      </c>
      <c r="E7606" s="25">
        <v>24.84</v>
      </c>
      <c r="F7606" s="379">
        <v>3.8491272158969361</v>
      </c>
      <c r="G7606" s="25">
        <v>42.17</v>
      </c>
      <c r="H7606" s="379">
        <v>0.11438074466716509</v>
      </c>
      <c r="I7606" s="25">
        <v>33.67</v>
      </c>
      <c r="J7606" s="379">
        <v>8.041693123554583E-2</v>
      </c>
    </row>
    <row r="7607" spans="1:10" x14ac:dyDescent="0.35">
      <c r="A7607" s="5">
        <v>7603</v>
      </c>
      <c r="B7607" s="5">
        <v>317</v>
      </c>
      <c r="C7607" s="5">
        <v>11</v>
      </c>
      <c r="D7607" s="379">
        <v>39.871111111111112</v>
      </c>
      <c r="E7607" s="25">
        <v>25.29</v>
      </c>
      <c r="F7607" s="379">
        <v>4.4413227911430582</v>
      </c>
      <c r="G7607" s="25">
        <v>42.35</v>
      </c>
      <c r="H7607" s="379">
        <v>8.777396208187753E-2</v>
      </c>
      <c r="I7607" s="25">
        <v>33.67</v>
      </c>
      <c r="J7607" s="379">
        <v>6.1635132902824283E-2</v>
      </c>
    </row>
    <row r="7608" spans="1:10" x14ac:dyDescent="0.35">
      <c r="A7608" s="5">
        <v>7604</v>
      </c>
      <c r="B7608" s="5">
        <v>317</v>
      </c>
      <c r="C7608" s="5">
        <v>11</v>
      </c>
      <c r="D7608" s="379">
        <v>34.838333333333324</v>
      </c>
      <c r="E7608" s="25">
        <v>24.84</v>
      </c>
      <c r="F7608" s="379">
        <v>0.93287513146890544</v>
      </c>
      <c r="G7608" s="25">
        <v>42.17</v>
      </c>
      <c r="H7608" s="379">
        <v>2.4644097064148842</v>
      </c>
      <c r="I7608" s="25">
        <v>33.67</v>
      </c>
      <c r="J7608" s="379">
        <v>1.3605549470073204</v>
      </c>
    </row>
    <row r="7609" spans="1:10" x14ac:dyDescent="0.35">
      <c r="A7609" s="5">
        <v>7605</v>
      </c>
      <c r="B7609" s="5">
        <v>317</v>
      </c>
      <c r="C7609" s="5">
        <v>11</v>
      </c>
      <c r="D7609" s="379">
        <v>35.282222222222217</v>
      </c>
      <c r="E7609" s="25">
        <v>24.84</v>
      </c>
      <c r="F7609" s="379">
        <v>0.30378900107646623</v>
      </c>
      <c r="G7609" s="25">
        <v>37.46</v>
      </c>
      <c r="H7609" s="379">
        <v>2.4644097064148842</v>
      </c>
      <c r="I7609" s="25">
        <v>33.67</v>
      </c>
      <c r="J7609" s="379">
        <v>1.3605549470073204</v>
      </c>
    </row>
    <row r="7610" spans="1:10" x14ac:dyDescent="0.35">
      <c r="A7610" s="5">
        <v>7606</v>
      </c>
      <c r="B7610" s="5">
        <v>317</v>
      </c>
      <c r="C7610" s="5">
        <v>11</v>
      </c>
      <c r="D7610" s="379">
        <v>34.913888888888891</v>
      </c>
      <c r="E7610" s="25">
        <v>24.84</v>
      </c>
      <c r="F7610" s="379">
        <v>3.2984688817194554</v>
      </c>
      <c r="G7610" s="25">
        <v>30.03</v>
      </c>
      <c r="H7610" s="379">
        <v>2.4011044524564795</v>
      </c>
      <c r="I7610" s="25">
        <v>33.67</v>
      </c>
      <c r="J7610" s="379">
        <v>1.3605549470073204</v>
      </c>
    </row>
    <row r="7611" spans="1:10" x14ac:dyDescent="0.35">
      <c r="A7611" s="5">
        <v>7607</v>
      </c>
      <c r="B7611" s="5">
        <v>317</v>
      </c>
      <c r="C7611" s="5">
        <v>11</v>
      </c>
      <c r="D7611" s="379">
        <v>33.739444444444452</v>
      </c>
      <c r="E7611" s="25">
        <v>24.84</v>
      </c>
      <c r="F7611" s="379">
        <v>3.2984688817194554</v>
      </c>
      <c r="G7611" s="25">
        <v>30.03</v>
      </c>
      <c r="H7611" s="379">
        <v>2.4011044524564795</v>
      </c>
      <c r="I7611" s="25">
        <v>33.67</v>
      </c>
      <c r="J7611" s="379">
        <v>1.3605549470073204</v>
      </c>
    </row>
    <row r="7612" spans="1:10" x14ac:dyDescent="0.35">
      <c r="A7612" s="5">
        <v>7608</v>
      </c>
      <c r="B7612" s="5">
        <v>317</v>
      </c>
      <c r="C7612" s="5">
        <v>11</v>
      </c>
      <c r="D7612" s="379">
        <v>31.954444444444441</v>
      </c>
      <c r="E7612" s="25">
        <v>24.84</v>
      </c>
      <c r="F7612" s="379">
        <v>3.2727733956087586</v>
      </c>
      <c r="G7612" s="25">
        <v>30.03</v>
      </c>
      <c r="H7612" s="379">
        <v>2.4011044524564795</v>
      </c>
      <c r="I7612" s="25">
        <v>33.67</v>
      </c>
      <c r="J7612" s="379">
        <v>1.3605549470073204</v>
      </c>
    </row>
    <row r="7613" spans="1:10" x14ac:dyDescent="0.35">
      <c r="A7613" s="5">
        <v>7609</v>
      </c>
      <c r="B7613" s="5">
        <v>318</v>
      </c>
      <c r="C7613" s="5">
        <v>11</v>
      </c>
      <c r="D7613" s="379">
        <v>35.616111111111117</v>
      </c>
      <c r="E7613" s="25">
        <v>24.73</v>
      </c>
      <c r="F7613" s="379">
        <v>3.2727733956087586</v>
      </c>
      <c r="G7613" s="25">
        <v>30.03</v>
      </c>
      <c r="H7613" s="379">
        <v>2.4011044524564795</v>
      </c>
      <c r="I7613" s="25">
        <v>33.67</v>
      </c>
      <c r="J7613" s="379">
        <v>1.3605549470073204</v>
      </c>
    </row>
    <row r="7614" spans="1:10" x14ac:dyDescent="0.35">
      <c r="A7614" s="5">
        <v>7610</v>
      </c>
      <c r="B7614" s="5">
        <v>318</v>
      </c>
      <c r="C7614" s="5">
        <v>11</v>
      </c>
      <c r="D7614" s="379">
        <v>34.281111111111109</v>
      </c>
      <c r="E7614" s="25">
        <v>24.26</v>
      </c>
      <c r="F7614" s="379">
        <v>3.2727733956087586</v>
      </c>
      <c r="G7614" s="25">
        <v>30.03</v>
      </c>
      <c r="H7614" s="379">
        <v>2.4011044524564795</v>
      </c>
      <c r="I7614" s="25">
        <v>33.67</v>
      </c>
      <c r="J7614" s="379">
        <v>1.3605549470073204</v>
      </c>
    </row>
    <row r="7615" spans="1:10" x14ac:dyDescent="0.35">
      <c r="A7615" s="5">
        <v>7611</v>
      </c>
      <c r="B7615" s="5">
        <v>318</v>
      </c>
      <c r="C7615" s="5">
        <v>11</v>
      </c>
      <c r="D7615" s="379">
        <v>32.645000000000003</v>
      </c>
      <c r="E7615" s="25">
        <v>21.88</v>
      </c>
      <c r="F7615" s="379">
        <v>3.2727733956087586</v>
      </c>
      <c r="G7615" s="25">
        <v>30.03</v>
      </c>
      <c r="H7615" s="379">
        <v>2.4011044524564795</v>
      </c>
      <c r="I7615" s="25">
        <v>33.67</v>
      </c>
      <c r="J7615" s="379">
        <v>1.3605549470073204</v>
      </c>
    </row>
    <row r="7616" spans="1:10" x14ac:dyDescent="0.35">
      <c r="A7616" s="5">
        <v>7612</v>
      </c>
      <c r="B7616" s="5">
        <v>318</v>
      </c>
      <c r="C7616" s="5">
        <v>11</v>
      </c>
      <c r="D7616" s="379">
        <v>30.726111111111113</v>
      </c>
      <c r="E7616" s="25">
        <v>14.97</v>
      </c>
      <c r="F7616" s="379">
        <v>3.2727733956087586</v>
      </c>
      <c r="G7616" s="25">
        <v>30.03</v>
      </c>
      <c r="H7616" s="379">
        <v>2.4011044524564795</v>
      </c>
      <c r="I7616" s="25">
        <v>33.67</v>
      </c>
      <c r="J7616" s="379">
        <v>1.3605549470073204</v>
      </c>
    </row>
    <row r="7617" spans="1:10" x14ac:dyDescent="0.35">
      <c r="A7617" s="5">
        <v>7613</v>
      </c>
      <c r="B7617" s="5">
        <v>318</v>
      </c>
      <c r="C7617" s="5">
        <v>11</v>
      </c>
      <c r="D7617" s="379">
        <v>32.258333333333333</v>
      </c>
      <c r="E7617" s="25">
        <v>14.97</v>
      </c>
      <c r="F7617" s="379">
        <v>3.2727733956087586</v>
      </c>
      <c r="G7617" s="25">
        <v>30.03</v>
      </c>
      <c r="H7617" s="379">
        <v>2.4644097064148842</v>
      </c>
      <c r="I7617" s="25">
        <v>33.67</v>
      </c>
      <c r="J7617" s="379">
        <v>1.3605549470073204</v>
      </c>
    </row>
    <row r="7618" spans="1:10" x14ac:dyDescent="0.35">
      <c r="A7618" s="5">
        <v>7614</v>
      </c>
      <c r="B7618" s="5">
        <v>318</v>
      </c>
      <c r="C7618" s="5">
        <v>11</v>
      </c>
      <c r="D7618" s="379">
        <v>34.395555555555553</v>
      </c>
      <c r="E7618" s="25">
        <v>16.670000000000002</v>
      </c>
      <c r="F7618" s="379">
        <v>3.2727733956087586</v>
      </c>
      <c r="G7618" s="25">
        <v>30.03</v>
      </c>
      <c r="H7618" s="379">
        <v>2.4644097064148842</v>
      </c>
      <c r="I7618" s="25">
        <v>33.67</v>
      </c>
      <c r="J7618" s="379">
        <v>1.3605549470073204</v>
      </c>
    </row>
    <row r="7619" spans="1:10" x14ac:dyDescent="0.35">
      <c r="A7619" s="5">
        <v>7615</v>
      </c>
      <c r="B7619" s="5">
        <v>318</v>
      </c>
      <c r="C7619" s="5">
        <v>11</v>
      </c>
      <c r="D7619" s="379">
        <v>44.478333333333339</v>
      </c>
      <c r="E7619" s="25">
        <v>23.41</v>
      </c>
      <c r="F7619" s="379">
        <v>3.2984688817194554</v>
      </c>
      <c r="G7619" s="25">
        <v>30.03</v>
      </c>
      <c r="H7619" s="379">
        <v>2.4644097064148842</v>
      </c>
      <c r="I7619" s="25">
        <v>33.67</v>
      </c>
      <c r="J7619" s="379">
        <v>1.4015391739100453</v>
      </c>
    </row>
    <row r="7620" spans="1:10" x14ac:dyDescent="0.35">
      <c r="A7620" s="5">
        <v>7616</v>
      </c>
      <c r="B7620" s="5">
        <v>318</v>
      </c>
      <c r="C7620" s="5">
        <v>11</v>
      </c>
      <c r="D7620" s="379">
        <v>54.488888888888887</v>
      </c>
      <c r="E7620" s="25">
        <v>24.26</v>
      </c>
      <c r="F7620" s="379">
        <v>0.16600397351866578</v>
      </c>
      <c r="G7620" s="25">
        <v>30.03</v>
      </c>
      <c r="H7620" s="379">
        <v>2.4644097064148842</v>
      </c>
      <c r="I7620" s="25">
        <v>33.67</v>
      </c>
      <c r="J7620" s="379">
        <v>1.4015391739100453</v>
      </c>
    </row>
    <row r="7621" spans="1:10" x14ac:dyDescent="0.35">
      <c r="A7621" s="5">
        <v>7617</v>
      </c>
      <c r="B7621" s="5">
        <v>318</v>
      </c>
      <c r="C7621" s="5">
        <v>11</v>
      </c>
      <c r="D7621" s="379">
        <v>54.263888888888886</v>
      </c>
      <c r="E7621" s="25">
        <v>24.73</v>
      </c>
      <c r="F7621" s="379">
        <v>0.27188697602270817</v>
      </c>
      <c r="G7621" s="25">
        <v>30.03</v>
      </c>
      <c r="H7621" s="379">
        <v>2.4644097064148842</v>
      </c>
      <c r="I7621" s="25">
        <v>33.67</v>
      </c>
      <c r="J7621" s="379">
        <v>1.4015391739100453</v>
      </c>
    </row>
    <row r="7622" spans="1:10" x14ac:dyDescent="0.35">
      <c r="A7622" s="5">
        <v>7618</v>
      </c>
      <c r="B7622" s="5">
        <v>318</v>
      </c>
      <c r="C7622" s="5">
        <v>11</v>
      </c>
      <c r="D7622" s="379">
        <v>51.43888888888889</v>
      </c>
      <c r="E7622" s="25">
        <v>24.84</v>
      </c>
      <c r="F7622" s="379">
        <v>0.1057559535888898</v>
      </c>
      <c r="G7622" s="25">
        <v>30.03</v>
      </c>
      <c r="H7622" s="379">
        <v>2.4644097064148842</v>
      </c>
      <c r="I7622" s="25">
        <v>33.67</v>
      </c>
      <c r="J7622" s="379">
        <v>1.4015391739100453</v>
      </c>
    </row>
    <row r="7623" spans="1:10" x14ac:dyDescent="0.35">
      <c r="A7623" s="5">
        <v>7619</v>
      </c>
      <c r="B7623" s="5">
        <v>318</v>
      </c>
      <c r="C7623" s="5">
        <v>11</v>
      </c>
      <c r="D7623" s="379">
        <v>49.407222222222224</v>
      </c>
      <c r="E7623" s="25">
        <v>24.84</v>
      </c>
      <c r="F7623" s="379">
        <v>8.3452598704979022E-2</v>
      </c>
      <c r="G7623" s="25">
        <v>30.03</v>
      </c>
      <c r="H7623" s="379">
        <v>2.4644097064148842</v>
      </c>
      <c r="I7623" s="25">
        <v>33.67</v>
      </c>
      <c r="J7623" s="379">
        <v>2.777777777777778E-2</v>
      </c>
    </row>
    <row r="7624" spans="1:10" x14ac:dyDescent="0.35">
      <c r="A7624" s="5">
        <v>7620</v>
      </c>
      <c r="B7624" s="5">
        <v>318</v>
      </c>
      <c r="C7624" s="5">
        <v>11</v>
      </c>
      <c r="D7624" s="379">
        <v>47.87222222222222</v>
      </c>
      <c r="E7624" s="25">
        <v>24.84</v>
      </c>
      <c r="F7624" s="379">
        <v>9.5255367931607049E-2</v>
      </c>
      <c r="G7624" s="25">
        <v>30.23</v>
      </c>
      <c r="H7624" s="379">
        <v>2.4644097064148842</v>
      </c>
      <c r="I7624" s="25">
        <v>33.67</v>
      </c>
      <c r="J7624" s="379">
        <v>2.777777777777778E-2</v>
      </c>
    </row>
    <row r="7625" spans="1:10" x14ac:dyDescent="0.35">
      <c r="A7625" s="5">
        <v>7621</v>
      </c>
      <c r="B7625" s="5">
        <v>318</v>
      </c>
      <c r="C7625" s="5">
        <v>11</v>
      </c>
      <c r="D7625" s="379">
        <v>44.014444444444443</v>
      </c>
      <c r="E7625" s="25">
        <v>24.84</v>
      </c>
      <c r="F7625" s="379">
        <v>9.0559249937178524E-2</v>
      </c>
      <c r="G7625" s="25">
        <v>30.23</v>
      </c>
      <c r="H7625" s="379">
        <v>2.4644097064148842</v>
      </c>
      <c r="I7625" s="25">
        <v>33.67</v>
      </c>
      <c r="J7625" s="379">
        <v>2.777777777777778E-2</v>
      </c>
    </row>
    <row r="7626" spans="1:10" x14ac:dyDescent="0.35">
      <c r="A7626" s="5">
        <v>7622</v>
      </c>
      <c r="B7626" s="5">
        <v>318</v>
      </c>
      <c r="C7626" s="5">
        <v>11</v>
      </c>
      <c r="D7626" s="379">
        <v>45.75277777777778</v>
      </c>
      <c r="E7626" s="25">
        <v>24.84</v>
      </c>
      <c r="F7626" s="379">
        <v>3.3510266574952583</v>
      </c>
      <c r="G7626" s="25">
        <v>30.23</v>
      </c>
      <c r="H7626" s="379">
        <v>2.4644097064148842</v>
      </c>
      <c r="I7626" s="25">
        <v>33.67</v>
      </c>
      <c r="J7626" s="379">
        <v>2.777777777777778E-2</v>
      </c>
    </row>
    <row r="7627" spans="1:10" x14ac:dyDescent="0.35">
      <c r="A7627" s="5">
        <v>7623</v>
      </c>
      <c r="B7627" s="5">
        <v>318</v>
      </c>
      <c r="C7627" s="5">
        <v>11</v>
      </c>
      <c r="D7627" s="379">
        <v>49.532777777777774</v>
      </c>
      <c r="E7627" s="25">
        <v>24.84</v>
      </c>
      <c r="F7627" s="379">
        <v>1.8977469771249489</v>
      </c>
      <c r="G7627" s="25">
        <v>30.03</v>
      </c>
      <c r="H7627" s="379">
        <v>2.4644097064148842</v>
      </c>
      <c r="I7627" s="25">
        <v>33.67</v>
      </c>
      <c r="J7627" s="379">
        <v>2.777777777777778E-2</v>
      </c>
    </row>
    <row r="7628" spans="1:10" x14ac:dyDescent="0.35">
      <c r="A7628" s="5">
        <v>7624</v>
      </c>
      <c r="B7628" s="5">
        <v>318</v>
      </c>
      <c r="C7628" s="5">
        <v>11</v>
      </c>
      <c r="D7628" s="379">
        <v>50.436666666666667</v>
      </c>
      <c r="E7628" s="25">
        <v>24.84</v>
      </c>
      <c r="F7628" s="379">
        <v>3.3738237767668573</v>
      </c>
      <c r="G7628" s="25">
        <v>30.03</v>
      </c>
      <c r="H7628" s="379">
        <v>2.4644097064148842</v>
      </c>
      <c r="I7628" s="25">
        <v>33.67</v>
      </c>
      <c r="J7628" s="379">
        <v>4.0984226902725053E-2</v>
      </c>
    </row>
    <row r="7629" spans="1:10" x14ac:dyDescent="0.35">
      <c r="A7629" s="5">
        <v>7625</v>
      </c>
      <c r="B7629" s="5">
        <v>318</v>
      </c>
      <c r="C7629" s="5">
        <v>11</v>
      </c>
      <c r="D7629" s="379">
        <v>50.191111111111113</v>
      </c>
      <c r="E7629" s="25">
        <v>24.84</v>
      </c>
      <c r="F7629" s="379">
        <v>8.1174834595959595</v>
      </c>
      <c r="G7629" s="25">
        <v>36.369999999999997</v>
      </c>
      <c r="H7629" s="379">
        <v>0.16600397351866578</v>
      </c>
      <c r="I7629" s="25">
        <v>33.67</v>
      </c>
      <c r="J7629" s="379">
        <v>2.7652121487516905</v>
      </c>
    </row>
    <row r="7630" spans="1:10" x14ac:dyDescent="0.35">
      <c r="A7630" s="5">
        <v>7626</v>
      </c>
      <c r="B7630" s="5">
        <v>318</v>
      </c>
      <c r="C7630" s="5">
        <v>11</v>
      </c>
      <c r="D7630" s="379">
        <v>55.687777777777768</v>
      </c>
      <c r="E7630" s="25">
        <v>24.99</v>
      </c>
      <c r="F7630" s="379">
        <v>8.1174834595959577</v>
      </c>
      <c r="G7630" s="25">
        <v>43.39</v>
      </c>
      <c r="H7630" s="379">
        <v>0.20020258807842276</v>
      </c>
      <c r="I7630" s="25">
        <v>34.07</v>
      </c>
      <c r="J7630" s="379">
        <v>4.065036305175191</v>
      </c>
    </row>
    <row r="7631" spans="1:10" x14ac:dyDescent="0.35">
      <c r="A7631" s="5">
        <v>7627</v>
      </c>
      <c r="B7631" s="5">
        <v>318</v>
      </c>
      <c r="C7631" s="5">
        <v>11</v>
      </c>
      <c r="D7631" s="379">
        <v>50.871111111111119</v>
      </c>
      <c r="E7631" s="25">
        <v>25.74</v>
      </c>
      <c r="F7631" s="379">
        <v>8.1174834595959595</v>
      </c>
      <c r="G7631" s="25">
        <v>43.39</v>
      </c>
      <c r="H7631" s="379">
        <v>0.2094136758286938</v>
      </c>
      <c r="I7631" s="25">
        <v>33.67</v>
      </c>
      <c r="J7631" s="379">
        <v>2.9207795374652559</v>
      </c>
    </row>
    <row r="7632" spans="1:10" x14ac:dyDescent="0.35">
      <c r="A7632" s="5">
        <v>7628</v>
      </c>
      <c r="B7632" s="5">
        <v>318</v>
      </c>
      <c r="C7632" s="5">
        <v>11</v>
      </c>
      <c r="D7632" s="379">
        <v>44.569444444444443</v>
      </c>
      <c r="E7632" s="25">
        <v>24.99</v>
      </c>
      <c r="F7632" s="379">
        <v>8.1174834595959577</v>
      </c>
      <c r="G7632" s="25">
        <v>42.17</v>
      </c>
      <c r="H7632" s="379">
        <v>0.18883262681695989</v>
      </c>
      <c r="I7632" s="25">
        <v>33.67</v>
      </c>
      <c r="J7632" s="379">
        <v>4.1347915719535067</v>
      </c>
    </row>
    <row r="7633" spans="1:10" x14ac:dyDescent="0.35">
      <c r="A7633" s="5">
        <v>7629</v>
      </c>
      <c r="B7633" s="5">
        <v>318</v>
      </c>
      <c r="C7633" s="5">
        <v>11</v>
      </c>
      <c r="D7633" s="379">
        <v>41.271111111111118</v>
      </c>
      <c r="E7633" s="25">
        <v>24.84</v>
      </c>
      <c r="F7633" s="379">
        <v>8.1174834595959577</v>
      </c>
      <c r="G7633" s="25">
        <v>37.47</v>
      </c>
      <c r="H7633" s="379">
        <v>0.32942176757379543</v>
      </c>
      <c r="I7633" s="25">
        <v>33.67</v>
      </c>
      <c r="J7633" s="379">
        <v>3.6573054337462159</v>
      </c>
    </row>
    <row r="7634" spans="1:10" x14ac:dyDescent="0.35">
      <c r="A7634" s="5">
        <v>7630</v>
      </c>
      <c r="B7634" s="5">
        <v>318</v>
      </c>
      <c r="C7634" s="5">
        <v>11</v>
      </c>
      <c r="D7634" s="379">
        <v>37.050000000000004</v>
      </c>
      <c r="E7634" s="25">
        <v>24.84</v>
      </c>
      <c r="F7634" s="379">
        <v>4.5656228164629216</v>
      </c>
      <c r="G7634" s="25">
        <v>32.53</v>
      </c>
      <c r="H7634" s="379">
        <v>0.37318398308773049</v>
      </c>
      <c r="I7634" s="25">
        <v>33.67</v>
      </c>
      <c r="J7634" s="379">
        <v>4.8146047813393702</v>
      </c>
    </row>
    <row r="7635" spans="1:10" x14ac:dyDescent="0.35">
      <c r="A7635" s="5">
        <v>7631</v>
      </c>
      <c r="B7635" s="5">
        <v>318</v>
      </c>
      <c r="C7635" s="5">
        <v>11</v>
      </c>
      <c r="D7635" s="379">
        <v>34.714444444444446</v>
      </c>
      <c r="E7635" s="25">
        <v>24.84</v>
      </c>
      <c r="F7635" s="379">
        <v>4.4694307797737345</v>
      </c>
      <c r="G7635" s="25">
        <v>31.58</v>
      </c>
      <c r="H7635" s="379">
        <v>1.2570773656458685</v>
      </c>
      <c r="I7635" s="25">
        <v>33.67</v>
      </c>
      <c r="J7635" s="379">
        <v>5.0451485550031601</v>
      </c>
    </row>
    <row r="7636" spans="1:10" x14ac:dyDescent="0.35">
      <c r="A7636" s="5">
        <v>7632</v>
      </c>
      <c r="B7636" s="5">
        <v>318</v>
      </c>
      <c r="C7636" s="5">
        <v>11</v>
      </c>
      <c r="D7636" s="379">
        <v>33.566111111111113</v>
      </c>
      <c r="E7636" s="25">
        <v>24.73</v>
      </c>
      <c r="F7636" s="379">
        <v>0.95607953381566058</v>
      </c>
      <c r="G7636" s="25">
        <v>30.91</v>
      </c>
      <c r="H7636" s="379">
        <v>0.86911064225000523</v>
      </c>
      <c r="I7636" s="25">
        <v>33.67</v>
      </c>
      <c r="J7636" s="379">
        <v>4.1799445230310601</v>
      </c>
    </row>
    <row r="7637" spans="1:10" x14ac:dyDescent="0.35">
      <c r="A7637" s="5">
        <v>7633</v>
      </c>
      <c r="B7637" s="5">
        <v>319</v>
      </c>
      <c r="C7637" s="5">
        <v>11</v>
      </c>
      <c r="D7637" s="379">
        <v>32.06722222222222</v>
      </c>
      <c r="E7637" s="25">
        <v>23.73</v>
      </c>
      <c r="F7637" s="379">
        <v>0.74170136037647239</v>
      </c>
      <c r="G7637" s="25">
        <v>30.91</v>
      </c>
      <c r="H7637" s="379">
        <v>0.70836903787490602</v>
      </c>
      <c r="I7637" s="25">
        <v>33.67</v>
      </c>
      <c r="J7637" s="379">
        <v>3.8672143048499712</v>
      </c>
    </row>
    <row r="7638" spans="1:10" x14ac:dyDescent="0.35">
      <c r="A7638" s="5">
        <v>7634</v>
      </c>
      <c r="B7638" s="5">
        <v>319</v>
      </c>
      <c r="C7638" s="5">
        <v>11</v>
      </c>
      <c r="D7638" s="379">
        <v>30.653888888888886</v>
      </c>
      <c r="E7638" s="25">
        <v>22.53</v>
      </c>
      <c r="F7638" s="379">
        <v>0.51537315598269895</v>
      </c>
      <c r="G7638" s="25">
        <v>30.91</v>
      </c>
      <c r="H7638" s="379">
        <v>0.56756486803582196</v>
      </c>
      <c r="I7638" s="25">
        <v>33.67</v>
      </c>
      <c r="J7638" s="379">
        <v>4.1098432479623686</v>
      </c>
    </row>
    <row r="7639" spans="1:10" x14ac:dyDescent="0.35">
      <c r="A7639" s="5">
        <v>7635</v>
      </c>
      <c r="B7639" s="5">
        <v>319</v>
      </c>
      <c r="C7639" s="5">
        <v>11</v>
      </c>
      <c r="D7639" s="379">
        <v>29.249444444444443</v>
      </c>
      <c r="E7639" s="25">
        <v>21.88</v>
      </c>
      <c r="F7639" s="379">
        <v>0.29248780625334786</v>
      </c>
      <c r="G7639" s="25">
        <v>30.57</v>
      </c>
      <c r="H7639" s="379">
        <v>0.55459097481633157</v>
      </c>
      <c r="I7639" s="25">
        <v>33.67</v>
      </c>
      <c r="J7639" s="379">
        <v>3.8933328923089623</v>
      </c>
    </row>
    <row r="7640" spans="1:10" x14ac:dyDescent="0.35">
      <c r="A7640" s="5">
        <v>7636</v>
      </c>
      <c r="B7640" s="5">
        <v>319</v>
      </c>
      <c r="C7640" s="5">
        <v>11</v>
      </c>
      <c r="D7640" s="379">
        <v>27.014999999999997</v>
      </c>
      <c r="E7640" s="25">
        <v>21.88</v>
      </c>
      <c r="F7640" s="379">
        <v>0.29248780625334786</v>
      </c>
      <c r="G7640" s="25">
        <v>30.03</v>
      </c>
      <c r="H7640" s="379">
        <v>0.54632851911929703</v>
      </c>
      <c r="I7640" s="25">
        <v>33.67</v>
      </c>
      <c r="J7640" s="379">
        <v>3.3528106272139113</v>
      </c>
    </row>
    <row r="7641" spans="1:10" x14ac:dyDescent="0.35">
      <c r="A7641" s="5">
        <v>7637</v>
      </c>
      <c r="B7641" s="5">
        <v>319</v>
      </c>
      <c r="C7641" s="5">
        <v>11</v>
      </c>
      <c r="D7641" s="379">
        <v>24.81111111111111</v>
      </c>
      <c r="E7641" s="25">
        <v>21.88</v>
      </c>
      <c r="F7641" s="379">
        <v>0.29248780625334797</v>
      </c>
      <c r="G7641" s="25">
        <v>30.57</v>
      </c>
      <c r="H7641" s="379">
        <v>0.13243200371505204</v>
      </c>
      <c r="I7641" s="25">
        <v>33.67</v>
      </c>
      <c r="J7641" s="379">
        <v>3.70310575710287</v>
      </c>
    </row>
    <row r="7642" spans="1:10" x14ac:dyDescent="0.35">
      <c r="A7642" s="5">
        <v>7638</v>
      </c>
      <c r="B7642" s="5">
        <v>319</v>
      </c>
      <c r="C7642" s="5">
        <v>11</v>
      </c>
      <c r="D7642" s="379">
        <v>24.994999999999997</v>
      </c>
      <c r="E7642" s="25">
        <v>24.26</v>
      </c>
      <c r="F7642" s="379">
        <v>0.29248780625334797</v>
      </c>
      <c r="G7642" s="25">
        <v>31.84</v>
      </c>
      <c r="H7642" s="379">
        <v>0.23555058018001782</v>
      </c>
      <c r="I7642" s="25">
        <v>33.67</v>
      </c>
      <c r="J7642" s="379">
        <v>1.2090821595722028</v>
      </c>
    </row>
    <row r="7643" spans="1:10" x14ac:dyDescent="0.35">
      <c r="A7643" s="5">
        <v>7639</v>
      </c>
      <c r="B7643" s="5">
        <v>319</v>
      </c>
      <c r="C7643" s="5">
        <v>11</v>
      </c>
      <c r="D7643" s="379">
        <v>35.178888888888892</v>
      </c>
      <c r="E7643" s="25">
        <v>24.84</v>
      </c>
      <c r="F7643" s="379">
        <v>0.47222222222222221</v>
      </c>
      <c r="G7643" s="25">
        <v>42.17</v>
      </c>
      <c r="H7643" s="379">
        <v>0.23022113060328045</v>
      </c>
      <c r="I7643" s="25">
        <v>33.67</v>
      </c>
      <c r="J7643" s="379">
        <v>4.1282406258577415</v>
      </c>
    </row>
    <row r="7644" spans="1:10" x14ac:dyDescent="0.35">
      <c r="A7644" s="5">
        <v>7640</v>
      </c>
      <c r="B7644" s="5">
        <v>319</v>
      </c>
      <c r="C7644" s="5">
        <v>11</v>
      </c>
      <c r="D7644" s="379">
        <v>36.840000000000003</v>
      </c>
      <c r="E7644" s="25">
        <v>24.84</v>
      </c>
      <c r="F7644" s="379">
        <v>4.3333707929605829</v>
      </c>
      <c r="G7644" s="25">
        <v>43.56</v>
      </c>
      <c r="H7644" s="379">
        <v>0.74701356543827302</v>
      </c>
      <c r="I7644" s="25">
        <v>42.32</v>
      </c>
      <c r="J7644" s="379">
        <v>5.2376483815630026</v>
      </c>
    </row>
    <row r="7645" spans="1:10" x14ac:dyDescent="0.35">
      <c r="A7645" s="5">
        <v>7641</v>
      </c>
      <c r="B7645" s="5">
        <v>319</v>
      </c>
      <c r="C7645" s="5">
        <v>11</v>
      </c>
      <c r="D7645" s="379">
        <v>39.42722222222222</v>
      </c>
      <c r="E7645" s="25">
        <v>25.74</v>
      </c>
      <c r="F7645" s="379">
        <v>4.6622134201394401</v>
      </c>
      <c r="G7645" s="25">
        <v>43.56</v>
      </c>
      <c r="H7645" s="379">
        <v>0.16600397351866578</v>
      </c>
      <c r="I7645" s="25">
        <v>42.32</v>
      </c>
      <c r="J7645" s="379">
        <v>4.6270857168629043</v>
      </c>
    </row>
    <row r="7646" spans="1:10" x14ac:dyDescent="0.35">
      <c r="A7646" s="5">
        <v>7642</v>
      </c>
      <c r="B7646" s="5">
        <v>319</v>
      </c>
      <c r="C7646" s="5">
        <v>11</v>
      </c>
      <c r="D7646" s="379">
        <v>37.753333333333323</v>
      </c>
      <c r="E7646" s="25">
        <v>25.29</v>
      </c>
      <c r="F7646" s="379">
        <v>4.5999351107486426</v>
      </c>
      <c r="G7646" s="25">
        <v>43.56</v>
      </c>
      <c r="H7646" s="379">
        <v>0.2718245275195022</v>
      </c>
      <c r="I7646" s="25">
        <v>42.32</v>
      </c>
      <c r="J7646" s="379">
        <v>3.9560195103615827</v>
      </c>
    </row>
    <row r="7647" spans="1:10" x14ac:dyDescent="0.35">
      <c r="A7647" s="5">
        <v>7643</v>
      </c>
      <c r="B7647" s="5">
        <v>319</v>
      </c>
      <c r="C7647" s="5">
        <v>11</v>
      </c>
      <c r="D7647" s="379">
        <v>37.837222222222223</v>
      </c>
      <c r="E7647" s="25">
        <v>25.29</v>
      </c>
      <c r="F7647" s="379">
        <v>5.0034302878096675</v>
      </c>
      <c r="G7647" s="25">
        <v>43.56</v>
      </c>
      <c r="H7647" s="379">
        <v>0.74701356543827302</v>
      </c>
      <c r="I7647" s="25">
        <v>36.68</v>
      </c>
      <c r="J7647" s="379">
        <v>4.3982667578568524</v>
      </c>
    </row>
    <row r="7648" spans="1:10" x14ac:dyDescent="0.35">
      <c r="A7648" s="5">
        <v>7644</v>
      </c>
      <c r="B7648" s="5">
        <v>319</v>
      </c>
      <c r="C7648" s="5">
        <v>11</v>
      </c>
      <c r="D7648" s="379">
        <v>38.084444444444451</v>
      </c>
      <c r="E7648" s="25">
        <v>24.84</v>
      </c>
      <c r="F7648" s="379">
        <v>4.3805767816763979</v>
      </c>
      <c r="G7648" s="25">
        <v>43.56</v>
      </c>
      <c r="H7648" s="379">
        <v>0.55558532992222887</v>
      </c>
      <c r="I7648" s="25">
        <v>36.68</v>
      </c>
      <c r="J7648" s="379">
        <v>4.6974162083642916</v>
      </c>
    </row>
    <row r="7649" spans="1:10" x14ac:dyDescent="0.35">
      <c r="A7649" s="5">
        <v>7645</v>
      </c>
      <c r="B7649" s="5">
        <v>319</v>
      </c>
      <c r="C7649" s="5">
        <v>11</v>
      </c>
      <c r="D7649" s="379">
        <v>40.197222222222216</v>
      </c>
      <c r="E7649" s="25">
        <v>24.84</v>
      </c>
      <c r="F7649" s="379">
        <v>4.7930272772314009</v>
      </c>
      <c r="G7649" s="25">
        <v>43.39</v>
      </c>
      <c r="H7649" s="379">
        <v>0.86382247924978228</v>
      </c>
      <c r="I7649" s="25">
        <v>35.97</v>
      </c>
      <c r="J7649" s="379">
        <v>4.9397513336346739</v>
      </c>
    </row>
    <row r="7650" spans="1:10" x14ac:dyDescent="0.35">
      <c r="A7650" s="5">
        <v>7646</v>
      </c>
      <c r="B7650" s="5">
        <v>319</v>
      </c>
      <c r="C7650" s="5">
        <v>11</v>
      </c>
      <c r="D7650" s="379">
        <v>40.458888888888886</v>
      </c>
      <c r="E7650" s="25">
        <v>24.84</v>
      </c>
      <c r="F7650" s="379">
        <v>5.0278519676830085</v>
      </c>
      <c r="G7650" s="25">
        <v>43.39</v>
      </c>
      <c r="H7650" s="379">
        <v>2.0922592317891682</v>
      </c>
      <c r="I7650" s="25">
        <v>35.97</v>
      </c>
      <c r="J7650" s="379">
        <v>4.9397513336346739</v>
      </c>
    </row>
    <row r="7651" spans="1:10" x14ac:dyDescent="0.35">
      <c r="A7651" s="5">
        <v>7647</v>
      </c>
      <c r="B7651" s="5">
        <v>319</v>
      </c>
      <c r="C7651" s="5">
        <v>11</v>
      </c>
      <c r="D7651" s="379">
        <v>39.516666666666666</v>
      </c>
      <c r="E7651" s="25">
        <v>24.84</v>
      </c>
      <c r="F7651" s="379">
        <v>5.0670246870638138</v>
      </c>
      <c r="G7651" s="25">
        <v>43.56</v>
      </c>
      <c r="H7651" s="379">
        <v>2.1033524725037376</v>
      </c>
      <c r="I7651" s="25">
        <v>36.68</v>
      </c>
      <c r="J7651" s="379">
        <v>5.0515912951770332</v>
      </c>
    </row>
    <row r="7652" spans="1:10" x14ac:dyDescent="0.35">
      <c r="A7652" s="5">
        <v>7648</v>
      </c>
      <c r="B7652" s="5">
        <v>319</v>
      </c>
      <c r="C7652" s="5">
        <v>11</v>
      </c>
      <c r="D7652" s="379">
        <v>38.455555555555556</v>
      </c>
      <c r="E7652" s="25">
        <v>24.84</v>
      </c>
      <c r="F7652" s="379">
        <v>3.8395291910474354</v>
      </c>
      <c r="G7652" s="25">
        <v>43.56</v>
      </c>
      <c r="H7652" s="379">
        <v>0.39204145598927731</v>
      </c>
      <c r="I7652" s="25">
        <v>36.68</v>
      </c>
      <c r="J7652" s="379">
        <v>4.4261831329533274</v>
      </c>
    </row>
    <row r="7653" spans="1:10" x14ac:dyDescent="0.35">
      <c r="A7653" s="5">
        <v>7649</v>
      </c>
      <c r="B7653" s="5">
        <v>319</v>
      </c>
      <c r="C7653" s="5">
        <v>11</v>
      </c>
      <c r="D7653" s="379">
        <v>40.415555555555557</v>
      </c>
      <c r="E7653" s="25">
        <v>25.74</v>
      </c>
      <c r="F7653" s="379">
        <v>8.3943524656092858</v>
      </c>
      <c r="G7653" s="25">
        <v>46.11</v>
      </c>
      <c r="H7653" s="379">
        <v>1.0135835588107096</v>
      </c>
      <c r="I7653" s="25">
        <v>42.32</v>
      </c>
      <c r="J7653" s="379">
        <v>3.9997820139340319</v>
      </c>
    </row>
    <row r="7654" spans="1:10" x14ac:dyDescent="0.35">
      <c r="A7654" s="5">
        <v>7650</v>
      </c>
      <c r="B7654" s="5">
        <v>319</v>
      </c>
      <c r="C7654" s="5">
        <v>11</v>
      </c>
      <c r="D7654" s="379">
        <v>45.914999999999999</v>
      </c>
      <c r="E7654" s="25">
        <v>25.74</v>
      </c>
      <c r="F7654" s="379">
        <v>8.417203446109049</v>
      </c>
      <c r="G7654" s="25">
        <v>48.88</v>
      </c>
      <c r="H7654" s="379">
        <v>0.74701356543827302</v>
      </c>
      <c r="I7654" s="25">
        <v>46.69</v>
      </c>
      <c r="J7654" s="379">
        <v>4.3583664903404769</v>
      </c>
    </row>
    <row r="7655" spans="1:10" x14ac:dyDescent="0.35">
      <c r="A7655" s="5">
        <v>7651</v>
      </c>
      <c r="B7655" s="5">
        <v>319</v>
      </c>
      <c r="C7655" s="5">
        <v>11</v>
      </c>
      <c r="D7655" s="379">
        <v>39.445555555555558</v>
      </c>
      <c r="E7655" s="25">
        <v>25.74</v>
      </c>
      <c r="F7655" s="379">
        <v>8.4173582674981819</v>
      </c>
      <c r="G7655" s="25">
        <v>48.88</v>
      </c>
      <c r="H7655" s="379">
        <v>0.74701356543827302</v>
      </c>
      <c r="I7655" s="25">
        <v>46.06</v>
      </c>
      <c r="J7655" s="379">
        <v>3.9560195103615827</v>
      </c>
    </row>
    <row r="7656" spans="1:10" x14ac:dyDescent="0.35">
      <c r="A7656" s="5">
        <v>7652</v>
      </c>
      <c r="B7656" s="5">
        <v>319</v>
      </c>
      <c r="C7656" s="5">
        <v>11</v>
      </c>
      <c r="D7656" s="379">
        <v>36.473333333333336</v>
      </c>
      <c r="E7656" s="25">
        <v>25.74</v>
      </c>
      <c r="F7656" s="379">
        <v>8.2571908382257746</v>
      </c>
      <c r="G7656" s="25">
        <v>47.5</v>
      </c>
      <c r="H7656" s="379">
        <v>1.4744399767987224</v>
      </c>
      <c r="I7656" s="25">
        <v>45.88</v>
      </c>
      <c r="J7656" s="379">
        <v>4.1394981840706704</v>
      </c>
    </row>
    <row r="7657" spans="1:10" x14ac:dyDescent="0.35">
      <c r="A7657" s="5">
        <v>7653</v>
      </c>
      <c r="B7657" s="5">
        <v>319</v>
      </c>
      <c r="C7657" s="5">
        <v>11</v>
      </c>
      <c r="D7657" s="379">
        <v>34.918333333333329</v>
      </c>
      <c r="E7657" s="25">
        <v>25.59</v>
      </c>
      <c r="F7657" s="379">
        <v>3.0606108620543537</v>
      </c>
      <c r="G7657" s="25">
        <v>46.11</v>
      </c>
      <c r="H7657" s="379">
        <v>1.449247082208456</v>
      </c>
      <c r="I7657" s="25">
        <v>42.32</v>
      </c>
      <c r="J7657" s="379">
        <v>3.7472456675422601</v>
      </c>
    </row>
    <row r="7658" spans="1:10" x14ac:dyDescent="0.35">
      <c r="A7658" s="5">
        <v>7654</v>
      </c>
      <c r="B7658" s="5">
        <v>319</v>
      </c>
      <c r="C7658" s="5">
        <v>11</v>
      </c>
      <c r="D7658" s="379">
        <v>33.032777777777781</v>
      </c>
      <c r="E7658" s="25">
        <v>24.84</v>
      </c>
      <c r="F7658" s="379">
        <v>2.2185553085118146</v>
      </c>
      <c r="G7658" s="25">
        <v>43.56</v>
      </c>
      <c r="H7658" s="379">
        <v>0.45247762113854401</v>
      </c>
      <c r="I7658" s="25">
        <v>35.799999999999997</v>
      </c>
      <c r="J7658" s="379">
        <v>0.27777777777777779</v>
      </c>
    </row>
    <row r="7659" spans="1:10" x14ac:dyDescent="0.35">
      <c r="A7659" s="5">
        <v>7655</v>
      </c>
      <c r="B7659" s="5">
        <v>319</v>
      </c>
      <c r="C7659" s="5">
        <v>11</v>
      </c>
      <c r="D7659" s="379">
        <v>31.498888888888889</v>
      </c>
      <c r="E7659" s="25">
        <v>24.99</v>
      </c>
      <c r="F7659" s="379">
        <v>1.7168151629331869</v>
      </c>
      <c r="G7659" s="25">
        <v>43.56</v>
      </c>
      <c r="H7659" s="379">
        <v>4.7368882021026826</v>
      </c>
      <c r="I7659" s="25">
        <v>34.01</v>
      </c>
      <c r="J7659" s="379">
        <v>0.27777777777777779</v>
      </c>
    </row>
    <row r="7660" spans="1:10" x14ac:dyDescent="0.35">
      <c r="A7660" s="5">
        <v>7656</v>
      </c>
      <c r="B7660" s="5">
        <v>319</v>
      </c>
      <c r="C7660" s="5">
        <v>11</v>
      </c>
      <c r="D7660" s="379">
        <v>31.440555555555555</v>
      </c>
      <c r="E7660" s="25">
        <v>24.84</v>
      </c>
      <c r="F7660" s="379">
        <v>1.0785311527428558</v>
      </c>
      <c r="G7660" s="25">
        <v>42.2</v>
      </c>
      <c r="H7660" s="379">
        <v>4.5794547555201106</v>
      </c>
      <c r="I7660" s="25">
        <v>33.67</v>
      </c>
      <c r="J7660" s="379">
        <v>3.827127900502953</v>
      </c>
    </row>
    <row r="7661" spans="1:10" x14ac:dyDescent="0.35">
      <c r="A7661" s="5">
        <v>7657</v>
      </c>
      <c r="B7661" s="5">
        <v>320</v>
      </c>
      <c r="C7661" s="5">
        <v>11</v>
      </c>
      <c r="D7661" s="379">
        <v>31.646111111111111</v>
      </c>
      <c r="E7661" s="25">
        <v>24.84</v>
      </c>
      <c r="F7661" s="379">
        <v>0.47222222222222221</v>
      </c>
      <c r="G7661" s="25">
        <v>42.17</v>
      </c>
      <c r="H7661" s="379">
        <v>4.5386468423898139</v>
      </c>
      <c r="I7661" s="25">
        <v>33.67</v>
      </c>
      <c r="J7661" s="379">
        <v>0.27777777777777779</v>
      </c>
    </row>
    <row r="7662" spans="1:10" x14ac:dyDescent="0.35">
      <c r="A7662" s="5">
        <v>7658</v>
      </c>
      <c r="B7662" s="5">
        <v>320</v>
      </c>
      <c r="C7662" s="5">
        <v>11</v>
      </c>
      <c r="D7662" s="379">
        <v>31.387222222222221</v>
      </c>
      <c r="E7662" s="25">
        <v>24.84</v>
      </c>
      <c r="F7662" s="379">
        <v>0.47222222222222221</v>
      </c>
      <c r="G7662" s="25">
        <v>39.770000000000003</v>
      </c>
      <c r="H7662" s="379">
        <v>4.5386468423898139</v>
      </c>
      <c r="I7662" s="25">
        <v>33.67</v>
      </c>
      <c r="J7662" s="379">
        <v>3.034303243883882</v>
      </c>
    </row>
    <row r="7663" spans="1:10" x14ac:dyDescent="0.35">
      <c r="A7663" s="5">
        <v>7659</v>
      </c>
      <c r="B7663" s="5">
        <v>320</v>
      </c>
      <c r="C7663" s="5">
        <v>11</v>
      </c>
      <c r="D7663" s="379">
        <v>31.9</v>
      </c>
      <c r="E7663" s="25">
        <v>24.26</v>
      </c>
      <c r="F7663" s="379">
        <v>0.47222222222222221</v>
      </c>
      <c r="G7663" s="25">
        <v>39.200000000000003</v>
      </c>
      <c r="H7663" s="379">
        <v>4.3876260415042792</v>
      </c>
      <c r="I7663" s="25">
        <v>33.67</v>
      </c>
      <c r="J7663" s="379">
        <v>0.40692337360644659</v>
      </c>
    </row>
    <row r="7664" spans="1:10" x14ac:dyDescent="0.35">
      <c r="A7664" s="5">
        <v>7660</v>
      </c>
      <c r="B7664" s="5">
        <v>320</v>
      </c>
      <c r="C7664" s="5">
        <v>11</v>
      </c>
      <c r="D7664" s="379">
        <v>30.41611111111111</v>
      </c>
      <c r="E7664" s="25">
        <v>24.11</v>
      </c>
      <c r="F7664" s="379">
        <v>0.48237189285635745</v>
      </c>
      <c r="G7664" s="25">
        <v>39.200000000000003</v>
      </c>
      <c r="H7664" s="379">
        <v>4.0614288986900906</v>
      </c>
      <c r="I7664" s="25">
        <v>33.67</v>
      </c>
      <c r="J7664" s="379">
        <v>0.27777777777777779</v>
      </c>
    </row>
    <row r="7665" spans="1:10" x14ac:dyDescent="0.35">
      <c r="A7665" s="5">
        <v>7661</v>
      </c>
      <c r="B7665" s="5">
        <v>320</v>
      </c>
      <c r="C7665" s="5">
        <v>11</v>
      </c>
      <c r="D7665" s="379">
        <v>31.423333333333332</v>
      </c>
      <c r="E7665" s="25">
        <v>24.11</v>
      </c>
      <c r="F7665" s="379">
        <v>0.4722222222222221</v>
      </c>
      <c r="G7665" s="25">
        <v>39.200000000000003</v>
      </c>
      <c r="H7665" s="379">
        <v>4.0614288986900906</v>
      </c>
      <c r="I7665" s="25">
        <v>33.67</v>
      </c>
      <c r="J7665" s="379">
        <v>0.1971028745876616</v>
      </c>
    </row>
    <row r="7666" spans="1:10" x14ac:dyDescent="0.35">
      <c r="A7666" s="5">
        <v>7662</v>
      </c>
      <c r="B7666" s="5">
        <v>320</v>
      </c>
      <c r="C7666" s="5">
        <v>11</v>
      </c>
      <c r="D7666" s="379">
        <v>32.593888888888884</v>
      </c>
      <c r="E7666" s="25">
        <v>24.84</v>
      </c>
      <c r="F7666" s="379">
        <v>0.84060714812184034</v>
      </c>
      <c r="G7666" s="25">
        <v>42.17</v>
      </c>
      <c r="H7666" s="379">
        <v>4.2188623452726626</v>
      </c>
      <c r="I7666" s="25">
        <v>33.67</v>
      </c>
      <c r="J7666" s="379">
        <v>0.16722649622916871</v>
      </c>
    </row>
    <row r="7667" spans="1:10" x14ac:dyDescent="0.35">
      <c r="A7667" s="5">
        <v>7663</v>
      </c>
      <c r="B7667" s="5">
        <v>320</v>
      </c>
      <c r="C7667" s="5">
        <v>11</v>
      </c>
      <c r="D7667" s="379">
        <v>35.581666666666663</v>
      </c>
      <c r="E7667" s="25">
        <v>24.85</v>
      </c>
      <c r="F7667" s="379">
        <v>1.7005880897314172</v>
      </c>
      <c r="G7667" s="25">
        <v>43.56</v>
      </c>
      <c r="H7667" s="379">
        <v>0.14480167642852412</v>
      </c>
      <c r="I7667" s="25">
        <v>33.67</v>
      </c>
      <c r="J7667" s="379">
        <v>0.17297954931121315</v>
      </c>
    </row>
    <row r="7668" spans="1:10" x14ac:dyDescent="0.35">
      <c r="A7668" s="5">
        <v>7664</v>
      </c>
      <c r="B7668" s="5">
        <v>320</v>
      </c>
      <c r="C7668" s="5">
        <v>11</v>
      </c>
      <c r="D7668" s="379">
        <v>39.400555555555549</v>
      </c>
      <c r="E7668" s="25">
        <v>25.59</v>
      </c>
      <c r="F7668" s="379">
        <v>2.2123455495211615</v>
      </c>
      <c r="G7668" s="25">
        <v>46.11</v>
      </c>
      <c r="H7668" s="379">
        <v>0.14480167642852412</v>
      </c>
      <c r="I7668" s="25">
        <v>34.25</v>
      </c>
      <c r="J7668" s="379">
        <v>0.31482074755221257</v>
      </c>
    </row>
    <row r="7669" spans="1:10" x14ac:dyDescent="0.35">
      <c r="A7669" s="5">
        <v>7665</v>
      </c>
      <c r="B7669" s="5">
        <v>320</v>
      </c>
      <c r="C7669" s="5">
        <v>11</v>
      </c>
      <c r="D7669" s="379">
        <v>40.26166666666667</v>
      </c>
      <c r="E7669" s="25">
        <v>25.59</v>
      </c>
      <c r="F7669" s="379">
        <v>2.4789322990988345</v>
      </c>
      <c r="G7669" s="25">
        <v>46.11</v>
      </c>
      <c r="H7669" s="379">
        <v>0.14480167642852412</v>
      </c>
      <c r="I7669" s="25">
        <v>34.01</v>
      </c>
      <c r="J7669" s="379">
        <v>0.21169404860739555</v>
      </c>
    </row>
    <row r="7670" spans="1:10" x14ac:dyDescent="0.35">
      <c r="A7670" s="5">
        <v>7666</v>
      </c>
      <c r="B7670" s="5">
        <v>320</v>
      </c>
      <c r="C7670" s="5">
        <v>11</v>
      </c>
      <c r="D7670" s="379">
        <v>37.912777777777784</v>
      </c>
      <c r="E7670" s="25">
        <v>25.74</v>
      </c>
      <c r="F7670" s="379">
        <v>1.8817955680623233</v>
      </c>
      <c r="G7670" s="25">
        <v>46.11</v>
      </c>
      <c r="H7670" s="379">
        <v>4.2188623452726626</v>
      </c>
      <c r="I7670" s="25">
        <v>33.67</v>
      </c>
      <c r="J7670" s="379">
        <v>3.6206628768539306</v>
      </c>
    </row>
    <row r="7671" spans="1:10" x14ac:dyDescent="0.35">
      <c r="A7671" s="5">
        <v>7667</v>
      </c>
      <c r="B7671" s="5">
        <v>320</v>
      </c>
      <c r="C7671" s="5">
        <v>11</v>
      </c>
      <c r="D7671" s="379">
        <v>36.88388888888889</v>
      </c>
      <c r="E7671" s="25">
        <v>25.29</v>
      </c>
      <c r="F7671" s="379">
        <v>2.1291068099538979</v>
      </c>
      <c r="G7671" s="25">
        <v>44.86</v>
      </c>
      <c r="H7671" s="379">
        <v>4.2188623452726626</v>
      </c>
      <c r="I7671" s="25">
        <v>33.67</v>
      </c>
      <c r="J7671" s="379">
        <v>2.2191237029438855</v>
      </c>
    </row>
    <row r="7672" spans="1:10" x14ac:dyDescent="0.35">
      <c r="A7672" s="5">
        <v>7668</v>
      </c>
      <c r="B7672" s="5">
        <v>320</v>
      </c>
      <c r="C7672" s="5">
        <v>11</v>
      </c>
      <c r="D7672" s="379">
        <v>37.214999999999996</v>
      </c>
      <c r="E7672" s="25">
        <v>25.29</v>
      </c>
      <c r="F7672" s="379">
        <v>2.0234939248579678</v>
      </c>
      <c r="G7672" s="25">
        <v>44.86</v>
      </c>
      <c r="H7672" s="379">
        <v>4.2188623452726626</v>
      </c>
      <c r="I7672" s="25">
        <v>33.67</v>
      </c>
      <c r="J7672" s="379">
        <v>2.2012976702842573</v>
      </c>
    </row>
    <row r="7673" spans="1:10" x14ac:dyDescent="0.35">
      <c r="A7673" s="5">
        <v>7669</v>
      </c>
      <c r="B7673" s="5">
        <v>320</v>
      </c>
      <c r="C7673" s="5">
        <v>11</v>
      </c>
      <c r="D7673" s="379">
        <v>35.319444444444443</v>
      </c>
      <c r="E7673" s="25">
        <v>24.99</v>
      </c>
      <c r="F7673" s="379">
        <v>2.2701737574682412</v>
      </c>
      <c r="G7673" s="25">
        <v>44.86</v>
      </c>
      <c r="H7673" s="379">
        <v>2.5711971003476233</v>
      </c>
      <c r="I7673" s="25">
        <v>33.67</v>
      </c>
      <c r="J7673" s="379">
        <v>2.777777777777778E-2</v>
      </c>
    </row>
    <row r="7674" spans="1:10" x14ac:dyDescent="0.35">
      <c r="A7674" s="5">
        <v>7670</v>
      </c>
      <c r="B7674" s="5">
        <v>320</v>
      </c>
      <c r="C7674" s="5">
        <v>11</v>
      </c>
      <c r="D7674" s="379">
        <v>35.795000000000009</v>
      </c>
      <c r="E7674" s="25">
        <v>24.99</v>
      </c>
      <c r="F7674" s="379">
        <v>2.6153908861928707</v>
      </c>
      <c r="G7674" s="25">
        <v>46.03</v>
      </c>
      <c r="H7674" s="379">
        <v>2.4644097064148842</v>
      </c>
      <c r="I7674" s="25">
        <v>33.67</v>
      </c>
      <c r="J7674" s="379">
        <v>2.777777777777778E-2</v>
      </c>
    </row>
    <row r="7675" spans="1:10" x14ac:dyDescent="0.35">
      <c r="A7675" s="5">
        <v>7671</v>
      </c>
      <c r="B7675" s="5">
        <v>320</v>
      </c>
      <c r="C7675" s="5">
        <v>11</v>
      </c>
      <c r="D7675" s="379">
        <v>36.883333333333333</v>
      </c>
      <c r="E7675" s="25">
        <v>24.99</v>
      </c>
      <c r="F7675" s="379">
        <v>3.691533381460733</v>
      </c>
      <c r="G7675" s="25">
        <v>46.03</v>
      </c>
      <c r="H7675" s="379">
        <v>2.4644097064148842</v>
      </c>
      <c r="I7675" s="25">
        <v>33.67</v>
      </c>
      <c r="J7675" s="379">
        <v>2.777777777777778E-2</v>
      </c>
    </row>
    <row r="7676" spans="1:10" x14ac:dyDescent="0.35">
      <c r="A7676" s="5">
        <v>7672</v>
      </c>
      <c r="B7676" s="5">
        <v>320</v>
      </c>
      <c r="C7676" s="5">
        <v>11</v>
      </c>
      <c r="D7676" s="379">
        <v>38.164999999999992</v>
      </c>
      <c r="E7676" s="25">
        <v>24.99</v>
      </c>
      <c r="F7676" s="379">
        <v>3.6405095417190365</v>
      </c>
      <c r="G7676" s="25">
        <v>46.11</v>
      </c>
      <c r="H7676" s="379">
        <v>2.4644097064148842</v>
      </c>
      <c r="I7676" s="25">
        <v>34.01</v>
      </c>
      <c r="J7676" s="379">
        <v>2.777777777777778E-2</v>
      </c>
    </row>
    <row r="7677" spans="1:10" x14ac:dyDescent="0.35">
      <c r="A7677" s="5">
        <v>7673</v>
      </c>
      <c r="B7677" s="5">
        <v>320</v>
      </c>
      <c r="C7677" s="5">
        <v>11</v>
      </c>
      <c r="D7677" s="379">
        <v>40.042777777777779</v>
      </c>
      <c r="E7677" s="25">
        <v>25.74</v>
      </c>
      <c r="F7677" s="379">
        <v>8.1174834595959577</v>
      </c>
      <c r="G7677" s="25">
        <v>46.11</v>
      </c>
      <c r="H7677" s="379">
        <v>0.14480167642852418</v>
      </c>
      <c r="I7677" s="25">
        <v>41.22</v>
      </c>
      <c r="J7677" s="379">
        <v>2.777777777777778E-2</v>
      </c>
    </row>
    <row r="7678" spans="1:10" x14ac:dyDescent="0.35">
      <c r="A7678" s="5">
        <v>7674</v>
      </c>
      <c r="B7678" s="5">
        <v>320</v>
      </c>
      <c r="C7678" s="5">
        <v>11</v>
      </c>
      <c r="D7678" s="379">
        <v>43.938333333333333</v>
      </c>
      <c r="E7678" s="25">
        <v>25.74</v>
      </c>
      <c r="F7678" s="379">
        <v>8.1174834595959613</v>
      </c>
      <c r="G7678" s="25">
        <v>50.76</v>
      </c>
      <c r="H7678" s="379">
        <v>0.14480167642852412</v>
      </c>
      <c r="I7678" s="25">
        <v>45.88</v>
      </c>
      <c r="J7678" s="379">
        <v>0.18539185469727876</v>
      </c>
    </row>
    <row r="7679" spans="1:10" x14ac:dyDescent="0.35">
      <c r="A7679" s="5">
        <v>7675</v>
      </c>
      <c r="B7679" s="5">
        <v>320</v>
      </c>
      <c r="C7679" s="5">
        <v>11</v>
      </c>
      <c r="D7679" s="379">
        <v>38.959444444444443</v>
      </c>
      <c r="E7679" s="25">
        <v>25.74</v>
      </c>
      <c r="F7679" s="379">
        <v>8.1174834595959595</v>
      </c>
      <c r="G7679" s="25">
        <v>50.35</v>
      </c>
      <c r="H7679" s="379">
        <v>0.14480167642852412</v>
      </c>
      <c r="I7679" s="25">
        <v>45.88</v>
      </c>
      <c r="J7679" s="379">
        <v>0.18539185469727876</v>
      </c>
    </row>
    <row r="7680" spans="1:10" x14ac:dyDescent="0.35">
      <c r="A7680" s="5">
        <v>7676</v>
      </c>
      <c r="B7680" s="5">
        <v>320</v>
      </c>
      <c r="C7680" s="5">
        <v>11</v>
      </c>
      <c r="D7680" s="379">
        <v>34.317777777777778</v>
      </c>
      <c r="E7680" s="25">
        <v>25.74</v>
      </c>
      <c r="F7680" s="379">
        <v>8.1174834595959595</v>
      </c>
      <c r="G7680" s="25">
        <v>48.17</v>
      </c>
      <c r="H7680" s="379">
        <v>0.14480167642852412</v>
      </c>
      <c r="I7680" s="25">
        <v>45.88</v>
      </c>
      <c r="J7680" s="379">
        <v>3.3329762785972661E-2</v>
      </c>
    </row>
    <row r="7681" spans="1:10" x14ac:dyDescent="0.35">
      <c r="A7681" s="5">
        <v>7677</v>
      </c>
      <c r="B7681" s="5">
        <v>320</v>
      </c>
      <c r="C7681" s="5">
        <v>11</v>
      </c>
      <c r="D7681" s="379">
        <v>30.172777777777778</v>
      </c>
      <c r="E7681" s="25">
        <v>25.74</v>
      </c>
      <c r="F7681" s="379">
        <v>8.1174834595959577</v>
      </c>
      <c r="G7681" s="25">
        <v>46.11</v>
      </c>
      <c r="H7681" s="379">
        <v>0.14480167642852412</v>
      </c>
      <c r="I7681" s="25">
        <v>44.38</v>
      </c>
      <c r="J7681" s="379">
        <v>9.2217494332741706E-2</v>
      </c>
    </row>
    <row r="7682" spans="1:10" x14ac:dyDescent="0.35">
      <c r="A7682" s="5">
        <v>7678</v>
      </c>
      <c r="B7682" s="5">
        <v>320</v>
      </c>
      <c r="C7682" s="5">
        <v>11</v>
      </c>
      <c r="D7682" s="379">
        <v>27.786666666666665</v>
      </c>
      <c r="E7682" s="25">
        <v>24.99</v>
      </c>
      <c r="F7682" s="379">
        <v>4.2146799501320418</v>
      </c>
      <c r="G7682" s="25">
        <v>45.21</v>
      </c>
      <c r="H7682" s="379">
        <v>2.4047208721523403</v>
      </c>
      <c r="I7682" s="25">
        <v>36.869999999999997</v>
      </c>
      <c r="J7682" s="379">
        <v>9.2217494332741706E-2</v>
      </c>
    </row>
    <row r="7683" spans="1:10" x14ac:dyDescent="0.35">
      <c r="A7683" s="5">
        <v>7679</v>
      </c>
      <c r="B7683" s="5">
        <v>320</v>
      </c>
      <c r="C7683" s="5">
        <v>11</v>
      </c>
      <c r="D7683" s="379">
        <v>25.516666666666662</v>
      </c>
      <c r="E7683" s="25">
        <v>24.99</v>
      </c>
      <c r="F7683" s="379">
        <v>2.0926935102878415</v>
      </c>
      <c r="G7683" s="25">
        <v>44.93</v>
      </c>
      <c r="H7683" s="379">
        <v>2.4047208721523403</v>
      </c>
      <c r="I7683" s="25">
        <v>35.799999999999997</v>
      </c>
      <c r="J7683" s="379">
        <v>9.2217494332741706E-2</v>
      </c>
    </row>
    <row r="7684" spans="1:10" x14ac:dyDescent="0.35">
      <c r="A7684" s="5">
        <v>7680</v>
      </c>
      <c r="B7684" s="5">
        <v>320</v>
      </c>
      <c r="C7684" s="5">
        <v>11</v>
      </c>
      <c r="D7684" s="379">
        <v>23.499444444444443</v>
      </c>
      <c r="E7684" s="25">
        <v>24.99</v>
      </c>
      <c r="F7684" s="379">
        <v>0.93074193784736192</v>
      </c>
      <c r="G7684" s="25">
        <v>44.41</v>
      </c>
      <c r="H7684" s="379">
        <v>2.4967019649453217</v>
      </c>
      <c r="I7684" s="25">
        <v>35.03</v>
      </c>
      <c r="J7684" s="379">
        <v>9.2217494332741706E-2</v>
      </c>
    </row>
    <row r="7685" spans="1:10" x14ac:dyDescent="0.35">
      <c r="A7685" s="5">
        <v>7681</v>
      </c>
      <c r="B7685" s="5">
        <v>321</v>
      </c>
      <c r="C7685" s="5">
        <v>11</v>
      </c>
      <c r="D7685" s="379">
        <v>27.06666666666667</v>
      </c>
      <c r="E7685" s="25">
        <v>24.84</v>
      </c>
      <c r="F7685" s="379">
        <v>0.67228711989633838</v>
      </c>
      <c r="G7685" s="25">
        <v>42.78</v>
      </c>
      <c r="H7685" s="379">
        <v>2.4011044524564795</v>
      </c>
      <c r="I7685" s="25">
        <v>35.03</v>
      </c>
      <c r="J7685" s="379">
        <v>9.221749433274172E-2</v>
      </c>
    </row>
    <row r="7686" spans="1:10" x14ac:dyDescent="0.35">
      <c r="A7686" s="5">
        <v>7682</v>
      </c>
      <c r="B7686" s="5">
        <v>321</v>
      </c>
      <c r="C7686" s="5">
        <v>11</v>
      </c>
      <c r="D7686" s="379">
        <v>23.833888888888886</v>
      </c>
      <c r="E7686" s="25">
        <v>24.26</v>
      </c>
      <c r="F7686" s="379">
        <v>0.56897338795734564</v>
      </c>
      <c r="G7686" s="25">
        <v>42.17</v>
      </c>
      <c r="H7686" s="379">
        <v>2.4011044524564795</v>
      </c>
      <c r="I7686" s="25">
        <v>33.67</v>
      </c>
      <c r="J7686" s="379">
        <v>4.185968978134931E-2</v>
      </c>
    </row>
    <row r="7687" spans="1:10" x14ac:dyDescent="0.35">
      <c r="A7687" s="5">
        <v>7683</v>
      </c>
      <c r="B7687" s="5">
        <v>321</v>
      </c>
      <c r="C7687" s="5">
        <v>11</v>
      </c>
      <c r="D7687" s="379">
        <v>22.428333333333335</v>
      </c>
      <c r="E7687" s="25">
        <v>23.89</v>
      </c>
      <c r="F7687" s="379">
        <v>1.3975683807831103</v>
      </c>
      <c r="G7687" s="25">
        <v>39.770000000000003</v>
      </c>
      <c r="H7687" s="379">
        <v>2.4011044524564795</v>
      </c>
      <c r="I7687" s="25">
        <v>33.67</v>
      </c>
      <c r="J7687" s="379">
        <v>4.185968978134931E-2</v>
      </c>
    </row>
    <row r="7688" spans="1:10" x14ac:dyDescent="0.35">
      <c r="A7688" s="5">
        <v>7684</v>
      </c>
      <c r="B7688" s="5">
        <v>321</v>
      </c>
      <c r="C7688" s="5">
        <v>11</v>
      </c>
      <c r="D7688" s="379">
        <v>19.750000000000004</v>
      </c>
      <c r="E7688" s="25">
        <v>23.59</v>
      </c>
      <c r="F7688" s="379">
        <v>1.4443955276774532</v>
      </c>
      <c r="G7688" s="25">
        <v>39.200000000000003</v>
      </c>
      <c r="H7688" s="379">
        <v>2.4011044524564795</v>
      </c>
      <c r="I7688" s="25">
        <v>33.67</v>
      </c>
      <c r="J7688" s="379">
        <v>4.185968978134931E-2</v>
      </c>
    </row>
    <row r="7689" spans="1:10" x14ac:dyDescent="0.35">
      <c r="A7689" s="5">
        <v>7685</v>
      </c>
      <c r="B7689" s="5">
        <v>321</v>
      </c>
      <c r="C7689" s="5">
        <v>11</v>
      </c>
      <c r="D7689" s="379">
        <v>19.213333333333335</v>
      </c>
      <c r="E7689" s="25">
        <v>23.41</v>
      </c>
      <c r="F7689" s="379">
        <v>1.1031092769990416</v>
      </c>
      <c r="G7689" s="25">
        <v>39.200000000000003</v>
      </c>
      <c r="H7689" s="379">
        <v>2.4644097064148842</v>
      </c>
      <c r="I7689" s="25">
        <v>33.67</v>
      </c>
      <c r="J7689" s="379">
        <v>4.185968978134931E-2</v>
      </c>
    </row>
    <row r="7690" spans="1:10" x14ac:dyDescent="0.35">
      <c r="A7690" s="5">
        <v>7686</v>
      </c>
      <c r="B7690" s="5">
        <v>321</v>
      </c>
      <c r="C7690" s="5">
        <v>11</v>
      </c>
      <c r="D7690" s="379">
        <v>21.84944444444444</v>
      </c>
      <c r="E7690" s="25">
        <v>24.11</v>
      </c>
      <c r="F7690" s="379">
        <v>0.78276426826452772</v>
      </c>
      <c r="G7690" s="25">
        <v>41.75</v>
      </c>
      <c r="H7690" s="379">
        <v>2.4644097064148842</v>
      </c>
      <c r="I7690" s="25">
        <v>33.67</v>
      </c>
      <c r="J7690" s="379">
        <v>4.185968978134931E-2</v>
      </c>
    </row>
    <row r="7691" spans="1:10" x14ac:dyDescent="0.35">
      <c r="A7691" s="5">
        <v>7687</v>
      </c>
      <c r="B7691" s="5">
        <v>321</v>
      </c>
      <c r="C7691" s="5">
        <v>11</v>
      </c>
      <c r="D7691" s="379">
        <v>30.462777777777774</v>
      </c>
      <c r="E7691" s="25">
        <v>24.99</v>
      </c>
      <c r="F7691" s="379">
        <v>1.0291942815334225</v>
      </c>
      <c r="G7691" s="25">
        <v>44.74</v>
      </c>
      <c r="H7691" s="379">
        <v>2.4644097064148842</v>
      </c>
      <c r="I7691" s="25">
        <v>36.68</v>
      </c>
      <c r="J7691" s="379">
        <v>4.185968978134931E-2</v>
      </c>
    </row>
    <row r="7692" spans="1:10" x14ac:dyDescent="0.35">
      <c r="A7692" s="5">
        <v>7688</v>
      </c>
      <c r="B7692" s="5">
        <v>321</v>
      </c>
      <c r="C7692" s="5">
        <v>11</v>
      </c>
      <c r="D7692" s="379">
        <v>33.792222222222222</v>
      </c>
      <c r="E7692" s="25">
        <v>24.99</v>
      </c>
      <c r="F7692" s="379">
        <v>3.5734073525458863</v>
      </c>
      <c r="G7692" s="25">
        <v>46.03</v>
      </c>
      <c r="H7692" s="379">
        <v>2.5077965306414733</v>
      </c>
      <c r="I7692" s="25">
        <v>48.19</v>
      </c>
      <c r="J7692" s="379">
        <v>6.6801704512140778E-2</v>
      </c>
    </row>
    <row r="7693" spans="1:10" x14ac:dyDescent="0.35">
      <c r="A7693" s="5">
        <v>7689</v>
      </c>
      <c r="B7693" s="5">
        <v>321</v>
      </c>
      <c r="C7693" s="5">
        <v>11</v>
      </c>
      <c r="D7693" s="379">
        <v>38.404444444444444</v>
      </c>
      <c r="E7693" s="25">
        <v>25.74</v>
      </c>
      <c r="F7693" s="379">
        <v>2.1948929548580054</v>
      </c>
      <c r="G7693" s="25">
        <v>46.11</v>
      </c>
      <c r="H7693" s="379">
        <v>2.580651323784569</v>
      </c>
      <c r="I7693" s="25">
        <v>48.86</v>
      </c>
      <c r="J7693" s="379">
        <v>0.25325088153511294</v>
      </c>
    </row>
    <row r="7694" spans="1:10" x14ac:dyDescent="0.35">
      <c r="A7694" s="5">
        <v>7690</v>
      </c>
      <c r="B7694" s="5">
        <v>321</v>
      </c>
      <c r="C7694" s="5">
        <v>11</v>
      </c>
      <c r="D7694" s="379">
        <v>38.031111111111102</v>
      </c>
      <c r="E7694" s="25">
        <v>25.74</v>
      </c>
      <c r="F7694" s="379">
        <v>2.7965993303550514</v>
      </c>
      <c r="G7694" s="25">
        <v>46.11</v>
      </c>
      <c r="H7694" s="379">
        <v>2.5736614383055625</v>
      </c>
      <c r="I7694" s="25">
        <v>49.53</v>
      </c>
      <c r="J7694" s="379">
        <v>9.3492249693608587E-2</v>
      </c>
    </row>
    <row r="7695" spans="1:10" x14ac:dyDescent="0.35">
      <c r="A7695" s="5">
        <v>7691</v>
      </c>
      <c r="B7695" s="5">
        <v>321</v>
      </c>
      <c r="C7695" s="5">
        <v>11</v>
      </c>
      <c r="D7695" s="379">
        <v>35.417222222222222</v>
      </c>
      <c r="E7695" s="25">
        <v>24.99</v>
      </c>
      <c r="F7695" s="379">
        <v>2.2923008371188884</v>
      </c>
      <c r="G7695" s="25">
        <v>46.11</v>
      </c>
      <c r="H7695" s="379">
        <v>2.5736614383055625</v>
      </c>
      <c r="I7695" s="25">
        <v>48.19</v>
      </c>
      <c r="J7695" s="379">
        <v>0.12887543510916907</v>
      </c>
    </row>
    <row r="7696" spans="1:10" x14ac:dyDescent="0.35">
      <c r="A7696" s="5">
        <v>7692</v>
      </c>
      <c r="B7696" s="5">
        <v>321</v>
      </c>
      <c r="C7696" s="5">
        <v>11</v>
      </c>
      <c r="D7696" s="379">
        <v>34.06666666666667</v>
      </c>
      <c r="E7696" s="25">
        <v>24.99</v>
      </c>
      <c r="F7696" s="379">
        <v>0.58158822501944474</v>
      </c>
      <c r="G7696" s="25">
        <v>46.03</v>
      </c>
      <c r="H7696" s="379">
        <v>2.5630197771298069</v>
      </c>
      <c r="I7696" s="25">
        <v>48.19</v>
      </c>
      <c r="J7696" s="379">
        <v>0.12887543510916907</v>
      </c>
    </row>
    <row r="7697" spans="1:10" x14ac:dyDescent="0.35">
      <c r="A7697" s="5">
        <v>7693</v>
      </c>
      <c r="B7697" s="5">
        <v>321</v>
      </c>
      <c r="C7697" s="5">
        <v>11</v>
      </c>
      <c r="D7697" s="379">
        <v>33.071666666666673</v>
      </c>
      <c r="E7697" s="25">
        <v>24.99</v>
      </c>
      <c r="F7697" s="379">
        <v>3.1307520830076276</v>
      </c>
      <c r="G7697" s="25">
        <v>44.93</v>
      </c>
      <c r="H7697" s="379">
        <v>2.5072649087738741</v>
      </c>
      <c r="I7697" s="25">
        <v>48.19</v>
      </c>
      <c r="J7697" s="379">
        <v>0.12887543510916907</v>
      </c>
    </row>
    <row r="7698" spans="1:10" x14ac:dyDescent="0.35">
      <c r="A7698" s="5">
        <v>7694</v>
      </c>
      <c r="B7698" s="5">
        <v>321</v>
      </c>
      <c r="C7698" s="5">
        <v>11</v>
      </c>
      <c r="D7698" s="379">
        <v>33.313888888888897</v>
      </c>
      <c r="E7698" s="25">
        <v>24.99</v>
      </c>
      <c r="F7698" s="379">
        <v>2.4577356375811816</v>
      </c>
      <c r="G7698" s="25">
        <v>44.74</v>
      </c>
      <c r="H7698" s="379">
        <v>2.5594033574339465</v>
      </c>
      <c r="I7698" s="25">
        <v>48.19</v>
      </c>
      <c r="J7698" s="379">
        <v>0.12887543510916907</v>
      </c>
    </row>
    <row r="7699" spans="1:10" x14ac:dyDescent="0.35">
      <c r="A7699" s="5">
        <v>7695</v>
      </c>
      <c r="B7699" s="5">
        <v>321</v>
      </c>
      <c r="C7699" s="5">
        <v>11</v>
      </c>
      <c r="D7699" s="379">
        <v>35.636111111111113</v>
      </c>
      <c r="E7699" s="25">
        <v>24.99</v>
      </c>
      <c r="F7699" s="379">
        <v>3.4459713603555988</v>
      </c>
      <c r="G7699" s="25">
        <v>44.74</v>
      </c>
      <c r="H7699" s="379">
        <v>2.5594033574339465</v>
      </c>
      <c r="I7699" s="25">
        <v>46.78</v>
      </c>
      <c r="J7699" s="379">
        <v>0.12887543510916907</v>
      </c>
    </row>
    <row r="7700" spans="1:10" x14ac:dyDescent="0.35">
      <c r="A7700" s="5">
        <v>7696</v>
      </c>
      <c r="B7700" s="5">
        <v>321</v>
      </c>
      <c r="C7700" s="5">
        <v>11</v>
      </c>
      <c r="D7700" s="379">
        <v>35.518333333333338</v>
      </c>
      <c r="E7700" s="25">
        <v>24.99</v>
      </c>
      <c r="F7700" s="379">
        <v>3.3592222988900162</v>
      </c>
      <c r="G7700" s="25">
        <v>44.74</v>
      </c>
      <c r="H7700" s="379">
        <v>2.5700450186097021</v>
      </c>
      <c r="I7700" s="25">
        <v>45.42</v>
      </c>
      <c r="J7700" s="379">
        <v>0.12887543510916907</v>
      </c>
    </row>
    <row r="7701" spans="1:10" x14ac:dyDescent="0.35">
      <c r="A7701" s="5">
        <v>7697</v>
      </c>
      <c r="B7701" s="5">
        <v>321</v>
      </c>
      <c r="C7701" s="5">
        <v>11</v>
      </c>
      <c r="D7701" s="379">
        <v>39.170555555555552</v>
      </c>
      <c r="E7701" s="25">
        <v>24.99</v>
      </c>
      <c r="F7701" s="379">
        <v>3.4043662013269724</v>
      </c>
      <c r="G7701" s="25">
        <v>46.03</v>
      </c>
      <c r="H7701" s="379">
        <v>0.14480167642852412</v>
      </c>
      <c r="I7701" s="25">
        <v>45.88</v>
      </c>
      <c r="J7701" s="379">
        <v>0.11124624036573984</v>
      </c>
    </row>
    <row r="7702" spans="1:10" x14ac:dyDescent="0.35">
      <c r="A7702" s="5">
        <v>7698</v>
      </c>
      <c r="B7702" s="5">
        <v>321</v>
      </c>
      <c r="C7702" s="5">
        <v>11</v>
      </c>
      <c r="D7702" s="379">
        <v>44.571111111111108</v>
      </c>
      <c r="E7702" s="25">
        <v>25.74</v>
      </c>
      <c r="F7702" s="379">
        <v>3.8611448002895585</v>
      </c>
      <c r="G7702" s="25">
        <v>46.11</v>
      </c>
      <c r="H7702" s="379">
        <v>0.14480167642852412</v>
      </c>
      <c r="I7702" s="25">
        <v>47.44</v>
      </c>
      <c r="J7702" s="379">
        <v>6.0608487075406066E-2</v>
      </c>
    </row>
    <row r="7703" spans="1:10" x14ac:dyDescent="0.35">
      <c r="A7703" s="5">
        <v>7699</v>
      </c>
      <c r="B7703" s="5">
        <v>321</v>
      </c>
      <c r="C7703" s="5">
        <v>11</v>
      </c>
      <c r="D7703" s="379">
        <v>41.375555555555557</v>
      </c>
      <c r="E7703" s="25">
        <v>25.74</v>
      </c>
      <c r="F7703" s="379">
        <v>3.7320210002494085</v>
      </c>
      <c r="G7703" s="25">
        <v>46.11</v>
      </c>
      <c r="H7703" s="379">
        <v>2.5977239947362363</v>
      </c>
      <c r="I7703" s="25">
        <v>44.38</v>
      </c>
      <c r="J7703" s="379">
        <v>0.10671201616820533</v>
      </c>
    </row>
    <row r="7704" spans="1:10" x14ac:dyDescent="0.35">
      <c r="A7704" s="5">
        <v>7700</v>
      </c>
      <c r="B7704" s="5">
        <v>321</v>
      </c>
      <c r="C7704" s="5">
        <v>11</v>
      </c>
      <c r="D7704" s="379">
        <v>38.121111111111112</v>
      </c>
      <c r="E7704" s="25">
        <v>25.74</v>
      </c>
      <c r="F7704" s="379">
        <v>3.1479514925035215</v>
      </c>
      <c r="G7704" s="25">
        <v>46.11</v>
      </c>
      <c r="H7704" s="379">
        <v>2.4644097064148842</v>
      </c>
      <c r="I7704" s="25">
        <v>36.68</v>
      </c>
      <c r="J7704" s="379">
        <v>1.3605549470073204</v>
      </c>
    </row>
    <row r="7705" spans="1:10" x14ac:dyDescent="0.35">
      <c r="A7705" s="5">
        <v>7701</v>
      </c>
      <c r="B7705" s="5">
        <v>321</v>
      </c>
      <c r="C7705" s="5">
        <v>11</v>
      </c>
      <c r="D7705" s="379">
        <v>35.081111111111113</v>
      </c>
      <c r="E7705" s="25">
        <v>24.95</v>
      </c>
      <c r="F7705" s="379">
        <v>3.8898570249751385</v>
      </c>
      <c r="G7705" s="25">
        <v>43.56</v>
      </c>
      <c r="H7705" s="379">
        <v>2.4644097064148842</v>
      </c>
      <c r="I7705" s="25">
        <v>33.67</v>
      </c>
      <c r="J7705" s="379">
        <v>1.3605549470073204</v>
      </c>
    </row>
    <row r="7706" spans="1:10" x14ac:dyDescent="0.35">
      <c r="A7706" s="5">
        <v>7702</v>
      </c>
      <c r="B7706" s="5">
        <v>321</v>
      </c>
      <c r="C7706" s="5">
        <v>11</v>
      </c>
      <c r="D7706" s="379">
        <v>31.747777777777774</v>
      </c>
      <c r="E7706" s="25">
        <v>24.73</v>
      </c>
      <c r="F7706" s="379">
        <v>2.777777777777778E-2</v>
      </c>
      <c r="G7706" s="25">
        <v>42.35</v>
      </c>
      <c r="H7706" s="379">
        <v>2.4644097064148842</v>
      </c>
      <c r="I7706" s="25">
        <v>33.67</v>
      </c>
      <c r="J7706" s="379">
        <v>1.3605549470073204</v>
      </c>
    </row>
    <row r="7707" spans="1:10" x14ac:dyDescent="0.35">
      <c r="A7707" s="5">
        <v>7703</v>
      </c>
      <c r="B7707" s="5">
        <v>321</v>
      </c>
      <c r="C7707" s="5">
        <v>11</v>
      </c>
      <c r="D7707" s="379">
        <v>32.267222222222216</v>
      </c>
      <c r="E7707" s="25">
        <v>24.84</v>
      </c>
      <c r="F7707" s="379">
        <v>3.4481525187613222</v>
      </c>
      <c r="G7707" s="25">
        <v>39.770000000000003</v>
      </c>
      <c r="H7707" s="379">
        <v>2.4644097064148842</v>
      </c>
      <c r="I7707" s="25">
        <v>33.67</v>
      </c>
      <c r="J7707" s="379">
        <v>1.3605549470073204</v>
      </c>
    </row>
    <row r="7708" spans="1:10" x14ac:dyDescent="0.35">
      <c r="A7708" s="5">
        <v>7704</v>
      </c>
      <c r="B7708" s="5">
        <v>321</v>
      </c>
      <c r="C7708" s="5">
        <v>11</v>
      </c>
      <c r="D7708" s="379">
        <v>31.067222222222224</v>
      </c>
      <c r="E7708" s="25">
        <v>24.73</v>
      </c>
      <c r="F7708" s="379">
        <v>3.2727733956087586</v>
      </c>
      <c r="G7708" s="25">
        <v>31.8</v>
      </c>
      <c r="H7708" s="379">
        <v>2.4644097064148842</v>
      </c>
      <c r="I7708" s="25">
        <v>33.67</v>
      </c>
      <c r="J7708" s="379">
        <v>1.3605549470073204</v>
      </c>
    </row>
    <row r="7709" spans="1:10" x14ac:dyDescent="0.35">
      <c r="A7709" s="5">
        <v>7705</v>
      </c>
      <c r="B7709" s="5">
        <v>322</v>
      </c>
      <c r="C7709" s="5">
        <v>11</v>
      </c>
      <c r="D7709" s="379">
        <v>38.914444444444449</v>
      </c>
      <c r="E7709" s="25">
        <v>23.84</v>
      </c>
      <c r="F7709" s="379">
        <v>3.2727733956087586</v>
      </c>
      <c r="G7709" s="25">
        <v>30.91</v>
      </c>
      <c r="H7709" s="379">
        <v>2.4644097064148842</v>
      </c>
      <c r="I7709" s="25">
        <v>33.67</v>
      </c>
      <c r="J7709" s="379">
        <v>1.3605549470073204</v>
      </c>
    </row>
    <row r="7710" spans="1:10" x14ac:dyDescent="0.35">
      <c r="A7710" s="5">
        <v>7706</v>
      </c>
      <c r="B7710" s="5">
        <v>322</v>
      </c>
      <c r="C7710" s="5">
        <v>11</v>
      </c>
      <c r="D7710" s="379">
        <v>37.181111111111115</v>
      </c>
      <c r="E7710" s="25">
        <v>21.88</v>
      </c>
      <c r="F7710" s="379">
        <v>3.2727733956087586</v>
      </c>
      <c r="G7710" s="25">
        <v>30.03</v>
      </c>
      <c r="H7710" s="379">
        <v>2.4644097064148842</v>
      </c>
      <c r="I7710" s="25">
        <v>33.67</v>
      </c>
      <c r="J7710" s="379">
        <v>1.3605549470073204</v>
      </c>
    </row>
    <row r="7711" spans="1:10" x14ac:dyDescent="0.35">
      <c r="A7711" s="5">
        <v>7707</v>
      </c>
      <c r="B7711" s="5">
        <v>322</v>
      </c>
      <c r="C7711" s="5">
        <v>11</v>
      </c>
      <c r="D7711" s="379">
        <v>35.513333333333335</v>
      </c>
      <c r="E7711" s="25">
        <v>19.8</v>
      </c>
      <c r="F7711" s="379">
        <v>3.2727733956087586</v>
      </c>
      <c r="G7711" s="25">
        <v>30.03</v>
      </c>
      <c r="H7711" s="379">
        <v>2.4644097064148842</v>
      </c>
      <c r="I7711" s="25">
        <v>33.67</v>
      </c>
      <c r="J7711" s="379">
        <v>1.3605549470073204</v>
      </c>
    </row>
    <row r="7712" spans="1:10" x14ac:dyDescent="0.35">
      <c r="A7712" s="5">
        <v>7708</v>
      </c>
      <c r="B7712" s="5">
        <v>322</v>
      </c>
      <c r="C7712" s="5">
        <v>11</v>
      </c>
      <c r="D7712" s="379">
        <v>34.082222222222221</v>
      </c>
      <c r="E7712" s="25">
        <v>11.5</v>
      </c>
      <c r="F7712" s="379">
        <v>3.2727733956087586</v>
      </c>
      <c r="G7712" s="25">
        <v>30.03</v>
      </c>
      <c r="H7712" s="379">
        <v>2.4644097064148842</v>
      </c>
      <c r="I7712" s="25">
        <v>33.67</v>
      </c>
      <c r="J7712" s="379">
        <v>1.3605549470073204</v>
      </c>
    </row>
    <row r="7713" spans="1:10" x14ac:dyDescent="0.35">
      <c r="A7713" s="5">
        <v>7709</v>
      </c>
      <c r="B7713" s="5">
        <v>322</v>
      </c>
      <c r="C7713" s="5">
        <v>11</v>
      </c>
      <c r="D7713" s="379">
        <v>36.369444444444447</v>
      </c>
      <c r="E7713" s="25">
        <v>11.84</v>
      </c>
      <c r="F7713" s="379">
        <v>3.2727733956087586</v>
      </c>
      <c r="G7713" s="25">
        <v>30.03</v>
      </c>
      <c r="H7713" s="379">
        <v>2.4644097064148842</v>
      </c>
      <c r="I7713" s="25">
        <v>33.67</v>
      </c>
      <c r="J7713" s="379">
        <v>2.777777777777778E-2</v>
      </c>
    </row>
    <row r="7714" spans="1:10" x14ac:dyDescent="0.35">
      <c r="A7714" s="5">
        <v>7710</v>
      </c>
      <c r="B7714" s="5">
        <v>322</v>
      </c>
      <c r="C7714" s="5">
        <v>11</v>
      </c>
      <c r="D7714" s="379">
        <v>38.399444444444441</v>
      </c>
      <c r="E7714" s="25">
        <v>24.26</v>
      </c>
      <c r="F7714" s="379">
        <v>3.2727733956087586</v>
      </c>
      <c r="G7714" s="25">
        <v>30.03</v>
      </c>
      <c r="H7714" s="379">
        <v>2.4644097064148842</v>
      </c>
      <c r="I7714" s="25">
        <v>33.67</v>
      </c>
      <c r="J7714" s="379">
        <v>4.0984226902725053E-2</v>
      </c>
    </row>
    <row r="7715" spans="1:10" x14ac:dyDescent="0.35">
      <c r="A7715" s="5">
        <v>7711</v>
      </c>
      <c r="B7715" s="5">
        <v>322</v>
      </c>
      <c r="C7715" s="5">
        <v>11</v>
      </c>
      <c r="D7715" s="379">
        <v>43.796111111111109</v>
      </c>
      <c r="E7715" s="25">
        <v>24.84</v>
      </c>
      <c r="F7715" s="379">
        <v>3.2727733956087586</v>
      </c>
      <c r="G7715" s="25">
        <v>30.91</v>
      </c>
      <c r="H7715" s="379">
        <v>2.4644097064148842</v>
      </c>
      <c r="I7715" s="25">
        <v>33.67</v>
      </c>
      <c r="J7715" s="379">
        <v>4.0984226902725053E-2</v>
      </c>
    </row>
    <row r="7716" spans="1:10" x14ac:dyDescent="0.35">
      <c r="A7716" s="5">
        <v>7712</v>
      </c>
      <c r="B7716" s="5">
        <v>322</v>
      </c>
      <c r="C7716" s="5">
        <v>11</v>
      </c>
      <c r="D7716" s="379">
        <v>50.421666666666667</v>
      </c>
      <c r="E7716" s="25">
        <v>25.29</v>
      </c>
      <c r="F7716" s="379">
        <v>3.2727733956087586</v>
      </c>
      <c r="G7716" s="25">
        <v>43.39</v>
      </c>
      <c r="H7716" s="379">
        <v>2.4644097064148842</v>
      </c>
      <c r="I7716" s="25">
        <v>33.67</v>
      </c>
      <c r="J7716" s="379">
        <v>4.0984226902725053E-2</v>
      </c>
    </row>
    <row r="7717" spans="1:10" x14ac:dyDescent="0.35">
      <c r="A7717" s="5">
        <v>7713</v>
      </c>
      <c r="B7717" s="5">
        <v>322</v>
      </c>
      <c r="C7717" s="5">
        <v>11</v>
      </c>
      <c r="D7717" s="379">
        <v>53.00222222222223</v>
      </c>
      <c r="E7717" s="25">
        <v>25.59</v>
      </c>
      <c r="F7717" s="379">
        <v>3.2727733956087586</v>
      </c>
      <c r="G7717" s="25">
        <v>44.74</v>
      </c>
      <c r="H7717" s="379">
        <v>2.4644097064148842</v>
      </c>
      <c r="I7717" s="25">
        <v>34.01</v>
      </c>
      <c r="J7717" s="379">
        <v>4.0984226902725053E-2</v>
      </c>
    </row>
    <row r="7718" spans="1:10" x14ac:dyDescent="0.35">
      <c r="A7718" s="5">
        <v>7714</v>
      </c>
      <c r="B7718" s="5">
        <v>322</v>
      </c>
      <c r="C7718" s="5">
        <v>11</v>
      </c>
      <c r="D7718" s="379">
        <v>51.753888888888895</v>
      </c>
      <c r="E7718" s="25">
        <v>25.59</v>
      </c>
      <c r="F7718" s="379">
        <v>3.2727733956087586</v>
      </c>
      <c r="G7718" s="25">
        <v>44.93</v>
      </c>
      <c r="H7718" s="379">
        <v>2.4644097064148842</v>
      </c>
      <c r="I7718" s="25">
        <v>36.869999999999997</v>
      </c>
      <c r="J7718" s="379">
        <v>4.0984226902725053E-2</v>
      </c>
    </row>
    <row r="7719" spans="1:10" x14ac:dyDescent="0.35">
      <c r="A7719" s="5">
        <v>7715</v>
      </c>
      <c r="B7719" s="5">
        <v>322</v>
      </c>
      <c r="C7719" s="5">
        <v>11</v>
      </c>
      <c r="D7719" s="379">
        <v>48.925555555555555</v>
      </c>
      <c r="E7719" s="25">
        <v>24.99</v>
      </c>
      <c r="F7719" s="379">
        <v>3.2727733956087586</v>
      </c>
      <c r="G7719" s="25">
        <v>44.77</v>
      </c>
      <c r="H7719" s="379">
        <v>2.4644097064148842</v>
      </c>
      <c r="I7719" s="25">
        <v>34.25</v>
      </c>
      <c r="J7719" s="379">
        <v>4.0984226902725053E-2</v>
      </c>
    </row>
    <row r="7720" spans="1:10" x14ac:dyDescent="0.35">
      <c r="A7720" s="5">
        <v>7716</v>
      </c>
      <c r="B7720" s="5">
        <v>322</v>
      </c>
      <c r="C7720" s="5">
        <v>11</v>
      </c>
      <c r="D7720" s="379">
        <v>47.596666666666664</v>
      </c>
      <c r="E7720" s="25">
        <v>24.99</v>
      </c>
      <c r="F7720" s="379">
        <v>3.2727733956087586</v>
      </c>
      <c r="G7720" s="25">
        <v>44.74</v>
      </c>
      <c r="H7720" s="379">
        <v>2.4644097064148842</v>
      </c>
      <c r="I7720" s="25">
        <v>34.01</v>
      </c>
      <c r="J7720" s="379">
        <v>4.0984226902725053E-2</v>
      </c>
    </row>
    <row r="7721" spans="1:10" x14ac:dyDescent="0.35">
      <c r="A7721" s="5">
        <v>7717</v>
      </c>
      <c r="B7721" s="5">
        <v>322</v>
      </c>
      <c r="C7721" s="5">
        <v>11</v>
      </c>
      <c r="D7721" s="379">
        <v>44.508888888888897</v>
      </c>
      <c r="E7721" s="25">
        <v>24.84</v>
      </c>
      <c r="F7721" s="379">
        <v>3.2727733956087586</v>
      </c>
      <c r="G7721" s="25">
        <v>43.56</v>
      </c>
      <c r="H7721" s="379">
        <v>2.4644097064148842</v>
      </c>
      <c r="I7721" s="25">
        <v>33.67</v>
      </c>
      <c r="J7721" s="379">
        <v>4.0984226902725053E-2</v>
      </c>
    </row>
    <row r="7722" spans="1:10" x14ac:dyDescent="0.35">
      <c r="A7722" s="5">
        <v>7718</v>
      </c>
      <c r="B7722" s="5">
        <v>322</v>
      </c>
      <c r="C7722" s="5">
        <v>11</v>
      </c>
      <c r="D7722" s="379">
        <v>45.086111111111109</v>
      </c>
      <c r="E7722" s="25">
        <v>24.84</v>
      </c>
      <c r="F7722" s="379">
        <v>3.2727733956087586</v>
      </c>
      <c r="G7722" s="25">
        <v>39.92</v>
      </c>
      <c r="H7722" s="379">
        <v>0.72606250841223485</v>
      </c>
      <c r="I7722" s="25">
        <v>33.67</v>
      </c>
      <c r="J7722" s="379">
        <v>4.0984226902725053E-2</v>
      </c>
    </row>
    <row r="7723" spans="1:10" x14ac:dyDescent="0.35">
      <c r="A7723" s="5">
        <v>7719</v>
      </c>
      <c r="B7723" s="5">
        <v>322</v>
      </c>
      <c r="C7723" s="5">
        <v>11</v>
      </c>
      <c r="D7723" s="379">
        <v>45.813333333333333</v>
      </c>
      <c r="E7723" s="25">
        <v>24.84</v>
      </c>
      <c r="F7723" s="379">
        <v>3.2727733956087586</v>
      </c>
      <c r="G7723" s="25">
        <v>40.369999999999997</v>
      </c>
      <c r="H7723" s="379">
        <v>0.72606250841223485</v>
      </c>
      <c r="I7723" s="25">
        <v>33.67</v>
      </c>
      <c r="J7723" s="379">
        <v>4.0984226902725053E-2</v>
      </c>
    </row>
    <row r="7724" spans="1:10" x14ac:dyDescent="0.35">
      <c r="A7724" s="5">
        <v>7720</v>
      </c>
      <c r="B7724" s="5">
        <v>322</v>
      </c>
      <c r="C7724" s="5">
        <v>11</v>
      </c>
      <c r="D7724" s="379">
        <v>48.413888888888884</v>
      </c>
      <c r="E7724" s="25">
        <v>24.84</v>
      </c>
      <c r="F7724" s="379">
        <v>3.2727733956087586</v>
      </c>
      <c r="G7724" s="25">
        <v>42.42</v>
      </c>
      <c r="H7724" s="379">
        <v>2.4644097064148842</v>
      </c>
      <c r="I7724" s="25">
        <v>33.67</v>
      </c>
      <c r="J7724" s="379">
        <v>4.0984226902725053E-2</v>
      </c>
    </row>
    <row r="7725" spans="1:10" x14ac:dyDescent="0.35">
      <c r="A7725" s="5">
        <v>7721</v>
      </c>
      <c r="B7725" s="5">
        <v>322</v>
      </c>
      <c r="C7725" s="5">
        <v>11</v>
      </c>
      <c r="D7725" s="379">
        <v>50.756666666666661</v>
      </c>
      <c r="E7725" s="25">
        <v>24.99</v>
      </c>
      <c r="F7725" s="379">
        <v>7.2076329662036948E-2</v>
      </c>
      <c r="G7725" s="25">
        <v>44.69</v>
      </c>
      <c r="H7725" s="379">
        <v>2.4644097064148842</v>
      </c>
      <c r="I7725" s="25">
        <v>33.67</v>
      </c>
      <c r="J7725" s="379">
        <v>4.0984226902725053E-2</v>
      </c>
    </row>
    <row r="7726" spans="1:10" x14ac:dyDescent="0.35">
      <c r="A7726" s="5">
        <v>7722</v>
      </c>
      <c r="B7726" s="5">
        <v>322</v>
      </c>
      <c r="C7726" s="5">
        <v>11</v>
      </c>
      <c r="D7726" s="379">
        <v>56.611666666666665</v>
      </c>
      <c r="E7726" s="25">
        <v>25.74</v>
      </c>
      <c r="F7726" s="379">
        <v>6.027867034567274E-2</v>
      </c>
      <c r="G7726" s="25">
        <v>46.11</v>
      </c>
      <c r="H7726" s="379">
        <v>2.4644097064148842</v>
      </c>
      <c r="I7726" s="25">
        <v>34.01</v>
      </c>
      <c r="J7726" s="379">
        <v>0.11798867174138337</v>
      </c>
    </row>
    <row r="7727" spans="1:10" x14ac:dyDescent="0.35">
      <c r="A7727" s="5">
        <v>7723</v>
      </c>
      <c r="B7727" s="5">
        <v>322</v>
      </c>
      <c r="C7727" s="5">
        <v>11</v>
      </c>
      <c r="D7727" s="379">
        <v>53.133888888888883</v>
      </c>
      <c r="E7727" s="25">
        <v>25.74</v>
      </c>
      <c r="F7727" s="379">
        <v>5.9019627022230479E-2</v>
      </c>
      <c r="G7727" s="25">
        <v>46.11</v>
      </c>
      <c r="H7727" s="379">
        <v>2.4644097064148842</v>
      </c>
      <c r="I7727" s="25">
        <v>34.01</v>
      </c>
      <c r="J7727" s="379">
        <v>6.9261692780082776E-2</v>
      </c>
    </row>
    <row r="7728" spans="1:10" x14ac:dyDescent="0.35">
      <c r="A7728" s="5">
        <v>7724</v>
      </c>
      <c r="B7728" s="5">
        <v>322</v>
      </c>
      <c r="C7728" s="5">
        <v>11</v>
      </c>
      <c r="D7728" s="379">
        <v>47.937222222222225</v>
      </c>
      <c r="E7728" s="25">
        <v>25.59</v>
      </c>
      <c r="F7728" s="379">
        <v>6.1510869765052462E-2</v>
      </c>
      <c r="G7728" s="25">
        <v>44.69</v>
      </c>
      <c r="H7728" s="379">
        <v>2.4644097064148842</v>
      </c>
      <c r="I7728" s="25">
        <v>33.67</v>
      </c>
      <c r="J7728" s="379">
        <v>6.9261692780082776E-2</v>
      </c>
    </row>
    <row r="7729" spans="1:10" x14ac:dyDescent="0.35">
      <c r="A7729" s="5">
        <v>7725</v>
      </c>
      <c r="B7729" s="5">
        <v>322</v>
      </c>
      <c r="C7729" s="5">
        <v>11</v>
      </c>
      <c r="D7729" s="379">
        <v>43.346111111111107</v>
      </c>
      <c r="E7729" s="25">
        <v>24.99</v>
      </c>
      <c r="F7729" s="379">
        <v>6.1505179781230136E-2</v>
      </c>
      <c r="G7729" s="25">
        <v>42.17</v>
      </c>
      <c r="H7729" s="379">
        <v>2.4644097064148842</v>
      </c>
      <c r="I7729" s="25">
        <v>33.67</v>
      </c>
      <c r="J7729" s="379">
        <v>6.9261692780082776E-2</v>
      </c>
    </row>
    <row r="7730" spans="1:10" x14ac:dyDescent="0.35">
      <c r="A7730" s="5">
        <v>7726</v>
      </c>
      <c r="B7730" s="5">
        <v>322</v>
      </c>
      <c r="C7730" s="5">
        <v>11</v>
      </c>
      <c r="D7730" s="379">
        <v>41.225555555555552</v>
      </c>
      <c r="E7730" s="25">
        <v>24.84</v>
      </c>
      <c r="F7730" s="379">
        <v>3.2727733956087586</v>
      </c>
      <c r="G7730" s="25">
        <v>39.92</v>
      </c>
      <c r="H7730" s="379">
        <v>2.4644097064148842</v>
      </c>
      <c r="I7730" s="25">
        <v>33.67</v>
      </c>
      <c r="J7730" s="379">
        <v>6.9261692780082776E-2</v>
      </c>
    </row>
    <row r="7731" spans="1:10" x14ac:dyDescent="0.35">
      <c r="A7731" s="5">
        <v>7727</v>
      </c>
      <c r="B7731" s="5">
        <v>322</v>
      </c>
      <c r="C7731" s="5">
        <v>11</v>
      </c>
      <c r="D7731" s="379">
        <v>40.461666666666659</v>
      </c>
      <c r="E7731" s="25">
        <v>24.84</v>
      </c>
      <c r="F7731" s="379">
        <v>3.2727733956087586</v>
      </c>
      <c r="G7731" s="25">
        <v>30.91</v>
      </c>
      <c r="H7731" s="379">
        <v>2.4644097064148842</v>
      </c>
      <c r="I7731" s="25">
        <v>33.67</v>
      </c>
      <c r="J7731" s="379">
        <v>6.9261692780082776E-2</v>
      </c>
    </row>
    <row r="7732" spans="1:10" x14ac:dyDescent="0.35">
      <c r="A7732" s="5">
        <v>7728</v>
      </c>
      <c r="B7732" s="5">
        <v>322</v>
      </c>
      <c r="C7732" s="5">
        <v>11</v>
      </c>
      <c r="D7732" s="379">
        <v>40.381666666666668</v>
      </c>
      <c r="E7732" s="25">
        <v>24.73</v>
      </c>
      <c r="F7732" s="379">
        <v>3.2727733956087586</v>
      </c>
      <c r="G7732" s="25">
        <v>30.03</v>
      </c>
      <c r="H7732" s="379">
        <v>2.4644097064148842</v>
      </c>
      <c r="I7732" s="25">
        <v>33.67</v>
      </c>
      <c r="J7732" s="379">
        <v>3.9821492525308991E-2</v>
      </c>
    </row>
    <row r="7733" spans="1:10" x14ac:dyDescent="0.35">
      <c r="A7733" s="5">
        <v>7729</v>
      </c>
      <c r="B7733" s="5">
        <v>323</v>
      </c>
      <c r="C7733" s="5">
        <v>11</v>
      </c>
      <c r="D7733" s="379">
        <v>40.740555555555552</v>
      </c>
      <c r="E7733" s="25">
        <v>24</v>
      </c>
      <c r="F7733" s="379">
        <v>3.2727733956087586</v>
      </c>
      <c r="G7733" s="25">
        <v>30.03</v>
      </c>
      <c r="H7733" s="379">
        <v>2.4644097064148842</v>
      </c>
      <c r="I7733" s="25">
        <v>33.67</v>
      </c>
      <c r="J7733" s="379">
        <v>2.777777777777778E-2</v>
      </c>
    </row>
    <row r="7734" spans="1:10" x14ac:dyDescent="0.35">
      <c r="A7734" s="5">
        <v>7730</v>
      </c>
      <c r="B7734" s="5">
        <v>323</v>
      </c>
      <c r="C7734" s="5">
        <v>11</v>
      </c>
      <c r="D7734" s="379">
        <v>40.612222222222222</v>
      </c>
      <c r="E7734" s="25">
        <v>21.88</v>
      </c>
      <c r="F7734" s="379">
        <v>3.2727733956087586</v>
      </c>
      <c r="G7734" s="25">
        <v>30.03</v>
      </c>
      <c r="H7734" s="379">
        <v>2.4644097064148842</v>
      </c>
      <c r="I7734" s="25">
        <v>33.67</v>
      </c>
      <c r="J7734" s="379">
        <v>2.777777777777778E-2</v>
      </c>
    </row>
    <row r="7735" spans="1:10" x14ac:dyDescent="0.35">
      <c r="A7735" s="5">
        <v>7731</v>
      </c>
      <c r="B7735" s="5">
        <v>323</v>
      </c>
      <c r="C7735" s="5">
        <v>11</v>
      </c>
      <c r="D7735" s="379">
        <v>40.378333333333337</v>
      </c>
      <c r="E7735" s="25">
        <v>17.62</v>
      </c>
      <c r="F7735" s="379">
        <v>3.2727733956087586</v>
      </c>
      <c r="G7735" s="25">
        <v>30.03</v>
      </c>
      <c r="H7735" s="379">
        <v>2.4644097064148842</v>
      </c>
      <c r="I7735" s="25">
        <v>33.67</v>
      </c>
      <c r="J7735" s="379">
        <v>2.777777777777778E-2</v>
      </c>
    </row>
    <row r="7736" spans="1:10" x14ac:dyDescent="0.35">
      <c r="A7736" s="5">
        <v>7732</v>
      </c>
      <c r="B7736" s="5">
        <v>323</v>
      </c>
      <c r="C7736" s="5">
        <v>11</v>
      </c>
      <c r="D7736" s="379">
        <v>39.185555555555553</v>
      </c>
      <c r="E7736" s="25">
        <v>14.53</v>
      </c>
      <c r="F7736" s="379">
        <v>3.2727733956087586</v>
      </c>
      <c r="G7736" s="25">
        <v>30.03</v>
      </c>
      <c r="H7736" s="379">
        <v>2.4644097064148842</v>
      </c>
      <c r="I7736" s="25">
        <v>33.67</v>
      </c>
      <c r="J7736" s="379">
        <v>4.0984226902725053E-2</v>
      </c>
    </row>
    <row r="7737" spans="1:10" x14ac:dyDescent="0.35">
      <c r="A7737" s="5">
        <v>7733</v>
      </c>
      <c r="B7737" s="5">
        <v>323</v>
      </c>
      <c r="C7737" s="5">
        <v>11</v>
      </c>
      <c r="D7737" s="379">
        <v>38.602777777777774</v>
      </c>
      <c r="E7737" s="25">
        <v>15.82</v>
      </c>
      <c r="F7737" s="379">
        <v>3.2727733956087586</v>
      </c>
      <c r="G7737" s="25">
        <v>30.03</v>
      </c>
      <c r="H7737" s="379">
        <v>2.4644097064148842</v>
      </c>
      <c r="I7737" s="25">
        <v>33.67</v>
      </c>
      <c r="J7737" s="379">
        <v>4.0984226902725053E-2</v>
      </c>
    </row>
    <row r="7738" spans="1:10" x14ac:dyDescent="0.35">
      <c r="A7738" s="5">
        <v>7734</v>
      </c>
      <c r="B7738" s="5">
        <v>323</v>
      </c>
      <c r="C7738" s="5">
        <v>11</v>
      </c>
      <c r="D7738" s="379">
        <v>39.279444444444444</v>
      </c>
      <c r="E7738" s="25">
        <v>24.26</v>
      </c>
      <c r="F7738" s="379">
        <v>3.2727733956087586</v>
      </c>
      <c r="G7738" s="25">
        <v>30.03</v>
      </c>
      <c r="H7738" s="379">
        <v>2.4644097064148842</v>
      </c>
      <c r="I7738" s="25">
        <v>33.67</v>
      </c>
      <c r="J7738" s="379">
        <v>6.9261692780082776E-2</v>
      </c>
    </row>
    <row r="7739" spans="1:10" x14ac:dyDescent="0.35">
      <c r="A7739" s="5">
        <v>7735</v>
      </c>
      <c r="B7739" s="5">
        <v>323</v>
      </c>
      <c r="C7739" s="5">
        <v>11</v>
      </c>
      <c r="D7739" s="379">
        <v>41.005555555555567</v>
      </c>
      <c r="E7739" s="25">
        <v>24.84</v>
      </c>
      <c r="F7739" s="379">
        <v>3.2727733956087586</v>
      </c>
      <c r="G7739" s="25">
        <v>36.69</v>
      </c>
      <c r="H7739" s="379">
        <v>2.4644097064148842</v>
      </c>
      <c r="I7739" s="25">
        <v>33.67</v>
      </c>
      <c r="J7739" s="379">
        <v>6.9261692780082776E-2</v>
      </c>
    </row>
    <row r="7740" spans="1:10" x14ac:dyDescent="0.35">
      <c r="A7740" s="5">
        <v>7736</v>
      </c>
      <c r="B7740" s="5">
        <v>323</v>
      </c>
      <c r="C7740" s="5">
        <v>11</v>
      </c>
      <c r="D7740" s="379">
        <v>44.717777777777776</v>
      </c>
      <c r="E7740" s="25">
        <v>24.99</v>
      </c>
      <c r="F7740" s="379">
        <v>1.1790128493548655</v>
      </c>
      <c r="G7740" s="25">
        <v>42.17</v>
      </c>
      <c r="H7740" s="379">
        <v>2.4644097064148842</v>
      </c>
      <c r="I7740" s="25">
        <v>33.67</v>
      </c>
      <c r="J7740" s="379">
        <v>6.9261692780082776E-2</v>
      </c>
    </row>
    <row r="7741" spans="1:10" x14ac:dyDescent="0.35">
      <c r="A7741" s="5">
        <v>7737</v>
      </c>
      <c r="B7741" s="5">
        <v>323</v>
      </c>
      <c r="C7741" s="5">
        <v>11</v>
      </c>
      <c r="D7741" s="379">
        <v>49.626666666666665</v>
      </c>
      <c r="E7741" s="25">
        <v>25.29</v>
      </c>
      <c r="F7741" s="379">
        <v>3.2915005229412397</v>
      </c>
      <c r="G7741" s="25">
        <v>43.39</v>
      </c>
      <c r="H7741" s="379">
        <v>2.4644097064148842</v>
      </c>
      <c r="I7741" s="25">
        <v>33.67</v>
      </c>
      <c r="J7741" s="379">
        <v>6.9261692780082776E-2</v>
      </c>
    </row>
    <row r="7742" spans="1:10" x14ac:dyDescent="0.35">
      <c r="A7742" s="5">
        <v>7738</v>
      </c>
      <c r="B7742" s="5">
        <v>323</v>
      </c>
      <c r="C7742" s="5">
        <v>11</v>
      </c>
      <c r="D7742" s="379">
        <v>52.779444444444437</v>
      </c>
      <c r="E7742" s="25">
        <v>25.74</v>
      </c>
      <c r="F7742" s="379">
        <v>3.089628314994656</v>
      </c>
      <c r="G7742" s="25">
        <v>43.56</v>
      </c>
      <c r="H7742" s="379">
        <v>2.4644097064148842</v>
      </c>
      <c r="I7742" s="25">
        <v>33.67</v>
      </c>
      <c r="J7742" s="379">
        <v>4.0984226902725053E-2</v>
      </c>
    </row>
    <row r="7743" spans="1:10" x14ac:dyDescent="0.35">
      <c r="A7743" s="5">
        <v>7739</v>
      </c>
      <c r="B7743" s="5">
        <v>323</v>
      </c>
      <c r="C7743" s="5">
        <v>11</v>
      </c>
      <c r="D7743" s="379">
        <v>51.078333333333333</v>
      </c>
      <c r="E7743" s="25">
        <v>25.29</v>
      </c>
      <c r="F7743" s="379">
        <v>2.343956952115327</v>
      </c>
      <c r="G7743" s="25">
        <v>43.39</v>
      </c>
      <c r="H7743" s="379">
        <v>2.4644097064148842</v>
      </c>
      <c r="I7743" s="25">
        <v>33.67</v>
      </c>
      <c r="J7743" s="379">
        <v>4.0984226902725053E-2</v>
      </c>
    </row>
    <row r="7744" spans="1:10" x14ac:dyDescent="0.35">
      <c r="A7744" s="5">
        <v>7740</v>
      </c>
      <c r="B7744" s="5">
        <v>323</v>
      </c>
      <c r="C7744" s="5">
        <v>11</v>
      </c>
      <c r="D7744" s="379">
        <v>52.432222222222222</v>
      </c>
      <c r="E7744" s="25">
        <v>24.99</v>
      </c>
      <c r="F7744" s="379">
        <v>1.415578532559296</v>
      </c>
      <c r="G7744" s="25">
        <v>43.39</v>
      </c>
      <c r="H7744" s="379">
        <v>2.4644097064148842</v>
      </c>
      <c r="I7744" s="25">
        <v>33.67</v>
      </c>
      <c r="J7744" s="379">
        <v>4.0984226902725053E-2</v>
      </c>
    </row>
    <row r="7745" spans="1:10" x14ac:dyDescent="0.35">
      <c r="A7745" s="5">
        <v>7741</v>
      </c>
      <c r="B7745" s="5">
        <v>323</v>
      </c>
      <c r="C7745" s="5">
        <v>11</v>
      </c>
      <c r="D7745" s="379">
        <v>51.361111111111121</v>
      </c>
      <c r="E7745" s="25">
        <v>24.99</v>
      </c>
      <c r="F7745" s="379">
        <v>1.8925185610180726</v>
      </c>
      <c r="G7745" s="25">
        <v>42.6</v>
      </c>
      <c r="H7745" s="379">
        <v>2.4644097064148842</v>
      </c>
      <c r="I7745" s="25">
        <v>33.67</v>
      </c>
      <c r="J7745" s="379">
        <v>4.0984226902725053E-2</v>
      </c>
    </row>
    <row r="7746" spans="1:10" x14ac:dyDescent="0.35">
      <c r="A7746" s="5">
        <v>7742</v>
      </c>
      <c r="B7746" s="5">
        <v>323</v>
      </c>
      <c r="C7746" s="5">
        <v>11</v>
      </c>
      <c r="D7746" s="379">
        <v>52.151111111111106</v>
      </c>
      <c r="E7746" s="25">
        <v>24.99</v>
      </c>
      <c r="F7746" s="379">
        <v>3.1741665492175435</v>
      </c>
      <c r="G7746" s="25">
        <v>43.39</v>
      </c>
      <c r="H7746" s="379">
        <v>2.4644097064148842</v>
      </c>
      <c r="I7746" s="25">
        <v>34.01</v>
      </c>
      <c r="J7746" s="379">
        <v>4.0984226902725053E-2</v>
      </c>
    </row>
    <row r="7747" spans="1:10" x14ac:dyDescent="0.35">
      <c r="A7747" s="5">
        <v>7743</v>
      </c>
      <c r="B7747" s="5">
        <v>323</v>
      </c>
      <c r="C7747" s="5">
        <v>11</v>
      </c>
      <c r="D7747" s="379">
        <v>54.376111111111108</v>
      </c>
      <c r="E7747" s="25">
        <v>24.99</v>
      </c>
      <c r="F7747" s="379">
        <v>3.4483108433488545</v>
      </c>
      <c r="G7747" s="25">
        <v>43.72</v>
      </c>
      <c r="H7747" s="379">
        <v>2.4644097064148842</v>
      </c>
      <c r="I7747" s="25">
        <v>34.479999999999997</v>
      </c>
      <c r="J7747" s="379">
        <v>4.0984226902725053E-2</v>
      </c>
    </row>
    <row r="7748" spans="1:10" x14ac:dyDescent="0.35">
      <c r="A7748" s="5">
        <v>7744</v>
      </c>
      <c r="B7748" s="5">
        <v>323</v>
      </c>
      <c r="C7748" s="5">
        <v>11</v>
      </c>
      <c r="D7748" s="379">
        <v>56.366111111111117</v>
      </c>
      <c r="E7748" s="25">
        <v>24.99</v>
      </c>
      <c r="F7748" s="379">
        <v>2.8846645414843768</v>
      </c>
      <c r="G7748" s="25">
        <v>44.74</v>
      </c>
      <c r="H7748" s="379">
        <v>3.7826662967007394</v>
      </c>
      <c r="I7748" s="25">
        <v>48.86</v>
      </c>
      <c r="J7748" s="379">
        <v>0.19251291663283976</v>
      </c>
    </row>
    <row r="7749" spans="1:10" x14ac:dyDescent="0.35">
      <c r="A7749" s="5">
        <v>7745</v>
      </c>
      <c r="B7749" s="5">
        <v>323</v>
      </c>
      <c r="C7749" s="5">
        <v>11</v>
      </c>
      <c r="D7749" s="379">
        <v>62.314999999999998</v>
      </c>
      <c r="E7749" s="25">
        <v>26.51</v>
      </c>
      <c r="F7749" s="379">
        <v>4.5131550510835634</v>
      </c>
      <c r="G7749" s="25">
        <v>44.74</v>
      </c>
      <c r="H7749" s="379">
        <v>3.7826662967007394</v>
      </c>
      <c r="I7749" s="25">
        <v>50.13</v>
      </c>
      <c r="J7749" s="379">
        <v>0.14480167642852412</v>
      </c>
    </row>
    <row r="7750" spans="1:10" x14ac:dyDescent="0.35">
      <c r="A7750" s="5">
        <v>7746</v>
      </c>
      <c r="B7750" s="5">
        <v>323</v>
      </c>
      <c r="C7750" s="5">
        <v>11</v>
      </c>
      <c r="D7750" s="379">
        <v>68.348333333333329</v>
      </c>
      <c r="E7750" s="25">
        <v>27.75</v>
      </c>
      <c r="F7750" s="379">
        <v>4.3251309250114414</v>
      </c>
      <c r="G7750" s="25">
        <v>47.5</v>
      </c>
      <c r="H7750" s="379">
        <v>0.14480167642852412</v>
      </c>
      <c r="I7750" s="25">
        <v>53.71</v>
      </c>
      <c r="J7750" s="379">
        <v>0.14480167642852412</v>
      </c>
    </row>
    <row r="7751" spans="1:10" x14ac:dyDescent="0.35">
      <c r="A7751" s="5">
        <v>7747</v>
      </c>
      <c r="B7751" s="5">
        <v>323</v>
      </c>
      <c r="C7751" s="5">
        <v>11</v>
      </c>
      <c r="D7751" s="379">
        <v>66.552777777777777</v>
      </c>
      <c r="E7751" s="25">
        <v>27.75</v>
      </c>
      <c r="F7751" s="379">
        <v>4.9029766036006714</v>
      </c>
      <c r="G7751" s="25">
        <v>47.5</v>
      </c>
      <c r="H7751" s="379">
        <v>0.14480167642852412</v>
      </c>
      <c r="I7751" s="25">
        <v>53.71</v>
      </c>
      <c r="J7751" s="379">
        <v>0.14480167642852412</v>
      </c>
    </row>
    <row r="7752" spans="1:10" x14ac:dyDescent="0.35">
      <c r="A7752" s="5">
        <v>7748</v>
      </c>
      <c r="B7752" s="5">
        <v>323</v>
      </c>
      <c r="C7752" s="5">
        <v>11</v>
      </c>
      <c r="D7752" s="379">
        <v>62.207222222222221</v>
      </c>
      <c r="E7752" s="25">
        <v>26.51</v>
      </c>
      <c r="F7752" s="379">
        <v>4.9128672184301152</v>
      </c>
      <c r="G7752" s="25">
        <v>44.74</v>
      </c>
      <c r="H7752" s="379">
        <v>0.72846978422401509</v>
      </c>
      <c r="I7752" s="25">
        <v>48.86</v>
      </c>
      <c r="J7752" s="379">
        <v>0.14480167642852412</v>
      </c>
    </row>
    <row r="7753" spans="1:10" x14ac:dyDescent="0.35">
      <c r="A7753" s="5">
        <v>7749</v>
      </c>
      <c r="B7753" s="5">
        <v>323</v>
      </c>
      <c r="C7753" s="5">
        <v>11</v>
      </c>
      <c r="D7753" s="379">
        <v>59.975000000000009</v>
      </c>
      <c r="E7753" s="25">
        <v>24.99</v>
      </c>
      <c r="F7753" s="379">
        <v>4.114916792801675</v>
      </c>
      <c r="G7753" s="25">
        <v>44.74</v>
      </c>
      <c r="H7753" s="379">
        <v>3.7944600396144161</v>
      </c>
      <c r="I7753" s="25">
        <v>48.86</v>
      </c>
      <c r="J7753" s="379">
        <v>0.14480167642852412</v>
      </c>
    </row>
    <row r="7754" spans="1:10" x14ac:dyDescent="0.35">
      <c r="A7754" s="5">
        <v>7750</v>
      </c>
      <c r="B7754" s="5">
        <v>323</v>
      </c>
      <c r="C7754" s="5">
        <v>11</v>
      </c>
      <c r="D7754" s="379">
        <v>57.943888888888893</v>
      </c>
      <c r="E7754" s="25">
        <v>24.84</v>
      </c>
      <c r="F7754" s="379">
        <v>3.1496696457478719</v>
      </c>
      <c r="G7754" s="25">
        <v>44.69</v>
      </c>
      <c r="H7754" s="379">
        <v>3.7944600396144161</v>
      </c>
      <c r="I7754" s="25">
        <v>45.49</v>
      </c>
      <c r="J7754" s="379">
        <v>0.14480167642852412</v>
      </c>
    </row>
    <row r="7755" spans="1:10" x14ac:dyDescent="0.35">
      <c r="A7755" s="5">
        <v>7751</v>
      </c>
      <c r="B7755" s="5">
        <v>323</v>
      </c>
      <c r="C7755" s="5">
        <v>11</v>
      </c>
      <c r="D7755" s="379">
        <v>55.303333333333327</v>
      </c>
      <c r="E7755" s="25">
        <v>24.99</v>
      </c>
      <c r="F7755" s="379">
        <v>2.9281836574516436</v>
      </c>
      <c r="G7755" s="25">
        <v>44.45</v>
      </c>
      <c r="H7755" s="379">
        <v>0.40436347349259916</v>
      </c>
      <c r="I7755" s="25">
        <v>48.86</v>
      </c>
      <c r="J7755" s="379">
        <v>1.4935801949846332</v>
      </c>
    </row>
    <row r="7756" spans="1:10" x14ac:dyDescent="0.35">
      <c r="A7756" s="5">
        <v>7752</v>
      </c>
      <c r="B7756" s="5">
        <v>323</v>
      </c>
      <c r="C7756" s="5">
        <v>11</v>
      </c>
      <c r="D7756" s="379">
        <v>52.945555555555551</v>
      </c>
      <c r="E7756" s="25">
        <v>24.84</v>
      </c>
      <c r="F7756" s="379">
        <v>0.17973441596887421</v>
      </c>
      <c r="G7756" s="25">
        <v>44.24</v>
      </c>
      <c r="H7756" s="379">
        <v>0.59409418232495026</v>
      </c>
      <c r="I7756" s="25">
        <v>45.49</v>
      </c>
      <c r="J7756" s="379">
        <v>1.3605549470073204</v>
      </c>
    </row>
    <row r="7757" spans="1:10" x14ac:dyDescent="0.35">
      <c r="A7757" s="5">
        <v>7753</v>
      </c>
      <c r="B7757" s="5">
        <v>324</v>
      </c>
      <c r="C7757" s="5">
        <v>11</v>
      </c>
      <c r="D7757" s="379">
        <v>54.44166666666667</v>
      </c>
      <c r="E7757" s="25">
        <v>24.84</v>
      </c>
      <c r="F7757" s="379">
        <v>0.17973441596887421</v>
      </c>
      <c r="G7757" s="25">
        <v>37.299999999999997</v>
      </c>
      <c r="H7757" s="379">
        <v>9.5635933027081815E-2</v>
      </c>
      <c r="I7757" s="25">
        <v>45.88</v>
      </c>
      <c r="J7757" s="379">
        <v>1.3605549470073204</v>
      </c>
    </row>
    <row r="7758" spans="1:10" x14ac:dyDescent="0.35">
      <c r="A7758" s="5">
        <v>7754</v>
      </c>
      <c r="B7758" s="5">
        <v>324</v>
      </c>
      <c r="C7758" s="5">
        <v>11</v>
      </c>
      <c r="D7758" s="379">
        <v>52.328888888888876</v>
      </c>
      <c r="E7758" s="25">
        <v>24.84</v>
      </c>
      <c r="F7758" s="379">
        <v>0.17973441596887421</v>
      </c>
      <c r="G7758" s="25">
        <v>37.299999999999997</v>
      </c>
      <c r="H7758" s="379">
        <v>0.69409287514890183</v>
      </c>
      <c r="I7758" s="25">
        <v>45.88</v>
      </c>
      <c r="J7758" s="379">
        <v>1.3605549470073204</v>
      </c>
    </row>
    <row r="7759" spans="1:10" x14ac:dyDescent="0.35">
      <c r="A7759" s="5">
        <v>7755</v>
      </c>
      <c r="B7759" s="5">
        <v>324</v>
      </c>
      <c r="C7759" s="5">
        <v>11</v>
      </c>
      <c r="D7759" s="379">
        <v>51.26</v>
      </c>
      <c r="E7759" s="25">
        <v>24.84</v>
      </c>
      <c r="F7759" s="379">
        <v>0.17973441596887421</v>
      </c>
      <c r="G7759" s="25">
        <v>35.1</v>
      </c>
      <c r="H7759" s="379">
        <v>0.56949503635054444</v>
      </c>
      <c r="I7759" s="25">
        <v>45.88</v>
      </c>
      <c r="J7759" s="379">
        <v>1.3605549470073204</v>
      </c>
    </row>
    <row r="7760" spans="1:10" x14ac:dyDescent="0.35">
      <c r="A7760" s="5">
        <v>7756</v>
      </c>
      <c r="B7760" s="5">
        <v>324</v>
      </c>
      <c r="C7760" s="5">
        <v>11</v>
      </c>
      <c r="D7760" s="379">
        <v>50.083333333333336</v>
      </c>
      <c r="E7760" s="25">
        <v>24.84</v>
      </c>
      <c r="F7760" s="379">
        <v>0.17973441596887421</v>
      </c>
      <c r="G7760" s="25">
        <v>34.15</v>
      </c>
      <c r="H7760" s="379">
        <v>0.61523416561640087</v>
      </c>
      <c r="I7760" s="25">
        <v>45.88</v>
      </c>
      <c r="J7760" s="379">
        <v>1.3605549470073204</v>
      </c>
    </row>
    <row r="7761" spans="1:10" x14ac:dyDescent="0.35">
      <c r="A7761" s="5">
        <v>7757</v>
      </c>
      <c r="B7761" s="5">
        <v>324</v>
      </c>
      <c r="C7761" s="5">
        <v>11</v>
      </c>
      <c r="D7761" s="379">
        <v>51.577777777777776</v>
      </c>
      <c r="E7761" s="25">
        <v>24.84</v>
      </c>
      <c r="F7761" s="379">
        <v>0.31250151101068269</v>
      </c>
      <c r="G7761" s="25">
        <v>34.15</v>
      </c>
      <c r="H7761" s="379">
        <v>3.9637720565140762E-2</v>
      </c>
      <c r="I7761" s="25">
        <v>45.88</v>
      </c>
      <c r="J7761" s="379">
        <v>1.3720989736552716</v>
      </c>
    </row>
    <row r="7762" spans="1:10" x14ac:dyDescent="0.35">
      <c r="A7762" s="5">
        <v>7758</v>
      </c>
      <c r="B7762" s="5">
        <v>324</v>
      </c>
      <c r="C7762" s="5">
        <v>11</v>
      </c>
      <c r="D7762" s="379">
        <v>51.971666666666671</v>
      </c>
      <c r="E7762" s="25">
        <v>24.84</v>
      </c>
      <c r="F7762" s="379">
        <v>0.47222222222222221</v>
      </c>
      <c r="G7762" s="25">
        <v>35.85</v>
      </c>
      <c r="H7762" s="379">
        <v>3.9361118256071748E-2</v>
      </c>
      <c r="I7762" s="25">
        <v>45.88</v>
      </c>
      <c r="J7762" s="379">
        <v>0.27777777777777779</v>
      </c>
    </row>
    <row r="7763" spans="1:10" x14ac:dyDescent="0.35">
      <c r="A7763" s="5">
        <v>7759</v>
      </c>
      <c r="B7763" s="5">
        <v>324</v>
      </c>
      <c r="C7763" s="5">
        <v>11</v>
      </c>
      <c r="D7763" s="379">
        <v>53.541666666666671</v>
      </c>
      <c r="E7763" s="25">
        <v>24.84</v>
      </c>
      <c r="F7763" s="379">
        <v>8.1174834595959577</v>
      </c>
      <c r="G7763" s="25">
        <v>37.299999999999997</v>
      </c>
      <c r="H7763" s="379">
        <v>3.2435828818231949</v>
      </c>
      <c r="I7763" s="25">
        <v>45.88</v>
      </c>
      <c r="J7763" s="379">
        <v>4.7139211692318739</v>
      </c>
    </row>
    <row r="7764" spans="1:10" x14ac:dyDescent="0.35">
      <c r="A7764" s="5">
        <v>7760</v>
      </c>
      <c r="B7764" s="5">
        <v>324</v>
      </c>
      <c r="C7764" s="5">
        <v>11</v>
      </c>
      <c r="D7764" s="379">
        <v>53.365555555555559</v>
      </c>
      <c r="E7764" s="25">
        <v>24.84</v>
      </c>
      <c r="F7764" s="379">
        <v>8.1174834595959577</v>
      </c>
      <c r="G7764" s="25">
        <v>38.61</v>
      </c>
      <c r="H7764" s="379">
        <v>5.5382304373320412</v>
      </c>
      <c r="I7764" s="25">
        <v>46.34</v>
      </c>
      <c r="J7764" s="379">
        <v>5.646923155274628</v>
      </c>
    </row>
    <row r="7765" spans="1:10" x14ac:dyDescent="0.35">
      <c r="A7765" s="5">
        <v>7761</v>
      </c>
      <c r="B7765" s="5">
        <v>324</v>
      </c>
      <c r="C7765" s="5">
        <v>11</v>
      </c>
      <c r="D7765" s="379">
        <v>51.139444444444443</v>
      </c>
      <c r="E7765" s="25">
        <v>24.99</v>
      </c>
      <c r="F7765" s="379">
        <v>9.6939804751990302</v>
      </c>
      <c r="G7765" s="25">
        <v>44.74</v>
      </c>
      <c r="H7765" s="379">
        <v>7.7739517740711888</v>
      </c>
      <c r="I7765" s="25">
        <v>48.86</v>
      </c>
      <c r="J7765" s="379">
        <v>6.3452121669896187</v>
      </c>
    </row>
    <row r="7766" spans="1:10" x14ac:dyDescent="0.35">
      <c r="A7766" s="5">
        <v>7762</v>
      </c>
      <c r="B7766" s="5">
        <v>324</v>
      </c>
      <c r="C7766" s="5">
        <v>11</v>
      </c>
      <c r="D7766" s="379">
        <v>54.433333333333323</v>
      </c>
      <c r="E7766" s="25">
        <v>24.99</v>
      </c>
      <c r="F7766" s="379">
        <v>9.2947139928348026</v>
      </c>
      <c r="G7766" s="25">
        <v>44.74</v>
      </c>
      <c r="H7766" s="379">
        <v>7.7549103619506736</v>
      </c>
      <c r="I7766" s="25">
        <v>50.13</v>
      </c>
      <c r="J7766" s="379">
        <v>6.1645931779147869</v>
      </c>
    </row>
    <row r="7767" spans="1:10" x14ac:dyDescent="0.35">
      <c r="A7767" s="5">
        <v>7763</v>
      </c>
      <c r="B7767" s="5">
        <v>324</v>
      </c>
      <c r="C7767" s="5">
        <v>11</v>
      </c>
      <c r="D7767" s="379">
        <v>55.099999999999994</v>
      </c>
      <c r="E7767" s="25">
        <v>24.99</v>
      </c>
      <c r="F7767" s="379">
        <v>8.8283695355453258</v>
      </c>
      <c r="G7767" s="25">
        <v>44.74</v>
      </c>
      <c r="H7767" s="379">
        <v>6.7131898346245222</v>
      </c>
      <c r="I7767" s="25">
        <v>46.78</v>
      </c>
      <c r="J7767" s="379">
        <v>5.2634730523283952</v>
      </c>
    </row>
    <row r="7768" spans="1:10" x14ac:dyDescent="0.35">
      <c r="A7768" s="5">
        <v>7764</v>
      </c>
      <c r="B7768" s="5">
        <v>324</v>
      </c>
      <c r="C7768" s="5">
        <v>11</v>
      </c>
      <c r="D7768" s="379">
        <v>55.797777777777775</v>
      </c>
      <c r="E7768" s="25">
        <v>24.99</v>
      </c>
      <c r="F7768" s="379">
        <v>9.177077950552917</v>
      </c>
      <c r="G7768" s="25">
        <v>44.74</v>
      </c>
      <c r="H7768" s="379">
        <v>9.7514138643081107</v>
      </c>
      <c r="I7768" s="25">
        <v>46.78</v>
      </c>
      <c r="J7768" s="379">
        <v>6.3623790305402874</v>
      </c>
    </row>
    <row r="7769" spans="1:10" x14ac:dyDescent="0.35">
      <c r="A7769" s="5">
        <v>7765</v>
      </c>
      <c r="B7769" s="5">
        <v>324</v>
      </c>
      <c r="C7769" s="5">
        <v>11</v>
      </c>
      <c r="D7769" s="379">
        <v>53.614444444444445</v>
      </c>
      <c r="E7769" s="25">
        <v>24.99</v>
      </c>
      <c r="F7769" s="379">
        <v>9.1714332175040294</v>
      </c>
      <c r="G7769" s="25">
        <v>44.74</v>
      </c>
      <c r="H7769" s="379">
        <v>9.8886487767771722</v>
      </c>
      <c r="I7769" s="25">
        <v>47.25</v>
      </c>
      <c r="J7769" s="379">
        <v>6.4101765387465566</v>
      </c>
    </row>
    <row r="7770" spans="1:10" x14ac:dyDescent="0.35">
      <c r="A7770" s="5">
        <v>7766</v>
      </c>
      <c r="B7770" s="5">
        <v>324</v>
      </c>
      <c r="C7770" s="5">
        <v>11</v>
      </c>
      <c r="D7770" s="379">
        <v>53.030555555555551</v>
      </c>
      <c r="E7770" s="25">
        <v>24.99</v>
      </c>
      <c r="F7770" s="379">
        <v>9.1025817962077742</v>
      </c>
      <c r="G7770" s="25">
        <v>44.69</v>
      </c>
      <c r="H7770" s="379">
        <v>8.2305604246787514</v>
      </c>
      <c r="I7770" s="25">
        <v>48.67</v>
      </c>
      <c r="J7770" s="379">
        <v>4.7124128788621604</v>
      </c>
    </row>
    <row r="7771" spans="1:10" x14ac:dyDescent="0.35">
      <c r="A7771" s="5">
        <v>7767</v>
      </c>
      <c r="B7771" s="5">
        <v>324</v>
      </c>
      <c r="C7771" s="5">
        <v>11</v>
      </c>
      <c r="D7771" s="379">
        <v>54.349444444444444</v>
      </c>
      <c r="E7771" s="25">
        <v>24.84</v>
      </c>
      <c r="F7771" s="379">
        <v>9.2728409280243245</v>
      </c>
      <c r="G7771" s="25">
        <v>43.56</v>
      </c>
      <c r="H7771" s="379">
        <v>6.6311118319959714</v>
      </c>
      <c r="I7771" s="25">
        <v>48.67</v>
      </c>
      <c r="J7771" s="379">
        <v>4.8230040169117769</v>
      </c>
    </row>
    <row r="7772" spans="1:10" x14ac:dyDescent="0.35">
      <c r="A7772" s="5">
        <v>7768</v>
      </c>
      <c r="B7772" s="5">
        <v>324</v>
      </c>
      <c r="C7772" s="5">
        <v>11</v>
      </c>
      <c r="D7772" s="379">
        <v>57.359444444444442</v>
      </c>
      <c r="E7772" s="25">
        <v>25.29</v>
      </c>
      <c r="F7772" s="379">
        <v>15.172968141825937</v>
      </c>
      <c r="G7772" s="25">
        <v>44.77</v>
      </c>
      <c r="H7772" s="379">
        <v>6.7387957670466525</v>
      </c>
      <c r="I7772" s="25">
        <v>48.86</v>
      </c>
      <c r="J7772" s="379">
        <v>5.476247202123627</v>
      </c>
    </row>
    <row r="7773" spans="1:10" x14ac:dyDescent="0.35">
      <c r="A7773" s="5">
        <v>7769</v>
      </c>
      <c r="B7773" s="5">
        <v>324</v>
      </c>
      <c r="C7773" s="5">
        <v>11</v>
      </c>
      <c r="D7773" s="379">
        <v>61.235555555555557</v>
      </c>
      <c r="E7773" s="25">
        <v>25.59</v>
      </c>
      <c r="F7773" s="379">
        <v>16.750359391746038</v>
      </c>
      <c r="G7773" s="25">
        <v>44.77</v>
      </c>
      <c r="H7773" s="379">
        <v>8.3518413470310993</v>
      </c>
      <c r="I7773" s="25">
        <v>51.76</v>
      </c>
      <c r="J7773" s="379">
        <v>5.476247202123627</v>
      </c>
    </row>
    <row r="7774" spans="1:10" x14ac:dyDescent="0.35">
      <c r="A7774" s="5">
        <v>7770</v>
      </c>
      <c r="B7774" s="5">
        <v>324</v>
      </c>
      <c r="C7774" s="5">
        <v>11</v>
      </c>
      <c r="D7774" s="379">
        <v>66.377777777777766</v>
      </c>
      <c r="E7774" s="25">
        <v>27.3</v>
      </c>
      <c r="F7774" s="379">
        <v>16.262214849598976</v>
      </c>
      <c r="G7774" s="25">
        <v>47.85</v>
      </c>
      <c r="H7774" s="379">
        <v>8.1449312431747369</v>
      </c>
      <c r="I7774" s="25">
        <v>59.85</v>
      </c>
      <c r="J7774" s="379">
        <v>6.2046902009887459</v>
      </c>
    </row>
    <row r="7775" spans="1:10" x14ac:dyDescent="0.35">
      <c r="A7775" s="5">
        <v>7771</v>
      </c>
      <c r="B7775" s="5">
        <v>324</v>
      </c>
      <c r="C7775" s="5">
        <v>11</v>
      </c>
      <c r="D7775" s="379">
        <v>65.105555555555554</v>
      </c>
      <c r="E7775" s="25">
        <v>26.51</v>
      </c>
      <c r="F7775" s="379">
        <v>15.30448321708702</v>
      </c>
      <c r="G7775" s="25">
        <v>47.85</v>
      </c>
      <c r="H7775" s="379">
        <v>7.6203964617099782</v>
      </c>
      <c r="I7775" s="25">
        <v>64.14</v>
      </c>
      <c r="J7775" s="379">
        <v>6.0761287714447274</v>
      </c>
    </row>
    <row r="7776" spans="1:10" x14ac:dyDescent="0.35">
      <c r="A7776" s="5">
        <v>7772</v>
      </c>
      <c r="B7776" s="5">
        <v>324</v>
      </c>
      <c r="C7776" s="5">
        <v>11</v>
      </c>
      <c r="D7776" s="379">
        <v>62.477222222222217</v>
      </c>
      <c r="E7776" s="25">
        <v>26.35</v>
      </c>
      <c r="F7776" s="379">
        <v>17.70770450465211</v>
      </c>
      <c r="G7776" s="25">
        <v>46.03</v>
      </c>
      <c r="H7776" s="379">
        <v>8.4745423729419009</v>
      </c>
      <c r="I7776" s="25">
        <v>55.66</v>
      </c>
      <c r="J7776" s="379">
        <v>6.0315452390096507</v>
      </c>
    </row>
    <row r="7777" spans="1:10" x14ac:dyDescent="0.35">
      <c r="A7777" s="5">
        <v>7773</v>
      </c>
      <c r="B7777" s="5">
        <v>324</v>
      </c>
      <c r="C7777" s="5">
        <v>11</v>
      </c>
      <c r="D7777" s="379">
        <v>57.792777777777779</v>
      </c>
      <c r="E7777" s="25">
        <v>25.29</v>
      </c>
      <c r="F7777" s="379">
        <v>17.920673807555414</v>
      </c>
      <c r="G7777" s="25">
        <v>44.77</v>
      </c>
      <c r="H7777" s="379">
        <v>8.4621923956985459</v>
      </c>
      <c r="I7777" s="25">
        <v>53.51</v>
      </c>
      <c r="J7777" s="379">
        <v>5.6740955509037745</v>
      </c>
    </row>
    <row r="7778" spans="1:10" x14ac:dyDescent="0.35">
      <c r="A7778" s="5">
        <v>7774</v>
      </c>
      <c r="B7778" s="5">
        <v>324</v>
      </c>
      <c r="C7778" s="5">
        <v>11</v>
      </c>
      <c r="D7778" s="379">
        <v>54.086111111111101</v>
      </c>
      <c r="E7778" s="25">
        <v>24.99</v>
      </c>
      <c r="F7778" s="379">
        <v>16.422100631023635</v>
      </c>
      <c r="G7778" s="25">
        <v>43.56</v>
      </c>
      <c r="H7778" s="379">
        <v>8.6190238848823597</v>
      </c>
      <c r="I7778" s="25">
        <v>48.86</v>
      </c>
      <c r="J7778" s="379">
        <v>4.760141786306499</v>
      </c>
    </row>
    <row r="7779" spans="1:10" x14ac:dyDescent="0.35">
      <c r="A7779" s="5">
        <v>7775</v>
      </c>
      <c r="B7779" s="5">
        <v>324</v>
      </c>
      <c r="C7779" s="5">
        <v>11</v>
      </c>
      <c r="D7779" s="379">
        <v>52.252222222222223</v>
      </c>
      <c r="E7779" s="25">
        <v>24.99</v>
      </c>
      <c r="F7779" s="379">
        <v>15.970409072874279</v>
      </c>
      <c r="G7779" s="25">
        <v>43.56</v>
      </c>
      <c r="H7779" s="379">
        <v>8.4225339569783078</v>
      </c>
      <c r="I7779" s="25">
        <v>48.86</v>
      </c>
      <c r="J7779" s="379">
        <v>6.5255168283979224</v>
      </c>
    </row>
    <row r="7780" spans="1:10" x14ac:dyDescent="0.35">
      <c r="A7780" s="5">
        <v>7776</v>
      </c>
      <c r="B7780" s="5">
        <v>324</v>
      </c>
      <c r="C7780" s="5">
        <v>11</v>
      </c>
      <c r="D7780" s="379">
        <v>45.984444444444449</v>
      </c>
      <c r="E7780" s="25">
        <v>24.84</v>
      </c>
      <c r="F7780" s="379">
        <v>11.804227931601602</v>
      </c>
      <c r="G7780" s="25">
        <v>39.770000000000003</v>
      </c>
      <c r="H7780" s="379">
        <v>8.2845567765825088</v>
      </c>
      <c r="I7780" s="25">
        <v>47.44</v>
      </c>
      <c r="J7780" s="379">
        <v>6.5301488300702717</v>
      </c>
    </row>
    <row r="7781" spans="1:10" x14ac:dyDescent="0.35">
      <c r="A7781" s="5">
        <v>7777</v>
      </c>
      <c r="B7781" s="5">
        <v>325</v>
      </c>
      <c r="C7781" s="5">
        <v>11</v>
      </c>
      <c r="D7781" s="379">
        <v>41.184999999999995</v>
      </c>
      <c r="E7781" s="25">
        <v>24.84</v>
      </c>
      <c r="F7781" s="379">
        <v>11.492373334331752</v>
      </c>
      <c r="G7781" s="25">
        <v>38.049999999999997</v>
      </c>
      <c r="H7781" s="379">
        <v>9.1343536387268269</v>
      </c>
      <c r="I7781" s="25">
        <v>35.69</v>
      </c>
      <c r="J7781" s="379">
        <v>6.8621947619977792</v>
      </c>
    </row>
    <row r="7782" spans="1:10" x14ac:dyDescent="0.35">
      <c r="A7782" s="5">
        <v>7778</v>
      </c>
      <c r="B7782" s="5">
        <v>325</v>
      </c>
      <c r="C7782" s="5">
        <v>11</v>
      </c>
      <c r="D7782" s="379">
        <v>42.12555555555555</v>
      </c>
      <c r="E7782" s="25">
        <v>24.84</v>
      </c>
      <c r="F7782" s="379">
        <v>9.5768899397158691</v>
      </c>
      <c r="G7782" s="25">
        <v>38.049999999999997</v>
      </c>
      <c r="H7782" s="379">
        <v>9.5914270371311474</v>
      </c>
      <c r="I7782" s="25">
        <v>35.33</v>
      </c>
      <c r="J7782" s="379">
        <v>6.7615029289399828</v>
      </c>
    </row>
    <row r="7783" spans="1:10" x14ac:dyDescent="0.35">
      <c r="A7783" s="5">
        <v>7779</v>
      </c>
      <c r="B7783" s="5">
        <v>325</v>
      </c>
      <c r="C7783" s="5">
        <v>11</v>
      </c>
      <c r="D7783" s="379">
        <v>43.906666666666673</v>
      </c>
      <c r="E7783" s="25">
        <v>23.59</v>
      </c>
      <c r="F7783" s="379">
        <v>9.941572186025077</v>
      </c>
      <c r="G7783" s="25">
        <v>38.049999999999997</v>
      </c>
      <c r="H7783" s="379">
        <v>9.4989412835848697</v>
      </c>
      <c r="I7783" s="25">
        <v>34.68</v>
      </c>
      <c r="J7783" s="379">
        <v>6.7593612271581032</v>
      </c>
    </row>
    <row r="7784" spans="1:10" x14ac:dyDescent="0.35">
      <c r="A7784" s="5">
        <v>7780</v>
      </c>
      <c r="B7784" s="5">
        <v>325</v>
      </c>
      <c r="C7784" s="5">
        <v>11</v>
      </c>
      <c r="D7784" s="379">
        <v>42.273333333333341</v>
      </c>
      <c r="E7784" s="25">
        <v>23.59</v>
      </c>
      <c r="F7784" s="379">
        <v>12.274450814611313</v>
      </c>
      <c r="G7784" s="25">
        <v>38.049999999999997</v>
      </c>
      <c r="H7784" s="379">
        <v>9.2200984462141857</v>
      </c>
      <c r="I7784" s="25">
        <v>34.68</v>
      </c>
      <c r="J7784" s="379">
        <v>6.7833667919092937</v>
      </c>
    </row>
    <row r="7785" spans="1:10" x14ac:dyDescent="0.35">
      <c r="A7785" s="5">
        <v>7781</v>
      </c>
      <c r="B7785" s="5">
        <v>325</v>
      </c>
      <c r="C7785" s="5">
        <v>11</v>
      </c>
      <c r="D7785" s="379">
        <v>42.818888888888885</v>
      </c>
      <c r="E7785" s="25">
        <v>23.59</v>
      </c>
      <c r="F7785" s="379">
        <v>11.506017452239114</v>
      </c>
      <c r="G7785" s="25">
        <v>38.049999999999997</v>
      </c>
      <c r="H7785" s="379">
        <v>8.9502581026959884</v>
      </c>
      <c r="I7785" s="25">
        <v>35.33</v>
      </c>
      <c r="J7785" s="379">
        <v>6.7439042351986993</v>
      </c>
    </row>
    <row r="7786" spans="1:10" x14ac:dyDescent="0.35">
      <c r="A7786" s="5">
        <v>7782</v>
      </c>
      <c r="B7786" s="5">
        <v>325</v>
      </c>
      <c r="C7786" s="5">
        <v>11</v>
      </c>
      <c r="D7786" s="379">
        <v>44.327222222222211</v>
      </c>
      <c r="E7786" s="25">
        <v>23.59</v>
      </c>
      <c r="F7786" s="379">
        <v>11.310538235122113</v>
      </c>
      <c r="G7786" s="25">
        <v>38.049999999999997</v>
      </c>
      <c r="H7786" s="379">
        <v>8.18716648859108</v>
      </c>
      <c r="I7786" s="25">
        <v>35.33</v>
      </c>
      <c r="J7786" s="379">
        <v>5.8203324850722877</v>
      </c>
    </row>
    <row r="7787" spans="1:10" x14ac:dyDescent="0.35">
      <c r="A7787" s="5">
        <v>7783</v>
      </c>
      <c r="B7787" s="5">
        <v>325</v>
      </c>
      <c r="C7787" s="5">
        <v>11</v>
      </c>
      <c r="D7787" s="379">
        <v>59.637777777777778</v>
      </c>
      <c r="E7787" s="25">
        <v>24.84</v>
      </c>
      <c r="F7787" s="379">
        <v>10.801841842532896</v>
      </c>
      <c r="G7787" s="25">
        <v>38.049999999999997</v>
      </c>
      <c r="H7787" s="379">
        <v>8.0835814851958698</v>
      </c>
      <c r="I7787" s="25">
        <v>35.33</v>
      </c>
      <c r="J7787" s="379">
        <v>5.3531195407710879</v>
      </c>
    </row>
    <row r="7788" spans="1:10" x14ac:dyDescent="0.35">
      <c r="A7788" s="5">
        <v>7784</v>
      </c>
      <c r="B7788" s="5">
        <v>325</v>
      </c>
      <c r="C7788" s="5">
        <v>11</v>
      </c>
      <c r="D7788" s="379">
        <v>67.246111111111091</v>
      </c>
      <c r="E7788" s="25">
        <v>24.84</v>
      </c>
      <c r="F7788" s="379">
        <v>11.76763682660992</v>
      </c>
      <c r="G7788" s="25">
        <v>38.049999999999997</v>
      </c>
      <c r="H7788" s="379">
        <v>8.4709392854538343</v>
      </c>
      <c r="I7788" s="25">
        <v>35.33</v>
      </c>
      <c r="J7788" s="379">
        <v>5.7787727210145023</v>
      </c>
    </row>
    <row r="7789" spans="1:10" x14ac:dyDescent="0.35">
      <c r="A7789" s="5">
        <v>7785</v>
      </c>
      <c r="B7789" s="5">
        <v>325</v>
      </c>
      <c r="C7789" s="5">
        <v>11</v>
      </c>
      <c r="D7789" s="379">
        <v>75.602777777777774</v>
      </c>
      <c r="E7789" s="25">
        <v>24.84</v>
      </c>
      <c r="F7789" s="379">
        <v>12.148584447072153</v>
      </c>
      <c r="G7789" s="25">
        <v>38.049999999999997</v>
      </c>
      <c r="H7789" s="379">
        <v>8.3602409128824444</v>
      </c>
      <c r="I7789" s="25">
        <v>35.69</v>
      </c>
      <c r="J7789" s="379">
        <v>1.1031254896406915</v>
      </c>
    </row>
    <row r="7790" spans="1:10" x14ac:dyDescent="0.35">
      <c r="A7790" s="5">
        <v>7786</v>
      </c>
      <c r="B7790" s="5">
        <v>325</v>
      </c>
      <c r="C7790" s="5">
        <v>11</v>
      </c>
      <c r="D7790" s="379">
        <v>73.916111111111093</v>
      </c>
      <c r="E7790" s="25">
        <v>24.84</v>
      </c>
      <c r="F7790" s="379">
        <v>12.878551845280235</v>
      </c>
      <c r="G7790" s="25">
        <v>39.770000000000003</v>
      </c>
      <c r="H7790" s="379">
        <v>9.0389671909599034</v>
      </c>
      <c r="I7790" s="25">
        <v>36.299999999999997</v>
      </c>
      <c r="J7790" s="379">
        <v>2.6612819551603288</v>
      </c>
    </row>
    <row r="7791" spans="1:10" x14ac:dyDescent="0.35">
      <c r="A7791" s="5">
        <v>7787</v>
      </c>
      <c r="B7791" s="5">
        <v>325</v>
      </c>
      <c r="C7791" s="5">
        <v>11</v>
      </c>
      <c r="D7791" s="379">
        <v>70.522777777777776</v>
      </c>
      <c r="E7791" s="25">
        <v>24.84</v>
      </c>
      <c r="F7791" s="379">
        <v>9.2994123562349298</v>
      </c>
      <c r="G7791" s="25">
        <v>42.29</v>
      </c>
      <c r="H7791" s="379">
        <v>9.7727161267409066</v>
      </c>
      <c r="I7791" s="25">
        <v>36.299999999999997</v>
      </c>
      <c r="J7791" s="379">
        <v>4.8662912456759324</v>
      </c>
    </row>
    <row r="7792" spans="1:10" x14ac:dyDescent="0.35">
      <c r="A7792" s="5">
        <v>7788</v>
      </c>
      <c r="B7792" s="5">
        <v>325</v>
      </c>
      <c r="C7792" s="5">
        <v>11</v>
      </c>
      <c r="D7792" s="379">
        <v>68.328333333333319</v>
      </c>
      <c r="E7792" s="25">
        <v>24.84</v>
      </c>
      <c r="F7792" s="379">
        <v>8.8339977338821463</v>
      </c>
      <c r="G7792" s="25">
        <v>42.29</v>
      </c>
      <c r="H7792" s="379">
        <v>7.9535483794262571</v>
      </c>
      <c r="I7792" s="25">
        <v>36.299999999999997</v>
      </c>
      <c r="J7792" s="379">
        <v>5.4042040255732839</v>
      </c>
    </row>
    <row r="7793" spans="1:10" x14ac:dyDescent="0.35">
      <c r="A7793" s="5">
        <v>7789</v>
      </c>
      <c r="B7793" s="5">
        <v>325</v>
      </c>
      <c r="C7793" s="5">
        <v>11</v>
      </c>
      <c r="D7793" s="379">
        <v>64.908333333333331</v>
      </c>
      <c r="E7793" s="25">
        <v>24.84</v>
      </c>
      <c r="F7793" s="379">
        <v>9.27075546790795</v>
      </c>
      <c r="G7793" s="25">
        <v>43.56</v>
      </c>
      <c r="H7793" s="379">
        <v>9.0814865466455483</v>
      </c>
      <c r="I7793" s="25">
        <v>35.93</v>
      </c>
      <c r="J7793" s="379">
        <v>4.8260308294704917</v>
      </c>
    </row>
    <row r="7794" spans="1:10" x14ac:dyDescent="0.35">
      <c r="A7794" s="5">
        <v>7790</v>
      </c>
      <c r="B7794" s="5">
        <v>325</v>
      </c>
      <c r="C7794" s="5">
        <v>11</v>
      </c>
      <c r="D7794" s="379">
        <v>64.018888888888881</v>
      </c>
      <c r="E7794" s="25">
        <v>24.84</v>
      </c>
      <c r="F7794" s="379">
        <v>12.147522543721823</v>
      </c>
      <c r="G7794" s="25">
        <v>43.56</v>
      </c>
      <c r="H7794" s="379">
        <v>9.7509387843499749</v>
      </c>
      <c r="I7794" s="25">
        <v>35.93</v>
      </c>
      <c r="J7794" s="379">
        <v>4.7842104851733565</v>
      </c>
    </row>
    <row r="7795" spans="1:10" x14ac:dyDescent="0.35">
      <c r="A7795" s="5">
        <v>7791</v>
      </c>
      <c r="B7795" s="5">
        <v>325</v>
      </c>
      <c r="C7795" s="5">
        <v>11</v>
      </c>
      <c r="D7795" s="379">
        <v>65.107777777777784</v>
      </c>
      <c r="E7795" s="25">
        <v>24.84</v>
      </c>
      <c r="F7795" s="379">
        <v>11.370896480486799</v>
      </c>
      <c r="G7795" s="25">
        <v>43.56</v>
      </c>
      <c r="H7795" s="379">
        <v>8.4141832212428849</v>
      </c>
      <c r="I7795" s="25">
        <v>35.33</v>
      </c>
      <c r="J7795" s="379">
        <v>4.101396674075704</v>
      </c>
    </row>
    <row r="7796" spans="1:10" x14ac:dyDescent="0.35">
      <c r="A7796" s="5">
        <v>7792</v>
      </c>
      <c r="B7796" s="5">
        <v>325</v>
      </c>
      <c r="C7796" s="5">
        <v>11</v>
      </c>
      <c r="D7796" s="379">
        <v>66.042777777777772</v>
      </c>
      <c r="E7796" s="25">
        <v>24.84</v>
      </c>
      <c r="F7796" s="379">
        <v>11.759308273323214</v>
      </c>
      <c r="G7796" s="25">
        <v>43.56</v>
      </c>
      <c r="H7796" s="379">
        <v>8.6711797613052681</v>
      </c>
      <c r="I7796" s="25">
        <v>35.69</v>
      </c>
      <c r="J7796" s="379">
        <v>4.2252361690614348</v>
      </c>
    </row>
    <row r="7797" spans="1:10" x14ac:dyDescent="0.35">
      <c r="A7797" s="5">
        <v>7793</v>
      </c>
      <c r="B7797" s="5">
        <v>325</v>
      </c>
      <c r="C7797" s="5">
        <v>11</v>
      </c>
      <c r="D7797" s="379">
        <v>69.19</v>
      </c>
      <c r="E7797" s="25">
        <v>24.84</v>
      </c>
      <c r="F7797" s="379">
        <v>11.442712434747989</v>
      </c>
      <c r="G7797" s="25">
        <v>43.56</v>
      </c>
      <c r="H7797" s="379">
        <v>8.6736557364933997</v>
      </c>
      <c r="I7797" s="25">
        <v>35.93</v>
      </c>
      <c r="J7797" s="379">
        <v>3.3505645711474612</v>
      </c>
    </row>
    <row r="7798" spans="1:10" x14ac:dyDescent="0.35">
      <c r="A7798" s="5">
        <v>7794</v>
      </c>
      <c r="B7798" s="5">
        <v>325</v>
      </c>
      <c r="C7798" s="5">
        <v>11</v>
      </c>
      <c r="D7798" s="379">
        <v>72.8</v>
      </c>
      <c r="E7798" s="25">
        <v>24.84</v>
      </c>
      <c r="F7798" s="379">
        <v>11.496593545069311</v>
      </c>
      <c r="G7798" s="25">
        <v>46.98</v>
      </c>
      <c r="H7798" s="379">
        <v>8.7243603994938024</v>
      </c>
      <c r="I7798" s="25">
        <v>46.06</v>
      </c>
      <c r="J7798" s="379">
        <v>1.8709827772016978</v>
      </c>
    </row>
    <row r="7799" spans="1:10" x14ac:dyDescent="0.35">
      <c r="A7799" s="5">
        <v>7795</v>
      </c>
      <c r="B7799" s="5">
        <v>325</v>
      </c>
      <c r="C7799" s="5">
        <v>11</v>
      </c>
      <c r="D7799" s="379">
        <v>70.453888888888898</v>
      </c>
      <c r="E7799" s="25">
        <v>24.84</v>
      </c>
      <c r="F7799" s="379">
        <v>11.825139537770381</v>
      </c>
      <c r="G7799" s="25">
        <v>46.98</v>
      </c>
      <c r="H7799" s="379">
        <v>8.722027051974699</v>
      </c>
      <c r="I7799" s="25">
        <v>48.09</v>
      </c>
      <c r="J7799" s="379">
        <v>4.5883949046872585</v>
      </c>
    </row>
    <row r="7800" spans="1:10" x14ac:dyDescent="0.35">
      <c r="A7800" s="5">
        <v>7796</v>
      </c>
      <c r="B7800" s="5">
        <v>325</v>
      </c>
      <c r="C7800" s="5">
        <v>11</v>
      </c>
      <c r="D7800" s="379">
        <v>63.142222222222216</v>
      </c>
      <c r="E7800" s="25">
        <v>24.84</v>
      </c>
      <c r="F7800" s="379">
        <v>11.827264036212622</v>
      </c>
      <c r="G7800" s="25">
        <v>44.69</v>
      </c>
      <c r="H7800" s="379">
        <v>8.7213150344803516</v>
      </c>
      <c r="I7800" s="25">
        <v>48.09</v>
      </c>
      <c r="J7800" s="379">
        <v>4.5883949046872585</v>
      </c>
    </row>
    <row r="7801" spans="1:10" x14ac:dyDescent="0.35">
      <c r="A7801" s="5">
        <v>7797</v>
      </c>
      <c r="B7801" s="5">
        <v>325</v>
      </c>
      <c r="C7801" s="5">
        <v>11</v>
      </c>
      <c r="D7801" s="379">
        <v>59.862222222222215</v>
      </c>
      <c r="E7801" s="25">
        <v>24.84</v>
      </c>
      <c r="F7801" s="379">
        <v>12.719011117384671</v>
      </c>
      <c r="G7801" s="25">
        <v>43.56</v>
      </c>
      <c r="H7801" s="379">
        <v>8.6748376329308812</v>
      </c>
      <c r="I7801" s="25">
        <v>47.44</v>
      </c>
      <c r="J7801" s="379">
        <v>0.1388888888888889</v>
      </c>
    </row>
    <row r="7802" spans="1:10" x14ac:dyDescent="0.35">
      <c r="A7802" s="5">
        <v>7798</v>
      </c>
      <c r="B7802" s="5">
        <v>325</v>
      </c>
      <c r="C7802" s="5">
        <v>11</v>
      </c>
      <c r="D7802" s="379">
        <v>53.142777777777773</v>
      </c>
      <c r="E7802" s="25">
        <v>24.84</v>
      </c>
      <c r="F7802" s="379">
        <v>11.301321101114695</v>
      </c>
      <c r="G7802" s="25">
        <v>43.56</v>
      </c>
      <c r="H7802" s="379">
        <v>8.68697279647348</v>
      </c>
      <c r="I7802" s="25">
        <v>45.93</v>
      </c>
      <c r="J7802" s="379">
        <v>2.0277739706928184</v>
      </c>
    </row>
    <row r="7803" spans="1:10" x14ac:dyDescent="0.35">
      <c r="A7803" s="5">
        <v>7799</v>
      </c>
      <c r="B7803" s="5">
        <v>325</v>
      </c>
      <c r="C7803" s="5">
        <v>11</v>
      </c>
      <c r="D7803" s="379">
        <v>49.383888888888883</v>
      </c>
      <c r="E7803" s="25">
        <v>24.84</v>
      </c>
      <c r="F7803" s="379">
        <v>9.1114221616358275</v>
      </c>
      <c r="G7803" s="25">
        <v>42.29</v>
      </c>
      <c r="H7803" s="379">
        <v>8.244796928092029</v>
      </c>
      <c r="I7803" s="25">
        <v>46.69</v>
      </c>
      <c r="J7803" s="379">
        <v>4.1532189385648737</v>
      </c>
    </row>
    <row r="7804" spans="1:10" x14ac:dyDescent="0.35">
      <c r="A7804" s="5">
        <v>7800</v>
      </c>
      <c r="B7804" s="5">
        <v>325</v>
      </c>
      <c r="C7804" s="5">
        <v>11</v>
      </c>
      <c r="D7804" s="379">
        <v>43.335555555555551</v>
      </c>
      <c r="E7804" s="25">
        <v>24.84</v>
      </c>
      <c r="F7804" s="379">
        <v>9.1672779641666633</v>
      </c>
      <c r="G7804" s="25">
        <v>41.13</v>
      </c>
      <c r="H7804" s="379">
        <v>9.7926048441729776</v>
      </c>
      <c r="I7804" s="25">
        <v>40.869999999999997</v>
      </c>
      <c r="J7804" s="379">
        <v>3.2725396403455465</v>
      </c>
    </row>
    <row r="7805" spans="1:10" x14ac:dyDescent="0.35">
      <c r="A7805" s="5">
        <v>7801</v>
      </c>
      <c r="B7805" s="5">
        <v>326</v>
      </c>
      <c r="C7805" s="5">
        <v>11</v>
      </c>
      <c r="D7805" s="379">
        <v>40.101111111111109</v>
      </c>
      <c r="E7805" s="25">
        <v>24.84</v>
      </c>
      <c r="F7805" s="379">
        <v>9.1625068194700408</v>
      </c>
      <c r="G7805" s="25">
        <v>43.56</v>
      </c>
      <c r="H7805" s="379">
        <v>9.2451827084910754</v>
      </c>
      <c r="I7805" s="25">
        <v>48.86</v>
      </c>
      <c r="J7805" s="379">
        <v>5.022155597096897</v>
      </c>
    </row>
    <row r="7806" spans="1:10" x14ac:dyDescent="0.35">
      <c r="A7806" s="5">
        <v>7802</v>
      </c>
      <c r="B7806" s="5">
        <v>326</v>
      </c>
      <c r="C7806" s="5">
        <v>11</v>
      </c>
      <c r="D7806" s="379">
        <v>39.373333333333335</v>
      </c>
      <c r="E7806" s="25">
        <v>24.84</v>
      </c>
      <c r="F7806" s="379">
        <v>9.1828270157869252</v>
      </c>
      <c r="G7806" s="25">
        <v>40.020000000000003</v>
      </c>
      <c r="H7806" s="379">
        <v>9.7008310415320107</v>
      </c>
      <c r="I7806" s="25">
        <v>48.86</v>
      </c>
      <c r="J7806" s="379">
        <v>3.1858302562950125</v>
      </c>
    </row>
    <row r="7807" spans="1:10" x14ac:dyDescent="0.35">
      <c r="A7807" s="5">
        <v>7803</v>
      </c>
      <c r="B7807" s="5">
        <v>326</v>
      </c>
      <c r="C7807" s="5">
        <v>11</v>
      </c>
      <c r="D7807" s="379">
        <v>37.115000000000002</v>
      </c>
      <c r="E7807" s="25">
        <v>24.84</v>
      </c>
      <c r="F7807" s="379">
        <v>9.1904060505905161</v>
      </c>
      <c r="G7807" s="25">
        <v>39.93</v>
      </c>
      <c r="H7807" s="379">
        <v>9.5154905831951702</v>
      </c>
      <c r="I7807" s="25">
        <v>48.86</v>
      </c>
      <c r="J7807" s="379">
        <v>3.3857953883534382</v>
      </c>
    </row>
    <row r="7808" spans="1:10" x14ac:dyDescent="0.35">
      <c r="A7808" s="5">
        <v>7804</v>
      </c>
      <c r="B7808" s="5">
        <v>326</v>
      </c>
      <c r="C7808" s="5">
        <v>11</v>
      </c>
      <c r="D7808" s="379">
        <v>34.295555555555559</v>
      </c>
      <c r="E7808" s="25">
        <v>24.84</v>
      </c>
      <c r="F7808" s="379">
        <v>9.2845633056689554</v>
      </c>
      <c r="G7808" s="25">
        <v>39.93</v>
      </c>
      <c r="H7808" s="379">
        <v>8.9655317070764262</v>
      </c>
      <c r="I7808" s="25">
        <v>43.89</v>
      </c>
      <c r="J7808" s="379">
        <v>4.1216616768250729</v>
      </c>
    </row>
    <row r="7809" spans="1:10" x14ac:dyDescent="0.35">
      <c r="A7809" s="5">
        <v>7805</v>
      </c>
      <c r="B7809" s="5">
        <v>326</v>
      </c>
      <c r="C7809" s="5">
        <v>11</v>
      </c>
      <c r="D7809" s="379">
        <v>36.991666666666667</v>
      </c>
      <c r="E7809" s="25">
        <v>24.84</v>
      </c>
      <c r="F7809" s="379">
        <v>9.1802665162853589</v>
      </c>
      <c r="G7809" s="25">
        <v>39.93</v>
      </c>
      <c r="H7809" s="379">
        <v>9.3253322244800856</v>
      </c>
      <c r="I7809" s="25">
        <v>48.86</v>
      </c>
      <c r="J7809" s="379">
        <v>4.5183916119497329</v>
      </c>
    </row>
    <row r="7810" spans="1:10" x14ac:dyDescent="0.35">
      <c r="A7810" s="5">
        <v>7806</v>
      </c>
      <c r="B7810" s="5">
        <v>326</v>
      </c>
      <c r="C7810" s="5">
        <v>11</v>
      </c>
      <c r="D7810" s="379">
        <v>39.659444444444446</v>
      </c>
      <c r="E7810" s="25">
        <v>24.84</v>
      </c>
      <c r="F7810" s="379">
        <v>8.976359054402133</v>
      </c>
      <c r="G7810" s="25">
        <v>43.56</v>
      </c>
      <c r="H7810" s="379">
        <v>8.4072404523508926</v>
      </c>
      <c r="I7810" s="25">
        <v>51.02</v>
      </c>
      <c r="J7810" s="379">
        <v>4.0719037977155397</v>
      </c>
    </row>
    <row r="7811" spans="1:10" x14ac:dyDescent="0.35">
      <c r="A7811" s="5">
        <v>7807</v>
      </c>
      <c r="B7811" s="5">
        <v>326</v>
      </c>
      <c r="C7811" s="5">
        <v>11</v>
      </c>
      <c r="D7811" s="379">
        <v>49.648333333333326</v>
      </c>
      <c r="E7811" s="25">
        <v>25.74</v>
      </c>
      <c r="F7811" s="379">
        <v>9.229126913883734</v>
      </c>
      <c r="G7811" s="25">
        <v>47.85</v>
      </c>
      <c r="H7811" s="379">
        <v>7.78032435955833</v>
      </c>
      <c r="I7811" s="25">
        <v>59.24</v>
      </c>
      <c r="J7811" s="379">
        <v>3.6991850229801955</v>
      </c>
    </row>
    <row r="7812" spans="1:10" x14ac:dyDescent="0.35">
      <c r="A7812" s="5">
        <v>7808</v>
      </c>
      <c r="B7812" s="5">
        <v>326</v>
      </c>
      <c r="C7812" s="5">
        <v>11</v>
      </c>
      <c r="D7812" s="379">
        <v>63.928888888888892</v>
      </c>
      <c r="E7812" s="25">
        <v>34.82</v>
      </c>
      <c r="F7812" s="379">
        <v>9.7959764117177439</v>
      </c>
      <c r="G7812" s="25">
        <v>55.38</v>
      </c>
      <c r="H7812" s="379">
        <v>5.7781825468258861</v>
      </c>
      <c r="I7812" s="25">
        <v>68.05</v>
      </c>
      <c r="J7812" s="379">
        <v>5.1659083471147644</v>
      </c>
    </row>
    <row r="7813" spans="1:10" x14ac:dyDescent="0.35">
      <c r="A7813" s="5">
        <v>7809</v>
      </c>
      <c r="B7813" s="5">
        <v>326</v>
      </c>
      <c r="C7813" s="5">
        <v>11</v>
      </c>
      <c r="D7813" s="379">
        <v>64.721111111111114</v>
      </c>
      <c r="E7813" s="25">
        <v>34.82</v>
      </c>
      <c r="F7813" s="379">
        <v>10.146673093136554</v>
      </c>
      <c r="G7813" s="25">
        <v>56.29</v>
      </c>
      <c r="H7813" s="379">
        <v>7.2772406286023932</v>
      </c>
      <c r="I7813" s="25">
        <v>70.400000000000006</v>
      </c>
      <c r="J7813" s="379">
        <v>0.27777777777777779</v>
      </c>
    </row>
    <row r="7814" spans="1:10" x14ac:dyDescent="0.35">
      <c r="A7814" s="5">
        <v>7810</v>
      </c>
      <c r="B7814" s="5">
        <v>326</v>
      </c>
      <c r="C7814" s="5">
        <v>11</v>
      </c>
      <c r="D7814" s="379">
        <v>64.778888888888886</v>
      </c>
      <c r="E7814" s="25">
        <v>34.82</v>
      </c>
      <c r="F7814" s="379">
        <v>9.3586859692494127</v>
      </c>
      <c r="G7814" s="25">
        <v>56.29</v>
      </c>
      <c r="H7814" s="379">
        <v>7.7346960797651567</v>
      </c>
      <c r="I7814" s="25">
        <v>70.09</v>
      </c>
      <c r="J7814" s="379">
        <v>0.27777777777777779</v>
      </c>
    </row>
    <row r="7815" spans="1:10" x14ac:dyDescent="0.35">
      <c r="A7815" s="5">
        <v>7811</v>
      </c>
      <c r="B7815" s="5">
        <v>326</v>
      </c>
      <c r="C7815" s="5">
        <v>11</v>
      </c>
      <c r="D7815" s="379">
        <v>65.203888888888883</v>
      </c>
      <c r="E7815" s="25">
        <v>34.82</v>
      </c>
      <c r="F7815" s="379">
        <v>8.1174834595959595</v>
      </c>
      <c r="G7815" s="25">
        <v>53.77</v>
      </c>
      <c r="H7815" s="379">
        <v>7.3084812249065561</v>
      </c>
      <c r="I7815" s="25">
        <v>66.06</v>
      </c>
      <c r="J7815" s="379">
        <v>5.6416933189619796</v>
      </c>
    </row>
    <row r="7816" spans="1:10" x14ac:dyDescent="0.35">
      <c r="A7816" s="5">
        <v>7812</v>
      </c>
      <c r="B7816" s="5">
        <v>326</v>
      </c>
      <c r="C7816" s="5">
        <v>11</v>
      </c>
      <c r="D7816" s="379">
        <v>66.573888888888888</v>
      </c>
      <c r="E7816" s="25">
        <v>34.82</v>
      </c>
      <c r="F7816" s="379">
        <v>8.1174834595959577</v>
      </c>
      <c r="G7816" s="25">
        <v>52.78</v>
      </c>
      <c r="H7816" s="379">
        <v>7.3845069062626854</v>
      </c>
      <c r="I7816" s="25">
        <v>62.27</v>
      </c>
      <c r="J7816" s="379">
        <v>5.7571013916008775</v>
      </c>
    </row>
    <row r="7817" spans="1:10" x14ac:dyDescent="0.35">
      <c r="A7817" s="5">
        <v>7813</v>
      </c>
      <c r="B7817" s="5">
        <v>326</v>
      </c>
      <c r="C7817" s="5">
        <v>11</v>
      </c>
      <c r="D7817" s="379">
        <v>62.343333333333334</v>
      </c>
      <c r="E7817" s="25">
        <v>34.82</v>
      </c>
      <c r="F7817" s="379">
        <v>8.1174834595959577</v>
      </c>
      <c r="G7817" s="25">
        <v>52.67</v>
      </c>
      <c r="H7817" s="379">
        <v>7.5746303740291783</v>
      </c>
      <c r="I7817" s="25">
        <v>60.75</v>
      </c>
      <c r="J7817" s="379">
        <v>5.9113464813497689</v>
      </c>
    </row>
    <row r="7818" spans="1:10" x14ac:dyDescent="0.35">
      <c r="A7818" s="5">
        <v>7814</v>
      </c>
      <c r="B7818" s="5">
        <v>326</v>
      </c>
      <c r="C7818" s="5">
        <v>11</v>
      </c>
      <c r="D7818" s="379">
        <v>63.141111111111108</v>
      </c>
      <c r="E7818" s="25">
        <v>34.82</v>
      </c>
      <c r="F7818" s="379">
        <v>8.1174834595959613</v>
      </c>
      <c r="G7818" s="25">
        <v>52.67</v>
      </c>
      <c r="H7818" s="379">
        <v>7.6157859088539359</v>
      </c>
      <c r="I7818" s="25">
        <v>59.84</v>
      </c>
      <c r="J7818" s="379">
        <v>5.9113464813497689</v>
      </c>
    </row>
    <row r="7819" spans="1:10" x14ac:dyDescent="0.35">
      <c r="A7819" s="5">
        <v>7815</v>
      </c>
      <c r="B7819" s="5">
        <v>326</v>
      </c>
      <c r="C7819" s="5">
        <v>11</v>
      </c>
      <c r="D7819" s="379">
        <v>64.277777777777771</v>
      </c>
      <c r="E7819" s="25">
        <v>34.82</v>
      </c>
      <c r="F7819" s="379">
        <v>8.1174834595959595</v>
      </c>
      <c r="G7819" s="25">
        <v>52.67</v>
      </c>
      <c r="H7819" s="379">
        <v>7.766957391654616</v>
      </c>
      <c r="I7819" s="25">
        <v>62.27</v>
      </c>
      <c r="J7819" s="379">
        <v>5.1255135937249543</v>
      </c>
    </row>
    <row r="7820" spans="1:10" x14ac:dyDescent="0.35">
      <c r="A7820" s="5">
        <v>7816</v>
      </c>
      <c r="B7820" s="5">
        <v>326</v>
      </c>
      <c r="C7820" s="5">
        <v>11</v>
      </c>
      <c r="D7820" s="379">
        <v>66.111111111111114</v>
      </c>
      <c r="E7820" s="25">
        <v>34.82</v>
      </c>
      <c r="F7820" s="379">
        <v>8.8812222943330745</v>
      </c>
      <c r="G7820" s="25">
        <v>52.78</v>
      </c>
      <c r="H7820" s="379">
        <v>7.6112262343073143</v>
      </c>
      <c r="I7820" s="25">
        <v>62.27</v>
      </c>
      <c r="J7820" s="379">
        <v>5.4841187404579177</v>
      </c>
    </row>
    <row r="7821" spans="1:10" x14ac:dyDescent="0.35">
      <c r="A7821" s="5">
        <v>7817</v>
      </c>
      <c r="B7821" s="5">
        <v>326</v>
      </c>
      <c r="C7821" s="5">
        <v>11</v>
      </c>
      <c r="D7821" s="379">
        <v>66.75888888888889</v>
      </c>
      <c r="E7821" s="25">
        <v>34.82</v>
      </c>
      <c r="F7821" s="379">
        <v>22.740146906687588</v>
      </c>
      <c r="G7821" s="25">
        <v>56.29</v>
      </c>
      <c r="H7821" s="379">
        <v>9.6895399820458135</v>
      </c>
      <c r="I7821" s="25">
        <v>72.19</v>
      </c>
      <c r="J7821" s="379">
        <v>5.703132654104782</v>
      </c>
    </row>
    <row r="7822" spans="1:10" x14ac:dyDescent="0.35">
      <c r="A7822" s="5">
        <v>7818</v>
      </c>
      <c r="B7822" s="5">
        <v>326</v>
      </c>
      <c r="C7822" s="5">
        <v>11</v>
      </c>
      <c r="D7822" s="379">
        <v>70.492777777777789</v>
      </c>
      <c r="E7822" s="25">
        <v>36.94</v>
      </c>
      <c r="F7822" s="379">
        <v>23.486104960391085</v>
      </c>
      <c r="G7822" s="25">
        <v>62.12</v>
      </c>
      <c r="H7822" s="379">
        <v>10.125839968421035</v>
      </c>
      <c r="I7822" s="25">
        <v>86.6</v>
      </c>
      <c r="J7822" s="379">
        <v>6.0253508718325843</v>
      </c>
    </row>
    <row r="7823" spans="1:10" x14ac:dyDescent="0.35">
      <c r="A7823" s="5">
        <v>7819</v>
      </c>
      <c r="B7823" s="5">
        <v>326</v>
      </c>
      <c r="C7823" s="5">
        <v>11</v>
      </c>
      <c r="D7823" s="379">
        <v>66.706111111111099</v>
      </c>
      <c r="E7823" s="25">
        <v>35.869999999999997</v>
      </c>
      <c r="F7823" s="379">
        <v>23.253538851672278</v>
      </c>
      <c r="G7823" s="25">
        <v>62.12</v>
      </c>
      <c r="H7823" s="379">
        <v>10.145021960625284</v>
      </c>
      <c r="I7823" s="25">
        <v>603.30999999999995</v>
      </c>
      <c r="J7823" s="379">
        <v>6.1860279341763773</v>
      </c>
    </row>
    <row r="7824" spans="1:10" x14ac:dyDescent="0.35">
      <c r="A7824" s="5">
        <v>7820</v>
      </c>
      <c r="B7824" s="5">
        <v>326</v>
      </c>
      <c r="C7824" s="5">
        <v>11</v>
      </c>
      <c r="D7824" s="379">
        <v>63.376666666666665</v>
      </c>
      <c r="E7824" s="25">
        <v>34.82</v>
      </c>
      <c r="F7824" s="379">
        <v>22.191884267683161</v>
      </c>
      <c r="G7824" s="25">
        <v>56.29</v>
      </c>
      <c r="H7824" s="379">
        <v>9.950215113488559</v>
      </c>
      <c r="I7824" s="25">
        <v>75.459999999999994</v>
      </c>
      <c r="J7824" s="379">
        <v>6.1191146601884707</v>
      </c>
    </row>
    <row r="7825" spans="1:10" x14ac:dyDescent="0.35">
      <c r="A7825" s="5">
        <v>7821</v>
      </c>
      <c r="B7825" s="5">
        <v>326</v>
      </c>
      <c r="C7825" s="5">
        <v>11</v>
      </c>
      <c r="D7825" s="379">
        <v>55.936111111111117</v>
      </c>
      <c r="E7825" s="25">
        <v>34.82</v>
      </c>
      <c r="F7825" s="379">
        <v>22.035008872218533</v>
      </c>
      <c r="G7825" s="25">
        <v>52.57</v>
      </c>
      <c r="H7825" s="379">
        <v>10.419712644034126</v>
      </c>
      <c r="I7825" s="25">
        <v>68.05</v>
      </c>
      <c r="J7825" s="379">
        <v>6.083871375931003</v>
      </c>
    </row>
    <row r="7826" spans="1:10" x14ac:dyDescent="0.35">
      <c r="A7826" s="5">
        <v>7822</v>
      </c>
      <c r="B7826" s="5">
        <v>326</v>
      </c>
      <c r="C7826" s="5">
        <v>11</v>
      </c>
      <c r="D7826" s="379">
        <v>52.718333333333327</v>
      </c>
      <c r="E7826" s="25">
        <v>26.05</v>
      </c>
      <c r="F7826" s="379">
        <v>22.433449246492028</v>
      </c>
      <c r="G7826" s="25">
        <v>49.84</v>
      </c>
      <c r="H7826" s="379">
        <v>10.846701577094402</v>
      </c>
      <c r="I7826" s="25">
        <v>66.06</v>
      </c>
      <c r="J7826" s="379">
        <v>6.3912058792191786</v>
      </c>
    </row>
    <row r="7827" spans="1:10" x14ac:dyDescent="0.35">
      <c r="A7827" s="5">
        <v>7823</v>
      </c>
      <c r="B7827" s="5">
        <v>326</v>
      </c>
      <c r="C7827" s="5">
        <v>11</v>
      </c>
      <c r="D7827" s="379">
        <v>47.687222222222218</v>
      </c>
      <c r="E7827" s="25">
        <v>25.74</v>
      </c>
      <c r="F7827" s="379">
        <v>22.334055188087188</v>
      </c>
      <c r="G7827" s="25">
        <v>47.85</v>
      </c>
      <c r="H7827" s="379">
        <v>11.362244269224405</v>
      </c>
      <c r="I7827" s="25">
        <v>64.14</v>
      </c>
      <c r="J7827" s="379">
        <v>6.9282913841493947</v>
      </c>
    </row>
    <row r="7828" spans="1:10" x14ac:dyDescent="0.35">
      <c r="A7828" s="5">
        <v>7824</v>
      </c>
      <c r="B7828" s="5">
        <v>326</v>
      </c>
      <c r="C7828" s="5">
        <v>11</v>
      </c>
      <c r="D7828" s="379">
        <v>44.729444444444447</v>
      </c>
      <c r="E7828" s="25">
        <v>25.74</v>
      </c>
      <c r="F7828" s="379">
        <v>21.960637253781027</v>
      </c>
      <c r="G7828" s="25">
        <v>47.85</v>
      </c>
      <c r="H7828" s="379">
        <v>10.360688310569975</v>
      </c>
      <c r="I7828" s="25">
        <v>64.14</v>
      </c>
      <c r="J7828" s="379">
        <v>6.8040593424852993</v>
      </c>
    </row>
    <row r="7829" spans="1:10" x14ac:dyDescent="0.35">
      <c r="A7829" s="5">
        <v>7825</v>
      </c>
      <c r="B7829" s="5">
        <v>327</v>
      </c>
      <c r="C7829" s="5">
        <v>11</v>
      </c>
      <c r="D7829" s="379">
        <v>41.563333333333325</v>
      </c>
      <c r="E7829" s="25">
        <v>25.29</v>
      </c>
      <c r="F7829" s="379">
        <v>21.940215913652505</v>
      </c>
      <c r="G7829" s="25">
        <v>47.85</v>
      </c>
      <c r="H7829" s="379">
        <v>10.89081633462659</v>
      </c>
      <c r="I7829" s="25">
        <v>68.05</v>
      </c>
      <c r="J7829" s="379">
        <v>7.2551631834300689</v>
      </c>
    </row>
    <row r="7830" spans="1:10" x14ac:dyDescent="0.35">
      <c r="A7830" s="5">
        <v>7826</v>
      </c>
      <c r="B7830" s="5">
        <v>327</v>
      </c>
      <c r="C7830" s="5">
        <v>11</v>
      </c>
      <c r="D7830" s="379">
        <v>39.999444444444443</v>
      </c>
      <c r="E7830" s="25">
        <v>25.29</v>
      </c>
      <c r="F7830" s="379">
        <v>22.109177667845398</v>
      </c>
      <c r="G7830" s="25">
        <v>47.85</v>
      </c>
      <c r="H7830" s="379">
        <v>11.550049236910386</v>
      </c>
      <c r="I7830" s="25">
        <v>64.14</v>
      </c>
      <c r="J7830" s="379">
        <v>7.2390479900967293</v>
      </c>
    </row>
    <row r="7831" spans="1:10" x14ac:dyDescent="0.35">
      <c r="A7831" s="5">
        <v>7827</v>
      </c>
      <c r="B7831" s="5">
        <v>327</v>
      </c>
      <c r="C7831" s="5">
        <v>11</v>
      </c>
      <c r="D7831" s="379">
        <v>37.595555555555556</v>
      </c>
      <c r="E7831" s="25">
        <v>24.84</v>
      </c>
      <c r="F7831" s="379">
        <v>22.072964963070056</v>
      </c>
      <c r="G7831" s="25">
        <v>47.85</v>
      </c>
      <c r="H7831" s="379">
        <v>11.766975939777103</v>
      </c>
      <c r="I7831" s="25">
        <v>64.14</v>
      </c>
      <c r="J7831" s="379">
        <v>7.5928929105048661</v>
      </c>
    </row>
    <row r="7832" spans="1:10" x14ac:dyDescent="0.35">
      <c r="A7832" s="5">
        <v>7828</v>
      </c>
      <c r="B7832" s="5">
        <v>327</v>
      </c>
      <c r="C7832" s="5">
        <v>11</v>
      </c>
      <c r="D7832" s="379">
        <v>36.452777777777776</v>
      </c>
      <c r="E7832" s="25">
        <v>24.84</v>
      </c>
      <c r="F7832" s="379">
        <v>22.304678641590971</v>
      </c>
      <c r="G7832" s="25">
        <v>47.85</v>
      </c>
      <c r="H7832" s="379">
        <v>12.453095766804026</v>
      </c>
      <c r="I7832" s="25">
        <v>64.14</v>
      </c>
      <c r="J7832" s="379">
        <v>7.6904941487156551</v>
      </c>
    </row>
    <row r="7833" spans="1:10" x14ac:dyDescent="0.35">
      <c r="A7833" s="5">
        <v>7829</v>
      </c>
      <c r="B7833" s="5">
        <v>327</v>
      </c>
      <c r="C7833" s="5">
        <v>11</v>
      </c>
      <c r="D7833" s="379">
        <v>36.31388888888889</v>
      </c>
      <c r="E7833" s="25">
        <v>24.84</v>
      </c>
      <c r="F7833" s="379">
        <v>23.658631613010865</v>
      </c>
      <c r="G7833" s="25">
        <v>47.85</v>
      </c>
      <c r="H7833" s="379">
        <v>12.380232770126895</v>
      </c>
      <c r="I7833" s="25">
        <v>66.06</v>
      </c>
      <c r="J7833" s="379">
        <v>7.94080718913564</v>
      </c>
    </row>
    <row r="7834" spans="1:10" x14ac:dyDescent="0.35">
      <c r="A7834" s="5">
        <v>7830</v>
      </c>
      <c r="B7834" s="5">
        <v>327</v>
      </c>
      <c r="C7834" s="5">
        <v>11</v>
      </c>
      <c r="D7834" s="379">
        <v>38.751666666666665</v>
      </c>
      <c r="E7834" s="25">
        <v>25.74</v>
      </c>
      <c r="F7834" s="379">
        <v>24.773439825971341</v>
      </c>
      <c r="G7834" s="25">
        <v>49.75</v>
      </c>
      <c r="H7834" s="379">
        <v>12.426042809156957</v>
      </c>
      <c r="I7834" s="25">
        <v>72.19</v>
      </c>
      <c r="J7834" s="379">
        <v>7.6122168899439835</v>
      </c>
    </row>
    <row r="7835" spans="1:10" x14ac:dyDescent="0.35">
      <c r="A7835" s="5">
        <v>7831</v>
      </c>
      <c r="B7835" s="5">
        <v>327</v>
      </c>
      <c r="C7835" s="5">
        <v>11</v>
      </c>
      <c r="D7835" s="379">
        <v>44.623888888888885</v>
      </c>
      <c r="E7835" s="25">
        <v>34.82</v>
      </c>
      <c r="F7835" s="379">
        <v>23.647105839141215</v>
      </c>
      <c r="G7835" s="25">
        <v>57.04</v>
      </c>
      <c r="H7835" s="379">
        <v>11.938599122034685</v>
      </c>
      <c r="I7835" s="25">
        <v>603.30999999999995</v>
      </c>
      <c r="J7835" s="379">
        <v>7.5929130275818322</v>
      </c>
    </row>
    <row r="7836" spans="1:10" x14ac:dyDescent="0.35">
      <c r="A7836" s="5">
        <v>7832</v>
      </c>
      <c r="B7836" s="5">
        <v>327</v>
      </c>
      <c r="C7836" s="5">
        <v>11</v>
      </c>
      <c r="D7836" s="379">
        <v>48.783888888888889</v>
      </c>
      <c r="E7836" s="25">
        <v>36.94</v>
      </c>
      <c r="F7836" s="379">
        <v>23.239952595797821</v>
      </c>
      <c r="G7836" s="25">
        <v>66.34</v>
      </c>
      <c r="H7836" s="379">
        <v>12.385101313338458</v>
      </c>
      <c r="I7836" s="25">
        <v>869.03</v>
      </c>
      <c r="J7836" s="379">
        <v>7.5929130275818322</v>
      </c>
    </row>
    <row r="7837" spans="1:10" x14ac:dyDescent="0.35">
      <c r="A7837" s="5">
        <v>7833</v>
      </c>
      <c r="B7837" s="5">
        <v>327</v>
      </c>
      <c r="C7837" s="5">
        <v>11</v>
      </c>
      <c r="D7837" s="379">
        <v>51.933333333333337</v>
      </c>
      <c r="E7837" s="25">
        <v>36.94</v>
      </c>
      <c r="F7837" s="379">
        <v>24.269679261340791</v>
      </c>
      <c r="G7837" s="25">
        <v>66.34</v>
      </c>
      <c r="H7837" s="379">
        <v>11.920026925584922</v>
      </c>
      <c r="I7837" s="25">
        <v>869.03</v>
      </c>
      <c r="J7837" s="379">
        <v>7.5929130275818322</v>
      </c>
    </row>
    <row r="7838" spans="1:10" x14ac:dyDescent="0.35">
      <c r="A7838" s="5">
        <v>7834</v>
      </c>
      <c r="B7838" s="5">
        <v>327</v>
      </c>
      <c r="C7838" s="5">
        <v>11</v>
      </c>
      <c r="D7838" s="379">
        <v>50.324444444444445</v>
      </c>
      <c r="E7838" s="25">
        <v>36.94</v>
      </c>
      <c r="F7838" s="379">
        <v>23.997707178451595</v>
      </c>
      <c r="G7838" s="25">
        <v>66.34</v>
      </c>
      <c r="H7838" s="379">
        <v>11.185605440713571</v>
      </c>
      <c r="I7838" s="25">
        <v>869.03</v>
      </c>
      <c r="J7838" s="379">
        <v>6.7267708596644642</v>
      </c>
    </row>
    <row r="7839" spans="1:10" x14ac:dyDescent="0.35">
      <c r="A7839" s="5">
        <v>7835</v>
      </c>
      <c r="B7839" s="5">
        <v>327</v>
      </c>
      <c r="C7839" s="5">
        <v>11</v>
      </c>
      <c r="D7839" s="379">
        <v>48.453888888888898</v>
      </c>
      <c r="E7839" s="25">
        <v>36.94</v>
      </c>
      <c r="F7839" s="379">
        <v>20.335060844306955</v>
      </c>
      <c r="G7839" s="25">
        <v>66.34</v>
      </c>
      <c r="H7839" s="379">
        <v>4.799693804694658</v>
      </c>
      <c r="I7839" s="25">
        <v>869.03</v>
      </c>
      <c r="J7839" s="379">
        <v>4.3939608798886818</v>
      </c>
    </row>
    <row r="7840" spans="1:10" x14ac:dyDescent="0.35">
      <c r="A7840" s="5">
        <v>7836</v>
      </c>
      <c r="B7840" s="5">
        <v>327</v>
      </c>
      <c r="C7840" s="5">
        <v>11</v>
      </c>
      <c r="D7840" s="379">
        <v>46.232222222222227</v>
      </c>
      <c r="E7840" s="25">
        <v>36.94</v>
      </c>
      <c r="F7840" s="379">
        <v>22.250750618415008</v>
      </c>
      <c r="G7840" s="25">
        <v>64.2</v>
      </c>
      <c r="H7840" s="379">
        <v>9.7701202158294347</v>
      </c>
      <c r="I7840" s="25">
        <v>843.72</v>
      </c>
      <c r="J7840" s="379">
        <v>7.0929289565269347</v>
      </c>
    </row>
    <row r="7841" spans="1:10" x14ac:dyDescent="0.35">
      <c r="A7841" s="5">
        <v>7837</v>
      </c>
      <c r="B7841" s="5">
        <v>327</v>
      </c>
      <c r="C7841" s="5">
        <v>11</v>
      </c>
      <c r="D7841" s="379">
        <v>46.281111111111116</v>
      </c>
      <c r="E7841" s="25">
        <v>35.869999999999997</v>
      </c>
      <c r="F7841" s="379">
        <v>22.974515727347146</v>
      </c>
      <c r="G7841" s="25">
        <v>62.12</v>
      </c>
      <c r="H7841" s="379">
        <v>10.336821986222153</v>
      </c>
      <c r="I7841" s="25">
        <v>843.72</v>
      </c>
      <c r="J7841" s="379">
        <v>7.0602494396454079</v>
      </c>
    </row>
    <row r="7842" spans="1:10" x14ac:dyDescent="0.35">
      <c r="A7842" s="5">
        <v>7838</v>
      </c>
      <c r="B7842" s="5">
        <v>327</v>
      </c>
      <c r="C7842" s="5">
        <v>11</v>
      </c>
      <c r="D7842" s="379">
        <v>45.929444444444442</v>
      </c>
      <c r="E7842" s="25">
        <v>35.869999999999997</v>
      </c>
      <c r="F7842" s="379">
        <v>23.059595541698613</v>
      </c>
      <c r="G7842" s="25">
        <v>62.12</v>
      </c>
      <c r="H7842" s="379">
        <v>11.144613120339285</v>
      </c>
      <c r="I7842" s="25">
        <v>738.68</v>
      </c>
      <c r="J7842" s="379">
        <v>7.3991436085466518</v>
      </c>
    </row>
    <row r="7843" spans="1:10" x14ac:dyDescent="0.35">
      <c r="A7843" s="5">
        <v>7839</v>
      </c>
      <c r="B7843" s="5">
        <v>327</v>
      </c>
      <c r="C7843" s="5">
        <v>11</v>
      </c>
      <c r="D7843" s="379">
        <v>47.56055555555556</v>
      </c>
      <c r="E7843" s="25">
        <v>35.869999999999997</v>
      </c>
      <c r="F7843" s="379">
        <v>22.866940603876028</v>
      </c>
      <c r="G7843" s="25">
        <v>62.53</v>
      </c>
      <c r="H7843" s="379">
        <v>10.300029959589773</v>
      </c>
      <c r="I7843" s="25">
        <v>843.72</v>
      </c>
      <c r="J7843" s="379">
        <v>6.0934081638555213</v>
      </c>
    </row>
    <row r="7844" spans="1:10" x14ac:dyDescent="0.35">
      <c r="A7844" s="5">
        <v>7840</v>
      </c>
      <c r="B7844" s="5">
        <v>327</v>
      </c>
      <c r="C7844" s="5">
        <v>11</v>
      </c>
      <c r="D7844" s="379">
        <v>49.013333333333343</v>
      </c>
      <c r="E7844" s="25">
        <v>36.94</v>
      </c>
      <c r="F7844" s="379">
        <v>26.119996230770962</v>
      </c>
      <c r="G7844" s="25">
        <v>64.2</v>
      </c>
      <c r="H7844" s="379">
        <v>11.373594750358887</v>
      </c>
      <c r="I7844" s="25">
        <v>843.72</v>
      </c>
      <c r="J7844" s="379">
        <v>7.7636483369104772</v>
      </c>
    </row>
    <row r="7845" spans="1:10" x14ac:dyDescent="0.35">
      <c r="A7845" s="5">
        <v>7841</v>
      </c>
      <c r="B7845" s="5">
        <v>327</v>
      </c>
      <c r="C7845" s="5">
        <v>11</v>
      </c>
      <c r="D7845" s="379">
        <v>54.047222222222217</v>
      </c>
      <c r="E7845" s="25">
        <v>36.94</v>
      </c>
      <c r="F7845" s="379">
        <v>25.017205030266048</v>
      </c>
      <c r="G7845" s="25">
        <v>819.14</v>
      </c>
      <c r="H7845" s="379">
        <v>10.197000304236752</v>
      </c>
      <c r="I7845" s="25">
        <v>869.03</v>
      </c>
      <c r="J7845" s="379">
        <v>7.5362246803844402</v>
      </c>
    </row>
    <row r="7846" spans="1:10" x14ac:dyDescent="0.35">
      <c r="A7846" s="5">
        <v>7842</v>
      </c>
      <c r="B7846" s="5">
        <v>327</v>
      </c>
      <c r="C7846" s="5">
        <v>11</v>
      </c>
      <c r="D7846" s="379">
        <v>57.138888888888886</v>
      </c>
      <c r="E7846" s="25">
        <v>37.090000000000003</v>
      </c>
      <c r="F7846" s="379">
        <v>25.017205030266048</v>
      </c>
      <c r="G7846" s="25">
        <v>843.72</v>
      </c>
      <c r="H7846" s="379">
        <v>10.61929961847669</v>
      </c>
      <c r="I7846" s="25">
        <v>869.03</v>
      </c>
      <c r="J7846" s="379">
        <v>7.3329437325034172</v>
      </c>
    </row>
    <row r="7847" spans="1:10" x14ac:dyDescent="0.35">
      <c r="A7847" s="5">
        <v>7843</v>
      </c>
      <c r="B7847" s="5">
        <v>327</v>
      </c>
      <c r="C7847" s="5">
        <v>11</v>
      </c>
      <c r="D7847" s="379">
        <v>52.281111111111109</v>
      </c>
      <c r="E7847" s="25">
        <v>36.94</v>
      </c>
      <c r="F7847" s="379">
        <v>25.175383463124504</v>
      </c>
      <c r="G7847" s="25">
        <v>843.72</v>
      </c>
      <c r="H7847" s="379">
        <v>11.022246176143563</v>
      </c>
      <c r="I7847" s="25">
        <v>869.03</v>
      </c>
      <c r="J7847" s="379">
        <v>6.7217562470241647</v>
      </c>
    </row>
    <row r="7848" spans="1:10" x14ac:dyDescent="0.35">
      <c r="A7848" s="5">
        <v>7844</v>
      </c>
      <c r="B7848" s="5">
        <v>327</v>
      </c>
      <c r="C7848" s="5">
        <v>11</v>
      </c>
      <c r="D7848" s="379">
        <v>50.107222222222219</v>
      </c>
      <c r="E7848" s="25">
        <v>36.94</v>
      </c>
      <c r="F7848" s="379">
        <v>25.030922765472276</v>
      </c>
      <c r="G7848" s="25">
        <v>66.34</v>
      </c>
      <c r="H7848" s="379">
        <v>9.3858823022254096</v>
      </c>
      <c r="I7848" s="25">
        <v>869.03</v>
      </c>
      <c r="J7848" s="379">
        <v>6.1812505335695835</v>
      </c>
    </row>
    <row r="7849" spans="1:10" x14ac:dyDescent="0.35">
      <c r="A7849" s="5">
        <v>7845</v>
      </c>
      <c r="B7849" s="5">
        <v>327</v>
      </c>
      <c r="C7849" s="5">
        <v>11</v>
      </c>
      <c r="D7849" s="379">
        <v>47.546111111111109</v>
      </c>
      <c r="E7849" s="25">
        <v>35.07</v>
      </c>
      <c r="F7849" s="379">
        <v>23.648940894516283</v>
      </c>
      <c r="G7849" s="25">
        <v>62.12</v>
      </c>
      <c r="H7849" s="379">
        <v>9.2449066761683643</v>
      </c>
      <c r="I7849" s="25">
        <v>869.03</v>
      </c>
      <c r="J7849" s="379">
        <v>5.524563556153046</v>
      </c>
    </row>
    <row r="7850" spans="1:10" x14ac:dyDescent="0.35">
      <c r="A7850" s="5">
        <v>7846</v>
      </c>
      <c r="B7850" s="5">
        <v>327</v>
      </c>
      <c r="C7850" s="5">
        <v>11</v>
      </c>
      <c r="D7850" s="379">
        <v>44.8</v>
      </c>
      <c r="E7850" s="25">
        <v>28.12</v>
      </c>
      <c r="F7850" s="379">
        <v>19.065589116943737</v>
      </c>
      <c r="G7850" s="25">
        <v>55.38</v>
      </c>
      <c r="H7850" s="379">
        <v>6.1691072623241476</v>
      </c>
      <c r="I7850" s="25">
        <v>79.25</v>
      </c>
      <c r="J7850" s="379">
        <v>2.0865769490940629</v>
      </c>
    </row>
    <row r="7851" spans="1:10" x14ac:dyDescent="0.35">
      <c r="A7851" s="5">
        <v>7847</v>
      </c>
      <c r="B7851" s="5">
        <v>327</v>
      </c>
      <c r="C7851" s="5">
        <v>11</v>
      </c>
      <c r="D7851" s="379">
        <v>43.388888888888886</v>
      </c>
      <c r="E7851" s="25">
        <v>26.05</v>
      </c>
      <c r="F7851" s="379">
        <v>9.703223752903293</v>
      </c>
      <c r="G7851" s="25">
        <v>52.2</v>
      </c>
      <c r="H7851" s="379">
        <v>10.042166942961771</v>
      </c>
      <c r="I7851" s="25">
        <v>72.19</v>
      </c>
      <c r="J7851" s="379">
        <v>4.3664982222034014</v>
      </c>
    </row>
    <row r="7852" spans="1:10" x14ac:dyDescent="0.35">
      <c r="A7852" s="5">
        <v>7848</v>
      </c>
      <c r="B7852" s="5">
        <v>327</v>
      </c>
      <c r="C7852" s="5">
        <v>11</v>
      </c>
      <c r="D7852" s="379">
        <v>41.46</v>
      </c>
      <c r="E7852" s="25">
        <v>25.74</v>
      </c>
      <c r="F7852" s="379">
        <v>8.1971913806532193</v>
      </c>
      <c r="G7852" s="25">
        <v>48.88</v>
      </c>
      <c r="H7852" s="379">
        <v>9.0274162474188113</v>
      </c>
      <c r="I7852" s="25">
        <v>70.09</v>
      </c>
      <c r="J7852" s="379">
        <v>4.3449166924646256</v>
      </c>
    </row>
    <row r="7853" spans="1:10" x14ac:dyDescent="0.35">
      <c r="A7853" s="5">
        <v>7849</v>
      </c>
      <c r="B7853" s="5">
        <v>328</v>
      </c>
      <c r="C7853" s="5">
        <v>11</v>
      </c>
      <c r="D7853" s="379">
        <v>47.212222222222223</v>
      </c>
      <c r="E7853" s="25">
        <v>24.99</v>
      </c>
      <c r="F7853" s="379">
        <v>8.1174834595959595</v>
      </c>
      <c r="G7853" s="25">
        <v>44.24</v>
      </c>
      <c r="H7853" s="379">
        <v>6.6509421922604428</v>
      </c>
      <c r="I7853" s="25">
        <v>51.02</v>
      </c>
      <c r="J7853" s="379">
        <v>1.5842001966750325</v>
      </c>
    </row>
    <row r="7854" spans="1:10" x14ac:dyDescent="0.35">
      <c r="A7854" s="5">
        <v>7850</v>
      </c>
      <c r="B7854" s="5">
        <v>328</v>
      </c>
      <c r="C7854" s="5">
        <v>11</v>
      </c>
      <c r="D7854" s="379">
        <v>43.704444444444441</v>
      </c>
      <c r="E7854" s="25">
        <v>24.84</v>
      </c>
      <c r="F7854" s="379">
        <v>4.0757264470647225</v>
      </c>
      <c r="G7854" s="25">
        <v>43.56</v>
      </c>
      <c r="H7854" s="379">
        <v>6.3551518297146545</v>
      </c>
      <c r="I7854" s="25">
        <v>48.57</v>
      </c>
      <c r="J7854" s="379">
        <v>4.0499429393810118</v>
      </c>
    </row>
    <row r="7855" spans="1:10" x14ac:dyDescent="0.35">
      <c r="A7855" s="5">
        <v>7851</v>
      </c>
      <c r="B7855" s="5">
        <v>328</v>
      </c>
      <c r="C7855" s="5">
        <v>11</v>
      </c>
      <c r="D7855" s="379">
        <v>42.608333333333334</v>
      </c>
      <c r="E7855" s="25">
        <v>24.84</v>
      </c>
      <c r="F7855" s="379">
        <v>2.3206438619268588</v>
      </c>
      <c r="G7855" s="25">
        <v>43.56</v>
      </c>
      <c r="H7855" s="379">
        <v>5.2032776982887396</v>
      </c>
      <c r="I7855" s="25">
        <v>36.869999999999997</v>
      </c>
      <c r="J7855" s="379">
        <v>2.2506934710929758</v>
      </c>
    </row>
    <row r="7856" spans="1:10" x14ac:dyDescent="0.35">
      <c r="A7856" s="5">
        <v>7852</v>
      </c>
      <c r="B7856" s="5">
        <v>328</v>
      </c>
      <c r="C7856" s="5">
        <v>11</v>
      </c>
      <c r="D7856" s="379">
        <v>42.243333333333332</v>
      </c>
      <c r="E7856" s="25">
        <v>24.84</v>
      </c>
      <c r="F7856" s="379">
        <v>2.6078793014991546</v>
      </c>
      <c r="G7856" s="25">
        <v>43.56</v>
      </c>
      <c r="H7856" s="379">
        <v>4.3071668815890787</v>
      </c>
      <c r="I7856" s="25">
        <v>36.869999999999997</v>
      </c>
      <c r="J7856" s="379">
        <v>2.777777777777778E-2</v>
      </c>
    </row>
    <row r="7857" spans="1:10" x14ac:dyDescent="0.35">
      <c r="A7857" s="5">
        <v>7853</v>
      </c>
      <c r="B7857" s="5">
        <v>328</v>
      </c>
      <c r="C7857" s="5">
        <v>11</v>
      </c>
      <c r="D7857" s="379">
        <v>47.138888888888886</v>
      </c>
      <c r="E7857" s="25">
        <v>24.84</v>
      </c>
      <c r="F7857" s="379">
        <v>2.6078793014991546</v>
      </c>
      <c r="G7857" s="25">
        <v>43.56</v>
      </c>
      <c r="H7857" s="379">
        <v>4.3071668815890787</v>
      </c>
      <c r="I7857" s="25">
        <v>34.29</v>
      </c>
      <c r="J7857" s="379">
        <v>1.3080322137007971</v>
      </c>
    </row>
    <row r="7858" spans="1:10" x14ac:dyDescent="0.35">
      <c r="A7858" s="5">
        <v>7854</v>
      </c>
      <c r="B7858" s="5">
        <v>328</v>
      </c>
      <c r="C7858" s="5">
        <v>11</v>
      </c>
      <c r="D7858" s="379">
        <v>52.151111111111106</v>
      </c>
      <c r="E7858" s="25">
        <v>24.84</v>
      </c>
      <c r="F7858" s="379">
        <v>2.9471118292800615</v>
      </c>
      <c r="G7858" s="25">
        <v>43.56</v>
      </c>
      <c r="H7858" s="379">
        <v>4.2011050096489599</v>
      </c>
      <c r="I7858" s="25">
        <v>36.869999999999997</v>
      </c>
      <c r="J7858" s="379">
        <v>0.86626239501888436</v>
      </c>
    </row>
    <row r="7859" spans="1:10" x14ac:dyDescent="0.35">
      <c r="A7859" s="5">
        <v>7855</v>
      </c>
      <c r="B7859" s="5">
        <v>328</v>
      </c>
      <c r="C7859" s="5">
        <v>11</v>
      </c>
      <c r="D7859" s="379">
        <v>61.498888888888892</v>
      </c>
      <c r="E7859" s="25">
        <v>25.29</v>
      </c>
      <c r="F7859" s="379">
        <v>3.6827984858685769</v>
      </c>
      <c r="G7859" s="25">
        <v>43.99</v>
      </c>
      <c r="H7859" s="379">
        <v>3.7738274376680807</v>
      </c>
      <c r="I7859" s="25">
        <v>48.57</v>
      </c>
      <c r="J7859" s="379">
        <v>4.1824044591829574</v>
      </c>
    </row>
    <row r="7860" spans="1:10" x14ac:dyDescent="0.35">
      <c r="A7860" s="5">
        <v>7856</v>
      </c>
      <c r="B7860" s="5">
        <v>328</v>
      </c>
      <c r="C7860" s="5">
        <v>11</v>
      </c>
      <c r="D7860" s="379">
        <v>70.95</v>
      </c>
      <c r="E7860" s="25">
        <v>25.74</v>
      </c>
      <c r="F7860" s="379">
        <v>4.2228629574312828</v>
      </c>
      <c r="G7860" s="25">
        <v>46.98</v>
      </c>
      <c r="H7860" s="379">
        <v>3.6757519191886483</v>
      </c>
      <c r="I7860" s="25">
        <v>50.13</v>
      </c>
      <c r="J7860" s="379">
        <v>0.88050324599053298</v>
      </c>
    </row>
    <row r="7861" spans="1:10" x14ac:dyDescent="0.35">
      <c r="A7861" s="5">
        <v>7857</v>
      </c>
      <c r="B7861" s="5">
        <v>328</v>
      </c>
      <c r="C7861" s="5">
        <v>11</v>
      </c>
      <c r="D7861" s="379">
        <v>71.838888888888889</v>
      </c>
      <c r="E7861" s="25">
        <v>25.74</v>
      </c>
      <c r="F7861" s="379">
        <v>4.0201028879815253</v>
      </c>
      <c r="G7861" s="25">
        <v>47.46</v>
      </c>
      <c r="H7861" s="379">
        <v>1.6820630379504611</v>
      </c>
      <c r="I7861" s="25">
        <v>50.13</v>
      </c>
      <c r="J7861" s="379">
        <v>4.1732751386850317</v>
      </c>
    </row>
    <row r="7862" spans="1:10" x14ac:dyDescent="0.35">
      <c r="A7862" s="5">
        <v>7858</v>
      </c>
      <c r="B7862" s="5">
        <v>328</v>
      </c>
      <c r="C7862" s="5">
        <v>11</v>
      </c>
      <c r="D7862" s="379">
        <v>70.131666666666661</v>
      </c>
      <c r="E7862" s="25">
        <v>25.74</v>
      </c>
      <c r="F7862" s="379">
        <v>5.3922931374698218</v>
      </c>
      <c r="G7862" s="25">
        <v>46.11</v>
      </c>
      <c r="H7862" s="379">
        <v>4.4165332772139854</v>
      </c>
      <c r="I7862" s="25">
        <v>49.06</v>
      </c>
      <c r="J7862" s="379">
        <v>3.9291371199762151</v>
      </c>
    </row>
    <row r="7863" spans="1:10" x14ac:dyDescent="0.35">
      <c r="A7863" s="5">
        <v>7859</v>
      </c>
      <c r="B7863" s="5">
        <v>328</v>
      </c>
      <c r="C7863" s="5">
        <v>11</v>
      </c>
      <c r="D7863" s="379">
        <v>69.186111111111103</v>
      </c>
      <c r="E7863" s="25">
        <v>25.74</v>
      </c>
      <c r="F7863" s="379">
        <v>0.29467199666960858</v>
      </c>
      <c r="G7863" s="25">
        <v>44.74</v>
      </c>
      <c r="H7863" s="379">
        <v>4.847182166699449</v>
      </c>
      <c r="I7863" s="25">
        <v>48.86</v>
      </c>
      <c r="J7863" s="379">
        <v>3.8107135468996769</v>
      </c>
    </row>
    <row r="7864" spans="1:10" x14ac:dyDescent="0.35">
      <c r="A7864" s="5">
        <v>7860</v>
      </c>
      <c r="B7864" s="5">
        <v>328</v>
      </c>
      <c r="C7864" s="5">
        <v>11</v>
      </c>
      <c r="D7864" s="379">
        <v>67.533888888888882</v>
      </c>
      <c r="E7864" s="25">
        <v>25.74</v>
      </c>
      <c r="F7864" s="379">
        <v>0.76240866506357463</v>
      </c>
      <c r="G7864" s="25">
        <v>44.69</v>
      </c>
      <c r="H7864" s="379">
        <v>3.8417567979593157</v>
      </c>
      <c r="I7864" s="25">
        <v>48.86</v>
      </c>
      <c r="J7864" s="379">
        <v>4.2211746166887432</v>
      </c>
    </row>
    <row r="7865" spans="1:10" x14ac:dyDescent="0.35">
      <c r="A7865" s="5">
        <v>7861</v>
      </c>
      <c r="B7865" s="5">
        <v>328</v>
      </c>
      <c r="C7865" s="5">
        <v>11</v>
      </c>
      <c r="D7865" s="379">
        <v>62.465555555555547</v>
      </c>
      <c r="E7865" s="25">
        <v>24.99</v>
      </c>
      <c r="F7865" s="379">
        <v>1.1524521608304601</v>
      </c>
      <c r="G7865" s="25">
        <v>44.69</v>
      </c>
      <c r="H7865" s="379">
        <v>4.1732439583875891</v>
      </c>
      <c r="I7865" s="25">
        <v>48.57</v>
      </c>
      <c r="J7865" s="379">
        <v>3.3254073820031786</v>
      </c>
    </row>
    <row r="7866" spans="1:10" x14ac:dyDescent="0.35">
      <c r="A7866" s="5">
        <v>7862</v>
      </c>
      <c r="B7866" s="5">
        <v>328</v>
      </c>
      <c r="C7866" s="5">
        <v>11</v>
      </c>
      <c r="D7866" s="379">
        <v>61.696666666666665</v>
      </c>
      <c r="E7866" s="25">
        <v>24.99</v>
      </c>
      <c r="F7866" s="379">
        <v>1.8493765502003099</v>
      </c>
      <c r="G7866" s="25">
        <v>44.44</v>
      </c>
      <c r="H7866" s="379">
        <v>4.7709437242443435</v>
      </c>
      <c r="I7866" s="25">
        <v>48.57</v>
      </c>
      <c r="J7866" s="379">
        <v>3.7027223578647397</v>
      </c>
    </row>
    <row r="7867" spans="1:10" x14ac:dyDescent="0.35">
      <c r="A7867" s="5">
        <v>7863</v>
      </c>
      <c r="B7867" s="5">
        <v>328</v>
      </c>
      <c r="C7867" s="5">
        <v>11</v>
      </c>
      <c r="D7867" s="379">
        <v>61.733333333333334</v>
      </c>
      <c r="E7867" s="25">
        <v>24.99</v>
      </c>
      <c r="F7867" s="379">
        <v>1.691560801145914</v>
      </c>
      <c r="G7867" s="25">
        <v>44.44</v>
      </c>
      <c r="H7867" s="379">
        <v>4.7543582657238437</v>
      </c>
      <c r="I7867" s="25">
        <v>48.57</v>
      </c>
      <c r="J7867" s="379">
        <v>3.8697775072002099</v>
      </c>
    </row>
    <row r="7868" spans="1:10" x14ac:dyDescent="0.35">
      <c r="A7868" s="5">
        <v>7864</v>
      </c>
      <c r="B7868" s="5">
        <v>328</v>
      </c>
      <c r="C7868" s="5">
        <v>11</v>
      </c>
      <c r="D7868" s="379">
        <v>65.476111111111109</v>
      </c>
      <c r="E7868" s="25">
        <v>24.99</v>
      </c>
      <c r="F7868" s="379">
        <v>5.8298118038550379</v>
      </c>
      <c r="G7868" s="25">
        <v>44.69</v>
      </c>
      <c r="H7868" s="379">
        <v>5.2553824663133746</v>
      </c>
      <c r="I7868" s="25">
        <v>48.67</v>
      </c>
      <c r="J7868" s="379">
        <v>3.5945299463608968</v>
      </c>
    </row>
    <row r="7869" spans="1:10" x14ac:dyDescent="0.35">
      <c r="A7869" s="5">
        <v>7865</v>
      </c>
      <c r="B7869" s="5">
        <v>328</v>
      </c>
      <c r="C7869" s="5">
        <v>11</v>
      </c>
      <c r="D7869" s="379">
        <v>67.291666666666671</v>
      </c>
      <c r="E7869" s="25">
        <v>25.74</v>
      </c>
      <c r="F7869" s="379">
        <v>6.2010677362690556</v>
      </c>
      <c r="G7869" s="25">
        <v>46.11</v>
      </c>
      <c r="H7869" s="379">
        <v>5.0842139523232266</v>
      </c>
      <c r="I7869" s="25">
        <v>48.67</v>
      </c>
      <c r="J7869" s="379">
        <v>4.9893279793943774</v>
      </c>
    </row>
    <row r="7870" spans="1:10" x14ac:dyDescent="0.35">
      <c r="A7870" s="5">
        <v>7866</v>
      </c>
      <c r="B7870" s="5">
        <v>328</v>
      </c>
      <c r="C7870" s="5">
        <v>11</v>
      </c>
      <c r="D7870" s="379">
        <v>70.25611111111111</v>
      </c>
      <c r="E7870" s="25">
        <v>25.74</v>
      </c>
      <c r="F7870" s="379">
        <v>6.7757574054553658</v>
      </c>
      <c r="G7870" s="25">
        <v>49.28</v>
      </c>
      <c r="H7870" s="379">
        <v>4.9112344875125951</v>
      </c>
      <c r="I7870" s="25">
        <v>50.12</v>
      </c>
      <c r="J7870" s="379">
        <v>5.1624822259666869</v>
      </c>
    </row>
    <row r="7871" spans="1:10" x14ac:dyDescent="0.35">
      <c r="A7871" s="5">
        <v>7867</v>
      </c>
      <c r="B7871" s="5">
        <v>328</v>
      </c>
      <c r="C7871" s="5">
        <v>11</v>
      </c>
      <c r="D7871" s="379">
        <v>66.688888888888883</v>
      </c>
      <c r="E7871" s="25">
        <v>25.74</v>
      </c>
      <c r="F7871" s="379">
        <v>6.1803290618068356</v>
      </c>
      <c r="G7871" s="25">
        <v>51.24</v>
      </c>
      <c r="H7871" s="379">
        <v>5.0028585267614405</v>
      </c>
      <c r="I7871" s="25">
        <v>53.71</v>
      </c>
      <c r="J7871" s="379">
        <v>5.1552696621976253</v>
      </c>
    </row>
    <row r="7872" spans="1:10" x14ac:dyDescent="0.35">
      <c r="A7872" s="5">
        <v>7868</v>
      </c>
      <c r="B7872" s="5">
        <v>328</v>
      </c>
      <c r="C7872" s="5">
        <v>11</v>
      </c>
      <c r="D7872" s="379">
        <v>63.850000000000009</v>
      </c>
      <c r="E7872" s="25">
        <v>25.74</v>
      </c>
      <c r="F7872" s="379">
        <v>6.1451460190202827</v>
      </c>
      <c r="G7872" s="25">
        <v>48.3</v>
      </c>
      <c r="H7872" s="379">
        <v>5.3914848481974538</v>
      </c>
      <c r="I7872" s="25">
        <v>56.52</v>
      </c>
      <c r="J7872" s="379">
        <v>4.4348738134591459</v>
      </c>
    </row>
    <row r="7873" spans="1:10" x14ac:dyDescent="0.35">
      <c r="A7873" s="5">
        <v>7869</v>
      </c>
      <c r="B7873" s="5">
        <v>328</v>
      </c>
      <c r="C7873" s="5">
        <v>11</v>
      </c>
      <c r="D7873" s="379">
        <v>58.656111111111102</v>
      </c>
      <c r="E7873" s="25">
        <v>25.74</v>
      </c>
      <c r="F7873" s="379">
        <v>6.1451460190202827</v>
      </c>
      <c r="G7873" s="25">
        <v>46.03</v>
      </c>
      <c r="H7873" s="379">
        <v>5.3459624880430034</v>
      </c>
      <c r="I7873" s="25">
        <v>53.71</v>
      </c>
      <c r="J7873" s="379">
        <v>4.1855807443381323</v>
      </c>
    </row>
    <row r="7874" spans="1:10" x14ac:dyDescent="0.35">
      <c r="A7874" s="5">
        <v>7870</v>
      </c>
      <c r="B7874" s="5">
        <v>328</v>
      </c>
      <c r="C7874" s="5">
        <v>11</v>
      </c>
      <c r="D7874" s="379">
        <v>55.213888888888889</v>
      </c>
      <c r="E7874" s="25">
        <v>24.99</v>
      </c>
      <c r="F7874" s="379">
        <v>6.399173021680074</v>
      </c>
      <c r="G7874" s="25">
        <v>44.74</v>
      </c>
      <c r="H7874" s="379">
        <v>5.2024772973346094</v>
      </c>
      <c r="I7874" s="25">
        <v>51.62</v>
      </c>
      <c r="J7874" s="379">
        <v>4.4089432518199496</v>
      </c>
    </row>
    <row r="7875" spans="1:10" x14ac:dyDescent="0.35">
      <c r="A7875" s="5">
        <v>7871</v>
      </c>
      <c r="B7875" s="5">
        <v>328</v>
      </c>
      <c r="C7875" s="5">
        <v>11</v>
      </c>
      <c r="D7875" s="379">
        <v>53.293888888888887</v>
      </c>
      <c r="E7875" s="25">
        <v>24.99</v>
      </c>
      <c r="F7875" s="379">
        <v>6.8381750622851509</v>
      </c>
      <c r="G7875" s="25">
        <v>44.86</v>
      </c>
      <c r="H7875" s="379">
        <v>5.4081254277363255</v>
      </c>
      <c r="I7875" s="25">
        <v>50.12</v>
      </c>
      <c r="J7875" s="379">
        <v>4.6201329708151011</v>
      </c>
    </row>
    <row r="7876" spans="1:10" x14ac:dyDescent="0.35">
      <c r="A7876" s="5">
        <v>7872</v>
      </c>
      <c r="B7876" s="5">
        <v>328</v>
      </c>
      <c r="C7876" s="5">
        <v>11</v>
      </c>
      <c r="D7876" s="379">
        <v>48.274444444444441</v>
      </c>
      <c r="E7876" s="25">
        <v>24.99</v>
      </c>
      <c r="F7876" s="379">
        <v>6.6413445947731216</v>
      </c>
      <c r="G7876" s="25">
        <v>44.74</v>
      </c>
      <c r="H7876" s="379">
        <v>5.5418781449834924</v>
      </c>
      <c r="I7876" s="25">
        <v>49.06</v>
      </c>
      <c r="J7876" s="379">
        <v>4.748660393170554</v>
      </c>
    </row>
    <row r="7877" spans="1:10" x14ac:dyDescent="0.35">
      <c r="A7877" s="5">
        <v>7873</v>
      </c>
      <c r="B7877" s="5">
        <v>329</v>
      </c>
      <c r="C7877" s="5">
        <v>11</v>
      </c>
      <c r="D7877" s="379">
        <v>50.202777777777776</v>
      </c>
      <c r="E7877" s="25">
        <v>24.84</v>
      </c>
      <c r="F7877" s="379">
        <v>6.67129399569043</v>
      </c>
      <c r="G7877" s="25">
        <v>44.74</v>
      </c>
      <c r="H7877" s="379">
        <v>5.5556390433898883</v>
      </c>
      <c r="I7877" s="25">
        <v>51.62</v>
      </c>
      <c r="J7877" s="379">
        <v>4.673548297190913</v>
      </c>
    </row>
    <row r="7878" spans="1:10" x14ac:dyDescent="0.35">
      <c r="A7878" s="5">
        <v>7874</v>
      </c>
      <c r="B7878" s="5">
        <v>329</v>
      </c>
      <c r="C7878" s="5">
        <v>11</v>
      </c>
      <c r="D7878" s="379">
        <v>48.31722222222222</v>
      </c>
      <c r="E7878" s="25">
        <v>24.84</v>
      </c>
      <c r="F7878" s="379">
        <v>6.4586703268298358</v>
      </c>
      <c r="G7878" s="25">
        <v>43.56</v>
      </c>
      <c r="H7878" s="379">
        <v>5.6174990131779108</v>
      </c>
      <c r="I7878" s="25">
        <v>51.62</v>
      </c>
      <c r="J7878" s="379">
        <v>4.760078126901151</v>
      </c>
    </row>
    <row r="7879" spans="1:10" x14ac:dyDescent="0.35">
      <c r="A7879" s="5">
        <v>7875</v>
      </c>
      <c r="B7879" s="5">
        <v>329</v>
      </c>
      <c r="C7879" s="5">
        <v>11</v>
      </c>
      <c r="D7879" s="379">
        <v>45.698888888888888</v>
      </c>
      <c r="E7879" s="25">
        <v>24.84</v>
      </c>
      <c r="F7879" s="379">
        <v>6.5351491333401182</v>
      </c>
      <c r="G7879" s="25">
        <v>43.56</v>
      </c>
      <c r="H7879" s="379">
        <v>5.6664398628851442</v>
      </c>
      <c r="I7879" s="25">
        <v>50.12</v>
      </c>
      <c r="J7879" s="379">
        <v>4.7247031918497413</v>
      </c>
    </row>
    <row r="7880" spans="1:10" x14ac:dyDescent="0.35">
      <c r="A7880" s="5">
        <v>7876</v>
      </c>
      <c r="B7880" s="5">
        <v>329</v>
      </c>
      <c r="C7880" s="5">
        <v>11</v>
      </c>
      <c r="D7880" s="379">
        <v>44.002222222222215</v>
      </c>
      <c r="E7880" s="25">
        <v>24.84</v>
      </c>
      <c r="F7880" s="379">
        <v>6.6349879233722806</v>
      </c>
      <c r="G7880" s="25">
        <v>43.56</v>
      </c>
      <c r="H7880" s="379">
        <v>5.2860675134169472</v>
      </c>
      <c r="I7880" s="25">
        <v>50.12</v>
      </c>
      <c r="J7880" s="379">
        <v>4.6175875325833937</v>
      </c>
    </row>
    <row r="7881" spans="1:10" x14ac:dyDescent="0.35">
      <c r="A7881" s="5">
        <v>7877</v>
      </c>
      <c r="B7881" s="5">
        <v>329</v>
      </c>
      <c r="C7881" s="5">
        <v>11</v>
      </c>
      <c r="D7881" s="379">
        <v>45.36944444444444</v>
      </c>
      <c r="E7881" s="25">
        <v>24.84</v>
      </c>
      <c r="F7881" s="379">
        <v>6.6109347454272918</v>
      </c>
      <c r="G7881" s="25">
        <v>43.56</v>
      </c>
      <c r="H7881" s="379">
        <v>5.2303562892106896</v>
      </c>
      <c r="I7881" s="25">
        <v>52.93</v>
      </c>
      <c r="J7881" s="379">
        <v>4.6276888163740102</v>
      </c>
    </row>
    <row r="7882" spans="1:10" x14ac:dyDescent="0.35">
      <c r="A7882" s="5">
        <v>7878</v>
      </c>
      <c r="B7882" s="5">
        <v>329</v>
      </c>
      <c r="C7882" s="5">
        <v>11</v>
      </c>
      <c r="D7882" s="379">
        <v>49.679444444444442</v>
      </c>
      <c r="E7882" s="25">
        <v>24.84</v>
      </c>
      <c r="F7882" s="379">
        <v>7.0407154961131724</v>
      </c>
      <c r="G7882" s="25">
        <v>47.46</v>
      </c>
      <c r="H7882" s="379">
        <v>6.6252344652482984</v>
      </c>
      <c r="I7882" s="25">
        <v>54.87</v>
      </c>
      <c r="J7882" s="379">
        <v>4.1577785745124798</v>
      </c>
    </row>
    <row r="7883" spans="1:10" x14ac:dyDescent="0.35">
      <c r="A7883" s="5">
        <v>7879</v>
      </c>
      <c r="B7883" s="5">
        <v>329</v>
      </c>
      <c r="C7883" s="5">
        <v>11</v>
      </c>
      <c r="D7883" s="379">
        <v>56.147222222222219</v>
      </c>
      <c r="E7883" s="25">
        <v>25.74</v>
      </c>
      <c r="F7883" s="379">
        <v>7.0629065918088827</v>
      </c>
      <c r="G7883" s="25">
        <v>49.75</v>
      </c>
      <c r="H7883" s="379">
        <v>5.8361569447692974</v>
      </c>
      <c r="I7883" s="25">
        <v>65.400000000000006</v>
      </c>
      <c r="J7883" s="379">
        <v>3.0124869902838816</v>
      </c>
    </row>
    <row r="7884" spans="1:10" x14ac:dyDescent="0.35">
      <c r="A7884" s="5">
        <v>7880</v>
      </c>
      <c r="B7884" s="5">
        <v>329</v>
      </c>
      <c r="C7884" s="5">
        <v>11</v>
      </c>
      <c r="D7884" s="379">
        <v>65.102222222222224</v>
      </c>
      <c r="E7884" s="25">
        <v>28.12</v>
      </c>
      <c r="F7884" s="379">
        <v>7.1933246844347885</v>
      </c>
      <c r="G7884" s="25">
        <v>57.04</v>
      </c>
      <c r="H7884" s="379">
        <v>5.0558624751550987</v>
      </c>
      <c r="I7884" s="25">
        <v>72.19</v>
      </c>
      <c r="J7884" s="379">
        <v>3.1908932528791585</v>
      </c>
    </row>
    <row r="7885" spans="1:10" x14ac:dyDescent="0.35">
      <c r="A7885" s="5">
        <v>7881</v>
      </c>
      <c r="B7885" s="5">
        <v>329</v>
      </c>
      <c r="C7885" s="5">
        <v>11</v>
      </c>
      <c r="D7885" s="379">
        <v>69.392777777777781</v>
      </c>
      <c r="E7885" s="25">
        <v>32.119999999999997</v>
      </c>
      <c r="F7885" s="379">
        <v>7.268746353592948</v>
      </c>
      <c r="G7885" s="25">
        <v>62.12</v>
      </c>
      <c r="H7885" s="379">
        <v>4.4713728832030393</v>
      </c>
      <c r="I7885" s="25">
        <v>79.25</v>
      </c>
      <c r="J7885" s="379">
        <v>2.97491710909719</v>
      </c>
    </row>
    <row r="7886" spans="1:10" x14ac:dyDescent="0.35">
      <c r="A7886" s="5">
        <v>7882</v>
      </c>
      <c r="B7886" s="5">
        <v>329</v>
      </c>
      <c r="C7886" s="5">
        <v>11</v>
      </c>
      <c r="D7886" s="379">
        <v>68.085000000000008</v>
      </c>
      <c r="E7886" s="25">
        <v>32.119999999999997</v>
      </c>
      <c r="F7886" s="379">
        <v>7.268746353592948</v>
      </c>
      <c r="G7886" s="25">
        <v>62.12</v>
      </c>
      <c r="H7886" s="379">
        <v>5.5057522244306796</v>
      </c>
      <c r="I7886" s="25">
        <v>79.25</v>
      </c>
      <c r="J7886" s="379">
        <v>3.2432539733626724</v>
      </c>
    </row>
    <row r="7887" spans="1:10" x14ac:dyDescent="0.35">
      <c r="A7887" s="5">
        <v>7883</v>
      </c>
      <c r="B7887" s="5">
        <v>329</v>
      </c>
      <c r="C7887" s="5">
        <v>11</v>
      </c>
      <c r="D7887" s="379">
        <v>64.591666666666669</v>
      </c>
      <c r="E7887" s="25">
        <v>28.97</v>
      </c>
      <c r="F7887" s="379">
        <v>7.2315856799779894</v>
      </c>
      <c r="G7887" s="25">
        <v>62.12</v>
      </c>
      <c r="H7887" s="379">
        <v>4.302097499317405</v>
      </c>
      <c r="I7887" s="25">
        <v>76.94</v>
      </c>
      <c r="J7887" s="379">
        <v>2.1150910536318888</v>
      </c>
    </row>
    <row r="7888" spans="1:10" x14ac:dyDescent="0.35">
      <c r="A7888" s="5">
        <v>7884</v>
      </c>
      <c r="B7888" s="5">
        <v>329</v>
      </c>
      <c r="C7888" s="5">
        <v>11</v>
      </c>
      <c r="D7888" s="379">
        <v>60.366666666666674</v>
      </c>
      <c r="E7888" s="25">
        <v>28.12</v>
      </c>
      <c r="F7888" s="379">
        <v>4.2606085236806912</v>
      </c>
      <c r="G7888" s="25">
        <v>62.12</v>
      </c>
      <c r="H7888" s="379">
        <v>1.3893987854936094</v>
      </c>
      <c r="I7888" s="25">
        <v>72.19</v>
      </c>
      <c r="J7888" s="379">
        <v>5.8611079198898158E-2</v>
      </c>
    </row>
    <row r="7889" spans="1:10" x14ac:dyDescent="0.35">
      <c r="A7889" s="5">
        <v>7885</v>
      </c>
      <c r="B7889" s="5">
        <v>329</v>
      </c>
      <c r="C7889" s="5">
        <v>11</v>
      </c>
      <c r="D7889" s="379">
        <v>58.917222222222222</v>
      </c>
      <c r="E7889" s="25">
        <v>27.3</v>
      </c>
      <c r="F7889" s="379">
        <v>7.1976524196219653</v>
      </c>
      <c r="G7889" s="25">
        <v>58.75</v>
      </c>
      <c r="H7889" s="379">
        <v>6.2644142692389968</v>
      </c>
      <c r="I7889" s="25">
        <v>68.05</v>
      </c>
      <c r="J7889" s="379">
        <v>5.36050563730128</v>
      </c>
    </row>
    <row r="7890" spans="1:10" x14ac:dyDescent="0.35">
      <c r="A7890" s="5">
        <v>7886</v>
      </c>
      <c r="B7890" s="5">
        <v>329</v>
      </c>
      <c r="C7890" s="5">
        <v>11</v>
      </c>
      <c r="D7890" s="379">
        <v>61.393333333333331</v>
      </c>
      <c r="E7890" s="25">
        <v>27.3</v>
      </c>
      <c r="F7890" s="379">
        <v>6.7835366738200751</v>
      </c>
      <c r="G7890" s="25">
        <v>60.31</v>
      </c>
      <c r="H7890" s="379">
        <v>7.8699031947706395</v>
      </c>
      <c r="I7890" s="25">
        <v>67.36</v>
      </c>
      <c r="J7890" s="379">
        <v>4.8744590982595062</v>
      </c>
    </row>
    <row r="7891" spans="1:10" x14ac:dyDescent="0.35">
      <c r="A7891" s="5">
        <v>7887</v>
      </c>
      <c r="B7891" s="5">
        <v>329</v>
      </c>
      <c r="C7891" s="5">
        <v>11</v>
      </c>
      <c r="D7891" s="379">
        <v>64.714999999999989</v>
      </c>
      <c r="E7891" s="25">
        <v>28.12</v>
      </c>
      <c r="F7891" s="379">
        <v>7.3328362059225913</v>
      </c>
      <c r="G7891" s="25">
        <v>60.31</v>
      </c>
      <c r="H7891" s="379">
        <v>4.4713728832030393</v>
      </c>
      <c r="I7891" s="25">
        <v>68.05</v>
      </c>
      <c r="J7891" s="379">
        <v>4.8027007294675261</v>
      </c>
    </row>
    <row r="7892" spans="1:10" x14ac:dyDescent="0.35">
      <c r="A7892" s="5">
        <v>7888</v>
      </c>
      <c r="B7892" s="5">
        <v>329</v>
      </c>
      <c r="C7892" s="5">
        <v>11</v>
      </c>
      <c r="D7892" s="379">
        <v>67.046111111111117</v>
      </c>
      <c r="E7892" s="25">
        <v>32.119999999999997</v>
      </c>
      <c r="F7892" s="379">
        <v>15.93384563564636</v>
      </c>
      <c r="G7892" s="25">
        <v>62.12</v>
      </c>
      <c r="H7892" s="379">
        <v>6.3580087582954654</v>
      </c>
      <c r="I7892" s="25">
        <v>72.19</v>
      </c>
      <c r="J7892" s="379">
        <v>5.0774992564719472</v>
      </c>
    </row>
    <row r="7893" spans="1:10" x14ac:dyDescent="0.35">
      <c r="A7893" s="5">
        <v>7889</v>
      </c>
      <c r="B7893" s="5">
        <v>329</v>
      </c>
      <c r="C7893" s="5">
        <v>11</v>
      </c>
      <c r="D7893" s="379">
        <v>70.653333333333336</v>
      </c>
      <c r="E7893" s="25">
        <v>32.119999999999997</v>
      </c>
      <c r="F7893" s="379">
        <v>15.720080590822036</v>
      </c>
      <c r="G7893" s="25">
        <v>62.12</v>
      </c>
      <c r="H7893" s="379">
        <v>7.1790013727355886</v>
      </c>
      <c r="I7893" s="25">
        <v>83.03</v>
      </c>
      <c r="J7893" s="379">
        <v>4.9100692477603962</v>
      </c>
    </row>
    <row r="7894" spans="1:10" x14ac:dyDescent="0.35">
      <c r="A7894" s="5">
        <v>7890</v>
      </c>
      <c r="B7894" s="5">
        <v>329</v>
      </c>
      <c r="C7894" s="5">
        <v>11</v>
      </c>
      <c r="D7894" s="379">
        <v>74.192777777777778</v>
      </c>
      <c r="E7894" s="25">
        <v>36.94</v>
      </c>
      <c r="F7894" s="379">
        <v>16.143829808182119</v>
      </c>
      <c r="G7894" s="25">
        <v>62.12</v>
      </c>
      <c r="H7894" s="379">
        <v>7.9080037435085799</v>
      </c>
      <c r="I7894" s="25">
        <v>623.48</v>
      </c>
      <c r="J7894" s="379">
        <v>2.9780072000068096</v>
      </c>
    </row>
    <row r="7895" spans="1:10" x14ac:dyDescent="0.35">
      <c r="A7895" s="5">
        <v>7891</v>
      </c>
      <c r="B7895" s="5">
        <v>329</v>
      </c>
      <c r="C7895" s="5">
        <v>11</v>
      </c>
      <c r="D7895" s="379">
        <v>73.137777777777771</v>
      </c>
      <c r="E7895" s="25">
        <v>35.869999999999997</v>
      </c>
      <c r="F7895" s="379">
        <v>16.230756761365384</v>
      </c>
      <c r="G7895" s="25">
        <v>62.12</v>
      </c>
      <c r="H7895" s="379">
        <v>7.6431601354761334</v>
      </c>
      <c r="I7895" s="25">
        <v>623.48</v>
      </c>
      <c r="J7895" s="379">
        <v>4.7008718215025418</v>
      </c>
    </row>
    <row r="7896" spans="1:10" x14ac:dyDescent="0.35">
      <c r="A7896" s="5">
        <v>7892</v>
      </c>
      <c r="B7896" s="5">
        <v>329</v>
      </c>
      <c r="C7896" s="5">
        <v>11</v>
      </c>
      <c r="D7896" s="379">
        <v>71.355555555555554</v>
      </c>
      <c r="E7896" s="25">
        <v>34.82</v>
      </c>
      <c r="F7896" s="379">
        <v>16.197060565885486</v>
      </c>
      <c r="G7896" s="25">
        <v>62.12</v>
      </c>
      <c r="H7896" s="379">
        <v>8.2919147675776887</v>
      </c>
      <c r="I7896" s="25">
        <v>147.82</v>
      </c>
      <c r="J7896" s="379">
        <v>4.5688956868879886</v>
      </c>
    </row>
    <row r="7897" spans="1:10" x14ac:dyDescent="0.35">
      <c r="A7897" s="5">
        <v>7893</v>
      </c>
      <c r="B7897" s="5">
        <v>329</v>
      </c>
      <c r="C7897" s="5">
        <v>11</v>
      </c>
      <c r="D7897" s="379">
        <v>65.045555555555552</v>
      </c>
      <c r="E7897" s="25">
        <v>28.12</v>
      </c>
      <c r="F7897" s="379">
        <v>17.098978258152574</v>
      </c>
      <c r="G7897" s="25">
        <v>60.51</v>
      </c>
      <c r="H7897" s="379">
        <v>8.4157809352719823</v>
      </c>
      <c r="I7897" s="25">
        <v>72.19</v>
      </c>
      <c r="J7897" s="379">
        <v>3.5502249199892559</v>
      </c>
    </row>
    <row r="7898" spans="1:10" x14ac:dyDescent="0.35">
      <c r="A7898" s="5">
        <v>7894</v>
      </c>
      <c r="B7898" s="5">
        <v>329</v>
      </c>
      <c r="C7898" s="5">
        <v>11</v>
      </c>
      <c r="D7898" s="379">
        <v>62.928888888888892</v>
      </c>
      <c r="E7898" s="25">
        <v>28.12</v>
      </c>
      <c r="F7898" s="379">
        <v>14.888437242163167</v>
      </c>
      <c r="G7898" s="25">
        <v>52.67</v>
      </c>
      <c r="H7898" s="379">
        <v>8.6852168856653993</v>
      </c>
      <c r="I7898" s="25">
        <v>66.06</v>
      </c>
      <c r="J7898" s="379">
        <v>4.4231536678469157</v>
      </c>
    </row>
    <row r="7899" spans="1:10" x14ac:dyDescent="0.35">
      <c r="A7899" s="5">
        <v>7895</v>
      </c>
      <c r="B7899" s="5">
        <v>329</v>
      </c>
      <c r="C7899" s="5">
        <v>11</v>
      </c>
      <c r="D7899" s="379">
        <v>62.469444444444449</v>
      </c>
      <c r="E7899" s="25">
        <v>27.3</v>
      </c>
      <c r="F7899" s="379">
        <v>15.138423164323312</v>
      </c>
      <c r="G7899" s="25">
        <v>50.25</v>
      </c>
      <c r="H7899" s="379">
        <v>8.5590850206480127</v>
      </c>
      <c r="I7899" s="25">
        <v>66.06</v>
      </c>
      <c r="J7899" s="379">
        <v>4.3420197847539157</v>
      </c>
    </row>
    <row r="7900" spans="1:10" x14ac:dyDescent="0.35">
      <c r="A7900" s="5">
        <v>7896</v>
      </c>
      <c r="B7900" s="5">
        <v>329</v>
      </c>
      <c r="C7900" s="5">
        <v>11</v>
      </c>
      <c r="D7900" s="379">
        <v>58.452222222222211</v>
      </c>
      <c r="E7900" s="25">
        <v>25.74</v>
      </c>
      <c r="F7900" s="379">
        <v>15.747117501606242</v>
      </c>
      <c r="G7900" s="25">
        <v>50.25</v>
      </c>
      <c r="H7900" s="379">
        <v>8.5515642655474817</v>
      </c>
      <c r="I7900" s="25">
        <v>66.06</v>
      </c>
      <c r="J7900" s="379">
        <v>3.6369934071333638</v>
      </c>
    </row>
    <row r="7901" spans="1:10" x14ac:dyDescent="0.35">
      <c r="A7901" s="5">
        <v>7897</v>
      </c>
      <c r="B7901" s="5">
        <v>330</v>
      </c>
      <c r="C7901" s="5">
        <v>11</v>
      </c>
      <c r="D7901" s="379">
        <v>60.551666666666669</v>
      </c>
      <c r="E7901" s="25">
        <v>25.74</v>
      </c>
      <c r="F7901" s="379">
        <v>15.87820032588891</v>
      </c>
      <c r="G7901" s="25">
        <v>50.25</v>
      </c>
      <c r="H7901" s="379">
        <v>8.5424174003779623</v>
      </c>
      <c r="I7901" s="25">
        <v>66.06</v>
      </c>
      <c r="J7901" s="379">
        <v>4.422789995664095</v>
      </c>
    </row>
    <row r="7902" spans="1:10" x14ac:dyDescent="0.35">
      <c r="A7902" s="5">
        <v>7898</v>
      </c>
      <c r="B7902" s="5">
        <v>330</v>
      </c>
      <c r="C7902" s="5">
        <v>11</v>
      </c>
      <c r="D7902" s="379">
        <v>59.459999999999994</v>
      </c>
      <c r="E7902" s="25">
        <v>24.84</v>
      </c>
      <c r="F7902" s="379">
        <v>14.254040675010874</v>
      </c>
      <c r="G7902" s="25">
        <v>47.46</v>
      </c>
      <c r="H7902" s="379">
        <v>8.4135604198154557</v>
      </c>
      <c r="I7902" s="25">
        <v>63.5</v>
      </c>
      <c r="J7902" s="379">
        <v>4.0831218652156887</v>
      </c>
    </row>
    <row r="7903" spans="1:10" x14ac:dyDescent="0.35">
      <c r="A7903" s="5">
        <v>7899</v>
      </c>
      <c r="B7903" s="5">
        <v>330</v>
      </c>
      <c r="C7903" s="5">
        <v>11</v>
      </c>
      <c r="D7903" s="379">
        <v>57.934444444444452</v>
      </c>
      <c r="E7903" s="25">
        <v>24.84</v>
      </c>
      <c r="F7903" s="379">
        <v>15.145943422753174</v>
      </c>
      <c r="G7903" s="25">
        <v>47.46</v>
      </c>
      <c r="H7903" s="379">
        <v>8.4870042061386606</v>
      </c>
      <c r="I7903" s="25">
        <v>60.46</v>
      </c>
      <c r="J7903" s="379">
        <v>3.8215228111487121</v>
      </c>
    </row>
    <row r="7904" spans="1:10" x14ac:dyDescent="0.35">
      <c r="A7904" s="5">
        <v>7900</v>
      </c>
      <c r="B7904" s="5">
        <v>330</v>
      </c>
      <c r="C7904" s="5">
        <v>11</v>
      </c>
      <c r="D7904" s="379">
        <v>56.527222222222221</v>
      </c>
      <c r="E7904" s="25">
        <v>24.84</v>
      </c>
      <c r="F7904" s="379">
        <v>14.023414193614348</v>
      </c>
      <c r="G7904" s="25">
        <v>47.46</v>
      </c>
      <c r="H7904" s="379">
        <v>8.5731951273419629</v>
      </c>
      <c r="I7904" s="25">
        <v>60.46</v>
      </c>
      <c r="J7904" s="379">
        <v>5.3992686036635389</v>
      </c>
    </row>
    <row r="7905" spans="1:10" x14ac:dyDescent="0.35">
      <c r="A7905" s="5">
        <v>7901</v>
      </c>
      <c r="B7905" s="5">
        <v>330</v>
      </c>
      <c r="C7905" s="5">
        <v>11</v>
      </c>
      <c r="D7905" s="379">
        <v>57.239444444444437</v>
      </c>
      <c r="E7905" s="25">
        <v>24.84</v>
      </c>
      <c r="F7905" s="379">
        <v>13.783744927187591</v>
      </c>
      <c r="G7905" s="25">
        <v>47.85</v>
      </c>
      <c r="H7905" s="379">
        <v>8.5576173168080096</v>
      </c>
      <c r="I7905" s="25">
        <v>64.14</v>
      </c>
      <c r="J7905" s="379">
        <v>6.3917144607205438</v>
      </c>
    </row>
    <row r="7906" spans="1:10" x14ac:dyDescent="0.35">
      <c r="A7906" s="5">
        <v>7902</v>
      </c>
      <c r="B7906" s="5">
        <v>330</v>
      </c>
      <c r="C7906" s="5">
        <v>11</v>
      </c>
      <c r="D7906" s="379">
        <v>58.61</v>
      </c>
      <c r="E7906" s="25">
        <v>24.99</v>
      </c>
      <c r="F7906" s="379">
        <v>17.499709957535408</v>
      </c>
      <c r="G7906" s="25">
        <v>49.75</v>
      </c>
      <c r="H7906" s="379">
        <v>11.519685385690522</v>
      </c>
      <c r="I7906" s="25">
        <v>70.09</v>
      </c>
      <c r="J7906" s="379">
        <v>7.5935118264983235</v>
      </c>
    </row>
    <row r="7907" spans="1:10" x14ac:dyDescent="0.35">
      <c r="A7907" s="5">
        <v>7903</v>
      </c>
      <c r="B7907" s="5">
        <v>330</v>
      </c>
      <c r="C7907" s="5">
        <v>11</v>
      </c>
      <c r="D7907" s="379">
        <v>59.127777777777773</v>
      </c>
      <c r="E7907" s="25">
        <v>27.3</v>
      </c>
      <c r="F7907" s="379">
        <v>18.788728336211072</v>
      </c>
      <c r="G7907" s="25">
        <v>53.77</v>
      </c>
      <c r="H7907" s="379">
        <v>12.834871350883645</v>
      </c>
      <c r="I7907" s="25">
        <v>156.82</v>
      </c>
      <c r="J7907" s="379">
        <v>6.8446368706423186</v>
      </c>
    </row>
    <row r="7908" spans="1:10" x14ac:dyDescent="0.35">
      <c r="A7908" s="5">
        <v>7904</v>
      </c>
      <c r="B7908" s="5">
        <v>330</v>
      </c>
      <c r="C7908" s="5">
        <v>11</v>
      </c>
      <c r="D7908" s="379">
        <v>61.19222222222222</v>
      </c>
      <c r="E7908" s="25">
        <v>35.869999999999997</v>
      </c>
      <c r="F7908" s="379">
        <v>26.443792405980528</v>
      </c>
      <c r="G7908" s="25">
        <v>62.53</v>
      </c>
      <c r="H7908" s="379">
        <v>14.348024498381209</v>
      </c>
      <c r="I7908" s="25">
        <v>843.72</v>
      </c>
      <c r="J7908" s="379">
        <v>6.8446368706423186</v>
      </c>
    </row>
    <row r="7909" spans="1:10" x14ac:dyDescent="0.35">
      <c r="A7909" s="5">
        <v>7905</v>
      </c>
      <c r="B7909" s="5">
        <v>330</v>
      </c>
      <c r="C7909" s="5">
        <v>11</v>
      </c>
      <c r="D7909" s="379">
        <v>65.041111111111107</v>
      </c>
      <c r="E7909" s="25">
        <v>36.94</v>
      </c>
      <c r="F7909" s="379">
        <v>25.844886120802954</v>
      </c>
      <c r="G7909" s="25">
        <v>64.2</v>
      </c>
      <c r="H7909" s="379">
        <v>13.713891594542432</v>
      </c>
      <c r="I7909" s="25">
        <v>843.72</v>
      </c>
      <c r="J7909" s="379">
        <v>7.4332959039321587</v>
      </c>
    </row>
    <row r="7910" spans="1:10" x14ac:dyDescent="0.35">
      <c r="A7910" s="5">
        <v>7906</v>
      </c>
      <c r="B7910" s="5">
        <v>330</v>
      </c>
      <c r="C7910" s="5">
        <v>11</v>
      </c>
      <c r="D7910" s="379">
        <v>67.951666666666654</v>
      </c>
      <c r="E7910" s="25">
        <v>36.94</v>
      </c>
      <c r="F7910" s="379">
        <v>23.243779743444939</v>
      </c>
      <c r="G7910" s="25">
        <v>64.2</v>
      </c>
      <c r="H7910" s="379">
        <v>8.8360021825965589</v>
      </c>
      <c r="I7910" s="25">
        <v>843.72</v>
      </c>
      <c r="J7910" s="379">
        <v>4.3938706021109049</v>
      </c>
    </row>
    <row r="7911" spans="1:10" x14ac:dyDescent="0.35">
      <c r="A7911" s="5">
        <v>7907</v>
      </c>
      <c r="B7911" s="5">
        <v>330</v>
      </c>
      <c r="C7911" s="5">
        <v>11</v>
      </c>
      <c r="D7911" s="379">
        <v>66.126666666666665</v>
      </c>
      <c r="E7911" s="25">
        <v>36.94</v>
      </c>
      <c r="F7911" s="379">
        <v>21.361953601016165</v>
      </c>
      <c r="G7911" s="25">
        <v>64.2</v>
      </c>
      <c r="H7911" s="379">
        <v>12.155093455924472</v>
      </c>
      <c r="I7911" s="25">
        <v>843.72</v>
      </c>
      <c r="J7911" s="379">
        <v>4.3938706021109049</v>
      </c>
    </row>
    <row r="7912" spans="1:10" x14ac:dyDescent="0.35">
      <c r="A7912" s="5">
        <v>7908</v>
      </c>
      <c r="B7912" s="5">
        <v>330</v>
      </c>
      <c r="C7912" s="5">
        <v>11</v>
      </c>
      <c r="D7912" s="379">
        <v>64.776666666666671</v>
      </c>
      <c r="E7912" s="25">
        <v>36.94</v>
      </c>
      <c r="F7912" s="379">
        <v>23.467016880003385</v>
      </c>
      <c r="G7912" s="25">
        <v>64.2</v>
      </c>
      <c r="H7912" s="379">
        <v>4.799693804694658</v>
      </c>
      <c r="I7912" s="25">
        <v>843.72</v>
      </c>
      <c r="J7912" s="379">
        <v>5.0278313569979671</v>
      </c>
    </row>
    <row r="7913" spans="1:10" x14ac:dyDescent="0.35">
      <c r="A7913" s="5">
        <v>7909</v>
      </c>
      <c r="B7913" s="5">
        <v>330</v>
      </c>
      <c r="C7913" s="5">
        <v>11</v>
      </c>
      <c r="D7913" s="379">
        <v>60.821111111111108</v>
      </c>
      <c r="E7913" s="25">
        <v>36.01</v>
      </c>
      <c r="F7913" s="379">
        <v>23.659894898880719</v>
      </c>
      <c r="G7913" s="25">
        <v>64.2</v>
      </c>
      <c r="H7913" s="379">
        <v>12.324168305572336</v>
      </c>
      <c r="I7913" s="25">
        <v>843.72</v>
      </c>
      <c r="J7913" s="379">
        <v>6.1643376433097545</v>
      </c>
    </row>
    <row r="7914" spans="1:10" x14ac:dyDescent="0.35">
      <c r="A7914" s="5">
        <v>7910</v>
      </c>
      <c r="B7914" s="5">
        <v>330</v>
      </c>
      <c r="C7914" s="5">
        <v>11</v>
      </c>
      <c r="D7914" s="379">
        <v>57.786666666666662</v>
      </c>
      <c r="E7914" s="25">
        <v>36.01</v>
      </c>
      <c r="F7914" s="379">
        <v>24.311642914646477</v>
      </c>
      <c r="G7914" s="25">
        <v>64.2</v>
      </c>
      <c r="H7914" s="379">
        <v>12.170307726843443</v>
      </c>
      <c r="I7914" s="25">
        <v>843.72</v>
      </c>
      <c r="J7914" s="379">
        <v>6.245285592910256</v>
      </c>
    </row>
    <row r="7915" spans="1:10" x14ac:dyDescent="0.35">
      <c r="A7915" s="5">
        <v>7911</v>
      </c>
      <c r="B7915" s="5">
        <v>330</v>
      </c>
      <c r="C7915" s="5">
        <v>11</v>
      </c>
      <c r="D7915" s="379">
        <v>60.32555555555556</v>
      </c>
      <c r="E7915" s="25">
        <v>36.94</v>
      </c>
      <c r="F7915" s="379">
        <v>26.201837807427289</v>
      </c>
      <c r="G7915" s="25">
        <v>64.2</v>
      </c>
      <c r="H7915" s="379">
        <v>18.854909025074999</v>
      </c>
      <c r="I7915" s="25">
        <v>843.72</v>
      </c>
      <c r="J7915" s="379">
        <v>7.7832293230519278</v>
      </c>
    </row>
    <row r="7916" spans="1:10" x14ac:dyDescent="0.35">
      <c r="A7916" s="5">
        <v>7912</v>
      </c>
      <c r="B7916" s="5">
        <v>330</v>
      </c>
      <c r="C7916" s="5">
        <v>11</v>
      </c>
      <c r="D7916" s="379">
        <v>60.855555555555547</v>
      </c>
      <c r="E7916" s="25">
        <v>36.94</v>
      </c>
      <c r="F7916" s="379">
        <v>33.147248262243615</v>
      </c>
      <c r="G7916" s="25">
        <v>64.2</v>
      </c>
      <c r="H7916" s="379">
        <v>23.328917598598515</v>
      </c>
      <c r="I7916" s="25">
        <v>843.72</v>
      </c>
      <c r="J7916" s="379">
        <v>7.8316914517412597</v>
      </c>
    </row>
    <row r="7917" spans="1:10" x14ac:dyDescent="0.35">
      <c r="A7917" s="5">
        <v>7913</v>
      </c>
      <c r="B7917" s="5">
        <v>330</v>
      </c>
      <c r="C7917" s="5">
        <v>11</v>
      </c>
      <c r="D7917" s="379">
        <v>64.73333333333332</v>
      </c>
      <c r="E7917" s="25">
        <v>36.94</v>
      </c>
      <c r="F7917" s="379">
        <v>138.88888888888889</v>
      </c>
      <c r="G7917" s="25">
        <v>819.14</v>
      </c>
      <c r="H7917" s="379">
        <v>19.298055149172558</v>
      </c>
      <c r="I7917" s="25">
        <v>869.03</v>
      </c>
      <c r="J7917" s="379">
        <v>7.7457728555636223</v>
      </c>
    </row>
    <row r="7918" spans="1:10" x14ac:dyDescent="0.35">
      <c r="A7918" s="5">
        <v>7914</v>
      </c>
      <c r="B7918" s="5">
        <v>330</v>
      </c>
      <c r="C7918" s="5">
        <v>11</v>
      </c>
      <c r="D7918" s="379">
        <v>68.86</v>
      </c>
      <c r="E7918" s="25">
        <v>38.200000000000003</v>
      </c>
      <c r="F7918" s="379">
        <v>138.88888888888889</v>
      </c>
      <c r="G7918" s="25">
        <v>843.72</v>
      </c>
      <c r="H7918" s="379">
        <v>23.710739616329263</v>
      </c>
      <c r="I7918" s="25">
        <v>869.03</v>
      </c>
      <c r="J7918" s="379">
        <v>7.4945313343724322</v>
      </c>
    </row>
    <row r="7919" spans="1:10" x14ac:dyDescent="0.35">
      <c r="A7919" s="5">
        <v>7915</v>
      </c>
      <c r="B7919" s="5">
        <v>330</v>
      </c>
      <c r="C7919" s="5">
        <v>11</v>
      </c>
      <c r="D7919" s="379">
        <v>66.317222222222227</v>
      </c>
      <c r="E7919" s="25">
        <v>37.090000000000003</v>
      </c>
      <c r="F7919" s="379">
        <v>138.88888888888889</v>
      </c>
      <c r="G7919" s="25">
        <v>843.72</v>
      </c>
      <c r="H7919" s="379">
        <v>23.358083961502413</v>
      </c>
      <c r="I7919" s="25">
        <v>869.03</v>
      </c>
      <c r="J7919" s="379">
        <v>7.3536734422272234</v>
      </c>
    </row>
    <row r="7920" spans="1:10" x14ac:dyDescent="0.35">
      <c r="A7920" s="5">
        <v>7916</v>
      </c>
      <c r="B7920" s="5">
        <v>330</v>
      </c>
      <c r="C7920" s="5">
        <v>11</v>
      </c>
      <c r="D7920" s="379">
        <v>62.019444444444439</v>
      </c>
      <c r="E7920" s="25">
        <v>36.94</v>
      </c>
      <c r="F7920" s="379">
        <v>138.88888888888889</v>
      </c>
      <c r="G7920" s="25">
        <v>64.2</v>
      </c>
      <c r="H7920" s="379">
        <v>22.215200974636176</v>
      </c>
      <c r="I7920" s="25">
        <v>869.03</v>
      </c>
      <c r="J7920" s="379">
        <v>7.6814924990282822</v>
      </c>
    </row>
    <row r="7921" spans="1:10" x14ac:dyDescent="0.35">
      <c r="A7921" s="5">
        <v>7917</v>
      </c>
      <c r="B7921" s="5">
        <v>330</v>
      </c>
      <c r="C7921" s="5">
        <v>11</v>
      </c>
      <c r="D7921" s="379">
        <v>56.043333333333329</v>
      </c>
      <c r="E7921" s="25">
        <v>36.94</v>
      </c>
      <c r="F7921" s="379">
        <v>34.758277398771668</v>
      </c>
      <c r="G7921" s="25">
        <v>62.33</v>
      </c>
      <c r="H7921" s="379">
        <v>15.651924453131693</v>
      </c>
      <c r="I7921" s="25">
        <v>843.72</v>
      </c>
      <c r="J7921" s="379">
        <v>7.4964252109984217</v>
      </c>
    </row>
    <row r="7922" spans="1:10" x14ac:dyDescent="0.35">
      <c r="A7922" s="5">
        <v>7918</v>
      </c>
      <c r="B7922" s="5">
        <v>330</v>
      </c>
      <c r="C7922" s="5">
        <v>11</v>
      </c>
      <c r="D7922" s="379">
        <v>53.10499999999999</v>
      </c>
      <c r="E7922" s="25">
        <v>34.82</v>
      </c>
      <c r="F7922" s="379">
        <v>15.911364628038603</v>
      </c>
      <c r="G7922" s="25">
        <v>57.04</v>
      </c>
      <c r="H7922" s="379">
        <v>22.03193310694591</v>
      </c>
      <c r="I7922" s="25">
        <v>603.30999999999995</v>
      </c>
      <c r="J7922" s="379">
        <v>7.4571047437776024</v>
      </c>
    </row>
    <row r="7923" spans="1:10" x14ac:dyDescent="0.35">
      <c r="A7923" s="5">
        <v>7919</v>
      </c>
      <c r="B7923" s="5">
        <v>330</v>
      </c>
      <c r="C7923" s="5">
        <v>11</v>
      </c>
      <c r="D7923" s="379">
        <v>50.550000000000004</v>
      </c>
      <c r="E7923" s="25">
        <v>27.96</v>
      </c>
      <c r="F7923" s="379">
        <v>16.601560165168479</v>
      </c>
      <c r="G7923" s="25">
        <v>57.04</v>
      </c>
      <c r="H7923" s="379">
        <v>19.831663531893717</v>
      </c>
      <c r="I7923" s="25">
        <v>158.41</v>
      </c>
      <c r="J7923" s="379">
        <v>7.5850836245817383</v>
      </c>
    </row>
    <row r="7924" spans="1:10" x14ac:dyDescent="0.35">
      <c r="A7924" s="5">
        <v>7920</v>
      </c>
      <c r="B7924" s="5">
        <v>330</v>
      </c>
      <c r="C7924" s="5">
        <v>11</v>
      </c>
      <c r="D7924" s="379">
        <v>46.978888888888896</v>
      </c>
      <c r="E7924" s="25">
        <v>25.74</v>
      </c>
      <c r="F7924" s="379">
        <v>12.268874260248005</v>
      </c>
      <c r="G7924" s="25">
        <v>57.04</v>
      </c>
      <c r="H7924" s="379">
        <v>11.795055974455279</v>
      </c>
      <c r="I7924" s="25">
        <v>156.82</v>
      </c>
      <c r="J7924" s="379">
        <v>6.9548554264589333</v>
      </c>
    </row>
    <row r="7925" spans="1:10" x14ac:dyDescent="0.35">
      <c r="A7925" s="5">
        <v>7921</v>
      </c>
      <c r="B7925" s="5">
        <v>331</v>
      </c>
      <c r="C7925" s="5">
        <v>11</v>
      </c>
      <c r="D7925" s="379">
        <v>41.67444444444444</v>
      </c>
      <c r="E7925" s="25">
        <v>25.59</v>
      </c>
      <c r="F7925" s="379">
        <v>8.4847016907118213</v>
      </c>
      <c r="G7925" s="25">
        <v>47.41</v>
      </c>
      <c r="H7925" s="379">
        <v>5.4771792684394169</v>
      </c>
      <c r="I7925" s="25">
        <v>54.87</v>
      </c>
      <c r="J7925" s="379">
        <v>3.4426814979119627</v>
      </c>
    </row>
    <row r="7926" spans="1:10" x14ac:dyDescent="0.35">
      <c r="A7926" s="5">
        <v>7922</v>
      </c>
      <c r="B7926" s="5">
        <v>331</v>
      </c>
      <c r="C7926" s="5">
        <v>11</v>
      </c>
      <c r="D7926" s="379">
        <v>39.884444444444448</v>
      </c>
      <c r="E7926" s="25">
        <v>24.84</v>
      </c>
      <c r="F7926" s="379">
        <v>6.8520966457845711</v>
      </c>
      <c r="G7926" s="25">
        <v>43.56</v>
      </c>
      <c r="H7926" s="379">
        <v>5.0070994703937401</v>
      </c>
      <c r="I7926" s="25">
        <v>52.55</v>
      </c>
      <c r="J7926" s="379">
        <v>1.2955946955762625</v>
      </c>
    </row>
    <row r="7927" spans="1:10" x14ac:dyDescent="0.35">
      <c r="A7927" s="5">
        <v>7923</v>
      </c>
      <c r="B7927" s="5">
        <v>331</v>
      </c>
      <c r="C7927" s="5">
        <v>11</v>
      </c>
      <c r="D7927" s="379">
        <v>36.923888888888882</v>
      </c>
      <c r="E7927" s="25">
        <v>24.84</v>
      </c>
      <c r="F7927" s="379">
        <v>6.6146275637635013</v>
      </c>
      <c r="G7927" s="25">
        <v>43.47</v>
      </c>
      <c r="H7927" s="379">
        <v>4.2774730228933304</v>
      </c>
      <c r="I7927" s="25">
        <v>50.33</v>
      </c>
      <c r="J7927" s="379">
        <v>1.9218796917734833</v>
      </c>
    </row>
    <row r="7928" spans="1:10" x14ac:dyDescent="0.35">
      <c r="A7928" s="5">
        <v>7924</v>
      </c>
      <c r="B7928" s="5">
        <v>331</v>
      </c>
      <c r="C7928" s="5">
        <v>11</v>
      </c>
      <c r="D7928" s="379">
        <v>32.687777777777775</v>
      </c>
      <c r="E7928" s="25">
        <v>24.84</v>
      </c>
      <c r="F7928" s="379">
        <v>6.934392864445944</v>
      </c>
      <c r="G7928" s="25">
        <v>43.47</v>
      </c>
      <c r="H7928" s="379">
        <v>4.2270471446955442</v>
      </c>
      <c r="I7928" s="25">
        <v>46.85</v>
      </c>
      <c r="J7928" s="379">
        <v>2.3761798449119227</v>
      </c>
    </row>
    <row r="7929" spans="1:10" x14ac:dyDescent="0.35">
      <c r="A7929" s="5">
        <v>7925</v>
      </c>
      <c r="B7929" s="5">
        <v>331</v>
      </c>
      <c r="C7929" s="5">
        <v>11</v>
      </c>
      <c r="D7929" s="379">
        <v>32.592777777777776</v>
      </c>
      <c r="E7929" s="25">
        <v>24.84</v>
      </c>
      <c r="F7929" s="379">
        <v>6.7597348982537362</v>
      </c>
      <c r="G7929" s="25">
        <v>43.47</v>
      </c>
      <c r="H7929" s="379">
        <v>4.2270471446955442</v>
      </c>
      <c r="I7929" s="25">
        <v>43.15</v>
      </c>
      <c r="J7929" s="379">
        <v>1.7432220547879433</v>
      </c>
    </row>
    <row r="7930" spans="1:10" x14ac:dyDescent="0.35">
      <c r="A7930" s="5">
        <v>7926</v>
      </c>
      <c r="B7930" s="5">
        <v>331</v>
      </c>
      <c r="C7930" s="5">
        <v>11</v>
      </c>
      <c r="D7930" s="379">
        <v>34.497222222222227</v>
      </c>
      <c r="E7930" s="25">
        <v>24.84</v>
      </c>
      <c r="F7930" s="379">
        <v>6.2888303504559566</v>
      </c>
      <c r="G7930" s="25">
        <v>42.2</v>
      </c>
      <c r="H7930" s="379">
        <v>4.2407430908228365</v>
      </c>
      <c r="I7930" s="25">
        <v>41.47</v>
      </c>
      <c r="J7930" s="379">
        <v>2.3635323695947141</v>
      </c>
    </row>
    <row r="7931" spans="1:10" x14ac:dyDescent="0.35">
      <c r="A7931" s="5">
        <v>7927</v>
      </c>
      <c r="B7931" s="5">
        <v>331</v>
      </c>
      <c r="C7931" s="5">
        <v>11</v>
      </c>
      <c r="D7931" s="379">
        <v>38.925000000000004</v>
      </c>
      <c r="E7931" s="25">
        <v>24.84</v>
      </c>
      <c r="F7931" s="379">
        <v>6.0328957142733595</v>
      </c>
      <c r="G7931" s="25">
        <v>43.47</v>
      </c>
      <c r="H7931" s="379">
        <v>4.2973677542970687</v>
      </c>
      <c r="I7931" s="25">
        <v>41.47</v>
      </c>
      <c r="J7931" s="379">
        <v>0.51063553595540045</v>
      </c>
    </row>
    <row r="7932" spans="1:10" x14ac:dyDescent="0.35">
      <c r="A7932" s="5">
        <v>7928</v>
      </c>
      <c r="B7932" s="5">
        <v>331</v>
      </c>
      <c r="C7932" s="5">
        <v>11</v>
      </c>
      <c r="D7932" s="379">
        <v>39.450000000000003</v>
      </c>
      <c r="E7932" s="25">
        <v>24.99</v>
      </c>
      <c r="F7932" s="379">
        <v>6.3193929682083834</v>
      </c>
      <c r="G7932" s="25">
        <v>43.64</v>
      </c>
      <c r="H7932" s="379">
        <v>4.2974118073707617</v>
      </c>
      <c r="I7932" s="25">
        <v>46.69</v>
      </c>
      <c r="J7932" s="379">
        <v>3.9210532621798651</v>
      </c>
    </row>
    <row r="7933" spans="1:10" x14ac:dyDescent="0.35">
      <c r="A7933" s="5">
        <v>7929</v>
      </c>
      <c r="B7933" s="5">
        <v>331</v>
      </c>
      <c r="C7933" s="5">
        <v>11</v>
      </c>
      <c r="D7933" s="379">
        <v>41.820555555555558</v>
      </c>
      <c r="E7933" s="25">
        <v>24.99</v>
      </c>
      <c r="F7933" s="379">
        <v>7.113104370562783</v>
      </c>
      <c r="G7933" s="25">
        <v>46.03</v>
      </c>
      <c r="H7933" s="379">
        <v>4.5368986957116313</v>
      </c>
      <c r="I7933" s="25">
        <v>48.79</v>
      </c>
      <c r="J7933" s="379">
        <v>0.29348063947882203</v>
      </c>
    </row>
    <row r="7934" spans="1:10" x14ac:dyDescent="0.35">
      <c r="A7934" s="5">
        <v>7930</v>
      </c>
      <c r="B7934" s="5">
        <v>331</v>
      </c>
      <c r="C7934" s="5">
        <v>11</v>
      </c>
      <c r="D7934" s="379">
        <v>44.693888888888878</v>
      </c>
      <c r="E7934" s="25">
        <v>25.74</v>
      </c>
      <c r="F7934" s="379">
        <v>7.9260354385586034</v>
      </c>
      <c r="G7934" s="25">
        <v>46.03</v>
      </c>
      <c r="H7934" s="379">
        <v>4.2270471446955442</v>
      </c>
      <c r="I7934" s="25">
        <v>48.79</v>
      </c>
      <c r="J7934" s="379">
        <v>4.8367441966154567</v>
      </c>
    </row>
    <row r="7935" spans="1:10" x14ac:dyDescent="0.35">
      <c r="A7935" s="5">
        <v>7931</v>
      </c>
      <c r="B7935" s="5">
        <v>331</v>
      </c>
      <c r="C7935" s="5">
        <v>11</v>
      </c>
      <c r="D7935" s="379">
        <v>47.04722222222221</v>
      </c>
      <c r="E7935" s="25">
        <v>24.99</v>
      </c>
      <c r="F7935" s="379">
        <v>6.6543953149296087</v>
      </c>
      <c r="G7935" s="25">
        <v>46.03</v>
      </c>
      <c r="H7935" s="379">
        <v>4.7601993390717912</v>
      </c>
      <c r="I7935" s="25">
        <v>36.869999999999997</v>
      </c>
      <c r="J7935" s="379">
        <v>1.3214467590187933</v>
      </c>
    </row>
    <row r="7936" spans="1:10" x14ac:dyDescent="0.35">
      <c r="A7936" s="5">
        <v>7932</v>
      </c>
      <c r="B7936" s="5">
        <v>331</v>
      </c>
      <c r="C7936" s="5">
        <v>11</v>
      </c>
      <c r="D7936" s="379">
        <v>48.899444444444427</v>
      </c>
      <c r="E7936" s="25">
        <v>24.99</v>
      </c>
      <c r="F7936" s="379">
        <v>7.0001829793569046</v>
      </c>
      <c r="G7936" s="25">
        <v>44.77</v>
      </c>
      <c r="H7936" s="379">
        <v>5.1579077256840904</v>
      </c>
      <c r="I7936" s="25">
        <v>34.25</v>
      </c>
      <c r="J7936" s="379">
        <v>3.0288119688014605</v>
      </c>
    </row>
    <row r="7937" spans="1:10" x14ac:dyDescent="0.35">
      <c r="A7937" s="5">
        <v>7933</v>
      </c>
      <c r="B7937" s="5">
        <v>331</v>
      </c>
      <c r="C7937" s="5">
        <v>11</v>
      </c>
      <c r="D7937" s="379">
        <v>49.603888888888882</v>
      </c>
      <c r="E7937" s="25">
        <v>24.99</v>
      </c>
      <c r="F7937" s="379">
        <v>6.2126743410275349</v>
      </c>
      <c r="G7937" s="25">
        <v>43.91</v>
      </c>
      <c r="H7937" s="379">
        <v>5.2163641827268936</v>
      </c>
      <c r="I7937" s="25">
        <v>34.01</v>
      </c>
      <c r="J7937" s="379">
        <v>2.0371659010938306</v>
      </c>
    </row>
    <row r="7938" spans="1:10" x14ac:dyDescent="0.35">
      <c r="A7938" s="5">
        <v>7934</v>
      </c>
      <c r="B7938" s="5">
        <v>331</v>
      </c>
      <c r="C7938" s="5">
        <v>11</v>
      </c>
      <c r="D7938" s="379">
        <v>49.795555555555559</v>
      </c>
      <c r="E7938" s="25">
        <v>24.99</v>
      </c>
      <c r="F7938" s="379">
        <v>7.9585398565564711</v>
      </c>
      <c r="G7938" s="25">
        <v>43.56</v>
      </c>
      <c r="H7938" s="379">
        <v>5.1508530228338882</v>
      </c>
      <c r="I7938" s="25">
        <v>33.67</v>
      </c>
      <c r="J7938" s="379">
        <v>3.9297043135101268</v>
      </c>
    </row>
    <row r="7939" spans="1:10" x14ac:dyDescent="0.35">
      <c r="A7939" s="5">
        <v>7935</v>
      </c>
      <c r="B7939" s="5">
        <v>331</v>
      </c>
      <c r="C7939" s="5">
        <v>11</v>
      </c>
      <c r="D7939" s="379">
        <v>51.378888888888888</v>
      </c>
      <c r="E7939" s="25">
        <v>24.84</v>
      </c>
      <c r="F7939" s="379">
        <v>6.5019090188852458</v>
      </c>
      <c r="G7939" s="25">
        <v>43.56</v>
      </c>
      <c r="H7939" s="379">
        <v>4.7602302491152164</v>
      </c>
      <c r="I7939" s="25">
        <v>33.67</v>
      </c>
      <c r="J7939" s="379">
        <v>2.0684847269061915</v>
      </c>
    </row>
    <row r="7940" spans="1:10" x14ac:dyDescent="0.35">
      <c r="A7940" s="5">
        <v>7936</v>
      </c>
      <c r="B7940" s="5">
        <v>331</v>
      </c>
      <c r="C7940" s="5">
        <v>11</v>
      </c>
      <c r="D7940" s="379">
        <v>50.99444444444444</v>
      </c>
      <c r="E7940" s="25">
        <v>24.84</v>
      </c>
      <c r="F7940" s="379">
        <v>5.7016343255509883</v>
      </c>
      <c r="G7940" s="25">
        <v>43.91</v>
      </c>
      <c r="H7940" s="379">
        <v>4.5230409099501827</v>
      </c>
      <c r="I7940" s="25">
        <v>33.67</v>
      </c>
      <c r="J7940" s="379">
        <v>2.0649347811153929</v>
      </c>
    </row>
    <row r="7941" spans="1:10" x14ac:dyDescent="0.35">
      <c r="A7941" s="5">
        <v>7937</v>
      </c>
      <c r="B7941" s="5">
        <v>331</v>
      </c>
      <c r="C7941" s="5">
        <v>11</v>
      </c>
      <c r="D7941" s="379">
        <v>55.580555555555556</v>
      </c>
      <c r="E7941" s="25">
        <v>24.99</v>
      </c>
      <c r="F7941" s="379">
        <v>7.1630754536551509</v>
      </c>
      <c r="G7941" s="25">
        <v>44.74</v>
      </c>
      <c r="H7941" s="379">
        <v>4.2270471446955442</v>
      </c>
      <c r="I7941" s="25">
        <v>33.67</v>
      </c>
      <c r="J7941" s="379">
        <v>4.3588394369251553</v>
      </c>
    </row>
    <row r="7942" spans="1:10" x14ac:dyDescent="0.35">
      <c r="A7942" s="5">
        <v>7938</v>
      </c>
      <c r="B7942" s="5">
        <v>331</v>
      </c>
      <c r="C7942" s="5">
        <v>11</v>
      </c>
      <c r="D7942" s="379">
        <v>59.068333333333335</v>
      </c>
      <c r="E7942" s="25">
        <v>25.74</v>
      </c>
      <c r="F7942" s="379">
        <v>7.1630754536551509</v>
      </c>
      <c r="G7942" s="25">
        <v>46.03</v>
      </c>
      <c r="H7942" s="379">
        <v>7.6381694342879793</v>
      </c>
      <c r="I7942" s="25">
        <v>33.67</v>
      </c>
      <c r="J7942" s="379">
        <v>4.7158544643368847</v>
      </c>
    </row>
    <row r="7943" spans="1:10" x14ac:dyDescent="0.35">
      <c r="A7943" s="5">
        <v>7939</v>
      </c>
      <c r="B7943" s="5">
        <v>331</v>
      </c>
      <c r="C7943" s="5">
        <v>11</v>
      </c>
      <c r="D7943" s="379">
        <v>59.25888888888889</v>
      </c>
      <c r="E7943" s="25">
        <v>25.74</v>
      </c>
      <c r="F7943" s="379">
        <v>5.8722705023201849</v>
      </c>
      <c r="G7943" s="25">
        <v>45.78</v>
      </c>
      <c r="H7943" s="379">
        <v>7.5122170893471809</v>
      </c>
      <c r="I7943" s="25">
        <v>33.67</v>
      </c>
      <c r="J7943" s="379">
        <v>4.3107413527740697</v>
      </c>
    </row>
    <row r="7944" spans="1:10" x14ac:dyDescent="0.35">
      <c r="A7944" s="5">
        <v>7940</v>
      </c>
      <c r="B7944" s="5">
        <v>331</v>
      </c>
      <c r="C7944" s="5">
        <v>11</v>
      </c>
      <c r="D7944" s="379">
        <v>55.655000000000001</v>
      </c>
      <c r="E7944" s="25">
        <v>24.84</v>
      </c>
      <c r="F7944" s="379">
        <v>4.9134586304596821</v>
      </c>
      <c r="G7944" s="25">
        <v>43.56</v>
      </c>
      <c r="H7944" s="379">
        <v>7.4963974949887637</v>
      </c>
      <c r="I7944" s="25">
        <v>33.67</v>
      </c>
      <c r="J7944" s="379">
        <v>3.7100415606848038</v>
      </c>
    </row>
    <row r="7945" spans="1:10" x14ac:dyDescent="0.35">
      <c r="A7945" s="5">
        <v>7941</v>
      </c>
      <c r="B7945" s="5">
        <v>331</v>
      </c>
      <c r="C7945" s="5">
        <v>11</v>
      </c>
      <c r="D7945" s="379">
        <v>53.326666666666668</v>
      </c>
      <c r="E7945" s="25">
        <v>24.84</v>
      </c>
      <c r="F7945" s="379">
        <v>6.0458558476515138</v>
      </c>
      <c r="G7945" s="25">
        <v>43.47</v>
      </c>
      <c r="H7945" s="379">
        <v>4.767824153320106</v>
      </c>
      <c r="I7945" s="25">
        <v>33.67</v>
      </c>
      <c r="J7945" s="379">
        <v>4.4595156158890807</v>
      </c>
    </row>
    <row r="7946" spans="1:10" x14ac:dyDescent="0.35">
      <c r="A7946" s="5">
        <v>7942</v>
      </c>
      <c r="B7946" s="5">
        <v>331</v>
      </c>
      <c r="C7946" s="5">
        <v>11</v>
      </c>
      <c r="D7946" s="379">
        <v>49.827777777777776</v>
      </c>
      <c r="E7946" s="25">
        <v>24.84</v>
      </c>
      <c r="F7946" s="379">
        <v>4.8552663961280587</v>
      </c>
      <c r="G7946" s="25">
        <v>43.47</v>
      </c>
      <c r="H7946" s="379">
        <v>3.824115626181658</v>
      </c>
      <c r="I7946" s="25">
        <v>33.67</v>
      </c>
      <c r="J7946" s="379">
        <v>0.24615181790559959</v>
      </c>
    </row>
    <row r="7947" spans="1:10" x14ac:dyDescent="0.35">
      <c r="A7947" s="5">
        <v>7943</v>
      </c>
      <c r="B7947" s="5">
        <v>331</v>
      </c>
      <c r="C7947" s="5">
        <v>11</v>
      </c>
      <c r="D7947" s="379">
        <v>49.667222222222222</v>
      </c>
      <c r="E7947" s="25">
        <v>24.84</v>
      </c>
      <c r="F7947" s="379">
        <v>4.3515006284214843</v>
      </c>
      <c r="G7947" s="25">
        <v>41.39</v>
      </c>
      <c r="H7947" s="379">
        <v>3.6300160210753347</v>
      </c>
      <c r="I7947" s="25">
        <v>33.67</v>
      </c>
      <c r="J7947" s="379">
        <v>1.6619578460130504</v>
      </c>
    </row>
    <row r="7948" spans="1:10" x14ac:dyDescent="0.35">
      <c r="A7948" s="5">
        <v>7944</v>
      </c>
      <c r="B7948" s="5">
        <v>331</v>
      </c>
      <c r="C7948" s="5">
        <v>11</v>
      </c>
      <c r="D7948" s="379">
        <v>48.332222222222221</v>
      </c>
      <c r="E7948" s="25">
        <v>24.73</v>
      </c>
      <c r="F7948" s="379">
        <v>4.1296908789566471</v>
      </c>
      <c r="G7948" s="25">
        <v>33.090000000000003</v>
      </c>
      <c r="H7948" s="379">
        <v>1.7985060977439495</v>
      </c>
      <c r="I7948" s="25">
        <v>33.67</v>
      </c>
      <c r="J7948" s="379">
        <v>2.0925976871750964</v>
      </c>
    </row>
    <row r="7949" spans="1:10" x14ac:dyDescent="0.35">
      <c r="A7949" s="5">
        <v>7945</v>
      </c>
      <c r="B7949" s="5">
        <v>332</v>
      </c>
      <c r="C7949" s="5">
        <v>11</v>
      </c>
      <c r="D7949" s="379">
        <v>52.818888888888885</v>
      </c>
      <c r="E7949" s="25">
        <v>23.9</v>
      </c>
      <c r="F7949" s="379">
        <v>2.7501141128662416</v>
      </c>
      <c r="G7949" s="25">
        <v>30.03</v>
      </c>
      <c r="H7949" s="379">
        <v>0.23270945710076796</v>
      </c>
      <c r="I7949" s="25">
        <v>33.67</v>
      </c>
      <c r="J7949" s="379">
        <v>1.4978007262495419</v>
      </c>
    </row>
    <row r="7950" spans="1:10" x14ac:dyDescent="0.35">
      <c r="A7950" s="5">
        <v>7946</v>
      </c>
      <c r="B7950" s="5">
        <v>332</v>
      </c>
      <c r="C7950" s="5">
        <v>11</v>
      </c>
      <c r="D7950" s="379">
        <v>49.163888888888884</v>
      </c>
      <c r="E7950" s="25">
        <v>21.12</v>
      </c>
      <c r="F7950" s="379">
        <v>3.2381071185541126</v>
      </c>
      <c r="G7950" s="25">
        <v>30.03</v>
      </c>
      <c r="H7950" s="379">
        <v>1.906589528194125</v>
      </c>
      <c r="I7950" s="25">
        <v>33.67</v>
      </c>
      <c r="J7950" s="379">
        <v>1.4390642199179313</v>
      </c>
    </row>
    <row r="7951" spans="1:10" x14ac:dyDescent="0.35">
      <c r="A7951" s="5">
        <v>7947</v>
      </c>
      <c r="B7951" s="5">
        <v>332</v>
      </c>
      <c r="C7951" s="5">
        <v>11</v>
      </c>
      <c r="D7951" s="379">
        <v>49.715555555555561</v>
      </c>
      <c r="E7951" s="25">
        <v>17.12</v>
      </c>
      <c r="F7951" s="379">
        <v>3.3351180064250538</v>
      </c>
      <c r="G7951" s="25">
        <v>30.03</v>
      </c>
      <c r="H7951" s="379">
        <v>1.906589528194125</v>
      </c>
      <c r="I7951" s="25">
        <v>33.67</v>
      </c>
      <c r="J7951" s="379">
        <v>2.7800219688655377E-2</v>
      </c>
    </row>
    <row r="7952" spans="1:10" x14ac:dyDescent="0.35">
      <c r="A7952" s="5">
        <v>7948</v>
      </c>
      <c r="B7952" s="5">
        <v>332</v>
      </c>
      <c r="C7952" s="5">
        <v>11</v>
      </c>
      <c r="D7952" s="379">
        <v>48.519444444444439</v>
      </c>
      <c r="E7952" s="25">
        <v>16.3</v>
      </c>
      <c r="F7952" s="379">
        <v>2.8672342891039557</v>
      </c>
      <c r="G7952" s="25">
        <v>30.03</v>
      </c>
      <c r="H7952" s="379">
        <v>1.906589528194125</v>
      </c>
      <c r="I7952" s="25">
        <v>33.67</v>
      </c>
      <c r="J7952" s="379">
        <v>1.6482152596396655</v>
      </c>
    </row>
    <row r="7953" spans="1:10" x14ac:dyDescent="0.35">
      <c r="A7953" s="5">
        <v>7949</v>
      </c>
      <c r="B7953" s="5">
        <v>332</v>
      </c>
      <c r="C7953" s="5">
        <v>11</v>
      </c>
      <c r="D7953" s="379">
        <v>52.297222222222217</v>
      </c>
      <c r="E7953" s="25">
        <v>16.3</v>
      </c>
      <c r="F7953" s="379">
        <v>2.9996166950907508</v>
      </c>
      <c r="G7953" s="25">
        <v>30.03</v>
      </c>
      <c r="H7953" s="379">
        <v>1.906589528194125</v>
      </c>
      <c r="I7953" s="25">
        <v>33.67</v>
      </c>
      <c r="J7953" s="379">
        <v>0.76675024412349013</v>
      </c>
    </row>
    <row r="7954" spans="1:10" x14ac:dyDescent="0.35">
      <c r="A7954" s="5">
        <v>7950</v>
      </c>
      <c r="B7954" s="5">
        <v>332</v>
      </c>
      <c r="C7954" s="5">
        <v>11</v>
      </c>
      <c r="D7954" s="379">
        <v>54.173333333333339</v>
      </c>
      <c r="E7954" s="25">
        <v>16.78</v>
      </c>
      <c r="F7954" s="379">
        <v>2.4795094072111636</v>
      </c>
      <c r="G7954" s="25">
        <v>30.03</v>
      </c>
      <c r="H7954" s="379">
        <v>2.4011044524564795</v>
      </c>
      <c r="I7954" s="25">
        <v>33.67</v>
      </c>
      <c r="J7954" s="379">
        <v>3.5233406463136268</v>
      </c>
    </row>
    <row r="7955" spans="1:10" x14ac:dyDescent="0.35">
      <c r="A7955" s="5">
        <v>7951</v>
      </c>
      <c r="B7955" s="5">
        <v>332</v>
      </c>
      <c r="C7955" s="5">
        <v>11</v>
      </c>
      <c r="D7955" s="379">
        <v>63.849444444444444</v>
      </c>
      <c r="E7955" s="25">
        <v>21.02</v>
      </c>
      <c r="F7955" s="379">
        <v>2.2490821891885617</v>
      </c>
      <c r="G7955" s="25">
        <v>30.03</v>
      </c>
      <c r="H7955" s="379">
        <v>2.4644097064148842</v>
      </c>
      <c r="I7955" s="25">
        <v>33.67</v>
      </c>
      <c r="J7955" s="379">
        <v>3.7613056263857572</v>
      </c>
    </row>
    <row r="7956" spans="1:10" x14ac:dyDescent="0.35">
      <c r="A7956" s="5">
        <v>7952</v>
      </c>
      <c r="B7956" s="5">
        <v>332</v>
      </c>
      <c r="C7956" s="5">
        <v>11</v>
      </c>
      <c r="D7956" s="379">
        <v>76.851111111111123</v>
      </c>
      <c r="E7956" s="25">
        <v>23.73</v>
      </c>
      <c r="F7956" s="379">
        <v>0.85355180530078689</v>
      </c>
      <c r="G7956" s="25">
        <v>30.03</v>
      </c>
      <c r="H7956" s="379">
        <v>4.3745185093840865E-2</v>
      </c>
      <c r="I7956" s="25">
        <v>33.67</v>
      </c>
      <c r="J7956" s="379">
        <v>3.378401153192355</v>
      </c>
    </row>
    <row r="7957" spans="1:10" x14ac:dyDescent="0.35">
      <c r="A7957" s="5">
        <v>7953</v>
      </c>
      <c r="B7957" s="5">
        <v>332</v>
      </c>
      <c r="C7957" s="5">
        <v>11</v>
      </c>
      <c r="D7957" s="379">
        <v>78.246111111111119</v>
      </c>
      <c r="E7957" s="25">
        <v>24.84</v>
      </c>
      <c r="F7957" s="379">
        <v>0.14480167642852412</v>
      </c>
      <c r="G7957" s="25">
        <v>30.03</v>
      </c>
      <c r="H7957" s="379">
        <v>6.2462112657232373E-2</v>
      </c>
      <c r="I7957" s="25">
        <v>33.67</v>
      </c>
      <c r="J7957" s="379">
        <v>1.5232762047241655</v>
      </c>
    </row>
    <row r="7958" spans="1:10" x14ac:dyDescent="0.35">
      <c r="A7958" s="5">
        <v>7954</v>
      </c>
      <c r="B7958" s="5">
        <v>332</v>
      </c>
      <c r="C7958" s="5">
        <v>11</v>
      </c>
      <c r="D7958" s="379">
        <v>79.9861111111111</v>
      </c>
      <c r="E7958" s="25">
        <v>24.84</v>
      </c>
      <c r="F7958" s="379">
        <v>5.6833128684534335</v>
      </c>
      <c r="G7958" s="25">
        <v>31.49</v>
      </c>
      <c r="H7958" s="379">
        <v>2.4644097064148842</v>
      </c>
      <c r="I7958" s="25">
        <v>33.67</v>
      </c>
      <c r="J7958" s="379">
        <v>1.3605549470073204</v>
      </c>
    </row>
    <row r="7959" spans="1:10" x14ac:dyDescent="0.35">
      <c r="A7959" s="5">
        <v>7955</v>
      </c>
      <c r="B7959" s="5">
        <v>332</v>
      </c>
      <c r="C7959" s="5">
        <v>11</v>
      </c>
      <c r="D7959" s="379">
        <v>82.497777777777785</v>
      </c>
      <c r="E7959" s="25">
        <v>24.84</v>
      </c>
      <c r="F7959" s="379">
        <v>5.6255298910263241</v>
      </c>
      <c r="G7959" s="25">
        <v>32.14</v>
      </c>
      <c r="H7959" s="379">
        <v>2.4644097064148842</v>
      </c>
      <c r="I7959" s="25">
        <v>33.67</v>
      </c>
      <c r="J7959" s="379">
        <v>2.777777777777778E-2</v>
      </c>
    </row>
    <row r="7960" spans="1:10" x14ac:dyDescent="0.35">
      <c r="A7960" s="5">
        <v>7956</v>
      </c>
      <c r="B7960" s="5">
        <v>332</v>
      </c>
      <c r="C7960" s="5">
        <v>11</v>
      </c>
      <c r="D7960" s="379">
        <v>83.359444444444435</v>
      </c>
      <c r="E7960" s="25">
        <v>24.84</v>
      </c>
      <c r="F7960" s="379">
        <v>5.6255298910263241</v>
      </c>
      <c r="G7960" s="25">
        <v>34.799999999999997</v>
      </c>
      <c r="H7960" s="379">
        <v>2.4644097064148842</v>
      </c>
      <c r="I7960" s="25">
        <v>33.67</v>
      </c>
      <c r="J7960" s="379">
        <v>2.777777777777778E-2</v>
      </c>
    </row>
    <row r="7961" spans="1:10" x14ac:dyDescent="0.35">
      <c r="A7961" s="5">
        <v>7957</v>
      </c>
      <c r="B7961" s="5">
        <v>332</v>
      </c>
      <c r="C7961" s="5">
        <v>11</v>
      </c>
      <c r="D7961" s="379">
        <v>81.174999999999997</v>
      </c>
      <c r="E7961" s="25">
        <v>24.84</v>
      </c>
      <c r="F7961" s="379">
        <v>7.978273347971937E-2</v>
      </c>
      <c r="G7961" s="25">
        <v>34.799999999999997</v>
      </c>
      <c r="H7961" s="379">
        <v>2.4644097064148842</v>
      </c>
      <c r="I7961" s="25">
        <v>33.67</v>
      </c>
      <c r="J7961" s="379">
        <v>2.777777777777778E-2</v>
      </c>
    </row>
    <row r="7962" spans="1:10" x14ac:dyDescent="0.35">
      <c r="A7962" s="5">
        <v>7958</v>
      </c>
      <c r="B7962" s="5">
        <v>332</v>
      </c>
      <c r="C7962" s="5">
        <v>11</v>
      </c>
      <c r="D7962" s="379">
        <v>83.542222222222222</v>
      </c>
      <c r="E7962" s="25">
        <v>24.84</v>
      </c>
      <c r="F7962" s="379">
        <v>3.4677044104610295</v>
      </c>
      <c r="G7962" s="25">
        <v>30.91</v>
      </c>
      <c r="H7962" s="379">
        <v>2.4644097064148842</v>
      </c>
      <c r="I7962" s="25">
        <v>33.67</v>
      </c>
      <c r="J7962" s="379">
        <v>2.777777777777778E-2</v>
      </c>
    </row>
    <row r="7963" spans="1:10" x14ac:dyDescent="0.35">
      <c r="A7963" s="5">
        <v>7959</v>
      </c>
      <c r="B7963" s="5">
        <v>332</v>
      </c>
      <c r="C7963" s="5">
        <v>11</v>
      </c>
      <c r="D7963" s="379">
        <v>85.509444444444441</v>
      </c>
      <c r="E7963" s="25">
        <v>24.84</v>
      </c>
      <c r="F7963" s="379">
        <v>0.61854254816981913</v>
      </c>
      <c r="G7963" s="25">
        <v>30.33</v>
      </c>
      <c r="H7963" s="379">
        <v>2.4644097064148842</v>
      </c>
      <c r="I7963" s="25">
        <v>33.67</v>
      </c>
      <c r="J7963" s="379">
        <v>2.777777777777778E-2</v>
      </c>
    </row>
    <row r="7964" spans="1:10" x14ac:dyDescent="0.35">
      <c r="A7964" s="5">
        <v>7960</v>
      </c>
      <c r="B7964" s="5">
        <v>332</v>
      </c>
      <c r="C7964" s="5">
        <v>11</v>
      </c>
      <c r="D7964" s="379">
        <v>85.156111111111116</v>
      </c>
      <c r="E7964" s="25">
        <v>24.84</v>
      </c>
      <c r="F7964" s="379">
        <v>5.7500357579623511</v>
      </c>
      <c r="G7964" s="25">
        <v>32.43</v>
      </c>
      <c r="H7964" s="379">
        <v>2.4644097064148842</v>
      </c>
      <c r="I7964" s="25">
        <v>33.67</v>
      </c>
      <c r="J7964" s="379">
        <v>2.777777777777778E-2</v>
      </c>
    </row>
    <row r="7965" spans="1:10" x14ac:dyDescent="0.35">
      <c r="A7965" s="5">
        <v>7961</v>
      </c>
      <c r="B7965" s="5">
        <v>332</v>
      </c>
      <c r="C7965" s="5">
        <v>11</v>
      </c>
      <c r="D7965" s="379">
        <v>108.38777777777779</v>
      </c>
      <c r="E7965" s="25">
        <v>24.84</v>
      </c>
      <c r="F7965" s="379">
        <v>8.1174834595959595</v>
      </c>
      <c r="G7965" s="25">
        <v>39.770000000000003</v>
      </c>
      <c r="H7965" s="379">
        <v>0.14480167642852412</v>
      </c>
      <c r="I7965" s="25">
        <v>33.67</v>
      </c>
      <c r="J7965" s="379">
        <v>0.20299687233942379</v>
      </c>
    </row>
    <row r="7966" spans="1:10" x14ac:dyDescent="0.35">
      <c r="A7966" s="5">
        <v>7962</v>
      </c>
      <c r="B7966" s="5">
        <v>332</v>
      </c>
      <c r="C7966" s="5">
        <v>11</v>
      </c>
      <c r="D7966" s="379">
        <v>125.80333333333333</v>
      </c>
      <c r="E7966" s="25">
        <v>24.84</v>
      </c>
      <c r="F7966" s="379">
        <v>8.1174834595959595</v>
      </c>
      <c r="G7966" s="25">
        <v>43.47</v>
      </c>
      <c r="H7966" s="379">
        <v>0.14480167642852412</v>
      </c>
      <c r="I7966" s="25">
        <v>33.67</v>
      </c>
      <c r="J7966" s="379">
        <v>2.777777777777778E-2</v>
      </c>
    </row>
    <row r="7967" spans="1:10" x14ac:dyDescent="0.35">
      <c r="A7967" s="5">
        <v>7963</v>
      </c>
      <c r="B7967" s="5">
        <v>332</v>
      </c>
      <c r="C7967" s="5">
        <v>11</v>
      </c>
      <c r="D7967" s="379">
        <v>103.92888888888889</v>
      </c>
      <c r="E7967" s="25">
        <v>24.84</v>
      </c>
      <c r="F7967" s="379">
        <v>8.1174834595959595</v>
      </c>
      <c r="G7967" s="25">
        <v>42.17</v>
      </c>
      <c r="H7967" s="379">
        <v>0.14480167642852412</v>
      </c>
      <c r="I7967" s="25">
        <v>33.67</v>
      </c>
      <c r="J7967" s="379">
        <v>0.10188450537588768</v>
      </c>
    </row>
    <row r="7968" spans="1:10" x14ac:dyDescent="0.35">
      <c r="A7968" s="5">
        <v>7964</v>
      </c>
      <c r="B7968" s="5">
        <v>332</v>
      </c>
      <c r="C7968" s="5">
        <v>11</v>
      </c>
      <c r="D7968" s="379">
        <v>85.121666666666655</v>
      </c>
      <c r="E7968" s="25">
        <v>24.84</v>
      </c>
      <c r="F7968" s="379">
        <v>8.1174834595959595</v>
      </c>
      <c r="G7968" s="25">
        <v>39.75</v>
      </c>
      <c r="H7968" s="379">
        <v>0.14480167642852412</v>
      </c>
      <c r="I7968" s="25">
        <v>33.67</v>
      </c>
      <c r="J7968" s="379">
        <v>0.10131410348393396</v>
      </c>
    </row>
    <row r="7969" spans="1:10" x14ac:dyDescent="0.35">
      <c r="A7969" s="5">
        <v>7965</v>
      </c>
      <c r="B7969" s="5">
        <v>332</v>
      </c>
      <c r="C7969" s="5">
        <v>11</v>
      </c>
      <c r="D7969" s="379">
        <v>74.323333333333323</v>
      </c>
      <c r="E7969" s="25">
        <v>24.62</v>
      </c>
      <c r="F7969" s="379">
        <v>8.1174834595959595</v>
      </c>
      <c r="G7969" s="25">
        <v>31.26</v>
      </c>
      <c r="H7969" s="379">
        <v>0.14480167642852412</v>
      </c>
      <c r="I7969" s="25">
        <v>33.67</v>
      </c>
      <c r="J7969" s="379">
        <v>0.10274697600902838</v>
      </c>
    </row>
    <row r="7970" spans="1:10" x14ac:dyDescent="0.35">
      <c r="A7970" s="5">
        <v>7966</v>
      </c>
      <c r="B7970" s="5">
        <v>332</v>
      </c>
      <c r="C7970" s="5">
        <v>11</v>
      </c>
      <c r="D7970" s="379">
        <v>67.61999999999999</v>
      </c>
      <c r="E7970" s="25">
        <v>23.9</v>
      </c>
      <c r="F7970" s="379">
        <v>3.4109813863094773</v>
      </c>
      <c r="G7970" s="25">
        <v>30.03</v>
      </c>
      <c r="H7970" s="379">
        <v>2.4644097064148842</v>
      </c>
      <c r="I7970" s="25">
        <v>33.67</v>
      </c>
      <c r="J7970" s="379">
        <v>0.14807922414585678</v>
      </c>
    </row>
    <row r="7971" spans="1:10" x14ac:dyDescent="0.35">
      <c r="A7971" s="5">
        <v>7967</v>
      </c>
      <c r="B7971" s="5">
        <v>332</v>
      </c>
      <c r="C7971" s="5">
        <v>11</v>
      </c>
      <c r="D7971" s="379">
        <v>63.163888888888891</v>
      </c>
      <c r="E7971" s="25">
        <v>24.26</v>
      </c>
      <c r="F7971" s="379">
        <v>6.2261829135217793E-2</v>
      </c>
      <c r="G7971" s="25">
        <v>30.03</v>
      </c>
      <c r="H7971" s="379">
        <v>2.4644097064148842</v>
      </c>
      <c r="I7971" s="25">
        <v>33.67</v>
      </c>
      <c r="J7971" s="379">
        <v>9.2217494332741706E-2</v>
      </c>
    </row>
    <row r="7972" spans="1:10" x14ac:dyDescent="0.35">
      <c r="A7972" s="5">
        <v>7968</v>
      </c>
      <c r="B7972" s="5">
        <v>332</v>
      </c>
      <c r="C7972" s="5">
        <v>11</v>
      </c>
      <c r="D7972" s="379">
        <v>60.315555555555548</v>
      </c>
      <c r="E7972" s="25">
        <v>23.59</v>
      </c>
      <c r="F7972" s="379">
        <v>3.2984688817194554</v>
      </c>
      <c r="G7972" s="25">
        <v>30.03</v>
      </c>
      <c r="H7972" s="379">
        <v>2.4011044524564795</v>
      </c>
      <c r="I7972" s="25">
        <v>33.67</v>
      </c>
      <c r="J7972" s="379">
        <v>9.221749433274172E-2</v>
      </c>
    </row>
    <row r="7973" spans="1:10" x14ac:dyDescent="0.35">
      <c r="A7973" s="5">
        <v>7969</v>
      </c>
      <c r="B7973" s="5">
        <v>333</v>
      </c>
      <c r="C7973" s="5">
        <v>11</v>
      </c>
      <c r="D7973" s="379">
        <v>66.551666666666648</v>
      </c>
      <c r="E7973" s="25">
        <v>16.760000000000002</v>
      </c>
      <c r="F7973" s="379">
        <v>3.2984688817194554</v>
      </c>
      <c r="G7973" s="25">
        <v>30.03</v>
      </c>
      <c r="H7973" s="379">
        <v>2.4011044524564795</v>
      </c>
      <c r="I7973" s="25">
        <v>33.67</v>
      </c>
      <c r="J7973" s="379">
        <v>9.2217494332741706E-2</v>
      </c>
    </row>
    <row r="7974" spans="1:10" x14ac:dyDescent="0.35">
      <c r="A7974" s="5">
        <v>7970</v>
      </c>
      <c r="B7974" s="5">
        <v>333</v>
      </c>
      <c r="C7974" s="5">
        <v>11</v>
      </c>
      <c r="D7974" s="379">
        <v>64.846111111111114</v>
      </c>
      <c r="E7974" s="25">
        <v>15.37</v>
      </c>
      <c r="F7974" s="379">
        <v>3.2984688817194554</v>
      </c>
      <c r="G7974" s="25">
        <v>30.03</v>
      </c>
      <c r="H7974" s="379">
        <v>2.2638237393473677</v>
      </c>
      <c r="I7974" s="25">
        <v>33.67</v>
      </c>
      <c r="J7974" s="379">
        <v>2.8277465877357716E-2</v>
      </c>
    </row>
    <row r="7975" spans="1:10" x14ac:dyDescent="0.35">
      <c r="A7975" s="5">
        <v>7971</v>
      </c>
      <c r="B7975" s="5">
        <v>333</v>
      </c>
      <c r="C7975" s="5">
        <v>11</v>
      </c>
      <c r="D7975" s="379">
        <v>64.013888888888886</v>
      </c>
      <c r="E7975" s="25">
        <v>15.37</v>
      </c>
      <c r="F7975" s="379">
        <v>3.2984688817194554</v>
      </c>
      <c r="G7975" s="25">
        <v>30.03</v>
      </c>
      <c r="H7975" s="379">
        <v>1.906589528194125</v>
      </c>
      <c r="I7975" s="25">
        <v>33.380000000000003</v>
      </c>
      <c r="J7975" s="379">
        <v>2.777777777777778E-2</v>
      </c>
    </row>
    <row r="7976" spans="1:10" x14ac:dyDescent="0.35">
      <c r="A7976" s="5">
        <v>7972</v>
      </c>
      <c r="B7976" s="5">
        <v>333</v>
      </c>
      <c r="C7976" s="5">
        <v>11</v>
      </c>
      <c r="D7976" s="379">
        <v>62.882777777777783</v>
      </c>
      <c r="E7976" s="25">
        <v>14.53</v>
      </c>
      <c r="F7976" s="379">
        <v>3.2984688817194554</v>
      </c>
      <c r="G7976" s="25">
        <v>30.03</v>
      </c>
      <c r="H7976" s="379">
        <v>1.906589528194125</v>
      </c>
      <c r="I7976" s="25">
        <v>33.380000000000003</v>
      </c>
      <c r="J7976" s="379">
        <v>2.777777777777778E-2</v>
      </c>
    </row>
    <row r="7977" spans="1:10" x14ac:dyDescent="0.35">
      <c r="A7977" s="5">
        <v>7973</v>
      </c>
      <c r="B7977" s="5">
        <v>333</v>
      </c>
      <c r="C7977" s="5">
        <v>11</v>
      </c>
      <c r="D7977" s="379">
        <v>62.778888888888886</v>
      </c>
      <c r="E7977" s="25">
        <v>14.53</v>
      </c>
      <c r="F7977" s="379">
        <v>3.2984688817194554</v>
      </c>
      <c r="G7977" s="25">
        <v>30.03</v>
      </c>
      <c r="H7977" s="379">
        <v>1.906589528194125</v>
      </c>
      <c r="I7977" s="25">
        <v>33.380000000000003</v>
      </c>
      <c r="J7977" s="379">
        <v>2.777777777777778E-2</v>
      </c>
    </row>
    <row r="7978" spans="1:10" x14ac:dyDescent="0.35">
      <c r="A7978" s="5">
        <v>7974</v>
      </c>
      <c r="B7978" s="5">
        <v>333</v>
      </c>
      <c r="C7978" s="5">
        <v>11</v>
      </c>
      <c r="D7978" s="379">
        <v>67.390555555555551</v>
      </c>
      <c r="E7978" s="25">
        <v>21.12</v>
      </c>
      <c r="F7978" s="379">
        <v>3.2984688817194554</v>
      </c>
      <c r="G7978" s="25">
        <v>30.03</v>
      </c>
      <c r="H7978" s="379">
        <v>2.4011044524564795</v>
      </c>
      <c r="I7978" s="25">
        <v>33.67</v>
      </c>
      <c r="J7978" s="379">
        <v>2.8277465877357716E-2</v>
      </c>
    </row>
    <row r="7979" spans="1:10" x14ac:dyDescent="0.35">
      <c r="A7979" s="5">
        <v>7975</v>
      </c>
      <c r="B7979" s="5">
        <v>333</v>
      </c>
      <c r="C7979" s="5">
        <v>11</v>
      </c>
      <c r="D7979" s="379">
        <v>77.37833333333333</v>
      </c>
      <c r="E7979" s="25">
        <v>24.84</v>
      </c>
      <c r="F7979" s="379">
        <v>3.5756434952257288</v>
      </c>
      <c r="G7979" s="25">
        <v>30.91</v>
      </c>
      <c r="H7979" s="379">
        <v>2.4644097064148842</v>
      </c>
      <c r="I7979" s="25">
        <v>33.67</v>
      </c>
      <c r="J7979" s="379">
        <v>3.7486230370806929E-2</v>
      </c>
    </row>
    <row r="7980" spans="1:10" x14ac:dyDescent="0.35">
      <c r="A7980" s="5">
        <v>7976</v>
      </c>
      <c r="B7980" s="5">
        <v>333</v>
      </c>
      <c r="C7980" s="5">
        <v>11</v>
      </c>
      <c r="D7980" s="379">
        <v>104.06833333333333</v>
      </c>
      <c r="E7980" s="25">
        <v>25.29</v>
      </c>
      <c r="F7980" s="379">
        <v>9.2224508880897491E-2</v>
      </c>
      <c r="G7980" s="25">
        <v>43.47</v>
      </c>
      <c r="H7980" s="379">
        <v>2.4644097064148842</v>
      </c>
      <c r="I7980" s="25">
        <v>33.67</v>
      </c>
      <c r="J7980" s="379">
        <v>3.7486230370806929E-2</v>
      </c>
    </row>
    <row r="7981" spans="1:10" x14ac:dyDescent="0.35">
      <c r="A7981" s="5">
        <v>7977</v>
      </c>
      <c r="B7981" s="5">
        <v>333</v>
      </c>
      <c r="C7981" s="5">
        <v>11</v>
      </c>
      <c r="D7981" s="379">
        <v>111.65111111111111</v>
      </c>
      <c r="E7981" s="25">
        <v>25.74</v>
      </c>
      <c r="F7981" s="379">
        <v>0.58478867086025876</v>
      </c>
      <c r="G7981" s="25">
        <v>43.47</v>
      </c>
      <c r="H7981" s="379">
        <v>2.4644097064148842</v>
      </c>
      <c r="I7981" s="25">
        <v>34.07</v>
      </c>
      <c r="J7981" s="379">
        <v>2.8277465877357716E-2</v>
      </c>
    </row>
    <row r="7982" spans="1:10" x14ac:dyDescent="0.35">
      <c r="A7982" s="5">
        <v>7978</v>
      </c>
      <c r="B7982" s="5">
        <v>333</v>
      </c>
      <c r="C7982" s="5">
        <v>11</v>
      </c>
      <c r="D7982" s="379">
        <v>110.87222222222222</v>
      </c>
      <c r="E7982" s="25">
        <v>25.74</v>
      </c>
      <c r="F7982" s="379">
        <v>0.16600397351866578</v>
      </c>
      <c r="G7982" s="25">
        <v>43.47</v>
      </c>
      <c r="H7982" s="379">
        <v>2.4644097064148842</v>
      </c>
      <c r="I7982" s="25">
        <v>34.07</v>
      </c>
      <c r="J7982" s="379">
        <v>2.8277465877357716E-2</v>
      </c>
    </row>
    <row r="7983" spans="1:10" x14ac:dyDescent="0.35">
      <c r="A7983" s="5">
        <v>7979</v>
      </c>
      <c r="B7983" s="5">
        <v>333</v>
      </c>
      <c r="C7983" s="5">
        <v>11</v>
      </c>
      <c r="D7983" s="379">
        <v>110.36166666666666</v>
      </c>
      <c r="E7983" s="25">
        <v>25.29</v>
      </c>
      <c r="F7983" s="379">
        <v>6.3183445896472637E-2</v>
      </c>
      <c r="G7983" s="25">
        <v>43.47</v>
      </c>
      <c r="H7983" s="379">
        <v>2.4644097064148842</v>
      </c>
      <c r="I7983" s="25">
        <v>33.67</v>
      </c>
      <c r="J7983" s="379">
        <v>2.777777777777778E-2</v>
      </c>
    </row>
    <row r="7984" spans="1:10" x14ac:dyDescent="0.35">
      <c r="A7984" s="5">
        <v>7980</v>
      </c>
      <c r="B7984" s="5">
        <v>333</v>
      </c>
      <c r="C7984" s="5">
        <v>11</v>
      </c>
      <c r="D7984" s="379">
        <v>108.11944444444444</v>
      </c>
      <c r="E7984" s="25">
        <v>24.99</v>
      </c>
      <c r="F7984" s="379">
        <v>5.8029820619435721E-2</v>
      </c>
      <c r="G7984" s="25">
        <v>43.47</v>
      </c>
      <c r="H7984" s="379">
        <v>2.4644097064148842</v>
      </c>
      <c r="I7984" s="25">
        <v>33.67</v>
      </c>
      <c r="J7984" s="379">
        <v>2.777777777777778E-2</v>
      </c>
    </row>
    <row r="7985" spans="1:10" x14ac:dyDescent="0.35">
      <c r="A7985" s="5">
        <v>7981</v>
      </c>
      <c r="B7985" s="5">
        <v>333</v>
      </c>
      <c r="C7985" s="5">
        <v>11</v>
      </c>
      <c r="D7985" s="379">
        <v>104.96777777777778</v>
      </c>
      <c r="E7985" s="25">
        <v>24.84</v>
      </c>
      <c r="F7985" s="379">
        <v>5.8029820619435721E-2</v>
      </c>
      <c r="G7985" s="25">
        <v>43.39</v>
      </c>
      <c r="H7985" s="379">
        <v>2.4644097064148842</v>
      </c>
      <c r="I7985" s="25">
        <v>33.67</v>
      </c>
      <c r="J7985" s="379">
        <v>2.777777777777778E-2</v>
      </c>
    </row>
    <row r="7986" spans="1:10" x14ac:dyDescent="0.35">
      <c r="A7986" s="5">
        <v>7982</v>
      </c>
      <c r="B7986" s="5">
        <v>333</v>
      </c>
      <c r="C7986" s="5">
        <v>11</v>
      </c>
      <c r="D7986" s="379">
        <v>107.20111111111112</v>
      </c>
      <c r="E7986" s="25">
        <v>24.84</v>
      </c>
      <c r="F7986" s="379">
        <v>2.777777777777778E-2</v>
      </c>
      <c r="G7986" s="25">
        <v>43.39</v>
      </c>
      <c r="H7986" s="379">
        <v>2.4644097064148842</v>
      </c>
      <c r="I7986" s="25">
        <v>33.67</v>
      </c>
      <c r="J7986" s="379">
        <v>2.777777777777778E-2</v>
      </c>
    </row>
    <row r="7987" spans="1:10" x14ac:dyDescent="0.35">
      <c r="A7987" s="5">
        <v>7983</v>
      </c>
      <c r="B7987" s="5">
        <v>333</v>
      </c>
      <c r="C7987" s="5">
        <v>11</v>
      </c>
      <c r="D7987" s="379">
        <v>111.10333333333334</v>
      </c>
      <c r="E7987" s="25">
        <v>24.84</v>
      </c>
      <c r="F7987" s="379">
        <v>0.21136578900407305</v>
      </c>
      <c r="G7987" s="25">
        <v>43.39</v>
      </c>
      <c r="H7987" s="379">
        <v>2.4644097064148842</v>
      </c>
      <c r="I7987" s="25">
        <v>33.67</v>
      </c>
      <c r="J7987" s="379">
        <v>2.777777777777778E-2</v>
      </c>
    </row>
    <row r="7988" spans="1:10" x14ac:dyDescent="0.35">
      <c r="A7988" s="5">
        <v>7984</v>
      </c>
      <c r="B7988" s="5">
        <v>333</v>
      </c>
      <c r="C7988" s="5">
        <v>11</v>
      </c>
      <c r="D7988" s="379">
        <v>112.16944444444444</v>
      </c>
      <c r="E7988" s="25">
        <v>24.84</v>
      </c>
      <c r="F7988" s="379">
        <v>0.16600397351866578</v>
      </c>
      <c r="G7988" s="25">
        <v>43.39</v>
      </c>
      <c r="H7988" s="379">
        <v>8.7302980472233727E-2</v>
      </c>
      <c r="I7988" s="25">
        <v>33.67</v>
      </c>
      <c r="J7988" s="379">
        <v>2.777777777777778E-2</v>
      </c>
    </row>
    <row r="7989" spans="1:10" x14ac:dyDescent="0.35">
      <c r="A7989" s="5">
        <v>7985</v>
      </c>
      <c r="B7989" s="5">
        <v>333</v>
      </c>
      <c r="C7989" s="5">
        <v>11</v>
      </c>
      <c r="D7989" s="379">
        <v>130.13444444444445</v>
      </c>
      <c r="E7989" s="25">
        <v>24.99</v>
      </c>
      <c r="F7989" s="379">
        <v>0.35201709722722224</v>
      </c>
      <c r="G7989" s="25">
        <v>43.47</v>
      </c>
      <c r="H7989" s="379">
        <v>7.3499421111006047E-2</v>
      </c>
      <c r="I7989" s="25">
        <v>33.67</v>
      </c>
      <c r="J7989" s="379">
        <v>4.9926388869228074E-2</v>
      </c>
    </row>
    <row r="7990" spans="1:10" x14ac:dyDescent="0.35">
      <c r="A7990" s="5">
        <v>7986</v>
      </c>
      <c r="B7990" s="5">
        <v>333</v>
      </c>
      <c r="C7990" s="5">
        <v>11</v>
      </c>
      <c r="D7990" s="379">
        <v>138.88888888888889</v>
      </c>
      <c r="E7990" s="25">
        <v>25.74</v>
      </c>
      <c r="F7990" s="379">
        <v>5.5530415698698921</v>
      </c>
      <c r="G7990" s="25">
        <v>44.77</v>
      </c>
      <c r="H7990" s="379">
        <v>0.14480167642852412</v>
      </c>
      <c r="I7990" s="25">
        <v>33.67</v>
      </c>
      <c r="J7990" s="379">
        <v>0.10891902768112385</v>
      </c>
    </row>
    <row r="7991" spans="1:10" x14ac:dyDescent="0.35">
      <c r="A7991" s="5">
        <v>7987</v>
      </c>
      <c r="B7991" s="5">
        <v>333</v>
      </c>
      <c r="C7991" s="5">
        <v>11</v>
      </c>
      <c r="D7991" s="379">
        <v>124.91333333333333</v>
      </c>
      <c r="E7991" s="25">
        <v>25.74</v>
      </c>
      <c r="F7991" s="379">
        <v>1.534835964828386</v>
      </c>
      <c r="G7991" s="25">
        <v>43.56</v>
      </c>
      <c r="H7991" s="379">
        <v>0.14480167642852412</v>
      </c>
      <c r="I7991" s="25">
        <v>33.67</v>
      </c>
      <c r="J7991" s="379">
        <v>9.207403805722443E-2</v>
      </c>
    </row>
    <row r="7992" spans="1:10" x14ac:dyDescent="0.35">
      <c r="A7992" s="5">
        <v>7988</v>
      </c>
      <c r="B7992" s="5">
        <v>333</v>
      </c>
      <c r="C7992" s="5">
        <v>11</v>
      </c>
      <c r="D7992" s="379">
        <v>112.05277777777778</v>
      </c>
      <c r="E7992" s="25">
        <v>25.29</v>
      </c>
      <c r="F7992" s="379">
        <v>0.54693689891575059</v>
      </c>
      <c r="G7992" s="25">
        <v>43.47</v>
      </c>
      <c r="H7992" s="379">
        <v>0.11512303310025672</v>
      </c>
      <c r="I7992" s="25">
        <v>33.67</v>
      </c>
      <c r="J7992" s="379">
        <v>7.9622299356524845E-2</v>
      </c>
    </row>
    <row r="7993" spans="1:10" x14ac:dyDescent="0.35">
      <c r="A7993" s="5">
        <v>7989</v>
      </c>
      <c r="B7993" s="5">
        <v>333</v>
      </c>
      <c r="C7993" s="5">
        <v>11</v>
      </c>
      <c r="D7993" s="379">
        <v>98.280555555555566</v>
      </c>
      <c r="E7993" s="25">
        <v>24.84</v>
      </c>
      <c r="F7993" s="379">
        <v>0.16600397351866575</v>
      </c>
      <c r="G7993" s="25">
        <v>42.35</v>
      </c>
      <c r="H7993" s="379">
        <v>2.4644097064148842</v>
      </c>
      <c r="I7993" s="25">
        <v>33.67</v>
      </c>
      <c r="J7993" s="379">
        <v>0.13907101225538854</v>
      </c>
    </row>
    <row r="7994" spans="1:10" x14ac:dyDescent="0.35">
      <c r="A7994" s="5">
        <v>7990</v>
      </c>
      <c r="B7994" s="5">
        <v>333</v>
      </c>
      <c r="C7994" s="5">
        <v>11</v>
      </c>
      <c r="D7994" s="379">
        <v>85.180555555555543</v>
      </c>
      <c r="E7994" s="25">
        <v>24.84</v>
      </c>
      <c r="F7994" s="379">
        <v>3.5756434952257288</v>
      </c>
      <c r="G7994" s="25">
        <v>32.6</v>
      </c>
      <c r="H7994" s="379">
        <v>2.4011044524564795</v>
      </c>
      <c r="I7994" s="25">
        <v>33.67</v>
      </c>
      <c r="J7994" s="379">
        <v>0.12851387276077259</v>
      </c>
    </row>
    <row r="7995" spans="1:10" x14ac:dyDescent="0.35">
      <c r="A7995" s="5">
        <v>7991</v>
      </c>
      <c r="B7995" s="5">
        <v>333</v>
      </c>
      <c r="C7995" s="5">
        <v>11</v>
      </c>
      <c r="D7995" s="379">
        <v>76.8</v>
      </c>
      <c r="E7995" s="25">
        <v>24.84</v>
      </c>
      <c r="F7995" s="379">
        <v>3.5756434952257288</v>
      </c>
      <c r="G7995" s="25">
        <v>30.91</v>
      </c>
      <c r="H7995" s="379">
        <v>2.4011044524564795</v>
      </c>
      <c r="I7995" s="25">
        <v>33.67</v>
      </c>
      <c r="J7995" s="379">
        <v>0.12851387276077259</v>
      </c>
    </row>
    <row r="7996" spans="1:10" x14ac:dyDescent="0.35">
      <c r="A7996" s="5">
        <v>7992</v>
      </c>
      <c r="B7996" s="5">
        <v>333</v>
      </c>
      <c r="C7996" s="5">
        <v>11</v>
      </c>
      <c r="D7996" s="379">
        <v>74.341111111111104</v>
      </c>
      <c r="E7996" s="25">
        <v>24.84</v>
      </c>
      <c r="F7996" s="379">
        <v>3.2984688817194554</v>
      </c>
      <c r="G7996" s="25">
        <v>30.91</v>
      </c>
      <c r="H7996" s="379">
        <v>2.4011044524564795</v>
      </c>
      <c r="I7996" s="25">
        <v>33.67</v>
      </c>
      <c r="J7996" s="379">
        <v>0.12851387276077259</v>
      </c>
    </row>
    <row r="7997" spans="1:10" x14ac:dyDescent="0.35">
      <c r="A7997" s="5">
        <v>7993</v>
      </c>
      <c r="B7997" s="5">
        <v>334</v>
      </c>
      <c r="C7997" s="5">
        <v>11</v>
      </c>
      <c r="D7997" s="379">
        <v>79.37166666666667</v>
      </c>
      <c r="E7997" s="25">
        <v>24.73</v>
      </c>
      <c r="F7997" s="379">
        <v>3.2984688817194554</v>
      </c>
      <c r="G7997" s="25">
        <v>30.23</v>
      </c>
      <c r="H7997" s="379">
        <v>2.4011044524564795</v>
      </c>
      <c r="I7997" s="25">
        <v>33.67</v>
      </c>
      <c r="J7997" s="379">
        <v>9.2217494332741706E-2</v>
      </c>
    </row>
    <row r="7998" spans="1:10" x14ac:dyDescent="0.35">
      <c r="A7998" s="5">
        <v>7994</v>
      </c>
      <c r="B7998" s="5">
        <v>334</v>
      </c>
      <c r="C7998" s="5">
        <v>11</v>
      </c>
      <c r="D7998" s="379">
        <v>77.358333333333334</v>
      </c>
      <c r="E7998" s="25">
        <v>24.73</v>
      </c>
      <c r="F7998" s="379">
        <v>3.2984688817194554</v>
      </c>
      <c r="G7998" s="25">
        <v>30.23</v>
      </c>
      <c r="H7998" s="379">
        <v>2.4644097064148842</v>
      </c>
      <c r="I7998" s="25">
        <v>33.67</v>
      </c>
      <c r="J7998" s="379">
        <v>9.2217494332741706E-2</v>
      </c>
    </row>
    <row r="7999" spans="1:10" x14ac:dyDescent="0.35">
      <c r="A7999" s="5">
        <v>7995</v>
      </c>
      <c r="B7999" s="5">
        <v>334</v>
      </c>
      <c r="C7999" s="5">
        <v>11</v>
      </c>
      <c r="D7999" s="379">
        <v>75.384999999999991</v>
      </c>
      <c r="E7999" s="25">
        <v>24.73</v>
      </c>
      <c r="F7999" s="379">
        <v>3.2984688817194554</v>
      </c>
      <c r="G7999" s="25">
        <v>30.23</v>
      </c>
      <c r="H7999" s="379">
        <v>2.4644097064148842</v>
      </c>
      <c r="I7999" s="25">
        <v>33.67</v>
      </c>
      <c r="J7999" s="379">
        <v>9.2217494332741706E-2</v>
      </c>
    </row>
    <row r="8000" spans="1:10" x14ac:dyDescent="0.35">
      <c r="A8000" s="5">
        <v>7996</v>
      </c>
      <c r="B8000" s="5">
        <v>334</v>
      </c>
      <c r="C8000" s="5">
        <v>11</v>
      </c>
      <c r="D8000" s="379">
        <v>74.529444444444437</v>
      </c>
      <c r="E8000" s="25">
        <v>24.73</v>
      </c>
      <c r="F8000" s="379">
        <v>3.2984688817194554</v>
      </c>
      <c r="G8000" s="25">
        <v>30.23</v>
      </c>
      <c r="H8000" s="379">
        <v>2.4644097064148842</v>
      </c>
      <c r="I8000" s="25">
        <v>33.67</v>
      </c>
      <c r="J8000" s="379">
        <v>9.2217494332741706E-2</v>
      </c>
    </row>
    <row r="8001" spans="1:10" x14ac:dyDescent="0.35">
      <c r="A8001" s="5">
        <v>7997</v>
      </c>
      <c r="B8001" s="5">
        <v>334</v>
      </c>
      <c r="C8001" s="5">
        <v>11</v>
      </c>
      <c r="D8001" s="379">
        <v>77.286666666666676</v>
      </c>
      <c r="E8001" s="25">
        <v>24.84</v>
      </c>
      <c r="F8001" s="379">
        <v>3.2984688817194554</v>
      </c>
      <c r="G8001" s="25">
        <v>30.91</v>
      </c>
      <c r="H8001" s="379">
        <v>2.4644097064148842</v>
      </c>
      <c r="I8001" s="25">
        <v>33.67</v>
      </c>
      <c r="J8001" s="379">
        <v>9.2217494332741706E-2</v>
      </c>
    </row>
    <row r="8002" spans="1:10" x14ac:dyDescent="0.35">
      <c r="A8002" s="5">
        <v>7998</v>
      </c>
      <c r="B8002" s="5">
        <v>334</v>
      </c>
      <c r="C8002" s="5">
        <v>11</v>
      </c>
      <c r="D8002" s="379">
        <v>81.051666666666648</v>
      </c>
      <c r="E8002" s="25">
        <v>24.84</v>
      </c>
      <c r="F8002" s="379">
        <v>3.5756434952257288</v>
      </c>
      <c r="G8002" s="25">
        <v>37.979999999999997</v>
      </c>
      <c r="H8002" s="379">
        <v>2.4644097064148842</v>
      </c>
      <c r="I8002" s="25">
        <v>33.94</v>
      </c>
      <c r="J8002" s="379">
        <v>0.12851387276077259</v>
      </c>
    </row>
    <row r="8003" spans="1:10" x14ac:dyDescent="0.35">
      <c r="A8003" s="5">
        <v>7999</v>
      </c>
      <c r="B8003" s="5">
        <v>334</v>
      </c>
      <c r="C8003" s="5">
        <v>11</v>
      </c>
      <c r="D8003" s="379">
        <v>92.474999999999994</v>
      </c>
      <c r="E8003" s="25">
        <v>25.74</v>
      </c>
      <c r="F8003" s="379">
        <v>3.714477901822574</v>
      </c>
      <c r="G8003" s="25">
        <v>44.69</v>
      </c>
      <c r="H8003" s="379">
        <v>2.4644097064148842</v>
      </c>
      <c r="I8003" s="25">
        <v>48.86</v>
      </c>
      <c r="J8003" s="379">
        <v>0.1932106170058982</v>
      </c>
    </row>
    <row r="8004" spans="1:10" x14ac:dyDescent="0.35">
      <c r="A8004" s="5">
        <v>8000</v>
      </c>
      <c r="B8004" s="5">
        <v>334</v>
      </c>
      <c r="C8004" s="5">
        <v>11</v>
      </c>
      <c r="D8004" s="379">
        <v>112.71</v>
      </c>
      <c r="E8004" s="25">
        <v>25.74</v>
      </c>
      <c r="F8004" s="379">
        <v>0.44824027527798549</v>
      </c>
      <c r="G8004" s="25">
        <v>52.67</v>
      </c>
      <c r="H8004" s="379">
        <v>2.5591660835446142</v>
      </c>
      <c r="I8004" s="25">
        <v>50.13</v>
      </c>
      <c r="J8004" s="379">
        <v>0.14480167642852412</v>
      </c>
    </row>
    <row r="8005" spans="1:10" x14ac:dyDescent="0.35">
      <c r="A8005" s="5">
        <v>8001</v>
      </c>
      <c r="B8005" s="5">
        <v>334</v>
      </c>
      <c r="C8005" s="5">
        <v>11</v>
      </c>
      <c r="D8005" s="379">
        <v>115.16611111111112</v>
      </c>
      <c r="E8005" s="25">
        <v>29.4</v>
      </c>
      <c r="F8005" s="379">
        <v>1.7863454056820771</v>
      </c>
      <c r="G8005" s="25">
        <v>54.15</v>
      </c>
      <c r="H8005" s="379">
        <v>0.14480167642852412</v>
      </c>
      <c r="I8005" s="25">
        <v>55.32</v>
      </c>
      <c r="J8005" s="379">
        <v>0.14480167642852412</v>
      </c>
    </row>
    <row r="8006" spans="1:10" x14ac:dyDescent="0.35">
      <c r="A8006" s="5">
        <v>8002</v>
      </c>
      <c r="B8006" s="5">
        <v>334</v>
      </c>
      <c r="C8006" s="5">
        <v>11</v>
      </c>
      <c r="D8006" s="379">
        <v>119.31722222222223</v>
      </c>
      <c r="E8006" s="25">
        <v>34.82</v>
      </c>
      <c r="F8006" s="379">
        <v>1.9412485396620622</v>
      </c>
      <c r="G8006" s="25">
        <v>54.15</v>
      </c>
      <c r="H8006" s="379">
        <v>2.6071707553555532</v>
      </c>
      <c r="I8006" s="25">
        <v>55.32</v>
      </c>
      <c r="J8006" s="379">
        <v>0.14480167642852412</v>
      </c>
    </row>
    <row r="8007" spans="1:10" x14ac:dyDescent="0.35">
      <c r="A8007" s="5">
        <v>8003</v>
      </c>
      <c r="B8007" s="5">
        <v>334</v>
      </c>
      <c r="C8007" s="5">
        <v>11</v>
      </c>
      <c r="D8007" s="379">
        <v>119.14555555555555</v>
      </c>
      <c r="E8007" s="25">
        <v>29.4</v>
      </c>
      <c r="F8007" s="379">
        <v>1.9225475753230532</v>
      </c>
      <c r="G8007" s="25">
        <v>52.67</v>
      </c>
      <c r="H8007" s="379">
        <v>2.5994616321979187</v>
      </c>
      <c r="I8007" s="25">
        <v>53.71</v>
      </c>
      <c r="J8007" s="379">
        <v>0.1237335042858677</v>
      </c>
    </row>
    <row r="8008" spans="1:10" x14ac:dyDescent="0.35">
      <c r="A8008" s="5">
        <v>8004</v>
      </c>
      <c r="B8008" s="5">
        <v>334</v>
      </c>
      <c r="C8008" s="5">
        <v>11</v>
      </c>
      <c r="D8008" s="379">
        <v>114.44944444444442</v>
      </c>
      <c r="E8008" s="25">
        <v>29.4</v>
      </c>
      <c r="F8008" s="379">
        <v>3.008582087963017</v>
      </c>
      <c r="G8008" s="25">
        <v>47.85</v>
      </c>
      <c r="H8008" s="379">
        <v>2.4644097064148842</v>
      </c>
      <c r="I8008" s="25">
        <v>50.13</v>
      </c>
      <c r="J8008" s="379">
        <v>2.777777777777778E-2</v>
      </c>
    </row>
    <row r="8009" spans="1:10" x14ac:dyDescent="0.35">
      <c r="A8009" s="5">
        <v>8005</v>
      </c>
      <c r="B8009" s="5">
        <v>334</v>
      </c>
      <c r="C8009" s="5">
        <v>11</v>
      </c>
      <c r="D8009" s="379">
        <v>108.91055555555555</v>
      </c>
      <c r="E8009" s="25">
        <v>25.74</v>
      </c>
      <c r="F8009" s="379">
        <v>3.0530283258886</v>
      </c>
      <c r="G8009" s="25">
        <v>46.11</v>
      </c>
      <c r="H8009" s="379">
        <v>2.4644097064148842</v>
      </c>
      <c r="I8009" s="25">
        <v>48.86</v>
      </c>
      <c r="J8009" s="379">
        <v>2.777777777777778E-2</v>
      </c>
    </row>
    <row r="8010" spans="1:10" x14ac:dyDescent="0.35">
      <c r="A8010" s="5">
        <v>8006</v>
      </c>
      <c r="B8010" s="5">
        <v>334</v>
      </c>
      <c r="C8010" s="5">
        <v>11</v>
      </c>
      <c r="D8010" s="379">
        <v>109.55666666666666</v>
      </c>
      <c r="E8010" s="25">
        <v>25.74</v>
      </c>
      <c r="F8010" s="379">
        <v>3.4546209012134415</v>
      </c>
      <c r="G8010" s="25">
        <v>44.77</v>
      </c>
      <c r="H8010" s="379">
        <v>2.4644097064148842</v>
      </c>
      <c r="I8010" s="25">
        <v>36.65</v>
      </c>
      <c r="J8010" s="379">
        <v>2.777777777777778E-2</v>
      </c>
    </row>
    <row r="8011" spans="1:10" x14ac:dyDescent="0.35">
      <c r="A8011" s="5">
        <v>8007</v>
      </c>
      <c r="B8011" s="5">
        <v>334</v>
      </c>
      <c r="C8011" s="5">
        <v>11</v>
      </c>
      <c r="D8011" s="379">
        <v>111.67388888888887</v>
      </c>
      <c r="E8011" s="25">
        <v>25.29</v>
      </c>
      <c r="F8011" s="379">
        <v>3.3190048721927927</v>
      </c>
      <c r="G8011" s="25">
        <v>44.77</v>
      </c>
      <c r="H8011" s="379">
        <v>2.4644097064148842</v>
      </c>
      <c r="I8011" s="25">
        <v>34.07</v>
      </c>
      <c r="J8011" s="379">
        <v>2.777777777777778E-2</v>
      </c>
    </row>
    <row r="8012" spans="1:10" x14ac:dyDescent="0.35">
      <c r="A8012" s="5">
        <v>8008</v>
      </c>
      <c r="B8012" s="5">
        <v>334</v>
      </c>
      <c r="C8012" s="5">
        <v>11</v>
      </c>
      <c r="D8012" s="379">
        <v>110.98722222222221</v>
      </c>
      <c r="E8012" s="25">
        <v>25.59</v>
      </c>
      <c r="F8012" s="379">
        <v>4.0341761252383446</v>
      </c>
      <c r="G8012" s="25">
        <v>44.77</v>
      </c>
      <c r="H8012" s="379">
        <v>0.47222222222222221</v>
      </c>
      <c r="I8012" s="25">
        <v>34.25</v>
      </c>
      <c r="J8012" s="379">
        <v>0.11396918790488003</v>
      </c>
    </row>
    <row r="8013" spans="1:10" x14ac:dyDescent="0.35">
      <c r="A8013" s="5">
        <v>8009</v>
      </c>
      <c r="B8013" s="5">
        <v>334</v>
      </c>
      <c r="C8013" s="5">
        <v>11</v>
      </c>
      <c r="D8013" s="379">
        <v>118.75333333333333</v>
      </c>
      <c r="E8013" s="25">
        <v>25.74</v>
      </c>
      <c r="F8013" s="379">
        <v>8.1174834595959577</v>
      </c>
      <c r="G8013" s="25">
        <v>48.88</v>
      </c>
      <c r="H8013" s="379">
        <v>0.98676268115835197</v>
      </c>
      <c r="I8013" s="25">
        <v>34.54</v>
      </c>
      <c r="J8013" s="379">
        <v>3.7811507515828655</v>
      </c>
    </row>
    <row r="8014" spans="1:10" x14ac:dyDescent="0.35">
      <c r="A8014" s="5">
        <v>8010</v>
      </c>
      <c r="B8014" s="5">
        <v>334</v>
      </c>
      <c r="C8014" s="5">
        <v>11</v>
      </c>
      <c r="D8014" s="379">
        <v>122.73388888888888</v>
      </c>
      <c r="E8014" s="25">
        <v>25.74</v>
      </c>
      <c r="F8014" s="379">
        <v>8.1174834595959595</v>
      </c>
      <c r="G8014" s="25">
        <v>52.67</v>
      </c>
      <c r="H8014" s="379">
        <v>0.94586457789430334</v>
      </c>
      <c r="I8014" s="25">
        <v>43.16</v>
      </c>
      <c r="J8014" s="379">
        <v>3.0866699240527042</v>
      </c>
    </row>
    <row r="8015" spans="1:10" x14ac:dyDescent="0.35">
      <c r="A8015" s="5">
        <v>8011</v>
      </c>
      <c r="B8015" s="5">
        <v>334</v>
      </c>
      <c r="C8015" s="5">
        <v>11</v>
      </c>
      <c r="D8015" s="379">
        <v>117.7511111111111</v>
      </c>
      <c r="E8015" s="25">
        <v>25.74</v>
      </c>
      <c r="F8015" s="379">
        <v>8.1174834595959595</v>
      </c>
      <c r="G8015" s="25">
        <v>52.67</v>
      </c>
      <c r="H8015" s="379">
        <v>0.93916247413918252</v>
      </c>
      <c r="I8015" s="25">
        <v>46.06</v>
      </c>
      <c r="J8015" s="379">
        <v>2.2966969719878221</v>
      </c>
    </row>
    <row r="8016" spans="1:10" x14ac:dyDescent="0.35">
      <c r="A8016" s="5">
        <v>8012</v>
      </c>
      <c r="B8016" s="5">
        <v>334</v>
      </c>
      <c r="C8016" s="5">
        <v>11</v>
      </c>
      <c r="D8016" s="379">
        <v>109.70055555555554</v>
      </c>
      <c r="E8016" s="25">
        <v>25.74</v>
      </c>
      <c r="F8016" s="379">
        <v>8.1174834595959595</v>
      </c>
      <c r="G8016" s="25">
        <v>51.14</v>
      </c>
      <c r="H8016" s="379">
        <v>1.0213329715657489</v>
      </c>
      <c r="I8016" s="25">
        <v>46.06</v>
      </c>
      <c r="J8016" s="379">
        <v>4.9998071359828673</v>
      </c>
    </row>
    <row r="8017" spans="1:10" x14ac:dyDescent="0.35">
      <c r="A8017" s="5">
        <v>8013</v>
      </c>
      <c r="B8017" s="5">
        <v>334</v>
      </c>
      <c r="C8017" s="5">
        <v>11</v>
      </c>
      <c r="D8017" s="379">
        <v>96.056666666666658</v>
      </c>
      <c r="E8017" s="25">
        <v>25.74</v>
      </c>
      <c r="F8017" s="379">
        <v>8.1174834595959595</v>
      </c>
      <c r="G8017" s="25">
        <v>48.39</v>
      </c>
      <c r="H8017" s="379">
        <v>1.0201726072065036</v>
      </c>
      <c r="I8017" s="25">
        <v>36.68</v>
      </c>
      <c r="J8017" s="379">
        <v>3.6854751146686477</v>
      </c>
    </row>
    <row r="8018" spans="1:10" x14ac:dyDescent="0.35">
      <c r="A8018" s="5">
        <v>8014</v>
      </c>
      <c r="B8018" s="5">
        <v>334</v>
      </c>
      <c r="C8018" s="5">
        <v>11</v>
      </c>
      <c r="D8018" s="379">
        <v>83.606666666666655</v>
      </c>
      <c r="E8018" s="25">
        <v>24.99</v>
      </c>
      <c r="F8018" s="379">
        <v>2.3615723163119013</v>
      </c>
      <c r="G8018" s="25">
        <v>43.56</v>
      </c>
      <c r="H8018" s="379">
        <v>0.47222222222222221</v>
      </c>
      <c r="I8018" s="25">
        <v>34.54</v>
      </c>
      <c r="J8018" s="379">
        <v>2.2775372968122207</v>
      </c>
    </row>
    <row r="8019" spans="1:10" x14ac:dyDescent="0.35">
      <c r="A8019" s="5">
        <v>8015</v>
      </c>
      <c r="B8019" s="5">
        <v>334</v>
      </c>
      <c r="C8019" s="5">
        <v>11</v>
      </c>
      <c r="D8019" s="379">
        <v>77.156666666666666</v>
      </c>
      <c r="E8019" s="25">
        <v>24.99</v>
      </c>
      <c r="F8019" s="379">
        <v>2.1411554239870734</v>
      </c>
      <c r="G8019" s="25">
        <v>43.56</v>
      </c>
      <c r="H8019" s="379">
        <v>0.61243139001428337</v>
      </c>
      <c r="I8019" s="25">
        <v>33.94</v>
      </c>
      <c r="J8019" s="379">
        <v>1.7144264166629803</v>
      </c>
    </row>
    <row r="8020" spans="1:10" x14ac:dyDescent="0.35">
      <c r="A8020" s="5">
        <v>8016</v>
      </c>
      <c r="B8020" s="5">
        <v>334</v>
      </c>
      <c r="C8020" s="5">
        <v>11</v>
      </c>
      <c r="D8020" s="379">
        <v>72.364999999999995</v>
      </c>
      <c r="E8020" s="25">
        <v>24.99</v>
      </c>
      <c r="F8020" s="379">
        <v>2.7902079146945069</v>
      </c>
      <c r="G8020" s="25">
        <v>43.56</v>
      </c>
      <c r="H8020" s="379">
        <v>1.3685460321087224</v>
      </c>
      <c r="I8020" s="25">
        <v>33.94</v>
      </c>
      <c r="J8020" s="379">
        <v>5.1089836926616714</v>
      </c>
    </row>
    <row r="8021" spans="1:10" x14ac:dyDescent="0.35">
      <c r="A8021" s="5">
        <v>8017</v>
      </c>
      <c r="B8021" s="5">
        <v>335</v>
      </c>
      <c r="C8021" s="5">
        <v>12</v>
      </c>
      <c r="D8021" s="379">
        <v>73.002777777777794</v>
      </c>
      <c r="E8021" s="25">
        <v>24.99</v>
      </c>
      <c r="F8021" s="379">
        <v>1.9845585141927047</v>
      </c>
      <c r="G8021" s="25">
        <v>44.69</v>
      </c>
      <c r="H8021" s="379">
        <v>1.2224524577336495</v>
      </c>
      <c r="I8021" s="25">
        <v>34.54</v>
      </c>
      <c r="J8021" s="379">
        <v>5.6520794983729319</v>
      </c>
    </row>
    <row r="8022" spans="1:10" x14ac:dyDescent="0.35">
      <c r="A8022" s="5">
        <v>8018</v>
      </c>
      <c r="B8022" s="5">
        <v>335</v>
      </c>
      <c r="C8022" s="5">
        <v>12</v>
      </c>
      <c r="D8022" s="379">
        <v>72.522777777777776</v>
      </c>
      <c r="E8022" s="25">
        <v>24.99</v>
      </c>
      <c r="F8022" s="379">
        <v>1.5546809188052158</v>
      </c>
      <c r="G8022" s="25">
        <v>46.03</v>
      </c>
      <c r="H8022" s="379">
        <v>1.189532935566459</v>
      </c>
      <c r="I8022" s="25">
        <v>53.71</v>
      </c>
      <c r="J8022" s="379">
        <v>5.4445048865538785</v>
      </c>
    </row>
    <row r="8023" spans="1:10" x14ac:dyDescent="0.35">
      <c r="A8023" s="5">
        <v>8019</v>
      </c>
      <c r="B8023" s="5">
        <v>335</v>
      </c>
      <c r="C8023" s="5">
        <v>12</v>
      </c>
      <c r="D8023" s="379">
        <v>71.36722222222221</v>
      </c>
      <c r="E8023" s="25">
        <v>24.99</v>
      </c>
      <c r="F8023" s="379">
        <v>1.6634438869895072</v>
      </c>
      <c r="G8023" s="25">
        <v>44.77</v>
      </c>
      <c r="H8023" s="379">
        <v>1.0926002713424561</v>
      </c>
      <c r="I8023" s="25">
        <v>62.27</v>
      </c>
      <c r="J8023" s="379">
        <v>4.4476967397207288</v>
      </c>
    </row>
    <row r="8024" spans="1:10" x14ac:dyDescent="0.35">
      <c r="A8024" s="5">
        <v>8020</v>
      </c>
      <c r="B8024" s="5">
        <v>335</v>
      </c>
      <c r="C8024" s="5">
        <v>12</v>
      </c>
      <c r="D8024" s="379">
        <v>70.025555555555556</v>
      </c>
      <c r="E8024" s="25">
        <v>24.99</v>
      </c>
      <c r="F8024" s="379">
        <v>1.8591667914452203</v>
      </c>
      <c r="G8024" s="25">
        <v>44.77</v>
      </c>
      <c r="H8024" s="379">
        <v>0.88813303420871081</v>
      </c>
      <c r="I8024" s="25">
        <v>63.5</v>
      </c>
      <c r="J8024" s="379">
        <v>4.5520468192918768</v>
      </c>
    </row>
    <row r="8025" spans="1:10" x14ac:dyDescent="0.35">
      <c r="A8025" s="5">
        <v>8021</v>
      </c>
      <c r="B8025" s="5">
        <v>335</v>
      </c>
      <c r="C8025" s="5">
        <v>12</v>
      </c>
      <c r="D8025" s="379">
        <v>70.032777777777781</v>
      </c>
      <c r="E8025" s="25">
        <v>24.99</v>
      </c>
      <c r="F8025" s="379">
        <v>1.6837696446182802</v>
      </c>
      <c r="G8025" s="25">
        <v>46.03</v>
      </c>
      <c r="H8025" s="379">
        <v>1.4037174129210062</v>
      </c>
      <c r="I8025" s="25">
        <v>64.14</v>
      </c>
      <c r="J8025" s="379">
        <v>6.3518660807137186</v>
      </c>
    </row>
    <row r="8026" spans="1:10" x14ac:dyDescent="0.35">
      <c r="A8026" s="5">
        <v>8022</v>
      </c>
      <c r="B8026" s="5">
        <v>335</v>
      </c>
      <c r="C8026" s="5">
        <v>12</v>
      </c>
      <c r="D8026" s="379">
        <v>73.469444444444449</v>
      </c>
      <c r="E8026" s="25">
        <v>25.74</v>
      </c>
      <c r="F8026" s="379">
        <v>2.2523539754204349</v>
      </c>
      <c r="G8026" s="25">
        <v>46.11</v>
      </c>
      <c r="H8026" s="379">
        <v>1.111696270385399</v>
      </c>
      <c r="I8026" s="25">
        <v>66.06</v>
      </c>
      <c r="J8026" s="379">
        <v>6.0558328811314537</v>
      </c>
    </row>
    <row r="8027" spans="1:10" x14ac:dyDescent="0.35">
      <c r="A8027" s="5">
        <v>8023</v>
      </c>
      <c r="B8027" s="5">
        <v>335</v>
      </c>
      <c r="C8027" s="5">
        <v>12</v>
      </c>
      <c r="D8027" s="379">
        <v>86.316111111111113</v>
      </c>
      <c r="E8027" s="25">
        <v>25.74</v>
      </c>
      <c r="F8027" s="379">
        <v>2.7508197951637032</v>
      </c>
      <c r="G8027" s="25">
        <v>52.67</v>
      </c>
      <c r="H8027" s="379">
        <v>2.2483846937949155</v>
      </c>
      <c r="I8027" s="25">
        <v>123.22</v>
      </c>
      <c r="J8027" s="379">
        <v>4.9386235577626545</v>
      </c>
    </row>
    <row r="8028" spans="1:10" x14ac:dyDescent="0.35">
      <c r="A8028" s="5">
        <v>8024</v>
      </c>
      <c r="B8028" s="5">
        <v>335</v>
      </c>
      <c r="C8028" s="5">
        <v>12</v>
      </c>
      <c r="D8028" s="379">
        <v>104.37333333333332</v>
      </c>
      <c r="E8028" s="25">
        <v>35.869999999999997</v>
      </c>
      <c r="F8028" s="379">
        <v>6.1451460190202827</v>
      </c>
      <c r="G8028" s="25">
        <v>61.97</v>
      </c>
      <c r="H8028" s="379">
        <v>3.8992461756414287</v>
      </c>
      <c r="I8028" s="25">
        <v>639.58000000000004</v>
      </c>
      <c r="J8028" s="379">
        <v>3.7589170134623102</v>
      </c>
    </row>
    <row r="8029" spans="1:10" x14ac:dyDescent="0.35">
      <c r="A8029" s="5">
        <v>8025</v>
      </c>
      <c r="B8029" s="5">
        <v>335</v>
      </c>
      <c r="C8029" s="5">
        <v>12</v>
      </c>
      <c r="D8029" s="379">
        <v>109.705</v>
      </c>
      <c r="E8029" s="25">
        <v>36.01</v>
      </c>
      <c r="F8029" s="379">
        <v>6.1803290618068356</v>
      </c>
      <c r="G8029" s="25">
        <v>61.97</v>
      </c>
      <c r="H8029" s="379">
        <v>4.0364050008721177</v>
      </c>
      <c r="I8029" s="25">
        <v>843.72</v>
      </c>
      <c r="J8029" s="379">
        <v>3.6193283293888041</v>
      </c>
    </row>
    <row r="8030" spans="1:10" x14ac:dyDescent="0.35">
      <c r="A8030" s="5">
        <v>8026</v>
      </c>
      <c r="B8030" s="5">
        <v>335</v>
      </c>
      <c r="C8030" s="5">
        <v>12</v>
      </c>
      <c r="D8030" s="379">
        <v>110.48499999999999</v>
      </c>
      <c r="E8030" s="25">
        <v>33.81</v>
      </c>
      <c r="F8030" s="379">
        <v>6.1803290618068356</v>
      </c>
      <c r="G8030" s="25">
        <v>61.97</v>
      </c>
      <c r="H8030" s="379">
        <v>4.0480107057803254</v>
      </c>
      <c r="I8030" s="25">
        <v>603.30999999999995</v>
      </c>
      <c r="J8030" s="379">
        <v>5.0608640364078807</v>
      </c>
    </row>
    <row r="8031" spans="1:10" x14ac:dyDescent="0.35">
      <c r="A8031" s="5">
        <v>8027</v>
      </c>
      <c r="B8031" s="5">
        <v>335</v>
      </c>
      <c r="C8031" s="5">
        <v>12</v>
      </c>
      <c r="D8031" s="379">
        <v>105.48222222222222</v>
      </c>
      <c r="E8031" s="25">
        <v>30.28</v>
      </c>
      <c r="F8031" s="379">
        <v>6.1803290618068356</v>
      </c>
      <c r="G8031" s="25">
        <v>55.88</v>
      </c>
      <c r="H8031" s="379">
        <v>4.1944084884484516</v>
      </c>
      <c r="I8031" s="25">
        <v>66.06</v>
      </c>
      <c r="J8031" s="379">
        <v>4.9278369202009253</v>
      </c>
    </row>
    <row r="8032" spans="1:10" x14ac:dyDescent="0.35">
      <c r="A8032" s="5">
        <v>8028</v>
      </c>
      <c r="B8032" s="5">
        <v>335</v>
      </c>
      <c r="C8032" s="5">
        <v>12</v>
      </c>
      <c r="D8032" s="379">
        <v>103.71111111111111</v>
      </c>
      <c r="E8032" s="25">
        <v>28.74</v>
      </c>
      <c r="F8032" s="379">
        <v>6.1803290618068356</v>
      </c>
      <c r="G8032" s="25">
        <v>53.2</v>
      </c>
      <c r="H8032" s="379">
        <v>3.9814242448093844</v>
      </c>
      <c r="I8032" s="25">
        <v>61.65</v>
      </c>
      <c r="J8032" s="379">
        <v>4.8647057391733517</v>
      </c>
    </row>
    <row r="8033" spans="1:10" x14ac:dyDescent="0.35">
      <c r="A8033" s="5">
        <v>8029</v>
      </c>
      <c r="B8033" s="5">
        <v>335</v>
      </c>
      <c r="C8033" s="5">
        <v>12</v>
      </c>
      <c r="D8033" s="379">
        <v>104.18388888888889</v>
      </c>
      <c r="E8033" s="25">
        <v>25.74</v>
      </c>
      <c r="F8033" s="379">
        <v>6.1451460190202827</v>
      </c>
      <c r="G8033" s="25">
        <v>52.67</v>
      </c>
      <c r="H8033" s="379">
        <v>3.1724788171323963</v>
      </c>
      <c r="I8033" s="25">
        <v>56.52</v>
      </c>
      <c r="J8033" s="379">
        <v>4.2227277559509684</v>
      </c>
    </row>
    <row r="8034" spans="1:10" x14ac:dyDescent="0.35">
      <c r="A8034" s="5">
        <v>8030</v>
      </c>
      <c r="B8034" s="5">
        <v>335</v>
      </c>
      <c r="C8034" s="5">
        <v>12</v>
      </c>
      <c r="D8034" s="379">
        <v>105.60388888888889</v>
      </c>
      <c r="E8034" s="25">
        <v>25.74</v>
      </c>
      <c r="F8034" s="379">
        <v>6.1451460190202827</v>
      </c>
      <c r="G8034" s="25">
        <v>52.67</v>
      </c>
      <c r="H8034" s="379">
        <v>3.9185048158428573</v>
      </c>
      <c r="I8034" s="25">
        <v>56.52</v>
      </c>
      <c r="J8034" s="379">
        <v>4.7663453311164989</v>
      </c>
    </row>
    <row r="8035" spans="1:10" x14ac:dyDescent="0.35">
      <c r="A8035" s="5">
        <v>8031</v>
      </c>
      <c r="B8035" s="5">
        <v>335</v>
      </c>
      <c r="C8035" s="5">
        <v>12</v>
      </c>
      <c r="D8035" s="379">
        <v>108.52055555555555</v>
      </c>
      <c r="E8035" s="25">
        <v>26.51</v>
      </c>
      <c r="F8035" s="379">
        <v>6.1451460190202827</v>
      </c>
      <c r="G8035" s="25">
        <v>52.67</v>
      </c>
      <c r="H8035" s="379">
        <v>3.6491373239562823</v>
      </c>
      <c r="I8035" s="25">
        <v>62.27</v>
      </c>
      <c r="J8035" s="379">
        <v>4.6175875325833937</v>
      </c>
    </row>
    <row r="8036" spans="1:10" x14ac:dyDescent="0.35">
      <c r="A8036" s="5">
        <v>8032</v>
      </c>
      <c r="B8036" s="5">
        <v>335</v>
      </c>
      <c r="C8036" s="5">
        <v>12</v>
      </c>
      <c r="D8036" s="379">
        <v>111.96666666666665</v>
      </c>
      <c r="E8036" s="25">
        <v>26.51</v>
      </c>
      <c r="F8036" s="379">
        <v>7.1284698709388916</v>
      </c>
      <c r="G8036" s="25">
        <v>52.67</v>
      </c>
      <c r="H8036" s="379">
        <v>3.842693317111503</v>
      </c>
      <c r="I8036" s="25">
        <v>62.27</v>
      </c>
      <c r="J8036" s="379">
        <v>4.4717906130430878</v>
      </c>
    </row>
    <row r="8037" spans="1:10" x14ac:dyDescent="0.35">
      <c r="A8037" s="5">
        <v>8033</v>
      </c>
      <c r="B8037" s="5">
        <v>335</v>
      </c>
      <c r="C8037" s="5">
        <v>12</v>
      </c>
      <c r="D8037" s="379">
        <v>116.09166666666667</v>
      </c>
      <c r="E8037" s="25">
        <v>26.51</v>
      </c>
      <c r="F8037" s="379">
        <v>6.9470393193243671</v>
      </c>
      <c r="G8037" s="25">
        <v>58.34</v>
      </c>
      <c r="H8037" s="379">
        <v>3.6340656756386434</v>
      </c>
      <c r="I8037" s="25">
        <v>64.14</v>
      </c>
      <c r="J8037" s="379">
        <v>2.4666181121332609</v>
      </c>
    </row>
    <row r="8038" spans="1:10" x14ac:dyDescent="0.35">
      <c r="A8038" s="5">
        <v>8034</v>
      </c>
      <c r="B8038" s="5">
        <v>335</v>
      </c>
      <c r="C8038" s="5">
        <v>12</v>
      </c>
      <c r="D8038" s="379">
        <v>122.07944444444443</v>
      </c>
      <c r="E8038" s="25">
        <v>30.28</v>
      </c>
      <c r="F8038" s="379">
        <v>6.8266642618745275</v>
      </c>
      <c r="G8038" s="25">
        <v>62.12</v>
      </c>
      <c r="H8038" s="379">
        <v>3.6600709379240821</v>
      </c>
      <c r="I8038" s="25">
        <v>66.06</v>
      </c>
      <c r="J8038" s="379">
        <v>4.1776528508053383</v>
      </c>
    </row>
    <row r="8039" spans="1:10" x14ac:dyDescent="0.35">
      <c r="A8039" s="5">
        <v>8035</v>
      </c>
      <c r="B8039" s="5">
        <v>335</v>
      </c>
      <c r="C8039" s="5">
        <v>12</v>
      </c>
      <c r="D8039" s="379">
        <v>113.48777777777778</v>
      </c>
      <c r="E8039" s="25">
        <v>31.84</v>
      </c>
      <c r="F8039" s="379">
        <v>6.8127118952574639</v>
      </c>
      <c r="G8039" s="25">
        <v>63.78</v>
      </c>
      <c r="H8039" s="379">
        <v>3.122000615233266</v>
      </c>
      <c r="I8039" s="25">
        <v>64.14</v>
      </c>
      <c r="J8039" s="379">
        <v>0.39001759522088697</v>
      </c>
    </row>
    <row r="8040" spans="1:10" x14ac:dyDescent="0.35">
      <c r="A8040" s="5">
        <v>8036</v>
      </c>
      <c r="B8040" s="5">
        <v>335</v>
      </c>
      <c r="C8040" s="5">
        <v>12</v>
      </c>
      <c r="D8040" s="379">
        <v>109.44055555555555</v>
      </c>
      <c r="E8040" s="25">
        <v>30.28</v>
      </c>
      <c r="F8040" s="379">
        <v>6.2311309448970427</v>
      </c>
      <c r="G8040" s="25">
        <v>62.12</v>
      </c>
      <c r="H8040" s="379">
        <v>2.9440848675512932</v>
      </c>
      <c r="I8040" s="25">
        <v>64.14</v>
      </c>
      <c r="J8040" s="379">
        <v>3.4330330142848191</v>
      </c>
    </row>
    <row r="8041" spans="1:10" x14ac:dyDescent="0.35">
      <c r="A8041" s="5">
        <v>8037</v>
      </c>
      <c r="B8041" s="5">
        <v>335</v>
      </c>
      <c r="C8041" s="5">
        <v>12</v>
      </c>
      <c r="D8041" s="379">
        <v>103.85833333333332</v>
      </c>
      <c r="E8041" s="25">
        <v>27.3</v>
      </c>
      <c r="F8041" s="379">
        <v>5.084036914558876</v>
      </c>
      <c r="G8041" s="25">
        <v>55.78</v>
      </c>
      <c r="H8041" s="379">
        <v>2.1197967714854724</v>
      </c>
      <c r="I8041" s="25">
        <v>54.87</v>
      </c>
      <c r="J8041" s="379">
        <v>2.1237430666947179</v>
      </c>
    </row>
    <row r="8042" spans="1:10" x14ac:dyDescent="0.35">
      <c r="A8042" s="5">
        <v>8038</v>
      </c>
      <c r="B8042" s="5">
        <v>335</v>
      </c>
      <c r="C8042" s="5">
        <v>12</v>
      </c>
      <c r="D8042" s="379">
        <v>92.955555555555549</v>
      </c>
      <c r="E8042" s="25">
        <v>25.74</v>
      </c>
      <c r="F8042" s="379">
        <v>5.089998895196068</v>
      </c>
      <c r="G8042" s="25">
        <v>52.14</v>
      </c>
      <c r="H8042" s="379">
        <v>2.201072178185381</v>
      </c>
      <c r="I8042" s="25">
        <v>49.53</v>
      </c>
      <c r="J8042" s="379">
        <v>4.1765774340579824</v>
      </c>
    </row>
    <row r="8043" spans="1:10" x14ac:dyDescent="0.35">
      <c r="A8043" s="5">
        <v>8039</v>
      </c>
      <c r="B8043" s="5">
        <v>335</v>
      </c>
      <c r="C8043" s="5">
        <v>12</v>
      </c>
      <c r="D8043" s="379">
        <v>85.822777777777773</v>
      </c>
      <c r="E8043" s="25">
        <v>25.74</v>
      </c>
      <c r="F8043" s="379">
        <v>4.7044746978235175</v>
      </c>
      <c r="G8043" s="25">
        <v>50.15</v>
      </c>
      <c r="H8043" s="379">
        <v>2.3139183752689996</v>
      </c>
      <c r="I8043" s="25">
        <v>48.86</v>
      </c>
      <c r="J8043" s="379">
        <v>1.2478241656617965</v>
      </c>
    </row>
    <row r="8044" spans="1:10" x14ac:dyDescent="0.35">
      <c r="A8044" s="5">
        <v>8040</v>
      </c>
      <c r="B8044" s="5">
        <v>335</v>
      </c>
      <c r="C8044" s="5">
        <v>12</v>
      </c>
      <c r="D8044" s="379">
        <v>84.708888888888893</v>
      </c>
      <c r="E8044" s="25">
        <v>25.59</v>
      </c>
      <c r="F8044" s="379">
        <v>4.7351986847643097</v>
      </c>
      <c r="G8044" s="25">
        <v>49.65</v>
      </c>
      <c r="H8044" s="379">
        <v>2.250219181009371</v>
      </c>
      <c r="I8044" s="25">
        <v>48.86</v>
      </c>
      <c r="J8044" s="379">
        <v>1.8049189031870301</v>
      </c>
    </row>
    <row r="8045" spans="1:10" x14ac:dyDescent="0.35">
      <c r="A8045" s="5">
        <v>8041</v>
      </c>
      <c r="B8045" s="5">
        <v>336</v>
      </c>
      <c r="C8045" s="5">
        <v>12</v>
      </c>
      <c r="D8045" s="379">
        <v>85.807222222222222</v>
      </c>
      <c r="E8045" s="25">
        <v>25.59</v>
      </c>
      <c r="F8045" s="379">
        <v>4.2907058346015416</v>
      </c>
      <c r="G8045" s="25">
        <v>46.75</v>
      </c>
      <c r="H8045" s="379">
        <v>2.7207192865179595</v>
      </c>
      <c r="I8045" s="25">
        <v>48.86</v>
      </c>
      <c r="J8045" s="379">
        <v>8.0353091689188097E-2</v>
      </c>
    </row>
    <row r="8046" spans="1:10" x14ac:dyDescent="0.35">
      <c r="A8046" s="5">
        <v>8042</v>
      </c>
      <c r="B8046" s="5">
        <v>336</v>
      </c>
      <c r="C8046" s="5">
        <v>12</v>
      </c>
      <c r="D8046" s="379">
        <v>83.679999999999993</v>
      </c>
      <c r="E8046" s="25">
        <v>25.59</v>
      </c>
      <c r="F8046" s="379">
        <v>4.0296947824566933</v>
      </c>
      <c r="G8046" s="25">
        <v>44.86</v>
      </c>
      <c r="H8046" s="379">
        <v>4.1027456868294072</v>
      </c>
      <c r="I8046" s="25">
        <v>48.86</v>
      </c>
      <c r="J8046" s="379">
        <v>1.4308959794830027</v>
      </c>
    </row>
    <row r="8047" spans="1:10" x14ac:dyDescent="0.35">
      <c r="A8047" s="5">
        <v>8043</v>
      </c>
      <c r="B8047" s="5">
        <v>336</v>
      </c>
      <c r="C8047" s="5">
        <v>12</v>
      </c>
      <c r="D8047" s="379">
        <v>83.48555555555555</v>
      </c>
      <c r="E8047" s="25">
        <v>25.59</v>
      </c>
      <c r="F8047" s="379">
        <v>4.0296947824566933</v>
      </c>
      <c r="G8047" s="25">
        <v>44.69</v>
      </c>
      <c r="H8047" s="379">
        <v>4.1938957359447304</v>
      </c>
      <c r="I8047" s="25">
        <v>48.86</v>
      </c>
      <c r="J8047" s="379">
        <v>3.9175764375643731</v>
      </c>
    </row>
    <row r="8048" spans="1:10" x14ac:dyDescent="0.35">
      <c r="A8048" s="5">
        <v>8044</v>
      </c>
      <c r="B8048" s="5">
        <v>336</v>
      </c>
      <c r="C8048" s="5">
        <v>12</v>
      </c>
      <c r="D8048" s="379">
        <v>82.87277777777777</v>
      </c>
      <c r="E8048" s="25">
        <v>25.29</v>
      </c>
      <c r="F8048" s="379">
        <v>4.73552162972174</v>
      </c>
      <c r="G8048" s="25">
        <v>43.56</v>
      </c>
      <c r="H8048" s="379">
        <v>2.5033381935466825</v>
      </c>
      <c r="I8048" s="25">
        <v>48.86</v>
      </c>
      <c r="J8048" s="379">
        <v>1.8402040978088055</v>
      </c>
    </row>
    <row r="8049" spans="1:10" x14ac:dyDescent="0.35">
      <c r="A8049" s="5">
        <v>8045</v>
      </c>
      <c r="B8049" s="5">
        <v>336</v>
      </c>
      <c r="C8049" s="5">
        <v>12</v>
      </c>
      <c r="D8049" s="379">
        <v>85.772777777777776</v>
      </c>
      <c r="E8049" s="25">
        <v>25.59</v>
      </c>
      <c r="F8049" s="379">
        <v>4.6537175648193854</v>
      </c>
      <c r="G8049" s="25">
        <v>43.56</v>
      </c>
      <c r="H8049" s="379">
        <v>1.7427645172635684</v>
      </c>
      <c r="I8049" s="25">
        <v>48.86</v>
      </c>
      <c r="J8049" s="379">
        <v>3.7181653975771929</v>
      </c>
    </row>
    <row r="8050" spans="1:10" x14ac:dyDescent="0.35">
      <c r="A8050" s="5">
        <v>8046</v>
      </c>
      <c r="B8050" s="5">
        <v>336</v>
      </c>
      <c r="C8050" s="5">
        <v>12</v>
      </c>
      <c r="D8050" s="379">
        <v>88.041111111111107</v>
      </c>
      <c r="E8050" s="25">
        <v>25.59</v>
      </c>
      <c r="F8050" s="379">
        <v>4.3631196337731106</v>
      </c>
      <c r="G8050" s="25">
        <v>49.65</v>
      </c>
      <c r="H8050" s="379">
        <v>2.1625718369534486</v>
      </c>
      <c r="I8050" s="25">
        <v>48.86</v>
      </c>
      <c r="J8050" s="379">
        <v>2.9703944257592449</v>
      </c>
    </row>
    <row r="8051" spans="1:10" x14ac:dyDescent="0.35">
      <c r="A8051" s="5">
        <v>8047</v>
      </c>
      <c r="B8051" s="5">
        <v>336</v>
      </c>
      <c r="C8051" s="5">
        <v>12</v>
      </c>
      <c r="D8051" s="379">
        <v>97.391111111111115</v>
      </c>
      <c r="E8051" s="25">
        <v>26.05</v>
      </c>
      <c r="F8051" s="379">
        <v>5.2341093237095508</v>
      </c>
      <c r="G8051" s="25">
        <v>52.67</v>
      </c>
      <c r="H8051" s="379">
        <v>2.643010590986651</v>
      </c>
      <c r="I8051" s="25">
        <v>49.63</v>
      </c>
      <c r="J8051" s="379">
        <v>0.29733356811496675</v>
      </c>
    </row>
    <row r="8052" spans="1:10" x14ac:dyDescent="0.35">
      <c r="A8052" s="5">
        <v>8048</v>
      </c>
      <c r="B8052" s="5">
        <v>336</v>
      </c>
      <c r="C8052" s="5">
        <v>12</v>
      </c>
      <c r="D8052" s="379">
        <v>110.39777777777776</v>
      </c>
      <c r="E8052" s="25">
        <v>35.869999999999997</v>
      </c>
      <c r="F8052" s="379">
        <v>5.677023586057433</v>
      </c>
      <c r="G8052" s="25">
        <v>62.12</v>
      </c>
      <c r="H8052" s="379">
        <v>3.5962488163320216</v>
      </c>
      <c r="I8052" s="25">
        <v>54.87</v>
      </c>
      <c r="J8052" s="379">
        <v>2.9486494916770489</v>
      </c>
    </row>
    <row r="8053" spans="1:10" x14ac:dyDescent="0.35">
      <c r="A8053" s="5">
        <v>8049</v>
      </c>
      <c r="B8053" s="5">
        <v>336</v>
      </c>
      <c r="C8053" s="5">
        <v>12</v>
      </c>
      <c r="D8053" s="379">
        <v>113.81166666666667</v>
      </c>
      <c r="E8053" s="25">
        <v>35.869999999999997</v>
      </c>
      <c r="F8053" s="379">
        <v>8.1174834595959613</v>
      </c>
      <c r="G8053" s="25">
        <v>62.12</v>
      </c>
      <c r="H8053" s="379">
        <v>4.4385826935835473</v>
      </c>
      <c r="I8053" s="25">
        <v>54.87</v>
      </c>
      <c r="J8053" s="379">
        <v>3.4863710850147149</v>
      </c>
    </row>
    <row r="8054" spans="1:10" x14ac:dyDescent="0.35">
      <c r="A8054" s="5">
        <v>8050</v>
      </c>
      <c r="B8054" s="5">
        <v>336</v>
      </c>
      <c r="C8054" s="5">
        <v>12</v>
      </c>
      <c r="D8054" s="379">
        <v>111.36499999999999</v>
      </c>
      <c r="E8054" s="25">
        <v>35.869999999999997</v>
      </c>
      <c r="F8054" s="379">
        <v>8.1174834595959595</v>
      </c>
      <c r="G8054" s="25">
        <v>62.12</v>
      </c>
      <c r="H8054" s="379">
        <v>4.799693804694658</v>
      </c>
      <c r="I8054" s="25">
        <v>53.71</v>
      </c>
      <c r="J8054" s="379">
        <v>6.5340432993482906</v>
      </c>
    </row>
    <row r="8055" spans="1:10" x14ac:dyDescent="0.35">
      <c r="A8055" s="5">
        <v>8051</v>
      </c>
      <c r="B8055" s="5">
        <v>336</v>
      </c>
      <c r="C8055" s="5">
        <v>12</v>
      </c>
      <c r="D8055" s="379">
        <v>110.11499999999999</v>
      </c>
      <c r="E8055" s="25">
        <v>30.91</v>
      </c>
      <c r="F8055" s="379">
        <v>8.1174834595959595</v>
      </c>
      <c r="G8055" s="25">
        <v>60.51</v>
      </c>
      <c r="H8055" s="379">
        <v>4.2825007580048426</v>
      </c>
      <c r="I8055" s="25">
        <v>50.13</v>
      </c>
      <c r="J8055" s="379">
        <v>4.6742882962254884</v>
      </c>
    </row>
    <row r="8056" spans="1:10" x14ac:dyDescent="0.35">
      <c r="A8056" s="5">
        <v>8052</v>
      </c>
      <c r="B8056" s="5">
        <v>336</v>
      </c>
      <c r="C8056" s="5">
        <v>12</v>
      </c>
      <c r="D8056" s="379">
        <v>106.99666666666666</v>
      </c>
      <c r="E8056" s="25">
        <v>28.12</v>
      </c>
      <c r="F8056" s="379">
        <v>8.1174834595959595</v>
      </c>
      <c r="G8056" s="25">
        <v>57.04</v>
      </c>
      <c r="H8056" s="379">
        <v>4.2825007580048435</v>
      </c>
      <c r="I8056" s="25">
        <v>50.13</v>
      </c>
      <c r="J8056" s="379">
        <v>5.6716805232983782</v>
      </c>
    </row>
    <row r="8057" spans="1:10" x14ac:dyDescent="0.35">
      <c r="A8057" s="5">
        <v>8053</v>
      </c>
      <c r="B8057" s="5">
        <v>336</v>
      </c>
      <c r="C8057" s="5">
        <v>12</v>
      </c>
      <c r="D8057" s="379">
        <v>104.99555555555557</v>
      </c>
      <c r="E8057" s="25">
        <v>26.79</v>
      </c>
      <c r="F8057" s="379">
        <v>7.0994630581807936</v>
      </c>
      <c r="G8057" s="25">
        <v>55.88</v>
      </c>
      <c r="H8057" s="379">
        <v>4.2825007580048435</v>
      </c>
      <c r="I8057" s="25">
        <v>49.63</v>
      </c>
      <c r="J8057" s="379">
        <v>6.0141149342088687</v>
      </c>
    </row>
    <row r="8058" spans="1:10" x14ac:dyDescent="0.35">
      <c r="A8058" s="5">
        <v>8054</v>
      </c>
      <c r="B8058" s="5">
        <v>336</v>
      </c>
      <c r="C8058" s="5">
        <v>12</v>
      </c>
      <c r="D8058" s="379">
        <v>100.03722222222223</v>
      </c>
      <c r="E8058" s="25">
        <v>26.51</v>
      </c>
      <c r="F8058" s="379">
        <v>7.6642904061643229</v>
      </c>
      <c r="G8058" s="25">
        <v>55.88</v>
      </c>
      <c r="H8058" s="379">
        <v>4.2825007580048435</v>
      </c>
      <c r="I8058" s="25">
        <v>49.63</v>
      </c>
      <c r="J8058" s="379">
        <v>5.7846248857757754</v>
      </c>
    </row>
    <row r="8059" spans="1:10" x14ac:dyDescent="0.35">
      <c r="A8059" s="5">
        <v>8055</v>
      </c>
      <c r="B8059" s="5">
        <v>336</v>
      </c>
      <c r="C8059" s="5">
        <v>12</v>
      </c>
      <c r="D8059" s="379">
        <v>92.471111111111114</v>
      </c>
      <c r="E8059" s="25">
        <v>27.3</v>
      </c>
      <c r="F8059" s="379">
        <v>8.1953154047205139</v>
      </c>
      <c r="G8059" s="25">
        <v>57.04</v>
      </c>
      <c r="H8059" s="379">
        <v>4.2825007580048435</v>
      </c>
      <c r="I8059" s="25">
        <v>49.63</v>
      </c>
      <c r="J8059" s="379">
        <v>6.2893927877410132</v>
      </c>
    </row>
    <row r="8060" spans="1:10" x14ac:dyDescent="0.35">
      <c r="A8060" s="5">
        <v>8056</v>
      </c>
      <c r="B8060" s="5">
        <v>336</v>
      </c>
      <c r="C8060" s="5">
        <v>12</v>
      </c>
      <c r="D8060" s="379">
        <v>88.116111111111096</v>
      </c>
      <c r="E8060" s="25">
        <v>27.3</v>
      </c>
      <c r="F8060" s="379">
        <v>8.8645310669774204</v>
      </c>
      <c r="G8060" s="25">
        <v>57.45</v>
      </c>
      <c r="H8060" s="379">
        <v>6.8679018783987589</v>
      </c>
      <c r="I8060" s="25">
        <v>50.13</v>
      </c>
      <c r="J8060" s="379">
        <v>5.6716805232983782</v>
      </c>
    </row>
    <row r="8061" spans="1:10" x14ac:dyDescent="0.35">
      <c r="A8061" s="5">
        <v>8057</v>
      </c>
      <c r="B8061" s="5">
        <v>336</v>
      </c>
      <c r="C8061" s="5">
        <v>12</v>
      </c>
      <c r="D8061" s="379">
        <v>89.668333333333308</v>
      </c>
      <c r="E8061" s="25">
        <v>28.12</v>
      </c>
      <c r="F8061" s="379">
        <v>8.9780609591380678</v>
      </c>
      <c r="G8061" s="25">
        <v>62.33</v>
      </c>
      <c r="H8061" s="379">
        <v>6.9036860014504935</v>
      </c>
      <c r="I8061" s="25">
        <v>56.52</v>
      </c>
      <c r="J8061" s="379">
        <v>6.6685572832684823</v>
      </c>
    </row>
    <row r="8062" spans="1:10" x14ac:dyDescent="0.35">
      <c r="A8062" s="5">
        <v>8058</v>
      </c>
      <c r="B8062" s="5">
        <v>336</v>
      </c>
      <c r="C8062" s="5">
        <v>12</v>
      </c>
      <c r="D8062" s="379">
        <v>100.69055555555555</v>
      </c>
      <c r="E8062" s="25">
        <v>34.82</v>
      </c>
      <c r="F8062" s="379">
        <v>8.9616186443922672</v>
      </c>
      <c r="G8062" s="25">
        <v>843.72</v>
      </c>
      <c r="H8062" s="379">
        <v>6.8567534151006768</v>
      </c>
      <c r="I8062" s="25">
        <v>62.27</v>
      </c>
      <c r="J8062" s="379">
        <v>6.6471927781229736</v>
      </c>
    </row>
    <row r="8063" spans="1:10" x14ac:dyDescent="0.35">
      <c r="A8063" s="5">
        <v>8059</v>
      </c>
      <c r="B8063" s="5">
        <v>336</v>
      </c>
      <c r="C8063" s="5">
        <v>12</v>
      </c>
      <c r="D8063" s="379">
        <v>94.888333333333321</v>
      </c>
      <c r="E8063" s="25">
        <v>37.090000000000003</v>
      </c>
      <c r="F8063" s="379">
        <v>8.9798957110739366</v>
      </c>
      <c r="G8063" s="25">
        <v>843.72</v>
      </c>
      <c r="H8063" s="379">
        <v>6.470353843687513</v>
      </c>
      <c r="I8063" s="25">
        <v>60.46</v>
      </c>
      <c r="J8063" s="379">
        <v>6.6471927781229763</v>
      </c>
    </row>
    <row r="8064" spans="1:10" x14ac:dyDescent="0.35">
      <c r="A8064" s="5">
        <v>8060</v>
      </c>
      <c r="B8064" s="5">
        <v>336</v>
      </c>
      <c r="C8064" s="5">
        <v>12</v>
      </c>
      <c r="D8064" s="379">
        <v>88.757777777777775</v>
      </c>
      <c r="E8064" s="25">
        <v>31.19</v>
      </c>
      <c r="F8064" s="379">
        <v>8.9061093435890015</v>
      </c>
      <c r="G8064" s="25">
        <v>843.72</v>
      </c>
      <c r="H8064" s="379">
        <v>6.9102980770518023</v>
      </c>
      <c r="I8064" s="25">
        <v>56.52</v>
      </c>
      <c r="J8064" s="379">
        <v>3.893311602949562</v>
      </c>
    </row>
    <row r="8065" spans="1:10" x14ac:dyDescent="0.35">
      <c r="A8065" s="5">
        <v>8061</v>
      </c>
      <c r="B8065" s="5">
        <v>336</v>
      </c>
      <c r="C8065" s="5">
        <v>12</v>
      </c>
      <c r="D8065" s="379">
        <v>75.81</v>
      </c>
      <c r="E8065" s="25">
        <v>27.3</v>
      </c>
      <c r="F8065" s="379">
        <v>8.4033181099272074</v>
      </c>
      <c r="G8065" s="25">
        <v>61.67</v>
      </c>
      <c r="H8065" s="379">
        <v>6.7828585627272817</v>
      </c>
      <c r="I8065" s="25">
        <v>50.84</v>
      </c>
      <c r="J8065" s="379">
        <v>1.2330370207646117</v>
      </c>
    </row>
    <row r="8066" spans="1:10" x14ac:dyDescent="0.35">
      <c r="A8066" s="5">
        <v>8062</v>
      </c>
      <c r="B8066" s="5">
        <v>336</v>
      </c>
      <c r="C8066" s="5">
        <v>12</v>
      </c>
      <c r="D8066" s="379">
        <v>78.49166666666666</v>
      </c>
      <c r="E8066" s="25">
        <v>26.51</v>
      </c>
      <c r="F8066" s="379">
        <v>8.1174834595959577</v>
      </c>
      <c r="G8066" s="25">
        <v>53.77</v>
      </c>
      <c r="H8066" s="379">
        <v>6.3642251059338504</v>
      </c>
      <c r="I8066" s="25">
        <v>50.13</v>
      </c>
      <c r="J8066" s="379">
        <v>6.497810680823183</v>
      </c>
    </row>
    <row r="8067" spans="1:10" x14ac:dyDescent="0.35">
      <c r="A8067" s="5">
        <v>8063</v>
      </c>
      <c r="B8067" s="5">
        <v>336</v>
      </c>
      <c r="C8067" s="5">
        <v>12</v>
      </c>
      <c r="D8067" s="379">
        <v>76.458888888888879</v>
      </c>
      <c r="E8067" s="25">
        <v>26.51</v>
      </c>
      <c r="F8067" s="379">
        <v>8.1174834595959595</v>
      </c>
      <c r="G8067" s="25">
        <v>52.67</v>
      </c>
      <c r="H8067" s="379">
        <v>5.9981134077865343</v>
      </c>
      <c r="I8067" s="25">
        <v>50.13</v>
      </c>
      <c r="J8067" s="379">
        <v>4.4870400449118879</v>
      </c>
    </row>
    <row r="8068" spans="1:10" x14ac:dyDescent="0.35">
      <c r="A8068" s="5">
        <v>8064</v>
      </c>
      <c r="B8068" s="5">
        <v>336</v>
      </c>
      <c r="C8068" s="5">
        <v>12</v>
      </c>
      <c r="D8068" s="379">
        <v>72.279999999999987</v>
      </c>
      <c r="E8068" s="25">
        <v>25.74</v>
      </c>
      <c r="F8068" s="379">
        <v>8.1174834595959595</v>
      </c>
      <c r="G8068" s="25">
        <v>50.35</v>
      </c>
      <c r="H8068" s="379">
        <v>5.4141255951604466</v>
      </c>
      <c r="I8068" s="25">
        <v>50.13</v>
      </c>
      <c r="J8068" s="379">
        <v>1.9177818232856942</v>
      </c>
    </row>
    <row r="8069" spans="1:10" x14ac:dyDescent="0.35">
      <c r="A8069" s="5">
        <v>8065</v>
      </c>
      <c r="B8069" s="5">
        <v>337</v>
      </c>
      <c r="C8069" s="5">
        <v>12</v>
      </c>
      <c r="D8069" s="379">
        <v>71.503333333333345</v>
      </c>
      <c r="E8069" s="25">
        <v>25.74</v>
      </c>
      <c r="F8069" s="379">
        <v>8.1174834595959595</v>
      </c>
      <c r="G8069" s="25">
        <v>48.39</v>
      </c>
      <c r="H8069" s="379">
        <v>6.1742504618901553</v>
      </c>
      <c r="I8069" s="25">
        <v>48.86</v>
      </c>
      <c r="J8069" s="379">
        <v>4.4928670700368629</v>
      </c>
    </row>
    <row r="8070" spans="1:10" x14ac:dyDescent="0.35">
      <c r="A8070" s="5">
        <v>8066</v>
      </c>
      <c r="B8070" s="5">
        <v>337</v>
      </c>
      <c r="C8070" s="5">
        <v>12</v>
      </c>
      <c r="D8070" s="379">
        <v>69.738888888888894</v>
      </c>
      <c r="E8070" s="25">
        <v>25.74</v>
      </c>
      <c r="F8070" s="379">
        <v>8.1174834595959613</v>
      </c>
      <c r="G8070" s="25">
        <v>46.75</v>
      </c>
      <c r="H8070" s="379">
        <v>6.302186769800052</v>
      </c>
      <c r="I8070" s="25">
        <v>48.86</v>
      </c>
      <c r="J8070" s="379">
        <v>4.4928670700368629</v>
      </c>
    </row>
    <row r="8071" spans="1:10" x14ac:dyDescent="0.35">
      <c r="A8071" s="5">
        <v>8067</v>
      </c>
      <c r="B8071" s="5">
        <v>337</v>
      </c>
      <c r="C8071" s="5">
        <v>12</v>
      </c>
      <c r="D8071" s="379">
        <v>68.173333333333346</v>
      </c>
      <c r="E8071" s="25">
        <v>25.74</v>
      </c>
      <c r="F8071" s="379">
        <v>8.1174834595959577</v>
      </c>
      <c r="G8071" s="25">
        <v>44.69</v>
      </c>
      <c r="H8071" s="379">
        <v>6.4258866089662305</v>
      </c>
      <c r="I8071" s="25">
        <v>48.86</v>
      </c>
      <c r="J8071" s="379">
        <v>3.924432523212467</v>
      </c>
    </row>
    <row r="8072" spans="1:10" x14ac:dyDescent="0.35">
      <c r="A8072" s="5">
        <v>8068</v>
      </c>
      <c r="B8072" s="5">
        <v>337</v>
      </c>
      <c r="C8072" s="5">
        <v>12</v>
      </c>
      <c r="D8072" s="379">
        <v>65.507222222222225</v>
      </c>
      <c r="E8072" s="25">
        <v>25.74</v>
      </c>
      <c r="F8072" s="379">
        <v>8.1971913806532193</v>
      </c>
      <c r="G8072" s="25">
        <v>44.69</v>
      </c>
      <c r="H8072" s="379">
        <v>6.6741752662990939</v>
      </c>
      <c r="I8072" s="25">
        <v>48.86</v>
      </c>
      <c r="J8072" s="379">
        <v>4.2845165595465469</v>
      </c>
    </row>
    <row r="8073" spans="1:10" x14ac:dyDescent="0.35">
      <c r="A8073" s="5">
        <v>8069</v>
      </c>
      <c r="B8073" s="5">
        <v>337</v>
      </c>
      <c r="C8073" s="5">
        <v>12</v>
      </c>
      <c r="D8073" s="379">
        <v>64.624444444444435</v>
      </c>
      <c r="E8073" s="25">
        <v>25.74</v>
      </c>
      <c r="F8073" s="379">
        <v>8.9216544157114743</v>
      </c>
      <c r="G8073" s="25">
        <v>46.75</v>
      </c>
      <c r="H8073" s="379">
        <v>6.4517095773490443</v>
      </c>
      <c r="I8073" s="25">
        <v>48.86</v>
      </c>
      <c r="J8073" s="379">
        <v>3.4978257662105063</v>
      </c>
    </row>
    <row r="8074" spans="1:10" x14ac:dyDescent="0.35">
      <c r="A8074" s="5">
        <v>8070</v>
      </c>
      <c r="B8074" s="5">
        <v>337</v>
      </c>
      <c r="C8074" s="5">
        <v>12</v>
      </c>
      <c r="D8074" s="379">
        <v>67.214999999999989</v>
      </c>
      <c r="E8074" s="25">
        <v>25.74</v>
      </c>
      <c r="F8074" s="379">
        <v>9.9046119417278753</v>
      </c>
      <c r="G8074" s="25">
        <v>48.88</v>
      </c>
      <c r="H8074" s="379">
        <v>6.3179429952146737</v>
      </c>
      <c r="I8074" s="25">
        <v>48.86</v>
      </c>
      <c r="J8074" s="379">
        <v>0.14658328760494996</v>
      </c>
    </row>
    <row r="8075" spans="1:10" x14ac:dyDescent="0.35">
      <c r="A8075" s="5">
        <v>8071</v>
      </c>
      <c r="B8075" s="5">
        <v>337</v>
      </c>
      <c r="C8075" s="5">
        <v>12</v>
      </c>
      <c r="D8075" s="379">
        <v>69.837222222222223</v>
      </c>
      <c r="E8075" s="25">
        <v>26.79</v>
      </c>
      <c r="F8075" s="379">
        <v>13.777540490473744</v>
      </c>
      <c r="G8075" s="25">
        <v>54.25</v>
      </c>
      <c r="H8075" s="379">
        <v>6.4372635820730935</v>
      </c>
      <c r="I8075" s="25">
        <v>50.13</v>
      </c>
      <c r="J8075" s="379">
        <v>1.9880397503471581</v>
      </c>
    </row>
    <row r="8076" spans="1:10" x14ac:dyDescent="0.35">
      <c r="A8076" s="5">
        <v>8072</v>
      </c>
      <c r="B8076" s="5">
        <v>337</v>
      </c>
      <c r="C8076" s="5">
        <v>12</v>
      </c>
      <c r="D8076" s="379">
        <v>70.713333333333338</v>
      </c>
      <c r="E8076" s="25">
        <v>35.869999999999997</v>
      </c>
      <c r="F8076" s="379">
        <v>14.22404889349052</v>
      </c>
      <c r="G8076" s="25">
        <v>62.33</v>
      </c>
      <c r="H8076" s="379">
        <v>6.6998833111576968</v>
      </c>
      <c r="I8076" s="25">
        <v>56.52</v>
      </c>
      <c r="J8076" s="379">
        <v>0.27777777777777779</v>
      </c>
    </row>
    <row r="8077" spans="1:10" x14ac:dyDescent="0.35">
      <c r="A8077" s="5">
        <v>8073</v>
      </c>
      <c r="B8077" s="5">
        <v>337</v>
      </c>
      <c r="C8077" s="5">
        <v>12</v>
      </c>
      <c r="D8077" s="379">
        <v>70.511111111111106</v>
      </c>
      <c r="E8077" s="25">
        <v>35.869999999999997</v>
      </c>
      <c r="F8077" s="379">
        <v>15.825481145738582</v>
      </c>
      <c r="G8077" s="25">
        <v>843.72</v>
      </c>
      <c r="H8077" s="379">
        <v>7.8146990469140558</v>
      </c>
      <c r="I8077" s="25">
        <v>64.14</v>
      </c>
      <c r="J8077" s="379">
        <v>0.27777777777777779</v>
      </c>
    </row>
    <row r="8078" spans="1:10" x14ac:dyDescent="0.35">
      <c r="A8078" s="5">
        <v>8074</v>
      </c>
      <c r="B8078" s="5">
        <v>337</v>
      </c>
      <c r="C8078" s="5">
        <v>12</v>
      </c>
      <c r="D8078" s="379">
        <v>74.14</v>
      </c>
      <c r="E8078" s="25">
        <v>35.869999999999997</v>
      </c>
      <c r="F8078" s="379">
        <v>14.99769854124432</v>
      </c>
      <c r="G8078" s="25">
        <v>843.72</v>
      </c>
      <c r="H8078" s="379">
        <v>7.7995862264537168</v>
      </c>
      <c r="I8078" s="25">
        <v>64.14</v>
      </c>
      <c r="J8078" s="379">
        <v>0.27777777777777779</v>
      </c>
    </row>
    <row r="8079" spans="1:10" x14ac:dyDescent="0.35">
      <c r="A8079" s="5">
        <v>8075</v>
      </c>
      <c r="B8079" s="5">
        <v>337</v>
      </c>
      <c r="C8079" s="5">
        <v>12</v>
      </c>
      <c r="D8079" s="379">
        <v>78.022777777777776</v>
      </c>
      <c r="E8079" s="25">
        <v>30.28</v>
      </c>
      <c r="F8079" s="379">
        <v>9.7176794407452629</v>
      </c>
      <c r="G8079" s="25">
        <v>62.12</v>
      </c>
      <c r="H8079" s="379">
        <v>6.9696900806029891</v>
      </c>
      <c r="I8079" s="25">
        <v>56.52</v>
      </c>
      <c r="J8079" s="379">
        <v>5.0032776015634841</v>
      </c>
    </row>
    <row r="8080" spans="1:10" x14ac:dyDescent="0.35">
      <c r="A8080" s="5">
        <v>8076</v>
      </c>
      <c r="B8080" s="5">
        <v>337</v>
      </c>
      <c r="C8080" s="5">
        <v>12</v>
      </c>
      <c r="D8080" s="379">
        <v>78.99777777777777</v>
      </c>
      <c r="E8080" s="25">
        <v>28.12</v>
      </c>
      <c r="F8080" s="379">
        <v>9.2684466578137812</v>
      </c>
      <c r="G8080" s="25">
        <v>60.51</v>
      </c>
      <c r="H8080" s="379">
        <v>4.799693804694658</v>
      </c>
      <c r="I8080" s="25">
        <v>54.87</v>
      </c>
      <c r="J8080" s="379">
        <v>0.27777777777777779</v>
      </c>
    </row>
    <row r="8081" spans="1:10" x14ac:dyDescent="0.35">
      <c r="A8081" s="5">
        <v>8077</v>
      </c>
      <c r="B8081" s="5">
        <v>337</v>
      </c>
      <c r="C8081" s="5">
        <v>12</v>
      </c>
      <c r="D8081" s="379">
        <v>79.365555555555559</v>
      </c>
      <c r="E8081" s="25">
        <v>28.12</v>
      </c>
      <c r="F8081" s="379">
        <v>9.2465228935088248</v>
      </c>
      <c r="G8081" s="25">
        <v>58.75</v>
      </c>
      <c r="H8081" s="379">
        <v>4.799693804694658</v>
      </c>
      <c r="I8081" s="25">
        <v>52.15</v>
      </c>
      <c r="J8081" s="379">
        <v>5.3067351534270717</v>
      </c>
    </row>
    <row r="8082" spans="1:10" x14ac:dyDescent="0.35">
      <c r="A8082" s="5">
        <v>8078</v>
      </c>
      <c r="B8082" s="5">
        <v>337</v>
      </c>
      <c r="C8082" s="5">
        <v>12</v>
      </c>
      <c r="D8082" s="379">
        <v>77.444444444444443</v>
      </c>
      <c r="E8082" s="25">
        <v>27.3</v>
      </c>
      <c r="F8082" s="379">
        <v>9.2977974672667152</v>
      </c>
      <c r="G8082" s="25">
        <v>55.78</v>
      </c>
      <c r="H8082" s="379">
        <v>6.3653948339174038</v>
      </c>
      <c r="I8082" s="25">
        <v>52.15</v>
      </c>
      <c r="J8082" s="379">
        <v>4.8831765400667777</v>
      </c>
    </row>
    <row r="8083" spans="1:10" x14ac:dyDescent="0.35">
      <c r="A8083" s="5">
        <v>8079</v>
      </c>
      <c r="B8083" s="5">
        <v>337</v>
      </c>
      <c r="C8083" s="5">
        <v>12</v>
      </c>
      <c r="D8083" s="379">
        <v>77.058333333333323</v>
      </c>
      <c r="E8083" s="25">
        <v>27.3</v>
      </c>
      <c r="F8083" s="379">
        <v>9.3034045311045155</v>
      </c>
      <c r="G8083" s="25">
        <v>55.78</v>
      </c>
      <c r="H8083" s="379">
        <v>6.7290477421844876</v>
      </c>
      <c r="I8083" s="25">
        <v>53.71</v>
      </c>
      <c r="J8083" s="379">
        <v>4.3999629339023505</v>
      </c>
    </row>
    <row r="8084" spans="1:10" x14ac:dyDescent="0.35">
      <c r="A8084" s="5">
        <v>8080</v>
      </c>
      <c r="B8084" s="5">
        <v>337</v>
      </c>
      <c r="C8084" s="5">
        <v>12</v>
      </c>
      <c r="D8084" s="379">
        <v>79.202222222222233</v>
      </c>
      <c r="E8084" s="25">
        <v>27.3</v>
      </c>
      <c r="F8084" s="379">
        <v>10.755947300017464</v>
      </c>
      <c r="G8084" s="25">
        <v>58.03</v>
      </c>
      <c r="H8084" s="379">
        <v>7.2219551768534886</v>
      </c>
      <c r="I8084" s="25">
        <v>54.87</v>
      </c>
      <c r="J8084" s="379">
        <v>5.2145984831775101</v>
      </c>
    </row>
    <row r="8085" spans="1:10" x14ac:dyDescent="0.35">
      <c r="A8085" s="5">
        <v>8081</v>
      </c>
      <c r="B8085" s="5">
        <v>337</v>
      </c>
      <c r="C8085" s="5">
        <v>12</v>
      </c>
      <c r="D8085" s="379">
        <v>83.742222222222225</v>
      </c>
      <c r="E8085" s="25">
        <v>27.3</v>
      </c>
      <c r="F8085" s="379">
        <v>15.783831395569019</v>
      </c>
      <c r="G8085" s="25">
        <v>62.12</v>
      </c>
      <c r="H8085" s="379">
        <v>7.7090464771089273</v>
      </c>
      <c r="I8085" s="25">
        <v>62.27</v>
      </c>
      <c r="J8085" s="379">
        <v>0.27777777777777779</v>
      </c>
    </row>
    <row r="8086" spans="1:10" x14ac:dyDescent="0.35">
      <c r="A8086" s="5">
        <v>8082</v>
      </c>
      <c r="B8086" s="5">
        <v>337</v>
      </c>
      <c r="C8086" s="5">
        <v>12</v>
      </c>
      <c r="D8086" s="379">
        <v>86.176666666666677</v>
      </c>
      <c r="E8086" s="25">
        <v>30.28</v>
      </c>
      <c r="F8086" s="379">
        <v>15.891682480735962</v>
      </c>
      <c r="G8086" s="25">
        <v>63.98</v>
      </c>
      <c r="H8086" s="379">
        <v>6.1269955224227619</v>
      </c>
      <c r="I8086" s="25">
        <v>64.14</v>
      </c>
      <c r="J8086" s="379">
        <v>0.27777777777777779</v>
      </c>
    </row>
    <row r="8087" spans="1:10" x14ac:dyDescent="0.35">
      <c r="A8087" s="5">
        <v>8083</v>
      </c>
      <c r="B8087" s="5">
        <v>337</v>
      </c>
      <c r="C8087" s="5">
        <v>12</v>
      </c>
      <c r="D8087" s="379">
        <v>83.50555555555556</v>
      </c>
      <c r="E8087" s="25">
        <v>28.55</v>
      </c>
      <c r="F8087" s="379">
        <v>16.438139400138912</v>
      </c>
      <c r="G8087" s="25">
        <v>62.12</v>
      </c>
      <c r="H8087" s="379">
        <v>6.4053667444450602</v>
      </c>
      <c r="I8087" s="25">
        <v>62.27</v>
      </c>
      <c r="J8087" s="379">
        <v>6.8169649290710055</v>
      </c>
    </row>
    <row r="8088" spans="1:10" x14ac:dyDescent="0.35">
      <c r="A8088" s="5">
        <v>8084</v>
      </c>
      <c r="B8088" s="5">
        <v>337</v>
      </c>
      <c r="C8088" s="5">
        <v>12</v>
      </c>
      <c r="D8088" s="379">
        <v>78.423333333333318</v>
      </c>
      <c r="E8088" s="25">
        <v>26.51</v>
      </c>
      <c r="F8088" s="379">
        <v>15.901839772310842</v>
      </c>
      <c r="G8088" s="25">
        <v>58.03</v>
      </c>
      <c r="H8088" s="379">
        <v>6.0511638950707862</v>
      </c>
      <c r="I8088" s="25">
        <v>54.87</v>
      </c>
      <c r="J8088" s="379">
        <v>6.8169649290710055</v>
      </c>
    </row>
    <row r="8089" spans="1:10" x14ac:dyDescent="0.35">
      <c r="A8089" s="5">
        <v>8085</v>
      </c>
      <c r="B8089" s="5">
        <v>337</v>
      </c>
      <c r="C8089" s="5">
        <v>12</v>
      </c>
      <c r="D8089" s="379">
        <v>75.141111111111101</v>
      </c>
      <c r="E8089" s="25">
        <v>25.74</v>
      </c>
      <c r="F8089" s="379">
        <v>13.07754994469123</v>
      </c>
      <c r="G8089" s="25">
        <v>51.14</v>
      </c>
      <c r="H8089" s="379">
        <v>7.3597761531939785</v>
      </c>
      <c r="I8089" s="25">
        <v>48.86</v>
      </c>
      <c r="J8089" s="379">
        <v>6.8169649290710055</v>
      </c>
    </row>
    <row r="8090" spans="1:10" x14ac:dyDescent="0.35">
      <c r="A8090" s="5">
        <v>8086</v>
      </c>
      <c r="B8090" s="5">
        <v>337</v>
      </c>
      <c r="C8090" s="5">
        <v>12</v>
      </c>
      <c r="D8090" s="379">
        <v>73.962222222222223</v>
      </c>
      <c r="E8090" s="25">
        <v>25.74</v>
      </c>
      <c r="F8090" s="379">
        <v>9.3153171067918343</v>
      </c>
      <c r="G8090" s="25">
        <v>47.85</v>
      </c>
      <c r="H8090" s="379">
        <v>6.9927124153568299</v>
      </c>
      <c r="I8090" s="25">
        <v>47.44</v>
      </c>
      <c r="J8090" s="379">
        <v>6.7155346016139887</v>
      </c>
    </row>
    <row r="8091" spans="1:10" x14ac:dyDescent="0.35">
      <c r="A8091" s="5">
        <v>8087</v>
      </c>
      <c r="B8091" s="5">
        <v>337</v>
      </c>
      <c r="C8091" s="5">
        <v>12</v>
      </c>
      <c r="D8091" s="379">
        <v>72.51722222222223</v>
      </c>
      <c r="E8091" s="25">
        <v>25.59</v>
      </c>
      <c r="F8091" s="379">
        <v>8.1174834595959613</v>
      </c>
      <c r="G8091" s="25">
        <v>48.39</v>
      </c>
      <c r="H8091" s="379">
        <v>7.1335800860657814</v>
      </c>
      <c r="I8091" s="25">
        <v>47.44</v>
      </c>
      <c r="J8091" s="379">
        <v>3.0635488099194834</v>
      </c>
    </row>
    <row r="8092" spans="1:10" x14ac:dyDescent="0.35">
      <c r="A8092" s="5">
        <v>8088</v>
      </c>
      <c r="B8092" s="5">
        <v>337</v>
      </c>
      <c r="C8092" s="5">
        <v>12</v>
      </c>
      <c r="D8092" s="379">
        <v>73.469444444444449</v>
      </c>
      <c r="E8092" s="25">
        <v>24.84</v>
      </c>
      <c r="F8092" s="379">
        <v>8.1174834595959595</v>
      </c>
      <c r="G8092" s="25">
        <v>46.11</v>
      </c>
      <c r="H8092" s="379">
        <v>4.4385826935835464</v>
      </c>
      <c r="I8092" s="25">
        <v>36.869999999999997</v>
      </c>
      <c r="J8092" s="379">
        <v>4.3932700599781551</v>
      </c>
    </row>
    <row r="8093" spans="1:10" x14ac:dyDescent="0.35">
      <c r="A8093" s="5">
        <v>8089</v>
      </c>
      <c r="B8093" s="5">
        <v>338</v>
      </c>
      <c r="C8093" s="5">
        <v>12</v>
      </c>
      <c r="D8093" s="379">
        <v>74.474444444444444</v>
      </c>
      <c r="E8093" s="25">
        <v>24.84</v>
      </c>
      <c r="F8093" s="379">
        <v>4.1448161873630269</v>
      </c>
      <c r="G8093" s="25">
        <v>38.61</v>
      </c>
      <c r="H8093" s="379">
        <v>1.875552840195911</v>
      </c>
      <c r="I8093" s="25">
        <v>33.67</v>
      </c>
      <c r="J8093" s="379">
        <v>0.42464651605386317</v>
      </c>
    </row>
    <row r="8094" spans="1:10" x14ac:dyDescent="0.35">
      <c r="A8094" s="5">
        <v>8090</v>
      </c>
      <c r="B8094" s="5">
        <v>338</v>
      </c>
      <c r="C8094" s="5">
        <v>12</v>
      </c>
      <c r="D8094" s="379">
        <v>71.900000000000006</v>
      </c>
      <c r="E8094" s="25">
        <v>24.84</v>
      </c>
      <c r="F8094" s="379">
        <v>2.4795094072111636</v>
      </c>
      <c r="G8094" s="25">
        <v>34.08</v>
      </c>
      <c r="H8094" s="379">
        <v>1.875552840195911</v>
      </c>
      <c r="I8094" s="25">
        <v>33.67</v>
      </c>
      <c r="J8094" s="379">
        <v>2.1286093824481891</v>
      </c>
    </row>
    <row r="8095" spans="1:10" x14ac:dyDescent="0.35">
      <c r="A8095" s="5">
        <v>8091</v>
      </c>
      <c r="B8095" s="5">
        <v>338</v>
      </c>
      <c r="C8095" s="5">
        <v>12</v>
      </c>
      <c r="D8095" s="379">
        <v>70.014444444444436</v>
      </c>
      <c r="E8095" s="25">
        <v>24.84</v>
      </c>
      <c r="F8095" s="379">
        <v>2.9085471921205035</v>
      </c>
      <c r="G8095" s="25">
        <v>31.84</v>
      </c>
      <c r="H8095" s="379">
        <v>1.875552840195911</v>
      </c>
      <c r="I8095" s="25">
        <v>33.67</v>
      </c>
      <c r="J8095" s="379">
        <v>2.065567838487774</v>
      </c>
    </row>
    <row r="8096" spans="1:10" x14ac:dyDescent="0.35">
      <c r="A8096" s="5">
        <v>8092</v>
      </c>
      <c r="B8096" s="5">
        <v>338</v>
      </c>
      <c r="C8096" s="5">
        <v>12</v>
      </c>
      <c r="D8096" s="379">
        <v>65.39</v>
      </c>
      <c r="E8096" s="25">
        <v>24.73</v>
      </c>
      <c r="F8096" s="379">
        <v>2.9690120842077485</v>
      </c>
      <c r="G8096" s="25">
        <v>31.84</v>
      </c>
      <c r="H8096" s="379">
        <v>1.875552840195911</v>
      </c>
      <c r="I8096" s="25">
        <v>33.67</v>
      </c>
      <c r="J8096" s="379">
        <v>2.6384004871595095</v>
      </c>
    </row>
    <row r="8097" spans="1:10" x14ac:dyDescent="0.35">
      <c r="A8097" s="5">
        <v>8093</v>
      </c>
      <c r="B8097" s="5">
        <v>338</v>
      </c>
      <c r="C8097" s="5">
        <v>12</v>
      </c>
      <c r="D8097" s="379">
        <v>61.957777777777778</v>
      </c>
      <c r="E8097" s="25">
        <v>24.73</v>
      </c>
      <c r="F8097" s="379">
        <v>3.0974493986163845</v>
      </c>
      <c r="G8097" s="25">
        <v>30.57</v>
      </c>
      <c r="H8097" s="379">
        <v>1.875552840195911</v>
      </c>
      <c r="I8097" s="25">
        <v>33.67</v>
      </c>
      <c r="J8097" s="379">
        <v>2.1295689173514294</v>
      </c>
    </row>
    <row r="8098" spans="1:10" x14ac:dyDescent="0.35">
      <c r="A8098" s="5">
        <v>8094</v>
      </c>
      <c r="B8098" s="5">
        <v>338</v>
      </c>
      <c r="C8098" s="5">
        <v>12</v>
      </c>
      <c r="D8098" s="379">
        <v>62.007777777777768</v>
      </c>
      <c r="E8098" s="25">
        <v>24.84</v>
      </c>
      <c r="F8098" s="379">
        <v>2.6165776268494767</v>
      </c>
      <c r="G8098" s="25">
        <v>30.57</v>
      </c>
      <c r="H8098" s="379">
        <v>1.875552840195911</v>
      </c>
      <c r="I8098" s="25">
        <v>33.67</v>
      </c>
      <c r="J8098" s="379">
        <v>1.8018219491794665</v>
      </c>
    </row>
    <row r="8099" spans="1:10" x14ac:dyDescent="0.35">
      <c r="A8099" s="5">
        <v>8095</v>
      </c>
      <c r="B8099" s="5">
        <v>338</v>
      </c>
      <c r="C8099" s="5">
        <v>12</v>
      </c>
      <c r="D8099" s="379">
        <v>63.384444444444448</v>
      </c>
      <c r="E8099" s="25">
        <v>24.84</v>
      </c>
      <c r="F8099" s="379">
        <v>2.3800451231242472</v>
      </c>
      <c r="G8099" s="25">
        <v>31.49</v>
      </c>
      <c r="H8099" s="379">
        <v>2.1179239275206396</v>
      </c>
      <c r="I8099" s="25">
        <v>33.67</v>
      </c>
      <c r="J8099" s="379">
        <v>2.4211695752435993</v>
      </c>
    </row>
    <row r="8100" spans="1:10" x14ac:dyDescent="0.35">
      <c r="A8100" s="5">
        <v>8096</v>
      </c>
      <c r="B8100" s="5">
        <v>338</v>
      </c>
      <c r="C8100" s="5">
        <v>12</v>
      </c>
      <c r="D8100" s="379">
        <v>65.157777777777767</v>
      </c>
      <c r="E8100" s="25">
        <v>24.84</v>
      </c>
      <c r="F8100" s="379">
        <v>2.9970961139829799</v>
      </c>
      <c r="G8100" s="25">
        <v>34.76</v>
      </c>
      <c r="H8100" s="379">
        <v>7.5480799605843252E-2</v>
      </c>
      <c r="I8100" s="25">
        <v>33.67</v>
      </c>
      <c r="J8100" s="379">
        <v>4.205549744585368</v>
      </c>
    </row>
    <row r="8101" spans="1:10" x14ac:dyDescent="0.35">
      <c r="A8101" s="5">
        <v>8097</v>
      </c>
      <c r="B8101" s="5">
        <v>338</v>
      </c>
      <c r="C8101" s="5">
        <v>12</v>
      </c>
      <c r="D8101" s="379">
        <v>69.327777777777783</v>
      </c>
      <c r="E8101" s="25">
        <v>25.29</v>
      </c>
      <c r="F8101" s="379">
        <v>2.2491773552092389</v>
      </c>
      <c r="G8101" s="25">
        <v>43.39</v>
      </c>
      <c r="H8101" s="379">
        <v>6.7017822219120518E-2</v>
      </c>
      <c r="I8101" s="25">
        <v>33.67</v>
      </c>
      <c r="J8101" s="379">
        <v>3.89433087436307</v>
      </c>
    </row>
    <row r="8102" spans="1:10" x14ac:dyDescent="0.35">
      <c r="A8102" s="5">
        <v>8098</v>
      </c>
      <c r="B8102" s="5">
        <v>338</v>
      </c>
      <c r="C8102" s="5">
        <v>12</v>
      </c>
      <c r="D8102" s="379">
        <v>72.231666666666669</v>
      </c>
      <c r="E8102" s="25">
        <v>25.29</v>
      </c>
      <c r="F8102" s="379">
        <v>0.32520667156327326</v>
      </c>
      <c r="G8102" s="25">
        <v>43.47</v>
      </c>
      <c r="H8102" s="379">
        <v>2.4011044524564795</v>
      </c>
      <c r="I8102" s="25">
        <v>34.07</v>
      </c>
      <c r="J8102" s="379">
        <v>3.7613056263857572</v>
      </c>
    </row>
    <row r="8103" spans="1:10" x14ac:dyDescent="0.35">
      <c r="A8103" s="5">
        <v>8099</v>
      </c>
      <c r="B8103" s="5">
        <v>338</v>
      </c>
      <c r="C8103" s="5">
        <v>12</v>
      </c>
      <c r="D8103" s="379">
        <v>75.603333333333339</v>
      </c>
      <c r="E8103" s="25">
        <v>25.59</v>
      </c>
      <c r="F8103" s="379">
        <v>3.7448790239673029</v>
      </c>
      <c r="G8103" s="25">
        <v>43.47</v>
      </c>
      <c r="H8103" s="379">
        <v>2.4011044524564795</v>
      </c>
      <c r="I8103" s="25">
        <v>34.07</v>
      </c>
      <c r="J8103" s="379">
        <v>3.3182309130529788</v>
      </c>
    </row>
    <row r="8104" spans="1:10" x14ac:dyDescent="0.35">
      <c r="A8104" s="5">
        <v>8100</v>
      </c>
      <c r="B8104" s="5">
        <v>338</v>
      </c>
      <c r="C8104" s="5">
        <v>12</v>
      </c>
      <c r="D8104" s="379">
        <v>77.827222222222218</v>
      </c>
      <c r="E8104" s="25">
        <v>25.59</v>
      </c>
      <c r="F8104" s="379">
        <v>3.7134005205687384</v>
      </c>
      <c r="G8104" s="25">
        <v>43.47</v>
      </c>
      <c r="H8104" s="379">
        <v>2.4011044524564795</v>
      </c>
      <c r="I8104" s="25">
        <v>33.67</v>
      </c>
      <c r="J8104" s="379">
        <v>3.3182309130529788</v>
      </c>
    </row>
    <row r="8105" spans="1:10" x14ac:dyDescent="0.35">
      <c r="A8105" s="5">
        <v>8101</v>
      </c>
      <c r="B8105" s="5">
        <v>338</v>
      </c>
      <c r="C8105" s="5">
        <v>12</v>
      </c>
      <c r="D8105" s="379">
        <v>78.097777777777793</v>
      </c>
      <c r="E8105" s="25">
        <v>25.29</v>
      </c>
      <c r="F8105" s="379">
        <v>3.4677044104610295</v>
      </c>
      <c r="G8105" s="25">
        <v>42.19</v>
      </c>
      <c r="H8105" s="379">
        <v>2.4321315508967412</v>
      </c>
      <c r="I8105" s="25">
        <v>33.67</v>
      </c>
      <c r="J8105" s="379">
        <v>3.3182309130529788</v>
      </c>
    </row>
    <row r="8106" spans="1:10" x14ac:dyDescent="0.35">
      <c r="A8106" s="5">
        <v>8102</v>
      </c>
      <c r="B8106" s="5">
        <v>338</v>
      </c>
      <c r="C8106" s="5">
        <v>12</v>
      </c>
      <c r="D8106" s="379">
        <v>76.608888888888899</v>
      </c>
      <c r="E8106" s="25">
        <v>25.29</v>
      </c>
      <c r="F8106" s="379">
        <v>3.4677044104610295</v>
      </c>
      <c r="G8106" s="25">
        <v>42.19</v>
      </c>
      <c r="H8106" s="379">
        <v>2.3395399945324256</v>
      </c>
      <c r="I8106" s="25">
        <v>33.67</v>
      </c>
      <c r="J8106" s="379">
        <v>3.3592151399557042</v>
      </c>
    </row>
    <row r="8107" spans="1:10" x14ac:dyDescent="0.35">
      <c r="A8107" s="5">
        <v>8103</v>
      </c>
      <c r="B8107" s="5">
        <v>338</v>
      </c>
      <c r="C8107" s="5">
        <v>12</v>
      </c>
      <c r="D8107" s="379">
        <v>76.651111111111092</v>
      </c>
      <c r="E8107" s="25">
        <v>25.29</v>
      </c>
      <c r="F8107" s="379">
        <v>1.6259320788306499</v>
      </c>
      <c r="G8107" s="25">
        <v>43.39</v>
      </c>
      <c r="H8107" s="379">
        <v>2.3395399945324256</v>
      </c>
      <c r="I8107" s="25">
        <v>33.67</v>
      </c>
      <c r="J8107" s="379">
        <v>3.3592151399557042</v>
      </c>
    </row>
    <row r="8108" spans="1:10" x14ac:dyDescent="0.35">
      <c r="A8108" s="5">
        <v>8104</v>
      </c>
      <c r="B8108" s="5">
        <v>338</v>
      </c>
      <c r="C8108" s="5">
        <v>12</v>
      </c>
      <c r="D8108" s="379">
        <v>77.134444444444441</v>
      </c>
      <c r="E8108" s="25">
        <v>25.29</v>
      </c>
      <c r="F8108" s="379">
        <v>5.0851614666814342</v>
      </c>
      <c r="G8108" s="25">
        <v>43.47</v>
      </c>
      <c r="H8108" s="379">
        <v>0.12730656707440205</v>
      </c>
      <c r="I8108" s="25">
        <v>33.67</v>
      </c>
      <c r="J8108" s="379">
        <v>4.6666117705822066</v>
      </c>
    </row>
    <row r="8109" spans="1:10" x14ac:dyDescent="0.35">
      <c r="A8109" s="5">
        <v>8105</v>
      </c>
      <c r="B8109" s="5">
        <v>338</v>
      </c>
      <c r="C8109" s="5">
        <v>12</v>
      </c>
      <c r="D8109" s="379">
        <v>78.899444444444427</v>
      </c>
      <c r="E8109" s="25">
        <v>25.74</v>
      </c>
      <c r="F8109" s="379">
        <v>4.5375922715561705</v>
      </c>
      <c r="G8109" s="25">
        <v>43.47</v>
      </c>
      <c r="H8109" s="379">
        <v>0.14480167642852412</v>
      </c>
      <c r="I8109" s="25">
        <v>34.07</v>
      </c>
      <c r="J8109" s="379">
        <v>3.1199358189410091</v>
      </c>
    </row>
    <row r="8110" spans="1:10" x14ac:dyDescent="0.35">
      <c r="A8110" s="5">
        <v>8106</v>
      </c>
      <c r="B8110" s="5">
        <v>338</v>
      </c>
      <c r="C8110" s="5">
        <v>12</v>
      </c>
      <c r="D8110" s="379">
        <v>86.040555555555542</v>
      </c>
      <c r="E8110" s="25">
        <v>25.74</v>
      </c>
      <c r="F8110" s="379">
        <v>4.7593892118476129</v>
      </c>
      <c r="G8110" s="25">
        <v>46.27</v>
      </c>
      <c r="H8110" s="379">
        <v>0.14480167642852412</v>
      </c>
      <c r="I8110" s="25">
        <v>35.090000000000003</v>
      </c>
      <c r="J8110" s="379">
        <v>2.9999793374991439</v>
      </c>
    </row>
    <row r="8111" spans="1:10" x14ac:dyDescent="0.35">
      <c r="A8111" s="5">
        <v>8107</v>
      </c>
      <c r="B8111" s="5">
        <v>338</v>
      </c>
      <c r="C8111" s="5">
        <v>12</v>
      </c>
      <c r="D8111" s="379">
        <v>84.375</v>
      </c>
      <c r="E8111" s="25">
        <v>25.74</v>
      </c>
      <c r="F8111" s="379">
        <v>4.9697266409242236</v>
      </c>
      <c r="G8111" s="25">
        <v>44.93</v>
      </c>
      <c r="H8111" s="379">
        <v>0.14480167642852412</v>
      </c>
      <c r="I8111" s="25">
        <v>34.25</v>
      </c>
      <c r="J8111" s="379">
        <v>4.2198551360291994</v>
      </c>
    </row>
    <row r="8112" spans="1:10" x14ac:dyDescent="0.35">
      <c r="A8112" s="5">
        <v>8108</v>
      </c>
      <c r="B8112" s="5">
        <v>338</v>
      </c>
      <c r="C8112" s="5">
        <v>12</v>
      </c>
      <c r="D8112" s="379">
        <v>77.193888888888878</v>
      </c>
      <c r="E8112" s="25">
        <v>25.74</v>
      </c>
      <c r="F8112" s="379">
        <v>5.0111975601093501</v>
      </c>
      <c r="G8112" s="25">
        <v>43.56</v>
      </c>
      <c r="H8112" s="379">
        <v>0.14480167642852412</v>
      </c>
      <c r="I8112" s="25">
        <v>34.07</v>
      </c>
      <c r="J8112" s="379">
        <v>4.2198551360291994</v>
      </c>
    </row>
    <row r="8113" spans="1:10" x14ac:dyDescent="0.35">
      <c r="A8113" s="5">
        <v>8109</v>
      </c>
      <c r="B8113" s="5">
        <v>338</v>
      </c>
      <c r="C8113" s="5">
        <v>12</v>
      </c>
      <c r="D8113" s="379">
        <v>68.943333333333328</v>
      </c>
      <c r="E8113" s="25">
        <v>25.29</v>
      </c>
      <c r="F8113" s="379">
        <v>5.4111962959238395</v>
      </c>
      <c r="G8113" s="25">
        <v>43.47</v>
      </c>
      <c r="H8113" s="379">
        <v>0.14480167642852412</v>
      </c>
      <c r="I8113" s="25">
        <v>34.01</v>
      </c>
      <c r="J8113" s="379">
        <v>4.2198551360291994</v>
      </c>
    </row>
    <row r="8114" spans="1:10" x14ac:dyDescent="0.35">
      <c r="A8114" s="5">
        <v>8110</v>
      </c>
      <c r="B8114" s="5">
        <v>338</v>
      </c>
      <c r="C8114" s="5">
        <v>12</v>
      </c>
      <c r="D8114" s="379">
        <v>67.831666666666678</v>
      </c>
      <c r="E8114" s="25">
        <v>25.29</v>
      </c>
      <c r="F8114" s="379">
        <v>5.0426791188399136</v>
      </c>
      <c r="G8114" s="25">
        <v>43.39</v>
      </c>
      <c r="H8114" s="379">
        <v>2.1879078613582523</v>
      </c>
      <c r="I8114" s="25">
        <v>33.67</v>
      </c>
      <c r="J8114" s="379">
        <v>4.1765774340579824</v>
      </c>
    </row>
    <row r="8115" spans="1:10" x14ac:dyDescent="0.35">
      <c r="A8115" s="5">
        <v>8111</v>
      </c>
      <c r="B8115" s="5">
        <v>338</v>
      </c>
      <c r="C8115" s="5">
        <v>12</v>
      </c>
      <c r="D8115" s="379">
        <v>65.236111111111114</v>
      </c>
      <c r="E8115" s="25">
        <v>25.29</v>
      </c>
      <c r="F8115" s="379">
        <v>4.9584821807905159</v>
      </c>
      <c r="G8115" s="25">
        <v>43.39</v>
      </c>
      <c r="H8115" s="379">
        <v>5.4751344181845824E-2</v>
      </c>
      <c r="I8115" s="25">
        <v>33.67</v>
      </c>
      <c r="J8115" s="379">
        <v>4.1765774340579824</v>
      </c>
    </row>
    <row r="8116" spans="1:10" x14ac:dyDescent="0.35">
      <c r="A8116" s="5">
        <v>8112</v>
      </c>
      <c r="B8116" s="5">
        <v>338</v>
      </c>
      <c r="C8116" s="5">
        <v>12</v>
      </c>
      <c r="D8116" s="379">
        <v>63.833888888888879</v>
      </c>
      <c r="E8116" s="25">
        <v>24.84</v>
      </c>
      <c r="F8116" s="379">
        <v>4.256327317001479</v>
      </c>
      <c r="G8116" s="25">
        <v>35.1</v>
      </c>
      <c r="H8116" s="379">
        <v>2.1179239275206396</v>
      </c>
      <c r="I8116" s="25">
        <v>33.67</v>
      </c>
      <c r="J8116" s="379">
        <v>1.718998218653379</v>
      </c>
    </row>
    <row r="8117" spans="1:10" x14ac:dyDescent="0.35">
      <c r="A8117" s="5">
        <v>8113</v>
      </c>
      <c r="B8117" s="5">
        <v>339</v>
      </c>
      <c r="C8117" s="5">
        <v>12</v>
      </c>
      <c r="D8117" s="379">
        <v>58.694999999999993</v>
      </c>
      <c r="E8117" s="25">
        <v>24.84</v>
      </c>
      <c r="F8117" s="379">
        <v>3.5163714035055547</v>
      </c>
      <c r="G8117" s="25">
        <v>30.57</v>
      </c>
      <c r="H8117" s="379">
        <v>2.1179239275206396</v>
      </c>
      <c r="I8117" s="25">
        <v>33.67</v>
      </c>
      <c r="J8117" s="379">
        <v>4.1765774340579824</v>
      </c>
    </row>
    <row r="8118" spans="1:10" x14ac:dyDescent="0.35">
      <c r="A8118" s="5">
        <v>8114</v>
      </c>
      <c r="B8118" s="5">
        <v>339</v>
      </c>
      <c r="C8118" s="5">
        <v>12</v>
      </c>
      <c r="D8118" s="379">
        <v>56.36333333333333</v>
      </c>
      <c r="E8118" s="25">
        <v>24.84</v>
      </c>
      <c r="F8118" s="379">
        <v>3.3592431000981686</v>
      </c>
      <c r="G8118" s="25">
        <v>30.03</v>
      </c>
      <c r="H8118" s="379">
        <v>2.1179239275206396</v>
      </c>
      <c r="I8118" s="25">
        <v>33.67</v>
      </c>
      <c r="J8118" s="379">
        <v>4.1732751386850317</v>
      </c>
    </row>
    <row r="8119" spans="1:10" x14ac:dyDescent="0.35">
      <c r="A8119" s="5">
        <v>8115</v>
      </c>
      <c r="B8119" s="5">
        <v>339</v>
      </c>
      <c r="C8119" s="5">
        <v>12</v>
      </c>
      <c r="D8119" s="379">
        <v>53.931666666666665</v>
      </c>
      <c r="E8119" s="25">
        <v>24.84</v>
      </c>
      <c r="F8119" s="379">
        <v>3.4588965844695805</v>
      </c>
      <c r="G8119" s="25">
        <v>30.03</v>
      </c>
      <c r="H8119" s="379">
        <v>1.875552840195911</v>
      </c>
      <c r="I8119" s="25">
        <v>33.67</v>
      </c>
      <c r="J8119" s="379">
        <v>4.1732751386850317</v>
      </c>
    </row>
    <row r="8120" spans="1:10" x14ac:dyDescent="0.35">
      <c r="A8120" s="5">
        <v>8116</v>
      </c>
      <c r="B8120" s="5">
        <v>339</v>
      </c>
      <c r="C8120" s="5">
        <v>12</v>
      </c>
      <c r="D8120" s="379">
        <v>53.093888888888891</v>
      </c>
      <c r="E8120" s="25">
        <v>24.84</v>
      </c>
      <c r="F8120" s="379">
        <v>3.5922455058924085</v>
      </c>
      <c r="G8120" s="25">
        <v>30.03</v>
      </c>
      <c r="H8120" s="379">
        <v>1.875552840195911</v>
      </c>
      <c r="I8120" s="25">
        <v>33.67</v>
      </c>
      <c r="J8120" s="379">
        <v>4.1732751386850317</v>
      </c>
    </row>
    <row r="8121" spans="1:10" x14ac:dyDescent="0.35">
      <c r="A8121" s="5">
        <v>8117</v>
      </c>
      <c r="B8121" s="5">
        <v>339</v>
      </c>
      <c r="C8121" s="5">
        <v>12</v>
      </c>
      <c r="D8121" s="379">
        <v>55.036111111111111</v>
      </c>
      <c r="E8121" s="25">
        <v>24.84</v>
      </c>
      <c r="F8121" s="379">
        <v>3.1178363959130517</v>
      </c>
      <c r="G8121" s="25">
        <v>30.03</v>
      </c>
      <c r="H8121" s="379">
        <v>1.875552840195911</v>
      </c>
      <c r="I8121" s="25">
        <v>33.67</v>
      </c>
      <c r="J8121" s="379">
        <v>4.1732751386850317</v>
      </c>
    </row>
    <row r="8122" spans="1:10" x14ac:dyDescent="0.35">
      <c r="A8122" s="5">
        <v>8118</v>
      </c>
      <c r="B8122" s="5">
        <v>339</v>
      </c>
      <c r="C8122" s="5">
        <v>12</v>
      </c>
      <c r="D8122" s="379">
        <v>62.526666666666664</v>
      </c>
      <c r="E8122" s="25">
        <v>24.84</v>
      </c>
      <c r="F8122" s="379">
        <v>3.4914260490087221</v>
      </c>
      <c r="G8122" s="25">
        <v>30.03</v>
      </c>
      <c r="H8122" s="379">
        <v>5.8604210619282837E-2</v>
      </c>
      <c r="I8122" s="25">
        <v>33.67</v>
      </c>
      <c r="J8122" s="379">
        <v>1.3014868497506853</v>
      </c>
    </row>
    <row r="8123" spans="1:10" x14ac:dyDescent="0.35">
      <c r="A8123" s="5">
        <v>8119</v>
      </c>
      <c r="B8123" s="5">
        <v>339</v>
      </c>
      <c r="C8123" s="5">
        <v>12</v>
      </c>
      <c r="D8123" s="379">
        <v>70.685555555555553</v>
      </c>
      <c r="E8123" s="25">
        <v>24.84</v>
      </c>
      <c r="F8123" s="379">
        <v>0.57657112367864172</v>
      </c>
      <c r="G8123" s="25">
        <v>30.03</v>
      </c>
      <c r="H8123" s="379">
        <v>5.0683788717822371E-2</v>
      </c>
      <c r="I8123" s="25">
        <v>33.67</v>
      </c>
      <c r="J8123" s="379">
        <v>1.024657049392069</v>
      </c>
    </row>
    <row r="8124" spans="1:10" x14ac:dyDescent="0.35">
      <c r="A8124" s="5">
        <v>8120</v>
      </c>
      <c r="B8124" s="5">
        <v>339</v>
      </c>
      <c r="C8124" s="5">
        <v>12</v>
      </c>
      <c r="D8124" s="379">
        <v>78.048333333333346</v>
      </c>
      <c r="E8124" s="25">
        <v>24.84</v>
      </c>
      <c r="F8124" s="379">
        <v>2.9471118292800615</v>
      </c>
      <c r="G8124" s="25">
        <v>30.03</v>
      </c>
      <c r="H8124" s="379">
        <v>4.9752933821065382E-2</v>
      </c>
      <c r="I8124" s="25">
        <v>33.67</v>
      </c>
      <c r="J8124" s="379">
        <v>3.1585842212094408</v>
      </c>
    </row>
    <row r="8125" spans="1:10" x14ac:dyDescent="0.35">
      <c r="A8125" s="5">
        <v>8121</v>
      </c>
      <c r="B8125" s="5">
        <v>339</v>
      </c>
      <c r="C8125" s="5">
        <v>12</v>
      </c>
      <c r="D8125" s="379">
        <v>83.299444444444461</v>
      </c>
      <c r="E8125" s="25">
        <v>24.84</v>
      </c>
      <c r="F8125" s="379">
        <v>3.039342196431988</v>
      </c>
      <c r="G8125" s="25">
        <v>30.03</v>
      </c>
      <c r="H8125" s="379">
        <v>5.2371783167435022E-2</v>
      </c>
      <c r="I8125" s="25">
        <v>33.67</v>
      </c>
      <c r="J8125" s="379">
        <v>2.5545960928824933</v>
      </c>
    </row>
    <row r="8126" spans="1:10" x14ac:dyDescent="0.35">
      <c r="A8126" s="5">
        <v>8122</v>
      </c>
      <c r="B8126" s="5">
        <v>339</v>
      </c>
      <c r="C8126" s="5">
        <v>12</v>
      </c>
      <c r="D8126" s="379">
        <v>84.164444444444442</v>
      </c>
      <c r="E8126" s="25">
        <v>24.84</v>
      </c>
      <c r="F8126" s="379">
        <v>4.7955327166095287</v>
      </c>
      <c r="G8126" s="25">
        <v>30.03</v>
      </c>
      <c r="H8126" s="379">
        <v>2.1179239275206396</v>
      </c>
      <c r="I8126" s="25">
        <v>33.67</v>
      </c>
      <c r="J8126" s="379">
        <v>1.4935801949846332</v>
      </c>
    </row>
    <row r="8127" spans="1:10" x14ac:dyDescent="0.35">
      <c r="A8127" s="5">
        <v>8123</v>
      </c>
      <c r="B8127" s="5">
        <v>339</v>
      </c>
      <c r="C8127" s="5">
        <v>12</v>
      </c>
      <c r="D8127" s="379">
        <v>85.542222222222222</v>
      </c>
      <c r="E8127" s="25">
        <v>24.84</v>
      </c>
      <c r="F8127" s="379">
        <v>0.14480167642852412</v>
      </c>
      <c r="G8127" s="25">
        <v>30.03</v>
      </c>
      <c r="H8127" s="379">
        <v>2.1179239275206396</v>
      </c>
      <c r="I8127" s="25">
        <v>33.67</v>
      </c>
      <c r="J8127" s="379">
        <v>1.3605549470073204</v>
      </c>
    </row>
    <row r="8128" spans="1:10" x14ac:dyDescent="0.35">
      <c r="A8128" s="5">
        <v>8124</v>
      </c>
      <c r="B8128" s="5">
        <v>339</v>
      </c>
      <c r="C8128" s="5">
        <v>12</v>
      </c>
      <c r="D8128" s="379">
        <v>88.037222222222226</v>
      </c>
      <c r="E8128" s="25">
        <v>24.84</v>
      </c>
      <c r="F8128" s="379">
        <v>3.1512364416311915</v>
      </c>
      <c r="G8128" s="25">
        <v>30.03</v>
      </c>
      <c r="H8128" s="379">
        <v>2.1179239275206396</v>
      </c>
      <c r="I8128" s="25">
        <v>33.67</v>
      </c>
      <c r="J8128" s="379">
        <v>2.777777777777778E-2</v>
      </c>
    </row>
    <row r="8129" spans="1:10" x14ac:dyDescent="0.35">
      <c r="A8129" s="5">
        <v>8125</v>
      </c>
      <c r="B8129" s="5">
        <v>339</v>
      </c>
      <c r="C8129" s="5">
        <v>12</v>
      </c>
      <c r="D8129" s="379">
        <v>89.438333333333333</v>
      </c>
      <c r="E8129" s="25">
        <v>24.84</v>
      </c>
      <c r="F8129" s="379">
        <v>6.2648125223671816E-2</v>
      </c>
      <c r="G8129" s="25">
        <v>30.03</v>
      </c>
      <c r="H8129" s="379">
        <v>2.1179239275206396</v>
      </c>
      <c r="I8129" s="25">
        <v>33.67</v>
      </c>
      <c r="J8129" s="379">
        <v>2.777777777777778E-2</v>
      </c>
    </row>
    <row r="8130" spans="1:10" x14ac:dyDescent="0.35">
      <c r="A8130" s="5">
        <v>8126</v>
      </c>
      <c r="B8130" s="5">
        <v>339</v>
      </c>
      <c r="C8130" s="5">
        <v>12</v>
      </c>
      <c r="D8130" s="379">
        <v>88.272222222222226</v>
      </c>
      <c r="E8130" s="25">
        <v>24.84</v>
      </c>
      <c r="F8130" s="379">
        <v>3.3852225487538683E-2</v>
      </c>
      <c r="G8130" s="25">
        <v>30.03</v>
      </c>
      <c r="H8130" s="379">
        <v>2.1179239275206396</v>
      </c>
      <c r="I8130" s="25">
        <v>33.67</v>
      </c>
      <c r="J8130" s="379">
        <v>2.777777777777778E-2</v>
      </c>
    </row>
    <row r="8131" spans="1:10" x14ac:dyDescent="0.35">
      <c r="A8131" s="5">
        <v>8127</v>
      </c>
      <c r="B8131" s="5">
        <v>339</v>
      </c>
      <c r="C8131" s="5">
        <v>12</v>
      </c>
      <c r="D8131" s="379">
        <v>91.248333333333335</v>
      </c>
      <c r="E8131" s="25">
        <v>24.84</v>
      </c>
      <c r="F8131" s="379">
        <v>0.47222222222222227</v>
      </c>
      <c r="G8131" s="25">
        <v>30.03</v>
      </c>
      <c r="H8131" s="379">
        <v>2.1489510259609013</v>
      </c>
      <c r="I8131" s="25">
        <v>33.67</v>
      </c>
      <c r="J8131" s="379">
        <v>2.777777777777778E-2</v>
      </c>
    </row>
    <row r="8132" spans="1:10" x14ac:dyDescent="0.35">
      <c r="A8132" s="5">
        <v>8128</v>
      </c>
      <c r="B8132" s="5">
        <v>339</v>
      </c>
      <c r="C8132" s="5">
        <v>12</v>
      </c>
      <c r="D8132" s="379">
        <v>95.86</v>
      </c>
      <c r="E8132" s="25">
        <v>24.84</v>
      </c>
      <c r="F8132" s="379">
        <v>5.2947785614855203</v>
      </c>
      <c r="G8132" s="25">
        <v>30.03</v>
      </c>
      <c r="H8132" s="379">
        <v>2.1489510259609013</v>
      </c>
      <c r="I8132" s="25">
        <v>33.67</v>
      </c>
      <c r="J8132" s="379">
        <v>2.777777777777778E-2</v>
      </c>
    </row>
    <row r="8133" spans="1:10" x14ac:dyDescent="0.35">
      <c r="A8133" s="5">
        <v>8129</v>
      </c>
      <c r="B8133" s="5">
        <v>339</v>
      </c>
      <c r="C8133" s="5">
        <v>12</v>
      </c>
      <c r="D8133" s="379">
        <v>100.96777777777777</v>
      </c>
      <c r="E8133" s="25">
        <v>24.84</v>
      </c>
      <c r="F8133" s="379">
        <v>4.7593892118476129</v>
      </c>
      <c r="G8133" s="25">
        <v>30.03</v>
      </c>
      <c r="H8133" s="379">
        <v>0.14480167642852412</v>
      </c>
      <c r="I8133" s="25">
        <v>33.67</v>
      </c>
      <c r="J8133" s="379">
        <v>0.16598867769157649</v>
      </c>
    </row>
    <row r="8134" spans="1:10" x14ac:dyDescent="0.35">
      <c r="A8134" s="5">
        <v>8130</v>
      </c>
      <c r="B8134" s="5">
        <v>339</v>
      </c>
      <c r="C8134" s="5">
        <v>12</v>
      </c>
      <c r="D8134" s="379">
        <v>104.89888888888889</v>
      </c>
      <c r="E8134" s="25">
        <v>25.29</v>
      </c>
      <c r="F8134" s="379">
        <v>5.1416908941981028</v>
      </c>
      <c r="G8134" s="25">
        <v>39.770000000000003</v>
      </c>
      <c r="H8134" s="379">
        <v>0.14480167642852412</v>
      </c>
      <c r="I8134" s="25">
        <v>33.67</v>
      </c>
      <c r="J8134" s="379">
        <v>0.16598867769157649</v>
      </c>
    </row>
    <row r="8135" spans="1:10" x14ac:dyDescent="0.35">
      <c r="A8135" s="5">
        <v>8131</v>
      </c>
      <c r="B8135" s="5">
        <v>339</v>
      </c>
      <c r="C8135" s="5">
        <v>12</v>
      </c>
      <c r="D8135" s="379">
        <v>106.08333333333333</v>
      </c>
      <c r="E8135" s="25">
        <v>25.29</v>
      </c>
      <c r="F8135" s="379">
        <v>4.0451692961993642</v>
      </c>
      <c r="G8135" s="25">
        <v>41.11</v>
      </c>
      <c r="H8135" s="379">
        <v>0.14480167642852412</v>
      </c>
      <c r="I8135" s="25">
        <v>33.67</v>
      </c>
      <c r="J8135" s="379">
        <v>0.16598867769157649</v>
      </c>
    </row>
    <row r="8136" spans="1:10" x14ac:dyDescent="0.35">
      <c r="A8136" s="5">
        <v>8132</v>
      </c>
      <c r="B8136" s="5">
        <v>339</v>
      </c>
      <c r="C8136" s="5">
        <v>12</v>
      </c>
      <c r="D8136" s="379">
        <v>100.06222222222222</v>
      </c>
      <c r="E8136" s="25">
        <v>25.29</v>
      </c>
      <c r="F8136" s="379">
        <v>4.8498798231536835</v>
      </c>
      <c r="G8136" s="25">
        <v>39.58</v>
      </c>
      <c r="H8136" s="379">
        <v>0.14480167642852412</v>
      </c>
      <c r="I8136" s="25">
        <v>33.67</v>
      </c>
      <c r="J8136" s="379">
        <v>0.16598867769157649</v>
      </c>
    </row>
    <row r="8137" spans="1:10" x14ac:dyDescent="0.35">
      <c r="A8137" s="5">
        <v>8133</v>
      </c>
      <c r="B8137" s="5">
        <v>339</v>
      </c>
      <c r="C8137" s="5">
        <v>12</v>
      </c>
      <c r="D8137" s="379">
        <v>92.215555555555554</v>
      </c>
      <c r="E8137" s="25">
        <v>24.84</v>
      </c>
      <c r="F8137" s="379">
        <v>5.2352743116545941</v>
      </c>
      <c r="G8137" s="25">
        <v>34.08</v>
      </c>
      <c r="H8137" s="379">
        <v>0.14480167642852412</v>
      </c>
      <c r="I8137" s="25">
        <v>33.67</v>
      </c>
      <c r="J8137" s="379">
        <v>0.16598867769157649</v>
      </c>
    </row>
    <row r="8138" spans="1:10" x14ac:dyDescent="0.35">
      <c r="A8138" s="5">
        <v>8134</v>
      </c>
      <c r="B8138" s="5">
        <v>339</v>
      </c>
      <c r="C8138" s="5">
        <v>12</v>
      </c>
      <c r="D8138" s="379">
        <v>83.449999999999989</v>
      </c>
      <c r="E8138" s="25">
        <v>24.84</v>
      </c>
      <c r="F8138" s="379">
        <v>0.47222222222222221</v>
      </c>
      <c r="G8138" s="25">
        <v>30.57</v>
      </c>
      <c r="H8138" s="379">
        <v>2.1489510259609013</v>
      </c>
      <c r="I8138" s="25">
        <v>33.67</v>
      </c>
      <c r="J8138" s="379">
        <v>7.2814317327039441E-2</v>
      </c>
    </row>
    <row r="8139" spans="1:10" x14ac:dyDescent="0.35">
      <c r="A8139" s="5">
        <v>8135</v>
      </c>
      <c r="B8139" s="5">
        <v>339</v>
      </c>
      <c r="C8139" s="5">
        <v>12</v>
      </c>
      <c r="D8139" s="379">
        <v>78.688333333333318</v>
      </c>
      <c r="E8139" s="25">
        <v>24.84</v>
      </c>
      <c r="F8139" s="379">
        <v>0.29106010500510865</v>
      </c>
      <c r="G8139" s="25">
        <v>30.57</v>
      </c>
      <c r="H8139" s="379">
        <v>2.1179239275206396</v>
      </c>
      <c r="I8139" s="25">
        <v>33.67</v>
      </c>
      <c r="J8139" s="379">
        <v>7.2814317327039441E-2</v>
      </c>
    </row>
    <row r="8140" spans="1:10" x14ac:dyDescent="0.35">
      <c r="A8140" s="5">
        <v>8136</v>
      </c>
      <c r="B8140" s="5">
        <v>339</v>
      </c>
      <c r="C8140" s="5">
        <v>12</v>
      </c>
      <c r="D8140" s="379">
        <v>77.924444444444433</v>
      </c>
      <c r="E8140" s="25">
        <v>24.84</v>
      </c>
      <c r="F8140" s="379">
        <v>0.28395754650847338</v>
      </c>
      <c r="G8140" s="25">
        <v>30.03</v>
      </c>
      <c r="H8140" s="379">
        <v>2.1489510259609013</v>
      </c>
      <c r="I8140" s="25">
        <v>33.67</v>
      </c>
      <c r="J8140" s="379">
        <v>7.2814317327039441E-2</v>
      </c>
    </row>
    <row r="8141" spans="1:10" x14ac:dyDescent="0.35">
      <c r="A8141" s="5">
        <v>8137</v>
      </c>
      <c r="B8141" s="5">
        <v>340</v>
      </c>
      <c r="C8141" s="5">
        <v>12</v>
      </c>
      <c r="D8141" s="379">
        <v>81.188888888888897</v>
      </c>
      <c r="E8141" s="25">
        <v>24.84</v>
      </c>
      <c r="F8141" s="379">
        <v>2.116279206108159</v>
      </c>
      <c r="G8141" s="25">
        <v>30.57</v>
      </c>
      <c r="H8141" s="379">
        <v>2.1179239275206396</v>
      </c>
      <c r="I8141" s="25">
        <v>33.67</v>
      </c>
      <c r="J8141" s="379">
        <v>7.2814317327039441E-2</v>
      </c>
    </row>
    <row r="8142" spans="1:10" x14ac:dyDescent="0.35">
      <c r="A8142" s="5">
        <v>8138</v>
      </c>
      <c r="B8142" s="5">
        <v>340</v>
      </c>
      <c r="C8142" s="5">
        <v>12</v>
      </c>
      <c r="D8142" s="379">
        <v>79.032777777777767</v>
      </c>
      <c r="E8142" s="25">
        <v>24.84</v>
      </c>
      <c r="F8142" s="379">
        <v>2.0766674453690022</v>
      </c>
      <c r="G8142" s="25">
        <v>30.03</v>
      </c>
      <c r="H8142" s="379">
        <v>2.1179239275206396</v>
      </c>
      <c r="I8142" s="25">
        <v>33.67</v>
      </c>
      <c r="J8142" s="379">
        <v>2.8277465877357716E-2</v>
      </c>
    </row>
    <row r="8143" spans="1:10" x14ac:dyDescent="0.35">
      <c r="A8143" s="5">
        <v>8139</v>
      </c>
      <c r="B8143" s="5">
        <v>340</v>
      </c>
      <c r="C8143" s="5">
        <v>12</v>
      </c>
      <c r="D8143" s="379">
        <v>77.677777777777777</v>
      </c>
      <c r="E8143" s="25">
        <v>24.84</v>
      </c>
      <c r="F8143" s="379">
        <v>2.0766674453690022</v>
      </c>
      <c r="G8143" s="25">
        <v>30.03</v>
      </c>
      <c r="H8143" s="379">
        <v>2.1179239275206396</v>
      </c>
      <c r="I8143" s="25">
        <v>33.67</v>
      </c>
      <c r="J8143" s="379">
        <v>2.777777777777778E-2</v>
      </c>
    </row>
    <row r="8144" spans="1:10" x14ac:dyDescent="0.35">
      <c r="A8144" s="5">
        <v>8140</v>
      </c>
      <c r="B8144" s="5">
        <v>340</v>
      </c>
      <c r="C8144" s="5">
        <v>12</v>
      </c>
      <c r="D8144" s="379">
        <v>77.737222222222215</v>
      </c>
      <c r="E8144" s="25">
        <v>24.73</v>
      </c>
      <c r="F8144" s="379">
        <v>2.0766674453690022</v>
      </c>
      <c r="G8144" s="25">
        <v>30.03</v>
      </c>
      <c r="H8144" s="379">
        <v>2.1179239275206396</v>
      </c>
      <c r="I8144" s="25">
        <v>33.67</v>
      </c>
      <c r="J8144" s="379">
        <v>2.777777777777778E-2</v>
      </c>
    </row>
    <row r="8145" spans="1:10" x14ac:dyDescent="0.35">
      <c r="A8145" s="5">
        <v>8141</v>
      </c>
      <c r="B8145" s="5">
        <v>340</v>
      </c>
      <c r="C8145" s="5">
        <v>12</v>
      </c>
      <c r="D8145" s="379">
        <v>79.38000000000001</v>
      </c>
      <c r="E8145" s="25">
        <v>24.73</v>
      </c>
      <c r="F8145" s="379">
        <v>2.116279206108159</v>
      </c>
      <c r="G8145" s="25">
        <v>30.03</v>
      </c>
      <c r="H8145" s="379">
        <v>1.875552840195911</v>
      </c>
      <c r="I8145" s="25">
        <v>33.67</v>
      </c>
      <c r="J8145" s="379">
        <v>2.777777777777778E-2</v>
      </c>
    </row>
    <row r="8146" spans="1:10" x14ac:dyDescent="0.35">
      <c r="A8146" s="5">
        <v>8142</v>
      </c>
      <c r="B8146" s="5">
        <v>340</v>
      </c>
      <c r="C8146" s="5">
        <v>12</v>
      </c>
      <c r="D8146" s="379">
        <v>83.092777777777783</v>
      </c>
      <c r="E8146" s="25">
        <v>24.84</v>
      </c>
      <c r="F8146" s="379">
        <v>0.27481658992891023</v>
      </c>
      <c r="G8146" s="25">
        <v>30.03</v>
      </c>
      <c r="H8146" s="379">
        <v>1.875552840195911</v>
      </c>
      <c r="I8146" s="25">
        <v>33.67</v>
      </c>
      <c r="J8146" s="379">
        <v>2.8277465877357716E-2</v>
      </c>
    </row>
    <row r="8147" spans="1:10" x14ac:dyDescent="0.35">
      <c r="A8147" s="5">
        <v>8143</v>
      </c>
      <c r="B8147" s="5">
        <v>340</v>
      </c>
      <c r="C8147" s="5">
        <v>12</v>
      </c>
      <c r="D8147" s="379">
        <v>94.284444444444432</v>
      </c>
      <c r="E8147" s="25">
        <v>24.84</v>
      </c>
      <c r="F8147" s="379">
        <v>0.28781012023641989</v>
      </c>
      <c r="G8147" s="25">
        <v>43.47</v>
      </c>
      <c r="H8147" s="379">
        <v>2.1162761399540293</v>
      </c>
      <c r="I8147" s="25">
        <v>33.67</v>
      </c>
      <c r="J8147" s="379">
        <v>2.8277465877357716E-2</v>
      </c>
    </row>
    <row r="8148" spans="1:10" x14ac:dyDescent="0.35">
      <c r="A8148" s="5">
        <v>8144</v>
      </c>
      <c r="B8148" s="5">
        <v>340</v>
      </c>
      <c r="C8148" s="5">
        <v>12</v>
      </c>
      <c r="D8148" s="379">
        <v>106.19333333333333</v>
      </c>
      <c r="E8148" s="25">
        <v>25.29</v>
      </c>
      <c r="F8148" s="379">
        <v>0.47222222222222221</v>
      </c>
      <c r="G8148" s="25">
        <v>43.91</v>
      </c>
      <c r="H8148" s="379">
        <v>2.4011044524564795</v>
      </c>
      <c r="I8148" s="25">
        <v>33.67</v>
      </c>
      <c r="J8148" s="379">
        <v>8.176096811996976E-2</v>
      </c>
    </row>
    <row r="8149" spans="1:10" x14ac:dyDescent="0.35">
      <c r="A8149" s="5">
        <v>8145</v>
      </c>
      <c r="B8149" s="5">
        <v>340</v>
      </c>
      <c r="C8149" s="5">
        <v>12</v>
      </c>
      <c r="D8149" s="379">
        <v>112.47166666666666</v>
      </c>
      <c r="E8149" s="25">
        <v>25.74</v>
      </c>
      <c r="F8149" s="379">
        <v>0.65808670058311347</v>
      </c>
      <c r="G8149" s="25">
        <v>44.86</v>
      </c>
      <c r="H8149" s="379">
        <v>8.3307703490586762E-2</v>
      </c>
      <c r="I8149" s="25">
        <v>34.01</v>
      </c>
      <c r="J8149" s="379">
        <v>3.8376065360425669E-2</v>
      </c>
    </row>
    <row r="8150" spans="1:10" x14ac:dyDescent="0.35">
      <c r="A8150" s="5">
        <v>8146</v>
      </c>
      <c r="B8150" s="5">
        <v>340</v>
      </c>
      <c r="C8150" s="5">
        <v>12</v>
      </c>
      <c r="D8150" s="379">
        <v>116.40722222222222</v>
      </c>
      <c r="E8150" s="25">
        <v>25.74</v>
      </c>
      <c r="F8150" s="379">
        <v>0.54296485544763118</v>
      </c>
      <c r="G8150" s="25">
        <v>44.86</v>
      </c>
      <c r="H8150" s="379">
        <v>2.4011044524564795</v>
      </c>
      <c r="I8150" s="25">
        <v>33.67</v>
      </c>
      <c r="J8150" s="379">
        <v>2.777777777777778E-2</v>
      </c>
    </row>
    <row r="8151" spans="1:10" x14ac:dyDescent="0.35">
      <c r="A8151" s="5">
        <v>8147</v>
      </c>
      <c r="B8151" s="5">
        <v>340</v>
      </c>
      <c r="C8151" s="5">
        <v>12</v>
      </c>
      <c r="D8151" s="379">
        <v>112.95611111111111</v>
      </c>
      <c r="E8151" s="25">
        <v>25.29</v>
      </c>
      <c r="F8151" s="379">
        <v>3.672748513893493</v>
      </c>
      <c r="G8151" s="25">
        <v>43.63</v>
      </c>
      <c r="H8151" s="379">
        <v>2.4011044524564795</v>
      </c>
      <c r="I8151" s="25">
        <v>33.67</v>
      </c>
      <c r="J8151" s="379">
        <v>2.777777777777778E-2</v>
      </c>
    </row>
    <row r="8152" spans="1:10" x14ac:dyDescent="0.35">
      <c r="A8152" s="5">
        <v>8148</v>
      </c>
      <c r="B8152" s="5">
        <v>340</v>
      </c>
      <c r="C8152" s="5">
        <v>12</v>
      </c>
      <c r="D8152" s="379">
        <v>114.31888888888891</v>
      </c>
      <c r="E8152" s="25">
        <v>25.29</v>
      </c>
      <c r="F8152" s="379">
        <v>0.17982487687088641</v>
      </c>
      <c r="G8152" s="25">
        <v>43.47</v>
      </c>
      <c r="H8152" s="379">
        <v>2.3085128960921644</v>
      </c>
      <c r="I8152" s="25">
        <v>33.67</v>
      </c>
      <c r="J8152" s="379">
        <v>2.777777777777778E-2</v>
      </c>
    </row>
    <row r="8153" spans="1:10" x14ac:dyDescent="0.35">
      <c r="A8153" s="5">
        <v>8149</v>
      </c>
      <c r="B8153" s="5">
        <v>340</v>
      </c>
      <c r="C8153" s="5">
        <v>12</v>
      </c>
      <c r="D8153" s="379">
        <v>104.45222222222222</v>
      </c>
      <c r="E8153" s="25">
        <v>25.29</v>
      </c>
      <c r="F8153" s="379">
        <v>0.48849010065316684</v>
      </c>
      <c r="G8153" s="25">
        <v>43.47</v>
      </c>
      <c r="H8153" s="379">
        <v>2.3085128960921644</v>
      </c>
      <c r="I8153" s="25">
        <v>33.67</v>
      </c>
      <c r="J8153" s="379">
        <v>2.777777777777778E-2</v>
      </c>
    </row>
    <row r="8154" spans="1:10" x14ac:dyDescent="0.35">
      <c r="A8154" s="5">
        <v>8150</v>
      </c>
      <c r="B8154" s="5">
        <v>340</v>
      </c>
      <c r="C8154" s="5">
        <v>12</v>
      </c>
      <c r="D8154" s="379">
        <v>105.70333333333332</v>
      </c>
      <c r="E8154" s="25">
        <v>25.29</v>
      </c>
      <c r="F8154" s="379">
        <v>1.2261117737060001</v>
      </c>
      <c r="G8154" s="25">
        <v>43.47</v>
      </c>
      <c r="H8154" s="379">
        <v>2.3085128960921644</v>
      </c>
      <c r="I8154" s="25">
        <v>33.67</v>
      </c>
      <c r="J8154" s="379">
        <v>2.777777777777778E-2</v>
      </c>
    </row>
    <row r="8155" spans="1:10" x14ac:dyDescent="0.35">
      <c r="A8155" s="5">
        <v>8151</v>
      </c>
      <c r="B8155" s="5">
        <v>340</v>
      </c>
      <c r="C8155" s="5">
        <v>12</v>
      </c>
      <c r="D8155" s="379">
        <v>108.72888888888889</v>
      </c>
      <c r="E8155" s="25">
        <v>25.29</v>
      </c>
      <c r="F8155" s="379">
        <v>1.3425024336838167</v>
      </c>
      <c r="G8155" s="25">
        <v>43.47</v>
      </c>
      <c r="H8155" s="379">
        <v>2.4644097064148842</v>
      </c>
      <c r="I8155" s="25">
        <v>33.67</v>
      </c>
      <c r="J8155" s="379">
        <v>2.777777777777778E-2</v>
      </c>
    </row>
    <row r="8156" spans="1:10" x14ac:dyDescent="0.35">
      <c r="A8156" s="5">
        <v>8152</v>
      </c>
      <c r="B8156" s="5">
        <v>340</v>
      </c>
      <c r="C8156" s="5">
        <v>12</v>
      </c>
      <c r="D8156" s="379">
        <v>108.61111111111111</v>
      </c>
      <c r="E8156" s="25">
        <v>25.29</v>
      </c>
      <c r="F8156" s="379">
        <v>3.6116067824529647</v>
      </c>
      <c r="G8156" s="25">
        <v>43.64</v>
      </c>
      <c r="H8156" s="379">
        <v>2.4644097064148842</v>
      </c>
      <c r="I8156" s="25">
        <v>33.67</v>
      </c>
      <c r="J8156" s="379">
        <v>2.777777777777778E-2</v>
      </c>
    </row>
    <row r="8157" spans="1:10" x14ac:dyDescent="0.35">
      <c r="A8157" s="5">
        <v>8153</v>
      </c>
      <c r="B8157" s="5">
        <v>340</v>
      </c>
      <c r="C8157" s="5">
        <v>12</v>
      </c>
      <c r="D8157" s="379">
        <v>116.92444444444445</v>
      </c>
      <c r="E8157" s="25">
        <v>25.74</v>
      </c>
      <c r="F8157" s="379">
        <v>8.1174834595959595</v>
      </c>
      <c r="G8157" s="25">
        <v>49.65</v>
      </c>
      <c r="H8157" s="379">
        <v>4.3316953112053316</v>
      </c>
      <c r="I8157" s="25">
        <v>34.01</v>
      </c>
      <c r="J8157" s="379">
        <v>2.4222496186063371</v>
      </c>
    </row>
    <row r="8158" spans="1:10" x14ac:dyDescent="0.35">
      <c r="A8158" s="5">
        <v>8154</v>
      </c>
      <c r="B8158" s="5">
        <v>340</v>
      </c>
      <c r="C8158" s="5">
        <v>12</v>
      </c>
      <c r="D8158" s="379">
        <v>110.55055555555555</v>
      </c>
      <c r="E8158" s="25">
        <v>25.74</v>
      </c>
      <c r="F8158" s="379">
        <v>8.1174834595959613</v>
      </c>
      <c r="G8158" s="25">
        <v>60.51</v>
      </c>
      <c r="H8158" s="379">
        <v>4.2876037958753859</v>
      </c>
      <c r="I8158" s="25">
        <v>34.29</v>
      </c>
      <c r="J8158" s="379">
        <v>1.7281934611254803</v>
      </c>
    </row>
    <row r="8159" spans="1:10" x14ac:dyDescent="0.35">
      <c r="A8159" s="5">
        <v>8155</v>
      </c>
      <c r="B8159" s="5">
        <v>340</v>
      </c>
      <c r="C8159" s="5">
        <v>12</v>
      </c>
      <c r="D8159" s="379">
        <v>110.94222222222221</v>
      </c>
      <c r="E8159" s="25">
        <v>26.51</v>
      </c>
      <c r="F8159" s="379">
        <v>8.1174834595959595</v>
      </c>
      <c r="G8159" s="25">
        <v>63.8</v>
      </c>
      <c r="H8159" s="379">
        <v>4.1745912098133804</v>
      </c>
      <c r="I8159" s="25">
        <v>35.31</v>
      </c>
      <c r="J8159" s="379">
        <v>4.54347437828691</v>
      </c>
    </row>
    <row r="8160" spans="1:10" x14ac:dyDescent="0.35">
      <c r="A8160" s="5">
        <v>8156</v>
      </c>
      <c r="B8160" s="5">
        <v>340</v>
      </c>
      <c r="C8160" s="5">
        <v>12</v>
      </c>
      <c r="D8160" s="379">
        <v>101.56555555555556</v>
      </c>
      <c r="E8160" s="25">
        <v>26.51</v>
      </c>
      <c r="F8160" s="379">
        <v>8.1174834595959613</v>
      </c>
      <c r="G8160" s="25">
        <v>60.51</v>
      </c>
      <c r="H8160" s="379">
        <v>3.9624083285944609</v>
      </c>
      <c r="I8160" s="25">
        <v>35.31</v>
      </c>
      <c r="J8160" s="379">
        <v>5.1188186484621152</v>
      </c>
    </row>
    <row r="8161" spans="1:10" x14ac:dyDescent="0.35">
      <c r="A8161" s="5">
        <v>8157</v>
      </c>
      <c r="B8161" s="5">
        <v>340</v>
      </c>
      <c r="C8161" s="5">
        <v>12</v>
      </c>
      <c r="D8161" s="379">
        <v>92.02000000000001</v>
      </c>
      <c r="E8161" s="25">
        <v>25.74</v>
      </c>
      <c r="F8161" s="379">
        <v>8.1174834595959613</v>
      </c>
      <c r="G8161" s="25">
        <v>55.88</v>
      </c>
      <c r="H8161" s="379">
        <v>3.9846617858581967</v>
      </c>
      <c r="I8161" s="25">
        <v>35.31</v>
      </c>
      <c r="J8161" s="379">
        <v>5.4220955715276373</v>
      </c>
    </row>
    <row r="8162" spans="1:10" x14ac:dyDescent="0.35">
      <c r="A8162" s="5">
        <v>8158</v>
      </c>
      <c r="B8162" s="5">
        <v>340</v>
      </c>
      <c r="C8162" s="5">
        <v>12</v>
      </c>
      <c r="D8162" s="379">
        <v>83.732222222222234</v>
      </c>
      <c r="E8162" s="25">
        <v>25.74</v>
      </c>
      <c r="F8162" s="379">
        <v>8.1174834595959577</v>
      </c>
      <c r="G8162" s="25">
        <v>51.04</v>
      </c>
      <c r="H8162" s="379">
        <v>3.997924197873683</v>
      </c>
      <c r="I8162" s="25">
        <v>48.86</v>
      </c>
      <c r="J8162" s="379">
        <v>6.4705572099313944</v>
      </c>
    </row>
    <row r="8163" spans="1:10" x14ac:dyDescent="0.35">
      <c r="A8163" s="5">
        <v>8159</v>
      </c>
      <c r="B8163" s="5">
        <v>340</v>
      </c>
      <c r="C8163" s="5">
        <v>12</v>
      </c>
      <c r="D8163" s="379">
        <v>79.37833333333333</v>
      </c>
      <c r="E8163" s="25">
        <v>25.74</v>
      </c>
      <c r="F8163" s="379">
        <v>8.1174834595959613</v>
      </c>
      <c r="G8163" s="25">
        <v>48.39</v>
      </c>
      <c r="H8163" s="379">
        <v>4.2457832260754866</v>
      </c>
      <c r="I8163" s="25">
        <v>50.13</v>
      </c>
      <c r="J8163" s="379">
        <v>6.6613207619547756</v>
      </c>
    </row>
    <row r="8164" spans="1:10" x14ac:dyDescent="0.35">
      <c r="A8164" s="5">
        <v>8160</v>
      </c>
      <c r="B8164" s="5">
        <v>340</v>
      </c>
      <c r="C8164" s="5">
        <v>12</v>
      </c>
      <c r="D8164" s="379">
        <v>77.643888888888881</v>
      </c>
      <c r="E8164" s="25">
        <v>25.74</v>
      </c>
      <c r="F8164" s="379">
        <v>8.1174834595959577</v>
      </c>
      <c r="G8164" s="25">
        <v>47.85</v>
      </c>
      <c r="H8164" s="379">
        <v>5.8906934265823994</v>
      </c>
      <c r="I8164" s="25">
        <v>53.71</v>
      </c>
      <c r="J8164" s="379">
        <v>4.9947244289256734</v>
      </c>
    </row>
    <row r="8165" spans="1:10" x14ac:dyDescent="0.35">
      <c r="A8165" s="5">
        <v>8161</v>
      </c>
      <c r="B8165" s="5">
        <v>341</v>
      </c>
      <c r="C8165" s="5">
        <v>12</v>
      </c>
      <c r="D8165" s="379">
        <v>76.52</v>
      </c>
      <c r="E8165" s="25">
        <v>25.74</v>
      </c>
      <c r="F8165" s="379">
        <v>7.4975479725929981</v>
      </c>
      <c r="G8165" s="25">
        <v>47.85</v>
      </c>
      <c r="H8165" s="379">
        <v>5.8837871538868027</v>
      </c>
      <c r="I8165" s="25">
        <v>96.25</v>
      </c>
      <c r="J8165" s="379">
        <v>5.0189298337910895</v>
      </c>
    </row>
    <row r="8166" spans="1:10" x14ac:dyDescent="0.35">
      <c r="A8166" s="5">
        <v>8162</v>
      </c>
      <c r="B8166" s="5">
        <v>341</v>
      </c>
      <c r="C8166" s="5">
        <v>12</v>
      </c>
      <c r="D8166" s="379">
        <v>72.631666666666661</v>
      </c>
      <c r="E8166" s="25">
        <v>25.74</v>
      </c>
      <c r="F8166" s="379">
        <v>7.4975479725929981</v>
      </c>
      <c r="G8166" s="25">
        <v>47.85</v>
      </c>
      <c r="H8166" s="379">
        <v>7.8717043044738073</v>
      </c>
      <c r="I8166" s="25">
        <v>68.05</v>
      </c>
      <c r="J8166" s="379">
        <v>5.0189298337910895</v>
      </c>
    </row>
    <row r="8167" spans="1:10" x14ac:dyDescent="0.35">
      <c r="A8167" s="5">
        <v>8163</v>
      </c>
      <c r="B8167" s="5">
        <v>341</v>
      </c>
      <c r="C8167" s="5">
        <v>12</v>
      </c>
      <c r="D8167" s="379">
        <v>68.11722222222221</v>
      </c>
      <c r="E8167" s="25">
        <v>25.74</v>
      </c>
      <c r="F8167" s="379">
        <v>8.174043413174175</v>
      </c>
      <c r="G8167" s="25">
        <v>47.85</v>
      </c>
      <c r="H8167" s="379">
        <v>6.0708225461293264</v>
      </c>
      <c r="I8167" s="25">
        <v>68.05</v>
      </c>
      <c r="J8167" s="379">
        <v>5.3438621861873852</v>
      </c>
    </row>
    <row r="8168" spans="1:10" x14ac:dyDescent="0.35">
      <c r="A8168" s="5">
        <v>8164</v>
      </c>
      <c r="B8168" s="5">
        <v>341</v>
      </c>
      <c r="C8168" s="5">
        <v>12</v>
      </c>
      <c r="D8168" s="379">
        <v>65.734999999999999</v>
      </c>
      <c r="E8168" s="25">
        <v>25.74</v>
      </c>
      <c r="F8168" s="379">
        <v>8.2854635878649674</v>
      </c>
      <c r="G8168" s="25">
        <v>47.85</v>
      </c>
      <c r="H8168" s="379">
        <v>7.3325566886663527</v>
      </c>
      <c r="I8168" s="25">
        <v>68.05</v>
      </c>
      <c r="J8168" s="379">
        <v>4.8623441645533028</v>
      </c>
    </row>
    <row r="8169" spans="1:10" x14ac:dyDescent="0.35">
      <c r="A8169" s="5">
        <v>8165</v>
      </c>
      <c r="B8169" s="5">
        <v>341</v>
      </c>
      <c r="C8169" s="5">
        <v>12</v>
      </c>
      <c r="D8169" s="379">
        <v>67.918888888888887</v>
      </c>
      <c r="E8169" s="25">
        <v>25.74</v>
      </c>
      <c r="F8169" s="379">
        <v>16.535923283910364</v>
      </c>
      <c r="G8169" s="25">
        <v>47.85</v>
      </c>
      <c r="H8169" s="379">
        <v>7.6418384052795592</v>
      </c>
      <c r="I8169" s="25">
        <v>139.33000000000001</v>
      </c>
      <c r="J8169" s="379">
        <v>4.0292055532076727</v>
      </c>
    </row>
    <row r="8170" spans="1:10" x14ac:dyDescent="0.35">
      <c r="A8170" s="5">
        <v>8166</v>
      </c>
      <c r="B8170" s="5">
        <v>341</v>
      </c>
      <c r="C8170" s="5">
        <v>12</v>
      </c>
      <c r="D8170" s="379">
        <v>74.121666666666655</v>
      </c>
      <c r="E8170" s="25">
        <v>25.74</v>
      </c>
      <c r="F8170" s="379">
        <v>17.192526102678027</v>
      </c>
      <c r="G8170" s="25">
        <v>52.67</v>
      </c>
      <c r="H8170" s="379">
        <v>5.8371876218238272</v>
      </c>
      <c r="I8170" s="25">
        <v>603.30999999999995</v>
      </c>
      <c r="J8170" s="379">
        <v>5.0835191224479566</v>
      </c>
    </row>
    <row r="8171" spans="1:10" x14ac:dyDescent="0.35">
      <c r="A8171" s="5">
        <v>8167</v>
      </c>
      <c r="B8171" s="5">
        <v>341</v>
      </c>
      <c r="C8171" s="5">
        <v>12</v>
      </c>
      <c r="D8171" s="379">
        <v>79.058333333333337</v>
      </c>
      <c r="E8171" s="25">
        <v>28.37</v>
      </c>
      <c r="F8171" s="379">
        <v>17.551758353138425</v>
      </c>
      <c r="G8171" s="25">
        <v>62.12</v>
      </c>
      <c r="H8171" s="379">
        <v>6.0022595882738541</v>
      </c>
      <c r="I8171" s="25">
        <v>843.72</v>
      </c>
      <c r="J8171" s="379">
        <v>4.852541845494617</v>
      </c>
    </row>
    <row r="8172" spans="1:10" x14ac:dyDescent="0.35">
      <c r="A8172" s="5">
        <v>8168</v>
      </c>
      <c r="B8172" s="5">
        <v>341</v>
      </c>
      <c r="C8172" s="5">
        <v>12</v>
      </c>
      <c r="D8172" s="379">
        <v>89.648888888888891</v>
      </c>
      <c r="E8172" s="25">
        <v>36.94</v>
      </c>
      <c r="F8172" s="379">
        <v>18.665391912018634</v>
      </c>
      <c r="G8172" s="25">
        <v>843.72</v>
      </c>
      <c r="H8172" s="379">
        <v>6.5214924075722918</v>
      </c>
      <c r="I8172" s="25">
        <v>843.72</v>
      </c>
      <c r="J8172" s="379">
        <v>4.6030581097890595</v>
      </c>
    </row>
    <row r="8173" spans="1:10" x14ac:dyDescent="0.35">
      <c r="A8173" s="5">
        <v>8169</v>
      </c>
      <c r="B8173" s="5">
        <v>341</v>
      </c>
      <c r="C8173" s="5">
        <v>12</v>
      </c>
      <c r="D8173" s="379">
        <v>101.02000000000001</v>
      </c>
      <c r="E8173" s="25">
        <v>36.94</v>
      </c>
      <c r="F8173" s="379">
        <v>17.88216521400479</v>
      </c>
      <c r="G8173" s="25">
        <v>843.72</v>
      </c>
      <c r="H8173" s="379">
        <v>5.6259508638272795</v>
      </c>
      <c r="I8173" s="25">
        <v>843.72</v>
      </c>
      <c r="J8173" s="379">
        <v>4.305510338767669</v>
      </c>
    </row>
    <row r="8174" spans="1:10" x14ac:dyDescent="0.35">
      <c r="A8174" s="5">
        <v>8170</v>
      </c>
      <c r="B8174" s="5">
        <v>341</v>
      </c>
      <c r="C8174" s="5">
        <v>12</v>
      </c>
      <c r="D8174" s="379">
        <v>102.94222222222221</v>
      </c>
      <c r="E8174" s="25">
        <v>36.94</v>
      </c>
      <c r="F8174" s="379">
        <v>17.104552436700057</v>
      </c>
      <c r="G8174" s="25">
        <v>843.72</v>
      </c>
      <c r="H8174" s="379">
        <v>1.619680277931872</v>
      </c>
      <c r="I8174" s="25">
        <v>843.72</v>
      </c>
      <c r="J8174" s="379">
        <v>4.6328327138567644</v>
      </c>
    </row>
    <row r="8175" spans="1:10" x14ac:dyDescent="0.35">
      <c r="A8175" s="5">
        <v>8171</v>
      </c>
      <c r="B8175" s="5">
        <v>341</v>
      </c>
      <c r="C8175" s="5">
        <v>12</v>
      </c>
      <c r="D8175" s="379">
        <v>94.52277777777779</v>
      </c>
      <c r="E8175" s="25">
        <v>36.94</v>
      </c>
      <c r="F8175" s="379">
        <v>16.488249591873533</v>
      </c>
      <c r="G8175" s="25">
        <v>91.52</v>
      </c>
      <c r="H8175" s="379">
        <v>4.5323005053522492</v>
      </c>
      <c r="I8175" s="25">
        <v>843.72</v>
      </c>
      <c r="J8175" s="379">
        <v>4.2470736469026331</v>
      </c>
    </row>
    <row r="8176" spans="1:10" x14ac:dyDescent="0.35">
      <c r="A8176" s="5">
        <v>8172</v>
      </c>
      <c r="B8176" s="5">
        <v>341</v>
      </c>
      <c r="C8176" s="5">
        <v>12</v>
      </c>
      <c r="D8176" s="379">
        <v>94.583888888888893</v>
      </c>
      <c r="E8176" s="25">
        <v>36.15</v>
      </c>
      <c r="F8176" s="379">
        <v>16.608119953643456</v>
      </c>
      <c r="G8176" s="25">
        <v>77.790000000000006</v>
      </c>
      <c r="H8176" s="379">
        <v>4.836188423431893</v>
      </c>
      <c r="I8176" s="25">
        <v>843.72</v>
      </c>
      <c r="J8176" s="379">
        <v>5.1748585099292219</v>
      </c>
    </row>
    <row r="8177" spans="1:10" x14ac:dyDescent="0.35">
      <c r="A8177" s="5">
        <v>8173</v>
      </c>
      <c r="B8177" s="5">
        <v>341</v>
      </c>
      <c r="C8177" s="5">
        <v>12</v>
      </c>
      <c r="D8177" s="379">
        <v>91.158333333333317</v>
      </c>
      <c r="E8177" s="25">
        <v>35.869999999999997</v>
      </c>
      <c r="F8177" s="379">
        <v>18.688975930537946</v>
      </c>
      <c r="G8177" s="25">
        <v>77.790000000000006</v>
      </c>
      <c r="H8177" s="379">
        <v>6.3598893108483416</v>
      </c>
      <c r="I8177" s="25">
        <v>843.72</v>
      </c>
      <c r="J8177" s="379">
        <v>4.69387091364512</v>
      </c>
    </row>
    <row r="8178" spans="1:10" x14ac:dyDescent="0.35">
      <c r="A8178" s="5">
        <v>8174</v>
      </c>
      <c r="B8178" s="5">
        <v>341</v>
      </c>
      <c r="C8178" s="5">
        <v>12</v>
      </c>
      <c r="D8178" s="379">
        <v>93.50277777777778</v>
      </c>
      <c r="E8178" s="25">
        <v>35.869999999999997</v>
      </c>
      <c r="F8178" s="379">
        <v>18.765015148571933</v>
      </c>
      <c r="G8178" s="25">
        <v>77.790000000000006</v>
      </c>
      <c r="H8178" s="379">
        <v>7.436650358560283</v>
      </c>
      <c r="I8178" s="25">
        <v>835.28</v>
      </c>
      <c r="J8178" s="379">
        <v>4.8766674089626942</v>
      </c>
    </row>
    <row r="8179" spans="1:10" x14ac:dyDescent="0.35">
      <c r="A8179" s="5">
        <v>8175</v>
      </c>
      <c r="B8179" s="5">
        <v>341</v>
      </c>
      <c r="C8179" s="5">
        <v>12</v>
      </c>
      <c r="D8179" s="379">
        <v>102.17555555555555</v>
      </c>
      <c r="E8179" s="25">
        <v>36.01</v>
      </c>
      <c r="F8179" s="379">
        <v>18.156150044844306</v>
      </c>
      <c r="G8179" s="25">
        <v>77.790000000000006</v>
      </c>
      <c r="H8179" s="379">
        <v>8.2064047980923949</v>
      </c>
      <c r="I8179" s="25">
        <v>835.28</v>
      </c>
      <c r="J8179" s="379">
        <v>5.8321955046961849</v>
      </c>
    </row>
    <row r="8180" spans="1:10" x14ac:dyDescent="0.35">
      <c r="A8180" s="5">
        <v>8176</v>
      </c>
      <c r="B8180" s="5">
        <v>341</v>
      </c>
      <c r="C8180" s="5">
        <v>12</v>
      </c>
      <c r="D8180" s="379">
        <v>106.66444444444444</v>
      </c>
      <c r="E8180" s="25">
        <v>36.94</v>
      </c>
      <c r="F8180" s="379">
        <v>19.529442720725854</v>
      </c>
      <c r="G8180" s="25">
        <v>91.52</v>
      </c>
      <c r="H8180" s="379">
        <v>6.725210326681772</v>
      </c>
      <c r="I8180" s="25">
        <v>843.72</v>
      </c>
      <c r="J8180" s="379">
        <v>6.5326826687611872</v>
      </c>
    </row>
    <row r="8181" spans="1:10" x14ac:dyDescent="0.35">
      <c r="A8181" s="5">
        <v>8177</v>
      </c>
      <c r="B8181" s="5">
        <v>341</v>
      </c>
      <c r="C8181" s="5">
        <v>12</v>
      </c>
      <c r="D8181" s="379">
        <v>113.89500000000001</v>
      </c>
      <c r="E8181" s="25">
        <v>36.94</v>
      </c>
      <c r="F8181" s="379">
        <v>16.775907747212187</v>
      </c>
      <c r="G8181" s="25">
        <v>91.52</v>
      </c>
      <c r="H8181" s="379">
        <v>4.1128876475149703</v>
      </c>
      <c r="I8181" s="25">
        <v>843.72</v>
      </c>
      <c r="J8181" s="379">
        <v>6.6670966723595271</v>
      </c>
    </row>
    <row r="8182" spans="1:10" x14ac:dyDescent="0.35">
      <c r="A8182" s="5">
        <v>8178</v>
      </c>
      <c r="B8182" s="5">
        <v>341</v>
      </c>
      <c r="C8182" s="5">
        <v>12</v>
      </c>
      <c r="D8182" s="379">
        <v>117.39722222222221</v>
      </c>
      <c r="E8182" s="25">
        <v>37.090000000000003</v>
      </c>
      <c r="F8182" s="379">
        <v>15.646133693386776</v>
      </c>
      <c r="G8182" s="25">
        <v>843.72</v>
      </c>
      <c r="H8182" s="379">
        <v>5.6374536509572577</v>
      </c>
      <c r="I8182" s="25">
        <v>843.72</v>
      </c>
      <c r="J8182" s="379">
        <v>6.172194680795501</v>
      </c>
    </row>
    <row r="8183" spans="1:10" x14ac:dyDescent="0.35">
      <c r="A8183" s="5">
        <v>8179</v>
      </c>
      <c r="B8183" s="5">
        <v>341</v>
      </c>
      <c r="C8183" s="5">
        <v>12</v>
      </c>
      <c r="D8183" s="379">
        <v>111.21277777777777</v>
      </c>
      <c r="E8183" s="25">
        <v>37.090000000000003</v>
      </c>
      <c r="F8183" s="379">
        <v>13.90668025459699</v>
      </c>
      <c r="G8183" s="25">
        <v>843.72</v>
      </c>
      <c r="H8183" s="379">
        <v>7.852576126467536</v>
      </c>
      <c r="I8183" s="25">
        <v>843.72</v>
      </c>
      <c r="J8183" s="379">
        <v>6.5253912789410311</v>
      </c>
    </row>
    <row r="8184" spans="1:10" x14ac:dyDescent="0.35">
      <c r="A8184" s="5">
        <v>8180</v>
      </c>
      <c r="B8184" s="5">
        <v>341</v>
      </c>
      <c r="C8184" s="5">
        <v>12</v>
      </c>
      <c r="D8184" s="379">
        <v>103.96</v>
      </c>
      <c r="E8184" s="25">
        <v>36.94</v>
      </c>
      <c r="F8184" s="379">
        <v>18.599798284492206</v>
      </c>
      <c r="G8184" s="25">
        <v>91.52</v>
      </c>
      <c r="H8184" s="379">
        <v>4.799693804694658</v>
      </c>
      <c r="I8184" s="25">
        <v>843.72</v>
      </c>
      <c r="J8184" s="379">
        <v>5.7634787036673574</v>
      </c>
    </row>
    <row r="8185" spans="1:10" x14ac:dyDescent="0.35">
      <c r="A8185" s="5">
        <v>8181</v>
      </c>
      <c r="B8185" s="5">
        <v>341</v>
      </c>
      <c r="C8185" s="5">
        <v>12</v>
      </c>
      <c r="D8185" s="379">
        <v>100.27888888888887</v>
      </c>
      <c r="E8185" s="25">
        <v>30.91</v>
      </c>
      <c r="F8185" s="379">
        <v>14.284076172243692</v>
      </c>
      <c r="G8185" s="25">
        <v>62.12</v>
      </c>
      <c r="H8185" s="379">
        <v>8.3991746194143335</v>
      </c>
      <c r="I8185" s="25">
        <v>843.72</v>
      </c>
      <c r="J8185" s="379">
        <v>5.717825137630915</v>
      </c>
    </row>
    <row r="8186" spans="1:10" x14ac:dyDescent="0.35">
      <c r="A8186" s="5">
        <v>8182</v>
      </c>
      <c r="B8186" s="5">
        <v>341</v>
      </c>
      <c r="C8186" s="5">
        <v>12</v>
      </c>
      <c r="D8186" s="379">
        <v>85.652222222222235</v>
      </c>
      <c r="E8186" s="25">
        <v>26.51</v>
      </c>
      <c r="F8186" s="379">
        <v>14.286599008540867</v>
      </c>
      <c r="G8186" s="25">
        <v>55.32</v>
      </c>
      <c r="H8186" s="379">
        <v>8.0822977118247419</v>
      </c>
      <c r="I8186" s="25">
        <v>819.14</v>
      </c>
      <c r="J8186" s="379">
        <v>4.7109435671835689</v>
      </c>
    </row>
    <row r="8187" spans="1:10" x14ac:dyDescent="0.35">
      <c r="A8187" s="5">
        <v>8183</v>
      </c>
      <c r="B8187" s="5">
        <v>341</v>
      </c>
      <c r="C8187" s="5">
        <v>12</v>
      </c>
      <c r="D8187" s="379">
        <v>79.609444444444435</v>
      </c>
      <c r="E8187" s="25">
        <v>25.74</v>
      </c>
      <c r="F8187" s="379">
        <v>12.152476728821876</v>
      </c>
      <c r="G8187" s="25">
        <v>55.32</v>
      </c>
      <c r="H8187" s="379">
        <v>8.3899432472409057</v>
      </c>
      <c r="I8187" s="25">
        <v>810.95</v>
      </c>
      <c r="J8187" s="379">
        <v>1.6803430017155407</v>
      </c>
    </row>
    <row r="8188" spans="1:10" x14ac:dyDescent="0.35">
      <c r="A8188" s="5">
        <v>8184</v>
      </c>
      <c r="B8188" s="5">
        <v>341</v>
      </c>
      <c r="C8188" s="5">
        <v>12</v>
      </c>
      <c r="D8188" s="379">
        <v>78.105555555555554</v>
      </c>
      <c r="E8188" s="25">
        <v>25.74</v>
      </c>
      <c r="F8188" s="379">
        <v>8.5955410558165681</v>
      </c>
      <c r="G8188" s="25">
        <v>52.67</v>
      </c>
      <c r="H8188" s="379">
        <v>8.744364654361604</v>
      </c>
      <c r="I8188" s="25">
        <v>152.25</v>
      </c>
      <c r="J8188" s="379">
        <v>4.6697205003794835</v>
      </c>
    </row>
    <row r="8189" spans="1:10" x14ac:dyDescent="0.35">
      <c r="A8189" s="5">
        <v>8185</v>
      </c>
      <c r="B8189" s="5">
        <v>342</v>
      </c>
      <c r="C8189" s="5">
        <v>12</v>
      </c>
      <c r="D8189" s="379">
        <v>78.831111111111113</v>
      </c>
      <c r="E8189" s="25">
        <v>25.74</v>
      </c>
      <c r="F8189" s="379">
        <v>8.5454723388328979</v>
      </c>
      <c r="G8189" s="25">
        <v>51.14</v>
      </c>
      <c r="H8189" s="379">
        <v>6.4652255667253549</v>
      </c>
      <c r="I8189" s="25">
        <v>64.14</v>
      </c>
      <c r="J8189" s="379">
        <v>4.1351923401252835</v>
      </c>
    </row>
    <row r="8190" spans="1:10" x14ac:dyDescent="0.35">
      <c r="A8190" s="5">
        <v>8186</v>
      </c>
      <c r="B8190" s="5">
        <v>342</v>
      </c>
      <c r="C8190" s="5">
        <v>12</v>
      </c>
      <c r="D8190" s="379">
        <v>76.248888888888885</v>
      </c>
      <c r="E8190" s="25">
        <v>25.29</v>
      </c>
      <c r="F8190" s="379">
        <v>8.169001879944954</v>
      </c>
      <c r="G8190" s="25">
        <v>47.85</v>
      </c>
      <c r="H8190" s="379">
        <v>6.5009748199194632</v>
      </c>
      <c r="I8190" s="25">
        <v>53.71</v>
      </c>
      <c r="J8190" s="379">
        <v>4.5941984179866129</v>
      </c>
    </row>
    <row r="8191" spans="1:10" x14ac:dyDescent="0.35">
      <c r="A8191" s="5">
        <v>8187</v>
      </c>
      <c r="B8191" s="5">
        <v>342</v>
      </c>
      <c r="C8191" s="5">
        <v>12</v>
      </c>
      <c r="D8191" s="379">
        <v>74.126666666666665</v>
      </c>
      <c r="E8191" s="25">
        <v>25.29</v>
      </c>
      <c r="F8191" s="379">
        <v>8.1174834595959595</v>
      </c>
      <c r="G8191" s="25">
        <v>47.85</v>
      </c>
      <c r="H8191" s="379">
        <v>6.620905761992681</v>
      </c>
      <c r="I8191" s="25">
        <v>53.71</v>
      </c>
      <c r="J8191" s="379">
        <v>4.2696754286910048</v>
      </c>
    </row>
    <row r="8192" spans="1:10" x14ac:dyDescent="0.35">
      <c r="A8192" s="5">
        <v>8188</v>
      </c>
      <c r="B8192" s="5">
        <v>342</v>
      </c>
      <c r="C8192" s="5">
        <v>12</v>
      </c>
      <c r="D8192" s="379">
        <v>73.692777777777778</v>
      </c>
      <c r="E8192" s="25">
        <v>25.29</v>
      </c>
      <c r="F8192" s="379">
        <v>7.7704252693157301</v>
      </c>
      <c r="G8192" s="25">
        <v>47.46</v>
      </c>
      <c r="H8192" s="379">
        <v>6.865343529722459</v>
      </c>
      <c r="I8192" s="25">
        <v>53.71</v>
      </c>
      <c r="J8192" s="379">
        <v>4.5929517434098948</v>
      </c>
    </row>
    <row r="8193" spans="1:10" x14ac:dyDescent="0.35">
      <c r="A8193" s="5">
        <v>8189</v>
      </c>
      <c r="B8193" s="5">
        <v>342</v>
      </c>
      <c r="C8193" s="5">
        <v>12</v>
      </c>
      <c r="D8193" s="379">
        <v>74.634999999999991</v>
      </c>
      <c r="E8193" s="25">
        <v>25.29</v>
      </c>
      <c r="F8193" s="379">
        <v>7.7303690890690415</v>
      </c>
      <c r="G8193" s="25">
        <v>46.11</v>
      </c>
      <c r="H8193" s="379">
        <v>6.8065874254697931</v>
      </c>
      <c r="I8193" s="25">
        <v>53.71</v>
      </c>
      <c r="J8193" s="379">
        <v>2.9691822476619096</v>
      </c>
    </row>
    <row r="8194" spans="1:10" x14ac:dyDescent="0.35">
      <c r="A8194" s="5">
        <v>8190</v>
      </c>
      <c r="B8194" s="5">
        <v>342</v>
      </c>
      <c r="C8194" s="5">
        <v>12</v>
      </c>
      <c r="D8194" s="379">
        <v>78.902777777777786</v>
      </c>
      <c r="E8194" s="25">
        <v>25.47</v>
      </c>
      <c r="F8194" s="379">
        <v>7.7337741142533361</v>
      </c>
      <c r="G8194" s="25">
        <v>51.14</v>
      </c>
      <c r="H8194" s="379">
        <v>5.3853662226247723</v>
      </c>
      <c r="I8194" s="25">
        <v>53.71</v>
      </c>
      <c r="J8194" s="379">
        <v>4.4189317078969745</v>
      </c>
    </row>
    <row r="8195" spans="1:10" x14ac:dyDescent="0.35">
      <c r="A8195" s="5">
        <v>8191</v>
      </c>
      <c r="B8195" s="5">
        <v>342</v>
      </c>
      <c r="C8195" s="5">
        <v>12</v>
      </c>
      <c r="D8195" s="379">
        <v>86.896666666666661</v>
      </c>
      <c r="E8195" s="25">
        <v>25.74</v>
      </c>
      <c r="F8195" s="379">
        <v>8.1174834595959595</v>
      </c>
      <c r="G8195" s="25">
        <v>53.77</v>
      </c>
      <c r="H8195" s="379">
        <v>6.6701903734804429</v>
      </c>
      <c r="I8195" s="25">
        <v>60.46</v>
      </c>
      <c r="J8195" s="379">
        <v>4.0293289371294225</v>
      </c>
    </row>
    <row r="8196" spans="1:10" x14ac:dyDescent="0.35">
      <c r="A8196" s="5">
        <v>8192</v>
      </c>
      <c r="B8196" s="5">
        <v>342</v>
      </c>
      <c r="C8196" s="5">
        <v>12</v>
      </c>
      <c r="D8196" s="379">
        <v>103.61111111111109</v>
      </c>
      <c r="E8196" s="25">
        <v>26.74</v>
      </c>
      <c r="F8196" s="379">
        <v>8.1174834595959595</v>
      </c>
      <c r="G8196" s="25">
        <v>62.12</v>
      </c>
      <c r="H8196" s="379">
        <v>7.4283110830316437</v>
      </c>
      <c r="I8196" s="25">
        <v>71.61</v>
      </c>
      <c r="J8196" s="379">
        <v>2.556708237031827</v>
      </c>
    </row>
    <row r="8197" spans="1:10" x14ac:dyDescent="0.35">
      <c r="A8197" s="5">
        <v>8193</v>
      </c>
      <c r="B8197" s="5">
        <v>342</v>
      </c>
      <c r="C8197" s="5">
        <v>12</v>
      </c>
      <c r="D8197" s="379">
        <v>114.84666666666668</v>
      </c>
      <c r="E8197" s="25">
        <v>28.15</v>
      </c>
      <c r="F8197" s="379">
        <v>8.1174834595959613</v>
      </c>
      <c r="G8197" s="25">
        <v>62.12</v>
      </c>
      <c r="H8197" s="379">
        <v>6.5212215910168432</v>
      </c>
      <c r="I8197" s="25">
        <v>135.28</v>
      </c>
      <c r="J8197" s="379">
        <v>6.6159491353426798</v>
      </c>
    </row>
    <row r="8198" spans="1:10" x14ac:dyDescent="0.35">
      <c r="A8198" s="5">
        <v>8194</v>
      </c>
      <c r="B8198" s="5">
        <v>342</v>
      </c>
      <c r="C8198" s="5">
        <v>12</v>
      </c>
      <c r="D8198" s="379">
        <v>114.50611111111112</v>
      </c>
      <c r="E8198" s="25">
        <v>26.74</v>
      </c>
      <c r="F8198" s="379">
        <v>8.1174834595959577</v>
      </c>
      <c r="G8198" s="25">
        <v>62.12</v>
      </c>
      <c r="H8198" s="379">
        <v>5.5540787983644178</v>
      </c>
      <c r="I8198" s="25">
        <v>64.14</v>
      </c>
      <c r="J8198" s="379">
        <v>6.0937554563018903</v>
      </c>
    </row>
    <row r="8199" spans="1:10" x14ac:dyDescent="0.35">
      <c r="A8199" s="5">
        <v>8195</v>
      </c>
      <c r="B8199" s="5">
        <v>342</v>
      </c>
      <c r="C8199" s="5">
        <v>12</v>
      </c>
      <c r="D8199" s="379">
        <v>114.45055555555557</v>
      </c>
      <c r="E8199" s="25">
        <v>26.51</v>
      </c>
      <c r="F8199" s="379">
        <v>7.9447926314525876</v>
      </c>
      <c r="G8199" s="25">
        <v>57.04</v>
      </c>
      <c r="H8199" s="379">
        <v>3.7469954133849175</v>
      </c>
      <c r="I8199" s="25">
        <v>53.71</v>
      </c>
      <c r="J8199" s="379">
        <v>2.3729676087498821</v>
      </c>
    </row>
    <row r="8200" spans="1:10" x14ac:dyDescent="0.35">
      <c r="A8200" s="5">
        <v>8196</v>
      </c>
      <c r="B8200" s="5">
        <v>342</v>
      </c>
      <c r="C8200" s="5">
        <v>12</v>
      </c>
      <c r="D8200" s="379">
        <v>112.00388888888889</v>
      </c>
      <c r="E8200" s="25">
        <v>25.74</v>
      </c>
      <c r="F8200" s="379">
        <v>6.5059513058835838</v>
      </c>
      <c r="G8200" s="25">
        <v>55.38</v>
      </c>
      <c r="H8200" s="379">
        <v>2.4411467646359233</v>
      </c>
      <c r="I8200" s="25">
        <v>53.71</v>
      </c>
      <c r="J8200" s="379">
        <v>0.35378288268581215</v>
      </c>
    </row>
    <row r="8201" spans="1:10" x14ac:dyDescent="0.35">
      <c r="A8201" s="5">
        <v>8197</v>
      </c>
      <c r="B8201" s="5">
        <v>342</v>
      </c>
      <c r="C8201" s="5">
        <v>12</v>
      </c>
      <c r="D8201" s="379">
        <v>110.21111111111111</v>
      </c>
      <c r="E8201" s="25">
        <v>25.74</v>
      </c>
      <c r="F8201" s="379">
        <v>2.5122222059170283</v>
      </c>
      <c r="G8201" s="25">
        <v>53.77</v>
      </c>
      <c r="H8201" s="379">
        <v>0.47222222222222221</v>
      </c>
      <c r="I8201" s="25">
        <v>53.17</v>
      </c>
      <c r="J8201" s="379">
        <v>0.35378288268581215</v>
      </c>
    </row>
    <row r="8202" spans="1:10" x14ac:dyDescent="0.35">
      <c r="A8202" s="5">
        <v>8198</v>
      </c>
      <c r="B8202" s="5">
        <v>342</v>
      </c>
      <c r="C8202" s="5">
        <v>12</v>
      </c>
      <c r="D8202" s="379">
        <v>110.69888888888889</v>
      </c>
      <c r="E8202" s="25">
        <v>25.74</v>
      </c>
      <c r="F8202" s="379">
        <v>3.4921802597929643</v>
      </c>
      <c r="G8202" s="25">
        <v>53.77</v>
      </c>
      <c r="H8202" s="379">
        <v>0.47222222222222221</v>
      </c>
      <c r="I8202" s="25">
        <v>53.71</v>
      </c>
      <c r="J8202" s="379">
        <v>0.31629979035639411</v>
      </c>
    </row>
    <row r="8203" spans="1:10" x14ac:dyDescent="0.35">
      <c r="A8203" s="5">
        <v>8199</v>
      </c>
      <c r="B8203" s="5">
        <v>342</v>
      </c>
      <c r="C8203" s="5">
        <v>12</v>
      </c>
      <c r="D8203" s="379">
        <v>112.68722222222223</v>
      </c>
      <c r="E8203" s="25">
        <v>26.51</v>
      </c>
      <c r="F8203" s="379">
        <v>7.0413806816488576</v>
      </c>
      <c r="G8203" s="25">
        <v>53.77</v>
      </c>
      <c r="H8203" s="379">
        <v>0.45801767819792161</v>
      </c>
      <c r="I8203" s="25">
        <v>54.25</v>
      </c>
      <c r="J8203" s="379">
        <v>0.12748422972647208</v>
      </c>
    </row>
    <row r="8204" spans="1:10" x14ac:dyDescent="0.35">
      <c r="A8204" s="5">
        <v>8200</v>
      </c>
      <c r="B8204" s="5">
        <v>342</v>
      </c>
      <c r="C8204" s="5">
        <v>12</v>
      </c>
      <c r="D8204" s="379">
        <v>114.60833333333332</v>
      </c>
      <c r="E8204" s="25">
        <v>26.74</v>
      </c>
      <c r="F8204" s="379">
        <v>8.1174834595959595</v>
      </c>
      <c r="G8204" s="25">
        <v>53.77</v>
      </c>
      <c r="H8204" s="379">
        <v>0.4454339717400066</v>
      </c>
      <c r="I8204" s="25">
        <v>63.19</v>
      </c>
      <c r="J8204" s="379">
        <v>0.2786171605260287</v>
      </c>
    </row>
    <row r="8205" spans="1:10" x14ac:dyDescent="0.35">
      <c r="A8205" s="5">
        <v>8201</v>
      </c>
      <c r="B8205" s="5">
        <v>342</v>
      </c>
      <c r="C8205" s="5">
        <v>12</v>
      </c>
      <c r="D8205" s="379">
        <v>121.84833333333333</v>
      </c>
      <c r="E8205" s="25">
        <v>28.97</v>
      </c>
      <c r="F8205" s="379">
        <v>8.1174834595959595</v>
      </c>
      <c r="G8205" s="25">
        <v>62.12</v>
      </c>
      <c r="H8205" s="379">
        <v>0.64832475448656346</v>
      </c>
      <c r="I8205" s="25">
        <v>70.900000000000006</v>
      </c>
      <c r="J8205" s="379">
        <v>4.3086591664624878</v>
      </c>
    </row>
    <row r="8206" spans="1:10" x14ac:dyDescent="0.35">
      <c r="A8206" s="5">
        <v>8202</v>
      </c>
      <c r="B8206" s="5">
        <v>342</v>
      </c>
      <c r="C8206" s="5">
        <v>12</v>
      </c>
      <c r="D8206" s="379">
        <v>126.64888888888888</v>
      </c>
      <c r="E8206" s="25">
        <v>33.81</v>
      </c>
      <c r="F8206" s="379">
        <v>8.5028940948165772</v>
      </c>
      <c r="G8206" s="25">
        <v>65.900000000000006</v>
      </c>
      <c r="H8206" s="379">
        <v>0.57923438909110858</v>
      </c>
      <c r="I8206" s="25">
        <v>70.900000000000006</v>
      </c>
      <c r="J8206" s="379">
        <v>4.26169387992329</v>
      </c>
    </row>
    <row r="8207" spans="1:10" x14ac:dyDescent="0.35">
      <c r="A8207" s="5">
        <v>8203</v>
      </c>
      <c r="B8207" s="5">
        <v>342</v>
      </c>
      <c r="C8207" s="5">
        <v>12</v>
      </c>
      <c r="D8207" s="379">
        <v>123.78888888888888</v>
      </c>
      <c r="E8207" s="25">
        <v>29.76</v>
      </c>
      <c r="F8207" s="379">
        <v>8.6653744382421198</v>
      </c>
      <c r="G8207" s="25">
        <v>64.2</v>
      </c>
      <c r="H8207" s="379">
        <v>0.24861165946295471</v>
      </c>
      <c r="I8207" s="25">
        <v>66.06</v>
      </c>
      <c r="J8207" s="379">
        <v>4.1290589573107566</v>
      </c>
    </row>
    <row r="8208" spans="1:10" x14ac:dyDescent="0.35">
      <c r="A8208" s="5">
        <v>8204</v>
      </c>
      <c r="B8208" s="5">
        <v>342</v>
      </c>
      <c r="C8208" s="5">
        <v>12</v>
      </c>
      <c r="D8208" s="379">
        <v>118.11555555555556</v>
      </c>
      <c r="E8208" s="25">
        <v>28.24</v>
      </c>
      <c r="F8208" s="379">
        <v>5.8543006824412531</v>
      </c>
      <c r="G8208" s="25">
        <v>62.12</v>
      </c>
      <c r="H8208" s="379">
        <v>0.30187740126279711</v>
      </c>
      <c r="I8208" s="25">
        <v>60.46</v>
      </c>
      <c r="J8208" s="379">
        <v>4.1290589573107566</v>
      </c>
    </row>
    <row r="8209" spans="1:10" x14ac:dyDescent="0.35">
      <c r="A8209" s="5">
        <v>8205</v>
      </c>
      <c r="B8209" s="5">
        <v>342</v>
      </c>
      <c r="C8209" s="5">
        <v>12</v>
      </c>
      <c r="D8209" s="379">
        <v>106.59833333333333</v>
      </c>
      <c r="E8209" s="25">
        <v>25.74</v>
      </c>
      <c r="F8209" s="379">
        <v>5.2288354650222635</v>
      </c>
      <c r="G8209" s="25">
        <v>54.25</v>
      </c>
      <c r="H8209" s="379">
        <v>0.28335286060028764</v>
      </c>
      <c r="I8209" s="25">
        <v>54.87</v>
      </c>
      <c r="J8209" s="379">
        <v>4.1290589573107566</v>
      </c>
    </row>
    <row r="8210" spans="1:10" x14ac:dyDescent="0.35">
      <c r="A8210" s="5">
        <v>8206</v>
      </c>
      <c r="B8210" s="5">
        <v>342</v>
      </c>
      <c r="C8210" s="5">
        <v>12</v>
      </c>
      <c r="D8210" s="379">
        <v>89.783333333333346</v>
      </c>
      <c r="E8210" s="25">
        <v>25.74</v>
      </c>
      <c r="F8210" s="379">
        <v>5.1824759131477256</v>
      </c>
      <c r="G8210" s="25">
        <v>52.67</v>
      </c>
      <c r="H8210" s="379">
        <v>0.253346937244399</v>
      </c>
      <c r="I8210" s="25">
        <v>53.71</v>
      </c>
      <c r="J8210" s="379">
        <v>4.1290589573107566</v>
      </c>
    </row>
    <row r="8211" spans="1:10" x14ac:dyDescent="0.35">
      <c r="A8211" s="5">
        <v>8207</v>
      </c>
      <c r="B8211" s="5">
        <v>342</v>
      </c>
      <c r="C8211" s="5">
        <v>12</v>
      </c>
      <c r="D8211" s="379">
        <v>83.50055555555555</v>
      </c>
      <c r="E8211" s="25">
        <v>25.74</v>
      </c>
      <c r="F8211" s="379">
        <v>4.75345587666573</v>
      </c>
      <c r="G8211" s="25">
        <v>52.67</v>
      </c>
      <c r="H8211" s="379">
        <v>0.24488384815854983</v>
      </c>
      <c r="I8211" s="25">
        <v>49.53</v>
      </c>
      <c r="J8211" s="379">
        <v>1.4458806352824685</v>
      </c>
    </row>
    <row r="8212" spans="1:10" x14ac:dyDescent="0.35">
      <c r="A8212" s="5">
        <v>8208</v>
      </c>
      <c r="B8212" s="5">
        <v>342</v>
      </c>
      <c r="C8212" s="5">
        <v>12</v>
      </c>
      <c r="D8212" s="379">
        <v>78.720555555555549</v>
      </c>
      <c r="E8212" s="25">
        <v>25.47</v>
      </c>
      <c r="F8212" s="379">
        <v>4.7381157905735405</v>
      </c>
      <c r="G8212" s="25">
        <v>48.88</v>
      </c>
      <c r="H8212" s="379">
        <v>0.23635652041677815</v>
      </c>
      <c r="I8212" s="25">
        <v>48.59</v>
      </c>
      <c r="J8212" s="379">
        <v>1.3207041836964246</v>
      </c>
    </row>
    <row r="8213" spans="1:10" x14ac:dyDescent="0.35">
      <c r="A8213" s="5">
        <v>8209</v>
      </c>
      <c r="B8213" s="5">
        <v>343</v>
      </c>
      <c r="C8213" s="5">
        <v>12</v>
      </c>
      <c r="D8213" s="379">
        <v>78.75555555555556</v>
      </c>
      <c r="E8213" s="25">
        <v>25.29</v>
      </c>
      <c r="F8213" s="379">
        <v>3.8079118230678035</v>
      </c>
      <c r="G8213" s="25">
        <v>47.67</v>
      </c>
      <c r="H8213" s="379">
        <v>0.21715849236191814</v>
      </c>
      <c r="I8213" s="25">
        <v>47.17</v>
      </c>
      <c r="J8213" s="379">
        <v>0.77489496741935993</v>
      </c>
    </row>
    <row r="8214" spans="1:10" x14ac:dyDescent="0.35">
      <c r="A8214" s="5">
        <v>8210</v>
      </c>
      <c r="B8214" s="5">
        <v>343</v>
      </c>
      <c r="C8214" s="5">
        <v>12</v>
      </c>
      <c r="D8214" s="379">
        <v>74.441111111111113</v>
      </c>
      <c r="E8214" s="25">
        <v>25.29</v>
      </c>
      <c r="F8214" s="379">
        <v>3.9781386401624466</v>
      </c>
      <c r="G8214" s="25">
        <v>44.77</v>
      </c>
      <c r="H8214" s="379">
        <v>0.22696191055374096</v>
      </c>
      <c r="I8214" s="25">
        <v>46.64</v>
      </c>
      <c r="J8214" s="379">
        <v>0.89776965691910349</v>
      </c>
    </row>
    <row r="8215" spans="1:10" x14ac:dyDescent="0.35">
      <c r="A8215" s="5">
        <v>8211</v>
      </c>
      <c r="B8215" s="5">
        <v>343</v>
      </c>
      <c r="C8215" s="5">
        <v>12</v>
      </c>
      <c r="D8215" s="379">
        <v>72.97444444444443</v>
      </c>
      <c r="E8215" s="25">
        <v>25.29</v>
      </c>
      <c r="F8215" s="379">
        <v>4.3709526320901322</v>
      </c>
      <c r="G8215" s="25">
        <v>44.77</v>
      </c>
      <c r="H8215" s="379">
        <v>0.29737740952475061</v>
      </c>
      <c r="I8215" s="25">
        <v>45.85</v>
      </c>
      <c r="J8215" s="379">
        <v>4.1290589573107566</v>
      </c>
    </row>
    <row r="8216" spans="1:10" x14ac:dyDescent="0.35">
      <c r="A8216" s="5">
        <v>8212</v>
      </c>
      <c r="B8216" s="5">
        <v>343</v>
      </c>
      <c r="C8216" s="5">
        <v>12</v>
      </c>
      <c r="D8216" s="379">
        <v>72.133888888888876</v>
      </c>
      <c r="E8216" s="25">
        <v>25.29</v>
      </c>
      <c r="F8216" s="379">
        <v>4.6860878380431137</v>
      </c>
      <c r="G8216" s="25">
        <v>44.77</v>
      </c>
      <c r="H8216" s="379">
        <v>0.13052081494830819</v>
      </c>
      <c r="I8216" s="25">
        <v>46.24</v>
      </c>
      <c r="J8216" s="379">
        <v>4.1290589573107566</v>
      </c>
    </row>
    <row r="8217" spans="1:10" x14ac:dyDescent="0.35">
      <c r="A8217" s="5">
        <v>8213</v>
      </c>
      <c r="B8217" s="5">
        <v>343</v>
      </c>
      <c r="C8217" s="5">
        <v>12</v>
      </c>
      <c r="D8217" s="379">
        <v>72.605000000000004</v>
      </c>
      <c r="E8217" s="25">
        <v>25.29</v>
      </c>
      <c r="F8217" s="379">
        <v>4.389793767191108</v>
      </c>
      <c r="G8217" s="25">
        <v>44.77</v>
      </c>
      <c r="H8217" s="379">
        <v>0.24270753328213002</v>
      </c>
      <c r="I8217" s="25">
        <v>46.7</v>
      </c>
      <c r="J8217" s="379">
        <v>4.1290589573107566</v>
      </c>
    </row>
    <row r="8218" spans="1:10" x14ac:dyDescent="0.35">
      <c r="A8218" s="5">
        <v>8214</v>
      </c>
      <c r="B8218" s="5">
        <v>343</v>
      </c>
      <c r="C8218" s="5">
        <v>12</v>
      </c>
      <c r="D8218" s="379">
        <v>75.281666666666666</v>
      </c>
      <c r="E8218" s="25">
        <v>25.29</v>
      </c>
      <c r="F8218" s="379">
        <v>4.5132470527285475</v>
      </c>
      <c r="G8218" s="25">
        <v>48.88</v>
      </c>
      <c r="H8218" s="379">
        <v>0.21145255314428391</v>
      </c>
      <c r="I8218" s="25">
        <v>48.59</v>
      </c>
      <c r="J8218" s="379">
        <v>4.1290589573107557</v>
      </c>
    </row>
    <row r="8219" spans="1:10" x14ac:dyDescent="0.35">
      <c r="A8219" s="5">
        <v>8215</v>
      </c>
      <c r="B8219" s="5">
        <v>343</v>
      </c>
      <c r="C8219" s="5">
        <v>12</v>
      </c>
      <c r="D8219" s="379">
        <v>87.339444444444453</v>
      </c>
      <c r="E8219" s="25">
        <v>26.05</v>
      </c>
      <c r="F8219" s="379">
        <v>5.4632654346599514</v>
      </c>
      <c r="G8219" s="25">
        <v>53.77</v>
      </c>
      <c r="H8219" s="379">
        <v>0.12300512997071136</v>
      </c>
      <c r="I8219" s="25">
        <v>50.33</v>
      </c>
      <c r="J8219" s="379">
        <v>4.1290589573107566</v>
      </c>
    </row>
    <row r="8220" spans="1:10" x14ac:dyDescent="0.35">
      <c r="A8220" s="5">
        <v>8216</v>
      </c>
      <c r="B8220" s="5">
        <v>343</v>
      </c>
      <c r="C8220" s="5">
        <v>12</v>
      </c>
      <c r="D8220" s="379">
        <v>107.69777777777777</v>
      </c>
      <c r="E8220" s="25">
        <v>28.12</v>
      </c>
      <c r="F8220" s="379">
        <v>5.4156775581140089</v>
      </c>
      <c r="G8220" s="25">
        <v>843.72</v>
      </c>
      <c r="H8220" s="379">
        <v>2.5259112080808976</v>
      </c>
      <c r="I8220" s="25">
        <v>62.27</v>
      </c>
      <c r="J8220" s="379">
        <v>2.777777777777778E-2</v>
      </c>
    </row>
    <row r="8221" spans="1:10" x14ac:dyDescent="0.35">
      <c r="A8221" s="5">
        <v>8217</v>
      </c>
      <c r="B8221" s="5">
        <v>343</v>
      </c>
      <c r="C8221" s="5">
        <v>12</v>
      </c>
      <c r="D8221" s="379">
        <v>117.71055555555554</v>
      </c>
      <c r="E8221" s="25">
        <v>29.76</v>
      </c>
      <c r="F8221" s="379">
        <v>4.9031231592973041</v>
      </c>
      <c r="G8221" s="25">
        <v>843.72</v>
      </c>
      <c r="H8221" s="379">
        <v>2.7617797869205423</v>
      </c>
      <c r="I8221" s="25">
        <v>603.30999999999995</v>
      </c>
      <c r="J8221" s="379">
        <v>4.1802214394797907</v>
      </c>
    </row>
    <row r="8222" spans="1:10" x14ac:dyDescent="0.35">
      <c r="A8222" s="5">
        <v>8218</v>
      </c>
      <c r="B8222" s="5">
        <v>343</v>
      </c>
      <c r="C8222" s="5">
        <v>12</v>
      </c>
      <c r="D8222" s="379">
        <v>116.1188888888889</v>
      </c>
      <c r="E8222" s="25">
        <v>29.96</v>
      </c>
      <c r="F8222" s="379">
        <v>4.7674320406230244</v>
      </c>
      <c r="G8222" s="25">
        <v>64.2</v>
      </c>
      <c r="H8222" s="379">
        <v>2.7617797869205423</v>
      </c>
      <c r="I8222" s="25">
        <v>603.30999999999995</v>
      </c>
      <c r="J8222" s="379">
        <v>4.1802214394797907</v>
      </c>
    </row>
    <row r="8223" spans="1:10" x14ac:dyDescent="0.35">
      <c r="A8223" s="5">
        <v>8219</v>
      </c>
      <c r="B8223" s="5">
        <v>343</v>
      </c>
      <c r="C8223" s="5">
        <v>12</v>
      </c>
      <c r="D8223" s="379">
        <v>112.21444444444445</v>
      </c>
      <c r="E8223" s="25">
        <v>28.97</v>
      </c>
      <c r="F8223" s="379">
        <v>6.6236307131217087</v>
      </c>
      <c r="G8223" s="25">
        <v>62.12</v>
      </c>
      <c r="H8223" s="379">
        <v>2.6997294397385621</v>
      </c>
      <c r="I8223" s="25">
        <v>59.21</v>
      </c>
      <c r="J8223" s="379">
        <v>3.3002788124043354</v>
      </c>
    </row>
    <row r="8224" spans="1:10" x14ac:dyDescent="0.35">
      <c r="A8224" s="5">
        <v>8220</v>
      </c>
      <c r="B8224" s="5">
        <v>343</v>
      </c>
      <c r="C8224" s="5">
        <v>12</v>
      </c>
      <c r="D8224" s="379">
        <v>113.09611111111113</v>
      </c>
      <c r="E8224" s="25">
        <v>27.3</v>
      </c>
      <c r="F8224" s="379">
        <v>6.6236307131217087</v>
      </c>
      <c r="G8224" s="25">
        <v>55.38</v>
      </c>
      <c r="H8224" s="379">
        <v>2.346153113616861</v>
      </c>
      <c r="I8224" s="25">
        <v>53.71</v>
      </c>
      <c r="J8224" s="379">
        <v>3.2878023761757085</v>
      </c>
    </row>
    <row r="8225" spans="1:10" x14ac:dyDescent="0.35">
      <c r="A8225" s="5">
        <v>8221</v>
      </c>
      <c r="B8225" s="5">
        <v>343</v>
      </c>
      <c r="C8225" s="5">
        <v>12</v>
      </c>
      <c r="D8225" s="379">
        <v>113.80222222222221</v>
      </c>
      <c r="E8225" s="25">
        <v>26.51</v>
      </c>
      <c r="F8225" s="379">
        <v>2.3620332766583716</v>
      </c>
      <c r="G8225" s="25">
        <v>53.77</v>
      </c>
      <c r="H8225" s="379">
        <v>2.3360142079769215</v>
      </c>
      <c r="I8225" s="25">
        <v>50.33</v>
      </c>
      <c r="J8225" s="379">
        <v>3.2878023761757085</v>
      </c>
    </row>
    <row r="8226" spans="1:10" x14ac:dyDescent="0.35">
      <c r="A8226" s="5">
        <v>8222</v>
      </c>
      <c r="B8226" s="5">
        <v>343</v>
      </c>
      <c r="C8226" s="5">
        <v>12</v>
      </c>
      <c r="D8226" s="379">
        <v>112.16944444444444</v>
      </c>
      <c r="E8226" s="25">
        <v>25.76</v>
      </c>
      <c r="F8226" s="379">
        <v>0.21169000815359229</v>
      </c>
      <c r="G8226" s="25">
        <v>52.67</v>
      </c>
      <c r="H8226" s="379">
        <v>2.3215300570627222</v>
      </c>
      <c r="I8226" s="25">
        <v>50.33</v>
      </c>
      <c r="J8226" s="379">
        <v>3.2878023761757085</v>
      </c>
    </row>
    <row r="8227" spans="1:10" x14ac:dyDescent="0.35">
      <c r="A8227" s="5">
        <v>8223</v>
      </c>
      <c r="B8227" s="5">
        <v>343</v>
      </c>
      <c r="C8227" s="5">
        <v>12</v>
      </c>
      <c r="D8227" s="379">
        <v>114.16944444444445</v>
      </c>
      <c r="E8227" s="25">
        <v>26.5</v>
      </c>
      <c r="F8227" s="379">
        <v>4.525314230834363</v>
      </c>
      <c r="G8227" s="25">
        <v>52.67</v>
      </c>
      <c r="H8227" s="379">
        <v>2.346153113616861</v>
      </c>
      <c r="I8227" s="25">
        <v>50.33</v>
      </c>
      <c r="J8227" s="379">
        <v>3.2878023761757085</v>
      </c>
    </row>
    <row r="8228" spans="1:10" x14ac:dyDescent="0.35">
      <c r="A8228" s="5">
        <v>8224</v>
      </c>
      <c r="B8228" s="5">
        <v>343</v>
      </c>
      <c r="C8228" s="5">
        <v>12</v>
      </c>
      <c r="D8228" s="379">
        <v>115.69111111111111</v>
      </c>
      <c r="E8228" s="25">
        <v>27.29</v>
      </c>
      <c r="F8228" s="379">
        <v>6.7521070787069579</v>
      </c>
      <c r="G8228" s="25">
        <v>52.67</v>
      </c>
      <c r="H8228" s="379">
        <v>0.31831314996111332</v>
      </c>
      <c r="I8228" s="25">
        <v>54.87</v>
      </c>
      <c r="J8228" s="379">
        <v>1.8084837090050199</v>
      </c>
    </row>
    <row r="8229" spans="1:10" x14ac:dyDescent="0.35">
      <c r="A8229" s="5">
        <v>8225</v>
      </c>
      <c r="B8229" s="5">
        <v>343</v>
      </c>
      <c r="C8229" s="5">
        <v>12</v>
      </c>
      <c r="D8229" s="379">
        <v>124.60444444444445</v>
      </c>
      <c r="E8229" s="25">
        <v>29.76</v>
      </c>
      <c r="F8229" s="379">
        <v>6.2210754753760753</v>
      </c>
      <c r="G8229" s="25">
        <v>59.17</v>
      </c>
      <c r="H8229" s="379">
        <v>0.19801591060729901</v>
      </c>
      <c r="I8229" s="25">
        <v>59.21</v>
      </c>
      <c r="J8229" s="379">
        <v>3.8241004920966954</v>
      </c>
    </row>
    <row r="8230" spans="1:10" x14ac:dyDescent="0.35">
      <c r="A8230" s="5">
        <v>8226</v>
      </c>
      <c r="B8230" s="5">
        <v>343</v>
      </c>
      <c r="C8230" s="5">
        <v>12</v>
      </c>
      <c r="D8230" s="379">
        <v>128.04944444444445</v>
      </c>
      <c r="E8230" s="25">
        <v>34.82</v>
      </c>
      <c r="F8230" s="379">
        <v>5.5102388518770091</v>
      </c>
      <c r="G8230" s="25">
        <v>64.2</v>
      </c>
      <c r="H8230" s="379">
        <v>0.24594296065585275</v>
      </c>
      <c r="I8230" s="25">
        <v>62.27</v>
      </c>
      <c r="J8230" s="379">
        <v>4.1732751386850317</v>
      </c>
    </row>
    <row r="8231" spans="1:10" x14ac:dyDescent="0.35">
      <c r="A8231" s="5">
        <v>8227</v>
      </c>
      <c r="B8231" s="5">
        <v>343</v>
      </c>
      <c r="C8231" s="5">
        <v>12</v>
      </c>
      <c r="D8231" s="379">
        <v>121.33555555555554</v>
      </c>
      <c r="E8231" s="25">
        <v>30.91</v>
      </c>
      <c r="F8231" s="379">
        <v>5.5244601425181985</v>
      </c>
      <c r="G8231" s="25">
        <v>62.33</v>
      </c>
      <c r="H8231" s="379">
        <v>0.35283674363089096</v>
      </c>
      <c r="I8231" s="25">
        <v>56.52</v>
      </c>
      <c r="J8231" s="379">
        <v>4.1732751386850317</v>
      </c>
    </row>
    <row r="8232" spans="1:10" x14ac:dyDescent="0.35">
      <c r="A8232" s="5">
        <v>8228</v>
      </c>
      <c r="B8232" s="5">
        <v>343</v>
      </c>
      <c r="C8232" s="5">
        <v>12</v>
      </c>
      <c r="D8232" s="379">
        <v>116.69</v>
      </c>
      <c r="E8232" s="25">
        <v>28.12</v>
      </c>
      <c r="F8232" s="379">
        <v>5.763898954636189</v>
      </c>
      <c r="G8232" s="25">
        <v>58.63</v>
      </c>
      <c r="H8232" s="379">
        <v>0.33724525728902727</v>
      </c>
      <c r="I8232" s="25">
        <v>54.87</v>
      </c>
      <c r="J8232" s="379">
        <v>4.1732751386850317</v>
      </c>
    </row>
    <row r="8233" spans="1:10" x14ac:dyDescent="0.35">
      <c r="A8233" s="5">
        <v>8229</v>
      </c>
      <c r="B8233" s="5">
        <v>343</v>
      </c>
      <c r="C8233" s="5">
        <v>12</v>
      </c>
      <c r="D8233" s="379">
        <v>110.51777777777777</v>
      </c>
      <c r="E8233" s="25">
        <v>26.51</v>
      </c>
      <c r="F8233" s="379">
        <v>5.3670030597423102</v>
      </c>
      <c r="G8233" s="25">
        <v>52.67</v>
      </c>
      <c r="H8233" s="379">
        <v>0.32712708214139113</v>
      </c>
      <c r="I8233" s="25">
        <v>49.08</v>
      </c>
      <c r="J8233" s="379">
        <v>4.1732751386850317</v>
      </c>
    </row>
    <row r="8234" spans="1:10" x14ac:dyDescent="0.35">
      <c r="A8234" s="5">
        <v>8230</v>
      </c>
      <c r="B8234" s="5">
        <v>343</v>
      </c>
      <c r="C8234" s="5">
        <v>12</v>
      </c>
      <c r="D8234" s="379">
        <v>98.017777777777766</v>
      </c>
      <c r="E8234" s="25">
        <v>25.74</v>
      </c>
      <c r="F8234" s="379">
        <v>5.2440379871726108</v>
      </c>
      <c r="G8234" s="25">
        <v>48.88</v>
      </c>
      <c r="H8234" s="379">
        <v>0.12373113136955102</v>
      </c>
      <c r="I8234" s="25">
        <v>48.59</v>
      </c>
      <c r="J8234" s="379">
        <v>4.1732751386850317</v>
      </c>
    </row>
    <row r="8235" spans="1:10" x14ac:dyDescent="0.35">
      <c r="A8235" s="5">
        <v>8231</v>
      </c>
      <c r="B8235" s="5">
        <v>343</v>
      </c>
      <c r="C8235" s="5">
        <v>12</v>
      </c>
      <c r="D8235" s="379">
        <v>91.220555555555578</v>
      </c>
      <c r="E8235" s="25">
        <v>25.59</v>
      </c>
      <c r="F8235" s="379">
        <v>4.6656832641618173</v>
      </c>
      <c r="G8235" s="25">
        <v>48.88</v>
      </c>
      <c r="H8235" s="379">
        <v>0.31492246659597928</v>
      </c>
      <c r="I8235" s="25">
        <v>36.869999999999997</v>
      </c>
      <c r="J8235" s="379">
        <v>4.1732751386850317</v>
      </c>
    </row>
    <row r="8236" spans="1:10" x14ac:dyDescent="0.35">
      <c r="A8236" s="5">
        <v>8232</v>
      </c>
      <c r="B8236" s="5">
        <v>343</v>
      </c>
      <c r="C8236" s="5">
        <v>12</v>
      </c>
      <c r="D8236" s="379">
        <v>84.513333333333335</v>
      </c>
      <c r="E8236" s="25">
        <v>25.29</v>
      </c>
      <c r="F8236" s="379">
        <v>4.9312488780606829</v>
      </c>
      <c r="G8236" s="25">
        <v>44.77</v>
      </c>
      <c r="H8236" s="379">
        <v>0.2562433719362377</v>
      </c>
      <c r="I8236" s="25">
        <v>33.67</v>
      </c>
      <c r="J8236" s="379">
        <v>0.61996475989540667</v>
      </c>
    </row>
    <row r="8237" spans="1:10" x14ac:dyDescent="0.35">
      <c r="A8237" s="5">
        <v>8233</v>
      </c>
      <c r="B8237" s="5">
        <v>344</v>
      </c>
      <c r="C8237" s="5">
        <v>12</v>
      </c>
      <c r="D8237" s="379">
        <v>84.522777777777776</v>
      </c>
      <c r="E8237" s="25">
        <v>24.84</v>
      </c>
      <c r="F8237" s="379">
        <v>3.653460245482858</v>
      </c>
      <c r="G8237" s="25">
        <v>43.56</v>
      </c>
      <c r="H8237" s="379">
        <v>0.24378210165516884</v>
      </c>
      <c r="I8237" s="25">
        <v>33.67</v>
      </c>
      <c r="J8237" s="379">
        <v>4.1732751386850317</v>
      </c>
    </row>
    <row r="8238" spans="1:10" x14ac:dyDescent="0.35">
      <c r="A8238" s="5">
        <v>8234</v>
      </c>
      <c r="B8238" s="5">
        <v>344</v>
      </c>
      <c r="C8238" s="5">
        <v>12</v>
      </c>
      <c r="D8238" s="379">
        <v>83.408333333333331</v>
      </c>
      <c r="E8238" s="25">
        <v>24.84</v>
      </c>
      <c r="F8238" s="379">
        <v>4.3964755697959808</v>
      </c>
      <c r="G8238" s="25">
        <v>43.47</v>
      </c>
      <c r="H8238" s="379">
        <v>0.24320325684874536</v>
      </c>
      <c r="I8238" s="25">
        <v>33.67</v>
      </c>
      <c r="J8238" s="379">
        <v>4.1732751386850317</v>
      </c>
    </row>
    <row r="8239" spans="1:10" x14ac:dyDescent="0.35">
      <c r="A8239" s="5">
        <v>8235</v>
      </c>
      <c r="B8239" s="5">
        <v>344</v>
      </c>
      <c r="C8239" s="5">
        <v>12</v>
      </c>
      <c r="D8239" s="379">
        <v>80.538333333333327</v>
      </c>
      <c r="E8239" s="25">
        <v>24.84</v>
      </c>
      <c r="F8239" s="379">
        <v>3.7498188941215065</v>
      </c>
      <c r="G8239" s="25">
        <v>43.47</v>
      </c>
      <c r="H8239" s="379">
        <v>0.27747077836575668</v>
      </c>
      <c r="I8239" s="25">
        <v>33.67</v>
      </c>
      <c r="J8239" s="379">
        <v>1.1834308840816727</v>
      </c>
    </row>
    <row r="8240" spans="1:10" x14ac:dyDescent="0.35">
      <c r="A8240" s="5">
        <v>8236</v>
      </c>
      <c r="B8240" s="5">
        <v>344</v>
      </c>
      <c r="C8240" s="5">
        <v>12</v>
      </c>
      <c r="D8240" s="379">
        <v>79.053888888888864</v>
      </c>
      <c r="E8240" s="25">
        <v>24.84</v>
      </c>
      <c r="F8240" s="379">
        <v>4.2286317568278875</v>
      </c>
      <c r="G8240" s="25">
        <v>42.17</v>
      </c>
      <c r="H8240" s="379">
        <v>0.26281462185572818</v>
      </c>
      <c r="I8240" s="25">
        <v>33.67</v>
      </c>
      <c r="J8240" s="379">
        <v>1.132148654217251</v>
      </c>
    </row>
    <row r="8241" spans="1:10" x14ac:dyDescent="0.35">
      <c r="A8241" s="5">
        <v>8237</v>
      </c>
      <c r="B8241" s="5">
        <v>344</v>
      </c>
      <c r="C8241" s="5">
        <v>12</v>
      </c>
      <c r="D8241" s="379">
        <v>79.286111111111111</v>
      </c>
      <c r="E8241" s="25">
        <v>24.84</v>
      </c>
      <c r="F8241" s="379">
        <v>4.1448161873630269</v>
      </c>
      <c r="G8241" s="25">
        <v>43.47</v>
      </c>
      <c r="H8241" s="379">
        <v>0.20047064497858172</v>
      </c>
      <c r="I8241" s="25">
        <v>33.67</v>
      </c>
      <c r="J8241" s="379">
        <v>4.1732751386850317</v>
      </c>
    </row>
    <row r="8242" spans="1:10" x14ac:dyDescent="0.35">
      <c r="A8242" s="5">
        <v>8238</v>
      </c>
      <c r="B8242" s="5">
        <v>344</v>
      </c>
      <c r="C8242" s="5">
        <v>12</v>
      </c>
      <c r="D8242" s="379">
        <v>80.597222222222214</v>
      </c>
      <c r="E8242" s="25">
        <v>24.84</v>
      </c>
      <c r="F8242" s="379">
        <v>3.033641032167985</v>
      </c>
      <c r="G8242" s="25">
        <v>43.47</v>
      </c>
      <c r="H8242" s="379">
        <v>0.24594296065585275</v>
      </c>
      <c r="I8242" s="25">
        <v>33.67</v>
      </c>
      <c r="J8242" s="379">
        <v>4.1732751386850317</v>
      </c>
    </row>
    <row r="8243" spans="1:10" x14ac:dyDescent="0.35">
      <c r="A8243" s="5">
        <v>8239</v>
      </c>
      <c r="B8243" s="5">
        <v>344</v>
      </c>
      <c r="C8243" s="5">
        <v>12</v>
      </c>
      <c r="D8243" s="379">
        <v>82.987777777777765</v>
      </c>
      <c r="E8243" s="25">
        <v>25.29</v>
      </c>
      <c r="F8243" s="379">
        <v>4.1828361302305161</v>
      </c>
      <c r="G8243" s="25">
        <v>44.77</v>
      </c>
      <c r="H8243" s="379">
        <v>2.777777777777778E-2</v>
      </c>
      <c r="I8243" s="25">
        <v>33.67</v>
      </c>
      <c r="J8243" s="379">
        <v>4.1732751386850317</v>
      </c>
    </row>
    <row r="8244" spans="1:10" x14ac:dyDescent="0.35">
      <c r="A8244" s="5">
        <v>8240</v>
      </c>
      <c r="B8244" s="5">
        <v>344</v>
      </c>
      <c r="C8244" s="5">
        <v>12</v>
      </c>
      <c r="D8244" s="379">
        <v>87.209444444444443</v>
      </c>
      <c r="E8244" s="25">
        <v>26.05</v>
      </c>
      <c r="F8244" s="379">
        <v>4.5177125240766873</v>
      </c>
      <c r="G8244" s="25">
        <v>49.65</v>
      </c>
      <c r="H8244" s="379">
        <v>2.777777777777778E-2</v>
      </c>
      <c r="I8244" s="25">
        <v>34.75</v>
      </c>
      <c r="J8244" s="379">
        <v>3.3700699173310721E-2</v>
      </c>
    </row>
    <row r="8245" spans="1:10" x14ac:dyDescent="0.35">
      <c r="A8245" s="5">
        <v>8241</v>
      </c>
      <c r="B8245" s="5">
        <v>344</v>
      </c>
      <c r="C8245" s="5">
        <v>12</v>
      </c>
      <c r="D8245" s="379">
        <v>92.965555555555554</v>
      </c>
      <c r="E8245" s="25">
        <v>26.5</v>
      </c>
      <c r="F8245" s="379">
        <v>7.717928878167994</v>
      </c>
      <c r="G8245" s="25">
        <v>51.14</v>
      </c>
      <c r="H8245" s="379">
        <v>0.16982209173825114</v>
      </c>
      <c r="I8245" s="25">
        <v>34.75</v>
      </c>
      <c r="J8245" s="379">
        <v>4.1732751386850317</v>
      </c>
    </row>
    <row r="8246" spans="1:10" x14ac:dyDescent="0.35">
      <c r="A8246" s="5">
        <v>8242</v>
      </c>
      <c r="B8246" s="5">
        <v>344</v>
      </c>
      <c r="C8246" s="5">
        <v>12</v>
      </c>
      <c r="D8246" s="379">
        <v>102.99666666666666</v>
      </c>
      <c r="E8246" s="25">
        <v>26.05</v>
      </c>
      <c r="F8246" s="379">
        <v>7.8356475219010404</v>
      </c>
      <c r="G8246" s="25">
        <v>51.14</v>
      </c>
      <c r="H8246" s="379">
        <v>5.7024696324791471E-2</v>
      </c>
      <c r="I8246" s="25">
        <v>34.75</v>
      </c>
      <c r="J8246" s="379">
        <v>4.2165528406562487</v>
      </c>
    </row>
    <row r="8247" spans="1:10" x14ac:dyDescent="0.35">
      <c r="A8247" s="5">
        <v>8243</v>
      </c>
      <c r="B8247" s="5">
        <v>344</v>
      </c>
      <c r="C8247" s="5">
        <v>12</v>
      </c>
      <c r="D8247" s="379">
        <v>106.38222222222223</v>
      </c>
      <c r="E8247" s="25">
        <v>25.74</v>
      </c>
      <c r="F8247" s="379">
        <v>7.601000805218936</v>
      </c>
      <c r="G8247" s="25">
        <v>48.88</v>
      </c>
      <c r="H8247" s="379">
        <v>0.26928203580611143</v>
      </c>
      <c r="I8247" s="25">
        <v>34.25</v>
      </c>
      <c r="J8247" s="379">
        <v>3.1533273497274532</v>
      </c>
    </row>
    <row r="8248" spans="1:10" x14ac:dyDescent="0.35">
      <c r="A8248" s="5">
        <v>8244</v>
      </c>
      <c r="B8248" s="5">
        <v>344</v>
      </c>
      <c r="C8248" s="5">
        <v>12</v>
      </c>
      <c r="D8248" s="379">
        <v>104.35055555555553</v>
      </c>
      <c r="E8248" s="25">
        <v>25.74</v>
      </c>
      <c r="F8248" s="379">
        <v>6.5713090508755769</v>
      </c>
      <c r="G8248" s="25">
        <v>48.88</v>
      </c>
      <c r="H8248" s="379">
        <v>0.18870607108239429</v>
      </c>
      <c r="I8248" s="25">
        <v>33.67</v>
      </c>
      <c r="J8248" s="379">
        <v>3.3642627184929834</v>
      </c>
    </row>
    <row r="8249" spans="1:10" x14ac:dyDescent="0.35">
      <c r="A8249" s="5">
        <v>8245</v>
      </c>
      <c r="B8249" s="5">
        <v>344</v>
      </c>
      <c r="C8249" s="5">
        <v>12</v>
      </c>
      <c r="D8249" s="379">
        <v>101.01277777777779</v>
      </c>
      <c r="E8249" s="25">
        <v>25.59</v>
      </c>
      <c r="F8249" s="379">
        <v>3.6086721551497836</v>
      </c>
      <c r="G8249" s="25">
        <v>46.28</v>
      </c>
      <c r="H8249" s="379">
        <v>0.31720985886348474</v>
      </c>
      <c r="I8249" s="25">
        <v>33.67</v>
      </c>
      <c r="J8249" s="379">
        <v>2.7818713314438672</v>
      </c>
    </row>
    <row r="8250" spans="1:10" x14ac:dyDescent="0.35">
      <c r="A8250" s="5">
        <v>8246</v>
      </c>
      <c r="B8250" s="5">
        <v>344</v>
      </c>
      <c r="C8250" s="5">
        <v>12</v>
      </c>
      <c r="D8250" s="379">
        <v>97.49666666666667</v>
      </c>
      <c r="E8250" s="25">
        <v>25.59</v>
      </c>
      <c r="F8250" s="379">
        <v>6.734743113349249</v>
      </c>
      <c r="G8250" s="25">
        <v>45.78</v>
      </c>
      <c r="H8250" s="379">
        <v>0.42631296668481639</v>
      </c>
      <c r="I8250" s="25">
        <v>33.67</v>
      </c>
      <c r="J8250" s="379">
        <v>2.7818713314438672</v>
      </c>
    </row>
    <row r="8251" spans="1:10" x14ac:dyDescent="0.35">
      <c r="A8251" s="5">
        <v>8247</v>
      </c>
      <c r="B8251" s="5">
        <v>344</v>
      </c>
      <c r="C8251" s="5">
        <v>12</v>
      </c>
      <c r="D8251" s="379">
        <v>98.545555555555552</v>
      </c>
      <c r="E8251" s="25">
        <v>25.59</v>
      </c>
      <c r="F8251" s="379">
        <v>6.857279823602366</v>
      </c>
      <c r="G8251" s="25">
        <v>46.11</v>
      </c>
      <c r="H8251" s="379">
        <v>0.43406881729709945</v>
      </c>
      <c r="I8251" s="25">
        <v>33.67</v>
      </c>
      <c r="J8251" s="379">
        <v>2.7818713314438672</v>
      </c>
    </row>
    <row r="8252" spans="1:10" x14ac:dyDescent="0.35">
      <c r="A8252" s="5">
        <v>8248</v>
      </c>
      <c r="B8252" s="5">
        <v>344</v>
      </c>
      <c r="C8252" s="5">
        <v>12</v>
      </c>
      <c r="D8252" s="379">
        <v>102.82111111111109</v>
      </c>
      <c r="E8252" s="25">
        <v>25.74</v>
      </c>
      <c r="F8252" s="379">
        <v>8.1174834595959577</v>
      </c>
      <c r="G8252" s="25">
        <v>46.11</v>
      </c>
      <c r="H8252" s="379">
        <v>0.57942148046397302</v>
      </c>
      <c r="I8252" s="25">
        <v>33.74</v>
      </c>
      <c r="J8252" s="379">
        <v>4.4287110861286889</v>
      </c>
    </row>
    <row r="8253" spans="1:10" x14ac:dyDescent="0.35">
      <c r="A8253" s="5">
        <v>8249</v>
      </c>
      <c r="B8253" s="5">
        <v>344</v>
      </c>
      <c r="C8253" s="5">
        <v>12</v>
      </c>
      <c r="D8253" s="379">
        <v>108.03333333333332</v>
      </c>
      <c r="E8253" s="25">
        <v>25.74</v>
      </c>
      <c r="F8253" s="379">
        <v>8.7613126241472248</v>
      </c>
      <c r="G8253" s="25">
        <v>48.2</v>
      </c>
      <c r="H8253" s="379">
        <v>0.59003196636353372</v>
      </c>
      <c r="I8253" s="25">
        <v>35.799999999999997</v>
      </c>
      <c r="J8253" s="379">
        <v>4.1067302920097495</v>
      </c>
    </row>
    <row r="8254" spans="1:10" x14ac:dyDescent="0.35">
      <c r="A8254" s="5">
        <v>8250</v>
      </c>
      <c r="B8254" s="5">
        <v>344</v>
      </c>
      <c r="C8254" s="5">
        <v>12</v>
      </c>
      <c r="D8254" s="379">
        <v>114.31555555555556</v>
      </c>
      <c r="E8254" s="25">
        <v>26.51</v>
      </c>
      <c r="F8254" s="379">
        <v>8.6065685697855212</v>
      </c>
      <c r="G8254" s="25">
        <v>51.9</v>
      </c>
      <c r="H8254" s="379">
        <v>0.59398423651297871</v>
      </c>
      <c r="I8254" s="25">
        <v>42.11</v>
      </c>
      <c r="J8254" s="379">
        <v>4.5819926906052304</v>
      </c>
    </row>
    <row r="8255" spans="1:10" x14ac:dyDescent="0.35">
      <c r="A8255" s="5">
        <v>8251</v>
      </c>
      <c r="B8255" s="5">
        <v>344</v>
      </c>
      <c r="C8255" s="5">
        <v>12</v>
      </c>
      <c r="D8255" s="379">
        <v>111.37333333333333</v>
      </c>
      <c r="E8255" s="25">
        <v>26.51</v>
      </c>
      <c r="F8255" s="379">
        <v>8.7539618376187605</v>
      </c>
      <c r="G8255" s="25">
        <v>51.14</v>
      </c>
      <c r="H8255" s="379">
        <v>0.52701974832631993</v>
      </c>
      <c r="I8255" s="25">
        <v>35.799999999999997</v>
      </c>
      <c r="J8255" s="379">
        <v>3.038785518575347</v>
      </c>
    </row>
    <row r="8256" spans="1:10" x14ac:dyDescent="0.35">
      <c r="A8256" s="5">
        <v>8252</v>
      </c>
      <c r="B8256" s="5">
        <v>344</v>
      </c>
      <c r="C8256" s="5">
        <v>12</v>
      </c>
      <c r="D8256" s="379">
        <v>106</v>
      </c>
      <c r="E8256" s="25">
        <v>25.74</v>
      </c>
      <c r="F8256" s="379">
        <v>8.9309303578751145</v>
      </c>
      <c r="G8256" s="25">
        <v>48.88</v>
      </c>
      <c r="H8256" s="379">
        <v>0.57413424883815523</v>
      </c>
      <c r="I8256" s="25">
        <v>35.799999999999997</v>
      </c>
      <c r="J8256" s="379">
        <v>4.2055497445853689</v>
      </c>
    </row>
    <row r="8257" spans="1:10" x14ac:dyDescent="0.35">
      <c r="A8257" s="5">
        <v>8253</v>
      </c>
      <c r="B8257" s="5">
        <v>344</v>
      </c>
      <c r="C8257" s="5">
        <v>12</v>
      </c>
      <c r="D8257" s="379">
        <v>91.143333333333331</v>
      </c>
      <c r="E8257" s="25">
        <v>25.29</v>
      </c>
      <c r="F8257" s="379">
        <v>8.1174834595959595</v>
      </c>
      <c r="G8257" s="25">
        <v>44.77</v>
      </c>
      <c r="H8257" s="379">
        <v>0.57095407988197666</v>
      </c>
      <c r="I8257" s="25">
        <v>33.67</v>
      </c>
      <c r="J8257" s="379">
        <v>2.5934363736013131</v>
      </c>
    </row>
    <row r="8258" spans="1:10" x14ac:dyDescent="0.35">
      <c r="A8258" s="5">
        <v>8254</v>
      </c>
      <c r="B8258" s="5">
        <v>344</v>
      </c>
      <c r="C8258" s="5">
        <v>12</v>
      </c>
      <c r="D8258" s="379">
        <v>84.679444444444442</v>
      </c>
      <c r="E8258" s="25">
        <v>24.84</v>
      </c>
      <c r="F8258" s="379">
        <v>8.1174834595959595</v>
      </c>
      <c r="G8258" s="25">
        <v>43.62</v>
      </c>
      <c r="H8258" s="379">
        <v>0.54334417801542012</v>
      </c>
      <c r="I8258" s="25">
        <v>33.67</v>
      </c>
      <c r="J8258" s="379">
        <v>3.4937262541092187</v>
      </c>
    </row>
    <row r="8259" spans="1:10" x14ac:dyDescent="0.35">
      <c r="A8259" s="5">
        <v>8255</v>
      </c>
      <c r="B8259" s="5">
        <v>344</v>
      </c>
      <c r="C8259" s="5">
        <v>12</v>
      </c>
      <c r="D8259" s="379">
        <v>81.501111111111115</v>
      </c>
      <c r="E8259" s="25">
        <v>24.84</v>
      </c>
      <c r="F8259" s="379">
        <v>7.7718770245976518</v>
      </c>
      <c r="G8259" s="25">
        <v>43.56</v>
      </c>
      <c r="H8259" s="379">
        <v>0.48910470108973536</v>
      </c>
      <c r="I8259" s="25">
        <v>33.67</v>
      </c>
      <c r="J8259" s="379">
        <v>3.7840116149347849</v>
      </c>
    </row>
    <row r="8260" spans="1:10" x14ac:dyDescent="0.35">
      <c r="A8260" s="5">
        <v>8256</v>
      </c>
      <c r="B8260" s="5">
        <v>344</v>
      </c>
      <c r="C8260" s="5">
        <v>12</v>
      </c>
      <c r="D8260" s="379">
        <v>79.646666666666647</v>
      </c>
      <c r="E8260" s="25">
        <v>24.84</v>
      </c>
      <c r="F8260" s="379">
        <v>4.8304338866286649</v>
      </c>
      <c r="G8260" s="25">
        <v>43.47</v>
      </c>
      <c r="H8260" s="379">
        <v>0.34859286079450241</v>
      </c>
      <c r="I8260" s="25">
        <v>33.67</v>
      </c>
      <c r="J8260" s="379">
        <v>1.8660660377821094</v>
      </c>
    </row>
    <row r="8261" spans="1:10" x14ac:dyDescent="0.35">
      <c r="A8261" s="5">
        <v>8257</v>
      </c>
      <c r="B8261" s="5">
        <v>345</v>
      </c>
      <c r="C8261" s="5">
        <v>12</v>
      </c>
      <c r="D8261" s="379">
        <v>79.418333333333337</v>
      </c>
      <c r="E8261" s="25">
        <v>24.84</v>
      </c>
      <c r="F8261" s="379">
        <v>4.8632661786984093</v>
      </c>
      <c r="G8261" s="25">
        <v>34.08</v>
      </c>
      <c r="H8261" s="379">
        <v>0.31224749201001473</v>
      </c>
      <c r="I8261" s="25">
        <v>33.67</v>
      </c>
      <c r="J8261" s="379">
        <v>4.1290589573107566</v>
      </c>
    </row>
    <row r="8262" spans="1:10" x14ac:dyDescent="0.35">
      <c r="A8262" s="5">
        <v>8258</v>
      </c>
      <c r="B8262" s="5">
        <v>345</v>
      </c>
      <c r="C8262" s="5">
        <v>12</v>
      </c>
      <c r="D8262" s="379">
        <v>77.86166666666665</v>
      </c>
      <c r="E8262" s="25">
        <v>24.84</v>
      </c>
      <c r="F8262" s="379">
        <v>3.9754582782449797</v>
      </c>
      <c r="G8262" s="25">
        <v>34.08</v>
      </c>
      <c r="H8262" s="379">
        <v>0.32220470828265185</v>
      </c>
      <c r="I8262" s="25">
        <v>33.67</v>
      </c>
      <c r="J8262" s="379">
        <v>1.2586202945509388</v>
      </c>
    </row>
    <row r="8263" spans="1:10" x14ac:dyDescent="0.35">
      <c r="A8263" s="5">
        <v>8259</v>
      </c>
      <c r="B8263" s="5">
        <v>345</v>
      </c>
      <c r="C8263" s="5">
        <v>12</v>
      </c>
      <c r="D8263" s="379">
        <v>76.141666666666666</v>
      </c>
      <c r="E8263" s="25">
        <v>24.84</v>
      </c>
      <c r="F8263" s="379">
        <v>3.9754582782449797</v>
      </c>
      <c r="G8263" s="25">
        <v>34.08</v>
      </c>
      <c r="H8263" s="379">
        <v>0.31609583727353607</v>
      </c>
      <c r="I8263" s="25">
        <v>33.67</v>
      </c>
      <c r="J8263" s="379">
        <v>3.7613056263857572</v>
      </c>
    </row>
    <row r="8264" spans="1:10" x14ac:dyDescent="0.35">
      <c r="A8264" s="5">
        <v>8260</v>
      </c>
      <c r="B8264" s="5">
        <v>345</v>
      </c>
      <c r="C8264" s="5">
        <v>12</v>
      </c>
      <c r="D8264" s="379">
        <v>73.252777777777766</v>
      </c>
      <c r="E8264" s="25">
        <v>24.73</v>
      </c>
      <c r="F8264" s="379">
        <v>3.9754582782449797</v>
      </c>
      <c r="G8264" s="25">
        <v>33.090000000000003</v>
      </c>
      <c r="H8264" s="379">
        <v>0.31134088723672804</v>
      </c>
      <c r="I8264" s="25">
        <v>33.67</v>
      </c>
      <c r="J8264" s="379">
        <v>2.1611560079962726</v>
      </c>
    </row>
    <row r="8265" spans="1:10" x14ac:dyDescent="0.35">
      <c r="A8265" s="5">
        <v>8261</v>
      </c>
      <c r="B8265" s="5">
        <v>345</v>
      </c>
      <c r="C8265" s="5">
        <v>12</v>
      </c>
      <c r="D8265" s="379">
        <v>72.461111111111109</v>
      </c>
      <c r="E8265" s="25">
        <v>24.73</v>
      </c>
      <c r="F8265" s="379">
        <v>3.9153814114589838</v>
      </c>
      <c r="G8265" s="25">
        <v>34.08</v>
      </c>
      <c r="H8265" s="379">
        <v>0.31136276409839153</v>
      </c>
      <c r="I8265" s="25">
        <v>33.67</v>
      </c>
      <c r="J8265" s="379">
        <v>0.34776988275484494</v>
      </c>
    </row>
    <row r="8266" spans="1:10" x14ac:dyDescent="0.35">
      <c r="A8266" s="5">
        <v>8262</v>
      </c>
      <c r="B8266" s="5">
        <v>345</v>
      </c>
      <c r="C8266" s="5">
        <v>12</v>
      </c>
      <c r="D8266" s="379">
        <v>72.705555555555563</v>
      </c>
      <c r="E8266" s="25">
        <v>24.84</v>
      </c>
      <c r="F8266" s="379">
        <v>4.3709526320901322</v>
      </c>
      <c r="G8266" s="25">
        <v>34.08</v>
      </c>
      <c r="H8266" s="379">
        <v>0.27510731562377627</v>
      </c>
      <c r="I8266" s="25">
        <v>33.67</v>
      </c>
      <c r="J8266" s="379">
        <v>0.37389000373402204</v>
      </c>
    </row>
    <row r="8267" spans="1:10" x14ac:dyDescent="0.35">
      <c r="A8267" s="5">
        <v>8263</v>
      </c>
      <c r="B8267" s="5">
        <v>345</v>
      </c>
      <c r="C8267" s="5">
        <v>12</v>
      </c>
      <c r="D8267" s="379">
        <v>75.288333333333341</v>
      </c>
      <c r="E8267" s="25">
        <v>24.84</v>
      </c>
      <c r="F8267" s="379">
        <v>3.8613827223209518</v>
      </c>
      <c r="G8267" s="25">
        <v>34.08</v>
      </c>
      <c r="H8267" s="379">
        <v>0.25981944438292293</v>
      </c>
      <c r="I8267" s="25">
        <v>33.67</v>
      </c>
      <c r="J8267" s="379">
        <v>2.9726313708257415</v>
      </c>
    </row>
    <row r="8268" spans="1:10" x14ac:dyDescent="0.35">
      <c r="A8268" s="5">
        <v>8264</v>
      </c>
      <c r="B8268" s="5">
        <v>345</v>
      </c>
      <c r="C8268" s="5">
        <v>12</v>
      </c>
      <c r="D8268" s="379">
        <v>74.483333333333334</v>
      </c>
      <c r="E8268" s="25">
        <v>24.84</v>
      </c>
      <c r="F8268" s="379">
        <v>8.1174834595959595</v>
      </c>
      <c r="G8268" s="25">
        <v>34.43</v>
      </c>
      <c r="H8268" s="379">
        <v>0.57143554414215958</v>
      </c>
      <c r="I8268" s="25">
        <v>33.67</v>
      </c>
      <c r="J8268" s="379">
        <v>2.3240598422762822</v>
      </c>
    </row>
    <row r="8269" spans="1:10" x14ac:dyDescent="0.35">
      <c r="A8269" s="5">
        <v>8265</v>
      </c>
      <c r="B8269" s="5">
        <v>345</v>
      </c>
      <c r="C8269" s="5">
        <v>12</v>
      </c>
      <c r="D8269" s="379">
        <v>77.906111111111102</v>
      </c>
      <c r="E8269" s="25">
        <v>24.84</v>
      </c>
      <c r="F8269" s="379">
        <v>8.1174834595959595</v>
      </c>
      <c r="G8269" s="25">
        <v>42.19</v>
      </c>
      <c r="H8269" s="379">
        <v>0.6284145652633496</v>
      </c>
      <c r="I8269" s="25">
        <v>33.67</v>
      </c>
      <c r="J8269" s="379">
        <v>3.0832511837467926</v>
      </c>
    </row>
    <row r="8270" spans="1:10" x14ac:dyDescent="0.35">
      <c r="A8270" s="5">
        <v>8266</v>
      </c>
      <c r="B8270" s="5">
        <v>345</v>
      </c>
      <c r="C8270" s="5">
        <v>12</v>
      </c>
      <c r="D8270" s="379">
        <v>84.362222222222201</v>
      </c>
      <c r="E8270" s="25">
        <v>25.29</v>
      </c>
      <c r="F8270" s="379">
        <v>8.1174834595959577</v>
      </c>
      <c r="G8270" s="25">
        <v>43.39</v>
      </c>
      <c r="H8270" s="379">
        <v>0.47609138971644765</v>
      </c>
      <c r="I8270" s="25">
        <v>34.07</v>
      </c>
      <c r="J8270" s="379">
        <v>4.0014784636105842</v>
      </c>
    </row>
    <row r="8271" spans="1:10" x14ac:dyDescent="0.35">
      <c r="A8271" s="5">
        <v>8267</v>
      </c>
      <c r="B8271" s="5">
        <v>345</v>
      </c>
      <c r="C8271" s="5">
        <v>12</v>
      </c>
      <c r="D8271" s="379">
        <v>87.329444444444434</v>
      </c>
      <c r="E8271" s="25">
        <v>25.29</v>
      </c>
      <c r="F8271" s="379">
        <v>7.0064305338950739</v>
      </c>
      <c r="G8271" s="25">
        <v>44.69</v>
      </c>
      <c r="H8271" s="379">
        <v>0.4722222222222221</v>
      </c>
      <c r="I8271" s="25">
        <v>34.07</v>
      </c>
      <c r="J8271" s="379">
        <v>3.9054653824663248</v>
      </c>
    </row>
    <row r="8272" spans="1:10" x14ac:dyDescent="0.35">
      <c r="A8272" s="5">
        <v>8268</v>
      </c>
      <c r="B8272" s="5">
        <v>345</v>
      </c>
      <c r="C8272" s="5">
        <v>12</v>
      </c>
      <c r="D8272" s="379">
        <v>89.692222222222213</v>
      </c>
      <c r="E8272" s="25">
        <v>25.29</v>
      </c>
      <c r="F8272" s="379">
        <v>6.7878167407280268</v>
      </c>
      <c r="G8272" s="25">
        <v>44.69</v>
      </c>
      <c r="H8272" s="379">
        <v>0.47222222222222215</v>
      </c>
      <c r="I8272" s="25">
        <v>34.25</v>
      </c>
      <c r="J8272" s="379">
        <v>3.7958532496105364</v>
      </c>
    </row>
    <row r="8273" spans="1:10" x14ac:dyDescent="0.35">
      <c r="A8273" s="5">
        <v>8269</v>
      </c>
      <c r="B8273" s="5">
        <v>345</v>
      </c>
      <c r="C8273" s="5">
        <v>12</v>
      </c>
      <c r="D8273" s="379">
        <v>91.129444444444431</v>
      </c>
      <c r="E8273" s="25">
        <v>25.29</v>
      </c>
      <c r="F8273" s="379">
        <v>7.101481368727188</v>
      </c>
      <c r="G8273" s="25">
        <v>43.39</v>
      </c>
      <c r="H8273" s="379">
        <v>0.4722222222222221</v>
      </c>
      <c r="I8273" s="25">
        <v>34.25</v>
      </c>
      <c r="J8273" s="379">
        <v>3.4987824583248153</v>
      </c>
    </row>
    <row r="8274" spans="1:10" x14ac:dyDescent="0.35">
      <c r="A8274" s="5">
        <v>8270</v>
      </c>
      <c r="B8274" s="5">
        <v>345</v>
      </c>
      <c r="C8274" s="5">
        <v>12</v>
      </c>
      <c r="D8274" s="379">
        <v>87.830555555555549</v>
      </c>
      <c r="E8274" s="25">
        <v>24.99</v>
      </c>
      <c r="F8274" s="379">
        <v>7.0537584052796154</v>
      </c>
      <c r="G8274" s="25">
        <v>42.17</v>
      </c>
      <c r="H8274" s="379">
        <v>0.47222222222222221</v>
      </c>
      <c r="I8274" s="25">
        <v>34.07</v>
      </c>
      <c r="J8274" s="379">
        <v>1.6182876255490062</v>
      </c>
    </row>
    <row r="8275" spans="1:10" x14ac:dyDescent="0.35">
      <c r="A8275" s="5">
        <v>8271</v>
      </c>
      <c r="B8275" s="5">
        <v>345</v>
      </c>
      <c r="C8275" s="5">
        <v>12</v>
      </c>
      <c r="D8275" s="379">
        <v>88.281666666666652</v>
      </c>
      <c r="E8275" s="25">
        <v>24.99</v>
      </c>
      <c r="F8275" s="379">
        <v>7.0474401026542903</v>
      </c>
      <c r="G8275" s="25">
        <v>42.17</v>
      </c>
      <c r="H8275" s="379">
        <v>0.47222222222222215</v>
      </c>
      <c r="I8275" s="25">
        <v>34.01</v>
      </c>
      <c r="J8275" s="379">
        <v>4.767559691835709</v>
      </c>
    </row>
    <row r="8276" spans="1:10" x14ac:dyDescent="0.35">
      <c r="A8276" s="5">
        <v>8272</v>
      </c>
      <c r="B8276" s="5">
        <v>345</v>
      </c>
      <c r="C8276" s="5">
        <v>12</v>
      </c>
      <c r="D8276" s="379">
        <v>90.286111111111111</v>
      </c>
      <c r="E8276" s="25">
        <v>24.99</v>
      </c>
      <c r="F8276" s="379">
        <v>8.1174834595959577</v>
      </c>
      <c r="G8276" s="25">
        <v>42.17</v>
      </c>
      <c r="H8276" s="379">
        <v>0.4722222222222221</v>
      </c>
      <c r="I8276" s="25">
        <v>34.01</v>
      </c>
      <c r="J8276" s="379">
        <v>4.4393325280880385</v>
      </c>
    </row>
    <row r="8277" spans="1:10" x14ac:dyDescent="0.35">
      <c r="A8277" s="5">
        <v>8273</v>
      </c>
      <c r="B8277" s="5">
        <v>345</v>
      </c>
      <c r="C8277" s="5">
        <v>12</v>
      </c>
      <c r="D8277" s="379">
        <v>100.36944444444445</v>
      </c>
      <c r="E8277" s="25">
        <v>24.99</v>
      </c>
      <c r="F8277" s="379">
        <v>8.1174834595959595</v>
      </c>
      <c r="G8277" s="25">
        <v>44.69</v>
      </c>
      <c r="H8277" s="379">
        <v>0.65808670058311347</v>
      </c>
      <c r="I8277" s="25">
        <v>34.01</v>
      </c>
      <c r="J8277" s="379">
        <v>0.88811480312664082</v>
      </c>
    </row>
    <row r="8278" spans="1:10" x14ac:dyDescent="0.35">
      <c r="A8278" s="5">
        <v>8274</v>
      </c>
      <c r="B8278" s="5">
        <v>345</v>
      </c>
      <c r="C8278" s="5">
        <v>12</v>
      </c>
      <c r="D8278" s="379">
        <v>112.095</v>
      </c>
      <c r="E8278" s="25">
        <v>25.74</v>
      </c>
      <c r="F8278" s="379">
        <v>8.8498360824444635</v>
      </c>
      <c r="G8278" s="25">
        <v>44.69</v>
      </c>
      <c r="H8278" s="379">
        <v>0.92094454678999615</v>
      </c>
      <c r="I8278" s="25">
        <v>34.01</v>
      </c>
      <c r="J8278" s="379">
        <v>7.8469257618216631E-2</v>
      </c>
    </row>
    <row r="8279" spans="1:10" x14ac:dyDescent="0.35">
      <c r="A8279" s="5">
        <v>8275</v>
      </c>
      <c r="B8279" s="5">
        <v>345</v>
      </c>
      <c r="C8279" s="5">
        <v>12</v>
      </c>
      <c r="D8279" s="379">
        <v>110.32111111111112</v>
      </c>
      <c r="E8279" s="25">
        <v>25.29</v>
      </c>
      <c r="F8279" s="379">
        <v>8.8503727746430663</v>
      </c>
      <c r="G8279" s="25">
        <v>44.69</v>
      </c>
      <c r="H8279" s="379">
        <v>0.65808670058311347</v>
      </c>
      <c r="I8279" s="25">
        <v>34.01</v>
      </c>
      <c r="J8279" s="379">
        <v>8.6377528773128723E-2</v>
      </c>
    </row>
    <row r="8280" spans="1:10" x14ac:dyDescent="0.35">
      <c r="A8280" s="5">
        <v>8276</v>
      </c>
      <c r="B8280" s="5">
        <v>345</v>
      </c>
      <c r="C8280" s="5">
        <v>12</v>
      </c>
      <c r="D8280" s="379">
        <v>103.70111111111113</v>
      </c>
      <c r="E8280" s="25">
        <v>25.29</v>
      </c>
      <c r="F8280" s="379">
        <v>8.516027323668629</v>
      </c>
      <c r="G8280" s="25">
        <v>44.45</v>
      </c>
      <c r="H8280" s="379">
        <v>0.65808670058311347</v>
      </c>
      <c r="I8280" s="25">
        <v>33.67</v>
      </c>
      <c r="J8280" s="379">
        <v>4.8299120459917972</v>
      </c>
    </row>
    <row r="8281" spans="1:10" x14ac:dyDescent="0.35">
      <c r="A8281" s="5">
        <v>8277</v>
      </c>
      <c r="B8281" s="5">
        <v>345</v>
      </c>
      <c r="C8281" s="5">
        <v>12</v>
      </c>
      <c r="D8281" s="379">
        <v>99.663888888888891</v>
      </c>
      <c r="E8281" s="25">
        <v>24.84</v>
      </c>
      <c r="F8281" s="379">
        <v>8.1174834595959577</v>
      </c>
      <c r="G8281" s="25">
        <v>42.66</v>
      </c>
      <c r="H8281" s="379">
        <v>0.47222222222222215</v>
      </c>
      <c r="I8281" s="25">
        <v>33.67</v>
      </c>
      <c r="J8281" s="379">
        <v>4.9167704656412807</v>
      </c>
    </row>
    <row r="8282" spans="1:10" x14ac:dyDescent="0.35">
      <c r="A8282" s="5">
        <v>8278</v>
      </c>
      <c r="B8282" s="5">
        <v>345</v>
      </c>
      <c r="C8282" s="5">
        <v>12</v>
      </c>
      <c r="D8282" s="379">
        <v>90.114999999999995</v>
      </c>
      <c r="E8282" s="25">
        <v>24.84</v>
      </c>
      <c r="F8282" s="379">
        <v>6.9279007418387808</v>
      </c>
      <c r="G8282" s="25">
        <v>39.78</v>
      </c>
      <c r="H8282" s="379">
        <v>0.47222222222222215</v>
      </c>
      <c r="I8282" s="25">
        <v>33.67</v>
      </c>
      <c r="J8282" s="379">
        <v>5.2702541386536632</v>
      </c>
    </row>
    <row r="8283" spans="1:10" x14ac:dyDescent="0.35">
      <c r="A8283" s="5">
        <v>8279</v>
      </c>
      <c r="B8283" s="5">
        <v>345</v>
      </c>
      <c r="C8283" s="5">
        <v>12</v>
      </c>
      <c r="D8283" s="379">
        <v>87.522222222222226</v>
      </c>
      <c r="E8283" s="25">
        <v>24.84</v>
      </c>
      <c r="F8283" s="379">
        <v>2.4301479840886446</v>
      </c>
      <c r="G8283" s="25">
        <v>37.979999999999997</v>
      </c>
      <c r="H8283" s="379">
        <v>0.47222222222222215</v>
      </c>
      <c r="I8283" s="25">
        <v>33.67</v>
      </c>
      <c r="J8283" s="379">
        <v>4.5905508205021555</v>
      </c>
    </row>
    <row r="8284" spans="1:10" x14ac:dyDescent="0.35">
      <c r="A8284" s="5">
        <v>8280</v>
      </c>
      <c r="B8284" s="5">
        <v>345</v>
      </c>
      <c r="C8284" s="5">
        <v>12</v>
      </c>
      <c r="D8284" s="379">
        <v>83.724999999999994</v>
      </c>
      <c r="E8284" s="25">
        <v>24.84</v>
      </c>
      <c r="F8284" s="379">
        <v>1.9139288501240392</v>
      </c>
      <c r="G8284" s="25">
        <v>34.43</v>
      </c>
      <c r="H8284" s="379">
        <v>0.73382770771283057</v>
      </c>
      <c r="I8284" s="25">
        <v>33.67</v>
      </c>
      <c r="J8284" s="379">
        <v>4.8339744176004213</v>
      </c>
    </row>
    <row r="8285" spans="1:10" x14ac:dyDescent="0.35">
      <c r="A8285" s="5">
        <v>8281</v>
      </c>
      <c r="B8285" s="5">
        <v>346</v>
      </c>
      <c r="C8285" s="5">
        <v>12</v>
      </c>
      <c r="D8285" s="379">
        <v>82.852777777777789</v>
      </c>
      <c r="E8285" s="25">
        <v>24.84</v>
      </c>
      <c r="F8285" s="379">
        <v>1.8290743434824284</v>
      </c>
      <c r="G8285" s="25">
        <v>37.979999999999997</v>
      </c>
      <c r="H8285" s="379">
        <v>0.60408956204208319</v>
      </c>
      <c r="I8285" s="25">
        <v>33.67</v>
      </c>
      <c r="J8285" s="379">
        <v>4.7183776417439418</v>
      </c>
    </row>
    <row r="8286" spans="1:10" x14ac:dyDescent="0.35">
      <c r="A8286" s="5">
        <v>8282</v>
      </c>
      <c r="B8286" s="5">
        <v>346</v>
      </c>
      <c r="C8286" s="5">
        <v>12</v>
      </c>
      <c r="D8286" s="379">
        <v>81.692777777777764</v>
      </c>
      <c r="E8286" s="25">
        <v>24.84</v>
      </c>
      <c r="F8286" s="379">
        <v>0.87229306857440658</v>
      </c>
      <c r="G8286" s="25">
        <v>37.979999999999997</v>
      </c>
      <c r="H8286" s="379">
        <v>0.47222222222222215</v>
      </c>
      <c r="I8286" s="25">
        <v>33.67</v>
      </c>
      <c r="J8286" s="379">
        <v>4.9177761966286262</v>
      </c>
    </row>
    <row r="8287" spans="1:10" x14ac:dyDescent="0.35">
      <c r="A8287" s="5">
        <v>8283</v>
      </c>
      <c r="B8287" s="5">
        <v>346</v>
      </c>
      <c r="C8287" s="5">
        <v>12</v>
      </c>
      <c r="D8287" s="379">
        <v>80.99666666666667</v>
      </c>
      <c r="E8287" s="25">
        <v>24.84</v>
      </c>
      <c r="F8287" s="379">
        <v>1.9985337962935499</v>
      </c>
      <c r="G8287" s="25">
        <v>37.979999999999997</v>
      </c>
      <c r="H8287" s="379">
        <v>0.56627275697240254</v>
      </c>
      <c r="I8287" s="25">
        <v>33.67</v>
      </c>
      <c r="J8287" s="379">
        <v>5.6523573575976567</v>
      </c>
    </row>
    <row r="8288" spans="1:10" x14ac:dyDescent="0.35">
      <c r="A8288" s="5">
        <v>8284</v>
      </c>
      <c r="B8288" s="5">
        <v>346</v>
      </c>
      <c r="C8288" s="5">
        <v>12</v>
      </c>
      <c r="D8288" s="379">
        <v>79.934444444444452</v>
      </c>
      <c r="E8288" s="25">
        <v>24.84</v>
      </c>
      <c r="F8288" s="379">
        <v>2.7310914483548174</v>
      </c>
      <c r="G8288" s="25">
        <v>37.979999999999997</v>
      </c>
      <c r="H8288" s="379">
        <v>0.47222222222222215</v>
      </c>
      <c r="I8288" s="25">
        <v>33.67</v>
      </c>
      <c r="J8288" s="379">
        <v>5.0579922780869024</v>
      </c>
    </row>
    <row r="8289" spans="1:10" x14ac:dyDescent="0.35">
      <c r="A8289" s="5">
        <v>8285</v>
      </c>
      <c r="B8289" s="5">
        <v>346</v>
      </c>
      <c r="C8289" s="5">
        <v>12</v>
      </c>
      <c r="D8289" s="379">
        <v>79.849999999999994</v>
      </c>
      <c r="E8289" s="25">
        <v>24.84</v>
      </c>
      <c r="F8289" s="379">
        <v>2.8218224102624476</v>
      </c>
      <c r="G8289" s="25">
        <v>37.979999999999997</v>
      </c>
      <c r="H8289" s="379">
        <v>0.47222222222222215</v>
      </c>
      <c r="I8289" s="25">
        <v>33.67</v>
      </c>
      <c r="J8289" s="379">
        <v>4.9175922494943691</v>
      </c>
    </row>
    <row r="8290" spans="1:10" x14ac:dyDescent="0.35">
      <c r="A8290" s="5">
        <v>8286</v>
      </c>
      <c r="B8290" s="5">
        <v>346</v>
      </c>
      <c r="C8290" s="5">
        <v>12</v>
      </c>
      <c r="D8290" s="379">
        <v>83.643888888888881</v>
      </c>
      <c r="E8290" s="25">
        <v>24.84</v>
      </c>
      <c r="F8290" s="379">
        <v>6.7994682246572227</v>
      </c>
      <c r="G8290" s="25">
        <v>41.75</v>
      </c>
      <c r="H8290" s="379">
        <v>0.59380076476018595</v>
      </c>
      <c r="I8290" s="25">
        <v>33.67</v>
      </c>
      <c r="J8290" s="379">
        <v>4.9721441340705423</v>
      </c>
    </row>
    <row r="8291" spans="1:10" x14ac:dyDescent="0.35">
      <c r="A8291" s="5">
        <v>8287</v>
      </c>
      <c r="B8291" s="5">
        <v>346</v>
      </c>
      <c r="C8291" s="5">
        <v>12</v>
      </c>
      <c r="D8291" s="379">
        <v>107.76666666666668</v>
      </c>
      <c r="E8291" s="25">
        <v>24.99</v>
      </c>
      <c r="F8291" s="379">
        <v>8.1174834595959613</v>
      </c>
      <c r="G8291" s="25">
        <v>42.17</v>
      </c>
      <c r="H8291" s="379">
        <v>6.9345334873263109</v>
      </c>
      <c r="I8291" s="25">
        <v>33.67</v>
      </c>
      <c r="J8291" s="379">
        <v>4.5991531745325931</v>
      </c>
    </row>
    <row r="8292" spans="1:10" x14ac:dyDescent="0.35">
      <c r="A8292" s="5">
        <v>8288</v>
      </c>
      <c r="B8292" s="5">
        <v>346</v>
      </c>
      <c r="C8292" s="5">
        <v>12</v>
      </c>
      <c r="D8292" s="379">
        <v>138.88888888888889</v>
      </c>
      <c r="E8292" s="25">
        <v>24.99</v>
      </c>
      <c r="F8292" s="379">
        <v>9.5430015609119216</v>
      </c>
      <c r="G8292" s="25">
        <v>43.44</v>
      </c>
      <c r="H8292" s="379">
        <v>8.4478214609899211</v>
      </c>
      <c r="I8292" s="25">
        <v>36.869999999999997</v>
      </c>
      <c r="J8292" s="379">
        <v>6.6286893769496977</v>
      </c>
    </row>
    <row r="8293" spans="1:10" x14ac:dyDescent="0.35">
      <c r="A8293" s="5">
        <v>8289</v>
      </c>
      <c r="B8293" s="5">
        <v>346</v>
      </c>
      <c r="C8293" s="5">
        <v>12</v>
      </c>
      <c r="D8293" s="379">
        <v>138.88888888888889</v>
      </c>
      <c r="E8293" s="25">
        <v>25.29</v>
      </c>
      <c r="F8293" s="379">
        <v>9.6232731307965125</v>
      </c>
      <c r="G8293" s="25">
        <v>46.03</v>
      </c>
      <c r="H8293" s="379">
        <v>8.4659738340165358</v>
      </c>
      <c r="I8293" s="25">
        <v>53.71</v>
      </c>
      <c r="J8293" s="379">
        <v>6.6572915746475791</v>
      </c>
    </row>
    <row r="8294" spans="1:10" x14ac:dyDescent="0.35">
      <c r="A8294" s="5">
        <v>8290</v>
      </c>
      <c r="B8294" s="5">
        <v>346</v>
      </c>
      <c r="C8294" s="5">
        <v>12</v>
      </c>
      <c r="D8294" s="379">
        <v>138.88888888888889</v>
      </c>
      <c r="E8294" s="25">
        <v>25.74</v>
      </c>
      <c r="F8294" s="379">
        <v>9.6453608518619376</v>
      </c>
      <c r="G8294" s="25">
        <v>46.03</v>
      </c>
      <c r="H8294" s="379">
        <v>8.3077442686569523</v>
      </c>
      <c r="I8294" s="25">
        <v>53.71</v>
      </c>
      <c r="J8294" s="379">
        <v>7.2414776468305302</v>
      </c>
    </row>
    <row r="8295" spans="1:10" x14ac:dyDescent="0.35">
      <c r="A8295" s="5">
        <v>8291</v>
      </c>
      <c r="B8295" s="5">
        <v>346</v>
      </c>
      <c r="C8295" s="5">
        <v>12</v>
      </c>
      <c r="D8295" s="379">
        <v>137.125</v>
      </c>
      <c r="E8295" s="25">
        <v>25.74</v>
      </c>
      <c r="F8295" s="379">
        <v>8.817203509800823</v>
      </c>
      <c r="G8295" s="25">
        <v>46.11</v>
      </c>
      <c r="H8295" s="379">
        <v>7.853499436406306</v>
      </c>
      <c r="I8295" s="25">
        <v>53.71</v>
      </c>
      <c r="J8295" s="379">
        <v>4.0631808780061753</v>
      </c>
    </row>
    <row r="8296" spans="1:10" x14ac:dyDescent="0.35">
      <c r="A8296" s="5">
        <v>8292</v>
      </c>
      <c r="B8296" s="5">
        <v>346</v>
      </c>
      <c r="C8296" s="5">
        <v>12</v>
      </c>
      <c r="D8296" s="379">
        <v>135.13500000000002</v>
      </c>
      <c r="E8296" s="25">
        <v>25.74</v>
      </c>
      <c r="F8296" s="379">
        <v>12.77071114001933</v>
      </c>
      <c r="G8296" s="25">
        <v>47.46</v>
      </c>
      <c r="H8296" s="379">
        <v>9.2467423017279948</v>
      </c>
      <c r="I8296" s="25">
        <v>56.52</v>
      </c>
      <c r="J8296" s="379">
        <v>7.1307603197473846</v>
      </c>
    </row>
    <row r="8297" spans="1:10" x14ac:dyDescent="0.35">
      <c r="A8297" s="5">
        <v>8293</v>
      </c>
      <c r="B8297" s="5">
        <v>346</v>
      </c>
      <c r="C8297" s="5">
        <v>12</v>
      </c>
      <c r="D8297" s="379">
        <v>133.10055555555556</v>
      </c>
      <c r="E8297" s="25">
        <v>25.74</v>
      </c>
      <c r="F8297" s="379">
        <v>10.869331166384375</v>
      </c>
      <c r="G8297" s="25">
        <v>46.03</v>
      </c>
      <c r="H8297" s="379">
        <v>8.2664313802913298</v>
      </c>
      <c r="I8297" s="25">
        <v>53.71</v>
      </c>
      <c r="J8297" s="379">
        <v>6.5595130131527766</v>
      </c>
    </row>
    <row r="8298" spans="1:10" x14ac:dyDescent="0.35">
      <c r="A8298" s="5">
        <v>8294</v>
      </c>
      <c r="B8298" s="5">
        <v>346</v>
      </c>
      <c r="C8298" s="5">
        <v>12</v>
      </c>
      <c r="D8298" s="379">
        <v>134.61666666666667</v>
      </c>
      <c r="E8298" s="25">
        <v>25.29</v>
      </c>
      <c r="F8298" s="379">
        <v>11.693020159696704</v>
      </c>
      <c r="G8298" s="25">
        <v>46.03</v>
      </c>
      <c r="H8298" s="379">
        <v>9.8960061474497429</v>
      </c>
      <c r="I8298" s="25">
        <v>53.71</v>
      </c>
      <c r="J8298" s="379">
        <v>6.7158314745846113</v>
      </c>
    </row>
    <row r="8299" spans="1:10" x14ac:dyDescent="0.35">
      <c r="A8299" s="5">
        <v>8295</v>
      </c>
      <c r="B8299" s="5">
        <v>346</v>
      </c>
      <c r="C8299" s="5">
        <v>12</v>
      </c>
      <c r="D8299" s="379">
        <v>136.11333333333332</v>
      </c>
      <c r="E8299" s="25">
        <v>24.99</v>
      </c>
      <c r="F8299" s="379">
        <v>14.685949635023064</v>
      </c>
      <c r="G8299" s="25">
        <v>44.74</v>
      </c>
      <c r="H8299" s="379">
        <v>9.3220078817280925</v>
      </c>
      <c r="I8299" s="25">
        <v>50.13</v>
      </c>
      <c r="J8299" s="379">
        <v>6.7284499703232994</v>
      </c>
    </row>
    <row r="8300" spans="1:10" x14ac:dyDescent="0.35">
      <c r="A8300" s="5">
        <v>8296</v>
      </c>
      <c r="B8300" s="5">
        <v>346</v>
      </c>
      <c r="C8300" s="5">
        <v>12</v>
      </c>
      <c r="D8300" s="379">
        <v>138.88888888888889</v>
      </c>
      <c r="E8300" s="25">
        <v>24.99</v>
      </c>
      <c r="F8300" s="379">
        <v>17.826595440131292</v>
      </c>
      <c r="G8300" s="25">
        <v>44.74</v>
      </c>
      <c r="H8300" s="379">
        <v>9.0378039138405555</v>
      </c>
      <c r="I8300" s="25">
        <v>48.86</v>
      </c>
      <c r="J8300" s="379">
        <v>7.131563447846486</v>
      </c>
    </row>
    <row r="8301" spans="1:10" x14ac:dyDescent="0.35">
      <c r="A8301" s="5">
        <v>8297</v>
      </c>
      <c r="B8301" s="5">
        <v>346</v>
      </c>
      <c r="C8301" s="5">
        <v>12</v>
      </c>
      <c r="D8301" s="379">
        <v>138.88888888888889</v>
      </c>
      <c r="E8301" s="25">
        <v>25.74</v>
      </c>
      <c r="F8301" s="379">
        <v>15.915900145920743</v>
      </c>
      <c r="G8301" s="25">
        <v>46.11</v>
      </c>
      <c r="H8301" s="379">
        <v>9.352420390083191</v>
      </c>
      <c r="I8301" s="25">
        <v>50.33</v>
      </c>
      <c r="J8301" s="379">
        <v>6.9373960339239469</v>
      </c>
    </row>
    <row r="8302" spans="1:10" x14ac:dyDescent="0.35">
      <c r="A8302" s="5">
        <v>8298</v>
      </c>
      <c r="B8302" s="5">
        <v>346</v>
      </c>
      <c r="C8302" s="5">
        <v>12</v>
      </c>
      <c r="D8302" s="379">
        <v>138.88888888888889</v>
      </c>
      <c r="E8302" s="25">
        <v>25.74</v>
      </c>
      <c r="F8302" s="379">
        <v>16.178935804563597</v>
      </c>
      <c r="G8302" s="25">
        <v>48.88</v>
      </c>
      <c r="H8302" s="379">
        <v>10.247873092540457</v>
      </c>
      <c r="I8302" s="25">
        <v>53.71</v>
      </c>
      <c r="J8302" s="379">
        <v>6.8472691855820633</v>
      </c>
    </row>
    <row r="8303" spans="1:10" x14ac:dyDescent="0.35">
      <c r="A8303" s="5">
        <v>8299</v>
      </c>
      <c r="B8303" s="5">
        <v>346</v>
      </c>
      <c r="C8303" s="5">
        <v>12</v>
      </c>
      <c r="D8303" s="379">
        <v>138.88888888888889</v>
      </c>
      <c r="E8303" s="25">
        <v>25.74</v>
      </c>
      <c r="F8303" s="379">
        <v>16.16236423167565</v>
      </c>
      <c r="G8303" s="25">
        <v>50.35</v>
      </c>
      <c r="H8303" s="379">
        <v>9.7006090475689515</v>
      </c>
      <c r="I8303" s="25">
        <v>53.71</v>
      </c>
      <c r="J8303" s="379">
        <v>6.6251464326355141</v>
      </c>
    </row>
    <row r="8304" spans="1:10" x14ac:dyDescent="0.35">
      <c r="A8304" s="5">
        <v>8300</v>
      </c>
      <c r="B8304" s="5">
        <v>346</v>
      </c>
      <c r="C8304" s="5">
        <v>12</v>
      </c>
      <c r="D8304" s="379">
        <v>138.88888888888889</v>
      </c>
      <c r="E8304" s="25">
        <v>25.74</v>
      </c>
      <c r="F8304" s="379">
        <v>15.60991124923617</v>
      </c>
      <c r="G8304" s="25">
        <v>48.88</v>
      </c>
      <c r="H8304" s="379">
        <v>9.7784239674316868</v>
      </c>
      <c r="I8304" s="25">
        <v>53.27</v>
      </c>
      <c r="J8304" s="379">
        <v>6.4151787381037391</v>
      </c>
    </row>
    <row r="8305" spans="1:10" x14ac:dyDescent="0.35">
      <c r="A8305" s="5">
        <v>8301</v>
      </c>
      <c r="B8305" s="5">
        <v>346</v>
      </c>
      <c r="C8305" s="5">
        <v>12</v>
      </c>
      <c r="D8305" s="379">
        <v>119.44944444444445</v>
      </c>
      <c r="E8305" s="25">
        <v>25.74</v>
      </c>
      <c r="F8305" s="379">
        <v>11.696326589038462</v>
      </c>
      <c r="G8305" s="25">
        <v>46.11</v>
      </c>
      <c r="H8305" s="379">
        <v>7.6567641136205333</v>
      </c>
      <c r="I8305" s="25">
        <v>51.2</v>
      </c>
      <c r="J8305" s="379">
        <v>5.9107777786191802</v>
      </c>
    </row>
    <row r="8306" spans="1:10" x14ac:dyDescent="0.35">
      <c r="A8306" s="5">
        <v>8302</v>
      </c>
      <c r="B8306" s="5">
        <v>346</v>
      </c>
      <c r="C8306" s="5">
        <v>12</v>
      </c>
      <c r="D8306" s="379">
        <v>101.46388888888887</v>
      </c>
      <c r="E8306" s="25">
        <v>24.99</v>
      </c>
      <c r="F8306" s="379">
        <v>9.6032187953214212</v>
      </c>
      <c r="G8306" s="25">
        <v>44.69</v>
      </c>
      <c r="H8306" s="379">
        <v>4.9441382491391028</v>
      </c>
      <c r="I8306" s="25">
        <v>50.13</v>
      </c>
      <c r="J8306" s="379">
        <v>5.0968997702148151</v>
      </c>
    </row>
    <row r="8307" spans="1:10" x14ac:dyDescent="0.35">
      <c r="A8307" s="5">
        <v>8303</v>
      </c>
      <c r="B8307" s="5">
        <v>346</v>
      </c>
      <c r="C8307" s="5">
        <v>12</v>
      </c>
      <c r="D8307" s="379">
        <v>88.87</v>
      </c>
      <c r="E8307" s="25">
        <v>24.99</v>
      </c>
      <c r="F8307" s="379">
        <v>8.8851385791612181</v>
      </c>
      <c r="G8307" s="25">
        <v>44.69</v>
      </c>
      <c r="H8307" s="379">
        <v>9.1106858973898639</v>
      </c>
      <c r="I8307" s="25">
        <v>48.67</v>
      </c>
      <c r="J8307" s="379">
        <v>5.19752643738593</v>
      </c>
    </row>
    <row r="8308" spans="1:10" x14ac:dyDescent="0.35">
      <c r="A8308" s="5">
        <v>8304</v>
      </c>
      <c r="B8308" s="5">
        <v>346</v>
      </c>
      <c r="C8308" s="5">
        <v>12</v>
      </c>
      <c r="D8308" s="379">
        <v>80.823333333333338</v>
      </c>
      <c r="E8308" s="25">
        <v>24.84</v>
      </c>
      <c r="F8308" s="379">
        <v>8.1174834595959613</v>
      </c>
      <c r="G8308" s="25">
        <v>43.72</v>
      </c>
      <c r="H8308" s="379">
        <v>8.4254042231259216</v>
      </c>
      <c r="I8308" s="25">
        <v>45.65</v>
      </c>
      <c r="J8308" s="379">
        <v>4.3756207548920267</v>
      </c>
    </row>
    <row r="8309" spans="1:10" x14ac:dyDescent="0.35">
      <c r="A8309" s="5">
        <v>8305</v>
      </c>
      <c r="B8309" s="5">
        <v>347</v>
      </c>
      <c r="C8309" s="5">
        <v>12</v>
      </c>
      <c r="D8309" s="379">
        <v>77.186666666666667</v>
      </c>
      <c r="E8309" s="25">
        <v>24.84</v>
      </c>
      <c r="F8309" s="379">
        <v>8.1174834595959595</v>
      </c>
      <c r="G8309" s="25">
        <v>43.39</v>
      </c>
      <c r="H8309" s="379">
        <v>9.1245379832318871</v>
      </c>
      <c r="I8309" s="25">
        <v>45.65</v>
      </c>
      <c r="J8309" s="379">
        <v>4.9146052606336363</v>
      </c>
    </row>
    <row r="8310" spans="1:10" x14ac:dyDescent="0.35">
      <c r="A8310" s="5">
        <v>8306</v>
      </c>
      <c r="B8310" s="5">
        <v>347</v>
      </c>
      <c r="C8310" s="5">
        <v>12</v>
      </c>
      <c r="D8310" s="379">
        <v>73.961666666666687</v>
      </c>
      <c r="E8310" s="25">
        <v>24.84</v>
      </c>
      <c r="F8310" s="379">
        <v>3.7753167376680152</v>
      </c>
      <c r="G8310" s="25">
        <v>39.78</v>
      </c>
      <c r="H8310" s="379">
        <v>9.7011629237784103</v>
      </c>
      <c r="I8310" s="25">
        <v>33.67</v>
      </c>
      <c r="J8310" s="379">
        <v>5.6010896065870428</v>
      </c>
    </row>
    <row r="8311" spans="1:10" x14ac:dyDescent="0.35">
      <c r="A8311" s="5">
        <v>8307</v>
      </c>
      <c r="B8311" s="5">
        <v>347</v>
      </c>
      <c r="C8311" s="5">
        <v>12</v>
      </c>
      <c r="D8311" s="379">
        <v>72.610555555555564</v>
      </c>
      <c r="E8311" s="25">
        <v>24.84</v>
      </c>
      <c r="F8311" s="379">
        <v>3.4429617142145346</v>
      </c>
      <c r="G8311" s="25">
        <v>40.9</v>
      </c>
      <c r="H8311" s="379">
        <v>9.7011629237784103</v>
      </c>
      <c r="I8311" s="25">
        <v>33.67</v>
      </c>
      <c r="J8311" s="379">
        <v>5.6010896065870428</v>
      </c>
    </row>
    <row r="8312" spans="1:10" x14ac:dyDescent="0.35">
      <c r="A8312" s="5">
        <v>8308</v>
      </c>
      <c r="B8312" s="5">
        <v>347</v>
      </c>
      <c r="C8312" s="5">
        <v>12</v>
      </c>
      <c r="D8312" s="379">
        <v>70.993333333333325</v>
      </c>
      <c r="E8312" s="25">
        <v>24.84</v>
      </c>
      <c r="F8312" s="379">
        <v>3.6207322545600364</v>
      </c>
      <c r="G8312" s="25">
        <v>42.17</v>
      </c>
      <c r="H8312" s="379">
        <v>9.8295098810358272</v>
      </c>
      <c r="I8312" s="25">
        <v>39.950000000000003</v>
      </c>
      <c r="J8312" s="379">
        <v>5.9136643756829672</v>
      </c>
    </row>
    <row r="8313" spans="1:10" x14ac:dyDescent="0.35">
      <c r="A8313" s="5">
        <v>8309</v>
      </c>
      <c r="B8313" s="5">
        <v>347</v>
      </c>
      <c r="C8313" s="5">
        <v>12</v>
      </c>
      <c r="D8313" s="379">
        <v>70.343888888888884</v>
      </c>
      <c r="E8313" s="25">
        <v>24.84</v>
      </c>
      <c r="F8313" s="379">
        <v>8.1174834595959577</v>
      </c>
      <c r="G8313" s="25">
        <v>44.69</v>
      </c>
      <c r="H8313" s="379">
        <v>10.732866527692753</v>
      </c>
      <c r="I8313" s="25">
        <v>50.13</v>
      </c>
      <c r="J8313" s="379">
        <v>6.8543340064530769</v>
      </c>
    </row>
    <row r="8314" spans="1:10" x14ac:dyDescent="0.35">
      <c r="A8314" s="5">
        <v>8310</v>
      </c>
      <c r="B8314" s="5">
        <v>347</v>
      </c>
      <c r="C8314" s="5">
        <v>12</v>
      </c>
      <c r="D8314" s="379">
        <v>77.726666666666659</v>
      </c>
      <c r="E8314" s="25">
        <v>25.29</v>
      </c>
      <c r="F8314" s="379">
        <v>9.0101536511659592</v>
      </c>
      <c r="G8314" s="25">
        <v>46.11</v>
      </c>
      <c r="H8314" s="379">
        <v>11.598811751592493</v>
      </c>
      <c r="I8314" s="25">
        <v>139.33000000000001</v>
      </c>
      <c r="J8314" s="379">
        <v>7.7179331284337724</v>
      </c>
    </row>
    <row r="8315" spans="1:10" x14ac:dyDescent="0.35">
      <c r="A8315" s="5">
        <v>8311</v>
      </c>
      <c r="B8315" s="5">
        <v>347</v>
      </c>
      <c r="C8315" s="5">
        <v>12</v>
      </c>
      <c r="D8315" s="379">
        <v>93.228333333333325</v>
      </c>
      <c r="E8315" s="25">
        <v>25.74</v>
      </c>
      <c r="F8315" s="379">
        <v>13.986906540468771</v>
      </c>
      <c r="G8315" s="25">
        <v>55.88</v>
      </c>
      <c r="H8315" s="379">
        <v>11.400461273777845</v>
      </c>
      <c r="I8315" s="25">
        <v>843.72</v>
      </c>
      <c r="J8315" s="379">
        <v>7.6006020344192375</v>
      </c>
    </row>
    <row r="8316" spans="1:10" x14ac:dyDescent="0.35">
      <c r="A8316" s="5">
        <v>8312</v>
      </c>
      <c r="B8316" s="5">
        <v>347</v>
      </c>
      <c r="C8316" s="5">
        <v>12</v>
      </c>
      <c r="D8316" s="379">
        <v>118.65388888888889</v>
      </c>
      <c r="E8316" s="25">
        <v>36.01</v>
      </c>
      <c r="F8316" s="379">
        <v>25.004107770166055</v>
      </c>
      <c r="G8316" s="25">
        <v>843.72</v>
      </c>
      <c r="H8316" s="379">
        <v>16.842957693949195</v>
      </c>
      <c r="I8316" s="25">
        <v>869.03</v>
      </c>
      <c r="J8316" s="379">
        <v>7.9643006506514746</v>
      </c>
    </row>
    <row r="8317" spans="1:10" x14ac:dyDescent="0.35">
      <c r="A8317" s="5">
        <v>8313</v>
      </c>
      <c r="B8317" s="5">
        <v>347</v>
      </c>
      <c r="C8317" s="5">
        <v>12</v>
      </c>
      <c r="D8317" s="379">
        <v>132.08166666666665</v>
      </c>
      <c r="E8317" s="25">
        <v>37.090000000000003</v>
      </c>
      <c r="F8317" s="379">
        <v>25.551246917366036</v>
      </c>
      <c r="G8317" s="25">
        <v>869.03</v>
      </c>
      <c r="H8317" s="379">
        <v>27.113235232879315</v>
      </c>
      <c r="I8317" s="25">
        <v>869.03</v>
      </c>
      <c r="J8317" s="379">
        <v>7.8452491302771694</v>
      </c>
    </row>
    <row r="8318" spans="1:10" x14ac:dyDescent="0.35">
      <c r="A8318" s="5">
        <v>8314</v>
      </c>
      <c r="B8318" s="5">
        <v>347</v>
      </c>
      <c r="C8318" s="5">
        <v>12</v>
      </c>
      <c r="D8318" s="379">
        <v>129.16666666666666</v>
      </c>
      <c r="E8318" s="25">
        <v>37.090000000000003</v>
      </c>
      <c r="F8318" s="379">
        <v>25.551246917366036</v>
      </c>
      <c r="G8318" s="25">
        <v>869.03</v>
      </c>
      <c r="H8318" s="379">
        <v>27.203214921777459</v>
      </c>
      <c r="I8318" s="25">
        <v>869.03</v>
      </c>
      <c r="J8318" s="379">
        <v>7.8759549801739075</v>
      </c>
    </row>
    <row r="8319" spans="1:10" x14ac:dyDescent="0.35">
      <c r="A8319" s="5">
        <v>8315</v>
      </c>
      <c r="B8319" s="5">
        <v>347</v>
      </c>
      <c r="C8319" s="5">
        <v>12</v>
      </c>
      <c r="D8319" s="379">
        <v>125.45944444444444</v>
      </c>
      <c r="E8319" s="25">
        <v>37.090000000000003</v>
      </c>
      <c r="F8319" s="379">
        <v>24.786073264837373</v>
      </c>
      <c r="G8319" s="25">
        <v>869.03</v>
      </c>
      <c r="H8319" s="379">
        <v>24.441196895450091</v>
      </c>
      <c r="I8319" s="25">
        <v>869.03</v>
      </c>
      <c r="J8319" s="379">
        <v>7.5928929105048661</v>
      </c>
    </row>
    <row r="8320" spans="1:10" x14ac:dyDescent="0.35">
      <c r="A8320" s="5">
        <v>8316</v>
      </c>
      <c r="B8320" s="5">
        <v>347</v>
      </c>
      <c r="C8320" s="5">
        <v>12</v>
      </c>
      <c r="D8320" s="379">
        <v>123.21111111111112</v>
      </c>
      <c r="E8320" s="25">
        <v>37.090000000000003</v>
      </c>
      <c r="F8320" s="379">
        <v>23.232531080544202</v>
      </c>
      <c r="G8320" s="25">
        <v>869.03</v>
      </c>
      <c r="H8320" s="379">
        <v>23.930927739358054</v>
      </c>
      <c r="I8320" s="25">
        <v>869.03</v>
      </c>
      <c r="J8320" s="379">
        <v>7.5593489100544291</v>
      </c>
    </row>
    <row r="8321" spans="1:10" x14ac:dyDescent="0.35">
      <c r="A8321" s="5">
        <v>8317</v>
      </c>
      <c r="B8321" s="5">
        <v>347</v>
      </c>
      <c r="C8321" s="5">
        <v>12</v>
      </c>
      <c r="D8321" s="379">
        <v>118.51277777777779</v>
      </c>
      <c r="E8321" s="25">
        <v>37.090000000000003</v>
      </c>
      <c r="F8321" s="379">
        <v>23.04709196200379</v>
      </c>
      <c r="G8321" s="25">
        <v>843.72</v>
      </c>
      <c r="H8321" s="379">
        <v>23.142624379797475</v>
      </c>
      <c r="I8321" s="25">
        <v>869.03</v>
      </c>
      <c r="J8321" s="379">
        <v>10.987469194986597</v>
      </c>
    </row>
    <row r="8322" spans="1:10" x14ac:dyDescent="0.35">
      <c r="A8322" s="5">
        <v>8318</v>
      </c>
      <c r="B8322" s="5">
        <v>347</v>
      </c>
      <c r="C8322" s="5">
        <v>12</v>
      </c>
      <c r="D8322" s="379">
        <v>122.96166666666666</v>
      </c>
      <c r="E8322" s="25">
        <v>37.090000000000003</v>
      </c>
      <c r="F8322" s="379">
        <v>25.098891442746076</v>
      </c>
      <c r="G8322" s="25">
        <v>843.72</v>
      </c>
      <c r="H8322" s="379">
        <v>25.391132067056034</v>
      </c>
      <c r="I8322" s="25">
        <v>869.03</v>
      </c>
      <c r="J8322" s="379">
        <v>13.731586805883527</v>
      </c>
    </row>
    <row r="8323" spans="1:10" x14ac:dyDescent="0.35">
      <c r="A8323" s="5">
        <v>8319</v>
      </c>
      <c r="B8323" s="5">
        <v>347</v>
      </c>
      <c r="C8323" s="5">
        <v>12</v>
      </c>
      <c r="D8323" s="379">
        <v>130.4638888888889</v>
      </c>
      <c r="E8323" s="25">
        <v>37.090000000000003</v>
      </c>
      <c r="F8323" s="379">
        <v>26.940968510295278</v>
      </c>
      <c r="G8323" s="25">
        <v>843.72</v>
      </c>
      <c r="H8323" s="379">
        <v>30.648036770044907</v>
      </c>
      <c r="I8323" s="25">
        <v>869.03</v>
      </c>
      <c r="J8323" s="379">
        <v>13.368273848509231</v>
      </c>
    </row>
    <row r="8324" spans="1:10" x14ac:dyDescent="0.35">
      <c r="A8324" s="5">
        <v>8320</v>
      </c>
      <c r="B8324" s="5">
        <v>347</v>
      </c>
      <c r="C8324" s="5">
        <v>12</v>
      </c>
      <c r="D8324" s="379">
        <v>134.19499999999999</v>
      </c>
      <c r="E8324" s="25">
        <v>37.090000000000003</v>
      </c>
      <c r="F8324" s="379">
        <v>41.314748903440424</v>
      </c>
      <c r="G8324" s="25">
        <v>843.72</v>
      </c>
      <c r="H8324" s="379">
        <v>138.88888888888889</v>
      </c>
      <c r="I8324" s="25">
        <v>869.03</v>
      </c>
      <c r="J8324" s="379">
        <v>19.615678900390844</v>
      </c>
    </row>
    <row r="8325" spans="1:10" x14ac:dyDescent="0.35">
      <c r="A8325" s="5">
        <v>8321</v>
      </c>
      <c r="B8325" s="5">
        <v>347</v>
      </c>
      <c r="C8325" s="5">
        <v>12</v>
      </c>
      <c r="D8325" s="379">
        <v>138.88888888888889</v>
      </c>
      <c r="E8325" s="25">
        <v>39.51</v>
      </c>
      <c r="F8325" s="379">
        <v>138.88888888888889</v>
      </c>
      <c r="G8325" s="25">
        <v>869.03</v>
      </c>
      <c r="H8325" s="379">
        <v>138.88888888888889</v>
      </c>
      <c r="I8325" s="25">
        <v>869.03</v>
      </c>
      <c r="J8325" s="379">
        <v>18.008064827423819</v>
      </c>
    </row>
    <row r="8326" spans="1:10" x14ac:dyDescent="0.35">
      <c r="A8326" s="5">
        <v>8322</v>
      </c>
      <c r="B8326" s="5">
        <v>347</v>
      </c>
      <c r="C8326" s="5">
        <v>12</v>
      </c>
      <c r="D8326" s="379">
        <v>138.88888888888889</v>
      </c>
      <c r="E8326" s="25">
        <v>869.03</v>
      </c>
      <c r="F8326" s="379">
        <v>138.88888888888889</v>
      </c>
      <c r="G8326" s="25">
        <v>869.03</v>
      </c>
      <c r="H8326" s="379">
        <v>138.88888888888889</v>
      </c>
      <c r="I8326" s="25">
        <v>869.03</v>
      </c>
      <c r="J8326" s="379">
        <v>16.965966436103702</v>
      </c>
    </row>
    <row r="8327" spans="1:10" x14ac:dyDescent="0.35">
      <c r="A8327" s="5">
        <v>8323</v>
      </c>
      <c r="B8327" s="5">
        <v>347</v>
      </c>
      <c r="C8327" s="5">
        <v>12</v>
      </c>
      <c r="D8327" s="379">
        <v>138.88888888888889</v>
      </c>
      <c r="E8327" s="25">
        <v>39.51</v>
      </c>
      <c r="F8327" s="379">
        <v>138.88888888888889</v>
      </c>
      <c r="G8327" s="25">
        <v>869.03</v>
      </c>
      <c r="H8327" s="379">
        <v>138.88888888888889</v>
      </c>
      <c r="I8327" s="25">
        <v>869.03</v>
      </c>
      <c r="J8327" s="379">
        <v>15.508163861041943</v>
      </c>
    </row>
    <row r="8328" spans="1:10" x14ac:dyDescent="0.35">
      <c r="A8328" s="5">
        <v>8324</v>
      </c>
      <c r="B8328" s="5">
        <v>347</v>
      </c>
      <c r="C8328" s="5">
        <v>12</v>
      </c>
      <c r="D8328" s="379">
        <v>127.40055555555556</v>
      </c>
      <c r="E8328" s="25">
        <v>38.200000000000003</v>
      </c>
      <c r="F8328" s="379">
        <v>138.88888888888889</v>
      </c>
      <c r="G8328" s="25">
        <v>869.03</v>
      </c>
      <c r="H8328" s="379">
        <v>138.88888888888889</v>
      </c>
      <c r="I8328" s="25">
        <v>869.03</v>
      </c>
      <c r="J8328" s="379">
        <v>18.671821549317702</v>
      </c>
    </row>
    <row r="8329" spans="1:10" x14ac:dyDescent="0.35">
      <c r="A8329" s="5">
        <v>8325</v>
      </c>
      <c r="B8329" s="5">
        <v>347</v>
      </c>
      <c r="C8329" s="5">
        <v>12</v>
      </c>
      <c r="D8329" s="379">
        <v>117.94111111111111</v>
      </c>
      <c r="E8329" s="25">
        <v>36.94</v>
      </c>
      <c r="F8329" s="379">
        <v>138.88888888888889</v>
      </c>
      <c r="G8329" s="25">
        <v>843.72</v>
      </c>
      <c r="H8329" s="379">
        <v>138.88888888888889</v>
      </c>
      <c r="I8329" s="25">
        <v>869.03</v>
      </c>
      <c r="J8329" s="379">
        <v>19.228150949073076</v>
      </c>
    </row>
    <row r="8330" spans="1:10" x14ac:dyDescent="0.35">
      <c r="A8330" s="5">
        <v>8326</v>
      </c>
      <c r="B8330" s="5">
        <v>347</v>
      </c>
      <c r="C8330" s="5">
        <v>12</v>
      </c>
      <c r="D8330" s="379">
        <v>99.313888888888883</v>
      </c>
      <c r="E8330" s="25">
        <v>35.869999999999997</v>
      </c>
      <c r="F8330" s="379">
        <v>138.88888888888889</v>
      </c>
      <c r="G8330" s="25">
        <v>65.900000000000006</v>
      </c>
      <c r="H8330" s="379">
        <v>138.88888888888889</v>
      </c>
      <c r="I8330" s="25">
        <v>869.03</v>
      </c>
      <c r="J8330" s="379">
        <v>19.222001144827896</v>
      </c>
    </row>
    <row r="8331" spans="1:10" x14ac:dyDescent="0.35">
      <c r="A8331" s="5">
        <v>8327</v>
      </c>
      <c r="B8331" s="5">
        <v>347</v>
      </c>
      <c r="C8331" s="5">
        <v>12</v>
      </c>
      <c r="D8331" s="379">
        <v>89.48944444444443</v>
      </c>
      <c r="E8331" s="25">
        <v>34.82</v>
      </c>
      <c r="F8331" s="379">
        <v>32.093018046323138</v>
      </c>
      <c r="G8331" s="25">
        <v>64.2</v>
      </c>
      <c r="H8331" s="379">
        <v>138.88888888888889</v>
      </c>
      <c r="I8331" s="25">
        <v>869.03</v>
      </c>
      <c r="J8331" s="379">
        <v>15.051399484692997</v>
      </c>
    </row>
    <row r="8332" spans="1:10" x14ac:dyDescent="0.35">
      <c r="A8332" s="5">
        <v>8328</v>
      </c>
      <c r="B8332" s="5">
        <v>347</v>
      </c>
      <c r="C8332" s="5">
        <v>12</v>
      </c>
      <c r="D8332" s="379">
        <v>82.006666666666661</v>
      </c>
      <c r="E8332" s="25">
        <v>28.97</v>
      </c>
      <c r="F8332" s="379">
        <v>28.153431775184519</v>
      </c>
      <c r="G8332" s="25">
        <v>64.2</v>
      </c>
      <c r="H8332" s="379">
        <v>138.88888888888889</v>
      </c>
      <c r="I8332" s="25">
        <v>869.03</v>
      </c>
      <c r="J8332" s="379">
        <v>13.800198677673766</v>
      </c>
    </row>
    <row r="8333" spans="1:10" x14ac:dyDescent="0.35">
      <c r="A8333" s="5">
        <v>8329</v>
      </c>
      <c r="B8333" s="5">
        <v>348</v>
      </c>
      <c r="C8333" s="5">
        <v>12</v>
      </c>
      <c r="D8333" s="379">
        <v>81.53111111111113</v>
      </c>
      <c r="E8333" s="25">
        <v>27.3</v>
      </c>
      <c r="F8333" s="379">
        <v>22.501955799514381</v>
      </c>
      <c r="G8333" s="25">
        <v>62.96</v>
      </c>
      <c r="H8333" s="379">
        <v>138.88888888888889</v>
      </c>
      <c r="I8333" s="25">
        <v>860.34</v>
      </c>
      <c r="J8333" s="379">
        <v>14.167286538490163</v>
      </c>
    </row>
    <row r="8334" spans="1:10" x14ac:dyDescent="0.35">
      <c r="A8334" s="5">
        <v>8330</v>
      </c>
      <c r="B8334" s="5">
        <v>348</v>
      </c>
      <c r="C8334" s="5">
        <v>12</v>
      </c>
      <c r="D8334" s="379">
        <v>79.66</v>
      </c>
      <c r="E8334" s="25">
        <v>26.51</v>
      </c>
      <c r="F8334" s="379">
        <v>21.024748984767367</v>
      </c>
      <c r="G8334" s="25">
        <v>62.12</v>
      </c>
      <c r="H8334" s="379">
        <v>138.88888888888889</v>
      </c>
      <c r="I8334" s="25">
        <v>843.72</v>
      </c>
      <c r="J8334" s="379">
        <v>12.072444917179384</v>
      </c>
    </row>
    <row r="8335" spans="1:10" x14ac:dyDescent="0.35">
      <c r="A8335" s="5">
        <v>8331</v>
      </c>
      <c r="B8335" s="5">
        <v>348</v>
      </c>
      <c r="C8335" s="5">
        <v>12</v>
      </c>
      <c r="D8335" s="379">
        <v>79.292222222222222</v>
      </c>
      <c r="E8335" s="25">
        <v>26.51</v>
      </c>
      <c r="F8335" s="379">
        <v>19.317401963841963</v>
      </c>
      <c r="G8335" s="25">
        <v>62.12</v>
      </c>
      <c r="H8335" s="379">
        <v>33.213996860389237</v>
      </c>
      <c r="I8335" s="25">
        <v>843.72</v>
      </c>
      <c r="J8335" s="379">
        <v>11.52068591607458</v>
      </c>
    </row>
    <row r="8336" spans="1:10" x14ac:dyDescent="0.35">
      <c r="A8336" s="5">
        <v>8332</v>
      </c>
      <c r="B8336" s="5">
        <v>348</v>
      </c>
      <c r="C8336" s="5">
        <v>12</v>
      </c>
      <c r="D8336" s="379">
        <v>79.347222222222214</v>
      </c>
      <c r="E8336" s="25">
        <v>25.74</v>
      </c>
      <c r="F8336" s="379">
        <v>18.081322945210349</v>
      </c>
      <c r="G8336" s="25">
        <v>62.12</v>
      </c>
      <c r="H8336" s="379">
        <v>34.5404827531693</v>
      </c>
      <c r="I8336" s="25">
        <v>843.72</v>
      </c>
      <c r="J8336" s="379">
        <v>11.572146133302434</v>
      </c>
    </row>
    <row r="8337" spans="1:10" x14ac:dyDescent="0.35">
      <c r="A8337" s="5">
        <v>8333</v>
      </c>
      <c r="B8337" s="5">
        <v>348</v>
      </c>
      <c r="C8337" s="5">
        <v>12</v>
      </c>
      <c r="D8337" s="379">
        <v>77.824444444444438</v>
      </c>
      <c r="E8337" s="25">
        <v>26.35</v>
      </c>
      <c r="F8337" s="379">
        <v>21.421437914290664</v>
      </c>
      <c r="G8337" s="25">
        <v>62.12</v>
      </c>
      <c r="H8337" s="379">
        <v>35.809358444121138</v>
      </c>
      <c r="I8337" s="25">
        <v>843.72</v>
      </c>
      <c r="J8337" s="379">
        <v>13.876607931653611</v>
      </c>
    </row>
    <row r="8338" spans="1:10" x14ac:dyDescent="0.35">
      <c r="A8338" s="5">
        <v>8334</v>
      </c>
      <c r="B8338" s="5">
        <v>348</v>
      </c>
      <c r="C8338" s="5">
        <v>12</v>
      </c>
      <c r="D8338" s="379">
        <v>84.274999999999991</v>
      </c>
      <c r="E8338" s="25">
        <v>27.3</v>
      </c>
      <c r="F8338" s="379">
        <v>18.54529515198427</v>
      </c>
      <c r="G8338" s="25">
        <v>62.12</v>
      </c>
      <c r="H8338" s="379">
        <v>27.790144594814041</v>
      </c>
      <c r="I8338" s="25">
        <v>843.72</v>
      </c>
      <c r="J8338" s="379">
        <v>10.67168901447033</v>
      </c>
    </row>
    <row r="8339" spans="1:10" x14ac:dyDescent="0.35">
      <c r="A8339" s="5">
        <v>8335</v>
      </c>
      <c r="B8339" s="5">
        <v>348</v>
      </c>
      <c r="C8339" s="5">
        <v>12</v>
      </c>
      <c r="D8339" s="379">
        <v>98.968888888888884</v>
      </c>
      <c r="E8339" s="25">
        <v>30.01</v>
      </c>
      <c r="F8339" s="379">
        <v>23.861235783729235</v>
      </c>
      <c r="G8339" s="25">
        <v>64.2</v>
      </c>
      <c r="H8339" s="379">
        <v>24.751552350064085</v>
      </c>
      <c r="I8339" s="25">
        <v>860.34</v>
      </c>
      <c r="J8339" s="379">
        <v>9.9996063188610762</v>
      </c>
    </row>
    <row r="8340" spans="1:10" x14ac:dyDescent="0.35">
      <c r="A8340" s="5">
        <v>8336</v>
      </c>
      <c r="B8340" s="5">
        <v>348</v>
      </c>
      <c r="C8340" s="5">
        <v>12</v>
      </c>
      <c r="D8340" s="379">
        <v>124.05000000000001</v>
      </c>
      <c r="E8340" s="25">
        <v>37.090000000000003</v>
      </c>
      <c r="F8340" s="379">
        <v>26.65626715817795</v>
      </c>
      <c r="G8340" s="25">
        <v>869.03</v>
      </c>
      <c r="H8340" s="379">
        <v>28.726621514163561</v>
      </c>
      <c r="I8340" s="25">
        <v>869.03</v>
      </c>
      <c r="J8340" s="379">
        <v>14.889093196106057</v>
      </c>
    </row>
    <row r="8341" spans="1:10" x14ac:dyDescent="0.35">
      <c r="A8341" s="5">
        <v>8337</v>
      </c>
      <c r="B8341" s="5">
        <v>348</v>
      </c>
      <c r="C8341" s="5">
        <v>12</v>
      </c>
      <c r="D8341" s="379">
        <v>132.49499999999998</v>
      </c>
      <c r="E8341" s="25">
        <v>37.090000000000003</v>
      </c>
      <c r="F8341" s="379">
        <v>26.015634332394207</v>
      </c>
      <c r="G8341" s="25">
        <v>869.03</v>
      </c>
      <c r="H8341" s="379">
        <v>27.878939521563492</v>
      </c>
      <c r="I8341" s="25">
        <v>869.03</v>
      </c>
      <c r="J8341" s="379">
        <v>16.656710035461781</v>
      </c>
    </row>
    <row r="8342" spans="1:10" x14ac:dyDescent="0.35">
      <c r="A8342" s="5">
        <v>8338</v>
      </c>
      <c r="B8342" s="5">
        <v>348</v>
      </c>
      <c r="C8342" s="5">
        <v>12</v>
      </c>
      <c r="D8342" s="379">
        <v>136.78055555555557</v>
      </c>
      <c r="E8342" s="25">
        <v>37.090000000000003</v>
      </c>
      <c r="F8342" s="379">
        <v>26.402956724864033</v>
      </c>
      <c r="G8342" s="25">
        <v>869.03</v>
      </c>
      <c r="H8342" s="379">
        <v>27.911193331783842</v>
      </c>
      <c r="I8342" s="25">
        <v>869.03</v>
      </c>
      <c r="J8342" s="379">
        <v>9.2412204289481767</v>
      </c>
    </row>
    <row r="8343" spans="1:10" x14ac:dyDescent="0.35">
      <c r="A8343" s="5">
        <v>8339</v>
      </c>
      <c r="B8343" s="5">
        <v>348</v>
      </c>
      <c r="C8343" s="5">
        <v>12</v>
      </c>
      <c r="D8343" s="379">
        <v>135.01833333333332</v>
      </c>
      <c r="E8343" s="25">
        <v>37.090000000000003</v>
      </c>
      <c r="F8343" s="379">
        <v>26.410078554750712</v>
      </c>
      <c r="G8343" s="25">
        <v>869.03</v>
      </c>
      <c r="H8343" s="379">
        <v>26.116178943747389</v>
      </c>
      <c r="I8343" s="25">
        <v>869.03</v>
      </c>
      <c r="J8343" s="379">
        <v>7.7970497893640598</v>
      </c>
    </row>
    <row r="8344" spans="1:10" x14ac:dyDescent="0.35">
      <c r="A8344" s="5">
        <v>8340</v>
      </c>
      <c r="B8344" s="5">
        <v>348</v>
      </c>
      <c r="C8344" s="5">
        <v>12</v>
      </c>
      <c r="D8344" s="379">
        <v>134.06888888888889</v>
      </c>
      <c r="E8344" s="25">
        <v>37.090000000000003</v>
      </c>
      <c r="F8344" s="379">
        <v>24.051393622500228</v>
      </c>
      <c r="G8344" s="25">
        <v>843.72</v>
      </c>
      <c r="H8344" s="379">
        <v>20.029815360977306</v>
      </c>
      <c r="I8344" s="25">
        <v>869.03</v>
      </c>
      <c r="J8344" s="379">
        <v>7.2849967050509132</v>
      </c>
    </row>
    <row r="8345" spans="1:10" x14ac:dyDescent="0.35">
      <c r="A8345" s="5">
        <v>8341</v>
      </c>
      <c r="B8345" s="5">
        <v>348</v>
      </c>
      <c r="C8345" s="5">
        <v>12</v>
      </c>
      <c r="D8345" s="379">
        <v>124.73611111111111</v>
      </c>
      <c r="E8345" s="25">
        <v>37.090000000000003</v>
      </c>
      <c r="F8345" s="379">
        <v>26.076001451438849</v>
      </c>
      <c r="G8345" s="25">
        <v>843.72</v>
      </c>
      <c r="H8345" s="379">
        <v>25.971775584761684</v>
      </c>
      <c r="I8345" s="25">
        <v>869.03</v>
      </c>
      <c r="J8345" s="379">
        <v>7.8674218413444583</v>
      </c>
    </row>
    <row r="8346" spans="1:10" x14ac:dyDescent="0.35">
      <c r="A8346" s="5">
        <v>8342</v>
      </c>
      <c r="B8346" s="5">
        <v>348</v>
      </c>
      <c r="C8346" s="5">
        <v>12</v>
      </c>
      <c r="D8346" s="379">
        <v>123.79111111111109</v>
      </c>
      <c r="E8346" s="25">
        <v>37.090000000000003</v>
      </c>
      <c r="F8346" s="379">
        <v>26.041776468440602</v>
      </c>
      <c r="G8346" s="25">
        <v>843.72</v>
      </c>
      <c r="H8346" s="379">
        <v>26.089009270706903</v>
      </c>
      <c r="I8346" s="25">
        <v>869.03</v>
      </c>
      <c r="J8346" s="379">
        <v>7.8936559270523929</v>
      </c>
    </row>
    <row r="8347" spans="1:10" x14ac:dyDescent="0.35">
      <c r="A8347" s="5">
        <v>8343</v>
      </c>
      <c r="B8347" s="5">
        <v>348</v>
      </c>
      <c r="C8347" s="5">
        <v>12</v>
      </c>
      <c r="D8347" s="379">
        <v>125.33666666666666</v>
      </c>
      <c r="E8347" s="25">
        <v>37.090000000000003</v>
      </c>
      <c r="F8347" s="379">
        <v>26.006353882400234</v>
      </c>
      <c r="G8347" s="25">
        <v>843.72</v>
      </c>
      <c r="H8347" s="379">
        <v>26.982607290513222</v>
      </c>
      <c r="I8347" s="25">
        <v>869.03</v>
      </c>
      <c r="J8347" s="379">
        <v>7.8936559270523929</v>
      </c>
    </row>
    <row r="8348" spans="1:10" x14ac:dyDescent="0.35">
      <c r="A8348" s="5">
        <v>8344</v>
      </c>
      <c r="B8348" s="5">
        <v>348</v>
      </c>
      <c r="C8348" s="5">
        <v>12</v>
      </c>
      <c r="D8348" s="379">
        <v>128.50888888888886</v>
      </c>
      <c r="E8348" s="25">
        <v>37.090000000000003</v>
      </c>
      <c r="F8348" s="379">
        <v>26.736934184136125</v>
      </c>
      <c r="G8348" s="25">
        <v>843.72</v>
      </c>
      <c r="H8348" s="379">
        <v>28.31727366088769</v>
      </c>
      <c r="I8348" s="25">
        <v>869.03</v>
      </c>
      <c r="J8348" s="379">
        <v>7.7939192730131923</v>
      </c>
    </row>
    <row r="8349" spans="1:10" x14ac:dyDescent="0.35">
      <c r="A8349" s="5">
        <v>8345</v>
      </c>
      <c r="B8349" s="5">
        <v>348</v>
      </c>
      <c r="C8349" s="5">
        <v>12</v>
      </c>
      <c r="D8349" s="379">
        <v>134.4688888888889</v>
      </c>
      <c r="E8349" s="25">
        <v>38.200000000000003</v>
      </c>
      <c r="F8349" s="379">
        <v>26.015634332394207</v>
      </c>
      <c r="G8349" s="25">
        <v>869.03</v>
      </c>
      <c r="H8349" s="379">
        <v>31.355613819305656</v>
      </c>
      <c r="I8349" s="25">
        <v>869.03</v>
      </c>
      <c r="J8349" s="379">
        <v>9.8701744944065357</v>
      </c>
    </row>
    <row r="8350" spans="1:10" x14ac:dyDescent="0.35">
      <c r="A8350" s="5">
        <v>8346</v>
      </c>
      <c r="B8350" s="5">
        <v>348</v>
      </c>
      <c r="C8350" s="5">
        <v>12</v>
      </c>
      <c r="D8350" s="379">
        <v>138.88888888888889</v>
      </c>
      <c r="E8350" s="25">
        <v>843.72</v>
      </c>
      <c r="F8350" s="379">
        <v>31.28640794734747</v>
      </c>
      <c r="G8350" s="25">
        <v>869.03</v>
      </c>
      <c r="H8350" s="379">
        <v>31.731172671577788</v>
      </c>
      <c r="I8350" s="25">
        <v>869.03</v>
      </c>
      <c r="J8350" s="379">
        <v>9.8798119233750956</v>
      </c>
    </row>
    <row r="8351" spans="1:10" x14ac:dyDescent="0.35">
      <c r="A8351" s="5">
        <v>8347</v>
      </c>
      <c r="B8351" s="5">
        <v>348</v>
      </c>
      <c r="C8351" s="5">
        <v>12</v>
      </c>
      <c r="D8351" s="379">
        <v>132.49111111111111</v>
      </c>
      <c r="E8351" s="25">
        <v>39.340000000000003</v>
      </c>
      <c r="F8351" s="379">
        <v>31.28640794734747</v>
      </c>
      <c r="G8351" s="25">
        <v>869.03</v>
      </c>
      <c r="H8351" s="379">
        <v>31.837082136702691</v>
      </c>
      <c r="I8351" s="25">
        <v>869.03</v>
      </c>
      <c r="J8351" s="379">
        <v>9.8669572866039683</v>
      </c>
    </row>
    <row r="8352" spans="1:10" x14ac:dyDescent="0.35">
      <c r="A8352" s="5">
        <v>8348</v>
      </c>
      <c r="B8352" s="5">
        <v>348</v>
      </c>
      <c r="C8352" s="5">
        <v>12</v>
      </c>
      <c r="D8352" s="379">
        <v>123.50277777777778</v>
      </c>
      <c r="E8352" s="25">
        <v>37.090000000000003</v>
      </c>
      <c r="F8352" s="379">
        <v>31.08262158446561</v>
      </c>
      <c r="G8352" s="25">
        <v>869.03</v>
      </c>
      <c r="H8352" s="379">
        <v>32.651792313840424</v>
      </c>
      <c r="I8352" s="25">
        <v>869.03</v>
      </c>
      <c r="J8352" s="379">
        <v>9.2503078638293008</v>
      </c>
    </row>
    <row r="8353" spans="1:10" x14ac:dyDescent="0.35">
      <c r="A8353" s="5">
        <v>8349</v>
      </c>
      <c r="B8353" s="5">
        <v>348</v>
      </c>
      <c r="C8353" s="5">
        <v>12</v>
      </c>
      <c r="D8353" s="379">
        <v>114.17666666666665</v>
      </c>
      <c r="E8353" s="25">
        <v>36.94</v>
      </c>
      <c r="F8353" s="379">
        <v>28.721417224075644</v>
      </c>
      <c r="G8353" s="25">
        <v>77.53</v>
      </c>
      <c r="H8353" s="379">
        <v>32.141383846741604</v>
      </c>
      <c r="I8353" s="25">
        <v>869.03</v>
      </c>
      <c r="J8353" s="379">
        <v>9.3443659209756884</v>
      </c>
    </row>
    <row r="8354" spans="1:10" x14ac:dyDescent="0.35">
      <c r="A8354" s="5">
        <v>8350</v>
      </c>
      <c r="B8354" s="5">
        <v>348</v>
      </c>
      <c r="C8354" s="5">
        <v>12</v>
      </c>
      <c r="D8354" s="379">
        <v>95.770555555555561</v>
      </c>
      <c r="E8354" s="25">
        <v>35.869999999999997</v>
      </c>
      <c r="F8354" s="379">
        <v>26.940968510295278</v>
      </c>
      <c r="G8354" s="25">
        <v>62.96</v>
      </c>
      <c r="H8354" s="379">
        <v>30.733277465030074</v>
      </c>
      <c r="I8354" s="25">
        <v>869.03</v>
      </c>
      <c r="J8354" s="379">
        <v>9.2503078638293008</v>
      </c>
    </row>
    <row r="8355" spans="1:10" x14ac:dyDescent="0.35">
      <c r="A8355" s="5">
        <v>8351</v>
      </c>
      <c r="B8355" s="5">
        <v>348</v>
      </c>
      <c r="C8355" s="5">
        <v>12</v>
      </c>
      <c r="D8355" s="379">
        <v>86.192777777777792</v>
      </c>
      <c r="E8355" s="25">
        <v>34.82</v>
      </c>
      <c r="F8355" s="379">
        <v>26.467756772817175</v>
      </c>
      <c r="G8355" s="25">
        <v>62.96</v>
      </c>
      <c r="H8355" s="379">
        <v>30.990180798615764</v>
      </c>
      <c r="I8355" s="25">
        <v>869.03</v>
      </c>
      <c r="J8355" s="379">
        <v>9.2503078638293008</v>
      </c>
    </row>
    <row r="8356" spans="1:10" x14ac:dyDescent="0.35">
      <c r="A8356" s="5">
        <v>8352</v>
      </c>
      <c r="B8356" s="5">
        <v>348</v>
      </c>
      <c r="C8356" s="5">
        <v>12</v>
      </c>
      <c r="D8356" s="379">
        <v>82.735000000000014</v>
      </c>
      <c r="E8356" s="25">
        <v>28.11</v>
      </c>
      <c r="F8356" s="379">
        <v>25.804783937986674</v>
      </c>
      <c r="G8356" s="25">
        <v>62.12</v>
      </c>
      <c r="H8356" s="379">
        <v>30.987342269768074</v>
      </c>
      <c r="I8356" s="25">
        <v>869.03</v>
      </c>
      <c r="J8356" s="379">
        <v>10.424370247933437</v>
      </c>
    </row>
    <row r="8357" spans="1:10" x14ac:dyDescent="0.35">
      <c r="A8357" s="5">
        <v>8353</v>
      </c>
      <c r="B8357" s="5">
        <v>349</v>
      </c>
      <c r="C8357" s="5">
        <v>12</v>
      </c>
      <c r="D8357" s="379">
        <v>77.464444444444453</v>
      </c>
      <c r="E8357" s="25">
        <v>26.51</v>
      </c>
      <c r="F8357" s="379">
        <v>24.628982921940125</v>
      </c>
      <c r="G8357" s="25">
        <v>62.12</v>
      </c>
      <c r="H8357" s="379">
        <v>31.07272571697494</v>
      </c>
      <c r="I8357" s="25">
        <v>843.72</v>
      </c>
      <c r="J8357" s="379">
        <v>11.078124024722275</v>
      </c>
    </row>
    <row r="8358" spans="1:10" x14ac:dyDescent="0.35">
      <c r="A8358" s="5">
        <v>8354</v>
      </c>
      <c r="B8358" s="5">
        <v>349</v>
      </c>
      <c r="C8358" s="5">
        <v>12</v>
      </c>
      <c r="D8358" s="379">
        <v>75.471111111111114</v>
      </c>
      <c r="E8358" s="25">
        <v>26.51</v>
      </c>
      <c r="F8358" s="379">
        <v>24.744478670627991</v>
      </c>
      <c r="G8358" s="25">
        <v>62.12</v>
      </c>
      <c r="H8358" s="379">
        <v>30.248309724811381</v>
      </c>
      <c r="I8358" s="25">
        <v>843.72</v>
      </c>
      <c r="J8358" s="379">
        <v>9.560457405643346</v>
      </c>
    </row>
    <row r="8359" spans="1:10" x14ac:dyDescent="0.35">
      <c r="A8359" s="5">
        <v>8355</v>
      </c>
      <c r="B8359" s="5">
        <v>349</v>
      </c>
      <c r="C8359" s="5">
        <v>12</v>
      </c>
      <c r="D8359" s="379">
        <v>73.817222222222227</v>
      </c>
      <c r="E8359" s="25">
        <v>25.74</v>
      </c>
      <c r="F8359" s="379">
        <v>24.611008501183662</v>
      </c>
      <c r="G8359" s="25">
        <v>57.04</v>
      </c>
      <c r="H8359" s="379">
        <v>29.919395389522862</v>
      </c>
      <c r="I8359" s="25">
        <v>843.72</v>
      </c>
      <c r="J8359" s="379">
        <v>9.7213365197329473</v>
      </c>
    </row>
    <row r="8360" spans="1:10" x14ac:dyDescent="0.35">
      <c r="A8360" s="5">
        <v>8356</v>
      </c>
      <c r="B8360" s="5">
        <v>349</v>
      </c>
      <c r="C8360" s="5">
        <v>12</v>
      </c>
      <c r="D8360" s="379">
        <v>71.600555555555559</v>
      </c>
      <c r="E8360" s="25">
        <v>25.74</v>
      </c>
      <c r="F8360" s="379">
        <v>24.744478670627991</v>
      </c>
      <c r="G8360" s="25">
        <v>57.56</v>
      </c>
      <c r="H8360" s="379">
        <v>29.833926482594212</v>
      </c>
      <c r="I8360" s="25">
        <v>843.72</v>
      </c>
      <c r="J8360" s="379">
        <v>9.3046796476227822</v>
      </c>
    </row>
    <row r="8361" spans="1:10" x14ac:dyDescent="0.35">
      <c r="A8361" s="5">
        <v>8357</v>
      </c>
      <c r="B8361" s="5">
        <v>349</v>
      </c>
      <c r="C8361" s="5">
        <v>12</v>
      </c>
      <c r="D8361" s="379">
        <v>72.603888888888875</v>
      </c>
      <c r="E8361" s="25">
        <v>26.35</v>
      </c>
      <c r="F8361" s="379">
        <v>25.563426057850222</v>
      </c>
      <c r="G8361" s="25">
        <v>62.12</v>
      </c>
      <c r="H8361" s="379">
        <v>31.627119792406219</v>
      </c>
      <c r="I8361" s="25">
        <v>843.72</v>
      </c>
      <c r="J8361" s="379">
        <v>9.64652035201531</v>
      </c>
    </row>
    <row r="8362" spans="1:10" x14ac:dyDescent="0.35">
      <c r="A8362" s="5">
        <v>8358</v>
      </c>
      <c r="B8362" s="5">
        <v>349</v>
      </c>
      <c r="C8362" s="5">
        <v>12</v>
      </c>
      <c r="D8362" s="379">
        <v>76.276666666666671</v>
      </c>
      <c r="E8362" s="25">
        <v>27.3</v>
      </c>
      <c r="F8362" s="379">
        <v>25.823942258205694</v>
      </c>
      <c r="G8362" s="25">
        <v>62.12</v>
      </c>
      <c r="H8362" s="379">
        <v>30.878750793221936</v>
      </c>
      <c r="I8362" s="25">
        <v>843.72</v>
      </c>
      <c r="J8362" s="379">
        <v>9.8624209191776782</v>
      </c>
    </row>
    <row r="8363" spans="1:10" x14ac:dyDescent="0.35">
      <c r="A8363" s="5">
        <v>8359</v>
      </c>
      <c r="B8363" s="5">
        <v>349</v>
      </c>
      <c r="C8363" s="5">
        <v>12</v>
      </c>
      <c r="D8363" s="379">
        <v>88.151111111111121</v>
      </c>
      <c r="E8363" s="25">
        <v>30.91</v>
      </c>
      <c r="F8363" s="379">
        <v>25.740405336137428</v>
      </c>
      <c r="G8363" s="25">
        <v>62.12</v>
      </c>
      <c r="H8363" s="379">
        <v>28.716732953509823</v>
      </c>
      <c r="I8363" s="25">
        <v>869.03</v>
      </c>
      <c r="J8363" s="379">
        <v>9.601956577367492</v>
      </c>
    </row>
    <row r="8364" spans="1:10" x14ac:dyDescent="0.35">
      <c r="A8364" s="5">
        <v>8360</v>
      </c>
      <c r="B8364" s="5">
        <v>349</v>
      </c>
      <c r="C8364" s="5">
        <v>12</v>
      </c>
      <c r="D8364" s="379">
        <v>110.31555555555556</v>
      </c>
      <c r="E8364" s="25">
        <v>37.090000000000003</v>
      </c>
      <c r="F8364" s="379">
        <v>25.968283945238376</v>
      </c>
      <c r="G8364" s="25">
        <v>843.72</v>
      </c>
      <c r="H8364" s="379">
        <v>30.984207496671651</v>
      </c>
      <c r="I8364" s="25">
        <v>869.03</v>
      </c>
      <c r="J8364" s="379">
        <v>9.7442709620250447</v>
      </c>
    </row>
    <row r="8365" spans="1:10" x14ac:dyDescent="0.35">
      <c r="A8365" s="5">
        <v>8361</v>
      </c>
      <c r="B8365" s="5">
        <v>349</v>
      </c>
      <c r="C8365" s="5">
        <v>12</v>
      </c>
      <c r="D8365" s="379">
        <v>120.15722222222222</v>
      </c>
      <c r="E8365" s="25">
        <v>37.090000000000003</v>
      </c>
      <c r="F8365" s="379">
        <v>25.630345412046424</v>
      </c>
      <c r="G8365" s="25">
        <v>843.72</v>
      </c>
      <c r="H8365" s="379">
        <v>32.500304961444932</v>
      </c>
      <c r="I8365" s="25">
        <v>869.03</v>
      </c>
      <c r="J8365" s="379">
        <v>9.55045021679922</v>
      </c>
    </row>
    <row r="8366" spans="1:10" x14ac:dyDescent="0.35">
      <c r="A8366" s="5">
        <v>8362</v>
      </c>
      <c r="B8366" s="5">
        <v>349</v>
      </c>
      <c r="C8366" s="5">
        <v>12</v>
      </c>
      <c r="D8366" s="379">
        <v>119.29888888888888</v>
      </c>
      <c r="E8366" s="25">
        <v>37.090000000000003</v>
      </c>
      <c r="F8366" s="379">
        <v>24.141230128609763</v>
      </c>
      <c r="G8366" s="25">
        <v>843.72</v>
      </c>
      <c r="H8366" s="379">
        <v>26.996259446925549</v>
      </c>
      <c r="I8366" s="25">
        <v>869.03</v>
      </c>
      <c r="J8366" s="379">
        <v>7.1748652312094512</v>
      </c>
    </row>
    <row r="8367" spans="1:10" x14ac:dyDescent="0.35">
      <c r="A8367" s="5">
        <v>8363</v>
      </c>
      <c r="B8367" s="5">
        <v>349</v>
      </c>
      <c r="C8367" s="5">
        <v>12</v>
      </c>
      <c r="D8367" s="379">
        <v>116.0072222222222</v>
      </c>
      <c r="E8367" s="25">
        <v>37.090000000000003</v>
      </c>
      <c r="F8367" s="379">
        <v>22.959452077461393</v>
      </c>
      <c r="G8367" s="25">
        <v>843.72</v>
      </c>
      <c r="H8367" s="379">
        <v>26.597977124384919</v>
      </c>
      <c r="I8367" s="25">
        <v>869.03</v>
      </c>
      <c r="J8367" s="379">
        <v>5.6526914915324218</v>
      </c>
    </row>
    <row r="8368" spans="1:10" x14ac:dyDescent="0.35">
      <c r="A8368" s="5">
        <v>8364</v>
      </c>
      <c r="B8368" s="5">
        <v>349</v>
      </c>
      <c r="C8368" s="5">
        <v>12</v>
      </c>
      <c r="D8368" s="379">
        <v>112.81444444444443</v>
      </c>
      <c r="E8368" s="25">
        <v>37.090000000000003</v>
      </c>
      <c r="F8368" s="379">
        <v>23.806342177828554</v>
      </c>
      <c r="G8368" s="25">
        <v>843.72</v>
      </c>
      <c r="H8368" s="379">
        <v>26.330848575834267</v>
      </c>
      <c r="I8368" s="25">
        <v>869.03</v>
      </c>
      <c r="J8368" s="379">
        <v>6.8702900129565601</v>
      </c>
    </row>
    <row r="8369" spans="1:10" x14ac:dyDescent="0.35">
      <c r="A8369" s="5">
        <v>8365</v>
      </c>
      <c r="B8369" s="5">
        <v>349</v>
      </c>
      <c r="C8369" s="5">
        <v>12</v>
      </c>
      <c r="D8369" s="379">
        <v>106.29833333333335</v>
      </c>
      <c r="E8369" s="25">
        <v>37.090000000000003</v>
      </c>
      <c r="F8369" s="379">
        <v>25.137331640966316</v>
      </c>
      <c r="G8369" s="25">
        <v>843.72</v>
      </c>
      <c r="H8369" s="379">
        <v>26.830722008580988</v>
      </c>
      <c r="I8369" s="25">
        <v>860.85</v>
      </c>
      <c r="J8369" s="379">
        <v>7.7271672263262605</v>
      </c>
    </row>
    <row r="8370" spans="1:10" x14ac:dyDescent="0.35">
      <c r="A8370" s="5">
        <v>8366</v>
      </c>
      <c r="B8370" s="5">
        <v>349</v>
      </c>
      <c r="C8370" s="5">
        <v>12</v>
      </c>
      <c r="D8370" s="379">
        <v>105.92500000000001</v>
      </c>
      <c r="E8370" s="25">
        <v>37.090000000000003</v>
      </c>
      <c r="F8370" s="379">
        <v>25.303842815256598</v>
      </c>
      <c r="G8370" s="25">
        <v>843.72</v>
      </c>
      <c r="H8370" s="379">
        <v>27.971888704165476</v>
      </c>
      <c r="I8370" s="25">
        <v>852.24</v>
      </c>
      <c r="J8370" s="379">
        <v>7.819094511800416</v>
      </c>
    </row>
    <row r="8371" spans="1:10" x14ac:dyDescent="0.35">
      <c r="A8371" s="5">
        <v>8367</v>
      </c>
      <c r="B8371" s="5">
        <v>349</v>
      </c>
      <c r="C8371" s="5">
        <v>12</v>
      </c>
      <c r="D8371" s="379">
        <v>113.48222222222222</v>
      </c>
      <c r="E8371" s="25">
        <v>37.090000000000003</v>
      </c>
      <c r="F8371" s="379">
        <v>25.188391619732215</v>
      </c>
      <c r="G8371" s="25">
        <v>843.72</v>
      </c>
      <c r="H8371" s="379">
        <v>24.958048732372486</v>
      </c>
      <c r="I8371" s="25">
        <v>852.24</v>
      </c>
      <c r="J8371" s="379">
        <v>7.3298638306366053</v>
      </c>
    </row>
    <row r="8372" spans="1:10" x14ac:dyDescent="0.35">
      <c r="A8372" s="5">
        <v>8368</v>
      </c>
      <c r="B8372" s="5">
        <v>349</v>
      </c>
      <c r="C8372" s="5">
        <v>12</v>
      </c>
      <c r="D8372" s="379">
        <v>116.8388888888889</v>
      </c>
      <c r="E8372" s="25">
        <v>37.090000000000003</v>
      </c>
      <c r="F8372" s="379">
        <v>26.395552723284982</v>
      </c>
      <c r="G8372" s="25">
        <v>843.72</v>
      </c>
      <c r="H8372" s="379">
        <v>26.574777452278838</v>
      </c>
      <c r="I8372" s="25">
        <v>852.24</v>
      </c>
      <c r="J8372" s="379">
        <v>7.8652730071497148</v>
      </c>
    </row>
    <row r="8373" spans="1:10" x14ac:dyDescent="0.35">
      <c r="A8373" s="5">
        <v>8369</v>
      </c>
      <c r="B8373" s="5">
        <v>349</v>
      </c>
      <c r="C8373" s="5">
        <v>12</v>
      </c>
      <c r="D8373" s="379">
        <v>122.89222222222222</v>
      </c>
      <c r="E8373" s="25">
        <v>37.090000000000003</v>
      </c>
      <c r="F8373" s="379">
        <v>25.598173234087817</v>
      </c>
      <c r="G8373" s="25">
        <v>843.72</v>
      </c>
      <c r="H8373" s="379">
        <v>26.374429846565988</v>
      </c>
      <c r="I8373" s="25">
        <v>869.03</v>
      </c>
      <c r="J8373" s="379">
        <v>7.4708132092517134</v>
      </c>
    </row>
    <row r="8374" spans="1:10" x14ac:dyDescent="0.35">
      <c r="A8374" s="5">
        <v>8370</v>
      </c>
      <c r="B8374" s="5">
        <v>349</v>
      </c>
      <c r="C8374" s="5">
        <v>12</v>
      </c>
      <c r="D8374" s="379">
        <v>125.26055555555556</v>
      </c>
      <c r="E8374" s="25">
        <v>37.090000000000003</v>
      </c>
      <c r="F8374" s="379">
        <v>25.753401030099511</v>
      </c>
      <c r="G8374" s="25">
        <v>843.72</v>
      </c>
      <c r="H8374" s="379">
        <v>24.370114616836823</v>
      </c>
      <c r="I8374" s="25">
        <v>869.03</v>
      </c>
      <c r="J8374" s="379">
        <v>7.2262186399970592</v>
      </c>
    </row>
    <row r="8375" spans="1:10" x14ac:dyDescent="0.35">
      <c r="A8375" s="5">
        <v>8371</v>
      </c>
      <c r="B8375" s="5">
        <v>349</v>
      </c>
      <c r="C8375" s="5">
        <v>12</v>
      </c>
      <c r="D8375" s="379">
        <v>124.03777777777779</v>
      </c>
      <c r="E8375" s="25">
        <v>37.090000000000003</v>
      </c>
      <c r="F8375" s="379">
        <v>25.645271960121448</v>
      </c>
      <c r="G8375" s="25">
        <v>843.72</v>
      </c>
      <c r="H8375" s="379">
        <v>19.205759894099454</v>
      </c>
      <c r="I8375" s="25">
        <v>869.03</v>
      </c>
      <c r="J8375" s="379">
        <v>4.4906516819784406</v>
      </c>
    </row>
    <row r="8376" spans="1:10" x14ac:dyDescent="0.35">
      <c r="A8376" s="5">
        <v>8372</v>
      </c>
      <c r="B8376" s="5">
        <v>349</v>
      </c>
      <c r="C8376" s="5">
        <v>12</v>
      </c>
      <c r="D8376" s="379">
        <v>119.09833333333333</v>
      </c>
      <c r="E8376" s="25">
        <v>36.94</v>
      </c>
      <c r="F8376" s="379">
        <v>25.217711987892155</v>
      </c>
      <c r="G8376" s="25">
        <v>819.14</v>
      </c>
      <c r="H8376" s="379">
        <v>17.49933635442148</v>
      </c>
      <c r="I8376" s="25">
        <v>843.72</v>
      </c>
      <c r="J8376" s="379">
        <v>6.5480649958455039</v>
      </c>
    </row>
    <row r="8377" spans="1:10" x14ac:dyDescent="0.35">
      <c r="A8377" s="5">
        <v>8373</v>
      </c>
      <c r="B8377" s="5">
        <v>349</v>
      </c>
      <c r="C8377" s="5">
        <v>12</v>
      </c>
      <c r="D8377" s="379">
        <v>110.61388888888888</v>
      </c>
      <c r="E8377" s="25">
        <v>30.91</v>
      </c>
      <c r="F8377" s="379">
        <v>22.816031543052301</v>
      </c>
      <c r="G8377" s="25">
        <v>62.75</v>
      </c>
      <c r="H8377" s="379">
        <v>9.841752261485377</v>
      </c>
      <c r="I8377" s="25">
        <v>843.72</v>
      </c>
      <c r="J8377" s="379">
        <v>5.9945096567845333</v>
      </c>
    </row>
    <row r="8378" spans="1:10" x14ac:dyDescent="0.35">
      <c r="A8378" s="5">
        <v>8374</v>
      </c>
      <c r="B8378" s="5">
        <v>349</v>
      </c>
      <c r="C8378" s="5">
        <v>12</v>
      </c>
      <c r="D8378" s="379">
        <v>96.321111111111094</v>
      </c>
      <c r="E8378" s="25">
        <v>27.3</v>
      </c>
      <c r="F8378" s="379">
        <v>13.840436067630984</v>
      </c>
      <c r="G8378" s="25">
        <v>60.51</v>
      </c>
      <c r="H8378" s="379">
        <v>9.3560701075657349</v>
      </c>
      <c r="I8378" s="25">
        <v>843.72</v>
      </c>
      <c r="J8378" s="379">
        <v>5.1505700093147357</v>
      </c>
    </row>
    <row r="8379" spans="1:10" x14ac:dyDescent="0.35">
      <c r="A8379" s="5">
        <v>8375</v>
      </c>
      <c r="B8379" s="5">
        <v>349</v>
      </c>
      <c r="C8379" s="5">
        <v>12</v>
      </c>
      <c r="D8379" s="379">
        <v>91.559444444444452</v>
      </c>
      <c r="E8379" s="25">
        <v>25.74</v>
      </c>
      <c r="F8379" s="379">
        <v>9.8275103966736967</v>
      </c>
      <c r="G8379" s="25">
        <v>56.02</v>
      </c>
      <c r="H8379" s="379">
        <v>8.7241785634023916</v>
      </c>
      <c r="I8379" s="25">
        <v>819.14</v>
      </c>
      <c r="J8379" s="379">
        <v>5.3548515838452344</v>
      </c>
    </row>
    <row r="8380" spans="1:10" x14ac:dyDescent="0.35">
      <c r="A8380" s="5">
        <v>8376</v>
      </c>
      <c r="B8380" s="5">
        <v>349</v>
      </c>
      <c r="C8380" s="5">
        <v>12</v>
      </c>
      <c r="D8380" s="379">
        <v>82.728333333333339</v>
      </c>
      <c r="E8380" s="25">
        <v>25.74</v>
      </c>
      <c r="F8380" s="379">
        <v>9.5940849117379461</v>
      </c>
      <c r="G8380" s="25">
        <v>54.15</v>
      </c>
      <c r="H8380" s="379">
        <v>9.3052760291675245</v>
      </c>
      <c r="I8380" s="25">
        <v>717.16</v>
      </c>
      <c r="J8380" s="379">
        <v>5.9893001855312287</v>
      </c>
    </row>
    <row r="8381" spans="1:10" x14ac:dyDescent="0.35">
      <c r="A8381" s="5">
        <v>8377</v>
      </c>
      <c r="B8381" s="5">
        <v>350</v>
      </c>
      <c r="C8381" s="5">
        <v>12</v>
      </c>
      <c r="D8381" s="379">
        <v>81.686111111111103</v>
      </c>
      <c r="E8381" s="25">
        <v>25.59</v>
      </c>
      <c r="F8381" s="379">
        <v>8.9358772943787219</v>
      </c>
      <c r="G8381" s="25">
        <v>52.2</v>
      </c>
      <c r="H8381" s="379">
        <v>9.5084299344379399</v>
      </c>
      <c r="I8381" s="25">
        <v>548.41</v>
      </c>
      <c r="J8381" s="379">
        <v>4.2852498065387987</v>
      </c>
    </row>
    <row r="8382" spans="1:10" x14ac:dyDescent="0.35">
      <c r="A8382" s="5">
        <v>8378</v>
      </c>
      <c r="B8382" s="5">
        <v>350</v>
      </c>
      <c r="C8382" s="5">
        <v>12</v>
      </c>
      <c r="D8382" s="379">
        <v>80.143888888888895</v>
      </c>
      <c r="E8382" s="25">
        <v>25.59</v>
      </c>
      <c r="F8382" s="379">
        <v>8.1587010980702175</v>
      </c>
      <c r="G8382" s="25">
        <v>47.85</v>
      </c>
      <c r="H8382" s="379">
        <v>9.4590646396217455</v>
      </c>
      <c r="I8382" s="25">
        <v>147.82</v>
      </c>
      <c r="J8382" s="379">
        <v>4.3760739511912652</v>
      </c>
    </row>
    <row r="8383" spans="1:10" x14ac:dyDescent="0.35">
      <c r="A8383" s="5">
        <v>8379</v>
      </c>
      <c r="B8383" s="5">
        <v>350</v>
      </c>
      <c r="C8383" s="5">
        <v>12</v>
      </c>
      <c r="D8383" s="379">
        <v>78.593333333333348</v>
      </c>
      <c r="E8383" s="25">
        <v>25.01</v>
      </c>
      <c r="F8383" s="379">
        <v>8.1814390423467955</v>
      </c>
      <c r="G8383" s="25">
        <v>47.85</v>
      </c>
      <c r="H8383" s="379">
        <v>9.1946508462650449</v>
      </c>
      <c r="I8383" s="25">
        <v>139.33000000000001</v>
      </c>
      <c r="J8383" s="379">
        <v>3.9009989197284671</v>
      </c>
    </row>
    <row r="8384" spans="1:10" x14ac:dyDescent="0.35">
      <c r="A8384" s="5">
        <v>8380</v>
      </c>
      <c r="B8384" s="5">
        <v>350</v>
      </c>
      <c r="C8384" s="5">
        <v>12</v>
      </c>
      <c r="D8384" s="379">
        <v>77.223333333333343</v>
      </c>
      <c r="E8384" s="25">
        <v>25.01</v>
      </c>
      <c r="F8384" s="379">
        <v>8.1174834595959595</v>
      </c>
      <c r="G8384" s="25">
        <v>47.85</v>
      </c>
      <c r="H8384" s="379">
        <v>6.890360832177798</v>
      </c>
      <c r="I8384" s="25">
        <v>72.19</v>
      </c>
      <c r="J8384" s="379">
        <v>4.4821249316654832</v>
      </c>
    </row>
    <row r="8385" spans="1:10" x14ac:dyDescent="0.35">
      <c r="A8385" s="5">
        <v>8381</v>
      </c>
      <c r="B8385" s="5">
        <v>350</v>
      </c>
      <c r="C8385" s="5">
        <v>12</v>
      </c>
      <c r="D8385" s="379">
        <v>80.117222222222225</v>
      </c>
      <c r="E8385" s="25">
        <v>25.01</v>
      </c>
      <c r="F8385" s="379">
        <v>8.2748639905694112</v>
      </c>
      <c r="G8385" s="25">
        <v>47.85</v>
      </c>
      <c r="H8385" s="379">
        <v>6.3296713135291345</v>
      </c>
      <c r="I8385" s="25">
        <v>139.33000000000001</v>
      </c>
      <c r="J8385" s="379">
        <v>3.8407740534492572</v>
      </c>
    </row>
    <row r="8386" spans="1:10" x14ac:dyDescent="0.35">
      <c r="A8386" s="5">
        <v>8382</v>
      </c>
      <c r="B8386" s="5">
        <v>350</v>
      </c>
      <c r="C8386" s="5">
        <v>12</v>
      </c>
      <c r="D8386" s="379">
        <v>85.408888888888896</v>
      </c>
      <c r="E8386" s="25">
        <v>25.59</v>
      </c>
      <c r="F8386" s="379">
        <v>8.2133553145772531</v>
      </c>
      <c r="G8386" s="25">
        <v>52.2</v>
      </c>
      <c r="H8386" s="379">
        <v>7.2347244559522972</v>
      </c>
      <c r="I8386" s="25">
        <v>548.41</v>
      </c>
      <c r="J8386" s="379">
        <v>3.9009989197284671</v>
      </c>
    </row>
    <row r="8387" spans="1:10" x14ac:dyDescent="0.35">
      <c r="A8387" s="5">
        <v>8383</v>
      </c>
      <c r="B8387" s="5">
        <v>350</v>
      </c>
      <c r="C8387" s="5">
        <v>12</v>
      </c>
      <c r="D8387" s="379">
        <v>99.117222222222225</v>
      </c>
      <c r="E8387" s="25">
        <v>25.74</v>
      </c>
      <c r="F8387" s="379">
        <v>8.3883708870256104</v>
      </c>
      <c r="G8387" s="25">
        <v>54.15</v>
      </c>
      <c r="H8387" s="379">
        <v>6.9903802928623113</v>
      </c>
      <c r="I8387" s="25">
        <v>603.30999999999995</v>
      </c>
      <c r="J8387" s="379">
        <v>3.9009989197284671</v>
      </c>
    </row>
    <row r="8388" spans="1:10" x14ac:dyDescent="0.35">
      <c r="A8388" s="5">
        <v>8384</v>
      </c>
      <c r="B8388" s="5">
        <v>350</v>
      </c>
      <c r="C8388" s="5">
        <v>12</v>
      </c>
      <c r="D8388" s="379">
        <v>122.47777777777779</v>
      </c>
      <c r="E8388" s="25">
        <v>29.14</v>
      </c>
      <c r="F8388" s="379">
        <v>8.5820368296799305</v>
      </c>
      <c r="G8388" s="25">
        <v>63.07</v>
      </c>
      <c r="H8388" s="379">
        <v>7.1785553633277024</v>
      </c>
      <c r="I8388" s="25">
        <v>795.29</v>
      </c>
      <c r="J8388" s="379">
        <v>4.2852498065387987</v>
      </c>
    </row>
    <row r="8389" spans="1:10" x14ac:dyDescent="0.35">
      <c r="A8389" s="5">
        <v>8385</v>
      </c>
      <c r="B8389" s="5">
        <v>350</v>
      </c>
      <c r="C8389" s="5">
        <v>12</v>
      </c>
      <c r="D8389" s="379">
        <v>136.63833333333335</v>
      </c>
      <c r="E8389" s="25">
        <v>29.42</v>
      </c>
      <c r="F8389" s="379">
        <v>8.8544087483908402</v>
      </c>
      <c r="G8389" s="25">
        <v>63.07</v>
      </c>
      <c r="H8389" s="379">
        <v>7.0058181423156043</v>
      </c>
      <c r="I8389" s="25">
        <v>819.14</v>
      </c>
      <c r="J8389" s="379">
        <v>0.85176433298389465</v>
      </c>
    </row>
    <row r="8390" spans="1:10" x14ac:dyDescent="0.35">
      <c r="A8390" s="5">
        <v>8386</v>
      </c>
      <c r="B8390" s="5">
        <v>350</v>
      </c>
      <c r="C8390" s="5">
        <v>12</v>
      </c>
      <c r="D8390" s="379">
        <v>138.88888888888889</v>
      </c>
      <c r="E8390" s="25">
        <v>29.14</v>
      </c>
      <c r="F8390" s="379">
        <v>9.091155542191137</v>
      </c>
      <c r="G8390" s="25">
        <v>63.07</v>
      </c>
      <c r="H8390" s="379">
        <v>7.0099938108635476</v>
      </c>
      <c r="I8390" s="25">
        <v>795.29</v>
      </c>
      <c r="J8390" s="379">
        <v>3.4896987352646223</v>
      </c>
    </row>
    <row r="8391" spans="1:10" x14ac:dyDescent="0.35">
      <c r="A8391" s="5">
        <v>8387</v>
      </c>
      <c r="B8391" s="5">
        <v>350</v>
      </c>
      <c r="C8391" s="5">
        <v>12</v>
      </c>
      <c r="D8391" s="379">
        <v>134.95611111111111</v>
      </c>
      <c r="E8391" s="25">
        <v>28.15</v>
      </c>
      <c r="F8391" s="379">
        <v>8.8208075809456847</v>
      </c>
      <c r="G8391" s="25">
        <v>62.33</v>
      </c>
      <c r="H8391" s="379">
        <v>6.8460883712290199</v>
      </c>
      <c r="I8391" s="25">
        <v>691.4</v>
      </c>
      <c r="J8391" s="379">
        <v>6.4671432372328574</v>
      </c>
    </row>
    <row r="8392" spans="1:10" x14ac:dyDescent="0.35">
      <c r="A8392" s="5">
        <v>8388</v>
      </c>
      <c r="B8392" s="5">
        <v>350</v>
      </c>
      <c r="C8392" s="5">
        <v>12</v>
      </c>
      <c r="D8392" s="379">
        <v>132.86222222222221</v>
      </c>
      <c r="E8392" s="25">
        <v>28.15</v>
      </c>
      <c r="F8392" s="379">
        <v>9.3653648204882849</v>
      </c>
      <c r="G8392" s="25">
        <v>62.33</v>
      </c>
      <c r="H8392" s="379">
        <v>7.0712824772859841</v>
      </c>
      <c r="I8392" s="25">
        <v>656.3</v>
      </c>
      <c r="J8392" s="379">
        <v>3.4578779564079332</v>
      </c>
    </row>
    <row r="8393" spans="1:10" x14ac:dyDescent="0.35">
      <c r="A8393" s="5">
        <v>8389</v>
      </c>
      <c r="B8393" s="5">
        <v>350</v>
      </c>
      <c r="C8393" s="5">
        <v>12</v>
      </c>
      <c r="D8393" s="379">
        <v>122.285</v>
      </c>
      <c r="E8393" s="25">
        <v>27.33</v>
      </c>
      <c r="F8393" s="379">
        <v>8.8430693533948883</v>
      </c>
      <c r="G8393" s="25">
        <v>54.15</v>
      </c>
      <c r="H8393" s="379">
        <v>7.2176690447723226</v>
      </c>
      <c r="I8393" s="25">
        <v>587.69000000000005</v>
      </c>
      <c r="J8393" s="379">
        <v>5.1228794056093747</v>
      </c>
    </row>
    <row r="8394" spans="1:10" x14ac:dyDescent="0.35">
      <c r="A8394" s="5">
        <v>8390</v>
      </c>
      <c r="B8394" s="5">
        <v>350</v>
      </c>
      <c r="C8394" s="5">
        <v>12</v>
      </c>
      <c r="D8394" s="379">
        <v>118.4361111111111</v>
      </c>
      <c r="E8394" s="25">
        <v>27.33</v>
      </c>
      <c r="F8394" s="379">
        <v>8.8333562550791918</v>
      </c>
      <c r="G8394" s="25">
        <v>53.61</v>
      </c>
      <c r="H8394" s="379">
        <v>7.1696295313410063</v>
      </c>
      <c r="I8394" s="25">
        <v>587.69000000000005</v>
      </c>
      <c r="J8394" s="379">
        <v>6.4903014314759533</v>
      </c>
    </row>
    <row r="8395" spans="1:10" x14ac:dyDescent="0.35">
      <c r="A8395" s="5">
        <v>8391</v>
      </c>
      <c r="B8395" s="5">
        <v>350</v>
      </c>
      <c r="C8395" s="5">
        <v>12</v>
      </c>
      <c r="D8395" s="379">
        <v>119.63666666666667</v>
      </c>
      <c r="E8395" s="25">
        <v>27.33</v>
      </c>
      <c r="F8395" s="379">
        <v>9.3673855734666702</v>
      </c>
      <c r="G8395" s="25">
        <v>54.15</v>
      </c>
      <c r="H8395" s="379">
        <v>6.6771791762082096</v>
      </c>
      <c r="I8395" s="25">
        <v>587.69000000000005</v>
      </c>
      <c r="J8395" s="379">
        <v>6.4903014314759533</v>
      </c>
    </row>
    <row r="8396" spans="1:10" x14ac:dyDescent="0.35">
      <c r="A8396" s="5">
        <v>8392</v>
      </c>
      <c r="B8396" s="5">
        <v>350</v>
      </c>
      <c r="C8396" s="5">
        <v>12</v>
      </c>
      <c r="D8396" s="379">
        <v>120.58944444444444</v>
      </c>
      <c r="E8396" s="25">
        <v>28.15</v>
      </c>
      <c r="F8396" s="379">
        <v>9.6548012759382118</v>
      </c>
      <c r="G8396" s="25">
        <v>54.15</v>
      </c>
      <c r="H8396" s="379">
        <v>7.8249542033799315</v>
      </c>
      <c r="I8396" s="25">
        <v>593.63</v>
      </c>
      <c r="J8396" s="379">
        <v>4.8825389325736079</v>
      </c>
    </row>
    <row r="8397" spans="1:10" x14ac:dyDescent="0.35">
      <c r="A8397" s="5">
        <v>8393</v>
      </c>
      <c r="B8397" s="5">
        <v>350</v>
      </c>
      <c r="C8397" s="5">
        <v>12</v>
      </c>
      <c r="D8397" s="379">
        <v>124.63833333333332</v>
      </c>
      <c r="E8397" s="25">
        <v>29.14</v>
      </c>
      <c r="F8397" s="379">
        <v>9.6954317934238805</v>
      </c>
      <c r="G8397" s="25">
        <v>62.33</v>
      </c>
      <c r="H8397" s="379">
        <v>7.3817635758679847</v>
      </c>
      <c r="I8397" s="25">
        <v>691.4</v>
      </c>
      <c r="J8397" s="379">
        <v>1.9906289018221985</v>
      </c>
    </row>
    <row r="8398" spans="1:10" x14ac:dyDescent="0.35">
      <c r="A8398" s="5">
        <v>8394</v>
      </c>
      <c r="B8398" s="5">
        <v>350</v>
      </c>
      <c r="C8398" s="5">
        <v>12</v>
      </c>
      <c r="D8398" s="379">
        <v>128.25666666666666</v>
      </c>
      <c r="E8398" s="25">
        <v>33.81</v>
      </c>
      <c r="F8398" s="379">
        <v>9.6552691206661905</v>
      </c>
      <c r="G8398" s="25">
        <v>65.900000000000006</v>
      </c>
      <c r="H8398" s="379">
        <v>7.4275710852298999</v>
      </c>
      <c r="I8398" s="25">
        <v>819.14</v>
      </c>
      <c r="J8398" s="379">
        <v>6.7847409508375245</v>
      </c>
    </row>
    <row r="8399" spans="1:10" x14ac:dyDescent="0.35">
      <c r="A8399" s="5">
        <v>8395</v>
      </c>
      <c r="B8399" s="5">
        <v>350</v>
      </c>
      <c r="C8399" s="5">
        <v>12</v>
      </c>
      <c r="D8399" s="379">
        <v>124.00388888888889</v>
      </c>
      <c r="E8399" s="25">
        <v>29.42</v>
      </c>
      <c r="F8399" s="379">
        <v>9.6552691206661905</v>
      </c>
      <c r="G8399" s="25">
        <v>65.900000000000006</v>
      </c>
      <c r="H8399" s="379">
        <v>7.0054218616556714</v>
      </c>
      <c r="I8399" s="25">
        <v>795.29</v>
      </c>
      <c r="J8399" s="379">
        <v>4.2087205669782266</v>
      </c>
    </row>
    <row r="8400" spans="1:10" x14ac:dyDescent="0.35">
      <c r="A8400" s="5">
        <v>8396</v>
      </c>
      <c r="B8400" s="5">
        <v>350</v>
      </c>
      <c r="C8400" s="5">
        <v>12</v>
      </c>
      <c r="D8400" s="379">
        <v>117.67666666666665</v>
      </c>
      <c r="E8400" s="25">
        <v>28.15</v>
      </c>
      <c r="F8400" s="379">
        <v>9.6397480655745387</v>
      </c>
      <c r="G8400" s="25">
        <v>63.07</v>
      </c>
      <c r="H8400" s="379">
        <v>6.8135420920958856</v>
      </c>
      <c r="I8400" s="25">
        <v>795.29</v>
      </c>
      <c r="J8400" s="379">
        <v>4.6307351471908698</v>
      </c>
    </row>
    <row r="8401" spans="1:10" x14ac:dyDescent="0.35">
      <c r="A8401" s="5">
        <v>8397</v>
      </c>
      <c r="B8401" s="5">
        <v>350</v>
      </c>
      <c r="C8401" s="5">
        <v>12</v>
      </c>
      <c r="D8401" s="379">
        <v>100.61555555555556</v>
      </c>
      <c r="E8401" s="25">
        <v>27.3</v>
      </c>
      <c r="F8401" s="379">
        <v>8.90305963342254</v>
      </c>
      <c r="G8401" s="25">
        <v>57.04</v>
      </c>
      <c r="H8401" s="379">
        <v>6.6003550458920621</v>
      </c>
      <c r="I8401" s="25">
        <v>691.4</v>
      </c>
      <c r="J8401" s="379">
        <v>3.8007972997678201</v>
      </c>
    </row>
    <row r="8402" spans="1:10" x14ac:dyDescent="0.35">
      <c r="A8402" s="5">
        <v>8398</v>
      </c>
      <c r="B8402" s="5">
        <v>350</v>
      </c>
      <c r="C8402" s="5">
        <v>12</v>
      </c>
      <c r="D8402" s="379">
        <v>87.786666666666676</v>
      </c>
      <c r="E8402" s="25">
        <v>25.74</v>
      </c>
      <c r="F8402" s="379">
        <v>8.1174834595959577</v>
      </c>
      <c r="G8402" s="25">
        <v>53.07</v>
      </c>
      <c r="H8402" s="379">
        <v>6.491134732016814</v>
      </c>
      <c r="I8402" s="25">
        <v>553.95000000000005</v>
      </c>
      <c r="J8402" s="379">
        <v>4.8417407780793846</v>
      </c>
    </row>
    <row r="8403" spans="1:10" x14ac:dyDescent="0.35">
      <c r="A8403" s="5">
        <v>8399</v>
      </c>
      <c r="B8403" s="5">
        <v>350</v>
      </c>
      <c r="C8403" s="5">
        <v>12</v>
      </c>
      <c r="D8403" s="379">
        <v>82.173333333333318</v>
      </c>
      <c r="E8403" s="25">
        <v>25.74</v>
      </c>
      <c r="F8403" s="379">
        <v>8.1174834595959595</v>
      </c>
      <c r="G8403" s="25">
        <v>53.61</v>
      </c>
      <c r="H8403" s="379">
        <v>6.6348715359119179</v>
      </c>
      <c r="I8403" s="25">
        <v>163.92</v>
      </c>
      <c r="J8403" s="379">
        <v>3.6990693163640377E-2</v>
      </c>
    </row>
    <row r="8404" spans="1:10" x14ac:dyDescent="0.35">
      <c r="A8404" s="5">
        <v>8400</v>
      </c>
      <c r="B8404" s="5">
        <v>350</v>
      </c>
      <c r="C8404" s="5">
        <v>12</v>
      </c>
      <c r="D8404" s="379">
        <v>76.963333333333324</v>
      </c>
      <c r="E8404" s="25">
        <v>25.74</v>
      </c>
      <c r="F8404" s="379">
        <v>8.1174834595959595</v>
      </c>
      <c r="G8404" s="25">
        <v>51.33</v>
      </c>
      <c r="H8404" s="379">
        <v>6.6105976665224713</v>
      </c>
      <c r="I8404" s="25">
        <v>64.14</v>
      </c>
      <c r="J8404" s="379">
        <v>7.8241662981378399E-2</v>
      </c>
    </row>
    <row r="8405" spans="1:10" x14ac:dyDescent="0.35">
      <c r="A8405" s="5">
        <v>8401</v>
      </c>
      <c r="B8405" s="5">
        <v>351</v>
      </c>
      <c r="C8405" s="5">
        <v>12</v>
      </c>
      <c r="D8405" s="379">
        <v>75.267222222222216</v>
      </c>
      <c r="E8405" s="25">
        <v>24.99</v>
      </c>
      <c r="F8405" s="379">
        <v>8.1174834595959595</v>
      </c>
      <c r="G8405" s="25">
        <v>46.98</v>
      </c>
      <c r="H8405" s="379">
        <v>6.4248843577790922</v>
      </c>
      <c r="I8405" s="25">
        <v>53.17</v>
      </c>
      <c r="J8405" s="379">
        <v>0.12233801324131335</v>
      </c>
    </row>
    <row r="8406" spans="1:10" x14ac:dyDescent="0.35">
      <c r="A8406" s="5">
        <v>8402</v>
      </c>
      <c r="B8406" s="5">
        <v>351</v>
      </c>
      <c r="C8406" s="5">
        <v>12</v>
      </c>
      <c r="D8406" s="379">
        <v>71.720000000000013</v>
      </c>
      <c r="E8406" s="25">
        <v>24.99</v>
      </c>
      <c r="F8406" s="379">
        <v>8.1174834595959577</v>
      </c>
      <c r="G8406" s="25">
        <v>46.98</v>
      </c>
      <c r="H8406" s="379">
        <v>6.6256973808198163</v>
      </c>
      <c r="I8406" s="25">
        <v>53.17</v>
      </c>
      <c r="J8406" s="379">
        <v>6.3583777789987472</v>
      </c>
    </row>
    <row r="8407" spans="1:10" x14ac:dyDescent="0.35">
      <c r="A8407" s="5">
        <v>8403</v>
      </c>
      <c r="B8407" s="5">
        <v>351</v>
      </c>
      <c r="C8407" s="5">
        <v>12</v>
      </c>
      <c r="D8407" s="379">
        <v>68.480555555555569</v>
      </c>
      <c r="E8407" s="25">
        <v>24.99</v>
      </c>
      <c r="F8407" s="379">
        <v>8.1174834595959577</v>
      </c>
      <c r="G8407" s="25">
        <v>46.98</v>
      </c>
      <c r="H8407" s="379">
        <v>6.3981560724520854</v>
      </c>
      <c r="I8407" s="25">
        <v>53.17</v>
      </c>
      <c r="J8407" s="379">
        <v>1.7302802879590773</v>
      </c>
    </row>
    <row r="8408" spans="1:10" x14ac:dyDescent="0.35">
      <c r="A8408" s="5">
        <v>8404</v>
      </c>
      <c r="B8408" s="5">
        <v>351</v>
      </c>
      <c r="C8408" s="5">
        <v>12</v>
      </c>
      <c r="D8408" s="379">
        <v>66.394444444444431</v>
      </c>
      <c r="E8408" s="25">
        <v>24.84</v>
      </c>
      <c r="F8408" s="379">
        <v>8.0899386358559955</v>
      </c>
      <c r="G8408" s="25">
        <v>46.98</v>
      </c>
      <c r="H8408" s="379">
        <v>6.5322855463824023</v>
      </c>
      <c r="I8408" s="25">
        <v>53.17</v>
      </c>
      <c r="J8408" s="379">
        <v>1.5263863436953058</v>
      </c>
    </row>
    <row r="8409" spans="1:10" x14ac:dyDescent="0.35">
      <c r="A8409" s="5">
        <v>8405</v>
      </c>
      <c r="B8409" s="5">
        <v>351</v>
      </c>
      <c r="C8409" s="5">
        <v>12</v>
      </c>
      <c r="D8409" s="379">
        <v>65.031111111111102</v>
      </c>
      <c r="E8409" s="25">
        <v>24.84</v>
      </c>
      <c r="F8409" s="379">
        <v>8.097229577020542</v>
      </c>
      <c r="G8409" s="25">
        <v>46.98</v>
      </c>
      <c r="H8409" s="379">
        <v>6.6207297417722382</v>
      </c>
      <c r="I8409" s="25">
        <v>53.17</v>
      </c>
      <c r="J8409" s="379">
        <v>6.2535573426871931</v>
      </c>
    </row>
    <row r="8410" spans="1:10" x14ac:dyDescent="0.35">
      <c r="A8410" s="5">
        <v>8406</v>
      </c>
      <c r="B8410" s="5">
        <v>351</v>
      </c>
      <c r="C8410" s="5">
        <v>12</v>
      </c>
      <c r="D8410" s="379">
        <v>65.057777777777773</v>
      </c>
      <c r="E8410" s="25">
        <v>25.29</v>
      </c>
      <c r="F8410" s="379">
        <v>8.0907100348644363</v>
      </c>
      <c r="G8410" s="25">
        <v>46.98</v>
      </c>
      <c r="H8410" s="379">
        <v>6.2223294412898769</v>
      </c>
      <c r="I8410" s="25">
        <v>53.17</v>
      </c>
      <c r="J8410" s="379">
        <v>0.14480167642852412</v>
      </c>
    </row>
    <row r="8411" spans="1:10" x14ac:dyDescent="0.35">
      <c r="A8411" s="5">
        <v>8407</v>
      </c>
      <c r="B8411" s="5">
        <v>351</v>
      </c>
      <c r="C8411" s="5">
        <v>12</v>
      </c>
      <c r="D8411" s="379">
        <v>66.479444444444454</v>
      </c>
      <c r="E8411" s="25">
        <v>25.74</v>
      </c>
      <c r="F8411" s="379">
        <v>8.8402573480667215</v>
      </c>
      <c r="G8411" s="25">
        <v>48.39</v>
      </c>
      <c r="H8411" s="379">
        <v>5.1965338804805148</v>
      </c>
      <c r="I8411" s="25">
        <v>54.87</v>
      </c>
      <c r="J8411" s="379">
        <v>4.1948318805636342</v>
      </c>
    </row>
    <row r="8412" spans="1:10" x14ac:dyDescent="0.35">
      <c r="A8412" s="5">
        <v>8408</v>
      </c>
      <c r="B8412" s="5">
        <v>351</v>
      </c>
      <c r="C8412" s="5">
        <v>12</v>
      </c>
      <c r="D8412" s="379">
        <v>68.946666666666658</v>
      </c>
      <c r="E8412" s="25">
        <v>27.29</v>
      </c>
      <c r="F8412" s="379">
        <v>8.7354849959123388</v>
      </c>
      <c r="G8412" s="25">
        <v>55.27</v>
      </c>
      <c r="H8412" s="379">
        <v>6.781165116917423</v>
      </c>
      <c r="I8412" s="25">
        <v>64.14</v>
      </c>
      <c r="J8412" s="379">
        <v>3.0414412106277569</v>
      </c>
    </row>
    <row r="8413" spans="1:10" x14ac:dyDescent="0.35">
      <c r="A8413" s="5">
        <v>8409</v>
      </c>
      <c r="B8413" s="5">
        <v>351</v>
      </c>
      <c r="C8413" s="5">
        <v>12</v>
      </c>
      <c r="D8413" s="379">
        <v>72.229444444444439</v>
      </c>
      <c r="E8413" s="25">
        <v>27.3</v>
      </c>
      <c r="F8413" s="379">
        <v>8.8613922922409376</v>
      </c>
      <c r="G8413" s="25">
        <v>55.27</v>
      </c>
      <c r="H8413" s="379">
        <v>6.7462014344103611</v>
      </c>
      <c r="I8413" s="25">
        <v>68.05</v>
      </c>
      <c r="J8413" s="379">
        <v>0.44871185050104234</v>
      </c>
    </row>
    <row r="8414" spans="1:10" x14ac:dyDescent="0.35">
      <c r="A8414" s="5">
        <v>8410</v>
      </c>
      <c r="B8414" s="5">
        <v>351</v>
      </c>
      <c r="C8414" s="5">
        <v>12</v>
      </c>
      <c r="D8414" s="379">
        <v>74.226111111111109</v>
      </c>
      <c r="E8414" s="25">
        <v>27.3</v>
      </c>
      <c r="F8414" s="379">
        <v>9.2436987874051884</v>
      </c>
      <c r="G8414" s="25">
        <v>55.27</v>
      </c>
      <c r="H8414" s="379">
        <v>6.470353843687513</v>
      </c>
      <c r="I8414" s="25">
        <v>66.06</v>
      </c>
      <c r="J8414" s="379">
        <v>0.14480167642852412</v>
      </c>
    </row>
    <row r="8415" spans="1:10" x14ac:dyDescent="0.35">
      <c r="A8415" s="5">
        <v>8411</v>
      </c>
      <c r="B8415" s="5">
        <v>351</v>
      </c>
      <c r="C8415" s="5">
        <v>12</v>
      </c>
      <c r="D8415" s="379">
        <v>74.432222222222222</v>
      </c>
      <c r="E8415" s="25">
        <v>26.5</v>
      </c>
      <c r="F8415" s="379">
        <v>8.1174834595959613</v>
      </c>
      <c r="G8415" s="25">
        <v>54.15</v>
      </c>
      <c r="H8415" s="379">
        <v>7.6189840979080543</v>
      </c>
      <c r="I8415" s="25">
        <v>62.55</v>
      </c>
      <c r="J8415" s="379">
        <v>4.5870301195735346</v>
      </c>
    </row>
    <row r="8416" spans="1:10" x14ac:dyDescent="0.35">
      <c r="A8416" s="5">
        <v>8412</v>
      </c>
      <c r="B8416" s="5">
        <v>351</v>
      </c>
      <c r="C8416" s="5">
        <v>12</v>
      </c>
      <c r="D8416" s="379">
        <v>72.717777777777769</v>
      </c>
      <c r="E8416" s="25">
        <v>25.74</v>
      </c>
      <c r="F8416" s="379">
        <v>8.4103005470465817</v>
      </c>
      <c r="G8416" s="25">
        <v>54.15</v>
      </c>
      <c r="H8416" s="379">
        <v>4.799693804694658</v>
      </c>
      <c r="I8416" s="25">
        <v>54.87</v>
      </c>
      <c r="J8416" s="379">
        <v>3.5545112820124727</v>
      </c>
    </row>
    <row r="8417" spans="1:10" x14ac:dyDescent="0.35">
      <c r="A8417" s="5">
        <v>8413</v>
      </c>
      <c r="B8417" s="5">
        <v>351</v>
      </c>
      <c r="C8417" s="5">
        <v>12</v>
      </c>
      <c r="D8417" s="379">
        <v>70.658333333333331</v>
      </c>
      <c r="E8417" s="25">
        <v>25.74</v>
      </c>
      <c r="F8417" s="379">
        <v>8.1174834595959595</v>
      </c>
      <c r="G8417" s="25">
        <v>47.85</v>
      </c>
      <c r="H8417" s="379">
        <v>5.0894293697560071</v>
      </c>
      <c r="I8417" s="25">
        <v>53.71</v>
      </c>
      <c r="J8417" s="379">
        <v>4.3200620491126296</v>
      </c>
    </row>
    <row r="8418" spans="1:10" x14ac:dyDescent="0.35">
      <c r="A8418" s="5">
        <v>8414</v>
      </c>
      <c r="B8418" s="5">
        <v>351</v>
      </c>
      <c r="C8418" s="5">
        <v>12</v>
      </c>
      <c r="D8418" s="379">
        <v>69.596666666666664</v>
      </c>
      <c r="E8418" s="25">
        <v>25.74</v>
      </c>
      <c r="F8418" s="379">
        <v>8.1288412473423808</v>
      </c>
      <c r="G8418" s="25">
        <v>47.85</v>
      </c>
      <c r="H8418" s="379">
        <v>6.0249633360198631</v>
      </c>
      <c r="I8418" s="25">
        <v>53.71</v>
      </c>
      <c r="J8418" s="379">
        <v>4.3200620491126296</v>
      </c>
    </row>
    <row r="8419" spans="1:10" x14ac:dyDescent="0.35">
      <c r="A8419" s="5">
        <v>8415</v>
      </c>
      <c r="B8419" s="5">
        <v>351</v>
      </c>
      <c r="C8419" s="5">
        <v>12</v>
      </c>
      <c r="D8419" s="379">
        <v>71.01111111111112</v>
      </c>
      <c r="E8419" s="25">
        <v>25.74</v>
      </c>
      <c r="F8419" s="379">
        <v>8.1174834595959595</v>
      </c>
      <c r="G8419" s="25">
        <v>47.37</v>
      </c>
      <c r="H8419" s="379">
        <v>6.0633221878647827</v>
      </c>
      <c r="I8419" s="25">
        <v>53.71</v>
      </c>
      <c r="J8419" s="379">
        <v>4.3200620491126296</v>
      </c>
    </row>
    <row r="8420" spans="1:10" x14ac:dyDescent="0.35">
      <c r="A8420" s="5">
        <v>8416</v>
      </c>
      <c r="B8420" s="5">
        <v>351</v>
      </c>
      <c r="C8420" s="5">
        <v>12</v>
      </c>
      <c r="D8420" s="379">
        <v>73.658888888888896</v>
      </c>
      <c r="E8420" s="25">
        <v>25.74</v>
      </c>
      <c r="F8420" s="379">
        <v>8.6292211739756208</v>
      </c>
      <c r="G8420" s="25">
        <v>47.85</v>
      </c>
      <c r="H8420" s="379">
        <v>7.160719416760255</v>
      </c>
      <c r="I8420" s="25">
        <v>53.71</v>
      </c>
      <c r="J8420" s="379">
        <v>5.1738124204953815</v>
      </c>
    </row>
    <row r="8421" spans="1:10" x14ac:dyDescent="0.35">
      <c r="A8421" s="5">
        <v>8417</v>
      </c>
      <c r="B8421" s="5">
        <v>351</v>
      </c>
      <c r="C8421" s="5">
        <v>12</v>
      </c>
      <c r="D8421" s="379">
        <v>79.841666666666669</v>
      </c>
      <c r="E8421" s="25">
        <v>27.3</v>
      </c>
      <c r="F8421" s="379">
        <v>8.9330658545001675</v>
      </c>
      <c r="G8421" s="25">
        <v>52.57</v>
      </c>
      <c r="H8421" s="379">
        <v>6.6128971206620966</v>
      </c>
      <c r="I8421" s="25">
        <v>56.52</v>
      </c>
      <c r="J8421" s="379">
        <v>5.1890646007708874</v>
      </c>
    </row>
    <row r="8422" spans="1:10" x14ac:dyDescent="0.35">
      <c r="A8422" s="5">
        <v>8418</v>
      </c>
      <c r="B8422" s="5">
        <v>351</v>
      </c>
      <c r="C8422" s="5">
        <v>12</v>
      </c>
      <c r="D8422" s="379">
        <v>82.651111111111106</v>
      </c>
      <c r="E8422" s="25">
        <v>27.3</v>
      </c>
      <c r="F8422" s="379">
        <v>9.3182975558832872</v>
      </c>
      <c r="G8422" s="25">
        <v>56.93</v>
      </c>
      <c r="H8422" s="379">
        <v>6.5920072644508565</v>
      </c>
      <c r="I8422" s="25">
        <v>64.430000000000007</v>
      </c>
      <c r="J8422" s="379">
        <v>6.5989173029613726</v>
      </c>
    </row>
    <row r="8423" spans="1:10" x14ac:dyDescent="0.35">
      <c r="A8423" s="5">
        <v>8419</v>
      </c>
      <c r="B8423" s="5">
        <v>351</v>
      </c>
      <c r="C8423" s="5">
        <v>12</v>
      </c>
      <c r="D8423" s="379">
        <v>80.719444444444434</v>
      </c>
      <c r="E8423" s="25">
        <v>27.3</v>
      </c>
      <c r="F8423" s="379">
        <v>9.2824831759525619</v>
      </c>
      <c r="G8423" s="25">
        <v>56.93</v>
      </c>
      <c r="H8423" s="379">
        <v>6.470353843687513</v>
      </c>
      <c r="I8423" s="25">
        <v>62.27</v>
      </c>
      <c r="J8423" s="379">
        <v>6.5989173029613726</v>
      </c>
    </row>
    <row r="8424" spans="1:10" x14ac:dyDescent="0.35">
      <c r="A8424" s="5">
        <v>8420</v>
      </c>
      <c r="B8424" s="5">
        <v>351</v>
      </c>
      <c r="C8424" s="5">
        <v>12</v>
      </c>
      <c r="D8424" s="379">
        <v>78.063333333333318</v>
      </c>
      <c r="E8424" s="25">
        <v>25.74</v>
      </c>
      <c r="F8424" s="379">
        <v>9.0595383977121671</v>
      </c>
      <c r="G8424" s="25">
        <v>55.27</v>
      </c>
      <c r="H8424" s="379">
        <v>7.1912487620204617</v>
      </c>
      <c r="I8424" s="25">
        <v>55.32</v>
      </c>
      <c r="J8424" s="379">
        <v>0.82779099401508671</v>
      </c>
    </row>
    <row r="8425" spans="1:10" x14ac:dyDescent="0.35">
      <c r="A8425" s="5">
        <v>8421</v>
      </c>
      <c r="B8425" s="5">
        <v>351</v>
      </c>
      <c r="C8425" s="5">
        <v>12</v>
      </c>
      <c r="D8425" s="379">
        <v>74.407222222222217</v>
      </c>
      <c r="E8425" s="25">
        <v>25.74</v>
      </c>
      <c r="F8425" s="379">
        <v>8.3399588075364601</v>
      </c>
      <c r="G8425" s="25">
        <v>49.65</v>
      </c>
      <c r="H8425" s="379">
        <v>7.0420676228235468</v>
      </c>
      <c r="I8425" s="25">
        <v>53.71</v>
      </c>
      <c r="J8425" s="379">
        <v>1.9601130854895739</v>
      </c>
    </row>
    <row r="8426" spans="1:10" x14ac:dyDescent="0.35">
      <c r="A8426" s="5">
        <v>8422</v>
      </c>
      <c r="B8426" s="5">
        <v>351</v>
      </c>
      <c r="C8426" s="5">
        <v>12</v>
      </c>
      <c r="D8426" s="379">
        <v>71.666111111111107</v>
      </c>
      <c r="E8426" s="25">
        <v>25.59</v>
      </c>
      <c r="F8426" s="379">
        <v>8.1174834595959577</v>
      </c>
      <c r="G8426" s="25">
        <v>47.37</v>
      </c>
      <c r="H8426" s="379">
        <v>6.7453310284424273</v>
      </c>
      <c r="I8426" s="25">
        <v>53.17</v>
      </c>
      <c r="J8426" s="379">
        <v>4.00263364722879</v>
      </c>
    </row>
    <row r="8427" spans="1:10" x14ac:dyDescent="0.35">
      <c r="A8427" s="5">
        <v>8423</v>
      </c>
      <c r="B8427" s="5">
        <v>351</v>
      </c>
      <c r="C8427" s="5">
        <v>12</v>
      </c>
      <c r="D8427" s="379">
        <v>68.083888888888893</v>
      </c>
      <c r="E8427" s="25">
        <v>25.59</v>
      </c>
      <c r="F8427" s="379">
        <v>8.1174834595959577</v>
      </c>
      <c r="G8427" s="25">
        <v>47.85</v>
      </c>
      <c r="H8427" s="379">
        <v>6.3828339729202774</v>
      </c>
      <c r="I8427" s="25">
        <v>53.17</v>
      </c>
      <c r="J8427" s="379">
        <v>4.7565538514352452</v>
      </c>
    </row>
    <row r="8428" spans="1:10" x14ac:dyDescent="0.35">
      <c r="A8428" s="5">
        <v>8424</v>
      </c>
      <c r="B8428" s="5">
        <v>351</v>
      </c>
      <c r="C8428" s="5">
        <v>12</v>
      </c>
      <c r="D8428" s="379">
        <v>70.506111111111096</v>
      </c>
      <c r="E8428" s="25">
        <v>25.29</v>
      </c>
      <c r="F8428" s="379">
        <v>5.4272924146392585</v>
      </c>
      <c r="G8428" s="25">
        <v>47.37</v>
      </c>
      <c r="H8428" s="379">
        <v>6.2185769748699036</v>
      </c>
      <c r="I8428" s="25">
        <v>52.93</v>
      </c>
      <c r="J8428" s="379">
        <v>4.8579806225693085</v>
      </c>
    </row>
    <row r="8429" spans="1:10" x14ac:dyDescent="0.35">
      <c r="A8429" s="5">
        <v>8425</v>
      </c>
      <c r="B8429" s="5">
        <v>352</v>
      </c>
      <c r="C8429" s="5">
        <v>12</v>
      </c>
      <c r="D8429" s="379">
        <v>70.819999999999993</v>
      </c>
      <c r="E8429" s="25">
        <v>24.99</v>
      </c>
      <c r="F8429" s="379">
        <v>4.8113355247704019</v>
      </c>
      <c r="G8429" s="25">
        <v>44.41</v>
      </c>
      <c r="H8429" s="379">
        <v>4.799693804694658</v>
      </c>
      <c r="I8429" s="25">
        <v>40.28</v>
      </c>
      <c r="J8429" s="379">
        <v>1.9380821430844544</v>
      </c>
    </row>
    <row r="8430" spans="1:10" x14ac:dyDescent="0.35">
      <c r="A8430" s="5">
        <v>8426</v>
      </c>
      <c r="B8430" s="5">
        <v>352</v>
      </c>
      <c r="C8430" s="5">
        <v>12</v>
      </c>
      <c r="D8430" s="379">
        <v>69.87777777777778</v>
      </c>
      <c r="E8430" s="25">
        <v>24.99</v>
      </c>
      <c r="F8430" s="379">
        <v>4.9530852964513397</v>
      </c>
      <c r="G8430" s="25">
        <v>44.32</v>
      </c>
      <c r="H8430" s="379">
        <v>5.8501318304692438</v>
      </c>
      <c r="I8430" s="25">
        <v>40.28</v>
      </c>
      <c r="J8430" s="379">
        <v>0.31895528183517596</v>
      </c>
    </row>
    <row r="8431" spans="1:10" x14ac:dyDescent="0.35">
      <c r="A8431" s="5">
        <v>8427</v>
      </c>
      <c r="B8431" s="5">
        <v>352</v>
      </c>
      <c r="C8431" s="5">
        <v>12</v>
      </c>
      <c r="D8431" s="379">
        <v>66.86333333333333</v>
      </c>
      <c r="E8431" s="25">
        <v>24.84</v>
      </c>
      <c r="F8431" s="379">
        <v>5.0331311709520801</v>
      </c>
      <c r="G8431" s="25">
        <v>44.08</v>
      </c>
      <c r="H8431" s="379">
        <v>5.8577646889966735</v>
      </c>
      <c r="I8431" s="25">
        <v>36.869999999999997</v>
      </c>
      <c r="J8431" s="379">
        <v>3.4568226370167494</v>
      </c>
    </row>
    <row r="8432" spans="1:10" x14ac:dyDescent="0.35">
      <c r="A8432" s="5">
        <v>8428</v>
      </c>
      <c r="B8432" s="5">
        <v>352</v>
      </c>
      <c r="C8432" s="5">
        <v>12</v>
      </c>
      <c r="D8432" s="379">
        <v>62.656666666666673</v>
      </c>
      <c r="E8432" s="25">
        <v>24.84</v>
      </c>
      <c r="F8432" s="379">
        <v>5.4921788325405752</v>
      </c>
      <c r="G8432" s="25">
        <v>44.08</v>
      </c>
      <c r="H8432" s="379">
        <v>5.9521906005040686</v>
      </c>
      <c r="I8432" s="25">
        <v>36.869999999999997</v>
      </c>
      <c r="J8432" s="379">
        <v>1.7482456798490054</v>
      </c>
    </row>
    <row r="8433" spans="1:10" x14ac:dyDescent="0.35">
      <c r="A8433" s="5">
        <v>8429</v>
      </c>
      <c r="B8433" s="5">
        <v>352</v>
      </c>
      <c r="C8433" s="5">
        <v>12</v>
      </c>
      <c r="D8433" s="379">
        <v>59.971111111111114</v>
      </c>
      <c r="E8433" s="25">
        <v>24.84</v>
      </c>
      <c r="F8433" s="379">
        <v>4.9202543162820023</v>
      </c>
      <c r="G8433" s="25">
        <v>44.08</v>
      </c>
      <c r="H8433" s="379">
        <v>5.2556080077206024</v>
      </c>
      <c r="I8433" s="25">
        <v>40.28</v>
      </c>
      <c r="J8433" s="379">
        <v>1.8347486891311133</v>
      </c>
    </row>
    <row r="8434" spans="1:10" x14ac:dyDescent="0.35">
      <c r="A8434" s="5">
        <v>8430</v>
      </c>
      <c r="B8434" s="5">
        <v>352</v>
      </c>
      <c r="C8434" s="5">
        <v>12</v>
      </c>
      <c r="D8434" s="379">
        <v>58.613888888888901</v>
      </c>
      <c r="E8434" s="25">
        <v>24.99</v>
      </c>
      <c r="F8434" s="379">
        <v>4.8485577457026059</v>
      </c>
      <c r="G8434" s="25">
        <v>44.08</v>
      </c>
      <c r="H8434" s="379">
        <v>6.0187106346761636</v>
      </c>
      <c r="I8434" s="25">
        <v>40.28</v>
      </c>
      <c r="J8434" s="379">
        <v>4.1824044591829574</v>
      </c>
    </row>
    <row r="8435" spans="1:10" x14ac:dyDescent="0.35">
      <c r="A8435" s="5">
        <v>8431</v>
      </c>
      <c r="B8435" s="5">
        <v>352</v>
      </c>
      <c r="C8435" s="5">
        <v>12</v>
      </c>
      <c r="D8435" s="379">
        <v>58.548888888888882</v>
      </c>
      <c r="E8435" s="25">
        <v>25.29</v>
      </c>
      <c r="F8435" s="379">
        <v>5.4028802118986512</v>
      </c>
      <c r="G8435" s="25">
        <v>44.41</v>
      </c>
      <c r="H8435" s="379">
        <v>5.9671704224202049</v>
      </c>
      <c r="I8435" s="25">
        <v>40.28</v>
      </c>
      <c r="J8435" s="379">
        <v>1.5954933902595174</v>
      </c>
    </row>
    <row r="8436" spans="1:10" x14ac:dyDescent="0.35">
      <c r="A8436" s="5">
        <v>8432</v>
      </c>
      <c r="B8436" s="5">
        <v>352</v>
      </c>
      <c r="C8436" s="5">
        <v>12</v>
      </c>
      <c r="D8436" s="379">
        <v>60.998333333333328</v>
      </c>
      <c r="E8436" s="25">
        <v>25.29</v>
      </c>
      <c r="F8436" s="379">
        <v>6.8260276293595563</v>
      </c>
      <c r="G8436" s="25">
        <v>44.86</v>
      </c>
      <c r="H8436" s="379">
        <v>6.3898120025291449</v>
      </c>
      <c r="I8436" s="25">
        <v>40.28</v>
      </c>
      <c r="J8436" s="379">
        <v>2.3447500980995319</v>
      </c>
    </row>
    <row r="8437" spans="1:10" x14ac:dyDescent="0.35">
      <c r="A8437" s="5">
        <v>8433</v>
      </c>
      <c r="B8437" s="5">
        <v>352</v>
      </c>
      <c r="C8437" s="5">
        <v>12</v>
      </c>
      <c r="D8437" s="379">
        <v>63.521111111111111</v>
      </c>
      <c r="E8437" s="25">
        <v>25.74</v>
      </c>
      <c r="F8437" s="379">
        <v>6.993753890078807</v>
      </c>
      <c r="G8437" s="25">
        <v>46.11</v>
      </c>
      <c r="H8437" s="379">
        <v>6.3692728048589693</v>
      </c>
      <c r="I8437" s="25">
        <v>52.93</v>
      </c>
      <c r="J8437" s="379">
        <v>2.3574496305316619</v>
      </c>
    </row>
    <row r="8438" spans="1:10" x14ac:dyDescent="0.35">
      <c r="A8438" s="5">
        <v>8434</v>
      </c>
      <c r="B8438" s="5">
        <v>352</v>
      </c>
      <c r="C8438" s="5">
        <v>12</v>
      </c>
      <c r="D8438" s="379">
        <v>65.608888888888885</v>
      </c>
      <c r="E8438" s="25">
        <v>25.74</v>
      </c>
      <c r="F8438" s="379">
        <v>6.943012799575957</v>
      </c>
      <c r="G8438" s="25">
        <v>51.86</v>
      </c>
      <c r="H8438" s="379">
        <v>6.5358440536556586</v>
      </c>
      <c r="I8438" s="25">
        <v>53.71</v>
      </c>
      <c r="J8438" s="379">
        <v>2.5735678064600522</v>
      </c>
    </row>
    <row r="8439" spans="1:10" x14ac:dyDescent="0.35">
      <c r="A8439" s="5">
        <v>8435</v>
      </c>
      <c r="B8439" s="5">
        <v>352</v>
      </c>
      <c r="C8439" s="5">
        <v>12</v>
      </c>
      <c r="D8439" s="379">
        <v>66.080555555555563</v>
      </c>
      <c r="E8439" s="25">
        <v>25.74</v>
      </c>
      <c r="F8439" s="379">
        <v>6.4124084690988168</v>
      </c>
      <c r="G8439" s="25">
        <v>48.88</v>
      </c>
      <c r="H8439" s="379">
        <v>6.361080165621825</v>
      </c>
      <c r="I8439" s="25">
        <v>53.71</v>
      </c>
      <c r="J8439" s="379">
        <v>4.1290589573107557</v>
      </c>
    </row>
    <row r="8440" spans="1:10" x14ac:dyDescent="0.35">
      <c r="A8440" s="5">
        <v>8436</v>
      </c>
      <c r="B8440" s="5">
        <v>352</v>
      </c>
      <c r="C8440" s="5">
        <v>12</v>
      </c>
      <c r="D8440" s="379">
        <v>66.90666666666668</v>
      </c>
      <c r="E8440" s="25">
        <v>25.74</v>
      </c>
      <c r="F8440" s="379">
        <v>5.9886398248871568</v>
      </c>
      <c r="G8440" s="25">
        <v>48.39</v>
      </c>
      <c r="H8440" s="379">
        <v>6.2237010398229273</v>
      </c>
      <c r="I8440" s="25">
        <v>53.71</v>
      </c>
      <c r="J8440" s="379">
        <v>0.14480167642852412</v>
      </c>
    </row>
    <row r="8441" spans="1:10" x14ac:dyDescent="0.35">
      <c r="A8441" s="5">
        <v>8437</v>
      </c>
      <c r="B8441" s="5">
        <v>352</v>
      </c>
      <c r="C8441" s="5">
        <v>12</v>
      </c>
      <c r="D8441" s="379">
        <v>64.164999999999992</v>
      </c>
      <c r="E8441" s="25">
        <v>25.74</v>
      </c>
      <c r="F8441" s="379">
        <v>5.4079359587523435</v>
      </c>
      <c r="G8441" s="25">
        <v>48.39</v>
      </c>
      <c r="H8441" s="379">
        <v>4.5249236294522213</v>
      </c>
      <c r="I8441" s="25">
        <v>53.71</v>
      </c>
      <c r="J8441" s="379">
        <v>4.1290589573107557</v>
      </c>
    </row>
    <row r="8442" spans="1:10" x14ac:dyDescent="0.35">
      <c r="A8442" s="5">
        <v>8438</v>
      </c>
      <c r="B8442" s="5">
        <v>352</v>
      </c>
      <c r="C8442" s="5">
        <v>12</v>
      </c>
      <c r="D8442" s="379">
        <v>64.463333333333324</v>
      </c>
      <c r="E8442" s="25">
        <v>25.74</v>
      </c>
      <c r="F8442" s="379">
        <v>6.7146910094653567</v>
      </c>
      <c r="G8442" s="25">
        <v>46.11</v>
      </c>
      <c r="H8442" s="379">
        <v>6.795499490424552</v>
      </c>
      <c r="I8442" s="25">
        <v>52.93</v>
      </c>
      <c r="J8442" s="379">
        <v>4.4118201306435267</v>
      </c>
    </row>
    <row r="8443" spans="1:10" x14ac:dyDescent="0.35">
      <c r="A8443" s="5">
        <v>8439</v>
      </c>
      <c r="B8443" s="5">
        <v>352</v>
      </c>
      <c r="C8443" s="5">
        <v>12</v>
      </c>
      <c r="D8443" s="379">
        <v>64.898333333333341</v>
      </c>
      <c r="E8443" s="25">
        <v>25.74</v>
      </c>
      <c r="F8443" s="379">
        <v>6.8401950823277025</v>
      </c>
      <c r="G8443" s="25">
        <v>46.11</v>
      </c>
      <c r="H8443" s="379">
        <v>6.1820732224561681</v>
      </c>
      <c r="I8443" s="25">
        <v>52.93</v>
      </c>
      <c r="J8443" s="379">
        <v>4.1290589573107557</v>
      </c>
    </row>
    <row r="8444" spans="1:10" x14ac:dyDescent="0.35">
      <c r="A8444" s="5">
        <v>8440</v>
      </c>
      <c r="B8444" s="5">
        <v>352</v>
      </c>
      <c r="C8444" s="5">
        <v>12</v>
      </c>
      <c r="D8444" s="379">
        <v>66.927777777777777</v>
      </c>
      <c r="E8444" s="25">
        <v>25.74</v>
      </c>
      <c r="F8444" s="379">
        <v>8.0078921759041375</v>
      </c>
      <c r="G8444" s="25">
        <v>46.98</v>
      </c>
      <c r="H8444" s="379">
        <v>6.1260597846092644</v>
      </c>
      <c r="I8444" s="25">
        <v>53.71</v>
      </c>
      <c r="J8444" s="379">
        <v>4.3661482510430059</v>
      </c>
    </row>
    <row r="8445" spans="1:10" x14ac:dyDescent="0.35">
      <c r="A8445" s="5">
        <v>8441</v>
      </c>
      <c r="B8445" s="5">
        <v>352</v>
      </c>
      <c r="C8445" s="5">
        <v>12</v>
      </c>
      <c r="D8445" s="379">
        <v>66.938888888888897</v>
      </c>
      <c r="E8445" s="25">
        <v>25.74</v>
      </c>
      <c r="F8445" s="379">
        <v>11.17308366657525</v>
      </c>
      <c r="G8445" s="25">
        <v>47.85</v>
      </c>
      <c r="H8445" s="379">
        <v>6.3305890230024886</v>
      </c>
      <c r="I8445" s="25">
        <v>53.71</v>
      </c>
      <c r="J8445" s="379">
        <v>4.4254817245520961</v>
      </c>
    </row>
    <row r="8446" spans="1:10" x14ac:dyDescent="0.35">
      <c r="A8446" s="5">
        <v>8442</v>
      </c>
      <c r="B8446" s="5">
        <v>352</v>
      </c>
      <c r="C8446" s="5">
        <v>12</v>
      </c>
      <c r="D8446" s="379">
        <v>68.791111111111107</v>
      </c>
      <c r="E8446" s="25">
        <v>26.51</v>
      </c>
      <c r="F8446" s="379">
        <v>9.8684271301456583</v>
      </c>
      <c r="G8446" s="25">
        <v>51.86</v>
      </c>
      <c r="H8446" s="379">
        <v>6.8140051803671975</v>
      </c>
      <c r="I8446" s="25">
        <v>62.27</v>
      </c>
      <c r="J8446" s="379">
        <v>4.4254817245520961</v>
      </c>
    </row>
    <row r="8447" spans="1:10" x14ac:dyDescent="0.35">
      <c r="A8447" s="5">
        <v>8443</v>
      </c>
      <c r="B8447" s="5">
        <v>352</v>
      </c>
      <c r="C8447" s="5">
        <v>12</v>
      </c>
      <c r="D8447" s="379">
        <v>66.990000000000009</v>
      </c>
      <c r="E8447" s="25">
        <v>26.51</v>
      </c>
      <c r="F8447" s="379">
        <v>10.400387561975265</v>
      </c>
      <c r="G8447" s="25">
        <v>52.64</v>
      </c>
      <c r="H8447" s="379">
        <v>6.871502250938855</v>
      </c>
      <c r="I8447" s="25">
        <v>53.71</v>
      </c>
      <c r="J8447" s="379">
        <v>1.3694116342557054</v>
      </c>
    </row>
    <row r="8448" spans="1:10" x14ac:dyDescent="0.35">
      <c r="A8448" s="5">
        <v>8444</v>
      </c>
      <c r="B8448" s="5">
        <v>352</v>
      </c>
      <c r="C8448" s="5">
        <v>12</v>
      </c>
      <c r="D8448" s="379">
        <v>61.794999999999995</v>
      </c>
      <c r="E8448" s="25">
        <v>25.74</v>
      </c>
      <c r="F8448" s="379">
        <v>10.108247237261597</v>
      </c>
      <c r="G8448" s="25">
        <v>50.58</v>
      </c>
      <c r="H8448" s="379">
        <v>6.9115821102152761</v>
      </c>
      <c r="I8448" s="25">
        <v>53.71</v>
      </c>
      <c r="J8448" s="379">
        <v>2.9034617592955434</v>
      </c>
    </row>
    <row r="8449" spans="1:10" x14ac:dyDescent="0.35">
      <c r="A8449" s="5">
        <v>8445</v>
      </c>
      <c r="B8449" s="5">
        <v>352</v>
      </c>
      <c r="C8449" s="5">
        <v>12</v>
      </c>
      <c r="D8449" s="379">
        <v>57.165555555555549</v>
      </c>
      <c r="E8449" s="25">
        <v>25.74</v>
      </c>
      <c r="F8449" s="379">
        <v>8.0301948938162937</v>
      </c>
      <c r="G8449" s="25">
        <v>46.98</v>
      </c>
      <c r="H8449" s="379">
        <v>6.6651027548041473</v>
      </c>
      <c r="I8449" s="25">
        <v>53.71</v>
      </c>
      <c r="J8449" s="379">
        <v>1.9795532481214375</v>
      </c>
    </row>
    <row r="8450" spans="1:10" x14ac:dyDescent="0.35">
      <c r="A8450" s="5">
        <v>8446</v>
      </c>
      <c r="B8450" s="5">
        <v>352</v>
      </c>
      <c r="C8450" s="5">
        <v>12</v>
      </c>
      <c r="D8450" s="379">
        <v>52.11611111111111</v>
      </c>
      <c r="E8450" s="25">
        <v>25.59</v>
      </c>
      <c r="F8450" s="379">
        <v>7.6635228949707539</v>
      </c>
      <c r="G8450" s="25">
        <v>46.11</v>
      </c>
      <c r="H8450" s="379">
        <v>5.9522933622161114</v>
      </c>
      <c r="I8450" s="25">
        <v>44.02</v>
      </c>
      <c r="J8450" s="379">
        <v>4.787418482827948</v>
      </c>
    </row>
    <row r="8451" spans="1:10" x14ac:dyDescent="0.35">
      <c r="A8451" s="5">
        <v>8447</v>
      </c>
      <c r="B8451" s="5">
        <v>352</v>
      </c>
      <c r="C8451" s="5">
        <v>12</v>
      </c>
      <c r="D8451" s="379">
        <v>48.798333333333325</v>
      </c>
      <c r="E8451" s="25">
        <v>25.59</v>
      </c>
      <c r="F8451" s="379">
        <v>5.6063023564018817</v>
      </c>
      <c r="G8451" s="25">
        <v>46.11</v>
      </c>
      <c r="H8451" s="379">
        <v>3.7740210043032554</v>
      </c>
      <c r="I8451" s="25">
        <v>40.28</v>
      </c>
      <c r="J8451" s="379">
        <v>4.2054179986782607</v>
      </c>
    </row>
    <row r="8452" spans="1:10" x14ac:dyDescent="0.35">
      <c r="A8452" s="5">
        <v>8448</v>
      </c>
      <c r="B8452" s="5">
        <v>352</v>
      </c>
      <c r="C8452" s="5">
        <v>12</v>
      </c>
      <c r="D8452" s="379">
        <v>40.585555555555558</v>
      </c>
      <c r="E8452" s="25">
        <v>25.29</v>
      </c>
      <c r="F8452" s="379">
        <v>5.5822019748049385</v>
      </c>
      <c r="G8452" s="25">
        <v>46.11</v>
      </c>
      <c r="H8452" s="379">
        <v>4.0970011292745232</v>
      </c>
      <c r="I8452" s="25">
        <v>40.28</v>
      </c>
      <c r="J8452" s="379">
        <v>1.3095215206161677</v>
      </c>
    </row>
    <row r="8453" spans="1:10" x14ac:dyDescent="0.35">
      <c r="A8453" s="5">
        <v>8449</v>
      </c>
      <c r="B8453" s="5">
        <v>353</v>
      </c>
      <c r="C8453" s="5">
        <v>12</v>
      </c>
      <c r="D8453" s="379">
        <v>40.150000000000006</v>
      </c>
      <c r="E8453" s="25">
        <v>25.29</v>
      </c>
      <c r="F8453" s="379">
        <v>5.1864656434036229</v>
      </c>
      <c r="G8453" s="25">
        <v>43.47</v>
      </c>
      <c r="H8453" s="379">
        <v>3.5476620619306671</v>
      </c>
      <c r="I8453" s="25">
        <v>34.07</v>
      </c>
      <c r="J8453" s="379">
        <v>1.6786832023443696</v>
      </c>
    </row>
    <row r="8454" spans="1:10" x14ac:dyDescent="0.35">
      <c r="A8454" s="5">
        <v>8450</v>
      </c>
      <c r="B8454" s="5">
        <v>353</v>
      </c>
      <c r="C8454" s="5">
        <v>12</v>
      </c>
      <c r="D8454" s="379">
        <v>37.44166666666667</v>
      </c>
      <c r="E8454" s="25">
        <v>24.84</v>
      </c>
      <c r="F8454" s="379">
        <v>4.7181727573975456</v>
      </c>
      <c r="G8454" s="25">
        <v>42.2</v>
      </c>
      <c r="H8454" s="379">
        <v>3.6130145677914767</v>
      </c>
      <c r="I8454" s="25">
        <v>33.67</v>
      </c>
      <c r="J8454" s="379">
        <v>1.2554276566311475</v>
      </c>
    </row>
    <row r="8455" spans="1:10" x14ac:dyDescent="0.35">
      <c r="A8455" s="5">
        <v>8451</v>
      </c>
      <c r="B8455" s="5">
        <v>353</v>
      </c>
      <c r="C8455" s="5">
        <v>12</v>
      </c>
      <c r="D8455" s="379">
        <v>34.144999999999996</v>
      </c>
      <c r="E8455" s="25">
        <v>24.84</v>
      </c>
      <c r="F8455" s="379">
        <v>5.5554464893191229</v>
      </c>
      <c r="G8455" s="25">
        <v>42.2</v>
      </c>
      <c r="H8455" s="379">
        <v>3.6303904992123721</v>
      </c>
      <c r="I8455" s="25">
        <v>33.67</v>
      </c>
      <c r="J8455" s="379">
        <v>2.5947510559845366</v>
      </c>
    </row>
    <row r="8456" spans="1:10" x14ac:dyDescent="0.35">
      <c r="A8456" s="5">
        <v>8452</v>
      </c>
      <c r="B8456" s="5">
        <v>353</v>
      </c>
      <c r="C8456" s="5">
        <v>12</v>
      </c>
      <c r="D8456" s="379">
        <v>30.72111111111111</v>
      </c>
      <c r="E8456" s="25">
        <v>24.84</v>
      </c>
      <c r="F8456" s="379">
        <v>5.1087293387363237</v>
      </c>
      <c r="G8456" s="25">
        <v>42.2</v>
      </c>
      <c r="H8456" s="379">
        <v>3.3316360097511892</v>
      </c>
      <c r="I8456" s="25">
        <v>33.67</v>
      </c>
      <c r="J8456" s="379">
        <v>1.2353871945682087</v>
      </c>
    </row>
    <row r="8457" spans="1:10" x14ac:dyDescent="0.35">
      <c r="A8457" s="5">
        <v>8453</v>
      </c>
      <c r="B8457" s="5">
        <v>353</v>
      </c>
      <c r="C8457" s="5">
        <v>12</v>
      </c>
      <c r="D8457" s="379">
        <v>30.293333333333333</v>
      </c>
      <c r="E8457" s="25">
        <v>24.73</v>
      </c>
      <c r="F8457" s="379">
        <v>5.745106413440296</v>
      </c>
      <c r="G8457" s="25">
        <v>42.2</v>
      </c>
      <c r="H8457" s="379">
        <v>4.2666866251975755</v>
      </c>
      <c r="I8457" s="25">
        <v>33.67</v>
      </c>
      <c r="J8457" s="379">
        <v>1.981426542898127</v>
      </c>
    </row>
    <row r="8458" spans="1:10" x14ac:dyDescent="0.35">
      <c r="A8458" s="5">
        <v>8454</v>
      </c>
      <c r="B8458" s="5">
        <v>353</v>
      </c>
      <c r="C8458" s="5">
        <v>12</v>
      </c>
      <c r="D8458" s="379">
        <v>37.962777777777774</v>
      </c>
      <c r="E8458" s="25">
        <v>24.84</v>
      </c>
      <c r="F8458" s="379">
        <v>4.8552663961280587</v>
      </c>
      <c r="G8458" s="25">
        <v>42.2</v>
      </c>
      <c r="H8458" s="379">
        <v>3.5178950849256876</v>
      </c>
      <c r="I8458" s="25">
        <v>33.67</v>
      </c>
      <c r="J8458" s="379">
        <v>1.7841092127879234</v>
      </c>
    </row>
    <row r="8459" spans="1:10" x14ac:dyDescent="0.35">
      <c r="A8459" s="5">
        <v>8455</v>
      </c>
      <c r="B8459" s="5">
        <v>353</v>
      </c>
      <c r="C8459" s="5">
        <v>12</v>
      </c>
      <c r="D8459" s="379">
        <v>53.626111111111108</v>
      </c>
      <c r="E8459" s="25">
        <v>24.84</v>
      </c>
      <c r="F8459" s="379">
        <v>4.9574108744788861</v>
      </c>
      <c r="G8459" s="25">
        <v>42.2</v>
      </c>
      <c r="H8459" s="379">
        <v>3.1351199036424031</v>
      </c>
      <c r="I8459" s="25">
        <v>33.67</v>
      </c>
      <c r="J8459" s="379">
        <v>1.600443351957102</v>
      </c>
    </row>
    <row r="8460" spans="1:10" x14ac:dyDescent="0.35">
      <c r="A8460" s="5">
        <v>8456</v>
      </c>
      <c r="B8460" s="5">
        <v>353</v>
      </c>
      <c r="C8460" s="5">
        <v>12</v>
      </c>
      <c r="D8460" s="379">
        <v>65.538333333333341</v>
      </c>
      <c r="E8460" s="25">
        <v>24.84</v>
      </c>
      <c r="F8460" s="379">
        <v>4.5177125240766873</v>
      </c>
      <c r="G8460" s="25">
        <v>42.2</v>
      </c>
      <c r="H8460" s="379">
        <v>5.747329845857629</v>
      </c>
      <c r="I8460" s="25">
        <v>33.67</v>
      </c>
      <c r="J8460" s="379">
        <v>2.3479636662976593</v>
      </c>
    </row>
    <row r="8461" spans="1:10" x14ac:dyDescent="0.35">
      <c r="A8461" s="5">
        <v>8457</v>
      </c>
      <c r="B8461" s="5">
        <v>353</v>
      </c>
      <c r="C8461" s="5">
        <v>12</v>
      </c>
      <c r="D8461" s="379">
        <v>67.829444444444448</v>
      </c>
      <c r="E8461" s="25">
        <v>24.84</v>
      </c>
      <c r="F8461" s="379">
        <v>4.6127691866454184</v>
      </c>
      <c r="G8461" s="25">
        <v>42.63</v>
      </c>
      <c r="H8461" s="379">
        <v>6.0686741038378011</v>
      </c>
      <c r="I8461" s="25">
        <v>33.67</v>
      </c>
      <c r="J8461" s="379">
        <v>4.1291358141857435</v>
      </c>
    </row>
    <row r="8462" spans="1:10" x14ac:dyDescent="0.35">
      <c r="A8462" s="5">
        <v>8458</v>
      </c>
      <c r="B8462" s="5">
        <v>353</v>
      </c>
      <c r="C8462" s="5">
        <v>12</v>
      </c>
      <c r="D8462" s="379">
        <v>67.851111111111109</v>
      </c>
      <c r="E8462" s="25">
        <v>25.29</v>
      </c>
      <c r="F8462" s="379">
        <v>5.1978732157489889</v>
      </c>
      <c r="G8462" s="25">
        <v>44.48</v>
      </c>
      <c r="H8462" s="379">
        <v>6.1306523694134558</v>
      </c>
      <c r="I8462" s="25">
        <v>33.67</v>
      </c>
      <c r="J8462" s="379">
        <v>2.9689417724879617</v>
      </c>
    </row>
    <row r="8463" spans="1:10" x14ac:dyDescent="0.35">
      <c r="A8463" s="5">
        <v>8459</v>
      </c>
      <c r="B8463" s="5">
        <v>353</v>
      </c>
      <c r="C8463" s="5">
        <v>12</v>
      </c>
      <c r="D8463" s="379">
        <v>67.63111111111111</v>
      </c>
      <c r="E8463" s="25">
        <v>25.29</v>
      </c>
      <c r="F8463" s="379">
        <v>6.2043570972809334</v>
      </c>
      <c r="G8463" s="25">
        <v>44.86</v>
      </c>
      <c r="H8463" s="379">
        <v>6.3082032010855222</v>
      </c>
      <c r="I8463" s="25">
        <v>34.01</v>
      </c>
      <c r="J8463" s="379">
        <v>2.9951820412967596</v>
      </c>
    </row>
    <row r="8464" spans="1:10" x14ac:dyDescent="0.35">
      <c r="A8464" s="5">
        <v>8460</v>
      </c>
      <c r="B8464" s="5">
        <v>353</v>
      </c>
      <c r="C8464" s="5">
        <v>12</v>
      </c>
      <c r="D8464" s="379">
        <v>67.37</v>
      </c>
      <c r="E8464" s="25">
        <v>25.29</v>
      </c>
      <c r="F8464" s="379">
        <v>6.2598837420839146</v>
      </c>
      <c r="G8464" s="25">
        <v>44.86</v>
      </c>
      <c r="H8464" s="379">
        <v>6.3346606698527737</v>
      </c>
      <c r="I8464" s="25">
        <v>34.01</v>
      </c>
      <c r="J8464" s="379">
        <v>1.7636290263741237</v>
      </c>
    </row>
    <row r="8465" spans="1:10" x14ac:dyDescent="0.35">
      <c r="A8465" s="5">
        <v>8461</v>
      </c>
      <c r="B8465" s="5">
        <v>353</v>
      </c>
      <c r="C8465" s="5">
        <v>12</v>
      </c>
      <c r="D8465" s="379">
        <v>67.689444444444447</v>
      </c>
      <c r="E8465" s="25">
        <v>25.29</v>
      </c>
      <c r="F8465" s="379">
        <v>6.2598837420839146</v>
      </c>
      <c r="G8465" s="25">
        <v>44.86</v>
      </c>
      <c r="H8465" s="379">
        <v>6.2945618259915763</v>
      </c>
      <c r="I8465" s="25">
        <v>34.01</v>
      </c>
      <c r="J8465" s="379">
        <v>1.7636290263741237</v>
      </c>
    </row>
    <row r="8466" spans="1:10" x14ac:dyDescent="0.35">
      <c r="A8466" s="5">
        <v>8462</v>
      </c>
      <c r="B8466" s="5">
        <v>353</v>
      </c>
      <c r="C8466" s="5">
        <v>12</v>
      </c>
      <c r="D8466" s="379">
        <v>67.162777777777777</v>
      </c>
      <c r="E8466" s="25">
        <v>24.99</v>
      </c>
      <c r="F8466" s="379">
        <v>6.2183363248751942</v>
      </c>
      <c r="G8466" s="25">
        <v>44.86</v>
      </c>
      <c r="H8466" s="379">
        <v>5.9502232283963883</v>
      </c>
      <c r="I8466" s="25">
        <v>34.01</v>
      </c>
      <c r="J8466" s="379">
        <v>9.8205378397477491E-2</v>
      </c>
    </row>
    <row r="8467" spans="1:10" x14ac:dyDescent="0.35">
      <c r="A8467" s="5">
        <v>8463</v>
      </c>
      <c r="B8467" s="5">
        <v>353</v>
      </c>
      <c r="C8467" s="5">
        <v>12</v>
      </c>
      <c r="D8467" s="379">
        <v>67.665555555555557</v>
      </c>
      <c r="E8467" s="25">
        <v>24.84</v>
      </c>
      <c r="F8467" s="379">
        <v>6.2598837420839146</v>
      </c>
      <c r="G8467" s="25">
        <v>44.74</v>
      </c>
      <c r="H8467" s="379">
        <v>6.2390910501009973</v>
      </c>
      <c r="I8467" s="25">
        <v>33.74</v>
      </c>
      <c r="J8467" s="379">
        <v>2.777777777777778E-2</v>
      </c>
    </row>
    <row r="8468" spans="1:10" x14ac:dyDescent="0.35">
      <c r="A8468" s="5">
        <v>8464</v>
      </c>
      <c r="B8468" s="5">
        <v>353</v>
      </c>
      <c r="C8468" s="5">
        <v>12</v>
      </c>
      <c r="D8468" s="379">
        <v>67.694999999999993</v>
      </c>
      <c r="E8468" s="25">
        <v>24.84</v>
      </c>
      <c r="F8468" s="379">
        <v>6.3980635399213437</v>
      </c>
      <c r="G8468" s="25">
        <v>44.93</v>
      </c>
      <c r="H8468" s="379">
        <v>5.9506701435373284</v>
      </c>
      <c r="I8468" s="25">
        <v>34.01</v>
      </c>
      <c r="J8468" s="379">
        <v>3.8755789892613728</v>
      </c>
    </row>
    <row r="8469" spans="1:10" x14ac:dyDescent="0.35">
      <c r="A8469" s="5">
        <v>8465</v>
      </c>
      <c r="B8469" s="5">
        <v>353</v>
      </c>
      <c r="C8469" s="5">
        <v>12</v>
      </c>
      <c r="D8469" s="379">
        <v>69.282222222222217</v>
      </c>
      <c r="E8469" s="25">
        <v>25.74</v>
      </c>
      <c r="F8469" s="379">
        <v>8.9333533614699583</v>
      </c>
      <c r="G8469" s="25">
        <v>46.03</v>
      </c>
      <c r="H8469" s="379">
        <v>5.0636873068576351</v>
      </c>
      <c r="I8469" s="25">
        <v>39.619999999999997</v>
      </c>
      <c r="J8469" s="379">
        <v>4.6666117705822066</v>
      </c>
    </row>
    <row r="8470" spans="1:10" x14ac:dyDescent="0.35">
      <c r="A8470" s="5">
        <v>8466</v>
      </c>
      <c r="B8470" s="5">
        <v>353</v>
      </c>
      <c r="C8470" s="5">
        <v>12</v>
      </c>
      <c r="D8470" s="379">
        <v>69.303333333333342</v>
      </c>
      <c r="E8470" s="25">
        <v>25.74</v>
      </c>
      <c r="F8470" s="379">
        <v>8.880563841009268</v>
      </c>
      <c r="G8470" s="25">
        <v>46.11</v>
      </c>
      <c r="H8470" s="379">
        <v>5.5443872704706552</v>
      </c>
      <c r="I8470" s="25">
        <v>44.9</v>
      </c>
      <c r="J8470" s="379">
        <v>3.681980572179802</v>
      </c>
    </row>
    <row r="8471" spans="1:10" x14ac:dyDescent="0.35">
      <c r="A8471" s="5">
        <v>8467</v>
      </c>
      <c r="B8471" s="5">
        <v>353</v>
      </c>
      <c r="C8471" s="5">
        <v>12</v>
      </c>
      <c r="D8471" s="379">
        <v>68.72</v>
      </c>
      <c r="E8471" s="25">
        <v>25.74</v>
      </c>
      <c r="F8471" s="379">
        <v>8.6196030279763924</v>
      </c>
      <c r="G8471" s="25">
        <v>46.11</v>
      </c>
      <c r="H8471" s="379">
        <v>6.2179438489814132</v>
      </c>
      <c r="I8471" s="25">
        <v>44.9</v>
      </c>
      <c r="J8471" s="379">
        <v>4.1226744057265865</v>
      </c>
    </row>
    <row r="8472" spans="1:10" x14ac:dyDescent="0.35">
      <c r="A8472" s="5">
        <v>8468</v>
      </c>
      <c r="B8472" s="5">
        <v>353</v>
      </c>
      <c r="C8472" s="5">
        <v>12</v>
      </c>
      <c r="D8472" s="379">
        <v>65.201666666666668</v>
      </c>
      <c r="E8472" s="25">
        <v>25.74</v>
      </c>
      <c r="F8472" s="379">
        <v>8.2703327068421029</v>
      </c>
      <c r="G8472" s="25">
        <v>46.11</v>
      </c>
      <c r="H8472" s="379">
        <v>5.9541776913558344</v>
      </c>
      <c r="I8472" s="25">
        <v>38.46</v>
      </c>
      <c r="J8472" s="379">
        <v>3.6290617664873297</v>
      </c>
    </row>
    <row r="8473" spans="1:10" x14ac:dyDescent="0.35">
      <c r="A8473" s="5">
        <v>8469</v>
      </c>
      <c r="B8473" s="5">
        <v>353</v>
      </c>
      <c r="C8473" s="5">
        <v>12</v>
      </c>
      <c r="D8473" s="379">
        <v>59.042777777777779</v>
      </c>
      <c r="E8473" s="25">
        <v>25.29</v>
      </c>
      <c r="F8473" s="379">
        <v>5.1978901466115319</v>
      </c>
      <c r="G8473" s="25">
        <v>46.03</v>
      </c>
      <c r="H8473" s="379">
        <v>6.2596764822846485</v>
      </c>
      <c r="I8473" s="25">
        <v>34.25</v>
      </c>
      <c r="J8473" s="379">
        <v>3.5662359882119361</v>
      </c>
    </row>
    <row r="8474" spans="1:10" x14ac:dyDescent="0.35">
      <c r="A8474" s="5">
        <v>8470</v>
      </c>
      <c r="B8474" s="5">
        <v>353</v>
      </c>
      <c r="C8474" s="5">
        <v>12</v>
      </c>
      <c r="D8474" s="379">
        <v>55.177777777777777</v>
      </c>
      <c r="E8474" s="25">
        <v>24.84</v>
      </c>
      <c r="F8474" s="379">
        <v>4.7715949417317356</v>
      </c>
      <c r="G8474" s="25">
        <v>43.62</v>
      </c>
      <c r="H8474" s="379">
        <v>6.5151277083944663</v>
      </c>
      <c r="I8474" s="25">
        <v>33.67</v>
      </c>
      <c r="J8474" s="379">
        <v>2.8208627943031042</v>
      </c>
    </row>
    <row r="8475" spans="1:10" x14ac:dyDescent="0.35">
      <c r="A8475" s="5">
        <v>8471</v>
      </c>
      <c r="B8475" s="5">
        <v>353</v>
      </c>
      <c r="C8475" s="5">
        <v>12</v>
      </c>
      <c r="D8475" s="379">
        <v>49.962222222222223</v>
      </c>
      <c r="E8475" s="25">
        <v>24.84</v>
      </c>
      <c r="F8475" s="379">
        <v>4.4494338744393067</v>
      </c>
      <c r="G8475" s="25">
        <v>43.39</v>
      </c>
      <c r="H8475" s="379">
        <v>2.3569479223086063</v>
      </c>
      <c r="I8475" s="25">
        <v>33.67</v>
      </c>
      <c r="J8475" s="379">
        <v>3.7613056263857572</v>
      </c>
    </row>
    <row r="8476" spans="1:10" x14ac:dyDescent="0.35">
      <c r="A8476" s="5">
        <v>8472</v>
      </c>
      <c r="B8476" s="5">
        <v>353</v>
      </c>
      <c r="C8476" s="5">
        <v>12</v>
      </c>
      <c r="D8476" s="379">
        <v>47.266666666666666</v>
      </c>
      <c r="E8476" s="25">
        <v>24.84</v>
      </c>
      <c r="F8476" s="379">
        <v>4.6970337656144157</v>
      </c>
      <c r="G8476" s="25">
        <v>42.2</v>
      </c>
      <c r="H8476" s="379">
        <v>0.24877111120403367</v>
      </c>
      <c r="I8476" s="25">
        <v>33.67</v>
      </c>
      <c r="J8476" s="379">
        <v>1.7762455767686216</v>
      </c>
    </row>
    <row r="8477" spans="1:10" x14ac:dyDescent="0.35">
      <c r="A8477" s="5">
        <v>8473</v>
      </c>
      <c r="B8477" s="5">
        <v>354</v>
      </c>
      <c r="C8477" s="5">
        <v>12</v>
      </c>
      <c r="D8477" s="379">
        <v>43.088333333333331</v>
      </c>
      <c r="E8477" s="25">
        <v>24.84</v>
      </c>
      <c r="F8477" s="379">
        <v>4.0776678301688385</v>
      </c>
      <c r="G8477" s="25">
        <v>42.2</v>
      </c>
      <c r="H8477" s="379">
        <v>1.875552840195911</v>
      </c>
      <c r="I8477" s="25">
        <v>33.67</v>
      </c>
      <c r="J8477" s="379">
        <v>3.7613056263857572</v>
      </c>
    </row>
    <row r="8478" spans="1:10" x14ac:dyDescent="0.35">
      <c r="A8478" s="5">
        <v>8474</v>
      </c>
      <c r="B8478" s="5">
        <v>354</v>
      </c>
      <c r="C8478" s="5">
        <v>12</v>
      </c>
      <c r="D8478" s="379">
        <v>39.732222222222219</v>
      </c>
      <c r="E8478" s="25">
        <v>24.73</v>
      </c>
      <c r="F8478" s="379">
        <v>4.1616299325812047</v>
      </c>
      <c r="G8478" s="25">
        <v>41.75</v>
      </c>
      <c r="H8478" s="379">
        <v>1.875552840195911</v>
      </c>
      <c r="I8478" s="25">
        <v>33.67</v>
      </c>
      <c r="J8478" s="379">
        <v>0.11577399511971595</v>
      </c>
    </row>
    <row r="8479" spans="1:10" x14ac:dyDescent="0.35">
      <c r="A8479" s="5">
        <v>8475</v>
      </c>
      <c r="B8479" s="5">
        <v>354</v>
      </c>
      <c r="C8479" s="5">
        <v>12</v>
      </c>
      <c r="D8479" s="379">
        <v>39.232777777777777</v>
      </c>
      <c r="E8479" s="25">
        <v>24.73</v>
      </c>
      <c r="F8479" s="379">
        <v>3.1585951551608167</v>
      </c>
      <c r="G8479" s="25">
        <v>39.770000000000003</v>
      </c>
      <c r="H8479" s="379">
        <v>1.875552840195911</v>
      </c>
      <c r="I8479" s="25">
        <v>33.67</v>
      </c>
      <c r="J8479" s="379">
        <v>2.777777777777778E-2</v>
      </c>
    </row>
    <row r="8480" spans="1:10" x14ac:dyDescent="0.35">
      <c r="A8480" s="5">
        <v>8476</v>
      </c>
      <c r="B8480" s="5">
        <v>354</v>
      </c>
      <c r="C8480" s="5">
        <v>12</v>
      </c>
      <c r="D8480" s="379">
        <v>35.711111111111109</v>
      </c>
      <c r="E8480" s="25">
        <v>24.73</v>
      </c>
      <c r="F8480" s="379">
        <v>3.9274946898158793</v>
      </c>
      <c r="G8480" s="25">
        <v>39.770000000000003</v>
      </c>
      <c r="H8480" s="379">
        <v>1.875552840195911</v>
      </c>
      <c r="I8480" s="25">
        <v>33.67</v>
      </c>
      <c r="J8480" s="379">
        <v>0.11521573119511264</v>
      </c>
    </row>
    <row r="8481" spans="1:10" x14ac:dyDescent="0.35">
      <c r="A8481" s="5">
        <v>8477</v>
      </c>
      <c r="B8481" s="5">
        <v>354</v>
      </c>
      <c r="C8481" s="5">
        <v>12</v>
      </c>
      <c r="D8481" s="379">
        <v>39.125</v>
      </c>
      <c r="E8481" s="25">
        <v>24.73</v>
      </c>
      <c r="F8481" s="379">
        <v>3.4170993899202786</v>
      </c>
      <c r="G8481" s="25">
        <v>41.13</v>
      </c>
      <c r="H8481" s="379">
        <v>1.875552840195911</v>
      </c>
      <c r="I8481" s="25">
        <v>33.67</v>
      </c>
      <c r="J8481" s="379">
        <v>2.8991215097519646E-2</v>
      </c>
    </row>
    <row r="8482" spans="1:10" x14ac:dyDescent="0.35">
      <c r="A8482" s="5">
        <v>8478</v>
      </c>
      <c r="B8482" s="5">
        <v>354</v>
      </c>
      <c r="C8482" s="5">
        <v>12</v>
      </c>
      <c r="D8482" s="379">
        <v>46.016111111111108</v>
      </c>
      <c r="E8482" s="25">
        <v>24.84</v>
      </c>
      <c r="F8482" s="379">
        <v>3.3806604325503242</v>
      </c>
      <c r="G8482" s="25">
        <v>42.2</v>
      </c>
      <c r="H8482" s="379">
        <v>5.8230319613911209E-2</v>
      </c>
      <c r="I8482" s="25">
        <v>33.67</v>
      </c>
      <c r="J8482" s="379">
        <v>5.3730757529767886E-2</v>
      </c>
    </row>
    <row r="8483" spans="1:10" x14ac:dyDescent="0.35">
      <c r="A8483" s="5">
        <v>8479</v>
      </c>
      <c r="B8483" s="5">
        <v>354</v>
      </c>
      <c r="C8483" s="5">
        <v>12</v>
      </c>
      <c r="D8483" s="379">
        <v>56.981666666666669</v>
      </c>
      <c r="E8483" s="25">
        <v>24.84</v>
      </c>
      <c r="F8483" s="379">
        <v>4.3643499133507273</v>
      </c>
      <c r="G8483" s="25">
        <v>46.11</v>
      </c>
      <c r="H8483" s="379">
        <v>5.6602389497782638E-2</v>
      </c>
      <c r="I8483" s="25">
        <v>33.94</v>
      </c>
      <c r="J8483" s="379">
        <v>0.3552814634550121</v>
      </c>
    </row>
    <row r="8484" spans="1:10" x14ac:dyDescent="0.35">
      <c r="A8484" s="5">
        <v>8480</v>
      </c>
      <c r="B8484" s="5">
        <v>354</v>
      </c>
      <c r="C8484" s="5">
        <v>12</v>
      </c>
      <c r="D8484" s="379">
        <v>66.456111111111113</v>
      </c>
      <c r="E8484" s="25">
        <v>25.74</v>
      </c>
      <c r="F8484" s="379">
        <v>4.2606538451958169</v>
      </c>
      <c r="G8484" s="25">
        <v>52.67</v>
      </c>
      <c r="H8484" s="379">
        <v>3.9177780472180929E-2</v>
      </c>
      <c r="I8484" s="25">
        <v>44.9</v>
      </c>
      <c r="J8484" s="379">
        <v>4.6414807630302111E-2</v>
      </c>
    </row>
    <row r="8485" spans="1:10" x14ac:dyDescent="0.35">
      <c r="A8485" s="5">
        <v>8481</v>
      </c>
      <c r="B8485" s="5">
        <v>354</v>
      </c>
      <c r="C8485" s="5">
        <v>12</v>
      </c>
      <c r="D8485" s="379">
        <v>70.199444444444453</v>
      </c>
      <c r="E8485" s="25">
        <v>25.74</v>
      </c>
      <c r="F8485" s="379">
        <v>4.9853355009094162</v>
      </c>
      <c r="G8485" s="25">
        <v>52.67</v>
      </c>
      <c r="H8485" s="379">
        <v>9.0353040944681898E-2</v>
      </c>
      <c r="I8485" s="25">
        <v>47.4</v>
      </c>
      <c r="J8485" s="379">
        <v>0.3552814634550121</v>
      </c>
    </row>
    <row r="8486" spans="1:10" x14ac:dyDescent="0.35">
      <c r="A8486" s="5">
        <v>8482</v>
      </c>
      <c r="B8486" s="5">
        <v>354</v>
      </c>
      <c r="C8486" s="5">
        <v>12</v>
      </c>
      <c r="D8486" s="379">
        <v>71.732222222222219</v>
      </c>
      <c r="E8486" s="25">
        <v>26.05</v>
      </c>
      <c r="F8486" s="379">
        <v>4.9219574681355729</v>
      </c>
      <c r="G8486" s="25">
        <v>52.67</v>
      </c>
      <c r="H8486" s="379">
        <v>1.875552840195911</v>
      </c>
      <c r="I8486" s="25">
        <v>47.4</v>
      </c>
      <c r="J8486" s="379">
        <v>2.777777777777778E-2</v>
      </c>
    </row>
    <row r="8487" spans="1:10" x14ac:dyDescent="0.35">
      <c r="A8487" s="5">
        <v>8483</v>
      </c>
      <c r="B8487" s="5">
        <v>354</v>
      </c>
      <c r="C8487" s="5">
        <v>12</v>
      </c>
      <c r="D8487" s="379">
        <v>70.298333333333332</v>
      </c>
      <c r="E8487" s="25">
        <v>26.05</v>
      </c>
      <c r="F8487" s="379">
        <v>3.5079348396327656</v>
      </c>
      <c r="G8487" s="25">
        <v>52.67</v>
      </c>
      <c r="H8487" s="379">
        <v>1.875552840195911</v>
      </c>
      <c r="I8487" s="25">
        <v>44.9</v>
      </c>
      <c r="J8487" s="379">
        <v>2.777777777777778E-2</v>
      </c>
    </row>
    <row r="8488" spans="1:10" x14ac:dyDescent="0.35">
      <c r="A8488" s="5">
        <v>8484</v>
      </c>
      <c r="B8488" s="5">
        <v>354</v>
      </c>
      <c r="C8488" s="5">
        <v>12</v>
      </c>
      <c r="D8488" s="379">
        <v>70.365555555555545</v>
      </c>
      <c r="E8488" s="25">
        <v>25.82</v>
      </c>
      <c r="F8488" s="379">
        <v>0.21028953100527153</v>
      </c>
      <c r="G8488" s="25">
        <v>52.67</v>
      </c>
      <c r="H8488" s="379">
        <v>1.875552840195911</v>
      </c>
      <c r="I8488" s="25">
        <v>44.9</v>
      </c>
      <c r="J8488" s="379">
        <v>2.777777777777778E-2</v>
      </c>
    </row>
    <row r="8489" spans="1:10" x14ac:dyDescent="0.35">
      <c r="A8489" s="5">
        <v>8485</v>
      </c>
      <c r="B8489" s="5">
        <v>354</v>
      </c>
      <c r="C8489" s="5">
        <v>12</v>
      </c>
      <c r="D8489" s="379">
        <v>67.516666666666666</v>
      </c>
      <c r="E8489" s="25">
        <v>25.74</v>
      </c>
      <c r="F8489" s="379">
        <v>3.2727733956087586</v>
      </c>
      <c r="G8489" s="25">
        <v>50.39</v>
      </c>
      <c r="H8489" s="379">
        <v>1.875552840195911</v>
      </c>
      <c r="I8489" s="25">
        <v>44.9</v>
      </c>
      <c r="J8489" s="379">
        <v>2.777777777777778E-2</v>
      </c>
    </row>
    <row r="8490" spans="1:10" x14ac:dyDescent="0.35">
      <c r="A8490" s="5">
        <v>8486</v>
      </c>
      <c r="B8490" s="5">
        <v>354</v>
      </c>
      <c r="C8490" s="5">
        <v>12</v>
      </c>
      <c r="D8490" s="379">
        <v>67.959999999999994</v>
      </c>
      <c r="E8490" s="25">
        <v>25.74</v>
      </c>
      <c r="F8490" s="379">
        <v>0.17144373673036092</v>
      </c>
      <c r="G8490" s="25">
        <v>51.14</v>
      </c>
      <c r="H8490" s="379">
        <v>1.875552840195911</v>
      </c>
      <c r="I8490" s="25">
        <v>44.9</v>
      </c>
      <c r="J8490" s="379">
        <v>2.777777777777778E-2</v>
      </c>
    </row>
    <row r="8491" spans="1:10" x14ac:dyDescent="0.35">
      <c r="A8491" s="5">
        <v>8487</v>
      </c>
      <c r="B8491" s="5">
        <v>354</v>
      </c>
      <c r="C8491" s="5">
        <v>12</v>
      </c>
      <c r="D8491" s="379">
        <v>70.013888888888886</v>
      </c>
      <c r="E8491" s="25">
        <v>25.74</v>
      </c>
      <c r="F8491" s="379">
        <v>3.7900924144304988</v>
      </c>
      <c r="G8491" s="25">
        <v>51.14</v>
      </c>
      <c r="H8491" s="379">
        <v>1.875552840195911</v>
      </c>
      <c r="I8491" s="25">
        <v>44.9</v>
      </c>
      <c r="J8491" s="379">
        <v>2.777777777777778E-2</v>
      </c>
    </row>
    <row r="8492" spans="1:10" x14ac:dyDescent="0.35">
      <c r="A8492" s="5">
        <v>8488</v>
      </c>
      <c r="B8492" s="5">
        <v>354</v>
      </c>
      <c r="C8492" s="5">
        <v>12</v>
      </c>
      <c r="D8492" s="379">
        <v>70.26166666666667</v>
      </c>
      <c r="E8492" s="25">
        <v>25.74</v>
      </c>
      <c r="F8492" s="379">
        <v>5.7323940293323954</v>
      </c>
      <c r="G8492" s="25">
        <v>52.67</v>
      </c>
      <c r="H8492" s="379">
        <v>0.10609427875107477</v>
      </c>
      <c r="I8492" s="25">
        <v>45.88</v>
      </c>
      <c r="J8492" s="379">
        <v>2.777777777777778E-2</v>
      </c>
    </row>
    <row r="8493" spans="1:10" x14ac:dyDescent="0.35">
      <c r="A8493" s="5">
        <v>8489</v>
      </c>
      <c r="B8493" s="5">
        <v>354</v>
      </c>
      <c r="C8493" s="5">
        <v>12</v>
      </c>
      <c r="D8493" s="379">
        <v>71.586666666666659</v>
      </c>
      <c r="E8493" s="25">
        <v>26.53</v>
      </c>
      <c r="F8493" s="379">
        <v>4.3641828834865795</v>
      </c>
      <c r="G8493" s="25">
        <v>55.38</v>
      </c>
      <c r="H8493" s="379">
        <v>0.14480167642852412</v>
      </c>
      <c r="I8493" s="25">
        <v>47.4</v>
      </c>
      <c r="J8493" s="379">
        <v>3.4548946844962153E-2</v>
      </c>
    </row>
    <row r="8494" spans="1:10" x14ac:dyDescent="0.35">
      <c r="A8494" s="5">
        <v>8490</v>
      </c>
      <c r="B8494" s="5">
        <v>354</v>
      </c>
      <c r="C8494" s="5">
        <v>12</v>
      </c>
      <c r="D8494" s="379">
        <v>76.503888888888881</v>
      </c>
      <c r="E8494" s="25">
        <v>29.09</v>
      </c>
      <c r="F8494" s="379">
        <v>4.5819261278143921</v>
      </c>
      <c r="G8494" s="25">
        <v>62.12</v>
      </c>
      <c r="H8494" s="379">
        <v>0.14480167642852412</v>
      </c>
      <c r="I8494" s="25">
        <v>50.33</v>
      </c>
      <c r="J8494" s="379">
        <v>8.2414005223457792E-2</v>
      </c>
    </row>
    <row r="8495" spans="1:10" x14ac:dyDescent="0.35">
      <c r="A8495" s="5">
        <v>8491</v>
      </c>
      <c r="B8495" s="5">
        <v>354</v>
      </c>
      <c r="C8495" s="5">
        <v>12</v>
      </c>
      <c r="D8495" s="379">
        <v>77.863888888888894</v>
      </c>
      <c r="E8495" s="25">
        <v>28.24</v>
      </c>
      <c r="F8495" s="379">
        <v>4.5819261278143921</v>
      </c>
      <c r="G8495" s="25">
        <v>62.12</v>
      </c>
      <c r="H8495" s="379">
        <v>0.14480167642852412</v>
      </c>
      <c r="I8495" s="25">
        <v>48.86</v>
      </c>
      <c r="J8495" s="379">
        <v>2.777777777777778E-2</v>
      </c>
    </row>
    <row r="8496" spans="1:10" x14ac:dyDescent="0.35">
      <c r="A8496" s="5">
        <v>8492</v>
      </c>
      <c r="B8496" s="5">
        <v>354</v>
      </c>
      <c r="C8496" s="5">
        <v>12</v>
      </c>
      <c r="D8496" s="379">
        <v>74.86666666666666</v>
      </c>
      <c r="E8496" s="25">
        <v>26.51</v>
      </c>
      <c r="F8496" s="379">
        <v>4.6071796763088928</v>
      </c>
      <c r="G8496" s="25">
        <v>52.67</v>
      </c>
      <c r="H8496" s="379">
        <v>0.1448016764285241</v>
      </c>
      <c r="I8496" s="25">
        <v>47.4</v>
      </c>
      <c r="J8496" s="379">
        <v>8.2314595895563614E-2</v>
      </c>
    </row>
    <row r="8497" spans="1:10" x14ac:dyDescent="0.35">
      <c r="A8497" s="5">
        <v>8493</v>
      </c>
      <c r="B8497" s="5">
        <v>354</v>
      </c>
      <c r="C8497" s="5">
        <v>12</v>
      </c>
      <c r="D8497" s="379">
        <v>71.968333333333334</v>
      </c>
      <c r="E8497" s="25">
        <v>25.74</v>
      </c>
      <c r="F8497" s="379">
        <v>5.1356557388852178</v>
      </c>
      <c r="G8497" s="25">
        <v>52.67</v>
      </c>
      <c r="H8497" s="379">
        <v>0.14480167642852418</v>
      </c>
      <c r="I8497" s="25">
        <v>45.88</v>
      </c>
      <c r="J8497" s="379">
        <v>8.2314595895563614E-2</v>
      </c>
    </row>
    <row r="8498" spans="1:10" x14ac:dyDescent="0.35">
      <c r="A8498" s="5">
        <v>8494</v>
      </c>
      <c r="B8498" s="5">
        <v>354</v>
      </c>
      <c r="C8498" s="5">
        <v>12</v>
      </c>
      <c r="D8498" s="379">
        <v>67.62444444444445</v>
      </c>
      <c r="E8498" s="25">
        <v>25.59</v>
      </c>
      <c r="F8498" s="379">
        <v>4.586349629598983</v>
      </c>
      <c r="G8498" s="25">
        <v>48.39</v>
      </c>
      <c r="H8498" s="379">
        <v>0.14480167642852412</v>
      </c>
      <c r="I8498" s="25">
        <v>34.29</v>
      </c>
      <c r="J8498" s="379">
        <v>8.2314595895563614E-2</v>
      </c>
    </row>
    <row r="8499" spans="1:10" x14ac:dyDescent="0.35">
      <c r="A8499" s="5">
        <v>8495</v>
      </c>
      <c r="B8499" s="5">
        <v>354</v>
      </c>
      <c r="C8499" s="5">
        <v>12</v>
      </c>
      <c r="D8499" s="379">
        <v>64.209444444444443</v>
      </c>
      <c r="E8499" s="25">
        <v>25.29</v>
      </c>
      <c r="F8499" s="379">
        <v>4.092985971726109</v>
      </c>
      <c r="G8499" s="25">
        <v>46.98</v>
      </c>
      <c r="H8499" s="379">
        <v>1.875552840195911</v>
      </c>
      <c r="I8499" s="25">
        <v>34.07</v>
      </c>
      <c r="J8499" s="379">
        <v>4.0529302509234859E-2</v>
      </c>
    </row>
    <row r="8500" spans="1:10" x14ac:dyDescent="0.35">
      <c r="A8500" s="5">
        <v>8496</v>
      </c>
      <c r="B8500" s="5">
        <v>354</v>
      </c>
      <c r="C8500" s="5">
        <v>12</v>
      </c>
      <c r="D8500" s="379">
        <v>58.896666666666654</v>
      </c>
      <c r="E8500" s="25">
        <v>25.29</v>
      </c>
      <c r="F8500" s="379">
        <v>4.3892038996442553</v>
      </c>
      <c r="G8500" s="25">
        <v>44.86</v>
      </c>
      <c r="H8500" s="379">
        <v>1.875552840195911</v>
      </c>
      <c r="I8500" s="25">
        <v>34.07</v>
      </c>
      <c r="J8500" s="379">
        <v>4.2540736714143039E-2</v>
      </c>
    </row>
    <row r="8501" spans="1:10" x14ac:dyDescent="0.35">
      <c r="A8501" s="5">
        <v>8497</v>
      </c>
      <c r="B8501" s="5">
        <v>355</v>
      </c>
      <c r="C8501" s="5">
        <v>12</v>
      </c>
      <c r="D8501" s="379">
        <v>55.118888888888897</v>
      </c>
      <c r="E8501" s="25">
        <v>24.84</v>
      </c>
      <c r="F8501" s="379">
        <v>0.23522964359034165</v>
      </c>
      <c r="G8501" s="25">
        <v>43.39</v>
      </c>
      <c r="H8501" s="379">
        <v>1.875552840195911</v>
      </c>
      <c r="I8501" s="25">
        <v>33.67</v>
      </c>
      <c r="J8501" s="379">
        <v>3.211525674013789E-2</v>
      </c>
    </row>
    <row r="8502" spans="1:10" x14ac:dyDescent="0.35">
      <c r="A8502" s="5">
        <v>8498</v>
      </c>
      <c r="B8502" s="5">
        <v>355</v>
      </c>
      <c r="C8502" s="5">
        <v>12</v>
      </c>
      <c r="D8502" s="379">
        <v>53.008333333333326</v>
      </c>
      <c r="E8502" s="25">
        <v>24.84</v>
      </c>
      <c r="F8502" s="379">
        <v>0.22814354151095281</v>
      </c>
      <c r="G8502" s="25">
        <v>43.39</v>
      </c>
      <c r="H8502" s="379">
        <v>1.875552840195911</v>
      </c>
      <c r="I8502" s="25">
        <v>33.67</v>
      </c>
      <c r="J8502" s="379">
        <v>2.777777777777778E-2</v>
      </c>
    </row>
    <row r="8503" spans="1:10" x14ac:dyDescent="0.35">
      <c r="A8503" s="5">
        <v>8499</v>
      </c>
      <c r="B8503" s="5">
        <v>355</v>
      </c>
      <c r="C8503" s="5">
        <v>12</v>
      </c>
      <c r="D8503" s="379">
        <v>52.920555555555566</v>
      </c>
      <c r="E8503" s="25">
        <v>24.84</v>
      </c>
      <c r="F8503" s="379">
        <v>0.28639514154593193</v>
      </c>
      <c r="G8503" s="25">
        <v>43.39</v>
      </c>
      <c r="H8503" s="379">
        <v>1.875552840195911</v>
      </c>
      <c r="I8503" s="25">
        <v>33.67</v>
      </c>
      <c r="J8503" s="379">
        <v>2.777777777777778E-2</v>
      </c>
    </row>
    <row r="8504" spans="1:10" x14ac:dyDescent="0.35">
      <c r="A8504" s="5">
        <v>8500</v>
      </c>
      <c r="B8504" s="5">
        <v>355</v>
      </c>
      <c r="C8504" s="5">
        <v>12</v>
      </c>
      <c r="D8504" s="379">
        <v>51.332222222222221</v>
      </c>
      <c r="E8504" s="25">
        <v>24.84</v>
      </c>
      <c r="F8504" s="379">
        <v>0.31495384196813364</v>
      </c>
      <c r="G8504" s="25">
        <v>42.2</v>
      </c>
      <c r="H8504" s="379">
        <v>1.875552840195911</v>
      </c>
      <c r="I8504" s="25">
        <v>33.67</v>
      </c>
      <c r="J8504" s="379">
        <v>2.777777777777778E-2</v>
      </c>
    </row>
    <row r="8505" spans="1:10" x14ac:dyDescent="0.35">
      <c r="A8505" s="5">
        <v>8501</v>
      </c>
      <c r="B8505" s="5">
        <v>355</v>
      </c>
      <c r="C8505" s="5">
        <v>12</v>
      </c>
      <c r="D8505" s="379">
        <v>52.537777777777784</v>
      </c>
      <c r="E8505" s="25">
        <v>24.84</v>
      </c>
      <c r="F8505" s="379">
        <v>0.28862784468893254</v>
      </c>
      <c r="G8505" s="25">
        <v>42.2</v>
      </c>
      <c r="H8505" s="379">
        <v>1.875552840195911</v>
      </c>
      <c r="I8505" s="25">
        <v>33.67</v>
      </c>
      <c r="J8505" s="379">
        <v>2.777777777777778E-2</v>
      </c>
    </row>
    <row r="8506" spans="1:10" x14ac:dyDescent="0.35">
      <c r="A8506" s="5">
        <v>8502</v>
      </c>
      <c r="B8506" s="5">
        <v>355</v>
      </c>
      <c r="C8506" s="5">
        <v>12</v>
      </c>
      <c r="D8506" s="379">
        <v>55.748333333333335</v>
      </c>
      <c r="E8506" s="25">
        <v>24.84</v>
      </c>
      <c r="F8506" s="379">
        <v>0.27694198069904813</v>
      </c>
      <c r="G8506" s="25">
        <v>43.39</v>
      </c>
      <c r="H8506" s="379">
        <v>1.875552840195911</v>
      </c>
      <c r="I8506" s="25">
        <v>33.67</v>
      </c>
      <c r="J8506" s="379">
        <v>3.24179375022427E-2</v>
      </c>
    </row>
    <row r="8507" spans="1:10" x14ac:dyDescent="0.35">
      <c r="A8507" s="5">
        <v>8503</v>
      </c>
      <c r="B8507" s="5">
        <v>355</v>
      </c>
      <c r="C8507" s="5">
        <v>12</v>
      </c>
      <c r="D8507" s="379">
        <v>63.251666666666679</v>
      </c>
      <c r="E8507" s="25">
        <v>25.29</v>
      </c>
      <c r="F8507" s="379">
        <v>0.27942682238439387</v>
      </c>
      <c r="G8507" s="25">
        <v>46.11</v>
      </c>
      <c r="H8507" s="379">
        <v>1.875552840195911</v>
      </c>
      <c r="I8507" s="25">
        <v>33.67</v>
      </c>
      <c r="J8507" s="379">
        <v>3.24179375022427E-2</v>
      </c>
    </row>
    <row r="8508" spans="1:10" x14ac:dyDescent="0.35">
      <c r="A8508" s="5">
        <v>8504</v>
      </c>
      <c r="B8508" s="5">
        <v>355</v>
      </c>
      <c r="C8508" s="5">
        <v>12</v>
      </c>
      <c r="D8508" s="379">
        <v>70.089444444444453</v>
      </c>
      <c r="E8508" s="25">
        <v>25.74</v>
      </c>
      <c r="F8508" s="379">
        <v>0.18968706189533194</v>
      </c>
      <c r="G8508" s="25">
        <v>51.14</v>
      </c>
      <c r="H8508" s="379">
        <v>8.3829564459243458E-2</v>
      </c>
      <c r="I8508" s="25">
        <v>39.619999999999997</v>
      </c>
      <c r="J8508" s="379">
        <v>3.24179375022427E-2</v>
      </c>
    </row>
    <row r="8509" spans="1:10" x14ac:dyDescent="0.35">
      <c r="A8509" s="5">
        <v>8505</v>
      </c>
      <c r="B8509" s="5">
        <v>355</v>
      </c>
      <c r="C8509" s="5">
        <v>12</v>
      </c>
      <c r="D8509" s="379">
        <v>72.01333333333335</v>
      </c>
      <c r="E8509" s="25">
        <v>25.74</v>
      </c>
      <c r="F8509" s="379">
        <v>0.23892319702699022</v>
      </c>
      <c r="G8509" s="25">
        <v>51.14</v>
      </c>
      <c r="H8509" s="379">
        <v>7.81995061569878E-2</v>
      </c>
      <c r="I8509" s="25">
        <v>44.11</v>
      </c>
      <c r="J8509" s="379">
        <v>3.24179375022427E-2</v>
      </c>
    </row>
    <row r="8510" spans="1:10" x14ac:dyDescent="0.35">
      <c r="A8510" s="5">
        <v>8506</v>
      </c>
      <c r="B8510" s="5">
        <v>355</v>
      </c>
      <c r="C8510" s="5">
        <v>12</v>
      </c>
      <c r="D8510" s="379">
        <v>71.263333333333321</v>
      </c>
      <c r="E8510" s="25">
        <v>25.74</v>
      </c>
      <c r="F8510" s="379">
        <v>0.35455839291423347</v>
      </c>
      <c r="G8510" s="25">
        <v>51.14</v>
      </c>
      <c r="H8510" s="379">
        <v>0.14480167642852412</v>
      </c>
      <c r="I8510" s="25">
        <v>40.89</v>
      </c>
      <c r="J8510" s="379">
        <v>3.24179375022427E-2</v>
      </c>
    </row>
    <row r="8511" spans="1:10" x14ac:dyDescent="0.35">
      <c r="A8511" s="5">
        <v>8507</v>
      </c>
      <c r="B8511" s="5">
        <v>355</v>
      </c>
      <c r="C8511" s="5">
        <v>12</v>
      </c>
      <c r="D8511" s="379">
        <v>68.824444444444453</v>
      </c>
      <c r="E8511" s="25">
        <v>25.74</v>
      </c>
      <c r="F8511" s="379">
        <v>0.29878777498243153</v>
      </c>
      <c r="G8511" s="25">
        <v>51.04</v>
      </c>
      <c r="H8511" s="379">
        <v>1.875552840195911</v>
      </c>
      <c r="I8511" s="25">
        <v>34.29</v>
      </c>
      <c r="J8511" s="379">
        <v>2.777777777777778E-2</v>
      </c>
    </row>
    <row r="8512" spans="1:10" x14ac:dyDescent="0.35">
      <c r="A8512" s="5">
        <v>8508</v>
      </c>
      <c r="B8512" s="5">
        <v>355</v>
      </c>
      <c r="C8512" s="5">
        <v>12</v>
      </c>
      <c r="D8512" s="379">
        <v>67.87166666666667</v>
      </c>
      <c r="E8512" s="25">
        <v>25.74</v>
      </c>
      <c r="F8512" s="379">
        <v>3.2727733956087586</v>
      </c>
      <c r="G8512" s="25">
        <v>48.88</v>
      </c>
      <c r="H8512" s="379">
        <v>1.875552840195911</v>
      </c>
      <c r="I8512" s="25">
        <v>33.67</v>
      </c>
      <c r="J8512" s="379">
        <v>2.777777777777778E-2</v>
      </c>
    </row>
    <row r="8513" spans="1:10" x14ac:dyDescent="0.35">
      <c r="A8513" s="5">
        <v>8509</v>
      </c>
      <c r="B8513" s="5">
        <v>355</v>
      </c>
      <c r="C8513" s="5">
        <v>12</v>
      </c>
      <c r="D8513" s="379">
        <v>65.12222222222222</v>
      </c>
      <c r="E8513" s="25">
        <v>25.74</v>
      </c>
      <c r="F8513" s="379">
        <v>2.777777777777778E-2</v>
      </c>
      <c r="G8513" s="25">
        <v>44.69</v>
      </c>
      <c r="H8513" s="379">
        <v>1.875552840195911</v>
      </c>
      <c r="I8513" s="25">
        <v>33.67</v>
      </c>
      <c r="J8513" s="379">
        <v>2.777777777777778E-2</v>
      </c>
    </row>
    <row r="8514" spans="1:10" x14ac:dyDescent="0.35">
      <c r="A8514" s="5">
        <v>8510</v>
      </c>
      <c r="B8514" s="5">
        <v>355</v>
      </c>
      <c r="C8514" s="5">
        <v>12</v>
      </c>
      <c r="D8514" s="379">
        <v>64.833888888888879</v>
      </c>
      <c r="E8514" s="25">
        <v>24.84</v>
      </c>
      <c r="F8514" s="379">
        <v>2.777777777777778E-2</v>
      </c>
      <c r="G8514" s="25">
        <v>43.56</v>
      </c>
      <c r="H8514" s="379">
        <v>1.875552840195911</v>
      </c>
      <c r="I8514" s="25">
        <v>33.67</v>
      </c>
      <c r="J8514" s="379">
        <v>2.777777777777778E-2</v>
      </c>
    </row>
    <row r="8515" spans="1:10" x14ac:dyDescent="0.35">
      <c r="A8515" s="5">
        <v>8511</v>
      </c>
      <c r="B8515" s="5">
        <v>355</v>
      </c>
      <c r="C8515" s="5">
        <v>12</v>
      </c>
      <c r="D8515" s="379">
        <v>65.837777777777774</v>
      </c>
      <c r="E8515" s="25">
        <v>24.84</v>
      </c>
      <c r="F8515" s="379">
        <v>2.777777777777778E-2</v>
      </c>
      <c r="G8515" s="25">
        <v>43.82</v>
      </c>
      <c r="H8515" s="379">
        <v>1.875552840195911</v>
      </c>
      <c r="I8515" s="25">
        <v>33.67</v>
      </c>
      <c r="J8515" s="379">
        <v>2.777777777777778E-2</v>
      </c>
    </row>
    <row r="8516" spans="1:10" x14ac:dyDescent="0.35">
      <c r="A8516" s="5">
        <v>8512</v>
      </c>
      <c r="B8516" s="5">
        <v>355</v>
      </c>
      <c r="C8516" s="5">
        <v>12</v>
      </c>
      <c r="D8516" s="379">
        <v>64.693333333333342</v>
      </c>
      <c r="E8516" s="25">
        <v>25.29</v>
      </c>
      <c r="F8516" s="379">
        <v>2.777777777777778E-2</v>
      </c>
      <c r="G8516" s="25">
        <v>44.69</v>
      </c>
      <c r="H8516" s="379">
        <v>1.875552840195911</v>
      </c>
      <c r="I8516" s="25">
        <v>33.67</v>
      </c>
      <c r="J8516" s="379">
        <v>2.777777777777778E-2</v>
      </c>
    </row>
    <row r="8517" spans="1:10" x14ac:dyDescent="0.35">
      <c r="A8517" s="5">
        <v>8513</v>
      </c>
      <c r="B8517" s="5">
        <v>355</v>
      </c>
      <c r="C8517" s="5">
        <v>12</v>
      </c>
      <c r="D8517" s="379">
        <v>66.387777777777785</v>
      </c>
      <c r="E8517" s="25">
        <v>25.74</v>
      </c>
      <c r="F8517" s="379">
        <v>9.6835651219221719E-2</v>
      </c>
      <c r="G8517" s="25">
        <v>48.88</v>
      </c>
      <c r="H8517" s="379">
        <v>1.875552840195911</v>
      </c>
      <c r="I8517" s="25">
        <v>33.67</v>
      </c>
      <c r="J8517" s="379">
        <v>2.777777777777778E-2</v>
      </c>
    </row>
    <row r="8518" spans="1:10" x14ac:dyDescent="0.35">
      <c r="A8518" s="5">
        <v>8514</v>
      </c>
      <c r="B8518" s="5">
        <v>355</v>
      </c>
      <c r="C8518" s="5">
        <v>12</v>
      </c>
      <c r="D8518" s="379">
        <v>69.620555555555541</v>
      </c>
      <c r="E8518" s="25">
        <v>25.74</v>
      </c>
      <c r="F8518" s="379">
        <v>0.15696853899459259</v>
      </c>
      <c r="G8518" s="25">
        <v>51.14</v>
      </c>
      <c r="H8518" s="379">
        <v>0.14480167642852412</v>
      </c>
      <c r="I8518" s="25">
        <v>44.11</v>
      </c>
      <c r="J8518" s="379">
        <v>3.24179375022427E-2</v>
      </c>
    </row>
    <row r="8519" spans="1:10" x14ac:dyDescent="0.35">
      <c r="A8519" s="5">
        <v>8515</v>
      </c>
      <c r="B8519" s="5">
        <v>355</v>
      </c>
      <c r="C8519" s="5">
        <v>12</v>
      </c>
      <c r="D8519" s="379">
        <v>67.431666666666658</v>
      </c>
      <c r="E8519" s="25">
        <v>25.74</v>
      </c>
      <c r="F8519" s="379">
        <v>0.15698157299973337</v>
      </c>
      <c r="G8519" s="25">
        <v>51.04</v>
      </c>
      <c r="H8519" s="379">
        <v>0.14480167642852412</v>
      </c>
      <c r="I8519" s="25">
        <v>39.619999999999997</v>
      </c>
      <c r="J8519" s="379">
        <v>3.24179375022427E-2</v>
      </c>
    </row>
    <row r="8520" spans="1:10" x14ac:dyDescent="0.35">
      <c r="A8520" s="5">
        <v>8516</v>
      </c>
      <c r="B8520" s="5">
        <v>355</v>
      </c>
      <c r="C8520" s="5">
        <v>12</v>
      </c>
      <c r="D8520" s="379">
        <v>65.325555555555567</v>
      </c>
      <c r="E8520" s="25">
        <v>25.74</v>
      </c>
      <c r="F8520" s="379">
        <v>3.2818063309411873</v>
      </c>
      <c r="G8520" s="25">
        <v>48.2</v>
      </c>
      <c r="H8520" s="379">
        <v>1.9284567185581181</v>
      </c>
      <c r="I8520" s="25">
        <v>34.29</v>
      </c>
      <c r="J8520" s="379">
        <v>3.24179375022427E-2</v>
      </c>
    </row>
    <row r="8521" spans="1:10" x14ac:dyDescent="0.35">
      <c r="A8521" s="5">
        <v>8517</v>
      </c>
      <c r="B8521" s="5">
        <v>355</v>
      </c>
      <c r="C8521" s="5">
        <v>12</v>
      </c>
      <c r="D8521" s="379">
        <v>63.278333333333329</v>
      </c>
      <c r="E8521" s="25">
        <v>24.99</v>
      </c>
      <c r="F8521" s="379">
        <v>3.2818063309411873</v>
      </c>
      <c r="G8521" s="25">
        <v>43.91</v>
      </c>
      <c r="H8521" s="379">
        <v>1.875552840195911</v>
      </c>
      <c r="I8521" s="25">
        <v>33.67</v>
      </c>
      <c r="J8521" s="379">
        <v>3.24179375022427E-2</v>
      </c>
    </row>
    <row r="8522" spans="1:10" x14ac:dyDescent="0.35">
      <c r="A8522" s="5">
        <v>8518</v>
      </c>
      <c r="B8522" s="5">
        <v>355</v>
      </c>
      <c r="C8522" s="5">
        <v>12</v>
      </c>
      <c r="D8522" s="379">
        <v>59.99722222222222</v>
      </c>
      <c r="E8522" s="25">
        <v>24.84</v>
      </c>
      <c r="F8522" s="379">
        <v>3.2052830636219789</v>
      </c>
      <c r="G8522" s="25">
        <v>43.39</v>
      </c>
      <c r="H8522" s="379">
        <v>1.875552840195911</v>
      </c>
      <c r="I8522" s="25">
        <v>33.67</v>
      </c>
      <c r="J8522" s="379">
        <v>3.24179375022427E-2</v>
      </c>
    </row>
    <row r="8523" spans="1:10" x14ac:dyDescent="0.35">
      <c r="A8523" s="5">
        <v>8519</v>
      </c>
      <c r="B8523" s="5">
        <v>355</v>
      </c>
      <c r="C8523" s="5">
        <v>12</v>
      </c>
      <c r="D8523" s="379">
        <v>56.873333333333335</v>
      </c>
      <c r="E8523" s="25">
        <v>24.84</v>
      </c>
      <c r="F8523" s="379">
        <v>3.1962501282895501</v>
      </c>
      <c r="G8523" s="25">
        <v>43.39</v>
      </c>
      <c r="H8523" s="379">
        <v>1.875552840195911</v>
      </c>
      <c r="I8523" s="25">
        <v>33.67</v>
      </c>
      <c r="J8523" s="379">
        <v>3.24179375022427E-2</v>
      </c>
    </row>
    <row r="8524" spans="1:10" x14ac:dyDescent="0.35">
      <c r="A8524" s="5">
        <v>8520</v>
      </c>
      <c r="B8524" s="5">
        <v>355</v>
      </c>
      <c r="C8524" s="5">
        <v>12</v>
      </c>
      <c r="D8524" s="379">
        <v>53.041111111111114</v>
      </c>
      <c r="E8524" s="25">
        <v>24.84</v>
      </c>
      <c r="F8524" s="379">
        <v>3.1962501282895501</v>
      </c>
      <c r="G8524" s="25">
        <v>42.35</v>
      </c>
      <c r="H8524" s="379">
        <v>1.875552840195911</v>
      </c>
      <c r="I8524" s="25">
        <v>33.67</v>
      </c>
      <c r="J8524" s="379">
        <v>3.24179375022427E-2</v>
      </c>
    </row>
    <row r="8525" spans="1:10" x14ac:dyDescent="0.35">
      <c r="A8525" s="5">
        <v>8521</v>
      </c>
      <c r="B8525" s="5">
        <v>356</v>
      </c>
      <c r="C8525" s="5">
        <v>12</v>
      </c>
      <c r="D8525" s="379">
        <v>54.498333333333335</v>
      </c>
      <c r="E8525" s="25">
        <v>24.84</v>
      </c>
      <c r="F8525" s="379">
        <v>3.0234214029820583</v>
      </c>
      <c r="G8525" s="25">
        <v>42.17</v>
      </c>
      <c r="H8525" s="379">
        <v>1.875552840195911</v>
      </c>
      <c r="I8525" s="25">
        <v>33.67</v>
      </c>
      <c r="J8525" s="379">
        <v>3.24179375022427E-2</v>
      </c>
    </row>
    <row r="8526" spans="1:10" x14ac:dyDescent="0.35">
      <c r="A8526" s="5">
        <v>8522</v>
      </c>
      <c r="B8526" s="5">
        <v>356</v>
      </c>
      <c r="C8526" s="5">
        <v>12</v>
      </c>
      <c r="D8526" s="379">
        <v>52.759444444444448</v>
      </c>
      <c r="E8526" s="25">
        <v>24.99</v>
      </c>
      <c r="F8526" s="379">
        <v>2.5565215798229359</v>
      </c>
      <c r="G8526" s="25">
        <v>42.17</v>
      </c>
      <c r="H8526" s="379">
        <v>1.875552840195911</v>
      </c>
      <c r="I8526" s="25">
        <v>33.67</v>
      </c>
      <c r="J8526" s="379">
        <v>2.777777777777778E-2</v>
      </c>
    </row>
    <row r="8527" spans="1:10" x14ac:dyDescent="0.35">
      <c r="A8527" s="5">
        <v>8523</v>
      </c>
      <c r="B8527" s="5">
        <v>356</v>
      </c>
      <c r="C8527" s="5">
        <v>12</v>
      </c>
      <c r="D8527" s="379">
        <v>50.094444444444441</v>
      </c>
      <c r="E8527" s="25">
        <v>24.84</v>
      </c>
      <c r="F8527" s="379">
        <v>2.5565215798229359</v>
      </c>
      <c r="G8527" s="25">
        <v>42.17</v>
      </c>
      <c r="H8527" s="379">
        <v>1.875552840195911</v>
      </c>
      <c r="I8527" s="25">
        <v>33.67</v>
      </c>
      <c r="J8527" s="379">
        <v>2.777777777777778E-2</v>
      </c>
    </row>
    <row r="8528" spans="1:10" x14ac:dyDescent="0.35">
      <c r="A8528" s="5">
        <v>8524</v>
      </c>
      <c r="B8528" s="5">
        <v>356</v>
      </c>
      <c r="C8528" s="5">
        <v>12</v>
      </c>
      <c r="D8528" s="379">
        <v>48.697222222222223</v>
      </c>
      <c r="E8528" s="25">
        <v>24.73</v>
      </c>
      <c r="F8528" s="379">
        <v>2.5565215798229359</v>
      </c>
      <c r="G8528" s="25">
        <v>41.75</v>
      </c>
      <c r="H8528" s="379">
        <v>1.875552840195911</v>
      </c>
      <c r="I8528" s="25">
        <v>33.67</v>
      </c>
      <c r="J8528" s="379">
        <v>2.777777777777778E-2</v>
      </c>
    </row>
    <row r="8529" spans="1:10" x14ac:dyDescent="0.35">
      <c r="A8529" s="5">
        <v>8525</v>
      </c>
      <c r="B8529" s="5">
        <v>356</v>
      </c>
      <c r="C8529" s="5">
        <v>12</v>
      </c>
      <c r="D8529" s="379">
        <v>47.045555555555559</v>
      </c>
      <c r="E8529" s="25">
        <v>24.73</v>
      </c>
      <c r="F8529" s="379">
        <v>2.5565215798229359</v>
      </c>
      <c r="G8529" s="25">
        <v>41.75</v>
      </c>
      <c r="H8529" s="379">
        <v>1.875552840195911</v>
      </c>
      <c r="I8529" s="25">
        <v>33.67</v>
      </c>
      <c r="J8529" s="379">
        <v>2.777777777777778E-2</v>
      </c>
    </row>
    <row r="8530" spans="1:10" x14ac:dyDescent="0.35">
      <c r="A8530" s="5">
        <v>8526</v>
      </c>
      <c r="B8530" s="5">
        <v>356</v>
      </c>
      <c r="C8530" s="5">
        <v>12</v>
      </c>
      <c r="D8530" s="379">
        <v>53.838888888888889</v>
      </c>
      <c r="E8530" s="25">
        <v>24.84</v>
      </c>
      <c r="F8530" s="379">
        <v>2.5565215798229359</v>
      </c>
      <c r="G8530" s="25">
        <v>42.17</v>
      </c>
      <c r="H8530" s="379">
        <v>1.875552840195911</v>
      </c>
      <c r="I8530" s="25">
        <v>33.67</v>
      </c>
      <c r="J8530" s="379">
        <v>2.777777777777778E-2</v>
      </c>
    </row>
    <row r="8531" spans="1:10" x14ac:dyDescent="0.35">
      <c r="A8531" s="5">
        <v>8527</v>
      </c>
      <c r="B8531" s="5">
        <v>356</v>
      </c>
      <c r="C8531" s="5">
        <v>12</v>
      </c>
      <c r="D8531" s="379">
        <v>59.137222222222221</v>
      </c>
      <c r="E8531" s="25">
        <v>24.84</v>
      </c>
      <c r="F8531" s="379">
        <v>3.0234214029820583</v>
      </c>
      <c r="G8531" s="25">
        <v>42.75</v>
      </c>
      <c r="H8531" s="379">
        <v>1.875552840195911</v>
      </c>
      <c r="I8531" s="25">
        <v>33.67</v>
      </c>
      <c r="J8531" s="379">
        <v>2.777777777777778E-2</v>
      </c>
    </row>
    <row r="8532" spans="1:10" x14ac:dyDescent="0.35">
      <c r="A8532" s="5">
        <v>8528</v>
      </c>
      <c r="B8532" s="5">
        <v>356</v>
      </c>
      <c r="C8532" s="5">
        <v>12</v>
      </c>
      <c r="D8532" s="379">
        <v>65.111111111111114</v>
      </c>
      <c r="E8532" s="25">
        <v>25.29</v>
      </c>
      <c r="F8532" s="379">
        <v>3.1962501282895501</v>
      </c>
      <c r="G8532" s="25">
        <v>46.98</v>
      </c>
      <c r="H8532" s="379">
        <v>1.875552840195911</v>
      </c>
      <c r="I8532" s="25">
        <v>33.67</v>
      </c>
      <c r="J8532" s="379">
        <v>2.777777777777778E-2</v>
      </c>
    </row>
    <row r="8533" spans="1:10" x14ac:dyDescent="0.35">
      <c r="A8533" s="5">
        <v>8529</v>
      </c>
      <c r="B8533" s="5">
        <v>356</v>
      </c>
      <c r="C8533" s="5">
        <v>12</v>
      </c>
      <c r="D8533" s="379">
        <v>64.438888888888897</v>
      </c>
      <c r="E8533" s="25">
        <v>25.74</v>
      </c>
      <c r="F8533" s="379">
        <v>3.1962501282895501</v>
      </c>
      <c r="G8533" s="25">
        <v>49.12</v>
      </c>
      <c r="H8533" s="379">
        <v>1.875552840195911</v>
      </c>
      <c r="I8533" s="25">
        <v>34.29</v>
      </c>
      <c r="J8533" s="379">
        <v>2.777777777777778E-2</v>
      </c>
    </row>
    <row r="8534" spans="1:10" x14ac:dyDescent="0.35">
      <c r="A8534" s="5">
        <v>8530</v>
      </c>
      <c r="B8534" s="5">
        <v>356</v>
      </c>
      <c r="C8534" s="5">
        <v>12</v>
      </c>
      <c r="D8534" s="379">
        <v>64.363888888888894</v>
      </c>
      <c r="E8534" s="25">
        <v>25.74</v>
      </c>
      <c r="F8534" s="379">
        <v>3.2727733956087586</v>
      </c>
      <c r="G8534" s="25">
        <v>49.12</v>
      </c>
      <c r="H8534" s="379">
        <v>1.875552840195911</v>
      </c>
      <c r="I8534" s="25">
        <v>34.29</v>
      </c>
      <c r="J8534" s="379">
        <v>2.777777777777778E-2</v>
      </c>
    </row>
    <row r="8535" spans="1:10" x14ac:dyDescent="0.35">
      <c r="A8535" s="5">
        <v>8531</v>
      </c>
      <c r="B8535" s="5">
        <v>356</v>
      </c>
      <c r="C8535" s="5">
        <v>12</v>
      </c>
      <c r="D8535" s="379">
        <v>64.837777777777788</v>
      </c>
      <c r="E8535" s="25">
        <v>25.29</v>
      </c>
      <c r="F8535" s="379">
        <v>3.2727733956087586</v>
      </c>
      <c r="G8535" s="25">
        <v>47.85</v>
      </c>
      <c r="H8535" s="379">
        <v>1.875552840195911</v>
      </c>
      <c r="I8535" s="25">
        <v>34.07</v>
      </c>
      <c r="J8535" s="379">
        <v>2.777777777777778E-2</v>
      </c>
    </row>
    <row r="8536" spans="1:10" x14ac:dyDescent="0.35">
      <c r="A8536" s="5">
        <v>8532</v>
      </c>
      <c r="B8536" s="5">
        <v>356</v>
      </c>
      <c r="C8536" s="5">
        <v>12</v>
      </c>
      <c r="D8536" s="379">
        <v>64.776666666666671</v>
      </c>
      <c r="E8536" s="25">
        <v>25.29</v>
      </c>
      <c r="F8536" s="379">
        <v>3.2727733956087586</v>
      </c>
      <c r="G8536" s="25">
        <v>46.8</v>
      </c>
      <c r="H8536" s="379">
        <v>1.875552840195911</v>
      </c>
      <c r="I8536" s="25">
        <v>34.07</v>
      </c>
      <c r="J8536" s="379">
        <v>2.777777777777778E-2</v>
      </c>
    </row>
    <row r="8537" spans="1:10" x14ac:dyDescent="0.35">
      <c r="A8537" s="5">
        <v>8533</v>
      </c>
      <c r="B8537" s="5">
        <v>356</v>
      </c>
      <c r="C8537" s="5">
        <v>12</v>
      </c>
      <c r="D8537" s="379">
        <v>65.224444444444444</v>
      </c>
      <c r="E8537" s="25">
        <v>24.84</v>
      </c>
      <c r="F8537" s="379">
        <v>3.2727733956087586</v>
      </c>
      <c r="G8537" s="25">
        <v>44.77</v>
      </c>
      <c r="H8537" s="379">
        <v>1.875552840195911</v>
      </c>
      <c r="I8537" s="25">
        <v>33.67</v>
      </c>
      <c r="J8537" s="379">
        <v>2.777777777777778E-2</v>
      </c>
    </row>
    <row r="8538" spans="1:10" x14ac:dyDescent="0.35">
      <c r="A8538" s="5">
        <v>8534</v>
      </c>
      <c r="B8538" s="5">
        <v>356</v>
      </c>
      <c r="C8538" s="5">
        <v>12</v>
      </c>
      <c r="D8538" s="379">
        <v>64.262777777777771</v>
      </c>
      <c r="E8538" s="25">
        <v>24.84</v>
      </c>
      <c r="F8538" s="379">
        <v>3.2727733956087586</v>
      </c>
      <c r="G8538" s="25">
        <v>44.77</v>
      </c>
      <c r="H8538" s="379">
        <v>1.875552840195911</v>
      </c>
      <c r="I8538" s="25">
        <v>33.67</v>
      </c>
      <c r="J8538" s="379">
        <v>2.777777777777778E-2</v>
      </c>
    </row>
    <row r="8539" spans="1:10" x14ac:dyDescent="0.35">
      <c r="A8539" s="5">
        <v>8535</v>
      </c>
      <c r="B8539" s="5">
        <v>356</v>
      </c>
      <c r="C8539" s="5">
        <v>12</v>
      </c>
      <c r="D8539" s="379">
        <v>64.016111111111115</v>
      </c>
      <c r="E8539" s="25">
        <v>24.84</v>
      </c>
      <c r="F8539" s="379">
        <v>3.2727733956087586</v>
      </c>
      <c r="G8539" s="25">
        <v>44.69</v>
      </c>
      <c r="H8539" s="379">
        <v>1.9065799386361724</v>
      </c>
      <c r="I8539" s="25">
        <v>33.67</v>
      </c>
      <c r="J8539" s="379">
        <v>2.777777777777778E-2</v>
      </c>
    </row>
    <row r="8540" spans="1:10" x14ac:dyDescent="0.35">
      <c r="A8540" s="5">
        <v>8536</v>
      </c>
      <c r="B8540" s="5">
        <v>356</v>
      </c>
      <c r="C8540" s="5">
        <v>12</v>
      </c>
      <c r="D8540" s="379">
        <v>63.201666666666661</v>
      </c>
      <c r="E8540" s="25">
        <v>25.74</v>
      </c>
      <c r="F8540" s="379">
        <v>3.2727733956087586</v>
      </c>
      <c r="G8540" s="25">
        <v>44.77</v>
      </c>
      <c r="H8540" s="379">
        <v>1.9065799386361724</v>
      </c>
      <c r="I8540" s="25">
        <v>34.07</v>
      </c>
      <c r="J8540" s="379">
        <v>2.777777777777778E-2</v>
      </c>
    </row>
    <row r="8541" spans="1:10" x14ac:dyDescent="0.35">
      <c r="A8541" s="5">
        <v>8537</v>
      </c>
      <c r="B8541" s="5">
        <v>356</v>
      </c>
      <c r="C8541" s="5">
        <v>12</v>
      </c>
      <c r="D8541" s="379">
        <v>64.792777777777772</v>
      </c>
      <c r="E8541" s="25">
        <v>25.74</v>
      </c>
      <c r="F8541" s="379">
        <v>2.777777777777778E-2</v>
      </c>
      <c r="G8541" s="25">
        <v>46.21</v>
      </c>
      <c r="H8541" s="379">
        <v>1.9065799386361724</v>
      </c>
      <c r="I8541" s="25">
        <v>39.619999999999997</v>
      </c>
      <c r="J8541" s="379">
        <v>2.777777777777778E-2</v>
      </c>
    </row>
    <row r="8542" spans="1:10" x14ac:dyDescent="0.35">
      <c r="A8542" s="5">
        <v>8538</v>
      </c>
      <c r="B8542" s="5">
        <v>356</v>
      </c>
      <c r="C8542" s="5">
        <v>12</v>
      </c>
      <c r="D8542" s="379">
        <v>67.537222222222226</v>
      </c>
      <c r="E8542" s="25">
        <v>25.74</v>
      </c>
      <c r="F8542" s="379">
        <v>0.14480167642852412</v>
      </c>
      <c r="G8542" s="25">
        <v>49.12</v>
      </c>
      <c r="H8542" s="379">
        <v>1.9065799386361724</v>
      </c>
      <c r="I8542" s="25">
        <v>44.11</v>
      </c>
      <c r="J8542" s="379">
        <v>2.777777777777778E-2</v>
      </c>
    </row>
    <row r="8543" spans="1:10" x14ac:dyDescent="0.35">
      <c r="A8543" s="5">
        <v>8539</v>
      </c>
      <c r="B8543" s="5">
        <v>356</v>
      </c>
      <c r="C8543" s="5">
        <v>12</v>
      </c>
      <c r="D8543" s="379">
        <v>65.919999999999987</v>
      </c>
      <c r="E8543" s="25">
        <v>25.74</v>
      </c>
      <c r="F8543" s="379">
        <v>5.6896266662094373E-2</v>
      </c>
      <c r="G8543" s="25">
        <v>49.12</v>
      </c>
      <c r="H8543" s="379">
        <v>1.9065799386361724</v>
      </c>
      <c r="I8543" s="25">
        <v>39.619999999999997</v>
      </c>
      <c r="J8543" s="379">
        <v>2.777777777777778E-2</v>
      </c>
    </row>
    <row r="8544" spans="1:10" x14ac:dyDescent="0.35">
      <c r="A8544" s="5">
        <v>8540</v>
      </c>
      <c r="B8544" s="5">
        <v>356</v>
      </c>
      <c r="C8544" s="5">
        <v>12</v>
      </c>
      <c r="D8544" s="379">
        <v>62.341666666666669</v>
      </c>
      <c r="E8544" s="25">
        <v>25.74</v>
      </c>
      <c r="F8544" s="379">
        <v>2.777777777777778E-2</v>
      </c>
      <c r="G8544" s="25">
        <v>47.46</v>
      </c>
      <c r="H8544" s="379">
        <v>1.9065799386361724</v>
      </c>
      <c r="I8544" s="25">
        <v>34.25</v>
      </c>
      <c r="J8544" s="379">
        <v>2.777777777777778E-2</v>
      </c>
    </row>
    <row r="8545" spans="1:10" x14ac:dyDescent="0.35">
      <c r="A8545" s="5">
        <v>8541</v>
      </c>
      <c r="B8545" s="5">
        <v>356</v>
      </c>
      <c r="C8545" s="5">
        <v>12</v>
      </c>
      <c r="D8545" s="379">
        <v>57.350555555555552</v>
      </c>
      <c r="E8545" s="25">
        <v>24.99</v>
      </c>
      <c r="F8545" s="379">
        <v>3.2727733956087586</v>
      </c>
      <c r="G8545" s="25">
        <v>44.69</v>
      </c>
      <c r="H8545" s="379">
        <v>1.875552840195911</v>
      </c>
      <c r="I8545" s="25">
        <v>33.67</v>
      </c>
      <c r="J8545" s="379">
        <v>2.777777777777778E-2</v>
      </c>
    </row>
    <row r="8546" spans="1:10" x14ac:dyDescent="0.35">
      <c r="A8546" s="5">
        <v>8542</v>
      </c>
      <c r="B8546" s="5">
        <v>356</v>
      </c>
      <c r="C8546" s="5">
        <v>12</v>
      </c>
      <c r="D8546" s="379">
        <v>56.507222222222218</v>
      </c>
      <c r="E8546" s="25">
        <v>24.84</v>
      </c>
      <c r="F8546" s="379">
        <v>3.2727733956087586</v>
      </c>
      <c r="G8546" s="25">
        <v>43.03</v>
      </c>
      <c r="H8546" s="379">
        <v>1.875552840195911</v>
      </c>
      <c r="I8546" s="25">
        <v>33.67</v>
      </c>
      <c r="J8546" s="379">
        <v>2.777777777777778E-2</v>
      </c>
    </row>
    <row r="8547" spans="1:10" x14ac:dyDescent="0.35">
      <c r="A8547" s="5">
        <v>8543</v>
      </c>
      <c r="B8547" s="5">
        <v>356</v>
      </c>
      <c r="C8547" s="5">
        <v>12</v>
      </c>
      <c r="D8547" s="379">
        <v>52.340000000000011</v>
      </c>
      <c r="E8547" s="25">
        <v>24.84</v>
      </c>
      <c r="F8547" s="379">
        <v>3.058748439132545</v>
      </c>
      <c r="G8547" s="25">
        <v>42.17</v>
      </c>
      <c r="H8547" s="379">
        <v>1.875552840195911</v>
      </c>
      <c r="I8547" s="25">
        <v>33.67</v>
      </c>
      <c r="J8547" s="379">
        <v>2.777777777777778E-2</v>
      </c>
    </row>
    <row r="8548" spans="1:10" x14ac:dyDescent="0.35">
      <c r="A8548" s="5">
        <v>8544</v>
      </c>
      <c r="B8548" s="5">
        <v>356</v>
      </c>
      <c r="C8548" s="5">
        <v>12</v>
      </c>
      <c r="D8548" s="379">
        <v>50.29</v>
      </c>
      <c r="E8548" s="25">
        <v>24.84</v>
      </c>
      <c r="F8548" s="379">
        <v>3.0234214029820583</v>
      </c>
      <c r="G8548" s="25">
        <v>39.93</v>
      </c>
      <c r="H8548" s="379">
        <v>1.875552840195911</v>
      </c>
      <c r="I8548" s="25">
        <v>33.67</v>
      </c>
      <c r="J8548" s="379">
        <v>2.777777777777778E-2</v>
      </c>
    </row>
    <row r="8549" spans="1:10" x14ac:dyDescent="0.35">
      <c r="A8549" s="5">
        <v>8545</v>
      </c>
      <c r="B8549" s="5">
        <v>357</v>
      </c>
      <c r="C8549" s="5">
        <v>12</v>
      </c>
      <c r="D8549" s="379">
        <v>47.313333333333333</v>
      </c>
      <c r="E8549" s="25">
        <v>24.84</v>
      </c>
      <c r="F8549" s="379">
        <v>2.5565215798229359</v>
      </c>
      <c r="G8549" s="25">
        <v>31.84</v>
      </c>
      <c r="H8549" s="379">
        <v>1.875552840195911</v>
      </c>
      <c r="I8549" s="25">
        <v>33.67</v>
      </c>
      <c r="J8549" s="379">
        <v>2.777777777777778E-2</v>
      </c>
    </row>
    <row r="8550" spans="1:10" x14ac:dyDescent="0.35">
      <c r="A8550" s="5">
        <v>8546</v>
      </c>
      <c r="B8550" s="5">
        <v>357</v>
      </c>
      <c r="C8550" s="5">
        <v>12</v>
      </c>
      <c r="D8550" s="379">
        <v>46.778333333333329</v>
      </c>
      <c r="E8550" s="25">
        <v>24.73</v>
      </c>
      <c r="F8550" s="379">
        <v>2.5565215798229359</v>
      </c>
      <c r="G8550" s="25">
        <v>30.57</v>
      </c>
      <c r="H8550" s="379">
        <v>1.875552840195911</v>
      </c>
      <c r="I8550" s="25">
        <v>33.67</v>
      </c>
      <c r="J8550" s="379">
        <v>2.777777777777778E-2</v>
      </c>
    </row>
    <row r="8551" spans="1:10" x14ac:dyDescent="0.35">
      <c r="A8551" s="5">
        <v>8547</v>
      </c>
      <c r="B8551" s="5">
        <v>357</v>
      </c>
      <c r="C8551" s="5">
        <v>12</v>
      </c>
      <c r="D8551" s="379">
        <v>45.350555555555552</v>
      </c>
      <c r="E8551" s="25">
        <v>23.59</v>
      </c>
      <c r="F8551" s="379">
        <v>2.5565215798229359</v>
      </c>
      <c r="G8551" s="25">
        <v>30.03</v>
      </c>
      <c r="H8551" s="379">
        <v>1.875552840195911</v>
      </c>
      <c r="I8551" s="25">
        <v>33.67</v>
      </c>
      <c r="J8551" s="379">
        <v>2.777777777777778E-2</v>
      </c>
    </row>
    <row r="8552" spans="1:10" x14ac:dyDescent="0.35">
      <c r="A8552" s="5">
        <v>8548</v>
      </c>
      <c r="B8552" s="5">
        <v>357</v>
      </c>
      <c r="C8552" s="5">
        <v>12</v>
      </c>
      <c r="D8552" s="379">
        <v>43.362222222222215</v>
      </c>
      <c r="E8552" s="25">
        <v>23.59</v>
      </c>
      <c r="F8552" s="379">
        <v>2.5565215798229359</v>
      </c>
      <c r="G8552" s="25">
        <v>30.03</v>
      </c>
      <c r="H8552" s="379">
        <v>1.875552840195911</v>
      </c>
      <c r="I8552" s="25">
        <v>33.67</v>
      </c>
      <c r="J8552" s="379">
        <v>2.777777777777778E-2</v>
      </c>
    </row>
    <row r="8553" spans="1:10" x14ac:dyDescent="0.35">
      <c r="A8553" s="5">
        <v>8549</v>
      </c>
      <c r="B8553" s="5">
        <v>357</v>
      </c>
      <c r="C8553" s="5">
        <v>12</v>
      </c>
      <c r="D8553" s="379">
        <v>43.545555555555552</v>
      </c>
      <c r="E8553" s="25">
        <v>23.59</v>
      </c>
      <c r="F8553" s="379">
        <v>2.5565215798229359</v>
      </c>
      <c r="G8553" s="25">
        <v>30.57</v>
      </c>
      <c r="H8553" s="379">
        <v>1.875552840195911</v>
      </c>
      <c r="I8553" s="25">
        <v>33.67</v>
      </c>
      <c r="J8553" s="379">
        <v>2.777777777777778E-2</v>
      </c>
    </row>
    <row r="8554" spans="1:10" x14ac:dyDescent="0.35">
      <c r="A8554" s="5">
        <v>8550</v>
      </c>
      <c r="B8554" s="5">
        <v>357</v>
      </c>
      <c r="C8554" s="5">
        <v>12</v>
      </c>
      <c r="D8554" s="379">
        <v>46.393333333333338</v>
      </c>
      <c r="E8554" s="25">
        <v>24.84</v>
      </c>
      <c r="F8554" s="379">
        <v>2.5565215798229359</v>
      </c>
      <c r="G8554" s="25">
        <v>30.93</v>
      </c>
      <c r="H8554" s="379">
        <v>1.875552840195911</v>
      </c>
      <c r="I8554" s="25">
        <v>33.67</v>
      </c>
      <c r="J8554" s="379">
        <v>2.777777777777778E-2</v>
      </c>
    </row>
    <row r="8555" spans="1:10" x14ac:dyDescent="0.35">
      <c r="A8555" s="5">
        <v>8551</v>
      </c>
      <c r="B8555" s="5">
        <v>357</v>
      </c>
      <c r="C8555" s="5">
        <v>12</v>
      </c>
      <c r="D8555" s="379">
        <v>50.384999999999991</v>
      </c>
      <c r="E8555" s="25">
        <v>24.84</v>
      </c>
      <c r="F8555" s="379">
        <v>2.5918486159734222</v>
      </c>
      <c r="G8555" s="25">
        <v>42.17</v>
      </c>
      <c r="H8555" s="379">
        <v>1.875552840195911</v>
      </c>
      <c r="I8555" s="25">
        <v>33.67</v>
      </c>
      <c r="J8555" s="379">
        <v>2.777777777777778E-2</v>
      </c>
    </row>
    <row r="8556" spans="1:10" x14ac:dyDescent="0.35">
      <c r="A8556" s="5">
        <v>8552</v>
      </c>
      <c r="B8556" s="5">
        <v>357</v>
      </c>
      <c r="C8556" s="5">
        <v>12</v>
      </c>
      <c r="D8556" s="379">
        <v>54.229444444444432</v>
      </c>
      <c r="E8556" s="25">
        <v>25.29</v>
      </c>
      <c r="F8556" s="379">
        <v>3.058748439132545</v>
      </c>
      <c r="G8556" s="25">
        <v>44.69</v>
      </c>
      <c r="H8556" s="379">
        <v>1.875552840195911</v>
      </c>
      <c r="I8556" s="25">
        <v>33.67</v>
      </c>
      <c r="J8556" s="379">
        <v>2.777777777777778E-2</v>
      </c>
    </row>
    <row r="8557" spans="1:10" x14ac:dyDescent="0.35">
      <c r="A8557" s="5">
        <v>8553</v>
      </c>
      <c r="B8557" s="5">
        <v>357</v>
      </c>
      <c r="C8557" s="5">
        <v>12</v>
      </c>
      <c r="D8557" s="379">
        <v>58.43333333333333</v>
      </c>
      <c r="E8557" s="25">
        <v>25.59</v>
      </c>
      <c r="F8557" s="379">
        <v>3.2727733956087586</v>
      </c>
      <c r="G8557" s="25">
        <v>47.85</v>
      </c>
      <c r="H8557" s="379">
        <v>1.875552840195911</v>
      </c>
      <c r="I8557" s="25">
        <v>34.25</v>
      </c>
      <c r="J8557" s="379">
        <v>2.8277465877357716E-2</v>
      </c>
    </row>
    <row r="8558" spans="1:10" x14ac:dyDescent="0.35">
      <c r="A8558" s="5">
        <v>8554</v>
      </c>
      <c r="B8558" s="5">
        <v>357</v>
      </c>
      <c r="C8558" s="5">
        <v>12</v>
      </c>
      <c r="D8558" s="379">
        <v>59.827777777777769</v>
      </c>
      <c r="E8558" s="25">
        <v>25.59</v>
      </c>
      <c r="F8558" s="379">
        <v>3.2727733956087586</v>
      </c>
      <c r="G8558" s="25">
        <v>49.68</v>
      </c>
      <c r="H8558" s="379">
        <v>1.875552840195911</v>
      </c>
      <c r="I8558" s="25">
        <v>34.25</v>
      </c>
      <c r="J8558" s="379">
        <v>2.8277465877357716E-2</v>
      </c>
    </row>
    <row r="8559" spans="1:10" x14ac:dyDescent="0.35">
      <c r="A8559" s="5">
        <v>8555</v>
      </c>
      <c r="B8559" s="5">
        <v>357</v>
      </c>
      <c r="C8559" s="5">
        <v>12</v>
      </c>
      <c r="D8559" s="379">
        <v>60.341111111111111</v>
      </c>
      <c r="E8559" s="25">
        <v>25.59</v>
      </c>
      <c r="F8559" s="379">
        <v>3.2727733956087586</v>
      </c>
      <c r="G8559" s="25">
        <v>47.85</v>
      </c>
      <c r="H8559" s="379">
        <v>1.875552840195911</v>
      </c>
      <c r="I8559" s="25">
        <v>33.729999999999997</v>
      </c>
      <c r="J8559" s="379">
        <v>2.777777777777778E-2</v>
      </c>
    </row>
    <row r="8560" spans="1:10" x14ac:dyDescent="0.35">
      <c r="A8560" s="5">
        <v>8556</v>
      </c>
      <c r="B8560" s="5">
        <v>357</v>
      </c>
      <c r="C8560" s="5">
        <v>12</v>
      </c>
      <c r="D8560" s="379">
        <v>59.075000000000003</v>
      </c>
      <c r="E8560" s="25">
        <v>25.59</v>
      </c>
      <c r="F8560" s="379">
        <v>3.2727733956087586</v>
      </c>
      <c r="G8560" s="25">
        <v>47.46</v>
      </c>
      <c r="H8560" s="379">
        <v>1.875552840195911</v>
      </c>
      <c r="I8560" s="25">
        <v>33.729999999999997</v>
      </c>
      <c r="J8560" s="379">
        <v>2.777777777777778E-2</v>
      </c>
    </row>
    <row r="8561" spans="1:10" x14ac:dyDescent="0.35">
      <c r="A8561" s="5">
        <v>8557</v>
      </c>
      <c r="B8561" s="5">
        <v>357</v>
      </c>
      <c r="C8561" s="5">
        <v>12</v>
      </c>
      <c r="D8561" s="379">
        <v>57.436111111111117</v>
      </c>
      <c r="E8561" s="25">
        <v>25.29</v>
      </c>
      <c r="F8561" s="379">
        <v>3.2727733956087586</v>
      </c>
      <c r="G8561" s="25">
        <v>44.69</v>
      </c>
      <c r="H8561" s="379">
        <v>1.875552840195911</v>
      </c>
      <c r="I8561" s="25">
        <v>33.67</v>
      </c>
      <c r="J8561" s="379">
        <v>2.777777777777778E-2</v>
      </c>
    </row>
    <row r="8562" spans="1:10" x14ac:dyDescent="0.35">
      <c r="A8562" s="5">
        <v>8558</v>
      </c>
      <c r="B8562" s="5">
        <v>357</v>
      </c>
      <c r="C8562" s="5">
        <v>12</v>
      </c>
      <c r="D8562" s="379">
        <v>56.449444444444438</v>
      </c>
      <c r="E8562" s="25">
        <v>25.59</v>
      </c>
      <c r="F8562" s="379">
        <v>3.2727733956087586</v>
      </c>
      <c r="G8562" s="25">
        <v>44.69</v>
      </c>
      <c r="H8562" s="379">
        <v>1.875552840195911</v>
      </c>
      <c r="I8562" s="25">
        <v>33.67</v>
      </c>
      <c r="J8562" s="379">
        <v>2.777777777777778E-2</v>
      </c>
    </row>
    <row r="8563" spans="1:10" x14ac:dyDescent="0.35">
      <c r="A8563" s="5">
        <v>8559</v>
      </c>
      <c r="B8563" s="5">
        <v>357</v>
      </c>
      <c r="C8563" s="5">
        <v>12</v>
      </c>
      <c r="D8563" s="379">
        <v>56.09</v>
      </c>
      <c r="E8563" s="25">
        <v>25.59</v>
      </c>
      <c r="F8563" s="379">
        <v>3.2727733956087586</v>
      </c>
      <c r="G8563" s="25">
        <v>44.86</v>
      </c>
      <c r="H8563" s="379">
        <v>1.9065799386361724</v>
      </c>
      <c r="I8563" s="25">
        <v>34.01</v>
      </c>
      <c r="J8563" s="379">
        <v>2.777777777777778E-2</v>
      </c>
    </row>
    <row r="8564" spans="1:10" x14ac:dyDescent="0.35">
      <c r="A8564" s="5">
        <v>8560</v>
      </c>
      <c r="B8564" s="5">
        <v>357</v>
      </c>
      <c r="C8564" s="5">
        <v>12</v>
      </c>
      <c r="D8564" s="379">
        <v>54.25222222222223</v>
      </c>
      <c r="E8564" s="25">
        <v>25.74</v>
      </c>
      <c r="F8564" s="379">
        <v>0.94084420641065314</v>
      </c>
      <c r="G8564" s="25">
        <v>47.85</v>
      </c>
      <c r="H8564" s="379">
        <v>1.9065799386361724</v>
      </c>
      <c r="I8564" s="25">
        <v>39.619999999999997</v>
      </c>
      <c r="J8564" s="379">
        <v>3.24179375022427E-2</v>
      </c>
    </row>
    <row r="8565" spans="1:10" x14ac:dyDescent="0.35">
      <c r="A8565" s="5">
        <v>8561</v>
      </c>
      <c r="B8565" s="5">
        <v>357</v>
      </c>
      <c r="C8565" s="5">
        <v>12</v>
      </c>
      <c r="D8565" s="379">
        <v>56.622222222222213</v>
      </c>
      <c r="E8565" s="25">
        <v>25.74</v>
      </c>
      <c r="F8565" s="379">
        <v>5.6194284839824622</v>
      </c>
      <c r="G8565" s="25">
        <v>50.35</v>
      </c>
      <c r="H8565" s="379">
        <v>0.14480167642852412</v>
      </c>
      <c r="I8565" s="25">
        <v>50.13</v>
      </c>
      <c r="J8565" s="379">
        <v>4.0222194924035136E-2</v>
      </c>
    </row>
    <row r="8566" spans="1:10" x14ac:dyDescent="0.35">
      <c r="A8566" s="5">
        <v>8562</v>
      </c>
      <c r="B8566" s="5">
        <v>357</v>
      </c>
      <c r="C8566" s="5">
        <v>12</v>
      </c>
      <c r="D8566" s="379">
        <v>57.717222222222226</v>
      </c>
      <c r="E8566" s="25">
        <v>27.75</v>
      </c>
      <c r="F8566" s="379">
        <v>5.6483163427350194</v>
      </c>
      <c r="G8566" s="25">
        <v>57.45</v>
      </c>
      <c r="H8566" s="379">
        <v>0.14480167642852412</v>
      </c>
      <c r="I8566" s="25">
        <v>603.30999999999995</v>
      </c>
      <c r="J8566" s="379">
        <v>1.4104516054006415</v>
      </c>
    </row>
    <row r="8567" spans="1:10" x14ac:dyDescent="0.35">
      <c r="A8567" s="5">
        <v>8563</v>
      </c>
      <c r="B8567" s="5">
        <v>357</v>
      </c>
      <c r="C8567" s="5">
        <v>12</v>
      </c>
      <c r="D8567" s="379">
        <v>56.700555555555553</v>
      </c>
      <c r="E8567" s="25">
        <v>27.75</v>
      </c>
      <c r="F8567" s="379">
        <v>5.3968494288527573</v>
      </c>
      <c r="G8567" s="25">
        <v>59.17</v>
      </c>
      <c r="H8567" s="379">
        <v>0.14480167642852412</v>
      </c>
      <c r="I8567" s="25">
        <v>843.72</v>
      </c>
      <c r="J8567" s="379">
        <v>4.6049684396667977E-2</v>
      </c>
    </row>
    <row r="8568" spans="1:10" x14ac:dyDescent="0.35">
      <c r="A8568" s="5">
        <v>8564</v>
      </c>
      <c r="B8568" s="5">
        <v>357</v>
      </c>
      <c r="C8568" s="5">
        <v>12</v>
      </c>
      <c r="D8568" s="379">
        <v>55.103333333333339</v>
      </c>
      <c r="E8568" s="25">
        <v>26.51</v>
      </c>
      <c r="F8568" s="379">
        <v>5.5743356616771171</v>
      </c>
      <c r="G8568" s="25">
        <v>52.67</v>
      </c>
      <c r="H8568" s="379">
        <v>0.14480167642852412</v>
      </c>
      <c r="I8568" s="25">
        <v>603.30999999999995</v>
      </c>
      <c r="J8568" s="379">
        <v>8.7247248761506954E-2</v>
      </c>
    </row>
    <row r="8569" spans="1:10" x14ac:dyDescent="0.35">
      <c r="A8569" s="5">
        <v>8565</v>
      </c>
      <c r="B8569" s="5">
        <v>357</v>
      </c>
      <c r="C8569" s="5">
        <v>12</v>
      </c>
      <c r="D8569" s="379">
        <v>55.632222222222225</v>
      </c>
      <c r="E8569" s="25">
        <v>25.74</v>
      </c>
      <c r="F8569" s="379">
        <v>5.3642386457137805</v>
      </c>
      <c r="G8569" s="25">
        <v>49.68</v>
      </c>
      <c r="H8569" s="379">
        <v>0.12626881799765882</v>
      </c>
      <c r="I8569" s="25">
        <v>53.71</v>
      </c>
      <c r="J8569" s="379">
        <v>1.4104516054006415</v>
      </c>
    </row>
    <row r="8570" spans="1:10" x14ac:dyDescent="0.35">
      <c r="A8570" s="5">
        <v>8566</v>
      </c>
      <c r="B8570" s="5">
        <v>357</v>
      </c>
      <c r="C8570" s="5">
        <v>12</v>
      </c>
      <c r="D8570" s="379">
        <v>50.872222222222227</v>
      </c>
      <c r="E8570" s="25">
        <v>25.74</v>
      </c>
      <c r="F8570" s="379">
        <v>5.1425410451327931</v>
      </c>
      <c r="G8570" s="25">
        <v>46.58</v>
      </c>
      <c r="H8570" s="379">
        <v>0.11531922637527736</v>
      </c>
      <c r="I8570" s="25">
        <v>48.86</v>
      </c>
      <c r="J8570" s="379">
        <v>1.4104516054006415</v>
      </c>
    </row>
    <row r="8571" spans="1:10" x14ac:dyDescent="0.35">
      <c r="A8571" s="5">
        <v>8567</v>
      </c>
      <c r="B8571" s="5">
        <v>357</v>
      </c>
      <c r="C8571" s="5">
        <v>12</v>
      </c>
      <c r="D8571" s="379">
        <v>48.646111111111111</v>
      </c>
      <c r="E8571" s="25">
        <v>25.59</v>
      </c>
      <c r="F8571" s="379">
        <v>4.7534913383142747</v>
      </c>
      <c r="G8571" s="25">
        <v>46.58</v>
      </c>
      <c r="H8571" s="379">
        <v>5.2575660586616425E-2</v>
      </c>
      <c r="I8571" s="25">
        <v>44.11</v>
      </c>
      <c r="J8571" s="379">
        <v>1.4104516054006415</v>
      </c>
    </row>
    <row r="8572" spans="1:10" x14ac:dyDescent="0.35">
      <c r="A8572" s="5">
        <v>8568</v>
      </c>
      <c r="B8572" s="5">
        <v>357</v>
      </c>
      <c r="C8572" s="5">
        <v>12</v>
      </c>
      <c r="D8572" s="379">
        <v>41.050555555555547</v>
      </c>
      <c r="E8572" s="25">
        <v>25.29</v>
      </c>
      <c r="F8572" s="379">
        <v>5.1984650434680617</v>
      </c>
      <c r="G8572" s="25">
        <v>46.11</v>
      </c>
      <c r="H8572" s="379">
        <v>5.5917740738674233E-2</v>
      </c>
      <c r="I8572" s="25">
        <v>34.479999999999997</v>
      </c>
      <c r="J8572" s="379">
        <v>3.6657824604687458E-2</v>
      </c>
    </row>
    <row r="8573" spans="1:10" x14ac:dyDescent="0.35">
      <c r="A8573" s="5">
        <v>8569</v>
      </c>
      <c r="B8573" s="5">
        <v>358</v>
      </c>
      <c r="C8573" s="5">
        <v>12</v>
      </c>
      <c r="D8573" s="379">
        <v>37.974444444444444</v>
      </c>
      <c r="E8573" s="25">
        <v>24.99</v>
      </c>
      <c r="F8573" s="379">
        <v>4.3504761404395014</v>
      </c>
      <c r="G8573" s="25">
        <v>44.86</v>
      </c>
      <c r="H8573" s="379">
        <v>5.4033876821865535E-2</v>
      </c>
      <c r="I8573" s="25">
        <v>34.01</v>
      </c>
      <c r="J8573" s="379">
        <v>8.2314595895563614E-2</v>
      </c>
    </row>
    <row r="8574" spans="1:10" x14ac:dyDescent="0.35">
      <c r="A8574" s="5">
        <v>8570</v>
      </c>
      <c r="B8574" s="5">
        <v>358</v>
      </c>
      <c r="C8574" s="5">
        <v>12</v>
      </c>
      <c r="D8574" s="379">
        <v>33.583888888888886</v>
      </c>
      <c r="E8574" s="25">
        <v>24.84</v>
      </c>
      <c r="F8574" s="379">
        <v>4.5519709590413653</v>
      </c>
      <c r="G8574" s="25">
        <v>43.12</v>
      </c>
      <c r="H8574" s="379">
        <v>7.7942719082686518E-2</v>
      </c>
      <c r="I8574" s="25">
        <v>33.67</v>
      </c>
      <c r="J8574" s="379">
        <v>7.817412427067863E-2</v>
      </c>
    </row>
    <row r="8575" spans="1:10" x14ac:dyDescent="0.35">
      <c r="A8575" s="5">
        <v>8571</v>
      </c>
      <c r="B8575" s="5">
        <v>358</v>
      </c>
      <c r="C8575" s="5">
        <v>12</v>
      </c>
      <c r="D8575" s="379">
        <v>31.417222222222222</v>
      </c>
      <c r="E8575" s="25">
        <v>24.84</v>
      </c>
      <c r="F8575" s="379">
        <v>4.165280605695715</v>
      </c>
      <c r="G8575" s="25">
        <v>43.12</v>
      </c>
      <c r="H8575" s="379">
        <v>1.9065799386361724</v>
      </c>
      <c r="I8575" s="25">
        <v>33.67</v>
      </c>
      <c r="J8575" s="379">
        <v>7.817412427067863E-2</v>
      </c>
    </row>
    <row r="8576" spans="1:10" x14ac:dyDescent="0.35">
      <c r="A8576" s="5">
        <v>8572</v>
      </c>
      <c r="B8576" s="5">
        <v>358</v>
      </c>
      <c r="C8576" s="5">
        <v>12</v>
      </c>
      <c r="D8576" s="379">
        <v>28.980555555555558</v>
      </c>
      <c r="E8576" s="25">
        <v>24.73</v>
      </c>
      <c r="F8576" s="379">
        <v>4.1024882705370942</v>
      </c>
      <c r="G8576" s="25">
        <v>43.12</v>
      </c>
      <c r="H8576" s="379">
        <v>1.9065799386361724</v>
      </c>
      <c r="I8576" s="25">
        <v>33.67</v>
      </c>
      <c r="J8576" s="379">
        <v>3.4788943869078243E-2</v>
      </c>
    </row>
    <row r="8577" spans="1:10" x14ac:dyDescent="0.35">
      <c r="A8577" s="5">
        <v>8573</v>
      </c>
      <c r="B8577" s="5">
        <v>358</v>
      </c>
      <c r="C8577" s="5">
        <v>12</v>
      </c>
      <c r="D8577" s="379">
        <v>29.990000000000002</v>
      </c>
      <c r="E8577" s="25">
        <v>24.73</v>
      </c>
      <c r="F8577" s="379">
        <v>3.8573526089890571</v>
      </c>
      <c r="G8577" s="25">
        <v>43.12</v>
      </c>
      <c r="H8577" s="379">
        <v>1.9065799386361724</v>
      </c>
      <c r="I8577" s="25">
        <v>33.67</v>
      </c>
      <c r="J8577" s="379">
        <v>2.777777777777778E-2</v>
      </c>
    </row>
    <row r="8578" spans="1:10" x14ac:dyDescent="0.35">
      <c r="A8578" s="5">
        <v>8574</v>
      </c>
      <c r="B8578" s="5">
        <v>358</v>
      </c>
      <c r="C8578" s="5">
        <v>12</v>
      </c>
      <c r="D8578" s="379">
        <v>31.968888888888888</v>
      </c>
      <c r="E8578" s="25">
        <v>24.73</v>
      </c>
      <c r="F8578" s="379">
        <v>4.1854747125548855</v>
      </c>
      <c r="G8578" s="25">
        <v>43.12</v>
      </c>
      <c r="H8578" s="379">
        <v>1.9065799386361724</v>
      </c>
      <c r="I8578" s="25">
        <v>33.67</v>
      </c>
      <c r="J8578" s="379">
        <v>2.777777777777778E-2</v>
      </c>
    </row>
    <row r="8579" spans="1:10" x14ac:dyDescent="0.35">
      <c r="A8579" s="5">
        <v>8575</v>
      </c>
      <c r="B8579" s="5">
        <v>358</v>
      </c>
      <c r="C8579" s="5">
        <v>12</v>
      </c>
      <c r="D8579" s="379">
        <v>35.411111111111104</v>
      </c>
      <c r="E8579" s="25">
        <v>24.84</v>
      </c>
      <c r="F8579" s="379">
        <v>4.5950126099897171</v>
      </c>
      <c r="G8579" s="25">
        <v>43.99</v>
      </c>
      <c r="H8579" s="379">
        <v>7.4423557484649003E-2</v>
      </c>
      <c r="I8579" s="25">
        <v>33.67</v>
      </c>
      <c r="J8579" s="379">
        <v>7.817412427067863E-2</v>
      </c>
    </row>
    <row r="8580" spans="1:10" x14ac:dyDescent="0.35">
      <c r="A8580" s="5">
        <v>8576</v>
      </c>
      <c r="B8580" s="5">
        <v>358</v>
      </c>
      <c r="C8580" s="5">
        <v>12</v>
      </c>
      <c r="D8580" s="379">
        <v>41.826666666666661</v>
      </c>
      <c r="E8580" s="25">
        <v>25.59</v>
      </c>
      <c r="F8580" s="379">
        <v>5.5045595992109941</v>
      </c>
      <c r="G8580" s="25">
        <v>46.11</v>
      </c>
      <c r="H8580" s="379">
        <v>5.4571615336234384E-2</v>
      </c>
      <c r="I8580" s="25">
        <v>38.53</v>
      </c>
      <c r="J8580" s="379">
        <v>3.505644091543348E-2</v>
      </c>
    </row>
    <row r="8581" spans="1:10" x14ac:dyDescent="0.35">
      <c r="A8581" s="5">
        <v>8577</v>
      </c>
      <c r="B8581" s="5">
        <v>358</v>
      </c>
      <c r="C8581" s="5">
        <v>12</v>
      </c>
      <c r="D8581" s="379">
        <v>44.989444444444437</v>
      </c>
      <c r="E8581" s="25">
        <v>25.59</v>
      </c>
      <c r="F8581" s="379">
        <v>5.6028989701639125</v>
      </c>
      <c r="G8581" s="25">
        <v>46.98</v>
      </c>
      <c r="H8581" s="379">
        <v>7.2682908953548397E-2</v>
      </c>
      <c r="I8581" s="25">
        <v>44.11</v>
      </c>
      <c r="J8581" s="379">
        <v>2.777777777777778E-2</v>
      </c>
    </row>
    <row r="8582" spans="1:10" x14ac:dyDescent="0.35">
      <c r="A8582" s="5">
        <v>8578</v>
      </c>
      <c r="B8582" s="5">
        <v>358</v>
      </c>
      <c r="C8582" s="5">
        <v>12</v>
      </c>
      <c r="D8582" s="379">
        <v>49.567777777777778</v>
      </c>
      <c r="E8582" s="25">
        <v>25.59</v>
      </c>
      <c r="F8582" s="379">
        <v>5.2387426871028877</v>
      </c>
      <c r="G8582" s="25">
        <v>46.98</v>
      </c>
      <c r="H8582" s="379">
        <v>1.875552840195911</v>
      </c>
      <c r="I8582" s="25">
        <v>39.619999999999997</v>
      </c>
      <c r="J8582" s="379">
        <v>2.777777777777778E-2</v>
      </c>
    </row>
    <row r="8583" spans="1:10" x14ac:dyDescent="0.35">
      <c r="A8583" s="5">
        <v>8579</v>
      </c>
      <c r="B8583" s="5">
        <v>358</v>
      </c>
      <c r="C8583" s="5">
        <v>12</v>
      </c>
      <c r="D8583" s="379">
        <v>49.886666666666663</v>
      </c>
      <c r="E8583" s="25">
        <v>25.59</v>
      </c>
      <c r="F8583" s="379">
        <v>3.28788838743858</v>
      </c>
      <c r="G8583" s="25">
        <v>46.11</v>
      </c>
      <c r="H8583" s="379">
        <v>1.875552840195911</v>
      </c>
      <c r="I8583" s="25">
        <v>38.53</v>
      </c>
      <c r="J8583" s="379">
        <v>2.777777777777778E-2</v>
      </c>
    </row>
    <row r="8584" spans="1:10" x14ac:dyDescent="0.35">
      <c r="A8584" s="5">
        <v>8580</v>
      </c>
      <c r="B8584" s="5">
        <v>358</v>
      </c>
      <c r="C8584" s="5">
        <v>12</v>
      </c>
      <c r="D8584" s="379">
        <v>48.869444444444447</v>
      </c>
      <c r="E8584" s="25">
        <v>24.99</v>
      </c>
      <c r="F8584" s="379">
        <v>3.2727733956087586</v>
      </c>
      <c r="G8584" s="25">
        <v>46.11</v>
      </c>
      <c r="H8584" s="379">
        <v>1.875552840195911</v>
      </c>
      <c r="I8584" s="25">
        <v>33.74</v>
      </c>
      <c r="J8584" s="379">
        <v>2.777777777777778E-2</v>
      </c>
    </row>
    <row r="8585" spans="1:10" x14ac:dyDescent="0.35">
      <c r="A8585" s="5">
        <v>8581</v>
      </c>
      <c r="B8585" s="5">
        <v>358</v>
      </c>
      <c r="C8585" s="5">
        <v>12</v>
      </c>
      <c r="D8585" s="379">
        <v>47.207222222222221</v>
      </c>
      <c r="E8585" s="25">
        <v>24.84</v>
      </c>
      <c r="F8585" s="379">
        <v>3.2727733956087586</v>
      </c>
      <c r="G8585" s="25">
        <v>43.56</v>
      </c>
      <c r="H8585" s="379">
        <v>1.875552840195911</v>
      </c>
      <c r="I8585" s="25">
        <v>33.67</v>
      </c>
      <c r="J8585" s="379">
        <v>2.777777777777778E-2</v>
      </c>
    </row>
    <row r="8586" spans="1:10" x14ac:dyDescent="0.35">
      <c r="A8586" s="5">
        <v>8582</v>
      </c>
      <c r="B8586" s="5">
        <v>358</v>
      </c>
      <c r="C8586" s="5">
        <v>12</v>
      </c>
      <c r="D8586" s="379">
        <v>48.037777777777777</v>
      </c>
      <c r="E8586" s="25">
        <v>24.84</v>
      </c>
      <c r="F8586" s="379">
        <v>3.2727733956087586</v>
      </c>
      <c r="G8586" s="25">
        <v>43.56</v>
      </c>
      <c r="H8586" s="379">
        <v>1.875552840195911</v>
      </c>
      <c r="I8586" s="25">
        <v>33.67</v>
      </c>
      <c r="J8586" s="379">
        <v>2.777777777777778E-2</v>
      </c>
    </row>
    <row r="8587" spans="1:10" x14ac:dyDescent="0.35">
      <c r="A8587" s="5">
        <v>8583</v>
      </c>
      <c r="B8587" s="5">
        <v>358</v>
      </c>
      <c r="C8587" s="5">
        <v>12</v>
      </c>
      <c r="D8587" s="379">
        <v>48.901111111111113</v>
      </c>
      <c r="E8587" s="25">
        <v>24.84</v>
      </c>
      <c r="F8587" s="379">
        <v>3.2727733956087586</v>
      </c>
      <c r="G8587" s="25">
        <v>43.56</v>
      </c>
      <c r="H8587" s="379">
        <v>1.875552840195911</v>
      </c>
      <c r="I8587" s="25">
        <v>33.67</v>
      </c>
      <c r="J8587" s="379">
        <v>2.777777777777778E-2</v>
      </c>
    </row>
    <row r="8588" spans="1:10" x14ac:dyDescent="0.35">
      <c r="A8588" s="5">
        <v>8584</v>
      </c>
      <c r="B8588" s="5">
        <v>358</v>
      </c>
      <c r="C8588" s="5">
        <v>12</v>
      </c>
      <c r="D8588" s="379">
        <v>50.30777777777778</v>
      </c>
      <c r="E8588" s="25">
        <v>24.84</v>
      </c>
      <c r="F8588" s="379">
        <v>2.777777777777778E-2</v>
      </c>
      <c r="G8588" s="25">
        <v>43.56</v>
      </c>
      <c r="H8588" s="379">
        <v>1.875552840195911</v>
      </c>
      <c r="I8588" s="25">
        <v>33.67</v>
      </c>
      <c r="J8588" s="379">
        <v>2.777777777777778E-2</v>
      </c>
    </row>
    <row r="8589" spans="1:10" x14ac:dyDescent="0.35">
      <c r="A8589" s="5">
        <v>8585</v>
      </c>
      <c r="B8589" s="5">
        <v>358</v>
      </c>
      <c r="C8589" s="5">
        <v>12</v>
      </c>
      <c r="D8589" s="379">
        <v>50.236666666666665</v>
      </c>
      <c r="E8589" s="25">
        <v>24.84</v>
      </c>
      <c r="F8589" s="379">
        <v>9.6835651219221719E-2</v>
      </c>
      <c r="G8589" s="25">
        <v>45.19</v>
      </c>
      <c r="H8589" s="379">
        <v>1.875552840195911</v>
      </c>
      <c r="I8589" s="25">
        <v>33.67</v>
      </c>
      <c r="J8589" s="379">
        <v>2.777777777777778E-2</v>
      </c>
    </row>
    <row r="8590" spans="1:10" x14ac:dyDescent="0.35">
      <c r="A8590" s="5">
        <v>8586</v>
      </c>
      <c r="B8590" s="5">
        <v>358</v>
      </c>
      <c r="C8590" s="5">
        <v>12</v>
      </c>
      <c r="D8590" s="379">
        <v>51.076666666666668</v>
      </c>
      <c r="E8590" s="25">
        <v>25.29</v>
      </c>
      <c r="F8590" s="379">
        <v>0.15707512609976673</v>
      </c>
      <c r="G8590" s="25">
        <v>46.11</v>
      </c>
      <c r="H8590" s="379">
        <v>0.14480167642852418</v>
      </c>
      <c r="I8590" s="25">
        <v>34.25</v>
      </c>
      <c r="J8590" s="379">
        <v>4.9555355941892323E-2</v>
      </c>
    </row>
    <row r="8591" spans="1:10" x14ac:dyDescent="0.35">
      <c r="A8591" s="5">
        <v>8587</v>
      </c>
      <c r="B8591" s="5">
        <v>358</v>
      </c>
      <c r="C8591" s="5">
        <v>12</v>
      </c>
      <c r="D8591" s="379">
        <v>47.766666666666659</v>
      </c>
      <c r="E8591" s="25">
        <v>25.29</v>
      </c>
      <c r="F8591" s="379">
        <v>0.14480167642852412</v>
      </c>
      <c r="G8591" s="25">
        <v>46.11</v>
      </c>
      <c r="H8591" s="379">
        <v>1.883103225798382</v>
      </c>
      <c r="I8591" s="25">
        <v>34.01</v>
      </c>
      <c r="J8591" s="379">
        <v>7.7532278696943083E-2</v>
      </c>
    </row>
    <row r="8592" spans="1:10" x14ac:dyDescent="0.35">
      <c r="A8592" s="5">
        <v>8588</v>
      </c>
      <c r="B8592" s="5">
        <v>358</v>
      </c>
      <c r="C8592" s="5">
        <v>12</v>
      </c>
      <c r="D8592" s="379">
        <v>44.853888888888882</v>
      </c>
      <c r="E8592" s="25">
        <v>25.29</v>
      </c>
      <c r="F8592" s="379">
        <v>3.4541065412481626</v>
      </c>
      <c r="G8592" s="25">
        <v>44.86</v>
      </c>
      <c r="H8592" s="379">
        <v>1.883103225798382</v>
      </c>
      <c r="I8592" s="25">
        <v>33.74</v>
      </c>
      <c r="J8592" s="379">
        <v>2.8277465877357716E-2</v>
      </c>
    </row>
    <row r="8593" spans="1:10" x14ac:dyDescent="0.35">
      <c r="A8593" s="5">
        <v>8589</v>
      </c>
      <c r="B8593" s="5">
        <v>358</v>
      </c>
      <c r="C8593" s="5">
        <v>12</v>
      </c>
      <c r="D8593" s="379">
        <v>40.675555555555555</v>
      </c>
      <c r="E8593" s="25">
        <v>24.84</v>
      </c>
      <c r="F8593" s="379">
        <v>3.1471200732797717</v>
      </c>
      <c r="G8593" s="25">
        <v>43.56</v>
      </c>
      <c r="H8593" s="379">
        <v>1.875552840195911</v>
      </c>
      <c r="I8593" s="25">
        <v>33.67</v>
      </c>
      <c r="J8593" s="379">
        <v>2.8277465877357716E-2</v>
      </c>
    </row>
    <row r="8594" spans="1:10" x14ac:dyDescent="0.35">
      <c r="A8594" s="5">
        <v>8590</v>
      </c>
      <c r="B8594" s="5">
        <v>358</v>
      </c>
      <c r="C8594" s="5">
        <v>12</v>
      </c>
      <c r="D8594" s="379">
        <v>38.11388888888888</v>
      </c>
      <c r="E8594" s="25">
        <v>24.84</v>
      </c>
      <c r="F8594" s="379">
        <v>2.3447730637773838</v>
      </c>
      <c r="G8594" s="25">
        <v>43.12</v>
      </c>
      <c r="H8594" s="379">
        <v>1.875552840195911</v>
      </c>
      <c r="I8594" s="25">
        <v>33.67</v>
      </c>
      <c r="J8594" s="379">
        <v>2.8277465877357716E-2</v>
      </c>
    </row>
    <row r="8595" spans="1:10" x14ac:dyDescent="0.35">
      <c r="A8595" s="5">
        <v>8591</v>
      </c>
      <c r="B8595" s="5">
        <v>358</v>
      </c>
      <c r="C8595" s="5">
        <v>12</v>
      </c>
      <c r="D8595" s="379">
        <v>34.865555555555559</v>
      </c>
      <c r="E8595" s="25">
        <v>24.99</v>
      </c>
      <c r="F8595" s="379">
        <v>2.3447730637773838</v>
      </c>
      <c r="G8595" s="25">
        <v>43.12</v>
      </c>
      <c r="H8595" s="379">
        <v>1.875552840195911</v>
      </c>
      <c r="I8595" s="25">
        <v>33.67</v>
      </c>
      <c r="J8595" s="379">
        <v>2.8277465877357716E-2</v>
      </c>
    </row>
    <row r="8596" spans="1:10" x14ac:dyDescent="0.35">
      <c r="A8596" s="5">
        <v>8592</v>
      </c>
      <c r="B8596" s="5">
        <v>358</v>
      </c>
      <c r="C8596" s="5">
        <v>12</v>
      </c>
      <c r="D8596" s="379">
        <v>35.592222222222226</v>
      </c>
      <c r="E8596" s="25">
        <v>24.99</v>
      </c>
      <c r="F8596" s="379">
        <v>2.3789888283410412</v>
      </c>
      <c r="G8596" s="25">
        <v>42.17</v>
      </c>
      <c r="H8596" s="379">
        <v>1.875552840195911</v>
      </c>
      <c r="I8596" s="25">
        <v>33.67</v>
      </c>
      <c r="J8596" s="379">
        <v>2.8277465877357716E-2</v>
      </c>
    </row>
    <row r="8597" spans="1:10" x14ac:dyDescent="0.35">
      <c r="A8597" s="5">
        <v>8593</v>
      </c>
      <c r="B8597" s="5">
        <v>359</v>
      </c>
      <c r="C8597" s="5">
        <v>12</v>
      </c>
      <c r="D8597" s="379">
        <v>35.634444444444441</v>
      </c>
      <c r="E8597" s="25">
        <v>24.84</v>
      </c>
      <c r="F8597" s="379">
        <v>2.3447730637773838</v>
      </c>
      <c r="G8597" s="25">
        <v>38.03</v>
      </c>
      <c r="H8597" s="379">
        <v>1.875552840195911</v>
      </c>
      <c r="I8597" s="25">
        <v>33.67</v>
      </c>
      <c r="J8597" s="379">
        <v>2.8277465877357716E-2</v>
      </c>
    </row>
    <row r="8598" spans="1:10" x14ac:dyDescent="0.35">
      <c r="A8598" s="5">
        <v>8594</v>
      </c>
      <c r="B8598" s="5">
        <v>359</v>
      </c>
      <c r="C8598" s="5">
        <v>12</v>
      </c>
      <c r="D8598" s="379">
        <v>33.836111111111116</v>
      </c>
      <c r="E8598" s="25">
        <v>24.84</v>
      </c>
      <c r="F8598" s="379">
        <v>2.3447730637773838</v>
      </c>
      <c r="G8598" s="25">
        <v>38.03</v>
      </c>
      <c r="H8598" s="379">
        <v>1.875552840195911</v>
      </c>
      <c r="I8598" s="25">
        <v>33.67</v>
      </c>
      <c r="J8598" s="379">
        <v>2.777777777777778E-2</v>
      </c>
    </row>
    <row r="8599" spans="1:10" x14ac:dyDescent="0.35">
      <c r="A8599" s="5">
        <v>8595</v>
      </c>
      <c r="B8599" s="5">
        <v>359</v>
      </c>
      <c r="C8599" s="5">
        <v>12</v>
      </c>
      <c r="D8599" s="379">
        <v>31.978333333333328</v>
      </c>
      <c r="E8599" s="25">
        <v>24.26</v>
      </c>
      <c r="F8599" s="379">
        <v>2.3447730637773838</v>
      </c>
      <c r="G8599" s="25">
        <v>37.49</v>
      </c>
      <c r="H8599" s="379">
        <v>1.875552840195911</v>
      </c>
      <c r="I8599" s="25">
        <v>33.67</v>
      </c>
      <c r="J8599" s="379">
        <v>2.777777777777778E-2</v>
      </c>
    </row>
    <row r="8600" spans="1:10" x14ac:dyDescent="0.35">
      <c r="A8600" s="5">
        <v>8596</v>
      </c>
      <c r="B8600" s="5">
        <v>359</v>
      </c>
      <c r="C8600" s="5">
        <v>12</v>
      </c>
      <c r="D8600" s="379">
        <v>29.117222222222221</v>
      </c>
      <c r="E8600" s="25">
        <v>23.59</v>
      </c>
      <c r="F8600" s="379">
        <v>2.3447730637773838</v>
      </c>
      <c r="G8600" s="25">
        <v>35.85</v>
      </c>
      <c r="H8600" s="379">
        <v>1.875552840195911</v>
      </c>
      <c r="I8600" s="25">
        <v>33.67</v>
      </c>
      <c r="J8600" s="379">
        <v>2.777777777777778E-2</v>
      </c>
    </row>
    <row r="8601" spans="1:10" x14ac:dyDescent="0.35">
      <c r="A8601" s="5">
        <v>8597</v>
      </c>
      <c r="B8601" s="5">
        <v>359</v>
      </c>
      <c r="C8601" s="5">
        <v>12</v>
      </c>
      <c r="D8601" s="379">
        <v>28.184444444444448</v>
      </c>
      <c r="E8601" s="25">
        <v>23.41</v>
      </c>
      <c r="F8601" s="379">
        <v>2.3447730637773838</v>
      </c>
      <c r="G8601" s="25">
        <v>33.79</v>
      </c>
      <c r="H8601" s="379">
        <v>1.875552840195911</v>
      </c>
      <c r="I8601" s="25">
        <v>33.67</v>
      </c>
      <c r="J8601" s="379">
        <v>2.777777777777778E-2</v>
      </c>
    </row>
    <row r="8602" spans="1:10" x14ac:dyDescent="0.35">
      <c r="A8602" s="5">
        <v>8598</v>
      </c>
      <c r="B8602" s="5">
        <v>359</v>
      </c>
      <c r="C8602" s="5">
        <v>12</v>
      </c>
      <c r="D8602" s="379">
        <v>28.308888888888891</v>
      </c>
      <c r="E8602" s="25">
        <v>24.26</v>
      </c>
      <c r="F8602" s="379">
        <v>2.3447730637773838</v>
      </c>
      <c r="G8602" s="25">
        <v>35.85</v>
      </c>
      <c r="H8602" s="379">
        <v>2.1179239275206396</v>
      </c>
      <c r="I8602" s="25">
        <v>33.67</v>
      </c>
      <c r="J8602" s="379">
        <v>2.777777777777778E-2</v>
      </c>
    </row>
    <row r="8603" spans="1:10" x14ac:dyDescent="0.35">
      <c r="A8603" s="5">
        <v>8599</v>
      </c>
      <c r="B8603" s="5">
        <v>359</v>
      </c>
      <c r="C8603" s="5">
        <v>12</v>
      </c>
      <c r="D8603" s="379">
        <v>29.803333333333335</v>
      </c>
      <c r="E8603" s="25">
        <v>24.84</v>
      </c>
      <c r="F8603" s="379">
        <v>0.18546351185152182</v>
      </c>
      <c r="G8603" s="25">
        <v>38.03</v>
      </c>
      <c r="H8603" s="379">
        <v>2.1489510259609013</v>
      </c>
      <c r="I8603" s="25">
        <v>33.67</v>
      </c>
      <c r="J8603" s="379">
        <v>2.777777777777778E-2</v>
      </c>
    </row>
    <row r="8604" spans="1:10" x14ac:dyDescent="0.35">
      <c r="A8604" s="5">
        <v>8600</v>
      </c>
      <c r="B8604" s="5">
        <v>359</v>
      </c>
      <c r="C8604" s="5">
        <v>12</v>
      </c>
      <c r="D8604" s="379">
        <v>30.765555555555554</v>
      </c>
      <c r="E8604" s="25">
        <v>24.84</v>
      </c>
      <c r="F8604" s="379">
        <v>0.30600613095989876</v>
      </c>
      <c r="G8604" s="25">
        <v>39.35</v>
      </c>
      <c r="H8604" s="379">
        <v>2.1489510259609013</v>
      </c>
      <c r="I8604" s="25">
        <v>33.67</v>
      </c>
      <c r="J8604" s="379">
        <v>2.777777777777778E-2</v>
      </c>
    </row>
    <row r="8605" spans="1:10" x14ac:dyDescent="0.35">
      <c r="A8605" s="5">
        <v>8601</v>
      </c>
      <c r="B8605" s="5">
        <v>359</v>
      </c>
      <c r="C8605" s="5">
        <v>12</v>
      </c>
      <c r="D8605" s="379">
        <v>34.835555555555551</v>
      </c>
      <c r="E8605" s="25">
        <v>24.99</v>
      </c>
      <c r="F8605" s="379">
        <v>0.28557511477554093</v>
      </c>
      <c r="G8605" s="25">
        <v>44.74</v>
      </c>
      <c r="H8605" s="379">
        <v>0.13035484920111676</v>
      </c>
      <c r="I8605" s="25">
        <v>36.869999999999997</v>
      </c>
      <c r="J8605" s="379">
        <v>2.777777777777778E-2</v>
      </c>
    </row>
    <row r="8606" spans="1:10" x14ac:dyDescent="0.35">
      <c r="A8606" s="5">
        <v>8602</v>
      </c>
      <c r="B8606" s="5">
        <v>359</v>
      </c>
      <c r="C8606" s="5">
        <v>12</v>
      </c>
      <c r="D8606" s="379">
        <v>36.977222222222217</v>
      </c>
      <c r="E8606" s="25">
        <v>24.99</v>
      </c>
      <c r="F8606" s="379">
        <v>0.33753450536598489</v>
      </c>
      <c r="G8606" s="25">
        <v>44.74</v>
      </c>
      <c r="H8606" s="379">
        <v>2.1489510259609013</v>
      </c>
      <c r="I8606" s="25">
        <v>44.11</v>
      </c>
      <c r="J8606" s="379">
        <v>2.777777777777778E-2</v>
      </c>
    </row>
    <row r="8607" spans="1:10" x14ac:dyDescent="0.35">
      <c r="A8607" s="5">
        <v>8603</v>
      </c>
      <c r="B8607" s="5">
        <v>359</v>
      </c>
      <c r="C8607" s="5">
        <v>12</v>
      </c>
      <c r="D8607" s="379">
        <v>40.289444444444442</v>
      </c>
      <c r="E8607" s="25">
        <v>24.99</v>
      </c>
      <c r="F8607" s="379">
        <v>0.14480167642852412</v>
      </c>
      <c r="G8607" s="25">
        <v>44.74</v>
      </c>
      <c r="H8607" s="379">
        <v>2.1489510259609013</v>
      </c>
      <c r="I8607" s="25">
        <v>46.79</v>
      </c>
      <c r="J8607" s="379">
        <v>2.777777777777778E-2</v>
      </c>
    </row>
    <row r="8608" spans="1:10" x14ac:dyDescent="0.35">
      <c r="A8608" s="5">
        <v>8604</v>
      </c>
      <c r="B8608" s="5">
        <v>359</v>
      </c>
      <c r="C8608" s="5">
        <v>12</v>
      </c>
      <c r="D8608" s="379">
        <v>41.466111111111111</v>
      </c>
      <c r="E8608" s="25">
        <v>24.99</v>
      </c>
      <c r="F8608" s="379">
        <v>3.5929409478450069</v>
      </c>
      <c r="G8608" s="25">
        <v>44.74</v>
      </c>
      <c r="H8608" s="379">
        <v>2.777777777777778E-2</v>
      </c>
      <c r="I8608" s="25">
        <v>46.79</v>
      </c>
      <c r="J8608" s="379">
        <v>2.777777777777778E-2</v>
      </c>
    </row>
    <row r="8609" spans="1:10" x14ac:dyDescent="0.35">
      <c r="A8609" s="5">
        <v>8605</v>
      </c>
      <c r="B8609" s="5">
        <v>359</v>
      </c>
      <c r="C8609" s="5">
        <v>12</v>
      </c>
      <c r="D8609" s="379">
        <v>40.232777777777777</v>
      </c>
      <c r="E8609" s="25">
        <v>24.99</v>
      </c>
      <c r="F8609" s="379">
        <v>3.5929409478450069</v>
      </c>
      <c r="G8609" s="25">
        <v>44.74</v>
      </c>
      <c r="H8609" s="379">
        <v>2.1489510259609013</v>
      </c>
      <c r="I8609" s="25">
        <v>46.79</v>
      </c>
      <c r="J8609" s="379">
        <v>2.777777777777778E-2</v>
      </c>
    </row>
    <row r="8610" spans="1:10" x14ac:dyDescent="0.35">
      <c r="A8610" s="5">
        <v>8606</v>
      </c>
      <c r="B8610" s="5">
        <v>359</v>
      </c>
      <c r="C8610" s="5">
        <v>12</v>
      </c>
      <c r="D8610" s="379">
        <v>40.593888888888891</v>
      </c>
      <c r="E8610" s="25">
        <v>24.84</v>
      </c>
      <c r="F8610" s="379">
        <v>0.14480167642852412</v>
      </c>
      <c r="G8610" s="25">
        <v>43.56</v>
      </c>
      <c r="H8610" s="379">
        <v>2.4644097064148842</v>
      </c>
      <c r="I8610" s="25">
        <v>48.09</v>
      </c>
      <c r="J8610" s="379">
        <v>2.777777777777778E-2</v>
      </c>
    </row>
    <row r="8611" spans="1:10" x14ac:dyDescent="0.35">
      <c r="A8611" s="5">
        <v>8607</v>
      </c>
      <c r="B8611" s="5">
        <v>359</v>
      </c>
      <c r="C8611" s="5">
        <v>12</v>
      </c>
      <c r="D8611" s="379">
        <v>39.653888888888886</v>
      </c>
      <c r="E8611" s="25">
        <v>24.84</v>
      </c>
      <c r="F8611" s="379">
        <v>1.4594257134929294</v>
      </c>
      <c r="G8611" s="25">
        <v>43.44</v>
      </c>
      <c r="H8611" s="379">
        <v>2.4644097064148842</v>
      </c>
      <c r="I8611" s="25">
        <v>48.09</v>
      </c>
      <c r="J8611" s="379">
        <v>2.777777777777778E-2</v>
      </c>
    </row>
    <row r="8612" spans="1:10" x14ac:dyDescent="0.35">
      <c r="A8612" s="5">
        <v>8608</v>
      </c>
      <c r="B8612" s="5">
        <v>359</v>
      </c>
      <c r="C8612" s="5">
        <v>12</v>
      </c>
      <c r="D8612" s="379">
        <v>41.344444444444441</v>
      </c>
      <c r="E8612" s="25">
        <v>24.84</v>
      </c>
      <c r="F8612" s="379">
        <v>5.7933302289280588</v>
      </c>
      <c r="G8612" s="25">
        <v>43.56</v>
      </c>
      <c r="H8612" s="379">
        <v>0.1923786822041518</v>
      </c>
      <c r="I8612" s="25">
        <v>49.15</v>
      </c>
      <c r="J8612" s="379">
        <v>2.777777777777778E-2</v>
      </c>
    </row>
    <row r="8613" spans="1:10" x14ac:dyDescent="0.35">
      <c r="A8613" s="5">
        <v>8609</v>
      </c>
      <c r="B8613" s="5">
        <v>359</v>
      </c>
      <c r="C8613" s="5">
        <v>12</v>
      </c>
      <c r="D8613" s="379">
        <v>40.89</v>
      </c>
      <c r="E8613" s="25">
        <v>24.99</v>
      </c>
      <c r="F8613" s="379">
        <v>4.8890100022182503</v>
      </c>
      <c r="G8613" s="25">
        <v>44.74</v>
      </c>
      <c r="H8613" s="379">
        <v>0.1448016764285241</v>
      </c>
      <c r="I8613" s="25">
        <v>51.53</v>
      </c>
      <c r="J8613" s="379">
        <v>0.10011832116403682</v>
      </c>
    </row>
    <row r="8614" spans="1:10" x14ac:dyDescent="0.35">
      <c r="A8614" s="5">
        <v>8610</v>
      </c>
      <c r="B8614" s="5">
        <v>359</v>
      </c>
      <c r="C8614" s="5">
        <v>12</v>
      </c>
      <c r="D8614" s="379">
        <v>42.896666666666675</v>
      </c>
      <c r="E8614" s="25">
        <v>25.74</v>
      </c>
      <c r="F8614" s="379">
        <v>5.5511695808939958</v>
      </c>
      <c r="G8614" s="25">
        <v>44.93</v>
      </c>
      <c r="H8614" s="379">
        <v>0.14480167642852412</v>
      </c>
      <c r="I8614" s="25">
        <v>62.27</v>
      </c>
      <c r="J8614" s="379">
        <v>0.10272315827265303</v>
      </c>
    </row>
    <row r="8615" spans="1:10" x14ac:dyDescent="0.35">
      <c r="A8615" s="5">
        <v>8611</v>
      </c>
      <c r="B8615" s="5">
        <v>359</v>
      </c>
      <c r="C8615" s="5">
        <v>12</v>
      </c>
      <c r="D8615" s="379">
        <v>41.726111111111109</v>
      </c>
      <c r="E8615" s="25">
        <v>24.99</v>
      </c>
      <c r="F8615" s="379">
        <v>5.2315854801748651</v>
      </c>
      <c r="G8615" s="25">
        <v>44.77</v>
      </c>
      <c r="H8615" s="379">
        <v>0.14480167642852412</v>
      </c>
      <c r="I8615" s="25">
        <v>50.13</v>
      </c>
      <c r="J8615" s="379">
        <v>8.8007648948897552E-2</v>
      </c>
    </row>
    <row r="8616" spans="1:10" x14ac:dyDescent="0.35">
      <c r="A8616" s="5">
        <v>8612</v>
      </c>
      <c r="B8616" s="5">
        <v>359</v>
      </c>
      <c r="C8616" s="5">
        <v>12</v>
      </c>
      <c r="D8616" s="379">
        <v>40.037777777777784</v>
      </c>
      <c r="E8616" s="25">
        <v>24.99</v>
      </c>
      <c r="F8616" s="379">
        <v>5.3246935086859484</v>
      </c>
      <c r="G8616" s="25">
        <v>44.74</v>
      </c>
      <c r="H8616" s="379">
        <v>0.14480167642852412</v>
      </c>
      <c r="I8616" s="25">
        <v>40.799999999999997</v>
      </c>
      <c r="J8616" s="379">
        <v>8.0219476162165987E-2</v>
      </c>
    </row>
    <row r="8617" spans="1:10" x14ac:dyDescent="0.35">
      <c r="A8617" s="5">
        <v>8613</v>
      </c>
      <c r="B8617" s="5">
        <v>359</v>
      </c>
      <c r="C8617" s="5">
        <v>12</v>
      </c>
      <c r="D8617" s="379">
        <v>39.328888888888891</v>
      </c>
      <c r="E8617" s="25">
        <v>24.84</v>
      </c>
      <c r="F8617" s="379">
        <v>5.4873720809427731</v>
      </c>
      <c r="G8617" s="25">
        <v>42.19</v>
      </c>
      <c r="H8617" s="379">
        <v>0.14480167642852412</v>
      </c>
      <c r="I8617" s="25">
        <v>34.39</v>
      </c>
      <c r="J8617" s="379">
        <v>6.5952464500354968E-2</v>
      </c>
    </row>
    <row r="8618" spans="1:10" x14ac:dyDescent="0.35">
      <c r="A8618" s="5">
        <v>8614</v>
      </c>
      <c r="B8618" s="5">
        <v>359</v>
      </c>
      <c r="C8618" s="5">
        <v>12</v>
      </c>
      <c r="D8618" s="379">
        <v>36.914444444444442</v>
      </c>
      <c r="E8618" s="25">
        <v>24.84</v>
      </c>
      <c r="F8618" s="379">
        <v>0.43731111139757423</v>
      </c>
      <c r="G8618" s="25">
        <v>39.770000000000003</v>
      </c>
      <c r="H8618" s="379">
        <v>0.14480167642852412</v>
      </c>
      <c r="I8618" s="25">
        <v>33.67</v>
      </c>
      <c r="J8618" s="379">
        <v>2.777777777777778E-2</v>
      </c>
    </row>
    <row r="8619" spans="1:10" x14ac:dyDescent="0.35">
      <c r="A8619" s="5">
        <v>8615</v>
      </c>
      <c r="B8619" s="5">
        <v>359</v>
      </c>
      <c r="C8619" s="5">
        <v>12</v>
      </c>
      <c r="D8619" s="379">
        <v>33.691666666666663</v>
      </c>
      <c r="E8619" s="25">
        <v>24.84</v>
      </c>
      <c r="F8619" s="379">
        <v>0.29526417785494263</v>
      </c>
      <c r="G8619" s="25">
        <v>39.770000000000003</v>
      </c>
      <c r="H8619" s="379">
        <v>2.1836648331252837</v>
      </c>
      <c r="I8619" s="25">
        <v>33.67</v>
      </c>
      <c r="J8619" s="379">
        <v>5.0306939329920655E-2</v>
      </c>
    </row>
    <row r="8620" spans="1:10" x14ac:dyDescent="0.35">
      <c r="A8620" s="5">
        <v>8616</v>
      </c>
      <c r="B8620" s="5">
        <v>359</v>
      </c>
      <c r="C8620" s="5">
        <v>12</v>
      </c>
      <c r="D8620" s="379">
        <v>32.31111111111111</v>
      </c>
      <c r="E8620" s="25">
        <v>24.84</v>
      </c>
      <c r="F8620" s="379">
        <v>0.13783677336002409</v>
      </c>
      <c r="G8620" s="25">
        <v>38.03</v>
      </c>
      <c r="H8620" s="379">
        <v>2.1836648331252837</v>
      </c>
      <c r="I8620" s="25">
        <v>33.67</v>
      </c>
      <c r="J8620" s="379">
        <v>4.0529302509234859E-2</v>
      </c>
    </row>
    <row r="8621" spans="1:10" x14ac:dyDescent="0.35">
      <c r="A8621" s="5">
        <v>8617</v>
      </c>
      <c r="B8621" s="5">
        <v>360</v>
      </c>
      <c r="C8621" s="5">
        <v>12</v>
      </c>
      <c r="D8621" s="379">
        <v>27.648333333333337</v>
      </c>
      <c r="E8621" s="25">
        <v>24.73</v>
      </c>
      <c r="F8621" s="379">
        <v>0.13531616507603966</v>
      </c>
      <c r="G8621" s="25">
        <v>30.2</v>
      </c>
      <c r="H8621" s="379">
        <v>2.1836648331252837</v>
      </c>
      <c r="I8621" s="25">
        <v>33.67</v>
      </c>
      <c r="J8621" s="379">
        <v>4.2765941413767924E-2</v>
      </c>
    </row>
    <row r="8622" spans="1:10" x14ac:dyDescent="0.35">
      <c r="A8622" s="5">
        <v>8618</v>
      </c>
      <c r="B8622" s="5">
        <v>360</v>
      </c>
      <c r="C8622" s="5">
        <v>12</v>
      </c>
      <c r="D8622" s="379">
        <v>24.709999999999997</v>
      </c>
      <c r="E8622" s="25">
        <v>23.31</v>
      </c>
      <c r="F8622" s="379">
        <v>2.5334216441738744</v>
      </c>
      <c r="G8622" s="25">
        <v>30.03</v>
      </c>
      <c r="H8622" s="379">
        <v>2.1598595425904485</v>
      </c>
      <c r="I8622" s="25">
        <v>33.340000000000003</v>
      </c>
      <c r="J8622" s="379">
        <v>1.5027889594780826</v>
      </c>
    </row>
    <row r="8623" spans="1:10" x14ac:dyDescent="0.35">
      <c r="A8623" s="5">
        <v>8619</v>
      </c>
      <c r="B8623" s="5">
        <v>360</v>
      </c>
      <c r="C8623" s="5">
        <v>12</v>
      </c>
      <c r="D8623" s="379">
        <v>21.476111111111113</v>
      </c>
      <c r="E8623" s="25">
        <v>20.62</v>
      </c>
      <c r="F8623" s="379">
        <v>2.5334216441738744</v>
      </c>
      <c r="G8623" s="25">
        <v>30.03</v>
      </c>
      <c r="H8623" s="379">
        <v>2.1598595425904485</v>
      </c>
      <c r="I8623" s="25">
        <v>33.340000000000003</v>
      </c>
      <c r="J8623" s="379">
        <v>1.5027889594780826</v>
      </c>
    </row>
    <row r="8624" spans="1:10" x14ac:dyDescent="0.35">
      <c r="A8624" s="5">
        <v>8620</v>
      </c>
      <c r="B8624" s="5">
        <v>360</v>
      </c>
      <c r="C8624" s="5">
        <v>12</v>
      </c>
      <c r="D8624" s="379">
        <v>19.635000000000002</v>
      </c>
      <c r="E8624" s="25">
        <v>16.23</v>
      </c>
      <c r="F8624" s="379">
        <v>2.4908363882475628</v>
      </c>
      <c r="G8624" s="25">
        <v>30.03</v>
      </c>
      <c r="H8624" s="379">
        <v>2.777777777777778E-2</v>
      </c>
      <c r="I8624" s="25">
        <v>33.340000000000003</v>
      </c>
      <c r="J8624" s="379">
        <v>1.4935801949846335</v>
      </c>
    </row>
    <row r="8625" spans="1:10" x14ac:dyDescent="0.35">
      <c r="A8625" s="5">
        <v>8621</v>
      </c>
      <c r="B8625" s="5">
        <v>360</v>
      </c>
      <c r="C8625" s="5">
        <v>12</v>
      </c>
      <c r="D8625" s="379">
        <v>17.654999999999998</v>
      </c>
      <c r="E8625" s="25">
        <v>15.42</v>
      </c>
      <c r="F8625" s="379">
        <v>0.13276709504180842</v>
      </c>
      <c r="G8625" s="25">
        <v>30.03</v>
      </c>
      <c r="H8625" s="379">
        <v>2.777777777777778E-2</v>
      </c>
      <c r="I8625" s="25">
        <v>33.340000000000003</v>
      </c>
      <c r="J8625" s="379">
        <v>4.570829174449461E-2</v>
      </c>
    </row>
    <row r="8626" spans="1:10" x14ac:dyDescent="0.35">
      <c r="A8626" s="5">
        <v>8622</v>
      </c>
      <c r="B8626" s="5">
        <v>360</v>
      </c>
      <c r="C8626" s="5">
        <v>12</v>
      </c>
      <c r="D8626" s="379">
        <v>17.024444444444445</v>
      </c>
      <c r="E8626" s="25">
        <v>15.42</v>
      </c>
      <c r="F8626" s="379">
        <v>0.13276709504180842</v>
      </c>
      <c r="G8626" s="25">
        <v>30.03</v>
      </c>
      <c r="H8626" s="379">
        <v>2.1861519500836812</v>
      </c>
      <c r="I8626" s="25">
        <v>33.340000000000003</v>
      </c>
      <c r="J8626" s="379">
        <v>2.777777777777778E-2</v>
      </c>
    </row>
    <row r="8627" spans="1:10" x14ac:dyDescent="0.35">
      <c r="A8627" s="5">
        <v>8623</v>
      </c>
      <c r="B8627" s="5">
        <v>360</v>
      </c>
      <c r="C8627" s="5">
        <v>12</v>
      </c>
      <c r="D8627" s="379">
        <v>19.503888888888888</v>
      </c>
      <c r="E8627" s="25">
        <v>14.97</v>
      </c>
      <c r="F8627" s="379">
        <v>0.29248780625334797</v>
      </c>
      <c r="G8627" s="25">
        <v>30.03</v>
      </c>
      <c r="H8627" s="379">
        <v>0.1146178906991988</v>
      </c>
      <c r="I8627" s="25">
        <v>33.340000000000003</v>
      </c>
      <c r="J8627" s="379">
        <v>4.4059257868267976E-2</v>
      </c>
    </row>
    <row r="8628" spans="1:10" x14ac:dyDescent="0.35">
      <c r="A8628" s="5">
        <v>8624</v>
      </c>
      <c r="B8628" s="5">
        <v>360</v>
      </c>
      <c r="C8628" s="5">
        <v>12</v>
      </c>
      <c r="D8628" s="379">
        <v>21.966111111111111</v>
      </c>
      <c r="E8628" s="25">
        <v>17.62</v>
      </c>
      <c r="F8628" s="379">
        <v>0.47222222222222221</v>
      </c>
      <c r="G8628" s="25">
        <v>30.03</v>
      </c>
      <c r="H8628" s="379">
        <v>0.22052870952469131</v>
      </c>
      <c r="I8628" s="25">
        <v>33.340000000000003</v>
      </c>
      <c r="J8628" s="379">
        <v>0.14480167642852412</v>
      </c>
    </row>
    <row r="8629" spans="1:10" x14ac:dyDescent="0.35">
      <c r="A8629" s="5">
        <v>8625</v>
      </c>
      <c r="B8629" s="5">
        <v>360</v>
      </c>
      <c r="C8629" s="5">
        <v>12</v>
      </c>
      <c r="D8629" s="379">
        <v>22.862777777777776</v>
      </c>
      <c r="E8629" s="25">
        <v>22.07</v>
      </c>
      <c r="F8629" s="379">
        <v>0.47222222222222232</v>
      </c>
      <c r="G8629" s="25">
        <v>30.03</v>
      </c>
      <c r="H8629" s="379">
        <v>0.14480167642852412</v>
      </c>
      <c r="I8629" s="25">
        <v>33.340000000000003</v>
      </c>
      <c r="J8629" s="379">
        <v>0.14480167642852412</v>
      </c>
    </row>
    <row r="8630" spans="1:10" x14ac:dyDescent="0.35">
      <c r="A8630" s="5">
        <v>8626</v>
      </c>
      <c r="B8630" s="5">
        <v>360</v>
      </c>
      <c r="C8630" s="5">
        <v>12</v>
      </c>
      <c r="D8630" s="379">
        <v>23.83</v>
      </c>
      <c r="E8630" s="25">
        <v>23.55</v>
      </c>
      <c r="F8630" s="379">
        <v>0.47222222222222221</v>
      </c>
      <c r="G8630" s="25">
        <v>30.03</v>
      </c>
      <c r="H8630" s="379">
        <v>4.8258162476922628</v>
      </c>
      <c r="I8630" s="25">
        <v>33.67</v>
      </c>
      <c r="J8630" s="379">
        <v>0.14480167642852412</v>
      </c>
    </row>
    <row r="8631" spans="1:10" x14ac:dyDescent="0.35">
      <c r="A8631" s="5">
        <v>8627</v>
      </c>
      <c r="B8631" s="5">
        <v>360</v>
      </c>
      <c r="C8631" s="5">
        <v>12</v>
      </c>
      <c r="D8631" s="379">
        <v>25.604999999999997</v>
      </c>
      <c r="E8631" s="25">
        <v>24.26</v>
      </c>
      <c r="F8631" s="379">
        <v>5.3837097714493884</v>
      </c>
      <c r="G8631" s="25">
        <v>30.03</v>
      </c>
      <c r="H8631" s="379">
        <v>4.7418323690327693</v>
      </c>
      <c r="I8631" s="25">
        <v>33.67</v>
      </c>
      <c r="J8631" s="379">
        <v>3.6874347872039892</v>
      </c>
    </row>
    <row r="8632" spans="1:10" x14ac:dyDescent="0.35">
      <c r="A8632" s="5">
        <v>8628</v>
      </c>
      <c r="B8632" s="5">
        <v>360</v>
      </c>
      <c r="C8632" s="5">
        <v>12</v>
      </c>
      <c r="D8632" s="379">
        <v>26.630000000000003</v>
      </c>
      <c r="E8632" s="25">
        <v>24.26</v>
      </c>
      <c r="F8632" s="379">
        <v>5.3837097714493884</v>
      </c>
      <c r="G8632" s="25">
        <v>30.03</v>
      </c>
      <c r="H8632" s="379">
        <v>4.626278410518796</v>
      </c>
      <c r="I8632" s="25">
        <v>33.67</v>
      </c>
      <c r="J8632" s="379">
        <v>3.0613442659168277</v>
      </c>
    </row>
    <row r="8633" spans="1:10" x14ac:dyDescent="0.35">
      <c r="A8633" s="5">
        <v>8629</v>
      </c>
      <c r="B8633" s="5">
        <v>360</v>
      </c>
      <c r="C8633" s="5">
        <v>12</v>
      </c>
      <c r="D8633" s="379">
        <v>25.823888888888888</v>
      </c>
      <c r="E8633" s="25">
        <v>24.26</v>
      </c>
      <c r="F8633" s="379">
        <v>5.3837097714493884</v>
      </c>
      <c r="G8633" s="25">
        <v>30.03</v>
      </c>
      <c r="H8633" s="379">
        <v>4.626278410518796</v>
      </c>
      <c r="I8633" s="25">
        <v>33.340000000000003</v>
      </c>
      <c r="J8633" s="379">
        <v>3.0613442659168277</v>
      </c>
    </row>
    <row r="8634" spans="1:10" x14ac:dyDescent="0.35">
      <c r="A8634" s="5">
        <v>8630</v>
      </c>
      <c r="B8634" s="5">
        <v>360</v>
      </c>
      <c r="C8634" s="5">
        <v>12</v>
      </c>
      <c r="D8634" s="379">
        <v>25.742222222222221</v>
      </c>
      <c r="E8634" s="25">
        <v>23.73</v>
      </c>
      <c r="F8634" s="379">
        <v>5.3837097714493884</v>
      </c>
      <c r="G8634" s="25">
        <v>30.03</v>
      </c>
      <c r="H8634" s="379">
        <v>4.626278410518796</v>
      </c>
      <c r="I8634" s="25">
        <v>33.340000000000003</v>
      </c>
      <c r="J8634" s="379">
        <v>3.0613442659168277</v>
      </c>
    </row>
    <row r="8635" spans="1:10" x14ac:dyDescent="0.35">
      <c r="A8635" s="5">
        <v>8631</v>
      </c>
      <c r="B8635" s="5">
        <v>360</v>
      </c>
      <c r="C8635" s="5">
        <v>12</v>
      </c>
      <c r="D8635" s="379">
        <v>26.91</v>
      </c>
      <c r="E8635" s="25">
        <v>23.59</v>
      </c>
      <c r="F8635" s="379">
        <v>5.3837097714493884</v>
      </c>
      <c r="G8635" s="25">
        <v>30.03</v>
      </c>
      <c r="H8635" s="379">
        <v>4.626278410518796</v>
      </c>
      <c r="I8635" s="25">
        <v>33.340000000000003</v>
      </c>
      <c r="J8635" s="379">
        <v>3.0613442659168277</v>
      </c>
    </row>
    <row r="8636" spans="1:10" x14ac:dyDescent="0.35">
      <c r="A8636" s="5">
        <v>8632</v>
      </c>
      <c r="B8636" s="5">
        <v>360</v>
      </c>
      <c r="C8636" s="5">
        <v>12</v>
      </c>
      <c r="D8636" s="379">
        <v>29.177777777777774</v>
      </c>
      <c r="E8636" s="25">
        <v>23.59</v>
      </c>
      <c r="F8636" s="379">
        <v>1.9951280158276412</v>
      </c>
      <c r="G8636" s="25">
        <v>30.03</v>
      </c>
      <c r="H8636" s="379">
        <v>1.0964435912019659</v>
      </c>
      <c r="I8636" s="25">
        <v>33.340000000000003</v>
      </c>
      <c r="J8636" s="379">
        <v>3.0613442659168277</v>
      </c>
    </row>
    <row r="8637" spans="1:10" x14ac:dyDescent="0.35">
      <c r="A8637" s="5">
        <v>8633</v>
      </c>
      <c r="B8637" s="5">
        <v>360</v>
      </c>
      <c r="C8637" s="5">
        <v>12</v>
      </c>
      <c r="D8637" s="379">
        <v>32.298333333333332</v>
      </c>
      <c r="E8637" s="25">
        <v>24</v>
      </c>
      <c r="F8637" s="379">
        <v>8.1174834595959595</v>
      </c>
      <c r="G8637" s="25">
        <v>30.03</v>
      </c>
      <c r="H8637" s="379">
        <v>1.004820981985155</v>
      </c>
      <c r="I8637" s="25">
        <v>33.67</v>
      </c>
      <c r="J8637" s="379">
        <v>4.0806089592127703</v>
      </c>
    </row>
    <row r="8638" spans="1:10" x14ac:dyDescent="0.35">
      <c r="A8638" s="5">
        <v>8634</v>
      </c>
      <c r="B8638" s="5">
        <v>360</v>
      </c>
      <c r="C8638" s="5">
        <v>12</v>
      </c>
      <c r="D8638" s="379">
        <v>37.006666666666661</v>
      </c>
      <c r="E8638" s="25">
        <v>24.73</v>
      </c>
      <c r="F8638" s="379">
        <v>8.1174834595959577</v>
      </c>
      <c r="G8638" s="25">
        <v>30.33</v>
      </c>
      <c r="H8638" s="379">
        <v>0.91289957615453443</v>
      </c>
      <c r="I8638" s="25">
        <v>33.67</v>
      </c>
      <c r="J8638" s="379">
        <v>4.392314898182704</v>
      </c>
    </row>
    <row r="8639" spans="1:10" x14ac:dyDescent="0.35">
      <c r="A8639" s="5">
        <v>8635</v>
      </c>
      <c r="B8639" s="5">
        <v>360</v>
      </c>
      <c r="C8639" s="5">
        <v>12</v>
      </c>
      <c r="D8639" s="379">
        <v>38.11388888888888</v>
      </c>
      <c r="E8639" s="25">
        <v>24.73</v>
      </c>
      <c r="F8639" s="379">
        <v>8.1174834595959577</v>
      </c>
      <c r="G8639" s="25">
        <v>30.93</v>
      </c>
      <c r="H8639" s="379">
        <v>0.79878218744122431</v>
      </c>
      <c r="I8639" s="25">
        <v>33.67</v>
      </c>
      <c r="J8639" s="379">
        <v>4.2230112440934366</v>
      </c>
    </row>
    <row r="8640" spans="1:10" x14ac:dyDescent="0.35">
      <c r="A8640" s="5">
        <v>8636</v>
      </c>
      <c r="B8640" s="5">
        <v>360</v>
      </c>
      <c r="C8640" s="5">
        <v>12</v>
      </c>
      <c r="D8640" s="379">
        <v>37.376666666666672</v>
      </c>
      <c r="E8640" s="25">
        <v>24.73</v>
      </c>
      <c r="F8640" s="379">
        <v>8.1174834595959595</v>
      </c>
      <c r="G8640" s="25">
        <v>30.03</v>
      </c>
      <c r="H8640" s="379">
        <v>0.47222222222222221</v>
      </c>
      <c r="I8640" s="25">
        <v>33.67</v>
      </c>
      <c r="J8640" s="379">
        <v>4.0224882788546381</v>
      </c>
    </row>
    <row r="8641" spans="1:10" x14ac:dyDescent="0.35">
      <c r="A8641" s="5">
        <v>8637</v>
      </c>
      <c r="B8641" s="5">
        <v>360</v>
      </c>
      <c r="C8641" s="5">
        <v>12</v>
      </c>
      <c r="D8641" s="379">
        <v>34.809444444444445</v>
      </c>
      <c r="E8641" s="25">
        <v>24.34</v>
      </c>
      <c r="F8641" s="379">
        <v>6.4271524976293257</v>
      </c>
      <c r="G8641" s="25">
        <v>30.03</v>
      </c>
      <c r="H8641" s="379">
        <v>0.47222222222222221</v>
      </c>
      <c r="I8641" s="25">
        <v>33.67</v>
      </c>
      <c r="J8641" s="379">
        <v>3.3857386241754486</v>
      </c>
    </row>
    <row r="8642" spans="1:10" x14ac:dyDescent="0.35">
      <c r="A8642" s="5">
        <v>8638</v>
      </c>
      <c r="B8642" s="5">
        <v>360</v>
      </c>
      <c r="C8642" s="5">
        <v>12</v>
      </c>
      <c r="D8642" s="379">
        <v>30.049999999999997</v>
      </c>
      <c r="E8642" s="25">
        <v>24.34</v>
      </c>
      <c r="F8642" s="379">
        <v>6.2066137708719449</v>
      </c>
      <c r="G8642" s="25">
        <v>30.03</v>
      </c>
      <c r="H8642" s="379">
        <v>0.3012269021302022</v>
      </c>
      <c r="I8642" s="25">
        <v>33.67</v>
      </c>
      <c r="J8642" s="379">
        <v>5.0881156759726753</v>
      </c>
    </row>
    <row r="8643" spans="1:10" x14ac:dyDescent="0.35">
      <c r="A8643" s="5">
        <v>8639</v>
      </c>
      <c r="B8643" s="5">
        <v>360</v>
      </c>
      <c r="C8643" s="5">
        <v>12</v>
      </c>
      <c r="D8643" s="379">
        <v>28.101666666666667</v>
      </c>
      <c r="E8643" s="25">
        <v>24.34</v>
      </c>
      <c r="F8643" s="379">
        <v>6.1943421022669227</v>
      </c>
      <c r="G8643" s="25">
        <v>30.03</v>
      </c>
      <c r="H8643" s="379">
        <v>1.4126762933743584</v>
      </c>
      <c r="I8643" s="25">
        <v>33.67</v>
      </c>
      <c r="J8643" s="379">
        <v>3.0600218215960876E-2</v>
      </c>
    </row>
    <row r="8644" spans="1:10" x14ac:dyDescent="0.35">
      <c r="A8644" s="5">
        <v>8640</v>
      </c>
      <c r="B8644" s="5">
        <v>360</v>
      </c>
      <c r="C8644" s="5">
        <v>12</v>
      </c>
      <c r="D8644" s="379">
        <v>23.969444444444441</v>
      </c>
      <c r="E8644" s="25">
        <v>24.26</v>
      </c>
      <c r="F8644" s="379">
        <v>2.6149773636609988</v>
      </c>
      <c r="G8644" s="25">
        <v>30.03</v>
      </c>
      <c r="H8644" s="379">
        <v>0.36786838960563589</v>
      </c>
      <c r="I8644" s="25">
        <v>33.67</v>
      </c>
      <c r="J8644" s="379">
        <v>3.101899846776047</v>
      </c>
    </row>
    <row r="8645" spans="1:10" x14ac:dyDescent="0.35">
      <c r="A8645" s="5">
        <v>8641</v>
      </c>
      <c r="B8645" s="5">
        <v>361</v>
      </c>
      <c r="C8645" s="5">
        <v>12</v>
      </c>
      <c r="D8645" s="379">
        <v>21.733333333333334</v>
      </c>
      <c r="E8645" s="25">
        <v>20.68</v>
      </c>
      <c r="F8645" s="379">
        <v>6.1077757379490807</v>
      </c>
      <c r="G8645" s="25">
        <v>30.03</v>
      </c>
      <c r="H8645" s="379">
        <v>0.46431823633713554</v>
      </c>
      <c r="I8645" s="25">
        <v>33.67</v>
      </c>
      <c r="J8645" s="379">
        <v>1.4870087015292464</v>
      </c>
    </row>
    <row r="8646" spans="1:10" x14ac:dyDescent="0.35">
      <c r="A8646" s="5">
        <v>8642</v>
      </c>
      <c r="B8646" s="5">
        <v>361</v>
      </c>
      <c r="C8646" s="5">
        <v>12</v>
      </c>
      <c r="D8646" s="379">
        <v>21.128888888888888</v>
      </c>
      <c r="E8646" s="25">
        <v>16.78</v>
      </c>
      <c r="F8646" s="379">
        <v>5.9786511706444623</v>
      </c>
      <c r="G8646" s="25">
        <v>30.03</v>
      </c>
      <c r="H8646" s="379">
        <v>0.43008385600285698</v>
      </c>
      <c r="I8646" s="25">
        <v>33.340000000000003</v>
      </c>
      <c r="J8646" s="379">
        <v>3.158741439055885</v>
      </c>
    </row>
    <row r="8647" spans="1:10" x14ac:dyDescent="0.35">
      <c r="A8647" s="5">
        <v>8643</v>
      </c>
      <c r="B8647" s="5">
        <v>361</v>
      </c>
      <c r="C8647" s="5">
        <v>12</v>
      </c>
      <c r="D8647" s="379">
        <v>20.547222222222221</v>
      </c>
      <c r="E8647" s="25">
        <v>16.3</v>
      </c>
      <c r="F8647" s="379">
        <v>5.6193610206632814</v>
      </c>
      <c r="G8647" s="25">
        <v>30.03</v>
      </c>
      <c r="H8647" s="379">
        <v>0.40047890475978465</v>
      </c>
      <c r="I8647" s="25">
        <v>33.340000000000003</v>
      </c>
      <c r="J8647" s="379">
        <v>1.835641343017743</v>
      </c>
    </row>
    <row r="8648" spans="1:10" x14ac:dyDescent="0.35">
      <c r="A8648" s="5">
        <v>8644</v>
      </c>
      <c r="B8648" s="5">
        <v>361</v>
      </c>
      <c r="C8648" s="5">
        <v>12</v>
      </c>
      <c r="D8648" s="379">
        <v>19.814444444444447</v>
      </c>
      <c r="E8648" s="25">
        <v>15.82</v>
      </c>
      <c r="F8648" s="379">
        <v>7.3348672405140407</v>
      </c>
      <c r="G8648" s="25">
        <v>30.03</v>
      </c>
      <c r="H8648" s="379">
        <v>0.53310381715196131</v>
      </c>
      <c r="I8648" s="25">
        <v>33.340000000000003</v>
      </c>
      <c r="J8648" s="379">
        <v>3.2100442950441135</v>
      </c>
    </row>
    <row r="8649" spans="1:10" x14ac:dyDescent="0.35">
      <c r="A8649" s="5">
        <v>8645</v>
      </c>
      <c r="B8649" s="5">
        <v>361</v>
      </c>
      <c r="C8649" s="5">
        <v>12</v>
      </c>
      <c r="D8649" s="379">
        <v>20.989444444444445</v>
      </c>
      <c r="E8649" s="25">
        <v>15.82</v>
      </c>
      <c r="F8649" s="379">
        <v>8.1174834595959595</v>
      </c>
      <c r="G8649" s="25">
        <v>30.03</v>
      </c>
      <c r="H8649" s="379">
        <v>0.54730714052083052</v>
      </c>
      <c r="I8649" s="25">
        <v>33.340000000000003</v>
      </c>
      <c r="J8649" s="379">
        <v>4.9532560116049211</v>
      </c>
    </row>
    <row r="8650" spans="1:10" x14ac:dyDescent="0.35">
      <c r="A8650" s="5">
        <v>8646</v>
      </c>
      <c r="B8650" s="5">
        <v>361</v>
      </c>
      <c r="C8650" s="5">
        <v>12</v>
      </c>
      <c r="D8650" s="379">
        <v>24.378333333333337</v>
      </c>
      <c r="E8650" s="25">
        <v>16.78</v>
      </c>
      <c r="F8650" s="379">
        <v>8.1174834595959595</v>
      </c>
      <c r="G8650" s="25">
        <v>30.03</v>
      </c>
      <c r="H8650" s="379">
        <v>0.47222222222222221</v>
      </c>
      <c r="I8650" s="25">
        <v>33.340000000000003</v>
      </c>
      <c r="J8650" s="379">
        <v>5.4681160747325634</v>
      </c>
    </row>
    <row r="8651" spans="1:10" x14ac:dyDescent="0.35">
      <c r="A8651" s="5">
        <v>8647</v>
      </c>
      <c r="B8651" s="5">
        <v>361</v>
      </c>
      <c r="C8651" s="5">
        <v>12</v>
      </c>
      <c r="D8651" s="379">
        <v>28.59611111111111</v>
      </c>
      <c r="E8651" s="25">
        <v>20.68</v>
      </c>
      <c r="F8651" s="379">
        <v>8.1174834595959595</v>
      </c>
      <c r="G8651" s="25">
        <v>30.03</v>
      </c>
      <c r="H8651" s="379">
        <v>0.50019084433444272</v>
      </c>
      <c r="I8651" s="25">
        <v>33.67</v>
      </c>
      <c r="J8651" s="379">
        <v>3.2774718993600294</v>
      </c>
    </row>
    <row r="8652" spans="1:10" x14ac:dyDescent="0.35">
      <c r="A8652" s="5">
        <v>8648</v>
      </c>
      <c r="B8652" s="5">
        <v>361</v>
      </c>
      <c r="C8652" s="5">
        <v>12</v>
      </c>
      <c r="D8652" s="379">
        <v>34.564999999999998</v>
      </c>
      <c r="E8652" s="25">
        <v>23.73</v>
      </c>
      <c r="F8652" s="379">
        <v>8.1174834595959595</v>
      </c>
      <c r="G8652" s="25">
        <v>30.03</v>
      </c>
      <c r="H8652" s="379">
        <v>1.2714475478010152</v>
      </c>
      <c r="I8652" s="25">
        <v>33.67</v>
      </c>
      <c r="J8652" s="379">
        <v>3.6301626824878586</v>
      </c>
    </row>
    <row r="8653" spans="1:10" x14ac:dyDescent="0.35">
      <c r="A8653" s="5">
        <v>8649</v>
      </c>
      <c r="B8653" s="5">
        <v>361</v>
      </c>
      <c r="C8653" s="5">
        <v>12</v>
      </c>
      <c r="D8653" s="379">
        <v>39.428888888888892</v>
      </c>
      <c r="E8653" s="25">
        <v>24.73</v>
      </c>
      <c r="F8653" s="379">
        <v>8.1174834595959613</v>
      </c>
      <c r="G8653" s="25">
        <v>30.03</v>
      </c>
      <c r="H8653" s="379">
        <v>2.2304467733234987</v>
      </c>
      <c r="I8653" s="25">
        <v>33.67</v>
      </c>
      <c r="J8653" s="379">
        <v>4.1642550091717156</v>
      </c>
    </row>
    <row r="8654" spans="1:10" x14ac:dyDescent="0.35">
      <c r="A8654" s="5">
        <v>8650</v>
      </c>
      <c r="B8654" s="5">
        <v>361</v>
      </c>
      <c r="C8654" s="5">
        <v>12</v>
      </c>
      <c r="D8654" s="379">
        <v>38.80555555555555</v>
      </c>
      <c r="E8654" s="25">
        <v>24.84</v>
      </c>
      <c r="F8654" s="379">
        <v>8.1174834595959577</v>
      </c>
      <c r="G8654" s="25">
        <v>30.03</v>
      </c>
      <c r="H8654" s="379">
        <v>0.47222222222222221</v>
      </c>
      <c r="I8654" s="25">
        <v>33.67</v>
      </c>
      <c r="J8654" s="379">
        <v>3.7457009038685998</v>
      </c>
    </row>
    <row r="8655" spans="1:10" x14ac:dyDescent="0.35">
      <c r="A8655" s="5">
        <v>8651</v>
      </c>
      <c r="B8655" s="5">
        <v>361</v>
      </c>
      <c r="C8655" s="5">
        <v>12</v>
      </c>
      <c r="D8655" s="379">
        <v>37.749444444444443</v>
      </c>
      <c r="E8655" s="25">
        <v>24.84</v>
      </c>
      <c r="F8655" s="379">
        <v>1.9233776538912015</v>
      </c>
      <c r="G8655" s="25">
        <v>30.03</v>
      </c>
      <c r="H8655" s="379">
        <v>0.3012269021302022</v>
      </c>
      <c r="I8655" s="25">
        <v>33.67</v>
      </c>
      <c r="J8655" s="379">
        <v>4.4175973076195278</v>
      </c>
    </row>
    <row r="8656" spans="1:10" x14ac:dyDescent="0.35">
      <c r="A8656" s="5">
        <v>8652</v>
      </c>
      <c r="B8656" s="5">
        <v>361</v>
      </c>
      <c r="C8656" s="5">
        <v>12</v>
      </c>
      <c r="D8656" s="379">
        <v>36.948333333333338</v>
      </c>
      <c r="E8656" s="25">
        <v>24.84</v>
      </c>
      <c r="F8656" s="379">
        <v>4.2056728664254761</v>
      </c>
      <c r="G8656" s="25">
        <v>30.03</v>
      </c>
      <c r="H8656" s="379">
        <v>2.2997845990483357</v>
      </c>
      <c r="I8656" s="25">
        <v>33.67</v>
      </c>
      <c r="J8656" s="379">
        <v>4.416713073119312</v>
      </c>
    </row>
    <row r="8657" spans="1:10" x14ac:dyDescent="0.35">
      <c r="A8657" s="5">
        <v>8653</v>
      </c>
      <c r="B8657" s="5">
        <v>361</v>
      </c>
      <c r="C8657" s="5">
        <v>12</v>
      </c>
      <c r="D8657" s="379">
        <v>37.333888888888886</v>
      </c>
      <c r="E8657" s="25">
        <v>24.84</v>
      </c>
      <c r="F8657" s="379">
        <v>4.092367602413546</v>
      </c>
      <c r="G8657" s="25">
        <v>30.03</v>
      </c>
      <c r="H8657" s="379">
        <v>2.9633088401258476</v>
      </c>
      <c r="I8657" s="25">
        <v>33.67</v>
      </c>
      <c r="J8657" s="379">
        <v>4.1922195038723693</v>
      </c>
    </row>
    <row r="8658" spans="1:10" x14ac:dyDescent="0.35">
      <c r="A8658" s="5">
        <v>8654</v>
      </c>
      <c r="B8658" s="5">
        <v>361</v>
      </c>
      <c r="C8658" s="5">
        <v>12</v>
      </c>
      <c r="D8658" s="379">
        <v>36.669444444444444</v>
      </c>
      <c r="E8658" s="25">
        <v>24.84</v>
      </c>
      <c r="F8658" s="379">
        <v>3.8168138147998438</v>
      </c>
      <c r="G8658" s="25">
        <v>30.03</v>
      </c>
      <c r="H8658" s="379">
        <v>3.164934917293694</v>
      </c>
      <c r="I8658" s="25">
        <v>33.67</v>
      </c>
      <c r="J8658" s="379">
        <v>4.413527802511152</v>
      </c>
    </row>
    <row r="8659" spans="1:10" x14ac:dyDescent="0.35">
      <c r="A8659" s="5">
        <v>8655</v>
      </c>
      <c r="B8659" s="5">
        <v>361</v>
      </c>
      <c r="C8659" s="5">
        <v>12</v>
      </c>
      <c r="D8659" s="379">
        <v>38.648888888888898</v>
      </c>
      <c r="E8659" s="25">
        <v>24.84</v>
      </c>
      <c r="F8659" s="379">
        <v>4.5633548636717132</v>
      </c>
      <c r="G8659" s="25">
        <v>30.57</v>
      </c>
      <c r="H8659" s="379">
        <v>3.2905623721516672</v>
      </c>
      <c r="I8659" s="25">
        <v>33.67</v>
      </c>
      <c r="J8659" s="379">
        <v>4.4391860350241554</v>
      </c>
    </row>
    <row r="8660" spans="1:10" x14ac:dyDescent="0.35">
      <c r="A8660" s="5">
        <v>8656</v>
      </c>
      <c r="B8660" s="5">
        <v>361</v>
      </c>
      <c r="C8660" s="5">
        <v>12</v>
      </c>
      <c r="D8660" s="379">
        <v>39.756111111111103</v>
      </c>
      <c r="E8660" s="25">
        <v>24.84</v>
      </c>
      <c r="F8660" s="379">
        <v>8.1174834595959595</v>
      </c>
      <c r="G8660" s="25">
        <v>30.91</v>
      </c>
      <c r="H8660" s="379">
        <v>6.273078445536818</v>
      </c>
      <c r="I8660" s="25">
        <v>33.67</v>
      </c>
      <c r="J8660" s="379">
        <v>5.7653466835817628</v>
      </c>
    </row>
    <row r="8661" spans="1:10" x14ac:dyDescent="0.35">
      <c r="A8661" s="5">
        <v>8657</v>
      </c>
      <c r="B8661" s="5">
        <v>361</v>
      </c>
      <c r="C8661" s="5">
        <v>12</v>
      </c>
      <c r="D8661" s="379">
        <v>42.953888888888883</v>
      </c>
      <c r="E8661" s="25">
        <v>24.84</v>
      </c>
      <c r="F8661" s="379">
        <v>9.4946933678880789</v>
      </c>
      <c r="G8661" s="25">
        <v>39.200000000000003</v>
      </c>
      <c r="H8661" s="379">
        <v>9.5849852403012363</v>
      </c>
      <c r="I8661" s="25">
        <v>33.67</v>
      </c>
      <c r="J8661" s="379">
        <v>7.0675932016657761</v>
      </c>
    </row>
    <row r="8662" spans="1:10" x14ac:dyDescent="0.35">
      <c r="A8662" s="5">
        <v>8658</v>
      </c>
      <c r="B8662" s="5">
        <v>361</v>
      </c>
      <c r="C8662" s="5">
        <v>12</v>
      </c>
      <c r="D8662" s="379">
        <v>45.005000000000003</v>
      </c>
      <c r="E8662" s="25">
        <v>25.74</v>
      </c>
      <c r="F8662" s="379">
        <v>18.6993578529549</v>
      </c>
      <c r="G8662" s="25">
        <v>46.03</v>
      </c>
      <c r="H8662" s="379">
        <v>9.5542884971299831</v>
      </c>
      <c r="I8662" s="25">
        <v>50.13</v>
      </c>
      <c r="J8662" s="379">
        <v>7.2640237576516187</v>
      </c>
    </row>
    <row r="8663" spans="1:10" x14ac:dyDescent="0.35">
      <c r="A8663" s="5">
        <v>8659</v>
      </c>
      <c r="B8663" s="5">
        <v>361</v>
      </c>
      <c r="C8663" s="5">
        <v>12</v>
      </c>
      <c r="D8663" s="379">
        <v>45.352777777777774</v>
      </c>
      <c r="E8663" s="25">
        <v>25.74</v>
      </c>
      <c r="F8663" s="379">
        <v>19.099078758651764</v>
      </c>
      <c r="G8663" s="25">
        <v>46.03</v>
      </c>
      <c r="H8663" s="379">
        <v>17.588099825912778</v>
      </c>
      <c r="I8663" s="25">
        <v>53.71</v>
      </c>
      <c r="J8663" s="379">
        <v>7.3995269342567749</v>
      </c>
    </row>
    <row r="8664" spans="1:10" x14ac:dyDescent="0.35">
      <c r="A8664" s="5">
        <v>8660</v>
      </c>
      <c r="B8664" s="5">
        <v>361</v>
      </c>
      <c r="C8664" s="5">
        <v>12</v>
      </c>
      <c r="D8664" s="379">
        <v>43.538333333333334</v>
      </c>
      <c r="E8664" s="25">
        <v>25.29</v>
      </c>
      <c r="F8664" s="379">
        <v>19.099078758651764</v>
      </c>
      <c r="G8664" s="25">
        <v>46.03</v>
      </c>
      <c r="H8664" s="379">
        <v>16.777475041005044</v>
      </c>
      <c r="I8664" s="25">
        <v>53.71</v>
      </c>
      <c r="J8664" s="379">
        <v>7.2886217914036768</v>
      </c>
    </row>
    <row r="8665" spans="1:10" x14ac:dyDescent="0.35">
      <c r="A8665" s="5">
        <v>8661</v>
      </c>
      <c r="B8665" s="5">
        <v>361</v>
      </c>
      <c r="C8665" s="5">
        <v>12</v>
      </c>
      <c r="D8665" s="379">
        <v>42.654444444444437</v>
      </c>
      <c r="E8665" s="25">
        <v>24.99</v>
      </c>
      <c r="F8665" s="379">
        <v>19.099078758651764</v>
      </c>
      <c r="G8665" s="25">
        <v>42.2</v>
      </c>
      <c r="H8665" s="379">
        <v>15.312528245278871</v>
      </c>
      <c r="I8665" s="25">
        <v>53.71</v>
      </c>
      <c r="J8665" s="379">
        <v>7.4164492510021311</v>
      </c>
    </row>
    <row r="8666" spans="1:10" x14ac:dyDescent="0.35">
      <c r="A8666" s="5">
        <v>8662</v>
      </c>
      <c r="B8666" s="5">
        <v>361</v>
      </c>
      <c r="C8666" s="5">
        <v>12</v>
      </c>
      <c r="D8666" s="379">
        <v>38.602222222222224</v>
      </c>
      <c r="E8666" s="25">
        <v>24.99</v>
      </c>
      <c r="F8666" s="379">
        <v>19.209985673981404</v>
      </c>
      <c r="G8666" s="25">
        <v>42.2</v>
      </c>
      <c r="H8666" s="379">
        <v>16.609649713350016</v>
      </c>
      <c r="I8666" s="25">
        <v>51.02</v>
      </c>
      <c r="J8666" s="379">
        <v>7.4814183030304493</v>
      </c>
    </row>
    <row r="8667" spans="1:10" x14ac:dyDescent="0.35">
      <c r="A8667" s="5">
        <v>8663</v>
      </c>
      <c r="B8667" s="5">
        <v>361</v>
      </c>
      <c r="C8667" s="5">
        <v>12</v>
      </c>
      <c r="D8667" s="379">
        <v>33.609444444444442</v>
      </c>
      <c r="E8667" s="25">
        <v>24.99</v>
      </c>
      <c r="F8667" s="379">
        <v>19.209985673981404</v>
      </c>
      <c r="G8667" s="25">
        <v>43.56</v>
      </c>
      <c r="H8667" s="379">
        <v>15.989702654704088</v>
      </c>
      <c r="I8667" s="25">
        <v>53.71</v>
      </c>
      <c r="J8667" s="379">
        <v>7.2719232008312842</v>
      </c>
    </row>
    <row r="8668" spans="1:10" x14ac:dyDescent="0.35">
      <c r="A8668" s="5">
        <v>8664</v>
      </c>
      <c r="B8668" s="5">
        <v>361</v>
      </c>
      <c r="C8668" s="5">
        <v>12</v>
      </c>
      <c r="D8668" s="379">
        <v>27.607777777777777</v>
      </c>
      <c r="E8668" s="25">
        <v>24.99</v>
      </c>
      <c r="F8668" s="379">
        <v>19.209985673981407</v>
      </c>
      <c r="G8668" s="25">
        <v>43.56</v>
      </c>
      <c r="H8668" s="379">
        <v>15.228319286676026</v>
      </c>
      <c r="I8668" s="25">
        <v>51.84</v>
      </c>
      <c r="J8668" s="379">
        <v>7.1778301630835379</v>
      </c>
    </row>
    <row r="8669" spans="1:10" x14ac:dyDescent="0.35">
      <c r="A8669" s="5">
        <v>8665</v>
      </c>
      <c r="B8669" s="5">
        <v>362</v>
      </c>
      <c r="C8669" s="5">
        <v>12</v>
      </c>
      <c r="D8669" s="379">
        <v>22.737777777777779</v>
      </c>
      <c r="E8669" s="25">
        <v>24.84</v>
      </c>
      <c r="F8669" s="379">
        <v>19.408835486619914</v>
      </c>
      <c r="G8669" s="25">
        <v>42.71</v>
      </c>
      <c r="H8669" s="379">
        <v>14.177151104786127</v>
      </c>
      <c r="I8669" s="25">
        <v>50.19</v>
      </c>
      <c r="J8669" s="379">
        <v>6.8546716802051852</v>
      </c>
    </row>
    <row r="8670" spans="1:10" x14ac:dyDescent="0.35">
      <c r="A8670" s="5">
        <v>8666</v>
      </c>
      <c r="B8670" s="5">
        <v>362</v>
      </c>
      <c r="C8670" s="5">
        <v>12</v>
      </c>
      <c r="D8670" s="379">
        <v>21.069444444444443</v>
      </c>
      <c r="E8670" s="25">
        <v>24.84</v>
      </c>
      <c r="F8670" s="379">
        <v>18.110759650272861</v>
      </c>
      <c r="G8670" s="25">
        <v>42.29</v>
      </c>
      <c r="H8670" s="379">
        <v>16.868797906817065</v>
      </c>
      <c r="I8670" s="25">
        <v>49.89</v>
      </c>
      <c r="J8670" s="379">
        <v>6.8546716802051852</v>
      </c>
    </row>
    <row r="8671" spans="1:10" x14ac:dyDescent="0.35">
      <c r="A8671" s="5">
        <v>8667</v>
      </c>
      <c r="B8671" s="5">
        <v>362</v>
      </c>
      <c r="C8671" s="5">
        <v>12</v>
      </c>
      <c r="D8671" s="379">
        <v>17.915555555555557</v>
      </c>
      <c r="E8671" s="25">
        <v>24.84</v>
      </c>
      <c r="F8671" s="379">
        <v>17.995692104170971</v>
      </c>
      <c r="G8671" s="25">
        <v>42.2</v>
      </c>
      <c r="H8671" s="379">
        <v>16.381481126795656</v>
      </c>
      <c r="I8671" s="25">
        <v>49.83</v>
      </c>
      <c r="J8671" s="379">
        <v>6.8546716802051852</v>
      </c>
    </row>
    <row r="8672" spans="1:10" x14ac:dyDescent="0.35">
      <c r="A8672" s="5">
        <v>8668</v>
      </c>
      <c r="B8672" s="5">
        <v>362</v>
      </c>
      <c r="C8672" s="5">
        <v>12</v>
      </c>
      <c r="D8672" s="379">
        <v>16.170555555555559</v>
      </c>
      <c r="E8672" s="25">
        <v>24.56</v>
      </c>
      <c r="F8672" s="379">
        <v>18.239483599258321</v>
      </c>
      <c r="G8672" s="25">
        <v>42.2</v>
      </c>
      <c r="H8672" s="379">
        <v>13.988734378693579</v>
      </c>
      <c r="I8672" s="25">
        <v>49.89</v>
      </c>
      <c r="J8672" s="379">
        <v>6.8546716802051852</v>
      </c>
    </row>
    <row r="8673" spans="1:10" x14ac:dyDescent="0.35">
      <c r="A8673" s="5">
        <v>8669</v>
      </c>
      <c r="B8673" s="5">
        <v>362</v>
      </c>
      <c r="C8673" s="5">
        <v>12</v>
      </c>
      <c r="D8673" s="379">
        <v>17.357222222222219</v>
      </c>
      <c r="E8673" s="25">
        <v>23.59</v>
      </c>
      <c r="F8673" s="379">
        <v>19.95552172315443</v>
      </c>
      <c r="G8673" s="25">
        <v>42.2</v>
      </c>
      <c r="H8673" s="379">
        <v>16.645431944120769</v>
      </c>
      <c r="I8673" s="25">
        <v>49.89</v>
      </c>
      <c r="J8673" s="379">
        <v>6.8546716802051852</v>
      </c>
    </row>
    <row r="8674" spans="1:10" x14ac:dyDescent="0.35">
      <c r="A8674" s="5">
        <v>8670</v>
      </c>
      <c r="B8674" s="5">
        <v>362</v>
      </c>
      <c r="C8674" s="5">
        <v>12</v>
      </c>
      <c r="D8674" s="379">
        <v>19.28166666666667</v>
      </c>
      <c r="E8674" s="25">
        <v>24.56</v>
      </c>
      <c r="F8674" s="379">
        <v>17.273452032611871</v>
      </c>
      <c r="G8674" s="25">
        <v>42.29</v>
      </c>
      <c r="H8674" s="379">
        <v>15.24620012199043</v>
      </c>
      <c r="I8674" s="25">
        <v>50.19</v>
      </c>
      <c r="J8674" s="379">
        <v>6.8522210704360154</v>
      </c>
    </row>
    <row r="8675" spans="1:10" x14ac:dyDescent="0.35">
      <c r="A8675" s="5">
        <v>8671</v>
      </c>
      <c r="B8675" s="5">
        <v>362</v>
      </c>
      <c r="C8675" s="5">
        <v>12</v>
      </c>
      <c r="D8675" s="379">
        <v>25.087222222222223</v>
      </c>
      <c r="E8675" s="25">
        <v>24.84</v>
      </c>
      <c r="F8675" s="379">
        <v>17.275901972885574</v>
      </c>
      <c r="G8675" s="25">
        <v>42.29</v>
      </c>
      <c r="H8675" s="379">
        <v>15.899258717539356</v>
      </c>
      <c r="I8675" s="25">
        <v>50.19</v>
      </c>
      <c r="J8675" s="379">
        <v>7.4012968275065703</v>
      </c>
    </row>
    <row r="8676" spans="1:10" x14ac:dyDescent="0.35">
      <c r="A8676" s="5">
        <v>8672</v>
      </c>
      <c r="B8676" s="5">
        <v>362</v>
      </c>
      <c r="C8676" s="5">
        <v>12</v>
      </c>
      <c r="D8676" s="379">
        <v>29.02611111111111</v>
      </c>
      <c r="E8676" s="25">
        <v>24.99</v>
      </c>
      <c r="F8676" s="379">
        <v>18.533470174683078</v>
      </c>
      <c r="G8676" s="25">
        <v>44.82</v>
      </c>
      <c r="H8676" s="379">
        <v>16.208639332576141</v>
      </c>
      <c r="I8676" s="25">
        <v>53.71</v>
      </c>
      <c r="J8676" s="379">
        <v>7.3828381387784416</v>
      </c>
    </row>
    <row r="8677" spans="1:10" x14ac:dyDescent="0.35">
      <c r="A8677" s="5">
        <v>8673</v>
      </c>
      <c r="B8677" s="5">
        <v>362</v>
      </c>
      <c r="C8677" s="5">
        <v>12</v>
      </c>
      <c r="D8677" s="379">
        <v>35.648333333333333</v>
      </c>
      <c r="E8677" s="25">
        <v>25.59</v>
      </c>
      <c r="F8677" s="379">
        <v>16.985358073540464</v>
      </c>
      <c r="G8677" s="25">
        <v>46.03</v>
      </c>
      <c r="H8677" s="379">
        <v>16.516210947994363</v>
      </c>
      <c r="I8677" s="25">
        <v>55.66</v>
      </c>
      <c r="J8677" s="379">
        <v>7.0764527151885321</v>
      </c>
    </row>
    <row r="8678" spans="1:10" x14ac:dyDescent="0.35">
      <c r="A8678" s="5">
        <v>8674</v>
      </c>
      <c r="B8678" s="5">
        <v>362</v>
      </c>
      <c r="C8678" s="5">
        <v>12</v>
      </c>
      <c r="D8678" s="379">
        <v>38.568333333333335</v>
      </c>
      <c r="E8678" s="25">
        <v>25.74</v>
      </c>
      <c r="F8678" s="379">
        <v>13.560463339135143</v>
      </c>
      <c r="G8678" s="25">
        <v>46.03</v>
      </c>
      <c r="H8678" s="379">
        <v>7.7423232440621526</v>
      </c>
      <c r="I8678" s="25">
        <v>58.11</v>
      </c>
      <c r="J8678" s="379">
        <v>1.0936561883094615</v>
      </c>
    </row>
    <row r="8679" spans="1:10" x14ac:dyDescent="0.35">
      <c r="A8679" s="5">
        <v>8675</v>
      </c>
      <c r="B8679" s="5">
        <v>362</v>
      </c>
      <c r="C8679" s="5">
        <v>12</v>
      </c>
      <c r="D8679" s="379">
        <v>39.836666666666666</v>
      </c>
      <c r="E8679" s="25">
        <v>25.59</v>
      </c>
      <c r="F8679" s="379">
        <v>8.1174834595959595</v>
      </c>
      <c r="G8679" s="25">
        <v>44.93</v>
      </c>
      <c r="H8679" s="379">
        <v>4.799693804694658</v>
      </c>
      <c r="I8679" s="25">
        <v>53.71</v>
      </c>
      <c r="J8679" s="379">
        <v>5.2580951646588332</v>
      </c>
    </row>
    <row r="8680" spans="1:10" x14ac:dyDescent="0.35">
      <c r="A8680" s="5">
        <v>8676</v>
      </c>
      <c r="B8680" s="5">
        <v>362</v>
      </c>
      <c r="C8680" s="5">
        <v>12</v>
      </c>
      <c r="D8680" s="379">
        <v>38.635555555555563</v>
      </c>
      <c r="E8680" s="25">
        <v>24.99</v>
      </c>
      <c r="F8680" s="379">
        <v>8.4260002000451202</v>
      </c>
      <c r="G8680" s="25">
        <v>44.93</v>
      </c>
      <c r="H8680" s="379">
        <v>8.3020143875215382</v>
      </c>
      <c r="I8680" s="25">
        <v>48.09</v>
      </c>
      <c r="J8680" s="379">
        <v>2.3419566012733903</v>
      </c>
    </row>
    <row r="8681" spans="1:10" x14ac:dyDescent="0.35">
      <c r="A8681" s="5">
        <v>8677</v>
      </c>
      <c r="B8681" s="5">
        <v>362</v>
      </c>
      <c r="C8681" s="5">
        <v>12</v>
      </c>
      <c r="D8681" s="379">
        <v>37.541666666666664</v>
      </c>
      <c r="E8681" s="25">
        <v>24.99</v>
      </c>
      <c r="F8681" s="379">
        <v>8.1174834595959613</v>
      </c>
      <c r="G8681" s="25">
        <v>44.74</v>
      </c>
      <c r="H8681" s="379">
        <v>4.799693804694658</v>
      </c>
      <c r="I8681" s="25">
        <v>47.44</v>
      </c>
      <c r="J8681" s="379">
        <v>2.3323947588105676</v>
      </c>
    </row>
    <row r="8682" spans="1:10" x14ac:dyDescent="0.35">
      <c r="A8682" s="5">
        <v>8678</v>
      </c>
      <c r="B8682" s="5">
        <v>362</v>
      </c>
      <c r="C8682" s="5">
        <v>12</v>
      </c>
      <c r="D8682" s="379">
        <v>36.806666666666665</v>
      </c>
      <c r="E8682" s="25">
        <v>24.84</v>
      </c>
      <c r="F8682" s="379">
        <v>8.1174834595959595</v>
      </c>
      <c r="G8682" s="25">
        <v>44.28</v>
      </c>
      <c r="H8682" s="379">
        <v>6.0145132447322416</v>
      </c>
      <c r="I8682" s="25">
        <v>47.31</v>
      </c>
      <c r="J8682" s="379">
        <v>2.3323947588105676</v>
      </c>
    </row>
    <row r="8683" spans="1:10" x14ac:dyDescent="0.35">
      <c r="A8683" s="5">
        <v>8679</v>
      </c>
      <c r="B8683" s="5">
        <v>362</v>
      </c>
      <c r="C8683" s="5">
        <v>12</v>
      </c>
      <c r="D8683" s="379">
        <v>36.687222222222225</v>
      </c>
      <c r="E8683" s="25">
        <v>24.84</v>
      </c>
      <c r="F8683" s="379">
        <v>8.1174834595959595</v>
      </c>
      <c r="G8683" s="25">
        <v>42.35</v>
      </c>
      <c r="H8683" s="379">
        <v>5.5173420526820669</v>
      </c>
      <c r="I8683" s="25">
        <v>47.31</v>
      </c>
      <c r="J8683" s="379">
        <v>2.3323947588105676</v>
      </c>
    </row>
    <row r="8684" spans="1:10" x14ac:dyDescent="0.35">
      <c r="A8684" s="5">
        <v>8680</v>
      </c>
      <c r="B8684" s="5">
        <v>362</v>
      </c>
      <c r="C8684" s="5">
        <v>12</v>
      </c>
      <c r="D8684" s="379">
        <v>35.971111111111114</v>
      </c>
      <c r="E8684" s="25">
        <v>24.84</v>
      </c>
      <c r="F8684" s="379">
        <v>8.2703327068421029</v>
      </c>
      <c r="G8684" s="25">
        <v>42.35</v>
      </c>
      <c r="H8684" s="379">
        <v>7.0771651823772563</v>
      </c>
      <c r="I8684" s="25">
        <v>47.44</v>
      </c>
      <c r="J8684" s="379">
        <v>0.27777777777777779</v>
      </c>
    </row>
    <row r="8685" spans="1:10" x14ac:dyDescent="0.35">
      <c r="A8685" s="5">
        <v>8681</v>
      </c>
      <c r="B8685" s="5">
        <v>362</v>
      </c>
      <c r="C8685" s="5">
        <v>12</v>
      </c>
      <c r="D8685" s="379">
        <v>37.548333333333332</v>
      </c>
      <c r="E8685" s="25">
        <v>24.84</v>
      </c>
      <c r="F8685" s="379">
        <v>9.4483341655761297</v>
      </c>
      <c r="G8685" s="25">
        <v>44.93</v>
      </c>
      <c r="H8685" s="379">
        <v>6.7941472195751782</v>
      </c>
      <c r="I8685" s="25">
        <v>47.79</v>
      </c>
      <c r="J8685" s="379">
        <v>3.9478471756289202</v>
      </c>
    </row>
    <row r="8686" spans="1:10" x14ac:dyDescent="0.35">
      <c r="A8686" s="5">
        <v>8682</v>
      </c>
      <c r="B8686" s="5">
        <v>362</v>
      </c>
      <c r="C8686" s="5">
        <v>12</v>
      </c>
      <c r="D8686" s="379">
        <v>40.333888888888886</v>
      </c>
      <c r="E8686" s="25">
        <v>25.74</v>
      </c>
      <c r="F8686" s="379">
        <v>9.1751759392302468</v>
      </c>
      <c r="G8686" s="25">
        <v>46.03</v>
      </c>
      <c r="H8686" s="379">
        <v>6.3061987004680002</v>
      </c>
      <c r="I8686" s="25">
        <v>53.71</v>
      </c>
      <c r="J8686" s="379">
        <v>6.6493307031811719</v>
      </c>
    </row>
    <row r="8687" spans="1:10" x14ac:dyDescent="0.35">
      <c r="A8687" s="5">
        <v>8683</v>
      </c>
      <c r="B8687" s="5">
        <v>362</v>
      </c>
      <c r="C8687" s="5">
        <v>12</v>
      </c>
      <c r="D8687" s="379">
        <v>38.398333333333326</v>
      </c>
      <c r="E8687" s="25">
        <v>25.74</v>
      </c>
      <c r="F8687" s="379">
        <v>9.3589235213512421</v>
      </c>
      <c r="G8687" s="25">
        <v>46.11</v>
      </c>
      <c r="H8687" s="379">
        <v>6.470353843687513</v>
      </c>
      <c r="I8687" s="25">
        <v>53.71</v>
      </c>
      <c r="J8687" s="379">
        <v>2.8127511650201054E-2</v>
      </c>
    </row>
    <row r="8688" spans="1:10" x14ac:dyDescent="0.35">
      <c r="A8688" s="5">
        <v>8684</v>
      </c>
      <c r="B8688" s="5">
        <v>362</v>
      </c>
      <c r="C8688" s="5">
        <v>12</v>
      </c>
      <c r="D8688" s="379">
        <v>36.25555555555556</v>
      </c>
      <c r="E8688" s="25">
        <v>25.59</v>
      </c>
      <c r="F8688" s="379">
        <v>9.5002457364178348</v>
      </c>
      <c r="G8688" s="25">
        <v>46.03</v>
      </c>
      <c r="H8688" s="379">
        <v>6.4980722632819869</v>
      </c>
      <c r="I8688" s="25">
        <v>49.83</v>
      </c>
      <c r="J8688" s="379">
        <v>4.6968472586114446E-2</v>
      </c>
    </row>
    <row r="8689" spans="1:10" x14ac:dyDescent="0.35">
      <c r="A8689" s="5">
        <v>8685</v>
      </c>
      <c r="B8689" s="5">
        <v>362</v>
      </c>
      <c r="C8689" s="5">
        <v>12</v>
      </c>
      <c r="D8689" s="379">
        <v>32.737222222222222</v>
      </c>
      <c r="E8689" s="25">
        <v>24.84</v>
      </c>
      <c r="F8689" s="379">
        <v>8.5590009077590654</v>
      </c>
      <c r="G8689" s="25">
        <v>44.74</v>
      </c>
      <c r="H8689" s="379">
        <v>6.470353843687513</v>
      </c>
      <c r="I8689" s="25">
        <v>47.9</v>
      </c>
      <c r="J8689" s="379">
        <v>6.4496712744666764</v>
      </c>
    </row>
    <row r="8690" spans="1:10" x14ac:dyDescent="0.35">
      <c r="A8690" s="5">
        <v>8686</v>
      </c>
      <c r="B8690" s="5">
        <v>362</v>
      </c>
      <c r="C8690" s="5">
        <v>12</v>
      </c>
      <c r="D8690" s="379">
        <v>27.91888888888889</v>
      </c>
      <c r="E8690" s="25">
        <v>24.84</v>
      </c>
      <c r="F8690" s="379">
        <v>8.2300426633841059</v>
      </c>
      <c r="G8690" s="25">
        <v>44.74</v>
      </c>
      <c r="H8690" s="379">
        <v>6.7061814033743881</v>
      </c>
      <c r="I8690" s="25">
        <v>41.15</v>
      </c>
      <c r="J8690" s="379">
        <v>6.3290632753441267</v>
      </c>
    </row>
    <row r="8691" spans="1:10" x14ac:dyDescent="0.35">
      <c r="A8691" s="5">
        <v>8687</v>
      </c>
      <c r="B8691" s="5">
        <v>362</v>
      </c>
      <c r="C8691" s="5">
        <v>12</v>
      </c>
      <c r="D8691" s="379">
        <v>22.871666666666666</v>
      </c>
      <c r="E8691" s="25">
        <v>24.84</v>
      </c>
      <c r="F8691" s="379">
        <v>8.1174834595959577</v>
      </c>
      <c r="G8691" s="25">
        <v>44.74</v>
      </c>
      <c r="H8691" s="379">
        <v>7.1427894480500767</v>
      </c>
      <c r="I8691" s="25">
        <v>41.15</v>
      </c>
      <c r="J8691" s="379">
        <v>4.3632839501245195</v>
      </c>
    </row>
    <row r="8692" spans="1:10" x14ac:dyDescent="0.35">
      <c r="A8692" s="5">
        <v>8688</v>
      </c>
      <c r="B8692" s="5">
        <v>362</v>
      </c>
      <c r="C8692" s="5">
        <v>12</v>
      </c>
      <c r="D8692" s="379">
        <v>16.217777777777776</v>
      </c>
      <c r="E8692" s="25">
        <v>24.95</v>
      </c>
      <c r="F8692" s="379">
        <v>8.1174834595959595</v>
      </c>
      <c r="G8692" s="25">
        <v>42.37</v>
      </c>
      <c r="H8692" s="379">
        <v>6.685952174166351</v>
      </c>
      <c r="I8692" s="25">
        <v>41.15</v>
      </c>
      <c r="J8692" s="379">
        <v>4.5474420694102689</v>
      </c>
    </row>
    <row r="8693" spans="1:10" x14ac:dyDescent="0.35">
      <c r="A8693" s="5">
        <v>8689</v>
      </c>
      <c r="B8693" s="5">
        <v>363</v>
      </c>
      <c r="C8693" s="5">
        <v>12</v>
      </c>
      <c r="D8693" s="379">
        <v>12.379999999999999</v>
      </c>
      <c r="E8693" s="25">
        <v>24.73</v>
      </c>
      <c r="F8693" s="379">
        <v>5.0868668337581076</v>
      </c>
      <c r="G8693" s="25">
        <v>39.200000000000003</v>
      </c>
      <c r="H8693" s="379">
        <v>6.1485171058762003</v>
      </c>
      <c r="I8693" s="25">
        <v>41.15</v>
      </c>
      <c r="J8693" s="379">
        <v>3.7536935693003106</v>
      </c>
    </row>
    <row r="8694" spans="1:10" x14ac:dyDescent="0.35">
      <c r="A8694" s="5">
        <v>8690</v>
      </c>
      <c r="B8694" s="5">
        <v>363</v>
      </c>
      <c r="C8694" s="5">
        <v>12</v>
      </c>
      <c r="D8694" s="379">
        <v>10.818888888888889</v>
      </c>
      <c r="E8694" s="25">
        <v>24.44</v>
      </c>
      <c r="F8694" s="379">
        <v>4.5907606342558713</v>
      </c>
      <c r="G8694" s="25">
        <v>36.92</v>
      </c>
      <c r="H8694" s="379">
        <v>6.078409351326469</v>
      </c>
      <c r="I8694" s="25">
        <v>34.25</v>
      </c>
      <c r="J8694" s="379">
        <v>3.4744016214161104</v>
      </c>
    </row>
    <row r="8695" spans="1:10" x14ac:dyDescent="0.35">
      <c r="A8695" s="5">
        <v>8691</v>
      </c>
      <c r="B8695" s="5">
        <v>363</v>
      </c>
      <c r="C8695" s="5">
        <v>12</v>
      </c>
      <c r="D8695" s="379">
        <v>8.6666666666666661</v>
      </c>
      <c r="E8695" s="25">
        <v>23.73</v>
      </c>
      <c r="F8695" s="379">
        <v>4.7318351865616064</v>
      </c>
      <c r="G8695" s="25">
        <v>32.19</v>
      </c>
      <c r="H8695" s="379">
        <v>6.3851101019686949</v>
      </c>
      <c r="I8695" s="25">
        <v>34.07</v>
      </c>
      <c r="J8695" s="379">
        <v>4.3286831941010675</v>
      </c>
    </row>
    <row r="8696" spans="1:10" x14ac:dyDescent="0.35">
      <c r="A8696" s="5">
        <v>8692</v>
      </c>
      <c r="B8696" s="5">
        <v>363</v>
      </c>
      <c r="C8696" s="5">
        <v>12</v>
      </c>
      <c r="D8696" s="379">
        <v>7.2444444444444427</v>
      </c>
      <c r="E8696" s="25">
        <v>23.73</v>
      </c>
      <c r="F8696" s="379">
        <v>4.677158577862075</v>
      </c>
      <c r="G8696" s="25">
        <v>32.19</v>
      </c>
      <c r="H8696" s="379">
        <v>4.9069365408601842</v>
      </c>
      <c r="I8696" s="25">
        <v>34.25</v>
      </c>
      <c r="J8696" s="379">
        <v>4.6414886892434817</v>
      </c>
    </row>
    <row r="8697" spans="1:10" x14ac:dyDescent="0.35">
      <c r="A8697" s="5">
        <v>8693</v>
      </c>
      <c r="B8697" s="5">
        <v>363</v>
      </c>
      <c r="C8697" s="5">
        <v>12</v>
      </c>
      <c r="D8697" s="379">
        <v>6.7716666666666665</v>
      </c>
      <c r="E8697" s="25">
        <v>24.44</v>
      </c>
      <c r="F8697" s="379">
        <v>4.3991129543638738</v>
      </c>
      <c r="G8697" s="25">
        <v>35.85</v>
      </c>
      <c r="H8697" s="379">
        <v>4.4670639356226749</v>
      </c>
      <c r="I8697" s="25">
        <v>34.68</v>
      </c>
      <c r="J8697" s="379">
        <v>3.5082329622816588</v>
      </c>
    </row>
    <row r="8698" spans="1:10" x14ac:dyDescent="0.35">
      <c r="A8698" s="5">
        <v>8694</v>
      </c>
      <c r="B8698" s="5">
        <v>363</v>
      </c>
      <c r="C8698" s="5">
        <v>12</v>
      </c>
      <c r="D8698" s="379">
        <v>8.0727777777777785</v>
      </c>
      <c r="E8698" s="25">
        <v>24.84</v>
      </c>
      <c r="F8698" s="379">
        <v>5.0269201775376704</v>
      </c>
      <c r="G8698" s="25">
        <v>42.19</v>
      </c>
      <c r="H8698" s="379">
        <v>4.1003853437824462</v>
      </c>
      <c r="I8698" s="25">
        <v>41.15</v>
      </c>
      <c r="J8698" s="379">
        <v>2.8695625042745099</v>
      </c>
    </row>
    <row r="8699" spans="1:10" x14ac:dyDescent="0.35">
      <c r="A8699" s="5">
        <v>8695</v>
      </c>
      <c r="B8699" s="5">
        <v>363</v>
      </c>
      <c r="C8699" s="5">
        <v>12</v>
      </c>
      <c r="D8699" s="379">
        <v>10.947777777777775</v>
      </c>
      <c r="E8699" s="25">
        <v>24.84</v>
      </c>
      <c r="F8699" s="379">
        <v>4.3562873211563495</v>
      </c>
      <c r="G8699" s="25">
        <v>44.74</v>
      </c>
      <c r="H8699" s="379">
        <v>3.6053427394226607</v>
      </c>
      <c r="I8699" s="25">
        <v>41.15</v>
      </c>
      <c r="J8699" s="379">
        <v>2.4601310925130551</v>
      </c>
    </row>
    <row r="8700" spans="1:10" x14ac:dyDescent="0.35">
      <c r="A8700" s="5">
        <v>8696</v>
      </c>
      <c r="B8700" s="5">
        <v>363</v>
      </c>
      <c r="C8700" s="5">
        <v>12</v>
      </c>
      <c r="D8700" s="379">
        <v>13.703333333333333</v>
      </c>
      <c r="E8700" s="25">
        <v>25.29</v>
      </c>
      <c r="F8700" s="379">
        <v>4.9156911247203956</v>
      </c>
      <c r="G8700" s="25">
        <v>46.11</v>
      </c>
      <c r="H8700" s="379">
        <v>3.4089183546462425</v>
      </c>
      <c r="I8700" s="25">
        <v>48.86</v>
      </c>
      <c r="J8700" s="379">
        <v>2.7174088425576679</v>
      </c>
    </row>
    <row r="8701" spans="1:10" x14ac:dyDescent="0.35">
      <c r="A8701" s="5">
        <v>8697</v>
      </c>
      <c r="B8701" s="5">
        <v>363</v>
      </c>
      <c r="C8701" s="5">
        <v>12</v>
      </c>
      <c r="D8701" s="379">
        <v>16.987222222222222</v>
      </c>
      <c r="E8701" s="25">
        <v>25.59</v>
      </c>
      <c r="F8701" s="379">
        <v>4.4489197402874003</v>
      </c>
      <c r="G8701" s="25">
        <v>46.11</v>
      </c>
      <c r="H8701" s="379">
        <v>5.7908629520130841</v>
      </c>
      <c r="I8701" s="25">
        <v>62.27</v>
      </c>
      <c r="J8701" s="379">
        <v>3.6901410457317723</v>
      </c>
    </row>
    <row r="8702" spans="1:10" x14ac:dyDescent="0.35">
      <c r="A8702" s="5">
        <v>8698</v>
      </c>
      <c r="B8702" s="5">
        <v>363</v>
      </c>
      <c r="C8702" s="5">
        <v>12</v>
      </c>
      <c r="D8702" s="379">
        <v>19.706666666666667</v>
      </c>
      <c r="E8702" s="25">
        <v>25.74</v>
      </c>
      <c r="F8702" s="379">
        <v>3.4459902272712899</v>
      </c>
      <c r="G8702" s="25">
        <v>46.11</v>
      </c>
      <c r="H8702" s="379">
        <v>5.6300459061396291</v>
      </c>
      <c r="I8702" s="25">
        <v>62.27</v>
      </c>
      <c r="J8702" s="379">
        <v>4.1425106543432362</v>
      </c>
    </row>
    <row r="8703" spans="1:10" x14ac:dyDescent="0.35">
      <c r="A8703" s="5">
        <v>8699</v>
      </c>
      <c r="B8703" s="5">
        <v>363</v>
      </c>
      <c r="C8703" s="5">
        <v>12</v>
      </c>
      <c r="D8703" s="379">
        <v>21.793888888888887</v>
      </c>
      <c r="E8703" s="25">
        <v>25.74</v>
      </c>
      <c r="F8703" s="379">
        <v>4.6166764477686328</v>
      </c>
      <c r="G8703" s="25">
        <v>46.11</v>
      </c>
      <c r="H8703" s="379">
        <v>4.9789322561932199</v>
      </c>
      <c r="I8703" s="25">
        <v>62.27</v>
      </c>
      <c r="J8703" s="379">
        <v>1.699865455950907</v>
      </c>
    </row>
    <row r="8704" spans="1:10" x14ac:dyDescent="0.35">
      <c r="A8704" s="5">
        <v>8700</v>
      </c>
      <c r="B8704" s="5">
        <v>363</v>
      </c>
      <c r="C8704" s="5">
        <v>12</v>
      </c>
      <c r="D8704" s="379">
        <v>21.176666666666662</v>
      </c>
      <c r="E8704" s="25">
        <v>25.74</v>
      </c>
      <c r="F8704" s="379">
        <v>5.7261571898996682</v>
      </c>
      <c r="G8704" s="25">
        <v>46.11</v>
      </c>
      <c r="H8704" s="379">
        <v>4.1003853437824462</v>
      </c>
      <c r="I8704" s="25">
        <v>62.27</v>
      </c>
      <c r="J8704" s="379">
        <v>3.5082329622816588</v>
      </c>
    </row>
    <row r="8705" spans="1:10" x14ac:dyDescent="0.35">
      <c r="A8705" s="5">
        <v>8701</v>
      </c>
      <c r="B8705" s="5">
        <v>363</v>
      </c>
      <c r="C8705" s="5">
        <v>12</v>
      </c>
      <c r="D8705" s="379">
        <v>22.815000000000001</v>
      </c>
      <c r="E8705" s="25">
        <v>25.74</v>
      </c>
      <c r="F8705" s="379">
        <v>5.4579784237799851</v>
      </c>
      <c r="G8705" s="25">
        <v>46.11</v>
      </c>
      <c r="H8705" s="379">
        <v>2.1119904477038496</v>
      </c>
      <c r="I8705" s="25">
        <v>62.27</v>
      </c>
      <c r="J8705" s="379">
        <v>3.5082329622816588</v>
      </c>
    </row>
    <row r="8706" spans="1:10" x14ac:dyDescent="0.35">
      <c r="A8706" s="5">
        <v>8702</v>
      </c>
      <c r="B8706" s="5">
        <v>363</v>
      </c>
      <c r="C8706" s="5">
        <v>12</v>
      </c>
      <c r="D8706" s="379">
        <v>21.779444444444447</v>
      </c>
      <c r="E8706" s="25">
        <v>25.74</v>
      </c>
      <c r="F8706" s="379">
        <v>5.551600314103843</v>
      </c>
      <c r="G8706" s="25">
        <v>46.11</v>
      </c>
      <c r="H8706" s="379">
        <v>4.3725609681527029</v>
      </c>
      <c r="I8706" s="25">
        <v>62.27</v>
      </c>
      <c r="J8706" s="379">
        <v>2.5164650770086112</v>
      </c>
    </row>
    <row r="8707" spans="1:10" x14ac:dyDescent="0.35">
      <c r="A8707" s="5">
        <v>8703</v>
      </c>
      <c r="B8707" s="5">
        <v>363</v>
      </c>
      <c r="C8707" s="5">
        <v>12</v>
      </c>
      <c r="D8707" s="379">
        <v>23.90388888888889</v>
      </c>
      <c r="E8707" s="25">
        <v>25.74</v>
      </c>
      <c r="F8707" s="379">
        <v>6.1451460190202827</v>
      </c>
      <c r="G8707" s="25">
        <v>46.11</v>
      </c>
      <c r="H8707" s="379">
        <v>4.8486513308912897</v>
      </c>
      <c r="I8707" s="25">
        <v>62.27</v>
      </c>
      <c r="J8707" s="379">
        <v>2.5479680075462832</v>
      </c>
    </row>
    <row r="8708" spans="1:10" x14ac:dyDescent="0.35">
      <c r="A8708" s="5">
        <v>8704</v>
      </c>
      <c r="B8708" s="5">
        <v>363</v>
      </c>
      <c r="C8708" s="5">
        <v>12</v>
      </c>
      <c r="D8708" s="379">
        <v>24.044444444444444</v>
      </c>
      <c r="E8708" s="25">
        <v>25.74</v>
      </c>
      <c r="F8708" s="379">
        <v>7.3220061793365598</v>
      </c>
      <c r="G8708" s="25">
        <v>46.11</v>
      </c>
      <c r="H8708" s="379">
        <v>4.8374653111155324</v>
      </c>
      <c r="I8708" s="25">
        <v>62.27</v>
      </c>
      <c r="J8708" s="379">
        <v>3.6651100732428583</v>
      </c>
    </row>
    <row r="8709" spans="1:10" x14ac:dyDescent="0.35">
      <c r="A8709" s="5">
        <v>8705</v>
      </c>
      <c r="B8709" s="5">
        <v>363</v>
      </c>
      <c r="C8709" s="5">
        <v>12</v>
      </c>
      <c r="D8709" s="379">
        <v>29.271111111111111</v>
      </c>
      <c r="E8709" s="25">
        <v>25.74</v>
      </c>
      <c r="F8709" s="379">
        <v>6.5092749473002893</v>
      </c>
      <c r="G8709" s="25">
        <v>46.98</v>
      </c>
      <c r="H8709" s="379">
        <v>4.471754144147754</v>
      </c>
      <c r="I8709" s="25">
        <v>72.19</v>
      </c>
      <c r="J8709" s="379">
        <v>4.4401031343700117</v>
      </c>
    </row>
    <row r="8710" spans="1:10" x14ac:dyDescent="0.35">
      <c r="A8710" s="5">
        <v>8706</v>
      </c>
      <c r="B8710" s="5">
        <v>363</v>
      </c>
      <c r="C8710" s="5">
        <v>12</v>
      </c>
      <c r="D8710" s="379">
        <v>32.198333333333331</v>
      </c>
      <c r="E8710" s="25">
        <v>34.82</v>
      </c>
      <c r="F8710" s="379">
        <v>5.3761850289432891</v>
      </c>
      <c r="G8710" s="25">
        <v>50.35</v>
      </c>
      <c r="H8710" s="379">
        <v>5.9960291535624251</v>
      </c>
      <c r="I8710" s="25">
        <v>156.82</v>
      </c>
      <c r="J8710" s="379">
        <v>4.4401031343700117</v>
      </c>
    </row>
    <row r="8711" spans="1:10" x14ac:dyDescent="0.35">
      <c r="A8711" s="5">
        <v>8707</v>
      </c>
      <c r="B8711" s="5">
        <v>363</v>
      </c>
      <c r="C8711" s="5">
        <v>12</v>
      </c>
      <c r="D8711" s="379">
        <v>33.714999999999996</v>
      </c>
      <c r="E8711" s="25">
        <v>26.51</v>
      </c>
      <c r="F8711" s="379">
        <v>7.0723131945919535</v>
      </c>
      <c r="G8711" s="25">
        <v>52.67</v>
      </c>
      <c r="H8711" s="379">
        <v>5.9758385422978222</v>
      </c>
      <c r="I8711" s="25">
        <v>623.48</v>
      </c>
      <c r="J8711" s="379">
        <v>4.4401031343700117</v>
      </c>
    </row>
    <row r="8712" spans="1:10" x14ac:dyDescent="0.35">
      <c r="A8712" s="5">
        <v>8708</v>
      </c>
      <c r="B8712" s="5">
        <v>363</v>
      </c>
      <c r="C8712" s="5">
        <v>12</v>
      </c>
      <c r="D8712" s="379">
        <v>31.477222222222224</v>
      </c>
      <c r="E8712" s="25">
        <v>25.74</v>
      </c>
      <c r="F8712" s="379">
        <v>7.0958471958218654</v>
      </c>
      <c r="G8712" s="25">
        <v>48.39</v>
      </c>
      <c r="H8712" s="379">
        <v>6.5548830423426612</v>
      </c>
      <c r="I8712" s="25">
        <v>139.33000000000001</v>
      </c>
      <c r="J8712" s="379">
        <v>0.66353167315766737</v>
      </c>
    </row>
    <row r="8713" spans="1:10" x14ac:dyDescent="0.35">
      <c r="A8713" s="5">
        <v>8709</v>
      </c>
      <c r="B8713" s="5">
        <v>363</v>
      </c>
      <c r="C8713" s="5">
        <v>12</v>
      </c>
      <c r="D8713" s="379">
        <v>28.902777777777775</v>
      </c>
      <c r="E8713" s="25">
        <v>25.74</v>
      </c>
      <c r="F8713" s="379">
        <v>8.2176066258586964</v>
      </c>
      <c r="G8713" s="25">
        <v>46.11</v>
      </c>
      <c r="H8713" s="379">
        <v>6.5206619230620468</v>
      </c>
      <c r="I8713" s="25">
        <v>62.27</v>
      </c>
      <c r="J8713" s="379">
        <v>4.3968254323987948</v>
      </c>
    </row>
    <row r="8714" spans="1:10" x14ac:dyDescent="0.35">
      <c r="A8714" s="5">
        <v>8710</v>
      </c>
      <c r="B8714" s="5">
        <v>363</v>
      </c>
      <c r="C8714" s="5">
        <v>12</v>
      </c>
      <c r="D8714" s="379">
        <v>25.822222222222219</v>
      </c>
      <c r="E8714" s="25">
        <v>25.74</v>
      </c>
      <c r="F8714" s="379">
        <v>7.4011618053700987</v>
      </c>
      <c r="G8714" s="25">
        <v>46.11</v>
      </c>
      <c r="H8714" s="379">
        <v>5.4651622016441905</v>
      </c>
      <c r="I8714" s="25">
        <v>62.27</v>
      </c>
      <c r="J8714" s="379">
        <v>4.3968254323987948</v>
      </c>
    </row>
    <row r="8715" spans="1:10" x14ac:dyDescent="0.35">
      <c r="A8715" s="5">
        <v>8711</v>
      </c>
      <c r="B8715" s="5">
        <v>363</v>
      </c>
      <c r="C8715" s="5">
        <v>12</v>
      </c>
      <c r="D8715" s="379">
        <v>22.88666666666666</v>
      </c>
      <c r="E8715" s="25">
        <v>25.74</v>
      </c>
      <c r="F8715" s="379">
        <v>6.3754061542255078</v>
      </c>
      <c r="G8715" s="25">
        <v>46.11</v>
      </c>
      <c r="H8715" s="379">
        <v>3.6260317339595276</v>
      </c>
      <c r="I8715" s="25">
        <v>62.27</v>
      </c>
      <c r="J8715" s="379">
        <v>4.3968254323987948</v>
      </c>
    </row>
    <row r="8716" spans="1:10" x14ac:dyDescent="0.35">
      <c r="A8716" s="5">
        <v>8712</v>
      </c>
      <c r="B8716" s="5">
        <v>363</v>
      </c>
      <c r="C8716" s="5">
        <v>12</v>
      </c>
      <c r="D8716" s="379">
        <v>20.567222222222224</v>
      </c>
      <c r="E8716" s="25">
        <v>25.59</v>
      </c>
      <c r="F8716" s="379">
        <v>5.0598624835588186</v>
      </c>
      <c r="G8716" s="25">
        <v>46.11</v>
      </c>
      <c r="H8716" s="379">
        <v>3.502544474607165</v>
      </c>
      <c r="I8716" s="25">
        <v>53.71</v>
      </c>
      <c r="J8716" s="379">
        <v>1.7090070463759746</v>
      </c>
    </row>
    <row r="8717" spans="1:10" x14ac:dyDescent="0.35">
      <c r="A8717" s="5">
        <v>8713</v>
      </c>
      <c r="B8717" s="5">
        <v>364</v>
      </c>
      <c r="C8717" s="5">
        <v>12</v>
      </c>
      <c r="D8717" s="379">
        <v>19.75611111111111</v>
      </c>
      <c r="E8717" s="25">
        <v>25.59</v>
      </c>
      <c r="F8717" s="379">
        <v>4.9511884831525466</v>
      </c>
      <c r="G8717" s="25">
        <v>45.57</v>
      </c>
      <c r="H8717" s="379">
        <v>3.9612350339670699</v>
      </c>
      <c r="I8717" s="25">
        <v>36.049999999999997</v>
      </c>
      <c r="J8717" s="379">
        <v>2.3954920523948275</v>
      </c>
    </row>
    <row r="8718" spans="1:10" x14ac:dyDescent="0.35">
      <c r="A8718" s="5">
        <v>8714</v>
      </c>
      <c r="B8718" s="5">
        <v>364</v>
      </c>
      <c r="C8718" s="5">
        <v>12</v>
      </c>
      <c r="D8718" s="379">
        <v>17.639444444444443</v>
      </c>
      <c r="E8718" s="25">
        <v>24.99</v>
      </c>
      <c r="F8718" s="379">
        <v>4.4069086537489959</v>
      </c>
      <c r="G8718" s="25">
        <v>42.95</v>
      </c>
      <c r="H8718" s="379">
        <v>4.0542737930775132</v>
      </c>
      <c r="I8718" s="25">
        <v>33.67</v>
      </c>
      <c r="J8718" s="379">
        <v>2.077477845380892</v>
      </c>
    </row>
    <row r="8719" spans="1:10" x14ac:dyDescent="0.35">
      <c r="A8719" s="5">
        <v>8715</v>
      </c>
      <c r="B8719" s="5">
        <v>364</v>
      </c>
      <c r="C8719" s="5">
        <v>12</v>
      </c>
      <c r="D8719" s="379">
        <v>15.457777777777778</v>
      </c>
      <c r="E8719" s="25">
        <v>24.84</v>
      </c>
      <c r="F8719" s="379">
        <v>3.9730276098638901</v>
      </c>
      <c r="G8719" s="25">
        <v>42.17</v>
      </c>
      <c r="H8719" s="379">
        <v>4.039600407619008</v>
      </c>
      <c r="I8719" s="25">
        <v>33.67</v>
      </c>
      <c r="J8719" s="379">
        <v>1.9130484383168234</v>
      </c>
    </row>
    <row r="8720" spans="1:10" x14ac:dyDescent="0.35">
      <c r="A8720" s="5">
        <v>8716</v>
      </c>
      <c r="B8720" s="5">
        <v>364</v>
      </c>
      <c r="C8720" s="5">
        <v>12</v>
      </c>
      <c r="D8720" s="379">
        <v>14.987777777777778</v>
      </c>
      <c r="E8720" s="25">
        <v>24.73</v>
      </c>
      <c r="F8720" s="379">
        <v>4.4969557617277074</v>
      </c>
      <c r="G8720" s="25">
        <v>40.96</v>
      </c>
      <c r="H8720" s="379">
        <v>3.7630631205553144</v>
      </c>
      <c r="I8720" s="25">
        <v>33.67</v>
      </c>
      <c r="J8720" s="379">
        <v>1.9045198601188587</v>
      </c>
    </row>
    <row r="8721" spans="1:10" x14ac:dyDescent="0.35">
      <c r="A8721" s="5">
        <v>8717</v>
      </c>
      <c r="B8721" s="5">
        <v>364</v>
      </c>
      <c r="C8721" s="5">
        <v>12</v>
      </c>
      <c r="D8721" s="379">
        <v>14.403333333333332</v>
      </c>
      <c r="E8721" s="25">
        <v>24.73</v>
      </c>
      <c r="F8721" s="379">
        <v>4.1725925012262897</v>
      </c>
      <c r="G8721" s="25">
        <v>40.96</v>
      </c>
      <c r="H8721" s="379">
        <v>3.6139450066713024</v>
      </c>
      <c r="I8721" s="25">
        <v>33.67</v>
      </c>
      <c r="J8721" s="379">
        <v>1.8310702247309902</v>
      </c>
    </row>
    <row r="8722" spans="1:10" x14ac:dyDescent="0.35">
      <c r="A8722" s="5">
        <v>8718</v>
      </c>
      <c r="B8722" s="5">
        <v>364</v>
      </c>
      <c r="C8722" s="5">
        <v>12</v>
      </c>
      <c r="D8722" s="379">
        <v>15.803888888888887</v>
      </c>
      <c r="E8722" s="25">
        <v>24.84</v>
      </c>
      <c r="F8722" s="379">
        <v>4.3333377646777249</v>
      </c>
      <c r="G8722" s="25">
        <v>40.96</v>
      </c>
      <c r="H8722" s="379">
        <v>3.3737855390102482</v>
      </c>
      <c r="I8722" s="25">
        <v>33.67</v>
      </c>
      <c r="J8722" s="379">
        <v>1.8876196349885119</v>
      </c>
    </row>
    <row r="8723" spans="1:10" x14ac:dyDescent="0.35">
      <c r="A8723" s="5">
        <v>8719</v>
      </c>
      <c r="B8723" s="5">
        <v>364</v>
      </c>
      <c r="C8723" s="5">
        <v>12</v>
      </c>
      <c r="D8723" s="379">
        <v>18.644444444444446</v>
      </c>
      <c r="E8723" s="25">
        <v>24.84</v>
      </c>
      <c r="F8723" s="379">
        <v>3.9796339047240545</v>
      </c>
      <c r="G8723" s="25">
        <v>42.95</v>
      </c>
      <c r="H8723" s="379">
        <v>3.3977769473028667</v>
      </c>
      <c r="I8723" s="25">
        <v>33.67</v>
      </c>
      <c r="J8723" s="379">
        <v>1.8096732194982144</v>
      </c>
    </row>
    <row r="8724" spans="1:10" x14ac:dyDescent="0.35">
      <c r="A8724" s="5">
        <v>8720</v>
      </c>
      <c r="B8724" s="5">
        <v>364</v>
      </c>
      <c r="C8724" s="5">
        <v>12</v>
      </c>
      <c r="D8724" s="379">
        <v>21.460555555555555</v>
      </c>
      <c r="E8724" s="25">
        <v>24.84</v>
      </c>
      <c r="F8724" s="379">
        <v>4.5177125240766873</v>
      </c>
      <c r="G8724" s="25">
        <v>43.47</v>
      </c>
      <c r="H8724" s="379">
        <v>3.9325356781552614</v>
      </c>
      <c r="I8724" s="25">
        <v>33.67</v>
      </c>
      <c r="J8724" s="379">
        <v>1.9422121195598709</v>
      </c>
    </row>
    <row r="8725" spans="1:10" x14ac:dyDescent="0.35">
      <c r="A8725" s="5">
        <v>8721</v>
      </c>
      <c r="B8725" s="5">
        <v>364</v>
      </c>
      <c r="C8725" s="5">
        <v>12</v>
      </c>
      <c r="D8725" s="379">
        <v>21.475000000000001</v>
      </c>
      <c r="E8725" s="25">
        <v>25.29</v>
      </c>
      <c r="F8725" s="379">
        <v>4.827171314380907</v>
      </c>
      <c r="G8725" s="25">
        <v>44.77</v>
      </c>
      <c r="H8725" s="379">
        <v>3.6267661990340994</v>
      </c>
      <c r="I8725" s="25">
        <v>34.01</v>
      </c>
      <c r="J8725" s="379">
        <v>2.0614421547092423</v>
      </c>
    </row>
    <row r="8726" spans="1:10" x14ac:dyDescent="0.35">
      <c r="A8726" s="5">
        <v>8722</v>
      </c>
      <c r="B8726" s="5">
        <v>364</v>
      </c>
      <c r="C8726" s="5">
        <v>12</v>
      </c>
      <c r="D8726" s="379">
        <v>27.240555555555556</v>
      </c>
      <c r="E8726" s="25">
        <v>25.29</v>
      </c>
      <c r="F8726" s="379">
        <v>2.9624216926761067</v>
      </c>
      <c r="G8726" s="25">
        <v>46.11</v>
      </c>
      <c r="H8726" s="379">
        <v>0.58775937061584327</v>
      </c>
      <c r="I8726" s="25">
        <v>34.07</v>
      </c>
      <c r="J8726" s="379">
        <v>3.9757265996015949</v>
      </c>
    </row>
    <row r="8727" spans="1:10" x14ac:dyDescent="0.35">
      <c r="A8727" s="5">
        <v>8723</v>
      </c>
      <c r="B8727" s="5">
        <v>364</v>
      </c>
      <c r="C8727" s="5">
        <v>12</v>
      </c>
      <c r="D8727" s="379">
        <v>29.872222222222224</v>
      </c>
      <c r="E8727" s="25">
        <v>25.29</v>
      </c>
      <c r="F8727" s="379">
        <v>3.4677044104610295</v>
      </c>
      <c r="G8727" s="25">
        <v>44.77</v>
      </c>
      <c r="H8727" s="379">
        <v>1.906589528194125</v>
      </c>
      <c r="I8727" s="25">
        <v>33.67</v>
      </c>
      <c r="J8727" s="379">
        <v>2.777777777777778E-2</v>
      </c>
    </row>
    <row r="8728" spans="1:10" x14ac:dyDescent="0.35">
      <c r="A8728" s="5">
        <v>8724</v>
      </c>
      <c r="B8728" s="5">
        <v>364</v>
      </c>
      <c r="C8728" s="5">
        <v>12</v>
      </c>
      <c r="D8728" s="379">
        <v>29.617222222222221</v>
      </c>
      <c r="E8728" s="25">
        <v>24.84</v>
      </c>
      <c r="F8728" s="379">
        <v>3.4677044104610295</v>
      </c>
      <c r="G8728" s="25">
        <v>43.56</v>
      </c>
      <c r="H8728" s="379">
        <v>1.906589528194125</v>
      </c>
      <c r="I8728" s="25">
        <v>33.67</v>
      </c>
      <c r="J8728" s="379">
        <v>2.777777777777778E-2</v>
      </c>
    </row>
    <row r="8729" spans="1:10" x14ac:dyDescent="0.35">
      <c r="A8729" s="5">
        <v>8725</v>
      </c>
      <c r="B8729" s="5">
        <v>364</v>
      </c>
      <c r="C8729" s="5">
        <v>12</v>
      </c>
      <c r="D8729" s="379">
        <v>29.171111111111109</v>
      </c>
      <c r="E8729" s="25">
        <v>24.84</v>
      </c>
      <c r="F8729" s="379">
        <v>3.2727733956087586</v>
      </c>
      <c r="G8729" s="25">
        <v>43.56</v>
      </c>
      <c r="H8729" s="379">
        <v>1.906589528194125</v>
      </c>
      <c r="I8729" s="25">
        <v>33.67</v>
      </c>
      <c r="J8729" s="379">
        <v>2.777777777777778E-2</v>
      </c>
    </row>
    <row r="8730" spans="1:10" x14ac:dyDescent="0.35">
      <c r="A8730" s="5">
        <v>8726</v>
      </c>
      <c r="B8730" s="5">
        <v>364</v>
      </c>
      <c r="C8730" s="5">
        <v>12</v>
      </c>
      <c r="D8730" s="379">
        <v>27.97111111111111</v>
      </c>
      <c r="E8730" s="25">
        <v>24.84</v>
      </c>
      <c r="F8730" s="379">
        <v>3.2727733956087586</v>
      </c>
      <c r="G8730" s="25">
        <v>43.56</v>
      </c>
      <c r="H8730" s="379">
        <v>1.906589528194125</v>
      </c>
      <c r="I8730" s="25">
        <v>33.67</v>
      </c>
      <c r="J8730" s="379">
        <v>2.777777777777778E-2</v>
      </c>
    </row>
    <row r="8731" spans="1:10" x14ac:dyDescent="0.35">
      <c r="A8731" s="5">
        <v>8727</v>
      </c>
      <c r="B8731" s="5">
        <v>364</v>
      </c>
      <c r="C8731" s="5">
        <v>12</v>
      </c>
      <c r="D8731" s="379">
        <v>27.290555555555557</v>
      </c>
      <c r="E8731" s="25">
        <v>24.84</v>
      </c>
      <c r="F8731" s="379">
        <v>3.2727733956087586</v>
      </c>
      <c r="G8731" s="25">
        <v>43.56</v>
      </c>
      <c r="H8731" s="379">
        <v>2.1731726230660362</v>
      </c>
      <c r="I8731" s="25">
        <v>33.67</v>
      </c>
      <c r="J8731" s="379">
        <v>2.777777777777778E-2</v>
      </c>
    </row>
    <row r="8732" spans="1:10" x14ac:dyDescent="0.35">
      <c r="A8732" s="5">
        <v>8728</v>
      </c>
      <c r="B8732" s="5">
        <v>364</v>
      </c>
      <c r="C8732" s="5">
        <v>12</v>
      </c>
      <c r="D8732" s="379">
        <v>25.905555555555551</v>
      </c>
      <c r="E8732" s="25">
        <v>24.84</v>
      </c>
      <c r="F8732" s="379">
        <v>0.47222222222222221</v>
      </c>
      <c r="G8732" s="25">
        <v>44.69</v>
      </c>
      <c r="H8732" s="379">
        <v>2.1731726230660362</v>
      </c>
      <c r="I8732" s="25">
        <v>33.67</v>
      </c>
      <c r="J8732" s="379">
        <v>2.777777777777778E-2</v>
      </c>
    </row>
    <row r="8733" spans="1:10" x14ac:dyDescent="0.35">
      <c r="A8733" s="5">
        <v>8729</v>
      </c>
      <c r="B8733" s="5">
        <v>364</v>
      </c>
      <c r="C8733" s="5">
        <v>12</v>
      </c>
      <c r="D8733" s="379">
        <v>25.992777777777775</v>
      </c>
      <c r="E8733" s="25">
        <v>24.84</v>
      </c>
      <c r="F8733" s="379">
        <v>2.5955437934123626</v>
      </c>
      <c r="G8733" s="25">
        <v>44.77</v>
      </c>
      <c r="H8733" s="379">
        <v>0.12439610700024273</v>
      </c>
      <c r="I8733" s="25">
        <v>34.07</v>
      </c>
      <c r="J8733" s="379">
        <v>4.0687893899871694E-2</v>
      </c>
    </row>
    <row r="8734" spans="1:10" x14ac:dyDescent="0.35">
      <c r="A8734" s="5">
        <v>8730</v>
      </c>
      <c r="B8734" s="5">
        <v>364</v>
      </c>
      <c r="C8734" s="5">
        <v>12</v>
      </c>
      <c r="D8734" s="379">
        <v>27.46833333333333</v>
      </c>
      <c r="E8734" s="25">
        <v>25.74</v>
      </c>
      <c r="F8734" s="379">
        <v>2.9388098022695663</v>
      </c>
      <c r="G8734" s="25">
        <v>46.11</v>
      </c>
      <c r="H8734" s="379">
        <v>0.14480167642852412</v>
      </c>
      <c r="I8734" s="25">
        <v>39.619999999999997</v>
      </c>
      <c r="J8734" s="379">
        <v>0.12145182624189477</v>
      </c>
    </row>
    <row r="8735" spans="1:10" x14ac:dyDescent="0.35">
      <c r="A8735" s="5">
        <v>8731</v>
      </c>
      <c r="B8735" s="5">
        <v>364</v>
      </c>
      <c r="C8735" s="5">
        <v>12</v>
      </c>
      <c r="D8735" s="379">
        <v>25.423333333333332</v>
      </c>
      <c r="E8735" s="25">
        <v>25.74</v>
      </c>
      <c r="F8735" s="379">
        <v>0.66715502475083077</v>
      </c>
      <c r="G8735" s="25">
        <v>46.11</v>
      </c>
      <c r="H8735" s="379">
        <v>0.14480167642852412</v>
      </c>
      <c r="I8735" s="25">
        <v>39.619999999999997</v>
      </c>
      <c r="J8735" s="379">
        <v>0.12145182624189477</v>
      </c>
    </row>
    <row r="8736" spans="1:10" x14ac:dyDescent="0.35">
      <c r="A8736" s="5">
        <v>8732</v>
      </c>
      <c r="B8736" s="5">
        <v>364</v>
      </c>
      <c r="C8736" s="5">
        <v>12</v>
      </c>
      <c r="D8736" s="379">
        <v>23.646666666666672</v>
      </c>
      <c r="E8736" s="25">
        <v>24.99</v>
      </c>
      <c r="F8736" s="379">
        <v>0.71049559441750065</v>
      </c>
      <c r="G8736" s="25">
        <v>44.77</v>
      </c>
      <c r="H8736" s="379">
        <v>0.14480167642852412</v>
      </c>
      <c r="I8736" s="25">
        <v>34.25</v>
      </c>
      <c r="J8736" s="379">
        <v>7.2558092144530684E-2</v>
      </c>
    </row>
    <row r="8737" spans="1:10" x14ac:dyDescent="0.35">
      <c r="A8737" s="5">
        <v>8733</v>
      </c>
      <c r="B8737" s="5">
        <v>364</v>
      </c>
      <c r="C8737" s="5">
        <v>12</v>
      </c>
      <c r="D8737" s="379">
        <v>16.54</v>
      </c>
      <c r="E8737" s="25">
        <v>24.84</v>
      </c>
      <c r="F8737" s="379">
        <v>0.47222222222222221</v>
      </c>
      <c r="G8737" s="25">
        <v>43.72</v>
      </c>
      <c r="H8737" s="379">
        <v>2.1179239275206396</v>
      </c>
      <c r="I8737" s="25">
        <v>33.74</v>
      </c>
      <c r="J8737" s="379">
        <v>8.4823337588101913E-2</v>
      </c>
    </row>
    <row r="8738" spans="1:10" x14ac:dyDescent="0.35">
      <c r="A8738" s="5">
        <v>8734</v>
      </c>
      <c r="B8738" s="5">
        <v>364</v>
      </c>
      <c r="C8738" s="5">
        <v>12</v>
      </c>
      <c r="D8738" s="379">
        <v>13.681111111111109</v>
      </c>
      <c r="E8738" s="25">
        <v>24.84</v>
      </c>
      <c r="F8738" s="379">
        <v>0.47222222222222221</v>
      </c>
      <c r="G8738" s="25">
        <v>43.39</v>
      </c>
      <c r="H8738" s="379">
        <v>2.1179239275206396</v>
      </c>
      <c r="I8738" s="25">
        <v>33.67</v>
      </c>
      <c r="J8738" s="379">
        <v>3.0025248329588472E-2</v>
      </c>
    </row>
    <row r="8739" spans="1:10" x14ac:dyDescent="0.35">
      <c r="A8739" s="5">
        <v>8735</v>
      </c>
      <c r="B8739" s="5">
        <v>364</v>
      </c>
      <c r="C8739" s="5">
        <v>12</v>
      </c>
      <c r="D8739" s="379">
        <v>11.434444444444445</v>
      </c>
      <c r="E8739" s="25">
        <v>24.84</v>
      </c>
      <c r="F8739" s="379">
        <v>0.47222222222222227</v>
      </c>
      <c r="G8739" s="25">
        <v>43.39</v>
      </c>
      <c r="H8739" s="379">
        <v>2.1179239275206396</v>
      </c>
      <c r="I8739" s="25">
        <v>33.67</v>
      </c>
      <c r="J8739" s="379">
        <v>0.10891050022432833</v>
      </c>
    </row>
    <row r="8740" spans="1:10" x14ac:dyDescent="0.35">
      <c r="A8740" s="5">
        <v>8736</v>
      </c>
      <c r="B8740" s="5">
        <v>364</v>
      </c>
      <c r="C8740" s="5">
        <v>12</v>
      </c>
      <c r="D8740" s="379">
        <v>6.9511111111111115</v>
      </c>
      <c r="E8740" s="25">
        <v>24.84</v>
      </c>
      <c r="F8740" s="379">
        <v>0.3532055538546533</v>
      </c>
      <c r="G8740" s="25">
        <v>42.95</v>
      </c>
      <c r="H8740" s="379">
        <v>2.1179239275206396</v>
      </c>
      <c r="I8740" s="25">
        <v>33.67</v>
      </c>
      <c r="J8740" s="379">
        <v>7.817412427067863E-2</v>
      </c>
    </row>
    <row r="8741" spans="1:10" x14ac:dyDescent="0.35">
      <c r="A8741" s="5">
        <v>8737</v>
      </c>
      <c r="B8741" s="5">
        <v>365</v>
      </c>
      <c r="C8741" s="5">
        <v>12</v>
      </c>
      <c r="D8741" s="379">
        <v>12.552777777777779</v>
      </c>
      <c r="E8741" s="25">
        <v>24.84</v>
      </c>
      <c r="F8741" s="379">
        <v>0.20080933940657675</v>
      </c>
      <c r="G8741" s="25">
        <v>39.200000000000003</v>
      </c>
      <c r="H8741" s="379">
        <v>2.1179239275206396</v>
      </c>
      <c r="I8741" s="25">
        <v>33.67</v>
      </c>
      <c r="J8741" s="379">
        <v>3.4013872270762704E-2</v>
      </c>
    </row>
    <row r="8742" spans="1:10" x14ac:dyDescent="0.35">
      <c r="A8742" s="5">
        <v>8738</v>
      </c>
      <c r="B8742" s="5">
        <v>365</v>
      </c>
      <c r="C8742" s="5">
        <v>12</v>
      </c>
      <c r="D8742" s="379">
        <v>13.338888888888889</v>
      </c>
      <c r="E8742" s="25">
        <v>24.84</v>
      </c>
      <c r="F8742" s="379">
        <v>0.25617760211776652</v>
      </c>
      <c r="G8742" s="25">
        <v>32.67</v>
      </c>
      <c r="H8742" s="379">
        <v>2.1179239275206396</v>
      </c>
      <c r="I8742" s="25">
        <v>33.67</v>
      </c>
      <c r="J8742" s="379">
        <v>2.777777777777778E-2</v>
      </c>
    </row>
    <row r="8743" spans="1:10" x14ac:dyDescent="0.35">
      <c r="A8743" s="5">
        <v>8739</v>
      </c>
      <c r="B8743" s="5">
        <v>365</v>
      </c>
      <c r="C8743" s="5">
        <v>12</v>
      </c>
      <c r="D8743" s="379">
        <v>13.773888888888887</v>
      </c>
      <c r="E8743" s="25">
        <v>24.73</v>
      </c>
      <c r="F8743" s="379">
        <v>0.24087739870462002</v>
      </c>
      <c r="G8743" s="25">
        <v>32.35</v>
      </c>
      <c r="H8743" s="379">
        <v>2.1179239275206396</v>
      </c>
      <c r="I8743" s="25">
        <v>33.67</v>
      </c>
      <c r="J8743" s="379">
        <v>3.2148772308148048E-2</v>
      </c>
    </row>
    <row r="8744" spans="1:10" x14ac:dyDescent="0.35">
      <c r="A8744" s="5">
        <v>8740</v>
      </c>
      <c r="B8744" s="5">
        <v>365</v>
      </c>
      <c r="C8744" s="5">
        <v>12</v>
      </c>
      <c r="D8744" s="379">
        <v>14.350000000000001</v>
      </c>
      <c r="E8744" s="25">
        <v>24.73</v>
      </c>
      <c r="F8744" s="379">
        <v>0.19802697257721472</v>
      </c>
      <c r="G8744" s="25">
        <v>31.84</v>
      </c>
      <c r="H8744" s="379">
        <v>2.1179239275206396</v>
      </c>
      <c r="I8744" s="25">
        <v>33.67</v>
      </c>
      <c r="J8744" s="379">
        <v>4.4731953020373492E-2</v>
      </c>
    </row>
    <row r="8745" spans="1:10" x14ac:dyDescent="0.35">
      <c r="A8745" s="5">
        <v>8741</v>
      </c>
      <c r="B8745" s="5">
        <v>365</v>
      </c>
      <c r="C8745" s="5">
        <v>12</v>
      </c>
      <c r="D8745" s="379">
        <v>13.921666666666665</v>
      </c>
      <c r="E8745" s="25">
        <v>24.73</v>
      </c>
      <c r="F8745" s="379">
        <v>0.19952445458907217</v>
      </c>
      <c r="G8745" s="25">
        <v>31.84</v>
      </c>
      <c r="H8745" s="379">
        <v>2.1179239275206396</v>
      </c>
      <c r="I8745" s="25">
        <v>33.67</v>
      </c>
      <c r="J8745" s="379">
        <v>7.817412427067863E-2</v>
      </c>
    </row>
    <row r="8746" spans="1:10" x14ac:dyDescent="0.35">
      <c r="A8746" s="5">
        <v>8742</v>
      </c>
      <c r="B8746" s="5">
        <v>365</v>
      </c>
      <c r="C8746" s="5">
        <v>12</v>
      </c>
      <c r="D8746" s="379">
        <v>16.626666666666669</v>
      </c>
      <c r="E8746" s="25">
        <v>24.84</v>
      </c>
      <c r="F8746" s="379">
        <v>0.21036147052782905</v>
      </c>
      <c r="G8746" s="25">
        <v>31.84</v>
      </c>
      <c r="H8746" s="379">
        <v>2.1489510259609013</v>
      </c>
      <c r="I8746" s="25">
        <v>33.67</v>
      </c>
      <c r="J8746" s="379">
        <v>7.817412427067863E-2</v>
      </c>
    </row>
    <row r="8747" spans="1:10" x14ac:dyDescent="0.35">
      <c r="A8747" s="5">
        <v>8743</v>
      </c>
      <c r="B8747" s="5">
        <v>365</v>
      </c>
      <c r="C8747" s="5">
        <v>12</v>
      </c>
      <c r="D8747" s="379">
        <v>17.905555555555559</v>
      </c>
      <c r="E8747" s="25">
        <v>24.84</v>
      </c>
      <c r="F8747" s="379">
        <v>0.17781359478830344</v>
      </c>
      <c r="G8747" s="25">
        <v>39.200000000000003</v>
      </c>
      <c r="H8747" s="379">
        <v>2.4644097064148842</v>
      </c>
      <c r="I8747" s="25">
        <v>33.67</v>
      </c>
      <c r="J8747" s="379">
        <v>1.4104516054006415</v>
      </c>
    </row>
    <row r="8748" spans="1:10" x14ac:dyDescent="0.35">
      <c r="A8748" s="5">
        <v>8744</v>
      </c>
      <c r="B8748" s="5">
        <v>365</v>
      </c>
      <c r="C8748" s="5">
        <v>12</v>
      </c>
      <c r="D8748" s="379">
        <v>15.823333333333332</v>
      </c>
      <c r="E8748" s="25">
        <v>24.84</v>
      </c>
      <c r="F8748" s="379">
        <v>0.38110863639895121</v>
      </c>
      <c r="G8748" s="25">
        <v>39.590000000000003</v>
      </c>
      <c r="H8748" s="379">
        <v>0.14480167642852412</v>
      </c>
      <c r="I8748" s="25">
        <v>33.67</v>
      </c>
      <c r="J8748" s="379">
        <v>9.1979960076921385E-2</v>
      </c>
    </row>
    <row r="8749" spans="1:10" x14ac:dyDescent="0.35">
      <c r="A8749" s="5">
        <v>8745</v>
      </c>
      <c r="B8749" s="5">
        <v>365</v>
      </c>
      <c r="C8749" s="5">
        <v>12</v>
      </c>
      <c r="D8749" s="379">
        <v>20.824999999999999</v>
      </c>
      <c r="E8749" s="25">
        <v>25.29</v>
      </c>
      <c r="F8749" s="379">
        <v>0.65808670058311347</v>
      </c>
      <c r="G8749" s="25">
        <v>44.69</v>
      </c>
      <c r="H8749" s="379">
        <v>0.14480167642852412</v>
      </c>
      <c r="I8749" s="25">
        <v>33.74</v>
      </c>
      <c r="J8749" s="379">
        <v>1.4537293073718576</v>
      </c>
    </row>
    <row r="8750" spans="1:10" x14ac:dyDescent="0.35">
      <c r="A8750" s="5">
        <v>8746</v>
      </c>
      <c r="B8750" s="5">
        <v>365</v>
      </c>
      <c r="C8750" s="5">
        <v>12</v>
      </c>
      <c r="D8750" s="379">
        <v>24.298888888888889</v>
      </c>
      <c r="E8750" s="25">
        <v>25.29</v>
      </c>
      <c r="F8750" s="379">
        <v>3.5476414921487653</v>
      </c>
      <c r="G8750" s="25">
        <v>44.69</v>
      </c>
      <c r="H8750" s="379">
        <v>3.6755933457386925</v>
      </c>
      <c r="I8750" s="25">
        <v>33.74</v>
      </c>
      <c r="J8750" s="379">
        <v>1.4537293073718576</v>
      </c>
    </row>
    <row r="8751" spans="1:10" x14ac:dyDescent="0.35">
      <c r="A8751" s="5">
        <v>8747</v>
      </c>
      <c r="B8751" s="5">
        <v>365</v>
      </c>
      <c r="C8751" s="5">
        <v>12</v>
      </c>
      <c r="D8751" s="379">
        <v>24.436666666666667</v>
      </c>
      <c r="E8751" s="25">
        <v>25.29</v>
      </c>
      <c r="F8751" s="379">
        <v>3.5445609904706958</v>
      </c>
      <c r="G8751" s="25">
        <v>43.62</v>
      </c>
      <c r="H8751" s="379">
        <v>3.5562139120548246</v>
      </c>
      <c r="I8751" s="25">
        <v>33.67</v>
      </c>
      <c r="J8751" s="379">
        <v>1.3605549470073204</v>
      </c>
    </row>
    <row r="8752" spans="1:10" x14ac:dyDescent="0.35">
      <c r="A8752" s="5">
        <v>8748</v>
      </c>
      <c r="B8752" s="5">
        <v>365</v>
      </c>
      <c r="C8752" s="5">
        <v>12</v>
      </c>
      <c r="D8752" s="379">
        <v>26.06444444444444</v>
      </c>
      <c r="E8752" s="25">
        <v>24.84</v>
      </c>
      <c r="F8752" s="379">
        <v>3.5445609904706958</v>
      </c>
      <c r="G8752" s="25">
        <v>43.47</v>
      </c>
      <c r="H8752" s="379">
        <v>3.3754387716384575</v>
      </c>
      <c r="I8752" s="25">
        <v>33.67</v>
      </c>
      <c r="J8752" s="379">
        <v>1.3605549470073204</v>
      </c>
    </row>
    <row r="8753" spans="1:10" x14ac:dyDescent="0.35">
      <c r="A8753" s="5">
        <v>8749</v>
      </c>
      <c r="B8753" s="5">
        <v>365</v>
      </c>
      <c r="C8753" s="5">
        <v>12</v>
      </c>
      <c r="D8753" s="379">
        <v>26.698333333333334</v>
      </c>
      <c r="E8753" s="25">
        <v>24.84</v>
      </c>
      <c r="F8753" s="379">
        <v>3.5445609904706958</v>
      </c>
      <c r="G8753" s="25">
        <v>43.47</v>
      </c>
      <c r="H8753" s="379">
        <v>3.3754387716384575</v>
      </c>
      <c r="I8753" s="25">
        <v>33.67</v>
      </c>
      <c r="J8753" s="379">
        <v>1.2256952826395657</v>
      </c>
    </row>
    <row r="8754" spans="1:10" x14ac:dyDescent="0.35">
      <c r="A8754" s="5">
        <v>8750</v>
      </c>
      <c r="B8754" s="5">
        <v>365</v>
      </c>
      <c r="C8754" s="5">
        <v>12</v>
      </c>
      <c r="D8754" s="379">
        <v>26.496666666666666</v>
      </c>
      <c r="E8754" s="25">
        <v>24.84</v>
      </c>
      <c r="F8754" s="379">
        <v>3.5445609904706958</v>
      </c>
      <c r="G8754" s="25">
        <v>43.47</v>
      </c>
      <c r="H8754" s="379">
        <v>3.3754387716384575</v>
      </c>
      <c r="I8754" s="25">
        <v>33.67</v>
      </c>
      <c r="J8754" s="379">
        <v>1.2256952826395657</v>
      </c>
    </row>
    <row r="8755" spans="1:10" x14ac:dyDescent="0.35">
      <c r="A8755" s="5">
        <v>8751</v>
      </c>
      <c r="B8755" s="5">
        <v>365</v>
      </c>
      <c r="C8755" s="5">
        <v>12</v>
      </c>
      <c r="D8755" s="379">
        <v>26.620555555555551</v>
      </c>
      <c r="E8755" s="25">
        <v>24.84</v>
      </c>
      <c r="F8755" s="379">
        <v>0.47222222222222221</v>
      </c>
      <c r="G8755" s="25">
        <v>43.47</v>
      </c>
      <c r="H8755" s="379">
        <v>3.5726312697364637</v>
      </c>
      <c r="I8755" s="25">
        <v>33.67</v>
      </c>
      <c r="J8755" s="379">
        <v>1.2663831765394373</v>
      </c>
    </row>
    <row r="8756" spans="1:10" x14ac:dyDescent="0.35">
      <c r="A8756" s="5">
        <v>8752</v>
      </c>
      <c r="B8756" s="5">
        <v>365</v>
      </c>
      <c r="C8756" s="5">
        <v>12</v>
      </c>
      <c r="D8756" s="379">
        <v>30.411111111111115</v>
      </c>
      <c r="E8756" s="25">
        <v>24.84</v>
      </c>
      <c r="F8756" s="379">
        <v>8.3474830814740102</v>
      </c>
      <c r="G8756" s="25">
        <v>44.69</v>
      </c>
      <c r="H8756" s="379">
        <v>7.1493637122841651</v>
      </c>
      <c r="I8756" s="25">
        <v>33.74</v>
      </c>
      <c r="J8756" s="379">
        <v>4.6748792824430492</v>
      </c>
    </row>
    <row r="8757" spans="1:10" x14ac:dyDescent="0.35">
      <c r="A8757" s="5">
        <v>8753</v>
      </c>
      <c r="B8757" s="5">
        <v>365</v>
      </c>
      <c r="C8757" s="5">
        <v>12</v>
      </c>
      <c r="D8757" s="379">
        <v>31.983333333333327</v>
      </c>
      <c r="E8757" s="25">
        <v>25.74</v>
      </c>
      <c r="F8757" s="379">
        <v>9.1012240421678605</v>
      </c>
      <c r="G8757" s="25">
        <v>46.11</v>
      </c>
      <c r="H8757" s="379">
        <v>9.5495231334561694</v>
      </c>
      <c r="I8757" s="25">
        <v>48.86</v>
      </c>
      <c r="J8757" s="379">
        <v>4.1453423682365891</v>
      </c>
    </row>
    <row r="8758" spans="1:10" x14ac:dyDescent="0.35">
      <c r="A8758" s="5">
        <v>8754</v>
      </c>
      <c r="B8758" s="5">
        <v>365</v>
      </c>
      <c r="C8758" s="5">
        <v>12</v>
      </c>
      <c r="D8758" s="379">
        <v>34.362222222222222</v>
      </c>
      <c r="E8758" s="25">
        <v>25.74</v>
      </c>
      <c r="F8758" s="379">
        <v>9.0848741666771531</v>
      </c>
      <c r="G8758" s="25">
        <v>51.14</v>
      </c>
      <c r="H8758" s="379">
        <v>10.201387176628559</v>
      </c>
      <c r="I8758" s="25">
        <v>53.71</v>
      </c>
      <c r="J8758" s="379">
        <v>0.67298060052864594</v>
      </c>
    </row>
    <row r="8759" spans="1:10" x14ac:dyDescent="0.35">
      <c r="A8759" s="5">
        <v>8755</v>
      </c>
      <c r="B8759" s="5">
        <v>365</v>
      </c>
      <c r="C8759" s="5">
        <v>12</v>
      </c>
      <c r="D8759" s="379">
        <v>32.79</v>
      </c>
      <c r="E8759" s="25">
        <v>25.74</v>
      </c>
      <c r="F8759" s="379">
        <v>8.9150767831955395</v>
      </c>
      <c r="G8759" s="25">
        <v>52.67</v>
      </c>
      <c r="H8759" s="379">
        <v>9.6982377755418856</v>
      </c>
      <c r="I8759" s="25">
        <v>54.87</v>
      </c>
      <c r="J8759" s="379">
        <v>1.4372972939619095</v>
      </c>
    </row>
    <row r="8760" spans="1:10" x14ac:dyDescent="0.35">
      <c r="A8760" s="5">
        <v>8756</v>
      </c>
      <c r="B8760" s="5">
        <v>365</v>
      </c>
      <c r="C8760" s="5">
        <v>12</v>
      </c>
      <c r="D8760" s="379">
        <v>31.336111111111109</v>
      </c>
      <c r="E8760" s="25">
        <v>25.74</v>
      </c>
      <c r="F8760" s="379">
        <v>9.0480213420219044</v>
      </c>
      <c r="G8760" s="25">
        <v>50.35</v>
      </c>
      <c r="H8760" s="379">
        <v>9.5810618988869525</v>
      </c>
      <c r="I8760" s="25">
        <v>53.71</v>
      </c>
      <c r="J8760" s="379">
        <v>2.7263770057530943</v>
      </c>
    </row>
    <row r="8761" spans="1:10" x14ac:dyDescent="0.35">
      <c r="A8761" s="5">
        <v>8757</v>
      </c>
      <c r="B8761" s="5">
        <v>365</v>
      </c>
      <c r="C8761" s="5">
        <v>12</v>
      </c>
      <c r="D8761" s="379">
        <v>26.947222222222223</v>
      </c>
      <c r="E8761" s="25">
        <v>25.59</v>
      </c>
      <c r="F8761" s="379">
        <v>9.0274337924948469</v>
      </c>
      <c r="G8761" s="25">
        <v>47.85</v>
      </c>
      <c r="H8761" s="379">
        <v>8.8932885088874283</v>
      </c>
      <c r="I8761" s="25">
        <v>53.27</v>
      </c>
      <c r="J8761" s="379">
        <v>3.090348192086215</v>
      </c>
    </row>
    <row r="8762" spans="1:10" x14ac:dyDescent="0.35">
      <c r="A8762" s="5">
        <v>8758</v>
      </c>
      <c r="B8762" s="5">
        <v>365</v>
      </c>
      <c r="C8762" s="5">
        <v>12</v>
      </c>
      <c r="D8762" s="379">
        <v>25.614999999999995</v>
      </c>
      <c r="E8762" s="25">
        <v>24.99</v>
      </c>
      <c r="F8762" s="379">
        <v>9.0126684626476834</v>
      </c>
      <c r="G8762" s="25">
        <v>46.11</v>
      </c>
      <c r="H8762" s="379">
        <v>9.3908403616058092</v>
      </c>
      <c r="I8762" s="25">
        <v>48.86</v>
      </c>
      <c r="J8762" s="379">
        <v>3.8589013212509018</v>
      </c>
    </row>
    <row r="8763" spans="1:10" x14ac:dyDescent="0.35">
      <c r="A8763" s="5">
        <v>8759</v>
      </c>
      <c r="B8763" s="5">
        <v>365</v>
      </c>
      <c r="C8763" s="5">
        <v>12</v>
      </c>
      <c r="D8763" s="379">
        <v>22.697222222222223</v>
      </c>
      <c r="E8763" s="25">
        <v>25.59</v>
      </c>
      <c r="F8763" s="379">
        <v>8.5646440860699382</v>
      </c>
      <c r="G8763" s="25">
        <v>44.45</v>
      </c>
      <c r="H8763" s="379">
        <v>9.5130217115381281</v>
      </c>
      <c r="I8763" s="25">
        <v>46.69</v>
      </c>
      <c r="J8763" s="379">
        <v>3.7487252077614426</v>
      </c>
    </row>
    <row r="8764" spans="1:10" x14ac:dyDescent="0.35">
      <c r="A8764" s="5">
        <v>8760</v>
      </c>
      <c r="B8764" s="5">
        <v>365</v>
      </c>
      <c r="C8764" s="5">
        <v>12</v>
      </c>
      <c r="D8764" s="379">
        <v>15.398888888888889</v>
      </c>
      <c r="E8764" s="25">
        <v>25.29</v>
      </c>
      <c r="F8764" s="379">
        <v>8.1174834595959595</v>
      </c>
      <c r="G8764" s="25">
        <v>43.56</v>
      </c>
      <c r="H8764" s="379">
        <v>9.3440527654129095</v>
      </c>
      <c r="I8764" s="25">
        <v>45.43</v>
      </c>
      <c r="J8764" s="379">
        <v>4.2213214262121062</v>
      </c>
    </row>
  </sheetData>
  <mergeCells count="1">
    <mergeCell ref="A4:C4"/>
  </mergeCells>
  <conditionalFormatting sqref="D5:D8764">
    <cfRule type="colorScale" priority="1">
      <colorScale>
        <cfvo type="min"/>
        <cfvo type="percentile" val="50"/>
        <cfvo type="max"/>
        <color rgb="FFF8696B"/>
        <color rgb="FFFCFCFF"/>
        <color rgb="FF63BE7B"/>
      </colorScale>
    </cfRule>
  </conditionalFormatting>
  <pageMargins left="0.7" right="0.7" top="0.75" bottom="0.75" header="0.3" footer="0.3"/>
  <pageSetup orientation="portrait" horizontalDpi="1200" verticalDpi="1200"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sheetPr codeName="Sheet16">
    <tabColor rgb="FF0070C0"/>
  </sheetPr>
  <dimension ref="A1:X7"/>
  <sheetViews>
    <sheetView topLeftCell="C1" workbookViewId="0">
      <selection activeCell="X6" sqref="X6"/>
    </sheetView>
  </sheetViews>
  <sheetFormatPr defaultColWidth="8.90625" defaultRowHeight="14.5" x14ac:dyDescent="0.35"/>
  <cols>
    <col min="1" max="8" width="9.90625" style="1" customWidth="1"/>
    <col min="9" max="9" width="23.453125" style="1" customWidth="1"/>
    <col min="10" max="10" width="25.08984375" style="1" customWidth="1"/>
    <col min="11" max="11" width="17.453125" style="1" bestFit="1" customWidth="1"/>
    <col min="12" max="12" width="10.90625" style="1" bestFit="1" customWidth="1"/>
    <col min="13" max="13" width="8.90625" style="1" bestFit="1" customWidth="1"/>
    <col min="14" max="14" width="8.453125" style="1" bestFit="1" customWidth="1"/>
    <col min="15" max="15" width="8.08984375" style="1" bestFit="1" customWidth="1"/>
    <col min="16" max="16" width="12.54296875" style="1" bestFit="1" customWidth="1"/>
    <col min="17" max="17" width="11.08984375" style="1" bestFit="1" customWidth="1"/>
    <col min="18" max="18" width="9.54296875" style="1" bestFit="1" customWidth="1"/>
    <col min="19" max="16384" width="8.90625" style="1"/>
  </cols>
  <sheetData>
    <row r="1" spans="1:24" ht="15" customHeight="1" x14ac:dyDescent="0.35">
      <c r="A1" s="410" t="s">
        <v>1902</v>
      </c>
      <c r="B1" s="410"/>
      <c r="C1" s="410"/>
      <c r="D1" s="410"/>
      <c r="E1" s="410"/>
      <c r="F1" s="410"/>
      <c r="G1" s="410"/>
      <c r="H1" s="410"/>
      <c r="I1" s="410"/>
      <c r="J1" s="31"/>
      <c r="K1" s="31"/>
      <c r="L1" s="31"/>
      <c r="M1" s="31"/>
      <c r="N1" s="31"/>
      <c r="O1" s="31"/>
      <c r="P1" s="31"/>
      <c r="Q1" s="31"/>
    </row>
    <row r="2" spans="1:24" ht="30" customHeight="1" x14ac:dyDescent="0.35">
      <c r="A2" s="147"/>
      <c r="B2" s="432" t="s">
        <v>1903</v>
      </c>
      <c r="C2" s="432"/>
      <c r="D2" s="432"/>
      <c r="E2" s="432"/>
      <c r="F2" s="432"/>
      <c r="G2" s="432"/>
      <c r="H2" s="432"/>
      <c r="I2" s="144" t="s">
        <v>1904</v>
      </c>
      <c r="J2" s="143" t="s">
        <v>1905</v>
      </c>
      <c r="K2" s="433" t="s">
        <v>1906</v>
      </c>
      <c r="L2" s="433"/>
      <c r="M2" s="433"/>
      <c r="N2" s="433"/>
      <c r="O2" s="433"/>
      <c r="P2" s="433"/>
      <c r="Q2" s="157" t="s">
        <v>17</v>
      </c>
      <c r="R2" s="432" t="s">
        <v>1907</v>
      </c>
      <c r="S2" s="432"/>
      <c r="T2" s="432"/>
      <c r="U2" s="432"/>
      <c r="V2" s="432"/>
      <c r="W2" s="432"/>
      <c r="X2" s="432"/>
    </row>
    <row r="3" spans="1:24" ht="30" customHeight="1" x14ac:dyDescent="0.35">
      <c r="A3" s="147"/>
      <c r="B3" s="158">
        <f>Parameters!$B$13</f>
        <v>2022</v>
      </c>
      <c r="C3" s="158">
        <v>2025</v>
      </c>
      <c r="D3" s="158">
        <v>2030</v>
      </c>
      <c r="E3" s="158">
        <v>2035</v>
      </c>
      <c r="F3" s="158">
        <v>2040</v>
      </c>
      <c r="G3" s="158">
        <v>2045</v>
      </c>
      <c r="H3" s="158">
        <v>2050</v>
      </c>
      <c r="I3" s="152" t="s">
        <v>1908</v>
      </c>
      <c r="J3" s="153" t="s">
        <v>1908</v>
      </c>
      <c r="K3" s="159" t="s">
        <v>1909</v>
      </c>
      <c r="L3" s="159" t="s">
        <v>727</v>
      </c>
      <c r="M3" s="159" t="s">
        <v>1910</v>
      </c>
      <c r="N3" s="159" t="s">
        <v>1911</v>
      </c>
      <c r="O3" s="159" t="s">
        <v>741</v>
      </c>
      <c r="P3" s="159" t="s">
        <v>1912</v>
      </c>
      <c r="Q3" s="148"/>
      <c r="R3" s="158">
        <f>Parameters!$B$13</f>
        <v>2022</v>
      </c>
      <c r="S3" s="158">
        <v>2025</v>
      </c>
      <c r="T3" s="158">
        <v>2030</v>
      </c>
      <c r="U3" s="158">
        <v>2035</v>
      </c>
      <c r="V3" s="158">
        <v>2040</v>
      </c>
      <c r="W3" s="158">
        <v>2045</v>
      </c>
      <c r="X3" s="158">
        <v>2050</v>
      </c>
    </row>
    <row r="4" spans="1:24" x14ac:dyDescent="0.35">
      <c r="A4" s="12" t="s">
        <v>305</v>
      </c>
      <c r="B4" s="431" t="s">
        <v>1913</v>
      </c>
      <c r="C4" s="431"/>
      <c r="D4" s="431"/>
      <c r="E4" s="431"/>
      <c r="F4" s="431"/>
      <c r="G4" s="431"/>
      <c r="H4" s="431"/>
      <c r="I4" s="154" t="s">
        <v>1914</v>
      </c>
      <c r="J4" s="155" t="s">
        <v>1914</v>
      </c>
      <c r="K4" s="434" t="s">
        <v>1915</v>
      </c>
      <c r="L4" s="434"/>
      <c r="M4" s="434"/>
      <c r="N4" s="434"/>
      <c r="O4" s="434"/>
      <c r="P4" s="434"/>
      <c r="Q4" s="156" t="s">
        <v>26</v>
      </c>
      <c r="R4" s="431" t="s">
        <v>1913</v>
      </c>
      <c r="S4" s="431"/>
      <c r="T4" s="431"/>
      <c r="U4" s="431"/>
      <c r="V4" s="431"/>
      <c r="W4" s="431"/>
      <c r="X4" s="431"/>
    </row>
    <row r="5" spans="1:24" x14ac:dyDescent="0.35">
      <c r="A5" s="33" t="s">
        <v>320</v>
      </c>
      <c r="B5" s="215">
        <v>500</v>
      </c>
      <c r="C5" s="215">
        <v>500</v>
      </c>
      <c r="D5" s="215">
        <f>235-(235-$H$5)/5</f>
        <v>191.64</v>
      </c>
      <c r="E5" s="215">
        <f>D5-(235-$H$5)/5</f>
        <v>148.27999999999997</v>
      </c>
      <c r="F5" s="215">
        <f t="shared" ref="F5:G5" si="0">E5-(235-$H$5)/5</f>
        <v>104.91999999999997</v>
      </c>
      <c r="G5" s="215">
        <f t="shared" si="0"/>
        <v>61.559999999999974</v>
      </c>
      <c r="H5" s="358">
        <v>18.2</v>
      </c>
      <c r="I5" s="160">
        <v>3300</v>
      </c>
      <c r="J5" s="161">
        <v>1200</v>
      </c>
      <c r="K5" s="162">
        <v>14.1</v>
      </c>
      <c r="L5" s="162">
        <v>19.100000000000001</v>
      </c>
      <c r="M5" s="162">
        <v>1.9</v>
      </c>
      <c r="N5" s="162">
        <v>22.4</v>
      </c>
      <c r="O5" s="162">
        <v>31.4</v>
      </c>
      <c r="P5" s="162">
        <v>13.9</v>
      </c>
      <c r="Q5" s="79" t="s">
        <v>502</v>
      </c>
      <c r="R5" s="217">
        <v>1000</v>
      </c>
      <c r="S5" s="217">
        <f>C5+200</f>
        <v>700</v>
      </c>
      <c r="T5" s="217">
        <f>121+(46+29)</f>
        <v>196</v>
      </c>
      <c r="U5" s="393">
        <f>($X$5-$T$5)/($X$3-$T$3)*(U$3-T$3)+T$5</f>
        <v>153.05000000000001</v>
      </c>
      <c r="V5" s="393">
        <f t="shared" ref="V5:W5" si="1">($X$5-$T$5)/($X$3-$T$3)*(V$3-U$3)+U$5</f>
        <v>110.10000000000001</v>
      </c>
      <c r="W5" s="393">
        <f t="shared" si="1"/>
        <v>67.150000000000006</v>
      </c>
      <c r="X5" s="409">
        <v>24.2</v>
      </c>
    </row>
    <row r="6" spans="1:24" x14ac:dyDescent="0.35">
      <c r="A6" s="14" t="s">
        <v>409</v>
      </c>
      <c r="B6" s="109">
        <v>2000</v>
      </c>
      <c r="C6" s="109">
        <v>2000</v>
      </c>
      <c r="D6" s="109">
        <v>2000</v>
      </c>
      <c r="E6" s="109">
        <v>2000</v>
      </c>
      <c r="F6" s="109">
        <v>2000</v>
      </c>
      <c r="G6" s="109">
        <v>2000</v>
      </c>
      <c r="H6" s="109">
        <v>2000</v>
      </c>
      <c r="I6" s="146"/>
      <c r="J6" s="145"/>
      <c r="K6" s="14"/>
      <c r="L6" s="14"/>
      <c r="M6" s="14"/>
      <c r="N6" s="14"/>
      <c r="O6" s="14"/>
      <c r="P6" s="14"/>
      <c r="Q6" s="80" t="s">
        <v>502</v>
      </c>
      <c r="R6" s="1">
        <f>B6*2</f>
        <v>4000</v>
      </c>
      <c r="S6" s="1">
        <f t="shared" ref="S6:X7" si="2">C6*2</f>
        <v>4000</v>
      </c>
      <c r="T6" s="1">
        <f t="shared" si="2"/>
        <v>4000</v>
      </c>
      <c r="U6" s="1">
        <f t="shared" si="2"/>
        <v>4000</v>
      </c>
      <c r="V6" s="1">
        <f t="shared" si="2"/>
        <v>4000</v>
      </c>
      <c r="W6" s="1">
        <f t="shared" si="2"/>
        <v>4000</v>
      </c>
      <c r="X6" s="1">
        <f>H6*2</f>
        <v>4000</v>
      </c>
    </row>
    <row r="7" spans="1:24" x14ac:dyDescent="0.35">
      <c r="A7" s="1" t="s">
        <v>554</v>
      </c>
      <c r="B7" s="109">
        <v>2000</v>
      </c>
      <c r="C7" s="109">
        <v>2000</v>
      </c>
      <c r="D7" s="109">
        <v>2000</v>
      </c>
      <c r="E7" s="109">
        <v>2000</v>
      </c>
      <c r="F7" s="109">
        <v>2000</v>
      </c>
      <c r="G7" s="109">
        <v>2000</v>
      </c>
      <c r="H7" s="109">
        <v>2000</v>
      </c>
      <c r="Q7" s="79" t="s">
        <v>502</v>
      </c>
      <c r="R7" s="1">
        <f>B7*2</f>
        <v>4000</v>
      </c>
      <c r="S7" s="1">
        <f t="shared" si="2"/>
        <v>4000</v>
      </c>
      <c r="T7" s="1">
        <f t="shared" si="2"/>
        <v>4000</v>
      </c>
      <c r="U7" s="1">
        <f t="shared" si="2"/>
        <v>4000</v>
      </c>
      <c r="V7" s="1">
        <f t="shared" si="2"/>
        <v>4000</v>
      </c>
      <c r="W7" s="1">
        <f t="shared" si="2"/>
        <v>4000</v>
      </c>
      <c r="X7" s="1">
        <f t="shared" si="2"/>
        <v>4000</v>
      </c>
    </row>
  </sheetData>
  <mergeCells count="7">
    <mergeCell ref="A1:I1"/>
    <mergeCell ref="R4:X4"/>
    <mergeCell ref="R2:X2"/>
    <mergeCell ref="B4:H4"/>
    <mergeCell ref="B2:H2"/>
    <mergeCell ref="K2:P2"/>
    <mergeCell ref="K4:P4"/>
  </mergeCells>
  <pageMargins left="0.7" right="0.7" top="0.75" bottom="0.75" header="0.3" footer="0.3"/>
  <pageSetup orientation="portrait" r:id="rId1"/>
  <legacy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sheetPr codeName="Sheet2">
    <tabColor theme="7"/>
  </sheetPr>
  <dimension ref="A1:E37"/>
  <sheetViews>
    <sheetView workbookViewId="0">
      <selection activeCell="H29" sqref="H29"/>
    </sheetView>
  </sheetViews>
  <sheetFormatPr defaultColWidth="8.90625" defaultRowHeight="14.5" x14ac:dyDescent="0.35"/>
  <cols>
    <col min="1" max="1" width="50.08984375" style="1" customWidth="1"/>
    <col min="2" max="2" width="12" style="1" bestFit="1" customWidth="1"/>
    <col min="3" max="3" width="19.90625" style="1" bestFit="1" customWidth="1"/>
    <col min="4" max="4" width="7.453125" style="1" bestFit="1" customWidth="1"/>
    <col min="5" max="5" width="11.08984375" style="1" bestFit="1" customWidth="1"/>
    <col min="6" max="6" width="8.90625" style="1"/>
    <col min="7" max="8" width="9.54296875" style="1" bestFit="1" customWidth="1"/>
    <col min="9" max="16384" width="8.90625" style="1"/>
  </cols>
  <sheetData>
    <row r="1" spans="1:5" ht="15" customHeight="1" x14ac:dyDescent="0.35">
      <c r="A1" s="410" t="s">
        <v>1916</v>
      </c>
      <c r="B1" s="410"/>
      <c r="C1" s="410"/>
      <c r="D1" s="410"/>
      <c r="E1" s="410"/>
    </row>
    <row r="2" spans="1:5" x14ac:dyDescent="0.35">
      <c r="A2" s="11"/>
      <c r="B2" s="11"/>
      <c r="C2" s="11"/>
      <c r="D2" s="11"/>
      <c r="E2" s="84" t="s">
        <v>17</v>
      </c>
    </row>
    <row r="3" spans="1:5" x14ac:dyDescent="0.35">
      <c r="A3" s="12" t="s">
        <v>578</v>
      </c>
      <c r="B3" s="12" t="s">
        <v>1893</v>
      </c>
      <c r="C3" s="12" t="s">
        <v>1917</v>
      </c>
      <c r="D3" s="12" t="s">
        <v>1918</v>
      </c>
      <c r="E3" s="85" t="s">
        <v>26</v>
      </c>
    </row>
    <row r="4" spans="1:5" x14ac:dyDescent="0.35">
      <c r="A4" s="33" t="s">
        <v>1919</v>
      </c>
      <c r="B4" s="142">
        <v>70</v>
      </c>
      <c r="C4" s="33" t="s">
        <v>1771</v>
      </c>
      <c r="D4" s="33" t="s">
        <v>1920</v>
      </c>
      <c r="E4" s="79" t="s">
        <v>502</v>
      </c>
    </row>
    <row r="5" spans="1:5" x14ac:dyDescent="0.35">
      <c r="A5" s="14" t="s">
        <v>1921</v>
      </c>
      <c r="B5" s="66">
        <v>0.02</v>
      </c>
      <c r="C5" s="14" t="s">
        <v>315</v>
      </c>
      <c r="D5" s="14" t="s">
        <v>1920</v>
      </c>
      <c r="E5" s="80" t="s">
        <v>502</v>
      </c>
    </row>
    <row r="6" spans="1:5" x14ac:dyDescent="0.35">
      <c r="A6" s="33" t="s">
        <v>1922</v>
      </c>
      <c r="B6" s="142">
        <v>0.05</v>
      </c>
      <c r="C6" s="33" t="s">
        <v>315</v>
      </c>
      <c r="D6" s="33" t="s">
        <v>1920</v>
      </c>
      <c r="E6" s="79" t="s">
        <v>502</v>
      </c>
    </row>
    <row r="7" spans="1:5" x14ac:dyDescent="0.35">
      <c r="A7" s="14" t="s">
        <v>1923</v>
      </c>
      <c r="B7" s="66">
        <v>0</v>
      </c>
      <c r="C7" s="14" t="s">
        <v>1924</v>
      </c>
      <c r="D7" s="14" t="s">
        <v>1920</v>
      </c>
      <c r="E7" s="80" t="s">
        <v>502</v>
      </c>
    </row>
    <row r="8" spans="1:5" x14ac:dyDescent="0.35">
      <c r="A8" s="33" t="s">
        <v>1925</v>
      </c>
      <c r="B8" s="142">
        <f>3000/3.6</f>
        <v>833.33333333333326</v>
      </c>
      <c r="C8" s="33" t="s">
        <v>1926</v>
      </c>
      <c r="D8" s="33" t="s">
        <v>1927</v>
      </c>
      <c r="E8" s="79" t="s">
        <v>1928</v>
      </c>
    </row>
    <row r="9" spans="1:5" x14ac:dyDescent="0.35">
      <c r="A9" s="14" t="s">
        <v>1929</v>
      </c>
      <c r="B9" s="66">
        <v>0.9</v>
      </c>
      <c r="C9" s="14" t="s">
        <v>315</v>
      </c>
      <c r="D9" s="14" t="s">
        <v>1927</v>
      </c>
      <c r="E9" s="80" t="s">
        <v>502</v>
      </c>
    </row>
    <row r="10" spans="1:5" x14ac:dyDescent="0.35">
      <c r="A10" s="33" t="s">
        <v>1930</v>
      </c>
      <c r="B10" s="142">
        <v>4.0143999999999999E-2</v>
      </c>
      <c r="C10" s="33" t="s">
        <v>315</v>
      </c>
      <c r="D10" s="33" t="s">
        <v>1927</v>
      </c>
      <c r="E10" s="79" t="s">
        <v>502</v>
      </c>
    </row>
    <row r="11" spans="1:5" x14ac:dyDescent="0.35">
      <c r="A11" s="14" t="s">
        <v>1931</v>
      </c>
      <c r="B11" s="66">
        <v>0</v>
      </c>
      <c r="C11" s="14" t="s">
        <v>1932</v>
      </c>
      <c r="D11" s="14" t="s">
        <v>1927</v>
      </c>
      <c r="E11" s="80" t="s">
        <v>502</v>
      </c>
    </row>
    <row r="12" spans="1:5" x14ac:dyDescent="0.35">
      <c r="A12" s="33" t="s">
        <v>1933</v>
      </c>
      <c r="B12" s="67">
        <v>0.02</v>
      </c>
      <c r="C12" s="33" t="s">
        <v>640</v>
      </c>
      <c r="D12" s="33" t="s">
        <v>1934</v>
      </c>
      <c r="E12" s="79" t="s">
        <v>502</v>
      </c>
    </row>
    <row r="13" spans="1:5" x14ac:dyDescent="0.35">
      <c r="A13" s="14" t="s">
        <v>1935</v>
      </c>
      <c r="B13" s="66">
        <v>2022</v>
      </c>
      <c r="C13" s="14" t="s">
        <v>642</v>
      </c>
      <c r="D13" s="14" t="s">
        <v>1934</v>
      </c>
      <c r="E13" s="80" t="s">
        <v>502</v>
      </c>
    </row>
    <row r="14" spans="1:5" x14ac:dyDescent="0.35">
      <c r="A14" s="33" t="s">
        <v>1936</v>
      </c>
      <c r="B14" s="142">
        <v>3.8284E-3</v>
      </c>
      <c r="C14" s="33" t="s">
        <v>1937</v>
      </c>
      <c r="D14" s="33" t="s">
        <v>1927</v>
      </c>
      <c r="E14" s="79" t="s">
        <v>452</v>
      </c>
    </row>
    <row r="15" spans="1:5" x14ac:dyDescent="0.35">
      <c r="A15" s="14" t="s">
        <v>1938</v>
      </c>
      <c r="B15" s="66">
        <v>4.9858999999999997E-3</v>
      </c>
      <c r="C15" s="14" t="s">
        <v>1937</v>
      </c>
      <c r="D15" s="14" t="s">
        <v>1927</v>
      </c>
      <c r="E15" s="80" t="s">
        <v>452</v>
      </c>
    </row>
    <row r="16" spans="1:5" x14ac:dyDescent="0.35">
      <c r="A16" s="33" t="s">
        <v>1939</v>
      </c>
      <c r="B16" s="142">
        <v>6.1434000000000002E-3</v>
      </c>
      <c r="C16" s="33" t="s">
        <v>1937</v>
      </c>
      <c r="D16" s="33" t="s">
        <v>1927</v>
      </c>
      <c r="E16" s="79" t="s">
        <v>452</v>
      </c>
    </row>
    <row r="17" spans="1:5" x14ac:dyDescent="0.35">
      <c r="A17" s="14" t="s">
        <v>1940</v>
      </c>
      <c r="B17" s="66">
        <v>9.2E-6</v>
      </c>
      <c r="C17" s="14" t="s">
        <v>1941</v>
      </c>
      <c r="D17" s="14" t="s">
        <v>1927</v>
      </c>
      <c r="E17" s="80" t="s">
        <v>452</v>
      </c>
    </row>
    <row r="18" spans="1:5" x14ac:dyDescent="0.35">
      <c r="A18" s="33" t="s">
        <v>1942</v>
      </c>
      <c r="B18" s="142">
        <v>8.8000000000000004E-6</v>
      </c>
      <c r="C18" s="33" t="s">
        <v>1941</v>
      </c>
      <c r="D18" s="33" t="s">
        <v>1927</v>
      </c>
      <c r="E18" s="79" t="s">
        <v>452</v>
      </c>
    </row>
    <row r="19" spans="1:5" x14ac:dyDescent="0.35">
      <c r="A19" s="14" t="s">
        <v>1943</v>
      </c>
      <c r="B19" s="66">
        <v>7.9000000000000006E-6</v>
      </c>
      <c r="C19" s="14" t="s">
        <v>1941</v>
      </c>
      <c r="D19" s="14" t="s">
        <v>1927</v>
      </c>
      <c r="E19" s="80" t="s">
        <v>452</v>
      </c>
    </row>
    <row r="20" spans="1:5" x14ac:dyDescent="0.35">
      <c r="A20" s="33" t="s">
        <v>1944</v>
      </c>
      <c r="B20" s="142">
        <v>5.8000000000000004E-6</v>
      </c>
      <c r="C20" s="33" t="s">
        <v>1941</v>
      </c>
      <c r="D20" s="33" t="s">
        <v>1927</v>
      </c>
      <c r="E20" s="79" t="s">
        <v>452</v>
      </c>
    </row>
    <row r="21" spans="1:5" x14ac:dyDescent="0.35">
      <c r="A21" s="14" t="s">
        <v>1945</v>
      </c>
      <c r="B21" s="66">
        <v>4.6999999999999999E-6</v>
      </c>
      <c r="C21" s="14" t="s">
        <v>1941</v>
      </c>
      <c r="D21" s="14" t="s">
        <v>1927</v>
      </c>
      <c r="E21" s="80" t="s">
        <v>452</v>
      </c>
    </row>
    <row r="22" spans="1:5" x14ac:dyDescent="0.35">
      <c r="A22" s="33" t="s">
        <v>1946</v>
      </c>
      <c r="B22" s="142">
        <v>1.4E-5</v>
      </c>
      <c r="C22" s="33" t="s">
        <v>1941</v>
      </c>
      <c r="D22" s="33" t="s">
        <v>1927</v>
      </c>
      <c r="E22" s="79" t="s">
        <v>452</v>
      </c>
    </row>
    <row r="23" spans="1:5" x14ac:dyDescent="0.35">
      <c r="A23" s="14" t="s">
        <v>1947</v>
      </c>
      <c r="B23" s="66">
        <v>1.1800000000000001E-5</v>
      </c>
      <c r="C23" s="14" t="s">
        <v>1941</v>
      </c>
      <c r="D23" s="14" t="s">
        <v>1927</v>
      </c>
      <c r="E23" s="80" t="s">
        <v>452</v>
      </c>
    </row>
    <row r="24" spans="1:5" x14ac:dyDescent="0.35">
      <c r="A24" s="33" t="s">
        <v>1948</v>
      </c>
      <c r="B24" s="142">
        <v>1.06E-5</v>
      </c>
      <c r="C24" s="33" t="s">
        <v>1941</v>
      </c>
      <c r="D24" s="33" t="s">
        <v>1927</v>
      </c>
      <c r="E24" s="79" t="s">
        <v>452</v>
      </c>
    </row>
    <row r="25" spans="1:5" x14ac:dyDescent="0.35">
      <c r="A25" s="14" t="s">
        <v>1949</v>
      </c>
      <c r="B25" s="66">
        <v>7.7999999999999999E-6</v>
      </c>
      <c r="C25" s="14" t="s">
        <v>1941</v>
      </c>
      <c r="D25" s="14" t="s">
        <v>1927</v>
      </c>
      <c r="E25" s="80" t="s">
        <v>452</v>
      </c>
    </row>
    <row r="26" spans="1:5" x14ac:dyDescent="0.35">
      <c r="A26" s="33" t="s">
        <v>1950</v>
      </c>
      <c r="B26" s="142">
        <v>6.2999999999999998E-6</v>
      </c>
      <c r="C26" s="33" t="s">
        <v>1941</v>
      </c>
      <c r="D26" s="33" t="s">
        <v>1927</v>
      </c>
      <c r="E26" s="79" t="s">
        <v>452</v>
      </c>
    </row>
    <row r="27" spans="1:5" x14ac:dyDescent="0.35">
      <c r="A27" s="14" t="s">
        <v>1951</v>
      </c>
      <c r="B27" s="66">
        <v>2.1699999999999999E-5</v>
      </c>
      <c r="C27" s="14" t="s">
        <v>1941</v>
      </c>
      <c r="D27" s="14" t="s">
        <v>1927</v>
      </c>
      <c r="E27" s="80" t="s">
        <v>452</v>
      </c>
    </row>
    <row r="28" spans="1:5" x14ac:dyDescent="0.35">
      <c r="A28" s="33" t="s">
        <v>1952</v>
      </c>
      <c r="B28" s="142">
        <v>1.8600000000000001E-5</v>
      </c>
      <c r="C28" s="33" t="s">
        <v>1941</v>
      </c>
      <c r="D28" s="33" t="s">
        <v>1927</v>
      </c>
      <c r="E28" s="79" t="s">
        <v>452</v>
      </c>
    </row>
    <row r="29" spans="1:5" x14ac:dyDescent="0.35">
      <c r="A29" s="14" t="s">
        <v>1953</v>
      </c>
      <c r="B29" s="66">
        <v>1.6399999999999999E-5</v>
      </c>
      <c r="C29" s="14" t="s">
        <v>1941</v>
      </c>
      <c r="D29" s="14" t="s">
        <v>1927</v>
      </c>
      <c r="E29" s="80" t="s">
        <v>452</v>
      </c>
    </row>
    <row r="30" spans="1:5" x14ac:dyDescent="0.35">
      <c r="A30" s="33" t="s">
        <v>1954</v>
      </c>
      <c r="B30" s="142">
        <v>1.2099999999999999E-5</v>
      </c>
      <c r="C30" s="33" t="s">
        <v>1941</v>
      </c>
      <c r="D30" s="33" t="s">
        <v>1927</v>
      </c>
      <c r="E30" s="79" t="s">
        <v>452</v>
      </c>
    </row>
    <row r="31" spans="1:5" x14ac:dyDescent="0.35">
      <c r="A31" s="14" t="s">
        <v>1955</v>
      </c>
      <c r="B31" s="66">
        <v>9.7999999999999993E-6</v>
      </c>
      <c r="C31" s="14" t="s">
        <v>1941</v>
      </c>
      <c r="D31" s="14" t="s">
        <v>1927</v>
      </c>
      <c r="E31" s="80" t="s">
        <v>452</v>
      </c>
    </row>
    <row r="32" spans="1:5" x14ac:dyDescent="0.35">
      <c r="A32" s="33" t="s">
        <v>1956</v>
      </c>
      <c r="B32" s="142">
        <v>30.8</v>
      </c>
      <c r="C32" s="33" t="s">
        <v>1957</v>
      </c>
      <c r="D32" s="33" t="s">
        <v>1927</v>
      </c>
      <c r="E32" s="79" t="s">
        <v>1873</v>
      </c>
    </row>
    <row r="33" spans="1:5" x14ac:dyDescent="0.35">
      <c r="A33" s="14" t="s">
        <v>1958</v>
      </c>
      <c r="B33" s="66">
        <v>0.13800000000000001</v>
      </c>
      <c r="C33" s="14" t="s">
        <v>1959</v>
      </c>
      <c r="D33" s="14" t="s">
        <v>1927</v>
      </c>
      <c r="E33" s="80" t="s">
        <v>452</v>
      </c>
    </row>
    <row r="34" spans="1:5" x14ac:dyDescent="0.35">
      <c r="A34" s="33" t="s">
        <v>1960</v>
      </c>
      <c r="B34" s="142">
        <v>7.2700000000000001E-2</v>
      </c>
      <c r="C34" s="33" t="s">
        <v>1959</v>
      </c>
      <c r="D34" s="33" t="s">
        <v>1927</v>
      </c>
      <c r="E34" s="79" t="s">
        <v>452</v>
      </c>
    </row>
    <row r="35" spans="1:5" x14ac:dyDescent="0.35">
      <c r="A35" s="14" t="s">
        <v>1961</v>
      </c>
      <c r="B35" s="66">
        <v>5.8599999999999999E-2</v>
      </c>
      <c r="C35" s="14" t="s">
        <v>1959</v>
      </c>
      <c r="D35" s="14" t="s">
        <v>1927</v>
      </c>
      <c r="E35" s="80" t="s">
        <v>452</v>
      </c>
    </row>
    <row r="36" spans="1:5" x14ac:dyDescent="0.35">
      <c r="A36" s="33" t="s">
        <v>1962</v>
      </c>
      <c r="B36" s="142">
        <v>4.3900000000000002E-2</v>
      </c>
      <c r="C36" s="33" t="s">
        <v>1959</v>
      </c>
      <c r="D36" s="33" t="s">
        <v>1927</v>
      </c>
      <c r="E36" s="79" t="s">
        <v>452</v>
      </c>
    </row>
    <row r="37" spans="1:5" x14ac:dyDescent="0.35">
      <c r="A37" s="14" t="s">
        <v>1963</v>
      </c>
      <c r="B37" s="66">
        <v>3.61E-2</v>
      </c>
      <c r="C37" s="14" t="s">
        <v>1959</v>
      </c>
      <c r="D37" s="14" t="s">
        <v>1927</v>
      </c>
      <c r="E37" s="80" t="s">
        <v>452</v>
      </c>
    </row>
  </sheetData>
  <mergeCells count="1">
    <mergeCell ref="A1:E1"/>
  </mergeCells>
  <pageMargins left="0.7" right="0.7" top="0.75" bottom="0.75" header="0.3" footer="0.3"/>
  <pageSetup orientation="portrait"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sheetPr codeName="Sheet4">
    <tabColor theme="7" tint="0.39997558519241921"/>
  </sheetPr>
  <dimension ref="A1:N29"/>
  <sheetViews>
    <sheetView topLeftCell="A13" workbookViewId="0">
      <selection activeCell="K70" sqref="K70"/>
    </sheetView>
  </sheetViews>
  <sheetFormatPr defaultColWidth="8.90625" defaultRowHeight="14.5" x14ac:dyDescent="0.35"/>
  <cols>
    <col min="1" max="1" width="21.453125" style="1" bestFit="1" customWidth="1"/>
    <col min="2" max="2" width="15.08984375" style="1" bestFit="1" customWidth="1"/>
    <col min="3" max="3" width="14.90625" style="1" bestFit="1" customWidth="1"/>
    <col min="4" max="5" width="15.54296875" style="1" bestFit="1" customWidth="1"/>
    <col min="6" max="6" width="19" style="1" bestFit="1" customWidth="1"/>
    <col min="7" max="7" width="10.08984375" style="1" bestFit="1" customWidth="1"/>
    <col min="8" max="8" width="6.90625" style="1" bestFit="1" customWidth="1"/>
    <col min="9" max="9" width="13.54296875" style="1" bestFit="1" customWidth="1"/>
    <col min="10" max="10" width="9.08984375" style="1" bestFit="1" customWidth="1"/>
    <col min="11" max="11" width="13.08984375" style="1" bestFit="1" customWidth="1"/>
    <col min="12" max="12" width="11.90625" style="1" bestFit="1" customWidth="1"/>
    <col min="13" max="13" width="13.54296875" style="1" bestFit="1" customWidth="1"/>
    <col min="14" max="14" width="23" style="1" customWidth="1"/>
    <col min="15" max="16384" width="8.90625" style="1"/>
  </cols>
  <sheetData>
    <row r="1" spans="1:14" x14ac:dyDescent="0.35">
      <c r="A1" s="31"/>
      <c r="B1" s="31"/>
      <c r="C1" s="31"/>
      <c r="D1" s="31"/>
      <c r="E1" s="31"/>
      <c r="F1" s="31"/>
      <c r="G1" s="31"/>
      <c r="H1" s="31"/>
      <c r="I1" s="31"/>
      <c r="J1" s="31"/>
      <c r="K1" s="31"/>
      <c r="L1" s="31"/>
      <c r="M1" s="31"/>
      <c r="N1" s="31"/>
    </row>
    <row r="2" spans="1:14" x14ac:dyDescent="0.35">
      <c r="A2" s="11" t="s">
        <v>1964</v>
      </c>
      <c r="B2" s="11" t="s">
        <v>1965</v>
      </c>
      <c r="C2" s="11" t="s">
        <v>1966</v>
      </c>
      <c r="D2" s="11" t="s">
        <v>1967</v>
      </c>
      <c r="E2" s="11" t="s">
        <v>1968</v>
      </c>
      <c r="F2" s="11" t="s">
        <v>1969</v>
      </c>
      <c r="G2" s="11" t="s">
        <v>1970</v>
      </c>
      <c r="H2" s="11" t="s">
        <v>1971</v>
      </c>
      <c r="I2" s="11" t="s">
        <v>1972</v>
      </c>
      <c r="J2" s="11" t="s">
        <v>1973</v>
      </c>
      <c r="K2" s="11" t="s">
        <v>1974</v>
      </c>
      <c r="L2" s="11" t="s">
        <v>1975</v>
      </c>
      <c r="M2" s="11" t="s">
        <v>1976</v>
      </c>
      <c r="N2" s="11" t="s">
        <v>1977</v>
      </c>
    </row>
    <row r="3" spans="1:14" x14ac:dyDescent="0.35">
      <c r="A3" s="12" t="s">
        <v>312</v>
      </c>
      <c r="B3" s="12" t="s">
        <v>312</v>
      </c>
      <c r="C3" s="12" t="s">
        <v>312</v>
      </c>
      <c r="D3" s="12" t="s">
        <v>312</v>
      </c>
      <c r="E3" s="12" t="s">
        <v>312</v>
      </c>
      <c r="F3" s="12" t="s">
        <v>312</v>
      </c>
      <c r="G3" s="12" t="s">
        <v>313</v>
      </c>
      <c r="H3" s="12" t="s">
        <v>312</v>
      </c>
      <c r="I3" s="12" t="s">
        <v>312</v>
      </c>
      <c r="J3" s="12" t="s">
        <v>313</v>
      </c>
      <c r="K3" s="12" t="s">
        <v>312</v>
      </c>
      <c r="L3" s="12" t="s">
        <v>313</v>
      </c>
      <c r="M3" s="12" t="s">
        <v>312</v>
      </c>
      <c r="N3" s="12" t="s">
        <v>312</v>
      </c>
    </row>
    <row r="4" spans="1:14" x14ac:dyDescent="0.35">
      <c r="A4" s="13" t="s">
        <v>318</v>
      </c>
      <c r="B4" s="13" t="s">
        <v>319</v>
      </c>
      <c r="C4" s="13" t="s">
        <v>662</v>
      </c>
      <c r="D4" s="13" t="s">
        <v>662</v>
      </c>
      <c r="E4" s="13" t="s">
        <v>766</v>
      </c>
      <c r="F4" s="13" t="s">
        <v>656</v>
      </c>
      <c r="G4" s="13">
        <v>1</v>
      </c>
      <c r="H4" s="13" t="s">
        <v>409</v>
      </c>
      <c r="I4" s="13" t="s">
        <v>1978</v>
      </c>
      <c r="J4" s="13"/>
      <c r="K4" s="13" t="s">
        <v>451</v>
      </c>
      <c r="L4" s="13"/>
      <c r="M4" s="13" t="s">
        <v>1979</v>
      </c>
      <c r="N4" s="13" t="s">
        <v>654</v>
      </c>
    </row>
    <row r="5" spans="1:14" x14ac:dyDescent="0.35">
      <c r="A5" s="14" t="s">
        <v>492</v>
      </c>
      <c r="B5" s="14" t="s">
        <v>450</v>
      </c>
      <c r="C5" s="14" t="s">
        <v>660</v>
      </c>
      <c r="D5" s="14" t="s">
        <v>666</v>
      </c>
      <c r="E5" s="14" t="s">
        <v>1348</v>
      </c>
      <c r="F5" s="14" t="s">
        <v>708</v>
      </c>
      <c r="G5" s="14">
        <v>1</v>
      </c>
      <c r="H5" s="14" t="s">
        <v>320</v>
      </c>
      <c r="I5" s="14" t="s">
        <v>1980</v>
      </c>
      <c r="J5" s="14">
        <v>1</v>
      </c>
      <c r="K5" s="14" t="s">
        <v>459</v>
      </c>
      <c r="L5" s="14"/>
      <c r="M5" s="14" t="s">
        <v>1981</v>
      </c>
      <c r="N5" s="14" t="s">
        <v>726</v>
      </c>
    </row>
    <row r="6" spans="1:14" x14ac:dyDescent="0.35">
      <c r="A6" s="13" t="s">
        <v>454</v>
      </c>
      <c r="B6" s="13" t="s">
        <v>484</v>
      </c>
      <c r="C6" s="13" t="s">
        <v>1241</v>
      </c>
      <c r="D6" s="13" t="s">
        <v>1347</v>
      </c>
      <c r="E6" s="13" t="s">
        <v>667</v>
      </c>
      <c r="F6" s="13" t="s">
        <v>727</v>
      </c>
      <c r="G6" s="13">
        <v>1</v>
      </c>
      <c r="H6" s="13" t="s">
        <v>554</v>
      </c>
      <c r="I6" s="13" t="s">
        <v>1982</v>
      </c>
      <c r="J6" s="13"/>
      <c r="K6" s="13" t="s">
        <v>471</v>
      </c>
      <c r="L6" s="13"/>
      <c r="M6" s="13" t="s">
        <v>1983</v>
      </c>
      <c r="N6" s="13" t="s">
        <v>734</v>
      </c>
    </row>
    <row r="7" spans="1:14" x14ac:dyDescent="0.35">
      <c r="A7" s="14" t="s">
        <v>458</v>
      </c>
      <c r="B7" s="14" t="s">
        <v>534</v>
      </c>
      <c r="C7" s="14" t="s">
        <v>1569</v>
      </c>
      <c r="D7" s="14" t="s">
        <v>1309</v>
      </c>
      <c r="E7" s="14" t="s">
        <v>1313</v>
      </c>
      <c r="F7" s="14" t="s">
        <v>741</v>
      </c>
      <c r="G7" s="14">
        <v>1</v>
      </c>
      <c r="K7" s="14" t="s">
        <v>485</v>
      </c>
      <c r="L7" s="14"/>
      <c r="M7" s="14" t="s">
        <v>29</v>
      </c>
      <c r="N7" s="14" t="s">
        <v>740</v>
      </c>
    </row>
    <row r="8" spans="1:14" x14ac:dyDescent="0.35">
      <c r="A8" s="13" t="s">
        <v>449</v>
      </c>
      <c r="B8" s="13" t="s">
        <v>418</v>
      </c>
      <c r="C8" s="13" t="s">
        <v>982</v>
      </c>
      <c r="D8" s="58" t="s">
        <v>1055</v>
      </c>
      <c r="E8" s="58" t="s">
        <v>932</v>
      </c>
      <c r="F8" s="13" t="s">
        <v>1142</v>
      </c>
      <c r="G8" s="13">
        <v>1</v>
      </c>
      <c r="K8" s="13" t="s">
        <v>478</v>
      </c>
      <c r="L8" s="13">
        <v>1</v>
      </c>
      <c r="N8" s="13" t="s">
        <v>1141</v>
      </c>
    </row>
    <row r="9" spans="1:14" x14ac:dyDescent="0.35">
      <c r="B9" s="14" t="s">
        <v>1984</v>
      </c>
      <c r="C9" s="14" t="s">
        <v>765</v>
      </c>
      <c r="D9" s="14" t="s">
        <v>1058</v>
      </c>
      <c r="E9" s="51" t="s">
        <v>1985</v>
      </c>
      <c r="F9" s="14" t="s">
        <v>1029</v>
      </c>
      <c r="G9" s="14">
        <v>1</v>
      </c>
      <c r="K9" s="14" t="s">
        <v>493</v>
      </c>
      <c r="L9" s="14"/>
      <c r="N9" s="14" t="s">
        <v>1243</v>
      </c>
    </row>
    <row r="10" spans="1:14" x14ac:dyDescent="0.35">
      <c r="B10" s="13" t="s">
        <v>550</v>
      </c>
      <c r="C10" s="13" t="s">
        <v>1575</v>
      </c>
      <c r="E10" s="58" t="s">
        <v>1986</v>
      </c>
      <c r="F10" s="13" t="s">
        <v>1987</v>
      </c>
      <c r="G10" s="13"/>
      <c r="K10" s="13" t="s">
        <v>497</v>
      </c>
      <c r="L10" s="13">
        <v>1</v>
      </c>
      <c r="N10" s="13" t="s">
        <v>1205</v>
      </c>
    </row>
    <row r="11" spans="1:14" x14ac:dyDescent="0.35">
      <c r="B11" s="1" t="s">
        <v>500</v>
      </c>
      <c r="C11" s="14" t="s">
        <v>1988</v>
      </c>
      <c r="E11" s="14" t="s">
        <v>1989</v>
      </c>
      <c r="F11" s="14" t="s">
        <v>1234</v>
      </c>
      <c r="G11" s="14"/>
      <c r="K11" s="14" t="s">
        <v>503</v>
      </c>
      <c r="L11" s="14"/>
    </row>
    <row r="12" spans="1:14" x14ac:dyDescent="0.35">
      <c r="E12" s="58" t="s">
        <v>1388</v>
      </c>
      <c r="F12" s="13" t="s">
        <v>1247</v>
      </c>
      <c r="G12" s="13"/>
      <c r="K12" s="13" t="s">
        <v>504</v>
      </c>
      <c r="L12" s="13">
        <v>1</v>
      </c>
    </row>
    <row r="13" spans="1:14" x14ac:dyDescent="0.35">
      <c r="F13" s="14" t="s">
        <v>1213</v>
      </c>
      <c r="G13" s="14"/>
      <c r="K13" s="14" t="s">
        <v>468</v>
      </c>
      <c r="L13" s="14"/>
    </row>
    <row r="14" spans="1:14" x14ac:dyDescent="0.35">
      <c r="F14" s="13" t="s">
        <v>1376</v>
      </c>
      <c r="G14" s="13"/>
      <c r="K14" s="13" t="s">
        <v>506</v>
      </c>
      <c r="L14" s="13"/>
    </row>
    <row r="15" spans="1:14" x14ac:dyDescent="0.35">
      <c r="F15" s="14" t="s">
        <v>1561</v>
      </c>
      <c r="G15" s="14"/>
      <c r="K15" s="14" t="s">
        <v>509</v>
      </c>
      <c r="L15" s="14"/>
    </row>
    <row r="16" spans="1:14" x14ac:dyDescent="0.35">
      <c r="F16" s="13" t="s">
        <v>497</v>
      </c>
      <c r="G16" s="13"/>
      <c r="K16" s="13" t="s">
        <v>526</v>
      </c>
      <c r="L16" s="13">
        <v>1</v>
      </c>
    </row>
    <row r="17" spans="6:12" x14ac:dyDescent="0.35">
      <c r="F17" s="14" t="s">
        <v>503</v>
      </c>
      <c r="G17" s="14"/>
      <c r="K17" s="14" t="s">
        <v>528</v>
      </c>
      <c r="L17" s="14">
        <v>1</v>
      </c>
    </row>
    <row r="18" spans="6:12" x14ac:dyDescent="0.35">
      <c r="F18" s="13" t="s">
        <v>1652</v>
      </c>
      <c r="G18" s="13"/>
      <c r="K18" s="13" t="s">
        <v>530</v>
      </c>
      <c r="L18" s="13">
        <v>1</v>
      </c>
    </row>
    <row r="19" spans="6:12" x14ac:dyDescent="0.35">
      <c r="F19" s="14" t="s">
        <v>1469</v>
      </c>
      <c r="G19" s="14"/>
      <c r="K19" s="14" t="s">
        <v>441</v>
      </c>
      <c r="L19" s="14"/>
    </row>
    <row r="20" spans="6:12" x14ac:dyDescent="0.35">
      <c r="F20" s="13" t="s">
        <v>509</v>
      </c>
      <c r="G20" s="13"/>
      <c r="K20" s="13" t="s">
        <v>419</v>
      </c>
      <c r="L20" s="13"/>
    </row>
    <row r="21" spans="6:12" x14ac:dyDescent="0.35">
      <c r="F21" s="14" t="s">
        <v>1133</v>
      </c>
      <c r="G21" s="14"/>
      <c r="K21" s="1" t="s">
        <v>1990</v>
      </c>
    </row>
    <row r="22" spans="6:12" x14ac:dyDescent="0.35">
      <c r="F22" s="13" t="s">
        <v>1496</v>
      </c>
      <c r="G22" s="13"/>
      <c r="K22" s="1" t="s">
        <v>29</v>
      </c>
    </row>
    <row r="23" spans="6:12" x14ac:dyDescent="0.35">
      <c r="F23" s="14" t="s">
        <v>1991</v>
      </c>
      <c r="G23" s="14"/>
    </row>
    <row r="24" spans="6:12" x14ac:dyDescent="0.35">
      <c r="F24" s="13" t="s">
        <v>1773</v>
      </c>
      <c r="G24" s="13"/>
    </row>
    <row r="25" spans="6:12" x14ac:dyDescent="0.35">
      <c r="F25" s="14" t="s">
        <v>534</v>
      </c>
      <c r="G25" s="14"/>
    </row>
    <row r="26" spans="6:12" x14ac:dyDescent="0.35">
      <c r="F26" s="13" t="s">
        <v>1209</v>
      </c>
      <c r="G26" s="13"/>
    </row>
    <row r="27" spans="6:12" x14ac:dyDescent="0.35">
      <c r="F27" s="14" t="s">
        <v>419</v>
      </c>
      <c r="G27" s="14"/>
    </row>
    <row r="28" spans="6:12" x14ac:dyDescent="0.35">
      <c r="F28" s="13" t="s">
        <v>971</v>
      </c>
      <c r="G28" s="13"/>
    </row>
    <row r="29" spans="6:12" x14ac:dyDescent="0.35">
      <c r="F29" s="14" t="s">
        <v>1206</v>
      </c>
      <c r="G29" s="14"/>
    </row>
  </sheetData>
  <pageMargins left="0.7" right="0.7" top="0.75" bottom="0.75" header="0.3" footer="0.3"/>
  <pageSetup orientation="portrait" horizontalDpi="1200" verticalDpi="1200"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sheetPr codeName="Sheet5">
    <tabColor theme="7" tint="0.39997558519241921"/>
  </sheetPr>
  <dimension ref="A1:K15"/>
  <sheetViews>
    <sheetView workbookViewId="0">
      <selection activeCell="J15" sqref="J15"/>
    </sheetView>
  </sheetViews>
  <sheetFormatPr defaultColWidth="8.90625" defaultRowHeight="14.5" x14ac:dyDescent="0.35"/>
  <cols>
    <col min="1" max="1" width="13.90625" style="1" customWidth="1"/>
    <col min="2" max="2" width="10.90625" style="1" customWidth="1"/>
    <col min="3" max="4" width="10.90625" style="1" bestFit="1" customWidth="1"/>
    <col min="5" max="5" width="15.54296875" style="1" bestFit="1" customWidth="1"/>
    <col min="6" max="6" width="12.08984375" style="1" bestFit="1" customWidth="1"/>
    <col min="7" max="7" width="15.54296875" style="1" bestFit="1" customWidth="1"/>
    <col min="8" max="8" width="13.08984375" style="1" bestFit="1" customWidth="1"/>
    <col min="9" max="9" width="10.90625" style="1" bestFit="1" customWidth="1"/>
    <col min="10" max="10" width="13.08984375" style="1" bestFit="1" customWidth="1"/>
    <col min="11" max="11" width="14.08984375" style="1" bestFit="1" customWidth="1"/>
    <col min="12" max="16384" width="8.90625" style="1"/>
  </cols>
  <sheetData>
    <row r="1" spans="1:11" ht="15" customHeight="1" x14ac:dyDescent="0.35">
      <c r="A1" s="31"/>
      <c r="B1" s="31"/>
      <c r="C1" s="31"/>
      <c r="D1" s="31"/>
      <c r="E1" s="31"/>
      <c r="F1" s="31"/>
      <c r="G1" s="31"/>
      <c r="H1" s="31"/>
      <c r="I1" s="31"/>
      <c r="J1" s="31"/>
      <c r="K1" s="31"/>
    </row>
    <row r="2" spans="1:11" x14ac:dyDescent="0.35">
      <c r="A2" s="11" t="s">
        <v>1992</v>
      </c>
      <c r="B2" s="11"/>
      <c r="C2" s="11"/>
      <c r="D2" s="11"/>
      <c r="E2" s="11"/>
      <c r="F2" s="11"/>
      <c r="G2" s="11"/>
      <c r="H2" s="11"/>
      <c r="I2" s="11"/>
      <c r="J2" s="11"/>
      <c r="K2" s="11"/>
    </row>
    <row r="3" spans="1:11" x14ac:dyDescent="0.35">
      <c r="A3" s="12" t="s">
        <v>982</v>
      </c>
      <c r="B3" s="12" t="s">
        <v>765</v>
      </c>
      <c r="C3" s="12" t="s">
        <v>662</v>
      </c>
      <c r="D3" s="12" t="s">
        <v>1347</v>
      </c>
      <c r="E3" s="12" t="s">
        <v>666</v>
      </c>
      <c r="F3" s="12" t="s">
        <v>1309</v>
      </c>
      <c r="G3" s="12" t="s">
        <v>1055</v>
      </c>
      <c r="H3" s="12" t="s">
        <v>1840</v>
      </c>
      <c r="I3" s="57" t="s">
        <v>1993</v>
      </c>
      <c r="J3" s="57" t="s">
        <v>1994</v>
      </c>
      <c r="K3" s="57" t="s">
        <v>1995</v>
      </c>
    </row>
    <row r="4" spans="1:11" s="37" customFormat="1" x14ac:dyDescent="0.35">
      <c r="A4" s="58" t="s">
        <v>766</v>
      </c>
      <c r="B4" s="58" t="s">
        <v>766</v>
      </c>
      <c r="D4" s="58" t="s">
        <v>1348</v>
      </c>
      <c r="E4" s="58" t="s">
        <v>667</v>
      </c>
      <c r="F4" s="58" t="s">
        <v>667</v>
      </c>
      <c r="G4" s="58" t="s">
        <v>667</v>
      </c>
      <c r="H4" s="58" t="s">
        <v>766</v>
      </c>
      <c r="I4" s="58"/>
      <c r="J4" s="58"/>
      <c r="K4" s="58"/>
    </row>
    <row r="5" spans="1:11" s="37" customFormat="1" x14ac:dyDescent="0.35">
      <c r="A5" s="51" t="s">
        <v>667</v>
      </c>
      <c r="B5" s="51" t="s">
        <v>932</v>
      </c>
      <c r="E5" s="51" t="s">
        <v>1313</v>
      </c>
      <c r="F5" s="51" t="s">
        <v>1313</v>
      </c>
      <c r="G5" s="51" t="s">
        <v>932</v>
      </c>
      <c r="H5" s="51" t="s">
        <v>667</v>
      </c>
    </row>
    <row r="6" spans="1:11" s="37" customFormat="1" x14ac:dyDescent="0.35">
      <c r="A6" s="58" t="s">
        <v>932</v>
      </c>
      <c r="E6" s="58" t="s">
        <v>932</v>
      </c>
      <c r="F6" s="58" t="s">
        <v>932</v>
      </c>
    </row>
    <row r="7" spans="1:11" s="37" customFormat="1" x14ac:dyDescent="0.35">
      <c r="E7" s="51" t="s">
        <v>1985</v>
      </c>
      <c r="F7" s="51" t="s">
        <v>1985</v>
      </c>
    </row>
    <row r="8" spans="1:11" s="37" customFormat="1" x14ac:dyDescent="0.35">
      <c r="E8" s="58" t="s">
        <v>1986</v>
      </c>
      <c r="F8" s="58" t="s">
        <v>1986</v>
      </c>
    </row>
    <row r="9" spans="1:11" s="37" customFormat="1" x14ac:dyDescent="0.35">
      <c r="E9" s="51" t="s">
        <v>1989</v>
      </c>
      <c r="F9" s="51" t="s">
        <v>1989</v>
      </c>
    </row>
    <row r="10" spans="1:11" s="37" customFormat="1" x14ac:dyDescent="0.35">
      <c r="E10" s="58" t="s">
        <v>1388</v>
      </c>
      <c r="F10" s="58" t="s">
        <v>1388</v>
      </c>
    </row>
    <row r="11" spans="1:11" s="37" customFormat="1" x14ac:dyDescent="0.35">
      <c r="F11" s="1"/>
    </row>
    <row r="12" spans="1:11" s="37" customFormat="1" x14ac:dyDescent="0.35">
      <c r="F12" s="1"/>
    </row>
    <row r="13" spans="1:11" s="37" customFormat="1" x14ac:dyDescent="0.35"/>
    <row r="14" spans="1:11" s="37" customFormat="1" x14ac:dyDescent="0.35"/>
    <row r="15" spans="1:11" x14ac:dyDescent="0.35">
      <c r="E15" s="37"/>
      <c r="F15" s="37"/>
      <c r="H15" s="37"/>
    </row>
  </sheetData>
  <pageMargins left="0.7" right="0.7" top="0.75" bottom="0.75" header="0.3" footer="0.3"/>
  <pageSetup orientation="portrait"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sheetPr codeName="Sheet11">
    <tabColor rgb="FFFF0000"/>
  </sheetPr>
  <dimension ref="A1:J27"/>
  <sheetViews>
    <sheetView workbookViewId="0">
      <selection activeCell="P30" sqref="P30"/>
    </sheetView>
  </sheetViews>
  <sheetFormatPr defaultColWidth="9.08984375" defaultRowHeight="14.5" x14ac:dyDescent="0.35"/>
  <cols>
    <col min="1" max="1" width="13.90625" style="1" bestFit="1" customWidth="1"/>
    <col min="2" max="2" width="10.08984375" style="1" bestFit="1" customWidth="1"/>
    <col min="3" max="3" width="7.90625" style="1" bestFit="1" customWidth="1"/>
    <col min="4" max="4" width="6.453125" style="1" bestFit="1" customWidth="1"/>
    <col min="5" max="5" width="6.54296875" style="1" bestFit="1" customWidth="1"/>
    <col min="6" max="6" width="7" style="1" bestFit="1" customWidth="1"/>
    <col min="7" max="7" width="1.54296875" style="1" customWidth="1"/>
    <col min="8" max="8" width="12.08984375" style="1" bestFit="1" customWidth="1"/>
    <col min="9" max="9" width="17.90625" style="1" bestFit="1" customWidth="1"/>
    <col min="10" max="10" width="11.90625" style="1" bestFit="1" customWidth="1"/>
    <col min="11" max="16384" width="9.08984375" style="1"/>
  </cols>
  <sheetData>
    <row r="1" spans="1:10" ht="30" customHeight="1" x14ac:dyDescent="0.35">
      <c r="A1" s="435" t="s">
        <v>1996</v>
      </c>
      <c r="B1" s="435"/>
      <c r="C1" s="435"/>
      <c r="D1" s="435"/>
      <c r="E1" s="435"/>
      <c r="F1" s="435"/>
      <c r="G1" s="435"/>
      <c r="H1" s="435"/>
      <c r="I1" s="435"/>
      <c r="J1" s="435"/>
    </row>
    <row r="2" spans="1:10" ht="29" x14ac:dyDescent="0.35">
      <c r="A2" s="46" t="s">
        <v>1997</v>
      </c>
      <c r="B2" s="46" t="s">
        <v>303</v>
      </c>
      <c r="C2" s="46" t="s">
        <v>304</v>
      </c>
      <c r="D2" s="46" t="s">
        <v>305</v>
      </c>
      <c r="E2" s="46" t="s">
        <v>306</v>
      </c>
      <c r="F2" s="8" t="s">
        <v>307</v>
      </c>
      <c r="H2" s="46" t="s">
        <v>1998</v>
      </c>
      <c r="I2" s="46" t="s">
        <v>1999</v>
      </c>
      <c r="J2" s="46" t="s">
        <v>2000</v>
      </c>
    </row>
    <row r="3" spans="1:10" x14ac:dyDescent="0.35">
      <c r="A3" s="65" t="s">
        <v>2001</v>
      </c>
      <c r="B3" s="65" t="s">
        <v>312</v>
      </c>
      <c r="C3" s="65" t="s">
        <v>312</v>
      </c>
      <c r="D3" s="65" t="s">
        <v>312</v>
      </c>
      <c r="E3" s="65" t="s">
        <v>313</v>
      </c>
      <c r="F3" s="65" t="s">
        <v>312</v>
      </c>
      <c r="H3" s="65" t="s">
        <v>2002</v>
      </c>
      <c r="I3" s="65" t="s">
        <v>2003</v>
      </c>
      <c r="J3" s="65" t="s">
        <v>1805</v>
      </c>
    </row>
    <row r="4" spans="1:10" x14ac:dyDescent="0.35">
      <c r="A4" s="5"/>
      <c r="B4" s="5"/>
      <c r="C4" s="5"/>
      <c r="D4" s="5"/>
      <c r="E4" s="5"/>
      <c r="F4" s="5"/>
      <c r="H4" s="5"/>
      <c r="I4" s="5"/>
      <c r="J4" s="5"/>
    </row>
    <row r="5" spans="1:10" x14ac:dyDescent="0.35">
      <c r="A5" s="6"/>
      <c r="B5" s="6"/>
      <c r="C5" s="6"/>
      <c r="D5" s="6"/>
      <c r="E5" s="6"/>
      <c r="F5" s="6"/>
      <c r="H5" s="5"/>
      <c r="I5" s="5"/>
      <c r="J5" s="5"/>
    </row>
    <row r="6" spans="1:10" x14ac:dyDescent="0.35">
      <c r="H6" s="5"/>
      <c r="I6" s="5"/>
      <c r="J6" s="5"/>
    </row>
    <row r="7" spans="1:10" x14ac:dyDescent="0.35">
      <c r="H7" s="5"/>
      <c r="I7" s="5"/>
      <c r="J7" s="5"/>
    </row>
    <row r="8" spans="1:10" x14ac:dyDescent="0.35">
      <c r="H8" s="5"/>
      <c r="I8" s="5"/>
      <c r="J8" s="5"/>
    </row>
    <row r="9" spans="1:10" x14ac:dyDescent="0.35">
      <c r="H9" s="5"/>
      <c r="I9" s="5"/>
      <c r="J9" s="5"/>
    </row>
    <row r="10" spans="1:10" x14ac:dyDescent="0.35">
      <c r="H10" s="5"/>
      <c r="I10" s="5"/>
      <c r="J10" s="5"/>
    </row>
    <row r="11" spans="1:10" x14ac:dyDescent="0.35">
      <c r="H11" s="5"/>
      <c r="I11" s="5"/>
      <c r="J11" s="5"/>
    </row>
    <row r="12" spans="1:10" x14ac:dyDescent="0.35">
      <c r="H12" s="5"/>
      <c r="I12" s="5"/>
      <c r="J12" s="5"/>
    </row>
    <row r="13" spans="1:10" x14ac:dyDescent="0.35">
      <c r="H13" s="5"/>
      <c r="I13" s="5"/>
      <c r="J13" s="5"/>
    </row>
    <row r="14" spans="1:10" x14ac:dyDescent="0.35">
      <c r="H14" s="5"/>
      <c r="I14" s="5"/>
      <c r="J14" s="5"/>
    </row>
    <row r="15" spans="1:10" x14ac:dyDescent="0.35">
      <c r="H15" s="5"/>
      <c r="I15" s="5"/>
      <c r="J15" s="5"/>
    </row>
    <row r="16" spans="1:10" x14ac:dyDescent="0.35">
      <c r="H16" s="5"/>
      <c r="I16" s="5"/>
      <c r="J16" s="5"/>
    </row>
    <row r="17" spans="8:10" x14ac:dyDescent="0.35">
      <c r="H17" s="5"/>
      <c r="I17" s="5"/>
      <c r="J17" s="5"/>
    </row>
    <row r="18" spans="8:10" x14ac:dyDescent="0.35">
      <c r="H18" s="5"/>
      <c r="I18" s="5"/>
      <c r="J18" s="5"/>
    </row>
    <row r="19" spans="8:10" x14ac:dyDescent="0.35">
      <c r="H19" s="5"/>
      <c r="I19" s="5"/>
      <c r="J19" s="5"/>
    </row>
    <row r="20" spans="8:10" x14ac:dyDescent="0.35">
      <c r="H20" s="5"/>
      <c r="I20" s="5"/>
      <c r="J20" s="5"/>
    </row>
    <row r="21" spans="8:10" x14ac:dyDescent="0.35">
      <c r="H21" s="5"/>
      <c r="I21" s="5"/>
      <c r="J21" s="5"/>
    </row>
    <row r="22" spans="8:10" x14ac:dyDescent="0.35">
      <c r="H22" s="5"/>
      <c r="I22" s="5"/>
      <c r="J22" s="5"/>
    </row>
    <row r="23" spans="8:10" x14ac:dyDescent="0.35">
      <c r="H23" s="5"/>
      <c r="I23" s="5"/>
      <c r="J23" s="5"/>
    </row>
    <row r="24" spans="8:10" x14ac:dyDescent="0.35">
      <c r="H24" s="6"/>
      <c r="I24" s="6"/>
      <c r="J24" s="6"/>
    </row>
    <row r="25" spans="8:10" x14ac:dyDescent="0.35">
      <c r="H25" s="6"/>
      <c r="I25" s="6"/>
      <c r="J25" s="6"/>
    </row>
    <row r="26" spans="8:10" x14ac:dyDescent="0.35">
      <c r="H26" s="6"/>
      <c r="I26" s="6"/>
      <c r="J26" s="6"/>
    </row>
    <row r="27" spans="8:10" x14ac:dyDescent="0.35">
      <c r="H27" s="6"/>
      <c r="I27" s="6"/>
      <c r="J27" s="6"/>
    </row>
  </sheetData>
  <mergeCells count="1">
    <mergeCell ref="A1:J1"/>
  </mergeCells>
  <pageMargins left="0.7" right="0.7" top="0.75" bottom="0.75" header="0.3" footer="0.3"/>
  <pageSetup orientation="portrait"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A8A9D8-EE4C-4193-B3D8-0622A6BC1522}">
  <dimension ref="A3:B15"/>
  <sheetViews>
    <sheetView workbookViewId="0">
      <selection activeCell="B16" sqref="B16"/>
    </sheetView>
  </sheetViews>
  <sheetFormatPr defaultRowHeight="14.5" x14ac:dyDescent="0.35"/>
  <sheetData>
    <row r="3" spans="1:2" x14ac:dyDescent="0.35">
      <c r="A3">
        <v>1</v>
      </c>
      <c r="B3" t="s">
        <v>2004</v>
      </c>
    </row>
    <row r="4" spans="1:2" x14ac:dyDescent="0.35">
      <c r="A4">
        <v>2</v>
      </c>
      <c r="B4" t="s">
        <v>2005</v>
      </c>
    </row>
    <row r="5" spans="1:2" x14ac:dyDescent="0.35">
      <c r="A5">
        <v>3</v>
      </c>
      <c r="B5" t="s">
        <v>2006</v>
      </c>
    </row>
    <row r="6" spans="1:2" x14ac:dyDescent="0.35">
      <c r="A6">
        <v>4</v>
      </c>
      <c r="B6" t="s">
        <v>2007</v>
      </c>
    </row>
    <row r="7" spans="1:2" x14ac:dyDescent="0.35">
      <c r="A7">
        <v>5</v>
      </c>
      <c r="B7" t="s">
        <v>2008</v>
      </c>
    </row>
    <row r="8" spans="1:2" x14ac:dyDescent="0.35">
      <c r="A8">
        <v>6</v>
      </c>
      <c r="B8" t="s">
        <v>2009</v>
      </c>
    </row>
    <row r="9" spans="1:2" x14ac:dyDescent="0.35">
      <c r="A9">
        <v>7</v>
      </c>
      <c r="B9" t="s">
        <v>2010</v>
      </c>
    </row>
    <row r="10" spans="1:2" x14ac:dyDescent="0.35">
      <c r="A10">
        <v>8</v>
      </c>
      <c r="B10" t="s">
        <v>2011</v>
      </c>
    </row>
    <row r="11" spans="1:2" x14ac:dyDescent="0.35">
      <c r="B11" t="s">
        <v>2012</v>
      </c>
    </row>
    <row r="12" spans="1:2" x14ac:dyDescent="0.35">
      <c r="A12">
        <v>9</v>
      </c>
      <c r="B12" t="s">
        <v>2013</v>
      </c>
    </row>
    <row r="13" spans="1:2" x14ac:dyDescent="0.35">
      <c r="A13">
        <v>10</v>
      </c>
      <c r="B13" t="s">
        <v>2014</v>
      </c>
    </row>
    <row r="14" spans="1:2" x14ac:dyDescent="0.35">
      <c r="A14">
        <v>11</v>
      </c>
      <c r="B14" t="s">
        <v>2015</v>
      </c>
    </row>
    <row r="15" spans="1:2" x14ac:dyDescent="0.35">
      <c r="A15">
        <v>12</v>
      </c>
      <c r="B15" t="s">
        <v>2016</v>
      </c>
    </row>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533DBC406EE8BA4F8CD94100710BA815" ma:contentTypeVersion="17" ma:contentTypeDescription="Create a new document." ma:contentTypeScope="" ma:versionID="41c523f2a6f0aebacd476e80ebdfe5d4">
  <xsd:schema xmlns:xsd="http://www.w3.org/2001/XMLSchema" xmlns:xs="http://www.w3.org/2001/XMLSchema" xmlns:p="http://schemas.microsoft.com/office/2006/metadata/properties" xmlns:ns3="969b94b9-e0b9-473b-a878-a1e7201448b5" xmlns:ns4="0033acb0-b57a-49c3-9635-ad21a6cf4f59" targetNamespace="http://schemas.microsoft.com/office/2006/metadata/properties" ma:root="true" ma:fieldsID="5c831208e07e3681fe0270bf514ffb15" ns3:_="" ns4:_="">
    <xsd:import namespace="969b94b9-e0b9-473b-a878-a1e7201448b5"/>
    <xsd:import namespace="0033acb0-b57a-49c3-9635-ad21a6cf4f59"/>
    <xsd:element name="properties">
      <xsd:complexType>
        <xsd:sequence>
          <xsd:element name="documentManagement">
            <xsd:complexType>
              <xsd:all>
                <xsd:element ref="ns3:SharedWithUsers" minOccurs="0"/>
                <xsd:element ref="ns3:SharedWithDetails" minOccurs="0"/>
                <xsd:element ref="ns3:SharingHintHash" minOccurs="0"/>
                <xsd:element ref="ns4:MediaServiceMetadata" minOccurs="0"/>
                <xsd:element ref="ns4:MediaServiceFastMetadata" minOccurs="0"/>
                <xsd:element ref="ns4:MediaServiceAutoKeyPoints" minOccurs="0"/>
                <xsd:element ref="ns4:MediaServiceKeyPoints" minOccurs="0"/>
                <xsd:element ref="ns4:MediaServiceAutoTags" minOccurs="0"/>
                <xsd:element ref="ns4:MediaServiceGenerationTime" minOccurs="0"/>
                <xsd:element ref="ns4:MediaServiceEventHashCode" minOccurs="0"/>
                <xsd:element ref="ns4:MediaServiceDateTaken" minOccurs="0"/>
                <xsd:element ref="ns4:MediaServiceOCR" minOccurs="0"/>
                <xsd:element ref="ns4:_activity" minOccurs="0"/>
                <xsd:element ref="ns4:MediaServiceObjectDetectorVersions" minOccurs="0"/>
                <xsd:element ref="ns4:MediaServiceSystemTags" minOccurs="0"/>
                <xsd:element ref="ns4:MediaServiceSearchProperties" minOccurs="0"/>
                <xsd:element ref="ns4:MediaLengthInSecond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69b94b9-e0b9-473b-a878-a1e7201448b5" elementFormDefault="qualified">
    <xsd:import namespace="http://schemas.microsoft.com/office/2006/documentManagement/types"/>
    <xsd:import namespace="http://schemas.microsoft.com/office/infopath/2007/PartnerControls"/>
    <xsd:element name="SharedWithUsers" ma:index="8"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9" nillable="true" ma:displayName="Shared With Details" ma:internalName="SharedWithDetails" ma:readOnly="true">
      <xsd:simpleType>
        <xsd:restriction base="dms:Note">
          <xsd:maxLength value="255"/>
        </xsd:restriction>
      </xsd:simpleType>
    </xsd:element>
    <xsd:element name="SharingHintHash" ma:index="10" nillable="true" ma:displayName="Sharing Hint Hash" ma:hidden="true" ma:internalName="SharingHintHash" ma:readOnly="tru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0033acb0-b57a-49c3-9635-ad21a6cf4f59" elementFormDefault="qualified">
    <xsd:import namespace="http://schemas.microsoft.com/office/2006/documentManagement/types"/>
    <xsd:import namespace="http://schemas.microsoft.com/office/infopath/2007/PartnerControls"/>
    <xsd:element name="MediaServiceMetadata" ma:index="11" nillable="true" ma:displayName="MediaServiceMetadata" ma:hidden="true" ma:internalName="MediaServiceMetadata" ma:readOnly="true">
      <xsd:simpleType>
        <xsd:restriction base="dms:Note"/>
      </xsd:simpleType>
    </xsd:element>
    <xsd:element name="MediaServiceFastMetadata" ma:index="12" nillable="true" ma:displayName="MediaServiceFastMetadata" ma:hidden="true" ma:internalName="MediaServiceFastMetadata" ma:readOnly="true">
      <xsd:simpleType>
        <xsd:restriction base="dms:Note"/>
      </xsd:simpleType>
    </xsd:element>
    <xsd:element name="MediaServiceAutoKeyPoints" ma:index="13" nillable="true" ma:displayName="MediaServiceAutoKeyPoints" ma:hidden="true" ma:internalName="MediaServiceAutoKeyPoints" ma:readOnly="true">
      <xsd:simpleType>
        <xsd:restriction base="dms:Note"/>
      </xsd:simpleType>
    </xsd:element>
    <xsd:element name="MediaServiceKeyPoints" ma:index="14" nillable="true" ma:displayName="KeyPoints" ma:internalName="MediaServiceKeyPoints" ma:readOnly="true">
      <xsd:simpleType>
        <xsd:restriction base="dms:Note">
          <xsd:maxLength value="255"/>
        </xsd:restriction>
      </xsd:simpleType>
    </xsd:element>
    <xsd:element name="MediaServiceAutoTags" ma:index="15" nillable="true" ma:displayName="Tags" ma:internalName="MediaServiceAutoTags" ma:readOnly="true">
      <xsd:simpleType>
        <xsd:restriction base="dms:Text"/>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element name="MediaServiceDateTaken" ma:index="18" nillable="true" ma:displayName="MediaServiceDateTaken" ma:hidden="true" ma:internalName="MediaServiceDateTaken" ma:readOnly="true">
      <xsd:simpleType>
        <xsd:restriction base="dms:Text"/>
      </xsd:simpleType>
    </xsd:element>
    <xsd:element name="MediaServiceOCR" ma:index="19" nillable="true" ma:displayName="Extracted Text" ma:internalName="MediaServiceOCR" ma:readOnly="true">
      <xsd:simpleType>
        <xsd:restriction base="dms:Note">
          <xsd:maxLength value="255"/>
        </xsd:restriction>
      </xsd:simpleType>
    </xsd:element>
    <xsd:element name="_activity" ma:index="20" nillable="true" ma:displayName="_activity" ma:hidden="true" ma:internalName="_activity">
      <xsd:simpleType>
        <xsd:restriction base="dms:Note"/>
      </xsd:simpleType>
    </xsd:element>
    <xsd:element name="MediaServiceObjectDetectorVersions" ma:index="21" nillable="true" ma:displayName="MediaServiceObjectDetectorVersions" ma:hidden="true" ma:indexed="true" ma:internalName="MediaServiceObjectDetectorVersions" ma:readOnly="true">
      <xsd:simpleType>
        <xsd:restriction base="dms:Text"/>
      </xsd:simpleType>
    </xsd:element>
    <xsd:element name="MediaServiceSystemTags" ma:index="22" nillable="true" ma:displayName="MediaServiceSystemTags" ma:hidden="true" ma:internalName="MediaServiceSystemTags" ma:readOnly="true">
      <xsd:simpleType>
        <xsd:restriction base="dms:Note"/>
      </xsd:simpleType>
    </xsd:element>
    <xsd:element name="MediaServiceSearchProperties" ma:index="23" nillable="true" ma:displayName="MediaServiceSearchProperties" ma:hidden="true" ma:internalName="MediaServiceSearchProperties" ma:readOnly="true">
      <xsd:simpleType>
        <xsd:restriction base="dms:Note"/>
      </xsd:simpleType>
    </xsd:element>
    <xsd:element name="MediaLengthInSeconds" ma:index="24" nillable="true" ma:displayName="MediaLengthInSeconds" ma:hidden="true" ma:internalName="MediaLengthInSeconds" ma:readOnly="true">
      <xsd:simpleType>
        <xsd:restriction base="dms:Unknow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_activity xmlns="0033acb0-b57a-49c3-9635-ad21a6cf4f59" xsi:nil="true"/>
  </documentManagement>
</p:properties>
</file>

<file path=customXml/itemProps1.xml><?xml version="1.0" encoding="utf-8"?>
<ds:datastoreItem xmlns:ds="http://schemas.openxmlformats.org/officeDocument/2006/customXml" ds:itemID="{0B07629F-A37C-4ABD-874E-9D5AD38D8512}">
  <ds:schemaRefs>
    <ds:schemaRef ds:uri="http://schemas.microsoft.com/sharepoint/v3/contenttype/forms"/>
  </ds:schemaRefs>
</ds:datastoreItem>
</file>

<file path=customXml/itemProps2.xml><?xml version="1.0" encoding="utf-8"?>
<ds:datastoreItem xmlns:ds="http://schemas.openxmlformats.org/officeDocument/2006/customXml" ds:itemID="{CCC74C3E-B307-4FF8-A214-0A14CE95172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69b94b9-e0b9-473b-a878-a1e7201448b5"/>
    <ds:schemaRef ds:uri="0033acb0-b57a-49c3-9635-ad21a6cf4f59"/>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5A9A59CC-C25D-4CFB-9BD0-FB5D41E14307}">
  <ds:schemaRefs>
    <ds:schemaRef ds:uri="http://schemas.microsoft.com/office/2006/metadata/properties"/>
    <ds:schemaRef ds:uri="http://schemas.microsoft.com/office/infopath/2007/PartnerControls"/>
    <ds:schemaRef ds:uri="0033acb0-b57a-49c3-9635-ad21a6cf4f59"/>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17</vt:i4>
      </vt:variant>
      <vt:variant>
        <vt:lpstr>Named Ranges</vt:lpstr>
      </vt:variant>
      <vt:variant>
        <vt:i4>4</vt:i4>
      </vt:variant>
    </vt:vector>
  </HeadingPairs>
  <TitlesOfParts>
    <vt:vector size="21" baseType="lpstr">
      <vt:lpstr>IESA-Opt database</vt:lpstr>
      <vt:lpstr>Data Sources</vt:lpstr>
      <vt:lpstr>Activities</vt:lpstr>
      <vt:lpstr>Technologies</vt:lpstr>
      <vt:lpstr>EnergyBalance</vt:lpstr>
      <vt:lpstr>Infrastructure</vt:lpstr>
      <vt:lpstr>EffLearning</vt:lpstr>
      <vt:lpstr>HourlyProfiles</vt:lpstr>
      <vt:lpstr>Feedstocks</vt:lpstr>
      <vt:lpstr>Retrofitting</vt:lpstr>
      <vt:lpstr>PriceProfiles</vt:lpstr>
      <vt:lpstr>NodeParameters</vt:lpstr>
      <vt:lpstr>Parameters</vt:lpstr>
      <vt:lpstr>Types</vt:lpstr>
      <vt:lpstr>Ranges</vt:lpstr>
      <vt:lpstr>ActGrouping</vt:lpstr>
      <vt:lpstr>Notes</vt:lpstr>
      <vt:lpstr>BE_shifting</vt:lpstr>
      <vt:lpstr>DR_shifting</vt:lpstr>
      <vt:lpstr>none</vt:lpstr>
      <vt:lpstr>ST_storage</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user</dc:creator>
  <cp:keywords/>
  <dc:description/>
  <cp:lastModifiedBy>West, K.J. (Kira)</cp:lastModifiedBy>
  <cp:revision/>
  <dcterms:created xsi:type="dcterms:W3CDTF">2019-08-26T09:15:11Z</dcterms:created>
  <dcterms:modified xsi:type="dcterms:W3CDTF">2026-06-05T19:49:43Z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0x010100533DBC406EE8BA4F8CD94100710BA815</vt:lpwstr>
  </property>
</Properties>
</file>